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30" yWindow="540" windowWidth="27495" windowHeight="13995"/>
  </bookViews>
  <sheets>
    <sheet name="0-Indice" sheetId="1" r:id="rId1"/>
    <sheet name="1-Input" sheetId="2" r:id="rId2"/>
    <sheet name="P-Parametri" sheetId="3" r:id="rId3"/>
    <sheet name="2-Caso" sheetId="4" r:id="rId4"/>
    <sheet name="3-Liquidita" sheetId="5" r:id="rId5"/>
    <sheet name="4-Griglia" sheetId="6" r:id="rId6"/>
    <sheet name="5-Roberta" sheetId="7" r:id="rId7"/>
    <sheet name="6-Banda" sheetId="8" r:id="rId8"/>
    <sheet name="7-Refill" sheetId="9" r:id="rId9"/>
    <sheet name="8-Kitces" sheetId="10" r:id="rId10"/>
    <sheet name="9-ETF-unico" sheetId="11" r:id="rId11"/>
    <sheet name="10-Benz" sheetId="12" r:id="rId12"/>
    <sheet name="11-Verifica" sheetId="13" r:id="rId13"/>
  </sheets>
  <calcPr calcId="144525"/>
</workbook>
</file>

<file path=xl/calcChain.xml><?xml version="1.0" encoding="utf-8"?>
<calcChain xmlns="http://schemas.openxmlformats.org/spreadsheetml/2006/main">
  <c r="A336" i="12" l="1"/>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92" i="12"/>
  <c r="A291" i="12"/>
  <c r="A290" i="12"/>
  <c r="A289"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A237" i="12"/>
  <c r="A236" i="12"/>
  <c r="A235" i="12"/>
  <c r="A234"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A188" i="12"/>
  <c r="A187" i="12"/>
  <c r="A186" i="12"/>
  <c r="A185" i="12"/>
  <c r="A184" i="12"/>
  <c r="A183" i="12"/>
  <c r="A182" i="12"/>
  <c r="A181" i="12"/>
  <c r="A180" i="12"/>
  <c r="A179" i="12"/>
  <c r="A171" i="12"/>
  <c r="A170" i="12"/>
  <c r="A169" i="12"/>
  <c r="A168" i="12"/>
  <c r="A167" i="12"/>
  <c r="A166" i="12"/>
  <c r="A165" i="12"/>
  <c r="A164"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343" i="11"/>
  <c r="B343" i="11" s="1"/>
  <c r="B342" i="11"/>
  <c r="A342" i="11"/>
  <c r="A341" i="11"/>
  <c r="B341" i="11" s="1"/>
  <c r="A340" i="11"/>
  <c r="B340" i="11" s="1"/>
  <c r="A339" i="11"/>
  <c r="B339" i="11" s="1"/>
  <c r="A338" i="11"/>
  <c r="B338" i="11" s="1"/>
  <c r="A337" i="11"/>
  <c r="B337" i="11" s="1"/>
  <c r="A336" i="11"/>
  <c r="B336" i="11" s="1"/>
  <c r="A335" i="11"/>
  <c r="B335" i="11" s="1"/>
  <c r="A334" i="11"/>
  <c r="B334" i="11" s="1"/>
  <c r="A333" i="11"/>
  <c r="B333" i="11" s="1"/>
  <c r="A332" i="11"/>
  <c r="B332" i="11" s="1"/>
  <c r="A331" i="11"/>
  <c r="B331" i="11" s="1"/>
  <c r="A330" i="11"/>
  <c r="B330" i="11" s="1"/>
  <c r="A329" i="11"/>
  <c r="B329" i="11" s="1"/>
  <c r="A328" i="11"/>
  <c r="B328" i="11" s="1"/>
  <c r="A327" i="11"/>
  <c r="B327" i="11" s="1"/>
  <c r="A326" i="11"/>
  <c r="B326" i="11" s="1"/>
  <c r="A325" i="11"/>
  <c r="B325" i="11" s="1"/>
  <c r="A324" i="11"/>
  <c r="B324" i="11" s="1"/>
  <c r="A323" i="11"/>
  <c r="B323" i="11" s="1"/>
  <c r="A322" i="11"/>
  <c r="B322" i="11" s="1"/>
  <c r="A321" i="11"/>
  <c r="B321" i="11" s="1"/>
  <c r="A320" i="11"/>
  <c r="B320" i="11" s="1"/>
  <c r="A319" i="11"/>
  <c r="B319" i="11" s="1"/>
  <c r="A318" i="11"/>
  <c r="B318" i="11" s="1"/>
  <c r="A317" i="11"/>
  <c r="B317" i="11" s="1"/>
  <c r="A316" i="11"/>
  <c r="B316" i="11" s="1"/>
  <c r="A315" i="11"/>
  <c r="B315" i="11" s="1"/>
  <c r="A314" i="11"/>
  <c r="B314" i="11" s="1"/>
  <c r="A313" i="11"/>
  <c r="B313" i="11" s="1"/>
  <c r="A312" i="11"/>
  <c r="B312" i="11" s="1"/>
  <c r="A311" i="11"/>
  <c r="B311" i="11" s="1"/>
  <c r="A310" i="11"/>
  <c r="B310" i="11" s="1"/>
  <c r="A309" i="11"/>
  <c r="B309" i="11" s="1"/>
  <c r="A308" i="11"/>
  <c r="B308" i="11" s="1"/>
  <c r="A307" i="11"/>
  <c r="B307" i="11" s="1"/>
  <c r="A306" i="11"/>
  <c r="B306" i="11" s="1"/>
  <c r="A305" i="11"/>
  <c r="B305" i="11" s="1"/>
  <c r="A304" i="11"/>
  <c r="B304" i="11" s="1"/>
  <c r="A303" i="11"/>
  <c r="B303" i="11" s="1"/>
  <c r="A302" i="11"/>
  <c r="B302" i="11" s="1"/>
  <c r="A301" i="11"/>
  <c r="B301" i="11" s="1"/>
  <c r="A300" i="11"/>
  <c r="B300" i="11" s="1"/>
  <c r="A299" i="11"/>
  <c r="B299" i="11" s="1"/>
  <c r="Y298" i="11"/>
  <c r="X298" i="11"/>
  <c r="Q298" i="11"/>
  <c r="P298" i="11"/>
  <c r="I298" i="11"/>
  <c r="H298" i="11"/>
  <c r="A294" i="11"/>
  <c r="B294" i="11" s="1"/>
  <c r="A293" i="11"/>
  <c r="B293" i="11" s="1"/>
  <c r="A292" i="11"/>
  <c r="B292" i="11" s="1"/>
  <c r="A291" i="11"/>
  <c r="B291" i="11" s="1"/>
  <c r="A290" i="11"/>
  <c r="B290" i="11" s="1"/>
  <c r="A289" i="11"/>
  <c r="B289" i="11" s="1"/>
  <c r="B288" i="11"/>
  <c r="A288" i="11"/>
  <c r="A287" i="11"/>
  <c r="B287" i="11" s="1"/>
  <c r="A286" i="11"/>
  <c r="B286" i="11" s="1"/>
  <c r="A285" i="11"/>
  <c r="B285" i="11" s="1"/>
  <c r="A284" i="11"/>
  <c r="B284" i="11" s="1"/>
  <c r="A283" i="11"/>
  <c r="B283" i="11" s="1"/>
  <c r="A282" i="11"/>
  <c r="B282" i="11" s="1"/>
  <c r="A281" i="11"/>
  <c r="B281" i="11" s="1"/>
  <c r="A280" i="11"/>
  <c r="B280" i="11" s="1"/>
  <c r="A279" i="11"/>
  <c r="B279" i="11" s="1"/>
  <c r="A278" i="11"/>
  <c r="B278" i="11" s="1"/>
  <c r="A277" i="11"/>
  <c r="B277" i="11" s="1"/>
  <c r="A276" i="11"/>
  <c r="B276" i="11" s="1"/>
  <c r="A275" i="11"/>
  <c r="B275" i="11" s="1"/>
  <c r="A274" i="11"/>
  <c r="B274" i="11" s="1"/>
  <c r="A273" i="11"/>
  <c r="B273" i="11" s="1"/>
  <c r="A272" i="11"/>
  <c r="B272" i="11" s="1"/>
  <c r="A271" i="11"/>
  <c r="B271" i="11" s="1"/>
  <c r="A270" i="11"/>
  <c r="B270" i="11" s="1"/>
  <c r="A269" i="11"/>
  <c r="B269" i="11" s="1"/>
  <c r="A268" i="11"/>
  <c r="B268" i="11" s="1"/>
  <c r="A267" i="11"/>
  <c r="B267" i="11" s="1"/>
  <c r="A266" i="11"/>
  <c r="B266" i="11" s="1"/>
  <c r="A265" i="11"/>
  <c r="B265" i="11" s="1"/>
  <c r="A264" i="11"/>
  <c r="B264" i="11" s="1"/>
  <c r="A263" i="11"/>
  <c r="B263" i="11" s="1"/>
  <c r="A262" i="11"/>
  <c r="B262" i="11" s="1"/>
  <c r="A261" i="11"/>
  <c r="B261" i="11" s="1"/>
  <c r="A260" i="11"/>
  <c r="B260" i="11" s="1"/>
  <c r="A259" i="11"/>
  <c r="B259" i="11" s="1"/>
  <c r="A258" i="11"/>
  <c r="B258" i="11" s="1"/>
  <c r="A257" i="11"/>
  <c r="B257" i="11" s="1"/>
  <c r="A256" i="11"/>
  <c r="B256" i="11" s="1"/>
  <c r="A255" i="11"/>
  <c r="B255" i="11" s="1"/>
  <c r="A254" i="11"/>
  <c r="B254" i="11" s="1"/>
  <c r="A253" i="11"/>
  <c r="B253" i="11" s="1"/>
  <c r="A252" i="11"/>
  <c r="B252" i="11" s="1"/>
  <c r="A251" i="11"/>
  <c r="B251" i="11" s="1"/>
  <c r="A250" i="11"/>
  <c r="B250" i="11" s="1"/>
  <c r="BM249" i="11"/>
  <c r="BK249" i="11"/>
  <c r="AG249" i="11"/>
  <c r="AE249" i="11"/>
  <c r="A245" i="11"/>
  <c r="B245" i="11" s="1"/>
  <c r="A244" i="11"/>
  <c r="B244" i="11" s="1"/>
  <c r="A243" i="11"/>
  <c r="B243" i="11" s="1"/>
  <c r="A242" i="11"/>
  <c r="B242" i="11" s="1"/>
  <c r="A241" i="11"/>
  <c r="B241" i="11" s="1"/>
  <c r="A240" i="11"/>
  <c r="B240" i="11" s="1"/>
  <c r="A239" i="11"/>
  <c r="B239" i="11" s="1"/>
  <c r="A238" i="11"/>
  <c r="B238" i="11" s="1"/>
  <c r="A237" i="11"/>
  <c r="B237" i="11" s="1"/>
  <c r="A236" i="11"/>
  <c r="B236" i="11" s="1"/>
  <c r="A235" i="11"/>
  <c r="B235" i="11" s="1"/>
  <c r="A234" i="11"/>
  <c r="B234" i="11" s="1"/>
  <c r="A233" i="11"/>
  <c r="B233" i="11" s="1"/>
  <c r="A232" i="11"/>
  <c r="B232" i="11" s="1"/>
  <c r="A231" i="11"/>
  <c r="B231" i="11" s="1"/>
  <c r="A230" i="11"/>
  <c r="B230" i="11" s="1"/>
  <c r="A229" i="11"/>
  <c r="B229" i="11" s="1"/>
  <c r="A228" i="11"/>
  <c r="B228" i="11" s="1"/>
  <c r="A227" i="11"/>
  <c r="B227" i="11" s="1"/>
  <c r="A226" i="11"/>
  <c r="B226" i="11" s="1"/>
  <c r="A225" i="11"/>
  <c r="B225" i="11" s="1"/>
  <c r="A224" i="11"/>
  <c r="B224" i="11" s="1"/>
  <c r="A223" i="11"/>
  <c r="B223" i="11" s="1"/>
  <c r="A222" i="11"/>
  <c r="B222" i="11" s="1"/>
  <c r="A221" i="11"/>
  <c r="B221" i="11" s="1"/>
  <c r="A220" i="11"/>
  <c r="B220" i="11" s="1"/>
  <c r="A219" i="11"/>
  <c r="B219" i="11" s="1"/>
  <c r="A218" i="11"/>
  <c r="B218" i="11" s="1"/>
  <c r="A217" i="11"/>
  <c r="B217" i="11" s="1"/>
  <c r="A216" i="11"/>
  <c r="B216" i="11" s="1"/>
  <c r="A215" i="11"/>
  <c r="B215" i="11" s="1"/>
  <c r="A214" i="11"/>
  <c r="B214" i="11" s="1"/>
  <c r="A213" i="11"/>
  <c r="B213" i="11" s="1"/>
  <c r="A212" i="11"/>
  <c r="B212" i="11" s="1"/>
  <c r="B211" i="11"/>
  <c r="A211" i="11"/>
  <c r="A210" i="11"/>
  <c r="B210" i="11" s="1"/>
  <c r="A209" i="11"/>
  <c r="B209" i="11" s="1"/>
  <c r="A208" i="11"/>
  <c r="B208" i="11" s="1"/>
  <c r="A207" i="11"/>
  <c r="B207" i="11" s="1"/>
  <c r="A206" i="11"/>
  <c r="B206" i="11" s="1"/>
  <c r="A205" i="11"/>
  <c r="B205" i="11" s="1"/>
  <c r="A204" i="11"/>
  <c r="B204" i="11" s="1"/>
  <c r="A203" i="11"/>
  <c r="B203" i="11" s="1"/>
  <c r="A202" i="11"/>
  <c r="B202" i="11" s="1"/>
  <c r="A201" i="11"/>
  <c r="B201" i="11" s="1"/>
  <c r="CS200" i="11"/>
  <c r="CQ200" i="11"/>
  <c r="BM200" i="11"/>
  <c r="BK200" i="11"/>
  <c r="AG200" i="11"/>
  <c r="AE200" i="11"/>
  <c r="B5" i="11"/>
  <c r="A55" i="10"/>
  <c r="B55" i="10" s="1"/>
  <c r="A54" i="10"/>
  <c r="B54" i="10" s="1"/>
  <c r="A53" i="10"/>
  <c r="B53" i="10" s="1"/>
  <c r="A52" i="10"/>
  <c r="A51" i="10"/>
  <c r="B51" i="10" s="1"/>
  <c r="A50" i="10"/>
  <c r="B50" i="10" s="1"/>
  <c r="A49" i="10"/>
  <c r="A48" i="10"/>
  <c r="B48" i="10" s="1"/>
  <c r="A47" i="10"/>
  <c r="A46" i="10"/>
  <c r="B46" i="10" s="1"/>
  <c r="A45" i="10"/>
  <c r="A44" i="10"/>
  <c r="B44" i="10" s="1"/>
  <c r="A43" i="10"/>
  <c r="B43" i="10" s="1"/>
  <c r="A42" i="10"/>
  <c r="A41" i="10"/>
  <c r="B41" i="10" s="1"/>
  <c r="A40" i="10"/>
  <c r="A39" i="10"/>
  <c r="B39" i="10" s="1"/>
  <c r="A38" i="10"/>
  <c r="B38" i="10" s="1"/>
  <c r="A37" i="10"/>
  <c r="B37" i="10" s="1"/>
  <c r="A36" i="10"/>
  <c r="A35" i="10"/>
  <c r="A34" i="10"/>
  <c r="B34" i="10" s="1"/>
  <c r="A33" i="10"/>
  <c r="A32" i="10"/>
  <c r="B32" i="10" s="1"/>
  <c r="A31" i="10"/>
  <c r="A30" i="10"/>
  <c r="B30" i="10" s="1"/>
  <c r="A29" i="10"/>
  <c r="B29" i="10" s="1"/>
  <c r="A28" i="10"/>
  <c r="B28" i="10" s="1"/>
  <c r="A27" i="10"/>
  <c r="B27" i="10" s="1"/>
  <c r="A26" i="10"/>
  <c r="A25" i="10"/>
  <c r="B25" i="10" s="1"/>
  <c r="A24" i="10"/>
  <c r="A23" i="10"/>
  <c r="B23" i="10" s="1"/>
  <c r="A22" i="10"/>
  <c r="B22" i="10" s="1"/>
  <c r="A21" i="10"/>
  <c r="B21" i="10" s="1"/>
  <c r="A20" i="10"/>
  <c r="A19" i="10"/>
  <c r="B19" i="10" s="1"/>
  <c r="A18" i="10"/>
  <c r="B18" i="10" s="1"/>
  <c r="A17" i="10"/>
  <c r="B17" i="10" s="1"/>
  <c r="A16" i="10"/>
  <c r="B16" i="10" s="1"/>
  <c r="A15" i="10"/>
  <c r="A14" i="10"/>
  <c r="B14" i="10" s="1"/>
  <c r="A13" i="10"/>
  <c r="A12" i="10"/>
  <c r="B12" i="10" s="1"/>
  <c r="A11" i="10"/>
  <c r="B11" i="10" s="1"/>
  <c r="B4" i="10"/>
  <c r="A53" i="9"/>
  <c r="A52" i="9"/>
  <c r="B52" i="9" s="1"/>
  <c r="A51" i="9"/>
  <c r="A50" i="9"/>
  <c r="A49" i="9"/>
  <c r="B49" i="9" s="1"/>
  <c r="A48" i="9"/>
  <c r="B48" i="9" s="1"/>
  <c r="A47" i="9"/>
  <c r="A46" i="9"/>
  <c r="A45" i="9"/>
  <c r="A44" i="9"/>
  <c r="B44" i="9" s="1"/>
  <c r="A43" i="9"/>
  <c r="B43" i="9" s="1"/>
  <c r="A42" i="9"/>
  <c r="A41" i="9"/>
  <c r="B40" i="9"/>
  <c r="A40" i="9"/>
  <c r="A39" i="9"/>
  <c r="A38" i="9"/>
  <c r="B38" i="9" s="1"/>
  <c r="A37" i="9"/>
  <c r="A36" i="9"/>
  <c r="B36" i="9" s="1"/>
  <c r="A35" i="9"/>
  <c r="B35" i="9" s="1"/>
  <c r="A34" i="9"/>
  <c r="B34" i="9" s="1"/>
  <c r="A33" i="9"/>
  <c r="B33" i="9" s="1"/>
  <c r="A32" i="9"/>
  <c r="A31" i="9"/>
  <c r="A30" i="9"/>
  <c r="A29" i="9"/>
  <c r="A28" i="9"/>
  <c r="B28" i="9" s="1"/>
  <c r="B27" i="9"/>
  <c r="A27" i="9"/>
  <c r="B26" i="9"/>
  <c r="A26" i="9"/>
  <c r="A25" i="9"/>
  <c r="B25" i="9" s="1"/>
  <c r="A24" i="9"/>
  <c r="A23" i="9"/>
  <c r="A22" i="9"/>
  <c r="B22" i="9" s="1"/>
  <c r="A21" i="9"/>
  <c r="B21" i="9" s="1"/>
  <c r="A20" i="9"/>
  <c r="A19" i="9"/>
  <c r="A18" i="9"/>
  <c r="A17" i="9"/>
  <c r="B17" i="9" s="1"/>
  <c r="A16" i="9"/>
  <c r="B16" i="9" s="1"/>
  <c r="A15" i="9"/>
  <c r="B15" i="9" s="1"/>
  <c r="B14" i="9"/>
  <c r="A14" i="9"/>
  <c r="A13" i="9"/>
  <c r="A12" i="9"/>
  <c r="B12" i="9" s="1"/>
  <c r="A11" i="9"/>
  <c r="B11" i="9" s="1"/>
  <c r="A10" i="9"/>
  <c r="A9" i="9"/>
  <c r="B9" i="9" s="1"/>
  <c r="K8" i="9"/>
  <c r="E8" i="9"/>
  <c r="C8" i="9"/>
  <c r="C9" i="9" s="1"/>
  <c r="E5" i="9"/>
  <c r="B5" i="9"/>
  <c r="A1106" i="8"/>
  <c r="A1105" i="8"/>
  <c r="A1104" i="8"/>
  <c r="A1103" i="8"/>
  <c r="A1102" i="8"/>
  <c r="A1101" i="8"/>
  <c r="A1100" i="8"/>
  <c r="A1099" i="8"/>
  <c r="A1098" i="8"/>
  <c r="A1097" i="8"/>
  <c r="A1096" i="8"/>
  <c r="A1095" i="8"/>
  <c r="A1094" i="8"/>
  <c r="A1093" i="8"/>
  <c r="A1092" i="8"/>
  <c r="A1091" i="8"/>
  <c r="A1090" i="8"/>
  <c r="A1089" i="8"/>
  <c r="A1088" i="8"/>
  <c r="A1087" i="8"/>
  <c r="A1086" i="8"/>
  <c r="A1085" i="8"/>
  <c r="A1084" i="8"/>
  <c r="A1083" i="8"/>
  <c r="A1082" i="8"/>
  <c r="A1081" i="8"/>
  <c r="A1080" i="8"/>
  <c r="A1079" i="8"/>
  <c r="A1078" i="8"/>
  <c r="A1077" i="8"/>
  <c r="A1076" i="8"/>
  <c r="A1075" i="8"/>
  <c r="A1074" i="8"/>
  <c r="A1073" i="8"/>
  <c r="A1072" i="8"/>
  <c r="A1071" i="8"/>
  <c r="A1070" i="8"/>
  <c r="A1069" i="8"/>
  <c r="A1068" i="8"/>
  <c r="A1067" i="8"/>
  <c r="A1066" i="8"/>
  <c r="A1065" i="8"/>
  <c r="A1064" i="8"/>
  <c r="A1063" i="8"/>
  <c r="A1062" i="8"/>
  <c r="A1061" i="8"/>
  <c r="A1060" i="8"/>
  <c r="A1059" i="8"/>
  <c r="A1051" i="8"/>
  <c r="A1050" i="8"/>
  <c r="A1049" i="8"/>
  <c r="A1048" i="8"/>
  <c r="A1047" i="8"/>
  <c r="A1046" i="8"/>
  <c r="A1045" i="8"/>
  <c r="A1044" i="8"/>
  <c r="A1043" i="8"/>
  <c r="A1042" i="8"/>
  <c r="A1041" i="8"/>
  <c r="A1040" i="8"/>
  <c r="A1039" i="8"/>
  <c r="A1038" i="8"/>
  <c r="A1037" i="8"/>
  <c r="A1036" i="8"/>
  <c r="A1035" i="8"/>
  <c r="A1034" i="8"/>
  <c r="A1033" i="8"/>
  <c r="A1032" i="8"/>
  <c r="A1031" i="8"/>
  <c r="A1030" i="8"/>
  <c r="A1029" i="8"/>
  <c r="A1028" i="8"/>
  <c r="A1027" i="8"/>
  <c r="A1026" i="8"/>
  <c r="A1025" i="8"/>
  <c r="A1024" i="8"/>
  <c r="A1023" i="8"/>
  <c r="A1022" i="8"/>
  <c r="A1021" i="8"/>
  <c r="A1020" i="8"/>
  <c r="A1019" i="8"/>
  <c r="A1018" i="8"/>
  <c r="A1017" i="8"/>
  <c r="A1016" i="8"/>
  <c r="A1015" i="8"/>
  <c r="A1014" i="8"/>
  <c r="A1013" i="8"/>
  <c r="A1012" i="8"/>
  <c r="A1011" i="8"/>
  <c r="A1010" i="8"/>
  <c r="A1009" i="8"/>
  <c r="A1008" i="8"/>
  <c r="A1007" i="8"/>
  <c r="A1006" i="8"/>
  <c r="A1005" i="8"/>
  <c r="A1004" i="8"/>
  <c r="A996" i="8"/>
  <c r="A995" i="8"/>
  <c r="A994" i="8"/>
  <c r="A993" i="8"/>
  <c r="A992" i="8"/>
  <c r="A991" i="8"/>
  <c r="A990" i="8"/>
  <c r="A989" i="8"/>
  <c r="A988" i="8"/>
  <c r="A987" i="8"/>
  <c r="A986" i="8"/>
  <c r="A985" i="8"/>
  <c r="A984" i="8"/>
  <c r="A983" i="8"/>
  <c r="A982" i="8"/>
  <c r="A981" i="8"/>
  <c r="A980" i="8"/>
  <c r="A979" i="8"/>
  <c r="A978" i="8"/>
  <c r="A977" i="8"/>
  <c r="A976" i="8"/>
  <c r="A975" i="8"/>
  <c r="A974" i="8"/>
  <c r="A973" i="8"/>
  <c r="A972" i="8"/>
  <c r="A971" i="8"/>
  <c r="A970" i="8"/>
  <c r="A969" i="8"/>
  <c r="A968" i="8"/>
  <c r="A967" i="8"/>
  <c r="A966" i="8"/>
  <c r="A965" i="8"/>
  <c r="A964" i="8"/>
  <c r="A963" i="8"/>
  <c r="A962" i="8"/>
  <c r="A961" i="8"/>
  <c r="A960" i="8"/>
  <c r="A959" i="8"/>
  <c r="A958" i="8"/>
  <c r="A957" i="8"/>
  <c r="A956" i="8"/>
  <c r="A955" i="8"/>
  <c r="A954" i="8"/>
  <c r="A953" i="8"/>
  <c r="A952" i="8"/>
  <c r="A951" i="8"/>
  <c r="A950" i="8"/>
  <c r="A949" i="8"/>
  <c r="A941" i="8"/>
  <c r="A940" i="8"/>
  <c r="A939" i="8"/>
  <c r="A938" i="8"/>
  <c r="A937" i="8"/>
  <c r="A936" i="8"/>
  <c r="A935" i="8"/>
  <c r="A934" i="8"/>
  <c r="A933" i="8"/>
  <c r="A932" i="8"/>
  <c r="A931" i="8"/>
  <c r="A930" i="8"/>
  <c r="A929" i="8"/>
  <c r="A928" i="8"/>
  <c r="A927" i="8"/>
  <c r="A926" i="8"/>
  <c r="A925" i="8"/>
  <c r="A924" i="8"/>
  <c r="A923" i="8"/>
  <c r="A922" i="8"/>
  <c r="A921" i="8"/>
  <c r="A920" i="8"/>
  <c r="A919" i="8"/>
  <c r="A918" i="8"/>
  <c r="A917" i="8"/>
  <c r="A916" i="8"/>
  <c r="A915" i="8"/>
  <c r="A914" i="8"/>
  <c r="A913" i="8"/>
  <c r="A912" i="8"/>
  <c r="A911" i="8"/>
  <c r="A910" i="8"/>
  <c r="A909" i="8"/>
  <c r="A908" i="8"/>
  <c r="A907" i="8"/>
  <c r="A906" i="8"/>
  <c r="A905" i="8"/>
  <c r="A904" i="8"/>
  <c r="A903" i="8"/>
  <c r="A902" i="8"/>
  <c r="A901" i="8"/>
  <c r="A900" i="8"/>
  <c r="A899" i="8"/>
  <c r="A898" i="8"/>
  <c r="A897" i="8"/>
  <c r="A896" i="8"/>
  <c r="A895" i="8"/>
  <c r="A894" i="8"/>
  <c r="A886" i="8"/>
  <c r="A885" i="8"/>
  <c r="A884" i="8"/>
  <c r="A883" i="8"/>
  <c r="A882" i="8"/>
  <c r="A881" i="8"/>
  <c r="A880" i="8"/>
  <c r="A879" i="8"/>
  <c r="A878" i="8"/>
  <c r="A877" i="8"/>
  <c r="A876" i="8"/>
  <c r="A875" i="8"/>
  <c r="A874" i="8"/>
  <c r="A873" i="8"/>
  <c r="A872" i="8"/>
  <c r="A871" i="8"/>
  <c r="A870" i="8"/>
  <c r="A869" i="8"/>
  <c r="A868" i="8"/>
  <c r="A867" i="8"/>
  <c r="A866" i="8"/>
  <c r="A865" i="8"/>
  <c r="A864" i="8"/>
  <c r="A863" i="8"/>
  <c r="A862" i="8"/>
  <c r="A861" i="8"/>
  <c r="A860" i="8"/>
  <c r="A859" i="8"/>
  <c r="A858" i="8"/>
  <c r="A857" i="8"/>
  <c r="A856" i="8"/>
  <c r="A855" i="8"/>
  <c r="A854" i="8"/>
  <c r="A853" i="8"/>
  <c r="A852" i="8"/>
  <c r="A851" i="8"/>
  <c r="A850" i="8"/>
  <c r="A849" i="8"/>
  <c r="A848" i="8"/>
  <c r="A847" i="8"/>
  <c r="A846" i="8"/>
  <c r="A845" i="8"/>
  <c r="A844" i="8"/>
  <c r="A843" i="8"/>
  <c r="A842" i="8"/>
  <c r="A841" i="8"/>
  <c r="A840" i="8"/>
  <c r="A839" i="8"/>
  <c r="A831" i="8"/>
  <c r="A830" i="8"/>
  <c r="A829" i="8"/>
  <c r="A828" i="8"/>
  <c r="A827" i="8"/>
  <c r="A826" i="8"/>
  <c r="A825" i="8"/>
  <c r="A824" i="8"/>
  <c r="A823" i="8"/>
  <c r="A822" i="8"/>
  <c r="A821" i="8"/>
  <c r="A820" i="8"/>
  <c r="A819" i="8"/>
  <c r="A818" i="8"/>
  <c r="A817" i="8"/>
  <c r="A816" i="8"/>
  <c r="A815" i="8"/>
  <c r="A814" i="8"/>
  <c r="A813" i="8"/>
  <c r="A812" i="8"/>
  <c r="A811" i="8"/>
  <c r="A810" i="8"/>
  <c r="A809" i="8"/>
  <c r="A808" i="8"/>
  <c r="A807" i="8"/>
  <c r="A806" i="8"/>
  <c r="A805" i="8"/>
  <c r="A804" i="8"/>
  <c r="A803" i="8"/>
  <c r="A802" i="8"/>
  <c r="A801" i="8"/>
  <c r="A800" i="8"/>
  <c r="A799" i="8"/>
  <c r="A798" i="8"/>
  <c r="A797" i="8"/>
  <c r="A796" i="8"/>
  <c r="A795" i="8"/>
  <c r="A794" i="8"/>
  <c r="A793" i="8"/>
  <c r="A792" i="8"/>
  <c r="A791" i="8"/>
  <c r="A790" i="8"/>
  <c r="A789" i="8"/>
  <c r="A788" i="8"/>
  <c r="A787" i="8"/>
  <c r="A786" i="8"/>
  <c r="A785" i="8"/>
  <c r="A784" i="8"/>
  <c r="A776" i="8"/>
  <c r="A775" i="8"/>
  <c r="A774" i="8"/>
  <c r="W774" i="8" s="1"/>
  <c r="A773" i="8"/>
  <c r="A772" i="8"/>
  <c r="A771" i="8"/>
  <c r="A770" i="8"/>
  <c r="A769" i="8"/>
  <c r="A768" i="8"/>
  <c r="A767" i="8"/>
  <c r="A766" i="8"/>
  <c r="A765" i="8"/>
  <c r="A764" i="8"/>
  <c r="A763" i="8"/>
  <c r="A762" i="8"/>
  <c r="A761" i="8"/>
  <c r="A760" i="8"/>
  <c r="A759" i="8"/>
  <c r="A758" i="8"/>
  <c r="A757" i="8"/>
  <c r="A756" i="8"/>
  <c r="A755" i="8"/>
  <c r="A754" i="8"/>
  <c r="A753" i="8"/>
  <c r="A752" i="8"/>
  <c r="A751" i="8"/>
  <c r="A750" i="8"/>
  <c r="A749" i="8"/>
  <c r="A748" i="8"/>
  <c r="A747" i="8"/>
  <c r="A746" i="8"/>
  <c r="A745" i="8"/>
  <c r="A744" i="8"/>
  <c r="A743" i="8"/>
  <c r="A742" i="8"/>
  <c r="A741" i="8"/>
  <c r="A740" i="8"/>
  <c r="A739" i="8"/>
  <c r="A738" i="8"/>
  <c r="A737" i="8"/>
  <c r="A736" i="8"/>
  <c r="A735" i="8"/>
  <c r="A734" i="8"/>
  <c r="A733" i="8"/>
  <c r="A732" i="8"/>
  <c r="A731" i="8"/>
  <c r="A730" i="8"/>
  <c r="A729" i="8"/>
  <c r="A721" i="8"/>
  <c r="A720" i="8"/>
  <c r="A719" i="8"/>
  <c r="A718" i="8"/>
  <c r="A717" i="8"/>
  <c r="A716" i="8"/>
  <c r="A715" i="8"/>
  <c r="A714" i="8"/>
  <c r="A713" i="8"/>
  <c r="A712" i="8"/>
  <c r="A711" i="8"/>
  <c r="A710" i="8"/>
  <c r="A709" i="8"/>
  <c r="A708" i="8"/>
  <c r="A707" i="8"/>
  <c r="A706" i="8"/>
  <c r="A705" i="8"/>
  <c r="A704" i="8"/>
  <c r="A703" i="8"/>
  <c r="A702" i="8"/>
  <c r="A701" i="8"/>
  <c r="A700" i="8"/>
  <c r="A699" i="8"/>
  <c r="A698" i="8"/>
  <c r="A697" i="8"/>
  <c r="A696" i="8"/>
  <c r="A695" i="8"/>
  <c r="A694" i="8"/>
  <c r="A693" i="8"/>
  <c r="A692" i="8"/>
  <c r="A691" i="8"/>
  <c r="A690" i="8"/>
  <c r="A689" i="8"/>
  <c r="A688" i="8"/>
  <c r="A687" i="8"/>
  <c r="A686" i="8"/>
  <c r="A685" i="8"/>
  <c r="A684" i="8"/>
  <c r="A683" i="8"/>
  <c r="A682" i="8"/>
  <c r="A681" i="8"/>
  <c r="A680" i="8"/>
  <c r="A679" i="8"/>
  <c r="A678" i="8"/>
  <c r="A677" i="8"/>
  <c r="A676" i="8"/>
  <c r="A675" i="8"/>
  <c r="A674" i="8"/>
  <c r="A666" i="8"/>
  <c r="A665" i="8"/>
  <c r="A664" i="8"/>
  <c r="A663" i="8"/>
  <c r="A662" i="8"/>
  <c r="A661" i="8"/>
  <c r="A660" i="8"/>
  <c r="A659" i="8"/>
  <c r="A658" i="8"/>
  <c r="A657" i="8"/>
  <c r="A656" i="8"/>
  <c r="A655" i="8"/>
  <c r="A654" i="8"/>
  <c r="A653" i="8"/>
  <c r="A652" i="8"/>
  <c r="A651" i="8"/>
  <c r="A650" i="8"/>
  <c r="A649" i="8"/>
  <c r="A648" i="8"/>
  <c r="A647" i="8"/>
  <c r="A646" i="8"/>
  <c r="A645" i="8"/>
  <c r="A644" i="8"/>
  <c r="A643" i="8"/>
  <c r="A642" i="8"/>
  <c r="A641" i="8"/>
  <c r="A640" i="8"/>
  <c r="A639" i="8"/>
  <c r="A638" i="8"/>
  <c r="A637" i="8"/>
  <c r="A636" i="8"/>
  <c r="A635" i="8"/>
  <c r="A634" i="8"/>
  <c r="A633" i="8"/>
  <c r="A632" i="8"/>
  <c r="A631" i="8"/>
  <c r="A630" i="8"/>
  <c r="A629" i="8"/>
  <c r="A628" i="8"/>
  <c r="A627" i="8"/>
  <c r="A626" i="8"/>
  <c r="A625" i="8"/>
  <c r="A624" i="8"/>
  <c r="A623" i="8"/>
  <c r="A622" i="8"/>
  <c r="A621" i="8"/>
  <c r="A620" i="8"/>
  <c r="A619" i="8"/>
  <c r="A611" i="8"/>
  <c r="A610" i="8"/>
  <c r="A609" i="8"/>
  <c r="A608" i="8"/>
  <c r="A607" i="8"/>
  <c r="A606" i="8"/>
  <c r="A605" i="8"/>
  <c r="A604" i="8"/>
  <c r="A603" i="8"/>
  <c r="A602" i="8"/>
  <c r="A601" i="8"/>
  <c r="A600" i="8"/>
  <c r="A599" i="8"/>
  <c r="A598" i="8"/>
  <c r="A597" i="8"/>
  <c r="A596" i="8"/>
  <c r="A595" i="8"/>
  <c r="A594" i="8"/>
  <c r="A593" i="8"/>
  <c r="A592" i="8"/>
  <c r="A591" i="8"/>
  <c r="A590" i="8"/>
  <c r="A589" i="8"/>
  <c r="A588" i="8"/>
  <c r="A587" i="8"/>
  <c r="A586" i="8"/>
  <c r="A585" i="8"/>
  <c r="A584" i="8"/>
  <c r="A583" i="8"/>
  <c r="A582" i="8"/>
  <c r="A581" i="8"/>
  <c r="A580" i="8"/>
  <c r="A579" i="8"/>
  <c r="A578" i="8"/>
  <c r="A577" i="8"/>
  <c r="A576" i="8"/>
  <c r="A575" i="8"/>
  <c r="A574" i="8"/>
  <c r="A573" i="8"/>
  <c r="A572" i="8"/>
  <c r="A571" i="8"/>
  <c r="A570" i="8"/>
  <c r="A569" i="8"/>
  <c r="A568" i="8"/>
  <c r="A567" i="8"/>
  <c r="A566" i="8"/>
  <c r="A565" i="8"/>
  <c r="A564" i="8"/>
  <c r="A556" i="8"/>
  <c r="A555" i="8"/>
  <c r="A554" i="8"/>
  <c r="A553" i="8"/>
  <c r="A552" i="8"/>
  <c r="A551" i="8"/>
  <c r="A550" i="8"/>
  <c r="A549" i="8"/>
  <c r="A548" i="8"/>
  <c r="A547" i="8"/>
  <c r="A546" i="8"/>
  <c r="A545" i="8"/>
  <c r="A544" i="8"/>
  <c r="A543" i="8"/>
  <c r="A542" i="8"/>
  <c r="A541" i="8"/>
  <c r="A540" i="8"/>
  <c r="A539" i="8"/>
  <c r="A538" i="8"/>
  <c r="A537" i="8"/>
  <c r="A536" i="8"/>
  <c r="A535" i="8"/>
  <c r="A534" i="8"/>
  <c r="A533" i="8"/>
  <c r="A532" i="8"/>
  <c r="A531" i="8"/>
  <c r="A530" i="8"/>
  <c r="A529" i="8"/>
  <c r="A528" i="8"/>
  <c r="A527" i="8"/>
  <c r="A526" i="8"/>
  <c r="A525" i="8"/>
  <c r="A524" i="8"/>
  <c r="A523" i="8"/>
  <c r="A522" i="8"/>
  <c r="A521" i="8"/>
  <c r="A520" i="8"/>
  <c r="A519" i="8"/>
  <c r="A518" i="8"/>
  <c r="A517" i="8"/>
  <c r="A516" i="8"/>
  <c r="A515" i="8"/>
  <c r="A514" i="8"/>
  <c r="A513" i="8"/>
  <c r="A512" i="8"/>
  <c r="A511" i="8"/>
  <c r="A510" i="8"/>
  <c r="A509" i="8"/>
  <c r="A501" i="8"/>
  <c r="A500" i="8"/>
  <c r="A499" i="8"/>
  <c r="A498" i="8"/>
  <c r="A497" i="8"/>
  <c r="A496" i="8"/>
  <c r="A495" i="8"/>
  <c r="A494" i="8"/>
  <c r="A493" i="8"/>
  <c r="A492" i="8"/>
  <c r="A491" i="8"/>
  <c r="A490" i="8"/>
  <c r="A489" i="8"/>
  <c r="A488" i="8"/>
  <c r="A487" i="8"/>
  <c r="A486" i="8"/>
  <c r="A485" i="8"/>
  <c r="A484" i="8"/>
  <c r="A483" i="8"/>
  <c r="A482" i="8"/>
  <c r="A481" i="8"/>
  <c r="A480" i="8"/>
  <c r="A479" i="8"/>
  <c r="A478" i="8"/>
  <c r="A477" i="8"/>
  <c r="A476" i="8"/>
  <c r="A475" i="8"/>
  <c r="A474" i="8"/>
  <c r="A473" i="8"/>
  <c r="A472" i="8"/>
  <c r="A471" i="8"/>
  <c r="A470" i="8"/>
  <c r="A469" i="8"/>
  <c r="A468" i="8"/>
  <c r="A467" i="8"/>
  <c r="A466" i="8"/>
  <c r="A465" i="8"/>
  <c r="A464" i="8"/>
  <c r="A463" i="8"/>
  <c r="A462" i="8"/>
  <c r="A461" i="8"/>
  <c r="A460" i="8"/>
  <c r="A459" i="8"/>
  <c r="A458" i="8"/>
  <c r="A457" i="8"/>
  <c r="A456" i="8"/>
  <c r="A455" i="8"/>
  <c r="A454" i="8"/>
  <c r="A446" i="8"/>
  <c r="A445" i="8"/>
  <c r="A444" i="8"/>
  <c r="A443" i="8"/>
  <c r="A442" i="8"/>
  <c r="A441" i="8"/>
  <c r="A440" i="8"/>
  <c r="A439" i="8"/>
  <c r="A438" i="8"/>
  <c r="A437" i="8"/>
  <c r="A436" i="8"/>
  <c r="A435" i="8"/>
  <c r="A434" i="8"/>
  <c r="A433" i="8"/>
  <c r="A432" i="8"/>
  <c r="A431" i="8"/>
  <c r="A430" i="8"/>
  <c r="A429" i="8"/>
  <c r="A428" i="8"/>
  <c r="A427" i="8"/>
  <c r="A426" i="8"/>
  <c r="A425" i="8"/>
  <c r="A424" i="8"/>
  <c r="A423" i="8"/>
  <c r="A422" i="8"/>
  <c r="A421" i="8"/>
  <c r="A420" i="8"/>
  <c r="A419" i="8"/>
  <c r="A418" i="8"/>
  <c r="A417" i="8"/>
  <c r="A416" i="8"/>
  <c r="A415" i="8"/>
  <c r="A414" i="8"/>
  <c r="A413" i="8"/>
  <c r="A412" i="8"/>
  <c r="A411" i="8"/>
  <c r="A410" i="8"/>
  <c r="A409" i="8"/>
  <c r="A408" i="8"/>
  <c r="A407" i="8"/>
  <c r="A406" i="8"/>
  <c r="A405" i="8"/>
  <c r="A404" i="8"/>
  <c r="A403" i="8"/>
  <c r="A402" i="8"/>
  <c r="A401" i="8"/>
  <c r="A400" i="8"/>
  <c r="A399" i="8"/>
  <c r="A391" i="8"/>
  <c r="A390" i="8"/>
  <c r="A389" i="8"/>
  <c r="A388" i="8"/>
  <c r="A387" i="8"/>
  <c r="A386" i="8"/>
  <c r="A385" i="8"/>
  <c r="A384" i="8"/>
  <c r="A383" i="8"/>
  <c r="A382" i="8"/>
  <c r="A381" i="8"/>
  <c r="A380" i="8"/>
  <c r="A379" i="8"/>
  <c r="A378" i="8"/>
  <c r="A377" i="8"/>
  <c r="A376" i="8"/>
  <c r="A375" i="8"/>
  <c r="A374" i="8"/>
  <c r="A373" i="8"/>
  <c r="A372" i="8"/>
  <c r="A371" i="8"/>
  <c r="A370" i="8"/>
  <c r="A369" i="8"/>
  <c r="A368" i="8"/>
  <c r="A367" i="8"/>
  <c r="A366" i="8"/>
  <c r="A365" i="8"/>
  <c r="A364" i="8"/>
  <c r="A363" i="8"/>
  <c r="A362" i="8"/>
  <c r="A361" i="8"/>
  <c r="A360" i="8"/>
  <c r="A359" i="8"/>
  <c r="A358" i="8"/>
  <c r="A357" i="8"/>
  <c r="A356" i="8"/>
  <c r="A355" i="8"/>
  <c r="A354" i="8"/>
  <c r="A353" i="8"/>
  <c r="A352" i="8"/>
  <c r="A351" i="8"/>
  <c r="A350" i="8"/>
  <c r="A349" i="8"/>
  <c r="A348" i="8"/>
  <c r="A347" i="8"/>
  <c r="A346" i="8"/>
  <c r="A345" i="8"/>
  <c r="A344" i="8"/>
  <c r="A336" i="8"/>
  <c r="A335" i="8"/>
  <c r="A334" i="8"/>
  <c r="A333" i="8"/>
  <c r="A332" i="8"/>
  <c r="A331" i="8"/>
  <c r="A330" i="8"/>
  <c r="A329" i="8"/>
  <c r="A328" i="8"/>
  <c r="A327" i="8"/>
  <c r="A326" i="8"/>
  <c r="A325" i="8"/>
  <c r="A324" i="8"/>
  <c r="A323" i="8"/>
  <c r="A322" i="8"/>
  <c r="A321" i="8"/>
  <c r="A320" i="8"/>
  <c r="A319" i="8"/>
  <c r="A318" i="8"/>
  <c r="A317" i="8"/>
  <c r="A316" i="8"/>
  <c r="A315" i="8"/>
  <c r="A314" i="8"/>
  <c r="A313" i="8"/>
  <c r="A312" i="8"/>
  <c r="A311" i="8"/>
  <c r="A310" i="8"/>
  <c r="A309" i="8"/>
  <c r="A308" i="8"/>
  <c r="A307" i="8"/>
  <c r="A306" i="8"/>
  <c r="A305" i="8"/>
  <c r="A304" i="8"/>
  <c r="A303" i="8"/>
  <c r="A302" i="8"/>
  <c r="A301" i="8"/>
  <c r="A300" i="8"/>
  <c r="A299" i="8"/>
  <c r="A298" i="8"/>
  <c r="A297" i="8"/>
  <c r="A296" i="8"/>
  <c r="A295" i="8"/>
  <c r="A294" i="8"/>
  <c r="A293" i="8"/>
  <c r="A292" i="8"/>
  <c r="A291" i="8"/>
  <c r="A290" i="8"/>
  <c r="A289" i="8"/>
  <c r="A281" i="8"/>
  <c r="A280" i="8"/>
  <c r="A279" i="8"/>
  <c r="A278" i="8"/>
  <c r="A277" i="8"/>
  <c r="A276" i="8"/>
  <c r="A275" i="8"/>
  <c r="A274" i="8"/>
  <c r="A273" i="8"/>
  <c r="A272" i="8"/>
  <c r="A271" i="8"/>
  <c r="A270" i="8"/>
  <c r="A269" i="8"/>
  <c r="A268" i="8"/>
  <c r="A267" i="8"/>
  <c r="A266" i="8"/>
  <c r="A265" i="8"/>
  <c r="A264" i="8"/>
  <c r="A263" i="8"/>
  <c r="A262" i="8"/>
  <c r="A261" i="8"/>
  <c r="A260" i="8"/>
  <c r="A259" i="8"/>
  <c r="A258" i="8"/>
  <c r="A257" i="8"/>
  <c r="A256" i="8"/>
  <c r="A255" i="8"/>
  <c r="A254" i="8"/>
  <c r="A253" i="8"/>
  <c r="A252" i="8"/>
  <c r="A251" i="8"/>
  <c r="A250" i="8"/>
  <c r="A249" i="8"/>
  <c r="A248" i="8"/>
  <c r="A247" i="8"/>
  <c r="A246" i="8"/>
  <c r="A245" i="8"/>
  <c r="A244" i="8"/>
  <c r="A243" i="8"/>
  <c r="A242" i="8"/>
  <c r="A241" i="8"/>
  <c r="A240" i="8"/>
  <c r="A239" i="8"/>
  <c r="A238" i="8"/>
  <c r="A237" i="8"/>
  <c r="A236" i="8"/>
  <c r="A235" i="8"/>
  <c r="A234" i="8"/>
  <c r="A226" i="8"/>
  <c r="A225" i="8"/>
  <c r="A224" i="8"/>
  <c r="A223" i="8"/>
  <c r="A222" i="8"/>
  <c r="A221" i="8"/>
  <c r="A220" i="8"/>
  <c r="A219" i="8"/>
  <c r="A218" i="8"/>
  <c r="A217" i="8"/>
  <c r="A216" i="8"/>
  <c r="A215" i="8"/>
  <c r="A214" i="8"/>
  <c r="A213" i="8"/>
  <c r="A212" i="8"/>
  <c r="A211" i="8"/>
  <c r="A210" i="8"/>
  <c r="A209" i="8"/>
  <c r="A208" i="8"/>
  <c r="A207" i="8"/>
  <c r="A206" i="8"/>
  <c r="A205" i="8"/>
  <c r="A204" i="8"/>
  <c r="A203" i="8"/>
  <c r="A202" i="8"/>
  <c r="A201" i="8"/>
  <c r="A200" i="8"/>
  <c r="A199" i="8"/>
  <c r="A198" i="8"/>
  <c r="A197" i="8"/>
  <c r="A196" i="8"/>
  <c r="A195" i="8"/>
  <c r="A194" i="8"/>
  <c r="A193" i="8"/>
  <c r="A192" i="8"/>
  <c r="A191" i="8"/>
  <c r="A190" i="8"/>
  <c r="A189" i="8"/>
  <c r="A188" i="8"/>
  <c r="A187" i="8"/>
  <c r="A186" i="8"/>
  <c r="A185" i="8"/>
  <c r="A184" i="8"/>
  <c r="A183" i="8"/>
  <c r="A182" i="8"/>
  <c r="A181" i="8"/>
  <c r="A180" i="8"/>
  <c r="A179"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26" i="7"/>
  <c r="A1225" i="7"/>
  <c r="A1224" i="7"/>
  <c r="A1223" i="7"/>
  <c r="A1222" i="7"/>
  <c r="A1221" i="7"/>
  <c r="A1220" i="7"/>
  <c r="A1219" i="7"/>
  <c r="A1218" i="7"/>
  <c r="A1217" i="7"/>
  <c r="A1216" i="7"/>
  <c r="A1215" i="7"/>
  <c r="A1214" i="7"/>
  <c r="A1213" i="7"/>
  <c r="A1212" i="7"/>
  <c r="A1211" i="7"/>
  <c r="A1210" i="7"/>
  <c r="A1209" i="7"/>
  <c r="A1208" i="7"/>
  <c r="A1207" i="7"/>
  <c r="A1206" i="7"/>
  <c r="A1205" i="7"/>
  <c r="A1204" i="7"/>
  <c r="A1203" i="7"/>
  <c r="A1202" i="7"/>
  <c r="A1201" i="7"/>
  <c r="A1200" i="7"/>
  <c r="A1199" i="7"/>
  <c r="A1198" i="7"/>
  <c r="A1197" i="7"/>
  <c r="A1196" i="7"/>
  <c r="A1195" i="7"/>
  <c r="A1194" i="7"/>
  <c r="A1193" i="7"/>
  <c r="A1192" i="7"/>
  <c r="A1191" i="7"/>
  <c r="A1190" i="7"/>
  <c r="A1189" i="7"/>
  <c r="A1188" i="7"/>
  <c r="A1187" i="7"/>
  <c r="A1186" i="7"/>
  <c r="A1185" i="7"/>
  <c r="A1184" i="7"/>
  <c r="A1183" i="7"/>
  <c r="A1182" i="7"/>
  <c r="A1181" i="7"/>
  <c r="A1180" i="7"/>
  <c r="A1179" i="7"/>
  <c r="A1178" i="7"/>
  <c r="A1177" i="7"/>
  <c r="K1176" i="7"/>
  <c r="J1176" i="7"/>
  <c r="D1176" i="7"/>
  <c r="A1170" i="7"/>
  <c r="A1169" i="7"/>
  <c r="A1168" i="7"/>
  <c r="A1167" i="7"/>
  <c r="A1166" i="7"/>
  <c r="A1165" i="7"/>
  <c r="A1164" i="7"/>
  <c r="A1163" i="7"/>
  <c r="A1162" i="7"/>
  <c r="A1161" i="7"/>
  <c r="A1160" i="7"/>
  <c r="A1159" i="7"/>
  <c r="A1158" i="7"/>
  <c r="A1157" i="7"/>
  <c r="A1156" i="7"/>
  <c r="A1155" i="7"/>
  <c r="A1154" i="7"/>
  <c r="A1153" i="7"/>
  <c r="A1152" i="7"/>
  <c r="A1151" i="7"/>
  <c r="A1150" i="7"/>
  <c r="A1149" i="7"/>
  <c r="A1148" i="7"/>
  <c r="A1147" i="7"/>
  <c r="A1146" i="7"/>
  <c r="A1145" i="7"/>
  <c r="A1144" i="7"/>
  <c r="A1143" i="7"/>
  <c r="A1142" i="7"/>
  <c r="A1141" i="7"/>
  <c r="A1140" i="7"/>
  <c r="A1139" i="7"/>
  <c r="A1138" i="7"/>
  <c r="A1137" i="7"/>
  <c r="A1136" i="7"/>
  <c r="A1135" i="7"/>
  <c r="A1134" i="7"/>
  <c r="A1133" i="7"/>
  <c r="A1132" i="7"/>
  <c r="A1131" i="7"/>
  <c r="A1130" i="7"/>
  <c r="A1129" i="7"/>
  <c r="A1128" i="7"/>
  <c r="A1127" i="7"/>
  <c r="A1126" i="7"/>
  <c r="A1125" i="7"/>
  <c r="A1124" i="7"/>
  <c r="A1123" i="7"/>
  <c r="A1122" i="7"/>
  <c r="A1121" i="7"/>
  <c r="K1120" i="7"/>
  <c r="J1120" i="7"/>
  <c r="D1120" i="7"/>
  <c r="A1114" i="7"/>
  <c r="A1113" i="7"/>
  <c r="A1112" i="7"/>
  <c r="A1111" i="7"/>
  <c r="A1110" i="7"/>
  <c r="A1109" i="7"/>
  <c r="A1108" i="7"/>
  <c r="A1107" i="7"/>
  <c r="A1106" i="7"/>
  <c r="A1105" i="7"/>
  <c r="A1104" i="7"/>
  <c r="A1103" i="7"/>
  <c r="A1102" i="7"/>
  <c r="A1101" i="7"/>
  <c r="A1100" i="7"/>
  <c r="A1099" i="7"/>
  <c r="A1098" i="7"/>
  <c r="A1097" i="7"/>
  <c r="A1096" i="7"/>
  <c r="A1095" i="7"/>
  <c r="A1094" i="7"/>
  <c r="A1093" i="7"/>
  <c r="A1092" i="7"/>
  <c r="A1091" i="7"/>
  <c r="A1090" i="7"/>
  <c r="A1089" i="7"/>
  <c r="A1088" i="7"/>
  <c r="A1087" i="7"/>
  <c r="A1086" i="7"/>
  <c r="A1085" i="7"/>
  <c r="A1084" i="7"/>
  <c r="A1083" i="7"/>
  <c r="A1082" i="7"/>
  <c r="A1081" i="7"/>
  <c r="A1080" i="7"/>
  <c r="A1079" i="7"/>
  <c r="A1078" i="7"/>
  <c r="A1077" i="7"/>
  <c r="A1076" i="7"/>
  <c r="A1075" i="7"/>
  <c r="A1074" i="7"/>
  <c r="A1073" i="7"/>
  <c r="A1072" i="7"/>
  <c r="A1071" i="7"/>
  <c r="A1070" i="7"/>
  <c r="A1069" i="7"/>
  <c r="A1068" i="7"/>
  <c r="A1067" i="7"/>
  <c r="A1066" i="7"/>
  <c r="A1065" i="7"/>
  <c r="K1064" i="7"/>
  <c r="J1064" i="7"/>
  <c r="D1064" i="7"/>
  <c r="A1058" i="7"/>
  <c r="A1057" i="7"/>
  <c r="A1056" i="7"/>
  <c r="A1055" i="7"/>
  <c r="A1054" i="7"/>
  <c r="A1053" i="7"/>
  <c r="A1052" i="7"/>
  <c r="A1051" i="7"/>
  <c r="A1050" i="7"/>
  <c r="A1049" i="7"/>
  <c r="A1048" i="7"/>
  <c r="A1047" i="7"/>
  <c r="A1046" i="7"/>
  <c r="A1045" i="7"/>
  <c r="A1044" i="7"/>
  <c r="A1043" i="7"/>
  <c r="A1042" i="7"/>
  <c r="A1041" i="7"/>
  <c r="A1040" i="7"/>
  <c r="A1039" i="7"/>
  <c r="A1038" i="7"/>
  <c r="A1037" i="7"/>
  <c r="A1036" i="7"/>
  <c r="A1035" i="7"/>
  <c r="A1034" i="7"/>
  <c r="A1033" i="7"/>
  <c r="A1032" i="7"/>
  <c r="A1031" i="7"/>
  <c r="A1030" i="7"/>
  <c r="A1029" i="7"/>
  <c r="A1028" i="7"/>
  <c r="A1027" i="7"/>
  <c r="A1026" i="7"/>
  <c r="A1025" i="7"/>
  <c r="A1024" i="7"/>
  <c r="A1023" i="7"/>
  <c r="A1022" i="7"/>
  <c r="A1021" i="7"/>
  <c r="A1020" i="7"/>
  <c r="A1019" i="7"/>
  <c r="A1018" i="7"/>
  <c r="A1017" i="7"/>
  <c r="A1016" i="7"/>
  <c r="A1015" i="7"/>
  <c r="A1014" i="7"/>
  <c r="A1013" i="7"/>
  <c r="A1012" i="7"/>
  <c r="A1011" i="7"/>
  <c r="A1010" i="7"/>
  <c r="A1009" i="7"/>
  <c r="K1008" i="7"/>
  <c r="J1008" i="7"/>
  <c r="D1008" i="7"/>
  <c r="A1002" i="7"/>
  <c r="A1001" i="7"/>
  <c r="A1000" i="7"/>
  <c r="A999" i="7"/>
  <c r="A998" i="7"/>
  <c r="A997" i="7"/>
  <c r="A996" i="7"/>
  <c r="A995" i="7"/>
  <c r="A994" i="7"/>
  <c r="A993" i="7"/>
  <c r="A992" i="7"/>
  <c r="A991" i="7"/>
  <c r="A990" i="7"/>
  <c r="A989" i="7"/>
  <c r="A988" i="7"/>
  <c r="A987" i="7"/>
  <c r="A986" i="7"/>
  <c r="A985" i="7"/>
  <c r="A984" i="7"/>
  <c r="A983" i="7"/>
  <c r="A982" i="7"/>
  <c r="A981" i="7"/>
  <c r="A980" i="7"/>
  <c r="A979" i="7"/>
  <c r="A978" i="7"/>
  <c r="A977" i="7"/>
  <c r="A976" i="7"/>
  <c r="A975" i="7"/>
  <c r="A974" i="7"/>
  <c r="A973" i="7"/>
  <c r="A972" i="7"/>
  <c r="A971" i="7"/>
  <c r="A970" i="7"/>
  <c r="A969" i="7"/>
  <c r="A968" i="7"/>
  <c r="A967" i="7"/>
  <c r="A966" i="7"/>
  <c r="A965" i="7"/>
  <c r="A964" i="7"/>
  <c r="A963" i="7"/>
  <c r="A962" i="7"/>
  <c r="A961" i="7"/>
  <c r="A960" i="7"/>
  <c r="A959" i="7"/>
  <c r="A958" i="7"/>
  <c r="A957" i="7"/>
  <c r="A956" i="7"/>
  <c r="A955" i="7"/>
  <c r="A954" i="7"/>
  <c r="A953" i="7"/>
  <c r="K952" i="7"/>
  <c r="J952" i="7"/>
  <c r="D952" i="7"/>
  <c r="A941" i="7"/>
  <c r="A940" i="7"/>
  <c r="A939" i="7"/>
  <c r="A938" i="7"/>
  <c r="A937" i="7"/>
  <c r="A936" i="7"/>
  <c r="A935" i="7"/>
  <c r="A934" i="7"/>
  <c r="A933" i="7"/>
  <c r="A932" i="7"/>
  <c r="A931" i="7"/>
  <c r="A930" i="7"/>
  <c r="A929" i="7"/>
  <c r="A928" i="7"/>
  <c r="A927" i="7"/>
  <c r="A926" i="7"/>
  <c r="A925" i="7"/>
  <c r="A924" i="7"/>
  <c r="A923" i="7"/>
  <c r="A922" i="7"/>
  <c r="A921" i="7"/>
  <c r="A920" i="7"/>
  <c r="A919" i="7"/>
  <c r="A918" i="7"/>
  <c r="A917" i="7"/>
  <c r="A916" i="7"/>
  <c r="A915" i="7"/>
  <c r="A914" i="7"/>
  <c r="A913" i="7"/>
  <c r="A912" i="7"/>
  <c r="A911" i="7"/>
  <c r="A910" i="7"/>
  <c r="A909" i="7"/>
  <c r="A908" i="7"/>
  <c r="A907" i="7"/>
  <c r="A906" i="7"/>
  <c r="A905" i="7"/>
  <c r="A904" i="7"/>
  <c r="A903" i="7"/>
  <c r="A902" i="7"/>
  <c r="A901" i="7"/>
  <c r="A900" i="7"/>
  <c r="A899" i="7"/>
  <c r="A898" i="7"/>
  <c r="A897" i="7"/>
  <c r="A896" i="7"/>
  <c r="A895" i="7"/>
  <c r="A894" i="7"/>
  <c r="A886" i="7"/>
  <c r="A885" i="7"/>
  <c r="A884" i="7"/>
  <c r="A883" i="7"/>
  <c r="A882" i="7"/>
  <c r="A881" i="7"/>
  <c r="A880" i="7"/>
  <c r="A879" i="7"/>
  <c r="A878" i="7"/>
  <c r="A877" i="7"/>
  <c r="A876" i="7"/>
  <c r="A875" i="7"/>
  <c r="A874" i="7"/>
  <c r="A873" i="7"/>
  <c r="A872" i="7"/>
  <c r="A871" i="7"/>
  <c r="A870" i="7"/>
  <c r="A869" i="7"/>
  <c r="A868" i="7"/>
  <c r="A867" i="7"/>
  <c r="A866" i="7"/>
  <c r="A865" i="7"/>
  <c r="A864" i="7"/>
  <c r="A863" i="7"/>
  <c r="A862" i="7"/>
  <c r="A861" i="7"/>
  <c r="A860" i="7"/>
  <c r="A859" i="7"/>
  <c r="A858" i="7"/>
  <c r="A857" i="7"/>
  <c r="A856" i="7"/>
  <c r="A855" i="7"/>
  <c r="A854" i="7"/>
  <c r="A853" i="7"/>
  <c r="A852" i="7"/>
  <c r="A851" i="7"/>
  <c r="A850" i="7"/>
  <c r="A849" i="7"/>
  <c r="A848" i="7"/>
  <c r="A847" i="7"/>
  <c r="A846" i="7"/>
  <c r="A845" i="7"/>
  <c r="A844" i="7"/>
  <c r="A843" i="7"/>
  <c r="A842" i="7"/>
  <c r="A841" i="7"/>
  <c r="A840" i="7"/>
  <c r="A839" i="7"/>
  <c r="A831" i="7"/>
  <c r="A830" i="7"/>
  <c r="A829" i="7"/>
  <c r="A828" i="7"/>
  <c r="A827" i="7"/>
  <c r="A826" i="7"/>
  <c r="A825" i="7"/>
  <c r="A824" i="7"/>
  <c r="A823" i="7"/>
  <c r="A822" i="7"/>
  <c r="A821" i="7"/>
  <c r="A820" i="7"/>
  <c r="A819" i="7"/>
  <c r="A818" i="7"/>
  <c r="A817" i="7"/>
  <c r="A816" i="7"/>
  <c r="A815" i="7"/>
  <c r="A814" i="7"/>
  <c r="A813" i="7"/>
  <c r="A812" i="7"/>
  <c r="A811" i="7"/>
  <c r="A810" i="7"/>
  <c r="A809" i="7"/>
  <c r="A808" i="7"/>
  <c r="A807" i="7"/>
  <c r="A806" i="7"/>
  <c r="A805" i="7"/>
  <c r="A804" i="7"/>
  <c r="A803" i="7"/>
  <c r="A802" i="7"/>
  <c r="A801" i="7"/>
  <c r="A800" i="7"/>
  <c r="A799" i="7"/>
  <c r="A798" i="7"/>
  <c r="A797" i="7"/>
  <c r="A796" i="7"/>
  <c r="A795" i="7"/>
  <c r="A794" i="7"/>
  <c r="A793" i="7"/>
  <c r="A792" i="7"/>
  <c r="A791" i="7"/>
  <c r="A790" i="7"/>
  <c r="A789" i="7"/>
  <c r="A788" i="7"/>
  <c r="A787" i="7"/>
  <c r="A786" i="7"/>
  <c r="A785" i="7"/>
  <c r="A784" i="7"/>
  <c r="A776" i="7"/>
  <c r="A775" i="7"/>
  <c r="A774" i="7"/>
  <c r="A773" i="7"/>
  <c r="A772" i="7"/>
  <c r="A771" i="7"/>
  <c r="A770" i="7"/>
  <c r="A769" i="7"/>
  <c r="A768" i="7"/>
  <c r="A767" i="7"/>
  <c r="A766" i="7"/>
  <c r="A765" i="7"/>
  <c r="A764" i="7"/>
  <c r="A763" i="7"/>
  <c r="A762" i="7"/>
  <c r="A761" i="7"/>
  <c r="A760" i="7"/>
  <c r="A759" i="7"/>
  <c r="A758" i="7"/>
  <c r="A757" i="7"/>
  <c r="A756" i="7"/>
  <c r="A755" i="7"/>
  <c r="A754" i="7"/>
  <c r="A753" i="7"/>
  <c r="A752" i="7"/>
  <c r="A751" i="7"/>
  <c r="A750" i="7"/>
  <c r="A749" i="7"/>
  <c r="A748" i="7"/>
  <c r="A747" i="7"/>
  <c r="A746" i="7"/>
  <c r="A745" i="7"/>
  <c r="A744" i="7"/>
  <c r="A743" i="7"/>
  <c r="A742" i="7"/>
  <c r="A741" i="7"/>
  <c r="A740" i="7"/>
  <c r="A739" i="7"/>
  <c r="A738" i="7"/>
  <c r="A737" i="7"/>
  <c r="A736" i="7"/>
  <c r="A735" i="7"/>
  <c r="A734" i="7"/>
  <c r="A733" i="7"/>
  <c r="A732" i="7"/>
  <c r="A731" i="7"/>
  <c r="A730" i="7"/>
  <c r="A729" i="7"/>
  <c r="A721" i="7"/>
  <c r="A720" i="7"/>
  <c r="A719" i="7"/>
  <c r="A718" i="7"/>
  <c r="A717" i="7"/>
  <c r="A716" i="7"/>
  <c r="A715" i="7"/>
  <c r="A714" i="7"/>
  <c r="A713" i="7"/>
  <c r="A712" i="7"/>
  <c r="A711" i="7"/>
  <c r="A710" i="7"/>
  <c r="A709" i="7"/>
  <c r="A708" i="7"/>
  <c r="A707" i="7"/>
  <c r="A706" i="7"/>
  <c r="A705" i="7"/>
  <c r="A704" i="7"/>
  <c r="A703" i="7"/>
  <c r="A702" i="7"/>
  <c r="A701" i="7"/>
  <c r="A700" i="7"/>
  <c r="A699" i="7"/>
  <c r="A698" i="7"/>
  <c r="A697" i="7"/>
  <c r="A696" i="7"/>
  <c r="A695" i="7"/>
  <c r="A694" i="7"/>
  <c r="A693" i="7"/>
  <c r="A692" i="7"/>
  <c r="A691" i="7"/>
  <c r="A690" i="7"/>
  <c r="A689" i="7"/>
  <c r="A688" i="7"/>
  <c r="A687" i="7"/>
  <c r="A686" i="7"/>
  <c r="A685" i="7"/>
  <c r="A684" i="7"/>
  <c r="A683" i="7"/>
  <c r="A682" i="7"/>
  <c r="A681" i="7"/>
  <c r="A680" i="7"/>
  <c r="A679" i="7"/>
  <c r="A678" i="7"/>
  <c r="A677" i="7"/>
  <c r="A676" i="7"/>
  <c r="A675" i="7"/>
  <c r="A674" i="7"/>
  <c r="A666" i="7"/>
  <c r="A665" i="7"/>
  <c r="A664" i="7"/>
  <c r="A663" i="7"/>
  <c r="A662" i="7"/>
  <c r="A661" i="7"/>
  <c r="A660" i="7"/>
  <c r="A659" i="7"/>
  <c r="A658" i="7"/>
  <c r="A657" i="7"/>
  <c r="A656" i="7"/>
  <c r="A655" i="7"/>
  <c r="A654" i="7"/>
  <c r="A653" i="7"/>
  <c r="A652" i="7"/>
  <c r="A651" i="7"/>
  <c r="A650" i="7"/>
  <c r="A649" i="7"/>
  <c r="A648" i="7"/>
  <c r="A647" i="7"/>
  <c r="A646" i="7"/>
  <c r="A645" i="7"/>
  <c r="A644" i="7"/>
  <c r="A643" i="7"/>
  <c r="A642" i="7"/>
  <c r="A641" i="7"/>
  <c r="A640" i="7"/>
  <c r="A639" i="7"/>
  <c r="A638" i="7"/>
  <c r="A637" i="7"/>
  <c r="A636" i="7"/>
  <c r="A635" i="7"/>
  <c r="A634" i="7"/>
  <c r="A633" i="7"/>
  <c r="A632" i="7"/>
  <c r="A631" i="7"/>
  <c r="A630" i="7"/>
  <c r="A629" i="7"/>
  <c r="A628" i="7"/>
  <c r="A627" i="7"/>
  <c r="A626" i="7"/>
  <c r="A625" i="7"/>
  <c r="A624" i="7"/>
  <c r="A623" i="7"/>
  <c r="A622" i="7"/>
  <c r="A621" i="7"/>
  <c r="A620" i="7"/>
  <c r="A619" i="7"/>
  <c r="A611" i="7"/>
  <c r="A610" i="7"/>
  <c r="A609" i="7"/>
  <c r="A608" i="7"/>
  <c r="A607" i="7"/>
  <c r="A606" i="7"/>
  <c r="A605" i="7"/>
  <c r="A604" i="7"/>
  <c r="A603" i="7"/>
  <c r="A602" i="7"/>
  <c r="A601" i="7"/>
  <c r="A600" i="7"/>
  <c r="A599" i="7"/>
  <c r="A598" i="7"/>
  <c r="A597" i="7"/>
  <c r="A596" i="7"/>
  <c r="A595" i="7"/>
  <c r="A594" i="7"/>
  <c r="A593" i="7"/>
  <c r="A592" i="7"/>
  <c r="A591" i="7"/>
  <c r="A590" i="7"/>
  <c r="A589" i="7"/>
  <c r="A588" i="7"/>
  <c r="A587" i="7"/>
  <c r="A586" i="7"/>
  <c r="A585" i="7"/>
  <c r="A584" i="7"/>
  <c r="A583" i="7"/>
  <c r="A582" i="7"/>
  <c r="A581" i="7"/>
  <c r="A580" i="7"/>
  <c r="A579" i="7"/>
  <c r="A578" i="7"/>
  <c r="A577" i="7"/>
  <c r="A576" i="7"/>
  <c r="A575" i="7"/>
  <c r="A574" i="7"/>
  <c r="A573" i="7"/>
  <c r="A572" i="7"/>
  <c r="A571" i="7"/>
  <c r="A570" i="7"/>
  <c r="A569" i="7"/>
  <c r="A568" i="7"/>
  <c r="A567" i="7"/>
  <c r="A566" i="7"/>
  <c r="A565" i="7"/>
  <c r="A564" i="7"/>
  <c r="A556" i="7"/>
  <c r="A555" i="7"/>
  <c r="A554" i="7"/>
  <c r="A553" i="7"/>
  <c r="A552" i="7"/>
  <c r="A551" i="7"/>
  <c r="A550" i="7"/>
  <c r="A549" i="7"/>
  <c r="A548" i="7"/>
  <c r="A547" i="7"/>
  <c r="A546" i="7"/>
  <c r="A545" i="7"/>
  <c r="A544" i="7"/>
  <c r="A543" i="7"/>
  <c r="A542" i="7"/>
  <c r="A541" i="7"/>
  <c r="A540" i="7"/>
  <c r="A539" i="7"/>
  <c r="A538" i="7"/>
  <c r="A537" i="7"/>
  <c r="A536" i="7"/>
  <c r="A535" i="7"/>
  <c r="A534" i="7"/>
  <c r="A533" i="7"/>
  <c r="A532" i="7"/>
  <c r="A531" i="7"/>
  <c r="A530" i="7"/>
  <c r="A529" i="7"/>
  <c r="A528" i="7"/>
  <c r="A527" i="7"/>
  <c r="A526" i="7"/>
  <c r="A525" i="7"/>
  <c r="A524" i="7"/>
  <c r="A523" i="7"/>
  <c r="A522" i="7"/>
  <c r="A521" i="7"/>
  <c r="A520" i="7"/>
  <c r="A519" i="7"/>
  <c r="A518" i="7"/>
  <c r="A517" i="7"/>
  <c r="A516" i="7"/>
  <c r="A515" i="7"/>
  <c r="A514" i="7"/>
  <c r="A513" i="7"/>
  <c r="A512" i="7"/>
  <c r="A511" i="7"/>
  <c r="A510" i="7"/>
  <c r="A509" i="7"/>
  <c r="A501" i="7"/>
  <c r="A500" i="7"/>
  <c r="A499" i="7"/>
  <c r="A498" i="7"/>
  <c r="A497" i="7"/>
  <c r="A496" i="7"/>
  <c r="A495" i="7"/>
  <c r="A494" i="7"/>
  <c r="A493" i="7"/>
  <c r="A492" i="7"/>
  <c r="A491" i="7"/>
  <c r="A490" i="7"/>
  <c r="A489" i="7"/>
  <c r="A488" i="7"/>
  <c r="A487" i="7"/>
  <c r="A486" i="7"/>
  <c r="A485" i="7"/>
  <c r="A484" i="7"/>
  <c r="A483" i="7"/>
  <c r="A482" i="7"/>
  <c r="A481" i="7"/>
  <c r="A480" i="7"/>
  <c r="A479" i="7"/>
  <c r="A478" i="7"/>
  <c r="A477" i="7"/>
  <c r="A476" i="7"/>
  <c r="A475" i="7"/>
  <c r="A474" i="7"/>
  <c r="A473" i="7"/>
  <c r="A472" i="7"/>
  <c r="A471" i="7"/>
  <c r="A470" i="7"/>
  <c r="A469" i="7"/>
  <c r="A468" i="7"/>
  <c r="A467" i="7"/>
  <c r="A466" i="7"/>
  <c r="A465" i="7"/>
  <c r="A464" i="7"/>
  <c r="A463" i="7"/>
  <c r="A462" i="7"/>
  <c r="A461" i="7"/>
  <c r="A460" i="7"/>
  <c r="A459" i="7"/>
  <c r="A458" i="7"/>
  <c r="A457" i="7"/>
  <c r="A456" i="7"/>
  <c r="A455" i="7"/>
  <c r="A454" i="7"/>
  <c r="A446" i="7"/>
  <c r="A445" i="7"/>
  <c r="A444" i="7"/>
  <c r="A443" i="7"/>
  <c r="A442" i="7"/>
  <c r="A441" i="7"/>
  <c r="A440" i="7"/>
  <c r="A439" i="7"/>
  <c r="A438" i="7"/>
  <c r="A437" i="7"/>
  <c r="A436" i="7"/>
  <c r="A435" i="7"/>
  <c r="A434" i="7"/>
  <c r="A433" i="7"/>
  <c r="A432" i="7"/>
  <c r="A431" i="7"/>
  <c r="A430" i="7"/>
  <c r="A429" i="7"/>
  <c r="A428" i="7"/>
  <c r="A427" i="7"/>
  <c r="A426" i="7"/>
  <c r="A425" i="7"/>
  <c r="A424" i="7"/>
  <c r="A423" i="7"/>
  <c r="A422" i="7"/>
  <c r="A421" i="7"/>
  <c r="A420" i="7"/>
  <c r="A419" i="7"/>
  <c r="A418" i="7"/>
  <c r="A417" i="7"/>
  <c r="A416" i="7"/>
  <c r="A415" i="7"/>
  <c r="A414" i="7"/>
  <c r="A413" i="7"/>
  <c r="A412" i="7"/>
  <c r="A411" i="7"/>
  <c r="A410" i="7"/>
  <c r="A409" i="7"/>
  <c r="A408" i="7"/>
  <c r="A407" i="7"/>
  <c r="A406" i="7"/>
  <c r="A405" i="7"/>
  <c r="A404" i="7"/>
  <c r="A403" i="7"/>
  <c r="A402" i="7"/>
  <c r="A401" i="7"/>
  <c r="A400" i="7"/>
  <c r="A399" i="7"/>
  <c r="A391" i="7"/>
  <c r="A390" i="7"/>
  <c r="A389" i="7"/>
  <c r="A388" i="7"/>
  <c r="A387" i="7"/>
  <c r="A386" i="7"/>
  <c r="A385" i="7"/>
  <c r="A384" i="7"/>
  <c r="A383" i="7"/>
  <c r="A382" i="7"/>
  <c r="A381" i="7"/>
  <c r="A380" i="7"/>
  <c r="A379" i="7"/>
  <c r="A378" i="7"/>
  <c r="A377" i="7"/>
  <c r="A376" i="7"/>
  <c r="A375" i="7"/>
  <c r="A374" i="7"/>
  <c r="A373" i="7"/>
  <c r="A372" i="7"/>
  <c r="A371" i="7"/>
  <c r="A370" i="7"/>
  <c r="A369" i="7"/>
  <c r="A368" i="7"/>
  <c r="A367" i="7"/>
  <c r="A366" i="7"/>
  <c r="A365" i="7"/>
  <c r="A364" i="7"/>
  <c r="A363" i="7"/>
  <c r="A362" i="7"/>
  <c r="A361" i="7"/>
  <c r="A360" i="7"/>
  <c r="A359" i="7"/>
  <c r="A358" i="7"/>
  <c r="A357" i="7"/>
  <c r="A356" i="7"/>
  <c r="A355" i="7"/>
  <c r="A354" i="7"/>
  <c r="A353" i="7"/>
  <c r="A352" i="7"/>
  <c r="A351" i="7"/>
  <c r="A350" i="7"/>
  <c r="A349" i="7"/>
  <c r="A348" i="7"/>
  <c r="A347" i="7"/>
  <c r="A346" i="7"/>
  <c r="A345" i="7"/>
  <c r="A344" i="7"/>
  <c r="A336" i="7"/>
  <c r="A335" i="7"/>
  <c r="A334" i="7"/>
  <c r="A333" i="7"/>
  <c r="A332" i="7"/>
  <c r="A331" i="7"/>
  <c r="A330" i="7"/>
  <c r="A329" i="7"/>
  <c r="A328" i="7"/>
  <c r="A327" i="7"/>
  <c r="A326" i="7"/>
  <c r="A325" i="7"/>
  <c r="A324" i="7"/>
  <c r="A323" i="7"/>
  <c r="A322" i="7"/>
  <c r="A321" i="7"/>
  <c r="A320" i="7"/>
  <c r="A319" i="7"/>
  <c r="A318" i="7"/>
  <c r="A317" i="7"/>
  <c r="A316" i="7"/>
  <c r="A315" i="7"/>
  <c r="A314" i="7"/>
  <c r="A313" i="7"/>
  <c r="A312" i="7"/>
  <c r="A311" i="7"/>
  <c r="A310" i="7"/>
  <c r="A309" i="7"/>
  <c r="A308" i="7"/>
  <c r="A307" i="7"/>
  <c r="A306" i="7"/>
  <c r="A305" i="7"/>
  <c r="A304" i="7"/>
  <c r="A303" i="7"/>
  <c r="A302" i="7"/>
  <c r="A301" i="7"/>
  <c r="A300" i="7"/>
  <c r="A299" i="7"/>
  <c r="A298" i="7"/>
  <c r="A297" i="7"/>
  <c r="A296" i="7"/>
  <c r="A295" i="7"/>
  <c r="A294" i="7"/>
  <c r="A293" i="7"/>
  <c r="A292" i="7"/>
  <c r="A291" i="7"/>
  <c r="A290" i="7"/>
  <c r="A289" i="7"/>
  <c r="A281" i="7"/>
  <c r="A280" i="7"/>
  <c r="A279" i="7"/>
  <c r="A278" i="7"/>
  <c r="A277" i="7"/>
  <c r="A276" i="7"/>
  <c r="A275" i="7"/>
  <c r="A274" i="7"/>
  <c r="A273" i="7"/>
  <c r="A272" i="7"/>
  <c r="A271" i="7"/>
  <c r="A270" i="7"/>
  <c r="A269" i="7"/>
  <c r="A268" i="7"/>
  <c r="A267" i="7"/>
  <c r="A266" i="7"/>
  <c r="A265" i="7"/>
  <c r="A264" i="7"/>
  <c r="A263" i="7"/>
  <c r="A262" i="7"/>
  <c r="A261" i="7"/>
  <c r="A260" i="7"/>
  <c r="A259" i="7"/>
  <c r="A258" i="7"/>
  <c r="A257" i="7"/>
  <c r="A256" i="7"/>
  <c r="A255" i="7"/>
  <c r="A254" i="7"/>
  <c r="A253" i="7"/>
  <c r="A252" i="7"/>
  <c r="A251" i="7"/>
  <c r="A250" i="7"/>
  <c r="A249" i="7"/>
  <c r="A248" i="7"/>
  <c r="A247" i="7"/>
  <c r="A246" i="7"/>
  <c r="A245" i="7"/>
  <c r="A244" i="7"/>
  <c r="A243" i="7"/>
  <c r="A242" i="7"/>
  <c r="A241" i="7"/>
  <c r="A240" i="7"/>
  <c r="A239" i="7"/>
  <c r="A238" i="7"/>
  <c r="A237" i="7"/>
  <c r="A236" i="7"/>
  <c r="A235" i="7"/>
  <c r="A234" i="7"/>
  <c r="A226" i="7"/>
  <c r="A225" i="7"/>
  <c r="A224" i="7"/>
  <c r="A223" i="7"/>
  <c r="A222" i="7"/>
  <c r="A221" i="7"/>
  <c r="A220" i="7"/>
  <c r="A219" i="7"/>
  <c r="A218" i="7"/>
  <c r="A217" i="7"/>
  <c r="A216" i="7"/>
  <c r="A215" i="7"/>
  <c r="A214" i="7"/>
  <c r="A213" i="7"/>
  <c r="A212" i="7"/>
  <c r="A211" i="7"/>
  <c r="A210" i="7"/>
  <c r="A209" i="7"/>
  <c r="A208" i="7"/>
  <c r="A207" i="7"/>
  <c r="A206" i="7"/>
  <c r="A205" i="7"/>
  <c r="A204" i="7"/>
  <c r="A203" i="7"/>
  <c r="A202" i="7"/>
  <c r="A201" i="7"/>
  <c r="A200" i="7"/>
  <c r="A199" i="7"/>
  <c r="A198" i="7"/>
  <c r="A197" i="7"/>
  <c r="A196" i="7"/>
  <c r="A195" i="7"/>
  <c r="A194" i="7"/>
  <c r="A193" i="7"/>
  <c r="A192" i="7"/>
  <c r="A191" i="7"/>
  <c r="A190" i="7"/>
  <c r="A189" i="7"/>
  <c r="A188" i="7"/>
  <c r="A187" i="7"/>
  <c r="A186" i="7"/>
  <c r="A185" i="7"/>
  <c r="A184" i="7"/>
  <c r="A183" i="7"/>
  <c r="A182" i="7"/>
  <c r="A181" i="7"/>
  <c r="A180" i="7"/>
  <c r="A179" i="7"/>
  <c r="A171" i="7"/>
  <c r="J171" i="7" s="1"/>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C39" i="7"/>
  <c r="B32" i="7"/>
  <c r="D14" i="7"/>
  <c r="C14" i="7"/>
  <c r="D4" i="7"/>
  <c r="A10" i="7" s="1"/>
  <c r="C4" i="7"/>
  <c r="A9" i="7" s="1"/>
  <c r="B4" i="7"/>
  <c r="A8" i="7" s="1"/>
  <c r="A2943" i="6"/>
  <c r="N2943" i="6" s="1"/>
  <c r="A2942" i="6"/>
  <c r="H2942" i="6" s="1"/>
  <c r="A2941" i="6"/>
  <c r="B2941" i="6" s="1"/>
  <c r="A2940" i="6"/>
  <c r="B2940" i="6" s="1"/>
  <c r="A2939" i="6"/>
  <c r="K2939" i="6" s="1"/>
  <c r="A2938" i="6"/>
  <c r="Q2938" i="6" s="1"/>
  <c r="A2937" i="6"/>
  <c r="K2937" i="6" s="1"/>
  <c r="A2936" i="6"/>
  <c r="B2936" i="6" s="1"/>
  <c r="A2935" i="6"/>
  <c r="N2935" i="6" s="1"/>
  <c r="A2934" i="6"/>
  <c r="E2934" i="6" s="1"/>
  <c r="A2933" i="6"/>
  <c r="A2932" i="6"/>
  <c r="A2931" i="6"/>
  <c r="A2930" i="6"/>
  <c r="A2929" i="6"/>
  <c r="A2928" i="6"/>
  <c r="A2927" i="6"/>
  <c r="A2926" i="6"/>
  <c r="A2925" i="6"/>
  <c r="A2924" i="6"/>
  <c r="A2923" i="6"/>
  <c r="A2922" i="6"/>
  <c r="A2921" i="6"/>
  <c r="A2920" i="6"/>
  <c r="A2919" i="6"/>
  <c r="A2918" i="6"/>
  <c r="A2917" i="6"/>
  <c r="A2916" i="6"/>
  <c r="A2915" i="6"/>
  <c r="A2914" i="6"/>
  <c r="A2913" i="6"/>
  <c r="A2912" i="6"/>
  <c r="A2911" i="6"/>
  <c r="A2910" i="6"/>
  <c r="A2909" i="6"/>
  <c r="A2908" i="6"/>
  <c r="A2907" i="6"/>
  <c r="A2906" i="6"/>
  <c r="A2905" i="6"/>
  <c r="A2904" i="6"/>
  <c r="E2901" i="6"/>
  <c r="B2901" i="6"/>
  <c r="C2903" i="6" s="1"/>
  <c r="D2903" i="6" s="1"/>
  <c r="A2893" i="6"/>
  <c r="A2892" i="6"/>
  <c r="A2891" i="6"/>
  <c r="A2890" i="6"/>
  <c r="A2889" i="6"/>
  <c r="A2888" i="6"/>
  <c r="A2887" i="6"/>
  <c r="A2886" i="6"/>
  <c r="A2885" i="6"/>
  <c r="A2884" i="6"/>
  <c r="A2883" i="6"/>
  <c r="A2882" i="6"/>
  <c r="A2881" i="6"/>
  <c r="A2880" i="6"/>
  <c r="A2879" i="6"/>
  <c r="A2878" i="6"/>
  <c r="A2877" i="6"/>
  <c r="A2876" i="6"/>
  <c r="A2875" i="6"/>
  <c r="A2874" i="6"/>
  <c r="A2873" i="6"/>
  <c r="A2872" i="6"/>
  <c r="A2871" i="6"/>
  <c r="A2870" i="6"/>
  <c r="A2869" i="6"/>
  <c r="A2868" i="6"/>
  <c r="A2867" i="6"/>
  <c r="A2866" i="6"/>
  <c r="A2865" i="6"/>
  <c r="A2864" i="6"/>
  <c r="A2863" i="6"/>
  <c r="A2862" i="6"/>
  <c r="A2861" i="6"/>
  <c r="A2860" i="6"/>
  <c r="A2859" i="6"/>
  <c r="A2858" i="6"/>
  <c r="A2857" i="6"/>
  <c r="A2856" i="6"/>
  <c r="A2855" i="6"/>
  <c r="A2854" i="6"/>
  <c r="A2853" i="6"/>
  <c r="A2852" i="6"/>
  <c r="A2851" i="6"/>
  <c r="A2850" i="6"/>
  <c r="A2849" i="6"/>
  <c r="A2848" i="6"/>
  <c r="A2847" i="6"/>
  <c r="A2846" i="6"/>
  <c r="A2845" i="6"/>
  <c r="A2844" i="6"/>
  <c r="A2843" i="6"/>
  <c r="A2842" i="6"/>
  <c r="A2841" i="6"/>
  <c r="A2840" i="6"/>
  <c r="A2839" i="6"/>
  <c r="A2838" i="6"/>
  <c r="A2837" i="6"/>
  <c r="A2836" i="6"/>
  <c r="A2835" i="6"/>
  <c r="A2834" i="6"/>
  <c r="C2833" i="6"/>
  <c r="A2827" i="6"/>
  <c r="A2826" i="6"/>
  <c r="A2825" i="6"/>
  <c r="A2824" i="6"/>
  <c r="A2823" i="6"/>
  <c r="A2822" i="6"/>
  <c r="A2821" i="6"/>
  <c r="A2820" i="6"/>
  <c r="A2819" i="6"/>
  <c r="A2818" i="6"/>
  <c r="A2817" i="6"/>
  <c r="A2816" i="6"/>
  <c r="A2815" i="6"/>
  <c r="A2814" i="6"/>
  <c r="A2813" i="6"/>
  <c r="A2812" i="6"/>
  <c r="A2811" i="6"/>
  <c r="A2810" i="6"/>
  <c r="A2809" i="6"/>
  <c r="A2808" i="6"/>
  <c r="A2807" i="6"/>
  <c r="A2806" i="6"/>
  <c r="A2805" i="6"/>
  <c r="A2804" i="6"/>
  <c r="A2803" i="6"/>
  <c r="A2802" i="6"/>
  <c r="A2801" i="6"/>
  <c r="A2800" i="6"/>
  <c r="A2799" i="6"/>
  <c r="A2798" i="6"/>
  <c r="A2797" i="6"/>
  <c r="A2796" i="6"/>
  <c r="A2795" i="6"/>
  <c r="A2794" i="6"/>
  <c r="A2793" i="6"/>
  <c r="A2792" i="6"/>
  <c r="A2791" i="6"/>
  <c r="A2790" i="6"/>
  <c r="A2789" i="6"/>
  <c r="A2788" i="6"/>
  <c r="A2787" i="6"/>
  <c r="A2786" i="6"/>
  <c r="A2785" i="6"/>
  <c r="A2784" i="6"/>
  <c r="A2783" i="6"/>
  <c r="A2782" i="6"/>
  <c r="A2781" i="6"/>
  <c r="A2780" i="6"/>
  <c r="A2779" i="6"/>
  <c r="A2778" i="6"/>
  <c r="A2777" i="6"/>
  <c r="A2776" i="6"/>
  <c r="A2775" i="6"/>
  <c r="A2774" i="6"/>
  <c r="A2773" i="6"/>
  <c r="A2772" i="6"/>
  <c r="A2771" i="6"/>
  <c r="A2770" i="6"/>
  <c r="A2769" i="6"/>
  <c r="A2768" i="6"/>
  <c r="C2767" i="6"/>
  <c r="A2761" i="6"/>
  <c r="A2760" i="6"/>
  <c r="A2759" i="6"/>
  <c r="A2758" i="6"/>
  <c r="A2757" i="6"/>
  <c r="A2756" i="6"/>
  <c r="A2755" i="6"/>
  <c r="A2754" i="6"/>
  <c r="A2753" i="6"/>
  <c r="A2752" i="6"/>
  <c r="A2751" i="6"/>
  <c r="A2750" i="6"/>
  <c r="A2749" i="6"/>
  <c r="A2748" i="6"/>
  <c r="A2747" i="6"/>
  <c r="A2746" i="6"/>
  <c r="A2745" i="6"/>
  <c r="A2744" i="6"/>
  <c r="A2743" i="6"/>
  <c r="A2742" i="6"/>
  <c r="A2741" i="6"/>
  <c r="A2740" i="6"/>
  <c r="A2739" i="6"/>
  <c r="A2738" i="6"/>
  <c r="A2737" i="6"/>
  <c r="A2736" i="6"/>
  <c r="A2735" i="6"/>
  <c r="A2734" i="6"/>
  <c r="A2733" i="6"/>
  <c r="A2732" i="6"/>
  <c r="A2731" i="6"/>
  <c r="A2730" i="6"/>
  <c r="A2729" i="6"/>
  <c r="A2728" i="6"/>
  <c r="A2727" i="6"/>
  <c r="A2726" i="6"/>
  <c r="A2725" i="6"/>
  <c r="A2724" i="6"/>
  <c r="A2723" i="6"/>
  <c r="A2722" i="6"/>
  <c r="A2721" i="6"/>
  <c r="A2720" i="6"/>
  <c r="A2719" i="6"/>
  <c r="A2718" i="6"/>
  <c r="A2717" i="6"/>
  <c r="A2716" i="6"/>
  <c r="A2715" i="6"/>
  <c r="A2714" i="6"/>
  <c r="A2713" i="6"/>
  <c r="A2712" i="6"/>
  <c r="A2711" i="6"/>
  <c r="A2710" i="6"/>
  <c r="A2709" i="6"/>
  <c r="A2708" i="6"/>
  <c r="A2707" i="6"/>
  <c r="A2706" i="6"/>
  <c r="A2705" i="6"/>
  <c r="A2704" i="6"/>
  <c r="A2703" i="6"/>
  <c r="A2702" i="6"/>
  <c r="C2701" i="6"/>
  <c r="A2695" i="6"/>
  <c r="A2694" i="6"/>
  <c r="A2693" i="6"/>
  <c r="A2692" i="6"/>
  <c r="A2691" i="6"/>
  <c r="A2690" i="6"/>
  <c r="A2689" i="6"/>
  <c r="A2688" i="6"/>
  <c r="A2687" i="6"/>
  <c r="A2686" i="6"/>
  <c r="A2685" i="6"/>
  <c r="A2684" i="6"/>
  <c r="A2683" i="6"/>
  <c r="A2682" i="6"/>
  <c r="A2681" i="6"/>
  <c r="A2680" i="6"/>
  <c r="A2679" i="6"/>
  <c r="A2678" i="6"/>
  <c r="A2677" i="6"/>
  <c r="A2676" i="6"/>
  <c r="A2675" i="6"/>
  <c r="A2674" i="6"/>
  <c r="A2673" i="6"/>
  <c r="A2672" i="6"/>
  <c r="A2671" i="6"/>
  <c r="A2670" i="6"/>
  <c r="A2669" i="6"/>
  <c r="A2668" i="6"/>
  <c r="A2667" i="6"/>
  <c r="A2666" i="6"/>
  <c r="A2665" i="6"/>
  <c r="A2664" i="6"/>
  <c r="A2663" i="6"/>
  <c r="A2662" i="6"/>
  <c r="A2661" i="6"/>
  <c r="A2660" i="6"/>
  <c r="A2659" i="6"/>
  <c r="A2658" i="6"/>
  <c r="A2657" i="6"/>
  <c r="A2656" i="6"/>
  <c r="A2655" i="6"/>
  <c r="A2654" i="6"/>
  <c r="A2653" i="6"/>
  <c r="A2652" i="6"/>
  <c r="A2651" i="6"/>
  <c r="A2650" i="6"/>
  <c r="A2649" i="6"/>
  <c r="A2648" i="6"/>
  <c r="A2647" i="6"/>
  <c r="A2646" i="6"/>
  <c r="A2645" i="6"/>
  <c r="A2644" i="6"/>
  <c r="A2643" i="6"/>
  <c r="A2642" i="6"/>
  <c r="A2641" i="6"/>
  <c r="A2640" i="6"/>
  <c r="A2639" i="6"/>
  <c r="A2638" i="6"/>
  <c r="A2637" i="6"/>
  <c r="A2636" i="6"/>
  <c r="C2635" i="6"/>
  <c r="A2629" i="6"/>
  <c r="A2628" i="6"/>
  <c r="A2627" i="6"/>
  <c r="A2626" i="6"/>
  <c r="A2625" i="6"/>
  <c r="A2624" i="6"/>
  <c r="A2623" i="6"/>
  <c r="A2622" i="6"/>
  <c r="A2621" i="6"/>
  <c r="A2620" i="6"/>
  <c r="A2619" i="6"/>
  <c r="A2618" i="6"/>
  <c r="A2617" i="6"/>
  <c r="A2616" i="6"/>
  <c r="A2615" i="6"/>
  <c r="A2614" i="6"/>
  <c r="A2613" i="6"/>
  <c r="A2612" i="6"/>
  <c r="A2611" i="6"/>
  <c r="A2610" i="6"/>
  <c r="A2609" i="6"/>
  <c r="A2608" i="6"/>
  <c r="A2607" i="6"/>
  <c r="A2606" i="6"/>
  <c r="A2605" i="6"/>
  <c r="A2604" i="6"/>
  <c r="A2603" i="6"/>
  <c r="A2602" i="6"/>
  <c r="A2601" i="6"/>
  <c r="A2600" i="6"/>
  <c r="A2599" i="6"/>
  <c r="A2598" i="6"/>
  <c r="A2597" i="6"/>
  <c r="A2596" i="6"/>
  <c r="A2595" i="6"/>
  <c r="A2594" i="6"/>
  <c r="A2593" i="6"/>
  <c r="A2592" i="6"/>
  <c r="A2591" i="6"/>
  <c r="A2590" i="6"/>
  <c r="A2589" i="6"/>
  <c r="A2588" i="6"/>
  <c r="A2587" i="6"/>
  <c r="A2586" i="6"/>
  <c r="A2585" i="6"/>
  <c r="A2584" i="6"/>
  <c r="A2583" i="6"/>
  <c r="A2582" i="6"/>
  <c r="A2581" i="6"/>
  <c r="A2580" i="6"/>
  <c r="A2579" i="6"/>
  <c r="A2578" i="6"/>
  <c r="A2577" i="6"/>
  <c r="A2576" i="6"/>
  <c r="A2575" i="6"/>
  <c r="A2574" i="6"/>
  <c r="A2573" i="6"/>
  <c r="A2572" i="6"/>
  <c r="A2571" i="6"/>
  <c r="A2570" i="6"/>
  <c r="C2569" i="6"/>
  <c r="A2563" i="6"/>
  <c r="A2562" i="6"/>
  <c r="A2561" i="6"/>
  <c r="A2560" i="6"/>
  <c r="A2559" i="6"/>
  <c r="A2558" i="6"/>
  <c r="A2557" i="6"/>
  <c r="A2556" i="6"/>
  <c r="A2555" i="6"/>
  <c r="A2554" i="6"/>
  <c r="A2553" i="6"/>
  <c r="A2552" i="6"/>
  <c r="A2551" i="6"/>
  <c r="A2550" i="6"/>
  <c r="A2549" i="6"/>
  <c r="A2548" i="6"/>
  <c r="A2547" i="6"/>
  <c r="A2546" i="6"/>
  <c r="A2545" i="6"/>
  <c r="A2544" i="6"/>
  <c r="A2543" i="6"/>
  <c r="A2542" i="6"/>
  <c r="A2541" i="6"/>
  <c r="A2540" i="6"/>
  <c r="A2539" i="6"/>
  <c r="A2538" i="6"/>
  <c r="A2537" i="6"/>
  <c r="A2536" i="6"/>
  <c r="A2535" i="6"/>
  <c r="A2534" i="6"/>
  <c r="A2533" i="6"/>
  <c r="A2532" i="6"/>
  <c r="A2531" i="6"/>
  <c r="A2530" i="6"/>
  <c r="A2529" i="6"/>
  <c r="A2528" i="6"/>
  <c r="A2527" i="6"/>
  <c r="A2526" i="6"/>
  <c r="A2525" i="6"/>
  <c r="A2524" i="6"/>
  <c r="A2523" i="6"/>
  <c r="A2522" i="6"/>
  <c r="A2521" i="6"/>
  <c r="A2520" i="6"/>
  <c r="A2519" i="6"/>
  <c r="A2518" i="6"/>
  <c r="A2517" i="6"/>
  <c r="A2516" i="6"/>
  <c r="A2515" i="6"/>
  <c r="A2514" i="6"/>
  <c r="A2513" i="6"/>
  <c r="A2512" i="6"/>
  <c r="A2511" i="6"/>
  <c r="A2510" i="6"/>
  <c r="A2509" i="6"/>
  <c r="A2508" i="6"/>
  <c r="A2507" i="6"/>
  <c r="A2506" i="6"/>
  <c r="A2505" i="6"/>
  <c r="A2504" i="6"/>
  <c r="C2503" i="6"/>
  <c r="A2497" i="6"/>
  <c r="A2496" i="6"/>
  <c r="A2495" i="6"/>
  <c r="A2494" i="6"/>
  <c r="A2493" i="6"/>
  <c r="A2492" i="6"/>
  <c r="A2491" i="6"/>
  <c r="A2490" i="6"/>
  <c r="A2489" i="6"/>
  <c r="A2488" i="6"/>
  <c r="A2487" i="6"/>
  <c r="A2486" i="6"/>
  <c r="A2485" i="6"/>
  <c r="A2484" i="6"/>
  <c r="A2483" i="6"/>
  <c r="A2482" i="6"/>
  <c r="A2481" i="6"/>
  <c r="A2480" i="6"/>
  <c r="A2479" i="6"/>
  <c r="A2478" i="6"/>
  <c r="A2477" i="6"/>
  <c r="A2476" i="6"/>
  <c r="A2475" i="6"/>
  <c r="A2474" i="6"/>
  <c r="A2473" i="6"/>
  <c r="A2472" i="6"/>
  <c r="A2471" i="6"/>
  <c r="A2470" i="6"/>
  <c r="A2469" i="6"/>
  <c r="A2468" i="6"/>
  <c r="A2467" i="6"/>
  <c r="A2466" i="6"/>
  <c r="A2465" i="6"/>
  <c r="A2464" i="6"/>
  <c r="A2463" i="6"/>
  <c r="A2462" i="6"/>
  <c r="A2461" i="6"/>
  <c r="A2460" i="6"/>
  <c r="A2459" i="6"/>
  <c r="A2458" i="6"/>
  <c r="A2457" i="6"/>
  <c r="A2456" i="6"/>
  <c r="A2455" i="6"/>
  <c r="A2454" i="6"/>
  <c r="A2453" i="6"/>
  <c r="A2452" i="6"/>
  <c r="A2451" i="6"/>
  <c r="A2450" i="6"/>
  <c r="A2449" i="6"/>
  <c r="A2448" i="6"/>
  <c r="A2447" i="6"/>
  <c r="A2446" i="6"/>
  <c r="A2445" i="6"/>
  <c r="A2444" i="6"/>
  <c r="A2443" i="6"/>
  <c r="A2442" i="6"/>
  <c r="A2441" i="6"/>
  <c r="A2440" i="6"/>
  <c r="A2439" i="6"/>
  <c r="A2438" i="6"/>
  <c r="C2437" i="6"/>
  <c r="A2431" i="6"/>
  <c r="A2430" i="6"/>
  <c r="A2429" i="6"/>
  <c r="A2428" i="6"/>
  <c r="A2427" i="6"/>
  <c r="A2426" i="6"/>
  <c r="A2425" i="6"/>
  <c r="A2424" i="6"/>
  <c r="A2423" i="6"/>
  <c r="A2422" i="6"/>
  <c r="A2421" i="6"/>
  <c r="A2420" i="6"/>
  <c r="A2419" i="6"/>
  <c r="A2418" i="6"/>
  <c r="A2417" i="6"/>
  <c r="A2416" i="6"/>
  <c r="A2415" i="6"/>
  <c r="A2414" i="6"/>
  <c r="A2413" i="6"/>
  <c r="A2412" i="6"/>
  <c r="A2411" i="6"/>
  <c r="A2410" i="6"/>
  <c r="A2409" i="6"/>
  <c r="A2408" i="6"/>
  <c r="A2407" i="6"/>
  <c r="A2406" i="6"/>
  <c r="A2405" i="6"/>
  <c r="A2404" i="6"/>
  <c r="A2403" i="6"/>
  <c r="A2402" i="6"/>
  <c r="A2401" i="6"/>
  <c r="A2400" i="6"/>
  <c r="A2399" i="6"/>
  <c r="A2398" i="6"/>
  <c r="A2397" i="6"/>
  <c r="A2396" i="6"/>
  <c r="A2395" i="6"/>
  <c r="A2394" i="6"/>
  <c r="A2393" i="6"/>
  <c r="A2392" i="6"/>
  <c r="A2391" i="6"/>
  <c r="A2390" i="6"/>
  <c r="A2389" i="6"/>
  <c r="A2388" i="6"/>
  <c r="A2387" i="6"/>
  <c r="A2386" i="6"/>
  <c r="A2385" i="6"/>
  <c r="A2384" i="6"/>
  <c r="A2383" i="6"/>
  <c r="A2382" i="6"/>
  <c r="A2381" i="6"/>
  <c r="A2380" i="6"/>
  <c r="A2379" i="6"/>
  <c r="A2378" i="6"/>
  <c r="A2377" i="6"/>
  <c r="A2376" i="6"/>
  <c r="A2375" i="6"/>
  <c r="A2374" i="6"/>
  <c r="A2373" i="6"/>
  <c r="A2372" i="6"/>
  <c r="C2371" i="6"/>
  <c r="A2365" i="6"/>
  <c r="A2364" i="6"/>
  <c r="A2363" i="6"/>
  <c r="A2362" i="6"/>
  <c r="A2361" i="6"/>
  <c r="A2360" i="6"/>
  <c r="A2359" i="6"/>
  <c r="A2358" i="6"/>
  <c r="A2357" i="6"/>
  <c r="A2356" i="6"/>
  <c r="A2355" i="6"/>
  <c r="A2354" i="6"/>
  <c r="A2353" i="6"/>
  <c r="A2352" i="6"/>
  <c r="A2351" i="6"/>
  <c r="A2350" i="6"/>
  <c r="A2349" i="6"/>
  <c r="A2348" i="6"/>
  <c r="A2347" i="6"/>
  <c r="A2346" i="6"/>
  <c r="A2345" i="6"/>
  <c r="A2344" i="6"/>
  <c r="A2343" i="6"/>
  <c r="A2342" i="6"/>
  <c r="A2341" i="6"/>
  <c r="A2340" i="6"/>
  <c r="A2339" i="6"/>
  <c r="A2338" i="6"/>
  <c r="A2337" i="6"/>
  <c r="A2336" i="6"/>
  <c r="A2335" i="6"/>
  <c r="A2334" i="6"/>
  <c r="A2333" i="6"/>
  <c r="A2332" i="6"/>
  <c r="A2331" i="6"/>
  <c r="A2330" i="6"/>
  <c r="A2329" i="6"/>
  <c r="A2328" i="6"/>
  <c r="A2327" i="6"/>
  <c r="A2326" i="6"/>
  <c r="A2325" i="6"/>
  <c r="A2324" i="6"/>
  <c r="A2323" i="6"/>
  <c r="A2322" i="6"/>
  <c r="A2321" i="6"/>
  <c r="A2320" i="6"/>
  <c r="A2319" i="6"/>
  <c r="A2318" i="6"/>
  <c r="A2317" i="6"/>
  <c r="A2316" i="6"/>
  <c r="A2315" i="6"/>
  <c r="A2314" i="6"/>
  <c r="A2313" i="6"/>
  <c r="A2312" i="6"/>
  <c r="A2311" i="6"/>
  <c r="A2310" i="6"/>
  <c r="A2309" i="6"/>
  <c r="A2308" i="6"/>
  <c r="A2307" i="6"/>
  <c r="A2306" i="6"/>
  <c r="C2305" i="6"/>
  <c r="A2299" i="6"/>
  <c r="A2298" i="6"/>
  <c r="A2297" i="6"/>
  <c r="A2296" i="6"/>
  <c r="A2295" i="6"/>
  <c r="A2294" i="6"/>
  <c r="A2293" i="6"/>
  <c r="A2292" i="6"/>
  <c r="A2291" i="6"/>
  <c r="A2290" i="6"/>
  <c r="A2289" i="6"/>
  <c r="A2288" i="6"/>
  <c r="A2287" i="6"/>
  <c r="A2286" i="6"/>
  <c r="A2285" i="6"/>
  <c r="A2284" i="6"/>
  <c r="A2283" i="6"/>
  <c r="A2282" i="6"/>
  <c r="A2281" i="6"/>
  <c r="A2280" i="6"/>
  <c r="A2279" i="6"/>
  <c r="A2278" i="6"/>
  <c r="A2277" i="6"/>
  <c r="A2276" i="6"/>
  <c r="A2275" i="6"/>
  <c r="A2274" i="6"/>
  <c r="A2273" i="6"/>
  <c r="A2272" i="6"/>
  <c r="A2271" i="6"/>
  <c r="A2270" i="6"/>
  <c r="A2269" i="6"/>
  <c r="A2268" i="6"/>
  <c r="A2267" i="6"/>
  <c r="A2266" i="6"/>
  <c r="A2265" i="6"/>
  <c r="A2264" i="6"/>
  <c r="A2263" i="6"/>
  <c r="A2262" i="6"/>
  <c r="A2261" i="6"/>
  <c r="A2260" i="6"/>
  <c r="A2259" i="6"/>
  <c r="A2258" i="6"/>
  <c r="A2257" i="6"/>
  <c r="A2256" i="6"/>
  <c r="A2255" i="6"/>
  <c r="A2254" i="6"/>
  <c r="A2253" i="6"/>
  <c r="A2252" i="6"/>
  <c r="A2251" i="6"/>
  <c r="A2250" i="6"/>
  <c r="A2249" i="6"/>
  <c r="A2248" i="6"/>
  <c r="A2247" i="6"/>
  <c r="A2246" i="6"/>
  <c r="A2245" i="6"/>
  <c r="A2244" i="6"/>
  <c r="A2243" i="6"/>
  <c r="A2242" i="6"/>
  <c r="A2241" i="6"/>
  <c r="A2240" i="6"/>
  <c r="C2239" i="6"/>
  <c r="A2233" i="6"/>
  <c r="A2232" i="6"/>
  <c r="A2231" i="6"/>
  <c r="A2230" i="6"/>
  <c r="A2229" i="6"/>
  <c r="A2228" i="6"/>
  <c r="A2227" i="6"/>
  <c r="A2226" i="6"/>
  <c r="A2225" i="6"/>
  <c r="A2224" i="6"/>
  <c r="A2223" i="6"/>
  <c r="A2222" i="6"/>
  <c r="A2221" i="6"/>
  <c r="A2220" i="6"/>
  <c r="A2219" i="6"/>
  <c r="A2218" i="6"/>
  <c r="A2217" i="6"/>
  <c r="A2216" i="6"/>
  <c r="A2215" i="6"/>
  <c r="A2214" i="6"/>
  <c r="A2213" i="6"/>
  <c r="A2212" i="6"/>
  <c r="A2211" i="6"/>
  <c r="A2210" i="6"/>
  <c r="A2209" i="6"/>
  <c r="A2208" i="6"/>
  <c r="A2207" i="6"/>
  <c r="A2206" i="6"/>
  <c r="A2205" i="6"/>
  <c r="A2204" i="6"/>
  <c r="A2203" i="6"/>
  <c r="A2202" i="6"/>
  <c r="A2201" i="6"/>
  <c r="A2200" i="6"/>
  <c r="A2199" i="6"/>
  <c r="A2198" i="6"/>
  <c r="A2197" i="6"/>
  <c r="A2196" i="6"/>
  <c r="A2195" i="6"/>
  <c r="A2194" i="6"/>
  <c r="A2193" i="6"/>
  <c r="A2192" i="6"/>
  <c r="A2191" i="6"/>
  <c r="A2190" i="6"/>
  <c r="A2189" i="6"/>
  <c r="A2188" i="6"/>
  <c r="A2187" i="6"/>
  <c r="A2186" i="6"/>
  <c r="A2185" i="6"/>
  <c r="A2184" i="6"/>
  <c r="A2183" i="6"/>
  <c r="A2182" i="6"/>
  <c r="A2181" i="6"/>
  <c r="A2180" i="6"/>
  <c r="A2179" i="6"/>
  <c r="A2178" i="6"/>
  <c r="A2177" i="6"/>
  <c r="A2176" i="6"/>
  <c r="A2175" i="6"/>
  <c r="A2174" i="6"/>
  <c r="C2173" i="6"/>
  <c r="A2167" i="6"/>
  <c r="A2166" i="6"/>
  <c r="A2165" i="6"/>
  <c r="A2164" i="6"/>
  <c r="A2163" i="6"/>
  <c r="A2162" i="6"/>
  <c r="A2161" i="6"/>
  <c r="A2160" i="6"/>
  <c r="A2159" i="6"/>
  <c r="A2158" i="6"/>
  <c r="A2157" i="6"/>
  <c r="A2156" i="6"/>
  <c r="A2155" i="6"/>
  <c r="A2154" i="6"/>
  <c r="A2153" i="6"/>
  <c r="A2152" i="6"/>
  <c r="A2151" i="6"/>
  <c r="A2150" i="6"/>
  <c r="A2149" i="6"/>
  <c r="A2148" i="6"/>
  <c r="A2147" i="6"/>
  <c r="A2146" i="6"/>
  <c r="A2145" i="6"/>
  <c r="A2144" i="6"/>
  <c r="A2143" i="6"/>
  <c r="A2142" i="6"/>
  <c r="A2141" i="6"/>
  <c r="A2140" i="6"/>
  <c r="A2139" i="6"/>
  <c r="A2138" i="6"/>
  <c r="A2137" i="6"/>
  <c r="A2136" i="6"/>
  <c r="A2135" i="6"/>
  <c r="A2134" i="6"/>
  <c r="A2133" i="6"/>
  <c r="A2132" i="6"/>
  <c r="A2131" i="6"/>
  <c r="A2130" i="6"/>
  <c r="A2129" i="6"/>
  <c r="A2128" i="6"/>
  <c r="A2127" i="6"/>
  <c r="A2126" i="6"/>
  <c r="A2125" i="6"/>
  <c r="A2124" i="6"/>
  <c r="A2123" i="6"/>
  <c r="A2122" i="6"/>
  <c r="A2121" i="6"/>
  <c r="A2120" i="6"/>
  <c r="A2119" i="6"/>
  <c r="A2118" i="6"/>
  <c r="A2117" i="6"/>
  <c r="A2116" i="6"/>
  <c r="A2115" i="6"/>
  <c r="A2114" i="6"/>
  <c r="A2113" i="6"/>
  <c r="A2112" i="6"/>
  <c r="A2111" i="6"/>
  <c r="A2110" i="6"/>
  <c r="A2109" i="6"/>
  <c r="A2108" i="6"/>
  <c r="C2107" i="6"/>
  <c r="A2101" i="6"/>
  <c r="A2100" i="6"/>
  <c r="A2099" i="6"/>
  <c r="A2098" i="6"/>
  <c r="A2097" i="6"/>
  <c r="A2096" i="6"/>
  <c r="A2095" i="6"/>
  <c r="A2094" i="6"/>
  <c r="A2093" i="6"/>
  <c r="A2092" i="6"/>
  <c r="A2091" i="6"/>
  <c r="A2090" i="6"/>
  <c r="A2089" i="6"/>
  <c r="A2088" i="6"/>
  <c r="A2087" i="6"/>
  <c r="A2086" i="6"/>
  <c r="A2085" i="6"/>
  <c r="A2084" i="6"/>
  <c r="A2083" i="6"/>
  <c r="A2082" i="6"/>
  <c r="A2081" i="6"/>
  <c r="A2080" i="6"/>
  <c r="A2079" i="6"/>
  <c r="A2078" i="6"/>
  <c r="A2077" i="6"/>
  <c r="A2076" i="6"/>
  <c r="A2075" i="6"/>
  <c r="A2074" i="6"/>
  <c r="A2073" i="6"/>
  <c r="A2072" i="6"/>
  <c r="A2071" i="6"/>
  <c r="A2070" i="6"/>
  <c r="A2069" i="6"/>
  <c r="A2068" i="6"/>
  <c r="A2067" i="6"/>
  <c r="A2066" i="6"/>
  <c r="A2065" i="6"/>
  <c r="A2064" i="6"/>
  <c r="A2063" i="6"/>
  <c r="A2062" i="6"/>
  <c r="A2061" i="6"/>
  <c r="A2060" i="6"/>
  <c r="A2059" i="6"/>
  <c r="A2058" i="6"/>
  <c r="A2057" i="6"/>
  <c r="A2056" i="6"/>
  <c r="A2055" i="6"/>
  <c r="A2054" i="6"/>
  <c r="A2053" i="6"/>
  <c r="A2052" i="6"/>
  <c r="A2051" i="6"/>
  <c r="A2050" i="6"/>
  <c r="A2049" i="6"/>
  <c r="A2048" i="6"/>
  <c r="A2047" i="6"/>
  <c r="A2046" i="6"/>
  <c r="A2045" i="6"/>
  <c r="A2044" i="6"/>
  <c r="A2043" i="6"/>
  <c r="A2042" i="6"/>
  <c r="C2041" i="6"/>
  <c r="A2035" i="6"/>
  <c r="A2034" i="6"/>
  <c r="A2033" i="6"/>
  <c r="A2032" i="6"/>
  <c r="A2031" i="6"/>
  <c r="A2030" i="6"/>
  <c r="A2029" i="6"/>
  <c r="A2028" i="6"/>
  <c r="A2027" i="6"/>
  <c r="A2026" i="6"/>
  <c r="A2025" i="6"/>
  <c r="A2024" i="6"/>
  <c r="A2023" i="6"/>
  <c r="A2022" i="6"/>
  <c r="A2021" i="6"/>
  <c r="A2020" i="6"/>
  <c r="A2019" i="6"/>
  <c r="A2018" i="6"/>
  <c r="A2017" i="6"/>
  <c r="A2016" i="6"/>
  <c r="A2015" i="6"/>
  <c r="A2014" i="6"/>
  <c r="A2013" i="6"/>
  <c r="A2012" i="6"/>
  <c r="A2011" i="6"/>
  <c r="A2010" i="6"/>
  <c r="A2009" i="6"/>
  <c r="A2008" i="6"/>
  <c r="A2007" i="6"/>
  <c r="A2006" i="6"/>
  <c r="A2005" i="6"/>
  <c r="A2004" i="6"/>
  <c r="A2003" i="6"/>
  <c r="A2002" i="6"/>
  <c r="A2001" i="6"/>
  <c r="A2000" i="6"/>
  <c r="A1999" i="6"/>
  <c r="A1998" i="6"/>
  <c r="A1997" i="6"/>
  <c r="A1996" i="6"/>
  <c r="A1995" i="6"/>
  <c r="A1994" i="6"/>
  <c r="A1993" i="6"/>
  <c r="A1992" i="6"/>
  <c r="A1991" i="6"/>
  <c r="A1990" i="6"/>
  <c r="A1989" i="6"/>
  <c r="A1988" i="6"/>
  <c r="A1987" i="6"/>
  <c r="A1986" i="6"/>
  <c r="A1985" i="6"/>
  <c r="A1984" i="6"/>
  <c r="A1983" i="6"/>
  <c r="A1982" i="6"/>
  <c r="A1981" i="6"/>
  <c r="A1980" i="6"/>
  <c r="A1979" i="6"/>
  <c r="A1978" i="6"/>
  <c r="A1977" i="6"/>
  <c r="A1976" i="6"/>
  <c r="C1975" i="6"/>
  <c r="A1969" i="6"/>
  <c r="A1968" i="6"/>
  <c r="A1967" i="6"/>
  <c r="A1966" i="6"/>
  <c r="A1965" i="6"/>
  <c r="A1964" i="6"/>
  <c r="A1963" i="6"/>
  <c r="A1962" i="6"/>
  <c r="A1961" i="6"/>
  <c r="A1960" i="6"/>
  <c r="A1959" i="6"/>
  <c r="A1958" i="6"/>
  <c r="A1957" i="6"/>
  <c r="A1956" i="6"/>
  <c r="A1955" i="6"/>
  <c r="A1954" i="6"/>
  <c r="A1953" i="6"/>
  <c r="A1952" i="6"/>
  <c r="A1951" i="6"/>
  <c r="A1950" i="6"/>
  <c r="A1949" i="6"/>
  <c r="A1948" i="6"/>
  <c r="A1947" i="6"/>
  <c r="A1946" i="6"/>
  <c r="A1945" i="6"/>
  <c r="A1944" i="6"/>
  <c r="A1943" i="6"/>
  <c r="A1942" i="6"/>
  <c r="A1941" i="6"/>
  <c r="A1940" i="6"/>
  <c r="A1939" i="6"/>
  <c r="A1938" i="6"/>
  <c r="A1937" i="6"/>
  <c r="A1936" i="6"/>
  <c r="A1935" i="6"/>
  <c r="A1934" i="6"/>
  <c r="A1933" i="6"/>
  <c r="A1932" i="6"/>
  <c r="A1931" i="6"/>
  <c r="A1930" i="6"/>
  <c r="A1929" i="6"/>
  <c r="A1928" i="6"/>
  <c r="A1927" i="6"/>
  <c r="A1926" i="6"/>
  <c r="A1925" i="6"/>
  <c r="A1924" i="6"/>
  <c r="A1923" i="6"/>
  <c r="A1922" i="6"/>
  <c r="A1921" i="6"/>
  <c r="A1920" i="6"/>
  <c r="A1919" i="6"/>
  <c r="A1918" i="6"/>
  <c r="A1917" i="6"/>
  <c r="A1916" i="6"/>
  <c r="A1915" i="6"/>
  <c r="A1914" i="6"/>
  <c r="A1913" i="6"/>
  <c r="A1912" i="6"/>
  <c r="A1911" i="6"/>
  <c r="A1910" i="6"/>
  <c r="C1909" i="6"/>
  <c r="A1899" i="6"/>
  <c r="A1898" i="6"/>
  <c r="A1897" i="6"/>
  <c r="A1896" i="6"/>
  <c r="A1895" i="6"/>
  <c r="A1894" i="6"/>
  <c r="A1893" i="6"/>
  <c r="A1892" i="6"/>
  <c r="A1891" i="6"/>
  <c r="A1890" i="6"/>
  <c r="A1889" i="6"/>
  <c r="A1888" i="6"/>
  <c r="A1887" i="6"/>
  <c r="A1886" i="6"/>
  <c r="A1885" i="6"/>
  <c r="A1884" i="6"/>
  <c r="A1883" i="6"/>
  <c r="A1882" i="6"/>
  <c r="A1881" i="6"/>
  <c r="A1880" i="6"/>
  <c r="A1879" i="6"/>
  <c r="A1878" i="6"/>
  <c r="A1877" i="6"/>
  <c r="A1876" i="6"/>
  <c r="A1875" i="6"/>
  <c r="A1874" i="6"/>
  <c r="A1873" i="6"/>
  <c r="A1872" i="6"/>
  <c r="A1871" i="6"/>
  <c r="A1870" i="6"/>
  <c r="A1869" i="6"/>
  <c r="A1868" i="6"/>
  <c r="A1867" i="6"/>
  <c r="A1866" i="6"/>
  <c r="A1865" i="6"/>
  <c r="A1864" i="6"/>
  <c r="A1863" i="6"/>
  <c r="A1862" i="6"/>
  <c r="A1861" i="6"/>
  <c r="A1860" i="6"/>
  <c r="A1853" i="6"/>
  <c r="A1852" i="6"/>
  <c r="A1851" i="6"/>
  <c r="A1850" i="6"/>
  <c r="A1849" i="6"/>
  <c r="A1848" i="6"/>
  <c r="A1847" i="6"/>
  <c r="A1846" i="6"/>
  <c r="A1845" i="6"/>
  <c r="A1844" i="6"/>
  <c r="A1843" i="6"/>
  <c r="A1842" i="6"/>
  <c r="A1841" i="6"/>
  <c r="A1840" i="6"/>
  <c r="A1839" i="6"/>
  <c r="A1838" i="6"/>
  <c r="A1837" i="6"/>
  <c r="A1836" i="6"/>
  <c r="A1835" i="6"/>
  <c r="A1834" i="6"/>
  <c r="A1833" i="6"/>
  <c r="A1832" i="6"/>
  <c r="A1831" i="6"/>
  <c r="A1830" i="6"/>
  <c r="A1829" i="6"/>
  <c r="A1828" i="6"/>
  <c r="A1827" i="6"/>
  <c r="A1826" i="6"/>
  <c r="A1825" i="6"/>
  <c r="A1824" i="6"/>
  <c r="A1823" i="6"/>
  <c r="A1822" i="6"/>
  <c r="A1821" i="6"/>
  <c r="A1820" i="6"/>
  <c r="A1819" i="6"/>
  <c r="A1818" i="6"/>
  <c r="A1817" i="6"/>
  <c r="A1816" i="6"/>
  <c r="A1815" i="6"/>
  <c r="A1814" i="6"/>
  <c r="A1807" i="6"/>
  <c r="A1806" i="6"/>
  <c r="A1805" i="6"/>
  <c r="A1804" i="6"/>
  <c r="A1803" i="6"/>
  <c r="A1802" i="6"/>
  <c r="A1801" i="6"/>
  <c r="A1800" i="6"/>
  <c r="A1799" i="6"/>
  <c r="A1798" i="6"/>
  <c r="A1797" i="6"/>
  <c r="A1796" i="6"/>
  <c r="A1795" i="6"/>
  <c r="A1794" i="6"/>
  <c r="A1793" i="6"/>
  <c r="A1792" i="6"/>
  <c r="A1791" i="6"/>
  <c r="A1790" i="6"/>
  <c r="A1789" i="6"/>
  <c r="A1788" i="6"/>
  <c r="A1787" i="6"/>
  <c r="A1786" i="6"/>
  <c r="A1785" i="6"/>
  <c r="A1784" i="6"/>
  <c r="A1783" i="6"/>
  <c r="A1782" i="6"/>
  <c r="A1781" i="6"/>
  <c r="A1780" i="6"/>
  <c r="A1779" i="6"/>
  <c r="A1778" i="6"/>
  <c r="A1777" i="6"/>
  <c r="A1776" i="6"/>
  <c r="A1775" i="6"/>
  <c r="A1774" i="6"/>
  <c r="A1773" i="6"/>
  <c r="A1772" i="6"/>
  <c r="A1771" i="6"/>
  <c r="A1770" i="6"/>
  <c r="A1769" i="6"/>
  <c r="A1768" i="6"/>
  <c r="A1761" i="6"/>
  <c r="A1760" i="6"/>
  <c r="A1759" i="6"/>
  <c r="A1758" i="6"/>
  <c r="A1757" i="6"/>
  <c r="A1756" i="6"/>
  <c r="A1755" i="6"/>
  <c r="A1754" i="6"/>
  <c r="A1753" i="6"/>
  <c r="A1752" i="6"/>
  <c r="A1751" i="6"/>
  <c r="A1750" i="6"/>
  <c r="A1749" i="6"/>
  <c r="A1748" i="6"/>
  <c r="A1747" i="6"/>
  <c r="A1746" i="6"/>
  <c r="A1745" i="6"/>
  <c r="A1744" i="6"/>
  <c r="A1743" i="6"/>
  <c r="A1742" i="6"/>
  <c r="A1741" i="6"/>
  <c r="A1740" i="6"/>
  <c r="A1739" i="6"/>
  <c r="A1738" i="6"/>
  <c r="A1737" i="6"/>
  <c r="A1736" i="6"/>
  <c r="A1735" i="6"/>
  <c r="A1734" i="6"/>
  <c r="A1733" i="6"/>
  <c r="A1732" i="6"/>
  <c r="A1731" i="6"/>
  <c r="A1730" i="6"/>
  <c r="A1729" i="6"/>
  <c r="A1728" i="6"/>
  <c r="A1727" i="6"/>
  <c r="A1726" i="6"/>
  <c r="A1725" i="6"/>
  <c r="A1724" i="6"/>
  <c r="A1723" i="6"/>
  <c r="A1722" i="6"/>
  <c r="A1715" i="6"/>
  <c r="A1714" i="6"/>
  <c r="B1714" i="6" s="1"/>
  <c r="A1713" i="6"/>
  <c r="A1712" i="6"/>
  <c r="A1711" i="6"/>
  <c r="B1711" i="6" s="1"/>
  <c r="A1710" i="6"/>
  <c r="B1710" i="6" s="1"/>
  <c r="A1709" i="6"/>
  <c r="B1709" i="6" s="1"/>
  <c r="A1708" i="6"/>
  <c r="A1707" i="6"/>
  <c r="B1707" i="6" s="1"/>
  <c r="A1706" i="6"/>
  <c r="A1705" i="6"/>
  <c r="A1704" i="6"/>
  <c r="A1703" i="6"/>
  <c r="A1702" i="6"/>
  <c r="A1701" i="6"/>
  <c r="A1700" i="6"/>
  <c r="A1699" i="6"/>
  <c r="A1698" i="6"/>
  <c r="A1697" i="6"/>
  <c r="A1696" i="6"/>
  <c r="A1695" i="6"/>
  <c r="A1694" i="6"/>
  <c r="A1693" i="6"/>
  <c r="A1692" i="6"/>
  <c r="A1691" i="6"/>
  <c r="A1690" i="6"/>
  <c r="A1689" i="6"/>
  <c r="A1688" i="6"/>
  <c r="A1687" i="6"/>
  <c r="A1686" i="6"/>
  <c r="A1685" i="6"/>
  <c r="A1684" i="6"/>
  <c r="A1683" i="6"/>
  <c r="A1682" i="6"/>
  <c r="A1681" i="6"/>
  <c r="A1680" i="6"/>
  <c r="A1679" i="6"/>
  <c r="A1678" i="6"/>
  <c r="A1677" i="6"/>
  <c r="A1676" i="6"/>
  <c r="A1669" i="6"/>
  <c r="A1668" i="6"/>
  <c r="B1668" i="6" s="1"/>
  <c r="A1667" i="6"/>
  <c r="B1667" i="6" s="1"/>
  <c r="A1666" i="6"/>
  <c r="B1666" i="6" s="1"/>
  <c r="A1665" i="6"/>
  <c r="A1664" i="6"/>
  <c r="B1664" i="6" s="1"/>
  <c r="A1663" i="6"/>
  <c r="A1662" i="6"/>
  <c r="B1662" i="6" s="1"/>
  <c r="A1661" i="6"/>
  <c r="B1661" i="6" s="1"/>
  <c r="A1660" i="6"/>
  <c r="A1659" i="6"/>
  <c r="A1658" i="6"/>
  <c r="A1657" i="6"/>
  <c r="A1656" i="6"/>
  <c r="A1655" i="6"/>
  <c r="A1654" i="6"/>
  <c r="A1653" i="6"/>
  <c r="A1652" i="6"/>
  <c r="A1651" i="6"/>
  <c r="A1650" i="6"/>
  <c r="A1649" i="6"/>
  <c r="A1648" i="6"/>
  <c r="A1647" i="6"/>
  <c r="A1646" i="6"/>
  <c r="A1645" i="6"/>
  <c r="A1644" i="6"/>
  <c r="A1643" i="6"/>
  <c r="A1642" i="6"/>
  <c r="A1641" i="6"/>
  <c r="A1640" i="6"/>
  <c r="A1639" i="6"/>
  <c r="A1638" i="6"/>
  <c r="A1637" i="6"/>
  <c r="A1636" i="6"/>
  <c r="A1635" i="6"/>
  <c r="A1634" i="6"/>
  <c r="A1633" i="6"/>
  <c r="A1632" i="6"/>
  <c r="A1631" i="6"/>
  <c r="A1630" i="6"/>
  <c r="A1623" i="6"/>
  <c r="A1622" i="6"/>
  <c r="B1621" i="6"/>
  <c r="A1621" i="6"/>
  <c r="A1620" i="6"/>
  <c r="B1620" i="6" s="1"/>
  <c r="A1619" i="6"/>
  <c r="A1618" i="6"/>
  <c r="A1617" i="6"/>
  <c r="A1616" i="6"/>
  <c r="A1615" i="6"/>
  <c r="A1614" i="6"/>
  <c r="B1614" i="6" s="1"/>
  <c r="A1613" i="6"/>
  <c r="A1612" i="6"/>
  <c r="A1611" i="6"/>
  <c r="A1610" i="6"/>
  <c r="A1609" i="6"/>
  <c r="A1608" i="6"/>
  <c r="A1607" i="6"/>
  <c r="A1606" i="6"/>
  <c r="A1605" i="6"/>
  <c r="A1604" i="6"/>
  <c r="A1603" i="6"/>
  <c r="A1602" i="6"/>
  <c r="A1601" i="6"/>
  <c r="A1600" i="6"/>
  <c r="A1599" i="6"/>
  <c r="A1598" i="6"/>
  <c r="A1597" i="6"/>
  <c r="A1596" i="6"/>
  <c r="A1595" i="6"/>
  <c r="A1594" i="6"/>
  <c r="A1593" i="6"/>
  <c r="A1592" i="6"/>
  <c r="A1591" i="6"/>
  <c r="A1590" i="6"/>
  <c r="A1589" i="6"/>
  <c r="A1588" i="6"/>
  <c r="A1587" i="6"/>
  <c r="A1586" i="6"/>
  <c r="A1585" i="6"/>
  <c r="A1584" i="6"/>
  <c r="A1577" i="6"/>
  <c r="B1577" i="6" s="1"/>
  <c r="A1576" i="6"/>
  <c r="B1576" i="6" s="1"/>
  <c r="A1575" i="6"/>
  <c r="B1575" i="6" s="1"/>
  <c r="A1574" i="6"/>
  <c r="A1573" i="6"/>
  <c r="B1573" i="6" s="1"/>
  <c r="A1572" i="6"/>
  <c r="A1571" i="6"/>
  <c r="B1571" i="6" s="1"/>
  <c r="A1570" i="6"/>
  <c r="A1569" i="6"/>
  <c r="B1569" i="6" s="1"/>
  <c r="A1568" i="6"/>
  <c r="A1567" i="6"/>
  <c r="A1566" i="6"/>
  <c r="A1565" i="6"/>
  <c r="A1564" i="6"/>
  <c r="A1563" i="6"/>
  <c r="A1562" i="6"/>
  <c r="A1561" i="6"/>
  <c r="A1560" i="6"/>
  <c r="A1559" i="6"/>
  <c r="A1558" i="6"/>
  <c r="A1557" i="6"/>
  <c r="A1556" i="6"/>
  <c r="A1555" i="6"/>
  <c r="A1554" i="6"/>
  <c r="A1553" i="6"/>
  <c r="A1552" i="6"/>
  <c r="A1551" i="6"/>
  <c r="A1550" i="6"/>
  <c r="A1549" i="6"/>
  <c r="A1548" i="6"/>
  <c r="A1547" i="6"/>
  <c r="A1546" i="6"/>
  <c r="A1545" i="6"/>
  <c r="A1544" i="6"/>
  <c r="A1543" i="6"/>
  <c r="A1542" i="6"/>
  <c r="A1541" i="6"/>
  <c r="A1540" i="6"/>
  <c r="A1539" i="6"/>
  <c r="A1538" i="6"/>
  <c r="A1526" i="6"/>
  <c r="A1525" i="6"/>
  <c r="A1524" i="6"/>
  <c r="A1523" i="6"/>
  <c r="A1522" i="6"/>
  <c r="A1521" i="6"/>
  <c r="A1520" i="6"/>
  <c r="A1519" i="6"/>
  <c r="A1518" i="6"/>
  <c r="A1517" i="6"/>
  <c r="A1516" i="6"/>
  <c r="A1515" i="6"/>
  <c r="A1514" i="6"/>
  <c r="A1513" i="6"/>
  <c r="A1512" i="6"/>
  <c r="A1511" i="6"/>
  <c r="A1510" i="6"/>
  <c r="A1509" i="6"/>
  <c r="A1508" i="6"/>
  <c r="A1507" i="6"/>
  <c r="A1506" i="6"/>
  <c r="A1505" i="6"/>
  <c r="A1504" i="6"/>
  <c r="A1503" i="6"/>
  <c r="A1502" i="6"/>
  <c r="A1501" i="6"/>
  <c r="A1500" i="6"/>
  <c r="A1499" i="6"/>
  <c r="A1498" i="6"/>
  <c r="A1497" i="6"/>
  <c r="A1496" i="6"/>
  <c r="A1495" i="6"/>
  <c r="A1494" i="6"/>
  <c r="A1493" i="6"/>
  <c r="A1492" i="6"/>
  <c r="A1491" i="6"/>
  <c r="A1490" i="6"/>
  <c r="A1489" i="6"/>
  <c r="A1488" i="6"/>
  <c r="A1487" i="6"/>
  <c r="E1484" i="6"/>
  <c r="B1484" i="6"/>
  <c r="C1486" i="6" s="1"/>
  <c r="A1479" i="6"/>
  <c r="A1478" i="6"/>
  <c r="A1477" i="6"/>
  <c r="A1476" i="6"/>
  <c r="A1475" i="6"/>
  <c r="A1474" i="6"/>
  <c r="A1473" i="6"/>
  <c r="A1472" i="6"/>
  <c r="A1471" i="6"/>
  <c r="A1470" i="6"/>
  <c r="A1469" i="6"/>
  <c r="A1468" i="6"/>
  <c r="A1467" i="6"/>
  <c r="A1466" i="6"/>
  <c r="A1465" i="6"/>
  <c r="A1464" i="6"/>
  <c r="A1463" i="6"/>
  <c r="A1462" i="6"/>
  <c r="A1461" i="6"/>
  <c r="A1460" i="6"/>
  <c r="A1459" i="6"/>
  <c r="A1458" i="6"/>
  <c r="A1457" i="6"/>
  <c r="A1456" i="6"/>
  <c r="A1455" i="6"/>
  <c r="A1454" i="6"/>
  <c r="A1453" i="6"/>
  <c r="A1452" i="6"/>
  <c r="A1451" i="6"/>
  <c r="A1450" i="6"/>
  <c r="A1449" i="6"/>
  <c r="A1448" i="6"/>
  <c r="A1447" i="6"/>
  <c r="A1446" i="6"/>
  <c r="A1445" i="6"/>
  <c r="A1444" i="6"/>
  <c r="A1443" i="6"/>
  <c r="A1442" i="6"/>
  <c r="A1441" i="6"/>
  <c r="A1440" i="6"/>
  <c r="E1437" i="6"/>
  <c r="B1437" i="6"/>
  <c r="C1439" i="6" s="1"/>
  <c r="A1432" i="6"/>
  <c r="A1431" i="6"/>
  <c r="A1430" i="6"/>
  <c r="A1429" i="6"/>
  <c r="A1428" i="6"/>
  <c r="A1427" i="6"/>
  <c r="A1426" i="6"/>
  <c r="A1425" i="6"/>
  <c r="A1424" i="6"/>
  <c r="A1423" i="6"/>
  <c r="A1422" i="6"/>
  <c r="A1421" i="6"/>
  <c r="A1420" i="6"/>
  <c r="A1419" i="6"/>
  <c r="A1418" i="6"/>
  <c r="A1417" i="6"/>
  <c r="A1416" i="6"/>
  <c r="A1415" i="6"/>
  <c r="A1414" i="6"/>
  <c r="A1413" i="6"/>
  <c r="A1412" i="6"/>
  <c r="A1411" i="6"/>
  <c r="A1410" i="6"/>
  <c r="A1409" i="6"/>
  <c r="A1408" i="6"/>
  <c r="A1407" i="6"/>
  <c r="A1406" i="6"/>
  <c r="A1405" i="6"/>
  <c r="A1404" i="6"/>
  <c r="A1403" i="6"/>
  <c r="A1402" i="6"/>
  <c r="A1401" i="6"/>
  <c r="A1400" i="6"/>
  <c r="A1399" i="6"/>
  <c r="A1398" i="6"/>
  <c r="A1397" i="6"/>
  <c r="A1396" i="6"/>
  <c r="A1395" i="6"/>
  <c r="A1394" i="6"/>
  <c r="A1393" i="6"/>
  <c r="E1390" i="6"/>
  <c r="F1392" i="6" s="1"/>
  <c r="G1392" i="6" s="1"/>
  <c r="B1390" i="6"/>
  <c r="A1385" i="6"/>
  <c r="A1384" i="6"/>
  <c r="A1383" i="6"/>
  <c r="A1382" i="6"/>
  <c r="A1381" i="6"/>
  <c r="A1380" i="6"/>
  <c r="A1379" i="6"/>
  <c r="A1378" i="6"/>
  <c r="A1377" i="6"/>
  <c r="A1376" i="6"/>
  <c r="A1375" i="6"/>
  <c r="A1374" i="6"/>
  <c r="A1373" i="6"/>
  <c r="A1372" i="6"/>
  <c r="A1371" i="6"/>
  <c r="A1370" i="6"/>
  <c r="A1369" i="6"/>
  <c r="A1368" i="6"/>
  <c r="A1367" i="6"/>
  <c r="A1366" i="6"/>
  <c r="A1365" i="6"/>
  <c r="A1364" i="6"/>
  <c r="A1363" i="6"/>
  <c r="A1362" i="6"/>
  <c r="A1361" i="6"/>
  <c r="A1360" i="6"/>
  <c r="A1359" i="6"/>
  <c r="A1358" i="6"/>
  <c r="A1357" i="6"/>
  <c r="A1356" i="6"/>
  <c r="A1355" i="6"/>
  <c r="A1354" i="6"/>
  <c r="A1353" i="6"/>
  <c r="A1352" i="6"/>
  <c r="A1351" i="6"/>
  <c r="A1350" i="6"/>
  <c r="A1349" i="6"/>
  <c r="A1348" i="6"/>
  <c r="A1347" i="6"/>
  <c r="A1346" i="6"/>
  <c r="E1343" i="6"/>
  <c r="F1345" i="6" s="1"/>
  <c r="G1345" i="6" s="1"/>
  <c r="B1343" i="6"/>
  <c r="A1338" i="6"/>
  <c r="A1337" i="6"/>
  <c r="A1336" i="6"/>
  <c r="A1335" i="6"/>
  <c r="A1334" i="6"/>
  <c r="A1333" i="6"/>
  <c r="A1332" i="6"/>
  <c r="A1331" i="6"/>
  <c r="A1330" i="6"/>
  <c r="A1329" i="6"/>
  <c r="A1328" i="6"/>
  <c r="A1327" i="6"/>
  <c r="A1326" i="6"/>
  <c r="A1325" i="6"/>
  <c r="A1324" i="6"/>
  <c r="A1323" i="6"/>
  <c r="A1322" i="6"/>
  <c r="A1321" i="6"/>
  <c r="A1320" i="6"/>
  <c r="A1319" i="6"/>
  <c r="A1318" i="6"/>
  <c r="A1317" i="6"/>
  <c r="A1316" i="6"/>
  <c r="A1315" i="6"/>
  <c r="A1314" i="6"/>
  <c r="A1313" i="6"/>
  <c r="A1312" i="6"/>
  <c r="A1311" i="6"/>
  <c r="A1310" i="6"/>
  <c r="A1309" i="6"/>
  <c r="A1308" i="6"/>
  <c r="A1307" i="6"/>
  <c r="A1306" i="6"/>
  <c r="A1305" i="6"/>
  <c r="A1304" i="6"/>
  <c r="A1303" i="6"/>
  <c r="A1302" i="6"/>
  <c r="A1301" i="6"/>
  <c r="A1300" i="6"/>
  <c r="A1299" i="6"/>
  <c r="E1296" i="6"/>
  <c r="F1298" i="6" s="1"/>
  <c r="G1298" i="6" s="1"/>
  <c r="B1296" i="6"/>
  <c r="C1298" i="6" s="1"/>
  <c r="D1298" i="6" s="1"/>
  <c r="A1291" i="6"/>
  <c r="A1290" i="6"/>
  <c r="A1289" i="6"/>
  <c r="A1288" i="6"/>
  <c r="A1287" i="6"/>
  <c r="A1286" i="6"/>
  <c r="A1285" i="6"/>
  <c r="A1284" i="6"/>
  <c r="A1283" i="6"/>
  <c r="A1282" i="6"/>
  <c r="A1281" i="6"/>
  <c r="A1280" i="6"/>
  <c r="A1279" i="6"/>
  <c r="A1278" i="6"/>
  <c r="A1277" i="6"/>
  <c r="A1276" i="6"/>
  <c r="A1275" i="6"/>
  <c r="A1274" i="6"/>
  <c r="A1273" i="6"/>
  <c r="A1272" i="6"/>
  <c r="A1271" i="6"/>
  <c r="A1270" i="6"/>
  <c r="A1269" i="6"/>
  <c r="A1268" i="6"/>
  <c r="A1267" i="6"/>
  <c r="A1266" i="6"/>
  <c r="A1265" i="6"/>
  <c r="A1264" i="6"/>
  <c r="A1263" i="6"/>
  <c r="A1262" i="6"/>
  <c r="A1261" i="6"/>
  <c r="A1260" i="6"/>
  <c r="A1259" i="6"/>
  <c r="A1258" i="6"/>
  <c r="A1257" i="6"/>
  <c r="A1256" i="6"/>
  <c r="A1255" i="6"/>
  <c r="A1254" i="6"/>
  <c r="A1253" i="6"/>
  <c r="A1252" i="6"/>
  <c r="E1249" i="6"/>
  <c r="B1249" i="6"/>
  <c r="C1251" i="6" s="1"/>
  <c r="D1251" i="6" s="1"/>
  <c r="A1244" i="6"/>
  <c r="A1243" i="6"/>
  <c r="A1242" i="6"/>
  <c r="A1241" i="6"/>
  <c r="A1240" i="6"/>
  <c r="A1239" i="6"/>
  <c r="A1238" i="6"/>
  <c r="A1237" i="6"/>
  <c r="A1236" i="6"/>
  <c r="A1235" i="6"/>
  <c r="A1234" i="6"/>
  <c r="A1233" i="6"/>
  <c r="A1232" i="6"/>
  <c r="A1231" i="6"/>
  <c r="A1230" i="6"/>
  <c r="A1229" i="6"/>
  <c r="A1228" i="6"/>
  <c r="A1227" i="6"/>
  <c r="A1226" i="6"/>
  <c r="A1225" i="6"/>
  <c r="A1224" i="6"/>
  <c r="A1223" i="6"/>
  <c r="A1222" i="6"/>
  <c r="A1221" i="6"/>
  <c r="A1220" i="6"/>
  <c r="A1219" i="6"/>
  <c r="A1218" i="6"/>
  <c r="A1217" i="6"/>
  <c r="A1216" i="6"/>
  <c r="A1215" i="6"/>
  <c r="A1214" i="6"/>
  <c r="A1213" i="6"/>
  <c r="A1212" i="6"/>
  <c r="A1211" i="6"/>
  <c r="A1210" i="6"/>
  <c r="A1209" i="6"/>
  <c r="A1208" i="6"/>
  <c r="A1207" i="6"/>
  <c r="A1206" i="6"/>
  <c r="A1205" i="6"/>
  <c r="E1202" i="6"/>
  <c r="F1204" i="6" s="1"/>
  <c r="G1204" i="6" s="1"/>
  <c r="B1202" i="6"/>
  <c r="C1204" i="6" s="1"/>
  <c r="D1204" i="6" s="1"/>
  <c r="A1197" i="6"/>
  <c r="A1196" i="6"/>
  <c r="A1195" i="6"/>
  <c r="A1194" i="6"/>
  <c r="A1193" i="6"/>
  <c r="A1192" i="6"/>
  <c r="A1191" i="6"/>
  <c r="A1190" i="6"/>
  <c r="A1189" i="6"/>
  <c r="A1188" i="6"/>
  <c r="A1187" i="6"/>
  <c r="A1186" i="6"/>
  <c r="A1185" i="6"/>
  <c r="A1184" i="6"/>
  <c r="A1183" i="6"/>
  <c r="A1182" i="6"/>
  <c r="A1181" i="6"/>
  <c r="A1180" i="6"/>
  <c r="A1179" i="6"/>
  <c r="A1178" i="6"/>
  <c r="A1177" i="6"/>
  <c r="A1176" i="6"/>
  <c r="A1175" i="6"/>
  <c r="A1174" i="6"/>
  <c r="A1173" i="6"/>
  <c r="A1172" i="6"/>
  <c r="A1171" i="6"/>
  <c r="A1170" i="6"/>
  <c r="A1169" i="6"/>
  <c r="A1168" i="6"/>
  <c r="A1167" i="6"/>
  <c r="A1166" i="6"/>
  <c r="A1165" i="6"/>
  <c r="A1164" i="6"/>
  <c r="A1163" i="6"/>
  <c r="A1162" i="6"/>
  <c r="A1161" i="6"/>
  <c r="A1160" i="6"/>
  <c r="A1159" i="6"/>
  <c r="A1158" i="6"/>
  <c r="E1155" i="6"/>
  <c r="F1157" i="6" s="1"/>
  <c r="G1157" i="6" s="1"/>
  <c r="B1155" i="6"/>
  <c r="A1150" i="6"/>
  <c r="A1149" i="6"/>
  <c r="A1148" i="6"/>
  <c r="A1147" i="6"/>
  <c r="A1146" i="6"/>
  <c r="A1145" i="6"/>
  <c r="A1144" i="6"/>
  <c r="A1143" i="6"/>
  <c r="A1142" i="6"/>
  <c r="A1141" i="6"/>
  <c r="A1140" i="6"/>
  <c r="A1139" i="6"/>
  <c r="A1138" i="6"/>
  <c r="A1137" i="6"/>
  <c r="A1136" i="6"/>
  <c r="A1135" i="6"/>
  <c r="A1134" i="6"/>
  <c r="A1133" i="6"/>
  <c r="A1132" i="6"/>
  <c r="A1131" i="6"/>
  <c r="A1130" i="6"/>
  <c r="A1129" i="6"/>
  <c r="A1128" i="6"/>
  <c r="A1127" i="6"/>
  <c r="A1126" i="6"/>
  <c r="A1125" i="6"/>
  <c r="A1124" i="6"/>
  <c r="A1123" i="6"/>
  <c r="A1122" i="6"/>
  <c r="A1121" i="6"/>
  <c r="A1120" i="6"/>
  <c r="A1119" i="6"/>
  <c r="A1118" i="6"/>
  <c r="A1117" i="6"/>
  <c r="A1116" i="6"/>
  <c r="A1115" i="6"/>
  <c r="A1114" i="6"/>
  <c r="A1113" i="6"/>
  <c r="A1112" i="6"/>
  <c r="A1111" i="6"/>
  <c r="E1108" i="6"/>
  <c r="B1108" i="6"/>
  <c r="A1103" i="6"/>
  <c r="A1102" i="6"/>
  <c r="A1101" i="6"/>
  <c r="A1100" i="6"/>
  <c r="A1099" i="6"/>
  <c r="A1098" i="6"/>
  <c r="A1097" i="6"/>
  <c r="A1096" i="6"/>
  <c r="A1095" i="6"/>
  <c r="A1094" i="6"/>
  <c r="A1093" i="6"/>
  <c r="A1092" i="6"/>
  <c r="A1091" i="6"/>
  <c r="A1090" i="6"/>
  <c r="A1089" i="6"/>
  <c r="A1088" i="6"/>
  <c r="A1087" i="6"/>
  <c r="A1086" i="6"/>
  <c r="A1085" i="6"/>
  <c r="A1084" i="6"/>
  <c r="A1083" i="6"/>
  <c r="A1082" i="6"/>
  <c r="A1081" i="6"/>
  <c r="A1080" i="6"/>
  <c r="A1079" i="6"/>
  <c r="A1078" i="6"/>
  <c r="A1077" i="6"/>
  <c r="A1076" i="6"/>
  <c r="A1075" i="6"/>
  <c r="A1074" i="6"/>
  <c r="A1073" i="6"/>
  <c r="A1072" i="6"/>
  <c r="A1071" i="6"/>
  <c r="A1070" i="6"/>
  <c r="A1069" i="6"/>
  <c r="A1068" i="6"/>
  <c r="A1067" i="6"/>
  <c r="A1066" i="6"/>
  <c r="A1065" i="6"/>
  <c r="A1064" i="6"/>
  <c r="E1061" i="6"/>
  <c r="F1063" i="6" s="1"/>
  <c r="B1061" i="6"/>
  <c r="C1063" i="6" s="1"/>
  <c r="A1056" i="6"/>
  <c r="E1056" i="6" s="1"/>
  <c r="A1055" i="6"/>
  <c r="Q1055" i="6" s="1"/>
  <c r="A1054" i="6"/>
  <c r="B1054" i="6" s="1"/>
  <c r="A1053" i="6"/>
  <c r="B1053" i="6" s="1"/>
  <c r="A1052" i="6"/>
  <c r="Q1052" i="6" s="1"/>
  <c r="A1051" i="6"/>
  <c r="Q1051" i="6" s="1"/>
  <c r="A1050" i="6"/>
  <c r="A1049" i="6"/>
  <c r="A1048" i="6"/>
  <c r="A1047" i="6"/>
  <c r="A1046" i="6"/>
  <c r="A1045" i="6"/>
  <c r="A1044" i="6"/>
  <c r="A1043" i="6"/>
  <c r="A1042" i="6"/>
  <c r="A1041" i="6"/>
  <c r="A1040" i="6"/>
  <c r="A1039" i="6"/>
  <c r="A1038" i="6"/>
  <c r="A1037" i="6"/>
  <c r="A1036" i="6"/>
  <c r="A1035" i="6"/>
  <c r="A1034" i="6"/>
  <c r="A1033" i="6"/>
  <c r="A1032" i="6"/>
  <c r="A1031" i="6"/>
  <c r="A1030" i="6"/>
  <c r="A1029" i="6"/>
  <c r="A1028" i="6"/>
  <c r="A1027" i="6"/>
  <c r="A1026" i="6"/>
  <c r="A1025" i="6"/>
  <c r="A1024" i="6"/>
  <c r="A1023" i="6"/>
  <c r="A1022" i="6"/>
  <c r="A1021" i="6"/>
  <c r="A1020" i="6"/>
  <c r="A1019" i="6"/>
  <c r="A1018" i="6"/>
  <c r="A1017" i="6"/>
  <c r="E1014" i="6"/>
  <c r="B1014" i="6"/>
  <c r="A1009" i="6"/>
  <c r="A1008" i="6"/>
  <c r="K1008" i="6" s="1"/>
  <c r="Q1007" i="6"/>
  <c r="A1007" i="6"/>
  <c r="E1007" i="6" s="1"/>
  <c r="A1006" i="6"/>
  <c r="A1005" i="6"/>
  <c r="H1005" i="6" s="1"/>
  <c r="A1004" i="6"/>
  <c r="K1004" i="6" s="1"/>
  <c r="A1003" i="6"/>
  <c r="B1003" i="6" s="1"/>
  <c r="A1002" i="6"/>
  <c r="A1001" i="6"/>
  <c r="Q1001" i="6" s="1"/>
  <c r="A1000" i="6"/>
  <c r="K1000" i="6" s="1"/>
  <c r="A999" i="6"/>
  <c r="A998" i="6"/>
  <c r="A997" i="6"/>
  <c r="A996" i="6"/>
  <c r="A995" i="6"/>
  <c r="A994" i="6"/>
  <c r="A993" i="6"/>
  <c r="A992" i="6"/>
  <c r="A991" i="6"/>
  <c r="A990" i="6"/>
  <c r="A989" i="6"/>
  <c r="A988" i="6"/>
  <c r="A987" i="6"/>
  <c r="A986" i="6"/>
  <c r="A985" i="6"/>
  <c r="A984" i="6"/>
  <c r="A983" i="6"/>
  <c r="A982" i="6"/>
  <c r="A981" i="6"/>
  <c r="A980" i="6"/>
  <c r="A979" i="6"/>
  <c r="A978" i="6"/>
  <c r="A977" i="6"/>
  <c r="A976" i="6"/>
  <c r="A975" i="6"/>
  <c r="A974" i="6"/>
  <c r="A973" i="6"/>
  <c r="A972" i="6"/>
  <c r="A971" i="6"/>
  <c r="A970" i="6"/>
  <c r="E967" i="6"/>
  <c r="F969" i="6" s="1"/>
  <c r="B967" i="6"/>
  <c r="C969" i="6" s="1"/>
  <c r="D969" i="6" s="1"/>
  <c r="A962" i="6"/>
  <c r="N962" i="6" s="1"/>
  <c r="A961" i="6"/>
  <c r="Q961" i="6" s="1"/>
  <c r="A960" i="6"/>
  <c r="E960" i="6" s="1"/>
  <c r="A959" i="6"/>
  <c r="Q959" i="6" s="1"/>
  <c r="A958" i="6"/>
  <c r="N958" i="6" s="1"/>
  <c r="A957" i="6"/>
  <c r="N957" i="6" s="1"/>
  <c r="A956" i="6"/>
  <c r="A955" i="6"/>
  <c r="H955" i="6" s="1"/>
  <c r="A954" i="6"/>
  <c r="Q954" i="6" s="1"/>
  <c r="A953" i="6"/>
  <c r="N953" i="6" s="1"/>
  <c r="A952" i="6"/>
  <c r="A951" i="6"/>
  <c r="A950" i="6"/>
  <c r="A949" i="6"/>
  <c r="A948" i="6"/>
  <c r="A947" i="6"/>
  <c r="A946" i="6"/>
  <c r="A945" i="6"/>
  <c r="A944" i="6"/>
  <c r="A943" i="6"/>
  <c r="A942" i="6"/>
  <c r="A941" i="6"/>
  <c r="A940" i="6"/>
  <c r="A939" i="6"/>
  <c r="A938" i="6"/>
  <c r="A937" i="6"/>
  <c r="A936" i="6"/>
  <c r="A935" i="6"/>
  <c r="A934" i="6"/>
  <c r="A933" i="6"/>
  <c r="A932" i="6"/>
  <c r="A931" i="6"/>
  <c r="A930" i="6"/>
  <c r="A929" i="6"/>
  <c r="A928" i="6"/>
  <c r="A927" i="6"/>
  <c r="A926" i="6"/>
  <c r="A925" i="6"/>
  <c r="A924" i="6"/>
  <c r="A923" i="6"/>
  <c r="E920" i="6"/>
  <c r="F922" i="6" s="1"/>
  <c r="G922" i="6" s="1"/>
  <c r="B920" i="6"/>
  <c r="A915" i="6"/>
  <c r="K915" i="6" s="1"/>
  <c r="A914" i="6"/>
  <c r="A913" i="6"/>
  <c r="A912" i="6"/>
  <c r="H912" i="6" s="1"/>
  <c r="A911" i="6"/>
  <c r="K911" i="6" s="1"/>
  <c r="A910" i="6"/>
  <c r="Q910" i="6" s="1"/>
  <c r="A909" i="6"/>
  <c r="Q909" i="6" s="1"/>
  <c r="A908" i="6"/>
  <c r="A907" i="6"/>
  <c r="Q907" i="6" s="1"/>
  <c r="A906" i="6"/>
  <c r="A905" i="6"/>
  <c r="A904" i="6"/>
  <c r="A903" i="6"/>
  <c r="A902" i="6"/>
  <c r="A901" i="6"/>
  <c r="A900" i="6"/>
  <c r="A899" i="6"/>
  <c r="A898" i="6"/>
  <c r="A897" i="6"/>
  <c r="A896" i="6"/>
  <c r="A895" i="6"/>
  <c r="A894" i="6"/>
  <c r="A893" i="6"/>
  <c r="A892" i="6"/>
  <c r="A891" i="6"/>
  <c r="A890" i="6"/>
  <c r="A889" i="6"/>
  <c r="A888" i="6"/>
  <c r="A887" i="6"/>
  <c r="A886" i="6"/>
  <c r="A885" i="6"/>
  <c r="A884" i="6"/>
  <c r="A883" i="6"/>
  <c r="A882" i="6"/>
  <c r="A881" i="6"/>
  <c r="A880" i="6"/>
  <c r="A879" i="6"/>
  <c r="A878" i="6"/>
  <c r="A877" i="6"/>
  <c r="A876" i="6"/>
  <c r="E873" i="6"/>
  <c r="F875" i="6" s="1"/>
  <c r="B873" i="6"/>
  <c r="C875" i="6" s="1"/>
  <c r="D875" i="6" s="1"/>
  <c r="A868" i="6"/>
  <c r="Q868" i="6" s="1"/>
  <c r="A867" i="6"/>
  <c r="H867" i="6" s="1"/>
  <c r="A866" i="6"/>
  <c r="Q866" i="6" s="1"/>
  <c r="A865" i="6"/>
  <c r="N865" i="6" s="1"/>
  <c r="A864" i="6"/>
  <c r="K864" i="6" s="1"/>
  <c r="A863" i="6"/>
  <c r="A862" i="6"/>
  <c r="Q861" i="6"/>
  <c r="K861" i="6"/>
  <c r="E861" i="6"/>
  <c r="B861" i="6"/>
  <c r="A861" i="6"/>
  <c r="A860" i="6"/>
  <c r="A859" i="6"/>
  <c r="Q859" i="6" s="1"/>
  <c r="A858" i="6"/>
  <c r="A857" i="6"/>
  <c r="A856" i="6"/>
  <c r="A855" i="6"/>
  <c r="A854" i="6"/>
  <c r="A853" i="6"/>
  <c r="A852" i="6"/>
  <c r="A851" i="6"/>
  <c r="A850" i="6"/>
  <c r="A849" i="6"/>
  <c r="A848" i="6"/>
  <c r="A847" i="6"/>
  <c r="A846" i="6"/>
  <c r="A845" i="6"/>
  <c r="A844" i="6"/>
  <c r="A843" i="6"/>
  <c r="A842" i="6"/>
  <c r="A841" i="6"/>
  <c r="A840" i="6"/>
  <c r="A839" i="6"/>
  <c r="A838" i="6"/>
  <c r="A837" i="6"/>
  <c r="A836" i="6"/>
  <c r="A835" i="6"/>
  <c r="A834" i="6"/>
  <c r="A833" i="6"/>
  <c r="A832" i="6"/>
  <c r="A831" i="6"/>
  <c r="A830" i="6"/>
  <c r="A829" i="6"/>
  <c r="E826" i="6"/>
  <c r="F828" i="6" s="1"/>
  <c r="G828" i="6" s="1"/>
  <c r="B826" i="6"/>
  <c r="C828" i="6" s="1"/>
  <c r="D828" i="6" s="1"/>
  <c r="A821" i="6"/>
  <c r="A820" i="6"/>
  <c r="H820" i="6" s="1"/>
  <c r="A819" i="6"/>
  <c r="Q819" i="6" s="1"/>
  <c r="A818" i="6"/>
  <c r="A817" i="6"/>
  <c r="Q817" i="6" s="1"/>
  <c r="A816" i="6"/>
  <c r="Q816" i="6" s="1"/>
  <c r="H815" i="6"/>
  <c r="E815" i="6"/>
  <c r="B815" i="6"/>
  <c r="A815" i="6"/>
  <c r="A814" i="6"/>
  <c r="A813" i="6"/>
  <c r="E813" i="6" s="1"/>
  <c r="A812" i="6"/>
  <c r="N812" i="6" s="1"/>
  <c r="A811" i="6"/>
  <c r="A810" i="6"/>
  <c r="A809" i="6"/>
  <c r="A808" i="6"/>
  <c r="A807" i="6"/>
  <c r="A806" i="6"/>
  <c r="A805" i="6"/>
  <c r="A804" i="6"/>
  <c r="A803" i="6"/>
  <c r="A802" i="6"/>
  <c r="A801" i="6"/>
  <c r="A800" i="6"/>
  <c r="A799" i="6"/>
  <c r="A798" i="6"/>
  <c r="A797" i="6"/>
  <c r="A796" i="6"/>
  <c r="A795" i="6"/>
  <c r="A794" i="6"/>
  <c r="A793" i="6"/>
  <c r="A792" i="6"/>
  <c r="A791" i="6"/>
  <c r="A790" i="6"/>
  <c r="A789" i="6"/>
  <c r="A788" i="6"/>
  <c r="A787" i="6"/>
  <c r="A786" i="6"/>
  <c r="A785" i="6"/>
  <c r="A784" i="6"/>
  <c r="A783" i="6"/>
  <c r="A782" i="6"/>
  <c r="E779" i="6"/>
  <c r="F781" i="6" s="1"/>
  <c r="G781" i="6" s="1"/>
  <c r="B779" i="6"/>
  <c r="C781" i="6" s="1"/>
  <c r="A774" i="6"/>
  <c r="Q774" i="6" s="1"/>
  <c r="A773" i="6"/>
  <c r="Q773" i="6" s="1"/>
  <c r="A772" i="6"/>
  <c r="Q772" i="6" s="1"/>
  <c r="A771" i="6"/>
  <c r="K770" i="6"/>
  <c r="H770" i="6"/>
  <c r="A770" i="6"/>
  <c r="A769" i="6"/>
  <c r="A768" i="6"/>
  <c r="K768" i="6" s="1"/>
  <c r="A767" i="6"/>
  <c r="Q767" i="6" s="1"/>
  <c r="A766" i="6"/>
  <c r="N766" i="6" s="1"/>
  <c r="A765" i="6"/>
  <c r="Q765" i="6" s="1"/>
  <c r="A764" i="6"/>
  <c r="A763" i="6"/>
  <c r="A762" i="6"/>
  <c r="A761" i="6"/>
  <c r="A760" i="6"/>
  <c r="A759" i="6"/>
  <c r="A758" i="6"/>
  <c r="A757" i="6"/>
  <c r="A756" i="6"/>
  <c r="A755" i="6"/>
  <c r="A754" i="6"/>
  <c r="A753" i="6"/>
  <c r="A752" i="6"/>
  <c r="A751" i="6"/>
  <c r="A750" i="6"/>
  <c r="A749" i="6"/>
  <c r="A748" i="6"/>
  <c r="A747" i="6"/>
  <c r="A746" i="6"/>
  <c r="A745" i="6"/>
  <c r="A744" i="6"/>
  <c r="A743" i="6"/>
  <c r="A742" i="6"/>
  <c r="A741" i="6"/>
  <c r="A740" i="6"/>
  <c r="A739" i="6"/>
  <c r="A738" i="6"/>
  <c r="A737" i="6"/>
  <c r="A736" i="6"/>
  <c r="A735" i="6"/>
  <c r="E732" i="6"/>
  <c r="F734" i="6" s="1"/>
  <c r="G734" i="6" s="1"/>
  <c r="B732" i="6"/>
  <c r="C734" i="6" s="1"/>
  <c r="D734" i="6" s="1"/>
  <c r="A727" i="6"/>
  <c r="K726" i="6"/>
  <c r="H726" i="6"/>
  <c r="E726" i="6"/>
  <c r="B726" i="6"/>
  <c r="A726" i="6"/>
  <c r="Q726" i="6" s="1"/>
  <c r="A725" i="6"/>
  <c r="E725" i="6" s="1"/>
  <c r="A724" i="6"/>
  <c r="A723" i="6"/>
  <c r="A722" i="6"/>
  <c r="A721" i="6"/>
  <c r="K721" i="6" s="1"/>
  <c r="N720" i="6"/>
  <c r="K720" i="6"/>
  <c r="H720" i="6"/>
  <c r="E720" i="6"/>
  <c r="B720" i="6"/>
  <c r="A720" i="6"/>
  <c r="Q720" i="6" s="1"/>
  <c r="A719" i="6"/>
  <c r="K719" i="6" s="1"/>
  <c r="A718" i="6"/>
  <c r="A717" i="6"/>
  <c r="A716" i="6"/>
  <c r="A715" i="6"/>
  <c r="A714" i="6"/>
  <c r="A713" i="6"/>
  <c r="A712" i="6"/>
  <c r="A711" i="6"/>
  <c r="A710" i="6"/>
  <c r="A709" i="6"/>
  <c r="A708" i="6"/>
  <c r="A707" i="6"/>
  <c r="A706" i="6"/>
  <c r="A705" i="6"/>
  <c r="A704" i="6"/>
  <c r="A703" i="6"/>
  <c r="A702" i="6"/>
  <c r="A701" i="6"/>
  <c r="A700" i="6"/>
  <c r="A699" i="6"/>
  <c r="A698" i="6"/>
  <c r="A697" i="6"/>
  <c r="A696" i="6"/>
  <c r="A695" i="6"/>
  <c r="A694" i="6"/>
  <c r="A693" i="6"/>
  <c r="A692" i="6"/>
  <c r="A691" i="6"/>
  <c r="A690" i="6"/>
  <c r="A689" i="6"/>
  <c r="A688" i="6"/>
  <c r="E685" i="6"/>
  <c r="F687" i="6" s="1"/>
  <c r="G687" i="6" s="1"/>
  <c r="B685" i="6"/>
  <c r="C687" i="6" s="1"/>
  <c r="A680" i="6"/>
  <c r="E680" i="6" s="1"/>
  <c r="A679" i="6"/>
  <c r="A678" i="6"/>
  <c r="Q678" i="6" s="1"/>
  <c r="A677" i="6"/>
  <c r="Q677" i="6" s="1"/>
  <c r="A676" i="6"/>
  <c r="A675" i="6"/>
  <c r="H675" i="6" s="1"/>
  <c r="B674" i="6"/>
  <c r="A674" i="6"/>
  <c r="A673" i="6"/>
  <c r="H673" i="6" s="1"/>
  <c r="A672" i="6"/>
  <c r="Q672" i="6" s="1"/>
  <c r="A671" i="6"/>
  <c r="A670" i="6"/>
  <c r="A669" i="6"/>
  <c r="A668" i="6"/>
  <c r="A667" i="6"/>
  <c r="A666" i="6"/>
  <c r="A665" i="6"/>
  <c r="A664" i="6"/>
  <c r="A663" i="6"/>
  <c r="A662" i="6"/>
  <c r="A661" i="6"/>
  <c r="A660" i="6"/>
  <c r="A659" i="6"/>
  <c r="A658" i="6"/>
  <c r="A657" i="6"/>
  <c r="A656" i="6"/>
  <c r="A655" i="6"/>
  <c r="A654" i="6"/>
  <c r="A653" i="6"/>
  <c r="A652" i="6"/>
  <c r="A651" i="6"/>
  <c r="A650" i="6"/>
  <c r="A649" i="6"/>
  <c r="A648" i="6"/>
  <c r="A647" i="6"/>
  <c r="A646" i="6"/>
  <c r="A645" i="6"/>
  <c r="A644" i="6"/>
  <c r="A643" i="6"/>
  <c r="A642" i="6"/>
  <c r="A641" i="6"/>
  <c r="E638" i="6"/>
  <c r="B638" i="6"/>
  <c r="C640" i="6" s="1"/>
  <c r="A633" i="6"/>
  <c r="E633" i="6" s="1"/>
  <c r="A632" i="6"/>
  <c r="E632" i="6" s="1"/>
  <c r="A631" i="6"/>
  <c r="A630" i="6"/>
  <c r="A629" i="6"/>
  <c r="Q629" i="6" s="1"/>
  <c r="N628" i="6"/>
  <c r="H628" i="6"/>
  <c r="A628" i="6"/>
  <c r="Q628" i="6" s="1"/>
  <c r="H627" i="6"/>
  <c r="A627" i="6"/>
  <c r="E627" i="6" s="1"/>
  <c r="A626" i="6"/>
  <c r="Q626" i="6" s="1"/>
  <c r="A625" i="6"/>
  <c r="B625" i="6" s="1"/>
  <c r="A624" i="6"/>
  <c r="E624" i="6" s="1"/>
  <c r="A623" i="6"/>
  <c r="A622" i="6"/>
  <c r="A621" i="6"/>
  <c r="A620" i="6"/>
  <c r="A619" i="6"/>
  <c r="A618" i="6"/>
  <c r="A617" i="6"/>
  <c r="A616" i="6"/>
  <c r="A615" i="6"/>
  <c r="A614" i="6"/>
  <c r="A613" i="6"/>
  <c r="A612" i="6"/>
  <c r="A611" i="6"/>
  <c r="A610" i="6"/>
  <c r="A609" i="6"/>
  <c r="A608" i="6"/>
  <c r="A607" i="6"/>
  <c r="A606" i="6"/>
  <c r="A605" i="6"/>
  <c r="A604" i="6"/>
  <c r="A603" i="6"/>
  <c r="A602" i="6"/>
  <c r="A601" i="6"/>
  <c r="A600" i="6"/>
  <c r="A599" i="6"/>
  <c r="A598" i="6"/>
  <c r="A597" i="6"/>
  <c r="A596" i="6"/>
  <c r="A595" i="6"/>
  <c r="A594" i="6"/>
  <c r="E591" i="6"/>
  <c r="B591" i="6"/>
  <c r="A586" i="6"/>
  <c r="A585" i="6"/>
  <c r="K585" i="6" s="1"/>
  <c r="A584" i="6"/>
  <c r="Q584" i="6" s="1"/>
  <c r="A583" i="6"/>
  <c r="K583" i="6" s="1"/>
  <c r="A582" i="6"/>
  <c r="Q582" i="6" s="1"/>
  <c r="A581" i="6"/>
  <c r="A580" i="6"/>
  <c r="N580" i="6" s="1"/>
  <c r="A579" i="6"/>
  <c r="Q579" i="6" s="1"/>
  <c r="A578" i="6"/>
  <c r="H578" i="6" s="1"/>
  <c r="A577" i="6"/>
  <c r="Q577" i="6" s="1"/>
  <c r="A576" i="6"/>
  <c r="Q576" i="6" s="1"/>
  <c r="A575" i="6"/>
  <c r="H575" i="6" s="1"/>
  <c r="A574" i="6"/>
  <c r="K574" i="6" s="1"/>
  <c r="A573" i="6"/>
  <c r="A572" i="6"/>
  <c r="A571" i="6"/>
  <c r="A570" i="6"/>
  <c r="Q570" i="6" s="1"/>
  <c r="A569" i="6"/>
  <c r="H569" i="6" s="1"/>
  <c r="A568" i="6"/>
  <c r="A567" i="6"/>
  <c r="A566" i="6"/>
  <c r="A565" i="6"/>
  <c r="A564" i="6"/>
  <c r="A563" i="6"/>
  <c r="A562" i="6"/>
  <c r="A561" i="6"/>
  <c r="A560" i="6"/>
  <c r="A559" i="6"/>
  <c r="A558" i="6"/>
  <c r="A557" i="6"/>
  <c r="A556" i="6"/>
  <c r="A555" i="6"/>
  <c r="A554" i="6"/>
  <c r="A553" i="6"/>
  <c r="A552" i="6"/>
  <c r="A551" i="6"/>
  <c r="A550" i="6"/>
  <c r="A549" i="6"/>
  <c r="A548" i="6"/>
  <c r="A547" i="6"/>
  <c r="E544" i="6"/>
  <c r="F546" i="6" s="1"/>
  <c r="G546" i="6" s="1"/>
  <c r="B544" i="6"/>
  <c r="C546" i="6" s="1"/>
  <c r="D546" i="6" s="1"/>
  <c r="A539" i="6"/>
  <c r="A538" i="6"/>
  <c r="N538" i="6" s="1"/>
  <c r="A537" i="6"/>
  <c r="N537" i="6" s="1"/>
  <c r="A536" i="6"/>
  <c r="A535" i="6"/>
  <c r="A534" i="6"/>
  <c r="Q534" i="6" s="1"/>
  <c r="E533" i="6"/>
  <c r="A533" i="6"/>
  <c r="A532" i="6"/>
  <c r="Q532" i="6" s="1"/>
  <c r="A531" i="6"/>
  <c r="Q531" i="6" s="1"/>
  <c r="A530" i="6"/>
  <c r="A529" i="6"/>
  <c r="A528" i="6"/>
  <c r="B528" i="6" s="1"/>
  <c r="A527" i="6"/>
  <c r="Q527" i="6" s="1"/>
  <c r="A526" i="6"/>
  <c r="N525" i="6"/>
  <c r="K525" i="6"/>
  <c r="H525" i="6"/>
  <c r="A525" i="6"/>
  <c r="A524" i="6"/>
  <c r="A523" i="6"/>
  <c r="A522" i="6"/>
  <c r="K522" i="6" s="1"/>
  <c r="A521" i="6"/>
  <c r="A520" i="6"/>
  <c r="E520" i="6" s="1"/>
  <c r="A519" i="6"/>
  <c r="A518" i="6"/>
  <c r="A517" i="6"/>
  <c r="A516" i="6"/>
  <c r="A515" i="6"/>
  <c r="A514" i="6"/>
  <c r="A513" i="6"/>
  <c r="A512" i="6"/>
  <c r="A511" i="6"/>
  <c r="A510" i="6"/>
  <c r="A509" i="6"/>
  <c r="A508" i="6"/>
  <c r="A507" i="6"/>
  <c r="A506" i="6"/>
  <c r="A505" i="6"/>
  <c r="A504" i="6"/>
  <c r="A503" i="6"/>
  <c r="A502" i="6"/>
  <c r="A501" i="6"/>
  <c r="A500" i="6"/>
  <c r="E497" i="6"/>
  <c r="B497" i="6"/>
  <c r="A492" i="6"/>
  <c r="A491" i="6"/>
  <c r="A490" i="6"/>
  <c r="Q489" i="6"/>
  <c r="A489" i="6"/>
  <c r="N489" i="6" s="1"/>
  <c r="A488" i="6"/>
  <c r="E488" i="6" s="1"/>
  <c r="A487" i="6"/>
  <c r="N487" i="6" s="1"/>
  <c r="A486" i="6"/>
  <c r="Q486" i="6" s="1"/>
  <c r="A485" i="6"/>
  <c r="A484" i="6"/>
  <c r="Q484" i="6" s="1"/>
  <c r="A483" i="6"/>
  <c r="A482" i="6"/>
  <c r="Q482" i="6" s="1"/>
  <c r="A481" i="6"/>
  <c r="K481" i="6" s="1"/>
  <c r="A480" i="6"/>
  <c r="Q480" i="6" s="1"/>
  <c r="Q479" i="6"/>
  <c r="N479" i="6"/>
  <c r="K479" i="6"/>
  <c r="B479" i="6"/>
  <c r="A479" i="6"/>
  <c r="A478" i="6"/>
  <c r="A477" i="6"/>
  <c r="E477" i="6" s="1"/>
  <c r="A476" i="6"/>
  <c r="B476" i="6" s="1"/>
  <c r="A475" i="6"/>
  <c r="A474" i="6"/>
  <c r="N474" i="6" s="1"/>
  <c r="A473" i="6"/>
  <c r="B473" i="6" s="1"/>
  <c r="A472" i="6"/>
  <c r="A471" i="6"/>
  <c r="A470" i="6"/>
  <c r="A469" i="6"/>
  <c r="A468" i="6"/>
  <c r="A467" i="6"/>
  <c r="A466" i="6"/>
  <c r="A465" i="6"/>
  <c r="A464" i="6"/>
  <c r="A463" i="6"/>
  <c r="A462" i="6"/>
  <c r="A461" i="6"/>
  <c r="A460" i="6"/>
  <c r="A459" i="6"/>
  <c r="A458" i="6"/>
  <c r="A457" i="6"/>
  <c r="A456" i="6"/>
  <c r="A455" i="6"/>
  <c r="A454" i="6"/>
  <c r="A453" i="6"/>
  <c r="E450" i="6"/>
  <c r="F452" i="6" s="1"/>
  <c r="G452" i="6" s="1"/>
  <c r="B450" i="6"/>
  <c r="N445" i="6"/>
  <c r="K445" i="6"/>
  <c r="H445" i="6"/>
  <c r="E445" i="6"/>
  <c r="A445" i="6"/>
  <c r="N444" i="6"/>
  <c r="A444" i="6"/>
  <c r="A443" i="6"/>
  <c r="A442" i="6"/>
  <c r="A441" i="6"/>
  <c r="K441" i="6" s="1"/>
  <c r="A440" i="6"/>
  <c r="B440" i="6" s="1"/>
  <c r="Q439" i="6"/>
  <c r="N439" i="6"/>
  <c r="K439" i="6"/>
  <c r="H439" i="6"/>
  <c r="E439" i="6"/>
  <c r="B439" i="6"/>
  <c r="A439" i="6"/>
  <c r="B438" i="6"/>
  <c r="A438" i="6"/>
  <c r="A437" i="6"/>
  <c r="H437" i="6" s="1"/>
  <c r="A436" i="6"/>
  <c r="N436" i="6" s="1"/>
  <c r="A435" i="6"/>
  <c r="A434" i="6"/>
  <c r="N434" i="6" s="1"/>
  <c r="A433" i="6"/>
  <c r="A432" i="6"/>
  <c r="N432" i="6" s="1"/>
  <c r="A431" i="6"/>
  <c r="E431" i="6" s="1"/>
  <c r="A430" i="6"/>
  <c r="A429" i="6"/>
  <c r="N429" i="6" s="1"/>
  <c r="Q428" i="6"/>
  <c r="N428" i="6"/>
  <c r="K428" i="6"/>
  <c r="B428" i="6"/>
  <c r="A428" i="6"/>
  <c r="A427" i="6"/>
  <c r="A426" i="6"/>
  <c r="A425" i="6"/>
  <c r="A424" i="6"/>
  <c r="A423" i="6"/>
  <c r="A422" i="6"/>
  <c r="A421" i="6"/>
  <c r="A420" i="6"/>
  <c r="A419" i="6"/>
  <c r="A418" i="6"/>
  <c r="A417" i="6"/>
  <c r="A416" i="6"/>
  <c r="A415" i="6"/>
  <c r="A414" i="6"/>
  <c r="A413" i="6"/>
  <c r="A412" i="6"/>
  <c r="A411" i="6"/>
  <c r="A410" i="6"/>
  <c r="A409" i="6"/>
  <c r="A408" i="6"/>
  <c r="A407" i="6"/>
  <c r="A406" i="6"/>
  <c r="E403" i="6"/>
  <c r="B403" i="6"/>
  <c r="C405" i="6" s="1"/>
  <c r="D405" i="6" s="1"/>
  <c r="A398" i="6"/>
  <c r="Q397" i="6"/>
  <c r="N397" i="6"/>
  <c r="B397" i="6"/>
  <c r="A397" i="6"/>
  <c r="N396" i="6"/>
  <c r="E396" i="6"/>
  <c r="A396" i="6"/>
  <c r="Q396" i="6" s="1"/>
  <c r="A395" i="6"/>
  <c r="A394" i="6"/>
  <c r="Q394" i="6" s="1"/>
  <c r="A393" i="6"/>
  <c r="H393" i="6" s="1"/>
  <c r="A392" i="6"/>
  <c r="H392" i="6" s="1"/>
  <c r="A391" i="6"/>
  <c r="Q391" i="6" s="1"/>
  <c r="A390" i="6"/>
  <c r="H390" i="6" s="1"/>
  <c r="A389" i="6"/>
  <c r="A388" i="6"/>
  <c r="N388" i="6" s="1"/>
  <c r="A387" i="6"/>
  <c r="B387" i="6" s="1"/>
  <c r="A386" i="6"/>
  <c r="A385" i="6"/>
  <c r="B385" i="6" s="1"/>
  <c r="A384" i="6"/>
  <c r="B384" i="6" s="1"/>
  <c r="A383" i="6"/>
  <c r="A382" i="6"/>
  <c r="Q382" i="6" s="1"/>
  <c r="Q381" i="6"/>
  <c r="N381" i="6"/>
  <c r="K381" i="6"/>
  <c r="A381" i="6"/>
  <c r="A380" i="6"/>
  <c r="A379" i="6"/>
  <c r="B379" i="6" s="1"/>
  <c r="A378" i="6"/>
  <c r="A377" i="6"/>
  <c r="A376" i="6"/>
  <c r="A375" i="6"/>
  <c r="A374" i="6"/>
  <c r="A373" i="6"/>
  <c r="A372" i="6"/>
  <c r="A371" i="6"/>
  <c r="A370" i="6"/>
  <c r="A369" i="6"/>
  <c r="A368" i="6"/>
  <c r="A367" i="6"/>
  <c r="A366" i="6"/>
  <c r="A365" i="6"/>
  <c r="A364" i="6"/>
  <c r="A363" i="6"/>
  <c r="A362" i="6"/>
  <c r="A361" i="6"/>
  <c r="A360" i="6"/>
  <c r="A359" i="6"/>
  <c r="E356" i="6"/>
  <c r="B356" i="6"/>
  <c r="A351" i="6"/>
  <c r="A350" i="6"/>
  <c r="B350" i="6" s="1"/>
  <c r="A349" i="6"/>
  <c r="B349" i="6" s="1"/>
  <c r="N348" i="6"/>
  <c r="K348" i="6"/>
  <c r="H348" i="6"/>
  <c r="E348" i="6"/>
  <c r="B348" i="6"/>
  <c r="A348" i="6"/>
  <c r="A347" i="6"/>
  <c r="A346" i="6"/>
  <c r="A345" i="6"/>
  <c r="Q345" i="6" s="1"/>
  <c r="A344" i="6"/>
  <c r="Q344" i="6" s="1"/>
  <c r="A343" i="6"/>
  <c r="K343" i="6" s="1"/>
  <c r="A342" i="6"/>
  <c r="Q341" i="6"/>
  <c r="N341" i="6"/>
  <c r="K341" i="6"/>
  <c r="H341" i="6"/>
  <c r="E341" i="6"/>
  <c r="A341" i="6"/>
  <c r="A340" i="6"/>
  <c r="H340" i="6" s="1"/>
  <c r="A339" i="6"/>
  <c r="A338" i="6"/>
  <c r="Q338" i="6" s="1"/>
  <c r="A337" i="6"/>
  <c r="B337" i="6" s="1"/>
  <c r="N336" i="6"/>
  <c r="K336" i="6"/>
  <c r="H336" i="6"/>
  <c r="E336" i="6"/>
  <c r="B336" i="6"/>
  <c r="A336" i="6"/>
  <c r="A335" i="6"/>
  <c r="A334" i="6"/>
  <c r="Q334" i="6" s="1"/>
  <c r="A333" i="6"/>
  <c r="A332" i="6"/>
  <c r="A331" i="6"/>
  <c r="A330" i="6"/>
  <c r="A329" i="6"/>
  <c r="A328" i="6"/>
  <c r="A327" i="6"/>
  <c r="A326" i="6"/>
  <c r="A325" i="6"/>
  <c r="A324" i="6"/>
  <c r="A323" i="6"/>
  <c r="A322" i="6"/>
  <c r="A321" i="6"/>
  <c r="A320" i="6"/>
  <c r="A319" i="6"/>
  <c r="A318" i="6"/>
  <c r="A317" i="6"/>
  <c r="A316" i="6"/>
  <c r="A315" i="6"/>
  <c r="A314" i="6"/>
  <c r="A313" i="6"/>
  <c r="A312" i="6"/>
  <c r="E309" i="6"/>
  <c r="B309" i="6"/>
  <c r="A304" i="6"/>
  <c r="H304" i="6" s="1"/>
  <c r="A303" i="6"/>
  <c r="A302" i="6"/>
  <c r="E302" i="6" s="1"/>
  <c r="A301" i="6"/>
  <c r="K301" i="6" s="1"/>
  <c r="A300" i="6"/>
  <c r="B300" i="6" s="1"/>
  <c r="A299" i="6"/>
  <c r="N299" i="6" s="1"/>
  <c r="A298" i="6"/>
  <c r="K298" i="6" s="1"/>
  <c r="A297" i="6"/>
  <c r="Q297" i="6" s="1"/>
  <c r="K296" i="6"/>
  <c r="H296" i="6"/>
  <c r="A296" i="6"/>
  <c r="A295" i="6"/>
  <c r="N295" i="6" s="1"/>
  <c r="A294" i="6"/>
  <c r="N294" i="6" s="1"/>
  <c r="A293" i="6"/>
  <c r="A292" i="6"/>
  <c r="A291" i="6"/>
  <c r="Q291" i="6" s="1"/>
  <c r="A290" i="6"/>
  <c r="Q290" i="6" s="1"/>
  <c r="N289" i="6"/>
  <c r="K289" i="6"/>
  <c r="H289" i="6"/>
  <c r="A289" i="6"/>
  <c r="A288" i="6"/>
  <c r="A287" i="6"/>
  <c r="A286" i="6"/>
  <c r="H286" i="6" s="1"/>
  <c r="A285" i="6"/>
  <c r="A284" i="6"/>
  <c r="A283" i="6"/>
  <c r="A282" i="6"/>
  <c r="A281" i="6"/>
  <c r="A280" i="6"/>
  <c r="A279" i="6"/>
  <c r="A278" i="6"/>
  <c r="A277" i="6"/>
  <c r="A276" i="6"/>
  <c r="A275" i="6"/>
  <c r="A274" i="6"/>
  <c r="A273" i="6"/>
  <c r="A272" i="6"/>
  <c r="A271" i="6"/>
  <c r="A270" i="6"/>
  <c r="A269" i="6"/>
  <c r="A268" i="6"/>
  <c r="A267" i="6"/>
  <c r="A266" i="6"/>
  <c r="A265" i="6"/>
  <c r="E262" i="6"/>
  <c r="B262" i="6"/>
  <c r="A257" i="6"/>
  <c r="A256" i="6"/>
  <c r="E256" i="6" s="1"/>
  <c r="A255" i="6"/>
  <c r="K255" i="6" s="1"/>
  <c r="A254" i="6"/>
  <c r="A253" i="6"/>
  <c r="A252" i="6"/>
  <c r="Q252" i="6" s="1"/>
  <c r="A251" i="6"/>
  <c r="Q251" i="6" s="1"/>
  <c r="A250" i="6"/>
  <c r="N250" i="6" s="1"/>
  <c r="A249" i="6"/>
  <c r="A248" i="6"/>
  <c r="E248" i="6" s="1"/>
  <c r="A247" i="6"/>
  <c r="A246" i="6"/>
  <c r="A245" i="6"/>
  <c r="B245" i="6" s="1"/>
  <c r="A244" i="6"/>
  <c r="N244" i="6" s="1"/>
  <c r="A243" i="6"/>
  <c r="Q243" i="6" s="1"/>
  <c r="A242" i="6"/>
  <c r="B242" i="6" s="1"/>
  <c r="A241" i="6"/>
  <c r="K241" i="6" s="1"/>
  <c r="Q240" i="6"/>
  <c r="N240" i="6"/>
  <c r="H240" i="6"/>
  <c r="E240" i="6"/>
  <c r="B240" i="6"/>
  <c r="A240" i="6"/>
  <c r="A239" i="6"/>
  <c r="H239" i="6" s="1"/>
  <c r="A238" i="6"/>
  <c r="Q238" i="6" s="1"/>
  <c r="A237" i="6"/>
  <c r="A236" i="6"/>
  <c r="A235" i="6"/>
  <c r="A234" i="6"/>
  <c r="A233" i="6"/>
  <c r="A232" i="6"/>
  <c r="A231" i="6"/>
  <c r="A230" i="6"/>
  <c r="A229" i="6"/>
  <c r="A228" i="6"/>
  <c r="A227" i="6"/>
  <c r="A226" i="6"/>
  <c r="A225" i="6"/>
  <c r="A224" i="6"/>
  <c r="A223" i="6"/>
  <c r="A222" i="6"/>
  <c r="A221" i="6"/>
  <c r="A220" i="6"/>
  <c r="A219" i="6"/>
  <c r="A218" i="6"/>
  <c r="E215" i="6"/>
  <c r="B215" i="6"/>
  <c r="A210" i="6"/>
  <c r="A209" i="6"/>
  <c r="N209" i="6" s="1"/>
  <c r="A208" i="6"/>
  <c r="A207" i="6"/>
  <c r="E207" i="6" s="1"/>
  <c r="A206" i="6"/>
  <c r="Q206" i="6" s="1"/>
  <c r="A205" i="6"/>
  <c r="N205" i="6" s="1"/>
  <c r="A204" i="6"/>
  <c r="B204" i="6" s="1"/>
  <c r="A203" i="6"/>
  <c r="N202" i="6"/>
  <c r="K202" i="6"/>
  <c r="H202" i="6"/>
  <c r="E202" i="6"/>
  <c r="B202" i="6"/>
  <c r="A202" i="6"/>
  <c r="Q202" i="6" s="1"/>
  <c r="A201" i="6"/>
  <c r="A200" i="6"/>
  <c r="H200" i="6" s="1"/>
  <c r="A199" i="6"/>
  <c r="B199" i="6" s="1"/>
  <c r="A198" i="6"/>
  <c r="N198" i="6" s="1"/>
  <c r="A197" i="6"/>
  <c r="Q197" i="6" s="1"/>
  <c r="A196" i="6"/>
  <c r="A195" i="6"/>
  <c r="A194" i="6"/>
  <c r="B194" i="6" s="1"/>
  <c r="Q193" i="6"/>
  <c r="N193" i="6"/>
  <c r="K193" i="6"/>
  <c r="H193" i="6"/>
  <c r="E193" i="6"/>
  <c r="A193" i="6"/>
  <c r="A192" i="6"/>
  <c r="A191" i="6"/>
  <c r="A190" i="6"/>
  <c r="A189" i="6"/>
  <c r="A188" i="6"/>
  <c r="A187" i="6"/>
  <c r="A186" i="6"/>
  <c r="A185" i="6"/>
  <c r="A184" i="6"/>
  <c r="A183" i="6"/>
  <c r="A182" i="6"/>
  <c r="A181" i="6"/>
  <c r="A180" i="6"/>
  <c r="A179" i="6"/>
  <c r="A178" i="6"/>
  <c r="A177" i="6"/>
  <c r="A176" i="6"/>
  <c r="A175" i="6"/>
  <c r="A174" i="6"/>
  <c r="A173" i="6"/>
  <c r="A172" i="6"/>
  <c r="A171" i="6"/>
  <c r="E168" i="6"/>
  <c r="F170" i="6" s="1"/>
  <c r="G170" i="6" s="1"/>
  <c r="B168" i="6"/>
  <c r="C170" i="6" s="1"/>
  <c r="D170" i="6" s="1"/>
  <c r="A163" i="6"/>
  <c r="E163" i="6" s="1"/>
  <c r="A162" i="6"/>
  <c r="Q162" i="6" s="1"/>
  <c r="A161" i="6"/>
  <c r="A160" i="6"/>
  <c r="B160" i="6" s="1"/>
  <c r="A159" i="6"/>
  <c r="A158" i="6"/>
  <c r="Q157" i="6"/>
  <c r="N157" i="6"/>
  <c r="A157" i="6"/>
  <c r="A156" i="6"/>
  <c r="Q156" i="6" s="1"/>
  <c r="A155" i="6"/>
  <c r="A154" i="6"/>
  <c r="B154" i="6" s="1"/>
  <c r="A153" i="6"/>
  <c r="N153" i="6" s="1"/>
  <c r="A152" i="6"/>
  <c r="Q152" i="6" s="1"/>
  <c r="A151" i="6"/>
  <c r="Q151" i="6" s="1"/>
  <c r="Q150" i="6"/>
  <c r="N150" i="6"/>
  <c r="A150" i="6"/>
  <c r="E150" i="6" s="1"/>
  <c r="A149" i="6"/>
  <c r="A148" i="6"/>
  <c r="Q148" i="6" s="1"/>
  <c r="A147" i="6"/>
  <c r="K147" i="6" s="1"/>
  <c r="A146" i="6"/>
  <c r="H146" i="6" s="1"/>
  <c r="A145" i="6"/>
  <c r="K145" i="6" s="1"/>
  <c r="Q144" i="6"/>
  <c r="N144" i="6"/>
  <c r="H144" i="6"/>
  <c r="E144" i="6"/>
  <c r="B144" i="6"/>
  <c r="A144" i="6"/>
  <c r="A143" i="6"/>
  <c r="A142" i="6"/>
  <c r="A141" i="6"/>
  <c r="A140" i="6"/>
  <c r="A139" i="6"/>
  <c r="A138" i="6"/>
  <c r="A137" i="6"/>
  <c r="A136" i="6"/>
  <c r="A135" i="6"/>
  <c r="A134" i="6"/>
  <c r="A133" i="6"/>
  <c r="A132" i="6"/>
  <c r="A131" i="6"/>
  <c r="A130" i="6"/>
  <c r="A129" i="6"/>
  <c r="A128" i="6"/>
  <c r="A127" i="6"/>
  <c r="A126" i="6"/>
  <c r="A125" i="6"/>
  <c r="A124" i="6"/>
  <c r="E121" i="6"/>
  <c r="F123" i="6" s="1"/>
  <c r="G123" i="6" s="1"/>
  <c r="B121" i="6"/>
  <c r="C123" i="6" s="1"/>
  <c r="D123" i="6" s="1"/>
  <c r="B6" i="6"/>
  <c r="D44" i="5"/>
  <c r="C44" i="5"/>
  <c r="B44" i="5"/>
  <c r="B39" i="5"/>
  <c r="B40" i="5" s="1"/>
  <c r="B36" i="5"/>
  <c r="B35" i="5"/>
  <c r="B34" i="5"/>
  <c r="C33" i="5"/>
  <c r="B33" i="5"/>
  <c r="B20" i="5"/>
  <c r="E13" i="5"/>
  <c r="C13" i="5"/>
  <c r="B13" i="5"/>
  <c r="D13" i="5" s="1"/>
  <c r="G12" i="5"/>
  <c r="B22" i="5" s="1"/>
  <c r="C22" i="5" s="1"/>
  <c r="F12" i="5"/>
  <c r="H12" i="5" s="1"/>
  <c r="E12" i="5"/>
  <c r="C12" i="5"/>
  <c r="B12" i="5"/>
  <c r="D12" i="5" s="1"/>
  <c r="E11" i="5"/>
  <c r="C11" i="5"/>
  <c r="B11" i="5"/>
  <c r="D11" i="5" s="1"/>
  <c r="F11" i="5" s="1"/>
  <c r="H11" i="5" s="1"/>
  <c r="E10" i="5"/>
  <c r="C10" i="5"/>
  <c r="B10" i="5"/>
  <c r="E9" i="5"/>
  <c r="C9" i="5"/>
  <c r="B9" i="5"/>
  <c r="D9" i="5" s="1"/>
  <c r="E8" i="5"/>
  <c r="C8" i="5"/>
  <c r="B8" i="5"/>
  <c r="D8" i="5" s="1"/>
  <c r="G8" i="5" s="1"/>
  <c r="E7" i="5"/>
  <c r="D7" i="5"/>
  <c r="F7" i="5" s="1"/>
  <c r="C7" i="5"/>
  <c r="B7" i="5"/>
  <c r="B47" i="4"/>
  <c r="B38" i="4"/>
  <c r="B10" i="13" s="1"/>
  <c r="B33" i="4"/>
  <c r="B31" i="4"/>
  <c r="B28" i="4"/>
  <c r="B32" i="4" s="1"/>
  <c r="B36" i="4" s="1"/>
  <c r="B27" i="4"/>
  <c r="B26" i="4"/>
  <c r="B25" i="4"/>
  <c r="B9" i="4"/>
  <c r="B5" i="4"/>
  <c r="C57" i="3"/>
  <c r="D50" i="3"/>
  <c r="B51" i="3" s="1"/>
  <c r="B36" i="3"/>
  <c r="B45" i="5" s="1"/>
  <c r="B30" i="2"/>
  <c r="B29" i="2"/>
  <c r="B28" i="2"/>
  <c r="B6" i="4" s="1"/>
  <c r="B26" i="2"/>
  <c r="J719" i="7" s="1"/>
  <c r="Q250" i="6" l="1"/>
  <c r="K957" i="6"/>
  <c r="Q209" i="6"/>
  <c r="H534" i="6"/>
  <c r="B579" i="6"/>
  <c r="B864" i="6"/>
  <c r="K958" i="6"/>
  <c r="H1000" i="6"/>
  <c r="N298" i="6"/>
  <c r="H343" i="6"/>
  <c r="H431" i="6"/>
  <c r="N677" i="6"/>
  <c r="K766" i="6"/>
  <c r="H907" i="6"/>
  <c r="E953" i="6"/>
  <c r="E393" i="6"/>
  <c r="N527" i="6"/>
  <c r="N585" i="6"/>
  <c r="N579" i="6"/>
  <c r="B725" i="6"/>
  <c r="B959" i="6"/>
  <c r="H385" i="6"/>
  <c r="B812" i="6"/>
  <c r="H1051" i="6"/>
  <c r="H147" i="6"/>
  <c r="H295" i="6"/>
  <c r="K340" i="6"/>
  <c r="K385" i="6"/>
  <c r="K959" i="6"/>
  <c r="AK499" i="7"/>
  <c r="Q244" i="6"/>
  <c r="N340" i="6"/>
  <c r="K477" i="6"/>
  <c r="K812" i="6"/>
  <c r="B866" i="6"/>
  <c r="N959" i="6"/>
  <c r="Q225" i="7"/>
  <c r="AE720" i="7"/>
  <c r="N147" i="6"/>
  <c r="Q385" i="6"/>
  <c r="Q625" i="6"/>
  <c r="K910" i="6"/>
  <c r="K207" i="6"/>
  <c r="B239" i="6"/>
  <c r="H256" i="6"/>
  <c r="Q295" i="6"/>
  <c r="H301" i="6"/>
  <c r="K473" i="6"/>
  <c r="B489" i="6"/>
  <c r="E582" i="6"/>
  <c r="N672" i="6"/>
  <c r="Q812" i="6"/>
  <c r="H866" i="6"/>
  <c r="N910" i="6"/>
  <c r="H954" i="6"/>
  <c r="B1007" i="6"/>
  <c r="H1052" i="6"/>
  <c r="E2939" i="6"/>
  <c r="K297" i="6"/>
  <c r="K304" i="6"/>
  <c r="E476" i="6"/>
  <c r="K773" i="6"/>
  <c r="N481" i="6"/>
  <c r="E585" i="6"/>
  <c r="B907" i="6"/>
  <c r="E343" i="6"/>
  <c r="K534" i="6"/>
  <c r="K677" i="6"/>
  <c r="AL336" i="8"/>
  <c r="K294" i="6"/>
  <c r="B570" i="6"/>
  <c r="H953" i="6"/>
  <c r="K1055" i="6"/>
  <c r="Q153" i="6"/>
  <c r="B477" i="6"/>
  <c r="E570" i="6"/>
  <c r="Q766" i="6"/>
  <c r="N907" i="6"/>
  <c r="K953" i="6"/>
  <c r="E147" i="6"/>
  <c r="N206" i="6"/>
  <c r="E286" i="6"/>
  <c r="K393" i="6"/>
  <c r="H570" i="6"/>
  <c r="H959" i="6"/>
  <c r="B171" i="6"/>
  <c r="N393" i="6"/>
  <c r="H477" i="6"/>
  <c r="K570" i="6"/>
  <c r="H725" i="6"/>
  <c r="H812" i="6"/>
  <c r="B256" i="6"/>
  <c r="K295" i="6"/>
  <c r="N385" i="6"/>
  <c r="I171" i="7"/>
  <c r="AE280" i="7"/>
  <c r="X500" i="7"/>
  <c r="E301" i="6"/>
  <c r="N345" i="6"/>
  <c r="E473" i="6"/>
  <c r="K672" i="6"/>
  <c r="N725" i="6"/>
  <c r="E866" i="6"/>
  <c r="E954" i="6"/>
  <c r="N207" i="6"/>
  <c r="E239" i="6"/>
  <c r="N256" i="6"/>
  <c r="N473" i="6"/>
  <c r="H489" i="6"/>
  <c r="H582" i="6"/>
  <c r="K866" i="6"/>
  <c r="K954" i="6"/>
  <c r="H961" i="6"/>
  <c r="H1007" i="6"/>
  <c r="K1052" i="6"/>
  <c r="H2939" i="6"/>
  <c r="B534" i="6"/>
  <c r="B1055" i="6"/>
  <c r="K476" i="6"/>
  <c r="H585" i="6"/>
  <c r="H766" i="6"/>
  <c r="AE996" i="8"/>
  <c r="N476" i="6"/>
  <c r="K527" i="6"/>
  <c r="H579" i="6"/>
  <c r="H1055" i="6"/>
  <c r="K907" i="6"/>
  <c r="B1252" i="6"/>
  <c r="D1252" i="6" s="1"/>
  <c r="N864" i="6"/>
  <c r="Q255" i="6"/>
  <c r="B340" i="6"/>
  <c r="B345" i="6"/>
  <c r="Q441" i="6"/>
  <c r="N286" i="6"/>
  <c r="K345" i="6"/>
  <c r="N625" i="6"/>
  <c r="K725" i="6"/>
  <c r="P390" i="7"/>
  <c r="Q340" i="6"/>
  <c r="B582" i="6"/>
  <c r="Q207" i="6"/>
  <c r="Q256" i="6"/>
  <c r="Q473" i="6"/>
  <c r="K489" i="6"/>
  <c r="N582" i="6"/>
  <c r="N961" i="6"/>
  <c r="K1007" i="6"/>
  <c r="N1052" i="6"/>
  <c r="N297" i="6"/>
  <c r="B391" i="6"/>
  <c r="E534" i="6"/>
  <c r="K152" i="6"/>
  <c r="K391" i="6"/>
  <c r="H476" i="6"/>
  <c r="N152" i="6"/>
  <c r="E579" i="6"/>
  <c r="E907" i="6"/>
  <c r="E1055" i="6"/>
  <c r="H864" i="6"/>
  <c r="Q298" i="6"/>
  <c r="K579" i="6"/>
  <c r="N1055" i="6"/>
  <c r="AK170" i="7"/>
  <c r="H1056" i="6"/>
  <c r="AE554" i="7"/>
  <c r="B954" i="6"/>
  <c r="Q1056" i="6"/>
  <c r="AL335" i="7"/>
  <c r="P445" i="7"/>
  <c r="Q436" i="6"/>
  <c r="E1052" i="6"/>
  <c r="Q281" i="7"/>
  <c r="D10" i="5"/>
  <c r="N1007" i="6"/>
  <c r="H7" i="5"/>
  <c r="C7" i="6"/>
  <c r="H337" i="6"/>
  <c r="N860" i="6"/>
  <c r="E860" i="6"/>
  <c r="K860" i="6"/>
  <c r="H860" i="6"/>
  <c r="H194" i="6"/>
  <c r="Q337" i="6"/>
  <c r="E581" i="6"/>
  <c r="Q581" i="6"/>
  <c r="H581" i="6"/>
  <c r="K581" i="6"/>
  <c r="E148" i="6"/>
  <c r="H382" i="6"/>
  <c r="N257" i="6"/>
  <c r="Q257" i="6"/>
  <c r="K257" i="6"/>
  <c r="E257" i="6"/>
  <c r="Q333" i="6"/>
  <c r="E333" i="6"/>
  <c r="N333" i="6"/>
  <c r="N816" i="6"/>
  <c r="K251" i="6"/>
  <c r="E191" i="6"/>
  <c r="Q191" i="6"/>
  <c r="K191" i="6"/>
  <c r="H191" i="6"/>
  <c r="N191" i="6"/>
  <c r="B145" i="6"/>
  <c r="E205" i="6"/>
  <c r="E429" i="6"/>
  <c r="H478" i="6"/>
  <c r="N478" i="6"/>
  <c r="Q478" i="6"/>
  <c r="E145" i="6"/>
  <c r="N158" i="6"/>
  <c r="B158" i="6"/>
  <c r="K158" i="6"/>
  <c r="H158" i="6"/>
  <c r="E158" i="6"/>
  <c r="Q198" i="6"/>
  <c r="K205" i="6"/>
  <c r="H429" i="6"/>
  <c r="B478" i="6"/>
  <c r="E578" i="6"/>
  <c r="N912" i="6"/>
  <c r="H2934" i="6"/>
  <c r="B859" i="6"/>
  <c r="P225" i="7"/>
  <c r="K434" i="6"/>
  <c r="Q1003" i="6"/>
  <c r="N1003" i="6"/>
  <c r="H1003" i="6"/>
  <c r="E1003" i="6"/>
  <c r="K1003" i="6"/>
  <c r="H288" i="6"/>
  <c r="Q288" i="6"/>
  <c r="N288" i="6"/>
  <c r="Q387" i="6"/>
  <c r="E723" i="6"/>
  <c r="B723" i="6"/>
  <c r="Q149" i="6"/>
  <c r="H149" i="6"/>
  <c r="E149" i="6"/>
  <c r="B149" i="6"/>
  <c r="B257" i="6"/>
  <c r="B351" i="6"/>
  <c r="N351" i="6"/>
  <c r="H351" i="6"/>
  <c r="E351" i="6"/>
  <c r="H198" i="6"/>
  <c r="G7" i="5"/>
  <c r="B25" i="5" s="1"/>
  <c r="C25" i="5" s="1"/>
  <c r="K912" i="6"/>
  <c r="K199" i="6"/>
  <c r="E199" i="6"/>
  <c r="K429" i="6"/>
  <c r="E478" i="6"/>
  <c r="G1063" i="6"/>
  <c r="E1064" i="6"/>
  <c r="N2934" i="6"/>
  <c r="Q475" i="6"/>
  <c r="N475" i="6"/>
  <c r="B475" i="6"/>
  <c r="K1053" i="6"/>
  <c r="H1053" i="6"/>
  <c r="Q1053" i="6"/>
  <c r="N1053" i="6"/>
  <c r="E1053" i="6"/>
  <c r="N194" i="6"/>
  <c r="Q194" i="6"/>
  <c r="K194" i="6"/>
  <c r="H522" i="6"/>
  <c r="Q342" i="6"/>
  <c r="N342" i="6"/>
  <c r="K342" i="6"/>
  <c r="H342" i="6"/>
  <c r="H721" i="6"/>
  <c r="E342" i="6"/>
  <c r="N387" i="6"/>
  <c r="H574" i="6"/>
  <c r="B581" i="6"/>
  <c r="H148" i="6"/>
  <c r="B288" i="6"/>
  <c r="B816" i="6"/>
  <c r="K148" i="6"/>
  <c r="K382" i="6"/>
  <c r="K960" i="6"/>
  <c r="H960" i="6"/>
  <c r="Q960" i="6"/>
  <c r="E484" i="6"/>
  <c r="Q145" i="6"/>
  <c r="N145" i="6"/>
  <c r="B205" i="6"/>
  <c r="N251" i="6"/>
  <c r="Q302" i="6"/>
  <c r="H302" i="6"/>
  <c r="N302" i="6"/>
  <c r="N484" i="6"/>
  <c r="Q578" i="6"/>
  <c r="K578" i="6"/>
  <c r="N578" i="6"/>
  <c r="B302" i="6"/>
  <c r="B578" i="6"/>
  <c r="H474" i="6"/>
  <c r="B628" i="6"/>
  <c r="Q522" i="6"/>
  <c r="N522" i="6"/>
  <c r="H908" i="6"/>
  <c r="B908" i="6"/>
  <c r="Q908" i="6"/>
  <c r="K908" i="6"/>
  <c r="E908" i="6"/>
  <c r="B247" i="6"/>
  <c r="H247" i="6"/>
  <c r="Q247" i="6"/>
  <c r="E194" i="6"/>
  <c r="B342" i="6"/>
  <c r="Q586" i="6"/>
  <c r="E586" i="6"/>
  <c r="K586" i="6"/>
  <c r="H586" i="6"/>
  <c r="B148" i="6"/>
  <c r="B586" i="6"/>
  <c r="N492" i="6"/>
  <c r="E492" i="6"/>
  <c r="B492" i="6"/>
  <c r="H492" i="6"/>
  <c r="K492" i="6"/>
  <c r="N678" i="6"/>
  <c r="N382" i="6"/>
  <c r="E912" i="6"/>
  <c r="C217" i="6"/>
  <c r="D217" i="6" s="1"/>
  <c r="B218" i="6"/>
  <c r="D218" i="6" s="1"/>
  <c r="B11" i="4"/>
  <c r="B10" i="4"/>
  <c r="H152" i="6"/>
  <c r="Q161" i="6"/>
  <c r="K161" i="6"/>
  <c r="N161" i="6"/>
  <c r="Q520" i="6"/>
  <c r="H528" i="6"/>
  <c r="E528" i="6"/>
  <c r="N528" i="6"/>
  <c r="K528" i="6"/>
  <c r="E628" i="6"/>
  <c r="E2943" i="6"/>
  <c r="Q430" i="6"/>
  <c r="B430" i="6"/>
  <c r="E430" i="6"/>
  <c r="K430" i="6"/>
  <c r="H430" i="6"/>
  <c r="B772" i="6"/>
  <c r="N817" i="6"/>
  <c r="Q254" i="6"/>
  <c r="H254" i="6"/>
  <c r="N254" i="6"/>
  <c r="K254" i="6"/>
  <c r="K303" i="6"/>
  <c r="Q303" i="6"/>
  <c r="N303" i="6"/>
  <c r="E394" i="6"/>
  <c r="E440" i="6"/>
  <c r="K575" i="6"/>
  <c r="E238" i="6"/>
  <c r="B303" i="6"/>
  <c r="H394" i="6"/>
  <c r="N162" i="6"/>
  <c r="H238" i="6"/>
  <c r="E254" i="6"/>
  <c r="K299" i="6"/>
  <c r="N390" i="6"/>
  <c r="K772" i="6"/>
  <c r="K962" i="6"/>
  <c r="H156" i="6"/>
  <c r="H379" i="6"/>
  <c r="N673" i="6"/>
  <c r="H767" i="6"/>
  <c r="K813" i="6"/>
  <c r="B151" i="6"/>
  <c r="K156" i="6"/>
  <c r="H163" i="6"/>
  <c r="N163" i="6"/>
  <c r="K163" i="6"/>
  <c r="B197" i="6"/>
  <c r="N238" i="6"/>
  <c r="E243" i="6"/>
  <c r="K248" i="6"/>
  <c r="E290" i="6"/>
  <c r="Q299" i="6"/>
  <c r="E344" i="6"/>
  <c r="E349" i="6"/>
  <c r="Q379" i="6"/>
  <c r="Q427" i="6"/>
  <c r="B427" i="6"/>
  <c r="N427" i="6"/>
  <c r="K427" i="6"/>
  <c r="E427" i="6"/>
  <c r="B432" i="6"/>
  <c r="Q437" i="6"/>
  <c r="B481" i="6"/>
  <c r="K532" i="6"/>
  <c r="Q538" i="6"/>
  <c r="E577" i="6"/>
  <c r="E580" i="6"/>
  <c r="N583" i="6"/>
  <c r="H632" i="6"/>
  <c r="Q674" i="6"/>
  <c r="H674" i="6"/>
  <c r="E674" i="6"/>
  <c r="K674" i="6"/>
  <c r="K767" i="6"/>
  <c r="N813" i="6"/>
  <c r="E820" i="6"/>
  <c r="N868" i="6"/>
  <c r="Q962" i="6"/>
  <c r="H1006" i="6"/>
  <c r="K1006" i="6"/>
  <c r="E1006" i="6"/>
  <c r="Q1006" i="6"/>
  <c r="N1006" i="6"/>
  <c r="E1346" i="6"/>
  <c r="F1346" i="6" s="1"/>
  <c r="K2938" i="6"/>
  <c r="B299" i="6"/>
  <c r="P335" i="7"/>
  <c r="B238" i="6"/>
  <c r="E299" i="6"/>
  <c r="E673" i="6"/>
  <c r="E772" i="6"/>
  <c r="E867" i="6"/>
  <c r="Q335" i="7"/>
  <c r="B254" i="6"/>
  <c r="H299" i="6"/>
  <c r="B583" i="6"/>
  <c r="B2938" i="6"/>
  <c r="Q196" i="6"/>
  <c r="N196" i="6"/>
  <c r="K196" i="6"/>
  <c r="H196" i="6"/>
  <c r="B196" i="6"/>
  <c r="E196" i="6"/>
  <c r="E303" i="6"/>
  <c r="E379" i="6"/>
  <c r="K673" i="6"/>
  <c r="H813" i="6"/>
  <c r="Q867" i="6"/>
  <c r="C1157" i="6"/>
  <c r="D1157" i="6" s="1"/>
  <c r="E2938" i="6"/>
  <c r="H248" i="6"/>
  <c r="Q390" i="6"/>
  <c r="B577" i="6"/>
  <c r="N772" i="6"/>
  <c r="K151" i="6"/>
  <c r="N156" i="6"/>
  <c r="E197" i="6"/>
  <c r="Q239" i="6"/>
  <c r="K239" i="6"/>
  <c r="H243" i="6"/>
  <c r="N248" i="6"/>
  <c r="H290" i="6"/>
  <c r="N300" i="6"/>
  <c r="K300" i="6"/>
  <c r="H300" i="6"/>
  <c r="E300" i="6"/>
  <c r="H344" i="6"/>
  <c r="H349" i="6"/>
  <c r="Q380" i="6"/>
  <c r="B380" i="6"/>
  <c r="N380" i="6"/>
  <c r="E380" i="6"/>
  <c r="E432" i="6"/>
  <c r="Q438" i="6"/>
  <c r="N438" i="6"/>
  <c r="E438" i="6"/>
  <c r="K438" i="6"/>
  <c r="H438" i="6"/>
  <c r="E481" i="6"/>
  <c r="N532" i="6"/>
  <c r="Q539" i="6"/>
  <c r="N539" i="6"/>
  <c r="E539" i="6"/>
  <c r="H577" i="6"/>
  <c r="H580" i="6"/>
  <c r="Q583" i="6"/>
  <c r="K632" i="6"/>
  <c r="N767" i="6"/>
  <c r="Q814" i="6"/>
  <c r="K814" i="6"/>
  <c r="H814" i="6"/>
  <c r="E814" i="6"/>
  <c r="B814" i="6"/>
  <c r="N2938" i="6"/>
  <c r="K440" i="6"/>
  <c r="N440" i="6"/>
  <c r="H2943" i="6"/>
  <c r="E124" i="6"/>
  <c r="G124" i="6" s="1"/>
  <c r="K146" i="6"/>
  <c r="Q146" i="6"/>
  <c r="N146" i="6"/>
  <c r="Q384" i="6"/>
  <c r="N384" i="6"/>
  <c r="H384" i="6"/>
  <c r="K384" i="6"/>
  <c r="N531" i="6"/>
  <c r="N569" i="6"/>
  <c r="K569" i="6"/>
  <c r="N1049" i="6"/>
  <c r="K1049" i="6"/>
  <c r="Q1049" i="6"/>
  <c r="K2943" i="6"/>
  <c r="B146" i="6"/>
  <c r="B248" i="6"/>
  <c r="H440" i="6"/>
  <c r="E569" i="6"/>
  <c r="H772" i="6"/>
  <c r="K394" i="6"/>
  <c r="K437" i="6"/>
  <c r="B632" i="6"/>
  <c r="K238" i="6"/>
  <c r="B290" i="6"/>
  <c r="B344" i="6"/>
  <c r="N437" i="6"/>
  <c r="B532" i="6"/>
  <c r="B580" i="6"/>
  <c r="N151" i="6"/>
  <c r="H197" i="6"/>
  <c r="K243" i="6"/>
  <c r="K290" i="6"/>
  <c r="N344" i="6"/>
  <c r="K349" i="6"/>
  <c r="H481" i="6"/>
  <c r="K577" i="6"/>
  <c r="K580" i="6"/>
  <c r="N632" i="6"/>
  <c r="E959" i="6"/>
  <c r="B1056" i="6"/>
  <c r="B394" i="6"/>
  <c r="B437" i="6"/>
  <c r="E390" i="6"/>
  <c r="E437" i="6"/>
  <c r="Q523" i="6"/>
  <c r="K523" i="6"/>
  <c r="N523" i="6"/>
  <c r="H523" i="6"/>
  <c r="E962" i="6"/>
  <c r="E583" i="6"/>
  <c r="H488" i="6"/>
  <c r="Q488" i="6"/>
  <c r="K488" i="6"/>
  <c r="H2938" i="6"/>
  <c r="K197" i="6"/>
  <c r="N243" i="6"/>
  <c r="N290" i="6"/>
  <c r="N349" i="6"/>
  <c r="N391" i="6"/>
  <c r="K533" i="6"/>
  <c r="H533" i="6"/>
  <c r="N533" i="6"/>
  <c r="N577" i="6"/>
  <c r="K633" i="6"/>
  <c r="H633" i="6"/>
  <c r="Q633" i="6"/>
  <c r="Q768" i="6"/>
  <c r="N768" i="6"/>
  <c r="B388" i="6"/>
  <c r="K765" i="6"/>
  <c r="B250" i="6"/>
  <c r="B298" i="6"/>
  <c r="E388" i="6"/>
  <c r="E436" i="6"/>
  <c r="E482" i="6"/>
  <c r="E576" i="6"/>
  <c r="H584" i="6"/>
  <c r="N624" i="6"/>
  <c r="E629" i="6"/>
  <c r="H719" i="6"/>
  <c r="N765" i="6"/>
  <c r="E819" i="6"/>
  <c r="H865" i="6"/>
  <c r="H909" i="6"/>
  <c r="E915" i="6"/>
  <c r="E1001" i="6"/>
  <c r="H2940" i="6"/>
  <c r="J170" i="7"/>
  <c r="B819" i="6"/>
  <c r="E909" i="6"/>
  <c r="E250" i="6"/>
  <c r="E298" i="6"/>
  <c r="H388" i="6"/>
  <c r="H436" i="6"/>
  <c r="H482" i="6"/>
  <c r="H576" i="6"/>
  <c r="K584" i="6"/>
  <c r="Q624" i="6"/>
  <c r="H629" i="6"/>
  <c r="H819" i="6"/>
  <c r="K865" i="6"/>
  <c r="N909" i="6"/>
  <c r="K1001" i="6"/>
  <c r="E2937" i="6"/>
  <c r="N2940" i="6"/>
  <c r="AD170" i="7"/>
  <c r="X555" i="7"/>
  <c r="B482" i="6"/>
  <c r="B584" i="6"/>
  <c r="E865" i="6"/>
  <c r="B150" i="6"/>
  <c r="H250" i="6"/>
  <c r="H298" i="6"/>
  <c r="K388" i="6"/>
  <c r="K436" i="6"/>
  <c r="K482" i="6"/>
  <c r="K576" i="6"/>
  <c r="N584" i="6"/>
  <c r="K629" i="6"/>
  <c r="K819" i="6"/>
  <c r="H2937" i="6"/>
  <c r="Q664" i="7"/>
  <c r="B436" i="6"/>
  <c r="B576" i="6"/>
  <c r="N576" i="6"/>
  <c r="N819" i="6"/>
  <c r="X611" i="7"/>
  <c r="H287" i="6"/>
  <c r="N287" i="6"/>
  <c r="K287" i="6"/>
  <c r="E287" i="6"/>
  <c r="B287" i="6"/>
  <c r="Q287" i="6"/>
  <c r="B347" i="6"/>
  <c r="N347" i="6"/>
  <c r="Q347" i="6"/>
  <c r="K347" i="6"/>
  <c r="H347" i="6"/>
  <c r="E347" i="6"/>
  <c r="E769" i="6"/>
  <c r="N769" i="6"/>
  <c r="K769" i="6"/>
  <c r="H769" i="6"/>
  <c r="Q769" i="6"/>
  <c r="B769" i="6"/>
  <c r="N483" i="6"/>
  <c r="K483" i="6"/>
  <c r="Q483" i="6"/>
  <c r="H483" i="6"/>
  <c r="E483" i="6"/>
  <c r="B483" i="6"/>
  <c r="E923" i="6"/>
  <c r="K426" i="6"/>
  <c r="N426" i="6"/>
  <c r="H426" i="6"/>
  <c r="E426" i="6"/>
  <c r="B426" i="6"/>
  <c r="Q426" i="6"/>
  <c r="B383" i="6"/>
  <c r="E383" i="6"/>
  <c r="N383" i="6"/>
  <c r="K383" i="6"/>
  <c r="Q383" i="6"/>
  <c r="H383" i="6"/>
  <c r="F405" i="6"/>
  <c r="G405" i="6" s="1"/>
  <c r="E526" i="6"/>
  <c r="B526" i="6"/>
  <c r="N526" i="6"/>
  <c r="K526" i="6"/>
  <c r="H526" i="6"/>
  <c r="Q526" i="6"/>
  <c r="N249" i="6"/>
  <c r="H249" i="6"/>
  <c r="Q249" i="6"/>
  <c r="K249" i="6"/>
  <c r="E249" i="6"/>
  <c r="B249" i="6"/>
  <c r="E829" i="6"/>
  <c r="B829" i="6"/>
  <c r="D829" i="6" s="1"/>
  <c r="F10" i="5"/>
  <c r="H10" i="5" s="1"/>
  <c r="G10" i="5"/>
  <c r="H433" i="6"/>
  <c r="E433" i="6"/>
  <c r="Q433" i="6"/>
  <c r="B433" i="6"/>
  <c r="N433" i="6"/>
  <c r="K433" i="6"/>
  <c r="B1205" i="6"/>
  <c r="E1205" i="6"/>
  <c r="G1205" i="6" s="1"/>
  <c r="N395" i="6"/>
  <c r="K395" i="6"/>
  <c r="H395" i="6"/>
  <c r="Q395" i="6"/>
  <c r="K676" i="6"/>
  <c r="H676" i="6"/>
  <c r="Q676" i="6"/>
  <c r="K914" i="6"/>
  <c r="N914" i="6"/>
  <c r="H914" i="6"/>
  <c r="Q914" i="6"/>
  <c r="E914" i="6"/>
  <c r="B914" i="6"/>
  <c r="B536" i="6"/>
  <c r="E568" i="6"/>
  <c r="N568" i="6"/>
  <c r="Q568" i="6"/>
  <c r="K568" i="6"/>
  <c r="K956" i="6"/>
  <c r="H956" i="6"/>
  <c r="N956" i="6"/>
  <c r="Q956" i="6"/>
  <c r="E956" i="6"/>
  <c r="B956" i="6"/>
  <c r="C32" i="4"/>
  <c r="C33" i="4"/>
  <c r="B37" i="4"/>
  <c r="B11" i="13" s="1"/>
  <c r="F264" i="6"/>
  <c r="E386" i="6"/>
  <c r="H386" i="6"/>
  <c r="B386" i="6"/>
  <c r="Q386" i="6"/>
  <c r="N386" i="6"/>
  <c r="H335" i="6"/>
  <c r="K335" i="6"/>
  <c r="E335" i="6"/>
  <c r="N335" i="6"/>
  <c r="Q335" i="6"/>
  <c r="K821" i="6"/>
  <c r="E821" i="6"/>
  <c r="B821" i="6"/>
  <c r="E911" i="6"/>
  <c r="H911" i="6"/>
  <c r="B911" i="6"/>
  <c r="Q911" i="6"/>
  <c r="N911" i="6"/>
  <c r="E192" i="6"/>
  <c r="B192" i="6"/>
  <c r="Q192" i="6"/>
  <c r="N192" i="6"/>
  <c r="K192" i="6"/>
  <c r="E200" i="6"/>
  <c r="N200" i="6"/>
  <c r="B200" i="6"/>
  <c r="K200" i="6"/>
  <c r="Q200" i="6"/>
  <c r="C264" i="6"/>
  <c r="D264" i="6" s="1"/>
  <c r="B285" i="6"/>
  <c r="H573" i="6"/>
  <c r="E573" i="6"/>
  <c r="Q573" i="6"/>
  <c r="N573" i="6"/>
  <c r="K573" i="6"/>
  <c r="D640" i="6"/>
  <c r="B641" i="6" s="1"/>
  <c r="D687" i="6"/>
  <c r="B688" i="6" s="1"/>
  <c r="E724" i="6"/>
  <c r="Q724" i="6"/>
  <c r="N724" i="6"/>
  <c r="H724" i="6"/>
  <c r="K724" i="6"/>
  <c r="B724" i="6"/>
  <c r="E155" i="6"/>
  <c r="Q155" i="6"/>
  <c r="N155" i="6"/>
  <c r="B568" i="6"/>
  <c r="E688" i="6"/>
  <c r="Q718" i="6"/>
  <c r="N718" i="6"/>
  <c r="K718" i="6"/>
  <c r="H718" i="6"/>
  <c r="E718" i="6"/>
  <c r="B718" i="6"/>
  <c r="G875" i="6"/>
  <c r="E876" i="6" s="1"/>
  <c r="F876" i="6" s="1"/>
  <c r="N285" i="6"/>
  <c r="K285" i="6"/>
  <c r="Q285" i="6"/>
  <c r="H285" i="6"/>
  <c r="E906" i="6"/>
  <c r="B906" i="6"/>
  <c r="Q906" i="6"/>
  <c r="N906" i="6"/>
  <c r="K906" i="6"/>
  <c r="H906" i="6"/>
  <c r="B395" i="6"/>
  <c r="N491" i="6"/>
  <c r="Q491" i="6"/>
  <c r="K1005" i="6"/>
  <c r="E1005" i="6"/>
  <c r="B1005" i="6"/>
  <c r="N1005" i="6"/>
  <c r="H192" i="6"/>
  <c r="B573" i="6"/>
  <c r="K292" i="6"/>
  <c r="H292" i="6"/>
  <c r="E292" i="6"/>
  <c r="N292" i="6"/>
  <c r="Q292" i="6"/>
  <c r="N389" i="6"/>
  <c r="Q389" i="6"/>
  <c r="K389" i="6"/>
  <c r="E524" i="6"/>
  <c r="B524" i="6"/>
  <c r="K524" i="6"/>
  <c r="Q524" i="6"/>
  <c r="N524" i="6"/>
  <c r="H524" i="6"/>
  <c r="H208" i="6"/>
  <c r="E208" i="6"/>
  <c r="Q208" i="6"/>
  <c r="C31" i="4"/>
  <c r="B40" i="4" s="1"/>
  <c r="E201" i="6"/>
  <c r="N246" i="6"/>
  <c r="K246" i="6"/>
  <c r="H246" i="6"/>
  <c r="Q246" i="6"/>
  <c r="H293" i="6"/>
  <c r="E293" i="6"/>
  <c r="Q293" i="6"/>
  <c r="N293" i="6"/>
  <c r="F8" i="5"/>
  <c r="H8" i="5" s="1"/>
  <c r="E398" i="6"/>
  <c r="B398" i="6"/>
  <c r="K398" i="6"/>
  <c r="N398" i="6"/>
  <c r="Q398" i="6"/>
  <c r="N676" i="6"/>
  <c r="AL334" i="7"/>
  <c r="AK334" i="7"/>
  <c r="AE334" i="7"/>
  <c r="AD334" i="7"/>
  <c r="I334" i="7"/>
  <c r="Q334" i="7"/>
  <c r="P334" i="7"/>
  <c r="X334" i="7"/>
  <c r="W334" i="7"/>
  <c r="J334" i="7"/>
  <c r="C334" i="7"/>
  <c r="N1047" i="6"/>
  <c r="K1047" i="6"/>
  <c r="Q1047" i="6"/>
  <c r="H1047" i="6"/>
  <c r="B334" i="7"/>
  <c r="C51" i="3"/>
  <c r="D171" i="6"/>
  <c r="K208" i="6"/>
  <c r="K332" i="6"/>
  <c r="H332" i="6"/>
  <c r="Q332" i="6"/>
  <c r="N332" i="6"/>
  <c r="H389" i="6"/>
  <c r="B480" i="6"/>
  <c r="B530" i="6"/>
  <c r="H571" i="6"/>
  <c r="N631" i="6"/>
  <c r="K631" i="6"/>
  <c r="H631" i="6"/>
  <c r="N1009" i="6"/>
  <c r="K1009" i="6"/>
  <c r="H1009" i="6"/>
  <c r="Q1009" i="6"/>
  <c r="B1047" i="6"/>
  <c r="D51" i="3"/>
  <c r="F13" i="5"/>
  <c r="H13" i="5" s="1"/>
  <c r="G13" i="5"/>
  <c r="B26" i="5" s="1"/>
  <c r="C26" i="5" s="1"/>
  <c r="N201" i="6"/>
  <c r="E246" i="6"/>
  <c r="B253" i="6"/>
  <c r="H253" i="6"/>
  <c r="E253" i="6"/>
  <c r="K253" i="6"/>
  <c r="Q253" i="6"/>
  <c r="N253" i="6"/>
  <c r="C311" i="6"/>
  <c r="D311" i="6" s="1"/>
  <c r="B332" i="6"/>
  <c r="H339" i="6"/>
  <c r="E339" i="6"/>
  <c r="B339" i="6"/>
  <c r="Q339" i="6"/>
  <c r="N339" i="6"/>
  <c r="K339" i="6"/>
  <c r="H398" i="6"/>
  <c r="B435" i="6"/>
  <c r="K435" i="6"/>
  <c r="Q435" i="6"/>
  <c r="N435" i="6"/>
  <c r="H435" i="6"/>
  <c r="K443" i="6"/>
  <c r="B631" i="6"/>
  <c r="H723" i="6"/>
  <c r="Q723" i="6"/>
  <c r="N723" i="6"/>
  <c r="K723" i="6"/>
  <c r="B1009" i="6"/>
  <c r="B159" i="6"/>
  <c r="B389" i="6"/>
  <c r="B406" i="6"/>
  <c r="D406" i="6" s="1"/>
  <c r="K442" i="6"/>
  <c r="E442" i="6"/>
  <c r="B442" i="6"/>
  <c r="N442" i="6"/>
  <c r="H442" i="6"/>
  <c r="Q442" i="6"/>
  <c r="H491" i="6"/>
  <c r="H155" i="6"/>
  <c r="Q680" i="6"/>
  <c r="N680" i="6"/>
  <c r="K680" i="6"/>
  <c r="K774" i="6"/>
  <c r="N774" i="6"/>
  <c r="H774" i="6"/>
  <c r="E774" i="6"/>
  <c r="K155" i="6"/>
  <c r="B246" i="6"/>
  <c r="K491" i="6"/>
  <c r="B680" i="6"/>
  <c r="B774" i="6"/>
  <c r="E480" i="6"/>
  <c r="K480" i="6"/>
  <c r="K530" i="6"/>
  <c r="E530" i="6"/>
  <c r="Q530" i="6"/>
  <c r="N530" i="6"/>
  <c r="F9" i="5"/>
  <c r="G9" i="5"/>
  <c r="B24" i="5" s="1"/>
  <c r="C24" i="5" s="1"/>
  <c r="K160" i="6"/>
  <c r="E160" i="6"/>
  <c r="Q160" i="6"/>
  <c r="N160" i="6"/>
  <c r="K204" i="6"/>
  <c r="H204" i="6"/>
  <c r="Q204" i="6"/>
  <c r="N204" i="6"/>
  <c r="N208" i="6"/>
  <c r="F311" i="6"/>
  <c r="H480" i="6"/>
  <c r="N913" i="6"/>
  <c r="K913" i="6"/>
  <c r="H913" i="6"/>
  <c r="E913" i="6"/>
  <c r="B7" i="4"/>
  <c r="B8" i="4"/>
  <c r="B18" i="4"/>
  <c r="B19" i="4" s="1"/>
  <c r="B17" i="4"/>
  <c r="B9" i="13" s="1"/>
  <c r="E242" i="6"/>
  <c r="N242" i="6"/>
  <c r="K242" i="6"/>
  <c r="Q242" i="6"/>
  <c r="H242" i="6"/>
  <c r="E392" i="6"/>
  <c r="N392" i="6"/>
  <c r="K392" i="6"/>
  <c r="Q392" i="6"/>
  <c r="E435" i="6"/>
  <c r="K474" i="6"/>
  <c r="B474" i="6"/>
  <c r="Q474" i="6"/>
  <c r="N480" i="6"/>
  <c r="H530" i="6"/>
  <c r="B913" i="6"/>
  <c r="E1047" i="6"/>
  <c r="F1439" i="6"/>
  <c r="B1618" i="6"/>
  <c r="K536" i="6"/>
  <c r="H536" i="6"/>
  <c r="E536" i="6"/>
  <c r="Q536" i="6"/>
  <c r="N536" i="6"/>
  <c r="B876" i="6"/>
  <c r="B335" i="6"/>
  <c r="B676" i="6"/>
  <c r="H821" i="6"/>
  <c r="E486" i="6"/>
  <c r="B486" i="6"/>
  <c r="N486" i="6"/>
  <c r="K486" i="6"/>
  <c r="H486" i="6"/>
  <c r="B491" i="6"/>
  <c r="E676" i="6"/>
  <c r="B155" i="6"/>
  <c r="K245" i="6"/>
  <c r="E245" i="6"/>
  <c r="N245" i="6"/>
  <c r="Q245" i="6"/>
  <c r="H245" i="6"/>
  <c r="K386" i="6"/>
  <c r="E491" i="6"/>
  <c r="H671" i="6"/>
  <c r="E671" i="6"/>
  <c r="B671" i="6"/>
  <c r="Q671" i="6"/>
  <c r="N671" i="6"/>
  <c r="N821" i="6"/>
  <c r="N159" i="6"/>
  <c r="E159" i="6"/>
  <c r="K159" i="6"/>
  <c r="Q159" i="6"/>
  <c r="H159" i="6"/>
  <c r="B201" i="6"/>
  <c r="H201" i="6"/>
  <c r="Q201" i="6"/>
  <c r="H210" i="6"/>
  <c r="E210" i="6"/>
  <c r="N210" i="6"/>
  <c r="K210" i="6"/>
  <c r="Q210" i="6"/>
  <c r="E285" i="6"/>
  <c r="B292" i="6"/>
  <c r="E395" i="6"/>
  <c r="Q821" i="6"/>
  <c r="B210" i="6"/>
  <c r="Q350" i="6"/>
  <c r="H350" i="6"/>
  <c r="E350" i="6"/>
  <c r="N350" i="6"/>
  <c r="K350" i="6"/>
  <c r="H568" i="6"/>
  <c r="H771" i="6"/>
  <c r="Q771" i="6"/>
  <c r="K771" i="6"/>
  <c r="N771" i="6"/>
  <c r="K862" i="6"/>
  <c r="Q862" i="6"/>
  <c r="N862" i="6"/>
  <c r="H862" i="6"/>
  <c r="E862" i="6"/>
  <c r="Q1005" i="6"/>
  <c r="N203" i="6"/>
  <c r="H203" i="6"/>
  <c r="K203" i="6"/>
  <c r="Q203" i="6"/>
  <c r="E203" i="6"/>
  <c r="B203" i="6"/>
  <c r="B208" i="6"/>
  <c r="H443" i="6"/>
  <c r="E443" i="6"/>
  <c r="B443" i="6"/>
  <c r="Q443" i="6"/>
  <c r="N443" i="6"/>
  <c r="N571" i="6"/>
  <c r="K571" i="6"/>
  <c r="Q571" i="6"/>
  <c r="E571" i="6"/>
  <c r="B571" i="6"/>
  <c r="B771" i="6"/>
  <c r="B862" i="6"/>
  <c r="B293" i="6"/>
  <c r="K671" i="6"/>
  <c r="E771" i="6"/>
  <c r="E389" i="6"/>
  <c r="B29" i="13"/>
  <c r="B41" i="5"/>
  <c r="B30" i="13" s="1"/>
  <c r="K201" i="6"/>
  <c r="F217" i="6"/>
  <c r="K293" i="6"/>
  <c r="E631" i="6"/>
  <c r="H680" i="6"/>
  <c r="E154" i="6"/>
  <c r="Q154" i="6"/>
  <c r="N154" i="6"/>
  <c r="K154" i="6"/>
  <c r="H154" i="6"/>
  <c r="H160" i="6"/>
  <c r="E204" i="6"/>
  <c r="B289" i="6"/>
  <c r="E289" i="6"/>
  <c r="Q289" i="6"/>
  <c r="B296" i="6"/>
  <c r="E296" i="6"/>
  <c r="Q296" i="6"/>
  <c r="N296" i="6"/>
  <c r="E332" i="6"/>
  <c r="B392" i="6"/>
  <c r="E474" i="6"/>
  <c r="H521" i="6"/>
  <c r="E521" i="6"/>
  <c r="B521" i="6"/>
  <c r="Q521" i="6"/>
  <c r="N521" i="6"/>
  <c r="K521" i="6"/>
  <c r="Q631" i="6"/>
  <c r="Q913" i="6"/>
  <c r="E1009" i="6"/>
  <c r="K1048" i="6"/>
  <c r="B1048" i="6"/>
  <c r="Q1048" i="6"/>
  <c r="N1048" i="6"/>
  <c r="H1048" i="6"/>
  <c r="E1048" i="6"/>
  <c r="D1486" i="6"/>
  <c r="B1487" i="6" s="1"/>
  <c r="C1487" i="6" s="1"/>
  <c r="H241" i="6"/>
  <c r="Q241" i="6"/>
  <c r="N241" i="6"/>
  <c r="K338" i="6"/>
  <c r="N338" i="6"/>
  <c r="K490" i="6"/>
  <c r="H490" i="6"/>
  <c r="B338" i="6"/>
  <c r="E444" i="6"/>
  <c r="H444" i="6"/>
  <c r="B444" i="6"/>
  <c r="Q444" i="6"/>
  <c r="D1439" i="6"/>
  <c r="B1440" i="6" s="1"/>
  <c r="B153" i="6"/>
  <c r="E153" i="6"/>
  <c r="E206" i="6"/>
  <c r="K206" i="6"/>
  <c r="H206" i="6"/>
  <c r="H485" i="6"/>
  <c r="E485" i="6"/>
  <c r="B485" i="6"/>
  <c r="Q1054" i="6"/>
  <c r="N1054" i="6"/>
  <c r="K1054" i="6"/>
  <c r="E252" i="6"/>
  <c r="H252" i="6"/>
  <c r="B252" i="6"/>
  <c r="N529" i="6"/>
  <c r="E529" i="6"/>
  <c r="K529" i="6"/>
  <c r="B535" i="6"/>
  <c r="H567" i="6"/>
  <c r="N567" i="6"/>
  <c r="K567" i="6"/>
  <c r="N630" i="6"/>
  <c r="H630" i="6"/>
  <c r="E630" i="6"/>
  <c r="B630" i="6"/>
  <c r="K722" i="6"/>
  <c r="Q722" i="6"/>
  <c r="H722" i="6"/>
  <c r="E722" i="6"/>
  <c r="H727" i="6"/>
  <c r="E818" i="6"/>
  <c r="B818" i="6"/>
  <c r="K818" i="6"/>
  <c r="N818" i="6"/>
  <c r="H818" i="6"/>
  <c r="H863" i="6"/>
  <c r="N863" i="6"/>
  <c r="Q863" i="6"/>
  <c r="G969" i="6"/>
  <c r="E970" i="6" s="1"/>
  <c r="F970" i="6" s="1"/>
  <c r="B124" i="6"/>
  <c r="D124" i="6" s="1"/>
  <c r="E195" i="6"/>
  <c r="K198" i="6"/>
  <c r="N291" i="6"/>
  <c r="K291" i="6"/>
  <c r="H291" i="6"/>
  <c r="E346" i="6"/>
  <c r="Q346" i="6"/>
  <c r="N346" i="6"/>
  <c r="K346" i="6"/>
  <c r="H537" i="6"/>
  <c r="E537" i="6"/>
  <c r="K537" i="6"/>
  <c r="Q537" i="6"/>
  <c r="K630" i="6"/>
  <c r="E162" i="6"/>
  <c r="H162" i="6"/>
  <c r="B198" i="6"/>
  <c r="H209" i="6"/>
  <c r="E209" i="6"/>
  <c r="K209" i="6"/>
  <c r="F499" i="6"/>
  <c r="G499" i="6" s="1"/>
  <c r="H531" i="6"/>
  <c r="E531" i="6"/>
  <c r="E1054" i="6"/>
  <c r="B2942" i="6"/>
  <c r="H195" i="6"/>
  <c r="B209" i="6"/>
  <c r="B244" i="6"/>
  <c r="K286" i="6"/>
  <c r="Q286" i="6"/>
  <c r="B294" i="6"/>
  <c r="H338" i="6"/>
  <c r="H529" i="6"/>
  <c r="B531" i="6"/>
  <c r="Q719" i="6"/>
  <c r="N719" i="6"/>
  <c r="H957" i="6"/>
  <c r="E957" i="6"/>
  <c r="Q957" i="6"/>
  <c r="K1002" i="6"/>
  <c r="N1002" i="6"/>
  <c r="Q1002" i="6"/>
  <c r="H1002" i="6"/>
  <c r="P336" i="12"/>
  <c r="AD336" i="12"/>
  <c r="AL336" i="12"/>
  <c r="I335" i="12"/>
  <c r="AL335" i="12"/>
  <c r="AE336" i="12"/>
  <c r="AK335" i="12"/>
  <c r="J335" i="12"/>
  <c r="J336" i="12"/>
  <c r="X280" i="12"/>
  <c r="I280" i="12"/>
  <c r="Q335" i="12"/>
  <c r="W280" i="12"/>
  <c r="AE279" i="12"/>
  <c r="AL169" i="12"/>
  <c r="AK280" i="12"/>
  <c r="X169" i="12"/>
  <c r="AD280" i="12"/>
  <c r="AK336" i="12"/>
  <c r="AE334" i="12"/>
  <c r="X279" i="12"/>
  <c r="Q169" i="12"/>
  <c r="X336" i="12"/>
  <c r="AD334" i="12"/>
  <c r="P279" i="12"/>
  <c r="W170" i="12"/>
  <c r="P169" i="12"/>
  <c r="W336" i="12"/>
  <c r="AL279" i="12"/>
  <c r="I170" i="12"/>
  <c r="I336" i="12"/>
  <c r="AL280" i="12"/>
  <c r="C279" i="12"/>
  <c r="Q280" i="12"/>
  <c r="B279" i="12"/>
  <c r="C169" i="12"/>
  <c r="B171" i="12"/>
  <c r="B169" i="12"/>
  <c r="P335" i="12"/>
  <c r="P281" i="12"/>
  <c r="AK171" i="12"/>
  <c r="W171" i="12"/>
  <c r="P280" i="12"/>
  <c r="C225" i="12"/>
  <c r="AD1050" i="8"/>
  <c r="B939" i="8"/>
  <c r="AL171" i="12"/>
  <c r="AD169" i="12"/>
  <c r="I1050" i="8"/>
  <c r="J939" i="8"/>
  <c r="J169" i="12"/>
  <c r="I939" i="8"/>
  <c r="I169" i="12"/>
  <c r="J1050" i="8"/>
  <c r="AL1050" i="8"/>
  <c r="AE170" i="12"/>
  <c r="AD170" i="12"/>
  <c r="C1105" i="8"/>
  <c r="C994" i="8"/>
  <c r="J940" i="8"/>
  <c r="W939" i="8"/>
  <c r="B1105" i="8"/>
  <c r="AK941" i="8"/>
  <c r="I940" i="8"/>
  <c r="AE169" i="12"/>
  <c r="AK1050" i="8"/>
  <c r="C1050" i="8"/>
  <c r="B1050" i="8"/>
  <c r="AD994" i="8"/>
  <c r="J941" i="8"/>
  <c r="AD940" i="8"/>
  <c r="AL1105" i="8"/>
  <c r="P1104" i="8"/>
  <c r="P940" i="8"/>
  <c r="AK666" i="8"/>
  <c r="B391" i="8"/>
  <c r="X939" i="8"/>
  <c r="P666" i="8"/>
  <c r="B446" i="8"/>
  <c r="Q1105" i="8"/>
  <c r="C1104" i="8"/>
  <c r="X994" i="8"/>
  <c r="P939" i="8"/>
  <c r="B501" i="8"/>
  <c r="W994" i="8"/>
  <c r="AE611" i="8"/>
  <c r="Q171" i="12"/>
  <c r="C995" i="8"/>
  <c r="C611" i="8"/>
  <c r="I501" i="8"/>
  <c r="B995" i="8"/>
  <c r="C666" i="8"/>
  <c r="X611" i="8"/>
  <c r="B611" i="8"/>
  <c r="AL170" i="12"/>
  <c r="J1105" i="8"/>
  <c r="AL939" i="8"/>
  <c r="X666" i="8"/>
  <c r="W611" i="8"/>
  <c r="AK939" i="8"/>
  <c r="W666" i="8"/>
  <c r="Q281" i="12"/>
  <c r="P941" i="8"/>
  <c r="AD939" i="8"/>
  <c r="C169" i="8"/>
  <c r="AK940" i="8"/>
  <c r="B169" i="8"/>
  <c r="Q1051" i="8"/>
  <c r="J995" i="8"/>
  <c r="AL501" i="8"/>
  <c r="J501" i="8"/>
  <c r="AL391" i="8"/>
  <c r="P1106" i="8"/>
  <c r="P994" i="8"/>
  <c r="AD941" i="8"/>
  <c r="AE773" i="8"/>
  <c r="J720" i="8"/>
  <c r="B719" i="8"/>
  <c r="AE666" i="8"/>
  <c r="X501" i="8"/>
  <c r="J391" i="8"/>
  <c r="AD390" i="8"/>
  <c r="B390" i="8"/>
  <c r="J336" i="8"/>
  <c r="I169" i="8"/>
  <c r="Q1104" i="8"/>
  <c r="AD666" i="8"/>
  <c r="AE665" i="8"/>
  <c r="B610" i="8"/>
  <c r="W501" i="8"/>
  <c r="AK391" i="8"/>
  <c r="I391" i="8"/>
  <c r="I336" i="8"/>
  <c r="AD665" i="8"/>
  <c r="J446" i="8"/>
  <c r="X390" i="8"/>
  <c r="AE774" i="8"/>
  <c r="X773" i="8"/>
  <c r="I446" i="8"/>
  <c r="W390" i="8"/>
  <c r="I995" i="8"/>
  <c r="AE941" i="8"/>
  <c r="B776" i="8"/>
  <c r="W773" i="8"/>
  <c r="X718" i="8"/>
  <c r="X717" i="8"/>
  <c r="X774" i="8"/>
  <c r="W718" i="8"/>
  <c r="AL611" i="8"/>
  <c r="AD501" i="8"/>
  <c r="X446" i="8"/>
  <c r="P390" i="8"/>
  <c r="B336" i="8"/>
  <c r="B1051" i="8"/>
  <c r="Q940" i="8"/>
  <c r="Q500" i="8"/>
  <c r="W446" i="8"/>
  <c r="C774" i="8"/>
  <c r="C719" i="8"/>
  <c r="X609" i="8"/>
  <c r="P501" i="8"/>
  <c r="P500" i="8"/>
  <c r="Q444" i="8"/>
  <c r="X336" i="8"/>
  <c r="X1050" i="8"/>
  <c r="X775" i="8"/>
  <c r="X720" i="8"/>
  <c r="AE610" i="8"/>
  <c r="Q609" i="8"/>
  <c r="Q555" i="8"/>
  <c r="P444" i="8"/>
  <c r="I390" i="8"/>
  <c r="W336" i="8"/>
  <c r="X169" i="8"/>
  <c r="W1104" i="8"/>
  <c r="I775" i="8"/>
  <c r="AK772" i="8"/>
  <c r="J666" i="8"/>
  <c r="B389" i="8"/>
  <c r="B334" i="8"/>
  <c r="W224" i="8"/>
  <c r="B170" i="8"/>
  <c r="AD772" i="8"/>
  <c r="AD719" i="8"/>
  <c r="I666" i="8"/>
  <c r="Q994" i="8"/>
  <c r="W719" i="8"/>
  <c r="AL665" i="8"/>
  <c r="AD611" i="8"/>
  <c r="AK554" i="8"/>
  <c r="AK501" i="8"/>
  <c r="P224" i="8"/>
  <c r="AL721" i="8"/>
  <c r="AK665" i="8"/>
  <c r="AK390" i="8"/>
  <c r="X555" i="8"/>
  <c r="AD391" i="8"/>
  <c r="AE390" i="8"/>
  <c r="I389" i="8"/>
  <c r="AE169" i="8"/>
  <c r="J776" i="8"/>
  <c r="J773" i="8"/>
  <c r="P665" i="8"/>
  <c r="W555" i="8"/>
  <c r="C336" i="8"/>
  <c r="X224" i="8"/>
  <c r="AD169" i="8"/>
  <c r="B939" i="7"/>
  <c r="AL885" i="7"/>
  <c r="I776" i="8"/>
  <c r="I773" i="8"/>
  <c r="Q719" i="8"/>
  <c r="Q390" i="8"/>
  <c r="C389" i="8"/>
  <c r="Q224" i="8"/>
  <c r="W169" i="8"/>
  <c r="AK885" i="7"/>
  <c r="X941" i="8"/>
  <c r="AL446" i="8"/>
  <c r="AE830" i="7"/>
  <c r="AD775" i="7"/>
  <c r="J775" i="7"/>
  <c r="W941" i="8"/>
  <c r="AK446" i="8"/>
  <c r="AK335" i="8"/>
  <c r="X334" i="8"/>
  <c r="Q170" i="8"/>
  <c r="AD610" i="8"/>
  <c r="X391" i="8"/>
  <c r="AD389" i="8"/>
  <c r="P334" i="8"/>
  <c r="X830" i="7"/>
  <c r="B776" i="7"/>
  <c r="W775" i="7"/>
  <c r="AD666" i="7"/>
  <c r="B665" i="7"/>
  <c r="P1051" i="8"/>
  <c r="AL666" i="8"/>
  <c r="W554" i="8"/>
  <c r="W391" i="8"/>
  <c r="W830" i="7"/>
  <c r="J611" i="7"/>
  <c r="Q941" i="8"/>
  <c r="P389" i="8"/>
  <c r="P170" i="8"/>
  <c r="J666" i="7"/>
  <c r="I611" i="7"/>
  <c r="Q610" i="7"/>
  <c r="P446" i="7"/>
  <c r="AE391" i="7"/>
  <c r="W1050" i="8"/>
  <c r="J665" i="8"/>
  <c r="P554" i="8"/>
  <c r="AL500" i="8"/>
  <c r="J389" i="8"/>
  <c r="X776" i="7"/>
  <c r="AL776" i="8"/>
  <c r="AL772" i="8"/>
  <c r="I665" i="8"/>
  <c r="AK500" i="8"/>
  <c r="C334" i="8"/>
  <c r="X885" i="7"/>
  <c r="AL555" i="8"/>
  <c r="Q939" i="7"/>
  <c r="AD885" i="7"/>
  <c r="AE831" i="7"/>
  <c r="P776" i="7"/>
  <c r="Q718" i="8"/>
  <c r="AD831" i="7"/>
  <c r="AL830" i="7"/>
  <c r="AE389" i="8"/>
  <c r="J281" i="8"/>
  <c r="AD830" i="7"/>
  <c r="X775" i="7"/>
  <c r="X720" i="7"/>
  <c r="C720" i="7"/>
  <c r="X666" i="7"/>
  <c r="C666" i="7"/>
  <c r="X665" i="7"/>
  <c r="C665" i="7"/>
  <c r="W611" i="7"/>
  <c r="B611" i="7"/>
  <c r="W610" i="7"/>
  <c r="B610" i="7"/>
  <c r="AE446" i="8"/>
  <c r="AK169" i="8"/>
  <c r="AL939" i="7"/>
  <c r="Q831" i="7"/>
  <c r="Q776" i="7"/>
  <c r="AE666" i="7"/>
  <c r="AL611" i="7"/>
  <c r="I610" i="7"/>
  <c r="I501" i="7"/>
  <c r="J169" i="7"/>
  <c r="AD446" i="8"/>
  <c r="AK939" i="7"/>
  <c r="P831" i="7"/>
  <c r="AK611" i="7"/>
  <c r="I169" i="7"/>
  <c r="AL224" i="8"/>
  <c r="P169" i="8"/>
  <c r="J885" i="7"/>
  <c r="J776" i="7"/>
  <c r="I775" i="7"/>
  <c r="P774" i="7"/>
  <c r="Q720" i="7"/>
  <c r="W665" i="7"/>
  <c r="AE610" i="7"/>
  <c r="X391" i="7"/>
  <c r="J169" i="8"/>
  <c r="J830" i="7"/>
  <c r="W666" i="7"/>
  <c r="X501" i="7"/>
  <c r="W446" i="7"/>
  <c r="C391" i="7"/>
  <c r="B336" i="7"/>
  <c r="B225" i="7"/>
  <c r="AK171" i="7"/>
  <c r="J831" i="7"/>
  <c r="I830" i="7"/>
  <c r="C776" i="7"/>
  <c r="X721" i="7"/>
  <c r="Q665" i="7"/>
  <c r="AE611" i="7"/>
  <c r="W501" i="7"/>
  <c r="C446" i="7"/>
  <c r="B391" i="7"/>
  <c r="Q171" i="7"/>
  <c r="X169" i="7"/>
  <c r="B335" i="8"/>
  <c r="C939" i="7"/>
  <c r="AE501" i="7"/>
  <c r="I446" i="7"/>
  <c r="I281" i="7"/>
  <c r="I831" i="7"/>
  <c r="AL721" i="7"/>
  <c r="AE665" i="7"/>
  <c r="C611" i="7"/>
  <c r="AD501" i="7"/>
  <c r="AL391" i="7"/>
  <c r="Q336" i="7"/>
  <c r="AE225" i="7"/>
  <c r="AL169" i="7"/>
  <c r="C939" i="8"/>
  <c r="B444" i="8"/>
  <c r="AL169" i="8"/>
  <c r="AE885" i="7"/>
  <c r="P666" i="7"/>
  <c r="AD665" i="7"/>
  <c r="AE446" i="7"/>
  <c r="AK391" i="7"/>
  <c r="J391" i="7"/>
  <c r="AD225" i="7"/>
  <c r="Q170" i="7"/>
  <c r="AK169" i="7"/>
  <c r="C391" i="8"/>
  <c r="W885" i="7"/>
  <c r="AD776" i="7"/>
  <c r="W721" i="7"/>
  <c r="AL719" i="7"/>
  <c r="J610" i="7"/>
  <c r="AD446" i="7"/>
  <c r="I391" i="7"/>
  <c r="AE171" i="7"/>
  <c r="P170" i="7"/>
  <c r="AE501" i="8"/>
  <c r="Q334" i="8"/>
  <c r="AD611" i="7"/>
  <c r="AL336" i="7"/>
  <c r="AE335" i="7"/>
  <c r="B281" i="7"/>
  <c r="J500" i="8"/>
  <c r="AK336" i="8"/>
  <c r="AK611" i="8"/>
  <c r="C610" i="7"/>
  <c r="I555" i="7"/>
  <c r="I444" i="7"/>
  <c r="B390" i="7"/>
  <c r="AK335" i="7"/>
  <c r="B170" i="7"/>
  <c r="X884" i="7"/>
  <c r="AL774" i="7"/>
  <c r="AL225" i="7"/>
  <c r="J225" i="7"/>
  <c r="AD171" i="7"/>
  <c r="J611" i="8"/>
  <c r="AE774" i="7"/>
  <c r="J721" i="7"/>
  <c r="AL446" i="7"/>
  <c r="AD391" i="7"/>
  <c r="AK390" i="7"/>
  <c r="X335" i="7"/>
  <c r="AK281" i="7"/>
  <c r="AK225" i="7"/>
  <c r="C225" i="7"/>
  <c r="I611" i="8"/>
  <c r="C500" i="8"/>
  <c r="I721" i="7"/>
  <c r="AE719" i="7"/>
  <c r="AL501" i="7"/>
  <c r="AK500" i="7"/>
  <c r="AK446" i="7"/>
  <c r="AK445" i="7"/>
  <c r="B500" i="8"/>
  <c r="X774" i="7"/>
  <c r="AD719" i="7"/>
  <c r="AE664" i="7"/>
  <c r="AK609" i="7"/>
  <c r="AK501" i="7"/>
  <c r="AE226" i="7"/>
  <c r="X171" i="7"/>
  <c r="I171" i="8"/>
  <c r="AL941" i="7"/>
  <c r="AK830" i="7"/>
  <c r="W774" i="7"/>
  <c r="AD664" i="7"/>
  <c r="AL499" i="7"/>
  <c r="X446" i="7"/>
  <c r="W171" i="7"/>
  <c r="AE170" i="7"/>
  <c r="C335" i="8"/>
  <c r="I776" i="7"/>
  <c r="C390" i="8"/>
  <c r="AD610" i="7"/>
  <c r="W555" i="7"/>
  <c r="W500" i="7"/>
  <c r="P281" i="7"/>
  <c r="P169" i="7"/>
  <c r="AK1105" i="8"/>
  <c r="W720" i="7"/>
  <c r="P665" i="7"/>
  <c r="J609" i="7"/>
  <c r="J499" i="7"/>
  <c r="I334" i="8"/>
  <c r="C775" i="7"/>
  <c r="P720" i="7"/>
  <c r="X610" i="7"/>
  <c r="X279" i="7"/>
  <c r="AE224" i="7"/>
  <c r="J336" i="7"/>
  <c r="J281" i="7"/>
  <c r="W279" i="7"/>
  <c r="J720" i="7"/>
  <c r="AL666" i="7"/>
  <c r="I336" i="7"/>
  <c r="X224" i="7"/>
  <c r="AL171" i="7"/>
  <c r="J775" i="8"/>
  <c r="I720" i="7"/>
  <c r="AK666" i="7"/>
  <c r="J665" i="7"/>
  <c r="P501" i="7"/>
  <c r="W224" i="7"/>
  <c r="AK721" i="8"/>
  <c r="AD886" i="7"/>
  <c r="C774" i="7"/>
  <c r="I665" i="7"/>
  <c r="P610" i="7"/>
  <c r="J446" i="7"/>
  <c r="Q390" i="7"/>
  <c r="Q279" i="7"/>
  <c r="I666" i="7"/>
  <c r="AL224" i="7"/>
  <c r="I170" i="7"/>
  <c r="AL610" i="7"/>
  <c r="Q444" i="7"/>
  <c r="W391" i="7"/>
  <c r="X226" i="7"/>
  <c r="AK224" i="7"/>
  <c r="P885" i="7"/>
  <c r="AL775" i="7"/>
  <c r="AE169" i="7"/>
  <c r="C171" i="8"/>
  <c r="I885" i="7"/>
  <c r="AK775" i="7"/>
  <c r="J444" i="7"/>
  <c r="Q226" i="7"/>
  <c r="AD169" i="7"/>
  <c r="W720" i="8"/>
  <c r="B171" i="8"/>
  <c r="J501" i="7"/>
  <c r="AK336" i="7"/>
  <c r="I226" i="7"/>
  <c r="P171" i="7"/>
  <c r="Q719" i="7"/>
  <c r="P279" i="7"/>
  <c r="W169" i="7"/>
  <c r="P719" i="7"/>
  <c r="H205" i="6"/>
  <c r="Q205" i="6"/>
  <c r="K240" i="6"/>
  <c r="B286" i="6"/>
  <c r="N337" i="6"/>
  <c r="E337" i="6"/>
  <c r="K337" i="6"/>
  <c r="Q348" i="6"/>
  <c r="C358" i="6"/>
  <c r="N431" i="6"/>
  <c r="K431" i="6"/>
  <c r="Q431" i="6"/>
  <c r="E434" i="6"/>
  <c r="B434" i="6"/>
  <c r="Q434" i="6"/>
  <c r="H434" i="6"/>
  <c r="K444" i="6"/>
  <c r="K475" i="6"/>
  <c r="H475" i="6"/>
  <c r="E475" i="6"/>
  <c r="E567" i="6"/>
  <c r="E574" i="6"/>
  <c r="B574" i="6"/>
  <c r="Q574" i="6"/>
  <c r="N574" i="6"/>
  <c r="F593" i="6"/>
  <c r="B627" i="6"/>
  <c r="K627" i="6"/>
  <c r="Q627" i="6"/>
  <c r="N627" i="6"/>
  <c r="Q630" i="6"/>
  <c r="B719" i="6"/>
  <c r="N722" i="6"/>
  <c r="E859" i="6"/>
  <c r="K859" i="6"/>
  <c r="H859" i="6"/>
  <c r="N859" i="6"/>
  <c r="E863" i="6"/>
  <c r="B957" i="6"/>
  <c r="Q1000" i="6"/>
  <c r="N1000" i="6"/>
  <c r="E1000" i="6"/>
  <c r="B1002" i="6"/>
  <c r="F1110" i="6"/>
  <c r="C336" i="7"/>
  <c r="C390" i="7"/>
  <c r="W445" i="7"/>
  <c r="AE500" i="7"/>
  <c r="P721" i="7"/>
  <c r="H2941" i="6"/>
  <c r="Q2941" i="6"/>
  <c r="K2941" i="6"/>
  <c r="N2941" i="6"/>
  <c r="E2941" i="6"/>
  <c r="B195" i="6"/>
  <c r="Q195" i="6"/>
  <c r="K195" i="6"/>
  <c r="B487" i="6"/>
  <c r="Q487" i="6"/>
  <c r="K487" i="6"/>
  <c r="N535" i="6"/>
  <c r="K535" i="6"/>
  <c r="H535" i="6"/>
  <c r="E535" i="6"/>
  <c r="E626" i="6"/>
  <c r="B626" i="6"/>
  <c r="K626" i="6"/>
  <c r="N626" i="6"/>
  <c r="H626" i="6"/>
  <c r="N727" i="6"/>
  <c r="K727" i="6"/>
  <c r="Q727" i="6"/>
  <c r="E727" i="6"/>
  <c r="B727" i="6"/>
  <c r="B206" i="6"/>
  <c r="B241" i="6"/>
  <c r="B490" i="6"/>
  <c r="N675" i="6"/>
  <c r="K675" i="6"/>
  <c r="Q675" i="6"/>
  <c r="N255" i="6"/>
  <c r="E255" i="6"/>
  <c r="B255" i="6"/>
  <c r="K334" i="6"/>
  <c r="H334" i="6"/>
  <c r="B334" i="6"/>
  <c r="E338" i="6"/>
  <c r="C499" i="6"/>
  <c r="K520" i="6"/>
  <c r="H520" i="6"/>
  <c r="B520" i="6"/>
  <c r="N520" i="6"/>
  <c r="B529" i="6"/>
  <c r="E547" i="6"/>
  <c r="G547" i="6" s="1"/>
  <c r="B547" i="6"/>
  <c r="D547" i="6" s="1"/>
  <c r="B567" i="6"/>
  <c r="B675" i="6"/>
  <c r="B722" i="6"/>
  <c r="B863" i="6"/>
  <c r="H1050" i="6"/>
  <c r="E1050" i="6"/>
  <c r="K1050" i="6"/>
  <c r="Q1050" i="6"/>
  <c r="N1050" i="6"/>
  <c r="H153" i="6"/>
  <c r="B291" i="6"/>
  <c r="E487" i="6"/>
  <c r="B679" i="6"/>
  <c r="N679" i="6"/>
  <c r="K679" i="6"/>
  <c r="H679" i="6"/>
  <c r="B162" i="6"/>
  <c r="K247" i="6"/>
  <c r="N247" i="6"/>
  <c r="N485" i="6"/>
  <c r="B572" i="6"/>
  <c r="K153" i="6"/>
  <c r="E156" i="6"/>
  <c r="H161" i="6"/>
  <c r="E161" i="6"/>
  <c r="E198" i="6"/>
  <c r="N252" i="6"/>
  <c r="H255" i="6"/>
  <c r="E291" i="6"/>
  <c r="E297" i="6"/>
  <c r="B297" i="6"/>
  <c r="H297" i="6"/>
  <c r="F358" i="6"/>
  <c r="B431" i="6"/>
  <c r="N441" i="6"/>
  <c r="E441" i="6"/>
  <c r="B441" i="6"/>
  <c r="H441" i="6"/>
  <c r="Q485" i="6"/>
  <c r="H487" i="6"/>
  <c r="N490" i="6"/>
  <c r="E525" i="6"/>
  <c r="B525" i="6"/>
  <c r="Q525" i="6"/>
  <c r="Q535" i="6"/>
  <c r="F640" i="6"/>
  <c r="E679" i="6"/>
  <c r="E719" i="6"/>
  <c r="E770" i="6"/>
  <c r="Q770" i="6"/>
  <c r="N770" i="6"/>
  <c r="B970" i="6"/>
  <c r="B1000" i="6"/>
  <c r="C1016" i="6"/>
  <c r="D1016" i="6" s="1"/>
  <c r="E1051" i="6"/>
  <c r="N1051" i="6"/>
  <c r="K1051" i="6"/>
  <c r="H1054" i="6"/>
  <c r="E2936" i="6"/>
  <c r="Q2936" i="6"/>
  <c r="K2936" i="6"/>
  <c r="N2936" i="6"/>
  <c r="H2936" i="6"/>
  <c r="P280" i="7"/>
  <c r="X445" i="7"/>
  <c r="Q721" i="7"/>
  <c r="E2942" i="6"/>
  <c r="Q2942" i="6"/>
  <c r="N2942" i="6"/>
  <c r="K2942" i="6"/>
  <c r="H157" i="6"/>
  <c r="E157" i="6"/>
  <c r="K244" i="6"/>
  <c r="E244" i="6"/>
  <c r="K252" i="6"/>
  <c r="E294" i="6"/>
  <c r="H294" i="6"/>
  <c r="Q294" i="6"/>
  <c r="E334" i="6"/>
  <c r="B346" i="6"/>
  <c r="K485" i="6"/>
  <c r="E490" i="6"/>
  <c r="B537" i="6"/>
  <c r="K572" i="6"/>
  <c r="H572" i="6"/>
  <c r="Q572" i="6"/>
  <c r="N572" i="6"/>
  <c r="E572" i="6"/>
  <c r="E675" i="6"/>
  <c r="B1050" i="6"/>
  <c r="B1568" i="6"/>
  <c r="B39" i="4"/>
  <c r="B157" i="6"/>
  <c r="E241" i="6"/>
  <c r="C593" i="6"/>
  <c r="D593" i="6" s="1"/>
  <c r="Q818" i="6"/>
  <c r="P556" i="7"/>
  <c r="AE556" i="7"/>
  <c r="J556" i="7"/>
  <c r="I556" i="7"/>
  <c r="AL556" i="7"/>
  <c r="Q556" i="7"/>
  <c r="AK556" i="7"/>
  <c r="X556" i="7"/>
  <c r="W556" i="7"/>
  <c r="C556" i="7"/>
  <c r="B556" i="7"/>
  <c r="AD556" i="7"/>
  <c r="G11" i="5"/>
  <c r="B23" i="5" s="1"/>
  <c r="C23" i="5" s="1"/>
  <c r="B156" i="6"/>
  <c r="K157" i="6"/>
  <c r="B161" i="6"/>
  <c r="K162" i="6"/>
  <c r="N195" i="6"/>
  <c r="H244" i="6"/>
  <c r="E247" i="6"/>
  <c r="K250" i="6"/>
  <c r="N301" i="6"/>
  <c r="B301" i="6"/>
  <c r="Q301" i="6"/>
  <c r="N334" i="6"/>
  <c r="H345" i="6"/>
  <c r="E345" i="6"/>
  <c r="H346" i="6"/>
  <c r="Q351" i="6"/>
  <c r="K351" i="6"/>
  <c r="E384" i="6"/>
  <c r="H387" i="6"/>
  <c r="K387" i="6"/>
  <c r="E387" i="6"/>
  <c r="N477" i="6"/>
  <c r="Q477" i="6"/>
  <c r="Q490" i="6"/>
  <c r="Q529" i="6"/>
  <c r="K531" i="6"/>
  <c r="B539" i="6"/>
  <c r="K539" i="6"/>
  <c r="H539" i="6"/>
  <c r="Q567" i="6"/>
  <c r="Q679" i="6"/>
  <c r="B770" i="6"/>
  <c r="N815" i="6"/>
  <c r="K815" i="6"/>
  <c r="Q815" i="6"/>
  <c r="K863" i="6"/>
  <c r="E1002" i="6"/>
  <c r="B1051" i="6"/>
  <c r="E1158" i="6"/>
  <c r="G1158" i="6" s="1"/>
  <c r="F1251" i="6"/>
  <c r="AD280" i="7"/>
  <c r="AD445" i="7"/>
  <c r="H391" i="6"/>
  <c r="H397" i="6"/>
  <c r="E397" i="6"/>
  <c r="K397" i="6"/>
  <c r="E428" i="6"/>
  <c r="H479" i="6"/>
  <c r="N721" i="6"/>
  <c r="Q721" i="6"/>
  <c r="B735" i="6"/>
  <c r="D735" i="6" s="1"/>
  <c r="N773" i="6"/>
  <c r="N955" i="6"/>
  <c r="K955" i="6"/>
  <c r="Q955" i="6"/>
  <c r="B1622" i="6"/>
  <c r="E678" i="6"/>
  <c r="B678" i="6"/>
  <c r="E768" i="6"/>
  <c r="B955" i="6"/>
  <c r="E958" i="6"/>
  <c r="B958" i="6"/>
  <c r="Q958" i="6"/>
  <c r="B1008" i="6"/>
  <c r="Q1008" i="6"/>
  <c r="N1008" i="6"/>
  <c r="E1008" i="6"/>
  <c r="N629" i="6"/>
  <c r="B768" i="6"/>
  <c r="B817" i="6"/>
  <c r="C922" i="6"/>
  <c r="H962" i="6"/>
  <c r="B962" i="6"/>
  <c r="N1001" i="6"/>
  <c r="H1001" i="6"/>
  <c r="N1004" i="6"/>
  <c r="H1004" i="6"/>
  <c r="E1004" i="6"/>
  <c r="Q1004" i="6"/>
  <c r="B1623" i="6"/>
  <c r="B1660" i="6"/>
  <c r="H625" i="6"/>
  <c r="E625" i="6"/>
  <c r="K625" i="6"/>
  <c r="B721" i="6"/>
  <c r="B773" i="6"/>
  <c r="B207" i="6"/>
  <c r="H207" i="6"/>
  <c r="E304" i="6"/>
  <c r="Q304" i="6"/>
  <c r="N304" i="6"/>
  <c r="N343" i="6"/>
  <c r="B343" i="6"/>
  <c r="Q343" i="6"/>
  <c r="K484" i="6"/>
  <c r="H484" i="6"/>
  <c r="N149" i="6"/>
  <c r="K149" i="6"/>
  <c r="K150" i="6"/>
  <c r="H150" i="6"/>
  <c r="H151" i="6"/>
  <c r="E151" i="6"/>
  <c r="E152" i="6"/>
  <c r="B152" i="6"/>
  <c r="H199" i="6"/>
  <c r="Q199" i="6"/>
  <c r="N199" i="6"/>
  <c r="B243" i="6"/>
  <c r="H251" i="6"/>
  <c r="E251" i="6"/>
  <c r="E288" i="6"/>
  <c r="K288" i="6"/>
  <c r="B304" i="6"/>
  <c r="K333" i="6"/>
  <c r="H333" i="6"/>
  <c r="K390" i="6"/>
  <c r="K396" i="6"/>
  <c r="H396" i="6"/>
  <c r="H427" i="6"/>
  <c r="C452" i="6"/>
  <c r="K478" i="6"/>
  <c r="B484" i="6"/>
  <c r="N488" i="6"/>
  <c r="E522" i="6"/>
  <c r="B522" i="6"/>
  <c r="E538" i="6"/>
  <c r="B538" i="6"/>
  <c r="K538" i="6"/>
  <c r="H538" i="6"/>
  <c r="B629" i="6"/>
  <c r="E672" i="6"/>
  <c r="H672" i="6"/>
  <c r="B672" i="6"/>
  <c r="H678" i="6"/>
  <c r="E735" i="6"/>
  <c r="B782" i="6"/>
  <c r="N820" i="6"/>
  <c r="Q820" i="6"/>
  <c r="K820" i="6"/>
  <c r="N861" i="6"/>
  <c r="H861" i="6"/>
  <c r="B1001" i="6"/>
  <c r="B1004" i="6"/>
  <c r="W389" i="7"/>
  <c r="AL389" i="7"/>
  <c r="AK389" i="7"/>
  <c r="AD389" i="7"/>
  <c r="J389" i="7"/>
  <c r="P389" i="7"/>
  <c r="I389" i="7"/>
  <c r="AE389" i="7"/>
  <c r="X389" i="7"/>
  <c r="Q389" i="7"/>
  <c r="C389" i="7"/>
  <c r="B389" i="7"/>
  <c r="B575" i="6"/>
  <c r="Q575" i="6"/>
  <c r="N575" i="6"/>
  <c r="H817" i="6"/>
  <c r="E817" i="6"/>
  <c r="E171" i="6"/>
  <c r="G171" i="6" s="1"/>
  <c r="Q349" i="6"/>
  <c r="K144" i="6"/>
  <c r="H145" i="6"/>
  <c r="E146" i="6"/>
  <c r="B191" i="6"/>
  <c r="B251" i="6"/>
  <c r="B295" i="6"/>
  <c r="E295" i="6"/>
  <c r="H303" i="6"/>
  <c r="B333" i="6"/>
  <c r="E385" i="6"/>
  <c r="B390" i="6"/>
  <c r="E391" i="6"/>
  <c r="B396" i="6"/>
  <c r="H428" i="6"/>
  <c r="K432" i="6"/>
  <c r="H432" i="6"/>
  <c r="Q432" i="6"/>
  <c r="H473" i="6"/>
  <c r="E479" i="6"/>
  <c r="B488" i="6"/>
  <c r="E489" i="6"/>
  <c r="H527" i="6"/>
  <c r="E527" i="6"/>
  <c r="B527" i="6"/>
  <c r="E532" i="6"/>
  <c r="H532" i="6"/>
  <c r="E575" i="6"/>
  <c r="K624" i="6"/>
  <c r="H624" i="6"/>
  <c r="N633" i="6"/>
  <c r="H677" i="6"/>
  <c r="E677" i="6"/>
  <c r="E721" i="6"/>
  <c r="E773" i="6"/>
  <c r="D781" i="6"/>
  <c r="B820" i="6"/>
  <c r="E864" i="6"/>
  <c r="Q864" i="6"/>
  <c r="H915" i="6"/>
  <c r="Q915" i="6"/>
  <c r="N915" i="6"/>
  <c r="E955" i="6"/>
  <c r="H958" i="6"/>
  <c r="H1008" i="6"/>
  <c r="D1063" i="6"/>
  <c r="B1064" i="6" s="1"/>
  <c r="C1345" i="6"/>
  <c r="B1616" i="6"/>
  <c r="B1706" i="6"/>
  <c r="B624" i="6"/>
  <c r="K628" i="6"/>
  <c r="B633" i="6"/>
  <c r="B677" i="6"/>
  <c r="K678" i="6"/>
  <c r="G735" i="6"/>
  <c r="B767" i="6"/>
  <c r="E767" i="6"/>
  <c r="H768" i="6"/>
  <c r="H773" i="6"/>
  <c r="E782" i="6"/>
  <c r="K816" i="6"/>
  <c r="H816" i="6"/>
  <c r="E816" i="6"/>
  <c r="K817" i="6"/>
  <c r="B915" i="6"/>
  <c r="B1017" i="6"/>
  <c r="D1017" i="6" s="1"/>
  <c r="E1393" i="6"/>
  <c r="G1393" i="6" s="1"/>
  <c r="AK940" i="7"/>
  <c r="C940" i="7"/>
  <c r="B940" i="7"/>
  <c r="AE940" i="7"/>
  <c r="AD940" i="7"/>
  <c r="J940" i="7"/>
  <c r="AL940" i="7"/>
  <c r="I940" i="7"/>
  <c r="Q940" i="7"/>
  <c r="P940" i="7"/>
  <c r="X940" i="7"/>
  <c r="W940" i="7"/>
  <c r="H910" i="6"/>
  <c r="K961" i="6"/>
  <c r="K868" i="6"/>
  <c r="H868" i="6"/>
  <c r="AL281" i="7"/>
  <c r="Q147" i="6"/>
  <c r="N148" i="6"/>
  <c r="Q163" i="6"/>
  <c r="K256" i="6"/>
  <c r="E340" i="6"/>
  <c r="N379" i="6"/>
  <c r="K379" i="6"/>
  <c r="K380" i="6"/>
  <c r="H380" i="6"/>
  <c r="H381" i="6"/>
  <c r="E381" i="6"/>
  <c r="E382" i="6"/>
  <c r="B382" i="6"/>
  <c r="B523" i="6"/>
  <c r="H765" i="6"/>
  <c r="E765" i="6"/>
  <c r="E766" i="6"/>
  <c r="B766" i="6"/>
  <c r="N867" i="6"/>
  <c r="K867" i="6"/>
  <c r="B868" i="6"/>
  <c r="K909" i="6"/>
  <c r="B910" i="6"/>
  <c r="N960" i="6"/>
  <c r="B961" i="6"/>
  <c r="H1049" i="6"/>
  <c r="G1346" i="6"/>
  <c r="F1486" i="6"/>
  <c r="AK556" i="8"/>
  <c r="C556" i="8"/>
  <c r="B556" i="8"/>
  <c r="AD556" i="8"/>
  <c r="J556" i="8"/>
  <c r="I556" i="8"/>
  <c r="Q556" i="8"/>
  <c r="P556" i="8"/>
  <c r="AL556" i="8"/>
  <c r="AE556" i="8"/>
  <c r="X556" i="8"/>
  <c r="W556" i="8"/>
  <c r="B147" i="6"/>
  <c r="Q158" i="6"/>
  <c r="B163" i="6"/>
  <c r="B193" i="6"/>
  <c r="H257" i="6"/>
  <c r="B341" i="6"/>
  <c r="B381" i="6"/>
  <c r="N581" i="6"/>
  <c r="K582" i="6"/>
  <c r="H583" i="6"/>
  <c r="E584" i="6"/>
  <c r="B765" i="6"/>
  <c r="B867" i="6"/>
  <c r="N908" i="6"/>
  <c r="B909" i="6"/>
  <c r="B960" i="6"/>
  <c r="F1016" i="6"/>
  <c r="G1016" i="6" s="1"/>
  <c r="B1049" i="6"/>
  <c r="B1299" i="6"/>
  <c r="E1299" i="6"/>
  <c r="B1572" i="6"/>
  <c r="B1617" i="6"/>
  <c r="B1663" i="6"/>
  <c r="B1669" i="6"/>
  <c r="B24" i="9"/>
  <c r="N197" i="6"/>
  <c r="N239" i="6"/>
  <c r="K302" i="6"/>
  <c r="K344" i="6"/>
  <c r="E453" i="6"/>
  <c r="G453" i="6" s="1"/>
  <c r="E523" i="6"/>
  <c r="E812" i="6"/>
  <c r="E868" i="6"/>
  <c r="E910" i="6"/>
  <c r="E961" i="6"/>
  <c r="E1049" i="6"/>
  <c r="N1056" i="6"/>
  <c r="K1056" i="6"/>
  <c r="C1110" i="6"/>
  <c r="C1392" i="6"/>
  <c r="AK280" i="7"/>
  <c r="AL554" i="7"/>
  <c r="AK554" i="7"/>
  <c r="X554" i="7"/>
  <c r="W554" i="7"/>
  <c r="C554" i="7"/>
  <c r="B554" i="7"/>
  <c r="AD554" i="7"/>
  <c r="I554" i="7"/>
  <c r="Q554" i="7"/>
  <c r="P554" i="7"/>
  <c r="J554" i="7"/>
  <c r="J499" i="8"/>
  <c r="I499" i="8"/>
  <c r="X499" i="8"/>
  <c r="W499" i="8"/>
  <c r="AE499" i="8"/>
  <c r="AD499" i="8"/>
  <c r="P499" i="8"/>
  <c r="AL499" i="8"/>
  <c r="AK499" i="8"/>
  <c r="Q499" i="8"/>
  <c r="C499" i="8"/>
  <c r="B499" i="8"/>
  <c r="AD829" i="7"/>
  <c r="P829" i="7"/>
  <c r="AL829" i="7"/>
  <c r="J829" i="7"/>
  <c r="AK829" i="7"/>
  <c r="I829" i="7"/>
  <c r="X829" i="7"/>
  <c r="W829" i="7"/>
  <c r="Q829" i="7"/>
  <c r="AE829" i="7"/>
  <c r="AE226" i="8"/>
  <c r="AD226" i="8"/>
  <c r="Q226" i="8"/>
  <c r="C226" i="8"/>
  <c r="B226" i="8"/>
  <c r="W226" i="8"/>
  <c r="P226" i="8"/>
  <c r="AL226" i="8"/>
  <c r="J226" i="8"/>
  <c r="I226" i="8"/>
  <c r="X500" i="8"/>
  <c r="B1619" i="6"/>
  <c r="B1712" i="6"/>
  <c r="C224" i="7"/>
  <c r="B224" i="7"/>
  <c r="AD224" i="7"/>
  <c r="J224" i="7"/>
  <c r="I224" i="7"/>
  <c r="Q224" i="7"/>
  <c r="P224" i="7"/>
  <c r="B829" i="7"/>
  <c r="X226" i="8"/>
  <c r="Q393" i="6"/>
  <c r="N394" i="6"/>
  <c r="Q429" i="6"/>
  <c r="N430" i="6"/>
  <c r="Q445" i="6"/>
  <c r="Q481" i="6"/>
  <c r="N482" i="6"/>
  <c r="Q533" i="6"/>
  <c r="N534" i="6"/>
  <c r="Q569" i="6"/>
  <c r="N570" i="6"/>
  <c r="Q585" i="6"/>
  <c r="N586" i="6"/>
  <c r="Q673" i="6"/>
  <c r="N674" i="6"/>
  <c r="Q725" i="6"/>
  <c r="N726" i="6"/>
  <c r="Q813" i="6"/>
  <c r="N814" i="6"/>
  <c r="Q865" i="6"/>
  <c r="N866" i="6"/>
  <c r="Q953" i="6"/>
  <c r="N954" i="6"/>
  <c r="H2935" i="6"/>
  <c r="Q2935" i="6"/>
  <c r="E2935" i="6"/>
  <c r="C829" i="7"/>
  <c r="I886" i="7"/>
  <c r="X886" i="7"/>
  <c r="W886" i="7"/>
  <c r="AL886" i="7"/>
  <c r="P886" i="7"/>
  <c r="AK886" i="7"/>
  <c r="AE886" i="7"/>
  <c r="Q886" i="7"/>
  <c r="C886" i="7"/>
  <c r="B886" i="7"/>
  <c r="AK226" i="8"/>
  <c r="Q248" i="6"/>
  <c r="Q300" i="6"/>
  <c r="Q336" i="6"/>
  <c r="Q388" i="6"/>
  <c r="B393" i="6"/>
  <c r="B429" i="6"/>
  <c r="Q440" i="6"/>
  <c r="B445" i="6"/>
  <c r="Q476" i="6"/>
  <c r="Q492" i="6"/>
  <c r="Q528" i="6"/>
  <c r="B533" i="6"/>
  <c r="B569" i="6"/>
  <c r="Q580" i="6"/>
  <c r="B585" i="6"/>
  <c r="Q632" i="6"/>
  <c r="B673" i="6"/>
  <c r="B813" i="6"/>
  <c r="Q860" i="6"/>
  <c r="B865" i="6"/>
  <c r="Q912" i="6"/>
  <c r="B953" i="6"/>
  <c r="B1006" i="6"/>
  <c r="B1052" i="6"/>
  <c r="B1574" i="6"/>
  <c r="B2935" i="6"/>
  <c r="J445" i="7"/>
  <c r="AE445" i="7"/>
  <c r="I445" i="7"/>
  <c r="Q445" i="7"/>
  <c r="AL445" i="7"/>
  <c r="AD500" i="7"/>
  <c r="J500" i="7"/>
  <c r="Q500" i="7"/>
  <c r="P500" i="7"/>
  <c r="I500" i="7"/>
  <c r="AL500" i="7"/>
  <c r="J886" i="7"/>
  <c r="B860" i="6"/>
  <c r="B912" i="6"/>
  <c r="B1713" i="6"/>
  <c r="B2937" i="6"/>
  <c r="Q2937" i="6"/>
  <c r="N2937" i="6"/>
  <c r="J390" i="7"/>
  <c r="AE390" i="7"/>
  <c r="I390" i="7"/>
  <c r="AD390" i="7"/>
  <c r="X390" i="7"/>
  <c r="W390" i="7"/>
  <c r="AL390" i="7"/>
  <c r="B445" i="7"/>
  <c r="B500" i="7"/>
  <c r="B1570" i="6"/>
  <c r="B1708" i="6"/>
  <c r="F2903" i="6"/>
  <c r="G2903" i="6" s="1"/>
  <c r="K2935" i="6"/>
  <c r="K2940" i="6"/>
  <c r="Q2940" i="6"/>
  <c r="E2940" i="6"/>
  <c r="AD226" i="7"/>
  <c r="W226" i="7"/>
  <c r="C226" i="7"/>
  <c r="B226" i="7"/>
  <c r="AL226" i="7"/>
  <c r="AK226" i="7"/>
  <c r="P226" i="7"/>
  <c r="J226" i="7"/>
  <c r="J280" i="7"/>
  <c r="I280" i="7"/>
  <c r="X280" i="7"/>
  <c r="C280" i="7"/>
  <c r="B280" i="7"/>
  <c r="W280" i="7"/>
  <c r="Q280" i="7"/>
  <c r="AL280" i="7"/>
  <c r="C445" i="7"/>
  <c r="C500" i="7"/>
  <c r="W609" i="7"/>
  <c r="AL609" i="7"/>
  <c r="X609" i="7"/>
  <c r="AE609" i="7"/>
  <c r="I609" i="7"/>
  <c r="AD609" i="7"/>
  <c r="C609" i="7"/>
  <c r="B609" i="7"/>
  <c r="Q609" i="7"/>
  <c r="P609" i="7"/>
  <c r="J225" i="8"/>
  <c r="I225" i="8"/>
  <c r="X225" i="8"/>
  <c r="W225" i="8"/>
  <c r="AE225" i="8"/>
  <c r="AD225" i="8"/>
  <c r="AK225" i="8"/>
  <c r="P225" i="8"/>
  <c r="C225" i="8"/>
  <c r="AL225" i="8"/>
  <c r="B225" i="8"/>
  <c r="Q225" i="8"/>
  <c r="AK279" i="7"/>
  <c r="C279" i="7"/>
  <c r="AE279" i="7"/>
  <c r="AD279" i="7"/>
  <c r="J279" i="7"/>
  <c r="X444" i="7"/>
  <c r="W444" i="7"/>
  <c r="AL444" i="7"/>
  <c r="P444" i="7"/>
  <c r="AE444" i="7"/>
  <c r="AD444" i="7"/>
  <c r="J555" i="7"/>
  <c r="Q555" i="7"/>
  <c r="P555" i="7"/>
  <c r="AL555" i="7"/>
  <c r="AK555" i="7"/>
  <c r="AE555" i="7"/>
  <c r="AD555" i="7"/>
  <c r="X664" i="7"/>
  <c r="W664" i="7"/>
  <c r="I664" i="7"/>
  <c r="AL664" i="7"/>
  <c r="P664" i="7"/>
  <c r="AK664" i="7"/>
  <c r="K2934" i="6"/>
  <c r="Q2934" i="6"/>
  <c r="N2939" i="6"/>
  <c r="Q2939" i="6"/>
  <c r="B279" i="7"/>
  <c r="B444" i="7"/>
  <c r="B555" i="7"/>
  <c r="B664" i="7"/>
  <c r="AE884" i="7"/>
  <c r="AD884" i="7"/>
  <c r="AL884" i="7"/>
  <c r="AK884" i="7"/>
  <c r="Q884" i="7"/>
  <c r="P884" i="7"/>
  <c r="W884" i="7"/>
  <c r="C884" i="7"/>
  <c r="B884" i="7"/>
  <c r="J884" i="7"/>
  <c r="I884" i="7"/>
  <c r="B1615" i="6"/>
  <c r="B1665" i="6"/>
  <c r="B1715" i="6"/>
  <c r="B2934" i="6"/>
  <c r="B2939" i="6"/>
  <c r="AL279" i="7"/>
  <c r="J335" i="7"/>
  <c r="I335" i="7"/>
  <c r="AD335" i="7"/>
  <c r="W335" i="7"/>
  <c r="C335" i="7"/>
  <c r="C444" i="7"/>
  <c r="I499" i="7"/>
  <c r="X499" i="7"/>
  <c r="W499" i="7"/>
  <c r="Q499" i="7"/>
  <c r="P499" i="7"/>
  <c r="AE499" i="7"/>
  <c r="C555" i="7"/>
  <c r="C664" i="7"/>
  <c r="I279" i="7"/>
  <c r="B335" i="7"/>
  <c r="B499" i="7"/>
  <c r="W939" i="7"/>
  <c r="AL335" i="8"/>
  <c r="AK444" i="7"/>
  <c r="C499" i="7"/>
  <c r="AD499" i="7"/>
  <c r="J664" i="7"/>
  <c r="AD774" i="7"/>
  <c r="I225" i="7"/>
  <c r="X225" i="7"/>
  <c r="W225" i="7"/>
  <c r="P336" i="7"/>
  <c r="AE336" i="7"/>
  <c r="AD336" i="7"/>
  <c r="I719" i="7"/>
  <c r="X719" i="7"/>
  <c r="W719" i="7"/>
  <c r="C719" i="7"/>
  <c r="B719" i="7"/>
  <c r="X170" i="7"/>
  <c r="W170" i="7"/>
  <c r="AL170" i="7"/>
  <c r="AE281" i="7"/>
  <c r="AD281" i="7"/>
  <c r="C170" i="7"/>
  <c r="C281" i="7"/>
  <c r="W336" i="7"/>
  <c r="C721" i="7"/>
  <c r="B721" i="7"/>
  <c r="AE721" i="7"/>
  <c r="AD721" i="7"/>
  <c r="B171" i="7"/>
  <c r="W281" i="7"/>
  <c r="X336" i="7"/>
  <c r="J941" i="7"/>
  <c r="I941" i="7"/>
  <c r="X941" i="7"/>
  <c r="W941" i="7"/>
  <c r="AE941" i="7"/>
  <c r="Q941" i="7"/>
  <c r="AK941" i="7"/>
  <c r="C941" i="7"/>
  <c r="B941" i="7"/>
  <c r="AD941" i="7"/>
  <c r="P941" i="7"/>
  <c r="B2904" i="6"/>
  <c r="C171" i="7"/>
  <c r="X281" i="7"/>
  <c r="AK719" i="7"/>
  <c r="AK721" i="7"/>
  <c r="J280" i="8"/>
  <c r="I280" i="8"/>
  <c r="X280" i="8"/>
  <c r="AE280" i="8"/>
  <c r="AD280" i="8"/>
  <c r="AK280" i="8"/>
  <c r="C280" i="8"/>
  <c r="B280" i="8"/>
  <c r="W280" i="8"/>
  <c r="Q280" i="8"/>
  <c r="AL280" i="8"/>
  <c r="P280" i="8"/>
  <c r="J774" i="7"/>
  <c r="Q774" i="7"/>
  <c r="AK774" i="7"/>
  <c r="I774" i="7"/>
  <c r="B774" i="7"/>
  <c r="AD171" i="8"/>
  <c r="AE171" i="8"/>
  <c r="Q171" i="8"/>
  <c r="AL171" i="8"/>
  <c r="P171" i="8"/>
  <c r="AK171" i="8"/>
  <c r="J171" i="8"/>
  <c r="X171" i="8"/>
  <c r="W171" i="8"/>
  <c r="X664" i="8"/>
  <c r="W664" i="8"/>
  <c r="AE664" i="8"/>
  <c r="AD664" i="8"/>
  <c r="Q664" i="8"/>
  <c r="AL664" i="8"/>
  <c r="P664" i="8"/>
  <c r="AK664" i="8"/>
  <c r="J664" i="8"/>
  <c r="I664" i="8"/>
  <c r="C664" i="8"/>
  <c r="B664" i="8"/>
  <c r="AD445" i="8"/>
  <c r="Q445" i="8"/>
  <c r="AL445" i="8"/>
  <c r="P445" i="8"/>
  <c r="AK445" i="8"/>
  <c r="J445" i="8"/>
  <c r="X445" i="8"/>
  <c r="W445" i="8"/>
  <c r="I445" i="8"/>
  <c r="C445" i="8"/>
  <c r="B445" i="8"/>
  <c r="AE445" i="8"/>
  <c r="Q169" i="7"/>
  <c r="Q501" i="7"/>
  <c r="X831" i="7"/>
  <c r="W831" i="7"/>
  <c r="AL831" i="7"/>
  <c r="AK831" i="7"/>
  <c r="AL279" i="8"/>
  <c r="AK279" i="8"/>
  <c r="C279" i="8"/>
  <c r="AE279" i="8"/>
  <c r="AD279" i="8"/>
  <c r="J279" i="8"/>
  <c r="I279" i="8"/>
  <c r="X279" i="8"/>
  <c r="W279" i="8"/>
  <c r="Q279" i="8"/>
  <c r="P279" i="8"/>
  <c r="P281" i="8"/>
  <c r="AE281" i="8"/>
  <c r="AD281" i="8"/>
  <c r="I281" i="8"/>
  <c r="X281" i="8"/>
  <c r="W281" i="8"/>
  <c r="Q281" i="8"/>
  <c r="AL281" i="8"/>
  <c r="AK281" i="8"/>
  <c r="Q2943" i="6"/>
  <c r="B169" i="7"/>
  <c r="P391" i="7"/>
  <c r="Q446" i="7"/>
  <c r="B501" i="7"/>
  <c r="AK665" i="7"/>
  <c r="AD720" i="7"/>
  <c r="AK720" i="7"/>
  <c r="W776" i="7"/>
  <c r="AL776" i="7"/>
  <c r="AK776" i="7"/>
  <c r="AE776" i="7"/>
  <c r="B831" i="7"/>
  <c r="B279" i="8"/>
  <c r="B281" i="8"/>
  <c r="B31" i="9"/>
  <c r="B2943" i="6"/>
  <c r="C169" i="7"/>
  <c r="Q391" i="7"/>
  <c r="B446" i="7"/>
  <c r="C501" i="7"/>
  <c r="AK610" i="7"/>
  <c r="AL665" i="7"/>
  <c r="B720" i="7"/>
  <c r="AL720" i="7"/>
  <c r="C831" i="7"/>
  <c r="C281" i="8"/>
  <c r="P611" i="7"/>
  <c r="Q666" i="7"/>
  <c r="Q611" i="7"/>
  <c r="B666" i="7"/>
  <c r="P939" i="7"/>
  <c r="AE939" i="7"/>
  <c r="AD939" i="7"/>
  <c r="J939" i="7"/>
  <c r="I939" i="7"/>
  <c r="X939" i="7"/>
  <c r="J335" i="8"/>
  <c r="I335" i="8"/>
  <c r="AE335" i="8"/>
  <c r="Q335" i="8"/>
  <c r="P335" i="8"/>
  <c r="AD335" i="8"/>
  <c r="X335" i="8"/>
  <c r="W335" i="8"/>
  <c r="I170" i="8"/>
  <c r="X170" i="8"/>
  <c r="W170" i="8"/>
  <c r="AL170" i="8"/>
  <c r="AD170" i="8"/>
  <c r="J170" i="8"/>
  <c r="AE170" i="8"/>
  <c r="C170" i="8"/>
  <c r="AK170" i="8"/>
  <c r="X389" i="8"/>
  <c r="W389" i="8"/>
  <c r="AL389" i="8"/>
  <c r="AK389" i="8"/>
  <c r="Q389" i="8"/>
  <c r="AE775" i="7"/>
  <c r="P830" i="7"/>
  <c r="Q885" i="7"/>
  <c r="AK224" i="8"/>
  <c r="C224" i="8"/>
  <c r="B224" i="8"/>
  <c r="AD224" i="8"/>
  <c r="J224" i="8"/>
  <c r="I224" i="8"/>
  <c r="P775" i="7"/>
  <c r="Q830" i="7"/>
  <c r="B885" i="7"/>
  <c r="J554" i="8"/>
  <c r="I554" i="8"/>
  <c r="X554" i="8"/>
  <c r="AE554" i="8"/>
  <c r="AD554" i="8"/>
  <c r="Q554" i="8"/>
  <c r="C554" i="8"/>
  <c r="AL554" i="8"/>
  <c r="B554" i="8"/>
  <c r="AL717" i="8"/>
  <c r="Q775" i="7"/>
  <c r="B830" i="7"/>
  <c r="C885" i="7"/>
  <c r="AE224" i="8"/>
  <c r="B32" i="9"/>
  <c r="B775" i="7"/>
  <c r="C830" i="7"/>
  <c r="W334" i="8"/>
  <c r="AL334" i="8"/>
  <c r="AK334" i="8"/>
  <c r="AE334" i="8"/>
  <c r="AD334" i="8"/>
  <c r="J334" i="8"/>
  <c r="C721" i="8"/>
  <c r="B721" i="8"/>
  <c r="AE721" i="8"/>
  <c r="Q721" i="8"/>
  <c r="P721" i="8"/>
  <c r="X721" i="8"/>
  <c r="AD721" i="8"/>
  <c r="W721" i="8"/>
  <c r="J721" i="8"/>
  <c r="I721" i="8"/>
  <c r="AE776" i="8"/>
  <c r="J1049" i="8"/>
  <c r="I1049" i="8"/>
  <c r="P1049" i="8"/>
  <c r="AE1049" i="8"/>
  <c r="AD1049" i="8"/>
  <c r="C1049" i="8"/>
  <c r="B1049" i="8"/>
  <c r="Q1049" i="8"/>
  <c r="W1049" i="8"/>
  <c r="AL1049" i="8"/>
  <c r="AK1049" i="8"/>
  <c r="W609" i="8"/>
  <c r="AL609" i="8"/>
  <c r="AE609" i="8"/>
  <c r="AD609" i="8"/>
  <c r="J609" i="8"/>
  <c r="P609" i="8"/>
  <c r="AK609" i="8"/>
  <c r="I609" i="8"/>
  <c r="B47" i="9"/>
  <c r="B52" i="10"/>
  <c r="B609" i="8"/>
  <c r="X610" i="8"/>
  <c r="W610" i="8"/>
  <c r="C610" i="8"/>
  <c r="Q610" i="8"/>
  <c r="AL610" i="8"/>
  <c r="P610" i="8"/>
  <c r="J610" i="8"/>
  <c r="AK610" i="8"/>
  <c r="I610" i="8"/>
  <c r="AD720" i="8"/>
  <c r="C720" i="8"/>
  <c r="AL720" i="8"/>
  <c r="B720" i="8"/>
  <c r="Q720" i="8"/>
  <c r="AK720" i="8"/>
  <c r="P720" i="8"/>
  <c r="I720" i="8"/>
  <c r="AE720" i="8"/>
  <c r="X1049" i="8"/>
  <c r="P555" i="8"/>
  <c r="AE555" i="8"/>
  <c r="AD555" i="8"/>
  <c r="I555" i="8"/>
  <c r="AK555" i="8"/>
  <c r="C555" i="8"/>
  <c r="B555" i="8"/>
  <c r="C609" i="8"/>
  <c r="I719" i="8"/>
  <c r="X719" i="8"/>
  <c r="J719" i="8"/>
  <c r="AK719" i="8"/>
  <c r="P719" i="8"/>
  <c r="AL719" i="8"/>
  <c r="AE719" i="8"/>
  <c r="I444" i="8"/>
  <c r="X444" i="8"/>
  <c r="W444" i="8"/>
  <c r="AL444" i="8"/>
  <c r="AE444" i="8"/>
  <c r="J444" i="8"/>
  <c r="AD444" i="8"/>
  <c r="C444" i="8"/>
  <c r="AK444" i="8"/>
  <c r="J555" i="8"/>
  <c r="AE775" i="8"/>
  <c r="AD775" i="8"/>
  <c r="W775" i="8"/>
  <c r="C775" i="8"/>
  <c r="AL775" i="8"/>
  <c r="Q775" i="8"/>
  <c r="AK775" i="8"/>
  <c r="P775" i="8"/>
  <c r="B775" i="8"/>
  <c r="AK996" i="8"/>
  <c r="C996" i="8"/>
  <c r="X996" i="8"/>
  <c r="B996" i="8"/>
  <c r="W996" i="8"/>
  <c r="Q996" i="8"/>
  <c r="P996" i="8"/>
  <c r="J996" i="8"/>
  <c r="AL996" i="8"/>
  <c r="I996" i="8"/>
  <c r="AD996" i="8"/>
  <c r="K9" i="9"/>
  <c r="K10" i="9" s="1"/>
  <c r="D9" i="9"/>
  <c r="J9" i="9"/>
  <c r="D10" i="9"/>
  <c r="B45" i="10"/>
  <c r="Q169" i="8"/>
  <c r="AD336" i="8"/>
  <c r="AL390" i="8"/>
  <c r="X665" i="8"/>
  <c r="W665" i="8"/>
  <c r="Q665" i="8"/>
  <c r="AK717" i="8"/>
  <c r="P772" i="8"/>
  <c r="AE772" i="8"/>
  <c r="X772" i="8"/>
  <c r="W772" i="8"/>
  <c r="J772" i="8"/>
  <c r="Q772" i="8"/>
  <c r="I772" i="8"/>
  <c r="AK1106" i="8"/>
  <c r="C1106" i="8"/>
  <c r="B1106" i="8"/>
  <c r="AD1106" i="8"/>
  <c r="J1106" i="8"/>
  <c r="I1106" i="8"/>
  <c r="AL1106" i="8"/>
  <c r="X1106" i="8"/>
  <c r="W1106" i="8"/>
  <c r="Q1106" i="8"/>
  <c r="AE1106" i="8"/>
  <c r="B39" i="9"/>
  <c r="AE336" i="8"/>
  <c r="W500" i="8"/>
  <c r="B665" i="8"/>
  <c r="B772" i="8"/>
  <c r="AD776" i="8"/>
  <c r="P336" i="8"/>
  <c r="C665" i="8"/>
  <c r="AE717" i="8"/>
  <c r="AD717" i="8"/>
  <c r="W717" i="8"/>
  <c r="C717" i="8"/>
  <c r="J717" i="8"/>
  <c r="I717" i="8"/>
  <c r="Q717" i="8"/>
  <c r="P717" i="8"/>
  <c r="C772" i="8"/>
  <c r="J774" i="8"/>
  <c r="I774" i="8"/>
  <c r="AD774" i="8"/>
  <c r="AL774" i="8"/>
  <c r="Q774" i="8"/>
  <c r="AK774" i="8"/>
  <c r="P774" i="8"/>
  <c r="Q336" i="8"/>
  <c r="J390" i="8"/>
  <c r="AE500" i="8"/>
  <c r="AD500" i="8"/>
  <c r="I500" i="8"/>
  <c r="B717" i="8"/>
  <c r="B774" i="8"/>
  <c r="C776" i="8"/>
  <c r="P776" i="8"/>
  <c r="W776" i="8"/>
  <c r="X776" i="8"/>
  <c r="Q776" i="8"/>
  <c r="AK776" i="8"/>
  <c r="B42" i="10"/>
  <c r="B51" i="9"/>
  <c r="C718" i="8"/>
  <c r="P718" i="8"/>
  <c r="AL718" i="8"/>
  <c r="AK718" i="8"/>
  <c r="AE718" i="8"/>
  <c r="J718" i="8"/>
  <c r="AD718" i="8"/>
  <c r="I718" i="8"/>
  <c r="B26" i="10"/>
  <c r="B718" i="8"/>
  <c r="AK773" i="8"/>
  <c r="Q773" i="8"/>
  <c r="P773" i="8"/>
  <c r="AL773" i="8"/>
  <c r="B773" i="8"/>
  <c r="C773" i="8"/>
  <c r="AD773" i="8"/>
  <c r="AL941" i="8"/>
  <c r="AL1051" i="8"/>
  <c r="AK1051" i="8"/>
  <c r="C1051" i="8"/>
  <c r="AD1051" i="8"/>
  <c r="J1051" i="8"/>
  <c r="X1051" i="8"/>
  <c r="W1051" i="8"/>
  <c r="AE1051" i="8"/>
  <c r="I1051" i="8"/>
  <c r="AE391" i="8"/>
  <c r="P446" i="8"/>
  <c r="Q501" i="8"/>
  <c r="B33" i="10"/>
  <c r="P391" i="8"/>
  <c r="Q446" i="8"/>
  <c r="B19" i="9"/>
  <c r="B30" i="9"/>
  <c r="Q391" i="8"/>
  <c r="C501" i="8"/>
  <c r="B37" i="9"/>
  <c r="B49" i="10"/>
  <c r="C446" i="8"/>
  <c r="P995" i="8"/>
  <c r="AE995" i="8"/>
  <c r="AD995" i="8"/>
  <c r="X995" i="8"/>
  <c r="Q995" i="8"/>
  <c r="AL995" i="8"/>
  <c r="AK995" i="8"/>
  <c r="W995" i="8"/>
  <c r="B13" i="9"/>
  <c r="B46" i="9"/>
  <c r="B15" i="10"/>
  <c r="B40" i="10"/>
  <c r="B20" i="9"/>
  <c r="W940" i="8"/>
  <c r="AL940" i="8"/>
  <c r="C940" i="8"/>
  <c r="X940" i="8"/>
  <c r="B940" i="8"/>
  <c r="AE940" i="8"/>
  <c r="J994" i="8"/>
  <c r="I994" i="8"/>
  <c r="AE994" i="8"/>
  <c r="AK994" i="8"/>
  <c r="B18" i="9"/>
  <c r="B23" i="9"/>
  <c r="B35" i="10"/>
  <c r="B994" i="8"/>
  <c r="AL994" i="8"/>
  <c r="B13" i="10"/>
  <c r="B41" i="9"/>
  <c r="B47" i="10"/>
  <c r="B20" i="10"/>
  <c r="I941" i="8"/>
  <c r="AL224" i="12"/>
  <c r="AD224" i="12"/>
  <c r="Q224" i="12"/>
  <c r="P224" i="12"/>
  <c r="J224" i="12"/>
  <c r="I224" i="12"/>
  <c r="AK224" i="12"/>
  <c r="AE224" i="12"/>
  <c r="C224" i="12"/>
  <c r="B224" i="12"/>
  <c r="X224" i="12"/>
  <c r="W224" i="12"/>
  <c r="P611" i="8"/>
  <c r="Q666" i="8"/>
  <c r="B941" i="8"/>
  <c r="J1104" i="8"/>
  <c r="I1104" i="8"/>
  <c r="X1104" i="8"/>
  <c r="AE1104" i="8"/>
  <c r="AD1104" i="8"/>
  <c r="AL1104" i="8"/>
  <c r="AK1104" i="8"/>
  <c r="B24" i="10"/>
  <c r="B31" i="10"/>
  <c r="Q611" i="8"/>
  <c r="B666" i="8"/>
  <c r="C941" i="8"/>
  <c r="B1104" i="8"/>
  <c r="P1105" i="8"/>
  <c r="AE1105" i="8"/>
  <c r="AD1105" i="8"/>
  <c r="I1105" i="8"/>
  <c r="X1105" i="8"/>
  <c r="W1105" i="8"/>
  <c r="B10" i="9"/>
  <c r="C10" i="9" s="1"/>
  <c r="B29" i="9"/>
  <c r="B53" i="9"/>
  <c r="AE939" i="8"/>
  <c r="Q939" i="8"/>
  <c r="L9" i="9"/>
  <c r="B36" i="10"/>
  <c r="B42" i="9"/>
  <c r="B45" i="9"/>
  <c r="P226" i="12"/>
  <c r="C226" i="12"/>
  <c r="W226" i="12"/>
  <c r="J226" i="12"/>
  <c r="AL226" i="12"/>
  <c r="I226" i="12"/>
  <c r="AK226" i="12"/>
  <c r="X226" i="12"/>
  <c r="B226" i="12"/>
  <c r="AE226" i="12"/>
  <c r="AD226" i="12"/>
  <c r="Q226" i="12"/>
  <c r="AE1050" i="8"/>
  <c r="B50" i="9"/>
  <c r="P1050" i="8"/>
  <c r="Q1050" i="8"/>
  <c r="AL225" i="12"/>
  <c r="J225" i="12"/>
  <c r="I225" i="12"/>
  <c r="AK225" i="12"/>
  <c r="Q225" i="12"/>
  <c r="P225" i="12"/>
  <c r="X225" i="12"/>
  <c r="W225" i="12"/>
  <c r="AE225" i="12"/>
  <c r="AD225" i="12"/>
  <c r="B225" i="12"/>
  <c r="AE171" i="12"/>
  <c r="I171" i="12"/>
  <c r="AD171" i="12"/>
  <c r="J171" i="12"/>
  <c r="C171" i="12"/>
  <c r="X171" i="12"/>
  <c r="P171" i="12"/>
  <c r="X281" i="12"/>
  <c r="W281" i="12"/>
  <c r="J281" i="12"/>
  <c r="AE281" i="12"/>
  <c r="AK281" i="12"/>
  <c r="I281" i="12"/>
  <c r="AD281" i="12"/>
  <c r="AL281" i="12"/>
  <c r="C281" i="12"/>
  <c r="B281" i="12"/>
  <c r="J170" i="12"/>
  <c r="AK170" i="12"/>
  <c r="C170" i="12"/>
  <c r="P170" i="12"/>
  <c r="Q170" i="12"/>
  <c r="X170" i="12"/>
  <c r="B170" i="12"/>
  <c r="AK169" i="12"/>
  <c r="W169" i="12"/>
  <c r="AD279" i="12"/>
  <c r="I279" i="12"/>
  <c r="AK279" i="12"/>
  <c r="J279" i="12"/>
  <c r="Q279" i="12"/>
  <c r="W279" i="12"/>
  <c r="J334" i="12"/>
  <c r="I334" i="12"/>
  <c r="X334" i="12"/>
  <c r="W334" i="12"/>
  <c r="AL334" i="12"/>
  <c r="Q334" i="12"/>
  <c r="P334" i="12"/>
  <c r="C334" i="12"/>
  <c r="AK334" i="12"/>
  <c r="B334" i="12"/>
  <c r="C280" i="12"/>
  <c r="B280" i="12"/>
  <c r="AE280" i="12"/>
  <c r="J280" i="12"/>
  <c r="AE335" i="12"/>
  <c r="AD335" i="12"/>
  <c r="W335" i="12"/>
  <c r="B335" i="12"/>
  <c r="X335" i="12"/>
  <c r="C335" i="12"/>
  <c r="Q336" i="12"/>
  <c r="B336" i="12"/>
  <c r="C336" i="12"/>
  <c r="C1440" i="6" l="1"/>
  <c r="B13" i="4"/>
  <c r="BF249" i="11" s="1"/>
  <c r="C876" i="6"/>
  <c r="B312" i="6"/>
  <c r="B12" i="4"/>
  <c r="B176" i="12" s="1"/>
  <c r="F923" i="6"/>
  <c r="C39" i="4"/>
  <c r="D1440" i="6"/>
  <c r="E500" i="6"/>
  <c r="F500" i="6" s="1"/>
  <c r="G1064" i="6"/>
  <c r="F1393" i="6"/>
  <c r="E1394" i="6" s="1"/>
  <c r="G1394" i="6" s="1"/>
  <c r="G923" i="6"/>
  <c r="E924" i="6" s="1"/>
  <c r="G924" i="6" s="1"/>
  <c r="C406" i="6"/>
  <c r="B1158" i="6"/>
  <c r="D1158" i="6" s="1"/>
  <c r="D876" i="6"/>
  <c r="B877" i="6" s="1"/>
  <c r="C877" i="6" s="1"/>
  <c r="C1017" i="6"/>
  <c r="B1018" i="6" s="1"/>
  <c r="C1018" i="6" s="1"/>
  <c r="F453" i="6"/>
  <c r="E454" i="6" s="1"/>
  <c r="B265" i="6"/>
  <c r="D265" i="6" s="1"/>
  <c r="D11" i="9"/>
  <c r="C11" i="9"/>
  <c r="J10" i="9"/>
  <c r="O9" i="9"/>
  <c r="D2904" i="6"/>
  <c r="K11" i="9"/>
  <c r="G1486" i="6"/>
  <c r="D922" i="6"/>
  <c r="B923" i="6"/>
  <c r="C923" i="6" s="1"/>
  <c r="G1110" i="6"/>
  <c r="E1111" i="6"/>
  <c r="F1111" i="6" s="1"/>
  <c r="C1299" i="6"/>
  <c r="D1299" i="6"/>
  <c r="D970" i="6"/>
  <c r="C970" i="6"/>
  <c r="D782" i="6"/>
  <c r="D499" i="6"/>
  <c r="B500" i="6" s="1"/>
  <c r="C500" i="6" s="1"/>
  <c r="C547" i="6"/>
  <c r="G1299" i="6"/>
  <c r="F1299" i="6"/>
  <c r="F547" i="6"/>
  <c r="E2904" i="6"/>
  <c r="E1347" i="6"/>
  <c r="F1347" i="6" s="1"/>
  <c r="G640" i="6"/>
  <c r="E641" i="6"/>
  <c r="D1392" i="6"/>
  <c r="B1393" i="6"/>
  <c r="C1393" i="6" s="1"/>
  <c r="D1110" i="6"/>
  <c r="G1439" i="6"/>
  <c r="G782" i="6"/>
  <c r="B27" i="5"/>
  <c r="C27" i="5"/>
  <c r="G1251" i="6"/>
  <c r="E1252" i="6"/>
  <c r="E1017" i="6"/>
  <c r="F1017" i="6" s="1"/>
  <c r="B594" i="6"/>
  <c r="C594" i="6" s="1"/>
  <c r="B6" i="13"/>
  <c r="BJ249" i="11"/>
  <c r="BH249" i="11"/>
  <c r="G298" i="11"/>
  <c r="BF200" i="11"/>
  <c r="W298" i="11"/>
  <c r="AD249" i="11"/>
  <c r="CP200" i="11"/>
  <c r="AD200" i="11"/>
  <c r="BJ200" i="11"/>
  <c r="BH200" i="11"/>
  <c r="O298" i="11"/>
  <c r="Z200" i="11"/>
  <c r="CN200" i="11"/>
  <c r="AB249" i="11"/>
  <c r="Z249" i="11"/>
  <c r="CL200" i="11"/>
  <c r="AB200" i="11"/>
  <c r="B5" i="13"/>
  <c r="B37" i="13"/>
  <c r="B286" i="12"/>
  <c r="I286" i="12"/>
  <c r="I176" i="12"/>
  <c r="B231" i="12"/>
  <c r="I121" i="12"/>
  <c r="BE200" i="11"/>
  <c r="AC249" i="11"/>
  <c r="BG249" i="11"/>
  <c r="E10" i="10"/>
  <c r="I1001" i="8"/>
  <c r="B121" i="12"/>
  <c r="D10" i="10"/>
  <c r="I1056" i="8"/>
  <c r="B1001" i="8"/>
  <c r="BE249" i="11"/>
  <c r="B726" i="8"/>
  <c r="BI200" i="11"/>
  <c r="I836" i="8"/>
  <c r="B781" i="8"/>
  <c r="BG200" i="11"/>
  <c r="I891" i="8"/>
  <c r="N298" i="11"/>
  <c r="J10" i="10"/>
  <c r="B891" i="8"/>
  <c r="AA249" i="11"/>
  <c r="Y249" i="11"/>
  <c r="AA200" i="11"/>
  <c r="B836" i="8"/>
  <c r="I506" i="8"/>
  <c r="B451" i="8"/>
  <c r="I561" i="8"/>
  <c r="B506" i="8"/>
  <c r="I616" i="8"/>
  <c r="B561" i="8"/>
  <c r="I10" i="10"/>
  <c r="I671" i="8"/>
  <c r="B616" i="8"/>
  <c r="I231" i="12"/>
  <c r="G8" i="9"/>
  <c r="I231" i="8"/>
  <c r="B176" i="8"/>
  <c r="I286" i="8"/>
  <c r="B231" i="8"/>
  <c r="I341" i="8"/>
  <c r="B286" i="8"/>
  <c r="B341" i="8"/>
  <c r="CO200" i="11"/>
  <c r="I396" i="8"/>
  <c r="B396" i="8"/>
  <c r="G1176" i="7"/>
  <c r="I781" i="7"/>
  <c r="G1064" i="7"/>
  <c r="I836" i="7"/>
  <c r="B781" i="7"/>
  <c r="G1120" i="7"/>
  <c r="G1008" i="7"/>
  <c r="H1008" i="7" s="1"/>
  <c r="B836" i="7"/>
  <c r="B506" i="7"/>
  <c r="B891" i="7"/>
  <c r="B671" i="7"/>
  <c r="I891" i="7"/>
  <c r="I671" i="7"/>
  <c r="I616" i="7"/>
  <c r="I726" i="7"/>
  <c r="B616" i="7"/>
  <c r="B14" i="4"/>
  <c r="I231" i="7"/>
  <c r="B231" i="7"/>
  <c r="I396" i="7"/>
  <c r="B396" i="7"/>
  <c r="I176" i="7"/>
  <c r="I286" i="7"/>
  <c r="B176" i="7"/>
  <c r="I341" i="7"/>
  <c r="I506" i="7"/>
  <c r="B671" i="8"/>
  <c r="B451" i="7"/>
  <c r="C47" i="4"/>
  <c r="B12" i="13" s="1"/>
  <c r="I451" i="7"/>
  <c r="D358" i="6"/>
  <c r="B359" i="6" s="1"/>
  <c r="C359" i="6" s="1"/>
  <c r="G500" i="6"/>
  <c r="D1064" i="6"/>
  <c r="D452" i="6"/>
  <c r="B453" i="6"/>
  <c r="C453" i="6" s="1"/>
  <c r="G358" i="6"/>
  <c r="D1345" i="6"/>
  <c r="G311" i="6"/>
  <c r="E312" i="6"/>
  <c r="G593" i="6"/>
  <c r="E594" i="6" s="1"/>
  <c r="B7" i="6"/>
  <c r="C1205" i="6" s="1"/>
  <c r="B27" i="2"/>
  <c r="H9" i="5"/>
  <c r="B46" i="5" s="1"/>
  <c r="B47" i="5" s="1"/>
  <c r="B26" i="13" s="1"/>
  <c r="G970" i="6"/>
  <c r="D1487" i="6"/>
  <c r="C829" i="6"/>
  <c r="G829" i="6"/>
  <c r="F829" i="6"/>
  <c r="G217" i="6"/>
  <c r="E218" i="6"/>
  <c r="F218" i="6" s="1"/>
  <c r="D641" i="6"/>
  <c r="D1205" i="6"/>
  <c r="B35" i="4"/>
  <c r="C35" i="4"/>
  <c r="G264" i="6"/>
  <c r="D312" i="6"/>
  <c r="E265" i="6"/>
  <c r="D688" i="6"/>
  <c r="G876" i="6"/>
  <c r="E406" i="6"/>
  <c r="G688" i="6"/>
  <c r="I781" i="8" l="1"/>
  <c r="I176" i="8"/>
  <c r="I121" i="7"/>
  <c r="B561" i="7"/>
  <c r="B726" i="7"/>
  <c r="F728" i="7" s="1"/>
  <c r="H10" i="10"/>
  <c r="I726" i="8"/>
  <c r="B1056" i="8"/>
  <c r="F1058" i="8" s="1"/>
  <c r="F298" i="11"/>
  <c r="C299" i="11" s="1"/>
  <c r="F265" i="6"/>
  <c r="H1120" i="7"/>
  <c r="I1120" i="7" s="1"/>
  <c r="B946" i="8"/>
  <c r="F948" i="8" s="1"/>
  <c r="CK200" i="11"/>
  <c r="BI249" i="11"/>
  <c r="BL249" i="11" s="1"/>
  <c r="AP250" i="11" s="1"/>
  <c r="B341" i="7"/>
  <c r="F343" i="7" s="1"/>
  <c r="I561" i="7"/>
  <c r="M563" i="7" s="1"/>
  <c r="B121" i="8"/>
  <c r="I946" i="8"/>
  <c r="CM200" i="11"/>
  <c r="C10" i="10"/>
  <c r="V298" i="11"/>
  <c r="S299" i="11" s="1"/>
  <c r="T299" i="11" s="1"/>
  <c r="B121" i="7"/>
  <c r="B286" i="7"/>
  <c r="F288" i="7" s="1"/>
  <c r="I121" i="8"/>
  <c r="M123" i="8" s="1"/>
  <c r="G952" i="7"/>
  <c r="H952" i="7" s="1"/>
  <c r="I451" i="8"/>
  <c r="M453" i="8" s="1"/>
  <c r="Y200" i="11"/>
  <c r="AF200" i="11" s="1"/>
  <c r="AC200" i="11"/>
  <c r="F454" i="6"/>
  <c r="E455" i="6" s="1"/>
  <c r="F455" i="6" s="1"/>
  <c r="G454" i="6"/>
  <c r="G1347" i="6"/>
  <c r="E1348" i="6" s="1"/>
  <c r="G1348" i="6" s="1"/>
  <c r="F2904" i="6"/>
  <c r="E2905" i="6" s="1"/>
  <c r="F2905" i="6" s="1"/>
  <c r="C1064" i="6"/>
  <c r="C2904" i="6"/>
  <c r="F594" i="6"/>
  <c r="B407" i="6"/>
  <c r="D407" i="6" s="1"/>
  <c r="C407" i="6"/>
  <c r="G2904" i="6"/>
  <c r="F1252" i="6"/>
  <c r="F312" i="6"/>
  <c r="E313" i="6" s="1"/>
  <c r="F313" i="6" s="1"/>
  <c r="C265" i="6"/>
  <c r="B266" i="6" s="1"/>
  <c r="D266" i="6" s="1"/>
  <c r="C641" i="6"/>
  <c r="B642" i="6" s="1"/>
  <c r="F641" i="6"/>
  <c r="E642" i="6" s="1"/>
  <c r="F642" i="6" s="1"/>
  <c r="C688" i="6"/>
  <c r="B689" i="6" s="1"/>
  <c r="B1441" i="6"/>
  <c r="C1441" i="6" s="1"/>
  <c r="K12" i="9"/>
  <c r="F1394" i="6"/>
  <c r="E1395" i="6" s="1"/>
  <c r="G1395" i="6" s="1"/>
  <c r="B1206" i="6"/>
  <c r="D1206" i="6" s="1"/>
  <c r="B1488" i="6"/>
  <c r="C1488" i="6" s="1"/>
  <c r="AJ201" i="11"/>
  <c r="C201" i="11"/>
  <c r="B1111" i="6"/>
  <c r="C1111" i="6" s="1"/>
  <c r="B2905" i="6"/>
  <c r="C2905" i="6" s="1"/>
  <c r="M893" i="7"/>
  <c r="F838" i="8"/>
  <c r="B971" i="6"/>
  <c r="D971" i="6" s="1"/>
  <c r="G265" i="6"/>
  <c r="M398" i="8"/>
  <c r="M233" i="12"/>
  <c r="D1393" i="6"/>
  <c r="E501" i="6"/>
  <c r="F501" i="6" s="1"/>
  <c r="F508" i="7"/>
  <c r="D250" i="11"/>
  <c r="AI201" i="11"/>
  <c r="BL200" i="11"/>
  <c r="AP201" i="11" s="1"/>
  <c r="G1252" i="6"/>
  <c r="D1018" i="6"/>
  <c r="M783" i="7"/>
  <c r="M563" i="8"/>
  <c r="AI250" i="11"/>
  <c r="F171" i="6"/>
  <c r="E1300" i="6"/>
  <c r="G1300" i="6" s="1"/>
  <c r="M123" i="7"/>
  <c r="M178" i="8"/>
  <c r="F673" i="7"/>
  <c r="M673" i="8"/>
  <c r="F1003" i="8"/>
  <c r="M123" i="12"/>
  <c r="D594" i="6"/>
  <c r="B595" i="6" s="1"/>
  <c r="C595" i="6" s="1"/>
  <c r="G830" i="6"/>
  <c r="F924" i="6"/>
  <c r="G359" i="6"/>
  <c r="F123" i="8"/>
  <c r="I952" i="7"/>
  <c r="B953" i="7" s="1"/>
  <c r="C953" i="7" s="1"/>
  <c r="D953" i="7" s="1"/>
  <c r="M673" i="7"/>
  <c r="D201" i="11"/>
  <c r="F783" i="8"/>
  <c r="E548" i="6"/>
  <c r="G548" i="6" s="1"/>
  <c r="D453" i="6"/>
  <c r="AF249" i="11"/>
  <c r="J250" i="11" s="1"/>
  <c r="E250" i="11"/>
  <c r="C250" i="11"/>
  <c r="B878" i="6"/>
  <c r="C878" i="6"/>
  <c r="M288" i="8"/>
  <c r="F508" i="8"/>
  <c r="CR200" i="11"/>
  <c r="BV201" i="11" s="1"/>
  <c r="BO201" i="11"/>
  <c r="I1008" i="7"/>
  <c r="B1009" i="7" s="1"/>
  <c r="C1009" i="7" s="1"/>
  <c r="D1009" i="7" s="1"/>
  <c r="M233" i="7"/>
  <c r="F893" i="8"/>
  <c r="F178" i="12"/>
  <c r="E1487" i="6"/>
  <c r="F1487" i="6" s="1"/>
  <c r="F838" i="7"/>
  <c r="K10" i="10"/>
  <c r="F728" i="8"/>
  <c r="F233" i="12"/>
  <c r="M178" i="12"/>
  <c r="B29" i="5"/>
  <c r="D27" i="5"/>
  <c r="G641" i="6"/>
  <c r="B548" i="6"/>
  <c r="D548" i="6" s="1"/>
  <c r="B1346" i="6"/>
  <c r="C1346" i="6" s="1"/>
  <c r="M288" i="7"/>
  <c r="M178" i="7"/>
  <c r="M618" i="8"/>
  <c r="G1440" i="6"/>
  <c r="F453" i="7"/>
  <c r="AJ250" i="11"/>
  <c r="B1065" i="6"/>
  <c r="D1065" i="6" s="1"/>
  <c r="F673" i="8"/>
  <c r="M618" i="7"/>
  <c r="F233" i="7"/>
  <c r="F10" i="10"/>
  <c r="M508" i="7"/>
  <c r="B1300" i="6"/>
  <c r="D1300" i="6" s="1"/>
  <c r="F1064" i="6"/>
  <c r="C1252" i="6"/>
  <c r="C218" i="6"/>
  <c r="F1205" i="6"/>
  <c r="C124" i="6"/>
  <c r="F124" i="6"/>
  <c r="C171" i="6"/>
  <c r="C312" i="6"/>
  <c r="F735" i="6"/>
  <c r="C735" i="6"/>
  <c r="C1158" i="6"/>
  <c r="F123" i="7"/>
  <c r="F618" i="8"/>
  <c r="M728" i="8"/>
  <c r="G594" i="6"/>
  <c r="D359" i="6"/>
  <c r="B36" i="13"/>
  <c r="B7" i="13"/>
  <c r="B16" i="4"/>
  <c r="B15" i="4"/>
  <c r="B48" i="4" s="1"/>
  <c r="F563" i="7"/>
  <c r="H1064" i="7"/>
  <c r="F343" i="8"/>
  <c r="F178" i="8"/>
  <c r="M1058" i="8"/>
  <c r="G1111" i="6"/>
  <c r="E1112" i="6" s="1"/>
  <c r="F1112" i="6" s="1"/>
  <c r="C782" i="6"/>
  <c r="M838" i="7"/>
  <c r="F398" i="7"/>
  <c r="F288" i="12"/>
  <c r="M398" i="7"/>
  <c r="F233" i="8"/>
  <c r="M838" i="8"/>
  <c r="D877" i="6"/>
  <c r="F406" i="6"/>
  <c r="G406" i="6"/>
  <c r="E219" i="6"/>
  <c r="F219" i="6" s="1"/>
  <c r="M343" i="7"/>
  <c r="M233" i="8"/>
  <c r="M948" i="8"/>
  <c r="F453" i="8"/>
  <c r="K299" i="11"/>
  <c r="M783" i="8"/>
  <c r="E971" i="6"/>
  <c r="F971" i="6" s="1"/>
  <c r="F688" i="6"/>
  <c r="G218" i="6"/>
  <c r="G312" i="6"/>
  <c r="M453" i="7"/>
  <c r="F893" i="7"/>
  <c r="M893" i="8"/>
  <c r="D500" i="6"/>
  <c r="B501" i="6" s="1"/>
  <c r="C501" i="6" s="1"/>
  <c r="E877" i="6"/>
  <c r="F877" i="6" s="1"/>
  <c r="E830" i="6"/>
  <c r="F830" i="6" s="1"/>
  <c r="F178" i="7"/>
  <c r="F618" i="7"/>
  <c r="F288" i="8"/>
  <c r="M508" i="8"/>
  <c r="BP201" i="11"/>
  <c r="F8" i="9"/>
  <c r="F123" i="12"/>
  <c r="F782" i="6"/>
  <c r="F1158" i="6"/>
  <c r="M728" i="7"/>
  <c r="H1176" i="7"/>
  <c r="M343" i="8"/>
  <c r="F563" i="8"/>
  <c r="M1003" i="8"/>
  <c r="M288" i="12"/>
  <c r="G1017" i="6"/>
  <c r="E1018" i="6" s="1"/>
  <c r="F1018" i="6" s="1"/>
  <c r="D923" i="6"/>
  <c r="B924" i="6" s="1"/>
  <c r="C924" i="6" s="1"/>
  <c r="J11" i="9"/>
  <c r="C12" i="9"/>
  <c r="K13" i="9" s="1"/>
  <c r="D12" i="9"/>
  <c r="B830" i="6"/>
  <c r="D830" i="6" s="1"/>
  <c r="E359" i="6"/>
  <c r="F359" i="6" s="1"/>
  <c r="F783" i="7"/>
  <c r="F398" i="8"/>
  <c r="E1440" i="6"/>
  <c r="F1440" i="6" s="1"/>
  <c r="J201" i="11" l="1"/>
  <c r="E201" i="11"/>
  <c r="C689" i="6"/>
  <c r="D689" i="6"/>
  <c r="D1488" i="6"/>
  <c r="E266" i="6"/>
  <c r="F266" i="6" s="1"/>
  <c r="E1253" i="6"/>
  <c r="F1253" i="6" s="1"/>
  <c r="C1300" i="6"/>
  <c r="B1121" i="7"/>
  <c r="C1121" i="7" s="1"/>
  <c r="D1121" i="7" s="1"/>
  <c r="E1121" i="7" s="1"/>
  <c r="G2905" i="6"/>
  <c r="E2906" i="6" s="1"/>
  <c r="F2906" i="6" s="1"/>
  <c r="C548" i="6"/>
  <c r="B549" i="6" s="1"/>
  <c r="D549" i="6" s="1"/>
  <c r="C1065" i="6"/>
  <c r="C642" i="6"/>
  <c r="D642" i="6"/>
  <c r="D643" i="6" s="1"/>
  <c r="L250" i="11"/>
  <c r="B408" i="6"/>
  <c r="C408" i="6" s="1"/>
  <c r="AM250" i="11"/>
  <c r="AV250" i="11" s="1"/>
  <c r="D2905" i="6"/>
  <c r="F1395" i="6"/>
  <c r="D1441" i="6"/>
  <c r="B1442" i="6" s="1"/>
  <c r="AL250" i="11"/>
  <c r="U299" i="11"/>
  <c r="Y299" i="11" s="1"/>
  <c r="X299" i="11" s="1"/>
  <c r="I1009" i="7"/>
  <c r="J1009" i="7"/>
  <c r="F1009" i="7"/>
  <c r="E1009" i="7"/>
  <c r="E831" i="6"/>
  <c r="F831" i="6" s="1"/>
  <c r="B643" i="6"/>
  <c r="C643" i="6"/>
  <c r="B2906" i="6"/>
  <c r="C2906" i="6" s="1"/>
  <c r="E456" i="6"/>
  <c r="F456" i="6" s="1"/>
  <c r="I953" i="7"/>
  <c r="J953" i="7"/>
  <c r="F953" i="7"/>
  <c r="E953" i="7"/>
  <c r="G953" i="7" s="1"/>
  <c r="N343" i="7"/>
  <c r="B690" i="6"/>
  <c r="D690" i="6" s="1"/>
  <c r="N1058" i="8"/>
  <c r="E736" i="6"/>
  <c r="G736" i="6" s="1"/>
  <c r="B1066" i="6"/>
  <c r="D1066" i="6" s="1"/>
  <c r="G508" i="8"/>
  <c r="N233" i="8"/>
  <c r="B8" i="13"/>
  <c r="B52" i="4"/>
  <c r="B53" i="4" s="1"/>
  <c r="B736" i="6"/>
  <c r="D736" i="6" s="1"/>
  <c r="G343" i="7"/>
  <c r="G178" i="12"/>
  <c r="C1206" i="6"/>
  <c r="N783" i="8"/>
  <c r="G453" i="8"/>
  <c r="N618" i="8"/>
  <c r="G178" i="8"/>
  <c r="G288" i="7"/>
  <c r="C11" i="10"/>
  <c r="E11" i="10"/>
  <c r="D11" i="10"/>
  <c r="G838" i="8"/>
  <c r="N948" i="8"/>
  <c r="N288" i="7"/>
  <c r="AK201" i="11"/>
  <c r="C971" i="6"/>
  <c r="B313" i="6"/>
  <c r="D313" i="6" s="1"/>
  <c r="C313" i="6"/>
  <c r="N178" i="7"/>
  <c r="G123" i="8"/>
  <c r="AU250" i="11"/>
  <c r="AY250" i="11" s="1"/>
  <c r="BD250" i="11" s="1"/>
  <c r="G453" i="7"/>
  <c r="D1346" i="6"/>
  <c r="B1347" i="6" s="1"/>
  <c r="C1347" i="6" s="1"/>
  <c r="N123" i="7"/>
  <c r="G728" i="8"/>
  <c r="G838" i="7"/>
  <c r="L299" i="11"/>
  <c r="M299" i="11"/>
  <c r="Q299" i="11" s="1"/>
  <c r="N178" i="8"/>
  <c r="F250" i="11"/>
  <c r="F1348" i="6"/>
  <c r="G783" i="7"/>
  <c r="E1206" i="6"/>
  <c r="G1206" i="6" s="1"/>
  <c r="E172" i="6"/>
  <c r="G172" i="6" s="1"/>
  <c r="G233" i="8"/>
  <c r="E1065" i="6"/>
  <c r="G1065" i="6" s="1"/>
  <c r="N123" i="12"/>
  <c r="N783" i="7"/>
  <c r="C266" i="6"/>
  <c r="G563" i="8"/>
  <c r="G398" i="7"/>
  <c r="E125" i="6"/>
  <c r="G125" i="6" s="1"/>
  <c r="L11" i="10"/>
  <c r="G508" i="7"/>
  <c r="E360" i="6"/>
  <c r="G360" i="6" s="1"/>
  <c r="E925" i="6"/>
  <c r="G925" i="6" s="1"/>
  <c r="F1300" i="6"/>
  <c r="G398" i="8"/>
  <c r="G178" i="7"/>
  <c r="AM201" i="11"/>
  <c r="I1176" i="7"/>
  <c r="B1177" i="7" s="1"/>
  <c r="C1177" i="7" s="1"/>
  <c r="D1177" i="7" s="1"/>
  <c r="E1159" i="6"/>
  <c r="G1159" i="6" s="1"/>
  <c r="N453" i="7"/>
  <c r="G728" i="7"/>
  <c r="G783" i="8"/>
  <c r="D924" i="6"/>
  <c r="N1003" i="8"/>
  <c r="G893" i="7"/>
  <c r="G455" i="6"/>
  <c r="G1487" i="6"/>
  <c r="E1488" i="6" s="1"/>
  <c r="F1488" i="6" s="1"/>
  <c r="AK250" i="11"/>
  <c r="N453" i="8"/>
  <c r="N123" i="8"/>
  <c r="B125" i="6"/>
  <c r="D125" i="6" s="1"/>
  <c r="C125" i="6"/>
  <c r="E407" i="6"/>
  <c r="G407" i="6" s="1"/>
  <c r="F407" i="6"/>
  <c r="N673" i="8"/>
  <c r="G501" i="6"/>
  <c r="B219" i="6"/>
  <c r="D219" i="6" s="1"/>
  <c r="G233" i="12"/>
  <c r="B27" i="13"/>
  <c r="B28" i="5"/>
  <c r="B28" i="13" s="1"/>
  <c r="G1003" i="8"/>
  <c r="F548" i="6"/>
  <c r="B454" i="6"/>
  <c r="C454" i="6" s="1"/>
  <c r="J12" i="9"/>
  <c r="D13" i="9"/>
  <c r="C13" i="9"/>
  <c r="K14" i="9" s="1"/>
  <c r="N838" i="7"/>
  <c r="B1301" i="6"/>
  <c r="D1301" i="6" s="1"/>
  <c r="C1301" i="6"/>
  <c r="N508" i="7"/>
  <c r="N233" i="7"/>
  <c r="G618" i="7"/>
  <c r="D595" i="6"/>
  <c r="N563" i="8"/>
  <c r="AL201" i="11"/>
  <c r="B1394" i="6"/>
  <c r="C1394" i="6" s="1"/>
  <c r="G313" i="6"/>
  <c r="E783" i="6"/>
  <c r="G783" i="6" s="1"/>
  <c r="G123" i="12"/>
  <c r="N563" i="7"/>
  <c r="G877" i="6"/>
  <c r="E878" i="6" s="1"/>
  <c r="F878" i="6" s="1"/>
  <c r="N893" i="8"/>
  <c r="G219" i="6"/>
  <c r="E220" i="6" s="1"/>
  <c r="F220" i="6" s="1"/>
  <c r="G971" i="6"/>
  <c r="E972" i="6" s="1"/>
  <c r="F972" i="6" s="1"/>
  <c r="G288" i="12"/>
  <c r="G201" i="11"/>
  <c r="G948" i="8"/>
  <c r="F201" i="11"/>
  <c r="G250" i="11"/>
  <c r="N398" i="7"/>
  <c r="B783" i="6"/>
  <c r="D783" i="6" s="1"/>
  <c r="C783" i="6"/>
  <c r="G343" i="8"/>
  <c r="G563" i="7"/>
  <c r="G618" i="8"/>
  <c r="G123" i="7"/>
  <c r="G233" i="7"/>
  <c r="G673" i="8"/>
  <c r="N673" i="7"/>
  <c r="N398" i="8"/>
  <c r="N893" i="7"/>
  <c r="B1019" i="6"/>
  <c r="C1019" i="6" s="1"/>
  <c r="E595" i="6"/>
  <c r="F595" i="6" s="1"/>
  <c r="B925" i="6"/>
  <c r="C925" i="6" s="1"/>
  <c r="B172" i="6"/>
  <c r="D172" i="6" s="1"/>
  <c r="D1111" i="6"/>
  <c r="G673" i="7"/>
  <c r="K250" i="11"/>
  <c r="Q250" i="11" s="1"/>
  <c r="D878" i="6"/>
  <c r="B879" i="6" s="1"/>
  <c r="C879" i="6" s="1"/>
  <c r="G642" i="6"/>
  <c r="N233" i="12"/>
  <c r="C830" i="6"/>
  <c r="N838" i="8"/>
  <c r="B1253" i="6"/>
  <c r="D1253" i="6" s="1"/>
  <c r="N178" i="12"/>
  <c r="B360" i="6"/>
  <c r="C360" i="6" s="1"/>
  <c r="N343" i="8"/>
  <c r="N728" i="7"/>
  <c r="E1441" i="6"/>
  <c r="G1441" i="6" s="1"/>
  <c r="G1018" i="6"/>
  <c r="E1019" i="6" s="1"/>
  <c r="F1019" i="6" s="1"/>
  <c r="N288" i="12"/>
  <c r="C61" i="9"/>
  <c r="H8" i="9"/>
  <c r="I8" i="9" s="1"/>
  <c r="M9" i="9"/>
  <c r="N9" i="9" s="1"/>
  <c r="Q9" i="9" s="1"/>
  <c r="G288" i="8"/>
  <c r="D501" i="6"/>
  <c r="B502" i="6" s="1"/>
  <c r="C502" i="6" s="1"/>
  <c r="E689" i="6"/>
  <c r="G689" i="6" s="1"/>
  <c r="D299" i="11"/>
  <c r="E299" i="11"/>
  <c r="I299" i="11" s="1"/>
  <c r="BR201" i="11"/>
  <c r="N508" i="8"/>
  <c r="G1112" i="6"/>
  <c r="I1064" i="7"/>
  <c r="B1065" i="7" s="1"/>
  <c r="C1065" i="7" s="1"/>
  <c r="D1065" i="7" s="1"/>
  <c r="B49" i="4"/>
  <c r="C49" i="4" s="1"/>
  <c r="B14" i="13" s="1"/>
  <c r="C48" i="4"/>
  <c r="B13" i="13" s="1"/>
  <c r="N728" i="8"/>
  <c r="BS201" i="11"/>
  <c r="B1159" i="6"/>
  <c r="D1159" i="6" s="1"/>
  <c r="N618" i="7"/>
  <c r="G893" i="8"/>
  <c r="BQ201" i="11"/>
  <c r="N288" i="8"/>
  <c r="G1253" i="6"/>
  <c r="G266" i="6"/>
  <c r="E267" i="6" s="1"/>
  <c r="F267" i="6" s="1"/>
  <c r="G1058" i="8"/>
  <c r="B1489" i="6"/>
  <c r="D1489" i="6" s="1"/>
  <c r="C1489" i="6"/>
  <c r="D2906" i="6" l="1"/>
  <c r="K1009" i="7"/>
  <c r="G831" i="6"/>
  <c r="I1121" i="7"/>
  <c r="C549" i="6"/>
  <c r="B550" i="6" s="1"/>
  <c r="D550" i="6" s="1"/>
  <c r="D454" i="6"/>
  <c r="B455" i="6" s="1"/>
  <c r="C455" i="6" s="1"/>
  <c r="J1121" i="7"/>
  <c r="L201" i="11"/>
  <c r="K201" i="11"/>
  <c r="Q201" i="11" s="1"/>
  <c r="T201" i="11" s="1"/>
  <c r="D408" i="6"/>
  <c r="D409" i="6" s="1"/>
  <c r="F1121" i="7"/>
  <c r="K1121" i="7" s="1"/>
  <c r="C1442" i="6"/>
  <c r="D1442" i="6"/>
  <c r="C1066" i="6"/>
  <c r="B1067" i="6" s="1"/>
  <c r="D1067" i="6" s="1"/>
  <c r="F1206" i="6"/>
  <c r="E1207" i="6" s="1"/>
  <c r="G1207" i="6" s="1"/>
  <c r="B409" i="6"/>
  <c r="C409" i="6" s="1"/>
  <c r="H953" i="7"/>
  <c r="B954" i="7" s="1"/>
  <c r="E1396" i="6"/>
  <c r="G1396" i="6" s="1"/>
  <c r="V299" i="11"/>
  <c r="S300" i="11" s="1"/>
  <c r="AS250" i="11"/>
  <c r="AX250" i="11" s="1"/>
  <c r="AT250" i="11"/>
  <c r="W299" i="11"/>
  <c r="G595" i="6"/>
  <c r="G1009" i="7"/>
  <c r="F172" i="6"/>
  <c r="E173" i="6" s="1"/>
  <c r="F173" i="6" s="1"/>
  <c r="B2907" i="6"/>
  <c r="D2907" i="6" s="1"/>
  <c r="C2907" i="6"/>
  <c r="E457" i="6"/>
  <c r="F457" i="6" s="1"/>
  <c r="I1065" i="7"/>
  <c r="E1065" i="7"/>
  <c r="J1065" i="7"/>
  <c r="F1065" i="7"/>
  <c r="K1065" i="7" s="1"/>
  <c r="E832" i="6"/>
  <c r="G832" i="6" s="1"/>
  <c r="F832" i="6"/>
  <c r="J1177" i="7"/>
  <c r="I1177" i="7"/>
  <c r="E1177" i="7"/>
  <c r="F1177" i="7"/>
  <c r="H1177" i="7" s="1"/>
  <c r="H398" i="7"/>
  <c r="O178" i="7"/>
  <c r="F299" i="11"/>
  <c r="C300" i="11" s="1"/>
  <c r="H299" i="11"/>
  <c r="G299" i="11"/>
  <c r="B831" i="6"/>
  <c r="D831" i="6" s="1"/>
  <c r="H123" i="7"/>
  <c r="B124" i="7" s="1"/>
  <c r="C124" i="7" s="1"/>
  <c r="O1003" i="8"/>
  <c r="F736" i="6"/>
  <c r="B126" i="6"/>
  <c r="D126" i="6" s="1"/>
  <c r="C126" i="6"/>
  <c r="H343" i="7"/>
  <c r="O1058" i="8"/>
  <c r="G314" i="6"/>
  <c r="D925" i="6"/>
  <c r="B926" i="6" s="1"/>
  <c r="C926" i="6" s="1"/>
  <c r="O123" i="7"/>
  <c r="I124" i="7" s="1"/>
  <c r="J124" i="7" s="1"/>
  <c r="B1490" i="6"/>
  <c r="D1490" i="6" s="1"/>
  <c r="C1490" i="6"/>
  <c r="O201" i="11"/>
  <c r="S201" i="11" s="1"/>
  <c r="P201" i="11"/>
  <c r="O508" i="7"/>
  <c r="F1065" i="6"/>
  <c r="H563" i="7"/>
  <c r="F360" i="6"/>
  <c r="H178" i="8"/>
  <c r="H453" i="7"/>
  <c r="B454" i="7" s="1"/>
  <c r="C454" i="7" s="1"/>
  <c r="AN201" i="11"/>
  <c r="AO201" i="11" s="1"/>
  <c r="AR201" i="11"/>
  <c r="AQ201" i="11"/>
  <c r="AW201" i="11" s="1"/>
  <c r="C690" i="6"/>
  <c r="T250" i="11"/>
  <c r="H343" i="8"/>
  <c r="B344" i="8" s="1"/>
  <c r="C344" i="8" s="1"/>
  <c r="D344" i="8" s="1"/>
  <c r="H233" i="12"/>
  <c r="B234" i="12" s="1"/>
  <c r="C234" i="12" s="1"/>
  <c r="O178" i="8"/>
  <c r="D502" i="6"/>
  <c r="AS201" i="11"/>
  <c r="AX201" i="11" s="1"/>
  <c r="AT201" i="11"/>
  <c r="G220" i="6"/>
  <c r="D1394" i="6"/>
  <c r="N299" i="11"/>
  <c r="K300" i="11" s="1"/>
  <c r="O299" i="11"/>
  <c r="P299" i="11"/>
  <c r="B1112" i="6"/>
  <c r="C1112" i="6" s="1"/>
  <c r="D360" i="6"/>
  <c r="B361" i="6" s="1"/>
  <c r="C361" i="6" s="1"/>
  <c r="O618" i="8"/>
  <c r="O178" i="12"/>
  <c r="O893" i="8"/>
  <c r="I894" i="8" s="1"/>
  <c r="J894" i="8" s="1"/>
  <c r="K894" i="8" s="1"/>
  <c r="C219" i="6"/>
  <c r="AN250" i="11"/>
  <c r="AO250" i="11" s="1"/>
  <c r="AR250" i="11"/>
  <c r="AQ250" i="11"/>
  <c r="AW250" i="11" s="1"/>
  <c r="O453" i="7"/>
  <c r="I454" i="7" s="1"/>
  <c r="J454" i="7" s="1"/>
  <c r="G2906" i="6"/>
  <c r="E2907" i="6" s="1"/>
  <c r="F2907" i="6" s="1"/>
  <c r="O948" i="8"/>
  <c r="B644" i="6"/>
  <c r="C644" i="6" s="1"/>
  <c r="M11" i="10"/>
  <c r="I11" i="10" s="1"/>
  <c r="O783" i="7"/>
  <c r="H783" i="7"/>
  <c r="B784" i="7" s="1"/>
  <c r="C784" i="7" s="1"/>
  <c r="H123" i="8"/>
  <c r="H838" i="8"/>
  <c r="B839" i="8" s="1"/>
  <c r="C839" i="8" s="1"/>
  <c r="H508" i="8"/>
  <c r="H1009" i="7"/>
  <c r="O618" i="7"/>
  <c r="O233" i="7"/>
  <c r="H178" i="12"/>
  <c r="H948" i="8"/>
  <c r="B949" i="8" s="1"/>
  <c r="C949" i="8" s="1"/>
  <c r="E1301" i="6"/>
  <c r="G1301" i="6" s="1"/>
  <c r="C172" i="6"/>
  <c r="F783" i="6"/>
  <c r="F11" i="10"/>
  <c r="F1441" i="6"/>
  <c r="F925" i="6"/>
  <c r="E314" i="6"/>
  <c r="F314" i="6" s="1"/>
  <c r="O123" i="8"/>
  <c r="I124" i="8" s="1"/>
  <c r="J124" i="8" s="1"/>
  <c r="H233" i="8"/>
  <c r="B972" i="6"/>
  <c r="D972" i="6" s="1"/>
  <c r="C972" i="6"/>
  <c r="B1020" i="6"/>
  <c r="C1020" i="6" s="1"/>
  <c r="B1302" i="6"/>
  <c r="D1302" i="6" s="1"/>
  <c r="AV201" i="11"/>
  <c r="AU201" i="11"/>
  <c r="AY201" i="11" s="1"/>
  <c r="BD201" i="11" s="1"/>
  <c r="E502" i="6"/>
  <c r="F502" i="6" s="1"/>
  <c r="O343" i="8"/>
  <c r="O893" i="7"/>
  <c r="O453" i="8"/>
  <c r="H178" i="7"/>
  <c r="B179" i="7" s="1"/>
  <c r="C179" i="7" s="1"/>
  <c r="H673" i="7"/>
  <c r="B674" i="7" s="1"/>
  <c r="C674" i="7" s="1"/>
  <c r="D674" i="7" s="1"/>
  <c r="O838" i="7"/>
  <c r="I839" i="7" s="1"/>
  <c r="J839" i="7" s="1"/>
  <c r="O343" i="7"/>
  <c r="D1019" i="6"/>
  <c r="O288" i="8"/>
  <c r="O673" i="7"/>
  <c r="I674" i="7" s="1"/>
  <c r="J674" i="7" s="1"/>
  <c r="K674" i="7" s="1"/>
  <c r="O398" i="7"/>
  <c r="I399" i="7" s="1"/>
  <c r="J399" i="7" s="1"/>
  <c r="J13" i="9"/>
  <c r="D14" i="9"/>
  <c r="C14" i="9"/>
  <c r="K15" i="9" s="1"/>
  <c r="B267" i="6"/>
  <c r="D267" i="6" s="1"/>
  <c r="C267" i="6"/>
  <c r="H453" i="8"/>
  <c r="E643" i="6"/>
  <c r="F643" i="6" s="1"/>
  <c r="H250" i="11"/>
  <c r="I250" i="11" s="1"/>
  <c r="G878" i="6"/>
  <c r="BT201" i="11"/>
  <c r="BU201" i="11" s="1"/>
  <c r="BW201" i="11"/>
  <c r="CC201" i="11" s="1"/>
  <c r="BX201" i="11"/>
  <c r="C1253" i="6"/>
  <c r="H673" i="8"/>
  <c r="O250" i="11"/>
  <c r="S250" i="11" s="1"/>
  <c r="P250" i="11"/>
  <c r="O563" i="7"/>
  <c r="O673" i="8"/>
  <c r="G456" i="6"/>
  <c r="F1159" i="6"/>
  <c r="H398" i="8"/>
  <c r="B399" i="8" s="1"/>
  <c r="C399" i="8" s="1"/>
  <c r="J11" i="10"/>
  <c r="H838" i="7"/>
  <c r="B839" i="7" s="1"/>
  <c r="C839" i="7" s="1"/>
  <c r="D839" i="7" s="1"/>
  <c r="O783" i="8"/>
  <c r="I784" i="8" s="1"/>
  <c r="J784" i="8" s="1"/>
  <c r="H893" i="7"/>
  <c r="B894" i="7" s="1"/>
  <c r="C894" i="7" s="1"/>
  <c r="F125" i="6"/>
  <c r="O123" i="12"/>
  <c r="E1349" i="6"/>
  <c r="G1349" i="6" s="1"/>
  <c r="F1349" i="6"/>
  <c r="B596" i="6"/>
  <c r="C596" i="6" s="1"/>
  <c r="E1254" i="6"/>
  <c r="F1254" i="6" s="1"/>
  <c r="BZ201" i="11"/>
  <c r="BY201" i="11"/>
  <c r="CD201" i="11" s="1"/>
  <c r="E408" i="6"/>
  <c r="G408" i="6" s="1"/>
  <c r="G1019" i="6"/>
  <c r="H1003" i="8"/>
  <c r="O233" i="12"/>
  <c r="I234" i="12" s="1"/>
  <c r="J234" i="12" s="1"/>
  <c r="B314" i="6"/>
  <c r="C314" i="6" s="1"/>
  <c r="C1159" i="6"/>
  <c r="H618" i="8"/>
  <c r="B619" i="8" s="1"/>
  <c r="C619" i="8" s="1"/>
  <c r="M250" i="11"/>
  <c r="R250" i="11" s="1"/>
  <c r="N250" i="11"/>
  <c r="H288" i="7"/>
  <c r="CA201" i="11"/>
  <c r="CE201" i="11" s="1"/>
  <c r="CB201" i="11"/>
  <c r="E879" i="6"/>
  <c r="F879" i="6" s="1"/>
  <c r="O728" i="8"/>
  <c r="O728" i="7"/>
  <c r="H783" i="8"/>
  <c r="B784" i="8" s="1"/>
  <c r="C784" i="8" s="1"/>
  <c r="D1347" i="6"/>
  <c r="C736" i="6"/>
  <c r="B1443" i="6"/>
  <c r="C1443" i="6" s="1"/>
  <c r="H1058" i="8"/>
  <c r="B1059" i="8" s="1"/>
  <c r="C1059" i="8" s="1"/>
  <c r="D1059" i="8" s="1"/>
  <c r="D879" i="6"/>
  <c r="B880" i="6" s="1"/>
  <c r="C880" i="6" s="1"/>
  <c r="H288" i="12"/>
  <c r="B289" i="12" s="1"/>
  <c r="C289" i="12" s="1"/>
  <c r="K953" i="7"/>
  <c r="F689" i="6"/>
  <c r="B1395" i="6"/>
  <c r="C1395" i="6" s="1"/>
  <c r="H728" i="7"/>
  <c r="O288" i="7"/>
  <c r="G267" i="6"/>
  <c r="G972" i="6"/>
  <c r="H508" i="7"/>
  <c r="B509" i="7" s="1"/>
  <c r="C509" i="7" s="1"/>
  <c r="H563" i="8"/>
  <c r="O233" i="8"/>
  <c r="H288" i="8"/>
  <c r="O398" i="8"/>
  <c r="I399" i="8" s="1"/>
  <c r="J399" i="8" s="1"/>
  <c r="K399" i="8" s="1"/>
  <c r="B784" i="6"/>
  <c r="C784" i="6" s="1"/>
  <c r="O563" i="8"/>
  <c r="I564" i="8" s="1"/>
  <c r="J564" i="8" s="1"/>
  <c r="G1488" i="6"/>
  <c r="E1489" i="6" s="1"/>
  <c r="F1489" i="6" s="1"/>
  <c r="H893" i="8"/>
  <c r="O508" i="8"/>
  <c r="P9" i="9"/>
  <c r="H618" i="7"/>
  <c r="O288" i="12"/>
  <c r="O838" i="8"/>
  <c r="H233" i="7"/>
  <c r="B234" i="7" s="1"/>
  <c r="C234" i="7" s="1"/>
  <c r="N201" i="11"/>
  <c r="M201" i="11"/>
  <c r="R201" i="11" s="1"/>
  <c r="H123" i="12"/>
  <c r="B124" i="12" s="1"/>
  <c r="C124" i="12" s="1"/>
  <c r="E549" i="6"/>
  <c r="G549" i="6" s="1"/>
  <c r="H201" i="11"/>
  <c r="I201" i="11" s="1"/>
  <c r="H728" i="8"/>
  <c r="D644" i="6"/>
  <c r="B1207" i="6"/>
  <c r="D1207" i="6" s="1"/>
  <c r="E1113" i="6"/>
  <c r="F1113" i="6" s="1"/>
  <c r="G1121" i="7" l="1"/>
  <c r="C1067" i="6"/>
  <c r="H1121" i="7"/>
  <c r="B1122" i="7" s="1"/>
  <c r="D124" i="12"/>
  <c r="E124" i="12"/>
  <c r="G124" i="12" s="1"/>
  <c r="D839" i="8"/>
  <c r="E839" i="8"/>
  <c r="G839" i="8" s="1"/>
  <c r="D949" i="8"/>
  <c r="E949" i="8"/>
  <c r="G949" i="8" s="1"/>
  <c r="G1397" i="6"/>
  <c r="E1398" i="6" s="1"/>
  <c r="D455" i="6"/>
  <c r="B456" i="6" s="1"/>
  <c r="D456" i="6" s="1"/>
  <c r="C1122" i="7"/>
  <c r="D1122" i="7" s="1"/>
  <c r="F1122" i="7" s="1"/>
  <c r="D1112" i="6"/>
  <c r="B1113" i="6" s="1"/>
  <c r="D1113" i="6" s="1"/>
  <c r="BA250" i="11"/>
  <c r="BC250" i="11" s="1"/>
  <c r="BB250" i="11" s="1"/>
  <c r="BM250" i="11" s="1"/>
  <c r="T300" i="11"/>
  <c r="U300" i="11" s="1"/>
  <c r="Y300" i="11" s="1"/>
  <c r="V300" i="11" s="1"/>
  <c r="S301" i="11" s="1"/>
  <c r="E596" i="6"/>
  <c r="F596" i="6" s="1"/>
  <c r="K1177" i="7"/>
  <c r="F1396" i="6"/>
  <c r="E1397" i="6" s="1"/>
  <c r="F1397" i="6" s="1"/>
  <c r="G1254" i="6"/>
  <c r="G1177" i="7"/>
  <c r="C954" i="7"/>
  <c r="D954" i="7" s="1"/>
  <c r="D314" i="6"/>
  <c r="B315" i="6" s="1"/>
  <c r="G643" i="6"/>
  <c r="E644" i="6" s="1"/>
  <c r="D300" i="11"/>
  <c r="E300" i="11"/>
  <c r="I300" i="11" s="1"/>
  <c r="F300" i="11" s="1"/>
  <c r="C301" i="11" s="1"/>
  <c r="L300" i="11"/>
  <c r="M300" i="11" s="1"/>
  <c r="Q300" i="11" s="1"/>
  <c r="N300" i="11" s="1"/>
  <c r="K301" i="11" s="1"/>
  <c r="B410" i="6"/>
  <c r="C410" i="6" s="1"/>
  <c r="CG201" i="11"/>
  <c r="D784" i="6"/>
  <c r="B785" i="6" s="1"/>
  <c r="D784" i="8"/>
  <c r="E784" i="8"/>
  <c r="G784" i="8" s="1"/>
  <c r="D179" i="7"/>
  <c r="E179" i="7"/>
  <c r="D784" i="7"/>
  <c r="E784" i="7"/>
  <c r="G784" i="7" s="1"/>
  <c r="K564" i="8"/>
  <c r="L564" i="8"/>
  <c r="N564" i="8" s="1"/>
  <c r="D619" i="8"/>
  <c r="E619" i="8"/>
  <c r="G619" i="8" s="1"/>
  <c r="K454" i="7"/>
  <c r="L454" i="7"/>
  <c r="K784" i="8"/>
  <c r="L784" i="8"/>
  <c r="N784" i="8" s="1"/>
  <c r="D234" i="7"/>
  <c r="E234" i="7"/>
  <c r="G234" i="7" s="1"/>
  <c r="D399" i="8"/>
  <c r="E399" i="8"/>
  <c r="D124" i="7"/>
  <c r="E124" i="7"/>
  <c r="G124" i="7" s="1"/>
  <c r="D289" i="12"/>
  <c r="E289" i="12"/>
  <c r="G289" i="12" s="1"/>
  <c r="D894" i="7"/>
  <c r="E894" i="7"/>
  <c r="G894" i="7" s="1"/>
  <c r="K839" i="7"/>
  <c r="L839" i="7"/>
  <c r="K124" i="8"/>
  <c r="L124" i="8"/>
  <c r="J954" i="7"/>
  <c r="I954" i="7"/>
  <c r="D509" i="7"/>
  <c r="E509" i="7"/>
  <c r="D234" i="12"/>
  <c r="E234" i="12"/>
  <c r="G234" i="12" s="1"/>
  <c r="K399" i="7"/>
  <c r="L399" i="7"/>
  <c r="N399" i="7" s="1"/>
  <c r="K124" i="7"/>
  <c r="L124" i="7"/>
  <c r="N124" i="7" s="1"/>
  <c r="B1178" i="7"/>
  <c r="C1178" i="7"/>
  <c r="D1178" i="7" s="1"/>
  <c r="D454" i="7"/>
  <c r="E454" i="7"/>
  <c r="G454" i="7" s="1"/>
  <c r="K234" i="12"/>
  <c r="L234" i="12"/>
  <c r="N234" i="12" s="1"/>
  <c r="J1122" i="7"/>
  <c r="E1059" i="8"/>
  <c r="G1059" i="8" s="1"/>
  <c r="E1350" i="6"/>
  <c r="F1350" i="6" s="1"/>
  <c r="B454" i="8"/>
  <c r="C454" i="8" s="1"/>
  <c r="H454" i="8" s="1"/>
  <c r="B645" i="6"/>
  <c r="C645" i="6" s="1"/>
  <c r="B1068" i="6"/>
  <c r="D1068" i="6" s="1"/>
  <c r="C1068" i="6"/>
  <c r="I509" i="8"/>
  <c r="J509" i="8" s="1"/>
  <c r="O509" i="8" s="1"/>
  <c r="B179" i="8"/>
  <c r="C179" i="8" s="1"/>
  <c r="H179" i="8" s="1"/>
  <c r="F1207" i="6"/>
  <c r="H1004" i="8"/>
  <c r="B268" i="6"/>
  <c r="D268" i="6" s="1"/>
  <c r="B973" i="6"/>
  <c r="C973" i="6" s="1"/>
  <c r="D1443" i="6"/>
  <c r="B1444" i="6" s="1"/>
  <c r="C1444" i="6" s="1"/>
  <c r="C550" i="6"/>
  <c r="I234" i="8"/>
  <c r="J234" i="8" s="1"/>
  <c r="O234" i="8" s="1"/>
  <c r="E12" i="10"/>
  <c r="C12" i="10"/>
  <c r="D12" i="10"/>
  <c r="BA201" i="11"/>
  <c r="BC201" i="11"/>
  <c r="G457" i="6"/>
  <c r="AZ201" i="11"/>
  <c r="E221" i="6"/>
  <c r="F221" i="6" s="1"/>
  <c r="B729" i="8"/>
  <c r="C729" i="8" s="1"/>
  <c r="H729" i="8" s="1"/>
  <c r="I729" i="7"/>
  <c r="J729" i="7" s="1"/>
  <c r="G173" i="6"/>
  <c r="E174" i="6" s="1"/>
  <c r="F174" i="6" s="1"/>
  <c r="B234" i="8"/>
  <c r="C234" i="8" s="1"/>
  <c r="O729" i="8"/>
  <c r="F408" i="6"/>
  <c r="G879" i="6"/>
  <c r="E1066" i="6"/>
  <c r="G1066" i="6" s="1"/>
  <c r="C831" i="6"/>
  <c r="F549" i="6"/>
  <c r="B1160" i="6"/>
  <c r="D1160" i="6" s="1"/>
  <c r="C1160" i="6"/>
  <c r="I564" i="7"/>
  <c r="J564" i="7" s="1"/>
  <c r="O564" i="7" s="1"/>
  <c r="O674" i="7"/>
  <c r="H674" i="7"/>
  <c r="F1301" i="6"/>
  <c r="H509" i="8"/>
  <c r="N11" i="10"/>
  <c r="H11" i="10" s="1"/>
  <c r="K11" i="10" s="1"/>
  <c r="H1065" i="7"/>
  <c r="L399" i="8"/>
  <c r="N399" i="8" s="1"/>
  <c r="E839" i="7"/>
  <c r="G839" i="7" s="1"/>
  <c r="I289" i="8"/>
  <c r="J289" i="8" s="1"/>
  <c r="C1302" i="6"/>
  <c r="H399" i="8"/>
  <c r="B1254" i="6"/>
  <c r="D1254" i="6" s="1"/>
  <c r="D1020" i="6"/>
  <c r="E833" i="6"/>
  <c r="F833" i="6" s="1"/>
  <c r="B124" i="8"/>
  <c r="C124" i="8" s="1"/>
  <c r="I179" i="12"/>
  <c r="J179" i="12" s="1"/>
  <c r="O124" i="7"/>
  <c r="C1207" i="6"/>
  <c r="B729" i="7"/>
  <c r="C729" i="7" s="1"/>
  <c r="H729" i="7" s="1"/>
  <c r="CF201" i="11"/>
  <c r="E1442" i="6"/>
  <c r="G1442" i="6" s="1"/>
  <c r="E126" i="6"/>
  <c r="G126" i="6" s="1"/>
  <c r="E1160" i="6"/>
  <c r="G1160" i="6" s="1"/>
  <c r="H784" i="7"/>
  <c r="E361" i="6"/>
  <c r="G361" i="6" s="1"/>
  <c r="I1004" i="8"/>
  <c r="J1004" i="8" s="1"/>
  <c r="O1004" i="8" s="1"/>
  <c r="I839" i="8"/>
  <c r="J839" i="8" s="1"/>
  <c r="O839" i="8" s="1"/>
  <c r="H894" i="7"/>
  <c r="J14" i="9"/>
  <c r="D15" i="9"/>
  <c r="C15" i="9"/>
  <c r="E784" i="6"/>
  <c r="G784" i="6" s="1"/>
  <c r="I619" i="8"/>
  <c r="J619" i="8" s="1"/>
  <c r="D926" i="6"/>
  <c r="B564" i="8"/>
  <c r="C564" i="8" s="1"/>
  <c r="H564" i="8" s="1"/>
  <c r="E690" i="6"/>
  <c r="G690" i="6" s="1"/>
  <c r="B173" i="6"/>
  <c r="D173" i="6" s="1"/>
  <c r="O564" i="8"/>
  <c r="O839" i="7"/>
  <c r="AZ250" i="11"/>
  <c r="I289" i="12"/>
  <c r="J289" i="12" s="1"/>
  <c r="H289" i="12"/>
  <c r="D596" i="6"/>
  <c r="B597" i="6" s="1"/>
  <c r="C597" i="6" s="1"/>
  <c r="B1348" i="6"/>
  <c r="C1348" i="6" s="1"/>
  <c r="I784" i="7"/>
  <c r="J784" i="7" s="1"/>
  <c r="O784" i="7" s="1"/>
  <c r="H454" i="7"/>
  <c r="I1059" i="8"/>
  <c r="J1059" i="8" s="1"/>
  <c r="O1059" i="8" s="1"/>
  <c r="B2908" i="6"/>
  <c r="C2908" i="6" s="1"/>
  <c r="H619" i="7"/>
  <c r="I729" i="8"/>
  <c r="J729" i="8" s="1"/>
  <c r="O784" i="8"/>
  <c r="I344" i="8"/>
  <c r="J344" i="8" s="1"/>
  <c r="O344" i="8" s="1"/>
  <c r="B1010" i="7"/>
  <c r="C1010" i="7"/>
  <c r="D1010" i="7" s="1"/>
  <c r="H234" i="12"/>
  <c r="H124" i="12"/>
  <c r="B619" i="7"/>
  <c r="C619" i="7" s="1"/>
  <c r="D880" i="6"/>
  <c r="B881" i="6" s="1"/>
  <c r="C881" i="6" s="1"/>
  <c r="G1113" i="6"/>
  <c r="L674" i="7"/>
  <c r="N674" i="7" s="1"/>
  <c r="E674" i="7"/>
  <c r="G674" i="7" s="1"/>
  <c r="H949" i="8"/>
  <c r="B509" i="8"/>
  <c r="C509" i="8" s="1"/>
  <c r="B220" i="6"/>
  <c r="D220" i="6" s="1"/>
  <c r="C220" i="6"/>
  <c r="I509" i="7"/>
  <c r="J509" i="7" s="1"/>
  <c r="O509" i="7" s="1"/>
  <c r="E1020" i="6"/>
  <c r="F1020" i="6" s="1"/>
  <c r="S9" i="9"/>
  <c r="R9" i="9"/>
  <c r="U201" i="11"/>
  <c r="X201" i="11"/>
  <c r="V201" i="11"/>
  <c r="W201" i="11"/>
  <c r="I289" i="7"/>
  <c r="J289" i="7" s="1"/>
  <c r="O289" i="7" s="1"/>
  <c r="O234" i="12"/>
  <c r="B127" i="6"/>
  <c r="D127" i="6" s="1"/>
  <c r="H289" i="8"/>
  <c r="G1350" i="6"/>
  <c r="B674" i="8"/>
  <c r="C674" i="8" s="1"/>
  <c r="H674" i="8" s="1"/>
  <c r="H179" i="7"/>
  <c r="O949" i="8"/>
  <c r="B1491" i="6"/>
  <c r="C1491" i="6" s="1"/>
  <c r="H234" i="7"/>
  <c r="B737" i="6"/>
  <c r="D737" i="6" s="1"/>
  <c r="E926" i="6"/>
  <c r="G926" i="6" s="1"/>
  <c r="F926" i="6"/>
  <c r="I179" i="7"/>
  <c r="J179" i="7" s="1"/>
  <c r="B289" i="8"/>
  <c r="C289" i="8" s="1"/>
  <c r="B179" i="12"/>
  <c r="C179" i="12" s="1"/>
  <c r="I949" i="8"/>
  <c r="J949" i="8" s="1"/>
  <c r="E737" i="6"/>
  <c r="G737" i="6" s="1"/>
  <c r="B894" i="8"/>
  <c r="C894" i="8" s="1"/>
  <c r="H894" i="8" s="1"/>
  <c r="H784" i="8"/>
  <c r="I124" i="12"/>
  <c r="J124" i="12" s="1"/>
  <c r="O124" i="12" s="1"/>
  <c r="B927" i="6"/>
  <c r="C927" i="6" s="1"/>
  <c r="D645" i="6"/>
  <c r="I454" i="8"/>
  <c r="J454" i="8" s="1"/>
  <c r="G2907" i="6"/>
  <c r="B691" i="6"/>
  <c r="D691" i="6" s="1"/>
  <c r="G1489" i="6"/>
  <c r="E1490" i="6" s="1"/>
  <c r="F1490" i="6" s="1"/>
  <c r="B289" i="7"/>
  <c r="C289" i="7" s="1"/>
  <c r="H289" i="7" s="1"/>
  <c r="B1004" i="8"/>
  <c r="C1004" i="8" s="1"/>
  <c r="I344" i="7"/>
  <c r="J344" i="7" s="1"/>
  <c r="O344" i="7" s="1"/>
  <c r="I234" i="7"/>
  <c r="J234" i="7" s="1"/>
  <c r="O234" i="7" s="1"/>
  <c r="O454" i="7"/>
  <c r="B399" i="7"/>
  <c r="C399" i="7" s="1"/>
  <c r="H124" i="7"/>
  <c r="U250" i="11"/>
  <c r="I674" i="8"/>
  <c r="J674" i="8" s="1"/>
  <c r="O674" i="8" s="1"/>
  <c r="I894" i="7"/>
  <c r="J894" i="7" s="1"/>
  <c r="D361" i="6"/>
  <c r="B362" i="6" s="1"/>
  <c r="C362" i="6" s="1"/>
  <c r="G1065" i="7"/>
  <c r="H619" i="8"/>
  <c r="O399" i="7"/>
  <c r="O124" i="8"/>
  <c r="I619" i="7"/>
  <c r="J619" i="7" s="1"/>
  <c r="O619" i="7" s="1"/>
  <c r="I179" i="8"/>
  <c r="J179" i="8" s="1"/>
  <c r="O179" i="8" s="1"/>
  <c r="B564" i="7"/>
  <c r="C564" i="7" s="1"/>
  <c r="H564" i="7" s="1"/>
  <c r="H509" i="7"/>
  <c r="F124" i="12"/>
  <c r="O399" i="8"/>
  <c r="G268" i="6"/>
  <c r="H1059" i="8"/>
  <c r="E1255" i="6"/>
  <c r="F1255" i="6" s="1"/>
  <c r="H839" i="7"/>
  <c r="E315" i="6"/>
  <c r="G315" i="6" s="1"/>
  <c r="F315" i="6"/>
  <c r="F949" i="8"/>
  <c r="G502" i="6"/>
  <c r="O894" i="8"/>
  <c r="H344" i="8"/>
  <c r="E268" i="6"/>
  <c r="F268" i="6" s="1"/>
  <c r="B344" i="7"/>
  <c r="C344" i="7" s="1"/>
  <c r="E973" i="6"/>
  <c r="F973" i="6" s="1"/>
  <c r="H839" i="8"/>
  <c r="L894" i="8"/>
  <c r="N894" i="8" s="1"/>
  <c r="D1395" i="6"/>
  <c r="E344" i="8"/>
  <c r="G344" i="8" s="1"/>
  <c r="B503" i="6"/>
  <c r="C503" i="6" s="1"/>
  <c r="M124" i="8" l="1"/>
  <c r="D2908" i="6"/>
  <c r="D1348" i="6"/>
  <c r="O300" i="11"/>
  <c r="L301" i="11" s="1"/>
  <c r="M301" i="11" s="1"/>
  <c r="Q301" i="11" s="1"/>
  <c r="E1122" i="7"/>
  <c r="H1122" i="7" s="1"/>
  <c r="B1123" i="7" s="1"/>
  <c r="F344" i="8"/>
  <c r="C345" i="8" s="1"/>
  <c r="E345" i="8" s="1"/>
  <c r="G221" i="6"/>
  <c r="E222" i="6" s="1"/>
  <c r="P300" i="11"/>
  <c r="D1491" i="6"/>
  <c r="C173" i="6"/>
  <c r="B174" i="6" s="1"/>
  <c r="D174" i="6" s="1"/>
  <c r="I1122" i="7"/>
  <c r="G509" i="7"/>
  <c r="B510" i="7" s="1"/>
  <c r="F1398" i="6"/>
  <c r="E1399" i="6" s="1"/>
  <c r="F1399" i="6" s="1"/>
  <c r="G1398" i="6"/>
  <c r="F644" i="6"/>
  <c r="E645" i="6" s="1"/>
  <c r="F645" i="6" s="1"/>
  <c r="G644" i="6"/>
  <c r="D785" i="6"/>
  <c r="C785" i="6"/>
  <c r="B786" i="6" s="1"/>
  <c r="D786" i="6" s="1"/>
  <c r="C315" i="6"/>
  <c r="B316" i="6" s="1"/>
  <c r="D315" i="6"/>
  <c r="D316" i="6" s="1"/>
  <c r="M894" i="8"/>
  <c r="W300" i="11"/>
  <c r="T301" i="11" s="1"/>
  <c r="U301" i="11" s="1"/>
  <c r="Y301" i="11" s="1"/>
  <c r="G300" i="11"/>
  <c r="D301" i="11" s="1"/>
  <c r="E301" i="11" s="1"/>
  <c r="I301" i="11" s="1"/>
  <c r="E954" i="7"/>
  <c r="G954" i="7" s="1"/>
  <c r="D410" i="6"/>
  <c r="B411" i="6" s="1"/>
  <c r="C411" i="6" s="1"/>
  <c r="D973" i="6"/>
  <c r="B974" i="6" s="1"/>
  <c r="C974" i="6" s="1"/>
  <c r="M454" i="7"/>
  <c r="M674" i="7"/>
  <c r="J675" i="7" s="1"/>
  <c r="K675" i="7" s="1"/>
  <c r="BB201" i="11"/>
  <c r="BM201" i="11" s="1"/>
  <c r="X300" i="11"/>
  <c r="H300" i="11"/>
  <c r="F954" i="7"/>
  <c r="M839" i="7"/>
  <c r="F361" i="6"/>
  <c r="C268" i="6"/>
  <c r="B269" i="6" s="1"/>
  <c r="D269" i="6" s="1"/>
  <c r="G596" i="6"/>
  <c r="E597" i="6" s="1"/>
  <c r="M399" i="8"/>
  <c r="G1122" i="7"/>
  <c r="F674" i="7"/>
  <c r="CJ201" i="11"/>
  <c r="F1059" i="8"/>
  <c r="F839" i="8"/>
  <c r="G399" i="8"/>
  <c r="B400" i="8" s="1"/>
  <c r="G179" i="7"/>
  <c r="B180" i="7" s="1"/>
  <c r="B2909" i="6"/>
  <c r="C2909" i="6" s="1"/>
  <c r="B646" i="6"/>
  <c r="C646" i="6" s="1"/>
  <c r="E1351" i="6"/>
  <c r="F1351" i="6" s="1"/>
  <c r="F1010" i="7"/>
  <c r="E1010" i="7"/>
  <c r="G1010" i="7" s="1"/>
  <c r="K1010" i="7"/>
  <c r="J1010" i="7"/>
  <c r="I1010" i="7"/>
  <c r="B1492" i="6"/>
  <c r="D1492" i="6" s="1"/>
  <c r="C1492" i="6"/>
  <c r="E1256" i="6"/>
  <c r="F1256" i="6" s="1"/>
  <c r="E834" i="6"/>
  <c r="F834" i="6" s="1"/>
  <c r="K289" i="8"/>
  <c r="L289" i="8"/>
  <c r="K179" i="7"/>
  <c r="L179" i="7"/>
  <c r="N179" i="7" s="1"/>
  <c r="L12" i="10"/>
  <c r="J12" i="10" s="1"/>
  <c r="B125" i="7"/>
  <c r="K454" i="8"/>
  <c r="L454" i="8"/>
  <c r="N454" i="8" s="1"/>
  <c r="C127" i="6"/>
  <c r="C456" i="6"/>
  <c r="K344" i="8"/>
  <c r="L344" i="8"/>
  <c r="N344" i="8" s="1"/>
  <c r="D564" i="7"/>
  <c r="E564" i="7"/>
  <c r="D124" i="8"/>
  <c r="E124" i="8"/>
  <c r="G174" i="6"/>
  <c r="E175" i="6" s="1"/>
  <c r="F175" i="6" s="1"/>
  <c r="K729" i="8"/>
  <c r="L729" i="8"/>
  <c r="N729" i="8" s="1"/>
  <c r="B840" i="7"/>
  <c r="H124" i="8"/>
  <c r="B895" i="7"/>
  <c r="D399" i="7"/>
  <c r="E399" i="7"/>
  <c r="G399" i="7" s="1"/>
  <c r="O454" i="8"/>
  <c r="D729" i="8"/>
  <c r="E729" i="8"/>
  <c r="F454" i="7"/>
  <c r="C1113" i="6"/>
  <c r="K234" i="8"/>
  <c r="L234" i="8"/>
  <c r="F234" i="7"/>
  <c r="K619" i="7"/>
  <c r="L619" i="7"/>
  <c r="N619" i="7" s="1"/>
  <c r="I675" i="7"/>
  <c r="M399" i="7"/>
  <c r="K289" i="12"/>
  <c r="L289" i="12"/>
  <c r="N289" i="12" s="1"/>
  <c r="K894" i="7"/>
  <c r="L894" i="7"/>
  <c r="N894" i="7" s="1"/>
  <c r="K509" i="7"/>
  <c r="L509" i="7"/>
  <c r="D729" i="7"/>
  <c r="E729" i="7"/>
  <c r="G729" i="7" s="1"/>
  <c r="K509" i="8"/>
  <c r="L509" i="8"/>
  <c r="F1178" i="7"/>
  <c r="E1178" i="7"/>
  <c r="G1178" i="7"/>
  <c r="K1178" i="7"/>
  <c r="J1178" i="7"/>
  <c r="I1178" i="7"/>
  <c r="K674" i="8"/>
  <c r="L674" i="8"/>
  <c r="N674" i="8" s="1"/>
  <c r="E927" i="6"/>
  <c r="G927" i="6" s="1"/>
  <c r="B221" i="6"/>
  <c r="D221" i="6" s="1"/>
  <c r="B1208" i="6"/>
  <c r="D1208" i="6" s="1"/>
  <c r="B1069" i="6"/>
  <c r="D1069" i="6" s="1"/>
  <c r="F619" i="8"/>
  <c r="W250" i="11"/>
  <c r="X250" i="11"/>
  <c r="E1302" i="6"/>
  <c r="G1302" i="6" s="1"/>
  <c r="F1302" i="6"/>
  <c r="I565" i="8"/>
  <c r="D509" i="8"/>
  <c r="E509" i="8"/>
  <c r="G509" i="8" s="1"/>
  <c r="K179" i="12"/>
  <c r="L179" i="12"/>
  <c r="I235" i="12"/>
  <c r="M564" i="8"/>
  <c r="K289" i="7"/>
  <c r="L289" i="7"/>
  <c r="N289" i="7" s="1"/>
  <c r="F1160" i="6"/>
  <c r="F12" i="10"/>
  <c r="O179" i="12"/>
  <c r="M234" i="12"/>
  <c r="K564" i="7"/>
  <c r="L564" i="7"/>
  <c r="N564" i="7" s="1"/>
  <c r="D503" i="6"/>
  <c r="F126" i="6"/>
  <c r="B1161" i="6"/>
  <c r="D1161" i="6" s="1"/>
  <c r="F894" i="7"/>
  <c r="AG201" i="11"/>
  <c r="I400" i="7"/>
  <c r="K234" i="7"/>
  <c r="L234" i="7"/>
  <c r="N234" i="7" s="1"/>
  <c r="E550" i="6"/>
  <c r="G550" i="6" s="1"/>
  <c r="B840" i="8"/>
  <c r="C840" i="8" s="1"/>
  <c r="E840" i="8" s="1"/>
  <c r="D894" i="8"/>
  <c r="E894" i="8"/>
  <c r="G1020" i="6"/>
  <c r="E1021" i="6" s="1"/>
  <c r="F1021" i="6" s="1"/>
  <c r="B1021" i="6"/>
  <c r="C1021" i="6" s="1"/>
  <c r="F234" i="12"/>
  <c r="I785" i="8"/>
  <c r="D289" i="7"/>
  <c r="E289" i="7"/>
  <c r="G289" i="7" s="1"/>
  <c r="K784" i="7"/>
  <c r="L784" i="7"/>
  <c r="N784" i="7" s="1"/>
  <c r="C1254" i="6"/>
  <c r="F1066" i="6"/>
  <c r="D1444" i="6"/>
  <c r="B1445" i="6" s="1"/>
  <c r="C1445" i="6" s="1"/>
  <c r="F289" i="12"/>
  <c r="E269" i="6"/>
  <c r="G269" i="6" s="1"/>
  <c r="F269" i="6"/>
  <c r="G1490" i="6"/>
  <c r="E1491" i="6" s="1"/>
  <c r="F1491" i="6" s="1"/>
  <c r="K949" i="8"/>
  <c r="L949" i="8"/>
  <c r="N949" i="8" s="1"/>
  <c r="D619" i="7"/>
  <c r="E619" i="7"/>
  <c r="B1349" i="6"/>
  <c r="D1349" i="6" s="1"/>
  <c r="D564" i="8"/>
  <c r="E564" i="8"/>
  <c r="K839" i="8"/>
  <c r="L839" i="8"/>
  <c r="N839" i="8" s="1"/>
  <c r="CH201" i="11"/>
  <c r="M124" i="7"/>
  <c r="N124" i="8"/>
  <c r="V250" i="11"/>
  <c r="N454" i="7"/>
  <c r="F179" i="7"/>
  <c r="K1059" i="8"/>
  <c r="L1059" i="8"/>
  <c r="N1059" i="8" s="1"/>
  <c r="F1442" i="6"/>
  <c r="B832" i="6"/>
  <c r="D832" i="6" s="1"/>
  <c r="C832" i="6"/>
  <c r="H399" i="7"/>
  <c r="K1122" i="7"/>
  <c r="B785" i="7"/>
  <c r="F839" i="7"/>
  <c r="D881" i="6"/>
  <c r="B882" i="6" s="1"/>
  <c r="C882" i="6" s="1"/>
  <c r="G1255" i="6"/>
  <c r="B551" i="6"/>
  <c r="D551" i="6" s="1"/>
  <c r="G833" i="6"/>
  <c r="B290" i="12"/>
  <c r="D344" i="7"/>
  <c r="E344" i="7"/>
  <c r="G344" i="7" s="1"/>
  <c r="G9" i="9"/>
  <c r="F9" i="9"/>
  <c r="E9" i="9"/>
  <c r="G973" i="6"/>
  <c r="F690" i="6"/>
  <c r="D454" i="8"/>
  <c r="E454" i="8"/>
  <c r="G454" i="8" s="1"/>
  <c r="D179" i="12"/>
  <c r="E179" i="12"/>
  <c r="G179" i="12" s="1"/>
  <c r="D674" i="8"/>
  <c r="E674" i="8"/>
  <c r="G674" i="8" s="1"/>
  <c r="D597" i="6"/>
  <c r="O289" i="12"/>
  <c r="K1004" i="8"/>
  <c r="L1004" i="8"/>
  <c r="N1004" i="8" s="1"/>
  <c r="CI201" i="11"/>
  <c r="H179" i="12"/>
  <c r="B1066" i="7"/>
  <c r="C1066" i="7"/>
  <c r="D1066" i="7" s="1"/>
  <c r="E409" i="6"/>
  <c r="G409" i="6" s="1"/>
  <c r="F409" i="6"/>
  <c r="O179" i="7"/>
  <c r="B785" i="8"/>
  <c r="E362" i="6"/>
  <c r="K619" i="8"/>
  <c r="L619" i="8"/>
  <c r="N619" i="8" s="1"/>
  <c r="O619" i="8"/>
  <c r="O289" i="8"/>
  <c r="B620" i="8"/>
  <c r="E316" i="6"/>
  <c r="F316" i="6" s="1"/>
  <c r="BJ250" i="11"/>
  <c r="BI250" i="11"/>
  <c r="BH250" i="11"/>
  <c r="BE250" i="11"/>
  <c r="BK250" i="11"/>
  <c r="BG250" i="11"/>
  <c r="BF250" i="11"/>
  <c r="F124" i="7"/>
  <c r="F784" i="6"/>
  <c r="E1208" i="6"/>
  <c r="G1208" i="6" s="1"/>
  <c r="D646" i="6"/>
  <c r="O894" i="7"/>
  <c r="D234" i="8"/>
  <c r="E234" i="8"/>
  <c r="B345" i="8"/>
  <c r="K179" i="8"/>
  <c r="L179" i="8"/>
  <c r="N179" i="8" s="1"/>
  <c r="C737" i="6"/>
  <c r="K729" i="7"/>
  <c r="L729" i="7"/>
  <c r="N729" i="7" s="1"/>
  <c r="B455" i="7"/>
  <c r="F399" i="8"/>
  <c r="I895" i="8"/>
  <c r="E503" i="6"/>
  <c r="F503" i="6" s="1"/>
  <c r="I400" i="8"/>
  <c r="B235" i="7"/>
  <c r="K124" i="12"/>
  <c r="L124" i="12"/>
  <c r="N124" i="12" s="1"/>
  <c r="B675" i="7"/>
  <c r="B1396" i="6"/>
  <c r="C1396" i="6" s="1"/>
  <c r="B950" i="8"/>
  <c r="C950" i="8" s="1"/>
  <c r="D16" i="9"/>
  <c r="C16" i="9"/>
  <c r="J15" i="9"/>
  <c r="K344" i="7"/>
  <c r="L344" i="7"/>
  <c r="N344" i="7" s="1"/>
  <c r="K16" i="9"/>
  <c r="K17" i="9" s="1"/>
  <c r="B235" i="12"/>
  <c r="E458" i="6"/>
  <c r="F458" i="6" s="1"/>
  <c r="D1004" i="8"/>
  <c r="E1004" i="8"/>
  <c r="F784" i="7"/>
  <c r="F737" i="6"/>
  <c r="E1114" i="6"/>
  <c r="F1114" i="6" s="1"/>
  <c r="O729" i="7"/>
  <c r="I125" i="7"/>
  <c r="M784" i="8"/>
  <c r="D362" i="6"/>
  <c r="C691" i="6"/>
  <c r="D289" i="8"/>
  <c r="E289" i="8"/>
  <c r="G289" i="8" s="1"/>
  <c r="B125" i="12"/>
  <c r="C125" i="12" s="1"/>
  <c r="D927" i="6"/>
  <c r="G362" i="6"/>
  <c r="B1303" i="6"/>
  <c r="D1303" i="6" s="1"/>
  <c r="H344" i="7"/>
  <c r="H234" i="8"/>
  <c r="D179" i="8"/>
  <c r="E179" i="8"/>
  <c r="B1060" i="8"/>
  <c r="F509" i="7"/>
  <c r="N839" i="7"/>
  <c r="E880" i="6"/>
  <c r="F880" i="6" s="1"/>
  <c r="E2908" i="6"/>
  <c r="F2908" i="6" s="1"/>
  <c r="F784" i="8"/>
  <c r="G222" i="6" l="1"/>
  <c r="F222" i="6"/>
  <c r="C174" i="6"/>
  <c r="G316" i="6"/>
  <c r="C1123" i="7"/>
  <c r="J400" i="8"/>
  <c r="O400" i="8" s="1"/>
  <c r="F1004" i="8"/>
  <c r="C316" i="6"/>
  <c r="B317" i="6" s="1"/>
  <c r="C1060" i="8"/>
  <c r="D1060" i="8" s="1"/>
  <c r="CS201" i="11"/>
  <c r="CN201" i="11" s="1"/>
  <c r="F362" i="6"/>
  <c r="C675" i="7"/>
  <c r="N509" i="8"/>
  <c r="I510" i="8" s="1"/>
  <c r="N234" i="8"/>
  <c r="I235" i="8" s="1"/>
  <c r="G124" i="8"/>
  <c r="G2908" i="6"/>
  <c r="E2909" i="6" s="1"/>
  <c r="F2909" i="6" s="1"/>
  <c r="X301" i="11"/>
  <c r="W301" i="11"/>
  <c r="V301" i="11"/>
  <c r="S302" i="11" s="1"/>
  <c r="T302" i="11" s="1"/>
  <c r="G597" i="6"/>
  <c r="F597" i="6"/>
  <c r="C1349" i="6"/>
  <c r="C1350" i="6" s="1"/>
  <c r="H1010" i="7"/>
  <c r="B1011" i="7" s="1"/>
  <c r="C551" i="6"/>
  <c r="C552" i="6" s="1"/>
  <c r="H1178" i="7"/>
  <c r="D1123" i="7"/>
  <c r="E1123" i="7" s="1"/>
  <c r="G1123" i="7" s="1"/>
  <c r="F619" i="7"/>
  <c r="K954" i="7"/>
  <c r="F289" i="8"/>
  <c r="H954" i="7"/>
  <c r="O675" i="7"/>
  <c r="C269" i="6"/>
  <c r="B270" i="6" s="1"/>
  <c r="F564" i="7"/>
  <c r="G880" i="6"/>
  <c r="G179" i="8"/>
  <c r="D2909" i="6"/>
  <c r="M179" i="12"/>
  <c r="J895" i="8"/>
  <c r="O895" i="8" s="1"/>
  <c r="F894" i="8"/>
  <c r="G234" i="8"/>
  <c r="B235" i="8" s="1"/>
  <c r="G564" i="8"/>
  <c r="B565" i="8" s="1"/>
  <c r="C1208" i="6"/>
  <c r="B1209" i="6" s="1"/>
  <c r="D1209" i="6" s="1"/>
  <c r="N509" i="7"/>
  <c r="G729" i="8"/>
  <c r="B730" i="8" s="1"/>
  <c r="N289" i="8"/>
  <c r="I290" i="8" s="1"/>
  <c r="D411" i="6"/>
  <c r="I1066" i="7"/>
  <c r="F1066" i="7"/>
  <c r="J1066" i="7"/>
  <c r="E1066" i="7"/>
  <c r="K895" i="8"/>
  <c r="B1179" i="7"/>
  <c r="C1179" i="7"/>
  <c r="D1179" i="7" s="1"/>
  <c r="D675" i="7"/>
  <c r="H675" i="7"/>
  <c r="E675" i="7"/>
  <c r="G675" i="7" s="1"/>
  <c r="B647" i="6"/>
  <c r="D647" i="6" s="1"/>
  <c r="C647" i="6"/>
  <c r="E317" i="6"/>
  <c r="G317" i="6" s="1"/>
  <c r="E125" i="12"/>
  <c r="H125" i="12"/>
  <c r="D125" i="12"/>
  <c r="E950" i="8"/>
  <c r="D950" i="8"/>
  <c r="F950" i="8" s="1"/>
  <c r="H950" i="8"/>
  <c r="B2910" i="6"/>
  <c r="D2910" i="6" s="1"/>
  <c r="C2910" i="6"/>
  <c r="E504" i="6"/>
  <c r="F504" i="6" s="1"/>
  <c r="E363" i="6"/>
  <c r="F363" i="6" s="1"/>
  <c r="B552" i="6"/>
  <c r="D552" i="6" s="1"/>
  <c r="I345" i="8"/>
  <c r="B510" i="8"/>
  <c r="C455" i="7"/>
  <c r="E691" i="6"/>
  <c r="G691" i="6" s="1"/>
  <c r="I455" i="7"/>
  <c r="J455" i="7" s="1"/>
  <c r="E127" i="6"/>
  <c r="G127" i="6" s="1"/>
  <c r="M949" i="8"/>
  <c r="I1005" i="8"/>
  <c r="I125" i="8"/>
  <c r="J125" i="8" s="1"/>
  <c r="L125" i="8" s="1"/>
  <c r="M234" i="7"/>
  <c r="P301" i="11"/>
  <c r="O301" i="11"/>
  <c r="N301" i="11"/>
  <c r="K302" i="11" s="1"/>
  <c r="L302" i="11" s="1"/>
  <c r="M302" i="11"/>
  <c r="Q302" i="11"/>
  <c r="B457" i="6"/>
  <c r="D457" i="6" s="1"/>
  <c r="B455" i="8"/>
  <c r="B1114" i="6"/>
  <c r="D1114" i="6" s="1"/>
  <c r="F234" i="8"/>
  <c r="F454" i="8"/>
  <c r="C1161" i="6"/>
  <c r="M729" i="8"/>
  <c r="B180" i="8"/>
  <c r="E223" i="6"/>
  <c r="G223" i="6" s="1"/>
  <c r="AJ251" i="11"/>
  <c r="C235" i="12"/>
  <c r="D235" i="12" s="1"/>
  <c r="F179" i="8"/>
  <c r="I235" i="7"/>
  <c r="I290" i="12"/>
  <c r="B504" i="6"/>
  <c r="C504" i="6" s="1"/>
  <c r="G503" i="6"/>
  <c r="J785" i="8"/>
  <c r="C400" i="8"/>
  <c r="D400" i="8" s="1"/>
  <c r="H9" i="9"/>
  <c r="I9" i="9" s="1"/>
  <c r="L10" i="9"/>
  <c r="M1004" i="8"/>
  <c r="J125" i="7"/>
  <c r="K125" i="7" s="1"/>
  <c r="B175" i="6"/>
  <c r="D175" i="6" s="1"/>
  <c r="C175" i="6"/>
  <c r="G881" i="6"/>
  <c r="E270" i="6"/>
  <c r="F270" i="6" s="1"/>
  <c r="C786" i="6"/>
  <c r="E1303" i="6"/>
  <c r="F1303" i="6" s="1"/>
  <c r="B400" i="7"/>
  <c r="G1303" i="6"/>
  <c r="G175" i="6"/>
  <c r="E176" i="6" s="1"/>
  <c r="F176" i="6" s="1"/>
  <c r="M729" i="7"/>
  <c r="C290" i="12"/>
  <c r="M564" i="7"/>
  <c r="F729" i="7"/>
  <c r="L675" i="7"/>
  <c r="N675" i="7" s="1"/>
  <c r="M179" i="7"/>
  <c r="C785" i="8"/>
  <c r="E738" i="6"/>
  <c r="G738" i="6" s="1"/>
  <c r="B738" i="6"/>
  <c r="D738" i="6" s="1"/>
  <c r="I675" i="8"/>
  <c r="B180" i="12"/>
  <c r="B833" i="6"/>
  <c r="C833" i="6"/>
  <c r="G1021" i="6"/>
  <c r="M674" i="8"/>
  <c r="K400" i="8"/>
  <c r="G1351" i="6"/>
  <c r="E1352" i="6" s="1"/>
  <c r="F1352" i="6" s="1"/>
  <c r="M179" i="8"/>
  <c r="F179" i="12"/>
  <c r="I785" i="7"/>
  <c r="G1114" i="6"/>
  <c r="E1115" i="6" s="1"/>
  <c r="F1115" i="6" s="1"/>
  <c r="M619" i="7"/>
  <c r="I840" i="7"/>
  <c r="J840" i="7" s="1"/>
  <c r="L840" i="7" s="1"/>
  <c r="B290" i="8"/>
  <c r="G645" i="6"/>
  <c r="D840" i="8"/>
  <c r="F840" i="8" s="1"/>
  <c r="H345" i="8"/>
  <c r="E1443" i="6"/>
  <c r="G1443" i="6" s="1"/>
  <c r="F1443" i="6"/>
  <c r="M784" i="7"/>
  <c r="G894" i="8"/>
  <c r="H840" i="8"/>
  <c r="G1399" i="6"/>
  <c r="E1400" i="6" s="1"/>
  <c r="F1400" i="6" s="1"/>
  <c r="M894" i="7"/>
  <c r="C235" i="7"/>
  <c r="D235" i="7" s="1"/>
  <c r="G564" i="7"/>
  <c r="B128" i="6"/>
  <c r="D128" i="6" s="1"/>
  <c r="I730" i="8"/>
  <c r="CQ201" i="11"/>
  <c r="CO201" i="11"/>
  <c r="CP201" i="11"/>
  <c r="B1397" i="6"/>
  <c r="C1397" i="6" s="1"/>
  <c r="C180" i="7"/>
  <c r="F550" i="6"/>
  <c r="E1161" i="6"/>
  <c r="G1161" i="6" s="1"/>
  <c r="C1069" i="6"/>
  <c r="G458" i="6"/>
  <c r="E459" i="6" s="1"/>
  <c r="F459" i="6" s="1"/>
  <c r="M344" i="8"/>
  <c r="B1493" i="6"/>
  <c r="D1493" i="6" s="1"/>
  <c r="C1493" i="6"/>
  <c r="I950" i="8"/>
  <c r="F509" i="8"/>
  <c r="D1396" i="6"/>
  <c r="G1256" i="6"/>
  <c r="BK201" i="11"/>
  <c r="BJ201" i="11"/>
  <c r="BI201" i="11"/>
  <c r="BH201" i="11"/>
  <c r="BG201" i="11"/>
  <c r="BE201" i="11"/>
  <c r="BF201" i="11"/>
  <c r="F729" i="8"/>
  <c r="M12" i="10"/>
  <c r="I12" i="10" s="1"/>
  <c r="BL250" i="11"/>
  <c r="AP251" i="11" s="1"/>
  <c r="AI251" i="11"/>
  <c r="D882" i="6"/>
  <c r="B883" i="6" s="1"/>
  <c r="C883" i="6" s="1"/>
  <c r="G1491" i="6"/>
  <c r="E1492" i="6" s="1"/>
  <c r="F1492" i="6" s="1"/>
  <c r="M289" i="12"/>
  <c r="C840" i="7"/>
  <c r="I290" i="7"/>
  <c r="M289" i="7"/>
  <c r="U302" i="11"/>
  <c r="Y302" i="11" s="1"/>
  <c r="C1303" i="6"/>
  <c r="I730" i="7"/>
  <c r="E974" i="6"/>
  <c r="F974" i="6" s="1"/>
  <c r="C221" i="6"/>
  <c r="F399" i="7"/>
  <c r="F1208" i="6"/>
  <c r="D1445" i="6"/>
  <c r="F927" i="6"/>
  <c r="B125" i="8"/>
  <c r="D974" i="6"/>
  <c r="B975" i="6" s="1"/>
  <c r="C975" i="6" s="1"/>
  <c r="M344" i="7"/>
  <c r="F674" i="8"/>
  <c r="M839" i="8"/>
  <c r="D1021" i="6"/>
  <c r="J565" i="8"/>
  <c r="B363" i="6"/>
  <c r="C363" i="6" s="1"/>
  <c r="M124" i="12"/>
  <c r="E785" i="6"/>
  <c r="G785" i="6" s="1"/>
  <c r="AE201" i="11"/>
  <c r="AD201" i="11"/>
  <c r="AC201" i="11"/>
  <c r="AB201" i="11"/>
  <c r="AA201" i="11"/>
  <c r="Z201" i="11"/>
  <c r="Y201" i="11"/>
  <c r="M509" i="7"/>
  <c r="E881" i="6"/>
  <c r="F881" i="6" s="1"/>
  <c r="D17" i="9"/>
  <c r="C17" i="9"/>
  <c r="K18" i="9" s="1"/>
  <c r="J16" i="9"/>
  <c r="D833" i="6"/>
  <c r="AG250" i="11"/>
  <c r="C510" i="7"/>
  <c r="D510" i="7" s="1"/>
  <c r="L400" i="8"/>
  <c r="C125" i="7"/>
  <c r="E410" i="6"/>
  <c r="G410" i="6" s="1"/>
  <c r="F410" i="6"/>
  <c r="G834" i="6"/>
  <c r="I1060" i="8"/>
  <c r="B1350" i="6"/>
  <c r="D1350" i="6" s="1"/>
  <c r="B290" i="7"/>
  <c r="C895" i="7"/>
  <c r="C13" i="10"/>
  <c r="D13" i="10"/>
  <c r="E13" i="10"/>
  <c r="C620" i="8"/>
  <c r="I455" i="8"/>
  <c r="J400" i="7"/>
  <c r="E598" i="6"/>
  <c r="G598" i="6" s="1"/>
  <c r="I565" i="7"/>
  <c r="M509" i="8"/>
  <c r="J1123" i="7"/>
  <c r="I1123" i="7"/>
  <c r="F1123" i="7"/>
  <c r="I620" i="8"/>
  <c r="B730" i="7"/>
  <c r="I180" i="7"/>
  <c r="I345" i="7"/>
  <c r="M619" i="8"/>
  <c r="B675" i="8"/>
  <c r="I840" i="8"/>
  <c r="I125" i="12"/>
  <c r="B345" i="7"/>
  <c r="E1067" i="6"/>
  <c r="G1067" i="6" s="1"/>
  <c r="F1067" i="6"/>
  <c r="D345" i="8"/>
  <c r="F345" i="8" s="1"/>
  <c r="I510" i="7"/>
  <c r="F124" i="8"/>
  <c r="I180" i="8"/>
  <c r="F344" i="7"/>
  <c r="B1255" i="6"/>
  <c r="D1255" i="6" s="1"/>
  <c r="C1255" i="6"/>
  <c r="I620" i="7"/>
  <c r="C785" i="7"/>
  <c r="G840" i="8"/>
  <c r="F564" i="8"/>
  <c r="J235" i="12"/>
  <c r="I895" i="7"/>
  <c r="G301" i="11"/>
  <c r="F301" i="11"/>
  <c r="C302" i="11" s="1"/>
  <c r="D302" i="11" s="1"/>
  <c r="H301" i="11"/>
  <c r="B692" i="6"/>
  <c r="D692" i="6" s="1"/>
  <c r="G1004" i="8"/>
  <c r="M1059" i="8"/>
  <c r="G619" i="7"/>
  <c r="F289" i="7"/>
  <c r="N179" i="12"/>
  <c r="M234" i="8"/>
  <c r="M454" i="8"/>
  <c r="M289" i="8"/>
  <c r="B598" i="6"/>
  <c r="C598" i="6" s="1"/>
  <c r="B928" i="6"/>
  <c r="C928" i="6" s="1"/>
  <c r="C270" i="6" l="1"/>
  <c r="D270" i="6"/>
  <c r="D317" i="6"/>
  <c r="C317" i="6"/>
  <c r="K1123" i="7"/>
  <c r="M400" i="8"/>
  <c r="C290" i="8"/>
  <c r="H290" i="8" s="1"/>
  <c r="C1011" i="7"/>
  <c r="D1011" i="7" s="1"/>
  <c r="AL251" i="11"/>
  <c r="L895" i="8"/>
  <c r="N895" i="8" s="1"/>
  <c r="CK201" i="11"/>
  <c r="BO202" i="11" s="1"/>
  <c r="C1114" i="6"/>
  <c r="B1115" i="6" s="1"/>
  <c r="D1115" i="6" s="1"/>
  <c r="CM201" i="11"/>
  <c r="BP202" i="11" s="1"/>
  <c r="C1209" i="6"/>
  <c r="E1060" i="8"/>
  <c r="G1060" i="8" s="1"/>
  <c r="B1061" i="8" s="1"/>
  <c r="G2909" i="6"/>
  <c r="CL201" i="11"/>
  <c r="H1060" i="8"/>
  <c r="B412" i="6"/>
  <c r="C412" i="6" s="1"/>
  <c r="B955" i="7"/>
  <c r="C955" i="7"/>
  <c r="D955" i="7" s="1"/>
  <c r="G270" i="6"/>
  <c r="K1066" i="7"/>
  <c r="AK251" i="11"/>
  <c r="AN251" i="11" s="1"/>
  <c r="AO251" i="11" s="1"/>
  <c r="H1123" i="7"/>
  <c r="B1124" i="7" s="1"/>
  <c r="D928" i="6"/>
  <c r="B929" i="6" s="1"/>
  <c r="D363" i="6"/>
  <c r="AM251" i="11"/>
  <c r="G363" i="6"/>
  <c r="E364" i="6" s="1"/>
  <c r="D598" i="6"/>
  <c r="B599" i="6" s="1"/>
  <c r="C128" i="6"/>
  <c r="B129" i="6" s="1"/>
  <c r="C129" i="6" s="1"/>
  <c r="F125" i="12"/>
  <c r="E1179" i="7"/>
  <c r="J1179" i="7"/>
  <c r="F1179" i="7"/>
  <c r="K1179" i="7" s="1"/>
  <c r="I1179" i="7"/>
  <c r="H1179" i="7"/>
  <c r="B1180" i="7" s="1"/>
  <c r="G1179" i="7"/>
  <c r="J1011" i="7"/>
  <c r="I1011" i="7"/>
  <c r="F1011" i="7"/>
  <c r="E1011" i="7"/>
  <c r="E2910" i="6"/>
  <c r="G2910" i="6" s="1"/>
  <c r="O785" i="8"/>
  <c r="L785" i="8"/>
  <c r="C125" i="8"/>
  <c r="D125" i="8" s="1"/>
  <c r="E1444" i="6"/>
  <c r="F1444" i="6" s="1"/>
  <c r="K785" i="8"/>
  <c r="B676" i="7"/>
  <c r="G1444" i="6"/>
  <c r="J235" i="8"/>
  <c r="B1351" i="6"/>
  <c r="D1351" i="6" s="1"/>
  <c r="H290" i="12"/>
  <c r="E290" i="12"/>
  <c r="K455" i="7"/>
  <c r="O455" i="7"/>
  <c r="I180" i="12"/>
  <c r="J180" i="12" s="1"/>
  <c r="L180" i="12"/>
  <c r="J620" i="8"/>
  <c r="E928" i="6"/>
  <c r="G928" i="6" s="1"/>
  <c r="F317" i="6"/>
  <c r="C290" i="7"/>
  <c r="D290" i="7" s="1"/>
  <c r="D1446" i="6"/>
  <c r="C180" i="12"/>
  <c r="D180" i="12" s="1"/>
  <c r="J235" i="7"/>
  <c r="K235" i="7" s="1"/>
  <c r="C565" i="8"/>
  <c r="D565" i="8" s="1"/>
  <c r="E1209" i="6"/>
  <c r="G1209" i="6" s="1"/>
  <c r="D1397" i="6"/>
  <c r="B1398" i="6" s="1"/>
  <c r="C1398" i="6" s="1"/>
  <c r="J1060" i="8"/>
  <c r="G835" i="6"/>
  <c r="N12" i="10"/>
  <c r="H12" i="10" s="1"/>
  <c r="K12" i="10" s="1"/>
  <c r="J730" i="7"/>
  <c r="K730" i="7" s="1"/>
  <c r="K125" i="8"/>
  <c r="M125" i="8" s="1"/>
  <c r="O125" i="8"/>
  <c r="G345" i="8"/>
  <c r="H620" i="8"/>
  <c r="E620" i="8"/>
  <c r="F785" i="6"/>
  <c r="C730" i="8"/>
  <c r="D620" i="8"/>
  <c r="E882" i="6"/>
  <c r="G882" i="6" s="1"/>
  <c r="F882" i="6"/>
  <c r="C400" i="7"/>
  <c r="J675" i="8"/>
  <c r="K675" i="8" s="1"/>
  <c r="F223" i="6"/>
  <c r="H125" i="7"/>
  <c r="E125" i="7"/>
  <c r="F738" i="6"/>
  <c r="D125" i="7"/>
  <c r="B1494" i="6"/>
  <c r="C1494" i="6" s="1"/>
  <c r="B565" i="7"/>
  <c r="C565" i="7" s="1"/>
  <c r="G1304" i="6"/>
  <c r="N400" i="8"/>
  <c r="J730" i="8"/>
  <c r="K730" i="8" s="1"/>
  <c r="F598" i="6"/>
  <c r="P302" i="11"/>
  <c r="O302" i="11"/>
  <c r="N302" i="11"/>
  <c r="K303" i="11" s="1"/>
  <c r="L303" i="11" s="1"/>
  <c r="M303" i="11"/>
  <c r="Q303" i="11" s="1"/>
  <c r="D504" i="6"/>
  <c r="I676" i="7"/>
  <c r="C180" i="8"/>
  <c r="D180" i="8" s="1"/>
  <c r="J950" i="8"/>
  <c r="K950" i="8" s="1"/>
  <c r="E180" i="7"/>
  <c r="H180" i="7"/>
  <c r="J785" i="7"/>
  <c r="E271" i="6"/>
  <c r="F271" i="6" s="1"/>
  <c r="L235" i="12"/>
  <c r="O235" i="12"/>
  <c r="AC250" i="11"/>
  <c r="AB250" i="11"/>
  <c r="AA250" i="11"/>
  <c r="AE250" i="11"/>
  <c r="AD250" i="11"/>
  <c r="Z250" i="11"/>
  <c r="Y250" i="11"/>
  <c r="D180" i="7"/>
  <c r="D290" i="12"/>
  <c r="K235" i="12"/>
  <c r="B2911" i="6"/>
  <c r="D2911" i="6" s="1"/>
  <c r="H1066" i="7"/>
  <c r="B841" i="8"/>
  <c r="C841" i="8" s="1"/>
  <c r="E841" i="8" s="1"/>
  <c r="D18" i="9"/>
  <c r="C18" i="9"/>
  <c r="K19" i="9" s="1"/>
  <c r="J17" i="9"/>
  <c r="B176" i="6"/>
  <c r="D176" i="6" s="1"/>
  <c r="H455" i="7"/>
  <c r="E455" i="7"/>
  <c r="E1068" i="6"/>
  <c r="G1068" i="6" s="1"/>
  <c r="J510" i="8"/>
  <c r="E411" i="6"/>
  <c r="F411" i="6" s="1"/>
  <c r="C738" i="6"/>
  <c r="D455" i="7"/>
  <c r="G411" i="6"/>
  <c r="B648" i="6"/>
  <c r="C648" i="6" s="1"/>
  <c r="B1005" i="8"/>
  <c r="C1005" i="8" s="1"/>
  <c r="E1005" i="8"/>
  <c r="B222" i="6"/>
  <c r="D222" i="6" s="1"/>
  <c r="C222" i="6"/>
  <c r="BL201" i="11"/>
  <c r="AP202" i="11" s="1"/>
  <c r="AI202" i="11"/>
  <c r="AK202" i="11"/>
  <c r="L125" i="7"/>
  <c r="N125" i="7" s="1"/>
  <c r="O125" i="7"/>
  <c r="G950" i="8"/>
  <c r="J510" i="7"/>
  <c r="K510" i="7" s="1"/>
  <c r="AJ202" i="11"/>
  <c r="H785" i="8"/>
  <c r="E785" i="8"/>
  <c r="C692" i="6"/>
  <c r="H235" i="7"/>
  <c r="E235" i="7"/>
  <c r="G235" i="7" s="1"/>
  <c r="D785" i="8"/>
  <c r="F785" i="8" s="1"/>
  <c r="E1022" i="6"/>
  <c r="F1022" i="6" s="1"/>
  <c r="B1256" i="6"/>
  <c r="C1256" i="6" s="1"/>
  <c r="E895" i="7"/>
  <c r="H895" i="7"/>
  <c r="AF201" i="11"/>
  <c r="J202" i="11" s="1"/>
  <c r="E202" i="11"/>
  <c r="C202" i="11"/>
  <c r="B1446" i="6"/>
  <c r="C1446" i="6" s="1"/>
  <c r="J345" i="8"/>
  <c r="L400" i="7"/>
  <c r="O400" i="7"/>
  <c r="J895" i="7"/>
  <c r="M10" i="9"/>
  <c r="P10" i="9" s="1"/>
  <c r="N10" i="9"/>
  <c r="Q10" i="9" s="1"/>
  <c r="G10" i="9" s="1"/>
  <c r="K400" i="7"/>
  <c r="D202" i="11"/>
  <c r="C675" i="8"/>
  <c r="D675" i="8" s="1"/>
  <c r="G1492" i="6"/>
  <c r="G974" i="6"/>
  <c r="E975" i="6" s="1"/>
  <c r="F975" i="6" s="1"/>
  <c r="E1257" i="6"/>
  <c r="F1257" i="6" s="1"/>
  <c r="E302" i="11"/>
  <c r="I302" i="11" s="1"/>
  <c r="J345" i="7"/>
  <c r="K345" i="7" s="1"/>
  <c r="D883" i="6"/>
  <c r="B884" i="6" s="1"/>
  <c r="C884" i="6" s="1"/>
  <c r="K840" i="7"/>
  <c r="M840" i="7" s="1"/>
  <c r="O840" i="7"/>
  <c r="B1070" i="6"/>
  <c r="D1070" i="6" s="1"/>
  <c r="E1304" i="6"/>
  <c r="F1304" i="6"/>
  <c r="B553" i="6"/>
  <c r="D553" i="6" s="1"/>
  <c r="G125" i="12"/>
  <c r="J290" i="8"/>
  <c r="K290" i="8" s="1"/>
  <c r="C345" i="7"/>
  <c r="D975" i="6"/>
  <c r="B1304" i="6"/>
  <c r="D1304" i="6" s="1"/>
  <c r="F1161" i="6"/>
  <c r="J620" i="7"/>
  <c r="K620" i="7" s="1"/>
  <c r="B787" i="6"/>
  <c r="D787" i="6" s="1"/>
  <c r="C787" i="6"/>
  <c r="H400" i="8"/>
  <c r="E400" i="8"/>
  <c r="G400" i="8" s="1"/>
  <c r="F127" i="6"/>
  <c r="E835" i="6"/>
  <c r="F835" i="6" s="1"/>
  <c r="M675" i="7"/>
  <c r="G1066" i="7"/>
  <c r="J290" i="7"/>
  <c r="B318" i="6"/>
  <c r="D318" i="6" s="1"/>
  <c r="C318" i="6"/>
  <c r="F691" i="6"/>
  <c r="B620" i="7"/>
  <c r="C620" i="7" s="1"/>
  <c r="J180" i="8"/>
  <c r="G504" i="6"/>
  <c r="E505" i="6" s="1"/>
  <c r="F505" i="6" s="1"/>
  <c r="F675" i="7"/>
  <c r="C510" i="8"/>
  <c r="G1352" i="6"/>
  <c r="E1353" i="6" s="1"/>
  <c r="F1353" i="6" s="1"/>
  <c r="E785" i="7"/>
  <c r="H785" i="7"/>
  <c r="D785" i="7"/>
  <c r="F785" i="7" s="1"/>
  <c r="J125" i="12"/>
  <c r="K125" i="12" s="1"/>
  <c r="H840" i="7"/>
  <c r="E840" i="7"/>
  <c r="G176" i="6"/>
  <c r="E177" i="6" s="1"/>
  <c r="F177" i="6" s="1"/>
  <c r="L565" i="8"/>
  <c r="O565" i="8"/>
  <c r="D840" i="7"/>
  <c r="B834" i="6"/>
  <c r="D834" i="6" s="1"/>
  <c r="F13" i="10"/>
  <c r="K565" i="8"/>
  <c r="J1005" i="8"/>
  <c r="K1005" i="8" s="1"/>
  <c r="C457" i="6"/>
  <c r="J180" i="7"/>
  <c r="K180" i="7" s="1"/>
  <c r="B1162" i="6"/>
  <c r="D1162" i="6" s="1"/>
  <c r="E646" i="6"/>
  <c r="F646" i="6" s="1"/>
  <c r="B1022" i="6"/>
  <c r="C1022" i="6" s="1"/>
  <c r="D895" i="7"/>
  <c r="D290" i="8"/>
  <c r="J840" i="8"/>
  <c r="J290" i="12"/>
  <c r="K290" i="12" s="1"/>
  <c r="G459" i="6"/>
  <c r="E290" i="8"/>
  <c r="C455" i="8"/>
  <c r="D455" i="8" s="1"/>
  <c r="E510" i="7"/>
  <c r="G510" i="7" s="1"/>
  <c r="H510" i="7"/>
  <c r="G1400" i="6"/>
  <c r="C730" i="7"/>
  <c r="O10" i="9"/>
  <c r="C235" i="8"/>
  <c r="D235" i="8" s="1"/>
  <c r="J455" i="8"/>
  <c r="B271" i="6"/>
  <c r="C271" i="6" s="1"/>
  <c r="X302" i="11"/>
  <c r="W302" i="11"/>
  <c r="V302" i="11"/>
  <c r="S303" i="11" s="1"/>
  <c r="T303" i="11" s="1"/>
  <c r="E551" i="6"/>
  <c r="G551" i="6" s="1"/>
  <c r="B895" i="8"/>
  <c r="C895" i="8" s="1"/>
  <c r="G1115" i="6"/>
  <c r="J565" i="7"/>
  <c r="K565" i="7" s="1"/>
  <c r="E235" i="12"/>
  <c r="G235" i="12" s="1"/>
  <c r="H235" i="12"/>
  <c r="L455" i="7"/>
  <c r="N455" i="7" s="1"/>
  <c r="M895" i="8" l="1"/>
  <c r="F290" i="8"/>
  <c r="CR201" i="11"/>
  <c r="BV202" i="11" s="1"/>
  <c r="F895" i="7"/>
  <c r="F235" i="12"/>
  <c r="F1060" i="8"/>
  <c r="F455" i="7"/>
  <c r="M235" i="12"/>
  <c r="F290" i="12"/>
  <c r="B1210" i="6"/>
  <c r="D1210" i="6" s="1"/>
  <c r="K1011" i="7"/>
  <c r="F125" i="7"/>
  <c r="D648" i="6"/>
  <c r="B649" i="6" s="1"/>
  <c r="C599" i="6"/>
  <c r="B600" i="6" s="1"/>
  <c r="D600" i="6" s="1"/>
  <c r="D599" i="6"/>
  <c r="F364" i="6"/>
  <c r="G364" i="6"/>
  <c r="C929" i="6"/>
  <c r="D929" i="6"/>
  <c r="C2911" i="6"/>
  <c r="B2912" i="6" s="1"/>
  <c r="D2912" i="6" s="1"/>
  <c r="N785" i="8"/>
  <c r="I786" i="8" s="1"/>
  <c r="D1256" i="6"/>
  <c r="B1257" i="6" s="1"/>
  <c r="B364" i="6"/>
  <c r="C364" i="6" s="1"/>
  <c r="I955" i="7"/>
  <c r="F955" i="7"/>
  <c r="E955" i="7"/>
  <c r="G955" i="7" s="1"/>
  <c r="J955" i="7"/>
  <c r="N125" i="8"/>
  <c r="I126" i="8" s="1"/>
  <c r="J126" i="8" s="1"/>
  <c r="N400" i="7"/>
  <c r="I401" i="7" s="1"/>
  <c r="G620" i="8"/>
  <c r="B621" i="8" s="1"/>
  <c r="F202" i="11"/>
  <c r="F180" i="7"/>
  <c r="G202" i="11"/>
  <c r="F840" i="7"/>
  <c r="F551" i="6"/>
  <c r="E552" i="6" s="1"/>
  <c r="G552" i="6" s="1"/>
  <c r="N565" i="8"/>
  <c r="F510" i="7"/>
  <c r="G1257" i="6"/>
  <c r="E1258" i="6" s="1"/>
  <c r="F1258" i="6" s="1"/>
  <c r="D271" i="6"/>
  <c r="B272" i="6" s="1"/>
  <c r="C1124" i="7"/>
  <c r="D1124" i="7" s="1"/>
  <c r="H1011" i="7"/>
  <c r="D412" i="6"/>
  <c r="P303" i="11"/>
  <c r="O303" i="11"/>
  <c r="N303" i="11"/>
  <c r="K304" i="11" s="1"/>
  <c r="L304" i="11" s="1"/>
  <c r="M304" i="11"/>
  <c r="Q304" i="11" s="1"/>
  <c r="AS251" i="11"/>
  <c r="AX251" i="11" s="1"/>
  <c r="AQ251" i="11"/>
  <c r="AW251" i="11" s="1"/>
  <c r="AU251" i="11"/>
  <c r="AY251" i="11" s="1"/>
  <c r="BD251" i="11" s="1"/>
  <c r="AR251" i="11"/>
  <c r="AV251" i="11"/>
  <c r="AT251" i="11"/>
  <c r="E365" i="6"/>
  <c r="F365" i="6" s="1"/>
  <c r="E1445" i="6"/>
  <c r="F1445" i="6" s="1"/>
  <c r="G841" i="8"/>
  <c r="E412" i="6"/>
  <c r="G412" i="6" s="1"/>
  <c r="G1493" i="6"/>
  <c r="B885" i="6"/>
  <c r="C885" i="6" s="1"/>
  <c r="L13" i="10"/>
  <c r="H895" i="8"/>
  <c r="D895" i="8"/>
  <c r="R10" i="9"/>
  <c r="S10" i="9"/>
  <c r="F10" i="9" s="1"/>
  <c r="E10" i="9"/>
  <c r="C676" i="7"/>
  <c r="D676" i="7" s="1"/>
  <c r="H730" i="7"/>
  <c r="E730" i="7"/>
  <c r="E345" i="7"/>
  <c r="G345" i="7" s="1"/>
  <c r="H345" i="7"/>
  <c r="B236" i="7"/>
  <c r="I126" i="7"/>
  <c r="H565" i="7"/>
  <c r="D565" i="7"/>
  <c r="C1351" i="6"/>
  <c r="E565" i="7"/>
  <c r="E224" i="6"/>
  <c r="G224" i="6" s="1"/>
  <c r="F224" i="6"/>
  <c r="O1060" i="8"/>
  <c r="L1060" i="8"/>
  <c r="O180" i="8"/>
  <c r="L180" i="8"/>
  <c r="O345" i="8"/>
  <c r="L345" i="8"/>
  <c r="O785" i="7"/>
  <c r="L785" i="7"/>
  <c r="K1060" i="8"/>
  <c r="E318" i="6"/>
  <c r="G318" i="6" s="1"/>
  <c r="E128" i="6"/>
  <c r="G128" i="6" s="1"/>
  <c r="D841" i="8"/>
  <c r="F841" i="8" s="1"/>
  <c r="H730" i="8"/>
  <c r="E730" i="8"/>
  <c r="B511" i="7"/>
  <c r="B401" i="8"/>
  <c r="M400" i="7"/>
  <c r="D1494" i="6"/>
  <c r="B693" i="6"/>
  <c r="D693" i="6" s="1"/>
  <c r="G180" i="7"/>
  <c r="D1398" i="6"/>
  <c r="B1399" i="6" s="1"/>
  <c r="C1399" i="6" s="1"/>
  <c r="D1022" i="6"/>
  <c r="B1023" i="6" s="1"/>
  <c r="C1023" i="6" s="1"/>
  <c r="E692" i="6"/>
  <c r="G692" i="6" s="1"/>
  <c r="C553" i="6"/>
  <c r="G785" i="8"/>
  <c r="O620" i="8"/>
  <c r="L620" i="8"/>
  <c r="G646" i="6"/>
  <c r="B505" i="6"/>
  <c r="C505" i="6" s="1"/>
  <c r="O895" i="7"/>
  <c r="L895" i="7"/>
  <c r="B236" i="12"/>
  <c r="C236" i="12" s="1"/>
  <c r="H510" i="8"/>
  <c r="E510" i="8"/>
  <c r="O290" i="7"/>
  <c r="L290" i="7"/>
  <c r="H841" i="8"/>
  <c r="C1070" i="6"/>
  <c r="K895" i="7"/>
  <c r="H1005" i="8"/>
  <c r="D1005" i="8"/>
  <c r="F1005" i="8" s="1"/>
  <c r="D129" i="6"/>
  <c r="F620" i="8"/>
  <c r="O180" i="12"/>
  <c r="K180" i="12"/>
  <c r="M180" i="12" s="1"/>
  <c r="B976" i="6"/>
  <c r="C976" i="6" s="1"/>
  <c r="G1116" i="6"/>
  <c r="C834" i="6"/>
  <c r="H675" i="8"/>
  <c r="E675" i="8"/>
  <c r="G675" i="8" s="1"/>
  <c r="C1061" i="8"/>
  <c r="C176" i="6"/>
  <c r="N235" i="12"/>
  <c r="E895" i="8"/>
  <c r="G895" i="8" s="1"/>
  <c r="E647" i="6"/>
  <c r="F647" i="6" s="1"/>
  <c r="H290" i="7"/>
  <c r="E290" i="7"/>
  <c r="G290" i="7" s="1"/>
  <c r="C1115" i="6"/>
  <c r="D730" i="7"/>
  <c r="G505" i="6"/>
  <c r="E506" i="6" s="1"/>
  <c r="F506" i="6" s="1"/>
  <c r="J676" i="7"/>
  <c r="D345" i="7"/>
  <c r="B739" i="6"/>
  <c r="D739" i="6" s="1"/>
  <c r="G271" i="6"/>
  <c r="E272" i="6" s="1"/>
  <c r="F272" i="6" s="1"/>
  <c r="O235" i="8"/>
  <c r="L235" i="8"/>
  <c r="I566" i="8"/>
  <c r="E836" i="6"/>
  <c r="G836" i="6" s="1"/>
  <c r="L180" i="7"/>
  <c r="N180" i="7" s="1"/>
  <c r="O180" i="7"/>
  <c r="K180" i="8"/>
  <c r="K345" i="8"/>
  <c r="D19" i="9"/>
  <c r="C19" i="9"/>
  <c r="K20" i="9" s="1"/>
  <c r="J18" i="9"/>
  <c r="K785" i="7"/>
  <c r="H620" i="7"/>
  <c r="D620" i="7"/>
  <c r="B126" i="12"/>
  <c r="C126" i="12" s="1"/>
  <c r="B1447" i="6"/>
  <c r="C1447" i="6" s="1"/>
  <c r="E620" i="7"/>
  <c r="B930" i="6"/>
  <c r="D930" i="6" s="1"/>
  <c r="B223" i="6"/>
  <c r="D223" i="6" s="1"/>
  <c r="C223" i="6"/>
  <c r="E786" i="6"/>
  <c r="G786" i="6" s="1"/>
  <c r="F786" i="6"/>
  <c r="G1445" i="6"/>
  <c r="G785" i="7"/>
  <c r="B788" i="6"/>
  <c r="C788" i="6" s="1"/>
  <c r="O510" i="8"/>
  <c r="L510" i="8"/>
  <c r="F2910" i="6"/>
  <c r="G290" i="8"/>
  <c r="B319" i="6"/>
  <c r="D319" i="6" s="1"/>
  <c r="H302" i="11"/>
  <c r="G302" i="11"/>
  <c r="F302" i="11"/>
  <c r="C303" i="11" s="1"/>
  <c r="K510" i="8"/>
  <c r="H202" i="11"/>
  <c r="I202" i="11" s="1"/>
  <c r="E599" i="6"/>
  <c r="G599" i="6" s="1"/>
  <c r="E739" i="6"/>
  <c r="G739" i="6" s="1"/>
  <c r="E883" i="6"/>
  <c r="G883" i="6" s="1"/>
  <c r="I896" i="8"/>
  <c r="M785" i="8"/>
  <c r="L290" i="12"/>
  <c r="N290" i="12" s="1"/>
  <c r="O290" i="12"/>
  <c r="G1353" i="6"/>
  <c r="E1354" i="6" s="1"/>
  <c r="F1354" i="6" s="1"/>
  <c r="N840" i="7"/>
  <c r="AL202" i="11"/>
  <c r="AN202" i="11" s="1"/>
  <c r="AO202" i="11" s="1"/>
  <c r="F1068" i="6"/>
  <c r="B346" i="8"/>
  <c r="C346" i="8" s="1"/>
  <c r="E346" i="8" s="1"/>
  <c r="C1180" i="7"/>
  <c r="D1180" i="7" s="1"/>
  <c r="F400" i="8"/>
  <c r="O840" i="8"/>
  <c r="L840" i="8"/>
  <c r="M565" i="8"/>
  <c r="D510" i="8"/>
  <c r="K290" i="7"/>
  <c r="E1162" i="6"/>
  <c r="G1162" i="6" s="1"/>
  <c r="G975" i="6"/>
  <c r="E976" i="6" s="1"/>
  <c r="F976" i="6" s="1"/>
  <c r="AM202" i="11"/>
  <c r="G895" i="7"/>
  <c r="O510" i="7"/>
  <c r="L510" i="7"/>
  <c r="N510" i="7" s="1"/>
  <c r="B1067" i="7"/>
  <c r="C1067" i="7"/>
  <c r="D1067" i="7" s="1"/>
  <c r="D251" i="11"/>
  <c r="H180" i="8"/>
  <c r="E180" i="8"/>
  <c r="G180" i="8" s="1"/>
  <c r="O730" i="8"/>
  <c r="L730" i="8"/>
  <c r="N730" i="8" s="1"/>
  <c r="G125" i="7"/>
  <c r="O235" i="7"/>
  <c r="L235" i="7"/>
  <c r="N235" i="7" s="1"/>
  <c r="M125" i="7"/>
  <c r="G1011" i="7"/>
  <c r="F235" i="7"/>
  <c r="C1162" i="6"/>
  <c r="L290" i="8"/>
  <c r="N290" i="8" s="1"/>
  <c r="O290" i="8"/>
  <c r="O675" i="8"/>
  <c r="L675" i="8"/>
  <c r="N675" i="8" s="1"/>
  <c r="K235" i="8"/>
  <c r="D884" i="6"/>
  <c r="E1401" i="6"/>
  <c r="F1401" i="6" s="1"/>
  <c r="G177" i="6"/>
  <c r="E178" i="6" s="1"/>
  <c r="F178" i="6" s="1"/>
  <c r="O345" i="7"/>
  <c r="L345" i="7"/>
  <c r="N345" i="7" s="1"/>
  <c r="AF250" i="11"/>
  <c r="J251" i="11" s="1"/>
  <c r="C251" i="11"/>
  <c r="D730" i="8"/>
  <c r="F730" i="8" s="1"/>
  <c r="H455" i="8"/>
  <c r="E455" i="8"/>
  <c r="G455" i="8" s="1"/>
  <c r="G840" i="7"/>
  <c r="H400" i="7"/>
  <c r="E400" i="7"/>
  <c r="F928" i="6"/>
  <c r="I456" i="7"/>
  <c r="U303" i="11"/>
  <c r="Y303" i="11" s="1"/>
  <c r="D788" i="6"/>
  <c r="E1305" i="6"/>
  <c r="G1305" i="6" s="1"/>
  <c r="F1305" i="6"/>
  <c r="D400" i="7"/>
  <c r="F400" i="7" s="1"/>
  <c r="F1209" i="6"/>
  <c r="E1116" i="6"/>
  <c r="F1116" i="6" s="1"/>
  <c r="B458" i="6"/>
  <c r="D458" i="6" s="1"/>
  <c r="O620" i="7"/>
  <c r="L620" i="7"/>
  <c r="N620" i="7" s="1"/>
  <c r="H565" i="8"/>
  <c r="E565" i="8"/>
  <c r="G565" i="8" s="1"/>
  <c r="K620" i="8"/>
  <c r="O1005" i="8"/>
  <c r="L1005" i="8"/>
  <c r="N1005" i="8" s="1"/>
  <c r="O950" i="8"/>
  <c r="L950" i="8"/>
  <c r="N950" i="8" s="1"/>
  <c r="G1022" i="6"/>
  <c r="E1023" i="6" s="1"/>
  <c r="F1023" i="6" s="1"/>
  <c r="L455" i="8"/>
  <c r="O455" i="8"/>
  <c r="O565" i="7"/>
  <c r="L565" i="7"/>
  <c r="N565" i="7" s="1"/>
  <c r="K455" i="8"/>
  <c r="K840" i="8"/>
  <c r="E14" i="10"/>
  <c r="C14" i="10"/>
  <c r="D14" i="10"/>
  <c r="BS202" i="11"/>
  <c r="G455" i="7"/>
  <c r="L730" i="7"/>
  <c r="N730" i="7" s="1"/>
  <c r="O730" i="7"/>
  <c r="M455" i="7"/>
  <c r="E1493" i="6"/>
  <c r="F1493" i="6" s="1"/>
  <c r="E460" i="6"/>
  <c r="F460" i="6" s="1"/>
  <c r="M565" i="7"/>
  <c r="H235" i="8"/>
  <c r="E235" i="8"/>
  <c r="G235" i="8" s="1"/>
  <c r="O125" i="12"/>
  <c r="L125" i="12"/>
  <c r="N125" i="12" s="1"/>
  <c r="C1304" i="6"/>
  <c r="B951" i="8"/>
  <c r="C951" i="8" s="1"/>
  <c r="E951" i="8" s="1"/>
  <c r="I401" i="8"/>
  <c r="J401" i="8" s="1"/>
  <c r="L401" i="8" s="1"/>
  <c r="E180" i="12"/>
  <c r="G180" i="12" s="1"/>
  <c r="H180" i="12"/>
  <c r="G290" i="12"/>
  <c r="E125" i="8"/>
  <c r="G125" i="8" s="1"/>
  <c r="H125" i="8"/>
  <c r="D649" i="6" l="1"/>
  <c r="C649" i="6"/>
  <c r="M730" i="7"/>
  <c r="G1401" i="6"/>
  <c r="N895" i="7"/>
  <c r="BR202" i="11"/>
  <c r="BQ202" i="11"/>
  <c r="M730" i="8"/>
  <c r="G1005" i="8"/>
  <c r="J896" i="8"/>
  <c r="L896" i="8" s="1"/>
  <c r="F565" i="7"/>
  <c r="C1210" i="6"/>
  <c r="B1211" i="6" s="1"/>
  <c r="D1211" i="6" s="1"/>
  <c r="I1124" i="7"/>
  <c r="F1124" i="7"/>
  <c r="J1124" i="7"/>
  <c r="E1124" i="7"/>
  <c r="G1124" i="7" s="1"/>
  <c r="C1257" i="6"/>
  <c r="D1257" i="6"/>
  <c r="C272" i="6"/>
  <c r="D272" i="6"/>
  <c r="B413" i="6"/>
  <c r="C413" i="6" s="1"/>
  <c r="D413" i="6"/>
  <c r="G365" i="6"/>
  <c r="E366" i="6" s="1"/>
  <c r="B1012" i="7"/>
  <c r="C1012" i="7" s="1"/>
  <c r="D1012" i="7" s="1"/>
  <c r="M290" i="7"/>
  <c r="F180" i="8"/>
  <c r="F883" i="6"/>
  <c r="M180" i="7"/>
  <c r="J181" i="7" s="1"/>
  <c r="F620" i="7"/>
  <c r="G1258" i="6"/>
  <c r="E1259" i="6" s="1"/>
  <c r="G1259" i="6" s="1"/>
  <c r="N180" i="12"/>
  <c r="D364" i="6"/>
  <c r="B365" i="6" s="1"/>
  <c r="N510" i="8"/>
  <c r="I511" i="8" s="1"/>
  <c r="F730" i="7"/>
  <c r="N455" i="8"/>
  <c r="I456" i="8" s="1"/>
  <c r="F1162" i="6"/>
  <c r="C2912" i="6"/>
  <c r="B2913" i="6" s="1"/>
  <c r="M620" i="7"/>
  <c r="J621" i="7" s="1"/>
  <c r="O621" i="7" s="1"/>
  <c r="M510" i="7"/>
  <c r="M235" i="8"/>
  <c r="M345" i="8"/>
  <c r="F552" i="6"/>
  <c r="E553" i="6" s="1"/>
  <c r="G553" i="6" s="1"/>
  <c r="N620" i="8"/>
  <c r="I621" i="8" s="1"/>
  <c r="D505" i="6"/>
  <c r="D506" i="6" s="1"/>
  <c r="F836" i="6"/>
  <c r="K955" i="7"/>
  <c r="H955" i="7"/>
  <c r="F235" i="8"/>
  <c r="C236" i="8" s="1"/>
  <c r="D236" i="8" s="1"/>
  <c r="N1060" i="8"/>
  <c r="M785" i="7"/>
  <c r="M345" i="7"/>
  <c r="F510" i="8"/>
  <c r="C511" i="7"/>
  <c r="D511" i="7" s="1"/>
  <c r="N840" i="8"/>
  <c r="I841" i="8" s="1"/>
  <c r="F251" i="11"/>
  <c r="F599" i="6"/>
  <c r="E600" i="6" s="1"/>
  <c r="G600" i="6" s="1"/>
  <c r="M180" i="8"/>
  <c r="O126" i="8"/>
  <c r="L126" i="8"/>
  <c r="K126" i="8"/>
  <c r="M126" i="8" s="1"/>
  <c r="B1448" i="6"/>
  <c r="C1448" i="6"/>
  <c r="E273" i="6"/>
  <c r="F273" i="6" s="1"/>
  <c r="B273" i="6"/>
  <c r="D273" i="6" s="1"/>
  <c r="B789" i="6"/>
  <c r="D789" i="6" s="1"/>
  <c r="C789" i="6"/>
  <c r="P304" i="11"/>
  <c r="O304" i="11"/>
  <c r="N304" i="11"/>
  <c r="K305" i="11" s="1"/>
  <c r="L202" i="11"/>
  <c r="K202" i="11"/>
  <c r="Q202" i="11" s="1"/>
  <c r="M202" i="11"/>
  <c r="R202" i="11" s="1"/>
  <c r="O202" i="11"/>
  <c r="S202" i="11" s="1"/>
  <c r="N202" i="11"/>
  <c r="P202" i="11"/>
  <c r="E236" i="12"/>
  <c r="H236" i="12"/>
  <c r="D236" i="12"/>
  <c r="E1446" i="6"/>
  <c r="G1446" i="6" s="1"/>
  <c r="AR202" i="11"/>
  <c r="AQ202" i="11"/>
  <c r="AW202" i="11" s="1"/>
  <c r="E1024" i="6"/>
  <c r="F1024" i="6" s="1"/>
  <c r="G1306" i="6"/>
  <c r="E1210" i="6"/>
  <c r="G1210" i="6" s="1"/>
  <c r="I731" i="8"/>
  <c r="J731" i="8" s="1"/>
  <c r="J1180" i="7"/>
  <c r="I1180" i="7"/>
  <c r="F1180" i="7"/>
  <c r="K1180" i="7" s="1"/>
  <c r="E1180" i="7"/>
  <c r="H1180" i="7"/>
  <c r="G1180" i="7"/>
  <c r="J1067" i="7"/>
  <c r="I1067" i="7"/>
  <c r="F1067" i="7"/>
  <c r="E1067" i="7"/>
  <c r="H1067" i="7" s="1"/>
  <c r="B1068" i="7" s="1"/>
  <c r="I676" i="8"/>
  <c r="E1061" i="8"/>
  <c r="H1061" i="8"/>
  <c r="C693" i="6"/>
  <c r="F128" i="6"/>
  <c r="B896" i="8"/>
  <c r="F412" i="6"/>
  <c r="B181" i="12"/>
  <c r="B456" i="7"/>
  <c r="C456" i="7" s="1"/>
  <c r="E456" i="7"/>
  <c r="E1306" i="6"/>
  <c r="F1306" i="6" s="1"/>
  <c r="J566" i="8"/>
  <c r="K566" i="8" s="1"/>
  <c r="B1116" i="6"/>
  <c r="D1116" i="6" s="1"/>
  <c r="I1006" i="8"/>
  <c r="I291" i="8"/>
  <c r="C319" i="6"/>
  <c r="G510" i="8"/>
  <c r="F318" i="6"/>
  <c r="B650" i="6"/>
  <c r="C650" i="6" s="1"/>
  <c r="B676" i="8"/>
  <c r="G565" i="7"/>
  <c r="X303" i="11"/>
  <c r="W303" i="11"/>
  <c r="V303" i="11"/>
  <c r="S304" i="11" s="1"/>
  <c r="T304" i="11" s="1"/>
  <c r="C930" i="6"/>
  <c r="C621" i="8"/>
  <c r="D621" i="8" s="1"/>
  <c r="N785" i="7"/>
  <c r="F739" i="6"/>
  <c r="G251" i="11"/>
  <c r="B566" i="8"/>
  <c r="I346" i="7"/>
  <c r="B786" i="8"/>
  <c r="C786" i="8" s="1"/>
  <c r="E786" i="8" s="1"/>
  <c r="N345" i="8"/>
  <c r="AZ251" i="11"/>
  <c r="E929" i="6"/>
  <c r="G929" i="6" s="1"/>
  <c r="F929" i="6"/>
  <c r="I511" i="7"/>
  <c r="I896" i="7"/>
  <c r="B554" i="6"/>
  <c r="D554" i="6" s="1"/>
  <c r="C1211" i="6"/>
  <c r="F125" i="8"/>
  <c r="F565" i="8"/>
  <c r="M1005" i="8"/>
  <c r="I621" i="7"/>
  <c r="I236" i="7"/>
  <c r="H951" i="8"/>
  <c r="D951" i="8"/>
  <c r="F951" i="8" s="1"/>
  <c r="M235" i="7"/>
  <c r="I566" i="7"/>
  <c r="J566" i="7" s="1"/>
  <c r="AU202" i="11"/>
  <c r="AY202" i="11" s="1"/>
  <c r="BD202" i="11" s="1"/>
  <c r="AV202" i="11"/>
  <c r="AT202" i="11"/>
  <c r="AS202" i="11"/>
  <c r="AX202" i="11" s="1"/>
  <c r="O676" i="7"/>
  <c r="L676" i="7"/>
  <c r="B506" i="6"/>
  <c r="C506" i="6" s="1"/>
  <c r="D1023" i="6"/>
  <c r="B1024" i="6" s="1"/>
  <c r="C1024" i="6" s="1"/>
  <c r="G730" i="8"/>
  <c r="D1447" i="6"/>
  <c r="F895" i="8"/>
  <c r="M950" i="8"/>
  <c r="L11" i="9"/>
  <c r="H10" i="9"/>
  <c r="I10" i="9" s="1"/>
  <c r="O11" i="9"/>
  <c r="M290" i="12"/>
  <c r="M840" i="8"/>
  <c r="G178" i="6"/>
  <c r="G730" i="7"/>
  <c r="J456" i="7"/>
  <c r="E1402" i="6"/>
  <c r="F1402" i="6" s="1"/>
  <c r="E1069" i="6"/>
  <c r="G1069" i="6" s="1"/>
  <c r="F1069" i="6"/>
  <c r="I181" i="7"/>
  <c r="F692" i="6"/>
  <c r="B841" i="7"/>
  <c r="C841" i="7" s="1"/>
  <c r="E841" i="7"/>
  <c r="G976" i="6"/>
  <c r="E977" i="6" s="1"/>
  <c r="F977" i="6" s="1"/>
  <c r="I841" i="7"/>
  <c r="J841" i="7" s="1"/>
  <c r="M510" i="8"/>
  <c r="K676" i="7"/>
  <c r="M895" i="7"/>
  <c r="G647" i="6"/>
  <c r="E648" i="6" s="1"/>
  <c r="F648" i="6" s="1"/>
  <c r="B1352" i="6"/>
  <c r="D1352" i="6" s="1"/>
  <c r="BT202" i="11"/>
  <c r="BU202" i="11" s="1"/>
  <c r="B1495" i="6"/>
  <c r="C1495" i="6" s="1"/>
  <c r="B1305" i="6"/>
  <c r="D1305" i="6" s="1"/>
  <c r="C1305" i="6"/>
  <c r="I181" i="12"/>
  <c r="J181" i="12" s="1"/>
  <c r="H126" i="12"/>
  <c r="D126" i="12"/>
  <c r="B177" i="6"/>
  <c r="D177" i="6" s="1"/>
  <c r="B1071" i="6"/>
  <c r="D1071" i="6" s="1"/>
  <c r="B291" i="12"/>
  <c r="C291" i="12" s="1"/>
  <c r="E787" i="6"/>
  <c r="G787" i="6" s="1"/>
  <c r="I951" i="8"/>
  <c r="B181" i="8"/>
  <c r="B842" i="8"/>
  <c r="C842" i="8" s="1"/>
  <c r="E884" i="6"/>
  <c r="G884" i="6" s="1"/>
  <c r="F884" i="6"/>
  <c r="G225" i="6"/>
  <c r="D976" i="6"/>
  <c r="M1060" i="8"/>
  <c r="E251" i="11"/>
  <c r="F675" i="8"/>
  <c r="C739" i="6"/>
  <c r="B835" i="6"/>
  <c r="D835" i="6" s="1"/>
  <c r="C835" i="6"/>
  <c r="J401" i="7"/>
  <c r="K401" i="7" s="1"/>
  <c r="B346" i="7"/>
  <c r="C600" i="6"/>
  <c r="D346" i="8"/>
  <c r="F346" i="8" s="1"/>
  <c r="H346" i="8"/>
  <c r="B1006" i="8"/>
  <c r="C1006" i="8" s="1"/>
  <c r="H1006" i="8" s="1"/>
  <c r="J126" i="7"/>
  <c r="BA251" i="11"/>
  <c r="BC251" i="11"/>
  <c r="BB251" i="11" s="1"/>
  <c r="BM251" i="11" s="1"/>
  <c r="E1494" i="6"/>
  <c r="F1494" i="6" s="1"/>
  <c r="G400" i="7"/>
  <c r="N180" i="8"/>
  <c r="M455" i="8"/>
  <c r="B896" i="7"/>
  <c r="C896" i="7" s="1"/>
  <c r="E896" i="7" s="1"/>
  <c r="F345" i="7"/>
  <c r="F180" i="12"/>
  <c r="B130" i="6"/>
  <c r="C130" i="6" s="1"/>
  <c r="D885" i="6"/>
  <c r="I731" i="7"/>
  <c r="J731" i="7" s="1"/>
  <c r="C458" i="6"/>
  <c r="G1354" i="6"/>
  <c r="D303" i="11"/>
  <c r="E303" i="11" s="1"/>
  <c r="I303" i="11" s="1"/>
  <c r="G506" i="6"/>
  <c r="E507" i="6" s="1"/>
  <c r="F507" i="6" s="1"/>
  <c r="M125" i="12"/>
  <c r="G460" i="6"/>
  <c r="E461" i="6" s="1"/>
  <c r="F461" i="6" s="1"/>
  <c r="D1399" i="6"/>
  <c r="F290" i="7"/>
  <c r="M290" i="8"/>
  <c r="B126" i="8"/>
  <c r="I291" i="12"/>
  <c r="M13" i="10"/>
  <c r="I13" i="10" s="1"/>
  <c r="N13" i="10"/>
  <c r="H13" i="10" s="1"/>
  <c r="G1023" i="6"/>
  <c r="B456" i="8"/>
  <c r="J786" i="8"/>
  <c r="K786" i="8" s="1"/>
  <c r="E126" i="12"/>
  <c r="G126" i="12" s="1"/>
  <c r="I1061" i="8"/>
  <c r="I126" i="12"/>
  <c r="D1061" i="8"/>
  <c r="F1061" i="8" s="1"/>
  <c r="N290" i="7"/>
  <c r="J13" i="10"/>
  <c r="K896" i="8"/>
  <c r="M896" i="8" s="1"/>
  <c r="B224" i="6"/>
  <c r="C224" i="6" s="1"/>
  <c r="N235" i="8"/>
  <c r="E225" i="6"/>
  <c r="F225" i="6"/>
  <c r="F455" i="8"/>
  <c r="B291" i="7"/>
  <c r="O401" i="8"/>
  <c r="K401" i="8"/>
  <c r="M401" i="8" s="1"/>
  <c r="B1163" i="6"/>
  <c r="D1163" i="6" s="1"/>
  <c r="B291" i="8"/>
  <c r="C291" i="8" s="1"/>
  <c r="E291" i="8"/>
  <c r="G272" i="6"/>
  <c r="E676" i="7"/>
  <c r="G676" i="7" s="1"/>
  <c r="H676" i="7"/>
  <c r="B236" i="8"/>
  <c r="C401" i="8"/>
  <c r="E2911" i="6"/>
  <c r="G2911" i="6" s="1"/>
  <c r="J19" i="9"/>
  <c r="D20" i="9"/>
  <c r="C20" i="9"/>
  <c r="M620" i="8"/>
  <c r="C236" i="7"/>
  <c r="D236" i="7" s="1"/>
  <c r="G620" i="7"/>
  <c r="F14" i="10"/>
  <c r="E1117" i="6"/>
  <c r="F1117" i="6" s="1"/>
  <c r="B126" i="7"/>
  <c r="C126" i="7" s="1"/>
  <c r="E126" i="7"/>
  <c r="B786" i="7"/>
  <c r="C786" i="7" s="1"/>
  <c r="E837" i="6"/>
  <c r="F837" i="6" s="1"/>
  <c r="I236" i="12"/>
  <c r="J236" i="12" s="1"/>
  <c r="L236" i="12" s="1"/>
  <c r="B181" i="7"/>
  <c r="C181" i="7" s="1"/>
  <c r="E181" i="7"/>
  <c r="M675" i="8"/>
  <c r="L181" i="7" l="1"/>
  <c r="O181" i="7"/>
  <c r="K1124" i="7"/>
  <c r="G346" i="8"/>
  <c r="B347" i="8" s="1"/>
  <c r="C347" i="8" s="1"/>
  <c r="H511" i="7"/>
  <c r="G837" i="6"/>
  <c r="E838" i="6" s="1"/>
  <c r="G1494" i="6"/>
  <c r="O896" i="8"/>
  <c r="F236" i="12"/>
  <c r="E511" i="7"/>
  <c r="G511" i="7" s="1"/>
  <c r="B512" i="7" s="1"/>
  <c r="B1258" i="6"/>
  <c r="D1258" i="6" s="1"/>
  <c r="D365" i="6"/>
  <c r="C365" i="6"/>
  <c r="B366" i="6" s="1"/>
  <c r="D366" i="6" s="1"/>
  <c r="F366" i="6"/>
  <c r="E367" i="6" s="1"/>
  <c r="G367" i="6" s="1"/>
  <c r="G366" i="6"/>
  <c r="C2913" i="6"/>
  <c r="B2914" i="6" s="1"/>
  <c r="C2914" i="6" s="1"/>
  <c r="D2913" i="6"/>
  <c r="K566" i="7"/>
  <c r="L566" i="7"/>
  <c r="N566" i="7" s="1"/>
  <c r="O566" i="7"/>
  <c r="C1116" i="6"/>
  <c r="B1117" i="6" s="1"/>
  <c r="F787" i="6"/>
  <c r="E788" i="6" s="1"/>
  <c r="G788" i="6" s="1"/>
  <c r="C181" i="8"/>
  <c r="H181" i="8" s="1"/>
  <c r="F553" i="6"/>
  <c r="E554" i="6" s="1"/>
  <c r="F554" i="6" s="1"/>
  <c r="H236" i="8"/>
  <c r="J511" i="7"/>
  <c r="K511" i="7" s="1"/>
  <c r="N401" i="8"/>
  <c r="B956" i="7"/>
  <c r="C956" i="7"/>
  <c r="D956" i="7" s="1"/>
  <c r="G1402" i="6"/>
  <c r="E1403" i="6" s="1"/>
  <c r="G1403" i="6" s="1"/>
  <c r="E1163" i="6"/>
  <c r="G1163" i="6" s="1"/>
  <c r="J346" i="7"/>
  <c r="H1124" i="7"/>
  <c r="G1067" i="7"/>
  <c r="C1068" i="7" s="1"/>
  <c r="D1068" i="7" s="1"/>
  <c r="B414" i="6"/>
  <c r="C414" i="6" s="1"/>
  <c r="G951" i="8"/>
  <c r="B952" i="8" s="1"/>
  <c r="C952" i="8" s="1"/>
  <c r="C1352" i="6"/>
  <c r="N676" i="7"/>
  <c r="BJ251" i="11"/>
  <c r="BI251" i="11"/>
  <c r="BH251" i="11"/>
  <c r="BK251" i="11"/>
  <c r="BG251" i="11"/>
  <c r="BE251" i="11"/>
  <c r="BF251" i="11"/>
  <c r="E1307" i="6"/>
  <c r="G1307" i="6" s="1"/>
  <c r="F1307" i="6"/>
  <c r="E842" i="8"/>
  <c r="D842" i="8"/>
  <c r="F842" i="8" s="1"/>
  <c r="H842" i="8"/>
  <c r="L731" i="8"/>
  <c r="K731" i="8"/>
  <c r="O731" i="8"/>
  <c r="K731" i="7"/>
  <c r="L731" i="7"/>
  <c r="N731" i="7" s="1"/>
  <c r="O731" i="7"/>
  <c r="L181" i="12"/>
  <c r="K181" i="12"/>
  <c r="O181" i="12"/>
  <c r="BW202" i="11"/>
  <c r="CC202" i="11" s="1"/>
  <c r="BX202" i="11"/>
  <c r="CA202" i="11"/>
  <c r="CE202" i="11" s="1"/>
  <c r="CB202" i="11"/>
  <c r="BY202" i="11"/>
  <c r="CD202" i="11" s="1"/>
  <c r="BZ202" i="11"/>
  <c r="B507" i="6"/>
  <c r="D507" i="6" s="1"/>
  <c r="C507" i="6"/>
  <c r="O346" i="7"/>
  <c r="K346" i="7"/>
  <c r="L346" i="7"/>
  <c r="N346" i="7" s="1"/>
  <c r="E1495" i="6"/>
  <c r="F1495" i="6" s="1"/>
  <c r="L511" i="7"/>
  <c r="J621" i="8"/>
  <c r="K621" i="8" s="1"/>
  <c r="I236" i="8"/>
  <c r="J236" i="8" s="1"/>
  <c r="L236" i="8"/>
  <c r="H291" i="8"/>
  <c r="D291" i="8"/>
  <c r="F291" i="8" s="1"/>
  <c r="F600" i="6"/>
  <c r="J1012" i="7"/>
  <c r="F1012" i="7"/>
  <c r="I1012" i="7"/>
  <c r="E1012" i="7"/>
  <c r="G1012" i="7" s="1"/>
  <c r="E319" i="6"/>
  <c r="G319" i="6" s="1"/>
  <c r="F319" i="6"/>
  <c r="D21" i="9"/>
  <c r="C21" i="9"/>
  <c r="J20" i="9"/>
  <c r="C1163" i="6"/>
  <c r="B459" i="6"/>
  <c r="D459" i="6" s="1"/>
  <c r="C459" i="6"/>
  <c r="K621" i="7"/>
  <c r="BA202" i="11"/>
  <c r="BC202" i="11"/>
  <c r="B931" i="6"/>
  <c r="D931" i="6" s="1"/>
  <c r="H126" i="7"/>
  <c r="D126" i="7"/>
  <c r="F126" i="7" s="1"/>
  <c r="D291" i="12"/>
  <c r="H291" i="12"/>
  <c r="AZ202" i="11"/>
  <c r="E649" i="6"/>
  <c r="F649" i="6" s="1"/>
  <c r="M11" i="9"/>
  <c r="P11" i="9" s="1"/>
  <c r="S11" i="9" s="1"/>
  <c r="E11" i="9" s="1"/>
  <c r="N11" i="9"/>
  <c r="Q11" i="9" s="1"/>
  <c r="G11" i="9" s="1"/>
  <c r="G236" i="12"/>
  <c r="E129" i="6"/>
  <c r="G129" i="6" s="1"/>
  <c r="F129" i="6"/>
  <c r="H401" i="8"/>
  <c r="E401" i="8"/>
  <c r="J291" i="8"/>
  <c r="K291" i="8" s="1"/>
  <c r="B694" i="6"/>
  <c r="D694" i="6" s="1"/>
  <c r="F1210" i="6"/>
  <c r="N126" i="8"/>
  <c r="D401" i="8"/>
  <c r="F401" i="8" s="1"/>
  <c r="C896" i="8"/>
  <c r="J1061" i="8"/>
  <c r="C1071" i="6"/>
  <c r="J896" i="7"/>
  <c r="K896" i="7" s="1"/>
  <c r="D1448" i="6"/>
  <c r="D130" i="6"/>
  <c r="B131" i="6" s="1"/>
  <c r="C131" i="6" s="1"/>
  <c r="B886" i="6"/>
  <c r="C886" i="6" s="1"/>
  <c r="G1117" i="6"/>
  <c r="E1118" i="6" s="1"/>
  <c r="F1118" i="6" s="1"/>
  <c r="M676" i="7"/>
  <c r="B731" i="8"/>
  <c r="C731" i="8" s="1"/>
  <c r="B566" i="7"/>
  <c r="C566" i="7" s="1"/>
  <c r="E566" i="7"/>
  <c r="E413" i="6"/>
  <c r="G413" i="6" s="1"/>
  <c r="B1181" i="7"/>
  <c r="C1181" i="7" s="1"/>
  <c r="D1181" i="7" s="1"/>
  <c r="G507" i="6"/>
  <c r="E508" i="6" s="1"/>
  <c r="F508" i="6" s="1"/>
  <c r="G841" i="7"/>
  <c r="H621" i="8"/>
  <c r="E621" i="8"/>
  <c r="G621" i="8" s="1"/>
  <c r="G303" i="11"/>
  <c r="F303" i="11"/>
  <c r="C304" i="11" s="1"/>
  <c r="H303" i="11"/>
  <c r="H841" i="7"/>
  <c r="D841" i="7"/>
  <c r="F841" i="7" s="1"/>
  <c r="B127" i="12"/>
  <c r="B836" i="6"/>
  <c r="C836" i="6" s="1"/>
  <c r="J291" i="12"/>
  <c r="D1006" i="8"/>
  <c r="E885" i="6"/>
  <c r="G885" i="6" s="1"/>
  <c r="E693" i="6"/>
  <c r="G693" i="6" s="1"/>
  <c r="L621" i="7"/>
  <c r="B511" i="8"/>
  <c r="C511" i="8" s="1"/>
  <c r="E1355" i="6"/>
  <c r="F1355" i="6" s="1"/>
  <c r="C676" i="8"/>
  <c r="D676" i="8" s="1"/>
  <c r="J1006" i="8"/>
  <c r="B320" i="6"/>
  <c r="D320" i="6" s="1"/>
  <c r="K181" i="7"/>
  <c r="M181" i="7" s="1"/>
  <c r="K1067" i="7"/>
  <c r="D650" i="6"/>
  <c r="B790" i="6"/>
  <c r="D790" i="6" s="1"/>
  <c r="C790" i="6"/>
  <c r="F2911" i="6"/>
  <c r="B401" i="7"/>
  <c r="C401" i="7" s="1"/>
  <c r="E401" i="7"/>
  <c r="C566" i="8"/>
  <c r="D224" i="6"/>
  <c r="H181" i="7"/>
  <c r="D181" i="7"/>
  <c r="F181" i="7" s="1"/>
  <c r="G1024" i="6"/>
  <c r="D456" i="7"/>
  <c r="F456" i="7" s="1"/>
  <c r="H456" i="7"/>
  <c r="G648" i="6"/>
  <c r="F1259" i="6"/>
  <c r="N896" i="8"/>
  <c r="E236" i="8"/>
  <c r="G236" i="8" s="1"/>
  <c r="J236" i="7"/>
  <c r="K236" i="7" s="1"/>
  <c r="B1212" i="6"/>
  <c r="D1212" i="6" s="1"/>
  <c r="G1061" i="8"/>
  <c r="O236" i="12"/>
  <c r="K236" i="12"/>
  <c r="M236" i="12" s="1"/>
  <c r="C15" i="10"/>
  <c r="E15" i="10"/>
  <c r="D15" i="10"/>
  <c r="C456" i="8"/>
  <c r="C181" i="12"/>
  <c r="D181" i="12" s="1"/>
  <c r="B601" i="6"/>
  <c r="D601" i="6" s="1"/>
  <c r="C601" i="6"/>
  <c r="C177" i="6"/>
  <c r="J511" i="8"/>
  <c r="K511" i="8" s="1"/>
  <c r="D1024" i="6"/>
  <c r="B1025" i="6" s="1"/>
  <c r="C1025" i="6" s="1"/>
  <c r="U202" i="11"/>
  <c r="D786" i="7"/>
  <c r="H786" i="7"/>
  <c r="L401" i="7"/>
  <c r="N401" i="7" s="1"/>
  <c r="O401" i="7"/>
  <c r="I677" i="7"/>
  <c r="I402" i="8"/>
  <c r="J402" i="8" s="1"/>
  <c r="J456" i="8"/>
  <c r="B1306" i="6"/>
  <c r="C1306" i="6" s="1"/>
  <c r="I181" i="8"/>
  <c r="J181" i="8" s="1"/>
  <c r="L181" i="8"/>
  <c r="J841" i="8"/>
  <c r="K841" i="8" s="1"/>
  <c r="O566" i="8"/>
  <c r="L566" i="8"/>
  <c r="N566" i="8" s="1"/>
  <c r="L786" i="8"/>
  <c r="N786" i="8" s="1"/>
  <c r="O786" i="8"/>
  <c r="D1495" i="6"/>
  <c r="F1446" i="6"/>
  <c r="E1006" i="8"/>
  <c r="B740" i="6"/>
  <c r="D740" i="6" s="1"/>
  <c r="J676" i="8"/>
  <c r="E291" i="12"/>
  <c r="G291" i="12" s="1"/>
  <c r="K21" i="9"/>
  <c r="K22" i="9" s="1"/>
  <c r="E930" i="6"/>
  <c r="F930" i="6" s="1"/>
  <c r="I291" i="7"/>
  <c r="J291" i="7" s="1"/>
  <c r="L291" i="7" s="1"/>
  <c r="J951" i="8"/>
  <c r="C126" i="8"/>
  <c r="D126" i="8" s="1"/>
  <c r="U304" i="11"/>
  <c r="Y304" i="11" s="1"/>
  <c r="C291" i="7"/>
  <c r="H251" i="11"/>
  <c r="I251" i="11" s="1"/>
  <c r="E1070" i="6"/>
  <c r="F1070" i="6" s="1"/>
  <c r="B621" i="7"/>
  <c r="C621" i="7" s="1"/>
  <c r="E226" i="6"/>
  <c r="G226" i="6" s="1"/>
  <c r="F226" i="6"/>
  <c r="K13" i="10"/>
  <c r="C346" i="7"/>
  <c r="L126" i="7"/>
  <c r="O126" i="7"/>
  <c r="F126" i="12"/>
  <c r="O841" i="7"/>
  <c r="K841" i="7"/>
  <c r="L456" i="7"/>
  <c r="O456" i="7"/>
  <c r="I346" i="8"/>
  <c r="J346" i="8" s="1"/>
  <c r="L346" i="8"/>
  <c r="T202" i="11"/>
  <c r="E179" i="6"/>
  <c r="F179" i="6" s="1"/>
  <c r="E236" i="7"/>
  <c r="G236" i="7" s="1"/>
  <c r="H236" i="7"/>
  <c r="B677" i="7"/>
  <c r="G461" i="6"/>
  <c r="E462" i="6" s="1"/>
  <c r="F462" i="6" s="1"/>
  <c r="K126" i="7"/>
  <c r="L841" i="7"/>
  <c r="N841" i="7" s="1"/>
  <c r="K456" i="7"/>
  <c r="C554" i="6"/>
  <c r="E740" i="6"/>
  <c r="G740" i="6" s="1"/>
  <c r="B1400" i="6"/>
  <c r="C1400" i="6" s="1"/>
  <c r="C273" i="6"/>
  <c r="E786" i="7"/>
  <c r="G273" i="6"/>
  <c r="J126" i="12"/>
  <c r="K126" i="12" s="1"/>
  <c r="H896" i="7"/>
  <c r="D896" i="7"/>
  <c r="F896" i="7" s="1"/>
  <c r="B977" i="6"/>
  <c r="C977" i="6" s="1"/>
  <c r="G977" i="6"/>
  <c r="B731" i="7"/>
  <c r="C731" i="7" s="1"/>
  <c r="E731" i="7" s="1"/>
  <c r="H786" i="8"/>
  <c r="D786" i="8"/>
  <c r="F786" i="8" s="1"/>
  <c r="I786" i="7"/>
  <c r="J786" i="7" s="1"/>
  <c r="L305" i="11"/>
  <c r="M305" i="11" s="1"/>
  <c r="Q305" i="11" s="1"/>
  <c r="F676" i="7"/>
  <c r="F838" i="6" l="1"/>
  <c r="G838" i="6"/>
  <c r="F621" i="8"/>
  <c r="H1012" i="7"/>
  <c r="B1013" i="7" s="1"/>
  <c r="C366" i="6"/>
  <c r="F511" i="7"/>
  <c r="C512" i="7" s="1"/>
  <c r="D512" i="7" s="1"/>
  <c r="G126" i="7"/>
  <c r="G1070" i="6"/>
  <c r="E1071" i="6" s="1"/>
  <c r="F1071" i="6" s="1"/>
  <c r="C1258" i="6"/>
  <c r="M511" i="7"/>
  <c r="K1012" i="7"/>
  <c r="BB202" i="11"/>
  <c r="W202" i="11"/>
  <c r="N236" i="12"/>
  <c r="I237" i="12" s="1"/>
  <c r="J237" i="12" s="1"/>
  <c r="G896" i="7"/>
  <c r="B897" i="7" s="1"/>
  <c r="C897" i="7" s="1"/>
  <c r="D304" i="11"/>
  <c r="C1117" i="6"/>
  <c r="D1117" i="6"/>
  <c r="N126" i="7"/>
  <c r="N181" i="12"/>
  <c r="I182" i="12" s="1"/>
  <c r="E956" i="7"/>
  <c r="J956" i="7"/>
  <c r="I956" i="7"/>
  <c r="F956" i="7"/>
  <c r="K956" i="7" s="1"/>
  <c r="B1353" i="6"/>
  <c r="D1353" i="6" s="1"/>
  <c r="D181" i="8"/>
  <c r="M621" i="7"/>
  <c r="B1125" i="7"/>
  <c r="C1125" i="7"/>
  <c r="D1125" i="7" s="1"/>
  <c r="X202" i="11"/>
  <c r="V202" i="11"/>
  <c r="M566" i="7"/>
  <c r="R11" i="9"/>
  <c r="G786" i="7"/>
  <c r="M566" i="8"/>
  <c r="O511" i="7"/>
  <c r="D414" i="6"/>
  <c r="B415" i="6" s="1"/>
  <c r="D977" i="6"/>
  <c r="B978" i="6" s="1"/>
  <c r="G291" i="8"/>
  <c r="B292" i="8" s="1"/>
  <c r="C292" i="8" s="1"/>
  <c r="E292" i="8" s="1"/>
  <c r="M786" i="8"/>
  <c r="F1163" i="6"/>
  <c r="E1164" i="6" s="1"/>
  <c r="G1164" i="6" s="1"/>
  <c r="D1306" i="6"/>
  <c r="B1307" i="6" s="1"/>
  <c r="C1307" i="6" s="1"/>
  <c r="E181" i="8"/>
  <c r="G1006" i="8"/>
  <c r="B1007" i="8" s="1"/>
  <c r="M456" i="7"/>
  <c r="C931" i="6"/>
  <c r="B932" i="6" s="1"/>
  <c r="C932" i="6" s="1"/>
  <c r="M731" i="8"/>
  <c r="H952" i="8"/>
  <c r="D952" i="8"/>
  <c r="E952" i="8"/>
  <c r="B1118" i="6"/>
  <c r="C1118" i="6" s="1"/>
  <c r="L12" i="9"/>
  <c r="L402" i="8"/>
  <c r="O402" i="8"/>
  <c r="K402" i="8"/>
  <c r="M402" i="8" s="1"/>
  <c r="D347" i="8"/>
  <c r="E347" i="8"/>
  <c r="G347" i="8" s="1"/>
  <c r="H347" i="8"/>
  <c r="I1181" i="7"/>
  <c r="F1181" i="7"/>
  <c r="J1181" i="7"/>
  <c r="E1181" i="7"/>
  <c r="G1181" i="7" s="1"/>
  <c r="N251" i="11"/>
  <c r="M251" i="11"/>
  <c r="R251" i="11" s="1"/>
  <c r="K251" i="11"/>
  <c r="Q251" i="11" s="1"/>
  <c r="O251" i="11"/>
  <c r="S251" i="11" s="1"/>
  <c r="P251" i="11"/>
  <c r="L251" i="11"/>
  <c r="O786" i="7"/>
  <c r="K786" i="7"/>
  <c r="F236" i="7"/>
  <c r="G456" i="7"/>
  <c r="B842" i="7"/>
  <c r="C842" i="7" s="1"/>
  <c r="L786" i="7"/>
  <c r="N786" i="7" s="1"/>
  <c r="I127" i="7"/>
  <c r="E346" i="7"/>
  <c r="H346" i="7"/>
  <c r="G1355" i="6"/>
  <c r="K236" i="8"/>
  <c r="M236" i="8" s="1"/>
  <c r="O236" i="8"/>
  <c r="I402" i="7"/>
  <c r="B237" i="8"/>
  <c r="AI252" i="11"/>
  <c r="BL251" i="11"/>
  <c r="AP252" i="11" s="1"/>
  <c r="G554" i="6"/>
  <c r="E456" i="8"/>
  <c r="H456" i="8"/>
  <c r="C320" i="6"/>
  <c r="G930" i="6"/>
  <c r="E227" i="6"/>
  <c r="F227" i="6" s="1"/>
  <c r="E1447" i="6"/>
  <c r="G1447" i="6" s="1"/>
  <c r="L1006" i="8"/>
  <c r="O1006" i="8"/>
  <c r="F367" i="6"/>
  <c r="B292" i="12"/>
  <c r="I897" i="8"/>
  <c r="J897" i="8" s="1"/>
  <c r="B508" i="6"/>
  <c r="D508" i="6" s="1"/>
  <c r="C508" i="6"/>
  <c r="N181" i="7"/>
  <c r="F788" i="6"/>
  <c r="E1260" i="6"/>
  <c r="G1260" i="6" s="1"/>
  <c r="F1260" i="6"/>
  <c r="B225" i="6"/>
  <c r="C225" i="6" s="1"/>
  <c r="L951" i="8"/>
  <c r="O951" i="8"/>
  <c r="B367" i="6"/>
  <c r="D367" i="6" s="1"/>
  <c r="E839" i="6"/>
  <c r="G839" i="6" s="1"/>
  <c r="F236" i="8"/>
  <c r="O456" i="8"/>
  <c r="L456" i="8"/>
  <c r="N305" i="11"/>
  <c r="K306" i="11" s="1"/>
  <c r="O305" i="11"/>
  <c r="P305" i="11"/>
  <c r="B237" i="7"/>
  <c r="D2914" i="6"/>
  <c r="B787" i="7"/>
  <c r="B602" i="6"/>
  <c r="D602" i="6" s="1"/>
  <c r="C602" i="6"/>
  <c r="G1025" i="6"/>
  <c r="I127" i="8"/>
  <c r="J127" i="8" s="1"/>
  <c r="L127" i="8"/>
  <c r="N731" i="8"/>
  <c r="B274" i="6"/>
  <c r="D274" i="6" s="1"/>
  <c r="H291" i="7"/>
  <c r="E291" i="7"/>
  <c r="C740" i="6"/>
  <c r="F1403" i="6"/>
  <c r="D291" i="7"/>
  <c r="F291" i="7" s="1"/>
  <c r="N621" i="7"/>
  <c r="B460" i="6"/>
  <c r="C460" i="6" s="1"/>
  <c r="C1013" i="7"/>
  <c r="D1013" i="7" s="1"/>
  <c r="D1400" i="6"/>
  <c r="B1401" i="6" s="1"/>
  <c r="C1401" i="6" s="1"/>
  <c r="C694" i="6"/>
  <c r="M731" i="7"/>
  <c r="H731" i="7"/>
  <c r="D731" i="7"/>
  <c r="F731" i="7" s="1"/>
  <c r="L14" i="10"/>
  <c r="J14" i="10" s="1"/>
  <c r="D456" i="8"/>
  <c r="L1061" i="8"/>
  <c r="O1061" i="8"/>
  <c r="W304" i="11"/>
  <c r="V304" i="11"/>
  <c r="S305" i="11" s="1"/>
  <c r="X304" i="11"/>
  <c r="F885" i="6"/>
  <c r="G842" i="8"/>
  <c r="E126" i="8"/>
  <c r="G126" i="8" s="1"/>
  <c r="H126" i="8"/>
  <c r="O291" i="12"/>
  <c r="L291" i="12"/>
  <c r="G401" i="8"/>
  <c r="H621" i="7"/>
  <c r="D621" i="7"/>
  <c r="M126" i="7"/>
  <c r="L676" i="8"/>
  <c r="O676" i="8"/>
  <c r="D836" i="6"/>
  <c r="B837" i="6" s="1"/>
  <c r="C837" i="6" s="1"/>
  <c r="H566" i="7"/>
  <c r="D566" i="7"/>
  <c r="F566" i="7" s="1"/>
  <c r="M841" i="7"/>
  <c r="K951" i="8"/>
  <c r="G649" i="6"/>
  <c r="E650" i="6" s="1"/>
  <c r="F650" i="6" s="1"/>
  <c r="D731" i="8"/>
  <c r="F731" i="8" s="1"/>
  <c r="H731" i="8"/>
  <c r="F291" i="12"/>
  <c r="I787" i="8"/>
  <c r="K456" i="8"/>
  <c r="B1062" i="8"/>
  <c r="C1062" i="8" s="1"/>
  <c r="D401" i="7"/>
  <c r="F401" i="7" s="1"/>
  <c r="H401" i="7"/>
  <c r="E304" i="11"/>
  <c r="I304" i="11" s="1"/>
  <c r="E731" i="8"/>
  <c r="E978" i="6"/>
  <c r="F978" i="6" s="1"/>
  <c r="M181" i="12"/>
  <c r="O841" i="8"/>
  <c r="L841" i="8"/>
  <c r="N841" i="8" s="1"/>
  <c r="O236" i="7"/>
  <c r="L236" i="7"/>
  <c r="N236" i="7" s="1"/>
  <c r="B791" i="6"/>
  <c r="D791" i="6" s="1"/>
  <c r="C791" i="6"/>
  <c r="CF202" i="11"/>
  <c r="CJ202" i="11"/>
  <c r="CI202" i="11"/>
  <c r="E1308" i="6"/>
  <c r="F1308" i="6" s="1"/>
  <c r="B178" i="6"/>
  <c r="D178" i="6" s="1"/>
  <c r="F11" i="9"/>
  <c r="H11" i="9" s="1"/>
  <c r="I11" i="9" s="1"/>
  <c r="F1068" i="7"/>
  <c r="E1068" i="7"/>
  <c r="H1068" i="7"/>
  <c r="G1068" i="7"/>
  <c r="J1068" i="7"/>
  <c r="I1068" i="7"/>
  <c r="E274" i="6"/>
  <c r="F274" i="6" s="1"/>
  <c r="H511" i="8"/>
  <c r="D511" i="8"/>
  <c r="D131" i="6"/>
  <c r="O181" i="8"/>
  <c r="K181" i="8"/>
  <c r="M181" i="8" s="1"/>
  <c r="E511" i="8"/>
  <c r="G508" i="6"/>
  <c r="E1211" i="6"/>
  <c r="G1211" i="6" s="1"/>
  <c r="G1495" i="6"/>
  <c r="D346" i="7"/>
  <c r="H181" i="12"/>
  <c r="E181" i="12"/>
  <c r="G181" i="12" s="1"/>
  <c r="L896" i="7"/>
  <c r="N896" i="7" s="1"/>
  <c r="O896" i="7"/>
  <c r="O621" i="8"/>
  <c r="L621" i="8"/>
  <c r="N621" i="8" s="1"/>
  <c r="E1025" i="6"/>
  <c r="F1025" i="6" s="1"/>
  <c r="I732" i="7"/>
  <c r="K23" i="9"/>
  <c r="D460" i="6"/>
  <c r="B651" i="6"/>
  <c r="C651" i="6" s="1"/>
  <c r="F740" i="6"/>
  <c r="BM202" i="11"/>
  <c r="F693" i="6"/>
  <c r="B1072" i="6"/>
  <c r="D1072" i="6" s="1"/>
  <c r="B1164" i="6"/>
  <c r="D1164" i="6" s="1"/>
  <c r="I347" i="7"/>
  <c r="AJ252" i="11"/>
  <c r="B555" i="6"/>
  <c r="D555" i="6" s="1"/>
  <c r="F786" i="7"/>
  <c r="O291" i="8"/>
  <c r="L291" i="8"/>
  <c r="N291" i="8" s="1"/>
  <c r="M346" i="7"/>
  <c r="O346" i="8"/>
  <c r="K346" i="8"/>
  <c r="M346" i="8" s="1"/>
  <c r="G179" i="6"/>
  <c r="E180" i="6" s="1"/>
  <c r="F180" i="6" s="1"/>
  <c r="K1006" i="8"/>
  <c r="K1061" i="8"/>
  <c r="C22" i="9"/>
  <c r="J21" i="9"/>
  <c r="D22" i="9"/>
  <c r="G786" i="8"/>
  <c r="I842" i="7"/>
  <c r="H566" i="8"/>
  <c r="E566" i="8"/>
  <c r="F1006" i="8"/>
  <c r="F413" i="6"/>
  <c r="E601" i="6"/>
  <c r="G601" i="6" s="1"/>
  <c r="M401" i="7"/>
  <c r="F15" i="10"/>
  <c r="D566" i="8"/>
  <c r="K291" i="12"/>
  <c r="E320" i="6"/>
  <c r="F320" i="6" s="1"/>
  <c r="N456" i="7"/>
  <c r="E621" i="7"/>
  <c r="E676" i="8"/>
  <c r="G676" i="8" s="1"/>
  <c r="H676" i="8"/>
  <c r="G320" i="6"/>
  <c r="G462" i="6"/>
  <c r="I567" i="7"/>
  <c r="K676" i="8"/>
  <c r="B1496" i="6"/>
  <c r="C1496" i="6" s="1"/>
  <c r="E130" i="6"/>
  <c r="F130" i="6" s="1"/>
  <c r="CG202" i="11"/>
  <c r="C677" i="7"/>
  <c r="D677" i="7" s="1"/>
  <c r="O126" i="12"/>
  <c r="L126" i="12"/>
  <c r="N126" i="12" s="1"/>
  <c r="C127" i="12"/>
  <c r="O291" i="7"/>
  <c r="K291" i="7"/>
  <c r="M291" i="7" s="1"/>
  <c r="I567" i="8"/>
  <c r="D1025" i="6"/>
  <c r="B1026" i="6" s="1"/>
  <c r="C1026" i="6" s="1"/>
  <c r="E2912" i="6"/>
  <c r="G2912" i="6" s="1"/>
  <c r="F2912" i="6"/>
  <c r="B1449" i="6"/>
  <c r="C1449" i="6" s="1"/>
  <c r="B127" i="7"/>
  <c r="C127" i="7" s="1"/>
  <c r="J677" i="7"/>
  <c r="E896" i="8"/>
  <c r="H896" i="8"/>
  <c r="D886" i="6"/>
  <c r="B887" i="6" s="1"/>
  <c r="C887" i="6" s="1"/>
  <c r="O511" i="8"/>
  <c r="L511" i="8"/>
  <c r="N511" i="8" s="1"/>
  <c r="C1212" i="6"/>
  <c r="G181" i="7"/>
  <c r="B622" i="8"/>
  <c r="G1118" i="6"/>
  <c r="E1119" i="6" s="1"/>
  <c r="F1119" i="6" s="1"/>
  <c r="D896" i="8"/>
  <c r="B237" i="12"/>
  <c r="C237" i="12" s="1"/>
  <c r="E237" i="12"/>
  <c r="N511" i="7"/>
  <c r="CH202" i="11" l="1"/>
  <c r="G456" i="8"/>
  <c r="J787" i="8"/>
  <c r="G274" i="6"/>
  <c r="N456" i="8"/>
  <c r="J567" i="8"/>
  <c r="K567" i="8" s="1"/>
  <c r="C622" i="8"/>
  <c r="E622" i="8" s="1"/>
  <c r="G952" i="8"/>
  <c r="F181" i="8"/>
  <c r="G566" i="8"/>
  <c r="B1259" i="6"/>
  <c r="D1259" i="6" s="1"/>
  <c r="C1259" i="6"/>
  <c r="B1260" i="6" s="1"/>
  <c r="D1260" i="6" s="1"/>
  <c r="J567" i="7"/>
  <c r="L567" i="7" s="1"/>
  <c r="AL252" i="11"/>
  <c r="G130" i="6"/>
  <c r="C178" i="6"/>
  <c r="B179" i="6" s="1"/>
  <c r="E1125" i="7"/>
  <c r="J1125" i="7"/>
  <c r="I1125" i="7"/>
  <c r="F1125" i="7"/>
  <c r="H1125" i="7" s="1"/>
  <c r="B1126" i="7" s="1"/>
  <c r="K1125" i="7"/>
  <c r="O787" i="8"/>
  <c r="L787" i="8"/>
  <c r="C978" i="6"/>
  <c r="D978" i="6"/>
  <c r="D415" i="6"/>
  <c r="C415" i="6"/>
  <c r="K1068" i="7"/>
  <c r="F511" i="8"/>
  <c r="G978" i="6"/>
  <c r="E979" i="6" s="1"/>
  <c r="F952" i="8"/>
  <c r="C953" i="8" s="1"/>
  <c r="E953" i="8" s="1"/>
  <c r="M1006" i="8"/>
  <c r="G896" i="8"/>
  <c r="N1061" i="8"/>
  <c r="F1164" i="6"/>
  <c r="E1165" i="6" s="1"/>
  <c r="G1165" i="6" s="1"/>
  <c r="G956" i="7"/>
  <c r="N291" i="7"/>
  <c r="G566" i="7"/>
  <c r="B567" i="7" s="1"/>
  <c r="C567" i="7" s="1"/>
  <c r="H1181" i="7"/>
  <c r="B1182" i="7" s="1"/>
  <c r="N676" i="8"/>
  <c r="I677" i="8" s="1"/>
  <c r="D1307" i="6"/>
  <c r="B1308" i="6" s="1"/>
  <c r="D1308" i="6" s="1"/>
  <c r="G1071" i="6"/>
  <c r="E1072" i="6" s="1"/>
  <c r="F621" i="7"/>
  <c r="AG202" i="11"/>
  <c r="D1496" i="6"/>
  <c r="B1497" i="6" s="1"/>
  <c r="D1497" i="6" s="1"/>
  <c r="F346" i="7"/>
  <c r="M291" i="8"/>
  <c r="J292" i="8" s="1"/>
  <c r="L292" i="8" s="1"/>
  <c r="G227" i="6"/>
  <c r="E228" i="6" s="1"/>
  <c r="F228" i="6" s="1"/>
  <c r="N951" i="8"/>
  <c r="H956" i="7"/>
  <c r="F126" i="8"/>
  <c r="N291" i="12"/>
  <c r="I292" i="12" s="1"/>
  <c r="M621" i="8"/>
  <c r="J622" i="8" s="1"/>
  <c r="O622" i="8" s="1"/>
  <c r="G1308" i="6"/>
  <c r="E1309" i="6" s="1"/>
  <c r="G181" i="8"/>
  <c r="B182" i="8" s="1"/>
  <c r="C1353" i="6"/>
  <c r="B1354" i="6" s="1"/>
  <c r="C1354" i="6" s="1"/>
  <c r="H842" i="7"/>
  <c r="E842" i="7"/>
  <c r="D842" i="7"/>
  <c r="F842" i="7" s="1"/>
  <c r="M306" i="11"/>
  <c r="Q306" i="11" s="1"/>
  <c r="B461" i="6"/>
  <c r="C461" i="6" s="1"/>
  <c r="F677" i="7"/>
  <c r="H127" i="7"/>
  <c r="D127" i="7"/>
  <c r="E127" i="7"/>
  <c r="D897" i="7"/>
  <c r="E897" i="7"/>
  <c r="G897" i="7" s="1"/>
  <c r="H897" i="7"/>
  <c r="F1013" i="7"/>
  <c r="E1013" i="7"/>
  <c r="G1013" i="7" s="1"/>
  <c r="K1013" i="7"/>
  <c r="J1013" i="7"/>
  <c r="I1013" i="7"/>
  <c r="E321" i="6"/>
  <c r="F321" i="6" s="1"/>
  <c r="L237" i="12"/>
  <c r="O237" i="12"/>
  <c r="K237" i="12"/>
  <c r="M237" i="12" s="1"/>
  <c r="D509" i="6"/>
  <c r="E131" i="6"/>
  <c r="G131" i="6" s="1"/>
  <c r="H622" i="8"/>
  <c r="BK202" i="11"/>
  <c r="BF202" i="11"/>
  <c r="BE202" i="11"/>
  <c r="BH202" i="11"/>
  <c r="BJ202" i="11"/>
  <c r="BI202" i="11"/>
  <c r="BG202" i="11"/>
  <c r="N127" i="8"/>
  <c r="G931" i="6"/>
  <c r="J182" i="12"/>
  <c r="K182" i="12" s="1"/>
  <c r="D1354" i="6"/>
  <c r="B321" i="6"/>
  <c r="D321" i="6" s="1"/>
  <c r="C127" i="8"/>
  <c r="E127" i="8" s="1"/>
  <c r="F601" i="6"/>
  <c r="I952" i="8"/>
  <c r="I127" i="12"/>
  <c r="G180" i="6"/>
  <c r="C292" i="12"/>
  <c r="B457" i="8"/>
  <c r="B1213" i="6"/>
  <c r="D1213" i="6" s="1"/>
  <c r="B677" i="8"/>
  <c r="K787" i="8"/>
  <c r="M787" i="8" s="1"/>
  <c r="C237" i="7"/>
  <c r="D237" i="7" s="1"/>
  <c r="K1181" i="7"/>
  <c r="B567" i="8"/>
  <c r="O567" i="8"/>
  <c r="E2913" i="6"/>
  <c r="G2913" i="6" s="1"/>
  <c r="F2913" i="6"/>
  <c r="E789" i="6"/>
  <c r="G789" i="6" s="1"/>
  <c r="F789" i="6"/>
  <c r="I237" i="7"/>
  <c r="I182" i="7"/>
  <c r="J182" i="7" s="1"/>
  <c r="D1449" i="6"/>
  <c r="B1450" i="6" s="1"/>
  <c r="C1450" i="6" s="1"/>
  <c r="J402" i="7"/>
  <c r="K402" i="7" s="1"/>
  <c r="E127" i="12"/>
  <c r="H127" i="12"/>
  <c r="E741" i="6"/>
  <c r="G741" i="6" s="1"/>
  <c r="F741" i="6"/>
  <c r="K897" i="8"/>
  <c r="O897" i="8"/>
  <c r="B182" i="7"/>
  <c r="C182" i="7" s="1"/>
  <c r="E182" i="7" s="1"/>
  <c r="D127" i="12"/>
  <c r="B182" i="12"/>
  <c r="H292" i="8"/>
  <c r="J127" i="7"/>
  <c r="D651" i="6"/>
  <c r="B457" i="7"/>
  <c r="C457" i="7" s="1"/>
  <c r="C1007" i="8"/>
  <c r="J732" i="7"/>
  <c r="M12" i="9"/>
  <c r="N12" i="9" s="1"/>
  <c r="Q12" i="9" s="1"/>
  <c r="G12" i="9" s="1"/>
  <c r="I512" i="8"/>
  <c r="G621" i="7"/>
  <c r="B603" i="6"/>
  <c r="D603" i="6" s="1"/>
  <c r="E1261" i="6"/>
  <c r="G1261" i="6" s="1"/>
  <c r="M786" i="7"/>
  <c r="O12" i="9"/>
  <c r="C1260" i="6"/>
  <c r="B792" i="6"/>
  <c r="C792" i="6" s="1"/>
  <c r="B402" i="8"/>
  <c r="C402" i="8" s="1"/>
  <c r="E402" i="8" s="1"/>
  <c r="AK252" i="11"/>
  <c r="E931" i="6"/>
  <c r="F931" i="6" s="1"/>
  <c r="G731" i="8"/>
  <c r="B787" i="8"/>
  <c r="C787" i="8" s="1"/>
  <c r="E787" i="8" s="1"/>
  <c r="M951" i="8"/>
  <c r="B509" i="6"/>
  <c r="C509" i="6" s="1"/>
  <c r="I512" i="7"/>
  <c r="J512" i="7" s="1"/>
  <c r="L512" i="7"/>
  <c r="I292" i="8"/>
  <c r="C1164" i="6"/>
  <c r="I842" i="8"/>
  <c r="F676" i="8"/>
  <c r="D932" i="6"/>
  <c r="L567" i="8"/>
  <c r="N567" i="8" s="1"/>
  <c r="I622" i="8"/>
  <c r="I1062" i="8"/>
  <c r="M236" i="7"/>
  <c r="C787" i="7"/>
  <c r="D787" i="7" s="1"/>
  <c r="D1062" i="8"/>
  <c r="F1062" i="8" s="1"/>
  <c r="H1062" i="8"/>
  <c r="F456" i="8"/>
  <c r="F839" i="6"/>
  <c r="H237" i="12"/>
  <c r="D237" i="12"/>
  <c r="F237" i="12" s="1"/>
  <c r="J292" i="7"/>
  <c r="O292" i="7" s="1"/>
  <c r="G401" i="7"/>
  <c r="F566" i="8"/>
  <c r="J22" i="9"/>
  <c r="D23" i="9"/>
  <c r="C23" i="9"/>
  <c r="E694" i="6"/>
  <c r="G694" i="6" s="1"/>
  <c r="F694" i="6"/>
  <c r="E1062" i="8"/>
  <c r="E886" i="6"/>
  <c r="G886" i="6" s="1"/>
  <c r="C274" i="6"/>
  <c r="D1118" i="6"/>
  <c r="B1119" i="6" s="1"/>
  <c r="C1119" i="6" s="1"/>
  <c r="N181" i="8"/>
  <c r="M841" i="8"/>
  <c r="F347" i="8"/>
  <c r="B953" i="8"/>
  <c r="D837" i="6"/>
  <c r="B838" i="6" s="1"/>
  <c r="C838" i="6" s="1"/>
  <c r="I787" i="7"/>
  <c r="B897" i="8"/>
  <c r="CS202" i="11"/>
  <c r="O127" i="8"/>
  <c r="K127" i="8"/>
  <c r="M127" i="8" s="1"/>
  <c r="L677" i="7"/>
  <c r="O677" i="7"/>
  <c r="L306" i="11"/>
  <c r="L897" i="8"/>
  <c r="N402" i="8"/>
  <c r="K677" i="7"/>
  <c r="E414" i="6"/>
  <c r="G414" i="6" s="1"/>
  <c r="B1069" i="7"/>
  <c r="C1069" i="7" s="1"/>
  <c r="D1069" i="7" s="1"/>
  <c r="B226" i="6"/>
  <c r="C226" i="6" s="1"/>
  <c r="H677" i="7"/>
  <c r="E677" i="7"/>
  <c r="G677" i="7" s="1"/>
  <c r="B695" i="6"/>
  <c r="D695" i="6" s="1"/>
  <c r="H512" i="7"/>
  <c r="E512" i="7"/>
  <c r="G512" i="7" s="1"/>
  <c r="B2915" i="6"/>
  <c r="C2915" i="6" s="1"/>
  <c r="I457" i="7"/>
  <c r="J457" i="7" s="1"/>
  <c r="L457" i="7"/>
  <c r="K24" i="9"/>
  <c r="G650" i="6"/>
  <c r="F181" i="12"/>
  <c r="D1401" i="6"/>
  <c r="B1402" i="6" s="1"/>
  <c r="C1402" i="6" s="1"/>
  <c r="E368" i="6"/>
  <c r="G368" i="6" s="1"/>
  <c r="F1211" i="6"/>
  <c r="E1404" i="6"/>
  <c r="G1404" i="6" s="1"/>
  <c r="I457" i="8"/>
  <c r="E1496" i="6"/>
  <c r="F1496" i="6" s="1"/>
  <c r="C182" i="8"/>
  <c r="D292" i="8"/>
  <c r="F292" i="8" s="1"/>
  <c r="J347" i="7"/>
  <c r="K347" i="7" s="1"/>
  <c r="G304" i="11"/>
  <c r="F304" i="11"/>
  <c r="C305" i="11" s="1"/>
  <c r="H304" i="11"/>
  <c r="B741" i="6"/>
  <c r="D741" i="6" s="1"/>
  <c r="N1006" i="8"/>
  <c r="D225" i="6"/>
  <c r="D1026" i="6"/>
  <c r="B1027" i="6" s="1"/>
  <c r="C1027" i="6" s="1"/>
  <c r="E1026" i="6"/>
  <c r="G1026" i="6" s="1"/>
  <c r="B127" i="8"/>
  <c r="G291" i="7"/>
  <c r="I292" i="7"/>
  <c r="C1072" i="6"/>
  <c r="B348" i="8"/>
  <c r="E555" i="6"/>
  <c r="F555" i="6" s="1"/>
  <c r="G731" i="7"/>
  <c r="F896" i="8"/>
  <c r="M676" i="8"/>
  <c r="E16" i="10"/>
  <c r="C16" i="10"/>
  <c r="D16" i="10"/>
  <c r="M1061" i="8"/>
  <c r="C555" i="6"/>
  <c r="I897" i="7"/>
  <c r="E275" i="6"/>
  <c r="G275" i="6" s="1"/>
  <c r="F275" i="6"/>
  <c r="M456" i="8"/>
  <c r="I732" i="8"/>
  <c r="J732" i="8" s="1"/>
  <c r="L732" i="8"/>
  <c r="M126" i="12"/>
  <c r="C367" i="6"/>
  <c r="N346" i="8"/>
  <c r="T251" i="11"/>
  <c r="V251" i="11" s="1"/>
  <c r="W251" i="11"/>
  <c r="J842" i="7"/>
  <c r="K842" i="7" s="1"/>
  <c r="M511" i="8"/>
  <c r="C237" i="8"/>
  <c r="D237" i="8" s="1"/>
  <c r="G346" i="7"/>
  <c r="G511" i="8"/>
  <c r="B843" i="8"/>
  <c r="C843" i="8" s="1"/>
  <c r="E843" i="8"/>
  <c r="F1447" i="6"/>
  <c r="E509" i="6"/>
  <c r="F509" i="6" s="1"/>
  <c r="M291" i="12"/>
  <c r="G1119" i="6"/>
  <c r="E1120" i="6" s="1"/>
  <c r="F1120" i="6" s="1"/>
  <c r="D887" i="6"/>
  <c r="B888" i="6" s="1"/>
  <c r="C888" i="6" s="1"/>
  <c r="AM252" i="11"/>
  <c r="T305" i="11"/>
  <c r="U305" i="11" s="1"/>
  <c r="Y305" i="11" s="1"/>
  <c r="M14" i="10"/>
  <c r="I14" i="10" s="1"/>
  <c r="I622" i="7"/>
  <c r="J622" i="7" s="1"/>
  <c r="L622" i="7"/>
  <c r="N236" i="8"/>
  <c r="E1356" i="6"/>
  <c r="F1356" i="6" s="1"/>
  <c r="U251" i="11"/>
  <c r="B132" i="6"/>
  <c r="C132" i="6" s="1"/>
  <c r="E463" i="6"/>
  <c r="F463" i="6" s="1"/>
  <c r="M896" i="7"/>
  <c r="C179" i="6" l="1"/>
  <c r="D179" i="6"/>
  <c r="D461" i="6"/>
  <c r="B979" i="6"/>
  <c r="D979" i="6" s="1"/>
  <c r="P12" i="9"/>
  <c r="H1013" i="7"/>
  <c r="X251" i="11"/>
  <c r="AG251" i="11" s="1"/>
  <c r="D622" i="8"/>
  <c r="F622" i="8" s="1"/>
  <c r="N897" i="8"/>
  <c r="I898" i="8" s="1"/>
  <c r="K567" i="7"/>
  <c r="M567" i="7" s="1"/>
  <c r="O567" i="7"/>
  <c r="D305" i="11"/>
  <c r="E305" i="11" s="1"/>
  <c r="I305" i="11" s="1"/>
  <c r="G127" i="7"/>
  <c r="B128" i="7" s="1"/>
  <c r="F1309" i="6"/>
  <c r="E1310" i="6" s="1"/>
  <c r="G1310" i="6" s="1"/>
  <c r="G1309" i="6"/>
  <c r="C979" i="6"/>
  <c r="B980" i="6" s="1"/>
  <c r="D980" i="6" s="1"/>
  <c r="G979" i="6"/>
  <c r="F979" i="6"/>
  <c r="F1072" i="6"/>
  <c r="G1072" i="6"/>
  <c r="G292" i="8"/>
  <c r="B293" i="8" s="1"/>
  <c r="C293" i="8" s="1"/>
  <c r="G127" i="12"/>
  <c r="D2915" i="6"/>
  <c r="F1165" i="6"/>
  <c r="E1166" i="6" s="1"/>
  <c r="F1166" i="6" s="1"/>
  <c r="B957" i="7"/>
  <c r="C957" i="7"/>
  <c r="D957" i="7" s="1"/>
  <c r="D132" i="6"/>
  <c r="N677" i="7"/>
  <c r="I678" i="7" s="1"/>
  <c r="C1182" i="7"/>
  <c r="D1182" i="7" s="1"/>
  <c r="E1182" i="7" s="1"/>
  <c r="G463" i="6"/>
  <c r="D792" i="6"/>
  <c r="B793" i="6" s="1"/>
  <c r="C793" i="6" s="1"/>
  <c r="AC202" i="11"/>
  <c r="AB202" i="11"/>
  <c r="Y202" i="11"/>
  <c r="AE202" i="11"/>
  <c r="Z202" i="11"/>
  <c r="AD202" i="11"/>
  <c r="AA202" i="11"/>
  <c r="B416" i="6"/>
  <c r="D416" i="6" s="1"/>
  <c r="C416" i="6"/>
  <c r="N787" i="8"/>
  <c r="I788" i="8" s="1"/>
  <c r="J788" i="8" s="1"/>
  <c r="G321" i="6"/>
  <c r="E322" i="6" s="1"/>
  <c r="G1125" i="7"/>
  <c r="C1126" i="7" s="1"/>
  <c r="D1126" i="7" s="1"/>
  <c r="B1403" i="6"/>
  <c r="C1403" i="6" s="1"/>
  <c r="B227" i="6"/>
  <c r="C227" i="6" s="1"/>
  <c r="F1069" i="7"/>
  <c r="E1069" i="7"/>
  <c r="G1069" i="7" s="1"/>
  <c r="K1069" i="7"/>
  <c r="J1069" i="7"/>
  <c r="I1069" i="7"/>
  <c r="D567" i="7"/>
  <c r="E567" i="7"/>
  <c r="H567" i="7"/>
  <c r="B462" i="6"/>
  <c r="D462" i="6" s="1"/>
  <c r="C462" i="6"/>
  <c r="B180" i="6"/>
  <c r="D180" i="6" s="1"/>
  <c r="E1073" i="6"/>
  <c r="G1073" i="6" s="1"/>
  <c r="B510" i="6"/>
  <c r="D510" i="6" s="1"/>
  <c r="C510" i="6"/>
  <c r="F1026" i="6"/>
  <c r="K292" i="7"/>
  <c r="J787" i="7"/>
  <c r="K787" i="7" s="1"/>
  <c r="J457" i="8"/>
  <c r="K457" i="8" s="1"/>
  <c r="E980" i="6"/>
  <c r="G980" i="6" s="1"/>
  <c r="F980" i="6"/>
  <c r="S12" i="9"/>
  <c r="E12" i="9" s="1"/>
  <c r="R12" i="9"/>
  <c r="I237" i="8"/>
  <c r="J237" i="8" s="1"/>
  <c r="L237" i="8" s="1"/>
  <c r="E276" i="6"/>
  <c r="G276" i="6" s="1"/>
  <c r="E1448" i="6"/>
  <c r="G1448" i="6" s="1"/>
  <c r="I182" i="8"/>
  <c r="J182" i="8" s="1"/>
  <c r="L182" i="8" s="1"/>
  <c r="L622" i="8"/>
  <c r="F131" i="6"/>
  <c r="G1356" i="6"/>
  <c r="I1007" i="8"/>
  <c r="J1007" i="8" s="1"/>
  <c r="L1007" i="8"/>
  <c r="E932" i="6"/>
  <c r="G932" i="6" s="1"/>
  <c r="CQ202" i="11"/>
  <c r="CP202" i="11"/>
  <c r="CO202" i="11"/>
  <c r="CL202" i="11"/>
  <c r="CK202" i="11"/>
  <c r="CN202" i="11"/>
  <c r="CM202" i="11"/>
  <c r="C457" i="8"/>
  <c r="C603" i="6"/>
  <c r="F886" i="6"/>
  <c r="F127" i="12"/>
  <c r="K292" i="8"/>
  <c r="M292" i="8" s="1"/>
  <c r="C741" i="6"/>
  <c r="B622" i="7"/>
  <c r="C622" i="7" s="1"/>
  <c r="E622" i="7" s="1"/>
  <c r="B512" i="8"/>
  <c r="C512" i="8" s="1"/>
  <c r="E512" i="8" s="1"/>
  <c r="K622" i="8"/>
  <c r="D226" i="6"/>
  <c r="H1007" i="8"/>
  <c r="E1007" i="8"/>
  <c r="E790" i="6"/>
  <c r="G790" i="6" s="1"/>
  <c r="F790" i="6"/>
  <c r="D953" i="8"/>
  <c r="F953" i="8" s="1"/>
  <c r="C1308" i="6"/>
  <c r="E840" i="6"/>
  <c r="G840" i="6" s="1"/>
  <c r="D1007" i="8"/>
  <c r="H843" i="8"/>
  <c r="D843" i="8"/>
  <c r="F843" i="8" s="1"/>
  <c r="D457" i="7"/>
  <c r="H457" i="7"/>
  <c r="N237" i="12"/>
  <c r="X305" i="11"/>
  <c r="W305" i="11"/>
  <c r="V305" i="11"/>
  <c r="S306" i="11" s="1"/>
  <c r="T306" i="11" s="1"/>
  <c r="J952" i="8"/>
  <c r="B556" i="6"/>
  <c r="D556" i="6" s="1"/>
  <c r="B678" i="7"/>
  <c r="C678" i="7" s="1"/>
  <c r="G1062" i="8"/>
  <c r="F1404" i="6"/>
  <c r="H402" i="8"/>
  <c r="D402" i="8"/>
  <c r="F402" i="8" s="1"/>
  <c r="H127" i="8"/>
  <c r="M677" i="7"/>
  <c r="F16" i="10"/>
  <c r="L292" i="7"/>
  <c r="E1212" i="6"/>
  <c r="G1212" i="6" s="1"/>
  <c r="I403" i="8"/>
  <c r="J403" i="8" s="1"/>
  <c r="L403" i="8" s="1"/>
  <c r="G237" i="12"/>
  <c r="L127" i="7"/>
  <c r="O127" i="7"/>
  <c r="P306" i="11"/>
  <c r="O306" i="11"/>
  <c r="N306" i="11"/>
  <c r="K307" i="11" s="1"/>
  <c r="L307" i="11" s="1"/>
  <c r="H953" i="8"/>
  <c r="J23" i="9"/>
  <c r="D24" i="9"/>
  <c r="C24" i="9"/>
  <c r="K25" i="9" s="1"/>
  <c r="K127" i="7"/>
  <c r="B898" i="7"/>
  <c r="J897" i="7"/>
  <c r="K897" i="7" s="1"/>
  <c r="N732" i="8"/>
  <c r="N567" i="7"/>
  <c r="G509" i="6"/>
  <c r="G1496" i="6"/>
  <c r="G555" i="6"/>
  <c r="E556" i="6" s="1"/>
  <c r="F556" i="6" s="1"/>
  <c r="G228" i="6"/>
  <c r="E229" i="6" s="1"/>
  <c r="F229" i="6" s="1"/>
  <c r="AI203" i="11"/>
  <c r="BL202" i="11"/>
  <c r="AP203" i="11" s="1"/>
  <c r="M567" i="8"/>
  <c r="F897" i="7"/>
  <c r="J292" i="12"/>
  <c r="E182" i="8"/>
  <c r="H182" i="8"/>
  <c r="B513" i="7"/>
  <c r="J842" i="8"/>
  <c r="K842" i="8" s="1"/>
  <c r="D182" i="8"/>
  <c r="K512" i="7"/>
  <c r="M512" i="7" s="1"/>
  <c r="O512" i="7"/>
  <c r="F127" i="7"/>
  <c r="D1027" i="6"/>
  <c r="H292" i="12"/>
  <c r="E292" i="12"/>
  <c r="E602" i="6"/>
  <c r="G602" i="6" s="1"/>
  <c r="D1119" i="6"/>
  <c r="B1120" i="6" s="1"/>
  <c r="C1120" i="6" s="1"/>
  <c r="F1261" i="6"/>
  <c r="C182" i="12"/>
  <c r="B275" i="6"/>
  <c r="D275" i="6" s="1"/>
  <c r="B1014" i="7"/>
  <c r="C1014" i="7" s="1"/>
  <c r="D1014" i="7" s="1"/>
  <c r="AC251" i="11"/>
  <c r="AB251" i="11"/>
  <c r="AA251" i="11"/>
  <c r="AE251" i="11"/>
  <c r="AD251" i="11"/>
  <c r="Z251" i="11"/>
  <c r="Y251" i="11"/>
  <c r="I568" i="8"/>
  <c r="E457" i="7"/>
  <c r="C677" i="8"/>
  <c r="O292" i="8"/>
  <c r="I347" i="8"/>
  <c r="J347" i="8" s="1"/>
  <c r="B347" i="7"/>
  <c r="C347" i="7" s="1"/>
  <c r="H787" i="8"/>
  <c r="D787" i="8"/>
  <c r="F787" i="8" s="1"/>
  <c r="L182" i="12"/>
  <c r="N182" i="12" s="1"/>
  <c r="O182" i="12"/>
  <c r="E181" i="6"/>
  <c r="F181" i="6" s="1"/>
  <c r="O457" i="7"/>
  <c r="K457" i="7"/>
  <c r="M457" i="7" s="1"/>
  <c r="J237" i="7"/>
  <c r="E651" i="6"/>
  <c r="F651" i="6" s="1"/>
  <c r="J677" i="8"/>
  <c r="B292" i="7"/>
  <c r="C292" i="7" s="1"/>
  <c r="E464" i="6"/>
  <c r="G464" i="6" s="1"/>
  <c r="D888" i="6"/>
  <c r="B889" i="6" s="1"/>
  <c r="C889" i="6" s="1"/>
  <c r="J512" i="8"/>
  <c r="K732" i="8"/>
  <c r="M732" i="8" s="1"/>
  <c r="O732" i="8"/>
  <c r="O347" i="7"/>
  <c r="L347" i="7"/>
  <c r="N347" i="7" s="1"/>
  <c r="F368" i="6"/>
  <c r="B1165" i="6"/>
  <c r="D1165" i="6" s="1"/>
  <c r="B1261" i="6"/>
  <c r="D1261" i="6" s="1"/>
  <c r="C1261" i="6"/>
  <c r="E742" i="6"/>
  <c r="G742" i="6" s="1"/>
  <c r="O182" i="7"/>
  <c r="K182" i="7"/>
  <c r="F512" i="7"/>
  <c r="B732" i="8"/>
  <c r="C732" i="8" s="1"/>
  <c r="E732" i="8" s="1"/>
  <c r="O732" i="7"/>
  <c r="L732" i="7"/>
  <c r="L182" i="7"/>
  <c r="C1213" i="6"/>
  <c r="B1355" i="6"/>
  <c r="C1355" i="6" s="1"/>
  <c r="B933" i="6"/>
  <c r="C933" i="6" s="1"/>
  <c r="G842" i="7"/>
  <c r="B128" i="12"/>
  <c r="I128" i="8"/>
  <c r="J128" i="8" s="1"/>
  <c r="O622" i="7"/>
  <c r="K622" i="7"/>
  <c r="M622" i="7" s="1"/>
  <c r="C695" i="6"/>
  <c r="D292" i="12"/>
  <c r="L402" i="7"/>
  <c r="N402" i="7" s="1"/>
  <c r="O402" i="7"/>
  <c r="N14" i="10"/>
  <c r="H14" i="10" s="1"/>
  <c r="K14" i="10" s="1"/>
  <c r="B1073" i="6"/>
  <c r="D1073" i="6" s="1"/>
  <c r="AN252" i="11"/>
  <c r="AO252" i="11"/>
  <c r="AV252" i="11" s="1"/>
  <c r="AR252" i="11"/>
  <c r="D127" i="8"/>
  <c r="F127" i="8" s="1"/>
  <c r="AJ203" i="11"/>
  <c r="C1497" i="6"/>
  <c r="F414" i="6"/>
  <c r="H182" i="7"/>
  <c r="D182" i="7"/>
  <c r="F182" i="7" s="1"/>
  <c r="C321" i="6"/>
  <c r="J1062" i="8"/>
  <c r="K1062" i="8" s="1"/>
  <c r="H787" i="7"/>
  <c r="E787" i="7"/>
  <c r="G787" i="7" s="1"/>
  <c r="E237" i="7"/>
  <c r="G237" i="7" s="1"/>
  <c r="H237" i="7"/>
  <c r="E695" i="6"/>
  <c r="F695" i="6" s="1"/>
  <c r="B368" i="6"/>
  <c r="D368" i="6" s="1"/>
  <c r="G695" i="6"/>
  <c r="D1450" i="6"/>
  <c r="B1451" i="6" s="1"/>
  <c r="C1451" i="6" s="1"/>
  <c r="E2914" i="6"/>
  <c r="G2914" i="6" s="1"/>
  <c r="H237" i="8"/>
  <c r="E237" i="8"/>
  <c r="G237" i="8" s="1"/>
  <c r="J127" i="12"/>
  <c r="K127" i="12" s="1"/>
  <c r="D838" i="6"/>
  <c r="B839" i="6" s="1"/>
  <c r="C839" i="6" s="1"/>
  <c r="M897" i="8"/>
  <c r="G1120" i="6"/>
  <c r="C897" i="8"/>
  <c r="M347" i="7"/>
  <c r="B2916" i="6"/>
  <c r="D2916" i="6" s="1"/>
  <c r="C567" i="8"/>
  <c r="L842" i="7"/>
  <c r="N842" i="7" s="1"/>
  <c r="O842" i="7"/>
  <c r="B732" i="7"/>
  <c r="C732" i="7" s="1"/>
  <c r="E732" i="7" s="1"/>
  <c r="D1402" i="6"/>
  <c r="B652" i="6"/>
  <c r="C652" i="6" s="1"/>
  <c r="C348" i="8"/>
  <c r="D348" i="8" s="1"/>
  <c r="B402" i="7"/>
  <c r="C402" i="7" s="1"/>
  <c r="E402" i="7"/>
  <c r="K732" i="7"/>
  <c r="M732" i="7" s="1"/>
  <c r="AQ252" i="11" l="1"/>
  <c r="AW252" i="11" s="1"/>
  <c r="F1007" i="8"/>
  <c r="F1182" i="7"/>
  <c r="K1182" i="7" s="1"/>
  <c r="D793" i="6"/>
  <c r="F840" i="6"/>
  <c r="M402" i="7"/>
  <c r="I1182" i="7"/>
  <c r="J1182" i="7"/>
  <c r="G182" i="7"/>
  <c r="B183" i="7" s="1"/>
  <c r="C183" i="7" s="1"/>
  <c r="G622" i="8"/>
  <c r="B623" i="8" s="1"/>
  <c r="C623" i="8" s="1"/>
  <c r="C2916" i="6"/>
  <c r="F464" i="6"/>
  <c r="G322" i="6"/>
  <c r="F322" i="6"/>
  <c r="E323" i="6" s="1"/>
  <c r="G323" i="6" s="1"/>
  <c r="L128" i="8"/>
  <c r="O128" i="8"/>
  <c r="D203" i="11"/>
  <c r="H1069" i="7"/>
  <c r="B133" i="6"/>
  <c r="C133" i="6" s="1"/>
  <c r="N457" i="7"/>
  <c r="J1126" i="7"/>
  <c r="E1126" i="7"/>
  <c r="I1126" i="7"/>
  <c r="F1126" i="7"/>
  <c r="H1126" i="7" s="1"/>
  <c r="B1127" i="7" s="1"/>
  <c r="H1182" i="7"/>
  <c r="B1183" i="7" s="1"/>
  <c r="M127" i="7"/>
  <c r="C203" i="11"/>
  <c r="AF202" i="11"/>
  <c r="F203" i="11" s="1"/>
  <c r="E203" i="11"/>
  <c r="G181" i="6"/>
  <c r="E182" i="6" s="1"/>
  <c r="F182" i="6" s="1"/>
  <c r="F457" i="7"/>
  <c r="AL203" i="11"/>
  <c r="E957" i="7"/>
  <c r="I957" i="7"/>
  <c r="F957" i="7"/>
  <c r="G957" i="7" s="1"/>
  <c r="H957" i="7"/>
  <c r="B958" i="7" s="1"/>
  <c r="K957" i="7"/>
  <c r="J957" i="7"/>
  <c r="G402" i="8"/>
  <c r="B403" i="8" s="1"/>
  <c r="C403" i="8" s="1"/>
  <c r="H403" i="8" s="1"/>
  <c r="N292" i="7"/>
  <c r="I293" i="7" s="1"/>
  <c r="G182" i="8"/>
  <c r="B183" i="8" s="1"/>
  <c r="B417" i="6"/>
  <c r="C417" i="6" s="1"/>
  <c r="M622" i="8"/>
  <c r="M182" i="7"/>
  <c r="G292" i="12"/>
  <c r="B293" i="12" s="1"/>
  <c r="AK203" i="11"/>
  <c r="AN203" i="11" s="1"/>
  <c r="F932" i="6"/>
  <c r="N292" i="8"/>
  <c r="G567" i="7"/>
  <c r="O788" i="8"/>
  <c r="K788" i="8"/>
  <c r="L788" i="8"/>
  <c r="N788" i="8" s="1"/>
  <c r="H293" i="8"/>
  <c r="D293" i="8"/>
  <c r="E293" i="8"/>
  <c r="M457" i="8"/>
  <c r="J1014" i="7"/>
  <c r="I1014" i="7"/>
  <c r="F1014" i="7"/>
  <c r="H1014" i="7" s="1"/>
  <c r="B1015" i="7" s="1"/>
  <c r="E1014" i="7"/>
  <c r="B840" i="6"/>
  <c r="C840" i="6"/>
  <c r="M1062" i="8"/>
  <c r="H678" i="7"/>
  <c r="E678" i="7"/>
  <c r="D678" i="7"/>
  <c r="F678" i="7" s="1"/>
  <c r="M787" i="7"/>
  <c r="L13" i="9"/>
  <c r="E696" i="6"/>
  <c r="F696" i="6" s="1"/>
  <c r="B604" i="6"/>
  <c r="D604" i="6" s="1"/>
  <c r="D252" i="11"/>
  <c r="I843" i="7"/>
  <c r="G305" i="11"/>
  <c r="H305" i="11"/>
  <c r="F305" i="11"/>
  <c r="C306" i="11" s="1"/>
  <c r="D306" i="11" s="1"/>
  <c r="O1007" i="8"/>
  <c r="K1007" i="8"/>
  <c r="M1007" i="8" s="1"/>
  <c r="H567" i="8"/>
  <c r="E567" i="8"/>
  <c r="B1356" i="6"/>
  <c r="C1356" i="6"/>
  <c r="I458" i="7"/>
  <c r="J458" i="7" s="1"/>
  <c r="L458" i="7" s="1"/>
  <c r="G252" i="11"/>
  <c r="O182" i="8"/>
  <c r="K182" i="8"/>
  <c r="M182" i="8" s="1"/>
  <c r="D567" i="8"/>
  <c r="L677" i="8"/>
  <c r="O677" i="8"/>
  <c r="N182" i="7"/>
  <c r="E841" i="6"/>
  <c r="G841" i="6" s="1"/>
  <c r="F292" i="12"/>
  <c r="C180" i="6"/>
  <c r="O347" i="8"/>
  <c r="K347" i="8"/>
  <c r="O952" i="8"/>
  <c r="L952" i="8"/>
  <c r="I183" i="12"/>
  <c r="E933" i="6"/>
  <c r="G933" i="6" s="1"/>
  <c r="F933" i="6"/>
  <c r="D292" i="7"/>
  <c r="F292" i="7" s="1"/>
  <c r="H292" i="7"/>
  <c r="F602" i="6"/>
  <c r="F1212" i="6"/>
  <c r="F742" i="6"/>
  <c r="G457" i="7"/>
  <c r="C980" i="6"/>
  <c r="B238" i="7"/>
  <c r="H347" i="7"/>
  <c r="D347" i="7"/>
  <c r="F347" i="7" s="1"/>
  <c r="L292" i="12"/>
  <c r="N292" i="12" s="1"/>
  <c r="O292" i="12"/>
  <c r="C17" i="10"/>
  <c r="D17" i="10"/>
  <c r="E17" i="10"/>
  <c r="B568" i="7"/>
  <c r="E347" i="7"/>
  <c r="K292" i="12"/>
  <c r="F567" i="7"/>
  <c r="D1355" i="6"/>
  <c r="C128" i="7"/>
  <c r="B511" i="6"/>
  <c r="D511" i="6" s="1"/>
  <c r="D1451" i="6"/>
  <c r="B1452" i="6" s="1"/>
  <c r="C1452" i="6" s="1"/>
  <c r="N732" i="7"/>
  <c r="C1165" i="6"/>
  <c r="C275" i="6"/>
  <c r="J568" i="8"/>
  <c r="O127" i="12"/>
  <c r="L127" i="12"/>
  <c r="N127" i="12" s="1"/>
  <c r="E465" i="6"/>
  <c r="G465" i="6" s="1"/>
  <c r="E1027" i="6"/>
  <c r="G1027" i="6" s="1"/>
  <c r="B843" i="7"/>
  <c r="C843" i="7" s="1"/>
  <c r="E843" i="7" s="1"/>
  <c r="B1063" i="8"/>
  <c r="C1063" i="8" s="1"/>
  <c r="E1063" i="8"/>
  <c r="E457" i="8"/>
  <c r="H457" i="8"/>
  <c r="N622" i="8"/>
  <c r="I293" i="8"/>
  <c r="J293" i="8" s="1"/>
  <c r="L293" i="8" s="1"/>
  <c r="B238" i="8"/>
  <c r="D457" i="8"/>
  <c r="E510" i="6"/>
  <c r="F510" i="6" s="1"/>
  <c r="I403" i="7"/>
  <c r="J403" i="7" s="1"/>
  <c r="E292" i="7"/>
  <c r="BP203" i="11"/>
  <c r="E981" i="6"/>
  <c r="G981" i="6" s="1"/>
  <c r="G1182" i="7"/>
  <c r="B1214" i="6"/>
  <c r="D1214" i="6" s="1"/>
  <c r="B1262" i="6"/>
  <c r="D1262" i="6" s="1"/>
  <c r="F1310" i="6"/>
  <c r="G843" i="8"/>
  <c r="K677" i="8"/>
  <c r="I568" i="7"/>
  <c r="J568" i="7" s="1"/>
  <c r="C556" i="6"/>
  <c r="L457" i="8"/>
  <c r="N457" i="8" s="1"/>
  <c r="O457" i="8"/>
  <c r="F1073" i="6"/>
  <c r="F237" i="8"/>
  <c r="F2914" i="6"/>
  <c r="B788" i="7"/>
  <c r="C898" i="7"/>
  <c r="D512" i="8"/>
  <c r="F512" i="8" s="1"/>
  <c r="H512" i="8"/>
  <c r="BO203" i="11"/>
  <c r="CR202" i="11"/>
  <c r="BV203" i="11" s="1"/>
  <c r="I733" i="8"/>
  <c r="J733" i="8" s="1"/>
  <c r="L733" i="8" s="1"/>
  <c r="J678" i="7"/>
  <c r="B1309" i="6"/>
  <c r="D1309" i="6" s="1"/>
  <c r="K128" i="8"/>
  <c r="F1448" i="6"/>
  <c r="M842" i="7"/>
  <c r="H897" i="8"/>
  <c r="E897" i="8"/>
  <c r="B696" i="6"/>
  <c r="D696" i="6" s="1"/>
  <c r="H182" i="12"/>
  <c r="E182" i="12"/>
  <c r="D622" i="7"/>
  <c r="F622" i="7" s="1"/>
  <c r="H622" i="7"/>
  <c r="G1166" i="6"/>
  <c r="E1167" i="6" s="1"/>
  <c r="F1167" i="6" s="1"/>
  <c r="D897" i="8"/>
  <c r="D182" i="12"/>
  <c r="F237" i="7"/>
  <c r="B322" i="6"/>
  <c r="D322" i="6" s="1"/>
  <c r="E677" i="8"/>
  <c r="H677" i="8"/>
  <c r="G651" i="6"/>
  <c r="N622" i="7"/>
  <c r="B653" i="6"/>
  <c r="C653" i="6" s="1"/>
  <c r="C368" i="6"/>
  <c r="E791" i="6"/>
  <c r="F791" i="6" s="1"/>
  <c r="B742" i="6"/>
  <c r="D742" i="6" s="1"/>
  <c r="E1405" i="6"/>
  <c r="G1405" i="6" s="1"/>
  <c r="G787" i="8"/>
  <c r="J898" i="8"/>
  <c r="K898" i="8" s="1"/>
  <c r="E415" i="6"/>
  <c r="G415" i="6" s="1"/>
  <c r="C1073" i="6"/>
  <c r="C513" i="7"/>
  <c r="D513" i="7" s="1"/>
  <c r="O512" i="8"/>
  <c r="L512" i="8"/>
  <c r="N512" i="7"/>
  <c r="G229" i="6"/>
  <c r="E230" i="6" s="1"/>
  <c r="F230" i="6" s="1"/>
  <c r="J24" i="9"/>
  <c r="D25" i="9"/>
  <c r="C25" i="9"/>
  <c r="K26" i="9" s="1"/>
  <c r="N127" i="7"/>
  <c r="G1007" i="8"/>
  <c r="C128" i="12"/>
  <c r="D128" i="12" s="1"/>
  <c r="E132" i="6"/>
  <c r="G132" i="6" s="1"/>
  <c r="M292" i="7"/>
  <c r="D402" i="7"/>
  <c r="F402" i="7" s="1"/>
  <c r="H402" i="7"/>
  <c r="AZ252" i="11"/>
  <c r="O237" i="7"/>
  <c r="L237" i="7"/>
  <c r="M307" i="11"/>
  <c r="Q307" i="11" s="1"/>
  <c r="K952" i="8"/>
  <c r="H348" i="8"/>
  <c r="E348" i="8"/>
  <c r="G348" i="8" s="1"/>
  <c r="G696" i="6"/>
  <c r="AT252" i="11"/>
  <c r="AS252" i="11"/>
  <c r="AX252" i="11" s="1"/>
  <c r="I348" i="7"/>
  <c r="J348" i="7" s="1"/>
  <c r="K237" i="7"/>
  <c r="AF251" i="11"/>
  <c r="J252" i="11" s="1"/>
  <c r="E252" i="11"/>
  <c r="C252" i="11"/>
  <c r="D933" i="6"/>
  <c r="B934" i="6" s="1"/>
  <c r="C934" i="6" s="1"/>
  <c r="F276" i="6"/>
  <c r="B463" i="6"/>
  <c r="D463" i="6" s="1"/>
  <c r="F787" i="7"/>
  <c r="O237" i="8"/>
  <c r="K237" i="8"/>
  <c r="M237" i="8" s="1"/>
  <c r="M182" i="12"/>
  <c r="D1403" i="6"/>
  <c r="B1404" i="6" s="1"/>
  <c r="C1404" i="6" s="1"/>
  <c r="E1497" i="6"/>
  <c r="F1497" i="6" s="1"/>
  <c r="B794" i="6"/>
  <c r="D794" i="6" s="1"/>
  <c r="C794" i="6"/>
  <c r="D839" i="6"/>
  <c r="B1498" i="6"/>
  <c r="D1498" i="6" s="1"/>
  <c r="L15" i="10"/>
  <c r="J15" i="10"/>
  <c r="K512" i="8"/>
  <c r="AU252" i="11"/>
  <c r="AY252" i="11" s="1"/>
  <c r="BD252" i="11" s="1"/>
  <c r="E1262" i="6"/>
  <c r="G1262" i="6" s="1"/>
  <c r="O842" i="8"/>
  <c r="L842" i="8"/>
  <c r="N842" i="8" s="1"/>
  <c r="B238" i="12"/>
  <c r="C238" i="12" s="1"/>
  <c r="E238" i="12" s="1"/>
  <c r="AM203" i="11"/>
  <c r="E887" i="6"/>
  <c r="G887" i="6" s="1"/>
  <c r="F887" i="6"/>
  <c r="G953" i="8"/>
  <c r="O1062" i="8"/>
  <c r="L1062" i="8"/>
  <c r="N1062" i="8" s="1"/>
  <c r="E369" i="6"/>
  <c r="G369" i="6" s="1"/>
  <c r="L347" i="8"/>
  <c r="O897" i="7"/>
  <c r="L897" i="7"/>
  <c r="N897" i="7" s="1"/>
  <c r="E1357" i="6"/>
  <c r="F1357" i="6" s="1"/>
  <c r="B1028" i="6"/>
  <c r="C1028" i="6" s="1"/>
  <c r="H732" i="8"/>
  <c r="D732" i="8"/>
  <c r="F732" i="8" s="1"/>
  <c r="F182" i="8"/>
  <c r="E1121" i="6"/>
  <c r="F1121" i="6" s="1"/>
  <c r="D677" i="8"/>
  <c r="F677" i="8" s="1"/>
  <c r="U306" i="11"/>
  <c r="Y306" i="11" s="1"/>
  <c r="O787" i="7"/>
  <c r="L787" i="7"/>
  <c r="N787" i="7" s="1"/>
  <c r="G127" i="8"/>
  <c r="D732" i="7"/>
  <c r="F732" i="7" s="1"/>
  <c r="H732" i="7"/>
  <c r="D889" i="6"/>
  <c r="F12" i="9"/>
  <c r="D1120" i="6"/>
  <c r="G556" i="6"/>
  <c r="E557" i="6" s="1"/>
  <c r="F557" i="6" s="1"/>
  <c r="O403" i="8"/>
  <c r="K403" i="8"/>
  <c r="M403" i="8" s="1"/>
  <c r="D652" i="6"/>
  <c r="I238" i="12"/>
  <c r="J238" i="12" s="1"/>
  <c r="L238" i="12" s="1"/>
  <c r="D227" i="6"/>
  <c r="B228" i="6" s="1"/>
  <c r="C228" i="6" s="1"/>
  <c r="M127" i="12" l="1"/>
  <c r="G402" i="7"/>
  <c r="B2917" i="6"/>
  <c r="D2917" i="6" s="1"/>
  <c r="E623" i="8"/>
  <c r="C1183" i="7"/>
  <c r="D1183" i="7" s="1"/>
  <c r="M128" i="8"/>
  <c r="G1121" i="6"/>
  <c r="G1122" i="6" s="1"/>
  <c r="F132" i="6"/>
  <c r="K1014" i="7"/>
  <c r="N347" i="8"/>
  <c r="I348" i="8" s="1"/>
  <c r="N1007" i="8"/>
  <c r="G1497" i="6"/>
  <c r="D417" i="6"/>
  <c r="B418" i="6" s="1"/>
  <c r="C418" i="6" s="1"/>
  <c r="C742" i="6"/>
  <c r="B743" i="6" s="1"/>
  <c r="C743" i="6" s="1"/>
  <c r="F567" i="8"/>
  <c r="G1014" i="7"/>
  <c r="M842" i="8"/>
  <c r="N403" i="8"/>
  <c r="I404" i="8" s="1"/>
  <c r="J404" i="8" s="1"/>
  <c r="N237" i="8"/>
  <c r="J203" i="11"/>
  <c r="G203" i="11"/>
  <c r="N677" i="8"/>
  <c r="I678" i="8" s="1"/>
  <c r="K1126" i="7"/>
  <c r="F1405" i="6"/>
  <c r="C958" i="7"/>
  <c r="D958" i="7" s="1"/>
  <c r="G1126" i="7"/>
  <c r="F293" i="8"/>
  <c r="G512" i="8"/>
  <c r="B513" i="8" s="1"/>
  <c r="C513" i="8" s="1"/>
  <c r="D513" i="8" s="1"/>
  <c r="G622" i="7"/>
  <c r="B623" i="7" s="1"/>
  <c r="C623" i="7" s="1"/>
  <c r="D133" i="6"/>
  <c r="B134" i="6" s="1"/>
  <c r="C134" i="6" s="1"/>
  <c r="F17" i="10"/>
  <c r="C18" i="10" s="1"/>
  <c r="C1498" i="6"/>
  <c r="G1357" i="6"/>
  <c r="E1358" i="6" s="1"/>
  <c r="B1070" i="7"/>
  <c r="C1070" i="7" s="1"/>
  <c r="D1070" i="7" s="1"/>
  <c r="AO203" i="11"/>
  <c r="AS203" i="11" s="1"/>
  <c r="AX203" i="11" s="1"/>
  <c r="F323" i="6"/>
  <c r="E324" i="6" s="1"/>
  <c r="G324" i="6" s="1"/>
  <c r="F465" i="6"/>
  <c r="E466" i="6" s="1"/>
  <c r="F466" i="6" s="1"/>
  <c r="N182" i="8"/>
  <c r="M897" i="7"/>
  <c r="C696" i="6"/>
  <c r="B697" i="6" s="1"/>
  <c r="C697" i="6" s="1"/>
  <c r="G457" i="8"/>
  <c r="B458" i="8" s="1"/>
  <c r="N952" i="8"/>
  <c r="I953" i="8" s="1"/>
  <c r="G897" i="8"/>
  <c r="B898" i="8" s="1"/>
  <c r="F348" i="8"/>
  <c r="N512" i="8"/>
  <c r="I513" i="8" s="1"/>
  <c r="H203" i="11"/>
  <c r="M237" i="7"/>
  <c r="F182" i="12"/>
  <c r="G791" i="6"/>
  <c r="E792" i="6" s="1"/>
  <c r="D183" i="7"/>
  <c r="E183" i="7"/>
  <c r="G183" i="7" s="1"/>
  <c r="H183" i="7"/>
  <c r="E697" i="6"/>
  <c r="G697" i="6" s="1"/>
  <c r="F697" i="6"/>
  <c r="B229" i="6"/>
  <c r="C229" i="6"/>
  <c r="L348" i="7"/>
  <c r="O348" i="7"/>
  <c r="K348" i="7"/>
  <c r="M348" i="7" s="1"/>
  <c r="E183" i="6"/>
  <c r="F183" i="6" s="1"/>
  <c r="G843" i="7"/>
  <c r="L403" i="7"/>
  <c r="K403" i="7"/>
  <c r="M403" i="7" s="1"/>
  <c r="O403" i="7"/>
  <c r="B795" i="6"/>
  <c r="C795" i="6" s="1"/>
  <c r="B403" i="7"/>
  <c r="C403" i="7" s="1"/>
  <c r="H403" i="7" s="1"/>
  <c r="C788" i="7"/>
  <c r="D788" i="7" s="1"/>
  <c r="C1262" i="6"/>
  <c r="E1498" i="6"/>
  <c r="F1498" i="6" s="1"/>
  <c r="BA252" i="11"/>
  <c r="BC252" i="11" s="1"/>
  <c r="BB252" i="11" s="1"/>
  <c r="BM252" i="11" s="1"/>
  <c r="J843" i="7"/>
  <c r="K843" i="7" s="1"/>
  <c r="O568" i="8"/>
  <c r="L568" i="8"/>
  <c r="C568" i="7"/>
  <c r="D568" i="7" s="1"/>
  <c r="C1214" i="6"/>
  <c r="K568" i="8"/>
  <c r="E277" i="6"/>
  <c r="G277" i="6" s="1"/>
  <c r="F277" i="6"/>
  <c r="B276" i="6"/>
  <c r="D276" i="6" s="1"/>
  <c r="B349" i="8"/>
  <c r="B844" i="8"/>
  <c r="C844" i="8" s="1"/>
  <c r="B1074" i="6"/>
  <c r="D1074" i="6" s="1"/>
  <c r="C1074" i="6"/>
  <c r="I733" i="7"/>
  <c r="J733" i="7" s="1"/>
  <c r="E888" i="6"/>
  <c r="F888" i="6" s="1"/>
  <c r="C1309" i="6"/>
  <c r="F981" i="6"/>
  <c r="M292" i="12"/>
  <c r="G182" i="6"/>
  <c r="M13" i="9"/>
  <c r="N13" i="9" s="1"/>
  <c r="Q13" i="9" s="1"/>
  <c r="G13" i="9" s="1"/>
  <c r="P307" i="11"/>
  <c r="O307" i="11"/>
  <c r="N307" i="11"/>
  <c r="K308" i="11" s="1"/>
  <c r="L308" i="11" s="1"/>
  <c r="F897" i="8"/>
  <c r="D1028" i="6"/>
  <c r="B1029" i="6" s="1"/>
  <c r="C1029" i="6" s="1"/>
  <c r="D134" i="6"/>
  <c r="B135" i="6" s="1"/>
  <c r="C135" i="6" s="1"/>
  <c r="I1008" i="8"/>
  <c r="J1008" i="8" s="1"/>
  <c r="O1008" i="8" s="1"/>
  <c r="I788" i="7"/>
  <c r="J788" i="7" s="1"/>
  <c r="B369" i="6"/>
  <c r="D369" i="6" s="1"/>
  <c r="C293" i="12"/>
  <c r="D293" i="12" s="1"/>
  <c r="X306" i="11"/>
  <c r="V306" i="11"/>
  <c r="S307" i="11" s="1"/>
  <c r="W306" i="11"/>
  <c r="J183" i="12"/>
  <c r="E403" i="8"/>
  <c r="F841" i="6"/>
  <c r="I238" i="8"/>
  <c r="J238" i="8" s="1"/>
  <c r="B788" i="8"/>
  <c r="C788" i="8" s="1"/>
  <c r="E788" i="8" s="1"/>
  <c r="E128" i="7"/>
  <c r="H128" i="7"/>
  <c r="G567" i="8"/>
  <c r="N237" i="7"/>
  <c r="E652" i="6"/>
  <c r="F652" i="6" s="1"/>
  <c r="E1074" i="6"/>
  <c r="G1074" i="6" s="1"/>
  <c r="D128" i="7"/>
  <c r="B458" i="7"/>
  <c r="C458" i="7" s="1"/>
  <c r="E458" i="7" s="1"/>
  <c r="I623" i="8"/>
  <c r="J623" i="8" s="1"/>
  <c r="K568" i="7"/>
  <c r="O568" i="7"/>
  <c r="E1213" i="6"/>
  <c r="G1213" i="6" s="1"/>
  <c r="F1213" i="6"/>
  <c r="L568" i="7"/>
  <c r="N568" i="7" s="1"/>
  <c r="I293" i="12"/>
  <c r="M347" i="8"/>
  <c r="F1262" i="6"/>
  <c r="C463" i="6"/>
  <c r="E1449" i="6"/>
  <c r="G1449" i="6" s="1"/>
  <c r="H513" i="7"/>
  <c r="E513" i="7"/>
  <c r="G513" i="7" s="1"/>
  <c r="BQ203" i="11"/>
  <c r="M677" i="8"/>
  <c r="E306" i="11"/>
  <c r="I306" i="11" s="1"/>
  <c r="C183" i="8"/>
  <c r="J293" i="7"/>
  <c r="O293" i="8"/>
  <c r="F457" i="8"/>
  <c r="D403" i="8"/>
  <c r="E133" i="6"/>
  <c r="F133" i="6" s="1"/>
  <c r="M512" i="8"/>
  <c r="M952" i="8"/>
  <c r="E898" i="7"/>
  <c r="G898" i="7" s="1"/>
  <c r="H898" i="7"/>
  <c r="D843" i="7"/>
  <c r="F843" i="7" s="1"/>
  <c r="H843" i="7"/>
  <c r="D1452" i="6"/>
  <c r="B1453" i="6" s="1"/>
  <c r="C1453" i="6" s="1"/>
  <c r="G678" i="7"/>
  <c r="M788" i="8"/>
  <c r="B128" i="8"/>
  <c r="C128" i="8" s="1"/>
  <c r="E128" i="8" s="1"/>
  <c r="L678" i="7"/>
  <c r="O678" i="7"/>
  <c r="D228" i="6"/>
  <c r="D1404" i="6"/>
  <c r="B1405" i="6" s="1"/>
  <c r="C1405" i="6" s="1"/>
  <c r="K678" i="7"/>
  <c r="G347" i="7"/>
  <c r="E934" i="6"/>
  <c r="G934" i="6" s="1"/>
  <c r="C1015" i="7"/>
  <c r="D1015" i="7" s="1"/>
  <c r="N238" i="12"/>
  <c r="AU203" i="11"/>
  <c r="AY203" i="11" s="1"/>
  <c r="BD203" i="11" s="1"/>
  <c r="D934" i="6"/>
  <c r="B1008" i="8"/>
  <c r="C1008" i="8" s="1"/>
  <c r="E1008" i="8" s="1"/>
  <c r="BR203" i="11"/>
  <c r="H238" i="12"/>
  <c r="D238" i="12"/>
  <c r="F238" i="12" s="1"/>
  <c r="J25" i="9"/>
  <c r="D26" i="9"/>
  <c r="C26" i="9"/>
  <c r="K27" i="9" s="1"/>
  <c r="G182" i="12"/>
  <c r="C238" i="8"/>
  <c r="D238" i="8" s="1"/>
  <c r="I183" i="7"/>
  <c r="J183" i="7" s="1"/>
  <c r="G732" i="8"/>
  <c r="I898" i="7"/>
  <c r="J898" i="7" s="1"/>
  <c r="B1499" i="6"/>
  <c r="D1499" i="6" s="1"/>
  <c r="C1499" i="6"/>
  <c r="O458" i="7"/>
  <c r="D1356" i="6"/>
  <c r="E743" i="6"/>
  <c r="G743" i="6" s="1"/>
  <c r="F252" i="11"/>
  <c r="H252" i="11" s="1"/>
  <c r="I843" i="8"/>
  <c r="J843" i="8" s="1"/>
  <c r="O843" i="8" s="1"/>
  <c r="I513" i="7"/>
  <c r="J513" i="7" s="1"/>
  <c r="L513" i="7"/>
  <c r="B557" i="6"/>
  <c r="D557" i="6" s="1"/>
  <c r="C557" i="6"/>
  <c r="K458" i="7"/>
  <c r="M458" i="7" s="1"/>
  <c r="C322" i="6"/>
  <c r="F369" i="6"/>
  <c r="C238" i="7"/>
  <c r="E603" i="6"/>
  <c r="G603" i="6" s="1"/>
  <c r="D890" i="6"/>
  <c r="I1063" i="8"/>
  <c r="J1063" i="8" s="1"/>
  <c r="K293" i="8"/>
  <c r="M293" i="8" s="1"/>
  <c r="H1063" i="8"/>
  <c r="D1063" i="8"/>
  <c r="F1063" i="8" s="1"/>
  <c r="G510" i="6"/>
  <c r="B1166" i="6"/>
  <c r="D1166" i="6" s="1"/>
  <c r="B954" i="8"/>
  <c r="C954" i="8" s="1"/>
  <c r="H623" i="8"/>
  <c r="D623" i="8"/>
  <c r="F623" i="8" s="1"/>
  <c r="B181" i="6"/>
  <c r="D181" i="6" s="1"/>
  <c r="I789" i="8"/>
  <c r="K733" i="8"/>
  <c r="M733" i="8" s="1"/>
  <c r="G133" i="6"/>
  <c r="O733" i="8"/>
  <c r="G888" i="6"/>
  <c r="E128" i="12"/>
  <c r="G128" i="12" s="1"/>
  <c r="H128" i="12"/>
  <c r="F415" i="6"/>
  <c r="D898" i="7"/>
  <c r="B981" i="6"/>
  <c r="D981" i="6" s="1"/>
  <c r="C981" i="6"/>
  <c r="H12" i="9"/>
  <c r="I12" i="9" s="1"/>
  <c r="G1167" i="6"/>
  <c r="E1168" i="6" s="1"/>
  <c r="F1168" i="6" s="1"/>
  <c r="C511" i="6"/>
  <c r="O13" i="9"/>
  <c r="N128" i="8"/>
  <c r="O898" i="8"/>
  <c r="L898" i="8"/>
  <c r="N898" i="8" s="1"/>
  <c r="E1311" i="6"/>
  <c r="G1311" i="6" s="1"/>
  <c r="F1027" i="6"/>
  <c r="O238" i="12"/>
  <c r="K238" i="12"/>
  <c r="M238" i="12" s="1"/>
  <c r="BS203" i="11"/>
  <c r="I128" i="7"/>
  <c r="J128" i="7" s="1"/>
  <c r="L128" i="7" s="1"/>
  <c r="E2915" i="6"/>
  <c r="G2915" i="6" s="1"/>
  <c r="F2915" i="6"/>
  <c r="D653" i="6"/>
  <c r="B654" i="6" s="1"/>
  <c r="C654" i="6" s="1"/>
  <c r="M15" i="10"/>
  <c r="I15" i="10" s="1"/>
  <c r="N15" i="10"/>
  <c r="H15" i="10" s="1"/>
  <c r="K15" i="10" s="1"/>
  <c r="I623" i="7"/>
  <c r="J623" i="7" s="1"/>
  <c r="G557" i="6"/>
  <c r="E1122" i="6"/>
  <c r="F1122" i="6" s="1"/>
  <c r="D840" i="6"/>
  <c r="B841" i="6" s="1"/>
  <c r="C841" i="6" s="1"/>
  <c r="G230" i="6"/>
  <c r="E231" i="6" s="1"/>
  <c r="F231" i="6" s="1"/>
  <c r="G677" i="8"/>
  <c r="I458" i="8"/>
  <c r="J458" i="8" s="1"/>
  <c r="G292" i="7"/>
  <c r="I128" i="12"/>
  <c r="J128" i="12" s="1"/>
  <c r="G732" i="7"/>
  <c r="C604" i="6"/>
  <c r="B890" i="6"/>
  <c r="C890" i="6" s="1"/>
  <c r="B1121" i="6"/>
  <c r="C1121" i="6" s="1"/>
  <c r="G293" i="8"/>
  <c r="G792" i="6" l="1"/>
  <c r="F792" i="6"/>
  <c r="C349" i="8"/>
  <c r="D349" i="8" s="1"/>
  <c r="F349" i="8" s="1"/>
  <c r="AQ203" i="11"/>
  <c r="AW203" i="11" s="1"/>
  <c r="G403" i="8"/>
  <c r="B404" i="8" s="1"/>
  <c r="D418" i="6"/>
  <c r="B419" i="6" s="1"/>
  <c r="F743" i="6"/>
  <c r="E744" i="6" s="1"/>
  <c r="F744" i="6" s="1"/>
  <c r="C2917" i="6"/>
  <c r="H349" i="8"/>
  <c r="E349" i="8"/>
  <c r="D623" i="7"/>
  <c r="H623" i="7"/>
  <c r="I1070" i="7"/>
  <c r="F1070" i="7"/>
  <c r="E1070" i="7"/>
  <c r="G1070" i="7" s="1"/>
  <c r="J1070" i="7"/>
  <c r="F1358" i="6"/>
  <c r="G1358" i="6"/>
  <c r="F128" i="12"/>
  <c r="AV203" i="11"/>
  <c r="N568" i="8"/>
  <c r="I569" i="8" s="1"/>
  <c r="M678" i="7"/>
  <c r="F128" i="7"/>
  <c r="G623" i="8"/>
  <c r="B624" i="8" s="1"/>
  <c r="C624" i="8" s="1"/>
  <c r="I183" i="8"/>
  <c r="J183" i="8" s="1"/>
  <c r="L183" i="8" s="1"/>
  <c r="D18" i="10"/>
  <c r="F18" i="10" s="1"/>
  <c r="E1406" i="6"/>
  <c r="G1406" i="6" s="1"/>
  <c r="AR203" i="11"/>
  <c r="AZ203" i="11" s="1"/>
  <c r="I958" i="7"/>
  <c r="F958" i="7"/>
  <c r="E958" i="7"/>
  <c r="G958" i="7" s="1"/>
  <c r="J958" i="7"/>
  <c r="H958" i="7"/>
  <c r="G1063" i="8"/>
  <c r="F324" i="6"/>
  <c r="E18" i="10"/>
  <c r="E623" i="7"/>
  <c r="AT203" i="11"/>
  <c r="BA203" i="11" s="1"/>
  <c r="BC203" i="11" s="1"/>
  <c r="G1498" i="6"/>
  <c r="E1499" i="6" s="1"/>
  <c r="G1499" i="6" s="1"/>
  <c r="F1311" i="6"/>
  <c r="E1312" i="6" s="1"/>
  <c r="G1312" i="6" s="1"/>
  <c r="C1127" i="7"/>
  <c r="D1127" i="7" s="1"/>
  <c r="I203" i="11"/>
  <c r="K203" i="11" s="1"/>
  <c r="Q203" i="11" s="1"/>
  <c r="E1015" i="7"/>
  <c r="J1015" i="7"/>
  <c r="I1015" i="7"/>
  <c r="F1015" i="7"/>
  <c r="L128" i="12"/>
  <c r="K128" i="12"/>
  <c r="M128" i="12" s="1"/>
  <c r="O128" i="12"/>
  <c r="BJ252" i="11"/>
  <c r="BI252" i="11"/>
  <c r="BH252" i="11"/>
  <c r="BG252" i="11"/>
  <c r="BF252" i="11"/>
  <c r="BE252" i="11"/>
  <c r="BK252" i="11"/>
  <c r="K458" i="8"/>
  <c r="O458" i="8"/>
  <c r="L458" i="8"/>
  <c r="N458" i="8" s="1"/>
  <c r="L404" i="8"/>
  <c r="K404" i="8"/>
  <c r="M404" i="8" s="1"/>
  <c r="O404" i="8"/>
  <c r="O788" i="7"/>
  <c r="L788" i="7"/>
  <c r="K788" i="7"/>
  <c r="M788" i="7" s="1"/>
  <c r="E889" i="6"/>
  <c r="G889" i="6" s="1"/>
  <c r="F889" i="6"/>
  <c r="K238" i="8"/>
  <c r="O238" i="8"/>
  <c r="L238" i="8"/>
  <c r="N238" i="8" s="1"/>
  <c r="E134" i="6"/>
  <c r="F134" i="6" s="1"/>
  <c r="B1030" i="6"/>
  <c r="C1030" i="6" s="1"/>
  <c r="B698" i="6"/>
  <c r="C698" i="6" s="1"/>
  <c r="O898" i="7"/>
  <c r="K898" i="7"/>
  <c r="L898" i="7"/>
  <c r="O1063" i="8"/>
  <c r="K1063" i="8"/>
  <c r="L1063" i="8"/>
  <c r="N1063" i="8" s="1"/>
  <c r="B844" i="7"/>
  <c r="C844" i="7" s="1"/>
  <c r="B1263" i="6"/>
  <c r="D1263" i="6" s="1"/>
  <c r="C1263" i="6"/>
  <c r="O623" i="8"/>
  <c r="K623" i="8"/>
  <c r="B293" i="7"/>
  <c r="C293" i="7" s="1"/>
  <c r="E293" i="7"/>
  <c r="I129" i="8"/>
  <c r="J129" i="8" s="1"/>
  <c r="L129" i="8" s="1"/>
  <c r="C1166" i="6"/>
  <c r="I252" i="11"/>
  <c r="C458" i="8"/>
  <c r="H844" i="8"/>
  <c r="D844" i="8"/>
  <c r="L16" i="10"/>
  <c r="J16" i="10"/>
  <c r="E325" i="6"/>
  <c r="G325" i="6" s="1"/>
  <c r="I238" i="7"/>
  <c r="J238" i="7" s="1"/>
  <c r="L238" i="7"/>
  <c r="E842" i="6"/>
  <c r="G842" i="6" s="1"/>
  <c r="I1183" i="7"/>
  <c r="E1183" i="7"/>
  <c r="J1183" i="7"/>
  <c r="F1183" i="7"/>
  <c r="H1183" i="7" s="1"/>
  <c r="K1008" i="8"/>
  <c r="B348" i="7"/>
  <c r="C348" i="7" s="1"/>
  <c r="E348" i="7" s="1"/>
  <c r="J513" i="8"/>
  <c r="B464" i="6"/>
  <c r="D464" i="6" s="1"/>
  <c r="D1405" i="6"/>
  <c r="B1406" i="6" s="1"/>
  <c r="C1406" i="6" s="1"/>
  <c r="E1263" i="6"/>
  <c r="G1263" i="6" s="1"/>
  <c r="M308" i="11"/>
  <c r="Q308" i="11" s="1"/>
  <c r="M568" i="8"/>
  <c r="G238" i="12"/>
  <c r="E1214" i="6"/>
  <c r="G1214" i="6" s="1"/>
  <c r="F1214" i="6"/>
  <c r="N403" i="7"/>
  <c r="B733" i="8"/>
  <c r="C733" i="8" s="1"/>
  <c r="E733" i="8" s="1"/>
  <c r="K183" i="7"/>
  <c r="O183" i="7"/>
  <c r="M898" i="8"/>
  <c r="N678" i="7"/>
  <c r="G128" i="7"/>
  <c r="E403" i="7"/>
  <c r="N733" i="8"/>
  <c r="F183" i="7"/>
  <c r="F898" i="7"/>
  <c r="L843" i="8"/>
  <c r="D697" i="6"/>
  <c r="H238" i="8"/>
  <c r="E238" i="8"/>
  <c r="G238" i="8" s="1"/>
  <c r="D128" i="8"/>
  <c r="F128" i="8" s="1"/>
  <c r="H128" i="8"/>
  <c r="F403" i="8"/>
  <c r="BT203" i="11"/>
  <c r="BU203" i="11" s="1"/>
  <c r="J348" i="8"/>
  <c r="M568" i="7"/>
  <c r="F1074" i="6"/>
  <c r="H788" i="8"/>
  <c r="D788" i="8"/>
  <c r="F788" i="8" s="1"/>
  <c r="G183" i="6"/>
  <c r="D743" i="6"/>
  <c r="N458" i="7"/>
  <c r="E1123" i="6"/>
  <c r="F1123" i="6" s="1"/>
  <c r="D1453" i="6"/>
  <c r="I569" i="7"/>
  <c r="K623" i="7"/>
  <c r="O623" i="7"/>
  <c r="B1500" i="6"/>
  <c r="D1500" i="6" s="1"/>
  <c r="D403" i="7"/>
  <c r="L623" i="8"/>
  <c r="O733" i="7"/>
  <c r="K733" i="7"/>
  <c r="D795" i="6"/>
  <c r="B796" i="6" s="1"/>
  <c r="C796" i="6" s="1"/>
  <c r="F934" i="6"/>
  <c r="L733" i="7"/>
  <c r="N733" i="7" s="1"/>
  <c r="E844" i="8"/>
  <c r="B512" i="6"/>
  <c r="D512" i="6" s="1"/>
  <c r="C512" i="6"/>
  <c r="O293" i="7"/>
  <c r="L293" i="7"/>
  <c r="G623" i="7"/>
  <c r="D654" i="6"/>
  <c r="K293" i="7"/>
  <c r="K843" i="8"/>
  <c r="E698" i="6"/>
  <c r="G698" i="6" s="1"/>
  <c r="E2916" i="6"/>
  <c r="G2916" i="6" s="1"/>
  <c r="B1075" i="6"/>
  <c r="C1075" i="6" s="1"/>
  <c r="B678" i="8"/>
  <c r="C678" i="8" s="1"/>
  <c r="E678" i="8"/>
  <c r="C181" i="6"/>
  <c r="D229" i="6"/>
  <c r="D458" i="7"/>
  <c r="F458" i="7" s="1"/>
  <c r="H458" i="7"/>
  <c r="D1075" i="6"/>
  <c r="G231" i="6"/>
  <c r="E232" i="6" s="1"/>
  <c r="F232" i="6" s="1"/>
  <c r="E513" i="8"/>
  <c r="G513" i="8" s="1"/>
  <c r="H306" i="11"/>
  <c r="G306" i="11"/>
  <c r="F306" i="11"/>
  <c r="C307" i="11" s="1"/>
  <c r="D307" i="11" s="1"/>
  <c r="B568" i="8"/>
  <c r="C568" i="8" s="1"/>
  <c r="E568" i="8" s="1"/>
  <c r="B982" i="6"/>
  <c r="D982" i="6" s="1"/>
  <c r="B1215" i="6"/>
  <c r="D1215" i="6" s="1"/>
  <c r="B184" i="7"/>
  <c r="B294" i="8"/>
  <c r="C294" i="8" s="1"/>
  <c r="D1008" i="8"/>
  <c r="F1008" i="8" s="1"/>
  <c r="H1008" i="8"/>
  <c r="J678" i="8"/>
  <c r="T307" i="11"/>
  <c r="U307" i="11" s="1"/>
  <c r="Y307" i="11" s="1"/>
  <c r="H954" i="8"/>
  <c r="D954" i="8"/>
  <c r="F954" i="8" s="1"/>
  <c r="J293" i="12"/>
  <c r="K293" i="12" s="1"/>
  <c r="P13" i="9"/>
  <c r="G466" i="6"/>
  <c r="N348" i="7"/>
  <c r="B605" i="6"/>
  <c r="D605" i="6" s="1"/>
  <c r="E1028" i="6"/>
  <c r="G1028" i="6" s="1"/>
  <c r="E954" i="8"/>
  <c r="B183" i="12"/>
  <c r="C183" i="12" s="1"/>
  <c r="J789" i="8"/>
  <c r="D1121" i="6"/>
  <c r="B1122" i="6" s="1"/>
  <c r="C1122" i="6" s="1"/>
  <c r="D135" i="6"/>
  <c r="E982" i="6"/>
  <c r="G982" i="6" s="1"/>
  <c r="C276" i="6"/>
  <c r="F513" i="7"/>
  <c r="B733" i="7"/>
  <c r="C733" i="7" s="1"/>
  <c r="I899" i="8"/>
  <c r="B323" i="6"/>
  <c r="D323" i="6" s="1"/>
  <c r="I239" i="12"/>
  <c r="J239" i="12" s="1"/>
  <c r="E568" i="7"/>
  <c r="G568" i="7" s="1"/>
  <c r="H568" i="7"/>
  <c r="F1449" i="6"/>
  <c r="C898" i="8"/>
  <c r="E278" i="6"/>
  <c r="F278" i="6" s="1"/>
  <c r="L623" i="7"/>
  <c r="H293" i="12"/>
  <c r="E293" i="12"/>
  <c r="G293" i="12" s="1"/>
  <c r="B899" i="7"/>
  <c r="H788" i="7"/>
  <c r="E788" i="7"/>
  <c r="G788" i="7" s="1"/>
  <c r="E793" i="6"/>
  <c r="G793" i="6" s="1"/>
  <c r="F793" i="6"/>
  <c r="B1064" i="8"/>
  <c r="C1064" i="8" s="1"/>
  <c r="E1064" i="8" s="1"/>
  <c r="J953" i="8"/>
  <c r="L843" i="7"/>
  <c r="N843" i="7" s="1"/>
  <c r="O843" i="7"/>
  <c r="G1168" i="6"/>
  <c r="H513" i="8"/>
  <c r="F603" i="6"/>
  <c r="H183" i="8"/>
  <c r="E183" i="8"/>
  <c r="C369" i="6"/>
  <c r="B558" i="6"/>
  <c r="D558" i="6" s="1"/>
  <c r="D183" i="8"/>
  <c r="F183" i="8" s="1"/>
  <c r="L183" i="12"/>
  <c r="O183" i="12"/>
  <c r="E511" i="6"/>
  <c r="F511" i="6" s="1"/>
  <c r="H238" i="7"/>
  <c r="E238" i="7"/>
  <c r="K183" i="12"/>
  <c r="K128" i="7"/>
  <c r="M128" i="7" s="1"/>
  <c r="O128" i="7"/>
  <c r="D238" i="7"/>
  <c r="E558" i="6"/>
  <c r="F558" i="6" s="1"/>
  <c r="O513" i="7"/>
  <c r="K513" i="7"/>
  <c r="M513" i="7" s="1"/>
  <c r="L183" i="7"/>
  <c r="B891" i="6"/>
  <c r="C891" i="6" s="1"/>
  <c r="D841" i="6"/>
  <c r="B842" i="6" s="1"/>
  <c r="C842" i="6" s="1"/>
  <c r="E416" i="6"/>
  <c r="G416" i="6" s="1"/>
  <c r="E370" i="6"/>
  <c r="G370" i="6" s="1"/>
  <c r="F370" i="6"/>
  <c r="B514" i="7"/>
  <c r="L1008" i="8"/>
  <c r="N1008" i="8" s="1"/>
  <c r="B129" i="12"/>
  <c r="D27" i="9"/>
  <c r="C27" i="9"/>
  <c r="J26" i="9"/>
  <c r="B679" i="7"/>
  <c r="C679" i="7" s="1"/>
  <c r="E679" i="7"/>
  <c r="G652" i="6"/>
  <c r="E653" i="6" s="1"/>
  <c r="F653" i="6" s="1"/>
  <c r="B1357" i="6"/>
  <c r="C1357" i="6" s="1"/>
  <c r="D1029" i="6"/>
  <c r="B1310" i="6"/>
  <c r="D1310" i="6" s="1"/>
  <c r="B935" i="6"/>
  <c r="C935" i="6" s="1"/>
  <c r="N293" i="8"/>
  <c r="C419" i="6" l="1"/>
  <c r="B420" i="6" s="1"/>
  <c r="C420" i="6" s="1"/>
  <c r="D419" i="6"/>
  <c r="C129" i="12"/>
  <c r="E129" i="12" s="1"/>
  <c r="H1015" i="7"/>
  <c r="B2918" i="6"/>
  <c r="D2918" i="6" s="1"/>
  <c r="D2919" i="6" s="1"/>
  <c r="B2920" i="6" s="1"/>
  <c r="C2918" i="6"/>
  <c r="B2919" i="6" s="1"/>
  <c r="C2919" i="6" s="1"/>
  <c r="M293" i="7"/>
  <c r="D891" i="6"/>
  <c r="N898" i="7"/>
  <c r="N623" i="7"/>
  <c r="I624" i="7" s="1"/>
  <c r="N623" i="8"/>
  <c r="I624" i="8" s="1"/>
  <c r="F403" i="7"/>
  <c r="G134" i="6"/>
  <c r="E135" i="6" s="1"/>
  <c r="F135" i="6" s="1"/>
  <c r="I1127" i="7"/>
  <c r="F1127" i="7"/>
  <c r="K1127" i="7" s="1"/>
  <c r="J1127" i="7"/>
  <c r="E1127" i="7"/>
  <c r="BB203" i="11"/>
  <c r="BM203" i="11" s="1"/>
  <c r="B421" i="6"/>
  <c r="C421" i="6" s="1"/>
  <c r="G238" i="7"/>
  <c r="D935" i="6"/>
  <c r="B936" i="6" s="1"/>
  <c r="C936" i="6" s="1"/>
  <c r="N183" i="12"/>
  <c r="C1215" i="6"/>
  <c r="E1359" i="6"/>
  <c r="F1359" i="6" s="1"/>
  <c r="O203" i="11"/>
  <c r="S203" i="11" s="1"/>
  <c r="N183" i="7"/>
  <c r="B959" i="7"/>
  <c r="C959" i="7" s="1"/>
  <c r="D959" i="7" s="1"/>
  <c r="H1064" i="8"/>
  <c r="C1310" i="6"/>
  <c r="B1311" i="6" s="1"/>
  <c r="F1312" i="6"/>
  <c r="D420" i="6"/>
  <c r="P203" i="11"/>
  <c r="F2916" i="6"/>
  <c r="L203" i="11"/>
  <c r="T203" i="11" s="1"/>
  <c r="F623" i="7"/>
  <c r="K1070" i="7"/>
  <c r="G1008" i="8"/>
  <c r="B1009" i="8" s="1"/>
  <c r="C1009" i="8" s="1"/>
  <c r="G1123" i="6"/>
  <c r="G349" i="8"/>
  <c r="B350" i="8" s="1"/>
  <c r="C350" i="8" s="1"/>
  <c r="H350" i="8" s="1"/>
  <c r="G278" i="6"/>
  <c r="G1015" i="7"/>
  <c r="M203" i="11"/>
  <c r="R203" i="11" s="1"/>
  <c r="C1500" i="6"/>
  <c r="B1501" i="6" s="1"/>
  <c r="F1406" i="6"/>
  <c r="K183" i="8"/>
  <c r="M183" i="8" s="1"/>
  <c r="O183" i="8"/>
  <c r="N128" i="7"/>
  <c r="G844" i="8"/>
  <c r="B845" i="8" s="1"/>
  <c r="N203" i="11"/>
  <c r="H1070" i="7"/>
  <c r="M843" i="8"/>
  <c r="F568" i="7"/>
  <c r="K958" i="7"/>
  <c r="E1124" i="6"/>
  <c r="F1124" i="6" s="1"/>
  <c r="B892" i="6"/>
  <c r="D892" i="6" s="1"/>
  <c r="B1184" i="7"/>
  <c r="D844" i="7"/>
  <c r="E844" i="7"/>
  <c r="H844" i="7"/>
  <c r="BZ203" i="11"/>
  <c r="BX203" i="11"/>
  <c r="BY203" i="11"/>
  <c r="CD203" i="11" s="1"/>
  <c r="CG203" i="11" s="1"/>
  <c r="CA203" i="11"/>
  <c r="CE203" i="11" s="1"/>
  <c r="BW203" i="11"/>
  <c r="CC203" i="11" s="1"/>
  <c r="CB203" i="11"/>
  <c r="K239" i="12"/>
  <c r="O239" i="12"/>
  <c r="L239" i="12"/>
  <c r="N239" i="12" s="1"/>
  <c r="B1076" i="6"/>
  <c r="D1076" i="6" s="1"/>
  <c r="C1076" i="6"/>
  <c r="B1016" i="7"/>
  <c r="C1016" i="7"/>
  <c r="D1016" i="7" s="1"/>
  <c r="D624" i="8"/>
  <c r="E624" i="8"/>
  <c r="H624" i="8"/>
  <c r="B1358" i="6"/>
  <c r="C1358" i="6" s="1"/>
  <c r="I349" i="7"/>
  <c r="J349" i="7" s="1"/>
  <c r="E2917" i="6"/>
  <c r="F2917" i="6" s="1"/>
  <c r="I1009" i="8"/>
  <c r="I734" i="7"/>
  <c r="H458" i="8"/>
  <c r="E458" i="8"/>
  <c r="G458" i="8" s="1"/>
  <c r="W307" i="11"/>
  <c r="V307" i="11"/>
  <c r="S308" i="11" s="1"/>
  <c r="T308" i="11" s="1"/>
  <c r="U308" i="11"/>
  <c r="X307" i="11"/>
  <c r="Y308" i="11"/>
  <c r="F13" i="9"/>
  <c r="F698" i="6"/>
  <c r="I679" i="7"/>
  <c r="J679" i="7" s="1"/>
  <c r="L679" i="7" s="1"/>
  <c r="D458" i="8"/>
  <c r="P252" i="11"/>
  <c r="L252" i="11"/>
  <c r="O252" i="11"/>
  <c r="S252" i="11" s="1"/>
  <c r="K252" i="11"/>
  <c r="Q252" i="11" s="1"/>
  <c r="N788" i="7"/>
  <c r="K1015" i="7"/>
  <c r="L513" i="8"/>
  <c r="O513" i="8"/>
  <c r="E890" i="6"/>
  <c r="F890" i="6" s="1"/>
  <c r="D129" i="12"/>
  <c r="F129" i="12" s="1"/>
  <c r="F293" i="12"/>
  <c r="B239" i="8"/>
  <c r="E1215" i="6"/>
  <c r="G1215" i="6" s="1"/>
  <c r="B1264" i="6"/>
  <c r="C1264" i="6" s="1"/>
  <c r="L678" i="8"/>
  <c r="O678" i="8"/>
  <c r="E935" i="6"/>
  <c r="G935" i="6" s="1"/>
  <c r="F842" i="6"/>
  <c r="I844" i="7"/>
  <c r="C323" i="6"/>
  <c r="K678" i="8"/>
  <c r="B239" i="12"/>
  <c r="C239" i="12" s="1"/>
  <c r="I184" i="12"/>
  <c r="L789" i="8"/>
  <c r="O789" i="8"/>
  <c r="N843" i="8"/>
  <c r="J899" i="8"/>
  <c r="D1357" i="6"/>
  <c r="F1499" i="6"/>
  <c r="S13" i="9"/>
  <c r="E13" i="9" s="1"/>
  <c r="E1075" i="6"/>
  <c r="G1075" i="6" s="1"/>
  <c r="F1075" i="6"/>
  <c r="M843" i="7"/>
  <c r="F238" i="8"/>
  <c r="H898" i="8"/>
  <c r="E898" i="8"/>
  <c r="F325" i="6"/>
  <c r="C558" i="6"/>
  <c r="H678" i="8"/>
  <c r="D678" i="8"/>
  <c r="F678" i="8" s="1"/>
  <c r="O129" i="8"/>
  <c r="K129" i="8"/>
  <c r="M129" i="8" s="1"/>
  <c r="H294" i="8"/>
  <c r="D294" i="8"/>
  <c r="B624" i="7"/>
  <c r="G458" i="7"/>
  <c r="I294" i="8"/>
  <c r="J294" i="8" s="1"/>
  <c r="L294" i="8"/>
  <c r="E794" i="6"/>
  <c r="G794" i="6" s="1"/>
  <c r="F794" i="6"/>
  <c r="D293" i="7"/>
  <c r="F293" i="7" s="1"/>
  <c r="H293" i="7"/>
  <c r="M1063" i="8"/>
  <c r="N404" i="8"/>
  <c r="H129" i="12"/>
  <c r="D1406" i="6"/>
  <c r="B1407" i="6" s="1"/>
  <c r="C1407" i="6" s="1"/>
  <c r="M183" i="12"/>
  <c r="B514" i="8"/>
  <c r="B513" i="6"/>
  <c r="C513" i="6" s="1"/>
  <c r="D842" i="6"/>
  <c r="E604" i="6"/>
  <c r="G604" i="6" s="1"/>
  <c r="C514" i="7"/>
  <c r="D514" i="7" s="1"/>
  <c r="F1028" i="6"/>
  <c r="M623" i="8"/>
  <c r="M898" i="7"/>
  <c r="M458" i="8"/>
  <c r="B239" i="7"/>
  <c r="B129" i="7"/>
  <c r="C129" i="7" s="1"/>
  <c r="E129" i="7" s="1"/>
  <c r="I404" i="7"/>
  <c r="J404" i="7" s="1"/>
  <c r="L404" i="7"/>
  <c r="G653" i="6"/>
  <c r="I184" i="7"/>
  <c r="B294" i="12"/>
  <c r="K513" i="8"/>
  <c r="AM253" i="11"/>
  <c r="I129" i="7"/>
  <c r="J129" i="7" s="1"/>
  <c r="H679" i="7"/>
  <c r="D679" i="7"/>
  <c r="F679" i="7" s="1"/>
  <c r="D1122" i="6"/>
  <c r="C982" i="6"/>
  <c r="D1264" i="6"/>
  <c r="E559" i="6"/>
  <c r="F559" i="6" s="1"/>
  <c r="L293" i="12"/>
  <c r="N293" i="12" s="1"/>
  <c r="O293" i="12"/>
  <c r="D698" i="6"/>
  <c r="M252" i="11"/>
  <c r="R252" i="11" s="1"/>
  <c r="U252" i="11" s="1"/>
  <c r="B744" i="6"/>
  <c r="C744" i="6" s="1"/>
  <c r="E467" i="6"/>
  <c r="F467" i="6" s="1"/>
  <c r="N513" i="7"/>
  <c r="O953" i="8"/>
  <c r="L953" i="8"/>
  <c r="D568" i="8"/>
  <c r="F568" i="8" s="1"/>
  <c r="H568" i="8"/>
  <c r="O238" i="7"/>
  <c r="K238" i="7"/>
  <c r="M238" i="7" s="1"/>
  <c r="N252" i="11"/>
  <c r="F238" i="7"/>
  <c r="G788" i="8"/>
  <c r="B182" i="6"/>
  <c r="D182" i="6" s="1"/>
  <c r="M623" i="7"/>
  <c r="C899" i="7"/>
  <c r="D899" i="7" s="1"/>
  <c r="G2917" i="6"/>
  <c r="B1167" i="6"/>
  <c r="D1167" i="6" s="1"/>
  <c r="M1008" i="8"/>
  <c r="E371" i="6"/>
  <c r="G371" i="6" s="1"/>
  <c r="D898" i="8"/>
  <c r="L348" i="8"/>
  <c r="O348" i="8"/>
  <c r="O308" i="11"/>
  <c r="N308" i="11"/>
  <c r="K309" i="11" s="1"/>
  <c r="L309" i="11" s="1"/>
  <c r="P308" i="11"/>
  <c r="N128" i="12"/>
  <c r="K348" i="8"/>
  <c r="M183" i="7"/>
  <c r="G1183" i="7"/>
  <c r="E184" i="6"/>
  <c r="F184" i="6" s="1"/>
  <c r="B370" i="6"/>
  <c r="D370" i="6" s="1"/>
  <c r="G954" i="8"/>
  <c r="E294" i="8"/>
  <c r="N293" i="7"/>
  <c r="K1183" i="7"/>
  <c r="I239" i="8"/>
  <c r="H733" i="7"/>
  <c r="D733" i="7"/>
  <c r="C184" i="7"/>
  <c r="D184" i="7" s="1"/>
  <c r="B789" i="7"/>
  <c r="E733" i="7"/>
  <c r="G733" i="7" s="1"/>
  <c r="H733" i="8"/>
  <c r="D733" i="8"/>
  <c r="F733" i="8" s="1"/>
  <c r="M238" i="8"/>
  <c r="B277" i="6"/>
  <c r="D277" i="6" s="1"/>
  <c r="B1216" i="6"/>
  <c r="C1216" i="6" s="1"/>
  <c r="G744" i="6"/>
  <c r="C404" i="8"/>
  <c r="D404" i="8" s="1"/>
  <c r="I734" i="8"/>
  <c r="J734" i="8" s="1"/>
  <c r="L734" i="8" s="1"/>
  <c r="M16" i="10"/>
  <c r="I16" i="10" s="1"/>
  <c r="F513" i="8"/>
  <c r="AJ253" i="11"/>
  <c r="AL253" i="11"/>
  <c r="E1169" i="6"/>
  <c r="F1169" i="6" s="1"/>
  <c r="N238" i="7"/>
  <c r="D28" i="9"/>
  <c r="C28" i="9"/>
  <c r="J27" i="9"/>
  <c r="G128" i="8"/>
  <c r="K953" i="8"/>
  <c r="M953" i="8" s="1"/>
  <c r="K789" i="8"/>
  <c r="D348" i="7"/>
  <c r="F348" i="7" s="1"/>
  <c r="H348" i="7"/>
  <c r="G558" i="6"/>
  <c r="D183" i="12"/>
  <c r="H183" i="12"/>
  <c r="R13" i="9"/>
  <c r="J569" i="7"/>
  <c r="J569" i="8"/>
  <c r="D1064" i="8"/>
  <c r="F1064" i="8" s="1"/>
  <c r="E183" i="12"/>
  <c r="D796" i="6"/>
  <c r="B797" i="6" s="1"/>
  <c r="C797" i="6" s="1"/>
  <c r="E1450" i="6"/>
  <c r="G1450" i="6" s="1"/>
  <c r="I1064" i="8"/>
  <c r="F1263" i="6"/>
  <c r="G511" i="6"/>
  <c r="E512" i="6" s="1"/>
  <c r="F512" i="6" s="1"/>
  <c r="AI253" i="11"/>
  <c r="BL252" i="11"/>
  <c r="AP253" i="11" s="1"/>
  <c r="F416" i="6"/>
  <c r="G183" i="8"/>
  <c r="E307" i="11"/>
  <c r="I307" i="11" s="1"/>
  <c r="M733" i="7"/>
  <c r="I459" i="8"/>
  <c r="D19" i="10"/>
  <c r="C19" i="10"/>
  <c r="E19" i="10"/>
  <c r="I899" i="7"/>
  <c r="B136" i="6"/>
  <c r="C136" i="6" s="1"/>
  <c r="D1030" i="6"/>
  <c r="B569" i="7"/>
  <c r="C569" i="7" s="1"/>
  <c r="F982" i="6"/>
  <c r="C605" i="6"/>
  <c r="G232" i="6"/>
  <c r="E233" i="6" s="1"/>
  <c r="F233" i="6" s="1"/>
  <c r="B230" i="6"/>
  <c r="C230" i="6" s="1"/>
  <c r="I459" i="7"/>
  <c r="J459" i="7" s="1"/>
  <c r="L459" i="7"/>
  <c r="G403" i="7"/>
  <c r="C464" i="6"/>
  <c r="F844" i="8"/>
  <c r="B655" i="6"/>
  <c r="C655" i="6" s="1"/>
  <c r="K28" i="9"/>
  <c r="F788" i="7"/>
  <c r="B1454" i="6"/>
  <c r="C1454" i="6" s="1"/>
  <c r="C1184" i="7" l="1"/>
  <c r="K29" i="9"/>
  <c r="G1359" i="6"/>
  <c r="G1360" i="6" s="1"/>
  <c r="F183" i="12"/>
  <c r="M513" i="8"/>
  <c r="C624" i="7"/>
  <c r="E624" i="7" s="1"/>
  <c r="E279" i="6"/>
  <c r="F279" i="6" s="1"/>
  <c r="G1127" i="7"/>
  <c r="N789" i="8"/>
  <c r="I790" i="8" s="1"/>
  <c r="E1360" i="6"/>
  <c r="F1360" i="6" s="1"/>
  <c r="E1361" i="6" s="1"/>
  <c r="F1361" i="6" s="1"/>
  <c r="D1216" i="6"/>
  <c r="B1217" i="6" s="1"/>
  <c r="D1217" i="6" s="1"/>
  <c r="G678" i="8"/>
  <c r="B679" i="8" s="1"/>
  <c r="C679" i="8" s="1"/>
  <c r="F294" i="8"/>
  <c r="G624" i="8"/>
  <c r="B625" i="8" s="1"/>
  <c r="G844" i="7"/>
  <c r="B845" i="7" s="1"/>
  <c r="C1311" i="6"/>
  <c r="D1311" i="6"/>
  <c r="C2920" i="6"/>
  <c r="D2920" i="6"/>
  <c r="B2921" i="6" s="1"/>
  <c r="D2921" i="6" s="1"/>
  <c r="E1009" i="8"/>
  <c r="H1009" i="8"/>
  <c r="F1313" i="6"/>
  <c r="C1501" i="6"/>
  <c r="D1501" i="6"/>
  <c r="B1502" i="6" s="1"/>
  <c r="C1502" i="6" s="1"/>
  <c r="I959" i="7"/>
  <c r="F959" i="7"/>
  <c r="J959" i="7"/>
  <c r="E959" i="7"/>
  <c r="G467" i="6"/>
  <c r="G468" i="6" s="1"/>
  <c r="D421" i="6"/>
  <c r="B422" i="6" s="1"/>
  <c r="E1313" i="6"/>
  <c r="G1313" i="6" s="1"/>
  <c r="U203" i="11"/>
  <c r="W203" i="11" s="1"/>
  <c r="D230" i="6"/>
  <c r="F371" i="6"/>
  <c r="E372" i="6" s="1"/>
  <c r="H1127" i="7"/>
  <c r="N183" i="8"/>
  <c r="I184" i="8" s="1"/>
  <c r="J184" i="8" s="1"/>
  <c r="O184" i="8" s="1"/>
  <c r="N348" i="8"/>
  <c r="I349" i="8" s="1"/>
  <c r="G293" i="7"/>
  <c r="B294" i="7" s="1"/>
  <c r="C294" i="7" s="1"/>
  <c r="E294" i="7" s="1"/>
  <c r="N678" i="8"/>
  <c r="I679" i="8" s="1"/>
  <c r="C277" i="6"/>
  <c r="C370" i="6"/>
  <c r="B371" i="6" s="1"/>
  <c r="D371" i="6" s="1"/>
  <c r="B1071" i="7"/>
  <c r="C1071" i="7" s="1"/>
  <c r="D1071" i="7" s="1"/>
  <c r="E1407" i="6"/>
  <c r="G1407" i="6" s="1"/>
  <c r="F898" i="8"/>
  <c r="C1167" i="6"/>
  <c r="B1168" i="6" s="1"/>
  <c r="D1168" i="6" s="1"/>
  <c r="G1169" i="6"/>
  <c r="E1170" i="6" s="1"/>
  <c r="G1170" i="6" s="1"/>
  <c r="C892" i="6"/>
  <c r="K129" i="7"/>
  <c r="L129" i="7"/>
  <c r="N129" i="7" s="1"/>
  <c r="O129" i="7"/>
  <c r="E2918" i="6"/>
  <c r="F2918" i="6" s="1"/>
  <c r="H569" i="7"/>
  <c r="D569" i="7"/>
  <c r="E569" i="7"/>
  <c r="G569" i="7" s="1"/>
  <c r="B1312" i="6"/>
  <c r="D1312" i="6" s="1"/>
  <c r="B1265" i="6"/>
  <c r="C1265" i="6" s="1"/>
  <c r="F1016" i="7"/>
  <c r="E1016" i="7"/>
  <c r="J1016" i="7"/>
  <c r="I1016" i="7"/>
  <c r="H1016" i="7"/>
  <c r="B1017" i="7" s="1"/>
  <c r="K1016" i="7"/>
  <c r="G1016" i="7"/>
  <c r="J624" i="7"/>
  <c r="I844" i="8"/>
  <c r="J844" i="8" s="1"/>
  <c r="L844" i="8" s="1"/>
  <c r="O349" i="7"/>
  <c r="K349" i="7"/>
  <c r="N16" i="10"/>
  <c r="H16" i="10" s="1"/>
  <c r="K16" i="10" s="1"/>
  <c r="D350" i="8"/>
  <c r="L569" i="7"/>
  <c r="O569" i="7"/>
  <c r="I789" i="7"/>
  <c r="J789" i="7" s="1"/>
  <c r="L789" i="7"/>
  <c r="O734" i="8"/>
  <c r="K734" i="8"/>
  <c r="M734" i="8" s="1"/>
  <c r="B955" i="8"/>
  <c r="C955" i="8" s="1"/>
  <c r="E955" i="8"/>
  <c r="C239" i="7"/>
  <c r="D239" i="7" s="1"/>
  <c r="E1076" i="6"/>
  <c r="G1076" i="6" s="1"/>
  <c r="B324" i="6"/>
  <c r="D324" i="6" s="1"/>
  <c r="C324" i="6"/>
  <c r="CF203" i="11"/>
  <c r="CI203" i="11" s="1"/>
  <c r="CH203" i="11"/>
  <c r="CJ203" i="11"/>
  <c r="I239" i="7"/>
  <c r="J239" i="7" s="1"/>
  <c r="J239" i="8"/>
  <c r="K239" i="8" s="1"/>
  <c r="F1215" i="6"/>
  <c r="E699" i="6"/>
  <c r="G699" i="6" s="1"/>
  <c r="C789" i="7"/>
  <c r="G733" i="8"/>
  <c r="K569" i="7"/>
  <c r="J459" i="8"/>
  <c r="K459" i="8" s="1"/>
  <c r="J1064" i="8"/>
  <c r="B798" i="6"/>
  <c r="C798" i="6" s="1"/>
  <c r="W308" i="11"/>
  <c r="V308" i="11"/>
  <c r="S309" i="11" s="1"/>
  <c r="T309" i="11" s="1"/>
  <c r="X308" i="11"/>
  <c r="F307" i="11"/>
  <c r="C308" i="11" s="1"/>
  <c r="G307" i="11"/>
  <c r="H307" i="11"/>
  <c r="C294" i="12"/>
  <c r="D294" i="12" s="1"/>
  <c r="C845" i="8"/>
  <c r="B184" i="8"/>
  <c r="C184" i="8" s="1"/>
  <c r="B843" i="6"/>
  <c r="C843" i="6" s="1"/>
  <c r="B404" i="7"/>
  <c r="C404" i="7" s="1"/>
  <c r="D1184" i="7"/>
  <c r="D513" i="6"/>
  <c r="B514" i="6" s="1"/>
  <c r="C514" i="6" s="1"/>
  <c r="J1009" i="8"/>
  <c r="G184" i="6"/>
  <c r="K294" i="8"/>
  <c r="M294" i="8" s="1"/>
  <c r="O294" i="8"/>
  <c r="O459" i="7"/>
  <c r="K459" i="7"/>
  <c r="M459" i="7" s="1"/>
  <c r="M789" i="8"/>
  <c r="G1124" i="6"/>
  <c r="E1125" i="6" s="1"/>
  <c r="F1125" i="6" s="1"/>
  <c r="D1407" i="6"/>
  <c r="B1408" i="6" s="1"/>
  <c r="C1408" i="6" s="1"/>
  <c r="E326" i="6"/>
  <c r="G326" i="6" s="1"/>
  <c r="F326" i="6"/>
  <c r="B459" i="8"/>
  <c r="E654" i="6"/>
  <c r="F654" i="6" s="1"/>
  <c r="E350" i="8"/>
  <c r="N953" i="8"/>
  <c r="D936" i="6"/>
  <c r="B937" i="6" s="1"/>
  <c r="C937" i="6" s="1"/>
  <c r="G898" i="8"/>
  <c r="G135" i="6"/>
  <c r="E136" i="6" s="1"/>
  <c r="F136" i="6" s="1"/>
  <c r="I240" i="12"/>
  <c r="G233" i="6"/>
  <c r="AK253" i="11"/>
  <c r="B129" i="8"/>
  <c r="C129" i="8" s="1"/>
  <c r="C514" i="8"/>
  <c r="I129" i="12"/>
  <c r="J129" i="12" s="1"/>
  <c r="D1358" i="6"/>
  <c r="F458" i="8"/>
  <c r="G1064" i="8"/>
  <c r="B1031" i="6"/>
  <c r="C1031" i="6" s="1"/>
  <c r="L569" i="8"/>
  <c r="O569" i="8"/>
  <c r="D744" i="6"/>
  <c r="B745" i="6" s="1"/>
  <c r="C745" i="6" s="1"/>
  <c r="K569" i="8"/>
  <c r="I294" i="7"/>
  <c r="J294" i="7" s="1"/>
  <c r="L294" i="7" s="1"/>
  <c r="C182" i="6"/>
  <c r="I405" i="8"/>
  <c r="J405" i="8" s="1"/>
  <c r="F624" i="8"/>
  <c r="G294" i="8"/>
  <c r="B789" i="8"/>
  <c r="C789" i="8" s="1"/>
  <c r="E789" i="8" s="1"/>
  <c r="J844" i="7"/>
  <c r="K844" i="7" s="1"/>
  <c r="T252" i="11"/>
  <c r="W252" i="11" s="1"/>
  <c r="X252" i="11"/>
  <c r="V252" i="11"/>
  <c r="J734" i="7"/>
  <c r="K734" i="7" s="1"/>
  <c r="B734" i="7"/>
  <c r="J899" i="7"/>
  <c r="K899" i="7" s="1"/>
  <c r="I294" i="12"/>
  <c r="E843" i="6"/>
  <c r="G843" i="6" s="1"/>
  <c r="E1314" i="6"/>
  <c r="G1314" i="6" s="1"/>
  <c r="F1314" i="6"/>
  <c r="E795" i="6"/>
  <c r="G795" i="6" s="1"/>
  <c r="B465" i="6"/>
  <c r="D465" i="6" s="1"/>
  <c r="E417" i="6"/>
  <c r="G417" i="6" s="1"/>
  <c r="F417" i="6"/>
  <c r="B559" i="6"/>
  <c r="D559" i="6" s="1"/>
  <c r="B699" i="6"/>
  <c r="C699" i="6" s="1"/>
  <c r="B1077" i="6"/>
  <c r="C1077" i="6" s="1"/>
  <c r="E184" i="7"/>
  <c r="G184" i="7" s="1"/>
  <c r="H184" i="7"/>
  <c r="BK203" i="11"/>
  <c r="BJ203" i="11"/>
  <c r="BI203" i="11"/>
  <c r="BH203" i="11"/>
  <c r="BF203" i="11"/>
  <c r="BE203" i="11"/>
  <c r="BG203" i="11"/>
  <c r="J184" i="12"/>
  <c r="D1009" i="8"/>
  <c r="F935" i="6"/>
  <c r="J184" i="7"/>
  <c r="K184" i="7" s="1"/>
  <c r="G679" i="7"/>
  <c r="G129" i="12"/>
  <c r="M293" i="12"/>
  <c r="D797" i="6"/>
  <c r="M348" i="8"/>
  <c r="D239" i="12"/>
  <c r="H239" i="12"/>
  <c r="D655" i="6"/>
  <c r="F733" i="7"/>
  <c r="E514" i="7"/>
  <c r="G514" i="7" s="1"/>
  <c r="H514" i="7"/>
  <c r="B459" i="7"/>
  <c r="C459" i="7" s="1"/>
  <c r="E459" i="7" s="1"/>
  <c r="E1500" i="6"/>
  <c r="G1500" i="6" s="1"/>
  <c r="E239" i="12"/>
  <c r="B231" i="6"/>
  <c r="D231" i="6" s="1"/>
  <c r="G183" i="12"/>
  <c r="B983" i="6"/>
  <c r="D983" i="6" s="1"/>
  <c r="N513" i="8"/>
  <c r="G890" i="6"/>
  <c r="E745" i="6"/>
  <c r="F745" i="6" s="1"/>
  <c r="B606" i="6"/>
  <c r="D606" i="6" s="1"/>
  <c r="G512" i="6"/>
  <c r="E513" i="6" s="1"/>
  <c r="F513" i="6" s="1"/>
  <c r="B278" i="6"/>
  <c r="C278" i="6" s="1"/>
  <c r="E899" i="7"/>
  <c r="G899" i="7" s="1"/>
  <c r="H899" i="7"/>
  <c r="I514" i="7"/>
  <c r="J514" i="7" s="1"/>
  <c r="C239" i="8"/>
  <c r="L899" i="8"/>
  <c r="O899" i="8"/>
  <c r="M239" i="12"/>
  <c r="H404" i="8"/>
  <c r="E404" i="8"/>
  <c r="G404" i="8" s="1"/>
  <c r="J624" i="8"/>
  <c r="H13" i="9"/>
  <c r="I13" i="9" s="1"/>
  <c r="L14" i="9"/>
  <c r="O14" i="9" s="1"/>
  <c r="F1450" i="6"/>
  <c r="F844" i="7"/>
  <c r="G559" i="6"/>
  <c r="K404" i="7"/>
  <c r="M404" i="7" s="1"/>
  <c r="O404" i="7"/>
  <c r="H129" i="7"/>
  <c r="D129" i="7"/>
  <c r="F129" i="7" s="1"/>
  <c r="E1029" i="6"/>
  <c r="G1029" i="6" s="1"/>
  <c r="F19" i="10"/>
  <c r="D1454" i="6"/>
  <c r="B1455" i="6" s="1"/>
  <c r="C1455" i="6" s="1"/>
  <c r="G348" i="7"/>
  <c r="G568" i="8"/>
  <c r="E983" i="6"/>
  <c r="G983" i="6" s="1"/>
  <c r="E1264" i="6"/>
  <c r="G1264" i="6" s="1"/>
  <c r="N129" i="8"/>
  <c r="D29" i="9"/>
  <c r="C29" i="9"/>
  <c r="J28" i="9"/>
  <c r="M309" i="11"/>
  <c r="Q309" i="11" s="1"/>
  <c r="E468" i="6"/>
  <c r="F468" i="6" s="1"/>
  <c r="D136" i="6"/>
  <c r="F604" i="6"/>
  <c r="K899" i="8"/>
  <c r="M678" i="8"/>
  <c r="K679" i="7"/>
  <c r="M679" i="7" s="1"/>
  <c r="O679" i="7"/>
  <c r="L349" i="7"/>
  <c r="B1123" i="6"/>
  <c r="C1123" i="6" s="1"/>
  <c r="G959" i="7" l="1"/>
  <c r="N569" i="8"/>
  <c r="N294" i="8"/>
  <c r="G2918" i="6"/>
  <c r="G745" i="6"/>
  <c r="D624" i="7"/>
  <c r="F624" i="7" s="1"/>
  <c r="H624" i="7"/>
  <c r="F795" i="6"/>
  <c r="E796" i="6" s="1"/>
  <c r="F796" i="6" s="1"/>
  <c r="G279" i="6"/>
  <c r="E280" i="6" s="1"/>
  <c r="G280" i="6" s="1"/>
  <c r="F372" i="6"/>
  <c r="E373" i="6" s="1"/>
  <c r="F373" i="6" s="1"/>
  <c r="G372" i="6"/>
  <c r="O239" i="7"/>
  <c r="L239" i="7"/>
  <c r="J1071" i="7"/>
  <c r="E1071" i="7"/>
  <c r="K1071" i="7" s="1"/>
  <c r="I1071" i="7"/>
  <c r="F1071" i="7"/>
  <c r="D422" i="6"/>
  <c r="C422" i="6"/>
  <c r="B893" i="6"/>
  <c r="D893" i="6" s="1"/>
  <c r="F350" i="8"/>
  <c r="L184" i="8"/>
  <c r="N184" i="8" s="1"/>
  <c r="C606" i="6"/>
  <c r="B607" i="6" s="1"/>
  <c r="C607" i="6" s="1"/>
  <c r="H959" i="7"/>
  <c r="V203" i="11"/>
  <c r="F404" i="8"/>
  <c r="C405" i="8" s="1"/>
  <c r="D405" i="8" s="1"/>
  <c r="N899" i="8"/>
  <c r="I900" i="8" s="1"/>
  <c r="D1265" i="6"/>
  <c r="B1266" i="6" s="1"/>
  <c r="G624" i="7"/>
  <c r="B625" i="7" s="1"/>
  <c r="C625" i="7" s="1"/>
  <c r="E625" i="7" s="1"/>
  <c r="F843" i="6"/>
  <c r="E844" i="6" s="1"/>
  <c r="F844" i="6" s="1"/>
  <c r="N349" i="7"/>
  <c r="I350" i="7" s="1"/>
  <c r="M569" i="7"/>
  <c r="C371" i="6"/>
  <c r="X203" i="11"/>
  <c r="G1361" i="6"/>
  <c r="E1362" i="6" s="1"/>
  <c r="F1362" i="6" s="1"/>
  <c r="B1128" i="7"/>
  <c r="C1128" i="7" s="1"/>
  <c r="D1128" i="7" s="1"/>
  <c r="F239" i="12"/>
  <c r="K959" i="7"/>
  <c r="K184" i="8"/>
  <c r="M184" i="8" s="1"/>
  <c r="F1009" i="8"/>
  <c r="F1407" i="6"/>
  <c r="E1408" i="6" s="1"/>
  <c r="F1408" i="6" s="1"/>
  <c r="F184" i="7"/>
  <c r="C185" i="7" s="1"/>
  <c r="E185" i="7" s="1"/>
  <c r="N459" i="7"/>
  <c r="I460" i="7" s="1"/>
  <c r="J460" i="7" s="1"/>
  <c r="B799" i="6"/>
  <c r="C799" i="6"/>
  <c r="S14" i="9"/>
  <c r="E14" i="9"/>
  <c r="E2919" i="6"/>
  <c r="G2919" i="6" s="1"/>
  <c r="F2919" i="6"/>
  <c r="H679" i="8"/>
  <c r="D679" i="8"/>
  <c r="E679" i="8"/>
  <c r="B515" i="7"/>
  <c r="B183" i="6"/>
  <c r="D183" i="6" s="1"/>
  <c r="C183" i="6"/>
  <c r="H239" i="8"/>
  <c r="E239" i="8"/>
  <c r="I514" i="8"/>
  <c r="J514" i="8" s="1"/>
  <c r="L514" i="8" s="1"/>
  <c r="AG252" i="11"/>
  <c r="B372" i="6"/>
  <c r="D372" i="6" s="1"/>
  <c r="C372" i="6"/>
  <c r="D239" i="8"/>
  <c r="C734" i="7"/>
  <c r="D30" i="9"/>
  <c r="C30" i="9"/>
  <c r="J29" i="9"/>
  <c r="H129" i="8"/>
  <c r="D129" i="8"/>
  <c r="F129" i="8" s="1"/>
  <c r="G185" i="6"/>
  <c r="G469" i="6"/>
  <c r="E239" i="7"/>
  <c r="G239" i="7" s="1"/>
  <c r="H239" i="7"/>
  <c r="N569" i="7"/>
  <c r="F514" i="7"/>
  <c r="I130" i="7"/>
  <c r="O184" i="7"/>
  <c r="L184" i="7"/>
  <c r="N184" i="7" s="1"/>
  <c r="O294" i="7"/>
  <c r="K294" i="7"/>
  <c r="M294" i="7" s="1"/>
  <c r="E129" i="8"/>
  <c r="C1312" i="6"/>
  <c r="O1009" i="8"/>
  <c r="L1009" i="8"/>
  <c r="H955" i="8"/>
  <c r="D955" i="8"/>
  <c r="F955" i="8" s="1"/>
  <c r="C465" i="6"/>
  <c r="E327" i="6"/>
  <c r="F327" i="6" s="1"/>
  <c r="CS203" i="11"/>
  <c r="M349" i="7"/>
  <c r="B185" i="7"/>
  <c r="E1315" i="6"/>
  <c r="G1315" i="6" s="1"/>
  <c r="C1217" i="6"/>
  <c r="F1170" i="6"/>
  <c r="L184" i="12"/>
  <c r="O184" i="12"/>
  <c r="E234" i="6"/>
  <c r="F234" i="6" s="1"/>
  <c r="K184" i="12"/>
  <c r="M184" i="12" s="1"/>
  <c r="G1125" i="6"/>
  <c r="B325" i="6"/>
  <c r="D325" i="6" s="1"/>
  <c r="C231" i="6"/>
  <c r="N404" i="7"/>
  <c r="K239" i="7"/>
  <c r="E605" i="6"/>
  <c r="G605" i="6" s="1"/>
  <c r="J349" i="8"/>
  <c r="H184" i="8"/>
  <c r="D184" i="8"/>
  <c r="G1009" i="8"/>
  <c r="D308" i="11"/>
  <c r="E308" i="11" s="1"/>
  <c r="I308" i="11" s="1"/>
  <c r="F699" i="6"/>
  <c r="O624" i="7"/>
  <c r="L624" i="7"/>
  <c r="E891" i="6"/>
  <c r="F891" i="6" s="1"/>
  <c r="D20" i="10"/>
  <c r="E20" i="10"/>
  <c r="C20" i="10"/>
  <c r="E845" i="8"/>
  <c r="H845" i="8"/>
  <c r="E1216" i="6"/>
  <c r="G1216" i="6" s="1"/>
  <c r="F1216" i="6"/>
  <c r="K624" i="7"/>
  <c r="G513" i="6"/>
  <c r="E514" i="6" s="1"/>
  <c r="F514" i="6" s="1"/>
  <c r="F1500" i="6"/>
  <c r="D937" i="6"/>
  <c r="D845" i="8"/>
  <c r="F899" i="7"/>
  <c r="E1451" i="6"/>
  <c r="G1451" i="6" s="1"/>
  <c r="B130" i="12"/>
  <c r="C130" i="12" s="1"/>
  <c r="C559" i="6"/>
  <c r="L734" i="7"/>
  <c r="N734" i="7" s="1"/>
  <c r="O734" i="7"/>
  <c r="D1077" i="6"/>
  <c r="D278" i="6"/>
  <c r="B279" i="6" s="1"/>
  <c r="C279" i="6" s="1"/>
  <c r="I954" i="8"/>
  <c r="J954" i="8" s="1"/>
  <c r="L954" i="8" s="1"/>
  <c r="H404" i="7"/>
  <c r="D404" i="7"/>
  <c r="E294" i="12"/>
  <c r="G294" i="12" s="1"/>
  <c r="H294" i="12"/>
  <c r="U309" i="11"/>
  <c r="Y309" i="11" s="1"/>
  <c r="O239" i="8"/>
  <c r="L239" i="8"/>
  <c r="N239" i="8" s="1"/>
  <c r="F1076" i="6"/>
  <c r="K789" i="7"/>
  <c r="M789" i="7" s="1"/>
  <c r="O789" i="7"/>
  <c r="C1017" i="7"/>
  <c r="D1017" i="7" s="1"/>
  <c r="F1264" i="6"/>
  <c r="C983" i="6"/>
  <c r="E936" i="6"/>
  <c r="G936" i="6" s="1"/>
  <c r="O844" i="7"/>
  <c r="L844" i="7"/>
  <c r="N844" i="7" s="1"/>
  <c r="J679" i="8"/>
  <c r="G327" i="6"/>
  <c r="M899" i="8"/>
  <c r="D789" i="8"/>
  <c r="F789" i="8" s="1"/>
  <c r="H789" i="8"/>
  <c r="O844" i="8"/>
  <c r="K844" i="8"/>
  <c r="M844" i="8" s="1"/>
  <c r="B349" i="7"/>
  <c r="C349" i="7" s="1"/>
  <c r="B900" i="7"/>
  <c r="M569" i="8"/>
  <c r="D1123" i="6"/>
  <c r="D843" i="6"/>
  <c r="B844" i="6" s="1"/>
  <c r="C844" i="6" s="1"/>
  <c r="O1064" i="8"/>
  <c r="L1064" i="8"/>
  <c r="F280" i="6"/>
  <c r="C845" i="7"/>
  <c r="D845" i="7" s="1"/>
  <c r="G239" i="12"/>
  <c r="D745" i="6"/>
  <c r="B746" i="6" s="1"/>
  <c r="C746" i="6" s="1"/>
  <c r="G136" i="6"/>
  <c r="E137" i="6" s="1"/>
  <c r="F137" i="6" s="1"/>
  <c r="E184" i="8"/>
  <c r="D1502" i="6"/>
  <c r="B1503" i="6" s="1"/>
  <c r="C1503" i="6" s="1"/>
  <c r="O129" i="12"/>
  <c r="K129" i="12"/>
  <c r="L459" i="8"/>
  <c r="N459" i="8" s="1"/>
  <c r="O459" i="8"/>
  <c r="B1359" i="6"/>
  <c r="C1359" i="6" s="1"/>
  <c r="B405" i="8"/>
  <c r="J294" i="12"/>
  <c r="K294" i="12" s="1"/>
  <c r="C625" i="8"/>
  <c r="J1184" i="7"/>
  <c r="I1184" i="7"/>
  <c r="E1184" i="7"/>
  <c r="F1184" i="7"/>
  <c r="K1184" i="7" s="1"/>
  <c r="P309" i="11"/>
  <c r="O309" i="11"/>
  <c r="N309" i="11"/>
  <c r="K310" i="11" s="1"/>
  <c r="L310" i="11" s="1"/>
  <c r="H459" i="7"/>
  <c r="D459" i="7"/>
  <c r="F459" i="7" s="1"/>
  <c r="B680" i="7"/>
  <c r="C680" i="7" s="1"/>
  <c r="K405" i="8"/>
  <c r="O405" i="8"/>
  <c r="H514" i="8"/>
  <c r="E514" i="8"/>
  <c r="G350" i="8"/>
  <c r="E404" i="7"/>
  <c r="H294" i="7"/>
  <c r="D699" i="6"/>
  <c r="E560" i="6"/>
  <c r="F560" i="6" s="1"/>
  <c r="I570" i="8"/>
  <c r="B1124" i="6"/>
  <c r="C1124" i="6" s="1"/>
  <c r="E418" i="6"/>
  <c r="F418" i="6" s="1"/>
  <c r="D294" i="7"/>
  <c r="F294" i="7" s="1"/>
  <c r="B734" i="8"/>
  <c r="C734" i="8" s="1"/>
  <c r="M129" i="7"/>
  <c r="I130" i="8"/>
  <c r="J130" i="8" s="1"/>
  <c r="M14" i="9"/>
  <c r="P14" i="9" s="1"/>
  <c r="C1168" i="6"/>
  <c r="E789" i="7"/>
  <c r="H789" i="7"/>
  <c r="B1065" i="8"/>
  <c r="C1065" i="8" s="1"/>
  <c r="K1009" i="8"/>
  <c r="M1009" i="8" s="1"/>
  <c r="D789" i="7"/>
  <c r="F789" i="7" s="1"/>
  <c r="L17" i="10"/>
  <c r="B570" i="7"/>
  <c r="C459" i="8"/>
  <c r="AN253" i="11"/>
  <c r="AO253" i="11"/>
  <c r="AQ253" i="11" s="1"/>
  <c r="AW253" i="11" s="1"/>
  <c r="F569" i="7"/>
  <c r="O514" i="7"/>
  <c r="K514" i="7"/>
  <c r="B656" i="6"/>
  <c r="C656" i="6" s="1"/>
  <c r="F983" i="6"/>
  <c r="L514" i="7"/>
  <c r="N514" i="7" s="1"/>
  <c r="B184" i="12"/>
  <c r="C184" i="12" s="1"/>
  <c r="D1408" i="6"/>
  <c r="B1409" i="6" s="1"/>
  <c r="C1409" i="6" s="1"/>
  <c r="D1031" i="6"/>
  <c r="C2921" i="6"/>
  <c r="B569" i="8"/>
  <c r="C569" i="8" s="1"/>
  <c r="E569" i="8" s="1"/>
  <c r="O624" i="8"/>
  <c r="L624" i="8"/>
  <c r="O899" i="7"/>
  <c r="L899" i="7"/>
  <c r="N899" i="7" s="1"/>
  <c r="B295" i="8"/>
  <c r="C295" i="8" s="1"/>
  <c r="D1455" i="6"/>
  <c r="B1456" i="6" s="1"/>
  <c r="C1456" i="6" s="1"/>
  <c r="K624" i="8"/>
  <c r="AJ204" i="11"/>
  <c r="D798" i="6"/>
  <c r="J790" i="8"/>
  <c r="K1064" i="8"/>
  <c r="E469" i="6"/>
  <c r="F469" i="6" s="1"/>
  <c r="BL203" i="11"/>
  <c r="AP204" i="11" s="1"/>
  <c r="AI204" i="11"/>
  <c r="B899" i="8"/>
  <c r="C899" i="8" s="1"/>
  <c r="E899" i="8"/>
  <c r="D514" i="6"/>
  <c r="B515" i="6" s="1"/>
  <c r="C515" i="6" s="1"/>
  <c r="L129" i="12"/>
  <c r="B137" i="6"/>
  <c r="C137" i="6" s="1"/>
  <c r="J240" i="12"/>
  <c r="F1029" i="6"/>
  <c r="N679" i="7"/>
  <c r="E746" i="6"/>
  <c r="F746" i="6" s="1"/>
  <c r="I295" i="8"/>
  <c r="E185" i="6"/>
  <c r="F185" i="6" s="1"/>
  <c r="K30" i="9"/>
  <c r="L405" i="8"/>
  <c r="D514" i="8"/>
  <c r="J295" i="8"/>
  <c r="K295" i="8" s="1"/>
  <c r="N734" i="8"/>
  <c r="G654" i="6"/>
  <c r="G129" i="7"/>
  <c r="G404" i="7" l="1"/>
  <c r="AL204" i="11"/>
  <c r="M624" i="8"/>
  <c r="M405" i="8"/>
  <c r="B423" i="6"/>
  <c r="D423" i="6" s="1"/>
  <c r="F294" i="12"/>
  <c r="F845" i="8"/>
  <c r="AG203" i="11"/>
  <c r="AD203" i="11" s="1"/>
  <c r="N239" i="7"/>
  <c r="AR253" i="11"/>
  <c r="H1071" i="7"/>
  <c r="B1072" i="7" s="1"/>
  <c r="C1266" i="6"/>
  <c r="D1266" i="6"/>
  <c r="E1128" i="7"/>
  <c r="J1128" i="7"/>
  <c r="I1128" i="7"/>
  <c r="F1128" i="7"/>
  <c r="G955" i="8"/>
  <c r="G373" i="6"/>
  <c r="E374" i="6" s="1"/>
  <c r="F374" i="6" s="1"/>
  <c r="M734" i="7"/>
  <c r="F679" i="8"/>
  <c r="B960" i="7"/>
  <c r="C960" i="7"/>
  <c r="D960" i="7" s="1"/>
  <c r="M899" i="7"/>
  <c r="G891" i="6"/>
  <c r="E892" i="6" s="1"/>
  <c r="F514" i="8"/>
  <c r="M1064" i="8"/>
  <c r="M239" i="7"/>
  <c r="G1184" i="7"/>
  <c r="M624" i="7"/>
  <c r="G1071" i="7"/>
  <c r="F184" i="8"/>
  <c r="C893" i="6"/>
  <c r="B894" i="6" s="1"/>
  <c r="C894" i="6" s="1"/>
  <c r="C423" i="6"/>
  <c r="B424" i="6" s="1"/>
  <c r="D424" i="6" s="1"/>
  <c r="M129" i="12"/>
  <c r="F20" i="10"/>
  <c r="F239" i="8"/>
  <c r="G1408" i="6"/>
  <c r="L460" i="7"/>
  <c r="K460" i="7"/>
  <c r="M460" i="7" s="1"/>
  <c r="O460" i="7"/>
  <c r="E328" i="6"/>
  <c r="F328" i="6" s="1"/>
  <c r="E470" i="6"/>
  <c r="G470" i="6" s="1"/>
  <c r="F470" i="6"/>
  <c r="B845" i="6"/>
  <c r="C845" i="6" s="1"/>
  <c r="J1017" i="7"/>
  <c r="I1017" i="7"/>
  <c r="F1017" i="7"/>
  <c r="E1017" i="7"/>
  <c r="G1017" i="7" s="1"/>
  <c r="I240" i="7"/>
  <c r="J240" i="7" s="1"/>
  <c r="O240" i="7" s="1"/>
  <c r="F1315" i="6"/>
  <c r="G746" i="6"/>
  <c r="E747" i="6" s="1"/>
  <c r="F747" i="6" s="1"/>
  <c r="D185" i="7"/>
  <c r="F185" i="7" s="1"/>
  <c r="L15" i="9"/>
  <c r="O15" i="9" s="1"/>
  <c r="E734" i="7"/>
  <c r="H734" i="7"/>
  <c r="C325" i="6"/>
  <c r="D734" i="7"/>
  <c r="F734" i="7" s="1"/>
  <c r="G796" i="6"/>
  <c r="E797" i="6" s="1"/>
  <c r="F797" i="6" s="1"/>
  <c r="D1409" i="6"/>
  <c r="B1410" i="6" s="1"/>
  <c r="C1410" i="6" s="1"/>
  <c r="H1184" i="7"/>
  <c r="G328" i="6"/>
  <c r="B1010" i="8"/>
  <c r="C1010" i="8" s="1"/>
  <c r="E1010" i="8"/>
  <c r="G1362" i="6"/>
  <c r="E1363" i="6" s="1"/>
  <c r="F1363" i="6" s="1"/>
  <c r="G844" i="6"/>
  <c r="E845" i="6" s="1"/>
  <c r="F845" i="6" s="1"/>
  <c r="H184" i="12"/>
  <c r="D184" i="12"/>
  <c r="B2922" i="6"/>
  <c r="D2922" i="6" s="1"/>
  <c r="B130" i="7"/>
  <c r="C130" i="7" s="1"/>
  <c r="D625" i="7"/>
  <c r="F625" i="7" s="1"/>
  <c r="H308" i="11"/>
  <c r="G308" i="11"/>
  <c r="F308" i="11"/>
  <c r="C309" i="11" s="1"/>
  <c r="D309" i="11" s="1"/>
  <c r="H1065" i="8"/>
  <c r="D1065" i="8"/>
  <c r="I735" i="7"/>
  <c r="J735" i="7" s="1"/>
  <c r="D295" i="8"/>
  <c r="H295" i="8"/>
  <c r="E655" i="6"/>
  <c r="F655" i="6" s="1"/>
  <c r="G294" i="7"/>
  <c r="AK204" i="11"/>
  <c r="E1077" i="6"/>
  <c r="G1077" i="6" s="1"/>
  <c r="AM204" i="11"/>
  <c r="B184" i="6"/>
  <c r="C184" i="6" s="1"/>
  <c r="E459" i="8"/>
  <c r="H459" i="8"/>
  <c r="O349" i="8"/>
  <c r="L349" i="8"/>
  <c r="D459" i="8"/>
  <c r="F459" i="8" s="1"/>
  <c r="H130" i="12"/>
  <c r="D130" i="12"/>
  <c r="E625" i="8"/>
  <c r="G625" i="8" s="1"/>
  <c r="H625" i="8"/>
  <c r="E1126" i="6"/>
  <c r="F1126" i="6" s="1"/>
  <c r="N405" i="8"/>
  <c r="E1171" i="6"/>
  <c r="G1171" i="6" s="1"/>
  <c r="B466" i="6"/>
  <c r="D466" i="6" s="1"/>
  <c r="J30" i="9"/>
  <c r="D31" i="9"/>
  <c r="C31" i="9"/>
  <c r="O790" i="8"/>
  <c r="L790" i="8"/>
  <c r="G789" i="7"/>
  <c r="B405" i="7"/>
  <c r="E21" i="10"/>
  <c r="C21" i="10"/>
  <c r="D21" i="10"/>
  <c r="F605" i="6"/>
  <c r="D656" i="6"/>
  <c r="B657" i="6" s="1"/>
  <c r="C657" i="6" s="1"/>
  <c r="K790" i="8"/>
  <c r="O295" i="8"/>
  <c r="D137" i="6"/>
  <c r="B138" i="6" s="1"/>
  <c r="C138" i="6" s="1"/>
  <c r="N1009" i="8"/>
  <c r="B700" i="6"/>
  <c r="C700" i="6" s="1"/>
  <c r="D799" i="6"/>
  <c r="B800" i="6" s="1"/>
  <c r="C800" i="6" s="1"/>
  <c r="N14" i="9"/>
  <c r="Q14" i="9" s="1"/>
  <c r="B351" i="8"/>
  <c r="C351" i="8" s="1"/>
  <c r="E351" i="8"/>
  <c r="E405" i="8"/>
  <c r="G405" i="8" s="1"/>
  <c r="E281" i="6"/>
  <c r="G281" i="6" s="1"/>
  <c r="F1451" i="6"/>
  <c r="M459" i="8"/>
  <c r="B1078" i="6"/>
  <c r="C1078" i="6" s="1"/>
  <c r="K130" i="8"/>
  <c r="M130" i="8" s="1"/>
  <c r="O130" i="8"/>
  <c r="M17" i="10"/>
  <c r="I17" i="10" s="1"/>
  <c r="I460" i="8"/>
  <c r="D279" i="6"/>
  <c r="B280" i="6" s="1"/>
  <c r="C280" i="6" s="1"/>
  <c r="B240" i="7"/>
  <c r="H734" i="8"/>
  <c r="D734" i="8"/>
  <c r="E1501" i="6"/>
  <c r="G1501" i="6" s="1"/>
  <c r="J900" i="8"/>
  <c r="K900" i="8" s="1"/>
  <c r="G514" i="6"/>
  <c r="E515" i="6" s="1"/>
  <c r="F515" i="6" s="1"/>
  <c r="B1032" i="6"/>
  <c r="C1032" i="6" s="1"/>
  <c r="AZ253" i="11"/>
  <c r="J570" i="8"/>
  <c r="B516" i="6"/>
  <c r="C516" i="6" s="1"/>
  <c r="E1065" i="8"/>
  <c r="G129" i="8"/>
  <c r="F239" i="7"/>
  <c r="E295" i="8"/>
  <c r="L679" i="8"/>
  <c r="O679" i="8"/>
  <c r="B560" i="6"/>
  <c r="D560" i="6" s="1"/>
  <c r="J350" i="7"/>
  <c r="L240" i="12"/>
  <c r="O240" i="12"/>
  <c r="E184" i="12"/>
  <c r="D349" i="7"/>
  <c r="H349" i="7"/>
  <c r="I240" i="8"/>
  <c r="CK203" i="11"/>
  <c r="CO203" i="11"/>
  <c r="CN203" i="11"/>
  <c r="CM203" i="11"/>
  <c r="CL203" i="11"/>
  <c r="CQ203" i="11"/>
  <c r="CP203" i="11"/>
  <c r="D184" i="6"/>
  <c r="I515" i="7"/>
  <c r="D746" i="6"/>
  <c r="E349" i="7"/>
  <c r="I185" i="7"/>
  <c r="D373" i="6"/>
  <c r="E984" i="6"/>
  <c r="G984" i="6" s="1"/>
  <c r="H185" i="7"/>
  <c r="B956" i="8"/>
  <c r="C956" i="8" s="1"/>
  <c r="M239" i="8"/>
  <c r="B240" i="12"/>
  <c r="C240" i="12" s="1"/>
  <c r="E240" i="12"/>
  <c r="B938" i="6"/>
  <c r="C938" i="6" s="1"/>
  <c r="N184" i="12"/>
  <c r="B373" i="6"/>
  <c r="C373" i="6" s="1"/>
  <c r="D625" i="8"/>
  <c r="D607" i="6"/>
  <c r="B608" i="6" s="1"/>
  <c r="C608" i="6" s="1"/>
  <c r="I845" i="7"/>
  <c r="H405" i="8"/>
  <c r="E186" i="6"/>
  <c r="G186" i="6" s="1"/>
  <c r="O514" i="8"/>
  <c r="K514" i="8"/>
  <c r="M514" i="8" s="1"/>
  <c r="M844" i="7"/>
  <c r="L295" i="8"/>
  <c r="N295" i="8" s="1"/>
  <c r="D515" i="6"/>
  <c r="M514" i="7"/>
  <c r="J17" i="10"/>
  <c r="F14" i="9"/>
  <c r="G514" i="8"/>
  <c r="M310" i="11"/>
  <c r="Q310" i="11" s="1"/>
  <c r="N1064" i="8"/>
  <c r="N844" i="8"/>
  <c r="F936" i="6"/>
  <c r="C900" i="7"/>
  <c r="D900" i="7" s="1"/>
  <c r="I405" i="7"/>
  <c r="J405" i="7" s="1"/>
  <c r="G234" i="6"/>
  <c r="E235" i="6" s="1"/>
  <c r="F235" i="6" s="1"/>
  <c r="G418" i="6"/>
  <c r="E419" i="6" s="1"/>
  <c r="F419" i="6" s="1"/>
  <c r="C515" i="7"/>
  <c r="I185" i="8"/>
  <c r="J185" i="8" s="1"/>
  <c r="L185" i="8" s="1"/>
  <c r="G239" i="8"/>
  <c r="G459" i="7"/>
  <c r="M184" i="7"/>
  <c r="C570" i="7"/>
  <c r="E1265" i="6"/>
  <c r="G1265" i="6" s="1"/>
  <c r="J130" i="7"/>
  <c r="E700" i="6"/>
  <c r="G700" i="6" s="1"/>
  <c r="D899" i="8"/>
  <c r="F899" i="8" s="1"/>
  <c r="H899" i="8"/>
  <c r="D844" i="6"/>
  <c r="B1313" i="6"/>
  <c r="D1313" i="6" s="1"/>
  <c r="C1313" i="6"/>
  <c r="G789" i="8"/>
  <c r="I680" i="7"/>
  <c r="J680" i="7" s="1"/>
  <c r="L680" i="7"/>
  <c r="D1456" i="6"/>
  <c r="B1457" i="6" s="1"/>
  <c r="C1457" i="6" s="1"/>
  <c r="E734" i="8"/>
  <c r="G734" i="8" s="1"/>
  <c r="D1124" i="6"/>
  <c r="B1125" i="6" s="1"/>
  <c r="C1125" i="6" s="1"/>
  <c r="E1030" i="6"/>
  <c r="G1030" i="6" s="1"/>
  <c r="D1503" i="6"/>
  <c r="B1504" i="6" s="1"/>
  <c r="C1504" i="6" s="1"/>
  <c r="I735" i="8"/>
  <c r="J735" i="8" s="1"/>
  <c r="L735" i="8" s="1"/>
  <c r="AT253" i="11"/>
  <c r="AU253" i="11"/>
  <c r="AY253" i="11" s="1"/>
  <c r="BD253" i="11" s="1"/>
  <c r="AS253" i="11"/>
  <c r="AX253" i="11" s="1"/>
  <c r="AV253" i="11"/>
  <c r="E1217" i="6"/>
  <c r="F1217" i="6" s="1"/>
  <c r="G184" i="8"/>
  <c r="G1217" i="6"/>
  <c r="E2920" i="6"/>
  <c r="G2920" i="6" s="1"/>
  <c r="I900" i="7"/>
  <c r="H680" i="7"/>
  <c r="D680" i="7"/>
  <c r="G137" i="6"/>
  <c r="E138" i="6" s="1"/>
  <c r="F138" i="6" s="1"/>
  <c r="K679" i="8"/>
  <c r="H625" i="7"/>
  <c r="K240" i="12"/>
  <c r="E680" i="7"/>
  <c r="G845" i="8"/>
  <c r="K349" i="8"/>
  <c r="N294" i="7"/>
  <c r="N624" i="8"/>
  <c r="X309" i="11"/>
  <c r="W309" i="11"/>
  <c r="V309" i="11"/>
  <c r="S310" i="11" s="1"/>
  <c r="T310" i="11" s="1"/>
  <c r="E130" i="12"/>
  <c r="G560" i="6"/>
  <c r="E561" i="6" s="1"/>
  <c r="F561" i="6" s="1"/>
  <c r="H845" i="7"/>
  <c r="E845" i="7"/>
  <c r="G845" i="7" s="1"/>
  <c r="K31" i="9"/>
  <c r="N129" i="12"/>
  <c r="O294" i="12"/>
  <c r="L294" i="12"/>
  <c r="N294" i="12" s="1"/>
  <c r="B295" i="12"/>
  <c r="C295" i="12" s="1"/>
  <c r="AC252" i="11"/>
  <c r="AB252" i="11"/>
  <c r="AA252" i="11"/>
  <c r="AE252" i="11"/>
  <c r="Z252" i="11"/>
  <c r="Y252" i="11"/>
  <c r="AD252" i="11"/>
  <c r="B1169" i="6"/>
  <c r="D1169" i="6" s="1"/>
  <c r="F404" i="7"/>
  <c r="B1218" i="6"/>
  <c r="D1218" i="6" s="1"/>
  <c r="D569" i="8"/>
  <c r="F569" i="8" s="1"/>
  <c r="H569" i="8"/>
  <c r="L130" i="8"/>
  <c r="B984" i="6"/>
  <c r="D984" i="6" s="1"/>
  <c r="C984" i="6"/>
  <c r="O954" i="8"/>
  <c r="K954" i="8"/>
  <c r="M954" i="8" s="1"/>
  <c r="N789" i="7"/>
  <c r="N624" i="7"/>
  <c r="B232" i="6"/>
  <c r="D232" i="6" s="1"/>
  <c r="D1359" i="6"/>
  <c r="B1360" i="6" s="1"/>
  <c r="C1360" i="6" s="1"/>
  <c r="I570" i="7"/>
  <c r="J570" i="7" s="1"/>
  <c r="L570" i="7" s="1"/>
  <c r="G679" i="8"/>
  <c r="B1267" i="6" l="1"/>
  <c r="D1267" i="6" s="1"/>
  <c r="G130" i="12"/>
  <c r="N240" i="12"/>
  <c r="AE203" i="11"/>
  <c r="F405" i="8"/>
  <c r="Y203" i="11"/>
  <c r="C424" i="6"/>
  <c r="B425" i="6" s="1"/>
  <c r="D425" i="6" s="1"/>
  <c r="D426" i="6" s="1"/>
  <c r="D427" i="6" s="1"/>
  <c r="D428" i="6" s="1"/>
  <c r="D429" i="6" s="1"/>
  <c r="D430" i="6" s="1"/>
  <c r="D431" i="6" s="1"/>
  <c r="D432" i="6" s="1"/>
  <c r="D433" i="6" s="1"/>
  <c r="D434" i="6" s="1"/>
  <c r="D435" i="6" s="1"/>
  <c r="D436" i="6" s="1"/>
  <c r="D437" i="6" s="1"/>
  <c r="D438" i="6" s="1"/>
  <c r="D439" i="6" s="1"/>
  <c r="D440" i="6" s="1"/>
  <c r="D441" i="6" s="1"/>
  <c r="D442" i="6" s="1"/>
  <c r="D443" i="6" s="1"/>
  <c r="D444" i="6" s="1"/>
  <c r="D445" i="6" s="1"/>
  <c r="Z203" i="11"/>
  <c r="AA203" i="11"/>
  <c r="D204" i="11" s="1"/>
  <c r="C1072" i="7"/>
  <c r="D1072" i="7" s="1"/>
  <c r="F1077" i="6"/>
  <c r="E1078" i="6" s="1"/>
  <c r="G1078" i="6" s="1"/>
  <c r="AB203" i="11"/>
  <c r="F680" i="7"/>
  <c r="G569" i="8"/>
  <c r="B570" i="8" s="1"/>
  <c r="C570" i="8" s="1"/>
  <c r="AC203" i="11"/>
  <c r="AF203" i="11" s="1"/>
  <c r="J900" i="7"/>
  <c r="H1128" i="7"/>
  <c r="B1129" i="7" s="1"/>
  <c r="F892" i="6"/>
  <c r="G892" i="6"/>
  <c r="H1017" i="7"/>
  <c r="B1018" i="7" s="1"/>
  <c r="C1018" i="7" s="1"/>
  <c r="D1018" i="7" s="1"/>
  <c r="F2920" i="6"/>
  <c r="K1017" i="7"/>
  <c r="G184" i="12"/>
  <c r="B185" i="12" s="1"/>
  <c r="F1065" i="8"/>
  <c r="G1409" i="6"/>
  <c r="K1128" i="7"/>
  <c r="F960" i="7"/>
  <c r="E960" i="7"/>
  <c r="G960" i="7" s="1"/>
  <c r="I960" i="7"/>
  <c r="J960" i="7"/>
  <c r="K960" i="7"/>
  <c r="N679" i="8"/>
  <c r="I680" i="8" s="1"/>
  <c r="E1409" i="6"/>
  <c r="F1409" i="6" s="1"/>
  <c r="G1128" i="7"/>
  <c r="C204" i="11"/>
  <c r="G349" i="7"/>
  <c r="B350" i="7" s="1"/>
  <c r="G185" i="7"/>
  <c r="B186" i="7" s="1"/>
  <c r="C186" i="7" s="1"/>
  <c r="E186" i="7" s="1"/>
  <c r="G295" i="8"/>
  <c r="B296" i="8" s="1"/>
  <c r="G625" i="7"/>
  <c r="N349" i="8"/>
  <c r="N790" i="8"/>
  <c r="C1169" i="6"/>
  <c r="G655" i="6"/>
  <c r="E656" i="6" s="1"/>
  <c r="D894" i="6"/>
  <c r="B185" i="6"/>
  <c r="D185" i="6" s="1"/>
  <c r="C185" i="6"/>
  <c r="B374" i="6"/>
  <c r="C374" i="6" s="1"/>
  <c r="E329" i="6"/>
  <c r="G329" i="6" s="1"/>
  <c r="D956" i="8"/>
  <c r="E956" i="8"/>
  <c r="G956" i="8" s="1"/>
  <c r="H956" i="8"/>
  <c r="D295" i="12"/>
  <c r="H295" i="12"/>
  <c r="E295" i="12"/>
  <c r="G295" i="12" s="1"/>
  <c r="O900" i="7"/>
  <c r="L900" i="7"/>
  <c r="K900" i="7"/>
  <c r="M900" i="7" s="1"/>
  <c r="E1218" i="6"/>
  <c r="F1218" i="6" s="1"/>
  <c r="E893" i="6"/>
  <c r="F893" i="6" s="1"/>
  <c r="O735" i="7"/>
  <c r="K735" i="7"/>
  <c r="L735" i="7"/>
  <c r="N735" i="7" s="1"/>
  <c r="BO204" i="11"/>
  <c r="CR203" i="11"/>
  <c r="BV204" i="11" s="1"/>
  <c r="B460" i="7"/>
  <c r="C460" i="7" s="1"/>
  <c r="E460" i="7" s="1"/>
  <c r="B185" i="8"/>
  <c r="C185" i="8" s="1"/>
  <c r="B240" i="8"/>
  <c r="C240" i="8" s="1"/>
  <c r="E240" i="8" s="1"/>
  <c r="C240" i="7"/>
  <c r="J460" i="8"/>
  <c r="H130" i="7"/>
  <c r="D130" i="7"/>
  <c r="B985" i="6"/>
  <c r="C985" i="6"/>
  <c r="I845" i="8"/>
  <c r="J845" i="8" s="1"/>
  <c r="H1010" i="8"/>
  <c r="D1010" i="8"/>
  <c r="F1010" i="8" s="1"/>
  <c r="I1010" i="8"/>
  <c r="J1010" i="8" s="1"/>
  <c r="L1010" i="8" s="1"/>
  <c r="B626" i="8"/>
  <c r="M679" i="8"/>
  <c r="F1030" i="6"/>
  <c r="G1065" i="8"/>
  <c r="B680" i="8"/>
  <c r="C680" i="8" s="1"/>
  <c r="E680" i="8" s="1"/>
  <c r="AF252" i="11"/>
  <c r="J253" i="11" s="1"/>
  <c r="C253" i="11"/>
  <c r="G419" i="6"/>
  <c r="N17" i="10"/>
  <c r="H17" i="10" s="1"/>
  <c r="K17" i="10" s="1"/>
  <c r="K32" i="9"/>
  <c r="L130" i="7"/>
  <c r="N130" i="7" s="1"/>
  <c r="O130" i="7"/>
  <c r="D608" i="6"/>
  <c r="F984" i="6"/>
  <c r="G899" i="8"/>
  <c r="B626" i="7"/>
  <c r="C626" i="7" s="1"/>
  <c r="E626" i="7" s="1"/>
  <c r="BA253" i="11"/>
  <c r="BC253" i="11"/>
  <c r="F625" i="8"/>
  <c r="I241" i="12"/>
  <c r="I350" i="8"/>
  <c r="C2922" i="6"/>
  <c r="E1316" i="6"/>
  <c r="G1316" i="6" s="1"/>
  <c r="N460" i="7"/>
  <c r="B846" i="7"/>
  <c r="D938" i="6"/>
  <c r="B939" i="6" s="1"/>
  <c r="C939" i="6" s="1"/>
  <c r="B846" i="8"/>
  <c r="C846" i="8" s="1"/>
  <c r="B790" i="8"/>
  <c r="C790" i="8" s="1"/>
  <c r="E790" i="8"/>
  <c r="I296" i="8"/>
  <c r="D374" i="6"/>
  <c r="D700" i="6"/>
  <c r="B701" i="6" s="1"/>
  <c r="C701" i="6" s="1"/>
  <c r="L240" i="7"/>
  <c r="D1360" i="6"/>
  <c r="B1361" i="6" s="1"/>
  <c r="C1361" i="6" s="1"/>
  <c r="G680" i="7"/>
  <c r="BP204" i="11"/>
  <c r="C560" i="6"/>
  <c r="O570" i="8"/>
  <c r="L570" i="8"/>
  <c r="H351" i="8"/>
  <c r="D351" i="8"/>
  <c r="F351" i="8" s="1"/>
  <c r="F1171" i="6"/>
  <c r="G459" i="8"/>
  <c r="G1363" i="6"/>
  <c r="F845" i="7"/>
  <c r="C405" i="7"/>
  <c r="D1504" i="6"/>
  <c r="B1505" i="6" s="1"/>
  <c r="C1505" i="6" s="1"/>
  <c r="F186" i="6"/>
  <c r="D240" i="12"/>
  <c r="F240" i="12" s="1"/>
  <c r="H240" i="12"/>
  <c r="B790" i="7"/>
  <c r="C790" i="7" s="1"/>
  <c r="E790" i="7" s="1"/>
  <c r="I295" i="12"/>
  <c r="O185" i="8"/>
  <c r="K185" i="8"/>
  <c r="M185" i="8" s="1"/>
  <c r="J240" i="8"/>
  <c r="B130" i="8"/>
  <c r="C130" i="8" s="1"/>
  <c r="D280" i="6"/>
  <c r="D985" i="6"/>
  <c r="I1065" i="8"/>
  <c r="J1065" i="8" s="1"/>
  <c r="G515" i="6"/>
  <c r="E515" i="7"/>
  <c r="H515" i="7"/>
  <c r="K240" i="7"/>
  <c r="G138" i="6"/>
  <c r="D1125" i="6"/>
  <c r="B1126" i="6" s="1"/>
  <c r="C1126" i="6" s="1"/>
  <c r="D515" i="7"/>
  <c r="F349" i="7"/>
  <c r="E1452" i="6"/>
  <c r="G1452" i="6" s="1"/>
  <c r="F130" i="12"/>
  <c r="D1032" i="6"/>
  <c r="I130" i="12"/>
  <c r="J130" i="12" s="1"/>
  <c r="L130" i="12" s="1"/>
  <c r="B735" i="8"/>
  <c r="D1410" i="6"/>
  <c r="B1411" i="6" s="1"/>
  <c r="C1411" i="6" s="1"/>
  <c r="I625" i="8"/>
  <c r="J625" i="8" s="1"/>
  <c r="L625" i="8"/>
  <c r="B295" i="7"/>
  <c r="C295" i="7" s="1"/>
  <c r="E295" i="7" s="1"/>
  <c r="G747" i="6"/>
  <c r="E748" i="6" s="1"/>
  <c r="F748" i="6" s="1"/>
  <c r="E471" i="6"/>
  <c r="G471" i="6" s="1"/>
  <c r="F471" i="6"/>
  <c r="K130" i="7"/>
  <c r="J515" i="7"/>
  <c r="D657" i="6"/>
  <c r="G797" i="6"/>
  <c r="E798" i="6" s="1"/>
  <c r="F798" i="6" s="1"/>
  <c r="N130" i="8"/>
  <c r="K680" i="7"/>
  <c r="M680" i="7" s="1"/>
  <c r="O680" i="7"/>
  <c r="D516" i="6"/>
  <c r="E606" i="6"/>
  <c r="G606" i="6" s="1"/>
  <c r="F184" i="12"/>
  <c r="C466" i="6"/>
  <c r="B326" i="6"/>
  <c r="D326" i="6" s="1"/>
  <c r="G374" i="6"/>
  <c r="E375" i="6" s="1"/>
  <c r="F375" i="6" s="1"/>
  <c r="B1314" i="6"/>
  <c r="D1314" i="6" s="1"/>
  <c r="C1314" i="6"/>
  <c r="J845" i="7"/>
  <c r="F1501" i="6"/>
  <c r="E309" i="11"/>
  <c r="I309" i="11" s="1"/>
  <c r="C232" i="6"/>
  <c r="D253" i="11"/>
  <c r="E2921" i="6"/>
  <c r="G2921" i="6" s="1"/>
  <c r="F2921" i="6"/>
  <c r="D845" i="6"/>
  <c r="E570" i="7"/>
  <c r="H570" i="7"/>
  <c r="K570" i="8"/>
  <c r="M570" i="8" s="1"/>
  <c r="G14" i="9"/>
  <c r="R14" i="9"/>
  <c r="F295" i="8"/>
  <c r="G734" i="7"/>
  <c r="I790" i="7"/>
  <c r="J790" i="7" s="1"/>
  <c r="B131" i="12"/>
  <c r="J185" i="7"/>
  <c r="D800" i="6"/>
  <c r="I406" i="8"/>
  <c r="J406" i="8" s="1"/>
  <c r="B1170" i="6"/>
  <c r="D1170" i="6" s="1"/>
  <c r="C1170" i="6"/>
  <c r="E937" i="6"/>
  <c r="G937" i="6" s="1"/>
  <c r="U310" i="11"/>
  <c r="Y310" i="11" s="1"/>
  <c r="F700" i="6"/>
  <c r="E130" i="7"/>
  <c r="G130" i="7" s="1"/>
  <c r="B747" i="6"/>
  <c r="C747" i="6" s="1"/>
  <c r="M15" i="9"/>
  <c r="P15" i="9" s="1"/>
  <c r="P310" i="11"/>
  <c r="O310" i="11"/>
  <c r="N310" i="11"/>
  <c r="K311" i="11" s="1"/>
  <c r="L900" i="8"/>
  <c r="N900" i="8" s="1"/>
  <c r="O900" i="8"/>
  <c r="I791" i="8"/>
  <c r="B1185" i="7"/>
  <c r="C1185" i="7" s="1"/>
  <c r="D1185" i="7" s="1"/>
  <c r="E420" i="6"/>
  <c r="F420" i="6" s="1"/>
  <c r="B515" i="8"/>
  <c r="C515" i="8" s="1"/>
  <c r="E515" i="8" s="1"/>
  <c r="D138" i="6"/>
  <c r="D32" i="9"/>
  <c r="C32" i="9"/>
  <c r="J31" i="9"/>
  <c r="AN204" i="11"/>
  <c r="AO204" i="11" s="1"/>
  <c r="D1457" i="6"/>
  <c r="M790" i="8"/>
  <c r="I295" i="7"/>
  <c r="J295" i="7" s="1"/>
  <c r="L295" i="7"/>
  <c r="O570" i="7"/>
  <c r="K570" i="7"/>
  <c r="M570" i="7" s="1"/>
  <c r="M349" i="8"/>
  <c r="G235" i="6"/>
  <c r="E236" i="6" s="1"/>
  <c r="F236" i="6" s="1"/>
  <c r="O350" i="7"/>
  <c r="L350" i="7"/>
  <c r="F281" i="6"/>
  <c r="M294" i="12"/>
  <c r="O405" i="7"/>
  <c r="K405" i="7"/>
  <c r="K350" i="7"/>
  <c r="M350" i="7" s="1"/>
  <c r="B406" i="8"/>
  <c r="C406" i="8" s="1"/>
  <c r="O735" i="8"/>
  <c r="K735" i="8"/>
  <c r="M735" i="8" s="1"/>
  <c r="F1265" i="6"/>
  <c r="L405" i="7"/>
  <c r="N954" i="8"/>
  <c r="F21" i="10"/>
  <c r="G845" i="6"/>
  <c r="E846" i="6" s="1"/>
  <c r="F846" i="6" s="1"/>
  <c r="I625" i="7"/>
  <c r="J625" i="7" s="1"/>
  <c r="C1218" i="6"/>
  <c r="G561" i="6"/>
  <c r="M240" i="12"/>
  <c r="D570" i="7"/>
  <c r="H900" i="7"/>
  <c r="E900" i="7"/>
  <c r="G900" i="7" s="1"/>
  <c r="I185" i="12"/>
  <c r="J185" i="12" s="1"/>
  <c r="L185" i="12" s="1"/>
  <c r="F734" i="8"/>
  <c r="G1126" i="6"/>
  <c r="D1078" i="6"/>
  <c r="N514" i="8"/>
  <c r="M295" i="8"/>
  <c r="J204" i="11" l="1"/>
  <c r="E204" i="11"/>
  <c r="F1072" i="7"/>
  <c r="K1072" i="7" s="1"/>
  <c r="I1072" i="7"/>
  <c r="E1072" i="7"/>
  <c r="G1072" i="7" s="1"/>
  <c r="G570" i="7"/>
  <c r="J1072" i="7"/>
  <c r="F515" i="7"/>
  <c r="BS204" i="11"/>
  <c r="N680" i="7"/>
  <c r="I681" i="7" s="1"/>
  <c r="J681" i="7" s="1"/>
  <c r="L681" i="7" s="1"/>
  <c r="L311" i="11"/>
  <c r="M311" i="11" s="1"/>
  <c r="Q311" i="11" s="1"/>
  <c r="N570" i="7"/>
  <c r="I571" i="7" s="1"/>
  <c r="J571" i="7" s="1"/>
  <c r="D747" i="6"/>
  <c r="B748" i="6" s="1"/>
  <c r="C1267" i="6"/>
  <c r="G656" i="6"/>
  <c r="F656" i="6"/>
  <c r="H570" i="8"/>
  <c r="E570" i="8"/>
  <c r="H960" i="7"/>
  <c r="B961" i="7" s="1"/>
  <c r="M405" i="7"/>
  <c r="F900" i="7"/>
  <c r="C901" i="7" s="1"/>
  <c r="D901" i="7" s="1"/>
  <c r="G893" i="6"/>
  <c r="E894" i="6" s="1"/>
  <c r="BB253" i="11"/>
  <c r="BM253" i="11" s="1"/>
  <c r="M240" i="7"/>
  <c r="F1078" i="6"/>
  <c r="E1079" i="6" s="1"/>
  <c r="F1079" i="6" s="1"/>
  <c r="F204" i="11"/>
  <c r="H204" i="11" s="1"/>
  <c r="I204" i="11" s="1"/>
  <c r="L204" i="11" s="1"/>
  <c r="G204" i="11"/>
  <c r="N735" i="8"/>
  <c r="I736" i="8" s="1"/>
  <c r="J736" i="8" s="1"/>
  <c r="O736" i="8" s="1"/>
  <c r="C1129" i="7"/>
  <c r="D1129" i="7" s="1"/>
  <c r="G1218" i="6"/>
  <c r="B895" i="6"/>
  <c r="C895" i="6" s="1"/>
  <c r="D895" i="6"/>
  <c r="BR204" i="11"/>
  <c r="F329" i="6"/>
  <c r="E330" i="6" s="1"/>
  <c r="G330" i="6" s="1"/>
  <c r="E1410" i="6"/>
  <c r="F1410" i="6" s="1"/>
  <c r="S15" i="9"/>
  <c r="E15" i="9" s="1"/>
  <c r="F1018" i="7"/>
  <c r="E1018" i="7"/>
  <c r="I1018" i="7"/>
  <c r="H1018" i="7"/>
  <c r="B1019" i="7" s="1"/>
  <c r="J1018" i="7"/>
  <c r="G1018" i="7"/>
  <c r="B375" i="6"/>
  <c r="C375" i="6" s="1"/>
  <c r="H406" i="8"/>
  <c r="D406" i="8"/>
  <c r="E406" i="8"/>
  <c r="G406" i="8" s="1"/>
  <c r="J1185" i="7"/>
  <c r="I1185" i="7"/>
  <c r="E1185" i="7"/>
  <c r="F1185" i="7"/>
  <c r="K1185" i="7" s="1"/>
  <c r="E1219" i="6"/>
  <c r="G1219" i="6" s="1"/>
  <c r="G626" i="7"/>
  <c r="I515" i="8"/>
  <c r="J515" i="8" s="1"/>
  <c r="L515" i="8"/>
  <c r="B131" i="7"/>
  <c r="B1171" i="6"/>
  <c r="D1171" i="6" s="1"/>
  <c r="I461" i="7"/>
  <c r="J461" i="7" s="1"/>
  <c r="L461" i="7"/>
  <c r="J241" i="12"/>
  <c r="G309" i="11"/>
  <c r="F309" i="11"/>
  <c r="C310" i="11" s="1"/>
  <c r="D310" i="11" s="1"/>
  <c r="H309" i="11"/>
  <c r="E310" i="11"/>
  <c r="I310" i="11" s="1"/>
  <c r="K1065" i="8"/>
  <c r="O1065" i="8"/>
  <c r="G562" i="6"/>
  <c r="C131" i="12"/>
  <c r="D131" i="12" s="1"/>
  <c r="L1065" i="8"/>
  <c r="F1316" i="6"/>
  <c r="H185" i="8"/>
  <c r="D185" i="8"/>
  <c r="D626" i="7"/>
  <c r="F626" i="7" s="1"/>
  <c r="K406" i="8"/>
  <c r="O406" i="8"/>
  <c r="E185" i="8"/>
  <c r="G185" i="8" s="1"/>
  <c r="B1219" i="6"/>
  <c r="D1219" i="6" s="1"/>
  <c r="D680" i="8"/>
  <c r="F680" i="8" s="1"/>
  <c r="H680" i="8"/>
  <c r="I901" i="8"/>
  <c r="F1452" i="6"/>
  <c r="C846" i="7"/>
  <c r="D846" i="7" s="1"/>
  <c r="E516" i="6"/>
  <c r="F516" i="6" s="1"/>
  <c r="O240" i="8"/>
  <c r="L240" i="8"/>
  <c r="E657" i="6"/>
  <c r="G657" i="6" s="1"/>
  <c r="M900" i="8"/>
  <c r="AT204" i="11"/>
  <c r="AS204" i="11"/>
  <c r="AX204" i="11" s="1"/>
  <c r="B233" i="6"/>
  <c r="D233" i="6" s="1"/>
  <c r="H240" i="8"/>
  <c r="D240" i="8"/>
  <c r="F240" i="8" s="1"/>
  <c r="O185" i="7"/>
  <c r="L185" i="7"/>
  <c r="N185" i="7" s="1"/>
  <c r="C296" i="8"/>
  <c r="D296" i="8" s="1"/>
  <c r="F606" i="6"/>
  <c r="H790" i="7"/>
  <c r="D790" i="7"/>
  <c r="F790" i="7" s="1"/>
  <c r="B900" i="8"/>
  <c r="C900" i="8" s="1"/>
  <c r="E900" i="8" s="1"/>
  <c r="N900" i="7"/>
  <c r="J32" i="9"/>
  <c r="D33" i="9"/>
  <c r="C33" i="9"/>
  <c r="K185" i="7"/>
  <c r="H405" i="7"/>
  <c r="E405" i="7"/>
  <c r="E985" i="6"/>
  <c r="G985" i="6" s="1"/>
  <c r="G253" i="11"/>
  <c r="O295" i="7"/>
  <c r="K295" i="7"/>
  <c r="M295" i="7" s="1"/>
  <c r="H14" i="9"/>
  <c r="I14" i="9" s="1"/>
  <c r="E1502" i="6"/>
  <c r="G1502" i="6" s="1"/>
  <c r="D405" i="7"/>
  <c r="B2923" i="6"/>
  <c r="D2923" i="6" s="1"/>
  <c r="L406" i="8"/>
  <c r="O845" i="7"/>
  <c r="L845" i="7"/>
  <c r="H790" i="8"/>
  <c r="D790" i="8"/>
  <c r="F790" i="8" s="1"/>
  <c r="K790" i="7"/>
  <c r="O790" i="7"/>
  <c r="K845" i="7"/>
  <c r="I131" i="8"/>
  <c r="J131" i="8" s="1"/>
  <c r="L131" i="8" s="1"/>
  <c r="C350" i="7"/>
  <c r="B681" i="7"/>
  <c r="C681" i="7" s="1"/>
  <c r="E681" i="7" s="1"/>
  <c r="K845" i="8"/>
  <c r="O845" i="8"/>
  <c r="C735" i="8"/>
  <c r="D735" i="8" s="1"/>
  <c r="L790" i="7"/>
  <c r="B1315" i="6"/>
  <c r="D1315" i="6" s="1"/>
  <c r="C1315" i="6"/>
  <c r="J791" i="8"/>
  <c r="K791" i="8" s="1"/>
  <c r="X310" i="11"/>
  <c r="W310" i="11"/>
  <c r="V310" i="11"/>
  <c r="S311" i="11" s="1"/>
  <c r="B735" i="7"/>
  <c r="C735" i="7" s="1"/>
  <c r="E735" i="7"/>
  <c r="D130" i="8"/>
  <c r="H130" i="8"/>
  <c r="H626" i="7"/>
  <c r="G240" i="12"/>
  <c r="O515" i="7"/>
  <c r="L515" i="7"/>
  <c r="D186" i="7"/>
  <c r="F186" i="7" s="1"/>
  <c r="B986" i="6"/>
  <c r="D986" i="6" s="1"/>
  <c r="C986" i="6"/>
  <c r="B571" i="7"/>
  <c r="B957" i="8"/>
  <c r="B139" i="6"/>
  <c r="C139" i="6" s="1"/>
  <c r="N350" i="7"/>
  <c r="K625" i="7"/>
  <c r="M625" i="7" s="1"/>
  <c r="O625" i="7"/>
  <c r="D186" i="6"/>
  <c r="E701" i="6"/>
  <c r="G701" i="6" s="1"/>
  <c r="K625" i="8"/>
  <c r="M625" i="8" s="1"/>
  <c r="O625" i="8"/>
  <c r="D846" i="8"/>
  <c r="H846" i="8"/>
  <c r="I131" i="7"/>
  <c r="C425" i="6"/>
  <c r="C426" i="6" s="1"/>
  <c r="C427" i="6" s="1"/>
  <c r="C428" i="6" s="1"/>
  <c r="C429" i="6" s="1"/>
  <c r="C430" i="6" s="1"/>
  <c r="C431" i="6" s="1"/>
  <c r="C432" i="6" s="1"/>
  <c r="C433" i="6" s="1"/>
  <c r="C434" i="6" s="1"/>
  <c r="C435" i="6" s="1"/>
  <c r="C436" i="6" s="1"/>
  <c r="C437" i="6" s="1"/>
  <c r="C438" i="6" s="1"/>
  <c r="C439" i="6" s="1"/>
  <c r="C440" i="6" s="1"/>
  <c r="C441" i="6" s="1"/>
  <c r="C442" i="6" s="1"/>
  <c r="C443" i="6" s="1"/>
  <c r="C444" i="6" s="1"/>
  <c r="C445" i="6" s="1"/>
  <c r="B446" i="6" s="1"/>
  <c r="B296" i="12"/>
  <c r="L625" i="7"/>
  <c r="B1033" i="6"/>
  <c r="C1033" i="6" s="1"/>
  <c r="G798" i="6"/>
  <c r="E799" i="6" s="1"/>
  <c r="F799" i="6" s="1"/>
  <c r="B1079" i="6"/>
  <c r="C1079" i="6" s="1"/>
  <c r="E846" i="8"/>
  <c r="G846" i="8" s="1"/>
  <c r="K33" i="9"/>
  <c r="L845" i="8"/>
  <c r="I736" i="7"/>
  <c r="J295" i="12"/>
  <c r="D1126" i="6"/>
  <c r="D570" i="8"/>
  <c r="B1066" i="8"/>
  <c r="C1066" i="8" s="1"/>
  <c r="E1066" i="8"/>
  <c r="H460" i="7"/>
  <c r="D460" i="7"/>
  <c r="F460" i="7" s="1"/>
  <c r="M735" i="7"/>
  <c r="F295" i="12"/>
  <c r="B609" i="6"/>
  <c r="C609" i="6" s="1"/>
  <c r="G846" i="6"/>
  <c r="E847" i="6" s="1"/>
  <c r="F847" i="6" s="1"/>
  <c r="G375" i="6"/>
  <c r="E376" i="6" s="1"/>
  <c r="F376" i="6" s="1"/>
  <c r="D1411" i="6"/>
  <c r="E130" i="8"/>
  <c r="B460" i="8"/>
  <c r="C460" i="8" s="1"/>
  <c r="E460" i="8" s="1"/>
  <c r="C626" i="8"/>
  <c r="H186" i="7"/>
  <c r="E282" i="6"/>
  <c r="G282" i="6" s="1"/>
  <c r="K515" i="7"/>
  <c r="E1172" i="6"/>
  <c r="G1172" i="6" s="1"/>
  <c r="F1172" i="6"/>
  <c r="D939" i="6"/>
  <c r="B940" i="6" s="1"/>
  <c r="C940" i="6" s="1"/>
  <c r="B186" i="6"/>
  <c r="C186" i="6"/>
  <c r="E22" i="10"/>
  <c r="C22" i="10"/>
  <c r="D22" i="10"/>
  <c r="M130" i="7"/>
  <c r="F130" i="7"/>
  <c r="F956" i="8"/>
  <c r="B1458" i="6"/>
  <c r="C1458" i="6" s="1"/>
  <c r="D515" i="8"/>
  <c r="F515" i="8" s="1"/>
  <c r="H515" i="8"/>
  <c r="E1127" i="6"/>
  <c r="F1127" i="6" s="1"/>
  <c r="E2922" i="6"/>
  <c r="F2922" i="6" s="1"/>
  <c r="C326" i="6"/>
  <c r="G351" i="8"/>
  <c r="J680" i="8"/>
  <c r="K680" i="8" s="1"/>
  <c r="G236" i="6"/>
  <c r="E237" i="6" s="1"/>
  <c r="F237" i="6" s="1"/>
  <c r="F238" i="6" s="1"/>
  <c r="F239" i="6" s="1"/>
  <c r="F240" i="6" s="1"/>
  <c r="F241" i="6" s="1"/>
  <c r="F242" i="6" s="1"/>
  <c r="F243" i="6" s="1"/>
  <c r="F244" i="6" s="1"/>
  <c r="F245" i="6" s="1"/>
  <c r="F246" i="6" s="1"/>
  <c r="F247" i="6" s="1"/>
  <c r="F248" i="6" s="1"/>
  <c r="F249" i="6" s="1"/>
  <c r="F250" i="6" s="1"/>
  <c r="F251" i="6" s="1"/>
  <c r="F252" i="6" s="1"/>
  <c r="F253" i="6" s="1"/>
  <c r="F254" i="6" s="1"/>
  <c r="F255" i="6" s="1"/>
  <c r="F256" i="6" s="1"/>
  <c r="F257" i="6" s="1"/>
  <c r="E472" i="6"/>
  <c r="G472" i="6" s="1"/>
  <c r="G473" i="6" s="1"/>
  <c r="G474" i="6" s="1"/>
  <c r="G475" i="6" s="1"/>
  <c r="G476" i="6" s="1"/>
  <c r="G477" i="6" s="1"/>
  <c r="G478" i="6" s="1"/>
  <c r="G479" i="6" s="1"/>
  <c r="G480" i="6" s="1"/>
  <c r="G481" i="6" s="1"/>
  <c r="G482" i="6" s="1"/>
  <c r="G483" i="6" s="1"/>
  <c r="G484" i="6" s="1"/>
  <c r="G485" i="6" s="1"/>
  <c r="G486" i="6" s="1"/>
  <c r="G487" i="6" s="1"/>
  <c r="G488" i="6" s="1"/>
  <c r="G489" i="6" s="1"/>
  <c r="G490" i="6" s="1"/>
  <c r="G491" i="6" s="1"/>
  <c r="G492" i="6" s="1"/>
  <c r="N570" i="8"/>
  <c r="O460" i="8"/>
  <c r="L460" i="8"/>
  <c r="E562" i="6"/>
  <c r="F562" i="6" s="1"/>
  <c r="B901" i="7"/>
  <c r="E1266" i="6"/>
  <c r="G1266" i="6" s="1"/>
  <c r="J350" i="8"/>
  <c r="K350" i="8" s="1"/>
  <c r="AR204" i="11"/>
  <c r="F253" i="11"/>
  <c r="O130" i="12"/>
  <c r="K130" i="12"/>
  <c r="M130" i="12" s="1"/>
  <c r="N240" i="7"/>
  <c r="G420" i="6"/>
  <c r="E421" i="6" s="1"/>
  <c r="F421" i="6" s="1"/>
  <c r="K460" i="8"/>
  <c r="B658" i="6"/>
  <c r="C658" i="6" s="1"/>
  <c r="K240" i="8"/>
  <c r="M240" i="8" s="1"/>
  <c r="E1031" i="6"/>
  <c r="G1031" i="6" s="1"/>
  <c r="I955" i="8"/>
  <c r="J955" i="8" s="1"/>
  <c r="N15" i="9"/>
  <c r="Q15" i="9" s="1"/>
  <c r="G15" i="9" s="1"/>
  <c r="AV204" i="11"/>
  <c r="D1505" i="6"/>
  <c r="B1506" i="6" s="1"/>
  <c r="C1506" i="6" s="1"/>
  <c r="N405" i="7"/>
  <c r="AU204" i="11"/>
  <c r="AY204" i="11" s="1"/>
  <c r="BD204" i="11" s="1"/>
  <c r="B467" i="6"/>
  <c r="D467" i="6" s="1"/>
  <c r="D1361" i="6"/>
  <c r="B1362" i="6" s="1"/>
  <c r="C1362" i="6" s="1"/>
  <c r="B281" i="6"/>
  <c r="C281" i="6" s="1"/>
  <c r="AQ204" i="11"/>
  <c r="AW204" i="11" s="1"/>
  <c r="F937" i="6"/>
  <c r="G748" i="6"/>
  <c r="E749" i="6" s="1"/>
  <c r="F749" i="6" s="1"/>
  <c r="N130" i="12"/>
  <c r="B561" i="6"/>
  <c r="D561" i="6" s="1"/>
  <c r="E253" i="11"/>
  <c r="H240" i="7"/>
  <c r="E240" i="7"/>
  <c r="BQ204" i="11"/>
  <c r="E139" i="6"/>
  <c r="F139" i="6" s="1"/>
  <c r="B517" i="6"/>
  <c r="C517" i="6" s="1"/>
  <c r="B801" i="6"/>
  <c r="C801" i="6" s="1"/>
  <c r="E1364" i="6"/>
  <c r="F1364" i="6" s="1"/>
  <c r="E187" i="6"/>
  <c r="G187" i="6" s="1"/>
  <c r="F187" i="6"/>
  <c r="L18" i="10"/>
  <c r="J18" i="10"/>
  <c r="B846" i="6"/>
  <c r="C846" i="6" s="1"/>
  <c r="K185" i="12"/>
  <c r="M185" i="12" s="1"/>
  <c r="O185" i="12"/>
  <c r="N185" i="8"/>
  <c r="J296" i="8"/>
  <c r="F570" i="7"/>
  <c r="C185" i="12"/>
  <c r="H295" i="7"/>
  <c r="D295" i="7"/>
  <c r="F295" i="7" s="1"/>
  <c r="G515" i="7"/>
  <c r="G1010" i="8"/>
  <c r="D701" i="6"/>
  <c r="B702" i="6" s="1"/>
  <c r="C702" i="6" s="1"/>
  <c r="K1010" i="8"/>
  <c r="M1010" i="8" s="1"/>
  <c r="O1010" i="8"/>
  <c r="D240" i="7"/>
  <c r="D748" i="6" l="1"/>
  <c r="C748" i="6"/>
  <c r="M460" i="8"/>
  <c r="F405" i="7"/>
  <c r="D1458" i="6"/>
  <c r="H1072" i="7"/>
  <c r="G790" i="8"/>
  <c r="G240" i="8"/>
  <c r="B241" i="8" s="1"/>
  <c r="C241" i="8" s="1"/>
  <c r="F240" i="7"/>
  <c r="N295" i="7"/>
  <c r="G460" i="7"/>
  <c r="B461" i="7" s="1"/>
  <c r="C461" i="7" s="1"/>
  <c r="E461" i="7" s="1"/>
  <c r="B1268" i="6"/>
  <c r="D1268" i="6" s="1"/>
  <c r="G894" i="6"/>
  <c r="F894" i="6"/>
  <c r="E895" i="6" s="1"/>
  <c r="F895" i="6" s="1"/>
  <c r="J1129" i="7"/>
  <c r="F1129" i="7"/>
  <c r="I1129" i="7"/>
  <c r="E1129" i="7"/>
  <c r="H1129" i="7" s="1"/>
  <c r="B1130" i="7" s="1"/>
  <c r="G1129" i="7"/>
  <c r="C1130" i="7"/>
  <c r="D1130" i="7"/>
  <c r="BH253" i="11"/>
  <c r="BF253" i="11"/>
  <c r="BK253" i="11"/>
  <c r="BG253" i="11"/>
  <c r="BE253" i="11"/>
  <c r="AI254" i="11" s="1"/>
  <c r="BJ253" i="11"/>
  <c r="BI253" i="11"/>
  <c r="K204" i="11"/>
  <c r="Q204" i="11" s="1"/>
  <c r="D139" i="6"/>
  <c r="D140" i="6" s="1"/>
  <c r="F570" i="8"/>
  <c r="N845" i="7"/>
  <c r="N1065" i="8"/>
  <c r="D658" i="6"/>
  <c r="B659" i="6" s="1"/>
  <c r="N790" i="7"/>
  <c r="I791" i="7" s="1"/>
  <c r="N406" i="8"/>
  <c r="I407" i="8" s="1"/>
  <c r="C961" i="7"/>
  <c r="D961" i="7" s="1"/>
  <c r="D281" i="6"/>
  <c r="G1079" i="6"/>
  <c r="E1080" i="6" s="1"/>
  <c r="G1185" i="7"/>
  <c r="N515" i="7"/>
  <c r="I516" i="7" s="1"/>
  <c r="G2922" i="6"/>
  <c r="E2923" i="6" s="1"/>
  <c r="G790" i="7"/>
  <c r="B791" i="7" s="1"/>
  <c r="C791" i="7" s="1"/>
  <c r="E791" i="7" s="1"/>
  <c r="C1171" i="6"/>
  <c r="B1172" i="6" s="1"/>
  <c r="C1172" i="6" s="1"/>
  <c r="O204" i="11"/>
  <c r="S204" i="11" s="1"/>
  <c r="P204" i="11"/>
  <c r="B896" i="6"/>
  <c r="C896" i="6" s="1"/>
  <c r="G1364" i="6"/>
  <c r="N1010" i="8"/>
  <c r="I1011" i="8" s="1"/>
  <c r="J1011" i="8" s="1"/>
  <c r="G1410" i="6"/>
  <c r="D846" i="6"/>
  <c r="B847" i="6" s="1"/>
  <c r="G1127" i="6"/>
  <c r="G295" i="7"/>
  <c r="M204" i="11"/>
  <c r="R204" i="11" s="1"/>
  <c r="N204" i="11"/>
  <c r="F282" i="6"/>
  <c r="E283" i="6" s="1"/>
  <c r="G283" i="6" s="1"/>
  <c r="G515" i="8"/>
  <c r="B516" i="8" s="1"/>
  <c r="C516" i="8" s="1"/>
  <c r="E516" i="8" s="1"/>
  <c r="G130" i="8"/>
  <c r="B131" i="8" s="1"/>
  <c r="M845" i="8"/>
  <c r="D609" i="6"/>
  <c r="B610" i="6" s="1"/>
  <c r="D610" i="6" s="1"/>
  <c r="C1219" i="6"/>
  <c r="B1220" i="6" s="1"/>
  <c r="K1018" i="7"/>
  <c r="F310" i="11"/>
  <c r="C311" i="11" s="1"/>
  <c r="G310" i="11"/>
  <c r="H310" i="11"/>
  <c r="D1019" i="7"/>
  <c r="K571" i="7"/>
  <c r="O571" i="7"/>
  <c r="L571" i="7"/>
  <c r="B941" i="6"/>
  <c r="C941" i="6" s="1"/>
  <c r="M791" i="8"/>
  <c r="O296" i="8"/>
  <c r="L296" i="8"/>
  <c r="K296" i="8"/>
  <c r="K736" i="8"/>
  <c r="D1066" i="8"/>
  <c r="F1066" i="8" s="1"/>
  <c r="H1066" i="8"/>
  <c r="I186" i="7"/>
  <c r="E1317" i="6"/>
  <c r="G1317" i="6" s="1"/>
  <c r="E626" i="8"/>
  <c r="H626" i="8"/>
  <c r="B987" i="6"/>
  <c r="C987" i="6" s="1"/>
  <c r="D702" i="6"/>
  <c r="B703" i="6" s="1"/>
  <c r="C703" i="6" s="1"/>
  <c r="O311" i="11"/>
  <c r="N311" i="11"/>
  <c r="K312" i="11" s="1"/>
  <c r="L312" i="11" s="1"/>
  <c r="P311" i="11"/>
  <c r="M312" i="11"/>
  <c r="Q312" i="11" s="1"/>
  <c r="M1065" i="8"/>
  <c r="D375" i="6"/>
  <c r="H681" i="7"/>
  <c r="D681" i="7"/>
  <c r="F681" i="7" s="1"/>
  <c r="J33" i="9"/>
  <c r="D34" i="9"/>
  <c r="C34" i="9"/>
  <c r="I296" i="7"/>
  <c r="J296" i="7" s="1"/>
  <c r="L296" i="7" s="1"/>
  <c r="J131" i="7"/>
  <c r="D801" i="6"/>
  <c r="B802" i="6" s="1"/>
  <c r="C802" i="6" s="1"/>
  <c r="B282" i="6"/>
  <c r="C282" i="6" s="1"/>
  <c r="B352" i="8"/>
  <c r="C352" i="8" s="1"/>
  <c r="E352" i="8"/>
  <c r="O791" i="8"/>
  <c r="L791" i="8"/>
  <c r="N791" i="8" s="1"/>
  <c r="N625" i="8"/>
  <c r="D1079" i="6"/>
  <c r="I186" i="8"/>
  <c r="J186" i="8" s="1"/>
  <c r="L186" i="8"/>
  <c r="G240" i="7"/>
  <c r="D1362" i="6"/>
  <c r="B1363" i="6" s="1"/>
  <c r="C1363" i="6" s="1"/>
  <c r="I846" i="7"/>
  <c r="E846" i="7"/>
  <c r="G846" i="7" s="1"/>
  <c r="H846" i="7"/>
  <c r="I1066" i="8"/>
  <c r="G799" i="6"/>
  <c r="G139" i="6"/>
  <c r="F1219" i="6"/>
  <c r="B1011" i="8"/>
  <c r="C1011" i="8" s="1"/>
  <c r="E1011" i="8"/>
  <c r="F22" i="10"/>
  <c r="B186" i="8"/>
  <c r="G516" i="6"/>
  <c r="C467" i="6"/>
  <c r="K131" i="8"/>
  <c r="M131" i="8" s="1"/>
  <c r="O131" i="8"/>
  <c r="E1453" i="6"/>
  <c r="G1453" i="6" s="1"/>
  <c r="D517" i="6"/>
  <c r="C296" i="7"/>
  <c r="E296" i="7" s="1"/>
  <c r="C561" i="6"/>
  <c r="F1031" i="6"/>
  <c r="B187" i="6"/>
  <c r="D187" i="6" s="1"/>
  <c r="N625" i="7"/>
  <c r="B241" i="12"/>
  <c r="C241" i="12" s="1"/>
  <c r="E241" i="12" s="1"/>
  <c r="F330" i="6"/>
  <c r="G680" i="8"/>
  <c r="H185" i="12"/>
  <c r="E185" i="12"/>
  <c r="I131" i="12"/>
  <c r="J131" i="12" s="1"/>
  <c r="L736" i="8"/>
  <c r="AJ254" i="11"/>
  <c r="B1412" i="6"/>
  <c r="C1412" i="6" s="1"/>
  <c r="M18" i="10"/>
  <c r="I18" i="10" s="1"/>
  <c r="N18" i="10"/>
  <c r="H18" i="10" s="1"/>
  <c r="K18" i="10" s="1"/>
  <c r="N460" i="8"/>
  <c r="F130" i="8"/>
  <c r="F985" i="6"/>
  <c r="E188" i="6"/>
  <c r="F188" i="6" s="1"/>
  <c r="G421" i="6"/>
  <c r="E422" i="6" s="1"/>
  <c r="F422" i="6" s="1"/>
  <c r="C296" i="12"/>
  <c r="G405" i="7"/>
  <c r="J901" i="8"/>
  <c r="K901" i="8" s="1"/>
  <c r="R15" i="9"/>
  <c r="G188" i="6"/>
  <c r="AZ204" i="11"/>
  <c r="D1506" i="6"/>
  <c r="I241" i="7"/>
  <c r="J241" i="7" s="1"/>
  <c r="L241" i="7" s="1"/>
  <c r="I571" i="8"/>
  <c r="J571" i="8" s="1"/>
  <c r="B1459" i="6"/>
  <c r="D1459" i="6" s="1"/>
  <c r="C1459" i="6"/>
  <c r="M515" i="7"/>
  <c r="J736" i="7"/>
  <c r="K736" i="7" s="1"/>
  <c r="D735" i="7"/>
  <c r="F735" i="7" s="1"/>
  <c r="H735" i="7"/>
  <c r="D1033" i="6"/>
  <c r="L241" i="12"/>
  <c r="O241" i="12"/>
  <c r="O515" i="8"/>
  <c r="K515" i="8"/>
  <c r="M515" i="8" s="1"/>
  <c r="H1185" i="7"/>
  <c r="L16" i="9"/>
  <c r="G376" i="6"/>
  <c r="I406" i="7"/>
  <c r="J406" i="7" s="1"/>
  <c r="E901" i="7"/>
  <c r="G901" i="7" s="1"/>
  <c r="B140" i="6"/>
  <c r="C140" i="6"/>
  <c r="K681" i="7"/>
  <c r="M681" i="7" s="1"/>
  <c r="D940" i="6"/>
  <c r="O681" i="7"/>
  <c r="E938" i="6"/>
  <c r="G938" i="6" s="1"/>
  <c r="M406" i="8"/>
  <c r="F472" i="6"/>
  <c r="F473" i="6" s="1"/>
  <c r="F474" i="6" s="1"/>
  <c r="F475" i="6" s="1"/>
  <c r="F476" i="6" s="1"/>
  <c r="F477" i="6" s="1"/>
  <c r="F478" i="6" s="1"/>
  <c r="F479" i="6" s="1"/>
  <c r="F480" i="6" s="1"/>
  <c r="F481" i="6" s="1"/>
  <c r="F482" i="6" s="1"/>
  <c r="F483" i="6" s="1"/>
  <c r="F484" i="6" s="1"/>
  <c r="F485" i="6" s="1"/>
  <c r="F486" i="6" s="1"/>
  <c r="F487" i="6" s="1"/>
  <c r="F488" i="6" s="1"/>
  <c r="F489" i="6" s="1"/>
  <c r="F490" i="6" s="1"/>
  <c r="F491" i="6" s="1"/>
  <c r="F492" i="6" s="1"/>
  <c r="E493" i="6" s="1"/>
  <c r="C957" i="8"/>
  <c r="D957" i="8" s="1"/>
  <c r="N845" i="8"/>
  <c r="T311" i="11"/>
  <c r="U311" i="11" s="1"/>
  <c r="Y311" i="11" s="1"/>
  <c r="F1502" i="6"/>
  <c r="M185" i="7"/>
  <c r="E607" i="6"/>
  <c r="G607" i="6" s="1"/>
  <c r="F657" i="6"/>
  <c r="K241" i="12"/>
  <c r="B1127" i="6"/>
  <c r="C1127" i="6" s="1"/>
  <c r="F15" i="9"/>
  <c r="H15" i="9" s="1"/>
  <c r="I15" i="9" s="1"/>
  <c r="G237" i="6"/>
  <c r="G238" i="6" s="1"/>
  <c r="G239" i="6" s="1"/>
  <c r="G240" i="6" s="1"/>
  <c r="G241" i="6" s="1"/>
  <c r="G242" i="6" s="1"/>
  <c r="G243" i="6" s="1"/>
  <c r="G244" i="6" s="1"/>
  <c r="G245" i="6" s="1"/>
  <c r="G246" i="6" s="1"/>
  <c r="G247" i="6" s="1"/>
  <c r="G248" i="6" s="1"/>
  <c r="G249" i="6" s="1"/>
  <c r="G250" i="6" s="1"/>
  <c r="G251" i="6" s="1"/>
  <c r="G252" i="6" s="1"/>
  <c r="G253" i="6" s="1"/>
  <c r="G254" i="6" s="1"/>
  <c r="G255" i="6" s="1"/>
  <c r="G256" i="6" s="1"/>
  <c r="G257" i="6" s="1"/>
  <c r="E258" i="6" s="1"/>
  <c r="B847" i="8"/>
  <c r="L680" i="8"/>
  <c r="N680" i="8" s="1"/>
  <c r="O680" i="8"/>
  <c r="B749" i="6"/>
  <c r="D749" i="6" s="1"/>
  <c r="H901" i="7"/>
  <c r="BT204" i="11"/>
  <c r="BU204" i="11" s="1"/>
  <c r="D626" i="8"/>
  <c r="B627" i="7"/>
  <c r="C627" i="7" s="1"/>
  <c r="O350" i="8"/>
  <c r="L350" i="8"/>
  <c r="N350" i="8" s="1"/>
  <c r="F701" i="6"/>
  <c r="H350" i="7"/>
  <c r="E350" i="7"/>
  <c r="O461" i="7"/>
  <c r="K461" i="7"/>
  <c r="M461" i="7" s="1"/>
  <c r="K955" i="8"/>
  <c r="O955" i="8"/>
  <c r="H460" i="8"/>
  <c r="D460" i="8"/>
  <c r="F460" i="8" s="1"/>
  <c r="D350" i="7"/>
  <c r="E131" i="12"/>
  <c r="G131" i="12" s="1"/>
  <c r="H131" i="12"/>
  <c r="H253" i="11"/>
  <c r="I253" i="11" s="1"/>
  <c r="P253" i="11" s="1"/>
  <c r="L955" i="8"/>
  <c r="O295" i="12"/>
  <c r="L295" i="12"/>
  <c r="G570" i="8"/>
  <c r="I901" i="7"/>
  <c r="J901" i="7" s="1"/>
  <c r="B516" i="7"/>
  <c r="C516" i="7" s="1"/>
  <c r="E516" i="7"/>
  <c r="F1266" i="6"/>
  <c r="B327" i="6"/>
  <c r="D327" i="6" s="1"/>
  <c r="K295" i="12"/>
  <c r="B1316" i="6"/>
  <c r="D1316" i="6" s="1"/>
  <c r="C1316" i="6"/>
  <c r="B296" i="7"/>
  <c r="I351" i="7"/>
  <c r="J351" i="7" s="1"/>
  <c r="L351" i="7"/>
  <c r="M845" i="7"/>
  <c r="B791" i="8"/>
  <c r="C791" i="8" s="1"/>
  <c r="G186" i="7"/>
  <c r="C1019" i="7"/>
  <c r="D900" i="8"/>
  <c r="F900" i="8" s="1"/>
  <c r="H900" i="8"/>
  <c r="C233" i="6"/>
  <c r="B407" i="8"/>
  <c r="E563" i="6"/>
  <c r="G563" i="6" s="1"/>
  <c r="G847" i="6"/>
  <c r="E848" i="6" s="1"/>
  <c r="F848" i="6" s="1"/>
  <c r="M790" i="7"/>
  <c r="BA204" i="11"/>
  <c r="BC204" i="11"/>
  <c r="BB204" i="11" s="1"/>
  <c r="BM204" i="11" s="1"/>
  <c r="F406" i="8"/>
  <c r="B1507" i="6"/>
  <c r="C1507" i="6" s="1"/>
  <c r="D185" i="12"/>
  <c r="G749" i="6"/>
  <c r="E750" i="6" s="1"/>
  <c r="F750" i="6" s="1"/>
  <c r="E1173" i="6"/>
  <c r="G1173" i="6" s="1"/>
  <c r="E735" i="8"/>
  <c r="G735" i="8" s="1"/>
  <c r="H735" i="8"/>
  <c r="C2923" i="6"/>
  <c r="C571" i="7"/>
  <c r="D571" i="7" s="1"/>
  <c r="C131" i="7"/>
  <c r="K34" i="9"/>
  <c r="F846" i="8"/>
  <c r="H296" i="8"/>
  <c r="E296" i="8"/>
  <c r="G296" i="8" s="1"/>
  <c r="N240" i="8"/>
  <c r="F185" i="8"/>
  <c r="N185" i="12"/>
  <c r="G626" i="8" l="1"/>
  <c r="B1073" i="7"/>
  <c r="C1073" i="7" s="1"/>
  <c r="D1073" i="7" s="1"/>
  <c r="F846" i="7"/>
  <c r="M350" i="8"/>
  <c r="D282" i="6"/>
  <c r="B283" i="6" s="1"/>
  <c r="C283" i="6" s="1"/>
  <c r="G350" i="7"/>
  <c r="B351" i="7" s="1"/>
  <c r="D1412" i="6"/>
  <c r="B1413" i="6" s="1"/>
  <c r="N295" i="12"/>
  <c r="C1268" i="6"/>
  <c r="B1269" i="6" s="1"/>
  <c r="C1269" i="6" s="1"/>
  <c r="M955" i="8"/>
  <c r="G460" i="8"/>
  <c r="M296" i="8"/>
  <c r="G1080" i="6"/>
  <c r="F1080" i="6"/>
  <c r="E1081" i="6" s="1"/>
  <c r="F1081" i="6" s="1"/>
  <c r="C1220" i="6"/>
  <c r="D1220" i="6"/>
  <c r="D847" i="6"/>
  <c r="C847" i="6"/>
  <c r="J961" i="7"/>
  <c r="I961" i="7"/>
  <c r="F961" i="7"/>
  <c r="E961" i="7"/>
  <c r="G961" i="7" s="1"/>
  <c r="K961" i="7"/>
  <c r="G2923" i="6"/>
  <c r="F2923" i="6"/>
  <c r="D659" i="6"/>
  <c r="C659" i="6"/>
  <c r="E1128" i="6"/>
  <c r="F1128" i="6" s="1"/>
  <c r="M571" i="7"/>
  <c r="D896" i="6"/>
  <c r="E1365" i="6"/>
  <c r="F1365" i="6" s="1"/>
  <c r="F563" i="6"/>
  <c r="M241" i="12"/>
  <c r="T204" i="11"/>
  <c r="V204" i="11" s="1"/>
  <c r="B897" i="6"/>
  <c r="D897" i="6" s="1"/>
  <c r="I1130" i="7"/>
  <c r="J1130" i="7"/>
  <c r="F1130" i="7"/>
  <c r="H1130" i="7" s="1"/>
  <c r="E1130" i="7"/>
  <c r="G1130" i="7" s="1"/>
  <c r="M736" i="8"/>
  <c r="G895" i="6"/>
  <c r="E896" i="6" s="1"/>
  <c r="G896" i="6" s="1"/>
  <c r="K1129" i="7"/>
  <c r="N131" i="8"/>
  <c r="I132" i="8" s="1"/>
  <c r="J132" i="8" s="1"/>
  <c r="N461" i="7"/>
  <c r="I462" i="7" s="1"/>
  <c r="J462" i="7" s="1"/>
  <c r="D1172" i="6"/>
  <c r="U204" i="11"/>
  <c r="G185" i="12"/>
  <c r="B186" i="12" s="1"/>
  <c r="H461" i="7"/>
  <c r="BL253" i="11"/>
  <c r="AP254" i="11" s="1"/>
  <c r="D987" i="6"/>
  <c r="D988" i="6" s="1"/>
  <c r="E1411" i="6"/>
  <c r="F1411" i="6" s="1"/>
  <c r="H516" i="8"/>
  <c r="C749" i="6"/>
  <c r="K1011" i="8"/>
  <c r="O1011" i="8"/>
  <c r="L1011" i="8"/>
  <c r="N1011" i="8" s="1"/>
  <c r="E189" i="6"/>
  <c r="F189" i="6" s="1"/>
  <c r="E241" i="8"/>
  <c r="D241" i="8"/>
  <c r="F241" i="8" s="1"/>
  <c r="H241" i="8"/>
  <c r="H627" i="7"/>
  <c r="D627" i="7"/>
  <c r="E627" i="7"/>
  <c r="BH204" i="11"/>
  <c r="BF204" i="11"/>
  <c r="BE204" i="11"/>
  <c r="BJ204" i="11"/>
  <c r="BI204" i="11"/>
  <c r="BG204" i="11"/>
  <c r="BK204" i="11"/>
  <c r="H791" i="8"/>
  <c r="D791" i="8"/>
  <c r="E791" i="8"/>
  <c r="G791" i="8" s="1"/>
  <c r="O312" i="11"/>
  <c r="N312" i="11"/>
  <c r="K313" i="11" s="1"/>
  <c r="P312" i="11"/>
  <c r="CB204" i="11"/>
  <c r="CA204" i="11"/>
  <c r="CE204" i="11" s="1"/>
  <c r="BZ204" i="11"/>
  <c r="BY204" i="11"/>
  <c r="CD204" i="11" s="1"/>
  <c r="CG204" i="11" s="1"/>
  <c r="BW204" i="11"/>
  <c r="CC204" i="11" s="1"/>
  <c r="BX204" i="11"/>
  <c r="B988" i="6"/>
  <c r="C988" i="6" s="1"/>
  <c r="K131" i="12"/>
  <c r="L131" i="12"/>
  <c r="N131" i="12" s="1"/>
  <c r="O131" i="12"/>
  <c r="B1221" i="6"/>
  <c r="C1221" i="6" s="1"/>
  <c r="B2924" i="6"/>
  <c r="D2924" i="6" s="1"/>
  <c r="C2924" i="6"/>
  <c r="C131" i="8"/>
  <c r="D1460" i="6"/>
  <c r="E1267" i="6"/>
  <c r="G1267" i="6" s="1"/>
  <c r="K296" i="7"/>
  <c r="M296" i="7" s="1"/>
  <c r="E1019" i="7"/>
  <c r="J1019" i="7"/>
  <c r="F1019" i="7"/>
  <c r="H1019" i="7" s="1"/>
  <c r="I1019" i="7"/>
  <c r="K35" i="9"/>
  <c r="C610" i="6"/>
  <c r="C187" i="6"/>
  <c r="I846" i="8"/>
  <c r="J846" i="8" s="1"/>
  <c r="M16" i="9"/>
  <c r="N16" i="9" s="1"/>
  <c r="Q16" i="9" s="1"/>
  <c r="G16" i="9" s="1"/>
  <c r="K186" i="8"/>
  <c r="M186" i="8" s="1"/>
  <c r="O186" i="8"/>
  <c r="F1173" i="6"/>
  <c r="E702" i="6"/>
  <c r="G702" i="6" s="1"/>
  <c r="B562" i="6"/>
  <c r="D562" i="6" s="1"/>
  <c r="N681" i="7"/>
  <c r="D461" i="7"/>
  <c r="F461" i="7" s="1"/>
  <c r="H131" i="7"/>
  <c r="E131" i="7"/>
  <c r="F350" i="7"/>
  <c r="I626" i="8"/>
  <c r="J626" i="8" s="1"/>
  <c r="L626" i="8"/>
  <c r="B141" i="6"/>
  <c r="D141" i="6" s="1"/>
  <c r="B681" i="8"/>
  <c r="C681" i="8" s="1"/>
  <c r="E681" i="8"/>
  <c r="I792" i="8"/>
  <c r="J792" i="8" s="1"/>
  <c r="M253" i="11"/>
  <c r="R253" i="11" s="1"/>
  <c r="D311" i="11"/>
  <c r="E311" i="11" s="1"/>
  <c r="I311" i="11" s="1"/>
  <c r="C186" i="8"/>
  <c r="O571" i="8"/>
  <c r="K571" i="8"/>
  <c r="O131" i="7"/>
  <c r="L131" i="7"/>
  <c r="B518" i="6"/>
  <c r="C518" i="6" s="1"/>
  <c r="I241" i="8"/>
  <c r="J241" i="8" s="1"/>
  <c r="L241" i="8"/>
  <c r="D703" i="6"/>
  <c r="B704" i="6" s="1"/>
  <c r="C704" i="6" s="1"/>
  <c r="F901" i="7"/>
  <c r="B297" i="8"/>
  <c r="K406" i="7"/>
  <c r="O406" i="7"/>
  <c r="N955" i="8"/>
  <c r="L406" i="7"/>
  <c r="H352" i="8"/>
  <c r="D352" i="8"/>
  <c r="F352" i="8" s="1"/>
  <c r="J791" i="7"/>
  <c r="K791" i="7" s="1"/>
  <c r="K253" i="11"/>
  <c r="Q253" i="11" s="1"/>
  <c r="F626" i="8"/>
  <c r="I681" i="8"/>
  <c r="F607" i="6"/>
  <c r="H791" i="7"/>
  <c r="H296" i="7"/>
  <c r="D1507" i="6"/>
  <c r="D1011" i="8"/>
  <c r="F1011" i="8" s="1"/>
  <c r="H1011" i="8"/>
  <c r="W311" i="11"/>
  <c r="V311" i="11"/>
  <c r="S312" i="11" s="1"/>
  <c r="X311" i="11"/>
  <c r="B241" i="7"/>
  <c r="C241" i="7" s="1"/>
  <c r="J34" i="9"/>
  <c r="D35" i="9"/>
  <c r="C35" i="9"/>
  <c r="B848" i="6"/>
  <c r="D848" i="6" s="1"/>
  <c r="F735" i="8"/>
  <c r="B234" i="6"/>
  <c r="D234" i="6" s="1"/>
  <c r="I461" i="8"/>
  <c r="J461" i="8" s="1"/>
  <c r="L461" i="8"/>
  <c r="H516" i="7"/>
  <c r="D516" i="7"/>
  <c r="F516" i="7" s="1"/>
  <c r="D791" i="7"/>
  <c r="F791" i="7" s="1"/>
  <c r="O16" i="9"/>
  <c r="F283" i="6"/>
  <c r="O901" i="7"/>
  <c r="K901" i="7"/>
  <c r="B376" i="6"/>
  <c r="C376" i="6" s="1"/>
  <c r="L901" i="7"/>
  <c r="N901" i="7" s="1"/>
  <c r="B750" i="6"/>
  <c r="D750" i="6" s="1"/>
  <c r="C750" i="6"/>
  <c r="J516" i="7"/>
  <c r="D296" i="7"/>
  <c r="F296" i="7" s="1"/>
  <c r="I186" i="12"/>
  <c r="J186" i="12" s="1"/>
  <c r="L186" i="12"/>
  <c r="F185" i="12"/>
  <c r="E957" i="8"/>
  <c r="G957" i="8" s="1"/>
  <c r="H957" i="8"/>
  <c r="B1186" i="7"/>
  <c r="C1186" i="7"/>
  <c r="D1186" i="7" s="1"/>
  <c r="B1460" i="6"/>
  <c r="C1460" i="6" s="1"/>
  <c r="O253" i="11"/>
  <c r="S253" i="11" s="1"/>
  <c r="D802" i="6"/>
  <c r="N253" i="11"/>
  <c r="H296" i="12"/>
  <c r="E296" i="12"/>
  <c r="B847" i="7"/>
  <c r="C847" i="7" s="1"/>
  <c r="D296" i="12"/>
  <c r="C407" i="8"/>
  <c r="D407" i="8" s="1"/>
  <c r="D1127" i="6"/>
  <c r="B627" i="8"/>
  <c r="B1317" i="6"/>
  <c r="D1317" i="6" s="1"/>
  <c r="C1317" i="6"/>
  <c r="N515" i="8"/>
  <c r="N241" i="12"/>
  <c r="D516" i="8"/>
  <c r="F516" i="8" s="1"/>
  <c r="E331" i="6"/>
  <c r="G331" i="6" s="1"/>
  <c r="G332" i="6" s="1"/>
  <c r="G333" i="6" s="1"/>
  <c r="G334" i="6" s="1"/>
  <c r="G335" i="6" s="1"/>
  <c r="G336" i="6" s="1"/>
  <c r="G337" i="6" s="1"/>
  <c r="G338" i="6" s="1"/>
  <c r="G339" i="6" s="1"/>
  <c r="G340" i="6" s="1"/>
  <c r="G341" i="6" s="1"/>
  <c r="G342" i="6" s="1"/>
  <c r="G343" i="6" s="1"/>
  <c r="G344" i="6" s="1"/>
  <c r="G345" i="6" s="1"/>
  <c r="G346" i="6" s="1"/>
  <c r="G347" i="6" s="1"/>
  <c r="G348" i="6" s="1"/>
  <c r="G349" i="6" s="1"/>
  <c r="G350" i="6" s="1"/>
  <c r="G351" i="6" s="1"/>
  <c r="E571" i="7"/>
  <c r="G571" i="7" s="1"/>
  <c r="H571" i="7"/>
  <c r="J407" i="8"/>
  <c r="G422" i="6"/>
  <c r="E423" i="6" s="1"/>
  <c r="F423" i="6" s="1"/>
  <c r="G1011" i="8"/>
  <c r="G681" i="7"/>
  <c r="G848" i="6"/>
  <c r="M295" i="12"/>
  <c r="L253" i="11"/>
  <c r="J186" i="7"/>
  <c r="K186" i="7" s="1"/>
  <c r="G735" i="7"/>
  <c r="B1034" i="6"/>
  <c r="C1034" i="6" s="1"/>
  <c r="E1220" i="6"/>
  <c r="G1220" i="6" s="1"/>
  <c r="F1317" i="6"/>
  <c r="N571" i="7"/>
  <c r="M680" i="8"/>
  <c r="E564" i="6"/>
  <c r="F564" i="6" s="1"/>
  <c r="I626" i="7"/>
  <c r="J626" i="7" s="1"/>
  <c r="D1363" i="6"/>
  <c r="B1364" i="6" s="1"/>
  <c r="C1364" i="6" s="1"/>
  <c r="C847" i="8"/>
  <c r="F938" i="6"/>
  <c r="B468" i="6"/>
  <c r="D468" i="6" s="1"/>
  <c r="B736" i="8"/>
  <c r="J1066" i="8"/>
  <c r="J846" i="7"/>
  <c r="O901" i="8"/>
  <c r="L901" i="8"/>
  <c r="N901" i="8" s="1"/>
  <c r="E1032" i="6"/>
  <c r="G1032" i="6" s="1"/>
  <c r="F1032" i="6"/>
  <c r="B132" i="12"/>
  <c r="O736" i="7"/>
  <c r="L736" i="7"/>
  <c r="N736" i="7" s="1"/>
  <c r="O351" i="7"/>
  <c r="K351" i="7"/>
  <c r="M351" i="7" s="1"/>
  <c r="O296" i="7"/>
  <c r="B461" i="8"/>
  <c r="C461" i="8" s="1"/>
  <c r="E461" i="8" s="1"/>
  <c r="B406" i="7"/>
  <c r="C406" i="7" s="1"/>
  <c r="E517" i="6"/>
  <c r="F517" i="6" s="1"/>
  <c r="G750" i="6"/>
  <c r="E751" i="6" s="1"/>
  <c r="F751" i="6" s="1"/>
  <c r="I351" i="8"/>
  <c r="J351" i="8" s="1"/>
  <c r="L19" i="10"/>
  <c r="J19" i="10" s="1"/>
  <c r="E377" i="6"/>
  <c r="F377" i="6" s="1"/>
  <c r="D131" i="7"/>
  <c r="B187" i="7"/>
  <c r="C187" i="7" s="1"/>
  <c r="E187" i="7"/>
  <c r="B571" i="8"/>
  <c r="C571" i="8" s="1"/>
  <c r="E571" i="8"/>
  <c r="D941" i="6"/>
  <c r="B942" i="6" s="1"/>
  <c r="C942" i="6" s="1"/>
  <c r="G1066" i="8"/>
  <c r="B660" i="6"/>
  <c r="C660" i="6" s="1"/>
  <c r="F1453" i="6"/>
  <c r="I296" i="12"/>
  <c r="B1080" i="6"/>
  <c r="C1080" i="6" s="1"/>
  <c r="B902" i="7"/>
  <c r="L571" i="8"/>
  <c r="C23" i="10"/>
  <c r="D23" i="10"/>
  <c r="E23" i="10"/>
  <c r="K131" i="7"/>
  <c r="N296" i="8"/>
  <c r="E658" i="6"/>
  <c r="G658" i="6" s="1"/>
  <c r="O241" i="7"/>
  <c r="K241" i="7"/>
  <c r="M241" i="7" s="1"/>
  <c r="E140" i="6"/>
  <c r="F140" i="6" s="1"/>
  <c r="G900" i="8"/>
  <c r="C327" i="6"/>
  <c r="E1503" i="6"/>
  <c r="G1503" i="6" s="1"/>
  <c r="E986" i="6"/>
  <c r="G986" i="6" s="1"/>
  <c r="N736" i="8"/>
  <c r="H241" i="12"/>
  <c r="D241" i="12"/>
  <c r="F241" i="12" s="1"/>
  <c r="E800" i="6"/>
  <c r="F800" i="6" s="1"/>
  <c r="F296" i="8"/>
  <c r="F131" i="12"/>
  <c r="C1413" i="6" l="1"/>
  <c r="D1413" i="6"/>
  <c r="I1073" i="7"/>
  <c r="F1073" i="7"/>
  <c r="E1073" i="7"/>
  <c r="G1073" i="7" s="1"/>
  <c r="J1073" i="7"/>
  <c r="H1073" i="7"/>
  <c r="K1073" i="7"/>
  <c r="B1270" i="6"/>
  <c r="D1270" i="6" s="1"/>
  <c r="G516" i="8"/>
  <c r="B517" i="8" s="1"/>
  <c r="C517" i="8" s="1"/>
  <c r="G189" i="6"/>
  <c r="E190" i="6" s="1"/>
  <c r="F190" i="6" s="1"/>
  <c r="F191" i="6" s="1"/>
  <c r="F192" i="6" s="1"/>
  <c r="F193" i="6" s="1"/>
  <c r="F194" i="6" s="1"/>
  <c r="F195" i="6" s="1"/>
  <c r="F196" i="6" s="1"/>
  <c r="F197" i="6" s="1"/>
  <c r="F198" i="6" s="1"/>
  <c r="F199" i="6" s="1"/>
  <c r="F200" i="6" s="1"/>
  <c r="F201" i="6" s="1"/>
  <c r="F202" i="6" s="1"/>
  <c r="F203" i="6" s="1"/>
  <c r="F204" i="6" s="1"/>
  <c r="F205" i="6" s="1"/>
  <c r="F206" i="6" s="1"/>
  <c r="F207" i="6" s="1"/>
  <c r="F208" i="6" s="1"/>
  <c r="F209" i="6" s="1"/>
  <c r="F210" i="6" s="1"/>
  <c r="L313" i="11"/>
  <c r="M313" i="11" s="1"/>
  <c r="Q313" i="11" s="1"/>
  <c r="N313" i="11" s="1"/>
  <c r="K314" i="11" s="1"/>
  <c r="G1411" i="6"/>
  <c r="E1412" i="6" s="1"/>
  <c r="F1412" i="6" s="1"/>
  <c r="G1128" i="6"/>
  <c r="K36" i="9"/>
  <c r="D1269" i="6"/>
  <c r="F131" i="7"/>
  <c r="N571" i="8"/>
  <c r="D847" i="7"/>
  <c r="E847" i="7"/>
  <c r="G847" i="7" s="1"/>
  <c r="B1131" i="7"/>
  <c r="AL254" i="11"/>
  <c r="B1074" i="7"/>
  <c r="C1074" i="7"/>
  <c r="D1074" i="7" s="1"/>
  <c r="D376" i="6"/>
  <c r="C1131" i="7"/>
  <c r="D1131" i="7" s="1"/>
  <c r="G296" i="12"/>
  <c r="B297" i="12" s="1"/>
  <c r="H961" i="7"/>
  <c r="D1034" i="6"/>
  <c r="E2924" i="6"/>
  <c r="F2924" i="6" s="1"/>
  <c r="B1173" i="6"/>
  <c r="C1173" i="6" s="1"/>
  <c r="G1365" i="6"/>
  <c r="E1366" i="6" s="1"/>
  <c r="G1366" i="6" s="1"/>
  <c r="X204" i="11"/>
  <c r="W204" i="11"/>
  <c r="AG204" i="11" s="1"/>
  <c r="AM254" i="11"/>
  <c r="G377" i="6"/>
  <c r="E378" i="6" s="1"/>
  <c r="G378" i="6" s="1"/>
  <c r="G379" i="6" s="1"/>
  <c r="G380" i="6" s="1"/>
  <c r="G381" i="6" s="1"/>
  <c r="G382" i="6" s="1"/>
  <c r="G383" i="6" s="1"/>
  <c r="G384" i="6" s="1"/>
  <c r="G385" i="6" s="1"/>
  <c r="G386" i="6" s="1"/>
  <c r="G387" i="6" s="1"/>
  <c r="G388" i="6" s="1"/>
  <c r="G389" i="6" s="1"/>
  <c r="G390" i="6" s="1"/>
  <c r="G391" i="6" s="1"/>
  <c r="G392" i="6" s="1"/>
  <c r="G393" i="6" s="1"/>
  <c r="G394" i="6" s="1"/>
  <c r="G395" i="6" s="1"/>
  <c r="G396" i="6" s="1"/>
  <c r="G397" i="6" s="1"/>
  <c r="G398" i="6" s="1"/>
  <c r="M131" i="7"/>
  <c r="D283" i="6"/>
  <c r="B284" i="6" s="1"/>
  <c r="C897" i="6"/>
  <c r="B898" i="6" s="1"/>
  <c r="D898" i="6" s="1"/>
  <c r="K1130" i="7"/>
  <c r="P16" i="9"/>
  <c r="F896" i="6"/>
  <c r="E897" i="6" s="1"/>
  <c r="G897" i="6" s="1"/>
  <c r="D660" i="6"/>
  <c r="B661" i="6" s="1"/>
  <c r="AK254" i="11"/>
  <c r="AN254" i="11" s="1"/>
  <c r="AO254" i="11" s="1"/>
  <c r="AS254" i="11" s="1"/>
  <c r="AX254" i="11" s="1"/>
  <c r="N406" i="7"/>
  <c r="I407" i="7" s="1"/>
  <c r="G627" i="7"/>
  <c r="B1414" i="6"/>
  <c r="C1414" i="6" s="1"/>
  <c r="B943" i="6"/>
  <c r="C943" i="6" s="1"/>
  <c r="E1082" i="6"/>
  <c r="F1082" i="6" s="1"/>
  <c r="K351" i="8"/>
  <c r="O351" i="8"/>
  <c r="L351" i="8"/>
  <c r="O462" i="7"/>
  <c r="L462" i="7"/>
  <c r="K462" i="7"/>
  <c r="K792" i="8"/>
  <c r="O792" i="8"/>
  <c r="L792" i="8"/>
  <c r="B1461" i="6"/>
  <c r="C1461" i="6" s="1"/>
  <c r="L132" i="8"/>
  <c r="K132" i="8"/>
  <c r="M132" i="8" s="1"/>
  <c r="O132" i="8"/>
  <c r="B1020" i="7"/>
  <c r="B989" i="6"/>
  <c r="C989" i="6" s="1"/>
  <c r="CF204" i="11"/>
  <c r="CI204" i="11"/>
  <c r="CJ204" i="11"/>
  <c r="CH204" i="11"/>
  <c r="I516" i="8"/>
  <c r="J516" i="8" s="1"/>
  <c r="L516" i="8" s="1"/>
  <c r="C186" i="12"/>
  <c r="D1221" i="6"/>
  <c r="B1318" i="6"/>
  <c r="D1318" i="6" s="1"/>
  <c r="C1318" i="6"/>
  <c r="F1366" i="6"/>
  <c r="B682" i="7"/>
  <c r="C682" i="7" s="1"/>
  <c r="E682" i="7" s="1"/>
  <c r="O516" i="7"/>
  <c r="L516" i="7"/>
  <c r="I682" i="7"/>
  <c r="J682" i="7" s="1"/>
  <c r="L682" i="7"/>
  <c r="I737" i="8"/>
  <c r="J737" i="8" s="1"/>
  <c r="L737" i="8"/>
  <c r="O846" i="8"/>
  <c r="K846" i="8"/>
  <c r="I297" i="8"/>
  <c r="J297" i="8" s="1"/>
  <c r="L297" i="8" s="1"/>
  <c r="H847" i="7"/>
  <c r="L846" i="8"/>
  <c r="G1019" i="7"/>
  <c r="M736" i="7"/>
  <c r="O461" i="8"/>
  <c r="K461" i="8"/>
  <c r="M461" i="8" s="1"/>
  <c r="G571" i="8"/>
  <c r="O1066" i="8"/>
  <c r="L1066" i="8"/>
  <c r="C468" i="6"/>
  <c r="F1220" i="6"/>
  <c r="I902" i="7"/>
  <c r="D241" i="7"/>
  <c r="H241" i="7"/>
  <c r="O626" i="8"/>
  <c r="K626" i="8"/>
  <c r="M626" i="8" s="1"/>
  <c r="G140" i="6"/>
  <c r="E141" i="6" s="1"/>
  <c r="F141" i="6" s="1"/>
  <c r="O626" i="7"/>
  <c r="K626" i="7"/>
  <c r="I242" i="12"/>
  <c r="J242" i="12" s="1"/>
  <c r="T253" i="11"/>
  <c r="L626" i="7"/>
  <c r="N626" i="7" s="1"/>
  <c r="C848" i="6"/>
  <c r="N241" i="7"/>
  <c r="K186" i="12"/>
  <c r="M186" i="12" s="1"/>
  <c r="O186" i="12"/>
  <c r="D751" i="6"/>
  <c r="B628" i="7"/>
  <c r="L846" i="7"/>
  <c r="O846" i="7"/>
  <c r="AI205" i="11"/>
  <c r="BL204" i="11"/>
  <c r="AP205" i="11" s="1"/>
  <c r="K846" i="7"/>
  <c r="O241" i="8"/>
  <c r="K241" i="8"/>
  <c r="M241" i="8" s="1"/>
  <c r="G241" i="12"/>
  <c r="D942" i="6"/>
  <c r="G423" i="6"/>
  <c r="E424" i="6" s="1"/>
  <c r="F424" i="6" s="1"/>
  <c r="H311" i="11"/>
  <c r="G311" i="11"/>
  <c r="F311" i="11"/>
  <c r="C312" i="11" s="1"/>
  <c r="D312" i="11" s="1"/>
  <c r="G564" i="6"/>
  <c r="I132" i="12"/>
  <c r="N461" i="8"/>
  <c r="N131" i="7"/>
  <c r="H571" i="8"/>
  <c r="D571" i="8"/>
  <c r="F571" i="8" s="1"/>
  <c r="K1066" i="8"/>
  <c r="E939" i="6"/>
  <c r="G939" i="6" s="1"/>
  <c r="H407" i="8"/>
  <c r="E407" i="8"/>
  <c r="G407" i="8" s="1"/>
  <c r="E241" i="7"/>
  <c r="M571" i="8"/>
  <c r="D518" i="6"/>
  <c r="B519" i="6" s="1"/>
  <c r="C519" i="6" s="1"/>
  <c r="C520" i="6" s="1"/>
  <c r="C521" i="6" s="1"/>
  <c r="C522" i="6" s="1"/>
  <c r="C523" i="6" s="1"/>
  <c r="C524" i="6" s="1"/>
  <c r="C525" i="6" s="1"/>
  <c r="C526" i="6" s="1"/>
  <c r="C527" i="6" s="1"/>
  <c r="C528" i="6" s="1"/>
  <c r="C529" i="6" s="1"/>
  <c r="C530" i="6" s="1"/>
  <c r="C531" i="6" s="1"/>
  <c r="C532" i="6" s="1"/>
  <c r="C533" i="6" s="1"/>
  <c r="C534" i="6" s="1"/>
  <c r="C535" i="6" s="1"/>
  <c r="C536" i="6" s="1"/>
  <c r="C537" i="6" s="1"/>
  <c r="C538" i="6" s="1"/>
  <c r="C539" i="6" s="1"/>
  <c r="B188" i="6"/>
  <c r="D188" i="6" s="1"/>
  <c r="C188" i="6"/>
  <c r="C132" i="12"/>
  <c r="M19" i="10"/>
  <c r="I19" i="10" s="1"/>
  <c r="D704" i="6"/>
  <c r="I902" i="8"/>
  <c r="O791" i="7"/>
  <c r="L791" i="7"/>
  <c r="N791" i="7" s="1"/>
  <c r="AL205" i="11"/>
  <c r="AJ205" i="11"/>
  <c r="J296" i="12"/>
  <c r="E131" i="8"/>
  <c r="H131" i="8"/>
  <c r="I1012" i="8"/>
  <c r="D131" i="8"/>
  <c r="F131" i="8" s="1"/>
  <c r="B1012" i="8"/>
  <c r="C1012" i="8" s="1"/>
  <c r="M1011" i="8"/>
  <c r="J35" i="9"/>
  <c r="C36" i="9"/>
  <c r="K37" i="9" s="1"/>
  <c r="D36" i="9"/>
  <c r="B2925" i="6"/>
  <c r="D2925" i="6" s="1"/>
  <c r="O407" i="8"/>
  <c r="L407" i="8"/>
  <c r="C141" i="6"/>
  <c r="M131" i="12"/>
  <c r="E1454" i="6"/>
  <c r="G1454" i="6" s="1"/>
  <c r="K407" i="8"/>
  <c r="G352" i="8"/>
  <c r="G516" i="7"/>
  <c r="F1503" i="6"/>
  <c r="E847" i="8"/>
  <c r="H847" i="8"/>
  <c r="H1186" i="7"/>
  <c r="B1187" i="7" s="1"/>
  <c r="G1186" i="7"/>
  <c r="J1186" i="7"/>
  <c r="I1186" i="7"/>
  <c r="F1186" i="7"/>
  <c r="K1186" i="7" s="1"/>
  <c r="E1186" i="7"/>
  <c r="C351" i="7"/>
  <c r="B611" i="6"/>
  <c r="D611" i="6" s="1"/>
  <c r="B803" i="6"/>
  <c r="C803" i="6" s="1"/>
  <c r="H187" i="7"/>
  <c r="D187" i="7"/>
  <c r="F187" i="7" s="1"/>
  <c r="H406" i="7"/>
  <c r="D406" i="7"/>
  <c r="F406" i="7" s="1"/>
  <c r="D847" i="8"/>
  <c r="B736" i="7"/>
  <c r="C736" i="7" s="1"/>
  <c r="M901" i="7"/>
  <c r="C234" i="6"/>
  <c r="E608" i="6"/>
  <c r="G608" i="6" s="1"/>
  <c r="M406" i="7"/>
  <c r="E186" i="8"/>
  <c r="H186" i="8"/>
  <c r="G131" i="7"/>
  <c r="G296" i="7"/>
  <c r="B792" i="8"/>
  <c r="B1508" i="6"/>
  <c r="C1508" i="6" s="1"/>
  <c r="G241" i="8"/>
  <c r="E406" i="7"/>
  <c r="G800" i="6"/>
  <c r="E801" i="6" s="1"/>
  <c r="F801" i="6" s="1"/>
  <c r="O186" i="7"/>
  <c r="L186" i="7"/>
  <c r="N186" i="7" s="1"/>
  <c r="F331" i="6"/>
  <c r="F332" i="6" s="1"/>
  <c r="F333" i="6" s="1"/>
  <c r="F334" i="6" s="1"/>
  <c r="F335" i="6" s="1"/>
  <c r="F336" i="6" s="1"/>
  <c r="F337" i="6" s="1"/>
  <c r="F338" i="6" s="1"/>
  <c r="F339" i="6" s="1"/>
  <c r="F340" i="6" s="1"/>
  <c r="F341" i="6" s="1"/>
  <c r="F342" i="6" s="1"/>
  <c r="F343" i="6" s="1"/>
  <c r="F344" i="6" s="1"/>
  <c r="F345" i="6" s="1"/>
  <c r="F346" i="6" s="1"/>
  <c r="F347" i="6" s="1"/>
  <c r="F348" i="6" s="1"/>
  <c r="F349" i="6" s="1"/>
  <c r="F350" i="6" s="1"/>
  <c r="F351" i="6" s="1"/>
  <c r="E352" i="6" s="1"/>
  <c r="F296" i="12"/>
  <c r="C736" i="8"/>
  <c r="D736" i="8" s="1"/>
  <c r="D186" i="8"/>
  <c r="F186" i="8" s="1"/>
  <c r="F702" i="6"/>
  <c r="F791" i="8"/>
  <c r="F571" i="7"/>
  <c r="B958" i="8"/>
  <c r="E284" i="6"/>
  <c r="G284" i="6" s="1"/>
  <c r="G285" i="6" s="1"/>
  <c r="G286" i="6" s="1"/>
  <c r="G287" i="6" s="1"/>
  <c r="G288" i="6" s="1"/>
  <c r="G289" i="6" s="1"/>
  <c r="G290" i="6" s="1"/>
  <c r="G291" i="6" s="1"/>
  <c r="G292" i="6" s="1"/>
  <c r="G293" i="6" s="1"/>
  <c r="G294" i="6" s="1"/>
  <c r="G295" i="6" s="1"/>
  <c r="G296" i="6" s="1"/>
  <c r="G297" i="6" s="1"/>
  <c r="G298" i="6" s="1"/>
  <c r="G299" i="6" s="1"/>
  <c r="G300" i="6" s="1"/>
  <c r="G301" i="6" s="1"/>
  <c r="G302" i="6" s="1"/>
  <c r="G303" i="6" s="1"/>
  <c r="G304" i="6" s="1"/>
  <c r="N351" i="7"/>
  <c r="F1267" i="6"/>
  <c r="G461" i="7"/>
  <c r="G1081" i="6"/>
  <c r="C297" i="8"/>
  <c r="D297" i="8" s="1"/>
  <c r="B1067" i="8"/>
  <c r="C1067" i="8" s="1"/>
  <c r="D989" i="6"/>
  <c r="D681" i="8"/>
  <c r="F681" i="8" s="1"/>
  <c r="H681" i="8"/>
  <c r="F658" i="6"/>
  <c r="F627" i="7"/>
  <c r="J681" i="8"/>
  <c r="K681" i="8" s="1"/>
  <c r="D461" i="8"/>
  <c r="F461" i="8" s="1"/>
  <c r="K1019" i="7"/>
  <c r="G751" i="6"/>
  <c r="E752" i="6" s="1"/>
  <c r="F752" i="6" s="1"/>
  <c r="I572" i="7"/>
  <c r="J572" i="7" s="1"/>
  <c r="L572" i="7"/>
  <c r="K516" i="7"/>
  <c r="M516" i="7" s="1"/>
  <c r="I737" i="7"/>
  <c r="E1318" i="6"/>
  <c r="G1318" i="6" s="1"/>
  <c r="B751" i="6"/>
  <c r="C751" i="6" s="1"/>
  <c r="I956" i="8"/>
  <c r="J956" i="8" s="1"/>
  <c r="L956" i="8" s="1"/>
  <c r="F986" i="6"/>
  <c r="C562" i="6"/>
  <c r="G791" i="7"/>
  <c r="F23" i="10"/>
  <c r="B572" i="7"/>
  <c r="B328" i="6"/>
  <c r="D328" i="6" s="1"/>
  <c r="I572" i="8"/>
  <c r="B1128" i="6"/>
  <c r="C1128" i="6" s="1"/>
  <c r="H461" i="8"/>
  <c r="E1033" i="6"/>
  <c r="G1033" i="6" s="1"/>
  <c r="N186" i="8"/>
  <c r="B901" i="8"/>
  <c r="C901" i="8" s="1"/>
  <c r="E901" i="8"/>
  <c r="D1080" i="6"/>
  <c r="B1081" i="6" s="1"/>
  <c r="C1081" i="6" s="1"/>
  <c r="D1364" i="6"/>
  <c r="B1365" i="6" s="1"/>
  <c r="C1365" i="6" s="1"/>
  <c r="G517" i="6"/>
  <c r="T312" i="11"/>
  <c r="U312" i="11" s="1"/>
  <c r="Y312" i="11" s="1"/>
  <c r="C627" i="8"/>
  <c r="D627" i="8" s="1"/>
  <c r="C902" i="7"/>
  <c r="U253" i="11"/>
  <c r="E1174" i="6"/>
  <c r="G1174" i="6" s="1"/>
  <c r="N296" i="7"/>
  <c r="E849" i="6"/>
  <c r="F849" i="6" s="1"/>
  <c r="M901" i="8"/>
  <c r="F957" i="8"/>
  <c r="D284" i="6" l="1"/>
  <c r="D285" i="6" s="1"/>
  <c r="D286" i="6" s="1"/>
  <c r="D287" i="6" s="1"/>
  <c r="D288" i="6" s="1"/>
  <c r="D289" i="6" s="1"/>
  <c r="D290" i="6" s="1"/>
  <c r="D291" i="6" s="1"/>
  <c r="D292" i="6" s="1"/>
  <c r="D293" i="6" s="1"/>
  <c r="D294" i="6" s="1"/>
  <c r="D295" i="6" s="1"/>
  <c r="D296" i="6" s="1"/>
  <c r="D297" i="6" s="1"/>
  <c r="D298" i="6" s="1"/>
  <c r="D299" i="6" s="1"/>
  <c r="D300" i="6" s="1"/>
  <c r="D301" i="6" s="1"/>
  <c r="D302" i="6" s="1"/>
  <c r="D303" i="6" s="1"/>
  <c r="D304" i="6" s="1"/>
  <c r="C284" i="6"/>
  <c r="C285" i="6" s="1"/>
  <c r="C286" i="6" s="1"/>
  <c r="C287" i="6" s="1"/>
  <c r="C288" i="6" s="1"/>
  <c r="C289" i="6" s="1"/>
  <c r="C290" i="6" s="1"/>
  <c r="C291" i="6" s="1"/>
  <c r="C292" i="6" s="1"/>
  <c r="C293" i="6" s="1"/>
  <c r="C294" i="6" s="1"/>
  <c r="C295" i="6" s="1"/>
  <c r="C296" i="6" s="1"/>
  <c r="C297" i="6" s="1"/>
  <c r="C298" i="6" s="1"/>
  <c r="C299" i="6" s="1"/>
  <c r="C300" i="6" s="1"/>
  <c r="C301" i="6" s="1"/>
  <c r="C302" i="6" s="1"/>
  <c r="C303" i="6" s="1"/>
  <c r="C304" i="6" s="1"/>
  <c r="G190" i="6"/>
  <c r="G191" i="6" s="1"/>
  <c r="G192" i="6" s="1"/>
  <c r="G193" i="6" s="1"/>
  <c r="G194" i="6" s="1"/>
  <c r="G195" i="6" s="1"/>
  <c r="G196" i="6" s="1"/>
  <c r="G197" i="6" s="1"/>
  <c r="G198" i="6" s="1"/>
  <c r="G199" i="6" s="1"/>
  <c r="G200" i="6" s="1"/>
  <c r="G201" i="6" s="1"/>
  <c r="G202" i="6" s="1"/>
  <c r="G203" i="6" s="1"/>
  <c r="G204" i="6" s="1"/>
  <c r="G205" i="6" s="1"/>
  <c r="G206" i="6" s="1"/>
  <c r="G207" i="6" s="1"/>
  <c r="G208" i="6" s="1"/>
  <c r="G209" i="6" s="1"/>
  <c r="G210" i="6" s="1"/>
  <c r="F847" i="8"/>
  <c r="N407" i="8"/>
  <c r="N792" i="8"/>
  <c r="I793" i="8" s="1"/>
  <c r="P313" i="11"/>
  <c r="O313" i="11"/>
  <c r="L314" i="11" s="1"/>
  <c r="M314" i="11" s="1"/>
  <c r="Q314" i="11" s="1"/>
  <c r="F407" i="8"/>
  <c r="C1270" i="6"/>
  <c r="B1271" i="6" s="1"/>
  <c r="B377" i="6"/>
  <c r="C377" i="6" s="1"/>
  <c r="W253" i="11"/>
  <c r="M462" i="7"/>
  <c r="G1129" i="6"/>
  <c r="E1129" i="6"/>
  <c r="F1129" i="6" s="1"/>
  <c r="C661" i="6"/>
  <c r="D661" i="6"/>
  <c r="E1012" i="8"/>
  <c r="H1012" i="8"/>
  <c r="J1131" i="7"/>
  <c r="F1131" i="7"/>
  <c r="E1131" i="7"/>
  <c r="I1131" i="7"/>
  <c r="K1131" i="7"/>
  <c r="G1131" i="7"/>
  <c r="B1174" i="6"/>
  <c r="D1174" i="6" s="1"/>
  <c r="F16" i="9"/>
  <c r="AU254" i="11"/>
  <c r="AY254" i="11" s="1"/>
  <c r="BD254" i="11" s="1"/>
  <c r="BC254" i="11" s="1"/>
  <c r="BB254" i="11" s="1"/>
  <c r="BM254" i="11" s="1"/>
  <c r="C898" i="6"/>
  <c r="B899" i="6" s="1"/>
  <c r="D899" i="6" s="1"/>
  <c r="AT254" i="11"/>
  <c r="R16" i="9"/>
  <c r="M1066" i="8"/>
  <c r="M186" i="7"/>
  <c r="AR254" i="11"/>
  <c r="AQ254" i="11"/>
  <c r="AW254" i="11" s="1"/>
  <c r="B962" i="7"/>
  <c r="C962" i="7"/>
  <c r="D962" i="7" s="1"/>
  <c r="C328" i="6"/>
  <c r="B329" i="6" s="1"/>
  <c r="D329" i="6" s="1"/>
  <c r="F241" i="7"/>
  <c r="S16" i="9"/>
  <c r="E16" i="9" s="1"/>
  <c r="L17" i="9" s="1"/>
  <c r="O17" i="9" s="1"/>
  <c r="M846" i="7"/>
  <c r="G1412" i="6"/>
  <c r="G849" i="6"/>
  <c r="E850" i="6" s="1"/>
  <c r="F850" i="6" s="1"/>
  <c r="Y204" i="11"/>
  <c r="AC204" i="11"/>
  <c r="AD204" i="11"/>
  <c r="AA204" i="11"/>
  <c r="Z204" i="11"/>
  <c r="AB204" i="11"/>
  <c r="AE204" i="11"/>
  <c r="F847" i="7"/>
  <c r="AV254" i="11"/>
  <c r="G187" i="7"/>
  <c r="B188" i="7" s="1"/>
  <c r="C188" i="7" s="1"/>
  <c r="E1074" i="7"/>
  <c r="J1074" i="7"/>
  <c r="I1074" i="7"/>
  <c r="F1074" i="7"/>
  <c r="K1074" i="7" s="1"/>
  <c r="B1035" i="6"/>
  <c r="C1035" i="6" s="1"/>
  <c r="D1414" i="6"/>
  <c r="B1415" i="6" s="1"/>
  <c r="D1415" i="6" s="1"/>
  <c r="N351" i="8"/>
  <c r="I352" i="8" s="1"/>
  <c r="E211" i="6"/>
  <c r="G2924" i="6"/>
  <c r="E2925" i="6" s="1"/>
  <c r="G2925" i="6" s="1"/>
  <c r="M791" i="7"/>
  <c r="M846" i="8"/>
  <c r="D803" i="6"/>
  <c r="B804" i="6" s="1"/>
  <c r="C804" i="6" s="1"/>
  <c r="D1173" i="6"/>
  <c r="B752" i="6"/>
  <c r="C752" i="6" s="1"/>
  <c r="F297" i="8"/>
  <c r="E802" i="6"/>
  <c r="F802" i="6" s="1"/>
  <c r="X312" i="11"/>
  <c r="W312" i="11"/>
  <c r="V312" i="11"/>
  <c r="S313" i="11" s="1"/>
  <c r="M681" i="8"/>
  <c r="B662" i="6"/>
  <c r="C662" i="6" s="1"/>
  <c r="H517" i="8"/>
  <c r="E517" i="8"/>
  <c r="D517" i="8"/>
  <c r="F517" i="8" s="1"/>
  <c r="G682" i="7"/>
  <c r="I627" i="7"/>
  <c r="D736" i="7"/>
  <c r="H736" i="7"/>
  <c r="I187" i="8"/>
  <c r="J187" i="8" s="1"/>
  <c r="L187" i="8"/>
  <c r="F2925" i="6"/>
  <c r="E736" i="7"/>
  <c r="E902" i="7"/>
  <c r="H902" i="7"/>
  <c r="G847" i="8"/>
  <c r="F1033" i="6"/>
  <c r="N132" i="8"/>
  <c r="O572" i="7"/>
  <c r="K572" i="7"/>
  <c r="M572" i="7" s="1"/>
  <c r="F939" i="6"/>
  <c r="G131" i="8"/>
  <c r="D1067" i="8"/>
  <c r="H1067" i="8"/>
  <c r="D37" i="9"/>
  <c r="C37" i="9"/>
  <c r="J36" i="9"/>
  <c r="H132" i="12"/>
  <c r="E132" i="12"/>
  <c r="B408" i="8"/>
  <c r="C408" i="8" s="1"/>
  <c r="O297" i="8"/>
  <c r="K297" i="8"/>
  <c r="M297" i="8" s="1"/>
  <c r="F1174" i="6"/>
  <c r="E351" i="7"/>
  <c r="H351" i="7"/>
  <c r="I792" i="7"/>
  <c r="J792" i="7" s="1"/>
  <c r="O792" i="7" s="1"/>
  <c r="D1508" i="6"/>
  <c r="H627" i="8"/>
  <c r="E627" i="8"/>
  <c r="G627" i="8" s="1"/>
  <c r="B792" i="7"/>
  <c r="C792" i="7" s="1"/>
  <c r="E792" i="7" s="1"/>
  <c r="B297" i="7"/>
  <c r="C297" i="7" s="1"/>
  <c r="E297" i="7"/>
  <c r="J737" i="7"/>
  <c r="F378" i="6"/>
  <c r="F379" i="6" s="1"/>
  <c r="F380" i="6" s="1"/>
  <c r="F381" i="6" s="1"/>
  <c r="F382" i="6" s="1"/>
  <c r="F383" i="6" s="1"/>
  <c r="F384" i="6" s="1"/>
  <c r="F385" i="6" s="1"/>
  <c r="F386" i="6" s="1"/>
  <c r="F387" i="6" s="1"/>
  <c r="F388" i="6" s="1"/>
  <c r="F389" i="6" s="1"/>
  <c r="F390" i="6" s="1"/>
  <c r="F391" i="6" s="1"/>
  <c r="F392" i="6" s="1"/>
  <c r="F393" i="6" s="1"/>
  <c r="F394" i="6" s="1"/>
  <c r="F395" i="6" s="1"/>
  <c r="F396" i="6" s="1"/>
  <c r="F397" i="6" s="1"/>
  <c r="F398" i="6" s="1"/>
  <c r="E399" i="6" s="1"/>
  <c r="E1504" i="6"/>
  <c r="G1504" i="6" s="1"/>
  <c r="O682" i="7"/>
  <c r="K682" i="7"/>
  <c r="M682" i="7" s="1"/>
  <c r="C958" i="8"/>
  <c r="D958" i="8" s="1"/>
  <c r="D1012" i="8"/>
  <c r="E312" i="11"/>
  <c r="I312" i="11" s="1"/>
  <c r="X253" i="11"/>
  <c r="I352" i="7"/>
  <c r="J352" i="7" s="1"/>
  <c r="L352" i="7" s="1"/>
  <c r="B132" i="7"/>
  <c r="C132" i="7" s="1"/>
  <c r="E132" i="7" s="1"/>
  <c r="C1187" i="7"/>
  <c r="D1187" i="7" s="1"/>
  <c r="M407" i="8"/>
  <c r="J1012" i="8"/>
  <c r="K1012" i="8" s="1"/>
  <c r="D519" i="6"/>
  <c r="D520" i="6" s="1"/>
  <c r="D521" i="6" s="1"/>
  <c r="D522" i="6" s="1"/>
  <c r="D523" i="6" s="1"/>
  <c r="D524" i="6" s="1"/>
  <c r="D525" i="6" s="1"/>
  <c r="D526" i="6" s="1"/>
  <c r="D527" i="6" s="1"/>
  <c r="D528" i="6" s="1"/>
  <c r="D529" i="6" s="1"/>
  <c r="D530" i="6" s="1"/>
  <c r="D531" i="6" s="1"/>
  <c r="D532" i="6" s="1"/>
  <c r="D533" i="6" s="1"/>
  <c r="D534" i="6" s="1"/>
  <c r="D535" i="6" s="1"/>
  <c r="D536" i="6" s="1"/>
  <c r="D537" i="6" s="1"/>
  <c r="D538" i="6" s="1"/>
  <c r="D539" i="6" s="1"/>
  <c r="B540" i="6" s="1"/>
  <c r="O242" i="12"/>
  <c r="K242" i="12"/>
  <c r="M242" i="12" s="1"/>
  <c r="E1221" i="6"/>
  <c r="G1221" i="6" s="1"/>
  <c r="F1221" i="6"/>
  <c r="B990" i="6"/>
  <c r="D990" i="6" s="1"/>
  <c r="D792" i="8"/>
  <c r="C792" i="8"/>
  <c r="B142" i="6"/>
  <c r="D142" i="6" s="1"/>
  <c r="H901" i="8"/>
  <c r="D901" i="8"/>
  <c r="F901" i="8" s="1"/>
  <c r="J902" i="7"/>
  <c r="K902" i="7" s="1"/>
  <c r="D132" i="12"/>
  <c r="O516" i="8"/>
  <c r="K516" i="8"/>
  <c r="M516" i="8" s="1"/>
  <c r="I408" i="8"/>
  <c r="C611" i="6"/>
  <c r="E24" i="10"/>
  <c r="D24" i="10"/>
  <c r="C24" i="10"/>
  <c r="B305" i="6"/>
  <c r="E736" i="8"/>
  <c r="G736" i="8" s="1"/>
  <c r="H736" i="8"/>
  <c r="D351" i="7"/>
  <c r="AM205" i="11"/>
  <c r="B1319" i="6"/>
  <c r="D1319" i="6" s="1"/>
  <c r="N462" i="7"/>
  <c r="B563" i="6"/>
  <c r="D563" i="6" s="1"/>
  <c r="C2925" i="6"/>
  <c r="AZ254" i="11"/>
  <c r="V253" i="11"/>
  <c r="E1268" i="6"/>
  <c r="G1268" i="6" s="1"/>
  <c r="B517" i="7"/>
  <c r="C517" i="7" s="1"/>
  <c r="E517" i="7" s="1"/>
  <c r="B189" i="6"/>
  <c r="D189" i="6" s="1"/>
  <c r="B705" i="6"/>
  <c r="C705" i="6" s="1"/>
  <c r="J902" i="8"/>
  <c r="K902" i="8" s="1"/>
  <c r="E1067" i="8"/>
  <c r="BA254" i="11"/>
  <c r="B353" i="8"/>
  <c r="C353" i="8" s="1"/>
  <c r="G461" i="8"/>
  <c r="I297" i="7"/>
  <c r="J297" i="7" s="1"/>
  <c r="L297" i="7" s="1"/>
  <c r="F284" i="6"/>
  <c r="F285" i="6" s="1"/>
  <c r="F286" i="6" s="1"/>
  <c r="F287" i="6" s="1"/>
  <c r="F288" i="6" s="1"/>
  <c r="F289" i="6" s="1"/>
  <c r="F290" i="6" s="1"/>
  <c r="F291" i="6" s="1"/>
  <c r="F292" i="6" s="1"/>
  <c r="F293" i="6" s="1"/>
  <c r="F294" i="6" s="1"/>
  <c r="F295" i="6" s="1"/>
  <c r="F296" i="6" s="1"/>
  <c r="F297" i="6" s="1"/>
  <c r="F298" i="6" s="1"/>
  <c r="F299" i="6" s="1"/>
  <c r="F300" i="6" s="1"/>
  <c r="F301" i="6" s="1"/>
  <c r="F302" i="6" s="1"/>
  <c r="F303" i="6" s="1"/>
  <c r="F304" i="6" s="1"/>
  <c r="E305" i="6" s="1"/>
  <c r="I187" i="7"/>
  <c r="J187" i="7" s="1"/>
  <c r="G186" i="8"/>
  <c r="G681" i="8"/>
  <c r="J572" i="8"/>
  <c r="K572" i="8" s="1"/>
  <c r="G424" i="6"/>
  <c r="E425" i="6" s="1"/>
  <c r="F425" i="6" s="1"/>
  <c r="F426" i="6" s="1"/>
  <c r="F427" i="6" s="1"/>
  <c r="F428" i="6" s="1"/>
  <c r="F429" i="6" s="1"/>
  <c r="F430" i="6" s="1"/>
  <c r="F431" i="6" s="1"/>
  <c r="F432" i="6" s="1"/>
  <c r="F433" i="6" s="1"/>
  <c r="F434" i="6" s="1"/>
  <c r="F435" i="6" s="1"/>
  <c r="F436" i="6" s="1"/>
  <c r="F437" i="6" s="1"/>
  <c r="F438" i="6" s="1"/>
  <c r="F439" i="6" s="1"/>
  <c r="F440" i="6" s="1"/>
  <c r="F441" i="6" s="1"/>
  <c r="F442" i="6" s="1"/>
  <c r="F443" i="6" s="1"/>
  <c r="F444" i="6" s="1"/>
  <c r="F445" i="6" s="1"/>
  <c r="L242" i="12"/>
  <c r="B469" i="6"/>
  <c r="D469" i="6" s="1"/>
  <c r="E987" i="6"/>
  <c r="G987" i="6" s="1"/>
  <c r="C297" i="12"/>
  <c r="D297" i="12" s="1"/>
  <c r="C1174" i="6"/>
  <c r="N516" i="7"/>
  <c r="L681" i="8"/>
  <c r="N681" i="8" s="1"/>
  <c r="O681" i="8"/>
  <c r="H297" i="8"/>
  <c r="E297" i="8"/>
  <c r="G297" i="8" s="1"/>
  <c r="D1365" i="6"/>
  <c r="B1366" i="6" s="1"/>
  <c r="C1366" i="6" s="1"/>
  <c r="K956" i="8"/>
  <c r="M956" i="8" s="1"/>
  <c r="O956" i="8"/>
  <c r="C628" i="7"/>
  <c r="J407" i="7"/>
  <c r="K407" i="7" s="1"/>
  <c r="F1454" i="6"/>
  <c r="N186" i="12"/>
  <c r="B848" i="7"/>
  <c r="C848" i="7" s="1"/>
  <c r="D848" i="7" s="1"/>
  <c r="I132" i="7"/>
  <c r="J132" i="7" s="1"/>
  <c r="L132" i="7" s="1"/>
  <c r="D943" i="6"/>
  <c r="N846" i="7"/>
  <c r="I242" i="7"/>
  <c r="J242" i="7" s="1"/>
  <c r="L242" i="7" s="1"/>
  <c r="M626" i="7"/>
  <c r="N1066" i="8"/>
  <c r="D682" i="7"/>
  <c r="F682" i="7" s="1"/>
  <c r="H682" i="7"/>
  <c r="D1461" i="6"/>
  <c r="B1462" i="6" s="1"/>
  <c r="C1462" i="6" s="1"/>
  <c r="B1222" i="6"/>
  <c r="C1222" i="6" s="1"/>
  <c r="M351" i="8"/>
  <c r="E565" i="6"/>
  <c r="F565" i="6" s="1"/>
  <c r="B235" i="6"/>
  <c r="D235" i="6" s="1"/>
  <c r="F1318" i="6"/>
  <c r="G141" i="6"/>
  <c r="B572" i="8"/>
  <c r="C572" i="8" s="1"/>
  <c r="E572" i="8" s="1"/>
  <c r="B242" i="8"/>
  <c r="C242" i="8" s="1"/>
  <c r="E242" i="8"/>
  <c r="F897" i="6"/>
  <c r="N241" i="8"/>
  <c r="N626" i="8"/>
  <c r="E703" i="6"/>
  <c r="G703" i="6" s="1"/>
  <c r="I462" i="8"/>
  <c r="J462" i="8" s="1"/>
  <c r="M792" i="8"/>
  <c r="D902" i="7"/>
  <c r="O737" i="8"/>
  <c r="K737" i="8"/>
  <c r="M737" i="8" s="1"/>
  <c r="CS204" i="11"/>
  <c r="G1082" i="6"/>
  <c r="E1083" i="6" s="1"/>
  <c r="F1083" i="6" s="1"/>
  <c r="G752" i="6"/>
  <c r="E753" i="6" s="1"/>
  <c r="F753" i="6" s="1"/>
  <c r="B462" i="7"/>
  <c r="C462" i="7" s="1"/>
  <c r="E462" i="7" s="1"/>
  <c r="AK205" i="11"/>
  <c r="N846" i="8"/>
  <c r="E659" i="6"/>
  <c r="G659" i="6" s="1"/>
  <c r="G801" i="6"/>
  <c r="O296" i="12"/>
  <c r="L296" i="12"/>
  <c r="G241" i="7"/>
  <c r="B849" i="6"/>
  <c r="D849" i="6" s="1"/>
  <c r="C849" i="6"/>
  <c r="D1128" i="6"/>
  <c r="E1367" i="6"/>
  <c r="G1367" i="6" s="1"/>
  <c r="F1367" i="6"/>
  <c r="E186" i="12"/>
  <c r="G186" i="12" s="1"/>
  <c r="H186" i="12"/>
  <c r="D1081" i="6"/>
  <c r="B1082" i="6" s="1"/>
  <c r="C1082" i="6" s="1"/>
  <c r="C572" i="7"/>
  <c r="G406" i="7"/>
  <c r="F608" i="6"/>
  <c r="J132" i="12"/>
  <c r="K132" i="12" s="1"/>
  <c r="K296" i="12"/>
  <c r="N19" i="10"/>
  <c r="H19" i="10" s="1"/>
  <c r="K19" i="10" s="1"/>
  <c r="B242" i="12"/>
  <c r="C242" i="12" s="1"/>
  <c r="E242" i="12"/>
  <c r="E518" i="6"/>
  <c r="F518" i="6" s="1"/>
  <c r="D186" i="12"/>
  <c r="C1020" i="7"/>
  <c r="D1020" i="7" s="1"/>
  <c r="C1271" i="6" l="1"/>
  <c r="D1271" i="6"/>
  <c r="M296" i="12"/>
  <c r="F132" i="12"/>
  <c r="H262" i="6"/>
  <c r="F736" i="8"/>
  <c r="D1035" i="6"/>
  <c r="D377" i="6"/>
  <c r="B378" i="6" s="1"/>
  <c r="C378" i="6" s="1"/>
  <c r="C379" i="6" s="1"/>
  <c r="C380" i="6" s="1"/>
  <c r="C381" i="6" s="1"/>
  <c r="C382" i="6" s="1"/>
  <c r="C383" i="6" s="1"/>
  <c r="C384" i="6" s="1"/>
  <c r="C385" i="6" s="1"/>
  <c r="C386" i="6" s="1"/>
  <c r="C387" i="6" s="1"/>
  <c r="C388" i="6" s="1"/>
  <c r="C389" i="6" s="1"/>
  <c r="C390" i="6" s="1"/>
  <c r="C391" i="6" s="1"/>
  <c r="C392" i="6" s="1"/>
  <c r="C393" i="6" s="1"/>
  <c r="C394" i="6" s="1"/>
  <c r="C395" i="6" s="1"/>
  <c r="C396" i="6" s="1"/>
  <c r="C397" i="6" s="1"/>
  <c r="C398" i="6" s="1"/>
  <c r="D662" i="6"/>
  <c r="G1074" i="7"/>
  <c r="G518" i="6"/>
  <c r="E519" i="6" s="1"/>
  <c r="F519" i="6" s="1"/>
  <c r="F520" i="6" s="1"/>
  <c r="F521" i="6" s="1"/>
  <c r="F522" i="6" s="1"/>
  <c r="F523" i="6" s="1"/>
  <c r="F524" i="6" s="1"/>
  <c r="F525" i="6" s="1"/>
  <c r="F526" i="6" s="1"/>
  <c r="F527" i="6" s="1"/>
  <c r="F528" i="6" s="1"/>
  <c r="F529" i="6" s="1"/>
  <c r="F530" i="6" s="1"/>
  <c r="F531" i="6" s="1"/>
  <c r="F532" i="6" s="1"/>
  <c r="F533" i="6" s="1"/>
  <c r="F534" i="6" s="1"/>
  <c r="F535" i="6" s="1"/>
  <c r="F536" i="6" s="1"/>
  <c r="F537" i="6" s="1"/>
  <c r="F538" i="6" s="1"/>
  <c r="F539" i="6" s="1"/>
  <c r="F1012" i="8"/>
  <c r="E1130" i="6"/>
  <c r="L462" i="8"/>
  <c r="O462" i="8"/>
  <c r="E188" i="7"/>
  <c r="H188" i="7"/>
  <c r="G565" i="6"/>
  <c r="E566" i="6" s="1"/>
  <c r="F351" i="7"/>
  <c r="G850" i="6"/>
  <c r="C189" i="6"/>
  <c r="H16" i="9"/>
  <c r="I16" i="9" s="1"/>
  <c r="D205" i="11"/>
  <c r="H1074" i="7"/>
  <c r="C899" i="6"/>
  <c r="B900" i="6" s="1"/>
  <c r="D900" i="6" s="1"/>
  <c r="D752" i="6"/>
  <c r="B753" i="6" s="1"/>
  <c r="C753" i="6" s="1"/>
  <c r="J962" i="7"/>
  <c r="I962" i="7"/>
  <c r="F962" i="7"/>
  <c r="H962" i="7" s="1"/>
  <c r="E962" i="7"/>
  <c r="G962" i="7" s="1"/>
  <c r="G1067" i="8"/>
  <c r="C329" i="6"/>
  <c r="N956" i="8"/>
  <c r="I957" i="8" s="1"/>
  <c r="J957" i="8" s="1"/>
  <c r="O957" i="8" s="1"/>
  <c r="H1131" i="7"/>
  <c r="G902" i="7"/>
  <c r="B903" i="7" s="1"/>
  <c r="B1036" i="6"/>
  <c r="D1036" i="6" s="1"/>
  <c r="E1413" i="6"/>
  <c r="F1413" i="6" s="1"/>
  <c r="E848" i="7"/>
  <c r="G848" i="7" s="1"/>
  <c r="F24" i="10"/>
  <c r="E25" i="10" s="1"/>
  <c r="G736" i="7"/>
  <c r="B737" i="7" s="1"/>
  <c r="C205" i="11"/>
  <c r="AF204" i="11"/>
  <c r="BJ254" i="11"/>
  <c r="BI254" i="11"/>
  <c r="BH254" i="11"/>
  <c r="BK254" i="11"/>
  <c r="BG254" i="11"/>
  <c r="BF254" i="11"/>
  <c r="BE254" i="11"/>
  <c r="F1187" i="7"/>
  <c r="E1187" i="7"/>
  <c r="G1187" i="7" s="1"/>
  <c r="H1187" i="7"/>
  <c r="I1187" i="7"/>
  <c r="J1187" i="7"/>
  <c r="M132" i="12"/>
  <c r="J1020" i="7"/>
  <c r="I1020" i="7"/>
  <c r="F1020" i="7"/>
  <c r="E1020" i="7"/>
  <c r="G1020" i="7" s="1"/>
  <c r="E408" i="8"/>
  <c r="D408" i="8"/>
  <c r="F408" i="8" s="1"/>
  <c r="H408" i="8"/>
  <c r="B663" i="6"/>
  <c r="D663" i="6" s="1"/>
  <c r="C663" i="6"/>
  <c r="L187" i="7"/>
  <c r="K187" i="7"/>
  <c r="M187" i="7" s="1"/>
  <c r="O187" i="7"/>
  <c r="C25" i="10"/>
  <c r="L737" i="7"/>
  <c r="O737" i="7"/>
  <c r="D705" i="6"/>
  <c r="B706" i="6" s="1"/>
  <c r="C706" i="6" s="1"/>
  <c r="J627" i="7"/>
  <c r="K627" i="7" s="1"/>
  <c r="I264" i="6"/>
  <c r="D188" i="7"/>
  <c r="F188" i="7" s="1"/>
  <c r="C990" i="6"/>
  <c r="G792" i="7"/>
  <c r="F902" i="7"/>
  <c r="G132" i="12"/>
  <c r="K187" i="8"/>
  <c r="M187" i="8" s="1"/>
  <c r="O187" i="8"/>
  <c r="E609" i="6"/>
  <c r="G609" i="6" s="1"/>
  <c r="N132" i="7"/>
  <c r="E898" i="6"/>
  <c r="G898" i="6" s="1"/>
  <c r="B1129" i="6"/>
  <c r="C1129" i="6" s="1"/>
  <c r="N242" i="12"/>
  <c r="K462" i="8"/>
  <c r="I133" i="8"/>
  <c r="J133" i="8" s="1"/>
  <c r="C1415" i="6"/>
  <c r="N296" i="12"/>
  <c r="I682" i="8"/>
  <c r="J682" i="8" s="1"/>
  <c r="E142" i="6"/>
  <c r="F142" i="6" s="1"/>
  <c r="I517" i="7"/>
  <c r="J517" i="7" s="1"/>
  <c r="L517" i="7" s="1"/>
  <c r="K352" i="7"/>
  <c r="M352" i="7" s="1"/>
  <c r="O352" i="7"/>
  <c r="L792" i="7"/>
  <c r="K792" i="7"/>
  <c r="L20" i="10"/>
  <c r="F987" i="6"/>
  <c r="B2926" i="6"/>
  <c r="D2926" i="6" s="1"/>
  <c r="I847" i="8"/>
  <c r="J847" i="8" s="1"/>
  <c r="L847" i="8"/>
  <c r="E1319" i="6"/>
  <c r="G1319" i="6" s="1"/>
  <c r="F1319" i="6"/>
  <c r="H517" i="7"/>
  <c r="D517" i="7"/>
  <c r="F517" i="7" s="1"/>
  <c r="N297" i="8"/>
  <c r="B850" i="6"/>
  <c r="C850" i="6" s="1"/>
  <c r="I847" i="7"/>
  <c r="J847" i="7" s="1"/>
  <c r="B628" i="8"/>
  <c r="F627" i="8"/>
  <c r="D1366" i="6"/>
  <c r="I463" i="7"/>
  <c r="J463" i="7" s="1"/>
  <c r="L463" i="7" s="1"/>
  <c r="M17" i="9"/>
  <c r="P17" i="9" s="1"/>
  <c r="I242" i="8"/>
  <c r="J242" i="8" s="1"/>
  <c r="L242" i="8" s="1"/>
  <c r="B298" i="8"/>
  <c r="C298" i="8" s="1"/>
  <c r="O132" i="7"/>
  <c r="K132" i="7"/>
  <c r="M132" i="7" s="1"/>
  <c r="C469" i="6"/>
  <c r="G517" i="8"/>
  <c r="H572" i="7"/>
  <c r="E572" i="7"/>
  <c r="N516" i="8"/>
  <c r="C38" i="9"/>
  <c r="D38" i="9"/>
  <c r="J37" i="9"/>
  <c r="K38" i="9"/>
  <c r="K39" i="9" s="1"/>
  <c r="I187" i="12"/>
  <c r="J187" i="12" s="1"/>
  <c r="L187" i="12" s="1"/>
  <c r="G425" i="6"/>
  <c r="G426" i="6" s="1"/>
  <c r="G427" i="6" s="1"/>
  <c r="G428" i="6" s="1"/>
  <c r="G429" i="6" s="1"/>
  <c r="G430" i="6" s="1"/>
  <c r="G431" i="6" s="1"/>
  <c r="G432" i="6" s="1"/>
  <c r="G433" i="6" s="1"/>
  <c r="G434" i="6" s="1"/>
  <c r="G435" i="6" s="1"/>
  <c r="G436" i="6" s="1"/>
  <c r="G437" i="6" s="1"/>
  <c r="G438" i="6" s="1"/>
  <c r="G439" i="6" s="1"/>
  <c r="G440" i="6" s="1"/>
  <c r="G441" i="6" s="1"/>
  <c r="G442" i="6" s="1"/>
  <c r="G443" i="6" s="1"/>
  <c r="G444" i="6" s="1"/>
  <c r="G445" i="6" s="1"/>
  <c r="E446" i="6" s="1"/>
  <c r="H403" i="6" s="1"/>
  <c r="F186" i="12"/>
  <c r="D1082" i="6"/>
  <c r="J352" i="8"/>
  <c r="E1455" i="6"/>
  <c r="G1455" i="6" s="1"/>
  <c r="F1455" i="6"/>
  <c r="B1175" i="6"/>
  <c r="D1175" i="6" s="1"/>
  <c r="H572" i="8"/>
  <c r="B1068" i="8"/>
  <c r="C142" i="6"/>
  <c r="E1034" i="6"/>
  <c r="G1034" i="6" s="1"/>
  <c r="CN204" i="11"/>
  <c r="CM204" i="11"/>
  <c r="CL204" i="11"/>
  <c r="CK204" i="11"/>
  <c r="CP204" i="11"/>
  <c r="CO204" i="11"/>
  <c r="CQ204" i="11"/>
  <c r="J408" i="8"/>
  <c r="B683" i="7"/>
  <c r="C683" i="7" s="1"/>
  <c r="E1368" i="6"/>
  <c r="F1368" i="6" s="1"/>
  <c r="F703" i="6"/>
  <c r="E628" i="7"/>
  <c r="H628" i="7"/>
  <c r="K737" i="7"/>
  <c r="B132" i="8"/>
  <c r="C132" i="8" s="1"/>
  <c r="E132" i="8" s="1"/>
  <c r="G1368" i="6"/>
  <c r="I1067" i="8"/>
  <c r="J1067" i="8" s="1"/>
  <c r="L1067" i="8"/>
  <c r="B190" i="6"/>
  <c r="C190" i="6" s="1"/>
  <c r="C191" i="6" s="1"/>
  <c r="C192" i="6" s="1"/>
  <c r="C193" i="6" s="1"/>
  <c r="C194" i="6" s="1"/>
  <c r="C195" i="6" s="1"/>
  <c r="C196" i="6" s="1"/>
  <c r="C197" i="6" s="1"/>
  <c r="C198" i="6" s="1"/>
  <c r="C199" i="6" s="1"/>
  <c r="C200" i="6" s="1"/>
  <c r="C201" i="6" s="1"/>
  <c r="C202" i="6" s="1"/>
  <c r="C203" i="6" s="1"/>
  <c r="C204" i="6" s="1"/>
  <c r="C205" i="6" s="1"/>
  <c r="C206" i="6" s="1"/>
  <c r="C207" i="6" s="1"/>
  <c r="C208" i="6" s="1"/>
  <c r="C209" i="6" s="1"/>
  <c r="C210" i="6" s="1"/>
  <c r="D297" i="7"/>
  <c r="F297" i="7" s="1"/>
  <c r="H297" i="7"/>
  <c r="E940" i="6"/>
  <c r="G940" i="6" s="1"/>
  <c r="N314" i="11"/>
  <c r="K315" i="11" s="1"/>
  <c r="P314" i="11"/>
  <c r="O314" i="11"/>
  <c r="H792" i="7"/>
  <c r="D792" i="7"/>
  <c r="F792" i="7" s="1"/>
  <c r="AN205" i="11"/>
  <c r="AO205" i="11" s="1"/>
  <c r="O297" i="7"/>
  <c r="K297" i="7"/>
  <c r="M297" i="7" s="1"/>
  <c r="C563" i="6"/>
  <c r="E1222" i="6"/>
  <c r="F1222" i="6"/>
  <c r="F1268" i="6"/>
  <c r="G1222" i="6"/>
  <c r="B462" i="8"/>
  <c r="C462" i="8" s="1"/>
  <c r="H353" i="8"/>
  <c r="D353" i="8"/>
  <c r="C1319" i="6"/>
  <c r="F736" i="7"/>
  <c r="H462" i="7"/>
  <c r="D462" i="7"/>
  <c r="F462" i="7" s="1"/>
  <c r="E353" i="8"/>
  <c r="H242" i="8"/>
  <c r="D242" i="8"/>
  <c r="F242" i="8" s="1"/>
  <c r="D572" i="8"/>
  <c r="F572" i="8" s="1"/>
  <c r="H848" i="7"/>
  <c r="O407" i="7"/>
  <c r="L407" i="7"/>
  <c r="N407" i="7" s="1"/>
  <c r="L572" i="8"/>
  <c r="N572" i="8" s="1"/>
  <c r="O572" i="8"/>
  <c r="L902" i="8"/>
  <c r="N902" i="8" s="1"/>
  <c r="O902" i="8"/>
  <c r="B737" i="8"/>
  <c r="B1509" i="6"/>
  <c r="C1509" i="6" s="1"/>
  <c r="H792" i="8"/>
  <c r="E792" i="8"/>
  <c r="G792" i="8" s="1"/>
  <c r="L1012" i="8"/>
  <c r="N1012" i="8" s="1"/>
  <c r="O1012" i="8"/>
  <c r="F1504" i="6"/>
  <c r="G351" i="7"/>
  <c r="D804" i="6"/>
  <c r="B805" i="6" s="1"/>
  <c r="C805" i="6" s="1"/>
  <c r="F1067" i="8"/>
  <c r="B848" i="8"/>
  <c r="C848" i="8" s="1"/>
  <c r="E848" i="8" s="1"/>
  <c r="G901" i="8"/>
  <c r="B187" i="12"/>
  <c r="B682" i="8"/>
  <c r="C682" i="8" s="1"/>
  <c r="G312" i="11"/>
  <c r="F312" i="11"/>
  <c r="C313" i="11" s="1"/>
  <c r="H312" i="11"/>
  <c r="H242" i="12"/>
  <c r="D242" i="12"/>
  <c r="F242" i="12" s="1"/>
  <c r="F659" i="6"/>
  <c r="B187" i="8"/>
  <c r="C187" i="8" s="1"/>
  <c r="E187" i="8"/>
  <c r="D628" i="7"/>
  <c r="F628" i="7" s="1"/>
  <c r="N737" i="8"/>
  <c r="C737" i="8"/>
  <c r="H737" i="8" s="1"/>
  <c r="E958" i="8"/>
  <c r="G958" i="8" s="1"/>
  <c r="H958" i="8"/>
  <c r="L132" i="12"/>
  <c r="N132" i="12" s="1"/>
  <c r="O132" i="12"/>
  <c r="K242" i="7"/>
  <c r="M242" i="7" s="1"/>
  <c r="O242" i="7"/>
  <c r="I627" i="8"/>
  <c r="J627" i="8" s="1"/>
  <c r="L627" i="8"/>
  <c r="B330" i="6"/>
  <c r="D330" i="6" s="1"/>
  <c r="B612" i="6"/>
  <c r="D612" i="6" s="1"/>
  <c r="C612" i="6"/>
  <c r="E2926" i="6"/>
  <c r="G2926" i="6" s="1"/>
  <c r="J793" i="8"/>
  <c r="G1012" i="8"/>
  <c r="L902" i="7"/>
  <c r="N902" i="7" s="1"/>
  <c r="O902" i="7"/>
  <c r="B944" i="6"/>
  <c r="C944" i="6" s="1"/>
  <c r="B407" i="7"/>
  <c r="C407" i="7" s="1"/>
  <c r="E407" i="7" s="1"/>
  <c r="C235" i="6"/>
  <c r="D132" i="7"/>
  <c r="F132" i="7" s="1"/>
  <c r="H132" i="7"/>
  <c r="B242" i="7"/>
  <c r="C242" i="7" s="1"/>
  <c r="E242" i="7" s="1"/>
  <c r="D572" i="7"/>
  <c r="G753" i="6"/>
  <c r="E754" i="6" s="1"/>
  <c r="F754" i="6" s="1"/>
  <c r="G802" i="6"/>
  <c r="E803" i="6" s="1"/>
  <c r="F803" i="6" s="1"/>
  <c r="G1083" i="6"/>
  <c r="D1462" i="6"/>
  <c r="E297" i="12"/>
  <c r="G297" i="12" s="1"/>
  <c r="H297" i="12"/>
  <c r="M902" i="8"/>
  <c r="N682" i="7"/>
  <c r="AG253" i="11"/>
  <c r="N572" i="7"/>
  <c r="E1175" i="6"/>
  <c r="G1175" i="6" s="1"/>
  <c r="D1222" i="6"/>
  <c r="T313" i="11"/>
  <c r="U313" i="11" s="1"/>
  <c r="Y313" i="11" s="1"/>
  <c r="B963" i="7" l="1"/>
  <c r="C963" i="7"/>
  <c r="D963" i="7" s="1"/>
  <c r="S17" i="9"/>
  <c r="E17" i="9" s="1"/>
  <c r="M572" i="8"/>
  <c r="N242" i="7"/>
  <c r="K1187" i="7"/>
  <c r="F572" i="7"/>
  <c r="B1272" i="6"/>
  <c r="C1272" i="6" s="1"/>
  <c r="D1272" i="6"/>
  <c r="N187" i="8"/>
  <c r="I188" i="8" s="1"/>
  <c r="J188" i="8" s="1"/>
  <c r="D378" i="6"/>
  <c r="D379" i="6" s="1"/>
  <c r="D380" i="6" s="1"/>
  <c r="D381" i="6" s="1"/>
  <c r="D382" i="6" s="1"/>
  <c r="D383" i="6" s="1"/>
  <c r="D384" i="6" s="1"/>
  <c r="D385" i="6" s="1"/>
  <c r="D386" i="6" s="1"/>
  <c r="D387" i="6" s="1"/>
  <c r="D388" i="6" s="1"/>
  <c r="D389" i="6" s="1"/>
  <c r="D390" i="6" s="1"/>
  <c r="D391" i="6" s="1"/>
  <c r="D392" i="6" s="1"/>
  <c r="D393" i="6" s="1"/>
  <c r="D394" i="6" s="1"/>
  <c r="D395" i="6" s="1"/>
  <c r="D396" i="6" s="1"/>
  <c r="D397" i="6" s="1"/>
  <c r="D398" i="6" s="1"/>
  <c r="B399" i="6" s="1"/>
  <c r="H356" i="6" s="1"/>
  <c r="I358" i="6" s="1"/>
  <c r="D25" i="10"/>
  <c r="G1130" i="6"/>
  <c r="F1130" i="6"/>
  <c r="E1131" i="6" s="1"/>
  <c r="G1131" i="6" s="1"/>
  <c r="M902" i="7"/>
  <c r="M462" i="8"/>
  <c r="N17" i="9"/>
  <c r="Q17" i="9" s="1"/>
  <c r="G17" i="9" s="1"/>
  <c r="F566" i="6"/>
  <c r="F567" i="6" s="1"/>
  <c r="F568" i="6" s="1"/>
  <c r="F569" i="6" s="1"/>
  <c r="F570" i="6" s="1"/>
  <c r="F571" i="6" s="1"/>
  <c r="F572" i="6" s="1"/>
  <c r="F573" i="6" s="1"/>
  <c r="F574" i="6" s="1"/>
  <c r="F575" i="6" s="1"/>
  <c r="F576" i="6" s="1"/>
  <c r="F577" i="6" s="1"/>
  <c r="F578" i="6" s="1"/>
  <c r="F579" i="6" s="1"/>
  <c r="F580" i="6" s="1"/>
  <c r="F581" i="6" s="1"/>
  <c r="F582" i="6" s="1"/>
  <c r="F583" i="6" s="1"/>
  <c r="F584" i="6" s="1"/>
  <c r="F585" i="6" s="1"/>
  <c r="F586" i="6" s="1"/>
  <c r="G566" i="6"/>
  <c r="G567" i="6" s="1"/>
  <c r="G568" i="6" s="1"/>
  <c r="G569" i="6" s="1"/>
  <c r="G570" i="6" s="1"/>
  <c r="G571" i="6" s="1"/>
  <c r="G572" i="6" s="1"/>
  <c r="G573" i="6" s="1"/>
  <c r="G574" i="6" s="1"/>
  <c r="G575" i="6" s="1"/>
  <c r="G576" i="6" s="1"/>
  <c r="G577" i="6" s="1"/>
  <c r="G578" i="6" s="1"/>
  <c r="G579" i="6" s="1"/>
  <c r="G580" i="6" s="1"/>
  <c r="G581" i="6" s="1"/>
  <c r="G582" i="6" s="1"/>
  <c r="G583" i="6" s="1"/>
  <c r="G584" i="6" s="1"/>
  <c r="G585" i="6" s="1"/>
  <c r="G586" i="6" s="1"/>
  <c r="M407" i="7"/>
  <c r="B1132" i="7"/>
  <c r="C1132" i="7"/>
  <c r="D1132" i="7" s="1"/>
  <c r="N792" i="7"/>
  <c r="I793" i="7" s="1"/>
  <c r="E963" i="7"/>
  <c r="D313" i="11"/>
  <c r="E313" i="11" s="1"/>
  <c r="I313" i="11" s="1"/>
  <c r="H313" i="11" s="1"/>
  <c r="I963" i="7"/>
  <c r="J205" i="11"/>
  <c r="G205" i="11"/>
  <c r="F205" i="11"/>
  <c r="E205" i="11"/>
  <c r="C1036" i="6"/>
  <c r="B1037" i="6" s="1"/>
  <c r="D1037" i="6" s="1"/>
  <c r="B1075" i="7"/>
  <c r="C1075" i="7" s="1"/>
  <c r="D1075" i="7" s="1"/>
  <c r="C900" i="6"/>
  <c r="C330" i="6"/>
  <c r="B331" i="6" s="1"/>
  <c r="M1012" i="8"/>
  <c r="F792" i="8"/>
  <c r="N737" i="7"/>
  <c r="I738" i="7" s="1"/>
  <c r="F353" i="8"/>
  <c r="N352" i="7"/>
  <c r="I353" i="7" s="1"/>
  <c r="J353" i="7" s="1"/>
  <c r="D850" i="6"/>
  <c r="B851" i="6" s="1"/>
  <c r="C851" i="6" s="1"/>
  <c r="K962" i="7"/>
  <c r="G1413" i="6"/>
  <c r="E851" i="6"/>
  <c r="F851" i="6" s="1"/>
  <c r="K1020" i="7"/>
  <c r="D190" i="6"/>
  <c r="D191" i="6" s="1"/>
  <c r="D192" i="6" s="1"/>
  <c r="D193" i="6" s="1"/>
  <c r="D194" i="6" s="1"/>
  <c r="D195" i="6" s="1"/>
  <c r="D196" i="6" s="1"/>
  <c r="D197" i="6" s="1"/>
  <c r="D198" i="6" s="1"/>
  <c r="D199" i="6" s="1"/>
  <c r="D200" i="6" s="1"/>
  <c r="D201" i="6" s="1"/>
  <c r="D202" i="6" s="1"/>
  <c r="D203" i="6" s="1"/>
  <c r="D204" i="6" s="1"/>
  <c r="D205" i="6" s="1"/>
  <c r="D206" i="6" s="1"/>
  <c r="D207" i="6" s="1"/>
  <c r="D208" i="6" s="1"/>
  <c r="D209" i="6" s="1"/>
  <c r="D210" i="6" s="1"/>
  <c r="B211" i="6" s="1"/>
  <c r="H168" i="6" s="1"/>
  <c r="I170" i="6" s="1"/>
  <c r="F848" i="7"/>
  <c r="G142" i="6"/>
  <c r="K682" i="8"/>
  <c r="O682" i="8"/>
  <c r="L682" i="8"/>
  <c r="N682" i="8" s="1"/>
  <c r="H683" i="7"/>
  <c r="D683" i="7"/>
  <c r="E683" i="7"/>
  <c r="G683" i="7" s="1"/>
  <c r="AS205" i="11"/>
  <c r="AX205" i="11" s="1"/>
  <c r="AT205" i="11"/>
  <c r="AU205" i="11"/>
  <c r="AY205" i="11" s="1"/>
  <c r="BD205" i="11" s="1"/>
  <c r="AQ205" i="11"/>
  <c r="AW205" i="11" s="1"/>
  <c r="AV205" i="11"/>
  <c r="AR205" i="11"/>
  <c r="H298" i="8"/>
  <c r="D298" i="8"/>
  <c r="E298" i="8"/>
  <c r="I573" i="7"/>
  <c r="J573" i="7" s="1"/>
  <c r="L573" i="7"/>
  <c r="B352" i="7"/>
  <c r="C352" i="7" s="1"/>
  <c r="B1320" i="6"/>
  <c r="D1320" i="6" s="1"/>
  <c r="BP205" i="11"/>
  <c r="B793" i="7"/>
  <c r="C793" i="7" s="1"/>
  <c r="E793" i="7" s="1"/>
  <c r="G132" i="7"/>
  <c r="E988" i="6"/>
  <c r="G988" i="6" s="1"/>
  <c r="AC253" i="11"/>
  <c r="AB253" i="11"/>
  <c r="AA253" i="11"/>
  <c r="AE253" i="11"/>
  <c r="AD253" i="11"/>
  <c r="Z253" i="11"/>
  <c r="Y253" i="11"/>
  <c r="D737" i="8"/>
  <c r="M20" i="10"/>
  <c r="I20" i="10" s="1"/>
  <c r="I738" i="8"/>
  <c r="J738" i="8" s="1"/>
  <c r="L738" i="8" s="1"/>
  <c r="G519" i="6"/>
  <c r="G520" i="6" s="1"/>
  <c r="G521" i="6" s="1"/>
  <c r="G522" i="6" s="1"/>
  <c r="G523" i="6" s="1"/>
  <c r="G524" i="6" s="1"/>
  <c r="G525" i="6" s="1"/>
  <c r="G526" i="6" s="1"/>
  <c r="G527" i="6" s="1"/>
  <c r="G528" i="6" s="1"/>
  <c r="G529" i="6" s="1"/>
  <c r="G530" i="6" s="1"/>
  <c r="G531" i="6" s="1"/>
  <c r="G532" i="6" s="1"/>
  <c r="G533" i="6" s="1"/>
  <c r="G534" i="6" s="1"/>
  <c r="G535" i="6" s="1"/>
  <c r="G536" i="6" s="1"/>
  <c r="G537" i="6" s="1"/>
  <c r="G538" i="6" s="1"/>
  <c r="G539" i="6" s="1"/>
  <c r="E540" i="6" s="1"/>
  <c r="H497" i="6" s="1"/>
  <c r="B1013" i="8"/>
  <c r="C1013" i="8" s="1"/>
  <c r="E1013" i="8"/>
  <c r="K133" i="8"/>
  <c r="O133" i="8"/>
  <c r="O1067" i="8"/>
  <c r="K1067" i="8"/>
  <c r="M1067" i="8" s="1"/>
  <c r="K957" i="8"/>
  <c r="L793" i="8"/>
  <c r="O793" i="8"/>
  <c r="D1509" i="6"/>
  <c r="E1320" i="6"/>
  <c r="F1320" i="6" s="1"/>
  <c r="I517" i="8"/>
  <c r="J517" i="8" s="1"/>
  <c r="E1505" i="6"/>
  <c r="G1505" i="6" s="1"/>
  <c r="X313" i="11"/>
  <c r="W313" i="11"/>
  <c r="V313" i="11"/>
  <c r="S314" i="11" s="1"/>
  <c r="T314" i="11" s="1"/>
  <c r="K627" i="8"/>
  <c r="M627" i="8" s="1"/>
  <c r="O627" i="8"/>
  <c r="C1175" i="6"/>
  <c r="N187" i="7"/>
  <c r="I1013" i="8"/>
  <c r="E1456" i="6"/>
  <c r="G1456" i="6" s="1"/>
  <c r="C628" i="8"/>
  <c r="I903" i="7"/>
  <c r="B1416" i="6"/>
  <c r="D1416" i="6" s="1"/>
  <c r="C1416" i="6"/>
  <c r="F609" i="6"/>
  <c r="O408" i="8"/>
  <c r="L408" i="8"/>
  <c r="J20" i="10"/>
  <c r="G408" i="8"/>
  <c r="L133" i="8"/>
  <c r="I405" i="6"/>
  <c r="G572" i="7"/>
  <c r="I243" i="7"/>
  <c r="J243" i="7" s="1"/>
  <c r="L243" i="7" s="1"/>
  <c r="E737" i="8"/>
  <c r="B298" i="12"/>
  <c r="E1269" i="6"/>
  <c r="G1269" i="6" s="1"/>
  <c r="O847" i="7"/>
  <c r="K847" i="7"/>
  <c r="G242" i="8"/>
  <c r="B236" i="6"/>
  <c r="D236" i="6" s="1"/>
  <c r="I903" i="8"/>
  <c r="J903" i="8" s="1"/>
  <c r="L847" i="7"/>
  <c r="B133" i="12"/>
  <c r="C133" i="12" s="1"/>
  <c r="E133" i="12"/>
  <c r="F2926" i="6"/>
  <c r="B902" i="8"/>
  <c r="C902" i="8" s="1"/>
  <c r="E902" i="8" s="1"/>
  <c r="L315" i="11"/>
  <c r="M315" i="11" s="1"/>
  <c r="Q315" i="11" s="1"/>
  <c r="B1188" i="7"/>
  <c r="I573" i="8"/>
  <c r="B143" i="6"/>
  <c r="D143" i="6" s="1"/>
  <c r="D144" i="6" s="1"/>
  <c r="D145" i="6" s="1"/>
  <c r="D146" i="6" s="1"/>
  <c r="D147" i="6" s="1"/>
  <c r="D148" i="6" s="1"/>
  <c r="D149" i="6" s="1"/>
  <c r="D150" i="6" s="1"/>
  <c r="D151" i="6" s="1"/>
  <c r="D152" i="6" s="1"/>
  <c r="D153" i="6" s="1"/>
  <c r="D154" i="6" s="1"/>
  <c r="D155" i="6" s="1"/>
  <c r="D156" i="6" s="1"/>
  <c r="D157" i="6" s="1"/>
  <c r="D158" i="6" s="1"/>
  <c r="D159" i="6" s="1"/>
  <c r="D160" i="6" s="1"/>
  <c r="D161" i="6" s="1"/>
  <c r="D162" i="6" s="1"/>
  <c r="D163" i="6" s="1"/>
  <c r="B470" i="6"/>
  <c r="D470" i="6" s="1"/>
  <c r="D753" i="6"/>
  <c r="B754" i="6" s="1"/>
  <c r="C754" i="6" s="1"/>
  <c r="G242" i="12"/>
  <c r="E1369" i="6"/>
  <c r="G1369" i="6" s="1"/>
  <c r="F1369" i="6"/>
  <c r="G754" i="6"/>
  <c r="B991" i="6"/>
  <c r="D991" i="6" s="1"/>
  <c r="I297" i="12"/>
  <c r="J297" i="12" s="1"/>
  <c r="B793" i="8"/>
  <c r="C793" i="8" s="1"/>
  <c r="H242" i="7"/>
  <c r="D242" i="7"/>
  <c r="F242" i="7" s="1"/>
  <c r="L352" i="8"/>
  <c r="O352" i="8"/>
  <c r="D682" i="8"/>
  <c r="H682" i="8"/>
  <c r="B1367" i="6"/>
  <c r="C1367" i="6" s="1"/>
  <c r="F1034" i="6"/>
  <c r="H187" i="8"/>
  <c r="D187" i="8"/>
  <c r="F187" i="8" s="1"/>
  <c r="B849" i="7"/>
  <c r="C849" i="7" s="1"/>
  <c r="I133" i="12"/>
  <c r="J133" i="12" s="1"/>
  <c r="O133" i="12" s="1"/>
  <c r="O187" i="12"/>
  <c r="K187" i="12"/>
  <c r="M187" i="12" s="1"/>
  <c r="K517" i="7"/>
  <c r="M517" i="7" s="1"/>
  <c r="O517" i="7"/>
  <c r="B1463" i="6"/>
  <c r="C1463" i="6" s="1"/>
  <c r="H848" i="8"/>
  <c r="D848" i="8"/>
  <c r="F848" i="8" s="1"/>
  <c r="E1223" i="6"/>
  <c r="F1223" i="6"/>
  <c r="G628" i="7"/>
  <c r="I298" i="8"/>
  <c r="J298" i="8" s="1"/>
  <c r="L298" i="8"/>
  <c r="L957" i="8"/>
  <c r="F898" i="6"/>
  <c r="D1129" i="6"/>
  <c r="H1020" i="7"/>
  <c r="K793" i="8"/>
  <c r="G353" i="8"/>
  <c r="B518" i="8"/>
  <c r="C518" i="8" s="1"/>
  <c r="E518" i="8"/>
  <c r="B901" i="6"/>
  <c r="D901" i="6" s="1"/>
  <c r="D944" i="6"/>
  <c r="H407" i="7"/>
  <c r="D407" i="7"/>
  <c r="F407" i="7" s="1"/>
  <c r="O627" i="7"/>
  <c r="L627" i="7"/>
  <c r="N627" i="7" s="1"/>
  <c r="E660" i="6"/>
  <c r="G660" i="6" s="1"/>
  <c r="C1068" i="8"/>
  <c r="D1068" i="8" s="1"/>
  <c r="C737" i="7"/>
  <c r="E704" i="6"/>
  <c r="G704" i="6" s="1"/>
  <c r="BO205" i="11"/>
  <c r="CR204" i="11"/>
  <c r="BV205" i="11" s="1"/>
  <c r="F17" i="9"/>
  <c r="H17" i="9" s="1"/>
  <c r="I17" i="9" s="1"/>
  <c r="G297" i="7"/>
  <c r="G462" i="7"/>
  <c r="F958" i="8"/>
  <c r="E1084" i="6"/>
  <c r="F1084" i="6" s="1"/>
  <c r="F297" i="12"/>
  <c r="I133" i="7"/>
  <c r="D706" i="6"/>
  <c r="G188" i="7"/>
  <c r="B664" i="6"/>
  <c r="D664" i="6" s="1"/>
  <c r="I683" i="7"/>
  <c r="J683" i="7" s="1"/>
  <c r="H462" i="8"/>
  <c r="D462" i="8"/>
  <c r="B1510" i="6"/>
  <c r="C1510" i="6" s="1"/>
  <c r="E462" i="8"/>
  <c r="K408" i="8"/>
  <c r="K352" i="8"/>
  <c r="BL254" i="11"/>
  <c r="AP255" i="11" s="1"/>
  <c r="AI255" i="11"/>
  <c r="AK255" i="11"/>
  <c r="G517" i="7"/>
  <c r="E682" i="8"/>
  <c r="G1223" i="6"/>
  <c r="C187" i="12"/>
  <c r="D187" i="12" s="1"/>
  <c r="M792" i="7"/>
  <c r="I243" i="12"/>
  <c r="J243" i="12" s="1"/>
  <c r="L243" i="12" s="1"/>
  <c r="J264" i="6"/>
  <c r="N462" i="8"/>
  <c r="L18" i="9"/>
  <c r="O18" i="9" s="1"/>
  <c r="D132" i="8"/>
  <c r="F132" i="8" s="1"/>
  <c r="H132" i="8"/>
  <c r="G1320" i="6"/>
  <c r="F25" i="10"/>
  <c r="B1083" i="6"/>
  <c r="C1083" i="6" s="1"/>
  <c r="K242" i="8"/>
  <c r="M242" i="8" s="1"/>
  <c r="O242" i="8"/>
  <c r="AJ255" i="11"/>
  <c r="M737" i="7"/>
  <c r="K847" i="8"/>
  <c r="M847" i="8" s="1"/>
  <c r="O847" i="8"/>
  <c r="B613" i="6"/>
  <c r="D613" i="6" s="1"/>
  <c r="C613" i="6"/>
  <c r="G803" i="6"/>
  <c r="E804" i="6" s="1"/>
  <c r="F804" i="6" s="1"/>
  <c r="B959" i="8"/>
  <c r="I408" i="7"/>
  <c r="J408" i="7" s="1"/>
  <c r="L408" i="7" s="1"/>
  <c r="J133" i="7"/>
  <c r="K133" i="7" s="1"/>
  <c r="F1175" i="6"/>
  <c r="D805" i="6"/>
  <c r="B1223" i="6"/>
  <c r="C1223" i="6" s="1"/>
  <c r="B564" i="6"/>
  <c r="D564" i="6" s="1"/>
  <c r="F940" i="6"/>
  <c r="D39" i="9"/>
  <c r="C39" i="9"/>
  <c r="K40" i="9" s="1"/>
  <c r="J38" i="9"/>
  <c r="K463" i="7"/>
  <c r="M463" i="7" s="1"/>
  <c r="O463" i="7"/>
  <c r="C2926" i="6"/>
  <c r="E143" i="6"/>
  <c r="G143" i="6" s="1"/>
  <c r="G144" i="6" s="1"/>
  <c r="G145" i="6" s="1"/>
  <c r="G146" i="6" s="1"/>
  <c r="G147" i="6" s="1"/>
  <c r="G148" i="6" s="1"/>
  <c r="G149" i="6" s="1"/>
  <c r="G150" i="6" s="1"/>
  <c r="G151" i="6" s="1"/>
  <c r="G152" i="6" s="1"/>
  <c r="G153" i="6" s="1"/>
  <c r="G154" i="6" s="1"/>
  <c r="G155" i="6" s="1"/>
  <c r="G156" i="6" s="1"/>
  <c r="G157" i="6" s="1"/>
  <c r="G158" i="6" s="1"/>
  <c r="G159" i="6" s="1"/>
  <c r="G160" i="6" s="1"/>
  <c r="G161" i="6" s="1"/>
  <c r="G162" i="6" s="1"/>
  <c r="G163" i="6" s="1"/>
  <c r="C903" i="7"/>
  <c r="D903" i="7" s="1"/>
  <c r="H265" i="6"/>
  <c r="I265" i="6" s="1"/>
  <c r="G572" i="8"/>
  <c r="N297" i="7"/>
  <c r="C1188" i="7"/>
  <c r="D1188" i="7" s="1"/>
  <c r="M352" i="8" l="1"/>
  <c r="G848" i="8"/>
  <c r="B1273" i="6"/>
  <c r="C1273" i="6" s="1"/>
  <c r="F737" i="8"/>
  <c r="J1013" i="8"/>
  <c r="L1013" i="8" s="1"/>
  <c r="C564" i="6"/>
  <c r="AL255" i="11"/>
  <c r="AN255" i="11" s="1"/>
  <c r="J903" i="7"/>
  <c r="K903" i="7" s="1"/>
  <c r="G298" i="8"/>
  <c r="E587" i="6"/>
  <c r="R17" i="9"/>
  <c r="G963" i="7"/>
  <c r="D851" i="6"/>
  <c r="B852" i="6" s="1"/>
  <c r="N957" i="8"/>
  <c r="I958" i="8" s="1"/>
  <c r="F1131" i="6"/>
  <c r="J573" i="8"/>
  <c r="L573" i="8" s="1"/>
  <c r="J963" i="7"/>
  <c r="F963" i="7"/>
  <c r="H963" i="7" s="1"/>
  <c r="F1075" i="7"/>
  <c r="I1075" i="7"/>
  <c r="E1075" i="7"/>
  <c r="G1075" i="7" s="1"/>
  <c r="H1075" i="7"/>
  <c r="B1076" i="7" s="1"/>
  <c r="J1075" i="7"/>
  <c r="D331" i="6"/>
  <c r="D332" i="6" s="1"/>
  <c r="D333" i="6" s="1"/>
  <c r="D334" i="6" s="1"/>
  <c r="D335" i="6" s="1"/>
  <c r="D336" i="6" s="1"/>
  <c r="D337" i="6" s="1"/>
  <c r="D338" i="6" s="1"/>
  <c r="D339" i="6" s="1"/>
  <c r="D340" i="6" s="1"/>
  <c r="D341" i="6" s="1"/>
  <c r="D342" i="6" s="1"/>
  <c r="D343" i="6" s="1"/>
  <c r="D344" i="6" s="1"/>
  <c r="D345" i="6" s="1"/>
  <c r="D346" i="6" s="1"/>
  <c r="D347" i="6" s="1"/>
  <c r="D348" i="6" s="1"/>
  <c r="D349" i="6" s="1"/>
  <c r="D350" i="6" s="1"/>
  <c r="D351" i="6" s="1"/>
  <c r="C331" i="6"/>
  <c r="C332" i="6" s="1"/>
  <c r="C333" i="6" s="1"/>
  <c r="C334" i="6" s="1"/>
  <c r="C335" i="6" s="1"/>
  <c r="C336" i="6" s="1"/>
  <c r="C337" i="6" s="1"/>
  <c r="C338" i="6" s="1"/>
  <c r="C339" i="6" s="1"/>
  <c r="C340" i="6" s="1"/>
  <c r="C341" i="6" s="1"/>
  <c r="C342" i="6" s="1"/>
  <c r="C343" i="6" s="1"/>
  <c r="C344" i="6" s="1"/>
  <c r="C345" i="6" s="1"/>
  <c r="C346" i="6" s="1"/>
  <c r="C347" i="6" s="1"/>
  <c r="C348" i="6" s="1"/>
  <c r="C349" i="6" s="1"/>
  <c r="C350" i="6" s="1"/>
  <c r="C351" i="6" s="1"/>
  <c r="H793" i="8"/>
  <c r="E793" i="8"/>
  <c r="G1414" i="6"/>
  <c r="C1037" i="6"/>
  <c r="B1038" i="6" s="1"/>
  <c r="D1038" i="6" s="1"/>
  <c r="G187" i="8"/>
  <c r="F682" i="8"/>
  <c r="N133" i="8"/>
  <c r="BS205" i="11"/>
  <c r="G313" i="11"/>
  <c r="F313" i="11"/>
  <c r="C314" i="11" s="1"/>
  <c r="AM255" i="11"/>
  <c r="E1132" i="7"/>
  <c r="I1132" i="7"/>
  <c r="J1132" i="7"/>
  <c r="F1132" i="7"/>
  <c r="H1132" i="7" s="1"/>
  <c r="B1133" i="7" s="1"/>
  <c r="K1132" i="7"/>
  <c r="N847" i="7"/>
  <c r="I848" i="7" s="1"/>
  <c r="BR205" i="11"/>
  <c r="BT205" i="11" s="1"/>
  <c r="BU205" i="11" s="1"/>
  <c r="G242" i="7"/>
  <c r="B243" i="7" s="1"/>
  <c r="C243" i="7" s="1"/>
  <c r="G851" i="6"/>
  <c r="E852" i="6" s="1"/>
  <c r="F852" i="6" s="1"/>
  <c r="O408" i="7"/>
  <c r="D1223" i="6"/>
  <c r="M408" i="8"/>
  <c r="C901" i="6"/>
  <c r="B902" i="6" s="1"/>
  <c r="H205" i="11"/>
  <c r="I205" i="11" s="1"/>
  <c r="BQ205" i="11"/>
  <c r="N793" i="8"/>
  <c r="I794" i="8" s="1"/>
  <c r="G462" i="8"/>
  <c r="E1414" i="6"/>
  <c r="F1414" i="6" s="1"/>
  <c r="O903" i="8"/>
  <c r="L903" i="8"/>
  <c r="K903" i="8"/>
  <c r="M903" i="8" s="1"/>
  <c r="E1188" i="7"/>
  <c r="J1188" i="7"/>
  <c r="F1188" i="7"/>
  <c r="H1188" i="7" s="1"/>
  <c r="I1188" i="7"/>
  <c r="E849" i="7"/>
  <c r="H849" i="7"/>
  <c r="D849" i="7"/>
  <c r="E1321" i="6"/>
  <c r="G1321" i="6" s="1"/>
  <c r="F1321" i="6"/>
  <c r="M133" i="7"/>
  <c r="F1068" i="8"/>
  <c r="L903" i="7"/>
  <c r="O903" i="7"/>
  <c r="K353" i="7"/>
  <c r="L353" i="7"/>
  <c r="N353" i="7" s="1"/>
  <c r="O353" i="7"/>
  <c r="N1013" i="8"/>
  <c r="K188" i="8"/>
  <c r="O188" i="8"/>
  <c r="L188" i="8"/>
  <c r="B614" i="6"/>
  <c r="D614" i="6" s="1"/>
  <c r="D133" i="12"/>
  <c r="F133" i="12" s="1"/>
  <c r="H133" i="12"/>
  <c r="H1013" i="8"/>
  <c r="D1013" i="8"/>
  <c r="F1013" i="8" s="1"/>
  <c r="D254" i="11"/>
  <c r="B565" i="6"/>
  <c r="C565" i="6" s="1"/>
  <c r="C143" i="6"/>
  <c r="C144" i="6" s="1"/>
  <c r="C145" i="6" s="1"/>
  <c r="C146" i="6" s="1"/>
  <c r="C147" i="6" s="1"/>
  <c r="C148" i="6" s="1"/>
  <c r="C149" i="6" s="1"/>
  <c r="C150" i="6" s="1"/>
  <c r="C151" i="6" s="1"/>
  <c r="C152" i="6" s="1"/>
  <c r="C153" i="6" s="1"/>
  <c r="C154" i="6" s="1"/>
  <c r="C155" i="6" s="1"/>
  <c r="C156" i="6" s="1"/>
  <c r="C157" i="6" s="1"/>
  <c r="C158" i="6" s="1"/>
  <c r="C159" i="6" s="1"/>
  <c r="C160" i="6" s="1"/>
  <c r="C161" i="6" s="1"/>
  <c r="C162" i="6" s="1"/>
  <c r="C163" i="6" s="1"/>
  <c r="B164" i="6" s="1"/>
  <c r="K243" i="7"/>
  <c r="M243" i="7" s="1"/>
  <c r="K1013" i="8"/>
  <c r="M1013" i="8" s="1"/>
  <c r="K573" i="8"/>
  <c r="M573" i="8" s="1"/>
  <c r="B684" i="7"/>
  <c r="B573" i="8"/>
  <c r="C573" i="8" s="1"/>
  <c r="B188" i="8"/>
  <c r="C188" i="8" s="1"/>
  <c r="K133" i="12"/>
  <c r="O573" i="8"/>
  <c r="L133" i="12"/>
  <c r="N133" i="12" s="1"/>
  <c r="F988" i="6"/>
  <c r="H793" i="7"/>
  <c r="O573" i="7"/>
  <c r="K573" i="7"/>
  <c r="M573" i="7" s="1"/>
  <c r="B1176" i="6"/>
  <c r="D1176" i="6" s="1"/>
  <c r="C1176" i="6"/>
  <c r="B707" i="6"/>
  <c r="C707" i="6" s="1"/>
  <c r="E941" i="6"/>
  <c r="G941" i="6" s="1"/>
  <c r="E610" i="6"/>
  <c r="G610" i="6" s="1"/>
  <c r="B463" i="8"/>
  <c r="B1021" i="7"/>
  <c r="C1021" i="7" s="1"/>
  <c r="D1021" i="7" s="1"/>
  <c r="B1417" i="6"/>
  <c r="C1417" i="6" s="1"/>
  <c r="J358" i="6"/>
  <c r="C1320" i="6"/>
  <c r="I298" i="7"/>
  <c r="J298" i="7" s="1"/>
  <c r="N187" i="12"/>
  <c r="D352" i="7"/>
  <c r="H352" i="7"/>
  <c r="B1224" i="6"/>
  <c r="D1224" i="6" s="1"/>
  <c r="C1224" i="6"/>
  <c r="K297" i="12"/>
  <c r="O297" i="12"/>
  <c r="B352" i="6"/>
  <c r="H309" i="6" s="1"/>
  <c r="D793" i="7"/>
  <c r="F793" i="7" s="1"/>
  <c r="C959" i="8"/>
  <c r="N847" i="8"/>
  <c r="N1067" i="8"/>
  <c r="E1176" i="6"/>
  <c r="G1176" i="6" s="1"/>
  <c r="G682" i="8"/>
  <c r="B463" i="7"/>
  <c r="C463" i="7" s="1"/>
  <c r="E463" i="7"/>
  <c r="B518" i="7"/>
  <c r="C518" i="7" s="1"/>
  <c r="E518" i="7"/>
  <c r="B298" i="7"/>
  <c r="C298" i="7" s="1"/>
  <c r="E298" i="7"/>
  <c r="F143" i="6"/>
  <c r="F144" i="6" s="1"/>
  <c r="F145" i="6" s="1"/>
  <c r="F146" i="6" s="1"/>
  <c r="F147" i="6" s="1"/>
  <c r="F148" i="6" s="1"/>
  <c r="F149" i="6" s="1"/>
  <c r="F150" i="6" s="1"/>
  <c r="F151" i="6" s="1"/>
  <c r="F152" i="6" s="1"/>
  <c r="F153" i="6" s="1"/>
  <c r="F154" i="6" s="1"/>
  <c r="F155" i="6" s="1"/>
  <c r="F156" i="6" s="1"/>
  <c r="F157" i="6" s="1"/>
  <c r="F158" i="6" s="1"/>
  <c r="F159" i="6" s="1"/>
  <c r="F160" i="6" s="1"/>
  <c r="F161" i="6" s="1"/>
  <c r="F162" i="6" s="1"/>
  <c r="F163" i="6" s="1"/>
  <c r="E164" i="6" s="1"/>
  <c r="B629" i="7"/>
  <c r="C629" i="7" s="1"/>
  <c r="E629" i="7" s="1"/>
  <c r="K408" i="7"/>
  <c r="M408" i="7" s="1"/>
  <c r="N315" i="11"/>
  <c r="K316" i="11" s="1"/>
  <c r="P315" i="11"/>
  <c r="O315" i="11"/>
  <c r="E1035" i="6"/>
  <c r="G1035" i="6" s="1"/>
  <c r="B243" i="8"/>
  <c r="C243" i="8" s="1"/>
  <c r="E243" i="8" s="1"/>
  <c r="I499" i="6"/>
  <c r="D518" i="8"/>
  <c r="F518" i="8" s="1"/>
  <c r="H518" i="8"/>
  <c r="C991" i="6"/>
  <c r="M847" i="7"/>
  <c r="N627" i="8"/>
  <c r="AF253" i="11"/>
  <c r="J254" i="11" s="1"/>
  <c r="E254" i="11"/>
  <c r="C254" i="11"/>
  <c r="G407" i="7"/>
  <c r="M627" i="7"/>
  <c r="C26" i="10"/>
  <c r="E26" i="10"/>
  <c r="D26" i="10"/>
  <c r="O243" i="7"/>
  <c r="I628" i="7"/>
  <c r="D793" i="8"/>
  <c r="F704" i="6"/>
  <c r="E1370" i="6"/>
  <c r="F1370" i="6" s="1"/>
  <c r="E899" i="6"/>
  <c r="G899" i="6" s="1"/>
  <c r="J405" i="6"/>
  <c r="E352" i="7"/>
  <c r="F683" i="7"/>
  <c r="E903" i="7"/>
  <c r="G903" i="7" s="1"/>
  <c r="H903" i="7"/>
  <c r="O517" i="8"/>
  <c r="K517" i="8"/>
  <c r="K683" i="7"/>
  <c r="O683" i="7"/>
  <c r="K298" i="8"/>
  <c r="M298" i="8" s="1"/>
  <c r="O298" i="8"/>
  <c r="C236" i="6"/>
  <c r="L683" i="7"/>
  <c r="L133" i="7"/>
  <c r="N133" i="7" s="1"/>
  <c r="AZ205" i="11"/>
  <c r="F1456" i="6"/>
  <c r="G132" i="8"/>
  <c r="O133" i="7"/>
  <c r="E1224" i="6"/>
  <c r="G1224" i="6" s="1"/>
  <c r="B133" i="7"/>
  <c r="C133" i="7" s="1"/>
  <c r="E133" i="7" s="1"/>
  <c r="D1510" i="6"/>
  <c r="B1511" i="6" s="1"/>
  <c r="C1511" i="6" s="1"/>
  <c r="B806" i="6"/>
  <c r="C806" i="6" s="1"/>
  <c r="N408" i="8"/>
  <c r="I188" i="7"/>
  <c r="J188" i="7" s="1"/>
  <c r="I683" i="8"/>
  <c r="U314" i="11"/>
  <c r="Y314" i="11" s="1"/>
  <c r="I463" i="8"/>
  <c r="J463" i="8" s="1"/>
  <c r="L463" i="8"/>
  <c r="B1130" i="6"/>
  <c r="C1130" i="6" s="1"/>
  <c r="D314" i="11"/>
  <c r="E314" i="11" s="1"/>
  <c r="I314" i="11" s="1"/>
  <c r="C664" i="6"/>
  <c r="G518" i="8"/>
  <c r="F1505" i="6"/>
  <c r="B354" i="8"/>
  <c r="C354" i="8" s="1"/>
  <c r="E354" i="8" s="1"/>
  <c r="D902" i="8"/>
  <c r="F902" i="8" s="1"/>
  <c r="H902" i="8"/>
  <c r="M133" i="8"/>
  <c r="D40" i="9"/>
  <c r="C40" i="9"/>
  <c r="K41" i="9" s="1"/>
  <c r="J39" i="9"/>
  <c r="J793" i="7"/>
  <c r="C298" i="12"/>
  <c r="M793" i="8"/>
  <c r="G1084" i="6"/>
  <c r="E1085" i="6" s="1"/>
  <c r="F1085" i="6" s="1"/>
  <c r="D1367" i="6"/>
  <c r="B1368" i="6" s="1"/>
  <c r="C1368" i="6" s="1"/>
  <c r="C470" i="6"/>
  <c r="E2927" i="6"/>
  <c r="G2927" i="6" s="1"/>
  <c r="M957" i="8"/>
  <c r="J170" i="6"/>
  <c r="E755" i="6"/>
  <c r="F755" i="6" s="1"/>
  <c r="B849" i="8"/>
  <c r="C849" i="8" s="1"/>
  <c r="B299" i="8"/>
  <c r="E1132" i="6"/>
  <c r="G1132" i="6" s="1"/>
  <c r="F298" i="8"/>
  <c r="H737" i="7"/>
  <c r="E737" i="7"/>
  <c r="J738" i="7"/>
  <c r="K738" i="7" s="1"/>
  <c r="F462" i="8"/>
  <c r="D737" i="7"/>
  <c r="F737" i="7" s="1"/>
  <c r="L297" i="12"/>
  <c r="I134" i="8"/>
  <c r="N573" i="7"/>
  <c r="N517" i="7"/>
  <c r="M18" i="9"/>
  <c r="N18" i="9" s="1"/>
  <c r="Q18" i="9" s="1"/>
  <c r="G18" i="9" s="1"/>
  <c r="H628" i="8"/>
  <c r="E628" i="8"/>
  <c r="N20" i="10"/>
  <c r="H20" i="10" s="1"/>
  <c r="K20" i="10" s="1"/>
  <c r="E1068" i="8"/>
  <c r="G1068" i="8" s="1"/>
  <c r="H1068" i="8"/>
  <c r="B243" i="12"/>
  <c r="C243" i="12" s="1"/>
  <c r="G737" i="8"/>
  <c r="D628" i="8"/>
  <c r="L517" i="8"/>
  <c r="D754" i="6"/>
  <c r="B755" i="6" s="1"/>
  <c r="C755" i="6" s="1"/>
  <c r="N352" i="8"/>
  <c r="B2927" i="6"/>
  <c r="D2927" i="6" s="1"/>
  <c r="B409" i="8"/>
  <c r="C409" i="8" s="1"/>
  <c r="J265" i="6"/>
  <c r="H266" i="6" s="1"/>
  <c r="I266" i="6" s="1"/>
  <c r="BA205" i="11"/>
  <c r="BC205" i="11"/>
  <c r="O243" i="12"/>
  <c r="K243" i="12"/>
  <c r="M243" i="12" s="1"/>
  <c r="B945" i="6"/>
  <c r="C945" i="6" s="1"/>
  <c r="B573" i="7"/>
  <c r="C573" i="7" s="1"/>
  <c r="G804" i="6"/>
  <c r="E805" i="6" s="1"/>
  <c r="F805" i="6" s="1"/>
  <c r="H187" i="12"/>
  <c r="E187" i="12"/>
  <c r="G187" i="12" s="1"/>
  <c r="B189" i="7"/>
  <c r="C189" i="7" s="1"/>
  <c r="E189" i="7"/>
  <c r="N463" i="7"/>
  <c r="F660" i="6"/>
  <c r="D1463" i="6"/>
  <c r="F1269" i="6"/>
  <c r="B964" i="7"/>
  <c r="C964" i="7"/>
  <c r="D964" i="7" s="1"/>
  <c r="D1083" i="6"/>
  <c r="B1084" i="6" s="1"/>
  <c r="C1084" i="6" s="1"/>
  <c r="K738" i="8"/>
  <c r="M738" i="8" s="1"/>
  <c r="O738" i="8"/>
  <c r="N242" i="8"/>
  <c r="M682" i="8"/>
  <c r="D852" i="6" l="1"/>
  <c r="C852" i="6"/>
  <c r="F628" i="8"/>
  <c r="D565" i="6"/>
  <c r="H121" i="6"/>
  <c r="I123" i="6" s="1"/>
  <c r="O1013" i="8"/>
  <c r="I1014" i="8" s="1"/>
  <c r="J1014" i="8" s="1"/>
  <c r="K963" i="7"/>
  <c r="C1076" i="7"/>
  <c r="D1076" i="7" s="1"/>
  <c r="E1076" i="7" s="1"/>
  <c r="F1176" i="6"/>
  <c r="E1177" i="6" s="1"/>
  <c r="N903" i="7"/>
  <c r="I904" i="7" s="1"/>
  <c r="N517" i="8"/>
  <c r="F1132" i="6"/>
  <c r="E1133" i="6" s="1"/>
  <c r="D1273" i="6"/>
  <c r="C902" i="6"/>
  <c r="B903" i="6" s="1"/>
  <c r="D903" i="6" s="1"/>
  <c r="D902" i="6"/>
  <c r="J1076" i="7"/>
  <c r="E188" i="8"/>
  <c r="H188" i="8"/>
  <c r="D188" i="8"/>
  <c r="F188" i="8" s="1"/>
  <c r="E853" i="6"/>
  <c r="G853" i="6" s="1"/>
  <c r="N205" i="11"/>
  <c r="K205" i="11"/>
  <c r="Q205" i="11" s="1"/>
  <c r="O205" i="11"/>
  <c r="S205" i="11" s="1"/>
  <c r="P205" i="11"/>
  <c r="M205" i="11"/>
  <c r="R205" i="11" s="1"/>
  <c r="L205" i="11"/>
  <c r="E1415" i="6"/>
  <c r="F1415" i="6" s="1"/>
  <c r="G1415" i="6"/>
  <c r="G1370" i="6"/>
  <c r="E1371" i="6" s="1"/>
  <c r="M683" i="7"/>
  <c r="C1038" i="6"/>
  <c r="G1132" i="7"/>
  <c r="P18" i="9"/>
  <c r="S18" i="9" s="1"/>
  <c r="E18" i="9" s="1"/>
  <c r="L19" i="9" s="1"/>
  <c r="D806" i="6"/>
  <c r="B807" i="6" s="1"/>
  <c r="K1075" i="7"/>
  <c r="F187" i="12"/>
  <c r="G849" i="7"/>
  <c r="B850" i="7" s="1"/>
  <c r="AO255" i="11"/>
  <c r="AQ255" i="11" s="1"/>
  <c r="AW255" i="11" s="1"/>
  <c r="L316" i="11"/>
  <c r="M188" i="8"/>
  <c r="D945" i="6"/>
  <c r="B946" i="6" s="1"/>
  <c r="G352" i="7"/>
  <c r="C614" i="6"/>
  <c r="B615" i="6" s="1"/>
  <c r="G852" i="6"/>
  <c r="N297" i="12"/>
  <c r="F793" i="8"/>
  <c r="CA205" i="11"/>
  <c r="CE205" i="11" s="1"/>
  <c r="BX205" i="11"/>
  <c r="BY205" i="11"/>
  <c r="CD205" i="11" s="1"/>
  <c r="CB205" i="11"/>
  <c r="BW205" i="11"/>
  <c r="CC205" i="11" s="1"/>
  <c r="BZ205" i="11"/>
  <c r="H849" i="8"/>
  <c r="D849" i="8"/>
  <c r="E849" i="8"/>
  <c r="G849" i="8" s="1"/>
  <c r="B1189" i="7"/>
  <c r="B566" i="6"/>
  <c r="D566" i="6" s="1"/>
  <c r="D567" i="6" s="1"/>
  <c r="D568" i="6" s="1"/>
  <c r="D569" i="6" s="1"/>
  <c r="D570" i="6" s="1"/>
  <c r="D571" i="6" s="1"/>
  <c r="D572" i="6" s="1"/>
  <c r="D573" i="6" s="1"/>
  <c r="D574" i="6" s="1"/>
  <c r="D575" i="6" s="1"/>
  <c r="D576" i="6" s="1"/>
  <c r="D577" i="6" s="1"/>
  <c r="D578" i="6" s="1"/>
  <c r="D579" i="6" s="1"/>
  <c r="D580" i="6" s="1"/>
  <c r="D581" i="6" s="1"/>
  <c r="D582" i="6" s="1"/>
  <c r="D583" i="6" s="1"/>
  <c r="D584" i="6" s="1"/>
  <c r="D585" i="6" s="1"/>
  <c r="D586" i="6" s="1"/>
  <c r="D243" i="7"/>
  <c r="H243" i="7"/>
  <c r="E243" i="7"/>
  <c r="AU255" i="11"/>
  <c r="AY255" i="11" s="1"/>
  <c r="BD255" i="11" s="1"/>
  <c r="AS255" i="11"/>
  <c r="AX255" i="11" s="1"/>
  <c r="I518" i="8"/>
  <c r="I354" i="7"/>
  <c r="C684" i="7"/>
  <c r="O298" i="7"/>
  <c r="K298" i="7"/>
  <c r="M353" i="7"/>
  <c r="B738" i="8"/>
  <c r="C738" i="8" s="1"/>
  <c r="E1506" i="6"/>
  <c r="G1506" i="6" s="1"/>
  <c r="D629" i="7"/>
  <c r="F629" i="7" s="1"/>
  <c r="H629" i="7"/>
  <c r="D243" i="12"/>
  <c r="H243" i="12"/>
  <c r="O793" i="7"/>
  <c r="L793" i="7"/>
  <c r="N793" i="7" s="1"/>
  <c r="B133" i="8"/>
  <c r="C133" i="8" s="1"/>
  <c r="E133" i="8"/>
  <c r="J499" i="6"/>
  <c r="K188" i="7"/>
  <c r="O188" i="7"/>
  <c r="H298" i="7"/>
  <c r="D298" i="7"/>
  <c r="F298" i="7" s="1"/>
  <c r="H314" i="11"/>
  <c r="F314" i="11"/>
  <c r="C315" i="11" s="1"/>
  <c r="G314" i="11"/>
  <c r="E1457" i="6"/>
  <c r="G1457" i="6" s="1"/>
  <c r="B1069" i="8"/>
  <c r="F899" i="6"/>
  <c r="I964" i="7"/>
  <c r="F964" i="7"/>
  <c r="E964" i="7"/>
  <c r="G964" i="7" s="1"/>
  <c r="J964" i="7"/>
  <c r="K1188" i="7"/>
  <c r="N298" i="8"/>
  <c r="M297" i="12"/>
  <c r="N738" i="8"/>
  <c r="F1035" i="6"/>
  <c r="B1225" i="6"/>
  <c r="D1225" i="6" s="1"/>
  <c r="C1225" i="6"/>
  <c r="H573" i="7"/>
  <c r="D573" i="7"/>
  <c r="O463" i="8"/>
  <c r="K463" i="8"/>
  <c r="M463" i="8" s="1"/>
  <c r="BB205" i="11"/>
  <c r="BM205" i="11" s="1"/>
  <c r="F903" i="7"/>
  <c r="E573" i="7"/>
  <c r="C299" i="8"/>
  <c r="H354" i="8"/>
  <c r="D354" i="8"/>
  <c r="F354" i="8" s="1"/>
  <c r="V314" i="11"/>
  <c r="S315" i="11" s="1"/>
  <c r="W314" i="11"/>
  <c r="X314" i="11"/>
  <c r="D1417" i="6"/>
  <c r="B1418" i="6" s="1"/>
  <c r="C1418" i="6" s="1"/>
  <c r="G902" i="8"/>
  <c r="N243" i="7"/>
  <c r="D573" i="8"/>
  <c r="H573" i="8"/>
  <c r="H298" i="12"/>
  <c r="E298" i="12"/>
  <c r="G298" i="12" s="1"/>
  <c r="E573" i="8"/>
  <c r="G573" i="8" s="1"/>
  <c r="J683" i="8"/>
  <c r="K683" i="8" s="1"/>
  <c r="I298" i="12"/>
  <c r="B353" i="7"/>
  <c r="F610" i="6"/>
  <c r="I243" i="8"/>
  <c r="J243" i="8" s="1"/>
  <c r="L243" i="8" s="1"/>
  <c r="E243" i="12"/>
  <c r="H171" i="6"/>
  <c r="I171" i="6" s="1"/>
  <c r="K793" i="7"/>
  <c r="B1321" i="6"/>
  <c r="D1321" i="6" s="1"/>
  <c r="C1321" i="6"/>
  <c r="L188" i="7"/>
  <c r="G1188" i="7"/>
  <c r="D409" i="8"/>
  <c r="F409" i="8" s="1"/>
  <c r="H409" i="8"/>
  <c r="C463" i="8"/>
  <c r="J958" i="8"/>
  <c r="K958" i="8" s="1"/>
  <c r="I409" i="8"/>
  <c r="J409" i="8" s="1"/>
  <c r="G805" i="6"/>
  <c r="E806" i="6" s="1"/>
  <c r="F806" i="6" s="1"/>
  <c r="I311" i="6"/>
  <c r="B992" i="6"/>
  <c r="D992" i="6" s="1"/>
  <c r="E1322" i="6"/>
  <c r="F1322" i="6"/>
  <c r="C2927" i="6"/>
  <c r="G737" i="7"/>
  <c r="B683" i="8"/>
  <c r="C683" i="8" s="1"/>
  <c r="E683" i="8"/>
  <c r="G755" i="6"/>
  <c r="E756" i="6" s="1"/>
  <c r="F756" i="6" s="1"/>
  <c r="R18" i="9"/>
  <c r="B853" i="6"/>
  <c r="C853" i="6" s="1"/>
  <c r="F2927" i="6"/>
  <c r="I353" i="8"/>
  <c r="J353" i="8" s="1"/>
  <c r="B471" i="6"/>
  <c r="D471" i="6" s="1"/>
  <c r="D755" i="6"/>
  <c r="G1013" i="8"/>
  <c r="D1368" i="6"/>
  <c r="B1369" i="6" s="1"/>
  <c r="C1369" i="6" s="1"/>
  <c r="D1511" i="6"/>
  <c r="B1512" i="6" s="1"/>
  <c r="C1512" i="6" s="1"/>
  <c r="F26" i="10"/>
  <c r="F352" i="7"/>
  <c r="D707" i="6"/>
  <c r="M133" i="12"/>
  <c r="F849" i="7"/>
  <c r="I464" i="7"/>
  <c r="J464" i="7" s="1"/>
  <c r="L464" i="7" s="1"/>
  <c r="B237" i="6"/>
  <c r="D237" i="6" s="1"/>
  <c r="D238" i="6" s="1"/>
  <c r="D239" i="6" s="1"/>
  <c r="D240" i="6" s="1"/>
  <c r="D241" i="6" s="1"/>
  <c r="D242" i="6" s="1"/>
  <c r="D243" i="6" s="1"/>
  <c r="D244" i="6" s="1"/>
  <c r="D245" i="6" s="1"/>
  <c r="D246" i="6" s="1"/>
  <c r="D247" i="6" s="1"/>
  <c r="D248" i="6" s="1"/>
  <c r="D249" i="6" s="1"/>
  <c r="D250" i="6" s="1"/>
  <c r="D251" i="6" s="1"/>
  <c r="D252" i="6" s="1"/>
  <c r="D253" i="6" s="1"/>
  <c r="D254" i="6" s="1"/>
  <c r="D255" i="6" s="1"/>
  <c r="D256" i="6" s="1"/>
  <c r="D257" i="6" s="1"/>
  <c r="C237" i="6"/>
  <c r="C238" i="6" s="1"/>
  <c r="C239" i="6" s="1"/>
  <c r="C240" i="6" s="1"/>
  <c r="C241" i="6" s="1"/>
  <c r="C242" i="6" s="1"/>
  <c r="C243" i="6" s="1"/>
  <c r="C244" i="6" s="1"/>
  <c r="C245" i="6" s="1"/>
  <c r="C246" i="6" s="1"/>
  <c r="C247" i="6" s="1"/>
  <c r="C248" i="6" s="1"/>
  <c r="C249" i="6" s="1"/>
  <c r="C250" i="6" s="1"/>
  <c r="C251" i="6" s="1"/>
  <c r="C252" i="6" s="1"/>
  <c r="C253" i="6" s="1"/>
  <c r="C254" i="6" s="1"/>
  <c r="C255" i="6" s="1"/>
  <c r="C256" i="6" s="1"/>
  <c r="C257" i="6" s="1"/>
  <c r="B258" i="6" s="1"/>
  <c r="H215" i="6" s="1"/>
  <c r="F1224" i="6"/>
  <c r="I848" i="8"/>
  <c r="J848" i="8" s="1"/>
  <c r="L848" i="8"/>
  <c r="E959" i="8"/>
  <c r="H959" i="8"/>
  <c r="B665" i="6"/>
  <c r="D665" i="6" s="1"/>
  <c r="D959" i="8"/>
  <c r="G254" i="11"/>
  <c r="G1322" i="6"/>
  <c r="D1084" i="6"/>
  <c r="B1085" i="6" s="1"/>
  <c r="C1085" i="6" s="1"/>
  <c r="E409" i="8"/>
  <c r="D518" i="7"/>
  <c r="F518" i="7" s="1"/>
  <c r="H518" i="7"/>
  <c r="F941" i="6"/>
  <c r="I134" i="12"/>
  <c r="G793" i="7"/>
  <c r="G628" i="8"/>
  <c r="H463" i="7"/>
  <c r="D463" i="7"/>
  <c r="F463" i="7" s="1"/>
  <c r="B1177" i="6"/>
  <c r="D1177" i="6" s="1"/>
  <c r="E1270" i="6"/>
  <c r="G1270" i="6" s="1"/>
  <c r="B904" i="7"/>
  <c r="G133" i="12"/>
  <c r="B1464" i="6"/>
  <c r="C1464" i="6" s="1"/>
  <c r="I518" i="7"/>
  <c r="J518" i="7" s="1"/>
  <c r="L518" i="7" s="1"/>
  <c r="G793" i="8"/>
  <c r="G1085" i="6"/>
  <c r="E1086" i="6" s="1"/>
  <c r="F1086" i="6" s="1"/>
  <c r="H133" i="7"/>
  <c r="D133" i="7"/>
  <c r="F133" i="7" s="1"/>
  <c r="I134" i="7"/>
  <c r="J134" i="7" s="1"/>
  <c r="J628" i="7"/>
  <c r="M316" i="11"/>
  <c r="Q316" i="11" s="1"/>
  <c r="I1068" i="8"/>
  <c r="J1068" i="8" s="1"/>
  <c r="L1068" i="8" s="1"/>
  <c r="I188" i="12"/>
  <c r="J188" i="12" s="1"/>
  <c r="H406" i="6"/>
  <c r="I406" i="6" s="1"/>
  <c r="N408" i="7"/>
  <c r="N903" i="8"/>
  <c r="H189" i="7"/>
  <c r="D189" i="7"/>
  <c r="F189" i="7" s="1"/>
  <c r="N243" i="12"/>
  <c r="D298" i="12"/>
  <c r="L298" i="7"/>
  <c r="B188" i="12"/>
  <c r="B519" i="8"/>
  <c r="C519" i="8" s="1"/>
  <c r="F1021" i="7"/>
  <c r="E1021" i="7"/>
  <c r="G1021" i="7" s="1"/>
  <c r="I1021" i="7"/>
  <c r="J1021" i="7"/>
  <c r="J266" i="6"/>
  <c r="H267" i="6" s="1"/>
  <c r="I267" i="6" s="1"/>
  <c r="D243" i="8"/>
  <c r="F243" i="8" s="1"/>
  <c r="H243" i="8"/>
  <c r="M903" i="7"/>
  <c r="J40" i="9"/>
  <c r="D41" i="9"/>
  <c r="C41" i="9"/>
  <c r="M517" i="8"/>
  <c r="I628" i="8"/>
  <c r="J628" i="8" s="1"/>
  <c r="G518" i="7"/>
  <c r="E989" i="6"/>
  <c r="G989" i="6" s="1"/>
  <c r="C1069" i="8"/>
  <c r="E1069" i="8" s="1"/>
  <c r="L738" i="7"/>
  <c r="N738" i="7" s="1"/>
  <c r="O738" i="7"/>
  <c r="J848" i="7"/>
  <c r="K848" i="7" s="1"/>
  <c r="H359" i="6"/>
  <c r="I359" i="6" s="1"/>
  <c r="L21" i="10"/>
  <c r="J21" i="10"/>
  <c r="J134" i="8"/>
  <c r="B1039" i="6"/>
  <c r="C1039" i="6" s="1"/>
  <c r="E661" i="6"/>
  <c r="G661" i="6" s="1"/>
  <c r="I574" i="7"/>
  <c r="J574" i="7" s="1"/>
  <c r="J794" i="8"/>
  <c r="K794" i="8" s="1"/>
  <c r="N683" i="7"/>
  <c r="E705" i="6"/>
  <c r="G705" i="6" s="1"/>
  <c r="B408" i="7"/>
  <c r="C408" i="7" s="1"/>
  <c r="D1130" i="6"/>
  <c r="F254" i="11"/>
  <c r="N188" i="8"/>
  <c r="N573" i="8"/>
  <c r="F1133" i="6" l="1"/>
  <c r="G1133" i="6"/>
  <c r="D946" i="6"/>
  <c r="C946" i="6"/>
  <c r="F1177" i="6"/>
  <c r="G1177" i="6"/>
  <c r="G463" i="7"/>
  <c r="AT255" i="11"/>
  <c r="BA255" i="11" s="1"/>
  <c r="BC255" i="11" s="1"/>
  <c r="AR255" i="11"/>
  <c r="AZ255" i="11" s="1"/>
  <c r="K1076" i="7"/>
  <c r="AV255" i="11"/>
  <c r="G354" i="8"/>
  <c r="B355" i="8" s="1"/>
  <c r="C355" i="8" s="1"/>
  <c r="I1076" i="7"/>
  <c r="B1274" i="6"/>
  <c r="C1274" i="6" s="1"/>
  <c r="D1274" i="6"/>
  <c r="F1076" i="7"/>
  <c r="G1076" i="7" s="1"/>
  <c r="G188" i="8"/>
  <c r="D615" i="6"/>
  <c r="C615" i="6"/>
  <c r="B616" i="6" s="1"/>
  <c r="C807" i="6"/>
  <c r="D807" i="6"/>
  <c r="F1371" i="6"/>
  <c r="E1372" i="6" s="1"/>
  <c r="G1372" i="6" s="1"/>
  <c r="G1371" i="6"/>
  <c r="H1021" i="7"/>
  <c r="F573" i="7"/>
  <c r="D853" i="6"/>
  <c r="B854" i="6" s="1"/>
  <c r="C854" i="6" s="1"/>
  <c r="D1039" i="6"/>
  <c r="B1040" i="6" s="1"/>
  <c r="F18" i="9"/>
  <c r="H18" i="9" s="1"/>
  <c r="I18" i="9" s="1"/>
  <c r="B32" i="13" s="1"/>
  <c r="G629" i="7"/>
  <c r="G243" i="12"/>
  <c r="B244" i="12" s="1"/>
  <c r="U205" i="11"/>
  <c r="F853" i="6"/>
  <c r="E854" i="6" s="1"/>
  <c r="G854" i="6" s="1"/>
  <c r="G959" i="8"/>
  <c r="H964" i="7"/>
  <c r="C188" i="12"/>
  <c r="H188" i="12" s="1"/>
  <c r="E1416" i="6"/>
  <c r="F1416" i="6" s="1"/>
  <c r="M298" i="7"/>
  <c r="F243" i="7"/>
  <c r="C1133" i="7"/>
  <c r="D1133" i="7" s="1"/>
  <c r="K1021" i="7"/>
  <c r="M188" i="7"/>
  <c r="T205" i="11"/>
  <c r="B965" i="7"/>
  <c r="C965" i="7"/>
  <c r="D965" i="7" s="1"/>
  <c r="BH205" i="11"/>
  <c r="BG205" i="11"/>
  <c r="BF205" i="11"/>
  <c r="BE205" i="11"/>
  <c r="BK205" i="11"/>
  <c r="BJ205" i="11"/>
  <c r="BI205" i="11"/>
  <c r="M848" i="7"/>
  <c r="M958" i="8"/>
  <c r="K134" i="7"/>
  <c r="L134" i="7"/>
  <c r="N134" i="7" s="1"/>
  <c r="O134" i="7"/>
  <c r="L1014" i="8"/>
  <c r="O1014" i="8"/>
  <c r="K1014" i="8"/>
  <c r="M1014" i="8" s="1"/>
  <c r="B808" i="6"/>
  <c r="D808" i="6" s="1"/>
  <c r="L574" i="7"/>
  <c r="K574" i="7"/>
  <c r="M574" i="7" s="1"/>
  <c r="O574" i="7"/>
  <c r="H519" i="8"/>
  <c r="D519" i="8"/>
  <c r="E519" i="8"/>
  <c r="G519" i="8" s="1"/>
  <c r="D188" i="12"/>
  <c r="D1369" i="6"/>
  <c r="B1370" i="6" s="1"/>
  <c r="C1370" i="6" s="1"/>
  <c r="I574" i="8"/>
  <c r="J574" i="8" s="1"/>
  <c r="L574" i="8" s="1"/>
  <c r="K188" i="12"/>
  <c r="O188" i="12"/>
  <c r="B960" i="8"/>
  <c r="O134" i="8"/>
  <c r="L134" i="8"/>
  <c r="J904" i="7"/>
  <c r="C1177" i="6"/>
  <c r="D683" i="8"/>
  <c r="F683" i="8" s="1"/>
  <c r="H683" i="8"/>
  <c r="I217" i="6"/>
  <c r="H738" i="8"/>
  <c r="D738" i="8"/>
  <c r="C903" i="6"/>
  <c r="F1457" i="6"/>
  <c r="C1189" i="7"/>
  <c r="D1189" i="7" s="1"/>
  <c r="D1069" i="8"/>
  <c r="F1069" i="8" s="1"/>
  <c r="C471" i="6"/>
  <c r="B574" i="8"/>
  <c r="K964" i="7"/>
  <c r="K353" i="8"/>
  <c r="O353" i="8"/>
  <c r="O628" i="7"/>
  <c r="L628" i="7"/>
  <c r="L353" i="8"/>
  <c r="E1036" i="6"/>
  <c r="G1036" i="6" s="1"/>
  <c r="E1323" i="6"/>
  <c r="F1323" i="6" s="1"/>
  <c r="B299" i="12"/>
  <c r="H500" i="6"/>
  <c r="I500" i="6" s="1"/>
  <c r="C850" i="7"/>
  <c r="E1134" i="6"/>
  <c r="G1134" i="6" s="1"/>
  <c r="F1134" i="6"/>
  <c r="K409" i="8"/>
  <c r="O409" i="8"/>
  <c r="L409" i="8"/>
  <c r="I794" i="7"/>
  <c r="F959" i="8"/>
  <c r="C353" i="7"/>
  <c r="H299" i="8"/>
  <c r="E299" i="8"/>
  <c r="J298" i="12"/>
  <c r="K298" i="12" s="1"/>
  <c r="B850" i="8"/>
  <c r="CG205" i="11"/>
  <c r="F705" i="6"/>
  <c r="F298" i="12"/>
  <c r="G1086" i="6"/>
  <c r="F1270" i="6"/>
  <c r="I254" i="11"/>
  <c r="O254" i="11" s="1"/>
  <c r="S254" i="11" s="1"/>
  <c r="F573" i="8"/>
  <c r="D299" i="8"/>
  <c r="I299" i="8"/>
  <c r="J299" i="8" s="1"/>
  <c r="L299" i="8"/>
  <c r="B1131" i="6"/>
  <c r="C1131" i="6" s="1"/>
  <c r="F849" i="8"/>
  <c r="B464" i="7"/>
  <c r="C464" i="7" s="1"/>
  <c r="I739" i="7"/>
  <c r="L188" i="12"/>
  <c r="L683" i="8"/>
  <c r="N683" i="8" s="1"/>
  <c r="O683" i="8"/>
  <c r="O1068" i="8"/>
  <c r="K1068" i="8"/>
  <c r="M1068" i="8" s="1"/>
  <c r="J267" i="6"/>
  <c r="H268" i="6" s="1"/>
  <c r="I268" i="6" s="1"/>
  <c r="B629" i="8"/>
  <c r="C629" i="8" s="1"/>
  <c r="B1226" i="6"/>
  <c r="D1226" i="6" s="1"/>
  <c r="J354" i="7"/>
  <c r="K354" i="7" s="1"/>
  <c r="M738" i="7"/>
  <c r="B794" i="7"/>
  <c r="C794" i="7" s="1"/>
  <c r="E794" i="7" s="1"/>
  <c r="B2928" i="6"/>
  <c r="D2928" i="6" s="1"/>
  <c r="D315" i="11"/>
  <c r="E315" i="11"/>
  <c r="I315" i="11" s="1"/>
  <c r="G806" i="6"/>
  <c r="E807" i="6" s="1"/>
  <c r="F807" i="6" s="1"/>
  <c r="T315" i="11"/>
  <c r="U315" i="11" s="1"/>
  <c r="Y315" i="11" s="1"/>
  <c r="O19" i="9"/>
  <c r="E2928" i="6"/>
  <c r="G2928" i="6" s="1"/>
  <c r="F2928" i="6"/>
  <c r="D133" i="8"/>
  <c r="F133" i="8" s="1"/>
  <c r="H133" i="8"/>
  <c r="J359" i="6"/>
  <c r="H360" i="6" s="1"/>
  <c r="I360" i="6" s="1"/>
  <c r="B630" i="7"/>
  <c r="C630" i="7" s="1"/>
  <c r="J123" i="6"/>
  <c r="L848" i="7"/>
  <c r="N848" i="7" s="1"/>
  <c r="O848" i="7"/>
  <c r="B1322" i="6"/>
  <c r="D1322" i="6" s="1"/>
  <c r="C1322" i="6"/>
  <c r="I684" i="7"/>
  <c r="J684" i="7" s="1"/>
  <c r="L684" i="7" s="1"/>
  <c r="I244" i="12"/>
  <c r="J244" i="12" s="1"/>
  <c r="L244" i="12"/>
  <c r="B794" i="8"/>
  <c r="C794" i="8" s="1"/>
  <c r="E794" i="8" s="1"/>
  <c r="G409" i="8"/>
  <c r="E1225" i="6"/>
  <c r="G1225" i="6" s="1"/>
  <c r="E463" i="8"/>
  <c r="H463" i="8"/>
  <c r="G243" i="8"/>
  <c r="E611" i="6"/>
  <c r="G611" i="6" s="1"/>
  <c r="I244" i="7"/>
  <c r="J244" i="7" s="1"/>
  <c r="G573" i="7"/>
  <c r="F243" i="12"/>
  <c r="D1418" i="6"/>
  <c r="B1419" i="6" s="1"/>
  <c r="C1419" i="6" s="1"/>
  <c r="E738" i="8"/>
  <c r="B134" i="12"/>
  <c r="C134" i="12" s="1"/>
  <c r="E134" i="12"/>
  <c r="B189" i="8"/>
  <c r="C189" i="8" s="1"/>
  <c r="E189" i="8" s="1"/>
  <c r="N316" i="11"/>
  <c r="K317" i="11" s="1"/>
  <c r="P316" i="11"/>
  <c r="O316" i="11"/>
  <c r="B738" i="7"/>
  <c r="C738" i="7" s="1"/>
  <c r="E738" i="7" s="1"/>
  <c r="F989" i="6"/>
  <c r="J311" i="6"/>
  <c r="H312" i="6" s="1"/>
  <c r="I312" i="6" s="1"/>
  <c r="B519" i="7"/>
  <c r="C519" i="7" s="1"/>
  <c r="K628" i="7"/>
  <c r="N463" i="8"/>
  <c r="F661" i="6"/>
  <c r="E684" i="7"/>
  <c r="H684" i="7"/>
  <c r="E942" i="6"/>
  <c r="G942" i="6" s="1"/>
  <c r="J134" i="12"/>
  <c r="K134" i="12" s="1"/>
  <c r="B756" i="6"/>
  <c r="C756" i="6" s="1"/>
  <c r="CF205" i="11"/>
  <c r="J518" i="8"/>
  <c r="K518" i="8" s="1"/>
  <c r="N298" i="7"/>
  <c r="D1464" i="6"/>
  <c r="D708" i="6"/>
  <c r="I739" i="8"/>
  <c r="J739" i="8" s="1"/>
  <c r="H254" i="11"/>
  <c r="K243" i="8"/>
  <c r="M243" i="8" s="1"/>
  <c r="O243" i="8"/>
  <c r="I904" i="8"/>
  <c r="J904" i="8" s="1"/>
  <c r="L904" i="8"/>
  <c r="G133" i="7"/>
  <c r="B708" i="6"/>
  <c r="C708" i="6" s="1"/>
  <c r="H1069" i="8"/>
  <c r="D1085" i="6"/>
  <c r="C665" i="6"/>
  <c r="E27" i="10"/>
  <c r="C27" i="10"/>
  <c r="D27" i="10"/>
  <c r="G756" i="6"/>
  <c r="E757" i="6" s="1"/>
  <c r="F757" i="6" s="1"/>
  <c r="C992" i="6"/>
  <c r="D463" i="8"/>
  <c r="B903" i="8"/>
  <c r="C903" i="8" s="1"/>
  <c r="E903" i="8" s="1"/>
  <c r="C904" i="7"/>
  <c r="G298" i="7"/>
  <c r="G189" i="7"/>
  <c r="G243" i="7"/>
  <c r="B1014" i="8"/>
  <c r="C1014" i="8" s="1"/>
  <c r="J171" i="6"/>
  <c r="H172" i="6" s="1"/>
  <c r="I172" i="6" s="1"/>
  <c r="F1506" i="6"/>
  <c r="K134" i="8"/>
  <c r="C566" i="6"/>
  <c r="C567" i="6" s="1"/>
  <c r="C568" i="6" s="1"/>
  <c r="C569" i="6" s="1"/>
  <c r="C570" i="6" s="1"/>
  <c r="C571" i="6" s="1"/>
  <c r="C572" i="6" s="1"/>
  <c r="C573" i="6" s="1"/>
  <c r="C574" i="6" s="1"/>
  <c r="C575" i="6" s="1"/>
  <c r="C576" i="6" s="1"/>
  <c r="C577" i="6" s="1"/>
  <c r="C578" i="6" s="1"/>
  <c r="C579" i="6" s="1"/>
  <c r="C580" i="6" s="1"/>
  <c r="C581" i="6" s="1"/>
  <c r="C582" i="6" s="1"/>
  <c r="C583" i="6" s="1"/>
  <c r="C584" i="6" s="1"/>
  <c r="C585" i="6" s="1"/>
  <c r="C586" i="6" s="1"/>
  <c r="B587" i="6" s="1"/>
  <c r="H544" i="6" s="1"/>
  <c r="I189" i="8"/>
  <c r="J189" i="8" s="1"/>
  <c r="K464" i="7"/>
  <c r="M464" i="7" s="1"/>
  <c r="O464" i="7"/>
  <c r="B947" i="6"/>
  <c r="C947" i="6" s="1"/>
  <c r="E1178" i="6"/>
  <c r="G1178" i="6" s="1"/>
  <c r="M21" i="10"/>
  <c r="I21" i="10" s="1"/>
  <c r="O848" i="8"/>
  <c r="K848" i="8"/>
  <c r="M848" i="8" s="1"/>
  <c r="N188" i="7"/>
  <c r="K628" i="8"/>
  <c r="O628" i="8"/>
  <c r="D408" i="7"/>
  <c r="H408" i="7"/>
  <c r="L628" i="8"/>
  <c r="N628" i="8" s="1"/>
  <c r="D684" i="7"/>
  <c r="E408" i="7"/>
  <c r="J41" i="9"/>
  <c r="D42" i="9"/>
  <c r="C42" i="9"/>
  <c r="O958" i="8"/>
  <c r="L958" i="8"/>
  <c r="N958" i="8" s="1"/>
  <c r="E900" i="6"/>
  <c r="G900" i="6" s="1"/>
  <c r="L794" i="8"/>
  <c r="N794" i="8" s="1"/>
  <c r="O794" i="8"/>
  <c r="I409" i="7"/>
  <c r="J409" i="7" s="1"/>
  <c r="O518" i="7"/>
  <c r="K518" i="7"/>
  <c r="M518" i="7" s="1"/>
  <c r="D1512" i="6"/>
  <c r="B1513" i="6" s="1"/>
  <c r="C1513" i="6" s="1"/>
  <c r="M793" i="7"/>
  <c r="J406" i="6"/>
  <c r="H407" i="6" s="1"/>
  <c r="I407" i="6" s="1"/>
  <c r="K42" i="9"/>
  <c r="D616" i="6" l="1"/>
  <c r="C616" i="6"/>
  <c r="D464" i="7"/>
  <c r="H464" i="7"/>
  <c r="M134" i="8"/>
  <c r="E188" i="12"/>
  <c r="G188" i="12" s="1"/>
  <c r="G684" i="7"/>
  <c r="B685" i="7" s="1"/>
  <c r="N353" i="8"/>
  <c r="F188" i="12"/>
  <c r="N243" i="8"/>
  <c r="N254" i="11"/>
  <c r="C1226" i="6"/>
  <c r="N409" i="8"/>
  <c r="I410" i="8" s="1"/>
  <c r="B1022" i="7"/>
  <c r="C1022" i="7" s="1"/>
  <c r="D1022" i="7" s="1"/>
  <c r="G1416" i="6"/>
  <c r="H1076" i="7"/>
  <c r="B1275" i="6"/>
  <c r="C1275" i="6" s="1"/>
  <c r="D1275" i="6"/>
  <c r="D854" i="6"/>
  <c r="J500" i="6"/>
  <c r="M254" i="11"/>
  <c r="R254" i="11" s="1"/>
  <c r="D947" i="6"/>
  <c r="F408" i="7"/>
  <c r="M134" i="7"/>
  <c r="F738" i="8"/>
  <c r="P254" i="11"/>
  <c r="E1133" i="7"/>
  <c r="I1133" i="7"/>
  <c r="F1133" i="7"/>
  <c r="K1133" i="7" s="1"/>
  <c r="J1133" i="7"/>
  <c r="D1040" i="6"/>
  <c r="C1040" i="6"/>
  <c r="F299" i="8"/>
  <c r="D756" i="6"/>
  <c r="B757" i="6" s="1"/>
  <c r="D757" i="6" s="1"/>
  <c r="N188" i="12"/>
  <c r="I189" i="12" s="1"/>
  <c r="C2928" i="6"/>
  <c r="B2929" i="6" s="1"/>
  <c r="C2929" i="6" s="1"/>
  <c r="X205" i="11"/>
  <c r="F942" i="6"/>
  <c r="E943" i="6" s="1"/>
  <c r="M19" i="9"/>
  <c r="M628" i="7"/>
  <c r="E464" i="7"/>
  <c r="G464" i="7" s="1"/>
  <c r="CH205" i="11"/>
  <c r="N464" i="7"/>
  <c r="I465" i="7" s="1"/>
  <c r="J465" i="7" s="1"/>
  <c r="W205" i="11"/>
  <c r="E1417" i="6"/>
  <c r="G1417" i="6" s="1"/>
  <c r="F1417" i="6"/>
  <c r="K43" i="9"/>
  <c r="F463" i="8"/>
  <c r="M683" i="8"/>
  <c r="V205" i="11"/>
  <c r="E519" i="7"/>
  <c r="D519" i="7"/>
  <c r="F519" i="7" s="1"/>
  <c r="H519" i="7"/>
  <c r="B948" i="6"/>
  <c r="D948" i="6" s="1"/>
  <c r="F965" i="7"/>
  <c r="E965" i="7"/>
  <c r="K965" i="7" s="1"/>
  <c r="J965" i="7"/>
  <c r="I965" i="7"/>
  <c r="M354" i="7"/>
  <c r="H355" i="8"/>
  <c r="D355" i="8"/>
  <c r="E355" i="8"/>
  <c r="BB255" i="11"/>
  <c r="BM255" i="11"/>
  <c r="D630" i="7"/>
  <c r="H630" i="7"/>
  <c r="E630" i="7"/>
  <c r="F1189" i="7"/>
  <c r="J1189" i="7"/>
  <c r="I1189" i="7"/>
  <c r="E1189" i="7"/>
  <c r="K1189" i="7" s="1"/>
  <c r="B855" i="6"/>
  <c r="D855" i="6" s="1"/>
  <c r="C855" i="6"/>
  <c r="H408" i="6"/>
  <c r="I408" i="6" s="1"/>
  <c r="B472" i="6"/>
  <c r="D472" i="6" s="1"/>
  <c r="D473" i="6" s="1"/>
  <c r="D474" i="6" s="1"/>
  <c r="D475" i="6" s="1"/>
  <c r="D476" i="6" s="1"/>
  <c r="D477" i="6" s="1"/>
  <c r="D478" i="6" s="1"/>
  <c r="D479" i="6" s="1"/>
  <c r="D480" i="6" s="1"/>
  <c r="D481" i="6" s="1"/>
  <c r="D482" i="6" s="1"/>
  <c r="D483" i="6" s="1"/>
  <c r="D484" i="6" s="1"/>
  <c r="D485" i="6" s="1"/>
  <c r="D486" i="6" s="1"/>
  <c r="D487" i="6" s="1"/>
  <c r="D488" i="6" s="1"/>
  <c r="D489" i="6" s="1"/>
  <c r="D490" i="6" s="1"/>
  <c r="D491" i="6" s="1"/>
  <c r="D492" i="6" s="1"/>
  <c r="O739" i="8"/>
  <c r="K739" i="8"/>
  <c r="G1323" i="6"/>
  <c r="N574" i="7"/>
  <c r="K299" i="8"/>
  <c r="M299" i="8" s="1"/>
  <c r="O299" i="8"/>
  <c r="O189" i="8"/>
  <c r="K189" i="8"/>
  <c r="N21" i="10"/>
  <c r="H21" i="10" s="1"/>
  <c r="K21" i="10" s="1"/>
  <c r="I546" i="6"/>
  <c r="I464" i="8"/>
  <c r="J464" i="8" s="1"/>
  <c r="L464" i="8" s="1"/>
  <c r="E1458" i="6"/>
  <c r="G1458" i="6" s="1"/>
  <c r="J849" i="7"/>
  <c r="L849" i="7" s="1"/>
  <c r="J407" i="6"/>
  <c r="E904" i="7"/>
  <c r="H904" i="7"/>
  <c r="L317" i="11"/>
  <c r="M317" i="11" s="1"/>
  <c r="Q317" i="11" s="1"/>
  <c r="H794" i="7"/>
  <c r="D794" i="7"/>
  <c r="F794" i="7" s="1"/>
  <c r="D1014" i="8"/>
  <c r="H1014" i="8"/>
  <c r="B410" i="8"/>
  <c r="C410" i="8" s="1"/>
  <c r="E410" i="8"/>
  <c r="N299" i="8"/>
  <c r="I244" i="8"/>
  <c r="J244" i="8" s="1"/>
  <c r="B244" i="7"/>
  <c r="C244" i="7" s="1"/>
  <c r="E244" i="7" s="1"/>
  <c r="L739" i="8"/>
  <c r="G315" i="11"/>
  <c r="F315" i="11"/>
  <c r="C316" i="11" s="1"/>
  <c r="D316" i="11" s="1"/>
  <c r="H315" i="11"/>
  <c r="I629" i="8"/>
  <c r="B190" i="7"/>
  <c r="C190" i="7" s="1"/>
  <c r="E190" i="7" s="1"/>
  <c r="E662" i="6"/>
  <c r="G662" i="6" s="1"/>
  <c r="F662" i="6"/>
  <c r="I959" i="8"/>
  <c r="J959" i="8" s="1"/>
  <c r="L189" i="8"/>
  <c r="C244" i="12"/>
  <c r="L298" i="12"/>
  <c r="N298" i="12" s="1"/>
  <c r="O298" i="12"/>
  <c r="G794" i="7"/>
  <c r="L254" i="11"/>
  <c r="K254" i="11"/>
  <c r="Q254" i="11" s="1"/>
  <c r="F1372" i="6"/>
  <c r="D43" i="9"/>
  <c r="C43" i="9"/>
  <c r="J42" i="9"/>
  <c r="D904" i="7"/>
  <c r="B904" i="6"/>
  <c r="D904" i="6" s="1"/>
  <c r="G683" i="8"/>
  <c r="F854" i="6"/>
  <c r="I189" i="7"/>
  <c r="J189" i="7" s="1"/>
  <c r="J217" i="6"/>
  <c r="I795" i="8"/>
  <c r="E1014" i="8"/>
  <c r="D1086" i="6"/>
  <c r="B1041" i="6"/>
  <c r="C1041" i="6" s="1"/>
  <c r="C574" i="8"/>
  <c r="O244" i="12"/>
  <c r="K244" i="12"/>
  <c r="M244" i="12" s="1"/>
  <c r="E1135" i="6"/>
  <c r="G1135" i="6" s="1"/>
  <c r="B709" i="6"/>
  <c r="C709" i="6" s="1"/>
  <c r="K244" i="7"/>
  <c r="O244" i="7"/>
  <c r="J794" i="7"/>
  <c r="K794" i="7" s="1"/>
  <c r="N628" i="7"/>
  <c r="B1086" i="6"/>
  <c r="C1086" i="6" s="1"/>
  <c r="D189" i="8"/>
  <c r="F189" i="8" s="1"/>
  <c r="H189" i="8"/>
  <c r="B520" i="8"/>
  <c r="F519" i="8"/>
  <c r="B1465" i="6"/>
  <c r="C1465" i="6" s="1"/>
  <c r="B244" i="8"/>
  <c r="C244" i="8" s="1"/>
  <c r="C299" i="12"/>
  <c r="B1178" i="6"/>
  <c r="D1178" i="6" s="1"/>
  <c r="D1131" i="6"/>
  <c r="L904" i="7"/>
  <c r="O904" i="7"/>
  <c r="N1068" i="8"/>
  <c r="B993" i="6"/>
  <c r="D993" i="6" s="1"/>
  <c r="C993" i="6"/>
  <c r="J312" i="6"/>
  <c r="G738" i="8"/>
  <c r="G463" i="8"/>
  <c r="C960" i="8"/>
  <c r="H501" i="6"/>
  <c r="I501" i="6" s="1"/>
  <c r="K904" i="7"/>
  <c r="N518" i="7"/>
  <c r="AI206" i="11"/>
  <c r="BL205" i="11"/>
  <c r="AP206" i="11" s="1"/>
  <c r="D903" i="8"/>
  <c r="F903" i="8" s="1"/>
  <c r="H903" i="8"/>
  <c r="H850" i="7"/>
  <c r="E850" i="7"/>
  <c r="M794" i="8"/>
  <c r="F611" i="6"/>
  <c r="D850" i="7"/>
  <c r="N1014" i="8"/>
  <c r="H134" i="12"/>
  <c r="D134" i="12"/>
  <c r="F134" i="12" s="1"/>
  <c r="M628" i="8"/>
  <c r="F1178" i="6"/>
  <c r="M353" i="8"/>
  <c r="H629" i="8"/>
  <c r="D629" i="8"/>
  <c r="J501" i="6"/>
  <c r="N134" i="8"/>
  <c r="H124" i="6"/>
  <c r="I124" i="6" s="1"/>
  <c r="B666" i="6"/>
  <c r="D666" i="6" s="1"/>
  <c r="H794" i="8"/>
  <c r="D794" i="8"/>
  <c r="F794" i="8" s="1"/>
  <c r="B617" i="6"/>
  <c r="D617" i="6" s="1"/>
  <c r="C617" i="6"/>
  <c r="F900" i="6"/>
  <c r="U254" i="11"/>
  <c r="B1514" i="6"/>
  <c r="C1514" i="6" s="1"/>
  <c r="M409" i="8"/>
  <c r="B299" i="7"/>
  <c r="C299" i="7" s="1"/>
  <c r="I299" i="7"/>
  <c r="J299" i="7" s="1"/>
  <c r="L299" i="7" s="1"/>
  <c r="B574" i="7"/>
  <c r="C574" i="7" s="1"/>
  <c r="E574" i="7" s="1"/>
  <c r="J360" i="6"/>
  <c r="H361" i="6" s="1"/>
  <c r="I361" i="6" s="1"/>
  <c r="I684" i="8"/>
  <c r="F1036" i="6"/>
  <c r="L518" i="8"/>
  <c r="N518" i="8" s="1"/>
  <c r="O518" i="8"/>
  <c r="O684" i="7"/>
  <c r="K684" i="7"/>
  <c r="M684" i="7" s="1"/>
  <c r="I354" i="8"/>
  <c r="C808" i="6"/>
  <c r="B134" i="7"/>
  <c r="C134" i="7" s="1"/>
  <c r="E134" i="7"/>
  <c r="L244" i="7"/>
  <c r="G299" i="8"/>
  <c r="J739" i="7"/>
  <c r="E1271" i="6"/>
  <c r="G1271" i="6" s="1"/>
  <c r="N848" i="8"/>
  <c r="CJ205" i="11"/>
  <c r="O354" i="7"/>
  <c r="L354" i="7"/>
  <c r="N354" i="7" s="1"/>
  <c r="D1513" i="6"/>
  <c r="E353" i="7"/>
  <c r="H353" i="7"/>
  <c r="D353" i="7"/>
  <c r="O409" i="7"/>
  <c r="K409" i="7"/>
  <c r="E1507" i="6"/>
  <c r="G1507" i="6" s="1"/>
  <c r="G757" i="6"/>
  <c r="E990" i="6"/>
  <c r="G990" i="6" s="1"/>
  <c r="D1419" i="6"/>
  <c r="G133" i="8"/>
  <c r="L409" i="7"/>
  <c r="F684" i="7"/>
  <c r="I849" i="7"/>
  <c r="X315" i="11"/>
  <c r="W315" i="11"/>
  <c r="V315" i="11"/>
  <c r="S316" i="11" s="1"/>
  <c r="T316" i="11" s="1"/>
  <c r="E629" i="8"/>
  <c r="C850" i="8"/>
  <c r="I135" i="7"/>
  <c r="J135" i="7" s="1"/>
  <c r="O135" i="7" s="1"/>
  <c r="CI205" i="11"/>
  <c r="E2929" i="6"/>
  <c r="F2929" i="6" s="1"/>
  <c r="O904" i="8"/>
  <c r="K904" i="8"/>
  <c r="M904" i="8" s="1"/>
  <c r="G134" i="12"/>
  <c r="B1323" i="6"/>
  <c r="D1323" i="6" s="1"/>
  <c r="M188" i="12"/>
  <c r="O574" i="8"/>
  <c r="K574" i="8"/>
  <c r="M574" i="8" s="1"/>
  <c r="G408" i="7"/>
  <c r="O134" i="12"/>
  <c r="L134" i="12"/>
  <c r="N134" i="12" s="1"/>
  <c r="J172" i="6"/>
  <c r="H173" i="6" s="1"/>
  <c r="I173" i="6" s="1"/>
  <c r="F27" i="10"/>
  <c r="E1087" i="6"/>
  <c r="F1087" i="6" s="1"/>
  <c r="D738" i="7"/>
  <c r="F738" i="7" s="1"/>
  <c r="H738" i="7"/>
  <c r="F1225" i="6"/>
  <c r="G807" i="6"/>
  <c r="E808" i="6" s="1"/>
  <c r="F808" i="6" s="1"/>
  <c r="J268" i="6"/>
  <c r="H269" i="6" s="1"/>
  <c r="I269" i="6" s="1"/>
  <c r="E706" i="6"/>
  <c r="G706" i="6" s="1"/>
  <c r="D1370" i="6"/>
  <c r="B1371" i="6" s="1"/>
  <c r="C1371" i="6" s="1"/>
  <c r="AJ206" i="11"/>
  <c r="G1069" i="8"/>
  <c r="F1022" i="7" l="1"/>
  <c r="J1022" i="7"/>
  <c r="E1022" i="7"/>
  <c r="G1022" i="7" s="1"/>
  <c r="I1022" i="7"/>
  <c r="F943" i="6"/>
  <c r="E944" i="6" s="1"/>
  <c r="G944" i="6" s="1"/>
  <c r="G943" i="6"/>
  <c r="G2929" i="6"/>
  <c r="G629" i="8"/>
  <c r="B630" i="8" s="1"/>
  <c r="B1227" i="6"/>
  <c r="D1227" i="6" s="1"/>
  <c r="F1014" i="8"/>
  <c r="K44" i="9"/>
  <c r="B1276" i="6"/>
  <c r="D1276" i="6" s="1"/>
  <c r="C1276" i="6"/>
  <c r="N189" i="8"/>
  <c r="F464" i="7"/>
  <c r="AL206" i="11"/>
  <c r="B1077" i="7"/>
  <c r="C1077" i="7"/>
  <c r="G738" i="7"/>
  <c r="F355" i="8"/>
  <c r="D1077" i="7"/>
  <c r="L244" i="8"/>
  <c r="K244" i="8"/>
  <c r="M244" i="8" s="1"/>
  <c r="O244" i="8"/>
  <c r="N409" i="7"/>
  <c r="M739" i="8"/>
  <c r="G1133" i="7"/>
  <c r="N244" i="12"/>
  <c r="I245" i="12" s="1"/>
  <c r="J245" i="12" s="1"/>
  <c r="G353" i="7"/>
  <c r="B354" i="7" s="1"/>
  <c r="C1178" i="6"/>
  <c r="B1179" i="6" s="1"/>
  <c r="M244" i="7"/>
  <c r="P19" i="9"/>
  <c r="N19" i="9"/>
  <c r="Q19" i="9" s="1"/>
  <c r="G19" i="9" s="1"/>
  <c r="H1133" i="7"/>
  <c r="AM206" i="11"/>
  <c r="F630" i="7"/>
  <c r="M134" i="12"/>
  <c r="F850" i="7"/>
  <c r="G904" i="7"/>
  <c r="B905" i="7" s="1"/>
  <c r="N574" i="8"/>
  <c r="I575" i="8" s="1"/>
  <c r="J575" i="8" s="1"/>
  <c r="E1418" i="6"/>
  <c r="G1418" i="6" s="1"/>
  <c r="J684" i="8"/>
  <c r="O684" i="8" s="1"/>
  <c r="N904" i="7"/>
  <c r="I905" i="7" s="1"/>
  <c r="O849" i="7"/>
  <c r="G189" i="8"/>
  <c r="B190" i="8" s="1"/>
  <c r="C190" i="8" s="1"/>
  <c r="H1022" i="7"/>
  <c r="C1023" i="7" s="1"/>
  <c r="D1023" i="7" s="1"/>
  <c r="F1135" i="6"/>
  <c r="C904" i="6"/>
  <c r="G794" i="8"/>
  <c r="G355" i="8"/>
  <c r="B356" i="8" s="1"/>
  <c r="C356" i="8" s="1"/>
  <c r="E356" i="8" s="1"/>
  <c r="AG205" i="11"/>
  <c r="K465" i="7"/>
  <c r="O465" i="7"/>
  <c r="L465" i="7"/>
  <c r="N465" i="7" s="1"/>
  <c r="E2930" i="6"/>
  <c r="F2930" i="6" s="1"/>
  <c r="B1023" i="7"/>
  <c r="O959" i="8"/>
  <c r="L959" i="8"/>
  <c r="K959" i="8"/>
  <c r="M959" i="8" s="1"/>
  <c r="H502" i="6"/>
  <c r="J502" i="6" s="1"/>
  <c r="E850" i="8"/>
  <c r="H850" i="8"/>
  <c r="L739" i="7"/>
  <c r="O739" i="7"/>
  <c r="T254" i="11"/>
  <c r="X254" i="11" s="1"/>
  <c r="W254" i="11"/>
  <c r="C948" i="6"/>
  <c r="C520" i="8"/>
  <c r="D520" i="8" s="1"/>
  <c r="D1465" i="6"/>
  <c r="B1466" i="6" s="1"/>
  <c r="C1466" i="6" s="1"/>
  <c r="J410" i="8"/>
  <c r="I1069" i="8"/>
  <c r="J1069" i="8" s="1"/>
  <c r="L1069" i="8"/>
  <c r="E1373" i="6"/>
  <c r="G1373" i="6" s="1"/>
  <c r="F1373" i="6"/>
  <c r="I300" i="8"/>
  <c r="J300" i="8" s="1"/>
  <c r="B795" i="8"/>
  <c r="C795" i="8" s="1"/>
  <c r="E795" i="8" s="1"/>
  <c r="C1323" i="6"/>
  <c r="F1271" i="6"/>
  <c r="E612" i="6"/>
  <c r="G612" i="6" s="1"/>
  <c r="P317" i="11"/>
  <c r="O317" i="11"/>
  <c r="N317" i="11"/>
  <c r="K318" i="11" s="1"/>
  <c r="I410" i="7"/>
  <c r="J173" i="6"/>
  <c r="B134" i="8"/>
  <c r="C134" i="8" s="1"/>
  <c r="E134" i="8" s="1"/>
  <c r="O189" i="7"/>
  <c r="K189" i="7"/>
  <c r="B856" i="6"/>
  <c r="C856" i="6" s="1"/>
  <c r="H244" i="12"/>
  <c r="E244" i="12"/>
  <c r="N684" i="7"/>
  <c r="D1041" i="6"/>
  <c r="B1042" i="6" s="1"/>
  <c r="C1042" i="6" s="1"/>
  <c r="K135" i="7"/>
  <c r="D1514" i="6"/>
  <c r="E1037" i="6"/>
  <c r="G1037" i="6" s="1"/>
  <c r="B464" i="8"/>
  <c r="C464" i="8" s="1"/>
  <c r="E464" i="8" s="1"/>
  <c r="BJ255" i="11"/>
  <c r="BI255" i="11"/>
  <c r="BH255" i="11"/>
  <c r="BK255" i="11"/>
  <c r="BG255" i="11"/>
  <c r="BE255" i="11"/>
  <c r="BF255" i="11"/>
  <c r="U316" i="11"/>
  <c r="Y316" i="11" s="1"/>
  <c r="J354" i="8"/>
  <c r="B905" i="6"/>
  <c r="C905" i="6" s="1"/>
  <c r="C906" i="6" s="1"/>
  <c r="C907" i="6" s="1"/>
  <c r="C908" i="6" s="1"/>
  <c r="C909" i="6" s="1"/>
  <c r="C910" i="6" s="1"/>
  <c r="C911" i="6" s="1"/>
  <c r="C912" i="6" s="1"/>
  <c r="C913" i="6" s="1"/>
  <c r="C914" i="6" s="1"/>
  <c r="C915" i="6" s="1"/>
  <c r="B739" i="7"/>
  <c r="C739" i="7" s="1"/>
  <c r="E739" i="7" s="1"/>
  <c r="B409" i="7"/>
  <c r="C409" i="7" s="1"/>
  <c r="E409" i="7"/>
  <c r="D709" i="6"/>
  <c r="M189" i="8"/>
  <c r="H218" i="6"/>
  <c r="I218" i="6" s="1"/>
  <c r="H313" i="6"/>
  <c r="I313" i="6" s="1"/>
  <c r="G808" i="6"/>
  <c r="AK206" i="11"/>
  <c r="E299" i="12"/>
  <c r="H299" i="12"/>
  <c r="E758" i="6"/>
  <c r="F758" i="6" s="1"/>
  <c r="F904" i="7"/>
  <c r="D244" i="7"/>
  <c r="F244" i="7" s="1"/>
  <c r="H244" i="7"/>
  <c r="D2929" i="6"/>
  <c r="H965" i="7"/>
  <c r="G850" i="7"/>
  <c r="B795" i="7"/>
  <c r="E855" i="6"/>
  <c r="G855" i="6" s="1"/>
  <c r="D244" i="12"/>
  <c r="I190" i="8"/>
  <c r="J408" i="6"/>
  <c r="H409" i="6" s="1"/>
  <c r="I409" i="6" s="1"/>
  <c r="B739" i="8"/>
  <c r="C739" i="8" s="1"/>
  <c r="E739" i="8" s="1"/>
  <c r="E1136" i="6"/>
  <c r="G1136" i="6" s="1"/>
  <c r="F1136" i="6"/>
  <c r="H1189" i="7"/>
  <c r="E316" i="11"/>
  <c r="I316" i="11" s="1"/>
  <c r="C757" i="6"/>
  <c r="B189" i="12"/>
  <c r="C189" i="12" s="1"/>
  <c r="B1132" i="6"/>
  <c r="C1132" i="6" s="1"/>
  <c r="N904" i="8"/>
  <c r="H574" i="7"/>
  <c r="D574" i="7"/>
  <c r="F574" i="7" s="1"/>
  <c r="G1014" i="8"/>
  <c r="C795" i="7"/>
  <c r="H795" i="7" s="1"/>
  <c r="E1226" i="6"/>
  <c r="G1226" i="6" s="1"/>
  <c r="L135" i="7"/>
  <c r="F353" i="7"/>
  <c r="CS205" i="11"/>
  <c r="B809" i="6"/>
  <c r="D809" i="6" s="1"/>
  <c r="C809" i="6"/>
  <c r="K299" i="7"/>
  <c r="M299" i="7" s="1"/>
  <c r="O299" i="7"/>
  <c r="I519" i="7"/>
  <c r="J519" i="7" s="1"/>
  <c r="L519" i="7"/>
  <c r="D299" i="12"/>
  <c r="B1420" i="6"/>
  <c r="C1420" i="6" s="1"/>
  <c r="G1189" i="7"/>
  <c r="B1070" i="8"/>
  <c r="C1070" i="8" s="1"/>
  <c r="E1070" i="8" s="1"/>
  <c r="H960" i="8"/>
  <c r="E960" i="8"/>
  <c r="B135" i="12"/>
  <c r="C135" i="12" s="1"/>
  <c r="H410" i="8"/>
  <c r="D410" i="8"/>
  <c r="F410" i="8" s="1"/>
  <c r="I519" i="8"/>
  <c r="J795" i="8"/>
  <c r="J124" i="6"/>
  <c r="H125" i="6" s="1"/>
  <c r="I125" i="6" s="1"/>
  <c r="F629" i="8"/>
  <c r="I135" i="12"/>
  <c r="B618" i="6"/>
  <c r="C618" i="6" s="1"/>
  <c r="B684" i="8"/>
  <c r="C684" i="8" s="1"/>
  <c r="E1324" i="6"/>
  <c r="F1324" i="6" s="1"/>
  <c r="B300" i="8"/>
  <c r="C300" i="8" s="1"/>
  <c r="E1179" i="6"/>
  <c r="G1179" i="6" s="1"/>
  <c r="F1179" i="6"/>
  <c r="K849" i="7"/>
  <c r="M849" i="7" s="1"/>
  <c r="C472" i="6"/>
  <c r="C473" i="6" s="1"/>
  <c r="C474" i="6" s="1"/>
  <c r="C475" i="6" s="1"/>
  <c r="C476" i="6" s="1"/>
  <c r="C477" i="6" s="1"/>
  <c r="C478" i="6" s="1"/>
  <c r="C479" i="6" s="1"/>
  <c r="C480" i="6" s="1"/>
  <c r="C481" i="6" s="1"/>
  <c r="C482" i="6" s="1"/>
  <c r="C483" i="6" s="1"/>
  <c r="C484" i="6" s="1"/>
  <c r="C485" i="6" s="1"/>
  <c r="C486" i="6" s="1"/>
  <c r="C487" i="6" s="1"/>
  <c r="C488" i="6" s="1"/>
  <c r="C489" i="6" s="1"/>
  <c r="C490" i="6" s="1"/>
  <c r="C491" i="6" s="1"/>
  <c r="C492" i="6" s="1"/>
  <c r="B493" i="6" s="1"/>
  <c r="H450" i="6" s="1"/>
  <c r="J361" i="6"/>
  <c r="H362" i="6" s="1"/>
  <c r="I362" i="6" s="1"/>
  <c r="F706" i="6"/>
  <c r="F1507" i="6"/>
  <c r="G1087" i="6"/>
  <c r="E1088" i="6" s="1"/>
  <c r="F1088" i="6" s="1"/>
  <c r="F1458" i="6"/>
  <c r="H134" i="7"/>
  <c r="D134" i="7"/>
  <c r="F134" i="7" s="1"/>
  <c r="B994" i="6"/>
  <c r="C994" i="6" s="1"/>
  <c r="G244" i="7"/>
  <c r="I849" i="8"/>
  <c r="J849" i="8" s="1"/>
  <c r="M904" i="7"/>
  <c r="D244" i="8"/>
  <c r="H244" i="8"/>
  <c r="I629" i="7"/>
  <c r="J629" i="7" s="1"/>
  <c r="L629" i="7" s="1"/>
  <c r="E574" i="8"/>
  <c r="H574" i="8"/>
  <c r="J43" i="9"/>
  <c r="D44" i="9"/>
  <c r="C44" i="9"/>
  <c r="H190" i="7"/>
  <c r="D190" i="7"/>
  <c r="F190" i="7" s="1"/>
  <c r="O464" i="8"/>
  <c r="K464" i="8"/>
  <c r="M464" i="8" s="1"/>
  <c r="G630" i="7"/>
  <c r="G965" i="7"/>
  <c r="C685" i="7"/>
  <c r="L794" i="7"/>
  <c r="N794" i="7" s="1"/>
  <c r="O794" i="7"/>
  <c r="D28" i="10"/>
  <c r="C28" i="10"/>
  <c r="E28" i="10"/>
  <c r="D850" i="8"/>
  <c r="D960" i="8"/>
  <c r="K739" i="7"/>
  <c r="I135" i="8"/>
  <c r="J135" i="8" s="1"/>
  <c r="L189" i="7"/>
  <c r="E901" i="6"/>
  <c r="G901" i="6" s="1"/>
  <c r="L22" i="10"/>
  <c r="J22" i="10" s="1"/>
  <c r="B465" i="7"/>
  <c r="C465" i="7" s="1"/>
  <c r="E465" i="7" s="1"/>
  <c r="I299" i="12"/>
  <c r="M518" i="8"/>
  <c r="F990" i="6"/>
  <c r="D1371" i="6"/>
  <c r="N244" i="7"/>
  <c r="J629" i="8"/>
  <c r="K629" i="8" s="1"/>
  <c r="N739" i="8"/>
  <c r="J269" i="6"/>
  <c r="M409" i="7"/>
  <c r="I355" i="7"/>
  <c r="J355" i="7" s="1"/>
  <c r="B1087" i="6"/>
  <c r="D1087" i="6" s="1"/>
  <c r="E663" i="6"/>
  <c r="F663" i="6" s="1"/>
  <c r="M298" i="12"/>
  <c r="D299" i="7"/>
  <c r="H299" i="7"/>
  <c r="J189" i="12"/>
  <c r="E299" i="7"/>
  <c r="C666" i="6"/>
  <c r="I1015" i="8"/>
  <c r="J1015" i="8" s="1"/>
  <c r="L1015" i="8"/>
  <c r="E244" i="8"/>
  <c r="G244" i="8" s="1"/>
  <c r="D574" i="8"/>
  <c r="F574" i="8" s="1"/>
  <c r="J546" i="6"/>
  <c r="I575" i="7"/>
  <c r="J575" i="7" s="1"/>
  <c r="L575" i="7" s="1"/>
  <c r="G903" i="8"/>
  <c r="G519" i="7"/>
  <c r="B1277" i="6" l="1"/>
  <c r="C1277" i="6" s="1"/>
  <c r="D1277" i="6"/>
  <c r="M739" i="7"/>
  <c r="F244" i="12"/>
  <c r="C1227" i="6"/>
  <c r="B1228" i="6" s="1"/>
  <c r="D1228" i="6" s="1"/>
  <c r="D618" i="6"/>
  <c r="E1077" i="7"/>
  <c r="F1077" i="7"/>
  <c r="G1077" i="7" s="1"/>
  <c r="J1077" i="7"/>
  <c r="I1077" i="7"/>
  <c r="G299" i="7"/>
  <c r="V254" i="11"/>
  <c r="AG254" i="11" s="1"/>
  <c r="K1022" i="7"/>
  <c r="G960" i="8"/>
  <c r="B961" i="8" s="1"/>
  <c r="J313" i="6"/>
  <c r="F1037" i="6"/>
  <c r="D1179" i="6"/>
  <c r="C1179" i="6"/>
  <c r="M135" i="7"/>
  <c r="L684" i="8"/>
  <c r="N299" i="7"/>
  <c r="F855" i="6"/>
  <c r="B1134" i="7"/>
  <c r="C1134" i="7"/>
  <c r="D1134" i="7" s="1"/>
  <c r="C1228" i="6"/>
  <c r="K684" i="8"/>
  <c r="M684" i="8" s="1"/>
  <c r="C1087" i="6"/>
  <c r="J135" i="12"/>
  <c r="F299" i="12"/>
  <c r="D1132" i="6"/>
  <c r="M189" i="7"/>
  <c r="G410" i="8"/>
  <c r="AD205" i="11"/>
  <c r="AE205" i="11"/>
  <c r="AC205" i="11"/>
  <c r="Y205" i="11"/>
  <c r="AB205" i="11"/>
  <c r="AA205" i="11"/>
  <c r="Z205" i="11"/>
  <c r="H356" i="8"/>
  <c r="G850" i="8"/>
  <c r="B851" i="8" s="1"/>
  <c r="R19" i="9"/>
  <c r="S19" i="9"/>
  <c r="E19" i="9" s="1"/>
  <c r="F1418" i="6"/>
  <c r="G2930" i="6"/>
  <c r="E2931" i="6" s="1"/>
  <c r="N244" i="8"/>
  <c r="I245" i="8" s="1"/>
  <c r="E135" i="12"/>
  <c r="H135" i="12"/>
  <c r="D135" i="12"/>
  <c r="F135" i="12" s="1"/>
  <c r="O300" i="8"/>
  <c r="K300" i="8"/>
  <c r="L300" i="8"/>
  <c r="N300" i="8" s="1"/>
  <c r="I1023" i="7"/>
  <c r="F1023" i="7"/>
  <c r="E1023" i="7"/>
  <c r="G1023" i="7" s="1"/>
  <c r="J1023" i="7"/>
  <c r="O355" i="7"/>
  <c r="L355" i="7"/>
  <c r="K355" i="7"/>
  <c r="M355" i="7" s="1"/>
  <c r="K245" i="12"/>
  <c r="O245" i="12"/>
  <c r="L245" i="12"/>
  <c r="E190" i="8"/>
  <c r="D190" i="8"/>
  <c r="F190" i="8" s="1"/>
  <c r="H190" i="8"/>
  <c r="K575" i="8"/>
  <c r="O575" i="8"/>
  <c r="L575" i="8"/>
  <c r="B619" i="6"/>
  <c r="D619" i="6" s="1"/>
  <c r="G1070" i="8"/>
  <c r="J44" i="9"/>
  <c r="D45" i="9"/>
  <c r="C45" i="9"/>
  <c r="E856" i="6"/>
  <c r="F856" i="6" s="1"/>
  <c r="D795" i="8"/>
  <c r="F795" i="8" s="1"/>
  <c r="B520" i="7"/>
  <c r="C520" i="7" s="1"/>
  <c r="E520" i="7" s="1"/>
  <c r="D795" i="7"/>
  <c r="O519" i="7"/>
  <c r="K519" i="7"/>
  <c r="M519" i="7" s="1"/>
  <c r="D856" i="6"/>
  <c r="M22" i="10"/>
  <c r="I22" i="10" s="1"/>
  <c r="E795" i="7"/>
  <c r="B667" i="6"/>
  <c r="D667" i="6" s="1"/>
  <c r="C667" i="6"/>
  <c r="H300" i="8"/>
  <c r="D300" i="8"/>
  <c r="F300" i="8" s="1"/>
  <c r="I300" i="7"/>
  <c r="J300" i="7" s="1"/>
  <c r="K300" i="7" s="1"/>
  <c r="B300" i="7"/>
  <c r="B851" i="7"/>
  <c r="C851" i="7" s="1"/>
  <c r="E851" i="7"/>
  <c r="I502" i="6"/>
  <c r="F944" i="6"/>
  <c r="O135" i="8"/>
  <c r="K135" i="8"/>
  <c r="B245" i="7"/>
  <c r="L135" i="8"/>
  <c r="N135" i="8" s="1"/>
  <c r="L354" i="8"/>
  <c r="N354" i="8" s="1"/>
  <c r="O354" i="8"/>
  <c r="N519" i="7"/>
  <c r="G299" i="12"/>
  <c r="E1038" i="6"/>
  <c r="G1038" i="6" s="1"/>
  <c r="C630" i="8"/>
  <c r="B1015" i="8"/>
  <c r="C1015" i="8" s="1"/>
  <c r="X316" i="11"/>
  <c r="W316" i="11"/>
  <c r="V316" i="11"/>
  <c r="S317" i="11" s="1"/>
  <c r="T317" i="11" s="1"/>
  <c r="B1324" i="6"/>
  <c r="D1324" i="6" s="1"/>
  <c r="N849" i="7"/>
  <c r="G574" i="8"/>
  <c r="M465" i="7"/>
  <c r="J410" i="7"/>
  <c r="O629" i="7"/>
  <c r="K629" i="7"/>
  <c r="M629" i="7" s="1"/>
  <c r="E300" i="8"/>
  <c r="B949" i="6"/>
  <c r="D949" i="6" s="1"/>
  <c r="L189" i="12"/>
  <c r="N189" i="12" s="1"/>
  <c r="O189" i="12"/>
  <c r="F901" i="6"/>
  <c r="B1133" i="6"/>
  <c r="C1133" i="6" s="1"/>
  <c r="I740" i="8"/>
  <c r="J740" i="8" s="1"/>
  <c r="L740" i="8" s="1"/>
  <c r="H684" i="8"/>
  <c r="D684" i="8"/>
  <c r="H189" i="12"/>
  <c r="D189" i="12"/>
  <c r="E1508" i="6"/>
  <c r="G1508" i="6" s="1"/>
  <c r="F1508" i="6"/>
  <c r="E684" i="8"/>
  <c r="G684" i="8" s="1"/>
  <c r="E189" i="12"/>
  <c r="G189" i="12" s="1"/>
  <c r="B966" i="7"/>
  <c r="C966" i="7" s="1"/>
  <c r="D966" i="7" s="1"/>
  <c r="BL255" i="11"/>
  <c r="AP256" i="11" s="1"/>
  <c r="AK256" i="11"/>
  <c r="AI256" i="11"/>
  <c r="F850" i="8"/>
  <c r="CQ205" i="11"/>
  <c r="CP205" i="11"/>
  <c r="CO205" i="11"/>
  <c r="CN205" i="11"/>
  <c r="CL205" i="11"/>
  <c r="CK205" i="11"/>
  <c r="CM205" i="11"/>
  <c r="J409" i="6"/>
  <c r="G244" i="12"/>
  <c r="H795" i="8"/>
  <c r="B631" i="7"/>
  <c r="C631" i="7" s="1"/>
  <c r="E631" i="7" s="1"/>
  <c r="C354" i="7"/>
  <c r="D354" i="7" s="1"/>
  <c r="K1069" i="8"/>
  <c r="M1069" i="8" s="1"/>
  <c r="O1069" i="8"/>
  <c r="E809" i="6"/>
  <c r="F809" i="6" s="1"/>
  <c r="O629" i="8"/>
  <c r="L629" i="8"/>
  <c r="N629" i="8" s="1"/>
  <c r="I452" i="6"/>
  <c r="D905" i="6"/>
  <c r="D906" i="6" s="1"/>
  <c r="D907" i="6" s="1"/>
  <c r="D908" i="6" s="1"/>
  <c r="D909" i="6" s="1"/>
  <c r="D910" i="6" s="1"/>
  <c r="D911" i="6" s="1"/>
  <c r="D912" i="6" s="1"/>
  <c r="D913" i="6" s="1"/>
  <c r="D914" i="6" s="1"/>
  <c r="D915" i="6" s="1"/>
  <c r="B916" i="6" s="1"/>
  <c r="B245" i="8"/>
  <c r="E1272" i="6"/>
  <c r="G1272" i="6" s="1"/>
  <c r="B904" i="8"/>
  <c r="C904" i="8" s="1"/>
  <c r="E904" i="8"/>
  <c r="E1180" i="6"/>
  <c r="F1180" i="6" s="1"/>
  <c r="E1137" i="6"/>
  <c r="F1137" i="6" s="1"/>
  <c r="D994" i="6"/>
  <c r="B995" i="6" s="1"/>
  <c r="C995" i="6" s="1"/>
  <c r="O1015" i="8"/>
  <c r="K1015" i="8"/>
  <c r="M1015" i="8" s="1"/>
  <c r="H739" i="8"/>
  <c r="D739" i="8"/>
  <c r="F739" i="8" s="1"/>
  <c r="J190" i="8"/>
  <c r="D134" i="8"/>
  <c r="F134" i="8" s="1"/>
  <c r="H134" i="8"/>
  <c r="F960" i="8"/>
  <c r="J245" i="8"/>
  <c r="E991" i="6"/>
  <c r="G991" i="6" s="1"/>
  <c r="F244" i="8"/>
  <c r="G1088" i="6"/>
  <c r="E1089" i="6" s="1"/>
  <c r="F1089" i="6" s="1"/>
  <c r="O795" i="8"/>
  <c r="L795" i="8"/>
  <c r="K45" i="9"/>
  <c r="J519" i="8"/>
  <c r="K519" i="8" s="1"/>
  <c r="J905" i="7"/>
  <c r="K795" i="8"/>
  <c r="M795" i="8" s="1"/>
  <c r="O575" i="7"/>
  <c r="K575" i="7"/>
  <c r="M575" i="7" s="1"/>
  <c r="D739" i="7"/>
  <c r="F739" i="7" s="1"/>
  <c r="E707" i="6"/>
  <c r="G707" i="6" s="1"/>
  <c r="B758" i="6"/>
  <c r="D758" i="6" s="1"/>
  <c r="AJ256" i="11"/>
  <c r="F299" i="7"/>
  <c r="F28" i="10"/>
  <c r="K849" i="8"/>
  <c r="O849" i="8"/>
  <c r="N135" i="7"/>
  <c r="G574" i="7"/>
  <c r="O410" i="8"/>
  <c r="L410" i="8"/>
  <c r="H685" i="7"/>
  <c r="E685" i="7"/>
  <c r="B1088" i="6"/>
  <c r="D1088" i="6" s="1"/>
  <c r="C1088" i="6"/>
  <c r="D685" i="7"/>
  <c r="H464" i="8"/>
  <c r="D464" i="8"/>
  <c r="F464" i="8" s="1"/>
  <c r="F612" i="6"/>
  <c r="I245" i="7"/>
  <c r="J245" i="7" s="1"/>
  <c r="L245" i="7" s="1"/>
  <c r="B1190" i="7"/>
  <c r="C1190" i="7" s="1"/>
  <c r="D1190" i="7" s="1"/>
  <c r="K354" i="8"/>
  <c r="I466" i="7"/>
  <c r="B411" i="8"/>
  <c r="C411" i="8" s="1"/>
  <c r="AN206" i="11"/>
  <c r="AO206" i="11"/>
  <c r="AQ206" i="11"/>
  <c r="AW206" i="11" s="1"/>
  <c r="AR206" i="11"/>
  <c r="J218" i="6"/>
  <c r="E1459" i="6"/>
  <c r="G1459" i="6" s="1"/>
  <c r="J125" i="6"/>
  <c r="H126" i="6" s="1"/>
  <c r="I126" i="6" s="1"/>
  <c r="I905" i="8"/>
  <c r="J905" i="8" s="1"/>
  <c r="L905" i="8" s="1"/>
  <c r="D1042" i="6"/>
  <c r="B1043" i="6" s="1"/>
  <c r="C1043" i="6" s="1"/>
  <c r="D1070" i="8"/>
  <c r="F1070" i="8" s="1"/>
  <c r="H1070" i="8"/>
  <c r="D1420" i="6"/>
  <c r="B1421" i="6" s="1"/>
  <c r="C1421" i="6" s="1"/>
  <c r="B710" i="6"/>
  <c r="C710" i="6" s="1"/>
  <c r="K189" i="12"/>
  <c r="B810" i="6"/>
  <c r="C810" i="6" s="1"/>
  <c r="G758" i="6"/>
  <c r="E759" i="6" s="1"/>
  <c r="F759" i="6" s="1"/>
  <c r="N189" i="7"/>
  <c r="D810" i="6"/>
  <c r="G1374" i="6"/>
  <c r="D356" i="8"/>
  <c r="F356" i="8" s="1"/>
  <c r="H409" i="7"/>
  <c r="D409" i="7"/>
  <c r="F409" i="7" s="1"/>
  <c r="H547" i="6"/>
  <c r="I547" i="6" s="1"/>
  <c r="H739" i="7"/>
  <c r="H465" i="7"/>
  <c r="D465" i="7"/>
  <c r="F465" i="7" s="1"/>
  <c r="L849" i="8"/>
  <c r="N849" i="8" s="1"/>
  <c r="C245" i="7"/>
  <c r="E245" i="7" s="1"/>
  <c r="G134" i="7"/>
  <c r="L318" i="11"/>
  <c r="M318" i="11" s="1"/>
  <c r="Q318" i="11" s="1"/>
  <c r="K410" i="8"/>
  <c r="N739" i="7"/>
  <c r="N959" i="8"/>
  <c r="G190" i="7"/>
  <c r="M794" i="7"/>
  <c r="H174" i="6"/>
  <c r="I174" i="6" s="1"/>
  <c r="H314" i="6"/>
  <c r="I314" i="6" s="1"/>
  <c r="I685" i="7"/>
  <c r="J685" i="7" s="1"/>
  <c r="L685" i="7" s="1"/>
  <c r="E1374" i="6"/>
  <c r="F1374" i="6" s="1"/>
  <c r="J299" i="12"/>
  <c r="K299" i="12" s="1"/>
  <c r="B1180" i="6"/>
  <c r="C1180" i="6" s="1"/>
  <c r="G1324" i="6"/>
  <c r="G663" i="6"/>
  <c r="E664" i="6" s="1"/>
  <c r="F664" i="6" s="1"/>
  <c r="AM256" i="11"/>
  <c r="D1466" i="6"/>
  <c r="H270" i="6"/>
  <c r="I270" i="6" s="1"/>
  <c r="I795" i="7"/>
  <c r="J362" i="6"/>
  <c r="F1226" i="6"/>
  <c r="F316" i="11"/>
  <c r="C317" i="11" s="1"/>
  <c r="G316" i="11"/>
  <c r="H316" i="11"/>
  <c r="C905" i="7"/>
  <c r="H520" i="8"/>
  <c r="E520" i="8"/>
  <c r="G520" i="8" s="1"/>
  <c r="B1372" i="6"/>
  <c r="C1372" i="6" s="1"/>
  <c r="B1515" i="6"/>
  <c r="C1515" i="6" s="1"/>
  <c r="B2930" i="6"/>
  <c r="C2930" i="6" s="1"/>
  <c r="N464" i="8"/>
  <c r="B1229" i="6" l="1"/>
  <c r="D1229" i="6" s="1"/>
  <c r="H1077" i="7"/>
  <c r="B1078" i="7" s="1"/>
  <c r="C1078" i="7" s="1"/>
  <c r="D1078" i="7" s="1"/>
  <c r="N245" i="12"/>
  <c r="B1278" i="6"/>
  <c r="C1278" i="6" s="1"/>
  <c r="D1278" i="6"/>
  <c r="J174" i="6"/>
  <c r="H175" i="6" s="1"/>
  <c r="J175" i="6" s="1"/>
  <c r="M410" i="8"/>
  <c r="K1077" i="7"/>
  <c r="J314" i="6"/>
  <c r="H315" i="6" s="1"/>
  <c r="J315" i="6" s="1"/>
  <c r="AL256" i="11"/>
  <c r="G809" i="6"/>
  <c r="E810" i="6" s="1"/>
  <c r="G810" i="6" s="1"/>
  <c r="D1133" i="6"/>
  <c r="B1134" i="6" s="1"/>
  <c r="C1134" i="6" s="1"/>
  <c r="G2931" i="6"/>
  <c r="F2931" i="6"/>
  <c r="E2932" i="6" s="1"/>
  <c r="F2932" i="6" s="1"/>
  <c r="G739" i="7"/>
  <c r="B740" i="7" s="1"/>
  <c r="C740" i="7" s="1"/>
  <c r="E740" i="7" s="1"/>
  <c r="K46" i="9"/>
  <c r="G739" i="8"/>
  <c r="N684" i="8"/>
  <c r="I685" i="8" s="1"/>
  <c r="J685" i="8" s="1"/>
  <c r="D1515" i="6"/>
  <c r="B1516" i="6" s="1"/>
  <c r="C1516" i="6" s="1"/>
  <c r="D2930" i="6"/>
  <c r="B2931" i="6" s="1"/>
  <c r="G685" i="7"/>
  <c r="B686" i="7" s="1"/>
  <c r="G856" i="6"/>
  <c r="E857" i="6" s="1"/>
  <c r="G857" i="6" s="1"/>
  <c r="E1134" i="7"/>
  <c r="J1134" i="7"/>
  <c r="F1134" i="7"/>
  <c r="H1134" i="7" s="1"/>
  <c r="B1135" i="7" s="1"/>
  <c r="I1134" i="7"/>
  <c r="D206" i="11"/>
  <c r="F206" i="11"/>
  <c r="N575" i="8"/>
  <c r="K1023" i="7"/>
  <c r="E1419" i="6"/>
  <c r="G1419" i="6" s="1"/>
  <c r="F1419" i="6"/>
  <c r="E1420" i="6" s="1"/>
  <c r="F1420" i="6" s="1"/>
  <c r="L135" i="12"/>
  <c r="O135" i="12"/>
  <c r="G1180" i="6"/>
  <c r="G1181" i="6" s="1"/>
  <c r="C206" i="11"/>
  <c r="AF205" i="11"/>
  <c r="J206" i="11" s="1"/>
  <c r="E206" i="11"/>
  <c r="U317" i="11"/>
  <c r="Y317" i="11" s="1"/>
  <c r="X317" i="11" s="1"/>
  <c r="M629" i="8"/>
  <c r="K135" i="12"/>
  <c r="L20" i="9"/>
  <c r="F19" i="9"/>
  <c r="F795" i="7"/>
  <c r="H1023" i="7"/>
  <c r="B1024" i="7" s="1"/>
  <c r="J966" i="7"/>
  <c r="F966" i="7"/>
  <c r="E966" i="7"/>
  <c r="I966" i="7"/>
  <c r="D411" i="8"/>
  <c r="E411" i="8"/>
  <c r="G411" i="8" s="1"/>
  <c r="H411" i="8"/>
  <c r="E1181" i="6"/>
  <c r="F1181" i="6" s="1"/>
  <c r="B811" i="6"/>
  <c r="D811" i="6" s="1"/>
  <c r="D812" i="6" s="1"/>
  <c r="D813" i="6" s="1"/>
  <c r="D814" i="6" s="1"/>
  <c r="D815" i="6" s="1"/>
  <c r="D816" i="6" s="1"/>
  <c r="D817" i="6" s="1"/>
  <c r="D818" i="6" s="1"/>
  <c r="D819" i="6" s="1"/>
  <c r="D820" i="6" s="1"/>
  <c r="D821" i="6" s="1"/>
  <c r="J1190" i="7"/>
  <c r="I1190" i="7"/>
  <c r="F1190" i="7"/>
  <c r="E1190" i="7"/>
  <c r="H1190" i="7" s="1"/>
  <c r="L905" i="7"/>
  <c r="O905" i="7"/>
  <c r="F1038" i="6"/>
  <c r="J547" i="6"/>
  <c r="H548" i="6" s="1"/>
  <c r="I548" i="6" s="1"/>
  <c r="B575" i="8"/>
  <c r="C575" i="8" s="1"/>
  <c r="E575" i="8"/>
  <c r="B1071" i="8"/>
  <c r="I740" i="7"/>
  <c r="J740" i="7" s="1"/>
  <c r="N1069" i="8"/>
  <c r="I520" i="7"/>
  <c r="J520" i="7" s="1"/>
  <c r="K520" i="7" s="1"/>
  <c r="H520" i="7"/>
  <c r="D520" i="7"/>
  <c r="F520" i="7" s="1"/>
  <c r="N318" i="11"/>
  <c r="K319" i="11" s="1"/>
  <c r="O318" i="11"/>
  <c r="P318" i="11"/>
  <c r="C1324" i="6"/>
  <c r="G795" i="7"/>
  <c r="G1137" i="6"/>
  <c r="E1138" i="6" s="1"/>
  <c r="F1138" i="6" s="1"/>
  <c r="F684" i="8"/>
  <c r="D1372" i="6"/>
  <c r="B1373" i="6" s="1"/>
  <c r="C1373" i="6" s="1"/>
  <c r="H245" i="7"/>
  <c r="H503" i="6"/>
  <c r="J503" i="6" s="1"/>
  <c r="D245" i="7"/>
  <c r="F245" i="7" s="1"/>
  <c r="J270" i="6"/>
  <c r="G135" i="12"/>
  <c r="I850" i="8"/>
  <c r="G1089" i="6"/>
  <c r="O740" i="8"/>
  <c r="K740" i="8"/>
  <c r="M740" i="8" s="1"/>
  <c r="D1015" i="8"/>
  <c r="F1015" i="8" s="1"/>
  <c r="H1015" i="8"/>
  <c r="O300" i="7"/>
  <c r="E1227" i="6"/>
  <c r="G1227" i="6" s="1"/>
  <c r="F1227" i="6"/>
  <c r="G134" i="8"/>
  <c r="F520" i="8"/>
  <c r="I630" i="8"/>
  <c r="BP206" i="11"/>
  <c r="AN256" i="11"/>
  <c r="AO256" i="11"/>
  <c r="AV256" i="11" s="1"/>
  <c r="L410" i="7"/>
  <c r="O410" i="7"/>
  <c r="E1015" i="8"/>
  <c r="I576" i="8"/>
  <c r="C300" i="7"/>
  <c r="C961" i="8"/>
  <c r="D1180" i="6"/>
  <c r="B1181" i="6" s="1"/>
  <c r="C1181" i="6" s="1"/>
  <c r="I246" i="12"/>
  <c r="F1459" i="6"/>
  <c r="I136" i="7"/>
  <c r="J136" i="7" s="1"/>
  <c r="L136" i="7" s="1"/>
  <c r="D904" i="8"/>
  <c r="F904" i="8" s="1"/>
  <c r="H904" i="8"/>
  <c r="G464" i="8"/>
  <c r="M849" i="8"/>
  <c r="F1272" i="6"/>
  <c r="K410" i="7"/>
  <c r="H630" i="8"/>
  <c r="E630" i="8"/>
  <c r="J45" i="9"/>
  <c r="D46" i="9"/>
  <c r="C46" i="9"/>
  <c r="K47" i="9" s="1"/>
  <c r="C29" i="10"/>
  <c r="D29" i="10"/>
  <c r="E29" i="10"/>
  <c r="E902" i="6"/>
  <c r="G902" i="6" s="1"/>
  <c r="B521" i="8"/>
  <c r="B191" i="7"/>
  <c r="C191" i="7" s="1"/>
  <c r="E191" i="7"/>
  <c r="B190" i="12"/>
  <c r="E945" i="6"/>
  <c r="G945" i="6" s="1"/>
  <c r="I960" i="8"/>
  <c r="J960" i="8" s="1"/>
  <c r="I190" i="12"/>
  <c r="G190" i="8"/>
  <c r="AZ206" i="11"/>
  <c r="E1509" i="6"/>
  <c r="F1509" i="6" s="1"/>
  <c r="I850" i="7"/>
  <c r="J850" i="7" s="1"/>
  <c r="L850" i="7" s="1"/>
  <c r="B668" i="6"/>
  <c r="C668" i="6" s="1"/>
  <c r="E905" i="7"/>
  <c r="H905" i="7"/>
  <c r="C1071" i="8"/>
  <c r="D1071" i="8" s="1"/>
  <c r="AU206" i="11"/>
  <c r="AY206" i="11" s="1"/>
  <c r="BD206" i="11" s="1"/>
  <c r="AS206" i="11"/>
  <c r="AX206" i="11" s="1"/>
  <c r="AV206" i="11"/>
  <c r="AT206" i="11"/>
  <c r="E354" i="7"/>
  <c r="G354" i="7" s="1"/>
  <c r="H354" i="7"/>
  <c r="C949" i="6"/>
  <c r="M300" i="8"/>
  <c r="D905" i="7"/>
  <c r="D1043" i="6"/>
  <c r="D995" i="6"/>
  <c r="D710" i="6"/>
  <c r="B711" i="6" s="1"/>
  <c r="C711" i="6" s="1"/>
  <c r="E1325" i="6"/>
  <c r="F1325" i="6" s="1"/>
  <c r="K905" i="8"/>
  <c r="M905" i="8" s="1"/>
  <c r="O905" i="8"/>
  <c r="C758" i="6"/>
  <c r="N795" i="8"/>
  <c r="I136" i="8"/>
  <c r="I190" i="7"/>
  <c r="J190" i="7" s="1"/>
  <c r="B575" i="7"/>
  <c r="C575" i="7" s="1"/>
  <c r="E575" i="7"/>
  <c r="G356" i="8"/>
  <c r="G664" i="6"/>
  <c r="O190" i="8"/>
  <c r="L190" i="8"/>
  <c r="B245" i="12"/>
  <c r="C245" i="12" s="1"/>
  <c r="E245" i="12"/>
  <c r="M245" i="12"/>
  <c r="D317" i="11"/>
  <c r="E317" i="11" s="1"/>
  <c r="I317" i="11" s="1"/>
  <c r="G759" i="6"/>
  <c r="K190" i="8"/>
  <c r="I465" i="8"/>
  <c r="J465" i="8" s="1"/>
  <c r="M354" i="8"/>
  <c r="G409" i="7"/>
  <c r="F991" i="6"/>
  <c r="H219" i="6"/>
  <c r="I219" i="6" s="1"/>
  <c r="BO206" i="11"/>
  <c r="CR205" i="11"/>
  <c r="BV206" i="11" s="1"/>
  <c r="J466" i="7"/>
  <c r="K466" i="7" s="1"/>
  <c r="D630" i="8"/>
  <c r="L300" i="7"/>
  <c r="N300" i="7" s="1"/>
  <c r="N1015" i="8"/>
  <c r="M575" i="8"/>
  <c r="N575" i="7"/>
  <c r="G795" i="8"/>
  <c r="J795" i="7"/>
  <c r="O245" i="8"/>
  <c r="L245" i="8"/>
  <c r="D1421" i="6"/>
  <c r="B1422" i="6" s="1"/>
  <c r="C1422" i="6" s="1"/>
  <c r="K245" i="8"/>
  <c r="O245" i="7"/>
  <c r="K245" i="7"/>
  <c r="M245" i="7" s="1"/>
  <c r="K905" i="7"/>
  <c r="B685" i="8"/>
  <c r="B300" i="12"/>
  <c r="C300" i="12" s="1"/>
  <c r="E300" i="12" s="1"/>
  <c r="E613" i="6"/>
  <c r="G613" i="6" s="1"/>
  <c r="O519" i="8"/>
  <c r="L519" i="8"/>
  <c r="N519" i="8" s="1"/>
  <c r="H363" i="6"/>
  <c r="I363" i="6" s="1"/>
  <c r="I301" i="8"/>
  <c r="J452" i="6"/>
  <c r="C619" i="6"/>
  <c r="H271" i="6"/>
  <c r="I271" i="6" s="1"/>
  <c r="F189" i="12"/>
  <c r="N905" i="8"/>
  <c r="N410" i="8"/>
  <c r="H631" i="7"/>
  <c r="D631" i="7"/>
  <c r="F631" i="7" s="1"/>
  <c r="G300" i="8"/>
  <c r="O299" i="12"/>
  <c r="L299" i="12"/>
  <c r="N299" i="12" s="1"/>
  <c r="B135" i="7"/>
  <c r="C135" i="7" s="1"/>
  <c r="C851" i="8"/>
  <c r="D851" i="8" s="1"/>
  <c r="I355" i="8"/>
  <c r="N22" i="10"/>
  <c r="H22" i="10" s="1"/>
  <c r="K22" i="10" s="1"/>
  <c r="N355" i="7"/>
  <c r="J126" i="6"/>
  <c r="D857" i="6"/>
  <c r="B740" i="8"/>
  <c r="C740" i="8" s="1"/>
  <c r="E1375" i="6"/>
  <c r="G1375" i="6" s="1"/>
  <c r="F685" i="7"/>
  <c r="AC254" i="11"/>
  <c r="AB254" i="11"/>
  <c r="AA254" i="11"/>
  <c r="AE254" i="11"/>
  <c r="AD254" i="11"/>
  <c r="Z254" i="11"/>
  <c r="Y254" i="11"/>
  <c r="B1089" i="6"/>
  <c r="D1089" i="6" s="1"/>
  <c r="F707" i="6"/>
  <c r="D851" i="7"/>
  <c r="F851" i="7" s="1"/>
  <c r="H851" i="7"/>
  <c r="C245" i="8"/>
  <c r="H410" i="6"/>
  <c r="I410" i="6" s="1"/>
  <c r="K685" i="7"/>
  <c r="M685" i="7" s="1"/>
  <c r="O685" i="7"/>
  <c r="M189" i="12"/>
  <c r="N629" i="7"/>
  <c r="M135" i="8"/>
  <c r="B1467" i="6"/>
  <c r="C1467" i="6" s="1"/>
  <c r="B857" i="6"/>
  <c r="C857" i="6" s="1"/>
  <c r="G465" i="7"/>
  <c r="D1134" i="6" l="1"/>
  <c r="K966" i="7"/>
  <c r="J363" i="6"/>
  <c r="M905" i="7"/>
  <c r="M410" i="7"/>
  <c r="J219" i="6"/>
  <c r="G206" i="11"/>
  <c r="E1078" i="7"/>
  <c r="J1078" i="7"/>
  <c r="I1078" i="7"/>
  <c r="F1078" i="7"/>
  <c r="K1078" i="7" s="1"/>
  <c r="G1078" i="7"/>
  <c r="K1134" i="7"/>
  <c r="G1134" i="7"/>
  <c r="C1135" i="7" s="1"/>
  <c r="D1135" i="7" s="1"/>
  <c r="N135" i="12"/>
  <c r="I136" i="12" s="1"/>
  <c r="B1279" i="6"/>
  <c r="D1279" i="6" s="1"/>
  <c r="C1279" i="6"/>
  <c r="M20" i="9"/>
  <c r="P20" i="9" s="1"/>
  <c r="C1229" i="6"/>
  <c r="B1230" i="6" s="1"/>
  <c r="C1230" i="6" s="1"/>
  <c r="C2931" i="6"/>
  <c r="D2931" i="6"/>
  <c r="B2932" i="6" s="1"/>
  <c r="C2932" i="6" s="1"/>
  <c r="N20" i="9"/>
  <c r="Q20" i="9" s="1"/>
  <c r="G20" i="9" s="1"/>
  <c r="D1230" i="6"/>
  <c r="B1231" i="6" s="1"/>
  <c r="C1231" i="6" s="1"/>
  <c r="V317" i="11"/>
  <c r="S318" i="11" s="1"/>
  <c r="J630" i="8"/>
  <c r="L630" i="8" s="1"/>
  <c r="W317" i="11"/>
  <c r="F1071" i="8"/>
  <c r="F29" i="10"/>
  <c r="E30" i="10" s="1"/>
  <c r="D668" i="6"/>
  <c r="C1024" i="7"/>
  <c r="D1024" i="7" s="1"/>
  <c r="M190" i="8"/>
  <c r="G966" i="7"/>
  <c r="O20" i="9"/>
  <c r="D1516" i="6"/>
  <c r="G1325" i="6"/>
  <c r="E1326" i="6" s="1"/>
  <c r="F1326" i="6" s="1"/>
  <c r="H19" i="9"/>
  <c r="I19" i="9" s="1"/>
  <c r="M135" i="12"/>
  <c r="H1071" i="8"/>
  <c r="F945" i="6"/>
  <c r="E946" i="6" s="1"/>
  <c r="F946" i="6" s="1"/>
  <c r="C811" i="6"/>
  <c r="C812" i="6" s="1"/>
  <c r="C813" i="6" s="1"/>
  <c r="C814" i="6" s="1"/>
  <c r="C815" i="6" s="1"/>
  <c r="C816" i="6" s="1"/>
  <c r="C817" i="6" s="1"/>
  <c r="C818" i="6" s="1"/>
  <c r="C819" i="6" s="1"/>
  <c r="C820" i="6" s="1"/>
  <c r="C821" i="6" s="1"/>
  <c r="B822" i="6" s="1"/>
  <c r="G1420" i="6"/>
  <c r="E1421" i="6" s="1"/>
  <c r="F1421" i="6" s="1"/>
  <c r="F905" i="7"/>
  <c r="N245" i="8"/>
  <c r="E1071" i="8"/>
  <c r="H206" i="11"/>
  <c r="G630" i="8"/>
  <c r="BS206" i="11"/>
  <c r="K1190" i="7"/>
  <c r="D740" i="8"/>
  <c r="E740" i="8"/>
  <c r="G740" i="8" s="1"/>
  <c r="H740" i="8"/>
  <c r="E1182" i="6"/>
  <c r="F1182" i="6" s="1"/>
  <c r="H549" i="6"/>
  <c r="I549" i="6" s="1"/>
  <c r="B669" i="6"/>
  <c r="C669" i="6" s="1"/>
  <c r="B1191" i="7"/>
  <c r="B1135" i="6"/>
  <c r="C1135" i="6" s="1"/>
  <c r="J190" i="12"/>
  <c r="I300" i="12"/>
  <c r="B412" i="8"/>
  <c r="F613" i="6"/>
  <c r="C1089" i="6"/>
  <c r="K465" i="8"/>
  <c r="O465" i="8"/>
  <c r="E1460" i="6"/>
  <c r="G1460" i="6" s="1"/>
  <c r="G1071" i="8"/>
  <c r="F1375" i="6"/>
  <c r="B620" i="6"/>
  <c r="D620" i="6" s="1"/>
  <c r="I246" i="8"/>
  <c r="AQ256" i="11"/>
  <c r="AW256" i="11" s="1"/>
  <c r="L465" i="8"/>
  <c r="E300" i="7"/>
  <c r="H300" i="7"/>
  <c r="E1228" i="6"/>
  <c r="F1228" i="6" s="1"/>
  <c r="F411" i="8"/>
  <c r="O190" i="7"/>
  <c r="K190" i="7"/>
  <c r="BA206" i="11"/>
  <c r="BC206" i="11"/>
  <c r="BB206" i="11" s="1"/>
  <c r="BR206" i="11"/>
  <c r="G1509" i="6"/>
  <c r="L190" i="7"/>
  <c r="H575" i="8"/>
  <c r="D575" i="8"/>
  <c r="F575" i="8" s="1"/>
  <c r="B796" i="7"/>
  <c r="C796" i="7" s="1"/>
  <c r="B1325" i="6"/>
  <c r="D1325" i="6" s="1"/>
  <c r="G1190" i="7"/>
  <c r="I576" i="7"/>
  <c r="J576" i="7" s="1"/>
  <c r="B465" i="8"/>
  <c r="C465" i="8" s="1"/>
  <c r="G631" i="7"/>
  <c r="I356" i="7"/>
  <c r="J356" i="7" s="1"/>
  <c r="L356" i="7" s="1"/>
  <c r="F810" i="6"/>
  <c r="J548" i="6"/>
  <c r="J246" i="12"/>
  <c r="L319" i="11"/>
  <c r="M319" i="11" s="1"/>
  <c r="Q319" i="11" s="1"/>
  <c r="E708" i="6"/>
  <c r="G708" i="6" s="1"/>
  <c r="D575" i="7"/>
  <c r="F575" i="7" s="1"/>
  <c r="H575" i="7"/>
  <c r="E1273" i="6"/>
  <c r="G1273" i="6" s="1"/>
  <c r="J410" i="6"/>
  <c r="H411" i="6" s="1"/>
  <c r="I411" i="6" s="1"/>
  <c r="D300" i="7"/>
  <c r="F857" i="6"/>
  <c r="I175" i="6"/>
  <c r="I503" i="6"/>
  <c r="D300" i="12"/>
  <c r="F300" i="12" s="1"/>
  <c r="H300" i="12"/>
  <c r="D711" i="6"/>
  <c r="B712" i="6" s="1"/>
  <c r="C712" i="6" s="1"/>
  <c r="B1374" i="6"/>
  <c r="C1374" i="6" s="1"/>
  <c r="G245" i="7"/>
  <c r="B301" i="8"/>
  <c r="C301" i="8" s="1"/>
  <c r="B796" i="8"/>
  <c r="C796" i="8" s="1"/>
  <c r="E796" i="8" s="1"/>
  <c r="D740" i="7"/>
  <c r="F740" i="7" s="1"/>
  <c r="L685" i="8"/>
  <c r="O685" i="8"/>
  <c r="C255" i="11"/>
  <c r="AF254" i="11"/>
  <c r="J255" i="11" s="1"/>
  <c r="H317" i="11"/>
  <c r="G317" i="11"/>
  <c r="F317" i="11"/>
  <c r="C318" i="11" s="1"/>
  <c r="D318" i="11" s="1"/>
  <c r="AS256" i="11"/>
  <c r="AX256" i="11" s="1"/>
  <c r="AT256" i="11"/>
  <c r="B466" i="7"/>
  <c r="C466" i="7" s="1"/>
  <c r="E466" i="7" s="1"/>
  <c r="I411" i="8"/>
  <c r="J411" i="8" s="1"/>
  <c r="L411" i="8" s="1"/>
  <c r="J576" i="8"/>
  <c r="K576" i="8" s="1"/>
  <c r="B759" i="6"/>
  <c r="D759" i="6" s="1"/>
  <c r="E1039" i="6"/>
  <c r="G1039" i="6" s="1"/>
  <c r="I315" i="6"/>
  <c r="AU256" i="11"/>
  <c r="AY256" i="11" s="1"/>
  <c r="BD256" i="11" s="1"/>
  <c r="E992" i="6"/>
  <c r="G992" i="6" s="1"/>
  <c r="F992" i="6"/>
  <c r="D1181" i="6"/>
  <c r="H453" i="6"/>
  <c r="I453" i="6" s="1"/>
  <c r="G2932" i="6"/>
  <c r="E2933" i="6" s="1"/>
  <c r="F2933" i="6" s="1"/>
  <c r="F2934" i="6" s="1"/>
  <c r="F2935" i="6" s="1"/>
  <c r="F2936" i="6" s="1"/>
  <c r="F2937" i="6" s="1"/>
  <c r="F2938" i="6" s="1"/>
  <c r="F2939" i="6" s="1"/>
  <c r="F2940" i="6" s="1"/>
  <c r="F2941" i="6" s="1"/>
  <c r="F2942" i="6" s="1"/>
  <c r="F2943" i="6" s="1"/>
  <c r="H966" i="7"/>
  <c r="L795" i="7"/>
  <c r="O795" i="7"/>
  <c r="BQ206" i="11"/>
  <c r="K795" i="7"/>
  <c r="J850" i="8"/>
  <c r="H191" i="7"/>
  <c r="D191" i="7"/>
  <c r="F191" i="7" s="1"/>
  <c r="H740" i="7"/>
  <c r="K685" i="8"/>
  <c r="M685" i="8" s="1"/>
  <c r="I796" i="8"/>
  <c r="J796" i="8" s="1"/>
  <c r="L796" i="8" s="1"/>
  <c r="B191" i="8"/>
  <c r="C191" i="8" s="1"/>
  <c r="E191" i="8" s="1"/>
  <c r="J46" i="9"/>
  <c r="D47" i="9"/>
  <c r="C47" i="9"/>
  <c r="K48" i="9" s="1"/>
  <c r="B996" i="6"/>
  <c r="C996" i="6" s="1"/>
  <c r="L23" i="10"/>
  <c r="J23" i="10"/>
  <c r="H220" i="6"/>
  <c r="I220" i="6" s="1"/>
  <c r="I906" i="8"/>
  <c r="J906" i="8" s="1"/>
  <c r="O520" i="7"/>
  <c r="B858" i="6"/>
  <c r="D858" i="6" s="1"/>
  <c r="D859" i="6" s="1"/>
  <c r="D860" i="6" s="1"/>
  <c r="D861" i="6" s="1"/>
  <c r="D862" i="6" s="1"/>
  <c r="D863" i="6" s="1"/>
  <c r="D864" i="6" s="1"/>
  <c r="D865" i="6" s="1"/>
  <c r="D866" i="6" s="1"/>
  <c r="D867" i="6" s="1"/>
  <c r="D868" i="6" s="1"/>
  <c r="C858" i="6"/>
  <c r="C859" i="6" s="1"/>
  <c r="C860" i="6" s="1"/>
  <c r="C861" i="6" s="1"/>
  <c r="C862" i="6" s="1"/>
  <c r="C863" i="6" s="1"/>
  <c r="C864" i="6" s="1"/>
  <c r="C865" i="6" s="1"/>
  <c r="C866" i="6" s="1"/>
  <c r="C867" i="6" s="1"/>
  <c r="C868" i="6" s="1"/>
  <c r="N190" i="8"/>
  <c r="F902" i="6"/>
  <c r="G905" i="7"/>
  <c r="H961" i="8"/>
  <c r="E961" i="8"/>
  <c r="B136" i="12"/>
  <c r="C136" i="12" s="1"/>
  <c r="E136" i="12" s="1"/>
  <c r="I1070" i="8"/>
  <c r="J1070" i="8" s="1"/>
  <c r="L1070" i="8" s="1"/>
  <c r="B1044" i="6"/>
  <c r="C1044" i="6" s="1"/>
  <c r="N685" i="7"/>
  <c r="C190" i="12"/>
  <c r="D190" i="12" s="1"/>
  <c r="H364" i="6"/>
  <c r="I364" i="6" s="1"/>
  <c r="M245" i="8"/>
  <c r="I301" i="7"/>
  <c r="B950" i="6"/>
  <c r="D950" i="6" s="1"/>
  <c r="O960" i="8"/>
  <c r="K960" i="8"/>
  <c r="G904" i="8"/>
  <c r="D961" i="8"/>
  <c r="G851" i="7"/>
  <c r="G520" i="7"/>
  <c r="K740" i="7"/>
  <c r="O740" i="7"/>
  <c r="E665" i="6"/>
  <c r="F665" i="6" s="1"/>
  <c r="H245" i="12"/>
  <c r="D245" i="12"/>
  <c r="F245" i="12" s="1"/>
  <c r="D1373" i="6"/>
  <c r="H127" i="6"/>
  <c r="I127" i="6" s="1"/>
  <c r="H851" i="8"/>
  <c r="E851" i="8"/>
  <c r="G851" i="8" s="1"/>
  <c r="J355" i="8"/>
  <c r="K355" i="8" s="1"/>
  <c r="B631" i="8"/>
  <c r="C685" i="8"/>
  <c r="D685" i="8" s="1"/>
  <c r="D255" i="11"/>
  <c r="I1016" i="8"/>
  <c r="J1016" i="8" s="1"/>
  <c r="L1016" i="8" s="1"/>
  <c r="G1015" i="8"/>
  <c r="G255" i="11"/>
  <c r="H135" i="7"/>
  <c r="D135" i="7"/>
  <c r="F135" i="7" s="1"/>
  <c r="I520" i="8"/>
  <c r="N245" i="7"/>
  <c r="F630" i="8"/>
  <c r="B357" i="8"/>
  <c r="C357" i="8" s="1"/>
  <c r="E357" i="8"/>
  <c r="D1135" i="6"/>
  <c r="L960" i="8"/>
  <c r="N410" i="7"/>
  <c r="C521" i="8"/>
  <c r="J271" i="6"/>
  <c r="D1467" i="6"/>
  <c r="L520" i="7"/>
  <c r="N520" i="7" s="1"/>
  <c r="L740" i="7"/>
  <c r="M299" i="12"/>
  <c r="M519" i="8"/>
  <c r="F354" i="7"/>
  <c r="B410" i="7"/>
  <c r="C410" i="7" s="1"/>
  <c r="E410" i="7" s="1"/>
  <c r="E760" i="6"/>
  <c r="F760" i="6" s="1"/>
  <c r="H245" i="8"/>
  <c r="E245" i="8"/>
  <c r="J301" i="8"/>
  <c r="K301" i="8" s="1"/>
  <c r="N905" i="7"/>
  <c r="E1090" i="6"/>
  <c r="F1090" i="6" s="1"/>
  <c r="D245" i="8"/>
  <c r="F245" i="8" s="1"/>
  <c r="J136" i="8"/>
  <c r="I630" i="7"/>
  <c r="J630" i="7" s="1"/>
  <c r="L630" i="7" s="1"/>
  <c r="C686" i="7"/>
  <c r="E135" i="7"/>
  <c r="D1422" i="6"/>
  <c r="B1423" i="6" s="1"/>
  <c r="C1423" i="6" s="1"/>
  <c r="O466" i="7"/>
  <c r="L466" i="7"/>
  <c r="N466" i="7" s="1"/>
  <c r="N740" i="8"/>
  <c r="B355" i="7"/>
  <c r="O850" i="7"/>
  <c r="K850" i="7"/>
  <c r="M850" i="7" s="1"/>
  <c r="C30" i="10"/>
  <c r="D30" i="10"/>
  <c r="O136" i="7"/>
  <c r="K136" i="7"/>
  <c r="M136" i="7" s="1"/>
  <c r="AR256" i="11"/>
  <c r="B135" i="8"/>
  <c r="C135" i="8" s="1"/>
  <c r="G1138" i="6"/>
  <c r="E1139" i="6" s="1"/>
  <c r="F1139" i="6" s="1"/>
  <c r="M300" i="7"/>
  <c r="G575" i="8" l="1"/>
  <c r="G1228" i="6"/>
  <c r="I206" i="11"/>
  <c r="N206" i="11" s="1"/>
  <c r="N740" i="7"/>
  <c r="B1280" i="6"/>
  <c r="C1280" i="6" s="1"/>
  <c r="G740" i="7"/>
  <c r="H1078" i="7"/>
  <c r="J364" i="6"/>
  <c r="G1182" i="6"/>
  <c r="E1183" i="6" s="1"/>
  <c r="F1183" i="6" s="1"/>
  <c r="C1325" i="6"/>
  <c r="F1273" i="6"/>
  <c r="E1274" i="6" s="1"/>
  <c r="G1274" i="6" s="1"/>
  <c r="B1517" i="6"/>
  <c r="C1517" i="6" s="1"/>
  <c r="I1024" i="7"/>
  <c r="J1024" i="7"/>
  <c r="F1024" i="7"/>
  <c r="E1024" i="7"/>
  <c r="G1024" i="7" s="1"/>
  <c r="M190" i="7"/>
  <c r="J136" i="12"/>
  <c r="K136" i="12" s="1"/>
  <c r="S20" i="9"/>
  <c r="F20" i="9" s="1"/>
  <c r="E20" i="9"/>
  <c r="R20" i="9"/>
  <c r="G191" i="7"/>
  <c r="B192" i="7" s="1"/>
  <c r="C192" i="7" s="1"/>
  <c r="D996" i="6"/>
  <c r="D2932" i="6"/>
  <c r="O630" i="8"/>
  <c r="J127" i="6"/>
  <c r="G300" i="7"/>
  <c r="M466" i="7"/>
  <c r="K630" i="8"/>
  <c r="M630" i="8" s="1"/>
  <c r="M960" i="8"/>
  <c r="G760" i="6"/>
  <c r="E761" i="6" s="1"/>
  <c r="I1135" i="7"/>
  <c r="E1135" i="7"/>
  <c r="F1135" i="7"/>
  <c r="K1135" i="7" s="1"/>
  <c r="J1135" i="7"/>
  <c r="G1135" i="7"/>
  <c r="H1135" i="7"/>
  <c r="B1136" i="7" s="1"/>
  <c r="C1136" i="7"/>
  <c r="D1136" i="7" s="1"/>
  <c r="D1231" i="6"/>
  <c r="B1232" i="6" s="1"/>
  <c r="G946" i="6"/>
  <c r="E947" i="6" s="1"/>
  <c r="F947" i="6" s="1"/>
  <c r="G1421" i="6"/>
  <c r="E1422" i="6" s="1"/>
  <c r="F1422" i="6" s="1"/>
  <c r="M795" i="7"/>
  <c r="J220" i="6"/>
  <c r="N465" i="8"/>
  <c r="F851" i="8"/>
  <c r="L206" i="11"/>
  <c r="K206" i="11"/>
  <c r="Q206" i="11" s="1"/>
  <c r="M206" i="11"/>
  <c r="R206" i="11" s="1"/>
  <c r="U206" i="11" s="1"/>
  <c r="O206" i="11"/>
  <c r="S206" i="11" s="1"/>
  <c r="P206" i="11"/>
  <c r="T318" i="11"/>
  <c r="U318" i="11"/>
  <c r="Y318" i="11" s="1"/>
  <c r="X318" i="11" s="1"/>
  <c r="G961" i="8"/>
  <c r="B962" i="8" s="1"/>
  <c r="B2933" i="6"/>
  <c r="C2933" i="6" s="1"/>
  <c r="C2934" i="6" s="1"/>
  <c r="C2935" i="6" s="1"/>
  <c r="C2936" i="6" s="1"/>
  <c r="C2937" i="6" s="1"/>
  <c r="C2938" i="6" s="1"/>
  <c r="C2939" i="6" s="1"/>
  <c r="C2940" i="6" s="1"/>
  <c r="C2941" i="6" s="1"/>
  <c r="C2942" i="6" s="1"/>
  <c r="C2943" i="6" s="1"/>
  <c r="H365" i="6"/>
  <c r="J365" i="6" s="1"/>
  <c r="N1070" i="8"/>
  <c r="O906" i="8"/>
  <c r="K906" i="8"/>
  <c r="L906" i="8"/>
  <c r="H221" i="6"/>
  <c r="I221" i="6" s="1"/>
  <c r="B1136" i="6"/>
  <c r="D1136" i="6" s="1"/>
  <c r="C1136" i="6"/>
  <c r="J300" i="12"/>
  <c r="B741" i="7"/>
  <c r="C741" i="7" s="1"/>
  <c r="H741" i="7" s="1"/>
  <c r="P319" i="11"/>
  <c r="O319" i="11"/>
  <c r="N319" i="11"/>
  <c r="K320" i="11" s="1"/>
  <c r="I906" i="7"/>
  <c r="J906" i="7" s="1"/>
  <c r="L906" i="7" s="1"/>
  <c r="AZ256" i="11"/>
  <c r="E993" i="6"/>
  <c r="G993" i="6" s="1"/>
  <c r="F30" i="10"/>
  <c r="H521" i="8"/>
  <c r="E521" i="8"/>
  <c r="B1016" i="8"/>
  <c r="C1016" i="8" s="1"/>
  <c r="E1016" i="8"/>
  <c r="G245" i="8"/>
  <c r="I411" i="7"/>
  <c r="J411" i="7" s="1"/>
  <c r="L411" i="7"/>
  <c r="B906" i="7"/>
  <c r="C906" i="7" s="1"/>
  <c r="E906" i="7"/>
  <c r="N960" i="8"/>
  <c r="M740" i="7"/>
  <c r="J453" i="6"/>
  <c r="H454" i="6" s="1"/>
  <c r="I454" i="6" s="1"/>
  <c r="K630" i="7"/>
  <c r="M630" i="7" s="1"/>
  <c r="O630" i="7"/>
  <c r="J246" i="8"/>
  <c r="K246" i="8" s="1"/>
  <c r="M520" i="7"/>
  <c r="O1016" i="8"/>
  <c r="K1016" i="8"/>
  <c r="M1016" i="8" s="1"/>
  <c r="F1039" i="6"/>
  <c r="B869" i="6"/>
  <c r="H504" i="6"/>
  <c r="J504" i="6" s="1"/>
  <c r="B741" i="8"/>
  <c r="I741" i="8"/>
  <c r="J741" i="8" s="1"/>
  <c r="L741" i="8"/>
  <c r="F961" i="8"/>
  <c r="B997" i="6"/>
  <c r="D997" i="6" s="1"/>
  <c r="C997" i="6"/>
  <c r="C759" i="6"/>
  <c r="G1326" i="6"/>
  <c r="F1460" i="6"/>
  <c r="F740" i="8"/>
  <c r="G1139" i="6"/>
  <c r="E1140" i="6" s="1"/>
  <c r="F1140" i="6" s="1"/>
  <c r="C355" i="7"/>
  <c r="C631" i="8"/>
  <c r="B905" i="8"/>
  <c r="C905" i="8" s="1"/>
  <c r="N795" i="7"/>
  <c r="O576" i="8"/>
  <c r="L576" i="8"/>
  <c r="N576" i="8" s="1"/>
  <c r="BM206" i="11"/>
  <c r="G575" i="7"/>
  <c r="N850" i="7"/>
  <c r="B301" i="7"/>
  <c r="I741" i="7"/>
  <c r="G1090" i="6"/>
  <c r="E1091" i="6" s="1"/>
  <c r="F1091" i="6" s="1"/>
  <c r="K576" i="7"/>
  <c r="O576" i="7"/>
  <c r="B1090" i="6"/>
  <c r="D1090" i="6" s="1"/>
  <c r="C1090" i="6"/>
  <c r="D191" i="8"/>
  <c r="F191" i="8" s="1"/>
  <c r="H191" i="8"/>
  <c r="K356" i="7"/>
  <c r="M356" i="7" s="1"/>
  <c r="O356" i="7"/>
  <c r="C950" i="6"/>
  <c r="O850" i="8"/>
  <c r="L850" i="8"/>
  <c r="D1044" i="6"/>
  <c r="B1045" i="6" s="1"/>
  <c r="C1045" i="6" s="1"/>
  <c r="H686" i="7"/>
  <c r="E686" i="7"/>
  <c r="D136" i="12"/>
  <c r="F136" i="12" s="1"/>
  <c r="H136" i="12"/>
  <c r="D712" i="6"/>
  <c r="F300" i="7"/>
  <c r="B632" i="7"/>
  <c r="C632" i="7" s="1"/>
  <c r="E632" i="7"/>
  <c r="E614" i="6"/>
  <c r="G614" i="6" s="1"/>
  <c r="B1182" i="6"/>
  <c r="C1182" i="6" s="1"/>
  <c r="D686" i="7"/>
  <c r="L301" i="8"/>
  <c r="N301" i="8" s="1"/>
  <c r="O301" i="8"/>
  <c r="J411" i="6"/>
  <c r="H412" i="6" s="1"/>
  <c r="I412" i="6" s="1"/>
  <c r="B1326" i="6"/>
  <c r="C1326" i="6" s="1"/>
  <c r="D521" i="8"/>
  <c r="G665" i="6"/>
  <c r="E666" i="6" s="1"/>
  <c r="F666" i="6" s="1"/>
  <c r="D1326" i="6"/>
  <c r="C620" i="6"/>
  <c r="H316" i="6"/>
  <c r="J316" i="6" s="1"/>
  <c r="B521" i="7"/>
  <c r="C521" i="7" s="1"/>
  <c r="E521" i="7"/>
  <c r="E903" i="6"/>
  <c r="G903" i="6" s="1"/>
  <c r="N685" i="8"/>
  <c r="H796" i="7"/>
  <c r="D796" i="7"/>
  <c r="B852" i="7"/>
  <c r="C852" i="7" s="1"/>
  <c r="M23" i="10"/>
  <c r="I23" i="10" s="1"/>
  <c r="D410" i="7"/>
  <c r="F410" i="7" s="1"/>
  <c r="H410" i="7"/>
  <c r="BT206" i="11"/>
  <c r="BU206" i="11" s="1"/>
  <c r="H357" i="8"/>
  <c r="D357" i="8"/>
  <c r="F357" i="8" s="1"/>
  <c r="H796" i="8"/>
  <c r="D796" i="8"/>
  <c r="F796" i="8" s="1"/>
  <c r="C412" i="8"/>
  <c r="D669" i="6"/>
  <c r="J520" i="8"/>
  <c r="I246" i="7"/>
  <c r="J246" i="7" s="1"/>
  <c r="L246" i="7"/>
  <c r="B1468" i="6"/>
  <c r="C1468" i="6" s="1"/>
  <c r="B967" i="7"/>
  <c r="C967" i="7"/>
  <c r="D967" i="7" s="1"/>
  <c r="D301" i="8"/>
  <c r="H301" i="8"/>
  <c r="G300" i="12"/>
  <c r="J549" i="6"/>
  <c r="H550" i="6" s="1"/>
  <c r="I550" i="6" s="1"/>
  <c r="H465" i="8"/>
  <c r="D465" i="8"/>
  <c r="E1229" i="6"/>
  <c r="G1229" i="6" s="1"/>
  <c r="L190" i="12"/>
  <c r="O190" i="12"/>
  <c r="C1191" i="7"/>
  <c r="D1191" i="7" s="1"/>
  <c r="E685" i="8"/>
  <c r="G685" i="8" s="1"/>
  <c r="H685" i="8"/>
  <c r="B246" i="7"/>
  <c r="C246" i="7" s="1"/>
  <c r="E246" i="7" s="1"/>
  <c r="E858" i="6"/>
  <c r="G858" i="6" s="1"/>
  <c r="G859" i="6" s="1"/>
  <c r="G860" i="6" s="1"/>
  <c r="G861" i="6" s="1"/>
  <c r="G862" i="6" s="1"/>
  <c r="G863" i="6" s="1"/>
  <c r="G864" i="6" s="1"/>
  <c r="G865" i="6" s="1"/>
  <c r="G866" i="6" s="1"/>
  <c r="G867" i="6" s="1"/>
  <c r="G868" i="6" s="1"/>
  <c r="F858" i="6"/>
  <c r="F859" i="6" s="1"/>
  <c r="F860" i="6" s="1"/>
  <c r="F861" i="6" s="1"/>
  <c r="F862" i="6" s="1"/>
  <c r="F863" i="6" s="1"/>
  <c r="F864" i="6" s="1"/>
  <c r="F865" i="6" s="1"/>
  <c r="F866" i="6" s="1"/>
  <c r="F867" i="6" s="1"/>
  <c r="F868" i="6" s="1"/>
  <c r="E869" i="6" s="1"/>
  <c r="D1423" i="6"/>
  <c r="K1070" i="8"/>
  <c r="M1070" i="8" s="1"/>
  <c r="O1070" i="8"/>
  <c r="J221" i="6"/>
  <c r="I466" i="8"/>
  <c r="I521" i="7"/>
  <c r="D466" i="7"/>
  <c r="F466" i="7" s="1"/>
  <c r="H466" i="7"/>
  <c r="B576" i="8"/>
  <c r="C576" i="8" s="1"/>
  <c r="G245" i="12"/>
  <c r="L576" i="7"/>
  <c r="N136" i="7"/>
  <c r="G135" i="7"/>
  <c r="K850" i="8"/>
  <c r="L355" i="8"/>
  <c r="N355" i="8" s="1"/>
  <c r="O355" i="8"/>
  <c r="O796" i="8"/>
  <c r="K796" i="8"/>
  <c r="M796" i="8" s="1"/>
  <c r="E1510" i="6"/>
  <c r="F1510" i="6" s="1"/>
  <c r="E255" i="11"/>
  <c r="B852" i="8"/>
  <c r="C852" i="8" s="1"/>
  <c r="E1376" i="6"/>
  <c r="G1376" i="6" s="1"/>
  <c r="B1072" i="8"/>
  <c r="C1072" i="8" s="1"/>
  <c r="E1072" i="8"/>
  <c r="L246" i="12"/>
  <c r="O246" i="12"/>
  <c r="O136" i="8"/>
  <c r="L136" i="8"/>
  <c r="N136" i="8" s="1"/>
  <c r="I191" i="8"/>
  <c r="J191" i="8" s="1"/>
  <c r="L191" i="8"/>
  <c r="BA256" i="11"/>
  <c r="BC256" i="11"/>
  <c r="K246" i="12"/>
  <c r="M246" i="12" s="1"/>
  <c r="E796" i="7"/>
  <c r="H272" i="6"/>
  <c r="I272" i="6" s="1"/>
  <c r="J301" i="7"/>
  <c r="K301" i="7" s="1"/>
  <c r="K136" i="8"/>
  <c r="D1374" i="6"/>
  <c r="F255" i="11"/>
  <c r="E190" i="12"/>
  <c r="G190" i="12" s="1"/>
  <c r="H190" i="12"/>
  <c r="D135" i="8"/>
  <c r="H135" i="8"/>
  <c r="E135" i="8"/>
  <c r="G135" i="8" s="1"/>
  <c r="I467" i="7"/>
  <c r="I686" i="7"/>
  <c r="J686" i="7" s="1"/>
  <c r="L686" i="7" s="1"/>
  <c r="D48" i="9"/>
  <c r="C48" i="9"/>
  <c r="J47" i="9"/>
  <c r="G2933" i="6"/>
  <c r="G2934" i="6" s="1"/>
  <c r="G2935" i="6" s="1"/>
  <c r="G2936" i="6" s="1"/>
  <c r="G2937" i="6" s="1"/>
  <c r="G2938" i="6" s="1"/>
  <c r="G2939" i="6" s="1"/>
  <c r="G2940" i="6" s="1"/>
  <c r="G2941" i="6" s="1"/>
  <c r="G2942" i="6" s="1"/>
  <c r="G2943" i="6" s="1"/>
  <c r="E2944" i="6" s="1"/>
  <c r="O411" i="8"/>
  <c r="K411" i="8"/>
  <c r="M411" i="8" s="1"/>
  <c r="E318" i="11"/>
  <c r="I318" i="11" s="1"/>
  <c r="E301" i="8"/>
  <c r="H176" i="6"/>
  <c r="J176" i="6" s="1"/>
  <c r="F708" i="6"/>
  <c r="E811" i="6"/>
  <c r="G811" i="6" s="1"/>
  <c r="G812" i="6" s="1"/>
  <c r="G813" i="6" s="1"/>
  <c r="G814" i="6" s="1"/>
  <c r="G815" i="6" s="1"/>
  <c r="G816" i="6" s="1"/>
  <c r="G817" i="6" s="1"/>
  <c r="G818" i="6" s="1"/>
  <c r="G819" i="6" s="1"/>
  <c r="G820" i="6" s="1"/>
  <c r="G821" i="6" s="1"/>
  <c r="E465" i="8"/>
  <c r="N190" i="7"/>
  <c r="M465" i="8"/>
  <c r="K190" i="12"/>
  <c r="G761" i="6" l="1"/>
  <c r="F761" i="6"/>
  <c r="E762" i="6" s="1"/>
  <c r="G762" i="6" s="1"/>
  <c r="B1079" i="7"/>
  <c r="C1079" i="7"/>
  <c r="W318" i="11"/>
  <c r="G1510" i="6"/>
  <c r="G1511" i="6" s="1"/>
  <c r="D1079" i="7"/>
  <c r="H128" i="6"/>
  <c r="I128" i="6" s="1"/>
  <c r="D2933" i="6"/>
  <c r="D2934" i="6" s="1"/>
  <c r="D2935" i="6" s="1"/>
  <c r="D2936" i="6" s="1"/>
  <c r="D2937" i="6" s="1"/>
  <c r="D2938" i="6" s="1"/>
  <c r="D2939" i="6" s="1"/>
  <c r="D2940" i="6" s="1"/>
  <c r="D2941" i="6" s="1"/>
  <c r="D2942" i="6" s="1"/>
  <c r="D2943" i="6" s="1"/>
  <c r="B2944" i="6" s="1"/>
  <c r="H2901" i="6" s="1"/>
  <c r="V318" i="11"/>
  <c r="S319" i="11" s="1"/>
  <c r="B1281" i="6"/>
  <c r="C1281" i="6" s="1"/>
  <c r="M576" i="7"/>
  <c r="J467" i="7"/>
  <c r="L467" i="7" s="1"/>
  <c r="D1517" i="6"/>
  <c r="B1518" i="6" s="1"/>
  <c r="C1518" i="6" s="1"/>
  <c r="G191" i="8"/>
  <c r="D1280" i="6"/>
  <c r="D1232" i="6"/>
  <c r="C1232" i="6"/>
  <c r="D576" i="8"/>
  <c r="E576" i="8"/>
  <c r="H576" i="8"/>
  <c r="F465" i="8"/>
  <c r="T206" i="11"/>
  <c r="W206" i="11"/>
  <c r="V206" i="11"/>
  <c r="X206" i="11"/>
  <c r="AG206" i="11" s="1"/>
  <c r="M301" i="8"/>
  <c r="M850" i="8"/>
  <c r="J272" i="6"/>
  <c r="H273" i="6" s="1"/>
  <c r="M576" i="8"/>
  <c r="H1024" i="7"/>
  <c r="K1024" i="7"/>
  <c r="I1136" i="7"/>
  <c r="F1136" i="7"/>
  <c r="E1136" i="7"/>
  <c r="G1136" i="7" s="1"/>
  <c r="J1136" i="7"/>
  <c r="H1136" i="7"/>
  <c r="B1137" i="7" s="1"/>
  <c r="C1137" i="7"/>
  <c r="D1137" i="7" s="1"/>
  <c r="G796" i="8"/>
  <c r="B797" i="8" s="1"/>
  <c r="C797" i="8" s="1"/>
  <c r="D797" i="8" s="1"/>
  <c r="F685" i="8"/>
  <c r="C686" i="8" s="1"/>
  <c r="E686" i="8" s="1"/>
  <c r="N1016" i="8"/>
  <c r="I1017" i="8" s="1"/>
  <c r="J1017" i="8" s="1"/>
  <c r="O1017" i="8" s="1"/>
  <c r="F190" i="12"/>
  <c r="C191" i="12" s="1"/>
  <c r="E191" i="12" s="1"/>
  <c r="E1423" i="6"/>
  <c r="F1423" i="6" s="1"/>
  <c r="F301" i="8"/>
  <c r="G686" i="7"/>
  <c r="B687" i="7" s="1"/>
  <c r="N630" i="8"/>
  <c r="N630" i="7"/>
  <c r="F521" i="8"/>
  <c r="G947" i="6"/>
  <c r="G1422" i="6"/>
  <c r="G796" i="7"/>
  <c r="B797" i="7" s="1"/>
  <c r="D1468" i="6"/>
  <c r="H20" i="9"/>
  <c r="I20" i="9" s="1"/>
  <c r="L21" i="9"/>
  <c r="L136" i="12"/>
  <c r="N136" i="12" s="1"/>
  <c r="O136" i="12"/>
  <c r="H826" i="6"/>
  <c r="I828" i="6" s="1"/>
  <c r="M190" i="12"/>
  <c r="F1376" i="6"/>
  <c r="E1377" i="6" s="1"/>
  <c r="L320" i="11"/>
  <c r="M320" i="11" s="1"/>
  <c r="Q320" i="11" s="1"/>
  <c r="N906" i="8"/>
  <c r="I907" i="8" s="1"/>
  <c r="CA206" i="11"/>
  <c r="CE206" i="11" s="1"/>
  <c r="CB206" i="11"/>
  <c r="BX206" i="11"/>
  <c r="BW206" i="11"/>
  <c r="CC206" i="11" s="1"/>
  <c r="BZ206" i="11"/>
  <c r="BY206" i="11"/>
  <c r="CD206" i="11" s="1"/>
  <c r="CG206" i="11" s="1"/>
  <c r="H222" i="6"/>
  <c r="I222" i="6" s="1"/>
  <c r="F967" i="7"/>
  <c r="E967" i="7"/>
  <c r="G967" i="7" s="1"/>
  <c r="J967" i="7"/>
  <c r="I967" i="7"/>
  <c r="K967" i="7"/>
  <c r="B1327" i="6"/>
  <c r="D1327" i="6" s="1"/>
  <c r="H852" i="8"/>
  <c r="D852" i="8"/>
  <c r="E852" i="8"/>
  <c r="G852" i="8" s="1"/>
  <c r="H192" i="7"/>
  <c r="D192" i="7"/>
  <c r="E192" i="7"/>
  <c r="G192" i="7" s="1"/>
  <c r="B136" i="8"/>
  <c r="I631" i="7"/>
  <c r="J631" i="7" s="1"/>
  <c r="G576" i="8"/>
  <c r="L300" i="12"/>
  <c r="O300" i="12"/>
  <c r="I796" i="7"/>
  <c r="J796" i="7" s="1"/>
  <c r="L796" i="7"/>
  <c r="K300" i="12"/>
  <c r="G410" i="7"/>
  <c r="F135" i="8"/>
  <c r="F1229" i="6"/>
  <c r="H905" i="8"/>
  <c r="D905" i="8"/>
  <c r="F1274" i="6"/>
  <c r="D852" i="7"/>
  <c r="H852" i="7"/>
  <c r="D906" i="7"/>
  <c r="F906" i="7" s="1"/>
  <c r="H906" i="7"/>
  <c r="B1137" i="6"/>
  <c r="D1137" i="6" s="1"/>
  <c r="E852" i="7"/>
  <c r="H355" i="7"/>
  <c r="E355" i="7"/>
  <c r="K686" i="7"/>
  <c r="M686" i="7" s="1"/>
  <c r="O686" i="7"/>
  <c r="D741" i="7"/>
  <c r="I504" i="6"/>
  <c r="J521" i="7"/>
  <c r="L520" i="8"/>
  <c r="O520" i="8"/>
  <c r="B1025" i="7"/>
  <c r="C1025" i="7" s="1"/>
  <c r="D1025" i="7" s="1"/>
  <c r="I365" i="6"/>
  <c r="K520" i="8"/>
  <c r="B191" i="12"/>
  <c r="I356" i="8"/>
  <c r="N411" i="8"/>
  <c r="E905" i="8"/>
  <c r="B1233" i="6"/>
  <c r="D1233" i="6" s="1"/>
  <c r="C1233" i="6"/>
  <c r="M355" i="8"/>
  <c r="C49" i="9"/>
  <c r="D49" i="9"/>
  <c r="J48" i="9"/>
  <c r="N23" i="10"/>
  <c r="H23" i="10" s="1"/>
  <c r="K23" i="10" s="1"/>
  <c r="E631" i="8"/>
  <c r="H631" i="8"/>
  <c r="J466" i="8"/>
  <c r="K466" i="8" s="1"/>
  <c r="I137" i="8"/>
  <c r="D631" i="8"/>
  <c r="B301" i="12"/>
  <c r="C301" i="12" s="1"/>
  <c r="E301" i="12" s="1"/>
  <c r="N356" i="7"/>
  <c r="I191" i="7"/>
  <c r="J191" i="7" s="1"/>
  <c r="L191" i="7" s="1"/>
  <c r="I1071" i="8"/>
  <c r="J1071" i="8" s="1"/>
  <c r="G465" i="8"/>
  <c r="K49" i="9"/>
  <c r="B1091" i="6"/>
  <c r="C1091" i="6" s="1"/>
  <c r="B246" i="8"/>
  <c r="C246" i="8" s="1"/>
  <c r="G357" i="8"/>
  <c r="D1091" i="6"/>
  <c r="M136" i="8"/>
  <c r="I137" i="7"/>
  <c r="J137" i="7" s="1"/>
  <c r="L137" i="7"/>
  <c r="B686" i="8"/>
  <c r="G466" i="7"/>
  <c r="E709" i="6"/>
  <c r="G709" i="6" s="1"/>
  <c r="G1183" i="6"/>
  <c r="E1184" i="6" s="1"/>
  <c r="F1184" i="6" s="1"/>
  <c r="E1040" i="6"/>
  <c r="G1040" i="6" s="1"/>
  <c r="H255" i="11"/>
  <c r="I255" i="11" s="1"/>
  <c r="N576" i="7"/>
  <c r="I686" i="8"/>
  <c r="J686" i="8" s="1"/>
  <c r="N850" i="8"/>
  <c r="G1091" i="6"/>
  <c r="B576" i="7"/>
  <c r="C576" i="7" s="1"/>
  <c r="J454" i="6"/>
  <c r="M906" i="8"/>
  <c r="H318" i="11"/>
  <c r="G318" i="11"/>
  <c r="F318" i="11"/>
  <c r="C319" i="11" s="1"/>
  <c r="B998" i="6"/>
  <c r="D998" i="6" s="1"/>
  <c r="C998" i="6"/>
  <c r="I961" i="8"/>
  <c r="J961" i="8" s="1"/>
  <c r="L961" i="8"/>
  <c r="C31" i="10"/>
  <c r="E31" i="10"/>
  <c r="D31" i="10"/>
  <c r="N906" i="7"/>
  <c r="E948" i="6"/>
  <c r="F948" i="6" s="1"/>
  <c r="K246" i="7"/>
  <c r="M246" i="7" s="1"/>
  <c r="O246" i="7"/>
  <c r="B621" i="6"/>
  <c r="D621" i="6" s="1"/>
  <c r="H521" i="7"/>
  <c r="D521" i="7"/>
  <c r="F521" i="7" s="1"/>
  <c r="F614" i="6"/>
  <c r="C962" i="8"/>
  <c r="D246" i="7"/>
  <c r="F246" i="7" s="1"/>
  <c r="H246" i="7"/>
  <c r="F1191" i="7"/>
  <c r="E1191" i="7"/>
  <c r="G1191" i="7" s="1"/>
  <c r="J1191" i="7"/>
  <c r="I1191" i="7"/>
  <c r="H1191" i="7"/>
  <c r="B1192" i="7" s="1"/>
  <c r="K1191" i="7"/>
  <c r="I631" i="8"/>
  <c r="J631" i="8" s="1"/>
  <c r="H632" i="7"/>
  <c r="D632" i="7"/>
  <c r="F632" i="7" s="1"/>
  <c r="K741" i="8"/>
  <c r="M741" i="8" s="1"/>
  <c r="O741" i="8"/>
  <c r="B192" i="8"/>
  <c r="C192" i="8" s="1"/>
  <c r="O191" i="8"/>
  <c r="K191" i="8"/>
  <c r="M191" i="8" s="1"/>
  <c r="H412" i="8"/>
  <c r="E412" i="8"/>
  <c r="G666" i="6"/>
  <c r="C301" i="7"/>
  <c r="F993" i="6"/>
  <c r="J550" i="6"/>
  <c r="H551" i="6" s="1"/>
  <c r="I551" i="6" s="1"/>
  <c r="D412" i="8"/>
  <c r="H1016" i="8"/>
  <c r="D1016" i="8"/>
  <c r="F1016" i="8" s="1"/>
  <c r="N796" i="8"/>
  <c r="L246" i="8"/>
  <c r="N246" i="8" s="1"/>
  <c r="O246" i="8"/>
  <c r="D355" i="7"/>
  <c r="K411" i="7"/>
  <c r="M411" i="7" s="1"/>
  <c r="O411" i="7"/>
  <c r="N246" i="12"/>
  <c r="G1140" i="6"/>
  <c r="B136" i="7"/>
  <c r="C136" i="7" s="1"/>
  <c r="E136" i="7" s="1"/>
  <c r="I851" i="7"/>
  <c r="J851" i="7" s="1"/>
  <c r="L851" i="7" s="1"/>
  <c r="E741" i="7"/>
  <c r="G741" i="7" s="1"/>
  <c r="F796" i="7"/>
  <c r="J412" i="6"/>
  <c r="H413" i="6" s="1"/>
  <c r="I413" i="6" s="1"/>
  <c r="E1461" i="6"/>
  <c r="G1461" i="6" s="1"/>
  <c r="D1045" i="6"/>
  <c r="B1046" i="6" s="1"/>
  <c r="C1046" i="6" s="1"/>
  <c r="C1047" i="6" s="1"/>
  <c r="C1048" i="6" s="1"/>
  <c r="C1049" i="6" s="1"/>
  <c r="C1050" i="6" s="1"/>
  <c r="C1051" i="6" s="1"/>
  <c r="C1052" i="6" s="1"/>
  <c r="C1053" i="6" s="1"/>
  <c r="C1054" i="6" s="1"/>
  <c r="C1055" i="6" s="1"/>
  <c r="C1056" i="6" s="1"/>
  <c r="BB256" i="11"/>
  <c r="BM256" i="11" s="1"/>
  <c r="B1424" i="6"/>
  <c r="C1424" i="6" s="1"/>
  <c r="H1072" i="8"/>
  <c r="D1072" i="8"/>
  <c r="F1072" i="8" s="1"/>
  <c r="I176" i="6"/>
  <c r="B246" i="12"/>
  <c r="C246" i="12" s="1"/>
  <c r="I302" i="8"/>
  <c r="BG206" i="11"/>
  <c r="BF206" i="11"/>
  <c r="BE206" i="11"/>
  <c r="BJ206" i="11"/>
  <c r="BI206" i="11"/>
  <c r="BK206" i="11"/>
  <c r="BH206" i="11"/>
  <c r="B760" i="6"/>
  <c r="D760" i="6" s="1"/>
  <c r="G521" i="8"/>
  <c r="D1182" i="6"/>
  <c r="B1183" i="6" s="1"/>
  <c r="C1183" i="6" s="1"/>
  <c r="G136" i="12"/>
  <c r="B1375" i="6"/>
  <c r="C1375" i="6" s="1"/>
  <c r="C741" i="8"/>
  <c r="F811" i="6"/>
  <c r="F812" i="6" s="1"/>
  <c r="F813" i="6" s="1"/>
  <c r="F814" i="6" s="1"/>
  <c r="F815" i="6" s="1"/>
  <c r="F816" i="6" s="1"/>
  <c r="F817" i="6" s="1"/>
  <c r="F818" i="6" s="1"/>
  <c r="F819" i="6" s="1"/>
  <c r="F820" i="6" s="1"/>
  <c r="F821" i="6" s="1"/>
  <c r="E822" i="6" s="1"/>
  <c r="H779" i="6" s="1"/>
  <c r="I316" i="6"/>
  <c r="O301" i="7"/>
  <c r="L301" i="7"/>
  <c r="N301" i="7" s="1"/>
  <c r="G301" i="8"/>
  <c r="E1511" i="6"/>
  <c r="F1511" i="6"/>
  <c r="N190" i="12"/>
  <c r="B1469" i="6"/>
  <c r="C1469" i="6" s="1"/>
  <c r="F903" i="6"/>
  <c r="F686" i="7"/>
  <c r="B951" i="6"/>
  <c r="D951" i="6" s="1"/>
  <c r="I577" i="8"/>
  <c r="J741" i="7"/>
  <c r="K741" i="7" s="1"/>
  <c r="O906" i="7"/>
  <c r="K906" i="7"/>
  <c r="M906" i="7" s="1"/>
  <c r="B670" i="6"/>
  <c r="C670" i="6" s="1"/>
  <c r="C671" i="6" s="1"/>
  <c r="C672" i="6" s="1"/>
  <c r="C673" i="6" s="1"/>
  <c r="C674" i="6" s="1"/>
  <c r="C675" i="6" s="1"/>
  <c r="C676" i="6" s="1"/>
  <c r="C677" i="6" s="1"/>
  <c r="C678" i="6" s="1"/>
  <c r="C679" i="6" s="1"/>
  <c r="C680" i="6" s="1"/>
  <c r="B713" i="6"/>
  <c r="C713" i="6" s="1"/>
  <c r="E1327" i="6"/>
  <c r="F1327" i="6" s="1"/>
  <c r="I137" i="12" l="1"/>
  <c r="J302" i="8"/>
  <c r="E1079" i="7"/>
  <c r="J1079" i="7"/>
  <c r="I1079" i="7"/>
  <c r="F1079" i="7"/>
  <c r="G1079" i="7"/>
  <c r="K1079" i="7"/>
  <c r="H1079" i="7"/>
  <c r="B1080" i="7" s="1"/>
  <c r="C1080" i="7" s="1"/>
  <c r="D1080" i="7" s="1"/>
  <c r="G1080" i="7" s="1"/>
  <c r="G905" i="8"/>
  <c r="B906" i="8" s="1"/>
  <c r="K467" i="7"/>
  <c r="M467" i="7" s="1"/>
  <c r="G632" i="7"/>
  <c r="F355" i="7"/>
  <c r="F631" i="8"/>
  <c r="N741" i="8"/>
  <c r="I742" i="8" s="1"/>
  <c r="J742" i="8" s="1"/>
  <c r="O742" i="8" s="1"/>
  <c r="N686" i="7"/>
  <c r="D1281" i="6"/>
  <c r="J128" i="6"/>
  <c r="M246" i="8"/>
  <c r="D1518" i="6"/>
  <c r="B1519" i="6" s="1"/>
  <c r="C1519" i="6" s="1"/>
  <c r="T319" i="11"/>
  <c r="U319" i="11"/>
  <c r="Y319" i="11" s="1"/>
  <c r="O467" i="7"/>
  <c r="C1137" i="6"/>
  <c r="B1138" i="6" s="1"/>
  <c r="C1138" i="6" s="1"/>
  <c r="L631" i="8"/>
  <c r="F1377" i="6"/>
  <c r="G1377" i="6"/>
  <c r="F1080" i="7"/>
  <c r="J1080" i="7"/>
  <c r="I1080" i="7"/>
  <c r="E1080" i="7"/>
  <c r="K1080" i="7" s="1"/>
  <c r="I273" i="6"/>
  <c r="J273" i="6"/>
  <c r="G412" i="8"/>
  <c r="B413" i="8" s="1"/>
  <c r="G1327" i="6"/>
  <c r="E1328" i="6" s="1"/>
  <c r="G1328" i="6" s="1"/>
  <c r="G1423" i="6"/>
  <c r="E1424" i="6" s="1"/>
  <c r="F1424" i="6" s="1"/>
  <c r="K1136" i="7"/>
  <c r="F576" i="8"/>
  <c r="J577" i="8"/>
  <c r="K577" i="8" s="1"/>
  <c r="Y206" i="11"/>
  <c r="AA206" i="11"/>
  <c r="Z206" i="11"/>
  <c r="AB206" i="11"/>
  <c r="AE206" i="11"/>
  <c r="AD206" i="11"/>
  <c r="AC206" i="11"/>
  <c r="H967" i="7"/>
  <c r="O21" i="9"/>
  <c r="M21" i="9"/>
  <c r="P21" i="9" s="1"/>
  <c r="D1424" i="6"/>
  <c r="B1425" i="6" s="1"/>
  <c r="C1425" i="6" s="1"/>
  <c r="G1072" i="8"/>
  <c r="B1073" i="8" s="1"/>
  <c r="C1073" i="8" s="1"/>
  <c r="E1073" i="8" s="1"/>
  <c r="G948" i="6"/>
  <c r="K50" i="9"/>
  <c r="M520" i="8"/>
  <c r="E1137" i="7"/>
  <c r="G1137" i="7" s="1"/>
  <c r="I1137" i="7"/>
  <c r="F1137" i="7"/>
  <c r="H1137" i="7" s="1"/>
  <c r="J1137" i="7"/>
  <c r="N246" i="7"/>
  <c r="I247" i="7" s="1"/>
  <c r="J247" i="7" s="1"/>
  <c r="D1375" i="6"/>
  <c r="B1376" i="6" s="1"/>
  <c r="G852" i="7"/>
  <c r="B853" i="7" s="1"/>
  <c r="N300" i="12"/>
  <c r="I301" i="12" s="1"/>
  <c r="G246" i="7"/>
  <c r="B247" i="7" s="1"/>
  <c r="C247" i="7" s="1"/>
  <c r="E247" i="7" s="1"/>
  <c r="F709" i="6"/>
  <c r="E710" i="6" s="1"/>
  <c r="G710" i="6" s="1"/>
  <c r="M136" i="12"/>
  <c r="J137" i="12" s="1"/>
  <c r="O302" i="8"/>
  <c r="K302" i="8"/>
  <c r="L302" i="8"/>
  <c r="N302" i="8" s="1"/>
  <c r="BJ256" i="11"/>
  <c r="BI256" i="11"/>
  <c r="BH256" i="11"/>
  <c r="BG256" i="11"/>
  <c r="BF256" i="11"/>
  <c r="BE256" i="11"/>
  <c r="BK256" i="11"/>
  <c r="O255" i="11"/>
  <c r="S255" i="11" s="1"/>
  <c r="P255" i="11"/>
  <c r="N255" i="11"/>
  <c r="L255" i="11"/>
  <c r="K255" i="11"/>
  <c r="Q255" i="11" s="1"/>
  <c r="M255" i="11"/>
  <c r="R255" i="11" s="1"/>
  <c r="U255" i="11" s="1"/>
  <c r="H192" i="8"/>
  <c r="E192" i="8"/>
  <c r="D192" i="8"/>
  <c r="F192" i="8" s="1"/>
  <c r="O631" i="7"/>
  <c r="K631" i="7"/>
  <c r="L631" i="7"/>
  <c r="N631" i="7" s="1"/>
  <c r="B1092" i="6"/>
  <c r="C1092" i="6" s="1"/>
  <c r="E1378" i="6"/>
  <c r="F1378" i="6" s="1"/>
  <c r="O1071" i="8"/>
  <c r="K1071" i="8"/>
  <c r="L1071" i="8"/>
  <c r="I2903" i="6"/>
  <c r="E301" i="7"/>
  <c r="H301" i="7"/>
  <c r="E949" i="6"/>
  <c r="F949" i="6" s="1"/>
  <c r="N137" i="7"/>
  <c r="E1230" i="6"/>
  <c r="G1230" i="6" s="1"/>
  <c r="D999" i="6"/>
  <c r="D1000" i="6" s="1"/>
  <c r="D1001" i="6" s="1"/>
  <c r="D1002" i="6" s="1"/>
  <c r="D1003" i="6" s="1"/>
  <c r="D1004" i="6" s="1"/>
  <c r="D1005" i="6" s="1"/>
  <c r="D1006" i="6" s="1"/>
  <c r="D1007" i="6" s="1"/>
  <c r="D1008" i="6" s="1"/>
  <c r="D1009" i="6" s="1"/>
  <c r="K1017" i="8"/>
  <c r="G1141" i="6"/>
  <c r="D301" i="7"/>
  <c r="I907" i="7"/>
  <c r="J907" i="8"/>
  <c r="B522" i="8"/>
  <c r="C522" i="8" s="1"/>
  <c r="D686" i="8"/>
  <c r="F686" i="8" s="1"/>
  <c r="O521" i="7"/>
  <c r="L521" i="7"/>
  <c r="C136" i="8"/>
  <c r="F1461" i="6"/>
  <c r="F31" i="10"/>
  <c r="J137" i="8"/>
  <c r="B411" i="7"/>
  <c r="C411" i="7" s="1"/>
  <c r="F1040" i="6"/>
  <c r="M300" i="12"/>
  <c r="E615" i="6"/>
  <c r="G615" i="6" s="1"/>
  <c r="K137" i="7"/>
  <c r="M137" i="7" s="1"/>
  <c r="O137" i="7"/>
  <c r="I302" i="7"/>
  <c r="D50" i="9"/>
  <c r="C50" i="9"/>
  <c r="J49" i="9"/>
  <c r="D191" i="12"/>
  <c r="F191" i="12" s="1"/>
  <c r="E1275" i="6"/>
  <c r="G1275" i="6" s="1"/>
  <c r="C1327" i="6"/>
  <c r="I687" i="7"/>
  <c r="J687" i="7" s="1"/>
  <c r="K687" i="7" s="1"/>
  <c r="J222" i="6"/>
  <c r="I797" i="8"/>
  <c r="J797" i="8" s="1"/>
  <c r="K521" i="7"/>
  <c r="C760" i="6"/>
  <c r="I247" i="12"/>
  <c r="J247" i="12" s="1"/>
  <c r="L247" i="12" s="1"/>
  <c r="D576" i="7"/>
  <c r="H576" i="7"/>
  <c r="J247" i="8"/>
  <c r="L247" i="8" s="1"/>
  <c r="D246" i="12"/>
  <c r="H246" i="12"/>
  <c r="C621" i="6"/>
  <c r="E576" i="7"/>
  <c r="G576" i="7" s="1"/>
  <c r="P320" i="11"/>
  <c r="O320" i="11"/>
  <c r="N320" i="11"/>
  <c r="K321" i="11" s="1"/>
  <c r="L321" i="11" s="1"/>
  <c r="CF206" i="11"/>
  <c r="CH206" i="11" s="1"/>
  <c r="CI206" i="11"/>
  <c r="G521" i="7"/>
  <c r="N191" i="8"/>
  <c r="B193" i="7"/>
  <c r="H177" i="6"/>
  <c r="J177" i="6" s="1"/>
  <c r="F412" i="8"/>
  <c r="H797" i="8"/>
  <c r="H505" i="6"/>
  <c r="J505" i="6" s="1"/>
  <c r="D1469" i="6"/>
  <c r="B1470" i="6" s="1"/>
  <c r="C1470" i="6" s="1"/>
  <c r="E1512" i="6"/>
  <c r="G1512" i="6" s="1"/>
  <c r="F1512" i="6"/>
  <c r="F741" i="7"/>
  <c r="I577" i="7"/>
  <c r="J577" i="7" s="1"/>
  <c r="L577" i="7" s="1"/>
  <c r="I357" i="7"/>
  <c r="J357" i="7" s="1"/>
  <c r="E1141" i="6"/>
  <c r="F1141" i="6" s="1"/>
  <c r="B467" i="7"/>
  <c r="C467" i="7" s="1"/>
  <c r="E467" i="7" s="1"/>
  <c r="L24" i="10"/>
  <c r="J24" i="10" s="1"/>
  <c r="I781" i="6"/>
  <c r="E246" i="12"/>
  <c r="B999" i="6"/>
  <c r="C999" i="6" s="1"/>
  <c r="C1000" i="6" s="1"/>
  <c r="C1001" i="6" s="1"/>
  <c r="C1002" i="6" s="1"/>
  <c r="C1003" i="6" s="1"/>
  <c r="C1004" i="6" s="1"/>
  <c r="C1005" i="6" s="1"/>
  <c r="C1006" i="6" s="1"/>
  <c r="C1007" i="6" s="1"/>
  <c r="C1008" i="6" s="1"/>
  <c r="C1009" i="6" s="1"/>
  <c r="O796" i="7"/>
  <c r="K796" i="7"/>
  <c r="M796" i="7" s="1"/>
  <c r="I851" i="8"/>
  <c r="J851" i="8" s="1"/>
  <c r="L851" i="8" s="1"/>
  <c r="E667" i="6"/>
  <c r="F667" i="6" s="1"/>
  <c r="J551" i="6"/>
  <c r="H552" i="6" s="1"/>
  <c r="I552" i="6" s="1"/>
  <c r="G1184" i="6"/>
  <c r="H686" i="8"/>
  <c r="E797" i="8"/>
  <c r="G797" i="8" s="1"/>
  <c r="H366" i="6"/>
  <c r="J366" i="6" s="1"/>
  <c r="D713" i="6"/>
  <c r="H741" i="8"/>
  <c r="E741" i="8"/>
  <c r="G741" i="8" s="1"/>
  <c r="B742" i="7"/>
  <c r="O686" i="8"/>
  <c r="K686" i="8"/>
  <c r="B358" i="8"/>
  <c r="C358" i="8" s="1"/>
  <c r="E358" i="8"/>
  <c r="G1016" i="8"/>
  <c r="D670" i="6"/>
  <c r="D671" i="6" s="1"/>
  <c r="D672" i="6" s="1"/>
  <c r="D673" i="6" s="1"/>
  <c r="D674" i="6" s="1"/>
  <c r="D675" i="6" s="1"/>
  <c r="D676" i="6" s="1"/>
  <c r="D677" i="6" s="1"/>
  <c r="D678" i="6" s="1"/>
  <c r="D679" i="6" s="1"/>
  <c r="D680" i="6" s="1"/>
  <c r="B681" i="6" s="1"/>
  <c r="J828" i="6"/>
  <c r="J907" i="7"/>
  <c r="L907" i="7" s="1"/>
  <c r="L686" i="8"/>
  <c r="F905" i="8"/>
  <c r="G631" i="8"/>
  <c r="H191" i="12"/>
  <c r="L741" i="7"/>
  <c r="N741" i="7" s="1"/>
  <c r="O741" i="7"/>
  <c r="O247" i="8"/>
  <c r="E962" i="8"/>
  <c r="H962" i="8"/>
  <c r="N411" i="7"/>
  <c r="G355" i="7"/>
  <c r="G906" i="7"/>
  <c r="H455" i="6"/>
  <c r="I455" i="6" s="1"/>
  <c r="B137" i="12"/>
  <c r="C137" i="12" s="1"/>
  <c r="I1025" i="7"/>
  <c r="F1025" i="7"/>
  <c r="K1025" i="7" s="1"/>
  <c r="J1025" i="7"/>
  <c r="E1025" i="7"/>
  <c r="D1183" i="6"/>
  <c r="B1184" i="6" s="1"/>
  <c r="C1184" i="6" s="1"/>
  <c r="L1017" i="8"/>
  <c r="J356" i="8"/>
  <c r="K356" i="8" s="1"/>
  <c r="D1519" i="6"/>
  <c r="B1520" i="6" s="1"/>
  <c r="C1520" i="6" s="1"/>
  <c r="B466" i="8"/>
  <c r="C466" i="8" s="1"/>
  <c r="E466" i="8" s="1"/>
  <c r="B1234" i="6"/>
  <c r="C1234" i="6" s="1"/>
  <c r="C951" i="6"/>
  <c r="C1192" i="7"/>
  <c r="D1192" i="7" s="1"/>
  <c r="F762" i="6"/>
  <c r="C687" i="7"/>
  <c r="D687" i="7" s="1"/>
  <c r="H317" i="6"/>
  <c r="J317" i="6" s="1"/>
  <c r="J413" i="6"/>
  <c r="K961" i="8"/>
  <c r="M961" i="8" s="1"/>
  <c r="O961" i="8"/>
  <c r="L466" i="8"/>
  <c r="N466" i="8" s="1"/>
  <c r="O466" i="8"/>
  <c r="B577" i="8"/>
  <c r="M301" i="7"/>
  <c r="E904" i="6"/>
  <c r="G904" i="6" s="1"/>
  <c r="C797" i="7"/>
  <c r="D797" i="7" s="1"/>
  <c r="F192" i="7"/>
  <c r="I191" i="12"/>
  <c r="J191" i="12" s="1"/>
  <c r="L191" i="12"/>
  <c r="B633" i="7"/>
  <c r="C633" i="7" s="1"/>
  <c r="O191" i="7"/>
  <c r="K191" i="7"/>
  <c r="M191" i="7" s="1"/>
  <c r="B853" i="8"/>
  <c r="D741" i="8"/>
  <c r="H246" i="8"/>
  <c r="D246" i="8"/>
  <c r="I412" i="8"/>
  <c r="J412" i="8" s="1"/>
  <c r="L412" i="8"/>
  <c r="F852" i="7"/>
  <c r="F852" i="8"/>
  <c r="O851" i="7"/>
  <c r="K851" i="7"/>
  <c r="M851" i="7" s="1"/>
  <c r="E246" i="8"/>
  <c r="G246" i="8" s="1"/>
  <c r="BL206" i="11"/>
  <c r="AP207" i="11" s="1"/>
  <c r="AI207" i="11"/>
  <c r="B302" i="8"/>
  <c r="C302" i="8" s="1"/>
  <c r="AJ207" i="11"/>
  <c r="D1046" i="6"/>
  <c r="D1047" i="6" s="1"/>
  <c r="D1048" i="6" s="1"/>
  <c r="D1049" i="6" s="1"/>
  <c r="D1050" i="6" s="1"/>
  <c r="D1051" i="6" s="1"/>
  <c r="D1052" i="6" s="1"/>
  <c r="D1053" i="6" s="1"/>
  <c r="D1054" i="6" s="1"/>
  <c r="D1055" i="6" s="1"/>
  <c r="D1056" i="6" s="1"/>
  <c r="B1057" i="6" s="1"/>
  <c r="D136" i="7"/>
  <c r="F136" i="7" s="1"/>
  <c r="H136" i="7"/>
  <c r="I247" i="8"/>
  <c r="E994" i="6"/>
  <c r="G994" i="6" s="1"/>
  <c r="O631" i="8"/>
  <c r="K631" i="8"/>
  <c r="D962" i="8"/>
  <c r="D319" i="11"/>
  <c r="E319" i="11" s="1"/>
  <c r="I319" i="11" s="1"/>
  <c r="H301" i="12"/>
  <c r="D301" i="12"/>
  <c r="F301" i="12" s="1"/>
  <c r="N520" i="8"/>
  <c r="E1092" i="6"/>
  <c r="F1092" i="6" s="1"/>
  <c r="G1092" i="6" l="1"/>
  <c r="N467" i="7"/>
  <c r="I468" i="7" s="1"/>
  <c r="J468" i="7" s="1"/>
  <c r="M631" i="8"/>
  <c r="J455" i="6"/>
  <c r="D1092" i="6"/>
  <c r="M321" i="11"/>
  <c r="Q321" i="11" s="1"/>
  <c r="F246" i="12"/>
  <c r="C577" i="8"/>
  <c r="E577" i="8" s="1"/>
  <c r="CJ206" i="11"/>
  <c r="CS206" i="11" s="1"/>
  <c r="CO206" i="11" s="1"/>
  <c r="H274" i="6"/>
  <c r="J274" i="6" s="1"/>
  <c r="B1282" i="6"/>
  <c r="C1282" i="6" s="1"/>
  <c r="D1282" i="6"/>
  <c r="O577" i="8"/>
  <c r="K51" i="9"/>
  <c r="W319" i="11"/>
  <c r="X319" i="11"/>
  <c r="V319" i="11"/>
  <c r="S320" i="11" s="1"/>
  <c r="U320" i="11"/>
  <c r="G1025" i="7"/>
  <c r="M466" i="8"/>
  <c r="H129" i="6"/>
  <c r="I129" i="6" s="1"/>
  <c r="D1376" i="6"/>
  <c r="D1377" i="6" s="1"/>
  <c r="C1376" i="6"/>
  <c r="L137" i="12"/>
  <c r="O137" i="12"/>
  <c r="S21" i="9"/>
  <c r="N21" i="9"/>
  <c r="Q21" i="9" s="1"/>
  <c r="R21" i="9" s="1"/>
  <c r="AL207" i="11"/>
  <c r="G949" i="6"/>
  <c r="E950" i="6" s="1"/>
  <c r="F950" i="6" s="1"/>
  <c r="F710" i="6"/>
  <c r="E711" i="6" s="1"/>
  <c r="G711" i="6" s="1"/>
  <c r="L577" i="8"/>
  <c r="M577" i="8" s="1"/>
  <c r="H1080" i="7"/>
  <c r="I317" i="6"/>
  <c r="M521" i="7"/>
  <c r="N686" i="8"/>
  <c r="H1073" i="8"/>
  <c r="G1378" i="6"/>
  <c r="E1379" i="6" s="1"/>
  <c r="D1234" i="6"/>
  <c r="K1137" i="7"/>
  <c r="G962" i="8"/>
  <c r="N1017" i="8"/>
  <c r="I1018" i="8" s="1"/>
  <c r="G207" i="11"/>
  <c r="G191" i="12"/>
  <c r="B192" i="12" s="1"/>
  <c r="C192" i="12" s="1"/>
  <c r="H192" i="12" s="1"/>
  <c r="B1138" i="7"/>
  <c r="C1138" i="7"/>
  <c r="D1138" i="7" s="1"/>
  <c r="N961" i="8"/>
  <c r="I962" i="8" s="1"/>
  <c r="J962" i="8" s="1"/>
  <c r="D1138" i="6"/>
  <c r="C207" i="11"/>
  <c r="AF206" i="11"/>
  <c r="J207" i="11" s="1"/>
  <c r="H1025" i="7"/>
  <c r="N191" i="7"/>
  <c r="G1424" i="6"/>
  <c r="E1425" i="6" s="1"/>
  <c r="F1425" i="6" s="1"/>
  <c r="K137" i="12"/>
  <c r="G667" i="6"/>
  <c r="B968" i="7"/>
  <c r="C968" i="7" s="1"/>
  <c r="D968" i="7" s="1"/>
  <c r="F207" i="11"/>
  <c r="D207" i="11"/>
  <c r="B1010" i="6"/>
  <c r="F301" i="7"/>
  <c r="N1071" i="8"/>
  <c r="I1072" i="8" s="1"/>
  <c r="K468" i="7"/>
  <c r="L468" i="7"/>
  <c r="N468" i="7" s="1"/>
  <c r="O468" i="7"/>
  <c r="L247" i="7"/>
  <c r="O247" i="7"/>
  <c r="K247" i="7"/>
  <c r="M247" i="7" s="1"/>
  <c r="B1185" i="6"/>
  <c r="C1185" i="6"/>
  <c r="N907" i="7"/>
  <c r="N321" i="11"/>
  <c r="K322" i="11" s="1"/>
  <c r="O321" i="11"/>
  <c r="P321" i="11"/>
  <c r="D633" i="7"/>
  <c r="H633" i="7"/>
  <c r="E633" i="7"/>
  <c r="G633" i="7" s="1"/>
  <c r="B1139" i="6"/>
  <c r="C1139" i="6" s="1"/>
  <c r="F1192" i="7"/>
  <c r="E1192" i="7"/>
  <c r="K1192" i="7"/>
  <c r="J1192" i="7"/>
  <c r="H1192" i="7"/>
  <c r="G1192" i="7"/>
  <c r="I1192" i="7"/>
  <c r="B1026" i="7"/>
  <c r="C1026" i="7" s="1"/>
  <c r="D1026" i="7" s="1"/>
  <c r="B247" i="8"/>
  <c r="I412" i="7"/>
  <c r="J412" i="7" s="1"/>
  <c r="H136" i="8"/>
  <c r="E136" i="8"/>
  <c r="B1093" i="6"/>
  <c r="D1093" i="6" s="1"/>
  <c r="O357" i="7"/>
  <c r="K357" i="7"/>
  <c r="D136" i="8"/>
  <c r="J467" i="8"/>
  <c r="O467" i="8" s="1"/>
  <c r="D247" i="7"/>
  <c r="F247" i="7" s="1"/>
  <c r="F904" i="6"/>
  <c r="H247" i="7"/>
  <c r="F1328" i="6"/>
  <c r="K797" i="8"/>
  <c r="O797" i="8"/>
  <c r="F615" i="6"/>
  <c r="K742" i="8"/>
  <c r="E763" i="6"/>
  <c r="G763" i="6" s="1"/>
  <c r="J223" i="6"/>
  <c r="M1017" i="8"/>
  <c r="I632" i="7"/>
  <c r="G319" i="11"/>
  <c r="F319" i="11"/>
  <c r="C320" i="11" s="1"/>
  <c r="D320" i="11" s="1"/>
  <c r="H319" i="11"/>
  <c r="I366" i="6"/>
  <c r="E1041" i="6"/>
  <c r="G1041" i="6" s="1"/>
  <c r="F1041" i="6"/>
  <c r="C853" i="7"/>
  <c r="I742" i="7"/>
  <c r="K907" i="7"/>
  <c r="M907" i="7" s="1"/>
  <c r="L687" i="7"/>
  <c r="N687" i="7" s="1"/>
  <c r="L742" i="8"/>
  <c r="M741" i="7"/>
  <c r="F1230" i="6"/>
  <c r="H829" i="6"/>
  <c r="I829" i="6" s="1"/>
  <c r="CK206" i="11"/>
  <c r="CQ206" i="11"/>
  <c r="CP206" i="11"/>
  <c r="F246" i="8"/>
  <c r="I467" i="8"/>
  <c r="D1425" i="6"/>
  <c r="B1426" i="6" s="1"/>
  <c r="C1426" i="6" s="1"/>
  <c r="J552" i="6"/>
  <c r="H553" i="6" s="1"/>
  <c r="I553" i="6" s="1"/>
  <c r="I138" i="7"/>
  <c r="J138" i="7" s="1"/>
  <c r="O138" i="7" s="1"/>
  <c r="F994" i="6"/>
  <c r="D137" i="12"/>
  <c r="F137" i="12" s="1"/>
  <c r="H137" i="12"/>
  <c r="B1017" i="8"/>
  <c r="C1017" i="8" s="1"/>
  <c r="E1017" i="8" s="1"/>
  <c r="L907" i="8"/>
  <c r="O907" i="8"/>
  <c r="AM207" i="11"/>
  <c r="K907" i="8"/>
  <c r="T255" i="11"/>
  <c r="X255" i="11"/>
  <c r="W255" i="11"/>
  <c r="V255" i="11"/>
  <c r="E1513" i="6"/>
  <c r="F1513" i="6" s="1"/>
  <c r="N796" i="7"/>
  <c r="J781" i="6"/>
  <c r="B963" i="8"/>
  <c r="L357" i="7"/>
  <c r="B577" i="7"/>
  <c r="B622" i="6"/>
  <c r="D622" i="6" s="1"/>
  <c r="D1470" i="6"/>
  <c r="B1471" i="6" s="1"/>
  <c r="C1471" i="6" s="1"/>
  <c r="J301" i="12"/>
  <c r="K301" i="12" s="1"/>
  <c r="J2903" i="6"/>
  <c r="H2904" i="6" s="1"/>
  <c r="I2904" i="6" s="1"/>
  <c r="H302" i="8"/>
  <c r="D302" i="8"/>
  <c r="C853" i="8"/>
  <c r="M631" i="7"/>
  <c r="F962" i="8"/>
  <c r="C742" i="7"/>
  <c r="H522" i="8"/>
  <c r="D522" i="8"/>
  <c r="E522" i="8"/>
  <c r="O412" i="8"/>
  <c r="K412" i="8"/>
  <c r="M412" i="8" s="1"/>
  <c r="G192" i="8"/>
  <c r="O687" i="7"/>
  <c r="B1328" i="6"/>
  <c r="D1328" i="6" s="1"/>
  <c r="F741" i="8"/>
  <c r="D1184" i="6"/>
  <c r="E137" i="12"/>
  <c r="L137" i="8"/>
  <c r="O137" i="8"/>
  <c r="H358" i="8"/>
  <c r="D358" i="8"/>
  <c r="F358" i="8" s="1"/>
  <c r="F1275" i="6"/>
  <c r="BL256" i="11"/>
  <c r="AP257" i="11" s="1"/>
  <c r="AK257" i="11"/>
  <c r="AI257" i="11"/>
  <c r="I303" i="8"/>
  <c r="B907" i="7"/>
  <c r="C907" i="7" s="1"/>
  <c r="O907" i="7"/>
  <c r="M686" i="8"/>
  <c r="C413" i="8"/>
  <c r="D413" i="8" s="1"/>
  <c r="E32" i="10"/>
  <c r="D32" i="10"/>
  <c r="C32" i="10"/>
  <c r="G301" i="7"/>
  <c r="M302" i="8"/>
  <c r="I687" i="8"/>
  <c r="B742" i="8"/>
  <c r="I521" i="8"/>
  <c r="J521" i="8" s="1"/>
  <c r="L521" i="8" s="1"/>
  <c r="O356" i="8"/>
  <c r="L356" i="8"/>
  <c r="N356" i="8" s="1"/>
  <c r="I192" i="8"/>
  <c r="J192" i="8" s="1"/>
  <c r="L192" i="8"/>
  <c r="N521" i="7"/>
  <c r="B1377" i="6"/>
  <c r="C1377" i="6"/>
  <c r="J302" i="7"/>
  <c r="K302" i="7" s="1"/>
  <c r="K577" i="7"/>
  <c r="M577" i="7" s="1"/>
  <c r="O577" i="7"/>
  <c r="L797" i="8"/>
  <c r="G136" i="7"/>
  <c r="B522" i="7"/>
  <c r="C522" i="7" s="1"/>
  <c r="E522" i="7" s="1"/>
  <c r="H223" i="6"/>
  <c r="I223" i="6" s="1"/>
  <c r="K191" i="12"/>
  <c r="M191" i="12" s="1"/>
  <c r="O191" i="12"/>
  <c r="E302" i="8"/>
  <c r="G302" i="8" s="1"/>
  <c r="B798" i="8"/>
  <c r="D1073" i="8"/>
  <c r="F1073" i="8" s="1"/>
  <c r="N631" i="8"/>
  <c r="K247" i="8"/>
  <c r="M247" i="8" s="1"/>
  <c r="G301" i="12"/>
  <c r="I192" i="7"/>
  <c r="J192" i="7" s="1"/>
  <c r="D411" i="7"/>
  <c r="H411" i="7"/>
  <c r="C193" i="7"/>
  <c r="B952" i="6"/>
  <c r="D952" i="6" s="1"/>
  <c r="D953" i="6" s="1"/>
  <c r="D954" i="6" s="1"/>
  <c r="D955" i="6" s="1"/>
  <c r="D956" i="6" s="1"/>
  <c r="D957" i="6" s="1"/>
  <c r="D958" i="6" s="1"/>
  <c r="D959" i="6" s="1"/>
  <c r="D960" i="6" s="1"/>
  <c r="D961" i="6" s="1"/>
  <c r="D962" i="6" s="1"/>
  <c r="B632" i="8"/>
  <c r="C632" i="8" s="1"/>
  <c r="E632" i="8" s="1"/>
  <c r="B714" i="6"/>
  <c r="C714" i="6" s="1"/>
  <c r="M24" i="10"/>
  <c r="I24" i="10" s="1"/>
  <c r="I505" i="6"/>
  <c r="E411" i="7"/>
  <c r="M1071" i="8"/>
  <c r="AK207" i="11"/>
  <c r="B1235" i="6"/>
  <c r="C1235" i="6" s="1"/>
  <c r="N851" i="7"/>
  <c r="H456" i="6"/>
  <c r="I456" i="6" s="1"/>
  <c r="H467" i="7"/>
  <c r="D467" i="7"/>
  <c r="F467" i="7" s="1"/>
  <c r="F576" i="7"/>
  <c r="K137" i="8"/>
  <c r="E1185" i="6"/>
  <c r="F1185" i="6" s="1"/>
  <c r="H318" i="6"/>
  <c r="I318" i="6" s="1"/>
  <c r="H466" i="8"/>
  <c r="D466" i="8"/>
  <c r="F466" i="8" s="1"/>
  <c r="B356" i="7"/>
  <c r="C356" i="7" s="1"/>
  <c r="C906" i="8"/>
  <c r="D906" i="8" s="1"/>
  <c r="G246" i="12"/>
  <c r="E1142" i="6"/>
  <c r="G1142" i="6" s="1"/>
  <c r="K247" i="12"/>
  <c r="M247" i="12" s="1"/>
  <c r="O247" i="12"/>
  <c r="H414" i="6"/>
  <c r="I414" i="6" s="1"/>
  <c r="G686" i="8"/>
  <c r="E1093" i="6"/>
  <c r="F1093" i="6" s="1"/>
  <c r="E797" i="7"/>
  <c r="G797" i="7" s="1"/>
  <c r="H797" i="7"/>
  <c r="E687" i="7"/>
  <c r="G687" i="7" s="1"/>
  <c r="H687" i="7"/>
  <c r="D1520" i="6"/>
  <c r="K851" i="8"/>
  <c r="M851" i="8" s="1"/>
  <c r="O851" i="8"/>
  <c r="I177" i="6"/>
  <c r="B761" i="6"/>
  <c r="D761" i="6" s="1"/>
  <c r="D51" i="9"/>
  <c r="C51" i="9"/>
  <c r="J50" i="9"/>
  <c r="E1462" i="6"/>
  <c r="G1462" i="6" s="1"/>
  <c r="AJ257" i="11"/>
  <c r="AL257" i="11"/>
  <c r="F797" i="8"/>
  <c r="M137" i="12" l="1"/>
  <c r="J129" i="6"/>
  <c r="CL206" i="11"/>
  <c r="M137" i="8"/>
  <c r="F32" i="10"/>
  <c r="CM206" i="11"/>
  <c r="G950" i="6"/>
  <c r="E951" i="6" s="1"/>
  <c r="F951" i="6" s="1"/>
  <c r="B1283" i="6"/>
  <c r="D1283" i="6" s="1"/>
  <c r="C1283" i="6"/>
  <c r="B1284" i="6" s="1"/>
  <c r="C1284" i="6" s="1"/>
  <c r="I274" i="6"/>
  <c r="H275" i="6" s="1"/>
  <c r="J275" i="6" s="1"/>
  <c r="H130" i="6"/>
  <c r="I130" i="6" s="1"/>
  <c r="M687" i="7"/>
  <c r="J688" i="7" s="1"/>
  <c r="O688" i="7" s="1"/>
  <c r="CN206" i="11"/>
  <c r="BP207" i="11" s="1"/>
  <c r="H577" i="8"/>
  <c r="M356" i="8"/>
  <c r="T320" i="11"/>
  <c r="Y320" i="11" s="1"/>
  <c r="D577" i="8"/>
  <c r="I968" i="7"/>
  <c r="E968" i="7"/>
  <c r="F968" i="7"/>
  <c r="K968" i="7" s="1"/>
  <c r="J968" i="7"/>
  <c r="J1138" i="7"/>
  <c r="E1138" i="7"/>
  <c r="I1138" i="7"/>
  <c r="F1138" i="7"/>
  <c r="H1138" i="7" s="1"/>
  <c r="J138" i="12"/>
  <c r="K138" i="12" s="1"/>
  <c r="G1379" i="6"/>
  <c r="F1379" i="6"/>
  <c r="B1081" i="7"/>
  <c r="C1081" i="7"/>
  <c r="D1081" i="7"/>
  <c r="J414" i="6"/>
  <c r="N577" i="8"/>
  <c r="M742" i="8"/>
  <c r="G136" i="8"/>
  <c r="G1425" i="6"/>
  <c r="N137" i="12"/>
  <c r="I138" i="12" s="1"/>
  <c r="M907" i="8"/>
  <c r="M797" i="8"/>
  <c r="N247" i="8"/>
  <c r="I248" i="8" s="1"/>
  <c r="J248" i="8" s="1"/>
  <c r="O248" i="8" s="1"/>
  <c r="E207" i="11"/>
  <c r="M357" i="7"/>
  <c r="E668" i="6"/>
  <c r="F668" i="6" s="1"/>
  <c r="L467" i="8"/>
  <c r="G1093" i="6"/>
  <c r="E1094" i="6" s="1"/>
  <c r="N24" i="10"/>
  <c r="H24" i="10" s="1"/>
  <c r="K24" i="10" s="1"/>
  <c r="L25" i="10" s="1"/>
  <c r="J456" i="6"/>
  <c r="H457" i="6" s="1"/>
  <c r="I457" i="6" s="1"/>
  <c r="G1513" i="6"/>
  <c r="E1514" i="6" s="1"/>
  <c r="C952" i="6"/>
  <c r="C953" i="6" s="1"/>
  <c r="C954" i="6" s="1"/>
  <c r="C955" i="6" s="1"/>
  <c r="C956" i="6" s="1"/>
  <c r="C957" i="6" s="1"/>
  <c r="C958" i="6" s="1"/>
  <c r="C959" i="6" s="1"/>
  <c r="C960" i="6" s="1"/>
  <c r="C961" i="6" s="1"/>
  <c r="C962" i="6" s="1"/>
  <c r="B963" i="6" s="1"/>
  <c r="F522" i="8"/>
  <c r="E21" i="9"/>
  <c r="F21" i="9"/>
  <c r="G21" i="9"/>
  <c r="G411" i="7"/>
  <c r="B412" i="7" s="1"/>
  <c r="D714" i="6"/>
  <c r="B1139" i="7"/>
  <c r="O962" i="8"/>
  <c r="K962" i="8"/>
  <c r="L962" i="8"/>
  <c r="N962" i="8" s="1"/>
  <c r="K192" i="7"/>
  <c r="O192" i="7"/>
  <c r="L192" i="7"/>
  <c r="N192" i="7" s="1"/>
  <c r="G632" i="8"/>
  <c r="F1026" i="7"/>
  <c r="E1026" i="7"/>
  <c r="G1026" i="7" s="1"/>
  <c r="J1026" i="7"/>
  <c r="I1026" i="7"/>
  <c r="E193" i="7"/>
  <c r="H193" i="7"/>
  <c r="E1231" i="6"/>
  <c r="G1231" i="6" s="1"/>
  <c r="C798" i="8"/>
  <c r="D798" i="8" s="1"/>
  <c r="AN207" i="11"/>
  <c r="AO207" i="11" s="1"/>
  <c r="E33" i="10"/>
  <c r="C33" i="10"/>
  <c r="D33" i="10"/>
  <c r="E995" i="6"/>
  <c r="G995" i="6" s="1"/>
  <c r="I908" i="7"/>
  <c r="B303" i="8"/>
  <c r="H742" i="7"/>
  <c r="E742" i="7"/>
  <c r="N742" i="8"/>
  <c r="F1142" i="6"/>
  <c r="AG255" i="11"/>
  <c r="C577" i="7"/>
  <c r="C963" i="8"/>
  <c r="B137" i="8"/>
  <c r="J632" i="7"/>
  <c r="O138" i="12"/>
  <c r="F411" i="7"/>
  <c r="H853" i="8"/>
  <c r="E853" i="8"/>
  <c r="J1018" i="8"/>
  <c r="K1018" i="8" s="1"/>
  <c r="D1235" i="6"/>
  <c r="B1236" i="6" s="1"/>
  <c r="C1236" i="6" s="1"/>
  <c r="D853" i="8"/>
  <c r="B302" i="7"/>
  <c r="C302" i="7" s="1"/>
  <c r="E302" i="7"/>
  <c r="D193" i="7"/>
  <c r="AN257" i="11"/>
  <c r="J742" i="7"/>
  <c r="B1427" i="6"/>
  <c r="C1427" i="6" s="1"/>
  <c r="B688" i="7"/>
  <c r="I578" i="8"/>
  <c r="J578" i="8" s="1"/>
  <c r="L578" i="8" s="1"/>
  <c r="J1072" i="8"/>
  <c r="D742" i="7"/>
  <c r="B798" i="7"/>
  <c r="B1378" i="6"/>
  <c r="C1378" i="6" s="1"/>
  <c r="F1462" i="6"/>
  <c r="L138" i="7"/>
  <c r="E853" i="7"/>
  <c r="H853" i="7"/>
  <c r="J687" i="8"/>
  <c r="K687" i="8" s="1"/>
  <c r="F302" i="8"/>
  <c r="G358" i="8"/>
  <c r="D853" i="7"/>
  <c r="I522" i="7"/>
  <c r="J522" i="7" s="1"/>
  <c r="L522" i="7"/>
  <c r="F711" i="6"/>
  <c r="J553" i="6"/>
  <c r="H554" i="6" s="1"/>
  <c r="I554" i="6" s="1"/>
  <c r="E1042" i="6"/>
  <c r="G1042" i="6" s="1"/>
  <c r="B634" i="7"/>
  <c r="I852" i="7"/>
  <c r="J852" i="7" s="1"/>
  <c r="L852" i="7"/>
  <c r="B302" i="12"/>
  <c r="C302" i="12" s="1"/>
  <c r="B1193" i="7"/>
  <c r="C1193" i="7" s="1"/>
  <c r="D1193" i="7" s="1"/>
  <c r="G137" i="12"/>
  <c r="J829" i="6"/>
  <c r="G247" i="7"/>
  <c r="G1185" i="6"/>
  <c r="J318" i="6"/>
  <c r="H319" i="6" s="1"/>
  <c r="I319" i="6" s="1"/>
  <c r="E192" i="12"/>
  <c r="G192" i="12" s="1"/>
  <c r="N357" i="7"/>
  <c r="I797" i="7"/>
  <c r="J797" i="7" s="1"/>
  <c r="L797" i="7" s="1"/>
  <c r="G1073" i="8"/>
  <c r="B687" i="8"/>
  <c r="C687" i="8" s="1"/>
  <c r="I632" i="8"/>
  <c r="J632" i="8" s="1"/>
  <c r="L632" i="8" s="1"/>
  <c r="N851" i="8"/>
  <c r="C742" i="8"/>
  <c r="D742" i="8" s="1"/>
  <c r="G522" i="8"/>
  <c r="C247" i="8"/>
  <c r="K467" i="8"/>
  <c r="G466" i="8"/>
  <c r="J51" i="9"/>
  <c r="D52" i="9"/>
  <c r="C52" i="9"/>
  <c r="O412" i="7"/>
  <c r="K412" i="7"/>
  <c r="M412" i="7" s="1"/>
  <c r="B715" i="6"/>
  <c r="C715" i="6" s="1"/>
  <c r="D907" i="7"/>
  <c r="H907" i="7"/>
  <c r="D1426" i="6"/>
  <c r="L412" i="7"/>
  <c r="N247" i="7"/>
  <c r="C761" i="6"/>
  <c r="E907" i="7"/>
  <c r="H367" i="6"/>
  <c r="J367" i="6" s="1"/>
  <c r="F633" i="7"/>
  <c r="K192" i="8"/>
  <c r="M192" i="8" s="1"/>
  <c r="O192" i="8"/>
  <c r="D1185" i="6"/>
  <c r="B1186" i="6" s="1"/>
  <c r="C1186" i="6" s="1"/>
  <c r="B137" i="7"/>
  <c r="C137" i="7" s="1"/>
  <c r="F687" i="7"/>
  <c r="D1471" i="6"/>
  <c r="B1472" i="6" s="1"/>
  <c r="C1472" i="6" s="1"/>
  <c r="D1017" i="8"/>
  <c r="F1017" i="8" s="1"/>
  <c r="H1017" i="8"/>
  <c r="D1139" i="6"/>
  <c r="F136" i="8"/>
  <c r="I469" i="7"/>
  <c r="O521" i="8"/>
  <c r="K521" i="8"/>
  <c r="M521" i="8" s="1"/>
  <c r="E320" i="11"/>
  <c r="I320" i="11" s="1"/>
  <c r="L302" i="7"/>
  <c r="N302" i="7" s="1"/>
  <c r="O302" i="7"/>
  <c r="B1521" i="6"/>
  <c r="C1521" i="6" s="1"/>
  <c r="I688" i="7"/>
  <c r="C1093" i="6"/>
  <c r="B247" i="12"/>
  <c r="C247" i="12" s="1"/>
  <c r="E247" i="12"/>
  <c r="E1276" i="6"/>
  <c r="G1276" i="6" s="1"/>
  <c r="C622" i="6"/>
  <c r="J908" i="7"/>
  <c r="K908" i="7" s="1"/>
  <c r="E616" i="6"/>
  <c r="G616" i="6" s="1"/>
  <c r="H522" i="7"/>
  <c r="D522" i="7"/>
  <c r="F522" i="7" s="1"/>
  <c r="D192" i="12"/>
  <c r="H906" i="8"/>
  <c r="E906" i="8"/>
  <c r="G906" i="8" s="1"/>
  <c r="K138" i="7"/>
  <c r="H413" i="8"/>
  <c r="E413" i="8"/>
  <c r="G413" i="8" s="1"/>
  <c r="B193" i="8"/>
  <c r="C193" i="8" s="1"/>
  <c r="E193" i="8" s="1"/>
  <c r="H506" i="6"/>
  <c r="J506" i="6" s="1"/>
  <c r="AM257" i="11"/>
  <c r="E1329" i="6"/>
  <c r="G1329" i="6" s="1"/>
  <c r="N247" i="12"/>
  <c r="D356" i="7"/>
  <c r="H356" i="7"/>
  <c r="N577" i="7"/>
  <c r="E356" i="7"/>
  <c r="N191" i="12"/>
  <c r="N137" i="8"/>
  <c r="CR206" i="11"/>
  <c r="BV207" i="11" s="1"/>
  <c r="BO207" i="11"/>
  <c r="E905" i="6"/>
  <c r="G905" i="6" s="1"/>
  <c r="G906" i="6" s="1"/>
  <c r="G907" i="6" s="1"/>
  <c r="G908" i="6" s="1"/>
  <c r="G909" i="6" s="1"/>
  <c r="G910" i="6" s="1"/>
  <c r="G911" i="6" s="1"/>
  <c r="G912" i="6" s="1"/>
  <c r="G913" i="6" s="1"/>
  <c r="G914" i="6" s="1"/>
  <c r="G915" i="6" s="1"/>
  <c r="H224" i="6"/>
  <c r="J224" i="6" s="1"/>
  <c r="J2904" i="6"/>
  <c r="H2905" i="6" s="1"/>
  <c r="I2905" i="6" s="1"/>
  <c r="F797" i="7"/>
  <c r="D632" i="8"/>
  <c r="F632" i="8" s="1"/>
  <c r="H632" i="8"/>
  <c r="G467" i="7"/>
  <c r="H178" i="6"/>
  <c r="J178" i="6" s="1"/>
  <c r="L301" i="12"/>
  <c r="N301" i="12" s="1"/>
  <c r="O301" i="12"/>
  <c r="N907" i="8"/>
  <c r="H415" i="6"/>
  <c r="I415" i="6" s="1"/>
  <c r="N797" i="8"/>
  <c r="I357" i="8"/>
  <c r="J357" i="8" s="1"/>
  <c r="L357" i="8" s="1"/>
  <c r="J303" i="8"/>
  <c r="C1328" i="6"/>
  <c r="N412" i="8"/>
  <c r="F763" i="6"/>
  <c r="K52" i="9"/>
  <c r="H782" i="6"/>
  <c r="I782" i="6" s="1"/>
  <c r="L322" i="11"/>
  <c r="M322" i="11" s="1"/>
  <c r="Q322" i="11" s="1"/>
  <c r="M468" i="7"/>
  <c r="G1094" i="6" l="1"/>
  <c r="F1094" i="6"/>
  <c r="V320" i="11"/>
  <c r="S321" i="11" s="1"/>
  <c r="W320" i="11"/>
  <c r="U321" i="11"/>
  <c r="X320" i="11"/>
  <c r="E1380" i="6"/>
  <c r="G1380" i="6" s="1"/>
  <c r="H131" i="6"/>
  <c r="I131" i="6" s="1"/>
  <c r="B1285" i="6"/>
  <c r="D715" i="6"/>
  <c r="G742" i="7"/>
  <c r="B743" i="7" s="1"/>
  <c r="N138" i="7"/>
  <c r="I139" i="7" s="1"/>
  <c r="G668" i="6"/>
  <c r="E669" i="6" s="1"/>
  <c r="G669" i="6" s="1"/>
  <c r="F356" i="7"/>
  <c r="M467" i="8"/>
  <c r="AO257" i="11"/>
  <c r="G907" i="7"/>
  <c r="J782" i="6"/>
  <c r="F853" i="8"/>
  <c r="J130" i="6"/>
  <c r="D1284" i="6"/>
  <c r="J25" i="10"/>
  <c r="M302" i="7"/>
  <c r="G1138" i="7"/>
  <c r="D1378" i="6"/>
  <c r="B1379" i="6" s="1"/>
  <c r="F193" i="7"/>
  <c r="F1042" i="6"/>
  <c r="E1043" i="6" s="1"/>
  <c r="F577" i="8"/>
  <c r="G577" i="8"/>
  <c r="B578" i="8" s="1"/>
  <c r="F1514" i="6"/>
  <c r="E1515" i="6" s="1"/>
  <c r="G1515" i="6" s="1"/>
  <c r="G1514" i="6"/>
  <c r="H207" i="11"/>
  <c r="I207" i="11"/>
  <c r="L207" i="11"/>
  <c r="K207" i="11"/>
  <c r="Q207" i="11" s="1"/>
  <c r="O908" i="7"/>
  <c r="G951" i="6"/>
  <c r="E952" i="6" s="1"/>
  <c r="F952" i="6" s="1"/>
  <c r="F953" i="6" s="1"/>
  <c r="F954" i="6" s="1"/>
  <c r="F955" i="6" s="1"/>
  <c r="F956" i="6" s="1"/>
  <c r="F957" i="6" s="1"/>
  <c r="F958" i="6" s="1"/>
  <c r="F959" i="6" s="1"/>
  <c r="F960" i="6" s="1"/>
  <c r="F961" i="6" s="1"/>
  <c r="F962" i="6" s="1"/>
  <c r="N467" i="8"/>
  <c r="I468" i="8" s="1"/>
  <c r="E1081" i="7"/>
  <c r="J1081" i="7"/>
  <c r="I1081" i="7"/>
  <c r="F1081" i="7"/>
  <c r="G1081" i="7" s="1"/>
  <c r="H968" i="7"/>
  <c r="G522" i="7"/>
  <c r="B523" i="7" s="1"/>
  <c r="C523" i="7" s="1"/>
  <c r="H523" i="7" s="1"/>
  <c r="K1138" i="7"/>
  <c r="L22" i="9"/>
  <c r="M22" i="9" s="1"/>
  <c r="P22" i="9" s="1"/>
  <c r="H21" i="9"/>
  <c r="I21" i="9" s="1"/>
  <c r="G968" i="7"/>
  <c r="I367" i="6"/>
  <c r="H368" i="6" s="1"/>
  <c r="N192" i="8"/>
  <c r="I193" i="8" s="1"/>
  <c r="J193" i="8" s="1"/>
  <c r="L193" i="8" s="1"/>
  <c r="L138" i="12"/>
  <c r="N138" i="12" s="1"/>
  <c r="I139" i="12" s="1"/>
  <c r="E1426" i="6"/>
  <c r="F1426" i="6" s="1"/>
  <c r="K53" i="9"/>
  <c r="F853" i="7"/>
  <c r="F995" i="6"/>
  <c r="E996" i="6" s="1"/>
  <c r="G996" i="6" s="1"/>
  <c r="H1026" i="7"/>
  <c r="H2906" i="6"/>
  <c r="I2906" i="6" s="1"/>
  <c r="B1027" i="7"/>
  <c r="C1027" i="7"/>
  <c r="D1027" i="7" s="1"/>
  <c r="AT257" i="11"/>
  <c r="AS257" i="11"/>
  <c r="AX257" i="11" s="1"/>
  <c r="AR257" i="11"/>
  <c r="AQ257" i="11"/>
  <c r="AW257" i="11" s="1"/>
  <c r="J1193" i="7"/>
  <c r="I1193" i="7"/>
  <c r="F1193" i="7"/>
  <c r="E1193" i="7"/>
  <c r="G1193" i="7"/>
  <c r="N357" i="8"/>
  <c r="H416" i="6"/>
  <c r="I416" i="6" s="1"/>
  <c r="AS207" i="11"/>
  <c r="AX207" i="11" s="1"/>
  <c r="AT207" i="11"/>
  <c r="AV207" i="11"/>
  <c r="AU207" i="11"/>
  <c r="AY207" i="11" s="1"/>
  <c r="BD207" i="11" s="1"/>
  <c r="AQ207" i="11"/>
  <c r="AW207" i="11" s="1"/>
  <c r="AR207" i="11"/>
  <c r="C798" i="7"/>
  <c r="N852" i="7"/>
  <c r="O322" i="11"/>
  <c r="P322" i="11"/>
  <c r="N322" i="11"/>
  <c r="K323" i="11" s="1"/>
  <c r="I138" i="8"/>
  <c r="J138" i="8" s="1"/>
  <c r="L138" i="8" s="1"/>
  <c r="F616" i="6"/>
  <c r="K852" i="7"/>
  <c r="M852" i="7" s="1"/>
  <c r="O852" i="7"/>
  <c r="J415" i="6"/>
  <c r="G1186" i="6"/>
  <c r="I908" i="8"/>
  <c r="J908" i="8" s="1"/>
  <c r="L908" i="8" s="1"/>
  <c r="I963" i="8"/>
  <c r="B623" i="6"/>
  <c r="D623" i="6" s="1"/>
  <c r="D624" i="6" s="1"/>
  <c r="D625" i="6" s="1"/>
  <c r="D626" i="6" s="1"/>
  <c r="D627" i="6" s="1"/>
  <c r="D628" i="6" s="1"/>
  <c r="D629" i="6" s="1"/>
  <c r="D630" i="6" s="1"/>
  <c r="D631" i="6" s="1"/>
  <c r="D632" i="6" s="1"/>
  <c r="D633" i="6" s="1"/>
  <c r="F1380" i="6"/>
  <c r="H302" i="7"/>
  <c r="D302" i="7"/>
  <c r="F302" i="7" s="1"/>
  <c r="I302" i="12"/>
  <c r="D193" i="8"/>
  <c r="F193" i="8" s="1"/>
  <c r="H193" i="8"/>
  <c r="I248" i="12"/>
  <c r="J248" i="12" s="1"/>
  <c r="J457" i="6"/>
  <c r="H458" i="6" s="1"/>
  <c r="I458" i="6" s="1"/>
  <c r="C688" i="7"/>
  <c r="D688" i="7" s="1"/>
  <c r="D53" i="9"/>
  <c r="C53" i="9"/>
  <c r="J52" i="9"/>
  <c r="H963" i="8"/>
  <c r="E963" i="8"/>
  <c r="G963" i="8" s="1"/>
  <c r="F1231" i="6"/>
  <c r="B468" i="7"/>
  <c r="C468" i="7" s="1"/>
  <c r="E468" i="7" s="1"/>
  <c r="M301" i="12"/>
  <c r="B907" i="8"/>
  <c r="D1186" i="6"/>
  <c r="H577" i="7"/>
  <c r="E577" i="7"/>
  <c r="F906" i="8"/>
  <c r="E247" i="8"/>
  <c r="H247" i="8"/>
  <c r="J469" i="7"/>
  <c r="J319" i="6"/>
  <c r="H320" i="6" s="1"/>
  <c r="I320" i="6" s="1"/>
  <c r="B523" i="8"/>
  <c r="C523" i="8" s="1"/>
  <c r="E523" i="8" s="1"/>
  <c r="BS207" i="11"/>
  <c r="I506" i="6"/>
  <c r="K578" i="8"/>
  <c r="M578" i="8" s="1"/>
  <c r="O578" i="8"/>
  <c r="O632" i="7"/>
  <c r="L632" i="7"/>
  <c r="M962" i="8"/>
  <c r="I224" i="6"/>
  <c r="D1472" i="6"/>
  <c r="B1473" i="6" s="1"/>
  <c r="C1473" i="6" s="1"/>
  <c r="K632" i="7"/>
  <c r="F1276" i="6"/>
  <c r="N412" i="7"/>
  <c r="B138" i="12"/>
  <c r="C138" i="12" s="1"/>
  <c r="G1017" i="8"/>
  <c r="B1329" i="6"/>
  <c r="D1329" i="6" s="1"/>
  <c r="C1329" i="6"/>
  <c r="I303" i="7"/>
  <c r="J303" i="7" s="1"/>
  <c r="J554" i="6"/>
  <c r="H555" i="6" s="1"/>
  <c r="I555" i="6" s="1"/>
  <c r="L303" i="8"/>
  <c r="O303" i="8"/>
  <c r="O1018" i="8"/>
  <c r="L1018" i="8"/>
  <c r="N1018" i="8" s="1"/>
  <c r="L908" i="7"/>
  <c r="N908" i="7" s="1"/>
  <c r="L248" i="8"/>
  <c r="M138" i="7"/>
  <c r="B1094" i="6"/>
  <c r="D1094" i="6" s="1"/>
  <c r="C1094" i="6"/>
  <c r="K357" i="8"/>
  <c r="M357" i="8" s="1"/>
  <c r="F1329" i="6"/>
  <c r="B1074" i="8"/>
  <c r="C1074" i="8" s="1"/>
  <c r="E1074" i="8"/>
  <c r="I193" i="7"/>
  <c r="H302" i="12"/>
  <c r="D302" i="12"/>
  <c r="BR207" i="11"/>
  <c r="E1143" i="6"/>
  <c r="G1143" i="6" s="1"/>
  <c r="AV257" i="11"/>
  <c r="AU257" i="11"/>
  <c r="AY257" i="11" s="1"/>
  <c r="BD257" i="11" s="1"/>
  <c r="D247" i="8"/>
  <c r="I743" i="8"/>
  <c r="J743" i="8" s="1"/>
  <c r="J2905" i="6"/>
  <c r="H783" i="6"/>
  <c r="I783" i="6" s="1"/>
  <c r="I578" i="7"/>
  <c r="J578" i="7" s="1"/>
  <c r="B248" i="7"/>
  <c r="C248" i="7" s="1"/>
  <c r="E248" i="7"/>
  <c r="C303" i="8"/>
  <c r="K688" i="7"/>
  <c r="B762" i="6"/>
  <c r="D762" i="6" s="1"/>
  <c r="C762" i="6"/>
  <c r="I852" i="8"/>
  <c r="J852" i="8" s="1"/>
  <c r="J830" i="6"/>
  <c r="E1186" i="6"/>
  <c r="F1186" i="6" s="1"/>
  <c r="I413" i="8"/>
  <c r="J413" i="8" s="1"/>
  <c r="B414" i="8"/>
  <c r="H687" i="8"/>
  <c r="D687" i="8"/>
  <c r="D1236" i="6"/>
  <c r="B1237" i="6" s="1"/>
  <c r="C1237" i="6" s="1"/>
  <c r="E1095" i="6"/>
  <c r="G1095" i="6" s="1"/>
  <c r="F1095" i="6"/>
  <c r="H137" i="7"/>
  <c r="D137" i="7"/>
  <c r="E687" i="8"/>
  <c r="G687" i="8" s="1"/>
  <c r="E712" i="6"/>
  <c r="G712" i="6" s="1"/>
  <c r="F712" i="6"/>
  <c r="L742" i="7"/>
  <c r="O742" i="7"/>
  <c r="K303" i="8"/>
  <c r="O357" i="8"/>
  <c r="D1427" i="6"/>
  <c r="F742" i="7"/>
  <c r="D963" i="8"/>
  <c r="N521" i="8"/>
  <c r="F905" i="6"/>
  <c r="F906" i="6" s="1"/>
  <c r="F907" i="6" s="1"/>
  <c r="F908" i="6" s="1"/>
  <c r="F909" i="6" s="1"/>
  <c r="F910" i="6" s="1"/>
  <c r="F911" i="6" s="1"/>
  <c r="F912" i="6" s="1"/>
  <c r="F913" i="6" s="1"/>
  <c r="F914" i="6" s="1"/>
  <c r="F915" i="6" s="1"/>
  <c r="E916" i="6" s="1"/>
  <c r="H873" i="6" s="1"/>
  <c r="F907" i="7"/>
  <c r="B467" i="8"/>
  <c r="C467" i="8" s="1"/>
  <c r="E467" i="8"/>
  <c r="I798" i="8"/>
  <c r="J798" i="8" s="1"/>
  <c r="L798" i="8"/>
  <c r="I275" i="6"/>
  <c r="O522" i="7"/>
  <c r="K522" i="7"/>
  <c r="M522" i="7" s="1"/>
  <c r="G853" i="7"/>
  <c r="O1072" i="8"/>
  <c r="L1072" i="8"/>
  <c r="G193" i="7"/>
  <c r="K1026" i="7"/>
  <c r="B1140" i="6"/>
  <c r="C1140" i="6" s="1"/>
  <c r="B633" i="8"/>
  <c r="C633" i="8" s="1"/>
  <c r="H633" i="8" s="1"/>
  <c r="BQ207" i="11"/>
  <c r="F192" i="12"/>
  <c r="H320" i="11"/>
  <c r="F320" i="11"/>
  <c r="C321" i="11" s="1"/>
  <c r="G320" i="11"/>
  <c r="C634" i="7"/>
  <c r="B716" i="6"/>
  <c r="D716" i="6" s="1"/>
  <c r="C716" i="6"/>
  <c r="K797" i="7"/>
  <c r="M797" i="7" s="1"/>
  <c r="O797" i="7"/>
  <c r="K1072" i="8"/>
  <c r="M1072" i="8" s="1"/>
  <c r="C412" i="7"/>
  <c r="D412" i="7" s="1"/>
  <c r="AC255" i="11"/>
  <c r="AB255" i="11"/>
  <c r="AA255" i="11"/>
  <c r="AD255" i="11"/>
  <c r="Z255" i="11"/>
  <c r="Y255" i="11"/>
  <c r="AE255" i="11"/>
  <c r="F33" i="10"/>
  <c r="D1521" i="6"/>
  <c r="B1522" i="6" s="1"/>
  <c r="C1522" i="6" s="1"/>
  <c r="M192" i="7"/>
  <c r="C1139" i="7"/>
  <c r="D1139" i="7" s="1"/>
  <c r="B193" i="12"/>
  <c r="B908" i="7"/>
  <c r="I192" i="12"/>
  <c r="J192" i="12" s="1"/>
  <c r="L192" i="12" s="1"/>
  <c r="H742" i="8"/>
  <c r="E742" i="8"/>
  <c r="G742" i="8" s="1"/>
  <c r="B359" i="8"/>
  <c r="C359" i="8" s="1"/>
  <c r="E798" i="8"/>
  <c r="G798" i="8" s="1"/>
  <c r="H798" i="8"/>
  <c r="E764" i="6"/>
  <c r="G764" i="6" s="1"/>
  <c r="G765" i="6" s="1"/>
  <c r="G766" i="6" s="1"/>
  <c r="G767" i="6" s="1"/>
  <c r="G768" i="6" s="1"/>
  <c r="G769" i="6" s="1"/>
  <c r="G770" i="6" s="1"/>
  <c r="G771" i="6" s="1"/>
  <c r="G772" i="6" s="1"/>
  <c r="G773" i="6" s="1"/>
  <c r="G774" i="6" s="1"/>
  <c r="L687" i="8"/>
  <c r="N687" i="8" s="1"/>
  <c r="O687" i="8"/>
  <c r="I248" i="7"/>
  <c r="J248" i="7" s="1"/>
  <c r="L248" i="7" s="1"/>
  <c r="E1463" i="6"/>
  <c r="G1463" i="6" s="1"/>
  <c r="K632" i="8"/>
  <c r="M632" i="8" s="1"/>
  <c r="O632" i="8"/>
  <c r="F413" i="8"/>
  <c r="I178" i="6"/>
  <c r="K248" i="8"/>
  <c r="M248" i="8" s="1"/>
  <c r="D247" i="12"/>
  <c r="F247" i="12" s="1"/>
  <c r="H247" i="12"/>
  <c r="E137" i="7"/>
  <c r="M25" i="10"/>
  <c r="I25" i="10" s="1"/>
  <c r="K742" i="7"/>
  <c r="G853" i="8"/>
  <c r="D577" i="7"/>
  <c r="H830" i="6"/>
  <c r="I830" i="6" s="1"/>
  <c r="G356" i="7"/>
  <c r="L688" i="7"/>
  <c r="C137" i="8"/>
  <c r="D137" i="8" s="1"/>
  <c r="I358" i="7"/>
  <c r="J358" i="7" s="1"/>
  <c r="E302" i="12"/>
  <c r="F1043" i="6" l="1"/>
  <c r="G1043" i="6"/>
  <c r="C1379" i="6"/>
  <c r="D1379" i="6"/>
  <c r="C578" i="8"/>
  <c r="H578" i="8" s="1"/>
  <c r="J131" i="6"/>
  <c r="T321" i="11"/>
  <c r="Y321" i="11" s="1"/>
  <c r="F247" i="8"/>
  <c r="N303" i="8"/>
  <c r="I304" i="8" s="1"/>
  <c r="N688" i="7"/>
  <c r="J468" i="8"/>
  <c r="L468" i="8" s="1"/>
  <c r="E578" i="8"/>
  <c r="D578" i="8"/>
  <c r="F578" i="8" s="1"/>
  <c r="O22" i="9"/>
  <c r="S22" i="9" s="1"/>
  <c r="D1285" i="6"/>
  <c r="C1285" i="6"/>
  <c r="D321" i="11"/>
  <c r="F669" i="6"/>
  <c r="H1081" i="7"/>
  <c r="M742" i="7"/>
  <c r="G577" i="7"/>
  <c r="B578" i="7" s="1"/>
  <c r="I368" i="6"/>
  <c r="J368" i="6"/>
  <c r="B1082" i="7"/>
  <c r="C1082" i="7"/>
  <c r="D1082" i="7" s="1"/>
  <c r="F302" i="12"/>
  <c r="M1018" i="8"/>
  <c r="J783" i="6"/>
  <c r="B969" i="7"/>
  <c r="C969" i="7"/>
  <c r="D969" i="7" s="1"/>
  <c r="F742" i="8"/>
  <c r="G1426" i="6"/>
  <c r="M687" i="8"/>
  <c r="P207" i="11"/>
  <c r="O207" i="11"/>
  <c r="S207" i="11" s="1"/>
  <c r="N207" i="11"/>
  <c r="M207" i="11"/>
  <c r="R207" i="11" s="1"/>
  <c r="U207" i="11" s="1"/>
  <c r="T207" i="11"/>
  <c r="E321" i="11"/>
  <c r="I321" i="11" s="1"/>
  <c r="N632" i="8"/>
  <c r="I633" i="8" s="1"/>
  <c r="J633" i="8" s="1"/>
  <c r="M632" i="7"/>
  <c r="L323" i="11"/>
  <c r="M323" i="11" s="1"/>
  <c r="Q323" i="11" s="1"/>
  <c r="K1081" i="7"/>
  <c r="N22" i="9"/>
  <c r="Q22" i="9" s="1"/>
  <c r="E1427" i="6"/>
  <c r="F1427" i="6" s="1"/>
  <c r="M138" i="12"/>
  <c r="J139" i="12" s="1"/>
  <c r="K139" i="12" s="1"/>
  <c r="G952" i="6"/>
  <c r="G953" i="6" s="1"/>
  <c r="G954" i="6" s="1"/>
  <c r="G955" i="6" s="1"/>
  <c r="G956" i="6" s="1"/>
  <c r="G957" i="6" s="1"/>
  <c r="G958" i="6" s="1"/>
  <c r="G959" i="6" s="1"/>
  <c r="G960" i="6" s="1"/>
  <c r="G961" i="6" s="1"/>
  <c r="G962" i="6" s="1"/>
  <c r="E963" i="6" s="1"/>
  <c r="H920" i="6" s="1"/>
  <c r="I922" i="6" s="1"/>
  <c r="D1140" i="6"/>
  <c r="B1141" i="6" s="1"/>
  <c r="D1141" i="6" s="1"/>
  <c r="N578" i="8"/>
  <c r="G137" i="7"/>
  <c r="C623" i="6"/>
  <c r="C624" i="6" s="1"/>
  <c r="C625" i="6" s="1"/>
  <c r="C626" i="6" s="1"/>
  <c r="C627" i="6" s="1"/>
  <c r="C628" i="6" s="1"/>
  <c r="C629" i="6" s="1"/>
  <c r="C630" i="6" s="1"/>
  <c r="C631" i="6" s="1"/>
  <c r="C632" i="6" s="1"/>
  <c r="C633" i="6" s="1"/>
  <c r="B634" i="6" s="1"/>
  <c r="K1193" i="7"/>
  <c r="H369" i="6"/>
  <c r="I369" i="6" s="1"/>
  <c r="H2907" i="6"/>
  <c r="I2907" i="6" s="1"/>
  <c r="G321" i="11"/>
  <c r="F321" i="11"/>
  <c r="C322" i="11" s="1"/>
  <c r="H321" i="11"/>
  <c r="K1139" i="7"/>
  <c r="J1139" i="7"/>
  <c r="I1139" i="7"/>
  <c r="F1139" i="7"/>
  <c r="E1139" i="7"/>
  <c r="G1139" i="7" s="1"/>
  <c r="O303" i="7"/>
  <c r="K303" i="7"/>
  <c r="L303" i="7"/>
  <c r="N303" i="7" s="1"/>
  <c r="N193" i="8"/>
  <c r="J1027" i="7"/>
  <c r="I1027" i="7"/>
  <c r="F1027" i="7"/>
  <c r="E1027" i="7"/>
  <c r="E1044" i="6"/>
  <c r="G1044" i="6" s="1"/>
  <c r="C414" i="8"/>
  <c r="O413" i="8"/>
  <c r="K413" i="8"/>
  <c r="D256" i="11"/>
  <c r="D248" i="7"/>
  <c r="F248" i="7" s="1"/>
  <c r="H248" i="7"/>
  <c r="B688" i="8"/>
  <c r="E1232" i="6"/>
  <c r="G1232" i="6" s="1"/>
  <c r="I853" i="7"/>
  <c r="F137" i="7"/>
  <c r="B964" i="8"/>
  <c r="B799" i="8"/>
  <c r="H276" i="6"/>
  <c r="J276" i="6" s="1"/>
  <c r="E1096" i="6"/>
  <c r="F1096" i="6" s="1"/>
  <c r="E1330" i="6"/>
  <c r="G1330" i="6" s="1"/>
  <c r="H1193" i="7"/>
  <c r="O743" i="8"/>
  <c r="K743" i="8"/>
  <c r="I875" i="6"/>
  <c r="L413" i="8"/>
  <c r="N413" i="8" s="1"/>
  <c r="L743" i="8"/>
  <c r="I358" i="8"/>
  <c r="O193" i="8"/>
  <c r="G247" i="8"/>
  <c r="H412" i="7"/>
  <c r="E412" i="7"/>
  <c r="G412" i="7" s="1"/>
  <c r="I522" i="8"/>
  <c r="J522" i="8" s="1"/>
  <c r="L522" i="8"/>
  <c r="BT207" i="11"/>
  <c r="BU207" i="11" s="1"/>
  <c r="F963" i="8"/>
  <c r="E633" i="8"/>
  <c r="H523" i="8"/>
  <c r="D523" i="8"/>
  <c r="F523" i="8" s="1"/>
  <c r="B357" i="7"/>
  <c r="C357" i="7" s="1"/>
  <c r="E357" i="7" s="1"/>
  <c r="D1522" i="6"/>
  <c r="B1523" i="6" s="1"/>
  <c r="C1523" i="6" s="1"/>
  <c r="D633" i="8"/>
  <c r="F996" i="6"/>
  <c r="E1381" i="6"/>
  <c r="G1381" i="6" s="1"/>
  <c r="O578" i="7"/>
  <c r="K578" i="7"/>
  <c r="F1143" i="6"/>
  <c r="G193" i="8"/>
  <c r="J53" i="9"/>
  <c r="C58" i="9"/>
  <c r="C59" i="9" s="1"/>
  <c r="C60" i="9" s="1"/>
  <c r="C62" i="9" s="1"/>
  <c r="D1095" i="6"/>
  <c r="H225" i="6"/>
  <c r="J225" i="6" s="1"/>
  <c r="F1515" i="6"/>
  <c r="I579" i="8"/>
  <c r="B854" i="8"/>
  <c r="C854" i="8" s="1"/>
  <c r="E854" i="8" s="1"/>
  <c r="B1330" i="6"/>
  <c r="D1330" i="6" s="1"/>
  <c r="C1330" i="6"/>
  <c r="O138" i="8"/>
  <c r="K138" i="8"/>
  <c r="M138" i="8" s="1"/>
  <c r="O248" i="7"/>
  <c r="K248" i="7"/>
  <c r="M248" i="7" s="1"/>
  <c r="C256" i="11"/>
  <c r="AF255" i="11"/>
  <c r="J256" i="11" s="1"/>
  <c r="B717" i="6"/>
  <c r="C717" i="6" s="1"/>
  <c r="C718" i="6" s="1"/>
  <c r="C719" i="6" s="1"/>
  <c r="C720" i="6" s="1"/>
  <c r="C721" i="6" s="1"/>
  <c r="C722" i="6" s="1"/>
  <c r="C723" i="6" s="1"/>
  <c r="C724" i="6" s="1"/>
  <c r="C725" i="6" s="1"/>
  <c r="C726" i="6" s="1"/>
  <c r="C727" i="6" s="1"/>
  <c r="B194" i="7"/>
  <c r="C194" i="7" s="1"/>
  <c r="E194" i="7"/>
  <c r="M688" i="7"/>
  <c r="N248" i="8"/>
  <c r="N632" i="7"/>
  <c r="B1187" i="6"/>
  <c r="C1187" i="6" s="1"/>
  <c r="AZ207" i="11"/>
  <c r="O852" i="8"/>
  <c r="K852" i="8"/>
  <c r="D1473" i="6"/>
  <c r="B1474" i="6" s="1"/>
  <c r="C1474" i="6" s="1"/>
  <c r="H831" i="6"/>
  <c r="I831" i="6" s="1"/>
  <c r="F687" i="8"/>
  <c r="K192" i="12"/>
  <c r="M192" i="12" s="1"/>
  <c r="O192" i="12"/>
  <c r="J139" i="7"/>
  <c r="K139" i="7" s="1"/>
  <c r="J963" i="8"/>
  <c r="K963" i="8" s="1"/>
  <c r="E688" i="7"/>
  <c r="G688" i="7" s="1"/>
  <c r="H688" i="7"/>
  <c r="N522" i="7"/>
  <c r="E523" i="7"/>
  <c r="B1018" i="8"/>
  <c r="C1018" i="8" s="1"/>
  <c r="E1018" i="8" s="1"/>
  <c r="J458" i="6"/>
  <c r="H459" i="6" s="1"/>
  <c r="I459" i="6" s="1"/>
  <c r="K358" i="7"/>
  <c r="O358" i="7"/>
  <c r="E1277" i="6"/>
  <c r="G1277" i="6" s="1"/>
  <c r="H507" i="6"/>
  <c r="J507" i="6" s="1"/>
  <c r="E1187" i="6"/>
  <c r="G1187" i="6" s="1"/>
  <c r="F1187" i="6"/>
  <c r="J416" i="6"/>
  <c r="H417" i="6" s="1"/>
  <c r="I417" i="6" s="1"/>
  <c r="I689" i="7"/>
  <c r="C193" i="12"/>
  <c r="G1096" i="6"/>
  <c r="H359" i="8"/>
  <c r="D359" i="8"/>
  <c r="C907" i="8"/>
  <c r="D523" i="7"/>
  <c r="J193" i="7"/>
  <c r="B743" i="8"/>
  <c r="D1237" i="6"/>
  <c r="B1238" i="6" s="1"/>
  <c r="C1238" i="6" s="1"/>
  <c r="J555" i="6"/>
  <c r="J853" i="7"/>
  <c r="O853" i="7" s="1"/>
  <c r="C34" i="10"/>
  <c r="E34" i="10"/>
  <c r="D34" i="10"/>
  <c r="N797" i="7"/>
  <c r="F577" i="7"/>
  <c r="O798" i="8"/>
  <c r="K798" i="8"/>
  <c r="M798" i="8" s="1"/>
  <c r="L578" i="7"/>
  <c r="H634" i="7"/>
  <c r="E634" i="7"/>
  <c r="N1072" i="8"/>
  <c r="M303" i="8"/>
  <c r="G302" i="7"/>
  <c r="D138" i="12"/>
  <c r="H138" i="12"/>
  <c r="J320" i="6"/>
  <c r="H321" i="6" s="1"/>
  <c r="I321" i="6" s="1"/>
  <c r="K248" i="12"/>
  <c r="O248" i="12"/>
  <c r="AZ257" i="11"/>
  <c r="D634" i="7"/>
  <c r="D467" i="8"/>
  <c r="F467" i="8" s="1"/>
  <c r="H467" i="8"/>
  <c r="E303" i="8"/>
  <c r="H303" i="8"/>
  <c r="I909" i="7"/>
  <c r="E138" i="12"/>
  <c r="L469" i="7"/>
  <c r="O469" i="7"/>
  <c r="J302" i="12"/>
  <c r="L248" i="12"/>
  <c r="E713" i="6"/>
  <c r="F713" i="6" s="1"/>
  <c r="B138" i="7"/>
  <c r="G713" i="6"/>
  <c r="D468" i="7"/>
  <c r="F468" i="7" s="1"/>
  <c r="H468" i="7"/>
  <c r="E137" i="8"/>
  <c r="G137" i="8" s="1"/>
  <c r="H137" i="8"/>
  <c r="F764" i="6"/>
  <c r="F765" i="6" s="1"/>
  <c r="F766" i="6" s="1"/>
  <c r="F767" i="6" s="1"/>
  <c r="F768" i="6" s="1"/>
  <c r="F769" i="6" s="1"/>
  <c r="F770" i="6" s="1"/>
  <c r="F771" i="6" s="1"/>
  <c r="F772" i="6" s="1"/>
  <c r="F773" i="6" s="1"/>
  <c r="F774" i="6" s="1"/>
  <c r="E775" i="6" s="1"/>
  <c r="H1074" i="8"/>
  <c r="D1074" i="8"/>
  <c r="F1074" i="8" s="1"/>
  <c r="K193" i="8"/>
  <c r="M193" i="8" s="1"/>
  <c r="G247" i="12"/>
  <c r="E359" i="8"/>
  <c r="C743" i="7"/>
  <c r="H798" i="7"/>
  <c r="E798" i="7"/>
  <c r="F1463" i="6"/>
  <c r="J358" i="8"/>
  <c r="K358" i="8" s="1"/>
  <c r="D798" i="7"/>
  <c r="N798" i="8"/>
  <c r="O358" i="8"/>
  <c r="L852" i="8"/>
  <c r="B1095" i="6"/>
  <c r="C1095" i="6" s="1"/>
  <c r="E617" i="6"/>
  <c r="G617" i="6" s="1"/>
  <c r="B763" i="6"/>
  <c r="D763" i="6" s="1"/>
  <c r="C763" i="6"/>
  <c r="O908" i="8"/>
  <c r="K908" i="8"/>
  <c r="M908" i="8" s="1"/>
  <c r="F798" i="8"/>
  <c r="G302" i="12"/>
  <c r="I688" i="8"/>
  <c r="L358" i="7"/>
  <c r="N25" i="10"/>
  <c r="H25" i="10" s="1"/>
  <c r="K25" i="10" s="1"/>
  <c r="H179" i="6"/>
  <c r="J179" i="6" s="1"/>
  <c r="B854" i="7"/>
  <c r="C854" i="7" s="1"/>
  <c r="E854" i="7" s="1"/>
  <c r="C908" i="7"/>
  <c r="N742" i="7"/>
  <c r="D303" i="8"/>
  <c r="J2906" i="6"/>
  <c r="I1019" i="8"/>
  <c r="I413" i="7"/>
  <c r="J413" i="7" s="1"/>
  <c r="J579" i="8"/>
  <c r="O579" i="8" s="1"/>
  <c r="K469" i="7"/>
  <c r="M469" i="7" s="1"/>
  <c r="E670" i="6"/>
  <c r="G670" i="6" s="1"/>
  <c r="G671" i="6" s="1"/>
  <c r="G672" i="6" s="1"/>
  <c r="G673" i="6" s="1"/>
  <c r="G674" i="6" s="1"/>
  <c r="G675" i="6" s="1"/>
  <c r="G676" i="6" s="1"/>
  <c r="G677" i="6" s="1"/>
  <c r="G678" i="6" s="1"/>
  <c r="G679" i="6" s="1"/>
  <c r="G680" i="6" s="1"/>
  <c r="B1428" i="6"/>
  <c r="C1428" i="6" s="1"/>
  <c r="BA207" i="11"/>
  <c r="BC207" i="11"/>
  <c r="BB207" i="11" s="1"/>
  <c r="BM207" i="11" s="1"/>
  <c r="BA257" i="11"/>
  <c r="BC257" i="11"/>
  <c r="BB257" i="11" s="1"/>
  <c r="M908" i="7"/>
  <c r="U322" i="11" l="1"/>
  <c r="X321" i="11"/>
  <c r="V321" i="11"/>
  <c r="S322" i="11" s="1"/>
  <c r="W321" i="11"/>
  <c r="R22" i="9"/>
  <c r="K1027" i="7"/>
  <c r="G578" i="8"/>
  <c r="B579" i="8" s="1"/>
  <c r="J132" i="6"/>
  <c r="K468" i="8"/>
  <c r="M468" i="8" s="1"/>
  <c r="J1019" i="8"/>
  <c r="K1019" i="8" s="1"/>
  <c r="B1380" i="6"/>
  <c r="C1380" i="6" s="1"/>
  <c r="O468" i="8"/>
  <c r="W207" i="11"/>
  <c r="F359" i="8"/>
  <c r="B1286" i="6"/>
  <c r="D1286" i="6" s="1"/>
  <c r="G634" i="7"/>
  <c r="G468" i="7"/>
  <c r="G303" i="8"/>
  <c r="N138" i="8"/>
  <c r="G633" i="8"/>
  <c r="B634" i="8" s="1"/>
  <c r="C743" i="8"/>
  <c r="H743" i="8" s="1"/>
  <c r="H132" i="6"/>
  <c r="I132" i="6" s="1"/>
  <c r="F22" i="9"/>
  <c r="E22" i="9"/>
  <c r="G22" i="9"/>
  <c r="J784" i="6"/>
  <c r="N358" i="7"/>
  <c r="I359" i="7" s="1"/>
  <c r="D717" i="6"/>
  <c r="D718" i="6" s="1"/>
  <c r="D719" i="6" s="1"/>
  <c r="D720" i="6" s="1"/>
  <c r="D721" i="6" s="1"/>
  <c r="D722" i="6" s="1"/>
  <c r="D723" i="6" s="1"/>
  <c r="D724" i="6" s="1"/>
  <c r="D725" i="6" s="1"/>
  <c r="D726" i="6" s="1"/>
  <c r="D727" i="6" s="1"/>
  <c r="B728" i="6" s="1"/>
  <c r="F137" i="8"/>
  <c r="G798" i="7"/>
  <c r="B799" i="7" s="1"/>
  <c r="F1044" i="6"/>
  <c r="E1045" i="6" s="1"/>
  <c r="V207" i="11"/>
  <c r="X207" i="11"/>
  <c r="G1027" i="7"/>
  <c r="G1427" i="6"/>
  <c r="J688" i="8"/>
  <c r="O688" i="8" s="1"/>
  <c r="D1428" i="6"/>
  <c r="N248" i="12"/>
  <c r="H784" i="6"/>
  <c r="I784" i="6" s="1"/>
  <c r="H785" i="6" s="1"/>
  <c r="F1082" i="7"/>
  <c r="I1082" i="7"/>
  <c r="J1082" i="7"/>
  <c r="E1082" i="7"/>
  <c r="G1082" i="7" s="1"/>
  <c r="K1082" i="7"/>
  <c r="H1139" i="7"/>
  <c r="B1140" i="7" s="1"/>
  <c r="M852" i="8"/>
  <c r="M578" i="7"/>
  <c r="F138" i="12"/>
  <c r="F256" i="11"/>
  <c r="J969" i="7"/>
  <c r="I969" i="7"/>
  <c r="E969" i="7"/>
  <c r="F969" i="7"/>
  <c r="H969" i="7" s="1"/>
  <c r="G523" i="7"/>
  <c r="B524" i="7" s="1"/>
  <c r="N192" i="12"/>
  <c r="I193" i="12" s="1"/>
  <c r="J193" i="12" s="1"/>
  <c r="N248" i="7"/>
  <c r="I249" i="7" s="1"/>
  <c r="J249" i="7" s="1"/>
  <c r="L249" i="7" s="1"/>
  <c r="N743" i="8"/>
  <c r="I744" i="8" s="1"/>
  <c r="F1232" i="6"/>
  <c r="K633" i="8"/>
  <c r="O633" i="8"/>
  <c r="L633" i="8"/>
  <c r="BX207" i="11"/>
  <c r="BZ207" i="11"/>
  <c r="BW207" i="11"/>
  <c r="CC207" i="11" s="1"/>
  <c r="BY207" i="11"/>
  <c r="CD207" i="11" s="1"/>
  <c r="CB207" i="11"/>
  <c r="CA207" i="11"/>
  <c r="CE207" i="11" s="1"/>
  <c r="G1018" i="8"/>
  <c r="E714" i="6"/>
  <c r="G714" i="6" s="1"/>
  <c r="F714" i="6"/>
  <c r="B1096" i="6"/>
  <c r="D1096" i="6" s="1"/>
  <c r="H322" i="6"/>
  <c r="I322" i="6" s="1"/>
  <c r="B1475" i="6"/>
  <c r="C1475" i="6"/>
  <c r="H907" i="8"/>
  <c r="E907" i="8"/>
  <c r="D357" i="7"/>
  <c r="F357" i="7" s="1"/>
  <c r="H357" i="7"/>
  <c r="M358" i="7"/>
  <c r="J689" i="7"/>
  <c r="K689" i="7" s="1"/>
  <c r="I414" i="8"/>
  <c r="I194" i="8"/>
  <c r="J194" i="8" s="1"/>
  <c r="L194" i="8" s="1"/>
  <c r="F617" i="6"/>
  <c r="M303" i="7"/>
  <c r="J304" i="8"/>
  <c r="M743" i="8"/>
  <c r="I1073" i="8"/>
  <c r="J1073" i="8" s="1"/>
  <c r="L1073" i="8" s="1"/>
  <c r="G359" i="8"/>
  <c r="D743" i="8"/>
  <c r="I743" i="7"/>
  <c r="J743" i="7" s="1"/>
  <c r="N468" i="8"/>
  <c r="E908" i="7"/>
  <c r="H908" i="7"/>
  <c r="G1074" i="8"/>
  <c r="E256" i="11"/>
  <c r="C964" i="8"/>
  <c r="H414" i="8"/>
  <c r="E414" i="8"/>
  <c r="I179" i="6"/>
  <c r="B689" i="7"/>
  <c r="I249" i="8"/>
  <c r="J249" i="8" s="1"/>
  <c r="E1464" i="6"/>
  <c r="G1464" i="6" s="1"/>
  <c r="D907" i="8"/>
  <c r="I225" i="6"/>
  <c r="I276" i="6"/>
  <c r="F34" i="10"/>
  <c r="B1331" i="6"/>
  <c r="C1331" i="6" s="1"/>
  <c r="K522" i="8"/>
  <c r="M522" i="8" s="1"/>
  <c r="O522" i="8"/>
  <c r="B303" i="12"/>
  <c r="C303" i="12" s="1"/>
  <c r="E303" i="12" s="1"/>
  <c r="B194" i="8"/>
  <c r="C194" i="8" s="1"/>
  <c r="J369" i="6"/>
  <c r="H370" i="6" s="1"/>
  <c r="I370" i="6" s="1"/>
  <c r="J556" i="6"/>
  <c r="C138" i="7"/>
  <c r="F412" i="7"/>
  <c r="B635" i="7"/>
  <c r="O302" i="12"/>
  <c r="L302" i="12"/>
  <c r="M413" i="8"/>
  <c r="H1027" i="7"/>
  <c r="G467" i="8"/>
  <c r="I507" i="6"/>
  <c r="E1233" i="6"/>
  <c r="G1233" i="6" s="1"/>
  <c r="I799" i="8"/>
  <c r="J799" i="8" s="1"/>
  <c r="G523" i="8"/>
  <c r="BM257" i="11"/>
  <c r="N578" i="7"/>
  <c r="I523" i="7"/>
  <c r="J523" i="7" s="1"/>
  <c r="I139" i="8"/>
  <c r="J139" i="8" s="1"/>
  <c r="O139" i="8" s="1"/>
  <c r="F1381" i="6"/>
  <c r="F1330" i="6"/>
  <c r="D414" i="8"/>
  <c r="O963" i="8"/>
  <c r="L963" i="8"/>
  <c r="N963" i="8" s="1"/>
  <c r="K579" i="8"/>
  <c r="M579" i="8" s="1"/>
  <c r="B304" i="8"/>
  <c r="O139" i="7"/>
  <c r="L139" i="7"/>
  <c r="N139" i="7" s="1"/>
  <c r="N522" i="8"/>
  <c r="I304" i="7"/>
  <c r="J831" i="6"/>
  <c r="N323" i="11"/>
  <c r="K324" i="11" s="1"/>
  <c r="O323" i="11"/>
  <c r="P323" i="11"/>
  <c r="H194" i="7"/>
  <c r="D194" i="7"/>
  <c r="F194" i="7" s="1"/>
  <c r="B413" i="7"/>
  <c r="J875" i="6"/>
  <c r="E1144" i="6"/>
  <c r="G1144" i="6" s="1"/>
  <c r="H854" i="8"/>
  <c r="D854" i="8"/>
  <c r="F854" i="8" s="1"/>
  <c r="L853" i="7"/>
  <c r="J909" i="7"/>
  <c r="K909" i="7" s="1"/>
  <c r="N852" i="8"/>
  <c r="F634" i="7"/>
  <c r="L579" i="8"/>
  <c r="H193" i="12"/>
  <c r="E193" i="12"/>
  <c r="N469" i="7"/>
  <c r="D193" i="12"/>
  <c r="D854" i="7"/>
  <c r="F854" i="7" s="1"/>
  <c r="H854" i="7"/>
  <c r="F798" i="7"/>
  <c r="B1188" i="6"/>
  <c r="C1188" i="6"/>
  <c r="E997" i="6"/>
  <c r="G997" i="6" s="1"/>
  <c r="L358" i="8"/>
  <c r="N358" i="8" s="1"/>
  <c r="H556" i="6"/>
  <c r="I556" i="6" s="1"/>
  <c r="N908" i="8"/>
  <c r="F688" i="7"/>
  <c r="L193" i="7"/>
  <c r="O193" i="7"/>
  <c r="F1277" i="6"/>
  <c r="D1187" i="6"/>
  <c r="E1097" i="6"/>
  <c r="F1097" i="6" s="1"/>
  <c r="C1141" i="6"/>
  <c r="C579" i="8"/>
  <c r="D579" i="8" s="1"/>
  <c r="L26" i="10"/>
  <c r="J26" i="10"/>
  <c r="O139" i="12"/>
  <c r="L139" i="12"/>
  <c r="N139" i="12" s="1"/>
  <c r="J417" i="6"/>
  <c r="O413" i="7"/>
  <c r="K413" i="7"/>
  <c r="BE207" i="11"/>
  <c r="BJ207" i="11"/>
  <c r="BI207" i="11"/>
  <c r="BH207" i="11"/>
  <c r="BG207" i="11"/>
  <c r="BF207" i="11"/>
  <c r="BK207" i="11"/>
  <c r="B469" i="7"/>
  <c r="C469" i="7" s="1"/>
  <c r="L413" i="7"/>
  <c r="B303" i="7"/>
  <c r="C303" i="7" s="1"/>
  <c r="E1188" i="6"/>
  <c r="G1188" i="6" s="1"/>
  <c r="F1188" i="6"/>
  <c r="D1474" i="6"/>
  <c r="E743" i="7"/>
  <c r="H743" i="7"/>
  <c r="K853" i="7"/>
  <c r="C799" i="8"/>
  <c r="D743" i="7"/>
  <c r="J459" i="6"/>
  <c r="H460" i="6" s="1"/>
  <c r="I460" i="6" s="1"/>
  <c r="J2907" i="6"/>
  <c r="H2908" i="6" s="1"/>
  <c r="I2908" i="6" s="1"/>
  <c r="I249" i="12"/>
  <c r="D1238" i="6"/>
  <c r="B248" i="8"/>
  <c r="C248" i="8" s="1"/>
  <c r="E248" i="8" s="1"/>
  <c r="B1194" i="7"/>
  <c r="C1194" i="7"/>
  <c r="D1194" i="7" s="1"/>
  <c r="F303" i="8"/>
  <c r="D1018" i="8"/>
  <c r="F1018" i="8" s="1"/>
  <c r="H1018" i="8"/>
  <c r="B248" i="12"/>
  <c r="C248" i="12" s="1"/>
  <c r="K302" i="12"/>
  <c r="B138" i="8"/>
  <c r="E1516" i="6"/>
  <c r="G1516" i="6" s="1"/>
  <c r="D908" i="7"/>
  <c r="B1429" i="6"/>
  <c r="C1429" i="6" s="1"/>
  <c r="B764" i="6"/>
  <c r="C764" i="6" s="1"/>
  <c r="C765" i="6" s="1"/>
  <c r="C766" i="6" s="1"/>
  <c r="C767" i="6" s="1"/>
  <c r="C768" i="6" s="1"/>
  <c r="C769" i="6" s="1"/>
  <c r="C770" i="6" s="1"/>
  <c r="C771" i="6" s="1"/>
  <c r="C772" i="6" s="1"/>
  <c r="C773" i="6" s="1"/>
  <c r="C774" i="6" s="1"/>
  <c r="G138" i="12"/>
  <c r="F670" i="6"/>
  <c r="F671" i="6" s="1"/>
  <c r="F672" i="6" s="1"/>
  <c r="F673" i="6" s="1"/>
  <c r="F674" i="6" s="1"/>
  <c r="F675" i="6" s="1"/>
  <c r="F676" i="6" s="1"/>
  <c r="F677" i="6" s="1"/>
  <c r="F678" i="6" s="1"/>
  <c r="F679" i="6" s="1"/>
  <c r="F680" i="6" s="1"/>
  <c r="E681" i="6" s="1"/>
  <c r="H638" i="6" s="1"/>
  <c r="M248" i="12"/>
  <c r="C578" i="7"/>
  <c r="K193" i="7"/>
  <c r="G248" i="7"/>
  <c r="I633" i="7"/>
  <c r="J633" i="7" s="1"/>
  <c r="L633" i="7" s="1"/>
  <c r="F633" i="8"/>
  <c r="D322" i="11"/>
  <c r="E322" i="11" s="1"/>
  <c r="I322" i="11" s="1"/>
  <c r="J922" i="6"/>
  <c r="J321" i="6"/>
  <c r="I798" i="7"/>
  <c r="J798" i="7" s="1"/>
  <c r="F523" i="7"/>
  <c r="G256" i="11"/>
  <c r="C688" i="8"/>
  <c r="D1523" i="6"/>
  <c r="B1524" i="6" s="1"/>
  <c r="C1524" i="6" s="1"/>
  <c r="I785" i="6" l="1"/>
  <c r="J785" i="6"/>
  <c r="F907" i="8"/>
  <c r="H133" i="6"/>
  <c r="D764" i="6"/>
  <c r="D765" i="6" s="1"/>
  <c r="D766" i="6" s="1"/>
  <c r="D767" i="6" s="1"/>
  <c r="D768" i="6" s="1"/>
  <c r="D769" i="6" s="1"/>
  <c r="D770" i="6" s="1"/>
  <c r="D771" i="6" s="1"/>
  <c r="D772" i="6" s="1"/>
  <c r="D773" i="6" s="1"/>
  <c r="D774" i="6" s="1"/>
  <c r="L1019" i="8"/>
  <c r="N1019" i="8" s="1"/>
  <c r="K969" i="7"/>
  <c r="O1019" i="8"/>
  <c r="C138" i="8"/>
  <c r="D138" i="8" s="1"/>
  <c r="D1380" i="6"/>
  <c r="B1381" i="6" s="1"/>
  <c r="K688" i="8"/>
  <c r="L688" i="8"/>
  <c r="AG207" i="11"/>
  <c r="Z207" i="11" s="1"/>
  <c r="T322" i="11"/>
  <c r="Y322" i="11" s="1"/>
  <c r="G969" i="7"/>
  <c r="E743" i="8"/>
  <c r="G743" i="8" s="1"/>
  <c r="B744" i="8" s="1"/>
  <c r="G854" i="8"/>
  <c r="D1429" i="6"/>
  <c r="M302" i="12"/>
  <c r="F997" i="6"/>
  <c r="N633" i="8"/>
  <c r="C1286" i="6"/>
  <c r="H469" i="7"/>
  <c r="E469" i="7"/>
  <c r="F1045" i="6"/>
  <c r="G1045" i="6"/>
  <c r="M358" i="8"/>
  <c r="G908" i="7"/>
  <c r="B909" i="7" s="1"/>
  <c r="G743" i="7"/>
  <c r="C1140" i="7"/>
  <c r="D1140" i="7" s="1"/>
  <c r="I1140" i="7" s="1"/>
  <c r="H1082" i="7"/>
  <c r="M853" i="7"/>
  <c r="E1428" i="6"/>
  <c r="F1428" i="6" s="1"/>
  <c r="N193" i="7"/>
  <c r="G357" i="7"/>
  <c r="B358" i="7" s="1"/>
  <c r="C358" i="7" s="1"/>
  <c r="M139" i="12"/>
  <c r="B970" i="7"/>
  <c r="AC207" i="11"/>
  <c r="G854" i="7"/>
  <c r="B855" i="7" s="1"/>
  <c r="C855" i="7" s="1"/>
  <c r="H855" i="7" s="1"/>
  <c r="M413" i="7"/>
  <c r="G193" i="12"/>
  <c r="B194" i="12" s="1"/>
  <c r="F414" i="8"/>
  <c r="H22" i="9"/>
  <c r="I22" i="9" s="1"/>
  <c r="L23" i="9"/>
  <c r="O23" i="9" s="1"/>
  <c r="L324" i="11"/>
  <c r="CG207" i="11"/>
  <c r="CH207" i="11" s="1"/>
  <c r="H322" i="11"/>
  <c r="G322" i="11"/>
  <c r="F322" i="11"/>
  <c r="C323" i="11" s="1"/>
  <c r="D323" i="11" s="1"/>
  <c r="K193" i="12"/>
  <c r="L193" i="12"/>
  <c r="N193" i="12" s="1"/>
  <c r="O193" i="12"/>
  <c r="E1046" i="6"/>
  <c r="F1046" i="6" s="1"/>
  <c r="F1047" i="6" s="1"/>
  <c r="F1048" i="6" s="1"/>
  <c r="F1049" i="6" s="1"/>
  <c r="F1050" i="6" s="1"/>
  <c r="F1051" i="6" s="1"/>
  <c r="F1052" i="6" s="1"/>
  <c r="F1053" i="6" s="1"/>
  <c r="F1054" i="6" s="1"/>
  <c r="F1055" i="6" s="1"/>
  <c r="F1056" i="6" s="1"/>
  <c r="L799" i="8"/>
  <c r="K799" i="8"/>
  <c r="M799" i="8" s="1"/>
  <c r="O799" i="8"/>
  <c r="E998" i="6"/>
  <c r="F998" i="6" s="1"/>
  <c r="E964" i="8"/>
  <c r="H964" i="8"/>
  <c r="G907" i="8"/>
  <c r="E715" i="6"/>
  <c r="F715" i="6" s="1"/>
  <c r="H256" i="11"/>
  <c r="I256" i="11" s="1"/>
  <c r="O256" i="11" s="1"/>
  <c r="S256" i="11" s="1"/>
  <c r="J876" i="6"/>
  <c r="O249" i="7"/>
  <c r="O249" i="8"/>
  <c r="K249" i="8"/>
  <c r="D1188" i="6"/>
  <c r="C635" i="7"/>
  <c r="H508" i="6"/>
  <c r="J508" i="6" s="1"/>
  <c r="H578" i="7"/>
  <c r="E578" i="7"/>
  <c r="BJ257" i="11"/>
  <c r="BI257" i="11"/>
  <c r="BH257" i="11"/>
  <c r="BF257" i="11"/>
  <c r="BK257" i="11"/>
  <c r="BG257" i="11"/>
  <c r="BE257" i="11"/>
  <c r="J1194" i="7"/>
  <c r="I1194" i="7"/>
  <c r="F1194" i="7"/>
  <c r="E1194" i="7"/>
  <c r="G1194" i="7" s="1"/>
  <c r="D578" i="7"/>
  <c r="F1516" i="6"/>
  <c r="B1142" i="6"/>
  <c r="D1142" i="6" s="1"/>
  <c r="F1144" i="6"/>
  <c r="J249" i="12"/>
  <c r="I523" i="8"/>
  <c r="J523" i="8" s="1"/>
  <c r="F1464" i="6"/>
  <c r="I1020" i="8"/>
  <c r="D469" i="7"/>
  <c r="F469" i="7" s="1"/>
  <c r="B1075" i="8"/>
  <c r="C1075" i="8" s="1"/>
  <c r="E1075" i="8"/>
  <c r="H923" i="6"/>
  <c r="I923" i="6" s="1"/>
  <c r="N579" i="8"/>
  <c r="F1233" i="6"/>
  <c r="CF207" i="11"/>
  <c r="AJ208" i="11"/>
  <c r="L249" i="8"/>
  <c r="G1097" i="6"/>
  <c r="E1278" i="6"/>
  <c r="G1278" i="6" s="1"/>
  <c r="I853" i="8"/>
  <c r="J853" i="8" s="1"/>
  <c r="H832" i="6"/>
  <c r="I832" i="6" s="1"/>
  <c r="K139" i="8"/>
  <c r="M139" i="8" s="1"/>
  <c r="H180" i="6"/>
  <c r="J180" i="6" s="1"/>
  <c r="B775" i="6"/>
  <c r="H732" i="6" s="1"/>
  <c r="I194" i="7"/>
  <c r="O743" i="7"/>
  <c r="K743" i="7"/>
  <c r="L743" i="7"/>
  <c r="N743" i="7" s="1"/>
  <c r="E688" i="8"/>
  <c r="H688" i="8"/>
  <c r="J460" i="6"/>
  <c r="D303" i="7"/>
  <c r="H303" i="7"/>
  <c r="BL207" i="11"/>
  <c r="AP208" i="11" s="1"/>
  <c r="AI208" i="11"/>
  <c r="I909" i="8"/>
  <c r="J909" i="8" s="1"/>
  <c r="L909" i="8" s="1"/>
  <c r="N853" i="7"/>
  <c r="G414" i="8"/>
  <c r="M963" i="8"/>
  <c r="C1096" i="6"/>
  <c r="O798" i="7"/>
  <c r="K798" i="7"/>
  <c r="D964" i="8"/>
  <c r="K249" i="7"/>
  <c r="M249" i="7" s="1"/>
  <c r="D248" i="8"/>
  <c r="F248" i="8" s="1"/>
  <c r="H248" i="8"/>
  <c r="B1189" i="6"/>
  <c r="C1189" i="6"/>
  <c r="I640" i="6"/>
  <c r="H303" i="12"/>
  <c r="D303" i="12"/>
  <c r="F303" i="12" s="1"/>
  <c r="J359" i="7"/>
  <c r="B1019" i="8"/>
  <c r="C1019" i="8" s="1"/>
  <c r="D1019" i="8" s="1"/>
  <c r="B139" i="12"/>
  <c r="C139" i="12" s="1"/>
  <c r="E139" i="12"/>
  <c r="I140" i="12"/>
  <c r="J140" i="12" s="1"/>
  <c r="E1331" i="6"/>
  <c r="G1331" i="6" s="1"/>
  <c r="B1028" i="7"/>
  <c r="C1028" i="7"/>
  <c r="D248" i="12"/>
  <c r="H248" i="12"/>
  <c r="E1189" i="6"/>
  <c r="G1189" i="6" s="1"/>
  <c r="F1189" i="6"/>
  <c r="C799" i="7"/>
  <c r="D799" i="7" s="1"/>
  <c r="G194" i="7"/>
  <c r="E1382" i="6"/>
  <c r="G1382" i="6" s="1"/>
  <c r="L139" i="8"/>
  <c r="D688" i="8"/>
  <c r="F743" i="7"/>
  <c r="E303" i="7"/>
  <c r="M26" i="10"/>
  <c r="I26" i="10" s="1"/>
  <c r="H557" i="6"/>
  <c r="I557" i="6" s="1"/>
  <c r="C855" i="8"/>
  <c r="E855" i="8" s="1"/>
  <c r="O523" i="7"/>
  <c r="K523" i="7"/>
  <c r="N302" i="12"/>
  <c r="M633" i="8"/>
  <c r="I140" i="7"/>
  <c r="B468" i="8"/>
  <c r="C468" i="8" s="1"/>
  <c r="E468" i="8"/>
  <c r="L304" i="8"/>
  <c r="O304" i="8"/>
  <c r="H418" i="6"/>
  <c r="I418" i="6" s="1"/>
  <c r="J2908" i="6"/>
  <c r="K633" i="7"/>
  <c r="M633" i="7" s="1"/>
  <c r="O633" i="7"/>
  <c r="B855" i="8"/>
  <c r="C689" i="7"/>
  <c r="D689" i="7" s="1"/>
  <c r="E35" i="10"/>
  <c r="D35" i="10"/>
  <c r="C35" i="10"/>
  <c r="B249" i="7"/>
  <c r="C249" i="7" s="1"/>
  <c r="E249" i="7"/>
  <c r="B1430" i="6"/>
  <c r="C1430" i="6" s="1"/>
  <c r="H799" i="8"/>
  <c r="E799" i="8"/>
  <c r="N413" i="7"/>
  <c r="H876" i="6"/>
  <c r="I876" i="6" s="1"/>
  <c r="F193" i="12"/>
  <c r="L523" i="7"/>
  <c r="J370" i="6"/>
  <c r="H371" i="6" s="1"/>
  <c r="I371" i="6" s="1"/>
  <c r="H277" i="6"/>
  <c r="J277" i="6" s="1"/>
  <c r="E618" i="6"/>
  <c r="G618" i="6" s="1"/>
  <c r="H786" i="6"/>
  <c r="J786" i="6" s="1"/>
  <c r="D1331" i="6"/>
  <c r="C524" i="7"/>
  <c r="C304" i="8"/>
  <c r="D304" i="8" s="1"/>
  <c r="D194" i="8"/>
  <c r="H194" i="8"/>
  <c r="K194" i="8"/>
  <c r="M194" i="8" s="1"/>
  <c r="B524" i="8"/>
  <c r="C524" i="8" s="1"/>
  <c r="L798" i="7"/>
  <c r="N798" i="7" s="1"/>
  <c r="J322" i="6"/>
  <c r="H323" i="6" s="1"/>
  <c r="I323" i="6" s="1"/>
  <c r="I964" i="8"/>
  <c r="O689" i="7"/>
  <c r="L689" i="7"/>
  <c r="N689" i="7" s="1"/>
  <c r="K1073" i="8"/>
  <c r="M1073" i="8" s="1"/>
  <c r="O1073" i="8"/>
  <c r="B744" i="7"/>
  <c r="C413" i="7"/>
  <c r="H138" i="7"/>
  <c r="E138" i="7"/>
  <c r="C634" i="8"/>
  <c r="D634" i="8" s="1"/>
  <c r="D138" i="7"/>
  <c r="J744" i="8"/>
  <c r="I469" i="8"/>
  <c r="J469" i="8" s="1"/>
  <c r="L469" i="8"/>
  <c r="M139" i="7"/>
  <c r="D1475" i="6"/>
  <c r="N688" i="8"/>
  <c r="D1524" i="6"/>
  <c r="O909" i="7"/>
  <c r="L909" i="7"/>
  <c r="N909" i="7" s="1"/>
  <c r="J414" i="8"/>
  <c r="K304" i="8"/>
  <c r="B1239" i="6"/>
  <c r="C1239" i="6" s="1"/>
  <c r="E248" i="12"/>
  <c r="O194" i="8"/>
  <c r="J304" i="7"/>
  <c r="K304" i="7" s="1"/>
  <c r="I634" i="8"/>
  <c r="M193" i="7"/>
  <c r="F908" i="7"/>
  <c r="D799" i="8"/>
  <c r="H579" i="8"/>
  <c r="E579" i="8"/>
  <c r="G579" i="8" s="1"/>
  <c r="I359" i="8"/>
  <c r="I470" i="7"/>
  <c r="J470" i="7" s="1"/>
  <c r="M324" i="11"/>
  <c r="Q324" i="11" s="1"/>
  <c r="I579" i="7"/>
  <c r="J579" i="7" s="1"/>
  <c r="L579" i="7" s="1"/>
  <c r="E194" i="8"/>
  <c r="H226" i="6"/>
  <c r="J226" i="6" s="1"/>
  <c r="B360" i="8"/>
  <c r="C360" i="8" s="1"/>
  <c r="E360" i="8"/>
  <c r="D1028" i="7"/>
  <c r="X322" i="11" l="1"/>
  <c r="V322" i="11"/>
  <c r="S323" i="11" s="1"/>
  <c r="U323" i="11"/>
  <c r="W322" i="11"/>
  <c r="F743" i="8"/>
  <c r="C744" i="8" s="1"/>
  <c r="J359" i="8"/>
  <c r="O359" i="8" s="1"/>
  <c r="C970" i="7"/>
  <c r="D970" i="7" s="1"/>
  <c r="E970" i="7" s="1"/>
  <c r="CI207" i="11"/>
  <c r="AB207" i="11"/>
  <c r="M688" i="8"/>
  <c r="D1381" i="6"/>
  <c r="D1382" i="6" s="1"/>
  <c r="B1383" i="6" s="1"/>
  <c r="D1383" i="6" s="1"/>
  <c r="C1381" i="6"/>
  <c r="B1382" i="6" s="1"/>
  <c r="C1382" i="6" s="1"/>
  <c r="AD207" i="11"/>
  <c r="H138" i="8"/>
  <c r="B1287" i="6"/>
  <c r="D1287" i="6" s="1"/>
  <c r="C1287" i="6"/>
  <c r="B1288" i="6" s="1"/>
  <c r="D1288" i="6" s="1"/>
  <c r="E138" i="8"/>
  <c r="G688" i="8"/>
  <c r="J133" i="6"/>
  <c r="I133" i="6"/>
  <c r="H134" i="6" s="1"/>
  <c r="J134" i="6" s="1"/>
  <c r="G194" i="8"/>
  <c r="M1019" i="8"/>
  <c r="F35" i="10"/>
  <c r="M523" i="7"/>
  <c r="F964" i="8"/>
  <c r="AE207" i="11"/>
  <c r="AA207" i="11"/>
  <c r="Y207" i="11"/>
  <c r="F303" i="7"/>
  <c r="CJ207" i="11"/>
  <c r="CS207" i="11" s="1"/>
  <c r="J970" i="7"/>
  <c r="I970" i="7"/>
  <c r="K523" i="8"/>
  <c r="O523" i="8"/>
  <c r="H1194" i="7"/>
  <c r="B1195" i="7" s="1"/>
  <c r="C1195" i="7" s="1"/>
  <c r="D1195" i="7" s="1"/>
  <c r="G303" i="12"/>
  <c r="G1428" i="6"/>
  <c r="E1429" i="6" s="1"/>
  <c r="F1429" i="6" s="1"/>
  <c r="B1083" i="7"/>
  <c r="C1083" i="7"/>
  <c r="D1083" i="7" s="1"/>
  <c r="F1331" i="6"/>
  <c r="G248" i="12"/>
  <c r="D1239" i="6"/>
  <c r="J1140" i="7"/>
  <c r="N249" i="8"/>
  <c r="N249" i="7"/>
  <c r="E1140" i="7"/>
  <c r="G1140" i="7" s="1"/>
  <c r="M23" i="9"/>
  <c r="P23" i="9" s="1"/>
  <c r="S23" i="9" s="1"/>
  <c r="G799" i="8"/>
  <c r="G469" i="7"/>
  <c r="M689" i="7"/>
  <c r="N23" i="9"/>
  <c r="Q23" i="9" s="1"/>
  <c r="R23" i="9" s="1"/>
  <c r="G23" i="9" s="1"/>
  <c r="N1073" i="8"/>
  <c r="I1074" i="8" s="1"/>
  <c r="J1074" i="8" s="1"/>
  <c r="L1074" i="8" s="1"/>
  <c r="D208" i="11"/>
  <c r="G1046" i="6"/>
  <c r="G1047" i="6" s="1"/>
  <c r="G1048" i="6" s="1"/>
  <c r="G1049" i="6" s="1"/>
  <c r="G1050" i="6" s="1"/>
  <c r="G1051" i="6" s="1"/>
  <c r="G1052" i="6" s="1"/>
  <c r="G1053" i="6" s="1"/>
  <c r="G1054" i="6" s="1"/>
  <c r="G1055" i="6" s="1"/>
  <c r="G1056" i="6" s="1"/>
  <c r="E1057" i="6" s="1"/>
  <c r="H1014" i="6" s="1"/>
  <c r="I1016" i="6" s="1"/>
  <c r="C208" i="11"/>
  <c r="AF207" i="11"/>
  <c r="J208" i="11" s="1"/>
  <c r="E208" i="11"/>
  <c r="F1140" i="7"/>
  <c r="G138" i="7"/>
  <c r="N304" i="8"/>
  <c r="F1382" i="6"/>
  <c r="E1383" i="6" s="1"/>
  <c r="F578" i="7"/>
  <c r="F138" i="8"/>
  <c r="F634" i="8"/>
  <c r="O140" i="12"/>
  <c r="L140" i="12"/>
  <c r="K140" i="12"/>
  <c r="M140" i="12" s="1"/>
  <c r="E358" i="7"/>
  <c r="H358" i="7"/>
  <c r="D358" i="7"/>
  <c r="B580" i="8"/>
  <c r="B800" i="8"/>
  <c r="I303" i="12"/>
  <c r="J303" i="12" s="1"/>
  <c r="L303" i="12"/>
  <c r="I580" i="8"/>
  <c r="J580" i="8" s="1"/>
  <c r="AI258" i="11"/>
  <c r="BL257" i="11"/>
  <c r="AP258" i="11" s="1"/>
  <c r="E1145" i="6"/>
  <c r="G1145" i="6" s="1"/>
  <c r="F1145" i="6"/>
  <c r="F799" i="8"/>
  <c r="D855" i="8"/>
  <c r="F855" i="8" s="1"/>
  <c r="C1142" i="6"/>
  <c r="I799" i="7"/>
  <c r="N799" i="8"/>
  <c r="D524" i="8"/>
  <c r="H524" i="8"/>
  <c r="E1190" i="6"/>
  <c r="G1190" i="6" s="1"/>
  <c r="N469" i="8"/>
  <c r="E524" i="8"/>
  <c r="G524" i="8" s="1"/>
  <c r="B1097" i="6"/>
  <c r="D1097" i="6" s="1"/>
  <c r="J964" i="8"/>
  <c r="K964" i="8" s="1"/>
  <c r="G138" i="8"/>
  <c r="K359" i="8"/>
  <c r="D1430" i="6"/>
  <c r="B1431" i="6" s="1"/>
  <c r="C1431" i="6" s="1"/>
  <c r="J371" i="6"/>
  <c r="AL208" i="11"/>
  <c r="E1019" i="8"/>
  <c r="G1019" i="8" s="1"/>
  <c r="B689" i="8"/>
  <c r="O853" i="8"/>
  <c r="K853" i="8"/>
  <c r="L523" i="8"/>
  <c r="G998" i="6"/>
  <c r="E999" i="6" s="1"/>
  <c r="F999" i="6" s="1"/>
  <c r="F1000" i="6" s="1"/>
  <c r="F1001" i="6" s="1"/>
  <c r="F1002" i="6" s="1"/>
  <c r="F1003" i="6" s="1"/>
  <c r="F1004" i="6" s="1"/>
  <c r="F1005" i="6" s="1"/>
  <c r="F1006" i="6" s="1"/>
  <c r="F1007" i="6" s="1"/>
  <c r="F1008" i="6" s="1"/>
  <c r="F1009" i="6" s="1"/>
  <c r="D1332" i="6"/>
  <c r="H634" i="8"/>
  <c r="E634" i="8"/>
  <c r="G634" i="8" s="1"/>
  <c r="J1028" i="7"/>
  <c r="I1028" i="7"/>
  <c r="F1028" i="7"/>
  <c r="K1028" i="7" s="1"/>
  <c r="E1028" i="7"/>
  <c r="I786" i="6"/>
  <c r="D1189" i="6"/>
  <c r="B1190" i="6" s="1"/>
  <c r="C1190" i="6" s="1"/>
  <c r="J323" i="6"/>
  <c r="H324" i="6" s="1"/>
  <c r="I324" i="6" s="1"/>
  <c r="N633" i="7"/>
  <c r="I734" i="6"/>
  <c r="B908" i="8"/>
  <c r="C908" i="8" s="1"/>
  <c r="D360" i="8"/>
  <c r="F360" i="8" s="1"/>
  <c r="H360" i="8"/>
  <c r="F618" i="6"/>
  <c r="I180" i="6"/>
  <c r="E1517" i="6"/>
  <c r="G1517" i="6" s="1"/>
  <c r="J1020" i="8"/>
  <c r="K1020" i="8" s="1"/>
  <c r="I305" i="8"/>
  <c r="M193" i="12"/>
  <c r="I226" i="6"/>
  <c r="D249" i="7"/>
  <c r="F249" i="7" s="1"/>
  <c r="H249" i="7"/>
  <c r="O469" i="8"/>
  <c r="K469" i="8"/>
  <c r="M469" i="8" s="1"/>
  <c r="I277" i="6"/>
  <c r="G715" i="6"/>
  <c r="E855" i="7"/>
  <c r="F248" i="12"/>
  <c r="K1194" i="7"/>
  <c r="H461" i="6"/>
  <c r="I461" i="6" s="1"/>
  <c r="O324" i="11"/>
  <c r="N324" i="11"/>
  <c r="K325" i="11" s="1"/>
  <c r="L325" i="11" s="1"/>
  <c r="P324" i="11"/>
  <c r="M325" i="11"/>
  <c r="Q325" i="11" s="1"/>
  <c r="G303" i="7"/>
  <c r="I744" i="7"/>
  <c r="N194" i="8"/>
  <c r="L414" i="8"/>
  <c r="O414" i="8"/>
  <c r="E304" i="8"/>
  <c r="G304" i="8" s="1"/>
  <c r="H304" i="8"/>
  <c r="H855" i="8"/>
  <c r="H689" i="7"/>
  <c r="E689" i="7"/>
  <c r="G689" i="7" s="1"/>
  <c r="C744" i="7"/>
  <c r="J418" i="6"/>
  <c r="I854" i="7"/>
  <c r="J854" i="7" s="1"/>
  <c r="L854" i="7" s="1"/>
  <c r="J557" i="6"/>
  <c r="H558" i="6" s="1"/>
  <c r="I558" i="6" s="1"/>
  <c r="F1278" i="6"/>
  <c r="G248" i="8"/>
  <c r="G578" i="7"/>
  <c r="M256" i="11"/>
  <c r="R256" i="11" s="1"/>
  <c r="N256" i="11"/>
  <c r="P256" i="11"/>
  <c r="E1098" i="6"/>
  <c r="F1098" i="6" s="1"/>
  <c r="AJ258" i="11"/>
  <c r="H2909" i="6"/>
  <c r="I2909" i="6" s="1"/>
  <c r="B195" i="7"/>
  <c r="C195" i="7" s="1"/>
  <c r="E195" i="7" s="1"/>
  <c r="G360" i="8"/>
  <c r="B470" i="7"/>
  <c r="C470" i="7" s="1"/>
  <c r="I250" i="8"/>
  <c r="D139" i="12"/>
  <c r="F139" i="12" s="1"/>
  <c r="H139" i="12"/>
  <c r="E323" i="11"/>
  <c r="I323" i="11" s="1"/>
  <c r="J140" i="7"/>
  <c r="D855" i="7"/>
  <c r="E413" i="7"/>
  <c r="H413" i="7"/>
  <c r="B195" i="8"/>
  <c r="D413" i="7"/>
  <c r="E1465" i="6"/>
  <c r="G1465" i="6" s="1"/>
  <c r="B304" i="12"/>
  <c r="C304" i="12" s="1"/>
  <c r="D468" i="8"/>
  <c r="F468" i="8" s="1"/>
  <c r="H468" i="8"/>
  <c r="B415" i="8"/>
  <c r="C415" i="8" s="1"/>
  <c r="E415" i="8" s="1"/>
  <c r="L853" i="8"/>
  <c r="O744" i="8"/>
  <c r="L744" i="8"/>
  <c r="C194" i="12"/>
  <c r="H1019" i="8"/>
  <c r="L359" i="7"/>
  <c r="N359" i="7" s="1"/>
  <c r="O359" i="7"/>
  <c r="L249" i="12"/>
  <c r="O249" i="12"/>
  <c r="K256" i="11"/>
  <c r="Q256" i="11" s="1"/>
  <c r="B1332" i="6"/>
  <c r="C1332" i="6" s="1"/>
  <c r="I910" i="7"/>
  <c r="K744" i="8"/>
  <c r="I690" i="7"/>
  <c r="H524" i="7"/>
  <c r="E524" i="7"/>
  <c r="H877" i="6"/>
  <c r="J877" i="6" s="1"/>
  <c r="J634" i="8"/>
  <c r="F688" i="8"/>
  <c r="K359" i="7"/>
  <c r="M798" i="7"/>
  <c r="I134" i="6"/>
  <c r="K249" i="12"/>
  <c r="L256" i="11"/>
  <c r="G964" i="8"/>
  <c r="B1525" i="6"/>
  <c r="C1525" i="6" s="1"/>
  <c r="M909" i="7"/>
  <c r="H635" i="7"/>
  <c r="E635" i="7"/>
  <c r="I250" i="7"/>
  <c r="J250" i="7" s="1"/>
  <c r="O250" i="7" s="1"/>
  <c r="I689" i="8"/>
  <c r="J689" i="8" s="1"/>
  <c r="L689" i="8" s="1"/>
  <c r="D635" i="7"/>
  <c r="F635" i="7" s="1"/>
  <c r="AK208" i="11"/>
  <c r="J923" i="6"/>
  <c r="B139" i="7"/>
  <c r="L304" i="7"/>
  <c r="N304" i="7" s="1"/>
  <c r="O304" i="7"/>
  <c r="E799" i="7"/>
  <c r="G799" i="7" s="1"/>
  <c r="H799" i="7"/>
  <c r="H1075" i="8"/>
  <c r="D1075" i="8"/>
  <c r="F1075" i="8" s="1"/>
  <c r="B1476" i="6"/>
  <c r="C1476" i="6" s="1"/>
  <c r="M249" i="8"/>
  <c r="I194" i="12"/>
  <c r="B249" i="12"/>
  <c r="C36" i="10"/>
  <c r="D36" i="10"/>
  <c r="E36" i="10"/>
  <c r="O579" i="7"/>
  <c r="K579" i="7"/>
  <c r="M579" i="7" s="1"/>
  <c r="F194" i="8"/>
  <c r="N26" i="10"/>
  <c r="H26" i="10" s="1"/>
  <c r="K26" i="10" s="1"/>
  <c r="M304" i="8"/>
  <c r="F579" i="8"/>
  <c r="N523" i="7"/>
  <c r="O470" i="7"/>
  <c r="K470" i="7"/>
  <c r="L470" i="7"/>
  <c r="N470" i="7" s="1"/>
  <c r="K414" i="8"/>
  <c r="M414" i="8" s="1"/>
  <c r="F304" i="8"/>
  <c r="C909" i="7"/>
  <c r="L359" i="8"/>
  <c r="J194" i="7"/>
  <c r="F138" i="7"/>
  <c r="D524" i="7"/>
  <c r="I414" i="7"/>
  <c r="J414" i="7" s="1"/>
  <c r="N139" i="8"/>
  <c r="J640" i="6"/>
  <c r="O909" i="8"/>
  <c r="K909" i="8"/>
  <c r="M909" i="8" s="1"/>
  <c r="M743" i="7"/>
  <c r="AM208" i="11"/>
  <c r="E1234" i="6"/>
  <c r="G1234" i="6" s="1"/>
  <c r="I508" i="6"/>
  <c r="J832" i="6"/>
  <c r="H833" i="6" s="1"/>
  <c r="I833" i="6" s="1"/>
  <c r="CQ207" i="11" l="1"/>
  <c r="CL207" i="11"/>
  <c r="CK207" i="11"/>
  <c r="N909" i="8"/>
  <c r="E1332" i="6"/>
  <c r="G1332" i="6" s="1"/>
  <c r="N359" i="8"/>
  <c r="I360" i="8" s="1"/>
  <c r="G139" i="12"/>
  <c r="G208" i="11"/>
  <c r="M249" i="12"/>
  <c r="C1288" i="6"/>
  <c r="B1289" i="6" s="1"/>
  <c r="C1289" i="6" s="1"/>
  <c r="B1290" i="6" s="1"/>
  <c r="C1290" i="6" s="1"/>
  <c r="B1240" i="6"/>
  <c r="C1240" i="6" s="1"/>
  <c r="AM258" i="11"/>
  <c r="F970" i="7"/>
  <c r="K970" i="7" s="1"/>
  <c r="T323" i="11"/>
  <c r="Y323" i="11" s="1"/>
  <c r="F524" i="7"/>
  <c r="H1028" i="7"/>
  <c r="G1075" i="8"/>
  <c r="B1076" i="8" s="1"/>
  <c r="C1076" i="8" s="1"/>
  <c r="H1076" i="8" s="1"/>
  <c r="H1140" i="7"/>
  <c r="F1383" i="6"/>
  <c r="G1383" i="6"/>
  <c r="E1083" i="7"/>
  <c r="J1083" i="7"/>
  <c r="F1083" i="7"/>
  <c r="K1083" i="7" s="1"/>
  <c r="I1083" i="7"/>
  <c r="G1083" i="7"/>
  <c r="H1083" i="7"/>
  <c r="B1084" i="7" s="1"/>
  <c r="C1084" i="7"/>
  <c r="D1084" i="7" s="1"/>
  <c r="G358" i="7"/>
  <c r="B359" i="7" s="1"/>
  <c r="G855" i="8"/>
  <c r="B856" i="8" s="1"/>
  <c r="C856" i="8" s="1"/>
  <c r="F689" i="7"/>
  <c r="J2909" i="6"/>
  <c r="F1019" i="8"/>
  <c r="E23" i="9"/>
  <c r="F23" i="9"/>
  <c r="H23" i="9" s="1"/>
  <c r="I23" i="9" s="1"/>
  <c r="M744" i="8"/>
  <c r="G855" i="7"/>
  <c r="B856" i="7" s="1"/>
  <c r="CN207" i="11"/>
  <c r="BP208" i="11" s="1"/>
  <c r="M853" i="8"/>
  <c r="CO207" i="11"/>
  <c r="F799" i="7"/>
  <c r="J690" i="7"/>
  <c r="L690" i="7" s="1"/>
  <c r="M304" i="7"/>
  <c r="H208" i="11"/>
  <c r="I208" i="11" s="1"/>
  <c r="P208" i="11" s="1"/>
  <c r="K208" i="11"/>
  <c r="Q208" i="11" s="1"/>
  <c r="CM207" i="11"/>
  <c r="N523" i="8"/>
  <c r="CP207" i="11"/>
  <c r="F208" i="11"/>
  <c r="G1429" i="6"/>
  <c r="K250" i="7"/>
  <c r="G249" i="7"/>
  <c r="B250" i="7" s="1"/>
  <c r="C250" i="7" s="1"/>
  <c r="G413" i="7"/>
  <c r="B414" i="7" s="1"/>
  <c r="K1140" i="7"/>
  <c r="E1195" i="7"/>
  <c r="I1195" i="7"/>
  <c r="F1195" i="7"/>
  <c r="H1195" i="7" s="1"/>
  <c r="J1195" i="7"/>
  <c r="D304" i="12"/>
  <c r="E304" i="12"/>
  <c r="H304" i="12"/>
  <c r="B1029" i="7"/>
  <c r="E1384" i="6"/>
  <c r="F1384" i="6" s="1"/>
  <c r="H470" i="7"/>
  <c r="D470" i="7"/>
  <c r="E470" i="7"/>
  <c r="G470" i="7" s="1"/>
  <c r="J305" i="8"/>
  <c r="C800" i="8"/>
  <c r="J1016" i="6"/>
  <c r="F1234" i="6"/>
  <c r="I470" i="8"/>
  <c r="J470" i="8" s="1"/>
  <c r="O325" i="11"/>
  <c r="P325" i="11"/>
  <c r="N325" i="11"/>
  <c r="K326" i="11" s="1"/>
  <c r="I910" i="8"/>
  <c r="J910" i="8" s="1"/>
  <c r="O303" i="12"/>
  <c r="K303" i="12"/>
  <c r="M303" i="12" s="1"/>
  <c r="F855" i="7"/>
  <c r="F1190" i="6"/>
  <c r="E909" i="7"/>
  <c r="H909" i="7"/>
  <c r="H744" i="8"/>
  <c r="E744" i="8"/>
  <c r="D1431" i="6"/>
  <c r="D744" i="8"/>
  <c r="E619" i="6"/>
  <c r="G619" i="6" s="1"/>
  <c r="F619" i="6"/>
  <c r="M359" i="8"/>
  <c r="B361" i="8"/>
  <c r="C361" i="8" s="1"/>
  <c r="H361" i="8" s="1"/>
  <c r="I800" i="8"/>
  <c r="J800" i="8" s="1"/>
  <c r="L800" i="8" s="1"/>
  <c r="J799" i="7"/>
  <c r="U256" i="11"/>
  <c r="V256" i="11" s="1"/>
  <c r="H227" i="6"/>
  <c r="J227" i="6" s="1"/>
  <c r="I471" i="7"/>
  <c r="H323" i="11"/>
  <c r="G323" i="11"/>
  <c r="F323" i="11"/>
  <c r="C324" i="11" s="1"/>
  <c r="D324" i="11" s="1"/>
  <c r="E324" i="11"/>
  <c r="I324" i="11" s="1"/>
  <c r="O1074" i="8"/>
  <c r="B579" i="7"/>
  <c r="C579" i="7" s="1"/>
  <c r="G1028" i="7"/>
  <c r="AK258" i="11"/>
  <c r="I140" i="8"/>
  <c r="J140" i="8" s="1"/>
  <c r="L140" i="8" s="1"/>
  <c r="L634" i="8"/>
  <c r="O634" i="8"/>
  <c r="C249" i="12"/>
  <c r="K414" i="7"/>
  <c r="O414" i="7"/>
  <c r="K634" i="8"/>
  <c r="M634" i="8" s="1"/>
  <c r="F413" i="7"/>
  <c r="D1289" i="6"/>
  <c r="E1279" i="6"/>
  <c r="G1279" i="6" s="1"/>
  <c r="D908" i="8"/>
  <c r="H908" i="8"/>
  <c r="B1020" i="8"/>
  <c r="B1143" i="6"/>
  <c r="D1143" i="6" s="1"/>
  <c r="B525" i="8"/>
  <c r="L27" i="10"/>
  <c r="J27" i="10"/>
  <c r="O194" i="7"/>
  <c r="L194" i="7"/>
  <c r="H744" i="7"/>
  <c r="E744" i="7"/>
  <c r="J744" i="7"/>
  <c r="B140" i="12"/>
  <c r="C140" i="12" s="1"/>
  <c r="D744" i="7"/>
  <c r="F744" i="7" s="1"/>
  <c r="F1517" i="6"/>
  <c r="E1146" i="6"/>
  <c r="G1146" i="6" s="1"/>
  <c r="H181" i="6"/>
  <c r="J181" i="6" s="1"/>
  <c r="H787" i="6"/>
  <c r="J787" i="6" s="1"/>
  <c r="E194" i="12"/>
  <c r="H194" i="12"/>
  <c r="D909" i="7"/>
  <c r="H641" i="6"/>
  <c r="I641" i="6" s="1"/>
  <c r="L140" i="7"/>
  <c r="O140" i="7"/>
  <c r="I524" i="8"/>
  <c r="K1074" i="8"/>
  <c r="M1074" i="8" s="1"/>
  <c r="B305" i="8"/>
  <c r="C305" i="8" s="1"/>
  <c r="L964" i="8"/>
  <c r="N964" i="8" s="1"/>
  <c r="O964" i="8"/>
  <c r="M359" i="7"/>
  <c r="M470" i="7"/>
  <c r="C689" i="8"/>
  <c r="M523" i="8"/>
  <c r="N249" i="12"/>
  <c r="D1476" i="6"/>
  <c r="B1477" i="6" s="1"/>
  <c r="C1477" i="6" s="1"/>
  <c r="J833" i="6"/>
  <c r="L414" i="7"/>
  <c r="B800" i="7"/>
  <c r="L250" i="7"/>
  <c r="N250" i="7" s="1"/>
  <c r="H415" i="8"/>
  <c r="D415" i="8"/>
  <c r="F415" i="8" s="1"/>
  <c r="J558" i="6"/>
  <c r="H559" i="6" s="1"/>
  <c r="I559" i="6" s="1"/>
  <c r="I195" i="8"/>
  <c r="J195" i="8" s="1"/>
  <c r="L195" i="8"/>
  <c r="N579" i="7"/>
  <c r="E908" i="8"/>
  <c r="G468" i="8"/>
  <c r="J910" i="7"/>
  <c r="L24" i="9"/>
  <c r="O24" i="9" s="1"/>
  <c r="K194" i="7"/>
  <c r="J734" i="6"/>
  <c r="AN208" i="11"/>
  <c r="AO208" i="11" s="1"/>
  <c r="H419" i="6"/>
  <c r="I419" i="6" s="1"/>
  <c r="G1384" i="6"/>
  <c r="G999" i="6"/>
  <c r="G1000" i="6" s="1"/>
  <c r="G1001" i="6" s="1"/>
  <c r="G1002" i="6" s="1"/>
  <c r="G1003" i="6" s="1"/>
  <c r="G1004" i="6" s="1"/>
  <c r="G1005" i="6" s="1"/>
  <c r="G1006" i="6" s="1"/>
  <c r="G1007" i="6" s="1"/>
  <c r="G1008" i="6" s="1"/>
  <c r="G1009" i="6" s="1"/>
  <c r="E1010" i="6" s="1"/>
  <c r="H967" i="6" s="1"/>
  <c r="D194" i="12"/>
  <c r="F524" i="8"/>
  <c r="F36" i="10"/>
  <c r="H924" i="6"/>
  <c r="I924" i="6" s="1"/>
  <c r="H135" i="6"/>
  <c r="J135" i="6" s="1"/>
  <c r="H462" i="6"/>
  <c r="I462" i="6" s="1"/>
  <c r="B139" i="8"/>
  <c r="C139" i="8" s="1"/>
  <c r="D1525" i="6"/>
  <c r="B1526" i="6" s="1"/>
  <c r="C1526" i="6" s="1"/>
  <c r="F1465" i="6"/>
  <c r="N744" i="8"/>
  <c r="B1141" i="7"/>
  <c r="C1141" i="7"/>
  <c r="D1141" i="7" s="1"/>
  <c r="C1383" i="6"/>
  <c r="E716" i="6"/>
  <c r="F716" i="6" s="1"/>
  <c r="N853" i="8"/>
  <c r="N414" i="8"/>
  <c r="H509" i="6"/>
  <c r="J509" i="6" s="1"/>
  <c r="I524" i="7"/>
  <c r="J524" i="7" s="1"/>
  <c r="I877" i="6"/>
  <c r="I634" i="7"/>
  <c r="J634" i="7" s="1"/>
  <c r="L634" i="7" s="1"/>
  <c r="F358" i="7"/>
  <c r="BO208" i="11"/>
  <c r="C139" i="7"/>
  <c r="D139" i="7" s="1"/>
  <c r="I360" i="7"/>
  <c r="O580" i="8"/>
  <c r="K580" i="8"/>
  <c r="B304" i="7"/>
  <c r="C304" i="7" s="1"/>
  <c r="E304" i="7"/>
  <c r="G1098" i="6"/>
  <c r="C195" i="8"/>
  <c r="D195" i="8" s="1"/>
  <c r="H278" i="6"/>
  <c r="J278" i="6" s="1"/>
  <c r="D1190" i="6"/>
  <c r="B1191" i="6" s="1"/>
  <c r="C1191" i="6" s="1"/>
  <c r="N140" i="12"/>
  <c r="B965" i="8"/>
  <c r="C965" i="8" s="1"/>
  <c r="J250" i="8"/>
  <c r="B690" i="7"/>
  <c r="B1333" i="6"/>
  <c r="C1333" i="6" s="1"/>
  <c r="T256" i="11"/>
  <c r="K140" i="7"/>
  <c r="H195" i="7"/>
  <c r="D195" i="7"/>
  <c r="F195" i="7" s="1"/>
  <c r="J194" i="12"/>
  <c r="K194" i="12" s="1"/>
  <c r="K689" i="8"/>
  <c r="M689" i="8" s="1"/>
  <c r="O689" i="8"/>
  <c r="B249" i="8"/>
  <c r="C249" i="8" s="1"/>
  <c r="E249" i="8" s="1"/>
  <c r="J461" i="6"/>
  <c r="C580" i="8"/>
  <c r="I305" i="7"/>
  <c r="G635" i="7"/>
  <c r="G524" i="7"/>
  <c r="AL258" i="11"/>
  <c r="O854" i="7"/>
  <c r="K854" i="7"/>
  <c r="M854" i="7" s="1"/>
  <c r="O1020" i="8"/>
  <c r="L1020" i="8"/>
  <c r="N1020" i="8" s="1"/>
  <c r="H735" i="6"/>
  <c r="I735" i="6" s="1"/>
  <c r="J324" i="6"/>
  <c r="H325" i="6" s="1"/>
  <c r="I325" i="6" s="1"/>
  <c r="B635" i="8"/>
  <c r="C635" i="8" s="1"/>
  <c r="C1097" i="6"/>
  <c r="L580" i="8"/>
  <c r="N580" i="8" s="1"/>
  <c r="H372" i="6"/>
  <c r="I372" i="6" s="1"/>
  <c r="F908" i="8" l="1"/>
  <c r="H970" i="7"/>
  <c r="G970" i="7"/>
  <c r="J372" i="6"/>
  <c r="H373" i="6" s="1"/>
  <c r="J373" i="6" s="1"/>
  <c r="X256" i="11"/>
  <c r="D1240" i="6"/>
  <c r="B1241" i="6" s="1"/>
  <c r="C1241" i="6" s="1"/>
  <c r="M194" i="7"/>
  <c r="G194" i="12"/>
  <c r="F1332" i="6"/>
  <c r="C1020" i="8"/>
  <c r="H1020" i="8" s="1"/>
  <c r="CR207" i="11"/>
  <c r="BV208" i="11" s="1"/>
  <c r="G304" i="12"/>
  <c r="B305" i="12" s="1"/>
  <c r="L208" i="11"/>
  <c r="T208" i="11" s="1"/>
  <c r="C690" i="7"/>
  <c r="E690" i="7" s="1"/>
  <c r="W323" i="11"/>
  <c r="V323" i="11"/>
  <c r="S324" i="11" s="1"/>
  <c r="X323" i="11"/>
  <c r="U324" i="11"/>
  <c r="E856" i="8"/>
  <c r="H856" i="8"/>
  <c r="I278" i="6"/>
  <c r="H279" i="6" s="1"/>
  <c r="J279" i="6" s="1"/>
  <c r="H2910" i="6"/>
  <c r="I2910" i="6" s="1"/>
  <c r="J1084" i="7"/>
  <c r="I1084" i="7"/>
  <c r="E1084" i="7"/>
  <c r="G1084" i="7" s="1"/>
  <c r="F1084" i="7"/>
  <c r="H1084" i="7" s="1"/>
  <c r="B1085" i="7" s="1"/>
  <c r="G415" i="8"/>
  <c r="F909" i="7"/>
  <c r="G716" i="6"/>
  <c r="J305" i="7"/>
  <c r="O305" i="7" s="1"/>
  <c r="K690" i="7"/>
  <c r="N690" i="7" s="1"/>
  <c r="O208" i="11"/>
  <c r="S208" i="11" s="1"/>
  <c r="O690" i="7"/>
  <c r="M208" i="11"/>
  <c r="R208" i="11" s="1"/>
  <c r="N208" i="11"/>
  <c r="N414" i="7"/>
  <c r="N140" i="7"/>
  <c r="I141" i="7" s="1"/>
  <c r="C800" i="7"/>
  <c r="H800" i="7" s="1"/>
  <c r="M1020" i="8"/>
  <c r="F744" i="8"/>
  <c r="K1195" i="7"/>
  <c r="E1430" i="6"/>
  <c r="F1430" i="6" s="1"/>
  <c r="E1385" i="6"/>
  <c r="G1385" i="6" s="1"/>
  <c r="B1196" i="7"/>
  <c r="D1020" i="8"/>
  <c r="H324" i="11"/>
  <c r="G324" i="11"/>
  <c r="F324" i="11"/>
  <c r="C325" i="11" s="1"/>
  <c r="D325" i="11" s="1"/>
  <c r="K305" i="7"/>
  <c r="L305" i="7"/>
  <c r="H250" i="7"/>
  <c r="E250" i="7"/>
  <c r="D250" i="7"/>
  <c r="E635" i="8"/>
  <c r="D635" i="8"/>
  <c r="F635" i="8" s="1"/>
  <c r="H635" i="8"/>
  <c r="D140" i="12"/>
  <c r="H140" i="12"/>
  <c r="E140" i="12"/>
  <c r="G140" i="12" s="1"/>
  <c r="K910" i="8"/>
  <c r="O910" i="8"/>
  <c r="L910" i="8"/>
  <c r="N910" i="8" s="1"/>
  <c r="O470" i="8"/>
  <c r="K470" i="8"/>
  <c r="L470" i="8"/>
  <c r="N470" i="8" s="1"/>
  <c r="E305" i="8"/>
  <c r="H305" i="8"/>
  <c r="D305" i="8"/>
  <c r="F305" i="8" s="1"/>
  <c r="AU208" i="11"/>
  <c r="AY208" i="11" s="1"/>
  <c r="BD208" i="11" s="1"/>
  <c r="AV208" i="11"/>
  <c r="AR208" i="11"/>
  <c r="AQ208" i="11"/>
  <c r="AW208" i="11" s="1"/>
  <c r="AT208" i="11"/>
  <c r="AS208" i="11"/>
  <c r="AX208" i="11" s="1"/>
  <c r="E620" i="6"/>
  <c r="F620" i="6" s="1"/>
  <c r="N854" i="7"/>
  <c r="O524" i="7"/>
  <c r="K524" i="7"/>
  <c r="C856" i="7"/>
  <c r="I227" i="6"/>
  <c r="E1518" i="6"/>
  <c r="G1518" i="6" s="1"/>
  <c r="D579" i="7"/>
  <c r="H579" i="7"/>
  <c r="M964" i="8"/>
  <c r="D139" i="8"/>
  <c r="F139" i="8" s="1"/>
  <c r="H139" i="8"/>
  <c r="E579" i="7"/>
  <c r="G579" i="7" s="1"/>
  <c r="BR208" i="11"/>
  <c r="N689" i="8"/>
  <c r="E139" i="8"/>
  <c r="E800" i="8"/>
  <c r="H800" i="8"/>
  <c r="H304" i="7"/>
  <c r="D304" i="7"/>
  <c r="F304" i="7" s="1"/>
  <c r="B1098" i="6"/>
  <c r="D1098" i="6" s="1"/>
  <c r="C1098" i="6"/>
  <c r="E1076" i="8"/>
  <c r="E361" i="8"/>
  <c r="N1074" i="8"/>
  <c r="J559" i="6"/>
  <c r="M24" i="9"/>
  <c r="P24" i="9" s="1"/>
  <c r="S24" i="9" s="1"/>
  <c r="L250" i="8"/>
  <c r="O250" i="8"/>
  <c r="D361" i="8"/>
  <c r="I965" i="8"/>
  <c r="K250" i="8"/>
  <c r="L524" i="7"/>
  <c r="I969" i="6"/>
  <c r="D1526" i="6"/>
  <c r="B1527" i="6" s="1"/>
  <c r="F1279" i="6"/>
  <c r="H965" i="8"/>
  <c r="D965" i="8"/>
  <c r="E965" i="8"/>
  <c r="G965" i="8" s="1"/>
  <c r="I415" i="8"/>
  <c r="J415" i="8" s="1"/>
  <c r="I250" i="12"/>
  <c r="J250" i="12" s="1"/>
  <c r="L250" i="12"/>
  <c r="F304" i="12"/>
  <c r="L326" i="11"/>
  <c r="M326" i="11" s="1"/>
  <c r="Q326" i="11" s="1"/>
  <c r="D856" i="8"/>
  <c r="F856" i="8" s="1"/>
  <c r="J524" i="8"/>
  <c r="K524" i="8" s="1"/>
  <c r="I141" i="12"/>
  <c r="J141" i="12" s="1"/>
  <c r="L141" i="12" s="1"/>
  <c r="H580" i="8"/>
  <c r="E580" i="8"/>
  <c r="M580" i="8"/>
  <c r="N303" i="12"/>
  <c r="J419" i="6"/>
  <c r="D580" i="8"/>
  <c r="D1333" i="6"/>
  <c r="B1334" i="6" s="1"/>
  <c r="C1334" i="6" s="1"/>
  <c r="B1384" i="6"/>
  <c r="D1384" i="6" s="1"/>
  <c r="E37" i="10"/>
  <c r="D37" i="10"/>
  <c r="C37" i="10"/>
  <c r="J735" i="6"/>
  <c r="O910" i="7"/>
  <c r="L910" i="7"/>
  <c r="J471" i="7"/>
  <c r="K471" i="7" s="1"/>
  <c r="J641" i="6"/>
  <c r="I787" i="6"/>
  <c r="G744" i="7"/>
  <c r="E249" i="12"/>
  <c r="H249" i="12"/>
  <c r="O305" i="8"/>
  <c r="L305" i="8"/>
  <c r="C1029" i="7"/>
  <c r="D1029" i="7" s="1"/>
  <c r="B471" i="7"/>
  <c r="F1146" i="6"/>
  <c r="AN258" i="11"/>
  <c r="AO258" i="11" s="1"/>
  <c r="B416" i="8"/>
  <c r="C416" i="8" s="1"/>
  <c r="E1235" i="6"/>
  <c r="G1235" i="6" s="1"/>
  <c r="B1192" i="6"/>
  <c r="C1192" i="6" s="1"/>
  <c r="L799" i="7"/>
  <c r="O799" i="7"/>
  <c r="B469" i="8"/>
  <c r="C469" i="8" s="1"/>
  <c r="E469" i="8" s="1"/>
  <c r="K799" i="7"/>
  <c r="B525" i="7"/>
  <c r="C525" i="7" s="1"/>
  <c r="E525" i="7"/>
  <c r="I509" i="6"/>
  <c r="O800" i="8"/>
  <c r="K800" i="8"/>
  <c r="M800" i="8" s="1"/>
  <c r="C359" i="7"/>
  <c r="D359" i="7" s="1"/>
  <c r="I580" i="7"/>
  <c r="J580" i="7" s="1"/>
  <c r="L580" i="7" s="1"/>
  <c r="B195" i="12"/>
  <c r="C414" i="7"/>
  <c r="M690" i="7"/>
  <c r="I581" i="8"/>
  <c r="M27" i="10"/>
  <c r="I27" i="10" s="1"/>
  <c r="D1076" i="8"/>
  <c r="L744" i="7"/>
  <c r="N744" i="7" s="1"/>
  <c r="O744" i="7"/>
  <c r="I135" i="6"/>
  <c r="E1099" i="6"/>
  <c r="F1099" i="6" s="1"/>
  <c r="H689" i="8"/>
  <c r="E689" i="8"/>
  <c r="K744" i="7"/>
  <c r="D1191" i="6"/>
  <c r="E717" i="6"/>
  <c r="F717" i="6"/>
  <c r="F718" i="6" s="1"/>
  <c r="F719" i="6" s="1"/>
  <c r="F720" i="6" s="1"/>
  <c r="F721" i="6" s="1"/>
  <c r="F722" i="6" s="1"/>
  <c r="F723" i="6" s="1"/>
  <c r="F724" i="6" s="1"/>
  <c r="F725" i="6" s="1"/>
  <c r="F726" i="6" s="1"/>
  <c r="F727" i="6" s="1"/>
  <c r="D689" i="8"/>
  <c r="F689" i="8" s="1"/>
  <c r="M414" i="7"/>
  <c r="G744" i="8"/>
  <c r="B1432" i="6"/>
  <c r="C1432" i="6" s="1"/>
  <c r="J325" i="6"/>
  <c r="H326" i="6" s="1"/>
  <c r="I326" i="6" s="1"/>
  <c r="M140" i="7"/>
  <c r="I1141" i="7"/>
  <c r="F1141" i="7"/>
  <c r="E1141" i="7"/>
  <c r="G1141" i="7" s="1"/>
  <c r="K1141" i="7"/>
  <c r="J1141" i="7"/>
  <c r="C525" i="8"/>
  <c r="K910" i="7"/>
  <c r="J360" i="7"/>
  <c r="D249" i="12"/>
  <c r="K305" i="8"/>
  <c r="G1195" i="7"/>
  <c r="C1196" i="7" s="1"/>
  <c r="J462" i="6"/>
  <c r="I1021" i="8"/>
  <c r="J1021" i="8" s="1"/>
  <c r="W256" i="11"/>
  <c r="AG256" i="11" s="1"/>
  <c r="F194" i="12"/>
  <c r="J924" i="6"/>
  <c r="I181" i="6"/>
  <c r="N194" i="7"/>
  <c r="C1143" i="6"/>
  <c r="G909" i="7"/>
  <c r="O140" i="8"/>
  <c r="K140" i="8"/>
  <c r="M140" i="8" s="1"/>
  <c r="H139" i="7"/>
  <c r="E139" i="7"/>
  <c r="G139" i="7" s="1"/>
  <c r="I251" i="7"/>
  <c r="E1466" i="6"/>
  <c r="G1466" i="6" s="1"/>
  <c r="F470" i="7"/>
  <c r="I415" i="7"/>
  <c r="O194" i="12"/>
  <c r="L194" i="12"/>
  <c r="N194" i="12" s="1"/>
  <c r="D1290" i="6"/>
  <c r="B1291" i="6" s="1"/>
  <c r="C1291" i="6" s="1"/>
  <c r="H834" i="6"/>
  <c r="I834" i="6" s="1"/>
  <c r="G908" i="8"/>
  <c r="D1477" i="6"/>
  <c r="B636" i="7"/>
  <c r="C636" i="7" s="1"/>
  <c r="D800" i="8"/>
  <c r="I854" i="8"/>
  <c r="J854" i="8" s="1"/>
  <c r="L854" i="8" s="1"/>
  <c r="G195" i="7"/>
  <c r="K195" i="8"/>
  <c r="M195" i="8" s="1"/>
  <c r="O195" i="8"/>
  <c r="H1017" i="6"/>
  <c r="I1017" i="6" s="1"/>
  <c r="M250" i="7"/>
  <c r="O634" i="7"/>
  <c r="K634" i="7"/>
  <c r="M634" i="7" s="1"/>
  <c r="D249" i="8"/>
  <c r="F249" i="8" s="1"/>
  <c r="H249" i="8"/>
  <c r="E195" i="8"/>
  <c r="G195" i="8" s="1"/>
  <c r="H195" i="8"/>
  <c r="H878" i="6"/>
  <c r="J878" i="6" s="1"/>
  <c r="I745" i="8"/>
  <c r="J745" i="8" s="1"/>
  <c r="N634" i="8"/>
  <c r="J360" i="8"/>
  <c r="E1191" i="6"/>
  <c r="G1191" i="6" s="1"/>
  <c r="N634" i="7" l="1"/>
  <c r="I635" i="7" s="1"/>
  <c r="J635" i="7" s="1"/>
  <c r="E1020" i="8"/>
  <c r="G856" i="8"/>
  <c r="E1333" i="6"/>
  <c r="G1333" i="6" s="1"/>
  <c r="F1333" i="6"/>
  <c r="E1334" i="6" s="1"/>
  <c r="F1334" i="6" s="1"/>
  <c r="G361" i="8"/>
  <c r="H690" i="7"/>
  <c r="G250" i="7"/>
  <c r="D690" i="7"/>
  <c r="F690" i="7" s="1"/>
  <c r="BS208" i="11"/>
  <c r="I691" i="7"/>
  <c r="J691" i="7" s="1"/>
  <c r="BQ208" i="11"/>
  <c r="BT208" i="11" s="1"/>
  <c r="G717" i="6"/>
  <c r="G718" i="6" s="1"/>
  <c r="G719" i="6" s="1"/>
  <c r="G720" i="6" s="1"/>
  <c r="G721" i="6" s="1"/>
  <c r="G722" i="6" s="1"/>
  <c r="G723" i="6" s="1"/>
  <c r="G724" i="6" s="1"/>
  <c r="G725" i="6" s="1"/>
  <c r="G726" i="6" s="1"/>
  <c r="G727" i="6" s="1"/>
  <c r="E728" i="6" s="1"/>
  <c r="H685" i="6" s="1"/>
  <c r="E800" i="7"/>
  <c r="G800" i="7" s="1"/>
  <c r="B801" i="7" s="1"/>
  <c r="Y324" i="11"/>
  <c r="B971" i="7"/>
  <c r="C971" i="7"/>
  <c r="D971" i="7" s="1"/>
  <c r="M799" i="7"/>
  <c r="D800" i="7"/>
  <c r="M250" i="8"/>
  <c r="D1241" i="6"/>
  <c r="B1242" i="6" s="1"/>
  <c r="T324" i="11"/>
  <c r="AS258" i="11"/>
  <c r="AX258" i="11" s="1"/>
  <c r="AQ258" i="11"/>
  <c r="AW258" i="11" s="1"/>
  <c r="AT258" i="11"/>
  <c r="AR258" i="11"/>
  <c r="AZ258" i="11" s="1"/>
  <c r="M305" i="7"/>
  <c r="U208" i="11"/>
  <c r="E1431" i="6"/>
  <c r="F1431" i="6" s="1"/>
  <c r="M524" i="7"/>
  <c r="G690" i="7"/>
  <c r="B691" i="7" s="1"/>
  <c r="C691" i="7" s="1"/>
  <c r="D691" i="7" s="1"/>
  <c r="G620" i="6"/>
  <c r="E621" i="6" s="1"/>
  <c r="F621" i="6" s="1"/>
  <c r="N24" i="9"/>
  <c r="Q24" i="9" s="1"/>
  <c r="R24" i="9" s="1"/>
  <c r="E24" i="9" s="1"/>
  <c r="H1141" i="7"/>
  <c r="B1142" i="7" s="1"/>
  <c r="C1142" i="7" s="1"/>
  <c r="D1142" i="7" s="1"/>
  <c r="N140" i="8"/>
  <c r="I141" i="8" s="1"/>
  <c r="J141" i="8" s="1"/>
  <c r="O141" i="8" s="1"/>
  <c r="F139" i="7"/>
  <c r="F1076" i="8"/>
  <c r="G1430" i="6"/>
  <c r="J1017" i="6"/>
  <c r="F249" i="12"/>
  <c r="M910" i="7"/>
  <c r="F37" i="10"/>
  <c r="D38" i="10" s="1"/>
  <c r="G1099" i="6"/>
  <c r="G580" i="8"/>
  <c r="J2910" i="6"/>
  <c r="H2911" i="6" s="1"/>
  <c r="I2911" i="6" s="1"/>
  <c r="M305" i="8"/>
  <c r="C1085" i="7"/>
  <c r="D1085" i="7" s="1"/>
  <c r="F800" i="8"/>
  <c r="F1020" i="8"/>
  <c r="K1084" i="7"/>
  <c r="E416" i="8"/>
  <c r="D416" i="8"/>
  <c r="F416" i="8" s="1"/>
  <c r="H416" i="8"/>
  <c r="L1021" i="8"/>
  <c r="K1021" i="8"/>
  <c r="M1021" i="8" s="1"/>
  <c r="O1021" i="8"/>
  <c r="F359" i="7"/>
  <c r="AC256" i="11"/>
  <c r="AB256" i="11"/>
  <c r="AA256" i="11"/>
  <c r="AD256" i="11"/>
  <c r="AE256" i="11"/>
  <c r="Z256" i="11"/>
  <c r="Y256" i="11"/>
  <c r="C471" i="7"/>
  <c r="D471" i="7" s="1"/>
  <c r="H788" i="6"/>
  <c r="J788" i="6" s="1"/>
  <c r="L360" i="7"/>
  <c r="O360" i="7"/>
  <c r="C305" i="12"/>
  <c r="D305" i="12" s="1"/>
  <c r="B857" i="8"/>
  <c r="C857" i="8" s="1"/>
  <c r="I373" i="6"/>
  <c r="K360" i="7"/>
  <c r="M360" i="7" s="1"/>
  <c r="I690" i="8"/>
  <c r="J690" i="8" s="1"/>
  <c r="L690" i="8" s="1"/>
  <c r="H835" i="6"/>
  <c r="I835" i="6" s="1"/>
  <c r="I195" i="7"/>
  <c r="J195" i="7" s="1"/>
  <c r="L195" i="7" s="1"/>
  <c r="I911" i="8"/>
  <c r="BA208" i="11"/>
  <c r="BC208" i="11" s="1"/>
  <c r="B196" i="7"/>
  <c r="C196" i="7" s="1"/>
  <c r="K745" i="8"/>
  <c r="O745" i="8"/>
  <c r="E359" i="7"/>
  <c r="G359" i="7" s="1"/>
  <c r="H359" i="7"/>
  <c r="L745" i="8"/>
  <c r="N745" i="8" s="1"/>
  <c r="B1144" i="6"/>
  <c r="D1144" i="6" s="1"/>
  <c r="B745" i="8"/>
  <c r="C745" i="8" s="1"/>
  <c r="I304" i="12"/>
  <c r="J304" i="12" s="1"/>
  <c r="L304" i="12" s="1"/>
  <c r="O250" i="12"/>
  <c r="K250" i="12"/>
  <c r="M250" i="12" s="1"/>
  <c r="M910" i="8"/>
  <c r="H182" i="6"/>
  <c r="J182" i="6" s="1"/>
  <c r="J834" i="6"/>
  <c r="B196" i="8"/>
  <c r="H510" i="6"/>
  <c r="J510" i="6" s="1"/>
  <c r="B966" i="8"/>
  <c r="G1076" i="8"/>
  <c r="I279" i="6"/>
  <c r="N195" i="8"/>
  <c r="J581" i="8"/>
  <c r="O360" i="8"/>
  <c r="L360" i="8"/>
  <c r="B581" i="8"/>
  <c r="N524" i="7"/>
  <c r="J965" i="8"/>
  <c r="H636" i="7"/>
  <c r="D636" i="7"/>
  <c r="D1196" i="7"/>
  <c r="I855" i="7"/>
  <c r="J855" i="7" s="1"/>
  <c r="L855" i="7" s="1"/>
  <c r="F1385" i="6"/>
  <c r="E1386" i="6" s="1"/>
  <c r="G635" i="8"/>
  <c r="G689" i="8"/>
  <c r="O524" i="8"/>
  <c r="L524" i="8"/>
  <c r="N524" i="8" s="1"/>
  <c r="F361" i="8"/>
  <c r="G304" i="7"/>
  <c r="M470" i="8"/>
  <c r="F250" i="7"/>
  <c r="I745" i="7"/>
  <c r="F1029" i="7"/>
  <c r="E1029" i="7"/>
  <c r="J1029" i="7"/>
  <c r="I1029" i="7"/>
  <c r="H1029" i="7"/>
  <c r="B1030" i="7" s="1"/>
  <c r="K1029" i="7"/>
  <c r="I878" i="6"/>
  <c r="F1466" i="6"/>
  <c r="B580" i="7"/>
  <c r="BA258" i="11"/>
  <c r="F1191" i="6"/>
  <c r="G525" i="7"/>
  <c r="J1018" i="6"/>
  <c r="D1432" i="6"/>
  <c r="B1433" i="6" s="1"/>
  <c r="B140" i="7"/>
  <c r="H736" i="6"/>
  <c r="I736" i="6" s="1"/>
  <c r="N800" i="8"/>
  <c r="AU258" i="11"/>
  <c r="AY258" i="11" s="1"/>
  <c r="BD258" i="11" s="1"/>
  <c r="AV258" i="11"/>
  <c r="C1384" i="6"/>
  <c r="G249" i="8"/>
  <c r="H463" i="6"/>
  <c r="I463" i="6" s="1"/>
  <c r="D1478" i="6"/>
  <c r="E1147" i="6"/>
  <c r="G1147" i="6" s="1"/>
  <c r="B251" i="7"/>
  <c r="E325" i="11"/>
  <c r="I325" i="11" s="1"/>
  <c r="J415" i="7"/>
  <c r="H856" i="7"/>
  <c r="E856" i="7"/>
  <c r="D1291" i="6"/>
  <c r="B1292" i="6" s="1"/>
  <c r="K415" i="8"/>
  <c r="O415" i="8"/>
  <c r="AZ208" i="11"/>
  <c r="N910" i="7"/>
  <c r="L415" i="8"/>
  <c r="N415" i="8" s="1"/>
  <c r="O854" i="8"/>
  <c r="K854" i="8"/>
  <c r="M854" i="8" s="1"/>
  <c r="D1192" i="6"/>
  <c r="D525" i="7"/>
  <c r="F525" i="7" s="1"/>
  <c r="H525" i="7"/>
  <c r="K360" i="8"/>
  <c r="M744" i="7"/>
  <c r="G305" i="8"/>
  <c r="E636" i="7"/>
  <c r="D469" i="8"/>
  <c r="F469" i="8" s="1"/>
  <c r="H469" i="8"/>
  <c r="J251" i="7"/>
  <c r="B909" i="8"/>
  <c r="C909" i="8" s="1"/>
  <c r="E909" i="8"/>
  <c r="H420" i="6"/>
  <c r="I420" i="6" s="1"/>
  <c r="J141" i="7"/>
  <c r="E1100" i="6"/>
  <c r="G1100" i="6" s="1"/>
  <c r="N799" i="7"/>
  <c r="G249" i="12"/>
  <c r="D1334" i="6"/>
  <c r="B1335" i="6" s="1"/>
  <c r="C1335" i="6" s="1"/>
  <c r="E1280" i="6"/>
  <c r="G1280" i="6" s="1"/>
  <c r="N250" i="8"/>
  <c r="G800" i="8"/>
  <c r="F1518" i="6"/>
  <c r="F195" i="8"/>
  <c r="L471" i="7"/>
  <c r="N471" i="7" s="1"/>
  <c r="O471" i="7"/>
  <c r="H642" i="6"/>
  <c r="I642" i="6" s="1"/>
  <c r="I1075" i="8"/>
  <c r="J1075" i="8" s="1"/>
  <c r="H525" i="8"/>
  <c r="E525" i="8"/>
  <c r="B362" i="8"/>
  <c r="D856" i="7"/>
  <c r="D525" i="8"/>
  <c r="F1235" i="6"/>
  <c r="H925" i="6"/>
  <c r="I925" i="6" s="1"/>
  <c r="G1020" i="8"/>
  <c r="I195" i="12"/>
  <c r="C195" i="12"/>
  <c r="D195" i="12" s="1"/>
  <c r="N27" i="10"/>
  <c r="H27" i="10" s="1"/>
  <c r="K27" i="10" s="1"/>
  <c r="B141" i="12"/>
  <c r="B1099" i="6"/>
  <c r="C1099" i="6" s="1"/>
  <c r="F140" i="12"/>
  <c r="I635" i="8"/>
  <c r="J635" i="8" s="1"/>
  <c r="L635" i="8"/>
  <c r="O141" i="12"/>
  <c r="K141" i="12"/>
  <c r="M141" i="12" s="1"/>
  <c r="J969" i="6"/>
  <c r="H560" i="6"/>
  <c r="I560" i="6" s="1"/>
  <c r="H414" i="7"/>
  <c r="E414" i="7"/>
  <c r="N305" i="8"/>
  <c r="F579" i="7"/>
  <c r="D414" i="7"/>
  <c r="F965" i="8"/>
  <c r="I471" i="8"/>
  <c r="H1018" i="6"/>
  <c r="I1018" i="6" s="1"/>
  <c r="B910" i="7"/>
  <c r="C910" i="7" s="1"/>
  <c r="E910" i="7"/>
  <c r="J326" i="6"/>
  <c r="H136" i="6"/>
  <c r="J136" i="6" s="1"/>
  <c r="K580" i="7"/>
  <c r="M580" i="7" s="1"/>
  <c r="O580" i="7"/>
  <c r="B745" i="7"/>
  <c r="C745" i="7" s="1"/>
  <c r="F580" i="8"/>
  <c r="P326" i="11"/>
  <c r="O326" i="11"/>
  <c r="N326" i="11"/>
  <c r="K327" i="11" s="1"/>
  <c r="L327" i="11" s="1"/>
  <c r="G139" i="8"/>
  <c r="H228" i="6"/>
  <c r="J228" i="6" s="1"/>
  <c r="B1478" i="6"/>
  <c r="C1478" i="6" s="1"/>
  <c r="N305" i="7"/>
  <c r="M194" i="12"/>
  <c r="N360" i="8" l="1"/>
  <c r="F800" i="7"/>
  <c r="G525" i="8"/>
  <c r="N141" i="12"/>
  <c r="E38" i="10"/>
  <c r="BU208" i="11"/>
  <c r="CB208" i="11" s="1"/>
  <c r="G1334" i="6"/>
  <c r="E1335" i="6" s="1"/>
  <c r="J971" i="7"/>
  <c r="I971" i="7"/>
  <c r="F971" i="7"/>
  <c r="E971" i="7"/>
  <c r="G971" i="7" s="1"/>
  <c r="H971" i="7"/>
  <c r="B972" i="7" s="1"/>
  <c r="K971" i="7"/>
  <c r="U325" i="11"/>
  <c r="X324" i="11"/>
  <c r="V324" i="11"/>
  <c r="S325" i="11" s="1"/>
  <c r="W324" i="11"/>
  <c r="C38" i="10"/>
  <c r="F38" i="10" s="1"/>
  <c r="F636" i="7"/>
  <c r="D1242" i="6"/>
  <c r="C1242" i="6"/>
  <c r="B1243" i="6" s="1"/>
  <c r="D1243" i="6" s="1"/>
  <c r="D1099" i="6"/>
  <c r="G414" i="7"/>
  <c r="X208" i="11"/>
  <c r="W208" i="11"/>
  <c r="V208" i="11"/>
  <c r="G621" i="6"/>
  <c r="E622" i="6" s="1"/>
  <c r="G622" i="6" s="1"/>
  <c r="N854" i="8"/>
  <c r="I855" i="8" s="1"/>
  <c r="J855" i="8" s="1"/>
  <c r="J1085" i="7"/>
  <c r="F1085" i="7"/>
  <c r="I1085" i="7"/>
  <c r="E1085" i="7"/>
  <c r="G1085" i="7" s="1"/>
  <c r="F24" i="9"/>
  <c r="G24" i="9"/>
  <c r="F1280" i="6"/>
  <c r="E1281" i="6" s="1"/>
  <c r="G1281" i="6" s="1"/>
  <c r="F856" i="7"/>
  <c r="C140" i="7"/>
  <c r="H140" i="7" s="1"/>
  <c r="G1029" i="7"/>
  <c r="C1030" i="7" s="1"/>
  <c r="D1030" i="7" s="1"/>
  <c r="G1431" i="6"/>
  <c r="I788" i="6"/>
  <c r="H789" i="6" s="1"/>
  <c r="J789" i="6" s="1"/>
  <c r="J2911" i="6"/>
  <c r="H2912" i="6" s="1"/>
  <c r="I2912" i="6" s="1"/>
  <c r="J420" i="6"/>
  <c r="H421" i="6" s="1"/>
  <c r="J421" i="6" s="1"/>
  <c r="F1100" i="6"/>
  <c r="E1101" i="6" s="1"/>
  <c r="G1101" i="6" s="1"/>
  <c r="H857" i="8"/>
  <c r="D857" i="8"/>
  <c r="E857" i="8"/>
  <c r="G857" i="8" s="1"/>
  <c r="K635" i="7"/>
  <c r="L635" i="7"/>
  <c r="N635" i="7" s="1"/>
  <c r="O635" i="7"/>
  <c r="BB208" i="11"/>
  <c r="BM208" i="11"/>
  <c r="K1142" i="7"/>
  <c r="I1142" i="7"/>
  <c r="F1142" i="7"/>
  <c r="E1142" i="7"/>
  <c r="J1142" i="7"/>
  <c r="G1142" i="7"/>
  <c r="H1019" i="6"/>
  <c r="J1019" i="6" s="1"/>
  <c r="H745" i="7"/>
  <c r="D745" i="7"/>
  <c r="O415" i="7"/>
  <c r="L415" i="7"/>
  <c r="K415" i="7"/>
  <c r="O1075" i="8"/>
  <c r="K1075" i="8"/>
  <c r="J745" i="7"/>
  <c r="C1144" i="6"/>
  <c r="H374" i="6"/>
  <c r="J374" i="6" s="1"/>
  <c r="I306" i="8"/>
  <c r="J306" i="8" s="1"/>
  <c r="L306" i="8" s="1"/>
  <c r="L1075" i="8"/>
  <c r="O581" i="8"/>
  <c r="L581" i="8"/>
  <c r="I306" i="7"/>
  <c r="J306" i="7" s="1"/>
  <c r="I911" i="7"/>
  <c r="J911" i="7" s="1"/>
  <c r="L911" i="7" s="1"/>
  <c r="K581" i="8"/>
  <c r="M581" i="8" s="1"/>
  <c r="I142" i="12"/>
  <c r="J142" i="12" s="1"/>
  <c r="B1100" i="6"/>
  <c r="D1100" i="6" s="1"/>
  <c r="C1100" i="6"/>
  <c r="I361" i="8"/>
  <c r="BW208" i="11"/>
  <c r="CC208" i="11" s="1"/>
  <c r="BX208" i="11"/>
  <c r="K141" i="8"/>
  <c r="B250" i="12"/>
  <c r="C250" i="12" s="1"/>
  <c r="E250" i="12" s="1"/>
  <c r="C580" i="7"/>
  <c r="D580" i="7" s="1"/>
  <c r="I800" i="7"/>
  <c r="J800" i="7" s="1"/>
  <c r="L800" i="7" s="1"/>
  <c r="H471" i="7"/>
  <c r="E471" i="7"/>
  <c r="G471" i="7" s="1"/>
  <c r="J736" i="6"/>
  <c r="H737" i="6" s="1"/>
  <c r="I737" i="6" s="1"/>
  <c r="B415" i="7"/>
  <c r="B526" i="7"/>
  <c r="I182" i="6"/>
  <c r="E1236" i="6"/>
  <c r="G1236" i="6" s="1"/>
  <c r="B526" i="8"/>
  <c r="D1335" i="6"/>
  <c r="B1336" i="6" s="1"/>
  <c r="C1336" i="6" s="1"/>
  <c r="B636" i="8"/>
  <c r="C636" i="8" s="1"/>
  <c r="E636" i="8" s="1"/>
  <c r="I687" i="6"/>
  <c r="C251" i="7"/>
  <c r="D251" i="7" s="1"/>
  <c r="J471" i="8"/>
  <c r="J1196" i="7"/>
  <c r="I1196" i="7"/>
  <c r="F1196" i="7"/>
  <c r="E1196" i="7"/>
  <c r="K1196" i="7"/>
  <c r="H1196" i="7"/>
  <c r="B1197" i="7" s="1"/>
  <c r="G1196" i="7"/>
  <c r="I746" i="8"/>
  <c r="N580" i="7"/>
  <c r="I136" i="6"/>
  <c r="O691" i="7"/>
  <c r="L691" i="7"/>
  <c r="B305" i="7"/>
  <c r="C305" i="7" s="1"/>
  <c r="E305" i="7"/>
  <c r="L141" i="7"/>
  <c r="O141" i="7"/>
  <c r="B1385" i="6"/>
  <c r="D1385" i="6" s="1"/>
  <c r="E1192" i="6"/>
  <c r="G1192" i="6" s="1"/>
  <c r="C362" i="8"/>
  <c r="I472" i="7"/>
  <c r="L141" i="8"/>
  <c r="C196" i="8"/>
  <c r="D909" i="8"/>
  <c r="F909" i="8" s="1"/>
  <c r="H909" i="8"/>
  <c r="B801" i="8"/>
  <c r="C801" i="8" s="1"/>
  <c r="E801" i="8" s="1"/>
  <c r="I801" i="8"/>
  <c r="J801" i="8" s="1"/>
  <c r="M745" i="8"/>
  <c r="H196" i="7"/>
  <c r="D196" i="7"/>
  <c r="L25" i="9"/>
  <c r="K635" i="8"/>
  <c r="M635" i="8" s="1"/>
  <c r="O635" i="8"/>
  <c r="F1147" i="6"/>
  <c r="C801" i="7"/>
  <c r="I525" i="7"/>
  <c r="J525" i="7" s="1"/>
  <c r="L525" i="7"/>
  <c r="I510" i="6"/>
  <c r="E196" i="7"/>
  <c r="M360" i="8"/>
  <c r="G416" i="8"/>
  <c r="D910" i="7"/>
  <c r="F910" i="7" s="1"/>
  <c r="H910" i="7"/>
  <c r="B360" i="7"/>
  <c r="C360" i="7" s="1"/>
  <c r="E1519" i="6"/>
  <c r="G1519" i="6" s="1"/>
  <c r="B690" i="8"/>
  <c r="C690" i="8" s="1"/>
  <c r="C257" i="11"/>
  <c r="AF256" i="11"/>
  <c r="J257" i="11" s="1"/>
  <c r="C526" i="7"/>
  <c r="D526" i="7" s="1"/>
  <c r="K195" i="7"/>
  <c r="M195" i="7" s="1"/>
  <c r="O195" i="7"/>
  <c r="C141" i="12"/>
  <c r="J560" i="6"/>
  <c r="M471" i="7"/>
  <c r="J911" i="8"/>
  <c r="K141" i="7"/>
  <c r="M141" i="7" s="1"/>
  <c r="H280" i="6"/>
  <c r="J280" i="6" s="1"/>
  <c r="I228" i="6"/>
  <c r="H305" i="12"/>
  <c r="E305" i="12"/>
  <c r="G305" i="12" s="1"/>
  <c r="B140" i="8"/>
  <c r="C140" i="8" s="1"/>
  <c r="B1077" i="8"/>
  <c r="C1077" i="8" s="1"/>
  <c r="E1077" i="8" s="1"/>
  <c r="N1021" i="8"/>
  <c r="M415" i="8"/>
  <c r="O965" i="8"/>
  <c r="L965" i="8"/>
  <c r="N360" i="7"/>
  <c r="M327" i="11"/>
  <c r="Q327" i="11" s="1"/>
  <c r="C581" i="8"/>
  <c r="D581" i="8" s="1"/>
  <c r="C966" i="8"/>
  <c r="D966" i="8" s="1"/>
  <c r="L28" i="10"/>
  <c r="J28" i="10" s="1"/>
  <c r="G856" i="7"/>
  <c r="K855" i="7"/>
  <c r="M855" i="7" s="1"/>
  <c r="O855" i="7"/>
  <c r="O304" i="12"/>
  <c r="K304" i="12"/>
  <c r="M304" i="12" s="1"/>
  <c r="N250" i="12"/>
  <c r="B1193" i="6"/>
  <c r="C1193" i="6" s="1"/>
  <c r="B306" i="8"/>
  <c r="C306" i="8" s="1"/>
  <c r="E306" i="8"/>
  <c r="D745" i="8"/>
  <c r="F745" i="8" s="1"/>
  <c r="H745" i="8"/>
  <c r="G325" i="11"/>
  <c r="F325" i="11"/>
  <c r="C326" i="11" s="1"/>
  <c r="D326" i="11" s="1"/>
  <c r="H325" i="11"/>
  <c r="E326" i="11"/>
  <c r="I326" i="11"/>
  <c r="J195" i="12"/>
  <c r="K195" i="12" s="1"/>
  <c r="B1021" i="8"/>
  <c r="C1021" i="8" s="1"/>
  <c r="I416" i="8"/>
  <c r="E1467" i="6"/>
  <c r="G1467" i="6" s="1"/>
  <c r="B250" i="8"/>
  <c r="C250" i="8" s="1"/>
  <c r="H879" i="6"/>
  <c r="J879" i="6" s="1"/>
  <c r="B1479" i="6"/>
  <c r="D1479" i="6" s="1"/>
  <c r="C1479" i="6"/>
  <c r="K691" i="7"/>
  <c r="I196" i="8"/>
  <c r="J196" i="8" s="1"/>
  <c r="L196" i="8" s="1"/>
  <c r="H327" i="6"/>
  <c r="I327" i="6" s="1"/>
  <c r="F525" i="8"/>
  <c r="J925" i="6"/>
  <c r="I525" i="8"/>
  <c r="H970" i="6"/>
  <c r="I970" i="6" s="1"/>
  <c r="M524" i="8"/>
  <c r="O251" i="7"/>
  <c r="L251" i="7"/>
  <c r="BC258" i="11"/>
  <c r="N635" i="8"/>
  <c r="I251" i="8"/>
  <c r="J251" i="8" s="1"/>
  <c r="L251" i="8" s="1"/>
  <c r="K251" i="7"/>
  <c r="M251" i="7" s="1"/>
  <c r="K965" i="8"/>
  <c r="M965" i="8" s="1"/>
  <c r="E745" i="7"/>
  <c r="F414" i="7"/>
  <c r="E195" i="12"/>
  <c r="G195" i="12" s="1"/>
  <c r="H195" i="12"/>
  <c r="G636" i="7"/>
  <c r="E691" i="7"/>
  <c r="G691" i="7" s="1"/>
  <c r="H691" i="7"/>
  <c r="J463" i="6"/>
  <c r="H464" i="6" s="1"/>
  <c r="I464" i="6" s="1"/>
  <c r="J835" i="6"/>
  <c r="H836" i="6" s="1"/>
  <c r="I836" i="6" s="1"/>
  <c r="E745" i="8"/>
  <c r="J642" i="6"/>
  <c r="H643" i="6" s="1"/>
  <c r="I643" i="6" s="1"/>
  <c r="K690" i="8"/>
  <c r="M690" i="8" s="1"/>
  <c r="O690" i="8"/>
  <c r="D257" i="11"/>
  <c r="G469" i="8"/>
  <c r="H526" i="7" l="1"/>
  <c r="F745" i="7"/>
  <c r="E140" i="7"/>
  <c r="CA208" i="11"/>
  <c r="CE208" i="11" s="1"/>
  <c r="D140" i="7"/>
  <c r="F140" i="7" s="1"/>
  <c r="N691" i="7"/>
  <c r="N141" i="8"/>
  <c r="I142" i="8" s="1"/>
  <c r="F1101" i="6"/>
  <c r="E1102" i="6" s="1"/>
  <c r="G1102" i="6" s="1"/>
  <c r="BY208" i="11"/>
  <c r="CD208" i="11" s="1"/>
  <c r="H24" i="9"/>
  <c r="I24" i="9" s="1"/>
  <c r="BZ208" i="11"/>
  <c r="G1335" i="6"/>
  <c r="F1335" i="6"/>
  <c r="BB258" i="11"/>
  <c r="BM258" i="11" s="1"/>
  <c r="C1243" i="6"/>
  <c r="H1142" i="7"/>
  <c r="T325" i="11"/>
  <c r="Y325" i="11" s="1"/>
  <c r="C972" i="7"/>
  <c r="D972" i="7" s="1"/>
  <c r="B1143" i="7"/>
  <c r="C1143" i="7" s="1"/>
  <c r="D1143" i="7" s="1"/>
  <c r="I789" i="6"/>
  <c r="N415" i="7"/>
  <c r="I416" i="7" s="1"/>
  <c r="H1085" i="7"/>
  <c r="N855" i="7"/>
  <c r="F305" i="12"/>
  <c r="G257" i="11"/>
  <c r="G1432" i="6"/>
  <c r="C1385" i="6"/>
  <c r="B1386" i="6" s="1"/>
  <c r="H1343" i="6" s="1"/>
  <c r="I1345" i="6" s="1"/>
  <c r="E526" i="7"/>
  <c r="F526" i="7" s="1"/>
  <c r="AG208" i="11"/>
  <c r="K1085" i="7"/>
  <c r="G909" i="8"/>
  <c r="B910" i="8" s="1"/>
  <c r="C910" i="8" s="1"/>
  <c r="F196" i="7"/>
  <c r="I280" i="6"/>
  <c r="F257" i="11"/>
  <c r="J2912" i="6"/>
  <c r="H2913" i="6" s="1"/>
  <c r="N195" i="7"/>
  <c r="M1075" i="8"/>
  <c r="E1432" i="6"/>
  <c r="F1432" i="6" s="1"/>
  <c r="D360" i="7"/>
  <c r="E360" i="7"/>
  <c r="G360" i="7" s="1"/>
  <c r="H360" i="7"/>
  <c r="K855" i="8"/>
  <c r="L855" i="8"/>
  <c r="N855" i="8" s="1"/>
  <c r="O855" i="8"/>
  <c r="J1030" i="7"/>
  <c r="I1030" i="7"/>
  <c r="E1030" i="7"/>
  <c r="F1030" i="7"/>
  <c r="K1030" i="7" s="1"/>
  <c r="O142" i="12"/>
  <c r="K142" i="12"/>
  <c r="L142" i="12"/>
  <c r="N142" i="12" s="1"/>
  <c r="J525" i="8"/>
  <c r="K525" i="8" s="1"/>
  <c r="I636" i="7"/>
  <c r="B637" i="7"/>
  <c r="C637" i="7" s="1"/>
  <c r="E637" i="7"/>
  <c r="L911" i="8"/>
  <c r="N911" i="8" s="1"/>
  <c r="O911" i="8"/>
  <c r="G196" i="7"/>
  <c r="J687" i="6"/>
  <c r="BF208" i="11"/>
  <c r="BE208" i="11"/>
  <c r="BK208" i="11"/>
  <c r="BJ208" i="11"/>
  <c r="BG208" i="11"/>
  <c r="BI208" i="11"/>
  <c r="BH208" i="11"/>
  <c r="B196" i="12"/>
  <c r="B1145" i="6"/>
  <c r="D1145" i="6" s="1"/>
  <c r="C415" i="7"/>
  <c r="D415" i="7" s="1"/>
  <c r="O525" i="7"/>
  <c r="K525" i="7"/>
  <c r="M525" i="7" s="1"/>
  <c r="G745" i="7"/>
  <c r="I1019" i="6"/>
  <c r="D250" i="8"/>
  <c r="H250" i="8"/>
  <c r="J327" i="6"/>
  <c r="H328" i="6" s="1"/>
  <c r="I328" i="6" s="1"/>
  <c r="F1467" i="6"/>
  <c r="L471" i="8"/>
  <c r="O471" i="8"/>
  <c r="B470" i="8"/>
  <c r="C470" i="8" s="1"/>
  <c r="E470" i="8"/>
  <c r="H1077" i="8"/>
  <c r="D1077" i="8"/>
  <c r="F1077" i="8" s="1"/>
  <c r="K471" i="8"/>
  <c r="M635" i="7"/>
  <c r="K911" i="8"/>
  <c r="H511" i="6"/>
  <c r="J511" i="6" s="1"/>
  <c r="D1021" i="8"/>
  <c r="H1021" i="8"/>
  <c r="H966" i="8"/>
  <c r="E966" i="8"/>
  <c r="G966" i="8" s="1"/>
  <c r="I581" i="7"/>
  <c r="J581" i="7" s="1"/>
  <c r="L581" i="7" s="1"/>
  <c r="O801" i="8"/>
  <c r="K801" i="8"/>
  <c r="H801" i="7"/>
  <c r="E801" i="7"/>
  <c r="H250" i="12"/>
  <c r="D250" i="12"/>
  <c r="F250" i="12" s="1"/>
  <c r="G326" i="11"/>
  <c r="F326" i="11"/>
  <c r="C327" i="11" s="1"/>
  <c r="H326" i="11"/>
  <c r="H801" i="8"/>
  <c r="D801" i="8"/>
  <c r="F801" i="8" s="1"/>
  <c r="J643" i="6"/>
  <c r="H644" i="6" s="1"/>
  <c r="I644" i="6" s="1"/>
  <c r="B417" i="8"/>
  <c r="C417" i="8" s="1"/>
  <c r="G745" i="8"/>
  <c r="D636" i="8"/>
  <c r="F636" i="8" s="1"/>
  <c r="H636" i="8"/>
  <c r="J836" i="6"/>
  <c r="D690" i="8"/>
  <c r="F690" i="8" s="1"/>
  <c r="H690" i="8"/>
  <c r="D1336" i="6"/>
  <c r="M415" i="7"/>
  <c r="J464" i="6"/>
  <c r="H465" i="6" s="1"/>
  <c r="I465" i="6" s="1"/>
  <c r="H926" i="6"/>
  <c r="I926" i="6" s="1"/>
  <c r="B857" i="7"/>
  <c r="C857" i="7" s="1"/>
  <c r="E857" i="7"/>
  <c r="H229" i="6"/>
  <c r="J229" i="6" s="1"/>
  <c r="H141" i="12"/>
  <c r="E141" i="12"/>
  <c r="E690" i="8"/>
  <c r="J361" i="8"/>
  <c r="N581" i="8"/>
  <c r="N690" i="8"/>
  <c r="B858" i="8"/>
  <c r="I196" i="7"/>
  <c r="J196" i="7" s="1"/>
  <c r="L196" i="7" s="1"/>
  <c r="D305" i="7"/>
  <c r="F305" i="7" s="1"/>
  <c r="H305" i="7"/>
  <c r="O306" i="8"/>
  <c r="K306" i="8"/>
  <c r="M306" i="8" s="1"/>
  <c r="O196" i="8"/>
  <c r="K196" i="8"/>
  <c r="M196" i="8" s="1"/>
  <c r="M28" i="10"/>
  <c r="I28" i="10" s="1"/>
  <c r="H183" i="6"/>
  <c r="J183" i="6" s="1"/>
  <c r="M691" i="7"/>
  <c r="I374" i="6"/>
  <c r="D306" i="8"/>
  <c r="F306" i="8" s="1"/>
  <c r="H306" i="8"/>
  <c r="H137" i="6"/>
  <c r="J137" i="6" s="1"/>
  <c r="E1021" i="8"/>
  <c r="J472" i="7"/>
  <c r="J746" i="8"/>
  <c r="O745" i="7"/>
  <c r="L745" i="7"/>
  <c r="O195" i="12"/>
  <c r="L195" i="12"/>
  <c r="N195" i="12" s="1"/>
  <c r="K745" i="7"/>
  <c r="I251" i="12"/>
  <c r="J251" i="12" s="1"/>
  <c r="D1193" i="6"/>
  <c r="B1194" i="6" s="1"/>
  <c r="C1194" i="6" s="1"/>
  <c r="H251" i="7"/>
  <c r="E251" i="7"/>
  <c r="G251" i="7" s="1"/>
  <c r="J737" i="6"/>
  <c r="I856" i="7"/>
  <c r="J856" i="7" s="1"/>
  <c r="K856" i="7" s="1"/>
  <c r="I879" i="6"/>
  <c r="B306" i="12"/>
  <c r="E257" i="11"/>
  <c r="H362" i="8"/>
  <c r="E362" i="8"/>
  <c r="O327" i="11"/>
  <c r="N327" i="11"/>
  <c r="K328" i="11" s="1"/>
  <c r="L328" i="11" s="1"/>
  <c r="P327" i="11"/>
  <c r="D362" i="8"/>
  <c r="O306" i="7"/>
  <c r="K306" i="7"/>
  <c r="B1244" i="6"/>
  <c r="D1244" i="6" s="1"/>
  <c r="C1244" i="6"/>
  <c r="B1245" i="6" s="1"/>
  <c r="C1197" i="7"/>
  <c r="D1197" i="7" s="1"/>
  <c r="B472" i="7"/>
  <c r="L306" i="7"/>
  <c r="F622" i="6"/>
  <c r="G910" i="7"/>
  <c r="J416" i="8"/>
  <c r="J281" i="6"/>
  <c r="D141" i="12"/>
  <c r="M25" i="9"/>
  <c r="P25" i="9" s="1"/>
  <c r="O800" i="7"/>
  <c r="K800" i="7"/>
  <c r="M800" i="7" s="1"/>
  <c r="F691" i="7"/>
  <c r="N304" i="12"/>
  <c r="F857" i="8"/>
  <c r="N306" i="8"/>
  <c r="I1022" i="8"/>
  <c r="J1022" i="8" s="1"/>
  <c r="L1022" i="8"/>
  <c r="I692" i="7"/>
  <c r="E39" i="10"/>
  <c r="D39" i="10"/>
  <c r="C39" i="10"/>
  <c r="F39" i="10" s="1"/>
  <c r="B1480" i="6"/>
  <c r="F195" i="12"/>
  <c r="H140" i="8"/>
  <c r="D140" i="8"/>
  <c r="K911" i="7"/>
  <c r="M911" i="7" s="1"/>
  <c r="O911" i="7"/>
  <c r="H581" i="8"/>
  <c r="E581" i="8"/>
  <c r="G581" i="8" s="1"/>
  <c r="E140" i="8"/>
  <c r="L801" i="8"/>
  <c r="J970" i="6"/>
  <c r="D801" i="7"/>
  <c r="M141" i="8"/>
  <c r="E1148" i="6"/>
  <c r="G1148" i="6" s="1"/>
  <c r="E250" i="8"/>
  <c r="F1281" i="6"/>
  <c r="CF208" i="11"/>
  <c r="I421" i="6"/>
  <c r="H281" i="6"/>
  <c r="H561" i="6"/>
  <c r="I561" i="6" s="1"/>
  <c r="H196" i="8"/>
  <c r="E196" i="8"/>
  <c r="B1101" i="6"/>
  <c r="D1101" i="6" s="1"/>
  <c r="C1101" i="6"/>
  <c r="H790" i="6"/>
  <c r="J790" i="6" s="1"/>
  <c r="O251" i="8"/>
  <c r="K251" i="8"/>
  <c r="M251" i="8" s="1"/>
  <c r="I361" i="7"/>
  <c r="J361" i="7" s="1"/>
  <c r="I636" i="8"/>
  <c r="J636" i="8" s="1"/>
  <c r="N965" i="8"/>
  <c r="F1192" i="6"/>
  <c r="N251" i="7"/>
  <c r="B692" i="7"/>
  <c r="C526" i="8"/>
  <c r="F1519" i="6"/>
  <c r="O25" i="9"/>
  <c r="D196" i="8"/>
  <c r="N141" i="7"/>
  <c r="F1236" i="6"/>
  <c r="E580" i="7"/>
  <c r="G580" i="7" s="1"/>
  <c r="H580" i="7"/>
  <c r="N1075" i="8"/>
  <c r="F471" i="7"/>
  <c r="BJ258" i="11" l="1"/>
  <c r="BK258" i="11"/>
  <c r="BF258" i="11"/>
  <c r="BE258" i="11"/>
  <c r="BI258" i="11"/>
  <c r="BH258" i="11"/>
  <c r="BG258" i="11"/>
  <c r="AJ259" i="11" s="1"/>
  <c r="X325" i="11"/>
  <c r="W325" i="11"/>
  <c r="V325" i="11"/>
  <c r="S326" i="11" s="1"/>
  <c r="T326" i="11" s="1"/>
  <c r="U326" i="11"/>
  <c r="Y326" i="11"/>
  <c r="I281" i="6"/>
  <c r="H282" i="6" s="1"/>
  <c r="G140" i="8"/>
  <c r="B141" i="8" s="1"/>
  <c r="I972" i="7"/>
  <c r="B973" i="7" s="1"/>
  <c r="C973" i="7" s="1"/>
  <c r="D973" i="7" s="1"/>
  <c r="J972" i="7"/>
  <c r="F972" i="7"/>
  <c r="E972" i="7"/>
  <c r="G972" i="7" s="1"/>
  <c r="K972" i="7"/>
  <c r="F196" i="8"/>
  <c r="CG208" i="11"/>
  <c r="N911" i="7"/>
  <c r="I912" i="7" s="1"/>
  <c r="J912" i="7" s="1"/>
  <c r="K912" i="7" s="1"/>
  <c r="CH208" i="11"/>
  <c r="N801" i="8"/>
  <c r="G250" i="8"/>
  <c r="F362" i="8"/>
  <c r="G526" i="7"/>
  <c r="E527" i="7" s="1"/>
  <c r="E1336" i="6"/>
  <c r="G1336" i="6" s="1"/>
  <c r="G1337" i="6" s="1"/>
  <c r="F1336" i="6"/>
  <c r="E1337" i="6" s="1"/>
  <c r="F1337" i="6" s="1"/>
  <c r="CI208" i="11"/>
  <c r="CJ208" i="11"/>
  <c r="M306" i="7"/>
  <c r="G140" i="7"/>
  <c r="B141" i="7" s="1"/>
  <c r="D327" i="11"/>
  <c r="E327" i="11" s="1"/>
  <c r="I327" i="11" s="1"/>
  <c r="M471" i="8"/>
  <c r="H972" i="7"/>
  <c r="J1143" i="7"/>
  <c r="I1143" i="7"/>
  <c r="F1143" i="7"/>
  <c r="E1143" i="7"/>
  <c r="G1143" i="7"/>
  <c r="K1143" i="7"/>
  <c r="I2913" i="6"/>
  <c r="H2914" i="6" s="1"/>
  <c r="I2914" i="6" s="1"/>
  <c r="J2913" i="6"/>
  <c r="M142" i="12"/>
  <c r="AB208" i="11"/>
  <c r="AA208" i="11"/>
  <c r="AC208" i="11"/>
  <c r="Y208" i="11"/>
  <c r="Z208" i="11"/>
  <c r="AE208" i="11"/>
  <c r="AD208" i="11"/>
  <c r="F251" i="7"/>
  <c r="E1433" i="6"/>
  <c r="H1390" i="6" s="1"/>
  <c r="I1392" i="6" s="1"/>
  <c r="J1392" i="6" s="1"/>
  <c r="H1393" i="6" s="1"/>
  <c r="I1393" i="6" s="1"/>
  <c r="F141" i="12"/>
  <c r="B1086" i="7"/>
  <c r="C1086" i="7"/>
  <c r="D1086" i="7" s="1"/>
  <c r="G1030" i="7"/>
  <c r="N196" i="8"/>
  <c r="I197" i="8" s="1"/>
  <c r="J197" i="8" s="1"/>
  <c r="L197" i="8" s="1"/>
  <c r="N800" i="7"/>
  <c r="I801" i="7" s="1"/>
  <c r="J801" i="7" s="1"/>
  <c r="F801" i="7"/>
  <c r="F1102" i="6"/>
  <c r="E1103" i="6" s="1"/>
  <c r="G1103" i="6" s="1"/>
  <c r="N745" i="7"/>
  <c r="I746" i="7" s="1"/>
  <c r="C306" i="12"/>
  <c r="E306" i="12" s="1"/>
  <c r="G1021" i="8"/>
  <c r="B1022" i="8" s="1"/>
  <c r="G306" i="8"/>
  <c r="B307" i="8" s="1"/>
  <c r="C307" i="8" s="1"/>
  <c r="H307" i="8" s="1"/>
  <c r="L636" i="8"/>
  <c r="O636" i="8"/>
  <c r="K636" i="8"/>
  <c r="M636" i="8" s="1"/>
  <c r="H910" i="8"/>
  <c r="D910" i="8"/>
  <c r="E910" i="8"/>
  <c r="G910" i="8" s="1"/>
  <c r="H466" i="6"/>
  <c r="I466" i="6" s="1"/>
  <c r="H327" i="11"/>
  <c r="G327" i="11"/>
  <c r="F327" i="11"/>
  <c r="C328" i="11" s="1"/>
  <c r="D328" i="11" s="1"/>
  <c r="K361" i="7"/>
  <c r="O361" i="7"/>
  <c r="H1020" i="6"/>
  <c r="J1020" i="6" s="1"/>
  <c r="N525" i="7"/>
  <c r="L361" i="8"/>
  <c r="O361" i="8"/>
  <c r="J636" i="7"/>
  <c r="E526" i="8"/>
  <c r="H526" i="8"/>
  <c r="B527" i="7"/>
  <c r="C527" i="7" s="1"/>
  <c r="N251" i="8"/>
  <c r="G141" i="12"/>
  <c r="H1030" i="7"/>
  <c r="C1145" i="6"/>
  <c r="O472" i="7"/>
  <c r="L472" i="7"/>
  <c r="G305" i="7"/>
  <c r="I802" i="8"/>
  <c r="H470" i="8"/>
  <c r="D470" i="8"/>
  <c r="F470" i="8" s="1"/>
  <c r="J688" i="6"/>
  <c r="B911" i="7"/>
  <c r="C911" i="7" s="1"/>
  <c r="E911" i="7"/>
  <c r="E1193" i="6"/>
  <c r="G1193" i="6" s="1"/>
  <c r="F1193" i="6"/>
  <c r="D857" i="7"/>
  <c r="F857" i="7" s="1"/>
  <c r="H857" i="7"/>
  <c r="M801" i="8"/>
  <c r="J328" i="6"/>
  <c r="J561" i="6"/>
  <c r="F360" i="7"/>
  <c r="J1393" i="6"/>
  <c r="D1337" i="6"/>
  <c r="O525" i="8"/>
  <c r="L525" i="8"/>
  <c r="N525" i="8" s="1"/>
  <c r="K1022" i="8"/>
  <c r="M1022" i="8" s="1"/>
  <c r="O1022" i="8"/>
  <c r="C252" i="7"/>
  <c r="H252" i="7" s="1"/>
  <c r="K361" i="8"/>
  <c r="D526" i="8"/>
  <c r="G690" i="8"/>
  <c r="J1345" i="6"/>
  <c r="H1346" i="6" s="1"/>
  <c r="I1346" i="6" s="1"/>
  <c r="L856" i="7"/>
  <c r="N856" i="7" s="1"/>
  <c r="K196" i="7"/>
  <c r="M196" i="7" s="1"/>
  <c r="B1337" i="6"/>
  <c r="C1337" i="6" s="1"/>
  <c r="B252" i="7"/>
  <c r="K472" i="7"/>
  <c r="M472" i="7" s="1"/>
  <c r="I229" i="6"/>
  <c r="B746" i="8"/>
  <c r="C746" i="8" s="1"/>
  <c r="E746" i="8" s="1"/>
  <c r="C692" i="7"/>
  <c r="H417" i="8"/>
  <c r="D417" i="8"/>
  <c r="F417" i="8" s="1"/>
  <c r="CS208" i="11"/>
  <c r="K251" i="12"/>
  <c r="O251" i="12"/>
  <c r="G250" i="12"/>
  <c r="E1468" i="6"/>
  <c r="G1468" i="6" s="1"/>
  <c r="B361" i="7"/>
  <c r="I966" i="8"/>
  <c r="J966" i="8" s="1"/>
  <c r="E1282" i="6"/>
  <c r="G1282" i="6" s="1"/>
  <c r="O196" i="7"/>
  <c r="I691" i="8"/>
  <c r="J691" i="8" s="1"/>
  <c r="J644" i="6"/>
  <c r="H645" i="6" s="1"/>
  <c r="I645" i="6" s="1"/>
  <c r="I142" i="7"/>
  <c r="J142" i="7" s="1"/>
  <c r="L142" i="7" s="1"/>
  <c r="G196" i="8"/>
  <c r="B251" i="8"/>
  <c r="G362" i="8"/>
  <c r="H971" i="6"/>
  <c r="I971" i="6" s="1"/>
  <c r="I137" i="6"/>
  <c r="I582" i="8"/>
  <c r="J582" i="8" s="1"/>
  <c r="L582" i="8" s="1"/>
  <c r="J926" i="6"/>
  <c r="H927" i="6" s="1"/>
  <c r="I927" i="6" s="1"/>
  <c r="F580" i="7"/>
  <c r="B746" i="7"/>
  <c r="C746" i="7" s="1"/>
  <c r="E746" i="7"/>
  <c r="D637" i="7"/>
  <c r="F637" i="7" s="1"/>
  <c r="H637" i="7"/>
  <c r="G801" i="8"/>
  <c r="G1077" i="8"/>
  <c r="I196" i="12"/>
  <c r="I856" i="8"/>
  <c r="L361" i="7"/>
  <c r="F1148" i="6"/>
  <c r="H880" i="6"/>
  <c r="J880" i="6" s="1"/>
  <c r="E40" i="10"/>
  <c r="D40" i="10"/>
  <c r="C40" i="10"/>
  <c r="O581" i="7"/>
  <c r="K581" i="7"/>
  <c r="M581" i="7" s="1"/>
  <c r="O746" i="8"/>
  <c r="L746" i="8"/>
  <c r="AI259" i="11"/>
  <c r="BL258" i="11"/>
  <c r="AP259" i="11" s="1"/>
  <c r="C858" i="8"/>
  <c r="H422" i="6"/>
  <c r="J422" i="6" s="1"/>
  <c r="O416" i="8"/>
  <c r="L416" i="8"/>
  <c r="O856" i="7"/>
  <c r="K416" i="8"/>
  <c r="I252" i="7"/>
  <c r="J252" i="7" s="1"/>
  <c r="B197" i="7"/>
  <c r="C197" i="7" s="1"/>
  <c r="E197" i="7" s="1"/>
  <c r="B582" i="8"/>
  <c r="E417" i="8"/>
  <c r="N28" i="10"/>
  <c r="H28" i="10" s="1"/>
  <c r="K28" i="10" s="1"/>
  <c r="I912" i="8"/>
  <c r="E1237" i="6"/>
  <c r="G1237" i="6" s="1"/>
  <c r="H688" i="6"/>
  <c r="I688" i="6" s="1"/>
  <c r="M328" i="11"/>
  <c r="Q328" i="11" s="1"/>
  <c r="L251" i="12"/>
  <c r="F140" i="8"/>
  <c r="J465" i="6"/>
  <c r="AJ209" i="11"/>
  <c r="M195" i="12"/>
  <c r="H837" i="6"/>
  <c r="I837" i="6" s="1"/>
  <c r="H738" i="6"/>
  <c r="I738" i="6" s="1"/>
  <c r="C141" i="7"/>
  <c r="D141" i="7" s="1"/>
  <c r="I511" i="6"/>
  <c r="I143" i="12"/>
  <c r="BL208" i="11"/>
  <c r="AP209" i="11" s="1"/>
  <c r="AI209" i="11"/>
  <c r="M855" i="8"/>
  <c r="E415" i="7"/>
  <c r="G415" i="7" s="1"/>
  <c r="H415" i="7"/>
  <c r="J142" i="8"/>
  <c r="I307" i="8"/>
  <c r="J307" i="8" s="1"/>
  <c r="J692" i="7"/>
  <c r="K692" i="7" s="1"/>
  <c r="B967" i="8"/>
  <c r="K746" i="8"/>
  <c r="M746" i="8" s="1"/>
  <c r="I790" i="6"/>
  <c r="I305" i="12"/>
  <c r="J305" i="12" s="1"/>
  <c r="L305" i="12" s="1"/>
  <c r="C472" i="7"/>
  <c r="B1102" i="6"/>
  <c r="D1102" i="6" s="1"/>
  <c r="C1102" i="6"/>
  <c r="G801" i="7"/>
  <c r="I1076" i="8"/>
  <c r="J1076" i="8" s="1"/>
  <c r="L1076" i="8" s="1"/>
  <c r="I183" i="6"/>
  <c r="J1197" i="7"/>
  <c r="E1197" i="7"/>
  <c r="I1197" i="7"/>
  <c r="F1197" i="7"/>
  <c r="H1197" i="7" s="1"/>
  <c r="E623" i="6"/>
  <c r="G623" i="6" s="1"/>
  <c r="G624" i="6" s="1"/>
  <c r="G625" i="6" s="1"/>
  <c r="G626" i="6" s="1"/>
  <c r="G627" i="6" s="1"/>
  <c r="G628" i="6" s="1"/>
  <c r="G629" i="6" s="1"/>
  <c r="G630" i="6" s="1"/>
  <c r="G631" i="6" s="1"/>
  <c r="G632" i="6" s="1"/>
  <c r="G633" i="6" s="1"/>
  <c r="D1194" i="6"/>
  <c r="N471" i="8"/>
  <c r="F966" i="8"/>
  <c r="B581" i="7"/>
  <c r="N306" i="7"/>
  <c r="F1021" i="8"/>
  <c r="S25" i="9"/>
  <c r="H257" i="11"/>
  <c r="I257" i="11" s="1"/>
  <c r="E1520" i="6"/>
  <c r="G1520" i="6" s="1"/>
  <c r="G636" i="8"/>
  <c r="C196" i="12"/>
  <c r="D196" i="12" s="1"/>
  <c r="N25" i="9"/>
  <c r="Q25" i="9" s="1"/>
  <c r="R25" i="9" s="1"/>
  <c r="M745" i="7"/>
  <c r="H375" i="6"/>
  <c r="J375" i="6" s="1"/>
  <c r="J416" i="7"/>
  <c r="M911" i="8"/>
  <c r="F250" i="8"/>
  <c r="F581" i="8"/>
  <c r="I282" i="6" l="1"/>
  <c r="J282" i="6"/>
  <c r="J143" i="12"/>
  <c r="F40" i="10"/>
  <c r="X326" i="11"/>
  <c r="U327" i="11"/>
  <c r="V326" i="11"/>
  <c r="S327" i="11" s="1"/>
  <c r="W326" i="11"/>
  <c r="M856" i="7"/>
  <c r="J2914" i="6"/>
  <c r="H2915" i="6" s="1"/>
  <c r="I2915" i="6" s="1"/>
  <c r="H306" i="12"/>
  <c r="F973" i="7"/>
  <c r="I973" i="7"/>
  <c r="E973" i="7"/>
  <c r="G973" i="7" s="1"/>
  <c r="J973" i="7"/>
  <c r="G526" i="8"/>
  <c r="B527" i="8" s="1"/>
  <c r="I1086" i="7"/>
  <c r="F1086" i="7"/>
  <c r="E1086" i="7"/>
  <c r="G1086" i="7" s="1"/>
  <c r="J1086" i="7"/>
  <c r="H1086" i="7"/>
  <c r="B1087" i="7" s="1"/>
  <c r="C1087" i="7"/>
  <c r="D1087" i="7" s="1"/>
  <c r="N361" i="8"/>
  <c r="G637" i="7"/>
  <c r="AF208" i="11"/>
  <c r="J209" i="11" s="1"/>
  <c r="C209" i="11"/>
  <c r="E209" i="11"/>
  <c r="D306" i="12"/>
  <c r="F306" i="12" s="1"/>
  <c r="N251" i="12"/>
  <c r="I252" i="12" s="1"/>
  <c r="M416" i="8"/>
  <c r="H1143" i="7"/>
  <c r="G209" i="11"/>
  <c r="D209" i="11"/>
  <c r="AL259" i="11"/>
  <c r="AK209" i="11"/>
  <c r="M361" i="7"/>
  <c r="L307" i="8"/>
  <c r="K307" i="8"/>
  <c r="M307" i="8" s="1"/>
  <c r="O307" i="8"/>
  <c r="H283" i="6"/>
  <c r="J283" i="6" s="1"/>
  <c r="L143" i="12"/>
  <c r="O143" i="12"/>
  <c r="K143" i="12"/>
  <c r="M143" i="12" s="1"/>
  <c r="L801" i="7"/>
  <c r="K801" i="7"/>
  <c r="O801" i="7"/>
  <c r="B1198" i="7"/>
  <c r="O257" i="11"/>
  <c r="S257" i="11" s="1"/>
  <c r="P257" i="11"/>
  <c r="M257" i="11"/>
  <c r="R257" i="11" s="1"/>
  <c r="N257" i="11"/>
  <c r="K257" i="11"/>
  <c r="Q257" i="11" s="1"/>
  <c r="L257" i="11"/>
  <c r="F25" i="9"/>
  <c r="E25" i="9"/>
  <c r="G25" i="9"/>
  <c r="C251" i="8"/>
  <c r="D251" i="8" s="1"/>
  <c r="H184" i="6"/>
  <c r="J184" i="6" s="1"/>
  <c r="E858" i="8"/>
  <c r="H858" i="8"/>
  <c r="H138" i="6"/>
  <c r="J138" i="6" s="1"/>
  <c r="C967" i="8"/>
  <c r="D967" i="8" s="1"/>
  <c r="K582" i="8"/>
  <c r="M582" i="8" s="1"/>
  <c r="O582" i="8"/>
  <c r="I472" i="8"/>
  <c r="J472" i="8" s="1"/>
  <c r="B1031" i="7"/>
  <c r="C1031" i="7" s="1"/>
  <c r="D1031" i="7" s="1"/>
  <c r="C141" i="8"/>
  <c r="C361" i="7"/>
  <c r="D361" i="7" s="1"/>
  <c r="K197" i="8"/>
  <c r="M197" i="8" s="1"/>
  <c r="H739" i="6"/>
  <c r="I739" i="6" s="1"/>
  <c r="O197" i="8"/>
  <c r="O636" i="7"/>
  <c r="L636" i="7"/>
  <c r="O1076" i="8"/>
  <c r="K1076" i="8"/>
  <c r="M1076" i="8" s="1"/>
  <c r="D858" i="8"/>
  <c r="D252" i="7"/>
  <c r="B416" i="7"/>
  <c r="D307" i="8"/>
  <c r="J856" i="8"/>
  <c r="B638" i="7"/>
  <c r="C638" i="7" s="1"/>
  <c r="H638" i="7" s="1"/>
  <c r="E1194" i="6"/>
  <c r="G1194" i="6" s="1"/>
  <c r="F1194" i="6"/>
  <c r="J912" i="8"/>
  <c r="H692" i="7"/>
  <c r="E692" i="7"/>
  <c r="J562" i="6"/>
  <c r="K636" i="7"/>
  <c r="M636" i="7" s="1"/>
  <c r="B142" i="12"/>
  <c r="C142" i="12" s="1"/>
  <c r="N636" i="8"/>
  <c r="F623" i="6"/>
  <c r="F624" i="6" s="1"/>
  <c r="F625" i="6" s="1"/>
  <c r="F626" i="6" s="1"/>
  <c r="F627" i="6" s="1"/>
  <c r="F628" i="6" s="1"/>
  <c r="F629" i="6" s="1"/>
  <c r="F630" i="6" s="1"/>
  <c r="F631" i="6" s="1"/>
  <c r="F632" i="6" s="1"/>
  <c r="F633" i="6" s="1"/>
  <c r="E634" i="6" s="1"/>
  <c r="H591" i="6" s="1"/>
  <c r="AK259" i="11"/>
  <c r="AM259" i="11"/>
  <c r="AL209" i="11"/>
  <c r="H472" i="7"/>
  <c r="E472" i="7"/>
  <c r="O912" i="7"/>
  <c r="I1020" i="6"/>
  <c r="H197" i="7"/>
  <c r="D197" i="7"/>
  <c r="F197" i="7" s="1"/>
  <c r="N746" i="8"/>
  <c r="AM209" i="11"/>
  <c r="E252" i="7"/>
  <c r="G252" i="7" s="1"/>
  <c r="F1103" i="6"/>
  <c r="E1104" i="6" s="1"/>
  <c r="B197" i="8"/>
  <c r="C197" i="8" s="1"/>
  <c r="E197" i="8"/>
  <c r="L912" i="7"/>
  <c r="N912" i="7" s="1"/>
  <c r="J466" i="6"/>
  <c r="H467" i="6" s="1"/>
  <c r="I467" i="6" s="1"/>
  <c r="B691" i="8"/>
  <c r="C691" i="8" s="1"/>
  <c r="E691" i="8" s="1"/>
  <c r="F910" i="8"/>
  <c r="O142" i="8"/>
  <c r="L142" i="8"/>
  <c r="H512" i="6"/>
  <c r="J512" i="6" s="1"/>
  <c r="N416" i="8"/>
  <c r="N361" i="7"/>
  <c r="D746" i="7"/>
  <c r="F746" i="7" s="1"/>
  <c r="H746" i="7"/>
  <c r="B1338" i="6"/>
  <c r="C1338" i="6" s="1"/>
  <c r="F526" i="8"/>
  <c r="B306" i="7"/>
  <c r="C306" i="7" s="1"/>
  <c r="N581" i="7"/>
  <c r="H1394" i="6"/>
  <c r="I1394" i="6" s="1"/>
  <c r="O416" i="7"/>
  <c r="L416" i="7"/>
  <c r="B802" i="7"/>
  <c r="C802" i="7" s="1"/>
  <c r="G417" i="8"/>
  <c r="B1078" i="8"/>
  <c r="C1078" i="8" s="1"/>
  <c r="E1078" i="8" s="1"/>
  <c r="D692" i="7"/>
  <c r="B363" i="8"/>
  <c r="C363" i="8" s="1"/>
  <c r="E363" i="8"/>
  <c r="D911" i="7"/>
  <c r="F911" i="7" s="1"/>
  <c r="H911" i="7"/>
  <c r="I526" i="8"/>
  <c r="H527" i="7"/>
  <c r="D527" i="7"/>
  <c r="F527" i="7" s="1"/>
  <c r="J837" i="6"/>
  <c r="F1468" i="6"/>
  <c r="E307" i="8"/>
  <c r="B911" i="8"/>
  <c r="E1149" i="6"/>
  <c r="G1149" i="6" s="1"/>
  <c r="B251" i="12"/>
  <c r="C251" i="12" s="1"/>
  <c r="E251" i="12"/>
  <c r="G470" i="8"/>
  <c r="M525" i="8"/>
  <c r="C582" i="8"/>
  <c r="D582" i="8" s="1"/>
  <c r="B637" i="8"/>
  <c r="C637" i="8" s="1"/>
  <c r="E637" i="8" s="1"/>
  <c r="C1022" i="8"/>
  <c r="H791" i="6"/>
  <c r="J791" i="6" s="1"/>
  <c r="K142" i="8"/>
  <c r="C581" i="7"/>
  <c r="J645" i="6"/>
  <c r="M251" i="12"/>
  <c r="M361" i="8"/>
  <c r="N1022" i="8"/>
  <c r="N472" i="7"/>
  <c r="E328" i="11"/>
  <c r="I328" i="11" s="1"/>
  <c r="J196" i="12"/>
  <c r="J329" i="6"/>
  <c r="B1195" i="6"/>
  <c r="C1195" i="6" s="1"/>
  <c r="O966" i="8"/>
  <c r="K966" i="8"/>
  <c r="J802" i="8"/>
  <c r="K802" i="8" s="1"/>
  <c r="B1103" i="6"/>
  <c r="C1103" i="6" s="1"/>
  <c r="I252" i="8"/>
  <c r="J252" i="8" s="1"/>
  <c r="L252" i="8"/>
  <c r="H230" i="6"/>
  <c r="J230" i="6" s="1"/>
  <c r="J746" i="7"/>
  <c r="K746" i="7" s="1"/>
  <c r="D472" i="7"/>
  <c r="J1346" i="6"/>
  <c r="H1347" i="6" s="1"/>
  <c r="I1347" i="6" s="1"/>
  <c r="N196" i="7"/>
  <c r="K305" i="12"/>
  <c r="M305" i="12" s="1"/>
  <c r="O305" i="12"/>
  <c r="J738" i="6"/>
  <c r="I307" i="7"/>
  <c r="J307" i="7" s="1"/>
  <c r="K1197" i="7"/>
  <c r="L29" i="10"/>
  <c r="J29" i="10"/>
  <c r="O252" i="7"/>
  <c r="K252" i="7"/>
  <c r="O691" i="8"/>
  <c r="K691" i="8"/>
  <c r="G857" i="7"/>
  <c r="F415" i="7"/>
  <c r="L692" i="7"/>
  <c r="N692" i="7" s="1"/>
  <c r="O692" i="7"/>
  <c r="C41" i="10"/>
  <c r="E41" i="10"/>
  <c r="D41" i="10"/>
  <c r="F1282" i="6"/>
  <c r="K416" i="7"/>
  <c r="D746" i="8"/>
  <c r="F746" i="8" s="1"/>
  <c r="H746" i="8"/>
  <c r="I362" i="8"/>
  <c r="H329" i="6"/>
  <c r="I329" i="6" s="1"/>
  <c r="N328" i="11"/>
  <c r="K329" i="11" s="1"/>
  <c r="P328" i="11"/>
  <c r="O328" i="11"/>
  <c r="B802" i="8"/>
  <c r="C802" i="8" s="1"/>
  <c r="L966" i="8"/>
  <c r="I526" i="7"/>
  <c r="J526" i="7" s="1"/>
  <c r="I375" i="6"/>
  <c r="H689" i="6"/>
  <c r="I689" i="6" s="1"/>
  <c r="G527" i="7"/>
  <c r="I857" i="7"/>
  <c r="J857" i="7" s="1"/>
  <c r="H562" i="6"/>
  <c r="I562" i="6" s="1"/>
  <c r="G1197" i="7"/>
  <c r="E196" i="12"/>
  <c r="G196" i="12" s="1"/>
  <c r="H196" i="12"/>
  <c r="F1237" i="6"/>
  <c r="I880" i="6"/>
  <c r="K142" i="7"/>
  <c r="M142" i="7" s="1"/>
  <c r="O142" i="7"/>
  <c r="F1520" i="6"/>
  <c r="E141" i="7"/>
  <c r="G141" i="7" s="1"/>
  <c r="H141" i="7"/>
  <c r="L252" i="7"/>
  <c r="N252" i="7" s="1"/>
  <c r="I422" i="6"/>
  <c r="J927" i="6"/>
  <c r="H928" i="6" s="1"/>
  <c r="I928" i="6" s="1"/>
  <c r="L691" i="8"/>
  <c r="N691" i="8" s="1"/>
  <c r="CM208" i="11"/>
  <c r="CL208" i="11"/>
  <c r="CK208" i="11"/>
  <c r="CP208" i="11"/>
  <c r="CO208" i="11"/>
  <c r="CN208" i="11"/>
  <c r="CQ208" i="11"/>
  <c r="B1146" i="6"/>
  <c r="D1146" i="6" s="1"/>
  <c r="J971" i="6"/>
  <c r="E1338" i="6"/>
  <c r="F1338" i="6" s="1"/>
  <c r="D1338" i="6" l="1"/>
  <c r="B1339" i="6" s="1"/>
  <c r="T327" i="11"/>
  <c r="N416" i="7"/>
  <c r="Y327" i="11"/>
  <c r="F472" i="7"/>
  <c r="G746" i="8"/>
  <c r="F209" i="11"/>
  <c r="G306" i="12"/>
  <c r="N966" i="8"/>
  <c r="I967" i="8" s="1"/>
  <c r="L857" i="7"/>
  <c r="O857" i="7"/>
  <c r="F1087" i="7"/>
  <c r="I1087" i="7"/>
  <c r="J1087" i="7"/>
  <c r="E1087" i="7"/>
  <c r="G1087" i="7" s="1"/>
  <c r="B1144" i="7"/>
  <c r="C1144" i="7" s="1"/>
  <c r="D1144" i="7" s="1"/>
  <c r="N142" i="7"/>
  <c r="I143" i="7" s="1"/>
  <c r="J143" i="7" s="1"/>
  <c r="M142" i="8"/>
  <c r="H973" i="7"/>
  <c r="K973" i="7"/>
  <c r="G858" i="8"/>
  <c r="B859" i="8" s="1"/>
  <c r="D1103" i="6"/>
  <c r="K1086" i="7"/>
  <c r="N801" i="7"/>
  <c r="B1104" i="6"/>
  <c r="G911" i="7"/>
  <c r="B912" i="7" s="1"/>
  <c r="C912" i="7" s="1"/>
  <c r="D912" i="7" s="1"/>
  <c r="F307" i="8"/>
  <c r="G692" i="7"/>
  <c r="B693" i="7" s="1"/>
  <c r="N1076" i="8"/>
  <c r="I1077" i="8" s="1"/>
  <c r="J1077" i="8" s="1"/>
  <c r="H209" i="11"/>
  <c r="I209" i="11" s="1"/>
  <c r="L209" i="11" s="1"/>
  <c r="J689" i="6"/>
  <c r="H690" i="6" s="1"/>
  <c r="J690" i="6" s="1"/>
  <c r="J1031" i="7"/>
  <c r="I1031" i="7"/>
  <c r="F1031" i="7"/>
  <c r="E1031" i="7"/>
  <c r="G1031" i="7" s="1"/>
  <c r="H2916" i="6"/>
  <c r="I2916" i="6" s="1"/>
  <c r="H740" i="6"/>
  <c r="I740" i="6" s="1"/>
  <c r="O526" i="7"/>
  <c r="K526" i="7"/>
  <c r="M526" i="7" s="1"/>
  <c r="O856" i="8"/>
  <c r="L856" i="8"/>
  <c r="B197" i="12"/>
  <c r="H581" i="7"/>
  <c r="E581" i="7"/>
  <c r="K856" i="8"/>
  <c r="F41" i="10"/>
  <c r="I362" i="7"/>
  <c r="J362" i="7" s="1"/>
  <c r="I417" i="8"/>
  <c r="J417" i="8" s="1"/>
  <c r="J2915" i="6"/>
  <c r="I693" i="7"/>
  <c r="N197" i="8"/>
  <c r="I791" i="6"/>
  <c r="I512" i="6"/>
  <c r="E1238" i="6"/>
  <c r="G1238" i="6" s="1"/>
  <c r="F1238" i="6"/>
  <c r="J252" i="12"/>
  <c r="I802" i="7"/>
  <c r="BO209" i="11"/>
  <c r="CR208" i="11"/>
  <c r="BV209" i="11" s="1"/>
  <c r="E1283" i="6"/>
  <c r="G1283" i="6" s="1"/>
  <c r="D197" i="8"/>
  <c r="F197" i="8" s="1"/>
  <c r="H197" i="8"/>
  <c r="N636" i="7"/>
  <c r="D802" i="8"/>
  <c r="H802" i="8"/>
  <c r="M29" i="10"/>
  <c r="I29" i="10" s="1"/>
  <c r="O472" i="8"/>
  <c r="K472" i="8"/>
  <c r="H1061" i="6"/>
  <c r="L472" i="8"/>
  <c r="N472" i="8" s="1"/>
  <c r="I692" i="8"/>
  <c r="H563" i="6"/>
  <c r="J563" i="6" s="1"/>
  <c r="I747" i="8"/>
  <c r="J747" i="8" s="1"/>
  <c r="L747" i="8" s="1"/>
  <c r="H423" i="6"/>
  <c r="J423" i="6" s="1"/>
  <c r="M966" i="8"/>
  <c r="H646" i="6"/>
  <c r="I646" i="6" s="1"/>
  <c r="D638" i="7"/>
  <c r="BP209" i="11"/>
  <c r="E802" i="8"/>
  <c r="G802" i="8" s="1"/>
  <c r="I417" i="7"/>
  <c r="K307" i="7"/>
  <c r="O307" i="7"/>
  <c r="F1149" i="6"/>
  <c r="B253" i="7"/>
  <c r="D1198" i="7"/>
  <c r="N143" i="12"/>
  <c r="K857" i="7"/>
  <c r="M857" i="7" s="1"/>
  <c r="I253" i="7"/>
  <c r="E1022" i="8"/>
  <c r="H1022" i="8"/>
  <c r="D306" i="7"/>
  <c r="H306" i="7"/>
  <c r="H1021" i="6"/>
  <c r="J1021" i="6" s="1"/>
  <c r="B142" i="7"/>
  <c r="C911" i="8"/>
  <c r="B528" i="7"/>
  <c r="C528" i="7" s="1"/>
  <c r="H528" i="7" s="1"/>
  <c r="D363" i="8"/>
  <c r="F363" i="8" s="1"/>
  <c r="H363" i="8"/>
  <c r="N305" i="12"/>
  <c r="H328" i="11"/>
  <c r="G328" i="11"/>
  <c r="F328" i="11"/>
  <c r="C329" i="11" s="1"/>
  <c r="D329" i="11" s="1"/>
  <c r="B307" i="12"/>
  <c r="C307" i="12" s="1"/>
  <c r="E307" i="12" s="1"/>
  <c r="G472" i="7"/>
  <c r="I593" i="6"/>
  <c r="F858" i="8"/>
  <c r="H141" i="8"/>
  <c r="E141" i="8"/>
  <c r="I138" i="6"/>
  <c r="C1198" i="7"/>
  <c r="N307" i="8"/>
  <c r="B418" i="8"/>
  <c r="C418" i="8" s="1"/>
  <c r="D802" i="7"/>
  <c r="H802" i="7"/>
  <c r="U257" i="11"/>
  <c r="D251" i="12"/>
  <c r="F251" i="12" s="1"/>
  <c r="H251" i="12"/>
  <c r="E802" i="7"/>
  <c r="G802" i="7" s="1"/>
  <c r="D581" i="7"/>
  <c r="O746" i="7"/>
  <c r="L746" i="7"/>
  <c r="N746" i="7" s="1"/>
  <c r="J928" i="6"/>
  <c r="H929" i="6" s="1"/>
  <c r="I929" i="6" s="1"/>
  <c r="L307" i="7"/>
  <c r="C416" i="7"/>
  <c r="H972" i="6"/>
  <c r="I972" i="6" s="1"/>
  <c r="AN259" i="11"/>
  <c r="AO259" i="11" s="1"/>
  <c r="B747" i="8"/>
  <c r="C747" i="8" s="1"/>
  <c r="L329" i="11"/>
  <c r="M329" i="11" s="1"/>
  <c r="Q329" i="11" s="1"/>
  <c r="I582" i="7"/>
  <c r="J582" i="7" s="1"/>
  <c r="L582" i="7" s="1"/>
  <c r="E967" i="8"/>
  <c r="G967" i="8" s="1"/>
  <c r="H967" i="8"/>
  <c r="B858" i="7"/>
  <c r="C858" i="7" s="1"/>
  <c r="G307" i="8"/>
  <c r="O912" i="8"/>
  <c r="L912" i="8"/>
  <c r="I184" i="6"/>
  <c r="F196" i="12"/>
  <c r="M691" i="8"/>
  <c r="K912" i="8"/>
  <c r="F141" i="7"/>
  <c r="D637" i="8"/>
  <c r="F637" i="8" s="1"/>
  <c r="H637" i="8"/>
  <c r="O252" i="8"/>
  <c r="K252" i="8"/>
  <c r="M252" i="8" s="1"/>
  <c r="M252" i="7"/>
  <c r="I197" i="7"/>
  <c r="J197" i="7" s="1"/>
  <c r="L197" i="7"/>
  <c r="I473" i="7"/>
  <c r="J473" i="7" s="1"/>
  <c r="L473" i="7"/>
  <c r="F692" i="7"/>
  <c r="J1394" i="6"/>
  <c r="H1395" i="6" s="1"/>
  <c r="I1395" i="6" s="1"/>
  <c r="G746" i="7"/>
  <c r="I637" i="8"/>
  <c r="J637" i="8" s="1"/>
  <c r="E638" i="7"/>
  <c r="AN209" i="11"/>
  <c r="AO209" i="11" s="1"/>
  <c r="D141" i="8"/>
  <c r="H838" i="6"/>
  <c r="I838" i="6" s="1"/>
  <c r="H25" i="9"/>
  <c r="I25" i="9" s="1"/>
  <c r="L26" i="9"/>
  <c r="O26" i="9"/>
  <c r="O196" i="12"/>
  <c r="L196" i="12"/>
  <c r="D1022" i="8"/>
  <c r="E1469" i="6"/>
  <c r="G1469" i="6" s="1"/>
  <c r="E306" i="7"/>
  <c r="G1338" i="6"/>
  <c r="E1339" i="6" s="1"/>
  <c r="H691" i="8"/>
  <c r="D691" i="8"/>
  <c r="F691" i="8" s="1"/>
  <c r="F252" i="7"/>
  <c r="N582" i="8"/>
  <c r="E582" i="8"/>
  <c r="G582" i="8" s="1"/>
  <c r="H582" i="8"/>
  <c r="H376" i="6"/>
  <c r="J376" i="6" s="1"/>
  <c r="M416" i="7"/>
  <c r="I1023" i="8"/>
  <c r="J1023" i="8" s="1"/>
  <c r="L1023" i="8"/>
  <c r="J526" i="8"/>
  <c r="C527" i="8"/>
  <c r="J467" i="6"/>
  <c r="H468" i="6" s="1"/>
  <c r="I468" i="6" s="1"/>
  <c r="D142" i="12"/>
  <c r="H142" i="12"/>
  <c r="I283" i="6"/>
  <c r="C1146" i="6"/>
  <c r="J739" i="6"/>
  <c r="N142" i="8"/>
  <c r="H330" i="6"/>
  <c r="J330" i="6" s="1"/>
  <c r="I230" i="6"/>
  <c r="E361" i="7"/>
  <c r="G361" i="7" s="1"/>
  <c r="H361" i="7"/>
  <c r="M692" i="7"/>
  <c r="G197" i="7"/>
  <c r="K196" i="12"/>
  <c r="E251" i="8"/>
  <c r="G251" i="8" s="1"/>
  <c r="H251" i="8"/>
  <c r="N252" i="8"/>
  <c r="E1195" i="6"/>
  <c r="G1195" i="6" s="1"/>
  <c r="E1521" i="6"/>
  <c r="G1521" i="6" s="1"/>
  <c r="H881" i="6"/>
  <c r="J881" i="6" s="1"/>
  <c r="L526" i="7"/>
  <c r="J1347" i="6"/>
  <c r="O802" i="8"/>
  <c r="L802" i="8"/>
  <c r="N802" i="8" s="1"/>
  <c r="J362" i="8"/>
  <c r="B471" i="8"/>
  <c r="C471" i="8" s="1"/>
  <c r="E471" i="8" s="1"/>
  <c r="D1078" i="8"/>
  <c r="F1078" i="8" s="1"/>
  <c r="H1078" i="8"/>
  <c r="I913" i="7"/>
  <c r="E142" i="12"/>
  <c r="D1195" i="6"/>
  <c r="B1196" i="6" s="1"/>
  <c r="C1196" i="6" s="1"/>
  <c r="T257" i="11"/>
  <c r="X257" i="11" s="1"/>
  <c r="M801" i="7"/>
  <c r="M912" i="7"/>
  <c r="G141" i="8" l="1"/>
  <c r="M856" i="8"/>
  <c r="K1031" i="7"/>
  <c r="M196" i="12"/>
  <c r="G363" i="8"/>
  <c r="U328" i="11"/>
  <c r="V327" i="11"/>
  <c r="S328" i="11" s="1"/>
  <c r="X327" i="11"/>
  <c r="W327" i="11"/>
  <c r="H1296" i="6"/>
  <c r="I1298" i="6" s="1"/>
  <c r="E1144" i="7"/>
  <c r="J1144" i="7"/>
  <c r="F1144" i="7"/>
  <c r="I1144" i="7"/>
  <c r="K1144" i="7"/>
  <c r="G1144" i="7"/>
  <c r="M209" i="11"/>
  <c r="R209" i="11" s="1"/>
  <c r="K209" i="11"/>
  <c r="Q209" i="11" s="1"/>
  <c r="O209" i="11"/>
  <c r="S209" i="11" s="1"/>
  <c r="H1087" i="7"/>
  <c r="M802" i="8"/>
  <c r="J803" i="8" s="1"/>
  <c r="O803" i="8" s="1"/>
  <c r="K1087" i="7"/>
  <c r="P209" i="11"/>
  <c r="V257" i="11"/>
  <c r="E329" i="11"/>
  <c r="I329" i="11" s="1"/>
  <c r="F329" i="11" s="1"/>
  <c r="C330" i="11" s="1"/>
  <c r="BS209" i="11"/>
  <c r="G638" i="7"/>
  <c r="B639" i="7" s="1"/>
  <c r="M912" i="8"/>
  <c r="N857" i="7"/>
  <c r="F361" i="7"/>
  <c r="B974" i="7"/>
  <c r="C974" i="7"/>
  <c r="D974" i="7" s="1"/>
  <c r="G1022" i="8"/>
  <c r="W257" i="11"/>
  <c r="I881" i="6"/>
  <c r="H882" i="6" s="1"/>
  <c r="J882" i="6" s="1"/>
  <c r="F142" i="12"/>
  <c r="I1021" i="6"/>
  <c r="H1022" i="6" s="1"/>
  <c r="F581" i="7"/>
  <c r="F306" i="7"/>
  <c r="M307" i="7"/>
  <c r="N209" i="11"/>
  <c r="K1077" i="8"/>
  <c r="L1077" i="8"/>
  <c r="O1077" i="8"/>
  <c r="K143" i="7"/>
  <c r="L143" i="7"/>
  <c r="N143" i="7" s="1"/>
  <c r="O143" i="7"/>
  <c r="E747" i="8"/>
  <c r="D747" i="8"/>
  <c r="H747" i="8"/>
  <c r="AT259" i="11"/>
  <c r="AS259" i="11"/>
  <c r="AX259" i="11" s="1"/>
  <c r="AV259" i="11"/>
  <c r="AQ259" i="11"/>
  <c r="AW259" i="11" s="1"/>
  <c r="AU259" i="11"/>
  <c r="AY259" i="11" s="1"/>
  <c r="BD259" i="11" s="1"/>
  <c r="AR259" i="11"/>
  <c r="AQ209" i="11"/>
  <c r="AW209" i="11" s="1"/>
  <c r="AR209" i="11"/>
  <c r="AT209" i="11"/>
  <c r="AV209" i="11"/>
  <c r="AU209" i="11"/>
  <c r="AY209" i="11" s="1"/>
  <c r="BD209" i="11" s="1"/>
  <c r="AS209" i="11"/>
  <c r="AX209" i="11" s="1"/>
  <c r="B583" i="8"/>
  <c r="B968" i="8"/>
  <c r="H231" i="6"/>
  <c r="J231" i="6" s="1"/>
  <c r="C253" i="7"/>
  <c r="C142" i="7"/>
  <c r="O197" i="7"/>
  <c r="K197" i="7"/>
  <c r="M197" i="7" s="1"/>
  <c r="I308" i="8"/>
  <c r="J308" i="8" s="1"/>
  <c r="L308" i="8" s="1"/>
  <c r="D528" i="7"/>
  <c r="N856" i="8"/>
  <c r="H912" i="7"/>
  <c r="O362" i="8"/>
  <c r="L362" i="8"/>
  <c r="N912" i="8"/>
  <c r="K362" i="8"/>
  <c r="M362" i="8" s="1"/>
  <c r="H911" i="8"/>
  <c r="E911" i="8"/>
  <c r="H418" i="8"/>
  <c r="D418" i="8"/>
  <c r="O473" i="7"/>
  <c r="K473" i="7"/>
  <c r="M473" i="7" s="1"/>
  <c r="E418" i="8"/>
  <c r="I306" i="12"/>
  <c r="J306" i="12" s="1"/>
  <c r="L306" i="12" s="1"/>
  <c r="E527" i="8"/>
  <c r="H527" i="8"/>
  <c r="E1150" i="6"/>
  <c r="G1150" i="6" s="1"/>
  <c r="F1283" i="6"/>
  <c r="D527" i="8"/>
  <c r="J913" i="7"/>
  <c r="J253" i="7"/>
  <c r="I253" i="8"/>
  <c r="J253" i="8" s="1"/>
  <c r="N307" i="7"/>
  <c r="J2916" i="6"/>
  <c r="H2917" i="6" s="1"/>
  <c r="I2917" i="6" s="1"/>
  <c r="F967" i="8"/>
  <c r="C197" i="12"/>
  <c r="O417" i="8"/>
  <c r="K417" i="8"/>
  <c r="G306" i="7"/>
  <c r="H185" i="6"/>
  <c r="J185" i="6" s="1"/>
  <c r="L417" i="8"/>
  <c r="B252" i="8"/>
  <c r="C859" i="8"/>
  <c r="F251" i="8"/>
  <c r="B1147" i="6"/>
  <c r="D1147" i="6" s="1"/>
  <c r="I747" i="7"/>
  <c r="D1196" i="6"/>
  <c r="B1197" i="6" s="1"/>
  <c r="C1197" i="6" s="1"/>
  <c r="O637" i="8"/>
  <c r="K637" i="8"/>
  <c r="B308" i="8"/>
  <c r="C308" i="8" s="1"/>
  <c r="E308" i="8"/>
  <c r="I376" i="6"/>
  <c r="D858" i="7"/>
  <c r="H858" i="7"/>
  <c r="H416" i="7"/>
  <c r="E416" i="7"/>
  <c r="F802" i="7"/>
  <c r="G637" i="8"/>
  <c r="J972" i="6"/>
  <c r="H973" i="6" s="1"/>
  <c r="I973" i="6" s="1"/>
  <c r="BR209" i="11"/>
  <c r="G251" i="12"/>
  <c r="I563" i="6"/>
  <c r="O252" i="12"/>
  <c r="L252" i="12"/>
  <c r="K362" i="7"/>
  <c r="O362" i="7"/>
  <c r="G691" i="8"/>
  <c r="H1031" i="7"/>
  <c r="F1198" i="7"/>
  <c r="E1198" i="7"/>
  <c r="J1198" i="7"/>
  <c r="I1198" i="7"/>
  <c r="H1198" i="7"/>
  <c r="B1199" i="7" s="1"/>
  <c r="G1198" i="7"/>
  <c r="K582" i="7"/>
  <c r="M582" i="7" s="1"/>
  <c r="O582" i="7"/>
  <c r="E912" i="7"/>
  <c r="G912" i="7" s="1"/>
  <c r="H792" i="6"/>
  <c r="J792" i="6" s="1"/>
  <c r="I690" i="6"/>
  <c r="F1521" i="6"/>
  <c r="I583" i="8"/>
  <c r="J583" i="8" s="1"/>
  <c r="I198" i="8"/>
  <c r="J198" i="8" s="1"/>
  <c r="L198" i="8"/>
  <c r="G581" i="7"/>
  <c r="I330" i="6"/>
  <c r="F1195" i="6"/>
  <c r="M26" i="9"/>
  <c r="P26" i="9" s="1"/>
  <c r="S26" i="9" s="1"/>
  <c r="N26" i="9"/>
  <c r="Q26" i="9" s="1"/>
  <c r="R26" i="9" s="1"/>
  <c r="J593" i="6"/>
  <c r="I1063" i="6"/>
  <c r="G1078" i="8"/>
  <c r="B1023" i="8"/>
  <c r="BQ209" i="11"/>
  <c r="H471" i="8"/>
  <c r="D471" i="8"/>
  <c r="F471" i="8" s="1"/>
  <c r="I143" i="8"/>
  <c r="J143" i="8" s="1"/>
  <c r="L143" i="8" s="1"/>
  <c r="J929" i="6"/>
  <c r="E528" i="7"/>
  <c r="M472" i="8"/>
  <c r="O1023" i="8"/>
  <c r="K1023" i="8"/>
  <c r="M1023" i="8" s="1"/>
  <c r="O747" i="8"/>
  <c r="K747" i="8"/>
  <c r="M747" i="8" s="1"/>
  <c r="J417" i="7"/>
  <c r="K417" i="7" s="1"/>
  <c r="F1469" i="6"/>
  <c r="B473" i="7"/>
  <c r="C473" i="7" s="1"/>
  <c r="E473" i="7" s="1"/>
  <c r="B803" i="8"/>
  <c r="J693" i="7"/>
  <c r="K693" i="7" s="1"/>
  <c r="E858" i="7"/>
  <c r="D416" i="7"/>
  <c r="I144" i="12"/>
  <c r="J144" i="12" s="1"/>
  <c r="L144" i="12" s="1"/>
  <c r="J967" i="8"/>
  <c r="F802" i="8"/>
  <c r="K252" i="12"/>
  <c r="L362" i="7"/>
  <c r="M746" i="7"/>
  <c r="C693" i="7"/>
  <c r="D693" i="7" s="1"/>
  <c r="H513" i="6"/>
  <c r="J513" i="6" s="1"/>
  <c r="J646" i="6"/>
  <c r="H647" i="6" s="1"/>
  <c r="I647" i="6" s="1"/>
  <c r="J468" i="6"/>
  <c r="P329" i="11"/>
  <c r="O329" i="11"/>
  <c r="N329" i="11"/>
  <c r="K330" i="11" s="1"/>
  <c r="I473" i="8"/>
  <c r="B803" i="7"/>
  <c r="O526" i="8"/>
  <c r="L526" i="8"/>
  <c r="B364" i="8"/>
  <c r="C364" i="8" s="1"/>
  <c r="I423" i="6"/>
  <c r="J802" i="7"/>
  <c r="K526" i="8"/>
  <c r="J692" i="8"/>
  <c r="H139" i="6"/>
  <c r="J139" i="6" s="1"/>
  <c r="H839" i="6"/>
  <c r="I839" i="6" s="1"/>
  <c r="B142" i="8"/>
  <c r="F141" i="8"/>
  <c r="I858" i="7"/>
  <c r="J858" i="7" s="1"/>
  <c r="J740" i="6"/>
  <c r="H741" i="6" s="1"/>
  <c r="I741" i="6" s="1"/>
  <c r="J838" i="6"/>
  <c r="I803" i="8"/>
  <c r="B198" i="7"/>
  <c r="C198" i="7" s="1"/>
  <c r="E198" i="7" s="1"/>
  <c r="H284" i="6"/>
  <c r="J284" i="6" s="1"/>
  <c r="J285" i="6" s="1"/>
  <c r="J286" i="6" s="1"/>
  <c r="J287" i="6" s="1"/>
  <c r="J288" i="6" s="1"/>
  <c r="J289" i="6" s="1"/>
  <c r="J290" i="6" s="1"/>
  <c r="J291" i="6" s="1"/>
  <c r="J292" i="6" s="1"/>
  <c r="J293" i="6" s="1"/>
  <c r="J294" i="6" s="1"/>
  <c r="J295" i="6" s="1"/>
  <c r="J296" i="6" s="1"/>
  <c r="J297" i="6" s="1"/>
  <c r="J298" i="6" s="1"/>
  <c r="J299" i="6" s="1"/>
  <c r="J300" i="6" s="1"/>
  <c r="J301" i="6" s="1"/>
  <c r="J302" i="6" s="1"/>
  <c r="J303" i="6" s="1"/>
  <c r="J304" i="6" s="1"/>
  <c r="H307" i="12"/>
  <c r="D307" i="12"/>
  <c r="F307" i="12" s="1"/>
  <c r="G197" i="8"/>
  <c r="L637" i="8"/>
  <c r="N637" i="8" s="1"/>
  <c r="G142" i="12"/>
  <c r="N526" i="7"/>
  <c r="F1022" i="8"/>
  <c r="B747" i="7"/>
  <c r="C747" i="7" s="1"/>
  <c r="I637" i="7"/>
  <c r="J637" i="7" s="1"/>
  <c r="L637" i="7" s="1"/>
  <c r="E1239" i="6"/>
  <c r="F1239" i="6" s="1"/>
  <c r="E42" i="10"/>
  <c r="D42" i="10"/>
  <c r="C42" i="10"/>
  <c r="H1348" i="6"/>
  <c r="I1348" i="6" s="1"/>
  <c r="D911" i="8"/>
  <c r="N29" i="10"/>
  <c r="H29" i="10" s="1"/>
  <c r="K29" i="10" s="1"/>
  <c r="B362" i="7"/>
  <c r="N196" i="12"/>
  <c r="J1395" i="6"/>
  <c r="F638" i="7"/>
  <c r="F582" i="8"/>
  <c r="T328" i="11" l="1"/>
  <c r="Y328" i="11" s="1"/>
  <c r="F527" i="8"/>
  <c r="G1239" i="6"/>
  <c r="C362" i="7"/>
  <c r="F42" i="10"/>
  <c r="C43" i="10" s="1"/>
  <c r="L330" i="11"/>
  <c r="AG257" i="11"/>
  <c r="U209" i="11"/>
  <c r="V209" i="11" s="1"/>
  <c r="L253" i="8"/>
  <c r="O253" i="8"/>
  <c r="I1022" i="6"/>
  <c r="H1023" i="6" s="1"/>
  <c r="I1023" i="6" s="1"/>
  <c r="J1022" i="6"/>
  <c r="J1023" i="6" s="1"/>
  <c r="G329" i="11"/>
  <c r="D330" i="11" s="1"/>
  <c r="E330" i="11" s="1"/>
  <c r="I330" i="11" s="1"/>
  <c r="B1088" i="7"/>
  <c r="C1088" i="7"/>
  <c r="D1088" i="7" s="1"/>
  <c r="G528" i="7"/>
  <c r="B529" i="7" s="1"/>
  <c r="M417" i="8"/>
  <c r="H329" i="11"/>
  <c r="G911" i="8"/>
  <c r="T209" i="11"/>
  <c r="K1198" i="7"/>
  <c r="M362" i="7"/>
  <c r="G747" i="8"/>
  <c r="F974" i="7"/>
  <c r="E974" i="7"/>
  <c r="G974" i="7" s="1"/>
  <c r="J974" i="7"/>
  <c r="I974" i="7"/>
  <c r="K974" i="7"/>
  <c r="F416" i="7"/>
  <c r="N252" i="12"/>
  <c r="I253" i="12" s="1"/>
  <c r="I139" i="6"/>
  <c r="N526" i="8"/>
  <c r="I527" i="8" s="1"/>
  <c r="N197" i="7"/>
  <c r="I198" i="7" s="1"/>
  <c r="J198" i="7" s="1"/>
  <c r="M1077" i="8"/>
  <c r="G858" i="7"/>
  <c r="B859" i="7" s="1"/>
  <c r="N1023" i="8"/>
  <c r="I1024" i="8" s="1"/>
  <c r="J1024" i="8" s="1"/>
  <c r="L1024" i="8" s="1"/>
  <c r="G418" i="8"/>
  <c r="H1144" i="7"/>
  <c r="O858" i="7"/>
  <c r="K858" i="7"/>
  <c r="L858" i="7"/>
  <c r="N858" i="7" s="1"/>
  <c r="H362" i="7"/>
  <c r="E362" i="7"/>
  <c r="D362" i="7"/>
  <c r="F362" i="7" s="1"/>
  <c r="D364" i="8"/>
  <c r="H364" i="8"/>
  <c r="E364" i="8"/>
  <c r="E1240" i="6"/>
  <c r="G1240" i="6" s="1"/>
  <c r="F1240" i="6"/>
  <c r="O802" i="7"/>
  <c r="L802" i="7"/>
  <c r="J1298" i="6"/>
  <c r="H1299" i="6" s="1"/>
  <c r="I1299" i="6" s="1"/>
  <c r="H331" i="6"/>
  <c r="J331" i="6" s="1"/>
  <c r="J332" i="6" s="1"/>
  <c r="J333" i="6" s="1"/>
  <c r="J334" i="6" s="1"/>
  <c r="J335" i="6" s="1"/>
  <c r="J336" i="6" s="1"/>
  <c r="J337" i="6" s="1"/>
  <c r="J338" i="6" s="1"/>
  <c r="J339" i="6" s="1"/>
  <c r="J340" i="6" s="1"/>
  <c r="J341" i="6" s="1"/>
  <c r="J342" i="6" s="1"/>
  <c r="J343" i="6" s="1"/>
  <c r="J344" i="6" s="1"/>
  <c r="J345" i="6" s="1"/>
  <c r="J346" i="6" s="1"/>
  <c r="J347" i="6" s="1"/>
  <c r="J348" i="6" s="1"/>
  <c r="J349" i="6" s="1"/>
  <c r="J350" i="6" s="1"/>
  <c r="J351" i="6" s="1"/>
  <c r="I185" i="6"/>
  <c r="F693" i="7"/>
  <c r="H377" i="6"/>
  <c r="J377" i="6" s="1"/>
  <c r="B419" i="8"/>
  <c r="B748" i="8"/>
  <c r="I527" i="7"/>
  <c r="J527" i="7" s="1"/>
  <c r="B913" i="7"/>
  <c r="B912" i="8"/>
  <c r="B143" i="12"/>
  <c r="C143" i="12" s="1"/>
  <c r="O253" i="7"/>
  <c r="L253" i="7"/>
  <c r="K803" i="8"/>
  <c r="C583" i="8"/>
  <c r="C142" i="8"/>
  <c r="O913" i="7"/>
  <c r="L913" i="7"/>
  <c r="M252" i="12"/>
  <c r="H253" i="7"/>
  <c r="E253" i="7"/>
  <c r="G253" i="7" s="1"/>
  <c r="D43" i="10"/>
  <c r="K198" i="8"/>
  <c r="M198" i="8" s="1"/>
  <c r="O198" i="8"/>
  <c r="H564" i="6"/>
  <c r="J564" i="6" s="1"/>
  <c r="E1470" i="6"/>
  <c r="G1470" i="6" s="1"/>
  <c r="N144" i="12"/>
  <c r="N362" i="8"/>
  <c r="D1197" i="6"/>
  <c r="B1198" i="6" s="1"/>
  <c r="K583" i="8"/>
  <c r="O583" i="8"/>
  <c r="J2917" i="6"/>
  <c r="F1150" i="6"/>
  <c r="E1151" i="6" s="1"/>
  <c r="AZ259" i="11"/>
  <c r="L583" i="8"/>
  <c r="C1199" i="7"/>
  <c r="D1199" i="7" s="1"/>
  <c r="C803" i="7"/>
  <c r="D803" i="7" s="1"/>
  <c r="I308" i="7"/>
  <c r="J308" i="7" s="1"/>
  <c r="L308" i="7" s="1"/>
  <c r="I144" i="7"/>
  <c r="I638" i="8"/>
  <c r="H142" i="7"/>
  <c r="E142" i="7"/>
  <c r="I882" i="6"/>
  <c r="B198" i="8"/>
  <c r="C198" i="8" s="1"/>
  <c r="K253" i="8"/>
  <c r="D142" i="7"/>
  <c r="N582" i="7"/>
  <c r="K913" i="7"/>
  <c r="D473" i="7"/>
  <c r="F473" i="7" s="1"/>
  <c r="H473" i="7"/>
  <c r="N198" i="8"/>
  <c r="L967" i="8"/>
  <c r="O967" i="8"/>
  <c r="H197" i="12"/>
  <c r="E197" i="12"/>
  <c r="J647" i="6"/>
  <c r="H648" i="6" s="1"/>
  <c r="I648" i="6" s="1"/>
  <c r="B252" i="12"/>
  <c r="C252" i="12" s="1"/>
  <c r="N473" i="7"/>
  <c r="H198" i="7"/>
  <c r="D198" i="7"/>
  <c r="F198" i="7" s="1"/>
  <c r="H594" i="6"/>
  <c r="I594" i="6" s="1"/>
  <c r="O637" i="7"/>
  <c r="K637" i="7"/>
  <c r="M637" i="7" s="1"/>
  <c r="D747" i="7"/>
  <c r="F747" i="7" s="1"/>
  <c r="H747" i="7"/>
  <c r="L803" i="8"/>
  <c r="N803" i="8" s="1"/>
  <c r="E1196" i="6"/>
  <c r="G1196" i="6" s="1"/>
  <c r="I857" i="8"/>
  <c r="J857" i="8" s="1"/>
  <c r="L857" i="8"/>
  <c r="J839" i="6"/>
  <c r="H840" i="6" s="1"/>
  <c r="I840" i="6" s="1"/>
  <c r="L692" i="8"/>
  <c r="O692" i="8"/>
  <c r="B1079" i="8"/>
  <c r="C1079" i="8" s="1"/>
  <c r="E1079" i="8"/>
  <c r="H691" i="6"/>
  <c r="J691" i="6" s="1"/>
  <c r="N417" i="8"/>
  <c r="G527" i="8"/>
  <c r="N747" i="8"/>
  <c r="M143" i="7"/>
  <c r="G307" i="12"/>
  <c r="L30" i="10"/>
  <c r="F911" i="8"/>
  <c r="K802" i="7"/>
  <c r="J473" i="8"/>
  <c r="J747" i="7"/>
  <c r="K253" i="7"/>
  <c r="M253" i="7" s="1"/>
  <c r="BA209" i="11"/>
  <c r="BC209" i="11"/>
  <c r="AC257" i="11"/>
  <c r="AB257" i="11"/>
  <c r="AA257" i="11"/>
  <c r="Z257" i="11"/>
  <c r="Y257" i="11"/>
  <c r="AE257" i="11"/>
  <c r="AD257" i="11"/>
  <c r="B582" i="7"/>
  <c r="C582" i="7" s="1"/>
  <c r="E582" i="7"/>
  <c r="C639" i="7"/>
  <c r="D639" i="7" s="1"/>
  <c r="C803" i="8"/>
  <c r="C1147" i="6"/>
  <c r="G26" i="9"/>
  <c r="F26" i="9"/>
  <c r="E26" i="9"/>
  <c r="D253" i="7"/>
  <c r="H859" i="8"/>
  <c r="E859" i="8"/>
  <c r="D197" i="12"/>
  <c r="I913" i="8"/>
  <c r="J913" i="8" s="1"/>
  <c r="L913" i="8" s="1"/>
  <c r="L417" i="7"/>
  <c r="N417" i="7" s="1"/>
  <c r="O417" i="7"/>
  <c r="D859" i="8"/>
  <c r="F912" i="7"/>
  <c r="H930" i="6"/>
  <c r="I930" i="6" s="1"/>
  <c r="H140" i="6"/>
  <c r="J140" i="6" s="1"/>
  <c r="E1522" i="6"/>
  <c r="G1522" i="6" s="1"/>
  <c r="G416" i="7"/>
  <c r="BA259" i="11"/>
  <c r="BC259" i="11" s="1"/>
  <c r="E747" i="7"/>
  <c r="C1023" i="8"/>
  <c r="D1023" i="8" s="1"/>
  <c r="J741" i="6"/>
  <c r="K692" i="8"/>
  <c r="J1348" i="6"/>
  <c r="H1349" i="6" s="1"/>
  <c r="I1349" i="6" s="1"/>
  <c r="B1032" i="7"/>
  <c r="C1032" i="7"/>
  <c r="D1032" i="7" s="1"/>
  <c r="F528" i="7"/>
  <c r="H1396" i="6"/>
  <c r="I1396" i="6" s="1"/>
  <c r="H424" i="6"/>
  <c r="J424" i="6" s="1"/>
  <c r="J1063" i="6"/>
  <c r="H1064" i="6" s="1"/>
  <c r="I1064" i="6" s="1"/>
  <c r="B307" i="7"/>
  <c r="C307" i="7" s="1"/>
  <c r="N362" i="7"/>
  <c r="K143" i="8"/>
  <c r="M143" i="8" s="1"/>
  <c r="O143" i="8"/>
  <c r="F418" i="8"/>
  <c r="H308" i="8"/>
  <c r="D308" i="8"/>
  <c r="F308" i="8" s="1"/>
  <c r="C252" i="8"/>
  <c r="D252" i="8" s="1"/>
  <c r="H469" i="6"/>
  <c r="I469" i="6" s="1"/>
  <c r="K967" i="8"/>
  <c r="M637" i="8"/>
  <c r="AZ209" i="11"/>
  <c r="BB209" i="11"/>
  <c r="I284" i="6"/>
  <c r="I285" i="6" s="1"/>
  <c r="I286" i="6" s="1"/>
  <c r="I287" i="6" s="1"/>
  <c r="I288" i="6" s="1"/>
  <c r="I289" i="6" s="1"/>
  <c r="I290" i="6" s="1"/>
  <c r="I291" i="6" s="1"/>
  <c r="I292" i="6" s="1"/>
  <c r="I293" i="6" s="1"/>
  <c r="I294" i="6" s="1"/>
  <c r="I295" i="6" s="1"/>
  <c r="I296" i="6" s="1"/>
  <c r="I297" i="6" s="1"/>
  <c r="I298" i="6" s="1"/>
  <c r="I299" i="6" s="1"/>
  <c r="I300" i="6" s="1"/>
  <c r="I301" i="6" s="1"/>
  <c r="I302" i="6" s="1"/>
  <c r="I303" i="6" s="1"/>
  <c r="I304" i="6" s="1"/>
  <c r="H305" i="6" s="1"/>
  <c r="K262" i="6" s="1"/>
  <c r="BT209" i="11"/>
  <c r="BU209" i="11" s="1"/>
  <c r="E1284" i="6"/>
  <c r="G1284" i="6" s="1"/>
  <c r="I231" i="6"/>
  <c r="K144" i="12"/>
  <c r="M144" i="12" s="1"/>
  <c r="O144" i="12"/>
  <c r="J973" i="6"/>
  <c r="C968" i="8"/>
  <c r="D968" i="8" s="1"/>
  <c r="G471" i="8"/>
  <c r="I197" i="12"/>
  <c r="J197" i="12" s="1"/>
  <c r="L197" i="12"/>
  <c r="I513" i="6"/>
  <c r="B638" i="8"/>
  <c r="C638" i="8" s="1"/>
  <c r="E638" i="8"/>
  <c r="O693" i="7"/>
  <c r="L693" i="7"/>
  <c r="N693" i="7" s="1"/>
  <c r="K308" i="8"/>
  <c r="M308" i="8" s="1"/>
  <c r="O308" i="8"/>
  <c r="M526" i="8"/>
  <c r="M330" i="11"/>
  <c r="Q330" i="11" s="1"/>
  <c r="E693" i="7"/>
  <c r="G693" i="7" s="1"/>
  <c r="H693" i="7"/>
  <c r="I792" i="6"/>
  <c r="B692" i="8"/>
  <c r="C692" i="8" s="1"/>
  <c r="F858" i="7"/>
  <c r="K306" i="12"/>
  <c r="M306" i="12" s="1"/>
  <c r="O306" i="12"/>
  <c r="F747" i="8"/>
  <c r="N1077" i="8"/>
  <c r="N913" i="7" l="1"/>
  <c r="X209" i="11"/>
  <c r="E43" i="10"/>
  <c r="G364" i="8"/>
  <c r="J930" i="6"/>
  <c r="W209" i="11"/>
  <c r="M802" i="7"/>
  <c r="X328" i="11"/>
  <c r="V328" i="11"/>
  <c r="S329" i="11" s="1"/>
  <c r="U329" i="11"/>
  <c r="W328" i="11"/>
  <c r="K198" i="7"/>
  <c r="O198" i="7"/>
  <c r="F1522" i="6"/>
  <c r="G142" i="7"/>
  <c r="N967" i="8"/>
  <c r="J1088" i="7"/>
  <c r="E1088" i="7"/>
  <c r="F1088" i="7"/>
  <c r="H1088" i="7" s="1"/>
  <c r="B1089" i="7" s="1"/>
  <c r="I1088" i="7"/>
  <c r="M253" i="8"/>
  <c r="G197" i="12"/>
  <c r="B198" i="12" s="1"/>
  <c r="F859" i="8"/>
  <c r="G198" i="7"/>
  <c r="B199" i="7" s="1"/>
  <c r="C199" i="7" s="1"/>
  <c r="M692" i="8"/>
  <c r="N583" i="8"/>
  <c r="I584" i="8" s="1"/>
  <c r="B1145" i="7"/>
  <c r="C1145" i="7"/>
  <c r="D1145" i="7"/>
  <c r="H974" i="7"/>
  <c r="BM209" i="11"/>
  <c r="BF209" i="11" s="1"/>
  <c r="F639" i="7"/>
  <c r="F968" i="8"/>
  <c r="H1024" i="6"/>
  <c r="J1024" i="6" s="1"/>
  <c r="CA209" i="11"/>
  <c r="CE209" i="11" s="1"/>
  <c r="CB209" i="11"/>
  <c r="BZ209" i="11"/>
  <c r="BY209" i="11"/>
  <c r="CD209" i="11" s="1"/>
  <c r="CG209" i="11" s="1"/>
  <c r="BX209" i="11"/>
  <c r="BW209" i="11"/>
  <c r="CC209" i="11" s="1"/>
  <c r="BB259" i="11"/>
  <c r="BM259" i="11" s="1"/>
  <c r="H841" i="6"/>
  <c r="I841" i="6" s="1"/>
  <c r="E1523" i="6"/>
  <c r="G1523" i="6" s="1"/>
  <c r="D638" i="8"/>
  <c r="F638" i="8" s="1"/>
  <c r="H638" i="8"/>
  <c r="I363" i="7"/>
  <c r="J363" i="7" s="1"/>
  <c r="L363" i="7"/>
  <c r="I140" i="6"/>
  <c r="I914" i="7"/>
  <c r="C912" i="8"/>
  <c r="H692" i="8"/>
  <c r="D692" i="8"/>
  <c r="F692" i="8" s="1"/>
  <c r="O473" i="8"/>
  <c r="L473" i="8"/>
  <c r="N473" i="8" s="1"/>
  <c r="I859" i="7"/>
  <c r="I1199" i="7"/>
  <c r="J1199" i="7"/>
  <c r="F1199" i="7"/>
  <c r="E1199" i="7"/>
  <c r="G1199" i="7" s="1"/>
  <c r="H883" i="6"/>
  <c r="J883" i="6" s="1"/>
  <c r="I363" i="8"/>
  <c r="J363" i="8" s="1"/>
  <c r="L363" i="8"/>
  <c r="N197" i="12"/>
  <c r="H1079" i="8"/>
  <c r="D1079" i="8"/>
  <c r="F1079" i="8" s="1"/>
  <c r="B143" i="7"/>
  <c r="E1241" i="6"/>
  <c r="G1241" i="6" s="1"/>
  <c r="F1241" i="6"/>
  <c r="C529" i="7"/>
  <c r="C913" i="7"/>
  <c r="D143" i="12"/>
  <c r="H143" i="12"/>
  <c r="K473" i="8"/>
  <c r="M858" i="7"/>
  <c r="H639" i="7"/>
  <c r="E639" i="7"/>
  <c r="G639" i="7" s="1"/>
  <c r="I377" i="6"/>
  <c r="H514" i="6"/>
  <c r="J514" i="6" s="1"/>
  <c r="I418" i="7"/>
  <c r="C258" i="11"/>
  <c r="AF257" i="11"/>
  <c r="J258" i="11" s="1"/>
  <c r="I968" i="8"/>
  <c r="C694" i="7"/>
  <c r="E694" i="7" s="1"/>
  <c r="D307" i="7"/>
  <c r="H307" i="7"/>
  <c r="H186" i="6"/>
  <c r="J186" i="6" s="1"/>
  <c r="M417" i="7"/>
  <c r="E692" i="8"/>
  <c r="O197" i="12"/>
  <c r="K197" i="12"/>
  <c r="M197" i="12" s="1"/>
  <c r="O913" i="8"/>
  <c r="K913" i="8"/>
  <c r="M913" i="8" s="1"/>
  <c r="J594" i="6"/>
  <c r="F197" i="12"/>
  <c r="O1024" i="8"/>
  <c r="D582" i="7"/>
  <c r="F582" i="7" s="1"/>
  <c r="H582" i="7"/>
  <c r="M913" i="7"/>
  <c r="H142" i="8"/>
  <c r="E142" i="8"/>
  <c r="I424" i="6"/>
  <c r="J469" i="6"/>
  <c r="G362" i="7"/>
  <c r="C419" i="8"/>
  <c r="O747" i="7"/>
  <c r="L747" i="7"/>
  <c r="F142" i="7"/>
  <c r="E583" i="8"/>
  <c r="H583" i="8"/>
  <c r="N306" i="12"/>
  <c r="J527" i="8"/>
  <c r="H232" i="6"/>
  <c r="J232" i="6" s="1"/>
  <c r="L27" i="9"/>
  <c r="O27" i="9"/>
  <c r="H26" i="9"/>
  <c r="I26" i="9" s="1"/>
  <c r="K747" i="7"/>
  <c r="H330" i="11"/>
  <c r="G330" i="11"/>
  <c r="F330" i="11"/>
  <c r="C331" i="11" s="1"/>
  <c r="D583" i="8"/>
  <c r="N143" i="8"/>
  <c r="H803" i="8"/>
  <c r="E803" i="8"/>
  <c r="E803" i="7"/>
  <c r="G803" i="7" s="1"/>
  <c r="H803" i="7"/>
  <c r="D803" i="8"/>
  <c r="D198" i="8"/>
  <c r="F198" i="8" s="1"/>
  <c r="H198" i="8"/>
  <c r="E143" i="12"/>
  <c r="F1032" i="7"/>
  <c r="E1032" i="7"/>
  <c r="I1032" i="7"/>
  <c r="J1032" i="7"/>
  <c r="I691" i="6"/>
  <c r="E198" i="8"/>
  <c r="C859" i="7"/>
  <c r="L264" i="6"/>
  <c r="E307" i="7"/>
  <c r="D258" i="11"/>
  <c r="F43" i="10"/>
  <c r="B472" i="8"/>
  <c r="C472" i="8" s="1"/>
  <c r="M30" i="10"/>
  <c r="I30" i="10" s="1"/>
  <c r="B365" i="8"/>
  <c r="B254" i="7"/>
  <c r="N692" i="8"/>
  <c r="F364" i="8"/>
  <c r="B308" i="12"/>
  <c r="C308" i="12" s="1"/>
  <c r="K527" i="7"/>
  <c r="O527" i="7"/>
  <c r="B694" i="7"/>
  <c r="L527" i="7"/>
  <c r="H252" i="8"/>
  <c r="E252" i="8"/>
  <c r="G252" i="8" s="1"/>
  <c r="K857" i="8"/>
  <c r="M857" i="8" s="1"/>
  <c r="O857" i="8"/>
  <c r="B528" i="8"/>
  <c r="C528" i="8" s="1"/>
  <c r="E528" i="8" s="1"/>
  <c r="H252" i="12"/>
  <c r="D252" i="12"/>
  <c r="F252" i="12" s="1"/>
  <c r="L198" i="7"/>
  <c r="M803" i="8"/>
  <c r="N637" i="7"/>
  <c r="N308" i="8"/>
  <c r="I145" i="12"/>
  <c r="J145" i="12" s="1"/>
  <c r="I199" i="8"/>
  <c r="J199" i="8" s="1"/>
  <c r="K199" i="8" s="1"/>
  <c r="H968" i="8"/>
  <c r="E968" i="8"/>
  <c r="G968" i="8" s="1"/>
  <c r="J638" i="8"/>
  <c r="F1470" i="6"/>
  <c r="M967" i="8"/>
  <c r="G473" i="7"/>
  <c r="J144" i="7"/>
  <c r="K144" i="7" s="1"/>
  <c r="I583" i="7"/>
  <c r="J583" i="7" s="1"/>
  <c r="L583" i="7"/>
  <c r="J253" i="12"/>
  <c r="H742" i="6"/>
  <c r="I742" i="6" s="1"/>
  <c r="I564" i="6"/>
  <c r="I1078" i="8"/>
  <c r="J1078" i="8" s="1"/>
  <c r="B417" i="7"/>
  <c r="C417" i="7" s="1"/>
  <c r="E417" i="7"/>
  <c r="H931" i="6"/>
  <c r="J931" i="6" s="1"/>
  <c r="I418" i="8"/>
  <c r="J418" i="8" s="1"/>
  <c r="F1196" i="6"/>
  <c r="E252" i="12"/>
  <c r="M583" i="8"/>
  <c r="N253" i="7"/>
  <c r="H974" i="6"/>
  <c r="I974" i="6" s="1"/>
  <c r="H2918" i="6"/>
  <c r="I2918" i="6" s="1"/>
  <c r="N253" i="8"/>
  <c r="H793" i="6"/>
  <c r="J793" i="6" s="1"/>
  <c r="J1349" i="6"/>
  <c r="H1350" i="6" s="1"/>
  <c r="I1350" i="6" s="1"/>
  <c r="I331" i="6"/>
  <c r="I332" i="6" s="1"/>
  <c r="I333" i="6" s="1"/>
  <c r="I334" i="6" s="1"/>
  <c r="I335" i="6" s="1"/>
  <c r="I336" i="6" s="1"/>
  <c r="I337" i="6" s="1"/>
  <c r="I338" i="6" s="1"/>
  <c r="I339" i="6" s="1"/>
  <c r="I340" i="6" s="1"/>
  <c r="I341" i="6" s="1"/>
  <c r="I342" i="6" s="1"/>
  <c r="I343" i="6" s="1"/>
  <c r="I344" i="6" s="1"/>
  <c r="I345" i="6" s="1"/>
  <c r="I346" i="6" s="1"/>
  <c r="I347" i="6" s="1"/>
  <c r="I348" i="6" s="1"/>
  <c r="I349" i="6" s="1"/>
  <c r="I350" i="6" s="1"/>
  <c r="I351" i="6" s="1"/>
  <c r="H352" i="6" s="1"/>
  <c r="K309" i="6" s="1"/>
  <c r="G859" i="8"/>
  <c r="J30" i="10"/>
  <c r="J1299" i="6"/>
  <c r="H1300" i="6" s="1"/>
  <c r="I1300" i="6" s="1"/>
  <c r="K1024" i="8"/>
  <c r="M1024" i="8" s="1"/>
  <c r="J1064" i="6"/>
  <c r="H1023" i="8"/>
  <c r="E1023" i="8"/>
  <c r="G1023" i="8" s="1"/>
  <c r="J840" i="6"/>
  <c r="N802" i="7"/>
  <c r="I474" i="7"/>
  <c r="J474" i="7" s="1"/>
  <c r="L474" i="7"/>
  <c r="D142" i="8"/>
  <c r="P330" i="11"/>
  <c r="O330" i="11"/>
  <c r="N330" i="11"/>
  <c r="K331" i="11" s="1"/>
  <c r="G747" i="7"/>
  <c r="F253" i="7"/>
  <c r="I748" i="8"/>
  <c r="J748" i="8" s="1"/>
  <c r="L748" i="8" s="1"/>
  <c r="F1284" i="6"/>
  <c r="C748" i="8"/>
  <c r="I694" i="7"/>
  <c r="G308" i="8"/>
  <c r="J1396" i="6"/>
  <c r="B1148" i="6"/>
  <c r="D1148" i="6" s="1"/>
  <c r="C1148" i="6"/>
  <c r="I804" i="8"/>
  <c r="J648" i="6"/>
  <c r="O308" i="7"/>
  <c r="K308" i="7"/>
  <c r="M308" i="7" s="1"/>
  <c r="M693" i="7"/>
  <c r="N1024" i="8" l="1"/>
  <c r="N198" i="7"/>
  <c r="G1088" i="7"/>
  <c r="T329" i="11"/>
  <c r="Y329" i="11" s="1"/>
  <c r="F1523" i="6"/>
  <c r="N527" i="7"/>
  <c r="AG209" i="11"/>
  <c r="B975" i="7"/>
  <c r="C975" i="7"/>
  <c r="D975" i="7" s="1"/>
  <c r="BI209" i="11"/>
  <c r="BJ209" i="11"/>
  <c r="BK209" i="11"/>
  <c r="F258" i="11"/>
  <c r="BE209" i="11"/>
  <c r="BG209" i="11"/>
  <c r="F583" i="8"/>
  <c r="N747" i="7"/>
  <c r="I748" i="7" s="1"/>
  <c r="J1145" i="7"/>
  <c r="I1145" i="7"/>
  <c r="E1145" i="7"/>
  <c r="F1145" i="7"/>
  <c r="G307" i="7"/>
  <c r="C1089" i="7"/>
  <c r="D1089" i="7" s="1"/>
  <c r="H1032" i="7"/>
  <c r="G803" i="8"/>
  <c r="B804" i="8" s="1"/>
  <c r="J2918" i="6"/>
  <c r="H2919" i="6" s="1"/>
  <c r="J2919" i="6" s="1"/>
  <c r="K1199" i="7"/>
  <c r="K1088" i="7"/>
  <c r="F142" i="8"/>
  <c r="BH209" i="11"/>
  <c r="F1023" i="8"/>
  <c r="D331" i="11"/>
  <c r="F143" i="12"/>
  <c r="D199" i="7"/>
  <c r="H199" i="7"/>
  <c r="E199" i="7"/>
  <c r="G199" i="7" s="1"/>
  <c r="K145" i="12"/>
  <c r="L145" i="12"/>
  <c r="N145" i="12" s="1"/>
  <c r="O145" i="12"/>
  <c r="H1351" i="6"/>
  <c r="I1351" i="6" s="1"/>
  <c r="B1033" i="7"/>
  <c r="BJ259" i="11"/>
  <c r="BI259" i="11"/>
  <c r="BH259" i="11"/>
  <c r="BE259" i="11"/>
  <c r="BK259" i="11"/>
  <c r="BG259" i="11"/>
  <c r="BF259" i="11"/>
  <c r="M27" i="9"/>
  <c r="P27" i="9" s="1"/>
  <c r="S27" i="9" s="1"/>
  <c r="N27" i="9"/>
  <c r="Q27" i="9" s="1"/>
  <c r="O363" i="7"/>
  <c r="K363" i="7"/>
  <c r="M363" i="7" s="1"/>
  <c r="O253" i="12"/>
  <c r="L253" i="12"/>
  <c r="N253" i="12" s="1"/>
  <c r="J470" i="6"/>
  <c r="I1025" i="8"/>
  <c r="J1025" i="8" s="1"/>
  <c r="K1025" i="8" s="1"/>
  <c r="I931" i="6"/>
  <c r="O527" i="8"/>
  <c r="L527" i="8"/>
  <c r="I199" i="7"/>
  <c r="K583" i="7"/>
  <c r="M583" i="7" s="1"/>
  <c r="O583" i="7"/>
  <c r="H470" i="6"/>
  <c r="I470" i="6" s="1"/>
  <c r="J914" i="7"/>
  <c r="N308" i="7"/>
  <c r="G583" i="8"/>
  <c r="B309" i="8"/>
  <c r="C309" i="8" s="1"/>
  <c r="E1471" i="6"/>
  <c r="G1471" i="6" s="1"/>
  <c r="C198" i="12"/>
  <c r="B308" i="7"/>
  <c r="M473" i="8"/>
  <c r="H748" i="8"/>
  <c r="E748" i="8"/>
  <c r="L638" i="8"/>
  <c r="O638" i="8"/>
  <c r="I232" i="6"/>
  <c r="I198" i="12"/>
  <c r="D748" i="8"/>
  <c r="K253" i="12"/>
  <c r="K527" i="8"/>
  <c r="M527" i="8" s="1"/>
  <c r="O199" i="8"/>
  <c r="E258" i="11"/>
  <c r="K363" i="8"/>
  <c r="M363" i="8" s="1"/>
  <c r="O363" i="8"/>
  <c r="J418" i="7"/>
  <c r="I803" i="7"/>
  <c r="J803" i="7" s="1"/>
  <c r="L803" i="7"/>
  <c r="H912" i="8"/>
  <c r="E912" i="8"/>
  <c r="J841" i="6"/>
  <c r="C143" i="7"/>
  <c r="I186" i="6"/>
  <c r="CF209" i="11"/>
  <c r="CH209" i="11" s="1"/>
  <c r="CI209" i="11"/>
  <c r="C254" i="7"/>
  <c r="H308" i="12"/>
  <c r="D308" i="12"/>
  <c r="G1079" i="8"/>
  <c r="B748" i="7"/>
  <c r="C748" i="7" s="1"/>
  <c r="E748" i="7" s="1"/>
  <c r="E308" i="12"/>
  <c r="D472" i="8"/>
  <c r="H472" i="8"/>
  <c r="E859" i="7"/>
  <c r="H859" i="7"/>
  <c r="G582" i="7"/>
  <c r="H378" i="6"/>
  <c r="J378" i="6" s="1"/>
  <c r="J379" i="6" s="1"/>
  <c r="J380" i="6" s="1"/>
  <c r="J381" i="6" s="1"/>
  <c r="J382" i="6" s="1"/>
  <c r="J383" i="6" s="1"/>
  <c r="J384" i="6" s="1"/>
  <c r="J385" i="6" s="1"/>
  <c r="J386" i="6" s="1"/>
  <c r="J387" i="6" s="1"/>
  <c r="J388" i="6" s="1"/>
  <c r="J389" i="6" s="1"/>
  <c r="J390" i="6" s="1"/>
  <c r="J391" i="6" s="1"/>
  <c r="J392" i="6" s="1"/>
  <c r="J393" i="6" s="1"/>
  <c r="J394" i="6" s="1"/>
  <c r="J395" i="6" s="1"/>
  <c r="J396" i="6" s="1"/>
  <c r="J397" i="6" s="1"/>
  <c r="J398" i="6" s="1"/>
  <c r="M198" i="7"/>
  <c r="H694" i="7"/>
  <c r="B1024" i="8"/>
  <c r="L331" i="11"/>
  <c r="M331" i="11" s="1"/>
  <c r="Q331" i="11" s="1"/>
  <c r="J584" i="8"/>
  <c r="K584" i="8" s="1"/>
  <c r="E472" i="8"/>
  <c r="D859" i="7"/>
  <c r="E331" i="11"/>
  <c r="I331" i="11" s="1"/>
  <c r="E419" i="8"/>
  <c r="H419" i="8"/>
  <c r="J742" i="6"/>
  <c r="H743" i="6" s="1"/>
  <c r="I743" i="6" s="1"/>
  <c r="N913" i="8"/>
  <c r="B640" i="7"/>
  <c r="C640" i="7" s="1"/>
  <c r="E1242" i="6"/>
  <c r="G1242" i="6" s="1"/>
  <c r="K418" i="8"/>
  <c r="O418" i="8"/>
  <c r="J804" i="8"/>
  <c r="K804" i="8" s="1"/>
  <c r="B363" i="7"/>
  <c r="C363" i="7" s="1"/>
  <c r="E363" i="7" s="1"/>
  <c r="I1024" i="6"/>
  <c r="B253" i="8"/>
  <c r="B860" i="8"/>
  <c r="C860" i="8" s="1"/>
  <c r="L311" i="6"/>
  <c r="I528" i="7"/>
  <c r="J694" i="7"/>
  <c r="K694" i="7" s="1"/>
  <c r="J198" i="12"/>
  <c r="O198" i="12" s="1"/>
  <c r="D417" i="7"/>
  <c r="F417" i="7" s="1"/>
  <c r="H417" i="7"/>
  <c r="G258" i="11"/>
  <c r="N857" i="8"/>
  <c r="K1032" i="7"/>
  <c r="G692" i="8"/>
  <c r="I793" i="6"/>
  <c r="E913" i="7"/>
  <c r="H913" i="7"/>
  <c r="H1199" i="7"/>
  <c r="E1524" i="6"/>
  <c r="F1524" i="6" s="1"/>
  <c r="I254" i="8"/>
  <c r="J254" i="8" s="1"/>
  <c r="B474" i="7"/>
  <c r="C474" i="7" s="1"/>
  <c r="D913" i="7"/>
  <c r="F913" i="7" s="1"/>
  <c r="I883" i="6"/>
  <c r="O1078" i="8"/>
  <c r="K1078" i="8"/>
  <c r="L199" i="8"/>
  <c r="N199" i="8" s="1"/>
  <c r="M527" i="7"/>
  <c r="N30" i="10"/>
  <c r="H30" i="10" s="1"/>
  <c r="K30" i="10" s="1"/>
  <c r="H529" i="7"/>
  <c r="E529" i="7"/>
  <c r="H649" i="6"/>
  <c r="I649" i="6" s="1"/>
  <c r="D528" i="8"/>
  <c r="F528" i="8" s="1"/>
  <c r="H528" i="8"/>
  <c r="G143" i="12"/>
  <c r="H595" i="6"/>
  <c r="I595" i="6" s="1"/>
  <c r="D529" i="7"/>
  <c r="G252" i="12"/>
  <c r="H565" i="6"/>
  <c r="J565" i="6" s="1"/>
  <c r="J968" i="8"/>
  <c r="C365" i="8"/>
  <c r="E44" i="10"/>
  <c r="D44" i="10"/>
  <c r="C44" i="10"/>
  <c r="F44" i="10" s="1"/>
  <c r="G198" i="8"/>
  <c r="F803" i="8"/>
  <c r="M747" i="7"/>
  <c r="D419" i="8"/>
  <c r="H1065" i="6"/>
  <c r="I1065" i="6" s="1"/>
  <c r="J1300" i="6"/>
  <c r="I638" i="7"/>
  <c r="J638" i="7" s="1"/>
  <c r="L638" i="7"/>
  <c r="I474" i="8"/>
  <c r="L418" i="8"/>
  <c r="B804" i="7"/>
  <c r="D694" i="7"/>
  <c r="F694" i="7" s="1"/>
  <c r="F803" i="7"/>
  <c r="K474" i="7"/>
  <c r="M474" i="7" s="1"/>
  <c r="O474" i="7"/>
  <c r="K638" i="8"/>
  <c r="G1032" i="7"/>
  <c r="I144" i="8"/>
  <c r="J144" i="8" s="1"/>
  <c r="L144" i="8"/>
  <c r="H425" i="6"/>
  <c r="J425" i="6" s="1"/>
  <c r="J426" i="6" s="1"/>
  <c r="J427" i="6" s="1"/>
  <c r="J428" i="6" s="1"/>
  <c r="J429" i="6" s="1"/>
  <c r="J430" i="6" s="1"/>
  <c r="J431" i="6" s="1"/>
  <c r="J432" i="6" s="1"/>
  <c r="J433" i="6" s="1"/>
  <c r="J434" i="6" s="1"/>
  <c r="J435" i="6" s="1"/>
  <c r="J436" i="6" s="1"/>
  <c r="J437" i="6" s="1"/>
  <c r="J438" i="6" s="1"/>
  <c r="J439" i="6" s="1"/>
  <c r="J440" i="6" s="1"/>
  <c r="J441" i="6" s="1"/>
  <c r="J442" i="6" s="1"/>
  <c r="J443" i="6" s="1"/>
  <c r="J444" i="6" s="1"/>
  <c r="J445" i="6" s="1"/>
  <c r="E1285" i="6"/>
  <c r="G1285" i="6" s="1"/>
  <c r="G142" i="8"/>
  <c r="G638" i="8"/>
  <c r="J1350" i="6"/>
  <c r="O144" i="7"/>
  <c r="L144" i="7"/>
  <c r="N144" i="7" s="1"/>
  <c r="M264" i="6"/>
  <c r="I307" i="12"/>
  <c r="J307" i="12" s="1"/>
  <c r="L307" i="12" s="1"/>
  <c r="B969" i="8"/>
  <c r="C969" i="8" s="1"/>
  <c r="K748" i="8"/>
  <c r="M748" i="8" s="1"/>
  <c r="O748" i="8"/>
  <c r="D912" i="8"/>
  <c r="L1078" i="8"/>
  <c r="I514" i="6"/>
  <c r="B1149" i="6"/>
  <c r="D1149" i="6" s="1"/>
  <c r="I254" i="7"/>
  <c r="J254" i="7" s="1"/>
  <c r="L254" i="7" s="1"/>
  <c r="E1197" i="6"/>
  <c r="G1197" i="6" s="1"/>
  <c r="H1397" i="6"/>
  <c r="I1397" i="6" s="1"/>
  <c r="J974" i="6"/>
  <c r="H975" i="6" s="1"/>
  <c r="I975" i="6" s="1"/>
  <c r="I309" i="8"/>
  <c r="J309" i="8" s="1"/>
  <c r="L309" i="8" s="1"/>
  <c r="I693" i="8"/>
  <c r="J693" i="8" s="1"/>
  <c r="H692" i="6"/>
  <c r="J692" i="6" s="1"/>
  <c r="F307" i="7"/>
  <c r="J859" i="7"/>
  <c r="H141" i="6"/>
  <c r="J141" i="6" s="1"/>
  <c r="F252" i="8"/>
  <c r="AI210" i="11" l="1"/>
  <c r="BL209" i="11"/>
  <c r="AP210" i="11" s="1"/>
  <c r="J1397" i="6"/>
  <c r="AJ210" i="11"/>
  <c r="AB209" i="11"/>
  <c r="AA209" i="11"/>
  <c r="D210" i="11" s="1"/>
  <c r="Z209" i="11"/>
  <c r="AE209" i="11"/>
  <c r="Y209" i="11"/>
  <c r="AD209" i="11"/>
  <c r="AC209" i="11"/>
  <c r="G1145" i="7"/>
  <c r="F912" i="8"/>
  <c r="C1024" i="8"/>
  <c r="E1024" i="8" s="1"/>
  <c r="X329" i="11"/>
  <c r="V329" i="11"/>
  <c r="S330" i="11" s="1"/>
  <c r="W329" i="11"/>
  <c r="U330" i="11"/>
  <c r="I975" i="7"/>
  <c r="J975" i="7"/>
  <c r="F975" i="7"/>
  <c r="E975" i="7"/>
  <c r="G975" i="7" s="1"/>
  <c r="H975" i="7"/>
  <c r="B976" i="7" s="1"/>
  <c r="C976" i="7"/>
  <c r="D976" i="7" s="1"/>
  <c r="E969" i="8"/>
  <c r="H969" i="8"/>
  <c r="J1089" i="7"/>
  <c r="E1089" i="7"/>
  <c r="G1089" i="7" s="1"/>
  <c r="I1089" i="7"/>
  <c r="F1089" i="7"/>
  <c r="M418" i="8"/>
  <c r="G417" i="7"/>
  <c r="C1033" i="7"/>
  <c r="D1033" i="7" s="1"/>
  <c r="G859" i="7"/>
  <c r="F472" i="8"/>
  <c r="N638" i="8"/>
  <c r="I639" i="8" s="1"/>
  <c r="K1145" i="7"/>
  <c r="H1145" i="7"/>
  <c r="G694" i="7"/>
  <c r="B695" i="7" s="1"/>
  <c r="C695" i="7" s="1"/>
  <c r="D695" i="7" s="1"/>
  <c r="AM210" i="11"/>
  <c r="J595" i="6"/>
  <c r="H596" i="6" s="1"/>
  <c r="J596" i="6" s="1"/>
  <c r="G529" i="7"/>
  <c r="B530" i="7" s="1"/>
  <c r="G419" i="8"/>
  <c r="B420" i="8" s="1"/>
  <c r="M1078" i="8"/>
  <c r="G308" i="12"/>
  <c r="G748" i="8"/>
  <c r="B749" i="8" s="1"/>
  <c r="N331" i="11"/>
  <c r="K332" i="11" s="1"/>
  <c r="P331" i="11"/>
  <c r="O331" i="11"/>
  <c r="E640" i="7"/>
  <c r="D640" i="7"/>
  <c r="F640" i="7" s="1"/>
  <c r="H640" i="7"/>
  <c r="D474" i="7"/>
  <c r="H474" i="7"/>
  <c r="N418" i="8"/>
  <c r="I254" i="12"/>
  <c r="G912" i="8"/>
  <c r="L914" i="7"/>
  <c r="O914" i="7"/>
  <c r="F199" i="7"/>
  <c r="J471" i="6"/>
  <c r="K265" i="6"/>
  <c r="L265" i="6" s="1"/>
  <c r="C45" i="10"/>
  <c r="D45" i="10"/>
  <c r="E45" i="10"/>
  <c r="E474" i="7"/>
  <c r="K198" i="12"/>
  <c r="I145" i="7"/>
  <c r="O254" i="8"/>
  <c r="K254" i="8"/>
  <c r="B418" i="7"/>
  <c r="C418" i="7" s="1"/>
  <c r="H187" i="6"/>
  <c r="J187" i="6" s="1"/>
  <c r="L254" i="8"/>
  <c r="E143" i="7"/>
  <c r="H143" i="7"/>
  <c r="L859" i="7"/>
  <c r="O859" i="7"/>
  <c r="H365" i="8"/>
  <c r="E365" i="8"/>
  <c r="H1025" i="6"/>
  <c r="J1025" i="6" s="1"/>
  <c r="O1025" i="8"/>
  <c r="H258" i="11"/>
  <c r="I258" i="11" s="1"/>
  <c r="O254" i="7"/>
  <c r="K254" i="7"/>
  <c r="M254" i="7" s="1"/>
  <c r="B309" i="12"/>
  <c r="L968" i="8"/>
  <c r="O968" i="8"/>
  <c r="I914" i="8"/>
  <c r="J914" i="8" s="1"/>
  <c r="L914" i="8" s="1"/>
  <c r="J528" i="7"/>
  <c r="J649" i="6"/>
  <c r="M145" i="12"/>
  <c r="I200" i="8"/>
  <c r="I309" i="7"/>
  <c r="J309" i="7" s="1"/>
  <c r="K693" i="8"/>
  <c r="O693" i="8"/>
  <c r="B1200" i="7"/>
  <c r="C1200" i="7"/>
  <c r="D1200" i="7" s="1"/>
  <c r="B1080" i="8"/>
  <c r="C1080" i="8" s="1"/>
  <c r="E1080" i="8" s="1"/>
  <c r="N527" i="8"/>
  <c r="M144" i="7"/>
  <c r="L693" i="8"/>
  <c r="B253" i="12"/>
  <c r="C253" i="12" s="1"/>
  <c r="J199" i="7"/>
  <c r="K199" i="7" s="1"/>
  <c r="M253" i="12"/>
  <c r="K309" i="8"/>
  <c r="M309" i="8" s="1"/>
  <c r="O309" i="8"/>
  <c r="J1351" i="6"/>
  <c r="H1352" i="6" s="1"/>
  <c r="I1352" i="6" s="1"/>
  <c r="N474" i="7"/>
  <c r="J1065" i="6"/>
  <c r="H884" i="6"/>
  <c r="J884" i="6" s="1"/>
  <c r="G913" i="7"/>
  <c r="N803" i="7"/>
  <c r="F748" i="8"/>
  <c r="K914" i="7"/>
  <c r="M914" i="7" s="1"/>
  <c r="H932" i="6"/>
  <c r="J932" i="6" s="1"/>
  <c r="R27" i="9"/>
  <c r="G528" i="8"/>
  <c r="E254" i="7"/>
  <c r="H254" i="7"/>
  <c r="O803" i="7"/>
  <c r="K803" i="7"/>
  <c r="M803" i="7" s="1"/>
  <c r="H471" i="6"/>
  <c r="I471" i="6" s="1"/>
  <c r="L1025" i="8"/>
  <c r="N1025" i="8" s="1"/>
  <c r="H842" i="6"/>
  <c r="I842" i="6" s="1"/>
  <c r="H860" i="8"/>
  <c r="D860" i="8"/>
  <c r="N363" i="7"/>
  <c r="F859" i="7"/>
  <c r="I378" i="6"/>
  <c r="I379" i="6" s="1"/>
  <c r="I380" i="6" s="1"/>
  <c r="I381" i="6" s="1"/>
  <c r="I382" i="6" s="1"/>
  <c r="I383" i="6" s="1"/>
  <c r="I384" i="6" s="1"/>
  <c r="I385" i="6" s="1"/>
  <c r="I386" i="6" s="1"/>
  <c r="I387" i="6" s="1"/>
  <c r="I388" i="6" s="1"/>
  <c r="I389" i="6" s="1"/>
  <c r="I390" i="6" s="1"/>
  <c r="I391" i="6" s="1"/>
  <c r="I392" i="6" s="1"/>
  <c r="I393" i="6" s="1"/>
  <c r="I394" i="6" s="1"/>
  <c r="I395" i="6" s="1"/>
  <c r="I396" i="6" s="1"/>
  <c r="I397" i="6" s="1"/>
  <c r="I398" i="6" s="1"/>
  <c r="H399" i="6" s="1"/>
  <c r="K356" i="6" s="1"/>
  <c r="D254" i="7"/>
  <c r="L418" i="7"/>
  <c r="N418" i="7" s="1"/>
  <c r="O418" i="7"/>
  <c r="E198" i="12"/>
  <c r="H198" i="12"/>
  <c r="N748" i="8"/>
  <c r="B144" i="12"/>
  <c r="C144" i="12" s="1"/>
  <c r="E144" i="12"/>
  <c r="B693" i="8"/>
  <c r="C693" i="8" s="1"/>
  <c r="E693" i="8"/>
  <c r="L198" i="12"/>
  <c r="I425" i="6"/>
  <c r="I426" i="6" s="1"/>
  <c r="I427" i="6" s="1"/>
  <c r="I428" i="6" s="1"/>
  <c r="I429" i="6" s="1"/>
  <c r="I430" i="6" s="1"/>
  <c r="I431" i="6" s="1"/>
  <c r="I432" i="6" s="1"/>
  <c r="I433" i="6" s="1"/>
  <c r="I434" i="6" s="1"/>
  <c r="I435" i="6" s="1"/>
  <c r="I436" i="6" s="1"/>
  <c r="I437" i="6" s="1"/>
  <c r="I438" i="6" s="1"/>
  <c r="I439" i="6" s="1"/>
  <c r="I440" i="6" s="1"/>
  <c r="I441" i="6" s="1"/>
  <c r="I442" i="6" s="1"/>
  <c r="I443" i="6" s="1"/>
  <c r="I444" i="6" s="1"/>
  <c r="I445" i="6" s="1"/>
  <c r="H446" i="6" s="1"/>
  <c r="K403" i="6" s="1"/>
  <c r="B860" i="7"/>
  <c r="H233" i="6"/>
  <c r="J233" i="6" s="1"/>
  <c r="I141" i="6"/>
  <c r="I2919" i="6"/>
  <c r="N144" i="8"/>
  <c r="O694" i="7"/>
  <c r="L694" i="7"/>
  <c r="N694" i="7" s="1"/>
  <c r="F1242" i="6"/>
  <c r="F1471" i="6"/>
  <c r="D309" i="8"/>
  <c r="H309" i="8"/>
  <c r="AI260" i="11"/>
  <c r="BL259" i="11"/>
  <c r="AP260" i="11" s="1"/>
  <c r="K859" i="7"/>
  <c r="M859" i="7" s="1"/>
  <c r="D365" i="8"/>
  <c r="E309" i="8"/>
  <c r="M638" i="8"/>
  <c r="D748" i="7"/>
  <c r="F748" i="7" s="1"/>
  <c r="H748" i="7"/>
  <c r="I146" i="12"/>
  <c r="K638" i="7"/>
  <c r="M638" i="7" s="1"/>
  <c r="O638" i="7"/>
  <c r="K968" i="8"/>
  <c r="D363" i="7"/>
  <c r="F363" i="7" s="1"/>
  <c r="H363" i="7"/>
  <c r="D969" i="8"/>
  <c r="O804" i="8"/>
  <c r="L804" i="8"/>
  <c r="N804" i="8" s="1"/>
  <c r="H515" i="6"/>
  <c r="J515" i="6" s="1"/>
  <c r="H331" i="11"/>
  <c r="G331" i="11"/>
  <c r="F331" i="11"/>
  <c r="C332" i="11" s="1"/>
  <c r="D332" i="11" s="1"/>
  <c r="B639" i="8"/>
  <c r="C639" i="8" s="1"/>
  <c r="I858" i="8"/>
  <c r="J858" i="8" s="1"/>
  <c r="L858" i="8" s="1"/>
  <c r="N1078" i="8"/>
  <c r="B143" i="8"/>
  <c r="C143" i="8" s="1"/>
  <c r="H1398" i="6"/>
  <c r="I1398" i="6" s="1"/>
  <c r="J748" i="7"/>
  <c r="F529" i="7"/>
  <c r="H794" i="6"/>
  <c r="J794" i="6" s="1"/>
  <c r="E860" i="8"/>
  <c r="G472" i="8"/>
  <c r="B583" i="7"/>
  <c r="C583" i="7" s="1"/>
  <c r="E583" i="7" s="1"/>
  <c r="CJ209" i="11"/>
  <c r="CS209" i="11" s="1"/>
  <c r="K418" i="7"/>
  <c r="D198" i="12"/>
  <c r="H1301" i="6"/>
  <c r="I1301" i="6" s="1"/>
  <c r="G1524" i="6"/>
  <c r="E1525" i="6" s="1"/>
  <c r="F1525" i="6" s="1"/>
  <c r="B199" i="8"/>
  <c r="C199" i="8" s="1"/>
  <c r="E199" i="8" s="1"/>
  <c r="H650" i="6"/>
  <c r="I650" i="6" s="1"/>
  <c r="O144" i="8"/>
  <c r="K144" i="8"/>
  <c r="M144" i="8" s="1"/>
  <c r="D143" i="7"/>
  <c r="C308" i="7"/>
  <c r="L31" i="10"/>
  <c r="B584" i="8"/>
  <c r="C584" i="8" s="1"/>
  <c r="E584" i="8" s="1"/>
  <c r="C1149" i="6"/>
  <c r="J743" i="6"/>
  <c r="J474" i="8"/>
  <c r="I692" i="6"/>
  <c r="N583" i="7"/>
  <c r="B200" i="7"/>
  <c r="I565" i="6"/>
  <c r="H1066" i="6"/>
  <c r="I1066" i="6" s="1"/>
  <c r="F308" i="12"/>
  <c r="C804" i="7"/>
  <c r="D804" i="7" s="1"/>
  <c r="M311" i="6"/>
  <c r="J975" i="6"/>
  <c r="F419" i="8"/>
  <c r="C253" i="8"/>
  <c r="D253" i="8" s="1"/>
  <c r="F1197" i="6"/>
  <c r="E1198" i="6" s="1"/>
  <c r="H1155" i="6" s="1"/>
  <c r="O307" i="12"/>
  <c r="K307" i="12"/>
  <c r="M307" i="12" s="1"/>
  <c r="F1285" i="6"/>
  <c r="C804" i="8"/>
  <c r="L584" i="8"/>
  <c r="N584" i="8" s="1"/>
  <c r="O584" i="8"/>
  <c r="N363" i="8"/>
  <c r="AJ260" i="11"/>
  <c r="M199" i="8"/>
  <c r="M693" i="8" l="1"/>
  <c r="F365" i="8"/>
  <c r="N968" i="8"/>
  <c r="J1398" i="6"/>
  <c r="H1399" i="6" s="1"/>
  <c r="I1399" i="6" s="1"/>
  <c r="K1089" i="7"/>
  <c r="T330" i="11"/>
  <c r="Y330" i="11" s="1"/>
  <c r="AL210" i="11"/>
  <c r="AF209" i="11"/>
  <c r="C210" i="11"/>
  <c r="M694" i="7"/>
  <c r="J695" i="7" s="1"/>
  <c r="K695" i="7" s="1"/>
  <c r="E210" i="11"/>
  <c r="H1024" i="8"/>
  <c r="D1024" i="8"/>
  <c r="G1024" i="8" s="1"/>
  <c r="B1025" i="8" s="1"/>
  <c r="AK210" i="11"/>
  <c r="F45" i="10"/>
  <c r="C46" i="10" s="1"/>
  <c r="H1089" i="7"/>
  <c r="N198" i="12"/>
  <c r="I199" i="12" s="1"/>
  <c r="F969" i="8"/>
  <c r="G143" i="7"/>
  <c r="B144" i="7" s="1"/>
  <c r="J842" i="6"/>
  <c r="G198" i="12"/>
  <c r="B199" i="12" s="1"/>
  <c r="G254" i="7"/>
  <c r="M254" i="8"/>
  <c r="B1146" i="7"/>
  <c r="C1146" i="7" s="1"/>
  <c r="D1146" i="7" s="1"/>
  <c r="G860" i="8"/>
  <c r="F309" i="8"/>
  <c r="J976" i="7"/>
  <c r="I976" i="7"/>
  <c r="F976" i="7"/>
  <c r="E976" i="7"/>
  <c r="G976" i="7" s="1"/>
  <c r="G748" i="7"/>
  <c r="B749" i="7" s="1"/>
  <c r="C749" i="7" s="1"/>
  <c r="H749" i="7" s="1"/>
  <c r="M804" i="8"/>
  <c r="K975" i="7"/>
  <c r="F474" i="7"/>
  <c r="D418" i="7"/>
  <c r="H418" i="7"/>
  <c r="E418" i="7"/>
  <c r="I1200" i="7"/>
  <c r="F1200" i="7"/>
  <c r="E1200" i="7"/>
  <c r="G1200" i="7" s="1"/>
  <c r="J1200" i="7"/>
  <c r="H651" i="6"/>
  <c r="I651" i="6" s="1"/>
  <c r="H472" i="6"/>
  <c r="I472" i="6" s="1"/>
  <c r="I473" i="6" s="1"/>
  <c r="I474" i="6" s="1"/>
  <c r="I475" i="6" s="1"/>
  <c r="I476" i="6" s="1"/>
  <c r="I477" i="6" s="1"/>
  <c r="I478" i="6" s="1"/>
  <c r="I479" i="6" s="1"/>
  <c r="I480" i="6" s="1"/>
  <c r="I481" i="6" s="1"/>
  <c r="I482" i="6" s="1"/>
  <c r="I483" i="6" s="1"/>
  <c r="I484" i="6" s="1"/>
  <c r="I485" i="6" s="1"/>
  <c r="I486" i="6" s="1"/>
  <c r="I487" i="6" s="1"/>
  <c r="I488" i="6" s="1"/>
  <c r="I489" i="6" s="1"/>
  <c r="I490" i="6" s="1"/>
  <c r="I491" i="6" s="1"/>
  <c r="I492" i="6" s="1"/>
  <c r="M258" i="11"/>
  <c r="R258" i="11" s="1"/>
  <c r="N258" i="11"/>
  <c r="L258" i="11"/>
  <c r="P258" i="11"/>
  <c r="K258" i="11"/>
  <c r="Q258" i="11" s="1"/>
  <c r="O258" i="11"/>
  <c r="S258" i="11" s="1"/>
  <c r="B861" i="8"/>
  <c r="E1472" i="6"/>
  <c r="G1472" i="6" s="1"/>
  <c r="L405" i="6"/>
  <c r="I794" i="6"/>
  <c r="I695" i="7"/>
  <c r="B529" i="8"/>
  <c r="C529" i="8" s="1"/>
  <c r="E529" i="8" s="1"/>
  <c r="I969" i="8"/>
  <c r="K312" i="6"/>
  <c r="L312" i="6" s="1"/>
  <c r="I364" i="8"/>
  <c r="J364" i="8" s="1"/>
  <c r="L364" i="8" s="1"/>
  <c r="G584" i="8"/>
  <c r="O528" i="7"/>
  <c r="L528" i="7"/>
  <c r="M31" i="10"/>
  <c r="I31" i="10" s="1"/>
  <c r="H693" i="6"/>
  <c r="J693" i="6" s="1"/>
  <c r="O309" i="7"/>
  <c r="K309" i="7"/>
  <c r="I596" i="6"/>
  <c r="D253" i="12"/>
  <c r="H253" i="12"/>
  <c r="H1302" i="6"/>
  <c r="I1302" i="6" s="1"/>
  <c r="G693" i="8"/>
  <c r="E253" i="12"/>
  <c r="N914" i="7"/>
  <c r="F860" i="8"/>
  <c r="F198" i="12"/>
  <c r="D143" i="8"/>
  <c r="H143" i="8"/>
  <c r="J650" i="6"/>
  <c r="J200" i="8"/>
  <c r="I145" i="8"/>
  <c r="J145" i="8" s="1"/>
  <c r="F254" i="7"/>
  <c r="I1025" i="6"/>
  <c r="G640" i="7"/>
  <c r="L309" i="7"/>
  <c r="C749" i="8"/>
  <c r="D749" i="8" s="1"/>
  <c r="D693" i="8"/>
  <c r="F693" i="8" s="1"/>
  <c r="H693" i="8"/>
  <c r="B913" i="8"/>
  <c r="C913" i="8" s="1"/>
  <c r="E913" i="8" s="1"/>
  <c r="C309" i="12"/>
  <c r="M418" i="7"/>
  <c r="H843" i="6"/>
  <c r="I843" i="6" s="1"/>
  <c r="CN209" i="11"/>
  <c r="CM209" i="11"/>
  <c r="CL209" i="11"/>
  <c r="CQ209" i="11"/>
  <c r="CP209" i="11"/>
  <c r="CO209" i="11"/>
  <c r="CK209" i="11"/>
  <c r="I1026" i="8"/>
  <c r="M198" i="12"/>
  <c r="M1025" i="8"/>
  <c r="AL260" i="11"/>
  <c r="I1157" i="6"/>
  <c r="B1150" i="6"/>
  <c r="D1150" i="6" s="1"/>
  <c r="I1079" i="8"/>
  <c r="J1079" i="8" s="1"/>
  <c r="L1079" i="8"/>
  <c r="I805" i="8"/>
  <c r="J805" i="8" s="1"/>
  <c r="N638" i="7"/>
  <c r="I884" i="6"/>
  <c r="E695" i="7"/>
  <c r="G695" i="7" s="1"/>
  <c r="G474" i="7"/>
  <c r="H976" i="6"/>
  <c r="I976" i="6" s="1"/>
  <c r="J1352" i="6"/>
  <c r="H1353" i="6" s="1"/>
  <c r="I1353" i="6" s="1"/>
  <c r="D46" i="10"/>
  <c r="E46" i="10"/>
  <c r="D639" i="8"/>
  <c r="H639" i="8"/>
  <c r="I187" i="6"/>
  <c r="C420" i="8"/>
  <c r="D420" i="8" s="1"/>
  <c r="J31" i="10"/>
  <c r="E1243" i="6"/>
  <c r="G1243" i="6" s="1"/>
  <c r="B255" i="7"/>
  <c r="C530" i="7"/>
  <c r="D530" i="7" s="1"/>
  <c r="I419" i="7"/>
  <c r="E27" i="9"/>
  <c r="G27" i="9"/>
  <c r="F27" i="9"/>
  <c r="E308" i="7"/>
  <c r="H308" i="7"/>
  <c r="L358" i="6"/>
  <c r="H142" i="6"/>
  <c r="J142" i="6" s="1"/>
  <c r="C860" i="7"/>
  <c r="E804" i="7"/>
  <c r="G804" i="7" s="1"/>
  <c r="H804" i="7"/>
  <c r="L474" i="8"/>
  <c r="N474" i="8" s="1"/>
  <c r="O474" i="8"/>
  <c r="N693" i="8"/>
  <c r="N859" i="7"/>
  <c r="E1286" i="6"/>
  <c r="G1286" i="6" s="1"/>
  <c r="I515" i="6"/>
  <c r="J146" i="12"/>
  <c r="J1301" i="6"/>
  <c r="D144" i="12"/>
  <c r="F144" i="12" s="1"/>
  <c r="H144" i="12"/>
  <c r="B914" i="7"/>
  <c r="C914" i="7" s="1"/>
  <c r="I528" i="8"/>
  <c r="J528" i="8" s="1"/>
  <c r="H1080" i="8"/>
  <c r="D1080" i="8"/>
  <c r="F1080" i="8" s="1"/>
  <c r="H253" i="8"/>
  <c r="E253" i="8"/>
  <c r="G253" i="8" s="1"/>
  <c r="H695" i="7"/>
  <c r="F143" i="7"/>
  <c r="H583" i="7"/>
  <c r="D583" i="7"/>
  <c r="F583" i="7" s="1"/>
  <c r="J639" i="8"/>
  <c r="K639" i="8" s="1"/>
  <c r="J1066" i="6"/>
  <c r="N307" i="12"/>
  <c r="K528" i="7"/>
  <c r="I585" i="8"/>
  <c r="E639" i="8"/>
  <c r="M265" i="6"/>
  <c r="I584" i="7"/>
  <c r="J584" i="7" s="1"/>
  <c r="N309" i="8"/>
  <c r="J254" i="12"/>
  <c r="O199" i="7"/>
  <c r="L199" i="7"/>
  <c r="N199" i="7" s="1"/>
  <c r="D199" i="8"/>
  <c r="F199" i="8" s="1"/>
  <c r="H199" i="8"/>
  <c r="O748" i="7"/>
  <c r="L748" i="7"/>
  <c r="M968" i="8"/>
  <c r="AK260" i="11"/>
  <c r="M584" i="8"/>
  <c r="C200" i="7"/>
  <c r="D308" i="7"/>
  <c r="K748" i="7"/>
  <c r="E332" i="11"/>
  <c r="I332" i="11" s="1"/>
  <c r="H2920" i="6"/>
  <c r="J2920" i="6" s="1"/>
  <c r="I932" i="6"/>
  <c r="G365" i="8"/>
  <c r="G969" i="8"/>
  <c r="AM260" i="11"/>
  <c r="G1525" i="6"/>
  <c r="E1526" i="6" s="1"/>
  <c r="F1526" i="6" s="1"/>
  <c r="E804" i="8"/>
  <c r="H804" i="8"/>
  <c r="I364" i="7"/>
  <c r="J364" i="7" s="1"/>
  <c r="L364" i="7" s="1"/>
  <c r="D804" i="8"/>
  <c r="I804" i="7"/>
  <c r="J804" i="7" s="1"/>
  <c r="K474" i="8"/>
  <c r="J145" i="7"/>
  <c r="K145" i="7" s="1"/>
  <c r="I233" i="6"/>
  <c r="J1033" i="7"/>
  <c r="I1033" i="7"/>
  <c r="F1033" i="7"/>
  <c r="E1033" i="7"/>
  <c r="G1033" i="7" s="1"/>
  <c r="L332" i="11"/>
  <c r="M332" i="11" s="1"/>
  <c r="Q332" i="11" s="1"/>
  <c r="E143" i="8"/>
  <c r="N254" i="8"/>
  <c r="H566" i="6"/>
  <c r="J566" i="6" s="1"/>
  <c r="J567" i="6" s="1"/>
  <c r="J568" i="6" s="1"/>
  <c r="J569" i="6" s="1"/>
  <c r="J570" i="6" s="1"/>
  <c r="J571" i="6" s="1"/>
  <c r="J572" i="6" s="1"/>
  <c r="J573" i="6" s="1"/>
  <c r="J574" i="6" s="1"/>
  <c r="J575" i="6" s="1"/>
  <c r="J576" i="6" s="1"/>
  <c r="J577" i="6" s="1"/>
  <c r="J578" i="6" s="1"/>
  <c r="J579" i="6" s="1"/>
  <c r="J580" i="6" s="1"/>
  <c r="J581" i="6" s="1"/>
  <c r="J582" i="6" s="1"/>
  <c r="J583" i="6" s="1"/>
  <c r="J584" i="6" s="1"/>
  <c r="J585" i="6" s="1"/>
  <c r="J586" i="6" s="1"/>
  <c r="D584" i="8"/>
  <c r="F584" i="8" s="1"/>
  <c r="H584" i="8"/>
  <c r="B473" i="8"/>
  <c r="C473" i="8" s="1"/>
  <c r="E473" i="8"/>
  <c r="K858" i="8"/>
  <c r="M858" i="8" s="1"/>
  <c r="O858" i="8"/>
  <c r="G309" i="8"/>
  <c r="N254" i="7"/>
  <c r="I749" i="8"/>
  <c r="J749" i="8" s="1"/>
  <c r="I475" i="7"/>
  <c r="J475" i="7" s="1"/>
  <c r="L475" i="7"/>
  <c r="G363" i="7"/>
  <c r="K914" i="8"/>
  <c r="M914" i="8" s="1"/>
  <c r="O914" i="8"/>
  <c r="I419" i="8"/>
  <c r="J419" i="8" s="1"/>
  <c r="H744" i="6"/>
  <c r="I744" i="6" s="1"/>
  <c r="F1024" i="8"/>
  <c r="U331" i="11" l="1"/>
  <c r="X330" i="11"/>
  <c r="V330" i="11"/>
  <c r="S331" i="11" s="1"/>
  <c r="W330" i="11"/>
  <c r="M528" i="7"/>
  <c r="J1399" i="6"/>
  <c r="H1400" i="6" s="1"/>
  <c r="I1400" i="6" s="1"/>
  <c r="J210" i="11"/>
  <c r="F210" i="11"/>
  <c r="AN210" i="11"/>
  <c r="AO210" i="11" s="1"/>
  <c r="G210" i="11"/>
  <c r="G583" i="7"/>
  <c r="G308" i="7"/>
  <c r="G418" i="7"/>
  <c r="J1146" i="7"/>
  <c r="F1146" i="7"/>
  <c r="I1146" i="7"/>
  <c r="E1146" i="7"/>
  <c r="H1146" i="7"/>
  <c r="K1146" i="7"/>
  <c r="K1033" i="7"/>
  <c r="M309" i="7"/>
  <c r="N858" i="8"/>
  <c r="I859" i="8" s="1"/>
  <c r="J859" i="8" s="1"/>
  <c r="G143" i="8"/>
  <c r="B144" i="8" s="1"/>
  <c r="K1200" i="7"/>
  <c r="N914" i="8"/>
  <c r="F639" i="8"/>
  <c r="K976" i="7"/>
  <c r="H976" i="7"/>
  <c r="F253" i="12"/>
  <c r="F804" i="8"/>
  <c r="J976" i="6"/>
  <c r="H977" i="6" s="1"/>
  <c r="I977" i="6" s="1"/>
  <c r="M199" i="7"/>
  <c r="B1090" i="7"/>
  <c r="C1090" i="7"/>
  <c r="D1090" i="7" s="1"/>
  <c r="M748" i="7"/>
  <c r="O145" i="8"/>
  <c r="L145" i="8"/>
  <c r="K145" i="8"/>
  <c r="O805" i="8"/>
  <c r="K805" i="8"/>
  <c r="L805" i="8"/>
  <c r="N805" i="8" s="1"/>
  <c r="K804" i="7"/>
  <c r="O804" i="7"/>
  <c r="L804" i="7"/>
  <c r="N804" i="7" s="1"/>
  <c r="P332" i="11"/>
  <c r="N332" i="11"/>
  <c r="K333" i="11" s="1"/>
  <c r="O332" i="11"/>
  <c r="H1303" i="6"/>
  <c r="I1303" i="6" s="1"/>
  <c r="N364" i="8"/>
  <c r="O528" i="8"/>
  <c r="K528" i="8"/>
  <c r="H914" i="7"/>
  <c r="D914" i="7"/>
  <c r="H1026" i="6"/>
  <c r="J1026" i="6" s="1"/>
  <c r="I475" i="8"/>
  <c r="B475" i="7"/>
  <c r="C475" i="7" s="1"/>
  <c r="E475" i="7" s="1"/>
  <c r="C255" i="7"/>
  <c r="D255" i="7" s="1"/>
  <c r="B696" i="7"/>
  <c r="C1025" i="8"/>
  <c r="H745" i="6"/>
  <c r="I745" i="6" s="1"/>
  <c r="J1157" i="6"/>
  <c r="F1472" i="6"/>
  <c r="H473" i="8"/>
  <c r="D473" i="8"/>
  <c r="F473" i="8" s="1"/>
  <c r="L695" i="7"/>
  <c r="N695" i="7" s="1"/>
  <c r="L146" i="12"/>
  <c r="O146" i="12"/>
  <c r="J843" i="6"/>
  <c r="O254" i="12"/>
  <c r="L254" i="12"/>
  <c r="K146" i="12"/>
  <c r="F143" i="8"/>
  <c r="B970" i="8"/>
  <c r="C970" i="8" s="1"/>
  <c r="E970" i="8" s="1"/>
  <c r="I694" i="8"/>
  <c r="J694" i="8" s="1"/>
  <c r="L694" i="8"/>
  <c r="I255" i="7"/>
  <c r="J255" i="7" s="1"/>
  <c r="L255" i="7"/>
  <c r="B366" i="8"/>
  <c r="C366" i="8" s="1"/>
  <c r="U258" i="11"/>
  <c r="X258" i="11" s="1"/>
  <c r="E914" i="7"/>
  <c r="M474" i="8"/>
  <c r="I915" i="8"/>
  <c r="J915" i="8" s="1"/>
  <c r="I200" i="7"/>
  <c r="N528" i="7"/>
  <c r="H885" i="6"/>
  <c r="J885" i="6" s="1"/>
  <c r="BP210" i="11"/>
  <c r="I308" i="12"/>
  <c r="J308" i="12" s="1"/>
  <c r="E200" i="7"/>
  <c r="H200" i="7"/>
  <c r="O364" i="7"/>
  <c r="K364" i="7"/>
  <c r="M364" i="7" s="1"/>
  <c r="D200" i="7"/>
  <c r="O749" i="8"/>
  <c r="K749" i="8"/>
  <c r="G913" i="8"/>
  <c r="O145" i="7"/>
  <c r="L145" i="7"/>
  <c r="N145" i="7" s="1"/>
  <c r="N31" i="10"/>
  <c r="H31" i="10" s="1"/>
  <c r="K31" i="10" s="1"/>
  <c r="B805" i="7"/>
  <c r="E749" i="8"/>
  <c r="G749" i="8" s="1"/>
  <c r="H749" i="8"/>
  <c r="F332" i="11"/>
  <c r="C333" i="11" s="1"/>
  <c r="G332" i="11"/>
  <c r="H332" i="11"/>
  <c r="L200" i="8"/>
  <c r="O200" i="8"/>
  <c r="K419" i="8"/>
  <c r="O419" i="8"/>
  <c r="K200" i="8"/>
  <c r="M200" i="8" s="1"/>
  <c r="L419" i="8"/>
  <c r="N419" i="8" s="1"/>
  <c r="G199" i="8"/>
  <c r="J1302" i="6"/>
  <c r="O695" i="7"/>
  <c r="J651" i="6"/>
  <c r="H652" i="6" s="1"/>
  <c r="I652" i="6" s="1"/>
  <c r="H795" i="6"/>
  <c r="J795" i="6" s="1"/>
  <c r="F695" i="7"/>
  <c r="J1026" i="8"/>
  <c r="K1026" i="8" s="1"/>
  <c r="I693" i="6"/>
  <c r="B584" i="7"/>
  <c r="C584" i="7" s="1"/>
  <c r="H1033" i="7"/>
  <c r="K254" i="12"/>
  <c r="M254" i="12" s="1"/>
  <c r="D749" i="7"/>
  <c r="F749" i="7" s="1"/>
  <c r="J419" i="7"/>
  <c r="K419" i="7" s="1"/>
  <c r="G1080" i="8"/>
  <c r="G804" i="8"/>
  <c r="O1079" i="8"/>
  <c r="K1079" i="8"/>
  <c r="M1079" i="8" s="1"/>
  <c r="O475" i="7"/>
  <c r="K475" i="7"/>
  <c r="M475" i="7" s="1"/>
  <c r="I566" i="6"/>
  <c r="I567" i="6" s="1"/>
  <c r="I568" i="6" s="1"/>
  <c r="I569" i="6" s="1"/>
  <c r="I570" i="6" s="1"/>
  <c r="I571" i="6" s="1"/>
  <c r="I572" i="6" s="1"/>
  <c r="I573" i="6" s="1"/>
  <c r="I574" i="6" s="1"/>
  <c r="I575" i="6" s="1"/>
  <c r="I576" i="6" s="1"/>
  <c r="I577" i="6" s="1"/>
  <c r="I578" i="6" s="1"/>
  <c r="I579" i="6" s="1"/>
  <c r="I580" i="6" s="1"/>
  <c r="I581" i="6" s="1"/>
  <c r="I582" i="6" s="1"/>
  <c r="I583" i="6" s="1"/>
  <c r="I584" i="6" s="1"/>
  <c r="I585" i="6" s="1"/>
  <c r="I586" i="6" s="1"/>
  <c r="H587" i="6" s="1"/>
  <c r="K544" i="6" s="1"/>
  <c r="J585" i="8"/>
  <c r="K585" i="8" s="1"/>
  <c r="I310" i="8"/>
  <c r="J310" i="8" s="1"/>
  <c r="L310" i="8"/>
  <c r="B1147" i="7"/>
  <c r="F46" i="10"/>
  <c r="C861" i="8"/>
  <c r="D861" i="8" s="1"/>
  <c r="J472" i="6"/>
  <c r="J473" i="6" s="1"/>
  <c r="J474" i="6" s="1"/>
  <c r="J475" i="6" s="1"/>
  <c r="J476" i="6" s="1"/>
  <c r="J477" i="6" s="1"/>
  <c r="J478" i="6" s="1"/>
  <c r="J479" i="6" s="1"/>
  <c r="J480" i="6" s="1"/>
  <c r="J481" i="6" s="1"/>
  <c r="J482" i="6" s="1"/>
  <c r="J483" i="6" s="1"/>
  <c r="J484" i="6" s="1"/>
  <c r="J485" i="6" s="1"/>
  <c r="J486" i="6" s="1"/>
  <c r="J487" i="6" s="1"/>
  <c r="J488" i="6" s="1"/>
  <c r="J489" i="6" s="1"/>
  <c r="J490" i="6" s="1"/>
  <c r="J491" i="6" s="1"/>
  <c r="J492" i="6" s="1"/>
  <c r="H493" i="6" s="1"/>
  <c r="K450" i="6" s="1"/>
  <c r="O584" i="7"/>
  <c r="K584" i="7"/>
  <c r="J1353" i="6"/>
  <c r="H1354" i="6" s="1"/>
  <c r="I1354" i="6" s="1"/>
  <c r="C1150" i="6"/>
  <c r="B1151" i="6" s="1"/>
  <c r="H1108" i="6" s="1"/>
  <c r="H309" i="12"/>
  <c r="E309" i="12"/>
  <c r="T258" i="11"/>
  <c r="H1200" i="7"/>
  <c r="B419" i="7"/>
  <c r="E749" i="7"/>
  <c r="G639" i="8"/>
  <c r="C199" i="12"/>
  <c r="F804" i="7"/>
  <c r="AN260" i="11"/>
  <c r="AO260" i="11"/>
  <c r="AU260" i="11" s="1"/>
  <c r="AY260" i="11" s="1"/>
  <c r="BD260" i="11" s="1"/>
  <c r="AQ260" i="11"/>
  <c r="AW260" i="11" s="1"/>
  <c r="AR260" i="11"/>
  <c r="I255" i="8"/>
  <c r="J255" i="8" s="1"/>
  <c r="H234" i="6"/>
  <c r="J234" i="6" s="1"/>
  <c r="G1526" i="6"/>
  <c r="E1527" i="6" s="1"/>
  <c r="H1484" i="6" s="1"/>
  <c r="J969" i="8"/>
  <c r="L584" i="7"/>
  <c r="F1286" i="6"/>
  <c r="F1243" i="6"/>
  <c r="CR209" i="11"/>
  <c r="BV210" i="11" s="1"/>
  <c r="BO210" i="11"/>
  <c r="D309" i="12"/>
  <c r="F309" i="12" s="1"/>
  <c r="I915" i="7"/>
  <c r="J915" i="7" s="1"/>
  <c r="L915" i="7" s="1"/>
  <c r="B641" i="7"/>
  <c r="C641" i="7" s="1"/>
  <c r="E641" i="7"/>
  <c r="B694" i="8"/>
  <c r="C694" i="8" s="1"/>
  <c r="C144" i="7"/>
  <c r="B309" i="7"/>
  <c r="B310" i="8"/>
  <c r="C310" i="8" s="1"/>
  <c r="E310" i="8"/>
  <c r="H933" i="6"/>
  <c r="J933" i="6" s="1"/>
  <c r="E420" i="8"/>
  <c r="G420" i="8" s="1"/>
  <c r="H420" i="8"/>
  <c r="B254" i="8"/>
  <c r="I2920" i="6"/>
  <c r="L28" i="9"/>
  <c r="H27" i="9"/>
  <c r="I27" i="9" s="1"/>
  <c r="H529" i="8"/>
  <c r="D529" i="8"/>
  <c r="F529" i="8" s="1"/>
  <c r="H597" i="6"/>
  <c r="J597" i="6" s="1"/>
  <c r="E860" i="7"/>
  <c r="H860" i="7"/>
  <c r="H188" i="6"/>
  <c r="J188" i="6" s="1"/>
  <c r="F308" i="7"/>
  <c r="D860" i="7"/>
  <c r="I639" i="7"/>
  <c r="J639" i="7" s="1"/>
  <c r="L639" i="7" s="1"/>
  <c r="B585" i="8"/>
  <c r="C585" i="8" s="1"/>
  <c r="H530" i="7"/>
  <c r="E530" i="7"/>
  <c r="G530" i="7" s="1"/>
  <c r="O364" i="8"/>
  <c r="K364" i="8"/>
  <c r="M364" i="8" s="1"/>
  <c r="I142" i="6"/>
  <c r="N309" i="7"/>
  <c r="B364" i="7"/>
  <c r="C364" i="7" s="1"/>
  <c r="E364" i="7"/>
  <c r="G144" i="12"/>
  <c r="J199" i="12"/>
  <c r="K199" i="12" s="1"/>
  <c r="K313" i="6"/>
  <c r="L313" i="6" s="1"/>
  <c r="H1067" i="6"/>
  <c r="I1067" i="6" s="1"/>
  <c r="N475" i="7"/>
  <c r="O639" i="8"/>
  <c r="L639" i="8"/>
  <c r="N639" i="8" s="1"/>
  <c r="H516" i="6"/>
  <c r="J516" i="6" s="1"/>
  <c r="J744" i="6"/>
  <c r="M312" i="6"/>
  <c r="F253" i="8"/>
  <c r="L749" i="8"/>
  <c r="N748" i="7"/>
  <c r="K266" i="6"/>
  <c r="L266" i="6" s="1"/>
  <c r="L528" i="8"/>
  <c r="I860" i="7"/>
  <c r="J860" i="7" s="1"/>
  <c r="L860" i="7"/>
  <c r="M358" i="6"/>
  <c r="K359" i="6" s="1"/>
  <c r="L359" i="6" s="1"/>
  <c r="D913" i="8"/>
  <c r="F913" i="8" s="1"/>
  <c r="H913" i="8"/>
  <c r="G253" i="12"/>
  <c r="M405" i="6"/>
  <c r="F418" i="7"/>
  <c r="AU210" i="11" l="1"/>
  <c r="AY210" i="11" s="1"/>
  <c r="BD210" i="11" s="1"/>
  <c r="AV210" i="11"/>
  <c r="AR210" i="11"/>
  <c r="AT210" i="11"/>
  <c r="AS210" i="11"/>
  <c r="AX210" i="11" s="1"/>
  <c r="AQ210" i="11"/>
  <c r="AW210" i="11" s="1"/>
  <c r="AZ210" i="11" s="1"/>
  <c r="T331" i="11"/>
  <c r="Y331" i="11" s="1"/>
  <c r="H210" i="11"/>
  <c r="I210" i="11" s="1"/>
  <c r="K210" i="11" s="1"/>
  <c r="Q210" i="11" s="1"/>
  <c r="I516" i="6"/>
  <c r="H517" i="6" s="1"/>
  <c r="I517" i="6" s="1"/>
  <c r="N364" i="7"/>
  <c r="I365" i="7" s="1"/>
  <c r="J365" i="7" s="1"/>
  <c r="L365" i="7" s="1"/>
  <c r="N210" i="11"/>
  <c r="N584" i="7"/>
  <c r="I585" i="7" s="1"/>
  <c r="F749" i="8"/>
  <c r="M145" i="8"/>
  <c r="E585" i="8"/>
  <c r="H585" i="8"/>
  <c r="J1090" i="7"/>
  <c r="I1090" i="7"/>
  <c r="F1090" i="7"/>
  <c r="E1090" i="7"/>
  <c r="G1090" i="7" s="1"/>
  <c r="K1090" i="7"/>
  <c r="V258" i="11"/>
  <c r="AG258" i="11" s="1"/>
  <c r="N528" i="8"/>
  <c r="I529" i="8" s="1"/>
  <c r="G200" i="7"/>
  <c r="B201" i="7" s="1"/>
  <c r="B977" i="7"/>
  <c r="C977" i="7" s="1"/>
  <c r="D977" i="7" s="1"/>
  <c r="M146" i="12"/>
  <c r="M145" i="7"/>
  <c r="G1146" i="7"/>
  <c r="C1147" i="7" s="1"/>
  <c r="D1147" i="7" s="1"/>
  <c r="E1147" i="7" s="1"/>
  <c r="G1147" i="7" s="1"/>
  <c r="G914" i="7"/>
  <c r="W258" i="11"/>
  <c r="G860" i="7"/>
  <c r="N749" i="8"/>
  <c r="I750" i="8" s="1"/>
  <c r="M695" i="7"/>
  <c r="J696" i="7" s="1"/>
  <c r="O696" i="7" s="1"/>
  <c r="M639" i="8"/>
  <c r="J640" i="8" s="1"/>
  <c r="J1400" i="6"/>
  <c r="H1401" i="6" s="1"/>
  <c r="I795" i="6"/>
  <c r="H796" i="6" s="1"/>
  <c r="J200" i="7"/>
  <c r="O200" i="7" s="1"/>
  <c r="E694" i="8"/>
  <c r="D694" i="8"/>
  <c r="H694" i="8"/>
  <c r="O859" i="8"/>
  <c r="L859" i="8"/>
  <c r="K859" i="8"/>
  <c r="M859" i="8" s="1"/>
  <c r="D584" i="7"/>
  <c r="E584" i="7"/>
  <c r="G584" i="7" s="1"/>
  <c r="H584" i="7"/>
  <c r="M1026" i="8"/>
  <c r="G970" i="8"/>
  <c r="O915" i="8"/>
  <c r="K915" i="8"/>
  <c r="L915" i="8"/>
  <c r="N915" i="8" s="1"/>
  <c r="O255" i="8"/>
  <c r="K255" i="8"/>
  <c r="I476" i="7"/>
  <c r="J476" i="7" s="1"/>
  <c r="O476" i="7" s="1"/>
  <c r="L452" i="6"/>
  <c r="O860" i="7"/>
  <c r="K860" i="7"/>
  <c r="M860" i="7" s="1"/>
  <c r="I885" i="6"/>
  <c r="J146" i="7"/>
  <c r="O146" i="7" s="1"/>
  <c r="B1034" i="7"/>
  <c r="C1034" i="7"/>
  <c r="D1034" i="7" s="1"/>
  <c r="D641" i="7"/>
  <c r="F641" i="7" s="1"/>
  <c r="H641" i="7"/>
  <c r="BQ210" i="11"/>
  <c r="D585" i="8"/>
  <c r="I529" i="7"/>
  <c r="J529" i="7" s="1"/>
  <c r="M266" i="6"/>
  <c r="I597" i="6"/>
  <c r="I1486" i="6"/>
  <c r="I1110" i="6"/>
  <c r="E199" i="12"/>
  <c r="H199" i="12"/>
  <c r="I146" i="7"/>
  <c r="AT260" i="11"/>
  <c r="AV260" i="11"/>
  <c r="G473" i="8"/>
  <c r="AS260" i="11"/>
  <c r="AX260" i="11" s="1"/>
  <c r="B640" i="8"/>
  <c r="C640" i="8" s="1"/>
  <c r="E640" i="8"/>
  <c r="B914" i="8"/>
  <c r="C914" i="8" s="1"/>
  <c r="H914" i="8" s="1"/>
  <c r="J977" i="6"/>
  <c r="H978" i="6" s="1"/>
  <c r="I978" i="6" s="1"/>
  <c r="H310" i="8"/>
  <c r="D310" i="8"/>
  <c r="F310" i="8" s="1"/>
  <c r="L969" i="8"/>
  <c r="O969" i="8"/>
  <c r="N1079" i="8"/>
  <c r="B805" i="8"/>
  <c r="C805" i="8" s="1"/>
  <c r="N146" i="12"/>
  <c r="H1025" i="8"/>
  <c r="E1025" i="8"/>
  <c r="F1147" i="7"/>
  <c r="I1147" i="7"/>
  <c r="J1147" i="7"/>
  <c r="I188" i="6"/>
  <c r="L255" i="8"/>
  <c r="C144" i="8"/>
  <c r="AZ260" i="11"/>
  <c r="D333" i="11"/>
  <c r="E333" i="11" s="1"/>
  <c r="I333" i="11" s="1"/>
  <c r="H1158" i="6"/>
  <c r="I1158" i="6" s="1"/>
  <c r="B531" i="7"/>
  <c r="O585" i="8"/>
  <c r="L585" i="8"/>
  <c r="N585" i="8" s="1"/>
  <c r="L333" i="11"/>
  <c r="M333" i="11" s="1"/>
  <c r="Q333" i="11" s="1"/>
  <c r="E1244" i="6"/>
  <c r="G1244" i="6" s="1"/>
  <c r="C805" i="7"/>
  <c r="B145" i="12"/>
  <c r="C145" i="12" s="1"/>
  <c r="L1026" i="8"/>
  <c r="N1026" i="8" s="1"/>
  <c r="O1026" i="8"/>
  <c r="O255" i="7"/>
  <c r="K255" i="7"/>
  <c r="M255" i="7" s="1"/>
  <c r="I806" i="8"/>
  <c r="K406" i="6"/>
  <c r="L406" i="6" s="1"/>
  <c r="M28" i="9"/>
  <c r="P28" i="9" s="1"/>
  <c r="N28" i="9"/>
  <c r="Q28" i="9" s="1"/>
  <c r="M584" i="7"/>
  <c r="I805" i="7"/>
  <c r="O639" i="7"/>
  <c r="K639" i="7"/>
  <c r="M639" i="7" s="1"/>
  <c r="F860" i="7"/>
  <c r="K969" i="8"/>
  <c r="M969" i="8" s="1"/>
  <c r="J1067" i="6"/>
  <c r="B1081" i="8"/>
  <c r="C1081" i="8" s="1"/>
  <c r="E1081" i="8" s="1"/>
  <c r="L32" i="10"/>
  <c r="M749" i="8"/>
  <c r="O694" i="8"/>
  <c r="K694" i="8"/>
  <c r="M694" i="8" s="1"/>
  <c r="I696" i="7"/>
  <c r="D1025" i="8"/>
  <c r="M804" i="7"/>
  <c r="F530" i="7"/>
  <c r="B915" i="7"/>
  <c r="E1473" i="6"/>
  <c r="G1473" i="6" s="1"/>
  <c r="J652" i="6"/>
  <c r="H653" i="6" s="1"/>
  <c r="I653" i="6" s="1"/>
  <c r="O199" i="12"/>
  <c r="L199" i="12"/>
  <c r="N199" i="12" s="1"/>
  <c r="D475" i="7"/>
  <c r="F475" i="7" s="1"/>
  <c r="H475" i="7"/>
  <c r="I749" i="7"/>
  <c r="J749" i="7" s="1"/>
  <c r="L749" i="7" s="1"/>
  <c r="H366" i="8"/>
  <c r="D366" i="8"/>
  <c r="H844" i="6"/>
  <c r="I844" i="6" s="1"/>
  <c r="B421" i="8"/>
  <c r="J1354" i="6"/>
  <c r="H1355" i="6" s="1"/>
  <c r="I1355" i="6" s="1"/>
  <c r="B750" i="8"/>
  <c r="C750" i="8" s="1"/>
  <c r="E366" i="8"/>
  <c r="D199" i="12"/>
  <c r="I420" i="8"/>
  <c r="F420" i="8"/>
  <c r="I933" i="6"/>
  <c r="K308" i="12"/>
  <c r="O308" i="12"/>
  <c r="G529" i="8"/>
  <c r="C254" i="8"/>
  <c r="D254" i="8" s="1"/>
  <c r="G749" i="7"/>
  <c r="L308" i="12"/>
  <c r="F914" i="7"/>
  <c r="M805" i="8"/>
  <c r="B254" i="12"/>
  <c r="C254" i="12" s="1"/>
  <c r="M313" i="6"/>
  <c r="O28" i="9"/>
  <c r="J745" i="6"/>
  <c r="H364" i="7"/>
  <c r="D364" i="7"/>
  <c r="F364" i="7" s="1"/>
  <c r="C309" i="7"/>
  <c r="D309" i="7" s="1"/>
  <c r="H861" i="8"/>
  <c r="E861" i="8"/>
  <c r="G861" i="8" s="1"/>
  <c r="O419" i="7"/>
  <c r="L419" i="7"/>
  <c r="N419" i="7" s="1"/>
  <c r="M419" i="8"/>
  <c r="J475" i="8"/>
  <c r="K475" i="8" s="1"/>
  <c r="BS210" i="11"/>
  <c r="H970" i="8"/>
  <c r="D970" i="8"/>
  <c r="F970" i="8" s="1"/>
  <c r="M528" i="8"/>
  <c r="N145" i="8"/>
  <c r="I365" i="8"/>
  <c r="J365" i="8" s="1"/>
  <c r="E255" i="7"/>
  <c r="G255" i="7" s="1"/>
  <c r="H255" i="7"/>
  <c r="B861" i="7"/>
  <c r="K310" i="8"/>
  <c r="M310" i="8" s="1"/>
  <c r="O310" i="8"/>
  <c r="N254" i="12"/>
  <c r="G309" i="12"/>
  <c r="L546" i="6"/>
  <c r="J1303" i="6"/>
  <c r="E1287" i="6"/>
  <c r="G1287" i="6" s="1"/>
  <c r="H694" i="6"/>
  <c r="J694" i="6" s="1"/>
  <c r="B200" i="8"/>
  <c r="C200" i="8" s="1"/>
  <c r="E200" i="8"/>
  <c r="C419" i="7"/>
  <c r="N255" i="7"/>
  <c r="I1026" i="6"/>
  <c r="I310" i="7"/>
  <c r="J310" i="7" s="1"/>
  <c r="L310" i="7" s="1"/>
  <c r="H2921" i="6"/>
  <c r="J2921" i="6" s="1"/>
  <c r="E144" i="7"/>
  <c r="G144" i="7" s="1"/>
  <c r="H144" i="7"/>
  <c r="C696" i="7"/>
  <c r="F200" i="7"/>
  <c r="BR210" i="11"/>
  <c r="M359" i="6"/>
  <c r="K360" i="6" s="1"/>
  <c r="L360" i="6" s="1"/>
  <c r="I640" i="8"/>
  <c r="H143" i="6"/>
  <c r="J143" i="6" s="1"/>
  <c r="J144" i="6" s="1"/>
  <c r="J145" i="6" s="1"/>
  <c r="J146" i="6" s="1"/>
  <c r="J147" i="6" s="1"/>
  <c r="J148" i="6" s="1"/>
  <c r="J149" i="6" s="1"/>
  <c r="J150" i="6" s="1"/>
  <c r="J151" i="6" s="1"/>
  <c r="J152" i="6" s="1"/>
  <c r="J153" i="6" s="1"/>
  <c r="J154" i="6" s="1"/>
  <c r="J155" i="6" s="1"/>
  <c r="J156" i="6" s="1"/>
  <c r="J157" i="6" s="1"/>
  <c r="J158" i="6" s="1"/>
  <c r="J159" i="6" s="1"/>
  <c r="J160" i="6" s="1"/>
  <c r="J161" i="6" s="1"/>
  <c r="J162" i="6" s="1"/>
  <c r="J163" i="6" s="1"/>
  <c r="D144" i="7"/>
  <c r="K915" i="7"/>
  <c r="M915" i="7" s="1"/>
  <c r="O915" i="7"/>
  <c r="I234" i="6"/>
  <c r="B1201" i="7"/>
  <c r="C1201" i="7"/>
  <c r="D1201" i="7" s="1"/>
  <c r="C47" i="10"/>
  <c r="E47" i="10"/>
  <c r="D47" i="10"/>
  <c r="N200" i="8"/>
  <c r="U332" i="11" l="1"/>
  <c r="W331" i="11"/>
  <c r="X331" i="11"/>
  <c r="V331" i="11"/>
  <c r="S332" i="11" s="1"/>
  <c r="T332" i="11" s="1"/>
  <c r="Y332" i="11" s="1"/>
  <c r="H1147" i="7"/>
  <c r="B1148" i="7" s="1"/>
  <c r="O210" i="11"/>
  <c r="S210" i="11" s="1"/>
  <c r="K200" i="7"/>
  <c r="H1090" i="7"/>
  <c r="L210" i="11"/>
  <c r="N860" i="7"/>
  <c r="I861" i="7" s="1"/>
  <c r="J861" i="7" s="1"/>
  <c r="N639" i="7"/>
  <c r="I640" i="7" s="1"/>
  <c r="J640" i="7" s="1"/>
  <c r="L640" i="7" s="1"/>
  <c r="F1287" i="6"/>
  <c r="BM210" i="11"/>
  <c r="T210" i="11"/>
  <c r="M210" i="11"/>
  <c r="R210" i="11" s="1"/>
  <c r="U210" i="11" s="1"/>
  <c r="BA210" i="11"/>
  <c r="BC210" i="11"/>
  <c r="BB210" i="11" s="1"/>
  <c r="F366" i="8"/>
  <c r="F585" i="8"/>
  <c r="P210" i="11"/>
  <c r="I1401" i="6"/>
  <c r="J1401" i="6"/>
  <c r="K640" i="8"/>
  <c r="M640" i="8" s="1"/>
  <c r="O640" i="8"/>
  <c r="B1091" i="7"/>
  <c r="C1091" i="7"/>
  <c r="D1091" i="7" s="1"/>
  <c r="E977" i="7"/>
  <c r="F977" i="7"/>
  <c r="K977" i="7" s="1"/>
  <c r="J977" i="7"/>
  <c r="I977" i="7"/>
  <c r="I796" i="6"/>
  <c r="J796" i="6"/>
  <c r="M199" i="12"/>
  <c r="N255" i="8"/>
  <c r="I256" i="8" s="1"/>
  <c r="G641" i="7"/>
  <c r="B642" i="7" s="1"/>
  <c r="C642" i="7" s="1"/>
  <c r="E642" i="7" s="1"/>
  <c r="G199" i="12"/>
  <c r="N310" i="8"/>
  <c r="I311" i="8" s="1"/>
  <c r="J311" i="8" s="1"/>
  <c r="N694" i="8"/>
  <c r="M419" i="7"/>
  <c r="J420" i="7" s="1"/>
  <c r="L420" i="7" s="1"/>
  <c r="F1473" i="6"/>
  <c r="E1474" i="6" s="1"/>
  <c r="G364" i="7"/>
  <c r="B365" i="7" s="1"/>
  <c r="C365" i="7" s="1"/>
  <c r="E365" i="7" s="1"/>
  <c r="K1147" i="7"/>
  <c r="F255" i="7"/>
  <c r="C256" i="7" s="1"/>
  <c r="E256" i="7" s="1"/>
  <c r="G1025" i="8"/>
  <c r="B1026" i="8" s="1"/>
  <c r="M308" i="12"/>
  <c r="J517" i="6"/>
  <c r="F861" i="8"/>
  <c r="O365" i="7"/>
  <c r="L200" i="7"/>
  <c r="F694" i="8"/>
  <c r="K365" i="8"/>
  <c r="L365" i="8"/>
  <c r="N365" i="8" s="1"/>
  <c r="O365" i="8"/>
  <c r="H1402" i="6"/>
  <c r="I1402" i="6" s="1"/>
  <c r="H979" i="6"/>
  <c r="I979" i="6" s="1"/>
  <c r="E750" i="8"/>
  <c r="D750" i="8"/>
  <c r="F750" i="8" s="1"/>
  <c r="H750" i="8"/>
  <c r="N365" i="7"/>
  <c r="M32" i="10"/>
  <c r="I32" i="10" s="1"/>
  <c r="D914" i="8"/>
  <c r="J585" i="7"/>
  <c r="K585" i="7" s="1"/>
  <c r="I147" i="12"/>
  <c r="J147" i="12" s="1"/>
  <c r="J844" i="6"/>
  <c r="H845" i="6" s="1"/>
  <c r="I845" i="6" s="1"/>
  <c r="K365" i="7"/>
  <c r="M365" i="7" s="1"/>
  <c r="K476" i="7"/>
  <c r="I695" i="8"/>
  <c r="J695" i="8" s="1"/>
  <c r="H145" i="12"/>
  <c r="D145" i="12"/>
  <c r="E914" i="8"/>
  <c r="C421" i="8"/>
  <c r="D421" i="8" s="1"/>
  <c r="E145" i="12"/>
  <c r="G145" i="12" s="1"/>
  <c r="J420" i="8"/>
  <c r="K420" i="8" s="1"/>
  <c r="K696" i="7"/>
  <c r="J1068" i="6"/>
  <c r="I1080" i="8"/>
  <c r="J1080" i="8" s="1"/>
  <c r="L1080" i="8"/>
  <c r="I916" i="8"/>
  <c r="C915" i="7"/>
  <c r="B474" i="8"/>
  <c r="C474" i="8" s="1"/>
  <c r="E474" i="8" s="1"/>
  <c r="H598" i="6"/>
  <c r="J598" i="6" s="1"/>
  <c r="L640" i="8"/>
  <c r="E309" i="7"/>
  <c r="G309" i="7" s="1"/>
  <c r="H309" i="7"/>
  <c r="G366" i="8"/>
  <c r="H886" i="6"/>
  <c r="J886" i="6" s="1"/>
  <c r="L476" i="7"/>
  <c r="G694" i="8"/>
  <c r="F1034" i="7"/>
  <c r="J1034" i="7"/>
  <c r="E1034" i="7"/>
  <c r="K1034" i="7" s="1"/>
  <c r="I1034" i="7"/>
  <c r="M255" i="8"/>
  <c r="H189" i="6"/>
  <c r="J189" i="6" s="1"/>
  <c r="E696" i="7"/>
  <c r="H696" i="7"/>
  <c r="BT210" i="11"/>
  <c r="BU210" i="11" s="1"/>
  <c r="O475" i="8"/>
  <c r="L475" i="8"/>
  <c r="N475" i="8" s="1"/>
  <c r="H934" i="6"/>
  <c r="J934" i="6" s="1"/>
  <c r="N859" i="8"/>
  <c r="H805" i="8"/>
  <c r="D805" i="8"/>
  <c r="B971" i="8"/>
  <c r="C971" i="8" s="1"/>
  <c r="H235" i="6"/>
  <c r="J235" i="6" s="1"/>
  <c r="M406" i="6"/>
  <c r="K407" i="6" s="1"/>
  <c r="L407" i="6" s="1"/>
  <c r="J1158" i="6"/>
  <c r="J1027" i="8"/>
  <c r="K1027" i="8" s="1"/>
  <c r="B310" i="12"/>
  <c r="C310" i="12" s="1"/>
  <c r="D1081" i="8"/>
  <c r="F1081" i="8" s="1"/>
  <c r="H1081" i="8"/>
  <c r="AC258" i="11"/>
  <c r="AB258" i="11"/>
  <c r="AA258" i="11"/>
  <c r="AE258" i="11"/>
  <c r="AD258" i="11"/>
  <c r="Z258" i="11"/>
  <c r="Y258" i="11"/>
  <c r="I420" i="7"/>
  <c r="B585" i="7"/>
  <c r="F144" i="7"/>
  <c r="J1486" i="6"/>
  <c r="M915" i="8"/>
  <c r="F199" i="12"/>
  <c r="C861" i="7"/>
  <c r="N969" i="8"/>
  <c r="I143" i="6"/>
  <c r="I144" i="6" s="1"/>
  <c r="I145" i="6" s="1"/>
  <c r="I146" i="6" s="1"/>
  <c r="I147" i="6" s="1"/>
  <c r="I148" i="6" s="1"/>
  <c r="I149" i="6" s="1"/>
  <c r="I150" i="6" s="1"/>
  <c r="I151" i="6" s="1"/>
  <c r="I152" i="6" s="1"/>
  <c r="I153" i="6" s="1"/>
  <c r="I154" i="6" s="1"/>
  <c r="I155" i="6" s="1"/>
  <c r="I156" i="6" s="1"/>
  <c r="I157" i="6" s="1"/>
  <c r="I158" i="6" s="1"/>
  <c r="I159" i="6" s="1"/>
  <c r="I160" i="6" s="1"/>
  <c r="I161" i="6" s="1"/>
  <c r="I162" i="6" s="1"/>
  <c r="I163" i="6" s="1"/>
  <c r="H164" i="6" s="1"/>
  <c r="K121" i="6" s="1"/>
  <c r="N915" i="7"/>
  <c r="F1025" i="8"/>
  <c r="I146" i="8"/>
  <c r="J146" i="8" s="1"/>
  <c r="B750" i="7"/>
  <c r="C750" i="7" s="1"/>
  <c r="E750" i="7" s="1"/>
  <c r="L696" i="7"/>
  <c r="J978" i="6"/>
  <c r="G585" i="8"/>
  <c r="C201" i="7"/>
  <c r="D201" i="7" s="1"/>
  <c r="J750" i="8"/>
  <c r="K750" i="8" s="1"/>
  <c r="B530" i="8"/>
  <c r="C530" i="8" s="1"/>
  <c r="E530" i="8"/>
  <c r="I586" i="8"/>
  <c r="J32" i="10"/>
  <c r="D696" i="7"/>
  <c r="F1201" i="7"/>
  <c r="E1201" i="7"/>
  <c r="J1201" i="7"/>
  <c r="I1201" i="7"/>
  <c r="K1201" i="7"/>
  <c r="H1201" i="7"/>
  <c r="B1202" i="7" s="1"/>
  <c r="E419" i="7"/>
  <c r="H419" i="7"/>
  <c r="S28" i="9"/>
  <c r="R28" i="9"/>
  <c r="E805" i="8"/>
  <c r="G805" i="8" s="1"/>
  <c r="H254" i="12"/>
  <c r="D254" i="12"/>
  <c r="F254" i="12" s="1"/>
  <c r="B145" i="7"/>
  <c r="E254" i="12"/>
  <c r="I255" i="12"/>
  <c r="J255" i="12" s="1"/>
  <c r="L255" i="12"/>
  <c r="I2921" i="6"/>
  <c r="I200" i="12"/>
  <c r="K310" i="7"/>
  <c r="M310" i="7" s="1"/>
  <c r="O310" i="7"/>
  <c r="F1244" i="6"/>
  <c r="E1245" i="6" s="1"/>
  <c r="H1202" i="6" s="1"/>
  <c r="K146" i="7"/>
  <c r="M360" i="6"/>
  <c r="H518" i="6"/>
  <c r="J518" i="6" s="1"/>
  <c r="J529" i="8"/>
  <c r="G310" i="8"/>
  <c r="J653" i="6"/>
  <c r="E144" i="8"/>
  <c r="H144" i="8"/>
  <c r="L146" i="7"/>
  <c r="G475" i="7"/>
  <c r="K314" i="6"/>
  <c r="L314" i="6" s="1"/>
  <c r="M546" i="6"/>
  <c r="O333" i="11"/>
  <c r="N333" i="11"/>
  <c r="K334" i="11" s="1"/>
  <c r="L334" i="11" s="1"/>
  <c r="P333" i="11"/>
  <c r="K529" i="7"/>
  <c r="O529" i="7"/>
  <c r="B200" i="12"/>
  <c r="M585" i="8"/>
  <c r="I256" i="7"/>
  <c r="J256" i="7" s="1"/>
  <c r="M452" i="6"/>
  <c r="F47" i="10"/>
  <c r="I201" i="8"/>
  <c r="J201" i="8" s="1"/>
  <c r="L201" i="8" s="1"/>
  <c r="J1110" i="6"/>
  <c r="K749" i="7"/>
  <c r="M749" i="7" s="1"/>
  <c r="O749" i="7"/>
  <c r="D419" i="7"/>
  <c r="D640" i="8"/>
  <c r="F640" i="8" s="1"/>
  <c r="H640" i="8"/>
  <c r="H333" i="11"/>
  <c r="G333" i="11"/>
  <c r="F333" i="11"/>
  <c r="C334" i="11" s="1"/>
  <c r="D334" i="11" s="1"/>
  <c r="E334" i="11"/>
  <c r="I334" i="11" s="1"/>
  <c r="D200" i="8"/>
  <c r="F200" i="8" s="1"/>
  <c r="H200" i="8"/>
  <c r="E805" i="7"/>
  <c r="H805" i="7"/>
  <c r="H1068" i="6"/>
  <c r="I1068" i="6" s="1"/>
  <c r="H746" i="6"/>
  <c r="I746" i="6" s="1"/>
  <c r="J806" i="8"/>
  <c r="C531" i="7"/>
  <c r="D805" i="7"/>
  <c r="BA260" i="11"/>
  <c r="BC260" i="11" s="1"/>
  <c r="F584" i="7"/>
  <c r="I694" i="6"/>
  <c r="B862" i="8"/>
  <c r="J805" i="7"/>
  <c r="E1288" i="6"/>
  <c r="F1288" i="6" s="1"/>
  <c r="N308" i="12"/>
  <c r="H1027" i="6"/>
  <c r="J1027" i="6" s="1"/>
  <c r="B256" i="7"/>
  <c r="H254" i="8"/>
  <c r="E254" i="8"/>
  <c r="G254" i="8" s="1"/>
  <c r="J1355" i="6"/>
  <c r="H1356" i="6" s="1"/>
  <c r="I1356" i="6" s="1"/>
  <c r="K267" i="6"/>
  <c r="L267" i="6" s="1"/>
  <c r="I1027" i="8"/>
  <c r="D144" i="8"/>
  <c r="L529" i="7"/>
  <c r="H1304" i="6"/>
  <c r="I1304" i="6" s="1"/>
  <c r="CA210" i="11" l="1"/>
  <c r="CE210" i="11" s="1"/>
  <c r="BZ210" i="11"/>
  <c r="BW210" i="11"/>
  <c r="CC210" i="11" s="1"/>
  <c r="BX210" i="11"/>
  <c r="BY210" i="11"/>
  <c r="CD210" i="11" s="1"/>
  <c r="F1474" i="6"/>
  <c r="G1474" i="6"/>
  <c r="K311" i="8"/>
  <c r="O311" i="8"/>
  <c r="BJ210" i="11"/>
  <c r="BH210" i="11"/>
  <c r="BG210" i="11"/>
  <c r="AJ211" i="11" s="1"/>
  <c r="BK210" i="11"/>
  <c r="BE210" i="11"/>
  <c r="BI210" i="11"/>
  <c r="BF210" i="11"/>
  <c r="F805" i="7"/>
  <c r="U333" i="11"/>
  <c r="V332" i="11"/>
  <c r="S333" i="11" s="1"/>
  <c r="X332" i="11"/>
  <c r="W332" i="11"/>
  <c r="F696" i="7"/>
  <c r="H797" i="6"/>
  <c r="J797" i="6" s="1"/>
  <c r="N200" i="7"/>
  <c r="N640" i="8"/>
  <c r="I641" i="8" s="1"/>
  <c r="J641" i="8" s="1"/>
  <c r="C1148" i="7"/>
  <c r="D1148" i="7" s="1"/>
  <c r="E1148" i="7" s="1"/>
  <c r="H977" i="7"/>
  <c r="B978" i="7" s="1"/>
  <c r="X210" i="11"/>
  <c r="V210" i="11"/>
  <c r="M529" i="7"/>
  <c r="F419" i="7"/>
  <c r="W210" i="11"/>
  <c r="L861" i="7"/>
  <c r="O861" i="7"/>
  <c r="M314" i="6"/>
  <c r="K315" i="6" s="1"/>
  <c r="G640" i="8"/>
  <c r="G977" i="7"/>
  <c r="C862" i="8"/>
  <c r="D862" i="8" s="1"/>
  <c r="N696" i="7"/>
  <c r="I697" i="7" s="1"/>
  <c r="I189" i="6"/>
  <c r="H190" i="6" s="1"/>
  <c r="F914" i="8"/>
  <c r="M200" i="7"/>
  <c r="N749" i="7"/>
  <c r="F1091" i="7"/>
  <c r="E1091" i="7"/>
  <c r="J1091" i="7"/>
  <c r="I1091" i="7"/>
  <c r="G1091" i="7"/>
  <c r="H1091" i="7"/>
  <c r="B1092" i="7" s="1"/>
  <c r="F144" i="8"/>
  <c r="L1027" i="8"/>
  <c r="N1027" i="8" s="1"/>
  <c r="G1201" i="7"/>
  <c r="I934" i="6"/>
  <c r="H935" i="6" s="1"/>
  <c r="J935" i="6" s="1"/>
  <c r="M476" i="7"/>
  <c r="N146" i="7"/>
  <c r="I147" i="7" s="1"/>
  <c r="J200" i="12"/>
  <c r="O200" i="12" s="1"/>
  <c r="H256" i="7"/>
  <c r="G1081" i="8"/>
  <c r="J1402" i="6"/>
  <c r="H1403" i="6" s="1"/>
  <c r="J1403" i="6" s="1"/>
  <c r="J746" i="6"/>
  <c r="F309" i="7"/>
  <c r="C310" i="7" s="1"/>
  <c r="E310" i="7" s="1"/>
  <c r="H980" i="6"/>
  <c r="I980" i="6" s="1"/>
  <c r="M750" i="8"/>
  <c r="E1475" i="6"/>
  <c r="F1475" i="6" s="1"/>
  <c r="K695" i="8"/>
  <c r="O695" i="8"/>
  <c r="L695" i="8"/>
  <c r="N695" i="8" s="1"/>
  <c r="K256" i="7"/>
  <c r="O256" i="7"/>
  <c r="L256" i="7"/>
  <c r="N256" i="7" s="1"/>
  <c r="H334" i="11"/>
  <c r="G334" i="11"/>
  <c r="F334" i="11"/>
  <c r="C335" i="11" s="1"/>
  <c r="D335" i="11" s="1"/>
  <c r="D971" i="8"/>
  <c r="E971" i="8"/>
  <c r="G971" i="8" s="1"/>
  <c r="H971" i="8"/>
  <c r="H862" i="8"/>
  <c r="N476" i="7"/>
  <c r="J1148" i="7"/>
  <c r="I1148" i="7"/>
  <c r="J916" i="8"/>
  <c r="K268" i="6"/>
  <c r="L268" i="6" s="1"/>
  <c r="H915" i="7"/>
  <c r="E915" i="7"/>
  <c r="M365" i="8"/>
  <c r="B476" i="7"/>
  <c r="C476" i="7" s="1"/>
  <c r="G750" i="8"/>
  <c r="D256" i="7"/>
  <c r="F256" i="7" s="1"/>
  <c r="D259" i="11"/>
  <c r="F259" i="11"/>
  <c r="H1034" i="7"/>
  <c r="G1288" i="6"/>
  <c r="L805" i="7"/>
  <c r="O805" i="7"/>
  <c r="G144" i="8"/>
  <c r="G28" i="9"/>
  <c r="F28" i="9"/>
  <c r="E28" i="9"/>
  <c r="AF258" i="11"/>
  <c r="J259" i="11" s="1"/>
  <c r="C259" i="11"/>
  <c r="B1082" i="8"/>
  <c r="C1082" i="8" s="1"/>
  <c r="E531" i="7"/>
  <c r="H531" i="7"/>
  <c r="D365" i="7"/>
  <c r="F365" i="7" s="1"/>
  <c r="J1159" i="6"/>
  <c r="O529" i="8"/>
  <c r="L529" i="8"/>
  <c r="I366" i="8"/>
  <c r="J1356" i="6"/>
  <c r="K529" i="8"/>
  <c r="H1487" i="6"/>
  <c r="I1487" i="6" s="1"/>
  <c r="D915" i="7"/>
  <c r="G200" i="8"/>
  <c r="O146" i="8"/>
  <c r="K146" i="8"/>
  <c r="M146" i="8" s="1"/>
  <c r="CF210" i="11"/>
  <c r="B641" i="8"/>
  <c r="C641" i="8" s="1"/>
  <c r="H654" i="6"/>
  <c r="I654" i="6" s="1"/>
  <c r="I309" i="12"/>
  <c r="J309" i="12" s="1"/>
  <c r="L309" i="12"/>
  <c r="D530" i="8"/>
  <c r="F530" i="8" s="1"/>
  <c r="H530" i="8"/>
  <c r="I235" i="6"/>
  <c r="B146" i="12"/>
  <c r="H365" i="7"/>
  <c r="I518" i="6"/>
  <c r="O420" i="7"/>
  <c r="C1026" i="8"/>
  <c r="N32" i="10"/>
  <c r="H32" i="10" s="1"/>
  <c r="K32" i="10" s="1"/>
  <c r="K255" i="12"/>
  <c r="M255" i="12" s="1"/>
  <c r="O255" i="12"/>
  <c r="H747" i="6"/>
  <c r="I747" i="6" s="1"/>
  <c r="H1069" i="6"/>
  <c r="J1069" i="6" s="1"/>
  <c r="CB210" i="11"/>
  <c r="O1027" i="8"/>
  <c r="G1034" i="7"/>
  <c r="K361" i="6"/>
  <c r="L361" i="6" s="1"/>
  <c r="L123" i="6"/>
  <c r="I1204" i="6"/>
  <c r="C200" i="12"/>
  <c r="O147" i="12"/>
  <c r="K147" i="12"/>
  <c r="D474" i="8"/>
  <c r="F474" i="8" s="1"/>
  <c r="H474" i="8"/>
  <c r="L806" i="8"/>
  <c r="O806" i="8"/>
  <c r="H2922" i="6"/>
  <c r="J2922" i="6" s="1"/>
  <c r="I201" i="7"/>
  <c r="J201" i="7" s="1"/>
  <c r="B255" i="8"/>
  <c r="K806" i="8"/>
  <c r="B806" i="8"/>
  <c r="K201" i="8"/>
  <c r="M201" i="8" s="1"/>
  <c r="O201" i="8"/>
  <c r="L146" i="8"/>
  <c r="H642" i="7"/>
  <c r="C145" i="7"/>
  <c r="D145" i="7" s="1"/>
  <c r="I916" i="7"/>
  <c r="J916" i="7" s="1"/>
  <c r="L916" i="7" s="1"/>
  <c r="F805" i="8"/>
  <c r="E421" i="8"/>
  <c r="G421" i="8" s="1"/>
  <c r="H421" i="8"/>
  <c r="F254" i="8"/>
  <c r="H1159" i="6"/>
  <c r="I1159" i="6" s="1"/>
  <c r="J1304" i="6"/>
  <c r="H310" i="12"/>
  <c r="D310" i="12"/>
  <c r="F310" i="12" s="1"/>
  <c r="L311" i="8"/>
  <c r="N311" i="8" s="1"/>
  <c r="K861" i="7"/>
  <c r="G805" i="7"/>
  <c r="M334" i="11"/>
  <c r="Q334" i="11" s="1"/>
  <c r="E861" i="7"/>
  <c r="H861" i="7"/>
  <c r="E310" i="12"/>
  <c r="I860" i="8"/>
  <c r="J860" i="8" s="1"/>
  <c r="L860" i="8"/>
  <c r="G696" i="7"/>
  <c r="F145" i="12"/>
  <c r="BB260" i="11"/>
  <c r="BM260" i="11"/>
  <c r="L420" i="8"/>
  <c r="N420" i="8" s="1"/>
  <c r="O420" i="8"/>
  <c r="J845" i="6"/>
  <c r="CG210" i="11"/>
  <c r="CH210" i="11" s="1"/>
  <c r="D642" i="7"/>
  <c r="F642" i="7" s="1"/>
  <c r="B311" i="8"/>
  <c r="C311" i="8" s="1"/>
  <c r="K640" i="7"/>
  <c r="M640" i="7" s="1"/>
  <c r="I476" i="8"/>
  <c r="J256" i="8"/>
  <c r="K256" i="8" s="1"/>
  <c r="I598" i="6"/>
  <c r="K420" i="7"/>
  <c r="M420" i="7" s="1"/>
  <c r="M475" i="8"/>
  <c r="J586" i="8"/>
  <c r="K586" i="8" s="1"/>
  <c r="I886" i="6"/>
  <c r="L147" i="12"/>
  <c r="L585" i="7"/>
  <c r="N585" i="7" s="1"/>
  <c r="O585" i="7"/>
  <c r="D531" i="7"/>
  <c r="H750" i="7"/>
  <c r="D750" i="7"/>
  <c r="F750" i="7" s="1"/>
  <c r="M407" i="6"/>
  <c r="K408" i="6" s="1"/>
  <c r="L408" i="6" s="1"/>
  <c r="I366" i="7"/>
  <c r="J366" i="7" s="1"/>
  <c r="O366" i="7" s="1"/>
  <c r="B367" i="8"/>
  <c r="C367" i="8" s="1"/>
  <c r="B310" i="7"/>
  <c r="M267" i="6"/>
  <c r="L750" i="8"/>
  <c r="N750" i="8" s="1"/>
  <c r="O750" i="8"/>
  <c r="K1080" i="8"/>
  <c r="M1080" i="8" s="1"/>
  <c r="O1080" i="8"/>
  <c r="H1111" i="6"/>
  <c r="I1111" i="6" s="1"/>
  <c r="K805" i="7"/>
  <c r="M146" i="7"/>
  <c r="I750" i="7"/>
  <c r="H201" i="7"/>
  <c r="E201" i="7"/>
  <c r="G201" i="7" s="1"/>
  <c r="E48" i="10"/>
  <c r="C48" i="10"/>
  <c r="D48" i="10"/>
  <c r="O640" i="7"/>
  <c r="G419" i="7"/>
  <c r="I970" i="8"/>
  <c r="J970" i="8" s="1"/>
  <c r="L970" i="8" s="1"/>
  <c r="G914" i="8"/>
  <c r="H695" i="6"/>
  <c r="J695" i="6" s="1"/>
  <c r="G254" i="12"/>
  <c r="B586" i="8"/>
  <c r="C586" i="8" s="1"/>
  <c r="E586" i="8"/>
  <c r="N529" i="7"/>
  <c r="I1027" i="6"/>
  <c r="C585" i="7"/>
  <c r="J750" i="7"/>
  <c r="L750" i="7" s="1"/>
  <c r="K453" i="6"/>
  <c r="L453" i="6" s="1"/>
  <c r="J979" i="6"/>
  <c r="D861" i="7"/>
  <c r="F861" i="7" s="1"/>
  <c r="B695" i="8"/>
  <c r="C695" i="8" s="1"/>
  <c r="E695" i="8" s="1"/>
  <c r="M696" i="7"/>
  <c r="K547" i="6"/>
  <c r="L547" i="6" s="1"/>
  <c r="N310" i="7"/>
  <c r="G750" i="7" l="1"/>
  <c r="F201" i="7"/>
  <c r="G256" i="7"/>
  <c r="N255" i="12"/>
  <c r="I797" i="6"/>
  <c r="H798" i="6" s="1"/>
  <c r="J798" i="6" s="1"/>
  <c r="BL210" i="11"/>
  <c r="AI211" i="11"/>
  <c r="N201" i="8"/>
  <c r="AG210" i="11"/>
  <c r="N806" i="8"/>
  <c r="J747" i="6"/>
  <c r="H748" i="6" s="1"/>
  <c r="F1148" i="7"/>
  <c r="K1148" i="7" s="1"/>
  <c r="T333" i="11"/>
  <c r="Y333" i="11" s="1"/>
  <c r="M861" i="7"/>
  <c r="L200" i="12"/>
  <c r="I190" i="6"/>
  <c r="I191" i="6" s="1"/>
  <c r="I192" i="6" s="1"/>
  <c r="I193" i="6" s="1"/>
  <c r="I194" i="6" s="1"/>
  <c r="I195" i="6" s="1"/>
  <c r="I196" i="6" s="1"/>
  <c r="I197" i="6" s="1"/>
  <c r="I198" i="6" s="1"/>
  <c r="I199" i="6" s="1"/>
  <c r="I200" i="6" s="1"/>
  <c r="I201" i="6" s="1"/>
  <c r="I202" i="6" s="1"/>
  <c r="I203" i="6" s="1"/>
  <c r="I204" i="6" s="1"/>
  <c r="I205" i="6" s="1"/>
  <c r="I206" i="6" s="1"/>
  <c r="I207" i="6" s="1"/>
  <c r="I208" i="6" s="1"/>
  <c r="I209" i="6" s="1"/>
  <c r="I210" i="6" s="1"/>
  <c r="J190" i="6"/>
  <c r="J191" i="6" s="1"/>
  <c r="J192" i="6" s="1"/>
  <c r="J193" i="6" s="1"/>
  <c r="J194" i="6" s="1"/>
  <c r="J195" i="6" s="1"/>
  <c r="J196" i="6" s="1"/>
  <c r="J197" i="6" s="1"/>
  <c r="J198" i="6" s="1"/>
  <c r="J199" i="6" s="1"/>
  <c r="J200" i="6" s="1"/>
  <c r="J201" i="6" s="1"/>
  <c r="J202" i="6" s="1"/>
  <c r="J203" i="6" s="1"/>
  <c r="J204" i="6" s="1"/>
  <c r="J205" i="6" s="1"/>
  <c r="J206" i="6" s="1"/>
  <c r="J207" i="6" s="1"/>
  <c r="J208" i="6" s="1"/>
  <c r="J209" i="6" s="1"/>
  <c r="J210" i="6" s="1"/>
  <c r="L315" i="6"/>
  <c r="M315" i="6"/>
  <c r="M805" i="7"/>
  <c r="G642" i="7"/>
  <c r="B643" i="7" s="1"/>
  <c r="C643" i="7" s="1"/>
  <c r="D643" i="7" s="1"/>
  <c r="K1091" i="7"/>
  <c r="J654" i="6"/>
  <c r="H655" i="6" s="1"/>
  <c r="I655" i="6" s="1"/>
  <c r="G259" i="11"/>
  <c r="C1202" i="7"/>
  <c r="D1202" i="7" s="1"/>
  <c r="M453" i="6"/>
  <c r="G531" i="7"/>
  <c r="B532" i="7" s="1"/>
  <c r="E335" i="11"/>
  <c r="I335" i="11" s="1"/>
  <c r="G530" i="8"/>
  <c r="B531" i="8" s="1"/>
  <c r="C531" i="8" s="1"/>
  <c r="N861" i="7"/>
  <c r="I862" i="7" s="1"/>
  <c r="M1027" i="8"/>
  <c r="N640" i="7"/>
  <c r="I641" i="7" s="1"/>
  <c r="J641" i="7" s="1"/>
  <c r="N147" i="12"/>
  <c r="N529" i="8"/>
  <c r="I530" i="8" s="1"/>
  <c r="E862" i="8"/>
  <c r="G862" i="8" s="1"/>
  <c r="B863" i="8" s="1"/>
  <c r="K200" i="12"/>
  <c r="N200" i="12" s="1"/>
  <c r="I201" i="12" s="1"/>
  <c r="C978" i="7"/>
  <c r="D978" i="7" s="1"/>
  <c r="M311" i="8"/>
  <c r="G915" i="7"/>
  <c r="B916" i="7" s="1"/>
  <c r="C1092" i="7"/>
  <c r="D1092" i="7" s="1"/>
  <c r="K316" i="6"/>
  <c r="L316" i="6" s="1"/>
  <c r="F335" i="11"/>
  <c r="C336" i="11" s="1"/>
  <c r="H335" i="11"/>
  <c r="G335" i="11"/>
  <c r="O641" i="8"/>
  <c r="K641" i="8"/>
  <c r="L641" i="8"/>
  <c r="N641" i="8" s="1"/>
  <c r="E641" i="8"/>
  <c r="H641" i="8"/>
  <c r="D641" i="8"/>
  <c r="F641" i="8" s="1"/>
  <c r="D1082" i="8"/>
  <c r="E1082" i="8"/>
  <c r="G1082" i="8" s="1"/>
  <c r="H1082" i="8"/>
  <c r="I148" i="12"/>
  <c r="C255" i="8"/>
  <c r="H1026" i="8"/>
  <c r="E1026" i="8"/>
  <c r="B806" i="7"/>
  <c r="C806" i="7" s="1"/>
  <c r="E806" i="7"/>
  <c r="CJ210" i="11"/>
  <c r="I257" i="7"/>
  <c r="M147" i="12"/>
  <c r="H476" i="7"/>
  <c r="D476" i="7"/>
  <c r="I1403" i="6"/>
  <c r="I312" i="8"/>
  <c r="CI210" i="11"/>
  <c r="F48" i="10"/>
  <c r="C806" i="8"/>
  <c r="I1028" i="8"/>
  <c r="I530" i="7"/>
  <c r="J530" i="7" s="1"/>
  <c r="L530" i="7"/>
  <c r="N146" i="8"/>
  <c r="B255" i="12"/>
  <c r="C255" i="12" s="1"/>
  <c r="E255" i="12"/>
  <c r="C146" i="12"/>
  <c r="I477" i="7"/>
  <c r="J477" i="7" s="1"/>
  <c r="B697" i="7"/>
  <c r="C697" i="7" s="1"/>
  <c r="E697" i="7" s="1"/>
  <c r="O201" i="7"/>
  <c r="K201" i="7"/>
  <c r="K750" i="7"/>
  <c r="M750" i="7" s="1"/>
  <c r="B420" i="7"/>
  <c r="C420" i="7" s="1"/>
  <c r="H887" i="6"/>
  <c r="J887" i="6" s="1"/>
  <c r="D310" i="7"/>
  <c r="F310" i="7" s="1"/>
  <c r="H585" i="7"/>
  <c r="E585" i="7"/>
  <c r="D367" i="8"/>
  <c r="H367" i="8"/>
  <c r="L586" i="8"/>
  <c r="N586" i="8" s="1"/>
  <c r="O586" i="8"/>
  <c r="H846" i="6"/>
  <c r="I846" i="6" s="1"/>
  <c r="I311" i="7"/>
  <c r="J311" i="7" s="1"/>
  <c r="L311" i="7" s="1"/>
  <c r="I2922" i="6"/>
  <c r="H519" i="6"/>
  <c r="J519" i="6" s="1"/>
  <c r="J520" i="6" s="1"/>
  <c r="J521" i="6" s="1"/>
  <c r="J522" i="6" s="1"/>
  <c r="J523" i="6" s="1"/>
  <c r="J524" i="6" s="1"/>
  <c r="J525" i="6" s="1"/>
  <c r="J526" i="6" s="1"/>
  <c r="J527" i="6" s="1"/>
  <c r="J528" i="6" s="1"/>
  <c r="J529" i="6" s="1"/>
  <c r="J530" i="6" s="1"/>
  <c r="J531" i="6" s="1"/>
  <c r="J532" i="6" s="1"/>
  <c r="J533" i="6" s="1"/>
  <c r="J534" i="6" s="1"/>
  <c r="J535" i="6" s="1"/>
  <c r="J536" i="6" s="1"/>
  <c r="J537" i="6" s="1"/>
  <c r="J538" i="6" s="1"/>
  <c r="J539" i="6" s="1"/>
  <c r="J366" i="8"/>
  <c r="K366" i="7"/>
  <c r="B751" i="7"/>
  <c r="C751" i="7" s="1"/>
  <c r="H751" i="7" s="1"/>
  <c r="M408" i="6"/>
  <c r="K409" i="6" s="1"/>
  <c r="L409" i="6" s="1"/>
  <c r="O750" i="7"/>
  <c r="H28" i="9"/>
  <c r="I28" i="9" s="1"/>
  <c r="L29" i="9"/>
  <c r="O29" i="9" s="1"/>
  <c r="P334" i="11"/>
  <c r="N334" i="11"/>
  <c r="K335" i="11" s="1"/>
  <c r="O334" i="11"/>
  <c r="D1026" i="8"/>
  <c r="M361" i="6"/>
  <c r="B422" i="8"/>
  <c r="E476" i="7"/>
  <c r="G1289" i="6"/>
  <c r="M256" i="7"/>
  <c r="BJ260" i="11"/>
  <c r="BI260" i="11"/>
  <c r="BH260" i="11"/>
  <c r="BG260" i="11"/>
  <c r="BF260" i="11"/>
  <c r="BE260" i="11"/>
  <c r="BK260" i="11"/>
  <c r="B1035" i="7"/>
  <c r="C1035" i="7"/>
  <c r="D1035" i="7" s="1"/>
  <c r="G1475" i="6"/>
  <c r="I202" i="8"/>
  <c r="J202" i="8" s="1"/>
  <c r="L202" i="8" s="1"/>
  <c r="I807" i="8"/>
  <c r="I1069" i="6"/>
  <c r="M200" i="12"/>
  <c r="B202" i="7"/>
  <c r="C202" i="7" s="1"/>
  <c r="J1204" i="6"/>
  <c r="I935" i="6"/>
  <c r="M420" i="8"/>
  <c r="H586" i="8"/>
  <c r="D586" i="8"/>
  <c r="F586" i="8" s="1"/>
  <c r="H695" i="8"/>
  <c r="D695" i="8"/>
  <c r="F695" i="8" s="1"/>
  <c r="H310" i="7"/>
  <c r="F915" i="7"/>
  <c r="I696" i="8"/>
  <c r="I751" i="8"/>
  <c r="J751" i="8" s="1"/>
  <c r="I256" i="12"/>
  <c r="J256" i="12" s="1"/>
  <c r="K256" i="12" s="1"/>
  <c r="J1487" i="6"/>
  <c r="H1488" i="6" s="1"/>
  <c r="I1488" i="6" s="1"/>
  <c r="M268" i="6"/>
  <c r="K269" i="6" s="1"/>
  <c r="L269" i="6" s="1"/>
  <c r="H1160" i="6"/>
  <c r="J1160" i="6" s="1"/>
  <c r="J980" i="6"/>
  <c r="H981" i="6" s="1"/>
  <c r="I981" i="6" s="1"/>
  <c r="H311" i="8"/>
  <c r="D311" i="8"/>
  <c r="H1305" i="6"/>
  <c r="I1305" i="6" s="1"/>
  <c r="M529" i="8"/>
  <c r="O916" i="8"/>
  <c r="L916" i="8"/>
  <c r="N420" i="7"/>
  <c r="B915" i="8"/>
  <c r="C915" i="8" s="1"/>
  <c r="E915" i="8" s="1"/>
  <c r="E311" i="8"/>
  <c r="G474" i="8"/>
  <c r="H200" i="12"/>
  <c r="E200" i="12"/>
  <c r="L33" i="10"/>
  <c r="J33" i="10" s="1"/>
  <c r="K916" i="8"/>
  <c r="M585" i="7"/>
  <c r="E1289" i="6"/>
  <c r="F1289" i="6" s="1"/>
  <c r="H1357" i="6"/>
  <c r="I1357" i="6" s="1"/>
  <c r="I421" i="8"/>
  <c r="D585" i="7"/>
  <c r="F585" i="7" s="1"/>
  <c r="E367" i="8"/>
  <c r="G367" i="8" s="1"/>
  <c r="H1028" i="6"/>
  <c r="J1028" i="6" s="1"/>
  <c r="J476" i="8"/>
  <c r="K476" i="8" s="1"/>
  <c r="K916" i="7"/>
  <c r="M916" i="7" s="1"/>
  <c r="O916" i="7"/>
  <c r="J697" i="7"/>
  <c r="K697" i="7" s="1"/>
  <c r="L366" i="7"/>
  <c r="H599" i="6"/>
  <c r="J599" i="6" s="1"/>
  <c r="B201" i="8"/>
  <c r="C201" i="8" s="1"/>
  <c r="O256" i="8"/>
  <c r="L256" i="8"/>
  <c r="N256" i="8" s="1"/>
  <c r="M123" i="6"/>
  <c r="K124" i="6" s="1"/>
  <c r="L124" i="6" s="1"/>
  <c r="B257" i="7"/>
  <c r="C257" i="7" s="1"/>
  <c r="H145" i="7"/>
  <c r="E145" i="7"/>
  <c r="G145" i="7" s="1"/>
  <c r="H236" i="6"/>
  <c r="J236" i="6" s="1"/>
  <c r="F421" i="8"/>
  <c r="F531" i="7"/>
  <c r="B751" i="8"/>
  <c r="C751" i="8" s="1"/>
  <c r="E751" i="8" s="1"/>
  <c r="B972" i="8"/>
  <c r="M695" i="8"/>
  <c r="I695" i="6"/>
  <c r="O860" i="8"/>
  <c r="K860" i="8"/>
  <c r="M860" i="8" s="1"/>
  <c r="M806" i="8"/>
  <c r="F971" i="8"/>
  <c r="I586" i="7"/>
  <c r="G310" i="12"/>
  <c r="O309" i="12"/>
  <c r="K309" i="12"/>
  <c r="M309" i="12" s="1"/>
  <c r="E259" i="11"/>
  <c r="B145" i="8"/>
  <c r="C145" i="8" s="1"/>
  <c r="E145" i="8" s="1"/>
  <c r="G365" i="7"/>
  <c r="K970" i="8"/>
  <c r="M970" i="8" s="1"/>
  <c r="O970" i="8"/>
  <c r="J147" i="7"/>
  <c r="K147" i="7" s="1"/>
  <c r="M547" i="6"/>
  <c r="K548" i="6" s="1"/>
  <c r="L548" i="6" s="1"/>
  <c r="G861" i="7"/>
  <c r="L201" i="7"/>
  <c r="J1111" i="6"/>
  <c r="H1112" i="6" s="1"/>
  <c r="I1112" i="6" s="1"/>
  <c r="D200" i="12"/>
  <c r="N1080" i="8"/>
  <c r="N805" i="7"/>
  <c r="U334" i="11" l="1"/>
  <c r="V333" i="11"/>
  <c r="S334" i="11" s="1"/>
  <c r="X333" i="11"/>
  <c r="W333" i="11"/>
  <c r="I748" i="6"/>
  <c r="J748" i="6"/>
  <c r="N860" i="8"/>
  <c r="I861" i="8" s="1"/>
  <c r="J861" i="8" s="1"/>
  <c r="J312" i="8"/>
  <c r="O312" i="8" s="1"/>
  <c r="AP211" i="11"/>
  <c r="AM211" i="11"/>
  <c r="AL211" i="11"/>
  <c r="J862" i="7"/>
  <c r="O862" i="7" s="1"/>
  <c r="M366" i="7"/>
  <c r="M454" i="6"/>
  <c r="K455" i="6" s="1"/>
  <c r="N750" i="7"/>
  <c r="I751" i="7" s="1"/>
  <c r="J751" i="7" s="1"/>
  <c r="G1148" i="7"/>
  <c r="Z210" i="11"/>
  <c r="AC210" i="11"/>
  <c r="AB210" i="11"/>
  <c r="AA210" i="11"/>
  <c r="D211" i="11" s="1"/>
  <c r="Y210" i="11"/>
  <c r="AE210" i="11"/>
  <c r="AD210" i="11"/>
  <c r="K454" i="6"/>
  <c r="L454" i="6" s="1"/>
  <c r="F476" i="7"/>
  <c r="M316" i="6"/>
  <c r="H1148" i="7"/>
  <c r="H211" i="6"/>
  <c r="K168" i="6" s="1"/>
  <c r="L170" i="6" s="1"/>
  <c r="M170" i="6" s="1"/>
  <c r="AK211" i="11"/>
  <c r="I1202" i="7"/>
  <c r="F1202" i="7"/>
  <c r="K1202" i="7" s="1"/>
  <c r="E1202" i="7"/>
  <c r="J1202" i="7"/>
  <c r="L641" i="7"/>
  <c r="O641" i="7"/>
  <c r="F978" i="7"/>
  <c r="J978" i="7"/>
  <c r="I978" i="7"/>
  <c r="E978" i="7"/>
  <c r="G978" i="7"/>
  <c r="K978" i="7"/>
  <c r="N201" i="7"/>
  <c r="I202" i="7" s="1"/>
  <c r="M916" i="8"/>
  <c r="F145" i="7"/>
  <c r="F1026" i="8"/>
  <c r="L335" i="11"/>
  <c r="F862" i="8"/>
  <c r="D336" i="11"/>
  <c r="E336" i="11" s="1"/>
  <c r="I336" i="11" s="1"/>
  <c r="J655" i="6"/>
  <c r="J1028" i="8"/>
  <c r="G695" i="8"/>
  <c r="G200" i="12"/>
  <c r="B201" i="12" s="1"/>
  <c r="N309" i="12"/>
  <c r="I310" i="12" s="1"/>
  <c r="J310" i="12" s="1"/>
  <c r="F311" i="8"/>
  <c r="CS210" i="11"/>
  <c r="CN210" i="11" s="1"/>
  <c r="F1092" i="7"/>
  <c r="E1092" i="7"/>
  <c r="J1092" i="7"/>
  <c r="I1092" i="7"/>
  <c r="D202" i="7"/>
  <c r="H202" i="7"/>
  <c r="E202" i="7"/>
  <c r="G202" i="7" s="1"/>
  <c r="E1035" i="7"/>
  <c r="F1035" i="7"/>
  <c r="G1035" i="7" s="1"/>
  <c r="H1035" i="7"/>
  <c r="I1035" i="7"/>
  <c r="K1035" i="7"/>
  <c r="J1035" i="7"/>
  <c r="L751" i="8"/>
  <c r="K751" i="8"/>
  <c r="M751" i="8" s="1"/>
  <c r="O751" i="8"/>
  <c r="H656" i="6"/>
  <c r="I656" i="6" s="1"/>
  <c r="D531" i="8"/>
  <c r="E531" i="8"/>
  <c r="H531" i="8"/>
  <c r="H257" i="7"/>
  <c r="E257" i="7"/>
  <c r="D257" i="7"/>
  <c r="F257" i="7" s="1"/>
  <c r="K317" i="6"/>
  <c r="L317" i="6" s="1"/>
  <c r="B311" i="12"/>
  <c r="C311" i="12" s="1"/>
  <c r="E311" i="12"/>
  <c r="B368" i="8"/>
  <c r="H749" i="6"/>
  <c r="I749" i="6" s="1"/>
  <c r="M33" i="10"/>
  <c r="I33" i="10" s="1"/>
  <c r="O477" i="7"/>
  <c r="K477" i="7"/>
  <c r="C972" i="8"/>
  <c r="D972" i="8" s="1"/>
  <c r="H146" i="12"/>
  <c r="E146" i="12"/>
  <c r="G586" i="8"/>
  <c r="C532" i="7"/>
  <c r="J981" i="6"/>
  <c r="H982" i="6" s="1"/>
  <c r="I982" i="6" s="1"/>
  <c r="N916" i="7"/>
  <c r="E1290" i="6"/>
  <c r="F1290" i="6" s="1"/>
  <c r="O256" i="12"/>
  <c r="E751" i="7"/>
  <c r="B366" i="7"/>
  <c r="C366" i="7" s="1"/>
  <c r="E643" i="7"/>
  <c r="G643" i="7" s="1"/>
  <c r="I1160" i="6"/>
  <c r="H643" i="7"/>
  <c r="H806" i="8"/>
  <c r="E806" i="8"/>
  <c r="D201" i="8"/>
  <c r="H201" i="8"/>
  <c r="O366" i="8"/>
  <c r="L366" i="8"/>
  <c r="M201" i="7"/>
  <c r="D806" i="8"/>
  <c r="F806" i="8" s="1"/>
  <c r="J846" i="6"/>
  <c r="G1026" i="8"/>
  <c r="M641" i="8"/>
  <c r="I806" i="7"/>
  <c r="J806" i="7" s="1"/>
  <c r="L806" i="7" s="1"/>
  <c r="E201" i="8"/>
  <c r="J1357" i="6"/>
  <c r="H1358" i="6" s="1"/>
  <c r="I1358" i="6" s="1"/>
  <c r="I421" i="7"/>
  <c r="J421" i="7" s="1"/>
  <c r="L421" i="7"/>
  <c r="K641" i="7"/>
  <c r="C916" i="7"/>
  <c r="H1070" i="6"/>
  <c r="J1070" i="6" s="1"/>
  <c r="K366" i="8"/>
  <c r="O202" i="8"/>
  <c r="D49" i="10"/>
  <c r="E49" i="10"/>
  <c r="C49" i="10"/>
  <c r="L862" i="7"/>
  <c r="AJ261" i="11"/>
  <c r="I147" i="8"/>
  <c r="J147" i="8" s="1"/>
  <c r="L477" i="7"/>
  <c r="N477" i="7" s="1"/>
  <c r="D146" i="12"/>
  <c r="F1082" i="8"/>
  <c r="J807" i="8"/>
  <c r="H936" i="6"/>
  <c r="J936" i="6" s="1"/>
  <c r="J257" i="7"/>
  <c r="D751" i="7"/>
  <c r="I257" i="8"/>
  <c r="G311" i="8"/>
  <c r="H1205" i="6"/>
  <c r="I1205" i="6" s="1"/>
  <c r="H420" i="7"/>
  <c r="D420" i="7"/>
  <c r="E420" i="7"/>
  <c r="G641" i="8"/>
  <c r="H806" i="7"/>
  <c r="D806" i="7"/>
  <c r="F806" i="7" s="1"/>
  <c r="N916" i="8"/>
  <c r="G585" i="7"/>
  <c r="N970" i="8"/>
  <c r="H255" i="8"/>
  <c r="E255" i="8"/>
  <c r="G310" i="7"/>
  <c r="H751" i="8"/>
  <c r="D751" i="8"/>
  <c r="F751" i="8" s="1"/>
  <c r="K311" i="7"/>
  <c r="M311" i="7" s="1"/>
  <c r="O311" i="7"/>
  <c r="H1404" i="6"/>
  <c r="J1404" i="6" s="1"/>
  <c r="K202" i="8"/>
  <c r="M202" i="8" s="1"/>
  <c r="L256" i="12"/>
  <c r="N256" i="12" s="1"/>
  <c r="K530" i="7"/>
  <c r="M530" i="7" s="1"/>
  <c r="O530" i="7"/>
  <c r="B1083" i="8"/>
  <c r="M548" i="6"/>
  <c r="K549" i="6" s="1"/>
  <c r="L549" i="6" s="1"/>
  <c r="J421" i="8"/>
  <c r="K421" i="8" s="1"/>
  <c r="M29" i="9"/>
  <c r="P29" i="9" s="1"/>
  <c r="N29" i="9"/>
  <c r="Q29" i="9" s="1"/>
  <c r="I887" i="6"/>
  <c r="H915" i="8"/>
  <c r="D915" i="8"/>
  <c r="F915" i="8" s="1"/>
  <c r="I587" i="8"/>
  <c r="M256" i="8"/>
  <c r="H145" i="8"/>
  <c r="D145" i="8"/>
  <c r="F145" i="8" s="1"/>
  <c r="C422" i="8"/>
  <c r="D422" i="8" s="1"/>
  <c r="J201" i="12"/>
  <c r="F200" i="12"/>
  <c r="J696" i="8"/>
  <c r="K696" i="8" s="1"/>
  <c r="I236" i="6"/>
  <c r="I599" i="6"/>
  <c r="J1305" i="6"/>
  <c r="H1306" i="6" s="1"/>
  <c r="I1306" i="6" s="1"/>
  <c r="BL260" i="11"/>
  <c r="AP261" i="11" s="1"/>
  <c r="AI261" i="11"/>
  <c r="I519" i="6"/>
  <c r="I520" i="6" s="1"/>
  <c r="I521" i="6" s="1"/>
  <c r="I522" i="6" s="1"/>
  <c r="I523" i="6" s="1"/>
  <c r="I524" i="6" s="1"/>
  <c r="I525" i="6" s="1"/>
  <c r="I526" i="6" s="1"/>
  <c r="I527" i="6" s="1"/>
  <c r="I528" i="6" s="1"/>
  <c r="I529" i="6" s="1"/>
  <c r="I530" i="6" s="1"/>
  <c r="I531" i="6" s="1"/>
  <c r="I532" i="6" s="1"/>
  <c r="I533" i="6" s="1"/>
  <c r="I534" i="6" s="1"/>
  <c r="I535" i="6" s="1"/>
  <c r="I536" i="6" s="1"/>
  <c r="I537" i="6" s="1"/>
  <c r="I538" i="6" s="1"/>
  <c r="I539" i="6" s="1"/>
  <c r="H540" i="6" s="1"/>
  <c r="K497" i="6" s="1"/>
  <c r="K362" i="6"/>
  <c r="L362" i="6" s="1"/>
  <c r="D255" i="8"/>
  <c r="O697" i="7"/>
  <c r="L697" i="7"/>
  <c r="N697" i="7" s="1"/>
  <c r="B862" i="7"/>
  <c r="C862" i="7" s="1"/>
  <c r="E862" i="7" s="1"/>
  <c r="J1488" i="6"/>
  <c r="H1489" i="6" s="1"/>
  <c r="I1489" i="6" s="1"/>
  <c r="M335" i="11"/>
  <c r="Q335" i="11" s="1"/>
  <c r="E1476" i="6"/>
  <c r="F1476" i="6" s="1"/>
  <c r="O147" i="7"/>
  <c r="L147" i="7"/>
  <c r="N147" i="7" s="1"/>
  <c r="B475" i="8"/>
  <c r="C475" i="8" s="1"/>
  <c r="E475" i="8"/>
  <c r="J148" i="12"/>
  <c r="M124" i="6"/>
  <c r="K125" i="6" s="1"/>
  <c r="L125" i="6" s="1"/>
  <c r="L476" i="8"/>
  <c r="N476" i="8" s="1"/>
  <c r="O476" i="8"/>
  <c r="H255" i="12"/>
  <c r="D255" i="12"/>
  <c r="F255" i="12" s="1"/>
  <c r="H696" i="6"/>
  <c r="J696" i="6" s="1"/>
  <c r="J586" i="7"/>
  <c r="G476" i="7"/>
  <c r="F367" i="8"/>
  <c r="B696" i="8"/>
  <c r="C696" i="8" s="1"/>
  <c r="I642" i="8"/>
  <c r="I798" i="6"/>
  <c r="I1028" i="6"/>
  <c r="I1081" i="8"/>
  <c r="J1081" i="8" s="1"/>
  <c r="H259" i="11"/>
  <c r="I259" i="11" s="1"/>
  <c r="M269" i="6"/>
  <c r="K270" i="6" s="1"/>
  <c r="L270" i="6" s="1"/>
  <c r="J1112" i="6"/>
  <c r="B146" i="7"/>
  <c r="C146" i="7" s="1"/>
  <c r="N366" i="7"/>
  <c r="J530" i="8"/>
  <c r="M409" i="6"/>
  <c r="K410" i="6" s="1"/>
  <c r="L410" i="6" s="1"/>
  <c r="H2923" i="6"/>
  <c r="J2923" i="6" s="1"/>
  <c r="C863" i="8"/>
  <c r="D863" i="8" s="1"/>
  <c r="H697" i="7"/>
  <c r="D697" i="7"/>
  <c r="F697" i="7" s="1"/>
  <c r="M586" i="8"/>
  <c r="AS211" i="11" l="1"/>
  <c r="AX211" i="11" s="1"/>
  <c r="L455" i="6"/>
  <c r="M455" i="6"/>
  <c r="D1149" i="7"/>
  <c r="J1149" i="7" s="1"/>
  <c r="G1290" i="6"/>
  <c r="E1291" i="6" s="1"/>
  <c r="G1291" i="6" s="1"/>
  <c r="C211" i="11"/>
  <c r="AF210" i="11"/>
  <c r="J656" i="6"/>
  <c r="H657" i="6" s="1"/>
  <c r="J657" i="6" s="1"/>
  <c r="K312" i="8"/>
  <c r="M312" i="8" s="1"/>
  <c r="M317" i="6"/>
  <c r="K318" i="6" s="1"/>
  <c r="L318" i="6" s="1"/>
  <c r="K862" i="7"/>
  <c r="M862" i="7" s="1"/>
  <c r="F211" i="11"/>
  <c r="T334" i="11"/>
  <c r="Y334" i="11" s="1"/>
  <c r="AN211" i="11"/>
  <c r="AO211" i="11"/>
  <c r="AQ211" i="11"/>
  <c r="AW211" i="11" s="1"/>
  <c r="B1149" i="7"/>
  <c r="C1149" i="7"/>
  <c r="L312" i="8"/>
  <c r="H1202" i="7"/>
  <c r="F146" i="12"/>
  <c r="G751" i="7"/>
  <c r="B752" i="7" s="1"/>
  <c r="E211" i="11"/>
  <c r="G1202" i="7"/>
  <c r="L861" i="8"/>
  <c r="O861" i="8"/>
  <c r="L310" i="12"/>
  <c r="O310" i="12"/>
  <c r="L259" i="11"/>
  <c r="K259" i="11"/>
  <c r="Q259" i="11" s="1"/>
  <c r="V259" i="11" s="1"/>
  <c r="G1092" i="7"/>
  <c r="H1092" i="7"/>
  <c r="K1092" i="7"/>
  <c r="G915" i="8"/>
  <c r="CQ210" i="11"/>
  <c r="CM210" i="11"/>
  <c r="BP211" i="11" s="1"/>
  <c r="M476" i="8"/>
  <c r="M366" i="8"/>
  <c r="CO210" i="11"/>
  <c r="M697" i="7"/>
  <c r="F420" i="7"/>
  <c r="CK210" i="11"/>
  <c r="K1028" i="8"/>
  <c r="O1028" i="8"/>
  <c r="J749" i="6"/>
  <c r="CL210" i="11"/>
  <c r="CP210" i="11"/>
  <c r="L1028" i="8"/>
  <c r="I936" i="6"/>
  <c r="H937" i="6" s="1"/>
  <c r="J937" i="6" s="1"/>
  <c r="R29" i="9"/>
  <c r="E29" i="9" s="1"/>
  <c r="H978" i="7"/>
  <c r="F201" i="8"/>
  <c r="G255" i="8"/>
  <c r="B256" i="8" s="1"/>
  <c r="M641" i="7"/>
  <c r="N33" i="10"/>
  <c r="H33" i="10" s="1"/>
  <c r="K33" i="10" s="1"/>
  <c r="G531" i="8"/>
  <c r="B532" i="8" s="1"/>
  <c r="G751" i="8"/>
  <c r="H750" i="6"/>
  <c r="I750" i="6" s="1"/>
  <c r="K126" i="6"/>
  <c r="L126" i="6" s="1"/>
  <c r="K751" i="7"/>
  <c r="O751" i="7"/>
  <c r="L751" i="7"/>
  <c r="K456" i="6"/>
  <c r="L456" i="6" s="1"/>
  <c r="G862" i="7"/>
  <c r="E696" i="8"/>
  <c r="H696" i="8"/>
  <c r="D696" i="8"/>
  <c r="F696" i="8" s="1"/>
  <c r="E146" i="7"/>
  <c r="D146" i="7"/>
  <c r="F146" i="7" s="1"/>
  <c r="H146" i="7"/>
  <c r="K1081" i="8"/>
  <c r="O1081" i="8"/>
  <c r="H799" i="6"/>
  <c r="J799" i="6" s="1"/>
  <c r="I148" i="7"/>
  <c r="L530" i="8"/>
  <c r="O530" i="8"/>
  <c r="B1027" i="8"/>
  <c r="C1027" i="8" s="1"/>
  <c r="E1027" i="8"/>
  <c r="L807" i="8"/>
  <c r="O807" i="8"/>
  <c r="J202" i="7"/>
  <c r="M256" i="12"/>
  <c r="J587" i="8"/>
  <c r="K587" i="8" s="1"/>
  <c r="C368" i="8"/>
  <c r="D368" i="8" s="1"/>
  <c r="G255" i="12"/>
  <c r="I1070" i="6"/>
  <c r="M270" i="6"/>
  <c r="H532" i="7"/>
  <c r="E532" i="7"/>
  <c r="S29" i="9"/>
  <c r="J257" i="8"/>
  <c r="I1404" i="6"/>
  <c r="M477" i="7"/>
  <c r="H847" i="6"/>
  <c r="I847" i="6" s="1"/>
  <c r="N312" i="8"/>
  <c r="G806" i="8"/>
  <c r="E422" i="8"/>
  <c r="G422" i="8" s="1"/>
  <c r="H422" i="8"/>
  <c r="J642" i="8"/>
  <c r="K642" i="8" s="1"/>
  <c r="G257" i="7"/>
  <c r="K530" i="8"/>
  <c r="I971" i="8"/>
  <c r="J971" i="8" s="1"/>
  <c r="L971" i="8"/>
  <c r="K861" i="8"/>
  <c r="J750" i="6"/>
  <c r="AM261" i="11"/>
  <c r="H600" i="6"/>
  <c r="J600" i="6" s="1"/>
  <c r="I917" i="8"/>
  <c r="J917" i="8" s="1"/>
  <c r="N530" i="7"/>
  <c r="D311" i="12"/>
  <c r="F311" i="12" s="1"/>
  <c r="H311" i="12"/>
  <c r="I477" i="8"/>
  <c r="J477" i="8" s="1"/>
  <c r="K477" i="8" s="1"/>
  <c r="F1149" i="7"/>
  <c r="E1149" i="7"/>
  <c r="G1149" i="7" s="1"/>
  <c r="B312" i="8"/>
  <c r="C312" i="8" s="1"/>
  <c r="E312" i="8"/>
  <c r="E863" i="8"/>
  <c r="G863" i="8" s="1"/>
  <c r="H863" i="8"/>
  <c r="D532" i="7"/>
  <c r="O259" i="11"/>
  <c r="S259" i="11" s="1"/>
  <c r="P259" i="11"/>
  <c r="N259" i="11"/>
  <c r="M259" i="11"/>
  <c r="R259" i="11" s="1"/>
  <c r="U259" i="11" s="1"/>
  <c r="F255" i="8"/>
  <c r="L34" i="10"/>
  <c r="N335" i="11"/>
  <c r="K336" i="11" s="1"/>
  <c r="P335" i="11"/>
  <c r="O335" i="11"/>
  <c r="AK261" i="11"/>
  <c r="N751" i="8"/>
  <c r="J1205" i="6"/>
  <c r="H1206" i="6" s="1"/>
  <c r="I1206" i="6" s="1"/>
  <c r="B916" i="8"/>
  <c r="C916" i="8" s="1"/>
  <c r="E916" i="8" s="1"/>
  <c r="I257" i="12"/>
  <c r="I478" i="7"/>
  <c r="O147" i="8"/>
  <c r="K147" i="8"/>
  <c r="H237" i="6"/>
  <c r="J237" i="6" s="1"/>
  <c r="J238" i="6" s="1"/>
  <c r="J239" i="6" s="1"/>
  <c r="J240" i="6" s="1"/>
  <c r="J241" i="6" s="1"/>
  <c r="J242" i="6" s="1"/>
  <c r="J243" i="6" s="1"/>
  <c r="J244" i="6" s="1"/>
  <c r="J245" i="6" s="1"/>
  <c r="J246" i="6" s="1"/>
  <c r="J247" i="6" s="1"/>
  <c r="J248" i="6" s="1"/>
  <c r="J249" i="6" s="1"/>
  <c r="J250" i="6" s="1"/>
  <c r="J251" i="6" s="1"/>
  <c r="J252" i="6" s="1"/>
  <c r="J253" i="6" s="1"/>
  <c r="J254" i="6" s="1"/>
  <c r="J255" i="6" s="1"/>
  <c r="J256" i="6" s="1"/>
  <c r="J257" i="6" s="1"/>
  <c r="K807" i="8"/>
  <c r="G336" i="11"/>
  <c r="F336" i="11"/>
  <c r="C337" i="11" s="1"/>
  <c r="D337" i="11" s="1"/>
  <c r="H336" i="11"/>
  <c r="L696" i="8"/>
  <c r="N696" i="8" s="1"/>
  <c r="O696" i="8"/>
  <c r="C1083" i="8"/>
  <c r="AL261" i="11"/>
  <c r="B477" i="7"/>
  <c r="C477" i="7" s="1"/>
  <c r="E477" i="7" s="1"/>
  <c r="G697" i="7"/>
  <c r="E916" i="7"/>
  <c r="H916" i="7"/>
  <c r="D916" i="7"/>
  <c r="F916" i="7" s="1"/>
  <c r="T259" i="11"/>
  <c r="W259" i="11"/>
  <c r="X259" i="11"/>
  <c r="M125" i="6"/>
  <c r="K310" i="12"/>
  <c r="C201" i="12"/>
  <c r="N421" i="7"/>
  <c r="B587" i="8"/>
  <c r="C587" i="8" s="1"/>
  <c r="N202" i="8"/>
  <c r="B203" i="7"/>
  <c r="I2923" i="6"/>
  <c r="C752" i="8"/>
  <c r="D752" i="8" s="1"/>
  <c r="B642" i="8"/>
  <c r="C642" i="8" s="1"/>
  <c r="E642" i="8" s="1"/>
  <c r="O257" i="7"/>
  <c r="L257" i="7"/>
  <c r="K171" i="6"/>
  <c r="L171" i="6" s="1"/>
  <c r="O421" i="7"/>
  <c r="K421" i="7"/>
  <c r="M421" i="7" s="1"/>
  <c r="F531" i="8"/>
  <c r="H366" i="7"/>
  <c r="D366" i="7"/>
  <c r="I917" i="7"/>
  <c r="J917" i="7" s="1"/>
  <c r="B752" i="8"/>
  <c r="I367" i="7"/>
  <c r="J367" i="7" s="1"/>
  <c r="L367" i="7" s="1"/>
  <c r="J1489" i="6"/>
  <c r="J1306" i="6"/>
  <c r="H1307" i="6" s="1"/>
  <c r="I1307" i="6" s="1"/>
  <c r="B586" i="7"/>
  <c r="C586" i="7" s="1"/>
  <c r="E586" i="7" s="1"/>
  <c r="B1203" i="7"/>
  <c r="C1203" i="7" s="1"/>
  <c r="D1203" i="7" s="1"/>
  <c r="E972" i="8"/>
  <c r="G972" i="8" s="1"/>
  <c r="H972" i="8"/>
  <c r="B1036" i="7"/>
  <c r="C1036" i="7" s="1"/>
  <c r="D1036" i="7" s="1"/>
  <c r="D862" i="7"/>
  <c r="F862" i="7" s="1"/>
  <c r="H862" i="7"/>
  <c r="L147" i="8"/>
  <c r="N366" i="8"/>
  <c r="J982" i="6"/>
  <c r="I698" i="7"/>
  <c r="L148" i="12"/>
  <c r="O148" i="12"/>
  <c r="O421" i="8"/>
  <c r="L421" i="8"/>
  <c r="N421" i="8" s="1"/>
  <c r="F751" i="7"/>
  <c r="O586" i="7"/>
  <c r="L586" i="7"/>
  <c r="K148" i="12"/>
  <c r="G1476" i="6"/>
  <c r="M410" i="6"/>
  <c r="K411" i="6" s="1"/>
  <c r="L411" i="6" s="1"/>
  <c r="L1081" i="8"/>
  <c r="K586" i="7"/>
  <c r="G806" i="7"/>
  <c r="K257" i="7"/>
  <c r="J1358" i="6"/>
  <c r="H1359" i="6" s="1"/>
  <c r="I1359" i="6" s="1"/>
  <c r="H1161" i="6"/>
  <c r="J1161" i="6" s="1"/>
  <c r="N641" i="7"/>
  <c r="F202" i="7"/>
  <c r="L499" i="6"/>
  <c r="L201" i="12"/>
  <c r="O201" i="12"/>
  <c r="H888" i="6"/>
  <c r="J888" i="6" s="1"/>
  <c r="M362" i="6"/>
  <c r="K363" i="6" s="1"/>
  <c r="L363" i="6" s="1"/>
  <c r="G420" i="7"/>
  <c r="N862" i="7"/>
  <c r="G201" i="8"/>
  <c r="B644" i="7"/>
  <c r="H1113" i="6"/>
  <c r="I1113" i="6" s="1"/>
  <c r="N311" i="7"/>
  <c r="H1029" i="6"/>
  <c r="J1029" i="6" s="1"/>
  <c r="I696" i="6"/>
  <c r="D475" i="8"/>
  <c r="F475" i="8" s="1"/>
  <c r="H475" i="8"/>
  <c r="K201" i="12"/>
  <c r="M549" i="6"/>
  <c r="B311" i="7"/>
  <c r="C311" i="7" s="1"/>
  <c r="F49" i="10"/>
  <c r="O806" i="7"/>
  <c r="K806" i="7"/>
  <c r="M806" i="7" s="1"/>
  <c r="E366" i="7"/>
  <c r="G146" i="12"/>
  <c r="F643" i="7"/>
  <c r="M147" i="7"/>
  <c r="G145" i="8"/>
  <c r="U335" i="11" l="1"/>
  <c r="X334" i="11"/>
  <c r="V334" i="11"/>
  <c r="S335" i="11" s="1"/>
  <c r="W334" i="11"/>
  <c r="M201" i="12"/>
  <c r="G29" i="9"/>
  <c r="M456" i="6"/>
  <c r="K457" i="6" s="1"/>
  <c r="M457" i="6" s="1"/>
  <c r="F29" i="9"/>
  <c r="H29" i="9" s="1"/>
  <c r="I29" i="9" s="1"/>
  <c r="J211" i="11"/>
  <c r="G211" i="11"/>
  <c r="N1081" i="8"/>
  <c r="I1149" i="7"/>
  <c r="BO211" i="11"/>
  <c r="AT211" i="11"/>
  <c r="BA211" i="11" s="1"/>
  <c r="BC211" i="11" s="1"/>
  <c r="AU211" i="11"/>
  <c r="AY211" i="11" s="1"/>
  <c r="BD211" i="11" s="1"/>
  <c r="AV211" i="11"/>
  <c r="AR211" i="11"/>
  <c r="AZ211" i="11" s="1"/>
  <c r="H211" i="11"/>
  <c r="N1028" i="8"/>
  <c r="I1029" i="8" s="1"/>
  <c r="M310" i="12"/>
  <c r="M861" i="8"/>
  <c r="N530" i="8"/>
  <c r="F366" i="7"/>
  <c r="N586" i="7"/>
  <c r="I587" i="7" s="1"/>
  <c r="G532" i="7"/>
  <c r="M1028" i="8"/>
  <c r="L477" i="8"/>
  <c r="M477" i="8" s="1"/>
  <c r="B1093" i="7"/>
  <c r="C1093" i="7" s="1"/>
  <c r="D1093" i="7" s="1"/>
  <c r="CR210" i="11"/>
  <c r="BV211" i="11" s="1"/>
  <c r="M148" i="12"/>
  <c r="M696" i="8"/>
  <c r="N751" i="7"/>
  <c r="B979" i="7"/>
  <c r="C979" i="7"/>
  <c r="D979" i="7" s="1"/>
  <c r="J698" i="7"/>
  <c r="L698" i="7" s="1"/>
  <c r="H1149" i="7"/>
  <c r="B1150" i="7" s="1"/>
  <c r="C1150" i="7" s="1"/>
  <c r="D1150" i="7" s="1"/>
  <c r="I237" i="6"/>
  <c r="I238" i="6" s="1"/>
  <c r="I239" i="6" s="1"/>
  <c r="I240" i="6" s="1"/>
  <c r="I241" i="6" s="1"/>
  <c r="I242" i="6" s="1"/>
  <c r="I243" i="6" s="1"/>
  <c r="I244" i="6" s="1"/>
  <c r="I245" i="6" s="1"/>
  <c r="I246" i="6" s="1"/>
  <c r="I247" i="6" s="1"/>
  <c r="I248" i="6" s="1"/>
  <c r="I249" i="6" s="1"/>
  <c r="I250" i="6" s="1"/>
  <c r="I251" i="6" s="1"/>
  <c r="I252" i="6" s="1"/>
  <c r="I253" i="6" s="1"/>
  <c r="I254" i="6" s="1"/>
  <c r="I255" i="6" s="1"/>
  <c r="I256" i="6" s="1"/>
  <c r="I257" i="6" s="1"/>
  <c r="H258" i="6" s="1"/>
  <c r="K215" i="6" s="1"/>
  <c r="L217" i="6" s="1"/>
  <c r="O477" i="8"/>
  <c r="M147" i="8"/>
  <c r="N257" i="7"/>
  <c r="N807" i="8"/>
  <c r="I808" i="8" s="1"/>
  <c r="M421" i="8"/>
  <c r="H1360" i="6"/>
  <c r="I1360" i="6" s="1"/>
  <c r="J1036" i="7"/>
  <c r="I1036" i="7"/>
  <c r="E1036" i="7"/>
  <c r="F1036" i="7"/>
  <c r="K1036" i="7" s="1"/>
  <c r="H751" i="6"/>
  <c r="I751" i="6" s="1"/>
  <c r="H1308" i="6"/>
  <c r="I1308" i="6" s="1"/>
  <c r="H201" i="12"/>
  <c r="E201" i="12"/>
  <c r="M34" i="10"/>
  <c r="I34" i="10" s="1"/>
  <c r="B423" i="8"/>
  <c r="H587" i="8"/>
  <c r="D587" i="8"/>
  <c r="G311" i="12"/>
  <c r="I531" i="7"/>
  <c r="J531" i="7" s="1"/>
  <c r="J34" i="10"/>
  <c r="I937" i="6"/>
  <c r="H311" i="7"/>
  <c r="D311" i="7"/>
  <c r="I642" i="7"/>
  <c r="J642" i="7" s="1"/>
  <c r="L642" i="7"/>
  <c r="H1083" i="8"/>
  <c r="E1083" i="8"/>
  <c r="BR211" i="11"/>
  <c r="K917" i="8"/>
  <c r="O917" i="8"/>
  <c r="I657" i="6"/>
  <c r="M530" i="8"/>
  <c r="H1071" i="6"/>
  <c r="J1071" i="6" s="1"/>
  <c r="B421" i="7"/>
  <c r="C421" i="7" s="1"/>
  <c r="E421" i="7" s="1"/>
  <c r="I1161" i="6"/>
  <c r="M257" i="7"/>
  <c r="C532" i="8"/>
  <c r="I799" i="6"/>
  <c r="M318" i="6"/>
  <c r="M171" i="6"/>
  <c r="K172" i="6" s="1"/>
  <c r="L172" i="6" s="1"/>
  <c r="J148" i="7"/>
  <c r="K148" i="7" s="1"/>
  <c r="H752" i="8"/>
  <c r="I367" i="8"/>
  <c r="J367" i="8" s="1"/>
  <c r="L367" i="8" s="1"/>
  <c r="E752" i="8"/>
  <c r="G752" i="8" s="1"/>
  <c r="E337" i="11"/>
  <c r="I337" i="11" s="1"/>
  <c r="J478" i="7"/>
  <c r="K478" i="7" s="1"/>
  <c r="M1081" i="8"/>
  <c r="M751" i="7"/>
  <c r="B864" i="8"/>
  <c r="I1203" i="7"/>
  <c r="H1203" i="7"/>
  <c r="B1204" i="7" s="1"/>
  <c r="F1203" i="7"/>
  <c r="E1203" i="7"/>
  <c r="J1203" i="7"/>
  <c r="G1203" i="7"/>
  <c r="C1204" i="7"/>
  <c r="K1203" i="7"/>
  <c r="I203" i="8"/>
  <c r="J203" i="8" s="1"/>
  <c r="L203" i="8" s="1"/>
  <c r="D312" i="8"/>
  <c r="F312" i="8" s="1"/>
  <c r="H312" i="8"/>
  <c r="K971" i="8"/>
  <c r="M971" i="8" s="1"/>
  <c r="O971" i="8"/>
  <c r="E311" i="7"/>
  <c r="D1083" i="8"/>
  <c r="J257" i="12"/>
  <c r="C256" i="8"/>
  <c r="L917" i="8"/>
  <c r="B807" i="8"/>
  <c r="C807" i="8" s="1"/>
  <c r="E807" i="8" s="1"/>
  <c r="I422" i="8"/>
  <c r="D916" i="8"/>
  <c r="F916" i="8" s="1"/>
  <c r="B256" i="12"/>
  <c r="C256" i="12" s="1"/>
  <c r="J1359" i="6"/>
  <c r="K1149" i="7"/>
  <c r="I600" i="6"/>
  <c r="F863" i="8"/>
  <c r="I313" i="8"/>
  <c r="J313" i="8" s="1"/>
  <c r="L313" i="8"/>
  <c r="F1291" i="6"/>
  <c r="E1292" i="6" s="1"/>
  <c r="H1249" i="6" s="1"/>
  <c r="I888" i="6"/>
  <c r="H2924" i="6"/>
  <c r="J2924" i="6" s="1"/>
  <c r="H1027" i="8"/>
  <c r="D1027" i="8"/>
  <c r="F1027" i="8" s="1"/>
  <c r="C644" i="7"/>
  <c r="D644" i="7" s="1"/>
  <c r="I1029" i="6"/>
  <c r="N201" i="12"/>
  <c r="N147" i="8"/>
  <c r="H1405" i="6"/>
  <c r="J1405" i="6" s="1"/>
  <c r="F422" i="8"/>
  <c r="N861" i="8"/>
  <c r="I312" i="7"/>
  <c r="J312" i="7" s="1"/>
  <c r="J1206" i="6"/>
  <c r="H1207" i="6" s="1"/>
  <c r="I1207" i="6" s="1"/>
  <c r="M411" i="6"/>
  <c r="I258" i="7"/>
  <c r="B533" i="7"/>
  <c r="E50" i="10"/>
  <c r="C50" i="10"/>
  <c r="D50" i="10"/>
  <c r="K917" i="7"/>
  <c r="O917" i="7"/>
  <c r="I531" i="8"/>
  <c r="M499" i="6"/>
  <c r="K500" i="6" s="1"/>
  <c r="L500" i="6" s="1"/>
  <c r="L917" i="7"/>
  <c r="N917" i="7" s="1"/>
  <c r="E587" i="8"/>
  <c r="AN261" i="11"/>
  <c r="AO261" i="11" s="1"/>
  <c r="L30" i="9"/>
  <c r="O30" i="9" s="1"/>
  <c r="B202" i="8"/>
  <c r="C202" i="8" s="1"/>
  <c r="E202" i="8"/>
  <c r="H586" i="7"/>
  <c r="D586" i="7"/>
  <c r="F586" i="7" s="1"/>
  <c r="I422" i="7"/>
  <c r="J422" i="7" s="1"/>
  <c r="C752" i="7"/>
  <c r="D752" i="7" s="1"/>
  <c r="AG259" i="11"/>
  <c r="I697" i="8"/>
  <c r="B258" i="7"/>
  <c r="C258" i="7" s="1"/>
  <c r="F972" i="8"/>
  <c r="M363" i="6"/>
  <c r="K364" i="6" s="1"/>
  <c r="L364" i="6" s="1"/>
  <c r="H697" i="6"/>
  <c r="J697" i="6" s="1"/>
  <c r="N148" i="12"/>
  <c r="E368" i="8"/>
  <c r="G368" i="8" s="1"/>
  <c r="H368" i="8"/>
  <c r="B147" i="12"/>
  <c r="C147" i="12" s="1"/>
  <c r="E147" i="12" s="1"/>
  <c r="G475" i="8"/>
  <c r="H916" i="8"/>
  <c r="G916" i="7"/>
  <c r="M807" i="8"/>
  <c r="F532" i="7"/>
  <c r="L257" i="8"/>
  <c r="O257" i="8"/>
  <c r="J847" i="6"/>
  <c r="G696" i="8"/>
  <c r="K550" i="6"/>
  <c r="L550" i="6" s="1"/>
  <c r="H1490" i="6"/>
  <c r="I1490" i="6" s="1"/>
  <c r="I1082" i="8"/>
  <c r="D477" i="7"/>
  <c r="F477" i="7" s="1"/>
  <c r="H477" i="7"/>
  <c r="I752" i="8"/>
  <c r="J752" i="8" s="1"/>
  <c r="L752" i="8"/>
  <c r="B863" i="7"/>
  <c r="C863" i="7" s="1"/>
  <c r="E863" i="7" s="1"/>
  <c r="B973" i="8"/>
  <c r="D201" i="12"/>
  <c r="H642" i="8"/>
  <c r="D642" i="8"/>
  <c r="F642" i="8" s="1"/>
  <c r="E1477" i="6"/>
  <c r="F1477" i="6" s="1"/>
  <c r="C203" i="7"/>
  <c r="O587" i="8"/>
  <c r="L587" i="8"/>
  <c r="N587" i="8" s="1"/>
  <c r="G146" i="7"/>
  <c r="M126" i="6"/>
  <c r="I863" i="7"/>
  <c r="J863" i="7" s="1"/>
  <c r="L863" i="7" s="1"/>
  <c r="J1307" i="6"/>
  <c r="L202" i="7"/>
  <c r="O202" i="7"/>
  <c r="K202" i="7"/>
  <c r="M202" i="7" s="1"/>
  <c r="O367" i="7"/>
  <c r="K367" i="7"/>
  <c r="M367" i="7" s="1"/>
  <c r="L642" i="8"/>
  <c r="N642" i="8" s="1"/>
  <c r="O642" i="8"/>
  <c r="N310" i="12"/>
  <c r="J1113" i="6"/>
  <c r="H1114" i="6" s="1"/>
  <c r="I1114" i="6" s="1"/>
  <c r="N806" i="7"/>
  <c r="I752" i="7"/>
  <c r="B146" i="8"/>
  <c r="C146" i="8" s="1"/>
  <c r="E146" i="8" s="1"/>
  <c r="B807" i="7"/>
  <c r="C807" i="7" s="1"/>
  <c r="G366" i="7"/>
  <c r="M586" i="7"/>
  <c r="B698" i="7"/>
  <c r="C698" i="7" s="1"/>
  <c r="L336" i="11"/>
  <c r="M336" i="11" s="1"/>
  <c r="Q336" i="11" s="1"/>
  <c r="K257" i="8"/>
  <c r="H983" i="6"/>
  <c r="I983" i="6" s="1"/>
  <c r="K271" i="6"/>
  <c r="L271" i="6" s="1"/>
  <c r="BB211" i="11" l="1"/>
  <c r="BM211" i="11"/>
  <c r="D1204" i="7"/>
  <c r="I1204" i="7" s="1"/>
  <c r="G1027" i="8"/>
  <c r="K698" i="7"/>
  <c r="N698" i="7" s="1"/>
  <c r="I699" i="7" s="1"/>
  <c r="G586" i="7"/>
  <c r="B587" i="7" s="1"/>
  <c r="C587" i="7" s="1"/>
  <c r="D587" i="7" s="1"/>
  <c r="T335" i="11"/>
  <c r="Y335" i="11" s="1"/>
  <c r="J1029" i="8"/>
  <c r="O1029" i="8" s="1"/>
  <c r="I211" i="11"/>
  <c r="M211" i="11" s="1"/>
  <c r="R211" i="11" s="1"/>
  <c r="G587" i="8"/>
  <c r="B588" i="8" s="1"/>
  <c r="M917" i="8"/>
  <c r="J1093" i="7"/>
  <c r="I1093" i="7"/>
  <c r="F1093" i="7"/>
  <c r="E1093" i="7"/>
  <c r="G1093" i="7" s="1"/>
  <c r="G1083" i="8"/>
  <c r="B1084" i="8" s="1"/>
  <c r="M271" i="6"/>
  <c r="M272" i="6" s="1"/>
  <c r="N477" i="8"/>
  <c r="I478" i="8" s="1"/>
  <c r="J478" i="8" s="1"/>
  <c r="J983" i="6"/>
  <c r="G1036" i="7"/>
  <c r="M587" i="8"/>
  <c r="N257" i="8"/>
  <c r="I258" i="8" s="1"/>
  <c r="F311" i="7"/>
  <c r="J422" i="8"/>
  <c r="K422" i="8" s="1"/>
  <c r="BS211" i="11"/>
  <c r="I979" i="7"/>
  <c r="E979" i="7"/>
  <c r="F979" i="7"/>
  <c r="J979" i="7"/>
  <c r="K979" i="7"/>
  <c r="J697" i="8"/>
  <c r="O697" i="8" s="1"/>
  <c r="F201" i="12"/>
  <c r="J751" i="6"/>
  <c r="H752" i="6" s="1"/>
  <c r="I752" i="6" s="1"/>
  <c r="BQ211" i="11"/>
  <c r="BT211" i="11" s="1"/>
  <c r="O698" i="7"/>
  <c r="G312" i="8"/>
  <c r="B313" i="8" s="1"/>
  <c r="C313" i="8" s="1"/>
  <c r="H313" i="8" s="1"/>
  <c r="G1477" i="6"/>
  <c r="K697" i="8"/>
  <c r="K422" i="7"/>
  <c r="L422" i="7"/>
  <c r="N422" i="7" s="1"/>
  <c r="O422" i="7"/>
  <c r="G1204" i="7"/>
  <c r="F1204" i="7"/>
  <c r="K1204" i="7"/>
  <c r="J1204" i="7"/>
  <c r="E1204" i="7"/>
  <c r="C1205" i="7"/>
  <c r="AR261" i="11"/>
  <c r="AS261" i="11"/>
  <c r="AX261" i="11" s="1"/>
  <c r="AQ261" i="11"/>
  <c r="AW261" i="11" s="1"/>
  <c r="AT261" i="11"/>
  <c r="AU261" i="11"/>
  <c r="AY261" i="11" s="1"/>
  <c r="BD261" i="11" s="1"/>
  <c r="AV261" i="11"/>
  <c r="F1150" i="7"/>
  <c r="E1150" i="7"/>
  <c r="H1150" i="7"/>
  <c r="B1151" i="7" s="1"/>
  <c r="G1150" i="7"/>
  <c r="C1151" i="7"/>
  <c r="D1151" i="7" s="1"/>
  <c r="K1150" i="7"/>
  <c r="J1150" i="7"/>
  <c r="I1150" i="7"/>
  <c r="K173" i="6"/>
  <c r="L173" i="6" s="1"/>
  <c r="G421" i="7"/>
  <c r="I311" i="12"/>
  <c r="J311" i="12" s="1"/>
  <c r="L311" i="12"/>
  <c r="I643" i="8"/>
  <c r="B697" i="8"/>
  <c r="C697" i="8" s="1"/>
  <c r="E697" i="8" s="1"/>
  <c r="I918" i="7"/>
  <c r="B1028" i="8"/>
  <c r="B312" i="12"/>
  <c r="C312" i="12" s="1"/>
  <c r="E312" i="12" s="1"/>
  <c r="H1036" i="7"/>
  <c r="D258" i="7"/>
  <c r="H258" i="7"/>
  <c r="H658" i="6"/>
  <c r="J658" i="6" s="1"/>
  <c r="I2924" i="6"/>
  <c r="O531" i="7"/>
  <c r="K531" i="7"/>
  <c r="I1251" i="6"/>
  <c r="B369" i="8"/>
  <c r="B753" i="8"/>
  <c r="F587" i="8"/>
  <c r="O313" i="8"/>
  <c r="K313" i="8"/>
  <c r="M313" i="8" s="1"/>
  <c r="D807" i="7"/>
  <c r="H807" i="7"/>
  <c r="E256" i="8"/>
  <c r="H256" i="8"/>
  <c r="E807" i="7"/>
  <c r="K203" i="8"/>
  <c r="M203" i="8" s="1"/>
  <c r="O203" i="8"/>
  <c r="O642" i="7"/>
  <c r="K642" i="7"/>
  <c r="M642" i="7" s="1"/>
  <c r="F368" i="8"/>
  <c r="H203" i="7"/>
  <c r="E203" i="7"/>
  <c r="G916" i="8"/>
  <c r="D203" i="7"/>
  <c r="F203" i="7" s="1"/>
  <c r="C1028" i="8"/>
  <c r="H1028" i="8" s="1"/>
  <c r="H601" i="6"/>
  <c r="J601" i="6" s="1"/>
  <c r="M217" i="6"/>
  <c r="H1162" i="6"/>
  <c r="J1162" i="6" s="1"/>
  <c r="N202" i="7"/>
  <c r="N34" i="10"/>
  <c r="H34" i="10" s="1"/>
  <c r="K34" i="10" s="1"/>
  <c r="P336" i="11"/>
  <c r="O336" i="11"/>
  <c r="N336" i="11"/>
  <c r="K337" i="11" s="1"/>
  <c r="L337" i="11" s="1"/>
  <c r="AC259" i="11"/>
  <c r="AB259" i="11"/>
  <c r="AA259" i="11"/>
  <c r="AD259" i="11"/>
  <c r="AE259" i="11"/>
  <c r="Z259" i="11"/>
  <c r="Y259" i="11"/>
  <c r="F50" i="10"/>
  <c r="C423" i="8"/>
  <c r="J1360" i="6"/>
  <c r="L257" i="12"/>
  <c r="O257" i="12"/>
  <c r="M172" i="6"/>
  <c r="G201" i="12"/>
  <c r="K127" i="6"/>
  <c r="L127" i="6" s="1"/>
  <c r="O863" i="7"/>
  <c r="K863" i="7"/>
  <c r="M863" i="7" s="1"/>
  <c r="I148" i="8"/>
  <c r="J148" i="8" s="1"/>
  <c r="F337" i="11"/>
  <c r="C338" i="11" s="1"/>
  <c r="H337" i="11"/>
  <c r="G337" i="11"/>
  <c r="H147" i="12"/>
  <c r="D147" i="12"/>
  <c r="F147" i="12" s="1"/>
  <c r="H889" i="6"/>
  <c r="J889" i="6" s="1"/>
  <c r="L457" i="6"/>
  <c r="L531" i="7"/>
  <c r="D863" i="7"/>
  <c r="F863" i="7" s="1"/>
  <c r="D807" i="8"/>
  <c r="F807" i="8" s="1"/>
  <c r="H807" i="8"/>
  <c r="I588" i="8"/>
  <c r="D202" i="8"/>
  <c r="F202" i="8" s="1"/>
  <c r="H202" i="8"/>
  <c r="E532" i="8"/>
  <c r="H532" i="8"/>
  <c r="M642" i="8"/>
  <c r="K272" i="6"/>
  <c r="L272" i="6" s="1"/>
  <c r="C533" i="7"/>
  <c r="H984" i="6"/>
  <c r="I984" i="6" s="1"/>
  <c r="J808" i="8"/>
  <c r="M257" i="8"/>
  <c r="B917" i="7"/>
  <c r="C917" i="7" s="1"/>
  <c r="D421" i="7"/>
  <c r="F421" i="7" s="1"/>
  <c r="H421" i="7"/>
  <c r="D698" i="7"/>
  <c r="H698" i="7"/>
  <c r="I807" i="7"/>
  <c r="J807" i="7" s="1"/>
  <c r="L807" i="7"/>
  <c r="M364" i="6"/>
  <c r="H752" i="7"/>
  <c r="E752" i="7"/>
  <c r="G752" i="7" s="1"/>
  <c r="N971" i="8"/>
  <c r="K257" i="12"/>
  <c r="H848" i="6"/>
  <c r="I848" i="6" s="1"/>
  <c r="H938" i="6"/>
  <c r="J938" i="6" s="1"/>
  <c r="O367" i="8"/>
  <c r="K367" i="8"/>
  <c r="M367" i="8" s="1"/>
  <c r="M30" i="9"/>
  <c r="P30" i="9" s="1"/>
  <c r="S30" i="9" s="1"/>
  <c r="N30" i="9"/>
  <c r="Q30" i="9" s="1"/>
  <c r="D532" i="8"/>
  <c r="J1207" i="6"/>
  <c r="H1208" i="6" s="1"/>
  <c r="I1208" i="6" s="1"/>
  <c r="J258" i="7"/>
  <c r="N367" i="7"/>
  <c r="K312" i="7"/>
  <c r="O312" i="7"/>
  <c r="J1490" i="6"/>
  <c r="H1491" i="6" s="1"/>
  <c r="I1491" i="6" s="1"/>
  <c r="M917" i="7"/>
  <c r="J752" i="7"/>
  <c r="J1308" i="6"/>
  <c r="H863" i="7"/>
  <c r="C973" i="8"/>
  <c r="D973" i="8" s="1"/>
  <c r="D256" i="12"/>
  <c r="H256" i="12"/>
  <c r="F1083" i="8"/>
  <c r="J1082" i="8"/>
  <c r="I1071" i="6"/>
  <c r="G642" i="8"/>
  <c r="M698" i="7"/>
  <c r="K412" i="6"/>
  <c r="L412" i="6" s="1"/>
  <c r="B476" i="8"/>
  <c r="C476" i="8" s="1"/>
  <c r="E476" i="8" s="1"/>
  <c r="M319" i="6"/>
  <c r="G147" i="12"/>
  <c r="H800" i="6"/>
  <c r="J800" i="6" s="1"/>
  <c r="I202" i="12"/>
  <c r="J202" i="12" s="1"/>
  <c r="L202" i="12"/>
  <c r="J587" i="7"/>
  <c r="B147" i="7"/>
  <c r="C147" i="7" s="1"/>
  <c r="E147" i="7" s="1"/>
  <c r="I149" i="12"/>
  <c r="J149" i="12" s="1"/>
  <c r="L149" i="12"/>
  <c r="M500" i="6"/>
  <c r="H1030" i="6"/>
  <c r="J1030" i="6" s="1"/>
  <c r="B367" i="7"/>
  <c r="C367" i="7" s="1"/>
  <c r="E644" i="7"/>
  <c r="G644" i="7" s="1"/>
  <c r="H644" i="7"/>
  <c r="N917" i="8"/>
  <c r="K752" i="8"/>
  <c r="M752" i="8" s="1"/>
  <c r="O752" i="8"/>
  <c r="I697" i="6"/>
  <c r="C864" i="8"/>
  <c r="D864" i="8" s="1"/>
  <c r="D256" i="8"/>
  <c r="D146" i="8"/>
  <c r="F146" i="8" s="1"/>
  <c r="H146" i="8"/>
  <c r="L148" i="7"/>
  <c r="N148" i="7" s="1"/>
  <c r="O148" i="7"/>
  <c r="K319" i="6"/>
  <c r="L319" i="6" s="1"/>
  <c r="G477" i="7"/>
  <c r="L312" i="7"/>
  <c r="E1478" i="6"/>
  <c r="F1478" i="6" s="1"/>
  <c r="I862" i="8"/>
  <c r="J862" i="8" s="1"/>
  <c r="L862" i="8" s="1"/>
  <c r="E698" i="7"/>
  <c r="G698" i="7" s="1"/>
  <c r="J1114" i="6"/>
  <c r="H1115" i="6" s="1"/>
  <c r="I1115" i="6" s="1"/>
  <c r="E258" i="7"/>
  <c r="M550" i="6"/>
  <c r="K551" i="6" s="1"/>
  <c r="L551" i="6" s="1"/>
  <c r="I1405" i="6"/>
  <c r="E256" i="12"/>
  <c r="G311" i="7"/>
  <c r="O478" i="7"/>
  <c r="L478" i="7"/>
  <c r="N478" i="7" s="1"/>
  <c r="BI211" i="11"/>
  <c r="BH211" i="11"/>
  <c r="BG211" i="11"/>
  <c r="BK211" i="11"/>
  <c r="BJ211" i="11"/>
  <c r="BF211" i="11"/>
  <c r="BE211" i="11"/>
  <c r="J531" i="8"/>
  <c r="K531" i="8" s="1"/>
  <c r="F752" i="8"/>
  <c r="G1478" i="6" l="1"/>
  <c r="U336" i="11"/>
  <c r="X335" i="11"/>
  <c r="V335" i="11"/>
  <c r="S336" i="11" s="1"/>
  <c r="W335" i="11"/>
  <c r="O211" i="11"/>
  <c r="S211" i="11" s="1"/>
  <c r="N642" i="7"/>
  <c r="M478" i="7"/>
  <c r="G256" i="12"/>
  <c r="N203" i="8"/>
  <c r="I204" i="8" s="1"/>
  <c r="J204" i="8" s="1"/>
  <c r="N531" i="7"/>
  <c r="L1029" i="8"/>
  <c r="N1029" i="8" s="1"/>
  <c r="F532" i="8"/>
  <c r="BU211" i="11"/>
  <c r="CA211" i="11" s="1"/>
  <c r="CE211" i="11" s="1"/>
  <c r="P211" i="11"/>
  <c r="K211" i="11"/>
  <c r="Q211" i="11" s="1"/>
  <c r="K1029" i="8"/>
  <c r="N257" i="12"/>
  <c r="G256" i="8"/>
  <c r="B257" i="8" s="1"/>
  <c r="L211" i="11"/>
  <c r="G202" i="8"/>
  <c r="H1204" i="7"/>
  <c r="B1205" i="7" s="1"/>
  <c r="G979" i="7"/>
  <c r="N211" i="11"/>
  <c r="U211" i="11" s="1"/>
  <c r="M312" i="7"/>
  <c r="I938" i="6"/>
  <c r="H939" i="6" s="1"/>
  <c r="I939" i="6" s="1"/>
  <c r="I601" i="6"/>
  <c r="H602" i="6" s="1"/>
  <c r="F644" i="7"/>
  <c r="C645" i="7" s="1"/>
  <c r="H645" i="7" s="1"/>
  <c r="L422" i="8"/>
  <c r="N422" i="8" s="1"/>
  <c r="I423" i="8" s="1"/>
  <c r="H979" i="7"/>
  <c r="D1205" i="7"/>
  <c r="G1205" i="7" s="1"/>
  <c r="G258" i="7"/>
  <c r="B259" i="7" s="1"/>
  <c r="J588" i="8"/>
  <c r="L588" i="8" s="1"/>
  <c r="O422" i="8"/>
  <c r="N863" i="7"/>
  <c r="H1093" i="7"/>
  <c r="L697" i="8"/>
  <c r="N697" i="8" s="1"/>
  <c r="F807" i="7"/>
  <c r="K1093" i="7"/>
  <c r="K1151" i="7"/>
  <c r="J1151" i="7"/>
  <c r="I1151" i="7"/>
  <c r="H1151" i="7"/>
  <c r="B1152" i="7" s="1"/>
  <c r="C1152" i="7"/>
  <c r="G1151" i="7"/>
  <c r="D1152" i="7" s="1"/>
  <c r="F1151" i="7"/>
  <c r="E1151" i="7"/>
  <c r="H985" i="6"/>
  <c r="I985" i="6" s="1"/>
  <c r="K273" i="6"/>
  <c r="L273" i="6" s="1"/>
  <c r="BZ211" i="11"/>
  <c r="BY211" i="11"/>
  <c r="CD211" i="11" s="1"/>
  <c r="CG211" i="11" s="1"/>
  <c r="E1479" i="6"/>
  <c r="G1479" i="6" s="1"/>
  <c r="D917" i="7"/>
  <c r="H917" i="7"/>
  <c r="C753" i="8"/>
  <c r="D753" i="8" s="1"/>
  <c r="B312" i="7"/>
  <c r="C312" i="7" s="1"/>
  <c r="E312" i="7" s="1"/>
  <c r="E917" i="7"/>
  <c r="G917" i="7" s="1"/>
  <c r="B257" i="12"/>
  <c r="H423" i="8"/>
  <c r="E423" i="8"/>
  <c r="O808" i="8"/>
  <c r="L808" i="8"/>
  <c r="D423" i="8"/>
  <c r="L752" i="7"/>
  <c r="O752" i="7"/>
  <c r="K808" i="8"/>
  <c r="E51" i="10"/>
  <c r="D51" i="10"/>
  <c r="C51" i="10"/>
  <c r="F51" i="10" s="1"/>
  <c r="BL211" i="11"/>
  <c r="AP212" i="11" s="1"/>
  <c r="AI212" i="11"/>
  <c r="K148" i="8"/>
  <c r="M148" i="8" s="1"/>
  <c r="O148" i="8"/>
  <c r="M337" i="11"/>
  <c r="Q337" i="11" s="1"/>
  <c r="M422" i="7"/>
  <c r="J1115" i="6"/>
  <c r="H1116" i="6" s="1"/>
  <c r="I1116" i="6" s="1"/>
  <c r="L35" i="10"/>
  <c r="J35" i="10" s="1"/>
  <c r="R30" i="9"/>
  <c r="G203" i="7"/>
  <c r="J1491" i="6"/>
  <c r="I258" i="12"/>
  <c r="I643" i="7"/>
  <c r="O202" i="12"/>
  <c r="K202" i="12"/>
  <c r="M202" i="12" s="1"/>
  <c r="B203" i="8"/>
  <c r="C203" i="8" s="1"/>
  <c r="J258" i="8"/>
  <c r="D1028" i="8"/>
  <c r="I149" i="7"/>
  <c r="H312" i="12"/>
  <c r="D312" i="12"/>
  <c r="F312" i="12" s="1"/>
  <c r="B645" i="7"/>
  <c r="D338" i="11"/>
  <c r="E338" i="11" s="1"/>
  <c r="I338" i="11" s="1"/>
  <c r="D367" i="7"/>
  <c r="H367" i="7"/>
  <c r="J984" i="6"/>
  <c r="E367" i="7"/>
  <c r="G367" i="7" s="1"/>
  <c r="B753" i="7"/>
  <c r="N752" i="8"/>
  <c r="B643" i="8"/>
  <c r="C643" i="8" s="1"/>
  <c r="E643" i="8" s="1"/>
  <c r="F256" i="8"/>
  <c r="J918" i="7"/>
  <c r="K918" i="7" s="1"/>
  <c r="AZ261" i="11"/>
  <c r="BA261" i="11"/>
  <c r="BC261" i="11"/>
  <c r="BB261" i="11" s="1"/>
  <c r="BM261" i="11" s="1"/>
  <c r="O807" i="7"/>
  <c r="K807" i="7"/>
  <c r="M807" i="7" s="1"/>
  <c r="N313" i="8"/>
  <c r="AJ212" i="11"/>
  <c r="E313" i="8"/>
  <c r="I368" i="7"/>
  <c r="J368" i="7" s="1"/>
  <c r="L368" i="7" s="1"/>
  <c r="I1162" i="6"/>
  <c r="J752" i="6"/>
  <c r="H753" i="6" s="1"/>
  <c r="I753" i="6" s="1"/>
  <c r="F258" i="7"/>
  <c r="H1309" i="6"/>
  <c r="I1309" i="6" s="1"/>
  <c r="M148" i="7"/>
  <c r="H476" i="8"/>
  <c r="D476" i="8"/>
  <c r="F476" i="8" s="1"/>
  <c r="L531" i="8"/>
  <c r="N531" i="8" s="1"/>
  <c r="O531" i="8"/>
  <c r="I918" i="8"/>
  <c r="J918" i="8" s="1"/>
  <c r="L918" i="8"/>
  <c r="H1406" i="6"/>
  <c r="J1406" i="6" s="1"/>
  <c r="K478" i="8"/>
  <c r="O478" i="8"/>
  <c r="G532" i="8"/>
  <c r="H2925" i="6"/>
  <c r="J2925" i="6" s="1"/>
  <c r="B917" i="8"/>
  <c r="C917" i="8" s="1"/>
  <c r="E917" i="8"/>
  <c r="K752" i="7"/>
  <c r="I972" i="8"/>
  <c r="J972" i="8" s="1"/>
  <c r="I423" i="7"/>
  <c r="J699" i="7"/>
  <c r="AF259" i="11"/>
  <c r="J260" i="11" s="1"/>
  <c r="E260" i="11"/>
  <c r="C260" i="11"/>
  <c r="E587" i="7"/>
  <c r="G587" i="7" s="1"/>
  <c r="E1028" i="8"/>
  <c r="H533" i="7"/>
  <c r="E533" i="7"/>
  <c r="L148" i="8"/>
  <c r="H587" i="7"/>
  <c r="I1030" i="6"/>
  <c r="J848" i="6"/>
  <c r="O1082" i="8"/>
  <c r="L1082" i="8"/>
  <c r="D313" i="8"/>
  <c r="I658" i="6"/>
  <c r="G146" i="8"/>
  <c r="O862" i="8"/>
  <c r="K862" i="8"/>
  <c r="M862" i="8" s="1"/>
  <c r="I203" i="7"/>
  <c r="J203" i="7" s="1"/>
  <c r="L203" i="7" s="1"/>
  <c r="H147" i="7"/>
  <c r="D147" i="7"/>
  <c r="F147" i="7" s="1"/>
  <c r="F256" i="12"/>
  <c r="O258" i="7"/>
  <c r="L258" i="7"/>
  <c r="F698" i="7"/>
  <c r="B202" i="12"/>
  <c r="C202" i="12" s="1"/>
  <c r="E202" i="12"/>
  <c r="D260" i="11"/>
  <c r="K218" i="6"/>
  <c r="L218" i="6" s="1"/>
  <c r="B1037" i="7"/>
  <c r="C1037" i="7"/>
  <c r="D1037" i="7" s="1"/>
  <c r="K365" i="6"/>
  <c r="L365" i="6" s="1"/>
  <c r="I698" i="8"/>
  <c r="K1082" i="8"/>
  <c r="M1082" i="8" s="1"/>
  <c r="C588" i="8"/>
  <c r="B422" i="7"/>
  <c r="C422" i="7" s="1"/>
  <c r="O149" i="12"/>
  <c r="K149" i="12"/>
  <c r="M149" i="12" s="1"/>
  <c r="C1084" i="8"/>
  <c r="D697" i="8"/>
  <c r="F697" i="8" s="1"/>
  <c r="H697" i="8"/>
  <c r="N312" i="7"/>
  <c r="O587" i="7"/>
  <c r="L587" i="7"/>
  <c r="B148" i="12"/>
  <c r="C148" i="12" s="1"/>
  <c r="K258" i="7"/>
  <c r="M258" i="7" s="1"/>
  <c r="M412" i="6"/>
  <c r="K413" i="6" s="1"/>
  <c r="L413" i="6" s="1"/>
  <c r="I889" i="6"/>
  <c r="M173" i="6"/>
  <c r="K174" i="6" s="1"/>
  <c r="L174" i="6" s="1"/>
  <c r="M127" i="6"/>
  <c r="K128" i="6" s="1"/>
  <c r="L128" i="6" s="1"/>
  <c r="N367" i="8"/>
  <c r="H1361" i="6"/>
  <c r="I1361" i="6" s="1"/>
  <c r="H973" i="8"/>
  <c r="E973" i="8"/>
  <c r="G973" i="8" s="1"/>
  <c r="J643" i="8"/>
  <c r="K320" i="6"/>
  <c r="L320" i="6" s="1"/>
  <c r="M257" i="12"/>
  <c r="M551" i="6"/>
  <c r="K552" i="6" s="1"/>
  <c r="L552" i="6" s="1"/>
  <c r="L478" i="8"/>
  <c r="N478" i="8" s="1"/>
  <c r="O311" i="12"/>
  <c r="K311" i="12"/>
  <c r="M311" i="12" s="1"/>
  <c r="I532" i="7"/>
  <c r="I864" i="7"/>
  <c r="J864" i="7" s="1"/>
  <c r="B699" i="7"/>
  <c r="H1072" i="6"/>
  <c r="J1072" i="6" s="1"/>
  <c r="D533" i="7"/>
  <c r="F533" i="7" s="1"/>
  <c r="G807" i="8"/>
  <c r="E864" i="8"/>
  <c r="G864" i="8" s="1"/>
  <c r="H864" i="8"/>
  <c r="K458" i="6"/>
  <c r="M458" i="6" s="1"/>
  <c r="C369" i="8"/>
  <c r="J1251" i="6"/>
  <c r="G863" i="7"/>
  <c r="I800" i="6"/>
  <c r="J643" i="7"/>
  <c r="O643" i="7" s="1"/>
  <c r="I479" i="7"/>
  <c r="J479" i="7" s="1"/>
  <c r="B478" i="7"/>
  <c r="C478" i="7" s="1"/>
  <c r="H698" i="6"/>
  <c r="J698" i="6" s="1"/>
  <c r="K587" i="7"/>
  <c r="F752" i="7"/>
  <c r="J1208" i="6"/>
  <c r="G807" i="7"/>
  <c r="M531" i="7"/>
  <c r="K501" i="6"/>
  <c r="L501" i="6" s="1"/>
  <c r="I602" i="6" l="1"/>
  <c r="J602" i="6"/>
  <c r="BX211" i="11"/>
  <c r="CB211" i="11"/>
  <c r="BW211" i="11"/>
  <c r="CC211" i="11" s="1"/>
  <c r="M320" i="6"/>
  <c r="K321" i="6" s="1"/>
  <c r="L321" i="6" s="1"/>
  <c r="M697" i="8"/>
  <c r="T336" i="11"/>
  <c r="Y336" i="11" s="1"/>
  <c r="N752" i="7"/>
  <c r="I753" i="7" s="1"/>
  <c r="M531" i="8"/>
  <c r="J532" i="8" s="1"/>
  <c r="O532" i="8" s="1"/>
  <c r="M422" i="8"/>
  <c r="J423" i="8" s="1"/>
  <c r="N311" i="12"/>
  <c r="G697" i="8"/>
  <c r="B698" i="8" s="1"/>
  <c r="C698" i="8" s="1"/>
  <c r="M1029" i="8"/>
  <c r="T211" i="11"/>
  <c r="W211" i="11" s="1"/>
  <c r="N149" i="12"/>
  <c r="F423" i="8"/>
  <c r="H1205" i="7"/>
  <c r="B1206" i="7" s="1"/>
  <c r="L864" i="7"/>
  <c r="O864" i="7"/>
  <c r="G1028" i="8"/>
  <c r="K1205" i="7"/>
  <c r="J1205" i="7"/>
  <c r="C1206" i="7"/>
  <c r="D1206" i="7" s="1"/>
  <c r="B980" i="7"/>
  <c r="C980" i="7"/>
  <c r="D980" i="7" s="1"/>
  <c r="L458" i="6"/>
  <c r="G260" i="11"/>
  <c r="J1309" i="6"/>
  <c r="B1094" i="7"/>
  <c r="C1094" i="7"/>
  <c r="D1094" i="7" s="1"/>
  <c r="K588" i="8"/>
  <c r="N588" i="8" s="1"/>
  <c r="E1205" i="7"/>
  <c r="N807" i="7"/>
  <c r="I808" i="7" s="1"/>
  <c r="J808" i="7" s="1"/>
  <c r="O808" i="7" s="1"/>
  <c r="O588" i="8"/>
  <c r="I1205" i="7"/>
  <c r="N587" i="7"/>
  <c r="I588" i="7" s="1"/>
  <c r="N202" i="12"/>
  <c r="I203" i="12" s="1"/>
  <c r="J203" i="12" s="1"/>
  <c r="L203" i="12" s="1"/>
  <c r="J939" i="6"/>
  <c r="M808" i="8"/>
  <c r="I1406" i="6"/>
  <c r="H1407" i="6" s="1"/>
  <c r="I1407" i="6" s="1"/>
  <c r="F1479" i="6"/>
  <c r="F313" i="8"/>
  <c r="F1205" i="7"/>
  <c r="J1361" i="6"/>
  <c r="L479" i="7"/>
  <c r="O479" i="7"/>
  <c r="K479" i="7"/>
  <c r="M479" i="7" s="1"/>
  <c r="H203" i="8"/>
  <c r="D203" i="8"/>
  <c r="E203" i="8"/>
  <c r="G203" i="8" s="1"/>
  <c r="E1152" i="7"/>
  <c r="F1152" i="7"/>
  <c r="H1152" i="7"/>
  <c r="B1153" i="7" s="1"/>
  <c r="G1152" i="7"/>
  <c r="C1153" i="7"/>
  <c r="J1152" i="7"/>
  <c r="I1152" i="7"/>
  <c r="K1152" i="7"/>
  <c r="BJ261" i="11"/>
  <c r="BI261" i="11"/>
  <c r="BH261" i="11"/>
  <c r="BF261" i="11"/>
  <c r="BK261" i="11"/>
  <c r="BG261" i="11"/>
  <c r="BE261" i="11"/>
  <c r="L204" i="8"/>
  <c r="O204" i="8"/>
  <c r="K204" i="8"/>
  <c r="M204" i="8" s="1"/>
  <c r="H603" i="6"/>
  <c r="J603" i="6" s="1"/>
  <c r="H422" i="7"/>
  <c r="E422" i="7"/>
  <c r="D422" i="7"/>
  <c r="D148" i="12"/>
  <c r="H148" i="12"/>
  <c r="E148" i="12"/>
  <c r="O643" i="8"/>
  <c r="L643" i="8"/>
  <c r="O337" i="11"/>
  <c r="N337" i="11"/>
  <c r="K338" i="11" s="1"/>
  <c r="L338" i="11" s="1"/>
  <c r="M338" i="11"/>
  <c r="Q338" i="11" s="1"/>
  <c r="P337" i="11"/>
  <c r="E1480" i="6"/>
  <c r="H1437" i="6" s="1"/>
  <c r="H478" i="7"/>
  <c r="D478" i="7"/>
  <c r="F478" i="7" s="1"/>
  <c r="K918" i="8"/>
  <c r="M918" i="8" s="1"/>
  <c r="O918" i="8"/>
  <c r="B808" i="7"/>
  <c r="C808" i="7" s="1"/>
  <c r="E808" i="7" s="1"/>
  <c r="B147" i="8"/>
  <c r="C147" i="8" s="1"/>
  <c r="E147" i="8" s="1"/>
  <c r="I532" i="8"/>
  <c r="I753" i="8"/>
  <c r="J753" i="8" s="1"/>
  <c r="L753" i="8"/>
  <c r="B204" i="7"/>
  <c r="C204" i="7" s="1"/>
  <c r="E204" i="7"/>
  <c r="G313" i="8"/>
  <c r="AK212" i="11"/>
  <c r="B368" i="7"/>
  <c r="N808" i="8"/>
  <c r="L699" i="7"/>
  <c r="N699" i="7" s="1"/>
  <c r="O699" i="7"/>
  <c r="I479" i="8"/>
  <c r="G147" i="7"/>
  <c r="J1037" i="7"/>
  <c r="F1037" i="7"/>
  <c r="E1037" i="7"/>
  <c r="G1037" i="7" s="1"/>
  <c r="I1037" i="7"/>
  <c r="H1031" i="6"/>
  <c r="J1031" i="6" s="1"/>
  <c r="M478" i="8"/>
  <c r="H1310" i="6"/>
  <c r="I1310" i="6" s="1"/>
  <c r="I314" i="8"/>
  <c r="J314" i="8" s="1"/>
  <c r="L314" i="8"/>
  <c r="M273" i="6"/>
  <c r="L643" i="7"/>
  <c r="G423" i="8"/>
  <c r="F587" i="7"/>
  <c r="D643" i="8"/>
  <c r="F643" i="8" s="1"/>
  <c r="H643" i="8"/>
  <c r="J532" i="7"/>
  <c r="K532" i="7" s="1"/>
  <c r="B974" i="8"/>
  <c r="B1029" i="8"/>
  <c r="I150" i="12"/>
  <c r="J150" i="12" s="1"/>
  <c r="H202" i="12"/>
  <c r="D202" i="12"/>
  <c r="F202" i="12" s="1"/>
  <c r="K368" i="7"/>
  <c r="M368" i="7" s="1"/>
  <c r="O368" i="7"/>
  <c r="D645" i="7"/>
  <c r="F645" i="7" s="1"/>
  <c r="N258" i="7"/>
  <c r="K864" i="7"/>
  <c r="M864" i="7" s="1"/>
  <c r="N862" i="8"/>
  <c r="K643" i="7"/>
  <c r="I368" i="8"/>
  <c r="J368" i="8" s="1"/>
  <c r="L368" i="8"/>
  <c r="C257" i="12"/>
  <c r="D257" i="12" s="1"/>
  <c r="J985" i="6"/>
  <c r="H986" i="6" s="1"/>
  <c r="I986" i="6" s="1"/>
  <c r="H801" i="6"/>
  <c r="J801" i="6" s="1"/>
  <c r="I1072" i="6"/>
  <c r="B533" i="8"/>
  <c r="C533" i="8" s="1"/>
  <c r="B864" i="7"/>
  <c r="C864" i="7" s="1"/>
  <c r="E864" i="7"/>
  <c r="J149" i="7"/>
  <c r="M35" i="10"/>
  <c r="I35" i="10" s="1"/>
  <c r="H1252" i="6"/>
  <c r="I1252" i="6" s="1"/>
  <c r="M552" i="6"/>
  <c r="C259" i="7"/>
  <c r="L918" i="7"/>
  <c r="N918" i="7" s="1"/>
  <c r="O918" i="7"/>
  <c r="F917" i="7"/>
  <c r="G476" i="8"/>
  <c r="I1030" i="8"/>
  <c r="C52" i="10"/>
  <c r="E52" i="10"/>
  <c r="D52" i="10"/>
  <c r="O258" i="8"/>
  <c r="L258" i="8"/>
  <c r="I698" i="6"/>
  <c r="K643" i="8"/>
  <c r="B918" i="7"/>
  <c r="E478" i="7"/>
  <c r="B588" i="7"/>
  <c r="M501" i="6"/>
  <c r="K502" i="6" s="1"/>
  <c r="L502" i="6" s="1"/>
  <c r="I312" i="12"/>
  <c r="J312" i="12" s="1"/>
  <c r="D312" i="7"/>
  <c r="F312" i="7" s="1"/>
  <c r="H312" i="7"/>
  <c r="C699" i="7"/>
  <c r="D699" i="7" s="1"/>
  <c r="E645" i="7"/>
  <c r="H1362" i="6"/>
  <c r="J1362" i="6" s="1"/>
  <c r="N1082" i="8"/>
  <c r="AL212" i="11"/>
  <c r="E30" i="9"/>
  <c r="F30" i="9"/>
  <c r="G30" i="9"/>
  <c r="M128" i="6"/>
  <c r="K129" i="6" s="1"/>
  <c r="L129" i="6" s="1"/>
  <c r="K699" i="7"/>
  <c r="E369" i="8"/>
  <c r="G369" i="8" s="1"/>
  <c r="H369" i="8"/>
  <c r="H1084" i="8"/>
  <c r="E1084" i="8"/>
  <c r="O972" i="8"/>
  <c r="K972" i="8"/>
  <c r="C753" i="7"/>
  <c r="D753" i="7" s="1"/>
  <c r="D369" i="8"/>
  <c r="H890" i="6"/>
  <c r="J890" i="6" s="1"/>
  <c r="D1084" i="8"/>
  <c r="M218" i="6"/>
  <c r="K203" i="7"/>
  <c r="M203" i="7" s="1"/>
  <c r="O203" i="7"/>
  <c r="N148" i="8"/>
  <c r="L972" i="8"/>
  <c r="C257" i="8"/>
  <c r="D257" i="8" s="1"/>
  <c r="F367" i="7"/>
  <c r="F1028" i="8"/>
  <c r="J1116" i="6"/>
  <c r="H1117" i="6" s="1"/>
  <c r="I1117" i="6" s="1"/>
  <c r="F973" i="8"/>
  <c r="K459" i="6"/>
  <c r="M459" i="6" s="1"/>
  <c r="K258" i="8"/>
  <c r="G338" i="11"/>
  <c r="F338" i="11"/>
  <c r="C339" i="11" s="1"/>
  <c r="H338" i="11"/>
  <c r="H917" i="8"/>
  <c r="D917" i="8"/>
  <c r="F917" i="8" s="1"/>
  <c r="H588" i="8"/>
  <c r="E588" i="8"/>
  <c r="M588" i="8"/>
  <c r="D588" i="8"/>
  <c r="F588" i="8" s="1"/>
  <c r="H659" i="6"/>
  <c r="J659" i="6" s="1"/>
  <c r="B865" i="8"/>
  <c r="H1492" i="6"/>
  <c r="I1492" i="6" s="1"/>
  <c r="B808" i="8"/>
  <c r="C808" i="8" s="1"/>
  <c r="I2925" i="6"/>
  <c r="E753" i="8"/>
  <c r="G753" i="8" s="1"/>
  <c r="H753" i="8"/>
  <c r="G312" i="12"/>
  <c r="I313" i="7"/>
  <c r="J313" i="7" s="1"/>
  <c r="F864" i="8"/>
  <c r="AM212" i="11"/>
  <c r="M365" i="6"/>
  <c r="K366" i="6" s="1"/>
  <c r="L366" i="6" s="1"/>
  <c r="J258" i="12"/>
  <c r="K258" i="12" s="1"/>
  <c r="M174" i="6"/>
  <c r="K219" i="6"/>
  <c r="L219" i="6" s="1"/>
  <c r="J753" i="6"/>
  <c r="J698" i="8"/>
  <c r="M587" i="7"/>
  <c r="M413" i="6"/>
  <c r="K414" i="6" s="1"/>
  <c r="L414" i="6" s="1"/>
  <c r="F260" i="11"/>
  <c r="G533" i="7"/>
  <c r="M752" i="7"/>
  <c r="H849" i="6"/>
  <c r="I849" i="6" s="1"/>
  <c r="H1163" i="6"/>
  <c r="J1163" i="6" s="1"/>
  <c r="J423" i="7"/>
  <c r="H1209" i="6"/>
  <c r="I1209" i="6" s="1"/>
  <c r="CF211" i="11"/>
  <c r="CJ211" i="11"/>
  <c r="CI211" i="11"/>
  <c r="CH211" i="11"/>
  <c r="V211" i="11" l="1"/>
  <c r="U337" i="11"/>
  <c r="W336" i="11"/>
  <c r="V336" i="11"/>
  <c r="S337" i="11" s="1"/>
  <c r="T337" i="11" s="1"/>
  <c r="X336" i="11"/>
  <c r="Y337" i="11"/>
  <c r="N864" i="7"/>
  <c r="I589" i="8"/>
  <c r="J589" i="8" s="1"/>
  <c r="K589" i="8" s="1"/>
  <c r="J849" i="6"/>
  <c r="H850" i="6" s="1"/>
  <c r="J850" i="6" s="1"/>
  <c r="H940" i="6"/>
  <c r="I940" i="6" s="1"/>
  <c r="M918" i="7"/>
  <c r="J1030" i="8"/>
  <c r="O1030" i="8" s="1"/>
  <c r="G1084" i="8"/>
  <c r="B1085" i="8" s="1"/>
  <c r="X211" i="11"/>
  <c r="AG211" i="11" s="1"/>
  <c r="I980" i="7"/>
  <c r="E980" i="7"/>
  <c r="F980" i="7"/>
  <c r="H980" i="7" s="1"/>
  <c r="B981" i="7" s="1"/>
  <c r="J980" i="7"/>
  <c r="K980" i="7"/>
  <c r="F52" i="10"/>
  <c r="C53" i="10" s="1"/>
  <c r="F148" i="12"/>
  <c r="N972" i="8"/>
  <c r="I973" i="8" s="1"/>
  <c r="F203" i="8"/>
  <c r="J1209" i="6"/>
  <c r="H1210" i="6" s="1"/>
  <c r="I1210" i="6" s="1"/>
  <c r="G202" i="12"/>
  <c r="B203" i="12" s="1"/>
  <c r="C203" i="12" s="1"/>
  <c r="I1031" i="6"/>
  <c r="H1032" i="6" s="1"/>
  <c r="J1032" i="6" s="1"/>
  <c r="E1094" i="7"/>
  <c r="F1094" i="7"/>
  <c r="G1094" i="7" s="1"/>
  <c r="K1094" i="7"/>
  <c r="I1094" i="7"/>
  <c r="J1094" i="7"/>
  <c r="N203" i="7"/>
  <c r="I204" i="7" s="1"/>
  <c r="J204" i="7" s="1"/>
  <c r="K204" i="7" s="1"/>
  <c r="M643" i="7"/>
  <c r="G422" i="7"/>
  <c r="M258" i="8"/>
  <c r="K1037" i="7"/>
  <c r="L532" i="8"/>
  <c r="G312" i="7"/>
  <c r="J1310" i="6"/>
  <c r="G917" i="8"/>
  <c r="B918" i="8" s="1"/>
  <c r="C918" i="8" s="1"/>
  <c r="J1252" i="6"/>
  <c r="H1253" i="6" s="1"/>
  <c r="D1153" i="7"/>
  <c r="F1153" i="7" s="1"/>
  <c r="N368" i="7"/>
  <c r="I369" i="7" s="1"/>
  <c r="J369" i="7" s="1"/>
  <c r="M643" i="8"/>
  <c r="F753" i="8"/>
  <c r="C754" i="8" s="1"/>
  <c r="P338" i="11"/>
  <c r="O338" i="11"/>
  <c r="N338" i="11"/>
  <c r="K339" i="11" s="1"/>
  <c r="L339" i="11" s="1"/>
  <c r="M339" i="11"/>
  <c r="Q339" i="11" s="1"/>
  <c r="L150" i="12"/>
  <c r="K150" i="12"/>
  <c r="M150" i="12" s="1"/>
  <c r="O150" i="12"/>
  <c r="E698" i="8"/>
  <c r="D698" i="8"/>
  <c r="F698" i="8" s="1"/>
  <c r="H698" i="8"/>
  <c r="G1153" i="7"/>
  <c r="H1311" i="6"/>
  <c r="I1311" i="6" s="1"/>
  <c r="G147" i="8"/>
  <c r="K312" i="12"/>
  <c r="L312" i="12"/>
  <c r="N312" i="12" s="1"/>
  <c r="O312" i="12"/>
  <c r="B423" i="7"/>
  <c r="I1163" i="6"/>
  <c r="N35" i="10"/>
  <c r="H35" i="10" s="1"/>
  <c r="K35" i="10" s="1"/>
  <c r="L149" i="7"/>
  <c r="O149" i="7"/>
  <c r="I603" i="6"/>
  <c r="B534" i="7"/>
  <c r="C534" i="7" s="1"/>
  <c r="E53" i="10"/>
  <c r="D53" i="10"/>
  <c r="E257" i="8"/>
  <c r="G257" i="8" s="1"/>
  <c r="H257" i="8"/>
  <c r="H30" i="9"/>
  <c r="I30" i="9" s="1"/>
  <c r="L31" i="9"/>
  <c r="H808" i="7"/>
  <c r="D808" i="7"/>
  <c r="F808" i="7" s="1"/>
  <c r="K808" i="7"/>
  <c r="C918" i="7"/>
  <c r="D918" i="7" s="1"/>
  <c r="E699" i="7"/>
  <c r="G699" i="7" s="1"/>
  <c r="H699" i="7"/>
  <c r="O368" i="8"/>
  <c r="K368" i="8"/>
  <c r="M368" i="8" s="1"/>
  <c r="J753" i="7"/>
  <c r="G643" i="8"/>
  <c r="K149" i="7"/>
  <c r="M149" i="7" s="1"/>
  <c r="O203" i="12"/>
  <c r="C588" i="7"/>
  <c r="M972" i="8"/>
  <c r="D204" i="7"/>
  <c r="F204" i="7" s="1"/>
  <c r="H204" i="7"/>
  <c r="D864" i="7"/>
  <c r="F864" i="7" s="1"/>
  <c r="H864" i="7"/>
  <c r="B424" i="8"/>
  <c r="C424" i="8" s="1"/>
  <c r="I809" i="8"/>
  <c r="J809" i="8" s="1"/>
  <c r="E259" i="7"/>
  <c r="H259" i="7"/>
  <c r="I259" i="7"/>
  <c r="J259" i="7" s="1"/>
  <c r="L259" i="7" s="1"/>
  <c r="N643" i="7"/>
  <c r="N643" i="8"/>
  <c r="N479" i="7"/>
  <c r="H699" i="6"/>
  <c r="J699" i="6" s="1"/>
  <c r="H808" i="8"/>
  <c r="D808" i="8"/>
  <c r="L459" i="6"/>
  <c r="J1407" i="6"/>
  <c r="H1408" i="6" s="1"/>
  <c r="I1408" i="6" s="1"/>
  <c r="CS211" i="11"/>
  <c r="N258" i="8"/>
  <c r="O314" i="8"/>
  <c r="K314" i="8"/>
  <c r="M314" i="8" s="1"/>
  <c r="H1037" i="7"/>
  <c r="AJ262" i="11"/>
  <c r="M699" i="7"/>
  <c r="I801" i="6"/>
  <c r="AN212" i="11"/>
  <c r="AO212" i="11"/>
  <c r="AU212" i="11" s="1"/>
  <c r="AY212" i="11" s="1"/>
  <c r="BD212" i="11" s="1"/>
  <c r="AR212" i="11"/>
  <c r="AQ212" i="11"/>
  <c r="AW212" i="11" s="1"/>
  <c r="B204" i="8"/>
  <c r="C368" i="7"/>
  <c r="D368" i="7" s="1"/>
  <c r="B148" i="7"/>
  <c r="C148" i="7" s="1"/>
  <c r="E148" i="7" s="1"/>
  <c r="B313" i="12"/>
  <c r="C313" i="12" s="1"/>
  <c r="E313" i="12"/>
  <c r="I1439" i="6"/>
  <c r="I865" i="7"/>
  <c r="J865" i="7" s="1"/>
  <c r="O865" i="7" s="1"/>
  <c r="I659" i="6"/>
  <c r="L808" i="7"/>
  <c r="B313" i="7"/>
  <c r="C313" i="7" s="1"/>
  <c r="K203" i="12"/>
  <c r="M203" i="12" s="1"/>
  <c r="B477" i="8"/>
  <c r="C477" i="8" s="1"/>
  <c r="I1362" i="6"/>
  <c r="B754" i="8"/>
  <c r="M219" i="6"/>
  <c r="K220" i="6" s="1"/>
  <c r="L220" i="6" s="1"/>
  <c r="H533" i="8"/>
  <c r="D533" i="8"/>
  <c r="M502" i="6"/>
  <c r="K503" i="6" s="1"/>
  <c r="L503" i="6" s="1"/>
  <c r="M321" i="6"/>
  <c r="K322" i="6" s="1"/>
  <c r="L322" i="6" s="1"/>
  <c r="H1073" i="6"/>
  <c r="J1073" i="6" s="1"/>
  <c r="AI262" i="11"/>
  <c r="BL261" i="11"/>
  <c r="AP262" i="11" s="1"/>
  <c r="K532" i="8"/>
  <c r="H754" i="6"/>
  <c r="I754" i="6" s="1"/>
  <c r="C865" i="8"/>
  <c r="J588" i="7"/>
  <c r="C974" i="8"/>
  <c r="F369" i="8"/>
  <c r="M129" i="6"/>
  <c r="K130" i="6" s="1"/>
  <c r="L130" i="6" s="1"/>
  <c r="B314" i="8"/>
  <c r="C314" i="8" s="1"/>
  <c r="K175" i="6"/>
  <c r="L175" i="6" s="1"/>
  <c r="K553" i="6"/>
  <c r="L553" i="6" s="1"/>
  <c r="I1083" i="8"/>
  <c r="J1083" i="8" s="1"/>
  <c r="I863" i="8"/>
  <c r="J863" i="8" s="1"/>
  <c r="L863" i="8" s="1"/>
  <c r="L423" i="8"/>
  <c r="O423" i="8"/>
  <c r="N204" i="8"/>
  <c r="M366" i="6"/>
  <c r="K753" i="8"/>
  <c r="M753" i="8" s="1"/>
  <c r="O753" i="8"/>
  <c r="H2926" i="6"/>
  <c r="J2926" i="6" s="1"/>
  <c r="E533" i="8"/>
  <c r="B370" i="8"/>
  <c r="L698" i="8"/>
  <c r="O698" i="8"/>
  <c r="K313" i="7"/>
  <c r="O313" i="7"/>
  <c r="J1117" i="6"/>
  <c r="H753" i="7"/>
  <c r="E753" i="7"/>
  <c r="G753" i="7" s="1"/>
  <c r="K1206" i="7"/>
  <c r="E1206" i="7"/>
  <c r="H1206" i="7"/>
  <c r="B1207" i="7" s="1"/>
  <c r="G1206" i="7"/>
  <c r="F1206" i="7"/>
  <c r="C1207" i="7"/>
  <c r="D1207" i="7" s="1"/>
  <c r="J1206" i="7"/>
  <c r="I1206" i="7"/>
  <c r="G645" i="7"/>
  <c r="G478" i="7"/>
  <c r="J986" i="6"/>
  <c r="H987" i="6" s="1"/>
  <c r="I987" i="6" s="1"/>
  <c r="J479" i="8"/>
  <c r="K479" i="8" s="1"/>
  <c r="N918" i="8"/>
  <c r="G148" i="12"/>
  <c r="O258" i="12"/>
  <c r="L258" i="12"/>
  <c r="N258" i="12" s="1"/>
  <c r="I149" i="8"/>
  <c r="J149" i="8" s="1"/>
  <c r="G588" i="8"/>
  <c r="I700" i="7"/>
  <c r="K423" i="8"/>
  <c r="M423" i="8" s="1"/>
  <c r="I919" i="7"/>
  <c r="J919" i="7" s="1"/>
  <c r="L532" i="7"/>
  <c r="N532" i="7" s="1"/>
  <c r="O532" i="7"/>
  <c r="M414" i="6"/>
  <c r="F1084" i="8"/>
  <c r="D259" i="7"/>
  <c r="E808" i="8"/>
  <c r="I890" i="6"/>
  <c r="L423" i="7"/>
  <c r="O423" i="7"/>
  <c r="K423" i="7"/>
  <c r="M423" i="7" s="1"/>
  <c r="K698" i="8"/>
  <c r="L313" i="7"/>
  <c r="D339" i="11"/>
  <c r="E339" i="11" s="1"/>
  <c r="I339" i="11" s="1"/>
  <c r="C1029" i="8"/>
  <c r="D1029" i="8" s="1"/>
  <c r="H260" i="11"/>
  <c r="I260" i="11" s="1"/>
  <c r="J1492" i="6"/>
  <c r="E257" i="12"/>
  <c r="G257" i="12" s="1"/>
  <c r="H257" i="12"/>
  <c r="H147" i="8"/>
  <c r="D147" i="8"/>
  <c r="F147" i="8" s="1"/>
  <c r="F422" i="7"/>
  <c r="K274" i="6"/>
  <c r="L274" i="6" s="1"/>
  <c r="I1253" i="6" l="1"/>
  <c r="J1253" i="6"/>
  <c r="L1030" i="8"/>
  <c r="N1030" i="8" s="1"/>
  <c r="I1153" i="7"/>
  <c r="AS212" i="11"/>
  <c r="AX212" i="11" s="1"/>
  <c r="J1153" i="7"/>
  <c r="N532" i="8"/>
  <c r="M313" i="7"/>
  <c r="N698" i="8"/>
  <c r="I699" i="8" s="1"/>
  <c r="F699" i="7"/>
  <c r="AA211" i="11"/>
  <c r="Z211" i="11"/>
  <c r="AB211" i="11"/>
  <c r="AE211" i="11"/>
  <c r="AC211" i="11"/>
  <c r="AD211" i="11"/>
  <c r="Y211" i="11"/>
  <c r="J1311" i="6"/>
  <c r="K1030" i="8"/>
  <c r="U338" i="11"/>
  <c r="W337" i="11"/>
  <c r="X337" i="11"/>
  <c r="V337" i="11"/>
  <c r="S338" i="11" s="1"/>
  <c r="T338" i="11" s="1"/>
  <c r="Y338" i="11" s="1"/>
  <c r="C204" i="8"/>
  <c r="E204" i="8" s="1"/>
  <c r="J940" i="6"/>
  <c r="H941" i="6" s="1"/>
  <c r="D754" i="8"/>
  <c r="E754" i="8"/>
  <c r="G754" i="8" s="1"/>
  <c r="H754" i="8"/>
  <c r="L369" i="7"/>
  <c r="O369" i="7"/>
  <c r="H1153" i="7"/>
  <c r="B1154" i="7" s="1"/>
  <c r="H1094" i="7"/>
  <c r="G533" i="8"/>
  <c r="K1153" i="7"/>
  <c r="M274" i="6"/>
  <c r="K275" i="6" s="1"/>
  <c r="M275" i="6" s="1"/>
  <c r="M532" i="8"/>
  <c r="C1154" i="7"/>
  <c r="G808" i="7"/>
  <c r="B809" i="7" s="1"/>
  <c r="C809" i="7" s="1"/>
  <c r="H809" i="7" s="1"/>
  <c r="F259" i="7"/>
  <c r="E1153" i="7"/>
  <c r="G980" i="7"/>
  <c r="C981" i="7" s="1"/>
  <c r="D981" i="7" s="1"/>
  <c r="M532" i="7"/>
  <c r="G808" i="8"/>
  <c r="B809" i="8" s="1"/>
  <c r="J754" i="6"/>
  <c r="M808" i="7"/>
  <c r="H1312" i="6"/>
  <c r="I1312" i="6" s="1"/>
  <c r="H1254" i="6"/>
  <c r="J1254" i="6" s="1"/>
  <c r="P339" i="11"/>
  <c r="O339" i="11"/>
  <c r="N339" i="11"/>
  <c r="K340" i="11" s="1"/>
  <c r="L340" i="11" s="1"/>
  <c r="D313" i="7"/>
  <c r="H313" i="7"/>
  <c r="E313" i="7"/>
  <c r="G313" i="7" s="1"/>
  <c r="H918" i="8"/>
  <c r="D918" i="8"/>
  <c r="E918" i="8"/>
  <c r="G339" i="11"/>
  <c r="F339" i="11"/>
  <c r="C340" i="11" s="1"/>
  <c r="D340" i="11" s="1"/>
  <c r="H339" i="11"/>
  <c r="K1207" i="7"/>
  <c r="J1207" i="7"/>
  <c r="I1207" i="7"/>
  <c r="H1207" i="7"/>
  <c r="B1208" i="7" s="1"/>
  <c r="F1207" i="7"/>
  <c r="E1207" i="7"/>
  <c r="G1207" i="7"/>
  <c r="C1208" i="7"/>
  <c r="D203" i="12"/>
  <c r="E203" i="12"/>
  <c r="H203" i="12"/>
  <c r="O919" i="7"/>
  <c r="K919" i="7"/>
  <c r="L919" i="7"/>
  <c r="N919" i="7" s="1"/>
  <c r="B258" i="12"/>
  <c r="H477" i="8"/>
  <c r="D477" i="8"/>
  <c r="B258" i="8"/>
  <c r="E974" i="8"/>
  <c r="H974" i="8"/>
  <c r="D974" i="8"/>
  <c r="O260" i="11"/>
  <c r="S260" i="11" s="1"/>
  <c r="P260" i="11"/>
  <c r="L260" i="11"/>
  <c r="K260" i="11"/>
  <c r="Q260" i="11" s="1"/>
  <c r="L588" i="7"/>
  <c r="O588" i="7"/>
  <c r="L753" i="7"/>
  <c r="O753" i="7"/>
  <c r="I1073" i="6"/>
  <c r="K753" i="7"/>
  <c r="M753" i="7" s="1"/>
  <c r="F753" i="7"/>
  <c r="J973" i="8"/>
  <c r="I1031" i="8"/>
  <c r="E477" i="8"/>
  <c r="B1038" i="7"/>
  <c r="C1038" i="7"/>
  <c r="D1038" i="7" s="1"/>
  <c r="L589" i="8"/>
  <c r="N589" i="8" s="1"/>
  <c r="O589" i="8"/>
  <c r="I644" i="8"/>
  <c r="J644" i="8" s="1"/>
  <c r="L644" i="8" s="1"/>
  <c r="B148" i="8"/>
  <c r="O149" i="8"/>
  <c r="K149" i="8"/>
  <c r="CP211" i="11"/>
  <c r="CO211" i="11"/>
  <c r="CN211" i="11"/>
  <c r="CQ211" i="11"/>
  <c r="CM211" i="11"/>
  <c r="CL211" i="11"/>
  <c r="CK211" i="11"/>
  <c r="I1032" i="6"/>
  <c r="N203" i="12"/>
  <c r="F257" i="8"/>
  <c r="L149" i="8"/>
  <c r="I533" i="8"/>
  <c r="J533" i="8" s="1"/>
  <c r="O533" i="8" s="1"/>
  <c r="AT212" i="11"/>
  <c r="I850" i="6"/>
  <c r="N313" i="7"/>
  <c r="AM262" i="11"/>
  <c r="J1210" i="6"/>
  <c r="K369" i="7"/>
  <c r="AV212" i="11"/>
  <c r="N368" i="8"/>
  <c r="B534" i="8"/>
  <c r="K865" i="7"/>
  <c r="M865" i="7" s="1"/>
  <c r="F533" i="8"/>
  <c r="L204" i="7"/>
  <c r="N204" i="7" s="1"/>
  <c r="K460" i="6"/>
  <c r="M460" i="6" s="1"/>
  <c r="O809" i="8"/>
  <c r="K809" i="8"/>
  <c r="M31" i="9"/>
  <c r="P31" i="9" s="1"/>
  <c r="N149" i="7"/>
  <c r="N314" i="8"/>
  <c r="J1408" i="6"/>
  <c r="H1409" i="6" s="1"/>
  <c r="I1409" i="6" s="1"/>
  <c r="H314" i="8"/>
  <c r="D314" i="8"/>
  <c r="H660" i="6"/>
  <c r="J660" i="6" s="1"/>
  <c r="L865" i="7"/>
  <c r="H802" i="6"/>
  <c r="J802" i="6" s="1"/>
  <c r="J700" i="7"/>
  <c r="F808" i="8"/>
  <c r="L809" i="8"/>
  <c r="B700" i="7"/>
  <c r="C700" i="7" s="1"/>
  <c r="O31" i="9"/>
  <c r="H1118" i="6"/>
  <c r="I1118" i="6" s="1"/>
  <c r="B754" i="7"/>
  <c r="B644" i="8"/>
  <c r="C644" i="8" s="1"/>
  <c r="E644" i="8"/>
  <c r="I313" i="12"/>
  <c r="K863" i="8"/>
  <c r="M863" i="8" s="1"/>
  <c r="O863" i="8"/>
  <c r="AL262" i="11"/>
  <c r="M312" i="12"/>
  <c r="O1083" i="8"/>
  <c r="K1083" i="8"/>
  <c r="N150" i="12"/>
  <c r="L1083" i="8"/>
  <c r="N1083" i="8" s="1"/>
  <c r="I480" i="7"/>
  <c r="J480" i="7" s="1"/>
  <c r="L480" i="7"/>
  <c r="K588" i="7"/>
  <c r="B479" i="7"/>
  <c r="C479" i="7" s="1"/>
  <c r="E479" i="7" s="1"/>
  <c r="N753" i="8"/>
  <c r="M322" i="6"/>
  <c r="K323" i="6" s="1"/>
  <c r="L323" i="6" s="1"/>
  <c r="AZ212" i="11"/>
  <c r="J1439" i="6"/>
  <c r="H1440" i="6" s="1"/>
  <c r="I1440" i="6" s="1"/>
  <c r="I259" i="8"/>
  <c r="J259" i="8" s="1"/>
  <c r="L259" i="8" s="1"/>
  <c r="E865" i="8"/>
  <c r="H865" i="8"/>
  <c r="D865" i="8"/>
  <c r="D534" i="7"/>
  <c r="H534" i="7"/>
  <c r="F257" i="12"/>
  <c r="I259" i="12"/>
  <c r="M503" i="6"/>
  <c r="K504" i="6" s="1"/>
  <c r="L504" i="6" s="1"/>
  <c r="M698" i="8"/>
  <c r="E588" i="7"/>
  <c r="H588" i="7"/>
  <c r="C148" i="8"/>
  <c r="E148" i="8" s="1"/>
  <c r="E314" i="8"/>
  <c r="D588" i="7"/>
  <c r="N423" i="7"/>
  <c r="B149" i="12"/>
  <c r="C149" i="12" s="1"/>
  <c r="E149" i="12"/>
  <c r="H891" i="6"/>
  <c r="J891" i="6" s="1"/>
  <c r="I919" i="8"/>
  <c r="J919" i="8" s="1"/>
  <c r="I2926" i="6"/>
  <c r="N423" i="8"/>
  <c r="M553" i="6"/>
  <c r="K554" i="6" s="1"/>
  <c r="L554" i="6" s="1"/>
  <c r="M220" i="6"/>
  <c r="H1493" i="6"/>
  <c r="I1493" i="6" s="1"/>
  <c r="D424" i="8"/>
  <c r="H424" i="8"/>
  <c r="L36" i="10"/>
  <c r="J36" i="10" s="1"/>
  <c r="G698" i="8"/>
  <c r="K415" i="6"/>
  <c r="L415" i="6" s="1"/>
  <c r="C370" i="8"/>
  <c r="I699" i="6"/>
  <c r="J987" i="6"/>
  <c r="H1363" i="6"/>
  <c r="J1363" i="6" s="1"/>
  <c r="G864" i="7"/>
  <c r="H918" i="7"/>
  <c r="E918" i="7"/>
  <c r="G918" i="7" s="1"/>
  <c r="H1164" i="6"/>
  <c r="J1164" i="6" s="1"/>
  <c r="O204" i="7"/>
  <c r="I205" i="8"/>
  <c r="J205" i="8" s="1"/>
  <c r="L205" i="8" s="1"/>
  <c r="F53" i="10"/>
  <c r="B589" i="8"/>
  <c r="C589" i="8" s="1"/>
  <c r="E589" i="8" s="1"/>
  <c r="I644" i="7"/>
  <c r="J644" i="7" s="1"/>
  <c r="H1029" i="8"/>
  <c r="E1029" i="8"/>
  <c r="G1029" i="8" s="1"/>
  <c r="B646" i="7"/>
  <c r="C646" i="7" s="1"/>
  <c r="E646" i="7"/>
  <c r="K259" i="7"/>
  <c r="M259" i="7" s="1"/>
  <c r="O259" i="7"/>
  <c r="M260" i="11"/>
  <c r="R260" i="11" s="1"/>
  <c r="C1085" i="8"/>
  <c r="M1030" i="8"/>
  <c r="N260" i="11"/>
  <c r="C423" i="7"/>
  <c r="N808" i="7"/>
  <c r="G259" i="7"/>
  <c r="E534" i="7"/>
  <c r="I533" i="7"/>
  <c r="J533" i="7" s="1"/>
  <c r="D313" i="12"/>
  <c r="F313" i="12" s="1"/>
  <c r="H313" i="12"/>
  <c r="H604" i="6"/>
  <c r="J604" i="6" s="1"/>
  <c r="K367" i="6"/>
  <c r="L367" i="6" s="1"/>
  <c r="D148" i="7"/>
  <c r="F148" i="7" s="1"/>
  <c r="H148" i="7"/>
  <c r="O479" i="8"/>
  <c r="L479" i="8"/>
  <c r="N479" i="8" s="1"/>
  <c r="G204" i="7"/>
  <c r="M130" i="6"/>
  <c r="K131" i="6" s="1"/>
  <c r="L131" i="6" s="1"/>
  <c r="AK262" i="11"/>
  <c r="M175" i="6"/>
  <c r="E368" i="7"/>
  <c r="G368" i="7" s="1"/>
  <c r="H368" i="7"/>
  <c r="E424" i="8"/>
  <c r="G424" i="8" s="1"/>
  <c r="M258" i="12"/>
  <c r="I941" i="6" l="1"/>
  <c r="J941" i="6"/>
  <c r="D212" i="11"/>
  <c r="F212" i="11"/>
  <c r="G534" i="7"/>
  <c r="D1154" i="7"/>
  <c r="C1155" i="7" s="1"/>
  <c r="H755" i="6"/>
  <c r="I755" i="6" s="1"/>
  <c r="D204" i="8"/>
  <c r="F204" i="8" s="1"/>
  <c r="G212" i="11"/>
  <c r="F754" i="8"/>
  <c r="N259" i="7"/>
  <c r="I260" i="7" s="1"/>
  <c r="J260" i="7" s="1"/>
  <c r="L260" i="7" s="1"/>
  <c r="H204" i="8"/>
  <c r="C212" i="11"/>
  <c r="AF211" i="11"/>
  <c r="J212" i="11" s="1"/>
  <c r="F477" i="8"/>
  <c r="W338" i="11"/>
  <c r="U339" i="11"/>
  <c r="V338" i="11"/>
  <c r="S339" i="11" s="1"/>
  <c r="T339" i="11" s="1"/>
  <c r="Y339" i="11"/>
  <c r="X338" i="11"/>
  <c r="M369" i="7"/>
  <c r="BA212" i="11"/>
  <c r="BC212" i="11" s="1"/>
  <c r="BB212" i="11" s="1"/>
  <c r="BM212" i="11" s="1"/>
  <c r="G203" i="12"/>
  <c r="B204" i="12" s="1"/>
  <c r="J1312" i="6"/>
  <c r="H1313" i="6" s="1"/>
  <c r="I1313" i="6" s="1"/>
  <c r="N588" i="7"/>
  <c r="I589" i="7" s="1"/>
  <c r="N369" i="7"/>
  <c r="I981" i="7"/>
  <c r="E981" i="7"/>
  <c r="J981" i="7"/>
  <c r="F981" i="7"/>
  <c r="G981" i="7" s="1"/>
  <c r="N809" i="8"/>
  <c r="I810" i="8" s="1"/>
  <c r="F588" i="7"/>
  <c r="D1208" i="7"/>
  <c r="F1208" i="7" s="1"/>
  <c r="B1095" i="7"/>
  <c r="C1095" i="7" s="1"/>
  <c r="D1095" i="7" s="1"/>
  <c r="G865" i="8"/>
  <c r="F974" i="8"/>
  <c r="F918" i="8"/>
  <c r="N149" i="8"/>
  <c r="I150" i="8" s="1"/>
  <c r="F918" i="7"/>
  <c r="G314" i="8"/>
  <c r="N865" i="7"/>
  <c r="I866" i="7" s="1"/>
  <c r="J866" i="7" s="1"/>
  <c r="O866" i="7" s="1"/>
  <c r="H700" i="7"/>
  <c r="D700" i="7"/>
  <c r="E700" i="7"/>
  <c r="G700" i="7" s="1"/>
  <c r="F1038" i="7"/>
  <c r="E1038" i="7"/>
  <c r="I1038" i="7"/>
  <c r="H1038" i="7"/>
  <c r="B1039" i="7" s="1"/>
  <c r="G1038" i="7"/>
  <c r="J1038" i="7"/>
  <c r="C1039" i="7"/>
  <c r="D1039" i="7" s="1"/>
  <c r="K1038" i="7"/>
  <c r="H1441" i="6"/>
  <c r="I1441" i="6" s="1"/>
  <c r="O533" i="7"/>
  <c r="L533" i="7"/>
  <c r="K533" i="7"/>
  <c r="M533" i="7" s="1"/>
  <c r="B425" i="8"/>
  <c r="C54" i="10"/>
  <c r="D54" i="10"/>
  <c r="E54" i="10"/>
  <c r="J1031" i="8"/>
  <c r="H370" i="8"/>
  <c r="E370" i="8"/>
  <c r="I1254" i="6"/>
  <c r="G588" i="7"/>
  <c r="I204" i="12"/>
  <c r="J204" i="12" s="1"/>
  <c r="L204" i="12" s="1"/>
  <c r="H1033" i="6"/>
  <c r="J1033" i="6" s="1"/>
  <c r="I370" i="7"/>
  <c r="M504" i="6"/>
  <c r="K505" i="6" s="1"/>
  <c r="L505" i="6" s="1"/>
  <c r="I802" i="6"/>
  <c r="K533" i="8"/>
  <c r="BS212" i="11"/>
  <c r="K221" i="6"/>
  <c r="L221" i="6" s="1"/>
  <c r="H479" i="7"/>
  <c r="D479" i="7"/>
  <c r="F479" i="7" s="1"/>
  <c r="L533" i="8"/>
  <c r="H1085" i="8"/>
  <c r="E1085" i="8"/>
  <c r="I424" i="8"/>
  <c r="J424" i="8" s="1"/>
  <c r="L424" i="8" s="1"/>
  <c r="L275" i="6"/>
  <c r="D1085" i="8"/>
  <c r="H2927" i="6"/>
  <c r="J2927" i="6" s="1"/>
  <c r="D148" i="8"/>
  <c r="F148" i="8" s="1"/>
  <c r="AN262" i="11"/>
  <c r="AO262" i="11" s="1"/>
  <c r="U260" i="11"/>
  <c r="I150" i="7"/>
  <c r="J150" i="7" s="1"/>
  <c r="M131" i="6"/>
  <c r="J1440" i="6"/>
  <c r="H148" i="8"/>
  <c r="F313" i="7"/>
  <c r="O480" i="7"/>
  <c r="K480" i="7"/>
  <c r="M480" i="7" s="1"/>
  <c r="N31" i="9"/>
  <c r="Q31" i="9" s="1"/>
  <c r="R31" i="9" s="1"/>
  <c r="I480" i="8"/>
  <c r="B260" i="7"/>
  <c r="C260" i="7" s="1"/>
  <c r="E260" i="7" s="1"/>
  <c r="C809" i="8"/>
  <c r="CR211" i="11"/>
  <c r="BV212" i="11" s="1"/>
  <c r="BQ212" i="11"/>
  <c r="BO212" i="11"/>
  <c r="I920" i="7"/>
  <c r="B1030" i="8"/>
  <c r="D644" i="8"/>
  <c r="F644" i="8" s="1"/>
  <c r="H644" i="8"/>
  <c r="M919" i="7"/>
  <c r="O644" i="7"/>
  <c r="K644" i="7"/>
  <c r="M644" i="7" s="1"/>
  <c r="I1363" i="6"/>
  <c r="D149" i="12"/>
  <c r="F149" i="12" s="1"/>
  <c r="H149" i="12"/>
  <c r="B755" i="8"/>
  <c r="G313" i="12"/>
  <c r="M479" i="8"/>
  <c r="I754" i="8"/>
  <c r="J754" i="8" s="1"/>
  <c r="L754" i="8"/>
  <c r="J313" i="12"/>
  <c r="I315" i="8"/>
  <c r="J315" i="8" s="1"/>
  <c r="K205" i="8"/>
  <c r="M205" i="8" s="1"/>
  <c r="O205" i="8"/>
  <c r="B315" i="8"/>
  <c r="I604" i="6"/>
  <c r="L973" i="8"/>
  <c r="N973" i="8" s="1"/>
  <c r="O973" i="8"/>
  <c r="B314" i="7"/>
  <c r="O919" i="8"/>
  <c r="K919" i="8"/>
  <c r="M588" i="7"/>
  <c r="M149" i="8"/>
  <c r="K973" i="8"/>
  <c r="I1164" i="6"/>
  <c r="L919" i="8"/>
  <c r="D809" i="7"/>
  <c r="F809" i="7" s="1"/>
  <c r="B205" i="7"/>
  <c r="C205" i="7" s="1"/>
  <c r="E205" i="7"/>
  <c r="B919" i="7"/>
  <c r="I369" i="8"/>
  <c r="J369" i="8" s="1"/>
  <c r="L369" i="8"/>
  <c r="G646" i="7"/>
  <c r="B699" i="8"/>
  <c r="C699" i="8" s="1"/>
  <c r="E699" i="8"/>
  <c r="I660" i="6"/>
  <c r="G477" i="8"/>
  <c r="F1029" i="8"/>
  <c r="M589" i="8"/>
  <c r="H646" i="7"/>
  <c r="D646" i="7"/>
  <c r="F646" i="7" s="1"/>
  <c r="F314" i="8"/>
  <c r="J1493" i="6"/>
  <c r="B865" i="7"/>
  <c r="C865" i="7" s="1"/>
  <c r="E865" i="7" s="1"/>
  <c r="I891" i="6"/>
  <c r="O700" i="7"/>
  <c r="L700" i="7"/>
  <c r="C258" i="12"/>
  <c r="D258" i="12" s="1"/>
  <c r="M367" i="6"/>
  <c r="F368" i="7"/>
  <c r="J1409" i="6"/>
  <c r="H1074" i="6"/>
  <c r="J1074" i="6" s="1"/>
  <c r="M340" i="11"/>
  <c r="Q340" i="11" s="1"/>
  <c r="H423" i="7"/>
  <c r="E423" i="7"/>
  <c r="L644" i="7"/>
  <c r="I424" i="7"/>
  <c r="J424" i="7" s="1"/>
  <c r="L424" i="7"/>
  <c r="F534" i="7"/>
  <c r="I151" i="12"/>
  <c r="J151" i="12" s="1"/>
  <c r="N863" i="8"/>
  <c r="L460" i="6"/>
  <c r="BR212" i="11"/>
  <c r="BP212" i="11"/>
  <c r="G974" i="8"/>
  <c r="G148" i="7"/>
  <c r="M204" i="7"/>
  <c r="I809" i="7"/>
  <c r="J809" i="7" s="1"/>
  <c r="M36" i="10"/>
  <c r="I36" i="10" s="1"/>
  <c r="E809" i="7"/>
  <c r="I1084" i="8"/>
  <c r="M809" i="8"/>
  <c r="K176" i="6"/>
  <c r="L176" i="6" s="1"/>
  <c r="K700" i="7"/>
  <c r="J259" i="12"/>
  <c r="D423" i="7"/>
  <c r="F423" i="7" s="1"/>
  <c r="F424" i="8"/>
  <c r="F865" i="8"/>
  <c r="M1083" i="8"/>
  <c r="I205" i="7"/>
  <c r="I314" i="7"/>
  <c r="J314" i="7" s="1"/>
  <c r="L314" i="7" s="1"/>
  <c r="H988" i="6"/>
  <c r="I988" i="6" s="1"/>
  <c r="G918" i="8"/>
  <c r="H1211" i="6"/>
  <c r="I1211" i="6" s="1"/>
  <c r="H1154" i="7"/>
  <c r="B1155" i="7" s="1"/>
  <c r="B866" i="8"/>
  <c r="I590" i="8"/>
  <c r="M554" i="6"/>
  <c r="T260" i="11"/>
  <c r="V260" i="11" s="1"/>
  <c r="X260" i="11"/>
  <c r="W260" i="11"/>
  <c r="B369" i="7"/>
  <c r="K259" i="8"/>
  <c r="M259" i="8" s="1"/>
  <c r="O259" i="8"/>
  <c r="S31" i="9"/>
  <c r="F203" i="12"/>
  <c r="D370" i="8"/>
  <c r="E340" i="11"/>
  <c r="I340" i="11" s="1"/>
  <c r="C258" i="8"/>
  <c r="J1118" i="6"/>
  <c r="J699" i="8"/>
  <c r="K699" i="8" s="1"/>
  <c r="C754" i="7"/>
  <c r="B535" i="7"/>
  <c r="H589" i="8"/>
  <c r="D589" i="8"/>
  <c r="F589" i="8" s="1"/>
  <c r="H700" i="6"/>
  <c r="J700" i="6" s="1"/>
  <c r="M415" i="6"/>
  <c r="K416" i="6" s="1"/>
  <c r="L416" i="6" s="1"/>
  <c r="M323" i="6"/>
  <c r="K324" i="6" s="1"/>
  <c r="L324" i="6" s="1"/>
  <c r="C534" i="8"/>
  <c r="H851" i="6"/>
  <c r="J851" i="6" s="1"/>
  <c r="K644" i="8"/>
  <c r="M644" i="8" s="1"/>
  <c r="O644" i="8"/>
  <c r="N753" i="7"/>
  <c r="J755" i="6" l="1"/>
  <c r="H756" i="6" s="1"/>
  <c r="E1154" i="7"/>
  <c r="W339" i="11"/>
  <c r="X339" i="11"/>
  <c r="V339" i="11"/>
  <c r="S340" i="11" s="1"/>
  <c r="T340" i="11" s="1"/>
  <c r="U340" i="11"/>
  <c r="Y340" i="11" s="1"/>
  <c r="F1154" i="7"/>
  <c r="J370" i="7"/>
  <c r="F1085" i="8"/>
  <c r="H942" i="6"/>
  <c r="J1313" i="6"/>
  <c r="J1154" i="7"/>
  <c r="J1155" i="7" s="1"/>
  <c r="G204" i="8"/>
  <c r="B205" i="8" s="1"/>
  <c r="C205" i="8" s="1"/>
  <c r="E205" i="8" s="1"/>
  <c r="G644" i="8"/>
  <c r="B645" i="8" s="1"/>
  <c r="C645" i="8" s="1"/>
  <c r="H645" i="8" s="1"/>
  <c r="E212" i="11"/>
  <c r="C919" i="7"/>
  <c r="G1154" i="7"/>
  <c r="D1155" i="7" s="1"/>
  <c r="E1155" i="7" s="1"/>
  <c r="I1154" i="7"/>
  <c r="N205" i="8"/>
  <c r="K1154" i="7"/>
  <c r="K1155" i="7" s="1"/>
  <c r="C755" i="8"/>
  <c r="E755" i="8" s="1"/>
  <c r="I1095" i="7"/>
  <c r="J1095" i="7"/>
  <c r="F1095" i="7"/>
  <c r="E1095" i="7"/>
  <c r="G1095" i="7" s="1"/>
  <c r="K1095" i="7"/>
  <c r="C1209" i="7"/>
  <c r="H1208" i="7"/>
  <c r="B1209" i="7" s="1"/>
  <c r="K1208" i="7"/>
  <c r="H981" i="7"/>
  <c r="E1208" i="7"/>
  <c r="G149" i="12"/>
  <c r="B150" i="12" s="1"/>
  <c r="C150" i="12" s="1"/>
  <c r="M533" i="8"/>
  <c r="G1208" i="7"/>
  <c r="J1208" i="7"/>
  <c r="N36" i="10"/>
  <c r="H36" i="10" s="1"/>
  <c r="K36" i="10" s="1"/>
  <c r="L37" i="10" s="1"/>
  <c r="I1208" i="7"/>
  <c r="G370" i="8"/>
  <c r="K981" i="7"/>
  <c r="M700" i="7"/>
  <c r="M919" i="8"/>
  <c r="O370" i="7"/>
  <c r="K370" i="7"/>
  <c r="L370" i="7"/>
  <c r="N370" i="7" s="1"/>
  <c r="I1039" i="7"/>
  <c r="F1039" i="7"/>
  <c r="J1039" i="7"/>
  <c r="E1039" i="7"/>
  <c r="D919" i="7"/>
  <c r="H919" i="7"/>
  <c r="E919" i="7"/>
  <c r="AQ262" i="11"/>
  <c r="AW262" i="11" s="1"/>
  <c r="AV262" i="11"/>
  <c r="AR262" i="11"/>
  <c r="AT262" i="11"/>
  <c r="AS262" i="11"/>
  <c r="AX262" i="11" s="1"/>
  <c r="AU262" i="11"/>
  <c r="AY262" i="11" s="1"/>
  <c r="BD262" i="11" s="1"/>
  <c r="F31" i="9"/>
  <c r="E31" i="9"/>
  <c r="G31" i="9"/>
  <c r="B647" i="7"/>
  <c r="C647" i="7" s="1"/>
  <c r="E647" i="7" s="1"/>
  <c r="O315" i="8"/>
  <c r="K315" i="8"/>
  <c r="E258" i="8"/>
  <c r="H258" i="8"/>
  <c r="I1033" i="6"/>
  <c r="E754" i="7"/>
  <c r="H754" i="7"/>
  <c r="N314" i="7"/>
  <c r="C315" i="8"/>
  <c r="D315" i="8" s="1"/>
  <c r="N754" i="8"/>
  <c r="BT212" i="11"/>
  <c r="BU212" i="11" s="1"/>
  <c r="CB212" i="11" s="1"/>
  <c r="H340" i="11"/>
  <c r="G340" i="11"/>
  <c r="F340" i="11"/>
  <c r="C341" i="11" s="1"/>
  <c r="D341" i="11" s="1"/>
  <c r="I864" i="8"/>
  <c r="J864" i="8" s="1"/>
  <c r="L864" i="8" s="1"/>
  <c r="O754" i="8"/>
  <c r="K754" i="8"/>
  <c r="M754" i="8" s="1"/>
  <c r="O151" i="12"/>
  <c r="K151" i="12"/>
  <c r="K260" i="7"/>
  <c r="M260" i="7" s="1"/>
  <c r="N644" i="8"/>
  <c r="J590" i="8"/>
  <c r="M176" i="6"/>
  <c r="K177" i="6" s="1"/>
  <c r="L177" i="6" s="1"/>
  <c r="J1084" i="8"/>
  <c r="K1084" i="8" s="1"/>
  <c r="O150" i="7"/>
  <c r="K150" i="7"/>
  <c r="M150" i="7" s="1"/>
  <c r="M221" i="6"/>
  <c r="N919" i="8"/>
  <c r="L150" i="7"/>
  <c r="K424" i="8"/>
  <c r="M424" i="8" s="1"/>
  <c r="O424" i="8"/>
  <c r="B589" i="7"/>
  <c r="C589" i="7" s="1"/>
  <c r="G148" i="8"/>
  <c r="I754" i="7"/>
  <c r="J754" i="7" s="1"/>
  <c r="L754" i="7"/>
  <c r="J1211" i="6"/>
  <c r="H755" i="8"/>
  <c r="D755" i="8"/>
  <c r="F755" i="8" s="1"/>
  <c r="O369" i="8"/>
  <c r="K369" i="8"/>
  <c r="M369" i="8" s="1"/>
  <c r="O313" i="12"/>
  <c r="L313" i="12"/>
  <c r="K313" i="12"/>
  <c r="M313" i="12" s="1"/>
  <c r="L1031" i="8"/>
  <c r="O1031" i="8"/>
  <c r="I851" i="6"/>
  <c r="J810" i="8"/>
  <c r="H1364" i="6"/>
  <c r="J1364" i="6" s="1"/>
  <c r="E534" i="8"/>
  <c r="H534" i="8"/>
  <c r="D205" i="7"/>
  <c r="F205" i="7" s="1"/>
  <c r="H205" i="7"/>
  <c r="F370" i="8"/>
  <c r="H258" i="12"/>
  <c r="E258" i="12"/>
  <c r="G258" i="12" s="1"/>
  <c r="H803" i="6"/>
  <c r="J803" i="6" s="1"/>
  <c r="L699" i="8"/>
  <c r="N699" i="8" s="1"/>
  <c r="O699" i="8"/>
  <c r="G809" i="7"/>
  <c r="L151" i="12"/>
  <c r="C1030" i="8"/>
  <c r="H605" i="6"/>
  <c r="J605" i="6" s="1"/>
  <c r="K204" i="12"/>
  <c r="M204" i="12" s="1"/>
  <c r="O204" i="12"/>
  <c r="I206" i="8"/>
  <c r="M416" i="6"/>
  <c r="C866" i="8"/>
  <c r="D866" i="8" s="1"/>
  <c r="O809" i="7"/>
  <c r="K809" i="7"/>
  <c r="O424" i="7"/>
  <c r="K424" i="7"/>
  <c r="M424" i="7" s="1"/>
  <c r="H1165" i="6"/>
  <c r="J1165" i="6" s="1"/>
  <c r="K866" i="7"/>
  <c r="J920" i="7"/>
  <c r="G1085" i="8"/>
  <c r="F54" i="10"/>
  <c r="B701" i="7"/>
  <c r="H892" i="6"/>
  <c r="J892" i="6" s="1"/>
  <c r="P340" i="11"/>
  <c r="O340" i="11"/>
  <c r="N340" i="11"/>
  <c r="K341" i="11" s="1"/>
  <c r="L315" i="8"/>
  <c r="N315" i="8" s="1"/>
  <c r="H1119" i="6"/>
  <c r="I1119" i="6" s="1"/>
  <c r="D258" i="8"/>
  <c r="F258" i="8" s="1"/>
  <c r="I1074" i="6"/>
  <c r="C369" i="7"/>
  <c r="I974" i="8"/>
  <c r="C314" i="7"/>
  <c r="K1031" i="8"/>
  <c r="M1031" i="8" s="1"/>
  <c r="D754" i="7"/>
  <c r="J1441" i="6"/>
  <c r="H1442" i="6" s="1"/>
  <c r="I1442" i="6" s="1"/>
  <c r="H809" i="8"/>
  <c r="E809" i="8"/>
  <c r="K276" i="6"/>
  <c r="M276" i="6" s="1"/>
  <c r="G479" i="7"/>
  <c r="M324" i="6"/>
  <c r="C204" i="12"/>
  <c r="C535" i="7"/>
  <c r="D809" i="8"/>
  <c r="C425" i="8"/>
  <c r="D425" i="8" s="1"/>
  <c r="I700" i="6"/>
  <c r="K368" i="6"/>
  <c r="L368" i="6" s="1"/>
  <c r="L809" i="7"/>
  <c r="B478" i="8"/>
  <c r="C478" i="8" s="1"/>
  <c r="O260" i="7"/>
  <c r="H1255" i="6"/>
  <c r="J1255" i="6" s="1"/>
  <c r="N533" i="7"/>
  <c r="K555" i="6"/>
  <c r="L555" i="6" s="1"/>
  <c r="F700" i="7"/>
  <c r="B371" i="8"/>
  <c r="H1494" i="6"/>
  <c r="I1494" i="6" s="1"/>
  <c r="N259" i="8"/>
  <c r="H1410" i="6"/>
  <c r="I1410" i="6" s="1"/>
  <c r="C1156" i="7"/>
  <c r="I1155" i="7"/>
  <c r="G1155" i="7"/>
  <c r="H1155" i="7"/>
  <c r="B1156" i="7" s="1"/>
  <c r="M505" i="6"/>
  <c r="D865" i="7"/>
  <c r="F865" i="7" s="1"/>
  <c r="H865" i="7"/>
  <c r="BJ212" i="11"/>
  <c r="BI212" i="11"/>
  <c r="BH212" i="11"/>
  <c r="BF212" i="11"/>
  <c r="BE212" i="11"/>
  <c r="BK212" i="11"/>
  <c r="BG212" i="11"/>
  <c r="AG260" i="11"/>
  <c r="B919" i="8"/>
  <c r="C919" i="8" s="1"/>
  <c r="E919" i="8" s="1"/>
  <c r="K461" i="6"/>
  <c r="M461" i="6" s="1"/>
  <c r="K314" i="7"/>
  <c r="M314" i="7" s="1"/>
  <c r="O314" i="7"/>
  <c r="I2927" i="6"/>
  <c r="D534" i="8"/>
  <c r="J205" i="7"/>
  <c r="J988" i="6"/>
  <c r="H989" i="6" s="1"/>
  <c r="I989" i="6" s="1"/>
  <c r="H661" i="6"/>
  <c r="J661" i="6" s="1"/>
  <c r="M973" i="8"/>
  <c r="J480" i="8"/>
  <c r="H260" i="7"/>
  <c r="D260" i="7"/>
  <c r="F260" i="7" s="1"/>
  <c r="N533" i="8"/>
  <c r="O259" i="12"/>
  <c r="L259" i="12"/>
  <c r="B149" i="7"/>
  <c r="C149" i="7" s="1"/>
  <c r="E149" i="7" s="1"/>
  <c r="N644" i="7"/>
  <c r="N700" i="7"/>
  <c r="J150" i="8"/>
  <c r="N480" i="7"/>
  <c r="K259" i="12"/>
  <c r="M259" i="12" s="1"/>
  <c r="B975" i="8"/>
  <c r="C975" i="8" s="1"/>
  <c r="G423" i="7"/>
  <c r="H699" i="8"/>
  <c r="D699" i="8"/>
  <c r="F699" i="8" s="1"/>
  <c r="J589" i="7"/>
  <c r="J206" i="8"/>
  <c r="L206" i="8" s="1"/>
  <c r="B314" i="12"/>
  <c r="C314" i="12" s="1"/>
  <c r="E314" i="12" s="1"/>
  <c r="L866" i="7"/>
  <c r="N866" i="7" s="1"/>
  <c r="K132" i="6"/>
  <c r="L132" i="6" s="1"/>
  <c r="G589" i="8"/>
  <c r="J756" i="6" l="1"/>
  <c r="I756" i="6"/>
  <c r="I942" i="6"/>
  <c r="J942" i="6"/>
  <c r="G534" i="8"/>
  <c r="B535" i="8" s="1"/>
  <c r="F919" i="7"/>
  <c r="F754" i="7"/>
  <c r="F1155" i="7"/>
  <c r="H1314" i="6"/>
  <c r="I1314" i="6" s="1"/>
  <c r="J1119" i="6"/>
  <c r="H1120" i="6" s="1"/>
  <c r="I1120" i="6" s="1"/>
  <c r="W340" i="11"/>
  <c r="V340" i="11"/>
  <c r="S341" i="11" s="1"/>
  <c r="T341" i="11" s="1"/>
  <c r="U341" i="11"/>
  <c r="X340" i="11"/>
  <c r="D1209" i="7"/>
  <c r="N424" i="8"/>
  <c r="H212" i="11"/>
  <c r="I212" i="11" s="1"/>
  <c r="K212" i="11"/>
  <c r="Q212" i="11" s="1"/>
  <c r="L212" i="11"/>
  <c r="M809" i="7"/>
  <c r="F258" i="12"/>
  <c r="J1209" i="7"/>
  <c r="B982" i="7"/>
  <c r="C982" i="7"/>
  <c r="D982" i="7" s="1"/>
  <c r="G205" i="7"/>
  <c r="B206" i="7" s="1"/>
  <c r="C206" i="7" s="1"/>
  <c r="H206" i="7" s="1"/>
  <c r="J1494" i="6"/>
  <c r="H1495" i="6" s="1"/>
  <c r="J1495" i="6" s="1"/>
  <c r="G699" i="8"/>
  <c r="B700" i="8" s="1"/>
  <c r="C700" i="8" s="1"/>
  <c r="BW212" i="11"/>
  <c r="CC212" i="11" s="1"/>
  <c r="K1039" i="7"/>
  <c r="K1209" i="7"/>
  <c r="I605" i="6"/>
  <c r="G755" i="8"/>
  <c r="B756" i="8" s="1"/>
  <c r="C756" i="8" s="1"/>
  <c r="H1095" i="7"/>
  <c r="G1209" i="7"/>
  <c r="O206" i="8"/>
  <c r="G809" i="8"/>
  <c r="B810" i="8" s="1"/>
  <c r="J1410" i="6"/>
  <c r="H1411" i="6" s="1"/>
  <c r="I1411" i="6" s="1"/>
  <c r="E645" i="8"/>
  <c r="G645" i="8" s="1"/>
  <c r="H1209" i="7"/>
  <c r="B1210" i="7" s="1"/>
  <c r="G260" i="7"/>
  <c r="B261" i="7" s="1"/>
  <c r="C261" i="7" s="1"/>
  <c r="E261" i="7" s="1"/>
  <c r="F1209" i="7"/>
  <c r="CA212" i="11"/>
  <c r="CE212" i="11" s="1"/>
  <c r="N369" i="8"/>
  <c r="I370" i="8" s="1"/>
  <c r="J370" i="8" s="1"/>
  <c r="N151" i="12"/>
  <c r="I152" i="12" s="1"/>
  <c r="D1156" i="7"/>
  <c r="F1156" i="7" s="1"/>
  <c r="C1157" i="7"/>
  <c r="E150" i="12"/>
  <c r="H150" i="12"/>
  <c r="D150" i="12"/>
  <c r="F150" i="12" s="1"/>
  <c r="N206" i="8"/>
  <c r="F315" i="8"/>
  <c r="AJ213" i="11"/>
  <c r="M37" i="10"/>
  <c r="I37" i="10" s="1"/>
  <c r="L480" i="8"/>
  <c r="O480" i="8"/>
  <c r="H31" i="9"/>
  <c r="I31" i="9" s="1"/>
  <c r="L32" i="9"/>
  <c r="G1039" i="7"/>
  <c r="H1039" i="7"/>
  <c r="J974" i="8"/>
  <c r="K974" i="8" s="1"/>
  <c r="H2928" i="6"/>
  <c r="J2928" i="6" s="1"/>
  <c r="J1442" i="6"/>
  <c r="H1443" i="6" s="1"/>
  <c r="I1443" i="6" s="1"/>
  <c r="H1075" i="6"/>
  <c r="J1075" i="6" s="1"/>
  <c r="I1364" i="6"/>
  <c r="D645" i="8"/>
  <c r="H701" i="6"/>
  <c r="J701" i="6" s="1"/>
  <c r="L810" i="8"/>
  <c r="O810" i="8"/>
  <c r="M151" i="12"/>
  <c r="D314" i="12"/>
  <c r="F314" i="12" s="1"/>
  <c r="H314" i="12"/>
  <c r="B810" i="7"/>
  <c r="C810" i="7" s="1"/>
  <c r="E810" i="7" s="1"/>
  <c r="I425" i="8"/>
  <c r="J425" i="8" s="1"/>
  <c r="I534" i="7"/>
  <c r="J534" i="7" s="1"/>
  <c r="L534" i="7"/>
  <c r="L205" i="7"/>
  <c r="N205" i="7" s="1"/>
  <c r="O205" i="7"/>
  <c r="F809" i="8"/>
  <c r="C55" i="10"/>
  <c r="E55" i="10"/>
  <c r="D55" i="10"/>
  <c r="I700" i="8"/>
  <c r="G258" i="8"/>
  <c r="O589" i="7"/>
  <c r="L589" i="7"/>
  <c r="K205" i="7"/>
  <c r="K754" i="7"/>
  <c r="M754" i="7" s="1"/>
  <c r="O754" i="7"/>
  <c r="M370" i="7"/>
  <c r="E369" i="7"/>
  <c r="H369" i="7"/>
  <c r="I803" i="6"/>
  <c r="H1034" i="6"/>
  <c r="J1034" i="6" s="1"/>
  <c r="E204" i="12"/>
  <c r="H204" i="12"/>
  <c r="H589" i="7"/>
  <c r="D589" i="7"/>
  <c r="F589" i="7" s="1"/>
  <c r="K417" i="6"/>
  <c r="L417" i="6" s="1"/>
  <c r="N259" i="12"/>
  <c r="BX212" i="11"/>
  <c r="D204" i="12"/>
  <c r="L341" i="11"/>
  <c r="M341" i="11" s="1"/>
  <c r="Q341" i="11" s="1"/>
  <c r="D205" i="8"/>
  <c r="F205" i="8" s="1"/>
  <c r="H205" i="8"/>
  <c r="M555" i="6"/>
  <c r="E589" i="7"/>
  <c r="M177" i="6"/>
  <c r="K178" i="6" s="1"/>
  <c r="L178" i="6" s="1"/>
  <c r="AZ262" i="11"/>
  <c r="I481" i="7"/>
  <c r="J481" i="7" s="1"/>
  <c r="M132" i="6"/>
  <c r="K133" i="6" s="1"/>
  <c r="L133" i="6" s="1"/>
  <c r="N424" i="7"/>
  <c r="O150" i="8"/>
  <c r="L150" i="8"/>
  <c r="C701" i="7"/>
  <c r="H647" i="7"/>
  <c r="I661" i="6"/>
  <c r="E314" i="7"/>
  <c r="H314" i="7"/>
  <c r="BY212" i="11"/>
  <c r="CD212" i="11" s="1"/>
  <c r="D314" i="7"/>
  <c r="K206" i="8"/>
  <c r="M206" i="8" s="1"/>
  <c r="BA262" i="11"/>
  <c r="BC262" i="11"/>
  <c r="BB262" i="11" s="1"/>
  <c r="I1255" i="6"/>
  <c r="B1086" i="8"/>
  <c r="C1086" i="8" s="1"/>
  <c r="E1086" i="8" s="1"/>
  <c r="N1031" i="8"/>
  <c r="G754" i="7"/>
  <c r="M315" i="8"/>
  <c r="K864" i="8"/>
  <c r="M864" i="8" s="1"/>
  <c r="O864" i="8"/>
  <c r="O590" i="8"/>
  <c r="L590" i="8"/>
  <c r="I260" i="8"/>
  <c r="J260" i="8" s="1"/>
  <c r="H478" i="8"/>
  <c r="D478" i="8"/>
  <c r="B480" i="7"/>
  <c r="C480" i="7" s="1"/>
  <c r="M866" i="7"/>
  <c r="H1030" i="8"/>
  <c r="E1030" i="8"/>
  <c r="N313" i="12"/>
  <c r="K590" i="8"/>
  <c r="N260" i="7"/>
  <c r="G865" i="7"/>
  <c r="D647" i="7"/>
  <c r="F647" i="7" s="1"/>
  <c r="K810" i="8"/>
  <c r="J989" i="6"/>
  <c r="H990" i="6" s="1"/>
  <c r="I990" i="6" s="1"/>
  <c r="AI213" i="11"/>
  <c r="BL212" i="11"/>
  <c r="AP213" i="11" s="1"/>
  <c r="I315" i="7"/>
  <c r="J315" i="7" s="1"/>
  <c r="I316" i="8"/>
  <c r="I371" i="7"/>
  <c r="I645" i="7"/>
  <c r="J645" i="7" s="1"/>
  <c r="L645" i="7" s="1"/>
  <c r="H757" i="6"/>
  <c r="J757" i="6" s="1"/>
  <c r="K589" i="7"/>
  <c r="M589" i="7" s="1"/>
  <c r="L920" i="7"/>
  <c r="O920" i="7"/>
  <c r="B149" i="8"/>
  <c r="C149" i="8" s="1"/>
  <c r="E149" i="8" s="1"/>
  <c r="L461" i="6"/>
  <c r="B259" i="12"/>
  <c r="C259" i="12" s="1"/>
  <c r="N204" i="12"/>
  <c r="D975" i="8"/>
  <c r="H975" i="8"/>
  <c r="I534" i="8"/>
  <c r="J534" i="8" s="1"/>
  <c r="L534" i="8"/>
  <c r="H919" i="8"/>
  <c r="D919" i="8"/>
  <c r="F919" i="8" s="1"/>
  <c r="E478" i="8"/>
  <c r="G478" i="8" s="1"/>
  <c r="D1030" i="8"/>
  <c r="N150" i="7"/>
  <c r="I645" i="8"/>
  <c r="J645" i="8" s="1"/>
  <c r="E341" i="11"/>
  <c r="I341" i="11" s="1"/>
  <c r="G919" i="7"/>
  <c r="K506" i="6"/>
  <c r="L506" i="6" s="1"/>
  <c r="K325" i="6"/>
  <c r="L325" i="6" s="1"/>
  <c r="I867" i="7"/>
  <c r="J37" i="10"/>
  <c r="K480" i="8"/>
  <c r="M368" i="6"/>
  <c r="K369" i="6" s="1"/>
  <c r="L369" i="6" s="1"/>
  <c r="I892" i="6"/>
  <c r="I920" i="8"/>
  <c r="J920" i="8" s="1"/>
  <c r="L920" i="8"/>
  <c r="I755" i="8"/>
  <c r="J755" i="8" s="1"/>
  <c r="O755" i="8" s="1"/>
  <c r="E425" i="8"/>
  <c r="G425" i="8" s="1"/>
  <c r="H425" i="8"/>
  <c r="E866" i="8"/>
  <c r="G866" i="8" s="1"/>
  <c r="H866" i="8"/>
  <c r="H315" i="8"/>
  <c r="E315" i="8"/>
  <c r="G315" i="8" s="1"/>
  <c r="K150" i="8"/>
  <c r="H1212" i="6"/>
  <c r="I1212" i="6" s="1"/>
  <c r="H852" i="6"/>
  <c r="J852" i="6" s="1"/>
  <c r="I701" i="7"/>
  <c r="J701" i="7" s="1"/>
  <c r="E535" i="7"/>
  <c r="H535" i="7"/>
  <c r="L1084" i="8"/>
  <c r="N1084" i="8" s="1"/>
  <c r="O1084" i="8"/>
  <c r="H149" i="7"/>
  <c r="D149" i="7"/>
  <c r="F149" i="7" s="1"/>
  <c r="BZ212" i="11"/>
  <c r="D535" i="7"/>
  <c r="D369" i="7"/>
  <c r="K920" i="7"/>
  <c r="C371" i="8"/>
  <c r="M699" i="8"/>
  <c r="B424" i="7"/>
  <c r="C424" i="7" s="1"/>
  <c r="E424" i="7" s="1"/>
  <c r="B590" i="8"/>
  <c r="C590" i="8" s="1"/>
  <c r="E590" i="8"/>
  <c r="E975" i="8"/>
  <c r="G975" i="8" s="1"/>
  <c r="F534" i="8"/>
  <c r="AC260" i="11"/>
  <c r="AB260" i="11"/>
  <c r="AA260" i="11"/>
  <c r="AD260" i="11"/>
  <c r="Z260" i="11"/>
  <c r="Y260" i="11"/>
  <c r="AE260" i="11"/>
  <c r="N809" i="7"/>
  <c r="L276" i="6"/>
  <c r="K222" i="6"/>
  <c r="L222" i="6" s="1"/>
  <c r="I1165" i="6"/>
  <c r="G535" i="7" l="1"/>
  <c r="H943" i="6"/>
  <c r="I943" i="6" s="1"/>
  <c r="J943" i="6"/>
  <c r="M212" i="11"/>
  <c r="R212" i="11" s="1"/>
  <c r="O212" i="11"/>
  <c r="S212" i="11" s="1"/>
  <c r="N212" i="11"/>
  <c r="P212" i="11"/>
  <c r="M506" i="6"/>
  <c r="M417" i="6"/>
  <c r="K418" i="6" s="1"/>
  <c r="M325" i="6"/>
  <c r="K326" i="6" s="1"/>
  <c r="Y341" i="11"/>
  <c r="G314" i="12"/>
  <c r="B315" i="12" s="1"/>
  <c r="C315" i="12" s="1"/>
  <c r="H315" i="12" s="1"/>
  <c r="F1030" i="8"/>
  <c r="M480" i="8"/>
  <c r="T212" i="11"/>
  <c r="CF212" i="11"/>
  <c r="I1209" i="7"/>
  <c r="E1209" i="7"/>
  <c r="C1210" i="7"/>
  <c r="D1210" i="7" s="1"/>
  <c r="J1314" i="6"/>
  <c r="H1315" i="6" s="1"/>
  <c r="E700" i="8"/>
  <c r="H700" i="8"/>
  <c r="H261" i="7"/>
  <c r="G1156" i="7"/>
  <c r="D1157" i="7" s="1"/>
  <c r="J1156" i="7"/>
  <c r="J1212" i="6"/>
  <c r="H1213" i="6" s="1"/>
  <c r="F314" i="7"/>
  <c r="M150" i="8"/>
  <c r="I1156" i="7"/>
  <c r="M920" i="7"/>
  <c r="J1120" i="6"/>
  <c r="H1121" i="6" s="1"/>
  <c r="I1121" i="6" s="1"/>
  <c r="G647" i="7"/>
  <c r="B648" i="7" s="1"/>
  <c r="C648" i="7" s="1"/>
  <c r="G204" i="12"/>
  <c r="N810" i="8"/>
  <c r="F425" i="8"/>
  <c r="E1156" i="7"/>
  <c r="K1156" i="7"/>
  <c r="H1156" i="7"/>
  <c r="B1157" i="7" s="1"/>
  <c r="G205" i="8"/>
  <c r="J982" i="7"/>
  <c r="F982" i="7"/>
  <c r="K982" i="7" s="1"/>
  <c r="E982" i="7"/>
  <c r="I982" i="7"/>
  <c r="F369" i="7"/>
  <c r="H606" i="6"/>
  <c r="J606" i="6" s="1"/>
  <c r="N590" i="8"/>
  <c r="CG212" i="11"/>
  <c r="G589" i="7"/>
  <c r="B590" i="7" s="1"/>
  <c r="C590" i="7" s="1"/>
  <c r="CH212" i="11"/>
  <c r="F55" i="10"/>
  <c r="C58" i="10" s="1"/>
  <c r="F645" i="8"/>
  <c r="B1096" i="7"/>
  <c r="C1096" i="7"/>
  <c r="D1096" i="7" s="1"/>
  <c r="L425" i="8"/>
  <c r="O425" i="8"/>
  <c r="K425" i="8"/>
  <c r="M425" i="8" s="1"/>
  <c r="L315" i="7"/>
  <c r="K315" i="7"/>
  <c r="O315" i="7"/>
  <c r="K370" i="8"/>
  <c r="O370" i="8"/>
  <c r="L370" i="8"/>
  <c r="H756" i="8"/>
  <c r="E756" i="8"/>
  <c r="D756" i="8"/>
  <c r="F756" i="8" s="1"/>
  <c r="N645" i="7"/>
  <c r="K134" i="6"/>
  <c r="L134" i="6" s="1"/>
  <c r="G261" i="7"/>
  <c r="H259" i="12"/>
  <c r="D259" i="12"/>
  <c r="E259" i="12"/>
  <c r="G259" i="12" s="1"/>
  <c r="B206" i="8"/>
  <c r="C206" i="8" s="1"/>
  <c r="O920" i="8"/>
  <c r="K920" i="8"/>
  <c r="M920" i="8" s="1"/>
  <c r="D206" i="7"/>
  <c r="H893" i="6"/>
  <c r="J893" i="6" s="1"/>
  <c r="M32" i="9"/>
  <c r="P32" i="9" s="1"/>
  <c r="N32" i="9"/>
  <c r="Q32" i="9" s="1"/>
  <c r="G1030" i="8"/>
  <c r="I260" i="12"/>
  <c r="J260" i="12" s="1"/>
  <c r="L260" i="12" s="1"/>
  <c r="J1411" i="6"/>
  <c r="H1412" i="6" s="1"/>
  <c r="I1412" i="6" s="1"/>
  <c r="K755" i="8"/>
  <c r="M1084" i="8"/>
  <c r="C535" i="8"/>
  <c r="D535" i="8" s="1"/>
  <c r="B479" i="8"/>
  <c r="K534" i="7"/>
  <c r="M534" i="7" s="1"/>
  <c r="O534" i="7"/>
  <c r="O701" i="7"/>
  <c r="K701" i="7"/>
  <c r="J990" i="6"/>
  <c r="I701" i="6"/>
  <c r="L701" i="7"/>
  <c r="F478" i="8"/>
  <c r="I2928" i="6"/>
  <c r="D700" i="8"/>
  <c r="BM262" i="11"/>
  <c r="N480" i="8"/>
  <c r="I852" i="6"/>
  <c r="CJ212" i="11"/>
  <c r="I1032" i="8"/>
  <c r="J1032" i="8" s="1"/>
  <c r="L1032" i="8"/>
  <c r="N37" i="10"/>
  <c r="H37" i="10" s="1"/>
  <c r="K37" i="10" s="1"/>
  <c r="L755" i="8"/>
  <c r="CI212" i="11"/>
  <c r="K645" i="8"/>
  <c r="O645" i="8"/>
  <c r="B866" i="7"/>
  <c r="C866" i="7" s="1"/>
  <c r="I1034" i="6"/>
  <c r="K556" i="6"/>
  <c r="L556" i="6" s="1"/>
  <c r="J1443" i="6"/>
  <c r="H1444" i="6" s="1"/>
  <c r="I1444" i="6" s="1"/>
  <c r="E701" i="7"/>
  <c r="H701" i="7"/>
  <c r="J371" i="7"/>
  <c r="B316" i="8"/>
  <c r="C316" i="8" s="1"/>
  <c r="I757" i="6"/>
  <c r="I206" i="7"/>
  <c r="M369" i="6"/>
  <c r="I205" i="12"/>
  <c r="J205" i="12" s="1"/>
  <c r="L205" i="12" s="1"/>
  <c r="O341" i="11"/>
  <c r="N341" i="11"/>
  <c r="K342" i="11" s="1"/>
  <c r="L342" i="11" s="1"/>
  <c r="P341" i="11"/>
  <c r="G150" i="12"/>
  <c r="D480" i="7"/>
  <c r="H480" i="7"/>
  <c r="D261" i="7"/>
  <c r="F261" i="7" s="1"/>
  <c r="M133" i="6"/>
  <c r="M205" i="7"/>
  <c r="K462" i="6"/>
  <c r="M462" i="6" s="1"/>
  <c r="N589" i="7"/>
  <c r="I1495" i="6"/>
  <c r="K507" i="6"/>
  <c r="L507" i="6" s="1"/>
  <c r="H1365" i="6"/>
  <c r="J1365" i="6" s="1"/>
  <c r="B426" i="8"/>
  <c r="C426" i="8" s="1"/>
  <c r="O260" i="8"/>
  <c r="K260" i="8"/>
  <c r="M260" i="8" s="1"/>
  <c r="H424" i="7"/>
  <c r="D424" i="7"/>
  <c r="F424" i="7" s="1"/>
  <c r="M222" i="6"/>
  <c r="I1075" i="6"/>
  <c r="F535" i="7"/>
  <c r="C261" i="11"/>
  <c r="AF260" i="11"/>
  <c r="J261" i="11" s="1"/>
  <c r="J700" i="8"/>
  <c r="L645" i="8"/>
  <c r="F975" i="8"/>
  <c r="N920" i="7"/>
  <c r="I261" i="7"/>
  <c r="J261" i="7" s="1"/>
  <c r="L261" i="7" s="1"/>
  <c r="D1086" i="8"/>
  <c r="F1086" i="8" s="1"/>
  <c r="H1086" i="8"/>
  <c r="G314" i="7"/>
  <c r="H804" i="6"/>
  <c r="J804" i="6" s="1"/>
  <c r="B1040" i="7"/>
  <c r="C1040" i="7" s="1"/>
  <c r="D1040" i="7" s="1"/>
  <c r="AL213" i="11"/>
  <c r="C810" i="8"/>
  <c r="D810" i="8" s="1"/>
  <c r="D261" i="11"/>
  <c r="I207" i="8"/>
  <c r="J207" i="8" s="1"/>
  <c r="B536" i="7"/>
  <c r="O32" i="9"/>
  <c r="J316" i="8"/>
  <c r="K277" i="6"/>
  <c r="M277" i="6" s="1"/>
  <c r="AK213" i="11"/>
  <c r="I425" i="7"/>
  <c r="J425" i="7" s="1"/>
  <c r="M178" i="6"/>
  <c r="I810" i="7"/>
  <c r="J810" i="7" s="1"/>
  <c r="L810" i="7" s="1"/>
  <c r="E480" i="7"/>
  <c r="H590" i="8"/>
  <c r="D590" i="8"/>
  <c r="F590" i="8" s="1"/>
  <c r="D149" i="8"/>
  <c r="F149" i="8" s="1"/>
  <c r="H149" i="8"/>
  <c r="N754" i="7"/>
  <c r="B259" i="8"/>
  <c r="C259" i="8" s="1"/>
  <c r="E259" i="8"/>
  <c r="O534" i="8"/>
  <c r="K534" i="8"/>
  <c r="M534" i="8" s="1"/>
  <c r="H810" i="7"/>
  <c r="D810" i="7"/>
  <c r="F810" i="7" s="1"/>
  <c r="H371" i="8"/>
  <c r="E371" i="8"/>
  <c r="G371" i="8" s="1"/>
  <c r="E206" i="7"/>
  <c r="G206" i="7" s="1"/>
  <c r="I151" i="7"/>
  <c r="J151" i="7" s="1"/>
  <c r="L151" i="7" s="1"/>
  <c r="AM213" i="11"/>
  <c r="M590" i="8"/>
  <c r="G919" i="8"/>
  <c r="H1256" i="6"/>
  <c r="J1256" i="6" s="1"/>
  <c r="H662" i="6"/>
  <c r="J662" i="6" s="1"/>
  <c r="K481" i="7"/>
  <c r="M481" i="7" s="1"/>
  <c r="O481" i="7"/>
  <c r="N864" i="8"/>
  <c r="I591" i="8"/>
  <c r="B646" i="8"/>
  <c r="J152" i="12"/>
  <c r="H1166" i="6"/>
  <c r="J1166" i="6" s="1"/>
  <c r="I1085" i="8"/>
  <c r="I314" i="12"/>
  <c r="J314" i="12" s="1"/>
  <c r="L314" i="12" s="1"/>
  <c r="D701" i="7"/>
  <c r="N150" i="8"/>
  <c r="I811" i="8"/>
  <c r="J867" i="7"/>
  <c r="O645" i="7"/>
  <c r="K645" i="7"/>
  <c r="M645" i="7" s="1"/>
  <c r="B976" i="8"/>
  <c r="B867" i="8"/>
  <c r="M810" i="8"/>
  <c r="B920" i="7"/>
  <c r="C920" i="7" s="1"/>
  <c r="E920" i="7" s="1"/>
  <c r="B755" i="7"/>
  <c r="C755" i="7" s="1"/>
  <c r="B205" i="12"/>
  <c r="G810" i="7"/>
  <c r="H341" i="11"/>
  <c r="G341" i="11"/>
  <c r="F341" i="11"/>
  <c r="C342" i="11" s="1"/>
  <c r="L260" i="8"/>
  <c r="O974" i="8"/>
  <c r="L974" i="8"/>
  <c r="N974" i="8" s="1"/>
  <c r="D371" i="8"/>
  <c r="L481" i="7"/>
  <c r="F204" i="12"/>
  <c r="G369" i="7"/>
  <c r="F866" i="8"/>
  <c r="G149" i="7"/>
  <c r="L326" i="6" l="1"/>
  <c r="M326" i="6"/>
  <c r="L418" i="6"/>
  <c r="M418" i="6"/>
  <c r="I1315" i="6"/>
  <c r="H1316" i="6" s="1"/>
  <c r="I1316" i="6" s="1"/>
  <c r="J1315" i="6"/>
  <c r="D426" i="8"/>
  <c r="H426" i="8"/>
  <c r="I1210" i="7"/>
  <c r="J1210" i="7"/>
  <c r="H1210" i="7"/>
  <c r="B1211" i="7" s="1"/>
  <c r="G1210" i="7"/>
  <c r="D1211" i="7" s="1"/>
  <c r="E1210" i="7"/>
  <c r="C1211" i="7"/>
  <c r="K1210" i="7"/>
  <c r="F1210" i="7"/>
  <c r="G701" i="7"/>
  <c r="H944" i="6"/>
  <c r="F480" i="7"/>
  <c r="U342" i="11"/>
  <c r="Y342" i="11" s="1"/>
  <c r="X341" i="11"/>
  <c r="W341" i="11"/>
  <c r="V341" i="11"/>
  <c r="S342" i="11" s="1"/>
  <c r="T342" i="11" s="1"/>
  <c r="N645" i="8"/>
  <c r="I646" i="8" s="1"/>
  <c r="CS212" i="11"/>
  <c r="CP212" i="11" s="1"/>
  <c r="M755" i="8"/>
  <c r="F700" i="8"/>
  <c r="U212" i="11"/>
  <c r="V212" i="11" s="1"/>
  <c r="W212" i="11"/>
  <c r="M315" i="7"/>
  <c r="G982" i="7"/>
  <c r="I1213" i="6"/>
  <c r="J1213" i="6"/>
  <c r="E206" i="8"/>
  <c r="G206" i="8" s="1"/>
  <c r="D206" i="8"/>
  <c r="H206" i="8"/>
  <c r="G700" i="8"/>
  <c r="B701" i="8" s="1"/>
  <c r="G590" i="8"/>
  <c r="B591" i="8" s="1"/>
  <c r="C591" i="8" s="1"/>
  <c r="F261" i="11"/>
  <c r="G261" i="11"/>
  <c r="H982" i="7"/>
  <c r="C646" i="8"/>
  <c r="H646" i="8" s="1"/>
  <c r="I1365" i="6"/>
  <c r="H1366" i="6" s="1"/>
  <c r="J1366" i="6" s="1"/>
  <c r="M701" i="7"/>
  <c r="M974" i="8"/>
  <c r="J975" i="8" s="1"/>
  <c r="L975" i="8" s="1"/>
  <c r="I606" i="6"/>
  <c r="H607" i="6" s="1"/>
  <c r="J607" i="6" s="1"/>
  <c r="N370" i="8"/>
  <c r="I371" i="8" s="1"/>
  <c r="I1096" i="7"/>
  <c r="J1096" i="7"/>
  <c r="G1096" i="7"/>
  <c r="H1096" i="7"/>
  <c r="B1097" i="7" s="1"/>
  <c r="C1097" i="7"/>
  <c r="K1096" i="7"/>
  <c r="F1096" i="7"/>
  <c r="E1096" i="7"/>
  <c r="K327" i="6"/>
  <c r="L327" i="6" s="1"/>
  <c r="H316" i="8"/>
  <c r="D316" i="8"/>
  <c r="E316" i="8"/>
  <c r="O207" i="8"/>
  <c r="K207" i="8"/>
  <c r="L207" i="8"/>
  <c r="N207" i="8" s="1"/>
  <c r="N810" i="7"/>
  <c r="D648" i="7"/>
  <c r="H648" i="7"/>
  <c r="E648" i="7"/>
  <c r="H590" i="7"/>
  <c r="E590" i="7"/>
  <c r="D590" i="7"/>
  <c r="F590" i="7" s="1"/>
  <c r="H1214" i="6"/>
  <c r="I1214" i="6" s="1"/>
  <c r="K419" i="6"/>
  <c r="L419" i="6" s="1"/>
  <c r="B702" i="7"/>
  <c r="J1412" i="6"/>
  <c r="H1413" i="6" s="1"/>
  <c r="I1413" i="6" s="1"/>
  <c r="C1158" i="7"/>
  <c r="K1157" i="7"/>
  <c r="H1157" i="7"/>
  <c r="B1158" i="7" s="1"/>
  <c r="G1157" i="7"/>
  <c r="F1157" i="7"/>
  <c r="E1157" i="7"/>
  <c r="D1158" i="7"/>
  <c r="J1157" i="7"/>
  <c r="I1157" i="7"/>
  <c r="H1496" i="6"/>
  <c r="J1496" i="6" s="1"/>
  <c r="O152" i="12"/>
  <c r="L152" i="12"/>
  <c r="H1035" i="6"/>
  <c r="J1035" i="6" s="1"/>
  <c r="N481" i="7"/>
  <c r="I662" i="6"/>
  <c r="L277" i="6"/>
  <c r="H853" i="6"/>
  <c r="J853" i="6" s="1"/>
  <c r="I646" i="7"/>
  <c r="J646" i="7" s="1"/>
  <c r="O316" i="8"/>
  <c r="L316" i="8"/>
  <c r="L462" i="6"/>
  <c r="I1256" i="6"/>
  <c r="BJ262" i="11"/>
  <c r="BI262" i="11"/>
  <c r="BH262" i="11"/>
  <c r="BK262" i="11"/>
  <c r="BF262" i="11"/>
  <c r="BE262" i="11"/>
  <c r="BG262" i="11"/>
  <c r="C976" i="8"/>
  <c r="H758" i="6"/>
  <c r="J758" i="6" s="1"/>
  <c r="I151" i="8"/>
  <c r="J151" i="8" s="1"/>
  <c r="H2929" i="6"/>
  <c r="J2929" i="6" s="1"/>
  <c r="B262" i="7"/>
  <c r="C262" i="7" s="1"/>
  <c r="I975" i="8"/>
  <c r="J206" i="7"/>
  <c r="K223" i="6"/>
  <c r="L223" i="6" s="1"/>
  <c r="N315" i="7"/>
  <c r="O867" i="7"/>
  <c r="L867" i="7"/>
  <c r="G480" i="7"/>
  <c r="M556" i="6"/>
  <c r="K557" i="6" s="1"/>
  <c r="L557" i="6" s="1"/>
  <c r="N260" i="8"/>
  <c r="K867" i="7"/>
  <c r="N920" i="8"/>
  <c r="I755" i="7"/>
  <c r="J755" i="7" s="1"/>
  <c r="L755" i="7" s="1"/>
  <c r="E426" i="8"/>
  <c r="G426" i="8" s="1"/>
  <c r="C479" i="8"/>
  <c r="G1086" i="8"/>
  <c r="O425" i="7"/>
  <c r="K425" i="7"/>
  <c r="I804" i="6"/>
  <c r="D315" i="12"/>
  <c r="B372" i="8"/>
  <c r="L425" i="7"/>
  <c r="B315" i="7"/>
  <c r="C315" i="7" s="1"/>
  <c r="E315" i="7" s="1"/>
  <c r="K260" i="12"/>
  <c r="M260" i="12" s="1"/>
  <c r="O260" i="12"/>
  <c r="B370" i="7"/>
  <c r="C370" i="7" s="1"/>
  <c r="E370" i="7" s="1"/>
  <c r="K1032" i="8"/>
  <c r="M1032" i="8" s="1"/>
  <c r="O1032" i="8"/>
  <c r="C205" i="12"/>
  <c r="CN212" i="11"/>
  <c r="CM212" i="11"/>
  <c r="CL212" i="11"/>
  <c r="CK212" i="11"/>
  <c r="B1031" i="8"/>
  <c r="C1031" i="8" s="1"/>
  <c r="E1031" i="8" s="1"/>
  <c r="D866" i="7"/>
  <c r="H866" i="7"/>
  <c r="J591" i="8"/>
  <c r="E866" i="7"/>
  <c r="G424" i="7"/>
  <c r="N534" i="8"/>
  <c r="O700" i="8"/>
  <c r="L700" i="8"/>
  <c r="E1040" i="7"/>
  <c r="I1040" i="7"/>
  <c r="J1040" i="7"/>
  <c r="F1040" i="7"/>
  <c r="K700" i="8"/>
  <c r="F701" i="7"/>
  <c r="B207" i="7"/>
  <c r="E261" i="11"/>
  <c r="M134" i="6"/>
  <c r="M645" i="8"/>
  <c r="N701" i="7"/>
  <c r="M179" i="6"/>
  <c r="C536" i="7"/>
  <c r="L38" i="10"/>
  <c r="J1214" i="6"/>
  <c r="H1076" i="6"/>
  <c r="J1076" i="6" s="1"/>
  <c r="B811" i="7"/>
  <c r="C811" i="7" s="1"/>
  <c r="AN213" i="11"/>
  <c r="AO213" i="11" s="1"/>
  <c r="K205" i="12"/>
  <c r="M205" i="12" s="1"/>
  <c r="O205" i="12"/>
  <c r="I590" i="7"/>
  <c r="J590" i="7" s="1"/>
  <c r="M370" i="8"/>
  <c r="K152" i="12"/>
  <c r="D755" i="7"/>
  <c r="H755" i="7"/>
  <c r="K179" i="6"/>
  <c r="L179" i="6" s="1"/>
  <c r="E755" i="7"/>
  <c r="K316" i="8"/>
  <c r="I921" i="7"/>
  <c r="J921" i="7" s="1"/>
  <c r="L921" i="7" s="1"/>
  <c r="F259" i="12"/>
  <c r="F371" i="8"/>
  <c r="B920" i="8"/>
  <c r="C920" i="8" s="1"/>
  <c r="N534" i="7"/>
  <c r="H991" i="6"/>
  <c r="I991" i="6" s="1"/>
  <c r="O151" i="7"/>
  <c r="K151" i="7"/>
  <c r="M151" i="7" s="1"/>
  <c r="D342" i="11"/>
  <c r="E342" i="11" s="1"/>
  <c r="I342" i="11" s="1"/>
  <c r="I865" i="8"/>
  <c r="J865" i="8" s="1"/>
  <c r="L865" i="8" s="1"/>
  <c r="M507" i="6"/>
  <c r="M342" i="11"/>
  <c r="Q342" i="11" s="1"/>
  <c r="O371" i="7"/>
  <c r="L371" i="7"/>
  <c r="H702" i="6"/>
  <c r="J702" i="6" s="1"/>
  <c r="J1085" i="8"/>
  <c r="J1121" i="6"/>
  <c r="K370" i="6"/>
  <c r="L370" i="6" s="1"/>
  <c r="N425" i="8"/>
  <c r="C867" i="8"/>
  <c r="D867" i="8" s="1"/>
  <c r="J811" i="8"/>
  <c r="E810" i="8"/>
  <c r="G810" i="8" s="1"/>
  <c r="H810" i="8"/>
  <c r="J1444" i="6"/>
  <c r="I1166" i="6"/>
  <c r="K261" i="7"/>
  <c r="M261" i="7" s="1"/>
  <c r="O261" i="7"/>
  <c r="E315" i="12"/>
  <c r="B151" i="12"/>
  <c r="C151" i="12" s="1"/>
  <c r="E151" i="12"/>
  <c r="I481" i="8"/>
  <c r="J481" i="8" s="1"/>
  <c r="B260" i="12"/>
  <c r="I893" i="6"/>
  <c r="H259" i="8"/>
  <c r="D259" i="8"/>
  <c r="F259" i="8" s="1"/>
  <c r="D920" i="7"/>
  <c r="F920" i="7" s="1"/>
  <c r="H920" i="7"/>
  <c r="H535" i="8"/>
  <c r="E535" i="8"/>
  <c r="G535" i="8" s="1"/>
  <c r="B150" i="7"/>
  <c r="C150" i="7" s="1"/>
  <c r="O314" i="12"/>
  <c r="K314" i="12"/>
  <c r="M314" i="12" s="1"/>
  <c r="O810" i="7"/>
  <c r="K810" i="7"/>
  <c r="M810" i="7" s="1"/>
  <c r="S32" i="9"/>
  <c r="R32" i="9"/>
  <c r="K371" i="7"/>
  <c r="N755" i="8"/>
  <c r="F206" i="7"/>
  <c r="G756" i="8"/>
  <c r="G149" i="8"/>
  <c r="C1212" i="7" l="1"/>
  <c r="E1211" i="7"/>
  <c r="U343" i="11"/>
  <c r="V342" i="11"/>
  <c r="S343" i="11" s="1"/>
  <c r="W342" i="11"/>
  <c r="X342" i="11"/>
  <c r="CO212" i="11"/>
  <c r="C701" i="8"/>
  <c r="H701" i="8" s="1"/>
  <c r="G866" i="7"/>
  <c r="N260" i="12"/>
  <c r="I261" i="12" s="1"/>
  <c r="J261" i="12" s="1"/>
  <c r="K261" i="12" s="1"/>
  <c r="G316" i="8"/>
  <c r="CQ212" i="11"/>
  <c r="F810" i="8"/>
  <c r="M316" i="8"/>
  <c r="G755" i="7"/>
  <c r="D1097" i="7"/>
  <c r="C1098" i="7" s="1"/>
  <c r="N205" i="12"/>
  <c r="I944" i="6"/>
  <c r="J944" i="6"/>
  <c r="I853" i="6"/>
  <c r="X212" i="11"/>
  <c r="AG212" i="11" s="1"/>
  <c r="E646" i="8"/>
  <c r="G1211" i="7"/>
  <c r="D1212" i="7" s="1"/>
  <c r="M327" i="6"/>
  <c r="K328" i="6" s="1"/>
  <c r="I2929" i="6"/>
  <c r="H2930" i="6" s="1"/>
  <c r="J2930" i="6" s="1"/>
  <c r="D646" i="8"/>
  <c r="F646" i="8" s="1"/>
  <c r="H1211" i="7"/>
  <c r="B1212" i="7" s="1"/>
  <c r="J1316" i="6"/>
  <c r="H1317" i="6" s="1"/>
  <c r="I1317" i="6" s="1"/>
  <c r="B983" i="7"/>
  <c r="C983" i="7"/>
  <c r="D983" i="7" s="1"/>
  <c r="M152" i="12"/>
  <c r="G315" i="12"/>
  <c r="N371" i="7"/>
  <c r="I372" i="7" s="1"/>
  <c r="J991" i="6"/>
  <c r="H992" i="6" s="1"/>
  <c r="J992" i="6" s="1"/>
  <c r="I1211" i="7"/>
  <c r="F206" i="8"/>
  <c r="N151" i="7"/>
  <c r="M419" i="6"/>
  <c r="I607" i="6"/>
  <c r="H608" i="6" s="1"/>
  <c r="J608" i="6" s="1"/>
  <c r="F1211" i="7"/>
  <c r="J1211" i="7"/>
  <c r="M700" i="8"/>
  <c r="K1211" i="7"/>
  <c r="M425" i="7"/>
  <c r="F1097" i="7"/>
  <c r="G1040" i="7"/>
  <c r="M867" i="7"/>
  <c r="F648" i="7"/>
  <c r="L646" i="7"/>
  <c r="O646" i="7"/>
  <c r="K646" i="7"/>
  <c r="M646" i="7" s="1"/>
  <c r="H262" i="7"/>
  <c r="E262" i="7"/>
  <c r="D262" i="7"/>
  <c r="F262" i="7" s="1"/>
  <c r="D811" i="7"/>
  <c r="E811" i="7"/>
  <c r="H811" i="7"/>
  <c r="AT213" i="11"/>
  <c r="AS213" i="11"/>
  <c r="AX213" i="11" s="1"/>
  <c r="AU213" i="11"/>
  <c r="AY213" i="11" s="1"/>
  <c r="BD213" i="11" s="1"/>
  <c r="AQ213" i="11"/>
  <c r="AW213" i="11" s="1"/>
  <c r="AR213" i="11"/>
  <c r="AV213" i="11"/>
  <c r="N975" i="8"/>
  <c r="K420" i="6"/>
  <c r="L420" i="6" s="1"/>
  <c r="D591" i="8"/>
  <c r="H591" i="8"/>
  <c r="E591" i="8"/>
  <c r="G591" i="8" s="1"/>
  <c r="H1215" i="6"/>
  <c r="J1215" i="6" s="1"/>
  <c r="L811" i="8"/>
  <c r="O811" i="8"/>
  <c r="H205" i="12"/>
  <c r="E205" i="12"/>
  <c r="K811" i="8"/>
  <c r="I152" i="7"/>
  <c r="J152" i="7" s="1"/>
  <c r="L152" i="7" s="1"/>
  <c r="O591" i="8"/>
  <c r="L591" i="8"/>
  <c r="O590" i="7"/>
  <c r="K590" i="7"/>
  <c r="K591" i="8"/>
  <c r="L590" i="7"/>
  <c r="H342" i="11"/>
  <c r="G342" i="11"/>
  <c r="F342" i="11"/>
  <c r="C343" i="11" s="1"/>
  <c r="D343" i="11" s="1"/>
  <c r="BP213" i="11"/>
  <c r="I1076" i="6"/>
  <c r="F535" i="8"/>
  <c r="D701" i="8"/>
  <c r="I206" i="12"/>
  <c r="J206" i="12" s="1"/>
  <c r="M38" i="10"/>
  <c r="I38" i="10" s="1"/>
  <c r="O865" i="8"/>
  <c r="K865" i="8"/>
  <c r="M865" i="8" s="1"/>
  <c r="O975" i="8"/>
  <c r="I316" i="7"/>
  <c r="J316" i="7" s="1"/>
  <c r="L316" i="7"/>
  <c r="H1257" i="6"/>
  <c r="J1257" i="6" s="1"/>
  <c r="N700" i="8"/>
  <c r="N425" i="7"/>
  <c r="H479" i="8"/>
  <c r="E479" i="8"/>
  <c r="E976" i="8"/>
  <c r="H976" i="8"/>
  <c r="N152" i="12"/>
  <c r="N261" i="7"/>
  <c r="M207" i="8"/>
  <c r="B757" i="8"/>
  <c r="C757" i="8" s="1"/>
  <c r="E757" i="8"/>
  <c r="I535" i="7"/>
  <c r="J535" i="7" s="1"/>
  <c r="H920" i="8"/>
  <c r="D920" i="8"/>
  <c r="D205" i="12"/>
  <c r="M371" i="7"/>
  <c r="P342" i="11"/>
  <c r="N342" i="11"/>
  <c r="K343" i="11" s="1"/>
  <c r="O342" i="11"/>
  <c r="C260" i="12"/>
  <c r="O151" i="8"/>
  <c r="K151" i="8"/>
  <c r="I261" i="8"/>
  <c r="J261" i="8" s="1"/>
  <c r="H663" i="6"/>
  <c r="J663" i="6" s="1"/>
  <c r="I1366" i="6"/>
  <c r="B207" i="8"/>
  <c r="C207" i="8" s="1"/>
  <c r="I426" i="8"/>
  <c r="J426" i="8" s="1"/>
  <c r="L426" i="8"/>
  <c r="K1040" i="7"/>
  <c r="B756" i="7"/>
  <c r="I1035" i="6"/>
  <c r="K180" i="6"/>
  <c r="L180" i="6" s="1"/>
  <c r="B1087" i="8"/>
  <c r="C1087" i="8" s="1"/>
  <c r="E1087" i="8"/>
  <c r="J38" i="10"/>
  <c r="D479" i="8"/>
  <c r="L206" i="7"/>
  <c r="O206" i="7"/>
  <c r="D976" i="8"/>
  <c r="H1122" i="6"/>
  <c r="I1122" i="6" s="1"/>
  <c r="B536" i="8"/>
  <c r="B867" i="7"/>
  <c r="H1031" i="8"/>
  <c r="D1031" i="8"/>
  <c r="F1031" i="8" s="1"/>
  <c r="B316" i="12"/>
  <c r="I702" i="7"/>
  <c r="J702" i="7" s="1"/>
  <c r="H854" i="6"/>
  <c r="J854" i="6" s="1"/>
  <c r="J646" i="8"/>
  <c r="H1040" i="7"/>
  <c r="K278" i="6"/>
  <c r="M278" i="6" s="1"/>
  <c r="N1032" i="8"/>
  <c r="H894" i="6"/>
  <c r="J894" i="6" s="1"/>
  <c r="L151" i="8"/>
  <c r="E867" i="8"/>
  <c r="G867" i="8" s="1"/>
  <c r="H867" i="8"/>
  <c r="F866" i="7"/>
  <c r="M557" i="6"/>
  <c r="K558" i="6" s="1"/>
  <c r="L558" i="6" s="1"/>
  <c r="I482" i="7"/>
  <c r="J482" i="7" s="1"/>
  <c r="L482" i="7" s="1"/>
  <c r="I811" i="7"/>
  <c r="J811" i="7" s="1"/>
  <c r="H261" i="11"/>
  <c r="I261" i="11" s="1"/>
  <c r="K508" i="6"/>
  <c r="L508" i="6" s="1"/>
  <c r="O481" i="8"/>
  <c r="K481" i="8"/>
  <c r="L1085" i="8"/>
  <c r="O1085" i="8"/>
  <c r="F755" i="7"/>
  <c r="H536" i="7"/>
  <c r="E536" i="7"/>
  <c r="I535" i="8"/>
  <c r="J535" i="8" s="1"/>
  <c r="K206" i="7"/>
  <c r="K463" i="6"/>
  <c r="M463" i="6" s="1"/>
  <c r="B317" i="8"/>
  <c r="C207" i="7"/>
  <c r="I702" i="6"/>
  <c r="J371" i="8"/>
  <c r="K371" i="8" s="1"/>
  <c r="I756" i="8"/>
  <c r="J756" i="8" s="1"/>
  <c r="L756" i="8"/>
  <c r="E920" i="8"/>
  <c r="H151" i="12"/>
  <c r="D151" i="12"/>
  <c r="F151" i="12" s="1"/>
  <c r="K975" i="8"/>
  <c r="M975" i="8" s="1"/>
  <c r="C372" i="8"/>
  <c r="I921" i="8"/>
  <c r="J921" i="8" s="1"/>
  <c r="L921" i="8" s="1"/>
  <c r="K921" i="7"/>
  <c r="M921" i="7" s="1"/>
  <c r="O921" i="7"/>
  <c r="CR212" i="11"/>
  <c r="BV213" i="11" s="1"/>
  <c r="BO213" i="11"/>
  <c r="E32" i="9"/>
  <c r="G32" i="9"/>
  <c r="F32" i="9"/>
  <c r="H370" i="7"/>
  <c r="D370" i="7"/>
  <c r="F370" i="7" s="1"/>
  <c r="G590" i="7"/>
  <c r="B481" i="7"/>
  <c r="C481" i="7" s="1"/>
  <c r="N867" i="7"/>
  <c r="G315" i="7"/>
  <c r="H1158" i="7"/>
  <c r="B1159" i="7" s="1"/>
  <c r="G1158" i="7"/>
  <c r="F1158" i="7"/>
  <c r="E1158" i="7"/>
  <c r="J1158" i="7"/>
  <c r="I1158" i="7"/>
  <c r="C1159" i="7"/>
  <c r="K1158" i="7"/>
  <c r="H1167" i="6"/>
  <c r="J1167" i="6" s="1"/>
  <c r="D315" i="7"/>
  <c r="F315" i="7" s="1"/>
  <c r="H315" i="7"/>
  <c r="I758" i="6"/>
  <c r="I208" i="8"/>
  <c r="D150" i="7"/>
  <c r="H150" i="7"/>
  <c r="L481" i="8"/>
  <c r="B150" i="8"/>
  <c r="C150" i="8" s="1"/>
  <c r="E150" i="7"/>
  <c r="G150" i="7" s="1"/>
  <c r="B811" i="8"/>
  <c r="K1085" i="8"/>
  <c r="G259" i="8"/>
  <c r="M370" i="6"/>
  <c r="D536" i="7"/>
  <c r="C702" i="7"/>
  <c r="B425" i="7"/>
  <c r="C425" i="7" s="1"/>
  <c r="E425" i="7" s="1"/>
  <c r="F315" i="12"/>
  <c r="B427" i="8"/>
  <c r="AJ263" i="11"/>
  <c r="N316" i="8"/>
  <c r="I1496" i="6"/>
  <c r="F426" i="8"/>
  <c r="F316" i="8"/>
  <c r="H805" i="6"/>
  <c r="J805" i="6" s="1"/>
  <c r="M223" i="6"/>
  <c r="K224" i="6" s="1"/>
  <c r="L224" i="6" s="1"/>
  <c r="BL262" i="11"/>
  <c r="AP263" i="11" s="1"/>
  <c r="AK263" i="11"/>
  <c r="AI263" i="11"/>
  <c r="J1413" i="6"/>
  <c r="H1414" i="6" s="1"/>
  <c r="I1414" i="6" s="1"/>
  <c r="H1445" i="6"/>
  <c r="I1445" i="6" s="1"/>
  <c r="N314" i="12"/>
  <c r="K755" i="7"/>
  <c r="M755" i="7" s="1"/>
  <c r="O755" i="7"/>
  <c r="K135" i="6"/>
  <c r="L135" i="6" s="1"/>
  <c r="G648" i="7"/>
  <c r="G920" i="7"/>
  <c r="H1097" i="7" l="1"/>
  <c r="B1098" i="7" s="1"/>
  <c r="G536" i="7"/>
  <c r="I805" i="6"/>
  <c r="C811" i="8"/>
  <c r="E701" i="8"/>
  <c r="F701" i="8" s="1"/>
  <c r="J1097" i="7"/>
  <c r="J1098" i="7" s="1"/>
  <c r="AM263" i="11"/>
  <c r="E1097" i="7"/>
  <c r="Y212" i="11"/>
  <c r="AE212" i="11"/>
  <c r="Z212" i="11"/>
  <c r="AD212" i="11"/>
  <c r="AA212" i="11"/>
  <c r="AB212" i="11"/>
  <c r="AC212" i="11"/>
  <c r="AL263" i="11"/>
  <c r="G1097" i="7"/>
  <c r="D1098" i="7" s="1"/>
  <c r="K1098" i="7" s="1"/>
  <c r="T343" i="11"/>
  <c r="Y343" i="11" s="1"/>
  <c r="I1097" i="7"/>
  <c r="H945" i="6"/>
  <c r="I945" i="6" s="1"/>
  <c r="J945" i="6"/>
  <c r="K1097" i="7"/>
  <c r="F205" i="12"/>
  <c r="E343" i="11"/>
  <c r="I343" i="11" s="1"/>
  <c r="H343" i="11" s="1"/>
  <c r="C12" i="11" s="1"/>
  <c r="G811" i="7"/>
  <c r="B812" i="7" s="1"/>
  <c r="I983" i="7"/>
  <c r="F983" i="7"/>
  <c r="J983" i="7"/>
  <c r="E983" i="7"/>
  <c r="G983" i="7" s="1"/>
  <c r="L328" i="6"/>
  <c r="M328" i="6"/>
  <c r="G920" i="8"/>
  <c r="B921" i="8" s="1"/>
  <c r="M180" i="6"/>
  <c r="K181" i="6" s="1"/>
  <c r="D1159" i="7"/>
  <c r="H1159" i="7" s="1"/>
  <c r="B1160" i="7" s="1"/>
  <c r="M151" i="8"/>
  <c r="F976" i="8"/>
  <c r="M481" i="8"/>
  <c r="N206" i="7"/>
  <c r="I207" i="7" s="1"/>
  <c r="G646" i="8"/>
  <c r="M135" i="6"/>
  <c r="K136" i="6" s="1"/>
  <c r="N811" i="8"/>
  <c r="I812" i="8" s="1"/>
  <c r="BQ213" i="11"/>
  <c r="F479" i="8"/>
  <c r="M591" i="8"/>
  <c r="F867" i="8"/>
  <c r="C868" i="8" s="1"/>
  <c r="E868" i="8" s="1"/>
  <c r="I1098" i="7"/>
  <c r="E1098" i="7"/>
  <c r="C1099" i="7"/>
  <c r="H1098" i="7"/>
  <c r="B1099" i="7" s="1"/>
  <c r="G1098" i="7"/>
  <c r="F1098" i="7"/>
  <c r="M420" i="6"/>
  <c r="K421" i="6" s="1"/>
  <c r="M421" i="6" s="1"/>
  <c r="M1085" i="8"/>
  <c r="M590" i="7"/>
  <c r="L206" i="12"/>
  <c r="O206" i="12"/>
  <c r="K206" i="12"/>
  <c r="M206" i="12" s="1"/>
  <c r="H811" i="8"/>
  <c r="E811" i="8"/>
  <c r="D811" i="8"/>
  <c r="F811" i="8" s="1"/>
  <c r="N261" i="11"/>
  <c r="M261" i="11"/>
  <c r="R261" i="11" s="1"/>
  <c r="O261" i="11"/>
  <c r="S261" i="11" s="1"/>
  <c r="P261" i="11"/>
  <c r="L261" i="11"/>
  <c r="K261" i="11"/>
  <c r="Q261" i="11" s="1"/>
  <c r="O811" i="7"/>
  <c r="K811" i="7"/>
  <c r="L811" i="7"/>
  <c r="N811" i="7" s="1"/>
  <c r="H806" i="6"/>
  <c r="J806" i="6" s="1"/>
  <c r="K261" i="8"/>
  <c r="O261" i="8"/>
  <c r="B260" i="8"/>
  <c r="C260" i="8" s="1"/>
  <c r="E260" i="8"/>
  <c r="L261" i="8"/>
  <c r="I262" i="7"/>
  <c r="J262" i="7" s="1"/>
  <c r="L262" i="7"/>
  <c r="I1033" i="8"/>
  <c r="J1033" i="8" s="1"/>
  <c r="L1033" i="8" s="1"/>
  <c r="O535" i="8"/>
  <c r="K535" i="8"/>
  <c r="C317" i="8"/>
  <c r="I868" i="7"/>
  <c r="J868" i="7" s="1"/>
  <c r="L868" i="7" s="1"/>
  <c r="C427" i="8"/>
  <c r="I976" i="8"/>
  <c r="J976" i="8" s="1"/>
  <c r="L976" i="8" s="1"/>
  <c r="B537" i="7"/>
  <c r="I894" i="6"/>
  <c r="H759" i="6"/>
  <c r="J759" i="6" s="1"/>
  <c r="I153" i="12"/>
  <c r="J153" i="12" s="1"/>
  <c r="L153" i="12"/>
  <c r="I992" i="6"/>
  <c r="C756" i="7"/>
  <c r="D756" i="7" s="1"/>
  <c r="J372" i="7"/>
  <c r="L278" i="6"/>
  <c r="N591" i="8"/>
  <c r="M206" i="7"/>
  <c r="B1041" i="7"/>
  <c r="C1041" i="7"/>
  <c r="D1041" i="7" s="1"/>
  <c r="C536" i="8"/>
  <c r="AZ213" i="11"/>
  <c r="F811" i="7"/>
  <c r="B151" i="7"/>
  <c r="K152" i="7"/>
  <c r="M152" i="7" s="1"/>
  <c r="D150" i="8"/>
  <c r="H150" i="8"/>
  <c r="O482" i="7"/>
  <c r="K482" i="7"/>
  <c r="M482" i="7" s="1"/>
  <c r="B921" i="7"/>
  <c r="C921" i="7" s="1"/>
  <c r="B649" i="7"/>
  <c r="C649" i="7" s="1"/>
  <c r="E649" i="7"/>
  <c r="K702" i="7"/>
  <c r="O702" i="7"/>
  <c r="I701" i="8"/>
  <c r="J701" i="8" s="1"/>
  <c r="L701" i="8"/>
  <c r="N481" i="8"/>
  <c r="L261" i="12"/>
  <c r="N261" i="12" s="1"/>
  <c r="G1031" i="8"/>
  <c r="I1215" i="6"/>
  <c r="J1414" i="6"/>
  <c r="O921" i="8"/>
  <c r="K921" i="8"/>
  <c r="M921" i="8" s="1"/>
  <c r="O646" i="8"/>
  <c r="L646" i="8"/>
  <c r="BS213" i="11"/>
  <c r="AN263" i="11"/>
  <c r="K646" i="8"/>
  <c r="F920" i="8"/>
  <c r="BA213" i="11"/>
  <c r="BC213" i="11"/>
  <c r="E150" i="8"/>
  <c r="D207" i="8"/>
  <c r="F207" i="8" s="1"/>
  <c r="H207" i="8"/>
  <c r="I426" i="7"/>
  <c r="J426" i="7" s="1"/>
  <c r="H207" i="7"/>
  <c r="E207" i="7"/>
  <c r="M558" i="6"/>
  <c r="K559" i="6" s="1"/>
  <c r="L559" i="6" s="1"/>
  <c r="I854" i="6"/>
  <c r="E207" i="8"/>
  <c r="N921" i="7"/>
  <c r="H1087" i="8"/>
  <c r="D1087" i="8"/>
  <c r="F1087" i="8" s="1"/>
  <c r="O261" i="12"/>
  <c r="E372" i="8"/>
  <c r="H372" i="8"/>
  <c r="H702" i="7"/>
  <c r="E702" i="7"/>
  <c r="G702" i="7" s="1"/>
  <c r="L33" i="9"/>
  <c r="H32" i="9"/>
  <c r="I32" i="9" s="1"/>
  <c r="D372" i="8"/>
  <c r="B868" i="8"/>
  <c r="H1367" i="6"/>
  <c r="J1367" i="6" s="1"/>
  <c r="H757" i="8"/>
  <c r="D757" i="8"/>
  <c r="F757" i="8" s="1"/>
  <c r="N38" i="10"/>
  <c r="H38" i="10" s="1"/>
  <c r="K38" i="10" s="1"/>
  <c r="B316" i="7"/>
  <c r="C316" i="7" s="1"/>
  <c r="E316" i="7" s="1"/>
  <c r="I315" i="12"/>
  <c r="J315" i="12" s="1"/>
  <c r="L315" i="12"/>
  <c r="J1212" i="7"/>
  <c r="I1212" i="7"/>
  <c r="K1212" i="7"/>
  <c r="H1212" i="7"/>
  <c r="B1213" i="7" s="1"/>
  <c r="G1212" i="7"/>
  <c r="F1212" i="7"/>
  <c r="E1212" i="7"/>
  <c r="C1213" i="7"/>
  <c r="H1497" i="6"/>
  <c r="J1497" i="6" s="1"/>
  <c r="H481" i="7"/>
  <c r="D481" i="7"/>
  <c r="I1257" i="6"/>
  <c r="I317" i="8"/>
  <c r="J317" i="8" s="1"/>
  <c r="L317" i="8"/>
  <c r="E481" i="7"/>
  <c r="G481" i="7" s="1"/>
  <c r="L463" i="6"/>
  <c r="G976" i="8"/>
  <c r="N1085" i="8"/>
  <c r="B592" i="8"/>
  <c r="O756" i="8"/>
  <c r="K756" i="8"/>
  <c r="M756" i="8" s="1"/>
  <c r="O426" i="8"/>
  <c r="K426" i="8"/>
  <c r="M426" i="8" s="1"/>
  <c r="L371" i="8"/>
  <c r="N371" i="8" s="1"/>
  <c r="O371" i="8"/>
  <c r="F591" i="8"/>
  <c r="J1445" i="6"/>
  <c r="G262" i="7"/>
  <c r="H703" i="6"/>
  <c r="J703" i="6" s="1"/>
  <c r="J1122" i="6"/>
  <c r="I2930" i="6"/>
  <c r="H1077" i="6"/>
  <c r="J1077" i="6" s="1"/>
  <c r="O152" i="7"/>
  <c r="H260" i="12"/>
  <c r="E260" i="12"/>
  <c r="N755" i="7"/>
  <c r="D207" i="7"/>
  <c r="C867" i="7"/>
  <c r="D867" i="7" s="1"/>
  <c r="D260" i="12"/>
  <c r="I608" i="6"/>
  <c r="H425" i="7"/>
  <c r="D425" i="7"/>
  <c r="F425" i="7" s="1"/>
  <c r="G701" i="8"/>
  <c r="K371" i="6"/>
  <c r="L371" i="6" s="1"/>
  <c r="F150" i="7"/>
  <c r="H1036" i="6"/>
  <c r="J1036" i="6" s="1"/>
  <c r="L343" i="11"/>
  <c r="M343" i="11" s="1"/>
  <c r="Q343" i="11" s="1"/>
  <c r="J208" i="8"/>
  <c r="N865" i="8"/>
  <c r="N590" i="7"/>
  <c r="M811" i="8"/>
  <c r="K316" i="7"/>
  <c r="M316" i="7" s="1"/>
  <c r="O316" i="7"/>
  <c r="I1167" i="6"/>
  <c r="G479" i="8"/>
  <c r="B591" i="7"/>
  <c r="C591" i="7" s="1"/>
  <c r="C316" i="12"/>
  <c r="O535" i="7"/>
  <c r="K535" i="7"/>
  <c r="L535" i="7"/>
  <c r="N535" i="7" s="1"/>
  <c r="G370" i="7"/>
  <c r="L702" i="7"/>
  <c r="N702" i="7" s="1"/>
  <c r="G757" i="8"/>
  <c r="M224" i="6"/>
  <c r="D702" i="7"/>
  <c r="N151" i="8"/>
  <c r="F536" i="7"/>
  <c r="L535" i="8"/>
  <c r="J1317" i="6"/>
  <c r="G151" i="12"/>
  <c r="I663" i="6"/>
  <c r="BR213" i="11"/>
  <c r="M508" i="6"/>
  <c r="G205" i="12"/>
  <c r="N646" i="7"/>
  <c r="K329" i="6" l="1"/>
  <c r="M329" i="6" s="1"/>
  <c r="D213" i="11"/>
  <c r="D1213" i="7"/>
  <c r="J1213" i="7" s="1"/>
  <c r="G343" i="11"/>
  <c r="F343" i="11"/>
  <c r="B12" i="11" s="1"/>
  <c r="N535" i="8"/>
  <c r="I536" i="8" s="1"/>
  <c r="X343" i="11"/>
  <c r="W343" i="11"/>
  <c r="V343" i="11"/>
  <c r="B34" i="11"/>
  <c r="AF212" i="11"/>
  <c r="J213" i="11" s="1"/>
  <c r="G213" i="11"/>
  <c r="C213" i="11"/>
  <c r="N426" i="8"/>
  <c r="AO263" i="11"/>
  <c r="AS263" i="11" s="1"/>
  <c r="AX263" i="11" s="1"/>
  <c r="H946" i="6"/>
  <c r="N261" i="8"/>
  <c r="U261" i="11"/>
  <c r="L136" i="6"/>
  <c r="M136" i="6"/>
  <c r="M137" i="6" s="1"/>
  <c r="L181" i="6"/>
  <c r="K182" i="6" s="1"/>
  <c r="L182" i="6" s="1"/>
  <c r="M181" i="6"/>
  <c r="M182" i="6" s="1"/>
  <c r="D1099" i="7"/>
  <c r="F207" i="7"/>
  <c r="H316" i="7"/>
  <c r="K1159" i="7"/>
  <c r="C1160" i="7"/>
  <c r="B647" i="8"/>
  <c r="C647" i="8" s="1"/>
  <c r="E647" i="8" s="1"/>
  <c r="H868" i="8"/>
  <c r="E1159" i="7"/>
  <c r="G372" i="8"/>
  <c r="B373" i="8" s="1"/>
  <c r="F1159" i="7"/>
  <c r="I1159" i="7"/>
  <c r="J1159" i="7"/>
  <c r="M371" i="8"/>
  <c r="N646" i="8"/>
  <c r="I647" i="8" s="1"/>
  <c r="G1159" i="7"/>
  <c r="K983" i="7"/>
  <c r="G150" i="8"/>
  <c r="B151" i="8" s="1"/>
  <c r="BB213" i="11"/>
  <c r="BM213" i="11" s="1"/>
  <c r="G260" i="12"/>
  <c r="H983" i="7"/>
  <c r="I1213" i="7"/>
  <c r="K1213" i="7"/>
  <c r="H1213" i="7"/>
  <c r="B1214" i="7" s="1"/>
  <c r="G1213" i="7"/>
  <c r="F1213" i="7"/>
  <c r="E1213" i="7"/>
  <c r="I1041" i="7"/>
  <c r="E1041" i="7"/>
  <c r="J1041" i="7"/>
  <c r="F1041" i="7"/>
  <c r="K137" i="6"/>
  <c r="L137" i="6" s="1"/>
  <c r="AR263" i="11"/>
  <c r="B703" i="7"/>
  <c r="M225" i="6"/>
  <c r="B261" i="12"/>
  <c r="H427" i="8"/>
  <c r="E427" i="8"/>
  <c r="L421" i="6"/>
  <c r="L39" i="10"/>
  <c r="J39" i="10" s="1"/>
  <c r="D427" i="8"/>
  <c r="F427" i="8" s="1"/>
  <c r="N921" i="8"/>
  <c r="N316" i="7"/>
  <c r="L329" i="6"/>
  <c r="D868" i="8"/>
  <c r="F868" i="8" s="1"/>
  <c r="E536" i="8"/>
  <c r="H536" i="8"/>
  <c r="H993" i="6"/>
  <c r="J993" i="6" s="1"/>
  <c r="I806" i="6"/>
  <c r="I1036" i="6"/>
  <c r="K1033" i="8"/>
  <c r="M1033" i="8" s="1"/>
  <c r="O1033" i="8"/>
  <c r="B758" i="8"/>
  <c r="C758" i="8" s="1"/>
  <c r="I262" i="12"/>
  <c r="T261" i="11"/>
  <c r="X261" i="11" s="1"/>
  <c r="W261" i="11"/>
  <c r="H664" i="6"/>
  <c r="J664" i="6" s="1"/>
  <c r="N482" i="7"/>
  <c r="K701" i="8"/>
  <c r="M701" i="8" s="1"/>
  <c r="O701" i="8"/>
  <c r="N206" i="12"/>
  <c r="B371" i="7"/>
  <c r="C371" i="7" s="1"/>
  <c r="E371" i="7" s="1"/>
  <c r="H2931" i="6"/>
  <c r="J2931" i="6" s="1"/>
  <c r="B977" i="8"/>
  <c r="C977" i="8" s="1"/>
  <c r="I922" i="7"/>
  <c r="J922" i="7" s="1"/>
  <c r="N756" i="8"/>
  <c r="I592" i="8"/>
  <c r="J592" i="8" s="1"/>
  <c r="L592" i="8"/>
  <c r="K464" i="6"/>
  <c r="M464" i="6" s="1"/>
  <c r="C921" i="8"/>
  <c r="K279" i="6"/>
  <c r="M279" i="6" s="1"/>
  <c r="H1216" i="6"/>
  <c r="J1216" i="6" s="1"/>
  <c r="D649" i="7"/>
  <c r="F649" i="7" s="1"/>
  <c r="H649" i="7"/>
  <c r="G811" i="8"/>
  <c r="B480" i="8"/>
  <c r="C480" i="8" s="1"/>
  <c r="O317" i="8"/>
  <c r="K317" i="8"/>
  <c r="M317" i="8" s="1"/>
  <c r="M559" i="6"/>
  <c r="K560" i="6" s="1"/>
  <c r="L560" i="6" s="1"/>
  <c r="C812" i="7"/>
  <c r="D812" i="7" s="1"/>
  <c r="L372" i="7"/>
  <c r="O372" i="7"/>
  <c r="M535" i="8"/>
  <c r="D260" i="8"/>
  <c r="F260" i="8" s="1"/>
  <c r="H260" i="8"/>
  <c r="I756" i="7"/>
  <c r="J756" i="7" s="1"/>
  <c r="F702" i="7"/>
  <c r="B206" i="12"/>
  <c r="C206" i="12" s="1"/>
  <c r="E206" i="12"/>
  <c r="B1032" i="8"/>
  <c r="C1032" i="8" s="1"/>
  <c r="K976" i="8"/>
  <c r="M976" i="8" s="1"/>
  <c r="C151" i="7"/>
  <c r="I427" i="8"/>
  <c r="J427" i="8" s="1"/>
  <c r="I482" i="8"/>
  <c r="J482" i="8" s="1"/>
  <c r="L482" i="8" s="1"/>
  <c r="I703" i="6"/>
  <c r="O976" i="8"/>
  <c r="J207" i="7"/>
  <c r="K207" i="7" s="1"/>
  <c r="O262" i="7"/>
  <c r="K262" i="7"/>
  <c r="M262" i="7" s="1"/>
  <c r="D316" i="7"/>
  <c r="F316" i="7" s="1"/>
  <c r="I812" i="7"/>
  <c r="H317" i="8"/>
  <c r="E317" i="8"/>
  <c r="H1318" i="6"/>
  <c r="I1318" i="6" s="1"/>
  <c r="I536" i="7"/>
  <c r="G425" i="7"/>
  <c r="B482" i="7"/>
  <c r="M646" i="8"/>
  <c r="M535" i="7"/>
  <c r="H1168" i="6"/>
  <c r="J1168" i="6" s="1"/>
  <c r="O208" i="8"/>
  <c r="L208" i="8"/>
  <c r="I372" i="8"/>
  <c r="H1258" i="6"/>
  <c r="J1258" i="6" s="1"/>
  <c r="M33" i="9"/>
  <c r="P33" i="9" s="1"/>
  <c r="G207" i="7"/>
  <c r="D921" i="7"/>
  <c r="H921" i="7"/>
  <c r="K372" i="7"/>
  <c r="M261" i="12"/>
  <c r="D591" i="7"/>
  <c r="H591" i="7"/>
  <c r="I1077" i="6"/>
  <c r="I759" i="6"/>
  <c r="B263" i="7"/>
  <c r="C263" i="7" s="1"/>
  <c r="E263" i="7"/>
  <c r="M811" i="7"/>
  <c r="O315" i="12"/>
  <c r="K315" i="12"/>
  <c r="M315" i="12" s="1"/>
  <c r="M702" i="7"/>
  <c r="D317" i="8"/>
  <c r="BT213" i="11"/>
  <c r="BU213" i="11" s="1"/>
  <c r="J812" i="8"/>
  <c r="G1087" i="8"/>
  <c r="F260" i="12"/>
  <c r="H855" i="6"/>
  <c r="J855" i="6" s="1"/>
  <c r="E867" i="7"/>
  <c r="G867" i="7" s="1"/>
  <c r="H867" i="7"/>
  <c r="I152" i="8"/>
  <c r="J152" i="8" s="1"/>
  <c r="L152" i="8"/>
  <c r="H316" i="12"/>
  <c r="E316" i="12"/>
  <c r="G316" i="12" s="1"/>
  <c r="K208" i="8"/>
  <c r="M208" i="8" s="1"/>
  <c r="M371" i="6"/>
  <c r="K372" i="6" s="1"/>
  <c r="L372" i="6" s="1"/>
  <c r="O33" i="9"/>
  <c r="H1446" i="6"/>
  <c r="I1446" i="6" s="1"/>
  <c r="E921" i="7"/>
  <c r="H1123" i="6"/>
  <c r="I1123" i="6" s="1"/>
  <c r="C21" i="11"/>
  <c r="N152" i="7"/>
  <c r="K426" i="7"/>
  <c r="O426" i="7"/>
  <c r="I647" i="7"/>
  <c r="J647" i="7" s="1"/>
  <c r="D536" i="8"/>
  <c r="F536" i="8" s="1"/>
  <c r="M509" i="6"/>
  <c r="I1497" i="6"/>
  <c r="K153" i="12"/>
  <c r="M153" i="12" s="1"/>
  <c r="O153" i="12"/>
  <c r="I703" i="7"/>
  <c r="K225" i="6"/>
  <c r="L225" i="6" s="1"/>
  <c r="B152" i="12"/>
  <c r="C152" i="12" s="1"/>
  <c r="I1086" i="8"/>
  <c r="J1086" i="8" s="1"/>
  <c r="L1086" i="8" s="1"/>
  <c r="O868" i="7"/>
  <c r="K868" i="7"/>
  <c r="M868" i="7" s="1"/>
  <c r="B702" i="8"/>
  <c r="C702" i="8" s="1"/>
  <c r="E702" i="8"/>
  <c r="I1367" i="6"/>
  <c r="I262" i="8"/>
  <c r="E591" i="7"/>
  <c r="G591" i="7" s="1"/>
  <c r="F150" i="8"/>
  <c r="G207" i="8"/>
  <c r="H895" i="6"/>
  <c r="J895" i="6" s="1"/>
  <c r="H609" i="6"/>
  <c r="J609" i="6" s="1"/>
  <c r="C537" i="7"/>
  <c r="I591" i="7"/>
  <c r="J591" i="7" s="1"/>
  <c r="C592" i="8"/>
  <c r="F372" i="8"/>
  <c r="I866" i="8"/>
  <c r="J866" i="8" s="1"/>
  <c r="K509" i="6"/>
  <c r="L509" i="6" s="1"/>
  <c r="D316" i="12"/>
  <c r="P343" i="11"/>
  <c r="C14" i="11" s="1"/>
  <c r="O343" i="11"/>
  <c r="N343" i="11"/>
  <c r="B14" i="11" s="1"/>
  <c r="F481" i="7"/>
  <c r="L426" i="7"/>
  <c r="N426" i="7" s="1"/>
  <c r="H756" i="7"/>
  <c r="E756" i="7"/>
  <c r="G756" i="7" s="1"/>
  <c r="M261" i="8"/>
  <c r="H1415" i="6"/>
  <c r="I1415" i="6" s="1"/>
  <c r="M372" i="7" l="1"/>
  <c r="F867" i="7"/>
  <c r="G921" i="7"/>
  <c r="B922" i="7" s="1"/>
  <c r="AT263" i="11"/>
  <c r="C1214" i="7"/>
  <c r="D1214" i="7" s="1"/>
  <c r="V261" i="11"/>
  <c r="AG261" i="11" s="1"/>
  <c r="AQ263" i="11"/>
  <c r="AW263" i="11" s="1"/>
  <c r="G1041" i="7"/>
  <c r="I946" i="6"/>
  <c r="J946" i="6"/>
  <c r="N262" i="7"/>
  <c r="I263" i="7" s="1"/>
  <c r="J263" i="7" s="1"/>
  <c r="L263" i="7" s="1"/>
  <c r="AV263" i="11"/>
  <c r="F317" i="8"/>
  <c r="AU263" i="11"/>
  <c r="AY263" i="11" s="1"/>
  <c r="BD263" i="11" s="1"/>
  <c r="BC263" i="11" s="1"/>
  <c r="E213" i="11"/>
  <c r="D1160" i="7"/>
  <c r="F213" i="11"/>
  <c r="J372" i="8"/>
  <c r="L372" i="8" s="1"/>
  <c r="N868" i="7"/>
  <c r="I869" i="7" s="1"/>
  <c r="J869" i="7" s="1"/>
  <c r="K1041" i="7"/>
  <c r="N33" i="9"/>
  <c r="Q33" i="9" s="1"/>
  <c r="R33" i="9" s="1"/>
  <c r="N1033" i="8"/>
  <c r="I1034" i="8" s="1"/>
  <c r="J1034" i="8" s="1"/>
  <c r="N153" i="12"/>
  <c r="I154" i="12" s="1"/>
  <c r="J154" i="12" s="1"/>
  <c r="I1258" i="6"/>
  <c r="H1259" i="6" s="1"/>
  <c r="I1259" i="6" s="1"/>
  <c r="J1318" i="6"/>
  <c r="N976" i="8"/>
  <c r="I977" i="8" s="1"/>
  <c r="J977" i="8" s="1"/>
  <c r="I1099" i="7"/>
  <c r="G1099" i="7"/>
  <c r="D1100" i="7" s="1"/>
  <c r="E1099" i="7"/>
  <c r="K1099" i="7"/>
  <c r="J1099" i="7"/>
  <c r="F1099" i="7"/>
  <c r="C1100" i="7"/>
  <c r="H1099" i="7"/>
  <c r="B1100" i="7" s="1"/>
  <c r="D647" i="8"/>
  <c r="F647" i="8" s="1"/>
  <c r="H647" i="8"/>
  <c r="B984" i="7"/>
  <c r="C984" i="7"/>
  <c r="D984" i="7" s="1"/>
  <c r="D758" i="8"/>
  <c r="H758" i="8"/>
  <c r="E758" i="8"/>
  <c r="G758" i="8" s="1"/>
  <c r="K138" i="6"/>
  <c r="L138" i="6" s="1"/>
  <c r="K373" i="6"/>
  <c r="L373" i="6" s="1"/>
  <c r="L427" i="8"/>
  <c r="K427" i="8"/>
  <c r="M427" i="8" s="1"/>
  <c r="O427" i="8"/>
  <c r="BX213" i="11"/>
  <c r="BW213" i="11"/>
  <c r="CC213" i="11" s="1"/>
  <c r="BY213" i="11"/>
  <c r="CD213" i="11" s="1"/>
  <c r="BZ213" i="11"/>
  <c r="CB213" i="11"/>
  <c r="CA213" i="11"/>
  <c r="CE213" i="11" s="1"/>
  <c r="O372" i="8"/>
  <c r="K372" i="8"/>
  <c r="K183" i="6"/>
  <c r="L183" i="6" s="1"/>
  <c r="H592" i="8"/>
  <c r="E592" i="8"/>
  <c r="B592" i="7"/>
  <c r="F591" i="7"/>
  <c r="D152" i="12"/>
  <c r="H152" i="12"/>
  <c r="H206" i="12"/>
  <c r="D206" i="12"/>
  <c r="F206" i="12" s="1"/>
  <c r="I427" i="7"/>
  <c r="E152" i="12"/>
  <c r="G152" i="12" s="1"/>
  <c r="I483" i="7"/>
  <c r="J483" i="7" s="1"/>
  <c r="L483" i="7"/>
  <c r="E537" i="7"/>
  <c r="H537" i="7"/>
  <c r="G868" i="8"/>
  <c r="O152" i="8"/>
  <c r="K152" i="8"/>
  <c r="M152" i="8" s="1"/>
  <c r="J703" i="7"/>
  <c r="K703" i="7" s="1"/>
  <c r="O592" i="8"/>
  <c r="K592" i="8"/>
  <c r="M592" i="8" s="1"/>
  <c r="I317" i="7"/>
  <c r="J317" i="7" s="1"/>
  <c r="L317" i="7"/>
  <c r="K226" i="6"/>
  <c r="M226" i="6" s="1"/>
  <c r="I757" i="8"/>
  <c r="J757" i="8" s="1"/>
  <c r="L757" i="8" s="1"/>
  <c r="K922" i="7"/>
  <c r="O922" i="7"/>
  <c r="H1037" i="6"/>
  <c r="J1037" i="6" s="1"/>
  <c r="J262" i="8"/>
  <c r="K262" i="8" s="1"/>
  <c r="I153" i="7"/>
  <c r="J153" i="7" s="1"/>
  <c r="L153" i="7" s="1"/>
  <c r="E921" i="8"/>
  <c r="H921" i="8"/>
  <c r="B757" i="7"/>
  <c r="L812" i="8"/>
  <c r="O812" i="8"/>
  <c r="D921" i="8"/>
  <c r="K591" i="7"/>
  <c r="O591" i="7"/>
  <c r="C482" i="7"/>
  <c r="H702" i="8"/>
  <c r="D702" i="8"/>
  <c r="F702" i="8" s="1"/>
  <c r="C19" i="11"/>
  <c r="B19" i="11"/>
  <c r="O756" i="7"/>
  <c r="K756" i="7"/>
  <c r="G649" i="7"/>
  <c r="J812" i="7"/>
  <c r="H807" i="6"/>
  <c r="J807" i="6" s="1"/>
  <c r="M183" i="6"/>
  <c r="H704" i="6"/>
  <c r="J704" i="6" s="1"/>
  <c r="C151" i="8"/>
  <c r="D151" i="8" s="1"/>
  <c r="F812" i="7"/>
  <c r="D592" i="8"/>
  <c r="B426" i="7"/>
  <c r="C426" i="7" s="1"/>
  <c r="E426" i="7" s="1"/>
  <c r="B317" i="12"/>
  <c r="C703" i="7"/>
  <c r="B812" i="8"/>
  <c r="C812" i="8" s="1"/>
  <c r="E812" i="8"/>
  <c r="I664" i="6"/>
  <c r="G316" i="7"/>
  <c r="G317" i="8"/>
  <c r="H151" i="7"/>
  <c r="E151" i="7"/>
  <c r="M560" i="6"/>
  <c r="K561" i="6" s="1"/>
  <c r="L561" i="6" s="1"/>
  <c r="K812" i="8"/>
  <c r="J262" i="12"/>
  <c r="D151" i="7"/>
  <c r="L591" i="7"/>
  <c r="L464" i="6"/>
  <c r="H1368" i="6"/>
  <c r="J1368" i="6" s="1"/>
  <c r="N208" i="8"/>
  <c r="K330" i="6"/>
  <c r="M330" i="6" s="1"/>
  <c r="H1041" i="7"/>
  <c r="D537" i="7"/>
  <c r="J1123" i="6"/>
  <c r="H1124" i="6" s="1"/>
  <c r="I1124" i="6" s="1"/>
  <c r="D480" i="8"/>
  <c r="H480" i="8"/>
  <c r="O207" i="7"/>
  <c r="L207" i="7"/>
  <c r="N207" i="7" s="1"/>
  <c r="E480" i="8"/>
  <c r="I922" i="8"/>
  <c r="J922" i="8" s="1"/>
  <c r="L922" i="8"/>
  <c r="B868" i="7"/>
  <c r="C868" i="7" s="1"/>
  <c r="E868" i="7" s="1"/>
  <c r="I1168" i="6"/>
  <c r="L756" i="7"/>
  <c r="L922" i="7"/>
  <c r="H977" i="8"/>
  <c r="D977" i="8"/>
  <c r="K647" i="7"/>
  <c r="O647" i="7"/>
  <c r="F921" i="7"/>
  <c r="H263" i="7"/>
  <c r="D263" i="7"/>
  <c r="F263" i="7" s="1"/>
  <c r="O866" i="8"/>
  <c r="K866" i="8"/>
  <c r="I895" i="6"/>
  <c r="F756" i="7"/>
  <c r="N317" i="8"/>
  <c r="B208" i="7"/>
  <c r="C208" i="7" s="1"/>
  <c r="J536" i="8"/>
  <c r="K536" i="8" s="1"/>
  <c r="I2931" i="6"/>
  <c r="M39" i="10"/>
  <c r="I39" i="10" s="1"/>
  <c r="F316" i="12"/>
  <c r="S33" i="9"/>
  <c r="L647" i="7"/>
  <c r="I855" i="6"/>
  <c r="L866" i="8"/>
  <c r="N866" i="8" s="1"/>
  <c r="J1415" i="6"/>
  <c r="H1416" i="6" s="1"/>
  <c r="I1416" i="6" s="1"/>
  <c r="C261" i="12"/>
  <c r="J536" i="7"/>
  <c r="O482" i="8"/>
  <c r="K482" i="8"/>
  <c r="M482" i="8" s="1"/>
  <c r="J1446" i="6"/>
  <c r="H1447" i="6" s="1"/>
  <c r="I1447" i="6" s="1"/>
  <c r="K422" i="6"/>
  <c r="M422" i="6" s="1"/>
  <c r="BA263" i="11"/>
  <c r="K510" i="6"/>
  <c r="L510" i="6" s="1"/>
  <c r="BK213" i="11"/>
  <c r="BJ213" i="11"/>
  <c r="BI213" i="11"/>
  <c r="BH213" i="11"/>
  <c r="BG213" i="11"/>
  <c r="BF213" i="11"/>
  <c r="BE213" i="11"/>
  <c r="N315" i="12"/>
  <c r="I1216" i="6"/>
  <c r="G260" i="8"/>
  <c r="B208" i="8"/>
  <c r="C208" i="8" s="1"/>
  <c r="E208" i="8"/>
  <c r="H1498" i="6"/>
  <c r="J1498" i="6" s="1"/>
  <c r="M426" i="7"/>
  <c r="B1088" i="8"/>
  <c r="C1088" i="8" s="1"/>
  <c r="E1088" i="8" s="1"/>
  <c r="H760" i="6"/>
  <c r="J760" i="6" s="1"/>
  <c r="J647" i="8"/>
  <c r="D1032" i="8"/>
  <c r="F1032" i="8" s="1"/>
  <c r="H1032" i="8"/>
  <c r="N372" i="7"/>
  <c r="D371" i="7"/>
  <c r="F371" i="7" s="1"/>
  <c r="H371" i="7"/>
  <c r="G427" i="8"/>
  <c r="AZ263" i="11"/>
  <c r="I609" i="6"/>
  <c r="E977" i="8"/>
  <c r="I993" i="6"/>
  <c r="N701" i="8"/>
  <c r="M372" i="6"/>
  <c r="C373" i="8"/>
  <c r="K1086" i="8"/>
  <c r="M1086" i="8" s="1"/>
  <c r="O1086" i="8"/>
  <c r="I1160" i="7"/>
  <c r="H1160" i="7"/>
  <c r="B1161" i="7" s="1"/>
  <c r="F1160" i="7"/>
  <c r="E1160" i="7"/>
  <c r="G1160" i="7"/>
  <c r="D1161" i="7" s="1"/>
  <c r="K1160" i="7"/>
  <c r="J1160" i="7"/>
  <c r="C1161" i="7"/>
  <c r="H1078" i="6"/>
  <c r="J1078" i="6" s="1"/>
  <c r="E1032" i="8"/>
  <c r="E812" i="7"/>
  <c r="G812" i="7" s="1"/>
  <c r="H812" i="7"/>
  <c r="L279" i="6"/>
  <c r="I207" i="12"/>
  <c r="J207" i="12" s="1"/>
  <c r="L207" i="12"/>
  <c r="G536" i="8"/>
  <c r="BB263" i="11" l="1"/>
  <c r="AC261" i="11"/>
  <c r="AB261" i="11"/>
  <c r="AA261" i="11"/>
  <c r="Y261" i="11"/>
  <c r="C262" i="11" s="1"/>
  <c r="AD261" i="11"/>
  <c r="Z261" i="11"/>
  <c r="AE261" i="11"/>
  <c r="E1214" i="7"/>
  <c r="J1214" i="7"/>
  <c r="I1214" i="7"/>
  <c r="C1215" i="7"/>
  <c r="K1214" i="7"/>
  <c r="H1214" i="7"/>
  <c r="B1215" i="7" s="1"/>
  <c r="G1214" i="7"/>
  <c r="D1215" i="7" s="1"/>
  <c r="I1215" i="7" s="1"/>
  <c r="F1214" i="7"/>
  <c r="H947" i="6"/>
  <c r="I947" i="6" s="1"/>
  <c r="J947" i="6"/>
  <c r="M591" i="7"/>
  <c r="F480" i="8"/>
  <c r="M510" i="6"/>
  <c r="K511" i="6" s="1"/>
  <c r="L511" i="6" s="1"/>
  <c r="G263" i="7"/>
  <c r="B264" i="7" s="1"/>
  <c r="C264" i="7" s="1"/>
  <c r="H1319" i="6"/>
  <c r="I1319" i="6" s="1"/>
  <c r="H213" i="11"/>
  <c r="I213" i="11" s="1"/>
  <c r="M213" i="11"/>
  <c r="R213" i="11" s="1"/>
  <c r="N213" i="11"/>
  <c r="C1101" i="7"/>
  <c r="E1100" i="7"/>
  <c r="J1100" i="7"/>
  <c r="I1100" i="7"/>
  <c r="H1100" i="7"/>
  <c r="B1101" i="7" s="1"/>
  <c r="K1100" i="7"/>
  <c r="G1100" i="7"/>
  <c r="F1100" i="7"/>
  <c r="K1034" i="8"/>
  <c r="O1034" i="8"/>
  <c r="G371" i="7"/>
  <c r="B372" i="7" s="1"/>
  <c r="C372" i="7" s="1"/>
  <c r="N647" i="7"/>
  <c r="I648" i="7" s="1"/>
  <c r="G921" i="8"/>
  <c r="B922" i="8" s="1"/>
  <c r="M138" i="6"/>
  <c r="K139" i="6" s="1"/>
  <c r="M139" i="6" s="1"/>
  <c r="G592" i="8"/>
  <c r="B593" i="8" s="1"/>
  <c r="N1086" i="8"/>
  <c r="I1087" i="8" s="1"/>
  <c r="J1087" i="8" s="1"/>
  <c r="L1087" i="8" s="1"/>
  <c r="CG213" i="11"/>
  <c r="CH213" i="11" s="1"/>
  <c r="N922" i="7"/>
  <c r="I923" i="7" s="1"/>
  <c r="M756" i="7"/>
  <c r="F151" i="7"/>
  <c r="N152" i="8"/>
  <c r="F984" i="7"/>
  <c r="E984" i="7"/>
  <c r="I984" i="7"/>
  <c r="H984" i="7"/>
  <c r="B985" i="7" s="1"/>
  <c r="J984" i="7"/>
  <c r="G984" i="7"/>
  <c r="C985" i="7"/>
  <c r="D985" i="7"/>
  <c r="N482" i="8"/>
  <c r="I483" i="8" s="1"/>
  <c r="J483" i="8" s="1"/>
  <c r="BM263" i="11"/>
  <c r="BH263" i="11" s="1"/>
  <c r="L1034" i="8"/>
  <c r="G977" i="8"/>
  <c r="B978" i="8" s="1"/>
  <c r="M812" i="8"/>
  <c r="G537" i="7"/>
  <c r="B538" i="7" s="1"/>
  <c r="N372" i="8"/>
  <c r="G647" i="8"/>
  <c r="L154" i="12"/>
  <c r="O154" i="12"/>
  <c r="K154" i="12"/>
  <c r="J1215" i="7"/>
  <c r="L977" i="8"/>
  <c r="O977" i="8"/>
  <c r="K977" i="8"/>
  <c r="K184" i="6"/>
  <c r="M184" i="6" s="1"/>
  <c r="H1448" i="6"/>
  <c r="I1448" i="6" s="1"/>
  <c r="K869" i="7"/>
  <c r="L869" i="7"/>
  <c r="N869" i="7" s="1"/>
  <c r="O869" i="7"/>
  <c r="J1161" i="7"/>
  <c r="I1161" i="7"/>
  <c r="H1161" i="7"/>
  <c r="B1162" i="7" s="1"/>
  <c r="G1161" i="7"/>
  <c r="C1162" i="7"/>
  <c r="D1162" i="7" s="1"/>
  <c r="K1161" i="7"/>
  <c r="F1161" i="7"/>
  <c r="E1161" i="7"/>
  <c r="E482" i="7"/>
  <c r="H482" i="7"/>
  <c r="C592" i="7"/>
  <c r="L262" i="12"/>
  <c r="O262" i="12"/>
  <c r="H856" i="6"/>
  <c r="J856" i="6" s="1"/>
  <c r="D812" i="8"/>
  <c r="F812" i="8" s="1"/>
  <c r="H812" i="8"/>
  <c r="L226" i="6"/>
  <c r="F537" i="7"/>
  <c r="I704" i="6"/>
  <c r="E703" i="7"/>
  <c r="H703" i="7"/>
  <c r="B813" i="7"/>
  <c r="C813" i="7" s="1"/>
  <c r="J427" i="7"/>
  <c r="K427" i="7" s="1"/>
  <c r="B759" i="8"/>
  <c r="G1032" i="8"/>
  <c r="O536" i="7"/>
  <c r="L536" i="7"/>
  <c r="H2932" i="6"/>
  <c r="J2932" i="6" s="1"/>
  <c r="L330" i="6"/>
  <c r="I209" i="8"/>
  <c r="J209" i="8" s="1"/>
  <c r="O263" i="7"/>
  <c r="F758" i="8"/>
  <c r="E261" i="12"/>
  <c r="H261" i="12"/>
  <c r="C317" i="12"/>
  <c r="D317" i="12" s="1"/>
  <c r="M647" i="7"/>
  <c r="N1034" i="8"/>
  <c r="I1078" i="6"/>
  <c r="H208" i="8"/>
  <c r="D208" i="8"/>
  <c r="F208" i="8" s="1"/>
  <c r="D261" i="12"/>
  <c r="F977" i="8"/>
  <c r="I1368" i="6"/>
  <c r="B317" i="7"/>
  <c r="C317" i="7" s="1"/>
  <c r="E317" i="7" s="1"/>
  <c r="L812" i="7"/>
  <c r="O812" i="7"/>
  <c r="F921" i="8"/>
  <c r="C757" i="7"/>
  <c r="I867" i="8"/>
  <c r="H896" i="6"/>
  <c r="J896" i="6" s="1"/>
  <c r="K262" i="12"/>
  <c r="K263" i="7"/>
  <c r="M263" i="7" s="1"/>
  <c r="M866" i="8"/>
  <c r="H665" i="6"/>
  <c r="J665" i="6" s="1"/>
  <c r="D868" i="7"/>
  <c r="F868" i="7" s="1"/>
  <c r="I153" i="8"/>
  <c r="J153" i="8" s="1"/>
  <c r="H610" i="6"/>
  <c r="J610" i="6" s="1"/>
  <c r="J1447" i="6"/>
  <c r="H1169" i="6"/>
  <c r="J1169" i="6" s="1"/>
  <c r="G151" i="7"/>
  <c r="O262" i="8"/>
  <c r="L262" i="8"/>
  <c r="N262" i="8" s="1"/>
  <c r="G1088" i="8"/>
  <c r="K483" i="7"/>
  <c r="M483" i="7" s="1"/>
  <c r="O483" i="7"/>
  <c r="C922" i="7"/>
  <c r="J1259" i="6"/>
  <c r="H1260" i="6" s="1"/>
  <c r="I1260" i="6" s="1"/>
  <c r="I1498" i="6"/>
  <c r="F33" i="9"/>
  <c r="E33" i="9"/>
  <c r="G33" i="9"/>
  <c r="B318" i="8"/>
  <c r="C318" i="8" s="1"/>
  <c r="G702" i="8"/>
  <c r="N592" i="8"/>
  <c r="M372" i="8"/>
  <c r="B261" i="8"/>
  <c r="C261" i="8" s="1"/>
  <c r="E261" i="8" s="1"/>
  <c r="D208" i="7"/>
  <c r="H208" i="7"/>
  <c r="H868" i="7"/>
  <c r="K465" i="6"/>
  <c r="M465" i="6" s="1"/>
  <c r="K812" i="7"/>
  <c r="M812" i="7" s="1"/>
  <c r="I1037" i="6"/>
  <c r="I702" i="8"/>
  <c r="J702" i="8" s="1"/>
  <c r="L702" i="8" s="1"/>
  <c r="O757" i="8"/>
  <c r="K757" i="8"/>
  <c r="M757" i="8" s="1"/>
  <c r="H994" i="6"/>
  <c r="J994" i="6" s="1"/>
  <c r="J1416" i="6"/>
  <c r="D482" i="7"/>
  <c r="CF213" i="11"/>
  <c r="L647" i="8"/>
  <c r="O647" i="8"/>
  <c r="B537" i="8"/>
  <c r="C537" i="8" s="1"/>
  <c r="K153" i="7"/>
  <c r="M153" i="7" s="1"/>
  <c r="O153" i="7"/>
  <c r="I760" i="6"/>
  <c r="K280" i="6"/>
  <c r="M280" i="6" s="1"/>
  <c r="D1088" i="8"/>
  <c r="F1088" i="8" s="1"/>
  <c r="H1088" i="8"/>
  <c r="B1042" i="7"/>
  <c r="C1042" i="7"/>
  <c r="D1042" i="7" s="1"/>
  <c r="O317" i="7"/>
  <c r="K317" i="7"/>
  <c r="M317" i="7" s="1"/>
  <c r="D703" i="7"/>
  <c r="B153" i="12"/>
  <c r="B428" i="8"/>
  <c r="C428" i="8" s="1"/>
  <c r="E428" i="8"/>
  <c r="K922" i="8"/>
  <c r="M922" i="8" s="1"/>
  <c r="O922" i="8"/>
  <c r="I807" i="6"/>
  <c r="K536" i="7"/>
  <c r="G480" i="8"/>
  <c r="H373" i="8"/>
  <c r="E373" i="8"/>
  <c r="H426" i="7"/>
  <c r="D426" i="7"/>
  <c r="F426" i="7" s="1"/>
  <c r="D373" i="8"/>
  <c r="I373" i="7"/>
  <c r="J373" i="7" s="1"/>
  <c r="H1217" i="6"/>
  <c r="J1217" i="6" s="1"/>
  <c r="E208" i="7"/>
  <c r="G208" i="7" s="1"/>
  <c r="N591" i="7"/>
  <c r="B650" i="7"/>
  <c r="C650" i="7" s="1"/>
  <c r="N812" i="8"/>
  <c r="F152" i="12"/>
  <c r="BL213" i="11"/>
  <c r="AP214" i="11" s="1"/>
  <c r="AK214" i="11"/>
  <c r="AI214" i="11"/>
  <c r="J1124" i="6"/>
  <c r="K647" i="8"/>
  <c r="H151" i="8"/>
  <c r="E151" i="8"/>
  <c r="G151" i="8" s="1"/>
  <c r="L422" i="6"/>
  <c r="D262" i="11"/>
  <c r="M561" i="6"/>
  <c r="K207" i="12"/>
  <c r="M207" i="12" s="1"/>
  <c r="O207" i="12"/>
  <c r="AJ214" i="11"/>
  <c r="N427" i="8"/>
  <c r="AM214" i="11"/>
  <c r="N39" i="10"/>
  <c r="H39" i="10" s="1"/>
  <c r="K39" i="10" s="1"/>
  <c r="I373" i="8"/>
  <c r="L536" i="8"/>
  <c r="N536" i="8" s="1"/>
  <c r="O536" i="8"/>
  <c r="I208" i="7"/>
  <c r="L703" i="7"/>
  <c r="N703" i="7" s="1"/>
  <c r="O703" i="7"/>
  <c r="M373" i="6"/>
  <c r="K374" i="6" s="1"/>
  <c r="L374" i="6" s="1"/>
  <c r="I316" i="12"/>
  <c r="J316" i="12" s="1"/>
  <c r="I318" i="8"/>
  <c r="J318" i="8" s="1"/>
  <c r="L318" i="8" s="1"/>
  <c r="N756" i="7"/>
  <c r="F592" i="8"/>
  <c r="M922" i="7"/>
  <c r="B869" i="8"/>
  <c r="C869" i="8" s="1"/>
  <c r="E869" i="8"/>
  <c r="G206" i="12"/>
  <c r="M207" i="7"/>
  <c r="E1215" i="7" l="1"/>
  <c r="F1215" i="7"/>
  <c r="G1215" i="7"/>
  <c r="U213" i="11"/>
  <c r="K1215" i="7"/>
  <c r="O213" i="11"/>
  <c r="S213" i="11" s="1"/>
  <c r="P213" i="11"/>
  <c r="C1216" i="7"/>
  <c r="H1215" i="7"/>
  <c r="B1216" i="7" s="1"/>
  <c r="CI213" i="11"/>
  <c r="CJ213" i="11"/>
  <c r="CS213" i="11" s="1"/>
  <c r="M1034" i="8"/>
  <c r="N262" i="12"/>
  <c r="I263" i="12" s="1"/>
  <c r="H948" i="6"/>
  <c r="I948" i="6" s="1"/>
  <c r="J948" i="6"/>
  <c r="M262" i="8"/>
  <c r="D1101" i="7"/>
  <c r="F261" i="12"/>
  <c r="N153" i="7"/>
  <c r="I154" i="7" s="1"/>
  <c r="J154" i="7" s="1"/>
  <c r="J1319" i="6"/>
  <c r="H1320" i="6" s="1"/>
  <c r="I1320" i="6" s="1"/>
  <c r="AF261" i="11"/>
  <c r="K213" i="11"/>
  <c r="Q213" i="11" s="1"/>
  <c r="L213" i="11"/>
  <c r="K483" i="8"/>
  <c r="O483" i="8"/>
  <c r="BG263" i="11"/>
  <c r="AJ264" i="11" s="1"/>
  <c r="BK263" i="11"/>
  <c r="N647" i="8"/>
  <c r="I648" i="8" s="1"/>
  <c r="B648" i="8"/>
  <c r="C648" i="8" s="1"/>
  <c r="N977" i="8"/>
  <c r="I978" i="8" s="1"/>
  <c r="M536" i="7"/>
  <c r="N757" i="8"/>
  <c r="I758" i="8" s="1"/>
  <c r="J758" i="8" s="1"/>
  <c r="O758" i="8" s="1"/>
  <c r="BF263" i="11"/>
  <c r="M511" i="6"/>
  <c r="G703" i="7"/>
  <c r="B704" i="7" s="1"/>
  <c r="BI263" i="11"/>
  <c r="BJ263" i="11"/>
  <c r="F482" i="7"/>
  <c r="F985" i="7"/>
  <c r="J985" i="7"/>
  <c r="I985" i="7"/>
  <c r="E985" i="7"/>
  <c r="G985" i="7" s="1"/>
  <c r="H985" i="7"/>
  <c r="B986" i="7" s="1"/>
  <c r="C986" i="7" s="1"/>
  <c r="D986" i="7" s="1"/>
  <c r="G868" i="7"/>
  <c r="B869" i="7" s="1"/>
  <c r="C869" i="7" s="1"/>
  <c r="D869" i="7" s="1"/>
  <c r="BE263" i="11"/>
  <c r="K984" i="7"/>
  <c r="M154" i="12"/>
  <c r="N922" i="8"/>
  <c r="I923" i="8" s="1"/>
  <c r="J923" i="8" s="1"/>
  <c r="G1101" i="7"/>
  <c r="J1101" i="7"/>
  <c r="I1101" i="7"/>
  <c r="F1101" i="7"/>
  <c r="E1101" i="7"/>
  <c r="C1102" i="7"/>
  <c r="K1101" i="7"/>
  <c r="H1101" i="7"/>
  <c r="B1102" i="7" s="1"/>
  <c r="G373" i="8"/>
  <c r="B374" i="8" s="1"/>
  <c r="L280" i="6"/>
  <c r="K281" i="6" s="1"/>
  <c r="L281" i="6" s="1"/>
  <c r="I610" i="6"/>
  <c r="H611" i="6" s="1"/>
  <c r="G1162" i="7"/>
  <c r="F1162" i="7"/>
  <c r="C1163" i="7"/>
  <c r="J1162" i="7"/>
  <c r="I1162" i="7"/>
  <c r="E1162" i="7"/>
  <c r="K1162" i="7"/>
  <c r="H1162" i="7"/>
  <c r="B1163" i="7" s="1"/>
  <c r="N318" i="8"/>
  <c r="H264" i="7"/>
  <c r="D264" i="7"/>
  <c r="E264" i="7"/>
  <c r="D813" i="7"/>
  <c r="H813" i="7"/>
  <c r="E813" i="7"/>
  <c r="K153" i="8"/>
  <c r="L153" i="8"/>
  <c r="N153" i="8" s="1"/>
  <c r="O153" i="8"/>
  <c r="K512" i="6"/>
  <c r="M512" i="6" s="1"/>
  <c r="D372" i="7"/>
  <c r="H372" i="7"/>
  <c r="E372" i="7"/>
  <c r="O316" i="12"/>
  <c r="K316" i="12"/>
  <c r="H537" i="8"/>
  <c r="D537" i="8"/>
  <c r="I592" i="7"/>
  <c r="J592" i="7" s="1"/>
  <c r="L592" i="7" s="1"/>
  <c r="D318" i="8"/>
  <c r="H318" i="8"/>
  <c r="L316" i="12"/>
  <c r="O702" i="8"/>
  <c r="K702" i="8"/>
  <c r="M702" i="8" s="1"/>
  <c r="I704" i="7"/>
  <c r="I1217" i="6"/>
  <c r="O373" i="7"/>
  <c r="K373" i="7"/>
  <c r="H1038" i="6"/>
  <c r="J1038" i="6" s="1"/>
  <c r="J373" i="8"/>
  <c r="K373" i="8" s="1"/>
  <c r="I263" i="8"/>
  <c r="H1079" i="6"/>
  <c r="J1079" i="6" s="1"/>
  <c r="M703" i="7"/>
  <c r="J923" i="7"/>
  <c r="K923" i="7" s="1"/>
  <c r="I1035" i="8"/>
  <c r="C593" i="8"/>
  <c r="N317" i="7"/>
  <c r="C153" i="12"/>
  <c r="E922" i="7"/>
  <c r="H922" i="7"/>
  <c r="J1320" i="6"/>
  <c r="H1321" i="6" s="1"/>
  <c r="I1321" i="6" s="1"/>
  <c r="L483" i="8"/>
  <c r="N483" i="8" s="1"/>
  <c r="D922" i="7"/>
  <c r="H592" i="7"/>
  <c r="E592" i="7"/>
  <c r="I1169" i="6"/>
  <c r="D592" i="7"/>
  <c r="I870" i="7"/>
  <c r="G426" i="7"/>
  <c r="F151" i="8"/>
  <c r="H317" i="7"/>
  <c r="D317" i="7"/>
  <c r="F317" i="7" s="1"/>
  <c r="B481" i="8"/>
  <c r="C481" i="8" s="1"/>
  <c r="E481" i="8" s="1"/>
  <c r="K209" i="8"/>
  <c r="O209" i="8"/>
  <c r="L40" i="10"/>
  <c r="J40" i="10"/>
  <c r="H33" i="9"/>
  <c r="I33" i="9" s="1"/>
  <c r="L34" i="9"/>
  <c r="C978" i="8"/>
  <c r="B1089" i="8"/>
  <c r="C1089" i="8" s="1"/>
  <c r="H1089" i="8" s="1"/>
  <c r="K331" i="6"/>
  <c r="M331" i="6" s="1"/>
  <c r="M332" i="6" s="1"/>
  <c r="M333" i="6" s="1"/>
  <c r="M334" i="6" s="1"/>
  <c r="M335" i="6" s="1"/>
  <c r="M336" i="6" s="1"/>
  <c r="M337" i="6" s="1"/>
  <c r="M338" i="6" s="1"/>
  <c r="M339" i="6" s="1"/>
  <c r="M340" i="6" s="1"/>
  <c r="M341" i="6" s="1"/>
  <c r="M342" i="6" s="1"/>
  <c r="M343" i="6" s="1"/>
  <c r="M344" i="6" s="1"/>
  <c r="M345" i="6" s="1"/>
  <c r="M346" i="6" s="1"/>
  <c r="M347" i="6" s="1"/>
  <c r="M348" i="6" s="1"/>
  <c r="M349" i="6" s="1"/>
  <c r="M350" i="6" s="1"/>
  <c r="M351" i="6" s="1"/>
  <c r="I665" i="6"/>
  <c r="H869" i="8"/>
  <c r="D869" i="8"/>
  <c r="F869" i="8" s="1"/>
  <c r="I428" i="8"/>
  <c r="J428" i="8" s="1"/>
  <c r="N536" i="7"/>
  <c r="K562" i="6"/>
  <c r="L562" i="6" s="1"/>
  <c r="L465" i="6"/>
  <c r="B152" i="7"/>
  <c r="C152" i="7" s="1"/>
  <c r="E152" i="7" s="1"/>
  <c r="J648" i="7"/>
  <c r="H705" i="6"/>
  <c r="J705" i="6" s="1"/>
  <c r="N483" i="7"/>
  <c r="E317" i="12"/>
  <c r="G317" i="12" s="1"/>
  <c r="H317" i="12"/>
  <c r="C538" i="7"/>
  <c r="D538" i="7" s="1"/>
  <c r="N154" i="12"/>
  <c r="G262" i="11"/>
  <c r="AL214" i="11"/>
  <c r="AN214" i="11" s="1"/>
  <c r="AO214" i="11" s="1"/>
  <c r="E262" i="11"/>
  <c r="I813" i="8"/>
  <c r="J813" i="8" s="1"/>
  <c r="L813" i="8"/>
  <c r="I994" i="6"/>
  <c r="O1087" i="8"/>
  <c r="I896" i="6"/>
  <c r="C922" i="8"/>
  <c r="D922" i="8" s="1"/>
  <c r="M869" i="7"/>
  <c r="N263" i="7"/>
  <c r="L139" i="6"/>
  <c r="M374" i="6"/>
  <c r="K375" i="6" s="1"/>
  <c r="L375" i="6" s="1"/>
  <c r="B209" i="7"/>
  <c r="L209" i="8"/>
  <c r="J208" i="7"/>
  <c r="K208" i="7" s="1"/>
  <c r="K423" i="6"/>
  <c r="M423" i="6" s="1"/>
  <c r="K1087" i="8"/>
  <c r="M1087" i="8" s="1"/>
  <c r="H1499" i="6"/>
  <c r="J1499" i="6" s="1"/>
  <c r="N207" i="12"/>
  <c r="B207" i="12"/>
  <c r="C207" i="12" s="1"/>
  <c r="G812" i="8"/>
  <c r="J1260" i="6"/>
  <c r="L373" i="7"/>
  <c r="J867" i="8"/>
  <c r="H1417" i="6"/>
  <c r="I1417" i="6" s="1"/>
  <c r="D428" i="8"/>
  <c r="F428" i="8" s="1"/>
  <c r="H428" i="8"/>
  <c r="M262" i="12"/>
  <c r="B1033" i="8"/>
  <c r="C1033" i="8" s="1"/>
  <c r="E1033" i="8" s="1"/>
  <c r="I757" i="7"/>
  <c r="J757" i="7" s="1"/>
  <c r="L757" i="7" s="1"/>
  <c r="H650" i="7"/>
  <c r="D650" i="7"/>
  <c r="F703" i="7"/>
  <c r="F208" i="7"/>
  <c r="B703" i="8"/>
  <c r="C703" i="8" s="1"/>
  <c r="E703" i="8" s="1"/>
  <c r="J1448" i="6"/>
  <c r="H1449" i="6" s="1"/>
  <c r="I1449" i="6" s="1"/>
  <c r="G261" i="12"/>
  <c r="K227" i="6"/>
  <c r="M227" i="6" s="1"/>
  <c r="G482" i="7"/>
  <c r="H1125" i="6"/>
  <c r="I1125" i="6" s="1"/>
  <c r="M977" i="8"/>
  <c r="H261" i="8"/>
  <c r="D261" i="8"/>
  <c r="F261" i="8" s="1"/>
  <c r="H1369" i="6"/>
  <c r="J1369" i="6" s="1"/>
  <c r="I856" i="6"/>
  <c r="H1042" i="7"/>
  <c r="B1043" i="7" s="1"/>
  <c r="G1042" i="7"/>
  <c r="F1042" i="7"/>
  <c r="E1042" i="7"/>
  <c r="I1042" i="7"/>
  <c r="J1042" i="7"/>
  <c r="C1043" i="7"/>
  <c r="K1042" i="7"/>
  <c r="H761" i="6"/>
  <c r="J761" i="6" s="1"/>
  <c r="L184" i="6"/>
  <c r="H808" i="6"/>
  <c r="J808" i="6" s="1"/>
  <c r="E757" i="7"/>
  <c r="H757" i="7"/>
  <c r="D757" i="7"/>
  <c r="B152" i="8"/>
  <c r="I2932" i="6"/>
  <c r="I537" i="8"/>
  <c r="F373" i="8"/>
  <c r="M647" i="8"/>
  <c r="I593" i="8"/>
  <c r="J593" i="8" s="1"/>
  <c r="O318" i="8"/>
  <c r="K318" i="8"/>
  <c r="M318" i="8" s="1"/>
  <c r="E650" i="7"/>
  <c r="G208" i="8"/>
  <c r="E537" i="8"/>
  <c r="E318" i="8"/>
  <c r="N812" i="7"/>
  <c r="C759" i="8"/>
  <c r="O427" i="7"/>
  <c r="L427" i="7"/>
  <c r="N427" i="7" s="1"/>
  <c r="M536" i="8"/>
  <c r="I611" i="6" l="1"/>
  <c r="H612" i="6" s="1"/>
  <c r="J612" i="6" s="1"/>
  <c r="J611" i="6"/>
  <c r="H949" i="6"/>
  <c r="I949" i="6" s="1"/>
  <c r="L423" i="6"/>
  <c r="K424" i="6" s="1"/>
  <c r="M424" i="6" s="1"/>
  <c r="N209" i="8"/>
  <c r="J1035" i="8"/>
  <c r="L1035" i="8" s="1"/>
  <c r="N1087" i="8"/>
  <c r="I1088" i="8" s="1"/>
  <c r="J1088" i="8" s="1"/>
  <c r="G317" i="7"/>
  <c r="T213" i="11"/>
  <c r="W213" i="11"/>
  <c r="V213" i="11"/>
  <c r="X213" i="11"/>
  <c r="AG213" i="11" s="1"/>
  <c r="F537" i="8"/>
  <c r="J262" i="11"/>
  <c r="F262" i="11"/>
  <c r="H262" i="11" s="1"/>
  <c r="I262" i="11" s="1"/>
  <c r="J263" i="8"/>
  <c r="BL263" i="11"/>
  <c r="AP264" i="11" s="1"/>
  <c r="G592" i="7"/>
  <c r="M316" i="12"/>
  <c r="D1216" i="7"/>
  <c r="D1102" i="7"/>
  <c r="F922" i="7"/>
  <c r="M373" i="7"/>
  <c r="AI264" i="11"/>
  <c r="L263" i="8"/>
  <c r="O263" i="8"/>
  <c r="K263" i="8"/>
  <c r="M263" i="8" s="1"/>
  <c r="K154" i="7"/>
  <c r="L154" i="7"/>
  <c r="N154" i="7" s="1"/>
  <c r="O154" i="7"/>
  <c r="L923" i="8"/>
  <c r="O923" i="8"/>
  <c r="G318" i="8"/>
  <c r="M281" i="6"/>
  <c r="F650" i="7"/>
  <c r="AM264" i="11"/>
  <c r="F372" i="7"/>
  <c r="G1102" i="7"/>
  <c r="F1102" i="7"/>
  <c r="K1102" i="7"/>
  <c r="C1103" i="7"/>
  <c r="E1102" i="7"/>
  <c r="H1102" i="7"/>
  <c r="B1103" i="7" s="1"/>
  <c r="I1102" i="7"/>
  <c r="J1102" i="7"/>
  <c r="G869" i="8"/>
  <c r="F813" i="7"/>
  <c r="D1043" i="7"/>
  <c r="E1043" i="7" s="1"/>
  <c r="D648" i="8"/>
  <c r="H648" i="8"/>
  <c r="E648" i="8"/>
  <c r="G648" i="8" s="1"/>
  <c r="G757" i="7"/>
  <c r="B758" i="7" s="1"/>
  <c r="I705" i="6"/>
  <c r="G264" i="7"/>
  <c r="B265" i="7" s="1"/>
  <c r="K985" i="7"/>
  <c r="F986" i="7"/>
  <c r="E986" i="7"/>
  <c r="G986" i="7" s="1"/>
  <c r="I986" i="7"/>
  <c r="K986" i="7"/>
  <c r="H986" i="7"/>
  <c r="B987" i="7" s="1"/>
  <c r="J986" i="7"/>
  <c r="K282" i="6"/>
  <c r="L282" i="6" s="1"/>
  <c r="AR214" i="11"/>
  <c r="AQ214" i="11"/>
  <c r="AW214" i="11" s="1"/>
  <c r="AV214" i="11"/>
  <c r="AU214" i="11"/>
  <c r="AY214" i="11" s="1"/>
  <c r="BD214" i="11" s="1"/>
  <c r="E593" i="8"/>
  <c r="H593" i="8"/>
  <c r="O593" i="8"/>
  <c r="K593" i="8"/>
  <c r="I154" i="8"/>
  <c r="I210" i="8"/>
  <c r="L331" i="6"/>
  <c r="L332" i="6" s="1"/>
  <c r="L333" i="6" s="1"/>
  <c r="L334" i="6" s="1"/>
  <c r="L335" i="6" s="1"/>
  <c r="L336" i="6" s="1"/>
  <c r="L337" i="6" s="1"/>
  <c r="L338" i="6" s="1"/>
  <c r="L339" i="6" s="1"/>
  <c r="L340" i="6" s="1"/>
  <c r="L341" i="6" s="1"/>
  <c r="L342" i="6" s="1"/>
  <c r="L343" i="6" s="1"/>
  <c r="L344" i="6" s="1"/>
  <c r="L345" i="6" s="1"/>
  <c r="L346" i="6" s="1"/>
  <c r="L347" i="6" s="1"/>
  <c r="L348" i="6" s="1"/>
  <c r="L349" i="6" s="1"/>
  <c r="L350" i="6" s="1"/>
  <c r="L351" i="6" s="1"/>
  <c r="K352" i="6" s="1"/>
  <c r="N309" i="6" s="1"/>
  <c r="F264" i="7"/>
  <c r="K185" i="6"/>
  <c r="M185" i="6" s="1"/>
  <c r="I264" i="7"/>
  <c r="J264" i="7" s="1"/>
  <c r="L264" i="7" s="1"/>
  <c r="E1089" i="8"/>
  <c r="I428" i="7"/>
  <c r="L648" i="7"/>
  <c r="O648" i="7"/>
  <c r="D593" i="8"/>
  <c r="F593" i="8" s="1"/>
  <c r="I808" i="6"/>
  <c r="AS214" i="11"/>
  <c r="AX214" i="11" s="1"/>
  <c r="AT214" i="11"/>
  <c r="O373" i="8"/>
  <c r="L373" i="8"/>
  <c r="N373" i="8" s="1"/>
  <c r="D1089" i="8"/>
  <c r="F1089" i="8" s="1"/>
  <c r="I1369" i="6"/>
  <c r="K466" i="6"/>
  <c r="M466" i="6" s="1"/>
  <c r="B813" i="8"/>
  <c r="C813" i="8" s="1"/>
  <c r="E813" i="8" s="1"/>
  <c r="I1038" i="6"/>
  <c r="L512" i="6"/>
  <c r="M40" i="10"/>
  <c r="I40" i="10" s="1"/>
  <c r="E869" i="7"/>
  <c r="G869" i="7" s="1"/>
  <c r="G537" i="8"/>
  <c r="B318" i="12"/>
  <c r="H869" i="7"/>
  <c r="O757" i="7"/>
  <c r="K757" i="7"/>
  <c r="M757" i="7" s="1"/>
  <c r="I1499" i="6"/>
  <c r="I484" i="7"/>
  <c r="J484" i="7" s="1"/>
  <c r="CQ213" i="11"/>
  <c r="CP213" i="11"/>
  <c r="CL213" i="11"/>
  <c r="CK213" i="11"/>
  <c r="CO213" i="11"/>
  <c r="CN213" i="11"/>
  <c r="CM213" i="11"/>
  <c r="F592" i="7"/>
  <c r="B209" i="8"/>
  <c r="C209" i="8" s="1"/>
  <c r="E209" i="8"/>
  <c r="L227" i="6"/>
  <c r="J1125" i="6"/>
  <c r="H1126" i="6" s="1"/>
  <c r="I1126" i="6" s="1"/>
  <c r="K428" i="8"/>
  <c r="O428" i="8"/>
  <c r="G922" i="7"/>
  <c r="I1079" i="6"/>
  <c r="H1218" i="6"/>
  <c r="J1218" i="6" s="1"/>
  <c r="M427" i="7"/>
  <c r="M483" i="8"/>
  <c r="G261" i="8"/>
  <c r="I155" i="12"/>
  <c r="J155" i="12" s="1"/>
  <c r="C704" i="7"/>
  <c r="D704" i="7" s="1"/>
  <c r="K140" i="6"/>
  <c r="M140" i="6" s="1"/>
  <c r="B319" i="8"/>
  <c r="G428" i="8"/>
  <c r="H978" i="8"/>
  <c r="E978" i="8"/>
  <c r="B427" i="7"/>
  <c r="C427" i="7" s="1"/>
  <c r="AK264" i="11"/>
  <c r="D978" i="8"/>
  <c r="F757" i="7"/>
  <c r="B483" i="7"/>
  <c r="C483" i="7" s="1"/>
  <c r="E483" i="7" s="1"/>
  <c r="M209" i="8"/>
  <c r="N316" i="12"/>
  <c r="J537" i="8"/>
  <c r="G650" i="7"/>
  <c r="B870" i="8"/>
  <c r="C870" i="8" s="1"/>
  <c r="B262" i="12"/>
  <c r="C262" i="12" s="1"/>
  <c r="E262" i="12" s="1"/>
  <c r="K923" i="8"/>
  <c r="H995" i="6"/>
  <c r="J995" i="6" s="1"/>
  <c r="L428" i="8"/>
  <c r="H1170" i="6"/>
  <c r="J1170" i="6" s="1"/>
  <c r="E153" i="12"/>
  <c r="H153" i="12"/>
  <c r="G372" i="7"/>
  <c r="F317" i="12"/>
  <c r="D1163" i="7"/>
  <c r="H666" i="6"/>
  <c r="J666" i="6" s="1"/>
  <c r="K813" i="8"/>
  <c r="M813" i="8" s="1"/>
  <c r="O813" i="8"/>
  <c r="B593" i="7"/>
  <c r="E759" i="8"/>
  <c r="H759" i="8"/>
  <c r="L593" i="8"/>
  <c r="H857" i="6"/>
  <c r="J857" i="6" s="1"/>
  <c r="C209" i="7"/>
  <c r="D759" i="8"/>
  <c r="L758" i="8"/>
  <c r="I813" i="7"/>
  <c r="J813" i="7" s="1"/>
  <c r="K758" i="8"/>
  <c r="I484" i="8"/>
  <c r="J1261" i="6"/>
  <c r="M375" i="6"/>
  <c r="K376" i="6" s="1"/>
  <c r="L376" i="6" s="1"/>
  <c r="J1321" i="6"/>
  <c r="H1322" i="6" s="1"/>
  <c r="I1322" i="6" s="1"/>
  <c r="B318" i="7"/>
  <c r="C318" i="7" s="1"/>
  <c r="D318" i="7" s="1"/>
  <c r="I319" i="8"/>
  <c r="J319" i="8" s="1"/>
  <c r="C374" i="8"/>
  <c r="D374" i="8" s="1"/>
  <c r="C152" i="8"/>
  <c r="D152" i="8" s="1"/>
  <c r="I761" i="6"/>
  <c r="H922" i="8"/>
  <c r="E922" i="8"/>
  <c r="G922" i="8" s="1"/>
  <c r="O923" i="7"/>
  <c r="L923" i="7"/>
  <c r="N923" i="7" s="1"/>
  <c r="I208" i="12"/>
  <c r="J208" i="12" s="1"/>
  <c r="J1417" i="6"/>
  <c r="H1418" i="6" s="1"/>
  <c r="I1418" i="6" s="1"/>
  <c r="L867" i="8"/>
  <c r="O867" i="8"/>
  <c r="H897" i="6"/>
  <c r="J897" i="6" s="1"/>
  <c r="J704" i="7"/>
  <c r="K704" i="7" s="1"/>
  <c r="M562" i="6"/>
  <c r="K563" i="6" s="1"/>
  <c r="L563" i="6" s="1"/>
  <c r="K867" i="8"/>
  <c r="H481" i="8"/>
  <c r="D481" i="8"/>
  <c r="F481" i="8" s="1"/>
  <c r="AL264" i="11"/>
  <c r="D1033" i="8"/>
  <c r="F1033" i="8" s="1"/>
  <c r="H1033" i="8"/>
  <c r="D153" i="12"/>
  <c r="F318" i="8"/>
  <c r="H1261" i="6"/>
  <c r="I1261" i="6" s="1"/>
  <c r="D703" i="8"/>
  <c r="F703" i="8" s="1"/>
  <c r="H703" i="8"/>
  <c r="M34" i="9"/>
  <c r="P34" i="9" s="1"/>
  <c r="K648" i="7"/>
  <c r="D152" i="7"/>
  <c r="F152" i="7" s="1"/>
  <c r="H152" i="7"/>
  <c r="O34" i="9"/>
  <c r="M153" i="8"/>
  <c r="J648" i="8"/>
  <c r="K648" i="8" s="1"/>
  <c r="J870" i="7"/>
  <c r="O1035" i="8"/>
  <c r="H538" i="7"/>
  <c r="E538" i="7"/>
  <c r="G538" i="7" s="1"/>
  <c r="H207" i="12"/>
  <c r="D207" i="12"/>
  <c r="J978" i="8"/>
  <c r="E207" i="12"/>
  <c r="G207" i="12" s="1"/>
  <c r="I537" i="7"/>
  <c r="J537" i="7" s="1"/>
  <c r="L537" i="7"/>
  <c r="H2933" i="6"/>
  <c r="J2933" i="6" s="1"/>
  <c r="J2934" i="6" s="1"/>
  <c r="J2935" i="6" s="1"/>
  <c r="J2936" i="6" s="1"/>
  <c r="J2937" i="6" s="1"/>
  <c r="J2938" i="6" s="1"/>
  <c r="J2939" i="6" s="1"/>
  <c r="J2940" i="6" s="1"/>
  <c r="J2941" i="6" s="1"/>
  <c r="J2942" i="6" s="1"/>
  <c r="J2943" i="6" s="1"/>
  <c r="J1449" i="6"/>
  <c r="H1450" i="6" s="1"/>
  <c r="I1450" i="6" s="1"/>
  <c r="J263" i="12"/>
  <c r="N373" i="7"/>
  <c r="L208" i="7"/>
  <c r="N208" i="7" s="1"/>
  <c r="O208" i="7"/>
  <c r="I318" i="7"/>
  <c r="J318" i="7" s="1"/>
  <c r="L318" i="7"/>
  <c r="K592" i="7"/>
  <c r="M592" i="7" s="1"/>
  <c r="O592" i="7"/>
  <c r="N702" i="8"/>
  <c r="G813" i="7"/>
  <c r="AC213" i="11" l="1"/>
  <c r="AB213" i="11"/>
  <c r="AA213" i="11"/>
  <c r="Z213" i="11"/>
  <c r="AD213" i="11"/>
  <c r="Y213" i="11"/>
  <c r="AE213" i="11"/>
  <c r="G978" i="8"/>
  <c r="G481" i="8"/>
  <c r="I1216" i="7"/>
  <c r="H1216" i="7"/>
  <c r="B1217" i="7" s="1"/>
  <c r="E1216" i="7"/>
  <c r="C1217" i="7"/>
  <c r="G1216" i="7"/>
  <c r="D1217" i="7" s="1"/>
  <c r="F1216" i="7"/>
  <c r="K1216" i="7"/>
  <c r="J1216" i="7"/>
  <c r="M282" i="6"/>
  <c r="G703" i="8"/>
  <c r="M923" i="8"/>
  <c r="C987" i="7"/>
  <c r="D987" i="7" s="1"/>
  <c r="K1035" i="8"/>
  <c r="M1035" i="8" s="1"/>
  <c r="N593" i="8"/>
  <c r="I594" i="8" s="1"/>
  <c r="J949" i="6"/>
  <c r="L140" i="6"/>
  <c r="K141" i="6" s="1"/>
  <c r="M141" i="6" s="1"/>
  <c r="H1043" i="7"/>
  <c r="B1044" i="7" s="1"/>
  <c r="F1043" i="7"/>
  <c r="G1043" i="7"/>
  <c r="D1044" i="7" s="1"/>
  <c r="N867" i="8"/>
  <c r="I868" i="8" s="1"/>
  <c r="N592" i="7"/>
  <c r="I593" i="7" s="1"/>
  <c r="J593" i="7" s="1"/>
  <c r="I1043" i="7"/>
  <c r="M154" i="7"/>
  <c r="B649" i="8"/>
  <c r="C649" i="8" s="1"/>
  <c r="H649" i="8" s="1"/>
  <c r="E649" i="8"/>
  <c r="I857" i="6"/>
  <c r="H858" i="6" s="1"/>
  <c r="J858" i="6" s="1"/>
  <c r="J859" i="6" s="1"/>
  <c r="J860" i="6" s="1"/>
  <c r="J861" i="6" s="1"/>
  <c r="J862" i="6" s="1"/>
  <c r="J863" i="6" s="1"/>
  <c r="J864" i="6" s="1"/>
  <c r="J865" i="6" s="1"/>
  <c r="J866" i="6" s="1"/>
  <c r="J867" i="6" s="1"/>
  <c r="J868" i="6" s="1"/>
  <c r="G1033" i="8"/>
  <c r="G759" i="8"/>
  <c r="N923" i="8"/>
  <c r="H706" i="6"/>
  <c r="J706" i="6" s="1"/>
  <c r="J1043" i="7"/>
  <c r="F648" i="8"/>
  <c r="C1044" i="7"/>
  <c r="M758" i="8"/>
  <c r="K1043" i="7"/>
  <c r="D1103" i="7"/>
  <c r="N428" i="8"/>
  <c r="I429" i="8" s="1"/>
  <c r="N648" i="7"/>
  <c r="I649" i="7" s="1"/>
  <c r="F153" i="12"/>
  <c r="N1035" i="8"/>
  <c r="I1036" i="8" s="1"/>
  <c r="J1036" i="8" s="1"/>
  <c r="N263" i="8"/>
  <c r="I264" i="8" s="1"/>
  <c r="J264" i="8" s="1"/>
  <c r="E870" i="8"/>
  <c r="D870" i="8"/>
  <c r="F870" i="8" s="1"/>
  <c r="H870" i="8"/>
  <c r="G262" i="12"/>
  <c r="M262" i="11"/>
  <c r="R262" i="11" s="1"/>
  <c r="N262" i="11"/>
  <c r="K262" i="11"/>
  <c r="Q262" i="11" s="1"/>
  <c r="P262" i="11"/>
  <c r="O262" i="11"/>
  <c r="S262" i="11" s="1"/>
  <c r="L262" i="11"/>
  <c r="O319" i="8"/>
  <c r="K319" i="8"/>
  <c r="L319" i="8"/>
  <c r="N319" i="8" s="1"/>
  <c r="K1088" i="8"/>
  <c r="L1088" i="8"/>
  <c r="N1088" i="8" s="1"/>
  <c r="O1088" i="8"/>
  <c r="O537" i="7"/>
  <c r="K537" i="7"/>
  <c r="M537" i="7" s="1"/>
  <c r="K484" i="7"/>
  <c r="O484" i="7"/>
  <c r="B814" i="7"/>
  <c r="C814" i="7" s="1"/>
  <c r="J154" i="8"/>
  <c r="K154" i="8" s="1"/>
  <c r="O978" i="8"/>
  <c r="L978" i="8"/>
  <c r="S34" i="9"/>
  <c r="I897" i="6"/>
  <c r="B262" i="8"/>
  <c r="C262" i="8" s="1"/>
  <c r="E262" i="8" s="1"/>
  <c r="K978" i="8"/>
  <c r="F207" i="12"/>
  <c r="L424" i="6"/>
  <c r="H1370" i="6"/>
  <c r="J1370" i="6" s="1"/>
  <c r="B1034" i="8"/>
  <c r="C1034" i="8"/>
  <c r="D1034" i="8" s="1"/>
  <c r="BP214" i="11"/>
  <c r="O208" i="12"/>
  <c r="K208" i="12"/>
  <c r="H1080" i="6"/>
  <c r="J1080" i="6" s="1"/>
  <c r="G1089" i="8"/>
  <c r="H483" i="7"/>
  <c r="D483" i="7"/>
  <c r="F483" i="7" s="1"/>
  <c r="M208" i="7"/>
  <c r="D427" i="7"/>
  <c r="H427" i="7"/>
  <c r="M593" i="8"/>
  <c r="I612" i="6"/>
  <c r="O155" i="12"/>
  <c r="K155" i="12"/>
  <c r="B208" i="12"/>
  <c r="L537" i="8"/>
  <c r="O537" i="8"/>
  <c r="L484" i="7"/>
  <c r="I703" i="8"/>
  <c r="J703" i="8" s="1"/>
  <c r="L703" i="8"/>
  <c r="H1500" i="6"/>
  <c r="J1500" i="6" s="1"/>
  <c r="I374" i="7"/>
  <c r="J374" i="7" s="1"/>
  <c r="L374" i="7" s="1"/>
  <c r="I317" i="12"/>
  <c r="J317" i="12" s="1"/>
  <c r="G593" i="8"/>
  <c r="O263" i="12"/>
  <c r="L263" i="12"/>
  <c r="C593" i="7"/>
  <c r="D593" i="7" s="1"/>
  <c r="L466" i="6"/>
  <c r="G152" i="7"/>
  <c r="K263" i="12"/>
  <c r="B429" i="8"/>
  <c r="C429" i="8" s="1"/>
  <c r="E429" i="8" s="1"/>
  <c r="J1418" i="6"/>
  <c r="H1419" i="6" s="1"/>
  <c r="I1419" i="6" s="1"/>
  <c r="J210" i="8"/>
  <c r="F922" i="8"/>
  <c r="B923" i="8"/>
  <c r="C318" i="12"/>
  <c r="D318" i="12" s="1"/>
  <c r="B651" i="7"/>
  <c r="C651" i="7" s="1"/>
  <c r="E651" i="7"/>
  <c r="E427" i="7"/>
  <c r="B760" i="8"/>
  <c r="B373" i="7"/>
  <c r="C373" i="7" s="1"/>
  <c r="E373" i="7"/>
  <c r="L155" i="12"/>
  <c r="N155" i="12" s="1"/>
  <c r="N40" i="10"/>
  <c r="H40" i="10" s="1"/>
  <c r="K40" i="10" s="1"/>
  <c r="O311" i="6"/>
  <c r="J428" i="7"/>
  <c r="K428" i="7" s="1"/>
  <c r="M648" i="7"/>
  <c r="B539" i="7"/>
  <c r="I1218" i="6"/>
  <c r="H1039" i="6"/>
  <c r="J1039" i="6" s="1"/>
  <c r="N758" i="8"/>
  <c r="K318" i="7"/>
  <c r="M318" i="7" s="1"/>
  <c r="O318" i="7"/>
  <c r="N34" i="9"/>
  <c r="Q34" i="9" s="1"/>
  <c r="R34" i="9" s="1"/>
  <c r="L208" i="12"/>
  <c r="B923" i="7"/>
  <c r="C923" i="7" s="1"/>
  <c r="E923" i="7"/>
  <c r="I924" i="8"/>
  <c r="J924" i="8" s="1"/>
  <c r="O924" i="8" s="1"/>
  <c r="O870" i="7"/>
  <c r="L870" i="7"/>
  <c r="E318" i="7"/>
  <c r="G318" i="7" s="1"/>
  <c r="F978" i="8"/>
  <c r="BA214" i="11"/>
  <c r="BC214" i="11" s="1"/>
  <c r="I155" i="7"/>
  <c r="J155" i="7" s="1"/>
  <c r="L155" i="7"/>
  <c r="H209" i="7"/>
  <c r="E209" i="7"/>
  <c r="J1126" i="6"/>
  <c r="H809" i="6"/>
  <c r="J809" i="6" s="1"/>
  <c r="L185" i="6"/>
  <c r="AZ214" i="11"/>
  <c r="F869" i="7"/>
  <c r="H318" i="7"/>
  <c r="K870" i="7"/>
  <c r="I2933" i="6"/>
  <c r="I2934" i="6" s="1"/>
  <c r="I2935" i="6" s="1"/>
  <c r="I2936" i="6" s="1"/>
  <c r="I2937" i="6" s="1"/>
  <c r="I2938" i="6" s="1"/>
  <c r="I2939" i="6" s="1"/>
  <c r="I2940" i="6" s="1"/>
  <c r="I2941" i="6" s="1"/>
  <c r="I2942" i="6" s="1"/>
  <c r="I2943" i="6" s="1"/>
  <c r="H2944" i="6" s="1"/>
  <c r="K2901" i="6" s="1"/>
  <c r="H1262" i="6"/>
  <c r="I1262" i="6" s="1"/>
  <c r="J1322" i="6"/>
  <c r="H1323" i="6" s="1"/>
  <c r="I1323" i="6" s="1"/>
  <c r="D209" i="7"/>
  <c r="I666" i="6"/>
  <c r="B538" i="8"/>
  <c r="C538" i="8" s="1"/>
  <c r="E538" i="8" s="1"/>
  <c r="H813" i="8"/>
  <c r="D813" i="8"/>
  <c r="F813" i="8" s="1"/>
  <c r="C265" i="7"/>
  <c r="D265" i="7" s="1"/>
  <c r="M373" i="8"/>
  <c r="L704" i="7"/>
  <c r="N704" i="7" s="1"/>
  <c r="O704" i="7"/>
  <c r="K1163" i="7"/>
  <c r="F1163" i="7"/>
  <c r="E1163" i="7"/>
  <c r="G1163" i="7"/>
  <c r="J1163" i="7"/>
  <c r="I1163" i="7"/>
  <c r="H1163" i="7"/>
  <c r="B1164" i="7" s="1"/>
  <c r="C1164" i="7"/>
  <c r="D1164" i="7" s="1"/>
  <c r="D209" i="8"/>
  <c r="F209" i="8" s="1"/>
  <c r="H209" i="8"/>
  <c r="H762" i="6"/>
  <c r="J762" i="6" s="1"/>
  <c r="B979" i="8"/>
  <c r="I209" i="7"/>
  <c r="H152" i="8"/>
  <c r="E152" i="8"/>
  <c r="G152" i="8" s="1"/>
  <c r="K537" i="8"/>
  <c r="J484" i="8"/>
  <c r="H374" i="8"/>
  <c r="E374" i="8"/>
  <c r="G374" i="8" s="1"/>
  <c r="G153" i="12"/>
  <c r="O813" i="7"/>
  <c r="K813" i="7"/>
  <c r="K513" i="6"/>
  <c r="M513" i="6" s="1"/>
  <c r="J1450" i="6"/>
  <c r="H1451" i="6" s="1"/>
  <c r="I1451" i="6" s="1"/>
  <c r="L813" i="7"/>
  <c r="N813" i="7" s="1"/>
  <c r="I1170" i="6"/>
  <c r="I374" i="8"/>
  <c r="B482" i="8"/>
  <c r="C482" i="8" s="1"/>
  <c r="F759" i="8"/>
  <c r="I995" i="6"/>
  <c r="K264" i="7"/>
  <c r="M264" i="7" s="1"/>
  <c r="O264" i="7"/>
  <c r="M428" i="8"/>
  <c r="B704" i="8"/>
  <c r="C704" i="8" s="1"/>
  <c r="M867" i="8"/>
  <c r="I924" i="7"/>
  <c r="M376" i="6"/>
  <c r="K377" i="6" s="1"/>
  <c r="L377" i="6" s="1"/>
  <c r="N813" i="8"/>
  <c r="H262" i="12"/>
  <c r="D262" i="12"/>
  <c r="F262" i="12" s="1"/>
  <c r="E704" i="7"/>
  <c r="G704" i="7" s="1"/>
  <c r="H704" i="7"/>
  <c r="B870" i="7"/>
  <c r="M923" i="7"/>
  <c r="C758" i="7"/>
  <c r="D758" i="7" s="1"/>
  <c r="CR213" i="11"/>
  <c r="BV214" i="11" s="1"/>
  <c r="BO214" i="11"/>
  <c r="N757" i="7"/>
  <c r="L648" i="8"/>
  <c r="N648" i="8" s="1"/>
  <c r="O648" i="8"/>
  <c r="C319" i="8"/>
  <c r="D319" i="8" s="1"/>
  <c r="M563" i="6"/>
  <c r="AN264" i="11"/>
  <c r="AO264" i="11" s="1"/>
  <c r="K228" i="6"/>
  <c r="M228" i="6" s="1"/>
  <c r="F538" i="7"/>
  <c r="K283" i="6"/>
  <c r="L283" i="6" s="1"/>
  <c r="I987" i="7" l="1"/>
  <c r="F987" i="7"/>
  <c r="E987" i="7"/>
  <c r="J987" i="7"/>
  <c r="U262" i="11"/>
  <c r="W262" i="11" s="1"/>
  <c r="J950" i="6"/>
  <c r="H951" i="6" s="1"/>
  <c r="J951" i="6" s="1"/>
  <c r="N318" i="7"/>
  <c r="D214" i="11"/>
  <c r="F209" i="7"/>
  <c r="N484" i="7"/>
  <c r="I485" i="7" s="1"/>
  <c r="G214" i="11"/>
  <c r="H1217" i="7"/>
  <c r="B1218" i="7" s="1"/>
  <c r="G1217" i="7"/>
  <c r="F1217" i="7"/>
  <c r="K1217" i="7"/>
  <c r="I1217" i="7"/>
  <c r="E1217" i="7"/>
  <c r="J1217" i="7"/>
  <c r="C1218" i="7"/>
  <c r="F427" i="7"/>
  <c r="G813" i="8"/>
  <c r="B814" i="8" s="1"/>
  <c r="C814" i="8" s="1"/>
  <c r="E814" i="8" s="1"/>
  <c r="M648" i="8"/>
  <c r="C214" i="11"/>
  <c r="AF213" i="11"/>
  <c r="J214" i="11" s="1"/>
  <c r="E214" i="11"/>
  <c r="H950" i="6"/>
  <c r="I950" i="6" s="1"/>
  <c r="N537" i="7"/>
  <c r="N870" i="7"/>
  <c r="K1036" i="8"/>
  <c r="O1036" i="8"/>
  <c r="N264" i="7"/>
  <c r="N978" i="8"/>
  <c r="J1262" i="6"/>
  <c r="H1263" i="6" s="1"/>
  <c r="J1263" i="6" s="1"/>
  <c r="G483" i="7"/>
  <c r="B484" i="7" s="1"/>
  <c r="C484" i="7" s="1"/>
  <c r="H484" i="7" s="1"/>
  <c r="N537" i="8"/>
  <c r="I538" i="8" s="1"/>
  <c r="N208" i="12"/>
  <c r="I209" i="12" s="1"/>
  <c r="G987" i="7"/>
  <c r="F1103" i="7"/>
  <c r="E1103" i="7"/>
  <c r="I1103" i="7"/>
  <c r="J1103" i="7"/>
  <c r="G1103" i="7"/>
  <c r="C1104" i="7"/>
  <c r="K1103" i="7"/>
  <c r="H1103" i="7"/>
  <c r="B1104" i="7" s="1"/>
  <c r="H987" i="7"/>
  <c r="D649" i="8"/>
  <c r="F649" i="8" s="1"/>
  <c r="N263" i="12"/>
  <c r="I264" i="12" s="1"/>
  <c r="I706" i="6"/>
  <c r="H707" i="6" s="1"/>
  <c r="G262" i="8"/>
  <c r="E482" i="8"/>
  <c r="H482" i="8"/>
  <c r="D482" i="8"/>
  <c r="F482" i="8" s="1"/>
  <c r="AU264" i="11"/>
  <c r="AY264" i="11" s="1"/>
  <c r="BD264" i="11" s="1"/>
  <c r="AV264" i="11"/>
  <c r="AS264" i="11"/>
  <c r="AX264" i="11" s="1"/>
  <c r="AR264" i="11"/>
  <c r="AT264" i="11"/>
  <c r="AQ264" i="11"/>
  <c r="AW264" i="11" s="1"/>
  <c r="K593" i="7"/>
  <c r="L593" i="7"/>
  <c r="N593" i="7" s="1"/>
  <c r="O593" i="7"/>
  <c r="H704" i="8"/>
  <c r="E704" i="8"/>
  <c r="D704" i="8"/>
  <c r="F704" i="8" s="1"/>
  <c r="BB214" i="11"/>
  <c r="BM214" i="11"/>
  <c r="K186" i="6"/>
  <c r="M186" i="6" s="1"/>
  <c r="I319" i="7"/>
  <c r="J319" i="7" s="1"/>
  <c r="O319" i="7" s="1"/>
  <c r="J868" i="8"/>
  <c r="I858" i="6"/>
  <c r="I859" i="6" s="1"/>
  <c r="I860" i="6" s="1"/>
  <c r="I861" i="6" s="1"/>
  <c r="I862" i="6" s="1"/>
  <c r="I863" i="6" s="1"/>
  <c r="I864" i="6" s="1"/>
  <c r="I865" i="6" s="1"/>
  <c r="I866" i="6" s="1"/>
  <c r="I867" i="6" s="1"/>
  <c r="I868" i="6" s="1"/>
  <c r="H869" i="6" s="1"/>
  <c r="K826" i="6" s="1"/>
  <c r="B154" i="12"/>
  <c r="C154" i="12" s="1"/>
  <c r="E154" i="12" s="1"/>
  <c r="I809" i="6"/>
  <c r="I1500" i="6"/>
  <c r="O210" i="8"/>
  <c r="L210" i="8"/>
  <c r="K210" i="8"/>
  <c r="M210" i="8" s="1"/>
  <c r="I265" i="7"/>
  <c r="J265" i="7" s="1"/>
  <c r="I1089" i="8"/>
  <c r="J1323" i="6"/>
  <c r="H1324" i="6" s="1"/>
  <c r="I1324" i="6" s="1"/>
  <c r="J1419" i="6"/>
  <c r="H1420" i="6" s="1"/>
  <c r="I1420" i="6" s="1"/>
  <c r="M319" i="8"/>
  <c r="I1370" i="6"/>
  <c r="J429" i="8"/>
  <c r="L2903" i="6"/>
  <c r="M870" i="7"/>
  <c r="B594" i="8"/>
  <c r="C594" i="8" s="1"/>
  <c r="I1080" i="6"/>
  <c r="C263" i="12"/>
  <c r="D263" i="12" s="1"/>
  <c r="M978" i="8"/>
  <c r="C1045" i="7"/>
  <c r="I1044" i="7"/>
  <c r="H1044" i="7"/>
  <c r="B1045" i="7" s="1"/>
  <c r="G1044" i="7"/>
  <c r="F1044" i="7"/>
  <c r="E1044" i="7"/>
  <c r="J1044" i="7"/>
  <c r="K1044" i="7"/>
  <c r="BS214" i="11"/>
  <c r="H1034" i="8"/>
  <c r="O317" i="12"/>
  <c r="K317" i="12"/>
  <c r="M155" i="12"/>
  <c r="M208" i="12"/>
  <c r="C979" i="8"/>
  <c r="D979" i="8" s="1"/>
  <c r="G34" i="9"/>
  <c r="F34" i="9"/>
  <c r="E34" i="9"/>
  <c r="L141" i="6"/>
  <c r="I156" i="12"/>
  <c r="K703" i="8"/>
  <c r="M703" i="8" s="1"/>
  <c r="O703" i="8"/>
  <c r="L924" i="8"/>
  <c r="D814" i="7"/>
  <c r="H814" i="7"/>
  <c r="F374" i="8"/>
  <c r="I649" i="8"/>
  <c r="H429" i="8"/>
  <c r="D429" i="8"/>
  <c r="F429" i="8" s="1"/>
  <c r="E814" i="7"/>
  <c r="I814" i="7"/>
  <c r="L228" i="6"/>
  <c r="C923" i="8"/>
  <c r="D923" i="8" s="1"/>
  <c r="C870" i="7"/>
  <c r="H651" i="7"/>
  <c r="D651" i="7"/>
  <c r="F651" i="7" s="1"/>
  <c r="L317" i="12"/>
  <c r="L1036" i="8"/>
  <c r="N1036" i="8" s="1"/>
  <c r="F152" i="8"/>
  <c r="M704" i="7"/>
  <c r="B319" i="7"/>
  <c r="B375" i="8"/>
  <c r="I871" i="7"/>
  <c r="H1219" i="6"/>
  <c r="J1219" i="6" s="1"/>
  <c r="I979" i="8"/>
  <c r="J924" i="7"/>
  <c r="E1034" i="8"/>
  <c r="G1034" i="8" s="1"/>
  <c r="I320" i="8"/>
  <c r="M1088" i="8"/>
  <c r="K924" i="8"/>
  <c r="M924" i="8" s="1"/>
  <c r="O484" i="8"/>
  <c r="L484" i="8"/>
  <c r="J649" i="7"/>
  <c r="K649" i="7" s="1"/>
  <c r="K425" i="6"/>
  <c r="M425" i="6" s="1"/>
  <c r="M426" i="6" s="1"/>
  <c r="M427" i="6" s="1"/>
  <c r="M428" i="6" s="1"/>
  <c r="M429" i="6" s="1"/>
  <c r="M430" i="6" s="1"/>
  <c r="M431" i="6" s="1"/>
  <c r="M432" i="6" s="1"/>
  <c r="M433" i="6" s="1"/>
  <c r="M434" i="6" s="1"/>
  <c r="M435" i="6" s="1"/>
  <c r="M436" i="6" s="1"/>
  <c r="M437" i="6" s="1"/>
  <c r="M438" i="6" s="1"/>
  <c r="M439" i="6" s="1"/>
  <c r="M440" i="6" s="1"/>
  <c r="M441" i="6" s="1"/>
  <c r="M442" i="6" s="1"/>
  <c r="M443" i="6" s="1"/>
  <c r="M444" i="6" s="1"/>
  <c r="M445" i="6" s="1"/>
  <c r="C539" i="7"/>
  <c r="H1171" i="6"/>
  <c r="J1171" i="6" s="1"/>
  <c r="I762" i="6"/>
  <c r="G209" i="7"/>
  <c r="M283" i="6"/>
  <c r="K284" i="6" s="1"/>
  <c r="L284" i="6" s="1"/>
  <c r="L285" i="6" s="1"/>
  <c r="L286" i="6" s="1"/>
  <c r="L287" i="6" s="1"/>
  <c r="L288" i="6" s="1"/>
  <c r="L289" i="6" s="1"/>
  <c r="L290" i="6" s="1"/>
  <c r="L291" i="6" s="1"/>
  <c r="L292" i="6" s="1"/>
  <c r="L293" i="6" s="1"/>
  <c r="L294" i="6" s="1"/>
  <c r="L295" i="6" s="1"/>
  <c r="L296" i="6" s="1"/>
  <c r="L297" i="6" s="1"/>
  <c r="L298" i="6" s="1"/>
  <c r="L299" i="6" s="1"/>
  <c r="L300" i="6" s="1"/>
  <c r="L301" i="6" s="1"/>
  <c r="L302" i="6" s="1"/>
  <c r="L303" i="6" s="1"/>
  <c r="L304" i="6" s="1"/>
  <c r="D923" i="7"/>
  <c r="F923" i="7" s="1"/>
  <c r="H923" i="7"/>
  <c r="H265" i="7"/>
  <c r="E265" i="7"/>
  <c r="G265" i="7" s="1"/>
  <c r="I814" i="8"/>
  <c r="J814" i="8" s="1"/>
  <c r="L814" i="8" s="1"/>
  <c r="C760" i="8"/>
  <c r="M377" i="6"/>
  <c r="K378" i="6" s="1"/>
  <c r="L378" i="6" s="1"/>
  <c r="L379" i="6" s="1"/>
  <c r="L380" i="6" s="1"/>
  <c r="L381" i="6" s="1"/>
  <c r="L382" i="6" s="1"/>
  <c r="L383" i="6" s="1"/>
  <c r="L384" i="6" s="1"/>
  <c r="L385" i="6" s="1"/>
  <c r="L386" i="6" s="1"/>
  <c r="L387" i="6" s="1"/>
  <c r="L388" i="6" s="1"/>
  <c r="L389" i="6" s="1"/>
  <c r="L390" i="6" s="1"/>
  <c r="L391" i="6" s="1"/>
  <c r="L392" i="6" s="1"/>
  <c r="L393" i="6" s="1"/>
  <c r="L394" i="6" s="1"/>
  <c r="L395" i="6" s="1"/>
  <c r="L396" i="6" s="1"/>
  <c r="L397" i="6" s="1"/>
  <c r="L398" i="6" s="1"/>
  <c r="M813" i="7"/>
  <c r="M537" i="8"/>
  <c r="G209" i="8"/>
  <c r="O155" i="7"/>
  <c r="K155" i="7"/>
  <c r="M155" i="7" s="1"/>
  <c r="E318" i="12"/>
  <c r="G318" i="12" s="1"/>
  <c r="H318" i="12"/>
  <c r="M263" i="12"/>
  <c r="H613" i="6"/>
  <c r="J613" i="6" s="1"/>
  <c r="K1164" i="7"/>
  <c r="J1164" i="7"/>
  <c r="I1164" i="7"/>
  <c r="H1164" i="7"/>
  <c r="B1165" i="7" s="1"/>
  <c r="F1164" i="7"/>
  <c r="E1164" i="7"/>
  <c r="C1165" i="7"/>
  <c r="G1164" i="7"/>
  <c r="D1165" i="7"/>
  <c r="K467" i="6"/>
  <c r="M467" i="6" s="1"/>
  <c r="P311" i="6"/>
  <c r="N312" i="6" s="1"/>
  <c r="O312" i="6" s="1"/>
  <c r="O264" i="8"/>
  <c r="L264" i="8"/>
  <c r="N264" i="8" s="1"/>
  <c r="H593" i="7"/>
  <c r="E593" i="7"/>
  <c r="G593" i="7" s="1"/>
  <c r="E758" i="7"/>
  <c r="G758" i="7" s="1"/>
  <c r="H758" i="7"/>
  <c r="I1039" i="6"/>
  <c r="K264" i="8"/>
  <c r="B263" i="12"/>
  <c r="H667" i="6"/>
  <c r="J667" i="6" s="1"/>
  <c r="L41" i="10"/>
  <c r="J209" i="7"/>
  <c r="K209" i="7" s="1"/>
  <c r="E319" i="8"/>
  <c r="G319" i="8" s="1"/>
  <c r="H319" i="8"/>
  <c r="L154" i="8"/>
  <c r="N154" i="8" s="1"/>
  <c r="O154" i="8"/>
  <c r="H373" i="7"/>
  <c r="D373" i="7"/>
  <c r="F373" i="7" s="1"/>
  <c r="B1090" i="8"/>
  <c r="C1090" i="8" s="1"/>
  <c r="K484" i="8"/>
  <c r="L428" i="7"/>
  <c r="N428" i="7" s="1"/>
  <c r="O428" i="7"/>
  <c r="I538" i="7"/>
  <c r="J538" i="7" s="1"/>
  <c r="O538" i="7" s="1"/>
  <c r="C208" i="12"/>
  <c r="D208" i="12" s="1"/>
  <c r="H1127" i="6"/>
  <c r="I1127" i="6" s="1"/>
  <c r="B705" i="7"/>
  <c r="I705" i="7"/>
  <c r="J1451" i="6"/>
  <c r="H1452" i="6" s="1"/>
  <c r="I1452" i="6" s="1"/>
  <c r="J374" i="8"/>
  <c r="K374" i="8" s="1"/>
  <c r="M484" i="7"/>
  <c r="F318" i="7"/>
  <c r="F704" i="7"/>
  <c r="H996" i="6"/>
  <c r="J996" i="6" s="1"/>
  <c r="G427" i="7"/>
  <c r="I758" i="7"/>
  <c r="J758" i="7" s="1"/>
  <c r="L758" i="7" s="1"/>
  <c r="L513" i="6"/>
  <c r="BQ214" i="11"/>
  <c r="B153" i="8"/>
  <c r="D538" i="8"/>
  <c r="F538" i="8" s="1"/>
  <c r="H538" i="8"/>
  <c r="I759" i="8"/>
  <c r="J759" i="8" s="1"/>
  <c r="L759" i="8"/>
  <c r="B153" i="7"/>
  <c r="C153" i="7" s="1"/>
  <c r="E153" i="7" s="1"/>
  <c r="K374" i="7"/>
  <c r="M374" i="7" s="1"/>
  <c r="O374" i="7"/>
  <c r="J594" i="8"/>
  <c r="BR214" i="11"/>
  <c r="H262" i="8"/>
  <c r="D262" i="8"/>
  <c r="F262" i="8" s="1"/>
  <c r="K564" i="6"/>
  <c r="L564" i="6" s="1"/>
  <c r="T262" i="11"/>
  <c r="V262" i="11"/>
  <c r="H898" i="6"/>
  <c r="J898" i="6" s="1"/>
  <c r="G870" i="8"/>
  <c r="F593" i="7" l="1"/>
  <c r="X262" i="11"/>
  <c r="AG262" i="11" s="1"/>
  <c r="M484" i="8"/>
  <c r="D1218" i="7"/>
  <c r="J649" i="8"/>
  <c r="L649" i="8" s="1"/>
  <c r="D1045" i="7"/>
  <c r="K1045" i="7" s="1"/>
  <c r="K987" i="7"/>
  <c r="F214" i="11"/>
  <c r="H214" i="11" s="1"/>
  <c r="I214" i="11" s="1"/>
  <c r="F814" i="7"/>
  <c r="G923" i="7"/>
  <c r="B924" i="7" s="1"/>
  <c r="C924" i="7" s="1"/>
  <c r="I951" i="6"/>
  <c r="H952" i="6" s="1"/>
  <c r="J952" i="6" s="1"/>
  <c r="J953" i="6" s="1"/>
  <c r="J954" i="6" s="1"/>
  <c r="J955" i="6" s="1"/>
  <c r="J956" i="6" s="1"/>
  <c r="J957" i="6" s="1"/>
  <c r="J958" i="6" s="1"/>
  <c r="J959" i="6" s="1"/>
  <c r="J960" i="6" s="1"/>
  <c r="J961" i="6" s="1"/>
  <c r="J962" i="6" s="1"/>
  <c r="G429" i="8"/>
  <c r="B430" i="8" s="1"/>
  <c r="C430" i="8" s="1"/>
  <c r="M1036" i="8"/>
  <c r="J1127" i="6"/>
  <c r="H1128" i="6" s="1"/>
  <c r="J1128" i="6" s="1"/>
  <c r="N155" i="7"/>
  <c r="I156" i="7" s="1"/>
  <c r="J156" i="7" s="1"/>
  <c r="F319" i="8"/>
  <c r="C320" i="8" s="1"/>
  <c r="I707" i="6"/>
  <c r="J707" i="6"/>
  <c r="M564" i="6"/>
  <c r="K565" i="6" s="1"/>
  <c r="M565" i="6" s="1"/>
  <c r="B988" i="7"/>
  <c r="C988" i="7"/>
  <c r="D988" i="7" s="1"/>
  <c r="G649" i="8"/>
  <c r="G538" i="8"/>
  <c r="B539" i="8" s="1"/>
  <c r="C539" i="8" s="1"/>
  <c r="I1171" i="6"/>
  <c r="H1172" i="6" s="1"/>
  <c r="I1172" i="6" s="1"/>
  <c r="D1104" i="7"/>
  <c r="M317" i="12"/>
  <c r="G651" i="7"/>
  <c r="F263" i="12"/>
  <c r="G1045" i="7"/>
  <c r="F1045" i="7"/>
  <c r="E1045" i="7"/>
  <c r="O265" i="7"/>
  <c r="L265" i="7"/>
  <c r="K265" i="7"/>
  <c r="M265" i="7" s="1"/>
  <c r="K229" i="6"/>
  <c r="M229" i="6" s="1"/>
  <c r="B871" i="8"/>
  <c r="C871" i="8" s="1"/>
  <c r="E871" i="8" s="1"/>
  <c r="L828" i="6"/>
  <c r="B652" i="7"/>
  <c r="C652" i="7" s="1"/>
  <c r="BK214" i="11"/>
  <c r="BJ214" i="11"/>
  <c r="BI214" i="11"/>
  <c r="BH214" i="11"/>
  <c r="BG214" i="11"/>
  <c r="BF214" i="11"/>
  <c r="BE214" i="11"/>
  <c r="L868" i="8"/>
  <c r="O868" i="8"/>
  <c r="H153" i="7"/>
  <c r="D153" i="7"/>
  <c r="F153" i="7" s="1"/>
  <c r="D594" i="8"/>
  <c r="H594" i="8"/>
  <c r="M2903" i="6"/>
  <c r="K868" i="8"/>
  <c r="F318" i="12"/>
  <c r="B320" i="8"/>
  <c r="E263" i="12"/>
  <c r="G263" i="12" s="1"/>
  <c r="D814" i="8"/>
  <c r="F814" i="8" s="1"/>
  <c r="E594" i="8"/>
  <c r="H814" i="8"/>
  <c r="H1371" i="6"/>
  <c r="J1371" i="6" s="1"/>
  <c r="O759" i="8"/>
  <c r="K759" i="8"/>
  <c r="M759" i="8" s="1"/>
  <c r="E484" i="7"/>
  <c r="L924" i="7"/>
  <c r="O924" i="7"/>
  <c r="G814" i="7"/>
  <c r="L186" i="6"/>
  <c r="I594" i="7"/>
  <c r="B263" i="8"/>
  <c r="C263" i="8" s="1"/>
  <c r="H1040" i="6"/>
  <c r="J1040" i="6" s="1"/>
  <c r="J814" i="7"/>
  <c r="O649" i="7"/>
  <c r="L649" i="7"/>
  <c r="N649" i="7" s="1"/>
  <c r="K924" i="7"/>
  <c r="I1037" i="8"/>
  <c r="J1037" i="8" s="1"/>
  <c r="E923" i="8"/>
  <c r="G923" i="8" s="1"/>
  <c r="H923" i="8"/>
  <c r="G373" i="7"/>
  <c r="N703" i="8"/>
  <c r="H1501" i="6"/>
  <c r="J1501" i="6" s="1"/>
  <c r="M593" i="7"/>
  <c r="K538" i="7"/>
  <c r="E870" i="7"/>
  <c r="H870" i="7"/>
  <c r="B428" i="7"/>
  <c r="C428" i="7" s="1"/>
  <c r="E428" i="7" s="1"/>
  <c r="I155" i="8"/>
  <c r="B319" i="12"/>
  <c r="D870" i="7"/>
  <c r="K142" i="6"/>
  <c r="M142" i="6" s="1"/>
  <c r="I265" i="8"/>
  <c r="B210" i="7"/>
  <c r="C210" i="7" s="1"/>
  <c r="E210" i="7" s="1"/>
  <c r="C375" i="8"/>
  <c r="J979" i="8"/>
  <c r="O594" i="8"/>
  <c r="L594" i="8"/>
  <c r="N594" i="8" s="1"/>
  <c r="B266" i="7"/>
  <c r="H763" i="6"/>
  <c r="J763" i="6" s="1"/>
  <c r="J1089" i="8"/>
  <c r="K1089" i="8" s="1"/>
  <c r="K594" i="8"/>
  <c r="K758" i="7"/>
  <c r="M758" i="7" s="1"/>
  <c r="O758" i="7"/>
  <c r="M41" i="10"/>
  <c r="I41" i="10" s="1"/>
  <c r="N41" i="10"/>
  <c r="H41" i="10" s="1"/>
  <c r="I613" i="6"/>
  <c r="K319" i="7"/>
  <c r="J41" i="10"/>
  <c r="P312" i="6"/>
  <c r="N313" i="6" s="1"/>
  <c r="O313" i="6" s="1"/>
  <c r="J264" i="12"/>
  <c r="D484" i="7"/>
  <c r="N924" i="8"/>
  <c r="K649" i="8"/>
  <c r="M649" i="8" s="1"/>
  <c r="L429" i="8"/>
  <c r="O429" i="8"/>
  <c r="AZ264" i="11"/>
  <c r="I898" i="6"/>
  <c r="L319" i="7"/>
  <c r="L425" i="6"/>
  <c r="L426" i="6" s="1"/>
  <c r="L427" i="6" s="1"/>
  <c r="L428" i="6" s="1"/>
  <c r="L429" i="6" s="1"/>
  <c r="L430" i="6" s="1"/>
  <c r="L431" i="6" s="1"/>
  <c r="L432" i="6" s="1"/>
  <c r="L433" i="6" s="1"/>
  <c r="L434" i="6" s="1"/>
  <c r="L435" i="6" s="1"/>
  <c r="L436" i="6" s="1"/>
  <c r="L437" i="6" s="1"/>
  <c r="L438" i="6" s="1"/>
  <c r="L439" i="6" s="1"/>
  <c r="L440" i="6" s="1"/>
  <c r="L441" i="6" s="1"/>
  <c r="L442" i="6" s="1"/>
  <c r="L443" i="6" s="1"/>
  <c r="L444" i="6" s="1"/>
  <c r="L445" i="6" s="1"/>
  <c r="K446" i="6" s="1"/>
  <c r="N403" i="6" s="1"/>
  <c r="L538" i="7"/>
  <c r="N210" i="8"/>
  <c r="J538" i="8"/>
  <c r="K538" i="8" s="1"/>
  <c r="H263" i="12"/>
  <c r="J1420" i="6"/>
  <c r="B759" i="7"/>
  <c r="E760" i="8"/>
  <c r="H760" i="8"/>
  <c r="N484" i="8"/>
  <c r="J1324" i="6"/>
  <c r="H1325" i="6" s="1"/>
  <c r="I1325" i="6" s="1"/>
  <c r="G482" i="8"/>
  <c r="F758" i="7"/>
  <c r="B1035" i="8"/>
  <c r="H34" i="9"/>
  <c r="I34" i="9" s="1"/>
  <c r="L35" i="9"/>
  <c r="K429" i="8"/>
  <c r="I996" i="6"/>
  <c r="G704" i="8"/>
  <c r="C705" i="7"/>
  <c r="BA264" i="11"/>
  <c r="BC264" i="11"/>
  <c r="BB264" i="11" s="1"/>
  <c r="C319" i="7"/>
  <c r="J705" i="7"/>
  <c r="E979" i="8"/>
  <c r="G979" i="8" s="1"/>
  <c r="H979" i="8"/>
  <c r="J320" i="8"/>
  <c r="K320" i="8" s="1"/>
  <c r="I429" i="7"/>
  <c r="H810" i="6"/>
  <c r="J810" i="6" s="1"/>
  <c r="J1452" i="6"/>
  <c r="H1453" i="6" s="1"/>
  <c r="I1453" i="6" s="1"/>
  <c r="H1090" i="8"/>
  <c r="D1090" i="8"/>
  <c r="B594" i="7"/>
  <c r="C594" i="7" s="1"/>
  <c r="D760" i="8"/>
  <c r="M284" i="6"/>
  <c r="M285" i="6" s="1"/>
  <c r="M286" i="6" s="1"/>
  <c r="M287" i="6" s="1"/>
  <c r="M288" i="6" s="1"/>
  <c r="M289" i="6" s="1"/>
  <c r="M290" i="6" s="1"/>
  <c r="M291" i="6" s="1"/>
  <c r="M292" i="6" s="1"/>
  <c r="M293" i="6" s="1"/>
  <c r="M294" i="6" s="1"/>
  <c r="M295" i="6" s="1"/>
  <c r="M296" i="6" s="1"/>
  <c r="M297" i="6" s="1"/>
  <c r="M298" i="6" s="1"/>
  <c r="M299" i="6" s="1"/>
  <c r="M300" i="6" s="1"/>
  <c r="M301" i="6" s="1"/>
  <c r="M302" i="6" s="1"/>
  <c r="M303" i="6" s="1"/>
  <c r="M304" i="6" s="1"/>
  <c r="K305" i="6" s="1"/>
  <c r="N262" i="6" s="1"/>
  <c r="N317" i="12"/>
  <c r="J209" i="12"/>
  <c r="D154" i="12"/>
  <c r="F154" i="12" s="1"/>
  <c r="H154" i="12"/>
  <c r="F265" i="7"/>
  <c r="I1263" i="6"/>
  <c r="K514" i="6"/>
  <c r="M514" i="6" s="1"/>
  <c r="H539" i="7"/>
  <c r="E539" i="7"/>
  <c r="H1081" i="6"/>
  <c r="J1081" i="6" s="1"/>
  <c r="H208" i="12"/>
  <c r="E208" i="12"/>
  <c r="G208" i="12" s="1"/>
  <c r="I667" i="6"/>
  <c r="L467" i="6"/>
  <c r="D539" i="7"/>
  <c r="F1165" i="7"/>
  <c r="E1165" i="7"/>
  <c r="J1165" i="7"/>
  <c r="I1165" i="7"/>
  <c r="H1165" i="7"/>
  <c r="B1166" i="7" s="1"/>
  <c r="G1165" i="7"/>
  <c r="C1166" i="7"/>
  <c r="K1165" i="7"/>
  <c r="F1034" i="8"/>
  <c r="J871" i="7"/>
  <c r="K871" i="7" s="1"/>
  <c r="B210" i="8"/>
  <c r="C210" i="8" s="1"/>
  <c r="E210" i="8"/>
  <c r="J485" i="7"/>
  <c r="K485" i="7" s="1"/>
  <c r="M264" i="8"/>
  <c r="C153" i="8"/>
  <c r="L374" i="8"/>
  <c r="N374" i="8" s="1"/>
  <c r="O374" i="8"/>
  <c r="M378" i="6"/>
  <c r="M379" i="6" s="1"/>
  <c r="M380" i="6" s="1"/>
  <c r="M381" i="6" s="1"/>
  <c r="M382" i="6" s="1"/>
  <c r="M383" i="6" s="1"/>
  <c r="M384" i="6" s="1"/>
  <c r="M385" i="6" s="1"/>
  <c r="M386" i="6" s="1"/>
  <c r="M387" i="6" s="1"/>
  <c r="M388" i="6" s="1"/>
  <c r="M389" i="6" s="1"/>
  <c r="M390" i="6" s="1"/>
  <c r="M391" i="6" s="1"/>
  <c r="M392" i="6" s="1"/>
  <c r="M393" i="6" s="1"/>
  <c r="M394" i="6" s="1"/>
  <c r="M395" i="6" s="1"/>
  <c r="M396" i="6" s="1"/>
  <c r="M397" i="6" s="1"/>
  <c r="M398" i="6" s="1"/>
  <c r="K399" i="6" s="1"/>
  <c r="N356" i="6" s="1"/>
  <c r="M428" i="7"/>
  <c r="BT214" i="11"/>
  <c r="BU214" i="11" s="1"/>
  <c r="E1090" i="8"/>
  <c r="G1090" i="8" s="1"/>
  <c r="O209" i="7"/>
  <c r="L209" i="7"/>
  <c r="N209" i="7" s="1"/>
  <c r="O814" i="8"/>
  <c r="K814" i="8"/>
  <c r="M814" i="8" s="1"/>
  <c r="I1219" i="6"/>
  <c r="J156" i="12"/>
  <c r="K156" i="12" s="1"/>
  <c r="M154" i="8"/>
  <c r="N374" i="7"/>
  <c r="K214" i="11" l="1"/>
  <c r="Q214" i="11" s="1"/>
  <c r="O214" i="11"/>
  <c r="S214" i="11" s="1"/>
  <c r="L214" i="11"/>
  <c r="P214" i="11"/>
  <c r="AC262" i="11"/>
  <c r="Y262" i="11"/>
  <c r="AA262" i="11"/>
  <c r="AD262" i="11"/>
  <c r="AB262" i="11"/>
  <c r="D263" i="11" s="1"/>
  <c r="AE262" i="11"/>
  <c r="Z262" i="11"/>
  <c r="C263" i="11" s="1"/>
  <c r="N319" i="7"/>
  <c r="O649" i="8"/>
  <c r="C1046" i="7"/>
  <c r="H1045" i="7"/>
  <c r="B1046" i="7" s="1"/>
  <c r="F979" i="8"/>
  <c r="G154" i="12"/>
  <c r="M924" i="7"/>
  <c r="G594" i="8"/>
  <c r="J1045" i="7"/>
  <c r="I952" i="6"/>
  <c r="I953" i="6" s="1"/>
  <c r="I954" i="6" s="1"/>
  <c r="I955" i="6" s="1"/>
  <c r="I956" i="6" s="1"/>
  <c r="I957" i="6" s="1"/>
  <c r="I958" i="6" s="1"/>
  <c r="I959" i="6" s="1"/>
  <c r="I960" i="6" s="1"/>
  <c r="I961" i="6" s="1"/>
  <c r="I962" i="6" s="1"/>
  <c r="H963" i="6" s="1"/>
  <c r="K920" i="6" s="1"/>
  <c r="M214" i="11"/>
  <c r="R214" i="11" s="1"/>
  <c r="N214" i="11"/>
  <c r="F1218" i="7"/>
  <c r="I1218" i="7"/>
  <c r="G1218" i="7"/>
  <c r="C1219" i="7"/>
  <c r="J1218" i="7"/>
  <c r="K1218" i="7"/>
  <c r="H1218" i="7"/>
  <c r="B1219" i="7" s="1"/>
  <c r="E1218" i="7"/>
  <c r="I1045" i="7"/>
  <c r="D1166" i="7"/>
  <c r="G1166" i="7" s="1"/>
  <c r="D1167" i="7" s="1"/>
  <c r="D320" i="8"/>
  <c r="H320" i="8"/>
  <c r="E320" i="8"/>
  <c r="O156" i="7"/>
  <c r="K156" i="7"/>
  <c r="L156" i="7"/>
  <c r="N156" i="7" s="1"/>
  <c r="D924" i="7"/>
  <c r="F924" i="7" s="1"/>
  <c r="H924" i="7"/>
  <c r="D263" i="8"/>
  <c r="H263" i="8"/>
  <c r="K41" i="10"/>
  <c r="L42" i="10" s="1"/>
  <c r="J988" i="7"/>
  <c r="F988" i="7"/>
  <c r="K988" i="7" s="1"/>
  <c r="G988" i="7"/>
  <c r="E988" i="7"/>
  <c r="I988" i="7"/>
  <c r="H708" i="6"/>
  <c r="I708" i="6" s="1"/>
  <c r="F760" i="8"/>
  <c r="G539" i="7"/>
  <c r="B540" i="7" s="1"/>
  <c r="I763" i="6"/>
  <c r="M538" i="7"/>
  <c r="J708" i="6"/>
  <c r="G870" i="7"/>
  <c r="N649" i="8"/>
  <c r="B650" i="8"/>
  <c r="C650" i="8" s="1"/>
  <c r="E650" i="8"/>
  <c r="BM264" i="11"/>
  <c r="BH264" i="11" s="1"/>
  <c r="M868" i="8"/>
  <c r="M429" i="8"/>
  <c r="F484" i="7"/>
  <c r="N758" i="7"/>
  <c r="C1105" i="7"/>
  <c r="J1104" i="7"/>
  <c r="F1104" i="7"/>
  <c r="E1104" i="7"/>
  <c r="I1104" i="7"/>
  <c r="K1104" i="7"/>
  <c r="H1104" i="7"/>
  <c r="B1105" i="7" s="1"/>
  <c r="G1104" i="7"/>
  <c r="D1105" i="7" s="1"/>
  <c r="E594" i="7"/>
  <c r="D594" i="7"/>
  <c r="F594" i="7" s="1"/>
  <c r="H594" i="7"/>
  <c r="K1166" i="7"/>
  <c r="J1166" i="7"/>
  <c r="H1166" i="7"/>
  <c r="B1167" i="7" s="1"/>
  <c r="F1166" i="7"/>
  <c r="E1166" i="7"/>
  <c r="C1167" i="7"/>
  <c r="I1166" i="7"/>
  <c r="D539" i="8"/>
  <c r="E539" i="8"/>
  <c r="G539" i="8" s="1"/>
  <c r="H539" i="8"/>
  <c r="H1173" i="6"/>
  <c r="I1173" i="6" s="1"/>
  <c r="H430" i="8"/>
  <c r="D430" i="8"/>
  <c r="E430" i="8"/>
  <c r="G430" i="8" s="1"/>
  <c r="G210" i="7"/>
  <c r="O1037" i="8"/>
  <c r="K1037" i="8"/>
  <c r="L1037" i="8"/>
  <c r="N1037" i="8" s="1"/>
  <c r="CA214" i="11"/>
  <c r="CE214" i="11" s="1"/>
  <c r="BW214" i="11"/>
  <c r="CC214" i="11" s="1"/>
  <c r="CB214" i="11"/>
  <c r="BX214" i="11"/>
  <c r="BY214" i="11"/>
  <c r="CD214" i="11" s="1"/>
  <c r="BZ214" i="11"/>
  <c r="O264" i="6"/>
  <c r="M1089" i="8"/>
  <c r="H652" i="7"/>
  <c r="E652" i="7"/>
  <c r="D652" i="7"/>
  <c r="F652" i="7" s="1"/>
  <c r="I925" i="8"/>
  <c r="J925" i="8" s="1"/>
  <c r="L925" i="8" s="1"/>
  <c r="B595" i="8"/>
  <c r="K468" i="6"/>
  <c r="M468" i="6" s="1"/>
  <c r="M35" i="9"/>
  <c r="P35" i="9" s="1"/>
  <c r="I320" i="7"/>
  <c r="I210" i="7"/>
  <c r="B264" i="12"/>
  <c r="C264" i="12" s="1"/>
  <c r="I650" i="8"/>
  <c r="J650" i="8" s="1"/>
  <c r="B209" i="12"/>
  <c r="F1090" i="8"/>
  <c r="L565" i="6"/>
  <c r="I595" i="8"/>
  <c r="N924" i="7"/>
  <c r="C319" i="12"/>
  <c r="B155" i="12"/>
  <c r="L514" i="6"/>
  <c r="M594" i="8"/>
  <c r="I1081" i="6"/>
  <c r="C759" i="7"/>
  <c r="D759" i="7" s="1"/>
  <c r="C266" i="7"/>
  <c r="B483" i="8"/>
  <c r="C483" i="8" s="1"/>
  <c r="I1128" i="6"/>
  <c r="H375" i="8"/>
  <c r="E375" i="8"/>
  <c r="G375" i="8" s="1"/>
  <c r="F923" i="8"/>
  <c r="O871" i="7"/>
  <c r="L871" i="7"/>
  <c r="N871" i="7" s="1"/>
  <c r="I318" i="12"/>
  <c r="J318" i="12" s="1"/>
  <c r="B705" i="8"/>
  <c r="C705" i="8" s="1"/>
  <c r="I211" i="8"/>
  <c r="J211" i="8" s="1"/>
  <c r="L211" i="8" s="1"/>
  <c r="J1172" i="6"/>
  <c r="M209" i="7"/>
  <c r="M374" i="8"/>
  <c r="O405" i="6"/>
  <c r="L922" i="6"/>
  <c r="B871" i="7"/>
  <c r="K187" i="6"/>
  <c r="M187" i="6" s="1"/>
  <c r="N265" i="7"/>
  <c r="E153" i="8"/>
  <c r="H153" i="8"/>
  <c r="D871" i="8"/>
  <c r="F871" i="8" s="1"/>
  <c r="H871" i="8"/>
  <c r="L264" i="12"/>
  <c r="O264" i="12"/>
  <c r="I759" i="7"/>
  <c r="J759" i="7" s="1"/>
  <c r="L759" i="7" s="1"/>
  <c r="I650" i="7"/>
  <c r="H899" i="6"/>
  <c r="J899" i="6" s="1"/>
  <c r="L814" i="7"/>
  <c r="O814" i="7"/>
  <c r="J1453" i="6"/>
  <c r="O979" i="8"/>
  <c r="L979" i="8"/>
  <c r="E319" i="7"/>
  <c r="H319" i="7"/>
  <c r="L142" i="6"/>
  <c r="G484" i="7"/>
  <c r="I375" i="7"/>
  <c r="J375" i="7" s="1"/>
  <c r="D319" i="7"/>
  <c r="F870" i="7"/>
  <c r="I1040" i="6"/>
  <c r="J1325" i="6"/>
  <c r="H1326" i="6" s="1"/>
  <c r="I1326" i="6" s="1"/>
  <c r="D210" i="8"/>
  <c r="F210" i="8" s="1"/>
  <c r="H210" i="8"/>
  <c r="I485" i="8"/>
  <c r="J485" i="8" s="1"/>
  <c r="L485" i="8"/>
  <c r="I704" i="8"/>
  <c r="J704" i="8" s="1"/>
  <c r="L704" i="8"/>
  <c r="F594" i="8"/>
  <c r="L229" i="6"/>
  <c r="E705" i="7"/>
  <c r="H705" i="7"/>
  <c r="J429" i="7"/>
  <c r="E924" i="7"/>
  <c r="D705" i="7"/>
  <c r="L1089" i="8"/>
  <c r="N1089" i="8" s="1"/>
  <c r="O1089" i="8"/>
  <c r="D375" i="8"/>
  <c r="E263" i="8"/>
  <c r="H1220" i="6"/>
  <c r="J1220" i="6" s="1"/>
  <c r="F539" i="7"/>
  <c r="G760" i="8"/>
  <c r="N538" i="7"/>
  <c r="D210" i="7"/>
  <c r="F210" i="7" s="1"/>
  <c r="H210" i="7"/>
  <c r="H428" i="7"/>
  <c r="D428" i="7"/>
  <c r="F428" i="7" s="1"/>
  <c r="N868" i="8"/>
  <c r="H1421" i="6"/>
  <c r="I1421" i="6" s="1"/>
  <c r="I375" i="8"/>
  <c r="M828" i="6"/>
  <c r="K829" i="6" s="1"/>
  <c r="L829" i="6" s="1"/>
  <c r="O358" i="6"/>
  <c r="H668" i="6"/>
  <c r="J668" i="6" s="1"/>
  <c r="B980" i="8"/>
  <c r="B815" i="7"/>
  <c r="C815" i="7" s="1"/>
  <c r="E815" i="7"/>
  <c r="D153" i="8"/>
  <c r="O35" i="9"/>
  <c r="G320" i="8"/>
  <c r="BL214" i="11"/>
  <c r="AP215" i="11" s="1"/>
  <c r="AI215" i="11"/>
  <c r="B1091" i="8"/>
  <c r="O705" i="7"/>
  <c r="L705" i="7"/>
  <c r="K264" i="12"/>
  <c r="J265" i="8"/>
  <c r="K265" i="8" s="1"/>
  <c r="K705" i="7"/>
  <c r="P313" i="6"/>
  <c r="AJ215" i="11"/>
  <c r="AF262" i="11"/>
  <c r="J263" i="11" s="1"/>
  <c r="O485" i="7"/>
  <c r="L485" i="7"/>
  <c r="N485" i="7" s="1"/>
  <c r="K814" i="7"/>
  <c r="H1264" i="6"/>
  <c r="J1264" i="6" s="1"/>
  <c r="K979" i="8"/>
  <c r="J594" i="7"/>
  <c r="K594" i="7" s="1"/>
  <c r="K2904" i="6"/>
  <c r="L2904" i="6" s="1"/>
  <c r="G814" i="8"/>
  <c r="N429" i="8"/>
  <c r="F208" i="12"/>
  <c r="J155" i="8"/>
  <c r="I810" i="6"/>
  <c r="I1501" i="6"/>
  <c r="L156" i="12"/>
  <c r="N156" i="12" s="1"/>
  <c r="O156" i="12"/>
  <c r="C155" i="12"/>
  <c r="D155" i="12" s="1"/>
  <c r="L209" i="12"/>
  <c r="O209" i="12"/>
  <c r="L538" i="8"/>
  <c r="N538" i="8" s="1"/>
  <c r="O538" i="8"/>
  <c r="B374" i="7"/>
  <c r="C374" i="7" s="1"/>
  <c r="E374" i="7"/>
  <c r="I1371" i="6"/>
  <c r="K209" i="12"/>
  <c r="M649" i="7"/>
  <c r="M319" i="7"/>
  <c r="C1035" i="8"/>
  <c r="O320" i="8"/>
  <c r="L320" i="8"/>
  <c r="N320" i="8" s="1"/>
  <c r="H997" i="6"/>
  <c r="J997" i="6" s="1"/>
  <c r="H614" i="6"/>
  <c r="J614" i="6" s="1"/>
  <c r="H764" i="6"/>
  <c r="J764" i="6" s="1"/>
  <c r="J765" i="6" s="1"/>
  <c r="J766" i="6" s="1"/>
  <c r="J767" i="6" s="1"/>
  <c r="J768" i="6" s="1"/>
  <c r="J769" i="6" s="1"/>
  <c r="J770" i="6" s="1"/>
  <c r="J771" i="6" s="1"/>
  <c r="J772" i="6" s="1"/>
  <c r="J773" i="6" s="1"/>
  <c r="J774" i="6" s="1"/>
  <c r="N814" i="8"/>
  <c r="G153" i="7"/>
  <c r="B924" i="8"/>
  <c r="N759" i="8"/>
  <c r="N979" i="8" l="1"/>
  <c r="D1219" i="7"/>
  <c r="N209" i="12"/>
  <c r="AL215" i="11"/>
  <c r="M705" i="7"/>
  <c r="N814" i="7"/>
  <c r="AM215" i="11"/>
  <c r="F153" i="8"/>
  <c r="M538" i="8"/>
  <c r="J539" i="8" s="1"/>
  <c r="K539" i="8" s="1"/>
  <c r="C980" i="8"/>
  <c r="H980" i="8" s="1"/>
  <c r="G263" i="8"/>
  <c r="U214" i="11"/>
  <c r="D1046" i="7"/>
  <c r="T214" i="11"/>
  <c r="X214" i="11" s="1"/>
  <c r="V214" i="11"/>
  <c r="L650" i="8"/>
  <c r="O650" i="8"/>
  <c r="BG264" i="11"/>
  <c r="J709" i="6"/>
  <c r="G924" i="7"/>
  <c r="B925" i="7" s="1"/>
  <c r="C925" i="7" s="1"/>
  <c r="J42" i="10"/>
  <c r="G650" i="8"/>
  <c r="B651" i="8" s="1"/>
  <c r="C651" i="8" s="1"/>
  <c r="H651" i="8" s="1"/>
  <c r="BE264" i="11"/>
  <c r="AI265" i="11" s="1"/>
  <c r="G210" i="8"/>
  <c r="B211" i="8" s="1"/>
  <c r="C211" i="8" s="1"/>
  <c r="BJ264" i="11"/>
  <c r="F319" i="7"/>
  <c r="M485" i="7"/>
  <c r="H709" i="6"/>
  <c r="I709" i="6"/>
  <c r="M871" i="7"/>
  <c r="D650" i="8"/>
  <c r="F650" i="8" s="1"/>
  <c r="H650" i="8"/>
  <c r="BF264" i="11"/>
  <c r="G871" i="8"/>
  <c r="BI264" i="11"/>
  <c r="M156" i="7"/>
  <c r="AK215" i="11"/>
  <c r="AN215" i="11" s="1"/>
  <c r="AO215" i="11" s="1"/>
  <c r="N264" i="12"/>
  <c r="I265" i="12" s="1"/>
  <c r="G1046" i="7"/>
  <c r="H988" i="7"/>
  <c r="I997" i="6"/>
  <c r="C1106" i="7"/>
  <c r="K1105" i="7"/>
  <c r="F1105" i="7"/>
  <c r="G1105" i="7"/>
  <c r="J1105" i="7"/>
  <c r="I1105" i="7"/>
  <c r="E1105" i="7"/>
  <c r="H1105" i="7"/>
  <c r="B1106" i="7" s="1"/>
  <c r="BK264" i="11"/>
  <c r="H155" i="12"/>
  <c r="G705" i="7"/>
  <c r="B706" i="7" s="1"/>
  <c r="F320" i="8"/>
  <c r="E264" i="12"/>
  <c r="D264" i="12"/>
  <c r="H264" i="12"/>
  <c r="F155" i="12"/>
  <c r="I430" i="8"/>
  <c r="J430" i="8" s="1"/>
  <c r="L429" i="7"/>
  <c r="O429" i="7"/>
  <c r="I321" i="8"/>
  <c r="D705" i="8"/>
  <c r="H705" i="8"/>
  <c r="K759" i="7"/>
  <c r="M759" i="7" s="1"/>
  <c r="C1168" i="7"/>
  <c r="K1167" i="7"/>
  <c r="E1167" i="7"/>
  <c r="J1167" i="7"/>
  <c r="I1167" i="7"/>
  <c r="H1167" i="7"/>
  <c r="B1168" i="7" s="1"/>
  <c r="G1167" i="7"/>
  <c r="F1167" i="7"/>
  <c r="H1035" i="8"/>
  <c r="E1035" i="8"/>
  <c r="K375" i="7"/>
  <c r="O375" i="7"/>
  <c r="F375" i="8"/>
  <c r="H1454" i="6"/>
  <c r="I1454" i="6" s="1"/>
  <c r="M209" i="12"/>
  <c r="B485" i="7"/>
  <c r="C485" i="7" s="1"/>
  <c r="G428" i="7"/>
  <c r="H1372" i="6"/>
  <c r="J1372" i="6" s="1"/>
  <c r="I1090" i="8"/>
  <c r="J1090" i="8" s="1"/>
  <c r="L1090" i="8" s="1"/>
  <c r="L155" i="8"/>
  <c r="O155" i="8"/>
  <c r="G153" i="8"/>
  <c r="L468" i="6"/>
  <c r="H374" i="7"/>
  <c r="D374" i="7"/>
  <c r="F374" i="7" s="1"/>
  <c r="K155" i="8"/>
  <c r="M814" i="7"/>
  <c r="H815" i="7"/>
  <c r="D815" i="7"/>
  <c r="F815" i="7" s="1"/>
  <c r="P358" i="6"/>
  <c r="I539" i="7"/>
  <c r="J539" i="7" s="1"/>
  <c r="L539" i="7" s="1"/>
  <c r="K650" i="8"/>
  <c r="M650" i="8" s="1"/>
  <c r="I899" i="6"/>
  <c r="I266" i="7"/>
  <c r="J266" i="7" s="1"/>
  <c r="L266" i="7" s="1"/>
  <c r="J1173" i="6"/>
  <c r="E155" i="12"/>
  <c r="G155" i="12" s="1"/>
  <c r="F263" i="8"/>
  <c r="H483" i="8"/>
  <c r="D483" i="8"/>
  <c r="K429" i="7"/>
  <c r="I980" i="8"/>
  <c r="M922" i="6"/>
  <c r="AJ265" i="11"/>
  <c r="I1038" i="8"/>
  <c r="E705" i="8"/>
  <c r="G705" i="8" s="1"/>
  <c r="B872" i="8"/>
  <c r="C872" i="8" s="1"/>
  <c r="G652" i="7"/>
  <c r="M1037" i="8"/>
  <c r="E263" i="11"/>
  <c r="K318" i="12"/>
  <c r="O318" i="12"/>
  <c r="D1035" i="8"/>
  <c r="C871" i="7"/>
  <c r="P405" i="6"/>
  <c r="B211" i="7"/>
  <c r="M320" i="8"/>
  <c r="K230" i="6"/>
  <c r="M230" i="6" s="1"/>
  <c r="I815" i="7"/>
  <c r="I157" i="12"/>
  <c r="C595" i="8"/>
  <c r="C924" i="8"/>
  <c r="C1091" i="8"/>
  <c r="D1091" i="8" s="1"/>
  <c r="B540" i="8"/>
  <c r="N35" i="9"/>
  <c r="Q35" i="9" s="1"/>
  <c r="R35" i="9" s="1"/>
  <c r="J650" i="7"/>
  <c r="O704" i="8"/>
  <c r="K704" i="8"/>
  <c r="M704" i="8" s="1"/>
  <c r="I815" i="8"/>
  <c r="J815" i="8" s="1"/>
  <c r="L815" i="8"/>
  <c r="H1129" i="6"/>
  <c r="J1129" i="6" s="1"/>
  <c r="O485" i="8"/>
  <c r="K485" i="8"/>
  <c r="M485" i="8" s="1"/>
  <c r="O759" i="7"/>
  <c r="J210" i="7"/>
  <c r="I764" i="6"/>
  <c r="I765" i="6" s="1"/>
  <c r="I766" i="6" s="1"/>
  <c r="I767" i="6" s="1"/>
  <c r="I768" i="6" s="1"/>
  <c r="I769" i="6" s="1"/>
  <c r="I770" i="6" s="1"/>
  <c r="I771" i="6" s="1"/>
  <c r="I772" i="6" s="1"/>
  <c r="I773" i="6" s="1"/>
  <c r="I774" i="6" s="1"/>
  <c r="H775" i="6" s="1"/>
  <c r="K732" i="6" s="1"/>
  <c r="G374" i="7"/>
  <c r="O925" i="8"/>
  <c r="K925" i="8"/>
  <c r="M925" i="8" s="1"/>
  <c r="I614" i="6"/>
  <c r="C209" i="12"/>
  <c r="M264" i="12"/>
  <c r="B761" i="8"/>
  <c r="C761" i="8" s="1"/>
  <c r="F705" i="7"/>
  <c r="G319" i="7"/>
  <c r="H319" i="12"/>
  <c r="E319" i="12"/>
  <c r="M156" i="12"/>
  <c r="H998" i="6"/>
  <c r="J998" i="6" s="1"/>
  <c r="I210" i="12"/>
  <c r="H266" i="7"/>
  <c r="E266" i="7"/>
  <c r="B431" i="8"/>
  <c r="B815" i="8"/>
  <c r="C815" i="8" s="1"/>
  <c r="E815" i="8"/>
  <c r="I1220" i="6"/>
  <c r="D266" i="7"/>
  <c r="F266" i="7" s="1"/>
  <c r="F430" i="8"/>
  <c r="H1041" i="6"/>
  <c r="J1041" i="6" s="1"/>
  <c r="I925" i="7"/>
  <c r="J925" i="7" s="1"/>
  <c r="L925" i="7" s="1"/>
  <c r="M2904" i="6"/>
  <c r="G263" i="11"/>
  <c r="F263" i="11"/>
  <c r="L318" i="12"/>
  <c r="M42" i="10"/>
  <c r="I42" i="10" s="1"/>
  <c r="L594" i="7"/>
  <c r="N594" i="7" s="1"/>
  <c r="O594" i="7"/>
  <c r="I668" i="6"/>
  <c r="I872" i="7"/>
  <c r="J872" i="7" s="1"/>
  <c r="I760" i="8"/>
  <c r="J760" i="8" s="1"/>
  <c r="I869" i="8"/>
  <c r="J869" i="8" s="1"/>
  <c r="L869" i="8" s="1"/>
  <c r="K566" i="6"/>
  <c r="M566" i="6" s="1"/>
  <c r="M567" i="6" s="1"/>
  <c r="M568" i="6" s="1"/>
  <c r="M569" i="6" s="1"/>
  <c r="M570" i="6" s="1"/>
  <c r="M571" i="6" s="1"/>
  <c r="M572" i="6" s="1"/>
  <c r="M573" i="6" s="1"/>
  <c r="M574" i="6" s="1"/>
  <c r="M575" i="6" s="1"/>
  <c r="M576" i="6" s="1"/>
  <c r="M577" i="6" s="1"/>
  <c r="M578" i="6" s="1"/>
  <c r="M579" i="6" s="1"/>
  <c r="M580" i="6" s="1"/>
  <c r="M581" i="6" s="1"/>
  <c r="M582" i="6" s="1"/>
  <c r="M583" i="6" s="1"/>
  <c r="M584" i="6" s="1"/>
  <c r="M585" i="6" s="1"/>
  <c r="M586" i="6" s="1"/>
  <c r="I157" i="7"/>
  <c r="M979" i="8"/>
  <c r="B321" i="8"/>
  <c r="J1421" i="6"/>
  <c r="H1422" i="6" s="1"/>
  <c r="I1422" i="6" s="1"/>
  <c r="E759" i="7"/>
  <c r="G759" i="7" s="1"/>
  <c r="H759" i="7"/>
  <c r="J320" i="7"/>
  <c r="K320" i="7" s="1"/>
  <c r="S35" i="9"/>
  <c r="B264" i="8"/>
  <c r="B376" i="8"/>
  <c r="F539" i="8"/>
  <c r="B154" i="7"/>
  <c r="C154" i="7" s="1"/>
  <c r="E154" i="7" s="1"/>
  <c r="H1502" i="6"/>
  <c r="J1502" i="6" s="1"/>
  <c r="L375" i="7"/>
  <c r="J375" i="8"/>
  <c r="H1082" i="6"/>
  <c r="J1082" i="6" s="1"/>
  <c r="H811" i="6"/>
  <c r="J811" i="6" s="1"/>
  <c r="J812" i="6" s="1"/>
  <c r="J813" i="6" s="1"/>
  <c r="J814" i="6" s="1"/>
  <c r="J815" i="6" s="1"/>
  <c r="J816" i="6" s="1"/>
  <c r="J817" i="6" s="1"/>
  <c r="J818" i="6" s="1"/>
  <c r="J819" i="6" s="1"/>
  <c r="J820" i="6" s="1"/>
  <c r="J821" i="6" s="1"/>
  <c r="I1264" i="6"/>
  <c r="J595" i="8"/>
  <c r="P264" i="6"/>
  <c r="C211" i="7"/>
  <c r="H211" i="7" s="1"/>
  <c r="K143" i="6"/>
  <c r="M143" i="6" s="1"/>
  <c r="M144" i="6" s="1"/>
  <c r="M145" i="6" s="1"/>
  <c r="M146" i="6" s="1"/>
  <c r="M147" i="6" s="1"/>
  <c r="M148" i="6" s="1"/>
  <c r="M149" i="6" s="1"/>
  <c r="M150" i="6" s="1"/>
  <c r="M151" i="6" s="1"/>
  <c r="M152" i="6" s="1"/>
  <c r="M153" i="6" s="1"/>
  <c r="M154" i="6" s="1"/>
  <c r="M155" i="6" s="1"/>
  <c r="M156" i="6" s="1"/>
  <c r="M157" i="6" s="1"/>
  <c r="M158" i="6" s="1"/>
  <c r="M159" i="6" s="1"/>
  <c r="M160" i="6" s="1"/>
  <c r="M161" i="6" s="1"/>
  <c r="M162" i="6" s="1"/>
  <c r="M163" i="6" s="1"/>
  <c r="K515" i="6"/>
  <c r="M515" i="6" s="1"/>
  <c r="O265" i="8"/>
  <c r="L265" i="8"/>
  <c r="N265" i="8" s="1"/>
  <c r="CG214" i="11"/>
  <c r="G594" i="7"/>
  <c r="I539" i="8"/>
  <c r="I486" i="7"/>
  <c r="J486" i="7" s="1"/>
  <c r="L486" i="7" s="1"/>
  <c r="N705" i="7"/>
  <c r="M829" i="6"/>
  <c r="C540" i="7"/>
  <c r="J1326" i="6"/>
  <c r="L187" i="6"/>
  <c r="O211" i="8"/>
  <c r="K211" i="8"/>
  <c r="M211" i="8" s="1"/>
  <c r="E483" i="8"/>
  <c r="D319" i="12"/>
  <c r="CF214" i="11"/>
  <c r="CI214" i="11"/>
  <c r="CH214" i="11"/>
  <c r="CJ214" i="11"/>
  <c r="CS214" i="11" s="1"/>
  <c r="N314" i="6"/>
  <c r="O314" i="6" s="1"/>
  <c r="M429" i="7" l="1"/>
  <c r="C321" i="8"/>
  <c r="E321" i="8" s="1"/>
  <c r="E980" i="8"/>
  <c r="N155" i="8"/>
  <c r="I156" i="8" s="1"/>
  <c r="D980" i="8"/>
  <c r="F980" i="8" s="1"/>
  <c r="H1046" i="7"/>
  <c r="B1047" i="7" s="1"/>
  <c r="K1046" i="7"/>
  <c r="F1046" i="7"/>
  <c r="C1047" i="7"/>
  <c r="E1046" i="7"/>
  <c r="J1046" i="7"/>
  <c r="I1046" i="7"/>
  <c r="W214" i="11"/>
  <c r="AG214" i="11" s="1"/>
  <c r="E651" i="8"/>
  <c r="J1219" i="7"/>
  <c r="H1219" i="7"/>
  <c r="B1220" i="7" s="1"/>
  <c r="G1219" i="7"/>
  <c r="F1219" i="7"/>
  <c r="E1219" i="7"/>
  <c r="C1220" i="7"/>
  <c r="D1220" i="7" s="1"/>
  <c r="K1219" i="7"/>
  <c r="I1219" i="7"/>
  <c r="G319" i="12"/>
  <c r="M594" i="7"/>
  <c r="F1035" i="8"/>
  <c r="J157" i="7"/>
  <c r="L157" i="7" s="1"/>
  <c r="D1168" i="7"/>
  <c r="K1168" i="7" s="1"/>
  <c r="N42" i="10"/>
  <c r="H42" i="10" s="1"/>
  <c r="K42" i="10" s="1"/>
  <c r="L43" i="10" s="1"/>
  <c r="O539" i="8"/>
  <c r="M375" i="7"/>
  <c r="I811" i="6"/>
  <c r="I812" i="6" s="1"/>
  <c r="I813" i="6" s="1"/>
  <c r="I814" i="6" s="1"/>
  <c r="I815" i="6" s="1"/>
  <c r="I816" i="6" s="1"/>
  <c r="I817" i="6" s="1"/>
  <c r="I818" i="6" s="1"/>
  <c r="I819" i="6" s="1"/>
  <c r="I820" i="6" s="1"/>
  <c r="I821" i="6" s="1"/>
  <c r="D651" i="8"/>
  <c r="N704" i="8"/>
  <c r="I705" i="8" s="1"/>
  <c r="J705" i="8" s="1"/>
  <c r="BL264" i="11"/>
  <c r="AK265" i="11" s="1"/>
  <c r="D1106" i="7"/>
  <c r="H710" i="6"/>
  <c r="N925" i="8"/>
  <c r="I926" i="8" s="1"/>
  <c r="J926" i="8" s="1"/>
  <c r="B989" i="7"/>
  <c r="C989" i="7"/>
  <c r="D989" i="7" s="1"/>
  <c r="N211" i="8"/>
  <c r="I212" i="8" s="1"/>
  <c r="J212" i="8" s="1"/>
  <c r="G483" i="8"/>
  <c r="O486" i="7"/>
  <c r="M318" i="12"/>
  <c r="N759" i="7"/>
  <c r="I760" i="7" s="1"/>
  <c r="J760" i="7" s="1"/>
  <c r="F264" i="12"/>
  <c r="E872" i="8"/>
  <c r="H872" i="8"/>
  <c r="D872" i="8"/>
  <c r="K872" i="7"/>
  <c r="L872" i="7"/>
  <c r="N872" i="7" s="1"/>
  <c r="O872" i="7"/>
  <c r="D211" i="8"/>
  <c r="H211" i="8"/>
  <c r="E211" i="8"/>
  <c r="H925" i="7"/>
  <c r="E925" i="7"/>
  <c r="D925" i="7"/>
  <c r="F925" i="7" s="1"/>
  <c r="AV215" i="11"/>
  <c r="AS215" i="11"/>
  <c r="AX215" i="11" s="1"/>
  <c r="AQ215" i="11"/>
  <c r="AW215" i="11" s="1"/>
  <c r="AR215" i="11"/>
  <c r="AU215" i="11"/>
  <c r="AY215" i="11" s="1"/>
  <c r="BD215" i="11" s="1"/>
  <c r="AT215" i="11"/>
  <c r="K760" i="8"/>
  <c r="O760" i="8"/>
  <c r="H822" i="6"/>
  <c r="K779" i="6" s="1"/>
  <c r="I706" i="7"/>
  <c r="J706" i="7" s="1"/>
  <c r="L706" i="7" s="1"/>
  <c r="G266" i="7"/>
  <c r="M155" i="8"/>
  <c r="L539" i="8"/>
  <c r="N539" i="8" s="1"/>
  <c r="K815" i="8"/>
  <c r="M815" i="8" s="1"/>
  <c r="O815" i="8"/>
  <c r="L734" i="6"/>
  <c r="B429" i="7"/>
  <c r="C429" i="7" s="1"/>
  <c r="I266" i="8"/>
  <c r="H209" i="12"/>
  <c r="E209" i="12"/>
  <c r="B154" i="8"/>
  <c r="C154" i="8" s="1"/>
  <c r="E154" i="8" s="1"/>
  <c r="D209" i="12"/>
  <c r="K1090" i="8"/>
  <c r="M1090" i="8" s="1"/>
  <c r="J210" i="12"/>
  <c r="K210" i="12" s="1"/>
  <c r="K486" i="7"/>
  <c r="M486" i="7" s="1"/>
  <c r="H1221" i="6"/>
  <c r="J1221" i="6" s="1"/>
  <c r="H540" i="7"/>
  <c r="E540" i="7"/>
  <c r="I1082" i="6"/>
  <c r="E35" i="9"/>
  <c r="G35" i="9"/>
  <c r="F35" i="9"/>
  <c r="H871" i="7"/>
  <c r="E871" i="7"/>
  <c r="CQ214" i="11"/>
  <c r="CN214" i="11"/>
  <c r="CM214" i="11"/>
  <c r="CL214" i="11"/>
  <c r="CK214" i="11"/>
  <c r="CP214" i="11"/>
  <c r="CO214" i="11"/>
  <c r="L143" i="6"/>
  <c r="L144" i="6" s="1"/>
  <c r="L145" i="6" s="1"/>
  <c r="L146" i="6" s="1"/>
  <c r="L147" i="6" s="1"/>
  <c r="L148" i="6" s="1"/>
  <c r="L149" i="6" s="1"/>
  <c r="L150" i="6" s="1"/>
  <c r="L151" i="6" s="1"/>
  <c r="L152" i="6" s="1"/>
  <c r="L153" i="6" s="1"/>
  <c r="L154" i="6" s="1"/>
  <c r="L155" i="6" s="1"/>
  <c r="L156" i="6" s="1"/>
  <c r="L157" i="6" s="1"/>
  <c r="L158" i="6" s="1"/>
  <c r="L159" i="6" s="1"/>
  <c r="L160" i="6" s="1"/>
  <c r="L161" i="6" s="1"/>
  <c r="L162" i="6" s="1"/>
  <c r="L163" i="6" s="1"/>
  <c r="K164" i="6" s="1"/>
  <c r="N121" i="6" s="1"/>
  <c r="B320" i="12"/>
  <c r="D871" i="7"/>
  <c r="M265" i="8"/>
  <c r="D211" i="7"/>
  <c r="H924" i="8"/>
  <c r="E924" i="8"/>
  <c r="F705" i="8"/>
  <c r="N375" i="7"/>
  <c r="G815" i="7"/>
  <c r="D924" i="8"/>
  <c r="F924" i="8" s="1"/>
  <c r="B156" i="12"/>
  <c r="C156" i="12" s="1"/>
  <c r="F319" i="12"/>
  <c r="B375" i="7"/>
  <c r="C375" i="7"/>
  <c r="D375" i="7" s="1"/>
  <c r="L566" i="6"/>
  <c r="L567" i="6" s="1"/>
  <c r="L568" i="6" s="1"/>
  <c r="L569" i="6" s="1"/>
  <c r="L570" i="6" s="1"/>
  <c r="L571" i="6" s="1"/>
  <c r="L572" i="6" s="1"/>
  <c r="L573" i="6" s="1"/>
  <c r="L574" i="6" s="1"/>
  <c r="L575" i="6" s="1"/>
  <c r="L576" i="6" s="1"/>
  <c r="L577" i="6" s="1"/>
  <c r="L578" i="6" s="1"/>
  <c r="L579" i="6" s="1"/>
  <c r="L580" i="6" s="1"/>
  <c r="L581" i="6" s="1"/>
  <c r="L582" i="6" s="1"/>
  <c r="L583" i="6" s="1"/>
  <c r="L584" i="6" s="1"/>
  <c r="L585" i="6" s="1"/>
  <c r="L586" i="6" s="1"/>
  <c r="K587" i="6" s="1"/>
  <c r="N544" i="6" s="1"/>
  <c r="G1035" i="8"/>
  <c r="O595" i="8"/>
  <c r="L595" i="8"/>
  <c r="H595" i="8"/>
  <c r="E595" i="8"/>
  <c r="B595" i="7"/>
  <c r="C595" i="7" s="1"/>
  <c r="E595" i="7"/>
  <c r="K595" i="8"/>
  <c r="H154" i="7"/>
  <c r="D154" i="7"/>
  <c r="F154" i="7" s="1"/>
  <c r="C706" i="7"/>
  <c r="P314" i="6"/>
  <c r="D595" i="8"/>
  <c r="H263" i="11"/>
  <c r="I263" i="11"/>
  <c r="P263" i="11" s="1"/>
  <c r="K263" i="11"/>
  <c r="Q263" i="11" s="1"/>
  <c r="L263" i="11"/>
  <c r="H900" i="6"/>
  <c r="J900" i="6" s="1"/>
  <c r="H485" i="7"/>
  <c r="D485" i="7"/>
  <c r="N429" i="7"/>
  <c r="K830" i="6"/>
  <c r="L830" i="6" s="1"/>
  <c r="B760" i="7"/>
  <c r="B706" i="8"/>
  <c r="L515" i="6"/>
  <c r="I998" i="6"/>
  <c r="H1327" i="6"/>
  <c r="I1327" i="6" s="1"/>
  <c r="J157" i="12"/>
  <c r="K157" i="12" s="1"/>
  <c r="I1129" i="6"/>
  <c r="P406" i="6"/>
  <c r="C264" i="8"/>
  <c r="D540" i="7"/>
  <c r="H815" i="8"/>
  <c r="D815" i="8"/>
  <c r="F815" i="8" s="1"/>
  <c r="C376" i="8"/>
  <c r="O320" i="7"/>
  <c r="L320" i="7"/>
  <c r="N320" i="7" s="1"/>
  <c r="O1090" i="8"/>
  <c r="L230" i="6"/>
  <c r="H669" i="6"/>
  <c r="J669" i="6" s="1"/>
  <c r="J321" i="8"/>
  <c r="K321" i="8" s="1"/>
  <c r="J815" i="7"/>
  <c r="J1454" i="6"/>
  <c r="I595" i="7"/>
  <c r="I1502" i="6"/>
  <c r="B320" i="7"/>
  <c r="C320" i="7" s="1"/>
  <c r="N318" i="12"/>
  <c r="K2905" i="6"/>
  <c r="L2905" i="6" s="1"/>
  <c r="H761" i="8"/>
  <c r="D761" i="8"/>
  <c r="F761" i="8" s="1"/>
  <c r="O210" i="7"/>
  <c r="L210" i="7"/>
  <c r="O650" i="7"/>
  <c r="L650" i="7"/>
  <c r="E211" i="7"/>
  <c r="J1038" i="8"/>
  <c r="K1038" i="8" s="1"/>
  <c r="E485" i="7"/>
  <c r="K430" i="8"/>
  <c r="O430" i="8"/>
  <c r="O539" i="7"/>
  <c r="K539" i="7"/>
  <c r="M539" i="7" s="1"/>
  <c r="J1422" i="6"/>
  <c r="H1423" i="6" s="1"/>
  <c r="I1423" i="6" s="1"/>
  <c r="N650" i="8"/>
  <c r="N315" i="6"/>
  <c r="O315" i="6" s="1"/>
  <c r="G815" i="8"/>
  <c r="H615" i="6"/>
  <c r="J615" i="6" s="1"/>
  <c r="F759" i="7"/>
  <c r="H321" i="8"/>
  <c r="N359" i="6"/>
  <c r="O359" i="6" s="1"/>
  <c r="O375" i="8"/>
  <c r="L375" i="8"/>
  <c r="J980" i="8"/>
  <c r="H1091" i="8"/>
  <c r="E1091" i="8"/>
  <c r="G1091" i="8" s="1"/>
  <c r="K375" i="8"/>
  <c r="O925" i="7"/>
  <c r="K925" i="7"/>
  <c r="M925" i="7" s="1"/>
  <c r="B484" i="8"/>
  <c r="N265" i="6"/>
  <c r="O265" i="6" s="1"/>
  <c r="I1041" i="6"/>
  <c r="O266" i="7"/>
  <c r="K266" i="7"/>
  <c r="M266" i="7" s="1"/>
  <c r="I1372" i="6"/>
  <c r="N406" i="6"/>
  <c r="O406" i="6" s="1"/>
  <c r="N485" i="8"/>
  <c r="K869" i="8"/>
  <c r="M869" i="8" s="1"/>
  <c r="O869" i="8"/>
  <c r="K188" i="6"/>
  <c r="M188" i="6" s="1"/>
  <c r="H1265" i="6"/>
  <c r="J1265" i="6" s="1"/>
  <c r="C540" i="8"/>
  <c r="D540" i="8" s="1"/>
  <c r="K923" i="6"/>
  <c r="L923" i="6" s="1"/>
  <c r="E761" i="8"/>
  <c r="K210" i="7"/>
  <c r="K650" i="7"/>
  <c r="B653" i="7"/>
  <c r="C653" i="7" s="1"/>
  <c r="E653" i="7" s="1"/>
  <c r="L430" i="8"/>
  <c r="L760" i="8"/>
  <c r="C431" i="8"/>
  <c r="D431" i="8" s="1"/>
  <c r="J265" i="12"/>
  <c r="F483" i="8"/>
  <c r="K469" i="6"/>
  <c r="M469" i="6" s="1"/>
  <c r="H1174" i="6"/>
  <c r="I1174" i="6" s="1"/>
  <c r="G980" i="8"/>
  <c r="G264" i="12"/>
  <c r="AD214" i="11" l="1"/>
  <c r="AC214" i="11"/>
  <c r="AB214" i="11"/>
  <c r="AE214" i="11"/>
  <c r="Y214" i="11"/>
  <c r="AA214" i="11"/>
  <c r="Z214" i="11"/>
  <c r="F540" i="7"/>
  <c r="C1169" i="7"/>
  <c r="D1169" i="7" s="1"/>
  <c r="K157" i="7"/>
  <c r="M157" i="7" s="1"/>
  <c r="G154" i="7"/>
  <c r="C1221" i="7"/>
  <c r="E1220" i="7"/>
  <c r="H1220" i="7"/>
  <c r="B1221" i="7" s="1"/>
  <c r="G1220" i="7"/>
  <c r="K1220" i="7"/>
  <c r="J1220" i="7"/>
  <c r="F1220" i="7"/>
  <c r="I1220" i="7"/>
  <c r="E1168" i="7"/>
  <c r="D321" i="8"/>
  <c r="F321" i="8" s="1"/>
  <c r="J1327" i="6"/>
  <c r="O157" i="7"/>
  <c r="J595" i="7"/>
  <c r="L595" i="7" s="1"/>
  <c r="N595" i="7" s="1"/>
  <c r="J1168" i="7"/>
  <c r="F1168" i="7"/>
  <c r="G651" i="8"/>
  <c r="B652" i="8" s="1"/>
  <c r="G595" i="8"/>
  <c r="B596" i="8" s="1"/>
  <c r="J43" i="10"/>
  <c r="D1047" i="7"/>
  <c r="G1168" i="7"/>
  <c r="H1168" i="7"/>
  <c r="B1169" i="7" s="1"/>
  <c r="I1168" i="7"/>
  <c r="N210" i="7"/>
  <c r="F485" i="7"/>
  <c r="G211" i="8"/>
  <c r="B212" i="8" s="1"/>
  <c r="N595" i="8"/>
  <c r="F989" i="7"/>
  <c r="C990" i="7"/>
  <c r="E989" i="7"/>
  <c r="G989" i="7"/>
  <c r="K989" i="7"/>
  <c r="H989" i="7"/>
  <c r="I989" i="7"/>
  <c r="J989" i="7"/>
  <c r="P265" i="6"/>
  <c r="N925" i="7"/>
  <c r="I926" i="7" s="1"/>
  <c r="J926" i="7" s="1"/>
  <c r="O926" i="7" s="1"/>
  <c r="N375" i="8"/>
  <c r="I376" i="8" s="1"/>
  <c r="F651" i="8"/>
  <c r="N815" i="8"/>
  <c r="I816" i="8" s="1"/>
  <c r="J816" i="8" s="1"/>
  <c r="O816" i="8" s="1"/>
  <c r="N760" i="8"/>
  <c r="I761" i="8" s="1"/>
  <c r="N430" i="8"/>
  <c r="I431" i="8" s="1"/>
  <c r="G211" i="7"/>
  <c r="M830" i="6"/>
  <c r="F1091" i="8"/>
  <c r="C1092" i="8" s="1"/>
  <c r="F872" i="8"/>
  <c r="J710" i="6"/>
  <c r="I710" i="6"/>
  <c r="H711" i="6" s="1"/>
  <c r="J711" i="6" s="1"/>
  <c r="M923" i="6"/>
  <c r="K924" i="6" s="1"/>
  <c r="M924" i="6" s="1"/>
  <c r="I900" i="6"/>
  <c r="N486" i="7"/>
  <c r="I487" i="7" s="1"/>
  <c r="J487" i="7" s="1"/>
  <c r="J1174" i="6"/>
  <c r="H1175" i="6" s="1"/>
  <c r="I1175" i="6" s="1"/>
  <c r="N650" i="7"/>
  <c r="I651" i="7" s="1"/>
  <c r="I1106" i="7"/>
  <c r="J1106" i="7"/>
  <c r="G1106" i="7"/>
  <c r="C1107" i="7"/>
  <c r="F1106" i="7"/>
  <c r="H1106" i="7"/>
  <c r="B1107" i="7" s="1"/>
  <c r="K1106" i="7"/>
  <c r="E1106" i="7"/>
  <c r="AP265" i="11"/>
  <c r="AL265" i="11"/>
  <c r="AN265" i="11" s="1"/>
  <c r="AO265" i="11" s="1"/>
  <c r="AS265" i="11" s="1"/>
  <c r="AX265" i="11" s="1"/>
  <c r="M320" i="7"/>
  <c r="J321" i="7" s="1"/>
  <c r="O321" i="7" s="1"/>
  <c r="M2905" i="6"/>
  <c r="F871" i="7"/>
  <c r="G209" i="12"/>
  <c r="B210" i="12" s="1"/>
  <c r="AM265" i="11"/>
  <c r="K705" i="8"/>
  <c r="O705" i="8"/>
  <c r="L705" i="8"/>
  <c r="N705" i="8" s="1"/>
  <c r="K595" i="7"/>
  <c r="L212" i="8"/>
  <c r="K212" i="8"/>
  <c r="M212" i="8" s="1"/>
  <c r="O212" i="8"/>
  <c r="K926" i="8"/>
  <c r="L926" i="8"/>
  <c r="N926" i="8" s="1"/>
  <c r="O926" i="8"/>
  <c r="H156" i="12"/>
  <c r="D156" i="12"/>
  <c r="E156" i="12"/>
  <c r="G156" i="12" s="1"/>
  <c r="L760" i="7"/>
  <c r="K760" i="7"/>
  <c r="M760" i="7" s="1"/>
  <c r="O760" i="7"/>
  <c r="I540" i="8"/>
  <c r="I651" i="8"/>
  <c r="J651" i="8" s="1"/>
  <c r="N1090" i="8"/>
  <c r="B816" i="7"/>
  <c r="C816" i="7" s="1"/>
  <c r="E816" i="7" s="1"/>
  <c r="J1423" i="6"/>
  <c r="H1424" i="6" s="1"/>
  <c r="I1424" i="6" s="1"/>
  <c r="H1130" i="6"/>
  <c r="J1130" i="6" s="1"/>
  <c r="F595" i="8"/>
  <c r="H1083" i="6"/>
  <c r="J1083" i="6" s="1"/>
  <c r="P359" i="6"/>
  <c r="C706" i="8"/>
  <c r="D706" i="8" s="1"/>
  <c r="CR214" i="11"/>
  <c r="BV215" i="11" s="1"/>
  <c r="BQ215" i="11"/>
  <c r="BO215" i="11"/>
  <c r="N407" i="6"/>
  <c r="O407" i="6" s="1"/>
  <c r="H1328" i="6"/>
  <c r="I1328" i="6" s="1"/>
  <c r="M210" i="7"/>
  <c r="M595" i="8"/>
  <c r="H320" i="7"/>
  <c r="D320" i="7"/>
  <c r="H999" i="6"/>
  <c r="J999" i="6" s="1"/>
  <c r="J1000" i="6" s="1"/>
  <c r="J1001" i="6" s="1"/>
  <c r="J1002" i="6" s="1"/>
  <c r="J1003" i="6" s="1"/>
  <c r="J1004" i="6" s="1"/>
  <c r="J1005" i="6" s="1"/>
  <c r="J1006" i="6" s="1"/>
  <c r="J1007" i="6" s="1"/>
  <c r="J1008" i="6" s="1"/>
  <c r="J1009" i="6" s="1"/>
  <c r="M43" i="10"/>
  <c r="I43" i="10" s="1"/>
  <c r="I873" i="7"/>
  <c r="I1265" i="6"/>
  <c r="M872" i="7"/>
  <c r="H264" i="8"/>
  <c r="E264" i="8"/>
  <c r="G264" i="8" s="1"/>
  <c r="M263" i="11"/>
  <c r="R263" i="11" s="1"/>
  <c r="F211" i="8"/>
  <c r="P315" i="6"/>
  <c r="E706" i="7"/>
  <c r="H706" i="7"/>
  <c r="G540" i="7"/>
  <c r="D706" i="7"/>
  <c r="F706" i="7" s="1"/>
  <c r="C155" i="7"/>
  <c r="D155" i="7" s="1"/>
  <c r="M650" i="7"/>
  <c r="I319" i="12"/>
  <c r="J319" i="12" s="1"/>
  <c r="L319" i="12" s="1"/>
  <c r="H1455" i="6"/>
  <c r="I1455" i="6" s="1"/>
  <c r="F211" i="7"/>
  <c r="H1373" i="6"/>
  <c r="J1373" i="6" s="1"/>
  <c r="E320" i="7"/>
  <c r="O815" i="7"/>
  <c r="L815" i="7"/>
  <c r="E376" i="8"/>
  <c r="H376" i="8"/>
  <c r="K516" i="6"/>
  <c r="M516" i="6" s="1"/>
  <c r="H595" i="7"/>
  <c r="D595" i="7"/>
  <c r="F595" i="7" s="1"/>
  <c r="E375" i="7"/>
  <c r="G375" i="7" s="1"/>
  <c r="J266" i="8"/>
  <c r="K266" i="8" s="1"/>
  <c r="I1221" i="6"/>
  <c r="H375" i="7"/>
  <c r="N869" i="8"/>
  <c r="L1038" i="8"/>
  <c r="N1038" i="8" s="1"/>
  <c r="O1038" i="8"/>
  <c r="O123" i="6"/>
  <c r="N263" i="11"/>
  <c r="I596" i="8"/>
  <c r="O263" i="11"/>
  <c r="S263" i="11" s="1"/>
  <c r="D429" i="7"/>
  <c r="H429" i="7"/>
  <c r="M734" i="6"/>
  <c r="K735" i="6" s="1"/>
  <c r="L735" i="6" s="1"/>
  <c r="B155" i="7"/>
  <c r="M760" i="8"/>
  <c r="O546" i="6"/>
  <c r="O706" i="7"/>
  <c r="K706" i="7"/>
  <c r="M706" i="7" s="1"/>
  <c r="M375" i="8"/>
  <c r="I430" i="7"/>
  <c r="J430" i="7" s="1"/>
  <c r="C484" i="8"/>
  <c r="I321" i="7"/>
  <c r="N539" i="7"/>
  <c r="G761" i="8"/>
  <c r="O265" i="12"/>
  <c r="L265" i="12"/>
  <c r="K265" i="12"/>
  <c r="H540" i="8"/>
  <c r="E540" i="8"/>
  <c r="G540" i="8" s="1"/>
  <c r="H1042" i="6"/>
  <c r="J1042" i="6" s="1"/>
  <c r="I615" i="6"/>
  <c r="M430" i="8"/>
  <c r="H1503" i="6"/>
  <c r="J1503" i="6" s="1"/>
  <c r="K815" i="7"/>
  <c r="D376" i="8"/>
  <c r="AZ215" i="11"/>
  <c r="M539" i="8"/>
  <c r="G872" i="8"/>
  <c r="H901" i="6"/>
  <c r="J901" i="6" s="1"/>
  <c r="O980" i="8"/>
  <c r="L980" i="8"/>
  <c r="J156" i="8"/>
  <c r="K156" i="8" s="1"/>
  <c r="K980" i="8"/>
  <c r="M980" i="8" s="1"/>
  <c r="B212" i="7"/>
  <c r="T263" i="11"/>
  <c r="F209" i="12"/>
  <c r="L188" i="6"/>
  <c r="D264" i="8"/>
  <c r="I669" i="6"/>
  <c r="L36" i="9"/>
  <c r="O36" i="9" s="1"/>
  <c r="H35" i="9"/>
  <c r="I35" i="9" s="1"/>
  <c r="I211" i="7"/>
  <c r="I376" i="7"/>
  <c r="J376" i="7" s="1"/>
  <c r="B267" i="7"/>
  <c r="C267" i="7" s="1"/>
  <c r="E267" i="7" s="1"/>
  <c r="B265" i="12"/>
  <c r="C265" i="12" s="1"/>
  <c r="E265" i="12" s="1"/>
  <c r="L157" i="12"/>
  <c r="N157" i="12" s="1"/>
  <c r="O157" i="12"/>
  <c r="B1036" i="8"/>
  <c r="C1036" i="8" s="1"/>
  <c r="E1036" i="8"/>
  <c r="E429" i="7"/>
  <c r="B981" i="8"/>
  <c r="C981" i="8" s="1"/>
  <c r="E981" i="8"/>
  <c r="I486" i="8"/>
  <c r="J486" i="8" s="1"/>
  <c r="K231" i="6"/>
  <c r="M231" i="6" s="1"/>
  <c r="G924" i="8"/>
  <c r="H653" i="7"/>
  <c r="D653" i="7"/>
  <c r="F653" i="7" s="1"/>
  <c r="K2906" i="6"/>
  <c r="L2906" i="6" s="1"/>
  <c r="K831" i="6"/>
  <c r="L831" i="6" s="1"/>
  <c r="BP215" i="11"/>
  <c r="L469" i="6"/>
  <c r="C760" i="7"/>
  <c r="H431" i="8"/>
  <c r="E431" i="8"/>
  <c r="G431" i="8" s="1"/>
  <c r="B1092" i="8"/>
  <c r="B816" i="8"/>
  <c r="G485" i="7"/>
  <c r="L321" i="8"/>
  <c r="N321" i="8" s="1"/>
  <c r="O321" i="8"/>
  <c r="C816" i="8"/>
  <c r="E816" i="8" s="1"/>
  <c r="C320" i="12"/>
  <c r="D320" i="12" s="1"/>
  <c r="G871" i="7"/>
  <c r="L210" i="12"/>
  <c r="N210" i="12" s="1"/>
  <c r="O210" i="12"/>
  <c r="D154" i="8"/>
  <c r="F154" i="8" s="1"/>
  <c r="H154" i="8"/>
  <c r="L781" i="6"/>
  <c r="BA215" i="11"/>
  <c r="BC215" i="11" s="1"/>
  <c r="N266" i="7"/>
  <c r="G925" i="7"/>
  <c r="E1092" i="8" l="1"/>
  <c r="H1092" i="8"/>
  <c r="F1169" i="7"/>
  <c r="J1169" i="7"/>
  <c r="E1169" i="7"/>
  <c r="I1169" i="7"/>
  <c r="K1169" i="7"/>
  <c r="H1169" i="7"/>
  <c r="B1170" i="7" s="1"/>
  <c r="G1169" i="7"/>
  <c r="C1170" i="7"/>
  <c r="M210" i="12"/>
  <c r="D1107" i="7"/>
  <c r="F1107" i="7" s="1"/>
  <c r="D1221" i="7"/>
  <c r="J1455" i="6"/>
  <c r="H1456" i="6" s="1"/>
  <c r="I1456" i="6" s="1"/>
  <c r="BB215" i="11"/>
  <c r="BM215" i="11" s="1"/>
  <c r="BE215" i="11" s="1"/>
  <c r="H155" i="7"/>
  <c r="M157" i="12"/>
  <c r="J1328" i="6"/>
  <c r="H1329" i="6" s="1"/>
  <c r="I1329" i="6" s="1"/>
  <c r="O595" i="7"/>
  <c r="G321" i="8"/>
  <c r="B322" i="8" s="1"/>
  <c r="C322" i="8" s="1"/>
  <c r="G1047" i="7"/>
  <c r="F1047" i="7"/>
  <c r="H1047" i="7"/>
  <c r="B1048" i="7" s="1"/>
  <c r="J1047" i="7"/>
  <c r="C1048" i="7"/>
  <c r="K1047" i="7"/>
  <c r="I1047" i="7"/>
  <c r="E1047" i="7"/>
  <c r="G215" i="11"/>
  <c r="N157" i="7"/>
  <c r="I158" i="7" s="1"/>
  <c r="J158" i="7" s="1"/>
  <c r="L158" i="7" s="1"/>
  <c r="C652" i="8"/>
  <c r="D215" i="11"/>
  <c r="G429" i="7"/>
  <c r="C215" i="11"/>
  <c r="AF214" i="11"/>
  <c r="J215" i="11" s="1"/>
  <c r="AU265" i="11"/>
  <c r="AY265" i="11" s="1"/>
  <c r="BD265" i="11" s="1"/>
  <c r="AQ265" i="11"/>
  <c r="AW265" i="11" s="1"/>
  <c r="P266" i="6"/>
  <c r="I1083" i="6"/>
  <c r="H1084" i="6" s="1"/>
  <c r="I1084" i="6" s="1"/>
  <c r="BS215" i="11"/>
  <c r="G376" i="8"/>
  <c r="B377" i="8" s="1"/>
  <c r="J1175" i="6"/>
  <c r="M2906" i="6"/>
  <c r="AV265" i="11"/>
  <c r="G1107" i="7"/>
  <c r="E1107" i="7"/>
  <c r="C1108" i="7"/>
  <c r="H1107" i="7"/>
  <c r="B1108" i="7" s="1"/>
  <c r="M831" i="6"/>
  <c r="K832" i="6" s="1"/>
  <c r="M832" i="6" s="1"/>
  <c r="I711" i="6"/>
  <c r="H712" i="6" s="1"/>
  <c r="G653" i="7"/>
  <c r="B654" i="7" s="1"/>
  <c r="C654" i="7" s="1"/>
  <c r="AR265" i="11"/>
  <c r="AZ265" i="11" s="1"/>
  <c r="B990" i="7"/>
  <c r="AT265" i="11"/>
  <c r="BA265" i="11" s="1"/>
  <c r="D990" i="7"/>
  <c r="F375" i="7"/>
  <c r="BR215" i="11"/>
  <c r="BT215" i="11" s="1"/>
  <c r="G595" i="7"/>
  <c r="B596" i="7" s="1"/>
  <c r="C596" i="7" s="1"/>
  <c r="H596" i="7" s="1"/>
  <c r="N815" i="7"/>
  <c r="I816" i="7" s="1"/>
  <c r="G320" i="7"/>
  <c r="B321" i="7" s="1"/>
  <c r="N266" i="6"/>
  <c r="O266" i="6" s="1"/>
  <c r="N267" i="6" s="1"/>
  <c r="P267" i="6" s="1"/>
  <c r="M265" i="12"/>
  <c r="G1092" i="8"/>
  <c r="H1176" i="6"/>
  <c r="J1176" i="6" s="1"/>
  <c r="K2907" i="6"/>
  <c r="M2907" i="6" s="1"/>
  <c r="S36" i="9"/>
  <c r="O487" i="7"/>
  <c r="L487" i="7"/>
  <c r="K487" i="7"/>
  <c r="M487" i="7" s="1"/>
  <c r="BG215" i="11"/>
  <c r="BF215" i="11"/>
  <c r="I1503" i="6"/>
  <c r="I901" i="6"/>
  <c r="E760" i="7"/>
  <c r="H760" i="7"/>
  <c r="H616" i="6"/>
  <c r="J616" i="6" s="1"/>
  <c r="J761" i="8"/>
  <c r="C212" i="8"/>
  <c r="O376" i="7"/>
  <c r="K376" i="7"/>
  <c r="L231" i="6"/>
  <c r="I1042" i="6"/>
  <c r="E155" i="7"/>
  <c r="G155" i="7" s="1"/>
  <c r="U263" i="11"/>
  <c r="J540" i="8"/>
  <c r="K540" i="8" s="1"/>
  <c r="N706" i="7"/>
  <c r="P123" i="6"/>
  <c r="P407" i="6"/>
  <c r="N408" i="6" s="1"/>
  <c r="O408" i="6" s="1"/>
  <c r="H981" i="8"/>
  <c r="D981" i="8"/>
  <c r="F981" i="8" s="1"/>
  <c r="M321" i="8"/>
  <c r="I596" i="7"/>
  <c r="D816" i="7"/>
  <c r="F816" i="7" s="1"/>
  <c r="H816" i="7"/>
  <c r="M1038" i="8"/>
  <c r="M595" i="7"/>
  <c r="B157" i="12"/>
  <c r="F156" i="12"/>
  <c r="J431" i="8"/>
  <c r="K926" i="7"/>
  <c r="B265" i="8"/>
  <c r="O651" i="8"/>
  <c r="K651" i="8"/>
  <c r="O430" i="7"/>
  <c r="K430" i="7"/>
  <c r="I1039" i="8"/>
  <c r="L651" i="8"/>
  <c r="D760" i="7"/>
  <c r="J1424" i="6"/>
  <c r="H1425" i="6" s="1"/>
  <c r="I1425" i="6" s="1"/>
  <c r="D816" i="8"/>
  <c r="F816" i="8" s="1"/>
  <c r="L376" i="7"/>
  <c r="N376" i="7" s="1"/>
  <c r="M926" i="8"/>
  <c r="K486" i="8"/>
  <c r="O486" i="8"/>
  <c r="D1092" i="8"/>
  <c r="F1092" i="8" s="1"/>
  <c r="L486" i="8"/>
  <c r="H1222" i="6"/>
  <c r="J1222" i="6" s="1"/>
  <c r="L924" i="6"/>
  <c r="B486" i="7"/>
  <c r="C486" i="7" s="1"/>
  <c r="E486" i="7"/>
  <c r="L926" i="7"/>
  <c r="P546" i="6"/>
  <c r="M735" i="6"/>
  <c r="I211" i="12"/>
  <c r="D1036" i="8"/>
  <c r="F1036" i="8" s="1"/>
  <c r="H1036" i="8"/>
  <c r="F264" i="8"/>
  <c r="I540" i="7"/>
  <c r="J540" i="7" s="1"/>
  <c r="I1373" i="6"/>
  <c r="L816" i="8"/>
  <c r="H816" i="8"/>
  <c r="J211" i="7"/>
  <c r="I706" i="8"/>
  <c r="B432" i="8"/>
  <c r="H484" i="8"/>
  <c r="E484" i="8"/>
  <c r="E320" i="12"/>
  <c r="G320" i="12" s="1"/>
  <c r="H320" i="12"/>
  <c r="O319" i="12"/>
  <c r="K319" i="12"/>
  <c r="M319" i="12" s="1"/>
  <c r="C596" i="8"/>
  <c r="N212" i="8"/>
  <c r="J651" i="7"/>
  <c r="K651" i="7" s="1"/>
  <c r="H706" i="8"/>
  <c r="E706" i="8"/>
  <c r="G706" i="8" s="1"/>
  <c r="N43" i="10"/>
  <c r="H43" i="10" s="1"/>
  <c r="K43" i="10" s="1"/>
  <c r="L430" i="7"/>
  <c r="J873" i="7"/>
  <c r="I927" i="8"/>
  <c r="B873" i="8"/>
  <c r="C873" i="8" s="1"/>
  <c r="E873" i="8" s="1"/>
  <c r="B541" i="8"/>
  <c r="O266" i="8"/>
  <c r="L266" i="8"/>
  <c r="N266" i="8" s="1"/>
  <c r="I999" i="6"/>
  <c r="I1000" i="6" s="1"/>
  <c r="I1001" i="6" s="1"/>
  <c r="I1002" i="6" s="1"/>
  <c r="I1003" i="6" s="1"/>
  <c r="I1004" i="6" s="1"/>
  <c r="I1005" i="6" s="1"/>
  <c r="I1006" i="6" s="1"/>
  <c r="I1007" i="6" s="1"/>
  <c r="I1008" i="6" s="1"/>
  <c r="I1009" i="6" s="1"/>
  <c r="H1010" i="6" s="1"/>
  <c r="K967" i="6" s="1"/>
  <c r="H1266" i="6"/>
  <c r="J1266" i="6" s="1"/>
  <c r="M781" i="6"/>
  <c r="N124" i="6"/>
  <c r="O124" i="6" s="1"/>
  <c r="F320" i="7"/>
  <c r="B762" i="8"/>
  <c r="C762" i="8" s="1"/>
  <c r="E762" i="8" s="1"/>
  <c r="N360" i="6"/>
  <c r="O360" i="6" s="1"/>
  <c r="B541" i="7"/>
  <c r="C541" i="7" s="1"/>
  <c r="B872" i="7"/>
  <c r="C872" i="7" s="1"/>
  <c r="E872" i="7" s="1"/>
  <c r="M36" i="9"/>
  <c r="P36" i="9" s="1"/>
  <c r="K189" i="6"/>
  <c r="M189" i="6" s="1"/>
  <c r="N980" i="8"/>
  <c r="F376" i="8"/>
  <c r="L321" i="7"/>
  <c r="L516" i="6"/>
  <c r="C212" i="7"/>
  <c r="G706" i="7"/>
  <c r="F431" i="8"/>
  <c r="H652" i="8"/>
  <c r="E652" i="8"/>
  <c r="G154" i="8"/>
  <c r="H265" i="12"/>
  <c r="D265" i="12"/>
  <c r="F265" i="12" s="1"/>
  <c r="D484" i="8"/>
  <c r="P316" i="6"/>
  <c r="D267" i="7"/>
  <c r="F267" i="7" s="1"/>
  <c r="H267" i="7"/>
  <c r="B926" i="7"/>
  <c r="C926" i="7" s="1"/>
  <c r="E926" i="7"/>
  <c r="I1130" i="6"/>
  <c r="I267" i="7"/>
  <c r="J267" i="7" s="1"/>
  <c r="L267" i="7" s="1"/>
  <c r="K470" i="6"/>
  <c r="M470" i="6" s="1"/>
  <c r="J376" i="8"/>
  <c r="I870" i="8"/>
  <c r="J870" i="8" s="1"/>
  <c r="N316" i="6"/>
  <c r="O316" i="6" s="1"/>
  <c r="I322" i="8"/>
  <c r="K816" i="8"/>
  <c r="K321" i="7"/>
  <c r="O156" i="8"/>
  <c r="L156" i="8"/>
  <c r="N156" i="8" s="1"/>
  <c r="N265" i="12"/>
  <c r="B376" i="7"/>
  <c r="B430" i="7"/>
  <c r="F429" i="7"/>
  <c r="J596" i="8"/>
  <c r="F540" i="8"/>
  <c r="B925" i="8"/>
  <c r="C925" i="8" s="1"/>
  <c r="E925" i="8" s="1"/>
  <c r="I158" i="12"/>
  <c r="J158" i="12" s="1"/>
  <c r="H670" i="6"/>
  <c r="J670" i="6" s="1"/>
  <c r="J671" i="6" s="1"/>
  <c r="J672" i="6" s="1"/>
  <c r="J673" i="6" s="1"/>
  <c r="J674" i="6" s="1"/>
  <c r="J675" i="6" s="1"/>
  <c r="J676" i="6" s="1"/>
  <c r="J677" i="6" s="1"/>
  <c r="J678" i="6" s="1"/>
  <c r="J679" i="6" s="1"/>
  <c r="J680" i="6" s="1"/>
  <c r="C210" i="12"/>
  <c r="M815" i="7"/>
  <c r="D652" i="8"/>
  <c r="I1091" i="8"/>
  <c r="J1091" i="8" s="1"/>
  <c r="L1091" i="8"/>
  <c r="N760" i="7"/>
  <c r="M705" i="8"/>
  <c r="G1221" i="7" l="1"/>
  <c r="H1221" i="7"/>
  <c r="B1222" i="7" s="1"/>
  <c r="K1221" i="7"/>
  <c r="F1221" i="7"/>
  <c r="E1221" i="7"/>
  <c r="C1222" i="7"/>
  <c r="I1221" i="7"/>
  <c r="J1221" i="7"/>
  <c r="D1222" i="7"/>
  <c r="D1170" i="7"/>
  <c r="G760" i="7"/>
  <c r="B761" i="7" s="1"/>
  <c r="BH215" i="11"/>
  <c r="AJ216" i="11" s="1"/>
  <c r="BJ215" i="11"/>
  <c r="BK215" i="11"/>
  <c r="E215" i="11"/>
  <c r="D1048" i="7"/>
  <c r="BU215" i="11"/>
  <c r="J1107" i="7"/>
  <c r="N430" i="7"/>
  <c r="M926" i="7"/>
  <c r="BI215" i="11"/>
  <c r="BL215" i="11" s="1"/>
  <c r="BC265" i="11"/>
  <c r="BB265" i="11" s="1"/>
  <c r="BM265" i="11" s="1"/>
  <c r="BJ265" i="11" s="1"/>
  <c r="K1107" i="7"/>
  <c r="J211" i="12"/>
  <c r="G816" i="7"/>
  <c r="B817" i="7" s="1"/>
  <c r="C817" i="7" s="1"/>
  <c r="E817" i="7" s="1"/>
  <c r="I1107" i="7"/>
  <c r="F215" i="11"/>
  <c r="L211" i="12"/>
  <c r="O211" i="12"/>
  <c r="D654" i="7"/>
  <c r="E654" i="7"/>
  <c r="J712" i="6"/>
  <c r="H713" i="6" s="1"/>
  <c r="I713" i="6" s="1"/>
  <c r="I712" i="6"/>
  <c r="D1108" i="7"/>
  <c r="C376" i="7"/>
  <c r="F652" i="8"/>
  <c r="J1329" i="6"/>
  <c r="N321" i="7"/>
  <c r="I322" i="7" s="1"/>
  <c r="D322" i="8"/>
  <c r="H322" i="8"/>
  <c r="G484" i="8"/>
  <c r="B485" i="8" s="1"/>
  <c r="N651" i="8"/>
  <c r="E322" i="8"/>
  <c r="H990" i="7"/>
  <c r="I990" i="7"/>
  <c r="F990" i="7"/>
  <c r="K990" i="7"/>
  <c r="E990" i="7"/>
  <c r="C991" i="7"/>
  <c r="G990" i="7"/>
  <c r="J990" i="7"/>
  <c r="G816" i="8"/>
  <c r="J1084" i="6"/>
  <c r="H1085" i="6" s="1"/>
  <c r="I1085" i="6" s="1"/>
  <c r="M266" i="8"/>
  <c r="J267" i="8" s="1"/>
  <c r="L267" i="8" s="1"/>
  <c r="I616" i="6"/>
  <c r="H617" i="6" s="1"/>
  <c r="M816" i="8"/>
  <c r="M486" i="8"/>
  <c r="BF265" i="11"/>
  <c r="BK265" i="11"/>
  <c r="BG265" i="11"/>
  <c r="BE265" i="11"/>
  <c r="BW215" i="11"/>
  <c r="CC215" i="11" s="1"/>
  <c r="BX215" i="11"/>
  <c r="BY215" i="11"/>
  <c r="CD215" i="11" s="1"/>
  <c r="BZ215" i="11"/>
  <c r="CB215" i="11"/>
  <c r="CA215" i="11"/>
  <c r="CE215" i="11" s="1"/>
  <c r="H1426" i="6"/>
  <c r="I1426" i="6" s="1"/>
  <c r="K158" i="12"/>
  <c r="O158" i="12"/>
  <c r="L158" i="12"/>
  <c r="H376" i="7"/>
  <c r="E376" i="7"/>
  <c r="D376" i="7"/>
  <c r="F376" i="7" s="1"/>
  <c r="H1330" i="6"/>
  <c r="I1330" i="6" s="1"/>
  <c r="H212" i="7"/>
  <c r="E212" i="7"/>
  <c r="D212" i="7"/>
  <c r="F212" i="7" s="1"/>
  <c r="H210" i="12"/>
  <c r="E210" i="12"/>
  <c r="L431" i="8"/>
  <c r="N431" i="8" s="1"/>
  <c r="O431" i="8"/>
  <c r="X263" i="11"/>
  <c r="V263" i="11"/>
  <c r="W263" i="11"/>
  <c r="L832" i="6"/>
  <c r="AI216" i="11"/>
  <c r="I1176" i="6"/>
  <c r="C430" i="7"/>
  <c r="D430" i="7" s="1"/>
  <c r="B707" i="8"/>
  <c r="J816" i="7"/>
  <c r="K816" i="7" s="1"/>
  <c r="I431" i="7"/>
  <c r="E596" i="7"/>
  <c r="B817" i="8"/>
  <c r="C817" i="8" s="1"/>
  <c r="E817" i="8" s="1"/>
  <c r="O540" i="7"/>
  <c r="K540" i="7"/>
  <c r="D596" i="7"/>
  <c r="H1131" i="6"/>
  <c r="J1131" i="6" s="1"/>
  <c r="L44" i="10"/>
  <c r="J927" i="8"/>
  <c r="K927" i="8" s="1"/>
  <c r="D210" i="12"/>
  <c r="C265" i="8"/>
  <c r="I157" i="8"/>
  <c r="K517" i="6"/>
  <c r="M517" i="6" s="1"/>
  <c r="L540" i="7"/>
  <c r="O870" i="8"/>
  <c r="K870" i="8"/>
  <c r="N547" i="6"/>
  <c r="O547" i="6" s="1"/>
  <c r="K267" i="7"/>
  <c r="M267" i="7" s="1"/>
  <c r="O267" i="7"/>
  <c r="B321" i="12"/>
  <c r="H762" i="8"/>
  <c r="D762" i="8"/>
  <c r="F762" i="8" s="1"/>
  <c r="C377" i="8"/>
  <c r="N926" i="7"/>
  <c r="L376" i="8"/>
  <c r="O376" i="8"/>
  <c r="K376" i="8"/>
  <c r="M376" i="8" s="1"/>
  <c r="D926" i="7"/>
  <c r="F926" i="7" s="1"/>
  <c r="H926" i="7"/>
  <c r="L189" i="6"/>
  <c r="I652" i="8"/>
  <c r="P360" i="6"/>
  <c r="D925" i="8"/>
  <c r="F925" i="8" s="1"/>
  <c r="H925" i="8"/>
  <c r="N36" i="9"/>
  <c r="Q36" i="9" s="1"/>
  <c r="R36" i="9" s="1"/>
  <c r="C541" i="8"/>
  <c r="H654" i="7"/>
  <c r="H212" i="8"/>
  <c r="E212" i="8"/>
  <c r="G212" i="8" s="1"/>
  <c r="F706" i="8"/>
  <c r="O596" i="8"/>
  <c r="L596" i="8"/>
  <c r="K158" i="7"/>
  <c r="M158" i="7" s="1"/>
  <c r="O158" i="7"/>
  <c r="L470" i="6"/>
  <c r="G652" i="8"/>
  <c r="H596" i="8"/>
  <c r="E596" i="8"/>
  <c r="D212" i="8"/>
  <c r="N487" i="7"/>
  <c r="F155" i="7"/>
  <c r="B156" i="7"/>
  <c r="O267" i="6"/>
  <c r="C321" i="7"/>
  <c r="C157" i="12"/>
  <c r="H902" i="6"/>
  <c r="J902" i="6" s="1"/>
  <c r="I670" i="6"/>
  <c r="I671" i="6" s="1"/>
  <c r="I672" i="6" s="1"/>
  <c r="I673" i="6" s="1"/>
  <c r="I674" i="6" s="1"/>
  <c r="I675" i="6" s="1"/>
  <c r="I676" i="6" s="1"/>
  <c r="I677" i="6" s="1"/>
  <c r="I678" i="6" s="1"/>
  <c r="I679" i="6" s="1"/>
  <c r="I680" i="6" s="1"/>
  <c r="H681" i="6" s="1"/>
  <c r="K638" i="6" s="1"/>
  <c r="K211" i="12"/>
  <c r="M211" i="12" s="1"/>
  <c r="I981" i="8"/>
  <c r="J981" i="8" s="1"/>
  <c r="J1425" i="6"/>
  <c r="G654" i="7"/>
  <c r="J706" i="8"/>
  <c r="K706" i="8" s="1"/>
  <c r="K782" i="6"/>
  <c r="L782" i="6" s="1"/>
  <c r="F760" i="7"/>
  <c r="M156" i="8"/>
  <c r="H486" i="7"/>
  <c r="D486" i="7"/>
  <c r="F486" i="7" s="1"/>
  <c r="M376" i="7"/>
  <c r="J596" i="7"/>
  <c r="K596" i="7" s="1"/>
  <c r="H1504" i="6"/>
  <c r="J1504" i="6" s="1"/>
  <c r="J1039" i="8"/>
  <c r="L2907" i="6"/>
  <c r="I266" i="12"/>
  <c r="J266" i="12" s="1"/>
  <c r="L266" i="12"/>
  <c r="I213" i="8"/>
  <c r="J213" i="8" s="1"/>
  <c r="L213" i="8"/>
  <c r="N486" i="8"/>
  <c r="K596" i="8"/>
  <c r="L969" i="6"/>
  <c r="L873" i="7"/>
  <c r="O873" i="7"/>
  <c r="D596" i="8"/>
  <c r="N816" i="8"/>
  <c r="M651" i="8"/>
  <c r="G981" i="8"/>
  <c r="O761" i="8"/>
  <c r="L761" i="8"/>
  <c r="N319" i="12"/>
  <c r="B1093" i="8"/>
  <c r="C1093" i="8" s="1"/>
  <c r="L870" i="8"/>
  <c r="H1043" i="6"/>
  <c r="J1043" i="6" s="1"/>
  <c r="L651" i="7"/>
  <c r="N651" i="7" s="1"/>
  <c r="O651" i="7"/>
  <c r="P408" i="6"/>
  <c r="N409" i="6" s="1"/>
  <c r="O409" i="6" s="1"/>
  <c r="G925" i="8"/>
  <c r="K925" i="6"/>
  <c r="M925" i="6" s="1"/>
  <c r="K736" i="6"/>
  <c r="L736" i="6" s="1"/>
  <c r="G265" i="12"/>
  <c r="B155" i="8"/>
  <c r="C155" i="8" s="1"/>
  <c r="I1266" i="6"/>
  <c r="L211" i="7"/>
  <c r="O211" i="7"/>
  <c r="I707" i="7"/>
  <c r="J707" i="7" s="1"/>
  <c r="L707" i="7"/>
  <c r="K211" i="7"/>
  <c r="M211" i="7" s="1"/>
  <c r="M430" i="7"/>
  <c r="N158" i="7"/>
  <c r="J1456" i="6"/>
  <c r="H1457" i="6" s="1"/>
  <c r="I1457" i="6" s="1"/>
  <c r="F484" i="8"/>
  <c r="H872" i="7"/>
  <c r="D872" i="7"/>
  <c r="F872" i="7" s="1"/>
  <c r="C432" i="8"/>
  <c r="D541" i="7"/>
  <c r="H541" i="7"/>
  <c r="I267" i="8"/>
  <c r="K873" i="7"/>
  <c r="K761" i="8"/>
  <c r="G267" i="7"/>
  <c r="I377" i="7"/>
  <c r="K431" i="8"/>
  <c r="M321" i="7"/>
  <c r="K232" i="6"/>
  <c r="M232" i="6" s="1"/>
  <c r="P124" i="6"/>
  <c r="I761" i="7"/>
  <c r="J761" i="7" s="1"/>
  <c r="K1091" i="8"/>
  <c r="M1091" i="8" s="1"/>
  <c r="O1091" i="8"/>
  <c r="H873" i="8"/>
  <c r="D873" i="8"/>
  <c r="F873" i="8" s="1"/>
  <c r="I1222" i="6"/>
  <c r="O540" i="8"/>
  <c r="L540" i="8"/>
  <c r="N540" i="8" s="1"/>
  <c r="G1036" i="8"/>
  <c r="N317" i="6"/>
  <c r="P317" i="6" s="1"/>
  <c r="B707" i="7"/>
  <c r="C707" i="7" s="1"/>
  <c r="E707" i="7" s="1"/>
  <c r="E541" i="7"/>
  <c r="H1374" i="6"/>
  <c r="J1374" i="6" s="1"/>
  <c r="J322" i="8"/>
  <c r="F320" i="12"/>
  <c r="I617" i="6" l="1"/>
  <c r="J617" i="6"/>
  <c r="AP216" i="11"/>
  <c r="AK216" i="11"/>
  <c r="F1048" i="7"/>
  <c r="K1048" i="7"/>
  <c r="H1048" i="7"/>
  <c r="B1049" i="7" s="1"/>
  <c r="E1048" i="7"/>
  <c r="J1048" i="7"/>
  <c r="I1048" i="7"/>
  <c r="C1049" i="7"/>
  <c r="G1048" i="7"/>
  <c r="D1049" i="7" s="1"/>
  <c r="H215" i="11"/>
  <c r="I215" i="11"/>
  <c r="K215" i="11"/>
  <c r="Q215" i="11" s="1"/>
  <c r="N870" i="8"/>
  <c r="I871" i="8" s="1"/>
  <c r="M761" i="8"/>
  <c r="F1170" i="7"/>
  <c r="K1170" i="7"/>
  <c r="D1171" i="7" s="1"/>
  <c r="E25" i="7" s="1"/>
  <c r="I1170" i="7"/>
  <c r="B1171" i="7"/>
  <c r="B25" i="7" s="1"/>
  <c r="C25" i="7" s="1"/>
  <c r="J1170" i="7"/>
  <c r="C1171" i="7" s="1"/>
  <c r="D25" i="7" s="1"/>
  <c r="F25" i="7" s="1"/>
  <c r="G1170" i="7"/>
  <c r="E1170" i="7"/>
  <c r="H1170" i="7"/>
  <c r="C1223" i="7"/>
  <c r="K1222" i="7"/>
  <c r="G1222" i="7"/>
  <c r="D1223" i="7" s="1"/>
  <c r="E1222" i="7"/>
  <c r="F1222" i="7"/>
  <c r="I1222" i="7"/>
  <c r="H1222" i="7"/>
  <c r="B1223" i="7" s="1"/>
  <c r="J1222" i="7"/>
  <c r="M651" i="7"/>
  <c r="M736" i="6"/>
  <c r="BH265" i="11"/>
  <c r="N873" i="7"/>
  <c r="I874" i="7" s="1"/>
  <c r="BI265" i="11"/>
  <c r="BL265" i="11" s="1"/>
  <c r="G322" i="8"/>
  <c r="B323" i="8" s="1"/>
  <c r="M596" i="8"/>
  <c r="K1108" i="7"/>
  <c r="E1108" i="7"/>
  <c r="F1108" i="7"/>
  <c r="I1108" i="7"/>
  <c r="H1108" i="7"/>
  <c r="B1109" i="7" s="1"/>
  <c r="G1108" i="7"/>
  <c r="C1109" i="7"/>
  <c r="J1108" i="7"/>
  <c r="F322" i="8"/>
  <c r="G872" i="7"/>
  <c r="B873" i="7" s="1"/>
  <c r="C873" i="7" s="1"/>
  <c r="I1043" i="6"/>
  <c r="H1044" i="6" s="1"/>
  <c r="J1044" i="6" s="1"/>
  <c r="M158" i="12"/>
  <c r="F210" i="12"/>
  <c r="CG215" i="11"/>
  <c r="CH215" i="11" s="1"/>
  <c r="F654" i="7"/>
  <c r="N1091" i="8"/>
  <c r="I1092" i="8" s="1"/>
  <c r="J1092" i="8" s="1"/>
  <c r="B991" i="7"/>
  <c r="D991" i="7" s="1"/>
  <c r="J713" i="6"/>
  <c r="H714" i="6" s="1"/>
  <c r="I714" i="6" s="1"/>
  <c r="J1085" i="6"/>
  <c r="F541" i="7"/>
  <c r="I1504" i="6"/>
  <c r="H1505" i="6" s="1"/>
  <c r="J1505" i="6" s="1"/>
  <c r="I1131" i="6"/>
  <c r="H1132" i="6" s="1"/>
  <c r="I1132" i="6" s="1"/>
  <c r="G596" i="8"/>
  <c r="B597" i="8" s="1"/>
  <c r="G762" i="8"/>
  <c r="B763" i="8" s="1"/>
  <c r="C763" i="8" s="1"/>
  <c r="E763" i="8" s="1"/>
  <c r="N540" i="7"/>
  <c r="F596" i="7"/>
  <c r="H1093" i="8"/>
  <c r="D1093" i="8"/>
  <c r="E1093" i="8"/>
  <c r="G1093" i="8" s="1"/>
  <c r="H1086" i="6"/>
  <c r="J1086" i="6" s="1"/>
  <c r="H618" i="6"/>
  <c r="I618" i="6" s="1"/>
  <c r="M927" i="8"/>
  <c r="M969" i="6"/>
  <c r="K970" i="6" s="1"/>
  <c r="L970" i="6" s="1"/>
  <c r="B213" i="8"/>
  <c r="O317" i="6"/>
  <c r="D817" i="8"/>
  <c r="F817" i="8" s="1"/>
  <c r="B926" i="8"/>
  <c r="C926" i="8" s="1"/>
  <c r="H817" i="7"/>
  <c r="M540" i="7"/>
  <c r="I487" i="8"/>
  <c r="J487" i="8" s="1"/>
  <c r="L487" i="8"/>
  <c r="G212" i="7"/>
  <c r="N376" i="8"/>
  <c r="I159" i="7"/>
  <c r="J159" i="7" s="1"/>
  <c r="K981" i="8"/>
  <c r="O981" i="8"/>
  <c r="I541" i="7"/>
  <c r="D817" i="7"/>
  <c r="F817" i="7" s="1"/>
  <c r="K267" i="8"/>
  <c r="M267" i="8" s="1"/>
  <c r="L640" i="6"/>
  <c r="J377" i="7"/>
  <c r="I902" i="6"/>
  <c r="J431" i="7"/>
  <c r="K431" i="7" s="1"/>
  <c r="E541" i="8"/>
  <c r="H541" i="8"/>
  <c r="N211" i="12"/>
  <c r="O322" i="8"/>
  <c r="L322" i="8"/>
  <c r="N322" i="8" s="1"/>
  <c r="O707" i="7"/>
  <c r="K707" i="7"/>
  <c r="M707" i="7" s="1"/>
  <c r="H321" i="7"/>
  <c r="E321" i="7"/>
  <c r="K2908" i="6"/>
  <c r="M2908" i="6" s="1"/>
  <c r="G376" i="7"/>
  <c r="O1039" i="8"/>
  <c r="L1039" i="8"/>
  <c r="O267" i="8"/>
  <c r="H155" i="8"/>
  <c r="D155" i="8"/>
  <c r="J652" i="8"/>
  <c r="K652" i="8" s="1"/>
  <c r="H377" i="8"/>
  <c r="E377" i="8"/>
  <c r="G377" i="8" s="1"/>
  <c r="J1330" i="6"/>
  <c r="H1331" i="6" s="1"/>
  <c r="I1331" i="6" s="1"/>
  <c r="M44" i="10"/>
  <c r="I44" i="10" s="1"/>
  <c r="G210" i="12"/>
  <c r="AI266" i="11"/>
  <c r="L925" i="6"/>
  <c r="H265" i="8"/>
  <c r="E265" i="8"/>
  <c r="H1177" i="6"/>
  <c r="J1177" i="6" s="1"/>
  <c r="D265" i="8"/>
  <c r="F265" i="8" s="1"/>
  <c r="L517" i="6"/>
  <c r="C321" i="12"/>
  <c r="M873" i="7"/>
  <c r="E157" i="12"/>
  <c r="H157" i="12"/>
  <c r="D157" i="12"/>
  <c r="F157" i="12" s="1"/>
  <c r="D541" i="8"/>
  <c r="K833" i="6"/>
  <c r="M833" i="6" s="1"/>
  <c r="K266" i="12"/>
  <c r="M266" i="12" s="1"/>
  <c r="O266" i="12"/>
  <c r="K322" i="8"/>
  <c r="I320" i="12"/>
  <c r="J320" i="12" s="1"/>
  <c r="M782" i="6"/>
  <c r="H432" i="8"/>
  <c r="E432" i="8"/>
  <c r="G432" i="8" s="1"/>
  <c r="N268" i="6"/>
  <c r="P268" i="6" s="1"/>
  <c r="K471" i="6"/>
  <c r="M471" i="6" s="1"/>
  <c r="I927" i="7"/>
  <c r="J927" i="7" s="1"/>
  <c r="P409" i="6"/>
  <c r="N410" i="6" s="1"/>
  <c r="O410" i="6" s="1"/>
  <c r="K1039" i="8"/>
  <c r="L816" i="7"/>
  <c r="N816" i="7" s="1"/>
  <c r="O816" i="7"/>
  <c r="I432" i="8"/>
  <c r="G541" i="7"/>
  <c r="G873" i="8"/>
  <c r="M431" i="8"/>
  <c r="E155" i="8"/>
  <c r="I652" i="7"/>
  <c r="J652" i="7" s="1"/>
  <c r="I817" i="8"/>
  <c r="J817" i="8" s="1"/>
  <c r="L817" i="8"/>
  <c r="B655" i="7"/>
  <c r="C156" i="7"/>
  <c r="N596" i="8"/>
  <c r="D377" i="8"/>
  <c r="N361" i="6"/>
  <c r="O361" i="6" s="1"/>
  <c r="J44" i="10"/>
  <c r="AJ266" i="11"/>
  <c r="N125" i="6"/>
  <c r="O125" i="6" s="1"/>
  <c r="B268" i="7"/>
  <c r="C268" i="7" s="1"/>
  <c r="E268" i="7" s="1"/>
  <c r="K190" i="6"/>
  <c r="M190" i="6" s="1"/>
  <c r="M191" i="6" s="1"/>
  <c r="M192" i="6" s="1"/>
  <c r="M193" i="6" s="1"/>
  <c r="M194" i="6" s="1"/>
  <c r="M195" i="6" s="1"/>
  <c r="M196" i="6" s="1"/>
  <c r="M197" i="6" s="1"/>
  <c r="M198" i="6" s="1"/>
  <c r="M199" i="6" s="1"/>
  <c r="M200" i="6" s="1"/>
  <c r="M201" i="6" s="1"/>
  <c r="M202" i="6" s="1"/>
  <c r="M203" i="6" s="1"/>
  <c r="M204" i="6" s="1"/>
  <c r="M205" i="6" s="1"/>
  <c r="M206" i="6" s="1"/>
  <c r="M207" i="6" s="1"/>
  <c r="M208" i="6" s="1"/>
  <c r="M209" i="6" s="1"/>
  <c r="M210" i="6" s="1"/>
  <c r="B1037" i="8"/>
  <c r="C1037" i="8" s="1"/>
  <c r="E1037" i="8"/>
  <c r="I541" i="8"/>
  <c r="O213" i="8"/>
  <c r="K213" i="8"/>
  <c r="M213" i="8" s="1"/>
  <c r="H817" i="8"/>
  <c r="L232" i="6"/>
  <c r="J157" i="8"/>
  <c r="K157" i="8" s="1"/>
  <c r="G596" i="7"/>
  <c r="M540" i="8"/>
  <c r="C761" i="7"/>
  <c r="H1223" i="6"/>
  <c r="J1223" i="6" s="1"/>
  <c r="L927" i="8"/>
  <c r="N927" i="8" s="1"/>
  <c r="O927" i="8"/>
  <c r="F36" i="9"/>
  <c r="E36" i="9"/>
  <c r="G36" i="9"/>
  <c r="CF215" i="11"/>
  <c r="N211" i="7"/>
  <c r="N267" i="7"/>
  <c r="J322" i="7"/>
  <c r="K322" i="7" s="1"/>
  <c r="H1267" i="6"/>
  <c r="J1267" i="6" s="1"/>
  <c r="B982" i="8"/>
  <c r="C982" i="8" s="1"/>
  <c r="E982" i="8"/>
  <c r="O761" i="7"/>
  <c r="K761" i="7"/>
  <c r="M761" i="7" s="1"/>
  <c r="C485" i="8"/>
  <c r="B266" i="12"/>
  <c r="C266" i="12" s="1"/>
  <c r="E266" i="12"/>
  <c r="F596" i="8"/>
  <c r="J1426" i="6"/>
  <c r="H1427" i="6" s="1"/>
  <c r="I1427" i="6" s="1"/>
  <c r="I488" i="7"/>
  <c r="J488" i="7" s="1"/>
  <c r="L488" i="7" s="1"/>
  <c r="M870" i="8"/>
  <c r="AM216" i="11"/>
  <c r="N158" i="12"/>
  <c r="G486" i="7"/>
  <c r="B653" i="8"/>
  <c r="C653" i="8" s="1"/>
  <c r="AL216" i="11"/>
  <c r="AN216" i="11" s="1"/>
  <c r="N761" i="8"/>
  <c r="D321" i="7"/>
  <c r="AG263" i="11"/>
  <c r="I1374" i="6"/>
  <c r="G926" i="7"/>
  <c r="D432" i="8"/>
  <c r="O706" i="8"/>
  <c r="L706" i="8"/>
  <c r="N706" i="8" s="1"/>
  <c r="P547" i="6"/>
  <c r="N548" i="6" s="1"/>
  <c r="O548" i="6" s="1"/>
  <c r="H707" i="7"/>
  <c r="D707" i="7"/>
  <c r="F707" i="7" s="1"/>
  <c r="L761" i="7"/>
  <c r="J1457" i="6"/>
  <c r="H1458" i="6" s="1"/>
  <c r="I1458" i="6" s="1"/>
  <c r="K737" i="6"/>
  <c r="L737" i="6" s="1"/>
  <c r="L596" i="7"/>
  <c r="N596" i="7" s="1"/>
  <c r="O596" i="7"/>
  <c r="L981" i="8"/>
  <c r="N981" i="8" s="1"/>
  <c r="F212" i="8"/>
  <c r="C707" i="8"/>
  <c r="E430" i="7"/>
  <c r="G430" i="7" s="1"/>
  <c r="H430" i="7"/>
  <c r="G1049" i="7" l="1"/>
  <c r="K1049" i="7"/>
  <c r="J1049" i="7"/>
  <c r="H1049" i="7"/>
  <c r="B1050" i="7" s="1"/>
  <c r="C1050" i="7"/>
  <c r="I1049" i="7"/>
  <c r="F1049" i="7"/>
  <c r="E1049" i="7"/>
  <c r="AP266" i="11"/>
  <c r="AK266" i="11"/>
  <c r="L215" i="11"/>
  <c r="T215" i="11" s="1"/>
  <c r="O215" i="11"/>
  <c r="S215" i="11" s="1"/>
  <c r="P215" i="11"/>
  <c r="CJ215" i="11"/>
  <c r="CS215" i="11" s="1"/>
  <c r="CI215" i="11"/>
  <c r="M706" i="8"/>
  <c r="G707" i="7"/>
  <c r="M215" i="11"/>
  <c r="R215" i="11" s="1"/>
  <c r="I1223" i="7"/>
  <c r="G1223" i="7"/>
  <c r="E1223" i="7"/>
  <c r="C1224" i="7"/>
  <c r="H1223" i="7"/>
  <c r="B1224" i="7" s="1"/>
  <c r="J1223" i="7"/>
  <c r="F1223" i="7"/>
  <c r="K1223" i="7"/>
  <c r="C323" i="8"/>
  <c r="E323" i="8" s="1"/>
  <c r="G323" i="8" s="1"/>
  <c r="F541" i="8"/>
  <c r="N215" i="11"/>
  <c r="N267" i="8"/>
  <c r="J714" i="6"/>
  <c r="N1039" i="8"/>
  <c r="AL266" i="11"/>
  <c r="N707" i="7"/>
  <c r="I708" i="7" s="1"/>
  <c r="J708" i="7" s="1"/>
  <c r="O708" i="7" s="1"/>
  <c r="C655" i="7"/>
  <c r="D655" i="7" s="1"/>
  <c r="D1109" i="7"/>
  <c r="F321" i="7"/>
  <c r="J618" i="6"/>
  <c r="D1050" i="7"/>
  <c r="J1132" i="6"/>
  <c r="H1133" i="6" s="1"/>
  <c r="I1133" i="6" s="1"/>
  <c r="I1223" i="6"/>
  <c r="H1224" i="6" s="1"/>
  <c r="D323" i="8"/>
  <c r="G155" i="8"/>
  <c r="B156" i="8" s="1"/>
  <c r="I991" i="7"/>
  <c r="E991" i="7"/>
  <c r="K991" i="7"/>
  <c r="G991" i="7"/>
  <c r="F991" i="7"/>
  <c r="C992" i="7"/>
  <c r="J991" i="7"/>
  <c r="H991" i="7"/>
  <c r="B992" i="7" s="1"/>
  <c r="AM266" i="11"/>
  <c r="O652" i="7"/>
  <c r="L652" i="7"/>
  <c r="K652" i="7"/>
  <c r="M652" i="7" s="1"/>
  <c r="H619" i="6"/>
  <c r="I619" i="6" s="1"/>
  <c r="K1092" i="8"/>
  <c r="L1092" i="8"/>
  <c r="N1092" i="8" s="1"/>
  <c r="O1092" i="8"/>
  <c r="D926" i="8"/>
  <c r="H926" i="8"/>
  <c r="E926" i="8"/>
  <c r="H715" i="6"/>
  <c r="I715" i="6" s="1"/>
  <c r="O159" i="7"/>
  <c r="K159" i="7"/>
  <c r="L159" i="7"/>
  <c r="D873" i="7"/>
  <c r="E873" i="7"/>
  <c r="H873" i="7"/>
  <c r="I982" i="8"/>
  <c r="N126" i="6"/>
  <c r="O126" i="6" s="1"/>
  <c r="B211" i="12"/>
  <c r="C211" i="12" s="1"/>
  <c r="E211" i="12" s="1"/>
  <c r="H266" i="12"/>
  <c r="D266" i="12"/>
  <c r="F266" i="12" s="1"/>
  <c r="B927" i="7"/>
  <c r="C927" i="7" s="1"/>
  <c r="E927" i="7"/>
  <c r="I212" i="7"/>
  <c r="J212" i="7" s="1"/>
  <c r="L212" i="7" s="1"/>
  <c r="J541" i="8"/>
  <c r="K541" i="8" s="1"/>
  <c r="P125" i="6"/>
  <c r="H1375" i="6"/>
  <c r="J1375" i="6" s="1"/>
  <c r="O268" i="6"/>
  <c r="B378" i="8"/>
  <c r="B213" i="7"/>
  <c r="C213" i="7" s="1"/>
  <c r="I1040" i="8"/>
  <c r="I268" i="8"/>
  <c r="J268" i="8" s="1"/>
  <c r="D763" i="8"/>
  <c r="F763" i="8" s="1"/>
  <c r="M737" i="6"/>
  <c r="N213" i="8"/>
  <c r="H156" i="7"/>
  <c r="E156" i="7"/>
  <c r="G157" i="12"/>
  <c r="B1094" i="8"/>
  <c r="O488" i="7"/>
  <c r="K488" i="7"/>
  <c r="M488" i="7" s="1"/>
  <c r="I1267" i="6"/>
  <c r="K233" i="6"/>
  <c r="M233" i="6" s="1"/>
  <c r="F1093" i="8"/>
  <c r="E321" i="12"/>
  <c r="G321" i="12" s="1"/>
  <c r="H321" i="12"/>
  <c r="H763" i="8"/>
  <c r="P548" i="6"/>
  <c r="N549" i="6" s="1"/>
  <c r="O549" i="6" s="1"/>
  <c r="AO216" i="11"/>
  <c r="AS216" i="11" s="1"/>
  <c r="AX216" i="11" s="1"/>
  <c r="E655" i="7"/>
  <c r="G655" i="7" s="1"/>
  <c r="I817" i="7"/>
  <c r="O320" i="12"/>
  <c r="K320" i="12"/>
  <c r="D321" i="12"/>
  <c r="F155" i="8"/>
  <c r="G321" i="7"/>
  <c r="M640" i="6"/>
  <c r="K487" i="8"/>
  <c r="M487" i="8" s="1"/>
  <c r="O487" i="8"/>
  <c r="M596" i="7"/>
  <c r="G817" i="7"/>
  <c r="B487" i="7"/>
  <c r="C487" i="7" s="1"/>
  <c r="E487" i="7" s="1"/>
  <c r="L431" i="7"/>
  <c r="N431" i="7" s="1"/>
  <c r="O431" i="7"/>
  <c r="M981" i="8"/>
  <c r="H761" i="7"/>
  <c r="E761" i="7"/>
  <c r="H485" i="8"/>
  <c r="E485" i="8"/>
  <c r="J1331" i="6"/>
  <c r="H1332" i="6" s="1"/>
  <c r="I1332" i="6" s="1"/>
  <c r="L377" i="7"/>
  <c r="O377" i="7"/>
  <c r="I377" i="8"/>
  <c r="J377" i="8" s="1"/>
  <c r="L377" i="8"/>
  <c r="I1044" i="6"/>
  <c r="B874" i="8"/>
  <c r="C874" i="8" s="1"/>
  <c r="J715" i="6"/>
  <c r="N266" i="12"/>
  <c r="I762" i="8"/>
  <c r="J762" i="8" s="1"/>
  <c r="B431" i="7"/>
  <c r="J1458" i="6"/>
  <c r="B377" i="7"/>
  <c r="C377" i="7" s="1"/>
  <c r="E377" i="7"/>
  <c r="G817" i="8"/>
  <c r="G265" i="8"/>
  <c r="B708" i="7"/>
  <c r="C708" i="7"/>
  <c r="E708" i="7" s="1"/>
  <c r="D1037" i="8"/>
  <c r="F1037" i="8" s="1"/>
  <c r="H1037" i="8"/>
  <c r="H707" i="8"/>
  <c r="E707" i="8"/>
  <c r="I707" i="8"/>
  <c r="H653" i="8"/>
  <c r="D653" i="8"/>
  <c r="I1505" i="6"/>
  <c r="I928" i="8"/>
  <c r="J928" i="8" s="1"/>
  <c r="M1039" i="8"/>
  <c r="L320" i="12"/>
  <c r="K518" i="6"/>
  <c r="M518" i="6" s="1"/>
  <c r="J541" i="7"/>
  <c r="M816" i="7"/>
  <c r="O927" i="7"/>
  <c r="K927" i="7"/>
  <c r="I597" i="7"/>
  <c r="I159" i="12"/>
  <c r="J159" i="12" s="1"/>
  <c r="L159" i="12" s="1"/>
  <c r="D761" i="7"/>
  <c r="L471" i="6"/>
  <c r="L833" i="6"/>
  <c r="N44" i="10"/>
  <c r="H44" i="10" s="1"/>
  <c r="K44" i="10" s="1"/>
  <c r="D485" i="8"/>
  <c r="H903" i="6"/>
  <c r="J903" i="6" s="1"/>
  <c r="J432" i="8"/>
  <c r="I323" i="8"/>
  <c r="AC263" i="11"/>
  <c r="AB263" i="11"/>
  <c r="AA263" i="11"/>
  <c r="AD263" i="11"/>
  <c r="AE263" i="11"/>
  <c r="Y263" i="11"/>
  <c r="Z263" i="11"/>
  <c r="J871" i="8"/>
  <c r="B597" i="7"/>
  <c r="C597" i="7" s="1"/>
  <c r="E597" i="7" s="1"/>
  <c r="B433" i="8"/>
  <c r="K377" i="7"/>
  <c r="M377" i="7" s="1"/>
  <c r="F377" i="8"/>
  <c r="H982" i="8"/>
  <c r="D982" i="8"/>
  <c r="F982" i="8" s="1"/>
  <c r="I597" i="8"/>
  <c r="J597" i="8" s="1"/>
  <c r="L597" i="8" s="1"/>
  <c r="I1086" i="6"/>
  <c r="N761" i="7"/>
  <c r="J874" i="7"/>
  <c r="L2908" i="6"/>
  <c r="O322" i="7"/>
  <c r="L322" i="7"/>
  <c r="N322" i="7" s="1"/>
  <c r="L190" i="6"/>
  <c r="L191" i="6" s="1"/>
  <c r="L192" i="6" s="1"/>
  <c r="L193" i="6" s="1"/>
  <c r="L194" i="6" s="1"/>
  <c r="L195" i="6" s="1"/>
  <c r="L196" i="6" s="1"/>
  <c r="L197" i="6" s="1"/>
  <c r="L198" i="6" s="1"/>
  <c r="L199" i="6" s="1"/>
  <c r="L200" i="6" s="1"/>
  <c r="L201" i="6" s="1"/>
  <c r="L202" i="6" s="1"/>
  <c r="L203" i="6" s="1"/>
  <c r="L204" i="6" s="1"/>
  <c r="L205" i="6" s="1"/>
  <c r="L206" i="6" s="1"/>
  <c r="L207" i="6" s="1"/>
  <c r="L208" i="6" s="1"/>
  <c r="L209" i="6" s="1"/>
  <c r="L210" i="6" s="1"/>
  <c r="K211" i="6" s="1"/>
  <c r="N168" i="6" s="1"/>
  <c r="D707" i="8"/>
  <c r="E653" i="8"/>
  <c r="C597" i="8"/>
  <c r="D597" i="8" s="1"/>
  <c r="P410" i="6"/>
  <c r="N411" i="6" s="1"/>
  <c r="O411" i="6" s="1"/>
  <c r="M322" i="8"/>
  <c r="M970" i="6"/>
  <c r="B542" i="7"/>
  <c r="C542" i="7" s="1"/>
  <c r="E542" i="7" s="1"/>
  <c r="P361" i="6"/>
  <c r="L157" i="8"/>
  <c r="N157" i="8" s="1"/>
  <c r="O157" i="8"/>
  <c r="I1177" i="6"/>
  <c r="N318" i="6"/>
  <c r="P318" i="6" s="1"/>
  <c r="H36" i="9"/>
  <c r="I36" i="9" s="1"/>
  <c r="L37" i="9"/>
  <c r="L652" i="8"/>
  <c r="N652" i="8" s="1"/>
  <c r="O652" i="8"/>
  <c r="F430" i="7"/>
  <c r="D156" i="7"/>
  <c r="F156" i="7" s="1"/>
  <c r="K783" i="6"/>
  <c r="L783" i="6" s="1"/>
  <c r="I212" i="12"/>
  <c r="J212" i="12" s="1"/>
  <c r="L212" i="12" s="1"/>
  <c r="J1427" i="6"/>
  <c r="H1428" i="6" s="1"/>
  <c r="I1428" i="6" s="1"/>
  <c r="K926" i="6"/>
  <c r="M926" i="6" s="1"/>
  <c r="C213" i="8"/>
  <c r="D213" i="8" s="1"/>
  <c r="F432" i="8"/>
  <c r="I268" i="7"/>
  <c r="J268" i="7" s="1"/>
  <c r="H268" i="7"/>
  <c r="D268" i="7"/>
  <c r="F268" i="7" s="1"/>
  <c r="O817" i="8"/>
  <c r="K817" i="8"/>
  <c r="M817" i="8" s="1"/>
  <c r="L927" i="7"/>
  <c r="G541" i="8"/>
  <c r="J707" i="8" l="1"/>
  <c r="AN266" i="11"/>
  <c r="AO266" i="11" s="1"/>
  <c r="D1224" i="7"/>
  <c r="H323" i="8"/>
  <c r="U215" i="11"/>
  <c r="X215" i="11" s="1"/>
  <c r="I1224" i="6"/>
  <c r="J1224" i="6"/>
  <c r="F323" i="8"/>
  <c r="F707" i="8"/>
  <c r="B324" i="8"/>
  <c r="J1133" i="6"/>
  <c r="J1134" i="6" s="1"/>
  <c r="G266" i="12"/>
  <c r="B267" i="12" s="1"/>
  <c r="C267" i="12" s="1"/>
  <c r="D267" i="12" s="1"/>
  <c r="G485" i="8"/>
  <c r="B486" i="8" s="1"/>
  <c r="D992" i="7"/>
  <c r="M320" i="12"/>
  <c r="N488" i="7"/>
  <c r="N159" i="7"/>
  <c r="I160" i="7" s="1"/>
  <c r="G1050" i="7"/>
  <c r="J1050" i="7"/>
  <c r="E1050" i="7"/>
  <c r="K1050" i="7"/>
  <c r="C1051" i="7"/>
  <c r="H1050" i="7"/>
  <c r="B1051" i="7" s="1"/>
  <c r="F1050" i="7"/>
  <c r="I1050" i="7"/>
  <c r="M927" i="7"/>
  <c r="H708" i="7"/>
  <c r="H1109" i="7"/>
  <c r="B1110" i="7" s="1"/>
  <c r="K1109" i="7"/>
  <c r="I1109" i="7"/>
  <c r="C1110" i="7"/>
  <c r="E1109" i="7"/>
  <c r="J1109" i="7"/>
  <c r="G1109" i="7"/>
  <c r="F1109" i="7"/>
  <c r="G1037" i="8"/>
  <c r="B1038" i="8" s="1"/>
  <c r="C1038" i="8" s="1"/>
  <c r="G982" i="8"/>
  <c r="M157" i="8"/>
  <c r="G761" i="7"/>
  <c r="B762" i="7" s="1"/>
  <c r="F873" i="7"/>
  <c r="H655" i="7"/>
  <c r="F653" i="8"/>
  <c r="F926" i="8"/>
  <c r="AR266" i="11"/>
  <c r="AT266" i="11"/>
  <c r="AU266" i="11"/>
  <c r="AY266" i="11" s="1"/>
  <c r="BD266" i="11" s="1"/>
  <c r="AV266" i="11"/>
  <c r="AQ266" i="11"/>
  <c r="AW266" i="11" s="1"/>
  <c r="AS266" i="11"/>
  <c r="AX266" i="11" s="1"/>
  <c r="H1134" i="6"/>
  <c r="I1134" i="6" s="1"/>
  <c r="K268" i="8"/>
  <c r="O268" i="8"/>
  <c r="L268" i="8"/>
  <c r="N268" i="8" s="1"/>
  <c r="O928" i="8"/>
  <c r="L928" i="8"/>
  <c r="K928" i="8"/>
  <c r="H716" i="6"/>
  <c r="I716" i="6" s="1"/>
  <c r="K707" i="8"/>
  <c r="L707" i="8"/>
  <c r="O707" i="8"/>
  <c r="B983" i="8"/>
  <c r="C983" i="8" s="1"/>
  <c r="E983" i="8" s="1"/>
  <c r="O871" i="8"/>
  <c r="L871" i="8"/>
  <c r="B158" i="12"/>
  <c r="C158" i="12" s="1"/>
  <c r="E158" i="12"/>
  <c r="AU216" i="11"/>
  <c r="AY216" i="11" s="1"/>
  <c r="BD216" i="11" s="1"/>
  <c r="O432" i="8"/>
  <c r="L432" i="8"/>
  <c r="K641" i="6"/>
  <c r="L641" i="6" s="1"/>
  <c r="M159" i="7"/>
  <c r="L541" i="7"/>
  <c r="O541" i="7"/>
  <c r="N487" i="8"/>
  <c r="C264" i="11"/>
  <c r="AF263" i="11"/>
  <c r="J264" i="11" s="1"/>
  <c r="G707" i="8"/>
  <c r="J619" i="6"/>
  <c r="H377" i="7"/>
  <c r="D377" i="7"/>
  <c r="F377" i="7" s="1"/>
  <c r="C156" i="8"/>
  <c r="I323" i="7"/>
  <c r="D927" i="7"/>
  <c r="F927" i="7" s="1"/>
  <c r="H927" i="7"/>
  <c r="C433" i="8"/>
  <c r="C378" i="8"/>
  <c r="C1094" i="8"/>
  <c r="M783" i="6"/>
  <c r="F321" i="12"/>
  <c r="L45" i="10"/>
  <c r="L518" i="6"/>
  <c r="I432" i="7"/>
  <c r="H1459" i="6"/>
  <c r="I1459" i="6" s="1"/>
  <c r="P411" i="6"/>
  <c r="K2909" i="6"/>
  <c r="M2909" i="6" s="1"/>
  <c r="K834" i="6"/>
  <c r="M834" i="6" s="1"/>
  <c r="N320" i="12"/>
  <c r="D708" i="7"/>
  <c r="F708" i="7" s="1"/>
  <c r="N377" i="7"/>
  <c r="L233" i="6"/>
  <c r="I1375" i="6"/>
  <c r="M322" i="7"/>
  <c r="B266" i="8"/>
  <c r="C266" i="8" s="1"/>
  <c r="AT216" i="11"/>
  <c r="BA216" i="11" s="1"/>
  <c r="J817" i="7"/>
  <c r="G156" i="7"/>
  <c r="I1093" i="8"/>
  <c r="B818" i="8"/>
  <c r="C818" i="8" s="1"/>
  <c r="E818" i="8" s="1"/>
  <c r="C431" i="7"/>
  <c r="K541" i="7"/>
  <c r="B322" i="7"/>
  <c r="C322" i="7" s="1"/>
  <c r="E322" i="7" s="1"/>
  <c r="I214" i="8"/>
  <c r="J214" i="8" s="1"/>
  <c r="K268" i="7"/>
  <c r="O268" i="7"/>
  <c r="B322" i="12"/>
  <c r="L268" i="7"/>
  <c r="G268" i="7"/>
  <c r="M652" i="8"/>
  <c r="M37" i="9"/>
  <c r="P37" i="9" s="1"/>
  <c r="N37" i="9"/>
  <c r="Q37" i="9" s="1"/>
  <c r="F485" i="8"/>
  <c r="K377" i="8"/>
  <c r="M377" i="8" s="1"/>
  <c r="O377" i="8"/>
  <c r="N652" i="7"/>
  <c r="J323" i="8"/>
  <c r="K323" i="8" s="1"/>
  <c r="N817" i="8"/>
  <c r="O874" i="7"/>
  <c r="L874" i="7"/>
  <c r="D264" i="11"/>
  <c r="K472" i="6"/>
  <c r="M472" i="6" s="1"/>
  <c r="M473" i="6" s="1"/>
  <c r="M474" i="6" s="1"/>
  <c r="M475" i="6" s="1"/>
  <c r="M476" i="6" s="1"/>
  <c r="M477" i="6" s="1"/>
  <c r="M478" i="6" s="1"/>
  <c r="M479" i="6" s="1"/>
  <c r="M480" i="6" s="1"/>
  <c r="M481" i="6" s="1"/>
  <c r="M482" i="6" s="1"/>
  <c r="M483" i="6" s="1"/>
  <c r="M484" i="6" s="1"/>
  <c r="M485" i="6" s="1"/>
  <c r="M486" i="6" s="1"/>
  <c r="M487" i="6" s="1"/>
  <c r="M488" i="6" s="1"/>
  <c r="M489" i="6" s="1"/>
  <c r="M490" i="6" s="1"/>
  <c r="M491" i="6" s="1"/>
  <c r="M492" i="6" s="1"/>
  <c r="J1040" i="8"/>
  <c r="K1040" i="8" s="1"/>
  <c r="H1268" i="6"/>
  <c r="J1268" i="6" s="1"/>
  <c r="P126" i="6"/>
  <c r="G763" i="8"/>
  <c r="K971" i="6"/>
  <c r="L971" i="6" s="1"/>
  <c r="H542" i="7"/>
  <c r="D542" i="7"/>
  <c r="F542" i="7" s="1"/>
  <c r="K871" i="8"/>
  <c r="O170" i="6"/>
  <c r="N269" i="6"/>
  <c r="P269" i="6" s="1"/>
  <c r="E213" i="8"/>
  <c r="G213" i="8" s="1"/>
  <c r="H213" i="8"/>
  <c r="K708" i="7"/>
  <c r="O37" i="9"/>
  <c r="B542" i="8"/>
  <c r="C542" i="8" s="1"/>
  <c r="E542" i="8" s="1"/>
  <c r="L926" i="6"/>
  <c r="O318" i="6"/>
  <c r="K874" i="7"/>
  <c r="D487" i="7"/>
  <c r="F487" i="7" s="1"/>
  <c r="H487" i="7"/>
  <c r="L708" i="7"/>
  <c r="B656" i="7"/>
  <c r="N362" i="6"/>
  <c r="O362" i="6" s="1"/>
  <c r="G873" i="7"/>
  <c r="M431" i="7"/>
  <c r="AQ216" i="11"/>
  <c r="AW216" i="11" s="1"/>
  <c r="AR216" i="11"/>
  <c r="O541" i="8"/>
  <c r="L541" i="8"/>
  <c r="N541" i="8" s="1"/>
  <c r="G926" i="8"/>
  <c r="O597" i="8"/>
  <c r="K597" i="8"/>
  <c r="M597" i="8" s="1"/>
  <c r="H213" i="7"/>
  <c r="D213" i="7"/>
  <c r="AV216" i="11"/>
  <c r="G653" i="8"/>
  <c r="D874" i="8"/>
  <c r="H874" i="8"/>
  <c r="P549" i="6"/>
  <c r="N550" i="6" s="1"/>
  <c r="O550" i="6" s="1"/>
  <c r="K432" i="8"/>
  <c r="M432" i="8" s="1"/>
  <c r="E874" i="8"/>
  <c r="G874" i="8" s="1"/>
  <c r="M1092" i="8"/>
  <c r="K212" i="7"/>
  <c r="M212" i="7" s="1"/>
  <c r="O212" i="7"/>
  <c r="CL215" i="11"/>
  <c r="CK215" i="11"/>
  <c r="CQ215" i="11"/>
  <c r="CO215" i="11"/>
  <c r="CN215" i="11"/>
  <c r="CM215" i="11"/>
  <c r="CP215" i="11"/>
  <c r="F655" i="7"/>
  <c r="H1045" i="6"/>
  <c r="J1045" i="6" s="1"/>
  <c r="I653" i="8"/>
  <c r="I903" i="6"/>
  <c r="J982" i="8"/>
  <c r="H1178" i="6"/>
  <c r="J1178" i="6" s="1"/>
  <c r="I489" i="7"/>
  <c r="J489" i="7" s="1"/>
  <c r="O762" i="8"/>
  <c r="K762" i="8"/>
  <c r="J1332" i="6"/>
  <c r="H1333" i="6" s="1"/>
  <c r="I1333" i="6" s="1"/>
  <c r="J1428" i="6"/>
  <c r="H1429" i="6" s="1"/>
  <c r="I1429" i="6" s="1"/>
  <c r="I762" i="7"/>
  <c r="J762" i="7" s="1"/>
  <c r="L762" i="7"/>
  <c r="F761" i="7"/>
  <c r="L762" i="8"/>
  <c r="N762" i="8" s="1"/>
  <c r="B818" i="7"/>
  <c r="C818" i="7" s="1"/>
  <c r="E818" i="7"/>
  <c r="N927" i="7"/>
  <c r="O212" i="12"/>
  <c r="K212" i="12"/>
  <c r="M212" i="12" s="1"/>
  <c r="I158" i="8"/>
  <c r="J158" i="8" s="1"/>
  <c r="K158" i="8" s="1"/>
  <c r="E597" i="8"/>
  <c r="G597" i="8" s="1"/>
  <c r="H597" i="8"/>
  <c r="H1087" i="6"/>
  <c r="J1087" i="6" s="1"/>
  <c r="H597" i="7"/>
  <c r="D597" i="7"/>
  <c r="F597" i="7" s="1"/>
  <c r="O159" i="12"/>
  <c r="K159" i="12"/>
  <c r="M159" i="12" s="1"/>
  <c r="H1506" i="6"/>
  <c r="J1506" i="6" s="1"/>
  <c r="I267" i="12"/>
  <c r="J267" i="12" s="1"/>
  <c r="L267" i="12" s="1"/>
  <c r="J597" i="7"/>
  <c r="K597" i="7" s="1"/>
  <c r="E213" i="7"/>
  <c r="H211" i="12"/>
  <c r="D211" i="12"/>
  <c r="F211" i="12" s="1"/>
  <c r="K738" i="6"/>
  <c r="L738" i="6" s="1"/>
  <c r="H1225" i="6" l="1"/>
  <c r="I1225" i="6" s="1"/>
  <c r="V215" i="11"/>
  <c r="C1225" i="7"/>
  <c r="H1224" i="7"/>
  <c r="B1225" i="7" s="1"/>
  <c r="G1224" i="7"/>
  <c r="D1225" i="7" s="1"/>
  <c r="F1224" i="7"/>
  <c r="I1224" i="7"/>
  <c r="K1224" i="7"/>
  <c r="E1224" i="7"/>
  <c r="J1224" i="7"/>
  <c r="M928" i="8"/>
  <c r="N871" i="8"/>
  <c r="I872" i="8" s="1"/>
  <c r="G542" i="7"/>
  <c r="B543" i="7" s="1"/>
  <c r="C543" i="7" s="1"/>
  <c r="D1110" i="7"/>
  <c r="E1110" i="7" s="1"/>
  <c r="D1051" i="7"/>
  <c r="J1051" i="7" s="1"/>
  <c r="N874" i="7"/>
  <c r="W215" i="11"/>
  <c r="O269" i="6"/>
  <c r="N270" i="6" s="1"/>
  <c r="P270" i="6" s="1"/>
  <c r="F992" i="7"/>
  <c r="I992" i="7"/>
  <c r="H992" i="7"/>
  <c r="B993" i="7" s="1"/>
  <c r="G992" i="7"/>
  <c r="E992" i="7"/>
  <c r="C993" i="7"/>
  <c r="J992" i="7"/>
  <c r="K992" i="7"/>
  <c r="M738" i="6"/>
  <c r="F597" i="8"/>
  <c r="F213" i="7"/>
  <c r="G487" i="7"/>
  <c r="B488" i="7" s="1"/>
  <c r="C488" i="7" s="1"/>
  <c r="E488" i="7" s="1"/>
  <c r="M268" i="7"/>
  <c r="C324" i="8"/>
  <c r="N212" i="7"/>
  <c r="G597" i="7"/>
  <c r="B598" i="7" s="1"/>
  <c r="C598" i="7" s="1"/>
  <c r="E598" i="7" s="1"/>
  <c r="M707" i="8"/>
  <c r="N212" i="12"/>
  <c r="L472" i="6"/>
  <c r="L473" i="6" s="1"/>
  <c r="L474" i="6" s="1"/>
  <c r="L475" i="6" s="1"/>
  <c r="L476" i="6" s="1"/>
  <c r="L477" i="6" s="1"/>
  <c r="L478" i="6" s="1"/>
  <c r="L479" i="6" s="1"/>
  <c r="L480" i="6" s="1"/>
  <c r="L481" i="6" s="1"/>
  <c r="L482" i="6" s="1"/>
  <c r="L483" i="6" s="1"/>
  <c r="L484" i="6" s="1"/>
  <c r="L485" i="6" s="1"/>
  <c r="L486" i="6" s="1"/>
  <c r="L487" i="6" s="1"/>
  <c r="L488" i="6" s="1"/>
  <c r="L489" i="6" s="1"/>
  <c r="L490" i="6" s="1"/>
  <c r="L491" i="6" s="1"/>
  <c r="L492" i="6" s="1"/>
  <c r="K493" i="6" s="1"/>
  <c r="N450" i="6" s="1"/>
  <c r="O452" i="6" s="1"/>
  <c r="F213" i="8"/>
  <c r="F264" i="11"/>
  <c r="N708" i="7"/>
  <c r="I709" i="7" s="1"/>
  <c r="P362" i="6"/>
  <c r="M541" i="7"/>
  <c r="O489" i="7"/>
  <c r="K489" i="7"/>
  <c r="L489" i="7"/>
  <c r="N489" i="7" s="1"/>
  <c r="D1038" i="8"/>
  <c r="H1038" i="8"/>
  <c r="E1038" i="8"/>
  <c r="G1038" i="8" s="1"/>
  <c r="H1135" i="6"/>
  <c r="I1135" i="6" s="1"/>
  <c r="D266" i="8"/>
  <c r="H266" i="8"/>
  <c r="I213" i="12"/>
  <c r="J213" i="12" s="1"/>
  <c r="BP216" i="11"/>
  <c r="E266" i="8"/>
  <c r="D818" i="7"/>
  <c r="F818" i="7" s="1"/>
  <c r="H818" i="7"/>
  <c r="E1094" i="8"/>
  <c r="H1094" i="8"/>
  <c r="I875" i="7"/>
  <c r="O214" i="8"/>
  <c r="K214" i="8"/>
  <c r="F874" i="8"/>
  <c r="H158" i="12"/>
  <c r="D158" i="12"/>
  <c r="F158" i="12" s="1"/>
  <c r="B269" i="7"/>
  <c r="C269" i="7" s="1"/>
  <c r="E269" i="7"/>
  <c r="M45" i="10"/>
  <c r="I45" i="10" s="1"/>
  <c r="N45" i="10"/>
  <c r="H45" i="10" s="1"/>
  <c r="I1087" i="6"/>
  <c r="M708" i="7"/>
  <c r="J1333" i="6"/>
  <c r="I213" i="7"/>
  <c r="J213" i="7" s="1"/>
  <c r="M971" i="6"/>
  <c r="K972" i="6" s="1"/>
  <c r="L972" i="6" s="1"/>
  <c r="BA266" i="11"/>
  <c r="BC266" i="11"/>
  <c r="BB266" i="11" s="1"/>
  <c r="BM266" i="11" s="1"/>
  <c r="I321" i="12"/>
  <c r="J321" i="12" s="1"/>
  <c r="L321" i="12" s="1"/>
  <c r="AZ266" i="11"/>
  <c r="M541" i="8"/>
  <c r="I1045" i="6"/>
  <c r="J432" i="7"/>
  <c r="K432" i="7" s="1"/>
  <c r="I1268" i="6"/>
  <c r="E267" i="12"/>
  <c r="G267" i="12" s="1"/>
  <c r="J716" i="6"/>
  <c r="G211" i="12"/>
  <c r="I928" i="7"/>
  <c r="J928" i="7" s="1"/>
  <c r="K927" i="6"/>
  <c r="M927" i="6" s="1"/>
  <c r="B875" i="8"/>
  <c r="B157" i="7"/>
  <c r="C157" i="7" s="1"/>
  <c r="I763" i="8"/>
  <c r="M268" i="8"/>
  <c r="C762" i="7"/>
  <c r="B708" i="8"/>
  <c r="C708" i="8" s="1"/>
  <c r="P550" i="6"/>
  <c r="N551" i="6" s="1"/>
  <c r="O551" i="6" s="1"/>
  <c r="J323" i="7"/>
  <c r="K323" i="7" s="1"/>
  <c r="J1459" i="6"/>
  <c r="J1135" i="6"/>
  <c r="H378" i="8"/>
  <c r="E378" i="8"/>
  <c r="O158" i="8"/>
  <c r="D983" i="8"/>
  <c r="F983" i="8" s="1"/>
  <c r="D378" i="8"/>
  <c r="J1429" i="6"/>
  <c r="H1430" i="6" s="1"/>
  <c r="I1430" i="6" s="1"/>
  <c r="E433" i="8"/>
  <c r="H433" i="8"/>
  <c r="K739" i="6"/>
  <c r="M739" i="6" s="1"/>
  <c r="D433" i="8"/>
  <c r="F433" i="8" s="1"/>
  <c r="N377" i="8"/>
  <c r="H983" i="8"/>
  <c r="N928" i="8"/>
  <c r="G213" i="7"/>
  <c r="L158" i="8"/>
  <c r="N158" i="8" s="1"/>
  <c r="C656" i="7"/>
  <c r="B654" i="8"/>
  <c r="C654" i="8" s="1"/>
  <c r="E654" i="8" s="1"/>
  <c r="B874" i="7"/>
  <c r="C874" i="7" s="1"/>
  <c r="E874" i="7" s="1"/>
  <c r="M871" i="8"/>
  <c r="L1040" i="8"/>
  <c r="N1040" i="8" s="1"/>
  <c r="O1040" i="8"/>
  <c r="L323" i="8"/>
  <c r="N323" i="8" s="1"/>
  <c r="O323" i="8"/>
  <c r="L834" i="6"/>
  <c r="C322" i="12"/>
  <c r="N159" i="12"/>
  <c r="G708" i="7"/>
  <c r="N127" i="6"/>
  <c r="O127" i="6" s="1"/>
  <c r="M641" i="6"/>
  <c r="N432" i="8"/>
  <c r="I1506" i="6"/>
  <c r="N412" i="6"/>
  <c r="O412" i="6" s="1"/>
  <c r="B927" i="8"/>
  <c r="C927" i="8" s="1"/>
  <c r="E927" i="8" s="1"/>
  <c r="S37" i="9"/>
  <c r="R37" i="9"/>
  <c r="O982" i="8"/>
  <c r="L982" i="8"/>
  <c r="I818" i="8"/>
  <c r="J818" i="8" s="1"/>
  <c r="L818" i="8" s="1"/>
  <c r="L214" i="8"/>
  <c r="N214" i="8" s="1"/>
  <c r="K982" i="8"/>
  <c r="M982" i="8" s="1"/>
  <c r="J653" i="8"/>
  <c r="K653" i="8" s="1"/>
  <c r="K519" i="6"/>
  <c r="M519" i="6" s="1"/>
  <c r="M520" i="6" s="1"/>
  <c r="M521" i="6" s="1"/>
  <c r="M522" i="6" s="1"/>
  <c r="M523" i="6" s="1"/>
  <c r="M524" i="6" s="1"/>
  <c r="M525" i="6" s="1"/>
  <c r="M526" i="6" s="1"/>
  <c r="M527" i="6" s="1"/>
  <c r="M528" i="6" s="1"/>
  <c r="M529" i="6" s="1"/>
  <c r="M530" i="6" s="1"/>
  <c r="M531" i="6" s="1"/>
  <c r="M532" i="6" s="1"/>
  <c r="M533" i="6" s="1"/>
  <c r="M534" i="6" s="1"/>
  <c r="M535" i="6" s="1"/>
  <c r="M536" i="6" s="1"/>
  <c r="M537" i="6" s="1"/>
  <c r="M538" i="6" s="1"/>
  <c r="M539" i="6" s="1"/>
  <c r="I542" i="8"/>
  <c r="B764" i="8"/>
  <c r="C764" i="8" s="1"/>
  <c r="E764" i="8" s="1"/>
  <c r="I488" i="8"/>
  <c r="J488" i="8" s="1"/>
  <c r="E431" i="7"/>
  <c r="H431" i="7"/>
  <c r="M762" i="8"/>
  <c r="B214" i="8"/>
  <c r="C214" i="8" s="1"/>
  <c r="J45" i="10"/>
  <c r="L597" i="7"/>
  <c r="N597" i="7" s="1"/>
  <c r="O597" i="7"/>
  <c r="G377" i="7"/>
  <c r="H267" i="12"/>
  <c r="M874" i="7"/>
  <c r="P170" i="6"/>
  <c r="H818" i="8"/>
  <c r="D818" i="8"/>
  <c r="F818" i="8" s="1"/>
  <c r="H156" i="8"/>
  <c r="E156" i="8"/>
  <c r="N541" i="7"/>
  <c r="BC216" i="11"/>
  <c r="O267" i="12"/>
  <c r="K267" i="12"/>
  <c r="M267" i="12" s="1"/>
  <c r="K642" i="6"/>
  <c r="L642" i="6" s="1"/>
  <c r="D542" i="8"/>
  <c r="F542" i="8" s="1"/>
  <c r="H542" i="8"/>
  <c r="I269" i="8"/>
  <c r="K784" i="6"/>
  <c r="L784" i="6" s="1"/>
  <c r="C486" i="8"/>
  <c r="O817" i="7"/>
  <c r="L817" i="7"/>
  <c r="D1094" i="8"/>
  <c r="I1178" i="6"/>
  <c r="K817" i="7"/>
  <c r="M817" i="7" s="1"/>
  <c r="K762" i="7"/>
  <c r="M762" i="7" s="1"/>
  <c r="O762" i="7"/>
  <c r="H1376" i="6"/>
  <c r="J1376" i="6" s="1"/>
  <c r="N597" i="8"/>
  <c r="H322" i="7"/>
  <c r="D322" i="7"/>
  <c r="F322" i="7" s="1"/>
  <c r="K234" i="6"/>
  <c r="M234" i="6" s="1"/>
  <c r="E264" i="11"/>
  <c r="H904" i="6"/>
  <c r="J904" i="6" s="1"/>
  <c r="BO216" i="11"/>
  <c r="CR215" i="11"/>
  <c r="BV216" i="11" s="1"/>
  <c r="I378" i="7"/>
  <c r="J378" i="7" s="1"/>
  <c r="L378" i="7"/>
  <c r="B598" i="8"/>
  <c r="C598" i="8" s="1"/>
  <c r="AZ216" i="11"/>
  <c r="D431" i="7"/>
  <c r="G264" i="11"/>
  <c r="G927" i="7"/>
  <c r="J1093" i="8"/>
  <c r="K1093" i="8" s="1"/>
  <c r="N363" i="6"/>
  <c r="P363" i="6" s="1"/>
  <c r="N319" i="6"/>
  <c r="P319" i="6" s="1"/>
  <c r="I653" i="7"/>
  <c r="J653" i="7" s="1"/>
  <c r="L653" i="7" s="1"/>
  <c r="N268" i="7"/>
  <c r="L2909" i="6"/>
  <c r="D156" i="8"/>
  <c r="J160" i="7"/>
  <c r="N707" i="8"/>
  <c r="H620" i="6"/>
  <c r="I620" i="6" s="1"/>
  <c r="G1110" i="7" l="1"/>
  <c r="F1110" i="7"/>
  <c r="I1110" i="7"/>
  <c r="C1111" i="7"/>
  <c r="C1052" i="7"/>
  <c r="J1110" i="7"/>
  <c r="I1051" i="7"/>
  <c r="H1051" i="7"/>
  <c r="B1052" i="7" s="1"/>
  <c r="K45" i="10"/>
  <c r="K1110" i="7"/>
  <c r="H1110" i="7"/>
  <c r="B1111" i="7" s="1"/>
  <c r="E1225" i="7"/>
  <c r="K1225" i="7"/>
  <c r="I1225" i="7"/>
  <c r="H1225" i="7"/>
  <c r="B1226" i="7" s="1"/>
  <c r="G1225" i="7"/>
  <c r="D1226" i="7" s="1"/>
  <c r="J1225" i="7"/>
  <c r="C1226" i="7"/>
  <c r="F1225" i="7"/>
  <c r="K1051" i="7"/>
  <c r="E1051" i="7"/>
  <c r="AG215" i="11"/>
  <c r="G1051" i="7"/>
  <c r="D1052" i="7" s="1"/>
  <c r="F1052" i="7" s="1"/>
  <c r="F1051" i="7"/>
  <c r="M597" i="7"/>
  <c r="G378" i="8"/>
  <c r="B379" i="8" s="1"/>
  <c r="C379" i="8" s="1"/>
  <c r="J1225" i="6"/>
  <c r="H1226" i="6" s="1"/>
  <c r="I1226" i="6" s="1"/>
  <c r="E543" i="7"/>
  <c r="H543" i="7"/>
  <c r="L519" i="6"/>
  <c r="L520" i="6" s="1"/>
  <c r="L521" i="6" s="1"/>
  <c r="L522" i="6" s="1"/>
  <c r="L523" i="6" s="1"/>
  <c r="L524" i="6" s="1"/>
  <c r="L525" i="6" s="1"/>
  <c r="L526" i="6" s="1"/>
  <c r="L527" i="6" s="1"/>
  <c r="L528" i="6" s="1"/>
  <c r="L529" i="6" s="1"/>
  <c r="L530" i="6" s="1"/>
  <c r="L531" i="6" s="1"/>
  <c r="L532" i="6" s="1"/>
  <c r="L533" i="6" s="1"/>
  <c r="L534" i="6" s="1"/>
  <c r="L535" i="6" s="1"/>
  <c r="L536" i="6" s="1"/>
  <c r="L537" i="6" s="1"/>
  <c r="L538" i="6" s="1"/>
  <c r="L539" i="6" s="1"/>
  <c r="K540" i="6" s="1"/>
  <c r="N497" i="6" s="1"/>
  <c r="O499" i="6" s="1"/>
  <c r="H324" i="8"/>
  <c r="E324" i="8"/>
  <c r="G324" i="8" s="1"/>
  <c r="G431" i="7"/>
  <c r="F1094" i="8"/>
  <c r="M784" i="6"/>
  <c r="K785" i="6" s="1"/>
  <c r="L785" i="6" s="1"/>
  <c r="E1052" i="7"/>
  <c r="G1052" i="7"/>
  <c r="K1052" i="7"/>
  <c r="J1052" i="7"/>
  <c r="C1053" i="7"/>
  <c r="D993" i="7"/>
  <c r="D324" i="8"/>
  <c r="M323" i="8"/>
  <c r="F266" i="8"/>
  <c r="G322" i="7"/>
  <c r="B323" i="7" s="1"/>
  <c r="C323" i="7" s="1"/>
  <c r="M1040" i="8"/>
  <c r="F378" i="8"/>
  <c r="F267" i="12"/>
  <c r="M489" i="7"/>
  <c r="J490" i="7" s="1"/>
  <c r="G818" i="7"/>
  <c r="B819" i="7" s="1"/>
  <c r="C819" i="7" s="1"/>
  <c r="F156" i="8"/>
  <c r="H214" i="8"/>
  <c r="D214" i="8"/>
  <c r="E214" i="8"/>
  <c r="BJ266" i="11"/>
  <c r="BI266" i="11"/>
  <c r="BH266" i="11"/>
  <c r="BE266" i="11"/>
  <c r="BK266" i="11"/>
  <c r="BG266" i="11"/>
  <c r="BF266" i="11"/>
  <c r="O213" i="12"/>
  <c r="L213" i="12"/>
  <c r="K213" i="12"/>
  <c r="M213" i="12" s="1"/>
  <c r="E598" i="8"/>
  <c r="D598" i="8"/>
  <c r="F598" i="8" s="1"/>
  <c r="H598" i="8"/>
  <c r="H1136" i="6"/>
  <c r="I1136" i="6" s="1"/>
  <c r="K213" i="7"/>
  <c r="O213" i="7"/>
  <c r="L213" i="7"/>
  <c r="N213" i="7" s="1"/>
  <c r="N762" i="7"/>
  <c r="B709" i="7"/>
  <c r="C709" i="7" s="1"/>
  <c r="E709" i="7"/>
  <c r="I160" i="12"/>
  <c r="J160" i="12" s="1"/>
  <c r="P127" i="6"/>
  <c r="D598" i="7"/>
  <c r="F598" i="7" s="1"/>
  <c r="E322" i="12"/>
  <c r="H322" i="12"/>
  <c r="BS216" i="11"/>
  <c r="J709" i="7"/>
  <c r="N817" i="7"/>
  <c r="I215" i="8"/>
  <c r="D322" i="12"/>
  <c r="F322" i="12" s="1"/>
  <c r="D488" i="7"/>
  <c r="F488" i="7" s="1"/>
  <c r="N171" i="6"/>
  <c r="O171" i="6" s="1"/>
  <c r="K928" i="7"/>
  <c r="O928" i="7"/>
  <c r="O818" i="8"/>
  <c r="K818" i="8"/>
  <c r="M818" i="8" s="1"/>
  <c r="L234" i="6"/>
  <c r="J875" i="7"/>
  <c r="K875" i="7" s="1"/>
  <c r="H157" i="7"/>
  <c r="D157" i="7"/>
  <c r="D654" i="8"/>
  <c r="F654" i="8" s="1"/>
  <c r="H654" i="8"/>
  <c r="C268" i="12"/>
  <c r="D268" i="12" s="1"/>
  <c r="J763" i="8"/>
  <c r="G818" i="8"/>
  <c r="O319" i="6"/>
  <c r="H1179" i="6"/>
  <c r="J1179" i="6" s="1"/>
  <c r="H598" i="7"/>
  <c r="J542" i="8"/>
  <c r="K542" i="8" s="1"/>
  <c r="D543" i="7"/>
  <c r="H1088" i="6"/>
  <c r="J1088" i="6" s="1"/>
  <c r="H264" i="11"/>
  <c r="I264" i="11" s="1"/>
  <c r="B432" i="7"/>
  <c r="H486" i="8"/>
  <c r="E486" i="8"/>
  <c r="H1507" i="6"/>
  <c r="J1507" i="6" s="1"/>
  <c r="O488" i="8"/>
  <c r="K488" i="8"/>
  <c r="M488" i="8" s="1"/>
  <c r="I433" i="8"/>
  <c r="J433" i="8" s="1"/>
  <c r="I324" i="8"/>
  <c r="J324" i="8" s="1"/>
  <c r="L739" i="6"/>
  <c r="G542" i="8"/>
  <c r="L488" i="8"/>
  <c r="D269" i="7"/>
  <c r="F269" i="7" s="1"/>
  <c r="H269" i="7"/>
  <c r="I1041" i="8"/>
  <c r="M642" i="6"/>
  <c r="K643" i="6" s="1"/>
  <c r="L643" i="6" s="1"/>
  <c r="B1039" i="8"/>
  <c r="F431" i="7"/>
  <c r="K378" i="7"/>
  <c r="M378" i="7" s="1"/>
  <c r="O378" i="7"/>
  <c r="G158" i="12"/>
  <c r="J620" i="6"/>
  <c r="H621" i="6" s="1"/>
  <c r="I621" i="6" s="1"/>
  <c r="I542" i="7"/>
  <c r="J542" i="7" s="1"/>
  <c r="L542" i="7"/>
  <c r="H488" i="7"/>
  <c r="F37" i="9"/>
  <c r="G37" i="9"/>
  <c r="E37" i="9"/>
  <c r="B268" i="12"/>
  <c r="C875" i="8"/>
  <c r="D875" i="8" s="1"/>
  <c r="G983" i="8"/>
  <c r="BR216" i="11"/>
  <c r="H1046" i="6"/>
  <c r="J1046" i="6" s="1"/>
  <c r="J1047" i="6" s="1"/>
  <c r="J1048" i="6" s="1"/>
  <c r="J1049" i="6" s="1"/>
  <c r="J1050" i="6" s="1"/>
  <c r="J1051" i="6" s="1"/>
  <c r="J1052" i="6" s="1"/>
  <c r="J1053" i="6" s="1"/>
  <c r="J1054" i="6" s="1"/>
  <c r="J1055" i="6" s="1"/>
  <c r="J1056" i="6" s="1"/>
  <c r="H656" i="7"/>
  <c r="E656" i="7"/>
  <c r="L927" i="6"/>
  <c r="O363" i="6"/>
  <c r="D656" i="7"/>
  <c r="F656" i="7" s="1"/>
  <c r="K835" i="6"/>
  <c r="M835" i="6" s="1"/>
  <c r="H1334" i="6"/>
  <c r="I1334" i="6" s="1"/>
  <c r="L928" i="7"/>
  <c r="B928" i="7"/>
  <c r="C928" i="7" s="1"/>
  <c r="E928" i="7" s="1"/>
  <c r="I159" i="8"/>
  <c r="D708" i="8"/>
  <c r="H708" i="8"/>
  <c r="L160" i="7"/>
  <c r="O160" i="7"/>
  <c r="B378" i="7"/>
  <c r="C378" i="7" s="1"/>
  <c r="E378" i="7" s="1"/>
  <c r="N982" i="8"/>
  <c r="I929" i="8"/>
  <c r="J929" i="8" s="1"/>
  <c r="L929" i="8" s="1"/>
  <c r="E708" i="8"/>
  <c r="J872" i="8"/>
  <c r="K872" i="8" s="1"/>
  <c r="BB216" i="11"/>
  <c r="BM216" i="11" s="1"/>
  <c r="G156" i="8"/>
  <c r="O270" i="6"/>
  <c r="H762" i="7"/>
  <c r="E762" i="7"/>
  <c r="H1269" i="6"/>
  <c r="J1269" i="6" s="1"/>
  <c r="F1038" i="8"/>
  <c r="I490" i="7"/>
  <c r="L653" i="8"/>
  <c r="N653" i="8" s="1"/>
  <c r="O653" i="8"/>
  <c r="I378" i="8"/>
  <c r="J378" i="8" s="1"/>
  <c r="L378" i="8" s="1"/>
  <c r="I904" i="6"/>
  <c r="L323" i="7"/>
  <c r="N323" i="7" s="1"/>
  <c r="O323" i="7"/>
  <c r="O1093" i="8"/>
  <c r="L1093" i="8"/>
  <c r="N1093" i="8" s="1"/>
  <c r="L46" i="10"/>
  <c r="J46" i="10" s="1"/>
  <c r="P551" i="6"/>
  <c r="N552" i="6" s="1"/>
  <c r="O552" i="6" s="1"/>
  <c r="D486" i="8"/>
  <c r="P412" i="6"/>
  <c r="N413" i="6" s="1"/>
  <c r="O413" i="6" s="1"/>
  <c r="K321" i="12"/>
  <c r="M321" i="12" s="1"/>
  <c r="O321" i="12"/>
  <c r="I708" i="8"/>
  <c r="J708" i="8" s="1"/>
  <c r="L708" i="8" s="1"/>
  <c r="H1460" i="6"/>
  <c r="I1460" i="6" s="1"/>
  <c r="B214" i="7"/>
  <c r="C214" i="7" s="1"/>
  <c r="E214" i="7" s="1"/>
  <c r="E157" i="7"/>
  <c r="G1094" i="8"/>
  <c r="H764" i="8"/>
  <c r="D764" i="8"/>
  <c r="F764" i="8" s="1"/>
  <c r="G433" i="8"/>
  <c r="K160" i="7"/>
  <c r="I598" i="8"/>
  <c r="J598" i="8" s="1"/>
  <c r="J1430" i="6"/>
  <c r="H1431" i="6" s="1"/>
  <c r="I1431" i="6" s="1"/>
  <c r="N267" i="12"/>
  <c r="K2910" i="6"/>
  <c r="M2910" i="6" s="1"/>
  <c r="I269" i="7"/>
  <c r="J269" i="7" s="1"/>
  <c r="L269" i="7"/>
  <c r="BQ216" i="11"/>
  <c r="I1376" i="6"/>
  <c r="I598" i="7"/>
  <c r="D762" i="7"/>
  <c r="M972" i="6"/>
  <c r="K973" i="6" s="1"/>
  <c r="L973" i="6" s="1"/>
  <c r="G266" i="8"/>
  <c r="M158" i="8"/>
  <c r="P452" i="6"/>
  <c r="B212" i="12"/>
  <c r="C212" i="12" s="1"/>
  <c r="O653" i="7"/>
  <c r="K653" i="7"/>
  <c r="M653" i="7" s="1"/>
  <c r="D927" i="8"/>
  <c r="F927" i="8" s="1"/>
  <c r="H927" i="8"/>
  <c r="D874" i="7"/>
  <c r="F874" i="7" s="1"/>
  <c r="H874" i="7"/>
  <c r="J269" i="8"/>
  <c r="L432" i="7"/>
  <c r="N432" i="7" s="1"/>
  <c r="O432" i="7"/>
  <c r="M214" i="8"/>
  <c r="H717" i="6"/>
  <c r="I717" i="6" s="1"/>
  <c r="I718" i="6" s="1"/>
  <c r="I719" i="6" s="1"/>
  <c r="I720" i="6" s="1"/>
  <c r="I721" i="6" s="1"/>
  <c r="I722" i="6" s="1"/>
  <c r="I723" i="6" s="1"/>
  <c r="I724" i="6" s="1"/>
  <c r="I725" i="6" s="1"/>
  <c r="I726" i="6" s="1"/>
  <c r="I727" i="6" s="1"/>
  <c r="K1226" i="7" l="1"/>
  <c r="D1227" i="7" s="1"/>
  <c r="E26" i="7" s="1"/>
  <c r="I1226" i="7"/>
  <c r="J1226" i="7"/>
  <c r="C1227" i="7" s="1"/>
  <c r="D26" i="7" s="1"/>
  <c r="F26" i="7" s="1"/>
  <c r="E1226" i="7"/>
  <c r="F1226" i="7"/>
  <c r="H1226" i="7"/>
  <c r="G1226" i="7"/>
  <c r="B1227" i="7"/>
  <c r="B26" i="7" s="1"/>
  <c r="C26" i="7" s="1"/>
  <c r="H1052" i="7"/>
  <c r="AD215" i="11"/>
  <c r="AB215" i="11"/>
  <c r="Z215" i="11"/>
  <c r="AC215" i="11"/>
  <c r="AE215" i="11"/>
  <c r="AA215" i="11"/>
  <c r="Y215" i="11"/>
  <c r="I1052" i="7"/>
  <c r="N160" i="7"/>
  <c r="D1111" i="7"/>
  <c r="J1136" i="6"/>
  <c r="J598" i="7"/>
  <c r="K598" i="7" s="1"/>
  <c r="J1226" i="6"/>
  <c r="H1227" i="6" s="1"/>
  <c r="F708" i="8"/>
  <c r="F543" i="7"/>
  <c r="G764" i="8"/>
  <c r="B765" i="8" s="1"/>
  <c r="C765" i="8" s="1"/>
  <c r="O490" i="7"/>
  <c r="L490" i="7"/>
  <c r="H323" i="7"/>
  <c r="E323" i="7"/>
  <c r="I1046" i="6"/>
  <c r="I1047" i="6" s="1"/>
  <c r="I1048" i="6" s="1"/>
  <c r="I1049" i="6" s="1"/>
  <c r="I1050" i="6" s="1"/>
  <c r="I1051" i="6" s="1"/>
  <c r="I1052" i="6" s="1"/>
  <c r="I1053" i="6" s="1"/>
  <c r="I1054" i="6" s="1"/>
  <c r="I1055" i="6" s="1"/>
  <c r="I1056" i="6" s="1"/>
  <c r="H1057" i="6" s="1"/>
  <c r="K1014" i="6" s="1"/>
  <c r="L1016" i="6" s="1"/>
  <c r="N653" i="7"/>
  <c r="I654" i="7" s="1"/>
  <c r="J654" i="7" s="1"/>
  <c r="B325" i="8"/>
  <c r="F324" i="8"/>
  <c r="J1460" i="6"/>
  <c r="H1461" i="6" s="1"/>
  <c r="I1461" i="6" s="1"/>
  <c r="G993" i="7"/>
  <c r="K993" i="7"/>
  <c r="F993" i="7"/>
  <c r="E993" i="7"/>
  <c r="C994" i="7"/>
  <c r="J993" i="7"/>
  <c r="I993" i="7"/>
  <c r="H993" i="7"/>
  <c r="B994" i="7" s="1"/>
  <c r="F486" i="8"/>
  <c r="J1041" i="8"/>
  <c r="K1041" i="8" s="1"/>
  <c r="K1111" i="7"/>
  <c r="G1111" i="7"/>
  <c r="F1111" i="7"/>
  <c r="E1111" i="7"/>
  <c r="C1112" i="7"/>
  <c r="J1111" i="7"/>
  <c r="I1111" i="7"/>
  <c r="H1111" i="7"/>
  <c r="B1112" i="7" s="1"/>
  <c r="F157" i="7"/>
  <c r="G762" i="7"/>
  <c r="M653" i="8"/>
  <c r="N378" i="7"/>
  <c r="I379" i="7" s="1"/>
  <c r="J379" i="7" s="1"/>
  <c r="N928" i="7"/>
  <c r="I929" i="7" s="1"/>
  <c r="N818" i="8"/>
  <c r="G214" i="8"/>
  <c r="B215" i="8" s="1"/>
  <c r="O598" i="7"/>
  <c r="N264" i="11"/>
  <c r="M264" i="11"/>
  <c r="R264" i="11" s="1"/>
  <c r="U264" i="11" s="1"/>
  <c r="L264" i="11"/>
  <c r="K264" i="11"/>
  <c r="Q264" i="11" s="1"/>
  <c r="O264" i="11"/>
  <c r="S264" i="11" s="1"/>
  <c r="P264" i="11"/>
  <c r="N708" i="8"/>
  <c r="O324" i="8"/>
  <c r="L324" i="8"/>
  <c r="K324" i="8"/>
  <c r="M324" i="8" s="1"/>
  <c r="H379" i="8"/>
  <c r="D379" i="8"/>
  <c r="E379" i="8"/>
  <c r="K644" i="6"/>
  <c r="L644" i="6" s="1"/>
  <c r="M542" i="8"/>
  <c r="N378" i="8"/>
  <c r="D819" i="7"/>
  <c r="H819" i="7"/>
  <c r="E819" i="7"/>
  <c r="H212" i="12"/>
  <c r="D212" i="12"/>
  <c r="C1039" i="8"/>
  <c r="D1039" i="8" s="1"/>
  <c r="I1094" i="8"/>
  <c r="O269" i="8"/>
  <c r="L269" i="8"/>
  <c r="K269" i="8"/>
  <c r="M269" i="8" s="1"/>
  <c r="B1095" i="8"/>
  <c r="C1095" i="8" s="1"/>
  <c r="E1095" i="8"/>
  <c r="N213" i="12"/>
  <c r="G157" i="7"/>
  <c r="K269" i="7"/>
  <c r="M269" i="7" s="1"/>
  <c r="O269" i="7"/>
  <c r="N364" i="6"/>
  <c r="P364" i="6" s="1"/>
  <c r="N488" i="8"/>
  <c r="K235" i="6"/>
  <c r="M235" i="6" s="1"/>
  <c r="G486" i="8"/>
  <c r="L2910" i="6"/>
  <c r="I268" i="12"/>
  <c r="J268" i="12" s="1"/>
  <c r="P499" i="6"/>
  <c r="M785" i="6"/>
  <c r="K786" i="6" s="1"/>
  <c r="L786" i="6" s="1"/>
  <c r="J215" i="8"/>
  <c r="K215" i="8" s="1"/>
  <c r="O872" i="8"/>
  <c r="L872" i="8"/>
  <c r="N872" i="8" s="1"/>
  <c r="AL267" i="11"/>
  <c r="AJ267" i="11"/>
  <c r="K160" i="12"/>
  <c r="O160" i="12"/>
  <c r="I433" i="7"/>
  <c r="L835" i="6"/>
  <c r="K378" i="8"/>
  <c r="M378" i="8" s="1"/>
  <c r="O378" i="8"/>
  <c r="O542" i="8"/>
  <c r="L542" i="8"/>
  <c r="N542" i="8" s="1"/>
  <c r="G598" i="8"/>
  <c r="I1269" i="6"/>
  <c r="AI267" i="11"/>
  <c r="BL266" i="11"/>
  <c r="AP267" i="11" s="1"/>
  <c r="BT216" i="11"/>
  <c r="BU216" i="11" s="1"/>
  <c r="O709" i="7"/>
  <c r="L709" i="7"/>
  <c r="M323" i="7"/>
  <c r="K542" i="7"/>
  <c r="M542" i="7" s="1"/>
  <c r="O542" i="7"/>
  <c r="K709" i="7"/>
  <c r="P552" i="6"/>
  <c r="N553" i="6" s="1"/>
  <c r="O553" i="6" s="1"/>
  <c r="H709" i="7"/>
  <c r="D709" i="7"/>
  <c r="F709" i="7" s="1"/>
  <c r="B159" i="12"/>
  <c r="C159" i="12" s="1"/>
  <c r="E159" i="12" s="1"/>
  <c r="J159" i="8"/>
  <c r="N271" i="6"/>
  <c r="P271" i="6" s="1"/>
  <c r="G656" i="7"/>
  <c r="K929" i="8"/>
  <c r="M929" i="8" s="1"/>
  <c r="O929" i="8"/>
  <c r="M213" i="7"/>
  <c r="K598" i="8"/>
  <c r="O598" i="8"/>
  <c r="I161" i="7"/>
  <c r="H1137" i="6"/>
  <c r="J1137" i="6" s="1"/>
  <c r="E212" i="12"/>
  <c r="L598" i="8"/>
  <c r="L38" i="9"/>
  <c r="H37" i="9"/>
  <c r="I37" i="9" s="1"/>
  <c r="G488" i="7"/>
  <c r="M160" i="7"/>
  <c r="H905" i="6"/>
  <c r="J905" i="6" s="1"/>
  <c r="J906" i="6" s="1"/>
  <c r="J907" i="6" s="1"/>
  <c r="J908" i="6" s="1"/>
  <c r="J909" i="6" s="1"/>
  <c r="J910" i="6" s="1"/>
  <c r="J911" i="6" s="1"/>
  <c r="J912" i="6" s="1"/>
  <c r="J913" i="6" s="1"/>
  <c r="J914" i="6" s="1"/>
  <c r="J915" i="6" s="1"/>
  <c r="I1088" i="6"/>
  <c r="B434" i="8"/>
  <c r="C434" i="8" s="1"/>
  <c r="E434" i="8" s="1"/>
  <c r="K433" i="8"/>
  <c r="O433" i="8"/>
  <c r="I324" i="7"/>
  <c r="N128" i="6"/>
  <c r="O128" i="6" s="1"/>
  <c r="BF216" i="11"/>
  <c r="BE216" i="11"/>
  <c r="BJ216" i="11"/>
  <c r="BI216" i="11"/>
  <c r="BH216" i="11"/>
  <c r="BG216" i="11"/>
  <c r="BK216" i="11"/>
  <c r="B763" i="7"/>
  <c r="L875" i="7"/>
  <c r="N875" i="7" s="1"/>
  <c r="O875" i="7"/>
  <c r="I654" i="8"/>
  <c r="J654" i="8" s="1"/>
  <c r="J621" i="6"/>
  <c r="H622" i="6" s="1"/>
  <c r="I622" i="6" s="1"/>
  <c r="I1507" i="6"/>
  <c r="K490" i="7"/>
  <c r="G708" i="8"/>
  <c r="K928" i="6"/>
  <c r="M928" i="6" s="1"/>
  <c r="B267" i="8"/>
  <c r="C267" i="8" s="1"/>
  <c r="E267" i="8" s="1"/>
  <c r="H268" i="12"/>
  <c r="C432" i="7"/>
  <c r="N320" i="6"/>
  <c r="P320" i="6" s="1"/>
  <c r="F214" i="8"/>
  <c r="F762" i="7"/>
  <c r="J1431" i="6"/>
  <c r="H1432" i="6" s="1"/>
  <c r="I1432" i="6" s="1"/>
  <c r="M46" i="10"/>
  <c r="I46" i="10" s="1"/>
  <c r="E268" i="12"/>
  <c r="G268" i="12" s="1"/>
  <c r="B819" i="8"/>
  <c r="C819" i="8" s="1"/>
  <c r="E819" i="8"/>
  <c r="M928" i="7"/>
  <c r="G874" i="7"/>
  <c r="N321" i="12"/>
  <c r="I983" i="8"/>
  <c r="J983" i="8" s="1"/>
  <c r="I763" i="7"/>
  <c r="J763" i="7" s="1"/>
  <c r="L763" i="7" s="1"/>
  <c r="G543" i="7"/>
  <c r="O708" i="8"/>
  <c r="K708" i="8"/>
  <c r="M708" i="8" s="1"/>
  <c r="H378" i="7"/>
  <c r="D378" i="7"/>
  <c r="F378" i="7" s="1"/>
  <c r="B543" i="8"/>
  <c r="C543" i="8" s="1"/>
  <c r="L763" i="8"/>
  <c r="O763" i="8"/>
  <c r="G598" i="7"/>
  <c r="K740" i="6"/>
  <c r="M740" i="6" s="1"/>
  <c r="P413" i="6"/>
  <c r="L160" i="12"/>
  <c r="N453" i="6"/>
  <c r="O453" i="6" s="1"/>
  <c r="I819" i="8"/>
  <c r="J819" i="8" s="1"/>
  <c r="L433" i="8"/>
  <c r="N433" i="8" s="1"/>
  <c r="I818" i="7"/>
  <c r="J818" i="7" s="1"/>
  <c r="H1377" i="6"/>
  <c r="J1377" i="6" s="1"/>
  <c r="J1334" i="6"/>
  <c r="H214" i="7"/>
  <c r="D214" i="7"/>
  <c r="F214" i="7" s="1"/>
  <c r="G654" i="8"/>
  <c r="J717" i="6"/>
  <c r="J718" i="6" s="1"/>
  <c r="J719" i="6" s="1"/>
  <c r="J720" i="6" s="1"/>
  <c r="J721" i="6" s="1"/>
  <c r="J722" i="6" s="1"/>
  <c r="J723" i="6" s="1"/>
  <c r="J724" i="6" s="1"/>
  <c r="J725" i="6" s="1"/>
  <c r="J726" i="6" s="1"/>
  <c r="J727" i="6" s="1"/>
  <c r="H728" i="6" s="1"/>
  <c r="K685" i="6" s="1"/>
  <c r="B984" i="8"/>
  <c r="C984" i="8" s="1"/>
  <c r="E984" i="8"/>
  <c r="H928" i="7"/>
  <c r="D928" i="7"/>
  <c r="F928" i="7" s="1"/>
  <c r="I214" i="7"/>
  <c r="E875" i="8"/>
  <c r="G875" i="8" s="1"/>
  <c r="H875" i="8"/>
  <c r="D323" i="7"/>
  <c r="F323" i="7" s="1"/>
  <c r="I1179" i="6"/>
  <c r="G322" i="12"/>
  <c r="M432" i="7"/>
  <c r="M973" i="6"/>
  <c r="B157" i="8"/>
  <c r="C157" i="8" s="1"/>
  <c r="M643" i="6"/>
  <c r="G269" i="7"/>
  <c r="K763" i="8"/>
  <c r="P171" i="6"/>
  <c r="N172" i="6" s="1"/>
  <c r="O172" i="6" s="1"/>
  <c r="M1093" i="8"/>
  <c r="G927" i="8"/>
  <c r="J1227" i="6" l="1"/>
  <c r="I1227" i="6"/>
  <c r="D216" i="11"/>
  <c r="C325" i="8"/>
  <c r="H325" i="8" s="1"/>
  <c r="B1053" i="7"/>
  <c r="D1053" i="7"/>
  <c r="M490" i="7"/>
  <c r="L598" i="7"/>
  <c r="N598" i="7" s="1"/>
  <c r="I599" i="7" s="1"/>
  <c r="G216" i="11"/>
  <c r="G323" i="7"/>
  <c r="B324" i="7" s="1"/>
  <c r="C324" i="7" s="1"/>
  <c r="H324" i="7" s="1"/>
  <c r="D1112" i="7"/>
  <c r="G378" i="7"/>
  <c r="F268" i="12"/>
  <c r="G214" i="7"/>
  <c r="B215" i="7" s="1"/>
  <c r="C215" i="7" s="1"/>
  <c r="N598" i="8"/>
  <c r="G819" i="7"/>
  <c r="B820" i="7" s="1"/>
  <c r="C216" i="11"/>
  <c r="AF215" i="11"/>
  <c r="J216" i="11" s="1"/>
  <c r="BZ216" i="11"/>
  <c r="BW216" i="11"/>
  <c r="CC216" i="11" s="1"/>
  <c r="BX216" i="11"/>
  <c r="BY216" i="11"/>
  <c r="CD216" i="11" s="1"/>
  <c r="CG216" i="11" s="1"/>
  <c r="CA216" i="11"/>
  <c r="CE216" i="11" s="1"/>
  <c r="CB216" i="11"/>
  <c r="K654" i="7"/>
  <c r="O654" i="7"/>
  <c r="C1113" i="7"/>
  <c r="J1112" i="7"/>
  <c r="F1112" i="7"/>
  <c r="K1112" i="7"/>
  <c r="I1112" i="7"/>
  <c r="H1112" i="7"/>
  <c r="B1113" i="7" s="1"/>
  <c r="G1112" i="7"/>
  <c r="D1113" i="7" s="1"/>
  <c r="E1112" i="7"/>
  <c r="L1041" i="8"/>
  <c r="N1041" i="8" s="1"/>
  <c r="I1042" i="8" s="1"/>
  <c r="J1461" i="6"/>
  <c r="O1041" i="8"/>
  <c r="AK267" i="11"/>
  <c r="D994" i="7"/>
  <c r="M709" i="7"/>
  <c r="M160" i="12"/>
  <c r="G212" i="12"/>
  <c r="B213" i="12" s="1"/>
  <c r="AM267" i="11"/>
  <c r="N763" i="8"/>
  <c r="I764" i="8" s="1"/>
  <c r="G709" i="7"/>
  <c r="B710" i="7" s="1"/>
  <c r="C710" i="7" s="1"/>
  <c r="H710" i="7" s="1"/>
  <c r="N269" i="7"/>
  <c r="I270" i="7" s="1"/>
  <c r="J270" i="7" s="1"/>
  <c r="G379" i="8"/>
  <c r="B380" i="8" s="1"/>
  <c r="D325" i="8"/>
  <c r="L819" i="8"/>
  <c r="O819" i="8"/>
  <c r="K819" i="8"/>
  <c r="M819" i="8" s="1"/>
  <c r="H1462" i="6"/>
  <c r="I1462" i="6" s="1"/>
  <c r="H623" i="6"/>
  <c r="I623" i="6" s="1"/>
  <c r="I624" i="6" s="1"/>
  <c r="I625" i="6" s="1"/>
  <c r="I626" i="6" s="1"/>
  <c r="I627" i="6" s="1"/>
  <c r="I628" i="6" s="1"/>
  <c r="I629" i="6" s="1"/>
  <c r="I630" i="6" s="1"/>
  <c r="I631" i="6" s="1"/>
  <c r="I632" i="6" s="1"/>
  <c r="I633" i="6" s="1"/>
  <c r="O379" i="7"/>
  <c r="K379" i="7"/>
  <c r="L379" i="7"/>
  <c r="N379" i="7" s="1"/>
  <c r="D765" i="8"/>
  <c r="H765" i="8"/>
  <c r="E765" i="8"/>
  <c r="G765" i="8" s="1"/>
  <c r="O654" i="8"/>
  <c r="K654" i="8"/>
  <c r="L654" i="8"/>
  <c r="L687" i="6"/>
  <c r="B379" i="7"/>
  <c r="C379" i="7" s="1"/>
  <c r="N160" i="12"/>
  <c r="H267" i="8"/>
  <c r="D267" i="8"/>
  <c r="F267" i="8" s="1"/>
  <c r="B599" i="7"/>
  <c r="C599" i="7" s="1"/>
  <c r="E599" i="7"/>
  <c r="B657" i="7"/>
  <c r="C657" i="7" s="1"/>
  <c r="E657" i="7" s="1"/>
  <c r="B323" i="12"/>
  <c r="C323" i="12" s="1"/>
  <c r="E323" i="12" s="1"/>
  <c r="K2911" i="6"/>
  <c r="M2911" i="6" s="1"/>
  <c r="O159" i="8"/>
  <c r="L159" i="8"/>
  <c r="P172" i="6"/>
  <c r="J1335" i="6"/>
  <c r="E432" i="7"/>
  <c r="G432" i="7" s="1"/>
  <c r="H432" i="7"/>
  <c r="AJ217" i="11"/>
  <c r="L235" i="6"/>
  <c r="T264" i="11"/>
  <c r="V264" i="11" s="1"/>
  <c r="I489" i="8"/>
  <c r="J489" i="8" s="1"/>
  <c r="L489" i="8" s="1"/>
  <c r="L654" i="7"/>
  <c r="M644" i="6"/>
  <c r="K645" i="6" s="1"/>
  <c r="L645" i="6" s="1"/>
  <c r="I434" i="8"/>
  <c r="J929" i="7"/>
  <c r="M598" i="8"/>
  <c r="K836" i="6"/>
  <c r="M836" i="6" s="1"/>
  <c r="N500" i="6"/>
  <c r="O500" i="6" s="1"/>
  <c r="O364" i="6"/>
  <c r="H157" i="8"/>
  <c r="D157" i="8"/>
  <c r="I709" i="8"/>
  <c r="P453" i="6"/>
  <c r="N454" i="6" s="1"/>
  <c r="O454" i="6" s="1"/>
  <c r="B544" i="7"/>
  <c r="C544" i="7" s="1"/>
  <c r="E544" i="7" s="1"/>
  <c r="N46" i="10"/>
  <c r="H46" i="10" s="1"/>
  <c r="K46" i="10" s="1"/>
  <c r="K763" i="7"/>
  <c r="M763" i="7" s="1"/>
  <c r="O763" i="7"/>
  <c r="B158" i="7"/>
  <c r="C158" i="7" s="1"/>
  <c r="E158" i="7" s="1"/>
  <c r="C763" i="7"/>
  <c r="I1137" i="6"/>
  <c r="O271" i="6"/>
  <c r="F819" i="7"/>
  <c r="K983" i="8"/>
  <c r="O983" i="8"/>
  <c r="B487" i="8"/>
  <c r="C487" i="8" s="1"/>
  <c r="E487" i="8" s="1"/>
  <c r="B655" i="8"/>
  <c r="C655" i="8" s="1"/>
  <c r="E655" i="8" s="1"/>
  <c r="L983" i="8"/>
  <c r="H1095" i="8"/>
  <c r="D1095" i="8"/>
  <c r="F1095" i="8" s="1"/>
  <c r="P128" i="6"/>
  <c r="N129" i="6" s="1"/>
  <c r="O129" i="6" s="1"/>
  <c r="B928" i="8"/>
  <c r="C928" i="8" s="1"/>
  <c r="L928" i="6"/>
  <c r="N709" i="7"/>
  <c r="H1039" i="8"/>
  <c r="E1039" i="8"/>
  <c r="G1039" i="8" s="1"/>
  <c r="H543" i="8"/>
  <c r="D543" i="8"/>
  <c r="F543" i="8" s="1"/>
  <c r="K818" i="7"/>
  <c r="O818" i="7"/>
  <c r="D432" i="7"/>
  <c r="N490" i="7"/>
  <c r="L818" i="7"/>
  <c r="B489" i="7"/>
  <c r="C489" i="7" s="1"/>
  <c r="E489" i="7"/>
  <c r="H1508" i="6"/>
  <c r="J1508" i="6" s="1"/>
  <c r="M38" i="9"/>
  <c r="P38" i="9" s="1"/>
  <c r="J214" i="7"/>
  <c r="O268" i="12"/>
  <c r="K268" i="12"/>
  <c r="N269" i="8"/>
  <c r="F212" i="12"/>
  <c r="M872" i="8"/>
  <c r="H1270" i="6"/>
  <c r="J1270" i="6" s="1"/>
  <c r="I214" i="12"/>
  <c r="J214" i="12" s="1"/>
  <c r="L214" i="12" s="1"/>
  <c r="H984" i="8"/>
  <c r="D984" i="8"/>
  <c r="F984" i="8" s="1"/>
  <c r="H1180" i="6"/>
  <c r="J1180" i="6" s="1"/>
  <c r="I379" i="8"/>
  <c r="J379" i="8" s="1"/>
  <c r="K379" i="8" s="1"/>
  <c r="J324" i="7"/>
  <c r="B599" i="8"/>
  <c r="C599" i="8" s="1"/>
  <c r="H1228" i="6"/>
  <c r="J1228" i="6" s="1"/>
  <c r="M1016" i="6"/>
  <c r="K1017" i="6" s="1"/>
  <c r="L1017" i="6" s="1"/>
  <c r="B876" i="8"/>
  <c r="B709" i="8"/>
  <c r="C709" i="8" s="1"/>
  <c r="E709" i="8" s="1"/>
  <c r="O215" i="8"/>
  <c r="L215" i="8"/>
  <c r="N215" i="8" s="1"/>
  <c r="N324" i="8"/>
  <c r="I1377" i="6"/>
  <c r="D159" i="12"/>
  <c r="F159" i="12" s="1"/>
  <c r="H159" i="12"/>
  <c r="I322" i="12"/>
  <c r="J322" i="12" s="1"/>
  <c r="L322" i="12"/>
  <c r="J161" i="7"/>
  <c r="M786" i="6"/>
  <c r="K787" i="6" s="1"/>
  <c r="L787" i="6" s="1"/>
  <c r="B875" i="7"/>
  <c r="C875" i="7" s="1"/>
  <c r="J709" i="8"/>
  <c r="O709" i="8" s="1"/>
  <c r="D819" i="8"/>
  <c r="F819" i="8" s="1"/>
  <c r="H819" i="8"/>
  <c r="J622" i="6"/>
  <c r="O38" i="9"/>
  <c r="P553" i="6"/>
  <c r="L268" i="12"/>
  <c r="F875" i="8"/>
  <c r="I599" i="8"/>
  <c r="D434" i="8"/>
  <c r="F434" i="8" s="1"/>
  <c r="H434" i="8"/>
  <c r="AN267" i="11"/>
  <c r="J433" i="7"/>
  <c r="J1432" i="6"/>
  <c r="H1433" i="6" s="1"/>
  <c r="K1390" i="6" s="1"/>
  <c r="N929" i="8"/>
  <c r="H1089" i="6"/>
  <c r="J1089" i="6" s="1"/>
  <c r="I876" i="7"/>
  <c r="F379" i="8"/>
  <c r="C215" i="8"/>
  <c r="D215" i="8" s="1"/>
  <c r="K159" i="8"/>
  <c r="M159" i="8" s="1"/>
  <c r="I873" i="8"/>
  <c r="I543" i="8"/>
  <c r="J543" i="8" s="1"/>
  <c r="J1094" i="8"/>
  <c r="O320" i="6"/>
  <c r="I905" i="6"/>
  <c r="I906" i="6" s="1"/>
  <c r="I907" i="6" s="1"/>
  <c r="I908" i="6" s="1"/>
  <c r="I909" i="6" s="1"/>
  <c r="I910" i="6" s="1"/>
  <c r="I911" i="6" s="1"/>
  <c r="I912" i="6" s="1"/>
  <c r="I913" i="6" s="1"/>
  <c r="I914" i="6" s="1"/>
  <c r="I915" i="6" s="1"/>
  <c r="H916" i="6" s="1"/>
  <c r="K873" i="6" s="1"/>
  <c r="N542" i="7"/>
  <c r="N414" i="6"/>
  <c r="O414" i="6" s="1"/>
  <c r="M763" i="8"/>
  <c r="E543" i="8"/>
  <c r="B270" i="7"/>
  <c r="C270" i="7" s="1"/>
  <c r="E270" i="7"/>
  <c r="H1335" i="6"/>
  <c r="I1335" i="6" s="1"/>
  <c r="E157" i="8"/>
  <c r="L740" i="6"/>
  <c r="B269" i="12"/>
  <c r="C269" i="12" s="1"/>
  <c r="E269" i="12" s="1"/>
  <c r="G928" i="7"/>
  <c r="AI217" i="11"/>
  <c r="BL216" i="11"/>
  <c r="AP217" i="11" s="1"/>
  <c r="M433" i="8"/>
  <c r="M875" i="7"/>
  <c r="K974" i="6"/>
  <c r="L974" i="6" s="1"/>
  <c r="H1053" i="7" l="1"/>
  <c r="B1054" i="7" s="1"/>
  <c r="K1053" i="7"/>
  <c r="E1053" i="7"/>
  <c r="G1053" i="7"/>
  <c r="D1054" i="7" s="1"/>
  <c r="J1053" i="7"/>
  <c r="C1054" i="7"/>
  <c r="F1053" i="7"/>
  <c r="I1053" i="7"/>
  <c r="M983" i="8"/>
  <c r="E216" i="11"/>
  <c r="M598" i="7"/>
  <c r="J599" i="7" s="1"/>
  <c r="CF216" i="11"/>
  <c r="CI216" i="11" s="1"/>
  <c r="F216" i="11"/>
  <c r="G1095" i="8"/>
  <c r="M1041" i="8"/>
  <c r="E325" i="8"/>
  <c r="G325" i="8" s="1"/>
  <c r="B326" i="8" s="1"/>
  <c r="D215" i="7"/>
  <c r="E215" i="7"/>
  <c r="H215" i="7"/>
  <c r="I1113" i="7"/>
  <c r="E1113" i="7"/>
  <c r="J1113" i="7"/>
  <c r="H1113" i="7"/>
  <c r="B1114" i="7" s="1"/>
  <c r="K1113" i="7"/>
  <c r="G1113" i="7"/>
  <c r="C1114" i="7"/>
  <c r="D1114" i="7" s="1"/>
  <c r="F1113" i="7"/>
  <c r="P500" i="6"/>
  <c r="N501" i="6" s="1"/>
  <c r="O501" i="6" s="1"/>
  <c r="AO267" i="11"/>
  <c r="AV267" i="11" s="1"/>
  <c r="J1462" i="6"/>
  <c r="H1463" i="6" s="1"/>
  <c r="J994" i="7"/>
  <c r="G994" i="7"/>
  <c r="F994" i="7"/>
  <c r="E994" i="7"/>
  <c r="H994" i="7"/>
  <c r="I994" i="7"/>
  <c r="C995" i="7"/>
  <c r="K994" i="7"/>
  <c r="M379" i="7"/>
  <c r="N818" i="7"/>
  <c r="X264" i="11"/>
  <c r="AL217" i="11"/>
  <c r="G819" i="8"/>
  <c r="B820" i="8" s="1"/>
  <c r="C820" i="8" s="1"/>
  <c r="N654" i="7"/>
  <c r="I655" i="7" s="1"/>
  <c r="G267" i="8"/>
  <c r="P414" i="6"/>
  <c r="N415" i="6" s="1"/>
  <c r="F157" i="8"/>
  <c r="W264" i="11"/>
  <c r="M654" i="8"/>
  <c r="F325" i="8"/>
  <c r="C326" i="8" s="1"/>
  <c r="I1228" i="6"/>
  <c r="H1229" i="6" s="1"/>
  <c r="I1229" i="6" s="1"/>
  <c r="M974" i="6"/>
  <c r="AK217" i="11"/>
  <c r="N268" i="12"/>
  <c r="I269" i="12" s="1"/>
  <c r="L1392" i="6"/>
  <c r="K270" i="7"/>
  <c r="O270" i="7"/>
  <c r="L270" i="7"/>
  <c r="H379" i="7"/>
  <c r="E379" i="7"/>
  <c r="D379" i="7"/>
  <c r="K543" i="8"/>
  <c r="O543" i="8"/>
  <c r="L543" i="8"/>
  <c r="J434" i="8"/>
  <c r="C380" i="8"/>
  <c r="K709" i="8"/>
  <c r="L2911" i="6"/>
  <c r="D599" i="8"/>
  <c r="F599" i="8" s="1"/>
  <c r="H599" i="8"/>
  <c r="N38" i="9"/>
  <c r="Q38" i="9" s="1"/>
  <c r="R38" i="9" s="1"/>
  <c r="I161" i="12"/>
  <c r="J161" i="12" s="1"/>
  <c r="L161" i="12" s="1"/>
  <c r="H875" i="7"/>
  <c r="D875" i="7"/>
  <c r="L47" i="10"/>
  <c r="J47" i="10"/>
  <c r="O214" i="12"/>
  <c r="K214" i="12"/>
  <c r="M214" i="12" s="1"/>
  <c r="N321" i="6"/>
  <c r="P321" i="6" s="1"/>
  <c r="L433" i="7"/>
  <c r="O433" i="7"/>
  <c r="B1040" i="8"/>
  <c r="B433" i="7"/>
  <c r="E599" i="8"/>
  <c r="D710" i="7"/>
  <c r="B929" i="7"/>
  <c r="C929" i="7" s="1"/>
  <c r="I1089" i="6"/>
  <c r="L324" i="7"/>
  <c r="O324" i="7"/>
  <c r="L214" i="7"/>
  <c r="O214" i="7"/>
  <c r="K214" i="7"/>
  <c r="M214" i="7" s="1"/>
  <c r="L1094" i="8"/>
  <c r="O1094" i="8"/>
  <c r="K433" i="7"/>
  <c r="H1336" i="6"/>
  <c r="I1336" i="6" s="1"/>
  <c r="K1094" i="8"/>
  <c r="M1094" i="8" s="1"/>
  <c r="C876" i="8"/>
  <c r="N214" i="12"/>
  <c r="G270" i="7"/>
  <c r="D269" i="12"/>
  <c r="F269" i="12" s="1"/>
  <c r="E875" i="7"/>
  <c r="J599" i="8"/>
  <c r="H269" i="12"/>
  <c r="I1508" i="6"/>
  <c r="C820" i="7"/>
  <c r="D820" i="7" s="1"/>
  <c r="AM217" i="11"/>
  <c r="F1039" i="8"/>
  <c r="G543" i="8"/>
  <c r="J873" i="8"/>
  <c r="J764" i="8"/>
  <c r="K764" i="8" s="1"/>
  <c r="C213" i="12"/>
  <c r="I819" i="7"/>
  <c r="D599" i="7"/>
  <c r="F599" i="7" s="1"/>
  <c r="H599" i="7"/>
  <c r="B268" i="8"/>
  <c r="C268" i="8" s="1"/>
  <c r="D268" i="8" s="1"/>
  <c r="J876" i="7"/>
  <c r="I543" i="7"/>
  <c r="J543" i="7" s="1"/>
  <c r="L543" i="7" s="1"/>
  <c r="E710" i="7"/>
  <c r="I491" i="7"/>
  <c r="J491" i="7" s="1"/>
  <c r="L491" i="7" s="1"/>
  <c r="H763" i="7"/>
  <c r="E763" i="7"/>
  <c r="K236" i="6"/>
  <c r="M236" i="6" s="1"/>
  <c r="N654" i="8"/>
  <c r="N819" i="8"/>
  <c r="K324" i="7"/>
  <c r="I710" i="7"/>
  <c r="J710" i="7" s="1"/>
  <c r="L710" i="7" s="1"/>
  <c r="G215" i="7"/>
  <c r="I1270" i="6"/>
  <c r="K929" i="6"/>
  <c r="M929" i="6" s="1"/>
  <c r="D928" i="8"/>
  <c r="H928" i="8"/>
  <c r="L709" i="8"/>
  <c r="L379" i="8"/>
  <c r="N379" i="8" s="1"/>
  <c r="E928" i="8"/>
  <c r="K975" i="6"/>
  <c r="L975" i="6" s="1"/>
  <c r="I270" i="8"/>
  <c r="J270" i="8" s="1"/>
  <c r="L875" i="6"/>
  <c r="J623" i="6"/>
  <c r="J624" i="6" s="1"/>
  <c r="J625" i="6" s="1"/>
  <c r="J626" i="6" s="1"/>
  <c r="J627" i="6" s="1"/>
  <c r="J628" i="6" s="1"/>
  <c r="J629" i="6" s="1"/>
  <c r="J630" i="6" s="1"/>
  <c r="J631" i="6" s="1"/>
  <c r="J632" i="6" s="1"/>
  <c r="J633" i="6" s="1"/>
  <c r="H634" i="6" s="1"/>
  <c r="K591" i="6" s="1"/>
  <c r="I1180" i="6"/>
  <c r="M268" i="12"/>
  <c r="F432" i="7"/>
  <c r="N983" i="8"/>
  <c r="D763" i="7"/>
  <c r="O379" i="8"/>
  <c r="N159" i="8"/>
  <c r="I380" i="7"/>
  <c r="N173" i="6"/>
  <c r="O173" i="6" s="1"/>
  <c r="H544" i="7"/>
  <c r="D544" i="7"/>
  <c r="F544" i="7" s="1"/>
  <c r="M787" i="6"/>
  <c r="P454" i="6"/>
  <c r="O929" i="7"/>
  <c r="L929" i="7"/>
  <c r="H657" i="7"/>
  <c r="D657" i="7"/>
  <c r="F657" i="7" s="1"/>
  <c r="K741" i="6"/>
  <c r="M741" i="6" s="1"/>
  <c r="D489" i="7"/>
  <c r="F489" i="7" s="1"/>
  <c r="H489" i="7"/>
  <c r="G434" i="8"/>
  <c r="O322" i="12"/>
  <c r="K322" i="12"/>
  <c r="M322" i="12" s="1"/>
  <c r="D324" i="7"/>
  <c r="F324" i="7" s="1"/>
  <c r="F765" i="8"/>
  <c r="G157" i="8"/>
  <c r="H215" i="8"/>
  <c r="E215" i="8"/>
  <c r="G215" i="8" s="1"/>
  <c r="M1017" i="6"/>
  <c r="K1018" i="6" s="1"/>
  <c r="L1018" i="6" s="1"/>
  <c r="J1042" i="8"/>
  <c r="K1042" i="8" s="1"/>
  <c r="G984" i="8"/>
  <c r="N365" i="6"/>
  <c r="P365" i="6" s="1"/>
  <c r="M645" i="6"/>
  <c r="K646" i="6" s="1"/>
  <c r="L646" i="6" s="1"/>
  <c r="M215" i="8"/>
  <c r="D487" i="8"/>
  <c r="F487" i="8" s="1"/>
  <c r="H487" i="8"/>
  <c r="H1378" i="6"/>
  <c r="J1378" i="6" s="1"/>
  <c r="I325" i="8"/>
  <c r="J325" i="8" s="1"/>
  <c r="L325" i="8" s="1"/>
  <c r="L836" i="6"/>
  <c r="I216" i="8"/>
  <c r="M687" i="6"/>
  <c r="D323" i="12"/>
  <c r="F323" i="12" s="1"/>
  <c r="H323" i="12"/>
  <c r="H709" i="8"/>
  <c r="D709" i="8"/>
  <c r="F709" i="8" s="1"/>
  <c r="H270" i="7"/>
  <c r="D270" i="7"/>
  <c r="F270" i="7" s="1"/>
  <c r="I930" i="8"/>
  <c r="J930" i="8" s="1"/>
  <c r="L930" i="8"/>
  <c r="K489" i="8"/>
  <c r="M489" i="8" s="1"/>
  <c r="O489" i="8"/>
  <c r="N272" i="6"/>
  <c r="P272" i="6" s="1"/>
  <c r="O161" i="7"/>
  <c r="L161" i="7"/>
  <c r="G657" i="7"/>
  <c r="N763" i="7"/>
  <c r="K161" i="7"/>
  <c r="H1138" i="6"/>
  <c r="J1138" i="6" s="1"/>
  <c r="K929" i="7"/>
  <c r="B766" i="8"/>
  <c r="B1096" i="8"/>
  <c r="C1096" i="8" s="1"/>
  <c r="P129" i="6"/>
  <c r="N554" i="6"/>
  <c r="O554" i="6" s="1"/>
  <c r="S38" i="9"/>
  <c r="E324" i="7"/>
  <c r="M818" i="7"/>
  <c r="H655" i="8"/>
  <c r="D655" i="8"/>
  <c r="F655" i="8" s="1"/>
  <c r="D158" i="7"/>
  <c r="F158" i="7" s="1"/>
  <c r="H158" i="7"/>
  <c r="M654" i="7"/>
  <c r="G159" i="12"/>
  <c r="O599" i="7" l="1"/>
  <c r="L599" i="7"/>
  <c r="F1054" i="7"/>
  <c r="J1054" i="7"/>
  <c r="G1054" i="7"/>
  <c r="I1054" i="7"/>
  <c r="C1055" i="7"/>
  <c r="K1054" i="7"/>
  <c r="E1054" i="7"/>
  <c r="H1054" i="7"/>
  <c r="B1055" i="7" s="1"/>
  <c r="M216" i="11"/>
  <c r="R216" i="11" s="1"/>
  <c r="N216" i="11"/>
  <c r="CJ216" i="11"/>
  <c r="CS216" i="11" s="1"/>
  <c r="CO216" i="11" s="1"/>
  <c r="P173" i="6"/>
  <c r="N174" i="6" s="1"/>
  <c r="P174" i="6" s="1"/>
  <c r="M270" i="7"/>
  <c r="CH216" i="11"/>
  <c r="K599" i="7"/>
  <c r="F875" i="7"/>
  <c r="G487" i="8"/>
  <c r="M975" i="6"/>
  <c r="K976" i="6" s="1"/>
  <c r="L976" i="6" s="1"/>
  <c r="H216" i="11"/>
  <c r="I216" i="11" s="1"/>
  <c r="L216" i="11"/>
  <c r="K216" i="11"/>
  <c r="Q216" i="11" s="1"/>
  <c r="J380" i="7"/>
  <c r="O380" i="7" s="1"/>
  <c r="AN217" i="11"/>
  <c r="AO217" i="11" s="1"/>
  <c r="M929" i="7"/>
  <c r="G928" i="8"/>
  <c r="F379" i="7"/>
  <c r="O415" i="6"/>
  <c r="N416" i="6" s="1"/>
  <c r="P415" i="6"/>
  <c r="I1463" i="6"/>
  <c r="J1463" i="6"/>
  <c r="B995" i="7"/>
  <c r="F215" i="8"/>
  <c r="AU267" i="11"/>
  <c r="AY267" i="11" s="1"/>
  <c r="BD267" i="11" s="1"/>
  <c r="D995" i="7"/>
  <c r="AR267" i="11"/>
  <c r="AS267" i="11"/>
  <c r="AX267" i="11" s="1"/>
  <c r="AT267" i="11"/>
  <c r="M709" i="8"/>
  <c r="AQ267" i="11"/>
  <c r="AW267" i="11" s="1"/>
  <c r="AZ267" i="11" s="1"/>
  <c r="AG264" i="11"/>
  <c r="G544" i="7"/>
  <c r="B545" i="7" s="1"/>
  <c r="C545" i="7" s="1"/>
  <c r="D326" i="8"/>
  <c r="H326" i="8"/>
  <c r="E326" i="8"/>
  <c r="G326" i="8" s="1"/>
  <c r="B327" i="8" s="1"/>
  <c r="F1114" i="7"/>
  <c r="J1114" i="7"/>
  <c r="C1115" i="7" s="1"/>
  <c r="D24" i="7" s="1"/>
  <c r="K1114" i="7"/>
  <c r="D1115" i="7" s="1"/>
  <c r="E24" i="7" s="1"/>
  <c r="I1114" i="7"/>
  <c r="G1114" i="7"/>
  <c r="E1114" i="7"/>
  <c r="H1114" i="7"/>
  <c r="B1115" i="7"/>
  <c r="B24" i="7" s="1"/>
  <c r="G158" i="7"/>
  <c r="B159" i="7" s="1"/>
  <c r="C159" i="7" s="1"/>
  <c r="F763" i="7"/>
  <c r="G710" i="7"/>
  <c r="N433" i="7"/>
  <c r="I434" i="7" s="1"/>
  <c r="G489" i="7"/>
  <c r="B490" i="7" s="1"/>
  <c r="C490" i="7" s="1"/>
  <c r="M161" i="7"/>
  <c r="N324" i="7"/>
  <c r="I325" i="7" s="1"/>
  <c r="N543" i="8"/>
  <c r="I544" i="8" s="1"/>
  <c r="F215" i="7"/>
  <c r="H1096" i="8"/>
  <c r="D1096" i="8"/>
  <c r="E1096" i="8"/>
  <c r="G38" i="9"/>
  <c r="F38" i="9"/>
  <c r="E38" i="9"/>
  <c r="D820" i="8"/>
  <c r="H820" i="8"/>
  <c r="E820" i="8"/>
  <c r="G820" i="8" s="1"/>
  <c r="L593" i="6"/>
  <c r="F268" i="8"/>
  <c r="I820" i="8"/>
  <c r="J820" i="8" s="1"/>
  <c r="L820" i="8"/>
  <c r="C766" i="8"/>
  <c r="B929" i="8"/>
  <c r="M47" i="10"/>
  <c r="I47" i="10" s="1"/>
  <c r="E268" i="8"/>
  <c r="G268" i="8" s="1"/>
  <c r="H876" i="8"/>
  <c r="E876" i="8"/>
  <c r="J819" i="7"/>
  <c r="K819" i="7" s="1"/>
  <c r="N709" i="8"/>
  <c r="J1229" i="6"/>
  <c r="H1230" i="6" s="1"/>
  <c r="I1230" i="6" s="1"/>
  <c r="E380" i="8"/>
  <c r="H380" i="8"/>
  <c r="O270" i="8"/>
  <c r="K270" i="8"/>
  <c r="L434" i="8"/>
  <c r="O434" i="8"/>
  <c r="L929" i="6"/>
  <c r="K2912" i="6"/>
  <c r="M2912" i="6" s="1"/>
  <c r="H1090" i="6"/>
  <c r="J1090" i="6" s="1"/>
  <c r="G655" i="8"/>
  <c r="I764" i="7"/>
  <c r="J764" i="7" s="1"/>
  <c r="I1378" i="6"/>
  <c r="M1018" i="6"/>
  <c r="L741" i="6"/>
  <c r="I160" i="8"/>
  <c r="J160" i="8" s="1"/>
  <c r="L160" i="8" s="1"/>
  <c r="B216" i="7"/>
  <c r="O599" i="8"/>
  <c r="L599" i="8"/>
  <c r="M433" i="7"/>
  <c r="D929" i="7"/>
  <c r="H929" i="7"/>
  <c r="M543" i="8"/>
  <c r="M1392" i="6"/>
  <c r="O876" i="7"/>
  <c r="L876" i="7"/>
  <c r="O272" i="6"/>
  <c r="L873" i="8"/>
  <c r="O873" i="8"/>
  <c r="P501" i="6"/>
  <c r="N502" i="6" s="1"/>
  <c r="O502" i="6" s="1"/>
  <c r="N214" i="7"/>
  <c r="G763" i="7"/>
  <c r="D380" i="8"/>
  <c r="I1138" i="6"/>
  <c r="L270" i="8"/>
  <c r="H1509" i="6"/>
  <c r="J1509" i="6" s="1"/>
  <c r="L1042" i="8"/>
  <c r="N1042" i="8" s="1"/>
  <c r="O1042" i="8"/>
  <c r="O321" i="6"/>
  <c r="H268" i="8"/>
  <c r="B658" i="7"/>
  <c r="C658" i="7" s="1"/>
  <c r="M875" i="6"/>
  <c r="B711" i="7"/>
  <c r="E213" i="12"/>
  <c r="H213" i="12"/>
  <c r="K599" i="8"/>
  <c r="E929" i="7"/>
  <c r="G709" i="8"/>
  <c r="B158" i="8"/>
  <c r="C158" i="8" s="1"/>
  <c r="K380" i="7"/>
  <c r="I655" i="8"/>
  <c r="J655" i="8" s="1"/>
  <c r="L655" i="8"/>
  <c r="G269" i="12"/>
  <c r="J269" i="12"/>
  <c r="G379" i="7"/>
  <c r="M646" i="6"/>
  <c r="K647" i="6" s="1"/>
  <c r="L647" i="6" s="1"/>
  <c r="H1181" i="6"/>
  <c r="J1181" i="6" s="1"/>
  <c r="K837" i="6"/>
  <c r="M837" i="6" s="1"/>
  <c r="K161" i="12"/>
  <c r="M161" i="12" s="1"/>
  <c r="O161" i="12"/>
  <c r="B985" i="8"/>
  <c r="C985" i="8" s="1"/>
  <c r="E985" i="8"/>
  <c r="H820" i="7"/>
  <c r="E820" i="7"/>
  <c r="G820" i="7" s="1"/>
  <c r="N489" i="8"/>
  <c r="CL216" i="11"/>
  <c r="CK216" i="11"/>
  <c r="CP216" i="11"/>
  <c r="F928" i="8"/>
  <c r="N455" i="6"/>
  <c r="O455" i="6" s="1"/>
  <c r="J1336" i="6"/>
  <c r="K434" i="8"/>
  <c r="G324" i="7"/>
  <c r="H1271" i="6"/>
  <c r="J1271" i="6" s="1"/>
  <c r="J655" i="7"/>
  <c r="K655" i="7" s="1"/>
  <c r="N161" i="7"/>
  <c r="B216" i="8"/>
  <c r="C216" i="8" s="1"/>
  <c r="K876" i="6"/>
  <c r="L876" i="6" s="1"/>
  <c r="P554" i="6"/>
  <c r="K710" i="7"/>
  <c r="M710" i="7" s="1"/>
  <c r="O710" i="7"/>
  <c r="D213" i="12"/>
  <c r="F213" i="12" s="1"/>
  <c r="N1094" i="8"/>
  <c r="F710" i="7"/>
  <c r="M599" i="7"/>
  <c r="K788" i="6"/>
  <c r="L788" i="6" s="1"/>
  <c r="N270" i="7"/>
  <c r="L764" i="8"/>
  <c r="N764" i="8" s="1"/>
  <c r="O764" i="8"/>
  <c r="B488" i="8"/>
  <c r="C488" i="8" s="1"/>
  <c r="I984" i="8"/>
  <c r="J984" i="8" s="1"/>
  <c r="L984" i="8"/>
  <c r="K876" i="7"/>
  <c r="B271" i="7"/>
  <c r="C271" i="7" s="1"/>
  <c r="C433" i="7"/>
  <c r="I380" i="8"/>
  <c r="K873" i="8"/>
  <c r="I215" i="12"/>
  <c r="J215" i="12" s="1"/>
  <c r="O930" i="8"/>
  <c r="K930" i="8"/>
  <c r="M930" i="8" s="1"/>
  <c r="L236" i="6"/>
  <c r="K325" i="8"/>
  <c r="M325" i="8" s="1"/>
  <c r="O325" i="8"/>
  <c r="O365" i="6"/>
  <c r="B544" i="8"/>
  <c r="C544" i="8" s="1"/>
  <c r="E544" i="8"/>
  <c r="D876" i="8"/>
  <c r="G599" i="7"/>
  <c r="C1040" i="8"/>
  <c r="D1040" i="8" s="1"/>
  <c r="N130" i="6"/>
  <c r="O130" i="6" s="1"/>
  <c r="B435" i="8"/>
  <c r="C435" i="8" s="1"/>
  <c r="E435" i="8" s="1"/>
  <c r="L380" i="7"/>
  <c r="O491" i="7"/>
  <c r="K491" i="7"/>
  <c r="M491" i="7" s="1"/>
  <c r="B160" i="12"/>
  <c r="C160" i="12" s="1"/>
  <c r="K688" i="6"/>
  <c r="L688" i="6" s="1"/>
  <c r="J216" i="8"/>
  <c r="N929" i="7"/>
  <c r="M324" i="7"/>
  <c r="O543" i="7"/>
  <c r="K543" i="7"/>
  <c r="M543" i="7" s="1"/>
  <c r="N322" i="12"/>
  <c r="G875" i="7"/>
  <c r="G599" i="8"/>
  <c r="M379" i="8"/>
  <c r="G323" i="12"/>
  <c r="AV217" i="11" l="1"/>
  <c r="AT217" i="11"/>
  <c r="AS217" i="11"/>
  <c r="AX217" i="11" s="1"/>
  <c r="AU217" i="11"/>
  <c r="AY217" i="11" s="1"/>
  <c r="BD217" i="11" s="1"/>
  <c r="O416" i="6"/>
  <c r="P416" i="6"/>
  <c r="U216" i="11"/>
  <c r="T216" i="11"/>
  <c r="G929" i="7"/>
  <c r="B930" i="7" s="1"/>
  <c r="C216" i="7"/>
  <c r="E216" i="7" s="1"/>
  <c r="M599" i="8"/>
  <c r="P216" i="11"/>
  <c r="O216" i="11"/>
  <c r="S216" i="11" s="1"/>
  <c r="X216" i="11" s="1"/>
  <c r="CM216" i="11"/>
  <c r="M380" i="7"/>
  <c r="N161" i="12"/>
  <c r="CQ216" i="11"/>
  <c r="N599" i="7"/>
  <c r="I600" i="7" s="1"/>
  <c r="CN216" i="11"/>
  <c r="BP217" i="11" s="1"/>
  <c r="D1055" i="7"/>
  <c r="H1464" i="6"/>
  <c r="I1464" i="6" s="1"/>
  <c r="D545" i="7"/>
  <c r="H545" i="7"/>
  <c r="E216" i="8"/>
  <c r="H216" i="8"/>
  <c r="E545" i="7"/>
  <c r="C24" i="7"/>
  <c r="B21" i="13"/>
  <c r="B23" i="13"/>
  <c r="F24" i="7"/>
  <c r="M873" i="8"/>
  <c r="M976" i="6"/>
  <c r="AR217" i="11"/>
  <c r="BA267" i="11"/>
  <c r="BC267" i="11" s="1"/>
  <c r="N434" i="8"/>
  <c r="I435" i="8" s="1"/>
  <c r="M788" i="6"/>
  <c r="K789" i="6" s="1"/>
  <c r="M789" i="6" s="1"/>
  <c r="N491" i="7"/>
  <c r="I492" i="7" s="1"/>
  <c r="J492" i="7" s="1"/>
  <c r="O492" i="7" s="1"/>
  <c r="G876" i="8"/>
  <c r="B877" i="8" s="1"/>
  <c r="E995" i="7"/>
  <c r="I995" i="7"/>
  <c r="C996" i="7"/>
  <c r="H995" i="7"/>
  <c r="F995" i="7"/>
  <c r="K995" i="7"/>
  <c r="G995" i="7"/>
  <c r="J995" i="7"/>
  <c r="M1042" i="8"/>
  <c r="AQ217" i="11"/>
  <c r="AW217" i="11" s="1"/>
  <c r="AZ217" i="11" s="1"/>
  <c r="M270" i="8"/>
  <c r="P130" i="6"/>
  <c r="N131" i="6" s="1"/>
  <c r="O131" i="6" s="1"/>
  <c r="N710" i="7"/>
  <c r="I711" i="7" s="1"/>
  <c r="J711" i="7" s="1"/>
  <c r="Z264" i="11"/>
  <c r="AC264" i="11"/>
  <c r="AA264" i="11"/>
  <c r="AE264" i="11"/>
  <c r="AB264" i="11"/>
  <c r="Y264" i="11"/>
  <c r="AD264" i="11"/>
  <c r="N876" i="7"/>
  <c r="I877" i="7" s="1"/>
  <c r="F380" i="8"/>
  <c r="N47" i="10"/>
  <c r="H47" i="10" s="1"/>
  <c r="K47" i="10" s="1"/>
  <c r="M764" i="8"/>
  <c r="G1096" i="8"/>
  <c r="B1097" i="8" s="1"/>
  <c r="F326" i="8"/>
  <c r="C327" i="8" s="1"/>
  <c r="E490" i="7"/>
  <c r="H490" i="7"/>
  <c r="D490" i="7"/>
  <c r="F490" i="7" s="1"/>
  <c r="N417" i="6"/>
  <c r="P417" i="6" s="1"/>
  <c r="O215" i="12"/>
  <c r="K215" i="12"/>
  <c r="L215" i="12"/>
  <c r="D488" i="8"/>
  <c r="E488" i="8"/>
  <c r="H488" i="8"/>
  <c r="E658" i="7"/>
  <c r="H658" i="7"/>
  <c r="D658" i="7"/>
  <c r="F658" i="7" s="1"/>
  <c r="D159" i="7"/>
  <c r="E159" i="7"/>
  <c r="H159" i="7"/>
  <c r="D271" i="7"/>
  <c r="H271" i="7"/>
  <c r="E271" i="7"/>
  <c r="O269" i="12"/>
  <c r="L269" i="12"/>
  <c r="I323" i="12"/>
  <c r="J323" i="12" s="1"/>
  <c r="L323" i="12"/>
  <c r="I1095" i="8"/>
  <c r="J1095" i="8" s="1"/>
  <c r="B710" i="8"/>
  <c r="C710" i="8" s="1"/>
  <c r="E710" i="8"/>
  <c r="H1379" i="6"/>
  <c r="J1379" i="6" s="1"/>
  <c r="J325" i="7"/>
  <c r="M876" i="7"/>
  <c r="L48" i="10"/>
  <c r="J48" i="10" s="1"/>
  <c r="B821" i="8"/>
  <c r="J1464" i="6"/>
  <c r="O216" i="8"/>
  <c r="L216" i="8"/>
  <c r="F820" i="8"/>
  <c r="K216" i="8"/>
  <c r="M216" i="8" s="1"/>
  <c r="B764" i="7"/>
  <c r="C764" i="7" s="1"/>
  <c r="H544" i="8"/>
  <c r="D544" i="8"/>
  <c r="F544" i="8" s="1"/>
  <c r="J434" i="7"/>
  <c r="H766" i="8"/>
  <c r="E766" i="8"/>
  <c r="M593" i="6"/>
  <c r="C711" i="7"/>
  <c r="D711" i="7" s="1"/>
  <c r="I710" i="8"/>
  <c r="J710" i="8" s="1"/>
  <c r="L710" i="8" s="1"/>
  <c r="O174" i="6"/>
  <c r="K820" i="8"/>
  <c r="M820" i="8" s="1"/>
  <c r="O820" i="8"/>
  <c r="I1271" i="6"/>
  <c r="B270" i="12"/>
  <c r="C270" i="12" s="1"/>
  <c r="E270" i="12"/>
  <c r="I930" i="7"/>
  <c r="J930" i="7" s="1"/>
  <c r="K984" i="8"/>
  <c r="M984" i="8" s="1"/>
  <c r="O984" i="8"/>
  <c r="L837" i="6"/>
  <c r="F876" i="8"/>
  <c r="F929" i="7"/>
  <c r="B269" i="8"/>
  <c r="C269" i="8" s="1"/>
  <c r="H269" i="8" s="1"/>
  <c r="H1337" i="6"/>
  <c r="I1337" i="6" s="1"/>
  <c r="G213" i="12"/>
  <c r="N366" i="6"/>
  <c r="P366" i="6" s="1"/>
  <c r="I765" i="8"/>
  <c r="B821" i="7"/>
  <c r="I215" i="7"/>
  <c r="J215" i="7" s="1"/>
  <c r="I1090" i="6"/>
  <c r="I162" i="7"/>
  <c r="J162" i="7" s="1"/>
  <c r="O819" i="7"/>
  <c r="L819" i="7"/>
  <c r="N819" i="7" s="1"/>
  <c r="K930" i="6"/>
  <c r="M930" i="6" s="1"/>
  <c r="P502" i="6"/>
  <c r="N503" i="6" s="1"/>
  <c r="O503" i="6" s="1"/>
  <c r="K764" i="7"/>
  <c r="O764" i="7"/>
  <c r="L764" i="7"/>
  <c r="N764" i="7" s="1"/>
  <c r="N543" i="7"/>
  <c r="D216" i="8"/>
  <c r="F216" i="8" s="1"/>
  <c r="N322" i="6"/>
  <c r="P322" i="6" s="1"/>
  <c r="N873" i="8"/>
  <c r="B656" i="8"/>
  <c r="C656" i="8" s="1"/>
  <c r="I490" i="8"/>
  <c r="J490" i="8" s="1"/>
  <c r="M688" i="6"/>
  <c r="I1043" i="8"/>
  <c r="N599" i="8"/>
  <c r="D766" i="8"/>
  <c r="K1019" i="6"/>
  <c r="L1019" i="6" s="1"/>
  <c r="N325" i="8"/>
  <c r="B324" i="12"/>
  <c r="C324" i="12" s="1"/>
  <c r="N380" i="7"/>
  <c r="I1181" i="6"/>
  <c r="K655" i="8"/>
  <c r="M655" i="8" s="1"/>
  <c r="O655" i="8"/>
  <c r="N555" i="6"/>
  <c r="O555" i="6" s="1"/>
  <c r="H433" i="7"/>
  <c r="E433" i="7"/>
  <c r="C929" i="8"/>
  <c r="H985" i="8"/>
  <c r="D985" i="8"/>
  <c r="F985" i="8" s="1"/>
  <c r="B380" i="7"/>
  <c r="C380" i="7" s="1"/>
  <c r="E380" i="7" s="1"/>
  <c r="M876" i="6"/>
  <c r="N273" i="6"/>
  <c r="P273" i="6" s="1"/>
  <c r="F820" i="7"/>
  <c r="D433" i="7"/>
  <c r="J600" i="7"/>
  <c r="I1509" i="6"/>
  <c r="J1230" i="6"/>
  <c r="H1231" i="6" s="1"/>
  <c r="I1231" i="6" s="1"/>
  <c r="F1096" i="8"/>
  <c r="D158" i="8"/>
  <c r="H158" i="8"/>
  <c r="K742" i="6"/>
  <c r="M742" i="6" s="1"/>
  <c r="O655" i="7"/>
  <c r="L655" i="7"/>
  <c r="N655" i="7" s="1"/>
  <c r="K269" i="12"/>
  <c r="H1139" i="6"/>
  <c r="J1139" i="6" s="1"/>
  <c r="E1040" i="8"/>
  <c r="G1040" i="8" s="1"/>
  <c r="H1040" i="8"/>
  <c r="K1393" i="6"/>
  <c r="L1393" i="6" s="1"/>
  <c r="I162" i="12"/>
  <c r="J162" i="12" s="1"/>
  <c r="B600" i="7"/>
  <c r="C600" i="7" s="1"/>
  <c r="J544" i="8"/>
  <c r="BO217" i="11"/>
  <c r="CR216" i="11"/>
  <c r="BV217" i="11" s="1"/>
  <c r="N930" i="8"/>
  <c r="B325" i="7"/>
  <c r="C325" i="7" s="1"/>
  <c r="E325" i="7" s="1"/>
  <c r="H38" i="9"/>
  <c r="I38" i="9" s="1"/>
  <c r="L39" i="9"/>
  <c r="M434" i="8"/>
  <c r="H160" i="12"/>
  <c r="D160" i="12"/>
  <c r="I271" i="7"/>
  <c r="J271" i="7" s="1"/>
  <c r="G985" i="8"/>
  <c r="M647" i="6"/>
  <c r="K648" i="6" s="1"/>
  <c r="L648" i="6" s="1"/>
  <c r="K877" i="6"/>
  <c r="L877" i="6" s="1"/>
  <c r="P455" i="6"/>
  <c r="D216" i="7"/>
  <c r="F216" i="7" s="1"/>
  <c r="H216" i="7"/>
  <c r="G380" i="8"/>
  <c r="K977" i="6"/>
  <c r="L977" i="6" s="1"/>
  <c r="J380" i="8"/>
  <c r="E160" i="12"/>
  <c r="D435" i="8"/>
  <c r="F435" i="8" s="1"/>
  <c r="H435" i="8"/>
  <c r="K237" i="6"/>
  <c r="M237" i="6" s="1"/>
  <c r="M238" i="6" s="1"/>
  <c r="M239" i="6" s="1"/>
  <c r="M240" i="6" s="1"/>
  <c r="M241" i="6" s="1"/>
  <c r="M242" i="6" s="1"/>
  <c r="M243" i="6" s="1"/>
  <c r="M244" i="6" s="1"/>
  <c r="M245" i="6" s="1"/>
  <c r="M246" i="6" s="1"/>
  <c r="M247" i="6" s="1"/>
  <c r="M248" i="6" s="1"/>
  <c r="M249" i="6" s="1"/>
  <c r="M250" i="6" s="1"/>
  <c r="M251" i="6" s="1"/>
  <c r="M252" i="6" s="1"/>
  <c r="M253" i="6" s="1"/>
  <c r="M254" i="6" s="1"/>
  <c r="M255" i="6" s="1"/>
  <c r="M256" i="6" s="1"/>
  <c r="M257" i="6" s="1"/>
  <c r="B600" i="8"/>
  <c r="C600" i="8" s="1"/>
  <c r="B876" i="7"/>
  <c r="C876" i="7" s="1"/>
  <c r="E876" i="7" s="1"/>
  <c r="E158" i="8"/>
  <c r="G158" i="8" s="1"/>
  <c r="N270" i="8"/>
  <c r="O160" i="8"/>
  <c r="K160" i="8"/>
  <c r="M160" i="8" s="1"/>
  <c r="L2912" i="6"/>
  <c r="BA217" i="11"/>
  <c r="BC217" i="11"/>
  <c r="W216" i="11" l="1"/>
  <c r="AG216" i="11" s="1"/>
  <c r="V216" i="11"/>
  <c r="M977" i="6"/>
  <c r="BS217" i="11"/>
  <c r="H1055" i="7"/>
  <c r="B1056" i="7" s="1"/>
  <c r="E1055" i="7"/>
  <c r="J1055" i="7"/>
  <c r="G1055" i="7"/>
  <c r="K1055" i="7"/>
  <c r="I1055" i="7"/>
  <c r="F1055" i="7"/>
  <c r="C1056" i="7"/>
  <c r="F488" i="8"/>
  <c r="G271" i="7"/>
  <c r="B272" i="7" s="1"/>
  <c r="M655" i="7"/>
  <c r="G545" i="7"/>
  <c r="N269" i="12"/>
  <c r="J765" i="8"/>
  <c r="BB267" i="11"/>
  <c r="BM267" i="11" s="1"/>
  <c r="BR217" i="11"/>
  <c r="F265" i="11"/>
  <c r="D265" i="11"/>
  <c r="G433" i="7"/>
  <c r="B434" i="7" s="1"/>
  <c r="D327" i="8"/>
  <c r="F766" i="8"/>
  <c r="E327" i="8"/>
  <c r="H327" i="8"/>
  <c r="P131" i="6"/>
  <c r="F160" i="12"/>
  <c r="L492" i="7"/>
  <c r="B996" i="7"/>
  <c r="F159" i="7"/>
  <c r="D996" i="7"/>
  <c r="J1043" i="8"/>
  <c r="L1043" i="8" s="1"/>
  <c r="N215" i="12"/>
  <c r="I216" i="12" s="1"/>
  <c r="AF264" i="11"/>
  <c r="G265" i="11" s="1"/>
  <c r="C265" i="11"/>
  <c r="F545" i="7"/>
  <c r="L162" i="12"/>
  <c r="O162" i="12"/>
  <c r="K162" i="12"/>
  <c r="O765" i="8"/>
  <c r="L765" i="8"/>
  <c r="K765" i="8"/>
  <c r="M765" i="8" s="1"/>
  <c r="N132" i="6"/>
  <c r="O132" i="6" s="1"/>
  <c r="K711" i="7"/>
  <c r="L711" i="7"/>
  <c r="N711" i="7" s="1"/>
  <c r="O711" i="7"/>
  <c r="N504" i="6"/>
  <c r="O504" i="6" s="1"/>
  <c r="K978" i="6"/>
  <c r="M978" i="6" s="1"/>
  <c r="O544" i="8"/>
  <c r="L544" i="8"/>
  <c r="I820" i="7"/>
  <c r="L789" i="6"/>
  <c r="I874" i="8"/>
  <c r="J874" i="8" s="1"/>
  <c r="D710" i="8"/>
  <c r="F710" i="8" s="1"/>
  <c r="H710" i="8"/>
  <c r="K1095" i="8"/>
  <c r="O1095" i="8"/>
  <c r="N556" i="6"/>
  <c r="O556" i="6" s="1"/>
  <c r="K323" i="12"/>
  <c r="M323" i="12" s="1"/>
  <c r="O323" i="12"/>
  <c r="O325" i="7"/>
  <c r="L325" i="7"/>
  <c r="D269" i="8"/>
  <c r="B546" i="7"/>
  <c r="M1393" i="6"/>
  <c r="L380" i="8"/>
  <c r="O380" i="8"/>
  <c r="H1465" i="6"/>
  <c r="I1465" i="6" s="1"/>
  <c r="O271" i="7"/>
  <c r="K271" i="7"/>
  <c r="O490" i="8"/>
  <c r="K490" i="8"/>
  <c r="H1091" i="6"/>
  <c r="J1091" i="6" s="1"/>
  <c r="E269" i="8"/>
  <c r="D764" i="7"/>
  <c r="H764" i="7"/>
  <c r="I1379" i="6"/>
  <c r="K215" i="7"/>
  <c r="O215" i="7"/>
  <c r="N175" i="6"/>
  <c r="P175" i="6" s="1"/>
  <c r="E764" i="7"/>
  <c r="G216" i="8"/>
  <c r="C1097" i="8"/>
  <c r="D876" i="7"/>
  <c r="F876" i="7" s="1"/>
  <c r="H876" i="7"/>
  <c r="K544" i="8"/>
  <c r="C821" i="8"/>
  <c r="K594" i="6"/>
  <c r="L594" i="6" s="1"/>
  <c r="C821" i="7"/>
  <c r="I600" i="8"/>
  <c r="J600" i="8" s="1"/>
  <c r="L600" i="8" s="1"/>
  <c r="G766" i="8"/>
  <c r="C877" i="8"/>
  <c r="O434" i="7"/>
  <c r="L434" i="7"/>
  <c r="L600" i="7"/>
  <c r="O600" i="7"/>
  <c r="M764" i="7"/>
  <c r="B214" i="12"/>
  <c r="C214" i="12" s="1"/>
  <c r="N216" i="8"/>
  <c r="K2913" i="6"/>
  <c r="M2913" i="6" s="1"/>
  <c r="K600" i="7"/>
  <c r="O273" i="6"/>
  <c r="F433" i="7"/>
  <c r="K492" i="7"/>
  <c r="N820" i="8"/>
  <c r="M269" i="12"/>
  <c r="H1182" i="6"/>
  <c r="J1182" i="6" s="1"/>
  <c r="I271" i="8"/>
  <c r="J271" i="8" s="1"/>
  <c r="L271" i="8"/>
  <c r="I656" i="7"/>
  <c r="H1338" i="6"/>
  <c r="I1338" i="6" s="1"/>
  <c r="B159" i="8"/>
  <c r="BQ217" i="11"/>
  <c r="I381" i="7"/>
  <c r="J381" i="7" s="1"/>
  <c r="D324" i="12"/>
  <c r="H324" i="12"/>
  <c r="P555" i="6"/>
  <c r="L930" i="6"/>
  <c r="L215" i="7"/>
  <c r="C930" i="7"/>
  <c r="D930" i="7" s="1"/>
  <c r="N984" i="8"/>
  <c r="M48" i="10"/>
  <c r="I48" i="10" s="1"/>
  <c r="F271" i="7"/>
  <c r="D656" i="8"/>
  <c r="F656" i="8" s="1"/>
  <c r="H656" i="8"/>
  <c r="I765" i="7"/>
  <c r="D600" i="8"/>
  <c r="H600" i="8"/>
  <c r="D600" i="7"/>
  <c r="F600" i="7" s="1"/>
  <c r="H600" i="7"/>
  <c r="O322" i="6"/>
  <c r="L1095" i="8"/>
  <c r="O366" i="6"/>
  <c r="G216" i="7"/>
  <c r="L237" i="6"/>
  <c r="L238" i="6" s="1"/>
  <c r="L239" i="6" s="1"/>
  <c r="L240" i="6" s="1"/>
  <c r="L241" i="6" s="1"/>
  <c r="L242" i="6" s="1"/>
  <c r="L243" i="6" s="1"/>
  <c r="L244" i="6" s="1"/>
  <c r="L245" i="6" s="1"/>
  <c r="L246" i="6" s="1"/>
  <c r="L247" i="6" s="1"/>
  <c r="L248" i="6" s="1"/>
  <c r="L249" i="6" s="1"/>
  <c r="L250" i="6" s="1"/>
  <c r="L251" i="6" s="1"/>
  <c r="L252" i="6" s="1"/>
  <c r="L253" i="6" s="1"/>
  <c r="L254" i="6" s="1"/>
  <c r="L255" i="6" s="1"/>
  <c r="L256" i="6" s="1"/>
  <c r="L257" i="6" s="1"/>
  <c r="K258" i="6" s="1"/>
  <c r="N215" i="6" s="1"/>
  <c r="J877" i="7"/>
  <c r="K877" i="7" s="1"/>
  <c r="M648" i="6"/>
  <c r="K649" i="6" s="1"/>
  <c r="L649" i="6" s="1"/>
  <c r="K162" i="7"/>
  <c r="O162" i="7"/>
  <c r="G160" i="12"/>
  <c r="D380" i="7"/>
  <c r="F380" i="7" s="1"/>
  <c r="H380" i="7"/>
  <c r="BB217" i="11"/>
  <c r="BM217" i="11" s="1"/>
  <c r="N160" i="8"/>
  <c r="L271" i="7"/>
  <c r="L490" i="8"/>
  <c r="H929" i="8"/>
  <c r="E929" i="8"/>
  <c r="E324" i="12"/>
  <c r="N655" i="8"/>
  <c r="K930" i="7"/>
  <c r="O930" i="7"/>
  <c r="O710" i="8"/>
  <c r="K710" i="8"/>
  <c r="M710" i="8" s="1"/>
  <c r="G490" i="7"/>
  <c r="I544" i="7"/>
  <c r="J544" i="7" s="1"/>
  <c r="L544" i="7"/>
  <c r="D270" i="12"/>
  <c r="F270" i="12" s="1"/>
  <c r="H270" i="12"/>
  <c r="J435" i="8"/>
  <c r="J1231" i="6"/>
  <c r="H1272" i="6"/>
  <c r="J1272" i="6" s="1"/>
  <c r="M215" i="12"/>
  <c r="E600" i="8"/>
  <c r="M39" i="9"/>
  <c r="P39" i="9" s="1"/>
  <c r="N39" i="9"/>
  <c r="Q39" i="9" s="1"/>
  <c r="G658" i="7"/>
  <c r="E600" i="7"/>
  <c r="H1510" i="6"/>
  <c r="J1510" i="6" s="1"/>
  <c r="O39" i="9"/>
  <c r="B1041" i="8"/>
  <c r="K434" i="7"/>
  <c r="H325" i="7"/>
  <c r="D325" i="7"/>
  <c r="F325" i="7" s="1"/>
  <c r="K838" i="6"/>
  <c r="M838" i="6" s="1"/>
  <c r="K325" i="7"/>
  <c r="F1040" i="8"/>
  <c r="B986" i="8"/>
  <c r="C986" i="8" s="1"/>
  <c r="I1139" i="6"/>
  <c r="L162" i="7"/>
  <c r="K689" i="6"/>
  <c r="L689" i="6" s="1"/>
  <c r="I270" i="12"/>
  <c r="O417" i="6"/>
  <c r="N456" i="6"/>
  <c r="O456" i="6" s="1"/>
  <c r="M877" i="6"/>
  <c r="P503" i="6"/>
  <c r="K380" i="8"/>
  <c r="I931" i="8"/>
  <c r="J931" i="8" s="1"/>
  <c r="L742" i="6"/>
  <c r="B381" i="8"/>
  <c r="C381" i="8" s="1"/>
  <c r="E381" i="8" s="1"/>
  <c r="G435" i="8"/>
  <c r="F158" i="8"/>
  <c r="D929" i="8"/>
  <c r="I326" i="8"/>
  <c r="J326" i="8" s="1"/>
  <c r="L326" i="8" s="1"/>
  <c r="E656" i="8"/>
  <c r="J1337" i="6"/>
  <c r="L930" i="7"/>
  <c r="H711" i="7"/>
  <c r="E711" i="7"/>
  <c r="G711" i="7" s="1"/>
  <c r="G544" i="8"/>
  <c r="M1019" i="6"/>
  <c r="G159" i="7"/>
  <c r="G488" i="8"/>
  <c r="M819" i="7"/>
  <c r="AE216" i="11" l="1"/>
  <c r="AD216" i="11"/>
  <c r="AB216" i="11"/>
  <c r="Z216" i="11"/>
  <c r="AC216" i="11"/>
  <c r="AA216" i="11"/>
  <c r="Y216" i="11"/>
  <c r="D1056" i="7"/>
  <c r="P456" i="6"/>
  <c r="N457" i="6" s="1"/>
  <c r="O457" i="6" s="1"/>
  <c r="G876" i="7"/>
  <c r="B877" i="7" s="1"/>
  <c r="C877" i="7" s="1"/>
  <c r="E877" i="7" s="1"/>
  <c r="F764" i="7"/>
  <c r="G269" i="8"/>
  <c r="B270" i="8" s="1"/>
  <c r="P132" i="6"/>
  <c r="N133" i="6" s="1"/>
  <c r="O133" i="6" s="1"/>
  <c r="N162" i="7"/>
  <c r="M544" i="8"/>
  <c r="J656" i="7"/>
  <c r="N325" i="7"/>
  <c r="M930" i="7"/>
  <c r="F327" i="8"/>
  <c r="L656" i="7"/>
  <c r="O656" i="7"/>
  <c r="BG267" i="11"/>
  <c r="BI267" i="11"/>
  <c r="BH267" i="11"/>
  <c r="BF267" i="11"/>
  <c r="BJ267" i="11"/>
  <c r="BE267" i="11"/>
  <c r="BK267" i="11"/>
  <c r="I1272" i="6"/>
  <c r="H1273" i="6" s="1"/>
  <c r="I1273" i="6" s="1"/>
  <c r="O1043" i="8"/>
  <c r="G996" i="7"/>
  <c r="C997" i="7"/>
  <c r="I996" i="7"/>
  <c r="H996" i="7"/>
  <c r="B997" i="7" s="1"/>
  <c r="F996" i="7"/>
  <c r="K996" i="7"/>
  <c r="E996" i="7"/>
  <c r="J996" i="7"/>
  <c r="N490" i="8"/>
  <c r="I491" i="8" s="1"/>
  <c r="N271" i="7"/>
  <c r="I272" i="7" s="1"/>
  <c r="C546" i="7"/>
  <c r="E546" i="7" s="1"/>
  <c r="G710" i="8"/>
  <c r="B711" i="8" s="1"/>
  <c r="C711" i="8" s="1"/>
  <c r="E711" i="8" s="1"/>
  <c r="M689" i="6"/>
  <c r="K690" i="6" s="1"/>
  <c r="L690" i="6" s="1"/>
  <c r="F600" i="8"/>
  <c r="N600" i="7"/>
  <c r="K1043" i="8"/>
  <c r="N1043" i="8" s="1"/>
  <c r="I1044" i="8" s="1"/>
  <c r="N434" i="7"/>
  <c r="I435" i="7" s="1"/>
  <c r="N380" i="8"/>
  <c r="N1095" i="8"/>
  <c r="I1096" i="8" s="1"/>
  <c r="M492" i="7"/>
  <c r="M215" i="7"/>
  <c r="G380" i="7"/>
  <c r="B381" i="7" s="1"/>
  <c r="C381" i="7" s="1"/>
  <c r="G327" i="8"/>
  <c r="J265" i="11"/>
  <c r="E265" i="11"/>
  <c r="H265" i="11" s="1"/>
  <c r="I265" i="11" s="1"/>
  <c r="G324" i="12"/>
  <c r="B325" i="12" s="1"/>
  <c r="F711" i="7"/>
  <c r="F929" i="8"/>
  <c r="M162" i="12"/>
  <c r="BK217" i="11"/>
  <c r="BJ217" i="11"/>
  <c r="BI217" i="11"/>
  <c r="BH217" i="11"/>
  <c r="BG217" i="11"/>
  <c r="BF217" i="11"/>
  <c r="BE217" i="11"/>
  <c r="H986" i="8"/>
  <c r="D986" i="8"/>
  <c r="E986" i="8"/>
  <c r="I163" i="7"/>
  <c r="D214" i="12"/>
  <c r="H214" i="12"/>
  <c r="I1182" i="6"/>
  <c r="L435" i="8"/>
  <c r="O435" i="8"/>
  <c r="L978" i="6"/>
  <c r="K435" i="8"/>
  <c r="M325" i="7"/>
  <c r="I381" i="8"/>
  <c r="E1097" i="8"/>
  <c r="H1097" i="8"/>
  <c r="M380" i="8"/>
  <c r="I161" i="8"/>
  <c r="J161" i="8" s="1"/>
  <c r="N323" i="12"/>
  <c r="B545" i="8"/>
  <c r="C545" i="8" s="1"/>
  <c r="I656" i="8"/>
  <c r="J656" i="8" s="1"/>
  <c r="L656" i="8" s="1"/>
  <c r="K931" i="6"/>
  <c r="M931" i="6" s="1"/>
  <c r="K1394" i="6"/>
  <c r="L1394" i="6" s="1"/>
  <c r="K1020" i="6"/>
  <c r="L1020" i="6" s="1"/>
  <c r="N418" i="6"/>
  <c r="P418" i="6" s="1"/>
  <c r="O544" i="7"/>
  <c r="K544" i="7"/>
  <c r="M544" i="7" s="1"/>
  <c r="G929" i="8"/>
  <c r="O271" i="8"/>
  <c r="K271" i="8"/>
  <c r="M271" i="8" s="1"/>
  <c r="M490" i="8"/>
  <c r="H546" i="7"/>
  <c r="D546" i="7"/>
  <c r="F546" i="7" s="1"/>
  <c r="M1095" i="8"/>
  <c r="O381" i="7"/>
  <c r="K381" i="7"/>
  <c r="J765" i="7"/>
  <c r="K765" i="7" s="1"/>
  <c r="K790" i="6"/>
  <c r="M790" i="6" s="1"/>
  <c r="I326" i="7"/>
  <c r="B436" i="8"/>
  <c r="C436" i="8" s="1"/>
  <c r="E436" i="8" s="1"/>
  <c r="N48" i="10"/>
  <c r="H48" i="10" s="1"/>
  <c r="K48" i="10" s="1"/>
  <c r="J820" i="7"/>
  <c r="I985" i="8"/>
  <c r="J985" i="8" s="1"/>
  <c r="C434" i="7"/>
  <c r="H930" i="7"/>
  <c r="E930" i="7"/>
  <c r="G930" i="7" s="1"/>
  <c r="L838" i="6"/>
  <c r="B659" i="7"/>
  <c r="C659" i="7" s="1"/>
  <c r="E659" i="7" s="1"/>
  <c r="N215" i="7"/>
  <c r="K656" i="7"/>
  <c r="L877" i="7"/>
  <c r="N877" i="7" s="1"/>
  <c r="O877" i="7"/>
  <c r="M711" i="7"/>
  <c r="O217" i="6"/>
  <c r="E821" i="8"/>
  <c r="H821" i="8"/>
  <c r="B217" i="8"/>
  <c r="C217" i="8" s="1"/>
  <c r="E217" i="8"/>
  <c r="N544" i="8"/>
  <c r="N367" i="6"/>
  <c r="P367" i="6" s="1"/>
  <c r="H1140" i="6"/>
  <c r="J1140" i="6" s="1"/>
  <c r="E821" i="7"/>
  <c r="H821" i="7"/>
  <c r="O175" i="6"/>
  <c r="D821" i="7"/>
  <c r="C159" i="8"/>
  <c r="N323" i="6"/>
  <c r="P323" i="6" s="1"/>
  <c r="M162" i="7"/>
  <c r="BT217" i="11"/>
  <c r="BU217" i="11" s="1"/>
  <c r="I601" i="7"/>
  <c r="N710" i="8"/>
  <c r="K931" i="8"/>
  <c r="O931" i="8"/>
  <c r="N492" i="7"/>
  <c r="H1380" i="6"/>
  <c r="J1380" i="6" s="1"/>
  <c r="B489" i="8"/>
  <c r="C489" i="8" s="1"/>
  <c r="E489" i="8"/>
  <c r="M594" i="6"/>
  <c r="K595" i="6" s="1"/>
  <c r="L595" i="6" s="1"/>
  <c r="K743" i="6"/>
  <c r="M743" i="6" s="1"/>
  <c r="G600" i="7"/>
  <c r="D1097" i="8"/>
  <c r="G270" i="12"/>
  <c r="N765" i="8"/>
  <c r="E877" i="8"/>
  <c r="H877" i="8"/>
  <c r="B712" i="7"/>
  <c r="M434" i="7"/>
  <c r="I1091" i="6"/>
  <c r="G600" i="8"/>
  <c r="J1338" i="6"/>
  <c r="H1339" i="6" s="1"/>
  <c r="K1296" i="6" s="1"/>
  <c r="G325" i="7"/>
  <c r="J216" i="12"/>
  <c r="B217" i="7"/>
  <c r="C217" i="7" s="1"/>
  <c r="E217" i="7" s="1"/>
  <c r="L2913" i="6"/>
  <c r="B767" i="8"/>
  <c r="C767" i="8" s="1"/>
  <c r="D821" i="8"/>
  <c r="M271" i="7"/>
  <c r="F269" i="8"/>
  <c r="K326" i="8"/>
  <c r="M326" i="8" s="1"/>
  <c r="O326" i="8"/>
  <c r="S39" i="9"/>
  <c r="R39" i="9"/>
  <c r="K874" i="8"/>
  <c r="O874" i="8"/>
  <c r="B491" i="7"/>
  <c r="C491" i="7" s="1"/>
  <c r="E491" i="7"/>
  <c r="E214" i="12"/>
  <c r="L874" i="8"/>
  <c r="B161" i="12"/>
  <c r="C161" i="12" s="1"/>
  <c r="J270" i="12"/>
  <c r="K270" i="12" s="1"/>
  <c r="C272" i="7"/>
  <c r="C1041" i="8"/>
  <c r="I821" i="8"/>
  <c r="J821" i="8" s="1"/>
  <c r="L821" i="8" s="1"/>
  <c r="H1232" i="6"/>
  <c r="I1232" i="6" s="1"/>
  <c r="M649" i="6"/>
  <c r="K650" i="6" s="1"/>
  <c r="L650" i="6" s="1"/>
  <c r="J1465" i="6"/>
  <c r="D381" i="8"/>
  <c r="F381" i="8" s="1"/>
  <c r="H381" i="8"/>
  <c r="L931" i="8"/>
  <c r="I1510" i="6"/>
  <c r="B160" i="7"/>
  <c r="C160" i="7" s="1"/>
  <c r="E160" i="7" s="1"/>
  <c r="P504" i="6"/>
  <c r="N505" i="6" s="1"/>
  <c r="O505" i="6" s="1"/>
  <c r="N274" i="6"/>
  <c r="P274" i="6" s="1"/>
  <c r="I712" i="7"/>
  <c r="M600" i="7"/>
  <c r="P556" i="6"/>
  <c r="D877" i="8"/>
  <c r="N930" i="7"/>
  <c r="F324" i="12"/>
  <c r="G656" i="8"/>
  <c r="L381" i="7"/>
  <c r="I217" i="8"/>
  <c r="J217" i="8" s="1"/>
  <c r="L217" i="8"/>
  <c r="O600" i="8"/>
  <c r="K600" i="8"/>
  <c r="M600" i="8" s="1"/>
  <c r="G764" i="7"/>
  <c r="K878" i="6"/>
  <c r="L878" i="6" s="1"/>
  <c r="N162" i="12"/>
  <c r="N544" i="7" l="1"/>
  <c r="K1056" i="7"/>
  <c r="F1056" i="7"/>
  <c r="H1056" i="7"/>
  <c r="B1057" i="7" s="1"/>
  <c r="J1056" i="7"/>
  <c r="I1056" i="7"/>
  <c r="E1056" i="7"/>
  <c r="G1056" i="7"/>
  <c r="C1057" i="7"/>
  <c r="AF216" i="11"/>
  <c r="J217" i="11" s="1"/>
  <c r="C217" i="11"/>
  <c r="E217" i="11"/>
  <c r="D217" i="11"/>
  <c r="M656" i="7"/>
  <c r="M1043" i="8"/>
  <c r="J1044" i="8" s="1"/>
  <c r="M265" i="11"/>
  <c r="R265" i="11" s="1"/>
  <c r="N600" i="8"/>
  <c r="I601" i="8" s="1"/>
  <c r="J601" i="8" s="1"/>
  <c r="L265" i="11"/>
  <c r="AI268" i="11"/>
  <c r="BL267" i="11"/>
  <c r="AP268" i="11" s="1"/>
  <c r="F1097" i="8"/>
  <c r="G821" i="8"/>
  <c r="B822" i="8" s="1"/>
  <c r="O265" i="11"/>
  <c r="S265" i="11" s="1"/>
  <c r="N381" i="7"/>
  <c r="I382" i="7" s="1"/>
  <c r="O323" i="6"/>
  <c r="N324" i="6" s="1"/>
  <c r="O324" i="6" s="1"/>
  <c r="F214" i="12"/>
  <c r="P265" i="11"/>
  <c r="C712" i="7"/>
  <c r="H712" i="7" s="1"/>
  <c r="N435" i="8"/>
  <c r="G877" i="8"/>
  <c r="B878" i="8" s="1"/>
  <c r="B328" i="8"/>
  <c r="C328" i="8" s="1"/>
  <c r="P133" i="6"/>
  <c r="J1232" i="6"/>
  <c r="H1233" i="6" s="1"/>
  <c r="I1233" i="6" s="1"/>
  <c r="J1273" i="6"/>
  <c r="K265" i="11"/>
  <c r="Q265" i="11" s="1"/>
  <c r="T265" i="11" s="1"/>
  <c r="N931" i="8"/>
  <c r="I932" i="8" s="1"/>
  <c r="AM268" i="11"/>
  <c r="F821" i="7"/>
  <c r="F986" i="8"/>
  <c r="M874" i="8"/>
  <c r="D997" i="7"/>
  <c r="L743" i="6"/>
  <c r="K744" i="6" s="1"/>
  <c r="M744" i="6" s="1"/>
  <c r="P457" i="6"/>
  <c r="N458" i="6" s="1"/>
  <c r="O458" i="6" s="1"/>
  <c r="N265" i="11"/>
  <c r="AJ268" i="11"/>
  <c r="D381" i="7"/>
  <c r="H381" i="7"/>
  <c r="E381" i="7"/>
  <c r="G381" i="7" s="1"/>
  <c r="N134" i="6"/>
  <c r="O134" i="6" s="1"/>
  <c r="H1274" i="6"/>
  <c r="I1274" i="6" s="1"/>
  <c r="K596" i="6"/>
  <c r="L596" i="6" s="1"/>
  <c r="L1298" i="6"/>
  <c r="CA217" i="11"/>
  <c r="CE217" i="11" s="1"/>
  <c r="BY217" i="11"/>
  <c r="CD217" i="11" s="1"/>
  <c r="CB217" i="11"/>
  <c r="BZ217" i="11"/>
  <c r="BX217" i="11"/>
  <c r="BW217" i="11"/>
  <c r="CC217" i="11" s="1"/>
  <c r="K651" i="6"/>
  <c r="L651" i="6" s="1"/>
  <c r="H272" i="7"/>
  <c r="E272" i="7"/>
  <c r="K985" i="8"/>
  <c r="O985" i="8"/>
  <c r="J601" i="7"/>
  <c r="J435" i="7"/>
  <c r="K435" i="7" s="1"/>
  <c r="G217" i="7"/>
  <c r="I545" i="8"/>
  <c r="J545" i="8" s="1"/>
  <c r="L545" i="8" s="1"/>
  <c r="I545" i="7"/>
  <c r="J545" i="7" s="1"/>
  <c r="M1020" i="6"/>
  <c r="AI218" i="11"/>
  <c r="BL217" i="11"/>
  <c r="AP218" i="11" s="1"/>
  <c r="C325" i="12"/>
  <c r="D325" i="12" s="1"/>
  <c r="G381" i="8"/>
  <c r="O820" i="7"/>
  <c r="L820" i="7"/>
  <c r="D161" i="12"/>
  <c r="H161" i="12"/>
  <c r="N176" i="6"/>
  <c r="P176" i="6" s="1"/>
  <c r="D489" i="8"/>
  <c r="F489" i="8" s="1"/>
  <c r="H489" i="8"/>
  <c r="L49" i="10"/>
  <c r="J49" i="10" s="1"/>
  <c r="J326" i="7"/>
  <c r="N326" i="8"/>
  <c r="J381" i="8"/>
  <c r="I1140" i="6"/>
  <c r="I493" i="7"/>
  <c r="J493" i="7" s="1"/>
  <c r="D877" i="7"/>
  <c r="F877" i="7" s="1"/>
  <c r="B271" i="12"/>
  <c r="C271" i="12" s="1"/>
  <c r="E271" i="12"/>
  <c r="H877" i="7"/>
  <c r="K217" i="8"/>
  <c r="M217" i="8" s="1"/>
  <c r="O217" i="8"/>
  <c r="C270" i="8"/>
  <c r="O367" i="6"/>
  <c r="M878" i="6"/>
  <c r="K879" i="6" s="1"/>
  <c r="L879" i="6" s="1"/>
  <c r="G1097" i="8"/>
  <c r="E159" i="8"/>
  <c r="H159" i="8"/>
  <c r="J712" i="7"/>
  <c r="K2914" i="6"/>
  <c r="M2914" i="6" s="1"/>
  <c r="J1096" i="8"/>
  <c r="K1096" i="8" s="1"/>
  <c r="I163" i="12"/>
  <c r="J163" i="12" s="1"/>
  <c r="L163" i="12"/>
  <c r="G546" i="7"/>
  <c r="J491" i="8"/>
  <c r="K491" i="8" s="1"/>
  <c r="I931" i="7"/>
  <c r="J931" i="7" s="1"/>
  <c r="I216" i="7"/>
  <c r="J216" i="7" s="1"/>
  <c r="L216" i="7"/>
  <c r="D711" i="8"/>
  <c r="F711" i="8" s="1"/>
  <c r="O274" i="6"/>
  <c r="E161" i="12"/>
  <c r="B326" i="7"/>
  <c r="C326" i="7" s="1"/>
  <c r="I766" i="8"/>
  <c r="J766" i="8" s="1"/>
  <c r="L766" i="8"/>
  <c r="G821" i="7"/>
  <c r="F877" i="8"/>
  <c r="I1380" i="6"/>
  <c r="H1466" i="6"/>
  <c r="I1466" i="6" s="1"/>
  <c r="M650" i="6"/>
  <c r="J163" i="7"/>
  <c r="K839" i="6"/>
  <c r="M839" i="6" s="1"/>
  <c r="H711" i="8"/>
  <c r="B931" i="7"/>
  <c r="E1041" i="8"/>
  <c r="H1041" i="8"/>
  <c r="J272" i="7"/>
  <c r="K272" i="7" s="1"/>
  <c r="M690" i="6"/>
  <c r="K691" i="6" s="1"/>
  <c r="L691" i="6" s="1"/>
  <c r="M931" i="8"/>
  <c r="M381" i="7"/>
  <c r="H545" i="8"/>
  <c r="D545" i="8"/>
  <c r="M435" i="8"/>
  <c r="F930" i="7"/>
  <c r="D767" i="8"/>
  <c r="H767" i="8"/>
  <c r="D272" i="7"/>
  <c r="I711" i="8"/>
  <c r="J711" i="8" s="1"/>
  <c r="L711" i="8"/>
  <c r="B657" i="8"/>
  <c r="C657" i="8" s="1"/>
  <c r="E657" i="8"/>
  <c r="I436" i="8"/>
  <c r="L270" i="12"/>
  <c r="N270" i="12" s="1"/>
  <c r="O270" i="12"/>
  <c r="L790" i="6"/>
  <c r="H1183" i="6"/>
  <c r="J1183" i="6" s="1"/>
  <c r="E39" i="9"/>
  <c r="F39" i="9"/>
  <c r="G39" i="9"/>
  <c r="H217" i="8"/>
  <c r="D217" i="8"/>
  <c r="F217" i="8" s="1"/>
  <c r="K161" i="8"/>
  <c r="O161" i="8"/>
  <c r="D436" i="8"/>
  <c r="F436" i="8" s="1"/>
  <c r="H436" i="8"/>
  <c r="L161" i="8"/>
  <c r="AM218" i="11"/>
  <c r="B765" i="7"/>
  <c r="C765" i="7" s="1"/>
  <c r="E765" i="7"/>
  <c r="O656" i="8"/>
  <c r="K656" i="8"/>
  <c r="M656" i="8" s="1"/>
  <c r="D160" i="7"/>
  <c r="F160" i="7" s="1"/>
  <c r="H160" i="7"/>
  <c r="B930" i="8"/>
  <c r="C930" i="8" s="1"/>
  <c r="E930" i="8" s="1"/>
  <c r="O821" i="8"/>
  <c r="K821" i="8"/>
  <c r="M821" i="8" s="1"/>
  <c r="B601" i="8"/>
  <c r="C601" i="8" s="1"/>
  <c r="E601" i="8"/>
  <c r="N557" i="6"/>
  <c r="O557" i="6" s="1"/>
  <c r="D1041" i="8"/>
  <c r="F1041" i="8" s="1"/>
  <c r="H491" i="7"/>
  <c r="D491" i="7"/>
  <c r="F491" i="7" s="1"/>
  <c r="F821" i="8"/>
  <c r="H1092" i="6"/>
  <c r="J1092" i="6" s="1"/>
  <c r="B601" i="7"/>
  <c r="C601" i="7" s="1"/>
  <c r="E434" i="7"/>
  <c r="H434" i="7"/>
  <c r="O418" i="6"/>
  <c r="E545" i="8"/>
  <c r="K979" i="6"/>
  <c r="M979" i="6" s="1"/>
  <c r="M877" i="7"/>
  <c r="D159" i="8"/>
  <c r="L985" i="8"/>
  <c r="N985" i="8" s="1"/>
  <c r="M595" i="6"/>
  <c r="H217" i="7"/>
  <c r="D217" i="7"/>
  <c r="F217" i="7" s="1"/>
  <c r="I878" i="7"/>
  <c r="I324" i="12"/>
  <c r="J324" i="12" s="1"/>
  <c r="L324" i="12"/>
  <c r="O216" i="12"/>
  <c r="L216" i="12"/>
  <c r="O765" i="7"/>
  <c r="L765" i="7"/>
  <c r="N765" i="7" s="1"/>
  <c r="AJ218" i="11"/>
  <c r="AL218" i="11"/>
  <c r="K216" i="12"/>
  <c r="K820" i="7"/>
  <c r="D659" i="7"/>
  <c r="F659" i="7" s="1"/>
  <c r="H659" i="7"/>
  <c r="P505" i="6"/>
  <c r="N506" i="6" s="1"/>
  <c r="O506" i="6" s="1"/>
  <c r="L931" i="6"/>
  <c r="N874" i="8"/>
  <c r="G214" i="12"/>
  <c r="H1511" i="6"/>
  <c r="J1511" i="6" s="1"/>
  <c r="E767" i="8"/>
  <c r="N271" i="8"/>
  <c r="P217" i="6"/>
  <c r="D434" i="7"/>
  <c r="M1394" i="6"/>
  <c r="G986" i="8"/>
  <c r="N656" i="7"/>
  <c r="N820" i="7" l="1"/>
  <c r="J1233" i="6"/>
  <c r="F159" i="8"/>
  <c r="G217" i="11"/>
  <c r="D1057" i="7"/>
  <c r="U265" i="11"/>
  <c r="W265" i="11" s="1"/>
  <c r="F217" i="11"/>
  <c r="G767" i="8"/>
  <c r="AK218" i="11"/>
  <c r="AN218" i="11" s="1"/>
  <c r="AO218" i="11" s="1"/>
  <c r="E712" i="7"/>
  <c r="G712" i="7" s="1"/>
  <c r="D712" i="7"/>
  <c r="F712" i="7" s="1"/>
  <c r="M161" i="8"/>
  <c r="G436" i="8"/>
  <c r="B437" i="8" s="1"/>
  <c r="C437" i="8" s="1"/>
  <c r="D437" i="8" s="1"/>
  <c r="M270" i="12"/>
  <c r="J271" i="12" s="1"/>
  <c r="O271" i="12" s="1"/>
  <c r="P557" i="6"/>
  <c r="N558" i="6" s="1"/>
  <c r="N216" i="12"/>
  <c r="I217" i="12" s="1"/>
  <c r="G434" i="7"/>
  <c r="F545" i="8"/>
  <c r="AK268" i="11"/>
  <c r="J997" i="7"/>
  <c r="C998" i="7"/>
  <c r="I997" i="7"/>
  <c r="K997" i="7"/>
  <c r="F997" i="7"/>
  <c r="G997" i="7"/>
  <c r="H997" i="7"/>
  <c r="E997" i="7"/>
  <c r="F272" i="7"/>
  <c r="N217" i="8"/>
  <c r="D328" i="8"/>
  <c r="F328" i="8" s="1"/>
  <c r="H328" i="8"/>
  <c r="G161" i="12"/>
  <c r="B162" i="12" s="1"/>
  <c r="P458" i="6"/>
  <c r="N459" i="6" s="1"/>
  <c r="P324" i="6"/>
  <c r="N325" i="6" s="1"/>
  <c r="N821" i="8"/>
  <c r="I822" i="8" s="1"/>
  <c r="J822" i="8" s="1"/>
  <c r="AL268" i="11"/>
  <c r="E328" i="8"/>
  <c r="K601" i="8"/>
  <c r="L601" i="8"/>
  <c r="O601" i="8"/>
  <c r="K545" i="7"/>
  <c r="O545" i="7"/>
  <c r="L545" i="7"/>
  <c r="N545" i="7" s="1"/>
  <c r="H1234" i="6"/>
  <c r="I1234" i="6" s="1"/>
  <c r="I657" i="7"/>
  <c r="J657" i="7" s="1"/>
  <c r="L657" i="7" s="1"/>
  <c r="I986" i="8"/>
  <c r="J436" i="8"/>
  <c r="K436" i="8" s="1"/>
  <c r="B987" i="8"/>
  <c r="C987" i="8" s="1"/>
  <c r="E987" i="8"/>
  <c r="L1044" i="8"/>
  <c r="O1044" i="8"/>
  <c r="N275" i="6"/>
  <c r="P275" i="6" s="1"/>
  <c r="F434" i="7"/>
  <c r="K1044" i="8"/>
  <c r="D326" i="7"/>
  <c r="H326" i="7"/>
  <c r="M1395" i="6"/>
  <c r="B215" i="12"/>
  <c r="C215" i="12" s="1"/>
  <c r="I218" i="8"/>
  <c r="J218" i="8" s="1"/>
  <c r="K218" i="8" s="1"/>
  <c r="L2914" i="6"/>
  <c r="O176" i="6"/>
  <c r="H270" i="8"/>
  <c r="E270" i="8"/>
  <c r="D270" i="8"/>
  <c r="O326" i="7"/>
  <c r="L326" i="7"/>
  <c r="CF217" i="11"/>
  <c r="N656" i="8"/>
  <c r="L712" i="7"/>
  <c r="O712" i="7"/>
  <c r="K326" i="7"/>
  <c r="M326" i="7" s="1"/>
  <c r="P134" i="6"/>
  <c r="M1298" i="6"/>
  <c r="K1299" i="6" s="1"/>
  <c r="L1299" i="6" s="1"/>
  <c r="K163" i="12"/>
  <c r="M163" i="12" s="1"/>
  <c r="O163" i="12"/>
  <c r="I821" i="7"/>
  <c r="G160" i="7"/>
  <c r="O931" i="7"/>
  <c r="K931" i="7"/>
  <c r="L163" i="7"/>
  <c r="O163" i="7"/>
  <c r="L931" i="7"/>
  <c r="G271" i="12"/>
  <c r="B382" i="8"/>
  <c r="C382" i="8" s="1"/>
  <c r="CG217" i="11"/>
  <c r="CJ217" i="11" s="1"/>
  <c r="L979" i="6"/>
  <c r="D601" i="8"/>
  <c r="F601" i="8" s="1"/>
  <c r="H601" i="8"/>
  <c r="I1183" i="6"/>
  <c r="G491" i="7"/>
  <c r="K163" i="7"/>
  <c r="B1098" i="8"/>
  <c r="C1098" i="8" s="1"/>
  <c r="D271" i="12"/>
  <c r="F271" i="12" s="1"/>
  <c r="H271" i="12"/>
  <c r="J1466" i="6"/>
  <c r="H1467" i="6" s="1"/>
  <c r="I1467" i="6" s="1"/>
  <c r="O601" i="7"/>
  <c r="L601" i="7"/>
  <c r="H601" i="7"/>
  <c r="D601" i="7"/>
  <c r="E601" i="7"/>
  <c r="O381" i="8"/>
  <c r="L381" i="8"/>
  <c r="H1381" i="6"/>
  <c r="J1381" i="6" s="1"/>
  <c r="K381" i="8"/>
  <c r="M381" i="8" s="1"/>
  <c r="I766" i="7"/>
  <c r="I1092" i="6"/>
  <c r="J382" i="7"/>
  <c r="C878" i="8"/>
  <c r="D878" i="8" s="1"/>
  <c r="C822" i="8"/>
  <c r="K1395" i="6"/>
  <c r="L1395" i="6" s="1"/>
  <c r="B547" i="7"/>
  <c r="C547" i="7" s="1"/>
  <c r="E547" i="7"/>
  <c r="I272" i="8"/>
  <c r="J272" i="8" s="1"/>
  <c r="L272" i="8" s="1"/>
  <c r="J932" i="8"/>
  <c r="B768" i="8"/>
  <c r="O711" i="8"/>
  <c r="K711" i="8"/>
  <c r="M711" i="8" s="1"/>
  <c r="M691" i="6"/>
  <c r="K692" i="6" s="1"/>
  <c r="L692" i="6" s="1"/>
  <c r="K712" i="7"/>
  <c r="D765" i="7"/>
  <c r="F765" i="7" s="1"/>
  <c r="H765" i="7"/>
  <c r="K1021" i="6"/>
  <c r="L1021" i="6" s="1"/>
  <c r="G159" i="8"/>
  <c r="I1511" i="6"/>
  <c r="J1274" i="6"/>
  <c r="G545" i="8"/>
  <c r="N161" i="8"/>
  <c r="K791" i="6"/>
  <c r="M791" i="6" s="1"/>
  <c r="X265" i="11"/>
  <c r="M879" i="6"/>
  <c r="M49" i="10"/>
  <c r="I49" i="10" s="1"/>
  <c r="E325" i="12"/>
  <c r="G325" i="12" s="1"/>
  <c r="H325" i="12"/>
  <c r="K601" i="7"/>
  <c r="G711" i="8"/>
  <c r="G659" i="7"/>
  <c r="K545" i="8"/>
  <c r="M545" i="8" s="1"/>
  <c r="O545" i="8"/>
  <c r="I875" i="8"/>
  <c r="J875" i="8" s="1"/>
  <c r="L875" i="8"/>
  <c r="B822" i="7"/>
  <c r="C822" i="7" s="1"/>
  <c r="E822" i="7" s="1"/>
  <c r="F161" i="12"/>
  <c r="K932" i="6"/>
  <c r="M932" i="6" s="1"/>
  <c r="H39" i="9"/>
  <c r="I39" i="9" s="1"/>
  <c r="L40" i="9"/>
  <c r="M765" i="7"/>
  <c r="O324" i="12"/>
  <c r="K324" i="12"/>
  <c r="M324" i="12" s="1"/>
  <c r="O272" i="7"/>
  <c r="L272" i="7"/>
  <c r="N272" i="7" s="1"/>
  <c r="L435" i="7"/>
  <c r="N435" i="7" s="1"/>
  <c r="O435" i="7"/>
  <c r="G1041" i="8"/>
  <c r="O493" i="7"/>
  <c r="K493" i="7"/>
  <c r="B382" i="7"/>
  <c r="G217" i="8"/>
  <c r="I271" i="12"/>
  <c r="K766" i="8"/>
  <c r="M766" i="8" s="1"/>
  <c r="O766" i="8"/>
  <c r="L493" i="7"/>
  <c r="M985" i="8"/>
  <c r="G877" i="7"/>
  <c r="B435" i="7"/>
  <c r="M491" i="8"/>
  <c r="H657" i="8"/>
  <c r="D657" i="8"/>
  <c r="F657" i="8" s="1"/>
  <c r="G489" i="8"/>
  <c r="N218" i="6"/>
  <c r="O218" i="6" s="1"/>
  <c r="L744" i="6"/>
  <c r="I327" i="8"/>
  <c r="J327" i="8" s="1"/>
  <c r="O216" i="7"/>
  <c r="K216" i="7"/>
  <c r="M216" i="7" s="1"/>
  <c r="L839" i="6"/>
  <c r="B218" i="7"/>
  <c r="C218" i="7" s="1"/>
  <c r="P506" i="6"/>
  <c r="G765" i="7"/>
  <c r="J878" i="7"/>
  <c r="K878" i="7" s="1"/>
  <c r="M820" i="7"/>
  <c r="N419" i="6"/>
  <c r="P419" i="6" s="1"/>
  <c r="F767" i="8"/>
  <c r="M651" i="6"/>
  <c r="K652" i="6" s="1"/>
  <c r="L652" i="6" s="1"/>
  <c r="M216" i="12"/>
  <c r="M596" i="6"/>
  <c r="K597" i="6" s="1"/>
  <c r="L597" i="6" s="1"/>
  <c r="H930" i="8"/>
  <c r="D930" i="8"/>
  <c r="F930" i="8" s="1"/>
  <c r="C931" i="7"/>
  <c r="E326" i="7"/>
  <c r="L491" i="8"/>
  <c r="N491" i="8" s="1"/>
  <c r="O491" i="8"/>
  <c r="O1096" i="8"/>
  <c r="L1096" i="8"/>
  <c r="N1096" i="8" s="1"/>
  <c r="N368" i="6"/>
  <c r="P368" i="6" s="1"/>
  <c r="H1141" i="6"/>
  <c r="J1141" i="6" s="1"/>
  <c r="G272" i="7"/>
  <c r="F381" i="7"/>
  <c r="F601" i="7" l="1"/>
  <c r="N712" i="7"/>
  <c r="N711" i="8"/>
  <c r="G326" i="7"/>
  <c r="N601" i="7"/>
  <c r="H217" i="11"/>
  <c r="I217" i="11" s="1"/>
  <c r="N163" i="12"/>
  <c r="I164" i="12" s="1"/>
  <c r="J164" i="12" s="1"/>
  <c r="M601" i="8"/>
  <c r="F1057" i="7"/>
  <c r="C1058" i="7"/>
  <c r="I1057" i="7"/>
  <c r="H1057" i="7"/>
  <c r="B1058" i="7" s="1"/>
  <c r="K1057" i="7"/>
  <c r="J1057" i="7"/>
  <c r="E1057" i="7"/>
  <c r="G1057" i="7"/>
  <c r="N766" i="8"/>
  <c r="V265" i="11"/>
  <c r="O459" i="6"/>
  <c r="P459" i="6"/>
  <c r="O558" i="6"/>
  <c r="P558" i="6"/>
  <c r="N559" i="6" s="1"/>
  <c r="P559" i="6" s="1"/>
  <c r="O325" i="6"/>
  <c r="P325" i="6"/>
  <c r="M435" i="7"/>
  <c r="M931" i="7"/>
  <c r="N545" i="8"/>
  <c r="I546" i="8" s="1"/>
  <c r="J546" i="8" s="1"/>
  <c r="O546" i="8" s="1"/>
  <c r="G270" i="8"/>
  <c r="B271" i="8" s="1"/>
  <c r="B998" i="7"/>
  <c r="D998" i="7" s="1"/>
  <c r="AN268" i="11"/>
  <c r="AO268" i="11" s="1"/>
  <c r="AT268" i="11" s="1"/>
  <c r="N1044" i="8"/>
  <c r="AG265" i="11"/>
  <c r="AC265" i="11" s="1"/>
  <c r="F325" i="12"/>
  <c r="C326" i="12" s="1"/>
  <c r="H326" i="12" s="1"/>
  <c r="N216" i="7"/>
  <c r="I217" i="7" s="1"/>
  <c r="J217" i="7" s="1"/>
  <c r="M163" i="7"/>
  <c r="M493" i="7"/>
  <c r="CI217" i="11"/>
  <c r="G328" i="8"/>
  <c r="N460" i="6"/>
  <c r="O460" i="6" s="1"/>
  <c r="E218" i="7"/>
  <c r="H218" i="7"/>
  <c r="D218" i="7"/>
  <c r="K822" i="8"/>
  <c r="L822" i="8"/>
  <c r="N822" i="8" s="1"/>
  <c r="O822" i="8"/>
  <c r="AV218" i="11"/>
  <c r="AU218" i="11"/>
  <c r="AY218" i="11" s="1"/>
  <c r="BD218" i="11" s="1"/>
  <c r="AS218" i="11"/>
  <c r="AX218" i="11" s="1"/>
  <c r="AR218" i="11"/>
  <c r="AQ218" i="11"/>
  <c r="AW218" i="11" s="1"/>
  <c r="AT218" i="11"/>
  <c r="I1045" i="8"/>
  <c r="J217" i="12"/>
  <c r="O382" i="7"/>
  <c r="L382" i="7"/>
  <c r="B218" i="8"/>
  <c r="C218" i="8" s="1"/>
  <c r="K382" i="7"/>
  <c r="N324" i="12"/>
  <c r="J1234" i="6"/>
  <c r="M712" i="7"/>
  <c r="M272" i="7"/>
  <c r="I602" i="7"/>
  <c r="M40" i="9"/>
  <c r="P40" i="9" s="1"/>
  <c r="I1381" i="6"/>
  <c r="B327" i="7"/>
  <c r="N493" i="7"/>
  <c r="B712" i="8"/>
  <c r="C712" i="8" s="1"/>
  <c r="G657" i="8"/>
  <c r="F326" i="7"/>
  <c r="M1096" i="8"/>
  <c r="M1044" i="8"/>
  <c r="B326" i="12"/>
  <c r="L932" i="8"/>
  <c r="O932" i="8"/>
  <c r="H822" i="8"/>
  <c r="E822" i="8"/>
  <c r="H1098" i="8"/>
  <c r="D1098" i="8"/>
  <c r="G930" i="8"/>
  <c r="M597" i="6"/>
  <c r="H215" i="12"/>
  <c r="D215" i="12"/>
  <c r="H1184" i="6"/>
  <c r="J1184" i="6" s="1"/>
  <c r="K271" i="12"/>
  <c r="O875" i="8"/>
  <c r="K875" i="8"/>
  <c r="M875" i="8" s="1"/>
  <c r="H1093" i="6"/>
  <c r="J1093" i="6" s="1"/>
  <c r="I713" i="7"/>
  <c r="B766" i="7"/>
  <c r="C766" i="7" s="1"/>
  <c r="D766" i="7" s="1"/>
  <c r="I1097" i="8"/>
  <c r="H547" i="7"/>
  <c r="D547" i="7"/>
  <c r="F547" i="7" s="1"/>
  <c r="N177" i="6"/>
  <c r="P177" i="6" s="1"/>
  <c r="B878" i="7"/>
  <c r="C878" i="7" s="1"/>
  <c r="O218" i="8"/>
  <c r="M692" i="6"/>
  <c r="K693" i="6" s="1"/>
  <c r="L693" i="6" s="1"/>
  <c r="B161" i="7"/>
  <c r="C161" i="7" s="1"/>
  <c r="E161" i="7"/>
  <c r="D382" i="8"/>
  <c r="H382" i="8"/>
  <c r="I546" i="7"/>
  <c r="H931" i="7"/>
  <c r="E931" i="7"/>
  <c r="M601" i="7"/>
  <c r="L436" i="8"/>
  <c r="N436" i="8" s="1"/>
  <c r="O436" i="8"/>
  <c r="N381" i="8"/>
  <c r="C435" i="7"/>
  <c r="H437" i="8"/>
  <c r="L932" i="6"/>
  <c r="C382" i="7"/>
  <c r="E437" i="8"/>
  <c r="G437" i="8" s="1"/>
  <c r="C162" i="12"/>
  <c r="N49" i="10"/>
  <c r="H49" i="10" s="1"/>
  <c r="K49" i="10" s="1"/>
  <c r="K932" i="8"/>
  <c r="D822" i="8"/>
  <c r="E1098" i="8"/>
  <c r="N163" i="7"/>
  <c r="O275" i="6"/>
  <c r="H1275" i="6"/>
  <c r="I1275" i="6" s="1"/>
  <c r="O327" i="8"/>
  <c r="K327" i="8"/>
  <c r="I273" i="7"/>
  <c r="B492" i="7"/>
  <c r="C492" i="7" s="1"/>
  <c r="K745" i="6"/>
  <c r="M745" i="6" s="1"/>
  <c r="I767" i="8"/>
  <c r="J767" i="8" s="1"/>
  <c r="L767" i="8" s="1"/>
  <c r="O368" i="6"/>
  <c r="K980" i="6"/>
  <c r="M980" i="6" s="1"/>
  <c r="I712" i="8"/>
  <c r="J712" i="8" s="1"/>
  <c r="K2915" i="6"/>
  <c r="M2915" i="6" s="1"/>
  <c r="O419" i="6"/>
  <c r="J986" i="8"/>
  <c r="J1467" i="6"/>
  <c r="H1468" i="6" s="1"/>
  <c r="I1468" i="6" s="1"/>
  <c r="L218" i="8"/>
  <c r="N218" i="8" s="1"/>
  <c r="B1042" i="8"/>
  <c r="C1042" i="8" s="1"/>
  <c r="M545" i="7"/>
  <c r="D931" i="7"/>
  <c r="B713" i="7"/>
  <c r="C713" i="7" s="1"/>
  <c r="E713" i="7"/>
  <c r="O878" i="7"/>
  <c r="L878" i="7"/>
  <c r="N878" i="7" s="1"/>
  <c r="L271" i="12"/>
  <c r="D822" i="7"/>
  <c r="F822" i="7" s="1"/>
  <c r="H822" i="7"/>
  <c r="H1512" i="6"/>
  <c r="J1512" i="6" s="1"/>
  <c r="G601" i="7"/>
  <c r="G601" i="8"/>
  <c r="M1299" i="6"/>
  <c r="K1300" i="6" s="1"/>
  <c r="L1300" i="6" s="1"/>
  <c r="F270" i="8"/>
  <c r="I1141" i="6"/>
  <c r="M652" i="6"/>
  <c r="P218" i="6"/>
  <c r="N219" i="6" s="1"/>
  <c r="O219" i="6" s="1"/>
  <c r="C768" i="8"/>
  <c r="B490" i="8"/>
  <c r="C490" i="8" s="1"/>
  <c r="I657" i="8"/>
  <c r="J657" i="8" s="1"/>
  <c r="L657" i="8" s="1"/>
  <c r="J766" i="7"/>
  <c r="L791" i="6"/>
  <c r="D987" i="8"/>
  <c r="F987" i="8" s="1"/>
  <c r="H987" i="8"/>
  <c r="I162" i="8"/>
  <c r="J162" i="8" s="1"/>
  <c r="L162" i="8"/>
  <c r="CH217" i="11"/>
  <c r="I492" i="8"/>
  <c r="J492" i="8" s="1"/>
  <c r="O492" i="8" s="1"/>
  <c r="B660" i="7"/>
  <c r="C660" i="7" s="1"/>
  <c r="K880" i="6"/>
  <c r="L880" i="6" s="1"/>
  <c r="J821" i="7"/>
  <c r="K821" i="7" s="1"/>
  <c r="K840" i="6"/>
  <c r="M840" i="6" s="1"/>
  <c r="E382" i="8"/>
  <c r="O40" i="9"/>
  <c r="B546" i="8"/>
  <c r="C546" i="8" s="1"/>
  <c r="E546" i="8"/>
  <c r="M1021" i="6"/>
  <c r="B272" i="12"/>
  <c r="C272" i="12" s="1"/>
  <c r="N326" i="7"/>
  <c r="K1396" i="6"/>
  <c r="L1396" i="6" s="1"/>
  <c r="N931" i="7"/>
  <c r="N135" i="6"/>
  <c r="O135" i="6" s="1"/>
  <c r="B273" i="7"/>
  <c r="C273" i="7" s="1"/>
  <c r="L327" i="8"/>
  <c r="I436" i="7"/>
  <c r="B160" i="8"/>
  <c r="C160" i="8" s="1"/>
  <c r="E160" i="8"/>
  <c r="K272" i="8"/>
  <c r="M272" i="8" s="1"/>
  <c r="O272" i="8"/>
  <c r="E878" i="8"/>
  <c r="G878" i="8" s="1"/>
  <c r="H878" i="8"/>
  <c r="E215" i="12"/>
  <c r="O657" i="7"/>
  <c r="K657" i="7"/>
  <c r="M657" i="7" s="1"/>
  <c r="N507" i="6"/>
  <c r="O507" i="6" s="1"/>
  <c r="N601" i="8"/>
  <c r="N326" i="6" l="1"/>
  <c r="P326" i="6" s="1"/>
  <c r="F382" i="8"/>
  <c r="K217" i="11"/>
  <c r="Q217" i="11" s="1"/>
  <c r="L217" i="11"/>
  <c r="CS217" i="11"/>
  <c r="CO217" i="11" s="1"/>
  <c r="O217" i="11"/>
  <c r="S217" i="11" s="1"/>
  <c r="P217" i="11"/>
  <c r="F1098" i="8"/>
  <c r="M217" i="11"/>
  <c r="R217" i="11" s="1"/>
  <c r="N217" i="11"/>
  <c r="AD265" i="11"/>
  <c r="G822" i="8"/>
  <c r="B823" i="8" s="1"/>
  <c r="AE265" i="11"/>
  <c r="M327" i="8"/>
  <c r="G987" i="8"/>
  <c r="B988" i="8" s="1"/>
  <c r="C988" i="8" s="1"/>
  <c r="H988" i="8" s="1"/>
  <c r="G215" i="12"/>
  <c r="B216" i="12" s="1"/>
  <c r="AA265" i="11"/>
  <c r="AB265" i="11"/>
  <c r="N932" i="8"/>
  <c r="I933" i="8" s="1"/>
  <c r="F218" i="7"/>
  <c r="Y265" i="11"/>
  <c r="Z265" i="11"/>
  <c r="D1058" i="7"/>
  <c r="G931" i="7"/>
  <c r="F998" i="7"/>
  <c r="C999" i="7"/>
  <c r="H998" i="7"/>
  <c r="G998" i="7"/>
  <c r="E998" i="7"/>
  <c r="K998" i="7"/>
  <c r="J998" i="7"/>
  <c r="I998" i="7"/>
  <c r="K767" i="8"/>
  <c r="M767" i="8" s="1"/>
  <c r="I1093" i="6"/>
  <c r="M271" i="12"/>
  <c r="G822" i="7"/>
  <c r="M822" i="8"/>
  <c r="P460" i="6"/>
  <c r="M1396" i="6"/>
  <c r="K1397" i="6" s="1"/>
  <c r="L1397" i="6" s="1"/>
  <c r="M218" i="8"/>
  <c r="AQ268" i="11"/>
  <c r="AW268" i="11" s="1"/>
  <c r="M880" i="6"/>
  <c r="J436" i="7"/>
  <c r="K436" i="7" s="1"/>
  <c r="M436" i="7" s="1"/>
  <c r="F878" i="8"/>
  <c r="N382" i="7"/>
  <c r="I383" i="7" s="1"/>
  <c r="AV268" i="11"/>
  <c r="AU268" i="11"/>
  <c r="AY268" i="11" s="1"/>
  <c r="BD268" i="11" s="1"/>
  <c r="B329" i="8"/>
  <c r="C329" i="8" s="1"/>
  <c r="E329" i="8" s="1"/>
  <c r="AS268" i="11"/>
  <c r="AX268" i="11" s="1"/>
  <c r="BA268" i="11" s="1"/>
  <c r="O767" i="8"/>
  <c r="M878" i="7"/>
  <c r="AR268" i="11"/>
  <c r="L164" i="12"/>
  <c r="K164" i="12"/>
  <c r="O164" i="12"/>
  <c r="O217" i="7"/>
  <c r="L217" i="7"/>
  <c r="K217" i="7"/>
  <c r="M217" i="7" s="1"/>
  <c r="D272" i="12"/>
  <c r="H272" i="12"/>
  <c r="E272" i="12"/>
  <c r="O436" i="7"/>
  <c r="L436" i="7"/>
  <c r="CL217" i="11"/>
  <c r="CP217" i="11"/>
  <c r="CK217" i="11"/>
  <c r="CQ217" i="11"/>
  <c r="K712" i="8"/>
  <c r="L712" i="8"/>
  <c r="N712" i="8" s="1"/>
  <c r="O712" i="8"/>
  <c r="H660" i="7"/>
  <c r="D660" i="7"/>
  <c r="L546" i="8"/>
  <c r="I327" i="7"/>
  <c r="J327" i="7" s="1"/>
  <c r="N272" i="8"/>
  <c r="L2915" i="6"/>
  <c r="K492" i="8"/>
  <c r="K546" i="8"/>
  <c r="O177" i="6"/>
  <c r="J1097" i="8"/>
  <c r="O326" i="6"/>
  <c r="AF265" i="11"/>
  <c r="J266" i="11" s="1"/>
  <c r="E266" i="11"/>
  <c r="C266" i="11"/>
  <c r="H546" i="8"/>
  <c r="D546" i="8"/>
  <c r="F546" i="8" s="1"/>
  <c r="L745" i="6"/>
  <c r="H713" i="7"/>
  <c r="D713" i="7"/>
  <c r="F713" i="7" s="1"/>
  <c r="H160" i="8"/>
  <c r="D160" i="8"/>
  <c r="F160" i="8" s="1"/>
  <c r="F931" i="7"/>
  <c r="B658" i="8"/>
  <c r="C658" i="8" s="1"/>
  <c r="E658" i="8" s="1"/>
  <c r="B602" i="8"/>
  <c r="C602" i="8" s="1"/>
  <c r="E602" i="8"/>
  <c r="D712" i="8"/>
  <c r="H712" i="8"/>
  <c r="H435" i="7"/>
  <c r="E435" i="7"/>
  <c r="G547" i="7"/>
  <c r="E712" i="8"/>
  <c r="B932" i="7"/>
  <c r="K657" i="8"/>
  <c r="M657" i="8" s="1"/>
  <c r="O657" i="8"/>
  <c r="H382" i="7"/>
  <c r="E382" i="7"/>
  <c r="L492" i="8"/>
  <c r="N492" i="8" s="1"/>
  <c r="C271" i="8"/>
  <c r="D271" i="8" s="1"/>
  <c r="D382" i="7"/>
  <c r="H490" i="8"/>
  <c r="D490" i="8"/>
  <c r="O559" i="6"/>
  <c r="K933" i="6"/>
  <c r="M933" i="6" s="1"/>
  <c r="H768" i="8"/>
  <c r="E768" i="8"/>
  <c r="N276" i="6"/>
  <c r="P276" i="6" s="1"/>
  <c r="AZ218" i="11"/>
  <c r="D1042" i="8"/>
  <c r="H1042" i="8"/>
  <c r="O217" i="12"/>
  <c r="L217" i="12"/>
  <c r="I1512" i="6"/>
  <c r="BA218" i="11"/>
  <c r="BC218" i="11"/>
  <c r="D326" i="12"/>
  <c r="H766" i="7"/>
  <c r="E326" i="12"/>
  <c r="N369" i="6"/>
  <c r="P369" i="6" s="1"/>
  <c r="E766" i="7"/>
  <c r="G766" i="7" s="1"/>
  <c r="I932" i="7"/>
  <c r="J932" i="7" s="1"/>
  <c r="L932" i="7"/>
  <c r="O821" i="7"/>
  <c r="L821" i="7"/>
  <c r="N821" i="7" s="1"/>
  <c r="N271" i="12"/>
  <c r="N657" i="7"/>
  <c r="L50" i="10"/>
  <c r="J50" i="10" s="1"/>
  <c r="M693" i="6"/>
  <c r="K694" i="6" s="1"/>
  <c r="L694" i="6" s="1"/>
  <c r="F215" i="12"/>
  <c r="I823" i="8"/>
  <c r="S40" i="9"/>
  <c r="I164" i="7"/>
  <c r="J164" i="7" s="1"/>
  <c r="E1042" i="8"/>
  <c r="G1098" i="8"/>
  <c r="K217" i="12"/>
  <c r="G382" i="8"/>
  <c r="M932" i="8"/>
  <c r="D161" i="7"/>
  <c r="F161" i="7" s="1"/>
  <c r="H161" i="7"/>
  <c r="K792" i="6"/>
  <c r="M792" i="6" s="1"/>
  <c r="H1142" i="6"/>
  <c r="J1142" i="6" s="1"/>
  <c r="I879" i="7"/>
  <c r="L986" i="8"/>
  <c r="O986" i="8"/>
  <c r="P135" i="6"/>
  <c r="N136" i="6" s="1"/>
  <c r="O136" i="6" s="1"/>
  <c r="H162" i="12"/>
  <c r="E162" i="12"/>
  <c r="I325" i="12"/>
  <c r="J325" i="12" s="1"/>
  <c r="L325" i="12" s="1"/>
  <c r="H218" i="8"/>
  <c r="D218" i="8"/>
  <c r="F437" i="8"/>
  <c r="N327" i="8"/>
  <c r="D768" i="8"/>
  <c r="I494" i="7"/>
  <c r="J494" i="7" s="1"/>
  <c r="L494" i="7" s="1"/>
  <c r="L980" i="6"/>
  <c r="H273" i="7"/>
  <c r="D273" i="7"/>
  <c r="I219" i="8"/>
  <c r="I382" i="8"/>
  <c r="J382" i="8" s="1"/>
  <c r="L382" i="8" s="1"/>
  <c r="I1184" i="6"/>
  <c r="E273" i="7"/>
  <c r="D266" i="11"/>
  <c r="L840" i="6"/>
  <c r="L766" i="7"/>
  <c r="O766" i="7"/>
  <c r="N875" i="8"/>
  <c r="K986" i="8"/>
  <c r="D492" i="7"/>
  <c r="F492" i="7" s="1"/>
  <c r="H492" i="7"/>
  <c r="D162" i="12"/>
  <c r="I437" i="8"/>
  <c r="H878" i="7"/>
  <c r="D878" i="7"/>
  <c r="N40" i="9"/>
  <c r="Q40" i="9" s="1"/>
  <c r="R40" i="9" s="1"/>
  <c r="P507" i="6"/>
  <c r="N508" i="6" s="1"/>
  <c r="O508" i="6" s="1"/>
  <c r="E218" i="8"/>
  <c r="M436" i="8"/>
  <c r="K598" i="6"/>
  <c r="L598" i="6" s="1"/>
  <c r="C327" i="7"/>
  <c r="D327" i="7" s="1"/>
  <c r="B823" i="7"/>
  <c r="C823" i="7" s="1"/>
  <c r="M1300" i="6"/>
  <c r="K1301" i="6" s="1"/>
  <c r="L1301" i="6" s="1"/>
  <c r="E490" i="8"/>
  <c r="G490" i="8" s="1"/>
  <c r="J546" i="7"/>
  <c r="I602" i="8"/>
  <c r="J602" i="8" s="1"/>
  <c r="B602" i="7"/>
  <c r="C602" i="7" s="1"/>
  <c r="J273" i="7"/>
  <c r="K273" i="7" s="1"/>
  <c r="O162" i="8"/>
  <c r="K162" i="8"/>
  <c r="M162" i="8" s="1"/>
  <c r="D435" i="7"/>
  <c r="M382" i="7"/>
  <c r="G218" i="7"/>
  <c r="P219" i="6"/>
  <c r="N220" i="6" s="1"/>
  <c r="O220" i="6" s="1"/>
  <c r="F822" i="8"/>
  <c r="J1468" i="6"/>
  <c r="J713" i="7"/>
  <c r="K713" i="7" s="1"/>
  <c r="J1275" i="6"/>
  <c r="H1276" i="6" s="1"/>
  <c r="I1276" i="6" s="1"/>
  <c r="H1382" i="6"/>
  <c r="J1382" i="6" s="1"/>
  <c r="K1022" i="6"/>
  <c r="L1022" i="6" s="1"/>
  <c r="K881" i="6"/>
  <c r="L881" i="6" s="1"/>
  <c r="B879" i="8"/>
  <c r="E660" i="7"/>
  <c r="K766" i="7"/>
  <c r="N420" i="6"/>
  <c r="P420" i="6" s="1"/>
  <c r="E492" i="7"/>
  <c r="B438" i="8"/>
  <c r="J602" i="7"/>
  <c r="E878" i="7"/>
  <c r="G878" i="7" s="1"/>
  <c r="H1094" i="6"/>
  <c r="I1094" i="6" s="1"/>
  <c r="B931" i="8"/>
  <c r="C931" i="8" s="1"/>
  <c r="E931" i="8"/>
  <c r="J1045" i="8"/>
  <c r="K653" i="6"/>
  <c r="L653" i="6" s="1"/>
  <c r="H1235" i="6"/>
  <c r="I1235" i="6" s="1"/>
  <c r="M881" i="6" l="1"/>
  <c r="U217" i="11"/>
  <c r="F712" i="8"/>
  <c r="G546" i="8"/>
  <c r="J1058" i="7"/>
  <c r="C1059" i="7" s="1"/>
  <c r="D23" i="7" s="1"/>
  <c r="K1058" i="7"/>
  <c r="D1059" i="7" s="1"/>
  <c r="E23" i="7" s="1"/>
  <c r="F1058" i="7"/>
  <c r="G1058" i="7"/>
  <c r="E1058" i="7"/>
  <c r="I1058" i="7"/>
  <c r="H1058" i="7"/>
  <c r="B1059" i="7"/>
  <c r="B23" i="7" s="1"/>
  <c r="C23" i="7" s="1"/>
  <c r="F326" i="12"/>
  <c r="J823" i="8"/>
  <c r="L823" i="8" s="1"/>
  <c r="G161" i="7"/>
  <c r="G218" i="8"/>
  <c r="B219" i="8" s="1"/>
  <c r="J219" i="8"/>
  <c r="BB218" i="11"/>
  <c r="CM217" i="11"/>
  <c r="F273" i="7"/>
  <c r="CN217" i="11"/>
  <c r="BP218" i="11" s="1"/>
  <c r="T217" i="11"/>
  <c r="V217" i="11" s="1"/>
  <c r="X217" i="11"/>
  <c r="W217" i="11"/>
  <c r="BC268" i="11"/>
  <c r="G660" i="7"/>
  <c r="M986" i="8"/>
  <c r="D329" i="8"/>
  <c r="F329" i="8" s="1"/>
  <c r="H329" i="8"/>
  <c r="G382" i="7"/>
  <c r="B383" i="7" s="1"/>
  <c r="N461" i="6"/>
  <c r="O461" i="6" s="1"/>
  <c r="M766" i="7"/>
  <c r="O276" i="6"/>
  <c r="N277" i="6" s="1"/>
  <c r="P277" i="6" s="1"/>
  <c r="N546" i="8"/>
  <c r="G768" i="8"/>
  <c r="B769" i="8" s="1"/>
  <c r="G266" i="11"/>
  <c r="M217" i="12"/>
  <c r="C879" i="8"/>
  <c r="E879" i="8" s="1"/>
  <c r="G1042" i="8"/>
  <c r="B1043" i="8" s="1"/>
  <c r="N767" i="8"/>
  <c r="I768" i="8" s="1"/>
  <c r="J768" i="8" s="1"/>
  <c r="B999" i="7"/>
  <c r="D999" i="7" s="1"/>
  <c r="N162" i="8"/>
  <c r="I163" i="8" s="1"/>
  <c r="J163" i="8" s="1"/>
  <c r="L163" i="8" s="1"/>
  <c r="G162" i="12"/>
  <c r="B163" i="12" s="1"/>
  <c r="AZ268" i="11"/>
  <c r="BB268" i="11"/>
  <c r="BM268" i="11" s="1"/>
  <c r="J879" i="7"/>
  <c r="L879" i="7" s="1"/>
  <c r="F272" i="12"/>
  <c r="F266" i="11"/>
  <c r="H266" i="11" s="1"/>
  <c r="G435" i="7"/>
  <c r="B436" i="7" s="1"/>
  <c r="M164" i="12"/>
  <c r="D823" i="7"/>
  <c r="E823" i="7"/>
  <c r="G823" i="7" s="1"/>
  <c r="H823" i="7"/>
  <c r="E40" i="9"/>
  <c r="G40" i="9"/>
  <c r="F40" i="9"/>
  <c r="O219" i="8"/>
  <c r="K219" i="8"/>
  <c r="L219" i="8"/>
  <c r="N219" i="8" s="1"/>
  <c r="O823" i="8"/>
  <c r="K823" i="8"/>
  <c r="K882" i="6"/>
  <c r="M882" i="6" s="1"/>
  <c r="H1185" i="6"/>
  <c r="J1185" i="6" s="1"/>
  <c r="O327" i="7"/>
  <c r="K327" i="7"/>
  <c r="B547" i="8"/>
  <c r="O1045" i="8"/>
  <c r="L1045" i="8"/>
  <c r="K382" i="8"/>
  <c r="M382" i="8" s="1"/>
  <c r="O382" i="8"/>
  <c r="J933" i="8"/>
  <c r="J383" i="7"/>
  <c r="O932" i="7"/>
  <c r="K932" i="7"/>
  <c r="M932" i="7" s="1"/>
  <c r="F660" i="7"/>
  <c r="J1235" i="6"/>
  <c r="L1097" i="8"/>
  <c r="O1097" i="8"/>
  <c r="N217" i="7"/>
  <c r="H1236" i="6"/>
  <c r="I1236" i="6" s="1"/>
  <c r="D988" i="8"/>
  <c r="K602" i="8"/>
  <c r="O602" i="8"/>
  <c r="F768" i="8"/>
  <c r="N327" i="6"/>
  <c r="P327" i="6" s="1"/>
  <c r="L602" i="8"/>
  <c r="I328" i="8"/>
  <c r="J328" i="8" s="1"/>
  <c r="M653" i="6"/>
  <c r="K654" i="6" s="1"/>
  <c r="L654" i="6" s="1"/>
  <c r="BM218" i="11"/>
  <c r="N986" i="8"/>
  <c r="H1513" i="6"/>
  <c r="J1513" i="6" s="1"/>
  <c r="K746" i="6"/>
  <c r="M746" i="6" s="1"/>
  <c r="M1397" i="6"/>
  <c r="BO218" i="11"/>
  <c r="CR217" i="11"/>
  <c r="BV218" i="11" s="1"/>
  <c r="B383" i="8"/>
  <c r="C383" i="8" s="1"/>
  <c r="E383" i="8" s="1"/>
  <c r="O546" i="7"/>
  <c r="L546" i="7"/>
  <c r="N546" i="7" s="1"/>
  <c r="I876" i="8"/>
  <c r="J876" i="8" s="1"/>
  <c r="M694" i="6"/>
  <c r="C547" i="8"/>
  <c r="E547" i="8" s="1"/>
  <c r="K1097" i="8"/>
  <c r="M1097" i="8" s="1"/>
  <c r="B879" i="7"/>
  <c r="B491" i="8"/>
  <c r="B767" i="7"/>
  <c r="M1022" i="6"/>
  <c r="K1023" i="6" s="1"/>
  <c r="L1023" i="6" s="1"/>
  <c r="E988" i="8"/>
  <c r="L792" i="6"/>
  <c r="N560" i="6"/>
  <c r="P560" i="6" s="1"/>
  <c r="M712" i="8"/>
  <c r="N164" i="12"/>
  <c r="M598" i="6"/>
  <c r="K599" i="6" s="1"/>
  <c r="L599" i="6" s="1"/>
  <c r="O494" i="7"/>
  <c r="K494" i="7"/>
  <c r="M494" i="7" s="1"/>
  <c r="M821" i="7"/>
  <c r="K164" i="7"/>
  <c r="O164" i="7"/>
  <c r="I658" i="7"/>
  <c r="J658" i="7" s="1"/>
  <c r="O369" i="6"/>
  <c r="F490" i="8"/>
  <c r="N657" i="8"/>
  <c r="M492" i="8"/>
  <c r="N436" i="7"/>
  <c r="F766" i="7"/>
  <c r="B1099" i="8"/>
  <c r="C1099" i="8" s="1"/>
  <c r="O602" i="7"/>
  <c r="L602" i="7"/>
  <c r="C932" i="7"/>
  <c r="P508" i="6"/>
  <c r="N509" i="6" s="1"/>
  <c r="O509" i="6" s="1"/>
  <c r="N766" i="7"/>
  <c r="L933" i="6"/>
  <c r="J1276" i="6"/>
  <c r="H1277" i="6" s="1"/>
  <c r="I1277" i="6" s="1"/>
  <c r="M1301" i="6"/>
  <c r="K841" i="6"/>
  <c r="M841" i="6" s="1"/>
  <c r="M546" i="8"/>
  <c r="G492" i="7"/>
  <c r="J1094" i="6"/>
  <c r="O325" i="12"/>
  <c r="K325" i="12"/>
  <c r="M325" i="12" s="1"/>
  <c r="L164" i="7"/>
  <c r="I272" i="12"/>
  <c r="J272" i="12" s="1"/>
  <c r="K2916" i="6"/>
  <c r="M2916" i="6" s="1"/>
  <c r="H602" i="7"/>
  <c r="D602" i="7"/>
  <c r="I493" i="8"/>
  <c r="C823" i="8"/>
  <c r="F162" i="12"/>
  <c r="I822" i="7"/>
  <c r="P220" i="6"/>
  <c r="P136" i="6"/>
  <c r="N137" i="6" s="1"/>
  <c r="O137" i="6" s="1"/>
  <c r="B219" i="7"/>
  <c r="C219" i="7" s="1"/>
  <c r="E219" i="7"/>
  <c r="D602" i="8"/>
  <c r="F602" i="8" s="1"/>
  <c r="H602" i="8"/>
  <c r="C438" i="8"/>
  <c r="C216" i="12"/>
  <c r="J437" i="8"/>
  <c r="M50" i="10"/>
  <c r="I50" i="10" s="1"/>
  <c r="N50" i="10"/>
  <c r="H50" i="10" s="1"/>
  <c r="K50" i="10" s="1"/>
  <c r="N178" i="6"/>
  <c r="P178" i="6" s="1"/>
  <c r="I1142" i="6"/>
  <c r="K602" i="7"/>
  <c r="M602" i="7" s="1"/>
  <c r="I713" i="8"/>
  <c r="H327" i="7"/>
  <c r="E327" i="7"/>
  <c r="G327" i="7" s="1"/>
  <c r="F878" i="7"/>
  <c r="F382" i="7"/>
  <c r="G712" i="8"/>
  <c r="G160" i="8"/>
  <c r="I273" i="8"/>
  <c r="J273" i="8" s="1"/>
  <c r="L273" i="8"/>
  <c r="H1469" i="6"/>
  <c r="I1469" i="6" s="1"/>
  <c r="G272" i="12"/>
  <c r="B661" i="7"/>
  <c r="K1045" i="8"/>
  <c r="M1045" i="8" s="1"/>
  <c r="I547" i="8"/>
  <c r="H931" i="8"/>
  <c r="D931" i="8"/>
  <c r="F931" i="8" s="1"/>
  <c r="H658" i="8"/>
  <c r="D658" i="8"/>
  <c r="F658" i="8" s="1"/>
  <c r="F435" i="7"/>
  <c r="K546" i="7"/>
  <c r="N217" i="12"/>
  <c r="K981" i="6"/>
  <c r="M981" i="6" s="1"/>
  <c r="I1382" i="6"/>
  <c r="F218" i="8"/>
  <c r="O273" i="7"/>
  <c r="L273" i="7"/>
  <c r="N273" i="7" s="1"/>
  <c r="F1042" i="8"/>
  <c r="G713" i="7"/>
  <c r="O713" i="7"/>
  <c r="L713" i="7"/>
  <c r="N713" i="7" s="1"/>
  <c r="O420" i="6"/>
  <c r="B162" i="7"/>
  <c r="C162" i="7" s="1"/>
  <c r="E602" i="7"/>
  <c r="G273" i="7"/>
  <c r="G326" i="12"/>
  <c r="H271" i="8"/>
  <c r="E271" i="8"/>
  <c r="G271" i="8" s="1"/>
  <c r="B548" i="7"/>
  <c r="C548" i="7" s="1"/>
  <c r="E548" i="7"/>
  <c r="L327" i="7"/>
  <c r="M823" i="8" l="1"/>
  <c r="AG217" i="11"/>
  <c r="F23" i="7"/>
  <c r="I266" i="11"/>
  <c r="K266" i="11" s="1"/>
  <c r="Q266" i="11" s="1"/>
  <c r="F823" i="7"/>
  <c r="BS218" i="11"/>
  <c r="H879" i="8"/>
  <c r="G988" i="8"/>
  <c r="B989" i="8" s="1"/>
  <c r="D879" i="8"/>
  <c r="F879" i="8" s="1"/>
  <c r="O277" i="6"/>
  <c r="N278" i="6" s="1"/>
  <c r="O278" i="6" s="1"/>
  <c r="F602" i="7"/>
  <c r="O163" i="8"/>
  <c r="K879" i="7"/>
  <c r="M879" i="7" s="1"/>
  <c r="O327" i="6"/>
  <c r="N328" i="6" s="1"/>
  <c r="O560" i="6"/>
  <c r="N561" i="6" s="1"/>
  <c r="O561" i="6" s="1"/>
  <c r="BR218" i="11"/>
  <c r="M327" i="7"/>
  <c r="O879" i="7"/>
  <c r="E999" i="7"/>
  <c r="H999" i="7"/>
  <c r="K999" i="7"/>
  <c r="I999" i="7"/>
  <c r="G999" i="7"/>
  <c r="J999" i="7"/>
  <c r="C1000" i="7"/>
  <c r="F999" i="7"/>
  <c r="M602" i="8"/>
  <c r="J1469" i="6"/>
  <c r="H1470" i="6" s="1"/>
  <c r="I1470" i="6" s="1"/>
  <c r="M164" i="7"/>
  <c r="G329" i="8"/>
  <c r="N494" i="7"/>
  <c r="I495" i="7" s="1"/>
  <c r="J495" i="7" s="1"/>
  <c r="BF268" i="11"/>
  <c r="BK268" i="11"/>
  <c r="BE268" i="11"/>
  <c r="BG268" i="11"/>
  <c r="BI268" i="11"/>
  <c r="BJ268" i="11"/>
  <c r="BH268" i="11"/>
  <c r="P461" i="6"/>
  <c r="N462" i="6" s="1"/>
  <c r="D162" i="7"/>
  <c r="H162" i="7"/>
  <c r="E162" i="7"/>
  <c r="G162" i="7" s="1"/>
  <c r="K1024" i="6"/>
  <c r="L1024" i="6" s="1"/>
  <c r="N510" i="6"/>
  <c r="O510" i="6" s="1"/>
  <c r="O266" i="11"/>
  <c r="S266" i="11" s="1"/>
  <c r="N266" i="11"/>
  <c r="L266" i="11"/>
  <c r="M266" i="11"/>
  <c r="R266" i="11" s="1"/>
  <c r="H932" i="7"/>
  <c r="E932" i="7"/>
  <c r="K273" i="8"/>
  <c r="M273" i="8" s="1"/>
  <c r="O273" i="8"/>
  <c r="O933" i="8"/>
  <c r="L933" i="8"/>
  <c r="N933" i="8" s="1"/>
  <c r="K876" i="8"/>
  <c r="O876" i="8"/>
  <c r="M219" i="8"/>
  <c r="N327" i="7"/>
  <c r="C383" i="7"/>
  <c r="L841" i="6"/>
  <c r="H548" i="7"/>
  <c r="D548" i="7"/>
  <c r="F548" i="7" s="1"/>
  <c r="O178" i="6"/>
  <c r="BH218" i="11"/>
  <c r="BG218" i="11"/>
  <c r="BE218" i="11"/>
  <c r="BK218" i="11"/>
  <c r="BJ218" i="11"/>
  <c r="BF218" i="11"/>
  <c r="BI218" i="11"/>
  <c r="N273" i="8"/>
  <c r="D932" i="7"/>
  <c r="F932" i="7" s="1"/>
  <c r="G602" i="7"/>
  <c r="D547" i="8"/>
  <c r="F547" i="8" s="1"/>
  <c r="L746" i="6"/>
  <c r="C769" i="8"/>
  <c r="D769" i="8" s="1"/>
  <c r="B161" i="8"/>
  <c r="C161" i="8" s="1"/>
  <c r="K658" i="7"/>
  <c r="O658" i="7"/>
  <c r="I1513" i="6"/>
  <c r="K933" i="8"/>
  <c r="N421" i="6"/>
  <c r="P421" i="6" s="1"/>
  <c r="J547" i="8"/>
  <c r="L658" i="7"/>
  <c r="N658" i="7" s="1"/>
  <c r="L876" i="8"/>
  <c r="I218" i="7"/>
  <c r="J218" i="7" s="1"/>
  <c r="I1185" i="6"/>
  <c r="I547" i="7"/>
  <c r="N1097" i="8"/>
  <c r="L981" i="6"/>
  <c r="F988" i="8"/>
  <c r="B272" i="8"/>
  <c r="K793" i="6"/>
  <c r="M793" i="6" s="1"/>
  <c r="F327" i="7"/>
  <c r="C436" i="7"/>
  <c r="D436" i="7" s="1"/>
  <c r="I658" i="8"/>
  <c r="J658" i="8" s="1"/>
  <c r="C491" i="8"/>
  <c r="N370" i="6"/>
  <c r="P370" i="6" s="1"/>
  <c r="N823" i="8"/>
  <c r="I987" i="8"/>
  <c r="J987" i="8" s="1"/>
  <c r="H40" i="9"/>
  <c r="I40" i="9" s="1"/>
  <c r="L41" i="9"/>
  <c r="I714" i="7"/>
  <c r="N602" i="7"/>
  <c r="N1045" i="8"/>
  <c r="G658" i="8"/>
  <c r="C879" i="7"/>
  <c r="C163" i="12"/>
  <c r="D163" i="12" s="1"/>
  <c r="J1236" i="6"/>
  <c r="H1383" i="6"/>
  <c r="J1383" i="6" s="1"/>
  <c r="D219" i="7"/>
  <c r="F219" i="7" s="1"/>
  <c r="H219" i="7"/>
  <c r="H1143" i="6"/>
  <c r="J1143" i="6" s="1"/>
  <c r="P137" i="6"/>
  <c r="N138" i="6" s="1"/>
  <c r="O138" i="6" s="1"/>
  <c r="B493" i="7"/>
  <c r="C493" i="7" s="1"/>
  <c r="M1023" i="6"/>
  <c r="I220" i="8"/>
  <c r="B713" i="8"/>
  <c r="C713" i="8" s="1"/>
  <c r="H216" i="12"/>
  <c r="E216" i="12"/>
  <c r="B714" i="7"/>
  <c r="C714" i="7" s="1"/>
  <c r="E714" i="7"/>
  <c r="D216" i="12"/>
  <c r="F216" i="12" s="1"/>
  <c r="J822" i="7"/>
  <c r="M713" i="7"/>
  <c r="C1043" i="8"/>
  <c r="L51" i="10"/>
  <c r="J51" i="10" s="1"/>
  <c r="H1099" i="8"/>
  <c r="D1099" i="8"/>
  <c r="O768" i="8"/>
  <c r="L768" i="8"/>
  <c r="M599" i="6"/>
  <c r="G931" i="8"/>
  <c r="F271" i="8"/>
  <c r="K768" i="8"/>
  <c r="K934" i="6"/>
  <c r="M934" i="6" s="1"/>
  <c r="C767" i="7"/>
  <c r="D767" i="7" s="1"/>
  <c r="I165" i="12"/>
  <c r="J165" i="12" s="1"/>
  <c r="L165" i="12"/>
  <c r="H547" i="8"/>
  <c r="O328" i="8"/>
  <c r="K328" i="8"/>
  <c r="L383" i="7"/>
  <c r="O383" i="7"/>
  <c r="M273" i="7"/>
  <c r="N221" i="6"/>
  <c r="O221" i="6" s="1"/>
  <c r="B328" i="7"/>
  <c r="K695" i="6"/>
  <c r="L695" i="6" s="1"/>
  <c r="I274" i="7"/>
  <c r="L882" i="6"/>
  <c r="O272" i="12"/>
  <c r="K272" i="12"/>
  <c r="I767" i="7"/>
  <c r="J767" i="7" s="1"/>
  <c r="I437" i="7"/>
  <c r="J437" i="7" s="1"/>
  <c r="L437" i="7" s="1"/>
  <c r="J713" i="8"/>
  <c r="L328" i="8"/>
  <c r="K383" i="7"/>
  <c r="N382" i="8"/>
  <c r="K1302" i="6"/>
  <c r="L1302" i="6" s="1"/>
  <c r="E438" i="8"/>
  <c r="H438" i="8"/>
  <c r="J1277" i="6"/>
  <c r="D438" i="8"/>
  <c r="L2916" i="6"/>
  <c r="E1099" i="8"/>
  <c r="M654" i="6"/>
  <c r="H1095" i="6"/>
  <c r="I1095" i="6" s="1"/>
  <c r="B327" i="12"/>
  <c r="C327" i="12" s="1"/>
  <c r="E327" i="12" s="1"/>
  <c r="I218" i="12"/>
  <c r="J218" i="12" s="1"/>
  <c r="B273" i="12"/>
  <c r="C273" i="12" s="1"/>
  <c r="L437" i="8"/>
  <c r="O437" i="8"/>
  <c r="L272" i="12"/>
  <c r="P509" i="6"/>
  <c r="J493" i="8"/>
  <c r="K493" i="8" s="1"/>
  <c r="N602" i="8"/>
  <c r="G602" i="8"/>
  <c r="B824" i="7"/>
  <c r="C824" i="7" s="1"/>
  <c r="H823" i="8"/>
  <c r="E823" i="8"/>
  <c r="D383" i="8"/>
  <c r="F383" i="8" s="1"/>
  <c r="H383" i="8"/>
  <c r="C661" i="7"/>
  <c r="N325" i="12"/>
  <c r="K163" i="8"/>
  <c r="M163" i="8" s="1"/>
  <c r="D823" i="8"/>
  <c r="N932" i="7"/>
  <c r="B274" i="7"/>
  <c r="C274" i="7" s="1"/>
  <c r="C219" i="8"/>
  <c r="D219" i="8" s="1"/>
  <c r="M546" i="7"/>
  <c r="K437" i="8"/>
  <c r="M437" i="8" s="1"/>
  <c r="N164" i="7"/>
  <c r="BQ218" i="11"/>
  <c r="K1398" i="6"/>
  <c r="L1398" i="6" s="1"/>
  <c r="N163" i="8" l="1"/>
  <c r="G823" i="8"/>
  <c r="G547" i="8"/>
  <c r="P266" i="11"/>
  <c r="Y217" i="11"/>
  <c r="AE217" i="11"/>
  <c r="AD217" i="11"/>
  <c r="AC217" i="11"/>
  <c r="AB217" i="11"/>
  <c r="Z217" i="11"/>
  <c r="AA217" i="11"/>
  <c r="L495" i="7"/>
  <c r="O495" i="7"/>
  <c r="P462" i="6"/>
  <c r="O462" i="6"/>
  <c r="O328" i="6"/>
  <c r="P328" i="6"/>
  <c r="G383" i="8"/>
  <c r="B384" i="8" s="1"/>
  <c r="C384" i="8" s="1"/>
  <c r="G879" i="8"/>
  <c r="U266" i="11"/>
  <c r="G219" i="7"/>
  <c r="M876" i="8"/>
  <c r="G438" i="8"/>
  <c r="N272" i="12"/>
  <c r="I273" i="12" s="1"/>
  <c r="N768" i="8"/>
  <c r="I769" i="8" s="1"/>
  <c r="N383" i="7"/>
  <c r="I384" i="7" s="1"/>
  <c r="F1099" i="8"/>
  <c r="AJ269" i="11"/>
  <c r="B1000" i="7"/>
  <c r="D1000" i="7" s="1"/>
  <c r="N879" i="7"/>
  <c r="I880" i="7" s="1"/>
  <c r="J880" i="7" s="1"/>
  <c r="O880" i="7" s="1"/>
  <c r="B330" i="8"/>
  <c r="C330" i="8" s="1"/>
  <c r="E330" i="8" s="1"/>
  <c r="P561" i="6"/>
  <c r="N562" i="6" s="1"/>
  <c r="M695" i="6"/>
  <c r="K696" i="6" s="1"/>
  <c r="M328" i="8"/>
  <c r="P221" i="6"/>
  <c r="P222" i="6" s="1"/>
  <c r="AI269" i="11"/>
  <c r="BL268" i="11"/>
  <c r="AK269" i="11"/>
  <c r="H824" i="7"/>
  <c r="E824" i="7"/>
  <c r="D824" i="7"/>
  <c r="K880" i="7"/>
  <c r="N495" i="7"/>
  <c r="N329" i="6"/>
  <c r="P329" i="6" s="1"/>
  <c r="N511" i="6"/>
  <c r="O511" i="6" s="1"/>
  <c r="D713" i="8"/>
  <c r="H713" i="8"/>
  <c r="D273" i="12"/>
  <c r="H273" i="12"/>
  <c r="B603" i="7"/>
  <c r="C603" i="7" s="1"/>
  <c r="E603" i="7" s="1"/>
  <c r="H493" i="7"/>
  <c r="D493" i="7"/>
  <c r="H1186" i="6"/>
  <c r="J1186" i="6" s="1"/>
  <c r="H1237" i="6"/>
  <c r="I1237" i="6" s="1"/>
  <c r="B603" i="8"/>
  <c r="C603" i="8" s="1"/>
  <c r="E603" i="8"/>
  <c r="J1470" i="6"/>
  <c r="H1471" i="6" s="1"/>
  <c r="I1471" i="6" s="1"/>
  <c r="I603" i="8"/>
  <c r="J603" i="8" s="1"/>
  <c r="L603" i="8" s="1"/>
  <c r="O987" i="8"/>
  <c r="K987" i="8"/>
  <c r="F823" i="8"/>
  <c r="L822" i="7"/>
  <c r="O822" i="7"/>
  <c r="I328" i="7"/>
  <c r="J328" i="7" s="1"/>
  <c r="L328" i="7" s="1"/>
  <c r="M658" i="7"/>
  <c r="J220" i="8"/>
  <c r="K220" i="8" s="1"/>
  <c r="K218" i="12"/>
  <c r="O218" i="12"/>
  <c r="H219" i="8"/>
  <c r="E219" i="8"/>
  <c r="G219" i="8" s="1"/>
  <c r="K883" i="6"/>
  <c r="M883" i="6" s="1"/>
  <c r="M1024" i="6"/>
  <c r="H274" i="7"/>
  <c r="D274" i="7"/>
  <c r="I383" i="8"/>
  <c r="J383" i="8" s="1"/>
  <c r="L383" i="8" s="1"/>
  <c r="E493" i="7"/>
  <c r="M383" i="7"/>
  <c r="O165" i="12"/>
  <c r="K165" i="12"/>
  <c r="M165" i="12" s="1"/>
  <c r="O658" i="8"/>
  <c r="K658" i="8"/>
  <c r="P278" i="6"/>
  <c r="N279" i="6" s="1"/>
  <c r="O279" i="6" s="1"/>
  <c r="O547" i="8"/>
  <c r="L547" i="8"/>
  <c r="I326" i="12"/>
  <c r="J326" i="12" s="1"/>
  <c r="L326" i="12" s="1"/>
  <c r="K547" i="8"/>
  <c r="M547" i="8" s="1"/>
  <c r="K437" i="7"/>
  <c r="M437" i="7" s="1"/>
  <c r="O437" i="7"/>
  <c r="L934" i="6"/>
  <c r="H1043" i="8"/>
  <c r="E1043" i="8"/>
  <c r="K982" i="6"/>
  <c r="M982" i="6" s="1"/>
  <c r="K747" i="6"/>
  <c r="M747" i="6" s="1"/>
  <c r="H1278" i="6"/>
  <c r="I1278" i="6" s="1"/>
  <c r="I659" i="7"/>
  <c r="K842" i="6"/>
  <c r="M842" i="6" s="1"/>
  <c r="H661" i="7"/>
  <c r="E661" i="7"/>
  <c r="D661" i="7"/>
  <c r="F661" i="7" s="1"/>
  <c r="K2917" i="6"/>
  <c r="M2917" i="6" s="1"/>
  <c r="K767" i="7"/>
  <c r="O767" i="7"/>
  <c r="M768" i="8"/>
  <c r="D1043" i="8"/>
  <c r="I603" i="7"/>
  <c r="J603" i="7" s="1"/>
  <c r="L603" i="7" s="1"/>
  <c r="I824" i="8"/>
  <c r="J824" i="8" s="1"/>
  <c r="C328" i="7"/>
  <c r="I1098" i="8"/>
  <c r="J1098" i="8" s="1"/>
  <c r="L1098" i="8" s="1"/>
  <c r="O421" i="6"/>
  <c r="AM219" i="11"/>
  <c r="G548" i="7"/>
  <c r="B163" i="7"/>
  <c r="N437" i="8"/>
  <c r="J274" i="7"/>
  <c r="K274" i="7" s="1"/>
  <c r="I164" i="8"/>
  <c r="J164" i="8" s="1"/>
  <c r="O164" i="8" s="1"/>
  <c r="K822" i="7"/>
  <c r="AI219" i="11"/>
  <c r="BL218" i="11"/>
  <c r="AP219" i="11" s="1"/>
  <c r="E273" i="12"/>
  <c r="E491" i="8"/>
  <c r="H491" i="8"/>
  <c r="AJ219" i="11"/>
  <c r="B439" i="8"/>
  <c r="I1383" i="6"/>
  <c r="D714" i="7"/>
  <c r="F714" i="7" s="1"/>
  <c r="H714" i="7"/>
  <c r="M41" i="9"/>
  <c r="P41" i="9" s="1"/>
  <c r="E769" i="8"/>
  <c r="G769" i="8" s="1"/>
  <c r="H769" i="8"/>
  <c r="H327" i="12"/>
  <c r="D327" i="12"/>
  <c r="F327" i="12" s="1"/>
  <c r="O218" i="7"/>
  <c r="K218" i="7"/>
  <c r="T266" i="11"/>
  <c r="W266" i="11"/>
  <c r="V266" i="11"/>
  <c r="X266" i="11"/>
  <c r="E274" i="7"/>
  <c r="N165" i="12"/>
  <c r="P138" i="6"/>
  <c r="N139" i="6" s="1"/>
  <c r="O139" i="6" s="1"/>
  <c r="L218" i="7"/>
  <c r="I933" i="7"/>
  <c r="J933" i="7" s="1"/>
  <c r="L933" i="7" s="1"/>
  <c r="E879" i="7"/>
  <c r="H879" i="7"/>
  <c r="L987" i="8"/>
  <c r="N179" i="6"/>
  <c r="P179" i="6" s="1"/>
  <c r="L713" i="8"/>
  <c r="O713" i="8"/>
  <c r="H767" i="7"/>
  <c r="E767" i="7"/>
  <c r="G767" i="7" s="1"/>
  <c r="M51" i="10"/>
  <c r="I51" i="10" s="1"/>
  <c r="I1143" i="6"/>
  <c r="D879" i="7"/>
  <c r="B220" i="7"/>
  <c r="C220" i="7" s="1"/>
  <c r="D220" i="7" s="1"/>
  <c r="K713" i="8"/>
  <c r="C989" i="8"/>
  <c r="I274" i="8"/>
  <c r="J274" i="8" s="1"/>
  <c r="K274" i="8" s="1"/>
  <c r="B548" i="8"/>
  <c r="C548" i="8" s="1"/>
  <c r="E548" i="8" s="1"/>
  <c r="P510" i="6"/>
  <c r="E436" i="7"/>
  <c r="G436" i="7" s="1"/>
  <c r="H436" i="7"/>
  <c r="G1099" i="8"/>
  <c r="F438" i="8"/>
  <c r="L767" i="7"/>
  <c r="N767" i="7" s="1"/>
  <c r="C272" i="8"/>
  <c r="J714" i="7"/>
  <c r="K714" i="7" s="1"/>
  <c r="N463" i="6"/>
  <c r="P463" i="6" s="1"/>
  <c r="M933" i="8"/>
  <c r="H383" i="7"/>
  <c r="E383" i="7"/>
  <c r="K600" i="6"/>
  <c r="L600" i="6" s="1"/>
  <c r="B824" i="8"/>
  <c r="L793" i="6"/>
  <c r="H161" i="8"/>
  <c r="D161" i="8"/>
  <c r="J547" i="7"/>
  <c r="K547" i="7" s="1"/>
  <c r="D491" i="8"/>
  <c r="E161" i="8"/>
  <c r="G161" i="8" s="1"/>
  <c r="L218" i="12"/>
  <c r="N218" i="12" s="1"/>
  <c r="B880" i="8"/>
  <c r="C880" i="8" s="1"/>
  <c r="M1302" i="6"/>
  <c r="K1303" i="6" s="1"/>
  <c r="L1303" i="6" s="1"/>
  <c r="I934" i="8"/>
  <c r="H163" i="12"/>
  <c r="E163" i="12"/>
  <c r="G163" i="12" s="1"/>
  <c r="O41" i="9"/>
  <c r="H1096" i="6"/>
  <c r="I1096" i="6" s="1"/>
  <c r="G216" i="12"/>
  <c r="N328" i="8"/>
  <c r="N876" i="8"/>
  <c r="O493" i="8"/>
  <c r="L493" i="8"/>
  <c r="N493" i="8" s="1"/>
  <c r="L658" i="8"/>
  <c r="B659" i="8"/>
  <c r="C659" i="8" s="1"/>
  <c r="E659" i="8" s="1"/>
  <c r="J1095" i="6"/>
  <c r="K495" i="7"/>
  <c r="I1046" i="8"/>
  <c r="J1046" i="8" s="1"/>
  <c r="K655" i="6"/>
  <c r="L655" i="6" s="1"/>
  <c r="BT218" i="11"/>
  <c r="BU218" i="11" s="1"/>
  <c r="I165" i="7"/>
  <c r="J165" i="7" s="1"/>
  <c r="L165" i="7" s="1"/>
  <c r="M272" i="12"/>
  <c r="N222" i="6"/>
  <c r="O222" i="6" s="1"/>
  <c r="B932" i="8"/>
  <c r="C932" i="8" s="1"/>
  <c r="E932" i="8"/>
  <c r="E713" i="8"/>
  <c r="O370" i="6"/>
  <c r="M1398" i="6"/>
  <c r="H1514" i="6"/>
  <c r="J1514" i="6" s="1"/>
  <c r="D383" i="7"/>
  <c r="G932" i="7"/>
  <c r="F162" i="7"/>
  <c r="O562" i="6" l="1"/>
  <c r="P562" i="6"/>
  <c r="D218" i="11"/>
  <c r="F218" i="11"/>
  <c r="M495" i="7"/>
  <c r="G218" i="11"/>
  <c r="F273" i="12"/>
  <c r="E880" i="8"/>
  <c r="N658" i="8"/>
  <c r="N822" i="7"/>
  <c r="I823" i="7" s="1"/>
  <c r="C218" i="11"/>
  <c r="AF217" i="11"/>
  <c r="J218" i="11" s="1"/>
  <c r="E218" i="11"/>
  <c r="G713" i="8"/>
  <c r="B714" i="8" s="1"/>
  <c r="L696" i="6"/>
  <c r="M696" i="6"/>
  <c r="O463" i="6"/>
  <c r="N464" i="6" s="1"/>
  <c r="P464" i="6" s="1"/>
  <c r="G824" i="7"/>
  <c r="N713" i="8"/>
  <c r="I714" i="8" s="1"/>
  <c r="O179" i="6"/>
  <c r="N180" i="6" s="1"/>
  <c r="O274" i="8"/>
  <c r="F274" i="7"/>
  <c r="F493" i="7"/>
  <c r="F163" i="12"/>
  <c r="C164" i="12" s="1"/>
  <c r="E164" i="12" s="1"/>
  <c r="G714" i="7"/>
  <c r="B715" i="7" s="1"/>
  <c r="C715" i="7" s="1"/>
  <c r="M218" i="7"/>
  <c r="D330" i="8"/>
  <c r="F330" i="8" s="1"/>
  <c r="H330" i="8"/>
  <c r="G383" i="7"/>
  <c r="L274" i="8"/>
  <c r="G879" i="7"/>
  <c r="M274" i="8"/>
  <c r="AP269" i="11"/>
  <c r="AM269" i="11"/>
  <c r="AL269" i="11"/>
  <c r="N987" i="8"/>
  <c r="I988" i="8" s="1"/>
  <c r="F436" i="7"/>
  <c r="C437" i="7" s="1"/>
  <c r="H437" i="7" s="1"/>
  <c r="L880" i="7"/>
  <c r="M880" i="7" s="1"/>
  <c r="G491" i="8"/>
  <c r="B492" i="8" s="1"/>
  <c r="H1000" i="7"/>
  <c r="F1000" i="7"/>
  <c r="I1000" i="7"/>
  <c r="C1001" i="7"/>
  <c r="G1000" i="7"/>
  <c r="K1000" i="7"/>
  <c r="J1000" i="7"/>
  <c r="E1000" i="7"/>
  <c r="F1043" i="8"/>
  <c r="M600" i="6"/>
  <c r="K601" i="6" s="1"/>
  <c r="L601" i="6" s="1"/>
  <c r="N223" i="6"/>
  <c r="O223" i="6" s="1"/>
  <c r="N280" i="6"/>
  <c r="O280" i="6" s="1"/>
  <c r="M220" i="8"/>
  <c r="K697" i="6"/>
  <c r="L697" i="6" s="1"/>
  <c r="G659" i="8"/>
  <c r="D384" i="8"/>
  <c r="E384" i="8"/>
  <c r="H384" i="8"/>
  <c r="CA218" i="11"/>
  <c r="CE218" i="11" s="1"/>
  <c r="BZ218" i="11"/>
  <c r="BY218" i="11"/>
  <c r="CD218" i="11" s="1"/>
  <c r="CG218" i="11" s="1"/>
  <c r="CB218" i="11"/>
  <c r="BW218" i="11"/>
  <c r="CC218" i="11" s="1"/>
  <c r="BX218" i="11"/>
  <c r="N512" i="6"/>
  <c r="O512" i="6" s="1"/>
  <c r="N140" i="6"/>
  <c r="O140" i="6" s="1"/>
  <c r="L883" i="6"/>
  <c r="I329" i="8"/>
  <c r="J329" i="8" s="1"/>
  <c r="L329" i="8" s="1"/>
  <c r="B549" i="7"/>
  <c r="C549" i="7" s="1"/>
  <c r="N274" i="8"/>
  <c r="H989" i="8"/>
  <c r="E989" i="8"/>
  <c r="G989" i="8" s="1"/>
  <c r="H272" i="8"/>
  <c r="E272" i="8"/>
  <c r="I496" i="7"/>
  <c r="B880" i="7"/>
  <c r="J769" i="8"/>
  <c r="M493" i="8"/>
  <c r="B220" i="8"/>
  <c r="F219" i="8"/>
  <c r="B217" i="12"/>
  <c r="C217" i="12" s="1"/>
  <c r="E217" i="12"/>
  <c r="J384" i="7"/>
  <c r="G493" i="7"/>
  <c r="K794" i="6"/>
  <c r="M794" i="6" s="1"/>
  <c r="N371" i="6"/>
  <c r="P371" i="6" s="1"/>
  <c r="D989" i="8"/>
  <c r="O329" i="6"/>
  <c r="D272" i="8"/>
  <c r="I1186" i="6"/>
  <c r="I768" i="7"/>
  <c r="I219" i="12"/>
  <c r="F713" i="8"/>
  <c r="B162" i="8"/>
  <c r="E220" i="7"/>
  <c r="G220" i="7" s="1"/>
  <c r="G273" i="12"/>
  <c r="H932" i="8"/>
  <c r="D932" i="8"/>
  <c r="F932" i="8" s="1"/>
  <c r="F491" i="8"/>
  <c r="B1100" i="8"/>
  <c r="C1100" i="8" s="1"/>
  <c r="E1100" i="8" s="1"/>
  <c r="N547" i="8"/>
  <c r="K933" i="7"/>
  <c r="M933" i="7" s="1"/>
  <c r="O933" i="7"/>
  <c r="L2917" i="6"/>
  <c r="M987" i="8"/>
  <c r="J273" i="12"/>
  <c r="K273" i="12" s="1"/>
  <c r="N422" i="6"/>
  <c r="P422" i="6" s="1"/>
  <c r="K164" i="8"/>
  <c r="C163" i="7"/>
  <c r="D163" i="7" s="1"/>
  <c r="F161" i="8"/>
  <c r="J934" i="8"/>
  <c r="K934" i="8" s="1"/>
  <c r="N51" i="10"/>
  <c r="H51" i="10" s="1"/>
  <c r="K51" i="10" s="1"/>
  <c r="B933" i="7"/>
  <c r="C933" i="7" s="1"/>
  <c r="E933" i="7" s="1"/>
  <c r="P511" i="6"/>
  <c r="B768" i="7"/>
  <c r="G274" i="7"/>
  <c r="H1384" i="6"/>
  <c r="J1384" i="6" s="1"/>
  <c r="M218" i="12"/>
  <c r="J659" i="7"/>
  <c r="J1471" i="6"/>
  <c r="H1472" i="6" s="1"/>
  <c r="I1472" i="6" s="1"/>
  <c r="O1046" i="8"/>
  <c r="K1046" i="8"/>
  <c r="F879" i="7"/>
  <c r="N41" i="9"/>
  <c r="Q41" i="9" s="1"/>
  <c r="R41" i="9" s="1"/>
  <c r="L747" i="6"/>
  <c r="L547" i="7"/>
  <c r="N547" i="7" s="1"/>
  <c r="O547" i="7"/>
  <c r="N218" i="7"/>
  <c r="D548" i="8"/>
  <c r="F548" i="8" s="1"/>
  <c r="S41" i="9"/>
  <c r="K603" i="8"/>
  <c r="M603" i="8" s="1"/>
  <c r="O603" i="8"/>
  <c r="B164" i="12"/>
  <c r="O1098" i="8"/>
  <c r="K1098" i="8"/>
  <c r="M1098" i="8" s="1"/>
  <c r="L982" i="6"/>
  <c r="F383" i="7"/>
  <c r="H659" i="8"/>
  <c r="D659" i="8"/>
  <c r="F659" i="8" s="1"/>
  <c r="H220" i="7"/>
  <c r="AG266" i="11"/>
  <c r="H328" i="7"/>
  <c r="E328" i="7"/>
  <c r="L842" i="6"/>
  <c r="G1043" i="8"/>
  <c r="P279" i="6"/>
  <c r="J1278" i="6"/>
  <c r="F767" i="7"/>
  <c r="I494" i="8"/>
  <c r="O603" i="7"/>
  <c r="K603" i="7"/>
  <c r="M603" i="7" s="1"/>
  <c r="H880" i="8"/>
  <c r="D880" i="8"/>
  <c r="I438" i="8"/>
  <c r="J438" i="8" s="1"/>
  <c r="L438" i="8" s="1"/>
  <c r="I877" i="8"/>
  <c r="J877" i="8" s="1"/>
  <c r="M713" i="8"/>
  <c r="K1399" i="6"/>
  <c r="L1399" i="6" s="1"/>
  <c r="C824" i="8"/>
  <c r="C439" i="8"/>
  <c r="O326" i="12"/>
  <c r="K326" i="12"/>
  <c r="M326" i="12" s="1"/>
  <c r="G932" i="8"/>
  <c r="B770" i="8"/>
  <c r="M767" i="7"/>
  <c r="M655" i="6"/>
  <c r="F769" i="8"/>
  <c r="L1046" i="8"/>
  <c r="N1046" i="8" s="1"/>
  <c r="J1237" i="6"/>
  <c r="H1238" i="6" s="1"/>
  <c r="I1238" i="6" s="1"/>
  <c r="B384" i="7"/>
  <c r="H548" i="8"/>
  <c r="H1144" i="6"/>
  <c r="J1144" i="6" s="1"/>
  <c r="K383" i="8"/>
  <c r="M383" i="8" s="1"/>
  <c r="O383" i="8"/>
  <c r="K1025" i="6"/>
  <c r="L1025" i="6" s="1"/>
  <c r="P139" i="6"/>
  <c r="AK219" i="11"/>
  <c r="G661" i="7"/>
  <c r="O220" i="8"/>
  <c r="L220" i="8"/>
  <c r="N220" i="8" s="1"/>
  <c r="J1096" i="6"/>
  <c r="B437" i="7"/>
  <c r="I166" i="12"/>
  <c r="J166" i="12" s="1"/>
  <c r="M822" i="7"/>
  <c r="H603" i="7"/>
  <c r="D603" i="7"/>
  <c r="F603" i="7" s="1"/>
  <c r="K165" i="7"/>
  <c r="M165" i="7" s="1"/>
  <c r="O165" i="7"/>
  <c r="I659" i="8"/>
  <c r="L164" i="8"/>
  <c r="D328" i="7"/>
  <c r="M658" i="8"/>
  <c r="G327" i="12"/>
  <c r="O328" i="7"/>
  <c r="K328" i="7"/>
  <c r="M328" i="7" s="1"/>
  <c r="N563" i="6"/>
  <c r="O563" i="6" s="1"/>
  <c r="F824" i="7"/>
  <c r="K824" i="8"/>
  <c r="M824" i="8" s="1"/>
  <c r="O824" i="8"/>
  <c r="K935" i="6"/>
  <c r="M935" i="6" s="1"/>
  <c r="B825" i="7"/>
  <c r="I1514" i="6"/>
  <c r="M1303" i="6"/>
  <c r="O714" i="7"/>
  <c r="L714" i="7"/>
  <c r="N714" i="7" s="1"/>
  <c r="AL219" i="11"/>
  <c r="O274" i="7"/>
  <c r="L274" i="7"/>
  <c r="N274" i="7" s="1"/>
  <c r="L824" i="8"/>
  <c r="N437" i="7"/>
  <c r="D603" i="8"/>
  <c r="F603" i="8" s="1"/>
  <c r="H603" i="8"/>
  <c r="F880" i="8" l="1"/>
  <c r="M164" i="8"/>
  <c r="F220" i="7"/>
  <c r="N603" i="7"/>
  <c r="G548" i="8"/>
  <c r="N165" i="7"/>
  <c r="I166" i="7" s="1"/>
  <c r="J166" i="7" s="1"/>
  <c r="J496" i="7"/>
  <c r="O496" i="7" s="1"/>
  <c r="N880" i="7"/>
  <c r="I881" i="7" s="1"/>
  <c r="J881" i="7" s="1"/>
  <c r="H218" i="11"/>
  <c r="I218" i="11" s="1"/>
  <c r="F328" i="7"/>
  <c r="O180" i="6"/>
  <c r="N181" i="6" s="1"/>
  <c r="P181" i="6" s="1"/>
  <c r="P180" i="6"/>
  <c r="F272" i="8"/>
  <c r="N933" i="7"/>
  <c r="I934" i="7" s="1"/>
  <c r="J934" i="7" s="1"/>
  <c r="G880" i="8"/>
  <c r="B881" i="8" s="1"/>
  <c r="C881" i="8" s="1"/>
  <c r="H881" i="8" s="1"/>
  <c r="AN269" i="11"/>
  <c r="AO269" i="11" s="1"/>
  <c r="N326" i="12"/>
  <c r="I327" i="12" s="1"/>
  <c r="J327" i="12" s="1"/>
  <c r="M1399" i="6"/>
  <c r="I1384" i="6"/>
  <c r="H1385" i="6" s="1"/>
  <c r="I1385" i="6" s="1"/>
  <c r="M697" i="6"/>
  <c r="F384" i="8"/>
  <c r="B1001" i="7"/>
  <c r="D1001" i="7" s="1"/>
  <c r="L935" i="6"/>
  <c r="K936" i="6" s="1"/>
  <c r="M936" i="6" s="1"/>
  <c r="P223" i="6"/>
  <c r="P224" i="6" s="1"/>
  <c r="G330" i="8"/>
  <c r="H715" i="7"/>
  <c r="D715" i="7"/>
  <c r="E715" i="7"/>
  <c r="K698" i="6"/>
  <c r="L698" i="6" s="1"/>
  <c r="N281" i="6"/>
  <c r="O281" i="6" s="1"/>
  <c r="G41" i="9"/>
  <c r="F41" i="9"/>
  <c r="E41" i="9"/>
  <c r="L166" i="12"/>
  <c r="O166" i="12"/>
  <c r="K166" i="12"/>
  <c r="M166" i="12" s="1"/>
  <c r="H1473" i="6"/>
  <c r="I1473" i="6" s="1"/>
  <c r="N329" i="8"/>
  <c r="N224" i="6"/>
  <c r="O224" i="6" s="1"/>
  <c r="M1304" i="6"/>
  <c r="D164" i="12"/>
  <c r="F164" i="12" s="1"/>
  <c r="J768" i="7"/>
  <c r="K768" i="7" s="1"/>
  <c r="K748" i="6"/>
  <c r="M748" i="6" s="1"/>
  <c r="P563" i="6"/>
  <c r="N564" i="6" s="1"/>
  <c r="O564" i="6" s="1"/>
  <c r="B660" i="8"/>
  <c r="C660" i="8" s="1"/>
  <c r="O464" i="6"/>
  <c r="B328" i="12"/>
  <c r="C328" i="12" s="1"/>
  <c r="E328" i="12" s="1"/>
  <c r="O769" i="8"/>
  <c r="L769" i="8"/>
  <c r="E437" i="7"/>
  <c r="G1100" i="8"/>
  <c r="K769" i="8"/>
  <c r="M769" i="8" s="1"/>
  <c r="H1187" i="6"/>
  <c r="J1187" i="6" s="1"/>
  <c r="P280" i="6"/>
  <c r="D549" i="7"/>
  <c r="H549" i="7"/>
  <c r="I221" i="8"/>
  <c r="J221" i="8" s="1"/>
  <c r="H439" i="8"/>
  <c r="E439" i="8"/>
  <c r="J1472" i="6"/>
  <c r="N330" i="6"/>
  <c r="P330" i="6" s="1"/>
  <c r="G603" i="7"/>
  <c r="M601" i="6"/>
  <c r="I1144" i="6"/>
  <c r="I548" i="7"/>
  <c r="H1515" i="6"/>
  <c r="J1515" i="6" s="1"/>
  <c r="D437" i="7"/>
  <c r="J714" i="8"/>
  <c r="I548" i="8"/>
  <c r="J548" i="8" s="1"/>
  <c r="L548" i="8" s="1"/>
  <c r="K877" i="8"/>
  <c r="O877" i="8"/>
  <c r="P512" i="6"/>
  <c r="J659" i="8"/>
  <c r="B933" i="8"/>
  <c r="C933" i="8" s="1"/>
  <c r="E933" i="8" s="1"/>
  <c r="D1100" i="8"/>
  <c r="F1100" i="8" s="1"/>
  <c r="H1100" i="8"/>
  <c r="L794" i="6"/>
  <c r="O438" i="8"/>
  <c r="K438" i="8"/>
  <c r="M438" i="8" s="1"/>
  <c r="M1046" i="8"/>
  <c r="C492" i="8"/>
  <c r="B1044" i="8"/>
  <c r="C1044" i="8" s="1"/>
  <c r="E1044" i="8" s="1"/>
  <c r="L496" i="7"/>
  <c r="E549" i="7"/>
  <c r="K843" i="6"/>
  <c r="M843" i="6" s="1"/>
  <c r="N824" i="8"/>
  <c r="B662" i="7"/>
  <c r="C662" i="7" s="1"/>
  <c r="D439" i="8"/>
  <c r="F439" i="8" s="1"/>
  <c r="G328" i="7"/>
  <c r="O659" i="7"/>
  <c r="L659" i="7"/>
  <c r="B274" i="12"/>
  <c r="C274" i="12" s="1"/>
  <c r="E274" i="12" s="1"/>
  <c r="M1025" i="6"/>
  <c r="K1026" i="6" s="1"/>
  <c r="L1026" i="6" s="1"/>
  <c r="D217" i="12"/>
  <c r="F217" i="12" s="1"/>
  <c r="H217" i="12"/>
  <c r="N383" i="8"/>
  <c r="K1304" i="6"/>
  <c r="L1304" i="6" s="1"/>
  <c r="K983" i="6"/>
  <c r="M983" i="6" s="1"/>
  <c r="C880" i="7"/>
  <c r="L877" i="8"/>
  <c r="G603" i="8"/>
  <c r="H164" i="12"/>
  <c r="O384" i="7"/>
  <c r="L384" i="7"/>
  <c r="CF218" i="11"/>
  <c r="CH218" i="11"/>
  <c r="CI218" i="11"/>
  <c r="CJ218" i="11"/>
  <c r="N164" i="8"/>
  <c r="O273" i="12"/>
  <c r="L273" i="12"/>
  <c r="N273" i="12" s="1"/>
  <c r="K384" i="7"/>
  <c r="I438" i="7"/>
  <c r="J438" i="7" s="1"/>
  <c r="J1238" i="6"/>
  <c r="H1239" i="6" s="1"/>
  <c r="I1239" i="6" s="1"/>
  <c r="I275" i="7"/>
  <c r="AN219" i="11"/>
  <c r="AO219" i="11"/>
  <c r="AS219" i="11" s="1"/>
  <c r="AX219" i="11" s="1"/>
  <c r="AR219" i="11"/>
  <c r="AQ219" i="11"/>
  <c r="AW219" i="11" s="1"/>
  <c r="K659" i="7"/>
  <c r="M659" i="7" s="1"/>
  <c r="L52" i="10"/>
  <c r="B221" i="7"/>
  <c r="C220" i="8"/>
  <c r="O329" i="8"/>
  <c r="K329" i="8"/>
  <c r="M329" i="8" s="1"/>
  <c r="I604" i="7"/>
  <c r="N1098" i="8"/>
  <c r="AC266" i="11"/>
  <c r="AB266" i="11"/>
  <c r="AA266" i="11"/>
  <c r="AE266" i="11"/>
  <c r="AD266" i="11"/>
  <c r="Y266" i="11"/>
  <c r="Z266" i="11"/>
  <c r="J219" i="12"/>
  <c r="K219" i="12" s="1"/>
  <c r="L934" i="8"/>
  <c r="N934" i="8" s="1"/>
  <c r="O934" i="8"/>
  <c r="J988" i="8"/>
  <c r="K988" i="8" s="1"/>
  <c r="F989" i="8"/>
  <c r="M274" i="7"/>
  <c r="H1097" i="6"/>
  <c r="I1097" i="6" s="1"/>
  <c r="H824" i="8"/>
  <c r="E824" i="8"/>
  <c r="K2918" i="6"/>
  <c r="M2918" i="6" s="1"/>
  <c r="K884" i="6"/>
  <c r="M884" i="6" s="1"/>
  <c r="I1047" i="8"/>
  <c r="D824" i="8"/>
  <c r="J604" i="7"/>
  <c r="L604" i="7" s="1"/>
  <c r="C549" i="8"/>
  <c r="H549" i="8" s="1"/>
  <c r="C162" i="8"/>
  <c r="D162" i="8" s="1"/>
  <c r="D714" i="8"/>
  <c r="C714" i="8"/>
  <c r="O371" i="6"/>
  <c r="G272" i="8"/>
  <c r="H1279" i="6"/>
  <c r="I1279" i="6" s="1"/>
  <c r="N603" i="8"/>
  <c r="G384" i="8"/>
  <c r="J823" i="7"/>
  <c r="C384" i="7"/>
  <c r="B275" i="7"/>
  <c r="C275" i="7" s="1"/>
  <c r="B990" i="8"/>
  <c r="B549" i="8"/>
  <c r="K496" i="7"/>
  <c r="I275" i="8"/>
  <c r="J275" i="8" s="1"/>
  <c r="C768" i="7"/>
  <c r="O422" i="6"/>
  <c r="K656" i="6"/>
  <c r="L656" i="6" s="1"/>
  <c r="N328" i="7"/>
  <c r="H933" i="7"/>
  <c r="D933" i="7"/>
  <c r="F933" i="7" s="1"/>
  <c r="P140" i="6"/>
  <c r="I715" i="7"/>
  <c r="C825" i="7"/>
  <c r="C770" i="8"/>
  <c r="I219" i="7"/>
  <c r="J219" i="7" s="1"/>
  <c r="L219" i="7"/>
  <c r="E163" i="7"/>
  <c r="G163" i="7" s="1"/>
  <c r="H163" i="7"/>
  <c r="B494" i="7"/>
  <c r="C494" i="7" s="1"/>
  <c r="E494" i="7" s="1"/>
  <c r="J494" i="8"/>
  <c r="K494" i="8" s="1"/>
  <c r="M714" i="7"/>
  <c r="M547" i="7"/>
  <c r="F549" i="7" l="1"/>
  <c r="K218" i="11"/>
  <c r="Q218" i="11" s="1"/>
  <c r="M218" i="11"/>
  <c r="R218" i="11" s="1"/>
  <c r="O218" i="11"/>
  <c r="S218" i="11" s="1"/>
  <c r="P218" i="11"/>
  <c r="N218" i="11"/>
  <c r="M934" i="8"/>
  <c r="AT219" i="11"/>
  <c r="C221" i="7"/>
  <c r="E221" i="7" s="1"/>
  <c r="N438" i="8"/>
  <c r="I439" i="8" s="1"/>
  <c r="J439" i="8" s="1"/>
  <c r="L218" i="11"/>
  <c r="E1001" i="7"/>
  <c r="K1001" i="7"/>
  <c r="J1001" i="7"/>
  <c r="G1001" i="7"/>
  <c r="F1001" i="7"/>
  <c r="H1001" i="7"/>
  <c r="C1002" i="7"/>
  <c r="I1001" i="7"/>
  <c r="O166" i="7"/>
  <c r="L166" i="7"/>
  <c r="AV269" i="11"/>
  <c r="AU269" i="11"/>
  <c r="AY269" i="11" s="1"/>
  <c r="BD269" i="11" s="1"/>
  <c r="AQ269" i="11"/>
  <c r="AW269" i="11" s="1"/>
  <c r="AR269" i="11"/>
  <c r="AT269" i="11"/>
  <c r="AS269" i="11"/>
  <c r="AX269" i="11" s="1"/>
  <c r="L934" i="7"/>
  <c r="O934" i="7"/>
  <c r="E660" i="8"/>
  <c r="H660" i="8"/>
  <c r="G824" i="8"/>
  <c r="B825" i="8" s="1"/>
  <c r="K1400" i="6"/>
  <c r="L1400" i="6" s="1"/>
  <c r="CS218" i="11"/>
  <c r="CM218" i="11" s="1"/>
  <c r="M656" i="6"/>
  <c r="N496" i="7"/>
  <c r="I497" i="7" s="1"/>
  <c r="L2918" i="6"/>
  <c r="K2919" i="6" s="1"/>
  <c r="L2919" i="6" s="1"/>
  <c r="B331" i="8"/>
  <c r="C331" i="8" s="1"/>
  <c r="E331" i="8"/>
  <c r="G217" i="12"/>
  <c r="B218" i="12" s="1"/>
  <c r="C218" i="12" s="1"/>
  <c r="E218" i="12" s="1"/>
  <c r="G437" i="7"/>
  <c r="B438" i="7" s="1"/>
  <c r="F163" i="7"/>
  <c r="C164" i="7" s="1"/>
  <c r="E164" i="7" s="1"/>
  <c r="M877" i="8"/>
  <c r="M698" i="6"/>
  <c r="K699" i="6" s="1"/>
  <c r="M699" i="6" s="1"/>
  <c r="F715" i="7"/>
  <c r="M384" i="7"/>
  <c r="K327" i="12"/>
  <c r="L327" i="12"/>
  <c r="N327" i="12" s="1"/>
  <c r="O327" i="12"/>
  <c r="D221" i="7"/>
  <c r="K221" i="8"/>
  <c r="L221" i="8"/>
  <c r="N221" i="8" s="1"/>
  <c r="O221" i="8"/>
  <c r="N225" i="6"/>
  <c r="O225" i="6" s="1"/>
  <c r="N565" i="6"/>
  <c r="O565" i="6" s="1"/>
  <c r="K1027" i="6"/>
  <c r="L1027" i="6" s="1"/>
  <c r="M494" i="8"/>
  <c r="H275" i="7"/>
  <c r="D275" i="7"/>
  <c r="AF266" i="11"/>
  <c r="J267" i="11" s="1"/>
  <c r="C267" i="11"/>
  <c r="M52" i="10"/>
  <c r="I52" i="10" s="1"/>
  <c r="N52" i="10"/>
  <c r="H52" i="10" s="1"/>
  <c r="B1101" i="8"/>
  <c r="C1101" i="8" s="1"/>
  <c r="K934" i="7"/>
  <c r="D549" i="8"/>
  <c r="I274" i="12"/>
  <c r="J1385" i="6"/>
  <c r="H1386" i="6" s="1"/>
  <c r="K1343" i="6" s="1"/>
  <c r="J275" i="7"/>
  <c r="D267" i="11"/>
  <c r="K604" i="7"/>
  <c r="M604" i="7" s="1"/>
  <c r="K881" i="7"/>
  <c r="O881" i="7"/>
  <c r="AZ219" i="11"/>
  <c r="O548" i="8"/>
  <c r="K548" i="8"/>
  <c r="M548" i="8" s="1"/>
  <c r="K166" i="7"/>
  <c r="I329" i="7"/>
  <c r="J329" i="7" s="1"/>
  <c r="B385" i="8"/>
  <c r="C385" i="8" s="1"/>
  <c r="L843" i="6"/>
  <c r="O714" i="8"/>
  <c r="L714" i="8"/>
  <c r="J548" i="7"/>
  <c r="O604" i="7"/>
  <c r="K657" i="6"/>
  <c r="L657" i="6" s="1"/>
  <c r="I604" i="8"/>
  <c r="J604" i="8" s="1"/>
  <c r="L604" i="8"/>
  <c r="I935" i="8"/>
  <c r="J935" i="8" s="1"/>
  <c r="AU219" i="11"/>
  <c r="AY219" i="11" s="1"/>
  <c r="BD219" i="11" s="1"/>
  <c r="AV219" i="11"/>
  <c r="H880" i="7"/>
  <c r="E880" i="7"/>
  <c r="M1026" i="6"/>
  <c r="K714" i="8"/>
  <c r="O330" i="6"/>
  <c r="D328" i="12"/>
  <c r="F328" i="12" s="1"/>
  <c r="H328" i="12"/>
  <c r="G494" i="7"/>
  <c r="O181" i="6"/>
  <c r="E825" i="7"/>
  <c r="H825" i="7"/>
  <c r="M496" i="7"/>
  <c r="D881" i="8"/>
  <c r="D933" i="8"/>
  <c r="F933" i="8" s="1"/>
  <c r="H492" i="8"/>
  <c r="E492" i="8"/>
  <c r="D662" i="7"/>
  <c r="H662" i="7"/>
  <c r="B604" i="7"/>
  <c r="C604" i="7" s="1"/>
  <c r="C990" i="8"/>
  <c r="J1047" i="8"/>
  <c r="I330" i="8"/>
  <c r="J330" i="8" s="1"/>
  <c r="O330" i="8" s="1"/>
  <c r="E881" i="8"/>
  <c r="CQ218" i="11"/>
  <c r="CP218" i="11"/>
  <c r="CO218" i="11"/>
  <c r="CN218" i="11"/>
  <c r="I825" i="8"/>
  <c r="J825" i="8" s="1"/>
  <c r="L825" i="8"/>
  <c r="L881" i="7"/>
  <c r="D660" i="8"/>
  <c r="F660" i="8" s="1"/>
  <c r="E549" i="8"/>
  <c r="K795" i="6"/>
  <c r="M795" i="6" s="1"/>
  <c r="P281" i="6"/>
  <c r="N282" i="6" s="1"/>
  <c r="O282" i="6" s="1"/>
  <c r="J715" i="7"/>
  <c r="K715" i="7" s="1"/>
  <c r="N423" i="6"/>
  <c r="P423" i="6" s="1"/>
  <c r="L219" i="12"/>
  <c r="N219" i="12" s="1"/>
  <c r="O219" i="12"/>
  <c r="N384" i="7"/>
  <c r="D880" i="7"/>
  <c r="F880" i="7" s="1"/>
  <c r="G549" i="7"/>
  <c r="H933" i="8"/>
  <c r="I1187" i="6"/>
  <c r="F437" i="7"/>
  <c r="J1473" i="6"/>
  <c r="J1279" i="6"/>
  <c r="H1280" i="6" s="1"/>
  <c r="I1280" i="6" s="1"/>
  <c r="N465" i="6"/>
  <c r="P465" i="6" s="1"/>
  <c r="G715" i="7"/>
  <c r="J1097" i="6"/>
  <c r="M273" i="12"/>
  <c r="N166" i="12"/>
  <c r="O438" i="7"/>
  <c r="K438" i="7"/>
  <c r="E162" i="8"/>
  <c r="G162" i="8" s="1"/>
  <c r="H162" i="8"/>
  <c r="H1145" i="6"/>
  <c r="J1145" i="6" s="1"/>
  <c r="L748" i="6"/>
  <c r="BA219" i="11"/>
  <c r="K602" i="6"/>
  <c r="L602" i="6" s="1"/>
  <c r="J52" i="10"/>
  <c r="B604" i="8"/>
  <c r="C604" i="8" s="1"/>
  <c r="E604" i="8"/>
  <c r="B164" i="7"/>
  <c r="H1098" i="6"/>
  <c r="I1098" i="6" s="1"/>
  <c r="N769" i="8"/>
  <c r="I165" i="8"/>
  <c r="J165" i="8" s="1"/>
  <c r="L165" i="8" s="1"/>
  <c r="E662" i="7"/>
  <c r="O219" i="7"/>
  <c r="K219" i="7"/>
  <c r="M219" i="7" s="1"/>
  <c r="O988" i="8"/>
  <c r="L988" i="8"/>
  <c r="N988" i="8" s="1"/>
  <c r="G164" i="12"/>
  <c r="F824" i="8"/>
  <c r="H274" i="12"/>
  <c r="D274" i="12"/>
  <c r="F274" i="12" s="1"/>
  <c r="H770" i="8"/>
  <c r="E770" i="8"/>
  <c r="L884" i="6"/>
  <c r="E220" i="8"/>
  <c r="H220" i="8"/>
  <c r="L983" i="6"/>
  <c r="N659" i="7"/>
  <c r="D770" i="8"/>
  <c r="H714" i="8"/>
  <c r="E714" i="8"/>
  <c r="G714" i="8" s="1"/>
  <c r="D220" i="8"/>
  <c r="K1305" i="6"/>
  <c r="L1305" i="6" s="1"/>
  <c r="L659" i="8"/>
  <c r="N659" i="8" s="1"/>
  <c r="O659" i="8"/>
  <c r="I1515" i="6"/>
  <c r="G439" i="8"/>
  <c r="N141" i="6"/>
  <c r="O141" i="6" s="1"/>
  <c r="N513" i="6"/>
  <c r="O513" i="6" s="1"/>
  <c r="K275" i="8"/>
  <c r="M275" i="8" s="1"/>
  <c r="O275" i="8"/>
  <c r="E384" i="7"/>
  <c r="H384" i="7"/>
  <c r="L438" i="7"/>
  <c r="B329" i="7"/>
  <c r="C329" i="7" s="1"/>
  <c r="E329" i="7"/>
  <c r="D384" i="7"/>
  <c r="F384" i="7" s="1"/>
  <c r="O768" i="7"/>
  <c r="L768" i="7"/>
  <c r="N768" i="7" s="1"/>
  <c r="L823" i="7"/>
  <c r="N823" i="7" s="1"/>
  <c r="O823" i="7"/>
  <c r="H41" i="9"/>
  <c r="I41" i="9" s="1"/>
  <c r="L42" i="9"/>
  <c r="D825" i="7"/>
  <c r="K823" i="7"/>
  <c r="L936" i="6"/>
  <c r="D492" i="8"/>
  <c r="F492" i="8" s="1"/>
  <c r="N877" i="8"/>
  <c r="I384" i="8"/>
  <c r="J384" i="8" s="1"/>
  <c r="L384" i="8"/>
  <c r="I1099" i="8"/>
  <c r="J1099" i="8" s="1"/>
  <c r="H768" i="7"/>
  <c r="E768" i="7"/>
  <c r="B273" i="8"/>
  <c r="C273" i="8" s="1"/>
  <c r="E273" i="8" s="1"/>
  <c r="L494" i="8"/>
  <c r="N494" i="8" s="1"/>
  <c r="O494" i="8"/>
  <c r="D768" i="7"/>
  <c r="N372" i="6"/>
  <c r="P372" i="6" s="1"/>
  <c r="H494" i="7"/>
  <c r="D494" i="7"/>
  <c r="F494" i="7" s="1"/>
  <c r="L275" i="8"/>
  <c r="E275" i="7"/>
  <c r="J1239" i="6"/>
  <c r="H1044" i="8"/>
  <c r="D1044" i="8"/>
  <c r="F1044" i="8" s="1"/>
  <c r="K659" i="8"/>
  <c r="P564" i="6"/>
  <c r="G933" i="7"/>
  <c r="M934" i="7" l="1"/>
  <c r="H221" i="7"/>
  <c r="U218" i="11"/>
  <c r="T218" i="11"/>
  <c r="X218" i="11"/>
  <c r="W218" i="11"/>
  <c r="V218" i="11"/>
  <c r="G549" i="8"/>
  <c r="B550" i="8" s="1"/>
  <c r="BA269" i="11"/>
  <c r="BC269" i="11" s="1"/>
  <c r="G221" i="7"/>
  <c r="B222" i="7" s="1"/>
  <c r="AZ269" i="11"/>
  <c r="G825" i="7"/>
  <c r="B826" i="7" s="1"/>
  <c r="F267" i="11"/>
  <c r="N881" i="7"/>
  <c r="I882" i="7" s="1"/>
  <c r="B1002" i="7"/>
  <c r="D1002" i="7" s="1"/>
  <c r="F770" i="8"/>
  <c r="N219" i="7"/>
  <c r="M714" i="8"/>
  <c r="G275" i="7"/>
  <c r="B276" i="7" s="1"/>
  <c r="CK218" i="11"/>
  <c r="M166" i="7"/>
  <c r="M1400" i="6"/>
  <c r="G881" i="8"/>
  <c r="L795" i="6"/>
  <c r="K796" i="6" s="1"/>
  <c r="F714" i="8"/>
  <c r="K52" i="10"/>
  <c r="L53" i="10" s="1"/>
  <c r="M438" i="7"/>
  <c r="CL218" i="11"/>
  <c r="F662" i="7"/>
  <c r="G1044" i="8"/>
  <c r="B1045" i="8" s="1"/>
  <c r="C1045" i="8" s="1"/>
  <c r="H1045" i="8" s="1"/>
  <c r="D331" i="8"/>
  <c r="F331" i="8" s="1"/>
  <c r="H331" i="8"/>
  <c r="G768" i="7"/>
  <c r="B769" i="7" s="1"/>
  <c r="BC219" i="11"/>
  <c r="BB219" i="11" s="1"/>
  <c r="M1305" i="6"/>
  <c r="K1306" i="6" s="1"/>
  <c r="M1306" i="6" s="1"/>
  <c r="G220" i="8"/>
  <c r="O935" i="8"/>
  <c r="L935" i="8"/>
  <c r="K935" i="8"/>
  <c r="M935" i="8" s="1"/>
  <c r="L1345" i="6"/>
  <c r="G218" i="12"/>
  <c r="L439" i="8"/>
  <c r="O439" i="8"/>
  <c r="K439" i="8"/>
  <c r="M439" i="8" s="1"/>
  <c r="E1101" i="8"/>
  <c r="D1101" i="8"/>
  <c r="H1101" i="8"/>
  <c r="D164" i="7"/>
  <c r="F164" i="7" s="1"/>
  <c r="H990" i="8"/>
  <c r="E990" i="8"/>
  <c r="D990" i="8"/>
  <c r="F990" i="8" s="1"/>
  <c r="O465" i="6"/>
  <c r="I769" i="7"/>
  <c r="H604" i="7"/>
  <c r="D604" i="7"/>
  <c r="I989" i="8"/>
  <c r="K1099" i="8"/>
  <c r="O1099" i="8"/>
  <c r="C438" i="7"/>
  <c r="D438" i="7" s="1"/>
  <c r="P513" i="6"/>
  <c r="N514" i="6" s="1"/>
  <c r="O514" i="6" s="1"/>
  <c r="G660" i="8"/>
  <c r="B440" i="8"/>
  <c r="C440" i="8" s="1"/>
  <c r="E440" i="8" s="1"/>
  <c r="O548" i="7"/>
  <c r="L548" i="7"/>
  <c r="K937" i="6"/>
  <c r="M937" i="6" s="1"/>
  <c r="H1516" i="6"/>
  <c r="J1516" i="6" s="1"/>
  <c r="G492" i="8"/>
  <c r="N548" i="8"/>
  <c r="F549" i="8"/>
  <c r="H1240" i="6"/>
  <c r="I1240" i="6" s="1"/>
  <c r="B934" i="7"/>
  <c r="C934" i="7" s="1"/>
  <c r="E934" i="7" s="1"/>
  <c r="M657" i="6"/>
  <c r="L330" i="8"/>
  <c r="P565" i="6"/>
  <c r="M823" i="7"/>
  <c r="F881" i="8"/>
  <c r="F825" i="7"/>
  <c r="I770" i="8"/>
  <c r="J770" i="8" s="1"/>
  <c r="L770" i="8" s="1"/>
  <c r="I167" i="12"/>
  <c r="J167" i="12" s="1"/>
  <c r="H1188" i="6"/>
  <c r="J1188" i="6" s="1"/>
  <c r="K825" i="8"/>
  <c r="M825" i="8" s="1"/>
  <c r="O825" i="8"/>
  <c r="G880" i="7"/>
  <c r="K844" i="6"/>
  <c r="M844" i="6" s="1"/>
  <c r="P141" i="6"/>
  <c r="I222" i="8"/>
  <c r="F162" i="8"/>
  <c r="C825" i="8"/>
  <c r="O329" i="7"/>
  <c r="K329" i="7"/>
  <c r="M2919" i="6"/>
  <c r="K2920" i="6" s="1"/>
  <c r="L2920" i="6" s="1"/>
  <c r="N182" i="6"/>
  <c r="P182" i="6" s="1"/>
  <c r="I660" i="7"/>
  <c r="J660" i="7" s="1"/>
  <c r="N166" i="7"/>
  <c r="K604" i="8"/>
  <c r="M604" i="8" s="1"/>
  <c r="O604" i="8"/>
  <c r="B495" i="7"/>
  <c r="C495" i="7" s="1"/>
  <c r="B221" i="8"/>
  <c r="M988" i="8"/>
  <c r="I220" i="12"/>
  <c r="G770" i="8"/>
  <c r="L699" i="6"/>
  <c r="B882" i="8"/>
  <c r="K548" i="7"/>
  <c r="O372" i="6"/>
  <c r="G662" i="7"/>
  <c r="G328" i="12"/>
  <c r="I328" i="12"/>
  <c r="I660" i="8"/>
  <c r="M602" i="6"/>
  <c r="K603" i="6" s="1"/>
  <c r="L603" i="6" s="1"/>
  <c r="O423" i="6"/>
  <c r="N714" i="8"/>
  <c r="M768" i="7"/>
  <c r="O384" i="8"/>
  <c r="K384" i="8"/>
  <c r="M384" i="8" s="1"/>
  <c r="M1027" i="6"/>
  <c r="K1028" i="6" s="1"/>
  <c r="L1028" i="6" s="1"/>
  <c r="I495" i="8"/>
  <c r="J495" i="8" s="1"/>
  <c r="M42" i="9"/>
  <c r="P42" i="9" s="1"/>
  <c r="J274" i="12"/>
  <c r="K274" i="12" s="1"/>
  <c r="P282" i="6"/>
  <c r="O1047" i="8"/>
  <c r="L1047" i="8"/>
  <c r="H385" i="8"/>
  <c r="D385" i="8"/>
  <c r="H164" i="7"/>
  <c r="M221" i="8"/>
  <c r="N604" i="7"/>
  <c r="K749" i="6"/>
  <c r="M749" i="6" s="1"/>
  <c r="D218" i="12"/>
  <c r="F218" i="12" s="1"/>
  <c r="I824" i="7"/>
  <c r="K984" i="6"/>
  <c r="M984" i="6" s="1"/>
  <c r="I1145" i="6"/>
  <c r="L275" i="7"/>
  <c r="O275" i="7"/>
  <c r="K330" i="8"/>
  <c r="M330" i="8" s="1"/>
  <c r="B163" i="8"/>
  <c r="E604" i="7"/>
  <c r="K885" i="6"/>
  <c r="M885" i="6" s="1"/>
  <c r="L1099" i="8"/>
  <c r="M881" i="7"/>
  <c r="E267" i="11"/>
  <c r="N331" i="6"/>
  <c r="P331" i="6" s="1"/>
  <c r="P332" i="6" s="1"/>
  <c r="P333" i="6" s="1"/>
  <c r="P334" i="6" s="1"/>
  <c r="P335" i="6" s="1"/>
  <c r="P336" i="6" s="1"/>
  <c r="P337" i="6" s="1"/>
  <c r="P338" i="6" s="1"/>
  <c r="P339" i="6" s="1"/>
  <c r="P340" i="6" s="1"/>
  <c r="P341" i="6" s="1"/>
  <c r="P342" i="6" s="1"/>
  <c r="P343" i="6" s="1"/>
  <c r="P344" i="6" s="1"/>
  <c r="P345" i="6" s="1"/>
  <c r="P346" i="6" s="1"/>
  <c r="P347" i="6" s="1"/>
  <c r="P348" i="6" s="1"/>
  <c r="P349" i="6" s="1"/>
  <c r="P350" i="6" s="1"/>
  <c r="P351" i="6" s="1"/>
  <c r="H329" i="7"/>
  <c r="D329" i="7"/>
  <c r="F329" i="7" s="1"/>
  <c r="F275" i="7"/>
  <c r="O165" i="8"/>
  <c r="K165" i="8"/>
  <c r="M165" i="8" s="1"/>
  <c r="P225" i="6"/>
  <c r="N226" i="6" s="1"/>
  <c r="O226" i="6" s="1"/>
  <c r="M327" i="12"/>
  <c r="I878" i="8"/>
  <c r="J878" i="8" s="1"/>
  <c r="L878" i="8" s="1"/>
  <c r="G267" i="11"/>
  <c r="O42" i="9"/>
  <c r="G384" i="7"/>
  <c r="F220" i="8"/>
  <c r="J1098" i="6"/>
  <c r="H1099" i="6" s="1"/>
  <c r="I1099" i="6" s="1"/>
  <c r="K1047" i="8"/>
  <c r="J497" i="7"/>
  <c r="K497" i="7" s="1"/>
  <c r="E385" i="8"/>
  <c r="N934" i="7"/>
  <c r="G933" i="8"/>
  <c r="H1474" i="6"/>
  <c r="I1474" i="6" s="1"/>
  <c r="D273" i="8"/>
  <c r="F273" i="8" s="1"/>
  <c r="H273" i="8"/>
  <c r="B716" i="7"/>
  <c r="C716" i="7" s="1"/>
  <c r="E716" i="7"/>
  <c r="B550" i="7"/>
  <c r="C550" i="7" s="1"/>
  <c r="E550" i="7" s="1"/>
  <c r="BP219" i="11"/>
  <c r="B165" i="12"/>
  <c r="C165" i="12" s="1"/>
  <c r="I385" i="7"/>
  <c r="J385" i="7" s="1"/>
  <c r="L385" i="7" s="1"/>
  <c r="I220" i="7"/>
  <c r="J220" i="7" s="1"/>
  <c r="N275" i="8"/>
  <c r="J1280" i="6"/>
  <c r="K275" i="7"/>
  <c r="H604" i="8"/>
  <c r="D604" i="8"/>
  <c r="F604" i="8" s="1"/>
  <c r="H218" i="12"/>
  <c r="F768" i="7"/>
  <c r="N438" i="7"/>
  <c r="O715" i="7"/>
  <c r="L715" i="7"/>
  <c r="N715" i="7" s="1"/>
  <c r="M659" i="8"/>
  <c r="M219" i="12"/>
  <c r="B715" i="8"/>
  <c r="L329" i="7"/>
  <c r="G274" i="12"/>
  <c r="F221" i="7"/>
  <c r="L796" i="6" l="1"/>
  <c r="M796" i="6"/>
  <c r="BB269" i="11"/>
  <c r="BM269" i="11" s="1"/>
  <c r="BG269" i="11" s="1"/>
  <c r="AJ270" i="11" s="1"/>
  <c r="N548" i="7"/>
  <c r="G604" i="7"/>
  <c r="C715" i="8"/>
  <c r="AG218" i="11"/>
  <c r="F385" i="8"/>
  <c r="N384" i="8"/>
  <c r="J1240" i="6"/>
  <c r="D715" i="8"/>
  <c r="H715" i="8"/>
  <c r="E715" i="8"/>
  <c r="G715" i="8" s="1"/>
  <c r="BI269" i="11"/>
  <c r="BJ269" i="11"/>
  <c r="BH269" i="11"/>
  <c r="BK269" i="11"/>
  <c r="CR218" i="11"/>
  <c r="BO219" i="11"/>
  <c r="G331" i="8"/>
  <c r="N329" i="7"/>
  <c r="I330" i="7" s="1"/>
  <c r="G604" i="8"/>
  <c r="B605" i="8" s="1"/>
  <c r="C605" i="8" s="1"/>
  <c r="H605" i="8" s="1"/>
  <c r="K1401" i="6"/>
  <c r="L1401" i="6" s="1"/>
  <c r="G1101" i="8"/>
  <c r="N604" i="8"/>
  <c r="I605" i="8" s="1"/>
  <c r="J605" i="8" s="1"/>
  <c r="G1002" i="7"/>
  <c r="E1002" i="7"/>
  <c r="I1002" i="7"/>
  <c r="F1002" i="7"/>
  <c r="K1002" i="7"/>
  <c r="D1003" i="7" s="1"/>
  <c r="E22" i="7" s="1"/>
  <c r="B25" i="13" s="1"/>
  <c r="J1002" i="7"/>
  <c r="C1003" i="7" s="1"/>
  <c r="D22" i="7" s="1"/>
  <c r="H1002" i="7"/>
  <c r="B1003" i="7"/>
  <c r="B22" i="7" s="1"/>
  <c r="BM219" i="11"/>
  <c r="BF219" i="11" s="1"/>
  <c r="M1047" i="8"/>
  <c r="M275" i="7"/>
  <c r="N825" i="8"/>
  <c r="I826" i="8" s="1"/>
  <c r="J826" i="8" s="1"/>
  <c r="M1099" i="8"/>
  <c r="K220" i="7"/>
  <c r="O220" i="7"/>
  <c r="L220" i="7"/>
  <c r="N220" i="7" s="1"/>
  <c r="O495" i="8"/>
  <c r="K495" i="8"/>
  <c r="L495" i="8"/>
  <c r="N495" i="8" s="1"/>
  <c r="D495" i="7"/>
  <c r="E495" i="7"/>
  <c r="G495" i="7" s="1"/>
  <c r="H495" i="7"/>
  <c r="E825" i="8"/>
  <c r="H825" i="8"/>
  <c r="B385" i="7"/>
  <c r="C385" i="7" s="1"/>
  <c r="E385" i="7"/>
  <c r="M53" i="10"/>
  <c r="I53" i="10" s="1"/>
  <c r="D825" i="8"/>
  <c r="F825" i="8" s="1"/>
  <c r="M603" i="6"/>
  <c r="K604" i="6" s="1"/>
  <c r="L604" i="6" s="1"/>
  <c r="F1101" i="8"/>
  <c r="J1281" i="6"/>
  <c r="L885" i="6"/>
  <c r="G550" i="7"/>
  <c r="S42" i="9"/>
  <c r="B493" i="8"/>
  <c r="C493" i="8" s="1"/>
  <c r="K700" i="6"/>
  <c r="M700" i="6" s="1"/>
  <c r="C276" i="7"/>
  <c r="I549" i="8"/>
  <c r="J549" i="8" s="1"/>
  <c r="C769" i="7"/>
  <c r="D769" i="7" s="1"/>
  <c r="N424" i="6"/>
  <c r="P424" i="6" s="1"/>
  <c r="C826" i="7"/>
  <c r="H716" i="7"/>
  <c r="D716" i="7"/>
  <c r="F716" i="7" s="1"/>
  <c r="I167" i="7"/>
  <c r="J167" i="7" s="1"/>
  <c r="L167" i="7"/>
  <c r="B1102" i="8"/>
  <c r="O331" i="6"/>
  <c r="O332" i="6" s="1"/>
  <c r="O333" i="6" s="1"/>
  <c r="O334" i="6" s="1"/>
  <c r="O335" i="6" s="1"/>
  <c r="O336" i="6" s="1"/>
  <c r="O337" i="6" s="1"/>
  <c r="O338" i="6" s="1"/>
  <c r="O339" i="6" s="1"/>
  <c r="O340" i="6" s="1"/>
  <c r="O341" i="6" s="1"/>
  <c r="O342" i="6" s="1"/>
  <c r="O343" i="6" s="1"/>
  <c r="O344" i="6" s="1"/>
  <c r="O345" i="6" s="1"/>
  <c r="O346" i="6" s="1"/>
  <c r="O347" i="6" s="1"/>
  <c r="O348" i="6" s="1"/>
  <c r="O349" i="6" s="1"/>
  <c r="O350" i="6" s="1"/>
  <c r="O351" i="6" s="1"/>
  <c r="N352" i="6" s="1"/>
  <c r="Q309" i="6" s="1"/>
  <c r="I605" i="7"/>
  <c r="J605" i="7" s="1"/>
  <c r="L605" i="7" s="1"/>
  <c r="B771" i="8"/>
  <c r="C771" i="8" s="1"/>
  <c r="E771" i="8" s="1"/>
  <c r="L937" i="6"/>
  <c r="B881" i="7"/>
  <c r="C881" i="7" s="1"/>
  <c r="E881" i="7"/>
  <c r="N466" i="6"/>
  <c r="P466" i="6" s="1"/>
  <c r="D1045" i="8"/>
  <c r="N275" i="7"/>
  <c r="H1146" i="6"/>
  <c r="J1146" i="6" s="1"/>
  <c r="I385" i="8"/>
  <c r="J385" i="8" s="1"/>
  <c r="M797" i="6"/>
  <c r="O878" i="8"/>
  <c r="K878" i="8"/>
  <c r="M878" i="8" s="1"/>
  <c r="J222" i="8"/>
  <c r="K222" i="8" s="1"/>
  <c r="N283" i="6"/>
  <c r="O283" i="6" s="1"/>
  <c r="I935" i="7"/>
  <c r="J935" i="7" s="1"/>
  <c r="L1306" i="6"/>
  <c r="H165" i="12"/>
  <c r="D165" i="12"/>
  <c r="J328" i="12"/>
  <c r="J1474" i="6"/>
  <c r="H1475" i="6" s="1"/>
  <c r="I1475" i="6" s="1"/>
  <c r="O182" i="6"/>
  <c r="J882" i="7"/>
  <c r="H1241" i="6"/>
  <c r="I1241" i="6" s="1"/>
  <c r="E1045" i="8"/>
  <c r="H1281" i="6"/>
  <c r="I1281" i="6" s="1"/>
  <c r="G273" i="8"/>
  <c r="M1028" i="6"/>
  <c r="K1029" i="6" s="1"/>
  <c r="L1029" i="6" s="1"/>
  <c r="N373" i="6"/>
  <c r="P373" i="6" s="1"/>
  <c r="N1047" i="8"/>
  <c r="J989" i="8"/>
  <c r="K989" i="8" s="1"/>
  <c r="O167" i="12"/>
  <c r="K167" i="12"/>
  <c r="F604" i="7"/>
  <c r="G164" i="7"/>
  <c r="N935" i="8"/>
  <c r="I439" i="7"/>
  <c r="J439" i="7" s="1"/>
  <c r="L439" i="7"/>
  <c r="C221" i="8"/>
  <c r="D221" i="8" s="1"/>
  <c r="I715" i="8"/>
  <c r="J715" i="8" s="1"/>
  <c r="M1345" i="6"/>
  <c r="H438" i="7"/>
  <c r="E438" i="7"/>
  <c r="G438" i="7" s="1"/>
  <c r="L749" i="6"/>
  <c r="C163" i="8"/>
  <c r="D163" i="8" s="1"/>
  <c r="B219" i="12"/>
  <c r="C219" i="12" s="1"/>
  <c r="C882" i="8"/>
  <c r="I1516" i="6"/>
  <c r="I276" i="8"/>
  <c r="J276" i="8" s="1"/>
  <c r="L276" i="8" s="1"/>
  <c r="O274" i="12"/>
  <c r="L274" i="12"/>
  <c r="N274" i="12" s="1"/>
  <c r="N330" i="8"/>
  <c r="N439" i="8"/>
  <c r="B329" i="12"/>
  <c r="C329" i="12" s="1"/>
  <c r="B605" i="7"/>
  <c r="N42" i="9"/>
  <c r="Q42" i="9" s="1"/>
  <c r="R42" i="9" s="1"/>
  <c r="G990" i="8"/>
  <c r="K658" i="6"/>
  <c r="L658" i="6" s="1"/>
  <c r="E165" i="12"/>
  <c r="H267" i="11"/>
  <c r="I267" i="11"/>
  <c r="O267" i="11" s="1"/>
  <c r="S267" i="11" s="1"/>
  <c r="K267" i="11"/>
  <c r="Q267" i="11" s="1"/>
  <c r="L267" i="11"/>
  <c r="D934" i="7"/>
  <c r="F934" i="7" s="1"/>
  <c r="H934" i="7"/>
  <c r="G385" i="8"/>
  <c r="B663" i="7"/>
  <c r="C663" i="7" s="1"/>
  <c r="E663" i="7" s="1"/>
  <c r="O497" i="7"/>
  <c r="L497" i="7"/>
  <c r="N497" i="7" s="1"/>
  <c r="I1188" i="6"/>
  <c r="C550" i="8"/>
  <c r="D550" i="8" s="1"/>
  <c r="C222" i="7"/>
  <c r="N1099" i="8"/>
  <c r="M548" i="7"/>
  <c r="J53" i="10"/>
  <c r="M329" i="7"/>
  <c r="L167" i="12"/>
  <c r="B661" i="8"/>
  <c r="C661" i="8" s="1"/>
  <c r="M715" i="7"/>
  <c r="O660" i="7"/>
  <c r="K660" i="7"/>
  <c r="J824" i="7"/>
  <c r="L660" i="7"/>
  <c r="B934" i="8"/>
  <c r="C934" i="8" s="1"/>
  <c r="L984" i="6"/>
  <c r="L844" i="6"/>
  <c r="I549" i="7"/>
  <c r="J220" i="12"/>
  <c r="G329" i="7"/>
  <c r="N566" i="6"/>
  <c r="O566" i="6" s="1"/>
  <c r="O567" i="6" s="1"/>
  <c r="O568" i="6" s="1"/>
  <c r="O569" i="6" s="1"/>
  <c r="O570" i="6" s="1"/>
  <c r="O571" i="6" s="1"/>
  <c r="O572" i="6" s="1"/>
  <c r="O573" i="6" s="1"/>
  <c r="O574" i="6" s="1"/>
  <c r="O575" i="6" s="1"/>
  <c r="O576" i="6" s="1"/>
  <c r="O577" i="6" s="1"/>
  <c r="O578" i="6" s="1"/>
  <c r="O579" i="6" s="1"/>
  <c r="O580" i="6" s="1"/>
  <c r="O581" i="6" s="1"/>
  <c r="O582" i="6" s="1"/>
  <c r="O583" i="6" s="1"/>
  <c r="O584" i="6" s="1"/>
  <c r="O585" i="6" s="1"/>
  <c r="O586" i="6" s="1"/>
  <c r="H440" i="8"/>
  <c r="D440" i="8"/>
  <c r="F440" i="8" s="1"/>
  <c r="J660" i="8"/>
  <c r="P226" i="6"/>
  <c r="N227" i="6" s="1"/>
  <c r="O227" i="6" s="1"/>
  <c r="N142" i="6"/>
  <c r="O142" i="6" s="1"/>
  <c r="M2920" i="6"/>
  <c r="K2921" i="6" s="1"/>
  <c r="L2921" i="6" s="1"/>
  <c r="I716" i="7"/>
  <c r="B275" i="12"/>
  <c r="C275" i="12" s="1"/>
  <c r="E275" i="12" s="1"/>
  <c r="K385" i="7"/>
  <c r="M385" i="7" s="1"/>
  <c r="O385" i="7"/>
  <c r="H550" i="7"/>
  <c r="D550" i="7"/>
  <c r="F550" i="7" s="1"/>
  <c r="J1099" i="6"/>
  <c r="H1100" i="6" s="1"/>
  <c r="I1100" i="6" s="1"/>
  <c r="J769" i="7"/>
  <c r="K770" i="8"/>
  <c r="M770" i="8" s="1"/>
  <c r="O770" i="8"/>
  <c r="P514" i="6"/>
  <c r="K797" i="6"/>
  <c r="L797" i="6" s="1"/>
  <c r="N165" i="8"/>
  <c r="P142" i="6" l="1"/>
  <c r="N143" i="6" s="1"/>
  <c r="P143" i="6" s="1"/>
  <c r="P144" i="6" s="1"/>
  <c r="P145" i="6" s="1"/>
  <c r="P146" i="6" s="1"/>
  <c r="P147" i="6" s="1"/>
  <c r="P148" i="6" s="1"/>
  <c r="P149" i="6" s="1"/>
  <c r="P150" i="6" s="1"/>
  <c r="P151" i="6" s="1"/>
  <c r="P152" i="6" s="1"/>
  <c r="P153" i="6" s="1"/>
  <c r="P154" i="6" s="1"/>
  <c r="P155" i="6" s="1"/>
  <c r="P156" i="6" s="1"/>
  <c r="P157" i="6" s="1"/>
  <c r="P158" i="6" s="1"/>
  <c r="P159" i="6" s="1"/>
  <c r="P160" i="6" s="1"/>
  <c r="P161" i="6" s="1"/>
  <c r="P162" i="6" s="1"/>
  <c r="P163" i="6" s="1"/>
  <c r="M658" i="6"/>
  <c r="AE218" i="11"/>
  <c r="Z218" i="11"/>
  <c r="AD218" i="11"/>
  <c r="Y218" i="11"/>
  <c r="AA218" i="11"/>
  <c r="AB218" i="11"/>
  <c r="AC218" i="11"/>
  <c r="BE269" i="11"/>
  <c r="BL269" i="11" s="1"/>
  <c r="M660" i="7"/>
  <c r="BF269" i="11"/>
  <c r="K826" i="8"/>
  <c r="M826" i="8" s="1"/>
  <c r="O826" i="8"/>
  <c r="BG219" i="11"/>
  <c r="B332" i="8"/>
  <c r="C332" i="8" s="1"/>
  <c r="E332" i="8" s="1"/>
  <c r="N660" i="7"/>
  <c r="BJ219" i="11"/>
  <c r="BI219" i="11"/>
  <c r="M167" i="12"/>
  <c r="G934" i="7"/>
  <c r="B935" i="7" s="1"/>
  <c r="C935" i="7" s="1"/>
  <c r="P267" i="11"/>
  <c r="BK219" i="11"/>
  <c r="M1401" i="6"/>
  <c r="K1402" i="6" s="1"/>
  <c r="B27" i="7"/>
  <c r="B24" i="13" s="1"/>
  <c r="F22" i="7"/>
  <c r="B22" i="13"/>
  <c r="F165" i="12"/>
  <c r="BH219" i="11"/>
  <c r="C22" i="7"/>
  <c r="B20" i="13"/>
  <c r="M495" i="8"/>
  <c r="BV219" i="11"/>
  <c r="BR219" i="11"/>
  <c r="BS219" i="11"/>
  <c r="BE219" i="11"/>
  <c r="F715" i="8"/>
  <c r="P283" i="6"/>
  <c r="N284" i="6" s="1"/>
  <c r="M274" i="12"/>
  <c r="F1045" i="8"/>
  <c r="G440" i="8"/>
  <c r="B441" i="8" s="1"/>
  <c r="C441" i="8" s="1"/>
  <c r="BQ219" i="11"/>
  <c r="D219" i="12"/>
  <c r="E219" i="12"/>
  <c r="H219" i="12"/>
  <c r="E42" i="9"/>
  <c r="F42" i="9"/>
  <c r="G42" i="9"/>
  <c r="K798" i="6"/>
  <c r="L798" i="6" s="1"/>
  <c r="K605" i="8"/>
  <c r="L605" i="8"/>
  <c r="N605" i="8" s="1"/>
  <c r="O605" i="8"/>
  <c r="K385" i="8"/>
  <c r="L385" i="8"/>
  <c r="N385" i="8" s="1"/>
  <c r="O385" i="8"/>
  <c r="F769" i="7"/>
  <c r="J330" i="7"/>
  <c r="K330" i="7" s="1"/>
  <c r="H1189" i="6"/>
  <c r="J1189" i="6" s="1"/>
  <c r="O439" i="7"/>
  <c r="K439" i="7"/>
  <c r="M439" i="7" s="1"/>
  <c r="H934" i="8"/>
  <c r="D934" i="8"/>
  <c r="B551" i="7"/>
  <c r="C551" i="7" s="1"/>
  <c r="I166" i="8"/>
  <c r="J166" i="8" s="1"/>
  <c r="I936" i="8"/>
  <c r="J936" i="8" s="1"/>
  <c r="L936" i="8"/>
  <c r="M1029" i="6"/>
  <c r="K1030" i="6" s="1"/>
  <c r="L1030" i="6" s="1"/>
  <c r="J1475" i="6"/>
  <c r="H1476" i="6" s="1"/>
  <c r="I1476" i="6" s="1"/>
  <c r="L328" i="12"/>
  <c r="O328" i="12"/>
  <c r="O466" i="6"/>
  <c r="I221" i="7"/>
  <c r="L826" i="8"/>
  <c r="L824" i="7"/>
  <c r="O824" i="7"/>
  <c r="I1100" i="8"/>
  <c r="J1100" i="8" s="1"/>
  <c r="B439" i="7"/>
  <c r="D605" i="8"/>
  <c r="B274" i="8"/>
  <c r="C274" i="8" s="1"/>
  <c r="E274" i="8" s="1"/>
  <c r="B330" i="7"/>
  <c r="C330" i="7" s="1"/>
  <c r="I440" i="8"/>
  <c r="J440" i="8" s="1"/>
  <c r="H1282" i="6"/>
  <c r="I1282" i="6" s="1"/>
  <c r="L220" i="12"/>
  <c r="O220" i="12"/>
  <c r="H882" i="8"/>
  <c r="E882" i="8"/>
  <c r="L700" i="6"/>
  <c r="M497" i="7"/>
  <c r="H222" i="7"/>
  <c r="E222" i="7"/>
  <c r="P227" i="6"/>
  <c r="D222" i="7"/>
  <c r="F222" i="7" s="1"/>
  <c r="O660" i="8"/>
  <c r="L660" i="8"/>
  <c r="O935" i="7"/>
  <c r="K935" i="7"/>
  <c r="M935" i="7" s="1"/>
  <c r="F495" i="7"/>
  <c r="J1100" i="6"/>
  <c r="H1101" i="6" s="1"/>
  <c r="I1101" i="6" s="1"/>
  <c r="H661" i="8"/>
  <c r="D661" i="8"/>
  <c r="G165" i="12"/>
  <c r="K715" i="8"/>
  <c r="O715" i="8"/>
  <c r="O882" i="7"/>
  <c r="L882" i="7"/>
  <c r="L935" i="7"/>
  <c r="H771" i="8"/>
  <c r="H772" i="8" s="1"/>
  <c r="H773" i="8" s="1"/>
  <c r="H774" i="8" s="1"/>
  <c r="H775" i="8" s="1"/>
  <c r="H776" i="8" s="1"/>
  <c r="D771" i="8"/>
  <c r="F771" i="8" s="1"/>
  <c r="D772" i="8" s="1"/>
  <c r="F772" i="8" s="1"/>
  <c r="D773" i="8" s="1"/>
  <c r="F773" i="8" s="1"/>
  <c r="D774" i="8" s="1"/>
  <c r="F774" i="8" s="1"/>
  <c r="D775" i="8" s="1"/>
  <c r="F775" i="8" s="1"/>
  <c r="D776" i="8" s="1"/>
  <c r="F776" i="8" s="1"/>
  <c r="D493" i="8"/>
  <c r="F493" i="8" s="1"/>
  <c r="H493" i="8"/>
  <c r="AI220" i="11"/>
  <c r="G716" i="7"/>
  <c r="I496" i="8"/>
  <c r="H769" i="7"/>
  <c r="E769" i="7"/>
  <c r="G769" i="7" s="1"/>
  <c r="I498" i="7"/>
  <c r="K750" i="6"/>
  <c r="M750" i="6" s="1"/>
  <c r="I276" i="7"/>
  <c r="J276" i="7" s="1"/>
  <c r="L276" i="7" s="1"/>
  <c r="J549" i="7"/>
  <c r="H1517" i="6"/>
  <c r="J1517" i="6" s="1"/>
  <c r="O373" i="6"/>
  <c r="N183" i="6"/>
  <c r="P183" i="6" s="1"/>
  <c r="O549" i="8"/>
  <c r="K549" i="8"/>
  <c r="K886" i="6"/>
  <c r="M886" i="6" s="1"/>
  <c r="D275" i="12"/>
  <c r="F275" i="12" s="1"/>
  <c r="H275" i="12"/>
  <c r="L549" i="8"/>
  <c r="N385" i="7"/>
  <c r="D663" i="7"/>
  <c r="F663" i="7" s="1"/>
  <c r="D664" i="7" s="1"/>
  <c r="F664" i="7" s="1"/>
  <c r="D665" i="7" s="1"/>
  <c r="F665" i="7" s="1"/>
  <c r="D666" i="7" s="1"/>
  <c r="F666" i="7" s="1"/>
  <c r="H663" i="7"/>
  <c r="H664" i="7" s="1"/>
  <c r="H665" i="7" s="1"/>
  <c r="H666" i="7" s="1"/>
  <c r="B165" i="7"/>
  <c r="C165" i="7" s="1"/>
  <c r="E165" i="7"/>
  <c r="H276" i="7"/>
  <c r="E276" i="7"/>
  <c r="D329" i="12"/>
  <c r="H329" i="12"/>
  <c r="C605" i="7"/>
  <c r="K328" i="12"/>
  <c r="C1102" i="8"/>
  <c r="D1102" i="8" s="1"/>
  <c r="P566" i="6"/>
  <c r="P567" i="6" s="1"/>
  <c r="P568" i="6" s="1"/>
  <c r="P569" i="6" s="1"/>
  <c r="P570" i="6" s="1"/>
  <c r="P571" i="6" s="1"/>
  <c r="P572" i="6" s="1"/>
  <c r="P573" i="6" s="1"/>
  <c r="P574" i="6" s="1"/>
  <c r="P575" i="6" s="1"/>
  <c r="P576" i="6" s="1"/>
  <c r="P577" i="6" s="1"/>
  <c r="P578" i="6" s="1"/>
  <c r="P579" i="6" s="1"/>
  <c r="P580" i="6" s="1"/>
  <c r="P581" i="6" s="1"/>
  <c r="P582" i="6" s="1"/>
  <c r="P583" i="6" s="1"/>
  <c r="P584" i="6" s="1"/>
  <c r="P585" i="6" s="1"/>
  <c r="P586" i="6" s="1"/>
  <c r="N587" i="6" s="1"/>
  <c r="Q544" i="6" s="1"/>
  <c r="B386" i="8"/>
  <c r="C386" i="8" s="1"/>
  <c r="M220" i="7"/>
  <c r="O167" i="7"/>
  <c r="K167" i="7"/>
  <c r="M167" i="7" s="1"/>
  <c r="I331" i="8"/>
  <c r="J331" i="8" s="1"/>
  <c r="L331" i="8"/>
  <c r="G1045" i="8"/>
  <c r="H881" i="7"/>
  <c r="D881" i="7"/>
  <c r="F881" i="7" s="1"/>
  <c r="K220" i="12"/>
  <c r="D882" i="8"/>
  <c r="O769" i="7"/>
  <c r="L769" i="7"/>
  <c r="K1307" i="6"/>
  <c r="M1307" i="6" s="1"/>
  <c r="B716" i="8"/>
  <c r="N267" i="11"/>
  <c r="M267" i="11"/>
  <c r="R267" i="11" s="1"/>
  <c r="U267" i="11" s="1"/>
  <c r="J1241" i="6"/>
  <c r="H1242" i="6" s="1"/>
  <c r="I1242" i="6" s="1"/>
  <c r="E826" i="7"/>
  <c r="H826" i="7"/>
  <c r="I275" i="12"/>
  <c r="N770" i="8"/>
  <c r="I1048" i="8"/>
  <c r="J1048" i="8" s="1"/>
  <c r="L1048" i="8"/>
  <c r="D826" i="7"/>
  <c r="K660" i="8"/>
  <c r="K845" i="6"/>
  <c r="M845" i="6" s="1"/>
  <c r="K985" i="6"/>
  <c r="M985" i="6" s="1"/>
  <c r="E661" i="8"/>
  <c r="G661" i="8" s="1"/>
  <c r="H550" i="8"/>
  <c r="E550" i="8"/>
  <c r="G550" i="8" s="1"/>
  <c r="K659" i="6"/>
  <c r="L659" i="6" s="1"/>
  <c r="K276" i="8"/>
  <c r="M276" i="8" s="1"/>
  <c r="O276" i="8"/>
  <c r="L715" i="8"/>
  <c r="N715" i="8" s="1"/>
  <c r="K882" i="7"/>
  <c r="O424" i="6"/>
  <c r="E493" i="8"/>
  <c r="N515" i="6"/>
  <c r="O515" i="6" s="1"/>
  <c r="R311" i="6"/>
  <c r="N878" i="8"/>
  <c r="D276" i="7"/>
  <c r="K824" i="7"/>
  <c r="E329" i="12"/>
  <c r="M604" i="6"/>
  <c r="K605" i="6" s="1"/>
  <c r="L605" i="6" s="1"/>
  <c r="I661" i="7"/>
  <c r="J661" i="7" s="1"/>
  <c r="E605" i="8"/>
  <c r="G605" i="8" s="1"/>
  <c r="F438" i="7"/>
  <c r="M2921" i="6"/>
  <c r="K2922" i="6" s="1"/>
  <c r="L2922" i="6" s="1"/>
  <c r="O989" i="8"/>
  <c r="L989" i="8"/>
  <c r="N989" i="8" s="1"/>
  <c r="I1146" i="6"/>
  <c r="T267" i="11"/>
  <c r="N53" i="10"/>
  <c r="H53" i="10" s="1"/>
  <c r="K53" i="10" s="1"/>
  <c r="K769" i="7"/>
  <c r="J716" i="7"/>
  <c r="K716" i="7" s="1"/>
  <c r="K938" i="6"/>
  <c r="M938" i="6" s="1"/>
  <c r="B496" i="7"/>
  <c r="K1346" i="6"/>
  <c r="L1346" i="6" s="1"/>
  <c r="D385" i="7"/>
  <c r="F385" i="7" s="1"/>
  <c r="H385" i="7"/>
  <c r="E934" i="8"/>
  <c r="N167" i="12"/>
  <c r="B991" i="8"/>
  <c r="C991" i="8" s="1"/>
  <c r="E991" i="8"/>
  <c r="E163" i="8"/>
  <c r="G163" i="8" s="1"/>
  <c r="H163" i="8"/>
  <c r="H221" i="8"/>
  <c r="E221" i="8"/>
  <c r="G221" i="8" s="1"/>
  <c r="L222" i="8"/>
  <c r="N222" i="8" s="1"/>
  <c r="O222" i="8"/>
  <c r="K605" i="7"/>
  <c r="M605" i="7" s="1"/>
  <c r="O605" i="7"/>
  <c r="G825" i="8"/>
  <c r="AL220" i="11" l="1"/>
  <c r="BL219" i="11"/>
  <c r="AP220" i="11" s="1"/>
  <c r="M549" i="8"/>
  <c r="AJ220" i="11"/>
  <c r="M328" i="12"/>
  <c r="G219" i="11"/>
  <c r="F934" i="8"/>
  <c r="M989" i="8"/>
  <c r="J990" i="8" s="1"/>
  <c r="O990" i="8" s="1"/>
  <c r="AI270" i="11"/>
  <c r="F329" i="12"/>
  <c r="AK270" i="11"/>
  <c r="D219" i="11"/>
  <c r="F219" i="11"/>
  <c r="H219" i="11" s="1"/>
  <c r="I219" i="11" s="1"/>
  <c r="K219" i="11" s="1"/>
  <c r="Q219" i="11" s="1"/>
  <c r="M219" i="11"/>
  <c r="R219" i="11" s="1"/>
  <c r="G276" i="7"/>
  <c r="B277" i="7" s="1"/>
  <c r="G663" i="7"/>
  <c r="E664" i="7" s="1"/>
  <c r="G664" i="7" s="1"/>
  <c r="E665" i="7" s="1"/>
  <c r="G665" i="7" s="1"/>
  <c r="E666" i="7" s="1"/>
  <c r="G666" i="7" s="1"/>
  <c r="C219" i="11"/>
  <c r="AF218" i="11"/>
  <c r="J219" i="11" s="1"/>
  <c r="E219" i="11"/>
  <c r="AM220" i="11"/>
  <c r="N826" i="8"/>
  <c r="J275" i="12"/>
  <c r="L275" i="12" s="1"/>
  <c r="J496" i="8"/>
  <c r="G219" i="12"/>
  <c r="K496" i="8"/>
  <c r="O496" i="8"/>
  <c r="M1402" i="6"/>
  <c r="L1402" i="6"/>
  <c r="P284" i="6"/>
  <c r="P285" i="6" s="1"/>
  <c r="P286" i="6" s="1"/>
  <c r="P287" i="6" s="1"/>
  <c r="P288" i="6" s="1"/>
  <c r="P289" i="6" s="1"/>
  <c r="P290" i="6" s="1"/>
  <c r="P291" i="6" s="1"/>
  <c r="P292" i="6" s="1"/>
  <c r="P293" i="6" s="1"/>
  <c r="P294" i="6" s="1"/>
  <c r="P295" i="6" s="1"/>
  <c r="P296" i="6" s="1"/>
  <c r="P297" i="6" s="1"/>
  <c r="P298" i="6" s="1"/>
  <c r="P299" i="6" s="1"/>
  <c r="P300" i="6" s="1"/>
  <c r="P301" i="6" s="1"/>
  <c r="P302" i="6" s="1"/>
  <c r="P303" i="6" s="1"/>
  <c r="P304" i="6" s="1"/>
  <c r="O284" i="6"/>
  <c r="O285" i="6" s="1"/>
  <c r="O286" i="6" s="1"/>
  <c r="O287" i="6" s="1"/>
  <c r="O288" i="6" s="1"/>
  <c r="O289" i="6" s="1"/>
  <c r="O290" i="6" s="1"/>
  <c r="O291" i="6" s="1"/>
  <c r="O292" i="6" s="1"/>
  <c r="O293" i="6" s="1"/>
  <c r="O294" i="6" s="1"/>
  <c r="O295" i="6" s="1"/>
  <c r="O296" i="6" s="1"/>
  <c r="O297" i="6" s="1"/>
  <c r="O298" i="6" s="1"/>
  <c r="O299" i="6" s="1"/>
  <c r="O300" i="6" s="1"/>
  <c r="O301" i="6" s="1"/>
  <c r="O302" i="6" s="1"/>
  <c r="O303" i="6" s="1"/>
  <c r="O304" i="6" s="1"/>
  <c r="N305" i="6" s="1"/>
  <c r="Q262" i="6" s="1"/>
  <c r="AK220" i="11"/>
  <c r="N882" i="7"/>
  <c r="I883" i="7" s="1"/>
  <c r="W267" i="11"/>
  <c r="H332" i="8"/>
  <c r="D332" i="8"/>
  <c r="F332" i="8" s="1"/>
  <c r="N769" i="7"/>
  <c r="BT219" i="11"/>
  <c r="BU219" i="11"/>
  <c r="BY219" i="11" s="1"/>
  <c r="CD219" i="11" s="1"/>
  <c r="N605" i="7"/>
  <c r="I606" i="7" s="1"/>
  <c r="J606" i="7" s="1"/>
  <c r="L606" i="7" s="1"/>
  <c r="X267" i="11"/>
  <c r="F221" i="8"/>
  <c r="M798" i="6"/>
  <c r="AP270" i="11"/>
  <c r="AM270" i="11"/>
  <c r="AL270" i="11"/>
  <c r="L1307" i="6"/>
  <c r="M660" i="8"/>
  <c r="M1346" i="6"/>
  <c r="K1347" i="6" s="1"/>
  <c r="N824" i="7"/>
  <c r="I825" i="7" s="1"/>
  <c r="N220" i="12"/>
  <c r="I221" i="12" s="1"/>
  <c r="G385" i="7"/>
  <c r="B386" i="7" s="1"/>
  <c r="C386" i="7" s="1"/>
  <c r="D386" i="7" s="1"/>
  <c r="C716" i="8"/>
  <c r="E716" i="8" s="1"/>
  <c r="N276" i="8"/>
  <c r="I277" i="8" s="1"/>
  <c r="J277" i="8" s="1"/>
  <c r="F550" i="8"/>
  <c r="F826" i="7"/>
  <c r="F882" i="8"/>
  <c r="M222" i="8"/>
  <c r="D441" i="8"/>
  <c r="H441" i="8"/>
  <c r="E441" i="8"/>
  <c r="G441" i="8" s="1"/>
  <c r="K799" i="6"/>
  <c r="L799" i="6" s="1"/>
  <c r="H1243" i="6"/>
  <c r="I1243" i="6" s="1"/>
  <c r="D551" i="7"/>
  <c r="E551" i="7"/>
  <c r="G551" i="7" s="1"/>
  <c r="H551" i="7"/>
  <c r="O661" i="7"/>
  <c r="K661" i="7"/>
  <c r="L661" i="7"/>
  <c r="N661" i="7" s="1"/>
  <c r="D935" i="7"/>
  <c r="H935" i="7"/>
  <c r="E935" i="7"/>
  <c r="I716" i="8"/>
  <c r="B164" i="8"/>
  <c r="K1100" i="8"/>
  <c r="O1100" i="8"/>
  <c r="L938" i="6"/>
  <c r="H605" i="7"/>
  <c r="E605" i="7"/>
  <c r="L750" i="6"/>
  <c r="K701" i="6"/>
  <c r="M701" i="6" s="1"/>
  <c r="O143" i="6"/>
  <c r="O144" i="6" s="1"/>
  <c r="O145" i="6" s="1"/>
  <c r="O146" i="6" s="1"/>
  <c r="O147" i="6" s="1"/>
  <c r="O148" i="6" s="1"/>
  <c r="O149" i="6" s="1"/>
  <c r="O150" i="6" s="1"/>
  <c r="O151" i="6" s="1"/>
  <c r="O152" i="6" s="1"/>
  <c r="O153" i="6" s="1"/>
  <c r="O154" i="6" s="1"/>
  <c r="O155" i="6" s="1"/>
  <c r="O156" i="6" s="1"/>
  <c r="O157" i="6" s="1"/>
  <c r="O158" i="6" s="1"/>
  <c r="O159" i="6" s="1"/>
  <c r="O160" i="6" s="1"/>
  <c r="O161" i="6" s="1"/>
  <c r="O162" i="6" s="1"/>
  <c r="O163" i="6" s="1"/>
  <c r="N164" i="6" s="1"/>
  <c r="Q121" i="6" s="1"/>
  <c r="H991" i="8"/>
  <c r="D991" i="8"/>
  <c r="F991" i="8" s="1"/>
  <c r="K1048" i="8"/>
  <c r="M1048" i="8" s="1"/>
  <c r="K1049" i="8" s="1"/>
  <c r="M1049" i="8" s="1"/>
  <c r="K1050" i="8" s="1"/>
  <c r="M1050" i="8" s="1"/>
  <c r="K1051" i="8" s="1"/>
  <c r="M1051" i="8" s="1"/>
  <c r="O1048" i="8"/>
  <c r="O1049" i="8" s="1"/>
  <c r="O1050" i="8" s="1"/>
  <c r="O1051" i="8" s="1"/>
  <c r="I771" i="8"/>
  <c r="J771" i="8" s="1"/>
  <c r="M769" i="7"/>
  <c r="M220" i="12"/>
  <c r="G934" i="8"/>
  <c r="J221" i="7"/>
  <c r="H165" i="7"/>
  <c r="D165" i="7"/>
  <c r="F165" i="7" s="1"/>
  <c r="I1189" i="6"/>
  <c r="I606" i="8"/>
  <c r="K1308" i="6"/>
  <c r="M1308" i="6" s="1"/>
  <c r="I770" i="7"/>
  <c r="J498" i="7"/>
  <c r="O166" i="8"/>
  <c r="K166" i="8"/>
  <c r="L166" i="8"/>
  <c r="J1282" i="6"/>
  <c r="K440" i="8"/>
  <c r="O440" i="8"/>
  <c r="L54" i="10"/>
  <c r="J54" i="10"/>
  <c r="N660" i="8"/>
  <c r="N467" i="6"/>
  <c r="P467" i="6" s="1"/>
  <c r="G275" i="12"/>
  <c r="G826" i="7"/>
  <c r="L496" i="8"/>
  <c r="N496" i="8" s="1"/>
  <c r="M715" i="8"/>
  <c r="N328" i="12"/>
  <c r="M605" i="8"/>
  <c r="G881" i="7"/>
  <c r="H386" i="8"/>
  <c r="D386" i="8"/>
  <c r="B667" i="7"/>
  <c r="I1517" i="6"/>
  <c r="M659" i="6"/>
  <c r="K660" i="6" s="1"/>
  <c r="L660" i="6" s="1"/>
  <c r="L43" i="9"/>
  <c r="O43" i="9" s="1"/>
  <c r="H42" i="9"/>
  <c r="I42" i="9" s="1"/>
  <c r="H1147" i="6"/>
  <c r="J1147" i="6" s="1"/>
  <c r="S311" i="6"/>
  <c r="O936" i="8"/>
  <c r="K936" i="8"/>
  <c r="M936" i="8" s="1"/>
  <c r="L1100" i="8"/>
  <c r="M605" i="6"/>
  <c r="K606" i="6" s="1"/>
  <c r="L606" i="6" s="1"/>
  <c r="D605" i="7"/>
  <c r="J1101" i="6"/>
  <c r="C496" i="7"/>
  <c r="D496" i="7" s="1"/>
  <c r="O716" i="7"/>
  <c r="L716" i="7"/>
  <c r="N716" i="7" s="1"/>
  <c r="B770" i="7"/>
  <c r="C770" i="7" s="1"/>
  <c r="E770" i="7" s="1"/>
  <c r="I827" i="8"/>
  <c r="J827" i="8" s="1"/>
  <c r="G329" i="12"/>
  <c r="I990" i="8"/>
  <c r="L440" i="8"/>
  <c r="I386" i="8"/>
  <c r="D330" i="7"/>
  <c r="H330" i="7"/>
  <c r="F276" i="7"/>
  <c r="G493" i="8"/>
  <c r="N374" i="6"/>
  <c r="P374" i="6" s="1"/>
  <c r="R546" i="6"/>
  <c r="N425" i="6"/>
  <c r="P425" i="6" s="1"/>
  <c r="P426" i="6" s="1"/>
  <c r="P427" i="6" s="1"/>
  <c r="P428" i="6" s="1"/>
  <c r="P429" i="6" s="1"/>
  <c r="P430" i="6" s="1"/>
  <c r="P431" i="6" s="1"/>
  <c r="P432" i="6" s="1"/>
  <c r="P433" i="6" s="1"/>
  <c r="P434" i="6" s="1"/>
  <c r="P435" i="6" s="1"/>
  <c r="P436" i="6" s="1"/>
  <c r="P437" i="6" s="1"/>
  <c r="P438" i="6" s="1"/>
  <c r="P439" i="6" s="1"/>
  <c r="P440" i="6" s="1"/>
  <c r="P441" i="6" s="1"/>
  <c r="P442" i="6" s="1"/>
  <c r="P443" i="6" s="1"/>
  <c r="P444" i="6" s="1"/>
  <c r="P445" i="6" s="1"/>
  <c r="D274" i="8"/>
  <c r="F274" i="8" s="1"/>
  <c r="H274" i="8"/>
  <c r="N439" i="7"/>
  <c r="V267" i="11"/>
  <c r="I879" i="8"/>
  <c r="J879" i="8" s="1"/>
  <c r="I223" i="8"/>
  <c r="J223" i="8" s="1"/>
  <c r="L223" i="8" s="1"/>
  <c r="O331" i="8"/>
  <c r="K331" i="8"/>
  <c r="M331" i="8" s="1"/>
  <c r="E386" i="8"/>
  <c r="I386" i="7"/>
  <c r="J386" i="7" s="1"/>
  <c r="L386" i="7" s="1"/>
  <c r="L549" i="7"/>
  <c r="O549" i="7"/>
  <c r="B717" i="7"/>
  <c r="C717" i="7" s="1"/>
  <c r="E717" i="7" s="1"/>
  <c r="B166" i="12"/>
  <c r="C166" i="12" s="1"/>
  <c r="E166" i="12" s="1"/>
  <c r="G882" i="8"/>
  <c r="P515" i="6"/>
  <c r="N516" i="6" s="1"/>
  <c r="O516" i="6" s="1"/>
  <c r="N549" i="8"/>
  <c r="K549" i="7"/>
  <c r="F661" i="8"/>
  <c r="F605" i="8"/>
  <c r="J1476" i="6"/>
  <c r="H1477" i="6" s="1"/>
  <c r="I1477" i="6" s="1"/>
  <c r="N228" i="6"/>
  <c r="O228" i="6" s="1"/>
  <c r="B220" i="12"/>
  <c r="F163" i="8"/>
  <c r="B826" i="8"/>
  <c r="C826" i="8" s="1"/>
  <c r="E826" i="8" s="1"/>
  <c r="B551" i="8"/>
  <c r="L886" i="6"/>
  <c r="G771" i="8"/>
  <c r="E772" i="8" s="1"/>
  <c r="G772" i="8" s="1"/>
  <c r="E773" i="8" s="1"/>
  <c r="G773" i="8" s="1"/>
  <c r="E774" i="8" s="1"/>
  <c r="G774" i="8" s="1"/>
  <c r="E775" i="8" s="1"/>
  <c r="G775" i="8" s="1"/>
  <c r="E776" i="8" s="1"/>
  <c r="G776" i="8" s="1"/>
  <c r="B777" i="8" s="1"/>
  <c r="I168" i="12"/>
  <c r="J168" i="12" s="1"/>
  <c r="M824" i="7"/>
  <c r="B662" i="8"/>
  <c r="N935" i="7"/>
  <c r="M385" i="8"/>
  <c r="M2922" i="6"/>
  <c r="K2923" i="6" s="1"/>
  <c r="L2923" i="6" s="1"/>
  <c r="L985" i="6"/>
  <c r="O183" i="6"/>
  <c r="E330" i="7"/>
  <c r="C439" i="7"/>
  <c r="D439" i="7" s="1"/>
  <c r="J1242" i="6"/>
  <c r="N167" i="7"/>
  <c r="B1046" i="8"/>
  <c r="C1046" i="8" s="1"/>
  <c r="E1046" i="8"/>
  <c r="O330" i="7"/>
  <c r="L330" i="7"/>
  <c r="N330" i="7" s="1"/>
  <c r="B222" i="8"/>
  <c r="B606" i="8"/>
  <c r="M882" i="7"/>
  <c r="L845" i="6"/>
  <c r="H1102" i="8"/>
  <c r="E1102" i="8"/>
  <c r="G1102" i="8" s="1"/>
  <c r="O276" i="7"/>
  <c r="K276" i="7"/>
  <c r="M276" i="7" s="1"/>
  <c r="G222" i="7"/>
  <c r="M1030" i="6"/>
  <c r="F219" i="12"/>
  <c r="F330" i="7" l="1"/>
  <c r="N219" i="11"/>
  <c r="K275" i="12"/>
  <c r="M275" i="12" s="1"/>
  <c r="H716" i="8"/>
  <c r="H717" i="8" s="1"/>
  <c r="H718" i="8" s="1"/>
  <c r="H719" i="8" s="1"/>
  <c r="H720" i="8" s="1"/>
  <c r="H721" i="8" s="1"/>
  <c r="O275" i="12"/>
  <c r="BZ219" i="11"/>
  <c r="CG219" i="11" s="1"/>
  <c r="L219" i="11"/>
  <c r="T219" i="11" s="1"/>
  <c r="V219" i="11" s="1"/>
  <c r="C222" i="8"/>
  <c r="H222" i="8" s="1"/>
  <c r="D716" i="8"/>
  <c r="F716" i="8" s="1"/>
  <c r="D717" i="8" s="1"/>
  <c r="F717" i="8" s="1"/>
  <c r="D718" i="8" s="1"/>
  <c r="F718" i="8" s="1"/>
  <c r="D719" i="8" s="1"/>
  <c r="F719" i="8" s="1"/>
  <c r="D720" i="8" s="1"/>
  <c r="F720" i="8" s="1"/>
  <c r="D721" i="8" s="1"/>
  <c r="F721" i="8" s="1"/>
  <c r="P219" i="11"/>
  <c r="O219" i="11"/>
  <c r="S219" i="11" s="1"/>
  <c r="W219" i="11" s="1"/>
  <c r="AN220" i="11"/>
  <c r="AO220" i="11" s="1"/>
  <c r="AV220" i="11" s="1"/>
  <c r="CB219" i="11"/>
  <c r="C551" i="8"/>
  <c r="F605" i="7"/>
  <c r="N166" i="8"/>
  <c r="G935" i="7"/>
  <c r="N549" i="7"/>
  <c r="BW219" i="11"/>
  <c r="CC219" i="11" s="1"/>
  <c r="U219" i="11"/>
  <c r="K1403" i="6"/>
  <c r="M1347" i="6"/>
  <c r="L1347" i="6"/>
  <c r="AN270" i="11"/>
  <c r="N1100" i="8"/>
  <c r="H770" i="7"/>
  <c r="AO270" i="11"/>
  <c r="AU270" i="11" s="1"/>
  <c r="AY270" i="11" s="1"/>
  <c r="BD270" i="11" s="1"/>
  <c r="G991" i="8"/>
  <c r="B992" i="8" s="1"/>
  <c r="C992" i="8" s="1"/>
  <c r="AR270" i="11"/>
  <c r="AG267" i="11"/>
  <c r="AD267" i="11" s="1"/>
  <c r="BX219" i="11"/>
  <c r="CA219" i="11"/>
  <c r="CE219" i="11" s="1"/>
  <c r="O467" i="6"/>
  <c r="G332" i="8"/>
  <c r="G386" i="8"/>
  <c r="B387" i="8" s="1"/>
  <c r="N440" i="8"/>
  <c r="I441" i="8" s="1"/>
  <c r="M716" i="7"/>
  <c r="J717" i="7" s="1"/>
  <c r="O717" i="7" s="1"/>
  <c r="K277" i="8"/>
  <c r="L277" i="8"/>
  <c r="O277" i="8"/>
  <c r="K661" i="6"/>
  <c r="L661" i="6" s="1"/>
  <c r="O827" i="8"/>
  <c r="K827" i="8"/>
  <c r="L827" i="8"/>
  <c r="N827" i="8" s="1"/>
  <c r="E551" i="8"/>
  <c r="D551" i="8"/>
  <c r="F551" i="8" s="1"/>
  <c r="H551" i="8"/>
  <c r="I167" i="8"/>
  <c r="I331" i="7"/>
  <c r="C662" i="8"/>
  <c r="M549" i="7"/>
  <c r="K223" i="8"/>
  <c r="M223" i="8" s="1"/>
  <c r="K224" i="8" s="1"/>
  <c r="M224" i="8" s="1"/>
  <c r="K225" i="8" s="1"/>
  <c r="M225" i="8" s="1"/>
  <c r="K226" i="8" s="1"/>
  <c r="M226" i="8" s="1"/>
  <c r="I550" i="8"/>
  <c r="J550" i="8" s="1"/>
  <c r="L550" i="8"/>
  <c r="M1031" i="6"/>
  <c r="C164" i="8"/>
  <c r="C277" i="7"/>
  <c r="F386" i="8"/>
  <c r="B223" i="7"/>
  <c r="C223" i="7" s="1"/>
  <c r="E223" i="7"/>
  <c r="B552" i="7"/>
  <c r="F551" i="7"/>
  <c r="O386" i="7"/>
  <c r="K386" i="7"/>
  <c r="M386" i="7" s="1"/>
  <c r="I661" i="8"/>
  <c r="J661" i="8" s="1"/>
  <c r="L661" i="8"/>
  <c r="K168" i="12"/>
  <c r="M168" i="12" s="1"/>
  <c r="K169" i="12" s="1"/>
  <c r="M169" i="12" s="1"/>
  <c r="K170" i="12" s="1"/>
  <c r="M170" i="12" s="1"/>
  <c r="K171" i="12" s="1"/>
  <c r="M171" i="12" s="1"/>
  <c r="O168" i="12"/>
  <c r="O169" i="12" s="1"/>
  <c r="O170" i="12" s="1"/>
  <c r="O171" i="12" s="1"/>
  <c r="I550" i="7"/>
  <c r="B330" i="12"/>
  <c r="C330" i="12" s="1"/>
  <c r="E330" i="12" s="1"/>
  <c r="D770" i="7"/>
  <c r="F770" i="7" s="1"/>
  <c r="K986" i="6"/>
  <c r="M986" i="6" s="1"/>
  <c r="I329" i="12"/>
  <c r="J329" i="12" s="1"/>
  <c r="L1308" i="6"/>
  <c r="O221" i="7"/>
  <c r="L221" i="7"/>
  <c r="B442" i="8"/>
  <c r="N276" i="7"/>
  <c r="K939" i="6"/>
  <c r="M939" i="6" s="1"/>
  <c r="K1031" i="6"/>
  <c r="L1031" i="6" s="1"/>
  <c r="I717" i="7"/>
  <c r="B883" i="8"/>
  <c r="C883" i="8" s="1"/>
  <c r="E883" i="8"/>
  <c r="G165" i="7"/>
  <c r="L990" i="8"/>
  <c r="M660" i="6"/>
  <c r="B827" i="7"/>
  <c r="C827" i="7" s="1"/>
  <c r="E827" i="7"/>
  <c r="O498" i="7"/>
  <c r="O499" i="7" s="1"/>
  <c r="O500" i="7" s="1"/>
  <c r="O501" i="7" s="1"/>
  <c r="L498" i="7"/>
  <c r="H1190" i="6"/>
  <c r="J1190" i="6" s="1"/>
  <c r="N184" i="6"/>
  <c r="P184" i="6" s="1"/>
  <c r="L168" i="12"/>
  <c r="B882" i="7"/>
  <c r="C882" i="7" s="1"/>
  <c r="E882" i="7"/>
  <c r="O771" i="8"/>
  <c r="O772" i="8" s="1"/>
  <c r="O773" i="8" s="1"/>
  <c r="O774" i="8" s="1"/>
  <c r="O775" i="8" s="1"/>
  <c r="O776" i="8" s="1"/>
  <c r="K771" i="8"/>
  <c r="M330" i="7"/>
  <c r="B1103" i="8"/>
  <c r="M2923" i="6"/>
  <c r="J386" i="8"/>
  <c r="S546" i="6"/>
  <c r="H386" i="7"/>
  <c r="N936" i="8"/>
  <c r="M166" i="8"/>
  <c r="G605" i="7"/>
  <c r="I168" i="7"/>
  <c r="J168" i="7" s="1"/>
  <c r="L168" i="7"/>
  <c r="I497" i="8"/>
  <c r="F935" i="7"/>
  <c r="M496" i="8"/>
  <c r="J883" i="7"/>
  <c r="O606" i="7"/>
  <c r="I662" i="7"/>
  <c r="K879" i="8"/>
  <c r="O879" i="8"/>
  <c r="H439" i="7"/>
  <c r="E439" i="7"/>
  <c r="G439" i="7" s="1"/>
  <c r="L879" i="8"/>
  <c r="M43" i="9"/>
  <c r="P43" i="9" s="1"/>
  <c r="S43" i="9" s="1"/>
  <c r="N43" i="9"/>
  <c r="Q43" i="9" s="1"/>
  <c r="M1100" i="8"/>
  <c r="G274" i="8"/>
  <c r="J825" i="7"/>
  <c r="H166" i="12"/>
  <c r="D166" i="12"/>
  <c r="F166" i="12" s="1"/>
  <c r="O223" i="8"/>
  <c r="O224" i="8" s="1"/>
  <c r="O225" i="8" s="1"/>
  <c r="O226" i="8" s="1"/>
  <c r="O374" i="6"/>
  <c r="P228" i="6"/>
  <c r="B276" i="12"/>
  <c r="C276" i="12" s="1"/>
  <c r="E276" i="12" s="1"/>
  <c r="K498" i="7"/>
  <c r="E386" i="7"/>
  <c r="G386" i="7" s="1"/>
  <c r="H1102" i="6"/>
  <c r="I1102" i="6" s="1"/>
  <c r="O425" i="6"/>
  <c r="O426" i="6" s="1"/>
  <c r="O427" i="6" s="1"/>
  <c r="O428" i="6" s="1"/>
  <c r="O429" i="6" s="1"/>
  <c r="O430" i="6" s="1"/>
  <c r="O431" i="6" s="1"/>
  <c r="O432" i="6" s="1"/>
  <c r="O433" i="6" s="1"/>
  <c r="O434" i="6" s="1"/>
  <c r="O435" i="6" s="1"/>
  <c r="O436" i="6" s="1"/>
  <c r="O437" i="6" s="1"/>
  <c r="O438" i="6" s="1"/>
  <c r="O439" i="6" s="1"/>
  <c r="O440" i="6" s="1"/>
  <c r="O441" i="6" s="1"/>
  <c r="O442" i="6" s="1"/>
  <c r="O443" i="6" s="1"/>
  <c r="O444" i="6" s="1"/>
  <c r="O445" i="6" s="1"/>
  <c r="N446" i="6" s="1"/>
  <c r="Q403" i="6" s="1"/>
  <c r="K606" i="7"/>
  <c r="M606" i="7" s="1"/>
  <c r="M54" i="10"/>
  <c r="I54" i="10" s="1"/>
  <c r="N54" i="10"/>
  <c r="H54" i="10" s="1"/>
  <c r="K54" i="10" s="1"/>
  <c r="L771" i="8"/>
  <c r="K751" i="6"/>
  <c r="M751" i="6" s="1"/>
  <c r="R264" i="6"/>
  <c r="J716" i="8"/>
  <c r="K221" i="7"/>
  <c r="M221" i="7" s="1"/>
  <c r="F1102" i="8"/>
  <c r="M799" i="6"/>
  <c r="K800" i="6" s="1"/>
  <c r="L800" i="6" s="1"/>
  <c r="N331" i="8"/>
  <c r="F441" i="8"/>
  <c r="J1243" i="6"/>
  <c r="H1244" i="6" s="1"/>
  <c r="I1244" i="6" s="1"/>
  <c r="I936" i="7"/>
  <c r="J936" i="7" s="1"/>
  <c r="L936" i="7"/>
  <c r="P516" i="6"/>
  <c r="N517" i="6" s="1"/>
  <c r="O517" i="6" s="1"/>
  <c r="M440" i="8"/>
  <c r="B935" i="8"/>
  <c r="C935" i="8" s="1"/>
  <c r="E935" i="8"/>
  <c r="M661" i="7"/>
  <c r="I1101" i="8"/>
  <c r="K1348" i="6"/>
  <c r="M1348" i="6" s="1"/>
  <c r="J1477" i="6"/>
  <c r="H1478" i="6" s="1"/>
  <c r="I1478" i="6" s="1"/>
  <c r="D717" i="7"/>
  <c r="F717" i="7" s="1"/>
  <c r="H717" i="7"/>
  <c r="H496" i="7"/>
  <c r="E496" i="7"/>
  <c r="G496" i="7" s="1"/>
  <c r="H1518" i="6"/>
  <c r="J1518" i="6" s="1"/>
  <c r="J221" i="12"/>
  <c r="K221" i="12" s="1"/>
  <c r="N1048" i="8"/>
  <c r="L1049" i="8" s="1"/>
  <c r="N1049" i="8" s="1"/>
  <c r="L1050" i="8" s="1"/>
  <c r="N1050" i="8" s="1"/>
  <c r="L1051" i="8" s="1"/>
  <c r="N1051" i="8" s="1"/>
  <c r="I1052" i="8" s="1"/>
  <c r="L701" i="6"/>
  <c r="K887" i="6"/>
  <c r="M887" i="6" s="1"/>
  <c r="J606" i="8"/>
  <c r="K606" i="8" s="1"/>
  <c r="H1046" i="8"/>
  <c r="D1046" i="8"/>
  <c r="F1046" i="8" s="1"/>
  <c r="B936" i="7"/>
  <c r="M606" i="6"/>
  <c r="I1147" i="6"/>
  <c r="K990" i="8"/>
  <c r="K846" i="6"/>
  <c r="M846" i="6" s="1"/>
  <c r="C220" i="12"/>
  <c r="D220" i="12" s="1"/>
  <c r="G330" i="7"/>
  <c r="H826" i="8"/>
  <c r="D826" i="8"/>
  <c r="F826" i="8" s="1"/>
  <c r="C606" i="8"/>
  <c r="D606" i="8" s="1"/>
  <c r="I440" i="7"/>
  <c r="J440" i="7" s="1"/>
  <c r="B494" i="8"/>
  <c r="C494" i="8" s="1"/>
  <c r="E494" i="8" s="1"/>
  <c r="N468" i="6"/>
  <c r="O468" i="6" s="1"/>
  <c r="AT220" i="11"/>
  <c r="J770" i="7"/>
  <c r="K770" i="7" s="1"/>
  <c r="R123" i="6"/>
  <c r="H1283" i="6"/>
  <c r="I1283" i="6" s="1"/>
  <c r="Q312" i="6"/>
  <c r="R312" i="6" s="1"/>
  <c r="AS220" i="11" l="1"/>
  <c r="AX220" i="11" s="1"/>
  <c r="AU220" i="11"/>
  <c r="AY220" i="11" s="1"/>
  <c r="BD220" i="11" s="1"/>
  <c r="AR220" i="11"/>
  <c r="D222" i="8"/>
  <c r="M1403" i="6"/>
  <c r="L1403" i="6"/>
  <c r="K1404" i="6" s="1"/>
  <c r="M1404" i="6" s="1"/>
  <c r="E222" i="8"/>
  <c r="P468" i="6"/>
  <c r="N469" i="6" s="1"/>
  <c r="O469" i="6" s="1"/>
  <c r="M498" i="7"/>
  <c r="K499" i="7" s="1"/>
  <c r="M499" i="7" s="1"/>
  <c r="K500" i="7" s="1"/>
  <c r="M500" i="7" s="1"/>
  <c r="K501" i="7" s="1"/>
  <c r="M501" i="7" s="1"/>
  <c r="J1102" i="6"/>
  <c r="CF219" i="11"/>
  <c r="CJ219" i="11" s="1"/>
  <c r="X219" i="11"/>
  <c r="AG219" i="11" s="1"/>
  <c r="AQ220" i="11"/>
  <c r="AW220" i="11" s="1"/>
  <c r="AZ220" i="11" s="1"/>
  <c r="N771" i="8"/>
  <c r="L772" i="8" s="1"/>
  <c r="N772" i="8" s="1"/>
  <c r="L773" i="8" s="1"/>
  <c r="N773" i="8" s="1"/>
  <c r="L774" i="8" s="1"/>
  <c r="N774" i="8" s="1"/>
  <c r="L775" i="8" s="1"/>
  <c r="N775" i="8" s="1"/>
  <c r="L776" i="8" s="1"/>
  <c r="N776" i="8" s="1"/>
  <c r="G716" i="8"/>
  <c r="E717" i="8" s="1"/>
  <c r="G717" i="8" s="1"/>
  <c r="E718" i="8" s="1"/>
  <c r="G718" i="8" s="1"/>
  <c r="E719" i="8" s="1"/>
  <c r="G719" i="8" s="1"/>
  <c r="E720" i="8" s="1"/>
  <c r="G720" i="8" s="1"/>
  <c r="E721" i="8" s="1"/>
  <c r="G721" i="8" s="1"/>
  <c r="B722" i="8" s="1"/>
  <c r="G717" i="7"/>
  <c r="B718" i="7" s="1"/>
  <c r="C718" i="7" s="1"/>
  <c r="N275" i="12"/>
  <c r="F386" i="7"/>
  <c r="D992" i="8"/>
  <c r="E992" i="8"/>
  <c r="H992" i="8"/>
  <c r="M990" i="8"/>
  <c r="AE267" i="11"/>
  <c r="O184" i="6"/>
  <c r="N185" i="6" s="1"/>
  <c r="P185" i="6" s="1"/>
  <c r="AB267" i="11"/>
  <c r="B333" i="8"/>
  <c r="C333" i="8" s="1"/>
  <c r="E333" i="8"/>
  <c r="L751" i="6"/>
  <c r="M277" i="8"/>
  <c r="Z267" i="11"/>
  <c r="C268" i="11" s="1"/>
  <c r="AS270" i="11"/>
  <c r="AX270" i="11" s="1"/>
  <c r="F496" i="7"/>
  <c r="AC267" i="11"/>
  <c r="Y267" i="11"/>
  <c r="AV270" i="11"/>
  <c r="AT270" i="11"/>
  <c r="N879" i="8"/>
  <c r="AA267" i="11"/>
  <c r="AQ270" i="11"/>
  <c r="AW270" i="11" s="1"/>
  <c r="L1404" i="6"/>
  <c r="K1405" i="6" s="1"/>
  <c r="M1405" i="6" s="1"/>
  <c r="L1348" i="6"/>
  <c r="F222" i="8"/>
  <c r="CI219" i="11"/>
  <c r="S123" i="6"/>
  <c r="H1148" i="6"/>
  <c r="J1148" i="6" s="1"/>
  <c r="H494" i="8"/>
  <c r="D494" i="8"/>
  <c r="F494" i="8" s="1"/>
  <c r="M607" i="6"/>
  <c r="D935" i="8"/>
  <c r="F935" i="8" s="1"/>
  <c r="H935" i="8"/>
  <c r="G222" i="8"/>
  <c r="L716" i="8"/>
  <c r="O716" i="8"/>
  <c r="O717" i="8" s="1"/>
  <c r="O718" i="8" s="1"/>
  <c r="O719" i="8" s="1"/>
  <c r="O720" i="8" s="1"/>
  <c r="O721" i="8" s="1"/>
  <c r="D883" i="8"/>
  <c r="F883" i="8" s="1"/>
  <c r="H883" i="8"/>
  <c r="J331" i="7"/>
  <c r="K1309" i="6"/>
  <c r="M1309" i="6" s="1"/>
  <c r="G1046" i="8"/>
  <c r="O329" i="12"/>
  <c r="K329" i="12"/>
  <c r="P517" i="6"/>
  <c r="N518" i="6" s="1"/>
  <c r="O518" i="6" s="1"/>
  <c r="I1190" i="6"/>
  <c r="N229" i="6"/>
  <c r="O229" i="6" s="1"/>
  <c r="G992" i="8"/>
  <c r="C1103" i="8"/>
  <c r="D1103" i="8" s="1"/>
  <c r="E277" i="7"/>
  <c r="H277" i="7"/>
  <c r="H276" i="12"/>
  <c r="D276" i="12"/>
  <c r="F276" i="12" s="1"/>
  <c r="J497" i="8"/>
  <c r="K497" i="8" s="1"/>
  <c r="E164" i="8"/>
  <c r="H164" i="8"/>
  <c r="B440" i="7"/>
  <c r="N221" i="7"/>
  <c r="F439" i="7"/>
  <c r="N375" i="6"/>
  <c r="P375" i="6" s="1"/>
  <c r="G770" i="7"/>
  <c r="K716" i="8"/>
  <c r="H330" i="12"/>
  <c r="D330" i="12"/>
  <c r="F330" i="12" s="1"/>
  <c r="C552" i="7"/>
  <c r="N498" i="7"/>
  <c r="L499" i="7" s="1"/>
  <c r="N499" i="7" s="1"/>
  <c r="L500" i="7" s="1"/>
  <c r="N500" i="7" s="1"/>
  <c r="L501" i="7" s="1"/>
  <c r="N501" i="7" s="1"/>
  <c r="I502" i="7" s="1"/>
  <c r="L717" i="7"/>
  <c r="G551" i="8"/>
  <c r="L825" i="7"/>
  <c r="O825" i="7"/>
  <c r="K607" i="6"/>
  <c r="L607" i="6" s="1"/>
  <c r="J1478" i="6"/>
  <c r="K825" i="7"/>
  <c r="N168" i="12"/>
  <c r="L169" i="12" s="1"/>
  <c r="N169" i="12" s="1"/>
  <c r="L170" i="12" s="1"/>
  <c r="N170" i="12" s="1"/>
  <c r="L171" i="12" s="1"/>
  <c r="N171" i="12" s="1"/>
  <c r="I172" i="12" s="1"/>
  <c r="H827" i="7"/>
  <c r="D827" i="7"/>
  <c r="F827" i="7" s="1"/>
  <c r="S312" i="6"/>
  <c r="Q313" i="6" s="1"/>
  <c r="R313" i="6" s="1"/>
  <c r="K661" i="8"/>
  <c r="M661" i="8" s="1"/>
  <c r="O661" i="8"/>
  <c r="I276" i="12"/>
  <c r="J276" i="12" s="1"/>
  <c r="L883" i="7"/>
  <c r="O883" i="7"/>
  <c r="O884" i="7" s="1"/>
  <c r="O885" i="7" s="1"/>
  <c r="O886" i="7" s="1"/>
  <c r="I277" i="7"/>
  <c r="J277" i="7" s="1"/>
  <c r="L277" i="7" s="1"/>
  <c r="D277" i="7"/>
  <c r="K717" i="7"/>
  <c r="L55" i="10"/>
  <c r="J55" i="10" s="1"/>
  <c r="K440" i="7"/>
  <c r="O440" i="7"/>
  <c r="I828" i="8"/>
  <c r="L440" i="7"/>
  <c r="J441" i="8"/>
  <c r="M827" i="8"/>
  <c r="R43" i="9"/>
  <c r="O550" i="8"/>
  <c r="K550" i="8"/>
  <c r="M550" i="8" s="1"/>
  <c r="H606" i="8"/>
  <c r="E606" i="8"/>
  <c r="G606" i="8" s="1"/>
  <c r="O168" i="7"/>
  <c r="O169" i="7" s="1"/>
  <c r="O170" i="7" s="1"/>
  <c r="O171" i="7" s="1"/>
  <c r="K168" i="7"/>
  <c r="M168" i="7" s="1"/>
  <c r="K169" i="7" s="1"/>
  <c r="M169" i="7" s="1"/>
  <c r="K170" i="7" s="1"/>
  <c r="M170" i="7" s="1"/>
  <c r="K171" i="7" s="1"/>
  <c r="M171" i="7" s="1"/>
  <c r="M771" i="8"/>
  <c r="K772" i="8" s="1"/>
  <c r="M772" i="8" s="1"/>
  <c r="K773" i="8" s="1"/>
  <c r="M773" i="8" s="1"/>
  <c r="K774" i="8" s="1"/>
  <c r="M774" i="8" s="1"/>
  <c r="K775" i="8" s="1"/>
  <c r="M775" i="8" s="1"/>
  <c r="K776" i="8" s="1"/>
  <c r="M776" i="8" s="1"/>
  <c r="I777" i="8" s="1"/>
  <c r="P726" i="8" s="1"/>
  <c r="B606" i="7"/>
  <c r="C606" i="7" s="1"/>
  <c r="L329" i="12"/>
  <c r="N606" i="7"/>
  <c r="K936" i="7"/>
  <c r="M936" i="7" s="1"/>
  <c r="O936" i="7"/>
  <c r="I937" i="8"/>
  <c r="J937" i="8" s="1"/>
  <c r="J1244" i="6"/>
  <c r="H1245" i="6" s="1"/>
  <c r="K1202" i="6" s="1"/>
  <c r="S264" i="6"/>
  <c r="K1032" i="6"/>
  <c r="L1032" i="6" s="1"/>
  <c r="C442" i="8"/>
  <c r="L887" i="6"/>
  <c r="G166" i="12"/>
  <c r="Q547" i="6"/>
  <c r="R547" i="6" s="1"/>
  <c r="M661" i="6"/>
  <c r="L939" i="6"/>
  <c r="H223" i="7"/>
  <c r="H224" i="7" s="1"/>
  <c r="H225" i="7" s="1"/>
  <c r="H226" i="7" s="1"/>
  <c r="D223" i="7"/>
  <c r="F223" i="7" s="1"/>
  <c r="D224" i="7" s="1"/>
  <c r="F224" i="7" s="1"/>
  <c r="D225" i="7" s="1"/>
  <c r="F225" i="7" s="1"/>
  <c r="D226" i="7" s="1"/>
  <c r="F226" i="7" s="1"/>
  <c r="N277" i="8"/>
  <c r="R405" i="6"/>
  <c r="N386" i="7"/>
  <c r="BA220" i="11"/>
  <c r="BC220" i="11"/>
  <c r="K702" i="6"/>
  <c r="M702" i="6" s="1"/>
  <c r="K1349" i="6"/>
  <c r="M1349" i="6" s="1"/>
  <c r="I332" i="8"/>
  <c r="J332" i="8" s="1"/>
  <c r="K752" i="6"/>
  <c r="M752" i="6" s="1"/>
  <c r="H1103" i="6"/>
  <c r="J1103" i="6" s="1"/>
  <c r="B275" i="8"/>
  <c r="C275" i="8" s="1"/>
  <c r="L386" i="8"/>
  <c r="O386" i="8"/>
  <c r="N990" i="8"/>
  <c r="K883" i="7"/>
  <c r="J662" i="7"/>
  <c r="I880" i="8"/>
  <c r="B166" i="7"/>
  <c r="C166" i="7" s="1"/>
  <c r="L221" i="12"/>
  <c r="N221" i="12" s="1"/>
  <c r="O221" i="12"/>
  <c r="C936" i="7"/>
  <c r="D164" i="8"/>
  <c r="O770" i="7"/>
  <c r="L770" i="7"/>
  <c r="N770" i="7" s="1"/>
  <c r="I1518" i="6"/>
  <c r="B497" i="7"/>
  <c r="J550" i="7"/>
  <c r="O606" i="8"/>
  <c r="L606" i="8"/>
  <c r="N606" i="8" s="1"/>
  <c r="J167" i="8"/>
  <c r="K167" i="8" s="1"/>
  <c r="M879" i="8"/>
  <c r="H882" i="7"/>
  <c r="D882" i="7"/>
  <c r="F882" i="7" s="1"/>
  <c r="E662" i="8"/>
  <c r="H662" i="8"/>
  <c r="K2924" i="6"/>
  <c r="L2924" i="6" s="1"/>
  <c r="B331" i="7"/>
  <c r="C331" i="7" s="1"/>
  <c r="E331" i="7" s="1"/>
  <c r="D662" i="8"/>
  <c r="E220" i="12"/>
  <c r="G220" i="12" s="1"/>
  <c r="H220" i="12"/>
  <c r="L846" i="6"/>
  <c r="J1283" i="6"/>
  <c r="H1284" i="6" s="1"/>
  <c r="I1284" i="6" s="1"/>
  <c r="M800" i="6"/>
  <c r="B387" i="7"/>
  <c r="C387" i="7" s="1"/>
  <c r="J1101" i="8"/>
  <c r="K386" i="8"/>
  <c r="L986" i="6"/>
  <c r="C387" i="8"/>
  <c r="G826" i="8"/>
  <c r="N223" i="8"/>
  <c r="L224" i="8" s="1"/>
  <c r="N224" i="8" s="1"/>
  <c r="L225" i="8" s="1"/>
  <c r="N225" i="8" s="1"/>
  <c r="L226" i="8" s="1"/>
  <c r="N226" i="8" s="1"/>
  <c r="I227" i="8" s="1"/>
  <c r="AC219" i="11" l="1"/>
  <c r="AB219" i="11"/>
  <c r="AE219" i="11"/>
  <c r="AA219" i="11"/>
  <c r="Z219" i="11"/>
  <c r="AD219" i="11"/>
  <c r="Y219" i="11"/>
  <c r="BB220" i="11"/>
  <c r="BM220" i="11" s="1"/>
  <c r="BK220" i="11" s="1"/>
  <c r="CH219" i="11"/>
  <c r="CS219" i="11" s="1"/>
  <c r="P469" i="6"/>
  <c r="G662" i="8"/>
  <c r="M825" i="7"/>
  <c r="M440" i="7"/>
  <c r="D268" i="11"/>
  <c r="M883" i="7"/>
  <c r="K884" i="7" s="1"/>
  <c r="M884" i="7" s="1"/>
  <c r="K885" i="7" s="1"/>
  <c r="M885" i="7" s="1"/>
  <c r="K886" i="7" s="1"/>
  <c r="M886" i="7" s="1"/>
  <c r="I887" i="7" s="1"/>
  <c r="F992" i="8"/>
  <c r="M386" i="8"/>
  <c r="AF267" i="11"/>
  <c r="J268" i="11" s="1"/>
  <c r="I1103" i="6"/>
  <c r="P229" i="6"/>
  <c r="F277" i="7"/>
  <c r="N717" i="7"/>
  <c r="H333" i="8"/>
  <c r="H334" i="8" s="1"/>
  <c r="H335" i="8" s="1"/>
  <c r="H336" i="8" s="1"/>
  <c r="D333" i="8"/>
  <c r="F333" i="8" s="1"/>
  <c r="D334" i="8" s="1"/>
  <c r="F334" i="8" s="1"/>
  <c r="D335" i="8" s="1"/>
  <c r="F335" i="8" s="1"/>
  <c r="D336" i="8" s="1"/>
  <c r="F336" i="8" s="1"/>
  <c r="C497" i="7"/>
  <c r="E497" i="7" s="1"/>
  <c r="M329" i="12"/>
  <c r="G935" i="8"/>
  <c r="B936" i="8" s="1"/>
  <c r="C936" i="8" s="1"/>
  <c r="BA270" i="11"/>
  <c r="BC270" i="11" s="1"/>
  <c r="S547" i="6"/>
  <c r="Q548" i="6" s="1"/>
  <c r="R548" i="6" s="1"/>
  <c r="M716" i="8"/>
  <c r="K717" i="8" s="1"/>
  <c r="M717" i="8" s="1"/>
  <c r="K718" i="8" s="1"/>
  <c r="M718" i="8" s="1"/>
  <c r="K719" i="8" s="1"/>
  <c r="M719" i="8" s="1"/>
  <c r="K720" i="8" s="1"/>
  <c r="M720" i="8" s="1"/>
  <c r="K721" i="8" s="1"/>
  <c r="M721" i="8" s="1"/>
  <c r="I722" i="8" s="1"/>
  <c r="P671" i="8" s="1"/>
  <c r="G883" i="8"/>
  <c r="B884" i="8" s="1"/>
  <c r="C884" i="8" s="1"/>
  <c r="G268" i="11"/>
  <c r="AZ270" i="11"/>
  <c r="G164" i="8"/>
  <c r="L1204" i="6"/>
  <c r="H387" i="7"/>
  <c r="E387" i="7"/>
  <c r="D387" i="7"/>
  <c r="F387" i="7" s="1"/>
  <c r="D718" i="7"/>
  <c r="E718" i="7"/>
  <c r="G718" i="7" s="1"/>
  <c r="E719" i="7" s="1"/>
  <c r="G719" i="7" s="1"/>
  <c r="E720" i="7" s="1"/>
  <c r="G720" i="7" s="1"/>
  <c r="E721" i="7" s="1"/>
  <c r="G721" i="7" s="1"/>
  <c r="H718" i="7"/>
  <c r="H719" i="7" s="1"/>
  <c r="H720" i="7" s="1"/>
  <c r="H721" i="7" s="1"/>
  <c r="N470" i="6"/>
  <c r="P470" i="6" s="1"/>
  <c r="B167" i="12"/>
  <c r="C167" i="12" s="1"/>
  <c r="T728" i="8"/>
  <c r="O1101" i="8"/>
  <c r="L1101" i="8"/>
  <c r="K888" i="6"/>
  <c r="M888" i="6" s="1"/>
  <c r="K1101" i="8"/>
  <c r="E442" i="8"/>
  <c r="H442" i="8"/>
  <c r="O662" i="7"/>
  <c r="L662" i="7"/>
  <c r="B1047" i="8"/>
  <c r="C1047" i="8" s="1"/>
  <c r="E1047" i="8" s="1"/>
  <c r="M55" i="10"/>
  <c r="I55" i="10" s="1"/>
  <c r="O185" i="6"/>
  <c r="N550" i="8"/>
  <c r="H552" i="7"/>
  <c r="E552" i="7"/>
  <c r="N936" i="7"/>
  <c r="D552" i="7"/>
  <c r="K940" i="6"/>
  <c r="M940" i="6" s="1"/>
  <c r="H387" i="8"/>
  <c r="E387" i="8"/>
  <c r="E936" i="7"/>
  <c r="H936" i="7"/>
  <c r="L1405" i="6"/>
  <c r="Q265" i="6"/>
  <c r="R265" i="6" s="1"/>
  <c r="L441" i="8"/>
  <c r="O441" i="8"/>
  <c r="O276" i="12"/>
  <c r="K276" i="12"/>
  <c r="N825" i="7"/>
  <c r="B993" i="8"/>
  <c r="O331" i="7"/>
  <c r="L331" i="7"/>
  <c r="I718" i="7"/>
  <c r="D166" i="7"/>
  <c r="H166" i="7"/>
  <c r="L752" i="6"/>
  <c r="S405" i="6"/>
  <c r="Q406" i="6" s="1"/>
  <c r="R406" i="6" s="1"/>
  <c r="I771" i="7"/>
  <c r="D442" i="8"/>
  <c r="F442" i="8" s="1"/>
  <c r="L702" i="6"/>
  <c r="I278" i="8"/>
  <c r="J278" i="8" s="1"/>
  <c r="I607" i="7"/>
  <c r="J607" i="7" s="1"/>
  <c r="L607" i="7"/>
  <c r="G43" i="9"/>
  <c r="E43" i="9"/>
  <c r="F43" i="9"/>
  <c r="G882" i="7"/>
  <c r="C440" i="7"/>
  <c r="D440" i="7" s="1"/>
  <c r="M1032" i="6"/>
  <c r="K1033" i="6" s="1"/>
  <c r="L1033" i="6" s="1"/>
  <c r="N386" i="8"/>
  <c r="E1103" i="8"/>
  <c r="G1103" i="8" s="1"/>
  <c r="E1104" i="8" s="1"/>
  <c r="G1104" i="8" s="1"/>
  <c r="E1105" i="8" s="1"/>
  <c r="G1105" i="8" s="1"/>
  <c r="E1106" i="8" s="1"/>
  <c r="G1106" i="8" s="1"/>
  <c r="H1103" i="8"/>
  <c r="H1104" i="8" s="1"/>
  <c r="H1105" i="8" s="1"/>
  <c r="H1106" i="8" s="1"/>
  <c r="B827" i="8"/>
  <c r="C827" i="8" s="1"/>
  <c r="J828" i="8"/>
  <c r="N883" i="7"/>
  <c r="L884" i="7" s="1"/>
  <c r="N884" i="7" s="1"/>
  <c r="L885" i="7" s="1"/>
  <c r="N885" i="7" s="1"/>
  <c r="L886" i="7" s="1"/>
  <c r="N886" i="7" s="1"/>
  <c r="B221" i="12"/>
  <c r="F662" i="8"/>
  <c r="D936" i="7"/>
  <c r="H275" i="8"/>
  <c r="D275" i="8"/>
  <c r="N329" i="12"/>
  <c r="K441" i="8"/>
  <c r="L276" i="12"/>
  <c r="B552" i="8"/>
  <c r="C552" i="8" s="1"/>
  <c r="K331" i="7"/>
  <c r="M221" i="12"/>
  <c r="K801" i="6"/>
  <c r="L801" i="6" s="1"/>
  <c r="H1104" i="6"/>
  <c r="K1061" i="6" s="1"/>
  <c r="B165" i="8"/>
  <c r="I172" i="7"/>
  <c r="B663" i="8"/>
  <c r="E166" i="7"/>
  <c r="BJ220" i="11"/>
  <c r="BI220" i="11"/>
  <c r="BH220" i="11"/>
  <c r="BG220" i="11"/>
  <c r="B607" i="8"/>
  <c r="F268" i="11"/>
  <c r="L1349" i="6"/>
  <c r="N168" i="7"/>
  <c r="L169" i="7" s="1"/>
  <c r="N169" i="7" s="1"/>
  <c r="L170" i="7" s="1"/>
  <c r="N170" i="7" s="1"/>
  <c r="L171" i="7" s="1"/>
  <c r="N171" i="7" s="1"/>
  <c r="G277" i="7"/>
  <c r="F164" i="8"/>
  <c r="L1309" i="6"/>
  <c r="D387" i="8"/>
  <c r="E275" i="8"/>
  <c r="N661" i="8"/>
  <c r="H606" i="7"/>
  <c r="D606" i="7"/>
  <c r="F606" i="7" s="1"/>
  <c r="N440" i="7"/>
  <c r="B771" i="7"/>
  <c r="C771" i="7" s="1"/>
  <c r="F220" i="12"/>
  <c r="O375" i="6"/>
  <c r="O937" i="8"/>
  <c r="K937" i="8"/>
  <c r="S313" i="6"/>
  <c r="K332" i="8"/>
  <c r="O332" i="8"/>
  <c r="L937" i="8"/>
  <c r="H1519" i="6"/>
  <c r="J1519" i="6" s="1"/>
  <c r="L332" i="8"/>
  <c r="J880" i="8"/>
  <c r="K880" i="8" s="1"/>
  <c r="J1284" i="6"/>
  <c r="H1285" i="6" s="1"/>
  <c r="I1285" i="6" s="1"/>
  <c r="K662" i="7"/>
  <c r="M662" i="7" s="1"/>
  <c r="K847" i="6"/>
  <c r="M847" i="6" s="1"/>
  <c r="I991" i="8"/>
  <c r="J991" i="8" s="1"/>
  <c r="L991" i="8" s="1"/>
  <c r="O277" i="7"/>
  <c r="K277" i="7"/>
  <c r="M277" i="7" s="1"/>
  <c r="L167" i="8"/>
  <c r="N167" i="8" s="1"/>
  <c r="O167" i="8"/>
  <c r="K608" i="6"/>
  <c r="M608" i="6" s="1"/>
  <c r="G827" i="7"/>
  <c r="I607" i="8"/>
  <c r="I222" i="7"/>
  <c r="J222" i="7" s="1"/>
  <c r="O550" i="7"/>
  <c r="L550" i="7"/>
  <c r="K987" i="6"/>
  <c r="M987" i="6" s="1"/>
  <c r="K550" i="7"/>
  <c r="M550" i="7" s="1"/>
  <c r="H331" i="7"/>
  <c r="D331" i="7"/>
  <c r="F331" i="7" s="1"/>
  <c r="I222" i="12"/>
  <c r="I387" i="7"/>
  <c r="J387" i="7" s="1"/>
  <c r="L387" i="7" s="1"/>
  <c r="E606" i="7"/>
  <c r="G223" i="7"/>
  <c r="E224" i="7" s="1"/>
  <c r="G224" i="7" s="1"/>
  <c r="E225" i="7" s="1"/>
  <c r="G225" i="7" s="1"/>
  <c r="E226" i="7" s="1"/>
  <c r="G226" i="7" s="1"/>
  <c r="B227" i="7" s="1"/>
  <c r="G330" i="12"/>
  <c r="N230" i="6"/>
  <c r="P230" i="6" s="1"/>
  <c r="M770" i="7"/>
  <c r="K662" i="6"/>
  <c r="L662" i="6" s="1"/>
  <c r="O497" i="8"/>
  <c r="L497" i="8"/>
  <c r="N497" i="8" s="1"/>
  <c r="H1191" i="6"/>
  <c r="J1191" i="6" s="1"/>
  <c r="N716" i="8"/>
  <c r="L717" i="8" s="1"/>
  <c r="N717" i="8" s="1"/>
  <c r="L718" i="8" s="1"/>
  <c r="N718" i="8" s="1"/>
  <c r="L719" i="8" s="1"/>
  <c r="N719" i="8" s="1"/>
  <c r="L720" i="8" s="1"/>
  <c r="N720" i="8" s="1"/>
  <c r="L721" i="8" s="1"/>
  <c r="N721" i="8" s="1"/>
  <c r="I1148" i="6"/>
  <c r="F606" i="8"/>
  <c r="B223" i="8"/>
  <c r="C223" i="8" s="1"/>
  <c r="E223" i="8" s="1"/>
  <c r="Q124" i="6"/>
  <c r="R124" i="6" s="1"/>
  <c r="M606" i="8"/>
  <c r="P518" i="6"/>
  <c r="N519" i="6" s="1"/>
  <c r="O519" i="6" s="1"/>
  <c r="O520" i="6" s="1"/>
  <c r="O521" i="6" s="1"/>
  <c r="O522" i="6" s="1"/>
  <c r="O523" i="6" s="1"/>
  <c r="O524" i="6" s="1"/>
  <c r="O525" i="6" s="1"/>
  <c r="O526" i="6" s="1"/>
  <c r="O527" i="6" s="1"/>
  <c r="O528" i="6" s="1"/>
  <c r="O529" i="6" s="1"/>
  <c r="O530" i="6" s="1"/>
  <c r="O531" i="6" s="1"/>
  <c r="O532" i="6" s="1"/>
  <c r="O533" i="6" s="1"/>
  <c r="O534" i="6" s="1"/>
  <c r="O535" i="6" s="1"/>
  <c r="O536" i="6" s="1"/>
  <c r="O537" i="6" s="1"/>
  <c r="O538" i="6" s="1"/>
  <c r="O539" i="6" s="1"/>
  <c r="G276" i="12"/>
  <c r="M2924" i="6"/>
  <c r="M717" i="7"/>
  <c r="E268" i="11"/>
  <c r="G494" i="8"/>
  <c r="H1479" i="6"/>
  <c r="I1479" i="6" s="1"/>
  <c r="S124" i="6" l="1"/>
  <c r="Q125" i="6" s="1"/>
  <c r="S125" i="6" s="1"/>
  <c r="F387" i="8"/>
  <c r="C993" i="8"/>
  <c r="E993" i="8" s="1"/>
  <c r="D220" i="11"/>
  <c r="BE220" i="11"/>
  <c r="BL220" i="11" s="1"/>
  <c r="N276" i="12"/>
  <c r="I277" i="12" s="1"/>
  <c r="BF220" i="11"/>
  <c r="C220" i="11"/>
  <c r="AF219" i="11"/>
  <c r="J220" i="11" s="1"/>
  <c r="E220" i="11"/>
  <c r="F166" i="7"/>
  <c r="BB270" i="11"/>
  <c r="BM270" i="11" s="1"/>
  <c r="E936" i="8"/>
  <c r="H936" i="8"/>
  <c r="M332" i="8"/>
  <c r="D497" i="7"/>
  <c r="F497" i="7" s="1"/>
  <c r="G333" i="8"/>
  <c r="E334" i="8" s="1"/>
  <c r="G334" i="8" s="1"/>
  <c r="E335" i="8" s="1"/>
  <c r="G335" i="8" s="1"/>
  <c r="E336" i="8" s="1"/>
  <c r="G336" i="8" s="1"/>
  <c r="B337" i="8" s="1"/>
  <c r="M331" i="7"/>
  <c r="F552" i="7"/>
  <c r="M441" i="8"/>
  <c r="F275" i="8"/>
  <c r="F936" i="7"/>
  <c r="H497" i="7"/>
  <c r="M937" i="8"/>
  <c r="N1101" i="8"/>
  <c r="I1102" i="8" s="1"/>
  <c r="CP219" i="11"/>
  <c r="CQ219" i="11"/>
  <c r="CN219" i="11"/>
  <c r="CL219" i="11"/>
  <c r="CO219" i="11"/>
  <c r="CM219" i="11"/>
  <c r="CK219" i="11"/>
  <c r="G331" i="7"/>
  <c r="B332" i="7" s="1"/>
  <c r="C332" i="7" s="1"/>
  <c r="D332" i="7" s="1"/>
  <c r="E884" i="8"/>
  <c r="H884" i="8"/>
  <c r="D884" i="8"/>
  <c r="F884" i="8" s="1"/>
  <c r="K1034" i="6"/>
  <c r="L1034" i="6" s="1"/>
  <c r="H771" i="7"/>
  <c r="D771" i="7"/>
  <c r="F771" i="7" s="1"/>
  <c r="K607" i="7"/>
  <c r="M607" i="7" s="1"/>
  <c r="O607" i="7"/>
  <c r="N55" i="10"/>
  <c r="H55" i="10" s="1"/>
  <c r="K55" i="10" s="1"/>
  <c r="C59" i="10" s="1"/>
  <c r="C60" i="10" s="1"/>
  <c r="I387" i="8"/>
  <c r="J387" i="8" s="1"/>
  <c r="L387" i="8"/>
  <c r="U728" i="8"/>
  <c r="B277" i="12"/>
  <c r="C277" i="12" s="1"/>
  <c r="E277" i="12"/>
  <c r="B828" i="7"/>
  <c r="C828" i="7" s="1"/>
  <c r="E828" i="7"/>
  <c r="I441" i="7"/>
  <c r="J441" i="7" s="1"/>
  <c r="N441" i="8"/>
  <c r="K278" i="8"/>
  <c r="O278" i="8"/>
  <c r="O279" i="8" s="1"/>
  <c r="O280" i="8" s="1"/>
  <c r="O281" i="8" s="1"/>
  <c r="J771" i="7"/>
  <c r="L940" i="6"/>
  <c r="S548" i="6"/>
  <c r="M662" i="6"/>
  <c r="K663" i="6" s="1"/>
  <c r="L663" i="6" s="1"/>
  <c r="I168" i="8"/>
  <c r="G275" i="8"/>
  <c r="J222" i="12"/>
  <c r="C663" i="8"/>
  <c r="D663" i="8" s="1"/>
  <c r="D936" i="8"/>
  <c r="F936" i="8" s="1"/>
  <c r="N550" i="7"/>
  <c r="D993" i="8"/>
  <c r="F993" i="8" s="1"/>
  <c r="D994" i="8" s="1"/>
  <c r="F994" i="8" s="1"/>
  <c r="D995" i="8" s="1"/>
  <c r="F995" i="8" s="1"/>
  <c r="D996" i="8" s="1"/>
  <c r="F996" i="8" s="1"/>
  <c r="H993" i="8"/>
  <c r="H994" i="8" s="1"/>
  <c r="H995" i="8" s="1"/>
  <c r="H996" i="8" s="1"/>
  <c r="B495" i="8"/>
  <c r="C495" i="8" s="1"/>
  <c r="H1149" i="6"/>
  <c r="J1149" i="6" s="1"/>
  <c r="G606" i="7"/>
  <c r="O222" i="7"/>
  <c r="K222" i="7"/>
  <c r="I1519" i="6"/>
  <c r="C221" i="12"/>
  <c r="L828" i="8"/>
  <c r="O828" i="8"/>
  <c r="J1479" i="6"/>
  <c r="H1480" i="6" s="1"/>
  <c r="K1437" i="6" s="1"/>
  <c r="G936" i="7"/>
  <c r="I498" i="8"/>
  <c r="E771" i="7"/>
  <c r="I330" i="12"/>
  <c r="J330" i="12" s="1"/>
  <c r="L330" i="12"/>
  <c r="L888" i="6"/>
  <c r="O470" i="6"/>
  <c r="K2925" i="6"/>
  <c r="L2925" i="6" s="1"/>
  <c r="L278" i="8"/>
  <c r="N278" i="8" s="1"/>
  <c r="L279" i="8" s="1"/>
  <c r="N279" i="8" s="1"/>
  <c r="L280" i="8" s="1"/>
  <c r="N280" i="8" s="1"/>
  <c r="L281" i="8" s="1"/>
  <c r="N281" i="8" s="1"/>
  <c r="M1204" i="6"/>
  <c r="K703" i="6"/>
  <c r="M703" i="6" s="1"/>
  <c r="K1350" i="6"/>
  <c r="M1350" i="6" s="1"/>
  <c r="AJ221" i="11"/>
  <c r="N662" i="7"/>
  <c r="M801" i="6"/>
  <c r="T673" i="8"/>
  <c r="H552" i="8"/>
  <c r="D552" i="8"/>
  <c r="M497" i="8"/>
  <c r="O991" i="8"/>
  <c r="K991" i="8"/>
  <c r="M991" i="8" s="1"/>
  <c r="K1310" i="6"/>
  <c r="M1310" i="6" s="1"/>
  <c r="E552" i="8"/>
  <c r="H268" i="11"/>
  <c r="I268" i="11" s="1"/>
  <c r="L222" i="7"/>
  <c r="N222" i="7" s="1"/>
  <c r="L847" i="6"/>
  <c r="C165" i="8"/>
  <c r="G166" i="7"/>
  <c r="K828" i="8"/>
  <c r="I826" i="7"/>
  <c r="J826" i="7" s="1"/>
  <c r="L826" i="7" s="1"/>
  <c r="G387" i="8"/>
  <c r="I551" i="8"/>
  <c r="J551" i="8" s="1"/>
  <c r="L551" i="8" s="1"/>
  <c r="Q314" i="6"/>
  <c r="R314" i="6" s="1"/>
  <c r="J1285" i="6"/>
  <c r="H1286" i="6" s="1"/>
  <c r="I1286" i="6" s="1"/>
  <c r="H1047" i="8"/>
  <c r="D1047" i="8"/>
  <c r="F1047" i="8" s="1"/>
  <c r="F718" i="7"/>
  <c r="D719" i="7" s="1"/>
  <c r="F719" i="7" s="1"/>
  <c r="D720" i="7" s="1"/>
  <c r="F720" i="7" s="1"/>
  <c r="D721" i="7" s="1"/>
  <c r="F721" i="7" s="1"/>
  <c r="B722" i="7" s="1"/>
  <c r="L880" i="8"/>
  <c r="N880" i="8" s="1"/>
  <c r="O880" i="8"/>
  <c r="I662" i="8"/>
  <c r="J662" i="8" s="1"/>
  <c r="K1406" i="6"/>
  <c r="M1406" i="6" s="1"/>
  <c r="G387" i="7"/>
  <c r="N331" i="7"/>
  <c r="I937" i="7"/>
  <c r="J937" i="7" s="1"/>
  <c r="L937" i="7" s="1"/>
  <c r="L987" i="6"/>
  <c r="N277" i="7"/>
  <c r="M167" i="8"/>
  <c r="B883" i="7"/>
  <c r="C883" i="7" s="1"/>
  <c r="E883" i="7"/>
  <c r="G442" i="8"/>
  <c r="D827" i="8"/>
  <c r="H827" i="8"/>
  <c r="H43" i="9"/>
  <c r="I43" i="9" s="1"/>
  <c r="L44" i="9"/>
  <c r="S406" i="6"/>
  <c r="Q407" i="6" s="1"/>
  <c r="R407" i="6" s="1"/>
  <c r="M276" i="12"/>
  <c r="N186" i="6"/>
  <c r="P186" i="6" s="1"/>
  <c r="M1101" i="8"/>
  <c r="M1033" i="6"/>
  <c r="L608" i="6"/>
  <c r="S265" i="6"/>
  <c r="Q266" i="6" s="1"/>
  <c r="R266" i="6" s="1"/>
  <c r="N376" i="6"/>
  <c r="P376" i="6" s="1"/>
  <c r="L1063" i="6"/>
  <c r="P519" i="6"/>
  <c r="P520" i="6" s="1"/>
  <c r="P521" i="6" s="1"/>
  <c r="P522" i="6" s="1"/>
  <c r="P523" i="6" s="1"/>
  <c r="P524" i="6" s="1"/>
  <c r="P525" i="6" s="1"/>
  <c r="P526" i="6" s="1"/>
  <c r="P527" i="6" s="1"/>
  <c r="P528" i="6" s="1"/>
  <c r="P529" i="6" s="1"/>
  <c r="P530" i="6" s="1"/>
  <c r="P531" i="6" s="1"/>
  <c r="P532" i="6" s="1"/>
  <c r="P533" i="6" s="1"/>
  <c r="P534" i="6" s="1"/>
  <c r="P535" i="6" s="1"/>
  <c r="P536" i="6" s="1"/>
  <c r="P537" i="6" s="1"/>
  <c r="P538" i="6" s="1"/>
  <c r="P539" i="6" s="1"/>
  <c r="N540" i="6" s="1"/>
  <c r="Q497" i="6" s="1"/>
  <c r="H167" i="12"/>
  <c r="D167" i="12"/>
  <c r="J607" i="8"/>
  <c r="E167" i="12"/>
  <c r="O230" i="6"/>
  <c r="H440" i="7"/>
  <c r="E440" i="7"/>
  <c r="G440" i="7" s="1"/>
  <c r="H223" i="8"/>
  <c r="H224" i="8" s="1"/>
  <c r="H225" i="8" s="1"/>
  <c r="H226" i="8" s="1"/>
  <c r="D223" i="8"/>
  <c r="F223" i="8" s="1"/>
  <c r="D224" i="8" s="1"/>
  <c r="F224" i="8" s="1"/>
  <c r="D225" i="8" s="1"/>
  <c r="F225" i="8" s="1"/>
  <c r="D226" i="8" s="1"/>
  <c r="F226" i="8" s="1"/>
  <c r="B331" i="12"/>
  <c r="C331" i="12" s="1"/>
  <c r="E331" i="12" s="1"/>
  <c r="N332" i="8"/>
  <c r="C607" i="8"/>
  <c r="G552" i="7"/>
  <c r="O387" i="7"/>
  <c r="K387" i="7"/>
  <c r="M387" i="7" s="1"/>
  <c r="J718" i="7"/>
  <c r="K718" i="7" s="1"/>
  <c r="I1191" i="6"/>
  <c r="N937" i="8"/>
  <c r="B278" i="7"/>
  <c r="C278" i="7" s="1"/>
  <c r="E827" i="8"/>
  <c r="K753" i="6"/>
  <c r="M753" i="6" s="1"/>
  <c r="F1103" i="8"/>
  <c r="D1104" i="8" s="1"/>
  <c r="F1104" i="8" s="1"/>
  <c r="D1105" i="8" s="1"/>
  <c r="F1105" i="8" s="1"/>
  <c r="D1106" i="8" s="1"/>
  <c r="F1106" i="8" s="1"/>
  <c r="B1107" i="8" s="1"/>
  <c r="AP221" i="11" l="1"/>
  <c r="AL221" i="11"/>
  <c r="AM221" i="11"/>
  <c r="N991" i="8"/>
  <c r="F220" i="11"/>
  <c r="AI221" i="11"/>
  <c r="L753" i="6"/>
  <c r="S314" i="6"/>
  <c r="G167" i="12"/>
  <c r="B168" i="12" s="1"/>
  <c r="G220" i="11"/>
  <c r="BJ270" i="11"/>
  <c r="BI270" i="11"/>
  <c r="BF270" i="11"/>
  <c r="BG270" i="11"/>
  <c r="BE270" i="11"/>
  <c r="BH270" i="11"/>
  <c r="BK270" i="11"/>
  <c r="G936" i="8"/>
  <c r="F827" i="8"/>
  <c r="N828" i="8"/>
  <c r="I829" i="8" s="1"/>
  <c r="CR219" i="11"/>
  <c r="BO220" i="11"/>
  <c r="L1310" i="6"/>
  <c r="K1311" i="6" s="1"/>
  <c r="BR220" i="11"/>
  <c r="BP220" i="11"/>
  <c r="AK221" i="11"/>
  <c r="AN221" i="11" s="1"/>
  <c r="G497" i="7"/>
  <c r="B498" i="7" s="1"/>
  <c r="C498" i="7" s="1"/>
  <c r="E498" i="7" s="1"/>
  <c r="F552" i="8"/>
  <c r="R499" i="6"/>
  <c r="M718" i="7"/>
  <c r="K719" i="7" s="1"/>
  <c r="M719" i="7" s="1"/>
  <c r="K720" i="7" s="1"/>
  <c r="M720" i="7" s="1"/>
  <c r="K721" i="7" s="1"/>
  <c r="M721" i="7" s="1"/>
  <c r="I722" i="7" s="1"/>
  <c r="P671" i="7" s="1"/>
  <c r="O268" i="11"/>
  <c r="S268" i="11" s="1"/>
  <c r="P268" i="11"/>
  <c r="M268" i="11"/>
  <c r="R268" i="11" s="1"/>
  <c r="K268" i="11"/>
  <c r="Q268" i="11" s="1"/>
  <c r="L268" i="11"/>
  <c r="N268" i="11"/>
  <c r="I881" i="8"/>
  <c r="H332" i="7"/>
  <c r="H165" i="8"/>
  <c r="E165" i="8"/>
  <c r="H495" i="8"/>
  <c r="D495" i="8"/>
  <c r="B937" i="7"/>
  <c r="C937" i="7" s="1"/>
  <c r="E937" i="7"/>
  <c r="E495" i="8"/>
  <c r="G495" i="8" s="1"/>
  <c r="R125" i="6"/>
  <c r="K941" i="6"/>
  <c r="M941" i="6" s="1"/>
  <c r="L1439" i="6"/>
  <c r="O330" i="12"/>
  <c r="K330" i="12"/>
  <c r="M330" i="12" s="1"/>
  <c r="O186" i="6"/>
  <c r="B388" i="7"/>
  <c r="C388" i="7" s="1"/>
  <c r="J168" i="8"/>
  <c r="H1520" i="6"/>
  <c r="J1520" i="6" s="1"/>
  <c r="M880" i="8"/>
  <c r="O607" i="8"/>
  <c r="L607" i="8"/>
  <c r="M44" i="9"/>
  <c r="P44" i="9" s="1"/>
  <c r="N44" i="9"/>
  <c r="Q44" i="9" s="1"/>
  <c r="K988" i="6"/>
  <c r="M988" i="6" s="1"/>
  <c r="K662" i="8"/>
  <c r="O662" i="8"/>
  <c r="M278" i="8"/>
  <c r="K279" i="8" s="1"/>
  <c r="M279" i="8" s="1"/>
  <c r="K280" i="8" s="1"/>
  <c r="M280" i="8" s="1"/>
  <c r="K281" i="8" s="1"/>
  <c r="M281" i="8" s="1"/>
  <c r="I282" i="8" s="1"/>
  <c r="G223" i="8"/>
  <c r="E224" i="8" s="1"/>
  <c r="G224" i="8" s="1"/>
  <c r="E225" i="8" s="1"/>
  <c r="G225" i="8" s="1"/>
  <c r="E226" i="8" s="1"/>
  <c r="G226" i="8" s="1"/>
  <c r="B227" i="8" s="1"/>
  <c r="P176" i="8" s="1"/>
  <c r="J498" i="8"/>
  <c r="K498" i="8" s="1"/>
  <c r="K441" i="7"/>
  <c r="O441" i="7"/>
  <c r="G827" i="8"/>
  <c r="B167" i="7"/>
  <c r="C167" i="7" s="1"/>
  <c r="E167" i="7"/>
  <c r="H278" i="7"/>
  <c r="H279" i="7" s="1"/>
  <c r="H280" i="7" s="1"/>
  <c r="H281" i="7" s="1"/>
  <c r="D278" i="7"/>
  <c r="F278" i="7" s="1"/>
  <c r="D279" i="7" s="1"/>
  <c r="F279" i="7" s="1"/>
  <c r="D280" i="7" s="1"/>
  <c r="F280" i="7" s="1"/>
  <c r="D281" i="7" s="1"/>
  <c r="F281" i="7" s="1"/>
  <c r="K848" i="6"/>
  <c r="M848" i="6" s="1"/>
  <c r="D277" i="12"/>
  <c r="F277" i="12" s="1"/>
  <c r="H277" i="12"/>
  <c r="B937" i="8"/>
  <c r="C937" i="8" s="1"/>
  <c r="H937" i="8" s="1"/>
  <c r="J1286" i="6"/>
  <c r="H1287" i="6" s="1"/>
  <c r="I1287" i="6" s="1"/>
  <c r="E332" i="7"/>
  <c r="G332" i="7" s="1"/>
  <c r="L771" i="7"/>
  <c r="O771" i="7"/>
  <c r="V728" i="8"/>
  <c r="P729" i="8" s="1"/>
  <c r="Q729" i="8" s="1"/>
  <c r="D883" i="7"/>
  <c r="F883" i="7" s="1"/>
  <c r="D884" i="7" s="1"/>
  <c r="F884" i="7" s="1"/>
  <c r="D885" i="7" s="1"/>
  <c r="F885" i="7" s="1"/>
  <c r="D886" i="7" s="1"/>
  <c r="F886" i="7" s="1"/>
  <c r="H883" i="7"/>
  <c r="H884" i="7" s="1"/>
  <c r="H885" i="7" s="1"/>
  <c r="H886" i="7" s="1"/>
  <c r="B276" i="8"/>
  <c r="C276" i="8" s="1"/>
  <c r="N607" i="7"/>
  <c r="N231" i="6"/>
  <c r="P231" i="6" s="1"/>
  <c r="Q315" i="6"/>
  <c r="R315" i="6" s="1"/>
  <c r="E221" i="12"/>
  <c r="H221" i="12"/>
  <c r="K802" i="6"/>
  <c r="L802" i="6" s="1"/>
  <c r="I278" i="7"/>
  <c r="J278" i="7" s="1"/>
  <c r="L278" i="7" s="1"/>
  <c r="D221" i="12"/>
  <c r="E607" i="8"/>
  <c r="H607" i="8"/>
  <c r="S407" i="6"/>
  <c r="Q408" i="6" s="1"/>
  <c r="R408" i="6" s="1"/>
  <c r="B388" i="8"/>
  <c r="C388" i="8" s="1"/>
  <c r="G552" i="8"/>
  <c r="G1047" i="8"/>
  <c r="D607" i="8"/>
  <c r="K1205" i="6"/>
  <c r="L1205" i="6" s="1"/>
  <c r="K607" i="8"/>
  <c r="O376" i="6"/>
  <c r="L662" i="8"/>
  <c r="O826" i="7"/>
  <c r="K826" i="7"/>
  <c r="M826" i="7" s="1"/>
  <c r="M222" i="7"/>
  <c r="M2925" i="6"/>
  <c r="K387" i="8"/>
  <c r="M387" i="8" s="1"/>
  <c r="O387" i="8"/>
  <c r="I1149" i="6"/>
  <c r="B443" i="8"/>
  <c r="C443" i="8" s="1"/>
  <c r="E443" i="8" s="1"/>
  <c r="H828" i="7"/>
  <c r="H829" i="7" s="1"/>
  <c r="H830" i="7" s="1"/>
  <c r="H831" i="7" s="1"/>
  <c r="D828" i="7"/>
  <c r="F828" i="7" s="1"/>
  <c r="D829" i="7" s="1"/>
  <c r="F829" i="7" s="1"/>
  <c r="D830" i="7" s="1"/>
  <c r="F830" i="7" s="1"/>
  <c r="D831" i="7" s="1"/>
  <c r="F831" i="7" s="1"/>
  <c r="E278" i="7"/>
  <c r="D165" i="8"/>
  <c r="K889" i="6"/>
  <c r="M889" i="6" s="1"/>
  <c r="O222" i="12"/>
  <c r="L222" i="12"/>
  <c r="H1192" i="6"/>
  <c r="J1192" i="6" s="1"/>
  <c r="I223" i="7"/>
  <c r="J1102" i="8"/>
  <c r="K1102" i="8" s="1"/>
  <c r="I992" i="8"/>
  <c r="J992" i="8" s="1"/>
  <c r="I663" i="7"/>
  <c r="J663" i="7" s="1"/>
  <c r="L663" i="7"/>
  <c r="L1406" i="6"/>
  <c r="I551" i="7"/>
  <c r="J551" i="7" s="1"/>
  <c r="I333" i="8"/>
  <c r="J333" i="8" s="1"/>
  <c r="L333" i="8" s="1"/>
  <c r="F167" i="12"/>
  <c r="S266" i="6"/>
  <c r="O44" i="9"/>
  <c r="O937" i="7"/>
  <c r="K937" i="7"/>
  <c r="M937" i="7" s="1"/>
  <c r="L1350" i="6"/>
  <c r="I442" i="8"/>
  <c r="J442" i="8" s="1"/>
  <c r="Q549" i="6"/>
  <c r="R549" i="6" s="1"/>
  <c r="G884" i="8"/>
  <c r="E663" i="8"/>
  <c r="G663" i="8" s="1"/>
  <c r="E664" i="8" s="1"/>
  <c r="G664" i="8" s="1"/>
  <c r="E665" i="8" s="1"/>
  <c r="G665" i="8" s="1"/>
  <c r="E666" i="8" s="1"/>
  <c r="G666" i="8" s="1"/>
  <c r="H663" i="8"/>
  <c r="H664" i="8" s="1"/>
  <c r="H665" i="8" s="1"/>
  <c r="H666" i="8" s="1"/>
  <c r="L703" i="6"/>
  <c r="M1034" i="6"/>
  <c r="K1035" i="6" s="1"/>
  <c r="L1035" i="6" s="1"/>
  <c r="N471" i="6"/>
  <c r="P471" i="6" s="1"/>
  <c r="B38" i="13"/>
  <c r="C61" i="10"/>
  <c r="I938" i="8"/>
  <c r="J938" i="8" s="1"/>
  <c r="K222" i="12"/>
  <c r="O718" i="7"/>
  <c r="O719" i="7" s="1"/>
  <c r="O720" i="7" s="1"/>
  <c r="O721" i="7" s="1"/>
  <c r="L718" i="7"/>
  <c r="N718" i="7" s="1"/>
  <c r="L719" i="7" s="1"/>
  <c r="N719" i="7" s="1"/>
  <c r="L720" i="7" s="1"/>
  <c r="N720" i="7" s="1"/>
  <c r="L721" i="7" s="1"/>
  <c r="N721" i="7" s="1"/>
  <c r="B441" i="7"/>
  <c r="K771" i="7"/>
  <c r="M771" i="7" s="1"/>
  <c r="G993" i="8"/>
  <c r="E994" i="8" s="1"/>
  <c r="G994" i="8" s="1"/>
  <c r="E995" i="8" s="1"/>
  <c r="G995" i="8" s="1"/>
  <c r="E996" i="8" s="1"/>
  <c r="G996" i="8" s="1"/>
  <c r="B997" i="8" s="1"/>
  <c r="M1063" i="6"/>
  <c r="G771" i="7"/>
  <c r="K551" i="8"/>
  <c r="M551" i="8" s="1"/>
  <c r="O551" i="8"/>
  <c r="B553" i="7"/>
  <c r="C553" i="7" s="1"/>
  <c r="E553" i="7" s="1"/>
  <c r="J277" i="12"/>
  <c r="K277" i="12" s="1"/>
  <c r="F440" i="7"/>
  <c r="K754" i="6"/>
  <c r="M754" i="6" s="1"/>
  <c r="D331" i="12"/>
  <c r="F331" i="12" s="1"/>
  <c r="H331" i="12"/>
  <c r="K609" i="6"/>
  <c r="M609" i="6" s="1"/>
  <c r="I332" i="7"/>
  <c r="J332" i="7" s="1"/>
  <c r="L332" i="7" s="1"/>
  <c r="M828" i="8"/>
  <c r="U673" i="8"/>
  <c r="B607" i="7"/>
  <c r="C607" i="7" s="1"/>
  <c r="E607" i="7" s="1"/>
  <c r="M663" i="6"/>
  <c r="L441" i="7"/>
  <c r="N441" i="7" s="1"/>
  <c r="N387" i="7"/>
  <c r="M607" i="8" l="1"/>
  <c r="F165" i="8"/>
  <c r="G331" i="12"/>
  <c r="H220" i="11"/>
  <c r="I220" i="11" s="1"/>
  <c r="S549" i="6"/>
  <c r="G828" i="7"/>
  <c r="E829" i="7" s="1"/>
  <c r="G829" i="7" s="1"/>
  <c r="E830" i="7" s="1"/>
  <c r="G830" i="7" s="1"/>
  <c r="E831" i="7" s="1"/>
  <c r="G831" i="7" s="1"/>
  <c r="L1311" i="6"/>
  <c r="K1312" i="6" s="1"/>
  <c r="M1312" i="6" s="1"/>
  <c r="M1311" i="6"/>
  <c r="AO221" i="11"/>
  <c r="AR221" i="11" s="1"/>
  <c r="BV220" i="11"/>
  <c r="BY220" i="11" s="1"/>
  <c r="CD220" i="11" s="1"/>
  <c r="BS220" i="11"/>
  <c r="BQ220" i="11"/>
  <c r="BT220" i="11" s="1"/>
  <c r="BU220" i="11" s="1"/>
  <c r="G607" i="8"/>
  <c r="M1205" i="6"/>
  <c r="L988" i="6"/>
  <c r="AI271" i="11"/>
  <c r="BL270" i="11"/>
  <c r="AP271" i="11" s="1"/>
  <c r="AK271" i="11"/>
  <c r="N551" i="8"/>
  <c r="I552" i="8" s="1"/>
  <c r="J552" i="8" s="1"/>
  <c r="N662" i="8"/>
  <c r="I663" i="8" s="1"/>
  <c r="F221" i="12"/>
  <c r="AM271" i="11"/>
  <c r="M222" i="12"/>
  <c r="G277" i="12"/>
  <c r="B278" i="12" s="1"/>
  <c r="C278" i="12" s="1"/>
  <c r="F663" i="8"/>
  <c r="D664" i="8" s="1"/>
  <c r="F664" i="8" s="1"/>
  <c r="D665" i="8" s="1"/>
  <c r="F665" i="8" s="1"/>
  <c r="D666" i="8" s="1"/>
  <c r="F666" i="8" s="1"/>
  <c r="B667" i="8" s="1"/>
  <c r="AJ271" i="11"/>
  <c r="S315" i="6"/>
  <c r="Q316" i="6" s="1"/>
  <c r="S316" i="6" s="1"/>
  <c r="L992" i="8"/>
  <c r="O992" i="8"/>
  <c r="K992" i="8"/>
  <c r="R729" i="8"/>
  <c r="S729" i="8"/>
  <c r="U729" i="8" s="1"/>
  <c r="K332" i="7"/>
  <c r="M332" i="7" s="1"/>
  <c r="O332" i="7"/>
  <c r="K1206" i="6"/>
  <c r="L1206" i="6" s="1"/>
  <c r="N607" i="8"/>
  <c r="F607" i="8"/>
  <c r="U268" i="11"/>
  <c r="D937" i="7"/>
  <c r="F937" i="7" s="1"/>
  <c r="H937" i="7"/>
  <c r="O168" i="8"/>
  <c r="O169" i="8" s="1"/>
  <c r="O170" i="8" s="1"/>
  <c r="O171" i="8" s="1"/>
  <c r="L168" i="8"/>
  <c r="I388" i="7"/>
  <c r="J388" i="7" s="1"/>
  <c r="L388" i="7"/>
  <c r="C168" i="12"/>
  <c r="K168" i="8"/>
  <c r="M168" i="8" s="1"/>
  <c r="K169" i="8" s="1"/>
  <c r="M169" i="8" s="1"/>
  <c r="K170" i="8" s="1"/>
  <c r="M170" i="8" s="1"/>
  <c r="K171" i="8" s="1"/>
  <c r="M171" i="8" s="1"/>
  <c r="M1439" i="6"/>
  <c r="AV221" i="11"/>
  <c r="B832" i="7"/>
  <c r="L754" i="6"/>
  <c r="G165" i="8"/>
  <c r="F332" i="7"/>
  <c r="B553" i="8"/>
  <c r="C553" i="8" s="1"/>
  <c r="E937" i="8"/>
  <c r="M441" i="7"/>
  <c r="K938" i="8"/>
  <c r="O938" i="8"/>
  <c r="O939" i="8" s="1"/>
  <c r="O940" i="8" s="1"/>
  <c r="O941" i="8" s="1"/>
  <c r="J829" i="8"/>
  <c r="B608" i="8"/>
  <c r="S499" i="6"/>
  <c r="Q500" i="6" s="1"/>
  <c r="R500" i="6" s="1"/>
  <c r="K1351" i="6"/>
  <c r="M1351" i="6" s="1"/>
  <c r="L848" i="6"/>
  <c r="L941" i="6"/>
  <c r="B496" i="8"/>
  <c r="B332" i="12"/>
  <c r="C332" i="12" s="1"/>
  <c r="E332" i="12" s="1"/>
  <c r="O471" i="6"/>
  <c r="C441" i="7"/>
  <c r="I1520" i="6"/>
  <c r="O277" i="12"/>
  <c r="L277" i="12"/>
  <c r="N277" i="12" s="1"/>
  <c r="B333" i="7"/>
  <c r="T673" i="7"/>
  <c r="H167" i="7"/>
  <c r="D167" i="7"/>
  <c r="F167" i="7" s="1"/>
  <c r="F495" i="8"/>
  <c r="K333" i="8"/>
  <c r="M333" i="8" s="1"/>
  <c r="K334" i="8" s="1"/>
  <c r="M334" i="8" s="1"/>
  <c r="K335" i="8" s="1"/>
  <c r="M335" i="8" s="1"/>
  <c r="K336" i="8" s="1"/>
  <c r="M336" i="8" s="1"/>
  <c r="O333" i="8"/>
  <c r="O334" i="8" s="1"/>
  <c r="O335" i="8" s="1"/>
  <c r="O336" i="8" s="1"/>
  <c r="J223" i="7"/>
  <c r="K223" i="7" s="1"/>
  <c r="N937" i="7"/>
  <c r="H553" i="7"/>
  <c r="H554" i="7" s="1"/>
  <c r="H555" i="7" s="1"/>
  <c r="H556" i="7" s="1"/>
  <c r="D553" i="7"/>
  <c r="F553" i="7" s="1"/>
  <c r="D554" i="7" s="1"/>
  <c r="F554" i="7" s="1"/>
  <c r="D555" i="7" s="1"/>
  <c r="F555" i="7" s="1"/>
  <c r="D556" i="7" s="1"/>
  <c r="F556" i="7" s="1"/>
  <c r="D498" i="7"/>
  <c r="F498" i="7" s="1"/>
  <c r="D499" i="7" s="1"/>
  <c r="F499" i="7" s="1"/>
  <c r="D500" i="7" s="1"/>
  <c r="F500" i="7" s="1"/>
  <c r="D501" i="7" s="1"/>
  <c r="F501" i="7" s="1"/>
  <c r="H498" i="7"/>
  <c r="H499" i="7" s="1"/>
  <c r="H500" i="7" s="1"/>
  <c r="H501" i="7" s="1"/>
  <c r="N330" i="12"/>
  <c r="B885" i="8"/>
  <c r="C885" i="8" s="1"/>
  <c r="E885" i="8"/>
  <c r="K551" i="7"/>
  <c r="O551" i="7"/>
  <c r="I1192" i="6"/>
  <c r="D388" i="8"/>
  <c r="H388" i="8"/>
  <c r="H389" i="8" s="1"/>
  <c r="H390" i="8" s="1"/>
  <c r="H391" i="8" s="1"/>
  <c r="O231" i="6"/>
  <c r="K664" i="6"/>
  <c r="L664" i="6" s="1"/>
  <c r="M662" i="8"/>
  <c r="H388" i="7"/>
  <c r="H389" i="7" s="1"/>
  <c r="H390" i="7" s="1"/>
  <c r="H391" i="7" s="1"/>
  <c r="D388" i="7"/>
  <c r="N826" i="7"/>
  <c r="AS221" i="11"/>
  <c r="AX221" i="11" s="1"/>
  <c r="O663" i="7"/>
  <c r="O664" i="7" s="1"/>
  <c r="O665" i="7" s="1"/>
  <c r="O666" i="7" s="1"/>
  <c r="K663" i="7"/>
  <c r="M663" i="7" s="1"/>
  <c r="K664" i="7" s="1"/>
  <c r="M664" i="7" s="1"/>
  <c r="K665" i="7" s="1"/>
  <c r="M665" i="7" s="1"/>
  <c r="K666" i="7" s="1"/>
  <c r="M666" i="7" s="1"/>
  <c r="N377" i="6"/>
  <c r="P377" i="6" s="1"/>
  <c r="H1150" i="6"/>
  <c r="J1150" i="6" s="1"/>
  <c r="V729" i="8"/>
  <c r="Q126" i="6"/>
  <c r="S126" i="6" s="1"/>
  <c r="T178" i="8"/>
  <c r="T268" i="11"/>
  <c r="L1102" i="8"/>
  <c r="N1102" i="8" s="1"/>
  <c r="O1102" i="8"/>
  <c r="J881" i="8"/>
  <c r="L609" i="6"/>
  <c r="M1035" i="6"/>
  <c r="G221" i="12"/>
  <c r="M802" i="6"/>
  <c r="K803" i="6" s="1"/>
  <c r="L803" i="6" s="1"/>
  <c r="K704" i="6"/>
  <c r="M704" i="6" s="1"/>
  <c r="G278" i="7"/>
  <c r="E279" i="7" s="1"/>
  <c r="G279" i="7" s="1"/>
  <c r="E280" i="7" s="1"/>
  <c r="G280" i="7" s="1"/>
  <c r="E281" i="7" s="1"/>
  <c r="G281" i="7" s="1"/>
  <c r="B282" i="7" s="1"/>
  <c r="I442" i="7"/>
  <c r="D937" i="8"/>
  <c r="F937" i="8" s="1"/>
  <c r="V673" i="8"/>
  <c r="B772" i="7"/>
  <c r="C772" i="7" s="1"/>
  <c r="G883" i="7"/>
  <c r="E884" i="7" s="1"/>
  <c r="G884" i="7" s="1"/>
  <c r="E885" i="7" s="1"/>
  <c r="G885" i="7" s="1"/>
  <c r="E886" i="7" s="1"/>
  <c r="G886" i="7" s="1"/>
  <c r="B887" i="7" s="1"/>
  <c r="P836" i="7" s="1"/>
  <c r="Q550" i="6"/>
  <c r="S550" i="6" s="1"/>
  <c r="L551" i="7"/>
  <c r="D443" i="8"/>
  <c r="F443" i="8" s="1"/>
  <c r="D444" i="8" s="1"/>
  <c r="F444" i="8" s="1"/>
  <c r="D445" i="8" s="1"/>
  <c r="F445" i="8" s="1"/>
  <c r="D446" i="8" s="1"/>
  <c r="F446" i="8" s="1"/>
  <c r="H443" i="8"/>
  <c r="H444" i="8" s="1"/>
  <c r="H445" i="8" s="1"/>
  <c r="H446" i="8" s="1"/>
  <c r="E388" i="8"/>
  <c r="I608" i="7"/>
  <c r="J608" i="7" s="1"/>
  <c r="L608" i="7"/>
  <c r="E388" i="7"/>
  <c r="K2926" i="6"/>
  <c r="L2926" i="6" s="1"/>
  <c r="Q267" i="6"/>
  <c r="R267" i="6" s="1"/>
  <c r="K442" i="8"/>
  <c r="O442" i="8"/>
  <c r="D276" i="8"/>
  <c r="H276" i="8"/>
  <c r="K278" i="7"/>
  <c r="M278" i="7" s="1"/>
  <c r="K279" i="7" s="1"/>
  <c r="M279" i="7" s="1"/>
  <c r="K280" i="7" s="1"/>
  <c r="M280" i="7" s="1"/>
  <c r="K281" i="7" s="1"/>
  <c r="M281" i="7" s="1"/>
  <c r="O278" i="7"/>
  <c r="O279" i="7" s="1"/>
  <c r="O280" i="7" s="1"/>
  <c r="O281" i="7" s="1"/>
  <c r="R44" i="9"/>
  <c r="S44" i="9"/>
  <c r="L889" i="6"/>
  <c r="N771" i="7"/>
  <c r="AT221" i="11"/>
  <c r="B1048" i="8"/>
  <c r="C1048" i="8" s="1"/>
  <c r="E1048" i="8"/>
  <c r="J1287" i="6"/>
  <c r="N387" i="8"/>
  <c r="B828" i="8"/>
  <c r="C828" i="8" s="1"/>
  <c r="E828" i="8"/>
  <c r="H607" i="7"/>
  <c r="D607" i="7"/>
  <c r="F607" i="7" s="1"/>
  <c r="K1064" i="6"/>
  <c r="L1064" i="6" s="1"/>
  <c r="L938" i="8"/>
  <c r="L442" i="8"/>
  <c r="K1407" i="6"/>
  <c r="M1407" i="6" s="1"/>
  <c r="N222" i="12"/>
  <c r="G443" i="8"/>
  <c r="E444" i="8" s="1"/>
  <c r="G444" i="8" s="1"/>
  <c r="E445" i="8" s="1"/>
  <c r="G445" i="8" s="1"/>
  <c r="E446" i="8" s="1"/>
  <c r="G446" i="8" s="1"/>
  <c r="S408" i="6"/>
  <c r="E276" i="8"/>
  <c r="O498" i="8"/>
  <c r="O499" i="8" s="1"/>
  <c r="O500" i="8" s="1"/>
  <c r="O501" i="8" s="1"/>
  <c r="L498" i="8"/>
  <c r="N498" i="8" s="1"/>
  <c r="L499" i="8" s="1"/>
  <c r="N499" i="8" s="1"/>
  <c r="L500" i="8" s="1"/>
  <c r="N500" i="8" s="1"/>
  <c r="L501" i="8" s="1"/>
  <c r="N501" i="8" s="1"/>
  <c r="K989" i="6"/>
  <c r="L989" i="6" s="1"/>
  <c r="N187" i="6"/>
  <c r="P187" i="6" s="1"/>
  <c r="CB220" i="11" l="1"/>
  <c r="BW220" i="11"/>
  <c r="CC220" i="11" s="1"/>
  <c r="F388" i="8"/>
  <c r="D389" i="8" s="1"/>
  <c r="F389" i="8" s="1"/>
  <c r="D390" i="8" s="1"/>
  <c r="F390" i="8" s="1"/>
  <c r="D391" i="8" s="1"/>
  <c r="F391" i="8" s="1"/>
  <c r="BX220" i="11"/>
  <c r="K220" i="11"/>
  <c r="Q220" i="11" s="1"/>
  <c r="L220" i="11"/>
  <c r="CA220" i="11"/>
  <c r="CE220" i="11" s="1"/>
  <c r="BZ220" i="11"/>
  <c r="N220" i="11"/>
  <c r="M938" i="8"/>
  <c r="K939" i="8" s="1"/>
  <c r="M939" i="8" s="1"/>
  <c r="K940" i="8" s="1"/>
  <c r="M940" i="8" s="1"/>
  <c r="K941" i="8" s="1"/>
  <c r="M941" i="8" s="1"/>
  <c r="I942" i="8" s="1"/>
  <c r="M220" i="11"/>
  <c r="R220" i="11" s="1"/>
  <c r="U220" i="11" s="1"/>
  <c r="M442" i="8"/>
  <c r="M277" i="12"/>
  <c r="M992" i="8"/>
  <c r="M1206" i="6"/>
  <c r="K1207" i="6" s="1"/>
  <c r="L1207" i="6" s="1"/>
  <c r="P220" i="11"/>
  <c r="AQ221" i="11"/>
  <c r="AW221" i="11" s="1"/>
  <c r="O220" i="11"/>
  <c r="S220" i="11" s="1"/>
  <c r="K552" i="8"/>
  <c r="O552" i="8"/>
  <c r="M498" i="8"/>
  <c r="K499" i="8" s="1"/>
  <c r="M499" i="8" s="1"/>
  <c r="K500" i="8" s="1"/>
  <c r="M500" i="8" s="1"/>
  <c r="K501" i="8" s="1"/>
  <c r="M501" i="8" s="1"/>
  <c r="I502" i="8" s="1"/>
  <c r="AL271" i="11"/>
  <c r="N333" i="8"/>
  <c r="L334" i="8" s="1"/>
  <c r="N334" i="8" s="1"/>
  <c r="L335" i="8" s="1"/>
  <c r="N335" i="8" s="1"/>
  <c r="L336" i="8" s="1"/>
  <c r="N336" i="8" s="1"/>
  <c r="I337" i="8" s="1"/>
  <c r="P286" i="8" s="1"/>
  <c r="AU221" i="11"/>
  <c r="AY221" i="11" s="1"/>
  <c r="BD221" i="11" s="1"/>
  <c r="W268" i="11"/>
  <c r="AN271" i="11"/>
  <c r="AO271" i="11" s="1"/>
  <c r="G276" i="8"/>
  <c r="B277" i="8" s="1"/>
  <c r="I1150" i="6"/>
  <c r="H1151" i="6" s="1"/>
  <c r="K1108" i="6" s="1"/>
  <c r="L1110" i="6" s="1"/>
  <c r="M2926" i="6"/>
  <c r="K2927" i="6" s="1"/>
  <c r="M2927" i="6" s="1"/>
  <c r="G388" i="7"/>
  <c r="E389" i="7" s="1"/>
  <c r="G389" i="7" s="1"/>
  <c r="E390" i="7" s="1"/>
  <c r="G390" i="7" s="1"/>
  <c r="E391" i="7" s="1"/>
  <c r="G391" i="7" s="1"/>
  <c r="G167" i="7"/>
  <c r="M989" i="6"/>
  <c r="K990" i="6" s="1"/>
  <c r="L990" i="6" s="1"/>
  <c r="N551" i="7"/>
  <c r="D278" i="12"/>
  <c r="E278" i="12"/>
  <c r="G278" i="12" s="1"/>
  <c r="E279" i="12" s="1"/>
  <c r="G279" i="12" s="1"/>
  <c r="E280" i="12" s="1"/>
  <c r="G280" i="12" s="1"/>
  <c r="E281" i="12" s="1"/>
  <c r="G281" i="12" s="1"/>
  <c r="H278" i="12"/>
  <c r="H279" i="12" s="1"/>
  <c r="H280" i="12" s="1"/>
  <c r="H281" i="12" s="1"/>
  <c r="L881" i="8"/>
  <c r="O881" i="8"/>
  <c r="F276" i="8"/>
  <c r="N232" i="6"/>
  <c r="P232" i="6" s="1"/>
  <c r="K849" i="6"/>
  <c r="M849" i="6" s="1"/>
  <c r="T838" i="7"/>
  <c r="D772" i="7"/>
  <c r="H772" i="7"/>
  <c r="V268" i="11"/>
  <c r="H1193" i="6"/>
  <c r="J1193" i="6" s="1"/>
  <c r="G937" i="8"/>
  <c r="D553" i="8"/>
  <c r="H553" i="8"/>
  <c r="H554" i="8" s="1"/>
  <c r="H555" i="8" s="1"/>
  <c r="H556" i="8" s="1"/>
  <c r="N442" i="8"/>
  <c r="BA221" i="11"/>
  <c r="N938" i="8"/>
  <c r="L939" i="8" s="1"/>
  <c r="N939" i="8" s="1"/>
  <c r="L940" i="8" s="1"/>
  <c r="N940" i="8" s="1"/>
  <c r="L941" i="8" s="1"/>
  <c r="N941" i="8" s="1"/>
  <c r="K388" i="7"/>
  <c r="M388" i="7" s="1"/>
  <c r="K389" i="7" s="1"/>
  <c r="M389" i="7" s="1"/>
  <c r="K390" i="7" s="1"/>
  <c r="M390" i="7" s="1"/>
  <c r="K391" i="7" s="1"/>
  <c r="M391" i="7" s="1"/>
  <c r="O388" i="7"/>
  <c r="O389" i="7" s="1"/>
  <c r="O390" i="7" s="1"/>
  <c r="O391" i="7" s="1"/>
  <c r="M803" i="6"/>
  <c r="I331" i="12"/>
  <c r="J331" i="12" s="1"/>
  <c r="L331" i="12" s="1"/>
  <c r="C333" i="7"/>
  <c r="G607" i="7"/>
  <c r="H1521" i="6"/>
  <c r="J1521" i="6" s="1"/>
  <c r="O377" i="6"/>
  <c r="H441" i="7"/>
  <c r="E441" i="7"/>
  <c r="CF220" i="11"/>
  <c r="I223" i="12"/>
  <c r="J223" i="12" s="1"/>
  <c r="L223" i="12" s="1"/>
  <c r="L704" i="6"/>
  <c r="J442" i="7"/>
  <c r="G553" i="7"/>
  <c r="E554" i="7" s="1"/>
  <c r="G554" i="7" s="1"/>
  <c r="E555" i="7" s="1"/>
  <c r="G555" i="7" s="1"/>
  <c r="E556" i="7" s="1"/>
  <c r="G556" i="7" s="1"/>
  <c r="B557" i="7" s="1"/>
  <c r="E168" i="12"/>
  <c r="H168" i="12"/>
  <c r="H169" i="12" s="1"/>
  <c r="H170" i="12" s="1"/>
  <c r="H171" i="12" s="1"/>
  <c r="L1407" i="6"/>
  <c r="AZ221" i="11"/>
  <c r="D168" i="12"/>
  <c r="I388" i="8"/>
  <c r="J388" i="8" s="1"/>
  <c r="L388" i="8"/>
  <c r="S500" i="6"/>
  <c r="Q501" i="6" s="1"/>
  <c r="R501" i="6" s="1"/>
  <c r="T729" i="8"/>
  <c r="U178" i="8"/>
  <c r="D1048" i="8"/>
  <c r="F1048" i="8" s="1"/>
  <c r="D1049" i="8" s="1"/>
  <c r="F1049" i="8" s="1"/>
  <c r="D1050" i="8" s="1"/>
  <c r="F1050" i="8" s="1"/>
  <c r="D1051" i="8" s="1"/>
  <c r="F1051" i="8" s="1"/>
  <c r="H1048" i="8"/>
  <c r="H1049" i="8" s="1"/>
  <c r="H1050" i="8" s="1"/>
  <c r="H1051" i="8" s="1"/>
  <c r="O608" i="7"/>
  <c r="O609" i="7" s="1"/>
  <c r="O610" i="7" s="1"/>
  <c r="O611" i="7" s="1"/>
  <c r="K608" i="7"/>
  <c r="M608" i="7" s="1"/>
  <c r="K609" i="7" s="1"/>
  <c r="M609" i="7" s="1"/>
  <c r="K610" i="7" s="1"/>
  <c r="M610" i="7" s="1"/>
  <c r="K611" i="7" s="1"/>
  <c r="M611" i="7" s="1"/>
  <c r="B222" i="12"/>
  <c r="C222" i="12" s="1"/>
  <c r="R126" i="6"/>
  <c r="I827" i="7"/>
  <c r="J827" i="7" s="1"/>
  <c r="C496" i="8"/>
  <c r="D496" i="8" s="1"/>
  <c r="U673" i="7"/>
  <c r="O829" i="8"/>
  <c r="L829" i="8"/>
  <c r="N829" i="8" s="1"/>
  <c r="B166" i="8"/>
  <c r="C166" i="8" s="1"/>
  <c r="E166" i="8"/>
  <c r="L552" i="8"/>
  <c r="I1103" i="8"/>
  <c r="D441" i="7"/>
  <c r="D332" i="12"/>
  <c r="F332" i="12" s="1"/>
  <c r="M551" i="7"/>
  <c r="P730" i="8"/>
  <c r="P674" i="8"/>
  <c r="Q674" i="8" s="1"/>
  <c r="E553" i="8"/>
  <c r="H885" i="8"/>
  <c r="D885" i="8"/>
  <c r="F885" i="8" s="1"/>
  <c r="R316" i="6"/>
  <c r="O187" i="6"/>
  <c r="I282" i="7"/>
  <c r="P231" i="7" s="1"/>
  <c r="B168" i="7"/>
  <c r="C168" i="7" s="1"/>
  <c r="G388" i="8"/>
  <c r="E389" i="8" s="1"/>
  <c r="G389" i="8" s="1"/>
  <c r="E390" i="8" s="1"/>
  <c r="G390" i="8" s="1"/>
  <c r="E391" i="8" s="1"/>
  <c r="G391" i="8" s="1"/>
  <c r="K829" i="8"/>
  <c r="N168" i="8"/>
  <c r="L169" i="8" s="1"/>
  <c r="N169" i="8" s="1"/>
  <c r="L170" i="8" s="1"/>
  <c r="N170" i="8" s="1"/>
  <c r="L171" i="8" s="1"/>
  <c r="N171" i="8" s="1"/>
  <c r="L1312" i="6"/>
  <c r="K1440" i="6"/>
  <c r="L1440" i="6" s="1"/>
  <c r="K755" i="6"/>
  <c r="M755" i="6" s="1"/>
  <c r="C608" i="8"/>
  <c r="M1102" i="8"/>
  <c r="N332" i="7"/>
  <c r="F388" i="7"/>
  <c r="D389" i="7" s="1"/>
  <c r="F389" i="7" s="1"/>
  <c r="D390" i="7" s="1"/>
  <c r="F390" i="7" s="1"/>
  <c r="D391" i="7" s="1"/>
  <c r="F391" i="7" s="1"/>
  <c r="M664" i="6"/>
  <c r="S267" i="6"/>
  <c r="Q268" i="6" s="1"/>
  <c r="R268" i="6" s="1"/>
  <c r="I608" i="8"/>
  <c r="J608" i="8" s="1"/>
  <c r="H1288" i="6"/>
  <c r="I1288" i="6" s="1"/>
  <c r="N992" i="8"/>
  <c r="K610" i="6"/>
  <c r="M610" i="6" s="1"/>
  <c r="I278" i="12"/>
  <c r="N278" i="7"/>
  <c r="L279" i="7" s="1"/>
  <c r="N279" i="7" s="1"/>
  <c r="L280" i="7" s="1"/>
  <c r="N280" i="7" s="1"/>
  <c r="L281" i="7" s="1"/>
  <c r="N281" i="7" s="1"/>
  <c r="N663" i="7"/>
  <c r="L664" i="7" s="1"/>
  <c r="N664" i="7" s="1"/>
  <c r="L665" i="7" s="1"/>
  <c r="N665" i="7" s="1"/>
  <c r="L666" i="7" s="1"/>
  <c r="N666" i="7" s="1"/>
  <c r="I667" i="7" s="1"/>
  <c r="P616" i="7" s="1"/>
  <c r="G498" i="7"/>
  <c r="E499" i="7" s="1"/>
  <c r="G499" i="7" s="1"/>
  <c r="E500" i="7" s="1"/>
  <c r="G500" i="7" s="1"/>
  <c r="E501" i="7" s="1"/>
  <c r="G501" i="7" s="1"/>
  <c r="B502" i="7" s="1"/>
  <c r="P451" i="7" s="1"/>
  <c r="H332" i="12"/>
  <c r="Q409" i="6"/>
  <c r="R409" i="6" s="1"/>
  <c r="K890" i="6"/>
  <c r="M890" i="6" s="1"/>
  <c r="I552" i="7"/>
  <c r="K942" i="6"/>
  <c r="M942" i="6" s="1"/>
  <c r="K881" i="8"/>
  <c r="M881" i="8" s="1"/>
  <c r="F44" i="9"/>
  <c r="E44" i="9"/>
  <c r="G44" i="9"/>
  <c r="R550" i="6"/>
  <c r="D828" i="8"/>
  <c r="F828" i="8" s="1"/>
  <c r="H828" i="8"/>
  <c r="I172" i="8"/>
  <c r="I938" i="7"/>
  <c r="J938" i="7" s="1"/>
  <c r="N472" i="6"/>
  <c r="P472" i="6" s="1"/>
  <c r="P473" i="6" s="1"/>
  <c r="P474" i="6" s="1"/>
  <c r="P475" i="6" s="1"/>
  <c r="P476" i="6" s="1"/>
  <c r="P477" i="6" s="1"/>
  <c r="P478" i="6" s="1"/>
  <c r="P479" i="6" s="1"/>
  <c r="P480" i="6" s="1"/>
  <c r="P481" i="6" s="1"/>
  <c r="P482" i="6" s="1"/>
  <c r="P483" i="6" s="1"/>
  <c r="P484" i="6" s="1"/>
  <c r="P485" i="6" s="1"/>
  <c r="P486" i="6" s="1"/>
  <c r="P487" i="6" s="1"/>
  <c r="P488" i="6" s="1"/>
  <c r="P489" i="6" s="1"/>
  <c r="P490" i="6" s="1"/>
  <c r="P491" i="6" s="1"/>
  <c r="P492" i="6" s="1"/>
  <c r="E772" i="7"/>
  <c r="X268" i="11"/>
  <c r="L1351" i="6"/>
  <c r="L223" i="7"/>
  <c r="N223" i="7" s="1"/>
  <c r="L224" i="7" s="1"/>
  <c r="N224" i="7" s="1"/>
  <c r="L225" i="7" s="1"/>
  <c r="N225" i="7" s="1"/>
  <c r="L226" i="7" s="1"/>
  <c r="N226" i="7" s="1"/>
  <c r="O223" i="7"/>
  <c r="O224" i="7" s="1"/>
  <c r="O225" i="7" s="1"/>
  <c r="O226" i="7" s="1"/>
  <c r="CG220" i="11"/>
  <c r="N388" i="7"/>
  <c r="L389" i="7" s="1"/>
  <c r="N389" i="7" s="1"/>
  <c r="L390" i="7" s="1"/>
  <c r="N390" i="7" s="1"/>
  <c r="L391" i="7" s="1"/>
  <c r="N391" i="7" s="1"/>
  <c r="M1064" i="6"/>
  <c r="K1065" i="6" s="1"/>
  <c r="L1065" i="6" s="1"/>
  <c r="I772" i="7"/>
  <c r="J772" i="7" s="1"/>
  <c r="B447" i="8"/>
  <c r="G937" i="7"/>
  <c r="J663" i="8"/>
  <c r="K1036" i="6"/>
  <c r="L1036" i="6" s="1"/>
  <c r="B392" i="7" l="1"/>
  <c r="O232" i="6"/>
  <c r="BC221" i="11"/>
  <c r="BB221" i="11" s="1"/>
  <c r="T220" i="11"/>
  <c r="X220" i="11"/>
  <c r="W220" i="11"/>
  <c r="V220" i="11"/>
  <c r="J278" i="12"/>
  <c r="M1440" i="6"/>
  <c r="M1441" i="6" s="1"/>
  <c r="B392" i="8"/>
  <c r="N552" i="8"/>
  <c r="D168" i="7"/>
  <c r="H168" i="7"/>
  <c r="H169" i="7" s="1"/>
  <c r="H170" i="7" s="1"/>
  <c r="H171" i="7" s="1"/>
  <c r="AU271" i="11"/>
  <c r="AY271" i="11" s="1"/>
  <c r="BD271" i="11" s="1"/>
  <c r="AQ271" i="11"/>
  <c r="AW271" i="11" s="1"/>
  <c r="AR271" i="11"/>
  <c r="AV271" i="11"/>
  <c r="F553" i="8"/>
  <c r="D554" i="8" s="1"/>
  <c r="F554" i="8" s="1"/>
  <c r="D555" i="8" s="1"/>
  <c r="F555" i="8" s="1"/>
  <c r="D556" i="8" s="1"/>
  <c r="F556" i="8" s="1"/>
  <c r="L755" i="6"/>
  <c r="K756" i="6" s="1"/>
  <c r="M756" i="6" s="1"/>
  <c r="AS271" i="11"/>
  <c r="AX271" i="11" s="1"/>
  <c r="AT271" i="11"/>
  <c r="F772" i="7"/>
  <c r="M1207" i="6"/>
  <c r="G168" i="12"/>
  <c r="E169" i="12" s="1"/>
  <c r="G169" i="12" s="1"/>
  <c r="E170" i="12" s="1"/>
  <c r="G170" i="12" s="1"/>
  <c r="E171" i="12" s="1"/>
  <c r="G171" i="12" s="1"/>
  <c r="F441" i="7"/>
  <c r="CI220" i="11"/>
  <c r="N608" i="7"/>
  <c r="L609" i="7" s="1"/>
  <c r="N609" i="7" s="1"/>
  <c r="L610" i="7" s="1"/>
  <c r="N610" i="7" s="1"/>
  <c r="L611" i="7" s="1"/>
  <c r="N611" i="7" s="1"/>
  <c r="I612" i="7" s="1"/>
  <c r="K278" i="12"/>
  <c r="O278" i="12"/>
  <c r="O279" i="12" s="1"/>
  <c r="O280" i="12" s="1"/>
  <c r="O281" i="12" s="1"/>
  <c r="L278" i="12"/>
  <c r="N278" i="12" s="1"/>
  <c r="L279" i="12" s="1"/>
  <c r="N279" i="12" s="1"/>
  <c r="L280" i="12" s="1"/>
  <c r="N280" i="12" s="1"/>
  <c r="L281" i="12" s="1"/>
  <c r="N281" i="12" s="1"/>
  <c r="K1066" i="6"/>
  <c r="L1066" i="6" s="1"/>
  <c r="B938" i="7"/>
  <c r="C938" i="7" s="1"/>
  <c r="C277" i="8"/>
  <c r="O772" i="7"/>
  <c r="K772" i="7"/>
  <c r="D166" i="8"/>
  <c r="F166" i="8" s="1"/>
  <c r="H166" i="8"/>
  <c r="L772" i="7"/>
  <c r="T618" i="7"/>
  <c r="M1065" i="6"/>
  <c r="M552" i="8"/>
  <c r="I1193" i="6"/>
  <c r="M990" i="6"/>
  <c r="K991" i="6" s="1"/>
  <c r="L991" i="6" s="1"/>
  <c r="K388" i="8"/>
  <c r="M388" i="8" s="1"/>
  <c r="K389" i="8" s="1"/>
  <c r="M389" i="8" s="1"/>
  <c r="K390" i="8" s="1"/>
  <c r="M390" i="8" s="1"/>
  <c r="K391" i="8" s="1"/>
  <c r="M391" i="8" s="1"/>
  <c r="O388" i="8"/>
  <c r="O389" i="8" s="1"/>
  <c r="O390" i="8" s="1"/>
  <c r="O391" i="8" s="1"/>
  <c r="F168" i="12"/>
  <c r="D169" i="12" s="1"/>
  <c r="F169" i="12" s="1"/>
  <c r="D170" i="12" s="1"/>
  <c r="F170" i="12" s="1"/>
  <c r="D171" i="12" s="1"/>
  <c r="F171" i="12" s="1"/>
  <c r="AG268" i="11"/>
  <c r="H44" i="9"/>
  <c r="I44" i="9" s="1"/>
  <c r="L45" i="9"/>
  <c r="J1103" i="8"/>
  <c r="K1103" i="8" s="1"/>
  <c r="M1036" i="6"/>
  <c r="K1037" i="6" s="1"/>
  <c r="L1037" i="6" s="1"/>
  <c r="J552" i="7"/>
  <c r="S409" i="6"/>
  <c r="Q410" i="6" s="1"/>
  <c r="R410" i="6" s="1"/>
  <c r="H222" i="12"/>
  <c r="D222" i="12"/>
  <c r="O472" i="6"/>
  <c r="O473" i="6" s="1"/>
  <c r="O474" i="6" s="1"/>
  <c r="O475" i="6" s="1"/>
  <c r="O476" i="6" s="1"/>
  <c r="O477" i="6" s="1"/>
  <c r="O478" i="6" s="1"/>
  <c r="O479" i="6" s="1"/>
  <c r="O480" i="6" s="1"/>
  <c r="O481" i="6" s="1"/>
  <c r="O482" i="6" s="1"/>
  <c r="O483" i="6" s="1"/>
  <c r="O484" i="6" s="1"/>
  <c r="O485" i="6" s="1"/>
  <c r="O486" i="6" s="1"/>
  <c r="O487" i="6" s="1"/>
  <c r="O488" i="6" s="1"/>
  <c r="O489" i="6" s="1"/>
  <c r="O490" i="6" s="1"/>
  <c r="O491" i="6" s="1"/>
  <c r="O492" i="6" s="1"/>
  <c r="N493" i="6" s="1"/>
  <c r="Q450" i="6" s="1"/>
  <c r="L942" i="6"/>
  <c r="I993" i="8"/>
  <c r="J993" i="8" s="1"/>
  <c r="L993" i="8" s="1"/>
  <c r="N188" i="6"/>
  <c r="P188" i="6" s="1"/>
  <c r="E333" i="7"/>
  <c r="H333" i="7"/>
  <c r="H334" i="7" s="1"/>
  <c r="H335" i="7" s="1"/>
  <c r="H336" i="7" s="1"/>
  <c r="K938" i="7"/>
  <c r="O938" i="7"/>
  <c r="O939" i="7" s="1"/>
  <c r="O940" i="7" s="1"/>
  <c r="O941" i="7" s="1"/>
  <c r="K1441" i="6"/>
  <c r="L1441" i="6" s="1"/>
  <c r="Q317" i="6"/>
  <c r="S317" i="6" s="1"/>
  <c r="D333" i="7"/>
  <c r="O608" i="8"/>
  <c r="O609" i="8" s="1"/>
  <c r="O610" i="8" s="1"/>
  <c r="O611" i="8" s="1"/>
  <c r="K608" i="8"/>
  <c r="T288" i="8"/>
  <c r="B938" i="8"/>
  <c r="C938" i="8" s="1"/>
  <c r="E938" i="8" s="1"/>
  <c r="Q730" i="8"/>
  <c r="U838" i="7"/>
  <c r="K223" i="12"/>
  <c r="M223" i="12" s="1"/>
  <c r="K224" i="12" s="1"/>
  <c r="M224" i="12" s="1"/>
  <c r="K225" i="12" s="1"/>
  <c r="M225" i="12" s="1"/>
  <c r="K226" i="12" s="1"/>
  <c r="M226" i="12" s="1"/>
  <c r="O223" i="12"/>
  <c r="O224" i="12" s="1"/>
  <c r="O225" i="12" s="1"/>
  <c r="O226" i="12" s="1"/>
  <c r="G1048" i="8"/>
  <c r="E1049" i="8" s="1"/>
  <c r="G1049" i="8" s="1"/>
  <c r="E1050" i="8" s="1"/>
  <c r="G1050" i="8" s="1"/>
  <c r="E1051" i="8" s="1"/>
  <c r="G1051" i="8" s="1"/>
  <c r="B1052" i="8" s="1"/>
  <c r="P1001" i="8" s="1"/>
  <c r="I392" i="7"/>
  <c r="P341" i="7" s="1"/>
  <c r="G772" i="7"/>
  <c r="H608" i="8"/>
  <c r="H609" i="8" s="1"/>
  <c r="H610" i="8" s="1"/>
  <c r="H611" i="8" s="1"/>
  <c r="E608" i="8"/>
  <c r="E222" i="12"/>
  <c r="CJ220" i="11"/>
  <c r="G885" i="8"/>
  <c r="I553" i="8"/>
  <c r="B608" i="7"/>
  <c r="C608" i="7" s="1"/>
  <c r="I443" i="8"/>
  <c r="J443" i="8" s="1"/>
  <c r="L443" i="8" s="1"/>
  <c r="I830" i="8"/>
  <c r="V178" i="8"/>
  <c r="N378" i="6"/>
  <c r="P378" i="6" s="1"/>
  <c r="P379" i="6" s="1"/>
  <c r="P380" i="6" s="1"/>
  <c r="P381" i="6" s="1"/>
  <c r="P382" i="6" s="1"/>
  <c r="P383" i="6" s="1"/>
  <c r="P384" i="6" s="1"/>
  <c r="P385" i="6" s="1"/>
  <c r="P386" i="6" s="1"/>
  <c r="P387" i="6" s="1"/>
  <c r="P388" i="6" s="1"/>
  <c r="P389" i="6" s="1"/>
  <c r="P390" i="6" s="1"/>
  <c r="P391" i="6" s="1"/>
  <c r="P392" i="6" s="1"/>
  <c r="P393" i="6" s="1"/>
  <c r="P394" i="6" s="1"/>
  <c r="P395" i="6" s="1"/>
  <c r="P396" i="6" s="1"/>
  <c r="P397" i="6" s="1"/>
  <c r="P398" i="6" s="1"/>
  <c r="S268" i="6"/>
  <c r="Q269" i="6" s="1"/>
  <c r="R269" i="6" s="1"/>
  <c r="V673" i="7"/>
  <c r="O442" i="7"/>
  <c r="L442" i="7"/>
  <c r="E496" i="8"/>
  <c r="G496" i="8" s="1"/>
  <c r="H496" i="8"/>
  <c r="M1110" i="6"/>
  <c r="K1111" i="6" s="1"/>
  <c r="L1111" i="6" s="1"/>
  <c r="R674" i="8"/>
  <c r="S674" i="8"/>
  <c r="U674" i="8" s="1"/>
  <c r="K705" i="6"/>
  <c r="M705" i="6" s="1"/>
  <c r="O827" i="7"/>
  <c r="K827" i="7"/>
  <c r="I333" i="7"/>
  <c r="J333" i="7" s="1"/>
  <c r="L827" i="7"/>
  <c r="Q127" i="6"/>
  <c r="S127" i="6" s="1"/>
  <c r="L610" i="6"/>
  <c r="D608" i="8"/>
  <c r="E168" i="7"/>
  <c r="V674" i="8"/>
  <c r="CH220" i="11"/>
  <c r="L849" i="6"/>
  <c r="N881" i="8"/>
  <c r="T233" i="7"/>
  <c r="N233" i="6"/>
  <c r="P233" i="6" s="1"/>
  <c r="H1289" i="6"/>
  <c r="I1289" i="6" s="1"/>
  <c r="G441" i="7"/>
  <c r="F278" i="12"/>
  <c r="D279" i="12" s="1"/>
  <c r="F279" i="12" s="1"/>
  <c r="D280" i="12" s="1"/>
  <c r="F280" i="12" s="1"/>
  <c r="D281" i="12" s="1"/>
  <c r="F281" i="12" s="1"/>
  <c r="B282" i="12" s="1"/>
  <c r="L938" i="7"/>
  <c r="N938" i="7" s="1"/>
  <c r="L939" i="7" s="1"/>
  <c r="N939" i="7" s="1"/>
  <c r="L940" i="7" s="1"/>
  <c r="N940" i="7" s="1"/>
  <c r="L941" i="7" s="1"/>
  <c r="N941" i="7" s="1"/>
  <c r="L608" i="8"/>
  <c r="K331" i="12"/>
  <c r="M331" i="12" s="1"/>
  <c r="O331" i="12"/>
  <c r="L890" i="6"/>
  <c r="T453" i="7"/>
  <c r="K1313" i="6"/>
  <c r="M1313" i="6" s="1"/>
  <c r="J1288" i="6"/>
  <c r="G553" i="8"/>
  <c r="E554" i="8" s="1"/>
  <c r="G554" i="8" s="1"/>
  <c r="E555" i="8" s="1"/>
  <c r="G555" i="8" s="1"/>
  <c r="E556" i="8" s="1"/>
  <c r="G556" i="8" s="1"/>
  <c r="B557" i="8" s="1"/>
  <c r="K442" i="7"/>
  <c r="M442" i="7" s="1"/>
  <c r="M829" i="8"/>
  <c r="S501" i="6"/>
  <c r="Q502" i="6" s="1"/>
  <c r="R502" i="6" s="1"/>
  <c r="I1521" i="6"/>
  <c r="G828" i="8"/>
  <c r="K665" i="6"/>
  <c r="L665" i="6" s="1"/>
  <c r="K804" i="6"/>
  <c r="L804" i="6" s="1"/>
  <c r="Q551" i="6"/>
  <c r="S551" i="6" s="1"/>
  <c r="K1352" i="6"/>
  <c r="M1352" i="6" s="1"/>
  <c r="L663" i="8"/>
  <c r="O663" i="8"/>
  <c r="O664" i="8" s="1"/>
  <c r="O665" i="8" s="1"/>
  <c r="O666" i="8" s="1"/>
  <c r="K663" i="8"/>
  <c r="L2927" i="6"/>
  <c r="K1408" i="6"/>
  <c r="M1408" i="6" s="1"/>
  <c r="G332" i="12"/>
  <c r="M223" i="7"/>
  <c r="K224" i="7" s="1"/>
  <c r="M224" i="7" s="1"/>
  <c r="K225" i="7" s="1"/>
  <c r="M225" i="7" s="1"/>
  <c r="K226" i="7" s="1"/>
  <c r="M226" i="7" s="1"/>
  <c r="I227" i="7" s="1"/>
  <c r="P176" i="7" s="1"/>
  <c r="G168" i="7" l="1"/>
  <c r="E169" i="7" s="1"/>
  <c r="G169" i="7" s="1"/>
  <c r="E170" i="7" s="1"/>
  <c r="G170" i="7" s="1"/>
  <c r="E171" i="7" s="1"/>
  <c r="G171" i="7" s="1"/>
  <c r="AG220" i="11"/>
  <c r="BM221" i="11"/>
  <c r="N827" i="7"/>
  <c r="M665" i="6"/>
  <c r="K666" i="6" s="1"/>
  <c r="L666" i="6" s="1"/>
  <c r="N608" i="8"/>
  <c r="L609" i="8" s="1"/>
  <c r="N609" i="8" s="1"/>
  <c r="L610" i="8" s="1"/>
  <c r="N610" i="8" s="1"/>
  <c r="L611" i="8" s="1"/>
  <c r="N611" i="8" s="1"/>
  <c r="F496" i="8"/>
  <c r="L756" i="6"/>
  <c r="M804" i="6"/>
  <c r="K805" i="6" s="1"/>
  <c r="L805" i="6" s="1"/>
  <c r="G333" i="7"/>
  <c r="E334" i="7" s="1"/>
  <c r="G334" i="7" s="1"/>
  <c r="E335" i="7" s="1"/>
  <c r="G335" i="7" s="1"/>
  <c r="E336" i="7" s="1"/>
  <c r="G336" i="7" s="1"/>
  <c r="AZ271" i="11"/>
  <c r="G166" i="8"/>
  <c r="B167" i="8" s="1"/>
  <c r="C167" i="8" s="1"/>
  <c r="BA271" i="11"/>
  <c r="BC271" i="11"/>
  <c r="BB271" i="11" s="1"/>
  <c r="BM271" i="11" s="1"/>
  <c r="CS220" i="11"/>
  <c r="CK220" i="11" s="1"/>
  <c r="B172" i="12"/>
  <c r="P121" i="12" s="1"/>
  <c r="T123" i="12" s="1"/>
  <c r="F168" i="7"/>
  <c r="D169" i="7" s="1"/>
  <c r="F169" i="7" s="1"/>
  <c r="D170" i="7" s="1"/>
  <c r="F170" i="7" s="1"/>
  <c r="D171" i="7" s="1"/>
  <c r="F171" i="7" s="1"/>
  <c r="B172" i="7" s="1"/>
  <c r="P121" i="7" s="1"/>
  <c r="M663" i="8"/>
  <c r="K664" i="8" s="1"/>
  <c r="M664" i="8" s="1"/>
  <c r="K665" i="8" s="1"/>
  <c r="M665" i="8" s="1"/>
  <c r="K666" i="8" s="1"/>
  <c r="M666" i="8" s="1"/>
  <c r="G222" i="12"/>
  <c r="B223" i="12" s="1"/>
  <c r="N772" i="7"/>
  <c r="I773" i="7" s="1"/>
  <c r="K1208" i="6"/>
  <c r="L1208" i="6" s="1"/>
  <c r="T674" i="8"/>
  <c r="G608" i="8"/>
  <c r="E609" i="8" s="1"/>
  <c r="G609" i="8" s="1"/>
  <c r="E610" i="8" s="1"/>
  <c r="G610" i="8" s="1"/>
  <c r="E611" i="8" s="1"/>
  <c r="G611" i="8" s="1"/>
  <c r="K1442" i="6"/>
  <c r="M1442" i="6" s="1"/>
  <c r="J1289" i="6"/>
  <c r="K943" i="6"/>
  <c r="M943" i="6" s="1"/>
  <c r="I828" i="7"/>
  <c r="V674" i="7"/>
  <c r="M772" i="7"/>
  <c r="L1352" i="6"/>
  <c r="K891" i="6"/>
  <c r="M891" i="6" s="1"/>
  <c r="H608" i="7"/>
  <c r="H609" i="7" s="1"/>
  <c r="H610" i="7" s="1"/>
  <c r="H611" i="7" s="1"/>
  <c r="D608" i="7"/>
  <c r="F222" i="12"/>
  <c r="S269" i="6"/>
  <c r="E608" i="7"/>
  <c r="G608" i="7" s="1"/>
  <c r="E609" i="7" s="1"/>
  <c r="G609" i="7" s="1"/>
  <c r="E610" i="7" s="1"/>
  <c r="G610" i="7" s="1"/>
  <c r="E611" i="7" s="1"/>
  <c r="G611" i="7" s="1"/>
  <c r="J830" i="8"/>
  <c r="K830" i="8" s="1"/>
  <c r="B886" i="8"/>
  <c r="C886" i="8" s="1"/>
  <c r="E886" i="8" s="1"/>
  <c r="M45" i="9"/>
  <c r="P45" i="9" s="1"/>
  <c r="S730" i="8"/>
  <c r="V730" i="8"/>
  <c r="U618" i="7"/>
  <c r="B497" i="8"/>
  <c r="R127" i="6"/>
  <c r="T123" i="7"/>
  <c r="L1313" i="6"/>
  <c r="R452" i="6"/>
  <c r="K333" i="7"/>
  <c r="O333" i="7"/>
  <c r="O334" i="7" s="1"/>
  <c r="O335" i="7" s="1"/>
  <c r="O336" i="7" s="1"/>
  <c r="E277" i="8"/>
  <c r="H277" i="8"/>
  <c r="R551" i="6"/>
  <c r="M827" i="7"/>
  <c r="D277" i="8"/>
  <c r="F277" i="8" s="1"/>
  <c r="T343" i="7"/>
  <c r="S410" i="6"/>
  <c r="O378" i="6"/>
  <c r="O379" i="6" s="1"/>
  <c r="O380" i="6" s="1"/>
  <c r="O381" i="6" s="1"/>
  <c r="O382" i="6" s="1"/>
  <c r="O383" i="6" s="1"/>
  <c r="O384" i="6" s="1"/>
  <c r="O385" i="6" s="1"/>
  <c r="O386" i="6" s="1"/>
  <c r="O387" i="6" s="1"/>
  <c r="O388" i="6" s="1"/>
  <c r="O389" i="6" s="1"/>
  <c r="O390" i="6" s="1"/>
  <c r="O391" i="6" s="1"/>
  <c r="O392" i="6" s="1"/>
  <c r="O393" i="6" s="1"/>
  <c r="O394" i="6" s="1"/>
  <c r="O395" i="6" s="1"/>
  <c r="O396" i="6" s="1"/>
  <c r="O397" i="6" s="1"/>
  <c r="O398" i="6" s="1"/>
  <c r="N399" i="6" s="1"/>
  <c r="Q356" i="6" s="1"/>
  <c r="M608" i="8"/>
  <c r="K609" i="8" s="1"/>
  <c r="M609" i="8" s="1"/>
  <c r="K610" i="8" s="1"/>
  <c r="M610" i="8" s="1"/>
  <c r="K611" i="8" s="1"/>
  <c r="M611" i="8" s="1"/>
  <c r="I612" i="8" s="1"/>
  <c r="L552" i="7"/>
  <c r="O552" i="7"/>
  <c r="M991" i="6"/>
  <c r="K992" i="6" s="1"/>
  <c r="L992" i="6" s="1"/>
  <c r="D938" i="7"/>
  <c r="H938" i="7"/>
  <c r="H939" i="7" s="1"/>
  <c r="H940" i="7" s="1"/>
  <c r="H941" i="7" s="1"/>
  <c r="M278" i="12"/>
  <c r="K279" i="12" s="1"/>
  <c r="M279" i="12" s="1"/>
  <c r="K280" i="12" s="1"/>
  <c r="M280" i="12" s="1"/>
  <c r="K281" i="12" s="1"/>
  <c r="M281" i="12" s="1"/>
  <c r="I282" i="12" s="1"/>
  <c r="P231" i="12" s="1"/>
  <c r="T178" i="7"/>
  <c r="B829" i="8"/>
  <c r="C829" i="8" s="1"/>
  <c r="L705" i="6"/>
  <c r="V179" i="8"/>
  <c r="K552" i="7"/>
  <c r="H1194" i="6"/>
  <c r="J1194" i="6" s="1"/>
  <c r="J553" i="8"/>
  <c r="E938" i="7"/>
  <c r="N223" i="12"/>
  <c r="L224" i="12" s="1"/>
  <c r="N224" i="12" s="1"/>
  <c r="L225" i="12" s="1"/>
  <c r="N225" i="12" s="1"/>
  <c r="L226" i="12" s="1"/>
  <c r="N226" i="12" s="1"/>
  <c r="I227" i="12" s="1"/>
  <c r="K611" i="6"/>
  <c r="M611" i="6" s="1"/>
  <c r="L1408" i="6"/>
  <c r="M1111" i="6"/>
  <c r="K2928" i="6"/>
  <c r="M2928" i="6" s="1"/>
  <c r="O45" i="9"/>
  <c r="O993" i="8"/>
  <c r="O994" i="8" s="1"/>
  <c r="O995" i="8" s="1"/>
  <c r="O996" i="8" s="1"/>
  <c r="K993" i="8"/>
  <c r="M993" i="8" s="1"/>
  <c r="K994" i="8" s="1"/>
  <c r="M994" i="8" s="1"/>
  <c r="K995" i="8" s="1"/>
  <c r="M995" i="8" s="1"/>
  <c r="K996" i="8" s="1"/>
  <c r="M996" i="8" s="1"/>
  <c r="U453" i="7"/>
  <c r="O233" i="6"/>
  <c r="I882" i="8"/>
  <c r="J882" i="8" s="1"/>
  <c r="K443" i="8"/>
  <c r="M443" i="8" s="1"/>
  <c r="K444" i="8" s="1"/>
  <c r="M444" i="8" s="1"/>
  <c r="K445" i="8" s="1"/>
  <c r="M445" i="8" s="1"/>
  <c r="K446" i="8" s="1"/>
  <c r="M446" i="8" s="1"/>
  <c r="O443" i="8"/>
  <c r="O444" i="8" s="1"/>
  <c r="O445" i="8" s="1"/>
  <c r="O446" i="8" s="1"/>
  <c r="P674" i="7"/>
  <c r="Q674" i="7" s="1"/>
  <c r="K850" i="6"/>
  <c r="M850" i="6" s="1"/>
  <c r="F333" i="7"/>
  <c r="D334" i="7" s="1"/>
  <c r="F334" i="7" s="1"/>
  <c r="D335" i="7" s="1"/>
  <c r="F335" i="7" s="1"/>
  <c r="D336" i="7" s="1"/>
  <c r="F336" i="7" s="1"/>
  <c r="B773" i="7"/>
  <c r="C773" i="7" s="1"/>
  <c r="H938" i="8"/>
  <c r="H939" i="8" s="1"/>
  <c r="H940" i="8" s="1"/>
  <c r="H941" i="8" s="1"/>
  <c r="D938" i="8"/>
  <c r="F938" i="8" s="1"/>
  <c r="D939" i="8" s="1"/>
  <c r="F939" i="8" s="1"/>
  <c r="D940" i="8" s="1"/>
  <c r="F940" i="8" s="1"/>
  <c r="D941" i="8" s="1"/>
  <c r="F941" i="8" s="1"/>
  <c r="U288" i="8"/>
  <c r="R317" i="6"/>
  <c r="N388" i="8"/>
  <c r="L389" i="8" s="1"/>
  <c r="N389" i="8" s="1"/>
  <c r="L390" i="8" s="1"/>
  <c r="N390" i="8" s="1"/>
  <c r="L391" i="8" s="1"/>
  <c r="N391" i="8" s="1"/>
  <c r="I392" i="8" s="1"/>
  <c r="P341" i="8" s="1"/>
  <c r="B333" i="12"/>
  <c r="C333" i="12" s="1"/>
  <c r="E333" i="12" s="1"/>
  <c r="H1522" i="6"/>
  <c r="J1522" i="6" s="1"/>
  <c r="P675" i="8"/>
  <c r="Q675" i="8" s="1"/>
  <c r="V675" i="8" s="1"/>
  <c r="K757" i="6"/>
  <c r="L757" i="6" s="1"/>
  <c r="M1037" i="6"/>
  <c r="K1038" i="6" s="1"/>
  <c r="L1038" i="6" s="1"/>
  <c r="B442" i="7"/>
  <c r="C442" i="7" s="1"/>
  <c r="E442" i="7" s="1"/>
  <c r="V838" i="7"/>
  <c r="P839" i="7" s="1"/>
  <c r="Q839" i="7" s="1"/>
  <c r="O188" i="6"/>
  <c r="R730" i="8"/>
  <c r="AC268" i="11"/>
  <c r="AB268" i="11"/>
  <c r="AA268" i="11"/>
  <c r="AE268" i="11"/>
  <c r="AD268" i="11"/>
  <c r="Z268" i="11"/>
  <c r="Y268" i="11"/>
  <c r="N442" i="7"/>
  <c r="N663" i="8"/>
  <c r="L664" i="8" s="1"/>
  <c r="N664" i="8" s="1"/>
  <c r="L665" i="8" s="1"/>
  <c r="N665" i="8" s="1"/>
  <c r="L666" i="8" s="1"/>
  <c r="N666" i="8" s="1"/>
  <c r="U233" i="7"/>
  <c r="T1003" i="8"/>
  <c r="L333" i="7"/>
  <c r="N333" i="7" s="1"/>
  <c r="L334" i="7" s="1"/>
  <c r="N334" i="7" s="1"/>
  <c r="L335" i="7" s="1"/>
  <c r="N335" i="7" s="1"/>
  <c r="L336" i="7" s="1"/>
  <c r="N336" i="7" s="1"/>
  <c r="S502" i="6"/>
  <c r="Q503" i="6" s="1"/>
  <c r="R503" i="6" s="1"/>
  <c r="F608" i="8"/>
  <c r="D609" i="8" s="1"/>
  <c r="F609" i="8" s="1"/>
  <c r="D610" i="8" s="1"/>
  <c r="F610" i="8" s="1"/>
  <c r="D611" i="8" s="1"/>
  <c r="F611" i="8" s="1"/>
  <c r="P179" i="8"/>
  <c r="Q179" i="8" s="1"/>
  <c r="M938" i="7"/>
  <c r="K939" i="7" s="1"/>
  <c r="M939" i="7" s="1"/>
  <c r="K940" i="7" s="1"/>
  <c r="M940" i="7" s="1"/>
  <c r="K941" i="7" s="1"/>
  <c r="M941" i="7" s="1"/>
  <c r="I942" i="7" s="1"/>
  <c r="O1103" i="8"/>
  <c r="O1104" i="8" s="1"/>
  <c r="O1105" i="8" s="1"/>
  <c r="O1106" i="8" s="1"/>
  <c r="L1103" i="8"/>
  <c r="N1103" i="8" s="1"/>
  <c r="L1104" i="8" s="1"/>
  <c r="N1104" i="8" s="1"/>
  <c r="L1105" i="8" s="1"/>
  <c r="N1105" i="8" s="1"/>
  <c r="L1106" i="8" s="1"/>
  <c r="N1106" i="8" s="1"/>
  <c r="M1066" i="6"/>
  <c r="K1067" i="6" s="1"/>
  <c r="L1067" i="6" s="1"/>
  <c r="N331" i="12"/>
  <c r="B612" i="8" l="1"/>
  <c r="AD220" i="11"/>
  <c r="AE220" i="11"/>
  <c r="AB220" i="11"/>
  <c r="Z220" i="11"/>
  <c r="Y220" i="11"/>
  <c r="AC220" i="11"/>
  <c r="AA220" i="11"/>
  <c r="N993" i="8"/>
  <c r="L994" i="8" s="1"/>
  <c r="N994" i="8" s="1"/>
  <c r="L995" i="8" s="1"/>
  <c r="N995" i="8" s="1"/>
  <c r="L996" i="8" s="1"/>
  <c r="N996" i="8" s="1"/>
  <c r="B337" i="7"/>
  <c r="C497" i="8"/>
  <c r="BG221" i="11"/>
  <c r="BF221" i="11"/>
  <c r="BI221" i="11"/>
  <c r="BH221" i="11"/>
  <c r="BK221" i="11"/>
  <c r="BJ221" i="11"/>
  <c r="BE221" i="11"/>
  <c r="M552" i="7"/>
  <c r="BC272" i="11"/>
  <c r="BK271" i="11"/>
  <c r="BF271" i="11"/>
  <c r="BJ271" i="11"/>
  <c r="BH271" i="11"/>
  <c r="BD272" i="11"/>
  <c r="BB272" i="11"/>
  <c r="BI271" i="11"/>
  <c r="BE271" i="11"/>
  <c r="BG271" i="11"/>
  <c r="AJ272" i="11" s="1"/>
  <c r="CQ220" i="11"/>
  <c r="T730" i="8"/>
  <c r="L2928" i="6"/>
  <c r="K2929" i="6" s="1"/>
  <c r="L2929" i="6" s="1"/>
  <c r="CL220" i="11"/>
  <c r="M666" i="6"/>
  <c r="M805" i="6"/>
  <c r="K806" i="6" s="1"/>
  <c r="L806" i="6" s="1"/>
  <c r="CP220" i="11"/>
  <c r="CM220" i="11"/>
  <c r="F938" i="7"/>
  <c r="D939" i="7" s="1"/>
  <c r="F939" i="7" s="1"/>
  <c r="D940" i="7" s="1"/>
  <c r="F940" i="7" s="1"/>
  <c r="D941" i="7" s="1"/>
  <c r="F941" i="7" s="1"/>
  <c r="CN220" i="11"/>
  <c r="CO220" i="11"/>
  <c r="N45" i="9"/>
  <c r="Q45" i="9" s="1"/>
  <c r="R45" i="9" s="1"/>
  <c r="M757" i="6"/>
  <c r="K758" i="6" s="1"/>
  <c r="M758" i="6" s="1"/>
  <c r="I667" i="8"/>
  <c r="P616" i="8" s="1"/>
  <c r="T618" i="8" s="1"/>
  <c r="M1208" i="6"/>
  <c r="E497" i="8"/>
  <c r="H497" i="8"/>
  <c r="D497" i="8"/>
  <c r="F497" i="8" s="1"/>
  <c r="D167" i="8"/>
  <c r="E167" i="8"/>
  <c r="G167" i="8" s="1"/>
  <c r="H167" i="8"/>
  <c r="R839" i="7"/>
  <c r="S839" i="7"/>
  <c r="U839" i="7" s="1"/>
  <c r="I332" i="12"/>
  <c r="J332" i="12" s="1"/>
  <c r="L332" i="12" s="1"/>
  <c r="V288" i="8"/>
  <c r="CR220" i="11"/>
  <c r="BV221" i="11" s="1"/>
  <c r="BO221" i="11"/>
  <c r="D269" i="11"/>
  <c r="F269" i="11"/>
  <c r="N234" i="6"/>
  <c r="P234" i="6" s="1"/>
  <c r="K1314" i="6"/>
  <c r="M1314" i="6" s="1"/>
  <c r="U178" i="7"/>
  <c r="K1409" i="6"/>
  <c r="M1409" i="6" s="1"/>
  <c r="M1103" i="8"/>
  <c r="K1104" i="8" s="1"/>
  <c r="M1104" i="8" s="1"/>
  <c r="K1105" i="8" s="1"/>
  <c r="M1105" i="8" s="1"/>
  <c r="K1106" i="8" s="1"/>
  <c r="M1106" i="8" s="1"/>
  <c r="I1107" i="8" s="1"/>
  <c r="P1056" i="8" s="1"/>
  <c r="J828" i="7"/>
  <c r="R675" i="8"/>
  <c r="N189" i="6"/>
  <c r="P189" i="6" s="1"/>
  <c r="C269" i="11"/>
  <c r="AF268" i="11"/>
  <c r="J269" i="11" s="1"/>
  <c r="N552" i="7"/>
  <c r="K1353" i="6"/>
  <c r="M1353" i="6" s="1"/>
  <c r="L1442" i="6"/>
  <c r="S45" i="9"/>
  <c r="O553" i="8"/>
  <c r="O554" i="8" s="1"/>
  <c r="O555" i="8" s="1"/>
  <c r="O556" i="8" s="1"/>
  <c r="L553" i="8"/>
  <c r="R358" i="6"/>
  <c r="M333" i="7"/>
  <c r="K334" i="7" s="1"/>
  <c r="M334" i="7" s="1"/>
  <c r="K335" i="7" s="1"/>
  <c r="M335" i="7" s="1"/>
  <c r="K336" i="7" s="1"/>
  <c r="M336" i="7" s="1"/>
  <c r="I337" i="7" s="1"/>
  <c r="D886" i="8"/>
  <c r="F886" i="8" s="1"/>
  <c r="H886" i="8"/>
  <c r="O882" i="8"/>
  <c r="K882" i="8"/>
  <c r="K667" i="6"/>
  <c r="M667" i="6" s="1"/>
  <c r="Q411" i="6"/>
  <c r="R411" i="6" s="1"/>
  <c r="M1067" i="6"/>
  <c r="U1003" i="8"/>
  <c r="Q128" i="6"/>
  <c r="S128" i="6" s="1"/>
  <c r="BP221" i="11"/>
  <c r="D773" i="7"/>
  <c r="H773" i="7"/>
  <c r="H774" i="7" s="1"/>
  <c r="H775" i="7" s="1"/>
  <c r="H776" i="7" s="1"/>
  <c r="F608" i="7"/>
  <c r="D609" i="7" s="1"/>
  <c r="F609" i="7" s="1"/>
  <c r="D610" i="7" s="1"/>
  <c r="F610" i="7" s="1"/>
  <c r="D611" i="7" s="1"/>
  <c r="F611" i="7" s="1"/>
  <c r="B612" i="7" s="1"/>
  <c r="P561" i="7" s="1"/>
  <c r="Q270" i="6"/>
  <c r="R270" i="6" s="1"/>
  <c r="G938" i="8"/>
  <c r="E939" i="8" s="1"/>
  <c r="G939" i="8" s="1"/>
  <c r="E940" i="8" s="1"/>
  <c r="G940" i="8" s="1"/>
  <c r="E941" i="8" s="1"/>
  <c r="G941" i="8" s="1"/>
  <c r="B942" i="8" s="1"/>
  <c r="P891" i="8" s="1"/>
  <c r="S675" i="8"/>
  <c r="L891" i="6"/>
  <c r="S503" i="6"/>
  <c r="Q504" i="6" s="1"/>
  <c r="R504" i="6" s="1"/>
  <c r="R674" i="7"/>
  <c r="S674" i="7"/>
  <c r="U674" i="7" s="1"/>
  <c r="G938" i="7"/>
  <c r="E939" i="7" s="1"/>
  <c r="G939" i="7" s="1"/>
  <c r="E940" i="7" s="1"/>
  <c r="G940" i="7" s="1"/>
  <c r="E941" i="7" s="1"/>
  <c r="G941" i="7" s="1"/>
  <c r="B942" i="7" s="1"/>
  <c r="P891" i="7" s="1"/>
  <c r="H1290" i="6"/>
  <c r="I1290" i="6" s="1"/>
  <c r="T343" i="8"/>
  <c r="K553" i="8"/>
  <c r="D829" i="8"/>
  <c r="H829" i="8"/>
  <c r="T233" i="12"/>
  <c r="R179" i="8"/>
  <c r="S179" i="8"/>
  <c r="U179" i="8" s="1"/>
  <c r="I443" i="7"/>
  <c r="J443" i="7" s="1"/>
  <c r="L443" i="7" s="1"/>
  <c r="L611" i="6"/>
  <c r="I1522" i="6"/>
  <c r="D333" i="12"/>
  <c r="F333" i="12" s="1"/>
  <c r="D334" i="12" s="1"/>
  <c r="F334" i="12" s="1"/>
  <c r="D335" i="12" s="1"/>
  <c r="F335" i="12" s="1"/>
  <c r="D336" i="12" s="1"/>
  <c r="F336" i="12" s="1"/>
  <c r="H333" i="12"/>
  <c r="H334" i="12" s="1"/>
  <c r="H335" i="12" s="1"/>
  <c r="H336" i="12" s="1"/>
  <c r="P561" i="8"/>
  <c r="U730" i="8"/>
  <c r="J773" i="7"/>
  <c r="K773" i="7" s="1"/>
  <c r="K1112" i="6"/>
  <c r="L1112" i="6" s="1"/>
  <c r="N443" i="8"/>
  <c r="L444" i="8" s="1"/>
  <c r="N444" i="8" s="1"/>
  <c r="L445" i="8" s="1"/>
  <c r="N445" i="8" s="1"/>
  <c r="L446" i="8" s="1"/>
  <c r="N446" i="8" s="1"/>
  <c r="I447" i="8" s="1"/>
  <c r="P396" i="8" s="1"/>
  <c r="M1038" i="6"/>
  <c r="K1039" i="6" s="1"/>
  <c r="L1039" i="6" s="1"/>
  <c r="U343" i="7"/>
  <c r="L830" i="8"/>
  <c r="N830" i="8" s="1"/>
  <c r="O830" i="8"/>
  <c r="V453" i="7"/>
  <c r="K706" i="6"/>
  <c r="M706" i="6" s="1"/>
  <c r="S452" i="6"/>
  <c r="Q453" i="6" s="1"/>
  <c r="R453" i="6" s="1"/>
  <c r="U123" i="7"/>
  <c r="V233" i="7"/>
  <c r="P234" i="7" s="1"/>
  <c r="Q234" i="7" s="1"/>
  <c r="R234" i="7" s="1"/>
  <c r="C223" i="12"/>
  <c r="E773" i="7"/>
  <c r="E829" i="8"/>
  <c r="L943" i="6"/>
  <c r="I997" i="8"/>
  <c r="P946" i="8" s="1"/>
  <c r="Q552" i="6"/>
  <c r="S552" i="6" s="1"/>
  <c r="M992" i="6"/>
  <c r="V618" i="7"/>
  <c r="P619" i="7" s="1"/>
  <c r="Q619" i="7" s="1"/>
  <c r="G277" i="8"/>
  <c r="U123" i="12"/>
  <c r="V839" i="7"/>
  <c r="L850" i="6"/>
  <c r="D442" i="7"/>
  <c r="F442" i="7" s="1"/>
  <c r="H442" i="7"/>
  <c r="Q318" i="6"/>
  <c r="S318" i="6" s="1"/>
  <c r="L882" i="8"/>
  <c r="I1194" i="6"/>
  <c r="J1290" i="6" l="1"/>
  <c r="P286" i="7"/>
  <c r="C221" i="11"/>
  <c r="AF220" i="11"/>
  <c r="J221" i="11" s="1"/>
  <c r="E221" i="11"/>
  <c r="G829" i="8"/>
  <c r="B830" i="8" s="1"/>
  <c r="AJ222" i="11"/>
  <c r="M882" i="8"/>
  <c r="D221" i="11"/>
  <c r="F221" i="11"/>
  <c r="G221" i="11"/>
  <c r="N553" i="8"/>
  <c r="L554" i="8" s="1"/>
  <c r="N554" i="8" s="1"/>
  <c r="L555" i="8" s="1"/>
  <c r="N555" i="8" s="1"/>
  <c r="L556" i="8" s="1"/>
  <c r="N556" i="8" s="1"/>
  <c r="G269" i="11"/>
  <c r="G333" i="12"/>
  <c r="E334" i="12" s="1"/>
  <c r="G334" i="12" s="1"/>
  <c r="E335" i="12" s="1"/>
  <c r="G335" i="12" s="1"/>
  <c r="E336" i="12" s="1"/>
  <c r="G336" i="12" s="1"/>
  <c r="B337" i="12" s="1"/>
  <c r="BL221" i="11"/>
  <c r="AI222" i="11"/>
  <c r="AL222" i="11"/>
  <c r="G442" i="7"/>
  <c r="B443" i="7" s="1"/>
  <c r="C443" i="7" s="1"/>
  <c r="K1209" i="6"/>
  <c r="L1209" i="6" s="1"/>
  <c r="G773" i="7"/>
  <c r="E774" i="7" s="1"/>
  <c r="G774" i="7" s="1"/>
  <c r="E775" i="7" s="1"/>
  <c r="G775" i="7" s="1"/>
  <c r="E776" i="7" s="1"/>
  <c r="G776" i="7" s="1"/>
  <c r="M806" i="6"/>
  <c r="M2929" i="6"/>
  <c r="K2930" i="6" s="1"/>
  <c r="L2930" i="6" s="1"/>
  <c r="M830" i="8"/>
  <c r="J831" i="8" s="1"/>
  <c r="K831" i="8" s="1"/>
  <c r="U675" i="8"/>
  <c r="P676" i="8" s="1"/>
  <c r="BL271" i="11"/>
  <c r="AP272" i="11" s="1"/>
  <c r="AI272" i="11"/>
  <c r="G886" i="8"/>
  <c r="B887" i="8" s="1"/>
  <c r="T893" i="8"/>
  <c r="T398" i="8"/>
  <c r="T893" i="7"/>
  <c r="R619" i="7"/>
  <c r="S619" i="7"/>
  <c r="U619" i="7" s="1"/>
  <c r="M1112" i="6"/>
  <c r="K1113" i="6" s="1"/>
  <c r="L1113" i="6" s="1"/>
  <c r="F829" i="8"/>
  <c r="G45" i="9"/>
  <c r="F45" i="9"/>
  <c r="E45" i="9"/>
  <c r="L706" i="6"/>
  <c r="H1523" i="6"/>
  <c r="J1523" i="6" s="1"/>
  <c r="P675" i="7"/>
  <c r="L1353" i="6"/>
  <c r="S358" i="6"/>
  <c r="K993" i="6"/>
  <c r="L993" i="6" s="1"/>
  <c r="R552" i="6"/>
  <c r="I831" i="8"/>
  <c r="K612" i="6"/>
  <c r="M612" i="6" s="1"/>
  <c r="BR221" i="11"/>
  <c r="T288" i="7"/>
  <c r="I553" i="7"/>
  <c r="J553" i="7" s="1"/>
  <c r="L553" i="7" s="1"/>
  <c r="T1058" i="8"/>
  <c r="P180" i="8"/>
  <c r="U233" i="12"/>
  <c r="O332" i="12"/>
  <c r="K332" i="12"/>
  <c r="M332" i="12" s="1"/>
  <c r="U618" i="8"/>
  <c r="V123" i="7"/>
  <c r="L1314" i="6"/>
  <c r="T839" i="7"/>
  <c r="O189" i="6"/>
  <c r="M553" i="8"/>
  <c r="K554" i="8" s="1"/>
  <c r="M554" i="8" s="1"/>
  <c r="K555" i="8" s="1"/>
  <c r="M555" i="8" s="1"/>
  <c r="K556" i="8" s="1"/>
  <c r="M556" i="8" s="1"/>
  <c r="U343" i="8"/>
  <c r="K1068" i="6"/>
  <c r="L1068" i="6" s="1"/>
  <c r="L758" i="6"/>
  <c r="P454" i="7"/>
  <c r="Q454" i="7" s="1"/>
  <c r="V454" i="7" s="1"/>
  <c r="O828" i="7"/>
  <c r="O829" i="7" s="1"/>
  <c r="O830" i="7" s="1"/>
  <c r="O831" i="7" s="1"/>
  <c r="L828" i="7"/>
  <c r="N828" i="7" s="1"/>
  <c r="L829" i="7" s="1"/>
  <c r="N829" i="7" s="1"/>
  <c r="L830" i="7" s="1"/>
  <c r="N830" i="7" s="1"/>
  <c r="L831" i="7" s="1"/>
  <c r="N831" i="7" s="1"/>
  <c r="F167" i="8"/>
  <c r="V343" i="7"/>
  <c r="S504" i="6"/>
  <c r="G497" i="8"/>
  <c r="T179" i="8"/>
  <c r="B278" i="8"/>
  <c r="C278" i="8" s="1"/>
  <c r="E278" i="8" s="1"/>
  <c r="Q271" i="6"/>
  <c r="R271" i="6" s="1"/>
  <c r="L773" i="7"/>
  <c r="N773" i="7" s="1"/>
  <c r="L774" i="7" s="1"/>
  <c r="N774" i="7" s="1"/>
  <c r="L775" i="7" s="1"/>
  <c r="N775" i="7" s="1"/>
  <c r="L776" i="7" s="1"/>
  <c r="N776" i="7" s="1"/>
  <c r="O773" i="7"/>
  <c r="O774" i="7" s="1"/>
  <c r="O775" i="7" s="1"/>
  <c r="O776" i="7" s="1"/>
  <c r="T563" i="7"/>
  <c r="P731" i="8"/>
  <c r="Q731" i="8" s="1"/>
  <c r="S731" i="8" s="1"/>
  <c r="T675" i="8"/>
  <c r="BQ221" i="11"/>
  <c r="V619" i="7"/>
  <c r="L667" i="6"/>
  <c r="E223" i="12"/>
  <c r="H223" i="12"/>
  <c r="H224" i="12" s="1"/>
  <c r="H225" i="12" s="1"/>
  <c r="H226" i="12" s="1"/>
  <c r="O234" i="6"/>
  <c r="N882" i="8"/>
  <c r="F773" i="7"/>
  <c r="D774" i="7" s="1"/>
  <c r="F774" i="7" s="1"/>
  <c r="D775" i="7" s="1"/>
  <c r="F775" i="7" s="1"/>
  <c r="D776" i="7" s="1"/>
  <c r="F776" i="7" s="1"/>
  <c r="B168" i="8"/>
  <c r="R318" i="6"/>
  <c r="T674" i="7"/>
  <c r="K828" i="7"/>
  <c r="T948" i="8"/>
  <c r="V234" i="7"/>
  <c r="K892" i="6"/>
  <c r="M892" i="6" s="1"/>
  <c r="R128" i="6"/>
  <c r="E269" i="11"/>
  <c r="L1409" i="6"/>
  <c r="S270" i="6"/>
  <c r="P289" i="8"/>
  <c r="Q289" i="8" s="1"/>
  <c r="V123" i="12"/>
  <c r="S453" i="6"/>
  <c r="Q454" i="6" s="1"/>
  <c r="R454" i="6" s="1"/>
  <c r="P840" i="7"/>
  <c r="H1195" i="6"/>
  <c r="J1195" i="6" s="1"/>
  <c r="T563" i="8"/>
  <c r="H1291" i="6"/>
  <c r="J1291" i="6" s="1"/>
  <c r="K1443" i="6"/>
  <c r="M1443" i="6" s="1"/>
  <c r="S411" i="6"/>
  <c r="Q412" i="6" s="1"/>
  <c r="R412" i="6" s="1"/>
  <c r="D223" i="12"/>
  <c r="BS221" i="11"/>
  <c r="K851" i="6"/>
  <c r="M851" i="6" s="1"/>
  <c r="K944" i="6"/>
  <c r="M944" i="6" s="1"/>
  <c r="S234" i="7"/>
  <c r="U234" i="7" s="1"/>
  <c r="M1039" i="6"/>
  <c r="K443" i="7"/>
  <c r="M443" i="7" s="1"/>
  <c r="K444" i="7" s="1"/>
  <c r="M444" i="7" s="1"/>
  <c r="K445" i="7" s="1"/>
  <c r="M445" i="7" s="1"/>
  <c r="K446" i="7" s="1"/>
  <c r="M446" i="7" s="1"/>
  <c r="O443" i="7"/>
  <c r="O444" i="7" s="1"/>
  <c r="O445" i="7" s="1"/>
  <c r="O446" i="7" s="1"/>
  <c r="V1003" i="8"/>
  <c r="V178" i="7"/>
  <c r="P179" i="7" s="1"/>
  <c r="Q179" i="7" s="1"/>
  <c r="I557" i="8" l="1"/>
  <c r="P506" i="8" s="1"/>
  <c r="K807" i="6"/>
  <c r="L807" i="6" s="1"/>
  <c r="G223" i="12"/>
  <c r="E224" i="12" s="1"/>
  <c r="G224" i="12" s="1"/>
  <c r="E225" i="12" s="1"/>
  <c r="G225" i="12" s="1"/>
  <c r="E226" i="12" s="1"/>
  <c r="G226" i="12" s="1"/>
  <c r="AP222" i="11"/>
  <c r="AK222" i="11"/>
  <c r="B777" i="7"/>
  <c r="H221" i="11"/>
  <c r="I221" i="11" s="1"/>
  <c r="AM222" i="11"/>
  <c r="N443" i="7"/>
  <c r="L444" i="7" s="1"/>
  <c r="N444" i="7" s="1"/>
  <c r="L445" i="7" s="1"/>
  <c r="N445" i="7" s="1"/>
  <c r="L446" i="7" s="1"/>
  <c r="N446" i="7" s="1"/>
  <c r="I447" i="7" s="1"/>
  <c r="AM272" i="11"/>
  <c r="AK272" i="11"/>
  <c r="AL272" i="11"/>
  <c r="M1209" i="6"/>
  <c r="M993" i="6"/>
  <c r="L1443" i="6"/>
  <c r="K1210" i="6"/>
  <c r="L1210" i="6" s="1"/>
  <c r="H443" i="7"/>
  <c r="H444" i="7" s="1"/>
  <c r="H445" i="7" s="1"/>
  <c r="H446" i="7" s="1"/>
  <c r="D443" i="7"/>
  <c r="E443" i="7"/>
  <c r="G443" i="7" s="1"/>
  <c r="E444" i="7" s="1"/>
  <c r="G444" i="7" s="1"/>
  <c r="E445" i="7" s="1"/>
  <c r="G445" i="7" s="1"/>
  <c r="E446" i="7" s="1"/>
  <c r="G446" i="7" s="1"/>
  <c r="R179" i="7"/>
  <c r="S179" i="7"/>
  <c r="P344" i="7"/>
  <c r="Q344" i="7" s="1"/>
  <c r="V344" i="7" s="1"/>
  <c r="K1444" i="6"/>
  <c r="L1444" i="6" s="1"/>
  <c r="L944" i="6"/>
  <c r="P620" i="7"/>
  <c r="L851" i="6"/>
  <c r="I1195" i="6"/>
  <c r="I883" i="8"/>
  <c r="J883" i="8" s="1"/>
  <c r="L883" i="8" s="1"/>
  <c r="N190" i="6"/>
  <c r="P190" i="6" s="1"/>
  <c r="P191" i="6" s="1"/>
  <c r="P192" i="6" s="1"/>
  <c r="P193" i="6" s="1"/>
  <c r="P194" i="6" s="1"/>
  <c r="P195" i="6" s="1"/>
  <c r="P196" i="6" s="1"/>
  <c r="P197" i="6" s="1"/>
  <c r="P198" i="6" s="1"/>
  <c r="P199" i="6" s="1"/>
  <c r="P200" i="6" s="1"/>
  <c r="P201" i="6" s="1"/>
  <c r="P202" i="6" s="1"/>
  <c r="P203" i="6" s="1"/>
  <c r="P204" i="6" s="1"/>
  <c r="P205" i="6" s="1"/>
  <c r="P206" i="6" s="1"/>
  <c r="P207" i="6" s="1"/>
  <c r="P208" i="6" s="1"/>
  <c r="P209" i="6" s="1"/>
  <c r="P210" i="6" s="1"/>
  <c r="K1410" i="6"/>
  <c r="M1410" i="6" s="1"/>
  <c r="N235" i="6"/>
  <c r="P235" i="6" s="1"/>
  <c r="K1315" i="6"/>
  <c r="M1315" i="6" s="1"/>
  <c r="V1004" i="8"/>
  <c r="Q180" i="8"/>
  <c r="M1068" i="6"/>
  <c r="K1069" i="6" s="1"/>
  <c r="L1069" i="6" s="1"/>
  <c r="M1113" i="6"/>
  <c r="P235" i="7"/>
  <c r="Q359" i="6"/>
  <c r="R359" i="6" s="1"/>
  <c r="U563" i="8"/>
  <c r="V343" i="8"/>
  <c r="P344" i="8" s="1"/>
  <c r="Q344" i="8" s="1"/>
  <c r="V233" i="12"/>
  <c r="P234" i="12" s="1"/>
  <c r="Q234" i="12" s="1"/>
  <c r="K1354" i="6"/>
  <c r="M1354" i="6" s="1"/>
  <c r="R289" i="8"/>
  <c r="S289" i="8"/>
  <c r="H278" i="8"/>
  <c r="H279" i="8" s="1"/>
  <c r="H280" i="8" s="1"/>
  <c r="H281" i="8" s="1"/>
  <c r="D278" i="8"/>
  <c r="F278" i="8" s="1"/>
  <c r="D279" i="8" s="1"/>
  <c r="F279" i="8" s="1"/>
  <c r="D280" i="8" s="1"/>
  <c r="F280" i="8" s="1"/>
  <c r="D281" i="8" s="1"/>
  <c r="F281" i="8" s="1"/>
  <c r="S271" i="6"/>
  <c r="O831" i="8"/>
  <c r="C168" i="8"/>
  <c r="D168" i="8" s="1"/>
  <c r="S454" i="6"/>
  <c r="K668" i="6"/>
  <c r="M668" i="6" s="1"/>
  <c r="L612" i="6"/>
  <c r="P1004" i="8"/>
  <c r="Q1004" i="8" s="1"/>
  <c r="Q676" i="8"/>
  <c r="B498" i="8"/>
  <c r="C498" i="8" s="1"/>
  <c r="E498" i="8" s="1"/>
  <c r="L831" i="8"/>
  <c r="N831" i="8" s="1"/>
  <c r="M2930" i="6"/>
  <c r="U893" i="8"/>
  <c r="I1291" i="6"/>
  <c r="H1292" i="6" s="1"/>
  <c r="K1249" i="6" s="1"/>
  <c r="T508" i="8"/>
  <c r="T619" i="7"/>
  <c r="U1058" i="8"/>
  <c r="U398" i="8"/>
  <c r="Q505" i="6"/>
  <c r="R505" i="6" s="1"/>
  <c r="I1523" i="6"/>
  <c r="C830" i="8"/>
  <c r="D830" i="8" s="1"/>
  <c r="L892" i="6"/>
  <c r="U948" i="8"/>
  <c r="BT221" i="11"/>
  <c r="BU221" i="11"/>
  <c r="BX221" i="11" s="1"/>
  <c r="BW221" i="11"/>
  <c r="CC221" i="11" s="1"/>
  <c r="F223" i="12"/>
  <c r="D224" i="12" s="1"/>
  <c r="F224" i="12" s="1"/>
  <c r="D225" i="12" s="1"/>
  <c r="F225" i="12" s="1"/>
  <c r="D226" i="12" s="1"/>
  <c r="F226" i="12" s="1"/>
  <c r="B227" i="12" s="1"/>
  <c r="P176" i="12" s="1"/>
  <c r="M828" i="7"/>
  <c r="K829" i="7" s="1"/>
  <c r="M829" i="7" s="1"/>
  <c r="K830" i="7" s="1"/>
  <c r="M830" i="7" s="1"/>
  <c r="K831" i="7" s="1"/>
  <c r="M831" i="7" s="1"/>
  <c r="I832" i="7" s="1"/>
  <c r="P781" i="7" s="1"/>
  <c r="R454" i="7"/>
  <c r="S454" i="7"/>
  <c r="U454" i="7" s="1"/>
  <c r="P124" i="7"/>
  <c r="Q124" i="7" s="1"/>
  <c r="Q553" i="6"/>
  <c r="S553" i="6" s="1"/>
  <c r="M773" i="7"/>
  <c r="K774" i="7" s="1"/>
  <c r="M774" i="7" s="1"/>
  <c r="K775" i="7" s="1"/>
  <c r="M775" i="7" s="1"/>
  <c r="K776" i="7" s="1"/>
  <c r="M776" i="7" s="1"/>
  <c r="I777" i="7" s="1"/>
  <c r="K707" i="6"/>
  <c r="M707" i="6" s="1"/>
  <c r="P124" i="12"/>
  <c r="Q124" i="12" s="1"/>
  <c r="V124" i="12" s="1"/>
  <c r="T234" i="7"/>
  <c r="H45" i="9"/>
  <c r="I45" i="9" s="1"/>
  <c r="L46" i="9"/>
  <c r="O46" i="9" s="1"/>
  <c r="N332" i="12"/>
  <c r="U893" i="7"/>
  <c r="Q840" i="7"/>
  <c r="V179" i="7"/>
  <c r="H269" i="11"/>
  <c r="I269" i="11" s="1"/>
  <c r="U288" i="7"/>
  <c r="Q129" i="6"/>
  <c r="S129" i="6" s="1"/>
  <c r="O553" i="7"/>
  <c r="O554" i="7" s="1"/>
  <c r="O555" i="7" s="1"/>
  <c r="O556" i="7" s="1"/>
  <c r="K553" i="7"/>
  <c r="M553" i="7" s="1"/>
  <c r="K554" i="7" s="1"/>
  <c r="M554" i="7" s="1"/>
  <c r="K555" i="7" s="1"/>
  <c r="M555" i="7" s="1"/>
  <c r="K556" i="7" s="1"/>
  <c r="M556" i="7" s="1"/>
  <c r="S412" i="6"/>
  <c r="Q413" i="6" s="1"/>
  <c r="R413" i="6" s="1"/>
  <c r="Q675" i="7"/>
  <c r="V289" i="8"/>
  <c r="K759" i="6"/>
  <c r="M759" i="6" s="1"/>
  <c r="K1040" i="6"/>
  <c r="L1040" i="6" s="1"/>
  <c r="Q319" i="6"/>
  <c r="S319" i="6" s="1"/>
  <c r="V731" i="8"/>
  <c r="R731" i="8"/>
  <c r="T731" i="8" s="1"/>
  <c r="U563" i="7"/>
  <c r="V618" i="8"/>
  <c r="K994" i="6"/>
  <c r="L994" i="6" s="1"/>
  <c r="AN222" i="11" l="1"/>
  <c r="AO222" i="11"/>
  <c r="M807" i="6"/>
  <c r="K808" i="6" s="1"/>
  <c r="L808" i="6" s="1"/>
  <c r="O221" i="11"/>
  <c r="S221" i="11" s="1"/>
  <c r="L221" i="11"/>
  <c r="K221" i="11"/>
  <c r="Q221" i="11" s="1"/>
  <c r="M221" i="11"/>
  <c r="R221" i="11" s="1"/>
  <c r="AS222" i="11"/>
  <c r="AX222" i="11" s="1"/>
  <c r="N221" i="11"/>
  <c r="AT222" i="11"/>
  <c r="P726" i="7"/>
  <c r="T728" i="7" s="1"/>
  <c r="S505" i="6"/>
  <c r="Q506" i="6" s="1"/>
  <c r="R506" i="6" s="1"/>
  <c r="P221" i="11"/>
  <c r="AN272" i="11"/>
  <c r="AO272" i="11" s="1"/>
  <c r="S359" i="6"/>
  <c r="Q360" i="6" s="1"/>
  <c r="R360" i="6" s="1"/>
  <c r="U731" i="8"/>
  <c r="M1444" i="6"/>
  <c r="M1210" i="6"/>
  <c r="G278" i="8"/>
  <c r="E279" i="8" s="1"/>
  <c r="G279" i="8" s="1"/>
  <c r="E280" i="8" s="1"/>
  <c r="G280" i="8" s="1"/>
  <c r="E281" i="8" s="1"/>
  <c r="G281" i="8" s="1"/>
  <c r="U289" i="8"/>
  <c r="P290" i="8" s="1"/>
  <c r="K1211" i="6"/>
  <c r="L1211" i="6" s="1"/>
  <c r="U179" i="7"/>
  <c r="R344" i="8"/>
  <c r="S344" i="8"/>
  <c r="U344" i="8" s="1"/>
  <c r="K1445" i="6"/>
  <c r="M1445" i="6" s="1"/>
  <c r="R234" i="12"/>
  <c r="S234" i="12"/>
  <c r="U234" i="12" s="1"/>
  <c r="P269" i="11"/>
  <c r="N269" i="11"/>
  <c r="O269" i="11"/>
  <c r="S269" i="11" s="1"/>
  <c r="M269" i="11"/>
  <c r="R269" i="11" s="1"/>
  <c r="U269" i="11" s="1"/>
  <c r="K269" i="11"/>
  <c r="Q269" i="11" s="1"/>
  <c r="L269" i="11"/>
  <c r="CF221" i="11"/>
  <c r="K613" i="6"/>
  <c r="M613" i="6" s="1"/>
  <c r="R129" i="6"/>
  <c r="V1058" i="8"/>
  <c r="P1059" i="8" s="1"/>
  <c r="Q1059" i="8" s="1"/>
  <c r="R319" i="6"/>
  <c r="H1196" i="6"/>
  <c r="J1196" i="6" s="1"/>
  <c r="M1069" i="6"/>
  <c r="K1070" i="6" s="1"/>
  <c r="L1070" i="6" s="1"/>
  <c r="P180" i="7"/>
  <c r="CA221" i="11"/>
  <c r="CE221" i="11" s="1"/>
  <c r="L707" i="6"/>
  <c r="L759" i="6"/>
  <c r="V840" i="7"/>
  <c r="S840" i="7"/>
  <c r="P455" i="7"/>
  <c r="M994" i="6"/>
  <c r="V675" i="7"/>
  <c r="S675" i="7"/>
  <c r="H498" i="8"/>
  <c r="H499" i="8" s="1"/>
  <c r="H500" i="8" s="1"/>
  <c r="H501" i="8" s="1"/>
  <c r="D498" i="8"/>
  <c r="F498" i="8" s="1"/>
  <c r="D499" i="8" s="1"/>
  <c r="F499" i="8" s="1"/>
  <c r="D500" i="8" s="1"/>
  <c r="F500" i="8" s="1"/>
  <c r="D501" i="8" s="1"/>
  <c r="F501" i="8" s="1"/>
  <c r="T783" i="7"/>
  <c r="V676" i="8"/>
  <c r="S676" i="8"/>
  <c r="M831" i="8"/>
  <c r="I832" i="8" s="1"/>
  <c r="K2931" i="6"/>
  <c r="L2931" i="6" s="1"/>
  <c r="Q235" i="7"/>
  <c r="R235" i="7" s="1"/>
  <c r="T289" i="8"/>
  <c r="K893" i="6"/>
  <c r="M893" i="6" s="1"/>
  <c r="P619" i="8"/>
  <c r="Q619" i="8" s="1"/>
  <c r="V619" i="8" s="1"/>
  <c r="V893" i="7"/>
  <c r="H1524" i="6"/>
  <c r="J1524" i="6" s="1"/>
  <c r="O235" i="6"/>
  <c r="R675" i="7"/>
  <c r="T675" i="7" s="1"/>
  <c r="N553" i="7"/>
  <c r="L554" i="7" s="1"/>
  <c r="N554" i="7" s="1"/>
  <c r="L555" i="7" s="1"/>
  <c r="N555" i="7" s="1"/>
  <c r="L556" i="7" s="1"/>
  <c r="N556" i="7" s="1"/>
  <c r="I557" i="7" s="1"/>
  <c r="P506" i="7" s="1"/>
  <c r="V563" i="7"/>
  <c r="P564" i="7" s="1"/>
  <c r="Q564" i="7" s="1"/>
  <c r="S413" i="6"/>
  <c r="Q414" i="6" s="1"/>
  <c r="R414" i="6" s="1"/>
  <c r="I333" i="12"/>
  <c r="J333" i="12" s="1"/>
  <c r="R676" i="8"/>
  <c r="V563" i="8"/>
  <c r="L1410" i="6"/>
  <c r="R124" i="12"/>
  <c r="S124" i="12"/>
  <c r="CB221" i="11"/>
  <c r="U508" i="8"/>
  <c r="K852" i="6"/>
  <c r="M852" i="6" s="1"/>
  <c r="P396" i="7"/>
  <c r="Q620" i="7"/>
  <c r="V180" i="8"/>
  <c r="S180" i="8"/>
  <c r="V948" i="8"/>
  <c r="BZ221" i="11"/>
  <c r="BY221" i="11"/>
  <c r="CD221" i="11" s="1"/>
  <c r="K945" i="6"/>
  <c r="M945" i="6" s="1"/>
  <c r="R553" i="6"/>
  <c r="H168" i="8"/>
  <c r="H169" i="8" s="1"/>
  <c r="H170" i="8" s="1"/>
  <c r="H171" i="8" s="1"/>
  <c r="E168" i="8"/>
  <c r="G168" i="8" s="1"/>
  <c r="E169" i="8" s="1"/>
  <c r="G169" i="8" s="1"/>
  <c r="E170" i="8" s="1"/>
  <c r="G170" i="8" s="1"/>
  <c r="E171" i="8" s="1"/>
  <c r="G171" i="8" s="1"/>
  <c r="R840" i="7"/>
  <c r="V398" i="8"/>
  <c r="R1004" i="8"/>
  <c r="S1004" i="8"/>
  <c r="U1004" i="8" s="1"/>
  <c r="M1040" i="6"/>
  <c r="K1041" i="6" s="1"/>
  <c r="L1041" i="6" s="1"/>
  <c r="Q455" i="6"/>
  <c r="R455" i="6" s="1"/>
  <c r="Q272" i="6"/>
  <c r="R272" i="6" s="1"/>
  <c r="O883" i="8"/>
  <c r="K883" i="8"/>
  <c r="M883" i="8" s="1"/>
  <c r="V288" i="7"/>
  <c r="L1251" i="6"/>
  <c r="L668" i="6"/>
  <c r="T179" i="7"/>
  <c r="V893" i="8"/>
  <c r="L1354" i="6"/>
  <c r="R180" i="8"/>
  <c r="V234" i="12"/>
  <c r="F443" i="7"/>
  <c r="D444" i="7" s="1"/>
  <c r="F444" i="7" s="1"/>
  <c r="D445" i="7" s="1"/>
  <c r="F445" i="7" s="1"/>
  <c r="D446" i="7" s="1"/>
  <c r="F446" i="7" s="1"/>
  <c r="B447" i="7" s="1"/>
  <c r="E830" i="8"/>
  <c r="G830" i="8" s="1"/>
  <c r="H830" i="8"/>
  <c r="R124" i="7"/>
  <c r="S124" i="7"/>
  <c r="U124" i="7" s="1"/>
  <c r="V124" i="7"/>
  <c r="L1315" i="6"/>
  <c r="P732" i="8"/>
  <c r="V344" i="8"/>
  <c r="K1114" i="6"/>
  <c r="L1114" i="6" s="1"/>
  <c r="T454" i="7"/>
  <c r="T178" i="12"/>
  <c r="Q732" i="8"/>
  <c r="S732" i="8" s="1"/>
  <c r="M46" i="9"/>
  <c r="P46" i="9" s="1"/>
  <c r="N46" i="9"/>
  <c r="Q46" i="9" s="1"/>
  <c r="B282" i="8"/>
  <c r="P231" i="8" s="1"/>
  <c r="O190" i="6"/>
  <c r="O191" i="6" s="1"/>
  <c r="O192" i="6" s="1"/>
  <c r="O193" i="6" s="1"/>
  <c r="O194" i="6" s="1"/>
  <c r="O195" i="6" s="1"/>
  <c r="O196" i="6" s="1"/>
  <c r="O197" i="6" s="1"/>
  <c r="O198" i="6" s="1"/>
  <c r="O199" i="6" s="1"/>
  <c r="O200" i="6" s="1"/>
  <c r="O201" i="6" s="1"/>
  <c r="O202" i="6" s="1"/>
  <c r="O203" i="6" s="1"/>
  <c r="O204" i="6" s="1"/>
  <c r="O205" i="6" s="1"/>
  <c r="O206" i="6" s="1"/>
  <c r="O207" i="6" s="1"/>
  <c r="O208" i="6" s="1"/>
  <c r="O209" i="6" s="1"/>
  <c r="O210" i="6" s="1"/>
  <c r="N211" i="6" s="1"/>
  <c r="Q168" i="6" s="1"/>
  <c r="R344" i="7"/>
  <c r="S344" i="7"/>
  <c r="U344" i="7" s="1"/>
  <c r="BA222" i="11" l="1"/>
  <c r="L893" i="6"/>
  <c r="U221" i="11"/>
  <c r="T221" i="11"/>
  <c r="V221" i="11" s="1"/>
  <c r="U180" i="8"/>
  <c r="M808" i="6"/>
  <c r="K809" i="6" s="1"/>
  <c r="L809" i="6" s="1"/>
  <c r="AQ222" i="11"/>
  <c r="AW222" i="11" s="1"/>
  <c r="AR222" i="11"/>
  <c r="AZ222" i="11" s="1"/>
  <c r="AV222" i="11"/>
  <c r="AU222" i="11"/>
  <c r="AY222" i="11" s="1"/>
  <c r="BD222" i="11" s="1"/>
  <c r="R564" i="7"/>
  <c r="S564" i="7"/>
  <c r="U564" i="7" s="1"/>
  <c r="R46" i="9"/>
  <c r="T840" i="7"/>
  <c r="T124" i="12"/>
  <c r="S360" i="6"/>
  <c r="U676" i="8"/>
  <c r="P677" i="8" s="1"/>
  <c r="S506" i="6"/>
  <c r="N883" i="8"/>
  <c r="M1211" i="6"/>
  <c r="K1212" i="6" s="1"/>
  <c r="CG221" i="11"/>
  <c r="CJ221" i="11" s="1"/>
  <c r="S272" i="6"/>
  <c r="Q273" i="6" s="1"/>
  <c r="R273" i="6" s="1"/>
  <c r="CI221" i="11"/>
  <c r="AS272" i="11"/>
  <c r="AX272" i="11" s="1"/>
  <c r="AT272" i="11"/>
  <c r="AR272" i="11"/>
  <c r="AU272" i="11"/>
  <c r="AY272" i="11" s="1"/>
  <c r="AV272" i="11"/>
  <c r="AQ272" i="11"/>
  <c r="AW272" i="11" s="1"/>
  <c r="E46" i="9"/>
  <c r="F46" i="9"/>
  <c r="G46" i="9"/>
  <c r="Q507" i="6"/>
  <c r="S507" i="6" s="1"/>
  <c r="R1059" i="8"/>
  <c r="S1059" i="8"/>
  <c r="U1059" i="8" s="1"/>
  <c r="Q361" i="6"/>
  <c r="R361" i="6" s="1"/>
  <c r="S361" i="6"/>
  <c r="L613" i="6"/>
  <c r="P181" i="8"/>
  <c r="U675" i="7"/>
  <c r="Q180" i="7"/>
  <c r="R180" i="7" s="1"/>
  <c r="S620" i="7"/>
  <c r="V620" i="7"/>
  <c r="N236" i="6"/>
  <c r="P236" i="6" s="1"/>
  <c r="G498" i="8"/>
  <c r="E499" i="8" s="1"/>
  <c r="G499" i="8" s="1"/>
  <c r="E500" i="8" s="1"/>
  <c r="G500" i="8" s="1"/>
  <c r="E501" i="8" s="1"/>
  <c r="G501" i="8" s="1"/>
  <c r="B502" i="8" s="1"/>
  <c r="P451" i="8" s="1"/>
  <c r="K1316" i="6"/>
  <c r="M1316" i="6" s="1"/>
  <c r="V732" i="8"/>
  <c r="P345" i="7"/>
  <c r="L852" i="6"/>
  <c r="V508" i="8"/>
  <c r="U840" i="7"/>
  <c r="P1005" i="8"/>
  <c r="O333" i="12"/>
  <c r="O334" i="12" s="1"/>
  <c r="O335" i="12" s="1"/>
  <c r="O336" i="12" s="1"/>
  <c r="K333" i="12"/>
  <c r="R619" i="8"/>
  <c r="S619" i="8"/>
  <c r="S455" i="6"/>
  <c r="S46" i="9"/>
  <c r="U178" i="12"/>
  <c r="K894" i="6"/>
  <c r="L894" i="6" s="1"/>
  <c r="Q455" i="7"/>
  <c r="T508" i="7"/>
  <c r="P949" i="8"/>
  <c r="Q949" i="8" s="1"/>
  <c r="V949" i="8" s="1"/>
  <c r="U728" i="7"/>
  <c r="I884" i="8"/>
  <c r="J884" i="8" s="1"/>
  <c r="P894" i="8"/>
  <c r="Q894" i="8" s="1"/>
  <c r="P289" i="7"/>
  <c r="Q289" i="7" s="1"/>
  <c r="P235" i="12"/>
  <c r="P564" i="8"/>
  <c r="Q564" i="8" s="1"/>
  <c r="T676" i="8"/>
  <c r="T344" i="7"/>
  <c r="R170" i="6"/>
  <c r="F830" i="8"/>
  <c r="M1251" i="6"/>
  <c r="T1004" i="8"/>
  <c r="U124" i="12"/>
  <c r="L333" i="12"/>
  <c r="K760" i="6"/>
  <c r="M760" i="6" s="1"/>
  <c r="K708" i="6"/>
  <c r="M708" i="6" s="1"/>
  <c r="K1355" i="6"/>
  <c r="M1355" i="6" s="1"/>
  <c r="R732" i="8"/>
  <c r="T732" i="8" s="1"/>
  <c r="M1070" i="6"/>
  <c r="K1071" i="6" s="1"/>
  <c r="L1071" i="6" s="1"/>
  <c r="T234" i="12"/>
  <c r="K669" i="6"/>
  <c r="M669" i="6" s="1"/>
  <c r="I1196" i="6"/>
  <c r="R620" i="7"/>
  <c r="T620" i="7" s="1"/>
  <c r="L1445" i="6"/>
  <c r="T398" i="7"/>
  <c r="F168" i="8"/>
  <c r="D169" i="8" s="1"/>
  <c r="F169" i="8" s="1"/>
  <c r="D170" i="8" s="1"/>
  <c r="F170" i="8" s="1"/>
  <c r="D171" i="8" s="1"/>
  <c r="F171" i="8" s="1"/>
  <c r="B172" i="8" s="1"/>
  <c r="P121" i="8" s="1"/>
  <c r="Q290" i="8"/>
  <c r="Q320" i="6"/>
  <c r="S320" i="6" s="1"/>
  <c r="T124" i="7"/>
  <c r="Q554" i="6"/>
  <c r="S554" i="6" s="1"/>
  <c r="T269" i="11"/>
  <c r="W269" i="11"/>
  <c r="V269" i="11"/>
  <c r="X269" i="11"/>
  <c r="AG269" i="11" s="1"/>
  <c r="B831" i="8"/>
  <c r="T233" i="8"/>
  <c r="S414" i="6"/>
  <c r="Q130" i="6"/>
  <c r="S130" i="6" s="1"/>
  <c r="P345" i="8"/>
  <c r="M1114" i="6"/>
  <c r="P125" i="7"/>
  <c r="I1524" i="6"/>
  <c r="V235" i="7"/>
  <c r="S235" i="7"/>
  <c r="U235" i="7" s="1"/>
  <c r="V1059" i="8"/>
  <c r="M1041" i="6"/>
  <c r="K1042" i="6" s="1"/>
  <c r="L1042" i="6" s="1"/>
  <c r="L945" i="6"/>
  <c r="P894" i="7"/>
  <c r="Q894" i="7" s="1"/>
  <c r="V894" i="7" s="1"/>
  <c r="T180" i="8"/>
  <c r="P399" i="8"/>
  <c r="Q399" i="8" s="1"/>
  <c r="V399" i="8" s="1"/>
  <c r="K1411" i="6"/>
  <c r="M1411" i="6" s="1"/>
  <c r="V564" i="7"/>
  <c r="U783" i="7"/>
  <c r="M2931" i="6"/>
  <c r="K2932" i="6" s="1"/>
  <c r="L2932" i="6" s="1"/>
  <c r="K995" i="6"/>
  <c r="L995" i="6" s="1"/>
  <c r="T344" i="8"/>
  <c r="U732" i="8" l="1"/>
  <c r="M809" i="6"/>
  <c r="T564" i="7"/>
  <c r="BA272" i="11"/>
  <c r="N333" i="12"/>
  <c r="L334" i="12" s="1"/>
  <c r="N334" i="12" s="1"/>
  <c r="L335" i="12" s="1"/>
  <c r="N335" i="12" s="1"/>
  <c r="L336" i="12" s="1"/>
  <c r="N336" i="12" s="1"/>
  <c r="T235" i="7"/>
  <c r="W221" i="11"/>
  <c r="X221" i="11"/>
  <c r="AG221" i="11" s="1"/>
  <c r="P565" i="7"/>
  <c r="Q565" i="7" s="1"/>
  <c r="S565" i="7" s="1"/>
  <c r="BC222" i="11"/>
  <c r="BB222" i="11" s="1"/>
  <c r="U619" i="8"/>
  <c r="P620" i="8" s="1"/>
  <c r="AZ272" i="11"/>
  <c r="M1212" i="6"/>
  <c r="L1212" i="6"/>
  <c r="M995" i="6"/>
  <c r="K996" i="6" s="1"/>
  <c r="M996" i="6" s="1"/>
  <c r="M894" i="6"/>
  <c r="R130" i="6"/>
  <c r="CH221" i="11"/>
  <c r="CS221" i="11" s="1"/>
  <c r="Q274" i="6"/>
  <c r="R274" i="6" s="1"/>
  <c r="K884" i="8"/>
  <c r="O884" i="8"/>
  <c r="L884" i="8"/>
  <c r="Q362" i="6"/>
  <c r="R362" i="6" s="1"/>
  <c r="K895" i="6"/>
  <c r="L895" i="6" s="1"/>
  <c r="V783" i="7"/>
  <c r="P784" i="7" s="1"/>
  <c r="Q784" i="7" s="1"/>
  <c r="R289" i="7"/>
  <c r="S289" i="7"/>
  <c r="U289" i="7" s="1"/>
  <c r="P733" i="8"/>
  <c r="Q733" i="8" s="1"/>
  <c r="S733" i="8" s="1"/>
  <c r="R554" i="6"/>
  <c r="R894" i="8"/>
  <c r="S894" i="8"/>
  <c r="S273" i="6"/>
  <c r="S362" i="6"/>
  <c r="S170" i="6"/>
  <c r="L1355" i="6"/>
  <c r="T123" i="8"/>
  <c r="V894" i="8"/>
  <c r="U620" i="7"/>
  <c r="Q131" i="6"/>
  <c r="S131" i="6" s="1"/>
  <c r="L669" i="6"/>
  <c r="R507" i="6"/>
  <c r="Q235" i="12"/>
  <c r="R235" i="12" s="1"/>
  <c r="T619" i="8"/>
  <c r="Q1005" i="8"/>
  <c r="Q125" i="7"/>
  <c r="R125" i="7" s="1"/>
  <c r="T453" i="8"/>
  <c r="K614" i="6"/>
  <c r="M614" i="6" s="1"/>
  <c r="Q181" i="8"/>
  <c r="U233" i="8"/>
  <c r="P841" i="7"/>
  <c r="Q841" i="7" s="1"/>
  <c r="R894" i="7"/>
  <c r="S894" i="7"/>
  <c r="R320" i="6"/>
  <c r="K946" i="6"/>
  <c r="M946" i="6" s="1"/>
  <c r="V290" i="8"/>
  <c r="S290" i="8"/>
  <c r="R949" i="8"/>
  <c r="S949" i="8"/>
  <c r="U949" i="8" s="1"/>
  <c r="K810" i="6"/>
  <c r="L810" i="6" s="1"/>
  <c r="O236" i="6"/>
  <c r="K1446" i="6"/>
  <c r="M1446" i="6" s="1"/>
  <c r="L708" i="6"/>
  <c r="V455" i="7"/>
  <c r="S455" i="7"/>
  <c r="U455" i="7" s="1"/>
  <c r="V178" i="12"/>
  <c r="P179" i="12" s="1"/>
  <c r="Q179" i="12" s="1"/>
  <c r="K853" i="6"/>
  <c r="M853" i="6" s="1"/>
  <c r="Q345" i="7"/>
  <c r="M895" i="6"/>
  <c r="M333" i="12"/>
  <c r="K334" i="12" s="1"/>
  <c r="M334" i="12" s="1"/>
  <c r="K335" i="12" s="1"/>
  <c r="M335" i="12" s="1"/>
  <c r="K336" i="12" s="1"/>
  <c r="M336" i="12" s="1"/>
  <c r="K1252" i="6"/>
  <c r="L1252" i="6" s="1"/>
  <c r="R564" i="8"/>
  <c r="S564" i="8"/>
  <c r="U508" i="7"/>
  <c r="H46" i="9"/>
  <c r="I46" i="9" s="1"/>
  <c r="L47" i="9"/>
  <c r="O47" i="9" s="1"/>
  <c r="AC269" i="11"/>
  <c r="AB269" i="11"/>
  <c r="AA269" i="11"/>
  <c r="AE269" i="11"/>
  <c r="AD269" i="11"/>
  <c r="Z269" i="11"/>
  <c r="Y269" i="11"/>
  <c r="R290" i="8"/>
  <c r="U398" i="7"/>
  <c r="Q345" i="8"/>
  <c r="H1525" i="6"/>
  <c r="J1525" i="6" s="1"/>
  <c r="R455" i="7"/>
  <c r="V564" i="8"/>
  <c r="P1060" i="8"/>
  <c r="Q415" i="6"/>
  <c r="R415" i="6" s="1"/>
  <c r="Q677" i="8"/>
  <c r="P676" i="7"/>
  <c r="Q676" i="7" s="1"/>
  <c r="P125" i="12"/>
  <c r="Q125" i="12" s="1"/>
  <c r="S125" i="12" s="1"/>
  <c r="Q456" i="6"/>
  <c r="R456" i="6" s="1"/>
  <c r="M1071" i="6"/>
  <c r="K1072" i="6" s="1"/>
  <c r="L1072" i="6" s="1"/>
  <c r="L1411" i="6"/>
  <c r="R399" i="8"/>
  <c r="S399" i="8"/>
  <c r="L1316" i="6"/>
  <c r="C831" i="8"/>
  <c r="D831" i="8" s="1"/>
  <c r="V728" i="7"/>
  <c r="P729" i="7" s="1"/>
  <c r="Q729" i="7" s="1"/>
  <c r="V289" i="7"/>
  <c r="P509" i="8"/>
  <c r="Q509" i="8" s="1"/>
  <c r="V509" i="8" s="1"/>
  <c r="M1042" i="6"/>
  <c r="K1115" i="6"/>
  <c r="L1115" i="6" s="1"/>
  <c r="P236" i="7"/>
  <c r="Q236" i="7" s="1"/>
  <c r="M2932" i="6"/>
  <c r="H1197" i="6"/>
  <c r="J1197" i="6" s="1"/>
  <c r="L760" i="6"/>
  <c r="V180" i="7"/>
  <c r="S180" i="7"/>
  <c r="U180" i="7" s="1"/>
  <c r="T1059" i="8"/>
  <c r="Z221" i="11" l="1"/>
  <c r="AD221" i="11"/>
  <c r="Y221" i="11"/>
  <c r="AC221" i="11"/>
  <c r="AB221" i="11"/>
  <c r="AA221" i="11"/>
  <c r="AE221" i="11"/>
  <c r="T290" i="8"/>
  <c r="BM272" i="11"/>
  <c r="I337" i="12"/>
  <c r="P286" i="12" s="1"/>
  <c r="T288" i="12" s="1"/>
  <c r="U894" i="7"/>
  <c r="BM222" i="11"/>
  <c r="R729" i="7"/>
  <c r="S729" i="7"/>
  <c r="U729" i="7" s="1"/>
  <c r="S236" i="7"/>
  <c r="V236" i="7"/>
  <c r="N884" i="8"/>
  <c r="I885" i="8" s="1"/>
  <c r="L996" i="6"/>
  <c r="T894" i="8"/>
  <c r="S456" i="6"/>
  <c r="Q457" i="6" s="1"/>
  <c r="R457" i="6" s="1"/>
  <c r="R131" i="6"/>
  <c r="Q132" i="6" s="1"/>
  <c r="U564" i="8"/>
  <c r="P565" i="8" s="1"/>
  <c r="K1213" i="6"/>
  <c r="T180" i="7"/>
  <c r="Q181" i="7" s="1"/>
  <c r="V181" i="7" s="1"/>
  <c r="U399" i="8"/>
  <c r="P400" i="8" s="1"/>
  <c r="Q363" i="6"/>
  <c r="R363" i="6" s="1"/>
  <c r="R179" i="12"/>
  <c r="S179" i="12"/>
  <c r="R784" i="7"/>
  <c r="S784" i="7"/>
  <c r="U784" i="7" s="1"/>
  <c r="K1317" i="6"/>
  <c r="M1317" i="6" s="1"/>
  <c r="P621" i="7"/>
  <c r="Q621" i="7" s="1"/>
  <c r="Q555" i="6"/>
  <c r="S555" i="6" s="1"/>
  <c r="R733" i="8"/>
  <c r="T733" i="8" s="1"/>
  <c r="T399" i="8"/>
  <c r="N237" i="6"/>
  <c r="P237" i="6" s="1"/>
  <c r="P238" i="6" s="1"/>
  <c r="P239" i="6" s="1"/>
  <c r="P240" i="6" s="1"/>
  <c r="P241" i="6" s="1"/>
  <c r="P242" i="6" s="1"/>
  <c r="P243" i="6" s="1"/>
  <c r="P244" i="6" s="1"/>
  <c r="P245" i="6" s="1"/>
  <c r="P246" i="6" s="1"/>
  <c r="P247" i="6" s="1"/>
  <c r="P248" i="6" s="1"/>
  <c r="P249" i="6" s="1"/>
  <c r="P250" i="6" s="1"/>
  <c r="P251" i="6" s="1"/>
  <c r="P252" i="6" s="1"/>
  <c r="P253" i="6" s="1"/>
  <c r="P254" i="6" s="1"/>
  <c r="P255" i="6" s="1"/>
  <c r="P256" i="6" s="1"/>
  <c r="P257" i="6" s="1"/>
  <c r="S181" i="8"/>
  <c r="U181" i="8" s="1"/>
  <c r="V181" i="8"/>
  <c r="AF269" i="11"/>
  <c r="J270" i="11" s="1"/>
  <c r="C270" i="11"/>
  <c r="Q171" i="6"/>
  <c r="R171" i="6" s="1"/>
  <c r="L853" i="6"/>
  <c r="R565" i="7"/>
  <c r="T565" i="7" s="1"/>
  <c r="T455" i="7"/>
  <c r="V733" i="8"/>
  <c r="M810" i="6"/>
  <c r="R236" i="7"/>
  <c r="V1005" i="8"/>
  <c r="S1005" i="8"/>
  <c r="K2933" i="6"/>
  <c r="L2933" i="6" s="1"/>
  <c r="L2934" i="6" s="1"/>
  <c r="L2935" i="6" s="1"/>
  <c r="L2936" i="6" s="1"/>
  <c r="L2937" i="6" s="1"/>
  <c r="L2938" i="6" s="1"/>
  <c r="L2939" i="6" s="1"/>
  <c r="L2940" i="6" s="1"/>
  <c r="L2941" i="6" s="1"/>
  <c r="L2942" i="6" s="1"/>
  <c r="L2943" i="6" s="1"/>
  <c r="V841" i="7"/>
  <c r="R841" i="7"/>
  <c r="Q620" i="8"/>
  <c r="V677" i="8"/>
  <c r="S677" i="8"/>
  <c r="M1115" i="6"/>
  <c r="K1116" i="6" s="1"/>
  <c r="L1116" i="6" s="1"/>
  <c r="R677" i="8"/>
  <c r="V345" i="7"/>
  <c r="S345" i="7"/>
  <c r="R345" i="7"/>
  <c r="T345" i="7" s="1"/>
  <c r="P950" i="8"/>
  <c r="M884" i="8"/>
  <c r="T949" i="8"/>
  <c r="T289" i="7"/>
  <c r="K1412" i="6"/>
  <c r="M1412" i="6" s="1"/>
  <c r="T564" i="8"/>
  <c r="L614" i="6"/>
  <c r="K670" i="6"/>
  <c r="M670" i="6" s="1"/>
  <c r="M671" i="6" s="1"/>
  <c r="M672" i="6" s="1"/>
  <c r="M673" i="6" s="1"/>
  <c r="M674" i="6" s="1"/>
  <c r="M675" i="6" s="1"/>
  <c r="M676" i="6" s="1"/>
  <c r="M677" i="6" s="1"/>
  <c r="M678" i="6" s="1"/>
  <c r="M679" i="6" s="1"/>
  <c r="M680" i="6" s="1"/>
  <c r="V179" i="12"/>
  <c r="L946" i="6"/>
  <c r="K1043" i="6"/>
  <c r="L1043" i="6" s="1"/>
  <c r="V729" i="7"/>
  <c r="M1252" i="6"/>
  <c r="Q321" i="6"/>
  <c r="S321" i="6" s="1"/>
  <c r="R1005" i="8"/>
  <c r="R676" i="7"/>
  <c r="V676" i="7"/>
  <c r="S235" i="12"/>
  <c r="U235" i="12" s="1"/>
  <c r="V235" i="12"/>
  <c r="V398" i="7"/>
  <c r="V233" i="8"/>
  <c r="P234" i="8" s="1"/>
  <c r="Q234" i="8" s="1"/>
  <c r="U123" i="8"/>
  <c r="Q1060" i="8"/>
  <c r="R509" i="8"/>
  <c r="S509" i="8"/>
  <c r="U509" i="8" s="1"/>
  <c r="V508" i="7"/>
  <c r="P290" i="7"/>
  <c r="R181" i="8"/>
  <c r="K761" i="6"/>
  <c r="M761" i="6" s="1"/>
  <c r="U290" i="8"/>
  <c r="U453" i="8"/>
  <c r="V784" i="7"/>
  <c r="I1197" i="6"/>
  <c r="H1198" i="6" s="1"/>
  <c r="K1155" i="6" s="1"/>
  <c r="K997" i="6"/>
  <c r="M997" i="6" s="1"/>
  <c r="V125" i="12"/>
  <c r="R125" i="12"/>
  <c r="T125" i="12" s="1"/>
  <c r="P456" i="7"/>
  <c r="P895" i="7"/>
  <c r="K896" i="6"/>
  <c r="L896" i="6" s="1"/>
  <c r="T729" i="7"/>
  <c r="V565" i="7"/>
  <c r="D270" i="11"/>
  <c r="T894" i="7"/>
  <c r="S345" i="8"/>
  <c r="V345" i="8"/>
  <c r="R345" i="8"/>
  <c r="T345" i="8" s="1"/>
  <c r="L1446" i="6"/>
  <c r="M47" i="9"/>
  <c r="P47" i="9" s="1"/>
  <c r="K811" i="6"/>
  <c r="L811" i="6" s="1"/>
  <c r="L812" i="6" s="1"/>
  <c r="L813" i="6" s="1"/>
  <c r="L814" i="6" s="1"/>
  <c r="L815" i="6" s="1"/>
  <c r="L816" i="6" s="1"/>
  <c r="L817" i="6" s="1"/>
  <c r="L818" i="6" s="1"/>
  <c r="L819" i="6" s="1"/>
  <c r="L820" i="6" s="1"/>
  <c r="L821" i="6" s="1"/>
  <c r="Q508" i="6"/>
  <c r="S508" i="6" s="1"/>
  <c r="P181" i="7"/>
  <c r="K1356" i="6"/>
  <c r="M1356" i="6" s="1"/>
  <c r="M1072" i="6"/>
  <c r="S125" i="7"/>
  <c r="U125" i="7" s="1"/>
  <c r="V125" i="7"/>
  <c r="CK221" i="11"/>
  <c r="CQ221" i="11"/>
  <c r="CP221" i="11"/>
  <c r="CO221" i="11"/>
  <c r="CN221" i="11"/>
  <c r="CM221" i="11"/>
  <c r="CL221" i="11"/>
  <c r="S415" i="6"/>
  <c r="Q416" i="6" s="1"/>
  <c r="R416" i="6" s="1"/>
  <c r="S274" i="6"/>
  <c r="Q275" i="6" s="1"/>
  <c r="R275" i="6" s="1"/>
  <c r="H831" i="8"/>
  <c r="E831" i="8"/>
  <c r="G831" i="8" s="1"/>
  <c r="S676" i="7"/>
  <c r="U676" i="7" s="1"/>
  <c r="I1525" i="6"/>
  <c r="K709" i="6"/>
  <c r="M709" i="6" s="1"/>
  <c r="S841" i="7"/>
  <c r="U894" i="8"/>
  <c r="AF221" i="11" l="1"/>
  <c r="J222" i="11" s="1"/>
  <c r="C222" i="11"/>
  <c r="E222" i="11"/>
  <c r="D222" i="11"/>
  <c r="F222" i="11"/>
  <c r="T677" i="8"/>
  <c r="BK222" i="11"/>
  <c r="BJ222" i="11"/>
  <c r="BI222" i="11"/>
  <c r="BF222" i="11"/>
  <c r="BH222" i="11"/>
  <c r="BG222" i="11"/>
  <c r="BE222" i="11"/>
  <c r="BC273" i="11"/>
  <c r="BH272" i="11"/>
  <c r="BK272" i="11"/>
  <c r="BE272" i="11"/>
  <c r="BD273" i="11"/>
  <c r="BG272" i="11"/>
  <c r="BF272" i="11"/>
  <c r="BB273" i="11"/>
  <c r="BI272" i="11"/>
  <c r="BJ272" i="11"/>
  <c r="T236" i="7"/>
  <c r="P730" i="7"/>
  <c r="R132" i="6"/>
  <c r="S132" i="6"/>
  <c r="Q133" i="6" s="1"/>
  <c r="U677" i="8"/>
  <c r="P678" i="8" s="1"/>
  <c r="Q678" i="8" s="1"/>
  <c r="F831" i="8"/>
  <c r="U841" i="7"/>
  <c r="M896" i="6"/>
  <c r="G270" i="11"/>
  <c r="T179" i="12"/>
  <c r="U1005" i="8"/>
  <c r="P1006" i="8" s="1"/>
  <c r="R508" i="6"/>
  <c r="Q509" i="6" s="1"/>
  <c r="R509" i="6" s="1"/>
  <c r="M1213" i="6"/>
  <c r="L1213" i="6"/>
  <c r="F270" i="11"/>
  <c r="U125" i="12"/>
  <c r="P126" i="12" s="1"/>
  <c r="Q126" i="12" s="1"/>
  <c r="K897" i="6"/>
  <c r="L897" i="6" s="1"/>
  <c r="R234" i="8"/>
  <c r="S234" i="8"/>
  <c r="U234" i="8" s="1"/>
  <c r="R621" i="7"/>
  <c r="V621" i="7"/>
  <c r="L1412" i="6"/>
  <c r="S621" i="7"/>
  <c r="U621" i="7" s="1"/>
  <c r="L997" i="6"/>
  <c r="K854" i="6"/>
  <c r="M854" i="6" s="1"/>
  <c r="Q950" i="8"/>
  <c r="L1157" i="6"/>
  <c r="B832" i="8"/>
  <c r="P781" i="8" s="1"/>
  <c r="U565" i="7"/>
  <c r="K947" i="6"/>
  <c r="M947" i="6" s="1"/>
  <c r="P677" i="7"/>
  <c r="P126" i="7"/>
  <c r="P182" i="8"/>
  <c r="R321" i="6"/>
  <c r="T841" i="7"/>
  <c r="L1317" i="6"/>
  <c r="N47" i="9"/>
  <c r="Q47" i="9" s="1"/>
  <c r="R47" i="9" s="1"/>
  <c r="J885" i="8"/>
  <c r="K885" i="8" s="1"/>
  <c r="M1043" i="6"/>
  <c r="K1044" i="6" s="1"/>
  <c r="L1044" i="6" s="1"/>
  <c r="Q730" i="7"/>
  <c r="S730" i="7" s="1"/>
  <c r="P842" i="7"/>
  <c r="V620" i="8"/>
  <c r="S620" i="8"/>
  <c r="R620" i="8"/>
  <c r="Q290" i="7"/>
  <c r="R290" i="7" s="1"/>
  <c r="P236" i="12"/>
  <c r="P510" i="8"/>
  <c r="Q400" i="8"/>
  <c r="L1356" i="6"/>
  <c r="U345" i="8"/>
  <c r="R181" i="7"/>
  <c r="T181" i="7" s="1"/>
  <c r="S363" i="6"/>
  <c r="M2933" i="6"/>
  <c r="M2934" i="6" s="1"/>
  <c r="M2935" i="6" s="1"/>
  <c r="M2936" i="6" s="1"/>
  <c r="M2937" i="6" s="1"/>
  <c r="M2938" i="6" s="1"/>
  <c r="M2939" i="6" s="1"/>
  <c r="M2940" i="6" s="1"/>
  <c r="M2941" i="6" s="1"/>
  <c r="M2942" i="6" s="1"/>
  <c r="M2943" i="6" s="1"/>
  <c r="K2944" i="6" s="1"/>
  <c r="N2901" i="6" s="1"/>
  <c r="E270" i="11"/>
  <c r="T125" i="7"/>
  <c r="T235" i="12"/>
  <c r="P785" i="7"/>
  <c r="S416" i="6"/>
  <c r="Q417" i="6" s="1"/>
  <c r="R417" i="6" s="1"/>
  <c r="P291" i="8"/>
  <c r="Q291" i="8" s="1"/>
  <c r="S291" i="8" s="1"/>
  <c r="U345" i="7"/>
  <c r="U236" i="7"/>
  <c r="S181" i="7"/>
  <c r="Q895" i="7"/>
  <c r="S1060" i="8"/>
  <c r="V1060" i="8"/>
  <c r="K615" i="6"/>
  <c r="M615" i="6" s="1"/>
  <c r="M1116" i="6"/>
  <c r="M811" i="6"/>
  <c r="M812" i="6" s="1"/>
  <c r="M813" i="6" s="1"/>
  <c r="M814" i="6" s="1"/>
  <c r="M815" i="6" s="1"/>
  <c r="M816" i="6" s="1"/>
  <c r="M817" i="6" s="1"/>
  <c r="M818" i="6" s="1"/>
  <c r="M819" i="6" s="1"/>
  <c r="M820" i="6" s="1"/>
  <c r="M821" i="6" s="1"/>
  <c r="K822" i="6" s="1"/>
  <c r="N779" i="6" s="1"/>
  <c r="S47" i="9"/>
  <c r="U733" i="8"/>
  <c r="BO222" i="11"/>
  <c r="CR221" i="11"/>
  <c r="BV222" i="11" s="1"/>
  <c r="V234" i="8"/>
  <c r="L709" i="6"/>
  <c r="H1526" i="6"/>
  <c r="J1526" i="6" s="1"/>
  <c r="P399" i="7"/>
  <c r="Q399" i="7" s="1"/>
  <c r="V399" i="7" s="1"/>
  <c r="U179" i="12"/>
  <c r="S171" i="6"/>
  <c r="Q172" i="6" s="1"/>
  <c r="R172" i="6" s="1"/>
  <c r="V453" i="8"/>
  <c r="P454" i="8" s="1"/>
  <c r="Q454" i="8" s="1"/>
  <c r="T509" i="8"/>
  <c r="P895" i="8"/>
  <c r="Q895" i="8" s="1"/>
  <c r="L761" i="6"/>
  <c r="R1060" i="8"/>
  <c r="T676" i="7"/>
  <c r="Q565" i="8"/>
  <c r="R565" i="8" s="1"/>
  <c r="K1447" i="6"/>
  <c r="M1447" i="6" s="1"/>
  <c r="P509" i="7"/>
  <c r="Q509" i="7" s="1"/>
  <c r="V509" i="7" s="1"/>
  <c r="L670" i="6"/>
  <c r="L671" i="6" s="1"/>
  <c r="L672" i="6" s="1"/>
  <c r="L673" i="6" s="1"/>
  <c r="L674" i="6" s="1"/>
  <c r="L675" i="6" s="1"/>
  <c r="L676" i="6" s="1"/>
  <c r="L677" i="6" s="1"/>
  <c r="L678" i="6" s="1"/>
  <c r="L679" i="6" s="1"/>
  <c r="L680" i="6" s="1"/>
  <c r="K681" i="6" s="1"/>
  <c r="N638" i="6" s="1"/>
  <c r="K1253" i="6"/>
  <c r="L1253" i="6" s="1"/>
  <c r="O237" i="6"/>
  <c r="O238" i="6" s="1"/>
  <c r="O239" i="6" s="1"/>
  <c r="O240" i="6" s="1"/>
  <c r="O241" i="6" s="1"/>
  <c r="O242" i="6" s="1"/>
  <c r="O243" i="6" s="1"/>
  <c r="O244" i="6" s="1"/>
  <c r="O245" i="6" s="1"/>
  <c r="O246" i="6" s="1"/>
  <c r="O247" i="6" s="1"/>
  <c r="O248" i="6" s="1"/>
  <c r="O249" i="6" s="1"/>
  <c r="O250" i="6" s="1"/>
  <c r="O251" i="6" s="1"/>
  <c r="O252" i="6" s="1"/>
  <c r="O253" i="6" s="1"/>
  <c r="O254" i="6" s="1"/>
  <c r="O255" i="6" s="1"/>
  <c r="O256" i="6" s="1"/>
  <c r="O257" i="6" s="1"/>
  <c r="N258" i="6" s="1"/>
  <c r="Q215" i="6" s="1"/>
  <c r="S275" i="6"/>
  <c r="U288" i="12"/>
  <c r="T784" i="7"/>
  <c r="K1073" i="6"/>
  <c r="L1073" i="6" s="1"/>
  <c r="BP222" i="11"/>
  <c r="S457" i="6"/>
  <c r="Q458" i="6" s="1"/>
  <c r="R458" i="6" s="1"/>
  <c r="T181" i="8"/>
  <c r="V123" i="8"/>
  <c r="T1005" i="8"/>
  <c r="Q456" i="7"/>
  <c r="R456" i="7" s="1"/>
  <c r="R555" i="6"/>
  <c r="AI223" i="11" l="1"/>
  <c r="BL222" i="11"/>
  <c r="AP223" i="11" s="1"/>
  <c r="AK223" i="11"/>
  <c r="AM223" i="11"/>
  <c r="M1073" i="6"/>
  <c r="K1074" i="6" s="1"/>
  <c r="M1074" i="6" s="1"/>
  <c r="BL272" i="11"/>
  <c r="AP273" i="11" s="1"/>
  <c r="AJ273" i="11"/>
  <c r="AL273" i="11"/>
  <c r="H222" i="11"/>
  <c r="I222" i="11" s="1"/>
  <c r="M222" i="11" s="1"/>
  <c r="R222" i="11" s="1"/>
  <c r="K222" i="11"/>
  <c r="Q222" i="11" s="1"/>
  <c r="L222" i="11"/>
  <c r="AI273" i="11"/>
  <c r="M897" i="6"/>
  <c r="T1060" i="8"/>
  <c r="AJ223" i="11"/>
  <c r="AL223" i="11"/>
  <c r="G222" i="11"/>
  <c r="T620" i="8"/>
  <c r="R133" i="6"/>
  <c r="S133" i="6"/>
  <c r="K1214" i="6"/>
  <c r="M1214" i="6" s="1"/>
  <c r="BS222" i="11"/>
  <c r="K898" i="6"/>
  <c r="L898" i="6" s="1"/>
  <c r="R454" i="8"/>
  <c r="S454" i="8"/>
  <c r="U454" i="8" s="1"/>
  <c r="S678" i="8"/>
  <c r="V678" i="8"/>
  <c r="R678" i="8"/>
  <c r="T678" i="8" s="1"/>
  <c r="G47" i="9"/>
  <c r="F47" i="9"/>
  <c r="E47" i="9"/>
  <c r="O781" i="6"/>
  <c r="V126" i="12"/>
  <c r="S126" i="12"/>
  <c r="R126" i="12"/>
  <c r="T126" i="12" s="1"/>
  <c r="Q785" i="7"/>
  <c r="K710" i="6"/>
  <c r="M710" i="6" s="1"/>
  <c r="P237" i="7"/>
  <c r="Q237" i="7" s="1"/>
  <c r="S237" i="7" s="1"/>
  <c r="P346" i="8"/>
  <c r="Q346" i="8" s="1"/>
  <c r="S346" i="8" s="1"/>
  <c r="P734" i="8"/>
  <c r="Q734" i="8" s="1"/>
  <c r="P622" i="7"/>
  <c r="Q510" i="8"/>
  <c r="S364" i="6"/>
  <c r="K1413" i="6"/>
  <c r="M1413" i="6" s="1"/>
  <c r="Q1006" i="8"/>
  <c r="R217" i="6"/>
  <c r="V288" i="12"/>
  <c r="K1254" i="6"/>
  <c r="L1254" i="6" s="1"/>
  <c r="Q182" i="8"/>
  <c r="Q677" i="7"/>
  <c r="P235" i="8"/>
  <c r="L947" i="6"/>
  <c r="R399" i="7"/>
  <c r="S399" i="7"/>
  <c r="U399" i="7" s="1"/>
  <c r="V950" i="8"/>
  <c r="S950" i="8"/>
  <c r="Q364" i="6"/>
  <c r="R364" i="6" s="1"/>
  <c r="M898" i="6"/>
  <c r="V895" i="7"/>
  <c r="S895" i="7"/>
  <c r="Q126" i="7"/>
  <c r="R126" i="7" s="1"/>
  <c r="Q842" i="7"/>
  <c r="K1117" i="6"/>
  <c r="L1117" i="6" s="1"/>
  <c r="R291" i="8"/>
  <c r="T291" i="8" s="1"/>
  <c r="V291" i="8"/>
  <c r="S172" i="6"/>
  <c r="Q173" i="6" s="1"/>
  <c r="R173" i="6" s="1"/>
  <c r="U1060" i="8"/>
  <c r="V400" i="8"/>
  <c r="S400" i="8"/>
  <c r="P566" i="7"/>
  <c r="Q566" i="7" s="1"/>
  <c r="S509" i="6"/>
  <c r="Q510" i="6" s="1"/>
  <c r="R510" i="6" s="1"/>
  <c r="Q236" i="12"/>
  <c r="R236" i="12" s="1"/>
  <c r="R400" i="8"/>
  <c r="V730" i="7"/>
  <c r="Q556" i="6"/>
  <c r="S556" i="6" s="1"/>
  <c r="BR222" i="11"/>
  <c r="L1447" i="6"/>
  <c r="R895" i="8"/>
  <c r="V895" i="8"/>
  <c r="R895" i="7"/>
  <c r="H270" i="11"/>
  <c r="I270" i="11" s="1"/>
  <c r="Q322" i="6"/>
  <c r="S322" i="6" s="1"/>
  <c r="L854" i="6"/>
  <c r="P346" i="7"/>
  <c r="Q346" i="7" s="1"/>
  <c r="S565" i="8"/>
  <c r="U565" i="8" s="1"/>
  <c r="V565" i="8"/>
  <c r="L615" i="6"/>
  <c r="K1357" i="6"/>
  <c r="M1357" i="6" s="1"/>
  <c r="M1044" i="6"/>
  <c r="K1045" i="6" s="1"/>
  <c r="L1045" i="6" s="1"/>
  <c r="O885" i="8"/>
  <c r="L885" i="8"/>
  <c r="N885" i="8" s="1"/>
  <c r="P180" i="12"/>
  <c r="Q180" i="12" s="1"/>
  <c r="S180" i="12" s="1"/>
  <c r="S417" i="6"/>
  <c r="Q418" i="6" s="1"/>
  <c r="R418" i="6" s="1"/>
  <c r="T234" i="8"/>
  <c r="O2903" i="6"/>
  <c r="R509" i="7"/>
  <c r="S509" i="7"/>
  <c r="U509" i="7" s="1"/>
  <c r="V290" i="7"/>
  <c r="S290" i="7"/>
  <c r="U290" i="7" s="1"/>
  <c r="R950" i="8"/>
  <c r="T950" i="8" s="1"/>
  <c r="S458" i="6"/>
  <c r="Q459" i="6" s="1"/>
  <c r="R459" i="6" s="1"/>
  <c r="I1526" i="6"/>
  <c r="H1527" i="6" s="1"/>
  <c r="K1484" i="6" s="1"/>
  <c r="T783" i="8"/>
  <c r="S895" i="8"/>
  <c r="U181" i="7"/>
  <c r="U620" i="8"/>
  <c r="M1253" i="6"/>
  <c r="Q276" i="6"/>
  <c r="R276" i="6" s="1"/>
  <c r="V454" i="8"/>
  <c r="R730" i="7"/>
  <c r="T730" i="7" s="1"/>
  <c r="T621" i="7"/>
  <c r="P124" i="8"/>
  <c r="Q124" i="8" s="1"/>
  <c r="V124" i="8" s="1"/>
  <c r="O640" i="6"/>
  <c r="BQ222" i="11"/>
  <c r="M1157" i="6"/>
  <c r="K762" i="6"/>
  <c r="M762" i="6" s="1"/>
  <c r="K1318" i="6"/>
  <c r="M1318" i="6" s="1"/>
  <c r="V456" i="7"/>
  <c r="S456" i="7"/>
  <c r="U456" i="7" s="1"/>
  <c r="K998" i="6"/>
  <c r="M998" i="6" s="1"/>
  <c r="T222" i="11" l="1"/>
  <c r="Q134" i="6"/>
  <c r="R134" i="6" s="1"/>
  <c r="O222" i="11"/>
  <c r="S222" i="11" s="1"/>
  <c r="P222" i="11"/>
  <c r="N222" i="11"/>
  <c r="U222" i="11" s="1"/>
  <c r="S276" i="6"/>
  <c r="Q277" i="6" s="1"/>
  <c r="S277" i="6" s="1"/>
  <c r="T400" i="8"/>
  <c r="AN223" i="11"/>
  <c r="AO223" i="11" s="1"/>
  <c r="AV223" i="11" s="1"/>
  <c r="AR223" i="11"/>
  <c r="U895" i="8"/>
  <c r="M885" i="8"/>
  <c r="AM273" i="11"/>
  <c r="AK273" i="11"/>
  <c r="L1357" i="6"/>
  <c r="L1214" i="6"/>
  <c r="T509" i="7"/>
  <c r="T895" i="7"/>
  <c r="P270" i="11"/>
  <c r="M270" i="11"/>
  <c r="R270" i="11" s="1"/>
  <c r="N270" i="11"/>
  <c r="O270" i="11"/>
  <c r="S270" i="11" s="1"/>
  <c r="K270" i="11"/>
  <c r="Q270" i="11" s="1"/>
  <c r="L270" i="11"/>
  <c r="Q460" i="6"/>
  <c r="R460" i="6" s="1"/>
  <c r="K899" i="6"/>
  <c r="L899" i="6" s="1"/>
  <c r="Q622" i="7"/>
  <c r="R622" i="7" s="1"/>
  <c r="K1358" i="6"/>
  <c r="L1358" i="6" s="1"/>
  <c r="K1448" i="6"/>
  <c r="M1448" i="6" s="1"/>
  <c r="V785" i="7"/>
  <c r="S785" i="7"/>
  <c r="P781" i="6"/>
  <c r="L1413" i="6"/>
  <c r="P457" i="7"/>
  <c r="P291" i="7"/>
  <c r="V510" i="8"/>
  <c r="S510" i="8"/>
  <c r="U510" i="8" s="1"/>
  <c r="R346" i="7"/>
  <c r="V346" i="7"/>
  <c r="U291" i="8"/>
  <c r="P400" i="7"/>
  <c r="R734" i="8"/>
  <c r="V734" i="8"/>
  <c r="S418" i="6"/>
  <c r="K948" i="6"/>
  <c r="M948" i="6" s="1"/>
  <c r="S734" i="8"/>
  <c r="U734" i="8" s="1"/>
  <c r="V566" i="7"/>
  <c r="R566" i="7"/>
  <c r="T566" i="7" s="1"/>
  <c r="U400" i="8"/>
  <c r="N782" i="6"/>
  <c r="O782" i="6" s="1"/>
  <c r="P182" i="7"/>
  <c r="Q182" i="7" s="1"/>
  <c r="I886" i="8"/>
  <c r="J886" i="8" s="1"/>
  <c r="S126" i="7"/>
  <c r="U126" i="7" s="1"/>
  <c r="V126" i="7"/>
  <c r="L1486" i="6"/>
  <c r="S459" i="6"/>
  <c r="S182" i="8"/>
  <c r="V182" i="8"/>
  <c r="L1074" i="6"/>
  <c r="S365" i="6"/>
  <c r="P566" i="8"/>
  <c r="R556" i="6"/>
  <c r="S346" i="7"/>
  <c r="L1318" i="6"/>
  <c r="K855" i="6"/>
  <c r="M855" i="6" s="1"/>
  <c r="L762" i="6"/>
  <c r="T456" i="7"/>
  <c r="V842" i="7"/>
  <c r="S842" i="7"/>
  <c r="R180" i="12"/>
  <c r="T180" i="12" s="1"/>
  <c r="V180" i="12"/>
  <c r="R842" i="7"/>
  <c r="U730" i="7"/>
  <c r="K1158" i="6"/>
  <c r="L1158" i="6" s="1"/>
  <c r="S566" i="7"/>
  <c r="P621" i="8"/>
  <c r="Q621" i="8" s="1"/>
  <c r="S621" i="8" s="1"/>
  <c r="H47" i="9"/>
  <c r="I47" i="9" s="1"/>
  <c r="L48" i="9"/>
  <c r="L998" i="6"/>
  <c r="P896" i="8"/>
  <c r="S677" i="7"/>
  <c r="V677" i="7"/>
  <c r="S217" i="6"/>
  <c r="V237" i="7"/>
  <c r="R237" i="7"/>
  <c r="T237" i="7" s="1"/>
  <c r="T290" i="7"/>
  <c r="K616" i="6"/>
  <c r="M616" i="6" s="1"/>
  <c r="R785" i="7"/>
  <c r="R182" i="8"/>
  <c r="T182" i="8" s="1"/>
  <c r="P2903" i="6"/>
  <c r="U950" i="8"/>
  <c r="P510" i="7"/>
  <c r="Q510" i="7" s="1"/>
  <c r="V236" i="12"/>
  <c r="S236" i="12"/>
  <c r="U236" i="12" s="1"/>
  <c r="M1117" i="6"/>
  <c r="K1118" i="6" s="1"/>
  <c r="L1118" i="6" s="1"/>
  <c r="Q235" i="8"/>
  <c r="U126" i="12"/>
  <c r="S510" i="6"/>
  <c r="Q511" i="6" s="1"/>
  <c r="R511" i="6" s="1"/>
  <c r="V346" i="8"/>
  <c r="R346" i="8"/>
  <c r="T346" i="8" s="1"/>
  <c r="T454" i="8"/>
  <c r="M1254" i="6"/>
  <c r="P640" i="6"/>
  <c r="P289" i="12"/>
  <c r="Q289" i="12" s="1"/>
  <c r="BT222" i="11"/>
  <c r="BU222" i="11" s="1"/>
  <c r="U783" i="8"/>
  <c r="M1045" i="6"/>
  <c r="K1046" i="6" s="1"/>
  <c r="L1046" i="6" s="1"/>
  <c r="L1047" i="6" s="1"/>
  <c r="L1048" i="6" s="1"/>
  <c r="L1049" i="6" s="1"/>
  <c r="L1050" i="6" s="1"/>
  <c r="L1051" i="6" s="1"/>
  <c r="L1052" i="6" s="1"/>
  <c r="L1053" i="6" s="1"/>
  <c r="L1054" i="6" s="1"/>
  <c r="L1055" i="6" s="1"/>
  <c r="L1056" i="6" s="1"/>
  <c r="P1061" i="8"/>
  <c r="Q1061" i="8" s="1"/>
  <c r="U895" i="7"/>
  <c r="R677" i="7"/>
  <c r="V1006" i="8"/>
  <c r="S1006" i="8"/>
  <c r="Q365" i="6"/>
  <c r="R365" i="6" s="1"/>
  <c r="R510" i="8"/>
  <c r="T399" i="7"/>
  <c r="U678" i="8"/>
  <c r="R322" i="6"/>
  <c r="P455" i="8"/>
  <c r="R124" i="8"/>
  <c r="S124" i="8"/>
  <c r="T895" i="8"/>
  <c r="S173" i="6"/>
  <c r="Q174" i="6" s="1"/>
  <c r="R174" i="6" s="1"/>
  <c r="R1006" i="8"/>
  <c r="L710" i="6"/>
  <c r="T565" i="8"/>
  <c r="W222" i="11" l="1"/>
  <c r="AT223" i="11"/>
  <c r="V222" i="11"/>
  <c r="AN273" i="11"/>
  <c r="AO273" i="11" s="1"/>
  <c r="X222" i="11"/>
  <c r="AG222" i="11" s="1"/>
  <c r="S134" i="6"/>
  <c r="Q135" i="6" s="1"/>
  <c r="R135" i="6" s="1"/>
  <c r="T126" i="7"/>
  <c r="T677" i="7"/>
  <c r="M1358" i="6"/>
  <c r="K1359" i="6" s="1"/>
  <c r="L1359" i="6" s="1"/>
  <c r="AS223" i="11"/>
  <c r="AX223" i="11" s="1"/>
  <c r="BA223" i="11" s="1"/>
  <c r="BC223" i="11" s="1"/>
  <c r="AQ223" i="11"/>
  <c r="AW223" i="11" s="1"/>
  <c r="AU223" i="11"/>
  <c r="AY223" i="11" s="1"/>
  <c r="BD223" i="11" s="1"/>
  <c r="T785" i="7"/>
  <c r="U124" i="8"/>
  <c r="T346" i="7"/>
  <c r="R277" i="6"/>
  <c r="K1215" i="6"/>
  <c r="M1215" i="6" s="1"/>
  <c r="L1215" i="6"/>
  <c r="U842" i="7"/>
  <c r="P843" i="7" s="1"/>
  <c r="U1006" i="8"/>
  <c r="Q366" i="6"/>
  <c r="R366" i="6" s="1"/>
  <c r="V510" i="7"/>
  <c r="R510" i="7"/>
  <c r="S510" i="7"/>
  <c r="U510" i="7" s="1"/>
  <c r="CB222" i="11"/>
  <c r="CA222" i="11"/>
  <c r="CE222" i="11" s="1"/>
  <c r="BX222" i="11"/>
  <c r="BY222" i="11"/>
  <c r="CD222" i="11" s="1"/>
  <c r="BW222" i="11"/>
  <c r="CC222" i="11" s="1"/>
  <c r="BZ222" i="11"/>
  <c r="L886" i="8"/>
  <c r="O886" i="8"/>
  <c r="K886" i="8"/>
  <c r="Q512" i="6"/>
  <c r="R512" i="6" s="1"/>
  <c r="T124" i="8"/>
  <c r="V182" i="7"/>
  <c r="R182" i="7"/>
  <c r="M899" i="6"/>
  <c r="K900" i="6" s="1"/>
  <c r="L900" i="6" s="1"/>
  <c r="P1007" i="8"/>
  <c r="K999" i="6"/>
  <c r="M999" i="6" s="1"/>
  <c r="M1000" i="6" s="1"/>
  <c r="M1001" i="6" s="1"/>
  <c r="M1002" i="6" s="1"/>
  <c r="M1003" i="6" s="1"/>
  <c r="M1004" i="6" s="1"/>
  <c r="M1005" i="6" s="1"/>
  <c r="M1006" i="6" s="1"/>
  <c r="M1007" i="6" s="1"/>
  <c r="M1008" i="6" s="1"/>
  <c r="M1009" i="6" s="1"/>
  <c r="Q400" i="7"/>
  <c r="Q457" i="7"/>
  <c r="R457" i="7" s="1"/>
  <c r="P896" i="7"/>
  <c r="Q896" i="7" s="1"/>
  <c r="S896" i="7"/>
  <c r="R1061" i="8"/>
  <c r="V1061" i="8"/>
  <c r="T270" i="11"/>
  <c r="W270" i="11"/>
  <c r="V270" i="11"/>
  <c r="S1061" i="8"/>
  <c r="U1061" i="8" s="1"/>
  <c r="U237" i="7"/>
  <c r="V783" i="8"/>
  <c r="P784" i="8" s="1"/>
  <c r="Q784" i="8" s="1"/>
  <c r="U677" i="7"/>
  <c r="P731" i="7"/>
  <c r="Q731" i="7" s="1"/>
  <c r="L948" i="6"/>
  <c r="T842" i="7"/>
  <c r="K1319" i="6"/>
  <c r="M1319" i="6" s="1"/>
  <c r="U182" i="8"/>
  <c r="L1448" i="6"/>
  <c r="U346" i="8"/>
  <c r="Q278" i="6"/>
  <c r="R278" i="6" s="1"/>
  <c r="Q557" i="6"/>
  <c r="S557" i="6" s="1"/>
  <c r="P679" i="8"/>
  <c r="Q679" i="8" s="1"/>
  <c r="S679" i="8" s="1"/>
  <c r="S366" i="6"/>
  <c r="K1075" i="6"/>
  <c r="M1075" i="6" s="1"/>
  <c r="P292" i="8"/>
  <c r="Q292" i="8" s="1"/>
  <c r="Q566" i="8"/>
  <c r="R566" i="8" s="1"/>
  <c r="S511" i="6"/>
  <c r="U785" i="7"/>
  <c r="M1158" i="6"/>
  <c r="K1159" i="6" s="1"/>
  <c r="L1159" i="6" s="1"/>
  <c r="Q218" i="6"/>
  <c r="R218" i="6" s="1"/>
  <c r="P511" i="8"/>
  <c r="S174" i="6"/>
  <c r="Q175" i="6" s="1"/>
  <c r="R175" i="6" s="1"/>
  <c r="M1118" i="6"/>
  <c r="L616" i="6"/>
  <c r="S460" i="6"/>
  <c r="Q461" i="6" s="1"/>
  <c r="R461" i="6" s="1"/>
  <c r="P127" i="7"/>
  <c r="Q127" i="7" s="1"/>
  <c r="T236" i="12"/>
  <c r="R289" i="12"/>
  <c r="S289" i="12"/>
  <c r="Q291" i="7"/>
  <c r="N641" i="6"/>
  <c r="O641" i="6" s="1"/>
  <c r="S182" i="7"/>
  <c r="M48" i="9"/>
  <c r="P48" i="9" s="1"/>
  <c r="Q455" i="8"/>
  <c r="P401" i="8"/>
  <c r="Q401" i="8" s="1"/>
  <c r="N2904" i="6"/>
  <c r="O2904" i="6" s="1"/>
  <c r="U566" i="7"/>
  <c r="P782" i="6"/>
  <c r="K711" i="6"/>
  <c r="M711" i="6" s="1"/>
  <c r="M1046" i="6"/>
  <c r="M1047" i="6" s="1"/>
  <c r="M1048" i="6" s="1"/>
  <c r="M1049" i="6" s="1"/>
  <c r="M1050" i="6" s="1"/>
  <c r="M1051" i="6" s="1"/>
  <c r="M1052" i="6" s="1"/>
  <c r="M1053" i="6" s="1"/>
  <c r="M1054" i="6" s="1"/>
  <c r="M1055" i="6" s="1"/>
  <c r="M1056" i="6" s="1"/>
  <c r="K1057" i="6" s="1"/>
  <c r="N1014" i="6" s="1"/>
  <c r="P735" i="8"/>
  <c r="T1006" i="8"/>
  <c r="S235" i="8"/>
  <c r="V235" i="8"/>
  <c r="L855" i="6"/>
  <c r="T510" i="8"/>
  <c r="R235" i="8"/>
  <c r="T235" i="8" s="1"/>
  <c r="Q896" i="8"/>
  <c r="R896" i="8" s="1"/>
  <c r="P237" i="12"/>
  <c r="U346" i="7"/>
  <c r="T734" i="8"/>
  <c r="Q419" i="6"/>
  <c r="R419" i="6" s="1"/>
  <c r="P125" i="8"/>
  <c r="Q323" i="6"/>
  <c r="S323" i="6" s="1"/>
  <c r="P951" i="8"/>
  <c r="Q951" i="8" s="1"/>
  <c r="O48" i="9"/>
  <c r="K763" i="6"/>
  <c r="M763" i="6" s="1"/>
  <c r="K1414" i="6"/>
  <c r="M1414" i="6" s="1"/>
  <c r="V621" i="8"/>
  <c r="R621" i="8"/>
  <c r="T621" i="8" s="1"/>
  <c r="V289" i="12"/>
  <c r="M1486" i="6"/>
  <c r="P127" i="12"/>
  <c r="Q127" i="12" s="1"/>
  <c r="S127" i="12"/>
  <c r="U270" i="11"/>
  <c r="X270" i="11" s="1"/>
  <c r="K1255" i="6"/>
  <c r="L1255" i="6" s="1"/>
  <c r="S622" i="7"/>
  <c r="U622" i="7" s="1"/>
  <c r="V622" i="7"/>
  <c r="U180" i="12"/>
  <c r="AS273" i="11" l="1"/>
  <c r="AX273" i="11" s="1"/>
  <c r="AT273" i="11"/>
  <c r="AR273" i="11"/>
  <c r="AQ273" i="11"/>
  <c r="AW273" i="11" s="1"/>
  <c r="AZ273" i="11" s="1"/>
  <c r="AU273" i="11"/>
  <c r="AY273" i="11" s="1"/>
  <c r="AV273" i="11"/>
  <c r="AC222" i="11"/>
  <c r="AD222" i="11"/>
  <c r="Y222" i="11"/>
  <c r="AB222" i="11"/>
  <c r="AE222" i="11"/>
  <c r="AA222" i="11"/>
  <c r="D223" i="11" s="1"/>
  <c r="Z222" i="11"/>
  <c r="N886" i="8"/>
  <c r="S135" i="6"/>
  <c r="Q136" i="6" s="1"/>
  <c r="R136" i="6" s="1"/>
  <c r="AZ223" i="11"/>
  <c r="BB223" i="11"/>
  <c r="BM223" i="11"/>
  <c r="P2904" i="6"/>
  <c r="N2905" i="6" s="1"/>
  <c r="P2905" i="6" s="1"/>
  <c r="R557" i="6"/>
  <c r="L1414" i="6"/>
  <c r="U182" i="7"/>
  <c r="K1216" i="6"/>
  <c r="L1216" i="6"/>
  <c r="M1216" i="6"/>
  <c r="U621" i="8"/>
  <c r="N48" i="9"/>
  <c r="Q48" i="9" s="1"/>
  <c r="R48" i="9" s="1"/>
  <c r="U289" i="12"/>
  <c r="P290" i="12" s="1"/>
  <c r="O1016" i="6"/>
  <c r="R127" i="7"/>
  <c r="S127" i="7"/>
  <c r="V127" i="7"/>
  <c r="R784" i="8"/>
  <c r="S784" i="8"/>
  <c r="U784" i="8" s="1"/>
  <c r="Q367" i="6"/>
  <c r="R367" i="6" s="1"/>
  <c r="P1062" i="8"/>
  <c r="Q735" i="8"/>
  <c r="K1256" i="6"/>
  <c r="L1256" i="6" s="1"/>
  <c r="V455" i="8"/>
  <c r="S455" i="8"/>
  <c r="S48" i="9"/>
  <c r="K1449" i="6"/>
  <c r="M1449" i="6" s="1"/>
  <c r="S218" i="6"/>
  <c r="M1255" i="6"/>
  <c r="P183" i="8"/>
  <c r="Q183" i="8" s="1"/>
  <c r="S278" i="6"/>
  <c r="T1061" i="8"/>
  <c r="P511" i="7"/>
  <c r="Q511" i="8"/>
  <c r="R511" i="8" s="1"/>
  <c r="K1415" i="6"/>
  <c r="M1415" i="6" s="1"/>
  <c r="M1359" i="6"/>
  <c r="K1360" i="6" s="1"/>
  <c r="L1360" i="6" s="1"/>
  <c r="Q1007" i="8"/>
  <c r="P347" i="7"/>
  <c r="Q347" i="7" s="1"/>
  <c r="P183" i="7"/>
  <c r="P347" i="8"/>
  <c r="Q347" i="8" s="1"/>
  <c r="S347" i="8"/>
  <c r="P622" i="8"/>
  <c r="Q622" i="8" s="1"/>
  <c r="R455" i="8"/>
  <c r="AG270" i="11"/>
  <c r="V400" i="7"/>
  <c r="S400" i="7"/>
  <c r="R951" i="8"/>
  <c r="V951" i="8"/>
  <c r="L1075" i="6"/>
  <c r="R400" i="7"/>
  <c r="T400" i="7" s="1"/>
  <c r="CG222" i="11"/>
  <c r="S951" i="8"/>
  <c r="U951" i="8" s="1"/>
  <c r="Q219" i="6"/>
  <c r="R219" i="6" s="1"/>
  <c r="K1487" i="6"/>
  <c r="L1487" i="6" s="1"/>
  <c r="S367" i="6"/>
  <c r="P567" i="7"/>
  <c r="Q567" i="7" s="1"/>
  <c r="S567" i="7" s="1"/>
  <c r="L1319" i="6"/>
  <c r="R896" i="7"/>
  <c r="T896" i="7" s="1"/>
  <c r="V896" i="7"/>
  <c r="K856" i="6"/>
  <c r="M856" i="6" s="1"/>
  <c r="P678" i="7"/>
  <c r="Q678" i="7" s="1"/>
  <c r="S678" i="7"/>
  <c r="L763" i="6"/>
  <c r="P641" i="6"/>
  <c r="N642" i="6" s="1"/>
  <c r="O642" i="6" s="1"/>
  <c r="V784" i="8"/>
  <c r="CF222" i="11"/>
  <c r="CJ222" i="11"/>
  <c r="CI222" i="11"/>
  <c r="CH222" i="11"/>
  <c r="V291" i="7"/>
  <c r="S291" i="7"/>
  <c r="S419" i="6"/>
  <c r="R127" i="12"/>
  <c r="T127" i="12" s="1"/>
  <c r="V127" i="12"/>
  <c r="R291" i="7"/>
  <c r="S896" i="8"/>
  <c r="U896" i="8" s="1"/>
  <c r="V896" i="8"/>
  <c r="P786" i="7"/>
  <c r="Q786" i="7" s="1"/>
  <c r="S786" i="7"/>
  <c r="Q843" i="7"/>
  <c r="M900" i="6"/>
  <c r="T510" i="7"/>
  <c r="R323" i="6"/>
  <c r="T182" i="7"/>
  <c r="P181" i="12"/>
  <c r="Q181" i="12" s="1"/>
  <c r="S461" i="6"/>
  <c r="Q462" i="6" s="1"/>
  <c r="R462" i="6" s="1"/>
  <c r="K949" i="6"/>
  <c r="M949" i="6" s="1"/>
  <c r="Q125" i="8"/>
  <c r="R125" i="8" s="1"/>
  <c r="N783" i="6"/>
  <c r="O783" i="6" s="1"/>
  <c r="U235" i="8"/>
  <c r="V401" i="8"/>
  <c r="R401" i="8"/>
  <c r="Q558" i="6"/>
  <c r="S558" i="6" s="1"/>
  <c r="R731" i="7"/>
  <c r="V731" i="7"/>
  <c r="V566" i="8"/>
  <c r="S566" i="8"/>
  <c r="U566" i="8" s="1"/>
  <c r="S175" i="6"/>
  <c r="V292" i="8"/>
  <c r="R292" i="8"/>
  <c r="S292" i="8"/>
  <c r="L711" i="6"/>
  <c r="M1159" i="6"/>
  <c r="P238" i="7"/>
  <c r="Q238" i="7" s="1"/>
  <c r="L999" i="6"/>
  <c r="L1000" i="6" s="1"/>
  <c r="L1001" i="6" s="1"/>
  <c r="L1002" i="6" s="1"/>
  <c r="L1003" i="6" s="1"/>
  <c r="L1004" i="6" s="1"/>
  <c r="L1005" i="6" s="1"/>
  <c r="L1006" i="6" s="1"/>
  <c r="L1007" i="6" s="1"/>
  <c r="L1008" i="6" s="1"/>
  <c r="L1009" i="6" s="1"/>
  <c r="K1010" i="6" s="1"/>
  <c r="N967" i="6" s="1"/>
  <c r="T289" i="12"/>
  <c r="Q237" i="12"/>
  <c r="R237" i="12" s="1"/>
  <c r="V679" i="8"/>
  <c r="R679" i="8"/>
  <c r="T679" i="8" s="1"/>
  <c r="K1119" i="6"/>
  <c r="L1119" i="6" s="1"/>
  <c r="P623" i="7"/>
  <c r="S401" i="8"/>
  <c r="K617" i="6"/>
  <c r="M617" i="6" s="1"/>
  <c r="S512" i="6"/>
  <c r="T622" i="7"/>
  <c r="S731" i="7"/>
  <c r="S457" i="7"/>
  <c r="U457" i="7" s="1"/>
  <c r="V457" i="7"/>
  <c r="M886" i="8"/>
  <c r="I887" i="8" l="1"/>
  <c r="P836" i="8" s="1"/>
  <c r="BE223" i="11"/>
  <c r="BJ223" i="11"/>
  <c r="BI223" i="11"/>
  <c r="BK223" i="11"/>
  <c r="BG223" i="11"/>
  <c r="BH223" i="11"/>
  <c r="BF223" i="11"/>
  <c r="S136" i="6"/>
  <c r="Q137" i="6" s="1"/>
  <c r="C223" i="11"/>
  <c r="AF222" i="11"/>
  <c r="U292" i="8"/>
  <c r="P293" i="8" s="1"/>
  <c r="BA273" i="11"/>
  <c r="BM273" i="11" s="1"/>
  <c r="U896" i="7"/>
  <c r="U679" i="8"/>
  <c r="M1119" i="6"/>
  <c r="K1217" i="6"/>
  <c r="M1217" i="6" s="1"/>
  <c r="L1217" i="6"/>
  <c r="T896" i="8"/>
  <c r="U731" i="7"/>
  <c r="P732" i="7" s="1"/>
  <c r="U401" i="8"/>
  <c r="P402" i="8" s="1"/>
  <c r="U291" i="7"/>
  <c r="P292" i="7" s="1"/>
  <c r="T455" i="8"/>
  <c r="U127" i="7"/>
  <c r="P128" i="7" s="1"/>
  <c r="Q368" i="6"/>
  <c r="R368" i="6" s="1"/>
  <c r="N643" i="6"/>
  <c r="O643" i="6" s="1"/>
  <c r="V622" i="8"/>
  <c r="S622" i="8"/>
  <c r="R622" i="8"/>
  <c r="Q463" i="6"/>
  <c r="R463" i="6" s="1"/>
  <c r="K764" i="6"/>
  <c r="M764" i="6" s="1"/>
  <c r="M765" i="6" s="1"/>
  <c r="M766" i="6" s="1"/>
  <c r="M767" i="6" s="1"/>
  <c r="M768" i="6" s="1"/>
  <c r="M769" i="6" s="1"/>
  <c r="M770" i="6" s="1"/>
  <c r="M771" i="6" s="1"/>
  <c r="M772" i="6" s="1"/>
  <c r="M773" i="6" s="1"/>
  <c r="M774" i="6" s="1"/>
  <c r="O969" i="6"/>
  <c r="AC270" i="11"/>
  <c r="AB270" i="11"/>
  <c r="AA270" i="11"/>
  <c r="AE270" i="11"/>
  <c r="Z270" i="11"/>
  <c r="AD270" i="11"/>
  <c r="Y270" i="11"/>
  <c r="R238" i="7"/>
  <c r="V238" i="7"/>
  <c r="S238" i="7"/>
  <c r="R678" i="7"/>
  <c r="T678" i="7" s="1"/>
  <c r="V678" i="7"/>
  <c r="S843" i="7"/>
  <c r="V843" i="7"/>
  <c r="M1487" i="6"/>
  <c r="K1488" i="6" s="1"/>
  <c r="L1488" i="6" s="1"/>
  <c r="L949" i="6"/>
  <c r="U127" i="12"/>
  <c r="Q324" i="6"/>
  <c r="S324" i="6" s="1"/>
  <c r="P458" i="7"/>
  <c r="Q511" i="7"/>
  <c r="P783" i="6"/>
  <c r="N784" i="6" s="1"/>
  <c r="O784" i="6" s="1"/>
  <c r="L1415" i="6"/>
  <c r="Q420" i="6"/>
  <c r="R420" i="6" s="1"/>
  <c r="Q623" i="7"/>
  <c r="R558" i="6"/>
  <c r="K712" i="6"/>
  <c r="M712" i="6" s="1"/>
  <c r="K1160" i="6"/>
  <c r="L1160" i="6" s="1"/>
  <c r="V347" i="8"/>
  <c r="R347" i="8"/>
  <c r="T347" i="8" s="1"/>
  <c r="CS222" i="11"/>
  <c r="L856" i="6"/>
  <c r="V347" i="7"/>
  <c r="R347" i="7"/>
  <c r="T347" i="7" s="1"/>
  <c r="K1120" i="6"/>
  <c r="L1120" i="6" s="1"/>
  <c r="T401" i="8"/>
  <c r="S1007" i="8"/>
  <c r="V1007" i="8"/>
  <c r="P1016" i="6"/>
  <c r="N1017" i="6" s="1"/>
  <c r="O1017" i="6" s="1"/>
  <c r="Q290" i="12"/>
  <c r="V125" i="8"/>
  <c r="S125" i="8"/>
  <c r="U125" i="8" s="1"/>
  <c r="V511" i="8"/>
  <c r="S511" i="8"/>
  <c r="U511" i="8" s="1"/>
  <c r="T731" i="7"/>
  <c r="T127" i="7"/>
  <c r="R843" i="7"/>
  <c r="V786" i="7"/>
  <c r="R786" i="7"/>
  <c r="T786" i="7" s="1"/>
  <c r="L1449" i="6"/>
  <c r="P680" i="8"/>
  <c r="Q680" i="8" s="1"/>
  <c r="Q1062" i="8"/>
  <c r="R1062" i="8" s="1"/>
  <c r="P897" i="7"/>
  <c r="Q897" i="7" s="1"/>
  <c r="R897" i="7" s="1"/>
  <c r="P952" i="8"/>
  <c r="U455" i="8"/>
  <c r="K901" i="6"/>
  <c r="L901" i="6" s="1"/>
  <c r="K1076" i="6"/>
  <c r="M1076" i="6" s="1"/>
  <c r="Q513" i="6"/>
  <c r="R513" i="6" s="1"/>
  <c r="R181" i="12"/>
  <c r="V181" i="12"/>
  <c r="K1320" i="6"/>
  <c r="M1320" i="6" s="1"/>
  <c r="T951" i="8"/>
  <c r="R1007" i="8"/>
  <c r="M1256" i="6"/>
  <c r="K1257" i="6" s="1"/>
  <c r="L1257" i="6" s="1"/>
  <c r="V735" i="8"/>
  <c r="S735" i="8"/>
  <c r="Q176" i="6"/>
  <c r="R176" i="6" s="1"/>
  <c r="P785" i="8"/>
  <c r="T292" i="8"/>
  <c r="R183" i="8"/>
  <c r="V183" i="8"/>
  <c r="S347" i="7"/>
  <c r="S183" i="8"/>
  <c r="U183" i="8" s="1"/>
  <c r="P567" i="8"/>
  <c r="P236" i="8"/>
  <c r="Q236" i="8" s="1"/>
  <c r="S236" i="8"/>
  <c r="S181" i="12"/>
  <c r="U181" i="12" s="1"/>
  <c r="P897" i="8"/>
  <c r="Q897" i="8" s="1"/>
  <c r="U400" i="7"/>
  <c r="M1360" i="6"/>
  <c r="K1361" i="6" s="1"/>
  <c r="L1361" i="6" s="1"/>
  <c r="S219" i="6"/>
  <c r="Q220" i="6" s="1"/>
  <c r="R220" i="6" s="1"/>
  <c r="R735" i="8"/>
  <c r="L617" i="6"/>
  <c r="S462" i="6"/>
  <c r="O2905" i="6"/>
  <c r="G48" i="9"/>
  <c r="F48" i="9"/>
  <c r="E48" i="9"/>
  <c r="T784" i="8"/>
  <c r="P642" i="6"/>
  <c r="T838" i="8"/>
  <c r="V237" i="12"/>
  <c r="S237" i="12"/>
  <c r="U237" i="12" s="1"/>
  <c r="Q183" i="7"/>
  <c r="T291" i="7"/>
  <c r="V567" i="7"/>
  <c r="R567" i="7"/>
  <c r="T567" i="7" s="1"/>
  <c r="T457" i="7"/>
  <c r="Q279" i="6"/>
  <c r="R279" i="6" s="1"/>
  <c r="T566" i="8"/>
  <c r="S137" i="6" l="1"/>
  <c r="R137" i="6"/>
  <c r="U735" i="8"/>
  <c r="AI224" i="11"/>
  <c r="BL223" i="11"/>
  <c r="AK224" i="11" s="1"/>
  <c r="J223" i="11"/>
  <c r="G223" i="11"/>
  <c r="U843" i="7"/>
  <c r="F223" i="11"/>
  <c r="S368" i="6"/>
  <c r="Q369" i="6" s="1"/>
  <c r="S369" i="6" s="1"/>
  <c r="AJ224" i="11"/>
  <c r="BD274" i="11"/>
  <c r="BG273" i="11"/>
  <c r="BJ273" i="11"/>
  <c r="BE273" i="11"/>
  <c r="BK273" i="11"/>
  <c r="BI273" i="11"/>
  <c r="BH273" i="11"/>
  <c r="BB274" i="11"/>
  <c r="BC274" i="11"/>
  <c r="BF273" i="11"/>
  <c r="E223" i="11"/>
  <c r="U1007" i="8"/>
  <c r="K1218" i="6"/>
  <c r="M1218" i="6" s="1"/>
  <c r="L1218" i="6"/>
  <c r="K1219" i="6" s="1"/>
  <c r="M1219" i="6" s="1"/>
  <c r="M1160" i="6"/>
  <c r="K1161" i="6" s="1"/>
  <c r="M1161" i="6" s="1"/>
  <c r="L764" i="6"/>
  <c r="L765" i="6" s="1"/>
  <c r="L766" i="6" s="1"/>
  <c r="L767" i="6" s="1"/>
  <c r="L768" i="6" s="1"/>
  <c r="L769" i="6" s="1"/>
  <c r="L770" i="6" s="1"/>
  <c r="L771" i="6" s="1"/>
  <c r="L772" i="6" s="1"/>
  <c r="L773" i="6" s="1"/>
  <c r="L774" i="6" s="1"/>
  <c r="K775" i="6" s="1"/>
  <c r="N732" i="6" s="1"/>
  <c r="M1120" i="6"/>
  <c r="K1121" i="6" s="1"/>
  <c r="M1121" i="6" s="1"/>
  <c r="T238" i="7"/>
  <c r="T622" i="8"/>
  <c r="R680" i="8"/>
  <c r="V680" i="8"/>
  <c r="S680" i="8"/>
  <c r="U680" i="8" s="1"/>
  <c r="V897" i="8"/>
  <c r="S897" i="8"/>
  <c r="R897" i="8"/>
  <c r="T897" i="8" s="1"/>
  <c r="P401" i="7"/>
  <c r="Q401" i="7" s="1"/>
  <c r="P512" i="8"/>
  <c r="Q293" i="8"/>
  <c r="R293" i="8" s="1"/>
  <c r="P1008" i="8"/>
  <c r="Q458" i="7"/>
  <c r="P126" i="8"/>
  <c r="K1416" i="6"/>
  <c r="M1416" i="6" s="1"/>
  <c r="P182" i="12"/>
  <c r="L1076" i="6"/>
  <c r="U622" i="8"/>
  <c r="Q138" i="6"/>
  <c r="S138" i="6" s="1"/>
  <c r="V290" i="12"/>
  <c r="S290" i="12"/>
  <c r="S623" i="7"/>
  <c r="U623" i="7" s="1"/>
  <c r="V623" i="7"/>
  <c r="P184" i="8"/>
  <c r="U786" i="7"/>
  <c r="U347" i="7"/>
  <c r="L1320" i="6"/>
  <c r="O734" i="6"/>
  <c r="K1450" i="6"/>
  <c r="M1450" i="6" s="1"/>
  <c r="V511" i="7"/>
  <c r="S511" i="7"/>
  <c r="R236" i="8"/>
  <c r="T236" i="8" s="1"/>
  <c r="V236" i="8"/>
  <c r="S183" i="7"/>
  <c r="V183" i="7"/>
  <c r="N2906" i="6"/>
  <c r="P2906" i="6" s="1"/>
  <c r="L712" i="6"/>
  <c r="M1257" i="6"/>
  <c r="P456" i="8"/>
  <c r="Q456" i="8" s="1"/>
  <c r="Q559" i="6"/>
  <c r="S559" i="6" s="1"/>
  <c r="R290" i="12"/>
  <c r="T290" i="12" s="1"/>
  <c r="T511" i="8"/>
  <c r="Q952" i="8"/>
  <c r="Q128" i="7"/>
  <c r="R623" i="7"/>
  <c r="P643" i="6"/>
  <c r="T735" i="8"/>
  <c r="V897" i="7"/>
  <c r="P1017" i="6"/>
  <c r="N1018" i="6" s="1"/>
  <c r="O1018" i="6" s="1"/>
  <c r="CK222" i="11"/>
  <c r="CM222" i="11"/>
  <c r="CL222" i="11"/>
  <c r="CQ222" i="11"/>
  <c r="CP222" i="11"/>
  <c r="CN222" i="11"/>
  <c r="CO222" i="11"/>
  <c r="R324" i="6"/>
  <c r="U678" i="7"/>
  <c r="S279" i="6"/>
  <c r="Q280" i="6" s="1"/>
  <c r="R280" i="6" s="1"/>
  <c r="Q402" i="8"/>
  <c r="M1488" i="6"/>
  <c r="K1489" i="6" s="1"/>
  <c r="L1489" i="6" s="1"/>
  <c r="S176" i="6"/>
  <c r="R511" i="7"/>
  <c r="R183" i="7"/>
  <c r="T183" i="7" s="1"/>
  <c r="T843" i="7"/>
  <c r="T1007" i="8"/>
  <c r="S513" i="6"/>
  <c r="Q514" i="6" s="1"/>
  <c r="R514" i="6" s="1"/>
  <c r="K857" i="6"/>
  <c r="M857" i="6" s="1"/>
  <c r="U838" i="8"/>
  <c r="D271" i="11"/>
  <c r="Q785" i="8"/>
  <c r="S220" i="6"/>
  <c r="S897" i="7"/>
  <c r="U897" i="7" s="1"/>
  <c r="Q732" i="7"/>
  <c r="U238" i="7"/>
  <c r="M901" i="6"/>
  <c r="P969" i="6"/>
  <c r="P128" i="12"/>
  <c r="Q128" i="12" s="1"/>
  <c r="K950" i="6"/>
  <c r="M950" i="6" s="1"/>
  <c r="H48" i="9"/>
  <c r="I48" i="9" s="1"/>
  <c r="L49" i="9"/>
  <c r="P784" i="6"/>
  <c r="N785" i="6" s="1"/>
  <c r="O785" i="6" s="1"/>
  <c r="C271" i="11"/>
  <c r="AF270" i="11"/>
  <c r="J271" i="11" s="1"/>
  <c r="Q292" i="7"/>
  <c r="R292" i="7" s="1"/>
  <c r="P736" i="8"/>
  <c r="P844" i="7"/>
  <c r="S463" i="6"/>
  <c r="P238" i="12"/>
  <c r="K618" i="6"/>
  <c r="M618" i="6" s="1"/>
  <c r="U567" i="7"/>
  <c r="T237" i="12"/>
  <c r="Q567" i="8"/>
  <c r="M1361" i="6"/>
  <c r="K1362" i="6" s="1"/>
  <c r="L1362" i="6" s="1"/>
  <c r="T183" i="8"/>
  <c r="T181" i="12"/>
  <c r="S1062" i="8"/>
  <c r="U1062" i="8" s="1"/>
  <c r="V1062" i="8"/>
  <c r="S420" i="6"/>
  <c r="U347" i="8"/>
  <c r="T125" i="8"/>
  <c r="AJ274" i="11" l="1"/>
  <c r="L1219" i="6"/>
  <c r="H223" i="11"/>
  <c r="I223" i="11"/>
  <c r="AI274" i="11"/>
  <c r="BL273" i="11"/>
  <c r="AP274" i="11" s="1"/>
  <c r="AK274" i="11"/>
  <c r="AP224" i="11"/>
  <c r="AM224" i="11"/>
  <c r="AL224" i="11"/>
  <c r="AN224" i="11" s="1"/>
  <c r="AO224" i="11" s="1"/>
  <c r="G271" i="11"/>
  <c r="U511" i="7"/>
  <c r="P512" i="7" s="1"/>
  <c r="L1416" i="6"/>
  <c r="K1417" i="6" s="1"/>
  <c r="E271" i="11"/>
  <c r="F271" i="11"/>
  <c r="V401" i="7"/>
  <c r="R401" i="7"/>
  <c r="K1321" i="6"/>
  <c r="M1321" i="6" s="1"/>
  <c r="S401" i="7"/>
  <c r="U401" i="7" s="1"/>
  <c r="T1062" i="8"/>
  <c r="Q184" i="8"/>
  <c r="R184" i="8" s="1"/>
  <c r="BO223" i="11"/>
  <c r="CR222" i="11"/>
  <c r="BV223" i="11" s="1"/>
  <c r="S567" i="8"/>
  <c r="V567" i="8"/>
  <c r="R369" i="6"/>
  <c r="P681" i="8"/>
  <c r="L950" i="6"/>
  <c r="T680" i="8"/>
  <c r="Q126" i="8"/>
  <c r="K713" i="6"/>
  <c r="M713" i="6" s="1"/>
  <c r="S732" i="7"/>
  <c r="V732" i="7"/>
  <c r="Q182" i="12"/>
  <c r="R182" i="12" s="1"/>
  <c r="R732" i="7"/>
  <c r="M49" i="9"/>
  <c r="P49" i="9" s="1"/>
  <c r="R456" i="8"/>
  <c r="V456" i="8"/>
  <c r="S456" i="8"/>
  <c r="U456" i="8" s="1"/>
  <c r="L1121" i="6"/>
  <c r="S458" i="7"/>
  <c r="V458" i="7"/>
  <c r="S785" i="8"/>
  <c r="V785" i="8"/>
  <c r="P624" i="7"/>
  <c r="P679" i="7"/>
  <c r="Q679" i="7" s="1"/>
  <c r="T623" i="7"/>
  <c r="R128" i="12"/>
  <c r="V128" i="12"/>
  <c r="S293" i="8"/>
  <c r="U293" i="8" s="1"/>
  <c r="V293" i="8"/>
  <c r="P348" i="8"/>
  <c r="Q348" i="8" s="1"/>
  <c r="U290" i="12"/>
  <c r="N970" i="6"/>
  <c r="O970" i="6" s="1"/>
  <c r="S402" i="8"/>
  <c r="V402" i="8"/>
  <c r="O2906" i="6"/>
  <c r="S514" i="6"/>
  <c r="P1063" i="8"/>
  <c r="P623" i="8"/>
  <c r="Q623" i="8" s="1"/>
  <c r="U897" i="8"/>
  <c r="P898" i="7"/>
  <c r="P787" i="7"/>
  <c r="Q787" i="7" s="1"/>
  <c r="S787" i="7"/>
  <c r="S280" i="6"/>
  <c r="Q281" i="6" s="1"/>
  <c r="R281" i="6" s="1"/>
  <c r="P734" i="6"/>
  <c r="R567" i="8"/>
  <c r="T897" i="7"/>
  <c r="Q238" i="12"/>
  <c r="R458" i="7"/>
  <c r="R785" i="8"/>
  <c r="L1450" i="6"/>
  <c r="U236" i="8"/>
  <c r="P568" i="7"/>
  <c r="Q568" i="7" s="1"/>
  <c r="S568" i="7" s="1"/>
  <c r="Q221" i="6"/>
  <c r="R221" i="6" s="1"/>
  <c r="S128" i="7"/>
  <c r="V128" i="7"/>
  <c r="L618" i="6"/>
  <c r="V838" i="8"/>
  <c r="R402" i="8"/>
  <c r="V952" i="8"/>
  <c r="S952" i="8"/>
  <c r="R138" i="6"/>
  <c r="Q512" i="8"/>
  <c r="K1220" i="6"/>
  <c r="M1220" i="6" s="1"/>
  <c r="P785" i="6"/>
  <c r="N786" i="6" s="1"/>
  <c r="O786" i="6" s="1"/>
  <c r="BP223" i="11"/>
  <c r="P348" i="7"/>
  <c r="Q348" i="7" s="1"/>
  <c r="Q1008" i="8"/>
  <c r="R559" i="6"/>
  <c r="M1362" i="6"/>
  <c r="K1363" i="6" s="1"/>
  <c r="L1363" i="6" s="1"/>
  <c r="Q844" i="7"/>
  <c r="R844" i="7" s="1"/>
  <c r="O49" i="9"/>
  <c r="P1018" i="6"/>
  <c r="N1019" i="6" s="1"/>
  <c r="O1019" i="6" s="1"/>
  <c r="Q736" i="8"/>
  <c r="L1161" i="6"/>
  <c r="T511" i="7"/>
  <c r="Q325" i="6"/>
  <c r="S325" i="6" s="1"/>
  <c r="S292" i="7"/>
  <c r="U292" i="7" s="1"/>
  <c r="V292" i="7"/>
  <c r="K1077" i="6"/>
  <c r="M1077" i="6" s="1"/>
  <c r="Q464" i="6"/>
  <c r="R464" i="6" s="1"/>
  <c r="S128" i="12"/>
  <c r="R128" i="7"/>
  <c r="K1258" i="6"/>
  <c r="L1258" i="6" s="1"/>
  <c r="M1489" i="6"/>
  <c r="K1490" i="6" s="1"/>
  <c r="L1490" i="6" s="1"/>
  <c r="P239" i="7"/>
  <c r="Q239" i="7" s="1"/>
  <c r="S239" i="7" s="1"/>
  <c r="L857" i="6"/>
  <c r="Q177" i="6"/>
  <c r="R177" i="6" s="1"/>
  <c r="R952" i="8"/>
  <c r="U183" i="7"/>
  <c r="Q421" i="6"/>
  <c r="R421" i="6" s="1"/>
  <c r="K902" i="6"/>
  <c r="L902" i="6" s="1"/>
  <c r="N644" i="6"/>
  <c r="O644" i="6" s="1"/>
  <c r="L1417" i="6" l="1"/>
  <c r="K1418" i="6" s="1"/>
  <c r="M1417" i="6"/>
  <c r="AV224" i="11"/>
  <c r="AU224" i="11"/>
  <c r="AY224" i="11" s="1"/>
  <c r="BD224" i="11" s="1"/>
  <c r="AT224" i="11"/>
  <c r="N223" i="11"/>
  <c r="O223" i="11"/>
  <c r="S223" i="11" s="1"/>
  <c r="K223" i="11"/>
  <c r="Q223" i="11" s="1"/>
  <c r="P223" i="11"/>
  <c r="L223" i="11"/>
  <c r="AL274" i="11"/>
  <c r="AS224" i="11"/>
  <c r="AX224" i="11" s="1"/>
  <c r="AR224" i="11"/>
  <c r="AZ224" i="11" s="1"/>
  <c r="T567" i="8"/>
  <c r="AM274" i="11"/>
  <c r="AQ224" i="11"/>
  <c r="AW224" i="11" s="1"/>
  <c r="U128" i="7"/>
  <c r="M223" i="11"/>
  <c r="R223" i="11" s="1"/>
  <c r="U732" i="7"/>
  <c r="T293" i="8"/>
  <c r="U952" i="8"/>
  <c r="P953" i="8" s="1"/>
  <c r="U128" i="12"/>
  <c r="T402" i="8"/>
  <c r="H271" i="11"/>
  <c r="I271" i="11" s="1"/>
  <c r="BA224" i="11"/>
  <c r="BC224" i="11"/>
  <c r="BB224" i="11" s="1"/>
  <c r="BM224" i="11" s="1"/>
  <c r="T785" i="8"/>
  <c r="T458" i="7"/>
  <c r="M1258" i="6"/>
  <c r="N2907" i="6"/>
  <c r="P2907" i="6" s="1"/>
  <c r="S126" i="8"/>
  <c r="V126" i="8"/>
  <c r="V787" i="7"/>
  <c r="R787" i="7"/>
  <c r="T787" i="7" s="1"/>
  <c r="V1008" i="8"/>
  <c r="S1008" i="8"/>
  <c r="U785" i="8"/>
  <c r="K951" i="6"/>
  <c r="M951" i="6" s="1"/>
  <c r="S238" i="12"/>
  <c r="V238" i="12"/>
  <c r="P291" i="12"/>
  <c r="Q291" i="12" s="1"/>
  <c r="S291" i="12"/>
  <c r="V623" i="8"/>
  <c r="R623" i="8"/>
  <c r="V239" i="7"/>
  <c r="R239" i="7"/>
  <c r="T239" i="7" s="1"/>
  <c r="V679" i="7"/>
  <c r="R679" i="7"/>
  <c r="R348" i="7"/>
  <c r="V348" i="7"/>
  <c r="R126" i="8"/>
  <c r="P644" i="6"/>
  <c r="N645" i="6" s="1"/>
  <c r="O645" i="6" s="1"/>
  <c r="T952" i="8"/>
  <c r="S184" i="8"/>
  <c r="U184" i="8" s="1"/>
  <c r="V184" i="8"/>
  <c r="K858" i="6"/>
  <c r="M858" i="6" s="1"/>
  <c r="M859" i="6" s="1"/>
  <c r="M860" i="6" s="1"/>
  <c r="M861" i="6" s="1"/>
  <c r="M862" i="6" s="1"/>
  <c r="M863" i="6" s="1"/>
  <c r="M864" i="6" s="1"/>
  <c r="M865" i="6" s="1"/>
  <c r="M866" i="6" s="1"/>
  <c r="M867" i="6" s="1"/>
  <c r="M868" i="6" s="1"/>
  <c r="R238" i="12"/>
  <c r="T238" i="12" s="1"/>
  <c r="K1122" i="6"/>
  <c r="M1122" i="6" s="1"/>
  <c r="R348" i="8"/>
  <c r="V348" i="8"/>
  <c r="S736" i="8"/>
  <c r="V736" i="8"/>
  <c r="P129" i="7"/>
  <c r="S348" i="8"/>
  <c r="L1220" i="6"/>
  <c r="S221" i="6"/>
  <c r="Q222" i="6" s="1"/>
  <c r="R222" i="6" s="1"/>
  <c r="S512" i="8"/>
  <c r="U512" i="8" s="1"/>
  <c r="V512" i="8"/>
  <c r="P294" i="8"/>
  <c r="Q294" i="8" s="1"/>
  <c r="R49" i="9"/>
  <c r="S49" i="9"/>
  <c r="K1451" i="6"/>
  <c r="M1451" i="6" s="1"/>
  <c r="S844" i="7"/>
  <c r="U844" i="7" s="1"/>
  <c r="V844" i="7"/>
  <c r="L1077" i="6"/>
  <c r="S464" i="6"/>
  <c r="Q465" i="6" s="1"/>
  <c r="R465" i="6" s="1"/>
  <c r="P733" i="7"/>
  <c r="Q560" i="6"/>
  <c r="S560" i="6" s="1"/>
  <c r="M902" i="6"/>
  <c r="K903" i="6" s="1"/>
  <c r="L903" i="6" s="1"/>
  <c r="U402" i="8"/>
  <c r="Q681" i="8"/>
  <c r="R1008" i="8"/>
  <c r="T1008" i="8" s="1"/>
  <c r="P786" i="6"/>
  <c r="P898" i="8"/>
  <c r="Q898" i="8" s="1"/>
  <c r="S898" i="8" s="1"/>
  <c r="Q512" i="7"/>
  <c r="R512" i="7" s="1"/>
  <c r="K1162" i="6"/>
  <c r="M1162" i="6" s="1"/>
  <c r="Q898" i="7"/>
  <c r="S623" i="8"/>
  <c r="Q1063" i="8"/>
  <c r="R1063" i="8" s="1"/>
  <c r="Q370" i="6"/>
  <c r="S370" i="6" s="1"/>
  <c r="P402" i="7"/>
  <c r="R512" i="8"/>
  <c r="N49" i="9"/>
  <c r="Q49" i="9" s="1"/>
  <c r="L713" i="6"/>
  <c r="L1321" i="6"/>
  <c r="R736" i="8"/>
  <c r="S421" i="6"/>
  <c r="S177" i="6"/>
  <c r="T128" i="7"/>
  <c r="Q139" i="6"/>
  <c r="S139" i="6" s="1"/>
  <c r="V568" i="7"/>
  <c r="R568" i="7"/>
  <c r="T568" i="7" s="1"/>
  <c r="N735" i="6"/>
  <c r="O735" i="6" s="1"/>
  <c r="T128" i="12"/>
  <c r="Q515" i="6"/>
  <c r="R515" i="6" s="1"/>
  <c r="S182" i="12"/>
  <c r="U182" i="12" s="1"/>
  <c r="V182" i="12"/>
  <c r="S679" i="7"/>
  <c r="BS223" i="11"/>
  <c r="BQ223" i="11"/>
  <c r="M1363" i="6"/>
  <c r="K1364" i="6" s="1"/>
  <c r="L1364" i="6" s="1"/>
  <c r="S348" i="7"/>
  <c r="P293" i="7"/>
  <c r="P184" i="7"/>
  <c r="Q184" i="7" s="1"/>
  <c r="S184" i="7" s="1"/>
  <c r="R325" i="6"/>
  <c r="BR223" i="11"/>
  <c r="P839" i="8"/>
  <c r="Q839" i="8" s="1"/>
  <c r="P970" i="6"/>
  <c r="N971" i="6" s="1"/>
  <c r="O971" i="6" s="1"/>
  <c r="U458" i="7"/>
  <c r="T292" i="7"/>
  <c r="K619" i="6"/>
  <c r="M619" i="6" s="1"/>
  <c r="P457" i="8"/>
  <c r="M1490" i="6"/>
  <c r="K1491" i="6" s="1"/>
  <c r="L1491" i="6" s="1"/>
  <c r="T456" i="8"/>
  <c r="K1259" i="6"/>
  <c r="L1259" i="6" s="1"/>
  <c r="P129" i="12"/>
  <c r="P1019" i="6"/>
  <c r="N1020" i="6" s="1"/>
  <c r="O1020" i="6" s="1"/>
  <c r="P237" i="8"/>
  <c r="Q237" i="8" s="1"/>
  <c r="S237" i="8"/>
  <c r="S281" i="6"/>
  <c r="Q624" i="7"/>
  <c r="R624" i="7" s="1"/>
  <c r="T732" i="7"/>
  <c r="U567" i="8"/>
  <c r="T401" i="7"/>
  <c r="L1418" i="6" l="1"/>
  <c r="M1418" i="6"/>
  <c r="T223" i="11"/>
  <c r="X223" i="11" s="1"/>
  <c r="T679" i="7"/>
  <c r="U736" i="8"/>
  <c r="U223" i="11"/>
  <c r="V223" i="11" s="1"/>
  <c r="AN274" i="11"/>
  <c r="AO274" i="11" s="1"/>
  <c r="BH224" i="11"/>
  <c r="BG224" i="11"/>
  <c r="BK224" i="11"/>
  <c r="BI224" i="11"/>
  <c r="BF224" i="11"/>
  <c r="BJ224" i="11"/>
  <c r="BE224" i="11"/>
  <c r="K271" i="11"/>
  <c r="Q271" i="11" s="1"/>
  <c r="L271" i="11"/>
  <c r="O271" i="11"/>
  <c r="S271" i="11" s="1"/>
  <c r="N271" i="11"/>
  <c r="M271" i="11"/>
  <c r="R271" i="11" s="1"/>
  <c r="U271" i="11" s="1"/>
  <c r="P271" i="11"/>
  <c r="U348" i="7"/>
  <c r="T348" i="8"/>
  <c r="T623" i="8"/>
  <c r="T844" i="7"/>
  <c r="Q845" i="7" s="1"/>
  <c r="R845" i="7" s="1"/>
  <c r="T184" i="8"/>
  <c r="U126" i="8"/>
  <c r="U568" i="7"/>
  <c r="K1419" i="6"/>
  <c r="L1419" i="6" s="1"/>
  <c r="S294" i="8"/>
  <c r="V294" i="8"/>
  <c r="R294" i="8"/>
  <c r="T294" i="8" s="1"/>
  <c r="U184" i="7"/>
  <c r="N646" i="6"/>
  <c r="O646" i="6" s="1"/>
  <c r="G49" i="9"/>
  <c r="E49" i="9"/>
  <c r="F49" i="9"/>
  <c r="Q129" i="7"/>
  <c r="V512" i="7"/>
  <c r="S512" i="7"/>
  <c r="U512" i="7" s="1"/>
  <c r="U787" i="7"/>
  <c r="V237" i="8"/>
  <c r="R237" i="8"/>
  <c r="T237" i="8" s="1"/>
  <c r="V184" i="7"/>
  <c r="R184" i="7"/>
  <c r="T184" i="7" s="1"/>
  <c r="P645" i="6"/>
  <c r="P183" i="12"/>
  <c r="P349" i="7"/>
  <c r="U239" i="7"/>
  <c r="M1364" i="6"/>
  <c r="K1365" i="6" s="1"/>
  <c r="L1365" i="6" s="1"/>
  <c r="Q178" i="6"/>
  <c r="R178" i="6" s="1"/>
  <c r="T736" i="8"/>
  <c r="Q129" i="12"/>
  <c r="R129" i="12" s="1"/>
  <c r="L619" i="6"/>
  <c r="T126" i="8"/>
  <c r="Q293" i="7"/>
  <c r="P735" i="6"/>
  <c r="N736" i="6" s="1"/>
  <c r="O736" i="6" s="1"/>
  <c r="U238" i="12"/>
  <c r="S898" i="7"/>
  <c r="V898" i="7"/>
  <c r="P403" i="8"/>
  <c r="Q403" i="8" s="1"/>
  <c r="S403" i="8" s="1"/>
  <c r="L1451" i="6"/>
  <c r="L951" i="6"/>
  <c r="Q953" i="8"/>
  <c r="P737" i="8"/>
  <c r="V898" i="8"/>
  <c r="R898" i="8"/>
  <c r="T898" i="8" s="1"/>
  <c r="P1020" i="6"/>
  <c r="N1021" i="6" s="1"/>
  <c r="O1021" i="6" s="1"/>
  <c r="Q422" i="6"/>
  <c r="R422" i="6" s="1"/>
  <c r="O2907" i="6"/>
  <c r="BT223" i="11"/>
  <c r="BU223" i="11" s="1"/>
  <c r="R370" i="6"/>
  <c r="S515" i="6"/>
  <c r="M1259" i="6"/>
  <c r="K1260" i="6" s="1"/>
  <c r="L1260" i="6" s="1"/>
  <c r="P513" i="8"/>
  <c r="L1122" i="6"/>
  <c r="V1063" i="8"/>
  <c r="S1063" i="8"/>
  <c r="U1063" i="8" s="1"/>
  <c r="S222" i="6"/>
  <c r="Q223" i="6" s="1"/>
  <c r="R223" i="6" s="1"/>
  <c r="S681" i="8"/>
  <c r="U681" i="8" s="1"/>
  <c r="V681" i="8"/>
  <c r="K1221" i="6"/>
  <c r="M1221" i="6" s="1"/>
  <c r="U623" i="8"/>
  <c r="R839" i="8"/>
  <c r="S839" i="8"/>
  <c r="U839" i="8" s="1"/>
  <c r="R898" i="7"/>
  <c r="M903" i="6"/>
  <c r="K904" i="6" s="1"/>
  <c r="L904" i="6" s="1"/>
  <c r="U348" i="8"/>
  <c r="P185" i="8"/>
  <c r="Q185" i="8" s="1"/>
  <c r="T348" i="7"/>
  <c r="Q282" i="6"/>
  <c r="R282" i="6" s="1"/>
  <c r="P127" i="8"/>
  <c r="K714" i="6"/>
  <c r="M714" i="6" s="1"/>
  <c r="R681" i="8"/>
  <c r="Q402" i="7"/>
  <c r="R402" i="7" s="1"/>
  <c r="Q457" i="8"/>
  <c r="R457" i="8" s="1"/>
  <c r="Q326" i="6"/>
  <c r="S326" i="6" s="1"/>
  <c r="R139" i="6"/>
  <c r="T512" i="8"/>
  <c r="P786" i="8"/>
  <c r="Q786" i="8" s="1"/>
  <c r="S786" i="8"/>
  <c r="P569" i="7"/>
  <c r="Q569" i="7" s="1"/>
  <c r="S465" i="6"/>
  <c r="K1078" i="6"/>
  <c r="M1078" i="6" s="1"/>
  <c r="R291" i="12"/>
  <c r="T291" i="12" s="1"/>
  <c r="V291" i="12"/>
  <c r="N787" i="6"/>
  <c r="O787" i="6" s="1"/>
  <c r="P459" i="7"/>
  <c r="Q459" i="7" s="1"/>
  <c r="S459" i="7" s="1"/>
  <c r="K1322" i="6"/>
  <c r="M1322" i="6" s="1"/>
  <c r="P845" i="7"/>
  <c r="P971" i="6"/>
  <c r="L858" i="6"/>
  <c r="L859" i="6" s="1"/>
  <c r="L860" i="6" s="1"/>
  <c r="L861" i="6" s="1"/>
  <c r="L862" i="6" s="1"/>
  <c r="L863" i="6" s="1"/>
  <c r="L864" i="6" s="1"/>
  <c r="L865" i="6" s="1"/>
  <c r="L866" i="6" s="1"/>
  <c r="L867" i="6" s="1"/>
  <c r="L868" i="6" s="1"/>
  <c r="K869" i="6" s="1"/>
  <c r="N826" i="6" s="1"/>
  <c r="T182" i="12"/>
  <c r="P568" i="8"/>
  <c r="Q568" i="8" s="1"/>
  <c r="S568" i="8"/>
  <c r="Q733" i="7"/>
  <c r="V624" i="7"/>
  <c r="S624" i="7"/>
  <c r="U624" i="7" s="1"/>
  <c r="M1491" i="6"/>
  <c r="K1492" i="6" s="1"/>
  <c r="L1492" i="6" s="1"/>
  <c r="V839" i="8"/>
  <c r="U679" i="7"/>
  <c r="L1162" i="6"/>
  <c r="R560" i="6"/>
  <c r="U1008" i="8"/>
  <c r="AQ274" i="11" l="1"/>
  <c r="AW274" i="11" s="1"/>
  <c r="AR274" i="11"/>
  <c r="AT274" i="11"/>
  <c r="AS274" i="11"/>
  <c r="AX274" i="11" s="1"/>
  <c r="BA274" i="11" s="1"/>
  <c r="AV274" i="11"/>
  <c r="S178" i="6"/>
  <c r="Q179" i="6" s="1"/>
  <c r="T624" i="7"/>
  <c r="W223" i="11"/>
  <c r="AG223" i="11" s="1"/>
  <c r="AU274" i="11"/>
  <c r="AY274" i="11" s="1"/>
  <c r="U898" i="7"/>
  <c r="P899" i="7" s="1"/>
  <c r="M1419" i="6"/>
  <c r="K1420" i="6" s="1"/>
  <c r="L1420" i="6" s="1"/>
  <c r="U237" i="8"/>
  <c r="P238" i="8" s="1"/>
  <c r="Q238" i="8" s="1"/>
  <c r="R326" i="6"/>
  <c r="Q327" i="6" s="1"/>
  <c r="T839" i="8"/>
  <c r="L1078" i="6"/>
  <c r="K1079" i="6" s="1"/>
  <c r="AI225" i="11"/>
  <c r="BL224" i="11"/>
  <c r="AL225" i="11"/>
  <c r="AJ225" i="11"/>
  <c r="U291" i="12"/>
  <c r="P292" i="12" s="1"/>
  <c r="Q292" i="12" s="1"/>
  <c r="S292" i="12" s="1"/>
  <c r="T271" i="11"/>
  <c r="W271" i="11" s="1"/>
  <c r="V271" i="11"/>
  <c r="R185" i="8"/>
  <c r="S185" i="8"/>
  <c r="U185" i="8" s="1"/>
  <c r="V185" i="8"/>
  <c r="CB223" i="11"/>
  <c r="BW223" i="11"/>
  <c r="CC223" i="11" s="1"/>
  <c r="BZ223" i="11"/>
  <c r="CA223" i="11"/>
  <c r="CE223" i="11" s="1"/>
  <c r="BY223" i="11"/>
  <c r="CD223" i="11" s="1"/>
  <c r="CG223" i="11" s="1"/>
  <c r="BX223" i="11"/>
  <c r="S569" i="7"/>
  <c r="R569" i="7"/>
  <c r="V569" i="7"/>
  <c r="K1452" i="6"/>
  <c r="M1452" i="6" s="1"/>
  <c r="Q561" i="6"/>
  <c r="S561" i="6" s="1"/>
  <c r="L1221" i="6"/>
  <c r="V403" i="8"/>
  <c r="R403" i="8"/>
  <c r="T403" i="8" s="1"/>
  <c r="L1322" i="6"/>
  <c r="N2908" i="6"/>
  <c r="P2908" i="6" s="1"/>
  <c r="Q423" i="6"/>
  <c r="R423" i="6" s="1"/>
  <c r="R459" i="7"/>
  <c r="T459" i="7" s="1"/>
  <c r="V459" i="7"/>
  <c r="P625" i="7"/>
  <c r="Q625" i="7" s="1"/>
  <c r="T681" i="8"/>
  <c r="R786" i="8"/>
  <c r="T786" i="8" s="1"/>
  <c r="V786" i="8"/>
  <c r="Q466" i="6"/>
  <c r="R466" i="6" s="1"/>
  <c r="M904" i="6"/>
  <c r="K905" i="6" s="1"/>
  <c r="L905" i="6" s="1"/>
  <c r="L906" i="6" s="1"/>
  <c r="L907" i="6" s="1"/>
  <c r="L908" i="6" s="1"/>
  <c r="L909" i="6" s="1"/>
  <c r="L910" i="6" s="1"/>
  <c r="L911" i="6" s="1"/>
  <c r="L912" i="6" s="1"/>
  <c r="L913" i="6" s="1"/>
  <c r="L914" i="6" s="1"/>
  <c r="L915" i="6" s="1"/>
  <c r="Q140" i="6"/>
  <c r="S140" i="6" s="1"/>
  <c r="M1260" i="6"/>
  <c r="K1261" i="6" s="1"/>
  <c r="L1261" i="6" s="1"/>
  <c r="P240" i="7"/>
  <c r="Q240" i="7" s="1"/>
  <c r="P624" i="8"/>
  <c r="Q624" i="8" s="1"/>
  <c r="P1009" i="8"/>
  <c r="Q1009" i="8" s="1"/>
  <c r="S845" i="7"/>
  <c r="U845" i="7" s="1"/>
  <c r="Q349" i="7"/>
  <c r="V402" i="7"/>
  <c r="S402" i="7"/>
  <c r="U402" i="7" s="1"/>
  <c r="M1492" i="6"/>
  <c r="P1064" i="8"/>
  <c r="P349" i="8"/>
  <c r="Q349" i="8" s="1"/>
  <c r="S349" i="8"/>
  <c r="K1123" i="6"/>
  <c r="M1123" i="6" s="1"/>
  <c r="Q737" i="8"/>
  <c r="R737" i="8" s="1"/>
  <c r="S282" i="6"/>
  <c r="Q283" i="6" s="1"/>
  <c r="R283" i="6" s="1"/>
  <c r="V129" i="7"/>
  <c r="S129" i="7"/>
  <c r="U568" i="8"/>
  <c r="Q513" i="8"/>
  <c r="P736" i="6"/>
  <c r="N737" i="6" s="1"/>
  <c r="O737" i="6" s="1"/>
  <c r="R129" i="7"/>
  <c r="V568" i="8"/>
  <c r="R568" i="8"/>
  <c r="T568" i="8" s="1"/>
  <c r="Q183" i="12"/>
  <c r="R183" i="12" s="1"/>
  <c r="V845" i="7"/>
  <c r="P787" i="6"/>
  <c r="P788" i="7"/>
  <c r="Q788" i="7" s="1"/>
  <c r="V457" i="8"/>
  <c r="S457" i="8"/>
  <c r="U457" i="8" s="1"/>
  <c r="K620" i="6"/>
  <c r="M620" i="6" s="1"/>
  <c r="S129" i="12"/>
  <c r="U129" i="12" s="1"/>
  <c r="V129" i="12"/>
  <c r="P680" i="7"/>
  <c r="Q680" i="7" s="1"/>
  <c r="S680" i="7" s="1"/>
  <c r="P682" i="8"/>
  <c r="S223" i="6"/>
  <c r="P513" i="7"/>
  <c r="T512" i="7"/>
  <c r="U898" i="8"/>
  <c r="V733" i="7"/>
  <c r="S733" i="7"/>
  <c r="N972" i="6"/>
  <c r="O972" i="6" s="1"/>
  <c r="S953" i="8"/>
  <c r="V953" i="8"/>
  <c r="O828" i="6"/>
  <c r="P840" i="8"/>
  <c r="K952" i="6"/>
  <c r="M952" i="6" s="1"/>
  <c r="M953" i="6" s="1"/>
  <c r="M954" i="6" s="1"/>
  <c r="M955" i="6" s="1"/>
  <c r="M956" i="6" s="1"/>
  <c r="M957" i="6" s="1"/>
  <c r="M958" i="6" s="1"/>
  <c r="M959" i="6" s="1"/>
  <c r="M960" i="6" s="1"/>
  <c r="M961" i="6" s="1"/>
  <c r="M962" i="6" s="1"/>
  <c r="V293" i="7"/>
  <c r="S293" i="7"/>
  <c r="S422" i="6"/>
  <c r="Q127" i="8"/>
  <c r="P1021" i="6"/>
  <c r="N1022" i="6" s="1"/>
  <c r="O1022" i="6" s="1"/>
  <c r="K1163" i="6"/>
  <c r="M1163" i="6" s="1"/>
  <c r="P646" i="6"/>
  <c r="N647" i="6" s="1"/>
  <c r="O647" i="6" s="1"/>
  <c r="P185" i="7"/>
  <c r="Q185" i="7" s="1"/>
  <c r="L714" i="6"/>
  <c r="R733" i="7"/>
  <c r="T898" i="7"/>
  <c r="P239" i="12"/>
  <c r="Q239" i="12" s="1"/>
  <c r="S239" i="12" s="1"/>
  <c r="R953" i="8"/>
  <c r="T953" i="8" s="1"/>
  <c r="M1365" i="6"/>
  <c r="K1366" i="6" s="1"/>
  <c r="L1366" i="6" s="1"/>
  <c r="Q371" i="6"/>
  <c r="S371" i="6" s="1"/>
  <c r="R293" i="7"/>
  <c r="Q516" i="6"/>
  <c r="R516" i="6" s="1"/>
  <c r="H49" i="9"/>
  <c r="I49" i="9" s="1"/>
  <c r="L50" i="9"/>
  <c r="U294" i="8"/>
  <c r="T1063" i="8"/>
  <c r="R327" i="6" l="1"/>
  <c r="S327" i="6"/>
  <c r="R179" i="6"/>
  <c r="S179" i="6"/>
  <c r="AE223" i="11"/>
  <c r="AC223" i="11"/>
  <c r="AB223" i="11"/>
  <c r="AD223" i="11"/>
  <c r="AA223" i="11"/>
  <c r="D224" i="11" s="1"/>
  <c r="Y223" i="11"/>
  <c r="Z223" i="11"/>
  <c r="U129" i="7"/>
  <c r="M1420" i="6"/>
  <c r="K1421" i="6" s="1"/>
  <c r="AZ274" i="11"/>
  <c r="BM274" i="11"/>
  <c r="L1079" i="6"/>
  <c r="K1080" i="6" s="1"/>
  <c r="M1079" i="6"/>
  <c r="AP225" i="11"/>
  <c r="AK225" i="11"/>
  <c r="AN225" i="11" s="1"/>
  <c r="U293" i="7"/>
  <c r="P294" i="7" s="1"/>
  <c r="T185" i="8"/>
  <c r="S516" i="6"/>
  <c r="AM225" i="11"/>
  <c r="T845" i="7"/>
  <c r="X271" i="11"/>
  <c r="AG271" i="11" s="1"/>
  <c r="Z271" i="11" s="1"/>
  <c r="Q840" i="8"/>
  <c r="V840" i="8" s="1"/>
  <c r="T457" i="8"/>
  <c r="T733" i="7"/>
  <c r="T569" i="7"/>
  <c r="Q328" i="6"/>
  <c r="R328" i="6" s="1"/>
  <c r="Q180" i="6"/>
  <c r="S180" i="6" s="1"/>
  <c r="T183" i="12"/>
  <c r="R238" i="8"/>
  <c r="V238" i="8"/>
  <c r="S238" i="8"/>
  <c r="R185" i="7"/>
  <c r="V185" i="7"/>
  <c r="S185" i="7"/>
  <c r="U185" i="7" s="1"/>
  <c r="S625" i="7"/>
  <c r="V625" i="7"/>
  <c r="R625" i="7"/>
  <c r="T625" i="7" s="1"/>
  <c r="P569" i="8"/>
  <c r="Q569" i="8" s="1"/>
  <c r="P130" i="7"/>
  <c r="P130" i="12"/>
  <c r="M50" i="9"/>
  <c r="P50" i="9" s="1"/>
  <c r="V240" i="7"/>
  <c r="R240" i="7"/>
  <c r="K715" i="6"/>
  <c r="M715" i="6" s="1"/>
  <c r="R292" i="12"/>
  <c r="T292" i="12" s="1"/>
  <c r="U569" i="7"/>
  <c r="K1493" i="6"/>
  <c r="L1493" i="6" s="1"/>
  <c r="P1022" i="6"/>
  <c r="N1023" i="6" s="1"/>
  <c r="O1023" i="6" s="1"/>
  <c r="Q513" i="7"/>
  <c r="R513" i="7" s="1"/>
  <c r="L620" i="6"/>
  <c r="L1123" i="6"/>
  <c r="U403" i="8"/>
  <c r="V292" i="12"/>
  <c r="P846" i="7"/>
  <c r="L1452" i="6"/>
  <c r="P737" i="6"/>
  <c r="N738" i="6" s="1"/>
  <c r="O738" i="6" s="1"/>
  <c r="U459" i="7"/>
  <c r="Q1064" i="8"/>
  <c r="P295" i="8"/>
  <c r="Q295" i="8" s="1"/>
  <c r="S295" i="8"/>
  <c r="K1323" i="6"/>
  <c r="M1323" i="6" s="1"/>
  <c r="Q899" i="7"/>
  <c r="L952" i="6"/>
  <c r="L953" i="6" s="1"/>
  <c r="L954" i="6" s="1"/>
  <c r="L955" i="6" s="1"/>
  <c r="L956" i="6" s="1"/>
  <c r="L957" i="6" s="1"/>
  <c r="L958" i="6" s="1"/>
  <c r="L959" i="6" s="1"/>
  <c r="L960" i="6" s="1"/>
  <c r="L961" i="6" s="1"/>
  <c r="L962" i="6" s="1"/>
  <c r="K963" i="6" s="1"/>
  <c r="N920" i="6" s="1"/>
  <c r="P403" i="7"/>
  <c r="O50" i="9"/>
  <c r="L1163" i="6"/>
  <c r="V349" i="7"/>
  <c r="S349" i="7"/>
  <c r="U349" i="7" s="1"/>
  <c r="M1261" i="6"/>
  <c r="K1222" i="6"/>
  <c r="M1222" i="6" s="1"/>
  <c r="T129" i="12"/>
  <c r="P828" i="6"/>
  <c r="U786" i="8"/>
  <c r="T293" i="7"/>
  <c r="V127" i="8"/>
  <c r="S127" i="8"/>
  <c r="U953" i="8"/>
  <c r="R349" i="8"/>
  <c r="T349" i="8" s="1"/>
  <c r="V349" i="8"/>
  <c r="R1009" i="8"/>
  <c r="V1009" i="8"/>
  <c r="U733" i="7"/>
  <c r="R624" i="8"/>
  <c r="V624" i="8"/>
  <c r="O2908" i="6"/>
  <c r="V513" i="8"/>
  <c r="S513" i="8"/>
  <c r="S624" i="8"/>
  <c r="Q224" i="6"/>
  <c r="R224" i="6" s="1"/>
  <c r="R239" i="12"/>
  <c r="T239" i="12" s="1"/>
  <c r="V239" i="12"/>
  <c r="P899" i="8"/>
  <c r="Q899" i="8" s="1"/>
  <c r="S899" i="8"/>
  <c r="S517" i="6"/>
  <c r="S283" i="6"/>
  <c r="Q284" i="6" s="1"/>
  <c r="R284" i="6" s="1"/>
  <c r="R285" i="6" s="1"/>
  <c r="R286" i="6" s="1"/>
  <c r="R287" i="6" s="1"/>
  <c r="R288" i="6" s="1"/>
  <c r="R289" i="6" s="1"/>
  <c r="R290" i="6" s="1"/>
  <c r="R291" i="6" s="1"/>
  <c r="R292" i="6" s="1"/>
  <c r="R293" i="6" s="1"/>
  <c r="R294" i="6" s="1"/>
  <c r="R295" i="6" s="1"/>
  <c r="R296" i="6" s="1"/>
  <c r="R297" i="6" s="1"/>
  <c r="R298" i="6" s="1"/>
  <c r="R299" i="6" s="1"/>
  <c r="R300" i="6" s="1"/>
  <c r="R301" i="6" s="1"/>
  <c r="R302" i="6" s="1"/>
  <c r="R303" i="6" s="1"/>
  <c r="R304" i="6" s="1"/>
  <c r="Q682" i="8"/>
  <c r="S240" i="7"/>
  <c r="S737" i="8"/>
  <c r="U737" i="8" s="1"/>
  <c r="V737" i="8"/>
  <c r="S466" i="6"/>
  <c r="S183" i="12"/>
  <c r="U183" i="12" s="1"/>
  <c r="V183" i="12"/>
  <c r="R349" i="7"/>
  <c r="Q517" i="6"/>
  <c r="R517" i="6" s="1"/>
  <c r="P647" i="6"/>
  <c r="R140" i="6"/>
  <c r="R561" i="6"/>
  <c r="P458" i="8"/>
  <c r="Q458" i="8" s="1"/>
  <c r="R371" i="6"/>
  <c r="R127" i="8"/>
  <c r="N973" i="6"/>
  <c r="O973" i="6" s="1"/>
  <c r="T129" i="7"/>
  <c r="R788" i="7"/>
  <c r="V788" i="7"/>
  <c r="N788" i="6"/>
  <c r="O788" i="6" s="1"/>
  <c r="S788" i="7"/>
  <c r="S1009" i="8"/>
  <c r="CF223" i="11"/>
  <c r="CI223" i="11"/>
  <c r="CJ223" i="11"/>
  <c r="CH223" i="11"/>
  <c r="AC271" i="11"/>
  <c r="AB271" i="11"/>
  <c r="AA271" i="11"/>
  <c r="W272" i="11"/>
  <c r="AD271" i="11"/>
  <c r="M1366" i="6"/>
  <c r="S423" i="6"/>
  <c r="R680" i="7"/>
  <c r="T680" i="7" s="1"/>
  <c r="V680" i="7"/>
  <c r="R513" i="8"/>
  <c r="P972" i="6"/>
  <c r="M905" i="6"/>
  <c r="M906" i="6" s="1"/>
  <c r="M907" i="6" s="1"/>
  <c r="M908" i="6" s="1"/>
  <c r="M909" i="6" s="1"/>
  <c r="M910" i="6" s="1"/>
  <c r="M911" i="6" s="1"/>
  <c r="M912" i="6" s="1"/>
  <c r="M913" i="6" s="1"/>
  <c r="M914" i="6" s="1"/>
  <c r="M915" i="6" s="1"/>
  <c r="K916" i="6" s="1"/>
  <c r="N873" i="6" s="1"/>
  <c r="P186" i="8"/>
  <c r="Q186" i="8"/>
  <c r="R186" i="8" s="1"/>
  <c r="T402" i="7"/>
  <c r="L1421" i="6" l="1"/>
  <c r="M1421" i="6"/>
  <c r="BK274" i="11"/>
  <c r="BI274" i="11"/>
  <c r="BJ274" i="11"/>
  <c r="BG274" i="11"/>
  <c r="BH274" i="11"/>
  <c r="BF274" i="11"/>
  <c r="BE274" i="11"/>
  <c r="BD275" i="11"/>
  <c r="BC275" i="11"/>
  <c r="BB275" i="11"/>
  <c r="U292" i="12"/>
  <c r="P293" i="12" s="1"/>
  <c r="Q293" i="12" s="1"/>
  <c r="U239" i="12"/>
  <c r="P240" i="12" s="1"/>
  <c r="Q240" i="12" s="1"/>
  <c r="T513" i="8"/>
  <c r="F224" i="11"/>
  <c r="H224" i="11" s="1"/>
  <c r="U238" i="8"/>
  <c r="C224" i="11"/>
  <c r="AF223" i="11"/>
  <c r="E224" i="11"/>
  <c r="S328" i="6"/>
  <c r="Q846" i="7"/>
  <c r="S846" i="7" s="1"/>
  <c r="S224" i="6"/>
  <c r="L1080" i="6"/>
  <c r="M1080" i="6"/>
  <c r="T240" i="7"/>
  <c r="R840" i="8"/>
  <c r="S840" i="8"/>
  <c r="U840" i="8" s="1"/>
  <c r="P841" i="8" s="1"/>
  <c r="V186" i="8"/>
  <c r="U1009" i="8"/>
  <c r="P1010" i="8" s="1"/>
  <c r="U788" i="7"/>
  <c r="P789" i="7" s="1"/>
  <c r="AR225" i="11"/>
  <c r="X272" i="11"/>
  <c r="U624" i="8"/>
  <c r="P625" i="8" s="1"/>
  <c r="AE271" i="11"/>
  <c r="U127" i="8"/>
  <c r="P128" i="8" s="1"/>
  <c r="V272" i="11"/>
  <c r="AO225" i="11"/>
  <c r="AQ225" i="11" s="1"/>
  <c r="AW225" i="11" s="1"/>
  <c r="AZ225" i="11" s="1"/>
  <c r="Y271" i="11"/>
  <c r="AF271" i="11" s="1"/>
  <c r="R458" i="8"/>
  <c r="V458" i="8"/>
  <c r="S458" i="8"/>
  <c r="U458" i="8" s="1"/>
  <c r="K1422" i="6"/>
  <c r="L1422" i="6" s="1"/>
  <c r="Q329" i="6"/>
  <c r="R329" i="6" s="1"/>
  <c r="K1081" i="6"/>
  <c r="M1081" i="6" s="1"/>
  <c r="T186" i="8"/>
  <c r="S569" i="8"/>
  <c r="V569" i="8"/>
  <c r="R569" i="8"/>
  <c r="Q518" i="6"/>
  <c r="R518" i="6" s="1"/>
  <c r="L1222" i="6"/>
  <c r="U513" i="8"/>
  <c r="V899" i="7"/>
  <c r="S899" i="7"/>
  <c r="U240" i="7"/>
  <c r="P954" i="8"/>
  <c r="Q954" i="8" s="1"/>
  <c r="P239" i="8"/>
  <c r="S284" i="6"/>
  <c r="S285" i="6" s="1"/>
  <c r="S286" i="6" s="1"/>
  <c r="S287" i="6" s="1"/>
  <c r="S288" i="6" s="1"/>
  <c r="S289" i="6" s="1"/>
  <c r="S290" i="6" s="1"/>
  <c r="S291" i="6" s="1"/>
  <c r="S292" i="6" s="1"/>
  <c r="S293" i="6" s="1"/>
  <c r="S294" i="6" s="1"/>
  <c r="S295" i="6" s="1"/>
  <c r="S296" i="6" s="1"/>
  <c r="S297" i="6" s="1"/>
  <c r="S298" i="6" s="1"/>
  <c r="S299" i="6" s="1"/>
  <c r="S300" i="6" s="1"/>
  <c r="S301" i="6" s="1"/>
  <c r="S302" i="6" s="1"/>
  <c r="S303" i="6" s="1"/>
  <c r="S304" i="6" s="1"/>
  <c r="Q305" i="6" s="1"/>
  <c r="B306" i="6" s="1"/>
  <c r="K1453" i="6"/>
  <c r="M1453" i="6" s="1"/>
  <c r="P648" i="6"/>
  <c r="T238" i="8"/>
  <c r="T788" i="7"/>
  <c r="Q130" i="7"/>
  <c r="R130" i="7" s="1"/>
  <c r="O875" i="6"/>
  <c r="S186" i="8"/>
  <c r="U186" i="8" s="1"/>
  <c r="P787" i="8"/>
  <c r="Q787" i="8" s="1"/>
  <c r="S787" i="8"/>
  <c r="P404" i="8"/>
  <c r="Q404" i="8" s="1"/>
  <c r="D272" i="11"/>
  <c r="T349" i="7"/>
  <c r="T1009" i="8"/>
  <c r="S1064" i="8"/>
  <c r="V1064" i="8"/>
  <c r="U349" i="8"/>
  <c r="K621" i="6"/>
  <c r="M621" i="6" s="1"/>
  <c r="S513" i="7"/>
  <c r="U513" i="7" s="1"/>
  <c r="V513" i="7"/>
  <c r="P738" i="8"/>
  <c r="CS223" i="11"/>
  <c r="Q562" i="6"/>
  <c r="S562" i="6" s="1"/>
  <c r="R899" i="7"/>
  <c r="T899" i="7" s="1"/>
  <c r="V682" i="8"/>
  <c r="S682" i="8"/>
  <c r="N2909" i="6"/>
  <c r="P2909" i="6" s="1"/>
  <c r="P738" i="6"/>
  <c r="R180" i="6"/>
  <c r="N50" i="9"/>
  <c r="Q50" i="9" s="1"/>
  <c r="R50" i="9" s="1"/>
  <c r="P570" i="7"/>
  <c r="Q570" i="7" s="1"/>
  <c r="S570" i="7" s="1"/>
  <c r="K1164" i="6"/>
  <c r="M1164" i="6" s="1"/>
  <c r="P186" i="7"/>
  <c r="V295" i="8"/>
  <c r="R295" i="8"/>
  <c r="T295" i="8" s="1"/>
  <c r="N648" i="6"/>
  <c r="O648" i="6" s="1"/>
  <c r="Q294" i="7"/>
  <c r="T185" i="7"/>
  <c r="V899" i="8"/>
  <c r="R899" i="8"/>
  <c r="T899" i="8" s="1"/>
  <c r="T127" i="8"/>
  <c r="U680" i="7"/>
  <c r="N829" i="6"/>
  <c r="O829" i="6" s="1"/>
  <c r="R1064" i="8"/>
  <c r="L715" i="6"/>
  <c r="M1493" i="6"/>
  <c r="K1494" i="6" s="1"/>
  <c r="L1494" i="6" s="1"/>
  <c r="Q424" i="6"/>
  <c r="R424" i="6" s="1"/>
  <c r="O922" i="6"/>
  <c r="P1023" i="6"/>
  <c r="N1024" i="6" s="1"/>
  <c r="O1024" i="6" s="1"/>
  <c r="P460" i="7"/>
  <c r="Q460" i="7" s="1"/>
  <c r="S460" i="7"/>
  <c r="Q141" i="6"/>
  <c r="S141" i="6" s="1"/>
  <c r="T737" i="8"/>
  <c r="R682" i="8"/>
  <c r="P350" i="7"/>
  <c r="L1323" i="6"/>
  <c r="T624" i="8"/>
  <c r="V846" i="7"/>
  <c r="U625" i="7"/>
  <c r="Q403" i="7"/>
  <c r="R403" i="7" s="1"/>
  <c r="C272" i="11"/>
  <c r="S50" i="9"/>
  <c r="P734" i="7"/>
  <c r="Q734" i="7" s="1"/>
  <c r="P788" i="6"/>
  <c r="N789" i="6" s="1"/>
  <c r="O789" i="6" s="1"/>
  <c r="K1367" i="6"/>
  <c r="L1367" i="6" s="1"/>
  <c r="P973" i="6"/>
  <c r="N974" i="6" s="1"/>
  <c r="O974" i="6" s="1"/>
  <c r="Q372" i="6"/>
  <c r="S372" i="6" s="1"/>
  <c r="P184" i="12"/>
  <c r="Q184" i="12" s="1"/>
  <c r="Q225" i="6"/>
  <c r="S225" i="6" s="1"/>
  <c r="Q130" i="12"/>
  <c r="Q467" i="6"/>
  <c r="R467" i="6" s="1"/>
  <c r="K1124" i="6"/>
  <c r="M1124" i="6" s="1"/>
  <c r="K1262" i="6"/>
  <c r="L1262" i="6" s="1"/>
  <c r="J272" i="11" l="1"/>
  <c r="F272" i="11"/>
  <c r="U846" i="7"/>
  <c r="T682" i="8"/>
  <c r="AJ275" i="11"/>
  <c r="BL274" i="11"/>
  <c r="AP275" i="11" s="1"/>
  <c r="AI275" i="11"/>
  <c r="AK275" i="11"/>
  <c r="R846" i="7"/>
  <c r="T846" i="7" s="1"/>
  <c r="M1422" i="6"/>
  <c r="J224" i="11"/>
  <c r="G224" i="11"/>
  <c r="I224" i="11" s="1"/>
  <c r="U295" i="8"/>
  <c r="S329" i="6"/>
  <c r="S330" i="6" s="1"/>
  <c r="S518" i="6"/>
  <c r="T1064" i="8"/>
  <c r="S467" i="6"/>
  <c r="S468" i="6" s="1"/>
  <c r="U569" i="8"/>
  <c r="P570" i="8" s="1"/>
  <c r="T840" i="8"/>
  <c r="Q841" i="8" s="1"/>
  <c r="AV225" i="11"/>
  <c r="AU225" i="11"/>
  <c r="AY225" i="11" s="1"/>
  <c r="BD225" i="11" s="1"/>
  <c r="AS225" i="11"/>
  <c r="AX225" i="11" s="1"/>
  <c r="AT225" i="11"/>
  <c r="V293" i="12"/>
  <c r="R293" i="12"/>
  <c r="S293" i="12"/>
  <c r="U293" i="12" s="1"/>
  <c r="K1423" i="6"/>
  <c r="L1423" i="6" s="1"/>
  <c r="V240" i="12"/>
  <c r="S240" i="12"/>
  <c r="R240" i="12"/>
  <c r="T240" i="12" s="1"/>
  <c r="Q330" i="6"/>
  <c r="R330" i="6" s="1"/>
  <c r="Q519" i="6"/>
  <c r="R519" i="6" s="1"/>
  <c r="R520" i="6" s="1"/>
  <c r="R521" i="6" s="1"/>
  <c r="R522" i="6" s="1"/>
  <c r="R523" i="6" s="1"/>
  <c r="R524" i="6" s="1"/>
  <c r="R525" i="6" s="1"/>
  <c r="R526" i="6" s="1"/>
  <c r="R527" i="6" s="1"/>
  <c r="R528" i="6" s="1"/>
  <c r="R529" i="6" s="1"/>
  <c r="R530" i="6" s="1"/>
  <c r="R531" i="6" s="1"/>
  <c r="R532" i="6" s="1"/>
  <c r="R533" i="6" s="1"/>
  <c r="R534" i="6" s="1"/>
  <c r="R535" i="6" s="1"/>
  <c r="R536" i="6" s="1"/>
  <c r="R537" i="6" s="1"/>
  <c r="R538" i="6" s="1"/>
  <c r="R539" i="6" s="1"/>
  <c r="R184" i="12"/>
  <c r="V184" i="12"/>
  <c r="S184" i="12"/>
  <c r="P514" i="8"/>
  <c r="Q514" i="8" s="1"/>
  <c r="S514" i="8" s="1"/>
  <c r="Q350" i="7"/>
  <c r="R350" i="7" s="1"/>
  <c r="P514" i="7"/>
  <c r="K1324" i="6"/>
  <c r="M1324" i="6" s="1"/>
  <c r="L1081" i="6"/>
  <c r="R570" i="7"/>
  <c r="T570" i="7" s="1"/>
  <c r="V570" i="7"/>
  <c r="L621" i="6"/>
  <c r="Q738" i="8"/>
  <c r="R738" i="8" s="1"/>
  <c r="K716" i="6"/>
  <c r="M716" i="6" s="1"/>
  <c r="R787" i="8"/>
  <c r="T787" i="8" s="1"/>
  <c r="V787" i="8"/>
  <c r="U899" i="8"/>
  <c r="P187" i="8"/>
  <c r="Q187" i="8" s="1"/>
  <c r="P875" i="6"/>
  <c r="F50" i="9"/>
  <c r="E50" i="9"/>
  <c r="G50" i="9"/>
  <c r="R225" i="6"/>
  <c r="M1367" i="6"/>
  <c r="K1368" i="6" s="1"/>
  <c r="L1368" i="6" s="1"/>
  <c r="S294" i="7"/>
  <c r="U294" i="7" s="1"/>
  <c r="V294" i="7"/>
  <c r="G272" i="11"/>
  <c r="P974" i="6"/>
  <c r="N975" i="6" s="1"/>
  <c r="O975" i="6" s="1"/>
  <c r="L1453" i="6"/>
  <c r="M1262" i="6"/>
  <c r="K1263" i="6" s="1"/>
  <c r="L1263" i="6" s="1"/>
  <c r="P241" i="7"/>
  <c r="Q241" i="7" s="1"/>
  <c r="S241" i="7" s="1"/>
  <c r="CL223" i="11"/>
  <c r="CK223" i="11"/>
  <c r="CP223" i="11"/>
  <c r="CO223" i="11"/>
  <c r="CN223" i="11"/>
  <c r="CM223" i="11"/>
  <c r="CQ223" i="11"/>
  <c r="Q468" i="6"/>
  <c r="R468" i="6" s="1"/>
  <c r="V734" i="7"/>
  <c r="R734" i="7"/>
  <c r="P626" i="7"/>
  <c r="Q626" i="7" s="1"/>
  <c r="S626" i="7"/>
  <c r="V460" i="7"/>
  <c r="R460" i="7"/>
  <c r="T460" i="7" s="1"/>
  <c r="P681" i="7"/>
  <c r="Q681" i="7" s="1"/>
  <c r="S681" i="7" s="1"/>
  <c r="O2909" i="6"/>
  <c r="U1064" i="8"/>
  <c r="U899" i="7"/>
  <c r="T513" i="7"/>
  <c r="P459" i="8"/>
  <c r="L1164" i="6"/>
  <c r="K1223" i="6"/>
  <c r="M1223" i="6" s="1"/>
  <c r="Q239" i="8"/>
  <c r="R239" i="8" s="1"/>
  <c r="R562" i="6"/>
  <c r="P296" i="8"/>
  <c r="Q296" i="8" s="1"/>
  <c r="V296" i="8" s="1"/>
  <c r="E272" i="11"/>
  <c r="R404" i="8"/>
  <c r="V404" i="8"/>
  <c r="R372" i="6"/>
  <c r="Q186" i="7"/>
  <c r="S404" i="8"/>
  <c r="V403" i="7"/>
  <c r="S403" i="7"/>
  <c r="U403" i="7" s="1"/>
  <c r="M1494" i="6"/>
  <c r="K1495" i="6" s="1"/>
  <c r="L1495" i="6" s="1"/>
  <c r="R294" i="7"/>
  <c r="R954" i="8"/>
  <c r="V954" i="8"/>
  <c r="S954" i="8"/>
  <c r="P847" i="7"/>
  <c r="Q847" i="7" s="1"/>
  <c r="L1124" i="6"/>
  <c r="R141" i="6"/>
  <c r="P829" i="6"/>
  <c r="S130" i="7"/>
  <c r="U130" i="7" s="1"/>
  <c r="V130" i="7"/>
  <c r="N739" i="6"/>
  <c r="O739" i="6" s="1"/>
  <c r="P789" i="6"/>
  <c r="N790" i="6" s="1"/>
  <c r="O790" i="6" s="1"/>
  <c r="V130" i="12"/>
  <c r="S130" i="12"/>
  <c r="R130" i="12"/>
  <c r="T130" i="12" s="1"/>
  <c r="S734" i="7"/>
  <c r="P1024" i="6"/>
  <c r="N1025" i="6" s="1"/>
  <c r="O1025" i="6" s="1"/>
  <c r="U682" i="8"/>
  <c r="Q1010" i="8"/>
  <c r="Q789" i="7"/>
  <c r="R789" i="7" s="1"/>
  <c r="T569" i="8"/>
  <c r="Q181" i="6"/>
  <c r="S181" i="6" s="1"/>
  <c r="N649" i="6"/>
  <c r="O649" i="6" s="1"/>
  <c r="P350" i="8"/>
  <c r="Q350" i="8" s="1"/>
  <c r="Q625" i="8"/>
  <c r="P922" i="6"/>
  <c r="Q128" i="8"/>
  <c r="S424" i="6"/>
  <c r="Q425" i="6" s="1"/>
  <c r="R425" i="6" s="1"/>
  <c r="R426" i="6" s="1"/>
  <c r="R427" i="6" s="1"/>
  <c r="R428" i="6" s="1"/>
  <c r="R429" i="6" s="1"/>
  <c r="R430" i="6" s="1"/>
  <c r="R431" i="6" s="1"/>
  <c r="R432" i="6" s="1"/>
  <c r="R433" i="6" s="1"/>
  <c r="R434" i="6" s="1"/>
  <c r="R435" i="6" s="1"/>
  <c r="R436" i="6" s="1"/>
  <c r="R437" i="6" s="1"/>
  <c r="R438" i="6" s="1"/>
  <c r="R439" i="6" s="1"/>
  <c r="R440" i="6" s="1"/>
  <c r="R441" i="6" s="1"/>
  <c r="R442" i="6" s="1"/>
  <c r="R443" i="6" s="1"/>
  <c r="R444" i="6" s="1"/>
  <c r="R445" i="6" s="1"/>
  <c r="T458" i="8"/>
  <c r="K224" i="11" l="1"/>
  <c r="Q224" i="11" s="1"/>
  <c r="L224" i="11"/>
  <c r="N224" i="11"/>
  <c r="O224" i="11"/>
  <c r="S224" i="11" s="1"/>
  <c r="M224" i="11"/>
  <c r="R224" i="11" s="1"/>
  <c r="P224" i="11"/>
  <c r="AL275" i="11"/>
  <c r="U404" i="8"/>
  <c r="AM275" i="11"/>
  <c r="S519" i="6"/>
  <c r="S520" i="6" s="1"/>
  <c r="S521" i="6" s="1"/>
  <c r="S522" i="6" s="1"/>
  <c r="S523" i="6" s="1"/>
  <c r="S524" i="6" s="1"/>
  <c r="S525" i="6" s="1"/>
  <c r="S526" i="6" s="1"/>
  <c r="S527" i="6" s="1"/>
  <c r="S528" i="6" s="1"/>
  <c r="S529" i="6" s="1"/>
  <c r="S530" i="6" s="1"/>
  <c r="S531" i="6" s="1"/>
  <c r="S532" i="6" s="1"/>
  <c r="S533" i="6" s="1"/>
  <c r="S534" i="6" s="1"/>
  <c r="S535" i="6" s="1"/>
  <c r="S536" i="6" s="1"/>
  <c r="S537" i="6" s="1"/>
  <c r="S538" i="6" s="1"/>
  <c r="S539" i="6" s="1"/>
  <c r="Q540" i="6" s="1"/>
  <c r="B541" i="6" s="1"/>
  <c r="U787" i="8"/>
  <c r="U734" i="7"/>
  <c r="P735" i="7" s="1"/>
  <c r="U184" i="12"/>
  <c r="P185" i="12" s="1"/>
  <c r="M1423" i="6"/>
  <c r="U954" i="8"/>
  <c r="P649" i="6"/>
  <c r="BA225" i="11"/>
  <c r="BC225" i="11" s="1"/>
  <c r="BB225" i="11" s="1"/>
  <c r="BM225" i="11" s="1"/>
  <c r="P739" i="6"/>
  <c r="N740" i="6" s="1"/>
  <c r="P740" i="6" s="1"/>
  <c r="N650" i="6"/>
  <c r="O650" i="6" s="1"/>
  <c r="S847" i="7"/>
  <c r="R847" i="7"/>
  <c r="T847" i="7" s="1"/>
  <c r="V847" i="7"/>
  <c r="Q469" i="6"/>
  <c r="S469" i="6" s="1"/>
  <c r="T350" i="7"/>
  <c r="Q331" i="6"/>
  <c r="R331" i="6" s="1"/>
  <c r="R332" i="6" s="1"/>
  <c r="R333" i="6" s="1"/>
  <c r="R334" i="6" s="1"/>
  <c r="R335" i="6" s="1"/>
  <c r="R336" i="6" s="1"/>
  <c r="R337" i="6" s="1"/>
  <c r="R338" i="6" s="1"/>
  <c r="R339" i="6" s="1"/>
  <c r="R340" i="6" s="1"/>
  <c r="R341" i="6" s="1"/>
  <c r="R342" i="6" s="1"/>
  <c r="R343" i="6" s="1"/>
  <c r="R344" i="6" s="1"/>
  <c r="R345" i="6" s="1"/>
  <c r="R346" i="6" s="1"/>
  <c r="R347" i="6" s="1"/>
  <c r="R348" i="6" s="1"/>
  <c r="R349" i="6" s="1"/>
  <c r="R350" i="6" s="1"/>
  <c r="R351" i="6" s="1"/>
  <c r="Q446" i="6"/>
  <c r="B447" i="6" s="1"/>
  <c r="V187" i="8"/>
  <c r="S187" i="8"/>
  <c r="R187" i="8"/>
  <c r="K1424" i="6"/>
  <c r="L1424" i="6" s="1"/>
  <c r="P683" i="8"/>
  <c r="Q683" i="8" s="1"/>
  <c r="S683" i="8"/>
  <c r="P404" i="7"/>
  <c r="V350" i="8"/>
  <c r="R350" i="8"/>
  <c r="T350" i="8" s="1"/>
  <c r="V681" i="7"/>
  <c r="R681" i="7"/>
  <c r="T681" i="7" s="1"/>
  <c r="P830" i="6"/>
  <c r="N923" i="6"/>
  <c r="O923" i="6" s="1"/>
  <c r="Q142" i="6"/>
  <c r="S142" i="6" s="1"/>
  <c r="V128" i="8"/>
  <c r="S128" i="8"/>
  <c r="R128" i="8"/>
  <c r="T128" i="8" s="1"/>
  <c r="K622" i="6"/>
  <c r="M622" i="6" s="1"/>
  <c r="S350" i="8"/>
  <c r="P295" i="7"/>
  <c r="V626" i="7"/>
  <c r="R626" i="7"/>
  <c r="T626" i="7" s="1"/>
  <c r="Q373" i="6"/>
  <c r="S373" i="6" s="1"/>
  <c r="T184" i="12"/>
  <c r="K1165" i="6"/>
  <c r="M1165" i="6" s="1"/>
  <c r="L1324" i="6"/>
  <c r="P900" i="8"/>
  <c r="Q900" i="8" s="1"/>
  <c r="S900" i="8"/>
  <c r="H272" i="11"/>
  <c r="I272" i="11" s="1"/>
  <c r="P294" i="12"/>
  <c r="Q459" i="8"/>
  <c r="R459" i="8" s="1"/>
  <c r="U460" i="7"/>
  <c r="S296" i="8"/>
  <c r="T293" i="12"/>
  <c r="P790" i="6"/>
  <c r="N791" i="6" s="1"/>
  <c r="O791" i="6" s="1"/>
  <c r="T954" i="8"/>
  <c r="P1065" i="8"/>
  <c r="Q1065" i="8" s="1"/>
  <c r="S1065" i="8"/>
  <c r="Q226" i="6"/>
  <c r="S226" i="6" s="1"/>
  <c r="T130" i="7"/>
  <c r="U224" i="11"/>
  <c r="V224" i="11" s="1"/>
  <c r="S186" i="7"/>
  <c r="V186" i="7"/>
  <c r="U570" i="7"/>
  <c r="U130" i="12"/>
  <c r="R186" i="7"/>
  <c r="T186" i="7" s="1"/>
  <c r="S841" i="8"/>
  <c r="V841" i="8"/>
  <c r="T734" i="7"/>
  <c r="R841" i="8"/>
  <c r="T224" i="11"/>
  <c r="N876" i="6"/>
  <c r="O876" i="6" s="1"/>
  <c r="T404" i="8"/>
  <c r="M1263" i="6"/>
  <c r="Q570" i="8"/>
  <c r="R570" i="8" s="1"/>
  <c r="T403" i="7"/>
  <c r="Q514" i="7"/>
  <c r="V1010" i="8"/>
  <c r="S1010" i="8"/>
  <c r="T294" i="7"/>
  <c r="Q563" i="6"/>
  <c r="S563" i="6" s="1"/>
  <c r="N2910" i="6"/>
  <c r="P2910" i="6" s="1"/>
  <c r="K1454" i="6"/>
  <c r="M1454" i="6" s="1"/>
  <c r="L716" i="6"/>
  <c r="P131" i="7"/>
  <c r="BR224" i="11"/>
  <c r="BP224" i="11"/>
  <c r="P1025" i="6"/>
  <c r="S239" i="8"/>
  <c r="U239" i="8" s="1"/>
  <c r="V239" i="8"/>
  <c r="P405" i="8"/>
  <c r="P788" i="8"/>
  <c r="Q788" i="8" s="1"/>
  <c r="V625" i="8"/>
  <c r="S625" i="8"/>
  <c r="K1125" i="6"/>
  <c r="M1125" i="6" s="1"/>
  <c r="R625" i="8"/>
  <c r="CR223" i="11"/>
  <c r="BV224" i="11" s="1"/>
  <c r="BQ224" i="11"/>
  <c r="BO224" i="11"/>
  <c r="K1082" i="6"/>
  <c r="M1082" i="6" s="1"/>
  <c r="R181" i="6"/>
  <c r="L1223" i="6"/>
  <c r="P955" i="8"/>
  <c r="V241" i="7"/>
  <c r="R241" i="7"/>
  <c r="T241" i="7" s="1"/>
  <c r="M1368" i="6"/>
  <c r="K1369" i="6" s="1"/>
  <c r="L1369" i="6" s="1"/>
  <c r="N830" i="6"/>
  <c r="O830" i="6" s="1"/>
  <c r="R296" i="8"/>
  <c r="V789" i="7"/>
  <c r="S789" i="7"/>
  <c r="U789" i="7" s="1"/>
  <c r="P900" i="7"/>
  <c r="Q900" i="7" s="1"/>
  <c r="S900" i="7"/>
  <c r="V350" i="7"/>
  <c r="S350" i="7"/>
  <c r="U350" i="7" s="1"/>
  <c r="S425" i="6"/>
  <c r="S426" i="6" s="1"/>
  <c r="S427" i="6" s="1"/>
  <c r="S428" i="6" s="1"/>
  <c r="S429" i="6" s="1"/>
  <c r="S430" i="6" s="1"/>
  <c r="S431" i="6" s="1"/>
  <c r="S432" i="6" s="1"/>
  <c r="S433" i="6" s="1"/>
  <c r="S434" i="6" s="1"/>
  <c r="S435" i="6" s="1"/>
  <c r="S436" i="6" s="1"/>
  <c r="S437" i="6" s="1"/>
  <c r="S438" i="6" s="1"/>
  <c r="S439" i="6" s="1"/>
  <c r="S440" i="6" s="1"/>
  <c r="S441" i="6" s="1"/>
  <c r="S442" i="6" s="1"/>
  <c r="S443" i="6" s="1"/>
  <c r="S444" i="6" s="1"/>
  <c r="S445" i="6" s="1"/>
  <c r="R1010" i="8"/>
  <c r="M1495" i="6"/>
  <c r="P975" i="6"/>
  <c r="H50" i="9"/>
  <c r="I50" i="9" s="1"/>
  <c r="L51" i="9"/>
  <c r="S738" i="8"/>
  <c r="U738" i="8" s="1"/>
  <c r="V738" i="8"/>
  <c r="V514" i="8"/>
  <c r="R514" i="8"/>
  <c r="T514" i="8" s="1"/>
  <c r="U240" i="12"/>
  <c r="T738" i="8" l="1"/>
  <c r="W224" i="11"/>
  <c r="U626" i="7"/>
  <c r="P627" i="7" s="1"/>
  <c r="Q627" i="7" s="1"/>
  <c r="AN275" i="11"/>
  <c r="P876" i="6"/>
  <c r="X224" i="11"/>
  <c r="AG224" i="11" s="1"/>
  <c r="AA224" i="11" s="1"/>
  <c r="AO275" i="11"/>
  <c r="U625" i="8"/>
  <c r="T187" i="8"/>
  <c r="BE225" i="11"/>
  <c r="BI225" i="11"/>
  <c r="BH225" i="11"/>
  <c r="BJ225" i="11"/>
  <c r="BF225" i="11"/>
  <c r="BK225" i="11"/>
  <c r="BG225" i="11"/>
  <c r="S788" i="8"/>
  <c r="V788" i="8"/>
  <c r="U1010" i="8"/>
  <c r="P1011" i="8" s="1"/>
  <c r="P650" i="6"/>
  <c r="S331" i="6"/>
  <c r="S332" i="6" s="1"/>
  <c r="S333" i="6" s="1"/>
  <c r="S334" i="6" s="1"/>
  <c r="S335" i="6" s="1"/>
  <c r="S336" i="6" s="1"/>
  <c r="S337" i="6" s="1"/>
  <c r="S338" i="6" s="1"/>
  <c r="S339" i="6" s="1"/>
  <c r="S340" i="6" s="1"/>
  <c r="S341" i="6" s="1"/>
  <c r="S342" i="6" s="1"/>
  <c r="S343" i="6" s="1"/>
  <c r="S344" i="6" s="1"/>
  <c r="S345" i="6" s="1"/>
  <c r="S346" i="6" s="1"/>
  <c r="S347" i="6" s="1"/>
  <c r="S348" i="6" s="1"/>
  <c r="S349" i="6" s="1"/>
  <c r="S350" i="6" s="1"/>
  <c r="S351" i="6" s="1"/>
  <c r="Q352" i="6" s="1"/>
  <c r="B353" i="6" s="1"/>
  <c r="T296" i="8"/>
  <c r="O2910" i="6"/>
  <c r="N2911" i="6" s="1"/>
  <c r="P2911" i="6" s="1"/>
  <c r="U841" i="8"/>
  <c r="P842" i="8" s="1"/>
  <c r="P241" i="12"/>
  <c r="Q241" i="12" s="1"/>
  <c r="S241" i="12" s="1"/>
  <c r="P240" i="8"/>
  <c r="N272" i="11"/>
  <c r="M272" i="11"/>
  <c r="R272" i="11" s="1"/>
  <c r="U514" i="8"/>
  <c r="R469" i="6"/>
  <c r="P790" i="7"/>
  <c r="L1125" i="6"/>
  <c r="Q295" i="7"/>
  <c r="R295" i="7" s="1"/>
  <c r="P131" i="12"/>
  <c r="Q131" i="12" s="1"/>
  <c r="S131" i="12" s="1"/>
  <c r="P739" i="8"/>
  <c r="Q739" i="8" s="1"/>
  <c r="N877" i="6"/>
  <c r="O877" i="6" s="1"/>
  <c r="O740" i="6"/>
  <c r="M1424" i="6"/>
  <c r="N924" i="6"/>
  <c r="O924" i="6" s="1"/>
  <c r="V900" i="7"/>
  <c r="R900" i="7"/>
  <c r="T900" i="7" s="1"/>
  <c r="R563" i="6"/>
  <c r="Q405" i="8"/>
  <c r="R373" i="6"/>
  <c r="N1026" i="6"/>
  <c r="O1026" i="6" s="1"/>
  <c r="Q955" i="8"/>
  <c r="T239" i="8"/>
  <c r="M51" i="9"/>
  <c r="P51" i="9" s="1"/>
  <c r="N51" i="9"/>
  <c r="Q51" i="9" s="1"/>
  <c r="Y224" i="11"/>
  <c r="Z224" i="11"/>
  <c r="AE224" i="11"/>
  <c r="AD224" i="11"/>
  <c r="AB224" i="11"/>
  <c r="AC224" i="11"/>
  <c r="P791" i="6"/>
  <c r="N792" i="6" s="1"/>
  <c r="O792" i="6" s="1"/>
  <c r="Q182" i="6"/>
  <c r="S182" i="6" s="1"/>
  <c r="Q294" i="12"/>
  <c r="U186" i="7"/>
  <c r="R900" i="8"/>
  <c r="T900" i="8" s="1"/>
  <c r="V900" i="8"/>
  <c r="U128" i="8"/>
  <c r="O272" i="11"/>
  <c r="S272" i="11" s="1"/>
  <c r="T789" i="7"/>
  <c r="BT224" i="11"/>
  <c r="R788" i="8"/>
  <c r="BS224" i="11"/>
  <c r="K272" i="11"/>
  <c r="Q272" i="11" s="1"/>
  <c r="L1165" i="6"/>
  <c r="R142" i="6"/>
  <c r="U187" i="8"/>
  <c r="L1082" i="6"/>
  <c r="U681" i="7"/>
  <c r="N976" i="6"/>
  <c r="O976" i="6" s="1"/>
  <c r="V459" i="8"/>
  <c r="S459" i="8"/>
  <c r="U459" i="8" s="1"/>
  <c r="Q735" i="7"/>
  <c r="R735" i="7" s="1"/>
  <c r="T1010" i="8"/>
  <c r="K1325" i="6"/>
  <c r="M1325" i="6" s="1"/>
  <c r="T625" i="8"/>
  <c r="L1454" i="6"/>
  <c r="Q404" i="7"/>
  <c r="L272" i="11"/>
  <c r="V683" i="8"/>
  <c r="R683" i="8"/>
  <c r="T683" i="8" s="1"/>
  <c r="R226" i="6"/>
  <c r="L622" i="6"/>
  <c r="P923" i="6"/>
  <c r="R1065" i="8"/>
  <c r="T1065" i="8" s="1"/>
  <c r="V1065" i="8"/>
  <c r="P571" i="7"/>
  <c r="Q571" i="7" s="1"/>
  <c r="S571" i="7"/>
  <c r="K1224" i="6"/>
  <c r="M1224" i="6" s="1"/>
  <c r="P626" i="8"/>
  <c r="O51" i="9"/>
  <c r="N831" i="6"/>
  <c r="P831" i="6" s="1"/>
  <c r="U296" i="8"/>
  <c r="U847" i="7"/>
  <c r="M1369" i="6"/>
  <c r="P461" i="7"/>
  <c r="Q461" i="7" s="1"/>
  <c r="S461" i="7" s="1"/>
  <c r="T841" i="8"/>
  <c r="Q131" i="7"/>
  <c r="R131" i="7" s="1"/>
  <c r="P272" i="11"/>
  <c r="K1264" i="6"/>
  <c r="L1264" i="6" s="1"/>
  <c r="K717" i="6"/>
  <c r="M717" i="6" s="1"/>
  <c r="M718" i="6" s="1"/>
  <c r="M719" i="6" s="1"/>
  <c r="M720" i="6" s="1"/>
  <c r="M721" i="6" s="1"/>
  <c r="M722" i="6" s="1"/>
  <c r="M723" i="6" s="1"/>
  <c r="M724" i="6" s="1"/>
  <c r="M725" i="6" s="1"/>
  <c r="M726" i="6" s="1"/>
  <c r="M727" i="6" s="1"/>
  <c r="V514" i="7"/>
  <c r="S514" i="7"/>
  <c r="K1496" i="6"/>
  <c r="L1496" i="6" s="1"/>
  <c r="R514" i="7"/>
  <c r="T514" i="7" s="1"/>
  <c r="P351" i="7"/>
  <c r="Q351" i="7" s="1"/>
  <c r="S351" i="7" s="1"/>
  <c r="U241" i="7"/>
  <c r="V570" i="8"/>
  <c r="S570" i="8"/>
  <c r="U570" i="8" s="1"/>
  <c r="Q185" i="12"/>
  <c r="R185" i="12" s="1"/>
  <c r="U350" i="8"/>
  <c r="AQ275" i="11" l="1"/>
  <c r="AW275" i="11" s="1"/>
  <c r="AZ275" i="11" s="1"/>
  <c r="AR275" i="11"/>
  <c r="U788" i="8"/>
  <c r="P976" i="6"/>
  <c r="P977" i="6" s="1"/>
  <c r="AT275" i="11"/>
  <c r="AU275" i="11"/>
  <c r="AY275" i="11" s="1"/>
  <c r="U272" i="11"/>
  <c r="AS275" i="11"/>
  <c r="AX275" i="11" s="1"/>
  <c r="BA275" i="11" s="1"/>
  <c r="BM275" i="11" s="1"/>
  <c r="AV275" i="11"/>
  <c r="U900" i="8"/>
  <c r="U1065" i="8"/>
  <c r="P1066" i="8" s="1"/>
  <c r="Q1066" i="8" s="1"/>
  <c r="R1066" i="8" s="1"/>
  <c r="AJ226" i="11"/>
  <c r="P1026" i="6"/>
  <c r="N1027" i="6" s="1"/>
  <c r="T788" i="8"/>
  <c r="N651" i="6"/>
  <c r="O651" i="6" s="1"/>
  <c r="BL225" i="11"/>
  <c r="AP226" i="11" s="1"/>
  <c r="AI226" i="11"/>
  <c r="AK226" i="11"/>
  <c r="S739" i="8"/>
  <c r="R739" i="8"/>
  <c r="V739" i="8"/>
  <c r="R627" i="7"/>
  <c r="S627" i="7"/>
  <c r="V627" i="7"/>
  <c r="N793" i="6"/>
  <c r="O793" i="6" s="1"/>
  <c r="N925" i="6"/>
  <c r="O925" i="6" s="1"/>
  <c r="Q227" i="6"/>
  <c r="S227" i="6" s="1"/>
  <c r="Q626" i="8"/>
  <c r="R626" i="8" s="1"/>
  <c r="P515" i="8"/>
  <c r="Q515" i="8" s="1"/>
  <c r="S515" i="8" s="1"/>
  <c r="V294" i="12"/>
  <c r="S294" i="12"/>
  <c r="S405" i="8"/>
  <c r="V405" i="8"/>
  <c r="L1325" i="6"/>
  <c r="P351" i="8"/>
  <c r="Q351" i="8" s="1"/>
  <c r="S351" i="8" s="1"/>
  <c r="L717" i="6"/>
  <c r="L718" i="6" s="1"/>
  <c r="L719" i="6" s="1"/>
  <c r="L720" i="6" s="1"/>
  <c r="L721" i="6" s="1"/>
  <c r="L722" i="6" s="1"/>
  <c r="L723" i="6" s="1"/>
  <c r="L724" i="6" s="1"/>
  <c r="L725" i="6" s="1"/>
  <c r="L726" i="6" s="1"/>
  <c r="L727" i="6" s="1"/>
  <c r="K728" i="6" s="1"/>
  <c r="N685" i="6" s="1"/>
  <c r="P297" i="8"/>
  <c r="Q297" i="8" s="1"/>
  <c r="AF224" i="11"/>
  <c r="J225" i="11" s="1"/>
  <c r="E225" i="11"/>
  <c r="C225" i="11"/>
  <c r="U900" i="7"/>
  <c r="K1370" i="6"/>
  <c r="L1370" i="6" s="1"/>
  <c r="O2911" i="6"/>
  <c r="R182" i="6"/>
  <c r="O831" i="6"/>
  <c r="V351" i="7"/>
  <c r="P571" i="8"/>
  <c r="Q240" i="8"/>
  <c r="T570" i="8"/>
  <c r="V955" i="8"/>
  <c r="S955" i="8"/>
  <c r="P792" i="6"/>
  <c r="R955" i="8"/>
  <c r="T955" i="8" s="1"/>
  <c r="K1126" i="6"/>
  <c r="M1126" i="6" s="1"/>
  <c r="K1425" i="6"/>
  <c r="L1425" i="6" s="1"/>
  <c r="U683" i="8"/>
  <c r="D225" i="11"/>
  <c r="S404" i="7"/>
  <c r="U404" i="7" s="1"/>
  <c r="V404" i="7"/>
  <c r="M1496" i="6"/>
  <c r="Q143" i="6"/>
  <c r="S143" i="6" s="1"/>
  <c r="S144" i="6" s="1"/>
  <c r="S145" i="6" s="1"/>
  <c r="S146" i="6" s="1"/>
  <c r="S147" i="6" s="1"/>
  <c r="S148" i="6" s="1"/>
  <c r="S149" i="6" s="1"/>
  <c r="S150" i="6" s="1"/>
  <c r="S151" i="6" s="1"/>
  <c r="S152" i="6" s="1"/>
  <c r="S153" i="6" s="1"/>
  <c r="S154" i="6" s="1"/>
  <c r="S155" i="6" s="1"/>
  <c r="S156" i="6" s="1"/>
  <c r="S157" i="6" s="1"/>
  <c r="S158" i="6" s="1"/>
  <c r="S159" i="6" s="1"/>
  <c r="S160" i="6" s="1"/>
  <c r="S161" i="6" s="1"/>
  <c r="S162" i="6" s="1"/>
  <c r="S163" i="6" s="1"/>
  <c r="V241" i="12"/>
  <c r="R241" i="12"/>
  <c r="T241" i="12" s="1"/>
  <c r="P924" i="6"/>
  <c r="R404" i="7"/>
  <c r="N977" i="6"/>
  <c r="O977" i="6" s="1"/>
  <c r="K1166" i="6"/>
  <c r="M1166" i="6" s="1"/>
  <c r="P187" i="7"/>
  <c r="Q187" i="7" s="1"/>
  <c r="S187" i="7"/>
  <c r="Q374" i="6"/>
  <c r="S374" i="6" s="1"/>
  <c r="P877" i="6"/>
  <c r="Q470" i="6"/>
  <c r="S470" i="6" s="1"/>
  <c r="P682" i="7"/>
  <c r="Q682" i="7" s="1"/>
  <c r="S682" i="7"/>
  <c r="P901" i="8"/>
  <c r="Q901" i="8" s="1"/>
  <c r="V901" i="8" s="1"/>
  <c r="N741" i="6"/>
  <c r="P741" i="6" s="1"/>
  <c r="P848" i="7"/>
  <c r="Q848" i="7" s="1"/>
  <c r="S848" i="7" s="1"/>
  <c r="K1083" i="6"/>
  <c r="M1083" i="6" s="1"/>
  <c r="U514" i="7"/>
  <c r="L1224" i="6"/>
  <c r="R351" i="7"/>
  <c r="T351" i="7" s="1"/>
  <c r="R294" i="12"/>
  <c r="P188" i="8"/>
  <c r="Q188" i="8" s="1"/>
  <c r="S188" i="8" s="1"/>
  <c r="R405" i="8"/>
  <c r="T405" i="8" s="1"/>
  <c r="P789" i="8"/>
  <c r="Q564" i="6"/>
  <c r="S564" i="6" s="1"/>
  <c r="V571" i="7"/>
  <c r="R571" i="7"/>
  <c r="T571" i="7" s="1"/>
  <c r="Q1011" i="8"/>
  <c r="R1011" i="8" s="1"/>
  <c r="S185" i="12"/>
  <c r="U185" i="12" s="1"/>
  <c r="V185" i="12"/>
  <c r="V131" i="12"/>
  <c r="R131" i="12"/>
  <c r="T131" i="12" s="1"/>
  <c r="S735" i="7"/>
  <c r="U735" i="7" s="1"/>
  <c r="V735" i="7"/>
  <c r="BU224" i="11"/>
  <c r="M1264" i="6"/>
  <c r="K1265" i="6" s="1"/>
  <c r="L1265" i="6" s="1"/>
  <c r="V131" i="7"/>
  <c r="S131" i="7"/>
  <c r="U131" i="7" s="1"/>
  <c r="R51" i="9"/>
  <c r="S51" i="9"/>
  <c r="Q790" i="7"/>
  <c r="S295" i="7"/>
  <c r="U295" i="7" s="1"/>
  <c r="V295" i="7"/>
  <c r="Q842" i="8"/>
  <c r="R842" i="8" s="1"/>
  <c r="P460" i="8"/>
  <c r="P129" i="8"/>
  <c r="Q129" i="8" s="1"/>
  <c r="P242" i="7"/>
  <c r="Q242" i="7" s="1"/>
  <c r="S242" i="7" s="1"/>
  <c r="R461" i="7"/>
  <c r="T461" i="7" s="1"/>
  <c r="V461" i="7"/>
  <c r="K623" i="6"/>
  <c r="M623" i="6" s="1"/>
  <c r="M624" i="6" s="1"/>
  <c r="M625" i="6" s="1"/>
  <c r="M626" i="6" s="1"/>
  <c r="M627" i="6" s="1"/>
  <c r="M628" i="6" s="1"/>
  <c r="M629" i="6" s="1"/>
  <c r="M630" i="6" s="1"/>
  <c r="M631" i="6" s="1"/>
  <c r="M632" i="6" s="1"/>
  <c r="M633" i="6" s="1"/>
  <c r="K1455" i="6"/>
  <c r="M1455" i="6" s="1"/>
  <c r="T272" i="11"/>
  <c r="AG272" i="11" s="1"/>
  <c r="T459" i="8"/>
  <c r="BI275" i="11" l="1"/>
  <c r="BF275" i="11"/>
  <c r="BJ275" i="11"/>
  <c r="BH275" i="11"/>
  <c r="BK275" i="11"/>
  <c r="BG275" i="11"/>
  <c r="BD276" i="11"/>
  <c r="BE275" i="11"/>
  <c r="BB276" i="11"/>
  <c r="BC276" i="11"/>
  <c r="Q789" i="8"/>
  <c r="S789" i="8" s="1"/>
  <c r="O1027" i="6"/>
  <c r="P1027" i="6"/>
  <c r="R143" i="6"/>
  <c r="R144" i="6" s="1"/>
  <c r="R145" i="6" s="1"/>
  <c r="R146" i="6" s="1"/>
  <c r="R147" i="6" s="1"/>
  <c r="R148" i="6" s="1"/>
  <c r="R149" i="6" s="1"/>
  <c r="R150" i="6" s="1"/>
  <c r="R151" i="6" s="1"/>
  <c r="R152" i="6" s="1"/>
  <c r="R153" i="6" s="1"/>
  <c r="R154" i="6" s="1"/>
  <c r="R155" i="6" s="1"/>
  <c r="R156" i="6" s="1"/>
  <c r="R157" i="6" s="1"/>
  <c r="R158" i="6" s="1"/>
  <c r="R159" i="6" s="1"/>
  <c r="R160" i="6" s="1"/>
  <c r="R161" i="6" s="1"/>
  <c r="R162" i="6" s="1"/>
  <c r="R163" i="6" s="1"/>
  <c r="Q164" i="6" s="1"/>
  <c r="B165" i="6" s="1"/>
  <c r="D20" i="6" s="1"/>
  <c r="U739" i="8"/>
  <c r="P740" i="8" s="1"/>
  <c r="U241" i="12"/>
  <c r="P242" i="12" s="1"/>
  <c r="Q242" i="12" s="1"/>
  <c r="G225" i="11"/>
  <c r="T295" i="7"/>
  <c r="S1066" i="8"/>
  <c r="U1066" i="8" s="1"/>
  <c r="R470" i="6"/>
  <c r="Q471" i="6" s="1"/>
  <c r="R471" i="6" s="1"/>
  <c r="T131" i="7"/>
  <c r="U294" i="12"/>
  <c r="P295" i="12" s="1"/>
  <c r="P651" i="6"/>
  <c r="N652" i="6" s="1"/>
  <c r="O652" i="6" s="1"/>
  <c r="L623" i="6"/>
  <c r="L624" i="6" s="1"/>
  <c r="L625" i="6" s="1"/>
  <c r="L626" i="6" s="1"/>
  <c r="L627" i="6" s="1"/>
  <c r="L628" i="6" s="1"/>
  <c r="L629" i="6" s="1"/>
  <c r="L630" i="6" s="1"/>
  <c r="L631" i="6" s="1"/>
  <c r="L632" i="6" s="1"/>
  <c r="L633" i="6" s="1"/>
  <c r="K634" i="6" s="1"/>
  <c r="N591" i="6" s="1"/>
  <c r="O593" i="6" s="1"/>
  <c r="AM226" i="11"/>
  <c r="F225" i="11"/>
  <c r="AL226" i="11"/>
  <c r="T735" i="7"/>
  <c r="U627" i="7"/>
  <c r="AC272" i="11"/>
  <c r="AB272" i="11"/>
  <c r="AA272" i="11"/>
  <c r="AE272" i="11"/>
  <c r="AD272" i="11"/>
  <c r="Z272" i="11"/>
  <c r="Y272" i="11"/>
  <c r="W273" i="11"/>
  <c r="V273" i="11"/>
  <c r="X273" i="11"/>
  <c r="N1028" i="6"/>
  <c r="O1028" i="6" s="1"/>
  <c r="N978" i="6"/>
  <c r="P978" i="6" s="1"/>
  <c r="N2912" i="6"/>
  <c r="P2912" i="6" s="1"/>
  <c r="K1326" i="6"/>
  <c r="M1326" i="6" s="1"/>
  <c r="P296" i="7"/>
  <c r="P405" i="7"/>
  <c r="S790" i="7"/>
  <c r="V790" i="7"/>
  <c r="Q132" i="7"/>
  <c r="S132" i="7" s="1"/>
  <c r="R187" i="7"/>
  <c r="T187" i="7" s="1"/>
  <c r="V187" i="7"/>
  <c r="R242" i="7"/>
  <c r="T242" i="7" s="1"/>
  <c r="V242" i="7"/>
  <c r="P684" i="8"/>
  <c r="Q684" i="8" s="1"/>
  <c r="S684" i="8"/>
  <c r="F51" i="9"/>
  <c r="E51" i="9"/>
  <c r="G51" i="9"/>
  <c r="Q460" i="8"/>
  <c r="V129" i="8"/>
  <c r="R129" i="8"/>
  <c r="R682" i="7"/>
  <c r="T682" i="7" s="1"/>
  <c r="V682" i="7"/>
  <c r="U351" i="7"/>
  <c r="L1455" i="6"/>
  <c r="BX224" i="11"/>
  <c r="BW224" i="11"/>
  <c r="CC224" i="11" s="1"/>
  <c r="BZ224" i="11"/>
  <c r="BY224" i="11"/>
  <c r="CD224" i="11" s="1"/>
  <c r="CG224" i="11" s="1"/>
  <c r="R564" i="6"/>
  <c r="V1066" i="8"/>
  <c r="V297" i="8"/>
  <c r="R297" i="8"/>
  <c r="U131" i="12"/>
  <c r="CA224" i="11"/>
  <c r="CE224" i="11" s="1"/>
  <c r="L1083" i="6"/>
  <c r="P793" i="6"/>
  <c r="N832" i="6"/>
  <c r="P832" i="6" s="1"/>
  <c r="S297" i="8"/>
  <c r="U297" i="8" s="1"/>
  <c r="M1425" i="6"/>
  <c r="K1426" i="6" s="1"/>
  <c r="L1426" i="6" s="1"/>
  <c r="P186" i="12"/>
  <c r="O741" i="6"/>
  <c r="U405" i="8"/>
  <c r="R901" i="8"/>
  <c r="V240" i="8"/>
  <c r="S240" i="8"/>
  <c r="P901" i="7"/>
  <c r="Q901" i="7" s="1"/>
  <c r="S901" i="7" s="1"/>
  <c r="S901" i="8"/>
  <c r="K1497" i="6"/>
  <c r="L1497" i="6" s="1"/>
  <c r="P132" i="7"/>
  <c r="T627" i="7"/>
  <c r="K1225" i="6"/>
  <c r="M1225" i="6" s="1"/>
  <c r="T404" i="7"/>
  <c r="S129" i="8"/>
  <c r="U129" i="8" s="1"/>
  <c r="P515" i="7"/>
  <c r="Q515" i="7" s="1"/>
  <c r="S515" i="7" s="1"/>
  <c r="P925" i="6"/>
  <c r="N926" i="6" s="1"/>
  <c r="O926" i="6" s="1"/>
  <c r="L1126" i="6"/>
  <c r="V842" i="8"/>
  <c r="S842" i="8"/>
  <c r="U842" i="8" s="1"/>
  <c r="P736" i="7"/>
  <c r="CB224" i="11"/>
  <c r="R848" i="7"/>
  <c r="T848" i="7" s="1"/>
  <c r="V848" i="7"/>
  <c r="U955" i="8"/>
  <c r="O687" i="6"/>
  <c r="V626" i="8"/>
  <c r="S626" i="8"/>
  <c r="U626" i="8" s="1"/>
  <c r="T739" i="8"/>
  <c r="P878" i="6"/>
  <c r="Q183" i="6"/>
  <c r="S183" i="6" s="1"/>
  <c r="R227" i="6"/>
  <c r="R374" i="6"/>
  <c r="Q571" i="8"/>
  <c r="R571" i="8" s="1"/>
  <c r="U461" i="7"/>
  <c r="V188" i="8"/>
  <c r="R188" i="8"/>
  <c r="T188" i="8" s="1"/>
  <c r="N878" i="6"/>
  <c r="O878" i="6" s="1"/>
  <c r="R790" i="7"/>
  <c r="R240" i="8"/>
  <c r="S1011" i="8"/>
  <c r="U1011" i="8" s="1"/>
  <c r="V1011" i="8"/>
  <c r="L1166" i="6"/>
  <c r="T294" i="12"/>
  <c r="P628" i="7"/>
  <c r="H225" i="11"/>
  <c r="I225" i="11" s="1"/>
  <c r="M1370" i="6"/>
  <c r="T185" i="12"/>
  <c r="M1265" i="6"/>
  <c r="K1266" i="6" s="1"/>
  <c r="L1266" i="6" s="1"/>
  <c r="R515" i="8"/>
  <c r="T515" i="8" s="1"/>
  <c r="V515" i="8"/>
  <c r="T842" i="8"/>
  <c r="U571" i="7"/>
  <c r="D2107" i="6"/>
  <c r="E20" i="6"/>
  <c r="D2173" i="6"/>
  <c r="D1909" i="6"/>
  <c r="V351" i="8"/>
  <c r="R351" i="8"/>
  <c r="T351" i="8" s="1"/>
  <c r="R789" i="8" l="1"/>
  <c r="U789" i="8" s="1"/>
  <c r="P790" i="8" s="1"/>
  <c r="T1011" i="8"/>
  <c r="V789" i="8"/>
  <c r="AJ276" i="11"/>
  <c r="T790" i="7"/>
  <c r="P1028" i="6"/>
  <c r="U848" i="7"/>
  <c r="P849" i="7" s="1"/>
  <c r="Q849" i="7" s="1"/>
  <c r="U240" i="8"/>
  <c r="BL275" i="11"/>
  <c r="AP276" i="11" s="1"/>
  <c r="AK276" i="11"/>
  <c r="AI276" i="11"/>
  <c r="T1066" i="8"/>
  <c r="AM276" i="11"/>
  <c r="S242" i="12"/>
  <c r="T242" i="12" s="1"/>
  <c r="V242" i="12"/>
  <c r="R242" i="12"/>
  <c r="R183" i="6"/>
  <c r="Q184" i="6" s="1"/>
  <c r="R184" i="6" s="1"/>
  <c r="Q736" i="7"/>
  <c r="R736" i="7" s="1"/>
  <c r="D1975" i="6"/>
  <c r="U901" i="8"/>
  <c r="P902" i="8" s="1"/>
  <c r="D2041" i="6"/>
  <c r="E11" i="6"/>
  <c r="Q296" i="7"/>
  <c r="V296" i="7" s="1"/>
  <c r="U515" i="8"/>
  <c r="P516" i="8" s="1"/>
  <c r="Q516" i="8" s="1"/>
  <c r="V516" i="8" s="1"/>
  <c r="T626" i="8"/>
  <c r="AN226" i="11"/>
  <c r="AO226" i="11" s="1"/>
  <c r="AT226" i="11" s="1"/>
  <c r="P652" i="6"/>
  <c r="N653" i="6" s="1"/>
  <c r="O653" i="6" s="1"/>
  <c r="D11" i="6"/>
  <c r="U682" i="7"/>
  <c r="P683" i="7" s="1"/>
  <c r="Q683" i="7" s="1"/>
  <c r="K225" i="11"/>
  <c r="Q225" i="11" s="1"/>
  <c r="N225" i="11"/>
  <c r="L225" i="11"/>
  <c r="M225" i="11"/>
  <c r="R225" i="11" s="1"/>
  <c r="O225" i="11"/>
  <c r="S225" i="11" s="1"/>
  <c r="P225" i="11"/>
  <c r="V736" i="7"/>
  <c r="N1029" i="6"/>
  <c r="P1029" i="6" s="1"/>
  <c r="N879" i="6"/>
  <c r="P879" i="6" s="1"/>
  <c r="P627" i="8"/>
  <c r="Q627" i="8" s="1"/>
  <c r="V460" i="8"/>
  <c r="S460" i="8"/>
  <c r="D273" i="11"/>
  <c r="P462" i="7"/>
  <c r="Q462" i="7" s="1"/>
  <c r="S462" i="7" s="1"/>
  <c r="P956" i="8"/>
  <c r="Q956" i="8" s="1"/>
  <c r="S956" i="8" s="1"/>
  <c r="CF224" i="11"/>
  <c r="CJ224" i="11"/>
  <c r="CI224" i="11"/>
  <c r="CH224" i="11"/>
  <c r="S471" i="6"/>
  <c r="Q405" i="7"/>
  <c r="K1084" i="6"/>
  <c r="M1084" i="6" s="1"/>
  <c r="G273" i="11"/>
  <c r="Q295" i="12"/>
  <c r="P241" i="8"/>
  <c r="K1456" i="6"/>
  <c r="M1456" i="6" s="1"/>
  <c r="L1225" i="6"/>
  <c r="K1167" i="6"/>
  <c r="M1167" i="6" s="1"/>
  <c r="V515" i="7"/>
  <c r="R515" i="7"/>
  <c r="T515" i="7" s="1"/>
  <c r="P298" i="8"/>
  <c r="O978" i="6"/>
  <c r="Q740" i="8"/>
  <c r="R740" i="8" s="1"/>
  <c r="O2912" i="6"/>
  <c r="U187" i="7"/>
  <c r="R132" i="7"/>
  <c r="T132" i="7" s="1"/>
  <c r="U188" i="8"/>
  <c r="P352" i="7"/>
  <c r="Q352" i="7" s="1"/>
  <c r="S352" i="7"/>
  <c r="T901" i="8"/>
  <c r="T297" i="8"/>
  <c r="P1012" i="8"/>
  <c r="Q1012" i="8" s="1"/>
  <c r="Q228" i="6"/>
  <c r="S228" i="6" s="1"/>
  <c r="N742" i="6"/>
  <c r="P742" i="6" s="1"/>
  <c r="U790" i="7"/>
  <c r="U351" i="8"/>
  <c r="T240" i="8"/>
  <c r="M1497" i="6"/>
  <c r="K1498" i="6" s="1"/>
  <c r="L1498" i="6" s="1"/>
  <c r="E2173" i="6"/>
  <c r="B2174" i="6" s="1"/>
  <c r="Q186" i="12"/>
  <c r="U242" i="7"/>
  <c r="E1975" i="6"/>
  <c r="B1976" i="6" s="1"/>
  <c r="C1976" i="6"/>
  <c r="M1426" i="6"/>
  <c r="K1427" i="6" s="1"/>
  <c r="L1427" i="6" s="1"/>
  <c r="E2041" i="6"/>
  <c r="B2042" i="6" s="1"/>
  <c r="C2042" i="6"/>
  <c r="P130" i="8"/>
  <c r="O832" i="6"/>
  <c r="P1067" i="8"/>
  <c r="N794" i="6"/>
  <c r="O794" i="6" s="1"/>
  <c r="P572" i="7"/>
  <c r="Q572" i="7" s="1"/>
  <c r="P687" i="6"/>
  <c r="H51" i="9"/>
  <c r="I51" i="9" s="1"/>
  <c r="L52" i="9"/>
  <c r="O52" i="9"/>
  <c r="Q375" i="6"/>
  <c r="S375" i="6" s="1"/>
  <c r="P593" i="6"/>
  <c r="N594" i="6" s="1"/>
  <c r="O594" i="6" s="1"/>
  <c r="V132" i="7"/>
  <c r="P132" i="12"/>
  <c r="Q132" i="12" s="1"/>
  <c r="S132" i="12"/>
  <c r="Q628" i="7"/>
  <c r="P406" i="8"/>
  <c r="Q406" i="8" s="1"/>
  <c r="E1909" i="6"/>
  <c r="B1910" i="6" s="1"/>
  <c r="M1266" i="6"/>
  <c r="K1267" i="6" s="1"/>
  <c r="L1267" i="6" s="1"/>
  <c r="P843" i="8"/>
  <c r="Q843" i="8" s="1"/>
  <c r="R684" i="8"/>
  <c r="T684" i="8" s="1"/>
  <c r="V684" i="8"/>
  <c r="K1371" i="6"/>
  <c r="L1371" i="6" s="1"/>
  <c r="K1127" i="6"/>
  <c r="M1127" i="6" s="1"/>
  <c r="T789" i="8"/>
  <c r="Q565" i="6"/>
  <c r="S565" i="6" s="1"/>
  <c r="L1326" i="6"/>
  <c r="R460" i="8"/>
  <c r="V901" i="7"/>
  <c r="R901" i="7"/>
  <c r="T901" i="7" s="1"/>
  <c r="V571" i="8"/>
  <c r="S571" i="8"/>
  <c r="U571" i="8" s="1"/>
  <c r="E2107" i="6"/>
  <c r="B2108" i="6" s="1"/>
  <c r="C2108" i="6"/>
  <c r="P926" i="6"/>
  <c r="T129" i="8"/>
  <c r="AF272" i="11"/>
  <c r="J273" i="11" s="1"/>
  <c r="E273" i="11"/>
  <c r="C273" i="11"/>
  <c r="AS226" i="11" l="1"/>
  <c r="AX226" i="11" s="1"/>
  <c r="Q1067" i="8"/>
  <c r="U901" i="7"/>
  <c r="P902" i="7" s="1"/>
  <c r="Q902" i="7" s="1"/>
  <c r="AV226" i="11"/>
  <c r="AL276" i="11"/>
  <c r="AN276" i="11" s="1"/>
  <c r="AO276" i="11" s="1"/>
  <c r="P794" i="6"/>
  <c r="U460" i="8"/>
  <c r="P461" i="8" s="1"/>
  <c r="BA226" i="11"/>
  <c r="BC226" i="11"/>
  <c r="S296" i="7"/>
  <c r="R296" i="7"/>
  <c r="T296" i="7" s="1"/>
  <c r="AQ226" i="11"/>
  <c r="AW226" i="11" s="1"/>
  <c r="AR226" i="11"/>
  <c r="S736" i="7"/>
  <c r="U736" i="7" s="1"/>
  <c r="U684" i="8"/>
  <c r="P653" i="6"/>
  <c r="N654" i="6" s="1"/>
  <c r="AU226" i="11"/>
  <c r="AY226" i="11" s="1"/>
  <c r="BD226" i="11" s="1"/>
  <c r="U242" i="12"/>
  <c r="P243" i="12" s="1"/>
  <c r="Q243" i="12" s="1"/>
  <c r="V843" i="8"/>
  <c r="S843" i="8"/>
  <c r="R843" i="8"/>
  <c r="T843" i="8" s="1"/>
  <c r="V849" i="7"/>
  <c r="R849" i="7"/>
  <c r="S849" i="7"/>
  <c r="U849" i="7" s="1"/>
  <c r="R1012" i="8"/>
  <c r="V1012" i="8"/>
  <c r="S1012" i="8"/>
  <c r="U1012" i="8" s="1"/>
  <c r="V683" i="7"/>
  <c r="R683" i="7"/>
  <c r="S683" i="7"/>
  <c r="U683" i="7" s="1"/>
  <c r="R627" i="8"/>
  <c r="S627" i="8"/>
  <c r="U627" i="8" s="1"/>
  <c r="V627" i="8"/>
  <c r="R375" i="6"/>
  <c r="O1029" i="6"/>
  <c r="K1327" i="6"/>
  <c r="M1327" i="6" s="1"/>
  <c r="N833" i="6"/>
  <c r="P833" i="6" s="1"/>
  <c r="T225" i="11"/>
  <c r="R516" i="8"/>
  <c r="S516" i="8"/>
  <c r="U516" i="8" s="1"/>
  <c r="S405" i="7"/>
  <c r="V405" i="7"/>
  <c r="E2108" i="6"/>
  <c r="D2108" i="6"/>
  <c r="R405" i="7"/>
  <c r="S184" i="6"/>
  <c r="Q185" i="6" s="1"/>
  <c r="R185" i="6" s="1"/>
  <c r="N2913" i="6"/>
  <c r="P2913" i="6" s="1"/>
  <c r="V628" i="7"/>
  <c r="S628" i="7"/>
  <c r="R628" i="7"/>
  <c r="T628" i="7" s="1"/>
  <c r="N688" i="6"/>
  <c r="O688" i="6" s="1"/>
  <c r="Q298" i="8"/>
  <c r="R298" i="8" s="1"/>
  <c r="C2174" i="6"/>
  <c r="V572" i="7"/>
  <c r="R572" i="7"/>
  <c r="Q902" i="8"/>
  <c r="N979" i="6"/>
  <c r="P979" i="6" s="1"/>
  <c r="O879" i="6"/>
  <c r="P685" i="8"/>
  <c r="Q685" i="8" s="1"/>
  <c r="P791" i="7"/>
  <c r="Q791" i="7" s="1"/>
  <c r="S791" i="7"/>
  <c r="L1084" i="6"/>
  <c r="U515" i="7"/>
  <c r="Q790" i="8"/>
  <c r="O742" i="6"/>
  <c r="R565" i="6"/>
  <c r="P188" i="7"/>
  <c r="Q188" i="7" s="1"/>
  <c r="R406" i="8"/>
  <c r="V406" i="8"/>
  <c r="R228" i="6"/>
  <c r="S186" i="12"/>
  <c r="V186" i="12"/>
  <c r="M1371" i="6"/>
  <c r="P737" i="7"/>
  <c r="L1456" i="6"/>
  <c r="T460" i="8"/>
  <c r="M1498" i="6"/>
  <c r="D1976" i="6"/>
  <c r="E1976" i="6"/>
  <c r="P189" i="8"/>
  <c r="Q189" i="8" s="1"/>
  <c r="N927" i="6"/>
  <c r="O927" i="6" s="1"/>
  <c r="L1167" i="6"/>
  <c r="L1127" i="6"/>
  <c r="M52" i="9"/>
  <c r="P52" i="9" s="1"/>
  <c r="S52" i="9" s="1"/>
  <c r="N52" i="9"/>
  <c r="Q52" i="9" s="1"/>
  <c r="P243" i="7"/>
  <c r="Q243" i="7" s="1"/>
  <c r="K1226" i="6"/>
  <c r="M1226" i="6" s="1"/>
  <c r="P572" i="8"/>
  <c r="S406" i="8"/>
  <c r="U406" i="8" s="1"/>
  <c r="R186" i="12"/>
  <c r="T186" i="12" s="1"/>
  <c r="T571" i="8"/>
  <c r="CS224" i="11"/>
  <c r="U132" i="7"/>
  <c r="V740" i="8"/>
  <c r="S740" i="8"/>
  <c r="U740" i="8" s="1"/>
  <c r="R956" i="8"/>
  <c r="T956" i="8" s="1"/>
  <c r="V956" i="8"/>
  <c r="R132" i="12"/>
  <c r="T132" i="12" s="1"/>
  <c r="V132" i="12"/>
  <c r="S572" i="7"/>
  <c r="M1267" i="6"/>
  <c r="E2042" i="6"/>
  <c r="D2042" i="6"/>
  <c r="V352" i="7"/>
  <c r="R352" i="7"/>
  <c r="T352" i="7" s="1"/>
  <c r="S295" i="12"/>
  <c r="V295" i="12"/>
  <c r="R462" i="7"/>
  <c r="T462" i="7" s="1"/>
  <c r="V462" i="7"/>
  <c r="N795" i="6"/>
  <c r="P795" i="6" s="1"/>
  <c r="Q130" i="8"/>
  <c r="R130" i="8" s="1"/>
  <c r="C1910" i="6"/>
  <c r="Q241" i="8"/>
  <c r="R241" i="8" s="1"/>
  <c r="R295" i="12"/>
  <c r="Q472" i="6"/>
  <c r="R472" i="6" s="1"/>
  <c r="R473" i="6" s="1"/>
  <c r="R474" i="6" s="1"/>
  <c r="R475" i="6" s="1"/>
  <c r="R476" i="6" s="1"/>
  <c r="R477" i="6" s="1"/>
  <c r="R478" i="6" s="1"/>
  <c r="R479" i="6" s="1"/>
  <c r="R480" i="6" s="1"/>
  <c r="R481" i="6" s="1"/>
  <c r="R482" i="6" s="1"/>
  <c r="R483" i="6" s="1"/>
  <c r="R484" i="6" s="1"/>
  <c r="R485" i="6" s="1"/>
  <c r="R486" i="6" s="1"/>
  <c r="R487" i="6" s="1"/>
  <c r="R488" i="6" s="1"/>
  <c r="R489" i="6" s="1"/>
  <c r="R490" i="6" s="1"/>
  <c r="R491" i="6" s="1"/>
  <c r="R492" i="6" s="1"/>
  <c r="P594" i="6"/>
  <c r="N595" i="6" s="1"/>
  <c r="O595" i="6" s="1"/>
  <c r="M1427" i="6"/>
  <c r="P352" i="8"/>
  <c r="Q352" i="8" s="1"/>
  <c r="S352" i="8" s="1"/>
  <c r="F273" i="11"/>
  <c r="U225" i="11"/>
  <c r="V225" i="11" s="1"/>
  <c r="AV276" i="11" l="1"/>
  <c r="AQ276" i="11"/>
  <c r="AW276" i="11" s="1"/>
  <c r="AR276" i="11"/>
  <c r="AZ276" i="11" s="1"/>
  <c r="AU276" i="11"/>
  <c r="AY276" i="11" s="1"/>
  <c r="U572" i="7"/>
  <c r="T736" i="7"/>
  <c r="X225" i="11"/>
  <c r="R1067" i="8"/>
  <c r="V1067" i="8"/>
  <c r="S1067" i="8"/>
  <c r="U1067" i="8" s="1"/>
  <c r="P1068" i="8" s="1"/>
  <c r="AS276" i="11"/>
  <c r="AX276" i="11" s="1"/>
  <c r="AT276" i="11"/>
  <c r="B2109" i="6"/>
  <c r="C2109" i="6" s="1"/>
  <c r="P654" i="6"/>
  <c r="O654" i="6"/>
  <c r="N655" i="6" s="1"/>
  <c r="P655" i="6" s="1"/>
  <c r="B2043" i="6"/>
  <c r="C2043" i="6" s="1"/>
  <c r="AZ226" i="11"/>
  <c r="R52" i="9"/>
  <c r="G52" i="9" s="1"/>
  <c r="BB226" i="11"/>
  <c r="U352" i="7"/>
  <c r="P353" i="7" s="1"/>
  <c r="Q353" i="7" s="1"/>
  <c r="T405" i="7"/>
  <c r="U462" i="7"/>
  <c r="T295" i="12"/>
  <c r="U296" i="7"/>
  <c r="P297" i="7" s="1"/>
  <c r="Q297" i="7" s="1"/>
  <c r="BM226" i="11"/>
  <c r="E2109" i="6"/>
  <c r="D2109" i="6"/>
  <c r="S685" i="8"/>
  <c r="V685" i="8"/>
  <c r="R685" i="8"/>
  <c r="R902" i="7"/>
  <c r="S902" i="7"/>
  <c r="U902" i="7" s="1"/>
  <c r="V902" i="7"/>
  <c r="M1428" i="6"/>
  <c r="Q572" i="8"/>
  <c r="Q229" i="6"/>
  <c r="S229" i="6" s="1"/>
  <c r="P407" i="8"/>
  <c r="P573" i="7"/>
  <c r="T406" i="8"/>
  <c r="S130" i="8"/>
  <c r="U130" i="8" s="1"/>
  <c r="V130" i="8"/>
  <c r="K1085" i="6"/>
  <c r="M1085" i="6" s="1"/>
  <c r="U186" i="12"/>
  <c r="P595" i="6"/>
  <c r="O795" i="6"/>
  <c r="Q493" i="6"/>
  <c r="B494" i="6" s="1"/>
  <c r="S298" i="8"/>
  <c r="U298" i="8" s="1"/>
  <c r="V298" i="8"/>
  <c r="P628" i="8"/>
  <c r="T627" i="8"/>
  <c r="P1013" i="8"/>
  <c r="V791" i="7"/>
  <c r="R791" i="7"/>
  <c r="T791" i="7" s="1"/>
  <c r="V189" i="8"/>
  <c r="R189" i="8"/>
  <c r="T189" i="8" s="1"/>
  <c r="T683" i="7"/>
  <c r="S189" i="8"/>
  <c r="L1226" i="6"/>
  <c r="Q566" i="6"/>
  <c r="S566" i="6" s="1"/>
  <c r="S567" i="6" s="1"/>
  <c r="S568" i="6" s="1"/>
  <c r="S569" i="6" s="1"/>
  <c r="S570" i="6" s="1"/>
  <c r="S571" i="6" s="1"/>
  <c r="S572" i="6" s="1"/>
  <c r="S573" i="6" s="1"/>
  <c r="S574" i="6" s="1"/>
  <c r="S575" i="6" s="1"/>
  <c r="S576" i="6" s="1"/>
  <c r="S577" i="6" s="1"/>
  <c r="S578" i="6" s="1"/>
  <c r="S579" i="6" s="1"/>
  <c r="S580" i="6" s="1"/>
  <c r="S581" i="6" s="1"/>
  <c r="S582" i="6" s="1"/>
  <c r="S583" i="6" s="1"/>
  <c r="S584" i="6" s="1"/>
  <c r="S585" i="6" s="1"/>
  <c r="S586" i="6" s="1"/>
  <c r="T849" i="7"/>
  <c r="R243" i="7"/>
  <c r="V243" i="7"/>
  <c r="P741" i="8"/>
  <c r="B1977" i="6"/>
  <c r="C1977" i="6" s="1"/>
  <c r="N880" i="6"/>
  <c r="P880" i="6" s="1"/>
  <c r="U956" i="8"/>
  <c r="T740" i="8"/>
  <c r="N743" i="6"/>
  <c r="P743" i="6" s="1"/>
  <c r="O979" i="6"/>
  <c r="P517" i="8"/>
  <c r="K1268" i="6"/>
  <c r="L1268" i="6" s="1"/>
  <c r="D1910" i="6"/>
  <c r="E1910" i="6"/>
  <c r="K1128" i="6"/>
  <c r="M1128" i="6" s="1"/>
  <c r="P927" i="6"/>
  <c r="V790" i="8"/>
  <c r="S790" i="8"/>
  <c r="V902" i="8"/>
  <c r="S902" i="8"/>
  <c r="S185" i="6"/>
  <c r="Q186" i="6" s="1"/>
  <c r="R186" i="6" s="1"/>
  <c r="T516" i="8"/>
  <c r="R188" i="7"/>
  <c r="V188" i="7"/>
  <c r="P688" i="6"/>
  <c r="N689" i="6" s="1"/>
  <c r="O689" i="6" s="1"/>
  <c r="P684" i="7"/>
  <c r="S243" i="12"/>
  <c r="V243" i="12"/>
  <c r="S472" i="6"/>
  <c r="S473" i="6" s="1"/>
  <c r="S474" i="6" s="1"/>
  <c r="S475" i="6" s="1"/>
  <c r="S476" i="6" s="1"/>
  <c r="S477" i="6" s="1"/>
  <c r="S478" i="6" s="1"/>
  <c r="S479" i="6" s="1"/>
  <c r="S480" i="6" s="1"/>
  <c r="S481" i="6" s="1"/>
  <c r="S482" i="6" s="1"/>
  <c r="S483" i="6" s="1"/>
  <c r="S484" i="6" s="1"/>
  <c r="S485" i="6" s="1"/>
  <c r="S486" i="6" s="1"/>
  <c r="S487" i="6" s="1"/>
  <c r="S488" i="6" s="1"/>
  <c r="S489" i="6" s="1"/>
  <c r="S490" i="6" s="1"/>
  <c r="S491" i="6" s="1"/>
  <c r="S492" i="6" s="1"/>
  <c r="K1457" i="6"/>
  <c r="M1457" i="6" s="1"/>
  <c r="S188" i="7"/>
  <c r="T1012" i="8"/>
  <c r="R243" i="12"/>
  <c r="O833" i="6"/>
  <c r="P850" i="7"/>
  <c r="U628" i="7"/>
  <c r="V241" i="8"/>
  <c r="S241" i="8"/>
  <c r="U241" i="8" s="1"/>
  <c r="U295" i="12"/>
  <c r="U132" i="12"/>
  <c r="L1327" i="6"/>
  <c r="S243" i="7"/>
  <c r="N1030" i="6"/>
  <c r="P1030" i="6" s="1"/>
  <c r="U405" i="7"/>
  <c r="H273" i="11"/>
  <c r="I273" i="11" s="1"/>
  <c r="O2913" i="6"/>
  <c r="Q376" i="6"/>
  <c r="S376" i="6" s="1"/>
  <c r="V352" i="8"/>
  <c r="R352" i="8"/>
  <c r="T352" i="8" s="1"/>
  <c r="P133" i="7"/>
  <c r="Q133" i="7" s="1"/>
  <c r="S133" i="7" s="1"/>
  <c r="K1372" i="6"/>
  <c r="L1372" i="6" s="1"/>
  <c r="R790" i="8"/>
  <c r="R902" i="8"/>
  <c r="Q737" i="7"/>
  <c r="W225" i="11"/>
  <c r="AG225" i="11" s="1"/>
  <c r="K1499" i="6"/>
  <c r="L1499" i="6" s="1"/>
  <c r="U843" i="8"/>
  <c r="Q461" i="8"/>
  <c r="R461" i="8" s="1"/>
  <c r="CM224" i="11"/>
  <c r="CL224" i="11"/>
  <c r="CK224" i="11"/>
  <c r="CQ224" i="11"/>
  <c r="CP224" i="11"/>
  <c r="CN224" i="11"/>
  <c r="CO224" i="11"/>
  <c r="K1168" i="6"/>
  <c r="M1168" i="6" s="1"/>
  <c r="P463" i="7"/>
  <c r="Q463" i="7" s="1"/>
  <c r="S463" i="7" s="1"/>
  <c r="P516" i="7"/>
  <c r="Q516" i="7" s="1"/>
  <c r="S516" i="7" s="1"/>
  <c r="T572" i="7"/>
  <c r="E2174" i="6"/>
  <c r="B2175" i="6" s="1"/>
  <c r="C2175" i="6" s="1"/>
  <c r="D2174" i="6"/>
  <c r="K1428" i="6"/>
  <c r="L1428" i="6" s="1"/>
  <c r="D2043" i="6" l="1"/>
  <c r="E2043" i="6"/>
  <c r="T685" i="8"/>
  <c r="BA276" i="11"/>
  <c r="BM276" i="11" s="1"/>
  <c r="T1067" i="8"/>
  <c r="M1268" i="6"/>
  <c r="M1269" i="6" s="1"/>
  <c r="U790" i="8"/>
  <c r="P791" i="8" s="1"/>
  <c r="E52" i="9"/>
  <c r="T243" i="7"/>
  <c r="F52" i="9"/>
  <c r="B2044" i="6"/>
  <c r="C2044" i="6" s="1"/>
  <c r="E2044" i="6" s="1"/>
  <c r="BH226" i="11"/>
  <c r="BG226" i="11"/>
  <c r="BJ226" i="11"/>
  <c r="BI226" i="11"/>
  <c r="BE226" i="11"/>
  <c r="BF226" i="11"/>
  <c r="BK226" i="11"/>
  <c r="U902" i="8"/>
  <c r="U791" i="7"/>
  <c r="P792" i="7" s="1"/>
  <c r="Q792" i="7" s="1"/>
  <c r="U188" i="7"/>
  <c r="P189" i="7" s="1"/>
  <c r="M1372" i="6"/>
  <c r="K1373" i="6" s="1"/>
  <c r="L1373" i="6" s="1"/>
  <c r="U243" i="12"/>
  <c r="P244" i="12" s="1"/>
  <c r="T298" i="8"/>
  <c r="K273" i="11"/>
  <c r="Q273" i="11" s="1"/>
  <c r="L273" i="11"/>
  <c r="O273" i="11"/>
  <c r="S273" i="11" s="1"/>
  <c r="P273" i="11"/>
  <c r="M273" i="11"/>
  <c r="R273" i="11" s="1"/>
  <c r="N273" i="11"/>
  <c r="Z225" i="11"/>
  <c r="Y225" i="11"/>
  <c r="AE225" i="11"/>
  <c r="AD225" i="11"/>
  <c r="AC225" i="11"/>
  <c r="AB225" i="11"/>
  <c r="AA225" i="11"/>
  <c r="S353" i="7"/>
  <c r="R353" i="7"/>
  <c r="T353" i="7" s="1"/>
  <c r="V353" i="7"/>
  <c r="E2175" i="6"/>
  <c r="D2175" i="6"/>
  <c r="N980" i="6"/>
  <c r="P980" i="6" s="1"/>
  <c r="P903" i="8"/>
  <c r="V572" i="8"/>
  <c r="S572" i="8"/>
  <c r="R463" i="7"/>
  <c r="T463" i="7" s="1"/>
  <c r="D1977" i="6"/>
  <c r="E1977" i="6"/>
  <c r="Q684" i="7"/>
  <c r="P406" i="7"/>
  <c r="Q406" i="7" s="1"/>
  <c r="P131" i="8"/>
  <c r="S737" i="7"/>
  <c r="V737" i="7"/>
  <c r="P629" i="7"/>
  <c r="Q629" i="7" s="1"/>
  <c r="M1499" i="6"/>
  <c r="P596" i="6"/>
  <c r="R737" i="7"/>
  <c r="Q850" i="7"/>
  <c r="R850" i="7" s="1"/>
  <c r="T130" i="8"/>
  <c r="T902" i="8"/>
  <c r="L1128" i="6"/>
  <c r="N596" i="6"/>
  <c r="O596" i="6" s="1"/>
  <c r="T790" i="8"/>
  <c r="R566" i="6"/>
  <c r="R567" i="6" s="1"/>
  <c r="R568" i="6" s="1"/>
  <c r="R569" i="6" s="1"/>
  <c r="R570" i="6" s="1"/>
  <c r="R571" i="6" s="1"/>
  <c r="R572" i="6" s="1"/>
  <c r="R573" i="6" s="1"/>
  <c r="R574" i="6" s="1"/>
  <c r="R575" i="6" s="1"/>
  <c r="R576" i="6" s="1"/>
  <c r="R577" i="6" s="1"/>
  <c r="R578" i="6" s="1"/>
  <c r="R579" i="6" s="1"/>
  <c r="R580" i="6" s="1"/>
  <c r="R581" i="6" s="1"/>
  <c r="R582" i="6" s="1"/>
  <c r="R583" i="6" s="1"/>
  <c r="R584" i="6" s="1"/>
  <c r="R585" i="6" s="1"/>
  <c r="R586" i="6" s="1"/>
  <c r="Q587" i="6" s="1"/>
  <c r="B588" i="6" s="1"/>
  <c r="CR224" i="11"/>
  <c r="BV225" i="11" s="1"/>
  <c r="BQ225" i="11"/>
  <c r="BO225" i="11"/>
  <c r="N834" i="6"/>
  <c r="P834" i="6" s="1"/>
  <c r="R133" i="7"/>
  <c r="T133" i="7" s="1"/>
  <c r="V133" i="7"/>
  <c r="T188" i="7"/>
  <c r="U685" i="8"/>
  <c r="Q1013" i="8"/>
  <c r="K1269" i="6"/>
  <c r="L1269" i="6" s="1"/>
  <c r="P187" i="12"/>
  <c r="Q187" i="12" s="1"/>
  <c r="S187" i="12" s="1"/>
  <c r="N2914" i="6"/>
  <c r="P2914" i="6" s="1"/>
  <c r="S186" i="6"/>
  <c r="Q187" i="6" s="1"/>
  <c r="R187" i="6" s="1"/>
  <c r="P844" i="8"/>
  <c r="Q844" i="8" s="1"/>
  <c r="S844" i="8"/>
  <c r="P133" i="12"/>
  <c r="Q133" i="12" s="1"/>
  <c r="B2110" i="6"/>
  <c r="C2110" i="6" s="1"/>
  <c r="BS225" i="11"/>
  <c r="P296" i="12"/>
  <c r="Q296" i="12" s="1"/>
  <c r="S296" i="12" s="1"/>
  <c r="Q407" i="8"/>
  <c r="R407" i="8" s="1"/>
  <c r="H52" i="9"/>
  <c r="I52" i="9" s="1"/>
  <c r="L53" i="9"/>
  <c r="B1911" i="6"/>
  <c r="C1911" i="6" s="1"/>
  <c r="O655" i="6"/>
  <c r="O1030" i="6"/>
  <c r="U243" i="7"/>
  <c r="V516" i="7"/>
  <c r="R516" i="7"/>
  <c r="T516" i="7" s="1"/>
  <c r="U352" i="8"/>
  <c r="O880" i="6"/>
  <c r="P299" i="8"/>
  <c r="N928" i="6"/>
  <c r="O928" i="6" s="1"/>
  <c r="T461" i="8"/>
  <c r="V297" i="7"/>
  <c r="R297" i="7"/>
  <c r="L1168" i="6"/>
  <c r="Q628" i="8"/>
  <c r="L1085" i="6"/>
  <c r="L1457" i="6"/>
  <c r="O743" i="6"/>
  <c r="R572" i="8"/>
  <c r="P242" i="8"/>
  <c r="Q741" i="8"/>
  <c r="N796" i="6"/>
  <c r="P796" i="6" s="1"/>
  <c r="K1429" i="6"/>
  <c r="M1429" i="6" s="1"/>
  <c r="P903" i="7"/>
  <c r="T902" i="7"/>
  <c r="P957" i="8"/>
  <c r="Q957" i="8" s="1"/>
  <c r="S957" i="8" s="1"/>
  <c r="T241" i="8"/>
  <c r="V463" i="7"/>
  <c r="P689" i="6"/>
  <c r="N690" i="6" s="1"/>
  <c r="O690" i="6" s="1"/>
  <c r="K1227" i="6"/>
  <c r="M1227" i="6" s="1"/>
  <c r="Q573" i="7"/>
  <c r="R573" i="7" s="1"/>
  <c r="BP225" i="11"/>
  <c r="T243" i="12"/>
  <c r="R229" i="6"/>
  <c r="V461" i="8"/>
  <c r="S461" i="8"/>
  <c r="U461" i="8" s="1"/>
  <c r="R376" i="6"/>
  <c r="K1328" i="6"/>
  <c r="M1328" i="6" s="1"/>
  <c r="Q517" i="8"/>
  <c r="R517" i="8" s="1"/>
  <c r="U189" i="8"/>
  <c r="S297" i="7"/>
  <c r="Q299" i="8" l="1"/>
  <c r="Q1068" i="8"/>
  <c r="R1068" i="8" s="1"/>
  <c r="BG276" i="11"/>
  <c r="BC277" i="11"/>
  <c r="BH276" i="11"/>
  <c r="BJ276" i="11"/>
  <c r="BI276" i="11"/>
  <c r="BK276" i="11"/>
  <c r="BF276" i="11"/>
  <c r="BE276" i="11"/>
  <c r="BB277" i="11"/>
  <c r="BD277" i="11"/>
  <c r="S299" i="8"/>
  <c r="V299" i="8"/>
  <c r="L1429" i="6"/>
  <c r="K1430" i="6" s="1"/>
  <c r="M1430" i="6" s="1"/>
  <c r="P928" i="6"/>
  <c r="N929" i="6" s="1"/>
  <c r="O929" i="6" s="1"/>
  <c r="U737" i="7"/>
  <c r="BR225" i="11"/>
  <c r="T572" i="8"/>
  <c r="D2044" i="6"/>
  <c r="BL226" i="11"/>
  <c r="AP227" i="11" s="1"/>
  <c r="AI227" i="11"/>
  <c r="AK227" i="11"/>
  <c r="B2176" i="6"/>
  <c r="C2176" i="6" s="1"/>
  <c r="AM227" i="11"/>
  <c r="T297" i="7"/>
  <c r="U463" i="7"/>
  <c r="AJ227" i="11"/>
  <c r="S792" i="7"/>
  <c r="V792" i="7"/>
  <c r="R792" i="7"/>
  <c r="T792" i="7" s="1"/>
  <c r="K1270" i="6"/>
  <c r="L1270" i="6" s="1"/>
  <c r="O2914" i="6"/>
  <c r="M1500" i="6"/>
  <c r="S628" i="8"/>
  <c r="V628" i="8"/>
  <c r="R628" i="8"/>
  <c r="T628" i="8" s="1"/>
  <c r="Q242" i="8"/>
  <c r="O980" i="6"/>
  <c r="P738" i="7"/>
  <c r="U297" i="7"/>
  <c r="N597" i="6"/>
  <c r="O597" i="6" s="1"/>
  <c r="R299" i="8"/>
  <c r="K1129" i="6"/>
  <c r="M1129" i="6" s="1"/>
  <c r="U273" i="11"/>
  <c r="O834" i="6"/>
  <c r="B1978" i="6"/>
  <c r="C1978" i="6" s="1"/>
  <c r="V1013" i="8"/>
  <c r="S1013" i="8"/>
  <c r="BT225" i="11"/>
  <c r="BU225" i="11" s="1"/>
  <c r="P690" i="6"/>
  <c r="N691" i="6" s="1"/>
  <c r="O691" i="6" s="1"/>
  <c r="P353" i="8"/>
  <c r="Q353" i="8" s="1"/>
  <c r="S353" i="8"/>
  <c r="R844" i="8"/>
  <c r="T844" i="8" s="1"/>
  <c r="V844" i="8"/>
  <c r="P686" i="8"/>
  <c r="Q686" i="8" s="1"/>
  <c r="S686" i="8" s="1"/>
  <c r="T273" i="11"/>
  <c r="V629" i="7"/>
  <c r="R629" i="7"/>
  <c r="K1169" i="6"/>
  <c r="M1169" i="6" s="1"/>
  <c r="V684" i="7"/>
  <c r="S684" i="7"/>
  <c r="R187" i="12"/>
  <c r="T187" i="12" s="1"/>
  <c r="V187" i="12"/>
  <c r="Q791" i="8"/>
  <c r="R791" i="8" s="1"/>
  <c r="E2110" i="6"/>
  <c r="D2110" i="6"/>
  <c r="V741" i="8"/>
  <c r="S741" i="8"/>
  <c r="U741" i="8" s="1"/>
  <c r="N1031" i="6"/>
  <c r="P1031" i="6" s="1"/>
  <c r="E1911" i="6"/>
  <c r="D1911" i="6"/>
  <c r="S573" i="7"/>
  <c r="U573" i="7" s="1"/>
  <c r="V573" i="7"/>
  <c r="U353" i="7"/>
  <c r="Q903" i="7"/>
  <c r="R903" i="7" s="1"/>
  <c r="M53" i="9"/>
  <c r="P53" i="9" s="1"/>
  <c r="N53" i="9"/>
  <c r="Q53" i="9" s="1"/>
  <c r="Q903" i="8"/>
  <c r="N881" i="6"/>
  <c r="P881" i="6" s="1"/>
  <c r="O53" i="9"/>
  <c r="L1328" i="6"/>
  <c r="R1013" i="8"/>
  <c r="Q377" i="6"/>
  <c r="S377" i="6" s="1"/>
  <c r="N744" i="6"/>
  <c r="P744" i="6" s="1"/>
  <c r="P462" i="8"/>
  <c r="Q462" i="8" s="1"/>
  <c r="U133" i="7"/>
  <c r="K1458" i="6"/>
  <c r="M1458" i="6" s="1"/>
  <c r="M1373" i="6"/>
  <c r="K1374" i="6" s="1"/>
  <c r="L1374" i="6" s="1"/>
  <c r="V406" i="7"/>
  <c r="R406" i="7"/>
  <c r="P597" i="6"/>
  <c r="Q230" i="6"/>
  <c r="S230" i="6" s="1"/>
  <c r="K1086" i="6"/>
  <c r="M1086" i="6" s="1"/>
  <c r="Q189" i="7"/>
  <c r="P244" i="7"/>
  <c r="Q244" i="7" s="1"/>
  <c r="S244" i="7" s="1"/>
  <c r="Q244" i="12"/>
  <c r="O796" i="6"/>
  <c r="U516" i="7"/>
  <c r="C226" i="11"/>
  <c r="AF225" i="11"/>
  <c r="J226" i="11" s="1"/>
  <c r="S629" i="7"/>
  <c r="R957" i="8"/>
  <c r="T957" i="8" s="1"/>
  <c r="V957" i="8"/>
  <c r="V296" i="12"/>
  <c r="R296" i="12"/>
  <c r="T296" i="12" s="1"/>
  <c r="R684" i="7"/>
  <c r="P190" i="8"/>
  <c r="Q190" i="8" s="1"/>
  <c r="S190" i="8" s="1"/>
  <c r="R741" i="8"/>
  <c r="N656" i="6"/>
  <c r="P656" i="6" s="1"/>
  <c r="V517" i="8"/>
  <c r="S517" i="8"/>
  <c r="U517" i="8" s="1"/>
  <c r="P464" i="7"/>
  <c r="Q464" i="7" s="1"/>
  <c r="V464" i="7" s="1"/>
  <c r="R133" i="12"/>
  <c r="V133" i="12"/>
  <c r="S133" i="12"/>
  <c r="U133" i="12" s="1"/>
  <c r="Q131" i="8"/>
  <c r="R131" i="8" s="1"/>
  <c r="D226" i="11"/>
  <c r="L1227" i="6"/>
  <c r="S850" i="7"/>
  <c r="U850" i="7" s="1"/>
  <c r="V850" i="7"/>
  <c r="K1500" i="6"/>
  <c r="L1500" i="6" s="1"/>
  <c r="S407" i="8"/>
  <c r="U407" i="8" s="1"/>
  <c r="V407" i="8"/>
  <c r="S187" i="6"/>
  <c r="T737" i="7"/>
  <c r="S406" i="7"/>
  <c r="U572" i="8"/>
  <c r="U1013" i="8" l="1"/>
  <c r="AJ277" i="11"/>
  <c r="T299" i="8"/>
  <c r="BL276" i="11"/>
  <c r="AP277" i="11" s="1"/>
  <c r="AI277" i="11"/>
  <c r="AK277" i="11"/>
  <c r="T684" i="7"/>
  <c r="F226" i="11"/>
  <c r="H226" i="11" s="1"/>
  <c r="U629" i="7"/>
  <c r="P630" i="7" s="1"/>
  <c r="V1068" i="8"/>
  <c r="S1068" i="8"/>
  <c r="U1068" i="8" s="1"/>
  <c r="P1069" i="8" s="1"/>
  <c r="T406" i="7"/>
  <c r="E226" i="11"/>
  <c r="E2176" i="6"/>
  <c r="D2176" i="6"/>
  <c r="M1270" i="6"/>
  <c r="K1271" i="6" s="1"/>
  <c r="T573" i="7"/>
  <c r="R377" i="6"/>
  <c r="B2045" i="6"/>
  <c r="C2045" i="6" s="1"/>
  <c r="B2111" i="6"/>
  <c r="C2111" i="6" s="1"/>
  <c r="G226" i="11"/>
  <c r="AL227" i="11"/>
  <c r="O656" i="6"/>
  <c r="N657" i="6" s="1"/>
  <c r="P657" i="6" s="1"/>
  <c r="E1978" i="6"/>
  <c r="D1978" i="6"/>
  <c r="N598" i="6"/>
  <c r="P598" i="6" s="1"/>
  <c r="V462" i="8"/>
  <c r="S462" i="8"/>
  <c r="R462" i="8"/>
  <c r="T462" i="8" s="1"/>
  <c r="BX225" i="11"/>
  <c r="BZ225" i="11"/>
  <c r="CB225" i="11"/>
  <c r="CA225" i="11"/>
  <c r="CE225" i="11" s="1"/>
  <c r="BW225" i="11"/>
  <c r="CC225" i="11" s="1"/>
  <c r="BY225" i="11"/>
  <c r="CD225" i="11" s="1"/>
  <c r="N797" i="6"/>
  <c r="P797" i="6" s="1"/>
  <c r="V244" i="12"/>
  <c r="S244" i="12"/>
  <c r="L1430" i="6"/>
  <c r="B1912" i="6"/>
  <c r="C1912" i="6" s="1"/>
  <c r="P573" i="8"/>
  <c r="Q573" i="8" s="1"/>
  <c r="S573" i="8" s="1"/>
  <c r="O881" i="6"/>
  <c r="N835" i="6"/>
  <c r="P835" i="6" s="1"/>
  <c r="S189" i="7"/>
  <c r="V189" i="7"/>
  <c r="R189" i="7"/>
  <c r="O1031" i="6"/>
  <c r="L1129" i="6"/>
  <c r="T133" i="12"/>
  <c r="N981" i="6"/>
  <c r="P981" i="6" s="1"/>
  <c r="R230" i="6"/>
  <c r="U792" i="7"/>
  <c r="O744" i="6"/>
  <c r="P929" i="6"/>
  <c r="U299" i="8"/>
  <c r="R244" i="12"/>
  <c r="S53" i="9"/>
  <c r="R53" i="9"/>
  <c r="S131" i="8"/>
  <c r="U131" i="8" s="1"/>
  <c r="V131" i="8"/>
  <c r="R464" i="7"/>
  <c r="AG273" i="11"/>
  <c r="S903" i="8"/>
  <c r="V903" i="8"/>
  <c r="V686" i="8"/>
  <c r="R686" i="8"/>
  <c r="T686" i="8" s="1"/>
  <c r="P134" i="7"/>
  <c r="Q134" i="7" s="1"/>
  <c r="S134" i="7" s="1"/>
  <c r="K1501" i="6"/>
  <c r="L1501" i="6" s="1"/>
  <c r="S464" i="7"/>
  <c r="U187" i="12"/>
  <c r="V353" i="8"/>
  <c r="R353" i="8"/>
  <c r="T353" i="8" s="1"/>
  <c r="T407" i="8"/>
  <c r="P518" i="8"/>
  <c r="T629" i="7"/>
  <c r="P354" i="7"/>
  <c r="Q354" i="7" s="1"/>
  <c r="S354" i="7"/>
  <c r="P851" i="7"/>
  <c r="U844" i="8"/>
  <c r="T1013" i="8"/>
  <c r="V190" i="8"/>
  <c r="R190" i="8"/>
  <c r="T190" i="8" s="1"/>
  <c r="K1329" i="6"/>
  <c r="M1329" i="6" s="1"/>
  <c r="R244" i="7"/>
  <c r="T244" i="7" s="1"/>
  <c r="V244" i="7"/>
  <c r="P298" i="7"/>
  <c r="Q298" i="7" s="1"/>
  <c r="S298" i="7" s="1"/>
  <c r="U628" i="8"/>
  <c r="U406" i="7"/>
  <c r="P134" i="12"/>
  <c r="Q738" i="7"/>
  <c r="M1374" i="6"/>
  <c r="N2915" i="6"/>
  <c r="P2915" i="6" s="1"/>
  <c r="S188" i="6"/>
  <c r="R903" i="8"/>
  <c r="T903" i="8" s="1"/>
  <c r="U684" i="7"/>
  <c r="L1458" i="6"/>
  <c r="P742" i="8"/>
  <c r="P408" i="8"/>
  <c r="L1086" i="6"/>
  <c r="U957" i="8"/>
  <c r="S903" i="7"/>
  <c r="U903" i="7" s="1"/>
  <c r="V903" i="7"/>
  <c r="L1169" i="6"/>
  <c r="P691" i="6"/>
  <c r="N692" i="6" s="1"/>
  <c r="O692" i="6" s="1"/>
  <c r="K1228" i="6"/>
  <c r="M1228" i="6" s="1"/>
  <c r="T741" i="8"/>
  <c r="P517" i="7"/>
  <c r="Q517" i="7" s="1"/>
  <c r="S517" i="7" s="1"/>
  <c r="Q378" i="6"/>
  <c r="S378" i="6" s="1"/>
  <c r="S379" i="6" s="1"/>
  <c r="S380" i="6" s="1"/>
  <c r="S381" i="6" s="1"/>
  <c r="S382" i="6" s="1"/>
  <c r="S383" i="6" s="1"/>
  <c r="S384" i="6" s="1"/>
  <c r="S385" i="6" s="1"/>
  <c r="S386" i="6" s="1"/>
  <c r="S387" i="6" s="1"/>
  <c r="S388" i="6" s="1"/>
  <c r="S389" i="6" s="1"/>
  <c r="S390" i="6" s="1"/>
  <c r="S391" i="6" s="1"/>
  <c r="S392" i="6" s="1"/>
  <c r="S393" i="6" s="1"/>
  <c r="S394" i="6" s="1"/>
  <c r="S395" i="6" s="1"/>
  <c r="S396" i="6" s="1"/>
  <c r="S397" i="6" s="1"/>
  <c r="S398" i="6" s="1"/>
  <c r="P574" i="7"/>
  <c r="Q574" i="7" s="1"/>
  <c r="V791" i="8"/>
  <c r="S791" i="8"/>
  <c r="U791" i="8" s="1"/>
  <c r="U296" i="12"/>
  <c r="Q188" i="6"/>
  <c r="R188" i="6" s="1"/>
  <c r="V242" i="8"/>
  <c r="S242" i="8"/>
  <c r="T517" i="8"/>
  <c r="P1014" i="8"/>
  <c r="R242" i="8"/>
  <c r="T242" i="8" s="1"/>
  <c r="T850" i="7"/>
  <c r="L1271" i="6" l="1"/>
  <c r="M1271" i="6"/>
  <c r="AL277" i="11"/>
  <c r="M1501" i="6"/>
  <c r="K1502" i="6" s="1"/>
  <c r="T903" i="7"/>
  <c r="T1068" i="8"/>
  <c r="Q1069" i="8" s="1"/>
  <c r="R1069" i="8" s="1"/>
  <c r="AN277" i="11"/>
  <c r="U464" i="7"/>
  <c r="P465" i="7" s="1"/>
  <c r="AM277" i="11"/>
  <c r="D2045" i="6"/>
  <c r="E2045" i="6"/>
  <c r="B2046" i="6" s="1"/>
  <c r="D2111" i="6"/>
  <c r="E2111" i="6"/>
  <c r="U189" i="7"/>
  <c r="P190" i="7" s="1"/>
  <c r="U244" i="12"/>
  <c r="P245" i="12" s="1"/>
  <c r="B1979" i="6"/>
  <c r="B2177" i="6"/>
  <c r="C2177" i="6" s="1"/>
  <c r="U244" i="7"/>
  <c r="P245" i="7" s="1"/>
  <c r="Q245" i="7" s="1"/>
  <c r="T791" i="8"/>
  <c r="Q792" i="8" s="1"/>
  <c r="S792" i="8" s="1"/>
  <c r="AN227" i="11"/>
  <c r="AO227" i="11"/>
  <c r="C1979" i="6"/>
  <c r="E1979" i="6" s="1"/>
  <c r="I226" i="11"/>
  <c r="L226" i="11" s="1"/>
  <c r="U190" i="8"/>
  <c r="P191" i="8" s="1"/>
  <c r="Q191" i="8" s="1"/>
  <c r="V191" i="8" s="1"/>
  <c r="CG225" i="11"/>
  <c r="CI225" i="11" s="1"/>
  <c r="K1272" i="6"/>
  <c r="L1272" i="6" s="1"/>
  <c r="E1912" i="6"/>
  <c r="D1912" i="6"/>
  <c r="B1913" i="6" s="1"/>
  <c r="C1913" i="6" s="1"/>
  <c r="R574" i="7"/>
  <c r="V574" i="7"/>
  <c r="S574" i="7"/>
  <c r="P226" i="11"/>
  <c r="K226" i="11"/>
  <c r="Q226" i="11" s="1"/>
  <c r="P132" i="8"/>
  <c r="Q231" i="6"/>
  <c r="S231" i="6" s="1"/>
  <c r="T131" i="8"/>
  <c r="P629" i="8"/>
  <c r="Q629" i="8" s="1"/>
  <c r="S629" i="8" s="1"/>
  <c r="U462" i="8"/>
  <c r="R378" i="6"/>
  <c r="R379" i="6" s="1"/>
  <c r="R380" i="6" s="1"/>
  <c r="R381" i="6" s="1"/>
  <c r="R382" i="6" s="1"/>
  <c r="R383" i="6" s="1"/>
  <c r="R384" i="6" s="1"/>
  <c r="R385" i="6" s="1"/>
  <c r="R386" i="6" s="1"/>
  <c r="R387" i="6" s="1"/>
  <c r="R388" i="6" s="1"/>
  <c r="R389" i="6" s="1"/>
  <c r="R390" i="6" s="1"/>
  <c r="R391" i="6" s="1"/>
  <c r="R392" i="6" s="1"/>
  <c r="R393" i="6" s="1"/>
  <c r="R394" i="6" s="1"/>
  <c r="R395" i="6" s="1"/>
  <c r="R396" i="6" s="1"/>
  <c r="R397" i="6" s="1"/>
  <c r="R398" i="6" s="1"/>
  <c r="Q399" i="6" s="1"/>
  <c r="B400" i="6" s="1"/>
  <c r="P407" i="7"/>
  <c r="Q407" i="7" s="1"/>
  <c r="S407" i="7"/>
  <c r="Q851" i="7"/>
  <c r="R851" i="7" s="1"/>
  <c r="K1170" i="6"/>
  <c r="M1170" i="6" s="1"/>
  <c r="P188" i="12"/>
  <c r="Q188" i="12" s="1"/>
  <c r="R298" i="7"/>
  <c r="T298" i="7" s="1"/>
  <c r="V298" i="7"/>
  <c r="O981" i="6"/>
  <c r="U903" i="8"/>
  <c r="P958" i="8"/>
  <c r="Q958" i="8" s="1"/>
  <c r="S958" i="8" s="1"/>
  <c r="F53" i="9"/>
  <c r="E53" i="9"/>
  <c r="G53" i="9"/>
  <c r="T244" i="12"/>
  <c r="O2915" i="6"/>
  <c r="O657" i="6"/>
  <c r="AC273" i="11"/>
  <c r="AB273" i="11"/>
  <c r="AA273" i="11"/>
  <c r="AE273" i="11"/>
  <c r="AD273" i="11"/>
  <c r="V274" i="11"/>
  <c r="Z273" i="11"/>
  <c r="Y273" i="11"/>
  <c r="W274" i="11"/>
  <c r="X274" i="11"/>
  <c r="O835" i="6"/>
  <c r="O598" i="6"/>
  <c r="CF225" i="11"/>
  <c r="P845" i="8"/>
  <c r="Q845" i="8" s="1"/>
  <c r="S845" i="8"/>
  <c r="Q408" i="8"/>
  <c r="R408" i="8" s="1"/>
  <c r="K1431" i="6"/>
  <c r="M1431" i="6" s="1"/>
  <c r="P685" i="7"/>
  <c r="Q685" i="7" s="1"/>
  <c r="V517" i="7"/>
  <c r="R517" i="7"/>
  <c r="T517" i="7" s="1"/>
  <c r="O797" i="6"/>
  <c r="P904" i="7"/>
  <c r="Q742" i="8"/>
  <c r="U353" i="8"/>
  <c r="N882" i="6"/>
  <c r="P882" i="6" s="1"/>
  <c r="K1087" i="6"/>
  <c r="M1087" i="6" s="1"/>
  <c r="V134" i="7"/>
  <c r="R134" i="7"/>
  <c r="T134" i="7" s="1"/>
  <c r="Q189" i="6"/>
  <c r="R189" i="6" s="1"/>
  <c r="P793" i="7"/>
  <c r="Q793" i="7" s="1"/>
  <c r="N1032" i="6"/>
  <c r="P1032" i="6" s="1"/>
  <c r="P300" i="8"/>
  <c r="Q300" i="8" s="1"/>
  <c r="U242" i="8"/>
  <c r="N745" i="6"/>
  <c r="P745" i="6" s="1"/>
  <c r="V738" i="7"/>
  <c r="S738" i="7"/>
  <c r="Q134" i="12"/>
  <c r="R738" i="7"/>
  <c r="L1329" i="6"/>
  <c r="K1375" i="6"/>
  <c r="L1375" i="6" s="1"/>
  <c r="U686" i="8"/>
  <c r="K1459" i="6"/>
  <c r="M1459" i="6" s="1"/>
  <c r="Q630" i="7"/>
  <c r="T189" i="7"/>
  <c r="N930" i="6"/>
  <c r="O930" i="6" s="1"/>
  <c r="Q518" i="8"/>
  <c r="L1228" i="6"/>
  <c r="V573" i="8"/>
  <c r="R573" i="8"/>
  <c r="T573" i="8" s="1"/>
  <c r="T464" i="7"/>
  <c r="P692" i="6"/>
  <c r="R354" i="7"/>
  <c r="T354" i="7" s="1"/>
  <c r="V354" i="7"/>
  <c r="K1130" i="6"/>
  <c r="M1130" i="6" s="1"/>
  <c r="P297" i="12"/>
  <c r="Q297" i="12" s="1"/>
  <c r="P792" i="8"/>
  <c r="Q1014" i="8"/>
  <c r="R1014" i="8" s="1"/>
  <c r="L1502" i="6" l="1"/>
  <c r="M1502" i="6"/>
  <c r="AO277" i="11"/>
  <c r="AU277" i="11" s="1"/>
  <c r="AY277" i="11" s="1"/>
  <c r="CH225" i="11"/>
  <c r="CJ225" i="11"/>
  <c r="AS277" i="11"/>
  <c r="AX277" i="11" s="1"/>
  <c r="AT277" i="11"/>
  <c r="S189" i="6"/>
  <c r="Q190" i="6" s="1"/>
  <c r="M226" i="11"/>
  <c r="R226" i="11" s="1"/>
  <c r="N226" i="11"/>
  <c r="O226" i="11"/>
  <c r="S226" i="11" s="1"/>
  <c r="S1069" i="8"/>
  <c r="U1069" i="8" s="1"/>
  <c r="V1069" i="8"/>
  <c r="T738" i="7"/>
  <c r="M1272" i="6"/>
  <c r="Q904" i="7"/>
  <c r="S904" i="7" s="1"/>
  <c r="B2112" i="6"/>
  <c r="C2112" i="6" s="1"/>
  <c r="E2177" i="6"/>
  <c r="D2177" i="6"/>
  <c r="AQ227" i="11"/>
  <c r="AW227" i="11" s="1"/>
  <c r="AR227" i="11"/>
  <c r="AZ227" i="11" s="1"/>
  <c r="AV227" i="11"/>
  <c r="AU227" i="11"/>
  <c r="AY227" i="11" s="1"/>
  <c r="BD227" i="11" s="1"/>
  <c r="O882" i="6"/>
  <c r="N883" i="6" s="1"/>
  <c r="P883" i="6" s="1"/>
  <c r="D1979" i="6"/>
  <c r="B1980" i="6" s="1"/>
  <c r="C1980" i="6" s="1"/>
  <c r="AT227" i="11"/>
  <c r="O1032" i="6"/>
  <c r="N1033" i="6" s="1"/>
  <c r="T574" i="7"/>
  <c r="AS227" i="11"/>
  <c r="AX227" i="11" s="1"/>
  <c r="L1459" i="6"/>
  <c r="U354" i="7"/>
  <c r="P355" i="7" s="1"/>
  <c r="Q355" i="7" s="1"/>
  <c r="C2046" i="6"/>
  <c r="V245" i="7"/>
  <c r="R245" i="7"/>
  <c r="S245" i="7"/>
  <c r="U245" i="7" s="1"/>
  <c r="K1503" i="6"/>
  <c r="L1503" i="6" s="1"/>
  <c r="E1913" i="6"/>
  <c r="D1913" i="6"/>
  <c r="B1914" i="6" s="1"/>
  <c r="C1914" i="6" s="1"/>
  <c r="U958" i="8"/>
  <c r="V685" i="7"/>
  <c r="R685" i="7"/>
  <c r="Q465" i="7"/>
  <c r="R465" i="7" s="1"/>
  <c r="N836" i="6"/>
  <c r="P836" i="6" s="1"/>
  <c r="S742" i="8"/>
  <c r="V742" i="8"/>
  <c r="Q245" i="12"/>
  <c r="R793" i="7"/>
  <c r="V793" i="7"/>
  <c r="R904" i="7"/>
  <c r="T904" i="7" s="1"/>
  <c r="N982" i="6"/>
  <c r="P982" i="6" s="1"/>
  <c r="R792" i="8"/>
  <c r="T792" i="8" s="1"/>
  <c r="V134" i="12"/>
  <c r="S134" i="12"/>
  <c r="L1431" i="6"/>
  <c r="V407" i="7"/>
  <c r="R407" i="7"/>
  <c r="T407" i="7" s="1"/>
  <c r="K1330" i="6"/>
  <c r="M1330" i="6" s="1"/>
  <c r="S685" i="7"/>
  <c r="U685" i="7" s="1"/>
  <c r="S793" i="7"/>
  <c r="R742" i="8"/>
  <c r="K1229" i="6"/>
  <c r="M1229" i="6" s="1"/>
  <c r="D21" i="6"/>
  <c r="B21" i="6"/>
  <c r="E12" i="6"/>
  <c r="E21" i="6"/>
  <c r="C12" i="6"/>
  <c r="D12" i="6"/>
  <c r="C21" i="6"/>
  <c r="B12" i="6"/>
  <c r="U573" i="8"/>
  <c r="L1130" i="6"/>
  <c r="L1087" i="6"/>
  <c r="U134" i="7"/>
  <c r="P463" i="8"/>
  <c r="Q463" i="8" s="1"/>
  <c r="S463" i="8"/>
  <c r="U574" i="7"/>
  <c r="U517" i="7"/>
  <c r="S408" i="8"/>
  <c r="U408" i="8" s="1"/>
  <c r="V408" i="8"/>
  <c r="V792" i="8"/>
  <c r="V518" i="8"/>
  <c r="S518" i="8"/>
  <c r="V845" i="8"/>
  <c r="R845" i="8"/>
  <c r="T845" i="8" s="1"/>
  <c r="V630" i="7"/>
  <c r="S630" i="7"/>
  <c r="O745" i="6"/>
  <c r="V904" i="7"/>
  <c r="R630" i="7"/>
  <c r="CS225" i="11"/>
  <c r="V300" i="8"/>
  <c r="R300" i="8"/>
  <c r="N599" i="6"/>
  <c r="P599" i="6" s="1"/>
  <c r="N658" i="6"/>
  <c r="P658" i="6" s="1"/>
  <c r="U298" i="7"/>
  <c r="R134" i="12"/>
  <c r="AF273" i="11"/>
  <c r="J274" i="11" s="1"/>
  <c r="C274" i="11"/>
  <c r="V1014" i="8"/>
  <c r="S1014" i="8"/>
  <c r="U1014" i="8" s="1"/>
  <c r="V629" i="8"/>
  <c r="R629" i="8"/>
  <c r="T629" i="8" s="1"/>
  <c r="V188" i="12"/>
  <c r="R188" i="12"/>
  <c r="T188" i="12" s="1"/>
  <c r="N798" i="6"/>
  <c r="P798" i="6" s="1"/>
  <c r="Q132" i="8"/>
  <c r="V297" i="12"/>
  <c r="R297" i="12"/>
  <c r="L1170" i="6"/>
  <c r="N693" i="6"/>
  <c r="O693" i="6" s="1"/>
  <c r="D274" i="11"/>
  <c r="P243" i="8"/>
  <c r="Q243" i="8" s="1"/>
  <c r="S243" i="8" s="1"/>
  <c r="S851" i="7"/>
  <c r="U851" i="7" s="1"/>
  <c r="V851" i="7"/>
  <c r="S300" i="8"/>
  <c r="P930" i="6"/>
  <c r="V958" i="8"/>
  <c r="R958" i="8"/>
  <c r="T958" i="8" s="1"/>
  <c r="T226" i="11"/>
  <c r="R191" i="8"/>
  <c r="U738" i="7"/>
  <c r="R518" i="8"/>
  <c r="T518" i="8" s="1"/>
  <c r="S191" i="8"/>
  <c r="S188" i="12"/>
  <c r="Q190" i="7"/>
  <c r="R231" i="6"/>
  <c r="S297" i="12"/>
  <c r="M1375" i="6"/>
  <c r="H53" i="9"/>
  <c r="I53" i="9" s="1"/>
  <c r="P687" i="8"/>
  <c r="Q687" i="8" s="1"/>
  <c r="S687" i="8"/>
  <c r="P354" i="8"/>
  <c r="Q354" i="8" s="1"/>
  <c r="N2916" i="6"/>
  <c r="P2916" i="6" s="1"/>
  <c r="P904" i="8"/>
  <c r="Q904" i="8" s="1"/>
  <c r="S904" i="8" s="1"/>
  <c r="K1273" i="6"/>
  <c r="L1273" i="6" s="1"/>
  <c r="R190" i="6" l="1"/>
  <c r="R191" i="6" s="1"/>
  <c r="R192" i="6" s="1"/>
  <c r="R193" i="6" s="1"/>
  <c r="R194" i="6" s="1"/>
  <c r="R195" i="6" s="1"/>
  <c r="R196" i="6" s="1"/>
  <c r="R197" i="6" s="1"/>
  <c r="R198" i="6" s="1"/>
  <c r="R199" i="6" s="1"/>
  <c r="R200" i="6" s="1"/>
  <c r="R201" i="6" s="1"/>
  <c r="R202" i="6" s="1"/>
  <c r="R203" i="6" s="1"/>
  <c r="R204" i="6" s="1"/>
  <c r="R205" i="6" s="1"/>
  <c r="R206" i="6" s="1"/>
  <c r="R207" i="6" s="1"/>
  <c r="R208" i="6" s="1"/>
  <c r="R209" i="6" s="1"/>
  <c r="R210" i="6" s="1"/>
  <c r="S190" i="6"/>
  <c r="S191" i="6" s="1"/>
  <c r="S192" i="6" s="1"/>
  <c r="S193" i="6" s="1"/>
  <c r="S194" i="6" s="1"/>
  <c r="S195" i="6" s="1"/>
  <c r="S196" i="6" s="1"/>
  <c r="S197" i="6" s="1"/>
  <c r="S198" i="6" s="1"/>
  <c r="S199" i="6" s="1"/>
  <c r="S200" i="6" s="1"/>
  <c r="S201" i="6" s="1"/>
  <c r="S202" i="6" s="1"/>
  <c r="S203" i="6" s="1"/>
  <c r="S204" i="6" s="1"/>
  <c r="S205" i="6" s="1"/>
  <c r="S206" i="6" s="1"/>
  <c r="S207" i="6" s="1"/>
  <c r="S208" i="6" s="1"/>
  <c r="S209" i="6" s="1"/>
  <c r="S210" i="6" s="1"/>
  <c r="P1070" i="8"/>
  <c r="U226" i="11"/>
  <c r="X226" i="11"/>
  <c r="AG226" i="11" s="1"/>
  <c r="E2112" i="6"/>
  <c r="D2112" i="6"/>
  <c r="B2113" i="6"/>
  <c r="C2113" i="6" s="1"/>
  <c r="E2113" i="6" s="1"/>
  <c r="T191" i="8"/>
  <c r="V226" i="11"/>
  <c r="W226" i="11"/>
  <c r="BA277" i="11"/>
  <c r="AR277" i="11"/>
  <c r="AQ277" i="11"/>
  <c r="AW277" i="11" s="1"/>
  <c r="AZ277" i="11" s="1"/>
  <c r="T793" i="7"/>
  <c r="AV277" i="11"/>
  <c r="E274" i="11"/>
  <c r="T1069" i="8"/>
  <c r="S355" i="7"/>
  <c r="V355" i="7"/>
  <c r="O1033" i="6"/>
  <c r="P1033" i="6"/>
  <c r="T134" i="12"/>
  <c r="T851" i="7"/>
  <c r="BB227" i="11"/>
  <c r="BM227" i="11" s="1"/>
  <c r="K1460" i="6"/>
  <c r="M1460" i="6" s="1"/>
  <c r="U742" i="8"/>
  <c r="P743" i="8" s="1"/>
  <c r="U300" i="8"/>
  <c r="P301" i="8" s="1"/>
  <c r="M1503" i="6"/>
  <c r="K1504" i="6" s="1"/>
  <c r="M1273" i="6"/>
  <c r="K1274" i="6" s="1"/>
  <c r="L1274" i="6" s="1"/>
  <c r="T1014" i="8"/>
  <c r="Q1015" i="8" s="1"/>
  <c r="V1015" i="8" s="1"/>
  <c r="Q211" i="6"/>
  <c r="B212" i="6" s="1"/>
  <c r="B20" i="6" s="1"/>
  <c r="BA227" i="11"/>
  <c r="BC227" i="11"/>
  <c r="U297" i="12"/>
  <c r="T630" i="7"/>
  <c r="D2046" i="6"/>
  <c r="E2046" i="6"/>
  <c r="B2047" i="6" s="1"/>
  <c r="C2047" i="6"/>
  <c r="B2178" i="6"/>
  <c r="C2178" i="6" s="1"/>
  <c r="K1171" i="6"/>
  <c r="M1171" i="6" s="1"/>
  <c r="O883" i="6"/>
  <c r="O2916" i="6"/>
  <c r="CN225" i="11"/>
  <c r="CM225" i="11"/>
  <c r="CL225" i="11"/>
  <c r="CK225" i="11"/>
  <c r="CQ225" i="11"/>
  <c r="CP225" i="11"/>
  <c r="CO225" i="11"/>
  <c r="V354" i="8"/>
  <c r="R354" i="8"/>
  <c r="T245" i="7"/>
  <c r="O798" i="6"/>
  <c r="N931" i="6"/>
  <c r="O931" i="6" s="1"/>
  <c r="R687" i="8"/>
  <c r="T687" i="8" s="1"/>
  <c r="V687" i="8"/>
  <c r="O658" i="6"/>
  <c r="P959" i="8"/>
  <c r="Q959" i="8" s="1"/>
  <c r="U188" i="12"/>
  <c r="O599" i="6"/>
  <c r="P135" i="7"/>
  <c r="Q135" i="7" s="1"/>
  <c r="S135" i="7" s="1"/>
  <c r="L1229" i="6"/>
  <c r="D1914" i="6"/>
  <c r="E1914" i="6"/>
  <c r="B1915" i="6" s="1"/>
  <c r="U904" i="7"/>
  <c r="K1088" i="6"/>
  <c r="M1088" i="6" s="1"/>
  <c r="U845" i="8"/>
  <c r="T742" i="8"/>
  <c r="U407" i="7"/>
  <c r="P693" i="6"/>
  <c r="N694" i="6" s="1"/>
  <c r="O694" i="6" s="1"/>
  <c r="V904" i="8"/>
  <c r="R904" i="8"/>
  <c r="T904" i="8" s="1"/>
  <c r="Q232" i="6"/>
  <c r="S232" i="6" s="1"/>
  <c r="P409" i="8"/>
  <c r="P299" i="7"/>
  <c r="Q299" i="7" s="1"/>
  <c r="S299" i="7" s="1"/>
  <c r="T685" i="7"/>
  <c r="U630" i="7"/>
  <c r="S190" i="7"/>
  <c r="V190" i="7"/>
  <c r="V243" i="8"/>
  <c r="R243" i="8"/>
  <c r="T243" i="8" s="1"/>
  <c r="F274" i="11"/>
  <c r="T300" i="8"/>
  <c r="U793" i="7"/>
  <c r="S245" i="12"/>
  <c r="V245" i="12"/>
  <c r="P739" i="7"/>
  <c r="Q739" i="7" s="1"/>
  <c r="S739" i="7"/>
  <c r="T297" i="12"/>
  <c r="L1330" i="6"/>
  <c r="P575" i="7"/>
  <c r="Q575" i="7" s="1"/>
  <c r="P246" i="7"/>
  <c r="S354" i="8"/>
  <c r="U354" i="8" s="1"/>
  <c r="R463" i="8"/>
  <c r="T463" i="8" s="1"/>
  <c r="V463" i="8"/>
  <c r="G274" i="11"/>
  <c r="R190" i="7"/>
  <c r="U134" i="12"/>
  <c r="C57" i="9"/>
  <c r="C56" i="9"/>
  <c r="P1015" i="8"/>
  <c r="K1131" i="6"/>
  <c r="M1131" i="6" s="1"/>
  <c r="R245" i="12"/>
  <c r="P686" i="7"/>
  <c r="P298" i="12"/>
  <c r="K1376" i="6"/>
  <c r="L1376" i="6" s="1"/>
  <c r="O836" i="6"/>
  <c r="V132" i="8"/>
  <c r="S132" i="8"/>
  <c r="P518" i="7"/>
  <c r="Q518" i="7" s="1"/>
  <c r="S518" i="7" s="1"/>
  <c r="V465" i="7"/>
  <c r="S465" i="7"/>
  <c r="U465" i="7" s="1"/>
  <c r="R132" i="8"/>
  <c r="O982" i="6"/>
  <c r="R355" i="7"/>
  <c r="T355" i="7" s="1"/>
  <c r="N746" i="6"/>
  <c r="P746" i="6" s="1"/>
  <c r="T408" i="8"/>
  <c r="P852" i="7"/>
  <c r="Q852" i="7" s="1"/>
  <c r="K1432" i="6"/>
  <c r="M1432" i="6" s="1"/>
  <c r="U792" i="8"/>
  <c r="U191" i="8"/>
  <c r="U518" i="8"/>
  <c r="P574" i="8"/>
  <c r="Q574" i="8" s="1"/>
  <c r="S574" i="8"/>
  <c r="D1980" i="6"/>
  <c r="E1980" i="6"/>
  <c r="B1981" i="6" s="1"/>
  <c r="C1981" i="6" s="1"/>
  <c r="U629" i="8"/>
  <c r="AE226" i="11" l="1"/>
  <c r="AB226" i="11"/>
  <c r="Z226" i="11"/>
  <c r="AA226" i="11"/>
  <c r="Y226" i="11"/>
  <c r="AD226" i="11"/>
  <c r="AC226" i="11"/>
  <c r="L1432" i="6"/>
  <c r="K1433" i="6" s="1"/>
  <c r="N1390" i="6" s="1"/>
  <c r="O1392" i="6" s="1"/>
  <c r="D2113" i="6"/>
  <c r="B2114" i="6" s="1"/>
  <c r="C2114" i="6" s="1"/>
  <c r="T132" i="8"/>
  <c r="Q1070" i="8"/>
  <c r="BM277" i="11"/>
  <c r="N1034" i="6"/>
  <c r="O1034" i="6"/>
  <c r="N1035" i="6" s="1"/>
  <c r="O1035" i="6" s="1"/>
  <c r="P1034" i="6"/>
  <c r="L1504" i="6"/>
  <c r="K1505" i="6" s="1"/>
  <c r="M1504" i="6"/>
  <c r="S959" i="8"/>
  <c r="V959" i="8"/>
  <c r="E2178" i="6"/>
  <c r="D2178" i="6"/>
  <c r="M1274" i="6"/>
  <c r="K1275" i="6" s="1"/>
  <c r="M1275" i="6" s="1"/>
  <c r="P931" i="6"/>
  <c r="BG227" i="11"/>
  <c r="BJ227" i="11"/>
  <c r="BF227" i="11"/>
  <c r="BK227" i="11"/>
  <c r="BE227" i="11"/>
  <c r="BI227" i="11"/>
  <c r="BH227" i="11"/>
  <c r="T190" i="7"/>
  <c r="T245" i="12"/>
  <c r="B11" i="6"/>
  <c r="U463" i="8"/>
  <c r="P464" i="8" s="1"/>
  <c r="Q464" i="8" s="1"/>
  <c r="R232" i="6"/>
  <c r="Q233" i="6" s="1"/>
  <c r="M1376" i="6"/>
  <c r="K1377" i="6" s="1"/>
  <c r="L1377" i="6" s="1"/>
  <c r="E2047" i="6"/>
  <c r="D2047" i="6"/>
  <c r="L1460" i="6"/>
  <c r="K1461" i="6" s="1"/>
  <c r="L1461" i="6" s="1"/>
  <c r="C1915" i="6"/>
  <c r="E1981" i="6"/>
  <c r="D1981" i="6"/>
  <c r="V852" i="7"/>
  <c r="S852" i="7"/>
  <c r="R852" i="7"/>
  <c r="P631" i="7"/>
  <c r="Q631" i="7" s="1"/>
  <c r="S631" i="7" s="1"/>
  <c r="Q409" i="8"/>
  <c r="R409" i="8" s="1"/>
  <c r="BP226" i="11"/>
  <c r="P466" i="7"/>
  <c r="N799" i="6"/>
  <c r="P799" i="6" s="1"/>
  <c r="U245" i="12"/>
  <c r="N2917" i="6"/>
  <c r="P2917" i="6" s="1"/>
  <c r="P355" i="8"/>
  <c r="P794" i="7"/>
  <c r="Q794" i="7" s="1"/>
  <c r="S794" i="7"/>
  <c r="V518" i="7"/>
  <c r="R518" i="7"/>
  <c r="T518" i="7" s="1"/>
  <c r="V574" i="8"/>
  <c r="R574" i="8"/>
  <c r="T574" i="8" s="1"/>
  <c r="P519" i="8"/>
  <c r="Q519" i="8" s="1"/>
  <c r="P694" i="6"/>
  <c r="N837" i="6"/>
  <c r="P837" i="6" s="1"/>
  <c r="R1015" i="8"/>
  <c r="S1015" i="8"/>
  <c r="U1015" i="8" s="1"/>
  <c r="U355" i="7"/>
  <c r="P846" i="8"/>
  <c r="Q846" i="8" s="1"/>
  <c r="P793" i="8"/>
  <c r="Q793" i="8" s="1"/>
  <c r="S793" i="8"/>
  <c r="R959" i="8"/>
  <c r="T959" i="8" s="1"/>
  <c r="D227" i="11"/>
  <c r="P135" i="12"/>
  <c r="Q135" i="12" s="1"/>
  <c r="K1331" i="6"/>
  <c r="M1331" i="6" s="1"/>
  <c r="Q246" i="7"/>
  <c r="Q298" i="12"/>
  <c r="Q301" i="8"/>
  <c r="K1230" i="6"/>
  <c r="M1230" i="6" s="1"/>
  <c r="U132" i="8"/>
  <c r="N884" i="6"/>
  <c r="P884" i="6" s="1"/>
  <c r="V575" i="7"/>
  <c r="R575" i="7"/>
  <c r="P189" i="12"/>
  <c r="Q189" i="12" s="1"/>
  <c r="S189" i="12"/>
  <c r="L1171" i="6"/>
  <c r="C227" i="11"/>
  <c r="AF226" i="11"/>
  <c r="J227" i="11" s="1"/>
  <c r="P630" i="8"/>
  <c r="Q630" i="8" s="1"/>
  <c r="S630" i="8" s="1"/>
  <c r="P192" i="8"/>
  <c r="Q192" i="8" s="1"/>
  <c r="S575" i="7"/>
  <c r="U243" i="8"/>
  <c r="T465" i="7"/>
  <c r="H274" i="11"/>
  <c r="I274" i="11" s="1"/>
  <c r="L1088" i="6"/>
  <c r="P905" i="7"/>
  <c r="Q905" i="7" s="1"/>
  <c r="S905" i="7"/>
  <c r="R739" i="7"/>
  <c r="T739" i="7" s="1"/>
  <c r="V739" i="7"/>
  <c r="T354" i="8"/>
  <c r="O746" i="6"/>
  <c r="P408" i="7"/>
  <c r="Q408" i="7" s="1"/>
  <c r="N600" i="6"/>
  <c r="P600" i="6" s="1"/>
  <c r="Q743" i="8"/>
  <c r="N659" i="6"/>
  <c r="P659" i="6" s="1"/>
  <c r="N983" i="6"/>
  <c r="P983" i="6" s="1"/>
  <c r="Q686" i="7"/>
  <c r="V299" i="7"/>
  <c r="R299" i="7"/>
  <c r="T299" i="7" s="1"/>
  <c r="L1131" i="6"/>
  <c r="V135" i="7"/>
  <c r="R135" i="7"/>
  <c r="T135" i="7" s="1"/>
  <c r="U687" i="8"/>
  <c r="U190" i="7"/>
  <c r="BO226" i="11"/>
  <c r="CR225" i="11"/>
  <c r="BV226" i="11" s="1"/>
  <c r="U904" i="8"/>
  <c r="L1505" i="6" l="1"/>
  <c r="M1505" i="6"/>
  <c r="E2114" i="6"/>
  <c r="D2114" i="6"/>
  <c r="T575" i="7"/>
  <c r="BB278" i="11"/>
  <c r="BF277" i="11"/>
  <c r="BC278" i="11"/>
  <c r="BJ277" i="11"/>
  <c r="BI277" i="11"/>
  <c r="BH277" i="11"/>
  <c r="BK277" i="11"/>
  <c r="BD278" i="11"/>
  <c r="BG277" i="11"/>
  <c r="BE277" i="11"/>
  <c r="R1070" i="8"/>
  <c r="T1070" i="8" s="1"/>
  <c r="S1070" i="8"/>
  <c r="V1070" i="8"/>
  <c r="T852" i="7"/>
  <c r="S464" i="8"/>
  <c r="V464" i="8"/>
  <c r="R233" i="6"/>
  <c r="Q234" i="6" s="1"/>
  <c r="R234" i="6" s="1"/>
  <c r="S233" i="6"/>
  <c r="S234" i="6" s="1"/>
  <c r="AJ228" i="11"/>
  <c r="AL228" i="11"/>
  <c r="E227" i="11"/>
  <c r="N932" i="6"/>
  <c r="O932" i="6" s="1"/>
  <c r="M1461" i="6"/>
  <c r="B2179" i="6"/>
  <c r="C2179" i="6" s="1"/>
  <c r="O884" i="6"/>
  <c r="N885" i="6" s="1"/>
  <c r="P885" i="6" s="1"/>
  <c r="O983" i="6"/>
  <c r="N984" i="6" s="1"/>
  <c r="P984" i="6" s="1"/>
  <c r="B2115" i="6"/>
  <c r="C2115" i="6" s="1"/>
  <c r="E2115" i="6" s="1"/>
  <c r="B2048" i="6"/>
  <c r="C2048" i="6" s="1"/>
  <c r="BL227" i="11"/>
  <c r="AP228" i="11" s="1"/>
  <c r="AK228" i="11"/>
  <c r="AI228" i="11"/>
  <c r="U630" i="8"/>
  <c r="L274" i="11"/>
  <c r="K274" i="11"/>
  <c r="Q274" i="11" s="1"/>
  <c r="T274" i="11" s="1"/>
  <c r="N274" i="11"/>
  <c r="P274" i="11"/>
  <c r="M274" i="11"/>
  <c r="R274" i="11" s="1"/>
  <c r="U274" i="11" s="1"/>
  <c r="O274" i="11"/>
  <c r="S274" i="11" s="1"/>
  <c r="V135" i="12"/>
  <c r="R135" i="12"/>
  <c r="K1506" i="6"/>
  <c r="L1506" i="6" s="1"/>
  <c r="V519" i="8"/>
  <c r="R519" i="8"/>
  <c r="P905" i="8"/>
  <c r="Q905" i="8" s="1"/>
  <c r="S905" i="8" s="1"/>
  <c r="V686" i="7"/>
  <c r="S686" i="7"/>
  <c r="R846" i="8"/>
  <c r="V846" i="8"/>
  <c r="O799" i="6"/>
  <c r="L1230" i="6"/>
  <c r="BQ226" i="11"/>
  <c r="R464" i="8"/>
  <c r="T464" i="8" s="1"/>
  <c r="P356" i="7"/>
  <c r="Q356" i="7" s="1"/>
  <c r="B1982" i="6"/>
  <c r="C1982" i="6" s="1"/>
  <c r="BR226" i="11"/>
  <c r="S298" i="12"/>
  <c r="V298" i="12"/>
  <c r="E1915" i="6"/>
  <c r="D1915" i="6"/>
  <c r="N747" i="6"/>
  <c r="P747" i="6" s="1"/>
  <c r="P133" i="8"/>
  <c r="Q133" i="8" s="1"/>
  <c r="Q355" i="8"/>
  <c r="R355" i="8" s="1"/>
  <c r="S519" i="8"/>
  <c r="V301" i="8"/>
  <c r="S301" i="8"/>
  <c r="M1377" i="6"/>
  <c r="U852" i="7"/>
  <c r="P688" i="8"/>
  <c r="Q688" i="8" s="1"/>
  <c r="S688" i="8" s="1"/>
  <c r="R298" i="12"/>
  <c r="P246" i="12"/>
  <c r="Q246" i="12" s="1"/>
  <c r="S246" i="12" s="1"/>
  <c r="R793" i="8"/>
  <c r="T793" i="8" s="1"/>
  <c r="V793" i="8"/>
  <c r="L1275" i="6"/>
  <c r="R189" i="12"/>
  <c r="T189" i="12" s="1"/>
  <c r="V189" i="12"/>
  <c r="P1035" i="6"/>
  <c r="N1036" i="6" s="1"/>
  <c r="O1036" i="6" s="1"/>
  <c r="U739" i="7"/>
  <c r="R301" i="8"/>
  <c r="V743" i="8"/>
  <c r="S743" i="8"/>
  <c r="R743" i="8"/>
  <c r="T743" i="8" s="1"/>
  <c r="P244" i="8"/>
  <c r="Q244" i="8" s="1"/>
  <c r="S244" i="8" s="1"/>
  <c r="P1016" i="8"/>
  <c r="V192" i="8"/>
  <c r="R192" i="8"/>
  <c r="K1132" i="6"/>
  <c r="M1132" i="6" s="1"/>
  <c r="S192" i="8"/>
  <c r="O600" i="6"/>
  <c r="R905" i="7"/>
  <c r="T905" i="7" s="1"/>
  <c r="V905" i="7"/>
  <c r="S246" i="7"/>
  <c r="U246" i="7" s="1"/>
  <c r="V246" i="7"/>
  <c r="F227" i="11"/>
  <c r="H227" i="11" s="1"/>
  <c r="V409" i="8"/>
  <c r="S409" i="8"/>
  <c r="U409" i="8" s="1"/>
  <c r="R408" i="7"/>
  <c r="V408" i="7"/>
  <c r="V630" i="8"/>
  <c r="R630" i="8"/>
  <c r="T630" i="8" s="1"/>
  <c r="R246" i="7"/>
  <c r="T1015" i="8"/>
  <c r="U518" i="7"/>
  <c r="U135" i="7"/>
  <c r="K1089" i="6"/>
  <c r="M1089" i="6" s="1"/>
  <c r="U793" i="8"/>
  <c r="O659" i="6"/>
  <c r="S135" i="12"/>
  <c r="K1172" i="6"/>
  <c r="M1172" i="6" s="1"/>
  <c r="P1392" i="6"/>
  <c r="N1393" i="6" s="1"/>
  <c r="O1393" i="6" s="1"/>
  <c r="R686" i="7"/>
  <c r="S846" i="8"/>
  <c r="Q466" i="7"/>
  <c r="R466" i="7" s="1"/>
  <c r="U574" i="8"/>
  <c r="P191" i="7"/>
  <c r="Q191" i="7" s="1"/>
  <c r="S191" i="7" s="1"/>
  <c r="U575" i="7"/>
  <c r="V794" i="7"/>
  <c r="R794" i="7"/>
  <c r="T794" i="7" s="1"/>
  <c r="BS226" i="11"/>
  <c r="N695" i="6"/>
  <c r="O695" i="6" s="1"/>
  <c r="R631" i="7"/>
  <c r="T631" i="7" s="1"/>
  <c r="V631" i="7"/>
  <c r="U299" i="7"/>
  <c r="S408" i="7"/>
  <c r="G227" i="11"/>
  <c r="L1331" i="6"/>
  <c r="O837" i="6"/>
  <c r="O2917" i="6"/>
  <c r="U959" i="8"/>
  <c r="D2115" i="6" l="1"/>
  <c r="AI278" i="11"/>
  <c r="BL277" i="11"/>
  <c r="AP278" i="11" s="1"/>
  <c r="AL278" i="11"/>
  <c r="AJ278" i="11"/>
  <c r="T301" i="8"/>
  <c r="M1506" i="6"/>
  <c r="K1507" i="6" s="1"/>
  <c r="T846" i="8"/>
  <c r="AM278" i="11"/>
  <c r="U1070" i="8"/>
  <c r="E2048" i="6"/>
  <c r="D2048" i="6"/>
  <c r="N933" i="6"/>
  <c r="O933" i="6" s="1"/>
  <c r="U298" i="12"/>
  <c r="L1172" i="6"/>
  <c r="K1173" i="6" s="1"/>
  <c r="T135" i="12"/>
  <c r="U631" i="7"/>
  <c r="P632" i="7" s="1"/>
  <c r="Q632" i="7" s="1"/>
  <c r="T192" i="8"/>
  <c r="U686" i="7"/>
  <c r="P687" i="7" s="1"/>
  <c r="T408" i="7"/>
  <c r="E2179" i="6"/>
  <c r="D2179" i="6"/>
  <c r="K1462" i="6"/>
  <c r="L1462" i="6" s="1"/>
  <c r="AM228" i="11"/>
  <c r="P932" i="6"/>
  <c r="U519" i="8"/>
  <c r="P520" i="8" s="1"/>
  <c r="AN228" i="11"/>
  <c r="AO228" i="11" s="1"/>
  <c r="AS228" i="11" s="1"/>
  <c r="AX228" i="11" s="1"/>
  <c r="AQ228" i="11"/>
  <c r="AW228" i="11" s="1"/>
  <c r="AR228" i="11"/>
  <c r="Q235" i="6"/>
  <c r="R235" i="6" s="1"/>
  <c r="U135" i="12"/>
  <c r="V191" i="7"/>
  <c r="R191" i="7"/>
  <c r="T191" i="7" s="1"/>
  <c r="D1982" i="6"/>
  <c r="E1982" i="6"/>
  <c r="B1983" i="6" s="1"/>
  <c r="C1983" i="6" s="1"/>
  <c r="P410" i="8"/>
  <c r="K1231" i="6"/>
  <c r="M1231" i="6" s="1"/>
  <c r="K1276" i="6"/>
  <c r="M1276" i="6" s="1"/>
  <c r="B2116" i="6"/>
  <c r="C2116" i="6" s="1"/>
  <c r="P247" i="7"/>
  <c r="U846" i="8"/>
  <c r="Q1016" i="8"/>
  <c r="R1016" i="8" s="1"/>
  <c r="U464" i="8"/>
  <c r="U301" i="8"/>
  <c r="R905" i="8"/>
  <c r="T905" i="8" s="1"/>
  <c r="V905" i="8"/>
  <c r="AG274" i="11"/>
  <c r="T409" i="8"/>
  <c r="P853" i="7"/>
  <c r="Q853" i="7" s="1"/>
  <c r="S853" i="7"/>
  <c r="O984" i="6"/>
  <c r="B1916" i="6"/>
  <c r="C1916" i="6" s="1"/>
  <c r="P300" i="7"/>
  <c r="Q300" i="7" s="1"/>
  <c r="N660" i="6"/>
  <c r="P660" i="6" s="1"/>
  <c r="P631" i="8"/>
  <c r="Q631" i="8" s="1"/>
  <c r="P794" i="8"/>
  <c r="Q794" i="8" s="1"/>
  <c r="S355" i="8"/>
  <c r="U355" i="8" s="1"/>
  <c r="V355" i="8"/>
  <c r="L1089" i="6"/>
  <c r="V133" i="8"/>
  <c r="R133" i="8"/>
  <c r="N2918" i="6"/>
  <c r="P2918" i="6" s="1"/>
  <c r="P519" i="7"/>
  <c r="Q519" i="7" s="1"/>
  <c r="S519" i="7" s="1"/>
  <c r="N838" i="6"/>
  <c r="P838" i="6" s="1"/>
  <c r="T686" i="7"/>
  <c r="N601" i="6"/>
  <c r="P601" i="6" s="1"/>
  <c r="T246" i="7"/>
  <c r="U246" i="12"/>
  <c r="P695" i="6"/>
  <c r="U192" i="8"/>
  <c r="V246" i="12"/>
  <c r="R246" i="12"/>
  <c r="T246" i="12" s="1"/>
  <c r="I227" i="11"/>
  <c r="M227" i="11" s="1"/>
  <c r="R227" i="11" s="1"/>
  <c r="U227" i="11" s="1"/>
  <c r="T519" i="8"/>
  <c r="P576" i="7"/>
  <c r="Q576" i="7" s="1"/>
  <c r="S576" i="7"/>
  <c r="V356" i="7"/>
  <c r="R356" i="7"/>
  <c r="V244" i="8"/>
  <c r="R244" i="8"/>
  <c r="T244" i="8" s="1"/>
  <c r="P299" i="12"/>
  <c r="P960" i="8"/>
  <c r="Q960" i="8" s="1"/>
  <c r="P136" i="7"/>
  <c r="Q136" i="7" s="1"/>
  <c r="S136" i="7"/>
  <c r="S133" i="8"/>
  <c r="O885" i="6"/>
  <c r="O747" i="6"/>
  <c r="K1332" i="6"/>
  <c r="M1332" i="6" s="1"/>
  <c r="P1393" i="6"/>
  <c r="N1394" i="6" s="1"/>
  <c r="O1394" i="6" s="1"/>
  <c r="O227" i="11"/>
  <c r="S227" i="11" s="1"/>
  <c r="P227" i="11"/>
  <c r="U189" i="12"/>
  <c r="U905" i="7"/>
  <c r="P1036" i="6"/>
  <c r="N1037" i="6" s="1"/>
  <c r="O1037" i="6" s="1"/>
  <c r="BT226" i="11"/>
  <c r="BU226" i="11" s="1"/>
  <c r="N800" i="6"/>
  <c r="P800" i="6" s="1"/>
  <c r="P575" i="8"/>
  <c r="Q575" i="8" s="1"/>
  <c r="S575" i="8" s="1"/>
  <c r="N227" i="11"/>
  <c r="S466" i="7"/>
  <c r="U466" i="7" s="1"/>
  <c r="V466" i="7"/>
  <c r="K1378" i="6"/>
  <c r="L1378" i="6" s="1"/>
  <c r="U743" i="8"/>
  <c r="S235" i="6"/>
  <c r="T298" i="12"/>
  <c r="U408" i="7"/>
  <c r="U794" i="7"/>
  <c r="L1132" i="6"/>
  <c r="P740" i="7"/>
  <c r="Q740" i="7" s="1"/>
  <c r="R688" i="8"/>
  <c r="T688" i="8" s="1"/>
  <c r="V688" i="8"/>
  <c r="S356" i="7"/>
  <c r="L1507" i="6" l="1"/>
  <c r="M1507" i="6"/>
  <c r="AK278" i="11"/>
  <c r="B2049" i="6"/>
  <c r="C2049" i="6" s="1"/>
  <c r="P1071" i="8"/>
  <c r="Q1071" i="8" s="1"/>
  <c r="S1071" i="8"/>
  <c r="U133" i="8"/>
  <c r="P134" i="8" s="1"/>
  <c r="L1173" i="6"/>
  <c r="K1174" i="6" s="1"/>
  <c r="M1173" i="6"/>
  <c r="R632" i="7"/>
  <c r="V632" i="7"/>
  <c r="B2180" i="6"/>
  <c r="C2180" i="6" s="1"/>
  <c r="U244" i="8"/>
  <c r="P245" i="8" s="1"/>
  <c r="Q245" i="8" s="1"/>
  <c r="V245" i="8" s="1"/>
  <c r="O838" i="6"/>
  <c r="M1462" i="6"/>
  <c r="T355" i="8"/>
  <c r="T356" i="7"/>
  <c r="AT228" i="11"/>
  <c r="AZ228" i="11"/>
  <c r="P933" i="6"/>
  <c r="BA228" i="11"/>
  <c r="AU228" i="11"/>
  <c r="AY228" i="11" s="1"/>
  <c r="BD228" i="11" s="1"/>
  <c r="AV228" i="11"/>
  <c r="BW226" i="11"/>
  <c r="CC226" i="11" s="1"/>
  <c r="BZ226" i="11"/>
  <c r="CA226" i="11"/>
  <c r="CE226" i="11" s="1"/>
  <c r="BY226" i="11"/>
  <c r="CD226" i="11" s="1"/>
  <c r="CG226" i="11" s="1"/>
  <c r="CB226" i="11"/>
  <c r="BX226" i="11"/>
  <c r="S794" i="8"/>
  <c r="V794" i="8"/>
  <c r="R794" i="8"/>
  <c r="T794" i="8" s="1"/>
  <c r="E2116" i="6"/>
  <c r="D2116" i="6"/>
  <c r="K1508" i="6"/>
  <c r="L1508" i="6" s="1"/>
  <c r="E1983" i="6"/>
  <c r="D1983" i="6"/>
  <c r="E1916" i="6"/>
  <c r="D1916" i="6"/>
  <c r="R631" i="8"/>
  <c r="V631" i="8"/>
  <c r="S631" i="8"/>
  <c r="P193" i="8"/>
  <c r="Q193" i="8" s="1"/>
  <c r="S193" i="8" s="1"/>
  <c r="V519" i="7"/>
  <c r="R519" i="7"/>
  <c r="T519" i="7" s="1"/>
  <c r="N696" i="6"/>
  <c r="O696" i="6" s="1"/>
  <c r="U191" i="7"/>
  <c r="R300" i="7"/>
  <c r="V300" i="7"/>
  <c r="P795" i="7"/>
  <c r="Q795" i="7" s="1"/>
  <c r="S795" i="7"/>
  <c r="R575" i="8"/>
  <c r="T575" i="8" s="1"/>
  <c r="V575" i="8"/>
  <c r="R136" i="7"/>
  <c r="T136" i="7" s="1"/>
  <c r="V136" i="7"/>
  <c r="N985" i="6"/>
  <c r="P985" i="6" s="1"/>
  <c r="K1090" i="6"/>
  <c r="M1090" i="6" s="1"/>
  <c r="L1231" i="6"/>
  <c r="P906" i="7"/>
  <c r="Q906" i="7" s="1"/>
  <c r="S906" i="7" s="1"/>
  <c r="P356" i="8"/>
  <c r="V853" i="7"/>
  <c r="R853" i="7"/>
  <c r="T853" i="7" s="1"/>
  <c r="N839" i="6"/>
  <c r="O839" i="6" s="1"/>
  <c r="P467" i="7"/>
  <c r="P302" i="8"/>
  <c r="Q302" i="8" s="1"/>
  <c r="O660" i="6"/>
  <c r="P1394" i="6"/>
  <c r="Q247" i="7"/>
  <c r="L1276" i="6"/>
  <c r="P409" i="7"/>
  <c r="Q409" i="7" s="1"/>
  <c r="S409" i="7" s="1"/>
  <c r="L1332" i="6"/>
  <c r="T466" i="7"/>
  <c r="P1037" i="6"/>
  <c r="N1038" i="6" s="1"/>
  <c r="O1038" i="6" s="1"/>
  <c r="Q687" i="7"/>
  <c r="O800" i="6"/>
  <c r="Q520" i="8"/>
  <c r="N886" i="6"/>
  <c r="P886" i="6" s="1"/>
  <c r="K227" i="11"/>
  <c r="Q227" i="11" s="1"/>
  <c r="L227" i="11"/>
  <c r="P847" i="8"/>
  <c r="Q847" i="8" s="1"/>
  <c r="AC274" i="11"/>
  <c r="AB274" i="11"/>
  <c r="AA274" i="11"/>
  <c r="X275" i="11"/>
  <c r="AE274" i="11"/>
  <c r="W275" i="11"/>
  <c r="V275" i="11"/>
  <c r="AD274" i="11"/>
  <c r="Z274" i="11"/>
  <c r="Y274" i="11"/>
  <c r="P136" i="12"/>
  <c r="Q136" i="12" s="1"/>
  <c r="S136" i="12" s="1"/>
  <c r="T133" i="8"/>
  <c r="U905" i="8"/>
  <c r="Q299" i="12"/>
  <c r="V960" i="8"/>
  <c r="R960" i="8"/>
  <c r="U688" i="8"/>
  <c r="N748" i="6"/>
  <c r="P748" i="6" s="1"/>
  <c r="V576" i="7"/>
  <c r="R576" i="7"/>
  <c r="T576" i="7" s="1"/>
  <c r="V1016" i="8"/>
  <c r="S1016" i="8"/>
  <c r="U1016" i="8" s="1"/>
  <c r="U356" i="7"/>
  <c r="P744" i="8"/>
  <c r="Q744" i="8" s="1"/>
  <c r="S632" i="7"/>
  <c r="R740" i="7"/>
  <c r="V740" i="7"/>
  <c r="M1508" i="6"/>
  <c r="S740" i="7"/>
  <c r="U740" i="7" s="1"/>
  <c r="K1133" i="6"/>
  <c r="M1133" i="6" s="1"/>
  <c r="M1378" i="6"/>
  <c r="P247" i="12"/>
  <c r="Q247" i="12" s="1"/>
  <c r="V247" i="12" s="1"/>
  <c r="O2918" i="6"/>
  <c r="S300" i="7"/>
  <c r="O601" i="6"/>
  <c r="P465" i="8"/>
  <c r="Q465" i="8" s="1"/>
  <c r="S465" i="8" s="1"/>
  <c r="S960" i="8"/>
  <c r="P190" i="12"/>
  <c r="Q190" i="12" s="1"/>
  <c r="Q410" i="8"/>
  <c r="Q236" i="6"/>
  <c r="R236" i="6" s="1"/>
  <c r="L1174" i="6" l="1"/>
  <c r="M1174" i="6"/>
  <c r="V1071" i="8"/>
  <c r="R1071" i="8"/>
  <c r="T1071" i="8" s="1"/>
  <c r="U576" i="7"/>
  <c r="P577" i="7" s="1"/>
  <c r="Q577" i="7" s="1"/>
  <c r="S577" i="7" s="1"/>
  <c r="B1984" i="6"/>
  <c r="C1984" i="6" s="1"/>
  <c r="D2049" i="6"/>
  <c r="E2049" i="6"/>
  <c r="B2050" i="6" s="1"/>
  <c r="C2050" i="6" s="1"/>
  <c r="U632" i="7"/>
  <c r="U1071" i="8"/>
  <c r="P1072" i="8" s="1"/>
  <c r="Q1072" i="8" s="1"/>
  <c r="R1072" i="8" s="1"/>
  <c r="T1072" i="8" s="1"/>
  <c r="BC228" i="11"/>
  <c r="BB228" i="11" s="1"/>
  <c r="U575" i="8"/>
  <c r="P576" i="8" s="1"/>
  <c r="Q576" i="8" s="1"/>
  <c r="AN278" i="11"/>
  <c r="AO278" i="11"/>
  <c r="AQ278" i="11"/>
  <c r="AW278" i="11" s="1"/>
  <c r="AR278" i="11"/>
  <c r="S236" i="6"/>
  <c r="Q356" i="8"/>
  <c r="S356" i="8" s="1"/>
  <c r="U631" i="8"/>
  <c r="N934" i="6"/>
  <c r="O934" i="6" s="1"/>
  <c r="T300" i="7"/>
  <c r="B2117" i="6"/>
  <c r="C2117" i="6" s="1"/>
  <c r="B1917" i="6"/>
  <c r="C1917" i="6" s="1"/>
  <c r="K1463" i="6"/>
  <c r="L1463" i="6" s="1"/>
  <c r="T960" i="8"/>
  <c r="E2180" i="6"/>
  <c r="D2180" i="6"/>
  <c r="B2181" i="6"/>
  <c r="C2181" i="6" s="1"/>
  <c r="P839" i="6"/>
  <c r="N840" i="6" s="1"/>
  <c r="P840" i="6" s="1"/>
  <c r="BM228" i="11"/>
  <c r="Q237" i="6"/>
  <c r="S237" i="6" s="1"/>
  <c r="S238" i="6" s="1"/>
  <c r="S239" i="6" s="1"/>
  <c r="S240" i="6" s="1"/>
  <c r="S241" i="6" s="1"/>
  <c r="S242" i="6" s="1"/>
  <c r="S243" i="6" s="1"/>
  <c r="S244" i="6" s="1"/>
  <c r="S245" i="6" s="1"/>
  <c r="S246" i="6" s="1"/>
  <c r="S247" i="6" s="1"/>
  <c r="S248" i="6" s="1"/>
  <c r="S249" i="6" s="1"/>
  <c r="S250" i="6" s="1"/>
  <c r="S251" i="6" s="1"/>
  <c r="S252" i="6" s="1"/>
  <c r="S253" i="6" s="1"/>
  <c r="S254" i="6" s="1"/>
  <c r="S255" i="6" s="1"/>
  <c r="S256" i="6" s="1"/>
  <c r="S257" i="6" s="1"/>
  <c r="K1175" i="6"/>
  <c r="L1175" i="6" s="1"/>
  <c r="V795" i="7"/>
  <c r="R795" i="7"/>
  <c r="T795" i="7" s="1"/>
  <c r="R247" i="12"/>
  <c r="N602" i="6"/>
  <c r="P602" i="6" s="1"/>
  <c r="U853" i="7"/>
  <c r="K1232" i="6"/>
  <c r="M1232" i="6" s="1"/>
  <c r="P633" i="7"/>
  <c r="N801" i="6"/>
  <c r="P801" i="6" s="1"/>
  <c r="V687" i="7"/>
  <c r="S687" i="7"/>
  <c r="R687" i="7"/>
  <c r="U794" i="8"/>
  <c r="P357" i="7"/>
  <c r="Q357" i="7" s="1"/>
  <c r="P906" i="8"/>
  <c r="Q906" i="8" s="1"/>
  <c r="P632" i="8"/>
  <c r="O985" i="6"/>
  <c r="R847" i="8"/>
  <c r="V847" i="8"/>
  <c r="K1333" i="6"/>
  <c r="M1333" i="6" s="1"/>
  <c r="R193" i="8"/>
  <c r="T193" i="8" s="1"/>
  <c r="V193" i="8"/>
  <c r="P741" i="7"/>
  <c r="O886" i="6"/>
  <c r="V520" i="8"/>
  <c r="S520" i="8"/>
  <c r="V356" i="8"/>
  <c r="R245" i="8"/>
  <c r="S299" i="12"/>
  <c r="U299" i="12" s="1"/>
  <c r="V299" i="12"/>
  <c r="N1395" i="6"/>
  <c r="O1395" i="6" s="1"/>
  <c r="N2919" i="6"/>
  <c r="P2919" i="6" s="1"/>
  <c r="V302" i="8"/>
  <c r="R302" i="8"/>
  <c r="L1090" i="6"/>
  <c r="P696" i="6"/>
  <c r="N697" i="6" s="1"/>
  <c r="O697" i="6" s="1"/>
  <c r="S247" i="12"/>
  <c r="U247" i="12" s="1"/>
  <c r="D275" i="11"/>
  <c r="P1038" i="6"/>
  <c r="N1039" i="6" s="1"/>
  <c r="O1039" i="6" s="1"/>
  <c r="S847" i="8"/>
  <c r="U847" i="8" s="1"/>
  <c r="U136" i="7"/>
  <c r="K1379" i="6"/>
  <c r="L1379" i="6" s="1"/>
  <c r="CF226" i="11"/>
  <c r="CI226" i="11"/>
  <c r="CH226" i="11"/>
  <c r="CJ226" i="11"/>
  <c r="CS226" i="11" s="1"/>
  <c r="V247" i="7"/>
  <c r="S247" i="7"/>
  <c r="K1509" i="6"/>
  <c r="L1509" i="6" s="1"/>
  <c r="M1509" i="6"/>
  <c r="AF274" i="11"/>
  <c r="J275" i="11" s="1"/>
  <c r="C275" i="11"/>
  <c r="T740" i="7"/>
  <c r="U300" i="7"/>
  <c r="V190" i="12"/>
  <c r="R190" i="12"/>
  <c r="T190" i="12" s="1"/>
  <c r="N661" i="6"/>
  <c r="P661" i="6" s="1"/>
  <c r="V744" i="8"/>
  <c r="R744" i="8"/>
  <c r="S302" i="8"/>
  <c r="Q134" i="8"/>
  <c r="U960" i="8"/>
  <c r="Q467" i="7"/>
  <c r="R136" i="12"/>
  <c r="T136" i="12" s="1"/>
  <c r="V136" i="12"/>
  <c r="V409" i="7"/>
  <c r="R409" i="7"/>
  <c r="T409" i="7" s="1"/>
  <c r="T632" i="7"/>
  <c r="P689" i="8"/>
  <c r="Q689" i="8" s="1"/>
  <c r="S689" i="8"/>
  <c r="R356" i="8"/>
  <c r="T356" i="8" s="1"/>
  <c r="R247" i="7"/>
  <c r="T247" i="7" s="1"/>
  <c r="R520" i="8"/>
  <c r="P192" i="7"/>
  <c r="Q192" i="7" s="1"/>
  <c r="S190" i="12"/>
  <c r="R299" i="12"/>
  <c r="R906" i="7"/>
  <c r="T906" i="7" s="1"/>
  <c r="V906" i="7"/>
  <c r="S744" i="8"/>
  <c r="S245" i="8"/>
  <c r="P1017" i="8"/>
  <c r="T631" i="8"/>
  <c r="V465" i="8"/>
  <c r="R465" i="8"/>
  <c r="T465" i="8" s="1"/>
  <c r="V410" i="8"/>
  <c r="S410" i="8"/>
  <c r="L1133" i="6"/>
  <c r="R410" i="8"/>
  <c r="S1072" i="8"/>
  <c r="U519" i="7"/>
  <c r="O748" i="6"/>
  <c r="T227" i="11"/>
  <c r="X227" i="11"/>
  <c r="V227" i="11"/>
  <c r="W227" i="11"/>
  <c r="K1277" i="6"/>
  <c r="M1277" i="6" s="1"/>
  <c r="T1016" i="8"/>
  <c r="AZ278" i="11" l="1"/>
  <c r="AS278" i="11"/>
  <c r="AX278" i="11" s="1"/>
  <c r="AT278" i="11"/>
  <c r="AU278" i="11"/>
  <c r="AY278" i="11" s="1"/>
  <c r="AV278" i="11"/>
  <c r="E2050" i="6"/>
  <c r="D2050" i="6"/>
  <c r="B2051" i="6"/>
  <c r="C2051" i="6" s="1"/>
  <c r="M1175" i="6"/>
  <c r="K1176" i="6" s="1"/>
  <c r="L1176" i="6" s="1"/>
  <c r="T520" i="8"/>
  <c r="U193" i="8"/>
  <c r="P194" i="8" s="1"/>
  <c r="Q194" i="8" s="1"/>
  <c r="V1072" i="8"/>
  <c r="U409" i="7"/>
  <c r="P410" i="7" s="1"/>
  <c r="Q410" i="7" s="1"/>
  <c r="R410" i="7" s="1"/>
  <c r="T245" i="8"/>
  <c r="U906" i="7"/>
  <c r="P907" i="7" s="1"/>
  <c r="Q907" i="7" s="1"/>
  <c r="T687" i="7"/>
  <c r="E1917" i="6"/>
  <c r="B1918" i="6" s="1"/>
  <c r="D1917" i="6"/>
  <c r="T744" i="8"/>
  <c r="O801" i="6"/>
  <c r="N802" i="6" s="1"/>
  <c r="O802" i="6" s="1"/>
  <c r="M1463" i="6"/>
  <c r="U302" i="8"/>
  <c r="P303" i="8" s="1"/>
  <c r="U356" i="8"/>
  <c r="P357" i="8" s="1"/>
  <c r="Q357" i="8" s="1"/>
  <c r="T410" i="8"/>
  <c r="O2919" i="6"/>
  <c r="N2920" i="6" s="1"/>
  <c r="P934" i="6"/>
  <c r="N935" i="6" s="1"/>
  <c r="BG228" i="11"/>
  <c r="BF228" i="11"/>
  <c r="BE228" i="11"/>
  <c r="BJ228" i="11"/>
  <c r="BK228" i="11"/>
  <c r="BI228" i="11"/>
  <c r="BH228" i="11"/>
  <c r="E2181" i="6"/>
  <c r="D2181" i="6"/>
  <c r="F275" i="11"/>
  <c r="K1510" i="6"/>
  <c r="M1510" i="6" s="1"/>
  <c r="R576" i="8"/>
  <c r="V576" i="8"/>
  <c r="S576" i="8"/>
  <c r="U576" i="8" s="1"/>
  <c r="CO226" i="11"/>
  <c r="CN226" i="11"/>
  <c r="CM226" i="11"/>
  <c r="CQ226" i="11"/>
  <c r="CP226" i="11"/>
  <c r="CL226" i="11"/>
  <c r="CK226" i="11"/>
  <c r="P1039" i="6"/>
  <c r="N1040" i="6" s="1"/>
  <c r="O1040" i="6" s="1"/>
  <c r="AG227" i="11"/>
  <c r="P137" i="7"/>
  <c r="Q137" i="7" s="1"/>
  <c r="P854" i="7"/>
  <c r="Q854" i="7" s="1"/>
  <c r="S854" i="7" s="1"/>
  <c r="N749" i="6"/>
  <c r="P749" i="6" s="1"/>
  <c r="U245" i="8"/>
  <c r="P848" i="8"/>
  <c r="T247" i="12"/>
  <c r="K1134" i="6"/>
  <c r="M1134" i="6" s="1"/>
  <c r="Q633" i="7"/>
  <c r="M1379" i="6"/>
  <c r="K1091" i="6"/>
  <c r="M1091" i="6" s="1"/>
  <c r="G275" i="11"/>
  <c r="R192" i="7"/>
  <c r="V192" i="7"/>
  <c r="Q741" i="7"/>
  <c r="R237" i="6"/>
  <c r="R238" i="6" s="1"/>
  <c r="R239" i="6" s="1"/>
  <c r="R240" i="6" s="1"/>
  <c r="R241" i="6" s="1"/>
  <c r="R242" i="6" s="1"/>
  <c r="R243" i="6" s="1"/>
  <c r="R244" i="6" s="1"/>
  <c r="R245" i="6" s="1"/>
  <c r="R246" i="6" s="1"/>
  <c r="R247" i="6" s="1"/>
  <c r="R248" i="6" s="1"/>
  <c r="R249" i="6" s="1"/>
  <c r="R250" i="6" s="1"/>
  <c r="R251" i="6" s="1"/>
  <c r="R252" i="6" s="1"/>
  <c r="R253" i="6" s="1"/>
  <c r="R254" i="6" s="1"/>
  <c r="R255" i="6" s="1"/>
  <c r="R256" i="6" s="1"/>
  <c r="R257" i="6" s="1"/>
  <c r="Q258" i="6" s="1"/>
  <c r="B259" i="6" s="1"/>
  <c r="S192" i="7"/>
  <c r="U192" i="7" s="1"/>
  <c r="V906" i="8"/>
  <c r="R906" i="8"/>
  <c r="E2117" i="6"/>
  <c r="D2117" i="6"/>
  <c r="L1232" i="6"/>
  <c r="V357" i="7"/>
  <c r="R357" i="7"/>
  <c r="E275" i="11"/>
  <c r="P795" i="8"/>
  <c r="Q795" i="8" s="1"/>
  <c r="S795" i="8" s="1"/>
  <c r="P520" i="7"/>
  <c r="Q520" i="7" s="1"/>
  <c r="S520" i="7" s="1"/>
  <c r="U1072" i="8"/>
  <c r="U687" i="7"/>
  <c r="U410" i="8"/>
  <c r="U247" i="7"/>
  <c r="T302" i="8"/>
  <c r="N887" i="6"/>
  <c r="P887" i="6" s="1"/>
  <c r="E1984" i="6"/>
  <c r="D1984" i="6"/>
  <c r="B1985" i="6" s="1"/>
  <c r="C1985" i="6" s="1"/>
  <c r="U465" i="8"/>
  <c r="R577" i="7"/>
  <c r="T577" i="7" s="1"/>
  <c r="L1277" i="6"/>
  <c r="K1380" i="6"/>
  <c r="L1380" i="6" s="1"/>
  <c r="S906" i="8"/>
  <c r="Q632" i="8"/>
  <c r="S357" i="7"/>
  <c r="O840" i="6"/>
  <c r="P961" i="8"/>
  <c r="Q961" i="8" s="1"/>
  <c r="S961" i="8" s="1"/>
  <c r="U136" i="12"/>
  <c r="S134" i="8"/>
  <c r="V134" i="8"/>
  <c r="V577" i="7"/>
  <c r="T847" i="8"/>
  <c r="O602" i="6"/>
  <c r="U744" i="8"/>
  <c r="O661" i="6"/>
  <c r="U520" i="8"/>
  <c r="Q1017" i="8"/>
  <c r="R1017" i="8" s="1"/>
  <c r="P301" i="7"/>
  <c r="Q301" i="7" s="1"/>
  <c r="N986" i="6"/>
  <c r="P986" i="6" s="1"/>
  <c r="U795" i="7"/>
  <c r="S467" i="7"/>
  <c r="V467" i="7"/>
  <c r="R467" i="7"/>
  <c r="P300" i="12"/>
  <c r="L1333" i="6"/>
  <c r="P1395" i="6"/>
  <c r="R134" i="8"/>
  <c r="P248" i="12"/>
  <c r="R689" i="8"/>
  <c r="T689" i="8" s="1"/>
  <c r="V689" i="8"/>
  <c r="P697" i="6"/>
  <c r="T299" i="12"/>
  <c r="U190" i="12"/>
  <c r="E2051" i="6" l="1"/>
  <c r="B2052" i="6" s="1"/>
  <c r="C2052" i="6" s="1"/>
  <c r="D2051" i="6"/>
  <c r="BA278" i="11"/>
  <c r="BM278" i="11" s="1"/>
  <c r="S357" i="8"/>
  <c r="V357" i="8"/>
  <c r="O2920" i="6"/>
  <c r="P2920" i="6"/>
  <c r="P935" i="6"/>
  <c r="O935" i="6"/>
  <c r="N936" i="6" s="1"/>
  <c r="P936" i="6" s="1"/>
  <c r="BL228" i="11"/>
  <c r="AL229" i="11" s="1"/>
  <c r="AI229" i="11"/>
  <c r="P802" i="6"/>
  <c r="N803" i="6" s="1"/>
  <c r="O803" i="6" s="1"/>
  <c r="O887" i="6"/>
  <c r="N888" i="6" s="1"/>
  <c r="O888" i="6" s="1"/>
  <c r="AJ229" i="11"/>
  <c r="U134" i="8"/>
  <c r="P135" i="8" s="1"/>
  <c r="B2118" i="6"/>
  <c r="C2118" i="6" s="1"/>
  <c r="B2182" i="6"/>
  <c r="C2182" i="6" s="1"/>
  <c r="U467" i="7"/>
  <c r="P468" i="7" s="1"/>
  <c r="T906" i="8"/>
  <c r="C1918" i="6"/>
  <c r="S410" i="7"/>
  <c r="T410" i="7" s="1"/>
  <c r="M1176" i="6"/>
  <c r="K1177" i="6" s="1"/>
  <c r="M1177" i="6" s="1"/>
  <c r="T357" i="7"/>
  <c r="K1464" i="6"/>
  <c r="L1464" i="6" s="1"/>
  <c r="M1464" i="6"/>
  <c r="V410" i="7"/>
  <c r="AM229" i="11"/>
  <c r="N2921" i="6"/>
  <c r="O2921" i="6" s="1"/>
  <c r="U520" i="7"/>
  <c r="S194" i="8"/>
  <c r="R194" i="8"/>
  <c r="V194" i="8"/>
  <c r="D1985" i="6"/>
  <c r="E1985" i="6"/>
  <c r="B1986" i="6" s="1"/>
  <c r="U357" i="8"/>
  <c r="R907" i="7"/>
  <c r="V907" i="7"/>
  <c r="S907" i="7"/>
  <c r="U907" i="7" s="1"/>
  <c r="U410" i="7"/>
  <c r="Q303" i="8"/>
  <c r="BP227" i="11"/>
  <c r="L1510" i="6"/>
  <c r="P193" i="7"/>
  <c r="R301" i="7"/>
  <c r="V301" i="7"/>
  <c r="R357" i="8"/>
  <c r="S301" i="7"/>
  <c r="K1334" i="6"/>
  <c r="M1334" i="6" s="1"/>
  <c r="V137" i="7"/>
  <c r="R137" i="7"/>
  <c r="T192" i="7"/>
  <c r="S137" i="7"/>
  <c r="U137" i="7" s="1"/>
  <c r="U357" i="7"/>
  <c r="K1233" i="6"/>
  <c r="M1233" i="6" s="1"/>
  <c r="BO227" i="11"/>
  <c r="CR226" i="11"/>
  <c r="BV227" i="11" s="1"/>
  <c r="P1073" i="8"/>
  <c r="Q1073" i="8" s="1"/>
  <c r="S1073" i="8" s="1"/>
  <c r="C20" i="6"/>
  <c r="C11" i="6"/>
  <c r="V741" i="7"/>
  <c r="S741" i="7"/>
  <c r="K1278" i="6"/>
  <c r="M1278" i="6" s="1"/>
  <c r="R741" i="7"/>
  <c r="T741" i="7" s="1"/>
  <c r="Q300" i="12"/>
  <c r="V633" i="7"/>
  <c r="S633" i="7"/>
  <c r="P466" i="8"/>
  <c r="Q466" i="8" s="1"/>
  <c r="S466" i="8" s="1"/>
  <c r="AB227" i="11"/>
  <c r="AA227" i="11"/>
  <c r="Z227" i="11"/>
  <c r="Y227" i="11"/>
  <c r="AC227" i="11"/>
  <c r="AE227" i="11"/>
  <c r="AD227" i="11"/>
  <c r="L1134" i="6"/>
  <c r="T134" i="8"/>
  <c r="P745" i="8"/>
  <c r="Q745" i="8" s="1"/>
  <c r="S745" i="8"/>
  <c r="P577" i="8"/>
  <c r="P1396" i="6"/>
  <c r="P1040" i="6"/>
  <c r="P248" i="7"/>
  <c r="Q248" i="7" s="1"/>
  <c r="M1380" i="6"/>
  <c r="K1381" i="6" s="1"/>
  <c r="L1381" i="6" s="1"/>
  <c r="O749" i="6"/>
  <c r="P191" i="12"/>
  <c r="Q191" i="12" s="1"/>
  <c r="V854" i="7"/>
  <c r="R854" i="7"/>
  <c r="T854" i="7" s="1"/>
  <c r="P137" i="12"/>
  <c r="Q137" i="12" s="1"/>
  <c r="S137" i="12"/>
  <c r="N1396" i="6"/>
  <c r="O1396" i="6" s="1"/>
  <c r="H275" i="11"/>
  <c r="I275" i="11"/>
  <c r="P275" i="11" s="1"/>
  <c r="R961" i="8"/>
  <c r="T961" i="8" s="1"/>
  <c r="V961" i="8"/>
  <c r="N841" i="6"/>
  <c r="P841" i="6" s="1"/>
  <c r="P411" i="8"/>
  <c r="Q411" i="8" s="1"/>
  <c r="S411" i="8"/>
  <c r="P521" i="8"/>
  <c r="Q521" i="8" s="1"/>
  <c r="N698" i="6"/>
  <c r="O698" i="6" s="1"/>
  <c r="N662" i="6"/>
  <c r="P662" i="6" s="1"/>
  <c r="S632" i="8"/>
  <c r="V632" i="8"/>
  <c r="U689" i="8"/>
  <c r="N603" i="6"/>
  <c r="P603" i="6" s="1"/>
  <c r="R632" i="8"/>
  <c r="P246" i="8"/>
  <c r="Q246" i="8" s="1"/>
  <c r="L1091" i="6"/>
  <c r="R520" i="7"/>
  <c r="T520" i="7" s="1"/>
  <c r="V520" i="7"/>
  <c r="R795" i="8"/>
  <c r="T795" i="8" s="1"/>
  <c r="V795" i="8"/>
  <c r="S1017" i="8"/>
  <c r="U1017" i="8" s="1"/>
  <c r="V1017" i="8"/>
  <c r="R633" i="7"/>
  <c r="P688" i="7"/>
  <c r="Q688" i="7" s="1"/>
  <c r="S688" i="7"/>
  <c r="Q248" i="12"/>
  <c r="P796" i="7"/>
  <c r="Q796" i="7" s="1"/>
  <c r="T467" i="7"/>
  <c r="O986" i="6"/>
  <c r="Q848" i="8"/>
  <c r="U906" i="8"/>
  <c r="T576" i="8"/>
  <c r="U577" i="7"/>
  <c r="D2052" i="6" l="1"/>
  <c r="E2052" i="6"/>
  <c r="O936" i="6"/>
  <c r="T357" i="8"/>
  <c r="P2921" i="6"/>
  <c r="BG278" i="11"/>
  <c r="BE278" i="11"/>
  <c r="BJ278" i="11"/>
  <c r="BI278" i="11"/>
  <c r="BH278" i="11"/>
  <c r="BD279" i="11"/>
  <c r="BF278" i="11"/>
  <c r="BK278" i="11"/>
  <c r="BB279" i="11"/>
  <c r="BC279" i="11"/>
  <c r="U633" i="7"/>
  <c r="P634" i="7" s="1"/>
  <c r="U795" i="8"/>
  <c r="U632" i="8"/>
  <c r="P698" i="6"/>
  <c r="T301" i="7"/>
  <c r="P803" i="6"/>
  <c r="D2182" i="6"/>
  <c r="E2182" i="6"/>
  <c r="B2183" i="6"/>
  <c r="C2183" i="6" s="1"/>
  <c r="T1017" i="8"/>
  <c r="Q1018" i="8" s="1"/>
  <c r="R1018" i="8" s="1"/>
  <c r="K1465" i="6"/>
  <c r="L1465" i="6" s="1"/>
  <c r="AP229" i="11"/>
  <c r="AK229" i="11"/>
  <c r="AN229" i="11" s="1"/>
  <c r="AO229" i="11" s="1"/>
  <c r="K275" i="11"/>
  <c r="Q275" i="11" s="1"/>
  <c r="T275" i="11" s="1"/>
  <c r="D1918" i="6"/>
  <c r="E1918" i="6"/>
  <c r="B1919" i="6" s="1"/>
  <c r="O603" i="6"/>
  <c r="N604" i="6" s="1"/>
  <c r="O604" i="6" s="1"/>
  <c r="P888" i="6"/>
  <c r="N889" i="6" s="1"/>
  <c r="O889" i="6" s="1"/>
  <c r="L275" i="11"/>
  <c r="T194" i="8"/>
  <c r="C1986" i="6"/>
  <c r="N2922" i="6"/>
  <c r="O2922" i="6" s="1"/>
  <c r="P1041" i="6"/>
  <c r="P908" i="7"/>
  <c r="O841" i="6"/>
  <c r="S300" i="12"/>
  <c r="V300" i="12"/>
  <c r="T907" i="7"/>
  <c r="L1177" i="6"/>
  <c r="P633" i="8"/>
  <c r="P578" i="7"/>
  <c r="Q578" i="7" s="1"/>
  <c r="S578" i="7" s="1"/>
  <c r="K1511" i="6"/>
  <c r="M1511" i="6" s="1"/>
  <c r="U194" i="8"/>
  <c r="U741" i="7"/>
  <c r="V521" i="8"/>
  <c r="R521" i="8"/>
  <c r="V848" i="8"/>
  <c r="S848" i="8"/>
  <c r="V246" i="8"/>
  <c r="R246" i="8"/>
  <c r="S303" i="8"/>
  <c r="V303" i="8"/>
  <c r="U961" i="8"/>
  <c r="R303" i="8"/>
  <c r="K1135" i="6"/>
  <c r="M1135" i="6" s="1"/>
  <c r="D2118" i="6"/>
  <c r="E2118" i="6"/>
  <c r="V248" i="12"/>
  <c r="S248" i="12"/>
  <c r="R300" i="12"/>
  <c r="P796" i="8"/>
  <c r="O662" i="6"/>
  <c r="F228" i="11"/>
  <c r="D228" i="11"/>
  <c r="BR227" i="11"/>
  <c r="N699" i="6"/>
  <c r="P699" i="6" s="1"/>
  <c r="P138" i="7"/>
  <c r="R466" i="8"/>
  <c r="T466" i="8" s="1"/>
  <c r="V466" i="8"/>
  <c r="R848" i="8"/>
  <c r="V745" i="8"/>
  <c r="R745" i="8"/>
  <c r="T745" i="8" s="1"/>
  <c r="V1073" i="8"/>
  <c r="R1073" i="8"/>
  <c r="T1073" i="8" s="1"/>
  <c r="R248" i="7"/>
  <c r="V248" i="7"/>
  <c r="Q468" i="7"/>
  <c r="R468" i="7" s="1"/>
  <c r="V137" i="12"/>
  <c r="R137" i="12"/>
  <c r="T137" i="12" s="1"/>
  <c r="S248" i="7"/>
  <c r="B2053" i="6"/>
  <c r="C2053" i="6" s="1"/>
  <c r="L1334" i="6"/>
  <c r="P411" i="7"/>
  <c r="Q411" i="7" s="1"/>
  <c r="S411" i="7"/>
  <c r="K1092" i="6"/>
  <c r="M1092" i="6" s="1"/>
  <c r="U854" i="7"/>
  <c r="N804" i="6"/>
  <c r="O804" i="6" s="1"/>
  <c r="P690" i="8"/>
  <c r="Q690" i="8" s="1"/>
  <c r="S690" i="8" s="1"/>
  <c r="R191" i="12"/>
  <c r="V191" i="12"/>
  <c r="L1233" i="6"/>
  <c r="N1041" i="6"/>
  <c r="O1041" i="6" s="1"/>
  <c r="S191" i="12"/>
  <c r="P358" i="7"/>
  <c r="Q358" i="7" s="1"/>
  <c r="S358" i="7"/>
  <c r="Q577" i="8"/>
  <c r="P358" i="8"/>
  <c r="Q358" i="8" s="1"/>
  <c r="T633" i="7"/>
  <c r="P907" i="8"/>
  <c r="Q907" i="8" s="1"/>
  <c r="S907" i="8"/>
  <c r="N275" i="11"/>
  <c r="M275" i="11"/>
  <c r="R275" i="11" s="1"/>
  <c r="U275" i="11" s="1"/>
  <c r="AG275" i="11" s="1"/>
  <c r="N937" i="6"/>
  <c r="P937" i="6" s="1"/>
  <c r="Q193" i="7"/>
  <c r="P1018" i="8"/>
  <c r="P521" i="7"/>
  <c r="N1397" i="6"/>
  <c r="O1397" i="6" s="1"/>
  <c r="N987" i="6"/>
  <c r="P987" i="6" s="1"/>
  <c r="S246" i="8"/>
  <c r="Q135" i="8"/>
  <c r="V796" i="7"/>
  <c r="R796" i="7"/>
  <c r="T632" i="8"/>
  <c r="U411" i="8"/>
  <c r="U301" i="7"/>
  <c r="R248" i="12"/>
  <c r="V688" i="7"/>
  <c r="R688" i="7"/>
  <c r="T688" i="7" s="1"/>
  <c r="C228" i="11"/>
  <c r="AF227" i="11"/>
  <c r="J228" i="11" s="1"/>
  <c r="BS227" i="11"/>
  <c r="L1278" i="6"/>
  <c r="S521" i="8"/>
  <c r="T137" i="7"/>
  <c r="N750" i="6"/>
  <c r="P750" i="6" s="1"/>
  <c r="M1381" i="6"/>
  <c r="K1382" i="6" s="1"/>
  <c r="L1382" i="6" s="1"/>
  <c r="Q796" i="8"/>
  <c r="V796" i="8" s="1"/>
  <c r="O275" i="11"/>
  <c r="S275" i="11" s="1"/>
  <c r="S796" i="7"/>
  <c r="Q521" i="7"/>
  <c r="S521" i="7" s="1"/>
  <c r="V411" i="8"/>
  <c r="R411" i="8"/>
  <c r="T411" i="8" s="1"/>
  <c r="BQ227" i="11"/>
  <c r="T796" i="7" l="1"/>
  <c r="T248" i="7"/>
  <c r="P1397" i="6"/>
  <c r="AT229" i="11"/>
  <c r="U848" i="8"/>
  <c r="AI279" i="11"/>
  <c r="BL278" i="11"/>
  <c r="AP279" i="11" s="1"/>
  <c r="AK279" i="11"/>
  <c r="AJ279" i="11"/>
  <c r="AL279" i="11"/>
  <c r="C1919" i="6"/>
  <c r="U248" i="12"/>
  <c r="P249" i="12" s="1"/>
  <c r="AQ229" i="11"/>
  <c r="AW229" i="11" s="1"/>
  <c r="AZ229" i="11" s="1"/>
  <c r="AU229" i="11"/>
  <c r="AY229" i="11" s="1"/>
  <c r="BD229" i="11" s="1"/>
  <c r="AV229" i="11"/>
  <c r="U303" i="8"/>
  <c r="T246" i="8"/>
  <c r="P2922" i="6"/>
  <c r="L1092" i="6"/>
  <c r="AR229" i="11"/>
  <c r="U521" i="8"/>
  <c r="P522" i="8" s="1"/>
  <c r="M1465" i="6"/>
  <c r="K1466" i="6" s="1"/>
  <c r="L1466" i="6" s="1"/>
  <c r="AS229" i="11"/>
  <c r="AX229" i="11" s="1"/>
  <c r="BA229" i="11" s="1"/>
  <c r="D2183" i="6"/>
  <c r="E2183" i="6"/>
  <c r="B2184" i="6" s="1"/>
  <c r="C2184" i="6"/>
  <c r="P604" i="6"/>
  <c r="N605" i="6" s="1"/>
  <c r="P605" i="6" s="1"/>
  <c r="P804" i="6"/>
  <c r="U300" i="12"/>
  <c r="P301" i="12" s="1"/>
  <c r="T191" i="12"/>
  <c r="N805" i="6"/>
  <c r="P805" i="6" s="1"/>
  <c r="V358" i="8"/>
  <c r="R358" i="8"/>
  <c r="S358" i="8"/>
  <c r="U358" i="8" s="1"/>
  <c r="N1398" i="6"/>
  <c r="P1398" i="6" s="1"/>
  <c r="P304" i="8"/>
  <c r="Q138" i="7"/>
  <c r="N663" i="6"/>
  <c r="P663" i="6" s="1"/>
  <c r="R521" i="7"/>
  <c r="T521" i="7" s="1"/>
  <c r="U796" i="7"/>
  <c r="O987" i="6"/>
  <c r="O750" i="6"/>
  <c r="O937" i="6"/>
  <c r="S135" i="8"/>
  <c r="V135" i="8"/>
  <c r="E228" i="11"/>
  <c r="U246" i="8"/>
  <c r="G228" i="11"/>
  <c r="P849" i="8"/>
  <c r="Q908" i="7"/>
  <c r="R908" i="7" s="1"/>
  <c r="V521" i="7"/>
  <c r="T848" i="8"/>
  <c r="V411" i="7"/>
  <c r="R411" i="7"/>
  <c r="T411" i="7" s="1"/>
  <c r="T521" i="8"/>
  <c r="K1093" i="6"/>
  <c r="L1093" i="6" s="1"/>
  <c r="K1178" i="6"/>
  <c r="M1178" i="6" s="1"/>
  <c r="R135" i="8"/>
  <c r="V907" i="8"/>
  <c r="R907" i="8"/>
  <c r="T907" i="8" s="1"/>
  <c r="Q634" i="7"/>
  <c r="T248" i="12"/>
  <c r="P195" i="8"/>
  <c r="Q195" i="8" s="1"/>
  <c r="S195" i="8"/>
  <c r="L1135" i="6"/>
  <c r="U137" i="12"/>
  <c r="V358" i="7"/>
  <c r="R358" i="7"/>
  <c r="T358" i="7" s="1"/>
  <c r="U688" i="7"/>
  <c r="R796" i="8"/>
  <c r="T300" i="12"/>
  <c r="L1511" i="6"/>
  <c r="P889" i="6"/>
  <c r="N890" i="6" s="1"/>
  <c r="O890" i="6" s="1"/>
  <c r="P302" i="7"/>
  <c r="Q302" i="7" s="1"/>
  <c r="P855" i="7"/>
  <c r="Q855" i="7" s="1"/>
  <c r="S855" i="7"/>
  <c r="M1382" i="6"/>
  <c r="K1383" i="6" s="1"/>
  <c r="L1383" i="6" s="1"/>
  <c r="K1279" i="6"/>
  <c r="M1279" i="6" s="1"/>
  <c r="S1018" i="8"/>
  <c r="U1018" i="8" s="1"/>
  <c r="S468" i="7"/>
  <c r="U468" i="7" s="1"/>
  <c r="V468" i="7"/>
  <c r="O699" i="6"/>
  <c r="V578" i="7"/>
  <c r="R578" i="7"/>
  <c r="T578" i="7" s="1"/>
  <c r="K1234" i="6"/>
  <c r="M1234" i="6" s="1"/>
  <c r="AC275" i="11"/>
  <c r="AB275" i="11"/>
  <c r="AA275" i="11"/>
  <c r="W276" i="11"/>
  <c r="AD275" i="11"/>
  <c r="AE275" i="11"/>
  <c r="Z275" i="11"/>
  <c r="X276" i="11"/>
  <c r="V276" i="11"/>
  <c r="Y275" i="11"/>
  <c r="B2119" i="6"/>
  <c r="C2119" i="6" s="1"/>
  <c r="D2053" i="6"/>
  <c r="E2053" i="6"/>
  <c r="B2054" i="6" s="1"/>
  <c r="C2054" i="6" s="1"/>
  <c r="U411" i="7"/>
  <c r="K1335" i="6"/>
  <c r="M1335" i="6" s="1"/>
  <c r="U466" i="8"/>
  <c r="P742" i="7"/>
  <c r="Q742" i="7" s="1"/>
  <c r="S742" i="7" s="1"/>
  <c r="BT227" i="11"/>
  <c r="BU227" i="11" s="1"/>
  <c r="U745" i="8"/>
  <c r="S193" i="7"/>
  <c r="V193" i="7"/>
  <c r="U191" i="12"/>
  <c r="T303" i="8"/>
  <c r="D1986" i="6"/>
  <c r="E1986" i="6"/>
  <c r="B1987" i="6"/>
  <c r="V690" i="8"/>
  <c r="R690" i="8"/>
  <c r="T690" i="8" s="1"/>
  <c r="S796" i="8"/>
  <c r="N842" i="6"/>
  <c r="P842" i="6" s="1"/>
  <c r="V577" i="8"/>
  <c r="S577" i="8"/>
  <c r="V1018" i="8"/>
  <c r="R577" i="8"/>
  <c r="U248" i="7"/>
  <c r="P412" i="8"/>
  <c r="Q412" i="8" s="1"/>
  <c r="Q633" i="8"/>
  <c r="R193" i="7"/>
  <c r="T193" i="7" s="1"/>
  <c r="N1042" i="6"/>
  <c r="P1042" i="6" s="1"/>
  <c r="P962" i="8"/>
  <c r="Q962" i="8" s="1"/>
  <c r="S962" i="8" s="1"/>
  <c r="U1073" i="8"/>
  <c r="AM279" i="11" l="1"/>
  <c r="T1018" i="8"/>
  <c r="AN279" i="11"/>
  <c r="AO279" i="11"/>
  <c r="AS279" i="11" s="1"/>
  <c r="AX279" i="11" s="1"/>
  <c r="AQ279" i="11"/>
  <c r="AW279" i="11" s="1"/>
  <c r="AR279" i="11"/>
  <c r="M1093" i="6"/>
  <c r="T577" i="8"/>
  <c r="U135" i="8"/>
  <c r="P136" i="8" s="1"/>
  <c r="D2184" i="6"/>
  <c r="E2184" i="6"/>
  <c r="B2185" i="6" s="1"/>
  <c r="C2185" i="6" s="1"/>
  <c r="T796" i="8"/>
  <c r="U578" i="7"/>
  <c r="P579" i="7" s="1"/>
  <c r="Q579" i="7" s="1"/>
  <c r="BC229" i="11"/>
  <c r="BB229" i="11" s="1"/>
  <c r="BM229" i="11" s="1"/>
  <c r="BH229" i="11" s="1"/>
  <c r="N2923" i="6"/>
  <c r="O2923" i="6" s="1"/>
  <c r="C1987" i="6"/>
  <c r="D1987" i="6" s="1"/>
  <c r="M1466" i="6"/>
  <c r="T468" i="7"/>
  <c r="Q469" i="7" s="1"/>
  <c r="V469" i="7" s="1"/>
  <c r="U690" i="8"/>
  <c r="P691" i="8" s="1"/>
  <c r="Q691" i="8" s="1"/>
  <c r="E1919" i="6"/>
  <c r="D1919" i="6"/>
  <c r="K1094" i="6"/>
  <c r="L1094" i="6" s="1"/>
  <c r="E2054" i="6"/>
  <c r="D2054" i="6"/>
  <c r="BX227" i="11"/>
  <c r="BY227" i="11"/>
  <c r="CD227" i="11" s="1"/>
  <c r="CA227" i="11"/>
  <c r="CE227" i="11" s="1"/>
  <c r="BZ227" i="11"/>
  <c r="CB227" i="11"/>
  <c r="BW227" i="11"/>
  <c r="CC227" i="11" s="1"/>
  <c r="V412" i="8"/>
  <c r="R412" i="8"/>
  <c r="S412" i="8"/>
  <c r="U412" i="8" s="1"/>
  <c r="Q849" i="8"/>
  <c r="R849" i="8" s="1"/>
  <c r="O663" i="6"/>
  <c r="R302" i="7"/>
  <c r="V302" i="7"/>
  <c r="V138" i="7"/>
  <c r="S138" i="7"/>
  <c r="U138" i="7" s="1"/>
  <c r="P249" i="7"/>
  <c r="Q249" i="7" s="1"/>
  <c r="S249" i="7"/>
  <c r="C276" i="11"/>
  <c r="AF275" i="11"/>
  <c r="J276" i="11" s="1"/>
  <c r="E276" i="11"/>
  <c r="S302" i="7"/>
  <c r="O605" i="6"/>
  <c r="V633" i="8"/>
  <c r="S633" i="8"/>
  <c r="Q301" i="12"/>
  <c r="Q249" i="12"/>
  <c r="R249" i="12" s="1"/>
  <c r="Q522" i="8"/>
  <c r="R522" i="8" s="1"/>
  <c r="O1398" i="6"/>
  <c r="P1074" i="8"/>
  <c r="Q1074" i="8" s="1"/>
  <c r="V855" i="7"/>
  <c r="R855" i="7"/>
  <c r="T855" i="7" s="1"/>
  <c r="M1094" i="6"/>
  <c r="U358" i="7"/>
  <c r="K1512" i="6"/>
  <c r="M1512" i="6" s="1"/>
  <c r="O1042" i="6"/>
  <c r="N700" i="6"/>
  <c r="P700" i="6" s="1"/>
  <c r="N988" i="6"/>
  <c r="P988" i="6" s="1"/>
  <c r="R633" i="8"/>
  <c r="P469" i="7"/>
  <c r="H228" i="11"/>
  <c r="I228" i="11" s="1"/>
  <c r="P412" i="7"/>
  <c r="Q412" i="7" s="1"/>
  <c r="L1279" i="6"/>
  <c r="M1383" i="6"/>
  <c r="K1384" i="6" s="1"/>
  <c r="L1384" i="6" s="1"/>
  <c r="P689" i="7"/>
  <c r="Q689" i="7" s="1"/>
  <c r="S689" i="7"/>
  <c r="R962" i="8"/>
  <c r="T962" i="8" s="1"/>
  <c r="V962" i="8"/>
  <c r="R742" i="7"/>
  <c r="T742" i="7" s="1"/>
  <c r="V742" i="7"/>
  <c r="U907" i="8"/>
  <c r="P138" i="12"/>
  <c r="Q138" i="12" s="1"/>
  <c r="S138" i="12"/>
  <c r="R138" i="7"/>
  <c r="P467" i="8"/>
  <c r="Q467" i="8" s="1"/>
  <c r="S467" i="8"/>
  <c r="P890" i="6"/>
  <c r="K1136" i="6"/>
  <c r="M1136" i="6" s="1"/>
  <c r="U577" i="8"/>
  <c r="L1335" i="6"/>
  <c r="U796" i="8"/>
  <c r="P746" i="8"/>
  <c r="Q746" i="8" s="1"/>
  <c r="P1019" i="8"/>
  <c r="Q1019" i="8" s="1"/>
  <c r="O805" i="6"/>
  <c r="S634" i="7"/>
  <c r="V634" i="7"/>
  <c r="R634" i="7"/>
  <c r="T634" i="7" s="1"/>
  <c r="D2119" i="6"/>
  <c r="E2119" i="6"/>
  <c r="B2120" i="6" s="1"/>
  <c r="U521" i="7"/>
  <c r="P359" i="8"/>
  <c r="T358" i="8"/>
  <c r="L1234" i="6"/>
  <c r="T135" i="8"/>
  <c r="N938" i="6"/>
  <c r="P938" i="6" s="1"/>
  <c r="Q304" i="8"/>
  <c r="V908" i="7"/>
  <c r="S908" i="7"/>
  <c r="U908" i="7" s="1"/>
  <c r="N751" i="6"/>
  <c r="P751" i="6" s="1"/>
  <c r="L1178" i="6"/>
  <c r="P192" i="12"/>
  <c r="Q192" i="12" s="1"/>
  <c r="S192" i="12" s="1"/>
  <c r="V195" i="8"/>
  <c r="R195" i="8"/>
  <c r="T195" i="8" s="1"/>
  <c r="P247" i="8"/>
  <c r="Q247" i="8" s="1"/>
  <c r="S247" i="8" s="1"/>
  <c r="U193" i="7"/>
  <c r="O842" i="6"/>
  <c r="D276" i="11"/>
  <c r="P797" i="7"/>
  <c r="Q797" i="7" s="1"/>
  <c r="T302" i="7" l="1"/>
  <c r="F276" i="11"/>
  <c r="AU279" i="11"/>
  <c r="AY279" i="11" s="1"/>
  <c r="AV279" i="11"/>
  <c r="B1920" i="6"/>
  <c r="AZ279" i="11"/>
  <c r="T633" i="8"/>
  <c r="AT279" i="11"/>
  <c r="BA279" i="11" s="1"/>
  <c r="BM279" i="11" s="1"/>
  <c r="BJ279" i="11" s="1"/>
  <c r="E2185" i="6"/>
  <c r="B2186" i="6" s="1"/>
  <c r="C2186" i="6" s="1"/>
  <c r="D2185" i="6"/>
  <c r="B2055" i="6"/>
  <c r="C2055" i="6" s="1"/>
  <c r="BE229" i="11"/>
  <c r="BC280" i="11"/>
  <c r="BI229" i="11"/>
  <c r="BF279" i="11"/>
  <c r="BF229" i="11"/>
  <c r="BJ229" i="11"/>
  <c r="E1987" i="6"/>
  <c r="B1988" i="6" s="1"/>
  <c r="C1988" i="6" s="1"/>
  <c r="BK229" i="11"/>
  <c r="P2923" i="6"/>
  <c r="N2924" i="6" s="1"/>
  <c r="O2924" i="6" s="1"/>
  <c r="T908" i="7"/>
  <c r="Q909" i="7" s="1"/>
  <c r="BE279" i="11"/>
  <c r="BG229" i="11"/>
  <c r="BB280" i="11"/>
  <c r="C1920" i="6"/>
  <c r="K1467" i="6"/>
  <c r="L1467" i="6" s="1"/>
  <c r="S412" i="7"/>
  <c r="V412" i="7"/>
  <c r="R412" i="7"/>
  <c r="T412" i="7" s="1"/>
  <c r="S691" i="8"/>
  <c r="V691" i="8"/>
  <c r="R691" i="8"/>
  <c r="T691" i="8" s="1"/>
  <c r="K1095" i="6"/>
  <c r="L1095" i="6" s="1"/>
  <c r="V579" i="7"/>
  <c r="R579" i="7"/>
  <c r="S579" i="7"/>
  <c r="U579" i="7" s="1"/>
  <c r="N228" i="11"/>
  <c r="M228" i="11"/>
  <c r="R228" i="11" s="1"/>
  <c r="U228" i="11" s="1"/>
  <c r="K228" i="11"/>
  <c r="Q228" i="11" s="1"/>
  <c r="P228" i="11"/>
  <c r="O228" i="11"/>
  <c r="S228" i="11" s="1"/>
  <c r="L228" i="11"/>
  <c r="C2120" i="6"/>
  <c r="V1019" i="8"/>
  <c r="R1019" i="8"/>
  <c r="S1019" i="8"/>
  <c r="U1019" i="8" s="1"/>
  <c r="K1235" i="6"/>
  <c r="M1235" i="6" s="1"/>
  <c r="S469" i="7"/>
  <c r="P578" i="8"/>
  <c r="Q578" i="8" s="1"/>
  <c r="S578" i="8" s="1"/>
  <c r="R469" i="7"/>
  <c r="T469" i="7" s="1"/>
  <c r="P359" i="7"/>
  <c r="Q359" i="7" s="1"/>
  <c r="S359" i="7" s="1"/>
  <c r="U634" i="7"/>
  <c r="P139" i="7"/>
  <c r="S301" i="12"/>
  <c r="V301" i="12"/>
  <c r="AI230" i="11"/>
  <c r="BL229" i="11"/>
  <c r="AP230" i="11" s="1"/>
  <c r="N843" i="6"/>
  <c r="P843" i="6" s="1"/>
  <c r="M1384" i="6"/>
  <c r="K1385" i="6" s="1"/>
  <c r="L1385" i="6" s="1"/>
  <c r="V746" i="8"/>
  <c r="R746" i="8"/>
  <c r="V1074" i="8"/>
  <c r="R1074" i="8"/>
  <c r="P522" i="7"/>
  <c r="Q522" i="7" s="1"/>
  <c r="S522" i="7"/>
  <c r="V304" i="8"/>
  <c r="S304" i="8"/>
  <c r="U302" i="7"/>
  <c r="R192" i="12"/>
  <c r="T192" i="12" s="1"/>
  <c r="V192" i="12"/>
  <c r="O988" i="6"/>
  <c r="P413" i="8"/>
  <c r="T412" i="8"/>
  <c r="O751" i="6"/>
  <c r="N664" i="6"/>
  <c r="P664" i="6" s="1"/>
  <c r="S746" i="8"/>
  <c r="N1043" i="6"/>
  <c r="P1043" i="6" s="1"/>
  <c r="U855" i="7"/>
  <c r="H276" i="11"/>
  <c r="U962" i="8"/>
  <c r="R797" i="7"/>
  <c r="V797" i="7"/>
  <c r="V249" i="12"/>
  <c r="S249" i="12"/>
  <c r="U249" i="12" s="1"/>
  <c r="L1136" i="6"/>
  <c r="K1179" i="6"/>
  <c r="M1179" i="6" s="1"/>
  <c r="R301" i="12"/>
  <c r="R689" i="7"/>
  <c r="T689" i="7" s="1"/>
  <c r="V689" i="7"/>
  <c r="O700" i="6"/>
  <c r="P194" i="7"/>
  <c r="Q194" i="7" s="1"/>
  <c r="S194" i="7"/>
  <c r="K1280" i="6"/>
  <c r="M1280" i="6" s="1"/>
  <c r="V247" i="8"/>
  <c r="R247" i="8"/>
  <c r="T247" i="8" s="1"/>
  <c r="T138" i="7"/>
  <c r="P797" i="8"/>
  <c r="Q797" i="8" s="1"/>
  <c r="N606" i="6"/>
  <c r="P606" i="6" s="1"/>
  <c r="O938" i="6"/>
  <c r="N1399" i="6"/>
  <c r="P1399" i="6" s="1"/>
  <c r="U742" i="7"/>
  <c r="V249" i="7"/>
  <c r="R249" i="7"/>
  <c r="T249" i="7" s="1"/>
  <c r="Q359" i="8"/>
  <c r="R359" i="8" s="1"/>
  <c r="CG227" i="11"/>
  <c r="N806" i="6"/>
  <c r="P806" i="6" s="1"/>
  <c r="V467" i="8"/>
  <c r="R467" i="8"/>
  <c r="T467" i="8" s="1"/>
  <c r="U633" i="8"/>
  <c r="N891" i="6"/>
  <c r="O891" i="6" s="1"/>
  <c r="P909" i="7"/>
  <c r="V849" i="8"/>
  <c r="S849" i="8"/>
  <c r="U849" i="8" s="1"/>
  <c r="S1074" i="8"/>
  <c r="R138" i="12"/>
  <c r="T138" i="12" s="1"/>
  <c r="V138" i="12"/>
  <c r="R304" i="8"/>
  <c r="K1336" i="6"/>
  <c r="M1336" i="6" s="1"/>
  <c r="P908" i="8"/>
  <c r="Q908" i="8" s="1"/>
  <c r="S908" i="8"/>
  <c r="S797" i="7"/>
  <c r="U797" i="7" s="1"/>
  <c r="U195" i="8"/>
  <c r="Q136" i="8"/>
  <c r="L1512" i="6"/>
  <c r="S522" i="8"/>
  <c r="U522" i="8" s="1"/>
  <c r="V522" i="8"/>
  <c r="G276" i="11"/>
  <c r="CF227" i="11"/>
  <c r="U301" i="12" l="1"/>
  <c r="AI280" i="11"/>
  <c r="BI279" i="11"/>
  <c r="BK279" i="11"/>
  <c r="BH279" i="11"/>
  <c r="U746" i="8"/>
  <c r="U689" i="7"/>
  <c r="AL230" i="11"/>
  <c r="BD280" i="11"/>
  <c r="BG279" i="11"/>
  <c r="AJ280" i="11" s="1"/>
  <c r="S909" i="7"/>
  <c r="V909" i="7"/>
  <c r="D1988" i="6"/>
  <c r="E1988" i="6"/>
  <c r="B1989" i="6" s="1"/>
  <c r="CH227" i="11"/>
  <c r="AJ230" i="11"/>
  <c r="M1467" i="6"/>
  <c r="M1095" i="6"/>
  <c r="K1096" i="6" s="1"/>
  <c r="M1096" i="6" s="1"/>
  <c r="L1336" i="6"/>
  <c r="U304" i="8"/>
  <c r="D1920" i="6"/>
  <c r="E1920" i="6"/>
  <c r="B1921" i="6" s="1"/>
  <c r="C1921" i="6"/>
  <c r="U1074" i="8"/>
  <c r="P1075" i="8" s="1"/>
  <c r="P2924" i="6"/>
  <c r="T249" i="12"/>
  <c r="E2186" i="6"/>
  <c r="D2186" i="6"/>
  <c r="P580" i="7"/>
  <c r="T579" i="7"/>
  <c r="P634" i="8"/>
  <c r="Q634" i="8" s="1"/>
  <c r="Q139" i="7"/>
  <c r="R909" i="7"/>
  <c r="P305" i="8"/>
  <c r="P250" i="12"/>
  <c r="V522" i="7"/>
  <c r="R522" i="7"/>
  <c r="T522" i="7" s="1"/>
  <c r="P891" i="6"/>
  <c r="U192" i="12"/>
  <c r="O806" i="6"/>
  <c r="O606" i="6"/>
  <c r="T797" i="7"/>
  <c r="V797" i="8"/>
  <c r="R797" i="8"/>
  <c r="T797" i="8" s="1"/>
  <c r="P963" i="8"/>
  <c r="Q963" i="8" s="1"/>
  <c r="S963" i="8" s="1"/>
  <c r="I276" i="11"/>
  <c r="O276" i="11" s="1"/>
  <c r="S276" i="11" s="1"/>
  <c r="Q413" i="8"/>
  <c r="R413" i="8" s="1"/>
  <c r="P523" i="8"/>
  <c r="K1137" i="6"/>
  <c r="M1137" i="6" s="1"/>
  <c r="P1020" i="8"/>
  <c r="L1280" i="6"/>
  <c r="T1019" i="8"/>
  <c r="P690" i="7"/>
  <c r="Q690" i="7" s="1"/>
  <c r="R690" i="7" s="1"/>
  <c r="L1235" i="6"/>
  <c r="T1074" i="8"/>
  <c r="N939" i="6"/>
  <c r="P939" i="6" s="1"/>
  <c r="T522" i="8"/>
  <c r="T746" i="8"/>
  <c r="CJ227" i="11"/>
  <c r="M1337" i="6"/>
  <c r="S359" i="8"/>
  <c r="U359" i="8" s="1"/>
  <c r="V359" i="8"/>
  <c r="AM230" i="11"/>
  <c r="O664" i="6"/>
  <c r="U249" i="7"/>
  <c r="M1385" i="6"/>
  <c r="K1386" i="6" s="1"/>
  <c r="N1343" i="6" s="1"/>
  <c r="T849" i="8"/>
  <c r="T228" i="11"/>
  <c r="X228" i="11"/>
  <c r="W228" i="11"/>
  <c r="V228" i="11"/>
  <c r="U412" i="7"/>
  <c r="V578" i="8"/>
  <c r="R578" i="8"/>
  <c r="T578" i="8" s="1"/>
  <c r="S136" i="8"/>
  <c r="V136" i="8"/>
  <c r="P196" i="8"/>
  <c r="Q196" i="8" s="1"/>
  <c r="U138" i="12"/>
  <c r="R194" i="7"/>
  <c r="T194" i="7" s="1"/>
  <c r="V194" i="7"/>
  <c r="N989" i="6"/>
  <c r="P989" i="6" s="1"/>
  <c r="U691" i="8"/>
  <c r="P302" i="12"/>
  <c r="P850" i="8"/>
  <c r="K1337" i="6"/>
  <c r="L1337" i="6" s="1"/>
  <c r="T301" i="12"/>
  <c r="N752" i="6"/>
  <c r="P752" i="6" s="1"/>
  <c r="P635" i="7"/>
  <c r="Q635" i="7" s="1"/>
  <c r="S635" i="7" s="1"/>
  <c r="N2925" i="6"/>
  <c r="O2925" i="6" s="1"/>
  <c r="L1179" i="6"/>
  <c r="P303" i="7"/>
  <c r="Q303" i="7" s="1"/>
  <c r="S303" i="7" s="1"/>
  <c r="E2055" i="6"/>
  <c r="B2056" i="6" s="1"/>
  <c r="D2055" i="6"/>
  <c r="K1513" i="6"/>
  <c r="M1513" i="6" s="1"/>
  <c r="U469" i="7"/>
  <c r="R136" i="8"/>
  <c r="P743" i="7"/>
  <c r="Q743" i="7" s="1"/>
  <c r="S743" i="7" s="1"/>
  <c r="P856" i="7"/>
  <c r="Q856" i="7" s="1"/>
  <c r="S856" i="7" s="1"/>
  <c r="P798" i="7"/>
  <c r="O1399" i="6"/>
  <c r="O1043" i="6"/>
  <c r="AK230" i="11"/>
  <c r="E2120" i="6"/>
  <c r="D2120" i="6"/>
  <c r="U247" i="8"/>
  <c r="P747" i="8"/>
  <c r="N701" i="6"/>
  <c r="P701" i="6" s="1"/>
  <c r="V908" i="8"/>
  <c r="R908" i="8"/>
  <c r="T908" i="8" s="1"/>
  <c r="CI227" i="11"/>
  <c r="T304" i="8"/>
  <c r="S797" i="8"/>
  <c r="U467" i="8"/>
  <c r="O843" i="6"/>
  <c r="V359" i="7"/>
  <c r="R359" i="7"/>
  <c r="T359" i="7" s="1"/>
  <c r="C1989" i="6" l="1"/>
  <c r="BL279" i="11"/>
  <c r="T909" i="7"/>
  <c r="Q250" i="12"/>
  <c r="C2056" i="6"/>
  <c r="E2056" i="6" s="1"/>
  <c r="B2121" i="6"/>
  <c r="C2121" i="6" s="1"/>
  <c r="E1921" i="6"/>
  <c r="B1922" i="6" s="1"/>
  <c r="C1922" i="6" s="1"/>
  <c r="D1922" i="6" s="1"/>
  <c r="D1921" i="6"/>
  <c r="K1468" i="6"/>
  <c r="L1468" i="6" s="1"/>
  <c r="M1468" i="6"/>
  <c r="B2187" i="6"/>
  <c r="C2187" i="6" s="1"/>
  <c r="AP280" i="11"/>
  <c r="AL280" i="11"/>
  <c r="AM280" i="11"/>
  <c r="U909" i="7"/>
  <c r="P910" i="7" s="1"/>
  <c r="Q910" i="7" s="1"/>
  <c r="P2925" i="6"/>
  <c r="N2926" i="6" s="1"/>
  <c r="O2926" i="6" s="1"/>
  <c r="T136" i="8"/>
  <c r="AK280" i="11"/>
  <c r="K1338" i="6"/>
  <c r="L1338" i="6" s="1"/>
  <c r="O1345" i="6"/>
  <c r="V250" i="12"/>
  <c r="R250" i="12"/>
  <c r="S250" i="12"/>
  <c r="U250" i="12" s="1"/>
  <c r="N1400" i="6"/>
  <c r="P1400" i="6" s="1"/>
  <c r="Q580" i="7"/>
  <c r="O989" i="6"/>
  <c r="U908" i="8"/>
  <c r="O752" i="6"/>
  <c r="Q302" i="12"/>
  <c r="V196" i="8"/>
  <c r="R196" i="8"/>
  <c r="L1096" i="6"/>
  <c r="S196" i="8"/>
  <c r="Q523" i="8"/>
  <c r="R523" i="8" s="1"/>
  <c r="E1989" i="6"/>
  <c r="D1989" i="6"/>
  <c r="B1990" i="6"/>
  <c r="C1990" i="6"/>
  <c r="Q1075" i="8"/>
  <c r="S139" i="7"/>
  <c r="V139" i="7"/>
  <c r="P360" i="8"/>
  <c r="V303" i="7"/>
  <c r="R303" i="7"/>
  <c r="T303" i="7" s="1"/>
  <c r="K1281" i="6"/>
  <c r="M1281" i="6" s="1"/>
  <c r="P276" i="11"/>
  <c r="V963" i="8"/>
  <c r="R963" i="8"/>
  <c r="T963" i="8" s="1"/>
  <c r="AG228" i="11"/>
  <c r="P248" i="8"/>
  <c r="Q248" i="8" s="1"/>
  <c r="S248" i="8" s="1"/>
  <c r="L1137" i="6"/>
  <c r="O939" i="6"/>
  <c r="U797" i="8"/>
  <c r="L1513" i="6"/>
  <c r="U359" i="7"/>
  <c r="U136" i="8"/>
  <c r="V690" i="7"/>
  <c r="R139" i="7"/>
  <c r="Q1020" i="8"/>
  <c r="M1338" i="6"/>
  <c r="N807" i="6"/>
  <c r="P807" i="6" s="1"/>
  <c r="CS227" i="11"/>
  <c r="P139" i="12"/>
  <c r="Q139" i="12" s="1"/>
  <c r="S139" i="12"/>
  <c r="Q747" i="8"/>
  <c r="Q850" i="8"/>
  <c r="R850" i="8" s="1"/>
  <c r="P470" i="7"/>
  <c r="Q470" i="7" s="1"/>
  <c r="S470" i="7"/>
  <c r="P250" i="7"/>
  <c r="Q250" i="7" s="1"/>
  <c r="S250" i="7" s="1"/>
  <c r="K1236" i="6"/>
  <c r="M1236" i="6" s="1"/>
  <c r="AN230" i="11"/>
  <c r="AO230" i="11"/>
  <c r="AV230" i="11" s="1"/>
  <c r="AQ230" i="11"/>
  <c r="AW230" i="11" s="1"/>
  <c r="AR230" i="11"/>
  <c r="P692" i="8"/>
  <c r="Q692" i="8" s="1"/>
  <c r="S692" i="8"/>
  <c r="S690" i="7"/>
  <c r="U690" i="7" s="1"/>
  <c r="N607" i="6"/>
  <c r="P607" i="6" s="1"/>
  <c r="R634" i="8"/>
  <c r="V634" i="8"/>
  <c r="U578" i="8"/>
  <c r="R635" i="7"/>
  <c r="T635" i="7" s="1"/>
  <c r="V635" i="7"/>
  <c r="K276" i="11"/>
  <c r="Q276" i="11" s="1"/>
  <c r="L276" i="11"/>
  <c r="M276" i="11"/>
  <c r="R276" i="11" s="1"/>
  <c r="N276" i="11"/>
  <c r="U194" i="7"/>
  <c r="P413" i="7"/>
  <c r="Q413" i="7" s="1"/>
  <c r="P193" i="12"/>
  <c r="Q193" i="12" s="1"/>
  <c r="S193" i="12"/>
  <c r="O701" i="6"/>
  <c r="R856" i="7"/>
  <c r="T856" i="7" s="1"/>
  <c r="V856" i="7"/>
  <c r="R743" i="7"/>
  <c r="T743" i="7" s="1"/>
  <c r="V743" i="7"/>
  <c r="N844" i="6"/>
  <c r="P844" i="6" s="1"/>
  <c r="P468" i="8"/>
  <c r="Q468" i="8" s="1"/>
  <c r="S468" i="8" s="1"/>
  <c r="K1180" i="6"/>
  <c r="M1180" i="6" s="1"/>
  <c r="N892" i="6"/>
  <c r="O892" i="6" s="1"/>
  <c r="N665" i="6"/>
  <c r="P665" i="6" s="1"/>
  <c r="Q798" i="7"/>
  <c r="Q305" i="8"/>
  <c r="T359" i="8"/>
  <c r="N1044" i="6"/>
  <c r="P1044" i="6" s="1"/>
  <c r="V413" i="8"/>
  <c r="S413" i="8"/>
  <c r="U413" i="8" s="1"/>
  <c r="U522" i="7"/>
  <c r="S634" i="8"/>
  <c r="U634" i="8" s="1"/>
  <c r="K1469" i="6" l="1"/>
  <c r="L1469" i="6" s="1"/>
  <c r="D2056" i="6"/>
  <c r="P892" i="6"/>
  <c r="P2926" i="6"/>
  <c r="D2121" i="6"/>
  <c r="E2121" i="6"/>
  <c r="B2122" i="6" s="1"/>
  <c r="C2122" i="6" s="1"/>
  <c r="U856" i="7"/>
  <c r="P857" i="7" s="1"/>
  <c r="Q857" i="7" s="1"/>
  <c r="O665" i="6"/>
  <c r="E1922" i="6"/>
  <c r="B1923" i="6" s="1"/>
  <c r="T139" i="7"/>
  <c r="K1339" i="6"/>
  <c r="N1296" i="6" s="1"/>
  <c r="O1298" i="6" s="1"/>
  <c r="M1469" i="6"/>
  <c r="K1470" i="6" s="1"/>
  <c r="L1470" i="6" s="1"/>
  <c r="AN280" i="11"/>
  <c r="AO280" i="11" s="1"/>
  <c r="U743" i="7"/>
  <c r="P744" i="7" s="1"/>
  <c r="Q744" i="7" s="1"/>
  <c r="O807" i="6"/>
  <c r="N808" i="6" s="1"/>
  <c r="P808" i="6" s="1"/>
  <c r="U963" i="8"/>
  <c r="P964" i="8" s="1"/>
  <c r="Q964" i="8" s="1"/>
  <c r="E2187" i="6"/>
  <c r="B2188" i="6" s="1"/>
  <c r="C2188" i="6" s="1"/>
  <c r="D2187" i="6"/>
  <c r="T196" i="8"/>
  <c r="U635" i="7"/>
  <c r="P636" i="7" s="1"/>
  <c r="Q636" i="7" s="1"/>
  <c r="B2057" i="6"/>
  <c r="C2057" i="6" s="1"/>
  <c r="N2927" i="6"/>
  <c r="P2927" i="6" s="1"/>
  <c r="T523" i="8"/>
  <c r="V910" i="7"/>
  <c r="S910" i="7"/>
  <c r="R910" i="7"/>
  <c r="T910" i="7" s="1"/>
  <c r="P635" i="8"/>
  <c r="N702" i="6"/>
  <c r="P702" i="6" s="1"/>
  <c r="P579" i="8"/>
  <c r="Q579" i="8" s="1"/>
  <c r="P523" i="7"/>
  <c r="Q523" i="7" s="1"/>
  <c r="P414" i="8"/>
  <c r="V193" i="12"/>
  <c r="R193" i="12"/>
  <c r="T193" i="12" s="1"/>
  <c r="T634" i="8"/>
  <c r="V302" i="12"/>
  <c r="S302" i="12"/>
  <c r="V413" i="7"/>
  <c r="R413" i="7"/>
  <c r="N666" i="6"/>
  <c r="P666" i="6" s="1"/>
  <c r="N893" i="6"/>
  <c r="O893" i="6" s="1"/>
  <c r="V470" i="7"/>
  <c r="R470" i="7"/>
  <c r="T470" i="7" s="1"/>
  <c r="P251" i="12"/>
  <c r="C1923" i="6"/>
  <c r="S850" i="8"/>
  <c r="U850" i="8" s="1"/>
  <c r="V850" i="8"/>
  <c r="P360" i="7"/>
  <c r="Q360" i="7" s="1"/>
  <c r="S360" i="7"/>
  <c r="V1075" i="8"/>
  <c r="S1075" i="8"/>
  <c r="T250" i="12"/>
  <c r="L1180" i="6"/>
  <c r="S1020" i="8"/>
  <c r="V1020" i="8"/>
  <c r="K1514" i="6"/>
  <c r="M1514" i="6" s="1"/>
  <c r="R1075" i="8"/>
  <c r="R302" i="12"/>
  <c r="T302" i="12" s="1"/>
  <c r="S413" i="7"/>
  <c r="U413" i="7" s="1"/>
  <c r="N753" i="6"/>
  <c r="P753" i="6" s="1"/>
  <c r="V468" i="8"/>
  <c r="R468" i="8"/>
  <c r="T468" i="8" s="1"/>
  <c r="P195" i="7"/>
  <c r="Q195" i="7" s="1"/>
  <c r="S195" i="7" s="1"/>
  <c r="P798" i="8"/>
  <c r="Q798" i="8" s="1"/>
  <c r="L1281" i="6"/>
  <c r="P909" i="8"/>
  <c r="Q909" i="8" s="1"/>
  <c r="S909" i="8" s="1"/>
  <c r="O844" i="6"/>
  <c r="N990" i="6"/>
  <c r="P990" i="6" s="1"/>
  <c r="S580" i="7"/>
  <c r="V580" i="7"/>
  <c r="U303" i="7"/>
  <c r="S747" i="8"/>
  <c r="U747" i="8" s="1"/>
  <c r="V747" i="8"/>
  <c r="T690" i="7"/>
  <c r="V139" i="12"/>
  <c r="R139" i="12"/>
  <c r="T139" i="12" s="1"/>
  <c r="V798" i="7"/>
  <c r="S798" i="7"/>
  <c r="P137" i="8"/>
  <c r="Q137" i="8" s="1"/>
  <c r="R798" i="7"/>
  <c r="V250" i="7"/>
  <c r="R250" i="7"/>
  <c r="T250" i="7" s="1"/>
  <c r="CP227" i="11"/>
  <c r="CO227" i="11"/>
  <c r="CN227" i="11"/>
  <c r="CQ227" i="11"/>
  <c r="CM227" i="11"/>
  <c r="CL227" i="11"/>
  <c r="CK227" i="11"/>
  <c r="U139" i="7"/>
  <c r="U196" i="8"/>
  <c r="O607" i="6"/>
  <c r="R1020" i="8"/>
  <c r="E1990" i="6"/>
  <c r="D1990" i="6"/>
  <c r="P691" i="7"/>
  <c r="N940" i="6"/>
  <c r="P940" i="6" s="1"/>
  <c r="V692" i="8"/>
  <c r="R692" i="8"/>
  <c r="T692" i="8" s="1"/>
  <c r="T413" i="8"/>
  <c r="K1138" i="6"/>
  <c r="M1138" i="6" s="1"/>
  <c r="O1044" i="6"/>
  <c r="AZ230" i="11"/>
  <c r="V248" i="8"/>
  <c r="R248" i="8"/>
  <c r="T248" i="8" s="1"/>
  <c r="R580" i="7"/>
  <c r="Q360" i="8"/>
  <c r="U276" i="11"/>
  <c r="AS230" i="11"/>
  <c r="AX230" i="11" s="1"/>
  <c r="AT230" i="11"/>
  <c r="R747" i="8"/>
  <c r="P1345" i="6"/>
  <c r="V305" i="8"/>
  <c r="S305" i="8"/>
  <c r="AC228" i="11"/>
  <c r="AB228" i="11"/>
  <c r="AA228" i="11"/>
  <c r="AE228" i="11"/>
  <c r="AD228" i="11"/>
  <c r="Z228" i="11"/>
  <c r="Y228" i="11"/>
  <c r="R305" i="8"/>
  <c r="T276" i="11"/>
  <c r="AU230" i="11"/>
  <c r="AY230" i="11" s="1"/>
  <c r="BD230" i="11" s="1"/>
  <c r="V523" i="8"/>
  <c r="S523" i="8"/>
  <c r="U523" i="8" s="1"/>
  <c r="O1400" i="6"/>
  <c r="L1236" i="6"/>
  <c r="K1097" i="6"/>
  <c r="M1097" i="6" s="1"/>
  <c r="U305" i="8" l="1"/>
  <c r="U580" i="7"/>
  <c r="U248" i="8"/>
  <c r="E2122" i="6"/>
  <c r="D2122" i="6"/>
  <c r="S744" i="7"/>
  <c r="R744" i="7"/>
  <c r="T744" i="7" s="1"/>
  <c r="V744" i="7"/>
  <c r="AR280" i="11"/>
  <c r="AV280" i="11"/>
  <c r="AT280" i="11"/>
  <c r="AU280" i="11"/>
  <c r="AY280" i="11" s="1"/>
  <c r="AQ280" i="11"/>
  <c r="AW280" i="11" s="1"/>
  <c r="AZ280" i="11" s="1"/>
  <c r="AS280" i="11"/>
  <c r="AX280" i="11" s="1"/>
  <c r="BA280" i="11" s="1"/>
  <c r="BM280" i="11" s="1"/>
  <c r="E2188" i="6"/>
  <c r="D2188" i="6"/>
  <c r="T850" i="8"/>
  <c r="U468" i="8"/>
  <c r="P469" i="8" s="1"/>
  <c r="Q469" i="8" s="1"/>
  <c r="S469" i="8" s="1"/>
  <c r="U798" i="7"/>
  <c r="B1991" i="6"/>
  <c r="C1991" i="6" s="1"/>
  <c r="M1470" i="6"/>
  <c r="U1075" i="8"/>
  <c r="P1076" i="8" s="1"/>
  <c r="L1514" i="6"/>
  <c r="K1515" i="6" s="1"/>
  <c r="L1515" i="6" s="1"/>
  <c r="O2927" i="6"/>
  <c r="U1020" i="8"/>
  <c r="V857" i="7"/>
  <c r="R857" i="7"/>
  <c r="S857" i="7"/>
  <c r="U857" i="7" s="1"/>
  <c r="S964" i="8"/>
  <c r="R964" i="8"/>
  <c r="T964" i="8" s="1"/>
  <c r="V964" i="8"/>
  <c r="R636" i="7"/>
  <c r="S636" i="7"/>
  <c r="V636" i="7"/>
  <c r="R137" i="8"/>
  <c r="V137" i="8"/>
  <c r="N1401" i="6"/>
  <c r="P1401" i="6" s="1"/>
  <c r="Q635" i="8"/>
  <c r="R635" i="8" s="1"/>
  <c r="P524" i="8"/>
  <c r="Q524" i="8" s="1"/>
  <c r="N1045" i="6"/>
  <c r="P1045" i="6" s="1"/>
  <c r="P1021" i="8"/>
  <c r="V579" i="8"/>
  <c r="R579" i="8"/>
  <c r="P306" i="8"/>
  <c r="P304" i="7"/>
  <c r="Q304" i="7" s="1"/>
  <c r="K1181" i="6"/>
  <c r="M1181" i="6" s="1"/>
  <c r="N1346" i="6"/>
  <c r="O1346" i="6" s="1"/>
  <c r="O702" i="6"/>
  <c r="N608" i="6"/>
  <c r="P608" i="6" s="1"/>
  <c r="T747" i="8"/>
  <c r="E2057" i="6"/>
  <c r="D2057" i="6"/>
  <c r="BA230" i="11"/>
  <c r="BC230" i="11"/>
  <c r="BB230" i="11" s="1"/>
  <c r="V523" i="7"/>
  <c r="R523" i="7"/>
  <c r="U250" i="7"/>
  <c r="AG276" i="11"/>
  <c r="O666" i="6"/>
  <c r="S523" i="7"/>
  <c r="AF228" i="11"/>
  <c r="J229" i="11" s="1"/>
  <c r="C229" i="11"/>
  <c r="S360" i="8"/>
  <c r="V360" i="8"/>
  <c r="Q691" i="7"/>
  <c r="R691" i="7" s="1"/>
  <c r="O990" i="6"/>
  <c r="P414" i="7"/>
  <c r="P851" i="8"/>
  <c r="T413" i="7"/>
  <c r="P893" i="6"/>
  <c r="P1298" i="6"/>
  <c r="R360" i="8"/>
  <c r="O940" i="6"/>
  <c r="T580" i="7"/>
  <c r="U692" i="8"/>
  <c r="CR227" i="11"/>
  <c r="BV228" i="11" s="1"/>
  <c r="BO228" i="11"/>
  <c r="T798" i="7"/>
  <c r="U139" i="12"/>
  <c r="D1923" i="6"/>
  <c r="E1923" i="6"/>
  <c r="P249" i="8"/>
  <c r="Q249" i="8" s="1"/>
  <c r="K1237" i="6"/>
  <c r="M1237" i="6" s="1"/>
  <c r="N845" i="6"/>
  <c r="P845" i="6" s="1"/>
  <c r="T1075" i="8"/>
  <c r="U302" i="12"/>
  <c r="D229" i="11"/>
  <c r="K1282" i="6"/>
  <c r="M1282" i="6" s="1"/>
  <c r="O808" i="6"/>
  <c r="G229" i="11"/>
  <c r="P748" i="8"/>
  <c r="R798" i="8"/>
  <c r="V798" i="8"/>
  <c r="S579" i="8"/>
  <c r="P799" i="7"/>
  <c r="S798" i="8"/>
  <c r="T1020" i="8"/>
  <c r="P581" i="7"/>
  <c r="Q251" i="12"/>
  <c r="R251" i="12" s="1"/>
  <c r="L1097" i="6"/>
  <c r="V195" i="7"/>
  <c r="R195" i="7"/>
  <c r="T195" i="7" s="1"/>
  <c r="T305" i="8"/>
  <c r="L1138" i="6"/>
  <c r="Q414" i="8"/>
  <c r="P197" i="8"/>
  <c r="Q197" i="8" s="1"/>
  <c r="S197" i="8"/>
  <c r="U470" i="7"/>
  <c r="U193" i="12"/>
  <c r="P140" i="7"/>
  <c r="Q140" i="7" s="1"/>
  <c r="V360" i="7"/>
  <c r="R360" i="7"/>
  <c r="T360" i="7" s="1"/>
  <c r="O753" i="6"/>
  <c r="U910" i="7"/>
  <c r="BP228" i="11"/>
  <c r="S137" i="8"/>
  <c r="R909" i="8"/>
  <c r="T909" i="8" s="1"/>
  <c r="V909" i="8"/>
  <c r="N2928" i="6"/>
  <c r="O2928" i="6" s="1"/>
  <c r="B2123" i="6" l="1"/>
  <c r="C2123" i="6" s="1"/>
  <c r="U360" i="8"/>
  <c r="BR228" i="11"/>
  <c r="BS228" i="11"/>
  <c r="U636" i="7"/>
  <c r="Q851" i="8"/>
  <c r="V851" i="8" s="1"/>
  <c r="S524" i="8"/>
  <c r="V524" i="8"/>
  <c r="B2189" i="6"/>
  <c r="C2189" i="6" s="1"/>
  <c r="T579" i="8"/>
  <c r="T137" i="8"/>
  <c r="U195" i="7"/>
  <c r="F229" i="11"/>
  <c r="K1471" i="6"/>
  <c r="L1471" i="6" s="1"/>
  <c r="M1471" i="6"/>
  <c r="U798" i="8"/>
  <c r="P799" i="8" s="1"/>
  <c r="T360" i="8"/>
  <c r="T523" i="7"/>
  <c r="T857" i="7"/>
  <c r="U909" i="8"/>
  <c r="P910" i="8" s="1"/>
  <c r="Q910" i="8" s="1"/>
  <c r="U744" i="7"/>
  <c r="P745" i="7" s="1"/>
  <c r="Q745" i="7" s="1"/>
  <c r="R745" i="7" s="1"/>
  <c r="R249" i="8"/>
  <c r="V249" i="8"/>
  <c r="S249" i="8"/>
  <c r="U249" i="8" s="1"/>
  <c r="C1924" i="6"/>
  <c r="K1516" i="6"/>
  <c r="L1516" i="6" s="1"/>
  <c r="P693" i="8"/>
  <c r="Q693" i="8" s="1"/>
  <c r="R304" i="7"/>
  <c r="V304" i="7"/>
  <c r="R524" i="8"/>
  <c r="T524" i="8" s="1"/>
  <c r="S304" i="7"/>
  <c r="U304" i="7" s="1"/>
  <c r="E1991" i="6"/>
  <c r="D1991" i="6"/>
  <c r="Q1021" i="8"/>
  <c r="B1924" i="6"/>
  <c r="M1515" i="6"/>
  <c r="R140" i="7"/>
  <c r="T140" i="7" s="1"/>
  <c r="V140" i="7"/>
  <c r="U523" i="7"/>
  <c r="U137" i="8"/>
  <c r="U579" i="8"/>
  <c r="O845" i="6"/>
  <c r="S851" i="8"/>
  <c r="O1045" i="6"/>
  <c r="U964" i="8"/>
  <c r="T635" i="8"/>
  <c r="N754" i="6"/>
  <c r="P754" i="6" s="1"/>
  <c r="R469" i="8"/>
  <c r="T469" i="8" s="1"/>
  <c r="S140" i="7"/>
  <c r="P140" i="12"/>
  <c r="Q140" i="12" s="1"/>
  <c r="S140" i="12" s="1"/>
  <c r="V469" i="8"/>
  <c r="Q306" i="8"/>
  <c r="Q414" i="7"/>
  <c r="R414" i="7" s="1"/>
  <c r="P194" i="12"/>
  <c r="Q194" i="12" s="1"/>
  <c r="N809" i="6"/>
  <c r="P809" i="6" s="1"/>
  <c r="L1181" i="6"/>
  <c r="P858" i="7"/>
  <c r="Q858" i="7" s="1"/>
  <c r="P911" i="7"/>
  <c r="Q911" i="7" s="1"/>
  <c r="N991" i="6"/>
  <c r="P991" i="6" s="1"/>
  <c r="L1237" i="6"/>
  <c r="Q581" i="7"/>
  <c r="S414" i="8"/>
  <c r="V414" i="8"/>
  <c r="N941" i="6"/>
  <c r="P941" i="6" s="1"/>
  <c r="R414" i="8"/>
  <c r="P2928" i="6"/>
  <c r="N1299" i="6"/>
  <c r="O1299" i="6" s="1"/>
  <c r="B2058" i="6"/>
  <c r="C2058" i="6" s="1"/>
  <c r="BJ280" i="11"/>
  <c r="BI280" i="11"/>
  <c r="BH280" i="11"/>
  <c r="BC281" i="11"/>
  <c r="BG280" i="11"/>
  <c r="BD281" i="11"/>
  <c r="BB281" i="11"/>
  <c r="BF280" i="11"/>
  <c r="BK280" i="11"/>
  <c r="BE280" i="11"/>
  <c r="P637" i="7"/>
  <c r="BM230" i="11"/>
  <c r="Q799" i="7"/>
  <c r="N667" i="6"/>
  <c r="P667" i="6" s="1"/>
  <c r="P1346" i="6"/>
  <c r="N1347" i="6" s="1"/>
  <c r="O1347" i="6" s="1"/>
  <c r="AC276" i="11"/>
  <c r="AB276" i="11"/>
  <c r="AA276" i="11"/>
  <c r="W277" i="11"/>
  <c r="V277" i="11"/>
  <c r="AD276" i="11"/>
  <c r="Z276" i="11"/>
  <c r="Y276" i="11"/>
  <c r="X277" i="11"/>
  <c r="AE276" i="11"/>
  <c r="P196" i="7"/>
  <c r="Q196" i="7" s="1"/>
  <c r="S691" i="7"/>
  <c r="U691" i="7" s="1"/>
  <c r="V691" i="7"/>
  <c r="R197" i="8"/>
  <c r="T197" i="8" s="1"/>
  <c r="V197" i="8"/>
  <c r="O1401" i="6"/>
  <c r="P361" i="8"/>
  <c r="O608" i="6"/>
  <c r="E229" i="11"/>
  <c r="N703" i="6"/>
  <c r="P703" i="6" s="1"/>
  <c r="P303" i="12"/>
  <c r="Q303" i="12" s="1"/>
  <c r="T636" i="7"/>
  <c r="K1139" i="6"/>
  <c r="M1139" i="6" s="1"/>
  <c r="Q1076" i="8"/>
  <c r="N894" i="6"/>
  <c r="O894" i="6" s="1"/>
  <c r="P471" i="7"/>
  <c r="Q471" i="7" s="1"/>
  <c r="S471" i="7" s="1"/>
  <c r="K1098" i="6"/>
  <c r="M1098" i="6" s="1"/>
  <c r="U360" i="7"/>
  <c r="S251" i="12"/>
  <c r="U251" i="12" s="1"/>
  <c r="V251" i="12"/>
  <c r="T798" i="8"/>
  <c r="L1282" i="6"/>
  <c r="BQ228" i="11"/>
  <c r="P251" i="7"/>
  <c r="Q251" i="7" s="1"/>
  <c r="S251" i="7" s="1"/>
  <c r="Q748" i="8"/>
  <c r="V635" i="8"/>
  <c r="S635" i="8"/>
  <c r="U635" i="8" s="1"/>
  <c r="Q361" i="8" l="1"/>
  <c r="S361" i="8" s="1"/>
  <c r="R851" i="8"/>
  <c r="T414" i="8"/>
  <c r="D2189" i="6"/>
  <c r="E2189" i="6"/>
  <c r="B2190" i="6" s="1"/>
  <c r="C2190" i="6" s="1"/>
  <c r="U197" i="8"/>
  <c r="T851" i="8"/>
  <c r="K1472" i="6"/>
  <c r="L1472" i="6" s="1"/>
  <c r="M1472" i="6"/>
  <c r="L1139" i="6"/>
  <c r="E2123" i="6"/>
  <c r="D2123" i="6"/>
  <c r="S858" i="7"/>
  <c r="V858" i="7"/>
  <c r="R858" i="7"/>
  <c r="T858" i="7" s="1"/>
  <c r="V196" i="7"/>
  <c r="S196" i="7"/>
  <c r="R196" i="7"/>
  <c r="S910" i="8"/>
  <c r="R910" i="8"/>
  <c r="T910" i="8" s="1"/>
  <c r="V910" i="8"/>
  <c r="BT228" i="11"/>
  <c r="BU228" i="11" s="1"/>
  <c r="V306" i="8"/>
  <c r="S306" i="8"/>
  <c r="AI281" i="11"/>
  <c r="BL280" i="11"/>
  <c r="AP281" i="11" s="1"/>
  <c r="P252" i="12"/>
  <c r="T691" i="7"/>
  <c r="V140" i="12"/>
  <c r="R140" i="12"/>
  <c r="T140" i="12" s="1"/>
  <c r="U140" i="7"/>
  <c r="L1098" i="6"/>
  <c r="U414" i="8"/>
  <c r="S799" i="7"/>
  <c r="V799" i="7"/>
  <c r="M1516" i="6"/>
  <c r="K1517" i="6" s="1"/>
  <c r="L1517" i="6" s="1"/>
  <c r="R799" i="7"/>
  <c r="T799" i="7" s="1"/>
  <c r="BK230" i="11"/>
  <c r="BJ230" i="11"/>
  <c r="BE230" i="11"/>
  <c r="BF230" i="11"/>
  <c r="BI230" i="11"/>
  <c r="BG230" i="11"/>
  <c r="BH230" i="11"/>
  <c r="N1046" i="6"/>
  <c r="P1046" i="6" s="1"/>
  <c r="P1047" i="6" s="1"/>
  <c r="P1048" i="6" s="1"/>
  <c r="P1049" i="6" s="1"/>
  <c r="P1050" i="6" s="1"/>
  <c r="P1051" i="6" s="1"/>
  <c r="P1052" i="6" s="1"/>
  <c r="P1053" i="6" s="1"/>
  <c r="P1054" i="6" s="1"/>
  <c r="P1055" i="6" s="1"/>
  <c r="P1056" i="6" s="1"/>
  <c r="T251" i="12"/>
  <c r="U524" i="8"/>
  <c r="N1402" i="6"/>
  <c r="P1402" i="6" s="1"/>
  <c r="U851" i="8"/>
  <c r="P250" i="8"/>
  <c r="D277" i="11"/>
  <c r="K1283" i="6"/>
  <c r="M1283" i="6" s="1"/>
  <c r="R303" i="12"/>
  <c r="V303" i="12"/>
  <c r="S303" i="12"/>
  <c r="U303" i="12" s="1"/>
  <c r="P361" i="7"/>
  <c r="Q361" i="7" s="1"/>
  <c r="S361" i="7" s="1"/>
  <c r="O703" i="6"/>
  <c r="R471" i="7"/>
  <c r="T471" i="7" s="1"/>
  <c r="V471" i="7"/>
  <c r="V693" i="8"/>
  <c r="R693" i="8"/>
  <c r="P636" i="8"/>
  <c r="Q636" i="8" s="1"/>
  <c r="R636" i="8" s="1"/>
  <c r="V1076" i="8"/>
  <c r="S1076" i="8"/>
  <c r="O991" i="6"/>
  <c r="N846" i="6"/>
  <c r="P846" i="6" s="1"/>
  <c r="V1021" i="8"/>
  <c r="S1021" i="8"/>
  <c r="R911" i="7"/>
  <c r="V911" i="7"/>
  <c r="Q637" i="7"/>
  <c r="R306" i="8"/>
  <c r="B1992" i="6"/>
  <c r="C1992" i="6" s="1"/>
  <c r="K1182" i="6"/>
  <c r="M1182" i="6" s="1"/>
  <c r="P1347" i="6"/>
  <c r="O941" i="6"/>
  <c r="O809" i="6"/>
  <c r="O754" i="6"/>
  <c r="H229" i="11"/>
  <c r="I229" i="11" s="1"/>
  <c r="AJ281" i="11"/>
  <c r="T304" i="7"/>
  <c r="R194" i="12"/>
  <c r="V194" i="12"/>
  <c r="N609" i="6"/>
  <c r="P609" i="6" s="1"/>
  <c r="S194" i="12"/>
  <c r="C277" i="11"/>
  <c r="AF276" i="11"/>
  <c r="J277" i="11" s="1"/>
  <c r="AM281" i="11"/>
  <c r="K1238" i="6"/>
  <c r="M1238" i="6" s="1"/>
  <c r="S748" i="8"/>
  <c r="V748" i="8"/>
  <c r="P894" i="6"/>
  <c r="N895" i="6" s="1"/>
  <c r="O895" i="6" s="1"/>
  <c r="R748" i="8"/>
  <c r="V251" i="7"/>
  <c r="R251" i="7"/>
  <c r="T251" i="7" s="1"/>
  <c r="R1076" i="8"/>
  <c r="P1299" i="6"/>
  <c r="N1300" i="6" s="1"/>
  <c r="O1300" i="6" s="1"/>
  <c r="S414" i="7"/>
  <c r="U414" i="7" s="1"/>
  <c r="V414" i="7"/>
  <c r="P580" i="8"/>
  <c r="Q580" i="8" s="1"/>
  <c r="S580" i="8"/>
  <c r="R1021" i="8"/>
  <c r="T249" i="8"/>
  <c r="K1140" i="6"/>
  <c r="L1140" i="6" s="1"/>
  <c r="P138" i="8"/>
  <c r="Q138" i="8" s="1"/>
  <c r="S138" i="8" s="1"/>
  <c r="P692" i="7"/>
  <c r="P524" i="7"/>
  <c r="Q524" i="7" s="1"/>
  <c r="S524" i="7" s="1"/>
  <c r="Q799" i="8"/>
  <c r="P305" i="7"/>
  <c r="E2058" i="6"/>
  <c r="D2058" i="6"/>
  <c r="B2059" i="6"/>
  <c r="O667" i="6"/>
  <c r="E1924" i="6"/>
  <c r="D1924" i="6"/>
  <c r="V581" i="7"/>
  <c r="S581" i="7"/>
  <c r="P965" i="8"/>
  <c r="Q965" i="8" s="1"/>
  <c r="S965" i="8" s="1"/>
  <c r="S693" i="8"/>
  <c r="U693" i="8" s="1"/>
  <c r="U469" i="8"/>
  <c r="R581" i="7"/>
  <c r="T581" i="7" s="1"/>
  <c r="M1140" i="6"/>
  <c r="P198" i="8"/>
  <c r="Q198" i="8" s="1"/>
  <c r="V745" i="7"/>
  <c r="S745" i="7"/>
  <c r="U745" i="7" s="1"/>
  <c r="S911" i="7"/>
  <c r="N2929" i="6"/>
  <c r="O2929" i="6" s="1"/>
  <c r="F277" i="11" l="1"/>
  <c r="AL281" i="11"/>
  <c r="V361" i="8"/>
  <c r="T414" i="7"/>
  <c r="C2059" i="6"/>
  <c r="R361" i="8"/>
  <c r="U361" i="8" s="1"/>
  <c r="T748" i="8"/>
  <c r="T196" i="7"/>
  <c r="U251" i="7"/>
  <c r="P252" i="7" s="1"/>
  <c r="Q252" i="7" s="1"/>
  <c r="S252" i="7" s="1"/>
  <c r="O846" i="6"/>
  <c r="L1182" i="6"/>
  <c r="K1473" i="6"/>
  <c r="L1473" i="6" s="1"/>
  <c r="B1925" i="6"/>
  <c r="U1076" i="8"/>
  <c r="P1077" i="8" s="1"/>
  <c r="C1925" i="6"/>
  <c r="D1925" i="6" s="1"/>
  <c r="T306" i="8"/>
  <c r="T1021" i="8"/>
  <c r="U911" i="7"/>
  <c r="P912" i="7" s="1"/>
  <c r="U194" i="12"/>
  <c r="P195" i="12" s="1"/>
  <c r="E2190" i="6"/>
  <c r="B2191" i="6"/>
  <c r="D2190" i="6"/>
  <c r="B2124" i="6"/>
  <c r="C2124" i="6" s="1"/>
  <c r="L1238" i="6"/>
  <c r="K1239" i="6" s="1"/>
  <c r="M1239" i="6" s="1"/>
  <c r="T361" i="8"/>
  <c r="K1141" i="6"/>
  <c r="L1141" i="6" s="1"/>
  <c r="E1992" i="6"/>
  <c r="D1992" i="6"/>
  <c r="B1993" i="6"/>
  <c r="C1993" i="6" s="1"/>
  <c r="R198" i="8"/>
  <c r="S198" i="8"/>
  <c r="U198" i="8" s="1"/>
  <c r="V198" i="8"/>
  <c r="BY228" i="11"/>
  <c r="CD228" i="11" s="1"/>
  <c r="BZ228" i="11"/>
  <c r="CB228" i="11"/>
  <c r="CA228" i="11"/>
  <c r="CE228" i="11" s="1"/>
  <c r="BX228" i="11"/>
  <c r="BW228" i="11"/>
  <c r="CC228" i="11" s="1"/>
  <c r="N229" i="11"/>
  <c r="P229" i="11"/>
  <c r="O229" i="11"/>
  <c r="S229" i="11" s="1"/>
  <c r="M229" i="11"/>
  <c r="R229" i="11" s="1"/>
  <c r="U229" i="11" s="1"/>
  <c r="K229" i="11"/>
  <c r="Q229" i="11" s="1"/>
  <c r="L229" i="11"/>
  <c r="K1183" i="6"/>
  <c r="L1183" i="6" s="1"/>
  <c r="R580" i="8"/>
  <c r="T580" i="8" s="1"/>
  <c r="V580" i="8"/>
  <c r="N992" i="6"/>
  <c r="P992" i="6" s="1"/>
  <c r="N704" i="6"/>
  <c r="P704" i="6" s="1"/>
  <c r="S799" i="8"/>
  <c r="V799" i="8"/>
  <c r="R799" i="8"/>
  <c r="T799" i="8" s="1"/>
  <c r="U140" i="12"/>
  <c r="BL230" i="11"/>
  <c r="AP231" i="11" s="1"/>
  <c r="AK231" i="11"/>
  <c r="AI231" i="11"/>
  <c r="T1076" i="8"/>
  <c r="G277" i="11"/>
  <c r="R524" i="7"/>
  <c r="T524" i="7" s="1"/>
  <c r="V524" i="7"/>
  <c r="V636" i="8"/>
  <c r="S636" i="8"/>
  <c r="U636" i="8" s="1"/>
  <c r="T911" i="7"/>
  <c r="N942" i="6"/>
  <c r="P942" i="6" s="1"/>
  <c r="T303" i="12"/>
  <c r="U799" i="7"/>
  <c r="AK281" i="11"/>
  <c r="V637" i="7"/>
  <c r="S637" i="7"/>
  <c r="O1402" i="6"/>
  <c r="P304" i="12"/>
  <c r="E2059" i="6"/>
  <c r="D2059" i="6"/>
  <c r="O609" i="6"/>
  <c r="U748" i="8"/>
  <c r="U1021" i="8"/>
  <c r="T693" i="8"/>
  <c r="O1046" i="6"/>
  <c r="O1047" i="6" s="1"/>
  <c r="O1048" i="6" s="1"/>
  <c r="O1049" i="6" s="1"/>
  <c r="O1050" i="6" s="1"/>
  <c r="O1051" i="6" s="1"/>
  <c r="O1052" i="6" s="1"/>
  <c r="O1053" i="6" s="1"/>
  <c r="O1054" i="6" s="1"/>
  <c r="O1055" i="6" s="1"/>
  <c r="O1056" i="6" s="1"/>
  <c r="N1057" i="6" s="1"/>
  <c r="Q1014" i="6" s="1"/>
  <c r="P415" i="8"/>
  <c r="Q415" i="8" s="1"/>
  <c r="S415" i="8"/>
  <c r="P2929" i="6"/>
  <c r="N2930" i="6" s="1"/>
  <c r="O2930" i="6" s="1"/>
  <c r="U910" i="8"/>
  <c r="AJ231" i="11"/>
  <c r="Q692" i="7"/>
  <c r="R692" i="7" s="1"/>
  <c r="P1300" i="6"/>
  <c r="N1301" i="6" s="1"/>
  <c r="O1301" i="6" s="1"/>
  <c r="N755" i="6"/>
  <c r="P755" i="6" s="1"/>
  <c r="N810" i="6"/>
  <c r="P810" i="6" s="1"/>
  <c r="V138" i="8"/>
  <c r="R138" i="8"/>
  <c r="T138" i="8" s="1"/>
  <c r="P525" i="8"/>
  <c r="Q525" i="8" s="1"/>
  <c r="S525" i="8"/>
  <c r="U196" i="7"/>
  <c r="T745" i="7"/>
  <c r="P694" i="8"/>
  <c r="V965" i="8"/>
  <c r="R965" i="8"/>
  <c r="T965" i="8" s="1"/>
  <c r="Q250" i="8"/>
  <c r="R250" i="8" s="1"/>
  <c r="T194" i="12"/>
  <c r="L1283" i="6"/>
  <c r="K1099" i="6"/>
  <c r="M1099" i="6" s="1"/>
  <c r="N1348" i="6"/>
  <c r="O1348" i="6" s="1"/>
  <c r="N847" i="6"/>
  <c r="O847" i="6" s="1"/>
  <c r="P746" i="7"/>
  <c r="P415" i="7"/>
  <c r="Q415" i="7" s="1"/>
  <c r="S415" i="7" s="1"/>
  <c r="E277" i="11"/>
  <c r="P852" i="8"/>
  <c r="Q852" i="8" s="1"/>
  <c r="S852" i="8" s="1"/>
  <c r="U471" i="7"/>
  <c r="V361" i="7"/>
  <c r="R361" i="7"/>
  <c r="T361" i="7" s="1"/>
  <c r="N668" i="6"/>
  <c r="P668" i="6" s="1"/>
  <c r="R637" i="7"/>
  <c r="M1517" i="6"/>
  <c r="P470" i="8"/>
  <c r="Q470" i="8" s="1"/>
  <c r="S470" i="8"/>
  <c r="P895" i="6"/>
  <c r="N896" i="6" s="1"/>
  <c r="O896" i="6" s="1"/>
  <c r="Q252" i="12"/>
  <c r="R252" i="12" s="1"/>
  <c r="U581" i="7"/>
  <c r="Q305" i="7"/>
  <c r="P141" i="7"/>
  <c r="Q141" i="7" s="1"/>
  <c r="S141" i="7"/>
  <c r="U306" i="8"/>
  <c r="U858" i="7"/>
  <c r="M1141" i="6" l="1"/>
  <c r="T636" i="8"/>
  <c r="M1183" i="6"/>
  <c r="AL231" i="11"/>
  <c r="E2124" i="6"/>
  <c r="D2124" i="6"/>
  <c r="B2125" i="6"/>
  <c r="C2125" i="6" s="1"/>
  <c r="CG228" i="11"/>
  <c r="U361" i="7"/>
  <c r="AM231" i="11"/>
  <c r="B2060" i="6"/>
  <c r="C2060" i="6" s="1"/>
  <c r="U138" i="8"/>
  <c r="P139" i="8" s="1"/>
  <c r="Q139" i="8" s="1"/>
  <c r="C2191" i="6"/>
  <c r="E1925" i="6"/>
  <c r="T637" i="7"/>
  <c r="U580" i="8"/>
  <c r="P581" i="8" s="1"/>
  <c r="Q581" i="8" s="1"/>
  <c r="M1473" i="6"/>
  <c r="D1993" i="6"/>
  <c r="E1993" i="6"/>
  <c r="K1184" i="6"/>
  <c r="L1184" i="6" s="1"/>
  <c r="K1142" i="6"/>
  <c r="L1142" i="6" s="1"/>
  <c r="P199" i="8"/>
  <c r="AN281" i="11"/>
  <c r="AO281" i="11" s="1"/>
  <c r="R415" i="7"/>
  <c r="T415" i="7" s="1"/>
  <c r="V141" i="7"/>
  <c r="R141" i="7"/>
  <c r="T141" i="7" s="1"/>
  <c r="P847" i="6"/>
  <c r="N848" i="6" s="1"/>
  <c r="O848" i="6" s="1"/>
  <c r="P362" i="7"/>
  <c r="Q362" i="7" s="1"/>
  <c r="N1349" i="6"/>
  <c r="O1349" i="6" s="1"/>
  <c r="V305" i="7"/>
  <c r="S305" i="7"/>
  <c r="P197" i="7"/>
  <c r="Q197" i="7" s="1"/>
  <c r="S197" i="7" s="1"/>
  <c r="L1099" i="6"/>
  <c r="Q694" i="8"/>
  <c r="R694" i="8" s="1"/>
  <c r="V415" i="7"/>
  <c r="P637" i="8"/>
  <c r="Q637" i="8" s="1"/>
  <c r="S637" i="8" s="1"/>
  <c r="P362" i="8"/>
  <c r="Q362" i="8" s="1"/>
  <c r="P749" i="8"/>
  <c r="Q749" i="8" s="1"/>
  <c r="N1403" i="6"/>
  <c r="P1403" i="6" s="1"/>
  <c r="P859" i="7"/>
  <c r="Q859" i="7" s="1"/>
  <c r="S859" i="7" s="1"/>
  <c r="P800" i="7"/>
  <c r="Q800" i="7" s="1"/>
  <c r="S800" i="7" s="1"/>
  <c r="V470" i="8"/>
  <c r="R470" i="8"/>
  <c r="T470" i="8" s="1"/>
  <c r="V415" i="8"/>
  <c r="R415" i="8"/>
  <c r="T415" i="8" s="1"/>
  <c r="O942" i="6"/>
  <c r="U799" i="8"/>
  <c r="Q746" i="7"/>
  <c r="R305" i="7"/>
  <c r="H277" i="11"/>
  <c r="I277" i="11" s="1"/>
  <c r="P1022" i="8"/>
  <c r="Q1022" i="8" s="1"/>
  <c r="V525" i="8"/>
  <c r="R525" i="8"/>
  <c r="T525" i="8" s="1"/>
  <c r="P582" i="7"/>
  <c r="Q582" i="7" s="1"/>
  <c r="S582" i="7"/>
  <c r="Q195" i="12"/>
  <c r="R195" i="12" s="1"/>
  <c r="N610" i="6"/>
  <c r="P610" i="6" s="1"/>
  <c r="U637" i="7"/>
  <c r="P307" i="8"/>
  <c r="Q307" i="8" s="1"/>
  <c r="S307" i="8"/>
  <c r="O755" i="6"/>
  <c r="T198" i="8"/>
  <c r="M1142" i="6"/>
  <c r="Q304" i="12"/>
  <c r="P472" i="7"/>
  <c r="Q472" i="7" s="1"/>
  <c r="S472" i="7" s="1"/>
  <c r="V852" i="8"/>
  <c r="R852" i="8"/>
  <c r="T852" i="8" s="1"/>
  <c r="P1301" i="6"/>
  <c r="O704" i="6"/>
  <c r="CF228" i="11"/>
  <c r="CJ228" i="11"/>
  <c r="CI228" i="11"/>
  <c r="CH228" i="11"/>
  <c r="U525" i="8"/>
  <c r="K1518" i="6"/>
  <c r="L1518" i="6" s="1"/>
  <c r="L1239" i="6"/>
  <c r="O810" i="6"/>
  <c r="V252" i="7"/>
  <c r="AN231" i="11"/>
  <c r="S252" i="12"/>
  <c r="U252" i="12" s="1"/>
  <c r="V252" i="12"/>
  <c r="P141" i="12"/>
  <c r="Q141" i="12" s="1"/>
  <c r="S141" i="12"/>
  <c r="R252" i="7"/>
  <c r="T252" i="7" s="1"/>
  <c r="P896" i="6"/>
  <c r="P911" i="8"/>
  <c r="Q911" i="8" s="1"/>
  <c r="P2930" i="6"/>
  <c r="T229" i="11"/>
  <c r="W229" i="11"/>
  <c r="V229" i="11"/>
  <c r="X229" i="11"/>
  <c r="AG229" i="11" s="1"/>
  <c r="R1016" i="6"/>
  <c r="V692" i="7"/>
  <c r="S692" i="7"/>
  <c r="U692" i="7" s="1"/>
  <c r="Q912" i="7"/>
  <c r="U524" i="7"/>
  <c r="O668" i="6"/>
  <c r="K1284" i="6"/>
  <c r="M1284" i="6" s="1"/>
  <c r="P1348" i="6"/>
  <c r="Q1077" i="8"/>
  <c r="R1077" i="8" s="1"/>
  <c r="O992" i="6"/>
  <c r="V250" i="8"/>
  <c r="S250" i="8"/>
  <c r="U250" i="8" s="1"/>
  <c r="U965" i="8"/>
  <c r="U470" i="8" l="1"/>
  <c r="T305" i="7"/>
  <c r="AR281" i="11"/>
  <c r="AQ281" i="11"/>
  <c r="AW281" i="11" s="1"/>
  <c r="B2192" i="6"/>
  <c r="D2191" i="6"/>
  <c r="E2191" i="6"/>
  <c r="M1184" i="6"/>
  <c r="K1185" i="6" s="1"/>
  <c r="L1185" i="6" s="1"/>
  <c r="K1474" i="6"/>
  <c r="L1474" i="6" s="1"/>
  <c r="B2126" i="6"/>
  <c r="E2125" i="6"/>
  <c r="D2125" i="6"/>
  <c r="C2126" i="6" s="1"/>
  <c r="B1926" i="6"/>
  <c r="C1926" i="6" s="1"/>
  <c r="AO231" i="11"/>
  <c r="AV231" i="11" s="1"/>
  <c r="R362" i="7"/>
  <c r="T362" i="7" s="1"/>
  <c r="V362" i="7"/>
  <c r="S362" i="7"/>
  <c r="V139" i="8"/>
  <c r="R139" i="8"/>
  <c r="S139" i="8"/>
  <c r="U139" i="8" s="1"/>
  <c r="K1143" i="6"/>
  <c r="M1143" i="6" s="1"/>
  <c r="Q1017" i="6"/>
  <c r="R1017" i="6" s="1"/>
  <c r="S581" i="8"/>
  <c r="R581" i="8"/>
  <c r="T581" i="8" s="1"/>
  <c r="V581" i="8"/>
  <c r="N277" i="11"/>
  <c r="M277" i="11"/>
  <c r="R277" i="11" s="1"/>
  <c r="U277" i="11" s="1"/>
  <c r="K277" i="11"/>
  <c r="Q277" i="11" s="1"/>
  <c r="O277" i="11"/>
  <c r="S277" i="11" s="1"/>
  <c r="L277" i="11"/>
  <c r="P277" i="11"/>
  <c r="P251" i="8"/>
  <c r="U141" i="7"/>
  <c r="R472" i="7"/>
  <c r="T472" i="7" s="1"/>
  <c r="V472" i="7"/>
  <c r="R141" i="12"/>
  <c r="T141" i="12" s="1"/>
  <c r="V141" i="12"/>
  <c r="T692" i="7"/>
  <c r="AD229" i="11"/>
  <c r="AC229" i="11"/>
  <c r="AB229" i="11"/>
  <c r="AE229" i="11"/>
  <c r="AA229" i="11"/>
  <c r="Z229" i="11"/>
  <c r="Y229" i="11"/>
  <c r="Q199" i="8"/>
  <c r="R749" i="8"/>
  <c r="V749" i="8"/>
  <c r="S749" i="8"/>
  <c r="B1994" i="6"/>
  <c r="C1994" i="6" s="1"/>
  <c r="N705" i="6"/>
  <c r="P705" i="6" s="1"/>
  <c r="V362" i="8"/>
  <c r="R362" i="8"/>
  <c r="T252" i="12"/>
  <c r="P966" i="8"/>
  <c r="Q966" i="8" s="1"/>
  <c r="S966" i="8" s="1"/>
  <c r="O610" i="6"/>
  <c r="S912" i="7"/>
  <c r="V912" i="7"/>
  <c r="V859" i="7"/>
  <c r="R859" i="7"/>
  <c r="T859" i="7" s="1"/>
  <c r="S746" i="7"/>
  <c r="V746" i="7"/>
  <c r="R746" i="7"/>
  <c r="CS228" i="11"/>
  <c r="AU281" i="11"/>
  <c r="AY281" i="11" s="1"/>
  <c r="AS281" i="11"/>
  <c r="AX281" i="11" s="1"/>
  <c r="AV281" i="11"/>
  <c r="AT281" i="11"/>
  <c r="V582" i="7"/>
  <c r="R582" i="7"/>
  <c r="T582" i="7" s="1"/>
  <c r="O1403" i="6"/>
  <c r="P1349" i="6"/>
  <c r="N1350" i="6" s="1"/>
  <c r="O1350" i="6" s="1"/>
  <c r="N811" i="6"/>
  <c r="P811" i="6" s="1"/>
  <c r="P812" i="6" s="1"/>
  <c r="P813" i="6" s="1"/>
  <c r="P814" i="6" s="1"/>
  <c r="P815" i="6" s="1"/>
  <c r="P816" i="6" s="1"/>
  <c r="P817" i="6" s="1"/>
  <c r="P818" i="6" s="1"/>
  <c r="P819" i="6" s="1"/>
  <c r="P820" i="6" s="1"/>
  <c r="P821" i="6" s="1"/>
  <c r="L1284" i="6"/>
  <c r="P471" i="8"/>
  <c r="Q471" i="8"/>
  <c r="S471" i="8" s="1"/>
  <c r="S362" i="8"/>
  <c r="P848" i="6"/>
  <c r="U852" i="8"/>
  <c r="R637" i="8"/>
  <c r="T637" i="8" s="1"/>
  <c r="S1016" i="6"/>
  <c r="N897" i="6"/>
  <c r="O897" i="6" s="1"/>
  <c r="P693" i="7"/>
  <c r="P526" i="8"/>
  <c r="Q526" i="8" s="1"/>
  <c r="V304" i="12"/>
  <c r="S304" i="12"/>
  <c r="U304" i="12" s="1"/>
  <c r="AZ281" i="11"/>
  <c r="P800" i="8"/>
  <c r="Q800" i="8" s="1"/>
  <c r="S800" i="8" s="1"/>
  <c r="U415" i="7"/>
  <c r="N756" i="6"/>
  <c r="P756" i="6" s="1"/>
  <c r="V307" i="8"/>
  <c r="R307" i="8"/>
  <c r="T307" i="8" s="1"/>
  <c r="T250" i="8"/>
  <c r="N669" i="6"/>
  <c r="P669" i="6" s="1"/>
  <c r="V911" i="8"/>
  <c r="R911" i="8"/>
  <c r="N1302" i="6"/>
  <c r="O1302" i="6" s="1"/>
  <c r="N2931" i="6"/>
  <c r="O2931" i="6" s="1"/>
  <c r="K1240" i="6"/>
  <c r="M1240" i="6" s="1"/>
  <c r="V694" i="8"/>
  <c r="S694" i="8"/>
  <c r="U694" i="8" s="1"/>
  <c r="V637" i="8"/>
  <c r="M1518" i="6"/>
  <c r="K1519" i="6" s="1"/>
  <c r="L1519" i="6" s="1"/>
  <c r="R912" i="7"/>
  <c r="K1100" i="6"/>
  <c r="M1100" i="6" s="1"/>
  <c r="V197" i="7"/>
  <c r="R197" i="7"/>
  <c r="T197" i="7" s="1"/>
  <c r="V195" i="12"/>
  <c r="S195" i="12"/>
  <c r="U195" i="12" s="1"/>
  <c r="N993" i="6"/>
  <c r="P993" i="6" s="1"/>
  <c r="R304" i="12"/>
  <c r="U305" i="7"/>
  <c r="P253" i="12"/>
  <c r="N943" i="6"/>
  <c r="P943" i="6" s="1"/>
  <c r="S1077" i="8"/>
  <c r="U1077" i="8" s="1"/>
  <c r="V1077" i="8"/>
  <c r="B2061" i="6"/>
  <c r="E2060" i="6"/>
  <c r="D2060" i="6"/>
  <c r="C2061" i="6" s="1"/>
  <c r="V1022" i="8"/>
  <c r="R1022" i="8"/>
  <c r="U252" i="7"/>
  <c r="S1022" i="8"/>
  <c r="P525" i="7"/>
  <c r="Q525" i="7" s="1"/>
  <c r="S911" i="8"/>
  <c r="P638" i="7"/>
  <c r="Q638" i="7" s="1"/>
  <c r="S638" i="7" s="1"/>
  <c r="R800" i="7"/>
  <c r="T800" i="7" s="1"/>
  <c r="V800" i="7"/>
  <c r="U415" i="8"/>
  <c r="T912" i="7" l="1"/>
  <c r="U859" i="7"/>
  <c r="AU231" i="11"/>
  <c r="AY231" i="11" s="1"/>
  <c r="BD231" i="11" s="1"/>
  <c r="T746" i="7"/>
  <c r="D1926" i="6"/>
  <c r="E1926" i="6"/>
  <c r="B1927" i="6" s="1"/>
  <c r="C1927" i="6" s="1"/>
  <c r="AR231" i="11"/>
  <c r="AQ231" i="11"/>
  <c r="AW231" i="11" s="1"/>
  <c r="AZ231" i="11" s="1"/>
  <c r="B2127" i="6"/>
  <c r="D2126" i="6"/>
  <c r="E2126" i="6"/>
  <c r="M1474" i="6"/>
  <c r="K1475" i="6" s="1"/>
  <c r="L1475" i="6" s="1"/>
  <c r="U362" i="8"/>
  <c r="P363" i="8" s="1"/>
  <c r="U1022" i="8"/>
  <c r="P1023" i="8" s="1"/>
  <c r="T1077" i="8"/>
  <c r="AT231" i="11"/>
  <c r="AS231" i="11"/>
  <c r="AX231" i="11" s="1"/>
  <c r="U911" i="8"/>
  <c r="P912" i="8" s="1"/>
  <c r="P1302" i="6"/>
  <c r="N1303" i="6" s="1"/>
  <c r="O1303" i="6" s="1"/>
  <c r="U637" i="8"/>
  <c r="P638" i="8" s="1"/>
  <c r="Q638" i="8" s="1"/>
  <c r="V638" i="8" s="1"/>
  <c r="C2192" i="6"/>
  <c r="T749" i="8"/>
  <c r="R526" i="8"/>
  <c r="V526" i="8"/>
  <c r="S526" i="8"/>
  <c r="B2062" i="6"/>
  <c r="E2061" i="6"/>
  <c r="D2061" i="6"/>
  <c r="C2062" i="6" s="1"/>
  <c r="O943" i="6"/>
  <c r="S199" i="8"/>
  <c r="V199" i="8"/>
  <c r="T277" i="11"/>
  <c r="AG277" i="11" s="1"/>
  <c r="Q251" i="8"/>
  <c r="T304" i="12"/>
  <c r="R966" i="8"/>
  <c r="T966" i="8" s="1"/>
  <c r="V966" i="8"/>
  <c r="U141" i="12"/>
  <c r="Q253" i="12"/>
  <c r="U581" i="8"/>
  <c r="L1240" i="6"/>
  <c r="P416" i="7"/>
  <c r="Q416" i="7" s="1"/>
  <c r="S416" i="7"/>
  <c r="V471" i="8"/>
  <c r="S1017" i="6"/>
  <c r="O705" i="6"/>
  <c r="U362" i="7"/>
  <c r="N611" i="6"/>
  <c r="P611" i="6" s="1"/>
  <c r="P860" i="7"/>
  <c r="Q860" i="7" s="1"/>
  <c r="R471" i="8"/>
  <c r="T471" i="8" s="1"/>
  <c r="P695" i="8"/>
  <c r="D230" i="11"/>
  <c r="U472" i="7"/>
  <c r="CQ228" i="11"/>
  <c r="CP228" i="11"/>
  <c r="CO228" i="11"/>
  <c r="CL228" i="11"/>
  <c r="CK228" i="11"/>
  <c r="CM228" i="11"/>
  <c r="CN228" i="11"/>
  <c r="P140" i="8"/>
  <c r="O993" i="6"/>
  <c r="T139" i="8"/>
  <c r="P196" i="12"/>
  <c r="P1350" i="6"/>
  <c r="N1351" i="6" s="1"/>
  <c r="O1351" i="6" s="1"/>
  <c r="N849" i="6"/>
  <c r="O849" i="6" s="1"/>
  <c r="V800" i="8"/>
  <c r="R800" i="8"/>
  <c r="T800" i="8" s="1"/>
  <c r="U800" i="7"/>
  <c r="R525" i="7"/>
  <c r="V525" i="7"/>
  <c r="S525" i="7"/>
  <c r="U525" i="7" s="1"/>
  <c r="O669" i="6"/>
  <c r="R199" i="8"/>
  <c r="M1519" i="6"/>
  <c r="AF229" i="11"/>
  <c r="J230" i="11" s="1"/>
  <c r="C230" i="11"/>
  <c r="T1022" i="8"/>
  <c r="K1285" i="6"/>
  <c r="M1285" i="6" s="1"/>
  <c r="U582" i="7"/>
  <c r="L1143" i="6"/>
  <c r="M1185" i="6"/>
  <c r="U307" i="8"/>
  <c r="T362" i="8"/>
  <c r="U746" i="7"/>
  <c r="P2931" i="6"/>
  <c r="N2932" i="6" s="1"/>
  <c r="O2932" i="6" s="1"/>
  <c r="V638" i="7"/>
  <c r="R638" i="7"/>
  <c r="T638" i="7" s="1"/>
  <c r="U749" i="8"/>
  <c r="P897" i="6"/>
  <c r="N898" i="6" s="1"/>
  <c r="O898" i="6" s="1"/>
  <c r="T195" i="12"/>
  <c r="D1994" i="6"/>
  <c r="E1994" i="6"/>
  <c r="P305" i="12"/>
  <c r="U912" i="7"/>
  <c r="P253" i="7"/>
  <c r="Q253" i="7" s="1"/>
  <c r="S253" i="7" s="1"/>
  <c r="BA281" i="11"/>
  <c r="BM281" i="11" s="1"/>
  <c r="P142" i="7"/>
  <c r="Q142" i="7" s="1"/>
  <c r="S142" i="7"/>
  <c r="P306" i="7"/>
  <c r="Q306" i="7" s="1"/>
  <c r="O811" i="6"/>
  <c r="O812" i="6" s="1"/>
  <c r="O813" i="6" s="1"/>
  <c r="O814" i="6" s="1"/>
  <c r="O815" i="6" s="1"/>
  <c r="O816" i="6" s="1"/>
  <c r="O817" i="6" s="1"/>
  <c r="O818" i="6" s="1"/>
  <c r="O819" i="6" s="1"/>
  <c r="O820" i="6" s="1"/>
  <c r="O821" i="6" s="1"/>
  <c r="N822" i="6" s="1"/>
  <c r="Q779" i="6" s="1"/>
  <c r="P416" i="8"/>
  <c r="Q416" i="8" s="1"/>
  <c r="S416" i="8" s="1"/>
  <c r="O756" i="6"/>
  <c r="P1078" i="8"/>
  <c r="L1100" i="6"/>
  <c r="T911" i="8"/>
  <c r="P853" i="8"/>
  <c r="Q853" i="8" s="1"/>
  <c r="N1404" i="6"/>
  <c r="P1404" i="6" s="1"/>
  <c r="Q693" i="7"/>
  <c r="R693" i="7" s="1"/>
  <c r="T694" i="8"/>
  <c r="U197" i="7"/>
  <c r="Q1078" i="8" l="1"/>
  <c r="U526" i="8"/>
  <c r="T199" i="8"/>
  <c r="S860" i="7"/>
  <c r="V860" i="7"/>
  <c r="U471" i="8"/>
  <c r="P472" i="8" s="1"/>
  <c r="Q472" i="8" s="1"/>
  <c r="M1475" i="6"/>
  <c r="K1476" i="6" s="1"/>
  <c r="C2127" i="6"/>
  <c r="BA231" i="11"/>
  <c r="BC231" i="11" s="1"/>
  <c r="E2192" i="6"/>
  <c r="D2192" i="6"/>
  <c r="B2193" i="6"/>
  <c r="E1927" i="6"/>
  <c r="D1927" i="6"/>
  <c r="P849" i="6"/>
  <c r="N850" i="6" s="1"/>
  <c r="O850" i="6" s="1"/>
  <c r="U800" i="8"/>
  <c r="P801" i="8" s="1"/>
  <c r="Q801" i="8" s="1"/>
  <c r="S801" i="8" s="1"/>
  <c r="E2062" i="6"/>
  <c r="D2062" i="6"/>
  <c r="B2063" i="6"/>
  <c r="AC277" i="11"/>
  <c r="AB277" i="11"/>
  <c r="AA277" i="11"/>
  <c r="X278" i="11"/>
  <c r="W278" i="11"/>
  <c r="V278" i="11"/>
  <c r="AE277" i="11"/>
  <c r="Z277" i="11"/>
  <c r="Y277" i="11"/>
  <c r="AD277" i="11"/>
  <c r="V1078" i="8"/>
  <c r="S1078" i="8"/>
  <c r="R1078" i="8"/>
  <c r="T1078" i="8" s="1"/>
  <c r="Q695" i="8"/>
  <c r="O611" i="6"/>
  <c r="P527" i="8"/>
  <c r="B1995" i="6"/>
  <c r="C1995" i="6" s="1"/>
  <c r="K1144" i="6"/>
  <c r="M1144" i="6" s="1"/>
  <c r="N994" i="6"/>
  <c r="P994" i="6" s="1"/>
  <c r="T526" i="8"/>
  <c r="V693" i="7"/>
  <c r="S693" i="7"/>
  <c r="U693" i="7" s="1"/>
  <c r="Q196" i="12"/>
  <c r="R253" i="7"/>
  <c r="T253" i="7" s="1"/>
  <c r="V253" i="7"/>
  <c r="P1303" i="6"/>
  <c r="N1304" i="6" s="1"/>
  <c r="O1304" i="6" s="1"/>
  <c r="T525" i="7"/>
  <c r="BP229" i="11"/>
  <c r="S638" i="8"/>
  <c r="U638" i="8" s="1"/>
  <c r="V416" i="7"/>
  <c r="R416" i="7"/>
  <c r="T416" i="7" s="1"/>
  <c r="P583" i="7"/>
  <c r="Q583" i="7" s="1"/>
  <c r="S583" i="7"/>
  <c r="Q305" i="12"/>
  <c r="P526" i="7"/>
  <c r="K1520" i="6"/>
  <c r="L1520" i="6" s="1"/>
  <c r="Q912" i="8"/>
  <c r="R912" i="8" s="1"/>
  <c r="P2932" i="6"/>
  <c r="U966" i="8"/>
  <c r="K1186" i="6"/>
  <c r="L1186" i="6" s="1"/>
  <c r="P747" i="7"/>
  <c r="Q747" i="7" s="1"/>
  <c r="S747" i="7" s="1"/>
  <c r="P898" i="6"/>
  <c r="N899" i="6" s="1"/>
  <c r="O899" i="6" s="1"/>
  <c r="P582" i="8"/>
  <c r="Q582" i="8" s="1"/>
  <c r="S582" i="8" s="1"/>
  <c r="R860" i="7"/>
  <c r="T860" i="7" s="1"/>
  <c r="N757" i="6"/>
  <c r="P757" i="6" s="1"/>
  <c r="Q363" i="8"/>
  <c r="R363" i="8" s="1"/>
  <c r="P1351" i="6"/>
  <c r="CR228" i="11"/>
  <c r="BV229" i="11" s="1"/>
  <c r="BO229" i="11"/>
  <c r="S253" i="12"/>
  <c r="U253" i="12" s="1"/>
  <c r="V253" i="12"/>
  <c r="Q140" i="8"/>
  <c r="P801" i="7"/>
  <c r="Q801" i="7" s="1"/>
  <c r="P473" i="7"/>
  <c r="Q473" i="7" s="1"/>
  <c r="S473" i="7"/>
  <c r="O1404" i="6"/>
  <c r="L1285" i="6"/>
  <c r="F230" i="11"/>
  <c r="U638" i="7"/>
  <c r="V142" i="7"/>
  <c r="R142" i="7"/>
  <c r="T142" i="7" s="1"/>
  <c r="BJ281" i="11"/>
  <c r="BI281" i="11"/>
  <c r="BH281" i="11"/>
  <c r="BD282" i="11"/>
  <c r="BF281" i="11"/>
  <c r="BG281" i="11"/>
  <c r="BE281" i="11"/>
  <c r="BC282" i="11"/>
  <c r="BB282" i="11"/>
  <c r="BK281" i="11"/>
  <c r="V251" i="8"/>
  <c r="S251" i="8"/>
  <c r="K1101" i="6"/>
  <c r="M1101" i="6" s="1"/>
  <c r="R251" i="8"/>
  <c r="T251" i="8" s="1"/>
  <c r="R416" i="8"/>
  <c r="T416" i="8" s="1"/>
  <c r="V416" i="8"/>
  <c r="P913" i="7"/>
  <c r="Q913" i="7" s="1"/>
  <c r="P308" i="8"/>
  <c r="Q308" i="8" s="1"/>
  <c r="S308" i="8" s="1"/>
  <c r="E230" i="11"/>
  <c r="R253" i="12"/>
  <c r="U199" i="8"/>
  <c r="Q1018" i="6"/>
  <c r="R1018" i="6" s="1"/>
  <c r="R781" i="6"/>
  <c r="V306" i="7"/>
  <c r="R306" i="7"/>
  <c r="S306" i="7"/>
  <c r="U306" i="7" s="1"/>
  <c r="N670" i="6"/>
  <c r="P670" i="6" s="1"/>
  <c r="P671" i="6" s="1"/>
  <c r="P672" i="6" s="1"/>
  <c r="P673" i="6" s="1"/>
  <c r="P674" i="6" s="1"/>
  <c r="P675" i="6" s="1"/>
  <c r="P676" i="6" s="1"/>
  <c r="P677" i="6" s="1"/>
  <c r="P678" i="6" s="1"/>
  <c r="P679" i="6" s="1"/>
  <c r="P680" i="6" s="1"/>
  <c r="V853" i="8"/>
  <c r="R853" i="8"/>
  <c r="R638" i="8"/>
  <c r="P363" i="7"/>
  <c r="Q363" i="7" s="1"/>
  <c r="S853" i="8"/>
  <c r="G230" i="11"/>
  <c r="Q1023" i="8"/>
  <c r="R1023" i="8" s="1"/>
  <c r="N706" i="6"/>
  <c r="P706" i="6" s="1"/>
  <c r="K1241" i="6"/>
  <c r="M1241" i="6" s="1"/>
  <c r="P750" i="8"/>
  <c r="Q750" i="8" s="1"/>
  <c r="S750" i="8" s="1"/>
  <c r="P198" i="7"/>
  <c r="Q198" i="7" s="1"/>
  <c r="BS229" i="11"/>
  <c r="P142" i="12"/>
  <c r="Q142" i="12" s="1"/>
  <c r="S142" i="12" s="1"/>
  <c r="N944" i="6"/>
  <c r="P944" i="6" s="1"/>
  <c r="S1018" i="6" l="1"/>
  <c r="M1520" i="6"/>
  <c r="BR229" i="11"/>
  <c r="BB231" i="11"/>
  <c r="BM231" i="11" s="1"/>
  <c r="M1476" i="6"/>
  <c r="L1476" i="6"/>
  <c r="B1928" i="6"/>
  <c r="C1928" i="6" s="1"/>
  <c r="E2127" i="6"/>
  <c r="D2127" i="6"/>
  <c r="B2128" i="6"/>
  <c r="C2128" i="6"/>
  <c r="U253" i="7"/>
  <c r="P254" i="7" s="1"/>
  <c r="Q254" i="7" s="1"/>
  <c r="R254" i="7" s="1"/>
  <c r="T853" i="8"/>
  <c r="C2063" i="6"/>
  <c r="E2063" i="6" s="1"/>
  <c r="C2193" i="6"/>
  <c r="M1186" i="6"/>
  <c r="K1187" i="6" s="1"/>
  <c r="M1187" i="6" s="1"/>
  <c r="B1996" i="6"/>
  <c r="E1995" i="6"/>
  <c r="D1995" i="6"/>
  <c r="V472" i="8"/>
  <c r="S472" i="8"/>
  <c r="R472" i="8"/>
  <c r="T472" i="8" s="1"/>
  <c r="T363" i="8"/>
  <c r="V913" i="7"/>
  <c r="R913" i="7"/>
  <c r="P639" i="8"/>
  <c r="V695" i="8"/>
  <c r="S695" i="8"/>
  <c r="U142" i="7"/>
  <c r="D278" i="11"/>
  <c r="F278" i="11"/>
  <c r="U251" i="8"/>
  <c r="O757" i="6"/>
  <c r="S305" i="12"/>
  <c r="V305" i="12"/>
  <c r="T693" i="7"/>
  <c r="T253" i="12"/>
  <c r="P899" i="6"/>
  <c r="N900" i="6" s="1"/>
  <c r="O900" i="6" s="1"/>
  <c r="U860" i="7"/>
  <c r="U747" i="7"/>
  <c r="L1144" i="6"/>
  <c r="U853" i="8"/>
  <c r="H230" i="11"/>
  <c r="I230" i="11"/>
  <c r="P230" i="11" s="1"/>
  <c r="K230" i="11"/>
  <c r="Q230" i="11" s="1"/>
  <c r="L230" i="11"/>
  <c r="AL282" i="11"/>
  <c r="AJ282" i="11"/>
  <c r="R747" i="7"/>
  <c r="T747" i="7" s="1"/>
  <c r="V747" i="7"/>
  <c r="R583" i="7"/>
  <c r="T583" i="7" s="1"/>
  <c r="V583" i="7"/>
  <c r="U1078" i="8"/>
  <c r="R198" i="7"/>
  <c r="V198" i="7"/>
  <c r="O670" i="6"/>
  <c r="O671" i="6" s="1"/>
  <c r="O672" i="6" s="1"/>
  <c r="O673" i="6" s="1"/>
  <c r="O674" i="6" s="1"/>
  <c r="O675" i="6" s="1"/>
  <c r="O676" i="6" s="1"/>
  <c r="O677" i="6" s="1"/>
  <c r="O678" i="6" s="1"/>
  <c r="O679" i="6" s="1"/>
  <c r="O680" i="6" s="1"/>
  <c r="N681" i="6" s="1"/>
  <c r="Q638" i="6" s="1"/>
  <c r="R695" i="8"/>
  <c r="L1241" i="6"/>
  <c r="S140" i="8"/>
  <c r="V140" i="8"/>
  <c r="O706" i="6"/>
  <c r="S781" i="6"/>
  <c r="Q782" i="6" s="1"/>
  <c r="R782" i="6" s="1"/>
  <c r="Q527" i="8"/>
  <c r="R527" i="8" s="1"/>
  <c r="Q1019" i="6"/>
  <c r="R1019" i="6" s="1"/>
  <c r="K1286" i="6"/>
  <c r="M1286" i="6" s="1"/>
  <c r="Q526" i="7"/>
  <c r="P200" i="8"/>
  <c r="Q200" i="8" s="1"/>
  <c r="S200" i="8"/>
  <c r="N1405" i="6"/>
  <c r="P1405" i="6" s="1"/>
  <c r="P254" i="12"/>
  <c r="V801" i="8"/>
  <c r="V473" i="7"/>
  <c r="R473" i="7"/>
  <c r="T473" i="7" s="1"/>
  <c r="U583" i="7"/>
  <c r="V363" i="7"/>
  <c r="R363" i="7"/>
  <c r="T363" i="7" s="1"/>
  <c r="N2933" i="6"/>
  <c r="O2933" i="6" s="1"/>
  <c r="O2934" i="6" s="1"/>
  <c r="O2935" i="6" s="1"/>
  <c r="O2936" i="6" s="1"/>
  <c r="O2937" i="6" s="1"/>
  <c r="O2938" i="6" s="1"/>
  <c r="O2939" i="6" s="1"/>
  <c r="O2940" i="6" s="1"/>
  <c r="O2941" i="6" s="1"/>
  <c r="O2942" i="6" s="1"/>
  <c r="O2943" i="6" s="1"/>
  <c r="V801" i="7"/>
  <c r="R801" i="7"/>
  <c r="S363" i="8"/>
  <c r="U363" i="8" s="1"/>
  <c r="V363" i="8"/>
  <c r="K1521" i="6"/>
  <c r="M1521" i="6" s="1"/>
  <c r="R140" i="8"/>
  <c r="P850" i="6"/>
  <c r="R142" i="12"/>
  <c r="T142" i="12" s="1"/>
  <c r="V142" i="12"/>
  <c r="R305" i="12"/>
  <c r="T305" i="12" s="1"/>
  <c r="P1304" i="6"/>
  <c r="N1305" i="6" s="1"/>
  <c r="O1305" i="6" s="1"/>
  <c r="U416" i="8"/>
  <c r="S363" i="7"/>
  <c r="V308" i="8"/>
  <c r="R308" i="8"/>
  <c r="T308" i="8" s="1"/>
  <c r="S196" i="12"/>
  <c r="V196" i="12"/>
  <c r="N1352" i="6"/>
  <c r="O1352" i="6" s="1"/>
  <c r="V750" i="8"/>
  <c r="R750" i="8"/>
  <c r="T750" i="8" s="1"/>
  <c r="V912" i="8"/>
  <c r="S912" i="8"/>
  <c r="U912" i="8" s="1"/>
  <c r="R801" i="8"/>
  <c r="T801" i="8" s="1"/>
  <c r="S801" i="7"/>
  <c r="P694" i="7"/>
  <c r="P307" i="7"/>
  <c r="T306" i="7"/>
  <c r="L1101" i="6"/>
  <c r="P639" i="7"/>
  <c r="Q639" i="7" s="1"/>
  <c r="V1023" i="8"/>
  <c r="S1023" i="8"/>
  <c r="U1023" i="8" s="1"/>
  <c r="O944" i="6"/>
  <c r="V582" i="8"/>
  <c r="R582" i="8"/>
  <c r="T582" i="8" s="1"/>
  <c r="O994" i="6"/>
  <c r="AI282" i="11"/>
  <c r="BL281" i="11"/>
  <c r="AP282" i="11" s="1"/>
  <c r="S198" i="7"/>
  <c r="T638" i="8"/>
  <c r="S913" i="7"/>
  <c r="BQ229" i="11"/>
  <c r="P967" i="8"/>
  <c r="Q967" i="8" s="1"/>
  <c r="S967" i="8" s="1"/>
  <c r="U416" i="7"/>
  <c r="R196" i="12"/>
  <c r="N612" i="6"/>
  <c r="P612" i="6" s="1"/>
  <c r="C278" i="11"/>
  <c r="AF277" i="11"/>
  <c r="J278" i="11" s="1"/>
  <c r="E278" i="11"/>
  <c r="U913" i="7" l="1"/>
  <c r="U198" i="7"/>
  <c r="U801" i="7"/>
  <c r="BF231" i="11"/>
  <c r="BE231" i="11"/>
  <c r="BJ231" i="11"/>
  <c r="BI231" i="11"/>
  <c r="BK231" i="11"/>
  <c r="BH231" i="11"/>
  <c r="BG231" i="11"/>
  <c r="E2128" i="6"/>
  <c r="D2128" i="6"/>
  <c r="B2129" i="6"/>
  <c r="AM282" i="11"/>
  <c r="B2064" i="6"/>
  <c r="U695" i="8"/>
  <c r="P696" i="8" s="1"/>
  <c r="D1928" i="6"/>
  <c r="E1928" i="6"/>
  <c r="B1929" i="6" s="1"/>
  <c r="C1929" i="6"/>
  <c r="G278" i="11"/>
  <c r="U196" i="12"/>
  <c r="P197" i="12" s="1"/>
  <c r="K1477" i="6"/>
  <c r="M1477" i="6" s="1"/>
  <c r="L1477" i="6"/>
  <c r="E2193" i="6"/>
  <c r="D2193" i="6"/>
  <c r="B2194" i="6"/>
  <c r="D2063" i="6"/>
  <c r="T140" i="8"/>
  <c r="U582" i="8"/>
  <c r="P583" i="8" s="1"/>
  <c r="Q583" i="8" s="1"/>
  <c r="S583" i="8" s="1"/>
  <c r="U142" i="12"/>
  <c r="P143" i="12" s="1"/>
  <c r="Q143" i="12" s="1"/>
  <c r="V143" i="12" s="1"/>
  <c r="C1996" i="6"/>
  <c r="D1996" i="6" s="1"/>
  <c r="Q1020" i="6"/>
  <c r="R1020" i="6" s="1"/>
  <c r="R967" i="8"/>
  <c r="T967" i="8" s="1"/>
  <c r="V967" i="8"/>
  <c r="N945" i="6"/>
  <c r="P945" i="6" s="1"/>
  <c r="BT229" i="11"/>
  <c r="BU229" i="11" s="1"/>
  <c r="S1019" i="6"/>
  <c r="T230" i="11"/>
  <c r="P417" i="8"/>
  <c r="Q417" i="8" s="1"/>
  <c r="S417" i="8" s="1"/>
  <c r="P199" i="7"/>
  <c r="N707" i="6"/>
  <c r="P707" i="6" s="1"/>
  <c r="K1145" i="6"/>
  <c r="M1145" i="6" s="1"/>
  <c r="P748" i="7"/>
  <c r="Q748" i="7" s="1"/>
  <c r="S748" i="7" s="1"/>
  <c r="U308" i="8"/>
  <c r="U473" i="7"/>
  <c r="L1521" i="6"/>
  <c r="V254" i="7"/>
  <c r="P900" i="6"/>
  <c r="N901" i="6" s="1"/>
  <c r="O901" i="6" s="1"/>
  <c r="T912" i="8"/>
  <c r="M230" i="11"/>
  <c r="R230" i="11" s="1"/>
  <c r="P854" i="8"/>
  <c r="Q854" i="8" s="1"/>
  <c r="S854" i="8"/>
  <c r="H278" i="11"/>
  <c r="I278" i="11" s="1"/>
  <c r="O230" i="11"/>
  <c r="S230" i="11" s="1"/>
  <c r="T198" i="7"/>
  <c r="R200" i="8"/>
  <c r="T200" i="8" s="1"/>
  <c r="V200" i="8"/>
  <c r="P861" i="7"/>
  <c r="Q861" i="7" s="1"/>
  <c r="S861" i="7"/>
  <c r="S254" i="7"/>
  <c r="U254" i="7" s="1"/>
  <c r="Q254" i="12"/>
  <c r="T913" i="7"/>
  <c r="S526" i="7"/>
  <c r="V526" i="7"/>
  <c r="U140" i="8"/>
  <c r="Q694" i="7"/>
  <c r="AI232" i="11"/>
  <c r="U801" i="8"/>
  <c r="P584" i="7"/>
  <c r="Q584" i="7" s="1"/>
  <c r="N758" i="6"/>
  <c r="P758" i="6" s="1"/>
  <c r="P914" i="7"/>
  <c r="P2933" i="6"/>
  <c r="P2934" i="6" s="1"/>
  <c r="P2935" i="6" s="1"/>
  <c r="P2936" i="6" s="1"/>
  <c r="P2937" i="6" s="1"/>
  <c r="P2938" i="6" s="1"/>
  <c r="P2939" i="6" s="1"/>
  <c r="P2940" i="6" s="1"/>
  <c r="P2941" i="6" s="1"/>
  <c r="P2942" i="6" s="1"/>
  <c r="P2943" i="6" s="1"/>
  <c r="N2944" i="6" s="1"/>
  <c r="Q2901" i="6" s="1"/>
  <c r="P802" i="7"/>
  <c r="P1305" i="6"/>
  <c r="N1306" i="6" s="1"/>
  <c r="O1306" i="6" s="1"/>
  <c r="S782" i="6"/>
  <c r="P143" i="7"/>
  <c r="Q143" i="7" s="1"/>
  <c r="N230" i="11"/>
  <c r="O1405" i="6"/>
  <c r="R639" i="7"/>
  <c r="V639" i="7"/>
  <c r="L1187" i="6"/>
  <c r="O612" i="6"/>
  <c r="K1102" i="6"/>
  <c r="M1102" i="6" s="1"/>
  <c r="P364" i="8"/>
  <c r="Q364" i="8" s="1"/>
  <c r="R526" i="7"/>
  <c r="K1242" i="6"/>
  <c r="M1242" i="6" s="1"/>
  <c r="T1023" i="8"/>
  <c r="T695" i="8"/>
  <c r="U305" i="12"/>
  <c r="U750" i="8"/>
  <c r="R640" i="6"/>
  <c r="P252" i="8"/>
  <c r="Q252" i="8" s="1"/>
  <c r="S252" i="8" s="1"/>
  <c r="V527" i="8"/>
  <c r="S527" i="8"/>
  <c r="U527" i="8" s="1"/>
  <c r="U472" i="8"/>
  <c r="U363" i="7"/>
  <c r="Q639" i="8"/>
  <c r="P1024" i="8"/>
  <c r="P913" i="8"/>
  <c r="P1079" i="8"/>
  <c r="Q1079" i="8" s="1"/>
  <c r="S1079" i="8" s="1"/>
  <c r="AK282" i="11"/>
  <c r="S639" i="7"/>
  <c r="T196" i="12"/>
  <c r="N995" i="6"/>
  <c r="P995" i="6" s="1"/>
  <c r="Q307" i="7"/>
  <c r="R307" i="7" s="1"/>
  <c r="P1352" i="6"/>
  <c r="N1353" i="6" s="1"/>
  <c r="O1353" i="6" s="1"/>
  <c r="P417" i="7"/>
  <c r="Q417" i="7" s="1"/>
  <c r="S417" i="7" s="1"/>
  <c r="T801" i="7"/>
  <c r="L1286" i="6"/>
  <c r="N851" i="6"/>
  <c r="O851" i="6" s="1"/>
  <c r="T527" i="8" l="1"/>
  <c r="E1929" i="6"/>
  <c r="D1929" i="6"/>
  <c r="B1930" i="6" s="1"/>
  <c r="C1930" i="6" s="1"/>
  <c r="T526" i="7"/>
  <c r="V583" i="8"/>
  <c r="C2064" i="6"/>
  <c r="U200" i="8"/>
  <c r="C2194" i="6"/>
  <c r="E1996" i="6"/>
  <c r="BL231" i="11"/>
  <c r="B1997" i="6"/>
  <c r="K1478" i="6"/>
  <c r="M1478" i="6" s="1"/>
  <c r="L1478" i="6"/>
  <c r="U639" i="7"/>
  <c r="P640" i="7" s="1"/>
  <c r="AJ232" i="11"/>
  <c r="L1242" i="6"/>
  <c r="C2129" i="6"/>
  <c r="U967" i="8"/>
  <c r="L278" i="11"/>
  <c r="M278" i="11"/>
  <c r="R278" i="11" s="1"/>
  <c r="P278" i="11"/>
  <c r="N278" i="11"/>
  <c r="K278" i="11"/>
  <c r="Q278" i="11" s="1"/>
  <c r="T278" i="11" s="1"/>
  <c r="O278" i="11"/>
  <c r="S278" i="11" s="1"/>
  <c r="BY229" i="11"/>
  <c r="CD229" i="11" s="1"/>
  <c r="CB229" i="11"/>
  <c r="BZ229" i="11"/>
  <c r="CA229" i="11"/>
  <c r="CE229" i="11" s="1"/>
  <c r="BX229" i="11"/>
  <c r="BW229" i="11"/>
  <c r="CC229" i="11" s="1"/>
  <c r="R584" i="7"/>
  <c r="V584" i="7"/>
  <c r="S584" i="7"/>
  <c r="U584" i="7" s="1"/>
  <c r="R364" i="8"/>
  <c r="V364" i="8"/>
  <c r="S364" i="8"/>
  <c r="R2903" i="6"/>
  <c r="P968" i="8"/>
  <c r="Q968" i="8" s="1"/>
  <c r="R968" i="8" s="1"/>
  <c r="N1406" i="6"/>
  <c r="P1406" i="6" s="1"/>
  <c r="Q913" i="8"/>
  <c r="P306" i="12"/>
  <c r="Q306" i="12" s="1"/>
  <c r="S306" i="12" s="1"/>
  <c r="O707" i="6"/>
  <c r="S254" i="12"/>
  <c r="V254" i="12"/>
  <c r="Q197" i="12"/>
  <c r="V854" i="8"/>
  <c r="R854" i="8"/>
  <c r="T854" i="8" s="1"/>
  <c r="P751" i="8"/>
  <c r="Q751" i="8" s="1"/>
  <c r="S751" i="8" s="1"/>
  <c r="K1243" i="6"/>
  <c r="L1243" i="6" s="1"/>
  <c r="P141" i="8"/>
  <c r="Q141" i="8" s="1"/>
  <c r="S141" i="8"/>
  <c r="V639" i="8"/>
  <c r="S639" i="8"/>
  <c r="L1145" i="6"/>
  <c r="O995" i="6"/>
  <c r="K1287" i="6"/>
  <c r="M1287" i="6" s="1"/>
  <c r="R254" i="12"/>
  <c r="P1306" i="6"/>
  <c r="Q802" i="7"/>
  <c r="R802" i="7" s="1"/>
  <c r="K1522" i="6"/>
  <c r="M1522" i="6" s="1"/>
  <c r="P255" i="7"/>
  <c r="AN282" i="11"/>
  <c r="AO282" i="11" s="1"/>
  <c r="R583" i="8"/>
  <c r="T583" i="8" s="1"/>
  <c r="S694" i="7"/>
  <c r="V694" i="7"/>
  <c r="Q696" i="8"/>
  <c r="K1188" i="6"/>
  <c r="M1188" i="6" s="1"/>
  <c r="P528" i="8"/>
  <c r="Q528" i="8" s="1"/>
  <c r="V417" i="8"/>
  <c r="R417" i="8"/>
  <c r="T417" i="8" s="1"/>
  <c r="O945" i="6"/>
  <c r="P851" i="6"/>
  <c r="N852" i="6" s="1"/>
  <c r="O852" i="6" s="1"/>
  <c r="V1079" i="8"/>
  <c r="R1079" i="8"/>
  <c r="T1079" i="8" s="1"/>
  <c r="S640" i="6"/>
  <c r="R694" i="7"/>
  <c r="V861" i="7"/>
  <c r="R861" i="7"/>
  <c r="T861" i="7" s="1"/>
  <c r="P309" i="8"/>
  <c r="Q309" i="8" s="1"/>
  <c r="S309" i="8"/>
  <c r="P201" i="8"/>
  <c r="Q201" i="8" s="1"/>
  <c r="R201" i="8" s="1"/>
  <c r="U526" i="7"/>
  <c r="V143" i="7"/>
  <c r="R143" i="7"/>
  <c r="L1102" i="6"/>
  <c r="S143" i="7"/>
  <c r="U143" i="7" s="1"/>
  <c r="N613" i="6"/>
  <c r="P613" i="6" s="1"/>
  <c r="P802" i="8"/>
  <c r="Q802" i="8" s="1"/>
  <c r="P473" i="8"/>
  <c r="Q473" i="8" s="1"/>
  <c r="U230" i="11"/>
  <c r="V230" i="11" s="1"/>
  <c r="P474" i="7"/>
  <c r="Q474" i="7" s="1"/>
  <c r="S474" i="7"/>
  <c r="R143" i="12"/>
  <c r="V417" i="7"/>
  <c r="R417" i="7"/>
  <c r="T417" i="7" s="1"/>
  <c r="P1353" i="6"/>
  <c r="N1354" i="6" s="1"/>
  <c r="O1354" i="6" s="1"/>
  <c r="S143" i="12"/>
  <c r="U143" i="12" s="1"/>
  <c r="V748" i="7"/>
  <c r="T639" i="7"/>
  <c r="T254" i="7"/>
  <c r="Q199" i="7"/>
  <c r="O758" i="6"/>
  <c r="V307" i="7"/>
  <c r="S307" i="7"/>
  <c r="U307" i="7" s="1"/>
  <c r="R639" i="8"/>
  <c r="Q914" i="7"/>
  <c r="R914" i="7" s="1"/>
  <c r="P901" i="6"/>
  <c r="N902" i="6" s="1"/>
  <c r="O902" i="6" s="1"/>
  <c r="P364" i="7"/>
  <c r="Q364" i="7" s="1"/>
  <c r="S364" i="7"/>
  <c r="R748" i="7"/>
  <c r="T748" i="7" s="1"/>
  <c r="Q783" i="6"/>
  <c r="R783" i="6" s="1"/>
  <c r="V252" i="8"/>
  <c r="R252" i="8"/>
  <c r="T252" i="8" s="1"/>
  <c r="Q1024" i="8"/>
  <c r="R1024" i="8" s="1"/>
  <c r="S1020" i="6"/>
  <c r="B1931" i="6" l="1"/>
  <c r="D1930" i="6"/>
  <c r="E1930" i="6"/>
  <c r="U252" i="8"/>
  <c r="C1997" i="6"/>
  <c r="U639" i="8"/>
  <c r="P640" i="8" s="1"/>
  <c r="B1998" i="6"/>
  <c r="D1997" i="6"/>
  <c r="E1997" i="6"/>
  <c r="U861" i="7"/>
  <c r="P862" i="7" s="1"/>
  <c r="Q862" i="7" s="1"/>
  <c r="V862" i="7" s="1"/>
  <c r="AP232" i="11"/>
  <c r="AK232" i="11"/>
  <c r="AN232" i="11" s="1"/>
  <c r="AM232" i="11"/>
  <c r="U694" i="7"/>
  <c r="P695" i="7" s="1"/>
  <c r="U583" i="8"/>
  <c r="P584" i="8" s="1"/>
  <c r="Q584" i="8" s="1"/>
  <c r="M1243" i="6"/>
  <c r="B2130" i="6"/>
  <c r="D2129" i="6"/>
  <c r="E2129" i="6"/>
  <c r="D2194" i="6"/>
  <c r="B2195" i="6"/>
  <c r="E2194" i="6"/>
  <c r="L1522" i="6"/>
  <c r="T254" i="12"/>
  <c r="U748" i="7"/>
  <c r="P749" i="7" s="1"/>
  <c r="Q749" i="7" s="1"/>
  <c r="R749" i="7" s="1"/>
  <c r="AL232" i="11"/>
  <c r="K1479" i="6"/>
  <c r="M1479" i="6" s="1"/>
  <c r="L1479" i="6"/>
  <c r="K1480" i="6" s="1"/>
  <c r="N1437" i="6" s="1"/>
  <c r="O1439" i="6" s="1"/>
  <c r="B2065" i="6"/>
  <c r="E2064" i="6"/>
  <c r="D2064" i="6"/>
  <c r="S783" i="6"/>
  <c r="Q784" i="6" s="1"/>
  <c r="R784" i="6" s="1"/>
  <c r="U364" i="8"/>
  <c r="R528" i="8"/>
  <c r="S528" i="8"/>
  <c r="U528" i="8" s="1"/>
  <c r="V528" i="8"/>
  <c r="N1355" i="6"/>
  <c r="O1355" i="6" s="1"/>
  <c r="AS282" i="11"/>
  <c r="AX282" i="11" s="1"/>
  <c r="AV282" i="11"/>
  <c r="AT282" i="11"/>
  <c r="AU282" i="11"/>
  <c r="AY282" i="11" s="1"/>
  <c r="AQ282" i="11"/>
  <c r="AW282" i="11" s="1"/>
  <c r="AR282" i="11"/>
  <c r="X230" i="11"/>
  <c r="V199" i="7"/>
  <c r="S199" i="7"/>
  <c r="P527" i="7"/>
  <c r="Q527" i="7" s="1"/>
  <c r="S527" i="7" s="1"/>
  <c r="R473" i="8"/>
  <c r="V473" i="8"/>
  <c r="Q255" i="7"/>
  <c r="R255" i="7" s="1"/>
  <c r="S201" i="8"/>
  <c r="U201" i="8" s="1"/>
  <c r="V968" i="8"/>
  <c r="V802" i="8"/>
  <c r="R802" i="8"/>
  <c r="L1287" i="6"/>
  <c r="O1406" i="6"/>
  <c r="N996" i="6"/>
  <c r="P996" i="6" s="1"/>
  <c r="P902" i="6"/>
  <c r="N903" i="6" s="1"/>
  <c r="O903" i="6" s="1"/>
  <c r="S968" i="8"/>
  <c r="U968" i="8" s="1"/>
  <c r="T364" i="8"/>
  <c r="P144" i="7"/>
  <c r="T694" i="7"/>
  <c r="S197" i="12"/>
  <c r="V197" i="12"/>
  <c r="N1307" i="6"/>
  <c r="O1307" i="6" s="1"/>
  <c r="U278" i="11"/>
  <c r="AG278" i="11" s="1"/>
  <c r="N759" i="6"/>
  <c r="P759" i="6" s="1"/>
  <c r="K1523" i="6"/>
  <c r="M1523" i="6" s="1"/>
  <c r="CF229" i="11"/>
  <c r="K1146" i="6"/>
  <c r="M1146" i="6" s="1"/>
  <c r="P852" i="6"/>
  <c r="N853" i="6" s="1"/>
  <c r="O853" i="6" s="1"/>
  <c r="N946" i="6"/>
  <c r="P946" i="6" s="1"/>
  <c r="R199" i="7"/>
  <c r="T199" i="7" s="1"/>
  <c r="CG229" i="11"/>
  <c r="V201" i="8"/>
  <c r="S802" i="8"/>
  <c r="P144" i="12"/>
  <c r="O613" i="6"/>
  <c r="T639" i="8"/>
  <c r="U1079" i="8"/>
  <c r="K1103" i="6"/>
  <c r="M1103" i="6" s="1"/>
  <c r="L1188" i="6"/>
  <c r="R197" i="12"/>
  <c r="T197" i="12" s="1"/>
  <c r="T584" i="7"/>
  <c r="P1439" i="6"/>
  <c r="R474" i="7"/>
  <c r="T474" i="7" s="1"/>
  <c r="V474" i="7"/>
  <c r="N708" i="6"/>
  <c r="P708" i="6" s="1"/>
  <c r="U417" i="8"/>
  <c r="R141" i="8"/>
  <c r="T141" i="8" s="1"/>
  <c r="V141" i="8"/>
  <c r="W230" i="11"/>
  <c r="Q640" i="7"/>
  <c r="R640" i="7" s="1"/>
  <c r="V1024" i="8"/>
  <c r="S1024" i="8"/>
  <c r="U1024" i="8" s="1"/>
  <c r="U309" i="8"/>
  <c r="R364" i="7"/>
  <c r="T364" i="7" s="1"/>
  <c r="V364" i="7"/>
  <c r="P365" i="8"/>
  <c r="P585" i="7"/>
  <c r="P308" i="7"/>
  <c r="T143" i="7"/>
  <c r="V696" i="8"/>
  <c r="S696" i="8"/>
  <c r="Q1021" i="6"/>
  <c r="R1021" i="6" s="1"/>
  <c r="T307" i="7"/>
  <c r="S802" i="7"/>
  <c r="U802" i="7" s="1"/>
  <c r="V802" i="7"/>
  <c r="V306" i="12"/>
  <c r="R306" i="12"/>
  <c r="T306" i="12" s="1"/>
  <c r="P253" i="8"/>
  <c r="Q253" i="8" s="1"/>
  <c r="S473" i="8"/>
  <c r="V913" i="8"/>
  <c r="S913" i="8"/>
  <c r="R913" i="8"/>
  <c r="T913" i="8" s="1"/>
  <c r="R751" i="8"/>
  <c r="T751" i="8" s="1"/>
  <c r="V751" i="8"/>
  <c r="V309" i="8"/>
  <c r="R309" i="8"/>
  <c r="T309" i="8" s="1"/>
  <c r="P1354" i="6"/>
  <c r="S914" i="7"/>
  <c r="U914" i="7" s="1"/>
  <c r="V914" i="7"/>
  <c r="U854" i="8"/>
  <c r="S2903" i="6"/>
  <c r="T143" i="12"/>
  <c r="Q641" i="6"/>
  <c r="R641" i="6" s="1"/>
  <c r="R696" i="8"/>
  <c r="U254" i="12"/>
  <c r="U417" i="7"/>
  <c r="C1998" i="6" l="1"/>
  <c r="AG230" i="11"/>
  <c r="T802" i="7"/>
  <c r="C1931" i="6"/>
  <c r="U751" i="8"/>
  <c r="P752" i="8" s="1"/>
  <c r="Q752" i="8" s="1"/>
  <c r="U364" i="7"/>
  <c r="CJ229" i="11"/>
  <c r="K1244" i="6"/>
  <c r="L1244" i="6" s="1"/>
  <c r="E1998" i="6"/>
  <c r="B1999" i="6"/>
  <c r="D1998" i="6"/>
  <c r="C1999" i="6" s="1"/>
  <c r="D1999" i="6" s="1"/>
  <c r="C2195" i="6"/>
  <c r="C2130" i="6"/>
  <c r="CI229" i="11"/>
  <c r="U473" i="8"/>
  <c r="P474" i="8" s="1"/>
  <c r="C2065" i="6"/>
  <c r="CH229" i="11"/>
  <c r="AO232" i="11"/>
  <c r="U474" i="7"/>
  <c r="U696" i="8"/>
  <c r="U802" i="8"/>
  <c r="P803" i="8" s="1"/>
  <c r="V253" i="8"/>
  <c r="S253" i="8"/>
  <c r="R253" i="8"/>
  <c r="T253" i="8" s="1"/>
  <c r="V584" i="8"/>
  <c r="R584" i="8"/>
  <c r="S584" i="8"/>
  <c r="P202" i="8"/>
  <c r="AE230" i="11"/>
  <c r="AD230" i="11"/>
  <c r="AC230" i="11"/>
  <c r="AA230" i="11"/>
  <c r="Z230" i="11"/>
  <c r="Y230" i="11"/>
  <c r="AB230" i="11"/>
  <c r="T528" i="8"/>
  <c r="U913" i="8"/>
  <c r="L1523" i="6"/>
  <c r="S862" i="7"/>
  <c r="S784" i="6"/>
  <c r="P310" i="8"/>
  <c r="Q310" i="8" s="1"/>
  <c r="P1025" i="8"/>
  <c r="P915" i="7"/>
  <c r="P1355" i="6"/>
  <c r="Q144" i="7"/>
  <c r="R144" i="7" s="1"/>
  <c r="O708" i="6"/>
  <c r="O946" i="6"/>
  <c r="U197" i="12"/>
  <c r="V749" i="7"/>
  <c r="T914" i="7"/>
  <c r="K1288" i="6"/>
  <c r="M1288" i="6" s="1"/>
  <c r="T968" i="8"/>
  <c r="Q695" i="7"/>
  <c r="T802" i="8"/>
  <c r="Q144" i="12"/>
  <c r="P529" i="8"/>
  <c r="R862" i="7"/>
  <c r="T862" i="7" s="1"/>
  <c r="K1189" i="6"/>
  <c r="M1189" i="6" s="1"/>
  <c r="P969" i="8"/>
  <c r="T201" i="8"/>
  <c r="S255" i="7"/>
  <c r="U255" i="7" s="1"/>
  <c r="V255" i="7"/>
  <c r="P1080" i="8"/>
  <c r="Q1080" i="8" s="1"/>
  <c r="S1080" i="8" s="1"/>
  <c r="P903" i="6"/>
  <c r="Q640" i="8"/>
  <c r="U141" i="8"/>
  <c r="O996" i="6"/>
  <c r="P418" i="7"/>
  <c r="Q418" i="7" s="1"/>
  <c r="S418" i="7" s="1"/>
  <c r="N1407" i="6"/>
  <c r="P1407" i="6" s="1"/>
  <c r="P255" i="12"/>
  <c r="Q255" i="12" s="1"/>
  <c r="S255" i="12" s="1"/>
  <c r="N614" i="6"/>
  <c r="P614" i="6" s="1"/>
  <c r="P853" i="6"/>
  <c r="P1307" i="6"/>
  <c r="U306" i="12"/>
  <c r="S749" i="7"/>
  <c r="U749" i="7" s="1"/>
  <c r="L1146" i="6"/>
  <c r="V527" i="7"/>
  <c r="R527" i="7"/>
  <c r="T527" i="7" s="1"/>
  <c r="Q585" i="7"/>
  <c r="P365" i="7"/>
  <c r="Q365" i="7" s="1"/>
  <c r="Q365" i="8"/>
  <c r="P418" i="8"/>
  <c r="Q418" i="8" s="1"/>
  <c r="P475" i="7"/>
  <c r="Q475" i="7" s="1"/>
  <c r="Q308" i="7"/>
  <c r="R308" i="7" s="1"/>
  <c r="L1103" i="6"/>
  <c r="K1104" i="6" s="1"/>
  <c r="N1061" i="6" s="1"/>
  <c r="Q2904" i="6"/>
  <c r="R2904" i="6" s="1"/>
  <c r="N1440" i="6"/>
  <c r="O1440" i="6" s="1"/>
  <c r="O759" i="6"/>
  <c r="AZ282" i="11"/>
  <c r="P855" i="8"/>
  <c r="Q855" i="8" s="1"/>
  <c r="S855" i="8"/>
  <c r="AC278" i="11"/>
  <c r="AB278" i="11"/>
  <c r="AA278" i="11"/>
  <c r="X279" i="11"/>
  <c r="AE278" i="11"/>
  <c r="Y278" i="11"/>
  <c r="V279" i="11"/>
  <c r="AD278" i="11"/>
  <c r="Z278" i="11"/>
  <c r="W279" i="11"/>
  <c r="P697" i="8"/>
  <c r="T473" i="8"/>
  <c r="S640" i="7"/>
  <c r="U640" i="7" s="1"/>
  <c r="V640" i="7"/>
  <c r="BA282" i="11"/>
  <c r="S1021" i="6"/>
  <c r="T696" i="8"/>
  <c r="S641" i="6"/>
  <c r="P803" i="7"/>
  <c r="Q803" i="7" s="1"/>
  <c r="U199" i="7"/>
  <c r="T1024" i="8"/>
  <c r="K1245" i="6" l="1"/>
  <c r="N1202" i="6" s="1"/>
  <c r="O1204" i="6" s="1"/>
  <c r="P1204" i="6" s="1"/>
  <c r="B2000" i="6"/>
  <c r="E1931" i="6"/>
  <c r="D1931" i="6"/>
  <c r="B1932" i="6"/>
  <c r="BM282" i="11"/>
  <c r="U584" i="8"/>
  <c r="P585" i="8" s="1"/>
  <c r="Q585" i="8" s="1"/>
  <c r="V585" i="8" s="1"/>
  <c r="CS229" i="11"/>
  <c r="CP229" i="11" s="1"/>
  <c r="M1244" i="6"/>
  <c r="AU232" i="11"/>
  <c r="AY232" i="11" s="1"/>
  <c r="BD232" i="11" s="1"/>
  <c r="AQ232" i="11"/>
  <c r="AW232" i="11" s="1"/>
  <c r="AT232" i="11"/>
  <c r="AV232" i="11"/>
  <c r="AS232" i="11"/>
  <c r="AX232" i="11" s="1"/>
  <c r="AR232" i="11"/>
  <c r="D2065" i="6"/>
  <c r="E2065" i="6"/>
  <c r="B2066" i="6"/>
  <c r="T584" i="8"/>
  <c r="T255" i="7"/>
  <c r="P1440" i="6"/>
  <c r="E1999" i="6"/>
  <c r="C2000" i="6" s="1"/>
  <c r="B2131" i="6"/>
  <c r="E2130" i="6"/>
  <c r="D2130" i="6"/>
  <c r="E2195" i="6"/>
  <c r="B2196" i="6"/>
  <c r="D2195" i="6"/>
  <c r="C2196" i="6" s="1"/>
  <c r="R475" i="7"/>
  <c r="S475" i="7"/>
  <c r="U475" i="7" s="1"/>
  <c r="V475" i="7"/>
  <c r="V365" i="7"/>
  <c r="R365" i="7"/>
  <c r="S365" i="7"/>
  <c r="S752" i="8"/>
  <c r="V752" i="8"/>
  <c r="R752" i="8"/>
  <c r="T752" i="8" s="1"/>
  <c r="T144" i="7"/>
  <c r="S310" i="8"/>
  <c r="V310" i="8"/>
  <c r="R310" i="8"/>
  <c r="S803" i="7"/>
  <c r="R803" i="7"/>
  <c r="T803" i="7" s="1"/>
  <c r="V803" i="7"/>
  <c r="V695" i="7"/>
  <c r="S695" i="7"/>
  <c r="N947" i="6"/>
  <c r="P947" i="6" s="1"/>
  <c r="Q697" i="8"/>
  <c r="L1189" i="6"/>
  <c r="N709" i="6"/>
  <c r="P709" i="6" s="1"/>
  <c r="S2904" i="6"/>
  <c r="P142" i="8"/>
  <c r="Q142" i="8" s="1"/>
  <c r="V640" i="8"/>
  <c r="S640" i="8"/>
  <c r="AF230" i="11"/>
  <c r="J231" i="11" s="1"/>
  <c r="E231" i="11"/>
  <c r="C231" i="11"/>
  <c r="Q256" i="7"/>
  <c r="S256" i="7" s="1"/>
  <c r="C279" i="11"/>
  <c r="AF278" i="11"/>
  <c r="J279" i="11" s="1"/>
  <c r="O614" i="6"/>
  <c r="U862" i="7"/>
  <c r="T640" i="7"/>
  <c r="Q969" i="8"/>
  <c r="D231" i="11"/>
  <c r="BF282" i="11"/>
  <c r="BE282" i="11"/>
  <c r="BD283" i="11"/>
  <c r="BC283" i="11"/>
  <c r="BB283" i="11"/>
  <c r="BK282" i="11"/>
  <c r="BJ282" i="11"/>
  <c r="BG282" i="11"/>
  <c r="BI282" i="11"/>
  <c r="BH282" i="11"/>
  <c r="O1407" i="6"/>
  <c r="K1524" i="6"/>
  <c r="M1524" i="6" s="1"/>
  <c r="K1147" i="6"/>
  <c r="M1147" i="6" s="1"/>
  <c r="P307" i="12"/>
  <c r="Q307" i="12" s="1"/>
  <c r="S307" i="12"/>
  <c r="V585" i="7"/>
  <c r="S585" i="7"/>
  <c r="R695" i="7"/>
  <c r="R585" i="7"/>
  <c r="O1063" i="6"/>
  <c r="N1308" i="6"/>
  <c r="O1308" i="6" s="1"/>
  <c r="R255" i="12"/>
  <c r="T255" i="12" s="1"/>
  <c r="V255" i="12"/>
  <c r="U253" i="8"/>
  <c r="Q1025" i="8"/>
  <c r="R418" i="8"/>
  <c r="T418" i="8" s="1"/>
  <c r="V418" i="8"/>
  <c r="Q529" i="8"/>
  <c r="Q785" i="6"/>
  <c r="R785" i="6" s="1"/>
  <c r="P200" i="7"/>
  <c r="Q200" i="7" s="1"/>
  <c r="S200" i="7" s="1"/>
  <c r="S418" i="8"/>
  <c r="P256" i="7"/>
  <c r="P641" i="7"/>
  <c r="P750" i="7"/>
  <c r="U527" i="7"/>
  <c r="R855" i="8"/>
  <c r="T855" i="8" s="1"/>
  <c r="V855" i="8"/>
  <c r="T749" i="7"/>
  <c r="N760" i="6"/>
  <c r="P760" i="6" s="1"/>
  <c r="V365" i="8"/>
  <c r="S365" i="8"/>
  <c r="Q202" i="8"/>
  <c r="P198" i="12"/>
  <c r="Q198" i="12" s="1"/>
  <c r="S198" i="12" s="1"/>
  <c r="N904" i="6"/>
  <c r="O904" i="6" s="1"/>
  <c r="Q803" i="8"/>
  <c r="R803" i="8" s="1"/>
  <c r="S144" i="7"/>
  <c r="U144" i="7" s="1"/>
  <c r="V144" i="7"/>
  <c r="S308" i="7"/>
  <c r="U308" i="7" s="1"/>
  <c r="V308" i="7"/>
  <c r="R640" i="8"/>
  <c r="T640" i="8" s="1"/>
  <c r="P1356" i="6"/>
  <c r="U255" i="12"/>
  <c r="N854" i="6"/>
  <c r="O854" i="6" s="1"/>
  <c r="S1022" i="6"/>
  <c r="D279" i="11"/>
  <c r="V1080" i="8"/>
  <c r="R1080" i="8"/>
  <c r="T1080" i="8" s="1"/>
  <c r="L1288" i="6"/>
  <c r="Q1022" i="6"/>
  <c r="R1022" i="6" s="1"/>
  <c r="V144" i="12"/>
  <c r="S144" i="12"/>
  <c r="P914" i="8"/>
  <c r="Q914" i="8" s="1"/>
  <c r="S914" i="8" s="1"/>
  <c r="N1356" i="6"/>
  <c r="O1356" i="6" s="1"/>
  <c r="R144" i="12"/>
  <c r="Q474" i="8"/>
  <c r="V418" i="7"/>
  <c r="R418" i="7"/>
  <c r="T418" i="7" s="1"/>
  <c r="Q915" i="7"/>
  <c r="R915" i="7" s="1"/>
  <c r="N1441" i="6"/>
  <c r="O1441" i="6" s="1"/>
  <c r="R365" i="8"/>
  <c r="Q642" i="6"/>
  <c r="R642" i="6" s="1"/>
  <c r="N997" i="6"/>
  <c r="P997" i="6" s="1"/>
  <c r="CQ229" i="11"/>
  <c r="CK229" i="11" l="1"/>
  <c r="U310" i="8"/>
  <c r="CL229" i="11"/>
  <c r="CM229" i="11"/>
  <c r="U1080" i="8"/>
  <c r="P1441" i="6"/>
  <c r="CN229" i="11"/>
  <c r="C1932" i="6"/>
  <c r="CO229" i="11"/>
  <c r="CR229" i="11" s="1"/>
  <c r="U365" i="7"/>
  <c r="E2000" i="6"/>
  <c r="B2001" i="6"/>
  <c r="D2000" i="6"/>
  <c r="C2001" i="6" s="1"/>
  <c r="B2002" i="6" s="1"/>
  <c r="C2066" i="6"/>
  <c r="U144" i="12"/>
  <c r="P145" i="12" s="1"/>
  <c r="T475" i="7"/>
  <c r="Q476" i="7" s="1"/>
  <c r="R476" i="7" s="1"/>
  <c r="S785" i="6"/>
  <c r="AZ232" i="11"/>
  <c r="U418" i="7"/>
  <c r="P419" i="7" s="1"/>
  <c r="Q419" i="7" s="1"/>
  <c r="F231" i="11"/>
  <c r="E2196" i="6"/>
  <c r="B2197" i="6"/>
  <c r="D2196" i="6"/>
  <c r="C2197" i="6" s="1"/>
  <c r="T585" i="7"/>
  <c r="U695" i="7"/>
  <c r="P696" i="7" s="1"/>
  <c r="V256" i="7"/>
  <c r="BA232" i="11"/>
  <c r="BC232" i="11"/>
  <c r="P1308" i="6"/>
  <c r="N1309" i="6" s="1"/>
  <c r="T365" i="8"/>
  <c r="C2131" i="6"/>
  <c r="N1442" i="6"/>
  <c r="P1442" i="6" s="1"/>
  <c r="T310" i="8"/>
  <c r="O997" i="6"/>
  <c r="P256" i="12"/>
  <c r="Q256" i="12" s="1"/>
  <c r="R256" i="12" s="1"/>
  <c r="BL282" i="11"/>
  <c r="AP283" i="11" s="1"/>
  <c r="AI283" i="11"/>
  <c r="P311" i="8"/>
  <c r="Q1023" i="6"/>
  <c r="R1023" i="6" s="1"/>
  <c r="O709" i="6"/>
  <c r="R585" i="8"/>
  <c r="V1025" i="8"/>
  <c r="S1025" i="8"/>
  <c r="K1190" i="6"/>
  <c r="M1190" i="6" s="1"/>
  <c r="P309" i="7"/>
  <c r="R256" i="7"/>
  <c r="T256" i="7" s="1"/>
  <c r="U855" i="8"/>
  <c r="N1408" i="6"/>
  <c r="P1408" i="6" s="1"/>
  <c r="R198" i="12"/>
  <c r="T198" i="12" s="1"/>
  <c r="V198" i="12"/>
  <c r="T308" i="7"/>
  <c r="V202" i="8"/>
  <c r="S202" i="8"/>
  <c r="V474" i="8"/>
  <c r="S474" i="8"/>
  <c r="R202" i="8"/>
  <c r="O947" i="6"/>
  <c r="R474" i="8"/>
  <c r="P1063" i="6"/>
  <c r="AJ283" i="11"/>
  <c r="V969" i="8"/>
  <c r="S969" i="8"/>
  <c r="V307" i="12"/>
  <c r="R307" i="12"/>
  <c r="T307" i="12" s="1"/>
  <c r="R969" i="8"/>
  <c r="T969" i="8" s="1"/>
  <c r="V142" i="8"/>
  <c r="R142" i="8"/>
  <c r="P476" i="7"/>
  <c r="S529" i="8"/>
  <c r="V529" i="8"/>
  <c r="L1147" i="6"/>
  <c r="G279" i="11"/>
  <c r="E279" i="11"/>
  <c r="BO230" i="11"/>
  <c r="R1025" i="8"/>
  <c r="P1081" i="8"/>
  <c r="Q1081" i="8" s="1"/>
  <c r="V697" i="8"/>
  <c r="S697" i="8"/>
  <c r="R697" i="8"/>
  <c r="T697" i="8" s="1"/>
  <c r="P145" i="7"/>
  <c r="Q145" i="7" s="1"/>
  <c r="BP230" i="11"/>
  <c r="Q2905" i="6"/>
  <c r="R2905" i="6" s="1"/>
  <c r="T365" i="7"/>
  <c r="O760" i="6"/>
  <c r="V200" i="7"/>
  <c r="R200" i="7"/>
  <c r="T200" i="7" s="1"/>
  <c r="P904" i="6"/>
  <c r="N905" i="6" s="1"/>
  <c r="O905" i="6" s="1"/>
  <c r="O906" i="6" s="1"/>
  <c r="O907" i="6" s="1"/>
  <c r="O908" i="6" s="1"/>
  <c r="O909" i="6" s="1"/>
  <c r="O910" i="6" s="1"/>
  <c r="O911" i="6" s="1"/>
  <c r="O912" i="6" s="1"/>
  <c r="O913" i="6" s="1"/>
  <c r="O914" i="6" s="1"/>
  <c r="O915" i="6" s="1"/>
  <c r="T695" i="7"/>
  <c r="S642" i="6"/>
  <c r="Q641" i="7"/>
  <c r="S142" i="8"/>
  <c r="N615" i="6"/>
  <c r="P615" i="6" s="1"/>
  <c r="N855" i="6"/>
  <c r="O855" i="6" s="1"/>
  <c r="R529" i="8"/>
  <c r="V803" i="8"/>
  <c r="S803" i="8"/>
  <c r="U803" i="8" s="1"/>
  <c r="P528" i="7"/>
  <c r="Q528" i="7" s="1"/>
  <c r="S528" i="7" s="1"/>
  <c r="S915" i="7"/>
  <c r="U915" i="7" s="1"/>
  <c r="V915" i="7"/>
  <c r="S585" i="8"/>
  <c r="U585" i="8" s="1"/>
  <c r="L1524" i="6"/>
  <c r="U752" i="8"/>
  <c r="K1289" i="6"/>
  <c r="M1289" i="6" s="1"/>
  <c r="N1205" i="6"/>
  <c r="O1205" i="6" s="1"/>
  <c r="P254" i="8"/>
  <c r="Q254" i="8" s="1"/>
  <c r="S254" i="8" s="1"/>
  <c r="P366" i="7"/>
  <c r="F279" i="11"/>
  <c r="U365" i="8"/>
  <c r="U640" i="8"/>
  <c r="U803" i="7"/>
  <c r="T144" i="12"/>
  <c r="U418" i="8"/>
  <c r="N1357" i="6"/>
  <c r="P1357" i="6" s="1"/>
  <c r="G231" i="11"/>
  <c r="V914" i="8"/>
  <c r="R914" i="8"/>
  <c r="T914" i="8" s="1"/>
  <c r="Q750" i="7"/>
  <c r="R750" i="7" s="1"/>
  <c r="Q786" i="6"/>
  <c r="R786" i="6" s="1"/>
  <c r="U585" i="7"/>
  <c r="P863" i="7"/>
  <c r="Q863" i="7" s="1"/>
  <c r="S863" i="7" s="1"/>
  <c r="P854" i="6"/>
  <c r="BV230" i="11" l="1"/>
  <c r="BR230" i="11"/>
  <c r="T529" i="8"/>
  <c r="S1023" i="6"/>
  <c r="D2001" i="6"/>
  <c r="E1932" i="6"/>
  <c r="B1933" i="6"/>
  <c r="D1932" i="6"/>
  <c r="C1933" i="6" s="1"/>
  <c r="BB232" i="11"/>
  <c r="BM232" i="11" s="1"/>
  <c r="U142" i="8"/>
  <c r="E2001" i="6"/>
  <c r="AL283" i="11"/>
  <c r="U256" i="7"/>
  <c r="T474" i="8"/>
  <c r="T202" i="8"/>
  <c r="O1309" i="6"/>
  <c r="P1309" i="6"/>
  <c r="B2198" i="6"/>
  <c r="E2197" i="6"/>
  <c r="D2197" i="6"/>
  <c r="C2198" i="6" s="1"/>
  <c r="B2132" i="6"/>
  <c r="E2131" i="6"/>
  <c r="D2131" i="6"/>
  <c r="C2132" i="6" s="1"/>
  <c r="T1025" i="8"/>
  <c r="H231" i="11"/>
  <c r="I231" i="11" s="1"/>
  <c r="S2905" i="6"/>
  <c r="Q2906" i="6" s="1"/>
  <c r="C2002" i="6"/>
  <c r="E2002" i="6" s="1"/>
  <c r="P1205" i="6"/>
  <c r="N1206" i="6" s="1"/>
  <c r="O1206" i="6" s="1"/>
  <c r="B2067" i="6"/>
  <c r="D2066" i="6"/>
  <c r="E2066" i="6"/>
  <c r="BQ230" i="11"/>
  <c r="V476" i="7"/>
  <c r="V419" i="7"/>
  <c r="R419" i="7"/>
  <c r="S419" i="7"/>
  <c r="U419" i="7" s="1"/>
  <c r="Q1024" i="6"/>
  <c r="S1024" i="6" s="1"/>
  <c r="N1310" i="6"/>
  <c r="O1310" i="6" s="1"/>
  <c r="S145" i="7"/>
  <c r="V145" i="7"/>
  <c r="R145" i="7"/>
  <c r="T145" i="7" s="1"/>
  <c r="R1081" i="8"/>
  <c r="S1081" i="8"/>
  <c r="V1081" i="8"/>
  <c r="N856" i="6"/>
  <c r="O856" i="6" s="1"/>
  <c r="Q696" i="7"/>
  <c r="R696" i="7" s="1"/>
  <c r="L1289" i="6"/>
  <c r="K1525" i="6"/>
  <c r="M1525" i="6" s="1"/>
  <c r="P586" i="8"/>
  <c r="U200" i="7"/>
  <c r="U1025" i="8"/>
  <c r="T585" i="8"/>
  <c r="O1357" i="6"/>
  <c r="R528" i="7"/>
  <c r="T528" i="7" s="1"/>
  <c r="V528" i="7"/>
  <c r="U529" i="8"/>
  <c r="AM283" i="11"/>
  <c r="O1442" i="6"/>
  <c r="P143" i="8"/>
  <c r="V256" i="12"/>
  <c r="S476" i="7"/>
  <c r="U476" i="7" s="1"/>
  <c r="U202" i="8"/>
  <c r="S786" i="6"/>
  <c r="N998" i="6"/>
  <c r="P998" i="6" s="1"/>
  <c r="N1064" i="6"/>
  <c r="O1064" i="6" s="1"/>
  <c r="N761" i="6"/>
  <c r="P761" i="6" s="1"/>
  <c r="U969" i="8"/>
  <c r="AK283" i="11"/>
  <c r="N710" i="6"/>
  <c r="P710" i="6" s="1"/>
  <c r="T915" i="7"/>
  <c r="U307" i="12"/>
  <c r="BS230" i="11"/>
  <c r="U914" i="8"/>
  <c r="V254" i="8"/>
  <c r="R254" i="8"/>
  <c r="T254" i="8" s="1"/>
  <c r="S641" i="7"/>
  <c r="V641" i="7"/>
  <c r="Q366" i="7"/>
  <c r="R366" i="7" s="1"/>
  <c r="H279" i="11"/>
  <c r="I279" i="11"/>
  <c r="M279" i="11" s="1"/>
  <c r="R279" i="11" s="1"/>
  <c r="K279" i="11"/>
  <c r="Q279" i="11" s="1"/>
  <c r="L279" i="11"/>
  <c r="S256" i="12"/>
  <c r="U256" i="12" s="1"/>
  <c r="P905" i="6"/>
  <c r="P906" i="6" s="1"/>
  <c r="P907" i="6" s="1"/>
  <c r="P908" i="6" s="1"/>
  <c r="P909" i="6" s="1"/>
  <c r="P910" i="6" s="1"/>
  <c r="P911" i="6" s="1"/>
  <c r="P912" i="6" s="1"/>
  <c r="P913" i="6" s="1"/>
  <c r="P914" i="6" s="1"/>
  <c r="P915" i="6" s="1"/>
  <c r="N916" i="6" s="1"/>
  <c r="Q873" i="6" s="1"/>
  <c r="P804" i="8"/>
  <c r="K1148" i="6"/>
  <c r="M1148" i="6" s="1"/>
  <c r="L1190" i="6"/>
  <c r="N948" i="6"/>
  <c r="P948" i="6" s="1"/>
  <c r="BT230" i="11"/>
  <c r="BU230" i="11" s="1"/>
  <c r="U528" i="7"/>
  <c r="P419" i="8"/>
  <c r="Q419" i="8" s="1"/>
  <c r="S419" i="8" s="1"/>
  <c r="P586" i="7"/>
  <c r="Q586" i="7" s="1"/>
  <c r="R641" i="7"/>
  <c r="U697" i="8"/>
  <c r="O279" i="11"/>
  <c r="S279" i="11" s="1"/>
  <c r="P279" i="11"/>
  <c r="T142" i="8"/>
  <c r="Q309" i="7"/>
  <c r="R309" i="7" s="1"/>
  <c r="P366" i="8"/>
  <c r="Q366" i="8" s="1"/>
  <c r="S366" i="8" s="1"/>
  <c r="V750" i="7"/>
  <c r="S750" i="7"/>
  <c r="U750" i="7" s="1"/>
  <c r="P753" i="8"/>
  <c r="Q753" i="8" s="1"/>
  <c r="Q311" i="8"/>
  <c r="R311" i="8" s="1"/>
  <c r="P257" i="7"/>
  <c r="Q257" i="7" s="1"/>
  <c r="V257" i="7" s="1"/>
  <c r="O1408" i="6"/>
  <c r="P916" i="7"/>
  <c r="O615" i="6"/>
  <c r="U474" i="8"/>
  <c r="P856" i="8"/>
  <c r="Q856" i="8" s="1"/>
  <c r="U198" i="12"/>
  <c r="P855" i="6"/>
  <c r="V863" i="7"/>
  <c r="R863" i="7"/>
  <c r="T863" i="7" s="1"/>
  <c r="Q145" i="12"/>
  <c r="P804" i="7"/>
  <c r="Q804" i="7" s="1"/>
  <c r="S804" i="7" s="1"/>
  <c r="P641" i="8"/>
  <c r="Q641" i="8" s="1"/>
  <c r="S641" i="8" s="1"/>
  <c r="Q643" i="6"/>
  <c r="R643" i="6" s="1"/>
  <c r="T803" i="8"/>
  <c r="D1933" i="6" l="1"/>
  <c r="B1934" i="6"/>
  <c r="E1933" i="6"/>
  <c r="C1934" i="6"/>
  <c r="C2067" i="6"/>
  <c r="B2068" i="6" s="1"/>
  <c r="T641" i="7"/>
  <c r="M231" i="11"/>
  <c r="R231" i="11" s="1"/>
  <c r="K231" i="11"/>
  <c r="Q231" i="11" s="1"/>
  <c r="X231" i="11" s="1"/>
  <c r="L231" i="11"/>
  <c r="P231" i="11"/>
  <c r="N231" i="11"/>
  <c r="U231" i="11" s="1"/>
  <c r="O231" i="11"/>
  <c r="S231" i="11" s="1"/>
  <c r="R2906" i="6"/>
  <c r="S2906" i="6"/>
  <c r="T1081" i="8"/>
  <c r="B2003" i="6"/>
  <c r="D2002" i="6"/>
  <c r="U254" i="8"/>
  <c r="S643" i="6"/>
  <c r="P1206" i="6"/>
  <c r="D2132" i="6"/>
  <c r="B2133" i="6"/>
  <c r="E2132" i="6"/>
  <c r="BJ232" i="11"/>
  <c r="BI232" i="11"/>
  <c r="BH232" i="11"/>
  <c r="BG232" i="11"/>
  <c r="BE232" i="11"/>
  <c r="BK232" i="11"/>
  <c r="BF232" i="11"/>
  <c r="O998" i="6"/>
  <c r="N999" i="6" s="1"/>
  <c r="O999" i="6" s="1"/>
  <c r="O1000" i="6" s="1"/>
  <c r="O1001" i="6" s="1"/>
  <c r="O1002" i="6" s="1"/>
  <c r="O1003" i="6" s="1"/>
  <c r="O1004" i="6" s="1"/>
  <c r="O1005" i="6" s="1"/>
  <c r="O1006" i="6" s="1"/>
  <c r="O1007" i="6" s="1"/>
  <c r="O1008" i="6" s="1"/>
  <c r="O1009" i="6" s="1"/>
  <c r="E2198" i="6"/>
  <c r="D2198" i="6"/>
  <c r="B2199" i="6"/>
  <c r="D2067" i="6"/>
  <c r="R875" i="6"/>
  <c r="N1207" i="6"/>
  <c r="O1207" i="6" s="1"/>
  <c r="BX230" i="11"/>
  <c r="BW230" i="11"/>
  <c r="CC230" i="11" s="1"/>
  <c r="BZ230" i="11"/>
  <c r="BY230" i="11"/>
  <c r="CD230" i="11" s="1"/>
  <c r="CG230" i="11" s="1"/>
  <c r="U804" i="7"/>
  <c r="R856" i="8"/>
  <c r="V856" i="8"/>
  <c r="R257" i="7"/>
  <c r="P1026" i="8"/>
  <c r="Q1026" i="8" s="1"/>
  <c r="P203" i="8"/>
  <c r="Q203" i="8" s="1"/>
  <c r="P477" i="7"/>
  <c r="P475" i="8"/>
  <c r="Q475" i="8" s="1"/>
  <c r="P698" i="8"/>
  <c r="Q698" i="8" s="1"/>
  <c r="R753" i="8"/>
  <c r="V753" i="8"/>
  <c r="O710" i="6"/>
  <c r="T476" i="7"/>
  <c r="P751" i="7"/>
  <c r="N1443" i="6"/>
  <c r="P1443" i="6" s="1"/>
  <c r="R586" i="7"/>
  <c r="T586" i="7" s="1"/>
  <c r="V586" i="7"/>
  <c r="N279" i="11"/>
  <c r="U279" i="11" s="1"/>
  <c r="P1310" i="6"/>
  <c r="N1311" i="6" s="1"/>
  <c r="O1311" i="6" s="1"/>
  <c r="R419" i="8"/>
  <c r="T419" i="8" s="1"/>
  <c r="V419" i="8"/>
  <c r="U641" i="7"/>
  <c r="R1024" i="6"/>
  <c r="P257" i="12"/>
  <c r="P201" i="7"/>
  <c r="Q201" i="7" s="1"/>
  <c r="O761" i="6"/>
  <c r="U145" i="7"/>
  <c r="N616" i="6"/>
  <c r="P616" i="6" s="1"/>
  <c r="T279" i="11"/>
  <c r="S753" i="8"/>
  <c r="U753" i="8" s="1"/>
  <c r="P255" i="8"/>
  <c r="Q255" i="8" s="1"/>
  <c r="V255" i="8" s="1"/>
  <c r="S366" i="7"/>
  <c r="U366" i="7" s="1"/>
  <c r="V366" i="7"/>
  <c r="O948" i="6"/>
  <c r="P530" i="8"/>
  <c r="Q530" i="8" s="1"/>
  <c r="S530" i="8" s="1"/>
  <c r="N1409" i="6"/>
  <c r="P1409" i="6" s="1"/>
  <c r="L1525" i="6"/>
  <c r="S257" i="7"/>
  <c r="L1148" i="6"/>
  <c r="T256" i="12"/>
  <c r="P420" i="7"/>
  <c r="T419" i="7"/>
  <c r="Q143" i="8"/>
  <c r="S856" i="8"/>
  <c r="P529" i="7"/>
  <c r="Q529" i="7" s="1"/>
  <c r="Q916" i="7"/>
  <c r="R916" i="7" s="1"/>
  <c r="P1064" i="6"/>
  <c r="N1065" i="6" s="1"/>
  <c r="O1065" i="6" s="1"/>
  <c r="S145" i="12"/>
  <c r="V145" i="12"/>
  <c r="S586" i="7"/>
  <c r="AN283" i="11"/>
  <c r="AO283" i="11" s="1"/>
  <c r="K1191" i="6"/>
  <c r="M1191" i="6" s="1"/>
  <c r="P970" i="8"/>
  <c r="Q970" i="8" s="1"/>
  <c r="S970" i="8" s="1"/>
  <c r="N1358" i="6"/>
  <c r="P1358" i="6" s="1"/>
  <c r="Q644" i="6"/>
  <c r="R644" i="6" s="1"/>
  <c r="P199" i="12"/>
  <c r="Q199" i="12" s="1"/>
  <c r="S199" i="12"/>
  <c r="V366" i="8"/>
  <c r="R366" i="8"/>
  <c r="T366" i="8" s="1"/>
  <c r="P915" i="8"/>
  <c r="Q915" i="8" s="1"/>
  <c r="S915" i="8"/>
  <c r="Q586" i="8"/>
  <c r="R586" i="8" s="1"/>
  <c r="T231" i="11"/>
  <c r="W231" i="11"/>
  <c r="P308" i="12"/>
  <c r="Q308" i="12" s="1"/>
  <c r="S308" i="12"/>
  <c r="V311" i="8"/>
  <c r="S311" i="8"/>
  <c r="U311" i="8" s="1"/>
  <c r="V641" i="8"/>
  <c r="R641" i="8"/>
  <c r="T641" i="8" s="1"/>
  <c r="V804" i="7"/>
  <c r="R804" i="7"/>
  <c r="T804" i="7" s="1"/>
  <c r="R145" i="12"/>
  <c r="Q804" i="8"/>
  <c r="P856" i="6"/>
  <c r="S309" i="7"/>
  <c r="U309" i="7" s="1"/>
  <c r="V309" i="7"/>
  <c r="CA230" i="11"/>
  <c r="CE230" i="11" s="1"/>
  <c r="CB230" i="11"/>
  <c r="K1290" i="6"/>
  <c r="M1290" i="6" s="1"/>
  <c r="T750" i="7"/>
  <c r="Q787" i="6"/>
  <c r="R787" i="6" s="1"/>
  <c r="V696" i="7"/>
  <c r="S696" i="7"/>
  <c r="U696" i="7" s="1"/>
  <c r="U863" i="7"/>
  <c r="U1081" i="8"/>
  <c r="Q2907" i="6" l="1"/>
  <c r="R2907" i="6" s="1"/>
  <c r="U856" i="8"/>
  <c r="C2133" i="6"/>
  <c r="B2134" i="6" s="1"/>
  <c r="E2067" i="6"/>
  <c r="V231" i="11"/>
  <c r="S2907" i="6"/>
  <c r="C2068" i="6"/>
  <c r="B2069" i="6" s="1"/>
  <c r="P1207" i="6"/>
  <c r="B1935" i="6"/>
  <c r="D1934" i="6"/>
  <c r="E1934" i="6"/>
  <c r="C1935" i="6"/>
  <c r="AG279" i="11"/>
  <c r="AE279" i="11" s="1"/>
  <c r="C2003" i="6"/>
  <c r="B2004" i="6" s="1"/>
  <c r="E2003" i="6"/>
  <c r="D2003" i="6"/>
  <c r="D2133" i="6"/>
  <c r="P999" i="6"/>
  <c r="P1000" i="6" s="1"/>
  <c r="P1001" i="6" s="1"/>
  <c r="P1002" i="6" s="1"/>
  <c r="P1003" i="6" s="1"/>
  <c r="P1004" i="6" s="1"/>
  <c r="P1005" i="6" s="1"/>
  <c r="P1006" i="6" s="1"/>
  <c r="P1007" i="6" s="1"/>
  <c r="P1008" i="6" s="1"/>
  <c r="P1009" i="6" s="1"/>
  <c r="N1010" i="6" s="1"/>
  <c r="Q967" i="6" s="1"/>
  <c r="R969" i="6" s="1"/>
  <c r="U419" i="8"/>
  <c r="P420" i="8" s="1"/>
  <c r="Q420" i="8" s="1"/>
  <c r="AJ233" i="11"/>
  <c r="U145" i="12"/>
  <c r="P146" i="12" s="1"/>
  <c r="S787" i="6"/>
  <c r="Q788" i="6" s="1"/>
  <c r="R788" i="6" s="1"/>
  <c r="BL232" i="11"/>
  <c r="AP233" i="11" s="1"/>
  <c r="AI233" i="11"/>
  <c r="AK233" i="11"/>
  <c r="U257" i="7"/>
  <c r="P258" i="7" s="1"/>
  <c r="T696" i="7"/>
  <c r="E2068" i="6"/>
  <c r="D2068" i="6"/>
  <c r="C2199" i="6"/>
  <c r="V529" i="7"/>
  <c r="R529" i="7"/>
  <c r="S529" i="7"/>
  <c r="N1208" i="6"/>
  <c r="O1208" i="6" s="1"/>
  <c r="Q2908" i="6"/>
  <c r="R2908" i="6" s="1"/>
  <c r="AA279" i="11"/>
  <c r="W280" i="11"/>
  <c r="AD279" i="11"/>
  <c r="AS283" i="11"/>
  <c r="AX283" i="11" s="1"/>
  <c r="AT283" i="11"/>
  <c r="AQ283" i="11"/>
  <c r="AW283" i="11" s="1"/>
  <c r="AU283" i="11"/>
  <c r="AY283" i="11" s="1"/>
  <c r="AV283" i="11"/>
  <c r="AR283" i="11"/>
  <c r="L1191" i="6"/>
  <c r="K1149" i="6"/>
  <c r="M1149" i="6" s="1"/>
  <c r="V1026" i="8"/>
  <c r="R1026" i="8"/>
  <c r="Q751" i="7"/>
  <c r="R751" i="7" s="1"/>
  <c r="P805" i="7"/>
  <c r="V915" i="8"/>
  <c r="R915" i="8"/>
  <c r="T915" i="8" s="1"/>
  <c r="R203" i="8"/>
  <c r="V203" i="8"/>
  <c r="R255" i="8"/>
  <c r="S203" i="8"/>
  <c r="S255" i="8"/>
  <c r="Q477" i="7"/>
  <c r="R477" i="7" s="1"/>
  <c r="P310" i="7"/>
  <c r="L1290" i="6"/>
  <c r="V916" i="7"/>
  <c r="S916" i="7"/>
  <c r="U916" i="7" s="1"/>
  <c r="O1443" i="6"/>
  <c r="P367" i="7"/>
  <c r="P312" i="8"/>
  <c r="Q1025" i="6"/>
  <c r="S1025" i="6" s="1"/>
  <c r="V199" i="12"/>
  <c r="R199" i="12"/>
  <c r="T199" i="12" s="1"/>
  <c r="R308" i="12"/>
  <c r="T308" i="12" s="1"/>
  <c r="V308" i="12"/>
  <c r="O616" i="6"/>
  <c r="U641" i="8"/>
  <c r="P864" i="7"/>
  <c r="Q864" i="7" s="1"/>
  <c r="P146" i="7"/>
  <c r="Q146" i="7" s="1"/>
  <c r="S146" i="7" s="1"/>
  <c r="AG231" i="11"/>
  <c r="Q257" i="12"/>
  <c r="R257" i="12" s="1"/>
  <c r="P857" i="8"/>
  <c r="P754" i="8"/>
  <c r="S1026" i="8"/>
  <c r="T257" i="7"/>
  <c r="V804" i="8"/>
  <c r="S804" i="8"/>
  <c r="T856" i="8"/>
  <c r="T366" i="7"/>
  <c r="V143" i="8"/>
  <c r="S143" i="8"/>
  <c r="T753" i="8"/>
  <c r="P697" i="7"/>
  <c r="V698" i="8"/>
  <c r="R698" i="8"/>
  <c r="T145" i="12"/>
  <c r="T309" i="7"/>
  <c r="S698" i="8"/>
  <c r="Q420" i="7"/>
  <c r="R420" i="7" s="1"/>
  <c r="R530" i="8"/>
  <c r="T530" i="8" s="1"/>
  <c r="V530" i="8"/>
  <c r="N762" i="6"/>
  <c r="P762" i="6" s="1"/>
  <c r="P1311" i="6"/>
  <c r="N1312" i="6" s="1"/>
  <c r="O1312" i="6" s="1"/>
  <c r="R475" i="8"/>
  <c r="V475" i="8"/>
  <c r="U308" i="12"/>
  <c r="CF230" i="11"/>
  <c r="CI230" i="11" s="1"/>
  <c r="CJ230" i="11"/>
  <c r="N711" i="6"/>
  <c r="P711" i="6" s="1"/>
  <c r="P1082" i="8"/>
  <c r="Q1082" i="8" s="1"/>
  <c r="S1082" i="8"/>
  <c r="S644" i="6"/>
  <c r="O1358" i="6"/>
  <c r="S875" i="6"/>
  <c r="R143" i="8"/>
  <c r="O1409" i="6"/>
  <c r="U530" i="8"/>
  <c r="P1065" i="6"/>
  <c r="N1066" i="6" s="1"/>
  <c r="O1066" i="6" s="1"/>
  <c r="U366" i="8"/>
  <c r="N949" i="6"/>
  <c r="P949" i="6" s="1"/>
  <c r="V201" i="7"/>
  <c r="R201" i="7"/>
  <c r="T201" i="7" s="1"/>
  <c r="S475" i="8"/>
  <c r="P642" i="7"/>
  <c r="Q642" i="7" s="1"/>
  <c r="S642" i="7" s="1"/>
  <c r="U586" i="7"/>
  <c r="K1526" i="6"/>
  <c r="M1526" i="6" s="1"/>
  <c r="R804" i="8"/>
  <c r="N857" i="6"/>
  <c r="O857" i="6" s="1"/>
  <c r="Q805" i="7"/>
  <c r="V805" i="7" s="1"/>
  <c r="V586" i="8"/>
  <c r="S586" i="8"/>
  <c r="U586" i="8" s="1"/>
  <c r="R970" i="8"/>
  <c r="T970" i="8" s="1"/>
  <c r="V970" i="8"/>
  <c r="S201" i="7"/>
  <c r="T311" i="8"/>
  <c r="V280" i="11" l="1"/>
  <c r="T475" i="8"/>
  <c r="E2133" i="6"/>
  <c r="Z279" i="11"/>
  <c r="C2004" i="6"/>
  <c r="E2004" i="6" s="1"/>
  <c r="T1026" i="8"/>
  <c r="AB279" i="11"/>
  <c r="AC279" i="11"/>
  <c r="B1936" i="6"/>
  <c r="E1935" i="6"/>
  <c r="D1935" i="6"/>
  <c r="C1936" i="6" s="1"/>
  <c r="S788" i="6"/>
  <c r="Q789" i="6" s="1"/>
  <c r="R789" i="6" s="1"/>
  <c r="Q697" i="7"/>
  <c r="V697" i="7" s="1"/>
  <c r="X280" i="11"/>
  <c r="C2134" i="6"/>
  <c r="B2135" i="6" s="1"/>
  <c r="Y279" i="11"/>
  <c r="AF279" i="11" s="1"/>
  <c r="T255" i="8"/>
  <c r="AL233" i="11"/>
  <c r="P857" i="6"/>
  <c r="N858" i="6" s="1"/>
  <c r="T698" i="8"/>
  <c r="S2908" i="6"/>
  <c r="Q2909" i="6" s="1"/>
  <c r="C2069" i="6"/>
  <c r="AN233" i="11"/>
  <c r="AO233" i="11"/>
  <c r="AR233" i="11" s="1"/>
  <c r="AQ233" i="11"/>
  <c r="AW233" i="11" s="1"/>
  <c r="AZ233" i="11" s="1"/>
  <c r="T143" i="8"/>
  <c r="D2134" i="6"/>
  <c r="O711" i="6"/>
  <c r="T529" i="7"/>
  <c r="T203" i="8"/>
  <c r="AM233" i="11"/>
  <c r="T804" i="8"/>
  <c r="D2199" i="6"/>
  <c r="B2200" i="6"/>
  <c r="E2199" i="6"/>
  <c r="CH230" i="11"/>
  <c r="CS230" i="11" s="1"/>
  <c r="R420" i="8"/>
  <c r="S420" i="8"/>
  <c r="V420" i="8"/>
  <c r="T477" i="7"/>
  <c r="N1444" i="6"/>
  <c r="P1444" i="6" s="1"/>
  <c r="P642" i="8"/>
  <c r="Q642" i="8" s="1"/>
  <c r="S642" i="8" s="1"/>
  <c r="R864" i="7"/>
  <c r="V864" i="7"/>
  <c r="P587" i="8"/>
  <c r="L1526" i="6"/>
  <c r="K1527" i="6" s="1"/>
  <c r="N1484" i="6" s="1"/>
  <c r="P917" i="7"/>
  <c r="P587" i="7"/>
  <c r="Q587" i="7" s="1"/>
  <c r="K1291" i="6"/>
  <c r="M1291" i="6" s="1"/>
  <c r="T916" i="7"/>
  <c r="N1359" i="6"/>
  <c r="P1359" i="6" s="1"/>
  <c r="P1208" i="6"/>
  <c r="V1082" i="8"/>
  <c r="R1082" i="8"/>
  <c r="T1082" i="8" s="1"/>
  <c r="P367" i="8"/>
  <c r="Q367" i="8" s="1"/>
  <c r="S367" i="8" s="1"/>
  <c r="U199" i="12"/>
  <c r="S805" i="7"/>
  <c r="K1192" i="6"/>
  <c r="M1192" i="6" s="1"/>
  <c r="R642" i="7"/>
  <c r="T642" i="7" s="1"/>
  <c r="V642" i="7"/>
  <c r="R805" i="7"/>
  <c r="T805" i="7" s="1"/>
  <c r="Q876" i="6"/>
  <c r="R876" i="6" s="1"/>
  <c r="Q309" i="12"/>
  <c r="V309" i="12" s="1"/>
  <c r="S969" i="6"/>
  <c r="O762" i="6"/>
  <c r="Q857" i="8"/>
  <c r="R857" i="8" s="1"/>
  <c r="AZ283" i="11"/>
  <c r="V477" i="7"/>
  <c r="S477" i="7"/>
  <c r="U477" i="7" s="1"/>
  <c r="U804" i="8"/>
  <c r="U915" i="8"/>
  <c r="O949" i="6"/>
  <c r="AE231" i="11"/>
  <c r="AD231" i="11"/>
  <c r="AC231" i="11"/>
  <c r="AB231" i="11"/>
  <c r="Z231" i="11"/>
  <c r="AA231" i="11"/>
  <c r="Y231" i="11"/>
  <c r="Q312" i="8"/>
  <c r="R312" i="8" s="1"/>
  <c r="N712" i="6"/>
  <c r="P712" i="6" s="1"/>
  <c r="U698" i="8"/>
  <c r="Q258" i="7"/>
  <c r="R146" i="7"/>
  <c r="T146" i="7" s="1"/>
  <c r="V146" i="7"/>
  <c r="U529" i="7"/>
  <c r="N1410" i="6"/>
  <c r="P1410" i="6" s="1"/>
  <c r="P309" i="12"/>
  <c r="T586" i="8"/>
  <c r="U143" i="8"/>
  <c r="U475" i="8"/>
  <c r="Q367" i="7"/>
  <c r="R367" i="7" s="1"/>
  <c r="BA283" i="11"/>
  <c r="Q310" i="7"/>
  <c r="U1026" i="8"/>
  <c r="U970" i="8"/>
  <c r="P531" i="8"/>
  <c r="Q531" i="8" s="1"/>
  <c r="N617" i="6"/>
  <c r="P617" i="6" s="1"/>
  <c r="Q754" i="8"/>
  <c r="R754" i="8" s="1"/>
  <c r="P1312" i="6"/>
  <c r="V257" i="12"/>
  <c r="S257" i="12"/>
  <c r="U257" i="12" s="1"/>
  <c r="L1149" i="6"/>
  <c r="R1025" i="6"/>
  <c r="D280" i="11"/>
  <c r="S420" i="7"/>
  <c r="U420" i="7" s="1"/>
  <c r="V420" i="7"/>
  <c r="U255" i="8"/>
  <c r="U201" i="7"/>
  <c r="P1066" i="6"/>
  <c r="N1067" i="6" s="1"/>
  <c r="O1067" i="6" s="1"/>
  <c r="Q146" i="12"/>
  <c r="S864" i="7"/>
  <c r="U203" i="8"/>
  <c r="V751" i="7"/>
  <c r="S751" i="7"/>
  <c r="U751" i="7" s="1"/>
  <c r="Q645" i="6"/>
  <c r="R645" i="6" s="1"/>
  <c r="J280" i="11" l="1"/>
  <c r="F280" i="11"/>
  <c r="R2909" i="6"/>
  <c r="Q2910" i="6" s="1"/>
  <c r="S2910" i="6" s="1"/>
  <c r="S2909" i="6"/>
  <c r="E2134" i="6"/>
  <c r="C2135" i="6" s="1"/>
  <c r="C280" i="11"/>
  <c r="D2004" i="6"/>
  <c r="B1937" i="6"/>
  <c r="E1936" i="6"/>
  <c r="D1936" i="6"/>
  <c r="C1937" i="6" s="1"/>
  <c r="S697" i="7"/>
  <c r="U864" i="7"/>
  <c r="R697" i="7"/>
  <c r="T697" i="7" s="1"/>
  <c r="U146" i="7"/>
  <c r="P147" i="7" s="1"/>
  <c r="Q147" i="7" s="1"/>
  <c r="B2005" i="6"/>
  <c r="O858" i="6"/>
  <c r="O859" i="6" s="1"/>
  <c r="O860" i="6" s="1"/>
  <c r="O861" i="6" s="1"/>
  <c r="O862" i="6" s="1"/>
  <c r="O863" i="6" s="1"/>
  <c r="O864" i="6" s="1"/>
  <c r="O865" i="6" s="1"/>
  <c r="O866" i="6" s="1"/>
  <c r="O867" i="6" s="1"/>
  <c r="O868" i="6" s="1"/>
  <c r="N869" i="6" s="1"/>
  <c r="Q826" i="6" s="1"/>
  <c r="R828" i="6" s="1"/>
  <c r="P858" i="6"/>
  <c r="P859" i="6" s="1"/>
  <c r="P860" i="6" s="1"/>
  <c r="P861" i="6" s="1"/>
  <c r="P862" i="6" s="1"/>
  <c r="P863" i="6" s="1"/>
  <c r="P864" i="6" s="1"/>
  <c r="P865" i="6" s="1"/>
  <c r="P866" i="6" s="1"/>
  <c r="P867" i="6" s="1"/>
  <c r="P868" i="6" s="1"/>
  <c r="T420" i="7"/>
  <c r="AV233" i="11"/>
  <c r="AU233" i="11"/>
  <c r="AY233" i="11" s="1"/>
  <c r="BD233" i="11" s="1"/>
  <c r="T751" i="7"/>
  <c r="D2069" i="6"/>
  <c r="E2069" i="6"/>
  <c r="B2070" i="6"/>
  <c r="C2200" i="6"/>
  <c r="AS233" i="11"/>
  <c r="AX233" i="11" s="1"/>
  <c r="AT233" i="11"/>
  <c r="G280" i="11"/>
  <c r="U697" i="7"/>
  <c r="P698" i="7" s="1"/>
  <c r="U420" i="8"/>
  <c r="S531" i="8"/>
  <c r="V531" i="8"/>
  <c r="R531" i="8"/>
  <c r="Q587" i="8"/>
  <c r="R587" i="8" s="1"/>
  <c r="AF231" i="11"/>
  <c r="J232" i="11" s="1"/>
  <c r="C232" i="11"/>
  <c r="E232" i="11"/>
  <c r="O1444" i="6"/>
  <c r="P476" i="8"/>
  <c r="Q476" i="8" s="1"/>
  <c r="S476" i="8" s="1"/>
  <c r="P421" i="8"/>
  <c r="P1027" i="8"/>
  <c r="Q1027" i="8" s="1"/>
  <c r="S1027" i="8" s="1"/>
  <c r="S310" i="7"/>
  <c r="V310" i="7"/>
  <c r="R310" i="7"/>
  <c r="T310" i="7" s="1"/>
  <c r="O1486" i="6"/>
  <c r="U1082" i="8"/>
  <c r="O1359" i="6"/>
  <c r="O617" i="6"/>
  <c r="BM283" i="11"/>
  <c r="P699" i="8"/>
  <c r="Q699" i="8" s="1"/>
  <c r="N950" i="6"/>
  <c r="P950" i="6" s="1"/>
  <c r="Q970" i="6"/>
  <c r="R970" i="6" s="1"/>
  <c r="L1192" i="6"/>
  <c r="N1313" i="6"/>
  <c r="O1313" i="6" s="1"/>
  <c r="P805" i="8"/>
  <c r="Q805" i="8" s="1"/>
  <c r="S805" i="8" s="1"/>
  <c r="P258" i="12"/>
  <c r="S789" i="6"/>
  <c r="L1291" i="6"/>
  <c r="K1292" i="6" s="1"/>
  <c r="N1249" i="6" s="1"/>
  <c r="P202" i="7"/>
  <c r="Q202" i="7" s="1"/>
  <c r="V587" i="7"/>
  <c r="R587" i="7"/>
  <c r="V258" i="7"/>
  <c r="S258" i="7"/>
  <c r="P752" i="7"/>
  <c r="Q752" i="7" s="1"/>
  <c r="U805" i="7"/>
  <c r="T864" i="7"/>
  <c r="V146" i="12"/>
  <c r="S146" i="12"/>
  <c r="Q917" i="7"/>
  <c r="R146" i="12"/>
  <c r="P1067" i="6"/>
  <c r="R309" i="12"/>
  <c r="S309" i="12"/>
  <c r="U309" i="12" s="1"/>
  <c r="CQ230" i="11"/>
  <c r="CP230" i="11"/>
  <c r="CO230" i="11"/>
  <c r="CN230" i="11"/>
  <c r="CL230" i="11"/>
  <c r="CK230" i="11"/>
  <c r="CM230" i="11"/>
  <c r="P256" i="8"/>
  <c r="Q256" i="8" s="1"/>
  <c r="O1410" i="6"/>
  <c r="G232" i="11"/>
  <c r="T420" i="8"/>
  <c r="P144" i="8"/>
  <c r="Q144" i="8" s="1"/>
  <c r="S144" i="8" s="1"/>
  <c r="Q1026" i="6"/>
  <c r="S1026" i="6" s="1"/>
  <c r="P204" i="8"/>
  <c r="Q204" i="8" s="1"/>
  <c r="S204" i="8" s="1"/>
  <c r="S645" i="6"/>
  <c r="E280" i="11"/>
  <c r="O712" i="6"/>
  <c r="P916" i="8"/>
  <c r="Q916" i="8" s="1"/>
  <c r="S916" i="8" s="1"/>
  <c r="P200" i="12"/>
  <c r="Q200" i="12" s="1"/>
  <c r="S200" i="12" s="1"/>
  <c r="N1209" i="6"/>
  <c r="O1209" i="6" s="1"/>
  <c r="V367" i="8"/>
  <c r="R367" i="8"/>
  <c r="T367" i="8" s="1"/>
  <c r="D232" i="11"/>
  <c r="F232" i="11"/>
  <c r="V367" i="7"/>
  <c r="S367" i="7"/>
  <c r="U367" i="7" s="1"/>
  <c r="S876" i="6"/>
  <c r="P971" i="8"/>
  <c r="Q971" i="8" s="1"/>
  <c r="P478" i="7"/>
  <c r="Q478" i="7" s="1"/>
  <c r="S587" i="7"/>
  <c r="S754" i="8"/>
  <c r="U754" i="8" s="1"/>
  <c r="V754" i="8"/>
  <c r="P530" i="7"/>
  <c r="Q530" i="7" s="1"/>
  <c r="P421" i="7"/>
  <c r="S857" i="8"/>
  <c r="U857" i="8" s="1"/>
  <c r="V857" i="8"/>
  <c r="U642" i="7"/>
  <c r="N763" i="6"/>
  <c r="P763" i="6" s="1"/>
  <c r="R258" i="7"/>
  <c r="P865" i="7"/>
  <c r="K1150" i="6"/>
  <c r="M1150" i="6" s="1"/>
  <c r="S312" i="8"/>
  <c r="U312" i="8" s="1"/>
  <c r="V312" i="8"/>
  <c r="V642" i="8"/>
  <c r="R642" i="8"/>
  <c r="T642" i="8" s="1"/>
  <c r="T257" i="12"/>
  <c r="B1938" i="6" l="1"/>
  <c r="D1937" i="6"/>
  <c r="E1937" i="6"/>
  <c r="C1938" i="6"/>
  <c r="Q421" i="7"/>
  <c r="V421" i="7" s="1"/>
  <c r="T367" i="7"/>
  <c r="C2005" i="6"/>
  <c r="U587" i="7"/>
  <c r="U258" i="7"/>
  <c r="P1209" i="6"/>
  <c r="N1210" i="6" s="1"/>
  <c r="O1210" i="6" s="1"/>
  <c r="U531" i="8"/>
  <c r="P1313" i="6"/>
  <c r="N1314" i="6" s="1"/>
  <c r="O1314" i="6" s="1"/>
  <c r="C2070" i="6"/>
  <c r="B2136" i="6"/>
  <c r="E2135" i="6"/>
  <c r="D2135" i="6"/>
  <c r="BA233" i="11"/>
  <c r="BC233" i="11"/>
  <c r="BB233" i="11" s="1"/>
  <c r="S970" i="6"/>
  <c r="U642" i="8"/>
  <c r="P643" i="8" s="1"/>
  <c r="Q643" i="8" s="1"/>
  <c r="T146" i="12"/>
  <c r="B2201" i="6"/>
  <c r="E2200" i="6"/>
  <c r="D2200" i="6"/>
  <c r="U200" i="12"/>
  <c r="R147" i="7"/>
  <c r="V147" i="7"/>
  <c r="S147" i="7"/>
  <c r="U147" i="7" s="1"/>
  <c r="V752" i="7"/>
  <c r="R752" i="7"/>
  <c r="S752" i="7"/>
  <c r="U752" i="7" s="1"/>
  <c r="V478" i="7"/>
  <c r="R478" i="7"/>
  <c r="S478" i="7"/>
  <c r="U478" i="7" s="1"/>
  <c r="U1027" i="8"/>
  <c r="S421" i="7"/>
  <c r="P532" i="8"/>
  <c r="P313" i="8"/>
  <c r="V202" i="7"/>
  <c r="R202" i="7"/>
  <c r="L1150" i="6"/>
  <c r="K1151" i="6" s="1"/>
  <c r="N1108" i="6" s="1"/>
  <c r="O1251" i="6"/>
  <c r="P310" i="12"/>
  <c r="N618" i="6"/>
  <c r="P618" i="6" s="1"/>
  <c r="P755" i="8"/>
  <c r="T258" i="7"/>
  <c r="U310" i="7"/>
  <c r="V917" i="7"/>
  <c r="S917" i="7"/>
  <c r="R805" i="8"/>
  <c r="T805" i="8" s="1"/>
  <c r="V805" i="8"/>
  <c r="Q421" i="8"/>
  <c r="R421" i="8" s="1"/>
  <c r="Q877" i="6"/>
  <c r="R877" i="6" s="1"/>
  <c r="R530" i="7"/>
  <c r="V530" i="7"/>
  <c r="N1411" i="6"/>
  <c r="P1411" i="6" s="1"/>
  <c r="S202" i="7"/>
  <c r="V256" i="8"/>
  <c r="R256" i="8"/>
  <c r="CR230" i="11"/>
  <c r="BV231" i="11" s="1"/>
  <c r="BO231" i="11"/>
  <c r="N1445" i="6"/>
  <c r="P1445" i="6" s="1"/>
  <c r="R421" i="7"/>
  <c r="V916" i="8"/>
  <c r="R916" i="8"/>
  <c r="T916" i="8" s="1"/>
  <c r="N713" i="6"/>
  <c r="P713" i="6" s="1"/>
  <c r="Q698" i="7"/>
  <c r="P368" i="7"/>
  <c r="Q368" i="7" s="1"/>
  <c r="P259" i="7"/>
  <c r="S646" i="6"/>
  <c r="H232" i="11"/>
  <c r="I232" i="11" s="1"/>
  <c r="L232" i="11" s="1"/>
  <c r="R2910" i="6"/>
  <c r="T309" i="12"/>
  <c r="BP231" i="11"/>
  <c r="BR231" i="11"/>
  <c r="Q646" i="6"/>
  <c r="R646" i="6" s="1"/>
  <c r="R1026" i="6"/>
  <c r="V1027" i="8"/>
  <c r="R1027" i="8"/>
  <c r="T1027" i="8" s="1"/>
  <c r="O763" i="6"/>
  <c r="R917" i="7"/>
  <c r="T917" i="7" s="1"/>
  <c r="P1083" i="8"/>
  <c r="Q1083" i="8" s="1"/>
  <c r="S1083" i="8" s="1"/>
  <c r="T312" i="8"/>
  <c r="V971" i="8"/>
  <c r="R971" i="8"/>
  <c r="V144" i="8"/>
  <c r="R144" i="8"/>
  <c r="T144" i="8" s="1"/>
  <c r="U146" i="12"/>
  <c r="T857" i="8"/>
  <c r="P858" i="8"/>
  <c r="P1486" i="6"/>
  <c r="O950" i="6"/>
  <c r="R699" i="8"/>
  <c r="V699" i="8"/>
  <c r="Q258" i="12"/>
  <c r="R258" i="12" s="1"/>
  <c r="S699" i="8"/>
  <c r="S530" i="7"/>
  <c r="H280" i="11"/>
  <c r="I280" i="11" s="1"/>
  <c r="BF283" i="11"/>
  <c r="BE283" i="11"/>
  <c r="BI283" i="11"/>
  <c r="BD284" i="11"/>
  <c r="BB284" i="11"/>
  <c r="BC284" i="11"/>
  <c r="BK283" i="11"/>
  <c r="BJ283" i="11"/>
  <c r="BH283" i="11"/>
  <c r="BG283" i="11"/>
  <c r="S256" i="8"/>
  <c r="R204" i="8"/>
  <c r="T204" i="8" s="1"/>
  <c r="V204" i="8"/>
  <c r="P588" i="7"/>
  <c r="V587" i="8"/>
  <c r="S587" i="8"/>
  <c r="U587" i="8" s="1"/>
  <c r="S828" i="6"/>
  <c r="Q829" i="6" s="1"/>
  <c r="R829" i="6" s="1"/>
  <c r="N1360" i="6"/>
  <c r="P1360" i="6" s="1"/>
  <c r="U144" i="8"/>
  <c r="S971" i="8"/>
  <c r="U367" i="8"/>
  <c r="K1193" i="6"/>
  <c r="M1193" i="6" s="1"/>
  <c r="N1068" i="6"/>
  <c r="O1068" i="6" s="1"/>
  <c r="P643" i="7"/>
  <c r="Q643" i="7" s="1"/>
  <c r="Q865" i="7"/>
  <c r="R865" i="7" s="1"/>
  <c r="Q971" i="6"/>
  <c r="R971" i="6" s="1"/>
  <c r="V200" i="12"/>
  <c r="R200" i="12"/>
  <c r="T200" i="12" s="1"/>
  <c r="P806" i="7"/>
  <c r="Q806" i="7" s="1"/>
  <c r="T587" i="7"/>
  <c r="V476" i="8"/>
  <c r="R476" i="8"/>
  <c r="T476" i="8" s="1"/>
  <c r="T531" i="8"/>
  <c r="Q790" i="6"/>
  <c r="R790" i="6" s="1"/>
  <c r="T754" i="8"/>
  <c r="T421" i="7" l="1"/>
  <c r="C2201" i="6"/>
  <c r="P1314" i="6"/>
  <c r="D1938" i="6"/>
  <c r="B1939" i="6"/>
  <c r="E1938" i="6"/>
  <c r="C1939" i="6"/>
  <c r="BS231" i="11"/>
  <c r="T587" i="8"/>
  <c r="C2136" i="6"/>
  <c r="D2136" i="6" s="1"/>
  <c r="D2005" i="6"/>
  <c r="E2005" i="6"/>
  <c r="B2006" i="6"/>
  <c r="C2006" i="6"/>
  <c r="S971" i="6"/>
  <c r="R643" i="8"/>
  <c r="V643" i="8"/>
  <c r="T202" i="7"/>
  <c r="O232" i="11"/>
  <c r="S232" i="11" s="1"/>
  <c r="U971" i="8"/>
  <c r="P972" i="8" s="1"/>
  <c r="BM233" i="11"/>
  <c r="T699" i="8"/>
  <c r="B2071" i="6"/>
  <c r="D2070" i="6"/>
  <c r="E2070" i="6"/>
  <c r="M232" i="11"/>
  <c r="R232" i="11" s="1"/>
  <c r="N232" i="11"/>
  <c r="O713" i="6"/>
  <c r="E2201" i="6"/>
  <c r="D2201" i="6"/>
  <c r="B2202" i="6"/>
  <c r="C2202" i="6" s="1"/>
  <c r="P1210" i="6"/>
  <c r="N1211" i="6" s="1"/>
  <c r="U256" i="8"/>
  <c r="P257" i="8" s="1"/>
  <c r="T530" i="7"/>
  <c r="N1315" i="6"/>
  <c r="O1315" i="6" s="1"/>
  <c r="O280" i="11"/>
  <c r="S280" i="11" s="1"/>
  <c r="P280" i="11"/>
  <c r="M280" i="11"/>
  <c r="R280" i="11" s="1"/>
  <c r="N280" i="11"/>
  <c r="L280" i="11"/>
  <c r="K280" i="11"/>
  <c r="Q280" i="11" s="1"/>
  <c r="T280" i="11" s="1"/>
  <c r="R368" i="7"/>
  <c r="S368" i="7"/>
  <c r="U368" i="7" s="1"/>
  <c r="V368" i="7"/>
  <c r="O1110" i="6"/>
  <c r="Q310" i="12"/>
  <c r="R310" i="12" s="1"/>
  <c r="O618" i="6"/>
  <c r="N951" i="6"/>
  <c r="P951" i="6" s="1"/>
  <c r="P753" i="7"/>
  <c r="P368" i="8"/>
  <c r="Q368" i="8" s="1"/>
  <c r="S368" i="8" s="1"/>
  <c r="Q755" i="8"/>
  <c r="R755" i="8" s="1"/>
  <c r="R643" i="7"/>
  <c r="V643" i="7"/>
  <c r="P1251" i="6"/>
  <c r="U421" i="7"/>
  <c r="U530" i="7"/>
  <c r="Q858" i="8"/>
  <c r="R858" i="8" s="1"/>
  <c r="U917" i="7"/>
  <c r="P201" i="12"/>
  <c r="Q201" i="12" s="1"/>
  <c r="P588" i="8"/>
  <c r="P147" i="12"/>
  <c r="Q147" i="12" s="1"/>
  <c r="S147" i="12" s="1"/>
  <c r="S258" i="12"/>
  <c r="U258" i="12" s="1"/>
  <c r="V258" i="12"/>
  <c r="S643" i="8"/>
  <c r="BQ231" i="11"/>
  <c r="U202" i="7"/>
  <c r="P311" i="7"/>
  <c r="Q311" i="7" s="1"/>
  <c r="S311" i="7"/>
  <c r="S643" i="7"/>
  <c r="O1360" i="6"/>
  <c r="T478" i="7"/>
  <c r="S829" i="6"/>
  <c r="Q830" i="6" s="1"/>
  <c r="R830" i="6" s="1"/>
  <c r="T256" i="8"/>
  <c r="S698" i="7"/>
  <c r="V698" i="7"/>
  <c r="P1068" i="6"/>
  <c r="N1069" i="6" s="1"/>
  <c r="O1069" i="6" s="1"/>
  <c r="Q313" i="8"/>
  <c r="R313" i="8" s="1"/>
  <c r="V865" i="7"/>
  <c r="S865" i="7"/>
  <c r="U865" i="7" s="1"/>
  <c r="P1028" i="8"/>
  <c r="Q1028" i="8" s="1"/>
  <c r="Q2911" i="6"/>
  <c r="S2911" i="6" s="1"/>
  <c r="U916" i="8"/>
  <c r="P145" i="8"/>
  <c r="Q145" i="8" s="1"/>
  <c r="O1445" i="6"/>
  <c r="S790" i="6"/>
  <c r="Q791" i="6" s="1"/>
  <c r="R791" i="6" s="1"/>
  <c r="N764" i="6"/>
  <c r="P764" i="6" s="1"/>
  <c r="P765" i="6" s="1"/>
  <c r="P766" i="6" s="1"/>
  <c r="P767" i="6" s="1"/>
  <c r="P768" i="6" s="1"/>
  <c r="P769" i="6" s="1"/>
  <c r="P770" i="6" s="1"/>
  <c r="P771" i="6" s="1"/>
  <c r="P772" i="6" s="1"/>
  <c r="P773" i="6" s="1"/>
  <c r="P774" i="6" s="1"/>
  <c r="S877" i="6"/>
  <c r="P479" i="7"/>
  <c r="N1487" i="6"/>
  <c r="O1487" i="6" s="1"/>
  <c r="AJ284" i="11"/>
  <c r="Q588" i="7"/>
  <c r="R588" i="7" s="1"/>
  <c r="V806" i="7"/>
  <c r="R806" i="7"/>
  <c r="U699" i="8"/>
  <c r="U476" i="8"/>
  <c r="L1193" i="6"/>
  <c r="T971" i="8"/>
  <c r="R698" i="7"/>
  <c r="O1411" i="6"/>
  <c r="Q259" i="7"/>
  <c r="R259" i="7" s="1"/>
  <c r="P232" i="11"/>
  <c r="N714" i="6"/>
  <c r="O714" i="6" s="1"/>
  <c r="R1083" i="8"/>
  <c r="T1083" i="8" s="1"/>
  <c r="V1083" i="8"/>
  <c r="AI284" i="11"/>
  <c r="BL283" i="11"/>
  <c r="AP284" i="11" s="1"/>
  <c r="Q878" i="6"/>
  <c r="R878" i="6" s="1"/>
  <c r="V421" i="8"/>
  <c r="S421" i="8"/>
  <c r="U421" i="8" s="1"/>
  <c r="Q532" i="8"/>
  <c r="T752" i="7"/>
  <c r="P148" i="7"/>
  <c r="Q1027" i="6"/>
  <c r="S1027" i="6" s="1"/>
  <c r="T147" i="7"/>
  <c r="U805" i="8"/>
  <c r="U204" i="8"/>
  <c r="Q647" i="6"/>
  <c r="R647" i="6" s="1"/>
  <c r="S806" i="7"/>
  <c r="P714" i="6"/>
  <c r="K232" i="11"/>
  <c r="Q232" i="11" s="1"/>
  <c r="Q972" i="6" l="1"/>
  <c r="R972" i="6" s="1"/>
  <c r="E2136" i="6"/>
  <c r="C2137" i="6" s="1"/>
  <c r="Q588" i="8"/>
  <c r="B2137" i="6"/>
  <c r="B2007" i="6"/>
  <c r="E2006" i="6"/>
  <c r="D2006" i="6"/>
  <c r="C2007" i="6" s="1"/>
  <c r="U643" i="8"/>
  <c r="P644" i="8" s="1"/>
  <c r="E1939" i="6"/>
  <c r="D1939" i="6"/>
  <c r="B1940" i="6"/>
  <c r="C1940" i="6"/>
  <c r="P1211" i="6"/>
  <c r="O1211" i="6"/>
  <c r="N1212" i="6" s="1"/>
  <c r="O1212" i="6" s="1"/>
  <c r="B2203" i="6"/>
  <c r="D2202" i="6"/>
  <c r="E2202" i="6"/>
  <c r="T643" i="7"/>
  <c r="U806" i="7"/>
  <c r="BK233" i="11"/>
  <c r="BE233" i="11"/>
  <c r="BI233" i="11"/>
  <c r="BF233" i="11"/>
  <c r="BJ233" i="11"/>
  <c r="BH233" i="11"/>
  <c r="BG233" i="11"/>
  <c r="C2071" i="6"/>
  <c r="P1315" i="6"/>
  <c r="T865" i="7"/>
  <c r="T698" i="7"/>
  <c r="U232" i="11"/>
  <c r="W232" i="11" s="1"/>
  <c r="S588" i="8"/>
  <c r="R588" i="8"/>
  <c r="T588" i="8" s="1"/>
  <c r="V588" i="8"/>
  <c r="R145" i="8"/>
  <c r="V145" i="8"/>
  <c r="S145" i="8"/>
  <c r="U145" i="8" s="1"/>
  <c r="S1028" i="8"/>
  <c r="V1028" i="8"/>
  <c r="R1028" i="8"/>
  <c r="N715" i="6"/>
  <c r="P715" i="6" s="1"/>
  <c r="R201" i="12"/>
  <c r="V201" i="12"/>
  <c r="S201" i="12"/>
  <c r="U201" i="12" s="1"/>
  <c r="N1316" i="6"/>
  <c r="O1316" i="6" s="1"/>
  <c r="P807" i="7"/>
  <c r="N1446" i="6"/>
  <c r="P1446" i="6" s="1"/>
  <c r="S647" i="6"/>
  <c r="P866" i="7"/>
  <c r="Q866" i="7" s="1"/>
  <c r="R866" i="7" s="1"/>
  <c r="P1110" i="6"/>
  <c r="P806" i="8"/>
  <c r="Q806" i="8" s="1"/>
  <c r="S806" i="8" s="1"/>
  <c r="P917" i="8"/>
  <c r="Q917" i="8" s="1"/>
  <c r="S917" i="8" s="1"/>
  <c r="P1069" i="6"/>
  <c r="P918" i="7"/>
  <c r="Q918" i="7" s="1"/>
  <c r="S918" i="7" s="1"/>
  <c r="R1027" i="6"/>
  <c r="T232" i="11"/>
  <c r="X232" i="11"/>
  <c r="V232" i="11"/>
  <c r="U698" i="7"/>
  <c r="P369" i="7"/>
  <c r="T368" i="7"/>
  <c r="S588" i="7"/>
  <c r="U588" i="7" s="1"/>
  <c r="V588" i="7"/>
  <c r="S791" i="6"/>
  <c r="Q792" i="6" s="1"/>
  <c r="R792" i="6" s="1"/>
  <c r="R2911" i="6"/>
  <c r="T258" i="12"/>
  <c r="U643" i="7"/>
  <c r="T643" i="8"/>
  <c r="V311" i="7"/>
  <c r="R311" i="7"/>
  <c r="T311" i="7" s="1"/>
  <c r="O951" i="6"/>
  <c r="P203" i="7"/>
  <c r="Q203" i="7" s="1"/>
  <c r="S203" i="7"/>
  <c r="Q972" i="8"/>
  <c r="R972" i="8" s="1"/>
  <c r="K1194" i="6"/>
  <c r="M1194" i="6" s="1"/>
  <c r="V858" i="8"/>
  <c r="S858" i="8"/>
  <c r="U858" i="8" s="1"/>
  <c r="Q479" i="7"/>
  <c r="O764" i="6"/>
  <c r="O765" i="6" s="1"/>
  <c r="O766" i="6" s="1"/>
  <c r="O767" i="6" s="1"/>
  <c r="O768" i="6" s="1"/>
  <c r="O769" i="6" s="1"/>
  <c r="O770" i="6" s="1"/>
  <c r="O771" i="6" s="1"/>
  <c r="O772" i="6" s="1"/>
  <c r="O773" i="6" s="1"/>
  <c r="O774" i="6" s="1"/>
  <c r="N775" i="6" s="1"/>
  <c r="Q732" i="6" s="1"/>
  <c r="N1361" i="6"/>
  <c r="P1361" i="6" s="1"/>
  <c r="V259" i="7"/>
  <c r="S259" i="7"/>
  <c r="U259" i="7" s="1"/>
  <c r="R147" i="12"/>
  <c r="T147" i="12" s="1"/>
  <c r="V147" i="12"/>
  <c r="V368" i="8"/>
  <c r="R368" i="8"/>
  <c r="T368" i="8" s="1"/>
  <c r="S313" i="8"/>
  <c r="U313" i="8" s="1"/>
  <c r="V313" i="8"/>
  <c r="Q148" i="7"/>
  <c r="P700" i="8"/>
  <c r="Q700" i="8" s="1"/>
  <c r="S700" i="8"/>
  <c r="T806" i="7"/>
  <c r="S755" i="8"/>
  <c r="U755" i="8" s="1"/>
  <c r="V755" i="8"/>
  <c r="V532" i="8"/>
  <c r="S532" i="8"/>
  <c r="P531" i="7"/>
  <c r="Q531" i="7" s="1"/>
  <c r="T421" i="8"/>
  <c r="P422" i="8"/>
  <c r="N1412" i="6"/>
  <c r="P1412" i="6" s="1"/>
  <c r="BT231" i="11"/>
  <c r="BU231" i="11" s="1"/>
  <c r="P1487" i="6"/>
  <c r="N1488" i="6" s="1"/>
  <c r="O1488" i="6" s="1"/>
  <c r="P205" i="8"/>
  <c r="Q205" i="8" s="1"/>
  <c r="S205" i="8"/>
  <c r="Q257" i="8"/>
  <c r="U280" i="11"/>
  <c r="AG280" i="11" s="1"/>
  <c r="N1252" i="6"/>
  <c r="O1252" i="6" s="1"/>
  <c r="S830" i="6"/>
  <c r="Q831" i="6" s="1"/>
  <c r="R831" i="6" s="1"/>
  <c r="P477" i="8"/>
  <c r="Q477" i="8" s="1"/>
  <c r="S477" i="8" s="1"/>
  <c r="N619" i="6"/>
  <c r="P619" i="6" s="1"/>
  <c r="AK284" i="11"/>
  <c r="S878" i="6"/>
  <c r="Q879" i="6" s="1"/>
  <c r="R879" i="6" s="1"/>
  <c r="P259" i="12"/>
  <c r="AM284" i="11"/>
  <c r="V310" i="12"/>
  <c r="S310" i="12"/>
  <c r="U310" i="12" s="1"/>
  <c r="Q753" i="7"/>
  <c r="R532" i="8"/>
  <c r="AL284" i="11"/>
  <c r="P422" i="7"/>
  <c r="Q422" i="7" s="1"/>
  <c r="S422" i="7" s="1"/>
  <c r="U1083" i="8"/>
  <c r="E2137" i="6" l="1"/>
  <c r="D2137" i="6"/>
  <c r="B2138" i="6"/>
  <c r="T310" i="12"/>
  <c r="D1940" i="6"/>
  <c r="E1940" i="6"/>
  <c r="B1941" i="6"/>
  <c r="P1316" i="6"/>
  <c r="N1317" i="6" s="1"/>
  <c r="T1028" i="8"/>
  <c r="S972" i="6"/>
  <c r="E2007" i="6"/>
  <c r="D2007" i="6"/>
  <c r="C2008" i="6" s="1"/>
  <c r="B2008" i="6"/>
  <c r="BL233" i="11"/>
  <c r="AP234" i="11" s="1"/>
  <c r="AI234" i="11"/>
  <c r="T532" i="8"/>
  <c r="C2138" i="6"/>
  <c r="C2203" i="6"/>
  <c r="U368" i="8"/>
  <c r="P369" i="8" s="1"/>
  <c r="Q369" i="8" s="1"/>
  <c r="P1252" i="6"/>
  <c r="V866" i="7"/>
  <c r="E2071" i="6"/>
  <c r="D2071" i="6"/>
  <c r="B2072" i="6"/>
  <c r="C2072" i="6" s="1"/>
  <c r="T858" i="8"/>
  <c r="T313" i="8"/>
  <c r="P1212" i="6"/>
  <c r="T588" i="7"/>
  <c r="AJ234" i="11"/>
  <c r="U806" i="8"/>
  <c r="BY231" i="11"/>
  <c r="CD231" i="11" s="1"/>
  <c r="CA231" i="11"/>
  <c r="CE231" i="11" s="1"/>
  <c r="BZ231" i="11"/>
  <c r="CB231" i="11"/>
  <c r="BW231" i="11"/>
  <c r="CC231" i="11" s="1"/>
  <c r="BX231" i="11"/>
  <c r="N1213" i="6"/>
  <c r="O1213" i="6" s="1"/>
  <c r="V422" i="7"/>
  <c r="R422" i="7"/>
  <c r="T422" i="7" s="1"/>
  <c r="O715" i="6"/>
  <c r="R203" i="7"/>
  <c r="T203" i="7" s="1"/>
  <c r="V203" i="7"/>
  <c r="P756" i="8"/>
  <c r="N952" i="6"/>
  <c r="P952" i="6" s="1"/>
  <c r="P953" i="6" s="1"/>
  <c r="P954" i="6" s="1"/>
  <c r="P955" i="6" s="1"/>
  <c r="P956" i="6" s="1"/>
  <c r="P957" i="6" s="1"/>
  <c r="P958" i="6" s="1"/>
  <c r="P959" i="6" s="1"/>
  <c r="P960" i="6" s="1"/>
  <c r="P961" i="6" s="1"/>
  <c r="P962" i="6" s="1"/>
  <c r="P1111" i="6"/>
  <c r="R477" i="8"/>
  <c r="T477" i="8" s="1"/>
  <c r="V477" i="8"/>
  <c r="S866" i="7"/>
  <c r="U866" i="7" s="1"/>
  <c r="Q807" i="7"/>
  <c r="R807" i="7" s="1"/>
  <c r="P146" i="8"/>
  <c r="S479" i="7"/>
  <c r="V479" i="7"/>
  <c r="R700" i="8"/>
  <c r="T700" i="8" s="1"/>
  <c r="V700" i="8"/>
  <c r="Q1028" i="6"/>
  <c r="S1028" i="6" s="1"/>
  <c r="Q422" i="8"/>
  <c r="N1111" i="6"/>
  <c r="O1111" i="6" s="1"/>
  <c r="S792" i="6"/>
  <c r="Q793" i="6" s="1"/>
  <c r="R793" i="6" s="1"/>
  <c r="O1446" i="6"/>
  <c r="U147" i="12"/>
  <c r="O619" i="6"/>
  <c r="O1361" i="6"/>
  <c r="P699" i="7"/>
  <c r="Q699" i="7" s="1"/>
  <c r="S699" i="7"/>
  <c r="U588" i="8"/>
  <c r="O1412" i="6"/>
  <c r="U1028" i="8"/>
  <c r="P202" i="12"/>
  <c r="V257" i="8"/>
  <c r="S257" i="8"/>
  <c r="R479" i="7"/>
  <c r="T201" i="12"/>
  <c r="P311" i="12"/>
  <c r="P644" i="7"/>
  <c r="Q644" i="7" s="1"/>
  <c r="V918" i="7"/>
  <c r="R918" i="7"/>
  <c r="T918" i="7" s="1"/>
  <c r="V531" i="7"/>
  <c r="R531" i="7"/>
  <c r="S531" i="7"/>
  <c r="U531" i="7" s="1"/>
  <c r="L1194" i="6"/>
  <c r="N1070" i="6"/>
  <c r="O1070" i="6" s="1"/>
  <c r="T259" i="7"/>
  <c r="AN284" i="11"/>
  <c r="AO284" i="11" s="1"/>
  <c r="P314" i="8"/>
  <c r="AC280" i="11"/>
  <c r="AB280" i="11"/>
  <c r="AA280" i="11"/>
  <c r="AE280" i="11"/>
  <c r="AD280" i="11"/>
  <c r="Z280" i="11"/>
  <c r="Y280" i="11"/>
  <c r="X281" i="11"/>
  <c r="W281" i="11"/>
  <c r="V281" i="11"/>
  <c r="P260" i="7"/>
  <c r="Q259" i="12"/>
  <c r="R259" i="12" s="1"/>
  <c r="V148" i="7"/>
  <c r="S148" i="7"/>
  <c r="Q2912" i="6"/>
  <c r="S2912" i="6" s="1"/>
  <c r="P1488" i="6"/>
  <c r="N1489" i="6" s="1"/>
  <c r="O1489" i="6" s="1"/>
  <c r="R148" i="7"/>
  <c r="T148" i="7" s="1"/>
  <c r="P589" i="7"/>
  <c r="Q589" i="7" s="1"/>
  <c r="Q648" i="6"/>
  <c r="R648" i="6" s="1"/>
  <c r="V806" i="8"/>
  <c r="R806" i="8"/>
  <c r="T806" i="8" s="1"/>
  <c r="R734" i="6"/>
  <c r="S831" i="6"/>
  <c r="AG232" i="11"/>
  <c r="S753" i="7"/>
  <c r="V753" i="7"/>
  <c r="R753" i="7"/>
  <c r="T753" i="7" s="1"/>
  <c r="U311" i="7"/>
  <c r="Q644" i="8"/>
  <c r="T145" i="8"/>
  <c r="R257" i="8"/>
  <c r="P859" i="8"/>
  <c r="R205" i="8"/>
  <c r="T205" i="8" s="1"/>
  <c r="V205" i="8"/>
  <c r="P1084" i="8"/>
  <c r="Q1084" i="8" s="1"/>
  <c r="S1084" i="8"/>
  <c r="S879" i="6"/>
  <c r="U532" i="8"/>
  <c r="V972" i="8"/>
  <c r="S972" i="8"/>
  <c r="U972" i="8" s="1"/>
  <c r="Q369" i="7"/>
  <c r="R369" i="7" s="1"/>
  <c r="R917" i="8"/>
  <c r="T917" i="8" s="1"/>
  <c r="V917" i="8"/>
  <c r="T755" i="8"/>
  <c r="O1317" i="6" l="1"/>
  <c r="P1317" i="6"/>
  <c r="D2008" i="6"/>
  <c r="B2009" i="6"/>
  <c r="E2008" i="6"/>
  <c r="C2009" i="6"/>
  <c r="Q314" i="8"/>
  <c r="Q973" i="6"/>
  <c r="R973" i="6" s="1"/>
  <c r="AM234" i="11"/>
  <c r="Q311" i="12"/>
  <c r="V311" i="12" s="1"/>
  <c r="C1941" i="6"/>
  <c r="AL234" i="11"/>
  <c r="N1253" i="6"/>
  <c r="O1253" i="6" s="1"/>
  <c r="AK234" i="11"/>
  <c r="R369" i="8"/>
  <c r="V369" i="8"/>
  <c r="Q859" i="8"/>
  <c r="E2203" i="6"/>
  <c r="B2204" i="6"/>
  <c r="D2203" i="6"/>
  <c r="B2139" i="6"/>
  <c r="D2138" i="6"/>
  <c r="E2138" i="6"/>
  <c r="T866" i="7"/>
  <c r="U477" i="8"/>
  <c r="P478" i="8" s="1"/>
  <c r="Q478" i="8" s="1"/>
  <c r="T257" i="8"/>
  <c r="B2073" i="6"/>
  <c r="E2072" i="6"/>
  <c r="D2072" i="6"/>
  <c r="C2073" i="6" s="1"/>
  <c r="U700" i="8"/>
  <c r="P701" i="8" s="1"/>
  <c r="Q701" i="8" s="1"/>
  <c r="U479" i="7"/>
  <c r="P480" i="7" s="1"/>
  <c r="U422" i="7"/>
  <c r="T972" i="8"/>
  <c r="N1318" i="6"/>
  <c r="O1318" i="6" s="1"/>
  <c r="S314" i="8"/>
  <c r="V314" i="8"/>
  <c r="R314" i="8"/>
  <c r="AS284" i="11"/>
  <c r="AX284" i="11" s="1"/>
  <c r="AQ284" i="11"/>
  <c r="AW284" i="11" s="1"/>
  <c r="AR284" i="11"/>
  <c r="AV284" i="11"/>
  <c r="AU284" i="11"/>
  <c r="AY284" i="11" s="1"/>
  <c r="AT284" i="11"/>
  <c r="S859" i="8"/>
  <c r="V859" i="8"/>
  <c r="R859" i="8"/>
  <c r="T859" i="8" s="1"/>
  <c r="S589" i="7"/>
  <c r="R589" i="7"/>
  <c r="T589" i="7" s="1"/>
  <c r="V589" i="7"/>
  <c r="Q756" i="8"/>
  <c r="R756" i="8" s="1"/>
  <c r="Q146" i="8"/>
  <c r="R146" i="8" s="1"/>
  <c r="T531" i="7"/>
  <c r="S648" i="6"/>
  <c r="Q649" i="6" s="1"/>
  <c r="R649" i="6" s="1"/>
  <c r="V644" i="8"/>
  <c r="S644" i="8"/>
  <c r="N1413" i="6"/>
  <c r="P1413" i="6" s="1"/>
  <c r="CF231" i="11"/>
  <c r="V644" i="7"/>
  <c r="R644" i="7"/>
  <c r="S644" i="7"/>
  <c r="U644" i="7" s="1"/>
  <c r="P1213" i="6"/>
  <c r="N1214" i="6" s="1"/>
  <c r="O1214" i="6" s="1"/>
  <c r="P532" i="7"/>
  <c r="P148" i="12"/>
  <c r="Q148" i="12" s="1"/>
  <c r="S148" i="12" s="1"/>
  <c r="P423" i="7"/>
  <c r="Q423" i="7" s="1"/>
  <c r="P1029" i="8"/>
  <c r="Q1029" i="8" s="1"/>
  <c r="S369" i="7"/>
  <c r="U369" i="7" s="1"/>
  <c r="V369" i="7"/>
  <c r="S793" i="6"/>
  <c r="Q794" i="6" s="1"/>
  <c r="R794" i="6" s="1"/>
  <c r="O952" i="6"/>
  <c r="O953" i="6" s="1"/>
  <c r="O954" i="6" s="1"/>
  <c r="O955" i="6" s="1"/>
  <c r="O956" i="6" s="1"/>
  <c r="O957" i="6" s="1"/>
  <c r="O958" i="6" s="1"/>
  <c r="O959" i="6" s="1"/>
  <c r="O960" i="6" s="1"/>
  <c r="O961" i="6" s="1"/>
  <c r="O962" i="6" s="1"/>
  <c r="N963" i="6" s="1"/>
  <c r="Q920" i="6" s="1"/>
  <c r="R644" i="8"/>
  <c r="P312" i="7"/>
  <c r="Q312" i="7" s="1"/>
  <c r="S312" i="7" s="1"/>
  <c r="N1112" i="6"/>
  <c r="P1112" i="6" s="1"/>
  <c r="S422" i="8"/>
  <c r="V422" i="8"/>
  <c r="U918" i="7"/>
  <c r="P533" i="8"/>
  <c r="Q533" i="8" s="1"/>
  <c r="R422" i="8"/>
  <c r="Q880" i="6"/>
  <c r="R880" i="6" s="1"/>
  <c r="U753" i="7"/>
  <c r="U205" i="8"/>
  <c r="Q202" i="12"/>
  <c r="R202" i="12" s="1"/>
  <c r="R1028" i="6"/>
  <c r="S369" i="8"/>
  <c r="U369" i="8" s="1"/>
  <c r="P1489" i="6"/>
  <c r="P973" i="8"/>
  <c r="AF280" i="11"/>
  <c r="J281" i="11" s="1"/>
  <c r="C281" i="11"/>
  <c r="U917" i="8"/>
  <c r="R2912" i="6"/>
  <c r="P589" i="8"/>
  <c r="Q589" i="8" s="1"/>
  <c r="S807" i="7"/>
  <c r="U807" i="7" s="1"/>
  <c r="V807" i="7"/>
  <c r="P867" i="7"/>
  <c r="R311" i="12"/>
  <c r="AE232" i="11"/>
  <c r="AD232" i="11"/>
  <c r="Y232" i="11"/>
  <c r="AB232" i="11"/>
  <c r="AA232" i="11"/>
  <c r="Z232" i="11"/>
  <c r="AC232" i="11"/>
  <c r="Q260" i="7"/>
  <c r="R260" i="7" s="1"/>
  <c r="T479" i="7"/>
  <c r="N716" i="6"/>
  <c r="P716" i="6" s="1"/>
  <c r="S259" i="12"/>
  <c r="U259" i="12" s="1"/>
  <c r="V259" i="12"/>
  <c r="N1362" i="6"/>
  <c r="P1362" i="6" s="1"/>
  <c r="CG231" i="11"/>
  <c r="CJ231" i="11" s="1"/>
  <c r="P807" i="8"/>
  <c r="Q807" i="8"/>
  <c r="S807" i="8" s="1"/>
  <c r="U257" i="8"/>
  <c r="N620" i="6"/>
  <c r="P620" i="6" s="1"/>
  <c r="U203" i="7"/>
  <c r="K1195" i="6"/>
  <c r="M1195" i="6" s="1"/>
  <c r="N1447" i="6"/>
  <c r="P1447" i="6" s="1"/>
  <c r="Q832" i="6"/>
  <c r="R832" i="6" s="1"/>
  <c r="U148" i="7"/>
  <c r="V699" i="7"/>
  <c r="R699" i="7"/>
  <c r="T699" i="7" s="1"/>
  <c r="R1084" i="8"/>
  <c r="T1084" i="8" s="1"/>
  <c r="V1084" i="8"/>
  <c r="D281" i="11"/>
  <c r="S311" i="12"/>
  <c r="S734" i="6"/>
  <c r="V807" i="8"/>
  <c r="P1070" i="6"/>
  <c r="N1071" i="6" s="1"/>
  <c r="O1071" i="6" s="1"/>
  <c r="B2010" i="6" l="1"/>
  <c r="E2009" i="6"/>
  <c r="D2009" i="6"/>
  <c r="C2010" i="6" s="1"/>
  <c r="E281" i="11"/>
  <c r="H281" i="11" s="1"/>
  <c r="I281" i="11" s="1"/>
  <c r="CH231" i="11"/>
  <c r="CI231" i="11"/>
  <c r="AN234" i="11"/>
  <c r="AO234" i="11" s="1"/>
  <c r="B1942" i="6"/>
  <c r="E1941" i="6"/>
  <c r="D1941" i="6"/>
  <c r="C1942" i="6"/>
  <c r="P1253" i="6"/>
  <c r="N1254" i="6" s="1"/>
  <c r="U1084" i="8"/>
  <c r="Q974" i="6"/>
  <c r="S973" i="6"/>
  <c r="C2139" i="6"/>
  <c r="U422" i="8"/>
  <c r="U699" i="7"/>
  <c r="Q973" i="8"/>
  <c r="T311" i="12"/>
  <c r="U644" i="8"/>
  <c r="P1318" i="6"/>
  <c r="N1319" i="6" s="1"/>
  <c r="P1319" i="6" s="1"/>
  <c r="U314" i="8"/>
  <c r="P315" i="8" s="1"/>
  <c r="C2204" i="6"/>
  <c r="T369" i="7"/>
  <c r="Q867" i="7"/>
  <c r="V867" i="7" s="1"/>
  <c r="O716" i="6"/>
  <c r="T259" i="12"/>
  <c r="O620" i="6"/>
  <c r="D2073" i="6"/>
  <c r="E2073" i="6"/>
  <c r="B2074" i="6"/>
  <c r="C2074" i="6" s="1"/>
  <c r="R973" i="8"/>
  <c r="V973" i="8"/>
  <c r="S973" i="8"/>
  <c r="T260" i="7"/>
  <c r="V701" i="8"/>
  <c r="R701" i="8"/>
  <c r="T701" i="8" s="1"/>
  <c r="S701" i="8"/>
  <c r="R423" i="7"/>
  <c r="V423" i="7"/>
  <c r="S423" i="7"/>
  <c r="U423" i="7" s="1"/>
  <c r="S478" i="8"/>
  <c r="R478" i="8"/>
  <c r="T478" i="8" s="1"/>
  <c r="V478" i="8"/>
  <c r="Q795" i="6"/>
  <c r="R795" i="6" s="1"/>
  <c r="N717" i="6"/>
  <c r="O717" i="6" s="1"/>
  <c r="O718" i="6" s="1"/>
  <c r="O719" i="6" s="1"/>
  <c r="O720" i="6" s="1"/>
  <c r="O721" i="6" s="1"/>
  <c r="O722" i="6" s="1"/>
  <c r="O723" i="6" s="1"/>
  <c r="O724" i="6" s="1"/>
  <c r="O725" i="6" s="1"/>
  <c r="O726" i="6" s="1"/>
  <c r="O727" i="6" s="1"/>
  <c r="P423" i="8"/>
  <c r="P1071" i="6"/>
  <c r="P370" i="8"/>
  <c r="CS231" i="11"/>
  <c r="P149" i="7"/>
  <c r="Q149" i="7" s="1"/>
  <c r="Q480" i="7"/>
  <c r="Q1029" i="6"/>
  <c r="S1029" i="6" s="1"/>
  <c r="V148" i="12"/>
  <c r="R148" i="12"/>
  <c r="T148" i="12" s="1"/>
  <c r="O1112" i="6"/>
  <c r="T369" i="8"/>
  <c r="R807" i="8"/>
  <c r="T807" i="8" s="1"/>
  <c r="P206" i="8"/>
  <c r="Q206" i="8" s="1"/>
  <c r="S206" i="8" s="1"/>
  <c r="O1413" i="6"/>
  <c r="U311" i="12"/>
  <c r="L1195" i="6"/>
  <c r="N1490" i="6"/>
  <c r="O1490" i="6" s="1"/>
  <c r="V589" i="8"/>
  <c r="R589" i="8"/>
  <c r="P1085" i="8"/>
  <c r="Q1085" i="8" s="1"/>
  <c r="P1214" i="6"/>
  <c r="N1215" i="6" s="1"/>
  <c r="O1215" i="6" s="1"/>
  <c r="S589" i="8"/>
  <c r="AF232" i="11"/>
  <c r="J233" i="11" s="1"/>
  <c r="E233" i="11"/>
  <c r="C233" i="11"/>
  <c r="S880" i="6"/>
  <c r="T644" i="7"/>
  <c r="AZ284" i="11"/>
  <c r="P204" i="7"/>
  <c r="Q204" i="7" s="1"/>
  <c r="P370" i="7"/>
  <c r="BA284" i="11"/>
  <c r="V260" i="7"/>
  <c r="S260" i="7"/>
  <c r="U260" i="7" s="1"/>
  <c r="Q735" i="6"/>
  <c r="R735" i="6" s="1"/>
  <c r="P754" i="7"/>
  <c r="Q754" i="7" s="1"/>
  <c r="S754" i="7"/>
  <c r="U589" i="7"/>
  <c r="F281" i="11"/>
  <c r="S649" i="6"/>
  <c r="Q650" i="6" s="1"/>
  <c r="R650" i="6" s="1"/>
  <c r="R922" i="6"/>
  <c r="S832" i="6"/>
  <c r="Q833" i="6" s="1"/>
  <c r="R833" i="6" s="1"/>
  <c r="P645" i="7"/>
  <c r="T807" i="7"/>
  <c r="P260" i="12"/>
  <c r="Q260" i="12" s="1"/>
  <c r="P918" i="8"/>
  <c r="Q918" i="8" s="1"/>
  <c r="S918" i="8" s="1"/>
  <c r="R533" i="8"/>
  <c r="V533" i="8"/>
  <c r="R1029" i="8"/>
  <c r="V1029" i="8"/>
  <c r="T314" i="8"/>
  <c r="P700" i="7"/>
  <c r="Q700" i="7" s="1"/>
  <c r="V700" i="7" s="1"/>
  <c r="N621" i="6"/>
  <c r="O621" i="6" s="1"/>
  <c r="P919" i="7"/>
  <c r="Q919" i="7" s="1"/>
  <c r="S919" i="7" s="1"/>
  <c r="P258" i="8"/>
  <c r="Q258" i="8" s="1"/>
  <c r="S202" i="12"/>
  <c r="U202" i="12" s="1"/>
  <c r="V202" i="12"/>
  <c r="G281" i="11"/>
  <c r="R312" i="7"/>
  <c r="T312" i="7" s="1"/>
  <c r="V312" i="7"/>
  <c r="P645" i="8"/>
  <c r="G233" i="11"/>
  <c r="P808" i="7"/>
  <c r="D233" i="11"/>
  <c r="F233" i="11"/>
  <c r="T644" i="8"/>
  <c r="Q532" i="7"/>
  <c r="V146" i="8"/>
  <c r="S146" i="8"/>
  <c r="U146" i="8" s="1"/>
  <c r="Q2913" i="6"/>
  <c r="S2913" i="6" s="1"/>
  <c r="S794" i="6"/>
  <c r="O1362" i="6"/>
  <c r="T422" i="8"/>
  <c r="O1447" i="6"/>
  <c r="S533" i="8"/>
  <c r="S1029" i="8"/>
  <c r="V756" i="8"/>
  <c r="S756" i="8"/>
  <c r="U756" i="8" s="1"/>
  <c r="U859" i="8"/>
  <c r="P1254" i="6" l="1"/>
  <c r="O1254" i="6"/>
  <c r="AV234" i="11"/>
  <c r="AQ234" i="11"/>
  <c r="AW234" i="11" s="1"/>
  <c r="AZ234" i="11" s="1"/>
  <c r="AT234" i="11"/>
  <c r="AU234" i="11"/>
  <c r="AY234" i="11" s="1"/>
  <c r="BD234" i="11" s="1"/>
  <c r="AS234" i="11"/>
  <c r="AX234" i="11" s="1"/>
  <c r="AR234" i="11"/>
  <c r="S974" i="6"/>
  <c r="R974" i="6"/>
  <c r="Q975" i="6" s="1"/>
  <c r="S975" i="6" s="1"/>
  <c r="U1029" i="8"/>
  <c r="U533" i="8"/>
  <c r="B1943" i="6"/>
  <c r="E1942" i="6"/>
  <c r="D1942" i="6"/>
  <c r="C1943" i="6" s="1"/>
  <c r="Q370" i="7"/>
  <c r="V370" i="7" s="1"/>
  <c r="U589" i="8"/>
  <c r="P1490" i="6"/>
  <c r="B2011" i="6"/>
  <c r="D2010" i="6"/>
  <c r="E2010" i="6"/>
  <c r="C2011" i="6"/>
  <c r="P717" i="6"/>
  <c r="P718" i="6" s="1"/>
  <c r="P719" i="6" s="1"/>
  <c r="P720" i="6" s="1"/>
  <c r="P721" i="6" s="1"/>
  <c r="P722" i="6" s="1"/>
  <c r="P723" i="6" s="1"/>
  <c r="P724" i="6" s="1"/>
  <c r="P725" i="6" s="1"/>
  <c r="P726" i="6" s="1"/>
  <c r="P727" i="6" s="1"/>
  <c r="T973" i="8"/>
  <c r="E2074" i="6"/>
  <c r="D2074" i="6"/>
  <c r="B2075" i="6"/>
  <c r="S867" i="7"/>
  <c r="R867" i="7"/>
  <c r="T867" i="7" s="1"/>
  <c r="T202" i="12"/>
  <c r="Q203" i="12" s="1"/>
  <c r="U312" i="7"/>
  <c r="P313" i="7" s="1"/>
  <c r="Q313" i="7" s="1"/>
  <c r="D2204" i="6"/>
  <c r="E2204" i="6"/>
  <c r="B2205" i="6"/>
  <c r="BA234" i="11"/>
  <c r="BC234" i="11" s="1"/>
  <c r="B2140" i="6"/>
  <c r="E2139" i="6"/>
  <c r="D2139" i="6"/>
  <c r="C2140" i="6" s="1"/>
  <c r="N728" i="6"/>
  <c r="Q685" i="6" s="1"/>
  <c r="R687" i="6" s="1"/>
  <c r="V1085" i="8"/>
  <c r="S1085" i="8"/>
  <c r="R1085" i="8"/>
  <c r="L281" i="11"/>
  <c r="K281" i="11"/>
  <c r="Q281" i="11" s="1"/>
  <c r="V260" i="12"/>
  <c r="R260" i="12"/>
  <c r="S260" i="12"/>
  <c r="U260" i="12" s="1"/>
  <c r="R149" i="7"/>
  <c r="V149" i="7"/>
  <c r="R700" i="7"/>
  <c r="N1414" i="6"/>
  <c r="P1414" i="6" s="1"/>
  <c r="R2913" i="6"/>
  <c r="S735" i="6"/>
  <c r="Q736" i="6" s="1"/>
  <c r="R736" i="6" s="1"/>
  <c r="P261" i="7"/>
  <c r="Q261" i="7" s="1"/>
  <c r="P424" i="7"/>
  <c r="U807" i="8"/>
  <c r="V918" i="8"/>
  <c r="R918" i="8"/>
  <c r="T918" i="8" s="1"/>
  <c r="Q423" i="8"/>
  <c r="CM231" i="11"/>
  <c r="CL231" i="11"/>
  <c r="CK231" i="11"/>
  <c r="CQ231" i="11"/>
  <c r="CP231" i="11"/>
  <c r="CO231" i="11"/>
  <c r="CN231" i="11"/>
  <c r="O1319" i="6"/>
  <c r="Q370" i="8"/>
  <c r="R370" i="8" s="1"/>
  <c r="P757" i="8"/>
  <c r="V532" i="7"/>
  <c r="S532" i="7"/>
  <c r="P203" i="12"/>
  <c r="U478" i="8"/>
  <c r="P281" i="11"/>
  <c r="O281" i="11"/>
  <c r="S281" i="11" s="1"/>
  <c r="S833" i="6"/>
  <c r="Q834" i="6" s="1"/>
  <c r="R834" i="6" s="1"/>
  <c r="Q881" i="6"/>
  <c r="R881" i="6" s="1"/>
  <c r="P621" i="6"/>
  <c r="N622" i="6" s="1"/>
  <c r="O622" i="6" s="1"/>
  <c r="T1029" i="8"/>
  <c r="S650" i="6"/>
  <c r="Q651" i="6" s="1"/>
  <c r="R651" i="6" s="1"/>
  <c r="R1029" i="6"/>
  <c r="U973" i="8"/>
  <c r="V258" i="8"/>
  <c r="R258" i="8"/>
  <c r="P590" i="8"/>
  <c r="P312" i="12"/>
  <c r="Q312" i="12" s="1"/>
  <c r="V919" i="7"/>
  <c r="R919" i="7"/>
  <c r="T919" i="7" s="1"/>
  <c r="S795" i="6"/>
  <c r="V206" i="8"/>
  <c r="R206" i="8"/>
  <c r="T206" i="8" s="1"/>
  <c r="P860" i="8"/>
  <c r="Q860" i="8" s="1"/>
  <c r="S860" i="8" s="1"/>
  <c r="N1113" i="6"/>
  <c r="P1113" i="6" s="1"/>
  <c r="P147" i="8"/>
  <c r="P1030" i="8"/>
  <c r="Q315" i="8"/>
  <c r="P534" i="8"/>
  <c r="N1491" i="6"/>
  <c r="P1491" i="6" s="1"/>
  <c r="T756" i="8"/>
  <c r="H233" i="11"/>
  <c r="I233" i="11" s="1"/>
  <c r="V480" i="7"/>
  <c r="S480" i="7"/>
  <c r="U148" i="12"/>
  <c r="T423" i="7"/>
  <c r="P590" i="7"/>
  <c r="Q590" i="7" s="1"/>
  <c r="S590" i="7" s="1"/>
  <c r="S149" i="7"/>
  <c r="R754" i="7"/>
  <c r="T754" i="7" s="1"/>
  <c r="V754" i="7"/>
  <c r="P1215" i="6"/>
  <c r="N1363" i="6"/>
  <c r="P1363" i="6" s="1"/>
  <c r="Q808" i="7"/>
  <c r="T589" i="8"/>
  <c r="R204" i="7"/>
  <c r="V204" i="7"/>
  <c r="S204" i="7"/>
  <c r="N1255" i="6"/>
  <c r="P1255" i="6" s="1"/>
  <c r="S700" i="7"/>
  <c r="Q645" i="7"/>
  <c r="R645" i="7" s="1"/>
  <c r="R532" i="7"/>
  <c r="S922" i="6"/>
  <c r="Q923" i="6" s="1"/>
  <c r="R923" i="6" s="1"/>
  <c r="T146" i="8"/>
  <c r="Q645" i="8"/>
  <c r="R645" i="8" s="1"/>
  <c r="N1448" i="6"/>
  <c r="P1448" i="6" s="1"/>
  <c r="S258" i="8"/>
  <c r="T533" i="8"/>
  <c r="M281" i="11"/>
  <c r="R281" i="11" s="1"/>
  <c r="N281" i="11"/>
  <c r="BM284" i="11"/>
  <c r="K1196" i="6"/>
  <c r="M1196" i="6" s="1"/>
  <c r="R480" i="7"/>
  <c r="N1072" i="6"/>
  <c r="O1072" i="6" s="1"/>
  <c r="U701" i="8"/>
  <c r="B1944" i="6" l="1"/>
  <c r="D1943" i="6"/>
  <c r="E1943" i="6"/>
  <c r="S370" i="7"/>
  <c r="R370" i="7"/>
  <c r="U532" i="7"/>
  <c r="P533" i="7" s="1"/>
  <c r="U754" i="7"/>
  <c r="T281" i="11"/>
  <c r="C2205" i="6"/>
  <c r="E2205" i="6" s="1"/>
  <c r="R975" i="6"/>
  <c r="Q976" i="6" s="1"/>
  <c r="S976" i="6" s="1"/>
  <c r="B2012" i="6"/>
  <c r="D2011" i="6"/>
  <c r="E2011" i="6"/>
  <c r="C2012" i="6" s="1"/>
  <c r="U204" i="7"/>
  <c r="P205" i="7" s="1"/>
  <c r="T1085" i="8"/>
  <c r="S203" i="12"/>
  <c r="V203" i="12"/>
  <c r="BB234" i="11"/>
  <c r="BM234" i="11" s="1"/>
  <c r="U919" i="7"/>
  <c r="P920" i="7" s="1"/>
  <c r="Q920" i="7" s="1"/>
  <c r="V920" i="7" s="1"/>
  <c r="C1944" i="6"/>
  <c r="C2075" i="6"/>
  <c r="E2140" i="6"/>
  <c r="D2140" i="6"/>
  <c r="B2141" i="6"/>
  <c r="C2141" i="6" s="1"/>
  <c r="T258" i="8"/>
  <c r="U918" i="8"/>
  <c r="P919" i="8" s="1"/>
  <c r="Q919" i="8" s="1"/>
  <c r="U149" i="7"/>
  <c r="P150" i="7" s="1"/>
  <c r="B2206" i="6"/>
  <c r="U480" i="7"/>
  <c r="P481" i="7" s="1"/>
  <c r="U867" i="7"/>
  <c r="P868" i="7" s="1"/>
  <c r="Q868" i="7" s="1"/>
  <c r="U700" i="7"/>
  <c r="P701" i="7" s="1"/>
  <c r="L233" i="11"/>
  <c r="M233" i="11"/>
  <c r="R233" i="11" s="1"/>
  <c r="K233" i="11"/>
  <c r="Q233" i="11" s="1"/>
  <c r="N233" i="11"/>
  <c r="O233" i="11"/>
  <c r="S233" i="11" s="1"/>
  <c r="P233" i="11"/>
  <c r="T645" i="8"/>
  <c r="U203" i="12"/>
  <c r="S313" i="7"/>
  <c r="R313" i="7"/>
  <c r="T313" i="7" s="1"/>
  <c r="V313" i="7"/>
  <c r="V261" i="7"/>
  <c r="R261" i="7"/>
  <c r="S261" i="7"/>
  <c r="U261" i="7" s="1"/>
  <c r="P622" i="6"/>
  <c r="Q757" i="8"/>
  <c r="R757" i="8" s="1"/>
  <c r="R203" i="12"/>
  <c r="T203" i="12" s="1"/>
  <c r="L1196" i="6"/>
  <c r="V315" i="8"/>
  <c r="S315" i="8"/>
  <c r="R315" i="8"/>
  <c r="T315" i="8" s="1"/>
  <c r="Q2914" i="6"/>
  <c r="S2914" i="6" s="1"/>
  <c r="Q796" i="6"/>
  <c r="R796" i="6" s="1"/>
  <c r="O1363" i="6"/>
  <c r="V645" i="8"/>
  <c r="S645" i="8"/>
  <c r="U645" i="8" s="1"/>
  <c r="S834" i="6"/>
  <c r="Q835" i="6" s="1"/>
  <c r="R835" i="6" s="1"/>
  <c r="O1414" i="6"/>
  <c r="Q147" i="8"/>
  <c r="R147" i="8" s="1"/>
  <c r="N1216" i="6"/>
  <c r="O1216" i="6" s="1"/>
  <c r="P1072" i="6"/>
  <c r="T149" i="7"/>
  <c r="V423" i="8"/>
  <c r="S423" i="8"/>
  <c r="P974" i="8"/>
  <c r="Q974" i="8" s="1"/>
  <c r="S974" i="8" s="1"/>
  <c r="U206" i="8"/>
  <c r="Q1030" i="6"/>
  <c r="S1030" i="6" s="1"/>
  <c r="U1085" i="8"/>
  <c r="V312" i="12"/>
  <c r="R312" i="12"/>
  <c r="S312" i="12"/>
  <c r="U312" i="12" s="1"/>
  <c r="O1448" i="6"/>
  <c r="O1113" i="6"/>
  <c r="P755" i="7"/>
  <c r="Q755" i="7" s="1"/>
  <c r="R755" i="7" s="1"/>
  <c r="P261" i="12"/>
  <c r="T260" i="12"/>
  <c r="P702" i="8"/>
  <c r="Q702" i="8" s="1"/>
  <c r="S702" i="8" s="1"/>
  <c r="BO232" i="11"/>
  <c r="CR231" i="11"/>
  <c r="BV232" i="11" s="1"/>
  <c r="BQ232" i="11"/>
  <c r="O1255" i="6"/>
  <c r="O1491" i="6"/>
  <c r="T700" i="7"/>
  <c r="V860" i="8"/>
  <c r="R860" i="8"/>
  <c r="T860" i="8" s="1"/>
  <c r="BP232" i="11"/>
  <c r="S736" i="6"/>
  <c r="R590" i="7"/>
  <c r="T590" i="7" s="1"/>
  <c r="V590" i="7"/>
  <c r="S881" i="6"/>
  <c r="Q882" i="6" s="1"/>
  <c r="R882" i="6" s="1"/>
  <c r="T532" i="7"/>
  <c r="R423" i="8"/>
  <c r="T204" i="7"/>
  <c r="V808" i="7"/>
  <c r="S808" i="7"/>
  <c r="Q424" i="7"/>
  <c r="S651" i="6"/>
  <c r="T370" i="7"/>
  <c r="S687" i="6"/>
  <c r="Q688" i="6" s="1"/>
  <c r="R688" i="6" s="1"/>
  <c r="V370" i="8"/>
  <c r="S370" i="8"/>
  <c r="U370" i="8" s="1"/>
  <c r="T480" i="7"/>
  <c r="P479" i="8"/>
  <c r="Q479" i="8" s="1"/>
  <c r="S479" i="8"/>
  <c r="S923" i="6"/>
  <c r="Q924" i="6" s="1"/>
  <c r="R924" i="6" s="1"/>
  <c r="N1320" i="6"/>
  <c r="P1320" i="6" s="1"/>
  <c r="BF284" i="11"/>
  <c r="BE284" i="11"/>
  <c r="BD285" i="11"/>
  <c r="BC285" i="11"/>
  <c r="BB285" i="11"/>
  <c r="BJ284" i="11"/>
  <c r="BG284" i="11"/>
  <c r="BK284" i="11"/>
  <c r="BI284" i="11"/>
  <c r="BH284" i="11"/>
  <c r="U281" i="11"/>
  <c r="Q590" i="8"/>
  <c r="R590" i="8" s="1"/>
  <c r="Q534" i="8"/>
  <c r="R534" i="8" s="1"/>
  <c r="U258" i="8"/>
  <c r="S645" i="7"/>
  <c r="U645" i="7" s="1"/>
  <c r="V645" i="7"/>
  <c r="R808" i="7"/>
  <c r="P149" i="12"/>
  <c r="Q149" i="12" s="1"/>
  <c r="Q1030" i="8"/>
  <c r="R1030" i="8" s="1"/>
  <c r="P808" i="8"/>
  <c r="Q808" i="8" s="1"/>
  <c r="E2012" i="6" l="1"/>
  <c r="D2012" i="6"/>
  <c r="B2013" i="6"/>
  <c r="BR232" i="11"/>
  <c r="BT232" i="11" s="1"/>
  <c r="T423" i="8"/>
  <c r="AG281" i="11"/>
  <c r="AA281" i="11" s="1"/>
  <c r="D2205" i="6"/>
  <c r="C2206" i="6" s="1"/>
  <c r="U370" i="7"/>
  <c r="P371" i="7" s="1"/>
  <c r="Q371" i="7" s="1"/>
  <c r="BF234" i="11"/>
  <c r="BE234" i="11"/>
  <c r="BG234" i="11"/>
  <c r="BK234" i="11"/>
  <c r="BI234" i="11"/>
  <c r="BJ234" i="11"/>
  <c r="BH234" i="11"/>
  <c r="E2141" i="6"/>
  <c r="D2141" i="6"/>
  <c r="B2142" i="6"/>
  <c r="C2142" i="6" s="1"/>
  <c r="P1216" i="6"/>
  <c r="N1217" i="6" s="1"/>
  <c r="O1217" i="6" s="1"/>
  <c r="E2075" i="6"/>
  <c r="D2075" i="6"/>
  <c r="B2076" i="6"/>
  <c r="C2076" i="6"/>
  <c r="D1944" i="6"/>
  <c r="B1945" i="6"/>
  <c r="E1944" i="6"/>
  <c r="U808" i="7"/>
  <c r="BS232" i="11"/>
  <c r="R2914" i="6"/>
  <c r="Q2915" i="6" s="1"/>
  <c r="R2915" i="6" s="1"/>
  <c r="R919" i="8"/>
  <c r="V919" i="8"/>
  <c r="S919" i="8"/>
  <c r="U919" i="8" s="1"/>
  <c r="T147" i="8"/>
  <c r="T757" i="8"/>
  <c r="V702" i="8"/>
  <c r="R702" i="8"/>
  <c r="T702" i="8" s="1"/>
  <c r="Q261" i="12"/>
  <c r="R261" i="12" s="1"/>
  <c r="V755" i="7"/>
  <c r="O1320" i="6"/>
  <c r="S924" i="6"/>
  <c r="Q925" i="6" s="1"/>
  <c r="R925" i="6" s="1"/>
  <c r="U590" i="7"/>
  <c r="S755" i="7"/>
  <c r="U755" i="7" s="1"/>
  <c r="S424" i="7"/>
  <c r="V424" i="7"/>
  <c r="N1114" i="6"/>
  <c r="P1114" i="6" s="1"/>
  <c r="BL284" i="11"/>
  <c r="AP285" i="11" s="1"/>
  <c r="AI285" i="11"/>
  <c r="T261" i="7"/>
  <c r="P371" i="8"/>
  <c r="V808" i="8"/>
  <c r="R808" i="8"/>
  <c r="S808" i="8"/>
  <c r="T370" i="8"/>
  <c r="S688" i="6"/>
  <c r="Q689" i="6" s="1"/>
  <c r="R689" i="6" s="1"/>
  <c r="R479" i="8"/>
  <c r="T479" i="8" s="1"/>
  <c r="V479" i="8"/>
  <c r="Q701" i="7"/>
  <c r="R701" i="7" s="1"/>
  <c r="R1030" i="6"/>
  <c r="R424" i="7"/>
  <c r="R976" i="6"/>
  <c r="P809" i="7"/>
  <c r="V149" i="12"/>
  <c r="R149" i="12"/>
  <c r="P313" i="12"/>
  <c r="Q652" i="6"/>
  <c r="R652" i="6" s="1"/>
  <c r="T233" i="11"/>
  <c r="S882" i="6"/>
  <c r="P262" i="7"/>
  <c r="P259" i="8"/>
  <c r="Q259" i="8" s="1"/>
  <c r="S259" i="8" s="1"/>
  <c r="U315" i="8"/>
  <c r="T645" i="7"/>
  <c r="V590" i="8"/>
  <c r="S590" i="8"/>
  <c r="U590" i="8" s="1"/>
  <c r="K1197" i="6"/>
  <c r="M1197" i="6" s="1"/>
  <c r="P204" i="12"/>
  <c r="Q204" i="12" s="1"/>
  <c r="V147" i="8"/>
  <c r="S147" i="8"/>
  <c r="U147" i="8" s="1"/>
  <c r="R920" i="7"/>
  <c r="N1492" i="6"/>
  <c r="P1492" i="6" s="1"/>
  <c r="V974" i="8"/>
  <c r="R974" i="8"/>
  <c r="T974" i="8" s="1"/>
  <c r="S149" i="12"/>
  <c r="Q481" i="7"/>
  <c r="R481" i="7" s="1"/>
  <c r="Q205" i="7"/>
  <c r="R205" i="7" s="1"/>
  <c r="N1415" i="6"/>
  <c r="P1415" i="6" s="1"/>
  <c r="U233" i="11"/>
  <c r="P646" i="7"/>
  <c r="Q150" i="7"/>
  <c r="R150" i="7" s="1"/>
  <c r="S534" i="8"/>
  <c r="U534" i="8" s="1"/>
  <c r="V534" i="8"/>
  <c r="P1086" i="8"/>
  <c r="Q1086" i="8" s="1"/>
  <c r="S1086" i="8" s="1"/>
  <c r="V868" i="7"/>
  <c r="S868" i="7"/>
  <c r="Q737" i="6"/>
  <c r="R737" i="6" s="1"/>
  <c r="R868" i="7"/>
  <c r="T868" i="7" s="1"/>
  <c r="N1364" i="6"/>
  <c r="P1364" i="6" s="1"/>
  <c r="AC281" i="11"/>
  <c r="AB281" i="11"/>
  <c r="Y281" i="11"/>
  <c r="V282" i="11"/>
  <c r="U313" i="7"/>
  <c r="S1030" i="8"/>
  <c r="U1030" i="8" s="1"/>
  <c r="V1030" i="8"/>
  <c r="P207" i="8"/>
  <c r="Q207" i="8" s="1"/>
  <c r="S920" i="7"/>
  <c r="U920" i="7" s="1"/>
  <c r="N1256" i="6"/>
  <c r="P1256" i="6" s="1"/>
  <c r="N1449" i="6"/>
  <c r="P1449" i="6" s="1"/>
  <c r="T808" i="7"/>
  <c r="T312" i="12"/>
  <c r="U423" i="8"/>
  <c r="S835" i="6"/>
  <c r="N623" i="6"/>
  <c r="O623" i="6" s="1"/>
  <c r="O624" i="6" s="1"/>
  <c r="O625" i="6" s="1"/>
  <c r="O626" i="6" s="1"/>
  <c r="O627" i="6" s="1"/>
  <c r="O628" i="6" s="1"/>
  <c r="O629" i="6" s="1"/>
  <c r="O630" i="6" s="1"/>
  <c r="O631" i="6" s="1"/>
  <c r="O632" i="6" s="1"/>
  <c r="O633" i="6" s="1"/>
  <c r="AJ285" i="11"/>
  <c r="V757" i="8"/>
  <c r="S757" i="8"/>
  <c r="U757" i="8" s="1"/>
  <c r="U860" i="8"/>
  <c r="N1073" i="6"/>
  <c r="O1073" i="6" s="1"/>
  <c r="Q533" i="7"/>
  <c r="R533" i="7" s="1"/>
  <c r="P646" i="8"/>
  <c r="Q646" i="8" s="1"/>
  <c r="S796" i="6"/>
  <c r="Q797" i="6" s="1"/>
  <c r="R797" i="6" s="1"/>
  <c r="D2206" i="6" l="1"/>
  <c r="B2207" i="6"/>
  <c r="E2206" i="6"/>
  <c r="Z281" i="11"/>
  <c r="C282" i="11" s="1"/>
  <c r="AE281" i="11"/>
  <c r="X282" i="11"/>
  <c r="S737" i="6"/>
  <c r="T149" i="12"/>
  <c r="U702" i="8"/>
  <c r="P703" i="8" s="1"/>
  <c r="Q703" i="8" s="1"/>
  <c r="W282" i="11"/>
  <c r="AD281" i="11"/>
  <c r="X233" i="11"/>
  <c r="C2013" i="6"/>
  <c r="BU232" i="11"/>
  <c r="BY232" i="11" s="1"/>
  <c r="CD232" i="11" s="1"/>
  <c r="BX232" i="11"/>
  <c r="P1217" i="6"/>
  <c r="S652" i="6"/>
  <c r="AJ235" i="11"/>
  <c r="U424" i="7"/>
  <c r="AL285" i="11"/>
  <c r="W233" i="11"/>
  <c r="C1945" i="6"/>
  <c r="T808" i="8"/>
  <c r="BL234" i="11"/>
  <c r="AP235" i="11" s="1"/>
  <c r="AI235" i="11"/>
  <c r="AK235" i="11"/>
  <c r="C2207" i="6"/>
  <c r="D2142" i="6"/>
  <c r="C2143" i="6" s="1"/>
  <c r="B2143" i="6"/>
  <c r="E2142" i="6"/>
  <c r="AM285" i="11"/>
  <c r="V233" i="11"/>
  <c r="E2076" i="6"/>
  <c r="B2077" i="6"/>
  <c r="D2076" i="6"/>
  <c r="V204" i="12"/>
  <c r="S204" i="12"/>
  <c r="R204" i="12"/>
  <c r="T204" i="12" s="1"/>
  <c r="R646" i="8"/>
  <c r="S646" i="8"/>
  <c r="U646" i="8" s="1"/>
  <c r="V646" i="8"/>
  <c r="N1218" i="6"/>
  <c r="P1218" i="6" s="1"/>
  <c r="P535" i="8"/>
  <c r="P921" i="7"/>
  <c r="R259" i="8"/>
  <c r="T259" i="8" s="1"/>
  <c r="V259" i="8"/>
  <c r="S836" i="6"/>
  <c r="P425" i="7"/>
  <c r="P424" i="8"/>
  <c r="Q424" i="8" s="1"/>
  <c r="P1031" i="8"/>
  <c r="Q738" i="6"/>
  <c r="R738" i="6" s="1"/>
  <c r="P314" i="7"/>
  <c r="Q314" i="7" s="1"/>
  <c r="S314" i="7" s="1"/>
  <c r="P591" i="7"/>
  <c r="Q591" i="7" s="1"/>
  <c r="T1030" i="8"/>
  <c r="U868" i="7"/>
  <c r="O1415" i="6"/>
  <c r="P758" i="8"/>
  <c r="Q758" i="8" s="1"/>
  <c r="AF281" i="11"/>
  <c r="J282" i="11" s="1"/>
  <c r="Q371" i="8"/>
  <c r="T919" i="8"/>
  <c r="U259" i="8"/>
  <c r="S797" i="6"/>
  <c r="Q798" i="6" s="1"/>
  <c r="R798" i="6" s="1"/>
  <c r="P623" i="6"/>
  <c r="P624" i="6" s="1"/>
  <c r="P625" i="6" s="1"/>
  <c r="P626" i="6" s="1"/>
  <c r="P627" i="6" s="1"/>
  <c r="P628" i="6" s="1"/>
  <c r="P629" i="6" s="1"/>
  <c r="P630" i="6" s="1"/>
  <c r="P631" i="6" s="1"/>
  <c r="P632" i="6" s="1"/>
  <c r="P633" i="6" s="1"/>
  <c r="N634" i="6" s="1"/>
  <c r="Q591" i="6" s="1"/>
  <c r="F282" i="11"/>
  <c r="D282" i="11"/>
  <c r="S261" i="12"/>
  <c r="U261" i="12" s="1"/>
  <c r="V261" i="12"/>
  <c r="L1197" i="6"/>
  <c r="K1198" i="6" s="1"/>
  <c r="N1155" i="6" s="1"/>
  <c r="Q977" i="6"/>
  <c r="S977" i="6" s="1"/>
  <c r="P756" i="7"/>
  <c r="Q313" i="12"/>
  <c r="O1492" i="6"/>
  <c r="S2915" i="6"/>
  <c r="Q2916" i="6" s="1"/>
  <c r="R2916" i="6" s="1"/>
  <c r="Q836" i="6"/>
  <c r="R836" i="6" s="1"/>
  <c r="P591" i="8"/>
  <c r="Q262" i="7"/>
  <c r="R1086" i="8"/>
  <c r="T1086" i="8" s="1"/>
  <c r="V1086" i="8"/>
  <c r="V371" i="7"/>
  <c r="S371" i="7"/>
  <c r="T920" i="7"/>
  <c r="Q646" i="7"/>
  <c r="R646" i="7" s="1"/>
  <c r="R207" i="8"/>
  <c r="V207" i="8"/>
  <c r="S207" i="8"/>
  <c r="O1114" i="6"/>
  <c r="G282" i="11"/>
  <c r="O1364" i="6"/>
  <c r="T424" i="7"/>
  <c r="V701" i="7"/>
  <c r="S701" i="7"/>
  <c r="U701" i="7" s="1"/>
  <c r="U974" i="8"/>
  <c r="P920" i="8"/>
  <c r="Q809" i="7"/>
  <c r="P1073" i="6"/>
  <c r="S925" i="6"/>
  <c r="Q926" i="6" s="1"/>
  <c r="R926" i="6" s="1"/>
  <c r="T590" i="8"/>
  <c r="O1449" i="6"/>
  <c r="U808" i="8"/>
  <c r="T755" i="7"/>
  <c r="S150" i="7"/>
  <c r="U150" i="7" s="1"/>
  <c r="V150" i="7"/>
  <c r="V533" i="7"/>
  <c r="S533" i="7"/>
  <c r="U533" i="7" s="1"/>
  <c r="Q1031" i="6"/>
  <c r="S1031" i="6" s="1"/>
  <c r="Q653" i="6"/>
  <c r="R653" i="6" s="1"/>
  <c r="Q883" i="6"/>
  <c r="R883" i="6" s="1"/>
  <c r="P861" i="8"/>
  <c r="Q861" i="8" s="1"/>
  <c r="S861" i="8" s="1"/>
  <c r="V205" i="7"/>
  <c r="S205" i="7"/>
  <c r="U205" i="7" s="1"/>
  <c r="S689" i="6"/>
  <c r="Q690" i="6" s="1"/>
  <c r="R690" i="6" s="1"/>
  <c r="V481" i="7"/>
  <c r="S481" i="7"/>
  <c r="U481" i="7" s="1"/>
  <c r="R371" i="7"/>
  <c r="U479" i="8"/>
  <c r="O1256" i="6"/>
  <c r="U149" i="12"/>
  <c r="P148" i="8"/>
  <c r="Q148" i="8" s="1"/>
  <c r="P316" i="8"/>
  <c r="Q316" i="8" s="1"/>
  <c r="AK285" i="11"/>
  <c r="N1321" i="6"/>
  <c r="P1321" i="6" s="1"/>
  <c r="T534" i="8"/>
  <c r="U371" i="7" l="1"/>
  <c r="D2013" i="6"/>
  <c r="B2014" i="6"/>
  <c r="E2013" i="6"/>
  <c r="C2014" i="6" s="1"/>
  <c r="T150" i="7"/>
  <c r="CA232" i="11"/>
  <c r="CE232" i="11" s="1"/>
  <c r="AG233" i="11"/>
  <c r="AA233" i="11" s="1"/>
  <c r="CB232" i="11"/>
  <c r="BW232" i="11"/>
  <c r="CC232" i="11" s="1"/>
  <c r="BZ232" i="11"/>
  <c r="CG232" i="11" s="1"/>
  <c r="U207" i="8"/>
  <c r="AD233" i="11"/>
  <c r="AC233" i="11"/>
  <c r="Y233" i="11"/>
  <c r="AB233" i="11"/>
  <c r="AE233" i="11"/>
  <c r="C2077" i="6"/>
  <c r="AL235" i="11"/>
  <c r="AN235" i="11"/>
  <c r="AM235" i="11"/>
  <c r="S883" i="6"/>
  <c r="Q884" i="6" s="1"/>
  <c r="T261" i="12"/>
  <c r="S653" i="6"/>
  <c r="Q654" i="6" s="1"/>
  <c r="B2144" i="6"/>
  <c r="D2143" i="6"/>
  <c r="C2144" i="6" s="1"/>
  <c r="E2143" i="6"/>
  <c r="B1946" i="6"/>
  <c r="E1945" i="6"/>
  <c r="D1945" i="6"/>
  <c r="C1946" i="6" s="1"/>
  <c r="T481" i="7"/>
  <c r="D2207" i="6"/>
  <c r="B2208" i="6"/>
  <c r="E2207" i="6"/>
  <c r="R148" i="8"/>
  <c r="V148" i="8"/>
  <c r="S148" i="8"/>
  <c r="U148" i="8" s="1"/>
  <c r="R593" i="6"/>
  <c r="Q799" i="6"/>
  <c r="R799" i="6" s="1"/>
  <c r="S758" i="8"/>
  <c r="V758" i="8"/>
  <c r="R758" i="8"/>
  <c r="T758" i="8" s="1"/>
  <c r="R703" i="8"/>
  <c r="V703" i="8"/>
  <c r="S703" i="8"/>
  <c r="U703" i="8" s="1"/>
  <c r="N1493" i="6"/>
  <c r="P1493" i="6" s="1"/>
  <c r="S313" i="12"/>
  <c r="V313" i="12"/>
  <c r="P372" i="7"/>
  <c r="P869" i="7"/>
  <c r="Q869" i="7" s="1"/>
  <c r="S869" i="7" s="1"/>
  <c r="P260" i="8"/>
  <c r="Q260" i="8" s="1"/>
  <c r="P809" i="8"/>
  <c r="Q809" i="8" s="1"/>
  <c r="S809" i="8" s="1"/>
  <c r="P975" i="8"/>
  <c r="Q975" i="8" s="1"/>
  <c r="S975" i="8"/>
  <c r="Q920" i="8"/>
  <c r="R920" i="8" s="1"/>
  <c r="V316" i="8"/>
  <c r="R316" i="8"/>
  <c r="P208" i="8"/>
  <c r="S316" i="8"/>
  <c r="N1450" i="6"/>
  <c r="P1450" i="6" s="1"/>
  <c r="V371" i="8"/>
  <c r="S371" i="8"/>
  <c r="T205" i="7"/>
  <c r="Q591" i="8"/>
  <c r="T646" i="8"/>
  <c r="P150" i="12"/>
  <c r="Q150" i="12" s="1"/>
  <c r="S150" i="12" s="1"/>
  <c r="U1086" i="8"/>
  <c r="N1365" i="6"/>
  <c r="P1365" i="6" s="1"/>
  <c r="Q837" i="6"/>
  <c r="R837" i="6" s="1"/>
  <c r="E282" i="11"/>
  <c r="S738" i="6"/>
  <c r="T701" i="7"/>
  <c r="P534" i="7"/>
  <c r="N1416" i="6"/>
  <c r="P1416" i="6" s="1"/>
  <c r="Q535" i="8"/>
  <c r="R535" i="8" s="1"/>
  <c r="P151" i="7"/>
  <c r="O1321" i="6"/>
  <c r="Q1031" i="8"/>
  <c r="O1218" i="6"/>
  <c r="AN285" i="11"/>
  <c r="AO285" i="11" s="1"/>
  <c r="S262" i="7"/>
  <c r="V262" i="7"/>
  <c r="O1157" i="6"/>
  <c r="Q425" i="7"/>
  <c r="R425" i="7" s="1"/>
  <c r="U204" i="12"/>
  <c r="V424" i="8"/>
  <c r="R424" i="8"/>
  <c r="Q921" i="7"/>
  <c r="Q262" i="12"/>
  <c r="R262" i="12" s="1"/>
  <c r="R313" i="12"/>
  <c r="P206" i="7"/>
  <c r="S798" i="6"/>
  <c r="Q756" i="7"/>
  <c r="R756" i="7" s="1"/>
  <c r="R591" i="7"/>
  <c r="V591" i="7"/>
  <c r="P702" i="7"/>
  <c r="S591" i="7"/>
  <c r="V314" i="7"/>
  <c r="R314" i="7"/>
  <c r="T314" i="7" s="1"/>
  <c r="R371" i="8"/>
  <c r="T533" i="7"/>
  <c r="S926" i="6"/>
  <c r="Q927" i="6" s="1"/>
  <c r="R927" i="6" s="1"/>
  <c r="CF232" i="11"/>
  <c r="CJ232" i="11" s="1"/>
  <c r="CI232" i="11"/>
  <c r="CH232" i="11"/>
  <c r="N1257" i="6"/>
  <c r="P1257" i="6" s="1"/>
  <c r="P480" i="8"/>
  <c r="Q480" i="8" s="1"/>
  <c r="S480" i="8" s="1"/>
  <c r="T371" i="7"/>
  <c r="R1031" i="6"/>
  <c r="N1074" i="6"/>
  <c r="O1074" i="6" s="1"/>
  <c r="P262" i="12"/>
  <c r="S690" i="6"/>
  <c r="N1115" i="6"/>
  <c r="P1115" i="6" s="1"/>
  <c r="Q482" i="7"/>
  <c r="S482" i="7" s="1"/>
  <c r="R861" i="8"/>
  <c r="T861" i="8" s="1"/>
  <c r="V861" i="8"/>
  <c r="R977" i="6"/>
  <c r="R262" i="7"/>
  <c r="P647" i="8"/>
  <c r="T207" i="8"/>
  <c r="S2916" i="6"/>
  <c r="Q2917" i="6" s="1"/>
  <c r="R2917" i="6" s="1"/>
  <c r="S809" i="7"/>
  <c r="V809" i="7"/>
  <c r="P482" i="7"/>
  <c r="R809" i="7"/>
  <c r="T809" i="7" s="1"/>
  <c r="V646" i="7"/>
  <c r="S646" i="7"/>
  <c r="U646" i="7" s="1"/>
  <c r="S424" i="8"/>
  <c r="AF233" i="11" l="1"/>
  <c r="D234" i="11"/>
  <c r="S837" i="6"/>
  <c r="B2015" i="6"/>
  <c r="E2014" i="6"/>
  <c r="D2014" i="6"/>
  <c r="C2015" i="6" s="1"/>
  <c r="Q151" i="7"/>
  <c r="CS232" i="11"/>
  <c r="U314" i="7"/>
  <c r="P315" i="7" s="1"/>
  <c r="Q315" i="7" s="1"/>
  <c r="Z233" i="11"/>
  <c r="C234" i="11" s="1"/>
  <c r="U262" i="7"/>
  <c r="P263" i="7" s="1"/>
  <c r="U371" i="8"/>
  <c r="P372" i="8" s="1"/>
  <c r="U316" i="8"/>
  <c r="P317" i="8" s="1"/>
  <c r="J234" i="11"/>
  <c r="G234" i="11"/>
  <c r="E234" i="11"/>
  <c r="R654" i="6"/>
  <c r="S654" i="6"/>
  <c r="R884" i="6"/>
  <c r="Q885" i="6" s="1"/>
  <c r="R885" i="6" s="1"/>
  <c r="S884" i="6"/>
  <c r="T424" i="8"/>
  <c r="AO235" i="11"/>
  <c r="AV235" i="11" s="1"/>
  <c r="C2208" i="6"/>
  <c r="AT235" i="11"/>
  <c r="AS235" i="11"/>
  <c r="AX235" i="11" s="1"/>
  <c r="E2077" i="6"/>
  <c r="B2078" i="6"/>
  <c r="D2077" i="6"/>
  <c r="C2078" i="6" s="1"/>
  <c r="O1493" i="6"/>
  <c r="N1494" i="6" s="1"/>
  <c r="U861" i="8"/>
  <c r="P862" i="8" s="1"/>
  <c r="Q862" i="8" s="1"/>
  <c r="V862" i="8" s="1"/>
  <c r="T591" i="7"/>
  <c r="P1074" i="6"/>
  <c r="N1075" i="6" s="1"/>
  <c r="O1075" i="6" s="1"/>
  <c r="V262" i="12"/>
  <c r="E1946" i="6"/>
  <c r="B1947" i="6"/>
  <c r="D1946" i="6"/>
  <c r="T313" i="12"/>
  <c r="D2144" i="6"/>
  <c r="B2145" i="6"/>
  <c r="E2144" i="6"/>
  <c r="AS285" i="11"/>
  <c r="AX285" i="11" s="1"/>
  <c r="AV285" i="11"/>
  <c r="AU285" i="11"/>
  <c r="AY285" i="11" s="1"/>
  <c r="AT285" i="11"/>
  <c r="AQ285" i="11"/>
  <c r="AW285" i="11" s="1"/>
  <c r="AR285" i="11"/>
  <c r="Q838" i="6"/>
  <c r="R838" i="6" s="1"/>
  <c r="S260" i="8"/>
  <c r="R260" i="8"/>
  <c r="V260" i="8"/>
  <c r="R151" i="7"/>
  <c r="S151" i="7"/>
  <c r="U151" i="7" s="1"/>
  <c r="V151" i="7"/>
  <c r="U482" i="7"/>
  <c r="Q655" i="6"/>
  <c r="R655" i="6" s="1"/>
  <c r="N1322" i="6"/>
  <c r="P1322" i="6" s="1"/>
  <c r="V480" i="8"/>
  <c r="R480" i="8"/>
  <c r="T480" i="8" s="1"/>
  <c r="R482" i="7"/>
  <c r="T482" i="7" s="1"/>
  <c r="P205" i="12"/>
  <c r="Q205" i="12" s="1"/>
  <c r="S205" i="12" s="1"/>
  <c r="O1257" i="6"/>
  <c r="O1115" i="6"/>
  <c r="O1450" i="6"/>
  <c r="V869" i="7"/>
  <c r="R869" i="7"/>
  <c r="T869" i="7" s="1"/>
  <c r="T646" i="7"/>
  <c r="T316" i="8"/>
  <c r="T371" i="8"/>
  <c r="P149" i="8"/>
  <c r="S262" i="12"/>
  <c r="U262" i="12" s="1"/>
  <c r="Q647" i="8"/>
  <c r="P704" i="8"/>
  <c r="H282" i="11"/>
  <c r="I282" i="11" s="1"/>
  <c r="U758" i="8"/>
  <c r="Q691" i="6"/>
  <c r="R691" i="6" s="1"/>
  <c r="S799" i="6"/>
  <c r="Q800" i="6" s="1"/>
  <c r="R800" i="6" s="1"/>
  <c r="S927" i="6"/>
  <c r="Q928" i="6" s="1"/>
  <c r="R928" i="6" s="1"/>
  <c r="O1416" i="6"/>
  <c r="N1219" i="6"/>
  <c r="P1219" i="6" s="1"/>
  <c r="V591" i="8"/>
  <c r="S591" i="8"/>
  <c r="T148" i="8"/>
  <c r="V809" i="8"/>
  <c r="R809" i="8"/>
  <c r="T809" i="8" s="1"/>
  <c r="Q206" i="7"/>
  <c r="V482" i="7"/>
  <c r="P1157" i="6"/>
  <c r="N1158" i="6" s="1"/>
  <c r="O1158" i="6" s="1"/>
  <c r="P647" i="7"/>
  <c r="O1365" i="6"/>
  <c r="S593" i="6"/>
  <c r="Q594" i="6" s="1"/>
  <c r="R594" i="6" s="1"/>
  <c r="T262" i="7"/>
  <c r="P1087" i="8"/>
  <c r="Q1087" i="8" s="1"/>
  <c r="S1087" i="8" s="1"/>
  <c r="Q978" i="6"/>
  <c r="S978" i="6" s="1"/>
  <c r="V150" i="12"/>
  <c r="R150" i="12"/>
  <c r="T150" i="12" s="1"/>
  <c r="U809" i="7"/>
  <c r="S2917" i="6"/>
  <c r="Q2918" i="6" s="1"/>
  <c r="R2918" i="6" s="1"/>
  <c r="V921" i="7"/>
  <c r="S921" i="7"/>
  <c r="Q1032" i="6"/>
  <c r="S1032" i="6" s="1"/>
  <c r="S1031" i="8"/>
  <c r="V1031" i="8"/>
  <c r="R591" i="8"/>
  <c r="U313" i="12"/>
  <c r="T703" i="8"/>
  <c r="Q702" i="7"/>
  <c r="V756" i="7"/>
  <c r="S756" i="7"/>
  <c r="U756" i="7" s="1"/>
  <c r="CQ232" i="11"/>
  <c r="CP232" i="11"/>
  <c r="CO232" i="11"/>
  <c r="CN232" i="11"/>
  <c r="CL232" i="11"/>
  <c r="CK232" i="11"/>
  <c r="CM232" i="11"/>
  <c r="Q739" i="6"/>
  <c r="R739" i="6" s="1"/>
  <c r="U424" i="8"/>
  <c r="S535" i="8"/>
  <c r="U535" i="8" s="1"/>
  <c r="V535" i="8"/>
  <c r="S425" i="7"/>
  <c r="U425" i="7" s="1"/>
  <c r="V425" i="7"/>
  <c r="Q534" i="7"/>
  <c r="F234" i="11"/>
  <c r="V920" i="8"/>
  <c r="S920" i="8"/>
  <c r="U920" i="8" s="1"/>
  <c r="U591" i="7"/>
  <c r="R921" i="7"/>
  <c r="Q208" i="8"/>
  <c r="Q372" i="7"/>
  <c r="R372" i="7" s="1"/>
  <c r="R1031" i="8"/>
  <c r="R975" i="8"/>
  <c r="T975" i="8" s="1"/>
  <c r="V975" i="8"/>
  <c r="U260" i="8" l="1"/>
  <c r="H234" i="11"/>
  <c r="I234" i="11" s="1"/>
  <c r="U150" i="12"/>
  <c r="D2015" i="6"/>
  <c r="E2015" i="6"/>
  <c r="B2016" i="6"/>
  <c r="C2016" i="6"/>
  <c r="U1031" i="8"/>
  <c r="P1032" i="8" s="1"/>
  <c r="R315" i="7"/>
  <c r="V315" i="7"/>
  <c r="O1494" i="6"/>
  <c r="N1495" i="6" s="1"/>
  <c r="O1495" i="6" s="1"/>
  <c r="P1494" i="6"/>
  <c r="P1495" i="6" s="1"/>
  <c r="S655" i="6"/>
  <c r="B2079" i="6"/>
  <c r="E2078" i="6"/>
  <c r="D2078" i="6"/>
  <c r="C2079" i="6" s="1"/>
  <c r="C2145" i="6"/>
  <c r="S691" i="6"/>
  <c r="Q692" i="6" s="1"/>
  <c r="R978" i="6"/>
  <c r="T756" i="7"/>
  <c r="D2208" i="6"/>
  <c r="B2209" i="6"/>
  <c r="E2208" i="6"/>
  <c r="BA235" i="11"/>
  <c r="AQ235" i="11"/>
  <c r="AW235" i="11" s="1"/>
  <c r="AR235" i="11"/>
  <c r="AU235" i="11"/>
  <c r="AY235" i="11" s="1"/>
  <c r="BD235" i="11" s="1"/>
  <c r="BC235" i="11" s="1"/>
  <c r="U975" i="8"/>
  <c r="P976" i="8" s="1"/>
  <c r="Q976" i="8" s="1"/>
  <c r="S885" i="6"/>
  <c r="Q886" i="6" s="1"/>
  <c r="S886" i="6" s="1"/>
  <c r="C1947" i="6"/>
  <c r="T921" i="7"/>
  <c r="T591" i="8"/>
  <c r="U869" i="7"/>
  <c r="P870" i="7" s="1"/>
  <c r="Q870" i="7" s="1"/>
  <c r="R870" i="7" s="1"/>
  <c r="T425" i="7"/>
  <c r="O282" i="11"/>
  <c r="S282" i="11" s="1"/>
  <c r="P282" i="11"/>
  <c r="N282" i="11"/>
  <c r="M282" i="11"/>
  <c r="R282" i="11" s="1"/>
  <c r="U282" i="11" s="1"/>
  <c r="L282" i="11"/>
  <c r="K282" i="11"/>
  <c r="Q282" i="11" s="1"/>
  <c r="T282" i="11" s="1"/>
  <c r="Q656" i="6"/>
  <c r="R656" i="6" s="1"/>
  <c r="P425" i="8"/>
  <c r="Q425" i="8" s="1"/>
  <c r="S425" i="8" s="1"/>
  <c r="P759" i="8"/>
  <c r="Q759" i="8" s="1"/>
  <c r="S759" i="8" s="1"/>
  <c r="S862" i="8"/>
  <c r="T262" i="12"/>
  <c r="Q263" i="7"/>
  <c r="R263" i="7" s="1"/>
  <c r="N1417" i="6"/>
  <c r="P1417" i="6" s="1"/>
  <c r="N1258" i="6"/>
  <c r="P1258" i="6" s="1"/>
  <c r="V206" i="7"/>
  <c r="S206" i="7"/>
  <c r="T151" i="7"/>
  <c r="N234" i="11"/>
  <c r="M234" i="11"/>
  <c r="R234" i="11" s="1"/>
  <c r="U234" i="11" s="1"/>
  <c r="Q647" i="7"/>
  <c r="R647" i="7" s="1"/>
  <c r="S2918" i="6"/>
  <c r="Q2919" i="6" s="1"/>
  <c r="R2919" i="6" s="1"/>
  <c r="S838" i="6"/>
  <c r="Q839" i="6" s="1"/>
  <c r="R839" i="6" s="1"/>
  <c r="AZ285" i="11"/>
  <c r="O1322" i="6"/>
  <c r="S702" i="7"/>
  <c r="V702" i="7"/>
  <c r="N1116" i="6"/>
  <c r="P1116" i="6" s="1"/>
  <c r="P592" i="7"/>
  <c r="Q592" i="7" s="1"/>
  <c r="S592" i="7" s="1"/>
  <c r="O1219" i="6"/>
  <c r="BP233" i="11"/>
  <c r="P483" i="7"/>
  <c r="BO233" i="11"/>
  <c r="CR232" i="11"/>
  <c r="BV233" i="11" s="1"/>
  <c r="BQ233" i="11"/>
  <c r="R205" i="12"/>
  <c r="T205" i="12" s="1"/>
  <c r="V205" i="12"/>
  <c r="U921" i="7"/>
  <c r="R206" i="7"/>
  <c r="T206" i="7" s="1"/>
  <c r="Q317" i="8"/>
  <c r="R317" i="8" s="1"/>
  <c r="N1366" i="6"/>
  <c r="P1366" i="6" s="1"/>
  <c r="S315" i="7"/>
  <c r="P426" i="7"/>
  <c r="Q426" i="7" s="1"/>
  <c r="R702" i="7"/>
  <c r="T702" i="7" s="1"/>
  <c r="P1075" i="6"/>
  <c r="T260" i="8"/>
  <c r="R1087" i="8"/>
  <c r="T1087" i="8" s="1"/>
  <c r="V1087" i="8"/>
  <c r="R862" i="8"/>
  <c r="P921" i="8"/>
  <c r="R1032" i="6"/>
  <c r="P151" i="12"/>
  <c r="Q151" i="12" s="1"/>
  <c r="Q372" i="8"/>
  <c r="R372" i="8" s="1"/>
  <c r="Q483" i="7"/>
  <c r="R483" i="7" s="1"/>
  <c r="S739" i="6"/>
  <c r="Q740" i="6" s="1"/>
  <c r="R740" i="6" s="1"/>
  <c r="S208" i="8"/>
  <c r="V208" i="8"/>
  <c r="U480" i="8"/>
  <c r="P1158" i="6"/>
  <c r="S647" i="8"/>
  <c r="V647" i="8"/>
  <c r="N1451" i="6"/>
  <c r="P1451" i="6" s="1"/>
  <c r="P261" i="8"/>
  <c r="BA285" i="11"/>
  <c r="P536" i="8"/>
  <c r="P314" i="12"/>
  <c r="Q314" i="12" s="1"/>
  <c r="K234" i="11"/>
  <c r="Q234" i="11" s="1"/>
  <c r="O234" i="11"/>
  <c r="S234" i="11" s="1"/>
  <c r="P234" i="11"/>
  <c r="P263" i="12"/>
  <c r="T535" i="8"/>
  <c r="S594" i="6"/>
  <c r="Q595" i="6" s="1"/>
  <c r="R595" i="6" s="1"/>
  <c r="P152" i="7"/>
  <c r="V534" i="7"/>
  <c r="S534" i="7"/>
  <c r="R534" i="7"/>
  <c r="T534" i="7" s="1"/>
  <c r="P810" i="7"/>
  <c r="Q810" i="7" s="1"/>
  <c r="S810" i="7" s="1"/>
  <c r="S928" i="6"/>
  <c r="Q929" i="6" s="1"/>
  <c r="R929" i="6" s="1"/>
  <c r="T1031" i="8"/>
  <c r="Q149" i="8"/>
  <c r="V372" i="7"/>
  <c r="S372" i="7"/>
  <c r="U372" i="7" s="1"/>
  <c r="Q979" i="6"/>
  <c r="R979" i="6" s="1"/>
  <c r="U591" i="8"/>
  <c r="S800" i="6"/>
  <c r="Q801" i="6" s="1"/>
  <c r="R801" i="6" s="1"/>
  <c r="R208" i="8"/>
  <c r="T208" i="8" s="1"/>
  <c r="P757" i="7"/>
  <c r="Q757" i="7" s="1"/>
  <c r="Q704" i="8"/>
  <c r="R704" i="8" s="1"/>
  <c r="R647" i="8"/>
  <c r="L234" i="11"/>
  <c r="U809" i="8"/>
  <c r="T920" i="8"/>
  <c r="S656" i="6" l="1"/>
  <c r="S979" i="6"/>
  <c r="E2016" i="6"/>
  <c r="B2017" i="6"/>
  <c r="D2016" i="6"/>
  <c r="C2017" i="6" s="1"/>
  <c r="U862" i="8"/>
  <c r="U315" i="7"/>
  <c r="R692" i="6"/>
  <c r="Q693" i="6" s="1"/>
  <c r="S693" i="6" s="1"/>
  <c r="S692" i="6"/>
  <c r="B1948" i="6"/>
  <c r="E1947" i="6"/>
  <c r="D1947" i="6"/>
  <c r="C1948" i="6" s="1"/>
  <c r="T372" i="7"/>
  <c r="Q373" i="7" s="1"/>
  <c r="B2080" i="6"/>
  <c r="D2079" i="6"/>
  <c r="E2079" i="6"/>
  <c r="U1087" i="8"/>
  <c r="P1088" i="8" s="1"/>
  <c r="Q1088" i="8" s="1"/>
  <c r="AZ235" i="11"/>
  <c r="BB235" i="11" s="1"/>
  <c r="BM235" i="11" s="1"/>
  <c r="C2209" i="6"/>
  <c r="D2145" i="6"/>
  <c r="E2145" i="6"/>
  <c r="B2146" i="6"/>
  <c r="T315" i="7"/>
  <c r="Q316" i="7" s="1"/>
  <c r="V316" i="7" s="1"/>
  <c r="U647" i="8"/>
  <c r="P648" i="8" s="1"/>
  <c r="S483" i="7"/>
  <c r="T483" i="7" s="1"/>
  <c r="V483" i="7"/>
  <c r="V976" i="8"/>
  <c r="R976" i="8"/>
  <c r="S976" i="8"/>
  <c r="R151" i="12"/>
  <c r="V151" i="12"/>
  <c r="S151" i="12"/>
  <c r="N1496" i="6"/>
  <c r="O1496" i="6" s="1"/>
  <c r="Q657" i="6"/>
  <c r="R657" i="6" s="1"/>
  <c r="R757" i="7"/>
  <c r="S757" i="7"/>
  <c r="U757" i="7" s="1"/>
  <c r="V757" i="7"/>
  <c r="V426" i="7"/>
  <c r="S426" i="7"/>
  <c r="R426" i="7"/>
  <c r="Q980" i="6"/>
  <c r="R980" i="6" s="1"/>
  <c r="O1451" i="6"/>
  <c r="S839" i="6"/>
  <c r="Q840" i="6" s="1"/>
  <c r="R840" i="6" s="1"/>
  <c r="N1220" i="6"/>
  <c r="P1220" i="6" s="1"/>
  <c r="Q921" i="8"/>
  <c r="U208" i="8"/>
  <c r="T234" i="11"/>
  <c r="W234" i="11" s="1"/>
  <c r="X234" i="11"/>
  <c r="V314" i="12"/>
  <c r="R314" i="12"/>
  <c r="U205" i="12"/>
  <c r="S149" i="8"/>
  <c r="V149" i="8"/>
  <c r="S740" i="6"/>
  <c r="Q741" i="6" s="1"/>
  <c r="R741" i="6" s="1"/>
  <c r="T862" i="8"/>
  <c r="BR233" i="11"/>
  <c r="Q152" i="7"/>
  <c r="R152" i="7" s="1"/>
  <c r="N1323" i="6"/>
  <c r="P1323" i="6" s="1"/>
  <c r="U534" i="7"/>
  <c r="P922" i="7"/>
  <c r="Q922" i="7" s="1"/>
  <c r="S922" i="7" s="1"/>
  <c r="P810" i="8"/>
  <c r="Q810" i="8" s="1"/>
  <c r="S810" i="8"/>
  <c r="S647" i="7"/>
  <c r="U647" i="7" s="1"/>
  <c r="V647" i="7"/>
  <c r="P373" i="7"/>
  <c r="V870" i="7"/>
  <c r="T647" i="8"/>
  <c r="S314" i="12"/>
  <c r="Q1032" i="8"/>
  <c r="BM285" i="11"/>
  <c r="BS233" i="11"/>
  <c r="S870" i="7"/>
  <c r="U870" i="7" s="1"/>
  <c r="AG282" i="11"/>
  <c r="O1366" i="6"/>
  <c r="O1258" i="6"/>
  <c r="V372" i="8"/>
  <c r="S372" i="8"/>
  <c r="U372" i="8" s="1"/>
  <c r="P592" i="8"/>
  <c r="Q592" i="8" s="1"/>
  <c r="S592" i="8" s="1"/>
  <c r="P481" i="8"/>
  <c r="Q481" i="8" s="1"/>
  <c r="S481" i="8" s="1"/>
  <c r="S2919" i="6"/>
  <c r="Q2920" i="6" s="1"/>
  <c r="R2920" i="6" s="1"/>
  <c r="R886" i="6"/>
  <c r="Q1033" i="6"/>
  <c r="S1033" i="6" s="1"/>
  <c r="P863" i="8"/>
  <c r="R149" i="8"/>
  <c r="S704" i="8"/>
  <c r="U704" i="8" s="1"/>
  <c r="V704" i="8"/>
  <c r="S929" i="6"/>
  <c r="Q930" i="6" s="1"/>
  <c r="R930" i="6" s="1"/>
  <c r="R759" i="8"/>
  <c r="T759" i="8" s="1"/>
  <c r="V759" i="8"/>
  <c r="Q261" i="8"/>
  <c r="R261" i="8" s="1"/>
  <c r="N1076" i="6"/>
  <c r="O1076" i="6" s="1"/>
  <c r="S801" i="6"/>
  <c r="V317" i="8"/>
  <c r="S317" i="8"/>
  <c r="U317" i="8" s="1"/>
  <c r="O1417" i="6"/>
  <c r="V263" i="7"/>
  <c r="S263" i="7"/>
  <c r="U263" i="7" s="1"/>
  <c r="V592" i="7"/>
  <c r="R592" i="7"/>
  <c r="T592" i="7" s="1"/>
  <c r="S595" i="6"/>
  <c r="Q596" i="6" s="1"/>
  <c r="R596" i="6" s="1"/>
  <c r="Q263" i="12"/>
  <c r="R263" i="12" s="1"/>
  <c r="O1116" i="6"/>
  <c r="N1159" i="6"/>
  <c r="O1159" i="6" s="1"/>
  <c r="T704" i="8"/>
  <c r="V810" i="7"/>
  <c r="R810" i="7"/>
  <c r="T810" i="7" s="1"/>
  <c r="Q536" i="8"/>
  <c r="P316" i="7"/>
  <c r="U702" i="7"/>
  <c r="U206" i="7"/>
  <c r="V425" i="8"/>
  <c r="R425" i="8"/>
  <c r="T425" i="8" s="1"/>
  <c r="S980" i="6" l="1"/>
  <c r="E2017" i="6"/>
  <c r="B2018" i="6"/>
  <c r="D2017" i="6"/>
  <c r="C2018" i="6"/>
  <c r="U483" i="7"/>
  <c r="U149" i="8"/>
  <c r="C2146" i="6"/>
  <c r="U810" i="7"/>
  <c r="P811" i="7" s="1"/>
  <c r="Q811" i="7" s="1"/>
  <c r="U151" i="12"/>
  <c r="P152" i="12" s="1"/>
  <c r="E1948" i="6"/>
  <c r="D1948" i="6"/>
  <c r="B1949" i="6"/>
  <c r="C1949" i="6" s="1"/>
  <c r="D2146" i="6"/>
  <c r="E2146" i="6"/>
  <c r="B2147" i="6"/>
  <c r="BJ235" i="11"/>
  <c r="BK235" i="11"/>
  <c r="BH235" i="11"/>
  <c r="BG235" i="11"/>
  <c r="BI235" i="11"/>
  <c r="BE235" i="11"/>
  <c r="BF235" i="11"/>
  <c r="R373" i="7"/>
  <c r="S373" i="7"/>
  <c r="U373" i="7" s="1"/>
  <c r="V373" i="7"/>
  <c r="C2080" i="6"/>
  <c r="U426" i="7"/>
  <c r="T647" i="7"/>
  <c r="T317" i="8"/>
  <c r="D2209" i="6"/>
  <c r="C2210" i="6" s="1"/>
  <c r="E2209" i="6"/>
  <c r="B2210" i="6"/>
  <c r="T870" i="7"/>
  <c r="U314" i="12"/>
  <c r="P315" i="12" s="1"/>
  <c r="T976" i="8"/>
  <c r="T372" i="8"/>
  <c r="Q373" i="8" s="1"/>
  <c r="P1496" i="6"/>
  <c r="N1497" i="6" s="1"/>
  <c r="P1497" i="6" s="1"/>
  <c r="R1088" i="8"/>
  <c r="S1088" i="8"/>
  <c r="U1088" i="8" s="1"/>
  <c r="V1088" i="8"/>
  <c r="Q981" i="6"/>
  <c r="R981" i="6" s="1"/>
  <c r="Q597" i="6"/>
  <c r="R597" i="6" s="1"/>
  <c r="P703" i="7"/>
  <c r="Q703" i="7" s="1"/>
  <c r="N1452" i="6"/>
  <c r="P1452" i="6" s="1"/>
  <c r="N1367" i="6"/>
  <c r="P1367" i="6" s="1"/>
  <c r="P648" i="7"/>
  <c r="P264" i="7"/>
  <c r="Q887" i="6"/>
  <c r="S887" i="6" s="1"/>
  <c r="S2920" i="6"/>
  <c r="Q2921" i="6" s="1"/>
  <c r="R2921" i="6" s="1"/>
  <c r="P871" i="7"/>
  <c r="Q871" i="7" s="1"/>
  <c r="S871" i="7" s="1"/>
  <c r="O1220" i="6"/>
  <c r="S657" i="6"/>
  <c r="R693" i="6"/>
  <c r="T151" i="12"/>
  <c r="Q648" i="8"/>
  <c r="R648" i="8" s="1"/>
  <c r="P207" i="7"/>
  <c r="Q207" i="7" s="1"/>
  <c r="R316" i="7"/>
  <c r="S536" i="8"/>
  <c r="V536" i="8"/>
  <c r="X283" i="11"/>
  <c r="AC282" i="11"/>
  <c r="AB282" i="11"/>
  <c r="AA282" i="11"/>
  <c r="AE282" i="11"/>
  <c r="W283" i="11"/>
  <c r="V283" i="11"/>
  <c r="Z282" i="11"/>
  <c r="Y282" i="11"/>
  <c r="AD282" i="11"/>
  <c r="P535" i="7"/>
  <c r="Q535" i="7" s="1"/>
  <c r="S535" i="7"/>
  <c r="R536" i="8"/>
  <c r="P150" i="8"/>
  <c r="N1418" i="6"/>
  <c r="P1418" i="6" s="1"/>
  <c r="P206" i="12"/>
  <c r="Q206" i="12" s="1"/>
  <c r="S206" i="12" s="1"/>
  <c r="P705" i="8"/>
  <c r="Q705" i="8" s="1"/>
  <c r="R592" i="8"/>
  <c r="T592" i="8" s="1"/>
  <c r="V592" i="8"/>
  <c r="BF285" i="11"/>
  <c r="BE285" i="11"/>
  <c r="BJ285" i="11"/>
  <c r="BD286" i="11"/>
  <c r="BG285" i="11"/>
  <c r="BI285" i="11"/>
  <c r="BH285" i="11"/>
  <c r="BK285" i="11"/>
  <c r="BC286" i="11"/>
  <c r="BB286" i="11"/>
  <c r="O1323" i="6"/>
  <c r="U976" i="8"/>
  <c r="N1259" i="6"/>
  <c r="P1259" i="6" s="1"/>
  <c r="V152" i="7"/>
  <c r="S152" i="7"/>
  <c r="U152" i="7" s="1"/>
  <c r="Q802" i="6"/>
  <c r="R802" i="6" s="1"/>
  <c r="S316" i="7"/>
  <c r="S596" i="6"/>
  <c r="P209" i="8"/>
  <c r="Q209" i="8" s="1"/>
  <c r="S209" i="8" s="1"/>
  <c r="S921" i="8"/>
  <c r="V921" i="8"/>
  <c r="R1033" i="6"/>
  <c r="P1076" i="6"/>
  <c r="S741" i="6"/>
  <c r="Q742" i="6" s="1"/>
  <c r="R742" i="6" s="1"/>
  <c r="R922" i="7"/>
  <c r="T922" i="7" s="1"/>
  <c r="V922" i="7"/>
  <c r="R481" i="8"/>
  <c r="T481" i="8" s="1"/>
  <c r="V481" i="8"/>
  <c r="T314" i="12"/>
  <c r="T263" i="7"/>
  <c r="P318" i="8"/>
  <c r="T149" i="8"/>
  <c r="V1032" i="8"/>
  <c r="S1032" i="8"/>
  <c r="V234" i="11"/>
  <c r="AG234" i="11" s="1"/>
  <c r="P1159" i="6"/>
  <c r="P427" i="7"/>
  <c r="V263" i="12"/>
  <c r="S263" i="12"/>
  <c r="U263" i="12" s="1"/>
  <c r="S261" i="8"/>
  <c r="U261" i="8" s="1"/>
  <c r="V261" i="8"/>
  <c r="P758" i="7"/>
  <c r="T757" i="7"/>
  <c r="U425" i="8"/>
  <c r="Q863" i="8"/>
  <c r="P484" i="7"/>
  <c r="Q484" i="7" s="1"/>
  <c r="S484" i="7" s="1"/>
  <c r="R921" i="8"/>
  <c r="V810" i="8"/>
  <c r="R810" i="8"/>
  <c r="T810" i="8" s="1"/>
  <c r="U592" i="7"/>
  <c r="U759" i="8"/>
  <c r="S930" i="6"/>
  <c r="Q931" i="6" s="1"/>
  <c r="R931" i="6" s="1"/>
  <c r="N1160" i="6"/>
  <c r="O1160" i="6" s="1"/>
  <c r="N1117" i="6"/>
  <c r="P1117" i="6" s="1"/>
  <c r="BT233" i="11"/>
  <c r="BU233" i="11" s="1"/>
  <c r="CB233" i="11" s="1"/>
  <c r="P373" i="8"/>
  <c r="R1032" i="8"/>
  <c r="S840" i="6"/>
  <c r="Q841" i="6" s="1"/>
  <c r="R841" i="6" s="1"/>
  <c r="T426" i="7"/>
  <c r="T263" i="12" l="1"/>
  <c r="Q318" i="8"/>
  <c r="V318" i="8" s="1"/>
  <c r="Q648" i="7"/>
  <c r="U316" i="7"/>
  <c r="U810" i="8"/>
  <c r="E2018" i="6"/>
  <c r="D2018" i="6"/>
  <c r="B2019" i="6"/>
  <c r="U536" i="8"/>
  <c r="P537" i="8" s="1"/>
  <c r="R373" i="8"/>
  <c r="V373" i="8"/>
  <c r="R887" i="6"/>
  <c r="Q888" i="6" s="1"/>
  <c r="R888" i="6" s="1"/>
  <c r="AJ236" i="11"/>
  <c r="U921" i="8"/>
  <c r="P922" i="8" s="1"/>
  <c r="C2147" i="6"/>
  <c r="T373" i="7"/>
  <c r="BL235" i="11"/>
  <c r="AP236" i="11" s="1"/>
  <c r="AK236" i="11"/>
  <c r="AI236" i="11"/>
  <c r="AM236" i="11"/>
  <c r="BY233" i="11"/>
  <c r="CD233" i="11" s="1"/>
  <c r="CG233" i="11" s="1"/>
  <c r="E2210" i="6"/>
  <c r="B2211" i="6"/>
  <c r="D2210" i="6"/>
  <c r="C2211" i="6" s="1"/>
  <c r="D1949" i="6"/>
  <c r="B1950" i="6"/>
  <c r="E1949" i="6"/>
  <c r="O1418" i="6"/>
  <c r="T261" i="8"/>
  <c r="U1032" i="8"/>
  <c r="P1033" i="8" s="1"/>
  <c r="S802" i="6"/>
  <c r="Q803" i="6" s="1"/>
  <c r="S803" i="6" s="1"/>
  <c r="CA233" i="11"/>
  <c r="CE233" i="11" s="1"/>
  <c r="BZ233" i="11"/>
  <c r="B2081" i="6"/>
  <c r="E2080" i="6"/>
  <c r="D2080" i="6"/>
  <c r="C2081" i="6" s="1"/>
  <c r="V648" i="7"/>
  <c r="R648" i="7"/>
  <c r="S648" i="7"/>
  <c r="U648" i="7" s="1"/>
  <c r="R705" i="8"/>
  <c r="S705" i="8"/>
  <c r="U705" i="8" s="1"/>
  <c r="V705" i="8"/>
  <c r="R811" i="7"/>
  <c r="V811" i="7"/>
  <c r="S811" i="7"/>
  <c r="Q264" i="7"/>
  <c r="AI286" i="11"/>
  <c r="BL285" i="11"/>
  <c r="AP286" i="11" s="1"/>
  <c r="Q315" i="12"/>
  <c r="V863" i="8"/>
  <c r="S863" i="8"/>
  <c r="U863" i="8" s="1"/>
  <c r="P811" i="8"/>
  <c r="Q811" i="8" s="1"/>
  <c r="S931" i="6"/>
  <c r="R871" i="7"/>
  <c r="T871" i="7" s="1"/>
  <c r="O1497" i="6"/>
  <c r="P426" i="8"/>
  <c r="Q426" i="8" s="1"/>
  <c r="S426" i="8" s="1"/>
  <c r="S841" i="6"/>
  <c r="Q842" i="6" s="1"/>
  <c r="R842" i="6" s="1"/>
  <c r="O1259" i="6"/>
  <c r="T316" i="7"/>
  <c r="T152" i="7"/>
  <c r="S373" i="8"/>
  <c r="U373" i="8" s="1"/>
  <c r="V871" i="7"/>
  <c r="AJ286" i="11"/>
  <c r="D283" i="11"/>
  <c r="S981" i="6"/>
  <c r="Q982" i="6" s="1"/>
  <c r="R982" i="6" s="1"/>
  <c r="R703" i="7"/>
  <c r="V703" i="7"/>
  <c r="T536" i="8"/>
  <c r="R318" i="8"/>
  <c r="P317" i="7"/>
  <c r="P1160" i="6"/>
  <c r="N1161" i="6" s="1"/>
  <c r="O1161" i="6" s="1"/>
  <c r="P1089" i="8"/>
  <c r="P760" i="8"/>
  <c r="Q760" i="8" s="1"/>
  <c r="T1032" i="8"/>
  <c r="P593" i="7"/>
  <c r="Q593" i="7" s="1"/>
  <c r="S593" i="7"/>
  <c r="Q150" i="8"/>
  <c r="R150" i="8" s="1"/>
  <c r="V206" i="12"/>
  <c r="R206" i="12"/>
  <c r="T206" i="12" s="1"/>
  <c r="R207" i="7"/>
  <c r="V207" i="7"/>
  <c r="S2921" i="6"/>
  <c r="O1452" i="6"/>
  <c r="O1117" i="6"/>
  <c r="R535" i="7"/>
  <c r="T535" i="7" s="1"/>
  <c r="V535" i="7"/>
  <c r="P977" i="8"/>
  <c r="Q977" i="8" s="1"/>
  <c r="S977" i="8" s="1"/>
  <c r="P153" i="7"/>
  <c r="Q758" i="7"/>
  <c r="R758" i="7" s="1"/>
  <c r="C283" i="11"/>
  <c r="AF282" i="11"/>
  <c r="J283" i="11" s="1"/>
  <c r="Q1034" i="6"/>
  <c r="S1034" i="6" s="1"/>
  <c r="P262" i="8"/>
  <c r="O1367" i="6"/>
  <c r="P264" i="12"/>
  <c r="Q264" i="12" s="1"/>
  <c r="S264" i="12" s="1"/>
  <c r="T921" i="8"/>
  <c r="S318" i="8"/>
  <c r="R209" i="8"/>
  <c r="T209" i="8" s="1"/>
  <c r="V209" i="8"/>
  <c r="G283" i="11"/>
  <c r="S207" i="7"/>
  <c r="U207" i="7" s="1"/>
  <c r="Q658" i="6"/>
  <c r="R658" i="6" s="1"/>
  <c r="Q152" i="12"/>
  <c r="Q694" i="6"/>
  <c r="S694" i="6" s="1"/>
  <c r="R863" i="8"/>
  <c r="N1324" i="6"/>
  <c r="P1324" i="6" s="1"/>
  <c r="Z234" i="11"/>
  <c r="Y234" i="11"/>
  <c r="AE234" i="11"/>
  <c r="AD234" i="11"/>
  <c r="AC234" i="11"/>
  <c r="AB234" i="11"/>
  <c r="AA234" i="11"/>
  <c r="S742" i="6"/>
  <c r="U481" i="8"/>
  <c r="Q427" i="7"/>
  <c r="N1221" i="6"/>
  <c r="P1221" i="6" s="1"/>
  <c r="U922" i="7"/>
  <c r="T1088" i="8"/>
  <c r="P374" i="7"/>
  <c r="U592" i="8"/>
  <c r="BX233" i="11"/>
  <c r="BW233" i="11"/>
  <c r="CC233" i="11" s="1"/>
  <c r="V484" i="7"/>
  <c r="R484" i="7"/>
  <c r="T484" i="7" s="1"/>
  <c r="N1077" i="6"/>
  <c r="O1077" i="6" s="1"/>
  <c r="S597" i="6"/>
  <c r="N1419" i="6"/>
  <c r="O1419" i="6" s="1"/>
  <c r="S648" i="8"/>
  <c r="U648" i="8" s="1"/>
  <c r="V648" i="8"/>
  <c r="S703" i="7"/>
  <c r="P1419" i="6" l="1"/>
  <c r="S658" i="6"/>
  <c r="C2019" i="6"/>
  <c r="Q262" i="8"/>
  <c r="R262" i="8" s="1"/>
  <c r="Q374" i="7"/>
  <c r="S374" i="7" s="1"/>
  <c r="U206" i="12"/>
  <c r="AL286" i="11"/>
  <c r="AL236" i="11"/>
  <c r="E2211" i="6"/>
  <c r="D2211" i="6"/>
  <c r="B2212" i="6"/>
  <c r="C2212" i="6" s="1"/>
  <c r="AK286" i="11"/>
  <c r="AN286" i="11" s="1"/>
  <c r="AO286" i="11" s="1"/>
  <c r="E2147" i="6"/>
  <c r="D2147" i="6"/>
  <c r="B2148" i="6"/>
  <c r="C2148" i="6" s="1"/>
  <c r="T318" i="8"/>
  <c r="B2082" i="6"/>
  <c r="D2081" i="6"/>
  <c r="E2081" i="6"/>
  <c r="S888" i="6"/>
  <c r="Q889" i="6" s="1"/>
  <c r="R889" i="6" s="1"/>
  <c r="U535" i="7"/>
  <c r="P536" i="7" s="1"/>
  <c r="Q536" i="7" s="1"/>
  <c r="AM286" i="11"/>
  <c r="U703" i="7"/>
  <c r="P704" i="7" s="1"/>
  <c r="E283" i="11"/>
  <c r="U811" i="7"/>
  <c r="P812" i="7" s="1"/>
  <c r="C1950" i="6"/>
  <c r="N1420" i="6"/>
  <c r="O1420" i="6" s="1"/>
  <c r="R811" i="8"/>
  <c r="V811" i="8"/>
  <c r="S811" i="8"/>
  <c r="U811" i="8" s="1"/>
  <c r="S262" i="8"/>
  <c r="N1498" i="6"/>
  <c r="P1498" i="6" s="1"/>
  <c r="P207" i="12"/>
  <c r="Q207" i="12" s="1"/>
  <c r="R207" i="12" s="1"/>
  <c r="P208" i="7"/>
  <c r="CF233" i="11"/>
  <c r="CH233" i="11" s="1"/>
  <c r="CI233" i="11"/>
  <c r="Q1033" i="8"/>
  <c r="V760" i="8"/>
  <c r="R760" i="8"/>
  <c r="Q153" i="7"/>
  <c r="P482" i="8"/>
  <c r="Q482" i="8" s="1"/>
  <c r="S482" i="8" s="1"/>
  <c r="R803" i="6"/>
  <c r="Q317" i="7"/>
  <c r="V264" i="12"/>
  <c r="Q1089" i="8"/>
  <c r="R694" i="6"/>
  <c r="P1161" i="6"/>
  <c r="V315" i="12"/>
  <c r="S315" i="12"/>
  <c r="T811" i="7"/>
  <c r="Q743" i="6"/>
  <c r="R743" i="6" s="1"/>
  <c r="S659" i="6"/>
  <c r="V758" i="7"/>
  <c r="S758" i="7"/>
  <c r="U758" i="7" s="1"/>
  <c r="C235" i="11"/>
  <c r="AF234" i="11"/>
  <c r="J235" i="11" s="1"/>
  <c r="R593" i="7"/>
  <c r="T593" i="7" s="1"/>
  <c r="V593" i="7"/>
  <c r="U871" i="7"/>
  <c r="V264" i="7"/>
  <c r="S264" i="7"/>
  <c r="P374" i="8"/>
  <c r="T705" i="8"/>
  <c r="N1260" i="6"/>
  <c r="P1260" i="6" s="1"/>
  <c r="S842" i="6"/>
  <c r="V152" i="12"/>
  <c r="S152" i="12"/>
  <c r="U152" i="12" s="1"/>
  <c r="S982" i="6"/>
  <c r="R315" i="12"/>
  <c r="P649" i="7"/>
  <c r="O1221" i="6"/>
  <c r="N1368" i="6"/>
  <c r="P1368" i="6" s="1"/>
  <c r="S427" i="7"/>
  <c r="V427" i="7"/>
  <c r="R427" i="7"/>
  <c r="N1453" i="6"/>
  <c r="P1453" i="6" s="1"/>
  <c r="Q537" i="8"/>
  <c r="R537" i="8" s="1"/>
  <c r="P593" i="8"/>
  <c r="Q593" i="8" s="1"/>
  <c r="P1077" i="6"/>
  <c r="R1034" i="6"/>
  <c r="P864" i="8"/>
  <c r="T863" i="8"/>
  <c r="T703" i="7"/>
  <c r="Q2922" i="6"/>
  <c r="R2922" i="6" s="1"/>
  <c r="R264" i="12"/>
  <c r="T264" i="12" s="1"/>
  <c r="U209" i="8"/>
  <c r="D235" i="11"/>
  <c r="Q922" i="8"/>
  <c r="N1118" i="6"/>
  <c r="P1118" i="6" s="1"/>
  <c r="R152" i="12"/>
  <c r="T648" i="7"/>
  <c r="Q659" i="6"/>
  <c r="R659" i="6" s="1"/>
  <c r="V977" i="8"/>
  <c r="R977" i="8"/>
  <c r="T977" i="8" s="1"/>
  <c r="Q598" i="6"/>
  <c r="R598" i="6" s="1"/>
  <c r="O1324" i="6"/>
  <c r="R264" i="7"/>
  <c r="T264" i="7" s="1"/>
  <c r="T207" i="7"/>
  <c r="U484" i="7"/>
  <c r="S760" i="8"/>
  <c r="P706" i="8"/>
  <c r="U318" i="8"/>
  <c r="T373" i="8"/>
  <c r="V150" i="8"/>
  <c r="S150" i="8"/>
  <c r="U150" i="8" s="1"/>
  <c r="P649" i="8"/>
  <c r="P923" i="7"/>
  <c r="Q923" i="7" s="1"/>
  <c r="T648" i="8"/>
  <c r="F283" i="11"/>
  <c r="V426" i="8"/>
  <c r="R426" i="8"/>
  <c r="T426" i="8" s="1"/>
  <c r="Q932" i="6"/>
  <c r="R932" i="6" s="1"/>
  <c r="H283" i="11" l="1"/>
  <c r="I283" i="11" s="1"/>
  <c r="V262" i="8"/>
  <c r="B2020" i="6"/>
  <c r="D2019" i="6"/>
  <c r="E2019" i="6"/>
  <c r="V374" i="7"/>
  <c r="S598" i="6"/>
  <c r="S599" i="6" s="1"/>
  <c r="U264" i="12"/>
  <c r="P265" i="12" s="1"/>
  <c r="Q265" i="12" s="1"/>
  <c r="C2082" i="6"/>
  <c r="U262" i="8"/>
  <c r="P263" i="8" s="1"/>
  <c r="R374" i="7"/>
  <c r="T374" i="7" s="1"/>
  <c r="B2083" i="6"/>
  <c r="D2082" i="6"/>
  <c r="E2082" i="6"/>
  <c r="B2149" i="6"/>
  <c r="D2148" i="6"/>
  <c r="E2148" i="6"/>
  <c r="O1498" i="6"/>
  <c r="E2212" i="6"/>
  <c r="D2212" i="6"/>
  <c r="B2213" i="6"/>
  <c r="U315" i="12"/>
  <c r="T758" i="7"/>
  <c r="O1368" i="6"/>
  <c r="N1369" i="6" s="1"/>
  <c r="P1369" i="6" s="1"/>
  <c r="S932" i="6"/>
  <c r="T760" i="8"/>
  <c r="T427" i="7"/>
  <c r="CJ233" i="11"/>
  <c r="CS233" i="11" s="1"/>
  <c r="CM233" i="11" s="1"/>
  <c r="AN236" i="11"/>
  <c r="AO236" i="11" s="1"/>
  <c r="E1950" i="6"/>
  <c r="B1951" i="6"/>
  <c r="D1950" i="6"/>
  <c r="G235" i="11"/>
  <c r="AR286" i="11"/>
  <c r="AT286" i="11"/>
  <c r="AU286" i="11"/>
  <c r="AY286" i="11" s="1"/>
  <c r="AQ286" i="11"/>
  <c r="AW286" i="11" s="1"/>
  <c r="AZ286" i="11" s="1"/>
  <c r="AS286" i="11"/>
  <c r="AX286" i="11" s="1"/>
  <c r="BA286" i="11" s="1"/>
  <c r="BM286" i="11" s="1"/>
  <c r="AV286" i="11"/>
  <c r="R536" i="7"/>
  <c r="S536" i="7"/>
  <c r="U536" i="7" s="1"/>
  <c r="V536" i="7"/>
  <c r="O283" i="11"/>
  <c r="S283" i="11" s="1"/>
  <c r="P283" i="11"/>
  <c r="L283" i="11"/>
  <c r="K283" i="11"/>
  <c r="Q283" i="11" s="1"/>
  <c r="T283" i="11" s="1"/>
  <c r="V317" i="7"/>
  <c r="S317" i="7"/>
  <c r="P1420" i="6"/>
  <c r="N1421" i="6" s="1"/>
  <c r="O1421" i="6" s="1"/>
  <c r="N1325" i="6"/>
  <c r="P1325" i="6" s="1"/>
  <c r="P316" i="12"/>
  <c r="P319" i="8"/>
  <c r="Q319" i="8" s="1"/>
  <c r="S319" i="8" s="1"/>
  <c r="S1089" i="8"/>
  <c r="V1089" i="8"/>
  <c r="P812" i="8"/>
  <c r="U426" i="8"/>
  <c r="V153" i="7"/>
  <c r="S153" i="7"/>
  <c r="U593" i="7"/>
  <c r="T811" i="8"/>
  <c r="S889" i="6"/>
  <c r="Q890" i="6" s="1"/>
  <c r="R890" i="6" s="1"/>
  <c r="Q983" i="6"/>
  <c r="R983" i="6" s="1"/>
  <c r="O1260" i="6"/>
  <c r="P485" i="7"/>
  <c r="Q485" i="7" s="1"/>
  <c r="S485" i="7" s="1"/>
  <c r="N1499" i="6"/>
  <c r="O1499" i="6" s="1"/>
  <c r="V593" i="8"/>
  <c r="R593" i="8"/>
  <c r="R317" i="7"/>
  <c r="T317" i="7" s="1"/>
  <c r="T150" i="8"/>
  <c r="N1078" i="6"/>
  <c r="O1078" i="6" s="1"/>
  <c r="S593" i="8"/>
  <c r="Q374" i="8"/>
  <c r="R374" i="8" s="1"/>
  <c r="T315" i="12"/>
  <c r="Q933" i="6"/>
  <c r="R933" i="6" s="1"/>
  <c r="Q864" i="8"/>
  <c r="R864" i="8" s="1"/>
  <c r="V482" i="8"/>
  <c r="R482" i="8"/>
  <c r="T482" i="8" s="1"/>
  <c r="Q649" i="8"/>
  <c r="R649" i="8" s="1"/>
  <c r="S922" i="8"/>
  <c r="V922" i="8"/>
  <c r="Q706" i="8"/>
  <c r="R706" i="8" s="1"/>
  <c r="S1033" i="8"/>
  <c r="V1033" i="8"/>
  <c r="S207" i="12"/>
  <c r="U207" i="12" s="1"/>
  <c r="T262" i="8"/>
  <c r="Q660" i="6"/>
  <c r="R660" i="6" s="1"/>
  <c r="Q208" i="7"/>
  <c r="R208" i="7" s="1"/>
  <c r="CP233" i="11"/>
  <c r="CO233" i="11"/>
  <c r="CN233" i="11"/>
  <c r="P151" i="8"/>
  <c r="P210" i="8"/>
  <c r="Q210" i="8" s="1"/>
  <c r="S210" i="8" s="1"/>
  <c r="U264" i="7"/>
  <c r="Q599" i="6"/>
  <c r="R599" i="6" s="1"/>
  <c r="P872" i="7"/>
  <c r="Q872" i="7" s="1"/>
  <c r="S872" i="7" s="1"/>
  <c r="S743" i="6"/>
  <c r="S2922" i="6"/>
  <c r="Q2923" i="6" s="1"/>
  <c r="R2923" i="6" s="1"/>
  <c r="Q804" i="6"/>
  <c r="S804" i="6" s="1"/>
  <c r="P153" i="12"/>
  <c r="N1162" i="6"/>
  <c r="O1162" i="6" s="1"/>
  <c r="Q649" i="7"/>
  <c r="R649" i="7" s="1"/>
  <c r="T152" i="12"/>
  <c r="R153" i="7"/>
  <c r="U427" i="7"/>
  <c r="V923" i="7"/>
  <c r="R923" i="7"/>
  <c r="U760" i="8"/>
  <c r="R922" i="8"/>
  <c r="V207" i="12"/>
  <c r="R1033" i="8"/>
  <c r="T1033" i="8" s="1"/>
  <c r="N1222" i="6"/>
  <c r="P1222" i="6" s="1"/>
  <c r="Q812" i="7"/>
  <c r="S537" i="8"/>
  <c r="U537" i="8" s="1"/>
  <c r="V537" i="8"/>
  <c r="Q704" i="7"/>
  <c r="Q695" i="6"/>
  <c r="S695" i="6" s="1"/>
  <c r="O1453" i="6"/>
  <c r="R1089" i="8"/>
  <c r="U977" i="8"/>
  <c r="N283" i="11"/>
  <c r="M283" i="11"/>
  <c r="R283" i="11" s="1"/>
  <c r="U283" i="11" s="1"/>
  <c r="Q1035" i="6"/>
  <c r="S1035" i="6" s="1"/>
  <c r="E235" i="11"/>
  <c r="O1118" i="6"/>
  <c r="S923" i="7"/>
  <c r="U923" i="7" s="1"/>
  <c r="F235" i="11"/>
  <c r="P759" i="7"/>
  <c r="Q759" i="7" s="1"/>
  <c r="Q843" i="6"/>
  <c r="R843" i="6" s="1"/>
  <c r="CK233" i="11" l="1"/>
  <c r="C2083" i="6"/>
  <c r="S660" i="6"/>
  <c r="U1089" i="8"/>
  <c r="C2020" i="6"/>
  <c r="CQ233" i="11"/>
  <c r="CL233" i="11"/>
  <c r="BO234" i="11" s="1"/>
  <c r="U374" i="7"/>
  <c r="AV236" i="11"/>
  <c r="AQ236" i="11"/>
  <c r="AW236" i="11" s="1"/>
  <c r="AU236" i="11"/>
  <c r="AY236" i="11" s="1"/>
  <c r="BD236" i="11" s="1"/>
  <c r="AR236" i="11"/>
  <c r="AT236" i="11"/>
  <c r="AS236" i="11"/>
  <c r="AX236" i="11" s="1"/>
  <c r="P1162" i="6"/>
  <c r="N1163" i="6" s="1"/>
  <c r="C1951" i="6"/>
  <c r="T922" i="8"/>
  <c r="S843" i="6"/>
  <c r="S933" i="6"/>
  <c r="U593" i="8"/>
  <c r="P594" i="8" s="1"/>
  <c r="C2213" i="6"/>
  <c r="AG283" i="11"/>
  <c r="W284" i="11" s="1"/>
  <c r="U153" i="7"/>
  <c r="P154" i="7" s="1"/>
  <c r="C2149" i="6"/>
  <c r="B2084" i="6"/>
  <c r="E2083" i="6"/>
  <c r="D2083" i="6"/>
  <c r="C2084" i="6" s="1"/>
  <c r="Q661" i="6"/>
  <c r="R661" i="6" s="1"/>
  <c r="U872" i="7"/>
  <c r="Q600" i="6"/>
  <c r="S600" i="6" s="1"/>
  <c r="S759" i="7"/>
  <c r="V759" i="7"/>
  <c r="R759" i="7"/>
  <c r="S265" i="12"/>
  <c r="R265" i="12"/>
  <c r="T265" i="12" s="1"/>
  <c r="V265" i="12"/>
  <c r="P265" i="7"/>
  <c r="Q265" i="7" s="1"/>
  <c r="P537" i="7"/>
  <c r="P594" i="7"/>
  <c r="Q594" i="7" s="1"/>
  <c r="S594" i="7" s="1"/>
  <c r="T153" i="7"/>
  <c r="S704" i="7"/>
  <c r="V704" i="7"/>
  <c r="U1033" i="8"/>
  <c r="R1035" i="6"/>
  <c r="P538" i="8"/>
  <c r="S812" i="7"/>
  <c r="V812" i="7"/>
  <c r="T923" i="7"/>
  <c r="U922" i="8"/>
  <c r="Q316" i="12"/>
  <c r="Q812" i="8"/>
  <c r="R812" i="8" s="1"/>
  <c r="N1119" i="6"/>
  <c r="P1119" i="6" s="1"/>
  <c r="S2923" i="6"/>
  <c r="Q2924" i="6" s="1"/>
  <c r="R2924" i="6" s="1"/>
  <c r="P1421" i="6"/>
  <c r="U317" i="7"/>
  <c r="V706" i="8"/>
  <c r="S706" i="8"/>
  <c r="U706" i="8" s="1"/>
  <c r="P761" i="8"/>
  <c r="Q761" i="8" s="1"/>
  <c r="S761" i="8" s="1"/>
  <c r="CR233" i="11"/>
  <c r="BV234" i="11" s="1"/>
  <c r="P1499" i="6"/>
  <c r="N1500" i="6" s="1"/>
  <c r="O1500" i="6" s="1"/>
  <c r="R812" i="7"/>
  <c r="V649" i="8"/>
  <c r="S649" i="8"/>
  <c r="U649" i="8" s="1"/>
  <c r="V374" i="8"/>
  <c r="S374" i="8"/>
  <c r="U374" i="8" s="1"/>
  <c r="N1261" i="6"/>
  <c r="P1261" i="6" s="1"/>
  <c r="S208" i="7"/>
  <c r="U208" i="7" s="1"/>
  <c r="V208" i="7"/>
  <c r="P924" i="7"/>
  <c r="T536" i="7"/>
  <c r="N1454" i="6"/>
  <c r="P1454" i="6" s="1"/>
  <c r="Q151" i="8"/>
  <c r="R151" i="8" s="1"/>
  <c r="T593" i="8"/>
  <c r="O1222" i="6"/>
  <c r="R804" i="6"/>
  <c r="Q263" i="8"/>
  <c r="R263" i="8" s="1"/>
  <c r="P427" i="8"/>
  <c r="Q427" i="8" s="1"/>
  <c r="S427" i="8"/>
  <c r="P208" i="12"/>
  <c r="H235" i="11"/>
  <c r="I235" i="11" s="1"/>
  <c r="S864" i="8"/>
  <c r="U864" i="8" s="1"/>
  <c r="V864" i="8"/>
  <c r="V872" i="7"/>
  <c r="R872" i="7"/>
  <c r="T872" i="7" s="1"/>
  <c r="V485" i="7"/>
  <c r="R485" i="7"/>
  <c r="T485" i="7" s="1"/>
  <c r="S649" i="7"/>
  <c r="U649" i="7" s="1"/>
  <c r="V649" i="7"/>
  <c r="O1369" i="6"/>
  <c r="P978" i="8"/>
  <c r="Q978" i="8" s="1"/>
  <c r="P428" i="7"/>
  <c r="Q428" i="7" s="1"/>
  <c r="V319" i="8"/>
  <c r="R319" i="8"/>
  <c r="T319" i="8" s="1"/>
  <c r="T537" i="8"/>
  <c r="V210" i="8"/>
  <c r="R210" i="8"/>
  <c r="T210" i="8" s="1"/>
  <c r="R695" i="6"/>
  <c r="O1325" i="6"/>
  <c r="P375" i="7"/>
  <c r="Q375" i="7" s="1"/>
  <c r="S375" i="7" s="1"/>
  <c r="BP234" i="11"/>
  <c r="BR234" i="11"/>
  <c r="U482" i="8"/>
  <c r="P1078" i="6"/>
  <c r="Q153" i="12"/>
  <c r="BF286" i="11"/>
  <c r="BE286" i="11"/>
  <c r="BD287" i="11"/>
  <c r="BC287" i="11"/>
  <c r="BB287" i="11"/>
  <c r="BK286" i="11"/>
  <c r="BJ286" i="11"/>
  <c r="BI286" i="11"/>
  <c r="BH286" i="11"/>
  <c r="BG286" i="11"/>
  <c r="R704" i="7"/>
  <c r="T704" i="7" s="1"/>
  <c r="BS234" i="11"/>
  <c r="P1090" i="8"/>
  <c r="T1089" i="8"/>
  <c r="Q744" i="6"/>
  <c r="R744" i="6" s="1"/>
  <c r="S890" i="6"/>
  <c r="S983" i="6"/>
  <c r="Q984" i="6" s="1"/>
  <c r="R984" i="6" s="1"/>
  <c r="T207" i="12"/>
  <c r="T864" i="8" l="1"/>
  <c r="S744" i="6"/>
  <c r="T706" i="8"/>
  <c r="E2020" i="6"/>
  <c r="D2020" i="6"/>
  <c r="B2021" i="6"/>
  <c r="AB283" i="11"/>
  <c r="T759" i="7"/>
  <c r="AD283" i="11"/>
  <c r="S844" i="6"/>
  <c r="L235" i="11"/>
  <c r="N235" i="11"/>
  <c r="K235" i="11"/>
  <c r="Q235" i="11" s="1"/>
  <c r="M235" i="11"/>
  <c r="R235" i="11" s="1"/>
  <c r="U235" i="11" s="1"/>
  <c r="O1163" i="6"/>
  <c r="P1163" i="6"/>
  <c r="Z283" i="11"/>
  <c r="AE283" i="11"/>
  <c r="X284" i="11"/>
  <c r="D1951" i="6"/>
  <c r="E1951" i="6"/>
  <c r="B1952" i="6"/>
  <c r="C1952" i="6" s="1"/>
  <c r="U812" i="7"/>
  <c r="P813" i="7" s="1"/>
  <c r="Q844" i="6"/>
  <c r="R844" i="6" s="1"/>
  <c r="Q845" i="6" s="1"/>
  <c r="S845" i="6" s="1"/>
  <c r="AC283" i="11"/>
  <c r="AA283" i="11"/>
  <c r="E2213" i="6"/>
  <c r="D2213" i="6"/>
  <c r="B2214" i="6"/>
  <c r="C2214" i="6"/>
  <c r="BA236" i="11"/>
  <c r="BC236" i="11"/>
  <c r="Q934" i="6"/>
  <c r="R934" i="6" s="1"/>
  <c r="E2084" i="6"/>
  <c r="B2085" i="6"/>
  <c r="D2084" i="6"/>
  <c r="C2085" i="6" s="1"/>
  <c r="V284" i="11"/>
  <c r="AZ236" i="11"/>
  <c r="E2149" i="6"/>
  <c r="B2150" i="6"/>
  <c r="D2149" i="6"/>
  <c r="C2150" i="6" s="1"/>
  <c r="Y283" i="11"/>
  <c r="C284" i="11" s="1"/>
  <c r="BQ234" i="11"/>
  <c r="BT234" i="11" s="1"/>
  <c r="BU234" i="11" s="1"/>
  <c r="Q985" i="6"/>
  <c r="R985" i="6" s="1"/>
  <c r="N1164" i="6"/>
  <c r="O1164" i="6" s="1"/>
  <c r="S153" i="12"/>
  <c r="V153" i="12"/>
  <c r="R153" i="12"/>
  <c r="T153" i="12" s="1"/>
  <c r="P650" i="7"/>
  <c r="V265" i="7"/>
  <c r="R265" i="7"/>
  <c r="P873" i="7"/>
  <c r="Q873" i="7" s="1"/>
  <c r="U485" i="7"/>
  <c r="P707" i="8"/>
  <c r="Q707" i="8" s="1"/>
  <c r="T649" i="7"/>
  <c r="P375" i="8"/>
  <c r="U319" i="8"/>
  <c r="P318" i="7"/>
  <c r="Q318" i="7" s="1"/>
  <c r="S318" i="7" s="1"/>
  <c r="V427" i="8"/>
  <c r="R427" i="8"/>
  <c r="T427" i="8" s="1"/>
  <c r="R600" i="6"/>
  <c r="P483" i="8"/>
  <c r="Q483" i="8" s="1"/>
  <c r="S483" i="8" s="1"/>
  <c r="P209" i="7"/>
  <c r="Q538" i="8"/>
  <c r="T208" i="7"/>
  <c r="Q805" i="6"/>
  <c r="S805" i="6" s="1"/>
  <c r="U704" i="7"/>
  <c r="Q154" i="7"/>
  <c r="N1422" i="6"/>
  <c r="O1422" i="6" s="1"/>
  <c r="R428" i="7"/>
  <c r="V428" i="7"/>
  <c r="T812" i="7"/>
  <c r="S316" i="12"/>
  <c r="V316" i="12"/>
  <c r="D284" i="11"/>
  <c r="N1370" i="6"/>
  <c r="P1370" i="6" s="1"/>
  <c r="Q1036" i="6"/>
  <c r="S1036" i="6" s="1"/>
  <c r="S2924" i="6"/>
  <c r="Q2925" i="6" s="1"/>
  <c r="R2925" i="6" s="1"/>
  <c r="V263" i="8"/>
  <c r="S263" i="8"/>
  <c r="U263" i="8" s="1"/>
  <c r="O1261" i="6"/>
  <c r="O1119" i="6"/>
  <c r="N1223" i="6"/>
  <c r="P1223" i="6" s="1"/>
  <c r="S984" i="6"/>
  <c r="Q594" i="8"/>
  <c r="R594" i="8" s="1"/>
  <c r="U265" i="12"/>
  <c r="N1326" i="6"/>
  <c r="P1326" i="6" s="1"/>
  <c r="T374" i="8"/>
  <c r="Q696" i="6"/>
  <c r="S696" i="6" s="1"/>
  <c r="Q1090" i="8"/>
  <c r="S428" i="7"/>
  <c r="O1454" i="6"/>
  <c r="P1500" i="6"/>
  <c r="R316" i="12"/>
  <c r="S661" i="6"/>
  <c r="Q662" i="6" s="1"/>
  <c r="R662" i="6" s="1"/>
  <c r="V151" i="8"/>
  <c r="S151" i="8"/>
  <c r="U151" i="8" s="1"/>
  <c r="P865" i="8"/>
  <c r="Q865" i="8" s="1"/>
  <c r="V865" i="8" s="1"/>
  <c r="Q745" i="6"/>
  <c r="R745" i="6" s="1"/>
  <c r="BL286" i="11"/>
  <c r="AP287" i="11" s="1"/>
  <c r="AI287" i="11"/>
  <c r="R978" i="8"/>
  <c r="T978" i="8" s="1"/>
  <c r="V978" i="8"/>
  <c r="Q537" i="7"/>
  <c r="R537" i="7" s="1"/>
  <c r="P923" i="8"/>
  <c r="Q923" i="8" s="1"/>
  <c r="S923" i="8"/>
  <c r="U759" i="7"/>
  <c r="Q891" i="6"/>
  <c r="R891" i="6" s="1"/>
  <c r="Q924" i="7"/>
  <c r="P1034" i="8"/>
  <c r="Q1034" i="8" s="1"/>
  <c r="R761" i="8"/>
  <c r="T761" i="8" s="1"/>
  <c r="V761" i="8"/>
  <c r="S265" i="7"/>
  <c r="Q208" i="12"/>
  <c r="R208" i="12" s="1"/>
  <c r="AJ287" i="11"/>
  <c r="S812" i="8"/>
  <c r="U812" i="8" s="1"/>
  <c r="V812" i="8"/>
  <c r="R375" i="7"/>
  <c r="T375" i="7" s="1"/>
  <c r="V375" i="7"/>
  <c r="P650" i="8"/>
  <c r="U210" i="8"/>
  <c r="T649" i="8"/>
  <c r="S978" i="8"/>
  <c r="O235" i="11"/>
  <c r="S235" i="11" s="1"/>
  <c r="P235" i="11"/>
  <c r="N1079" i="6"/>
  <c r="O1079" i="6" s="1"/>
  <c r="V594" i="7"/>
  <c r="R594" i="7"/>
  <c r="T594" i="7" s="1"/>
  <c r="R707" i="8" l="1"/>
  <c r="V707" i="8"/>
  <c r="AF283" i="11"/>
  <c r="J284" i="11" s="1"/>
  <c r="C2021" i="6"/>
  <c r="T235" i="11"/>
  <c r="V235" i="11" s="1"/>
  <c r="P1164" i="6"/>
  <c r="N1165" i="6" s="1"/>
  <c r="P1165" i="6" s="1"/>
  <c r="D1952" i="6"/>
  <c r="B1953" i="6"/>
  <c r="E1952" i="6"/>
  <c r="C1953" i="6" s="1"/>
  <c r="E2085" i="6"/>
  <c r="D2085" i="6"/>
  <c r="B2086" i="6"/>
  <c r="C2086" i="6" s="1"/>
  <c r="U375" i="7"/>
  <c r="P376" i="7" s="1"/>
  <c r="Q376" i="7" s="1"/>
  <c r="S376" i="7" s="1"/>
  <c r="U428" i="7"/>
  <c r="P429" i="7" s="1"/>
  <c r="T265" i="7"/>
  <c r="E2150" i="6"/>
  <c r="B2151" i="6"/>
  <c r="D2150" i="6"/>
  <c r="C2151" i="6" s="1"/>
  <c r="S745" i="6"/>
  <c r="Q746" i="6" s="1"/>
  <c r="P1079" i="6"/>
  <c r="N1080" i="6" s="1"/>
  <c r="O1080" i="6" s="1"/>
  <c r="X235" i="11"/>
  <c r="O1326" i="6"/>
  <c r="N1327" i="6" s="1"/>
  <c r="O1327" i="6" s="1"/>
  <c r="F284" i="11"/>
  <c r="T316" i="12"/>
  <c r="BB236" i="11"/>
  <c r="BM236" i="11" s="1"/>
  <c r="E2214" i="6"/>
  <c r="B2215" i="6"/>
  <c r="D2214" i="6"/>
  <c r="S891" i="6"/>
  <c r="Q892" i="6" s="1"/>
  <c r="R892" i="6" s="1"/>
  <c r="T263" i="8"/>
  <c r="S934" i="6"/>
  <c r="S873" i="7"/>
  <c r="V873" i="7"/>
  <c r="R873" i="7"/>
  <c r="T873" i="7" s="1"/>
  <c r="T594" i="8"/>
  <c r="BZ234" i="11"/>
  <c r="BY234" i="11"/>
  <c r="CD234" i="11" s="1"/>
  <c r="BW234" i="11"/>
  <c r="CC234" i="11" s="1"/>
  <c r="BX234" i="11"/>
  <c r="CA234" i="11"/>
  <c r="CE234" i="11" s="1"/>
  <c r="CB234" i="11"/>
  <c r="T208" i="12"/>
  <c r="P813" i="8"/>
  <c r="S538" i="8"/>
  <c r="V538" i="8"/>
  <c r="P264" i="8"/>
  <c r="R538" i="8"/>
  <c r="T538" i="8" s="1"/>
  <c r="AK287" i="11"/>
  <c r="U483" i="8"/>
  <c r="AL287" i="11"/>
  <c r="R865" i="8"/>
  <c r="U594" i="7"/>
  <c r="S2925" i="6"/>
  <c r="Q2926" i="6" s="1"/>
  <c r="R2926" i="6" s="1"/>
  <c r="P705" i="7"/>
  <c r="Q705" i="7" s="1"/>
  <c r="S705" i="7" s="1"/>
  <c r="R805" i="6"/>
  <c r="U427" i="8"/>
  <c r="T812" i="8"/>
  <c r="S707" i="8"/>
  <c r="U707" i="8" s="1"/>
  <c r="Q650" i="8"/>
  <c r="P266" i="12"/>
  <c r="Q266" i="12" s="1"/>
  <c r="S266" i="12" s="1"/>
  <c r="S594" i="8"/>
  <c r="U594" i="8" s="1"/>
  <c r="V594" i="8"/>
  <c r="V924" i="7"/>
  <c r="S924" i="7"/>
  <c r="N1455" i="6"/>
  <c r="P1455" i="6" s="1"/>
  <c r="P320" i="8"/>
  <c r="Q320" i="8" s="1"/>
  <c r="S320" i="8" s="1"/>
  <c r="V1090" i="8"/>
  <c r="S1090" i="8"/>
  <c r="U1090" i="8" s="1"/>
  <c r="U761" i="8"/>
  <c r="R923" i="8"/>
  <c r="T923" i="8" s="1"/>
  <c r="V923" i="8"/>
  <c r="R696" i="6"/>
  <c r="N1120" i="6"/>
  <c r="P1120" i="6" s="1"/>
  <c r="R1036" i="6"/>
  <c r="T428" i="7"/>
  <c r="P1422" i="6"/>
  <c r="N1423" i="6" s="1"/>
  <c r="O1423" i="6" s="1"/>
  <c r="U153" i="12"/>
  <c r="V1034" i="8"/>
  <c r="R1034" i="8"/>
  <c r="O1370" i="6"/>
  <c r="S1034" i="8"/>
  <c r="U1034" i="8" s="1"/>
  <c r="S662" i="6"/>
  <c r="AM287" i="11"/>
  <c r="R924" i="7"/>
  <c r="S985" i="6"/>
  <c r="Q986" i="6" s="1"/>
  <c r="R986" i="6" s="1"/>
  <c r="V208" i="12"/>
  <c r="S208" i="12"/>
  <c r="U208" i="12" s="1"/>
  <c r="P211" i="8"/>
  <c r="Q211" i="8" s="1"/>
  <c r="S211" i="8" s="1"/>
  <c r="R845" i="6"/>
  <c r="R1090" i="8"/>
  <c r="Q813" i="7"/>
  <c r="Q650" i="7"/>
  <c r="O1223" i="6"/>
  <c r="U265" i="7"/>
  <c r="S865" i="8"/>
  <c r="Q375" i="8"/>
  <c r="N1262" i="6"/>
  <c r="P1262" i="6" s="1"/>
  <c r="P486" i="7"/>
  <c r="Q486" i="7" s="1"/>
  <c r="S486" i="7"/>
  <c r="T151" i="8"/>
  <c r="P152" i="8"/>
  <c r="R318" i="7"/>
  <c r="T318" i="7" s="1"/>
  <c r="V318" i="7"/>
  <c r="S154" i="7"/>
  <c r="V154" i="7"/>
  <c r="R154" i="7"/>
  <c r="T154" i="7" s="1"/>
  <c r="R483" i="8"/>
  <c r="T483" i="8" s="1"/>
  <c r="V483" i="8"/>
  <c r="Q601" i="6"/>
  <c r="S601" i="6" s="1"/>
  <c r="U316" i="12"/>
  <c r="P760" i="7"/>
  <c r="Q760" i="7" s="1"/>
  <c r="U978" i="8"/>
  <c r="V537" i="7"/>
  <c r="S537" i="7"/>
  <c r="U537" i="7" s="1"/>
  <c r="Q209" i="7"/>
  <c r="N1501" i="6"/>
  <c r="O1501" i="6" s="1"/>
  <c r="R746" i="6" l="1"/>
  <c r="S746" i="6"/>
  <c r="W235" i="11"/>
  <c r="AG235" i="11" s="1"/>
  <c r="AA235" i="11" s="1"/>
  <c r="G284" i="11"/>
  <c r="E284" i="11"/>
  <c r="D2021" i="6"/>
  <c r="B2022" i="6"/>
  <c r="E2021" i="6"/>
  <c r="C2022" i="6"/>
  <c r="BI236" i="11"/>
  <c r="BG236" i="11"/>
  <c r="BF236" i="11"/>
  <c r="BE236" i="11"/>
  <c r="BH236" i="11"/>
  <c r="BK236" i="11"/>
  <c r="BJ236" i="11"/>
  <c r="E2151" i="6"/>
  <c r="D2151" i="6"/>
  <c r="B2152" i="6"/>
  <c r="Q935" i="6"/>
  <c r="R935" i="6" s="1"/>
  <c r="P1327" i="6"/>
  <c r="S892" i="6"/>
  <c r="C2215" i="6"/>
  <c r="O1262" i="6"/>
  <c r="N1263" i="6" s="1"/>
  <c r="U318" i="7"/>
  <c r="P319" i="7" s="1"/>
  <c r="Q319" i="7" s="1"/>
  <c r="S319" i="7" s="1"/>
  <c r="T537" i="7"/>
  <c r="Q264" i="8"/>
  <c r="S264" i="8" s="1"/>
  <c r="D2086" i="6"/>
  <c r="B2087" i="6"/>
  <c r="E2086" i="6"/>
  <c r="P1501" i="6"/>
  <c r="U865" i="8"/>
  <c r="T924" i="7"/>
  <c r="D1953" i="6"/>
  <c r="B1954" i="6"/>
  <c r="E1953" i="6"/>
  <c r="C1954" i="6" s="1"/>
  <c r="N1328" i="6"/>
  <c r="P1328" i="6" s="1"/>
  <c r="Q893" i="6"/>
  <c r="R893" i="6" s="1"/>
  <c r="R211" i="8"/>
  <c r="T211" i="8" s="1"/>
  <c r="V211" i="8"/>
  <c r="N1371" i="6"/>
  <c r="P1371" i="6" s="1"/>
  <c r="O1165" i="6"/>
  <c r="U873" i="7"/>
  <c r="N1224" i="6"/>
  <c r="P1224" i="6" s="1"/>
  <c r="N1502" i="6"/>
  <c r="O1502" i="6" s="1"/>
  <c r="S209" i="7"/>
  <c r="V209" i="7"/>
  <c r="P595" i="8"/>
  <c r="Q595" i="8" s="1"/>
  <c r="R209" i="7"/>
  <c r="P1091" i="8"/>
  <c r="Q806" i="6"/>
  <c r="S806" i="6" s="1"/>
  <c r="T707" i="8"/>
  <c r="P1423" i="6"/>
  <c r="N1424" i="6" s="1"/>
  <c r="O1424" i="6" s="1"/>
  <c r="Q429" i="7"/>
  <c r="Q1037" i="6"/>
  <c r="S1037" i="6" s="1"/>
  <c r="P1080" i="6"/>
  <c r="N1081" i="6" s="1"/>
  <c r="O1081" i="6" s="1"/>
  <c r="R705" i="7"/>
  <c r="T705" i="7" s="1"/>
  <c r="V705" i="7"/>
  <c r="P1035" i="8"/>
  <c r="P317" i="12"/>
  <c r="Q317" i="12" s="1"/>
  <c r="S317" i="12" s="1"/>
  <c r="P484" i="8"/>
  <c r="V376" i="7"/>
  <c r="T1034" i="8"/>
  <c r="V650" i="7"/>
  <c r="S650" i="7"/>
  <c r="U923" i="8"/>
  <c r="Q484" i="8"/>
  <c r="V484" i="8" s="1"/>
  <c r="Q813" i="8"/>
  <c r="P209" i="12"/>
  <c r="R266" i="12"/>
  <c r="T266" i="12" s="1"/>
  <c r="V266" i="12"/>
  <c r="P538" i="7"/>
  <c r="Q538" i="7" s="1"/>
  <c r="AC235" i="11"/>
  <c r="AB235" i="11"/>
  <c r="Z235" i="11"/>
  <c r="Y235" i="11"/>
  <c r="AE235" i="11"/>
  <c r="AD235" i="11"/>
  <c r="R320" i="8"/>
  <c r="T320" i="8" s="1"/>
  <c r="V320" i="8"/>
  <c r="U154" i="7"/>
  <c r="V650" i="8"/>
  <c r="S650" i="8"/>
  <c r="S2926" i="6"/>
  <c r="Q663" i="6"/>
  <c r="R663" i="6" s="1"/>
  <c r="P866" i="8"/>
  <c r="H284" i="11"/>
  <c r="I284" i="11" s="1"/>
  <c r="P708" i="8"/>
  <c r="R376" i="7"/>
  <c r="T376" i="7" s="1"/>
  <c r="P762" i="8"/>
  <c r="Q762" i="8" s="1"/>
  <c r="S762" i="8" s="1"/>
  <c r="R601" i="6"/>
  <c r="S813" i="7"/>
  <c r="V813" i="7"/>
  <c r="P428" i="8"/>
  <c r="Q428" i="8" s="1"/>
  <c r="P154" i="12"/>
  <c r="Q154" i="12" s="1"/>
  <c r="V486" i="7"/>
  <c r="R486" i="7"/>
  <c r="T486" i="7" s="1"/>
  <c r="S986" i="6"/>
  <c r="Q987" i="6" s="1"/>
  <c r="R987" i="6" s="1"/>
  <c r="U538" i="8"/>
  <c r="V375" i="8"/>
  <c r="S375" i="8"/>
  <c r="O1120" i="6"/>
  <c r="O1455" i="6"/>
  <c r="R650" i="8"/>
  <c r="P595" i="7"/>
  <c r="Q595" i="7" s="1"/>
  <c r="S595" i="7"/>
  <c r="CF234" i="11"/>
  <c r="R760" i="7"/>
  <c r="V760" i="7"/>
  <c r="Q747" i="6"/>
  <c r="R747" i="6" s="1"/>
  <c r="S760" i="7"/>
  <c r="U760" i="7" s="1"/>
  <c r="P266" i="7"/>
  <c r="Q266" i="7" s="1"/>
  <c r="S266" i="7"/>
  <c r="Q209" i="12"/>
  <c r="V209" i="12" s="1"/>
  <c r="AN287" i="11"/>
  <c r="AO287" i="11" s="1"/>
  <c r="AR287" i="11" s="1"/>
  <c r="R650" i="7"/>
  <c r="Q152" i="8"/>
  <c r="R813" i="7"/>
  <c r="T1090" i="8"/>
  <c r="P979" i="8"/>
  <c r="Q979" i="8" s="1"/>
  <c r="S979" i="8" s="1"/>
  <c r="R375" i="8"/>
  <c r="Q846" i="6"/>
  <c r="S846" i="6" s="1"/>
  <c r="Q697" i="6"/>
  <c r="S697" i="6" s="1"/>
  <c r="U924" i="7"/>
  <c r="T865" i="8"/>
  <c r="CG234" i="11"/>
  <c r="CI234" i="11" s="1"/>
  <c r="CJ234" i="11" l="1"/>
  <c r="CH234" i="11"/>
  <c r="R264" i="8"/>
  <c r="U264" i="8" s="1"/>
  <c r="P265" i="8" s="1"/>
  <c r="P1502" i="6"/>
  <c r="U650" i="8"/>
  <c r="V264" i="8"/>
  <c r="E2022" i="6"/>
  <c r="B2023" i="6"/>
  <c r="D2022" i="6"/>
  <c r="C2023" i="6" s="1"/>
  <c r="U650" i="7"/>
  <c r="P651" i="7" s="1"/>
  <c r="S893" i="6"/>
  <c r="Q894" i="6" s="1"/>
  <c r="S894" i="6" s="1"/>
  <c r="T375" i="8"/>
  <c r="D1954" i="6"/>
  <c r="B1955" i="6"/>
  <c r="E1954" i="6"/>
  <c r="O1263" i="6"/>
  <c r="P1263" i="6"/>
  <c r="T813" i="7"/>
  <c r="AI237" i="11"/>
  <c r="BL236" i="11"/>
  <c r="AP237" i="11" s="1"/>
  <c r="AK237" i="11"/>
  <c r="S935" i="6"/>
  <c r="Q936" i="6" s="1"/>
  <c r="T209" i="7"/>
  <c r="B2216" i="6"/>
  <c r="E2215" i="6"/>
  <c r="D2215" i="6"/>
  <c r="C2216" i="6" s="1"/>
  <c r="C2152" i="6"/>
  <c r="AJ237" i="11"/>
  <c r="C2087" i="6"/>
  <c r="U266" i="12"/>
  <c r="P267" i="12" s="1"/>
  <c r="Q267" i="12" s="1"/>
  <c r="R806" i="6"/>
  <c r="S747" i="6"/>
  <c r="N1264" i="6"/>
  <c r="O1264" i="6" s="1"/>
  <c r="N1503" i="6"/>
  <c r="P1503" i="6" s="1"/>
  <c r="U319" i="7"/>
  <c r="S538" i="7"/>
  <c r="R538" i="7"/>
  <c r="T538" i="7" s="1"/>
  <c r="V538" i="7"/>
  <c r="Q748" i="6"/>
  <c r="R748" i="6" s="1"/>
  <c r="R595" i="8"/>
  <c r="S595" i="8"/>
  <c r="U595" i="8" s="1"/>
  <c r="V595" i="8"/>
  <c r="N284" i="11"/>
  <c r="O284" i="11"/>
  <c r="S284" i="11" s="1"/>
  <c r="M284" i="11"/>
  <c r="R284" i="11" s="1"/>
  <c r="P284" i="11"/>
  <c r="L284" i="11"/>
  <c r="K284" i="11"/>
  <c r="Q284" i="11" s="1"/>
  <c r="T284" i="11" s="1"/>
  <c r="CS234" i="11"/>
  <c r="Q807" i="6"/>
  <c r="R807" i="6" s="1"/>
  <c r="P651" i="8"/>
  <c r="Q1091" i="8"/>
  <c r="V152" i="8"/>
  <c r="S152" i="8"/>
  <c r="U152" i="8" s="1"/>
  <c r="T650" i="7"/>
  <c r="U375" i="8"/>
  <c r="V429" i="7"/>
  <c r="S429" i="7"/>
  <c r="U376" i="7"/>
  <c r="R429" i="7"/>
  <c r="R484" i="8"/>
  <c r="Q866" i="8"/>
  <c r="R866" i="8" s="1"/>
  <c r="R595" i="7"/>
  <c r="T595" i="7" s="1"/>
  <c r="V595" i="7"/>
  <c r="AT287" i="11"/>
  <c r="AS287" i="11"/>
  <c r="AX287" i="11" s="1"/>
  <c r="R266" i="7"/>
  <c r="T266" i="7" s="1"/>
  <c r="V266" i="7"/>
  <c r="Q1035" i="8"/>
  <c r="R428" i="8"/>
  <c r="V428" i="8"/>
  <c r="R1037" i="6"/>
  <c r="R846" i="6"/>
  <c r="AV287" i="11"/>
  <c r="O1328" i="6"/>
  <c r="R319" i="7"/>
  <c r="T319" i="7" s="1"/>
  <c r="V319" i="7"/>
  <c r="Q2927" i="6"/>
  <c r="R2927" i="6" s="1"/>
  <c r="U705" i="7"/>
  <c r="Q602" i="6"/>
  <c r="S602" i="6" s="1"/>
  <c r="S209" i="12"/>
  <c r="P925" i="7"/>
  <c r="Q925" i="7" s="1"/>
  <c r="S925" i="7" s="1"/>
  <c r="O1371" i="6"/>
  <c r="T650" i="8"/>
  <c r="R697" i="6"/>
  <c r="T264" i="8"/>
  <c r="P761" i="7"/>
  <c r="S428" i="8"/>
  <c r="S484" i="8"/>
  <c r="AU287" i="11"/>
  <c r="AY287" i="11" s="1"/>
  <c r="V317" i="12"/>
  <c r="R317" i="12"/>
  <c r="T317" i="12" s="1"/>
  <c r="AQ287" i="11"/>
  <c r="AW287" i="11" s="1"/>
  <c r="AZ287" i="11" s="1"/>
  <c r="P539" i="8"/>
  <c r="Q539" i="8" s="1"/>
  <c r="P1424" i="6"/>
  <c r="N1425" i="6" s="1"/>
  <c r="O1425" i="6" s="1"/>
  <c r="R154" i="12"/>
  <c r="V154" i="12"/>
  <c r="N1166" i="6"/>
  <c r="P1166" i="6" s="1"/>
  <c r="S154" i="12"/>
  <c r="P924" i="8"/>
  <c r="Q924" i="8" s="1"/>
  <c r="S924" i="8" s="1"/>
  <c r="U486" i="7"/>
  <c r="R209" i="12"/>
  <c r="D236" i="11"/>
  <c r="F236" i="11"/>
  <c r="P1081" i="6"/>
  <c r="N1456" i="6"/>
  <c r="P1456" i="6" s="1"/>
  <c r="N1121" i="6"/>
  <c r="P1121" i="6" s="1"/>
  <c r="R152" i="8"/>
  <c r="U211" i="8"/>
  <c r="U813" i="7"/>
  <c r="P155" i="7"/>
  <c r="Q155" i="7" s="1"/>
  <c r="S155" i="7" s="1"/>
  <c r="U209" i="7"/>
  <c r="V979" i="8"/>
  <c r="R979" i="8"/>
  <c r="T979" i="8" s="1"/>
  <c r="T760" i="7"/>
  <c r="S987" i="6"/>
  <c r="Q988" i="6" s="1"/>
  <c r="R988" i="6" s="1"/>
  <c r="V813" i="8"/>
  <c r="S813" i="8"/>
  <c r="U813" i="8" s="1"/>
  <c r="Q708" i="8"/>
  <c r="O1224" i="6"/>
  <c r="U320" i="8"/>
  <c r="V762" i="8"/>
  <c r="R762" i="8"/>
  <c r="T762" i="8" s="1"/>
  <c r="C236" i="11"/>
  <c r="AF235" i="11"/>
  <c r="J236" i="11" s="1"/>
  <c r="R813" i="8"/>
  <c r="S663" i="6"/>
  <c r="Q664" i="6" s="1"/>
  <c r="R664" i="6" s="1"/>
  <c r="P874" i="7"/>
  <c r="Q874" i="7" s="1"/>
  <c r="S874" i="7" s="1"/>
  <c r="U209" i="12" l="1"/>
  <c r="P210" i="12" s="1"/>
  <c r="AM237" i="11"/>
  <c r="S748" i="6"/>
  <c r="Q749" i="6" s="1"/>
  <c r="R749" i="6" s="1"/>
  <c r="E2023" i="6"/>
  <c r="B2024" i="6"/>
  <c r="D2023" i="6"/>
  <c r="C2024" i="6"/>
  <c r="U284" i="11"/>
  <c r="S936" i="6"/>
  <c r="R936" i="6"/>
  <c r="Q937" i="6" s="1"/>
  <c r="S937" i="6" s="1"/>
  <c r="T484" i="8"/>
  <c r="S807" i="6"/>
  <c r="G236" i="11"/>
  <c r="D2087" i="6"/>
  <c r="E2087" i="6"/>
  <c r="B2088" i="6"/>
  <c r="D2216" i="6"/>
  <c r="B2217" i="6"/>
  <c r="E2216" i="6"/>
  <c r="U429" i="7"/>
  <c r="P430" i="7" s="1"/>
  <c r="AL237" i="11"/>
  <c r="AN237" i="11"/>
  <c r="T428" i="8"/>
  <c r="B2153" i="6"/>
  <c r="E2152" i="6"/>
  <c r="D2152" i="6"/>
  <c r="C2153" i="6" s="1"/>
  <c r="P1264" i="6"/>
  <c r="N1265" i="6" s="1"/>
  <c r="O1265" i="6" s="1"/>
  <c r="E236" i="11"/>
  <c r="T154" i="12"/>
  <c r="C1955" i="6"/>
  <c r="R267" i="12"/>
  <c r="V267" i="12"/>
  <c r="S267" i="12"/>
  <c r="U267" i="12" s="1"/>
  <c r="O1456" i="6"/>
  <c r="P376" i="8"/>
  <c r="Q376" i="8" s="1"/>
  <c r="S376" i="8" s="1"/>
  <c r="U762" i="8"/>
  <c r="P321" i="8"/>
  <c r="Q321" i="8" s="1"/>
  <c r="S321" i="8"/>
  <c r="Q1038" i="6"/>
  <c r="S1038" i="6" s="1"/>
  <c r="R894" i="6"/>
  <c r="AG284" i="11"/>
  <c r="Q847" i="6"/>
  <c r="S847" i="6" s="1"/>
  <c r="S1091" i="8"/>
  <c r="V1091" i="8"/>
  <c r="P706" i="7"/>
  <c r="Q706" i="7" s="1"/>
  <c r="S706" i="7" s="1"/>
  <c r="R539" i="8"/>
  <c r="V539" i="8"/>
  <c r="S539" i="8"/>
  <c r="U539" i="8" s="1"/>
  <c r="N1372" i="6"/>
  <c r="P1372" i="6" s="1"/>
  <c r="P153" i="8"/>
  <c r="O1503" i="6"/>
  <c r="P814" i="8"/>
  <c r="T152" i="8"/>
  <c r="Q320" i="7"/>
  <c r="S320" i="7" s="1"/>
  <c r="O1166" i="6"/>
  <c r="R602" i="6"/>
  <c r="N1082" i="6"/>
  <c r="O1082" i="6" s="1"/>
  <c r="N1225" i="6"/>
  <c r="P1225" i="6" s="1"/>
  <c r="P212" i="8"/>
  <c r="Q212" i="8" s="1"/>
  <c r="S212" i="8" s="1"/>
  <c r="Q698" i="6"/>
  <c r="S698" i="6" s="1"/>
  <c r="V708" i="8"/>
  <c r="S708" i="8"/>
  <c r="Q651" i="8"/>
  <c r="Q2928" i="6"/>
  <c r="R2928" i="6" s="1"/>
  <c r="R874" i="7"/>
  <c r="T874" i="7" s="1"/>
  <c r="V874" i="7"/>
  <c r="S1035" i="8"/>
  <c r="V1035" i="8"/>
  <c r="R925" i="7"/>
  <c r="T925" i="7" s="1"/>
  <c r="V925" i="7"/>
  <c r="R1035" i="8"/>
  <c r="T1035" i="8" s="1"/>
  <c r="R924" i="8"/>
  <c r="T924" i="8" s="1"/>
  <c r="V924" i="8"/>
  <c r="T429" i="7"/>
  <c r="S2927" i="6"/>
  <c r="U538" i="7"/>
  <c r="U979" i="8"/>
  <c r="P377" i="7"/>
  <c r="Q377" i="7" s="1"/>
  <c r="S377" i="7" s="1"/>
  <c r="P210" i="7"/>
  <c r="Q210" i="7" s="1"/>
  <c r="V155" i="7"/>
  <c r="R155" i="7"/>
  <c r="T155" i="7" s="1"/>
  <c r="Q265" i="8"/>
  <c r="R265" i="8" s="1"/>
  <c r="Q651" i="7"/>
  <c r="P814" i="7"/>
  <c r="Q814" i="7" s="1"/>
  <c r="S814" i="7" s="1"/>
  <c r="V866" i="8"/>
  <c r="S866" i="8"/>
  <c r="U866" i="8" s="1"/>
  <c r="U874" i="7"/>
  <c r="S664" i="6"/>
  <c r="P487" i="7"/>
  <c r="Q487" i="7" s="1"/>
  <c r="T813" i="8"/>
  <c r="U154" i="12"/>
  <c r="U484" i="8"/>
  <c r="N1329" i="6"/>
  <c r="P1329" i="6" s="1"/>
  <c r="BA287" i="11"/>
  <c r="BM287" i="11" s="1"/>
  <c r="CK234" i="11"/>
  <c r="CN234" i="11"/>
  <c r="CM234" i="11"/>
  <c r="CP234" i="11"/>
  <c r="CL234" i="11"/>
  <c r="CQ234" i="11"/>
  <c r="CO234" i="11"/>
  <c r="P1425" i="6"/>
  <c r="N1426" i="6" s="1"/>
  <c r="O1426" i="6" s="1"/>
  <c r="R1091" i="8"/>
  <c r="T1091" i="8" s="1"/>
  <c r="P596" i="8"/>
  <c r="R708" i="8"/>
  <c r="T595" i="8"/>
  <c r="T209" i="12"/>
  <c r="S988" i="6"/>
  <c r="P320" i="7"/>
  <c r="Q761" i="7"/>
  <c r="O1121" i="6"/>
  <c r="U595" i="7"/>
  <c r="U428" i="8"/>
  <c r="U266" i="7"/>
  <c r="U317" i="12"/>
  <c r="U155" i="7" l="1"/>
  <c r="B2025" i="6"/>
  <c r="D2024" i="6"/>
  <c r="E2024" i="6"/>
  <c r="C2088" i="6"/>
  <c r="Q808" i="6"/>
  <c r="R808" i="6" s="1"/>
  <c r="C2217" i="6"/>
  <c r="D2217" i="6" s="1"/>
  <c r="T866" i="8"/>
  <c r="R937" i="6"/>
  <c r="S749" i="6"/>
  <c r="B2089" i="6"/>
  <c r="E2088" i="6"/>
  <c r="D2088" i="6"/>
  <c r="D2153" i="6"/>
  <c r="E2153" i="6"/>
  <c r="B2154" i="6"/>
  <c r="H236" i="11"/>
  <c r="I236" i="11" s="1"/>
  <c r="R847" i="6"/>
  <c r="Q848" i="6" s="1"/>
  <c r="P1265" i="6"/>
  <c r="AO237" i="11"/>
  <c r="AS237" i="11" s="1"/>
  <c r="AX237" i="11" s="1"/>
  <c r="D1955" i="6"/>
  <c r="B1956" i="6"/>
  <c r="E1955" i="6"/>
  <c r="C1956" i="6" s="1"/>
  <c r="T708" i="8"/>
  <c r="Q750" i="6"/>
  <c r="R750" i="6" s="1"/>
  <c r="T267" i="12"/>
  <c r="BO235" i="11"/>
  <c r="CR234" i="11"/>
  <c r="BV235" i="11" s="1"/>
  <c r="Q596" i="8"/>
  <c r="Q895" i="6"/>
  <c r="S895" i="6" s="1"/>
  <c r="V210" i="7"/>
  <c r="R210" i="7"/>
  <c r="O1225" i="6"/>
  <c r="P867" i="8"/>
  <c r="S761" i="7"/>
  <c r="U761" i="7" s="1"/>
  <c r="V761" i="7"/>
  <c r="Q814" i="8"/>
  <c r="R814" i="8" s="1"/>
  <c r="P980" i="8"/>
  <c r="Q980" i="8" s="1"/>
  <c r="S980" i="8" s="1"/>
  <c r="R321" i="8"/>
  <c r="T321" i="8" s="1"/>
  <c r="V321" i="8"/>
  <c r="S665" i="6"/>
  <c r="U376" i="8"/>
  <c r="P268" i="12"/>
  <c r="R698" i="6"/>
  <c r="N1504" i="6"/>
  <c r="P1504" i="6" s="1"/>
  <c r="V212" i="8"/>
  <c r="R212" i="8"/>
  <c r="T212" i="8" s="1"/>
  <c r="P267" i="7"/>
  <c r="Q267" i="7" s="1"/>
  <c r="S267" i="7" s="1"/>
  <c r="Q989" i="6"/>
  <c r="R989" i="6" s="1"/>
  <c r="P596" i="7"/>
  <c r="Q596" i="7" s="1"/>
  <c r="S596" i="7" s="1"/>
  <c r="U1035" i="8"/>
  <c r="Q867" i="8"/>
  <c r="V867" i="8" s="1"/>
  <c r="O1329" i="6"/>
  <c r="P485" i="8"/>
  <c r="Q485" i="8" s="1"/>
  <c r="S485" i="8" s="1"/>
  <c r="P1426" i="6"/>
  <c r="N1427" i="6" s="1"/>
  <c r="O1427" i="6" s="1"/>
  <c r="V814" i="7"/>
  <c r="R814" i="7"/>
  <c r="T814" i="7" s="1"/>
  <c r="P539" i="7"/>
  <c r="Q539" i="7" s="1"/>
  <c r="S539" i="7" s="1"/>
  <c r="S651" i="8"/>
  <c r="V651" i="8"/>
  <c r="V320" i="7"/>
  <c r="U1091" i="8"/>
  <c r="P763" i="8"/>
  <c r="Q763" i="8" s="1"/>
  <c r="Q665" i="6"/>
  <c r="R665" i="6" s="1"/>
  <c r="S265" i="8"/>
  <c r="U265" i="8" s="1"/>
  <c r="V265" i="8"/>
  <c r="Q210" i="12"/>
  <c r="P156" i="7"/>
  <c r="Q156" i="7" s="1"/>
  <c r="R156" i="7" s="1"/>
  <c r="BR235" i="11"/>
  <c r="BP235" i="11"/>
  <c r="Q938" i="6"/>
  <c r="S938" i="6" s="1"/>
  <c r="P429" i="8"/>
  <c r="Q429" i="8" s="1"/>
  <c r="O1372" i="6"/>
  <c r="BF287" i="11"/>
  <c r="BE287" i="11"/>
  <c r="BB288" i="11"/>
  <c r="BG287" i="11"/>
  <c r="BD288" i="11"/>
  <c r="BC288" i="11"/>
  <c r="BI287" i="11"/>
  <c r="BK287" i="11"/>
  <c r="BJ287" i="11"/>
  <c r="BH287" i="11"/>
  <c r="P875" i="7"/>
  <c r="Q875" i="7" s="1"/>
  <c r="P540" i="8"/>
  <c r="N1457" i="6"/>
  <c r="P1457" i="6" s="1"/>
  <c r="N1122" i="6"/>
  <c r="P1122" i="6" s="1"/>
  <c r="Q603" i="6"/>
  <c r="S603" i="6" s="1"/>
  <c r="V377" i="7"/>
  <c r="R377" i="7"/>
  <c r="T377" i="7" s="1"/>
  <c r="R1038" i="6"/>
  <c r="V706" i="7"/>
  <c r="R706" i="7"/>
  <c r="T706" i="7" s="1"/>
  <c r="U925" i="7"/>
  <c r="R761" i="7"/>
  <c r="V651" i="7"/>
  <c r="S651" i="7"/>
  <c r="S2928" i="6"/>
  <c r="Q2929" i="6" s="1"/>
  <c r="R2929" i="6" s="1"/>
  <c r="R651" i="8"/>
  <c r="Q153" i="8"/>
  <c r="R153" i="8" s="1"/>
  <c r="P1082" i="6"/>
  <c r="N1167" i="6"/>
  <c r="P1167" i="6" s="1"/>
  <c r="Y284" i="11"/>
  <c r="X285" i="11"/>
  <c r="AC284" i="11"/>
  <c r="AB284" i="11"/>
  <c r="AA284" i="11"/>
  <c r="W285" i="11"/>
  <c r="V285" i="11"/>
  <c r="AD284" i="11"/>
  <c r="AE284" i="11"/>
  <c r="Z284" i="11"/>
  <c r="P318" i="12"/>
  <c r="Q318" i="12" s="1"/>
  <c r="S318" i="12"/>
  <c r="S210" i="7"/>
  <c r="R320" i="7"/>
  <c r="T320" i="7" s="1"/>
  <c r="T539" i="8"/>
  <c r="P155" i="12"/>
  <c r="Q155" i="12" s="1"/>
  <c r="S155" i="12" s="1"/>
  <c r="V487" i="7"/>
  <c r="R487" i="7"/>
  <c r="S487" i="7"/>
  <c r="R651" i="7"/>
  <c r="Q430" i="7"/>
  <c r="R430" i="7" s="1"/>
  <c r="U708" i="8"/>
  <c r="V376" i="8"/>
  <c r="R376" i="8"/>
  <c r="T376" i="8" s="1"/>
  <c r="U924" i="8"/>
  <c r="T210" i="7" l="1"/>
  <c r="C2025" i="6"/>
  <c r="B2218" i="6"/>
  <c r="E2217" i="6"/>
  <c r="S750" i="6"/>
  <c r="Q751" i="6" s="1"/>
  <c r="R751" i="6" s="1"/>
  <c r="C2154" i="6"/>
  <c r="S808" i="6"/>
  <c r="R848" i="6"/>
  <c r="S848" i="6"/>
  <c r="P1266" i="6"/>
  <c r="M236" i="11"/>
  <c r="R236" i="11" s="1"/>
  <c r="K236" i="11"/>
  <c r="Q236" i="11" s="1"/>
  <c r="L236" i="11"/>
  <c r="O236" i="11"/>
  <c r="S236" i="11" s="1"/>
  <c r="N236" i="11"/>
  <c r="P236" i="11"/>
  <c r="O1122" i="6"/>
  <c r="N1123" i="6" s="1"/>
  <c r="O1123" i="6" s="1"/>
  <c r="N1266" i="6"/>
  <c r="O1266" i="6" s="1"/>
  <c r="C2218" i="6"/>
  <c r="U320" i="7"/>
  <c r="P321" i="7" s="1"/>
  <c r="Q321" i="7" s="1"/>
  <c r="B1957" i="6"/>
  <c r="D1956" i="6"/>
  <c r="E1956" i="6"/>
  <c r="C2089" i="6"/>
  <c r="BQ235" i="11"/>
  <c r="BT235" i="11" s="1"/>
  <c r="BS235" i="11"/>
  <c r="B2155" i="6"/>
  <c r="D2154" i="6"/>
  <c r="E2154" i="6"/>
  <c r="T651" i="7"/>
  <c r="U651" i="8"/>
  <c r="AT237" i="11"/>
  <c r="BA237" i="11" s="1"/>
  <c r="AV237" i="11"/>
  <c r="AU237" i="11"/>
  <c r="AY237" i="11" s="1"/>
  <c r="BD237" i="11" s="1"/>
  <c r="AQ237" i="11"/>
  <c r="AW237" i="11" s="1"/>
  <c r="AR237" i="11"/>
  <c r="V156" i="7"/>
  <c r="U487" i="7"/>
  <c r="P488" i="7" s="1"/>
  <c r="V875" i="7"/>
  <c r="R875" i="7"/>
  <c r="S875" i="7"/>
  <c r="U875" i="7" s="1"/>
  <c r="T156" i="7"/>
  <c r="N1267" i="6"/>
  <c r="O1267" i="6" s="1"/>
  <c r="Q849" i="6"/>
  <c r="S849" i="6" s="1"/>
  <c r="T814" i="8"/>
  <c r="O1504" i="6"/>
  <c r="Q268" i="12"/>
  <c r="Q1039" i="6"/>
  <c r="S1039" i="6" s="1"/>
  <c r="R938" i="6"/>
  <c r="S867" i="8"/>
  <c r="S156" i="7"/>
  <c r="U156" i="7" s="1"/>
  <c r="U321" i="8"/>
  <c r="T651" i="8"/>
  <c r="U377" i="7"/>
  <c r="V210" i="12"/>
  <c r="S210" i="12"/>
  <c r="P1427" i="6"/>
  <c r="S989" i="6"/>
  <c r="Q990" i="6" s="1"/>
  <c r="R990" i="6" s="1"/>
  <c r="V596" i="8"/>
  <c r="S596" i="8"/>
  <c r="U212" i="8"/>
  <c r="V763" i="8"/>
  <c r="R763" i="8"/>
  <c r="V429" i="8"/>
  <c r="R429" i="8"/>
  <c r="R867" i="8"/>
  <c r="O1167" i="6"/>
  <c r="P1036" i="8"/>
  <c r="Q1036" i="8" s="1"/>
  <c r="S1036" i="8" s="1"/>
  <c r="N1226" i="6"/>
  <c r="P1226" i="6" s="1"/>
  <c r="U539" i="7"/>
  <c r="S153" i="8"/>
  <c r="U153" i="8" s="1"/>
  <c r="V153" i="8"/>
  <c r="P377" i="8"/>
  <c r="Q377" i="8" s="1"/>
  <c r="R603" i="6"/>
  <c r="Q540" i="8"/>
  <c r="R540" i="8" s="1"/>
  <c r="D285" i="11"/>
  <c r="S2929" i="6"/>
  <c r="AJ288" i="11"/>
  <c r="R210" i="12"/>
  <c r="U706" i="7"/>
  <c r="R596" i="8"/>
  <c r="T265" i="8"/>
  <c r="V430" i="7"/>
  <c r="S430" i="7"/>
  <c r="U430" i="7" s="1"/>
  <c r="V814" i="8"/>
  <c r="S814" i="8"/>
  <c r="U814" i="8" s="1"/>
  <c r="P1092" i="8"/>
  <c r="Q1092" i="8" s="1"/>
  <c r="S429" i="8"/>
  <c r="T487" i="7"/>
  <c r="R895" i="6"/>
  <c r="V596" i="7"/>
  <c r="R596" i="7"/>
  <c r="T596" i="7" s="1"/>
  <c r="P925" i="8"/>
  <c r="Q925" i="8" s="1"/>
  <c r="S925" i="8" s="1"/>
  <c r="U651" i="7"/>
  <c r="U210" i="7"/>
  <c r="V485" i="8"/>
  <c r="R485" i="8"/>
  <c r="T485" i="8" s="1"/>
  <c r="O1457" i="6"/>
  <c r="AI288" i="11"/>
  <c r="BL287" i="11"/>
  <c r="AP288" i="11" s="1"/>
  <c r="Q666" i="6"/>
  <c r="S666" i="6" s="1"/>
  <c r="P926" i="7"/>
  <c r="Q926" i="7" s="1"/>
  <c r="S926" i="7" s="1"/>
  <c r="N1373" i="6"/>
  <c r="P1373" i="6" s="1"/>
  <c r="V318" i="12"/>
  <c r="R318" i="12"/>
  <c r="T318" i="12" s="1"/>
  <c r="Q699" i="6"/>
  <c r="S699" i="6" s="1"/>
  <c r="P652" i="8"/>
  <c r="P762" i="7"/>
  <c r="V539" i="7"/>
  <c r="R539" i="7"/>
  <c r="T539" i="7" s="1"/>
  <c r="R155" i="12"/>
  <c r="T155" i="12" s="1"/>
  <c r="V155" i="12"/>
  <c r="V267" i="7"/>
  <c r="R267" i="7"/>
  <c r="T267" i="7" s="1"/>
  <c r="P266" i="8"/>
  <c r="P709" i="8"/>
  <c r="Q709" i="8" s="1"/>
  <c r="S709" i="8" s="1"/>
  <c r="AF284" i="11"/>
  <c r="J285" i="11" s="1"/>
  <c r="E285" i="11"/>
  <c r="C285" i="11"/>
  <c r="T761" i="7"/>
  <c r="N1083" i="6"/>
  <c r="O1083" i="6" s="1"/>
  <c r="S763" i="8"/>
  <c r="U763" i="8" s="1"/>
  <c r="N1330" i="6"/>
  <c r="P1330" i="6" s="1"/>
  <c r="V980" i="8"/>
  <c r="R980" i="8"/>
  <c r="T980" i="8" s="1"/>
  <c r="U814" i="7"/>
  <c r="S321" i="7" l="1"/>
  <c r="V321" i="7"/>
  <c r="U318" i="12"/>
  <c r="BC237" i="11"/>
  <c r="U485" i="8"/>
  <c r="E2025" i="6"/>
  <c r="D2025" i="6"/>
  <c r="B2026" i="6"/>
  <c r="Q809" i="6"/>
  <c r="R809" i="6" s="1"/>
  <c r="S751" i="6"/>
  <c r="Q752" i="6" s="1"/>
  <c r="R752" i="6" s="1"/>
  <c r="U596" i="7"/>
  <c r="P597" i="7" s="1"/>
  <c r="Q597" i="7" s="1"/>
  <c r="R597" i="7" s="1"/>
  <c r="P1267" i="6"/>
  <c r="N1268" i="6" s="1"/>
  <c r="O1268" i="6" s="1"/>
  <c r="C1957" i="6"/>
  <c r="BU235" i="11"/>
  <c r="CB235" i="11" s="1"/>
  <c r="U236" i="11"/>
  <c r="C2155" i="6"/>
  <c r="U429" i="8"/>
  <c r="P430" i="8" s="1"/>
  <c r="T236" i="11"/>
  <c r="V236" i="11" s="1"/>
  <c r="O1330" i="6"/>
  <c r="U596" i="8"/>
  <c r="P597" i="8" s="1"/>
  <c r="U267" i="7"/>
  <c r="P268" i="7" s="1"/>
  <c r="Q268" i="7" s="1"/>
  <c r="AZ237" i="11"/>
  <c r="BB237" i="11" s="1"/>
  <c r="BM237" i="11" s="1"/>
  <c r="B2219" i="6"/>
  <c r="E2218" i="6"/>
  <c r="D2218" i="6"/>
  <c r="T210" i="12"/>
  <c r="T153" i="8"/>
  <c r="Q154" i="8" s="1"/>
  <c r="V154" i="8" s="1"/>
  <c r="U867" i="8"/>
  <c r="P868" i="8" s="1"/>
  <c r="D2089" i="6"/>
  <c r="E2089" i="6"/>
  <c r="B2090" i="6"/>
  <c r="R377" i="8"/>
  <c r="S377" i="8"/>
  <c r="V377" i="8"/>
  <c r="P486" i="8"/>
  <c r="Q486" i="8" s="1"/>
  <c r="P213" i="8"/>
  <c r="Q213" i="8" s="1"/>
  <c r="S213" i="8" s="1"/>
  <c r="Q266" i="8"/>
  <c r="N1505" i="6"/>
  <c r="P1505" i="6" s="1"/>
  <c r="T596" i="8"/>
  <c r="O1226" i="6"/>
  <c r="N1458" i="6"/>
  <c r="P1458" i="6" s="1"/>
  <c r="AL288" i="11"/>
  <c r="R849" i="6"/>
  <c r="R666" i="6"/>
  <c r="P540" i="7"/>
  <c r="Q540" i="7" s="1"/>
  <c r="R540" i="7" s="1"/>
  <c r="S990" i="6"/>
  <c r="Q991" i="6" s="1"/>
  <c r="R991" i="6" s="1"/>
  <c r="R321" i="7"/>
  <c r="T321" i="7" s="1"/>
  <c r="R699" i="6"/>
  <c r="R709" i="8"/>
  <c r="T709" i="8" s="1"/>
  <c r="V709" i="8"/>
  <c r="Q939" i="6"/>
  <c r="S939" i="6" s="1"/>
  <c r="N1168" i="6"/>
  <c r="P1168" i="6" s="1"/>
  <c r="Q652" i="8"/>
  <c r="R652" i="8" s="1"/>
  <c r="V1092" i="8"/>
  <c r="R1092" i="8"/>
  <c r="O1373" i="6"/>
  <c r="S1092" i="8"/>
  <c r="U1092" i="8" s="1"/>
  <c r="T867" i="8"/>
  <c r="U980" i="8"/>
  <c r="Q896" i="6"/>
  <c r="S896" i="6" s="1"/>
  <c r="P1123" i="6"/>
  <c r="T429" i="8"/>
  <c r="Q2930" i="6"/>
  <c r="R2930" i="6" s="1"/>
  <c r="P876" i="7"/>
  <c r="V268" i="12"/>
  <c r="S268" i="12"/>
  <c r="R268" i="12"/>
  <c r="T268" i="12" s="1"/>
  <c r="Q762" i="7"/>
  <c r="R762" i="7" s="1"/>
  <c r="P1083" i="6"/>
  <c r="N1084" i="6" s="1"/>
  <c r="O1084" i="6" s="1"/>
  <c r="P652" i="7"/>
  <c r="Q652" i="7" s="1"/>
  <c r="S652" i="7" s="1"/>
  <c r="P707" i="7"/>
  <c r="Q707" i="7" s="1"/>
  <c r="S707" i="7" s="1"/>
  <c r="R925" i="8"/>
  <c r="T925" i="8" s="1"/>
  <c r="V925" i="8"/>
  <c r="U210" i="12"/>
  <c r="P154" i="8"/>
  <c r="N1331" i="6"/>
  <c r="P1331" i="6" s="1"/>
  <c r="G285" i="11"/>
  <c r="R926" i="7"/>
  <c r="T926" i="7" s="1"/>
  <c r="V926" i="7"/>
  <c r="P211" i="7"/>
  <c r="Q211" i="7" s="1"/>
  <c r="P815" i="8"/>
  <c r="Q815" i="8" s="1"/>
  <c r="F285" i="11"/>
  <c r="P322" i="8"/>
  <c r="Q322" i="8" s="1"/>
  <c r="S322" i="8" s="1"/>
  <c r="T875" i="7"/>
  <c r="P431" i="7"/>
  <c r="Q604" i="6"/>
  <c r="S604" i="6" s="1"/>
  <c r="P319" i="12"/>
  <c r="Q319" i="12" s="1"/>
  <c r="AK288" i="11"/>
  <c r="V1036" i="8"/>
  <c r="R1036" i="8"/>
  <c r="T1036" i="8" s="1"/>
  <c r="AM288" i="11"/>
  <c r="CA235" i="11"/>
  <c r="CE235" i="11" s="1"/>
  <c r="P378" i="7"/>
  <c r="Q378" i="7" s="1"/>
  <c r="S378" i="7" s="1"/>
  <c r="N1428" i="6"/>
  <c r="O1428" i="6" s="1"/>
  <c r="P815" i="7"/>
  <c r="Q815" i="7" s="1"/>
  <c r="U155" i="12"/>
  <c r="P764" i="8"/>
  <c r="Q488" i="7"/>
  <c r="R488" i="7" s="1"/>
  <c r="V540" i="8"/>
  <c r="S540" i="8"/>
  <c r="U540" i="8" s="1"/>
  <c r="T763" i="8"/>
  <c r="P157" i="7"/>
  <c r="Q157" i="7" s="1"/>
  <c r="R1039" i="6"/>
  <c r="T430" i="7"/>
  <c r="S809" i="6" l="1"/>
  <c r="C2026" i="6"/>
  <c r="C2090" i="6"/>
  <c r="R268" i="7"/>
  <c r="V268" i="7"/>
  <c r="BE237" i="11"/>
  <c r="BI237" i="11"/>
  <c r="BK237" i="11"/>
  <c r="BH237" i="11"/>
  <c r="BG237" i="11"/>
  <c r="BF237" i="11"/>
  <c r="BJ237" i="11"/>
  <c r="D2090" i="6"/>
  <c r="E2090" i="6"/>
  <c r="B2091" i="6"/>
  <c r="X236" i="11"/>
  <c r="D1957" i="6"/>
  <c r="B1958" i="6"/>
  <c r="E1957" i="6"/>
  <c r="BW235" i="11"/>
  <c r="CC235" i="11" s="1"/>
  <c r="CF235" i="11" s="1"/>
  <c r="U925" i="8"/>
  <c r="U321" i="7"/>
  <c r="P322" i="7" s="1"/>
  <c r="Q322" i="7" s="1"/>
  <c r="C2219" i="6"/>
  <c r="W236" i="11"/>
  <c r="E2155" i="6"/>
  <c r="D2155" i="6"/>
  <c r="B2156" i="6"/>
  <c r="C2156" i="6"/>
  <c r="BY235" i="11"/>
  <c r="CD235" i="11" s="1"/>
  <c r="U377" i="8"/>
  <c r="BX235" i="11"/>
  <c r="P1268" i="6"/>
  <c r="BZ235" i="11"/>
  <c r="V157" i="7"/>
  <c r="R157" i="7"/>
  <c r="S157" i="7"/>
  <c r="U157" i="7" s="1"/>
  <c r="N1269" i="6"/>
  <c r="P1269" i="6" s="1"/>
  <c r="R319" i="12"/>
  <c r="V319" i="12"/>
  <c r="S319" i="12"/>
  <c r="V486" i="8"/>
  <c r="R486" i="8"/>
  <c r="S486" i="8"/>
  <c r="V815" i="8"/>
  <c r="R815" i="8"/>
  <c r="S815" i="8"/>
  <c r="U815" i="8" s="1"/>
  <c r="T762" i="7"/>
  <c r="R896" i="6"/>
  <c r="T377" i="8"/>
  <c r="Q868" i="8"/>
  <c r="T540" i="8"/>
  <c r="P211" i="12"/>
  <c r="Q211" i="12" s="1"/>
  <c r="S211" i="12"/>
  <c r="N1124" i="6"/>
  <c r="O1124" i="6" s="1"/>
  <c r="S268" i="7"/>
  <c r="U268" i="7" s="1"/>
  <c r="S991" i="6"/>
  <c r="Q992" i="6" s="1"/>
  <c r="R992" i="6" s="1"/>
  <c r="Q597" i="8"/>
  <c r="V540" i="7"/>
  <c r="U1036" i="8"/>
  <c r="R815" i="7"/>
  <c r="V815" i="7"/>
  <c r="P378" i="8"/>
  <c r="P541" i="8"/>
  <c r="R604" i="6"/>
  <c r="P981" i="8"/>
  <c r="Q981" i="8" s="1"/>
  <c r="S981" i="8" s="1"/>
  <c r="R939" i="6"/>
  <c r="S597" i="7"/>
  <c r="U597" i="7" s="1"/>
  <c r="P1093" i="8"/>
  <c r="U709" i="8"/>
  <c r="V597" i="7"/>
  <c r="O1331" i="6"/>
  <c r="Q700" i="6"/>
  <c r="S700" i="6" s="1"/>
  <c r="Q876" i="7"/>
  <c r="R876" i="7" s="1"/>
  <c r="V707" i="7"/>
  <c r="R707" i="7"/>
  <c r="T707" i="7" s="1"/>
  <c r="V322" i="8"/>
  <c r="R322" i="8"/>
  <c r="T322" i="8" s="1"/>
  <c r="S154" i="8"/>
  <c r="T1092" i="8"/>
  <c r="S752" i="6"/>
  <c r="Q753" i="6" s="1"/>
  <c r="R753" i="6" s="1"/>
  <c r="O1505" i="6"/>
  <c r="P1084" i="6"/>
  <c r="N1085" i="6" s="1"/>
  <c r="O1085" i="6" s="1"/>
  <c r="Q764" i="8"/>
  <c r="R764" i="8" s="1"/>
  <c r="Q667" i="6"/>
  <c r="S667" i="6" s="1"/>
  <c r="R211" i="7"/>
  <c r="T211" i="7" s="1"/>
  <c r="V211" i="7"/>
  <c r="O1168" i="6"/>
  <c r="U268" i="12"/>
  <c r="H285" i="11"/>
  <c r="I285" i="11" s="1"/>
  <c r="Q430" i="8"/>
  <c r="AN288" i="11"/>
  <c r="AO288" i="11" s="1"/>
  <c r="V652" i="7"/>
  <c r="R652" i="7"/>
  <c r="T652" i="7" s="1"/>
  <c r="S2930" i="6"/>
  <c r="Q2931" i="6" s="1"/>
  <c r="R2931" i="6" s="1"/>
  <c r="S540" i="7"/>
  <c r="U540" i="7" s="1"/>
  <c r="O1458" i="6"/>
  <c r="S266" i="8"/>
  <c r="U266" i="8" s="1"/>
  <c r="V266" i="8"/>
  <c r="U926" i="7"/>
  <c r="S815" i="7"/>
  <c r="R213" i="8"/>
  <c r="T213" i="8" s="1"/>
  <c r="V213" i="8"/>
  <c r="S762" i="7"/>
  <c r="U762" i="7" s="1"/>
  <c r="V762" i="7"/>
  <c r="V378" i="7"/>
  <c r="R378" i="7"/>
  <c r="T378" i="7" s="1"/>
  <c r="Q850" i="6"/>
  <c r="S850" i="6" s="1"/>
  <c r="S211" i="7"/>
  <c r="V488" i="7"/>
  <c r="S488" i="7"/>
  <c r="U488" i="7" s="1"/>
  <c r="P926" i="8"/>
  <c r="Q926" i="8"/>
  <c r="S926" i="8" s="1"/>
  <c r="N1374" i="6"/>
  <c r="P1374" i="6" s="1"/>
  <c r="R154" i="8"/>
  <c r="T154" i="8" s="1"/>
  <c r="P156" i="12"/>
  <c r="Q156" i="12" s="1"/>
  <c r="S156" i="12" s="1"/>
  <c r="Q431" i="7"/>
  <c r="R431" i="7" s="1"/>
  <c r="Q1040" i="6"/>
  <c r="S1040" i="6" s="1"/>
  <c r="P1428" i="6"/>
  <c r="N1429" i="6" s="1"/>
  <c r="O1429" i="6" s="1"/>
  <c r="V652" i="8"/>
  <c r="S652" i="8"/>
  <c r="U652" i="8" s="1"/>
  <c r="N1227" i="6"/>
  <c r="P1227" i="6" s="1"/>
  <c r="R266" i="8"/>
  <c r="D2026" i="6" l="1"/>
  <c r="B2027" i="6"/>
  <c r="E2026" i="6"/>
  <c r="C2027" i="6"/>
  <c r="T815" i="7"/>
  <c r="C1958" i="6"/>
  <c r="E1958" i="6" s="1"/>
  <c r="C2091" i="6"/>
  <c r="U213" i="8"/>
  <c r="P214" i="8" s="1"/>
  <c r="Q214" i="8" s="1"/>
  <c r="R214" i="8" s="1"/>
  <c r="U486" i="8"/>
  <c r="P487" i="8" s="1"/>
  <c r="CG235" i="11"/>
  <c r="CI235" i="11" s="1"/>
  <c r="Q810" i="6"/>
  <c r="R810" i="6" s="1"/>
  <c r="B2092" i="6"/>
  <c r="E2091" i="6"/>
  <c r="D2091" i="6"/>
  <c r="C2092" i="6" s="1"/>
  <c r="B1959" i="6"/>
  <c r="V926" i="8"/>
  <c r="T652" i="8"/>
  <c r="AI238" i="11"/>
  <c r="BL237" i="11"/>
  <c r="AP238" i="11" s="1"/>
  <c r="AK238" i="11"/>
  <c r="AG236" i="11"/>
  <c r="CH235" i="11"/>
  <c r="B2220" i="6"/>
  <c r="D2219" i="6"/>
  <c r="E2219" i="6"/>
  <c r="U378" i="7"/>
  <c r="P379" i="7" s="1"/>
  <c r="Q379" i="7" s="1"/>
  <c r="D2156" i="6"/>
  <c r="C2157" i="6" s="1"/>
  <c r="E2156" i="6"/>
  <c r="B2157" i="6"/>
  <c r="AJ238" i="11"/>
  <c r="U319" i="12"/>
  <c r="AU288" i="11"/>
  <c r="AY288" i="11" s="1"/>
  <c r="AR288" i="11"/>
  <c r="AQ288" i="11"/>
  <c r="AW288" i="11" s="1"/>
  <c r="AS288" i="11"/>
  <c r="AX288" i="11" s="1"/>
  <c r="AV288" i="11"/>
  <c r="AT288" i="11"/>
  <c r="L285" i="11"/>
  <c r="K285" i="11"/>
  <c r="Q285" i="11" s="1"/>
  <c r="T285" i="11" s="1"/>
  <c r="O285" i="11"/>
  <c r="S285" i="11" s="1"/>
  <c r="N285" i="11"/>
  <c r="P285" i="11"/>
  <c r="M285" i="11"/>
  <c r="R285" i="11" s="1"/>
  <c r="V322" i="7"/>
  <c r="R322" i="7"/>
  <c r="S322" i="7"/>
  <c r="U322" i="7" s="1"/>
  <c r="P927" i="7"/>
  <c r="Q927" i="7" s="1"/>
  <c r="S927" i="7" s="1"/>
  <c r="P489" i="7"/>
  <c r="O1269" i="6"/>
  <c r="N1459" i="6"/>
  <c r="P1459" i="6" s="1"/>
  <c r="P541" i="7"/>
  <c r="P1124" i="6"/>
  <c r="N1125" i="6" s="1"/>
  <c r="O1125" i="6" s="1"/>
  <c r="T597" i="7"/>
  <c r="R850" i="6"/>
  <c r="U981" i="8"/>
  <c r="O1374" i="6"/>
  <c r="N1506" i="6"/>
  <c r="P1506" i="6" s="1"/>
  <c r="R926" i="8"/>
  <c r="T926" i="8" s="1"/>
  <c r="N1332" i="6"/>
  <c r="P1332" i="6" s="1"/>
  <c r="V868" i="8"/>
  <c r="S868" i="8"/>
  <c r="P269" i="7"/>
  <c r="R156" i="12"/>
  <c r="T156" i="12" s="1"/>
  <c r="V156" i="12"/>
  <c r="U211" i="7"/>
  <c r="P1037" i="8"/>
  <c r="Q1037" i="8" s="1"/>
  <c r="U707" i="7"/>
  <c r="T157" i="7"/>
  <c r="R211" i="12"/>
  <c r="T211" i="12" s="1"/>
  <c r="V211" i="12"/>
  <c r="Q763" i="7"/>
  <c r="S763" i="7" s="1"/>
  <c r="P653" i="8"/>
  <c r="Q605" i="6"/>
  <c r="S605" i="6" s="1"/>
  <c r="T319" i="12"/>
  <c r="P763" i="7"/>
  <c r="T815" i="8"/>
  <c r="S430" i="8"/>
  <c r="V430" i="8"/>
  <c r="Q1093" i="8"/>
  <c r="V597" i="8"/>
  <c r="S597" i="8"/>
  <c r="R868" i="8"/>
  <c r="T868" i="8" s="1"/>
  <c r="T540" i="7"/>
  <c r="U652" i="7"/>
  <c r="P710" i="8"/>
  <c r="Q710" i="8" s="1"/>
  <c r="S710" i="8" s="1"/>
  <c r="R667" i="6"/>
  <c r="P158" i="7"/>
  <c r="S2931" i="6"/>
  <c r="T266" i="8"/>
  <c r="Q940" i="6"/>
  <c r="S940" i="6" s="1"/>
  <c r="P320" i="12"/>
  <c r="O1227" i="6"/>
  <c r="R700" i="6"/>
  <c r="P1429" i="6"/>
  <c r="R1040" i="6"/>
  <c r="R430" i="8"/>
  <c r="P269" i="12"/>
  <c r="Q269" i="12" s="1"/>
  <c r="S269" i="12" s="1"/>
  <c r="U154" i="8"/>
  <c r="R597" i="8"/>
  <c r="U322" i="8"/>
  <c r="T488" i="7"/>
  <c r="Q378" i="8"/>
  <c r="N1169" i="6"/>
  <c r="P1169" i="6" s="1"/>
  <c r="Q897" i="6"/>
  <c r="S897" i="6" s="1"/>
  <c r="P267" i="8"/>
  <c r="T486" i="8"/>
  <c r="P598" i="7"/>
  <c r="V764" i="8"/>
  <c r="S764" i="8"/>
  <c r="U764" i="8" s="1"/>
  <c r="V876" i="7"/>
  <c r="S876" i="7"/>
  <c r="U876" i="7" s="1"/>
  <c r="P1085" i="6"/>
  <c r="N1086" i="6" s="1"/>
  <c r="O1086" i="6" s="1"/>
  <c r="Q541" i="8"/>
  <c r="R981" i="8"/>
  <c r="T981" i="8" s="1"/>
  <c r="V981" i="8"/>
  <c r="P816" i="8"/>
  <c r="S753" i="6"/>
  <c r="Q754" i="6" s="1"/>
  <c r="R754" i="6" s="1"/>
  <c r="S431" i="7"/>
  <c r="U431" i="7" s="1"/>
  <c r="V431" i="7"/>
  <c r="U815" i="7"/>
  <c r="S992" i="6"/>
  <c r="Q993" i="6" s="1"/>
  <c r="R993" i="6" s="1"/>
  <c r="T268" i="7"/>
  <c r="CJ235" i="11" l="1"/>
  <c r="CS235" i="11" s="1"/>
  <c r="CM235" i="11" s="1"/>
  <c r="U597" i="8"/>
  <c r="D1958" i="6"/>
  <c r="C1959" i="6" s="1"/>
  <c r="S810" i="6"/>
  <c r="Q811" i="6" s="1"/>
  <c r="E2027" i="6"/>
  <c r="D2027" i="6"/>
  <c r="B2028" i="6"/>
  <c r="C2028" i="6"/>
  <c r="T431" i="7"/>
  <c r="U285" i="11"/>
  <c r="AG285" i="11" s="1"/>
  <c r="AA285" i="11" s="1"/>
  <c r="E2157" i="6"/>
  <c r="B2158" i="6"/>
  <c r="D2157" i="6"/>
  <c r="C2158" i="6" s="1"/>
  <c r="O1169" i="6"/>
  <c r="AE236" i="11"/>
  <c r="Z236" i="11"/>
  <c r="AD236" i="11"/>
  <c r="AC236" i="11"/>
  <c r="AB236" i="11"/>
  <c r="AA236" i="11"/>
  <c r="Y236" i="11"/>
  <c r="AL238" i="11"/>
  <c r="AN238" i="11" s="1"/>
  <c r="V214" i="8"/>
  <c r="E2092" i="6"/>
  <c r="B2093" i="6"/>
  <c r="D2092" i="6"/>
  <c r="AM238" i="11"/>
  <c r="R605" i="6"/>
  <c r="C2220" i="6"/>
  <c r="V763" i="7"/>
  <c r="T430" i="8"/>
  <c r="Q653" i="8"/>
  <c r="R653" i="8" s="1"/>
  <c r="AZ288" i="11"/>
  <c r="R379" i="7"/>
  <c r="V379" i="7"/>
  <c r="S379" i="7"/>
  <c r="U379" i="7" s="1"/>
  <c r="U763" i="7"/>
  <c r="S378" i="8"/>
  <c r="V378" i="8"/>
  <c r="R378" i="8"/>
  <c r="T378" i="8" s="1"/>
  <c r="Q668" i="6"/>
  <c r="S668" i="6" s="1"/>
  <c r="N1375" i="6"/>
  <c r="P1375" i="6" s="1"/>
  <c r="CL235" i="11"/>
  <c r="CK235" i="11"/>
  <c r="CQ235" i="11"/>
  <c r="CP235" i="11"/>
  <c r="CO235" i="11"/>
  <c r="CN235" i="11"/>
  <c r="U868" i="8"/>
  <c r="R940" i="6"/>
  <c r="P708" i="7"/>
  <c r="Q708" i="7" s="1"/>
  <c r="S214" i="8"/>
  <c r="U214" i="8" s="1"/>
  <c r="P877" i="7"/>
  <c r="S2932" i="6"/>
  <c r="Q606" i="6"/>
  <c r="S606" i="6" s="1"/>
  <c r="P598" i="8"/>
  <c r="P765" i="8"/>
  <c r="R763" i="7"/>
  <c r="T763" i="7" s="1"/>
  <c r="N1228" i="6"/>
  <c r="P1228" i="6" s="1"/>
  <c r="O1459" i="6"/>
  <c r="Q489" i="7"/>
  <c r="Q2932" i="6"/>
  <c r="R2932" i="6" s="1"/>
  <c r="T597" i="8"/>
  <c r="Q982" i="8"/>
  <c r="V982" i="8" s="1"/>
  <c r="Q158" i="7"/>
  <c r="P1086" i="6"/>
  <c r="N1087" i="6" s="1"/>
  <c r="O1087" i="6" s="1"/>
  <c r="R710" i="8"/>
  <c r="T710" i="8" s="1"/>
  <c r="V710" i="8"/>
  <c r="Q598" i="7"/>
  <c r="P323" i="7"/>
  <c r="S754" i="6"/>
  <c r="N1170" i="6"/>
  <c r="O1170" i="6" s="1"/>
  <c r="P212" i="7"/>
  <c r="Q212" i="7" s="1"/>
  <c r="V1093" i="8"/>
  <c r="S1093" i="8"/>
  <c r="P982" i="8"/>
  <c r="Q487" i="8"/>
  <c r="U156" i="12"/>
  <c r="Q269" i="7"/>
  <c r="R269" i="7" s="1"/>
  <c r="S993" i="6"/>
  <c r="S541" i="8"/>
  <c r="V541" i="8"/>
  <c r="BA288" i="11"/>
  <c r="BM288" i="11" s="1"/>
  <c r="R541" i="8"/>
  <c r="T541" i="8" s="1"/>
  <c r="P816" i="7"/>
  <c r="Q816" i="7" s="1"/>
  <c r="R897" i="6"/>
  <c r="P653" i="7"/>
  <c r="Q653" i="7" s="1"/>
  <c r="Q320" i="12"/>
  <c r="R320" i="12" s="1"/>
  <c r="V1037" i="8"/>
  <c r="R1037" i="8"/>
  <c r="O1332" i="6"/>
  <c r="T322" i="7"/>
  <c r="T876" i="7"/>
  <c r="W286" i="11"/>
  <c r="AE285" i="11"/>
  <c r="AC285" i="11"/>
  <c r="AB285" i="11"/>
  <c r="O1506" i="6"/>
  <c r="Q701" i="6"/>
  <c r="S701" i="6" s="1"/>
  <c r="R1093" i="8"/>
  <c r="T764" i="8"/>
  <c r="U430" i="8"/>
  <c r="N1270" i="6"/>
  <c r="P1270" i="6" s="1"/>
  <c r="P323" i="8"/>
  <c r="Q323" i="8" s="1"/>
  <c r="N1430" i="6"/>
  <c r="O1430" i="6" s="1"/>
  <c r="Q851" i="6"/>
  <c r="S851" i="6" s="1"/>
  <c r="P155" i="8"/>
  <c r="Q155" i="8" s="1"/>
  <c r="S155" i="8" s="1"/>
  <c r="V269" i="12"/>
  <c r="R269" i="12"/>
  <c r="T269" i="12" s="1"/>
  <c r="Q816" i="8"/>
  <c r="U211" i="12"/>
  <c r="P432" i="7"/>
  <c r="Q432" i="7" s="1"/>
  <c r="Q1041" i="6"/>
  <c r="S1041" i="6" s="1"/>
  <c r="Q267" i="8"/>
  <c r="Q541" i="7"/>
  <c r="S1037" i="8"/>
  <c r="U1037" i="8" s="1"/>
  <c r="P1125" i="6"/>
  <c r="V927" i="7"/>
  <c r="R927" i="7"/>
  <c r="T927" i="7" s="1"/>
  <c r="U926" i="8"/>
  <c r="S811" i="6" l="1"/>
  <c r="S812" i="6" s="1"/>
  <c r="S813" i="6" s="1"/>
  <c r="S814" i="6" s="1"/>
  <c r="S815" i="6" s="1"/>
  <c r="S816" i="6" s="1"/>
  <c r="S817" i="6" s="1"/>
  <c r="S818" i="6" s="1"/>
  <c r="S819" i="6" s="1"/>
  <c r="S820" i="6" s="1"/>
  <c r="S821" i="6" s="1"/>
  <c r="R811" i="6"/>
  <c r="R812" i="6" s="1"/>
  <c r="R813" i="6" s="1"/>
  <c r="R814" i="6" s="1"/>
  <c r="R815" i="6" s="1"/>
  <c r="R816" i="6" s="1"/>
  <c r="R817" i="6" s="1"/>
  <c r="R818" i="6" s="1"/>
  <c r="R819" i="6" s="1"/>
  <c r="R820" i="6" s="1"/>
  <c r="R821" i="6" s="1"/>
  <c r="Q822" i="6" s="1"/>
  <c r="B823" i="6" s="1"/>
  <c r="AD285" i="11"/>
  <c r="X286" i="11"/>
  <c r="Y285" i="11"/>
  <c r="T1093" i="8"/>
  <c r="V286" i="11"/>
  <c r="E2028" i="6"/>
  <c r="D2028" i="6"/>
  <c r="B2029" i="6"/>
  <c r="Z285" i="11"/>
  <c r="C286" i="11" s="1"/>
  <c r="B2221" i="6"/>
  <c r="D2220" i="6"/>
  <c r="E2220" i="6"/>
  <c r="U710" i="8"/>
  <c r="P711" i="8" s="1"/>
  <c r="Q711" i="8" s="1"/>
  <c r="S653" i="8"/>
  <c r="T653" i="8" s="1"/>
  <c r="V653" i="8"/>
  <c r="B1960" i="6"/>
  <c r="E1959" i="6"/>
  <c r="D1959" i="6"/>
  <c r="C1960" i="6" s="1"/>
  <c r="AO238" i="11"/>
  <c r="AV238" i="11" s="1"/>
  <c r="B2159" i="6"/>
  <c r="D2158" i="6"/>
  <c r="E2158" i="6"/>
  <c r="C2159" i="6" s="1"/>
  <c r="D237" i="11"/>
  <c r="T214" i="8"/>
  <c r="C2093" i="6"/>
  <c r="AF236" i="11"/>
  <c r="J237" i="11" s="1"/>
  <c r="C237" i="11"/>
  <c r="E237" i="11"/>
  <c r="P1170" i="6"/>
  <c r="N1171" i="6" s="1"/>
  <c r="P1171" i="6" s="1"/>
  <c r="R432" i="7"/>
  <c r="V432" i="7"/>
  <c r="S432" i="7"/>
  <c r="V212" i="7"/>
  <c r="R212" i="7"/>
  <c r="R323" i="8"/>
  <c r="V323" i="8"/>
  <c r="S323" i="8"/>
  <c r="U323" i="8" s="1"/>
  <c r="V816" i="8"/>
  <c r="S816" i="8"/>
  <c r="Q898" i="6"/>
  <c r="S898" i="6" s="1"/>
  <c r="R606" i="6"/>
  <c r="R668" i="6"/>
  <c r="S982" i="8"/>
  <c r="S598" i="7"/>
  <c r="V598" i="7"/>
  <c r="U378" i="8"/>
  <c r="U1093" i="8"/>
  <c r="V158" i="7"/>
  <c r="S158" i="7"/>
  <c r="R653" i="7"/>
  <c r="V653" i="7"/>
  <c r="O1270" i="6"/>
  <c r="S653" i="7"/>
  <c r="U653" i="7" s="1"/>
  <c r="R816" i="8"/>
  <c r="R982" i="8"/>
  <c r="P869" i="8"/>
  <c r="Q869" i="8" s="1"/>
  <c r="S869" i="8" s="1"/>
  <c r="P764" i="7"/>
  <c r="Q764" i="7" s="1"/>
  <c r="V764" i="7" s="1"/>
  <c r="Q765" i="8"/>
  <c r="R765" i="8" s="1"/>
  <c r="V816" i="7"/>
  <c r="R816" i="7"/>
  <c r="P1038" i="8"/>
  <c r="D286" i="11"/>
  <c r="P215" i="8"/>
  <c r="V155" i="8"/>
  <c r="R155" i="8"/>
  <c r="T155" i="8" s="1"/>
  <c r="AF285" i="11"/>
  <c r="J286" i="11" s="1"/>
  <c r="S267" i="8"/>
  <c r="V267" i="8"/>
  <c r="Q877" i="7"/>
  <c r="R877" i="7" s="1"/>
  <c r="CR235" i="11"/>
  <c r="BV236" i="11" s="1"/>
  <c r="BO236" i="11"/>
  <c r="T379" i="7"/>
  <c r="V708" i="7"/>
  <c r="R708" i="7"/>
  <c r="P927" i="8"/>
  <c r="Q927" i="8" s="1"/>
  <c r="S927" i="8" s="1"/>
  <c r="S212" i="7"/>
  <c r="P212" i="12"/>
  <c r="Q212" i="12" s="1"/>
  <c r="S212" i="12"/>
  <c r="P431" i="8"/>
  <c r="Q431" i="8" s="1"/>
  <c r="P157" i="12"/>
  <c r="Q157" i="12" s="1"/>
  <c r="S157" i="12" s="1"/>
  <c r="V487" i="8"/>
  <c r="S487" i="8"/>
  <c r="R487" i="8"/>
  <c r="T487" i="8" s="1"/>
  <c r="S489" i="7"/>
  <c r="V489" i="7"/>
  <c r="R489" i="7"/>
  <c r="T489" i="7" s="1"/>
  <c r="S541" i="7"/>
  <c r="V541" i="7"/>
  <c r="R598" i="7"/>
  <c r="BS236" i="11"/>
  <c r="R267" i="8"/>
  <c r="N1333" i="6"/>
  <c r="P1333" i="6" s="1"/>
  <c r="U541" i="8"/>
  <c r="O1228" i="6"/>
  <c r="V320" i="12"/>
  <c r="S320" i="12"/>
  <c r="U320" i="12" s="1"/>
  <c r="R158" i="7"/>
  <c r="Q941" i="6"/>
  <c r="S941" i="6" s="1"/>
  <c r="V269" i="7"/>
  <c r="S269" i="7"/>
  <c r="U269" i="7" s="1"/>
  <c r="O1375" i="6"/>
  <c r="Q598" i="8"/>
  <c r="Q755" i="6"/>
  <c r="R755" i="6" s="1"/>
  <c r="Q2933" i="6"/>
  <c r="S2933" i="6" s="1"/>
  <c r="S2934" i="6" s="1"/>
  <c r="S2935" i="6" s="1"/>
  <c r="S2936" i="6" s="1"/>
  <c r="S2937" i="6" s="1"/>
  <c r="S2938" i="6" s="1"/>
  <c r="S2939" i="6" s="1"/>
  <c r="S2940" i="6" s="1"/>
  <c r="S2941" i="6" s="1"/>
  <c r="S2942" i="6" s="1"/>
  <c r="S2943" i="6" s="1"/>
  <c r="U269" i="12"/>
  <c r="S816" i="7"/>
  <c r="N1126" i="6"/>
  <c r="O1126" i="6" s="1"/>
  <c r="BF288" i="11"/>
  <c r="BE288" i="11"/>
  <c r="BD289" i="11"/>
  <c r="BC289" i="11"/>
  <c r="BB289" i="11"/>
  <c r="BJ288" i="11"/>
  <c r="BI288" i="11"/>
  <c r="BH288" i="11"/>
  <c r="BG288" i="11"/>
  <c r="BK288" i="11"/>
  <c r="N1460" i="6"/>
  <c r="P1460" i="6" s="1"/>
  <c r="U927" i="7"/>
  <c r="R541" i="7"/>
  <c r="P380" i="7"/>
  <c r="R851" i="6"/>
  <c r="R701" i="6"/>
  <c r="Q323" i="7"/>
  <c r="R323" i="7" s="1"/>
  <c r="R1041" i="6"/>
  <c r="N1507" i="6"/>
  <c r="P1507" i="6" s="1"/>
  <c r="T1037" i="8"/>
  <c r="P1430" i="6"/>
  <c r="N1431" i="6" s="1"/>
  <c r="O1431" i="6" s="1"/>
  <c r="P1087" i="6"/>
  <c r="S708" i="7"/>
  <c r="BP236" i="11"/>
  <c r="Q994" i="6"/>
  <c r="R994" i="6" s="1"/>
  <c r="U708" i="7" l="1"/>
  <c r="U653" i="8"/>
  <c r="C2029" i="6"/>
  <c r="S994" i="6"/>
  <c r="U158" i="7"/>
  <c r="Q215" i="8"/>
  <c r="U212" i="7"/>
  <c r="BR236" i="11"/>
  <c r="B1961" i="6"/>
  <c r="D1960" i="6"/>
  <c r="E1960" i="6"/>
  <c r="D2159" i="6"/>
  <c r="E2159" i="6"/>
  <c r="B2160" i="6"/>
  <c r="AT238" i="11"/>
  <c r="AS238" i="11"/>
  <c r="AX238" i="11" s="1"/>
  <c r="G286" i="11"/>
  <c r="U155" i="8"/>
  <c r="U598" i="7"/>
  <c r="BQ236" i="11"/>
  <c r="U816" i="7"/>
  <c r="P817" i="7" s="1"/>
  <c r="C2221" i="6"/>
  <c r="F286" i="11"/>
  <c r="U267" i="8"/>
  <c r="P268" i="8" s="1"/>
  <c r="T982" i="8"/>
  <c r="R898" i="6"/>
  <c r="Q899" i="6" s="1"/>
  <c r="S899" i="6" s="1"/>
  <c r="AQ238" i="11"/>
  <c r="AW238" i="11" s="1"/>
  <c r="AR238" i="11"/>
  <c r="AU238" i="11"/>
  <c r="AY238" i="11" s="1"/>
  <c r="BD238" i="11" s="1"/>
  <c r="D2093" i="6"/>
  <c r="B2094" i="6"/>
  <c r="E2093" i="6"/>
  <c r="F237" i="11"/>
  <c r="H237" i="11" s="1"/>
  <c r="I237" i="11" s="1"/>
  <c r="K237" i="11" s="1"/>
  <c r="Q237" i="11" s="1"/>
  <c r="T541" i="7"/>
  <c r="U816" i="8"/>
  <c r="U432" i="7"/>
  <c r="G237" i="11"/>
  <c r="V215" i="8"/>
  <c r="S215" i="8"/>
  <c r="R215" i="8"/>
  <c r="T215" i="8" s="1"/>
  <c r="V711" i="8"/>
  <c r="S711" i="8"/>
  <c r="R711" i="8"/>
  <c r="T711" i="8" s="1"/>
  <c r="N1432" i="6"/>
  <c r="O1432" i="6" s="1"/>
  <c r="P270" i="7"/>
  <c r="R212" i="12"/>
  <c r="T212" i="12" s="1"/>
  <c r="V212" i="12"/>
  <c r="R764" i="7"/>
  <c r="P542" i="8"/>
  <c r="Q542" i="8" s="1"/>
  <c r="S542" i="8"/>
  <c r="U982" i="8"/>
  <c r="R2933" i="6"/>
  <c r="R2934" i="6" s="1"/>
  <c r="R2935" i="6" s="1"/>
  <c r="R2936" i="6" s="1"/>
  <c r="R2937" i="6" s="1"/>
  <c r="R2938" i="6" s="1"/>
  <c r="R2939" i="6" s="1"/>
  <c r="R2940" i="6" s="1"/>
  <c r="R2941" i="6" s="1"/>
  <c r="R2942" i="6" s="1"/>
  <c r="R2943" i="6" s="1"/>
  <c r="Q2944" i="6" s="1"/>
  <c r="B2945" i="6" s="1"/>
  <c r="T653" i="7"/>
  <c r="V927" i="8"/>
  <c r="R927" i="8"/>
  <c r="T927" i="8" s="1"/>
  <c r="S598" i="8"/>
  <c r="V598" i="8"/>
  <c r="T816" i="7"/>
  <c r="R598" i="8"/>
  <c r="V431" i="8"/>
  <c r="R431" i="8"/>
  <c r="Q607" i="6"/>
  <c r="S607" i="6" s="1"/>
  <c r="Q852" i="6"/>
  <c r="S852" i="6" s="1"/>
  <c r="BL288" i="11"/>
  <c r="AP289" i="11" s="1"/>
  <c r="AI289" i="11"/>
  <c r="U212" i="12"/>
  <c r="P817" i="8"/>
  <c r="R941" i="6"/>
  <c r="P654" i="8"/>
  <c r="Q654" i="8" s="1"/>
  <c r="S654" i="8" s="1"/>
  <c r="P928" i="7"/>
  <c r="Q928" i="7" s="1"/>
  <c r="S928" i="7" s="1"/>
  <c r="P213" i="7"/>
  <c r="P324" i="8"/>
  <c r="P1431" i="6"/>
  <c r="P599" i="7"/>
  <c r="Q669" i="6"/>
  <c r="S669" i="6" s="1"/>
  <c r="O1171" i="6"/>
  <c r="U487" i="8"/>
  <c r="T323" i="8"/>
  <c r="O1507" i="6"/>
  <c r="T708" i="7"/>
  <c r="T212" i="7"/>
  <c r="T432" i="7"/>
  <c r="E286" i="11"/>
  <c r="N1088" i="6"/>
  <c r="O1088" i="6" s="1"/>
  <c r="N1376" i="6"/>
  <c r="P1376" i="6" s="1"/>
  <c r="Q995" i="6"/>
  <c r="R995" i="6" s="1"/>
  <c r="S323" i="7"/>
  <c r="U323" i="7" s="1"/>
  <c r="V323" i="7"/>
  <c r="T598" i="7"/>
  <c r="S431" i="8"/>
  <c r="Q380" i="7"/>
  <c r="R380" i="7" s="1"/>
  <c r="S764" i="7"/>
  <c r="P379" i="8"/>
  <c r="Q379" i="8" s="1"/>
  <c r="S379" i="8" s="1"/>
  <c r="P709" i="7"/>
  <c r="N1229" i="6"/>
  <c r="P1229" i="6" s="1"/>
  <c r="U489" i="7"/>
  <c r="P270" i="12"/>
  <c r="Q270" i="12" s="1"/>
  <c r="S270" i="12" s="1"/>
  <c r="T267" i="8"/>
  <c r="Q1042" i="6"/>
  <c r="S1042" i="6" s="1"/>
  <c r="S755" i="6"/>
  <c r="P1094" i="8"/>
  <c r="Q1094" i="8" s="1"/>
  <c r="S1094" i="8" s="1"/>
  <c r="T320" i="12"/>
  <c r="T269" i="7"/>
  <c r="P321" i="12"/>
  <c r="BT236" i="11"/>
  <c r="BU236" i="11" s="1"/>
  <c r="P156" i="8"/>
  <c r="Q156" i="8" s="1"/>
  <c r="T816" i="8"/>
  <c r="P654" i="7"/>
  <c r="S877" i="7"/>
  <c r="U877" i="7" s="1"/>
  <c r="V877" i="7"/>
  <c r="N1271" i="6"/>
  <c r="P1271" i="6" s="1"/>
  <c r="O1460" i="6"/>
  <c r="O1333" i="6"/>
  <c r="Q1038" i="8"/>
  <c r="R1038" i="8" s="1"/>
  <c r="P433" i="7"/>
  <c r="AL289" i="11"/>
  <c r="AJ289" i="11"/>
  <c r="V157" i="12"/>
  <c r="R157" i="12"/>
  <c r="T157" i="12" s="1"/>
  <c r="P159" i="7"/>
  <c r="V765" i="8"/>
  <c r="S765" i="8"/>
  <c r="U765" i="8" s="1"/>
  <c r="Q702" i="6"/>
  <c r="S702" i="6" s="1"/>
  <c r="T158" i="7"/>
  <c r="U541" i="7"/>
  <c r="R869" i="8"/>
  <c r="T869" i="8" s="1"/>
  <c r="V869" i="8"/>
  <c r="P1126" i="6"/>
  <c r="N1127" i="6" s="1"/>
  <c r="O1127" i="6" s="1"/>
  <c r="P1088" i="6" l="1"/>
  <c r="C2094" i="6"/>
  <c r="B2030" i="6"/>
  <c r="E2029" i="6"/>
  <c r="D2029" i="6"/>
  <c r="C2030" i="6" s="1"/>
  <c r="E2094" i="6"/>
  <c r="B2095" i="6"/>
  <c r="D2094" i="6"/>
  <c r="C2095" i="6" s="1"/>
  <c r="AZ238" i="11"/>
  <c r="D2221" i="6"/>
  <c r="B2222" i="6"/>
  <c r="E2221" i="6"/>
  <c r="C2222" i="6" s="1"/>
  <c r="S995" i="6"/>
  <c r="Q996" i="6" s="1"/>
  <c r="S996" i="6" s="1"/>
  <c r="T431" i="8"/>
  <c r="N237" i="11"/>
  <c r="M237" i="11"/>
  <c r="R237" i="11" s="1"/>
  <c r="U237" i="11" s="1"/>
  <c r="BA238" i="11"/>
  <c r="BC238" i="11" s="1"/>
  <c r="C2160" i="6"/>
  <c r="R852" i="6"/>
  <c r="L237" i="11"/>
  <c r="T237" i="11" s="1"/>
  <c r="U927" i="8"/>
  <c r="P928" i="8" s="1"/>
  <c r="Q928" i="8" s="1"/>
  <c r="C1961" i="6"/>
  <c r="T765" i="8"/>
  <c r="Q766" i="8" s="1"/>
  <c r="R669" i="6"/>
  <c r="Q670" i="6" s="1"/>
  <c r="T764" i="7"/>
  <c r="O237" i="11"/>
  <c r="S237" i="11" s="1"/>
  <c r="P237" i="11"/>
  <c r="T598" i="8"/>
  <c r="T877" i="7"/>
  <c r="V156" i="8"/>
  <c r="R156" i="8"/>
  <c r="S156" i="8"/>
  <c r="U156" i="8" s="1"/>
  <c r="BW236" i="11"/>
  <c r="CC236" i="11" s="1"/>
  <c r="CA236" i="11"/>
  <c r="CE236" i="11" s="1"/>
  <c r="BY236" i="11"/>
  <c r="CD236" i="11" s="1"/>
  <c r="CB236" i="11"/>
  <c r="BX236" i="11"/>
  <c r="BZ236" i="11"/>
  <c r="U928" i="7"/>
  <c r="Q433" i="7"/>
  <c r="R433" i="7" s="1"/>
  <c r="N1334" i="6"/>
  <c r="P1334" i="6" s="1"/>
  <c r="R1042" i="6"/>
  <c r="Q213" i="7"/>
  <c r="R213" i="7" s="1"/>
  <c r="O1271" i="6"/>
  <c r="P213" i="12"/>
  <c r="Q213" i="12" s="1"/>
  <c r="U711" i="8"/>
  <c r="Q324" i="8"/>
  <c r="R702" i="6"/>
  <c r="R379" i="8"/>
  <c r="T379" i="8" s="1"/>
  <c r="V379" i="8"/>
  <c r="P766" i="8"/>
  <c r="N1172" i="6"/>
  <c r="P1172" i="6" s="1"/>
  <c r="U869" i="8"/>
  <c r="T1038" i="8"/>
  <c r="Q654" i="7"/>
  <c r="U157" i="12"/>
  <c r="P1432" i="6"/>
  <c r="N1433" i="6" s="1"/>
  <c r="Q1390" i="6" s="1"/>
  <c r="Q270" i="7"/>
  <c r="Q709" i="7"/>
  <c r="Q321" i="12"/>
  <c r="R899" i="6"/>
  <c r="V928" i="7"/>
  <c r="R928" i="7"/>
  <c r="T928" i="7" s="1"/>
  <c r="AK289" i="11"/>
  <c r="N1089" i="6"/>
  <c r="O1089" i="6" s="1"/>
  <c r="Q853" i="6"/>
  <c r="R853" i="6" s="1"/>
  <c r="U598" i="8"/>
  <c r="S380" i="7"/>
  <c r="U380" i="7" s="1"/>
  <c r="V380" i="7"/>
  <c r="U431" i="8"/>
  <c r="P1127" i="6"/>
  <c r="Q599" i="7"/>
  <c r="R599" i="7" s="1"/>
  <c r="P324" i="7"/>
  <c r="P542" i="7"/>
  <c r="Q542" i="7" s="1"/>
  <c r="P878" i="7"/>
  <c r="N1508" i="6"/>
  <c r="P1508" i="6" s="1"/>
  <c r="V270" i="12"/>
  <c r="R270" i="12"/>
  <c r="T270" i="12" s="1"/>
  <c r="P488" i="8"/>
  <c r="Q488" i="8" s="1"/>
  <c r="S488" i="8" s="1"/>
  <c r="Q817" i="7"/>
  <c r="R817" i="7" s="1"/>
  <c r="P490" i="7"/>
  <c r="Q490" i="7" s="1"/>
  <c r="H286" i="11"/>
  <c r="I286" i="11" s="1"/>
  <c r="R654" i="8"/>
  <c r="T654" i="8" s="1"/>
  <c r="V654" i="8"/>
  <c r="U215" i="8"/>
  <c r="P983" i="8"/>
  <c r="Q983" i="8" s="1"/>
  <c r="S983" i="8"/>
  <c r="N1461" i="6"/>
  <c r="P1461" i="6" s="1"/>
  <c r="O1229" i="6"/>
  <c r="Q268" i="8"/>
  <c r="V542" i="8"/>
  <c r="R542" i="8"/>
  <c r="T542" i="8" s="1"/>
  <c r="Q756" i="6"/>
  <c r="R756" i="6" s="1"/>
  <c r="Q159" i="7"/>
  <c r="R159" i="7" s="1"/>
  <c r="R1094" i="8"/>
  <c r="T1094" i="8" s="1"/>
  <c r="V1094" i="8"/>
  <c r="O1376" i="6"/>
  <c r="Q817" i="8"/>
  <c r="V1038" i="8"/>
  <c r="S1038" i="8"/>
  <c r="U1038" i="8" s="1"/>
  <c r="T323" i="7"/>
  <c r="U764" i="7"/>
  <c r="AM289" i="11"/>
  <c r="Q942" i="6"/>
  <c r="S942" i="6" s="1"/>
  <c r="R607" i="6"/>
  <c r="D2030" i="6" l="1"/>
  <c r="B2031" i="6"/>
  <c r="E2030" i="6"/>
  <c r="C2031" i="6"/>
  <c r="U654" i="8"/>
  <c r="P655" i="8" s="1"/>
  <c r="Q655" i="8" s="1"/>
  <c r="U379" i="8"/>
  <c r="P380" i="8" s="1"/>
  <c r="Q380" i="8" s="1"/>
  <c r="R670" i="6"/>
  <c r="R671" i="6" s="1"/>
  <c r="R672" i="6" s="1"/>
  <c r="R673" i="6" s="1"/>
  <c r="R674" i="6" s="1"/>
  <c r="R675" i="6" s="1"/>
  <c r="R676" i="6" s="1"/>
  <c r="R677" i="6" s="1"/>
  <c r="R678" i="6" s="1"/>
  <c r="R679" i="6" s="1"/>
  <c r="R680" i="6" s="1"/>
  <c r="S670" i="6"/>
  <c r="S671" i="6" s="1"/>
  <c r="S672" i="6" s="1"/>
  <c r="S673" i="6" s="1"/>
  <c r="S674" i="6" s="1"/>
  <c r="S675" i="6" s="1"/>
  <c r="S676" i="6" s="1"/>
  <c r="S677" i="6" s="1"/>
  <c r="S678" i="6" s="1"/>
  <c r="S679" i="6" s="1"/>
  <c r="S680" i="6" s="1"/>
  <c r="R928" i="8"/>
  <c r="V928" i="8"/>
  <c r="S766" i="8"/>
  <c r="U766" i="8" s="1"/>
  <c r="V766" i="8"/>
  <c r="B2161" i="6"/>
  <c r="E2160" i="6"/>
  <c r="D2160" i="6"/>
  <c r="B2096" i="6"/>
  <c r="E2095" i="6"/>
  <c r="D2095" i="6"/>
  <c r="W237" i="11"/>
  <c r="Q878" i="7"/>
  <c r="R878" i="7" s="1"/>
  <c r="X237" i="11"/>
  <c r="V237" i="11"/>
  <c r="BB238" i="11"/>
  <c r="BM238" i="11" s="1"/>
  <c r="E2222" i="6"/>
  <c r="D2222" i="6"/>
  <c r="B2223" i="6"/>
  <c r="E1961" i="6"/>
  <c r="B1962" i="6"/>
  <c r="D1961" i="6"/>
  <c r="C1962" i="6" s="1"/>
  <c r="S756" i="6"/>
  <c r="Q757" i="6" s="1"/>
  <c r="S757" i="6" s="1"/>
  <c r="O286" i="11"/>
  <c r="S286" i="11" s="1"/>
  <c r="M286" i="11"/>
  <c r="R286" i="11" s="1"/>
  <c r="P286" i="11"/>
  <c r="N286" i="11"/>
  <c r="L286" i="11"/>
  <c r="K286" i="11"/>
  <c r="Q286" i="11" s="1"/>
  <c r="S213" i="12"/>
  <c r="V213" i="12"/>
  <c r="R213" i="12"/>
  <c r="T213" i="12" s="1"/>
  <c r="N1230" i="6"/>
  <c r="P1230" i="6" s="1"/>
  <c r="S321" i="12"/>
  <c r="U321" i="12" s="1"/>
  <c r="V321" i="12"/>
  <c r="R490" i="7"/>
  <c r="V490" i="7"/>
  <c r="S490" i="7"/>
  <c r="V983" i="8"/>
  <c r="R983" i="8"/>
  <c r="T983" i="8" s="1"/>
  <c r="R766" i="8"/>
  <c r="S270" i="7"/>
  <c r="V270" i="7"/>
  <c r="R270" i="7"/>
  <c r="T270" i="7" s="1"/>
  <c r="T380" i="7"/>
  <c r="P1089" i="6"/>
  <c r="N1090" i="6" s="1"/>
  <c r="O1090" i="6" s="1"/>
  <c r="P158" i="12"/>
  <c r="Q158" i="12" s="1"/>
  <c r="S158" i="12"/>
  <c r="P1039" i="8"/>
  <c r="Q1039" i="8" s="1"/>
  <c r="U270" i="12"/>
  <c r="T156" i="8"/>
  <c r="Q703" i="6"/>
  <c r="S703" i="6" s="1"/>
  <c r="Q1043" i="6"/>
  <c r="S1043" i="6" s="1"/>
  <c r="N1377" i="6"/>
  <c r="P1377" i="6" s="1"/>
  <c r="V542" i="7"/>
  <c r="R542" i="7"/>
  <c r="S542" i="7"/>
  <c r="U542" i="7" s="1"/>
  <c r="P870" i="8"/>
  <c r="Q870" i="8" s="1"/>
  <c r="S870" i="8" s="1"/>
  <c r="P599" i="8"/>
  <c r="Q599" i="8" s="1"/>
  <c r="S599" i="8" s="1"/>
  <c r="CF236" i="11"/>
  <c r="R996" i="6"/>
  <c r="AN289" i="11"/>
  <c r="AO289" i="11" s="1"/>
  <c r="P929" i="7"/>
  <c r="Q929" i="7" s="1"/>
  <c r="U542" i="8"/>
  <c r="S928" i="8"/>
  <c r="U928" i="8" s="1"/>
  <c r="N1128" i="6"/>
  <c r="O1128" i="6" s="1"/>
  <c r="V324" i="8"/>
  <c r="S324" i="8"/>
  <c r="O1461" i="6"/>
  <c r="R321" i="12"/>
  <c r="O1334" i="6"/>
  <c r="V817" i="7"/>
  <c r="S817" i="7"/>
  <c r="U817" i="7" s="1"/>
  <c r="V709" i="7"/>
  <c r="S709" i="7"/>
  <c r="R488" i="8"/>
  <c r="T488" i="8" s="1"/>
  <c r="V488" i="8"/>
  <c r="R942" i="6"/>
  <c r="V599" i="7"/>
  <c r="S599" i="7"/>
  <c r="U599" i="7" s="1"/>
  <c r="P157" i="8"/>
  <c r="V817" i="8"/>
  <c r="S817" i="8"/>
  <c r="P432" i="8"/>
  <c r="Q432" i="8" s="1"/>
  <c r="S432" i="8" s="1"/>
  <c r="Q900" i="6"/>
  <c r="S900" i="6" s="1"/>
  <c r="V654" i="7"/>
  <c r="S654" i="7"/>
  <c r="P381" i="7"/>
  <c r="R654" i="7"/>
  <c r="R324" i="8"/>
  <c r="P712" i="8"/>
  <c r="Q712" i="8" s="1"/>
  <c r="CG236" i="11"/>
  <c r="CI236" i="11" s="1"/>
  <c r="S433" i="7"/>
  <c r="U433" i="7" s="1"/>
  <c r="V433" i="7"/>
  <c r="Q608" i="6"/>
  <c r="S608" i="6" s="1"/>
  <c r="P216" i="8"/>
  <c r="Q216" i="8" s="1"/>
  <c r="R709" i="7"/>
  <c r="S853" i="6"/>
  <c r="Q854" i="6" s="1"/>
  <c r="R854" i="6" s="1"/>
  <c r="S159" i="7"/>
  <c r="U159" i="7" s="1"/>
  <c r="V159" i="7"/>
  <c r="R1392" i="6"/>
  <c r="O1172" i="6"/>
  <c r="P765" i="7"/>
  <c r="Q765" i="7" s="1"/>
  <c r="S765" i="7" s="1"/>
  <c r="N1272" i="6"/>
  <c r="P1272" i="6" s="1"/>
  <c r="Q324" i="7"/>
  <c r="V213" i="7"/>
  <c r="S213" i="7"/>
  <c r="U213" i="7" s="1"/>
  <c r="S268" i="8"/>
  <c r="V268" i="8"/>
  <c r="R817" i="8"/>
  <c r="R268" i="8"/>
  <c r="T268" i="8" s="1"/>
  <c r="O1508" i="6"/>
  <c r="U1094" i="8"/>
  <c r="T817" i="8" l="1"/>
  <c r="CJ236" i="11"/>
  <c r="B2032" i="6"/>
  <c r="E2031" i="6"/>
  <c r="D2031" i="6"/>
  <c r="C2032" i="6"/>
  <c r="T766" i="8"/>
  <c r="Q767" i="8" s="1"/>
  <c r="V767" i="8" s="1"/>
  <c r="C2096" i="6"/>
  <c r="B2097" i="6" s="1"/>
  <c r="T490" i="7"/>
  <c r="CH236" i="11"/>
  <c r="U324" i="8"/>
  <c r="P325" i="8" s="1"/>
  <c r="S1039" i="8"/>
  <c r="V1039" i="8"/>
  <c r="C2161" i="6"/>
  <c r="C2223" i="6"/>
  <c r="R900" i="6"/>
  <c r="Q901" i="6" s="1"/>
  <c r="R901" i="6" s="1"/>
  <c r="V878" i="7"/>
  <c r="AG237" i="11"/>
  <c r="E1962" i="6"/>
  <c r="D1962" i="6"/>
  <c r="B1963" i="6"/>
  <c r="C1963" i="6" s="1"/>
  <c r="T654" i="7"/>
  <c r="U983" i="8"/>
  <c r="P984" i="8" s="1"/>
  <c r="Q984" i="8" s="1"/>
  <c r="R984" i="8" s="1"/>
  <c r="T159" i="7"/>
  <c r="BF238" i="11"/>
  <c r="BE238" i="11"/>
  <c r="BK238" i="11"/>
  <c r="BJ238" i="11"/>
  <c r="BI238" i="11"/>
  <c r="BH238" i="11"/>
  <c r="BG238" i="11"/>
  <c r="S878" i="7"/>
  <c r="T878" i="7" s="1"/>
  <c r="T599" i="7"/>
  <c r="T709" i="7"/>
  <c r="T286" i="11"/>
  <c r="Q681" i="6"/>
  <c r="B682" i="6" s="1"/>
  <c r="V655" i="8"/>
  <c r="R655" i="8"/>
  <c r="S655" i="8"/>
  <c r="U655" i="8" s="1"/>
  <c r="R380" i="8"/>
  <c r="V380" i="8"/>
  <c r="S380" i="8"/>
  <c r="R929" i="7"/>
  <c r="S929" i="7"/>
  <c r="U929" i="7" s="1"/>
  <c r="V929" i="7"/>
  <c r="AS289" i="11"/>
  <c r="AX289" i="11" s="1"/>
  <c r="AT289" i="11"/>
  <c r="AR289" i="11"/>
  <c r="AQ289" i="11"/>
  <c r="AW289" i="11" s="1"/>
  <c r="AZ289" i="11" s="1"/>
  <c r="AV289" i="11"/>
  <c r="AU289" i="11"/>
  <c r="AY289" i="11" s="1"/>
  <c r="R216" i="8"/>
  <c r="T216" i="8" s="1"/>
  <c r="V216" i="8"/>
  <c r="CS236" i="11"/>
  <c r="R432" i="8"/>
  <c r="T432" i="8" s="1"/>
  <c r="V432" i="8"/>
  <c r="U268" i="8"/>
  <c r="R608" i="6"/>
  <c r="N1335" i="6"/>
  <c r="P1335" i="6" s="1"/>
  <c r="R703" i="6"/>
  <c r="N1462" i="6"/>
  <c r="P1462" i="6" s="1"/>
  <c r="Q157" i="8"/>
  <c r="O1230" i="6"/>
  <c r="R712" i="8"/>
  <c r="V712" i="8"/>
  <c r="V324" i="7"/>
  <c r="S324" i="7"/>
  <c r="R1039" i="8"/>
  <c r="T1039" i="8" s="1"/>
  <c r="T213" i="7"/>
  <c r="R324" i="7"/>
  <c r="T324" i="7" s="1"/>
  <c r="T542" i="7"/>
  <c r="U654" i="7"/>
  <c r="R158" i="12"/>
  <c r="T158" i="12" s="1"/>
  <c r="V158" i="12"/>
  <c r="R757" i="6"/>
  <c r="O1377" i="6"/>
  <c r="S216" i="8"/>
  <c r="R1043" i="6"/>
  <c r="S1392" i="6"/>
  <c r="U817" i="8"/>
  <c r="P322" i="12"/>
  <c r="U270" i="7"/>
  <c r="T321" i="12"/>
  <c r="P543" i="7"/>
  <c r="T433" i="7"/>
  <c r="S712" i="8"/>
  <c r="P1095" i="8"/>
  <c r="Q1095" i="8" s="1"/>
  <c r="S1095" i="8" s="1"/>
  <c r="T324" i="8"/>
  <c r="Q943" i="6"/>
  <c r="S943" i="6" s="1"/>
  <c r="P929" i="8"/>
  <c r="U213" i="12"/>
  <c r="P543" i="8"/>
  <c r="Q543" i="8" s="1"/>
  <c r="S543" i="8" s="1"/>
  <c r="V599" i="8"/>
  <c r="R599" i="8"/>
  <c r="T599" i="8" s="1"/>
  <c r="P434" i="7"/>
  <c r="P767" i="8"/>
  <c r="T817" i="7"/>
  <c r="Q997" i="6"/>
  <c r="S997" i="6" s="1"/>
  <c r="P160" i="7"/>
  <c r="T928" i="8"/>
  <c r="U286" i="11"/>
  <c r="N1509" i="6"/>
  <c r="P1509" i="6" s="1"/>
  <c r="Q381" i="7"/>
  <c r="U709" i="7"/>
  <c r="N1173" i="6"/>
  <c r="P1173" i="6" s="1"/>
  <c r="P818" i="7"/>
  <c r="R870" i="8"/>
  <c r="T870" i="8" s="1"/>
  <c r="V870" i="8"/>
  <c r="P214" i="7"/>
  <c r="P600" i="7"/>
  <c r="P271" i="12"/>
  <c r="Q271" i="12" s="1"/>
  <c r="U488" i="8"/>
  <c r="O1272" i="6"/>
  <c r="V765" i="7"/>
  <c r="R765" i="7"/>
  <c r="T765" i="7" s="1"/>
  <c r="S854" i="6"/>
  <c r="Q855" i="6" s="1"/>
  <c r="R855" i="6" s="1"/>
  <c r="P1128" i="6"/>
  <c r="N1129" i="6" s="1"/>
  <c r="O1129" i="6" s="1"/>
  <c r="P1090" i="6"/>
  <c r="U490" i="7"/>
  <c r="Q600" i="7" l="1"/>
  <c r="S600" i="7" s="1"/>
  <c r="U765" i="7"/>
  <c r="E2096" i="6"/>
  <c r="D2096" i="6"/>
  <c r="E2032" i="6"/>
  <c r="B2033" i="6"/>
  <c r="D2032" i="6"/>
  <c r="AG286" i="11"/>
  <c r="Y286" i="11" s="1"/>
  <c r="Q160" i="7"/>
  <c r="V160" i="7" s="1"/>
  <c r="U380" i="8"/>
  <c r="B1964" i="6"/>
  <c r="E1963" i="6"/>
  <c r="D1963" i="6"/>
  <c r="C1964" i="6" s="1"/>
  <c r="U1039" i="8"/>
  <c r="P1040" i="8" s="1"/>
  <c r="Q1040" i="8" s="1"/>
  <c r="V1040" i="8" s="1"/>
  <c r="AJ239" i="11"/>
  <c r="AM239" i="11"/>
  <c r="E2223" i="6"/>
  <c r="B2224" i="6"/>
  <c r="D2223" i="6"/>
  <c r="C2224" i="6" s="1"/>
  <c r="D2161" i="6"/>
  <c r="B2162" i="6"/>
  <c r="E2161" i="6"/>
  <c r="C2162" i="6" s="1"/>
  <c r="U878" i="7"/>
  <c r="P879" i="7" s="1"/>
  <c r="Q879" i="7" s="1"/>
  <c r="U432" i="8"/>
  <c r="C2097" i="6"/>
  <c r="BL238" i="11"/>
  <c r="AP239" i="11" s="1"/>
  <c r="AI239" i="11"/>
  <c r="AK239" i="11"/>
  <c r="V984" i="8"/>
  <c r="U712" i="8"/>
  <c r="P713" i="8" s="1"/>
  <c r="AA237" i="11"/>
  <c r="Z237" i="11"/>
  <c r="AB237" i="11"/>
  <c r="Y237" i="11"/>
  <c r="AE237" i="11"/>
  <c r="AC237" i="11"/>
  <c r="AD237" i="11"/>
  <c r="S160" i="7"/>
  <c r="Q929" i="8"/>
  <c r="CP236" i="11"/>
  <c r="CO236" i="11"/>
  <c r="CN236" i="11"/>
  <c r="CM236" i="11"/>
  <c r="CQ236" i="11"/>
  <c r="CL236" i="11"/>
  <c r="CK236" i="11"/>
  <c r="R543" i="8"/>
  <c r="T543" i="8" s="1"/>
  <c r="V543" i="8"/>
  <c r="P930" i="7"/>
  <c r="T929" i="7"/>
  <c r="S901" i="6"/>
  <c r="Q902" i="6" s="1"/>
  <c r="R902" i="6" s="1"/>
  <c r="Q434" i="7"/>
  <c r="V271" i="12"/>
  <c r="R271" i="12"/>
  <c r="S271" i="12"/>
  <c r="U271" i="12" s="1"/>
  <c r="O1462" i="6"/>
  <c r="O1173" i="6"/>
  <c r="P214" i="12"/>
  <c r="Q214" i="12" s="1"/>
  <c r="S214" i="12" s="1"/>
  <c r="T380" i="8"/>
  <c r="N1091" i="6"/>
  <c r="O1091" i="6" s="1"/>
  <c r="V600" i="7"/>
  <c r="Q758" i="6"/>
  <c r="S758" i="6" s="1"/>
  <c r="Q609" i="6"/>
  <c r="S609" i="6" s="1"/>
  <c r="Q818" i="7"/>
  <c r="R943" i="6"/>
  <c r="T712" i="8"/>
  <c r="P269" i="8"/>
  <c r="Q269" i="8" s="1"/>
  <c r="S269" i="8" s="1"/>
  <c r="S157" i="8"/>
  <c r="U157" i="8" s="1"/>
  <c r="V157" i="8"/>
  <c r="V1095" i="8"/>
  <c r="R1095" i="8"/>
  <c r="T1095" i="8" s="1"/>
  <c r="R767" i="8"/>
  <c r="R600" i="7"/>
  <c r="T600" i="7" s="1"/>
  <c r="Q1044" i="6"/>
  <c r="S1044" i="6" s="1"/>
  <c r="P766" i="7"/>
  <c r="Q766" i="7" s="1"/>
  <c r="Q543" i="7"/>
  <c r="Q704" i="6"/>
  <c r="S704" i="6" s="1"/>
  <c r="Q214" i="7"/>
  <c r="R214" i="7" s="1"/>
  <c r="O1335" i="6"/>
  <c r="S855" i="6"/>
  <c r="Q856" i="6" s="1"/>
  <c r="R856" i="6" s="1"/>
  <c r="R997" i="6"/>
  <c r="U599" i="8"/>
  <c r="S767" i="8"/>
  <c r="P433" i="8"/>
  <c r="Q433" i="8" s="1"/>
  <c r="S984" i="8"/>
  <c r="U984" i="8" s="1"/>
  <c r="P656" i="8"/>
  <c r="P710" i="7"/>
  <c r="Q710" i="7" s="1"/>
  <c r="S710" i="7" s="1"/>
  <c r="V381" i="7"/>
  <c r="S381" i="7"/>
  <c r="U324" i="7"/>
  <c r="U158" i="12"/>
  <c r="O1509" i="6"/>
  <c r="Q325" i="8"/>
  <c r="R325" i="8" s="1"/>
  <c r="T655" i="8"/>
  <c r="P1129" i="6"/>
  <c r="N1130" i="6" s="1"/>
  <c r="O1130" i="6" s="1"/>
  <c r="Q1393" i="6"/>
  <c r="R1393" i="6" s="1"/>
  <c r="R157" i="8"/>
  <c r="P655" i="7"/>
  <c r="Q655" i="7" s="1"/>
  <c r="S655" i="7" s="1"/>
  <c r="U216" i="8"/>
  <c r="P381" i="8"/>
  <c r="N1378" i="6"/>
  <c r="P1378" i="6" s="1"/>
  <c r="R381" i="7"/>
  <c r="Q322" i="12"/>
  <c r="N1273" i="6"/>
  <c r="P1273" i="6" s="1"/>
  <c r="P271" i="7"/>
  <c r="Q271" i="7" s="1"/>
  <c r="P491" i="7"/>
  <c r="Q491" i="7" s="1"/>
  <c r="S491" i="7" s="1"/>
  <c r="P489" i="8"/>
  <c r="Q489" i="8" s="1"/>
  <c r="S489" i="8" s="1"/>
  <c r="AA286" i="11"/>
  <c r="W287" i="11"/>
  <c r="V287" i="11"/>
  <c r="AE286" i="11"/>
  <c r="Z286" i="11"/>
  <c r="AD286" i="11"/>
  <c r="U870" i="8"/>
  <c r="P818" i="8"/>
  <c r="Q818" i="8" s="1"/>
  <c r="N1231" i="6"/>
  <c r="P1231" i="6" s="1"/>
  <c r="BA289" i="11"/>
  <c r="BM289" i="11" s="1"/>
  <c r="C2033" i="6" l="1"/>
  <c r="X287" i="11"/>
  <c r="U1095" i="8"/>
  <c r="AB286" i="11"/>
  <c r="R160" i="7"/>
  <c r="U160" i="7" s="1"/>
  <c r="P161" i="7" s="1"/>
  <c r="AC286" i="11"/>
  <c r="AF286" i="11" s="1"/>
  <c r="C238" i="11"/>
  <c r="AF237" i="11"/>
  <c r="T381" i="7"/>
  <c r="E2097" i="6"/>
  <c r="D2097" i="6"/>
  <c r="B2098" i="6"/>
  <c r="B2163" i="6"/>
  <c r="E2162" i="6"/>
  <c r="D2162" i="6"/>
  <c r="C2163" i="6" s="1"/>
  <c r="AL239" i="11"/>
  <c r="AN239" i="11" s="1"/>
  <c r="AO239" i="11" s="1"/>
  <c r="T767" i="8"/>
  <c r="D238" i="11"/>
  <c r="B2225" i="6"/>
  <c r="E2224" i="6"/>
  <c r="D2224" i="6"/>
  <c r="D1964" i="6"/>
  <c r="E1964" i="6"/>
  <c r="B1965" i="6"/>
  <c r="R609" i="6"/>
  <c r="Q610" i="6" s="1"/>
  <c r="S610" i="6" s="1"/>
  <c r="E238" i="11"/>
  <c r="R433" i="8"/>
  <c r="S433" i="8"/>
  <c r="U433" i="8" s="1"/>
  <c r="V433" i="8"/>
  <c r="V766" i="7"/>
  <c r="S766" i="7"/>
  <c r="R766" i="7"/>
  <c r="T766" i="7" s="1"/>
  <c r="C287" i="11"/>
  <c r="Q998" i="6"/>
  <c r="S998" i="6" s="1"/>
  <c r="V929" i="8"/>
  <c r="S929" i="8"/>
  <c r="U929" i="8" s="1"/>
  <c r="P217" i="8"/>
  <c r="Q217" i="8" s="1"/>
  <c r="P871" i="8"/>
  <c r="Q871" i="8" s="1"/>
  <c r="R879" i="7"/>
  <c r="T879" i="7" s="1"/>
  <c r="V879" i="7"/>
  <c r="T160" i="7"/>
  <c r="P985" i="8"/>
  <c r="U543" i="8"/>
  <c r="S434" i="7"/>
  <c r="V434" i="7"/>
  <c r="U767" i="8"/>
  <c r="U381" i="7"/>
  <c r="Q713" i="8"/>
  <c r="R713" i="8" s="1"/>
  <c r="Q944" i="6"/>
  <c r="S944" i="6" s="1"/>
  <c r="S1040" i="8"/>
  <c r="U1040" i="8" s="1"/>
  <c r="T984" i="8"/>
  <c r="Q930" i="7"/>
  <c r="P1096" i="8"/>
  <c r="Q1096" i="8" s="1"/>
  <c r="O1231" i="6"/>
  <c r="V491" i="7"/>
  <c r="R491" i="7"/>
  <c r="T491" i="7" s="1"/>
  <c r="V214" i="7"/>
  <c r="S214" i="7"/>
  <c r="U214" i="7" s="1"/>
  <c r="R271" i="7"/>
  <c r="V271" i="7"/>
  <c r="S271" i="7"/>
  <c r="U271" i="7" s="1"/>
  <c r="S879" i="7"/>
  <c r="O1273" i="6"/>
  <c r="S322" i="12"/>
  <c r="V322" i="12"/>
  <c r="BP237" i="11"/>
  <c r="P325" i="7"/>
  <c r="Q325" i="7" s="1"/>
  <c r="S325" i="7" s="1"/>
  <c r="S1393" i="6"/>
  <c r="Q1394" i="6" s="1"/>
  <c r="R1394" i="6" s="1"/>
  <c r="S818" i="7"/>
  <c r="V818" i="7"/>
  <c r="R489" i="8"/>
  <c r="T489" i="8" s="1"/>
  <c r="V489" i="8"/>
  <c r="V818" i="8"/>
  <c r="R818" i="8"/>
  <c r="N1336" i="6"/>
  <c r="P1336" i="6" s="1"/>
  <c r="R655" i="7"/>
  <c r="T655" i="7" s="1"/>
  <c r="V655" i="7"/>
  <c r="Q381" i="8"/>
  <c r="BO237" i="11"/>
  <c r="CR236" i="11"/>
  <c r="BV237" i="11" s="1"/>
  <c r="R704" i="6"/>
  <c r="T157" i="8"/>
  <c r="V269" i="8"/>
  <c r="R269" i="8"/>
  <c r="T269" i="8" s="1"/>
  <c r="V214" i="12"/>
  <c r="R214" i="12"/>
  <c r="T214" i="12" s="1"/>
  <c r="D287" i="11"/>
  <c r="P1130" i="6"/>
  <c r="N1131" i="6" s="1"/>
  <c r="O1131" i="6" s="1"/>
  <c r="P600" i="8"/>
  <c r="Q600" i="8" s="1"/>
  <c r="S600" i="8"/>
  <c r="BF289" i="11"/>
  <c r="BE289" i="11"/>
  <c r="BD290" i="11"/>
  <c r="BI289" i="11"/>
  <c r="BH289" i="11"/>
  <c r="BC290" i="11"/>
  <c r="BG289" i="11"/>
  <c r="BB290" i="11"/>
  <c r="BK289" i="11"/>
  <c r="BJ289" i="11"/>
  <c r="O1378" i="6"/>
  <c r="R1044" i="6"/>
  <c r="R818" i="7"/>
  <c r="Q656" i="8"/>
  <c r="N1463" i="6"/>
  <c r="P1463" i="6" s="1"/>
  <c r="V325" i="8"/>
  <c r="S325" i="8"/>
  <c r="U325" i="8" s="1"/>
  <c r="S856" i="6"/>
  <c r="Q857" i="6" s="1"/>
  <c r="R857" i="6" s="1"/>
  <c r="R758" i="6"/>
  <c r="R710" i="7"/>
  <c r="T710" i="7" s="1"/>
  <c r="V710" i="7"/>
  <c r="R929" i="8"/>
  <c r="S818" i="8"/>
  <c r="N1510" i="6"/>
  <c r="P1510" i="6" s="1"/>
  <c r="P272" i="12"/>
  <c r="P1091" i="6"/>
  <c r="P159" i="12"/>
  <c r="Q159" i="12" s="1"/>
  <c r="S159" i="12"/>
  <c r="T271" i="12"/>
  <c r="R1040" i="8"/>
  <c r="P158" i="8"/>
  <c r="S543" i="7"/>
  <c r="V543" i="7"/>
  <c r="R322" i="12"/>
  <c r="R543" i="7"/>
  <c r="T543" i="7" s="1"/>
  <c r="R434" i="7"/>
  <c r="T434" i="7" s="1"/>
  <c r="N1174" i="6"/>
  <c r="P1174" i="6" s="1"/>
  <c r="S902" i="6"/>
  <c r="U600" i="7"/>
  <c r="J287" i="11" l="1"/>
  <c r="E287" i="11"/>
  <c r="U491" i="7"/>
  <c r="T322" i="12"/>
  <c r="U489" i="8"/>
  <c r="P490" i="8" s="1"/>
  <c r="Q490" i="8" s="1"/>
  <c r="R490" i="8" s="1"/>
  <c r="E2033" i="6"/>
  <c r="B2034" i="6"/>
  <c r="D2033" i="6"/>
  <c r="C2034" i="6"/>
  <c r="T818" i="8"/>
  <c r="S1096" i="8"/>
  <c r="V1096" i="8"/>
  <c r="AQ239" i="11"/>
  <c r="AW239" i="11" s="1"/>
  <c r="AV239" i="11"/>
  <c r="AR239" i="11"/>
  <c r="AU239" i="11"/>
  <c r="AY239" i="11" s="1"/>
  <c r="BD239" i="11" s="1"/>
  <c r="D2163" i="6"/>
  <c r="E2163" i="6"/>
  <c r="B2164" i="6"/>
  <c r="G287" i="11"/>
  <c r="U818" i="7"/>
  <c r="P819" i="7" s="1"/>
  <c r="J238" i="11"/>
  <c r="F238" i="11"/>
  <c r="G238" i="11"/>
  <c r="AT239" i="11"/>
  <c r="AS239" i="11"/>
  <c r="AX239" i="11" s="1"/>
  <c r="C2098" i="6"/>
  <c r="BR237" i="11"/>
  <c r="C2225" i="6"/>
  <c r="C1965" i="6"/>
  <c r="R159" i="12"/>
  <c r="T159" i="12" s="1"/>
  <c r="V159" i="12"/>
  <c r="U655" i="7"/>
  <c r="S1394" i="6"/>
  <c r="AI290" i="11"/>
  <c r="BL289" i="11"/>
  <c r="AP290" i="11" s="1"/>
  <c r="P1041" i="8"/>
  <c r="P544" i="8"/>
  <c r="Q544" i="8" s="1"/>
  <c r="S544" i="8" s="1"/>
  <c r="T818" i="7"/>
  <c r="V600" i="8"/>
  <c r="R600" i="8"/>
  <c r="T600" i="8" s="1"/>
  <c r="P215" i="7"/>
  <c r="P272" i="7"/>
  <c r="R217" i="8"/>
  <c r="V217" i="8"/>
  <c r="S217" i="8"/>
  <c r="U217" i="8" s="1"/>
  <c r="O1463" i="6"/>
  <c r="Q158" i="8"/>
  <c r="R158" i="8" s="1"/>
  <c r="V656" i="8"/>
  <c r="S656" i="8"/>
  <c r="Q705" i="6"/>
  <c r="S705" i="6" s="1"/>
  <c r="R1096" i="8"/>
  <c r="U434" i="7"/>
  <c r="N1092" i="6"/>
  <c r="O1092" i="6" s="1"/>
  <c r="O1336" i="6"/>
  <c r="T433" i="8"/>
  <c r="T271" i="7"/>
  <c r="N1379" i="6"/>
  <c r="P1379" i="6" s="1"/>
  <c r="S930" i="7"/>
  <c r="V930" i="7"/>
  <c r="P768" i="8"/>
  <c r="Q768" i="8" s="1"/>
  <c r="S768" i="8"/>
  <c r="U766" i="7"/>
  <c r="T325" i="8"/>
  <c r="R325" i="7"/>
  <c r="T325" i="7" s="1"/>
  <c r="V325" i="7"/>
  <c r="R998" i="6"/>
  <c r="U543" i="7"/>
  <c r="Q1045" i="6"/>
  <c r="S1045" i="6" s="1"/>
  <c r="O1510" i="6"/>
  <c r="T1040" i="8"/>
  <c r="R610" i="6"/>
  <c r="F287" i="11"/>
  <c r="N1274" i="6"/>
  <c r="P1274" i="6" s="1"/>
  <c r="N1232" i="6"/>
  <c r="P1232" i="6" s="1"/>
  <c r="V871" i="8"/>
  <c r="R871" i="8"/>
  <c r="P326" i="8"/>
  <c r="R930" i="7"/>
  <c r="Q985" i="8"/>
  <c r="P930" i="8"/>
  <c r="P434" i="8"/>
  <c r="R656" i="8"/>
  <c r="R944" i="6"/>
  <c r="P492" i="7"/>
  <c r="Q492" i="7" s="1"/>
  <c r="P1131" i="6"/>
  <c r="N1132" i="6" s="1"/>
  <c r="O1132" i="6" s="1"/>
  <c r="U269" i="8"/>
  <c r="V713" i="8"/>
  <c r="S713" i="8"/>
  <c r="U713" i="8" s="1"/>
  <c r="U818" i="8"/>
  <c r="P601" i="7"/>
  <c r="Q601" i="7" s="1"/>
  <c r="S601" i="7" s="1"/>
  <c r="U322" i="12"/>
  <c r="P382" i="7"/>
  <c r="Q382" i="7" s="1"/>
  <c r="S382" i="7" s="1"/>
  <c r="O1174" i="6"/>
  <c r="V381" i="8"/>
  <c r="S381" i="8"/>
  <c r="U381" i="8" s="1"/>
  <c r="U879" i="7"/>
  <c r="S871" i="8"/>
  <c r="Q903" i="6"/>
  <c r="R903" i="6" s="1"/>
  <c r="U214" i="12"/>
  <c r="Q161" i="7"/>
  <c r="T929" i="8"/>
  <c r="BQ237" i="11"/>
  <c r="T214" i="7"/>
  <c r="Q272" i="12"/>
  <c r="Q759" i="6"/>
  <c r="S759" i="6" s="1"/>
  <c r="S857" i="6"/>
  <c r="Q858" i="6" s="1"/>
  <c r="R858" i="6" s="1"/>
  <c r="R859" i="6" s="1"/>
  <c r="R860" i="6" s="1"/>
  <c r="R861" i="6" s="1"/>
  <c r="R862" i="6" s="1"/>
  <c r="R863" i="6" s="1"/>
  <c r="R864" i="6" s="1"/>
  <c r="R865" i="6" s="1"/>
  <c r="R866" i="6" s="1"/>
  <c r="R867" i="6" s="1"/>
  <c r="R868" i="6" s="1"/>
  <c r="AJ290" i="11"/>
  <c r="BS237" i="11"/>
  <c r="R381" i="8"/>
  <c r="U710" i="7"/>
  <c r="D2034" i="6" l="1"/>
  <c r="B2035" i="6"/>
  <c r="E2034" i="6"/>
  <c r="C2035" i="6" s="1"/>
  <c r="U656" i="8"/>
  <c r="S903" i="6"/>
  <c r="P1092" i="6"/>
  <c r="T1096" i="8"/>
  <c r="U600" i="8"/>
  <c r="P601" i="8" s="1"/>
  <c r="Q601" i="8" s="1"/>
  <c r="R1045" i="6"/>
  <c r="T871" i="8"/>
  <c r="H238" i="11"/>
  <c r="I238" i="11"/>
  <c r="K238" i="11" s="1"/>
  <c r="Q238" i="11" s="1"/>
  <c r="D1965" i="6"/>
  <c r="B1966" i="6"/>
  <c r="E1965" i="6"/>
  <c r="D2225" i="6"/>
  <c r="C2226" i="6" s="1"/>
  <c r="B2226" i="6"/>
  <c r="E2225" i="6"/>
  <c r="O1274" i="6"/>
  <c r="N1275" i="6" s="1"/>
  <c r="U159" i="12"/>
  <c r="B2099" i="6"/>
  <c r="D2098" i="6"/>
  <c r="E2098" i="6"/>
  <c r="C2099" i="6"/>
  <c r="AZ239" i="11"/>
  <c r="C2164" i="6"/>
  <c r="BA239" i="11"/>
  <c r="BC239" i="11"/>
  <c r="BB239" i="11" s="1"/>
  <c r="BM239" i="11" s="1"/>
  <c r="T930" i="7"/>
  <c r="V492" i="7"/>
  <c r="R492" i="7"/>
  <c r="S492" i="7"/>
  <c r="U492" i="7" s="1"/>
  <c r="V768" i="8"/>
  <c r="R768" i="8"/>
  <c r="T768" i="8" s="1"/>
  <c r="P382" i="8"/>
  <c r="Q945" i="6"/>
  <c r="S945" i="6" s="1"/>
  <c r="Q999" i="6"/>
  <c r="S999" i="6" s="1"/>
  <c r="S1000" i="6" s="1"/>
  <c r="S1001" i="6" s="1"/>
  <c r="S1002" i="6" s="1"/>
  <c r="S1003" i="6" s="1"/>
  <c r="S1004" i="6" s="1"/>
  <c r="S1005" i="6" s="1"/>
  <c r="S1006" i="6" s="1"/>
  <c r="S1007" i="6" s="1"/>
  <c r="S1008" i="6" s="1"/>
  <c r="S1009" i="6" s="1"/>
  <c r="N1175" i="6"/>
  <c r="P1175" i="6" s="1"/>
  <c r="H287" i="11"/>
  <c r="I287" i="11" s="1"/>
  <c r="T656" i="8"/>
  <c r="O1379" i="6"/>
  <c r="U1096" i="8"/>
  <c r="BT237" i="11"/>
  <c r="BU237" i="11"/>
  <c r="CA237" i="11" s="1"/>
  <c r="CE237" i="11" s="1"/>
  <c r="BW237" i="11"/>
  <c r="CC237" i="11" s="1"/>
  <c r="BX237" i="11"/>
  <c r="N1464" i="6"/>
  <c r="P1464" i="6" s="1"/>
  <c r="P323" i="12"/>
  <c r="Q323" i="12" s="1"/>
  <c r="S323" i="12" s="1"/>
  <c r="Q272" i="7"/>
  <c r="O1232" i="6"/>
  <c r="N1337" i="6"/>
  <c r="P1337" i="6" s="1"/>
  <c r="T217" i="8"/>
  <c r="AK290" i="11"/>
  <c r="V490" i="8"/>
  <c r="Q215" i="7"/>
  <c r="S158" i="8"/>
  <c r="U158" i="8" s="1"/>
  <c r="V158" i="8"/>
  <c r="R382" i="7"/>
  <c r="T382" i="7" s="1"/>
  <c r="V382" i="7"/>
  <c r="T381" i="8"/>
  <c r="V161" i="7"/>
  <c r="S161" i="7"/>
  <c r="AM290" i="11"/>
  <c r="R161" i="7"/>
  <c r="U325" i="7"/>
  <c r="AL290" i="11"/>
  <c r="V985" i="8"/>
  <c r="S985" i="8"/>
  <c r="Q1041" i="8"/>
  <c r="S490" i="8"/>
  <c r="U490" i="8" s="1"/>
  <c r="T713" i="8"/>
  <c r="Q1046" i="6"/>
  <c r="S1046" i="6" s="1"/>
  <c r="S1047" i="6" s="1"/>
  <c r="S1048" i="6" s="1"/>
  <c r="S1049" i="6" s="1"/>
  <c r="S1050" i="6" s="1"/>
  <c r="S1051" i="6" s="1"/>
  <c r="S1052" i="6" s="1"/>
  <c r="S1053" i="6" s="1"/>
  <c r="S1054" i="6" s="1"/>
  <c r="S1055" i="6" s="1"/>
  <c r="S1056" i="6" s="1"/>
  <c r="P160" i="12"/>
  <c r="Q160" i="12" s="1"/>
  <c r="R759" i="6"/>
  <c r="V272" i="12"/>
  <c r="S272" i="12"/>
  <c r="R272" i="12"/>
  <c r="T272" i="12" s="1"/>
  <c r="U930" i="7"/>
  <c r="Q611" i="6"/>
  <c r="S611" i="6" s="1"/>
  <c r="P819" i="8"/>
  <c r="Q819" i="8" s="1"/>
  <c r="S819" i="8" s="1"/>
  <c r="Q930" i="8"/>
  <c r="R930" i="8" s="1"/>
  <c r="Q326" i="8"/>
  <c r="R326" i="8" s="1"/>
  <c r="P656" i="7"/>
  <c r="Q656" i="7" s="1"/>
  <c r="R601" i="7"/>
  <c r="T601" i="7" s="1"/>
  <c r="V601" i="7"/>
  <c r="R985" i="8"/>
  <c r="N1511" i="6"/>
  <c r="P1511" i="6" s="1"/>
  <c r="N1093" i="6"/>
  <c r="P1093" i="6" s="1"/>
  <c r="P880" i="7"/>
  <c r="Q880" i="7" s="1"/>
  <c r="S880" i="7" s="1"/>
  <c r="P544" i="7"/>
  <c r="Q544" i="7" s="1"/>
  <c r="R705" i="6"/>
  <c r="P657" i="8"/>
  <c r="Q819" i="7"/>
  <c r="P711" i="7"/>
  <c r="Q711" i="7" s="1"/>
  <c r="V544" i="8"/>
  <c r="R544" i="8"/>
  <c r="T544" i="8" s="1"/>
  <c r="P714" i="8"/>
  <c r="P218" i="8"/>
  <c r="Q1395" i="6"/>
  <c r="R1395" i="6" s="1"/>
  <c r="Q434" i="8"/>
  <c r="R434" i="8" s="1"/>
  <c r="P270" i="8"/>
  <c r="Q270" i="8" s="1"/>
  <c r="P215" i="12"/>
  <c r="Q215" i="12" s="1"/>
  <c r="S215" i="12" s="1"/>
  <c r="Q904" i="6"/>
  <c r="R904" i="6" s="1"/>
  <c r="P1132" i="6"/>
  <c r="S858" i="6"/>
  <c r="S859" i="6" s="1"/>
  <c r="S860" i="6" s="1"/>
  <c r="S861" i="6" s="1"/>
  <c r="S862" i="6" s="1"/>
  <c r="S863" i="6" s="1"/>
  <c r="S864" i="6" s="1"/>
  <c r="S865" i="6" s="1"/>
  <c r="S866" i="6" s="1"/>
  <c r="S867" i="6" s="1"/>
  <c r="S868" i="6" s="1"/>
  <c r="Q869" i="6" s="1"/>
  <c r="B870" i="6" s="1"/>
  <c r="U871" i="8"/>
  <c r="P767" i="7"/>
  <c r="Q767" i="7" s="1"/>
  <c r="P435" i="7"/>
  <c r="Q435" i="7" s="1"/>
  <c r="S435" i="7"/>
  <c r="E2035" i="6" l="1"/>
  <c r="D2035" i="6"/>
  <c r="B2036" i="6"/>
  <c r="C42" i="6" s="1"/>
  <c r="T161" i="7"/>
  <c r="O1275" i="6"/>
  <c r="N1276" i="6" s="1"/>
  <c r="O1276" i="6" s="1"/>
  <c r="P1275" i="6"/>
  <c r="P1276" i="6" s="1"/>
  <c r="D2226" i="6"/>
  <c r="E2226" i="6"/>
  <c r="B2227" i="6"/>
  <c r="BJ239" i="11"/>
  <c r="BI239" i="11"/>
  <c r="BE239" i="11"/>
  <c r="BK239" i="11"/>
  <c r="BH239" i="11"/>
  <c r="BF239" i="11"/>
  <c r="BG239" i="11"/>
  <c r="R611" i="6"/>
  <c r="E2164" i="6"/>
  <c r="B2165" i="6"/>
  <c r="D2164" i="6"/>
  <c r="S904" i="6"/>
  <c r="B2100" i="6"/>
  <c r="D2099" i="6"/>
  <c r="E2099" i="6"/>
  <c r="M238" i="11"/>
  <c r="R238" i="11" s="1"/>
  <c r="O1511" i="6"/>
  <c r="N1512" i="6" s="1"/>
  <c r="CB237" i="11"/>
  <c r="T985" i="8"/>
  <c r="P238" i="11"/>
  <c r="L238" i="11"/>
  <c r="T238" i="11" s="1"/>
  <c r="N238" i="11"/>
  <c r="U382" i="7"/>
  <c r="P383" i="7" s="1"/>
  <c r="Q383" i="7" s="1"/>
  <c r="S383" i="7" s="1"/>
  <c r="C1966" i="6"/>
  <c r="U768" i="8"/>
  <c r="P769" i="8" s="1"/>
  <c r="Q769" i="8" s="1"/>
  <c r="R769" i="8" s="1"/>
  <c r="O238" i="11"/>
  <c r="S238" i="11" s="1"/>
  <c r="L287" i="11"/>
  <c r="O287" i="11"/>
  <c r="S287" i="11" s="1"/>
  <c r="K287" i="11"/>
  <c r="Q287" i="11" s="1"/>
  <c r="T287" i="11" s="1"/>
  <c r="P287" i="11"/>
  <c r="N287" i="11"/>
  <c r="M287" i="11"/>
  <c r="R287" i="11" s="1"/>
  <c r="U287" i="11" s="1"/>
  <c r="AG287" i="11" s="1"/>
  <c r="Q905" i="6"/>
  <c r="S905" i="6" s="1"/>
  <c r="S906" i="6" s="1"/>
  <c r="S907" i="6" s="1"/>
  <c r="S908" i="6" s="1"/>
  <c r="S909" i="6" s="1"/>
  <c r="S910" i="6" s="1"/>
  <c r="S911" i="6" s="1"/>
  <c r="S912" i="6" s="1"/>
  <c r="S913" i="6" s="1"/>
  <c r="S914" i="6" s="1"/>
  <c r="S915" i="6" s="1"/>
  <c r="U323" i="12"/>
  <c r="T326" i="8"/>
  <c r="U880" i="7"/>
  <c r="R160" i="12"/>
  <c r="V160" i="12"/>
  <c r="S160" i="12"/>
  <c r="U160" i="12" s="1"/>
  <c r="S601" i="8"/>
  <c r="V601" i="8"/>
  <c r="R601" i="8"/>
  <c r="Q760" i="6"/>
  <c r="S760" i="6" s="1"/>
  <c r="V767" i="7"/>
  <c r="R767" i="7"/>
  <c r="V544" i="7"/>
  <c r="R544" i="7"/>
  <c r="S1395" i="6"/>
  <c r="Q1396" i="6" s="1"/>
  <c r="R1396" i="6" s="1"/>
  <c r="V656" i="7"/>
  <c r="R656" i="7"/>
  <c r="AN290" i="11"/>
  <c r="AO290" i="11" s="1"/>
  <c r="P493" i="7"/>
  <c r="S656" i="7"/>
  <c r="U656" i="7" s="1"/>
  <c r="R435" i="7"/>
  <c r="T435" i="7" s="1"/>
  <c r="V435" i="7"/>
  <c r="O1464" i="6"/>
  <c r="P491" i="8"/>
  <c r="R711" i="7"/>
  <c r="V711" i="7"/>
  <c r="V215" i="12"/>
  <c r="R215" i="12"/>
  <c r="T215" i="12" s="1"/>
  <c r="P159" i="8"/>
  <c r="R945" i="6"/>
  <c r="V819" i="7"/>
  <c r="S819" i="7"/>
  <c r="U985" i="8"/>
  <c r="S215" i="7"/>
  <c r="V215" i="7"/>
  <c r="O1337" i="6"/>
  <c r="T158" i="8"/>
  <c r="P326" i="7"/>
  <c r="Q326" i="7" s="1"/>
  <c r="S767" i="7"/>
  <c r="Q706" i="6"/>
  <c r="S706" i="6" s="1"/>
  <c r="R1046" i="6"/>
  <c r="R1047" i="6" s="1"/>
  <c r="R1048" i="6" s="1"/>
  <c r="R1049" i="6" s="1"/>
  <c r="R1050" i="6" s="1"/>
  <c r="R1051" i="6" s="1"/>
  <c r="R1052" i="6" s="1"/>
  <c r="R1053" i="6" s="1"/>
  <c r="R1054" i="6" s="1"/>
  <c r="R1055" i="6" s="1"/>
  <c r="R1056" i="6" s="1"/>
  <c r="Q1057" i="6" s="1"/>
  <c r="B1058" i="6" s="1"/>
  <c r="E14" i="6" s="1"/>
  <c r="P872" i="8"/>
  <c r="Q872" i="8" s="1"/>
  <c r="S872" i="8" s="1"/>
  <c r="S544" i="7"/>
  <c r="Q382" i="8"/>
  <c r="R382" i="8" s="1"/>
  <c r="R880" i="7"/>
  <c r="T880" i="7" s="1"/>
  <c r="V880" i="7"/>
  <c r="S326" i="8"/>
  <c r="U326" i="8" s="1"/>
  <c r="V326" i="8"/>
  <c r="Q714" i="8"/>
  <c r="R714" i="8" s="1"/>
  <c r="O1175" i="6"/>
  <c r="S930" i="8"/>
  <c r="U930" i="8" s="1"/>
  <c r="V930" i="8"/>
  <c r="Q218" i="8"/>
  <c r="R218" i="8" s="1"/>
  <c r="CF237" i="11"/>
  <c r="N1133" i="6"/>
  <c r="O1133" i="6" s="1"/>
  <c r="V270" i="8"/>
  <c r="R270" i="8"/>
  <c r="V819" i="8"/>
  <c r="R819" i="8"/>
  <c r="T819" i="8" s="1"/>
  <c r="S270" i="8"/>
  <c r="U270" i="8" s="1"/>
  <c r="R819" i="7"/>
  <c r="O1093" i="6"/>
  <c r="R215" i="7"/>
  <c r="N1233" i="6"/>
  <c r="P1233" i="6" s="1"/>
  <c r="P1097" i="8"/>
  <c r="Q1097" i="8" s="1"/>
  <c r="S1097" i="8" s="1"/>
  <c r="T490" i="8"/>
  <c r="T434" i="8"/>
  <c r="S272" i="7"/>
  <c r="V272" i="7"/>
  <c r="R272" i="7"/>
  <c r="U161" i="7"/>
  <c r="Q657" i="8"/>
  <c r="V323" i="12"/>
  <c r="R323" i="12"/>
  <c r="T323" i="12" s="1"/>
  <c r="T492" i="7"/>
  <c r="P931" i="7"/>
  <c r="Q931" i="7" s="1"/>
  <c r="S931" i="7"/>
  <c r="U601" i="7"/>
  <c r="R999" i="6"/>
  <c r="R1000" i="6" s="1"/>
  <c r="R1001" i="6" s="1"/>
  <c r="R1002" i="6" s="1"/>
  <c r="R1003" i="6" s="1"/>
  <c r="R1004" i="6" s="1"/>
  <c r="R1005" i="6" s="1"/>
  <c r="R1006" i="6" s="1"/>
  <c r="R1007" i="6" s="1"/>
  <c r="R1008" i="6" s="1"/>
  <c r="R1009" i="6" s="1"/>
  <c r="Q1010" i="6" s="1"/>
  <c r="B1011" i="6" s="1"/>
  <c r="D23" i="6" s="1"/>
  <c r="V1041" i="8"/>
  <c r="S1041" i="8"/>
  <c r="S711" i="7"/>
  <c r="U272" i="12"/>
  <c r="R1041" i="8"/>
  <c r="T1041" i="8" s="1"/>
  <c r="BY237" i="11"/>
  <c r="CD237" i="11" s="1"/>
  <c r="BZ237" i="11"/>
  <c r="V434" i="8"/>
  <c r="S434" i="8"/>
  <c r="U434" i="8" s="1"/>
  <c r="N1380" i="6"/>
  <c r="P1380" i="6" s="1"/>
  <c r="U544" i="8"/>
  <c r="T215" i="7" l="1"/>
  <c r="T272" i="7"/>
  <c r="U767" i="7"/>
  <c r="O1512" i="6"/>
  <c r="P1512" i="6"/>
  <c r="P1133" i="6"/>
  <c r="N1134" i="6" s="1"/>
  <c r="E1966" i="6"/>
  <c r="D1966" i="6"/>
  <c r="B1967" i="6"/>
  <c r="C1967" i="6" s="1"/>
  <c r="T711" i="7"/>
  <c r="Q612" i="6"/>
  <c r="S612" i="6" s="1"/>
  <c r="BL239" i="11"/>
  <c r="AI240" i="11"/>
  <c r="AK240" i="11"/>
  <c r="E23" i="6"/>
  <c r="U238" i="11"/>
  <c r="X238" i="11" s="1"/>
  <c r="U819" i="7"/>
  <c r="P820" i="7" s="1"/>
  <c r="U435" i="7"/>
  <c r="AJ240" i="11"/>
  <c r="U215" i="12"/>
  <c r="U544" i="7"/>
  <c r="P545" i="7" s="1"/>
  <c r="C2165" i="6"/>
  <c r="D14" i="6"/>
  <c r="C2227" i="6"/>
  <c r="C2100" i="6"/>
  <c r="T601" i="8"/>
  <c r="N1513" i="6"/>
  <c r="O1513" i="6" s="1"/>
  <c r="AU290" i="11"/>
  <c r="AY290" i="11" s="1"/>
  <c r="AQ290" i="11"/>
  <c r="AW290" i="11" s="1"/>
  <c r="AV290" i="11"/>
  <c r="AT290" i="11"/>
  <c r="AS290" i="11"/>
  <c r="AX290" i="11" s="1"/>
  <c r="AR290" i="11"/>
  <c r="N1277" i="6"/>
  <c r="O1277" i="6" s="1"/>
  <c r="P162" i="7"/>
  <c r="Q162" i="7" s="1"/>
  <c r="S162" i="7"/>
  <c r="U711" i="7"/>
  <c r="T819" i="7"/>
  <c r="P216" i="12"/>
  <c r="P881" i="7"/>
  <c r="Q881" i="7" s="1"/>
  <c r="P271" i="8"/>
  <c r="U215" i="7"/>
  <c r="V769" i="8"/>
  <c r="O1380" i="6"/>
  <c r="T767" i="7"/>
  <c r="N1465" i="6"/>
  <c r="P1465" i="6" s="1"/>
  <c r="N1176" i="6"/>
  <c r="P1176" i="6" s="1"/>
  <c r="R760" i="6"/>
  <c r="Q946" i="6"/>
  <c r="S946" i="6" s="1"/>
  <c r="R905" i="6"/>
  <c r="R906" i="6" s="1"/>
  <c r="R907" i="6" s="1"/>
  <c r="R908" i="6" s="1"/>
  <c r="R909" i="6" s="1"/>
  <c r="R910" i="6" s="1"/>
  <c r="R911" i="6" s="1"/>
  <c r="R912" i="6" s="1"/>
  <c r="R913" i="6" s="1"/>
  <c r="R914" i="6" s="1"/>
  <c r="R915" i="6" s="1"/>
  <c r="Q916" i="6" s="1"/>
  <c r="B917" i="6" s="1"/>
  <c r="Q493" i="7"/>
  <c r="V383" i="7"/>
  <c r="S769" i="8"/>
  <c r="U769" i="8" s="1"/>
  <c r="U819" i="8"/>
  <c r="T218" i="8"/>
  <c r="P161" i="12"/>
  <c r="P273" i="12"/>
  <c r="Q273" i="12" s="1"/>
  <c r="N1338" i="6"/>
  <c r="P1338" i="6" s="1"/>
  <c r="R383" i="7"/>
  <c r="T383" i="7" s="1"/>
  <c r="P545" i="8"/>
  <c r="Q545" i="8" s="1"/>
  <c r="R706" i="6"/>
  <c r="P324" i="12"/>
  <c r="Q324" i="12" s="1"/>
  <c r="P602" i="7"/>
  <c r="Q602" i="7" s="1"/>
  <c r="T270" i="8"/>
  <c r="V714" i="8"/>
  <c r="S714" i="8"/>
  <c r="U714" i="8" s="1"/>
  <c r="P327" i="8"/>
  <c r="Q327" i="8" s="1"/>
  <c r="V327" i="8" s="1"/>
  <c r="V1097" i="8"/>
  <c r="R1097" i="8"/>
  <c r="T1097" i="8" s="1"/>
  <c r="V326" i="7"/>
  <c r="R326" i="7"/>
  <c r="Q216" i="12"/>
  <c r="R216" i="12" s="1"/>
  <c r="S1396" i="6"/>
  <c r="U601" i="8"/>
  <c r="R872" i="8"/>
  <c r="T872" i="8" s="1"/>
  <c r="V872" i="8"/>
  <c r="Q159" i="8"/>
  <c r="N1094" i="6"/>
  <c r="P1094" i="6" s="1"/>
  <c r="T160" i="12"/>
  <c r="P1277" i="6"/>
  <c r="U1041" i="8"/>
  <c r="P657" i="7"/>
  <c r="P931" i="8"/>
  <c r="P986" i="8"/>
  <c r="Q986" i="8" s="1"/>
  <c r="P436" i="7"/>
  <c r="Q436" i="7" s="1"/>
  <c r="V436" i="7" s="1"/>
  <c r="R931" i="7"/>
  <c r="T931" i="7" s="1"/>
  <c r="V931" i="7"/>
  <c r="T656" i="7"/>
  <c r="P435" i="8"/>
  <c r="Q435" i="8" s="1"/>
  <c r="V657" i="8"/>
  <c r="S657" i="8"/>
  <c r="S326" i="7"/>
  <c r="T544" i="7"/>
  <c r="T930" i="8"/>
  <c r="P768" i="7"/>
  <c r="U272" i="7"/>
  <c r="Y287" i="11"/>
  <c r="X288" i="11"/>
  <c r="Z287" i="11"/>
  <c r="V288" i="11"/>
  <c r="AA287" i="11"/>
  <c r="W288" i="11"/>
  <c r="AC287" i="11"/>
  <c r="AB287" i="11"/>
  <c r="AE287" i="11"/>
  <c r="AD287" i="11"/>
  <c r="Q491" i="8"/>
  <c r="V382" i="8"/>
  <c r="S382" i="8"/>
  <c r="U382" i="8" s="1"/>
  <c r="CG237" i="11"/>
  <c r="R657" i="8"/>
  <c r="T657" i="8" s="1"/>
  <c r="O1233" i="6"/>
  <c r="V218" i="8"/>
  <c r="S218" i="8"/>
  <c r="U218" i="8" s="1"/>
  <c r="U872" i="8" l="1"/>
  <c r="T326" i="7"/>
  <c r="BA290" i="11"/>
  <c r="O1134" i="6"/>
  <c r="N1135" i="6" s="1"/>
  <c r="O1135" i="6" s="1"/>
  <c r="P1134" i="6"/>
  <c r="W238" i="11"/>
  <c r="AP240" i="11"/>
  <c r="AM240" i="11"/>
  <c r="U931" i="7"/>
  <c r="T714" i="8"/>
  <c r="U1097" i="8"/>
  <c r="P1098" i="8" s="1"/>
  <c r="Q1098" i="8" s="1"/>
  <c r="D2165" i="6"/>
  <c r="E2165" i="6"/>
  <c r="B2166" i="6"/>
  <c r="AL240" i="11"/>
  <c r="B2101" i="6"/>
  <c r="D2100" i="6"/>
  <c r="E2100" i="6"/>
  <c r="B2228" i="6"/>
  <c r="E2227" i="6"/>
  <c r="D2227" i="6"/>
  <c r="C2228" i="6" s="1"/>
  <c r="V238" i="11"/>
  <c r="O1176" i="6"/>
  <c r="P1513" i="6"/>
  <c r="N1514" i="6" s="1"/>
  <c r="P1514" i="6" s="1"/>
  <c r="D1967" i="6"/>
  <c r="E1967" i="6"/>
  <c r="B1968" i="6"/>
  <c r="C1968" i="6"/>
  <c r="R612" i="6"/>
  <c r="Q613" i="6" s="1"/>
  <c r="R613" i="6" s="1"/>
  <c r="V881" i="7"/>
  <c r="R881" i="7"/>
  <c r="S881" i="7"/>
  <c r="U881" i="7" s="1"/>
  <c r="S435" i="8"/>
  <c r="R435" i="8"/>
  <c r="V435" i="8"/>
  <c r="R324" i="12"/>
  <c r="S324" i="12"/>
  <c r="U324" i="12" s="1"/>
  <c r="V324" i="12"/>
  <c r="N1234" i="6"/>
  <c r="P1234" i="6" s="1"/>
  <c r="N1177" i="6"/>
  <c r="O1177" i="6" s="1"/>
  <c r="O1338" i="6"/>
  <c r="N1339" i="6" s="1"/>
  <c r="Q1296" i="6" s="1"/>
  <c r="N1278" i="6"/>
  <c r="P1278" i="6" s="1"/>
  <c r="S1397" i="6"/>
  <c r="R602" i="7"/>
  <c r="V602" i="7"/>
  <c r="R327" i="8"/>
  <c r="V273" i="12"/>
  <c r="R273" i="12"/>
  <c r="C288" i="11"/>
  <c r="AF287" i="11"/>
  <c r="J288" i="11" s="1"/>
  <c r="S273" i="12"/>
  <c r="U273" i="12" s="1"/>
  <c r="P273" i="7"/>
  <c r="Q273" i="7" s="1"/>
  <c r="S273" i="7"/>
  <c r="P1042" i="8"/>
  <c r="Q1042" i="8" s="1"/>
  <c r="S1042" i="8" s="1"/>
  <c r="P932" i="7"/>
  <c r="Q932" i="7" s="1"/>
  <c r="Q931" i="8"/>
  <c r="S327" i="8"/>
  <c r="V159" i="8"/>
  <c r="S159" i="8"/>
  <c r="N1381" i="6"/>
  <c r="P1381" i="6" s="1"/>
  <c r="Q761" i="6"/>
  <c r="S761" i="6" s="1"/>
  <c r="V162" i="7"/>
  <c r="R162" i="7"/>
  <c r="T162" i="7" s="1"/>
  <c r="Q1397" i="6"/>
  <c r="R1397" i="6" s="1"/>
  <c r="S216" i="12"/>
  <c r="U216" i="12" s="1"/>
  <c r="AZ290" i="11"/>
  <c r="BM290" i="11" s="1"/>
  <c r="Q707" i="6"/>
  <c r="S707" i="6" s="1"/>
  <c r="P712" i="7"/>
  <c r="Q712" i="7" s="1"/>
  <c r="S712" i="7" s="1"/>
  <c r="Q768" i="7"/>
  <c r="R768" i="7" s="1"/>
  <c r="U162" i="7"/>
  <c r="V216" i="12"/>
  <c r="U326" i="7"/>
  <c r="R545" i="8"/>
  <c r="V545" i="8"/>
  <c r="P216" i="7"/>
  <c r="Q216" i="7" s="1"/>
  <c r="S216" i="7" s="1"/>
  <c r="U383" i="7"/>
  <c r="CI237" i="11"/>
  <c r="CJ237" i="11"/>
  <c r="CH237" i="11"/>
  <c r="R436" i="7"/>
  <c r="S602" i="7"/>
  <c r="Q657" i="7"/>
  <c r="O1465" i="6"/>
  <c r="S493" i="7"/>
  <c r="V493" i="7"/>
  <c r="R493" i="7"/>
  <c r="V491" i="8"/>
  <c r="S491" i="8"/>
  <c r="S436" i="7"/>
  <c r="G288" i="11"/>
  <c r="P219" i="8"/>
  <c r="Q219" i="8" s="1"/>
  <c r="S545" i="8"/>
  <c r="T382" i="8"/>
  <c r="D288" i="11"/>
  <c r="P770" i="8"/>
  <c r="Q271" i="8"/>
  <c r="P383" i="8"/>
  <c r="Q820" i="7"/>
  <c r="B14" i="6"/>
  <c r="B23" i="6"/>
  <c r="Q161" i="12"/>
  <c r="R491" i="8"/>
  <c r="R946" i="6"/>
  <c r="O1094" i="6"/>
  <c r="Q545" i="7"/>
  <c r="R545" i="7" s="1"/>
  <c r="P820" i="8"/>
  <c r="Q820" i="8" s="1"/>
  <c r="S820" i="8" s="1"/>
  <c r="P873" i="8"/>
  <c r="Q873" i="8" s="1"/>
  <c r="R159" i="8"/>
  <c r="V986" i="8"/>
  <c r="R986" i="8"/>
  <c r="S986" i="8"/>
  <c r="U657" i="8"/>
  <c r="P602" i="8"/>
  <c r="Q602" i="8" s="1"/>
  <c r="S602" i="8" s="1"/>
  <c r="P715" i="8"/>
  <c r="T769" i="8"/>
  <c r="Q715" i="8" l="1"/>
  <c r="U159" i="8"/>
  <c r="S613" i="6"/>
  <c r="T491" i="8"/>
  <c r="U986" i="8"/>
  <c r="C2101" i="6"/>
  <c r="U602" i="7"/>
  <c r="P603" i="7" s="1"/>
  <c r="AG238" i="11"/>
  <c r="D2101" i="6"/>
  <c r="E2101" i="6"/>
  <c r="B2102" i="6"/>
  <c r="D42" i="6" s="1"/>
  <c r="P1135" i="6"/>
  <c r="N1136" i="6" s="1"/>
  <c r="O1136" i="6" s="1"/>
  <c r="T216" i="12"/>
  <c r="D2228" i="6"/>
  <c r="B2229" i="6"/>
  <c r="E2228" i="6"/>
  <c r="AN240" i="11"/>
  <c r="AO240" i="11" s="1"/>
  <c r="AU240" i="11" s="1"/>
  <c r="AY240" i="11" s="1"/>
  <c r="BD240" i="11" s="1"/>
  <c r="U493" i="7"/>
  <c r="P494" i="7" s="1"/>
  <c r="E1968" i="6"/>
  <c r="D1968" i="6"/>
  <c r="B1969" i="6"/>
  <c r="C1969" i="6"/>
  <c r="U436" i="7"/>
  <c r="P437" i="7" s="1"/>
  <c r="U327" i="8"/>
  <c r="P328" i="8" s="1"/>
  <c r="C2166" i="6"/>
  <c r="U545" i="8"/>
  <c r="P546" i="8" s="1"/>
  <c r="T435" i="8"/>
  <c r="S932" i="7"/>
  <c r="V932" i="7"/>
  <c r="R932" i="7"/>
  <c r="T932" i="7" s="1"/>
  <c r="BF290" i="11"/>
  <c r="BE290" i="11"/>
  <c r="BD291" i="11"/>
  <c r="BC291" i="11"/>
  <c r="BB291" i="11"/>
  <c r="BJ290" i="11"/>
  <c r="BI290" i="11"/>
  <c r="BH290" i="11"/>
  <c r="BG290" i="11"/>
  <c r="BK290" i="11"/>
  <c r="S715" i="8"/>
  <c r="R715" i="8"/>
  <c r="T715" i="8" s="1"/>
  <c r="V715" i="8"/>
  <c r="S1098" i="8"/>
  <c r="V1098" i="8"/>
  <c r="R1098" i="8"/>
  <c r="T1098" i="8" s="1"/>
  <c r="V873" i="8"/>
  <c r="R873" i="8"/>
  <c r="S873" i="8"/>
  <c r="V219" i="8"/>
  <c r="R219" i="8"/>
  <c r="S219" i="8"/>
  <c r="U219" i="8" s="1"/>
  <c r="P325" i="12"/>
  <c r="N1466" i="6"/>
  <c r="P1466" i="6" s="1"/>
  <c r="V657" i="7"/>
  <c r="S657" i="7"/>
  <c r="P987" i="8"/>
  <c r="V273" i="7"/>
  <c r="R273" i="7"/>
  <c r="T273" i="7" s="1"/>
  <c r="R1298" i="6"/>
  <c r="T436" i="7"/>
  <c r="T159" i="8"/>
  <c r="V931" i="8"/>
  <c r="S931" i="8"/>
  <c r="T493" i="7"/>
  <c r="R931" i="8"/>
  <c r="V216" i="7"/>
  <c r="R216" i="7"/>
  <c r="T216" i="7" s="1"/>
  <c r="Q1398" i="6"/>
  <c r="S1398" i="6" s="1"/>
  <c r="O1234" i="6"/>
  <c r="S271" i="8"/>
  <c r="V271" i="8"/>
  <c r="V161" i="12"/>
  <c r="S161" i="12"/>
  <c r="R161" i="12"/>
  <c r="T161" i="12" s="1"/>
  <c r="R657" i="7"/>
  <c r="O1278" i="6"/>
  <c r="R707" i="6"/>
  <c r="O1381" i="6"/>
  <c r="O1514" i="6"/>
  <c r="U491" i="8"/>
  <c r="Q383" i="8"/>
  <c r="U435" i="8"/>
  <c r="T327" i="8"/>
  <c r="P882" i="7"/>
  <c r="P327" i="7"/>
  <c r="Q327" i="7" s="1"/>
  <c r="S327" i="7" s="1"/>
  <c r="R1042" i="8"/>
  <c r="T1042" i="8" s="1"/>
  <c r="V1042" i="8"/>
  <c r="R712" i="7"/>
  <c r="T712" i="7" s="1"/>
  <c r="V712" i="7"/>
  <c r="T986" i="8"/>
  <c r="P274" i="12"/>
  <c r="P160" i="8"/>
  <c r="F288" i="11"/>
  <c r="CS237" i="11"/>
  <c r="E288" i="11"/>
  <c r="R820" i="8"/>
  <c r="T820" i="8" s="1"/>
  <c r="V820" i="8"/>
  <c r="P384" i="7"/>
  <c r="Q384" i="7" s="1"/>
  <c r="S384" i="7" s="1"/>
  <c r="P1177" i="6"/>
  <c r="V545" i="7"/>
  <c r="S545" i="7"/>
  <c r="U545" i="7" s="1"/>
  <c r="N1095" i="6"/>
  <c r="P1095" i="6" s="1"/>
  <c r="T545" i="8"/>
  <c r="T881" i="7"/>
  <c r="V602" i="8"/>
  <c r="R602" i="8"/>
  <c r="T602" i="8" s="1"/>
  <c r="T324" i="12"/>
  <c r="P658" i="8"/>
  <c r="Q658" i="8" s="1"/>
  <c r="R271" i="8"/>
  <c r="P163" i="7"/>
  <c r="Q163" i="7" s="1"/>
  <c r="R761" i="6"/>
  <c r="Q614" i="6"/>
  <c r="R614" i="6" s="1"/>
  <c r="S820" i="7"/>
  <c r="V820" i="7"/>
  <c r="R820" i="7"/>
  <c r="P217" i="12"/>
  <c r="Q770" i="8"/>
  <c r="S768" i="7"/>
  <c r="U768" i="7" s="1"/>
  <c r="V768" i="7"/>
  <c r="T273" i="12"/>
  <c r="Q947" i="6"/>
  <c r="S947" i="6" s="1"/>
  <c r="T602" i="7"/>
  <c r="U657" i="7" l="1"/>
  <c r="U820" i="7"/>
  <c r="T931" i="8"/>
  <c r="U873" i="8"/>
  <c r="AS240" i="11"/>
  <c r="AX240" i="11" s="1"/>
  <c r="AR240" i="11"/>
  <c r="U273" i="7"/>
  <c r="P274" i="7" s="1"/>
  <c r="Q274" i="7" s="1"/>
  <c r="S274" i="7" s="1"/>
  <c r="P1136" i="6"/>
  <c r="N1137" i="6" s="1"/>
  <c r="O1137" i="6" s="1"/>
  <c r="D1969" i="6"/>
  <c r="E1969" i="6"/>
  <c r="B1970" i="6"/>
  <c r="B42" i="6" s="1"/>
  <c r="Y238" i="11"/>
  <c r="AE238" i="11"/>
  <c r="Z238" i="11"/>
  <c r="AB238" i="11"/>
  <c r="AA238" i="11"/>
  <c r="AC238" i="11"/>
  <c r="AD238" i="11"/>
  <c r="T271" i="8"/>
  <c r="AT240" i="11"/>
  <c r="AQ240" i="11"/>
  <c r="AW240" i="11" s="1"/>
  <c r="AV240" i="11"/>
  <c r="U820" i="8"/>
  <c r="Q217" i="12"/>
  <c r="C2229" i="6"/>
  <c r="B2167" i="6"/>
  <c r="D2166" i="6"/>
  <c r="E2166" i="6"/>
  <c r="C2167" i="6" s="1"/>
  <c r="S217" i="12"/>
  <c r="V217" i="12"/>
  <c r="R217" i="12"/>
  <c r="T217" i="12" s="1"/>
  <c r="V163" i="7"/>
  <c r="S163" i="7"/>
  <c r="R163" i="7"/>
  <c r="T163" i="7" s="1"/>
  <c r="Q882" i="7"/>
  <c r="N1235" i="6"/>
  <c r="P1235" i="6" s="1"/>
  <c r="Q437" i="7"/>
  <c r="AL291" i="11"/>
  <c r="AJ291" i="11"/>
  <c r="R1398" i="6"/>
  <c r="Q762" i="6"/>
  <c r="S762" i="6" s="1"/>
  <c r="Q603" i="7"/>
  <c r="R603" i="7" s="1"/>
  <c r="P658" i="7"/>
  <c r="P874" i="8"/>
  <c r="T873" i="8"/>
  <c r="O1466" i="6"/>
  <c r="AM291" i="11"/>
  <c r="S383" i="8"/>
  <c r="V383" i="8"/>
  <c r="S1298" i="6"/>
  <c r="R383" i="8"/>
  <c r="T383" i="8" s="1"/>
  <c r="S770" i="8"/>
  <c r="V770" i="8"/>
  <c r="U715" i="8"/>
  <c r="P821" i="8"/>
  <c r="Q821" i="8" s="1"/>
  <c r="R821" i="8" s="1"/>
  <c r="S614" i="6"/>
  <c r="U161" i="12"/>
  <c r="U1042" i="8"/>
  <c r="CQ237" i="11"/>
  <c r="CP237" i="11"/>
  <c r="CL237" i="11"/>
  <c r="CK237" i="11"/>
  <c r="CO237" i="11"/>
  <c r="CN237" i="11"/>
  <c r="CM237" i="11"/>
  <c r="Q160" i="8"/>
  <c r="Q546" i="8"/>
  <c r="R546" i="8" s="1"/>
  <c r="Q328" i="8"/>
  <c r="Q987" i="8"/>
  <c r="R987" i="8" s="1"/>
  <c r="U1098" i="8"/>
  <c r="P546" i="7"/>
  <c r="R658" i="8"/>
  <c r="V658" i="8"/>
  <c r="R770" i="8"/>
  <c r="R384" i="7"/>
  <c r="T384" i="7" s="1"/>
  <c r="V384" i="7"/>
  <c r="N1178" i="6"/>
  <c r="O1178" i="6" s="1"/>
  <c r="P821" i="7"/>
  <c r="N1515" i="6"/>
  <c r="P1515" i="6" s="1"/>
  <c r="N1382" i="6"/>
  <c r="P1382" i="6" s="1"/>
  <c r="Q708" i="6"/>
  <c r="S708" i="6" s="1"/>
  <c r="R947" i="6"/>
  <c r="N1279" i="6"/>
  <c r="P1279" i="6" s="1"/>
  <c r="O1095" i="6"/>
  <c r="U216" i="7"/>
  <c r="T657" i="7"/>
  <c r="Q494" i="7"/>
  <c r="R494" i="7" s="1"/>
  <c r="T545" i="7"/>
  <c r="T768" i="7"/>
  <c r="R327" i="7"/>
  <c r="T327" i="7" s="1"/>
  <c r="V327" i="7"/>
  <c r="P220" i="8"/>
  <c r="U932" i="7"/>
  <c r="Q274" i="12"/>
  <c r="R274" i="12" s="1"/>
  <c r="P436" i="8"/>
  <c r="Q436" i="8" s="1"/>
  <c r="P769" i="7"/>
  <c r="BL290" i="11"/>
  <c r="AP291" i="11" s="1"/>
  <c r="AI291" i="11"/>
  <c r="S658" i="8"/>
  <c r="Q325" i="12"/>
  <c r="R325" i="12" s="1"/>
  <c r="U931" i="8"/>
  <c r="T820" i="7"/>
  <c r="U602" i="8"/>
  <c r="H288" i="11"/>
  <c r="I288" i="11" s="1"/>
  <c r="P492" i="8"/>
  <c r="Q492" i="8" s="1"/>
  <c r="U271" i="8"/>
  <c r="T219" i="8"/>
  <c r="U712" i="7"/>
  <c r="U770" i="8" l="1"/>
  <c r="AZ240" i="11"/>
  <c r="AK291" i="11"/>
  <c r="D239" i="11"/>
  <c r="O1382" i="6"/>
  <c r="E2167" i="6"/>
  <c r="D2167" i="6"/>
  <c r="B2168" i="6"/>
  <c r="E42" i="6" s="1"/>
  <c r="C239" i="11"/>
  <c r="AF238" i="11"/>
  <c r="J239" i="11" s="1"/>
  <c r="E239" i="11"/>
  <c r="E2229" i="6"/>
  <c r="D2229" i="6"/>
  <c r="B2230" i="6"/>
  <c r="C2230" i="6" s="1"/>
  <c r="U327" i="7"/>
  <c r="P328" i="7" s="1"/>
  <c r="Q328" i="7" s="1"/>
  <c r="V328" i="7" s="1"/>
  <c r="BA240" i="11"/>
  <c r="BC240" i="11" s="1"/>
  <c r="T658" i="8"/>
  <c r="U384" i="7"/>
  <c r="O288" i="11"/>
  <c r="S288" i="11" s="1"/>
  <c r="P288" i="11"/>
  <c r="M288" i="11"/>
  <c r="R288" i="11" s="1"/>
  <c r="N288" i="11"/>
  <c r="L288" i="11"/>
  <c r="K288" i="11"/>
  <c r="Q288" i="11" s="1"/>
  <c r="T288" i="11" s="1"/>
  <c r="T325" i="12"/>
  <c r="T987" i="8"/>
  <c r="N1383" i="6"/>
  <c r="O1383" i="6" s="1"/>
  <c r="V882" i="7"/>
  <c r="S882" i="7"/>
  <c r="V160" i="8"/>
  <c r="S160" i="8"/>
  <c r="O1279" i="6"/>
  <c r="R160" i="8"/>
  <c r="P771" i="8"/>
  <c r="P1099" i="8"/>
  <c r="Q1099" i="8" s="1"/>
  <c r="S1099" i="8" s="1"/>
  <c r="P933" i="7"/>
  <c r="Q933" i="7" s="1"/>
  <c r="S821" i="8"/>
  <c r="U821" i="8" s="1"/>
  <c r="Q220" i="8"/>
  <c r="R220" i="8" s="1"/>
  <c r="V437" i="7"/>
  <c r="S437" i="7"/>
  <c r="N1096" i="6"/>
  <c r="P1096" i="6" s="1"/>
  <c r="P603" i="8"/>
  <c r="Q603" i="8" s="1"/>
  <c r="S603" i="8" s="1"/>
  <c r="R762" i="6"/>
  <c r="V274" i="7"/>
  <c r="Q821" i="7"/>
  <c r="Q1299" i="6"/>
  <c r="R1299" i="6" s="1"/>
  <c r="P932" i="8"/>
  <c r="Q932" i="8" s="1"/>
  <c r="P1137" i="6"/>
  <c r="P217" i="7"/>
  <c r="Q217" i="7" s="1"/>
  <c r="S217" i="7" s="1"/>
  <c r="CR237" i="11"/>
  <c r="BV238" i="11" s="1"/>
  <c r="BQ238" i="11"/>
  <c r="BO238" i="11"/>
  <c r="U658" i="8"/>
  <c r="R708" i="6"/>
  <c r="P272" i="8"/>
  <c r="Q272" i="8" s="1"/>
  <c r="S272" i="8" s="1"/>
  <c r="Q615" i="6"/>
  <c r="R615" i="6" s="1"/>
  <c r="R437" i="7"/>
  <c r="P1043" i="8"/>
  <c r="Q1043" i="8" s="1"/>
  <c r="Q874" i="8"/>
  <c r="R874" i="8" s="1"/>
  <c r="S494" i="7"/>
  <c r="U494" i="7" s="1"/>
  <c r="V494" i="7"/>
  <c r="R274" i="7"/>
  <c r="T274" i="7" s="1"/>
  <c r="Q948" i="6"/>
  <c r="S948" i="6" s="1"/>
  <c r="BP238" i="11"/>
  <c r="P162" i="12"/>
  <c r="Q162" i="12" s="1"/>
  <c r="S162" i="12" s="1"/>
  <c r="S987" i="8"/>
  <c r="U987" i="8" s="1"/>
  <c r="V987" i="8"/>
  <c r="Q1399" i="6"/>
  <c r="S1399" i="6" s="1"/>
  <c r="V821" i="8"/>
  <c r="P713" i="7"/>
  <c r="Q713" i="7" s="1"/>
  <c r="S713" i="7" s="1"/>
  <c r="U163" i="7"/>
  <c r="P1178" i="6"/>
  <c r="N1179" i="6" s="1"/>
  <c r="O1179" i="6" s="1"/>
  <c r="V328" i="8"/>
  <c r="S328" i="8"/>
  <c r="AN291" i="11"/>
  <c r="AO291" i="11" s="1"/>
  <c r="N1467" i="6"/>
  <c r="P1467" i="6" s="1"/>
  <c r="S546" i="8"/>
  <c r="U546" i="8" s="1"/>
  <c r="V546" i="8"/>
  <c r="P716" i="8"/>
  <c r="Q716" i="8" s="1"/>
  <c r="O1515" i="6"/>
  <c r="O1235" i="6"/>
  <c r="V436" i="8"/>
  <c r="R436" i="8"/>
  <c r="Q546" i="7"/>
  <c r="R546" i="7" s="1"/>
  <c r="R882" i="7"/>
  <c r="S436" i="8"/>
  <c r="U436" i="8" s="1"/>
  <c r="V274" i="12"/>
  <c r="S274" i="12"/>
  <c r="U274" i="12" s="1"/>
  <c r="P385" i="7"/>
  <c r="Q385" i="7" s="1"/>
  <c r="S603" i="7"/>
  <c r="U603" i="7" s="1"/>
  <c r="V603" i="7"/>
  <c r="Q658" i="7"/>
  <c r="R658" i="7" s="1"/>
  <c r="V325" i="12"/>
  <c r="S325" i="12"/>
  <c r="U325" i="12" s="1"/>
  <c r="U383" i="8"/>
  <c r="V492" i="8"/>
  <c r="R492" i="8"/>
  <c r="S492" i="8"/>
  <c r="U492" i="8" s="1"/>
  <c r="Q769" i="7"/>
  <c r="T770" i="8"/>
  <c r="R328" i="8"/>
  <c r="U217" i="12"/>
  <c r="U437" i="7" l="1"/>
  <c r="T160" i="8"/>
  <c r="S615" i="6"/>
  <c r="T328" i="8"/>
  <c r="P1383" i="6"/>
  <c r="N1384" i="6" s="1"/>
  <c r="P1384" i="6" s="1"/>
  <c r="G239" i="11"/>
  <c r="B2231" i="6"/>
  <c r="E2230" i="6"/>
  <c r="D2230" i="6"/>
  <c r="C2231" i="6" s="1"/>
  <c r="F239" i="11"/>
  <c r="BB240" i="11"/>
  <c r="BM240" i="11"/>
  <c r="BR238" i="11"/>
  <c r="U882" i="7"/>
  <c r="P883" i="7" s="1"/>
  <c r="T546" i="8"/>
  <c r="R385" i="7"/>
  <c r="V385" i="7"/>
  <c r="S385" i="7"/>
  <c r="AS291" i="11"/>
  <c r="AX291" i="11" s="1"/>
  <c r="AV291" i="11"/>
  <c r="AR291" i="11"/>
  <c r="AT291" i="11"/>
  <c r="AQ291" i="11"/>
  <c r="AW291" i="11" s="1"/>
  <c r="AZ291" i="11" s="1"/>
  <c r="AU291" i="11"/>
  <c r="AY291" i="11" s="1"/>
  <c r="N1180" i="6"/>
  <c r="O1180" i="6" s="1"/>
  <c r="P164" i="7"/>
  <c r="Q164" i="7" s="1"/>
  <c r="P438" i="7"/>
  <c r="N1280" i="6"/>
  <c r="P1280" i="6" s="1"/>
  <c r="Q771" i="8"/>
  <c r="V769" i="7"/>
  <c r="S769" i="7"/>
  <c r="P604" i="7"/>
  <c r="N1516" i="6"/>
  <c r="P1516" i="6" s="1"/>
  <c r="V716" i="8"/>
  <c r="V717" i="8" s="1"/>
  <c r="V718" i="8" s="1"/>
  <c r="V719" i="8" s="1"/>
  <c r="V720" i="8" s="1"/>
  <c r="V721" i="8" s="1"/>
  <c r="R716" i="8"/>
  <c r="U160" i="8"/>
  <c r="P547" i="8"/>
  <c r="T437" i="7"/>
  <c r="Q709" i="6"/>
  <c r="S709" i="6" s="1"/>
  <c r="Q763" i="6"/>
  <c r="S763" i="6" s="1"/>
  <c r="T603" i="7"/>
  <c r="S220" i="8"/>
  <c r="U220" i="8" s="1"/>
  <c r="V220" i="8"/>
  <c r="R217" i="7"/>
  <c r="T217" i="7" s="1"/>
  <c r="V217" i="7"/>
  <c r="R769" i="7"/>
  <c r="P822" i="8"/>
  <c r="P493" i="8"/>
  <c r="R1043" i="8"/>
  <c r="V1043" i="8"/>
  <c r="T882" i="7"/>
  <c r="R328" i="7"/>
  <c r="P384" i="8"/>
  <c r="Q384" i="8" s="1"/>
  <c r="U328" i="8"/>
  <c r="P988" i="8"/>
  <c r="Q988" i="8" s="1"/>
  <c r="V874" i="8"/>
  <c r="S874" i="8"/>
  <c r="U874" i="8" s="1"/>
  <c r="T492" i="8"/>
  <c r="P437" i="8"/>
  <c r="BS238" i="11"/>
  <c r="U288" i="11"/>
  <c r="AG288" i="11" s="1"/>
  <c r="P326" i="12"/>
  <c r="Q326" i="12" s="1"/>
  <c r="S546" i="7"/>
  <c r="U546" i="7" s="1"/>
  <c r="V546" i="7"/>
  <c r="S1299" i="6"/>
  <c r="T274" i="12"/>
  <c r="N1138" i="6"/>
  <c r="O1138" i="6" s="1"/>
  <c r="N1236" i="6"/>
  <c r="P1236" i="6" s="1"/>
  <c r="P659" i="8"/>
  <c r="Q659" i="8" s="1"/>
  <c r="V713" i="7"/>
  <c r="R713" i="7"/>
  <c r="T713" i="7" s="1"/>
  <c r="R948" i="6"/>
  <c r="S716" i="8"/>
  <c r="T821" i="8"/>
  <c r="V603" i="8"/>
  <c r="R603" i="8"/>
  <c r="T603" i="8" s="1"/>
  <c r="P495" i="7"/>
  <c r="O1467" i="6"/>
  <c r="V933" i="7"/>
  <c r="R933" i="7"/>
  <c r="R932" i="8"/>
  <c r="V932" i="8"/>
  <c r="S933" i="7"/>
  <c r="S1043" i="8"/>
  <c r="S932" i="8"/>
  <c r="P1179" i="6"/>
  <c r="R162" i="12"/>
  <c r="T162" i="12" s="1"/>
  <c r="V162" i="12"/>
  <c r="V272" i="8"/>
  <c r="R272" i="8"/>
  <c r="T272" i="8" s="1"/>
  <c r="S821" i="7"/>
  <c r="V821" i="7"/>
  <c r="O1096" i="6"/>
  <c r="S328" i="7"/>
  <c r="P275" i="12"/>
  <c r="R1399" i="6"/>
  <c r="Q616" i="6"/>
  <c r="R616" i="6" s="1"/>
  <c r="V1099" i="8"/>
  <c r="R1099" i="8"/>
  <c r="T1099" i="8" s="1"/>
  <c r="P218" i="12"/>
  <c r="Q218" i="12" s="1"/>
  <c r="S218" i="12" s="1"/>
  <c r="V658" i="7"/>
  <c r="S658" i="7"/>
  <c r="U658" i="7" s="1"/>
  <c r="T436" i="8"/>
  <c r="R821" i="7"/>
  <c r="T494" i="7"/>
  <c r="U274" i="7"/>
  <c r="T874" i="8" l="1"/>
  <c r="U385" i="7"/>
  <c r="U603" i="8"/>
  <c r="U162" i="12"/>
  <c r="T932" i="8"/>
  <c r="BG240" i="11"/>
  <c r="BK240" i="11"/>
  <c r="BE240" i="11"/>
  <c r="BF240" i="11"/>
  <c r="BJ240" i="11"/>
  <c r="BI240" i="11"/>
  <c r="BH240" i="11"/>
  <c r="U328" i="7"/>
  <c r="P329" i="7" s="1"/>
  <c r="M239" i="11"/>
  <c r="R239" i="11" s="1"/>
  <c r="N239" i="11"/>
  <c r="B2232" i="6"/>
  <c r="E2231" i="6"/>
  <c r="D2231" i="6"/>
  <c r="T821" i="7"/>
  <c r="T769" i="7"/>
  <c r="T933" i="7"/>
  <c r="P1138" i="6"/>
  <c r="BT238" i="11"/>
  <c r="BU238" i="11" s="1"/>
  <c r="Q547" i="8"/>
  <c r="S547" i="8" s="1"/>
  <c r="T1043" i="8"/>
  <c r="H239" i="11"/>
  <c r="U716" i="8"/>
  <c r="S717" i="8" s="1"/>
  <c r="U717" i="8" s="1"/>
  <c r="S718" i="8" s="1"/>
  <c r="U718" i="8" s="1"/>
  <c r="S719" i="8" s="1"/>
  <c r="U719" i="8" s="1"/>
  <c r="S720" i="8" s="1"/>
  <c r="U720" i="8" s="1"/>
  <c r="S721" i="8" s="1"/>
  <c r="U721" i="8" s="1"/>
  <c r="I239" i="11"/>
  <c r="R326" i="12"/>
  <c r="S326" i="12"/>
  <c r="U326" i="12" s="1"/>
  <c r="V326" i="12"/>
  <c r="R988" i="8"/>
  <c r="V988" i="8"/>
  <c r="S988" i="8"/>
  <c r="R763" i="6"/>
  <c r="P329" i="8"/>
  <c r="Q329" i="8" s="1"/>
  <c r="U821" i="7"/>
  <c r="V659" i="8"/>
  <c r="R659" i="8"/>
  <c r="P221" i="8"/>
  <c r="Q493" i="8"/>
  <c r="P875" i="8"/>
  <c r="Q875" i="8" s="1"/>
  <c r="V875" i="8" s="1"/>
  <c r="Q604" i="7"/>
  <c r="P161" i="8"/>
  <c r="Q161" i="8" s="1"/>
  <c r="S161" i="8" s="1"/>
  <c r="S771" i="8"/>
  <c r="V771" i="8"/>
  <c r="V772" i="8" s="1"/>
  <c r="V773" i="8" s="1"/>
  <c r="V774" i="8" s="1"/>
  <c r="V775" i="8" s="1"/>
  <c r="V776" i="8" s="1"/>
  <c r="U217" i="7"/>
  <c r="U1099" i="8"/>
  <c r="P275" i="7"/>
  <c r="Q275" i="7" s="1"/>
  <c r="O1516" i="6"/>
  <c r="R384" i="8"/>
  <c r="V384" i="8"/>
  <c r="P659" i="7"/>
  <c r="P163" i="12"/>
  <c r="Q163" i="12" s="1"/>
  <c r="Q438" i="7"/>
  <c r="R438" i="7" s="1"/>
  <c r="O1384" i="6"/>
  <c r="O1236" i="6"/>
  <c r="T220" i="8"/>
  <c r="U1043" i="8"/>
  <c r="N1139" i="6"/>
  <c r="P1139" i="6" s="1"/>
  <c r="S616" i="6"/>
  <c r="Q617" i="6" s="1"/>
  <c r="R617" i="6" s="1"/>
  <c r="R771" i="8"/>
  <c r="P386" i="7"/>
  <c r="P547" i="7"/>
  <c r="N1468" i="6"/>
  <c r="P1468" i="6" s="1"/>
  <c r="R709" i="6"/>
  <c r="R164" i="7"/>
  <c r="V164" i="7"/>
  <c r="Y288" i="11"/>
  <c r="X289" i="11"/>
  <c r="AC288" i="11"/>
  <c r="AB288" i="11"/>
  <c r="AA288" i="11"/>
  <c r="AD288" i="11"/>
  <c r="V289" i="11"/>
  <c r="W289" i="11"/>
  <c r="AE288" i="11"/>
  <c r="Z288" i="11"/>
  <c r="S164" i="7"/>
  <c r="U713" i="7"/>
  <c r="Q883" i="7"/>
  <c r="P604" i="8"/>
  <c r="Q604" i="8" s="1"/>
  <c r="R604" i="8" s="1"/>
  <c r="U769" i="7"/>
  <c r="P1180" i="6"/>
  <c r="N1181" i="6" s="1"/>
  <c r="O1181" i="6" s="1"/>
  <c r="T546" i="7"/>
  <c r="U932" i="8"/>
  <c r="Q1400" i="6"/>
  <c r="S1400" i="6" s="1"/>
  <c r="Q822" i="8"/>
  <c r="Q275" i="12"/>
  <c r="Q1300" i="6"/>
  <c r="R1300" i="6" s="1"/>
  <c r="U272" i="8"/>
  <c r="Q495" i="7"/>
  <c r="Q949" i="6"/>
  <c r="S949" i="6" s="1"/>
  <c r="N1097" i="6"/>
  <c r="P1097" i="6" s="1"/>
  <c r="Q437" i="8"/>
  <c r="R437" i="8" s="1"/>
  <c r="BA291" i="11"/>
  <c r="BM291" i="11" s="1"/>
  <c r="S384" i="8"/>
  <c r="T658" i="7"/>
  <c r="T328" i="7"/>
  <c r="V218" i="12"/>
  <c r="R218" i="12"/>
  <c r="T218" i="12" s="1"/>
  <c r="S659" i="8"/>
  <c r="U933" i="7"/>
  <c r="T716" i="8"/>
  <c r="R717" i="8" s="1"/>
  <c r="T717" i="8" s="1"/>
  <c r="R718" i="8" s="1"/>
  <c r="T718" i="8" s="1"/>
  <c r="R719" i="8" s="1"/>
  <c r="T719" i="8" s="1"/>
  <c r="R720" i="8" s="1"/>
  <c r="T720" i="8" s="1"/>
  <c r="R721" i="8" s="1"/>
  <c r="T721" i="8" s="1"/>
  <c r="O1280" i="6"/>
  <c r="T385" i="7"/>
  <c r="V547" i="8" l="1"/>
  <c r="U659" i="8"/>
  <c r="R547" i="8"/>
  <c r="U547" i="8" s="1"/>
  <c r="P548" i="8" s="1"/>
  <c r="U988" i="8"/>
  <c r="U771" i="8"/>
  <c r="S772" i="8" s="1"/>
  <c r="U772" i="8" s="1"/>
  <c r="S773" i="8" s="1"/>
  <c r="U773" i="8" s="1"/>
  <c r="S774" i="8" s="1"/>
  <c r="U774" i="8" s="1"/>
  <c r="S775" i="8" s="1"/>
  <c r="U775" i="8" s="1"/>
  <c r="S776" i="8" s="1"/>
  <c r="U776" i="8" s="1"/>
  <c r="BW238" i="11"/>
  <c r="CC238" i="11" s="1"/>
  <c r="CB238" i="11"/>
  <c r="CA238" i="11"/>
  <c r="CE238" i="11" s="1"/>
  <c r="BZ238" i="11"/>
  <c r="BY238" i="11"/>
  <c r="CD238" i="11" s="1"/>
  <c r="CG238" i="11" s="1"/>
  <c r="BX238" i="11"/>
  <c r="U164" i="7"/>
  <c r="P165" i="7" s="1"/>
  <c r="BL240" i="11"/>
  <c r="AP241" i="11" s="1"/>
  <c r="AI241" i="11"/>
  <c r="P239" i="11"/>
  <c r="K239" i="11"/>
  <c r="Q239" i="11" s="1"/>
  <c r="L239" i="11"/>
  <c r="P722" i="8"/>
  <c r="W671" i="8" s="1"/>
  <c r="AJ241" i="11"/>
  <c r="C2232" i="6"/>
  <c r="O239" i="11"/>
  <c r="S239" i="11" s="1"/>
  <c r="T384" i="8"/>
  <c r="S1300" i="6"/>
  <c r="Q1301" i="6" s="1"/>
  <c r="R1301" i="6" s="1"/>
  <c r="U239" i="11"/>
  <c r="Q618" i="6"/>
  <c r="R618" i="6" s="1"/>
  <c r="R163" i="12"/>
  <c r="V163" i="12"/>
  <c r="S163" i="12"/>
  <c r="U163" i="12" s="1"/>
  <c r="R329" i="8"/>
  <c r="T329" i="8" s="1"/>
  <c r="V329" i="8"/>
  <c r="S604" i="7"/>
  <c r="V604" i="7"/>
  <c r="V495" i="7"/>
  <c r="S495" i="7"/>
  <c r="N1237" i="6"/>
  <c r="P1237" i="6" s="1"/>
  <c r="P822" i="7"/>
  <c r="Q822" i="7" s="1"/>
  <c r="S822" i="7"/>
  <c r="Q329" i="7"/>
  <c r="D289" i="11"/>
  <c r="N1517" i="6"/>
  <c r="P1517" i="6" s="1"/>
  <c r="Q386" i="7"/>
  <c r="N1281" i="6"/>
  <c r="P1281" i="6" s="1"/>
  <c r="Q659" i="7"/>
  <c r="R275" i="7"/>
  <c r="V275" i="7"/>
  <c r="T988" i="8"/>
  <c r="O1139" i="6"/>
  <c r="T659" i="8"/>
  <c r="S329" i="8"/>
  <c r="R949" i="6"/>
  <c r="R604" i="7"/>
  <c r="S875" i="8"/>
  <c r="R495" i="7"/>
  <c r="T495" i="7" s="1"/>
  <c r="P989" i="8"/>
  <c r="P273" i="8"/>
  <c r="Q273" i="8" s="1"/>
  <c r="S273" i="8"/>
  <c r="Q764" i="6"/>
  <c r="S764" i="6" s="1"/>
  <c r="S765" i="6" s="1"/>
  <c r="S766" i="6" s="1"/>
  <c r="S767" i="6" s="1"/>
  <c r="S768" i="6" s="1"/>
  <c r="S769" i="6" s="1"/>
  <c r="S770" i="6" s="1"/>
  <c r="S771" i="6" s="1"/>
  <c r="S772" i="6" s="1"/>
  <c r="S773" i="6" s="1"/>
  <c r="S774" i="6" s="1"/>
  <c r="AA673" i="8"/>
  <c r="U384" i="8"/>
  <c r="S438" i="7"/>
  <c r="U438" i="7" s="1"/>
  <c r="V438" i="7"/>
  <c r="S275" i="7"/>
  <c r="P327" i="12"/>
  <c r="R1400" i="6"/>
  <c r="R875" i="8"/>
  <c r="P660" i="8"/>
  <c r="P933" i="8"/>
  <c r="Q933" i="8" s="1"/>
  <c r="S933" i="8" s="1"/>
  <c r="P1044" i="8"/>
  <c r="Q1044" i="8" s="1"/>
  <c r="S1044" i="8"/>
  <c r="S493" i="8"/>
  <c r="V493" i="8"/>
  <c r="R493" i="8"/>
  <c r="T493" i="8" s="1"/>
  <c r="P934" i="7"/>
  <c r="Q934" i="7" s="1"/>
  <c r="S275" i="12"/>
  <c r="V275" i="12"/>
  <c r="C289" i="11"/>
  <c r="AF288" i="11"/>
  <c r="J289" i="11" s="1"/>
  <c r="V604" i="8"/>
  <c r="R275" i="12"/>
  <c r="S604" i="8"/>
  <c r="U604" i="8" s="1"/>
  <c r="T326" i="12"/>
  <c r="P1100" i="8"/>
  <c r="Q1100" i="8" s="1"/>
  <c r="T547" i="8"/>
  <c r="P714" i="7"/>
  <c r="Q714" i="7" s="1"/>
  <c r="S714" i="7" s="1"/>
  <c r="V161" i="8"/>
  <c r="R161" i="8"/>
  <c r="T161" i="8" s="1"/>
  <c r="O1097" i="6"/>
  <c r="O1468" i="6"/>
  <c r="Q547" i="7"/>
  <c r="R547" i="7" s="1"/>
  <c r="Q221" i="8"/>
  <c r="R221" i="8" s="1"/>
  <c r="P1181" i="6"/>
  <c r="N1182" i="6" s="1"/>
  <c r="O1182" i="6" s="1"/>
  <c r="N1385" i="6"/>
  <c r="P1385" i="6" s="1"/>
  <c r="P770" i="7"/>
  <c r="Q770" i="7" s="1"/>
  <c r="S770" i="7" s="1"/>
  <c r="BF291" i="11"/>
  <c r="BE291" i="11"/>
  <c r="BI291" i="11"/>
  <c r="BG291" i="11"/>
  <c r="BJ291" i="11"/>
  <c r="BH291" i="11"/>
  <c r="BK291" i="11"/>
  <c r="BC292" i="11"/>
  <c r="BB292" i="11"/>
  <c r="BD292" i="11"/>
  <c r="S822" i="8"/>
  <c r="V822" i="8"/>
  <c r="V883" i="7"/>
  <c r="V884" i="7" s="1"/>
  <c r="V885" i="7" s="1"/>
  <c r="V886" i="7" s="1"/>
  <c r="S883" i="7"/>
  <c r="T164" i="7"/>
  <c r="T771" i="8"/>
  <c r="R772" i="8" s="1"/>
  <c r="T772" i="8" s="1"/>
  <c r="R773" i="8" s="1"/>
  <c r="T773" i="8" s="1"/>
  <c r="R774" i="8" s="1"/>
  <c r="T774" i="8" s="1"/>
  <c r="R775" i="8" s="1"/>
  <c r="T775" i="8" s="1"/>
  <c r="R776" i="8" s="1"/>
  <c r="T776" i="8" s="1"/>
  <c r="P777" i="8" s="1"/>
  <c r="W726" i="8" s="1"/>
  <c r="V437" i="8"/>
  <c r="S437" i="8"/>
  <c r="U437" i="8" s="1"/>
  <c r="R822" i="8"/>
  <c r="R883" i="7"/>
  <c r="Q710" i="6"/>
  <c r="S710" i="6" s="1"/>
  <c r="S617" i="6"/>
  <c r="U218" i="12"/>
  <c r="P218" i="7"/>
  <c r="Q218" i="7" s="1"/>
  <c r="S218" i="7" s="1"/>
  <c r="T875" i="8" l="1"/>
  <c r="CF238" i="11"/>
  <c r="F289" i="11"/>
  <c r="AK241" i="11"/>
  <c r="E289" i="11"/>
  <c r="CJ238" i="11"/>
  <c r="AL241" i="11"/>
  <c r="T275" i="7"/>
  <c r="T239" i="11"/>
  <c r="X239" i="11"/>
  <c r="W239" i="11"/>
  <c r="V239" i="11"/>
  <c r="U275" i="12"/>
  <c r="P276" i="12" s="1"/>
  <c r="G289" i="11"/>
  <c r="U604" i="7"/>
  <c r="P605" i="7" s="1"/>
  <c r="AM241" i="11"/>
  <c r="R710" i="6"/>
  <c r="T822" i="8"/>
  <c r="CH238" i="11"/>
  <c r="B2233" i="6"/>
  <c r="E2232" i="6"/>
  <c r="D2232" i="6"/>
  <c r="CI238" i="11"/>
  <c r="U883" i="7"/>
  <c r="S884" i="7" s="1"/>
  <c r="U884" i="7" s="1"/>
  <c r="S885" i="7" s="1"/>
  <c r="U885" i="7" s="1"/>
  <c r="S886" i="7" s="1"/>
  <c r="U886" i="7" s="1"/>
  <c r="U770" i="7"/>
  <c r="Q327" i="12"/>
  <c r="P438" i="8"/>
  <c r="Q989" i="8"/>
  <c r="P385" i="8"/>
  <c r="Q385" i="8" s="1"/>
  <c r="S385" i="8" s="1"/>
  <c r="N1098" i="6"/>
  <c r="P1098" i="6" s="1"/>
  <c r="V329" i="7"/>
  <c r="S329" i="7"/>
  <c r="T163" i="12"/>
  <c r="U329" i="8"/>
  <c r="P219" i="12"/>
  <c r="Q219" i="12" s="1"/>
  <c r="S219" i="12" s="1"/>
  <c r="S1301" i="6"/>
  <c r="S618" i="6"/>
  <c r="Q619" i="6" s="1"/>
  <c r="R619" i="6" s="1"/>
  <c r="T437" i="8"/>
  <c r="T438" i="7"/>
  <c r="Q660" i="8"/>
  <c r="O1237" i="6"/>
  <c r="U161" i="8"/>
  <c r="H289" i="11"/>
  <c r="R764" i="6"/>
  <c r="R765" i="6" s="1"/>
  <c r="R766" i="6" s="1"/>
  <c r="R767" i="6" s="1"/>
  <c r="R768" i="6" s="1"/>
  <c r="R769" i="6" s="1"/>
  <c r="R770" i="6" s="1"/>
  <c r="R771" i="6" s="1"/>
  <c r="R772" i="6" s="1"/>
  <c r="R773" i="6" s="1"/>
  <c r="R774" i="6" s="1"/>
  <c r="Q775" i="6" s="1"/>
  <c r="B776" i="6" s="1"/>
  <c r="AI292" i="11"/>
  <c r="BL291" i="11"/>
  <c r="AP292" i="11" s="1"/>
  <c r="V934" i="7"/>
  <c r="R934" i="7"/>
  <c r="S934" i="7"/>
  <c r="T275" i="12"/>
  <c r="O1385" i="6"/>
  <c r="N1386" i="6" s="1"/>
  <c r="Q1343" i="6" s="1"/>
  <c r="V659" i="7"/>
  <c r="S659" i="7"/>
  <c r="P1182" i="6"/>
  <c r="R659" i="7"/>
  <c r="T659" i="7" s="1"/>
  <c r="Q950" i="6"/>
  <c r="S950" i="6" s="1"/>
  <c r="O1281" i="6"/>
  <c r="P439" i="7"/>
  <c r="S221" i="8"/>
  <c r="U221" i="8" s="1"/>
  <c r="V221" i="8"/>
  <c r="Q548" i="8"/>
  <c r="R548" i="8" s="1"/>
  <c r="V1044" i="8"/>
  <c r="R1044" i="8"/>
  <c r="T1044" i="8" s="1"/>
  <c r="U495" i="7"/>
  <c r="T604" i="8"/>
  <c r="AA728" i="8"/>
  <c r="R273" i="8"/>
  <c r="T273" i="8" s="1"/>
  <c r="V273" i="8"/>
  <c r="O1517" i="6"/>
  <c r="Q165" i="7"/>
  <c r="U493" i="8"/>
  <c r="P164" i="12"/>
  <c r="R218" i="7"/>
  <c r="T218" i="7" s="1"/>
  <c r="V218" i="7"/>
  <c r="U275" i="7"/>
  <c r="Q711" i="6"/>
  <c r="R711" i="6" s="1"/>
  <c r="R1100" i="8"/>
  <c r="V1100" i="8"/>
  <c r="N1140" i="6"/>
  <c r="P1140" i="6" s="1"/>
  <c r="S386" i="7"/>
  <c r="V386" i="7"/>
  <c r="N1469" i="6"/>
  <c r="P1469" i="6" s="1"/>
  <c r="R770" i="7"/>
  <c r="T770" i="7" s="1"/>
  <c r="V770" i="7"/>
  <c r="P605" i="8"/>
  <c r="Q1401" i="6"/>
  <c r="S1401" i="6" s="1"/>
  <c r="U875" i="8"/>
  <c r="U822" i="8"/>
  <c r="T604" i="7"/>
  <c r="R329" i="7"/>
  <c r="V714" i="7"/>
  <c r="R714" i="7"/>
  <c r="T714" i="7" s="1"/>
  <c r="R822" i="7"/>
  <c r="T822" i="7" s="1"/>
  <c r="V822" i="7"/>
  <c r="T883" i="7"/>
  <c r="R884" i="7" s="1"/>
  <c r="T884" i="7" s="1"/>
  <c r="R885" i="7" s="1"/>
  <c r="T885" i="7" s="1"/>
  <c r="R886" i="7" s="1"/>
  <c r="T886" i="7" s="1"/>
  <c r="AJ292" i="11"/>
  <c r="S547" i="7"/>
  <c r="U547" i="7" s="1"/>
  <c r="V547" i="7"/>
  <c r="S1100" i="8"/>
  <c r="V933" i="8"/>
  <c r="R933" i="8"/>
  <c r="T933" i="8" s="1"/>
  <c r="AB673" i="8"/>
  <c r="R386" i="7"/>
  <c r="U218" i="7" l="1"/>
  <c r="I289" i="11"/>
  <c r="P887" i="7"/>
  <c r="W836" i="7" s="1"/>
  <c r="U386" i="7"/>
  <c r="CS238" i="11"/>
  <c r="R950" i="6"/>
  <c r="Q951" i="6" s="1"/>
  <c r="S951" i="6" s="1"/>
  <c r="AG239" i="11"/>
  <c r="U934" i="7"/>
  <c r="P935" i="7" s="1"/>
  <c r="C2233" i="6"/>
  <c r="U933" i="8"/>
  <c r="P934" i="8" s="1"/>
  <c r="Q934" i="8" s="1"/>
  <c r="S934" i="8" s="1"/>
  <c r="AN241" i="11"/>
  <c r="AO241" i="11" s="1"/>
  <c r="AT241" i="11" s="1"/>
  <c r="AQ241" i="11"/>
  <c r="AW241" i="11" s="1"/>
  <c r="AR241" i="11"/>
  <c r="AU241" i="11"/>
  <c r="AY241" i="11" s="1"/>
  <c r="BD241" i="11" s="1"/>
  <c r="AV241" i="11"/>
  <c r="U329" i="7"/>
  <c r="P330" i="7" s="1"/>
  <c r="U1100" i="8"/>
  <c r="O289" i="11"/>
  <c r="S289" i="11" s="1"/>
  <c r="M289" i="11"/>
  <c r="R289" i="11" s="1"/>
  <c r="N289" i="11"/>
  <c r="P289" i="11"/>
  <c r="K289" i="11"/>
  <c r="Q289" i="11" s="1"/>
  <c r="L289" i="11"/>
  <c r="P1101" i="8"/>
  <c r="P387" i="7"/>
  <c r="U659" i="7"/>
  <c r="R1401" i="6"/>
  <c r="S327" i="12"/>
  <c r="V327" i="12"/>
  <c r="R327" i="12"/>
  <c r="T1100" i="8"/>
  <c r="S165" i="7"/>
  <c r="V165" i="7"/>
  <c r="N1238" i="6"/>
  <c r="P1238" i="6" s="1"/>
  <c r="R165" i="7"/>
  <c r="O1469" i="6"/>
  <c r="AM292" i="11"/>
  <c r="N1282" i="6"/>
  <c r="P1282" i="6" s="1"/>
  <c r="Q1302" i="6"/>
  <c r="R1302" i="6" s="1"/>
  <c r="P823" i="8"/>
  <c r="Q823" i="8" s="1"/>
  <c r="S823" i="8" s="1"/>
  <c r="AK292" i="11"/>
  <c r="O1140" i="6"/>
  <c r="U1044" i="8"/>
  <c r="Q439" i="7"/>
  <c r="S711" i="6"/>
  <c r="Q712" i="6" s="1"/>
  <c r="R712" i="6" s="1"/>
  <c r="Q438" i="8"/>
  <c r="R438" i="8" s="1"/>
  <c r="N1518" i="6"/>
  <c r="P1518" i="6" s="1"/>
  <c r="T386" i="7"/>
  <c r="AC673" i="8"/>
  <c r="T934" i="7"/>
  <c r="V385" i="8"/>
  <c r="R385" i="8"/>
  <c r="T385" i="8" s="1"/>
  <c r="P494" i="8"/>
  <c r="Q494" i="8" s="1"/>
  <c r="S494" i="8" s="1"/>
  <c r="Q164" i="12"/>
  <c r="P771" i="7"/>
  <c r="Q771" i="7" s="1"/>
  <c r="V548" i="8"/>
  <c r="S548" i="8"/>
  <c r="U548" i="8" s="1"/>
  <c r="AL292" i="11"/>
  <c r="Q276" i="12"/>
  <c r="R276" i="12" s="1"/>
  <c r="P222" i="8"/>
  <c r="T221" i="8"/>
  <c r="AB728" i="8"/>
  <c r="S619" i="6"/>
  <c r="P276" i="7"/>
  <c r="Q276" i="7" s="1"/>
  <c r="S276" i="7" s="1"/>
  <c r="P219" i="7"/>
  <c r="Q219" i="7" s="1"/>
  <c r="V219" i="7" s="1"/>
  <c r="T329" i="7"/>
  <c r="Q605" i="8"/>
  <c r="U822" i="7"/>
  <c r="R219" i="12"/>
  <c r="T219" i="12" s="1"/>
  <c r="V219" i="12"/>
  <c r="P876" i="8"/>
  <c r="Q876" i="8" s="1"/>
  <c r="S876" i="8" s="1"/>
  <c r="V989" i="8"/>
  <c r="S989" i="8"/>
  <c r="R989" i="8"/>
  <c r="P548" i="7"/>
  <c r="R1345" i="6"/>
  <c r="AA838" i="7"/>
  <c r="T547" i="7"/>
  <c r="P162" i="8"/>
  <c r="Q162" i="8" s="1"/>
  <c r="V660" i="8"/>
  <c r="S660" i="8"/>
  <c r="O1098" i="6"/>
  <c r="R660" i="8"/>
  <c r="T660" i="8" s="1"/>
  <c r="Q605" i="7"/>
  <c r="R605" i="7" s="1"/>
  <c r="P496" i="7"/>
  <c r="Q496" i="7" s="1"/>
  <c r="U273" i="8"/>
  <c r="P330" i="8"/>
  <c r="Q330" i="8" s="1"/>
  <c r="S330" i="8" s="1"/>
  <c r="N1183" i="6"/>
  <c r="O1183" i="6" s="1"/>
  <c r="U714" i="7"/>
  <c r="U327" i="12" l="1"/>
  <c r="T165" i="7"/>
  <c r="U989" i="8"/>
  <c r="AZ241" i="11"/>
  <c r="AS241" i="11"/>
  <c r="AX241" i="11" s="1"/>
  <c r="U289" i="11"/>
  <c r="CM238" i="11"/>
  <c r="CL238" i="11"/>
  <c r="CO238" i="11"/>
  <c r="CK238" i="11"/>
  <c r="CP238" i="11"/>
  <c r="CN238" i="11"/>
  <c r="CQ238" i="11"/>
  <c r="D2233" i="6"/>
  <c r="E2233" i="6"/>
  <c r="B2234" i="6"/>
  <c r="F42" i="6" s="1"/>
  <c r="Z239" i="11"/>
  <c r="AA239" i="11"/>
  <c r="AD239" i="11"/>
  <c r="AB239" i="11"/>
  <c r="AC239" i="11"/>
  <c r="Y239" i="11"/>
  <c r="AE239" i="11"/>
  <c r="V771" i="7"/>
  <c r="R771" i="7"/>
  <c r="S771" i="7"/>
  <c r="U771" i="7" s="1"/>
  <c r="S164" i="12"/>
  <c r="V164" i="12"/>
  <c r="Q222" i="8"/>
  <c r="P715" i="7"/>
  <c r="Q715" i="7" s="1"/>
  <c r="S715" i="7" s="1"/>
  <c r="U219" i="12"/>
  <c r="R162" i="8"/>
  <c r="V162" i="8"/>
  <c r="R330" i="8"/>
  <c r="T330" i="8" s="1"/>
  <c r="V330" i="8"/>
  <c r="S162" i="8"/>
  <c r="S1345" i="6"/>
  <c r="T989" i="8"/>
  <c r="V276" i="12"/>
  <c r="S276" i="12"/>
  <c r="U276" i="12" s="1"/>
  <c r="U385" i="8"/>
  <c r="P660" i="7"/>
  <c r="Q660" i="7" s="1"/>
  <c r="S660" i="7" s="1"/>
  <c r="V934" i="8"/>
  <c r="R951" i="6"/>
  <c r="R934" i="8"/>
  <c r="T934" i="8" s="1"/>
  <c r="N1099" i="6"/>
  <c r="P1099" i="6" s="1"/>
  <c r="Q1402" i="6"/>
  <c r="S1402" i="6" s="1"/>
  <c r="R494" i="8"/>
  <c r="T494" i="8" s="1"/>
  <c r="V494" i="8"/>
  <c r="O1238" i="6"/>
  <c r="T289" i="11"/>
  <c r="AB838" i="7"/>
  <c r="P823" i="7"/>
  <c r="Q823" i="7" s="1"/>
  <c r="S823" i="7" s="1"/>
  <c r="S438" i="8"/>
  <c r="U438" i="8" s="1"/>
  <c r="V438" i="8"/>
  <c r="N1141" i="6"/>
  <c r="P1141" i="6" s="1"/>
  <c r="S1302" i="6"/>
  <c r="Q1303" i="6" s="1"/>
  <c r="R1303" i="6" s="1"/>
  <c r="S605" i="7"/>
  <c r="U605" i="7" s="1"/>
  <c r="V605" i="7"/>
  <c r="S219" i="7"/>
  <c r="R219" i="7"/>
  <c r="T219" i="7" s="1"/>
  <c r="N1470" i="6"/>
  <c r="P1470" i="6" s="1"/>
  <c r="V276" i="7"/>
  <c r="R276" i="7"/>
  <c r="T276" i="7" s="1"/>
  <c r="AC728" i="8"/>
  <c r="W674" i="8"/>
  <c r="X674" i="8" s="1"/>
  <c r="U660" i="8"/>
  <c r="Q387" i="7"/>
  <c r="P274" i="8"/>
  <c r="Q274" i="8" s="1"/>
  <c r="P990" i="8"/>
  <c r="S605" i="8"/>
  <c r="V605" i="8"/>
  <c r="T438" i="8"/>
  <c r="AN292" i="11"/>
  <c r="AO292" i="11" s="1"/>
  <c r="U165" i="7"/>
  <c r="Q935" i="7"/>
  <c r="R935" i="7" s="1"/>
  <c r="S712" i="6"/>
  <c r="O1282" i="6"/>
  <c r="R496" i="7"/>
  <c r="V496" i="7"/>
  <c r="P328" i="12"/>
  <c r="R823" i="8"/>
  <c r="T823" i="8" s="1"/>
  <c r="V823" i="8"/>
  <c r="R164" i="12"/>
  <c r="O1518" i="6"/>
  <c r="Q548" i="7"/>
  <c r="R605" i="8"/>
  <c r="T605" i="8" s="1"/>
  <c r="S496" i="7"/>
  <c r="U496" i="7" s="1"/>
  <c r="Q330" i="7"/>
  <c r="P549" i="8"/>
  <c r="V439" i="7"/>
  <c r="S439" i="7"/>
  <c r="P1183" i="6"/>
  <c r="N1184" i="6" s="1"/>
  <c r="O1184" i="6" s="1"/>
  <c r="T548" i="8"/>
  <c r="V876" i="8"/>
  <c r="R876" i="8"/>
  <c r="T876" i="8" s="1"/>
  <c r="R439" i="7"/>
  <c r="Q1101" i="8"/>
  <c r="Q620" i="6"/>
  <c r="R620" i="6" s="1"/>
  <c r="P1045" i="8"/>
  <c r="Q1045" i="8" s="1"/>
  <c r="S1045" i="8" s="1"/>
  <c r="T327" i="12"/>
  <c r="U330" i="8" l="1"/>
  <c r="AG289" i="11"/>
  <c r="T164" i="12"/>
  <c r="R1402" i="6"/>
  <c r="CR238" i="11"/>
  <c r="BO239" i="11"/>
  <c r="BQ239" i="11"/>
  <c r="T162" i="8"/>
  <c r="BP239" i="11"/>
  <c r="C240" i="11"/>
  <c r="AF239" i="11"/>
  <c r="J240" i="11" s="1"/>
  <c r="E240" i="11"/>
  <c r="D240" i="11"/>
  <c r="F240" i="11"/>
  <c r="O1099" i="6"/>
  <c r="N1100" i="6" s="1"/>
  <c r="P1100" i="6" s="1"/>
  <c r="U276" i="7"/>
  <c r="P277" i="7" s="1"/>
  <c r="Q277" i="7" s="1"/>
  <c r="S277" i="7" s="1"/>
  <c r="BA241" i="11"/>
  <c r="BC241" i="11" s="1"/>
  <c r="BB241" i="11" s="1"/>
  <c r="BM241" i="11" s="1"/>
  <c r="U823" i="8"/>
  <c r="P824" i="8" s="1"/>
  <c r="Q824" i="8" s="1"/>
  <c r="S824" i="8" s="1"/>
  <c r="T439" i="7"/>
  <c r="AU292" i="11"/>
  <c r="AY292" i="11" s="1"/>
  <c r="AS292" i="11"/>
  <c r="AX292" i="11" s="1"/>
  <c r="AT292" i="11"/>
  <c r="AR292" i="11"/>
  <c r="AQ292" i="11"/>
  <c r="AW292" i="11" s="1"/>
  <c r="AZ292" i="11" s="1"/>
  <c r="AV292" i="11"/>
  <c r="Y289" i="11"/>
  <c r="X290" i="11"/>
  <c r="AD289" i="11"/>
  <c r="AA289" i="11"/>
  <c r="W290" i="11"/>
  <c r="Z289" i="11"/>
  <c r="V290" i="11"/>
  <c r="AC289" i="11"/>
  <c r="AB289" i="11"/>
  <c r="AE289" i="11"/>
  <c r="V387" i="7"/>
  <c r="S387" i="7"/>
  <c r="P331" i="8"/>
  <c r="Q331" i="8" s="1"/>
  <c r="R715" i="7"/>
  <c r="T715" i="7" s="1"/>
  <c r="V715" i="7"/>
  <c r="Y674" i="8"/>
  <c r="Z674" i="8"/>
  <c r="P386" i="8"/>
  <c r="Q386" i="8" s="1"/>
  <c r="U934" i="8"/>
  <c r="Q990" i="8"/>
  <c r="Q549" i="8"/>
  <c r="U605" i="8"/>
  <c r="AC674" i="8"/>
  <c r="Q1346" i="6"/>
  <c r="R1346" i="6" s="1"/>
  <c r="T605" i="7"/>
  <c r="N1519" i="6"/>
  <c r="P1519" i="6" s="1"/>
  <c r="T276" i="12"/>
  <c r="U876" i="8"/>
  <c r="U1045" i="8"/>
  <c r="U219" i="7"/>
  <c r="P166" i="7"/>
  <c r="Q166" i="7" s="1"/>
  <c r="S166" i="7"/>
  <c r="P220" i="12"/>
  <c r="Q220" i="12" s="1"/>
  <c r="R387" i="7"/>
  <c r="V1101" i="8"/>
  <c r="S1101" i="8"/>
  <c r="S620" i="6"/>
  <c r="S1303" i="6"/>
  <c r="R1101" i="8"/>
  <c r="R660" i="7"/>
  <c r="T660" i="7" s="1"/>
  <c r="V660" i="7"/>
  <c r="O1141" i="6"/>
  <c r="P439" i="8"/>
  <c r="Q439" i="8" s="1"/>
  <c r="R439" i="8" s="1"/>
  <c r="U494" i="8"/>
  <c r="W729" i="8"/>
  <c r="X729" i="8" s="1"/>
  <c r="AC729" i="8" s="1"/>
  <c r="U164" i="12"/>
  <c r="T496" i="7"/>
  <c r="N1283" i="6"/>
  <c r="P1283" i="6" s="1"/>
  <c r="U162" i="8"/>
  <c r="V274" i="8"/>
  <c r="R274" i="8"/>
  <c r="V823" i="7"/>
  <c r="R823" i="7"/>
  <c r="T823" i="7" s="1"/>
  <c r="T771" i="7"/>
  <c r="Q713" i="6"/>
  <c r="R713" i="6" s="1"/>
  <c r="Q328" i="12"/>
  <c r="R328" i="12" s="1"/>
  <c r="V1045" i="8"/>
  <c r="R1045" i="8"/>
  <c r="T1045" i="8" s="1"/>
  <c r="V330" i="7"/>
  <c r="S330" i="7"/>
  <c r="P606" i="7"/>
  <c r="Q952" i="6"/>
  <c r="S952" i="6" s="1"/>
  <c r="S953" i="6" s="1"/>
  <c r="S954" i="6" s="1"/>
  <c r="S955" i="6" s="1"/>
  <c r="S956" i="6" s="1"/>
  <c r="S957" i="6" s="1"/>
  <c r="S958" i="6" s="1"/>
  <c r="S959" i="6" s="1"/>
  <c r="S960" i="6" s="1"/>
  <c r="S961" i="6" s="1"/>
  <c r="S962" i="6" s="1"/>
  <c r="R330" i="7"/>
  <c r="P497" i="7"/>
  <c r="N1239" i="6"/>
  <c r="P1239" i="6" s="1"/>
  <c r="P661" i="8"/>
  <c r="Q661" i="8" s="1"/>
  <c r="S661" i="8"/>
  <c r="S222" i="8"/>
  <c r="V222" i="8"/>
  <c r="R222" i="8"/>
  <c r="P277" i="12"/>
  <c r="V548" i="7"/>
  <c r="S548" i="7"/>
  <c r="R548" i="7"/>
  <c r="T548" i="7" s="1"/>
  <c r="Q1403" i="6"/>
  <c r="S1403" i="6" s="1"/>
  <c r="P772" i="7"/>
  <c r="P1184" i="6"/>
  <c r="U439" i="7"/>
  <c r="S935" i="7"/>
  <c r="U935" i="7" s="1"/>
  <c r="V935" i="7"/>
  <c r="S274" i="8"/>
  <c r="O1470" i="6"/>
  <c r="AC838" i="7"/>
  <c r="W839" i="7" s="1"/>
  <c r="X839" i="7" s="1"/>
  <c r="T274" i="8" l="1"/>
  <c r="U387" i="7"/>
  <c r="T222" i="8"/>
  <c r="R331" i="8"/>
  <c r="V331" i="8"/>
  <c r="V277" i="7"/>
  <c r="U330" i="7"/>
  <c r="BV239" i="11"/>
  <c r="BR239" i="11"/>
  <c r="BG241" i="11"/>
  <c r="BI241" i="11"/>
  <c r="BF241" i="11"/>
  <c r="BE241" i="11"/>
  <c r="BH241" i="11"/>
  <c r="BK241" i="11"/>
  <c r="BJ241" i="11"/>
  <c r="H240" i="11"/>
  <c r="U1101" i="8"/>
  <c r="P1102" i="8" s="1"/>
  <c r="G240" i="11"/>
  <c r="BS239" i="11"/>
  <c r="R952" i="6"/>
  <c r="R953" i="6" s="1"/>
  <c r="R954" i="6" s="1"/>
  <c r="R955" i="6" s="1"/>
  <c r="R956" i="6" s="1"/>
  <c r="R957" i="6" s="1"/>
  <c r="R958" i="6" s="1"/>
  <c r="R959" i="6" s="1"/>
  <c r="R960" i="6" s="1"/>
  <c r="R961" i="6" s="1"/>
  <c r="R962" i="6" s="1"/>
  <c r="Q963" i="6" s="1"/>
  <c r="B964" i="6" s="1"/>
  <c r="C26" i="6" s="1"/>
  <c r="AB674" i="8"/>
  <c r="W675" i="8" s="1"/>
  <c r="Y839" i="7"/>
  <c r="Z839" i="7"/>
  <c r="AB839" i="7" s="1"/>
  <c r="T331" i="8"/>
  <c r="Q606" i="7"/>
  <c r="R606" i="7" s="1"/>
  <c r="P936" i="7"/>
  <c r="P440" i="7"/>
  <c r="Q440" i="7" s="1"/>
  <c r="S440" i="7" s="1"/>
  <c r="P495" i="8"/>
  <c r="Q495" i="8" s="1"/>
  <c r="S495" i="8"/>
  <c r="P388" i="7"/>
  <c r="C290" i="11"/>
  <c r="AF289" i="11"/>
  <c r="J290" i="11" s="1"/>
  <c r="T387" i="7"/>
  <c r="R220" i="12"/>
  <c r="T220" i="12" s="1"/>
  <c r="V220" i="12"/>
  <c r="N1142" i="6"/>
  <c r="P1142" i="6" s="1"/>
  <c r="P1046" i="8"/>
  <c r="Q1046" i="8" s="1"/>
  <c r="Q714" i="6"/>
  <c r="R714" i="6" s="1"/>
  <c r="Q772" i="7"/>
  <c r="O1100" i="6"/>
  <c r="V439" i="8"/>
  <c r="V386" i="8"/>
  <c r="R386" i="8"/>
  <c r="S439" i="8"/>
  <c r="U439" i="8" s="1"/>
  <c r="S386" i="8"/>
  <c r="S220" i="12"/>
  <c r="R824" i="8"/>
  <c r="T824" i="8" s="1"/>
  <c r="R1403" i="6"/>
  <c r="Q621" i="6"/>
  <c r="R621" i="6" s="1"/>
  <c r="AA674" i="8"/>
  <c r="P606" i="8"/>
  <c r="Q606" i="8" s="1"/>
  <c r="V824" i="8"/>
  <c r="S713" i="6"/>
  <c r="Q277" i="12"/>
  <c r="R277" i="12" s="1"/>
  <c r="U548" i="7"/>
  <c r="BA292" i="11"/>
  <c r="BM292" i="11" s="1"/>
  <c r="S990" i="8"/>
  <c r="V990" i="8"/>
  <c r="R990" i="8"/>
  <c r="T990" i="8" s="1"/>
  <c r="N1471" i="6"/>
  <c r="P1471" i="6" s="1"/>
  <c r="T330" i="7"/>
  <c r="T935" i="7"/>
  <c r="Q497" i="7"/>
  <c r="R497" i="7" s="1"/>
  <c r="T1101" i="8"/>
  <c r="S331" i="8"/>
  <c r="U331" i="8" s="1"/>
  <c r="N1185" i="6"/>
  <c r="O1185" i="6" s="1"/>
  <c r="Y729" i="8"/>
  <c r="Z729" i="8"/>
  <c r="AB729" i="8" s="1"/>
  <c r="F290" i="11"/>
  <c r="D290" i="11"/>
  <c r="S1346" i="6"/>
  <c r="Q1347" i="6" s="1"/>
  <c r="R1347" i="6" s="1"/>
  <c r="P331" i="7"/>
  <c r="P935" i="8"/>
  <c r="Q935" i="8" s="1"/>
  <c r="U222" i="8"/>
  <c r="P877" i="8"/>
  <c r="Q877" i="8" s="1"/>
  <c r="S877" i="8" s="1"/>
  <c r="V661" i="8"/>
  <c r="R661" i="8"/>
  <c r="T661" i="8" s="1"/>
  <c r="V549" i="8"/>
  <c r="S549" i="8"/>
  <c r="O1239" i="6"/>
  <c r="P163" i="8"/>
  <c r="Q163" i="8" s="1"/>
  <c r="R549" i="8"/>
  <c r="T549" i="8" s="1"/>
  <c r="AC839" i="7"/>
  <c r="U823" i="7"/>
  <c r="R277" i="7"/>
  <c r="T277" i="7" s="1"/>
  <c r="R166" i="7"/>
  <c r="T166" i="7" s="1"/>
  <c r="V166" i="7"/>
  <c r="U715" i="7"/>
  <c r="Q1304" i="6"/>
  <c r="R1304" i="6" s="1"/>
  <c r="O1283" i="6"/>
  <c r="U274" i="8"/>
  <c r="S328" i="12"/>
  <c r="U328" i="12" s="1"/>
  <c r="V328" i="12"/>
  <c r="P165" i="12"/>
  <c r="Q165" i="12" s="1"/>
  <c r="S165" i="12" s="1"/>
  <c r="U660" i="7"/>
  <c r="P220" i="7"/>
  <c r="Q220" i="7" s="1"/>
  <c r="O1519" i="6"/>
  <c r="U166" i="7" l="1"/>
  <c r="I240" i="11"/>
  <c r="S1046" i="8"/>
  <c r="V1046" i="8"/>
  <c r="BL241" i="11"/>
  <c r="AP242" i="11" s="1"/>
  <c r="AI242" i="11"/>
  <c r="AK242" i="11"/>
  <c r="G290" i="11"/>
  <c r="T386" i="8"/>
  <c r="C23" i="6"/>
  <c r="S1304" i="6"/>
  <c r="Q1305" i="6" s="1"/>
  <c r="S1305" i="6" s="1"/>
  <c r="BU239" i="11"/>
  <c r="CB239" i="11" s="1"/>
  <c r="BZ239" i="11"/>
  <c r="C14" i="6"/>
  <c r="U824" i="8"/>
  <c r="P240" i="11"/>
  <c r="L240" i="11"/>
  <c r="AJ242" i="11"/>
  <c r="AL242" i="11"/>
  <c r="N240" i="11"/>
  <c r="U277" i="7"/>
  <c r="P278" i="7" s="1"/>
  <c r="Q278" i="7" s="1"/>
  <c r="BT239" i="11"/>
  <c r="P167" i="7"/>
  <c r="Q167" i="7" s="1"/>
  <c r="R606" i="8"/>
  <c r="V606" i="8"/>
  <c r="V220" i="7"/>
  <c r="R220" i="7"/>
  <c r="P825" i="8"/>
  <c r="Q825" i="8" s="1"/>
  <c r="N1520" i="6"/>
  <c r="P1520" i="6" s="1"/>
  <c r="S606" i="8"/>
  <c r="U661" i="8"/>
  <c r="W730" i="8"/>
  <c r="N1101" i="6"/>
  <c r="P1101" i="6" s="1"/>
  <c r="V772" i="7"/>
  <c r="S772" i="7"/>
  <c r="Q388" i="7"/>
  <c r="R388" i="7" s="1"/>
  <c r="BF292" i="11"/>
  <c r="BE292" i="11"/>
  <c r="BD293" i="11"/>
  <c r="BC293" i="11"/>
  <c r="BB293" i="11"/>
  <c r="BJ292" i="11"/>
  <c r="BH292" i="11"/>
  <c r="BG292" i="11"/>
  <c r="BI292" i="11"/>
  <c r="BK292" i="11"/>
  <c r="R163" i="8"/>
  <c r="V163" i="8"/>
  <c r="Q1102" i="8"/>
  <c r="R1102" i="8" s="1"/>
  <c r="S163" i="8"/>
  <c r="U163" i="8" s="1"/>
  <c r="S1347" i="6"/>
  <c r="Q1348" i="6" s="1"/>
  <c r="R1348" i="6" s="1"/>
  <c r="U220" i="12"/>
  <c r="U386" i="8"/>
  <c r="T439" i="8"/>
  <c r="R440" i="7"/>
  <c r="T440" i="7" s="1"/>
  <c r="V440" i="7"/>
  <c r="P661" i="7"/>
  <c r="Q661" i="7" s="1"/>
  <c r="S661" i="7"/>
  <c r="AA729" i="8"/>
  <c r="S621" i="6"/>
  <c r="V935" i="8"/>
  <c r="R935" i="8"/>
  <c r="U990" i="8"/>
  <c r="S935" i="8"/>
  <c r="R1046" i="8"/>
  <c r="T1046" i="8" s="1"/>
  <c r="P329" i="12"/>
  <c r="Q1404" i="6"/>
  <c r="S1404" i="6" s="1"/>
  <c r="V606" i="7"/>
  <c r="S606" i="7"/>
  <c r="U606" i="7" s="1"/>
  <c r="P275" i="8"/>
  <c r="Q275" i="8" s="1"/>
  <c r="S275" i="8" s="1"/>
  <c r="V277" i="12"/>
  <c r="S277" i="12"/>
  <c r="U277" i="12" s="1"/>
  <c r="E290" i="11"/>
  <c r="N1284" i="6"/>
  <c r="P1284" i="6" s="1"/>
  <c r="N1240" i="6"/>
  <c r="P1240" i="6" s="1"/>
  <c r="U549" i="8"/>
  <c r="Q936" i="7"/>
  <c r="S714" i="6"/>
  <c r="Q715" i="6" s="1"/>
  <c r="R715" i="6" s="1"/>
  <c r="P440" i="8"/>
  <c r="O1142" i="6"/>
  <c r="W840" i="7"/>
  <c r="O1471" i="6"/>
  <c r="V877" i="8"/>
  <c r="R877" i="8"/>
  <c r="T877" i="8" s="1"/>
  <c r="R495" i="8"/>
  <c r="T495" i="8" s="1"/>
  <c r="V495" i="8"/>
  <c r="S220" i="7"/>
  <c r="P223" i="8"/>
  <c r="Q223" i="8" s="1"/>
  <c r="X675" i="8"/>
  <c r="Y675" i="8" s="1"/>
  <c r="P824" i="7"/>
  <c r="Q824" i="7" s="1"/>
  <c r="S824" i="7" s="1"/>
  <c r="R165" i="12"/>
  <c r="T165" i="12" s="1"/>
  <c r="V165" i="12"/>
  <c r="R772" i="7"/>
  <c r="P332" i="8"/>
  <c r="Q332" i="8" s="1"/>
  <c r="V332" i="8" s="1"/>
  <c r="P549" i="7"/>
  <c r="Q549" i="7" s="1"/>
  <c r="S549" i="7"/>
  <c r="S497" i="7"/>
  <c r="U497" i="7" s="1"/>
  <c r="V497" i="7"/>
  <c r="P716" i="7"/>
  <c r="Q716" i="7" s="1"/>
  <c r="S716" i="7" s="1"/>
  <c r="Q331" i="7"/>
  <c r="T328" i="12"/>
  <c r="P1185" i="6"/>
  <c r="N1186" i="6" s="1"/>
  <c r="O1186" i="6" s="1"/>
  <c r="AA839" i="7"/>
  <c r="U606" i="8" l="1"/>
  <c r="AM242" i="11"/>
  <c r="CA239" i="11"/>
  <c r="CE239" i="11" s="1"/>
  <c r="BW239" i="11"/>
  <c r="CC239" i="11" s="1"/>
  <c r="M240" i="11"/>
  <c r="R240" i="11" s="1"/>
  <c r="U240" i="11" s="1"/>
  <c r="X240" i="11" s="1"/>
  <c r="K240" i="11"/>
  <c r="Q240" i="11" s="1"/>
  <c r="V240" i="11" s="1"/>
  <c r="U220" i="7"/>
  <c r="T772" i="7"/>
  <c r="T240" i="11"/>
  <c r="O240" i="11"/>
  <c r="S240" i="11" s="1"/>
  <c r="T497" i="7"/>
  <c r="BX239" i="11"/>
  <c r="CF239" i="11" s="1"/>
  <c r="BY239" i="11"/>
  <c r="CD239" i="11" s="1"/>
  <c r="CG239" i="11" s="1"/>
  <c r="AN242" i="11"/>
  <c r="AO242" i="11" s="1"/>
  <c r="AU242" i="11" s="1"/>
  <c r="AY242" i="11" s="1"/>
  <c r="BD242" i="11" s="1"/>
  <c r="T935" i="8"/>
  <c r="V278" i="7"/>
  <c r="V279" i="7" s="1"/>
  <c r="V280" i="7" s="1"/>
  <c r="V281" i="7" s="1"/>
  <c r="R278" i="7"/>
  <c r="S278" i="7"/>
  <c r="V825" i="8"/>
  <c r="R825" i="8"/>
  <c r="S825" i="8"/>
  <c r="U825" i="8" s="1"/>
  <c r="R167" i="7"/>
  <c r="V167" i="7"/>
  <c r="S167" i="7"/>
  <c r="U167" i="7" s="1"/>
  <c r="P221" i="7"/>
  <c r="V936" i="7"/>
  <c r="S936" i="7"/>
  <c r="P164" i="8"/>
  <c r="V824" i="7"/>
  <c r="R824" i="7"/>
  <c r="T824" i="7" s="1"/>
  <c r="H290" i="11"/>
  <c r="I290" i="11" s="1"/>
  <c r="Q440" i="8"/>
  <c r="R440" i="8" s="1"/>
  <c r="U1046" i="8"/>
  <c r="S331" i="7"/>
  <c r="V331" i="7"/>
  <c r="R331" i="7"/>
  <c r="T331" i="7" s="1"/>
  <c r="V716" i="7"/>
  <c r="R716" i="7"/>
  <c r="T716" i="7" s="1"/>
  <c r="R936" i="7"/>
  <c r="S1348" i="6"/>
  <c r="Q498" i="7"/>
  <c r="V498" i="7" s="1"/>
  <c r="V499" i="7" s="1"/>
  <c r="V500" i="7" s="1"/>
  <c r="V501" i="7" s="1"/>
  <c r="R1404" i="6"/>
  <c r="U165" i="12"/>
  <c r="S388" i="7"/>
  <c r="U388" i="7" s="1"/>
  <c r="S389" i="7" s="1"/>
  <c r="U389" i="7" s="1"/>
  <c r="S390" i="7" s="1"/>
  <c r="U390" i="7" s="1"/>
  <c r="S391" i="7" s="1"/>
  <c r="U391" i="7" s="1"/>
  <c r="V388" i="7"/>
  <c r="V389" i="7" s="1"/>
  <c r="V390" i="7" s="1"/>
  <c r="V391" i="7" s="1"/>
  <c r="O1240" i="6"/>
  <c r="O1284" i="6"/>
  <c r="U440" i="7"/>
  <c r="P1186" i="6"/>
  <c r="N1187" i="6" s="1"/>
  <c r="O1187" i="6" s="1"/>
  <c r="P278" i="12"/>
  <c r="U935" i="8"/>
  <c r="U772" i="7"/>
  <c r="T277" i="12"/>
  <c r="O1101" i="6"/>
  <c r="P607" i="7"/>
  <c r="P221" i="12"/>
  <c r="Q221" i="12" s="1"/>
  <c r="S221" i="12"/>
  <c r="P498" i="7"/>
  <c r="R332" i="8"/>
  <c r="N1472" i="6"/>
  <c r="P1472" i="6" s="1"/>
  <c r="R1305" i="6"/>
  <c r="X730" i="8"/>
  <c r="Y730" i="8" s="1"/>
  <c r="V549" i="7"/>
  <c r="R549" i="7"/>
  <c r="T549" i="7" s="1"/>
  <c r="T220" i="7"/>
  <c r="V661" i="7"/>
  <c r="R661" i="7"/>
  <c r="T661" i="7" s="1"/>
  <c r="Z675" i="8"/>
  <c r="AB675" i="8" s="1"/>
  <c r="AC675" i="8"/>
  <c r="O1520" i="6"/>
  <c r="U495" i="8"/>
  <c r="R223" i="8"/>
  <c r="V223" i="8"/>
  <c r="V224" i="8" s="1"/>
  <c r="V225" i="8" s="1"/>
  <c r="V226" i="8" s="1"/>
  <c r="P387" i="8"/>
  <c r="Q387" i="8" s="1"/>
  <c r="S387" i="8"/>
  <c r="AJ293" i="11"/>
  <c r="T606" i="7"/>
  <c r="V275" i="8"/>
  <c r="R275" i="8"/>
  <c r="T275" i="8" s="1"/>
  <c r="S715" i="6"/>
  <c r="Q716" i="6" s="1"/>
  <c r="R716" i="6" s="1"/>
  <c r="Q622" i="6"/>
  <c r="R622" i="6" s="1"/>
  <c r="P550" i="8"/>
  <c r="Q550" i="8" s="1"/>
  <c r="S550" i="8" s="1"/>
  <c r="BL292" i="11"/>
  <c r="AP293" i="11" s="1"/>
  <c r="AI293" i="11"/>
  <c r="V1102" i="8"/>
  <c r="S1102" i="8"/>
  <c r="U1102" i="8" s="1"/>
  <c r="P662" i="8"/>
  <c r="Q662" i="8" s="1"/>
  <c r="S662" i="8"/>
  <c r="P607" i="8"/>
  <c r="T163" i="8"/>
  <c r="T606" i="8"/>
  <c r="X840" i="7"/>
  <c r="Y840" i="7" s="1"/>
  <c r="Q329" i="12"/>
  <c r="S332" i="8"/>
  <c r="S223" i="8"/>
  <c r="N1143" i="6"/>
  <c r="P1143" i="6" s="1"/>
  <c r="P991" i="8"/>
  <c r="Q991" i="8" s="1"/>
  <c r="S991" i="8" s="1"/>
  <c r="U877" i="8"/>
  <c r="AM293" i="11" l="1"/>
  <c r="AQ242" i="11"/>
  <c r="AW242" i="11" s="1"/>
  <c r="W240" i="11"/>
  <c r="T278" i="7"/>
  <c r="R279" i="7" s="1"/>
  <c r="T279" i="7" s="1"/>
  <c r="R280" i="7" s="1"/>
  <c r="T280" i="7" s="1"/>
  <c r="R281" i="7" s="1"/>
  <c r="T281" i="7" s="1"/>
  <c r="AT242" i="11"/>
  <c r="U936" i="7"/>
  <c r="AR242" i="11"/>
  <c r="CI239" i="11"/>
  <c r="CH239" i="11"/>
  <c r="AV242" i="11"/>
  <c r="AA675" i="8"/>
  <c r="T223" i="8"/>
  <c r="R224" i="8" s="1"/>
  <c r="T224" i="8" s="1"/>
  <c r="R225" i="8" s="1"/>
  <c r="T225" i="8" s="1"/>
  <c r="R226" i="8" s="1"/>
  <c r="T226" i="8" s="1"/>
  <c r="AG240" i="11"/>
  <c r="AS242" i="11"/>
  <c r="AX242" i="11" s="1"/>
  <c r="T332" i="8"/>
  <c r="AZ242" i="11"/>
  <c r="S622" i="6"/>
  <c r="CJ239" i="11"/>
  <c r="O290" i="11"/>
  <c r="S290" i="11" s="1"/>
  <c r="N290" i="11"/>
  <c r="P290" i="11"/>
  <c r="M290" i="11"/>
  <c r="R290" i="11" s="1"/>
  <c r="U290" i="11" s="1"/>
  <c r="K290" i="11"/>
  <c r="Q290" i="11" s="1"/>
  <c r="L290" i="11"/>
  <c r="P1047" i="8"/>
  <c r="Q1047" i="8" s="1"/>
  <c r="U991" i="8"/>
  <c r="O1472" i="6"/>
  <c r="Q278" i="12"/>
  <c r="P937" i="7"/>
  <c r="V221" i="12"/>
  <c r="R221" i="12"/>
  <c r="T221" i="12" s="1"/>
  <c r="R662" i="8"/>
  <c r="T662" i="8" s="1"/>
  <c r="V662" i="8"/>
  <c r="V991" i="8"/>
  <c r="R991" i="8"/>
  <c r="T991" i="8" s="1"/>
  <c r="T167" i="7"/>
  <c r="N1521" i="6"/>
  <c r="P1521" i="6" s="1"/>
  <c r="S498" i="7"/>
  <c r="Q1349" i="6"/>
  <c r="R1349" i="6" s="1"/>
  <c r="V329" i="12"/>
  <c r="S329" i="12"/>
  <c r="P936" i="8"/>
  <c r="Q936" i="8" s="1"/>
  <c r="S936" i="8" s="1"/>
  <c r="P166" i="12"/>
  <c r="Q166" i="12" s="1"/>
  <c r="V440" i="8"/>
  <c r="S440" i="8"/>
  <c r="U440" i="8" s="1"/>
  <c r="O1143" i="6"/>
  <c r="P773" i="7"/>
  <c r="Q773" i="7" s="1"/>
  <c r="W676" i="8"/>
  <c r="R329" i="12"/>
  <c r="AK293" i="11"/>
  <c r="Q221" i="7"/>
  <c r="R221" i="7" s="1"/>
  <c r="AL293" i="11"/>
  <c r="P826" i="8"/>
  <c r="V387" i="8"/>
  <c r="R387" i="8"/>
  <c r="T387" i="8" s="1"/>
  <c r="S716" i="6"/>
  <c r="N1241" i="6"/>
  <c r="P1241" i="6" s="1"/>
  <c r="P168" i="7"/>
  <c r="P496" i="8"/>
  <c r="Q496" i="8" s="1"/>
  <c r="S496" i="8"/>
  <c r="Q1405" i="6"/>
  <c r="S1405" i="6" s="1"/>
  <c r="P1103" i="8"/>
  <c r="R498" i="7"/>
  <c r="U223" i="8"/>
  <c r="S224" i="8" s="1"/>
  <c r="U224" i="8" s="1"/>
  <c r="S225" i="8" s="1"/>
  <c r="U225" i="8" s="1"/>
  <c r="S226" i="8" s="1"/>
  <c r="U226" i="8" s="1"/>
  <c r="Q607" i="7"/>
  <c r="U332" i="8"/>
  <c r="T936" i="7"/>
  <c r="AC840" i="7"/>
  <c r="Z840" i="7"/>
  <c r="AB840" i="7" s="1"/>
  <c r="T825" i="8"/>
  <c r="Q164" i="8"/>
  <c r="R164" i="8" s="1"/>
  <c r="Q623" i="6"/>
  <c r="S623" i="6" s="1"/>
  <c r="S624" i="6" s="1"/>
  <c r="S625" i="6" s="1"/>
  <c r="S626" i="6" s="1"/>
  <c r="S627" i="6" s="1"/>
  <c r="S628" i="6" s="1"/>
  <c r="S629" i="6" s="1"/>
  <c r="S630" i="6" s="1"/>
  <c r="S631" i="6" s="1"/>
  <c r="S632" i="6" s="1"/>
  <c r="S633" i="6" s="1"/>
  <c r="N1285" i="6"/>
  <c r="P1285" i="6" s="1"/>
  <c r="AC730" i="8"/>
  <c r="Z730" i="8"/>
  <c r="AB730" i="8" s="1"/>
  <c r="T1102" i="8"/>
  <c r="U278" i="7"/>
  <c r="S279" i="7" s="1"/>
  <c r="U279" i="7" s="1"/>
  <c r="S280" i="7" s="1"/>
  <c r="U280" i="7" s="1"/>
  <c r="S281" i="7" s="1"/>
  <c r="U281" i="7" s="1"/>
  <c r="P282" i="7" s="1"/>
  <c r="W231" i="7" s="1"/>
  <c r="V550" i="8"/>
  <c r="R550" i="8"/>
  <c r="T550" i="8" s="1"/>
  <c r="U661" i="7"/>
  <c r="P441" i="7"/>
  <c r="Q441" i="7" s="1"/>
  <c r="S441" i="7" s="1"/>
  <c r="U824" i="7"/>
  <c r="T388" i="7"/>
  <c r="R389" i="7" s="1"/>
  <c r="T389" i="7" s="1"/>
  <c r="R390" i="7" s="1"/>
  <c r="T390" i="7" s="1"/>
  <c r="R391" i="7" s="1"/>
  <c r="T391" i="7" s="1"/>
  <c r="P392" i="7" s="1"/>
  <c r="W341" i="7" s="1"/>
  <c r="P1187" i="6"/>
  <c r="Q607" i="8"/>
  <c r="N1102" i="6"/>
  <c r="P1102" i="6" s="1"/>
  <c r="P878" i="8"/>
  <c r="Q878" i="8" s="1"/>
  <c r="S878" i="8" s="1"/>
  <c r="U716" i="7"/>
  <c r="Q1306" i="6"/>
  <c r="S1306" i="6" s="1"/>
  <c r="U549" i="7"/>
  <c r="U331" i="7"/>
  <c r="U275" i="8"/>
  <c r="U550" i="8" l="1"/>
  <c r="AC240" i="11"/>
  <c r="Y240" i="11"/>
  <c r="AB240" i="11"/>
  <c r="AA240" i="11"/>
  <c r="Z240" i="11"/>
  <c r="AE240" i="11"/>
  <c r="AD240" i="11"/>
  <c r="T329" i="12"/>
  <c r="P227" i="8"/>
  <c r="W176" i="8" s="1"/>
  <c r="AA178" i="8" s="1"/>
  <c r="X676" i="8"/>
  <c r="AC676" i="8" s="1"/>
  <c r="CS239" i="11"/>
  <c r="T498" i="7"/>
  <c r="R499" i="7" s="1"/>
  <c r="T499" i="7" s="1"/>
  <c r="R500" i="7" s="1"/>
  <c r="T500" i="7" s="1"/>
  <c r="R501" i="7" s="1"/>
  <c r="T501" i="7" s="1"/>
  <c r="BA242" i="11"/>
  <c r="BC242" i="11" s="1"/>
  <c r="T164" i="8"/>
  <c r="W731" i="8"/>
  <c r="W841" i="7"/>
  <c r="AA343" i="7"/>
  <c r="U221" i="12"/>
  <c r="R773" i="7"/>
  <c r="V773" i="7"/>
  <c r="V774" i="7" s="1"/>
  <c r="V775" i="7" s="1"/>
  <c r="V776" i="7" s="1"/>
  <c r="S773" i="7"/>
  <c r="U773" i="7" s="1"/>
  <c r="S774" i="7" s="1"/>
  <c r="U774" i="7" s="1"/>
  <c r="S775" i="7" s="1"/>
  <c r="U775" i="7" s="1"/>
  <c r="S776" i="7" s="1"/>
  <c r="U776" i="7" s="1"/>
  <c r="P550" i="7"/>
  <c r="Q550" i="7" s="1"/>
  <c r="S550" i="7" s="1"/>
  <c r="U498" i="7"/>
  <c r="S499" i="7" s="1"/>
  <c r="U499" i="7" s="1"/>
  <c r="S500" i="7" s="1"/>
  <c r="U500" i="7" s="1"/>
  <c r="S501" i="7" s="1"/>
  <c r="U501" i="7" s="1"/>
  <c r="R623" i="6"/>
  <c r="R624" i="6" s="1"/>
  <c r="R625" i="6" s="1"/>
  <c r="R626" i="6" s="1"/>
  <c r="R627" i="6" s="1"/>
  <c r="R628" i="6" s="1"/>
  <c r="R629" i="6" s="1"/>
  <c r="R630" i="6" s="1"/>
  <c r="R631" i="6" s="1"/>
  <c r="R632" i="6" s="1"/>
  <c r="R633" i="6" s="1"/>
  <c r="Q634" i="6" s="1"/>
  <c r="B635" i="6" s="1"/>
  <c r="T290" i="11"/>
  <c r="R1306" i="6"/>
  <c r="P333" i="8"/>
  <c r="Q333" i="8" s="1"/>
  <c r="S333" i="8" s="1"/>
  <c r="R1405" i="6"/>
  <c r="P662" i="7"/>
  <c r="Q662" i="7" s="1"/>
  <c r="R878" i="8"/>
  <c r="T878" i="8" s="1"/>
  <c r="V878" i="8"/>
  <c r="V278" i="12"/>
  <c r="V279" i="12" s="1"/>
  <c r="V280" i="12" s="1"/>
  <c r="V281" i="12" s="1"/>
  <c r="S278" i="12"/>
  <c r="Q717" i="6"/>
  <c r="R717" i="6" s="1"/>
  <c r="R718" i="6" s="1"/>
  <c r="R719" i="6" s="1"/>
  <c r="R720" i="6" s="1"/>
  <c r="R721" i="6" s="1"/>
  <c r="R722" i="6" s="1"/>
  <c r="R723" i="6" s="1"/>
  <c r="R724" i="6" s="1"/>
  <c r="R725" i="6" s="1"/>
  <c r="R726" i="6" s="1"/>
  <c r="R727" i="6" s="1"/>
  <c r="S607" i="8"/>
  <c r="V607" i="8"/>
  <c r="R936" i="8"/>
  <c r="T936" i="8" s="1"/>
  <c r="V936" i="8"/>
  <c r="U329" i="12"/>
  <c r="P992" i="8"/>
  <c r="Q992" i="8" s="1"/>
  <c r="U662" i="8"/>
  <c r="O1285" i="6"/>
  <c r="P332" i="7"/>
  <c r="Q332" i="7" s="1"/>
  <c r="S332" i="7"/>
  <c r="P551" i="8"/>
  <c r="Q551" i="8" s="1"/>
  <c r="AG290" i="11"/>
  <c r="V496" i="8"/>
  <c r="R496" i="8"/>
  <c r="T496" i="8" s="1"/>
  <c r="V166" i="12"/>
  <c r="R166" i="12"/>
  <c r="O1521" i="6"/>
  <c r="R278" i="12"/>
  <c r="T440" i="8"/>
  <c r="R607" i="8"/>
  <c r="N1473" i="6"/>
  <c r="P1473" i="6" s="1"/>
  <c r="AA233" i="7"/>
  <c r="P825" i="7"/>
  <c r="Q825" i="7" s="1"/>
  <c r="S825" i="7" s="1"/>
  <c r="Q937" i="7"/>
  <c r="R937" i="7" s="1"/>
  <c r="Q1350" i="6"/>
  <c r="R1350" i="6" s="1"/>
  <c r="R441" i="7"/>
  <c r="T441" i="7" s="1"/>
  <c r="V441" i="7"/>
  <c r="U387" i="8"/>
  <c r="P441" i="8"/>
  <c r="Q826" i="8"/>
  <c r="V221" i="7"/>
  <c r="S221" i="7"/>
  <c r="U221" i="7" s="1"/>
  <c r="S607" i="7"/>
  <c r="V607" i="7"/>
  <c r="AN293" i="11"/>
  <c r="AO293" i="11" s="1"/>
  <c r="S166" i="12"/>
  <c r="U166" i="12" s="1"/>
  <c r="Q168" i="7"/>
  <c r="R168" i="7" s="1"/>
  <c r="AA840" i="7"/>
  <c r="V1047" i="8"/>
  <c r="R1047" i="8"/>
  <c r="S1047" i="8"/>
  <c r="U1047" i="8" s="1"/>
  <c r="P276" i="8"/>
  <c r="Q276" i="8" s="1"/>
  <c r="S276" i="8" s="1"/>
  <c r="S1349" i="6"/>
  <c r="N1144" i="6"/>
  <c r="P1144" i="6" s="1"/>
  <c r="V164" i="8"/>
  <c r="S164" i="8"/>
  <c r="U164" i="8" s="1"/>
  <c r="P717" i="7"/>
  <c r="Q717" i="7" s="1"/>
  <c r="S717" i="7"/>
  <c r="O1102" i="6"/>
  <c r="Q1103" i="8"/>
  <c r="AA730" i="8"/>
  <c r="R607" i="7"/>
  <c r="O1241" i="6"/>
  <c r="N1188" i="6"/>
  <c r="O1188" i="6" s="1"/>
  <c r="P1188" i="6" l="1"/>
  <c r="U496" i="8"/>
  <c r="S717" i="6"/>
  <c r="S718" i="6" s="1"/>
  <c r="S719" i="6" s="1"/>
  <c r="S720" i="6" s="1"/>
  <c r="S721" i="6" s="1"/>
  <c r="S722" i="6" s="1"/>
  <c r="S723" i="6" s="1"/>
  <c r="S724" i="6" s="1"/>
  <c r="S725" i="6" s="1"/>
  <c r="S726" i="6" s="1"/>
  <c r="S727" i="6" s="1"/>
  <c r="S992" i="8"/>
  <c r="V992" i="8"/>
  <c r="BB242" i="11"/>
  <c r="BM242" i="11" s="1"/>
  <c r="Z676" i="8"/>
  <c r="Y676" i="8"/>
  <c r="U607" i="8"/>
  <c r="P608" i="8" s="1"/>
  <c r="CO239" i="11"/>
  <c r="CK239" i="11"/>
  <c r="CQ239" i="11"/>
  <c r="CP239" i="11"/>
  <c r="CL239" i="11"/>
  <c r="CN239" i="11"/>
  <c r="CM239" i="11"/>
  <c r="BP240" i="11" s="1"/>
  <c r="U878" i="8"/>
  <c r="U607" i="7"/>
  <c r="P502" i="7"/>
  <c r="W451" i="7" s="1"/>
  <c r="T221" i="7"/>
  <c r="AF240" i="11"/>
  <c r="J241" i="11" s="1"/>
  <c r="C241" i="11"/>
  <c r="E241" i="11"/>
  <c r="D241" i="11"/>
  <c r="F241" i="11"/>
  <c r="U278" i="12"/>
  <c r="S279" i="12" s="1"/>
  <c r="U279" i="12" s="1"/>
  <c r="S280" i="12" s="1"/>
  <c r="U280" i="12" s="1"/>
  <c r="S281" i="12" s="1"/>
  <c r="U281" i="12" s="1"/>
  <c r="G241" i="11"/>
  <c r="R551" i="8"/>
  <c r="S551" i="8"/>
  <c r="U551" i="8" s="1"/>
  <c r="V551" i="8"/>
  <c r="U992" i="8"/>
  <c r="AU293" i="11"/>
  <c r="AY293" i="11" s="1"/>
  <c r="AV293" i="11"/>
  <c r="AT293" i="11"/>
  <c r="AQ293" i="11"/>
  <c r="AW293" i="11" s="1"/>
  <c r="AR293" i="11"/>
  <c r="AS293" i="11"/>
  <c r="AX293" i="11" s="1"/>
  <c r="AA453" i="7"/>
  <c r="V662" i="7"/>
  <c r="R662" i="7"/>
  <c r="P497" i="8"/>
  <c r="Q497" i="8" s="1"/>
  <c r="R497" i="8" s="1"/>
  <c r="Y290" i="11"/>
  <c r="X291" i="11"/>
  <c r="AC290" i="11"/>
  <c r="AB290" i="11"/>
  <c r="AA290" i="11"/>
  <c r="AE290" i="11"/>
  <c r="W291" i="11"/>
  <c r="V291" i="11"/>
  <c r="AD290" i="11"/>
  <c r="Z290" i="11"/>
  <c r="Q1406" i="6"/>
  <c r="S1406" i="6" s="1"/>
  <c r="O1473" i="6"/>
  <c r="V717" i="7"/>
  <c r="R717" i="7"/>
  <c r="T717" i="7" s="1"/>
  <c r="D2503" i="6"/>
  <c r="C1675" i="6"/>
  <c r="C1629" i="6"/>
  <c r="C1583" i="6"/>
  <c r="D2239" i="6"/>
  <c r="C1537" i="6"/>
  <c r="D2437" i="6"/>
  <c r="E13" i="6"/>
  <c r="D30" i="6"/>
  <c r="D22" i="6"/>
  <c r="B30" i="6"/>
  <c r="B31" i="6" s="1"/>
  <c r="B22" i="6"/>
  <c r="D13" i="6"/>
  <c r="E22" i="6"/>
  <c r="F30" i="6"/>
  <c r="B13" i="6"/>
  <c r="D2305" i="6"/>
  <c r="E30" i="6"/>
  <c r="E31" i="6" s="1"/>
  <c r="D2371" i="6"/>
  <c r="AA676" i="8"/>
  <c r="N1189" i="6"/>
  <c r="O1189" i="6" s="1"/>
  <c r="T278" i="12"/>
  <c r="R279" i="12" s="1"/>
  <c r="T279" i="12" s="1"/>
  <c r="R280" i="12" s="1"/>
  <c r="T280" i="12" s="1"/>
  <c r="R281" i="12" s="1"/>
  <c r="T281" i="12" s="1"/>
  <c r="O1144" i="6"/>
  <c r="V826" i="8"/>
  <c r="S826" i="8"/>
  <c r="V1103" i="8"/>
  <c r="V1104" i="8" s="1"/>
  <c r="V1105" i="8" s="1"/>
  <c r="V1106" i="8" s="1"/>
  <c r="S1103" i="8"/>
  <c r="P167" i="12"/>
  <c r="P1048" i="8"/>
  <c r="AB233" i="7"/>
  <c r="P879" i="8"/>
  <c r="Q879" i="8" s="1"/>
  <c r="V333" i="8"/>
  <c r="V334" i="8" s="1"/>
  <c r="V335" i="8" s="1"/>
  <c r="V336" i="8" s="1"/>
  <c r="R333" i="8"/>
  <c r="T333" i="8" s="1"/>
  <c r="R334" i="8" s="1"/>
  <c r="T334" i="8" s="1"/>
  <c r="R335" i="8" s="1"/>
  <c r="T335" i="8" s="1"/>
  <c r="R336" i="8" s="1"/>
  <c r="T336" i="8" s="1"/>
  <c r="Q1307" i="6"/>
  <c r="S1307" i="6" s="1"/>
  <c r="R332" i="7"/>
  <c r="T332" i="7" s="1"/>
  <c r="V332" i="7"/>
  <c r="P165" i="8"/>
  <c r="Q165" i="8" s="1"/>
  <c r="T607" i="8"/>
  <c r="Q441" i="8"/>
  <c r="R992" i="8"/>
  <c r="R550" i="7"/>
  <c r="T550" i="7" s="1"/>
  <c r="V550" i="7"/>
  <c r="S937" i="7"/>
  <c r="U937" i="7" s="1"/>
  <c r="V937" i="7"/>
  <c r="T607" i="7"/>
  <c r="U441" i="7"/>
  <c r="S1350" i="6"/>
  <c r="X841" i="7"/>
  <c r="Y841" i="7" s="1"/>
  <c r="R826" i="8"/>
  <c r="T826" i="8" s="1"/>
  <c r="T773" i="7"/>
  <c r="R774" i="7" s="1"/>
  <c r="T774" i="7" s="1"/>
  <c r="R775" i="7" s="1"/>
  <c r="T775" i="7" s="1"/>
  <c r="R776" i="7" s="1"/>
  <c r="T776" i="7" s="1"/>
  <c r="P777" i="7" s="1"/>
  <c r="W726" i="7" s="1"/>
  <c r="AB343" i="7"/>
  <c r="R276" i="8"/>
  <c r="T276" i="8" s="1"/>
  <c r="V276" i="8"/>
  <c r="R1103" i="8"/>
  <c r="N1103" i="6"/>
  <c r="P1103" i="6" s="1"/>
  <c r="T1047" i="8"/>
  <c r="P388" i="8"/>
  <c r="Q388" i="8" s="1"/>
  <c r="S388" i="8" s="1"/>
  <c r="Q728" i="6"/>
  <c r="B729" i="6" s="1"/>
  <c r="C30" i="6" s="1"/>
  <c r="C31" i="6" s="1"/>
  <c r="AB178" i="8"/>
  <c r="P608" i="7"/>
  <c r="P222" i="7"/>
  <c r="Q222" i="7" s="1"/>
  <c r="N1286" i="6"/>
  <c r="P1286" i="6" s="1"/>
  <c r="N1522" i="6"/>
  <c r="P1522" i="6" s="1"/>
  <c r="N1242" i="6"/>
  <c r="P1242" i="6" s="1"/>
  <c r="T166" i="12"/>
  <c r="P663" i="8"/>
  <c r="Q663" i="8" s="1"/>
  <c r="X731" i="8"/>
  <c r="S168" i="7"/>
  <c r="U168" i="7" s="1"/>
  <c r="S169" i="7" s="1"/>
  <c r="U169" i="7" s="1"/>
  <c r="S170" i="7" s="1"/>
  <c r="U170" i="7" s="1"/>
  <c r="S171" i="7" s="1"/>
  <c r="U171" i="7" s="1"/>
  <c r="V168" i="7"/>
  <c r="V169" i="7" s="1"/>
  <c r="V170" i="7" s="1"/>
  <c r="V171" i="7" s="1"/>
  <c r="V825" i="7"/>
  <c r="R825" i="7"/>
  <c r="T825" i="7" s="1"/>
  <c r="P330" i="12"/>
  <c r="Q330" i="12" s="1"/>
  <c r="S662" i="7"/>
  <c r="P222" i="12"/>
  <c r="Q222" i="12" s="1"/>
  <c r="S222" i="12"/>
  <c r="U936" i="8"/>
  <c r="R165" i="8" l="1"/>
  <c r="V165" i="8"/>
  <c r="U276" i="8"/>
  <c r="U332" i="7"/>
  <c r="T1103" i="8"/>
  <c r="R1104" i="8" s="1"/>
  <c r="T1104" i="8" s="1"/>
  <c r="R1105" i="8" s="1"/>
  <c r="T1105" i="8" s="1"/>
  <c r="R1106" i="8" s="1"/>
  <c r="T1106" i="8" s="1"/>
  <c r="BG242" i="11"/>
  <c r="BI242" i="11"/>
  <c r="BH242" i="11"/>
  <c r="BF242" i="11"/>
  <c r="BJ242" i="11"/>
  <c r="BK242" i="11"/>
  <c r="BE242" i="11"/>
  <c r="T992" i="8"/>
  <c r="H241" i="11"/>
  <c r="I241" i="11" s="1"/>
  <c r="P241" i="11" s="1"/>
  <c r="L241" i="11"/>
  <c r="K241" i="11"/>
  <c r="Q241" i="11" s="1"/>
  <c r="AB676" i="8"/>
  <c r="W677" i="8" s="1"/>
  <c r="X677" i="8" s="1"/>
  <c r="Y677" i="8" s="1"/>
  <c r="U717" i="7"/>
  <c r="P718" i="7" s="1"/>
  <c r="Q718" i="7" s="1"/>
  <c r="S718" i="7" s="1"/>
  <c r="BO240" i="11"/>
  <c r="CR239" i="11"/>
  <c r="BR240" i="11"/>
  <c r="U662" i="7"/>
  <c r="P1189" i="6"/>
  <c r="P1190" i="6" s="1"/>
  <c r="B26" i="6"/>
  <c r="D26" i="6" s="1"/>
  <c r="P282" i="12"/>
  <c r="W231" i="12" s="1"/>
  <c r="N1190" i="6"/>
  <c r="O1190" i="6" s="1"/>
  <c r="S222" i="7"/>
  <c r="R222" i="7"/>
  <c r="T222" i="7" s="1"/>
  <c r="V222" i="7"/>
  <c r="R879" i="8"/>
  <c r="S879" i="8"/>
  <c r="U879" i="8" s="1"/>
  <c r="V879" i="8"/>
  <c r="AA728" i="7"/>
  <c r="AZ293" i="11"/>
  <c r="O1242" i="6"/>
  <c r="E2437" i="6"/>
  <c r="B2438" i="6" s="1"/>
  <c r="C2438" i="6"/>
  <c r="U825" i="7"/>
  <c r="P993" i="8"/>
  <c r="P277" i="8"/>
  <c r="Q277" i="8" s="1"/>
  <c r="Q608" i="7"/>
  <c r="S165" i="8"/>
  <c r="U165" i="8" s="1"/>
  <c r="AF290" i="11"/>
  <c r="J291" i="11" s="1"/>
  <c r="E291" i="11"/>
  <c r="C291" i="11"/>
  <c r="AC841" i="7"/>
  <c r="Z841" i="7"/>
  <c r="AB841" i="7" s="1"/>
  <c r="D31" i="6"/>
  <c r="U826" i="8"/>
  <c r="O1286" i="6"/>
  <c r="E2239" i="6"/>
  <c r="B2240" i="6" s="1"/>
  <c r="U333" i="8"/>
  <c r="S334" i="8" s="1"/>
  <c r="U334" i="8" s="1"/>
  <c r="S335" i="8" s="1"/>
  <c r="U335" i="8" s="1"/>
  <c r="S336" i="8" s="1"/>
  <c r="U336" i="8" s="1"/>
  <c r="P337" i="8" s="1"/>
  <c r="W286" i="8" s="1"/>
  <c r="C13" i="6"/>
  <c r="N1474" i="6"/>
  <c r="P1474" i="6" s="1"/>
  <c r="P938" i="7"/>
  <c r="C22" i="6"/>
  <c r="T937" i="7"/>
  <c r="Q1351" i="6"/>
  <c r="R1351" i="6" s="1"/>
  <c r="AA233" i="12"/>
  <c r="D1629" i="6"/>
  <c r="T662" i="7"/>
  <c r="R330" i="12"/>
  <c r="V330" i="12"/>
  <c r="S330" i="12"/>
  <c r="V388" i="8"/>
  <c r="V389" i="8" s="1"/>
  <c r="V390" i="8" s="1"/>
  <c r="V391" i="8" s="1"/>
  <c r="R388" i="8"/>
  <c r="T388" i="8" s="1"/>
  <c r="R389" i="8" s="1"/>
  <c r="T389" i="8" s="1"/>
  <c r="R390" i="8" s="1"/>
  <c r="T390" i="8" s="1"/>
  <c r="R391" i="8" s="1"/>
  <c r="T391" i="8" s="1"/>
  <c r="D1537" i="6"/>
  <c r="Q1048" i="8"/>
  <c r="P442" i="7"/>
  <c r="Q442" i="7" s="1"/>
  <c r="S442" i="7" s="1"/>
  <c r="Q333" i="7"/>
  <c r="S333" i="7" s="1"/>
  <c r="F31" i="6"/>
  <c r="D1583" i="6"/>
  <c r="S497" i="8"/>
  <c r="U497" i="8" s="1"/>
  <c r="V497" i="8"/>
  <c r="D1675" i="6"/>
  <c r="AB453" i="7"/>
  <c r="P552" i="8"/>
  <c r="P663" i="7"/>
  <c r="S441" i="8"/>
  <c r="V441" i="8"/>
  <c r="R441" i="8"/>
  <c r="T441" i="8" s="1"/>
  <c r="P333" i="7"/>
  <c r="O1522" i="6"/>
  <c r="D291" i="11"/>
  <c r="Q608" i="8"/>
  <c r="E2305" i="6"/>
  <c r="B2306" i="6" s="1"/>
  <c r="C2306" i="6"/>
  <c r="AC233" i="7"/>
  <c r="W234" i="7" s="1"/>
  <c r="X234" i="7" s="1"/>
  <c r="Z731" i="8"/>
  <c r="AC731" i="8"/>
  <c r="O1103" i="6"/>
  <c r="N1104" i="6" s="1"/>
  <c r="Q1061" i="6" s="1"/>
  <c r="N1145" i="6"/>
  <c r="P1145" i="6" s="1"/>
  <c r="Y731" i="8"/>
  <c r="R663" i="8"/>
  <c r="V663" i="8"/>
  <c r="V664" i="8" s="1"/>
  <c r="V665" i="8" s="1"/>
  <c r="V666" i="8" s="1"/>
  <c r="U550" i="7"/>
  <c r="R1406" i="6"/>
  <c r="P937" i="8"/>
  <c r="Q937" i="8" s="1"/>
  <c r="S937" i="8" s="1"/>
  <c r="S663" i="8"/>
  <c r="U663" i="8" s="1"/>
  <c r="S664" i="8" s="1"/>
  <c r="U664" i="8" s="1"/>
  <c r="S665" i="8" s="1"/>
  <c r="U665" i="8" s="1"/>
  <c r="S666" i="8" s="1"/>
  <c r="U666" i="8" s="1"/>
  <c r="Q167" i="12"/>
  <c r="AC343" i="7"/>
  <c r="R222" i="12"/>
  <c r="T222" i="12" s="1"/>
  <c r="V222" i="12"/>
  <c r="AC178" i="8"/>
  <c r="R1307" i="6"/>
  <c r="U1103" i="8"/>
  <c r="S1104" i="8" s="1"/>
  <c r="U1104" i="8" s="1"/>
  <c r="S1105" i="8" s="1"/>
  <c r="U1105" i="8" s="1"/>
  <c r="S1106" i="8" s="1"/>
  <c r="U1106" i="8" s="1"/>
  <c r="P1107" i="8" s="1"/>
  <c r="W1056" i="8" s="1"/>
  <c r="E2371" i="6"/>
  <c r="B2372" i="6" s="1"/>
  <c r="E2503" i="6"/>
  <c r="B2504" i="6" s="1"/>
  <c r="C2504" i="6" s="1"/>
  <c r="T168" i="7"/>
  <c r="R169" i="7" s="1"/>
  <c r="T169" i="7" s="1"/>
  <c r="R170" i="7" s="1"/>
  <c r="T170" i="7" s="1"/>
  <c r="R171" i="7" s="1"/>
  <c r="T171" i="7" s="1"/>
  <c r="P172" i="7" s="1"/>
  <c r="W121" i="7" s="1"/>
  <c r="BA293" i="11"/>
  <c r="T551" i="8"/>
  <c r="F291" i="11" l="1"/>
  <c r="U330" i="12"/>
  <c r="S1351" i="6"/>
  <c r="T241" i="11"/>
  <c r="O241" i="11"/>
  <c r="S241" i="11" s="1"/>
  <c r="BM293" i="11"/>
  <c r="BE293" i="11" s="1"/>
  <c r="M241" i="11"/>
  <c r="R241" i="11" s="1"/>
  <c r="N241" i="11"/>
  <c r="C2240" i="6"/>
  <c r="D2240" i="6" s="1"/>
  <c r="BV240" i="11"/>
  <c r="BQ240" i="11"/>
  <c r="BT240" i="11" s="1"/>
  <c r="BU240" i="11" s="1"/>
  <c r="AJ243" i="11"/>
  <c r="U222" i="12"/>
  <c r="BL242" i="11"/>
  <c r="AP243" i="11" s="1"/>
  <c r="AI243" i="11"/>
  <c r="AA731" i="8"/>
  <c r="Q993" i="8"/>
  <c r="U388" i="8"/>
  <c r="S389" i="8" s="1"/>
  <c r="U389" i="8" s="1"/>
  <c r="S390" i="8" s="1"/>
  <c r="U390" i="8" s="1"/>
  <c r="S391" i="8" s="1"/>
  <c r="U391" i="8" s="1"/>
  <c r="BS240" i="11"/>
  <c r="V993" i="8"/>
  <c r="V994" i="8" s="1"/>
  <c r="V995" i="8" s="1"/>
  <c r="V996" i="8" s="1"/>
  <c r="R993" i="8"/>
  <c r="S993" i="8"/>
  <c r="U993" i="8" s="1"/>
  <c r="S994" i="8" s="1"/>
  <c r="U994" i="8" s="1"/>
  <c r="S995" i="8" s="1"/>
  <c r="U995" i="8" s="1"/>
  <c r="S996" i="8" s="1"/>
  <c r="U996" i="8" s="1"/>
  <c r="S277" i="8"/>
  <c r="R277" i="8"/>
  <c r="T277" i="8" s="1"/>
  <c r="V277" i="8"/>
  <c r="AA288" i="8"/>
  <c r="Y234" i="7"/>
  <c r="Z234" i="7"/>
  <c r="N1191" i="6"/>
  <c r="O1191" i="6" s="1"/>
  <c r="AA1058" i="8"/>
  <c r="R718" i="7"/>
  <c r="T718" i="7" s="1"/>
  <c r="R719" i="7" s="1"/>
  <c r="T719" i="7" s="1"/>
  <c r="R720" i="7" s="1"/>
  <c r="T720" i="7" s="1"/>
  <c r="R721" i="7" s="1"/>
  <c r="T721" i="7" s="1"/>
  <c r="P331" i="12"/>
  <c r="H291" i="11"/>
  <c r="S167" i="12"/>
  <c r="V167" i="12"/>
  <c r="V333" i="7"/>
  <c r="V334" i="7" s="1"/>
  <c r="V335" i="7" s="1"/>
  <c r="V336" i="7" s="1"/>
  <c r="N1523" i="6"/>
  <c r="P1523" i="6" s="1"/>
  <c r="W344" i="7"/>
  <c r="X344" i="7" s="1"/>
  <c r="B1584" i="6"/>
  <c r="C1584" i="6" s="1"/>
  <c r="O1145" i="6"/>
  <c r="O1474" i="6"/>
  <c r="R1063" i="6"/>
  <c r="R333" i="7"/>
  <c r="T333" i="7" s="1"/>
  <c r="R334" i="7" s="1"/>
  <c r="T334" i="7" s="1"/>
  <c r="R335" i="7" s="1"/>
  <c r="T335" i="7" s="1"/>
  <c r="R336" i="7" s="1"/>
  <c r="T336" i="7" s="1"/>
  <c r="E2504" i="6"/>
  <c r="B2505" i="6" s="1"/>
  <c r="D2504" i="6"/>
  <c r="V608" i="7"/>
  <c r="V609" i="7" s="1"/>
  <c r="V610" i="7" s="1"/>
  <c r="V611" i="7" s="1"/>
  <c r="S608" i="7"/>
  <c r="P880" i="8"/>
  <c r="Q663" i="7"/>
  <c r="AB233" i="12"/>
  <c r="R608" i="7"/>
  <c r="T879" i="8"/>
  <c r="B1630" i="6"/>
  <c r="C1630" i="6" s="1"/>
  <c r="V937" i="8"/>
  <c r="R937" i="8"/>
  <c r="T937" i="8" s="1"/>
  <c r="Q1308" i="6"/>
  <c r="S1308" i="6" s="1"/>
  <c r="P223" i="12"/>
  <c r="Q223" i="12" s="1"/>
  <c r="R223" i="12" s="1"/>
  <c r="B1538" i="6"/>
  <c r="C1538" i="6" s="1"/>
  <c r="E2306" i="6"/>
  <c r="D2306" i="6"/>
  <c r="B2307" i="6"/>
  <c r="C2307" i="6" s="1"/>
  <c r="G291" i="11"/>
  <c r="P826" i="7"/>
  <c r="Q826" i="7" s="1"/>
  <c r="B1676" i="6"/>
  <c r="C1676" i="6" s="1"/>
  <c r="C2372" i="6"/>
  <c r="V718" i="7"/>
  <c r="V719" i="7" s="1"/>
  <c r="V720" i="7" s="1"/>
  <c r="V721" i="7" s="1"/>
  <c r="P827" i="8"/>
  <c r="Q827" i="8" s="1"/>
  <c r="P498" i="8"/>
  <c r="P392" i="8"/>
  <c r="W341" i="8" s="1"/>
  <c r="Q938" i="7"/>
  <c r="AC677" i="8"/>
  <c r="Z677" i="8"/>
  <c r="AB677" i="8" s="1"/>
  <c r="AB728" i="7"/>
  <c r="T497" i="8"/>
  <c r="Q552" i="8"/>
  <c r="BG293" i="11"/>
  <c r="BD294" i="11"/>
  <c r="BC294" i="11"/>
  <c r="BB294" i="11"/>
  <c r="AA123" i="7"/>
  <c r="AC453" i="7"/>
  <c r="W454" i="7" s="1"/>
  <c r="X454" i="7" s="1"/>
  <c r="R167" i="12"/>
  <c r="T167" i="12" s="1"/>
  <c r="T330" i="12"/>
  <c r="P166" i="8"/>
  <c r="AB731" i="8"/>
  <c r="E2438" i="6"/>
  <c r="B2439" i="6" s="1"/>
  <c r="C2439" i="6" s="1"/>
  <c r="D2438" i="6"/>
  <c r="S1048" i="8"/>
  <c r="V1048" i="8"/>
  <c r="V1049" i="8" s="1"/>
  <c r="V1050" i="8" s="1"/>
  <c r="V1051" i="8" s="1"/>
  <c r="N1287" i="6"/>
  <c r="P1287" i="6" s="1"/>
  <c r="U441" i="8"/>
  <c r="U222" i="7"/>
  <c r="Q1352" i="6"/>
  <c r="R1352" i="6" s="1"/>
  <c r="V608" i="8"/>
  <c r="V609" i="8" s="1"/>
  <c r="V610" i="8" s="1"/>
  <c r="V611" i="8" s="1"/>
  <c r="S608" i="8"/>
  <c r="W842" i="7"/>
  <c r="AA841" i="7"/>
  <c r="R442" i="7"/>
  <c r="T442" i="7" s="1"/>
  <c r="V442" i="7"/>
  <c r="AC234" i="7"/>
  <c r="R1048" i="8"/>
  <c r="Q1407" i="6"/>
  <c r="S1407" i="6" s="1"/>
  <c r="N1243" i="6"/>
  <c r="P1243" i="6" s="1"/>
  <c r="P551" i="7"/>
  <c r="Q551" i="7" s="1"/>
  <c r="S551" i="7"/>
  <c r="W179" i="8"/>
  <c r="X179" i="8" s="1"/>
  <c r="AC179" i="8" s="1"/>
  <c r="T663" i="8"/>
  <c r="R664" i="8" s="1"/>
  <c r="T664" i="8" s="1"/>
  <c r="R665" i="8" s="1"/>
  <c r="T665" i="8" s="1"/>
  <c r="R666" i="8" s="1"/>
  <c r="T666" i="8" s="1"/>
  <c r="P667" i="8" s="1"/>
  <c r="W616" i="8" s="1"/>
  <c r="R608" i="8"/>
  <c r="T165" i="8"/>
  <c r="U333" i="7" l="1"/>
  <c r="S334" i="7" s="1"/>
  <c r="U334" i="7" s="1"/>
  <c r="S335" i="7" s="1"/>
  <c r="U335" i="7" s="1"/>
  <c r="S336" i="7" s="1"/>
  <c r="U336" i="7" s="1"/>
  <c r="CB240" i="11"/>
  <c r="BH293" i="11"/>
  <c r="U608" i="7"/>
  <c r="S609" i="7" s="1"/>
  <c r="U609" i="7" s="1"/>
  <c r="S610" i="7" s="1"/>
  <c r="U610" i="7" s="1"/>
  <c r="S611" i="7" s="1"/>
  <c r="U611" i="7" s="1"/>
  <c r="AL243" i="11"/>
  <c r="AM243" i="11"/>
  <c r="BJ293" i="11"/>
  <c r="C2505" i="6"/>
  <c r="D2505" i="6" s="1"/>
  <c r="BK293" i="11"/>
  <c r="AK243" i="11"/>
  <c r="AN243" i="11" s="1"/>
  <c r="AO243" i="11" s="1"/>
  <c r="BZ240" i="11"/>
  <c r="BI293" i="11"/>
  <c r="U1048" i="8"/>
  <c r="S1049" i="8" s="1"/>
  <c r="U1049" i="8" s="1"/>
  <c r="S1050" i="8" s="1"/>
  <c r="U1050" i="8" s="1"/>
  <c r="S1051" i="8" s="1"/>
  <c r="U1051" i="8" s="1"/>
  <c r="U241" i="11"/>
  <c r="V241" i="11" s="1"/>
  <c r="BF293" i="11"/>
  <c r="AI294" i="11" s="1"/>
  <c r="BY240" i="11"/>
  <c r="CD240" i="11" s="1"/>
  <c r="CG240" i="11" s="1"/>
  <c r="E2240" i="6"/>
  <c r="P1191" i="6"/>
  <c r="N1192" i="6" s="1"/>
  <c r="P1192" i="6" s="1"/>
  <c r="BW240" i="11"/>
  <c r="CC240" i="11" s="1"/>
  <c r="S1352" i="6"/>
  <c r="Q1353" i="6" s="1"/>
  <c r="S1353" i="6" s="1"/>
  <c r="B2241" i="6"/>
  <c r="C2241" i="6" s="1"/>
  <c r="D2241" i="6" s="1"/>
  <c r="CA240" i="11"/>
  <c r="CE240" i="11" s="1"/>
  <c r="I291" i="11"/>
  <c r="O291" i="11" s="1"/>
  <c r="S291" i="11" s="1"/>
  <c r="AA234" i="7"/>
  <c r="T608" i="8"/>
  <c r="R609" i="8" s="1"/>
  <c r="T609" i="8" s="1"/>
  <c r="R610" i="8" s="1"/>
  <c r="T610" i="8" s="1"/>
  <c r="R611" i="8" s="1"/>
  <c r="T611" i="8" s="1"/>
  <c r="BX240" i="11"/>
  <c r="D2439" i="6"/>
  <c r="E2439" i="6"/>
  <c r="B2440" i="6" s="1"/>
  <c r="C2440" i="6" s="1"/>
  <c r="Y454" i="7"/>
  <c r="Z454" i="7"/>
  <c r="AB454" i="7" s="1"/>
  <c r="E2307" i="6"/>
  <c r="D2307" i="6"/>
  <c r="E2241" i="6"/>
  <c r="V826" i="7"/>
  <c r="R826" i="7"/>
  <c r="U442" i="7"/>
  <c r="S826" i="7"/>
  <c r="U826" i="7" s="1"/>
  <c r="E2505" i="6"/>
  <c r="N1475" i="6"/>
  <c r="P1475" i="6" s="1"/>
  <c r="AB288" i="8"/>
  <c r="U718" i="7"/>
  <c r="S719" i="7" s="1"/>
  <c r="U719" i="7" s="1"/>
  <c r="S720" i="7" s="1"/>
  <c r="U720" i="7" s="1"/>
  <c r="S721" i="7" s="1"/>
  <c r="U721" i="7" s="1"/>
  <c r="P722" i="7" s="1"/>
  <c r="W671" i="7" s="1"/>
  <c r="D1584" i="6"/>
  <c r="Y344" i="7"/>
  <c r="Z344" i="7"/>
  <c r="AB344" i="7" s="1"/>
  <c r="S663" i="7"/>
  <c r="V663" i="7"/>
  <c r="V664" i="7" s="1"/>
  <c r="V665" i="7" s="1"/>
  <c r="V666" i="7" s="1"/>
  <c r="R1407" i="6"/>
  <c r="D1538" i="6"/>
  <c r="BL293" i="11"/>
  <c r="AP294" i="11" s="1"/>
  <c r="O1523" i="6"/>
  <c r="P442" i="8"/>
  <c r="Q442" i="8" s="1"/>
  <c r="S442" i="8"/>
  <c r="U167" i="12"/>
  <c r="S1063" i="6"/>
  <c r="AA618" i="8"/>
  <c r="AC728" i="7"/>
  <c r="W729" i="7" s="1"/>
  <c r="X729" i="7" s="1"/>
  <c r="Y729" i="7" s="1"/>
  <c r="V223" i="12"/>
  <c r="V224" i="12" s="1"/>
  <c r="V225" i="12" s="1"/>
  <c r="V226" i="12" s="1"/>
  <c r="D1630" i="6"/>
  <c r="B1631" i="6" s="1"/>
  <c r="C1631" i="6" s="1"/>
  <c r="X842" i="7"/>
  <c r="Y842" i="7" s="1"/>
  <c r="N1146" i="6"/>
  <c r="P1146" i="6" s="1"/>
  <c r="AA677" i="8"/>
  <c r="R827" i="8"/>
  <c r="V827" i="8"/>
  <c r="S827" i="8"/>
  <c r="U827" i="8" s="1"/>
  <c r="S223" i="12"/>
  <c r="U223" i="12" s="1"/>
  <c r="S224" i="12" s="1"/>
  <c r="U224" i="12" s="1"/>
  <c r="S225" i="12" s="1"/>
  <c r="U225" i="12" s="1"/>
  <c r="S226" i="12" s="1"/>
  <c r="U226" i="12" s="1"/>
  <c r="T993" i="8"/>
  <c r="R994" i="8" s="1"/>
  <c r="T994" i="8" s="1"/>
  <c r="R995" i="8" s="1"/>
  <c r="T995" i="8" s="1"/>
  <c r="R996" i="8" s="1"/>
  <c r="T996" i="8" s="1"/>
  <c r="P997" i="8" s="1"/>
  <c r="W946" i="8" s="1"/>
  <c r="D1676" i="6"/>
  <c r="B1677" i="6" s="1"/>
  <c r="C1677" i="6" s="1"/>
  <c r="O1287" i="6"/>
  <c r="S938" i="7"/>
  <c r="V938" i="7"/>
  <c r="V939" i="7" s="1"/>
  <c r="V940" i="7" s="1"/>
  <c r="V941" i="7" s="1"/>
  <c r="R938" i="7"/>
  <c r="T938" i="7" s="1"/>
  <c r="R939" i="7" s="1"/>
  <c r="T939" i="7" s="1"/>
  <c r="R940" i="7" s="1"/>
  <c r="T940" i="7" s="1"/>
  <c r="R941" i="7" s="1"/>
  <c r="T941" i="7" s="1"/>
  <c r="W678" i="8"/>
  <c r="AJ294" i="11"/>
  <c r="Q880" i="8"/>
  <c r="R880" i="8" s="1"/>
  <c r="R551" i="7"/>
  <c r="T551" i="7" s="1"/>
  <c r="V551" i="7"/>
  <c r="O1243" i="6"/>
  <c r="U608" i="8"/>
  <c r="S609" i="8" s="1"/>
  <c r="U609" i="8" s="1"/>
  <c r="S610" i="8" s="1"/>
  <c r="U610" i="8" s="1"/>
  <c r="S611" i="8" s="1"/>
  <c r="U611" i="8" s="1"/>
  <c r="W732" i="8"/>
  <c r="X732" i="8" s="1"/>
  <c r="R663" i="7"/>
  <c r="T1048" i="8"/>
  <c r="R1049" i="8" s="1"/>
  <c r="T1049" i="8" s="1"/>
  <c r="R1050" i="8" s="1"/>
  <c r="T1050" i="8" s="1"/>
  <c r="R1051" i="8" s="1"/>
  <c r="T1051" i="8" s="1"/>
  <c r="P1052" i="8" s="1"/>
  <c r="W1001" i="8" s="1"/>
  <c r="P223" i="7"/>
  <c r="Q223" i="7" s="1"/>
  <c r="V552" i="8"/>
  <c r="S552" i="8"/>
  <c r="E2372" i="6"/>
  <c r="D2372" i="6"/>
  <c r="B2373" i="6"/>
  <c r="C2373" i="6"/>
  <c r="AC454" i="7"/>
  <c r="AB123" i="7"/>
  <c r="Q498" i="8"/>
  <c r="U937" i="8"/>
  <c r="AA343" i="8"/>
  <c r="Y179" i="8"/>
  <c r="Z179" i="8"/>
  <c r="AB179" i="8" s="1"/>
  <c r="T608" i="7"/>
  <c r="R609" i="7" s="1"/>
  <c r="T609" i="7" s="1"/>
  <c r="R610" i="7" s="1"/>
  <c r="T610" i="7" s="1"/>
  <c r="R611" i="7" s="1"/>
  <c r="T611" i="7" s="1"/>
  <c r="P612" i="7" s="1"/>
  <c r="W561" i="7" s="1"/>
  <c r="AC233" i="12"/>
  <c r="P337" i="7"/>
  <c r="W286" i="7" s="1"/>
  <c r="AC344" i="7"/>
  <c r="U277" i="8"/>
  <c r="AB1058" i="8"/>
  <c r="Q166" i="8"/>
  <c r="R166" i="8" s="1"/>
  <c r="Q331" i="12"/>
  <c r="R552" i="8"/>
  <c r="R1308" i="6"/>
  <c r="AB234" i="7"/>
  <c r="AV243" i="11" l="1"/>
  <c r="AR243" i="11"/>
  <c r="B2506" i="6"/>
  <c r="P612" i="8"/>
  <c r="W561" i="8" s="1"/>
  <c r="AA563" i="8" s="1"/>
  <c r="M291" i="11"/>
  <c r="R291" i="11" s="1"/>
  <c r="N291" i="11"/>
  <c r="L291" i="11"/>
  <c r="CF240" i="11"/>
  <c r="CJ240" i="11" s="1"/>
  <c r="K291" i="11"/>
  <c r="Q291" i="11" s="1"/>
  <c r="T291" i="11" s="1"/>
  <c r="CH240" i="11"/>
  <c r="X241" i="11"/>
  <c r="P291" i="11"/>
  <c r="U552" i="8"/>
  <c r="P553" i="8" s="1"/>
  <c r="W241" i="11"/>
  <c r="U663" i="7"/>
  <c r="S664" i="7" s="1"/>
  <c r="U664" i="7" s="1"/>
  <c r="S665" i="7" s="1"/>
  <c r="U665" i="7" s="1"/>
  <c r="S666" i="7" s="1"/>
  <c r="U666" i="7" s="1"/>
  <c r="AS243" i="11"/>
  <c r="AX243" i="11" s="1"/>
  <c r="CI240" i="11"/>
  <c r="AM294" i="11"/>
  <c r="T223" i="12"/>
  <c r="R224" i="12" s="1"/>
  <c r="T224" i="12" s="1"/>
  <c r="R225" i="12" s="1"/>
  <c r="T225" i="12" s="1"/>
  <c r="R226" i="12" s="1"/>
  <c r="T226" i="12" s="1"/>
  <c r="P227" i="12" s="1"/>
  <c r="W176" i="12" s="1"/>
  <c r="AA178" i="12" s="1"/>
  <c r="AT243" i="11"/>
  <c r="AU243" i="11"/>
  <c r="AY243" i="11" s="1"/>
  <c r="BD243" i="11" s="1"/>
  <c r="AQ243" i="11"/>
  <c r="AW243" i="11" s="1"/>
  <c r="AL294" i="11"/>
  <c r="AK294" i="11"/>
  <c r="C2506" i="6"/>
  <c r="E2506" i="6" s="1"/>
  <c r="D2440" i="6"/>
  <c r="E2440" i="6"/>
  <c r="B2441" i="6" s="1"/>
  <c r="AC288" i="8"/>
  <c r="W289" i="8" s="1"/>
  <c r="X289" i="8" s="1"/>
  <c r="N1244" i="6"/>
  <c r="P1244" i="6" s="1"/>
  <c r="V442" i="8"/>
  <c r="R442" i="8"/>
  <c r="T442" i="8" s="1"/>
  <c r="V331" i="12"/>
  <c r="S331" i="12"/>
  <c r="W234" i="12"/>
  <c r="X234" i="12" s="1"/>
  <c r="D1585" i="6"/>
  <c r="AC732" i="8"/>
  <c r="Y732" i="8"/>
  <c r="AA948" i="8"/>
  <c r="AB343" i="8"/>
  <c r="D2373" i="6"/>
  <c r="E2373" i="6"/>
  <c r="B2374" i="6" s="1"/>
  <c r="P828" i="8"/>
  <c r="P278" i="8"/>
  <c r="Q278" i="8" s="1"/>
  <c r="B2242" i="6"/>
  <c r="C2242" i="6" s="1"/>
  <c r="AA288" i="7"/>
  <c r="O1192" i="6"/>
  <c r="R223" i="7"/>
  <c r="V223" i="7"/>
  <c r="V224" i="7" s="1"/>
  <c r="V225" i="7" s="1"/>
  <c r="V226" i="7" s="1"/>
  <c r="R1353" i="6"/>
  <c r="S223" i="7"/>
  <c r="U223" i="7" s="1"/>
  <c r="S224" i="7" s="1"/>
  <c r="U224" i="7" s="1"/>
  <c r="S225" i="7" s="1"/>
  <c r="U225" i="7" s="1"/>
  <c r="S226" i="7" s="1"/>
  <c r="U226" i="7" s="1"/>
  <c r="U442" i="8"/>
  <c r="AA454" i="7"/>
  <c r="N1524" i="6"/>
  <c r="P1524" i="6" s="1"/>
  <c r="T663" i="7"/>
  <c r="R664" i="7" s="1"/>
  <c r="T664" i="7" s="1"/>
  <c r="R665" i="7" s="1"/>
  <c r="T665" i="7" s="1"/>
  <c r="R666" i="7" s="1"/>
  <c r="T666" i="7" s="1"/>
  <c r="AA563" i="7"/>
  <c r="W180" i="8"/>
  <c r="Z732" i="8"/>
  <c r="U551" i="7"/>
  <c r="AC729" i="7"/>
  <c r="AB618" i="8"/>
  <c r="O1475" i="6"/>
  <c r="W235" i="7"/>
  <c r="X235" i="7" s="1"/>
  <c r="P168" i="12"/>
  <c r="Q168" i="12" s="1"/>
  <c r="U938" i="7"/>
  <c r="S939" i="7" s="1"/>
  <c r="U939" i="7" s="1"/>
  <c r="S940" i="7" s="1"/>
  <c r="U940" i="7" s="1"/>
  <c r="S941" i="7" s="1"/>
  <c r="U941" i="7" s="1"/>
  <c r="P942" i="7" s="1"/>
  <c r="W891" i="7" s="1"/>
  <c r="Q1309" i="6"/>
  <c r="S1309" i="6" s="1"/>
  <c r="X678" i="8"/>
  <c r="Y678" i="8" s="1"/>
  <c r="W345" i="7"/>
  <c r="V498" i="8"/>
  <c r="V499" i="8" s="1"/>
  <c r="V500" i="8" s="1"/>
  <c r="V501" i="8" s="1"/>
  <c r="S498" i="8"/>
  <c r="D1677" i="6"/>
  <c r="B1678" i="6" s="1"/>
  <c r="C1678" i="6" s="1"/>
  <c r="AA344" i="7"/>
  <c r="R498" i="8"/>
  <c r="T498" i="8" s="1"/>
  <c r="R499" i="8" s="1"/>
  <c r="T499" i="8" s="1"/>
  <c r="R500" i="8" s="1"/>
  <c r="T500" i="8" s="1"/>
  <c r="R501" i="8" s="1"/>
  <c r="T501" i="8" s="1"/>
  <c r="AA1003" i="8"/>
  <c r="R331" i="12"/>
  <c r="B1585" i="6"/>
  <c r="C1585" i="6" s="1"/>
  <c r="AC123" i="7"/>
  <c r="T826" i="7"/>
  <c r="AC1058" i="8"/>
  <c r="AA179" i="8"/>
  <c r="B1539" i="6"/>
  <c r="C1539" i="6" s="1"/>
  <c r="Z729" i="7"/>
  <c r="AB729" i="7" s="1"/>
  <c r="Q1064" i="6"/>
  <c r="R1064" i="6" s="1"/>
  <c r="T827" i="8"/>
  <c r="Q1408" i="6"/>
  <c r="S1408" i="6" s="1"/>
  <c r="P938" i="8"/>
  <c r="Q938" i="8" s="1"/>
  <c r="S938" i="8"/>
  <c r="AA673" i="7"/>
  <c r="B2308" i="6"/>
  <c r="C2308" i="6" s="1"/>
  <c r="N1288" i="6"/>
  <c r="P1288" i="6" s="1"/>
  <c r="T552" i="8"/>
  <c r="S880" i="8"/>
  <c r="U880" i="8" s="1"/>
  <c r="V880" i="8"/>
  <c r="O1146" i="6"/>
  <c r="P827" i="7"/>
  <c r="W455" i="7"/>
  <c r="AC842" i="7"/>
  <c r="Z842" i="7"/>
  <c r="AB842" i="7" s="1"/>
  <c r="P443" i="7"/>
  <c r="Q443" i="7" s="1"/>
  <c r="S443" i="7" s="1"/>
  <c r="D1631" i="6"/>
  <c r="B1632" i="6" s="1"/>
  <c r="C1632" i="6" s="1"/>
  <c r="V166" i="8"/>
  <c r="S166" i="8"/>
  <c r="U166" i="8" s="1"/>
  <c r="AG241" i="11" l="1"/>
  <c r="D2506" i="6"/>
  <c r="AN294" i="11"/>
  <c r="AO294" i="11" s="1"/>
  <c r="AA732" i="8"/>
  <c r="P667" i="7"/>
  <c r="W616" i="7" s="1"/>
  <c r="CS240" i="11"/>
  <c r="U291" i="11"/>
  <c r="AG291" i="11" s="1"/>
  <c r="Y289" i="8"/>
  <c r="AA289" i="8" s="1"/>
  <c r="Z289" i="8"/>
  <c r="CN240" i="11"/>
  <c r="CM240" i="11"/>
  <c r="CL240" i="11"/>
  <c r="CK240" i="11"/>
  <c r="BO241" i="11" s="1"/>
  <c r="CO240" i="11"/>
  <c r="CR240" i="11" s="1"/>
  <c r="CP240" i="11"/>
  <c r="CQ240" i="11"/>
  <c r="AZ243" i="11"/>
  <c r="D1539" i="6"/>
  <c r="B1540" i="6" s="1"/>
  <c r="BA243" i="11"/>
  <c r="BC243" i="11" s="1"/>
  <c r="BB243" i="11" s="1"/>
  <c r="BM243" i="11" s="1"/>
  <c r="B2507" i="6"/>
  <c r="C2507" i="6" s="1"/>
  <c r="T331" i="12"/>
  <c r="D2242" i="6"/>
  <c r="E2242" i="6"/>
  <c r="B1679" i="6"/>
  <c r="C1679" i="6" s="1"/>
  <c r="AR294" i="11"/>
  <c r="AQ294" i="11"/>
  <c r="AW294" i="11" s="1"/>
  <c r="AT294" i="11"/>
  <c r="AS294" i="11"/>
  <c r="AX294" i="11" s="1"/>
  <c r="BA294" i="11" s="1"/>
  <c r="AU294" i="11"/>
  <c r="AY294" i="11" s="1"/>
  <c r="AV294" i="11"/>
  <c r="C2441" i="6"/>
  <c r="C2374" i="6"/>
  <c r="AC343" i="8"/>
  <c r="P443" i="8"/>
  <c r="Q443" i="8" s="1"/>
  <c r="AB178" i="12"/>
  <c r="N1147" i="6"/>
  <c r="P1147" i="6" s="1"/>
  <c r="S1064" i="6"/>
  <c r="Q1065" i="6" s="1"/>
  <c r="R1065" i="6" s="1"/>
  <c r="X180" i="8"/>
  <c r="Y180" i="8" s="1"/>
  <c r="U331" i="12"/>
  <c r="O1288" i="6"/>
  <c r="P552" i="7"/>
  <c r="Q552" i="7" s="1"/>
  <c r="S552" i="7" s="1"/>
  <c r="AB732" i="8"/>
  <c r="V938" i="8"/>
  <c r="V939" i="8" s="1"/>
  <c r="V940" i="8" s="1"/>
  <c r="V941" i="8" s="1"/>
  <c r="R938" i="8"/>
  <c r="T938" i="8" s="1"/>
  <c r="R939" i="8" s="1"/>
  <c r="T939" i="8" s="1"/>
  <c r="R940" i="8" s="1"/>
  <c r="T940" i="8" s="1"/>
  <c r="R941" i="8" s="1"/>
  <c r="T941" i="8" s="1"/>
  <c r="AB563" i="7"/>
  <c r="Q828" i="8"/>
  <c r="R828" i="8" s="1"/>
  <c r="AC235" i="7"/>
  <c r="Y235" i="7"/>
  <c r="W730" i="7"/>
  <c r="AA729" i="7"/>
  <c r="Y234" i="12"/>
  <c r="Z234" i="12"/>
  <c r="AC618" i="8"/>
  <c r="W619" i="8" s="1"/>
  <c r="X619" i="8" s="1"/>
  <c r="R168" i="12"/>
  <c r="V168" i="12"/>
  <c r="V169" i="12" s="1"/>
  <c r="V170" i="12" s="1"/>
  <c r="V171" i="12" s="1"/>
  <c r="AA618" i="7"/>
  <c r="AA842" i="7"/>
  <c r="BP241" i="11"/>
  <c r="P502" i="8"/>
  <c r="W451" i="8" s="1"/>
  <c r="Y455" i="7"/>
  <c r="X455" i="7"/>
  <c r="N1476" i="6"/>
  <c r="P1476" i="6" s="1"/>
  <c r="D1678" i="6"/>
  <c r="U498" i="8"/>
  <c r="S499" i="8" s="1"/>
  <c r="U499" i="8" s="1"/>
  <c r="S500" i="8" s="1"/>
  <c r="U500" i="8" s="1"/>
  <c r="S501" i="8" s="1"/>
  <c r="U501" i="8" s="1"/>
  <c r="AB948" i="8"/>
  <c r="Q553" i="8"/>
  <c r="R553" i="8" s="1"/>
  <c r="E2308" i="6"/>
  <c r="D2308" i="6"/>
  <c r="B2309" i="6"/>
  <c r="C2309" i="6" s="1"/>
  <c r="V278" i="8"/>
  <c r="V279" i="8" s="1"/>
  <c r="V280" i="8" s="1"/>
  <c r="V281" i="8" s="1"/>
  <c r="R278" i="8"/>
  <c r="T278" i="8" s="1"/>
  <c r="R279" i="8" s="1"/>
  <c r="T279" i="8" s="1"/>
  <c r="R280" i="8" s="1"/>
  <c r="T280" i="8" s="1"/>
  <c r="R281" i="8" s="1"/>
  <c r="T281" i="8" s="1"/>
  <c r="R1309" i="6"/>
  <c r="D1632" i="6"/>
  <c r="V443" i="7"/>
  <c r="V444" i="7" s="1"/>
  <c r="V445" i="7" s="1"/>
  <c r="V446" i="7" s="1"/>
  <c r="R443" i="7"/>
  <c r="T443" i="7" s="1"/>
  <c r="R444" i="7" s="1"/>
  <c r="T444" i="7" s="1"/>
  <c r="R445" i="7" s="1"/>
  <c r="T445" i="7" s="1"/>
  <c r="R446" i="7" s="1"/>
  <c r="T446" i="7" s="1"/>
  <c r="W843" i="7"/>
  <c r="R1408" i="6"/>
  <c r="W124" i="7"/>
  <c r="X124" i="7" s="1"/>
  <c r="S168" i="12"/>
  <c r="O1244" i="6"/>
  <c r="N1245" i="6" s="1"/>
  <c r="Q1202" i="6" s="1"/>
  <c r="X345" i="7"/>
  <c r="AA893" i="7"/>
  <c r="Q1354" i="6"/>
  <c r="S1354" i="6" s="1"/>
  <c r="T223" i="7"/>
  <c r="R224" i="7" s="1"/>
  <c r="T224" i="7" s="1"/>
  <c r="R225" i="7" s="1"/>
  <c r="T225" i="7" s="1"/>
  <c r="R226" i="7" s="1"/>
  <c r="T226" i="7" s="1"/>
  <c r="P227" i="7" s="1"/>
  <c r="W176" i="7" s="1"/>
  <c r="P881" i="8"/>
  <c r="AB288" i="7"/>
  <c r="AC678" i="8"/>
  <c r="Z678" i="8"/>
  <c r="AB678" i="8" s="1"/>
  <c r="N1193" i="6"/>
  <c r="P1193" i="6" s="1"/>
  <c r="P167" i="8"/>
  <c r="W1059" i="8"/>
  <c r="X1059" i="8" s="1"/>
  <c r="AC234" i="12"/>
  <c r="S278" i="8"/>
  <c r="AB673" i="7"/>
  <c r="Q827" i="7"/>
  <c r="R827" i="7" s="1"/>
  <c r="T166" i="8"/>
  <c r="B1586" i="6"/>
  <c r="D1586" i="6" s="1"/>
  <c r="AB1003" i="8"/>
  <c r="Z235" i="7"/>
  <c r="O1524" i="6"/>
  <c r="AC289" i="8"/>
  <c r="T880" i="8"/>
  <c r="AB563" i="8"/>
  <c r="V292" i="11" l="1"/>
  <c r="AD291" i="11"/>
  <c r="AA291" i="11"/>
  <c r="X292" i="11"/>
  <c r="AE291" i="11"/>
  <c r="AC291" i="11"/>
  <c r="AB291" i="11"/>
  <c r="Z291" i="11"/>
  <c r="Y291" i="11"/>
  <c r="W292" i="11"/>
  <c r="AA235" i="7"/>
  <c r="U168" i="12"/>
  <c r="S169" i="12" s="1"/>
  <c r="U169" i="12" s="1"/>
  <c r="S170" i="12" s="1"/>
  <c r="U170" i="12" s="1"/>
  <c r="S171" i="12" s="1"/>
  <c r="U171" i="12" s="1"/>
  <c r="P172" i="12" s="1"/>
  <c r="W121" i="12" s="1"/>
  <c r="Y241" i="11"/>
  <c r="Z241" i="11"/>
  <c r="AA241" i="11"/>
  <c r="D242" i="11" s="1"/>
  <c r="AE241" i="11"/>
  <c r="AD241" i="11"/>
  <c r="AC241" i="11"/>
  <c r="AB241" i="11"/>
  <c r="BV241" i="11"/>
  <c r="BR241" i="11"/>
  <c r="BS241" i="11"/>
  <c r="BH243" i="11"/>
  <c r="BG243" i="11"/>
  <c r="BE243" i="11"/>
  <c r="BK243" i="11"/>
  <c r="BF243" i="11"/>
  <c r="BI243" i="11"/>
  <c r="BJ243" i="11"/>
  <c r="C1540" i="6"/>
  <c r="D1540" i="6"/>
  <c r="U938" i="8"/>
  <c r="S939" i="8" s="1"/>
  <c r="U939" i="8" s="1"/>
  <c r="S940" i="8" s="1"/>
  <c r="U940" i="8" s="1"/>
  <c r="S941" i="8" s="1"/>
  <c r="U941" i="8" s="1"/>
  <c r="P942" i="8" s="1"/>
  <c r="W891" i="8" s="1"/>
  <c r="R1354" i="6"/>
  <c r="AB234" i="12"/>
  <c r="W235" i="12" s="1"/>
  <c r="AB289" i="8"/>
  <c r="W290" i="8" s="1"/>
  <c r="T168" i="12"/>
  <c r="R169" i="12" s="1"/>
  <c r="T169" i="12" s="1"/>
  <c r="R170" i="12" s="1"/>
  <c r="T170" i="12" s="1"/>
  <c r="R171" i="12" s="1"/>
  <c r="T171" i="12" s="1"/>
  <c r="Y619" i="8"/>
  <c r="Z619" i="8"/>
  <c r="AB619" i="8" s="1"/>
  <c r="Q1066" i="6"/>
  <c r="R1066" i="6" s="1"/>
  <c r="E2309" i="6"/>
  <c r="D2309" i="6"/>
  <c r="AA180" i="8"/>
  <c r="R443" i="8"/>
  <c r="V443" i="8"/>
  <c r="V444" i="8" s="1"/>
  <c r="V445" i="8" s="1"/>
  <c r="V446" i="8" s="1"/>
  <c r="S443" i="8"/>
  <c r="R552" i="7"/>
  <c r="T552" i="7" s="1"/>
  <c r="V552" i="7"/>
  <c r="Z345" i="7"/>
  <c r="AC345" i="7"/>
  <c r="N1289" i="6"/>
  <c r="P1289" i="6" s="1"/>
  <c r="AC948" i="8"/>
  <c r="W949" i="8" s="1"/>
  <c r="X949" i="8" s="1"/>
  <c r="Y949" i="8" s="1"/>
  <c r="P332" i="12"/>
  <c r="Q332" i="12" s="1"/>
  <c r="Q881" i="8"/>
  <c r="AA178" i="7"/>
  <c r="R1204" i="6"/>
  <c r="AA678" i="8"/>
  <c r="T553" i="8"/>
  <c r="R554" i="8" s="1"/>
  <c r="T554" i="8" s="1"/>
  <c r="R555" i="8" s="1"/>
  <c r="T555" i="8" s="1"/>
  <c r="R556" i="8" s="1"/>
  <c r="T556" i="8" s="1"/>
  <c r="P557" i="8" s="1"/>
  <c r="W506" i="8" s="1"/>
  <c r="C1586" i="6"/>
  <c r="W679" i="8"/>
  <c r="AC563" i="8"/>
  <c r="AA234" i="12"/>
  <c r="E2441" i="6"/>
  <c r="D2441" i="6"/>
  <c r="AA453" i="8"/>
  <c r="Q1310" i="6"/>
  <c r="S1310" i="6" s="1"/>
  <c r="W344" i="8"/>
  <c r="X344" i="8" s="1"/>
  <c r="AC619" i="8"/>
  <c r="AC673" i="7"/>
  <c r="W674" i="7" s="1"/>
  <c r="X674" i="7" s="1"/>
  <c r="Y674" i="7" s="1"/>
  <c r="AB618" i="7"/>
  <c r="E2374" i="6"/>
  <c r="D2374" i="6"/>
  <c r="X843" i="7"/>
  <c r="Y843" i="7" s="1"/>
  <c r="B1633" i="6"/>
  <c r="C1633" i="6" s="1"/>
  <c r="U278" i="8"/>
  <c r="S279" i="8" s="1"/>
  <c r="U279" i="8" s="1"/>
  <c r="S280" i="8" s="1"/>
  <c r="U280" i="8" s="1"/>
  <c r="S281" i="8" s="1"/>
  <c r="U281" i="8" s="1"/>
  <c r="P282" i="8" s="1"/>
  <c r="W231" i="8" s="1"/>
  <c r="D1679" i="6"/>
  <c r="B1680" i="6" s="1"/>
  <c r="C1680" i="6" s="1"/>
  <c r="S1065" i="6"/>
  <c r="N1525" i="6"/>
  <c r="P1525" i="6" s="1"/>
  <c r="Y124" i="7"/>
  <c r="Z124" i="7"/>
  <c r="AB124" i="7" s="1"/>
  <c r="X290" i="8"/>
  <c r="Z290" i="8" s="1"/>
  <c r="AC563" i="7"/>
  <c r="W564" i="7" s="1"/>
  <c r="X564" i="7" s="1"/>
  <c r="B2243" i="6"/>
  <c r="C2243" i="6" s="1"/>
  <c r="AB893" i="7"/>
  <c r="W733" i="8"/>
  <c r="X733" i="8" s="1"/>
  <c r="Z733" i="8" s="1"/>
  <c r="O1193" i="6"/>
  <c r="S828" i="8"/>
  <c r="U828" i="8" s="1"/>
  <c r="V828" i="8"/>
  <c r="Q167" i="8"/>
  <c r="V827" i="7"/>
  <c r="S827" i="7"/>
  <c r="U827" i="7" s="1"/>
  <c r="AC288" i="7"/>
  <c r="W289" i="7" s="1"/>
  <c r="X289" i="7" s="1"/>
  <c r="Y289" i="7" s="1"/>
  <c r="Y345" i="7"/>
  <c r="AC180" i="8"/>
  <c r="Z180" i="8"/>
  <c r="AB180" i="8" s="1"/>
  <c r="AB235" i="7"/>
  <c r="BQ241" i="11"/>
  <c r="O1147" i="6"/>
  <c r="X730" i="7"/>
  <c r="Q1409" i="6"/>
  <c r="S1409" i="6" s="1"/>
  <c r="AC1003" i="8"/>
  <c r="Y1059" i="8"/>
  <c r="Z1059" i="8"/>
  <c r="AB1059" i="8" s="1"/>
  <c r="AC1059" i="8"/>
  <c r="O1476" i="6"/>
  <c r="AC124" i="7"/>
  <c r="AC178" i="12"/>
  <c r="Q1355" i="6"/>
  <c r="R1355" i="6" s="1"/>
  <c r="V553" i="8"/>
  <c r="V554" i="8" s="1"/>
  <c r="V555" i="8" s="1"/>
  <c r="V556" i="8" s="1"/>
  <c r="S553" i="8"/>
  <c r="U553" i="8" s="1"/>
  <c r="S554" i="8" s="1"/>
  <c r="U554" i="8" s="1"/>
  <c r="S555" i="8" s="1"/>
  <c r="U555" i="8" s="1"/>
  <c r="S556" i="8" s="1"/>
  <c r="U556" i="8" s="1"/>
  <c r="Z455" i="7"/>
  <c r="AB455" i="7" s="1"/>
  <c r="AC455" i="7"/>
  <c r="E2507" i="6"/>
  <c r="D2507" i="6"/>
  <c r="AZ294" i="11"/>
  <c r="BM294" i="11" s="1"/>
  <c r="U443" i="7"/>
  <c r="S444" i="7" s="1"/>
  <c r="U444" i="7" s="1"/>
  <c r="S445" i="7" s="1"/>
  <c r="U445" i="7" s="1"/>
  <c r="S446" i="7" s="1"/>
  <c r="U446" i="7" s="1"/>
  <c r="P447" i="7" s="1"/>
  <c r="W396" i="7" s="1"/>
  <c r="B1541" i="6" l="1"/>
  <c r="B2375" i="6"/>
  <c r="C2375" i="6" s="1"/>
  <c r="AF241" i="11"/>
  <c r="C242" i="11"/>
  <c r="AF291" i="11"/>
  <c r="E292" i="11"/>
  <c r="C292" i="11"/>
  <c r="G292" i="11"/>
  <c r="F242" i="11"/>
  <c r="D292" i="11"/>
  <c r="E242" i="11"/>
  <c r="H242" i="11" s="1"/>
  <c r="C1541" i="6"/>
  <c r="D1541" i="6"/>
  <c r="B2310" i="6"/>
  <c r="C2310" i="6" s="1"/>
  <c r="BL243" i="11"/>
  <c r="AP244" i="11" s="1"/>
  <c r="AK244" i="11"/>
  <c r="AI244" i="11"/>
  <c r="AA619" i="8"/>
  <c r="AC290" i="8"/>
  <c r="O1289" i="6"/>
  <c r="O1525" i="6"/>
  <c r="AB345" i="7"/>
  <c r="T443" i="8"/>
  <c r="R444" i="8" s="1"/>
  <c r="T444" i="8" s="1"/>
  <c r="R445" i="8" s="1"/>
  <c r="T445" i="8" s="1"/>
  <c r="R446" i="8" s="1"/>
  <c r="T446" i="8" s="1"/>
  <c r="R1409" i="6"/>
  <c r="Q1410" i="6" s="1"/>
  <c r="S1410" i="6" s="1"/>
  <c r="B2508" i="6"/>
  <c r="C2508" i="6" s="1"/>
  <c r="D2508" i="6" s="1"/>
  <c r="AJ244" i="11"/>
  <c r="Q1356" i="6"/>
  <c r="R1356" i="6" s="1"/>
  <c r="E2243" i="6"/>
  <c r="D2243" i="6"/>
  <c r="AA398" i="7"/>
  <c r="Y564" i="7"/>
  <c r="Z564" i="7"/>
  <c r="AB564" i="7" s="1"/>
  <c r="E2375" i="6"/>
  <c r="D2375" i="6"/>
  <c r="E2508" i="6"/>
  <c r="AA233" i="8"/>
  <c r="AC893" i="7"/>
  <c r="W894" i="7" s="1"/>
  <c r="X894" i="7" s="1"/>
  <c r="BF294" i="11"/>
  <c r="BE294" i="11"/>
  <c r="BK294" i="11"/>
  <c r="BH294" i="11"/>
  <c r="BG294" i="11"/>
  <c r="BJ294" i="11"/>
  <c r="BI294" i="11"/>
  <c r="B33" i="11"/>
  <c r="N1148" i="6"/>
  <c r="P1148" i="6" s="1"/>
  <c r="BT241" i="11"/>
  <c r="BU241" i="11" s="1"/>
  <c r="AB178" i="7"/>
  <c r="N1477" i="6"/>
  <c r="P1477" i="6" s="1"/>
  <c r="S1204" i="6"/>
  <c r="V881" i="8"/>
  <c r="S881" i="8"/>
  <c r="Y290" i="8"/>
  <c r="AA290" i="8" s="1"/>
  <c r="R881" i="8"/>
  <c r="T881" i="8" s="1"/>
  <c r="W1060" i="8"/>
  <c r="W125" i="7"/>
  <c r="T828" i="8"/>
  <c r="AA124" i="7"/>
  <c r="Y733" i="8"/>
  <c r="AA733" i="8" s="1"/>
  <c r="AC733" i="8"/>
  <c r="AC674" i="7"/>
  <c r="AC949" i="8"/>
  <c r="N1290" i="6"/>
  <c r="P1290" i="6" s="1"/>
  <c r="Z730" i="7"/>
  <c r="AC730" i="7"/>
  <c r="W346" i="7"/>
  <c r="W179" i="12"/>
  <c r="X179" i="12" s="1"/>
  <c r="AA893" i="8"/>
  <c r="S167" i="8"/>
  <c r="U167" i="8" s="1"/>
  <c r="V167" i="8"/>
  <c r="W236" i="7"/>
  <c r="X236" i="7" s="1"/>
  <c r="P829" i="8"/>
  <c r="AC618" i="7"/>
  <c r="AA1059" i="8"/>
  <c r="X679" i="8"/>
  <c r="Y679" i="8" s="1"/>
  <c r="B2442" i="6"/>
  <c r="C2442" i="6" s="1"/>
  <c r="AA949" i="8"/>
  <c r="T827" i="7"/>
  <c r="W620" i="8"/>
  <c r="X620" i="8" s="1"/>
  <c r="Z843" i="7"/>
  <c r="AB843" i="7" s="1"/>
  <c r="AC843" i="7"/>
  <c r="R1310" i="6"/>
  <c r="W564" i="8"/>
  <c r="X564" i="8" s="1"/>
  <c r="P828" i="7"/>
  <c r="D1633" i="6"/>
  <c r="U552" i="7"/>
  <c r="S1355" i="6"/>
  <c r="W181" i="8"/>
  <c r="R332" i="12"/>
  <c r="V332" i="12"/>
  <c r="AA345" i="7"/>
  <c r="AB733" i="8"/>
  <c r="N1526" i="6"/>
  <c r="O1526" i="6" s="1"/>
  <c r="W456" i="7"/>
  <c r="W1004" i="8"/>
  <c r="X1004" i="8" s="1"/>
  <c r="AC289" i="7"/>
  <c r="S1066" i="6"/>
  <c r="Z674" i="7"/>
  <c r="AB674" i="7" s="1"/>
  <c r="AA123" i="12"/>
  <c r="Z949" i="8"/>
  <c r="AB949" i="8" s="1"/>
  <c r="Y344" i="8"/>
  <c r="Z344" i="8"/>
  <c r="AB344" i="8" s="1"/>
  <c r="X181" i="8"/>
  <c r="AC181" i="8" s="1"/>
  <c r="Y730" i="7"/>
  <c r="AC564" i="7"/>
  <c r="AB453" i="8"/>
  <c r="AC344" i="8"/>
  <c r="R167" i="8"/>
  <c r="B1587" i="6"/>
  <c r="D1587" i="6" s="1"/>
  <c r="AA508" i="8"/>
  <c r="N1194" i="6"/>
  <c r="P1194" i="6" s="1"/>
  <c r="S332" i="12"/>
  <c r="Z289" i="7"/>
  <c r="AB289" i="7" s="1"/>
  <c r="AA455" i="7"/>
  <c r="D1680" i="6"/>
  <c r="X235" i="12"/>
  <c r="Y235" i="12" s="1"/>
  <c r="U443" i="8"/>
  <c r="S444" i="8" s="1"/>
  <c r="U444" i="8" s="1"/>
  <c r="S445" i="8" s="1"/>
  <c r="U445" i="8" s="1"/>
  <c r="S446" i="8" s="1"/>
  <c r="U446" i="8" s="1"/>
  <c r="Y620" i="8" l="1"/>
  <c r="Z620" i="8"/>
  <c r="AC620" i="8"/>
  <c r="AA674" i="7"/>
  <c r="H292" i="11"/>
  <c r="I292" i="11" s="1"/>
  <c r="O292" i="11" s="1"/>
  <c r="S292" i="11" s="1"/>
  <c r="AB290" i="8"/>
  <c r="J242" i="11"/>
  <c r="G242" i="11"/>
  <c r="I242" i="11" s="1"/>
  <c r="AL244" i="11"/>
  <c r="B1542" i="6"/>
  <c r="C1542" i="6" s="1"/>
  <c r="AA730" i="7"/>
  <c r="J292" i="11"/>
  <c r="F292" i="11"/>
  <c r="B2509" i="6"/>
  <c r="C2509" i="6" s="1"/>
  <c r="P447" i="8"/>
  <c r="W396" i="8" s="1"/>
  <c r="E2310" i="6"/>
  <c r="D2310" i="6"/>
  <c r="B2376" i="6"/>
  <c r="C2376" i="6" s="1"/>
  <c r="AM244" i="11"/>
  <c r="B2244" i="6"/>
  <c r="C2244" i="6" s="1"/>
  <c r="AA620" i="8"/>
  <c r="U332" i="12"/>
  <c r="P333" i="12" s="1"/>
  <c r="AN244" i="11"/>
  <c r="E2509" i="6"/>
  <c r="D2509" i="6"/>
  <c r="Y894" i="7"/>
  <c r="Z894" i="7"/>
  <c r="AB894" i="7" s="1"/>
  <c r="CB241" i="11"/>
  <c r="CA241" i="11"/>
  <c r="CE241" i="11" s="1"/>
  <c r="BZ241" i="11"/>
  <c r="BY241" i="11"/>
  <c r="CD241" i="11" s="1"/>
  <c r="CG241" i="11" s="1"/>
  <c r="BW241" i="11"/>
  <c r="CC241" i="11" s="1"/>
  <c r="BX241" i="11"/>
  <c r="AA679" i="8"/>
  <c r="Y1004" i="8"/>
  <c r="Z1004" i="8"/>
  <c r="AB233" i="8"/>
  <c r="R1410" i="6"/>
  <c r="AA398" i="8"/>
  <c r="W734" i="8"/>
  <c r="X734" i="8" s="1"/>
  <c r="W345" i="8"/>
  <c r="X346" i="7"/>
  <c r="T167" i="8"/>
  <c r="W950" i="8"/>
  <c r="X950" i="8" s="1"/>
  <c r="AB123" i="12"/>
  <c r="T332" i="12"/>
  <c r="P1526" i="6"/>
  <c r="N1527" i="6" s="1"/>
  <c r="Q1484" i="6" s="1"/>
  <c r="Q1205" i="6"/>
  <c r="R1205" i="6" s="1"/>
  <c r="W291" i="8"/>
  <c r="X291" i="8" s="1"/>
  <c r="P168" i="8"/>
  <c r="X125" i="7"/>
  <c r="P553" i="7"/>
  <c r="Q553" i="7" s="1"/>
  <c r="E2442" i="6"/>
  <c r="D2442" i="6"/>
  <c r="X456" i="7"/>
  <c r="Y456" i="7" s="1"/>
  <c r="W290" i="7"/>
  <c r="Y181" i="8"/>
  <c r="Q1311" i="6"/>
  <c r="S1311" i="6" s="1"/>
  <c r="AB730" i="7"/>
  <c r="Y236" i="7"/>
  <c r="AA236" i="7" s="1"/>
  <c r="AC236" i="7"/>
  <c r="BL294" i="11"/>
  <c r="AB620" i="8"/>
  <c r="Q829" i="8"/>
  <c r="AC894" i="7"/>
  <c r="Y564" i="8"/>
  <c r="Z564" i="8"/>
  <c r="AB564" i="8" s="1"/>
  <c r="O1148" i="6"/>
  <c r="W565" i="7"/>
  <c r="AB508" i="8"/>
  <c r="U881" i="8"/>
  <c r="O1194" i="6"/>
  <c r="AA344" i="8"/>
  <c r="W844" i="7"/>
  <c r="C1587" i="6"/>
  <c r="B1634" i="6"/>
  <c r="C1634" i="6" s="1"/>
  <c r="Z181" i="8"/>
  <c r="AA289" i="7"/>
  <c r="Z236" i="7"/>
  <c r="O1477" i="6"/>
  <c r="AC235" i="12"/>
  <c r="Z235" i="12"/>
  <c r="AB235" i="12" s="1"/>
  <c r="Y179" i="12"/>
  <c r="Z179" i="12"/>
  <c r="AB179" i="12" s="1"/>
  <c r="AB398" i="7"/>
  <c r="Q828" i="7"/>
  <c r="Z679" i="8"/>
  <c r="AB679" i="8" s="1"/>
  <c r="AC679" i="8"/>
  <c r="X1060" i="8"/>
  <c r="Y1060" i="8" s="1"/>
  <c r="AA564" i="7"/>
  <c r="O1290" i="6"/>
  <c r="AC564" i="8"/>
  <c r="W619" i="7"/>
  <c r="X619" i="7" s="1"/>
  <c r="AC619" i="7" s="1"/>
  <c r="B1681" i="6"/>
  <c r="C1681" i="6" s="1"/>
  <c r="AC453" i="8"/>
  <c r="W675" i="7"/>
  <c r="S1356" i="6"/>
  <c r="Q1357" i="6" s="1"/>
  <c r="R1357" i="6" s="1"/>
  <c r="AB893" i="8"/>
  <c r="AC1004" i="8"/>
  <c r="AC178" i="7"/>
  <c r="AC179" i="12"/>
  <c r="Q1067" i="6"/>
  <c r="R1067" i="6" s="1"/>
  <c r="AA843" i="7"/>
  <c r="M242" i="11" l="1"/>
  <c r="R242" i="11" s="1"/>
  <c r="Z734" i="8"/>
  <c r="AC734" i="8"/>
  <c r="N242" i="11"/>
  <c r="O242" i="11"/>
  <c r="S242" i="11" s="1"/>
  <c r="L242" i="11"/>
  <c r="P292" i="11"/>
  <c r="P242" i="11"/>
  <c r="N292" i="11"/>
  <c r="M292" i="11"/>
  <c r="R292" i="11" s="1"/>
  <c r="U292" i="11" s="1"/>
  <c r="D1542" i="6"/>
  <c r="B1543" i="6" s="1"/>
  <c r="K242" i="11"/>
  <c r="Q242" i="11" s="1"/>
  <c r="T242" i="11" s="1"/>
  <c r="X675" i="7"/>
  <c r="Z675" i="7" s="1"/>
  <c r="AB1004" i="8"/>
  <c r="W1005" i="8" s="1"/>
  <c r="K292" i="11"/>
  <c r="Q292" i="11" s="1"/>
  <c r="T292" i="11" s="1"/>
  <c r="AG292" i="11" s="1"/>
  <c r="L292" i="11"/>
  <c r="E2244" i="6"/>
  <c r="D2244" i="6"/>
  <c r="AA235" i="12"/>
  <c r="B2510" i="6"/>
  <c r="C2510" i="6" s="1"/>
  <c r="AB181" i="8"/>
  <c r="D1681" i="6"/>
  <c r="B1682" i="6" s="1"/>
  <c r="C1682" i="6" s="1"/>
  <c r="AO244" i="11"/>
  <c r="AU244" i="11" s="1"/>
  <c r="AY244" i="11" s="1"/>
  <c r="BD244" i="11" s="1"/>
  <c r="B2443" i="6"/>
  <c r="C2443" i="6" s="1"/>
  <c r="E2443" i="6" s="1"/>
  <c r="D1634" i="6"/>
  <c r="B1635" i="6" s="1"/>
  <c r="D1635" i="6" s="1"/>
  <c r="B2311" i="6"/>
  <c r="C2311" i="6" s="1"/>
  <c r="Y950" i="8"/>
  <c r="Z950" i="8"/>
  <c r="AC950" i="8"/>
  <c r="AC291" i="8"/>
  <c r="Y291" i="8"/>
  <c r="Z291" i="8"/>
  <c r="AB291" i="8" s="1"/>
  <c r="Z346" i="7"/>
  <c r="AC346" i="7"/>
  <c r="AB236" i="7"/>
  <c r="W182" i="8"/>
  <c r="V828" i="7"/>
  <c r="V829" i="7" s="1"/>
  <c r="V830" i="7" s="1"/>
  <c r="V831" i="7" s="1"/>
  <c r="S828" i="7"/>
  <c r="U828" i="7" s="1"/>
  <c r="S829" i="7" s="1"/>
  <c r="U829" i="7" s="1"/>
  <c r="S830" i="7" s="1"/>
  <c r="U830" i="7" s="1"/>
  <c r="S831" i="7" s="1"/>
  <c r="U831" i="7" s="1"/>
  <c r="S1205" i="6"/>
  <c r="W234" i="8"/>
  <c r="X234" i="8" s="1"/>
  <c r="Y234" i="8" s="1"/>
  <c r="AC233" i="8"/>
  <c r="N1149" i="6"/>
  <c r="P1149" i="6" s="1"/>
  <c r="Q333" i="12"/>
  <c r="AA564" i="8"/>
  <c r="W236" i="12"/>
  <c r="R553" i="7"/>
  <c r="V553" i="7"/>
  <c r="V554" i="7" s="1"/>
  <c r="V555" i="7" s="1"/>
  <c r="V556" i="7" s="1"/>
  <c r="AA1004" i="8"/>
  <c r="Z1060" i="8"/>
  <c r="AB1060" i="8" s="1"/>
  <c r="AC1060" i="8"/>
  <c r="X680" i="8"/>
  <c r="Y680" i="8" s="1"/>
  <c r="N1195" i="6"/>
  <c r="P1195" i="6" s="1"/>
  <c r="Y346" i="7"/>
  <c r="P882" i="8"/>
  <c r="Q882" i="8" s="1"/>
  <c r="S882" i="8" s="1"/>
  <c r="X290" i="7"/>
  <c r="AB398" i="8"/>
  <c r="W680" i="8"/>
  <c r="R828" i="7"/>
  <c r="W179" i="7"/>
  <c r="X179" i="7" s="1"/>
  <c r="AC179" i="7" s="1"/>
  <c r="X565" i="7"/>
  <c r="W621" i="8"/>
  <c r="X621" i="8" s="1"/>
  <c r="Z621" i="8" s="1"/>
  <c r="S553" i="7"/>
  <c r="Q168" i="8"/>
  <c r="S1067" i="6"/>
  <c r="Q1068" i="6" s="1"/>
  <c r="R1068" i="6" s="1"/>
  <c r="N1478" i="6"/>
  <c r="P1478" i="6" s="1"/>
  <c r="X345" i="8"/>
  <c r="Y734" i="8"/>
  <c r="AA734" i="8" s="1"/>
  <c r="W454" i="8"/>
  <c r="X454" i="8" s="1"/>
  <c r="AC454" i="8" s="1"/>
  <c r="CF241" i="11"/>
  <c r="CH241" i="11" s="1"/>
  <c r="CI241" i="11"/>
  <c r="AA894" i="7"/>
  <c r="X844" i="7"/>
  <c r="AC398" i="7"/>
  <c r="W565" i="8"/>
  <c r="W180" i="12"/>
  <c r="AA179" i="12"/>
  <c r="V829" i="8"/>
  <c r="S829" i="8"/>
  <c r="AC125" i="7"/>
  <c r="Z125" i="7"/>
  <c r="AC456" i="7"/>
  <c r="Z456" i="7"/>
  <c r="AB456" i="7" s="1"/>
  <c r="R1486" i="6"/>
  <c r="AC508" i="8"/>
  <c r="W509" i="8" s="1"/>
  <c r="X509" i="8" s="1"/>
  <c r="W895" i="7"/>
  <c r="W731" i="7"/>
  <c r="X731" i="7" s="1"/>
  <c r="Z731" i="7" s="1"/>
  <c r="Q1411" i="6"/>
  <c r="S1411" i="6" s="1"/>
  <c r="R1311" i="6"/>
  <c r="Y619" i="7"/>
  <c r="Z619" i="7"/>
  <c r="AC123" i="12"/>
  <c r="W124" i="12" s="1"/>
  <c r="X124" i="12" s="1"/>
  <c r="Y124" i="12" s="1"/>
  <c r="N1291" i="6"/>
  <c r="P1291" i="6" s="1"/>
  <c r="AA181" i="8"/>
  <c r="AC893" i="8"/>
  <c r="B1588" i="6"/>
  <c r="D1588" i="6" s="1"/>
  <c r="S1357" i="6"/>
  <c r="Q1358" i="6" s="1"/>
  <c r="R1358" i="6" s="1"/>
  <c r="E2376" i="6"/>
  <c r="D2376" i="6"/>
  <c r="R829" i="8"/>
  <c r="Y125" i="7"/>
  <c r="Y292" i="11" l="1"/>
  <c r="AC292" i="11"/>
  <c r="AE292" i="11"/>
  <c r="Z292" i="11"/>
  <c r="AD292" i="11"/>
  <c r="AB292" i="11"/>
  <c r="W293" i="11"/>
  <c r="X293" i="11"/>
  <c r="AA292" i="11"/>
  <c r="V293" i="11"/>
  <c r="AB675" i="7"/>
  <c r="W676" i="7" s="1"/>
  <c r="D1543" i="6"/>
  <c r="C1543" i="6"/>
  <c r="B1544" i="6" s="1"/>
  <c r="D1544" i="6" s="1"/>
  <c r="V242" i="11"/>
  <c r="U829" i="8"/>
  <c r="P830" i="8" s="1"/>
  <c r="X236" i="12"/>
  <c r="Y236" i="12" s="1"/>
  <c r="Y675" i="7"/>
  <c r="AB734" i="8"/>
  <c r="AC675" i="7"/>
  <c r="CJ241" i="11"/>
  <c r="CS241" i="11" s="1"/>
  <c r="CP241" i="11" s="1"/>
  <c r="B2245" i="6"/>
  <c r="C2245" i="6" s="1"/>
  <c r="U242" i="11"/>
  <c r="W242" i="11" s="1"/>
  <c r="AG242" i="11" s="1"/>
  <c r="X242" i="11"/>
  <c r="AB125" i="7"/>
  <c r="W126" i="7" s="1"/>
  <c r="AB619" i="7"/>
  <c r="AB950" i="8"/>
  <c r="W951" i="8" s="1"/>
  <c r="E2510" i="6"/>
  <c r="B2511" i="6" s="1"/>
  <c r="C2511" i="6" s="1"/>
  <c r="D2510" i="6"/>
  <c r="D2245" i="6"/>
  <c r="E2245" i="6"/>
  <c r="B2246" i="6" s="1"/>
  <c r="C2246" i="6" s="1"/>
  <c r="E2311" i="6"/>
  <c r="D2311" i="6"/>
  <c r="D2443" i="6"/>
  <c r="B2444" i="6" s="1"/>
  <c r="C2444" i="6" s="1"/>
  <c r="AC680" i="8"/>
  <c r="AV244" i="11"/>
  <c r="T553" i="7"/>
  <c r="R554" i="7" s="1"/>
  <c r="T554" i="7" s="1"/>
  <c r="R555" i="7" s="1"/>
  <c r="T555" i="7" s="1"/>
  <c r="R556" i="7" s="1"/>
  <c r="T556" i="7" s="1"/>
  <c r="D1682" i="6"/>
  <c r="B1683" i="6" s="1"/>
  <c r="C1683" i="6" s="1"/>
  <c r="AQ244" i="11"/>
  <c r="AW244" i="11" s="1"/>
  <c r="AS244" i="11"/>
  <c r="AX244" i="11" s="1"/>
  <c r="AT244" i="11"/>
  <c r="AR244" i="11"/>
  <c r="AA346" i="7"/>
  <c r="Z234" i="8"/>
  <c r="AB234" i="8" s="1"/>
  <c r="Y509" i="8"/>
  <c r="Z509" i="8"/>
  <c r="AB509" i="8" s="1"/>
  <c r="Q1069" i="6"/>
  <c r="R1069" i="6" s="1"/>
  <c r="AA680" i="8"/>
  <c r="CN241" i="11"/>
  <c r="CM241" i="11"/>
  <c r="CL241" i="11"/>
  <c r="CO241" i="11"/>
  <c r="CK241" i="11"/>
  <c r="AC290" i="7"/>
  <c r="Z290" i="7"/>
  <c r="Z565" i="7"/>
  <c r="AC565" i="7"/>
  <c r="W457" i="7"/>
  <c r="Q1312" i="6"/>
  <c r="S1312" i="6" s="1"/>
  <c r="D293" i="11"/>
  <c r="F293" i="11"/>
  <c r="AA291" i="8"/>
  <c r="C1635" i="6"/>
  <c r="O1195" i="6"/>
  <c r="V333" i="12"/>
  <c r="V334" i="12" s="1"/>
  <c r="V335" i="12" s="1"/>
  <c r="V336" i="12" s="1"/>
  <c r="S333" i="12"/>
  <c r="S1068" i="6"/>
  <c r="Z680" i="8"/>
  <c r="AB680" i="8" s="1"/>
  <c r="AA456" i="7"/>
  <c r="Y621" i="8"/>
  <c r="AA621" i="8" s="1"/>
  <c r="AC621" i="8"/>
  <c r="AC509" i="8"/>
  <c r="Y290" i="7"/>
  <c r="AA290" i="7" s="1"/>
  <c r="S1206" i="6"/>
  <c r="W620" i="7"/>
  <c r="Y454" i="8"/>
  <c r="Z454" i="8"/>
  <c r="AB454" i="8" s="1"/>
  <c r="AA125" i="7"/>
  <c r="AC345" i="8"/>
  <c r="Z345" i="8"/>
  <c r="Y345" i="8"/>
  <c r="AA345" i="8" s="1"/>
  <c r="W237" i="7"/>
  <c r="X237" i="7" s="1"/>
  <c r="Z237" i="7" s="1"/>
  <c r="O1478" i="6"/>
  <c r="B2377" i="6"/>
  <c r="C2377" i="6" s="1"/>
  <c r="O1291" i="6"/>
  <c r="N1292" i="6" s="1"/>
  <c r="Q1249" i="6" s="1"/>
  <c r="Z844" i="7"/>
  <c r="AC844" i="7"/>
  <c r="V168" i="8"/>
  <c r="V169" i="8" s="1"/>
  <c r="V170" i="8" s="1"/>
  <c r="V171" i="8" s="1"/>
  <c r="S168" i="8"/>
  <c r="U168" i="8" s="1"/>
  <c r="S169" i="8" s="1"/>
  <c r="U169" i="8" s="1"/>
  <c r="S170" i="8" s="1"/>
  <c r="U170" i="8" s="1"/>
  <c r="S171" i="8" s="1"/>
  <c r="U171" i="8" s="1"/>
  <c r="O1149" i="6"/>
  <c r="AA1060" i="8"/>
  <c r="X182" i="8"/>
  <c r="Y182" i="8" s="1"/>
  <c r="AA675" i="7"/>
  <c r="S1486" i="6"/>
  <c r="Q1487" i="6" s="1"/>
  <c r="R1487" i="6" s="1"/>
  <c r="X565" i="8"/>
  <c r="Q1206" i="6"/>
  <c r="R1206" i="6" s="1"/>
  <c r="R1411" i="6"/>
  <c r="R333" i="12"/>
  <c r="T333" i="12" s="1"/>
  <c r="R334" i="12" s="1"/>
  <c r="T334" i="12" s="1"/>
  <c r="R335" i="12" s="1"/>
  <c r="T335" i="12" s="1"/>
  <c r="R336" i="12" s="1"/>
  <c r="T336" i="12" s="1"/>
  <c r="Y844" i="7"/>
  <c r="R168" i="8"/>
  <c r="AC398" i="8"/>
  <c r="W399" i="8" s="1"/>
  <c r="X399" i="8" s="1"/>
  <c r="W1061" i="8"/>
  <c r="AB346" i="7"/>
  <c r="C1588" i="6"/>
  <c r="V882" i="8"/>
  <c r="R882" i="8"/>
  <c r="T882" i="8" s="1"/>
  <c r="W735" i="8"/>
  <c r="X735" i="8" s="1"/>
  <c r="W894" i="8"/>
  <c r="X894" i="8" s="1"/>
  <c r="Y565" i="7"/>
  <c r="AA619" i="7"/>
  <c r="W292" i="8"/>
  <c r="Y179" i="7"/>
  <c r="Z179" i="7"/>
  <c r="AB179" i="7" s="1"/>
  <c r="X180" i="12"/>
  <c r="Y180" i="12" s="1"/>
  <c r="T828" i="7"/>
  <c r="R829" i="7" s="1"/>
  <c r="T829" i="7" s="1"/>
  <c r="R830" i="7" s="1"/>
  <c r="T830" i="7" s="1"/>
  <c r="R831" i="7" s="1"/>
  <c r="T831" i="7" s="1"/>
  <c r="P832" i="7" s="1"/>
  <c r="W781" i="7" s="1"/>
  <c r="T829" i="8"/>
  <c r="C293" i="11"/>
  <c r="AF292" i="11"/>
  <c r="J293" i="11" s="1"/>
  <c r="AC731" i="7"/>
  <c r="Y731" i="7"/>
  <c r="AA731" i="7" s="1"/>
  <c r="AC124" i="12"/>
  <c r="S1358" i="6"/>
  <c r="Z124" i="12"/>
  <c r="AB124" i="12" s="1"/>
  <c r="W399" i="7"/>
  <c r="X399" i="7" s="1"/>
  <c r="X895" i="7"/>
  <c r="U553" i="7"/>
  <c r="S554" i="7" s="1"/>
  <c r="U554" i="7" s="1"/>
  <c r="S555" i="7" s="1"/>
  <c r="U555" i="7" s="1"/>
  <c r="S556" i="7" s="1"/>
  <c r="U556" i="7" s="1"/>
  <c r="X1005" i="8"/>
  <c r="Y1005" i="8" s="1"/>
  <c r="AC234" i="8"/>
  <c r="AA950" i="8"/>
  <c r="AB242" i="11" l="1"/>
  <c r="AD242" i="11"/>
  <c r="AA242" i="11"/>
  <c r="Z242" i="11"/>
  <c r="Y242" i="11"/>
  <c r="C243" i="11" s="1"/>
  <c r="AE242" i="11"/>
  <c r="AC242" i="11"/>
  <c r="AC236" i="12"/>
  <c r="G293" i="11"/>
  <c r="W235" i="8"/>
  <c r="P557" i="7"/>
  <c r="W506" i="7" s="1"/>
  <c r="AA508" i="7" s="1"/>
  <c r="CQ241" i="11"/>
  <c r="Z236" i="12"/>
  <c r="AA236" i="12" s="1"/>
  <c r="AA844" i="7"/>
  <c r="B2312" i="6"/>
  <c r="C2312" i="6" s="1"/>
  <c r="D243" i="11"/>
  <c r="AZ244" i="11"/>
  <c r="AA234" i="8"/>
  <c r="AB565" i="7"/>
  <c r="W566" i="7" s="1"/>
  <c r="BA244" i="11"/>
  <c r="BC244" i="11" s="1"/>
  <c r="BB244" i="11" s="1"/>
  <c r="BM244" i="11" s="1"/>
  <c r="E2511" i="6"/>
  <c r="D2511" i="6"/>
  <c r="D2246" i="6"/>
  <c r="E2246" i="6"/>
  <c r="B2247" i="6" s="1"/>
  <c r="E2377" i="6"/>
  <c r="B2378" i="6" s="1"/>
  <c r="D2377" i="6"/>
  <c r="D2444" i="6"/>
  <c r="E2444" i="6"/>
  <c r="B2445" i="6" s="1"/>
  <c r="AC735" i="8"/>
  <c r="Y735" i="8"/>
  <c r="Z735" i="8"/>
  <c r="AB735" i="8" s="1"/>
  <c r="Y399" i="8"/>
  <c r="Z399" i="8"/>
  <c r="AB399" i="8" s="1"/>
  <c r="B1636" i="6"/>
  <c r="D1636" i="6" s="1"/>
  <c r="X1061" i="8"/>
  <c r="Y1061" i="8" s="1"/>
  <c r="Q830" i="8"/>
  <c r="AC565" i="8"/>
  <c r="Z565" i="8"/>
  <c r="Y894" i="8"/>
  <c r="Z894" i="8"/>
  <c r="AB894" i="8" s="1"/>
  <c r="N1196" i="6"/>
  <c r="P1196" i="6" s="1"/>
  <c r="AA783" i="7"/>
  <c r="W125" i="12"/>
  <c r="X457" i="7"/>
  <c r="U882" i="8"/>
  <c r="AB731" i="7"/>
  <c r="N1479" i="6"/>
  <c r="P1479" i="6" s="1"/>
  <c r="S1069" i="6"/>
  <c r="Q1070" i="6" s="1"/>
  <c r="R1070" i="6" s="1"/>
  <c r="AA509" i="8"/>
  <c r="AC895" i="7"/>
  <c r="Z895" i="7"/>
  <c r="Q1207" i="6"/>
  <c r="R1207" i="6" s="1"/>
  <c r="Y895" i="7"/>
  <c r="AA895" i="7" s="1"/>
  <c r="Y399" i="7"/>
  <c r="Z399" i="7"/>
  <c r="AB399" i="7" s="1"/>
  <c r="Y565" i="8"/>
  <c r="X126" i="7"/>
  <c r="Y126" i="7" s="1"/>
  <c r="B1589" i="6"/>
  <c r="D1589" i="6" s="1"/>
  <c r="W180" i="7"/>
  <c r="AB290" i="7"/>
  <c r="C1544" i="6"/>
  <c r="D1683" i="6"/>
  <c r="B1684" i="6" s="1"/>
  <c r="C1684" i="6" s="1"/>
  <c r="AA124" i="12"/>
  <c r="W347" i="7"/>
  <c r="X347" i="7" s="1"/>
  <c r="Z347" i="7" s="1"/>
  <c r="AB844" i="7"/>
  <c r="AB621" i="8"/>
  <c r="Q1488" i="6"/>
  <c r="R1488" i="6" s="1"/>
  <c r="AC399" i="7"/>
  <c r="R1251" i="6"/>
  <c r="X676" i="7"/>
  <c r="W681" i="8"/>
  <c r="X681" i="8" s="1"/>
  <c r="W510" i="8"/>
  <c r="X620" i="7"/>
  <c r="X951" i="8"/>
  <c r="E293" i="11"/>
  <c r="AA565" i="7"/>
  <c r="U333" i="12"/>
  <c r="S334" i="12" s="1"/>
  <c r="U334" i="12" s="1"/>
  <c r="S335" i="12" s="1"/>
  <c r="U335" i="12" s="1"/>
  <c r="S336" i="12" s="1"/>
  <c r="U336" i="12" s="1"/>
  <c r="Z1005" i="8"/>
  <c r="AB1005" i="8" s="1"/>
  <c r="AC1005" i="8"/>
  <c r="P337" i="12"/>
  <c r="W286" i="12" s="1"/>
  <c r="Q1412" i="6"/>
  <c r="S1412" i="6" s="1"/>
  <c r="BP242" i="11"/>
  <c r="AB345" i="8"/>
  <c r="X292" i="8"/>
  <c r="N1150" i="6"/>
  <c r="P1150" i="6" s="1"/>
  <c r="AC180" i="12"/>
  <c r="Z180" i="12"/>
  <c r="AB180" i="12" s="1"/>
  <c r="AA179" i="7"/>
  <c r="W455" i="8"/>
  <c r="Q1359" i="6"/>
  <c r="R1359" i="6" s="1"/>
  <c r="AA454" i="8"/>
  <c r="R1312" i="6"/>
  <c r="S1487" i="6"/>
  <c r="AC399" i="8"/>
  <c r="T168" i="8"/>
  <c r="R169" i="8" s="1"/>
  <c r="T169" i="8" s="1"/>
  <c r="R170" i="8" s="1"/>
  <c r="T170" i="8" s="1"/>
  <c r="R171" i="8" s="1"/>
  <c r="T171" i="8" s="1"/>
  <c r="P172" i="8" s="1"/>
  <c r="W121" i="8" s="1"/>
  <c r="AC182" i="8"/>
  <c r="Z182" i="8"/>
  <c r="AB182" i="8" s="1"/>
  <c r="AC237" i="7"/>
  <c r="Y237" i="7"/>
  <c r="AA237" i="7" s="1"/>
  <c r="AC894" i="8"/>
  <c r="BO242" i="11"/>
  <c r="CR241" i="11"/>
  <c r="BV242" i="11" s="1"/>
  <c r="BQ242" i="11"/>
  <c r="X235" i="8" l="1"/>
  <c r="AF242" i="11"/>
  <c r="E243" i="11" s="1"/>
  <c r="AB236" i="12"/>
  <c r="AA565" i="8"/>
  <c r="C2378" i="6"/>
  <c r="BG244" i="11"/>
  <c r="BJ244" i="11"/>
  <c r="BF244" i="11"/>
  <c r="BH244" i="11"/>
  <c r="BK244" i="11"/>
  <c r="BE244" i="11"/>
  <c r="BI244" i="11"/>
  <c r="Z235" i="8"/>
  <c r="AB235" i="8" s="1"/>
  <c r="AC235" i="8"/>
  <c r="E2312" i="6"/>
  <c r="D2312" i="6"/>
  <c r="AA1005" i="8"/>
  <c r="C2247" i="6"/>
  <c r="C2445" i="6"/>
  <c r="AC681" i="8"/>
  <c r="Y681" i="8"/>
  <c r="Z681" i="8"/>
  <c r="AB681" i="8" s="1"/>
  <c r="Z951" i="8"/>
  <c r="AC951" i="8"/>
  <c r="D2378" i="6"/>
  <c r="E2378" i="6"/>
  <c r="B2379" i="6" s="1"/>
  <c r="X455" i="8"/>
  <c r="Y951" i="8"/>
  <c r="AA735" i="8"/>
  <c r="W346" i="8"/>
  <c r="X346" i="8" s="1"/>
  <c r="Z346" i="8"/>
  <c r="BR242" i="11"/>
  <c r="W400" i="7"/>
  <c r="W183" i="8"/>
  <c r="Z292" i="8"/>
  <c r="AC292" i="8"/>
  <c r="S1070" i="6"/>
  <c r="Q1071" i="6" s="1"/>
  <c r="R1071" i="6" s="1"/>
  <c r="V830" i="8"/>
  <c r="S830" i="8"/>
  <c r="R830" i="8"/>
  <c r="T830" i="8" s="1"/>
  <c r="AC620" i="7"/>
  <c r="Z620" i="7"/>
  <c r="W291" i="7"/>
  <c r="X291" i="7" s="1"/>
  <c r="Z291" i="7" s="1"/>
  <c r="O1479" i="6"/>
  <c r="N1480" i="6" s="1"/>
  <c r="Q1437" i="6" s="1"/>
  <c r="AC1061" i="8"/>
  <c r="Z1061" i="8"/>
  <c r="AB1061" i="8" s="1"/>
  <c r="W732" i="7"/>
  <c r="X732" i="7" s="1"/>
  <c r="C1636" i="6"/>
  <c r="S1359" i="6"/>
  <c r="Q1360" i="6" s="1"/>
  <c r="R1360" i="6" s="1"/>
  <c r="AC676" i="7"/>
  <c r="Z676" i="7"/>
  <c r="W622" i="8"/>
  <c r="X622" i="8" s="1"/>
  <c r="Z622" i="8" s="1"/>
  <c r="R1412" i="6"/>
  <c r="W845" i="7"/>
  <c r="X845" i="7" s="1"/>
  <c r="BS242" i="11"/>
  <c r="AA288" i="12"/>
  <c r="O1196" i="6"/>
  <c r="Y347" i="7"/>
  <c r="AA347" i="7" s="1"/>
  <c r="AC347" i="7"/>
  <c r="O1150" i="6"/>
  <c r="N1151" i="6" s="1"/>
  <c r="Q1108" i="6" s="1"/>
  <c r="X566" i="7"/>
  <c r="AB565" i="8"/>
  <c r="AA180" i="12"/>
  <c r="Q1313" i="6"/>
  <c r="S1313" i="6" s="1"/>
  <c r="W736" i="8"/>
  <c r="Y292" i="8"/>
  <c r="B1545" i="6"/>
  <c r="D1545" i="6" s="1"/>
  <c r="AC126" i="7"/>
  <c r="Z126" i="7"/>
  <c r="AB126" i="7" s="1"/>
  <c r="AB783" i="7"/>
  <c r="Y620" i="7"/>
  <c r="S1251" i="6"/>
  <c r="Q1252" i="6" s="1"/>
  <c r="R1252" i="6" s="1"/>
  <c r="P883" i="8"/>
  <c r="Q883" i="8" s="1"/>
  <c r="X180" i="7"/>
  <c r="Y180" i="7" s="1"/>
  <c r="AA399" i="7"/>
  <c r="AC457" i="7"/>
  <c r="Z457" i="7"/>
  <c r="Y457" i="7"/>
  <c r="AA457" i="7" s="1"/>
  <c r="AA123" i="8"/>
  <c r="Y676" i="7"/>
  <c r="W181" i="12"/>
  <c r="S1207" i="6"/>
  <c r="AB237" i="7"/>
  <c r="AA182" i="8"/>
  <c r="W1006" i="8"/>
  <c r="AB895" i="7"/>
  <c r="AB508" i="7"/>
  <c r="W895" i="8"/>
  <c r="W400" i="8"/>
  <c r="S1488" i="6"/>
  <c r="AA894" i="8"/>
  <c r="AA399" i="8"/>
  <c r="B2512" i="6"/>
  <c r="C2512" i="6" s="1"/>
  <c r="X125" i="12"/>
  <c r="Y125" i="12" s="1"/>
  <c r="W237" i="12"/>
  <c r="X237" i="12" s="1"/>
  <c r="Z237" i="12"/>
  <c r="H293" i="11"/>
  <c r="I293" i="11" s="1"/>
  <c r="D1684" i="6"/>
  <c r="C1589" i="6"/>
  <c r="X510" i="8"/>
  <c r="Y510" i="8" s="1"/>
  <c r="Y235" i="8"/>
  <c r="H243" i="11" l="1"/>
  <c r="I243" i="11" s="1"/>
  <c r="AB620" i="7"/>
  <c r="AA676" i="7"/>
  <c r="X1006" i="8"/>
  <c r="Z1006" i="8" s="1"/>
  <c r="AA235" i="8"/>
  <c r="J243" i="11"/>
  <c r="F243" i="11"/>
  <c r="N243" i="11" s="1"/>
  <c r="AA951" i="8"/>
  <c r="G243" i="11"/>
  <c r="O243" i="11" s="1"/>
  <c r="S243" i="11" s="1"/>
  <c r="B2313" i="6"/>
  <c r="C2313" i="6" s="1"/>
  <c r="AB292" i="8"/>
  <c r="AI245" i="11"/>
  <c r="BL244" i="11"/>
  <c r="AK245" i="11" s="1"/>
  <c r="L243" i="11"/>
  <c r="K243" i="11"/>
  <c r="Q243" i="11" s="1"/>
  <c r="P243" i="11"/>
  <c r="M243" i="11"/>
  <c r="R243" i="11" s="1"/>
  <c r="AB347" i="7"/>
  <c r="AJ245" i="11"/>
  <c r="C2379" i="6"/>
  <c r="N293" i="11"/>
  <c r="P293" i="11"/>
  <c r="O293" i="11"/>
  <c r="S293" i="11" s="1"/>
  <c r="M293" i="11"/>
  <c r="R293" i="11" s="1"/>
  <c r="U293" i="11" s="1"/>
  <c r="L293" i="11"/>
  <c r="K293" i="11"/>
  <c r="Q293" i="11" s="1"/>
  <c r="N1197" i="6"/>
  <c r="P1197" i="6" s="1"/>
  <c r="W293" i="8"/>
  <c r="B1590" i="6"/>
  <c r="D1590" i="6" s="1"/>
  <c r="X181" i="12"/>
  <c r="Y181" i="12" s="1"/>
  <c r="Y346" i="8"/>
  <c r="AA346" i="8" s="1"/>
  <c r="AC346" i="8"/>
  <c r="W127" i="7"/>
  <c r="W236" i="8"/>
  <c r="X236" i="8" s="1"/>
  <c r="AC236" i="8" s="1"/>
  <c r="E2445" i="6"/>
  <c r="D2445" i="6"/>
  <c r="AB457" i="7"/>
  <c r="Q1413" i="6"/>
  <c r="S1413" i="6" s="1"/>
  <c r="W1062" i="8"/>
  <c r="Q1489" i="6"/>
  <c r="R1489" i="6" s="1"/>
  <c r="X400" i="7"/>
  <c r="Y400" i="7" s="1"/>
  <c r="E2512" i="6"/>
  <c r="B2513" i="6" s="1"/>
  <c r="C2513" i="6" s="1"/>
  <c r="D2512" i="6"/>
  <c r="R1110" i="6"/>
  <c r="AC622" i="8"/>
  <c r="Y622" i="8"/>
  <c r="AA622" i="8" s="1"/>
  <c r="Y291" i="7"/>
  <c r="AA291" i="7" s="1"/>
  <c r="AC291" i="7"/>
  <c r="B1685" i="6"/>
  <c r="C1685" i="6" s="1"/>
  <c r="V883" i="8"/>
  <c r="R883" i="8"/>
  <c r="C1545" i="6"/>
  <c r="X183" i="8"/>
  <c r="AA292" i="8"/>
  <c r="AA126" i="7"/>
  <c r="W238" i="7"/>
  <c r="X238" i="7" s="1"/>
  <c r="Z238" i="7" s="1"/>
  <c r="BY242" i="11"/>
  <c r="CD242" i="11" s="1"/>
  <c r="BZ242" i="11"/>
  <c r="U830" i="8"/>
  <c r="X895" i="8"/>
  <c r="S1252" i="6"/>
  <c r="R1313" i="6"/>
  <c r="AC1006" i="8"/>
  <c r="B1637" i="6"/>
  <c r="D1637" i="6" s="1"/>
  <c r="S1071" i="6"/>
  <c r="Q1072" i="6" s="1"/>
  <c r="R1072" i="6" s="1"/>
  <c r="W682" i="8"/>
  <c r="Q1208" i="6"/>
  <c r="R1208" i="6" s="1"/>
  <c r="AB123" i="8"/>
  <c r="AC732" i="7"/>
  <c r="Y732" i="7"/>
  <c r="AC783" i="7"/>
  <c r="W784" i="7" s="1"/>
  <c r="X784" i="7" s="1"/>
  <c r="Y784" i="7" s="1"/>
  <c r="W348" i="7"/>
  <c r="X348" i="7" s="1"/>
  <c r="Z348" i="7" s="1"/>
  <c r="Z732" i="7"/>
  <c r="AB346" i="8"/>
  <c r="W566" i="8"/>
  <c r="X566" i="8" s="1"/>
  <c r="Z566" i="8"/>
  <c r="Y845" i="7"/>
  <c r="AC845" i="7"/>
  <c r="AA1061" i="8"/>
  <c r="Z845" i="7"/>
  <c r="AB845" i="7" s="1"/>
  <c r="X736" i="8"/>
  <c r="AC508" i="7"/>
  <c r="AC566" i="7"/>
  <c r="Z566" i="7"/>
  <c r="AC455" i="8"/>
  <c r="Z455" i="8"/>
  <c r="Y1006" i="8"/>
  <c r="AA1006" i="8" s="1"/>
  <c r="Y566" i="7"/>
  <c r="AA566" i="7" s="1"/>
  <c r="R1439" i="6"/>
  <c r="Y455" i="8"/>
  <c r="W896" i="7"/>
  <c r="X896" i="7" s="1"/>
  <c r="AC180" i="7"/>
  <c r="Z180" i="7"/>
  <c r="AB180" i="7" s="1"/>
  <c r="AC237" i="12"/>
  <c r="Y237" i="12"/>
  <c r="AA237" i="12" s="1"/>
  <c r="AB676" i="7"/>
  <c r="Z125" i="12"/>
  <c r="AB125" i="12" s="1"/>
  <c r="AC125" i="12"/>
  <c r="W621" i="7"/>
  <c r="S883" i="8"/>
  <c r="U883" i="8" s="1"/>
  <c r="E2247" i="6"/>
  <c r="D2247" i="6"/>
  <c r="S1360" i="6"/>
  <c r="Q1361" i="6" s="1"/>
  <c r="R1361" i="6" s="1"/>
  <c r="AB951" i="8"/>
  <c r="X400" i="8"/>
  <c r="Y400" i="8" s="1"/>
  <c r="AC510" i="8"/>
  <c r="Z510" i="8"/>
  <c r="AB510" i="8" s="1"/>
  <c r="AA620" i="7"/>
  <c r="BT242" i="11"/>
  <c r="BU242" i="11" s="1"/>
  <c r="CA242" i="11" s="1"/>
  <c r="CE242" i="11" s="1"/>
  <c r="AB288" i="12"/>
  <c r="AA681" i="8"/>
  <c r="AB455" i="8" l="1"/>
  <c r="AA732" i="7"/>
  <c r="B2248" i="6"/>
  <c r="C2248" i="6" s="1"/>
  <c r="D1685" i="6"/>
  <c r="CB242" i="11"/>
  <c r="D2313" i="6"/>
  <c r="E2313" i="6"/>
  <c r="B2314" i="6" s="1"/>
  <c r="C2314" i="6"/>
  <c r="S1489" i="6"/>
  <c r="T243" i="11"/>
  <c r="AB237" i="12"/>
  <c r="W238" i="12" s="1"/>
  <c r="X238" i="12" s="1"/>
  <c r="AC238" i="12" s="1"/>
  <c r="U243" i="11"/>
  <c r="X243" i="11" s="1"/>
  <c r="AP245" i="11"/>
  <c r="AL245" i="11"/>
  <c r="AM245" i="11"/>
  <c r="S1208" i="6"/>
  <c r="D2513" i="6"/>
  <c r="E2513" i="6"/>
  <c r="B2514" i="6" s="1"/>
  <c r="X621" i="7"/>
  <c r="Y621" i="7" s="1"/>
  <c r="AC895" i="8"/>
  <c r="Z895" i="8"/>
  <c r="Y895" i="8"/>
  <c r="AA895" i="8" s="1"/>
  <c r="AC896" i="7"/>
  <c r="Y896" i="7"/>
  <c r="W458" i="7"/>
  <c r="X458" i="7" s="1"/>
  <c r="Z896" i="7"/>
  <c r="Y236" i="8"/>
  <c r="Y348" i="7"/>
  <c r="AA348" i="7" s="1"/>
  <c r="B2446" i="6"/>
  <c r="C2446" i="6" s="1"/>
  <c r="C1590" i="6"/>
  <c r="Y566" i="8"/>
  <c r="AA566" i="8" s="1"/>
  <c r="AC566" i="8"/>
  <c r="AA510" i="8"/>
  <c r="W952" i="8"/>
  <c r="X952" i="8" s="1"/>
  <c r="Z952" i="8"/>
  <c r="S1361" i="6"/>
  <c r="AB622" i="8"/>
  <c r="AB1006" i="8"/>
  <c r="AB732" i="7"/>
  <c r="Y238" i="7"/>
  <c r="AA238" i="7" s="1"/>
  <c r="AC238" i="7"/>
  <c r="AC288" i="12"/>
  <c r="X127" i="7"/>
  <c r="AC784" i="7"/>
  <c r="Q1490" i="6"/>
  <c r="R1490" i="6" s="1"/>
  <c r="AA125" i="12"/>
  <c r="Z736" i="8"/>
  <c r="AC736" i="8"/>
  <c r="AC183" i="8"/>
  <c r="Z183" i="8"/>
  <c r="W511" i="8"/>
  <c r="W181" i="7"/>
  <c r="Y736" i="8"/>
  <c r="Y183" i="8"/>
  <c r="AA183" i="8" s="1"/>
  <c r="S1110" i="6"/>
  <c r="Q1111" i="6" s="1"/>
  <c r="R1111" i="6" s="1"/>
  <c r="W846" i="7"/>
  <c r="R1413" i="6"/>
  <c r="P884" i="8"/>
  <c r="W456" i="8"/>
  <c r="X1062" i="8"/>
  <c r="B1546" i="6"/>
  <c r="D1546" i="6" s="1"/>
  <c r="Z181" i="12"/>
  <c r="AB181" i="12" s="1"/>
  <c r="AC181" i="12"/>
  <c r="T883" i="8"/>
  <c r="AA845" i="7"/>
  <c r="AC123" i="8"/>
  <c r="W124" i="8" s="1"/>
  <c r="X124" i="8" s="1"/>
  <c r="AC400" i="8"/>
  <c r="Z400" i="8"/>
  <c r="AB400" i="8" s="1"/>
  <c r="AA455" i="8"/>
  <c r="B1686" i="6"/>
  <c r="C1686" i="6" s="1"/>
  <c r="W126" i="12"/>
  <c r="AB566" i="7"/>
  <c r="P831" i="8"/>
  <c r="Q831" i="8" s="1"/>
  <c r="S831" i="8" s="1"/>
  <c r="E2379" i="6"/>
  <c r="D2379" i="6"/>
  <c r="B2380" i="6"/>
  <c r="W677" i="7"/>
  <c r="X677" i="7" s="1"/>
  <c r="Z236" i="8"/>
  <c r="Q1253" i="6"/>
  <c r="R1253" i="6" s="1"/>
  <c r="AC348" i="7"/>
  <c r="W347" i="8"/>
  <c r="X347" i="8" s="1"/>
  <c r="AC347" i="8" s="1"/>
  <c r="CG242" i="11"/>
  <c r="O1197" i="6"/>
  <c r="N1198" i="6" s="1"/>
  <c r="Q1155" i="6" s="1"/>
  <c r="X682" i="8"/>
  <c r="Y682" i="8" s="1"/>
  <c r="W509" i="7"/>
  <c r="X509" i="7" s="1"/>
  <c r="AC509" i="7" s="1"/>
  <c r="S1072" i="6"/>
  <c r="Q1073" i="6" s="1"/>
  <c r="R1073" i="6" s="1"/>
  <c r="AC400" i="7"/>
  <c r="Z400" i="7"/>
  <c r="AB400" i="7" s="1"/>
  <c r="AB291" i="7"/>
  <c r="C1637" i="6"/>
  <c r="BX242" i="11"/>
  <c r="BW242" i="11"/>
  <c r="CC242" i="11" s="1"/>
  <c r="S1439" i="6"/>
  <c r="Z784" i="7"/>
  <c r="AB784" i="7" s="1"/>
  <c r="Q1314" i="6"/>
  <c r="S1314" i="6" s="1"/>
  <c r="X293" i="8"/>
  <c r="T293" i="11"/>
  <c r="AG293" i="11" s="1"/>
  <c r="AA180" i="7"/>
  <c r="AA896" i="7" l="1"/>
  <c r="Q1209" i="6"/>
  <c r="R1209" i="6" s="1"/>
  <c r="C2380" i="6"/>
  <c r="E2380" i="6" s="1"/>
  <c r="W243" i="11"/>
  <c r="V243" i="11"/>
  <c r="AA736" i="8"/>
  <c r="D2314" i="6"/>
  <c r="E2314" i="6"/>
  <c r="B2315" i="6"/>
  <c r="C2315" i="6" s="1"/>
  <c r="C1546" i="6"/>
  <c r="B1547" i="6" s="1"/>
  <c r="D1547" i="6" s="1"/>
  <c r="S1490" i="6"/>
  <c r="Q1491" i="6" s="1"/>
  <c r="S1491" i="6" s="1"/>
  <c r="AA236" i="8"/>
  <c r="AA181" i="12"/>
  <c r="R1314" i="6"/>
  <c r="Q1315" i="6" s="1"/>
  <c r="S1315" i="6" s="1"/>
  <c r="AN245" i="11"/>
  <c r="AO245" i="11" s="1"/>
  <c r="AB566" i="8"/>
  <c r="W567" i="8" s="1"/>
  <c r="X567" i="8" s="1"/>
  <c r="Z567" i="8" s="1"/>
  <c r="C2514" i="6"/>
  <c r="Y293" i="11"/>
  <c r="X294" i="11"/>
  <c r="W294" i="11"/>
  <c r="AE293" i="11"/>
  <c r="V294" i="11"/>
  <c r="AD293" i="11"/>
  <c r="AC293" i="11"/>
  <c r="AB293" i="11"/>
  <c r="AA293" i="11"/>
  <c r="Z293" i="11"/>
  <c r="E2446" i="6"/>
  <c r="D2446" i="6"/>
  <c r="Y124" i="8"/>
  <c r="Z124" i="8"/>
  <c r="R1157" i="6"/>
  <c r="AB236" i="8"/>
  <c r="Y347" i="8"/>
  <c r="AA347" i="8" s="1"/>
  <c r="CF242" i="11"/>
  <c r="CJ242" i="11" s="1"/>
  <c r="AC127" i="7"/>
  <c r="Z127" i="7"/>
  <c r="B1638" i="6"/>
  <c r="D1638" i="6" s="1"/>
  <c r="AB183" i="8"/>
  <c r="Q1414" i="6"/>
  <c r="S1414" i="6" s="1"/>
  <c r="W785" i="7"/>
  <c r="Y238" i="12"/>
  <c r="Z1062" i="8"/>
  <c r="AC1062" i="8"/>
  <c r="Y1062" i="8"/>
  <c r="AA1062" i="8" s="1"/>
  <c r="Y677" i="7"/>
  <c r="AC677" i="7"/>
  <c r="Z347" i="8"/>
  <c r="X456" i="8"/>
  <c r="Y456" i="8" s="1"/>
  <c r="Y127" i="7"/>
  <c r="AA400" i="8"/>
  <c r="Z677" i="7"/>
  <c r="D1686" i="6"/>
  <c r="B1687" i="6" s="1"/>
  <c r="C1687" i="6" s="1"/>
  <c r="AC124" i="8"/>
  <c r="Z238" i="12"/>
  <c r="W292" i="7"/>
  <c r="X292" i="7" s="1"/>
  <c r="AB895" i="8"/>
  <c r="X181" i="7"/>
  <c r="AB238" i="7"/>
  <c r="V831" i="8"/>
  <c r="R831" i="8"/>
  <c r="T831" i="8" s="1"/>
  <c r="X511" i="8"/>
  <c r="Y511" i="8" s="1"/>
  <c r="AB896" i="7"/>
  <c r="Q1362" i="6"/>
  <c r="R1362" i="6" s="1"/>
  <c r="Y952" i="8"/>
  <c r="AA952" i="8" s="1"/>
  <c r="AC952" i="8"/>
  <c r="Q884" i="8"/>
  <c r="R884" i="8" s="1"/>
  <c r="W733" i="7"/>
  <c r="X733" i="7" s="1"/>
  <c r="E2248" i="6"/>
  <c r="D2248" i="6"/>
  <c r="W1007" i="8"/>
  <c r="X1007" i="8" s="1"/>
  <c r="Z1007" i="8" s="1"/>
  <c r="Y458" i="7"/>
  <c r="AC458" i="7"/>
  <c r="S1253" i="6"/>
  <c r="Q1254" i="6"/>
  <c r="R1254" i="6" s="1"/>
  <c r="Q1440" i="6"/>
  <c r="R1440" i="6" s="1"/>
  <c r="W401" i="8"/>
  <c r="W289" i="12"/>
  <c r="X289" i="12" s="1"/>
  <c r="AC289" i="12" s="1"/>
  <c r="AB348" i="7"/>
  <c r="X846" i="7"/>
  <c r="AC293" i="8"/>
  <c r="Z293" i="8"/>
  <c r="Y293" i="8"/>
  <c r="Y509" i="7"/>
  <c r="Z509" i="7"/>
  <c r="AB509" i="7" s="1"/>
  <c r="W182" i="12"/>
  <c r="W623" i="8"/>
  <c r="X623" i="8" s="1"/>
  <c r="Z623" i="8" s="1"/>
  <c r="Z458" i="7"/>
  <c r="AB458" i="7" s="1"/>
  <c r="AA784" i="7"/>
  <c r="W401" i="7"/>
  <c r="AB736" i="8"/>
  <c r="X126" i="12"/>
  <c r="S1073" i="6"/>
  <c r="Q1074" i="6" s="1"/>
  <c r="R1074" i="6" s="1"/>
  <c r="W567" i="7"/>
  <c r="X567" i="7" s="1"/>
  <c r="Z567" i="7"/>
  <c r="AC682" i="8"/>
  <c r="Z682" i="8"/>
  <c r="AB682" i="8" s="1"/>
  <c r="S1111" i="6"/>
  <c r="Q1112" i="6" s="1"/>
  <c r="R1112" i="6" s="1"/>
  <c r="B1591" i="6"/>
  <c r="D1591" i="6" s="1"/>
  <c r="Z621" i="7"/>
  <c r="AB621" i="7" s="1"/>
  <c r="AC621" i="7"/>
  <c r="AA400" i="7"/>
  <c r="AA127" i="7" l="1"/>
  <c r="X182" i="12"/>
  <c r="D2380" i="6"/>
  <c r="AG243" i="11"/>
  <c r="AD243" i="11" s="1"/>
  <c r="AR245" i="11"/>
  <c r="AS245" i="11"/>
  <c r="AX245" i="11" s="1"/>
  <c r="AQ245" i="11"/>
  <c r="AW245" i="11" s="1"/>
  <c r="AZ245" i="11" s="1"/>
  <c r="AU245" i="11"/>
  <c r="AY245" i="11" s="1"/>
  <c r="BD245" i="11" s="1"/>
  <c r="AV245" i="11"/>
  <c r="AT245" i="11"/>
  <c r="AB243" i="11"/>
  <c r="AA243" i="11"/>
  <c r="D244" i="11" s="1"/>
  <c r="Z243" i="11"/>
  <c r="Y243" i="11"/>
  <c r="AE243" i="11"/>
  <c r="AC243" i="11"/>
  <c r="B2249" i="6"/>
  <c r="C2249" i="6" s="1"/>
  <c r="AA124" i="8"/>
  <c r="S1362" i="6"/>
  <c r="Q1363" i="6" s="1"/>
  <c r="S1363" i="6" s="1"/>
  <c r="C1547" i="6"/>
  <c r="B1548" i="6" s="1"/>
  <c r="D1548" i="6" s="1"/>
  <c r="D2315" i="6"/>
  <c r="E2315" i="6"/>
  <c r="B2316" i="6" s="1"/>
  <c r="C2316" i="6"/>
  <c r="AB677" i="7"/>
  <c r="B2381" i="6"/>
  <c r="AB952" i="8"/>
  <c r="W953" i="8" s="1"/>
  <c r="X953" i="8" s="1"/>
  <c r="AA238" i="12"/>
  <c r="AA293" i="8"/>
  <c r="S1209" i="6"/>
  <c r="C2381" i="6"/>
  <c r="AC182" i="12"/>
  <c r="Y182" i="12"/>
  <c r="Z182" i="12"/>
  <c r="AB182" i="12" s="1"/>
  <c r="S1440" i="6"/>
  <c r="Q1441" i="6" s="1"/>
  <c r="R1441" i="6" s="1"/>
  <c r="Y567" i="7"/>
  <c r="AA567" i="7" s="1"/>
  <c r="AC567" i="7"/>
  <c r="W239" i="7"/>
  <c r="X239" i="7" s="1"/>
  <c r="Z126" i="12"/>
  <c r="AC126" i="12"/>
  <c r="AB347" i="8"/>
  <c r="S1157" i="6"/>
  <c r="Q1158" i="6"/>
  <c r="R1158" i="6" s="1"/>
  <c r="W510" i="7"/>
  <c r="D294" i="11"/>
  <c r="AC292" i="7"/>
  <c r="Y292" i="7"/>
  <c r="AC567" i="8"/>
  <c r="X785" i="7"/>
  <c r="W459" i="7"/>
  <c r="X401" i="8"/>
  <c r="Y401" i="8" s="1"/>
  <c r="AC733" i="7"/>
  <c r="Y733" i="7"/>
  <c r="Z733" i="7"/>
  <c r="R1414" i="6"/>
  <c r="AA677" i="7"/>
  <c r="D2514" i="6"/>
  <c r="E2514" i="6"/>
  <c r="B2515" i="6"/>
  <c r="C2515" i="6"/>
  <c r="S1254" i="6"/>
  <c r="Q1255" i="6" s="1"/>
  <c r="R1255" i="6" s="1"/>
  <c r="AB1062" i="8"/>
  <c r="AA509" i="7"/>
  <c r="W737" i="8"/>
  <c r="X737" i="8" s="1"/>
  <c r="AB127" i="7"/>
  <c r="Z292" i="7"/>
  <c r="AB293" i="8"/>
  <c r="W897" i="7"/>
  <c r="X897" i="7" s="1"/>
  <c r="AB238" i="12"/>
  <c r="CI242" i="11"/>
  <c r="Z846" i="7"/>
  <c r="AC846" i="7"/>
  <c r="W678" i="7"/>
  <c r="R1315" i="6"/>
  <c r="W237" i="8"/>
  <c r="X237" i="8" s="1"/>
  <c r="Z237" i="8"/>
  <c r="B2447" i="6"/>
  <c r="C2447" i="6" s="1"/>
  <c r="Y567" i="8"/>
  <c r="AA567" i="8" s="1"/>
  <c r="AC623" i="8"/>
  <c r="Y623" i="8"/>
  <c r="AA623" i="8" s="1"/>
  <c r="AC181" i="7"/>
  <c r="Z181" i="7"/>
  <c r="W622" i="7"/>
  <c r="Y181" i="7"/>
  <c r="Y126" i="12"/>
  <c r="W349" i="7"/>
  <c r="X349" i="7" s="1"/>
  <c r="R1491" i="6"/>
  <c r="C1591" i="6"/>
  <c r="W184" i="8"/>
  <c r="X184" i="8" s="1"/>
  <c r="Z184" i="8"/>
  <c r="Y289" i="12"/>
  <c r="Z289" i="12"/>
  <c r="AB289" i="12" s="1"/>
  <c r="W896" i="8"/>
  <c r="X896" i="8" s="1"/>
  <c r="Z896" i="8"/>
  <c r="W683" i="8"/>
  <c r="AC1007" i="8"/>
  <c r="Y1007" i="8"/>
  <c r="AA1007" i="8" s="1"/>
  <c r="AC511" i="8"/>
  <c r="Z511" i="8"/>
  <c r="AB511" i="8" s="1"/>
  <c r="AA682" i="8"/>
  <c r="AA621" i="7"/>
  <c r="CH242" i="11"/>
  <c r="Y846" i="7"/>
  <c r="AA846" i="7" s="1"/>
  <c r="C294" i="11"/>
  <c r="AF293" i="11"/>
  <c r="J294" i="11" s="1"/>
  <c r="X401" i="7"/>
  <c r="Y401" i="7" s="1"/>
  <c r="S1074" i="6"/>
  <c r="Q1075" i="6" s="1"/>
  <c r="R1075" i="6" s="1"/>
  <c r="AC456" i="8"/>
  <c r="Z456" i="8"/>
  <c r="AB456" i="8" s="1"/>
  <c r="V884" i="8"/>
  <c r="S884" i="8"/>
  <c r="U884" i="8" s="1"/>
  <c r="S1112" i="6"/>
  <c r="C1638" i="6"/>
  <c r="AA458" i="7"/>
  <c r="U831" i="8"/>
  <c r="P832" i="8" s="1"/>
  <c r="W781" i="8" s="1"/>
  <c r="AA511" i="8"/>
  <c r="D1687" i="6"/>
  <c r="AB124" i="8"/>
  <c r="AB292" i="7" l="1"/>
  <c r="AA126" i="12"/>
  <c r="D2249" i="6"/>
  <c r="E2249" i="6"/>
  <c r="B2250" i="6" s="1"/>
  <c r="AA182" i="12"/>
  <c r="Q1210" i="6"/>
  <c r="R1210" i="6" s="1"/>
  <c r="AA181" i="7"/>
  <c r="AB733" i="7"/>
  <c r="BA245" i="11"/>
  <c r="BC245" i="11" s="1"/>
  <c r="BB245" i="11" s="1"/>
  <c r="BM245" i="11" s="1"/>
  <c r="C244" i="11"/>
  <c r="AF243" i="11"/>
  <c r="F294" i="11"/>
  <c r="E2316" i="6"/>
  <c r="D2316" i="6"/>
  <c r="CS242" i="11"/>
  <c r="CN242" i="11" s="1"/>
  <c r="AB1007" i="8"/>
  <c r="W1008" i="8" s="1"/>
  <c r="X1008" i="8" s="1"/>
  <c r="Y1008" i="8" s="1"/>
  <c r="D2447" i="6"/>
  <c r="E2447" i="6"/>
  <c r="B2448" i="6" s="1"/>
  <c r="Y953" i="8"/>
  <c r="Z953" i="8"/>
  <c r="AB953" i="8" s="1"/>
  <c r="AC953" i="8"/>
  <c r="AA783" i="8"/>
  <c r="C2250" i="6"/>
  <c r="AC239" i="7"/>
  <c r="Y239" i="7"/>
  <c r="AB846" i="7"/>
  <c r="Z785" i="7"/>
  <c r="AC785" i="7"/>
  <c r="AC737" i="8"/>
  <c r="Y737" i="8"/>
  <c r="X678" i="7"/>
  <c r="AA733" i="7"/>
  <c r="AB181" i="7"/>
  <c r="S1255" i="6"/>
  <c r="Z239" i="7"/>
  <c r="Y897" i="7"/>
  <c r="AC897" i="7"/>
  <c r="S1441" i="6"/>
  <c r="W290" i="12"/>
  <c r="AA289" i="12"/>
  <c r="AB623" i="8"/>
  <c r="R1363" i="6"/>
  <c r="AC237" i="8"/>
  <c r="Y237" i="8"/>
  <c r="AA237" i="8" s="1"/>
  <c r="S1158" i="6"/>
  <c r="Q1159" i="6" s="1"/>
  <c r="R1159" i="6" s="1"/>
  <c r="W348" i="8"/>
  <c r="X348" i="8" s="1"/>
  <c r="Z348" i="8" s="1"/>
  <c r="AA456" i="8"/>
  <c r="AC349" i="7"/>
  <c r="Y349" i="7"/>
  <c r="Z737" i="8"/>
  <c r="W183" i="12"/>
  <c r="T884" i="8"/>
  <c r="E2381" i="6"/>
  <c r="D2381" i="6"/>
  <c r="W1063" i="8"/>
  <c r="X1063" i="8" s="1"/>
  <c r="Z1063" i="8" s="1"/>
  <c r="P885" i="8"/>
  <c r="W239" i="12"/>
  <c r="X239" i="12" s="1"/>
  <c r="Y896" i="8"/>
  <c r="AA896" i="8" s="1"/>
  <c r="AC896" i="8"/>
  <c r="W294" i="8"/>
  <c r="X294" i="8" s="1"/>
  <c r="AC184" i="8"/>
  <c r="Y184" i="8"/>
  <c r="AA184" i="8" s="1"/>
  <c r="AC401" i="7"/>
  <c r="Z401" i="7"/>
  <c r="AB401" i="7" s="1"/>
  <c r="B1592" i="6"/>
  <c r="D1592" i="6" s="1"/>
  <c r="B1639" i="6"/>
  <c r="D1639" i="6" s="1"/>
  <c r="E294" i="11"/>
  <c r="Z349" i="7"/>
  <c r="G294" i="11"/>
  <c r="AB126" i="12"/>
  <c r="W734" i="7"/>
  <c r="X510" i="7"/>
  <c r="W125" i="8"/>
  <c r="X125" i="8" s="1"/>
  <c r="AC401" i="8"/>
  <c r="Z401" i="8"/>
  <c r="AB401" i="8" s="1"/>
  <c r="AB896" i="8"/>
  <c r="E2515" i="6"/>
  <c r="D2515" i="6"/>
  <c r="W457" i="8"/>
  <c r="X622" i="7"/>
  <c r="Z897" i="7"/>
  <c r="X683" i="8"/>
  <c r="C1548" i="6"/>
  <c r="AB184" i="8"/>
  <c r="Y785" i="7"/>
  <c r="B1688" i="6"/>
  <c r="C1688" i="6" s="1"/>
  <c r="S1075" i="6"/>
  <c r="Q1076" i="6" s="1"/>
  <c r="R1076" i="6" s="1"/>
  <c r="W512" i="8"/>
  <c r="X512" i="8" s="1"/>
  <c r="Y512" i="8" s="1"/>
  <c r="W293" i="7"/>
  <c r="X459" i="7"/>
  <c r="W128" i="7"/>
  <c r="X128" i="7" s="1"/>
  <c r="Z128" i="7"/>
  <c r="Q1113" i="6"/>
  <c r="R1113" i="6" s="1"/>
  <c r="Q1492" i="6"/>
  <c r="S1492" i="6" s="1"/>
  <c r="AB567" i="7"/>
  <c r="Q1316" i="6"/>
  <c r="S1316" i="6" s="1"/>
  <c r="Q1415" i="6"/>
  <c r="S1415" i="6" s="1"/>
  <c r="AA292" i="7"/>
  <c r="AB567" i="8"/>
  <c r="B2317" i="6" l="1"/>
  <c r="C2317" i="6" s="1"/>
  <c r="CL242" i="11"/>
  <c r="CM242" i="11"/>
  <c r="CO242" i="11"/>
  <c r="B2516" i="6"/>
  <c r="C2516" i="6" s="1"/>
  <c r="E2516" i="6" s="1"/>
  <c r="CP242" i="11"/>
  <c r="AB239" i="7"/>
  <c r="W240" i="7" s="1"/>
  <c r="CQ242" i="11"/>
  <c r="AA737" i="8"/>
  <c r="CK242" i="11"/>
  <c r="BO243" i="11" s="1"/>
  <c r="E2317" i="6"/>
  <c r="D2317" i="6"/>
  <c r="BH245" i="11"/>
  <c r="BG245" i="11"/>
  <c r="BK245" i="11"/>
  <c r="C11" i="11" s="1"/>
  <c r="C25" i="11" s="1"/>
  <c r="BJ245" i="11"/>
  <c r="BE245" i="11"/>
  <c r="BF245" i="11"/>
  <c r="BI245" i="11"/>
  <c r="J244" i="11"/>
  <c r="E244" i="11"/>
  <c r="F244" i="11"/>
  <c r="S1210" i="6"/>
  <c r="Q1211" i="6" s="1"/>
  <c r="R1211" i="6" s="1"/>
  <c r="X183" i="12"/>
  <c r="Z183" i="12" s="1"/>
  <c r="G244" i="11"/>
  <c r="AC512" i="8"/>
  <c r="D1688" i="6"/>
  <c r="B1689" i="6" s="1"/>
  <c r="C1689" i="6" s="1"/>
  <c r="AB237" i="8"/>
  <c r="W238" i="8" s="1"/>
  <c r="X238" i="8" s="1"/>
  <c r="AB349" i="7"/>
  <c r="W350" i="7" s="1"/>
  <c r="AB785" i="7"/>
  <c r="W786" i="7" s="1"/>
  <c r="B2382" i="6"/>
  <c r="C2382" i="6" s="1"/>
  <c r="AA897" i="7"/>
  <c r="C2448" i="6"/>
  <c r="W897" i="8"/>
  <c r="X897" i="8" s="1"/>
  <c r="Z897" i="8" s="1"/>
  <c r="X457" i="8"/>
  <c r="B1549" i="6"/>
  <c r="D1549" i="6" s="1"/>
  <c r="W185" i="8"/>
  <c r="Y1063" i="8"/>
  <c r="AA1063" i="8" s="1"/>
  <c r="AC1063" i="8"/>
  <c r="Z1008" i="8"/>
  <c r="AB1008" i="8" s="1"/>
  <c r="AC1008" i="8"/>
  <c r="Z683" i="8"/>
  <c r="AC683" i="8"/>
  <c r="AC510" i="7"/>
  <c r="Z510" i="7"/>
  <c r="W954" i="8"/>
  <c r="R1415" i="6"/>
  <c r="S1113" i="6"/>
  <c r="Q1114" i="6" s="1"/>
  <c r="R1114" i="6" s="1"/>
  <c r="AA401" i="7"/>
  <c r="Z512" i="8"/>
  <c r="AB512" i="8" s="1"/>
  <c r="X185" i="8"/>
  <c r="Y185" i="8" s="1"/>
  <c r="W624" i="8"/>
  <c r="X624" i="8" s="1"/>
  <c r="H294" i="11"/>
  <c r="I294" i="11" s="1"/>
  <c r="AB783" i="8"/>
  <c r="Q1256" i="6"/>
  <c r="R1256" i="6" s="1"/>
  <c r="Z459" i="7"/>
  <c r="AC459" i="7"/>
  <c r="W182" i="7"/>
  <c r="X182" i="7" s="1"/>
  <c r="Z182" i="7"/>
  <c r="X293" i="7"/>
  <c r="Y459" i="7"/>
  <c r="Y510" i="7"/>
  <c r="AA510" i="7" s="1"/>
  <c r="Q885" i="8"/>
  <c r="R885" i="8" s="1"/>
  <c r="C1592" i="6"/>
  <c r="AA953" i="8"/>
  <c r="W402" i="7"/>
  <c r="X734" i="7"/>
  <c r="S1076" i="6"/>
  <c r="AB737" i="8"/>
  <c r="X290" i="12"/>
  <c r="AA401" i="8"/>
  <c r="BP243" i="11"/>
  <c r="R1492" i="6"/>
  <c r="Q1442" i="6"/>
  <c r="R1442" i="6" s="1"/>
  <c r="W402" i="8"/>
  <c r="AC125" i="8"/>
  <c r="Y125" i="8"/>
  <c r="S1159" i="6"/>
  <c r="Q1160" i="6" s="1"/>
  <c r="R1160" i="6" s="1"/>
  <c r="W568" i="8"/>
  <c r="X568" i="8" s="1"/>
  <c r="Z568" i="8" s="1"/>
  <c r="Z125" i="8"/>
  <c r="C1639" i="6"/>
  <c r="AB897" i="7"/>
  <c r="W847" i="7"/>
  <c r="X847" i="7" s="1"/>
  <c r="AC622" i="7"/>
  <c r="Z622" i="7"/>
  <c r="Q1364" i="6"/>
  <c r="S1364" i="6" s="1"/>
  <c r="Y622" i="7"/>
  <c r="AA622" i="7" s="1"/>
  <c r="D2250" i="6"/>
  <c r="E2250" i="6"/>
  <c r="B2251" i="6" s="1"/>
  <c r="R1316" i="6"/>
  <c r="AC678" i="7"/>
  <c r="Z678" i="7"/>
  <c r="AC348" i="8"/>
  <c r="Y348" i="8"/>
  <c r="AA348" i="8" s="1"/>
  <c r="Y683" i="8"/>
  <c r="AC128" i="7"/>
  <c r="Y128" i="7"/>
  <c r="AA128" i="7" s="1"/>
  <c r="AA239" i="7"/>
  <c r="AC239" i="12"/>
  <c r="Y239" i="12"/>
  <c r="Z239" i="12"/>
  <c r="AB239" i="12" s="1"/>
  <c r="CR242" i="11"/>
  <c r="BV243" i="11" s="1"/>
  <c r="AC294" i="8"/>
  <c r="Y294" i="8"/>
  <c r="AA349" i="7"/>
  <c r="W568" i="7"/>
  <c r="X568" i="7" s="1"/>
  <c r="Z568" i="7" s="1"/>
  <c r="AA785" i="7"/>
  <c r="W127" i="12"/>
  <c r="X127" i="12" s="1"/>
  <c r="Z127" i="12"/>
  <c r="Z294" i="8"/>
  <c r="Y678" i="7"/>
  <c r="B2318" i="6" l="1"/>
  <c r="C2318" i="6" s="1"/>
  <c r="AA125" i="8"/>
  <c r="AA459" i="7"/>
  <c r="D2516" i="6"/>
  <c r="BQ243" i="11"/>
  <c r="H244" i="11"/>
  <c r="I244" i="11" s="1"/>
  <c r="N244" i="11" s="1"/>
  <c r="D1689" i="6"/>
  <c r="B2517" i="6"/>
  <c r="C2517" i="6" s="1"/>
  <c r="Y183" i="12"/>
  <c r="AB183" i="12" s="1"/>
  <c r="AC183" i="12"/>
  <c r="AB128" i="7"/>
  <c r="W129" i="7" s="1"/>
  <c r="X129" i="7" s="1"/>
  <c r="AB683" i="8"/>
  <c r="W684" i="8" s="1"/>
  <c r="Z185" i="8"/>
  <c r="AA185" i="8" s="1"/>
  <c r="AB1063" i="8"/>
  <c r="W1064" i="8" s="1"/>
  <c r="X1064" i="8" s="1"/>
  <c r="AB294" i="8"/>
  <c r="AA1008" i="8"/>
  <c r="S1211" i="6"/>
  <c r="AA678" i="7"/>
  <c r="BL245" i="11"/>
  <c r="B11" i="11" s="1"/>
  <c r="B25" i="11" s="1"/>
  <c r="N294" i="11"/>
  <c r="M294" i="11"/>
  <c r="R294" i="11" s="1"/>
  <c r="U294" i="11" s="1"/>
  <c r="O294" i="11"/>
  <c r="S294" i="11" s="1"/>
  <c r="K294" i="11"/>
  <c r="Q294" i="11" s="1"/>
  <c r="P294" i="11"/>
  <c r="L294" i="11"/>
  <c r="Y238" i="8"/>
  <c r="Z238" i="8"/>
  <c r="AB238" i="8" s="1"/>
  <c r="AC238" i="8"/>
  <c r="B1690" i="6"/>
  <c r="C1690" i="6" s="1"/>
  <c r="C2251" i="6"/>
  <c r="X402" i="8"/>
  <c r="Y402" i="8" s="1"/>
  <c r="Y897" i="8"/>
  <c r="AA897" i="8" s="1"/>
  <c r="R1364" i="6"/>
  <c r="AC897" i="8"/>
  <c r="X402" i="7"/>
  <c r="S1114" i="6"/>
  <c r="C1549" i="6"/>
  <c r="AC185" i="8"/>
  <c r="Q1416" i="6"/>
  <c r="S1416" i="6" s="1"/>
  <c r="AA239" i="12"/>
  <c r="Z734" i="7"/>
  <c r="AC734" i="7"/>
  <c r="W898" i="7"/>
  <c r="X898" i="7" s="1"/>
  <c r="Z898" i="7" s="1"/>
  <c r="X786" i="7"/>
  <c r="Y786" i="7" s="1"/>
  <c r="S1256" i="6"/>
  <c r="Q1257" i="6" s="1"/>
  <c r="R1257" i="6" s="1"/>
  <c r="AB568" i="7"/>
  <c r="AC783" i="8"/>
  <c r="Z293" i="7"/>
  <c r="AC293" i="7"/>
  <c r="W738" i="8"/>
  <c r="X738" i="8" s="1"/>
  <c r="Z738" i="8" s="1"/>
  <c r="BS243" i="11"/>
  <c r="Z457" i="8"/>
  <c r="AC457" i="8"/>
  <c r="X240" i="7"/>
  <c r="Y127" i="12"/>
  <c r="AA127" i="12" s="1"/>
  <c r="AC127" i="12"/>
  <c r="D2448" i="6"/>
  <c r="E2448" i="6"/>
  <c r="B2449" i="6" s="1"/>
  <c r="C2449" i="6" s="1"/>
  <c r="AB125" i="8"/>
  <c r="AC568" i="7"/>
  <c r="Y568" i="7"/>
  <c r="AA568" i="7" s="1"/>
  <c r="X954" i="8"/>
  <c r="AA512" i="8"/>
  <c r="S885" i="8"/>
  <c r="U885" i="8" s="1"/>
  <c r="V885" i="8"/>
  <c r="AC290" i="12"/>
  <c r="Z290" i="12"/>
  <c r="AB290" i="12" s="1"/>
  <c r="W240" i="12"/>
  <c r="W1009" i="8"/>
  <c r="X1009" i="8" s="1"/>
  <c r="AC1009" i="8" s="1"/>
  <c r="AC847" i="7"/>
  <c r="Y847" i="7"/>
  <c r="W295" i="8"/>
  <c r="Z847" i="7"/>
  <c r="Q1493" i="6"/>
  <c r="S1493" i="6" s="1"/>
  <c r="AB459" i="7"/>
  <c r="Q1317" i="6"/>
  <c r="S1317" i="6" s="1"/>
  <c r="BR243" i="11"/>
  <c r="BT243" i="11" s="1"/>
  <c r="AB510" i="7"/>
  <c r="B1640" i="6"/>
  <c r="D1640" i="6" s="1"/>
  <c r="AC568" i="8"/>
  <c r="Y568" i="8"/>
  <c r="AA568" i="8" s="1"/>
  <c r="AC624" i="8"/>
  <c r="Y624" i="8"/>
  <c r="S1442" i="6"/>
  <c r="Q1443" i="6" s="1"/>
  <c r="R1443" i="6" s="1"/>
  <c r="D2382" i="6"/>
  <c r="E2382" i="6"/>
  <c r="Q1077" i="6"/>
  <c r="R1077" i="6" s="1"/>
  <c r="W513" i="8"/>
  <c r="Y290" i="12"/>
  <c r="AB622" i="7"/>
  <c r="Y293" i="7"/>
  <c r="AB678" i="7"/>
  <c r="Y182" i="7"/>
  <c r="AA182" i="7" s="1"/>
  <c r="AC182" i="7"/>
  <c r="Y457" i="8"/>
  <c r="AA457" i="8" s="1"/>
  <c r="Y734" i="7"/>
  <c r="AA683" i="8"/>
  <c r="X350" i="7"/>
  <c r="B1593" i="6"/>
  <c r="D1593" i="6" s="1"/>
  <c r="AA294" i="8"/>
  <c r="S1160" i="6"/>
  <c r="Q1161" i="6" s="1"/>
  <c r="R1161" i="6" s="1"/>
  <c r="Z624" i="8"/>
  <c r="AB348" i="8"/>
  <c r="W184" i="12" l="1"/>
  <c r="S1077" i="6"/>
  <c r="AA183" i="12"/>
  <c r="AA624" i="8"/>
  <c r="D1690" i="6"/>
  <c r="AB127" i="12"/>
  <c r="K244" i="11"/>
  <c r="Q244" i="11" s="1"/>
  <c r="T244" i="11" s="1"/>
  <c r="AB847" i="7"/>
  <c r="D2318" i="6"/>
  <c r="E2318" i="6"/>
  <c r="B2319" i="6" s="1"/>
  <c r="Y1064" i="8"/>
  <c r="AA1064" i="8" s="1"/>
  <c r="AC1064" i="8"/>
  <c r="E2517" i="6"/>
  <c r="D2517" i="6"/>
  <c r="B2518" i="6"/>
  <c r="C2518" i="6" s="1"/>
  <c r="E2518" i="6" s="1"/>
  <c r="Z129" i="7"/>
  <c r="AC129" i="7"/>
  <c r="AB897" i="8"/>
  <c r="W898" i="8" s="1"/>
  <c r="X898" i="8" s="1"/>
  <c r="AC898" i="8" s="1"/>
  <c r="P244" i="11"/>
  <c r="AB568" i="8"/>
  <c r="W569" i="8" s="1"/>
  <c r="X569" i="8" s="1"/>
  <c r="AB185" i="8"/>
  <c r="BU243" i="11"/>
  <c r="BY243" i="11" s="1"/>
  <c r="CD243" i="11" s="1"/>
  <c r="M244" i="11"/>
  <c r="R244" i="11" s="1"/>
  <c r="L244" i="11"/>
  <c r="T885" i="8"/>
  <c r="AA734" i="7"/>
  <c r="Q1212" i="6"/>
  <c r="R1212" i="6" s="1"/>
  <c r="AB293" i="7"/>
  <c r="W294" i="7" s="1"/>
  <c r="O244" i="11"/>
  <c r="S244" i="11" s="1"/>
  <c r="D2518" i="6"/>
  <c r="D2449" i="6"/>
  <c r="E2449" i="6"/>
  <c r="B2450" i="6" s="1"/>
  <c r="W460" i="7"/>
  <c r="X460" i="7" s="1"/>
  <c r="B1691" i="6"/>
  <c r="C1691" i="6" s="1"/>
  <c r="R1493" i="6"/>
  <c r="W848" i="7"/>
  <c r="W128" i="12"/>
  <c r="X128" i="12" s="1"/>
  <c r="Y1009" i="8"/>
  <c r="AA847" i="7"/>
  <c r="S1443" i="6"/>
  <c r="AB738" i="8"/>
  <c r="X240" i="12"/>
  <c r="Y129" i="7"/>
  <c r="S1257" i="6"/>
  <c r="X295" i="8"/>
  <c r="Y295" i="8" s="1"/>
  <c r="Z954" i="8"/>
  <c r="AC954" i="8"/>
  <c r="C1593" i="6"/>
  <c r="C1640" i="6"/>
  <c r="W623" i="7"/>
  <c r="X623" i="7" s="1"/>
  <c r="Z623" i="7" s="1"/>
  <c r="AB734" i="7"/>
  <c r="Q1365" i="6"/>
  <c r="S1365" i="6" s="1"/>
  <c r="T294" i="11"/>
  <c r="AG294" i="11" s="1"/>
  <c r="S1161" i="6"/>
  <c r="Z1009" i="8"/>
  <c r="E2251" i="6"/>
  <c r="D2251" i="6"/>
  <c r="AB182" i="7"/>
  <c r="AA238" i="8"/>
  <c r="AA293" i="7"/>
  <c r="AC350" i="7"/>
  <c r="Z350" i="7"/>
  <c r="W511" i="7"/>
  <c r="X511" i="7" s="1"/>
  <c r="Z511" i="7" s="1"/>
  <c r="AB457" i="8"/>
  <c r="Q1115" i="6"/>
  <c r="R1115" i="6" s="1"/>
  <c r="CB243" i="11"/>
  <c r="AC738" i="8"/>
  <c r="Y738" i="8"/>
  <c r="AA738" i="8" s="1"/>
  <c r="R1416" i="6"/>
  <c r="AB624" i="8"/>
  <c r="Z240" i="7"/>
  <c r="AC240" i="7"/>
  <c r="B1550" i="6"/>
  <c r="D1550" i="6" s="1"/>
  <c r="Y240" i="7"/>
  <c r="AA240" i="7" s="1"/>
  <c r="W239" i="8"/>
  <c r="AC402" i="7"/>
  <c r="Z402" i="7"/>
  <c r="Y954" i="8"/>
  <c r="AA954" i="8" s="1"/>
  <c r="AA290" i="12"/>
  <c r="D1691" i="6"/>
  <c r="X684" i="8"/>
  <c r="Z1064" i="8"/>
  <c r="W291" i="12"/>
  <c r="AC402" i="8"/>
  <c r="Z402" i="8"/>
  <c r="AB402" i="8" s="1"/>
  <c r="W784" i="8"/>
  <c r="X784" i="8" s="1"/>
  <c r="W569" i="7"/>
  <c r="X569" i="7" s="1"/>
  <c r="Z786" i="7"/>
  <c r="AB786" i="7" s="1"/>
  <c r="AC786" i="7"/>
  <c r="W349" i="8"/>
  <c r="X349" i="8" s="1"/>
  <c r="P886" i="8"/>
  <c r="X513" i="8"/>
  <c r="Y898" i="7"/>
  <c r="AA898" i="7" s="1"/>
  <c r="AC898" i="7"/>
  <c r="W679" i="7"/>
  <c r="X679" i="7" s="1"/>
  <c r="Z679" i="7" s="1"/>
  <c r="Y402" i="7"/>
  <c r="Q1078" i="6"/>
  <c r="R1078" i="6" s="1"/>
  <c r="Y350" i="7"/>
  <c r="AA350" i="7" s="1"/>
  <c r="B2383" i="6"/>
  <c r="C2383" i="6" s="1"/>
  <c r="W126" i="8"/>
  <c r="X126" i="8" s="1"/>
  <c r="Z126" i="8" s="1"/>
  <c r="R1317" i="6"/>
  <c r="X184" i="12"/>
  <c r="B2519" i="6" l="1"/>
  <c r="B2252" i="6"/>
  <c r="AA129" i="7"/>
  <c r="CA243" i="11"/>
  <c r="CE243" i="11" s="1"/>
  <c r="AA1009" i="8"/>
  <c r="C2319" i="6"/>
  <c r="AB1064" i="8"/>
  <c r="W1065" i="8" s="1"/>
  <c r="X1065" i="8" s="1"/>
  <c r="Q886" i="8"/>
  <c r="V886" i="8" s="1"/>
  <c r="AB898" i="7"/>
  <c r="Y569" i="8"/>
  <c r="AC569" i="8"/>
  <c r="Z569" i="7"/>
  <c r="AC569" i="7"/>
  <c r="Y128" i="12"/>
  <c r="AC128" i="12"/>
  <c r="AB129" i="7"/>
  <c r="W130" i="7" s="1"/>
  <c r="X130" i="7" s="1"/>
  <c r="BW243" i="11"/>
  <c r="CC243" i="11" s="1"/>
  <c r="S1212" i="6"/>
  <c r="Q1213" i="6" s="1"/>
  <c r="BZ243" i="11"/>
  <c r="CG243" i="11" s="1"/>
  <c r="W186" i="8"/>
  <c r="X186" i="8" s="1"/>
  <c r="S1115" i="6"/>
  <c r="Q1116" i="6" s="1"/>
  <c r="S1116" i="6" s="1"/>
  <c r="U244" i="11"/>
  <c r="W244" i="11" s="1"/>
  <c r="X244" i="11"/>
  <c r="AA402" i="7"/>
  <c r="BX243" i="11"/>
  <c r="C2252" i="6"/>
  <c r="D2383" i="6"/>
  <c r="E2383" i="6"/>
  <c r="B2384" i="6" s="1"/>
  <c r="R886" i="8"/>
  <c r="B1692" i="6"/>
  <c r="D1692" i="6" s="1"/>
  <c r="Y294" i="11"/>
  <c r="AC294" i="11"/>
  <c r="AB294" i="11"/>
  <c r="AA294" i="11"/>
  <c r="Z294" i="11"/>
  <c r="AD294" i="11"/>
  <c r="AE294" i="11"/>
  <c r="B32" i="11"/>
  <c r="C2450" i="6"/>
  <c r="AB569" i="7"/>
  <c r="AB679" i="7"/>
  <c r="Q1494" i="6"/>
  <c r="S1494" i="6" s="1"/>
  <c r="X291" i="12"/>
  <c r="Y569" i="7"/>
  <c r="Q1417" i="6"/>
  <c r="S1417" i="6" s="1"/>
  <c r="R1365" i="6"/>
  <c r="W735" i="7"/>
  <c r="X735" i="7" s="1"/>
  <c r="Z735" i="7"/>
  <c r="Y784" i="8"/>
  <c r="Z784" i="8"/>
  <c r="AB784" i="8" s="1"/>
  <c r="Y898" i="8"/>
  <c r="AA898" i="8" s="1"/>
  <c r="W899" i="7"/>
  <c r="X899" i="7" s="1"/>
  <c r="AC899" i="7" s="1"/>
  <c r="W787" i="7"/>
  <c r="S1078" i="6"/>
  <c r="Q1079" i="6" s="1"/>
  <c r="R1079" i="6" s="1"/>
  <c r="Q1162" i="6"/>
  <c r="R1162" i="6" s="1"/>
  <c r="X739" i="8"/>
  <c r="AC739" i="8" s="1"/>
  <c r="B1641" i="6"/>
  <c r="D1641" i="6" s="1"/>
  <c r="B1594" i="6"/>
  <c r="D1594" i="6" s="1"/>
  <c r="Z128" i="12"/>
  <c r="C2519" i="6"/>
  <c r="AC513" i="8"/>
  <c r="Z513" i="8"/>
  <c r="C1550" i="6"/>
  <c r="AB954" i="8"/>
  <c r="W739" i="8"/>
  <c r="AC784" i="8"/>
  <c r="AC460" i="7"/>
  <c r="Y460" i="7"/>
  <c r="AC184" i="12"/>
  <c r="Z184" i="12"/>
  <c r="AB184" i="12" s="1"/>
  <c r="Z569" i="8"/>
  <c r="AB569" i="8" s="1"/>
  <c r="X294" i="7"/>
  <c r="AA786" i="7"/>
  <c r="W183" i="7"/>
  <c r="X183" i="7" s="1"/>
  <c r="Z183" i="7" s="1"/>
  <c r="Z898" i="8"/>
  <c r="AC240" i="12"/>
  <c r="Z240" i="12"/>
  <c r="Y349" i="8"/>
  <c r="AC349" i="8"/>
  <c r="X848" i="7"/>
  <c r="AB402" i="7"/>
  <c r="Z460" i="7"/>
  <c r="AB460" i="7" s="1"/>
  <c r="AC623" i="7"/>
  <c r="Y623" i="7"/>
  <c r="AA623" i="7" s="1"/>
  <c r="X239" i="8"/>
  <c r="Y239" i="8" s="1"/>
  <c r="Q1318" i="6"/>
  <c r="S1318" i="6" s="1"/>
  <c r="Z684" i="8"/>
  <c r="AC684" i="8"/>
  <c r="AB240" i="7"/>
  <c r="Y240" i="12"/>
  <c r="Q1444" i="6"/>
  <c r="R1444" i="6" s="1"/>
  <c r="AC511" i="7"/>
  <c r="Y511" i="7"/>
  <c r="AA511" i="7" s="1"/>
  <c r="Z349" i="8"/>
  <c r="AB349" i="8" s="1"/>
  <c r="AB350" i="7"/>
  <c r="W403" i="8"/>
  <c r="Y679" i="7"/>
  <c r="AA679" i="7" s="1"/>
  <c r="AC679" i="7"/>
  <c r="Y184" i="12"/>
  <c r="AA402" i="8"/>
  <c r="Q1258" i="6"/>
  <c r="R1258" i="6" s="1"/>
  <c r="Y513" i="8"/>
  <c r="AA513" i="8" s="1"/>
  <c r="AC126" i="8"/>
  <c r="Y126" i="8"/>
  <c r="AA126" i="8" s="1"/>
  <c r="Y684" i="8"/>
  <c r="W625" i="8"/>
  <c r="X625" i="8" s="1"/>
  <c r="W458" i="8"/>
  <c r="X458" i="8" s="1"/>
  <c r="AB1009" i="8"/>
  <c r="AC295" i="8"/>
  <c r="Z295" i="8"/>
  <c r="AB295" i="8" s="1"/>
  <c r="AB623" i="7" l="1"/>
  <c r="V244" i="11"/>
  <c r="E2319" i="6"/>
  <c r="D2319" i="6"/>
  <c r="AA240" i="12"/>
  <c r="AA569" i="7"/>
  <c r="S886" i="8"/>
  <c r="U886" i="8" s="1"/>
  <c r="AA684" i="8"/>
  <c r="AB128" i="12"/>
  <c r="W129" i="12" s="1"/>
  <c r="X129" i="12" s="1"/>
  <c r="S1444" i="6"/>
  <c r="Q1445" i="6" s="1"/>
  <c r="S1445" i="6" s="1"/>
  <c r="CF243" i="11"/>
  <c r="CI243" i="11" s="1"/>
  <c r="S1213" i="6"/>
  <c r="R1213" i="6"/>
  <c r="Q1214" i="6" s="1"/>
  <c r="S1214" i="6" s="1"/>
  <c r="Y186" i="8"/>
  <c r="AC186" i="8"/>
  <c r="CJ243" i="11"/>
  <c r="AA128" i="12"/>
  <c r="AG244" i="11"/>
  <c r="AB511" i="7"/>
  <c r="W512" i="7" s="1"/>
  <c r="X512" i="7" s="1"/>
  <c r="Z186" i="8"/>
  <c r="AC130" i="7"/>
  <c r="Z130" i="7"/>
  <c r="Y130" i="7"/>
  <c r="AA130" i="7" s="1"/>
  <c r="C2384" i="6"/>
  <c r="AC1065" i="8"/>
  <c r="Y1065" i="8"/>
  <c r="Z1065" i="8"/>
  <c r="AB1065" i="8" s="1"/>
  <c r="W570" i="8"/>
  <c r="W185" i="12"/>
  <c r="AA569" i="8"/>
  <c r="Z848" i="7"/>
  <c r="AC848" i="7"/>
  <c r="R1318" i="6"/>
  <c r="W955" i="8"/>
  <c r="X955" i="8" s="1"/>
  <c r="B1551" i="6"/>
  <c r="D1551" i="6" s="1"/>
  <c r="AA184" i="12"/>
  <c r="S1258" i="6"/>
  <c r="Q1259" i="6" s="1"/>
  <c r="R1259" i="6" s="1"/>
  <c r="Z291" i="12"/>
  <c r="AC291" i="12"/>
  <c r="Z899" i="7"/>
  <c r="E2519" i="6"/>
  <c r="D2519" i="6"/>
  <c r="D2252" i="6"/>
  <c r="E2252" i="6"/>
  <c r="B2253" i="6" s="1"/>
  <c r="W461" i="7"/>
  <c r="W624" i="7"/>
  <c r="X624" i="7" s="1"/>
  <c r="C1641" i="6"/>
  <c r="W680" i="7"/>
  <c r="X680" i="7" s="1"/>
  <c r="AC680" i="7" s="1"/>
  <c r="C1692" i="6"/>
  <c r="W241" i="7"/>
  <c r="X241" i="7" s="1"/>
  <c r="Z241" i="7" s="1"/>
  <c r="Q1366" i="6"/>
  <c r="S1366" i="6" s="1"/>
  <c r="R1417" i="6"/>
  <c r="W570" i="7"/>
  <c r="X570" i="7" s="1"/>
  <c r="S1079" i="6"/>
  <c r="AA460" i="7"/>
  <c r="E2450" i="6"/>
  <c r="D2450" i="6"/>
  <c r="W296" i="8"/>
  <c r="Z739" i="8"/>
  <c r="R1494" i="6"/>
  <c r="W351" i="7"/>
  <c r="X351" i="7" s="1"/>
  <c r="Z351" i="7"/>
  <c r="R1116" i="6"/>
  <c r="W403" i="7"/>
  <c r="X403" i="7" s="1"/>
  <c r="AB684" i="8"/>
  <c r="T886" i="8"/>
  <c r="P887" i="8" s="1"/>
  <c r="W836" i="8" s="1"/>
  <c r="Y899" i="7"/>
  <c r="Y183" i="7"/>
  <c r="AA183" i="7" s="1"/>
  <c r="AC183" i="7"/>
  <c r="AA349" i="8"/>
  <c r="AB513" i="8"/>
  <c r="AC239" i="8"/>
  <c r="Z239" i="8"/>
  <c r="AB239" i="8" s="1"/>
  <c r="AC458" i="8"/>
  <c r="Y458" i="8"/>
  <c r="W785" i="8"/>
  <c r="S1162" i="6"/>
  <c r="Z458" i="8"/>
  <c r="AB240" i="12"/>
  <c r="X787" i="7"/>
  <c r="AA295" i="8"/>
  <c r="C1594" i="6"/>
  <c r="AA784" i="8"/>
  <c r="Y625" i="8"/>
  <c r="AC625" i="8"/>
  <c r="W350" i="8"/>
  <c r="AB126" i="8"/>
  <c r="Y739" i="8"/>
  <c r="Q1163" i="6"/>
  <c r="R1163" i="6" s="1"/>
  <c r="X403" i="8"/>
  <c r="Y403" i="8" s="1"/>
  <c r="Y848" i="7"/>
  <c r="Y291" i="12"/>
  <c r="W1010" i="8"/>
  <c r="X1010" i="8" s="1"/>
  <c r="Z1010" i="8" s="1"/>
  <c r="Z625" i="8"/>
  <c r="AC294" i="7"/>
  <c r="Z294" i="7"/>
  <c r="AB898" i="8"/>
  <c r="Y294" i="7"/>
  <c r="AA294" i="7" s="1"/>
  <c r="Y735" i="7"/>
  <c r="AA735" i="7" s="1"/>
  <c r="AC735" i="7"/>
  <c r="AF294" i="11"/>
  <c r="AB186" i="8" l="1"/>
  <c r="W187" i="8" s="1"/>
  <c r="AB848" i="7"/>
  <c r="B2320" i="6"/>
  <c r="C2320" i="6" s="1"/>
  <c r="CH243" i="11"/>
  <c r="CS243" i="11" s="1"/>
  <c r="AA458" i="8"/>
  <c r="R1214" i="6"/>
  <c r="Y624" i="7"/>
  <c r="Z624" i="7"/>
  <c r="AB624" i="7" s="1"/>
  <c r="AC624" i="7"/>
  <c r="Y244" i="11"/>
  <c r="AC244" i="11"/>
  <c r="AE244" i="11"/>
  <c r="AD244" i="11"/>
  <c r="AB244" i="11"/>
  <c r="AA244" i="11"/>
  <c r="Z244" i="11"/>
  <c r="AB899" i="7"/>
  <c r="W900" i="7" s="1"/>
  <c r="AA186" i="8"/>
  <c r="X187" i="8" s="1"/>
  <c r="Y187" i="8" s="1"/>
  <c r="C2253" i="6"/>
  <c r="D2253" i="6" s="1"/>
  <c r="AB183" i="7"/>
  <c r="W184" i="7" s="1"/>
  <c r="X184" i="7" s="1"/>
  <c r="AB739" i="8"/>
  <c r="B2520" i="6"/>
  <c r="C2520" i="6" s="1"/>
  <c r="AB625" i="8"/>
  <c r="AB291" i="12"/>
  <c r="W292" i="12" s="1"/>
  <c r="AC570" i="7"/>
  <c r="Y570" i="7"/>
  <c r="Z570" i="7"/>
  <c r="AC512" i="7"/>
  <c r="Z512" i="7"/>
  <c r="Y512" i="7"/>
  <c r="AA512" i="7" s="1"/>
  <c r="AC129" i="12"/>
  <c r="Y129" i="12"/>
  <c r="Z129" i="12"/>
  <c r="AB129" i="12" s="1"/>
  <c r="X461" i="7"/>
  <c r="W626" i="8"/>
  <c r="Q1215" i="6"/>
  <c r="S1215" i="6" s="1"/>
  <c r="X185" i="12"/>
  <c r="W240" i="8"/>
  <c r="X785" i="8"/>
  <c r="R1366" i="6"/>
  <c r="AA239" i="8"/>
  <c r="AB735" i="7"/>
  <c r="B1595" i="6"/>
  <c r="D1595" i="6" s="1"/>
  <c r="W514" i="8"/>
  <c r="X514" i="8" s="1"/>
  <c r="Z514" i="8" s="1"/>
  <c r="Y241" i="7"/>
  <c r="AA241" i="7" s="1"/>
  <c r="AC241" i="7"/>
  <c r="Z787" i="7"/>
  <c r="AC787" i="7"/>
  <c r="B1693" i="6"/>
  <c r="D1693" i="6" s="1"/>
  <c r="Q1319" i="6"/>
  <c r="S1319" i="6" s="1"/>
  <c r="Y787" i="7"/>
  <c r="B2451" i="6"/>
  <c r="C2451" i="6" s="1"/>
  <c r="W127" i="8"/>
  <c r="X127" i="8" s="1"/>
  <c r="Z127" i="8"/>
  <c r="W740" i="8"/>
  <c r="X570" i="8"/>
  <c r="Y570" i="8" s="1"/>
  <c r="AC403" i="7"/>
  <c r="Y403" i="7"/>
  <c r="AA625" i="8"/>
  <c r="Y351" i="7"/>
  <c r="AA351" i="7" s="1"/>
  <c r="AC351" i="7"/>
  <c r="AB294" i="7"/>
  <c r="E2384" i="6"/>
  <c r="D2384" i="6"/>
  <c r="W241" i="12"/>
  <c r="X241" i="12" s="1"/>
  <c r="Z241" i="12" s="1"/>
  <c r="Q1495" i="6"/>
  <c r="S1495" i="6" s="1"/>
  <c r="W1066" i="8"/>
  <c r="AB130" i="7"/>
  <c r="R1445" i="6"/>
  <c r="W849" i="7"/>
  <c r="Z187" i="8"/>
  <c r="AB187" i="8" s="1"/>
  <c r="AC1010" i="8"/>
  <c r="Y1010" i="8"/>
  <c r="AA1010" i="8" s="1"/>
  <c r="S1259" i="6"/>
  <c r="Q1260" i="6" s="1"/>
  <c r="R1260" i="6" s="1"/>
  <c r="AA848" i="7"/>
  <c r="Q1117" i="6"/>
  <c r="S1117" i="6" s="1"/>
  <c r="C1551" i="6"/>
  <c r="Y955" i="8"/>
  <c r="AC955" i="8"/>
  <c r="Q1080" i="6"/>
  <c r="R1080" i="6" s="1"/>
  <c r="X296" i="8"/>
  <c r="Z955" i="8"/>
  <c r="Z680" i="7"/>
  <c r="AB458" i="8"/>
  <c r="AA899" i="7"/>
  <c r="B1642" i="6"/>
  <c r="D1642" i="6" s="1"/>
  <c r="AA1065" i="8"/>
  <c r="W685" i="8"/>
  <c r="X685" i="8" s="1"/>
  <c r="Y680" i="7"/>
  <c r="Z403" i="7"/>
  <c r="Q1418" i="6"/>
  <c r="S1418" i="6" s="1"/>
  <c r="AA291" i="12"/>
  <c r="W899" i="8"/>
  <c r="X899" i="8" s="1"/>
  <c r="Z403" i="8"/>
  <c r="AB403" i="8" s="1"/>
  <c r="AC403" i="8"/>
  <c r="X350" i="8"/>
  <c r="AA739" i="8"/>
  <c r="S1163" i="6"/>
  <c r="AA838" i="8"/>
  <c r="CN243" i="11" l="1"/>
  <c r="CL243" i="11"/>
  <c r="CP243" i="11"/>
  <c r="CO243" i="11"/>
  <c r="CM243" i="11"/>
  <c r="CK243" i="11"/>
  <c r="CQ243" i="11"/>
  <c r="B2385" i="6"/>
  <c r="C2385" i="6" s="1"/>
  <c r="D2520" i="6"/>
  <c r="D2320" i="6"/>
  <c r="E2320" i="6"/>
  <c r="B2321" i="6"/>
  <c r="C2321" i="6"/>
  <c r="AB787" i="7"/>
  <c r="W788" i="7" s="1"/>
  <c r="AB680" i="7"/>
  <c r="E2520" i="6"/>
  <c r="B2521" i="6" s="1"/>
  <c r="C2521" i="6" s="1"/>
  <c r="AA624" i="7"/>
  <c r="AB955" i="8"/>
  <c r="E2253" i="6"/>
  <c r="AA403" i="8"/>
  <c r="AC187" i="8"/>
  <c r="S1080" i="6"/>
  <c r="Q1081" i="6" s="1"/>
  <c r="S1081" i="6" s="1"/>
  <c r="AA570" i="7"/>
  <c r="G245" i="11"/>
  <c r="AB1010" i="8"/>
  <c r="D245" i="11"/>
  <c r="F245" i="11"/>
  <c r="B2254" i="6"/>
  <c r="C2254" i="6" s="1"/>
  <c r="E2254" i="6" s="1"/>
  <c r="R1418" i="6"/>
  <c r="Q1419" i="6" s="1"/>
  <c r="AB403" i="7"/>
  <c r="W404" i="7" s="1"/>
  <c r="C245" i="11"/>
  <c r="AF244" i="11"/>
  <c r="J245" i="11" s="1"/>
  <c r="E245" i="11"/>
  <c r="AC184" i="7"/>
  <c r="Z184" i="7"/>
  <c r="Y184" i="7"/>
  <c r="AA184" i="7" s="1"/>
  <c r="AB838" i="8"/>
  <c r="Z185" i="12"/>
  <c r="AC185" i="12"/>
  <c r="BP244" i="11"/>
  <c r="Y185" i="12"/>
  <c r="X740" i="8"/>
  <c r="Y740" i="8" s="1"/>
  <c r="W295" i="7"/>
  <c r="X295" i="7" s="1"/>
  <c r="AC514" i="8"/>
  <c r="Y514" i="8"/>
  <c r="AA514" i="8" s="1"/>
  <c r="AC296" i="8"/>
  <c r="Z296" i="8"/>
  <c r="W736" i="7"/>
  <c r="X736" i="7" s="1"/>
  <c r="AC685" i="8"/>
  <c r="Y685" i="8"/>
  <c r="AC785" i="8"/>
  <c r="Z785" i="8"/>
  <c r="AC899" i="8"/>
  <c r="Y899" i="8"/>
  <c r="AA403" i="7"/>
  <c r="R1319" i="6"/>
  <c r="X900" i="7"/>
  <c r="Y900" i="7" s="1"/>
  <c r="AB512" i="7"/>
  <c r="W681" i="7"/>
  <c r="W956" i="8"/>
  <c r="AC350" i="8"/>
  <c r="Z350" i="8"/>
  <c r="B1552" i="6"/>
  <c r="D1552" i="6" s="1"/>
  <c r="Q1446" i="6"/>
  <c r="S1446" i="6" s="1"/>
  <c r="AB241" i="7"/>
  <c r="R1117" i="6"/>
  <c r="E2451" i="6"/>
  <c r="D2451" i="6"/>
  <c r="B2452" i="6"/>
  <c r="C2452" i="6"/>
  <c r="Z685" i="8"/>
  <c r="X626" i="8"/>
  <c r="Q1367" i="6"/>
  <c r="S1367" i="6" s="1"/>
  <c r="R1495" i="6"/>
  <c r="Z899" i="8"/>
  <c r="S1260" i="6"/>
  <c r="Q1261" i="6" s="1"/>
  <c r="R1261" i="6" s="1"/>
  <c r="AC461" i="7"/>
  <c r="Z461" i="7"/>
  <c r="R1215" i="6"/>
  <c r="Y296" i="8"/>
  <c r="AB351" i="7"/>
  <c r="X849" i="7"/>
  <c r="Y849" i="7" s="1"/>
  <c r="X240" i="8"/>
  <c r="Y240" i="8" s="1"/>
  <c r="W404" i="8"/>
  <c r="X1066" i="8"/>
  <c r="Y1066" i="8" s="1"/>
  <c r="Y785" i="8"/>
  <c r="W1011" i="8"/>
  <c r="X292" i="12"/>
  <c r="X1011" i="8"/>
  <c r="AC1011" i="8" s="1"/>
  <c r="AC241" i="12"/>
  <c r="Y241" i="12"/>
  <c r="AA241" i="12" s="1"/>
  <c r="AC570" i="8"/>
  <c r="Z570" i="8"/>
  <c r="AB570" i="8" s="1"/>
  <c r="C1693" i="6"/>
  <c r="Y461" i="7"/>
  <c r="AB570" i="7"/>
  <c r="W188" i="8"/>
  <c r="W130" i="12"/>
  <c r="W459" i="8"/>
  <c r="X459" i="8" s="1"/>
  <c r="Z459" i="8" s="1"/>
  <c r="AA129" i="12"/>
  <c r="AB514" i="8"/>
  <c r="X404" i="8"/>
  <c r="Z404" i="8" s="1"/>
  <c r="Q1164" i="6"/>
  <c r="R1164" i="6" s="1"/>
  <c r="AA680" i="7"/>
  <c r="AC127" i="8"/>
  <c r="Y127" i="8"/>
  <c r="AA127" i="8" s="1"/>
  <c r="Y350" i="8"/>
  <c r="W131" i="7"/>
  <c r="X131" i="7" s="1"/>
  <c r="C1595" i="6"/>
  <c r="AA955" i="8"/>
  <c r="AA787" i="7"/>
  <c r="AA187" i="8"/>
  <c r="C1642" i="6"/>
  <c r="CR243" i="11"/>
  <c r="BV244" i="11" s="1"/>
  <c r="BQ244" i="11"/>
  <c r="BO244" i="11"/>
  <c r="AA570" i="8"/>
  <c r="W625" i="7"/>
  <c r="X625" i="7" s="1"/>
  <c r="Z625" i="7" s="1"/>
  <c r="E2521" i="6" l="1"/>
  <c r="D2521" i="6"/>
  <c r="D2321" i="6"/>
  <c r="E2321" i="6"/>
  <c r="B2322" i="6"/>
  <c r="C2322" i="6" s="1"/>
  <c r="AB185" i="12"/>
  <c r="W186" i="12" s="1"/>
  <c r="AB785" i="8"/>
  <c r="AB461" i="7"/>
  <c r="AA685" i="8"/>
  <c r="R1419" i="6"/>
  <c r="Q1420" i="6" s="1"/>
  <c r="R1420" i="6" s="1"/>
  <c r="S1419" i="6"/>
  <c r="S1420" i="6" s="1"/>
  <c r="AC404" i="8"/>
  <c r="B2522" i="6"/>
  <c r="D2254" i="6"/>
  <c r="B2255" i="6" s="1"/>
  <c r="C2522" i="6"/>
  <c r="E2522" i="6" s="1"/>
  <c r="AA350" i="8"/>
  <c r="AA296" i="8"/>
  <c r="S1164" i="6"/>
  <c r="Q1165" i="6" s="1"/>
  <c r="S1165" i="6" s="1"/>
  <c r="H245" i="11"/>
  <c r="I245" i="11" s="1"/>
  <c r="BS244" i="11"/>
  <c r="AA899" i="8"/>
  <c r="Y404" i="8"/>
  <c r="AB404" i="8" s="1"/>
  <c r="Q1262" i="6"/>
  <c r="R1262" i="6" s="1"/>
  <c r="E2452" i="6"/>
  <c r="D2452" i="6"/>
  <c r="Z849" i="7"/>
  <c r="AB849" i="7" s="1"/>
  <c r="AC849" i="7"/>
  <c r="X130" i="12"/>
  <c r="R1081" i="6"/>
  <c r="Y1011" i="8"/>
  <c r="AC459" i="8"/>
  <c r="Y459" i="8"/>
  <c r="AA459" i="8" s="1"/>
  <c r="AC292" i="12"/>
  <c r="Z292" i="12"/>
  <c r="W513" i="7"/>
  <c r="X513" i="7" s="1"/>
  <c r="Z513" i="7" s="1"/>
  <c r="S1261" i="6"/>
  <c r="B1643" i="6"/>
  <c r="D1643" i="6" s="1"/>
  <c r="AB899" i="8"/>
  <c r="W242" i="7"/>
  <c r="X242" i="7" s="1"/>
  <c r="E2385" i="6"/>
  <c r="D2385" i="6"/>
  <c r="B2386" i="6"/>
  <c r="C2386" i="6" s="1"/>
  <c r="AB184" i="7"/>
  <c r="AB127" i="8"/>
  <c r="X788" i="7"/>
  <c r="R1367" i="6"/>
  <c r="AC740" i="8"/>
  <c r="Z740" i="8"/>
  <c r="AB740" i="8" s="1"/>
  <c r="Z1011" i="8"/>
  <c r="Q1118" i="6"/>
  <c r="S1118" i="6" s="1"/>
  <c r="AA461" i="7"/>
  <c r="Z626" i="8"/>
  <c r="AB626" i="8" s="1"/>
  <c r="AC626" i="8"/>
  <c r="C1552" i="6"/>
  <c r="Q1320" i="6"/>
  <c r="S1320" i="6" s="1"/>
  <c r="AB296" i="8"/>
  <c r="BR244" i="11"/>
  <c r="W515" i="8"/>
  <c r="X515" i="8" s="1"/>
  <c r="Z515" i="8" s="1"/>
  <c r="Y295" i="7"/>
  <c r="AC295" i="7"/>
  <c r="W462" i="7"/>
  <c r="Z295" i="7"/>
  <c r="W352" i="7"/>
  <c r="X352" i="7" s="1"/>
  <c r="B1596" i="6"/>
  <c r="D1596" i="6" s="1"/>
  <c r="AC131" i="7"/>
  <c r="Y131" i="7"/>
  <c r="Y292" i="12"/>
  <c r="AA292" i="12" s="1"/>
  <c r="Q1216" i="6"/>
  <c r="S1216" i="6" s="1"/>
  <c r="AA785" i="8"/>
  <c r="AC1066" i="8"/>
  <c r="Z1066" i="8"/>
  <c r="AB1066" i="8" s="1"/>
  <c r="R1446" i="6"/>
  <c r="AA185" i="12"/>
  <c r="X681" i="7"/>
  <c r="W571" i="7"/>
  <c r="X571" i="7" s="1"/>
  <c r="X956" i="8"/>
  <c r="B1694" i="6"/>
  <c r="D1694" i="6" s="1"/>
  <c r="Y626" i="8"/>
  <c r="AB350" i="8"/>
  <c r="X404" i="7"/>
  <c r="AC838" i="8"/>
  <c r="W786" i="8"/>
  <c r="AB241" i="12"/>
  <c r="Z131" i="7"/>
  <c r="Y736" i="7"/>
  <c r="AC736" i="7"/>
  <c r="Z736" i="7"/>
  <c r="AB736" i="7" s="1"/>
  <c r="Q1496" i="6"/>
  <c r="S1496" i="6" s="1"/>
  <c r="X188" i="8"/>
  <c r="AC900" i="7"/>
  <c r="Z900" i="7"/>
  <c r="AB900" i="7" s="1"/>
  <c r="Y625" i="7"/>
  <c r="AA625" i="7" s="1"/>
  <c r="AC625" i="7"/>
  <c r="W571" i="8"/>
  <c r="X571" i="8" s="1"/>
  <c r="AC571" i="8" s="1"/>
  <c r="Z240" i="8"/>
  <c r="AB240" i="8" s="1"/>
  <c r="AC240" i="8"/>
  <c r="AB685" i="8"/>
  <c r="D2322" i="6" l="1"/>
  <c r="E2322" i="6"/>
  <c r="B2323" i="6" s="1"/>
  <c r="AB1011" i="8"/>
  <c r="W405" i="8"/>
  <c r="AA131" i="7"/>
  <c r="AA404" i="8"/>
  <c r="AB295" i="7"/>
  <c r="O245" i="11"/>
  <c r="S245" i="11" s="1"/>
  <c r="K245" i="11"/>
  <c r="Q245" i="11" s="1"/>
  <c r="N245" i="11"/>
  <c r="P245" i="11"/>
  <c r="L245" i="11"/>
  <c r="M245" i="11"/>
  <c r="R245" i="11" s="1"/>
  <c r="U245" i="11" s="1"/>
  <c r="B2453" i="6"/>
  <c r="C2453" i="6" s="1"/>
  <c r="E2453" i="6" s="1"/>
  <c r="D2522" i="6"/>
  <c r="C2255" i="6"/>
  <c r="AA1011" i="8"/>
  <c r="Q1421" i="6"/>
  <c r="R1421" i="6" s="1"/>
  <c r="E2386" i="6"/>
  <c r="D2386" i="6"/>
  <c r="BU244" i="11"/>
  <c r="W850" i="7"/>
  <c r="C1643" i="6"/>
  <c r="Z788" i="7"/>
  <c r="AC788" i="7"/>
  <c r="W128" i="8"/>
  <c r="X128" i="8" s="1"/>
  <c r="Z128" i="8" s="1"/>
  <c r="AC515" i="8"/>
  <c r="Y571" i="8"/>
  <c r="AB625" i="7"/>
  <c r="C1596" i="6"/>
  <c r="BT244" i="11"/>
  <c r="Q1082" i="6"/>
  <c r="S1082" i="6" s="1"/>
  <c r="Z571" i="8"/>
  <c r="AA240" i="8"/>
  <c r="AC242" i="7"/>
  <c r="Y242" i="7"/>
  <c r="AA900" i="7"/>
  <c r="W627" i="8"/>
  <c r="W900" i="8"/>
  <c r="X900" i="8" s="1"/>
  <c r="AA626" i="8"/>
  <c r="X462" i="7"/>
  <c r="Z188" i="8"/>
  <c r="AC188" i="8"/>
  <c r="C1694" i="6"/>
  <c r="Z956" i="8"/>
  <c r="AC956" i="8"/>
  <c r="AC513" i="7"/>
  <c r="Y513" i="7"/>
  <c r="AA513" i="7" s="1"/>
  <c r="Y515" i="8"/>
  <c r="AA515" i="8" s="1"/>
  <c r="AC681" i="7"/>
  <c r="Z681" i="7"/>
  <c r="Y681" i="7"/>
  <c r="AA681" i="7" s="1"/>
  <c r="AA736" i="7"/>
  <c r="W1012" i="8"/>
  <c r="X1012" i="8" s="1"/>
  <c r="AC1012" i="8" s="1"/>
  <c r="W1067" i="8"/>
  <c r="X405" i="8"/>
  <c r="Y405" i="8" s="1"/>
  <c r="Y352" i="7"/>
  <c r="AA352" i="7" s="1"/>
  <c r="AC352" i="7"/>
  <c r="R1320" i="6"/>
  <c r="Z242" i="7"/>
  <c r="Z130" i="12"/>
  <c r="AC130" i="12"/>
  <c r="AA1066" i="8"/>
  <c r="W901" i="7"/>
  <c r="R1165" i="6"/>
  <c r="Y788" i="7"/>
  <c r="Y956" i="8"/>
  <c r="Y571" i="7"/>
  <c r="AC571" i="7"/>
  <c r="W185" i="7"/>
  <c r="X185" i="7" s="1"/>
  <c r="Z185" i="7" s="1"/>
  <c r="W686" i="8"/>
  <c r="X686" i="8" s="1"/>
  <c r="Z686" i="8" s="1"/>
  <c r="R1118" i="6"/>
  <c r="W241" i="8"/>
  <c r="X186" i="12"/>
  <c r="AB131" i="7"/>
  <c r="W242" i="12"/>
  <c r="X242" i="12" s="1"/>
  <c r="Z242" i="12" s="1"/>
  <c r="Z404" i="7"/>
  <c r="AB404" i="7" s="1"/>
  <c r="AC404" i="7"/>
  <c r="X786" i="8"/>
  <c r="Y786" i="8" s="1"/>
  <c r="Z352" i="7"/>
  <c r="B1553" i="6"/>
  <c r="D1553" i="6" s="1"/>
  <c r="W741" i="8"/>
  <c r="Y130" i="12"/>
  <c r="AA740" i="8"/>
  <c r="W351" i="8"/>
  <c r="X351" i="8" s="1"/>
  <c r="Z351" i="8"/>
  <c r="W296" i="7"/>
  <c r="Q1368" i="6"/>
  <c r="S1368" i="6" s="1"/>
  <c r="R1216" i="6"/>
  <c r="S1262" i="6"/>
  <c r="Y188" i="8"/>
  <c r="AA295" i="7"/>
  <c r="AB292" i="12"/>
  <c r="R1496" i="6"/>
  <c r="Z571" i="7"/>
  <c r="W737" i="7"/>
  <c r="W839" i="8"/>
  <c r="X839" i="8" s="1"/>
  <c r="Q1447" i="6"/>
  <c r="S1447" i="6" s="1"/>
  <c r="W297" i="8"/>
  <c r="X297" i="8" s="1"/>
  <c r="Y404" i="7"/>
  <c r="AB459" i="8"/>
  <c r="AA849" i="7"/>
  <c r="AB188" i="8" l="1"/>
  <c r="AA130" i="12"/>
  <c r="AB571" i="8"/>
  <c r="C2323" i="6"/>
  <c r="AA788" i="7"/>
  <c r="D2453" i="6"/>
  <c r="B2454" i="6" s="1"/>
  <c r="C2454" i="6" s="1"/>
  <c r="AB513" i="7"/>
  <c r="W514" i="7" s="1"/>
  <c r="X514" i="7" s="1"/>
  <c r="Z514" i="7" s="1"/>
  <c r="AA571" i="7"/>
  <c r="B2523" i="6"/>
  <c r="C2523" i="6" s="1"/>
  <c r="AB242" i="7"/>
  <c r="W243" i="7" s="1"/>
  <c r="AB956" i="8"/>
  <c r="W957" i="8" s="1"/>
  <c r="D2255" i="6"/>
  <c r="E2255" i="6"/>
  <c r="B2256" i="6" s="1"/>
  <c r="C2256" i="6" s="1"/>
  <c r="AA404" i="7"/>
  <c r="T245" i="11"/>
  <c r="AA405" i="8"/>
  <c r="AB242" i="12"/>
  <c r="BX244" i="11"/>
  <c r="BW244" i="11"/>
  <c r="CC244" i="11" s="1"/>
  <c r="CB244" i="11"/>
  <c r="CA244" i="11"/>
  <c r="CE244" i="11" s="1"/>
  <c r="AC297" i="8"/>
  <c r="Y297" i="8"/>
  <c r="W572" i="8"/>
  <c r="Z297" i="8"/>
  <c r="AB297" i="8" s="1"/>
  <c r="X741" i="8"/>
  <c r="Y741" i="8" s="1"/>
  <c r="AC185" i="7"/>
  <c r="Y185" i="7"/>
  <c r="AA185" i="7" s="1"/>
  <c r="Z405" i="8"/>
  <c r="AB405" i="8" s="1"/>
  <c r="AC405" i="8"/>
  <c r="AA188" i="8"/>
  <c r="BZ244" i="11"/>
  <c r="B1695" i="6"/>
  <c r="D1695" i="6" s="1"/>
  <c r="Z186" i="12"/>
  <c r="AC186" i="12"/>
  <c r="R1447" i="6"/>
  <c r="Y186" i="12"/>
  <c r="X241" i="8"/>
  <c r="Y128" i="8"/>
  <c r="AA128" i="8" s="1"/>
  <c r="AC128" i="8"/>
  <c r="AA956" i="8"/>
  <c r="R1082" i="6"/>
  <c r="Q1217" i="6"/>
  <c r="S1217" i="6" s="1"/>
  <c r="X296" i="7"/>
  <c r="W132" i="7"/>
  <c r="X132" i="7" s="1"/>
  <c r="Z132" i="7" s="1"/>
  <c r="BY244" i="11"/>
  <c r="CD244" i="11" s="1"/>
  <c r="B2387" i="6"/>
  <c r="C2387" i="6" s="1"/>
  <c r="Q1166" i="6"/>
  <c r="S1166" i="6" s="1"/>
  <c r="AC462" i="7"/>
  <c r="Z462" i="7"/>
  <c r="Y462" i="7"/>
  <c r="S1421" i="6"/>
  <c r="Q1422" i="6" s="1"/>
  <c r="R1422" i="6" s="1"/>
  <c r="Y900" i="8"/>
  <c r="AC900" i="8"/>
  <c r="R1368" i="6"/>
  <c r="Z1012" i="8"/>
  <c r="AB1012" i="8" s="1"/>
  <c r="W626" i="7"/>
  <c r="X626" i="7" s="1"/>
  <c r="Z626" i="7" s="1"/>
  <c r="Y839" i="8"/>
  <c r="Z839" i="8"/>
  <c r="X850" i="7"/>
  <c r="AB681" i="7"/>
  <c r="AC351" i="8"/>
  <c r="Y351" i="8"/>
  <c r="AA351" i="8" s="1"/>
  <c r="AC686" i="8"/>
  <c r="Y686" i="8"/>
  <c r="AA686" i="8" s="1"/>
  <c r="AB130" i="12"/>
  <c r="W189" i="8"/>
  <c r="AB788" i="7"/>
  <c r="B1597" i="6"/>
  <c r="D1597" i="6" s="1"/>
  <c r="C1553" i="6"/>
  <c r="X737" i="7"/>
  <c r="Y737" i="7" s="1"/>
  <c r="Q1263" i="6"/>
  <c r="R1263" i="6" s="1"/>
  <c r="X1067" i="8"/>
  <c r="Y1067" i="8" s="1"/>
  <c r="W460" i="8"/>
  <c r="X460" i="8" s="1"/>
  <c r="Q1497" i="6"/>
  <c r="S1497" i="6" s="1"/>
  <c r="X901" i="7"/>
  <c r="Y901" i="7" s="1"/>
  <c r="B1644" i="6"/>
  <c r="D1644" i="6" s="1"/>
  <c r="Y1012" i="8"/>
  <c r="Q1119" i="6"/>
  <c r="S1119" i="6" s="1"/>
  <c r="AB352" i="7"/>
  <c r="X627" i="8"/>
  <c r="Y627" i="8" s="1"/>
  <c r="Z786" i="8"/>
  <c r="AB786" i="8" s="1"/>
  <c r="AC786" i="8"/>
  <c r="AA571" i="8"/>
  <c r="Z900" i="8"/>
  <c r="AB571" i="7"/>
  <c r="W405" i="7"/>
  <c r="W293" i="12"/>
  <c r="X293" i="12" s="1"/>
  <c r="AC242" i="12"/>
  <c r="Y242" i="12"/>
  <c r="AA242" i="12" s="1"/>
  <c r="AC839" i="8"/>
  <c r="Q1321" i="6"/>
  <c r="S1321" i="6" s="1"/>
  <c r="AA242" i="7"/>
  <c r="AB515" i="8"/>
  <c r="X405" i="7" l="1"/>
  <c r="Y405" i="7" s="1"/>
  <c r="D2323" i="6"/>
  <c r="E2323" i="6"/>
  <c r="B2324" i="6" s="1"/>
  <c r="AB128" i="8"/>
  <c r="AA900" i="8"/>
  <c r="S1263" i="6"/>
  <c r="AB351" i="8"/>
  <c r="D2256" i="6"/>
  <c r="E2256" i="6"/>
  <c r="B2257" i="6" s="1"/>
  <c r="C2257" i="6" s="1"/>
  <c r="E2454" i="6"/>
  <c r="D2454" i="6"/>
  <c r="B2455" i="6"/>
  <c r="C2455" i="6" s="1"/>
  <c r="E2455" i="6" s="1"/>
  <c r="D2523" i="6"/>
  <c r="E2523" i="6"/>
  <c r="B2524" i="6" s="1"/>
  <c r="AA839" i="8"/>
  <c r="AA786" i="8"/>
  <c r="R1497" i="6"/>
  <c r="AB462" i="7"/>
  <c r="W463" i="7" s="1"/>
  <c r="AA186" i="12"/>
  <c r="C1597" i="6"/>
  <c r="V245" i="11"/>
  <c r="X245" i="11"/>
  <c r="AB185" i="7"/>
  <c r="W186" i="7" s="1"/>
  <c r="X186" i="7" s="1"/>
  <c r="W245" i="11"/>
  <c r="AB514" i="7"/>
  <c r="Q1423" i="6"/>
  <c r="R1423" i="6" s="1"/>
  <c r="Z296" i="7"/>
  <c r="AC296" i="7"/>
  <c r="W243" i="12"/>
  <c r="X243" i="12" s="1"/>
  <c r="W353" i="7"/>
  <c r="X353" i="7" s="1"/>
  <c r="Z353" i="7" s="1"/>
  <c r="W789" i="7"/>
  <c r="X789" i="7" s="1"/>
  <c r="Z789" i="7" s="1"/>
  <c r="Y460" i="8"/>
  <c r="AC460" i="8"/>
  <c r="Z460" i="8"/>
  <c r="R1166" i="6"/>
  <c r="AC405" i="7"/>
  <c r="AB186" i="12"/>
  <c r="Z405" i="7"/>
  <c r="AB405" i="7" s="1"/>
  <c r="X189" i="8"/>
  <c r="Y189" i="8" s="1"/>
  <c r="W572" i="7"/>
  <c r="X572" i="7" s="1"/>
  <c r="Z572" i="7"/>
  <c r="W406" i="8"/>
  <c r="X406" i="8" s="1"/>
  <c r="AB900" i="8"/>
  <c r="W682" i="7"/>
  <c r="X682" i="7" s="1"/>
  <c r="Z682" i="7" s="1"/>
  <c r="W516" i="8"/>
  <c r="X516" i="8" s="1"/>
  <c r="Z516" i="8" s="1"/>
  <c r="Z241" i="8"/>
  <c r="AC241" i="8"/>
  <c r="CF244" i="11"/>
  <c r="CJ244" i="11" s="1"/>
  <c r="CH244" i="11"/>
  <c r="B1598" i="6"/>
  <c r="C1598" i="6" s="1"/>
  <c r="AC626" i="7"/>
  <c r="Y626" i="7"/>
  <c r="AA626" i="7" s="1"/>
  <c r="Q1448" i="6"/>
  <c r="S1448" i="6" s="1"/>
  <c r="AA1012" i="8"/>
  <c r="R1217" i="6"/>
  <c r="W131" i="12"/>
  <c r="X131" i="12" s="1"/>
  <c r="S1264" i="6"/>
  <c r="X787" i="8"/>
  <c r="AC787" i="8" s="1"/>
  <c r="AB686" i="8"/>
  <c r="Z850" i="7"/>
  <c r="AC850" i="7"/>
  <c r="B1554" i="6"/>
  <c r="D1554" i="6" s="1"/>
  <c r="Y850" i="7"/>
  <c r="Y241" i="8"/>
  <c r="Y296" i="7"/>
  <c r="R1119" i="6"/>
  <c r="Q1369" i="6"/>
  <c r="S1369" i="6" s="1"/>
  <c r="W298" i="8"/>
  <c r="AC293" i="12"/>
  <c r="Y293" i="12"/>
  <c r="Q1083" i="6"/>
  <c r="S1083" i="6" s="1"/>
  <c r="Z293" i="12"/>
  <c r="AB293" i="12" s="1"/>
  <c r="X957" i="8"/>
  <c r="W352" i="8"/>
  <c r="X352" i="8" s="1"/>
  <c r="AC901" i="7"/>
  <c r="Z901" i="7"/>
  <c r="AB901" i="7" s="1"/>
  <c r="Y514" i="7"/>
  <c r="AA514" i="7" s="1"/>
  <c r="X572" i="8"/>
  <c r="CG244" i="11"/>
  <c r="X243" i="7"/>
  <c r="Y243" i="7" s="1"/>
  <c r="W787" i="8"/>
  <c r="AB839" i="8"/>
  <c r="R1321" i="6"/>
  <c r="AC741" i="8"/>
  <c r="Z741" i="8"/>
  <c r="AB741" i="8" s="1"/>
  <c r="W1013" i="8"/>
  <c r="E2387" i="6"/>
  <c r="D2387" i="6"/>
  <c r="W129" i="8"/>
  <c r="X129" i="8" s="1"/>
  <c r="AC1067" i="8"/>
  <c r="Z1067" i="8"/>
  <c r="AB1067" i="8" s="1"/>
  <c r="C1644" i="6"/>
  <c r="C1695" i="6"/>
  <c r="AA297" i="8"/>
  <c r="Q1264" i="6"/>
  <c r="R1264" i="6" s="1"/>
  <c r="S1422" i="6"/>
  <c r="Z737" i="7"/>
  <c r="AB737" i="7" s="1"/>
  <c r="AC737" i="7"/>
  <c r="AC514" i="7"/>
  <c r="AC627" i="8"/>
  <c r="Z627" i="8"/>
  <c r="AB627" i="8" s="1"/>
  <c r="Q1498" i="6"/>
  <c r="S1498" i="6" s="1"/>
  <c r="D1598" i="6"/>
  <c r="AA462" i="7"/>
  <c r="Y132" i="7"/>
  <c r="AA132" i="7" s="1"/>
  <c r="AC132" i="7"/>
  <c r="D2455" i="6" l="1"/>
  <c r="AB626" i="7"/>
  <c r="C2324" i="6"/>
  <c r="D2257" i="6"/>
  <c r="E2257" i="6"/>
  <c r="B2258" i="6" s="1"/>
  <c r="AC352" i="8"/>
  <c r="Z352" i="8"/>
  <c r="AA741" i="8"/>
  <c r="AA296" i="7"/>
  <c r="AA460" i="8"/>
  <c r="C2524" i="6"/>
  <c r="AG245" i="11"/>
  <c r="B2388" i="6"/>
  <c r="C2388" i="6" s="1"/>
  <c r="AA241" i="8"/>
  <c r="CI244" i="11"/>
  <c r="CS244" i="11" s="1"/>
  <c r="AB132" i="7"/>
  <c r="W133" i="7" s="1"/>
  <c r="X133" i="7" s="1"/>
  <c r="B2456" i="6"/>
  <c r="AA850" i="7"/>
  <c r="Z243" i="12"/>
  <c r="AC243" i="12"/>
  <c r="Y243" i="12"/>
  <c r="AA243" i="12" s="1"/>
  <c r="B1599" i="6"/>
  <c r="C1599" i="6" s="1"/>
  <c r="Y406" i="8"/>
  <c r="Z406" i="8"/>
  <c r="AB406" i="8" s="1"/>
  <c r="AC406" i="8"/>
  <c r="AA243" i="7"/>
  <c r="AC129" i="8"/>
  <c r="Z129" i="8"/>
  <c r="Y129" i="8"/>
  <c r="AA129" i="8" s="1"/>
  <c r="Y186" i="7"/>
  <c r="Z186" i="7"/>
  <c r="AC186" i="7"/>
  <c r="W840" i="8"/>
  <c r="X840" i="8" s="1"/>
  <c r="W628" i="8"/>
  <c r="Y787" i="8"/>
  <c r="AC131" i="12"/>
  <c r="Y131" i="12"/>
  <c r="C1554" i="6"/>
  <c r="Z131" i="12"/>
  <c r="W738" i="7"/>
  <c r="S1423" i="6"/>
  <c r="Q1424" i="6" s="1"/>
  <c r="R1424" i="6" s="1"/>
  <c r="Y352" i="8"/>
  <c r="AB241" i="8"/>
  <c r="C2456" i="6"/>
  <c r="Q1120" i="6"/>
  <c r="S1120" i="6" s="1"/>
  <c r="W406" i="7"/>
  <c r="W627" i="7"/>
  <c r="X627" i="7" s="1"/>
  <c r="AC682" i="7"/>
  <c r="Y682" i="7"/>
  <c r="AA682" i="7" s="1"/>
  <c r="W901" i="8"/>
  <c r="X901" i="8" s="1"/>
  <c r="Z901" i="8" s="1"/>
  <c r="R1498" i="6"/>
  <c r="Z787" i="8"/>
  <c r="AA627" i="8"/>
  <c r="R1083" i="6"/>
  <c r="W515" i="7"/>
  <c r="AC572" i="8"/>
  <c r="Z572" i="8"/>
  <c r="Z189" i="8"/>
  <c r="AB189" i="8" s="1"/>
  <c r="AC189" i="8"/>
  <c r="Y572" i="8"/>
  <c r="AA572" i="8" s="1"/>
  <c r="Q1218" i="6"/>
  <c r="S1218" i="6" s="1"/>
  <c r="W742" i="8"/>
  <c r="X742" i="8" s="1"/>
  <c r="Y516" i="8"/>
  <c r="AA516" i="8" s="1"/>
  <c r="AC516" i="8"/>
  <c r="Q1167" i="6"/>
  <c r="S1167" i="6" s="1"/>
  <c r="AA901" i="7"/>
  <c r="Z957" i="8"/>
  <c r="AC957" i="8"/>
  <c r="Y957" i="8"/>
  <c r="W294" i="12"/>
  <c r="AC789" i="7"/>
  <c r="Y789" i="7"/>
  <c r="AA789" i="7" s="1"/>
  <c r="AB850" i="7"/>
  <c r="W187" i="12"/>
  <c r="X187" i="12" s="1"/>
  <c r="Z187" i="12" s="1"/>
  <c r="R1369" i="6"/>
  <c r="X298" i="8"/>
  <c r="W687" i="8"/>
  <c r="X687" i="8" s="1"/>
  <c r="Z687" i="8" s="1"/>
  <c r="R1448" i="6"/>
  <c r="AB460" i="8"/>
  <c r="AB296" i="7"/>
  <c r="AA737" i="7"/>
  <c r="B1645" i="6"/>
  <c r="D1645" i="6" s="1"/>
  <c r="W1068" i="8"/>
  <c r="AC243" i="7"/>
  <c r="Z243" i="7"/>
  <c r="AB243" i="7" s="1"/>
  <c r="AA293" i="12"/>
  <c r="Y572" i="7"/>
  <c r="AA572" i="7" s="1"/>
  <c r="AC572" i="7"/>
  <c r="Y353" i="7"/>
  <c r="AA353" i="7" s="1"/>
  <c r="AC353" i="7"/>
  <c r="X515" i="7"/>
  <c r="Z515" i="7" s="1"/>
  <c r="X1013" i="8"/>
  <c r="Q1265" i="6"/>
  <c r="R1265" i="6" s="1"/>
  <c r="W902" i="7"/>
  <c r="X463" i="7"/>
  <c r="B1696" i="6"/>
  <c r="D1696" i="6" s="1"/>
  <c r="Q1322" i="6"/>
  <c r="S1322" i="6" s="1"/>
  <c r="AA405" i="7"/>
  <c r="AA1067" i="8"/>
  <c r="E2324" i="6" l="1"/>
  <c r="D2324" i="6"/>
  <c r="B2325" i="6"/>
  <c r="AA131" i="12"/>
  <c r="AB186" i="7"/>
  <c r="E2388" i="6"/>
  <c r="D2388" i="6"/>
  <c r="AA352" i="8"/>
  <c r="AA245" i="11"/>
  <c r="AB245" i="11"/>
  <c r="AE245" i="11"/>
  <c r="C10" i="11" s="1"/>
  <c r="Z245" i="11"/>
  <c r="AD245" i="11"/>
  <c r="AC245" i="11"/>
  <c r="Y245" i="11"/>
  <c r="AF245" i="11" s="1"/>
  <c r="B10" i="11" s="1"/>
  <c r="B24" i="11" s="1"/>
  <c r="C2258" i="6"/>
  <c r="D2524" i="6"/>
  <c r="E2524" i="6"/>
  <c r="B2525" i="6" s="1"/>
  <c r="AA787" i="8"/>
  <c r="AA957" i="8"/>
  <c r="AC515" i="7"/>
  <c r="AC742" i="8"/>
  <c r="Y742" i="8"/>
  <c r="Z742" i="8"/>
  <c r="AB742" i="8" s="1"/>
  <c r="Z627" i="7"/>
  <c r="Y627" i="7"/>
  <c r="AA627" i="7" s="1"/>
  <c r="AC627" i="7"/>
  <c r="Z133" i="7"/>
  <c r="Y133" i="7"/>
  <c r="AA133" i="7" s="1"/>
  <c r="AC133" i="7"/>
  <c r="AC1013" i="8"/>
  <c r="Z1013" i="8"/>
  <c r="Q1370" i="6"/>
  <c r="S1370" i="6" s="1"/>
  <c r="Q1084" i="6"/>
  <c r="S1084" i="6" s="1"/>
  <c r="R1120" i="6"/>
  <c r="Y515" i="7"/>
  <c r="AA515" i="7" s="1"/>
  <c r="W407" i="8"/>
  <c r="W851" i="7"/>
  <c r="X851" i="7" s="1"/>
  <c r="Z851" i="7" s="1"/>
  <c r="AB957" i="8"/>
  <c r="X738" i="7"/>
  <c r="W297" i="7"/>
  <c r="X297" i="7" s="1"/>
  <c r="Z297" i="7" s="1"/>
  <c r="AB572" i="8"/>
  <c r="S1424" i="6"/>
  <c r="Q1425" i="6" s="1"/>
  <c r="R1425" i="6" s="1"/>
  <c r="D1599" i="6"/>
  <c r="B1600" i="6" s="1"/>
  <c r="C1600" i="6" s="1"/>
  <c r="Q1449" i="6"/>
  <c r="S1449" i="6" s="1"/>
  <c r="AB352" i="8"/>
  <c r="AA189" i="8"/>
  <c r="AB516" i="8"/>
  <c r="CQ244" i="11"/>
  <c r="CP244" i="11"/>
  <c r="CO244" i="11"/>
  <c r="CK244" i="11"/>
  <c r="CL244" i="11"/>
  <c r="CN244" i="11"/>
  <c r="CM244" i="11"/>
  <c r="S1265" i="6"/>
  <c r="Q1266" i="6" s="1"/>
  <c r="R1266" i="6" s="1"/>
  <c r="AC187" i="12"/>
  <c r="Y187" i="12"/>
  <c r="AA187" i="12" s="1"/>
  <c r="D2456" i="6"/>
  <c r="E2456" i="6"/>
  <c r="W242" i="8"/>
  <c r="X242" i="8" s="1"/>
  <c r="Z242" i="8" s="1"/>
  <c r="AC840" i="8"/>
  <c r="Y840" i="8"/>
  <c r="R1322" i="6"/>
  <c r="W190" i="8"/>
  <c r="W461" i="8"/>
  <c r="X461" i="8" s="1"/>
  <c r="Z461" i="8" s="1"/>
  <c r="AC463" i="7"/>
  <c r="Z463" i="7"/>
  <c r="AB463" i="7" s="1"/>
  <c r="X294" i="12"/>
  <c r="Z298" i="8"/>
  <c r="AC298" i="8"/>
  <c r="X1068" i="8"/>
  <c r="Y1068" i="8" s="1"/>
  <c r="Y298" i="8"/>
  <c r="AA298" i="8" s="1"/>
  <c r="AB129" i="8"/>
  <c r="Y1013" i="8"/>
  <c r="AA1013" i="8" s="1"/>
  <c r="R1218" i="6"/>
  <c r="AA406" i="8"/>
  <c r="Q1499" i="6"/>
  <c r="S1499" i="6" s="1"/>
  <c r="X902" i="7"/>
  <c r="Y687" i="8"/>
  <c r="AA687" i="8" s="1"/>
  <c r="AC687" i="8"/>
  <c r="R1167" i="6"/>
  <c r="AB572" i="7"/>
  <c r="AB682" i="7"/>
  <c r="AB131" i="12"/>
  <c r="W187" i="7"/>
  <c r="X406" i="7"/>
  <c r="X628" i="8"/>
  <c r="AB787" i="8"/>
  <c r="C1645" i="6"/>
  <c r="Z840" i="8"/>
  <c r="AB840" i="8" s="1"/>
  <c r="Y901" i="8"/>
  <c r="AA901" i="8" s="1"/>
  <c r="AC901" i="8"/>
  <c r="C1696" i="6"/>
  <c r="AB353" i="7"/>
  <c r="AB789" i="7"/>
  <c r="Y463" i="7"/>
  <c r="W244" i="7"/>
  <c r="X244" i="7" s="1"/>
  <c r="B1555" i="6"/>
  <c r="D1555" i="6" s="1"/>
  <c r="AA186" i="7"/>
  <c r="AB243" i="12"/>
  <c r="D10" i="11" l="1"/>
  <c r="C2325" i="6"/>
  <c r="E10" i="11"/>
  <c r="B2457" i="6"/>
  <c r="D14" i="11"/>
  <c r="E14" i="11"/>
  <c r="E12" i="11"/>
  <c r="C2457" i="6"/>
  <c r="E2258" i="6"/>
  <c r="D2258" i="6"/>
  <c r="AB187" i="12"/>
  <c r="B17" i="11"/>
  <c r="C2525" i="6"/>
  <c r="E11" i="11"/>
  <c r="D21" i="11"/>
  <c r="B21" i="11"/>
  <c r="C24" i="11"/>
  <c r="D26" i="11" s="1"/>
  <c r="D12" i="11"/>
  <c r="D11" i="11"/>
  <c r="C17" i="11"/>
  <c r="B2389" i="6"/>
  <c r="C2389" i="6" s="1"/>
  <c r="E2389" i="6" s="1"/>
  <c r="B2390" i="6" s="1"/>
  <c r="E2457" i="6"/>
  <c r="D2457" i="6"/>
  <c r="AC244" i="7"/>
  <c r="Z244" i="7"/>
  <c r="Y244" i="7"/>
  <c r="AA244" i="7" s="1"/>
  <c r="W353" i="8"/>
  <c r="X353" i="8" s="1"/>
  <c r="Z353" i="8" s="1"/>
  <c r="AC461" i="8"/>
  <c r="Y461" i="8"/>
  <c r="AA461" i="8" s="1"/>
  <c r="W354" i="7"/>
  <c r="X354" i="7" s="1"/>
  <c r="Z354" i="7" s="1"/>
  <c r="B1697" i="6"/>
  <c r="D1697" i="6" s="1"/>
  <c r="R1449" i="6"/>
  <c r="Z406" i="7"/>
  <c r="AC406" i="7"/>
  <c r="BO245" i="11"/>
  <c r="CR244" i="11"/>
  <c r="BV245" i="11" s="1"/>
  <c r="AB515" i="7"/>
  <c r="R1499" i="6"/>
  <c r="Q1323" i="6"/>
  <c r="S1323" i="6" s="1"/>
  <c r="AA840" i="8"/>
  <c r="W244" i="12"/>
  <c r="X244" i="12" s="1"/>
  <c r="Z244" i="12" s="1"/>
  <c r="W573" i="8"/>
  <c r="X573" i="8" s="1"/>
  <c r="X187" i="7"/>
  <c r="Y187" i="7" s="1"/>
  <c r="X407" i="8"/>
  <c r="R1084" i="6"/>
  <c r="Z628" i="8"/>
  <c r="AC628" i="8"/>
  <c r="X190" i="8"/>
  <c r="AA463" i="7"/>
  <c r="Y628" i="8"/>
  <c r="AB298" i="8"/>
  <c r="D1600" i="6"/>
  <c r="S1425" i="6"/>
  <c r="W841" i="8"/>
  <c r="Q1121" i="6"/>
  <c r="S1121" i="6" s="1"/>
  <c r="AB901" i="8"/>
  <c r="Y242" i="8"/>
  <c r="AA242" i="8" s="1"/>
  <c r="AC242" i="8"/>
  <c r="Y297" i="7"/>
  <c r="AA297" i="7" s="1"/>
  <c r="AC297" i="7"/>
  <c r="AB627" i="7"/>
  <c r="W790" i="7"/>
  <c r="X790" i="7" s="1"/>
  <c r="Y851" i="7"/>
  <c r="AA851" i="7" s="1"/>
  <c r="AC851" i="7"/>
  <c r="S1266" i="6"/>
  <c r="Y406" i="7"/>
  <c r="AA406" i="7" s="1"/>
  <c r="AB687" i="8"/>
  <c r="D2389" i="6"/>
  <c r="W132" i="12"/>
  <c r="X132" i="12" s="1"/>
  <c r="Z132" i="12" s="1"/>
  <c r="C1555" i="6"/>
  <c r="B1646" i="6"/>
  <c r="D1646" i="6" s="1"/>
  <c r="W683" i="7"/>
  <c r="X683" i="7" s="1"/>
  <c r="R1370" i="6"/>
  <c r="AC738" i="7"/>
  <c r="Z738" i="7"/>
  <c r="W743" i="8"/>
  <c r="W464" i="7"/>
  <c r="W130" i="8"/>
  <c r="X130" i="8" s="1"/>
  <c r="AC902" i="7"/>
  <c r="Z902" i="7"/>
  <c r="Y902" i="7"/>
  <c r="AA902" i="7" s="1"/>
  <c r="BP245" i="11"/>
  <c r="Z1068" i="8"/>
  <c r="AB1068" i="8" s="1"/>
  <c r="AC1068" i="8"/>
  <c r="AB133" i="7"/>
  <c r="W573" i="7"/>
  <c r="X573" i="7" s="1"/>
  <c r="Z573" i="7" s="1"/>
  <c r="Q1219" i="6"/>
  <c r="S1219" i="6" s="1"/>
  <c r="AC294" i="12"/>
  <c r="Z294" i="12"/>
  <c r="W788" i="8"/>
  <c r="X788" i="8" s="1"/>
  <c r="Q1168" i="6"/>
  <c r="S1168" i="6" s="1"/>
  <c r="Y294" i="12"/>
  <c r="C26" i="11"/>
  <c r="B26" i="11"/>
  <c r="B27" i="11" s="1"/>
  <c r="B39" i="13" s="1"/>
  <c r="Y738" i="7"/>
  <c r="AB1013" i="8"/>
  <c r="AA742" i="8"/>
  <c r="W517" i="8"/>
  <c r="X517" i="8" s="1"/>
  <c r="W958" i="8"/>
  <c r="X958" i="8" s="1"/>
  <c r="Z958" i="8"/>
  <c r="B2259" i="6" l="1"/>
  <c r="C2259" i="6" s="1"/>
  <c r="AB297" i="7"/>
  <c r="AA738" i="7"/>
  <c r="E2325" i="6"/>
  <c r="D2325" i="6"/>
  <c r="B2458" i="6"/>
  <c r="BR245" i="11"/>
  <c r="E2259" i="6"/>
  <c r="D2259" i="6"/>
  <c r="R1168" i="6"/>
  <c r="Q1169" i="6" s="1"/>
  <c r="AB294" i="12"/>
  <c r="W295" i="12" s="1"/>
  <c r="W188" i="12"/>
  <c r="X188" i="12" s="1"/>
  <c r="Y188" i="12" s="1"/>
  <c r="AB242" i="8"/>
  <c r="W243" i="8" s="1"/>
  <c r="X243" i="8" s="1"/>
  <c r="C2458" i="6"/>
  <c r="D2458" i="6" s="1"/>
  <c r="E2525" i="6"/>
  <c r="D2525" i="6"/>
  <c r="AB628" i="8"/>
  <c r="W629" i="8" s="1"/>
  <c r="C2390" i="6"/>
  <c r="Q1371" i="6"/>
  <c r="S1371" i="6" s="1"/>
  <c r="AC683" i="7"/>
  <c r="Y683" i="7"/>
  <c r="Z683" i="7"/>
  <c r="AB683" i="7" s="1"/>
  <c r="D1601" i="6"/>
  <c r="Q1500" i="6"/>
  <c r="S1500" i="6" s="1"/>
  <c r="C1646" i="6"/>
  <c r="W628" i="7"/>
  <c r="X628" i="7" s="1"/>
  <c r="Q1085" i="6"/>
  <c r="S1085" i="6" s="1"/>
  <c r="Y517" i="8"/>
  <c r="AC517" i="8"/>
  <c r="Y573" i="8"/>
  <c r="AC573" i="8"/>
  <c r="Q1450" i="6"/>
  <c r="S1450" i="6" s="1"/>
  <c r="AC788" i="8"/>
  <c r="Y788" i="8"/>
  <c r="W299" i="8"/>
  <c r="X299" i="8" s="1"/>
  <c r="Z299" i="8"/>
  <c r="W516" i="7"/>
  <c r="X516" i="7" s="1"/>
  <c r="AB902" i="7"/>
  <c r="AB461" i="8"/>
  <c r="AB573" i="7"/>
  <c r="AC130" i="8"/>
  <c r="Y130" i="8"/>
  <c r="AC407" i="8"/>
  <c r="Z407" i="8"/>
  <c r="B1601" i="6"/>
  <c r="C1601" i="6" s="1"/>
  <c r="X743" i="8"/>
  <c r="AB406" i="7"/>
  <c r="Y790" i="7"/>
  <c r="AC790" i="7"/>
  <c r="Z790" i="7"/>
  <c r="AB790" i="7" s="1"/>
  <c r="X464" i="7"/>
  <c r="Z573" i="8"/>
  <c r="W298" i="7"/>
  <c r="Z788" i="8"/>
  <c r="Y958" i="8"/>
  <c r="AA958" i="8" s="1"/>
  <c r="AC958" i="8"/>
  <c r="AC573" i="7"/>
  <c r="Y573" i="7"/>
  <c r="AA573" i="7" s="1"/>
  <c r="Y132" i="12"/>
  <c r="AA132" i="12" s="1"/>
  <c r="AC132" i="12"/>
  <c r="Y407" i="8"/>
  <c r="AA407" i="8" s="1"/>
  <c r="AA628" i="8"/>
  <c r="AA294" i="12"/>
  <c r="AB738" i="7"/>
  <c r="AB851" i="7"/>
  <c r="R1121" i="6"/>
  <c r="AC190" i="8"/>
  <c r="Z190" i="8"/>
  <c r="C1697" i="6"/>
  <c r="AC354" i="7"/>
  <c r="Y354" i="7"/>
  <c r="AA354" i="7" s="1"/>
  <c r="W1069" i="8"/>
  <c r="X841" i="8"/>
  <c r="R1323" i="6"/>
  <c r="AC353" i="8"/>
  <c r="Y353" i="8"/>
  <c r="AA353" i="8" s="1"/>
  <c r="R1219" i="6"/>
  <c r="B1556" i="6"/>
  <c r="D1556" i="6" s="1"/>
  <c r="BS245" i="11"/>
  <c r="Q1267" i="6"/>
  <c r="R1267" i="6" s="1"/>
  <c r="BQ245" i="11"/>
  <c r="Z517" i="8"/>
  <c r="AB517" i="8" s="1"/>
  <c r="AB132" i="12"/>
  <c r="X298" i="7"/>
  <c r="Y298" i="7" s="1"/>
  <c r="AA1068" i="8"/>
  <c r="Z130" i="8"/>
  <c r="W1014" i="8"/>
  <c r="X1014" i="8" s="1"/>
  <c r="Z1014" i="8"/>
  <c r="W134" i="7"/>
  <c r="X134" i="7" s="1"/>
  <c r="Z134" i="7" s="1"/>
  <c r="AC187" i="7"/>
  <c r="Z187" i="7"/>
  <c r="AB187" i="7" s="1"/>
  <c r="Q1426" i="6"/>
  <c r="R1426" i="6" s="1"/>
  <c r="AB244" i="7"/>
  <c r="W902" i="8"/>
  <c r="X902" i="8" s="1"/>
  <c r="Z902" i="8" s="1"/>
  <c r="W688" i="8"/>
  <c r="X688" i="8" s="1"/>
  <c r="Z688" i="8" s="1"/>
  <c r="Y190" i="8"/>
  <c r="Y244" i="12"/>
  <c r="AA244" i="12" s="1"/>
  <c r="AC244" i="12"/>
  <c r="R1169" i="6" l="1"/>
  <c r="S1169" i="6"/>
  <c r="AA190" i="8"/>
  <c r="B2326" i="6"/>
  <c r="AC188" i="12"/>
  <c r="AB354" i="7"/>
  <c r="C2326" i="6"/>
  <c r="E2458" i="6"/>
  <c r="S1426" i="6"/>
  <c r="Q1427" i="6" s="1"/>
  <c r="S1427" i="6" s="1"/>
  <c r="B2526" i="6"/>
  <c r="C2526" i="6" s="1"/>
  <c r="AA788" i="8"/>
  <c r="AA187" i="7"/>
  <c r="AA573" i="8"/>
  <c r="AA130" i="8"/>
  <c r="B2260" i="6"/>
  <c r="C2260" i="6" s="1"/>
  <c r="Z188" i="12"/>
  <c r="AB188" i="12" s="1"/>
  <c r="Q1170" i="6"/>
  <c r="R1170" i="6" s="1"/>
  <c r="AB688" i="8"/>
  <c r="AC243" i="8"/>
  <c r="Y243" i="8"/>
  <c r="Z243" i="8"/>
  <c r="AB243" i="8" s="1"/>
  <c r="W852" i="7"/>
  <c r="X852" i="7" s="1"/>
  <c r="Z852" i="7"/>
  <c r="X295" i="12"/>
  <c r="Y295" i="12" s="1"/>
  <c r="R1500" i="6"/>
  <c r="AB130" i="8"/>
  <c r="W407" i="7"/>
  <c r="X407" i="7" s="1"/>
  <c r="Z407" i="7"/>
  <c r="Z841" i="8"/>
  <c r="AC841" i="8"/>
  <c r="Y841" i="8"/>
  <c r="W133" i="12"/>
  <c r="X133" i="12" s="1"/>
  <c r="W518" i="8"/>
  <c r="W245" i="7"/>
  <c r="X245" i="7" s="1"/>
  <c r="Z245" i="7" s="1"/>
  <c r="BT245" i="11"/>
  <c r="BU245" i="11" s="1"/>
  <c r="W355" i="7"/>
  <c r="W574" i="7"/>
  <c r="X574" i="7" s="1"/>
  <c r="Q1324" i="6"/>
  <c r="S1324" i="6" s="1"/>
  <c r="W903" i="7"/>
  <c r="X903" i="7" s="1"/>
  <c r="Z903" i="7"/>
  <c r="X1069" i="8"/>
  <c r="W684" i="7"/>
  <c r="R1450" i="6"/>
  <c r="Z298" i="7"/>
  <c r="AB298" i="7" s="1"/>
  <c r="AA683" i="7"/>
  <c r="Z743" i="8"/>
  <c r="AC743" i="8"/>
  <c r="AB244" i="12"/>
  <c r="W188" i="7"/>
  <c r="B1698" i="6"/>
  <c r="D1698" i="6" s="1"/>
  <c r="AB190" i="8"/>
  <c r="AB573" i="8"/>
  <c r="B1602" i="6"/>
  <c r="C1602" i="6" s="1"/>
  <c r="R1085" i="6"/>
  <c r="R1371" i="6"/>
  <c r="B2459" i="6"/>
  <c r="C2459" i="6" s="1"/>
  <c r="AC1014" i="8"/>
  <c r="Y1014" i="8"/>
  <c r="AA1014" i="8" s="1"/>
  <c r="W739" i="7"/>
  <c r="X739" i="7" s="1"/>
  <c r="Z739" i="7" s="1"/>
  <c r="W791" i="7"/>
  <c r="AB958" i="8"/>
  <c r="AC688" i="8"/>
  <c r="Y688" i="8"/>
  <c r="AA688" i="8" s="1"/>
  <c r="AC516" i="7"/>
  <c r="Y516" i="7"/>
  <c r="Y299" i="8"/>
  <c r="AA299" i="8" s="1"/>
  <c r="AC299" i="8"/>
  <c r="X355" i="7"/>
  <c r="Z355" i="7" s="1"/>
  <c r="AC298" i="7"/>
  <c r="AA517" i="8"/>
  <c r="D2390" i="6"/>
  <c r="E2390" i="6"/>
  <c r="Y743" i="8"/>
  <c r="AA743" i="8" s="1"/>
  <c r="AC464" i="7"/>
  <c r="Z464" i="7"/>
  <c r="AB407" i="8"/>
  <c r="S1267" i="6"/>
  <c r="Q1268" i="6" s="1"/>
  <c r="R1268" i="6" s="1"/>
  <c r="AC628" i="7"/>
  <c r="Y628" i="7"/>
  <c r="Q1220" i="6"/>
  <c r="S1220" i="6" s="1"/>
  <c r="B1647" i="6"/>
  <c r="D1647" i="6" s="1"/>
  <c r="AA790" i="7"/>
  <c r="W462" i="8"/>
  <c r="X462" i="8" s="1"/>
  <c r="Z462" i="8" s="1"/>
  <c r="X629" i="8"/>
  <c r="AB788" i="8"/>
  <c r="Z516" i="7"/>
  <c r="AC902" i="8"/>
  <c r="Y902" i="8"/>
  <c r="AA902" i="8" s="1"/>
  <c r="AB353" i="8"/>
  <c r="AC134" i="7"/>
  <c r="Y134" i="7"/>
  <c r="AA134" i="7" s="1"/>
  <c r="C1556" i="6"/>
  <c r="Q1122" i="6"/>
  <c r="S1122" i="6" s="1"/>
  <c r="Y464" i="7"/>
  <c r="Z628" i="7"/>
  <c r="AB628" i="7" s="1"/>
  <c r="D2326" i="6" l="1"/>
  <c r="E2326" i="6"/>
  <c r="AA464" i="7"/>
  <c r="AB902" i="8"/>
  <c r="W189" i="12"/>
  <c r="AA841" i="8"/>
  <c r="AA516" i="7"/>
  <c r="D2526" i="6"/>
  <c r="E2526" i="6"/>
  <c r="B2527" i="6" s="1"/>
  <c r="C2527" i="6"/>
  <c r="AA298" i="7"/>
  <c r="E2260" i="6"/>
  <c r="D2260" i="6"/>
  <c r="R1220" i="6"/>
  <c r="Q1221" i="6" s="1"/>
  <c r="AB1014" i="8"/>
  <c r="W1015" i="8" s="1"/>
  <c r="X1015" i="8" s="1"/>
  <c r="S1170" i="6"/>
  <c r="Q1171" i="6" s="1"/>
  <c r="S1171" i="6" s="1"/>
  <c r="X188" i="7"/>
  <c r="Z188" i="7" s="1"/>
  <c r="AA188" i="12"/>
  <c r="BY245" i="11"/>
  <c r="CD245" i="11" s="1"/>
  <c r="BZ245" i="11"/>
  <c r="BW245" i="11"/>
  <c r="CC245" i="11" s="1"/>
  <c r="BX245" i="11"/>
  <c r="CA245" i="11"/>
  <c r="CE245" i="11" s="1"/>
  <c r="CB245" i="11"/>
  <c r="E2459" i="6"/>
  <c r="D2459" i="6"/>
  <c r="Z133" i="12"/>
  <c r="Y133" i="12"/>
  <c r="AA133" i="12" s="1"/>
  <c r="AC133" i="12"/>
  <c r="Y574" i="7"/>
  <c r="Z574" i="7"/>
  <c r="AC574" i="7"/>
  <c r="Y188" i="7"/>
  <c r="Z629" i="8"/>
  <c r="AC629" i="8"/>
  <c r="W959" i="8"/>
  <c r="X959" i="8" s="1"/>
  <c r="W191" i="8"/>
  <c r="X191" i="8" s="1"/>
  <c r="W408" i="8"/>
  <c r="X408" i="8" s="1"/>
  <c r="Z408" i="8" s="1"/>
  <c r="R1122" i="6"/>
  <c r="W245" i="12"/>
  <c r="X245" i="12" s="1"/>
  <c r="Z245" i="12" s="1"/>
  <c r="AB841" i="8"/>
  <c r="Y407" i="7"/>
  <c r="AA407" i="7" s="1"/>
  <c r="AC407" i="7"/>
  <c r="AA295" i="12"/>
  <c r="Y629" i="8"/>
  <c r="AA629" i="8" s="1"/>
  <c r="R1427" i="6"/>
  <c r="W629" i="7"/>
  <c r="AC462" i="8"/>
  <c r="Y462" i="8"/>
  <c r="AA462" i="8" s="1"/>
  <c r="Y355" i="7"/>
  <c r="AA355" i="7" s="1"/>
  <c r="Y739" i="7"/>
  <c r="AA739" i="7" s="1"/>
  <c r="AC739" i="7"/>
  <c r="AB464" i="7"/>
  <c r="AC355" i="7"/>
  <c r="B2391" i="6"/>
  <c r="C2391" i="6" s="1"/>
  <c r="D1602" i="6"/>
  <c r="B1603" i="6" s="1"/>
  <c r="C1603" i="6" s="1"/>
  <c r="W689" i="8"/>
  <c r="X689" i="8" s="1"/>
  <c r="AB134" i="7"/>
  <c r="W574" i="8"/>
  <c r="X574" i="8" s="1"/>
  <c r="Z574" i="8" s="1"/>
  <c r="W299" i="7"/>
  <c r="X299" i="7" s="1"/>
  <c r="Y245" i="7"/>
  <c r="AA245" i="7" s="1"/>
  <c r="AC245" i="7"/>
  <c r="W131" i="8"/>
  <c r="X131" i="8" s="1"/>
  <c r="Z1069" i="8"/>
  <c r="AC1069" i="8"/>
  <c r="X791" i="7"/>
  <c r="S1268" i="6"/>
  <c r="AC852" i="7"/>
  <c r="Y852" i="7"/>
  <c r="AA852" i="7" s="1"/>
  <c r="B1557" i="6"/>
  <c r="D1557" i="6" s="1"/>
  <c r="AA243" i="8"/>
  <c r="AB743" i="8"/>
  <c r="X903" i="8"/>
  <c r="Z903" i="8" s="1"/>
  <c r="AC903" i="8"/>
  <c r="AB516" i="7"/>
  <c r="C1647" i="6"/>
  <c r="X518" i="8"/>
  <c r="Y518" i="8" s="1"/>
  <c r="Q1451" i="6"/>
  <c r="S1451" i="6" s="1"/>
  <c r="Q1501" i="6"/>
  <c r="S1501" i="6" s="1"/>
  <c r="AA628" i="7"/>
  <c r="Y1069" i="8"/>
  <c r="AC903" i="7"/>
  <c r="Y903" i="7"/>
  <c r="AA903" i="7" s="1"/>
  <c r="C1698" i="6"/>
  <c r="W903" i="8"/>
  <c r="R1324" i="6"/>
  <c r="W244" i="8"/>
  <c r="Q1372" i="6"/>
  <c r="S1372" i="6" s="1"/>
  <c r="Q1086" i="6"/>
  <c r="S1086" i="6" s="1"/>
  <c r="X684" i="7"/>
  <c r="AB299" i="8"/>
  <c r="W354" i="8"/>
  <c r="X354" i="8" s="1"/>
  <c r="W789" i="8"/>
  <c r="X789" i="8" s="1"/>
  <c r="Z295" i="12"/>
  <c r="AB295" i="12" s="1"/>
  <c r="AC295" i="12"/>
  <c r="AB852" i="7" l="1"/>
  <c r="X189" i="12"/>
  <c r="AB188" i="7"/>
  <c r="AB574" i="7"/>
  <c r="B2327" i="6"/>
  <c r="C2327" i="6" s="1"/>
  <c r="Y189" i="12"/>
  <c r="AA189" i="12" s="1"/>
  <c r="AC189" i="12"/>
  <c r="Z189" i="12"/>
  <c r="AB189" i="12" s="1"/>
  <c r="W190" i="12" s="1"/>
  <c r="Y689" i="8"/>
  <c r="AC689" i="8"/>
  <c r="R1221" i="6"/>
  <c r="S1221" i="6"/>
  <c r="Q1222" i="6" s="1"/>
  <c r="S1222" i="6" s="1"/>
  <c r="B2460" i="6"/>
  <c r="B2261" i="6"/>
  <c r="C2261" i="6" s="1"/>
  <c r="E2527" i="6"/>
  <c r="D2527" i="6"/>
  <c r="AA1069" i="8"/>
  <c r="AC188" i="7"/>
  <c r="W189" i="7" s="1"/>
  <c r="AB739" i="7"/>
  <c r="AC1015" i="8"/>
  <c r="Z1015" i="8"/>
  <c r="Y1015" i="8"/>
  <c r="AA1015" i="8" s="1"/>
  <c r="Y299" i="7"/>
  <c r="Z299" i="7"/>
  <c r="AB299" i="7" s="1"/>
  <c r="AC299" i="7"/>
  <c r="C2460" i="6"/>
  <c r="Q1123" i="6"/>
  <c r="S1123" i="6" s="1"/>
  <c r="AB903" i="7"/>
  <c r="W296" i="12"/>
  <c r="X296" i="12" s="1"/>
  <c r="Y903" i="8"/>
  <c r="AA903" i="8" s="1"/>
  <c r="W135" i="7"/>
  <c r="X135" i="7" s="1"/>
  <c r="X244" i="8"/>
  <c r="Y244" i="8" s="1"/>
  <c r="Z689" i="8"/>
  <c r="AB1069" i="8"/>
  <c r="AC354" i="8"/>
  <c r="Y354" i="8"/>
  <c r="W300" i="8"/>
  <c r="X300" i="8" s="1"/>
  <c r="Z300" i="8" s="1"/>
  <c r="Y959" i="8"/>
  <c r="AC959" i="8"/>
  <c r="AA574" i="7"/>
  <c r="Q1428" i="6"/>
  <c r="S1428" i="6" s="1"/>
  <c r="R1171" i="6"/>
  <c r="W853" i="7"/>
  <c r="X853" i="7" s="1"/>
  <c r="X629" i="7"/>
  <c r="Q1269" i="6"/>
  <c r="R1269" i="6" s="1"/>
  <c r="W744" i="8"/>
  <c r="X744" i="8" s="1"/>
  <c r="Z744" i="8"/>
  <c r="AC789" i="8"/>
  <c r="Y789" i="8"/>
  <c r="AA188" i="7"/>
  <c r="D1603" i="6"/>
  <c r="W575" i="7"/>
  <c r="Y245" i="12"/>
  <c r="AA245" i="12" s="1"/>
  <c r="AC245" i="12"/>
  <c r="Z959" i="8"/>
  <c r="CG245" i="11"/>
  <c r="R1086" i="6"/>
  <c r="B1648" i="6"/>
  <c r="D1648" i="6" s="1"/>
  <c r="R1372" i="6"/>
  <c r="Y574" i="8"/>
  <c r="AA574" i="8" s="1"/>
  <c r="AC574" i="8"/>
  <c r="AB245" i="7"/>
  <c r="Y191" i="8"/>
  <c r="AC191" i="8"/>
  <c r="Z789" i="8"/>
  <c r="AB789" i="8" s="1"/>
  <c r="Z191" i="8"/>
  <c r="AB191" i="8" s="1"/>
  <c r="Q1325" i="6"/>
  <c r="S1325" i="6" s="1"/>
  <c r="CF245" i="11"/>
  <c r="R1501" i="6"/>
  <c r="Z684" i="7"/>
  <c r="AC684" i="7"/>
  <c r="Y684" i="7"/>
  <c r="AA684" i="7" s="1"/>
  <c r="B1699" i="6"/>
  <c r="D1699" i="6" s="1"/>
  <c r="R1451" i="6"/>
  <c r="C1557" i="6"/>
  <c r="AC131" i="8"/>
  <c r="Y131" i="8"/>
  <c r="AB462" i="8"/>
  <c r="AB355" i="7"/>
  <c r="Y408" i="8"/>
  <c r="AA408" i="8" s="1"/>
  <c r="AC408" i="8"/>
  <c r="W517" i="7"/>
  <c r="X517" i="7" s="1"/>
  <c r="E2391" i="6"/>
  <c r="D2391" i="6"/>
  <c r="W465" i="7"/>
  <c r="X465" i="7" s="1"/>
  <c r="Z465" i="7" s="1"/>
  <c r="AC791" i="7"/>
  <c r="Z791" i="7"/>
  <c r="W740" i="7"/>
  <c r="X740" i="7" s="1"/>
  <c r="Y791" i="7"/>
  <c r="W842" i="8"/>
  <c r="X842" i="8" s="1"/>
  <c r="Z842" i="8" s="1"/>
  <c r="Z354" i="8"/>
  <c r="AB407" i="7"/>
  <c r="Z518" i="8"/>
  <c r="AB518" i="8" s="1"/>
  <c r="AC518" i="8"/>
  <c r="Z131" i="8"/>
  <c r="AB629" i="8"/>
  <c r="AB133" i="12"/>
  <c r="Z740" i="7" l="1"/>
  <c r="AC740" i="7"/>
  <c r="AB689" i="8"/>
  <c r="D2327" i="6"/>
  <c r="E2327" i="6"/>
  <c r="B2328" i="6" s="1"/>
  <c r="C2328" i="6" s="1"/>
  <c r="B2528" i="6"/>
  <c r="C2528" i="6" s="1"/>
  <c r="B2392" i="6"/>
  <c r="C2392" i="6" s="1"/>
  <c r="E2392" i="6" s="1"/>
  <c r="AB245" i="12"/>
  <c r="W246" i="12" s="1"/>
  <c r="X246" i="12" s="1"/>
  <c r="Z246" i="12" s="1"/>
  <c r="AB354" i="8"/>
  <c r="W355" i="8" s="1"/>
  <c r="AA791" i="7"/>
  <c r="AA689" i="8"/>
  <c r="AB574" i="8"/>
  <c r="W575" i="8" s="1"/>
  <c r="X575" i="8" s="1"/>
  <c r="Y575" i="8" s="1"/>
  <c r="S1269" i="6"/>
  <c r="Q1270" i="6" s="1"/>
  <c r="S1270" i="6" s="1"/>
  <c r="AB903" i="8"/>
  <c r="AA131" i="8"/>
  <c r="D2261" i="6"/>
  <c r="E2261" i="6"/>
  <c r="B2262" i="6" s="1"/>
  <c r="CI245" i="11"/>
  <c r="AA959" i="8"/>
  <c r="Y853" i="7"/>
  <c r="AC853" i="7"/>
  <c r="Z853" i="7"/>
  <c r="AB853" i="7" s="1"/>
  <c r="AC296" i="12"/>
  <c r="Z296" i="12"/>
  <c r="Y296" i="12"/>
  <c r="AA296" i="12" s="1"/>
  <c r="AB842" i="8"/>
  <c r="R1325" i="6"/>
  <c r="X189" i="7"/>
  <c r="W904" i="7"/>
  <c r="X904" i="7" s="1"/>
  <c r="Z904" i="7" s="1"/>
  <c r="B1558" i="6"/>
  <c r="D1558" i="6" s="1"/>
  <c r="AA191" i="8"/>
  <c r="W1070" i="8"/>
  <c r="X1070" i="8" s="1"/>
  <c r="R1222" i="6"/>
  <c r="Y740" i="7"/>
  <c r="AA740" i="7" s="1"/>
  <c r="AB1015" i="8"/>
  <c r="AB684" i="7"/>
  <c r="Q1502" i="6"/>
  <c r="S1502" i="6" s="1"/>
  <c r="Z629" i="7"/>
  <c r="AC629" i="7"/>
  <c r="W904" i="8"/>
  <c r="X904" i="8" s="1"/>
  <c r="W463" i="8"/>
  <c r="X463" i="8" s="1"/>
  <c r="Z463" i="8" s="1"/>
  <c r="AC465" i="7"/>
  <c r="Y465" i="7"/>
  <c r="AA465" i="7" s="1"/>
  <c r="AA518" i="8"/>
  <c r="AC842" i="8"/>
  <c r="Y842" i="8"/>
  <c r="AA842" i="8" s="1"/>
  <c r="AB959" i="8"/>
  <c r="Y517" i="7"/>
  <c r="AA517" i="7" s="1"/>
  <c r="AC517" i="7"/>
  <c r="AB131" i="8"/>
  <c r="CH245" i="11"/>
  <c r="X190" i="12"/>
  <c r="Y190" i="12" s="1"/>
  <c r="Y629" i="7"/>
  <c r="AC135" i="7"/>
  <c r="Y135" i="7"/>
  <c r="AA135" i="7" s="1"/>
  <c r="AB408" i="8"/>
  <c r="W519" i="8"/>
  <c r="D2460" i="6"/>
  <c r="E2460" i="6"/>
  <c r="B2461" i="6" s="1"/>
  <c r="W408" i="7"/>
  <c r="X408" i="7" s="1"/>
  <c r="Z408" i="7" s="1"/>
  <c r="W300" i="7"/>
  <c r="W192" i="8"/>
  <c r="B1604" i="6"/>
  <c r="C1604" i="6" s="1"/>
  <c r="Q1452" i="6"/>
  <c r="S1452" i="6" s="1"/>
  <c r="AA789" i="8"/>
  <c r="C1699" i="6"/>
  <c r="Q1172" i="6"/>
  <c r="S1172" i="6" s="1"/>
  <c r="W690" i="8"/>
  <c r="X690" i="8" s="1"/>
  <c r="W134" i="12"/>
  <c r="X134" i="12" s="1"/>
  <c r="Z134" i="12" s="1"/>
  <c r="Z517" i="7"/>
  <c r="AC244" i="8"/>
  <c r="Z244" i="8"/>
  <c r="AB244" i="8" s="1"/>
  <c r="W356" i="7"/>
  <c r="X356" i="7" s="1"/>
  <c r="Z356" i="7" s="1"/>
  <c r="CJ245" i="11"/>
  <c r="Q1373" i="6"/>
  <c r="S1373" i="6" s="1"/>
  <c r="Z135" i="7"/>
  <c r="C1648" i="6"/>
  <c r="AB465" i="7"/>
  <c r="Q1087" i="6"/>
  <c r="S1087" i="6" s="1"/>
  <c r="AA299" i="7"/>
  <c r="W790" i="8"/>
  <c r="AC300" i="8"/>
  <c r="Y300" i="8"/>
  <c r="AA300" i="8" s="1"/>
  <c r="AA354" i="8"/>
  <c r="W246" i="7"/>
  <c r="X246" i="7" s="1"/>
  <c r="Z246" i="7" s="1"/>
  <c r="Y744" i="8"/>
  <c r="AA744" i="8" s="1"/>
  <c r="AC744" i="8"/>
  <c r="R1428" i="6"/>
  <c r="W630" i="8"/>
  <c r="X630" i="8" s="1"/>
  <c r="Z630" i="8" s="1"/>
  <c r="R1123" i="6"/>
  <c r="AB791" i="7"/>
  <c r="X575" i="7"/>
  <c r="B2529" i="6" l="1"/>
  <c r="E2528" i="6"/>
  <c r="D2528" i="6"/>
  <c r="AB300" i="8"/>
  <c r="W301" i="8" s="1"/>
  <c r="X301" i="8" s="1"/>
  <c r="D2392" i="6"/>
  <c r="E2328" i="6"/>
  <c r="D2328" i="6"/>
  <c r="B2329" i="6"/>
  <c r="C2329" i="6"/>
  <c r="C2262" i="6"/>
  <c r="CS245" i="11"/>
  <c r="CP245" i="11" s="1"/>
  <c r="AB744" i="8"/>
  <c r="W745" i="8" s="1"/>
  <c r="X745" i="8" s="1"/>
  <c r="AB629" i="7"/>
  <c r="W630" i="7" s="1"/>
  <c r="R1373" i="6"/>
  <c r="Q1374" i="6" s="1"/>
  <c r="S1374" i="6" s="1"/>
  <c r="R1270" i="6"/>
  <c r="Q1271" i="6" s="1"/>
  <c r="S1271" i="6" s="1"/>
  <c r="B2393" i="6"/>
  <c r="C2393" i="6" s="1"/>
  <c r="AB740" i="7"/>
  <c r="W741" i="7" s="1"/>
  <c r="X741" i="7" s="1"/>
  <c r="AC904" i="8"/>
  <c r="Z904" i="8"/>
  <c r="Y904" i="8"/>
  <c r="AA904" i="8" s="1"/>
  <c r="C2461" i="6"/>
  <c r="AB246" i="12"/>
  <c r="AC690" i="8"/>
  <c r="Y690" i="8"/>
  <c r="Z690" i="8"/>
  <c r="AB690" i="8" s="1"/>
  <c r="AC630" i="8"/>
  <c r="Y630" i="8"/>
  <c r="AA630" i="8" s="1"/>
  <c r="W466" i="7"/>
  <c r="X466" i="7" s="1"/>
  <c r="R1452" i="6"/>
  <c r="Y246" i="12"/>
  <c r="AA246" i="12" s="1"/>
  <c r="AC246" i="12"/>
  <c r="AB296" i="12"/>
  <c r="R1502" i="6"/>
  <c r="Z575" i="7"/>
  <c r="AC575" i="7"/>
  <c r="Z190" i="12"/>
  <c r="AB190" i="12" s="1"/>
  <c r="AC190" i="12"/>
  <c r="W685" i="7"/>
  <c r="X685" i="7" s="1"/>
  <c r="Z685" i="7"/>
  <c r="C1558" i="6"/>
  <c r="X790" i="8"/>
  <c r="Y904" i="7"/>
  <c r="AA904" i="7" s="1"/>
  <c r="AC904" i="7"/>
  <c r="B1649" i="6"/>
  <c r="D1649" i="6" s="1"/>
  <c r="W843" i="8"/>
  <c r="Z575" i="8"/>
  <c r="AB575" i="8" s="1"/>
  <c r="AB517" i="7"/>
  <c r="Y134" i="12"/>
  <c r="AA134" i="12" s="1"/>
  <c r="AC134" i="12"/>
  <c r="W960" i="8"/>
  <c r="X960" i="8" s="1"/>
  <c r="X843" i="8"/>
  <c r="AC843" i="8" s="1"/>
  <c r="Q1326" i="6"/>
  <c r="S1326" i="6" s="1"/>
  <c r="AB135" i="7"/>
  <c r="X519" i="8"/>
  <c r="Y519" i="8" s="1"/>
  <c r="W1016" i="8"/>
  <c r="X1016" i="8" s="1"/>
  <c r="W854" i="7"/>
  <c r="R1087" i="6"/>
  <c r="AC189" i="7"/>
  <c r="Z189" i="7"/>
  <c r="Q1429" i="6"/>
  <c r="S1429" i="6" s="1"/>
  <c r="Y189" i="7"/>
  <c r="AA189" i="7" s="1"/>
  <c r="Y1070" i="8"/>
  <c r="AC1070" i="8"/>
  <c r="Z1070" i="8"/>
  <c r="AB1070" i="8" s="1"/>
  <c r="W409" i="8"/>
  <c r="X409" i="8" s="1"/>
  <c r="X355" i="8"/>
  <c r="Y355" i="8" s="1"/>
  <c r="X192" i="8"/>
  <c r="Y575" i="7"/>
  <c r="W792" i="7"/>
  <c r="X792" i="7" s="1"/>
  <c r="Q1124" i="6"/>
  <c r="S1124" i="6" s="1"/>
  <c r="CQ245" i="11"/>
  <c r="C13" i="11" s="1"/>
  <c r="R1172" i="6"/>
  <c r="AC575" i="8"/>
  <c r="AA244" i="8"/>
  <c r="Y408" i="7"/>
  <c r="AA408" i="7" s="1"/>
  <c r="AC408" i="7"/>
  <c r="W245" i="8"/>
  <c r="Q1223" i="6"/>
  <c r="S1223" i="6" s="1"/>
  <c r="AC246" i="7"/>
  <c r="Y246" i="7"/>
  <c r="AA246" i="7" s="1"/>
  <c r="AA629" i="7"/>
  <c r="X300" i="7"/>
  <c r="AC356" i="7"/>
  <c r="Y356" i="7"/>
  <c r="AA356" i="7" s="1"/>
  <c r="B1700" i="6"/>
  <c r="D1700" i="6" s="1"/>
  <c r="D1604" i="6"/>
  <c r="B1605" i="6" s="1"/>
  <c r="C1605" i="6" s="1"/>
  <c r="W132" i="8"/>
  <c r="X132" i="8" s="1"/>
  <c r="Z132" i="8" s="1"/>
  <c r="Y463" i="8"/>
  <c r="AA463" i="8" s="1"/>
  <c r="AC463" i="8"/>
  <c r="AA853" i="7"/>
  <c r="CK245" i="11" l="1"/>
  <c r="CN245" i="11"/>
  <c r="C2529" i="6"/>
  <c r="CO245" i="11"/>
  <c r="E2329" i="6"/>
  <c r="B2330" i="6" s="1"/>
  <c r="C2330" i="6" s="1"/>
  <c r="D2329" i="6"/>
  <c r="AB575" i="7"/>
  <c r="W576" i="7" s="1"/>
  <c r="CL245" i="11"/>
  <c r="CM245" i="11"/>
  <c r="C1649" i="6"/>
  <c r="B1650" i="6" s="1"/>
  <c r="AA190" i="12"/>
  <c r="X191" i="12" s="1"/>
  <c r="Z191" i="12" s="1"/>
  <c r="AB408" i="7"/>
  <c r="W409" i="7" s="1"/>
  <c r="X409" i="7" s="1"/>
  <c r="Z409" i="7" s="1"/>
  <c r="R1326" i="6"/>
  <c r="AA575" i="8"/>
  <c r="E2262" i="6"/>
  <c r="D2262" i="6"/>
  <c r="AC466" i="7"/>
  <c r="Y466" i="7"/>
  <c r="Z466" i="7"/>
  <c r="AC741" i="7"/>
  <c r="Y741" i="7"/>
  <c r="Z741" i="7"/>
  <c r="AB741" i="7" s="1"/>
  <c r="AC745" i="8"/>
  <c r="Y745" i="8"/>
  <c r="Z745" i="8"/>
  <c r="AB745" i="8" s="1"/>
  <c r="Z301" i="8"/>
  <c r="Y301" i="8"/>
  <c r="AC301" i="8"/>
  <c r="E2393" i="6"/>
  <c r="D2393" i="6"/>
  <c r="AC960" i="8"/>
  <c r="Y960" i="8"/>
  <c r="Z790" i="8"/>
  <c r="AC790" i="8"/>
  <c r="Q1327" i="6"/>
  <c r="R1327" i="6" s="1"/>
  <c r="Y409" i="8"/>
  <c r="AA409" i="8" s="1"/>
  <c r="AC409" i="8"/>
  <c r="Y843" i="8"/>
  <c r="Q1453" i="6"/>
  <c r="S1453" i="6" s="1"/>
  <c r="D1605" i="6"/>
  <c r="B1606" i="6" s="1"/>
  <c r="C1606" i="6" s="1"/>
  <c r="Y1016" i="8"/>
  <c r="AC1016" i="8"/>
  <c r="W247" i="12"/>
  <c r="X247" i="12" s="1"/>
  <c r="C1700" i="6"/>
  <c r="Z1016" i="8"/>
  <c r="AB1016" i="8" s="1"/>
  <c r="AB463" i="8"/>
  <c r="Y790" i="8"/>
  <c r="AC300" i="7"/>
  <c r="Z300" i="7"/>
  <c r="AB300" i="7" s="1"/>
  <c r="AC792" i="7"/>
  <c r="Y792" i="7"/>
  <c r="AB356" i="7"/>
  <c r="X630" i="7"/>
  <c r="W691" i="8"/>
  <c r="X854" i="7"/>
  <c r="AA575" i="7"/>
  <c r="R1429" i="6"/>
  <c r="Z843" i="8"/>
  <c r="E2461" i="6"/>
  <c r="D2461" i="6"/>
  <c r="R1223" i="6"/>
  <c r="Y300" i="7"/>
  <c r="Y685" i="7"/>
  <c r="AA685" i="7" s="1"/>
  <c r="AC685" i="7"/>
  <c r="AA690" i="8"/>
  <c r="X245" i="8"/>
  <c r="Y245" i="8" s="1"/>
  <c r="Z192" i="8"/>
  <c r="AC192" i="8"/>
  <c r="AB189" i="7"/>
  <c r="W136" i="7"/>
  <c r="X136" i="7" s="1"/>
  <c r="Z136" i="7" s="1"/>
  <c r="AC132" i="8"/>
  <c r="Y132" i="8"/>
  <c r="AA132" i="8" s="1"/>
  <c r="Z409" i="8"/>
  <c r="W1071" i="8"/>
  <c r="Z960" i="8"/>
  <c r="AB960" i="8" s="1"/>
  <c r="Q1503" i="6"/>
  <c r="S1503" i="6" s="1"/>
  <c r="R1271" i="6"/>
  <c r="AB246" i="7"/>
  <c r="R1124" i="6"/>
  <c r="B1559" i="6"/>
  <c r="D1559" i="6" s="1"/>
  <c r="AB904" i="7"/>
  <c r="R1374" i="6"/>
  <c r="Y192" i="8"/>
  <c r="W191" i="12"/>
  <c r="AB904" i="8"/>
  <c r="W297" i="12"/>
  <c r="X297" i="12" s="1"/>
  <c r="Z297" i="12"/>
  <c r="AA1070" i="8"/>
  <c r="W518" i="7"/>
  <c r="X518" i="7" s="1"/>
  <c r="Z518" i="7" s="1"/>
  <c r="AB630" i="8"/>
  <c r="Z792" i="7"/>
  <c r="W576" i="8"/>
  <c r="AC519" i="8"/>
  <c r="Z519" i="8"/>
  <c r="AB519" i="8" s="1"/>
  <c r="Q1173" i="6"/>
  <c r="S1173" i="6" s="1"/>
  <c r="AC355" i="8"/>
  <c r="Z355" i="8"/>
  <c r="AB355" i="8" s="1"/>
  <c r="Q1088" i="6"/>
  <c r="S1088" i="6" s="1"/>
  <c r="AB134" i="12"/>
  <c r="E2330" i="6" l="1"/>
  <c r="D2330" i="6"/>
  <c r="AB192" i="8"/>
  <c r="AA519" i="8"/>
  <c r="AB132" i="8"/>
  <c r="X576" i="8"/>
  <c r="Y576" i="8" s="1"/>
  <c r="AA576" i="8" s="1"/>
  <c r="D2529" i="6"/>
  <c r="B2530" i="6"/>
  <c r="E2529" i="6"/>
  <c r="C2530" i="6"/>
  <c r="E2530" i="6" s="1"/>
  <c r="CR245" i="11"/>
  <c r="B13" i="11" s="1"/>
  <c r="AA843" i="8"/>
  <c r="C1650" i="6"/>
  <c r="D1650" i="6"/>
  <c r="AB790" i="8"/>
  <c r="W791" i="8" s="1"/>
  <c r="R1503" i="6"/>
  <c r="Q1504" i="6" s="1"/>
  <c r="S1327" i="6"/>
  <c r="Q1328" i="6" s="1"/>
  <c r="S1328" i="6" s="1"/>
  <c r="B2331" i="6"/>
  <c r="C2331" i="6" s="1"/>
  <c r="B2462" i="6"/>
  <c r="C2462" i="6" s="1"/>
  <c r="B2394" i="6"/>
  <c r="C2394" i="6" s="1"/>
  <c r="D2394" i="6" s="1"/>
  <c r="AB301" i="8"/>
  <c r="W302" i="8" s="1"/>
  <c r="B2263" i="6"/>
  <c r="C2263" i="6" s="1"/>
  <c r="AC191" i="12"/>
  <c r="AB466" i="7"/>
  <c r="AA792" i="7"/>
  <c r="AA355" i="8"/>
  <c r="B1651" i="6"/>
  <c r="C1651" i="6" s="1"/>
  <c r="AC576" i="8"/>
  <c r="Z576" i="8"/>
  <c r="Z247" i="12"/>
  <c r="Y247" i="12"/>
  <c r="AA247" i="12" s="1"/>
  <c r="AC247" i="12"/>
  <c r="W746" i="8"/>
  <c r="Y409" i="7"/>
  <c r="AA409" i="7" s="1"/>
  <c r="W464" i="8"/>
  <c r="X464" i="8" s="1"/>
  <c r="Z464" i="8" s="1"/>
  <c r="C1559" i="6"/>
  <c r="AC297" i="12"/>
  <c r="Y297" i="12"/>
  <c r="AA297" i="12" s="1"/>
  <c r="W247" i="7"/>
  <c r="X247" i="7" s="1"/>
  <c r="W467" i="7"/>
  <c r="Q1272" i="6"/>
  <c r="S1272" i="6" s="1"/>
  <c r="X691" i="8"/>
  <c r="Y191" i="12"/>
  <c r="AA191" i="12" s="1"/>
  <c r="X576" i="7"/>
  <c r="W631" i="8"/>
  <c r="X631" i="8" s="1"/>
  <c r="Z631" i="8"/>
  <c r="W961" i="8"/>
  <c r="Y518" i="7"/>
  <c r="AA518" i="7" s="1"/>
  <c r="AC518" i="7"/>
  <c r="AB136" i="7"/>
  <c r="W356" i="8"/>
  <c r="W905" i="7"/>
  <c r="X905" i="7" s="1"/>
  <c r="Z905" i="7" s="1"/>
  <c r="X520" i="8"/>
  <c r="AC520" i="8" s="1"/>
  <c r="AB409" i="8"/>
  <c r="AA741" i="7"/>
  <c r="R1173" i="6"/>
  <c r="Q1125" i="6"/>
  <c r="S1125" i="6" s="1"/>
  <c r="W520" i="8"/>
  <c r="AA1016" i="8"/>
  <c r="AC854" i="7"/>
  <c r="Z854" i="7"/>
  <c r="D1606" i="6"/>
  <c r="AC630" i="7"/>
  <c r="Z630" i="7"/>
  <c r="Y630" i="7"/>
  <c r="AA630" i="7" s="1"/>
  <c r="R1088" i="6"/>
  <c r="AC409" i="7"/>
  <c r="Q1224" i="6"/>
  <c r="S1224" i="6" s="1"/>
  <c r="X356" i="8"/>
  <c r="Z356" i="8" s="1"/>
  <c r="W1017" i="8"/>
  <c r="W133" i="8"/>
  <c r="X133" i="8" s="1"/>
  <c r="W190" i="7"/>
  <c r="X190" i="7" s="1"/>
  <c r="Z190" i="7" s="1"/>
  <c r="B1701" i="6"/>
  <c r="D1701" i="6" s="1"/>
  <c r="W301" i="7"/>
  <c r="W193" i="8"/>
  <c r="AA466" i="7"/>
  <c r="W905" i="8"/>
  <c r="X905" i="8" s="1"/>
  <c r="Z905" i="8" s="1"/>
  <c r="Q1430" i="6"/>
  <c r="S1430" i="6" s="1"/>
  <c r="AA960" i="8"/>
  <c r="W135" i="12"/>
  <c r="X135" i="12" s="1"/>
  <c r="AB792" i="7"/>
  <c r="AB685" i="7"/>
  <c r="Y854" i="7"/>
  <c r="AA790" i="8"/>
  <c r="D1651" i="6"/>
  <c r="AA745" i="8"/>
  <c r="Q1375" i="6"/>
  <c r="S1375" i="6" s="1"/>
  <c r="X1071" i="8"/>
  <c r="W357" i="7"/>
  <c r="X357" i="7" s="1"/>
  <c r="Y136" i="7"/>
  <c r="AA136" i="7" s="1"/>
  <c r="AC136" i="7"/>
  <c r="W742" i="7"/>
  <c r="Z245" i="8"/>
  <c r="AB245" i="8" s="1"/>
  <c r="AC245" i="8"/>
  <c r="AB843" i="8"/>
  <c r="AA192" i="8"/>
  <c r="AA300" i="7"/>
  <c r="R1453" i="6"/>
  <c r="AA301" i="8"/>
  <c r="R1504" i="6" l="1"/>
  <c r="S1504" i="6"/>
  <c r="D13" i="11"/>
  <c r="E13" i="11"/>
  <c r="C18" i="11"/>
  <c r="B18" i="11"/>
  <c r="B20" i="11" s="1"/>
  <c r="C20" i="11" s="1"/>
  <c r="E2394" i="6"/>
  <c r="B2395" i="6" s="1"/>
  <c r="C2395" i="6" s="1"/>
  <c r="E2395" i="6" s="1"/>
  <c r="B2531" i="6"/>
  <c r="D2530" i="6"/>
  <c r="AB409" i="7"/>
  <c r="C2531" i="6"/>
  <c r="D2263" i="6"/>
  <c r="E2263" i="6"/>
  <c r="B2264" i="6" s="1"/>
  <c r="C2264" i="6"/>
  <c r="AB854" i="7"/>
  <c r="W855" i="7" s="1"/>
  <c r="E2331" i="6"/>
  <c r="D2331" i="6"/>
  <c r="AB518" i="7"/>
  <c r="B1652" i="6"/>
  <c r="C1652" i="6" s="1"/>
  <c r="Q1505" i="6"/>
  <c r="S1505" i="6" s="1"/>
  <c r="AC133" i="8"/>
  <c r="Z133" i="8"/>
  <c r="Y133" i="8"/>
  <c r="AA133" i="8" s="1"/>
  <c r="W519" i="7"/>
  <c r="X519" i="7" s="1"/>
  <c r="Z519" i="7" s="1"/>
  <c r="X467" i="7"/>
  <c r="AC905" i="7"/>
  <c r="Y905" i="7"/>
  <c r="AA905" i="7" s="1"/>
  <c r="B1560" i="6"/>
  <c r="D1560" i="6" s="1"/>
  <c r="AC691" i="8"/>
  <c r="Z691" i="8"/>
  <c r="Y691" i="8"/>
  <c r="AC356" i="8"/>
  <c r="X791" i="8"/>
  <c r="AC357" i="7"/>
  <c r="Y357" i="7"/>
  <c r="X302" i="8"/>
  <c r="Q1089" i="6"/>
  <c r="S1089" i="6" s="1"/>
  <c r="W246" i="8"/>
  <c r="R1328" i="6"/>
  <c r="AB576" i="8"/>
  <c r="R1224" i="6"/>
  <c r="AA854" i="7"/>
  <c r="Z520" i="8"/>
  <c r="W686" i="7"/>
  <c r="X686" i="7" s="1"/>
  <c r="Z686" i="7" s="1"/>
  <c r="W793" i="7"/>
  <c r="X793" i="7" s="1"/>
  <c r="Y905" i="8"/>
  <c r="AA905" i="8" s="1"/>
  <c r="AC905" i="8"/>
  <c r="Z576" i="7"/>
  <c r="AC576" i="7"/>
  <c r="AB247" i="12"/>
  <c r="Y356" i="8"/>
  <c r="AA356" i="8" s="1"/>
  <c r="X1017" i="8"/>
  <c r="Y1017" i="8" s="1"/>
  <c r="Z357" i="7"/>
  <c r="Q1454" i="6"/>
  <c r="S1454" i="6" s="1"/>
  <c r="AB191" i="12"/>
  <c r="W410" i="7"/>
  <c r="X410" i="7" s="1"/>
  <c r="AB630" i="7"/>
  <c r="R1125" i="6"/>
  <c r="AC464" i="8"/>
  <c r="Y464" i="8"/>
  <c r="AA464" i="8" s="1"/>
  <c r="B1607" i="6"/>
  <c r="C1607" i="6" s="1"/>
  <c r="Y135" i="12"/>
  <c r="AC135" i="12"/>
  <c r="R1272" i="6"/>
  <c r="Z135" i="12"/>
  <c r="AB135" i="12" s="1"/>
  <c r="X193" i="8"/>
  <c r="R1375" i="6"/>
  <c r="X961" i="8"/>
  <c r="C1701" i="6"/>
  <c r="Q1174" i="6"/>
  <c r="S1174" i="6" s="1"/>
  <c r="Y631" i="8"/>
  <c r="AA631" i="8" s="1"/>
  <c r="AC631" i="8"/>
  <c r="Y520" i="8"/>
  <c r="Y576" i="7"/>
  <c r="AA576" i="7" s="1"/>
  <c r="W137" i="7"/>
  <c r="X137" i="7" s="1"/>
  <c r="AC137" i="7" s="1"/>
  <c r="AC1071" i="8"/>
  <c r="Z1071" i="8"/>
  <c r="X746" i="8"/>
  <c r="Y746" i="8" s="1"/>
  <c r="X742" i="7"/>
  <c r="AC247" i="7"/>
  <c r="Y247" i="7"/>
  <c r="E2462" i="6"/>
  <c r="D2462" i="6"/>
  <c r="X301" i="7"/>
  <c r="Y301" i="7" s="1"/>
  <c r="Y1071" i="8"/>
  <c r="AB297" i="12"/>
  <c r="W844" i="8"/>
  <c r="X844" i="8" s="1"/>
  <c r="Z844" i="8" s="1"/>
  <c r="R1430" i="6"/>
  <c r="AC190" i="7"/>
  <c r="Y190" i="7"/>
  <c r="AA190" i="7" s="1"/>
  <c r="W410" i="8"/>
  <c r="X410" i="8" s="1"/>
  <c r="Z410" i="8" s="1"/>
  <c r="Z247" i="7"/>
  <c r="AA245" i="8"/>
  <c r="D2395" i="6" l="1"/>
  <c r="AB464" i="8"/>
  <c r="AB520" i="8"/>
  <c r="AB905" i="7"/>
  <c r="E2264" i="6"/>
  <c r="D2264" i="6"/>
  <c r="B2265" i="6" s="1"/>
  <c r="C2265" i="6" s="1"/>
  <c r="B2463" i="6"/>
  <c r="C2463" i="6" s="1"/>
  <c r="E2463" i="6" s="1"/>
  <c r="AB1071" i="8"/>
  <c r="W1072" i="8" s="1"/>
  <c r="AB905" i="8"/>
  <c r="W906" i="8" s="1"/>
  <c r="X906" i="8" s="1"/>
  <c r="AB247" i="7"/>
  <c r="W248" i="7" s="1"/>
  <c r="B2332" i="6"/>
  <c r="C2332" i="6" s="1"/>
  <c r="AA357" i="7"/>
  <c r="AB631" i="8"/>
  <c r="W632" i="8" s="1"/>
  <c r="X632" i="8" s="1"/>
  <c r="AA691" i="8"/>
  <c r="D2531" i="6"/>
  <c r="B2532" i="6"/>
  <c r="C2532" i="6" s="1"/>
  <c r="E2531" i="6"/>
  <c r="AC410" i="7"/>
  <c r="Y410" i="7"/>
  <c r="Z410" i="7"/>
  <c r="AB410" i="7" s="1"/>
  <c r="R1174" i="6"/>
  <c r="Q1126" i="6"/>
  <c r="S1126" i="6" s="1"/>
  <c r="W521" i="8"/>
  <c r="X246" i="8"/>
  <c r="AC961" i="8"/>
  <c r="Z961" i="8"/>
  <c r="AB356" i="8"/>
  <c r="AC193" i="8"/>
  <c r="Z193" i="8"/>
  <c r="Z742" i="7"/>
  <c r="AC742" i="7"/>
  <c r="Y193" i="8"/>
  <c r="D1652" i="6"/>
  <c r="B1653" i="6" s="1"/>
  <c r="C1653" i="6" s="1"/>
  <c r="Y742" i="7"/>
  <c r="Q1273" i="6"/>
  <c r="S1273" i="6" s="1"/>
  <c r="AB691" i="8"/>
  <c r="AA135" i="12"/>
  <c r="B2396" i="6"/>
  <c r="C2396" i="6" s="1"/>
  <c r="Y137" i="7"/>
  <c r="R1089" i="6"/>
  <c r="Z302" i="8"/>
  <c r="AC302" i="8"/>
  <c r="AC519" i="7"/>
  <c r="Q1225" i="6"/>
  <c r="S1225" i="6" s="1"/>
  <c r="R1505" i="6"/>
  <c r="Z137" i="7"/>
  <c r="Q1376" i="6"/>
  <c r="S1376" i="6" s="1"/>
  <c r="AC791" i="8"/>
  <c r="Z791" i="8"/>
  <c r="W136" i="12"/>
  <c r="AB133" i="8"/>
  <c r="AB190" i="7"/>
  <c r="AB576" i="7"/>
  <c r="Q1329" i="6"/>
  <c r="S1329" i="6" s="1"/>
  <c r="W906" i="7"/>
  <c r="X906" i="7" s="1"/>
  <c r="W631" i="7"/>
  <c r="X631" i="7" s="1"/>
  <c r="Y519" i="7"/>
  <c r="AA519" i="7" s="1"/>
  <c r="Y302" i="8"/>
  <c r="Y791" i="8"/>
  <c r="AC844" i="8"/>
  <c r="Y844" i="8"/>
  <c r="AA844" i="8" s="1"/>
  <c r="W298" i="12"/>
  <c r="X298" i="12" s="1"/>
  <c r="Z298" i="12" s="1"/>
  <c r="AC793" i="7"/>
  <c r="Y793" i="7"/>
  <c r="D1607" i="6"/>
  <c r="C1560" i="6"/>
  <c r="AC301" i="7"/>
  <c r="Z301" i="7"/>
  <c r="AB301" i="7" s="1"/>
  <c r="Y686" i="7"/>
  <c r="AA686" i="7" s="1"/>
  <c r="AC686" i="7"/>
  <c r="Z467" i="7"/>
  <c r="AC467" i="7"/>
  <c r="B1702" i="6"/>
  <c r="D1702" i="6" s="1"/>
  <c r="X855" i="7"/>
  <c r="Y467" i="7"/>
  <c r="AA467" i="7" s="1"/>
  <c r="AC410" i="8"/>
  <c r="Y410" i="8"/>
  <c r="AA410" i="8" s="1"/>
  <c r="Y961" i="8"/>
  <c r="W577" i="8"/>
  <c r="X577" i="8" s="1"/>
  <c r="AA247" i="7"/>
  <c r="W248" i="12"/>
  <c r="X248" i="12" s="1"/>
  <c r="Z248" i="12" s="1"/>
  <c r="W192" i="12"/>
  <c r="X192" i="12" s="1"/>
  <c r="Z192" i="12" s="1"/>
  <c r="Q1431" i="6"/>
  <c r="S1431" i="6" s="1"/>
  <c r="AA520" i="8"/>
  <c r="R1454" i="6"/>
  <c r="Z746" i="8"/>
  <c r="AB746" i="8" s="1"/>
  <c r="AC746" i="8"/>
  <c r="AB357" i="7"/>
  <c r="AA1071" i="8"/>
  <c r="W465" i="8"/>
  <c r="X465" i="8" s="1"/>
  <c r="Z1017" i="8"/>
  <c r="AB1017" i="8" s="1"/>
  <c r="AC1017" i="8"/>
  <c r="Z793" i="7"/>
  <c r="AA1017" i="8" l="1"/>
  <c r="AA742" i="7"/>
  <c r="D2463" i="6"/>
  <c r="B2464" i="6" s="1"/>
  <c r="C2464" i="6" s="1"/>
  <c r="AA193" i="8"/>
  <c r="AC465" i="8"/>
  <c r="Z465" i="8"/>
  <c r="E2332" i="6"/>
  <c r="D2332" i="6"/>
  <c r="B2333" i="6"/>
  <c r="C2333" i="6" s="1"/>
  <c r="E2265" i="6"/>
  <c r="D2265" i="6"/>
  <c r="AA791" i="8"/>
  <c r="AA746" i="8"/>
  <c r="X747" i="8" s="1"/>
  <c r="AC747" i="8" s="1"/>
  <c r="AB302" i="8"/>
  <c r="E2532" i="6"/>
  <c r="B2533" i="6"/>
  <c r="D2532" i="6"/>
  <c r="AA793" i="7"/>
  <c r="C1702" i="6"/>
  <c r="B1703" i="6" s="1"/>
  <c r="D1703" i="6" s="1"/>
  <c r="AA137" i="7"/>
  <c r="AB961" i="8"/>
  <c r="R1225" i="6"/>
  <c r="AB519" i="7"/>
  <c r="Y906" i="8"/>
  <c r="Z906" i="8"/>
  <c r="AB906" i="8" s="1"/>
  <c r="AC906" i="8"/>
  <c r="E2396" i="6"/>
  <c r="D2396" i="6"/>
  <c r="B2397" i="6" s="1"/>
  <c r="AB192" i="12"/>
  <c r="Y906" i="7"/>
  <c r="Z906" i="7"/>
  <c r="AB906" i="7" s="1"/>
  <c r="AC906" i="7"/>
  <c r="Y632" i="8"/>
  <c r="AC632" i="8"/>
  <c r="Z632" i="8"/>
  <c r="AB632" i="8" s="1"/>
  <c r="X1072" i="8"/>
  <c r="W962" i="8"/>
  <c r="W577" i="7"/>
  <c r="X577" i="7" s="1"/>
  <c r="Z577" i="7" s="1"/>
  <c r="X248" i="7"/>
  <c r="W191" i="7"/>
  <c r="X191" i="7" s="1"/>
  <c r="Z191" i="7" s="1"/>
  <c r="W134" i="8"/>
  <c r="X134" i="8" s="1"/>
  <c r="Z134" i="8" s="1"/>
  <c r="X521" i="8"/>
  <c r="Q1090" i="6"/>
  <c r="S1090" i="6" s="1"/>
  <c r="W520" i="7"/>
  <c r="X520" i="7" s="1"/>
  <c r="Z520" i="7" s="1"/>
  <c r="Q1226" i="6"/>
  <c r="S1226" i="6" s="1"/>
  <c r="X136" i="12"/>
  <c r="W358" i="7"/>
  <c r="X358" i="7" s="1"/>
  <c r="Z358" i="7" s="1"/>
  <c r="Z246" i="8"/>
  <c r="AC246" i="8"/>
  <c r="Y246" i="8"/>
  <c r="AA246" i="8" s="1"/>
  <c r="Q1455" i="6"/>
  <c r="S1455" i="6" s="1"/>
  <c r="B1561" i="6"/>
  <c r="D1561" i="6" s="1"/>
  <c r="R1273" i="6"/>
  <c r="D1653" i="6"/>
  <c r="B1654" i="6" s="1"/>
  <c r="C1654" i="6" s="1"/>
  <c r="AB791" i="8"/>
  <c r="Q1175" i="6"/>
  <c r="S1175" i="6" s="1"/>
  <c r="Y465" i="8"/>
  <c r="AA465" i="8" s="1"/>
  <c r="AB686" i="7"/>
  <c r="AB844" i="8"/>
  <c r="AC577" i="8"/>
  <c r="Y577" i="8"/>
  <c r="D1608" i="6"/>
  <c r="AA301" i="7"/>
  <c r="Z855" i="7"/>
  <c r="AC855" i="7"/>
  <c r="W1018" i="8"/>
  <c r="X1018" i="8" s="1"/>
  <c r="Y855" i="7"/>
  <c r="AB742" i="7"/>
  <c r="AA302" i="8"/>
  <c r="R1376" i="6"/>
  <c r="AB193" i="8"/>
  <c r="W411" i="7"/>
  <c r="AC298" i="12"/>
  <c r="Y298" i="12"/>
  <c r="AA298" i="12" s="1"/>
  <c r="AB137" i="7"/>
  <c r="AA410" i="7"/>
  <c r="R1431" i="6"/>
  <c r="R1329" i="6"/>
  <c r="Q1506" i="6"/>
  <c r="S1506" i="6" s="1"/>
  <c r="W357" i="8"/>
  <c r="X357" i="8" s="1"/>
  <c r="Z357" i="8" s="1"/>
  <c r="AC248" i="12"/>
  <c r="Y248" i="12"/>
  <c r="AA248" i="12" s="1"/>
  <c r="AC631" i="7"/>
  <c r="Y631" i="7"/>
  <c r="W692" i="8"/>
  <c r="X692" i="8" s="1"/>
  <c r="Z692" i="8" s="1"/>
  <c r="W302" i="7"/>
  <c r="Z631" i="7"/>
  <c r="W747" i="8"/>
  <c r="Z577" i="8"/>
  <c r="W303" i="8"/>
  <c r="AA961" i="8"/>
  <c r="R1126" i="6"/>
  <c r="AB793" i="7"/>
  <c r="AB410" i="8"/>
  <c r="AC192" i="12"/>
  <c r="Y192" i="12"/>
  <c r="AA192" i="12" s="1"/>
  <c r="AB467" i="7"/>
  <c r="B1608" i="6"/>
  <c r="C1608" i="6" s="1"/>
  <c r="AB577" i="8" l="1"/>
  <c r="C2533" i="6"/>
  <c r="D2464" i="6"/>
  <c r="E2464" i="6"/>
  <c r="B2465" i="6"/>
  <c r="C2465" i="6" s="1"/>
  <c r="E2465" i="6" s="1"/>
  <c r="E2533" i="6"/>
  <c r="D2533" i="6"/>
  <c r="B2534" i="6"/>
  <c r="C2534" i="6" s="1"/>
  <c r="AA631" i="7"/>
  <c r="E2333" i="6"/>
  <c r="D2333" i="6"/>
  <c r="AB465" i="8"/>
  <c r="W466" i="8" s="1"/>
  <c r="X466" i="8" s="1"/>
  <c r="AA855" i="7"/>
  <c r="AC520" i="7"/>
  <c r="B2266" i="6"/>
  <c r="C2266" i="6" s="1"/>
  <c r="AC1018" i="8"/>
  <c r="Z1018" i="8"/>
  <c r="Y1018" i="8"/>
  <c r="AA1018" i="8" s="1"/>
  <c r="AB248" i="12"/>
  <c r="Y747" i="8"/>
  <c r="X962" i="8"/>
  <c r="Y520" i="7"/>
  <c r="AA520" i="7" s="1"/>
  <c r="AB855" i="7"/>
  <c r="X302" i="7"/>
  <c r="Y302" i="7" s="1"/>
  <c r="W687" i="7"/>
  <c r="X687" i="7" s="1"/>
  <c r="Z687" i="7"/>
  <c r="R1175" i="6"/>
  <c r="AB631" i="7"/>
  <c r="Z136" i="12"/>
  <c r="AC136" i="12"/>
  <c r="AA906" i="7"/>
  <c r="W633" i="8"/>
  <c r="W794" i="7"/>
  <c r="X794" i="7" s="1"/>
  <c r="Z794" i="7"/>
  <c r="Q1274" i="6"/>
  <c r="S1274" i="6" s="1"/>
  <c r="Q1127" i="6"/>
  <c r="S1127" i="6" s="1"/>
  <c r="AA632" i="8"/>
  <c r="W193" i="12"/>
  <c r="X193" i="12" s="1"/>
  <c r="Y191" i="7"/>
  <c r="AA191" i="7" s="1"/>
  <c r="AC191" i="7"/>
  <c r="AC357" i="8"/>
  <c r="Y357" i="8"/>
  <c r="AA357" i="8" s="1"/>
  <c r="AB246" i="8"/>
  <c r="AC577" i="7"/>
  <c r="Y577" i="7"/>
  <c r="AA577" i="7" s="1"/>
  <c r="Z747" i="8"/>
  <c r="W907" i="8"/>
  <c r="Q1377" i="6"/>
  <c r="S1377" i="6" s="1"/>
  <c r="AA577" i="8"/>
  <c r="C1703" i="6"/>
  <c r="D1654" i="6"/>
  <c r="B1655" i="6" s="1"/>
  <c r="C1655" i="6" s="1"/>
  <c r="Y136" i="12"/>
  <c r="R1090" i="6"/>
  <c r="Y134" i="8"/>
  <c r="AA134" i="8" s="1"/>
  <c r="AC134" i="8"/>
  <c r="C1561" i="6"/>
  <c r="R1455" i="6"/>
  <c r="W578" i="8"/>
  <c r="AB298" i="12"/>
  <c r="C2397" i="6"/>
  <c r="Q1330" i="6"/>
  <c r="S1330" i="6" s="1"/>
  <c r="Y358" i="7"/>
  <c r="AA358" i="7" s="1"/>
  <c r="AC358" i="7"/>
  <c r="AA906" i="8"/>
  <c r="X303" i="8"/>
  <c r="Y303" i="8" s="1"/>
  <c r="W411" i="8"/>
  <c r="X411" i="8" s="1"/>
  <c r="Z411" i="8" s="1"/>
  <c r="Q1432" i="6"/>
  <c r="S1432" i="6" s="1"/>
  <c r="AC521" i="8"/>
  <c r="Z521" i="8"/>
  <c r="AC1072" i="8"/>
  <c r="Z1072" i="8"/>
  <c r="W138" i="7"/>
  <c r="X138" i="7" s="1"/>
  <c r="Z138" i="7"/>
  <c r="R1226" i="6"/>
  <c r="Z248" i="7"/>
  <c r="AC248" i="7"/>
  <c r="Y248" i="7"/>
  <c r="AA248" i="7" s="1"/>
  <c r="R1506" i="6"/>
  <c r="B1609" i="6"/>
  <c r="D1609" i="6" s="1"/>
  <c r="W194" i="8"/>
  <c r="X194" i="8" s="1"/>
  <c r="W792" i="8"/>
  <c r="X792" i="8" s="1"/>
  <c r="W468" i="7"/>
  <c r="X468" i="7" s="1"/>
  <c r="Z468" i="7" s="1"/>
  <c r="W907" i="7"/>
  <c r="Y692" i="8"/>
  <c r="AA692" i="8" s="1"/>
  <c r="AC692" i="8"/>
  <c r="X411" i="7"/>
  <c r="W743" i="7"/>
  <c r="X743" i="7" s="1"/>
  <c r="Z743" i="7" s="1"/>
  <c r="W845" i="8"/>
  <c r="X845" i="8" s="1"/>
  <c r="Z845" i="8" s="1"/>
  <c r="Y521" i="8"/>
  <c r="AA521" i="8" s="1"/>
  <c r="Y1072" i="8"/>
  <c r="AA1072" i="8" s="1"/>
  <c r="AA747" i="8" l="1"/>
  <c r="D2465" i="6"/>
  <c r="AB577" i="7"/>
  <c r="B2466" i="6"/>
  <c r="C2466" i="6" s="1"/>
  <c r="B2467" i="6" s="1"/>
  <c r="E2266" i="6"/>
  <c r="D2266" i="6"/>
  <c r="B2334" i="6"/>
  <c r="C2334" i="6" s="1"/>
  <c r="AB136" i="12"/>
  <c r="W137" i="12" s="1"/>
  <c r="B2535" i="6"/>
  <c r="E2534" i="6"/>
  <c r="D2534" i="6"/>
  <c r="C2535" i="6" s="1"/>
  <c r="AB520" i="7"/>
  <c r="W521" i="7" s="1"/>
  <c r="X521" i="7" s="1"/>
  <c r="AC521" i="7" s="1"/>
  <c r="Z193" i="12"/>
  <c r="Y193" i="12"/>
  <c r="AA193" i="12" s="1"/>
  <c r="AC193" i="12"/>
  <c r="AC466" i="8"/>
  <c r="Z466" i="8"/>
  <c r="Y466" i="8"/>
  <c r="AA466" i="8" s="1"/>
  <c r="E2466" i="6"/>
  <c r="D2466" i="6"/>
  <c r="X633" i="8"/>
  <c r="Y845" i="8"/>
  <c r="AA845" i="8" s="1"/>
  <c r="AC845" i="8"/>
  <c r="C1609" i="6"/>
  <c r="R1274" i="6"/>
  <c r="W299" i="12"/>
  <c r="X299" i="12" s="1"/>
  <c r="Z299" i="12"/>
  <c r="Z411" i="7"/>
  <c r="AB411" i="7" s="1"/>
  <c r="AC411" i="7"/>
  <c r="AA136" i="12"/>
  <c r="W247" i="8"/>
  <c r="X247" i="8" s="1"/>
  <c r="Y687" i="7"/>
  <c r="AA687" i="7" s="1"/>
  <c r="AC687" i="7"/>
  <c r="AB248" i="7"/>
  <c r="AC962" i="8"/>
  <c r="Z962" i="8"/>
  <c r="AC792" i="8"/>
  <c r="Y792" i="8"/>
  <c r="R1377" i="6"/>
  <c r="B1562" i="6"/>
  <c r="D1562" i="6" s="1"/>
  <c r="W249" i="12"/>
  <c r="X249" i="12" s="1"/>
  <c r="Z249" i="12" s="1"/>
  <c r="Q1176" i="6"/>
  <c r="S1176" i="6" s="1"/>
  <c r="AB358" i="7"/>
  <c r="R1127" i="6"/>
  <c r="AB747" i="8"/>
  <c r="AB1072" i="8"/>
  <c r="Q1091" i="6"/>
  <c r="S1091" i="6" s="1"/>
  <c r="AB357" i="8"/>
  <c r="R1432" i="6"/>
  <c r="Q1433" i="6" s="1"/>
  <c r="B1434" i="6" s="1"/>
  <c r="B1704" i="6"/>
  <c r="D1704" i="6" s="1"/>
  <c r="W856" i="7"/>
  <c r="X856" i="7" s="1"/>
  <c r="Z856" i="7" s="1"/>
  <c r="W632" i="7"/>
  <c r="X632" i="7" s="1"/>
  <c r="Z792" i="8"/>
  <c r="AB792" i="8" s="1"/>
  <c r="Y194" i="8"/>
  <c r="AC194" i="8"/>
  <c r="AB845" i="8"/>
  <c r="W578" i="7"/>
  <c r="X578" i="7" s="1"/>
  <c r="AB134" i="8"/>
  <c r="E2397" i="6"/>
  <c r="D2397" i="6"/>
  <c r="Q1507" i="6"/>
  <c r="S1507" i="6" s="1"/>
  <c r="AC794" i="7"/>
  <c r="Y794" i="7"/>
  <c r="AA794" i="7" s="1"/>
  <c r="D1655" i="6"/>
  <c r="Z302" i="7"/>
  <c r="AB302" i="7" s="1"/>
  <c r="AC302" i="7"/>
  <c r="AB692" i="8"/>
  <c r="Y411" i="8"/>
  <c r="AA411" i="8" s="1"/>
  <c r="AC411" i="8"/>
  <c r="Q1456" i="6"/>
  <c r="S1456" i="6" s="1"/>
  <c r="X578" i="8"/>
  <c r="X907" i="7"/>
  <c r="Y907" i="7" s="1"/>
  <c r="AB191" i="7"/>
  <c r="AB1018" i="8"/>
  <c r="X907" i="8"/>
  <c r="Y962" i="8"/>
  <c r="AA962" i="8" s="1"/>
  <c r="Q1227" i="6"/>
  <c r="S1227" i="6" s="1"/>
  <c r="Z194" i="8"/>
  <c r="R1330" i="6"/>
  <c r="AC138" i="7"/>
  <c r="Y138" i="7"/>
  <c r="AA138" i="7" s="1"/>
  <c r="Y743" i="7"/>
  <c r="AA743" i="7" s="1"/>
  <c r="AC743" i="7"/>
  <c r="AB521" i="8"/>
  <c r="Y411" i="7"/>
  <c r="Y468" i="7"/>
  <c r="AA468" i="7" s="1"/>
  <c r="AC468" i="7"/>
  <c r="AC303" i="8"/>
  <c r="Z303" i="8"/>
  <c r="AB303" i="8" s="1"/>
  <c r="AB194" i="8" l="1"/>
  <c r="AB411" i="8"/>
  <c r="C2467" i="6"/>
  <c r="B2267" i="6"/>
  <c r="C2267" i="6" s="1"/>
  <c r="B2335" i="6"/>
  <c r="E2334" i="6"/>
  <c r="D2334" i="6"/>
  <c r="C2335" i="6" s="1"/>
  <c r="D2267" i="6"/>
  <c r="E2267" i="6"/>
  <c r="B2268" i="6" s="1"/>
  <c r="B2398" i="6"/>
  <c r="C2398" i="6" s="1"/>
  <c r="E2535" i="6"/>
  <c r="D2535" i="6"/>
  <c r="B2536" i="6"/>
  <c r="C2536" i="6" s="1"/>
  <c r="AB468" i="7"/>
  <c r="W469" i="7" s="1"/>
  <c r="X469" i="7" s="1"/>
  <c r="Z469" i="7" s="1"/>
  <c r="AA302" i="7"/>
  <c r="Z578" i="7"/>
  <c r="AC578" i="7"/>
  <c r="Y578" i="7"/>
  <c r="E2467" i="6"/>
  <c r="D2467" i="6"/>
  <c r="B2468" i="6"/>
  <c r="AB138" i="7"/>
  <c r="AC633" i="8"/>
  <c r="Z633" i="8"/>
  <c r="Y633" i="8"/>
  <c r="R1227" i="6"/>
  <c r="AB794" i="7"/>
  <c r="Y632" i="7"/>
  <c r="AA632" i="7" s="1"/>
  <c r="AC632" i="7"/>
  <c r="R1507" i="6"/>
  <c r="C1562" i="6"/>
  <c r="R1456" i="6"/>
  <c r="W412" i="8"/>
  <c r="AB193" i="12"/>
  <c r="R1091" i="6"/>
  <c r="W522" i="8"/>
  <c r="X522" i="8" s="1"/>
  <c r="Z522" i="8" s="1"/>
  <c r="AC907" i="8"/>
  <c r="Z907" i="8"/>
  <c r="W135" i="8"/>
  <c r="X135" i="8" s="1"/>
  <c r="Z135" i="8" s="1"/>
  <c r="W1073" i="8"/>
  <c r="X1073" i="8" s="1"/>
  <c r="Z1073" i="8"/>
  <c r="B1610" i="6"/>
  <c r="D1610" i="6" s="1"/>
  <c r="W1019" i="8"/>
  <c r="X1019" i="8" s="1"/>
  <c r="Z1019" i="8" s="1"/>
  <c r="Y247" i="8"/>
  <c r="AC247" i="8"/>
  <c r="AA194" i="8"/>
  <c r="AC578" i="8"/>
  <c r="Z578" i="8"/>
  <c r="Z521" i="7"/>
  <c r="Z632" i="7"/>
  <c r="W693" i="8"/>
  <c r="X693" i="8" s="1"/>
  <c r="W303" i="7"/>
  <c r="W748" i="8"/>
  <c r="X748" i="8" s="1"/>
  <c r="AB962" i="8"/>
  <c r="W192" i="7"/>
  <c r="X192" i="7" s="1"/>
  <c r="Z192" i="7"/>
  <c r="C1704" i="6"/>
  <c r="Y521" i="7"/>
  <c r="Q1331" i="6"/>
  <c r="S1331" i="6" s="1"/>
  <c r="W846" i="8"/>
  <c r="AB466" i="8"/>
  <c r="Z247" i="8"/>
  <c r="AC249" i="12"/>
  <c r="Y249" i="12"/>
  <c r="AA249" i="12" s="1"/>
  <c r="W793" i="8"/>
  <c r="B1656" i="6"/>
  <c r="C1656" i="6" s="1"/>
  <c r="Y578" i="8"/>
  <c r="AC299" i="12"/>
  <c r="Y299" i="12"/>
  <c r="AA299" i="12" s="1"/>
  <c r="Q1275" i="6"/>
  <c r="S1275" i="6" s="1"/>
  <c r="AB687" i="7"/>
  <c r="Y856" i="7"/>
  <c r="AA856" i="7" s="1"/>
  <c r="AC856" i="7"/>
  <c r="Q1128" i="6"/>
  <c r="S1128" i="6" s="1"/>
  <c r="Z907" i="7"/>
  <c r="AB907" i="7" s="1"/>
  <c r="AC907" i="7"/>
  <c r="R1176" i="6"/>
  <c r="W195" i="8"/>
  <c r="W358" i="8"/>
  <c r="X358" i="8" s="1"/>
  <c r="X137" i="12"/>
  <c r="W304" i="8"/>
  <c r="W412" i="7"/>
  <c r="AA411" i="7"/>
  <c r="X412" i="8"/>
  <c r="Y412" i="8" s="1"/>
  <c r="Q1378" i="6"/>
  <c r="S1378" i="6" s="1"/>
  <c r="AA792" i="8"/>
  <c r="Y907" i="8"/>
  <c r="AB743" i="7"/>
  <c r="AA303" i="8"/>
  <c r="W359" i="7"/>
  <c r="X359" i="7" s="1"/>
  <c r="W249" i="7"/>
  <c r="X249" i="7" s="1"/>
  <c r="Z249" i="7" s="1"/>
  <c r="X846" i="8"/>
  <c r="Y846" i="8" s="1"/>
  <c r="X303" i="7" l="1"/>
  <c r="Z303" i="7" s="1"/>
  <c r="AA578" i="7"/>
  <c r="AC846" i="8"/>
  <c r="R1331" i="6"/>
  <c r="AA907" i="8"/>
  <c r="R1275" i="6"/>
  <c r="Q1276" i="6" s="1"/>
  <c r="R1276" i="6" s="1"/>
  <c r="AA247" i="8"/>
  <c r="C2268" i="6"/>
  <c r="E2536" i="6"/>
  <c r="D2536" i="6"/>
  <c r="B2537" i="6"/>
  <c r="AB633" i="8"/>
  <c r="AB856" i="7"/>
  <c r="W857" i="7" s="1"/>
  <c r="X857" i="7" s="1"/>
  <c r="Y857" i="7" s="1"/>
  <c r="D2335" i="6"/>
  <c r="E2335" i="6"/>
  <c r="B2336" i="6"/>
  <c r="AA521" i="7"/>
  <c r="D1656" i="6"/>
  <c r="C2468" i="6"/>
  <c r="AA578" i="8"/>
  <c r="D2468" i="6"/>
  <c r="B2469" i="6"/>
  <c r="E2468" i="6"/>
  <c r="C2469" i="6" s="1"/>
  <c r="W634" i="8"/>
  <c r="Y469" i="7"/>
  <c r="AA469" i="7" s="1"/>
  <c r="AB299" i="12"/>
  <c r="B1563" i="6"/>
  <c r="D1563" i="6" s="1"/>
  <c r="Q1508" i="6"/>
  <c r="S1508" i="6" s="1"/>
  <c r="B1705" i="6"/>
  <c r="D1705" i="6" s="1"/>
  <c r="D1706" i="6" s="1"/>
  <c r="D1707" i="6" s="1"/>
  <c r="D1708" i="6" s="1"/>
  <c r="D1709" i="6" s="1"/>
  <c r="D1710" i="6" s="1"/>
  <c r="D1711" i="6" s="1"/>
  <c r="D1712" i="6" s="1"/>
  <c r="D1713" i="6" s="1"/>
  <c r="D1714" i="6" s="1"/>
  <c r="D1715" i="6" s="1"/>
  <c r="W795" i="7"/>
  <c r="X795" i="7" s="1"/>
  <c r="Z795" i="7" s="1"/>
  <c r="X793" i="8"/>
  <c r="Y793" i="8" s="1"/>
  <c r="AB247" i="8"/>
  <c r="AC469" i="7"/>
  <c r="W194" i="12"/>
  <c r="X194" i="12" s="1"/>
  <c r="Z194" i="12" s="1"/>
  <c r="AB249" i="12"/>
  <c r="W688" i="7"/>
  <c r="X688" i="7" s="1"/>
  <c r="Z688" i="7" s="1"/>
  <c r="W467" i="8"/>
  <c r="X467" i="8" s="1"/>
  <c r="Z467" i="8" s="1"/>
  <c r="AC412" i="8"/>
  <c r="D2398" i="6"/>
  <c r="E2398" i="6"/>
  <c r="B2399" i="6" s="1"/>
  <c r="Y135" i="8"/>
  <c r="AA135" i="8" s="1"/>
  <c r="AC135" i="8"/>
  <c r="AC137" i="12"/>
  <c r="Z137" i="12"/>
  <c r="AC522" i="8"/>
  <c r="Y522" i="8"/>
  <c r="AA522" i="8" s="1"/>
  <c r="AC358" i="8"/>
  <c r="Y358" i="8"/>
  <c r="Z846" i="8"/>
  <c r="AB846" i="8" s="1"/>
  <c r="W963" i="8"/>
  <c r="X963" i="8" s="1"/>
  <c r="Z963" i="8" s="1"/>
  <c r="Z412" i="8"/>
  <c r="AB412" i="8" s="1"/>
  <c r="W908" i="7"/>
  <c r="Y359" i="7"/>
  <c r="AC359" i="7"/>
  <c r="X304" i="8"/>
  <c r="Y693" i="8"/>
  <c r="AC693" i="8"/>
  <c r="B1657" i="6"/>
  <c r="C1657" i="6" s="1"/>
  <c r="Z693" i="8"/>
  <c r="AB693" i="8" s="1"/>
  <c r="Y192" i="7"/>
  <c r="AA192" i="7" s="1"/>
  <c r="AC192" i="7"/>
  <c r="AA907" i="7"/>
  <c r="R1128" i="6"/>
  <c r="Y137" i="12"/>
  <c r="AC748" i="8"/>
  <c r="Y748" i="8"/>
  <c r="AB521" i="7"/>
  <c r="Y249" i="7"/>
  <c r="AA249" i="7" s="1"/>
  <c r="AC249" i="7"/>
  <c r="Q1332" i="6"/>
  <c r="R1332" i="6" s="1"/>
  <c r="X195" i="8"/>
  <c r="AC1073" i="8"/>
  <c r="Y1073" i="8"/>
  <c r="AA1073" i="8" s="1"/>
  <c r="Z359" i="7"/>
  <c r="AB359" i="7" s="1"/>
  <c r="W139" i="7"/>
  <c r="X139" i="7" s="1"/>
  <c r="W744" i="7"/>
  <c r="X744" i="7" s="1"/>
  <c r="Z744" i="7" s="1"/>
  <c r="AB907" i="8"/>
  <c r="Q1228" i="6"/>
  <c r="S1228" i="6" s="1"/>
  <c r="AC1019" i="8"/>
  <c r="Y1019" i="8"/>
  <c r="AA1019" i="8" s="1"/>
  <c r="AB632" i="7"/>
  <c r="Q1092" i="6"/>
  <c r="S1092" i="6" s="1"/>
  <c r="Z358" i="8"/>
  <c r="R1378" i="6"/>
  <c r="X412" i="7"/>
  <c r="Q1177" i="6"/>
  <c r="S1177" i="6" s="1"/>
  <c r="S1332" i="6"/>
  <c r="Z748" i="8"/>
  <c r="AB578" i="8"/>
  <c r="C1610" i="6"/>
  <c r="Q1457" i="6"/>
  <c r="S1457" i="6" s="1"/>
  <c r="AA633" i="8"/>
  <c r="AB578" i="7"/>
  <c r="C2336" i="6" l="1"/>
  <c r="Y303" i="7"/>
  <c r="AA303" i="7" s="1"/>
  <c r="AC303" i="7"/>
  <c r="AA412" i="8"/>
  <c r="AA137" i="12"/>
  <c r="D2336" i="6"/>
  <c r="E2336" i="6"/>
  <c r="B2337" i="6"/>
  <c r="AB135" i="8"/>
  <c r="W136" i="8" s="1"/>
  <c r="X136" i="8" s="1"/>
  <c r="AC136" i="8" s="1"/>
  <c r="AA846" i="8"/>
  <c r="X847" i="8" s="1"/>
  <c r="AC847" i="8" s="1"/>
  <c r="D2268" i="6"/>
  <c r="E2268" i="6"/>
  <c r="B2269" i="6" s="1"/>
  <c r="C2537" i="6"/>
  <c r="AB358" i="8"/>
  <c r="W359" i="8" s="1"/>
  <c r="S1276" i="6"/>
  <c r="AA748" i="8"/>
  <c r="B2470" i="6"/>
  <c r="E2469" i="6"/>
  <c r="D2469" i="6"/>
  <c r="Q1333" i="6"/>
  <c r="R1333" i="6" s="1"/>
  <c r="D1657" i="6"/>
  <c r="R1092" i="6"/>
  <c r="C1705" i="6"/>
  <c r="C1706" i="6" s="1"/>
  <c r="C1707" i="6" s="1"/>
  <c r="C1708" i="6" s="1"/>
  <c r="C1709" i="6" s="1"/>
  <c r="C1710" i="6" s="1"/>
  <c r="C1711" i="6" s="1"/>
  <c r="C1712" i="6" s="1"/>
  <c r="C1713" i="6" s="1"/>
  <c r="C1714" i="6" s="1"/>
  <c r="C1715" i="6" s="1"/>
  <c r="B1716" i="6" s="1"/>
  <c r="E36" i="6" s="1"/>
  <c r="W633" i="7"/>
  <c r="X633" i="7" s="1"/>
  <c r="AC304" i="8"/>
  <c r="Z304" i="8"/>
  <c r="R1508" i="6"/>
  <c r="R1457" i="6"/>
  <c r="AB1019" i="8"/>
  <c r="AB303" i="7"/>
  <c r="C2399" i="6"/>
  <c r="AB1073" i="8"/>
  <c r="R1177" i="6"/>
  <c r="Q1129" i="6"/>
  <c r="S1129" i="6" s="1"/>
  <c r="Y795" i="7"/>
  <c r="AA795" i="7" s="1"/>
  <c r="AC795" i="7"/>
  <c r="W694" i="8"/>
  <c r="AC194" i="12"/>
  <c r="Y194" i="12"/>
  <c r="AA194" i="12" s="1"/>
  <c r="W579" i="7"/>
  <c r="X579" i="7" s="1"/>
  <c r="Z579" i="7" s="1"/>
  <c r="W522" i="7"/>
  <c r="X522" i="7" s="1"/>
  <c r="Z522" i="7" s="1"/>
  <c r="AC857" i="7"/>
  <c r="W248" i="8"/>
  <c r="X248" i="8" s="1"/>
  <c r="B1611" i="6"/>
  <c r="D1611" i="6" s="1"/>
  <c r="C1563" i="6"/>
  <c r="W579" i="8"/>
  <c r="X579" i="8" s="1"/>
  <c r="AA359" i="7"/>
  <c r="AB137" i="12"/>
  <c r="AC412" i="7"/>
  <c r="Z412" i="7"/>
  <c r="X908" i="7"/>
  <c r="Y467" i="8"/>
  <c r="AA467" i="8" s="1"/>
  <c r="AC467" i="8"/>
  <c r="W847" i="8"/>
  <c r="X634" i="8"/>
  <c r="AA358" i="8"/>
  <c r="AC139" i="7"/>
  <c r="Y139" i="7"/>
  <c r="R1228" i="6"/>
  <c r="AC793" i="8"/>
  <c r="Z793" i="8"/>
  <c r="AB793" i="8" s="1"/>
  <c r="AB748" i="8"/>
  <c r="AC195" i="8"/>
  <c r="Z195" i="8"/>
  <c r="AB469" i="7"/>
  <c r="W908" i="8"/>
  <c r="X908" i="8" s="1"/>
  <c r="Z908" i="8" s="1"/>
  <c r="Y412" i="7"/>
  <c r="Z857" i="7"/>
  <c r="AB857" i="7" s="1"/>
  <c r="Y963" i="8"/>
  <c r="AA963" i="8" s="1"/>
  <c r="AC963" i="8"/>
  <c r="W250" i="12"/>
  <c r="X250" i="12" s="1"/>
  <c r="AC744" i="7"/>
  <c r="Y744" i="7"/>
  <c r="AA744" i="7" s="1"/>
  <c r="AA693" i="8"/>
  <c r="AB249" i="7"/>
  <c r="Z139" i="7"/>
  <c r="Y304" i="8"/>
  <c r="W360" i="7"/>
  <c r="W300" i="12"/>
  <c r="X300" i="12" s="1"/>
  <c r="Z300" i="12" s="1"/>
  <c r="AB522" i="8"/>
  <c r="Y195" i="8"/>
  <c r="AA195" i="8" s="1"/>
  <c r="Q1379" i="6"/>
  <c r="S1379" i="6" s="1"/>
  <c r="W413" i="8"/>
  <c r="X413" i="8" s="1"/>
  <c r="AC688" i="7"/>
  <c r="Y688" i="7"/>
  <c r="AA688" i="7" s="1"/>
  <c r="AB192" i="7"/>
  <c r="AB412" i="7" l="1"/>
  <c r="AB467" i="8"/>
  <c r="AB688" i="7"/>
  <c r="AA304" i="8"/>
  <c r="AB139" i="7"/>
  <c r="Q1277" i="6"/>
  <c r="R1277" i="6" s="1"/>
  <c r="AB194" i="12"/>
  <c r="W195" i="12" s="1"/>
  <c r="X195" i="12" s="1"/>
  <c r="C2269" i="6"/>
  <c r="C2470" i="6"/>
  <c r="E2470" i="6" s="1"/>
  <c r="D2537" i="6"/>
  <c r="E2537" i="6"/>
  <c r="B2538" i="6"/>
  <c r="C2337" i="6"/>
  <c r="Z413" i="8"/>
  <c r="Y413" i="8"/>
  <c r="AA413" i="8" s="1"/>
  <c r="AC413" i="8"/>
  <c r="W794" i="8"/>
  <c r="Y136" i="8"/>
  <c r="W140" i="7"/>
  <c r="W468" i="8"/>
  <c r="X468" i="8" s="1"/>
  <c r="AC468" i="8" s="1"/>
  <c r="Z136" i="8"/>
  <c r="Y908" i="8"/>
  <c r="AA908" i="8" s="1"/>
  <c r="AC908" i="8"/>
  <c r="Q1178" i="6"/>
  <c r="S1178" i="6" s="1"/>
  <c r="X360" i="7"/>
  <c r="S1333" i="6"/>
  <c r="Q1334" i="6" s="1"/>
  <c r="R1334" i="6" s="1"/>
  <c r="Y579" i="8"/>
  <c r="AC579" i="8"/>
  <c r="Y579" i="7"/>
  <c r="AA579" i="7" s="1"/>
  <c r="AC579" i="7"/>
  <c r="AC633" i="7"/>
  <c r="Y633" i="7"/>
  <c r="AC250" i="12"/>
  <c r="Y250" i="12"/>
  <c r="Q1229" i="6"/>
  <c r="S1229" i="6" s="1"/>
  <c r="C1611" i="6"/>
  <c r="Y847" i="8"/>
  <c r="W858" i="7"/>
  <c r="Y248" i="8"/>
  <c r="AC248" i="8"/>
  <c r="R1129" i="6"/>
  <c r="R1379" i="6"/>
  <c r="AB963" i="8"/>
  <c r="AA793" i="8"/>
  <c r="W689" i="7"/>
  <c r="X689" i="7" s="1"/>
  <c r="W523" i="8"/>
  <c r="X523" i="8" s="1"/>
  <c r="Z523" i="8" s="1"/>
  <c r="W193" i="7"/>
  <c r="X193" i="7" s="1"/>
  <c r="AB195" i="8"/>
  <c r="Z847" i="8"/>
  <c r="Z579" i="8"/>
  <c r="Z633" i="7"/>
  <c r="AB633" i="7" s="1"/>
  <c r="AA857" i="7"/>
  <c r="AC908" i="7"/>
  <c r="Z908" i="7"/>
  <c r="W304" i="7"/>
  <c r="X304" i="7" s="1"/>
  <c r="W1020" i="8"/>
  <c r="X1020" i="8" s="1"/>
  <c r="Z1020" i="8" s="1"/>
  <c r="W138" i="12"/>
  <c r="X138" i="12" s="1"/>
  <c r="AA139" i="7"/>
  <c r="X694" i="8"/>
  <c r="Y694" i="8" s="1"/>
  <c r="W470" i="7"/>
  <c r="X470" i="7" s="1"/>
  <c r="Z470" i="7"/>
  <c r="AC522" i="7"/>
  <c r="Y522" i="7"/>
  <c r="AA522" i="7" s="1"/>
  <c r="AB744" i="7"/>
  <c r="B1564" i="6"/>
  <c r="D1564" i="6" s="1"/>
  <c r="Y908" i="7"/>
  <c r="W413" i="7"/>
  <c r="Z248" i="8"/>
  <c r="W250" i="7"/>
  <c r="X250" i="7" s="1"/>
  <c r="Z250" i="7" s="1"/>
  <c r="Q1458" i="6"/>
  <c r="S1458" i="6" s="1"/>
  <c r="AA412" i="7"/>
  <c r="Q1509" i="6"/>
  <c r="S1509" i="6" s="1"/>
  <c r="AB304" i="8"/>
  <c r="X359" i="8"/>
  <c r="Y359" i="8" s="1"/>
  <c r="AC634" i="8"/>
  <c r="Z634" i="8"/>
  <c r="W1074" i="8"/>
  <c r="X1074" i="8" s="1"/>
  <c r="B1658" i="6"/>
  <c r="C1658" i="6" s="1"/>
  <c r="Y634" i="8"/>
  <c r="AB795" i="7"/>
  <c r="Y300" i="12"/>
  <c r="AA300" i="12" s="1"/>
  <c r="AC300" i="12"/>
  <c r="Z250" i="12"/>
  <c r="W749" i="8"/>
  <c r="X749" i="8" s="1"/>
  <c r="Z749" i="8" s="1"/>
  <c r="B2400" i="6"/>
  <c r="E2399" i="6"/>
  <c r="D2399" i="6"/>
  <c r="C2400" i="6" s="1"/>
  <c r="Q1093" i="6"/>
  <c r="S1093" i="6" s="1"/>
  <c r="AB248" i="8" l="1"/>
  <c r="AB579" i="8"/>
  <c r="AA250" i="12"/>
  <c r="AA136" i="8"/>
  <c r="AB300" i="12"/>
  <c r="E2337" i="6"/>
  <c r="B2338" i="6"/>
  <c r="D2337" i="6"/>
  <c r="C2338" i="6" s="1"/>
  <c r="B2471" i="6"/>
  <c r="E2269" i="6"/>
  <c r="D2269" i="6"/>
  <c r="R1458" i="6"/>
  <c r="Q1459" i="6" s="1"/>
  <c r="R1459" i="6" s="1"/>
  <c r="AB579" i="7"/>
  <c r="W580" i="7" s="1"/>
  <c r="X580" i="7" s="1"/>
  <c r="AC580" i="7" s="1"/>
  <c r="AB908" i="7"/>
  <c r="W909" i="7" s="1"/>
  <c r="D2470" i="6"/>
  <c r="C2471" i="6" s="1"/>
  <c r="C2538" i="6"/>
  <c r="AA634" i="8"/>
  <c r="AA847" i="8"/>
  <c r="S1277" i="6"/>
  <c r="Z195" i="12"/>
  <c r="Y195" i="12"/>
  <c r="AA195" i="12" s="1"/>
  <c r="AC195" i="12"/>
  <c r="Y689" i="7"/>
  <c r="AC689" i="7"/>
  <c r="Z689" i="7"/>
  <c r="E2400" i="6"/>
  <c r="D2400" i="6"/>
  <c r="B2401" i="6"/>
  <c r="AA359" i="8"/>
  <c r="W249" i="8"/>
  <c r="Y304" i="7"/>
  <c r="AC304" i="7"/>
  <c r="Y523" i="8"/>
  <c r="AA523" i="8" s="1"/>
  <c r="AC523" i="8"/>
  <c r="R1229" i="6"/>
  <c r="W634" i="7"/>
  <c r="AB522" i="7"/>
  <c r="AA633" i="7"/>
  <c r="AB250" i="12"/>
  <c r="W301" i="12"/>
  <c r="Q1130" i="6"/>
  <c r="S1130" i="6" s="1"/>
  <c r="X413" i="7"/>
  <c r="W745" i="7"/>
  <c r="X745" i="7" s="1"/>
  <c r="Z745" i="7" s="1"/>
  <c r="Y138" i="12"/>
  <c r="AC138" i="12"/>
  <c r="W196" i="8"/>
  <c r="X196" i="8" s="1"/>
  <c r="R1093" i="6"/>
  <c r="AC1074" i="8"/>
  <c r="Y1074" i="8"/>
  <c r="B1612" i="6"/>
  <c r="D1612" i="6" s="1"/>
  <c r="AB634" i="8"/>
  <c r="X794" i="8"/>
  <c r="AB136" i="8"/>
  <c r="C1564" i="6"/>
  <c r="Q1380" i="6"/>
  <c r="S1380" i="6" s="1"/>
  <c r="R1509" i="6"/>
  <c r="X301" i="12"/>
  <c r="Y301" i="12" s="1"/>
  <c r="Z138" i="12"/>
  <c r="Z304" i="7"/>
  <c r="R1178" i="6"/>
  <c r="D1658" i="6"/>
  <c r="AA908" i="7"/>
  <c r="AC359" i="8"/>
  <c r="Z359" i="8"/>
  <c r="AB359" i="8" s="1"/>
  <c r="Y468" i="8"/>
  <c r="AC749" i="8"/>
  <c r="Y749" i="8"/>
  <c r="AA749" i="8" s="1"/>
  <c r="W305" i="8"/>
  <c r="X305" i="8" s="1"/>
  <c r="W964" i="8"/>
  <c r="X964" i="8" s="1"/>
  <c r="Z964" i="8" s="1"/>
  <c r="W580" i="8"/>
  <c r="X140" i="7"/>
  <c r="Y140" i="7" s="1"/>
  <c r="AC193" i="7"/>
  <c r="Y193" i="7"/>
  <c r="AA579" i="8"/>
  <c r="AC360" i="7"/>
  <c r="Z360" i="7"/>
  <c r="B1659" i="6"/>
  <c r="C1659" i="6" s="1"/>
  <c r="C1660" i="6" s="1"/>
  <c r="C1661" i="6" s="1"/>
  <c r="C1662" i="6" s="1"/>
  <c r="C1663" i="6" s="1"/>
  <c r="C1664" i="6" s="1"/>
  <c r="C1665" i="6" s="1"/>
  <c r="C1666" i="6" s="1"/>
  <c r="C1667" i="6" s="1"/>
  <c r="C1668" i="6" s="1"/>
  <c r="C1669" i="6" s="1"/>
  <c r="Y360" i="7"/>
  <c r="Z1074" i="8"/>
  <c r="AC470" i="7"/>
  <c r="Y470" i="7"/>
  <c r="AA470" i="7" s="1"/>
  <c r="X858" i="7"/>
  <c r="Y858" i="7" s="1"/>
  <c r="AC694" i="8"/>
  <c r="Z694" i="8"/>
  <c r="AB694" i="8" s="1"/>
  <c r="AB908" i="8"/>
  <c r="Z468" i="8"/>
  <c r="AB468" i="8" s="1"/>
  <c r="AB847" i="8"/>
  <c r="W796" i="7"/>
  <c r="X796" i="7" s="1"/>
  <c r="Z796" i="7" s="1"/>
  <c r="Y250" i="7"/>
  <c r="AA250" i="7" s="1"/>
  <c r="AC250" i="7"/>
  <c r="AC1020" i="8"/>
  <c r="Y1020" i="8"/>
  <c r="AA1020" i="8" s="1"/>
  <c r="Z193" i="7"/>
  <c r="AA248" i="8"/>
  <c r="S1334" i="6"/>
  <c r="AB413" i="8"/>
  <c r="AB523" i="8" l="1"/>
  <c r="AB304" i="7"/>
  <c r="AB138" i="12"/>
  <c r="B2270" i="6"/>
  <c r="C2270" i="6" s="1"/>
  <c r="D2471" i="6"/>
  <c r="B2472" i="6"/>
  <c r="E2471" i="6"/>
  <c r="C2472" i="6" s="1"/>
  <c r="D2270" i="6"/>
  <c r="E2270" i="6"/>
  <c r="B2271" i="6"/>
  <c r="B2539" i="6"/>
  <c r="D2538" i="6"/>
  <c r="E2538" i="6"/>
  <c r="AA301" i="12"/>
  <c r="AA138" i="12"/>
  <c r="X139" i="12" s="1"/>
  <c r="Z139" i="12" s="1"/>
  <c r="AB1074" i="8"/>
  <c r="W1075" i="8" s="1"/>
  <c r="AA694" i="8"/>
  <c r="Q1278" i="6"/>
  <c r="R1278" i="6" s="1"/>
  <c r="AB360" i="7"/>
  <c r="W361" i="7" s="1"/>
  <c r="R1130" i="6"/>
  <c r="B2339" i="6"/>
  <c r="E2338" i="6"/>
  <c r="D2338" i="6"/>
  <c r="C2401" i="6"/>
  <c r="S1459" i="6"/>
  <c r="Q1460" i="6" s="1"/>
  <c r="S1460" i="6" s="1"/>
  <c r="AA689" i="7"/>
  <c r="AB193" i="7"/>
  <c r="W194" i="7" s="1"/>
  <c r="AB749" i="8"/>
  <c r="W750" i="8" s="1"/>
  <c r="X750" i="8" s="1"/>
  <c r="Z301" i="12"/>
  <c r="AB301" i="12" s="1"/>
  <c r="E2401" i="6"/>
  <c r="D2401" i="6"/>
  <c r="B2402" i="6"/>
  <c r="C2402" i="6" s="1"/>
  <c r="Z794" i="8"/>
  <c r="AC794" i="8"/>
  <c r="X634" i="7"/>
  <c r="Y634" i="7" s="1"/>
  <c r="AB250" i="7"/>
  <c r="C1612" i="6"/>
  <c r="W139" i="12"/>
  <c r="Y745" i="7"/>
  <c r="AA745" i="7" s="1"/>
  <c r="AC745" i="7"/>
  <c r="AC413" i="7"/>
  <c r="Z413" i="7"/>
  <c r="Q1510" i="6"/>
  <c r="S1510" i="6" s="1"/>
  <c r="AB470" i="7"/>
  <c r="Z580" i="7"/>
  <c r="X909" i="7"/>
  <c r="W524" i="8"/>
  <c r="X524" i="8" s="1"/>
  <c r="Z524" i="8" s="1"/>
  <c r="AC301" i="12"/>
  <c r="W305" i="7"/>
  <c r="Y794" i="8"/>
  <c r="Y580" i="7"/>
  <c r="Y305" i="8"/>
  <c r="AC305" i="8"/>
  <c r="W523" i="7"/>
  <c r="X523" i="7" s="1"/>
  <c r="Z523" i="7"/>
  <c r="W695" i="8"/>
  <c r="Y413" i="7"/>
  <c r="W414" i="8"/>
  <c r="X414" i="8" s="1"/>
  <c r="Z414" i="8" s="1"/>
  <c r="AA360" i="7"/>
  <c r="D1659" i="6"/>
  <c r="D1660" i="6" s="1"/>
  <c r="D1661" i="6" s="1"/>
  <c r="D1662" i="6" s="1"/>
  <c r="D1663" i="6" s="1"/>
  <c r="D1664" i="6" s="1"/>
  <c r="D1665" i="6" s="1"/>
  <c r="D1666" i="6" s="1"/>
  <c r="D1667" i="6" s="1"/>
  <c r="D1668" i="6" s="1"/>
  <c r="D1669" i="6" s="1"/>
  <c r="B1670" i="6" s="1"/>
  <c r="D36" i="6" s="1"/>
  <c r="R1380" i="6"/>
  <c r="AA1074" i="8"/>
  <c r="AB689" i="7"/>
  <c r="AB195" i="12"/>
  <c r="W137" i="8"/>
  <c r="X137" i="8" s="1"/>
  <c r="Z137" i="8"/>
  <c r="W251" i="12"/>
  <c r="X251" i="12" s="1"/>
  <c r="Z251" i="12" s="1"/>
  <c r="AC964" i="8"/>
  <c r="Y964" i="8"/>
  <c r="AA964" i="8" s="1"/>
  <c r="Y196" i="8"/>
  <c r="AC196" i="8"/>
  <c r="X580" i="8"/>
  <c r="Z196" i="8"/>
  <c r="AB196" i="8" s="1"/>
  <c r="Q1230" i="6"/>
  <c r="S1230" i="6" s="1"/>
  <c r="W469" i="8"/>
  <c r="AA468" i="8"/>
  <c r="W909" i="8"/>
  <c r="X909" i="8" s="1"/>
  <c r="Z909" i="8" s="1"/>
  <c r="Q1131" i="6"/>
  <c r="S1131" i="6" s="1"/>
  <c r="Q1335" i="6"/>
  <c r="R1335" i="6" s="1"/>
  <c r="W635" i="8"/>
  <c r="X635" i="8" s="1"/>
  <c r="Y796" i="7"/>
  <c r="AA796" i="7" s="1"/>
  <c r="AC796" i="7"/>
  <c r="Z305" i="8"/>
  <c r="W848" i="8"/>
  <c r="X848" i="8" s="1"/>
  <c r="Z848" i="8"/>
  <c r="AA193" i="7"/>
  <c r="AB1020" i="8"/>
  <c r="W360" i="8"/>
  <c r="X360" i="8" s="1"/>
  <c r="X249" i="8"/>
  <c r="Y249" i="8" s="1"/>
  <c r="AC858" i="7"/>
  <c r="Z858" i="7"/>
  <c r="AB858" i="7" s="1"/>
  <c r="Z140" i="7"/>
  <c r="AB140" i="7" s="1"/>
  <c r="AC140" i="7"/>
  <c r="Q1179" i="6"/>
  <c r="S1179" i="6" s="1"/>
  <c r="B1565" i="6"/>
  <c r="D1565" i="6" s="1"/>
  <c r="Q1094" i="6"/>
  <c r="S1094" i="6" s="1"/>
  <c r="AA304" i="7"/>
  <c r="AB305" i="8" l="1"/>
  <c r="C2539" i="6"/>
  <c r="E2539" i="6"/>
  <c r="D2539" i="6"/>
  <c r="B2540" i="6"/>
  <c r="C2540" i="6" s="1"/>
  <c r="B2473" i="6"/>
  <c r="E2472" i="6"/>
  <c r="D2472" i="6"/>
  <c r="C2473" i="6" s="1"/>
  <c r="Q1279" i="6"/>
  <c r="R1279" i="6" s="1"/>
  <c r="AB794" i="8"/>
  <c r="W795" i="8" s="1"/>
  <c r="S1335" i="6"/>
  <c r="Q1336" i="6" s="1"/>
  <c r="C2339" i="6"/>
  <c r="X695" i="8"/>
  <c r="Z695" i="8" s="1"/>
  <c r="AB413" i="7"/>
  <c r="W414" i="7" s="1"/>
  <c r="R1510" i="6"/>
  <c r="Q1511" i="6" s="1"/>
  <c r="R1511" i="6" s="1"/>
  <c r="C2271" i="6"/>
  <c r="AA580" i="7"/>
  <c r="S1278" i="6"/>
  <c r="AC750" i="8"/>
  <c r="Y750" i="8"/>
  <c r="Z750" i="8"/>
  <c r="AB750" i="8" s="1"/>
  <c r="Y360" i="8"/>
  <c r="Z360" i="8"/>
  <c r="AB360" i="8" s="1"/>
  <c r="AC360" i="8"/>
  <c r="B2403" i="6"/>
  <c r="E2402" i="6"/>
  <c r="D2402" i="6"/>
  <c r="AC848" i="8"/>
  <c r="Y848" i="8"/>
  <c r="AA848" i="8" s="1"/>
  <c r="Y524" i="8"/>
  <c r="AA524" i="8" s="1"/>
  <c r="W306" i="8"/>
  <c r="Y139" i="12"/>
  <c r="AA139" i="12" s="1"/>
  <c r="Z580" i="8"/>
  <c r="AC580" i="8"/>
  <c r="R1460" i="6"/>
  <c r="Q1381" i="6"/>
  <c r="S1381" i="6" s="1"/>
  <c r="W859" i="7"/>
  <c r="AB796" i="7"/>
  <c r="AC635" i="8"/>
  <c r="Y635" i="8"/>
  <c r="AA635" i="8" s="1"/>
  <c r="X361" i="7"/>
  <c r="AC524" i="8"/>
  <c r="Y414" i="8"/>
  <c r="AA414" i="8" s="1"/>
  <c r="AC414" i="8"/>
  <c r="AB964" i="8"/>
  <c r="AC909" i="7"/>
  <c r="Z909" i="7"/>
  <c r="R1131" i="6"/>
  <c r="X1075" i="8"/>
  <c r="Y1075" i="8" s="1"/>
  <c r="AC523" i="7"/>
  <c r="Y523" i="7"/>
  <c r="AA523" i="7" s="1"/>
  <c r="AA305" i="8"/>
  <c r="Y251" i="12"/>
  <c r="AA251" i="12" s="1"/>
  <c r="AC251" i="12"/>
  <c r="W302" i="12"/>
  <c r="X302" i="12" s="1"/>
  <c r="Y302" i="12" s="1"/>
  <c r="R1230" i="6"/>
  <c r="AA140" i="7"/>
  <c r="AB580" i="7"/>
  <c r="W251" i="7"/>
  <c r="X251" i="7" s="1"/>
  <c r="AC139" i="12"/>
  <c r="W197" i="8"/>
  <c r="AB523" i="7"/>
  <c r="Y580" i="8"/>
  <c r="AA580" i="8" s="1"/>
  <c r="AB745" i="7"/>
  <c r="Z249" i="8"/>
  <c r="AB249" i="8" s="1"/>
  <c r="AC249" i="8"/>
  <c r="Z635" i="8"/>
  <c r="W1021" i="8"/>
  <c r="X1021" i="8" s="1"/>
  <c r="W196" i="12"/>
  <c r="X196" i="12" s="1"/>
  <c r="Z196" i="12"/>
  <c r="AA794" i="8"/>
  <c r="W471" i="7"/>
  <c r="X471" i="7" s="1"/>
  <c r="Z471" i="7" s="1"/>
  <c r="R1179" i="6"/>
  <c r="Z634" i="7"/>
  <c r="AB634" i="7" s="1"/>
  <c r="AC634" i="7"/>
  <c r="W141" i="7"/>
  <c r="AA196" i="8"/>
  <c r="Y909" i="8"/>
  <c r="AA909" i="8" s="1"/>
  <c r="AC909" i="8"/>
  <c r="X469" i="8"/>
  <c r="B1613" i="6"/>
  <c r="D1613" i="6" s="1"/>
  <c r="D1614" i="6" s="1"/>
  <c r="D1615" i="6" s="1"/>
  <c r="D1616" i="6" s="1"/>
  <c r="D1617" i="6" s="1"/>
  <c r="D1618" i="6" s="1"/>
  <c r="D1619" i="6" s="1"/>
  <c r="D1620" i="6" s="1"/>
  <c r="D1621" i="6" s="1"/>
  <c r="D1622" i="6" s="1"/>
  <c r="D1623" i="6" s="1"/>
  <c r="AA413" i="7"/>
  <c r="X305" i="7"/>
  <c r="Y305" i="7" s="1"/>
  <c r="AC137" i="8"/>
  <c r="Y137" i="8"/>
  <c r="AA137" i="8" s="1"/>
  <c r="Y909" i="7"/>
  <c r="R1094" i="6"/>
  <c r="AA858" i="7"/>
  <c r="C1565" i="6"/>
  <c r="X194" i="7"/>
  <c r="Y194" i="7" s="1"/>
  <c r="W690" i="7"/>
  <c r="X690" i="7" s="1"/>
  <c r="AA634" i="7" l="1"/>
  <c r="AA909" i="7"/>
  <c r="C2403" i="6"/>
  <c r="AB848" i="8"/>
  <c r="R1336" i="6"/>
  <c r="S1336" i="6"/>
  <c r="E2540" i="6"/>
  <c r="D2540" i="6"/>
  <c r="B2541" i="6"/>
  <c r="D2473" i="6"/>
  <c r="B2474" i="6"/>
  <c r="E2473" i="6"/>
  <c r="Y695" i="8"/>
  <c r="AA695" i="8" s="1"/>
  <c r="B2340" i="6"/>
  <c r="D2339" i="6"/>
  <c r="E2339" i="6"/>
  <c r="AB524" i="8"/>
  <c r="W525" i="8" s="1"/>
  <c r="X525" i="8" s="1"/>
  <c r="AC695" i="8"/>
  <c r="E2271" i="6"/>
  <c r="B2272" i="6"/>
  <c r="D2271" i="6"/>
  <c r="C2272" i="6" s="1"/>
  <c r="AB909" i="8"/>
  <c r="W910" i="8" s="1"/>
  <c r="X910" i="8" s="1"/>
  <c r="S1279" i="6"/>
  <c r="Q1280" i="6" s="1"/>
  <c r="Q1337" i="6"/>
  <c r="S1337" i="6" s="1"/>
  <c r="W849" i="8"/>
  <c r="X849" i="8" s="1"/>
  <c r="Z302" i="12"/>
  <c r="AB302" i="12" s="1"/>
  <c r="Y196" i="12"/>
  <c r="AA196" i="12" s="1"/>
  <c r="AC196" i="12"/>
  <c r="AA360" i="8"/>
  <c r="S1511" i="6"/>
  <c r="Q1512" i="6" s="1"/>
  <c r="R1512" i="6" s="1"/>
  <c r="Q1180" i="6"/>
  <c r="S1180" i="6" s="1"/>
  <c r="AB909" i="7"/>
  <c r="Y1021" i="8"/>
  <c r="AC1021" i="8"/>
  <c r="W965" i="8"/>
  <c r="X965" i="8" s="1"/>
  <c r="AB580" i="8"/>
  <c r="AC251" i="7"/>
  <c r="Y251" i="7"/>
  <c r="AA251" i="7" s="1"/>
  <c r="AB414" i="8"/>
  <c r="AB251" i="12"/>
  <c r="D2403" i="6"/>
  <c r="B2404" i="6"/>
  <c r="E2403" i="6"/>
  <c r="Z305" i="7"/>
  <c r="AB305" i="7" s="1"/>
  <c r="AC305" i="7"/>
  <c r="AB137" i="8"/>
  <c r="W524" i="7"/>
  <c r="X524" i="7" s="1"/>
  <c r="Z524" i="7" s="1"/>
  <c r="R1381" i="6"/>
  <c r="AC469" i="8"/>
  <c r="Z469" i="8"/>
  <c r="W751" i="8"/>
  <c r="Z1021" i="8"/>
  <c r="Z251" i="7"/>
  <c r="AB139" i="12"/>
  <c r="AC1075" i="8"/>
  <c r="Z1075" i="8"/>
  <c r="AB1075" i="8" s="1"/>
  <c r="W746" i="7"/>
  <c r="X746" i="7" s="1"/>
  <c r="W361" i="8"/>
  <c r="X414" i="7"/>
  <c r="AC690" i="7"/>
  <c r="Y690" i="7"/>
  <c r="Z690" i="7"/>
  <c r="AB690" i="7" s="1"/>
  <c r="X306" i="8"/>
  <c r="Q1461" i="6"/>
  <c r="S1461" i="6" s="1"/>
  <c r="Y469" i="8"/>
  <c r="AA469" i="8" s="1"/>
  <c r="AB635" i="8"/>
  <c r="W581" i="7"/>
  <c r="X581" i="7" s="1"/>
  <c r="Z581" i="7" s="1"/>
  <c r="AC361" i="7"/>
  <c r="Z361" i="7"/>
  <c r="W250" i="8"/>
  <c r="Q1231" i="6"/>
  <c r="S1231" i="6" s="1"/>
  <c r="AC471" i="7"/>
  <c r="Y471" i="7"/>
  <c r="AA471" i="7" s="1"/>
  <c r="W797" i="7"/>
  <c r="X797" i="7" s="1"/>
  <c r="X795" i="8"/>
  <c r="Y795" i="8" s="1"/>
  <c r="Q1132" i="6"/>
  <c r="S1132" i="6" s="1"/>
  <c r="W635" i="7"/>
  <c r="X635" i="7" s="1"/>
  <c r="AC635" i="7" s="1"/>
  <c r="AC302" i="12"/>
  <c r="AA249" i="8"/>
  <c r="C1613" i="6"/>
  <c r="C1614" i="6" s="1"/>
  <c r="C1615" i="6" s="1"/>
  <c r="C1616" i="6" s="1"/>
  <c r="C1617" i="6" s="1"/>
  <c r="C1618" i="6" s="1"/>
  <c r="C1619" i="6" s="1"/>
  <c r="C1620" i="6" s="1"/>
  <c r="C1621" i="6" s="1"/>
  <c r="C1622" i="6" s="1"/>
  <c r="C1623" i="6" s="1"/>
  <c r="B1624" i="6" s="1"/>
  <c r="C36" i="6" s="1"/>
  <c r="Z194" i="7"/>
  <c r="AB194" i="7" s="1"/>
  <c r="AC194" i="7"/>
  <c r="AA750" i="8"/>
  <c r="B1566" i="6"/>
  <c r="D1566" i="6" s="1"/>
  <c r="X859" i="7"/>
  <c r="X197" i="8"/>
  <c r="Q1095" i="6"/>
  <c r="S1095" i="6" s="1"/>
  <c r="X141" i="7"/>
  <c r="Y361" i="7"/>
  <c r="AA361" i="7" s="1"/>
  <c r="C2340" i="6" l="1"/>
  <c r="D2340" i="6"/>
  <c r="E2340" i="6"/>
  <c r="B2341" i="6"/>
  <c r="S1280" i="6"/>
  <c r="R1280" i="6"/>
  <c r="Q1281" i="6" s="1"/>
  <c r="S1281" i="6" s="1"/>
  <c r="AB695" i="8"/>
  <c r="C2541" i="6"/>
  <c r="D2272" i="6"/>
  <c r="B2273" i="6"/>
  <c r="E2272" i="6"/>
  <c r="AB1021" i="8"/>
  <c r="W1022" i="8" s="1"/>
  <c r="C2404" i="6"/>
  <c r="B2405" i="6" s="1"/>
  <c r="C2474" i="6"/>
  <c r="AA1075" i="8"/>
  <c r="X1076" i="8" s="1"/>
  <c r="Y1076" i="8" s="1"/>
  <c r="Y849" i="8"/>
  <c r="Z849" i="8"/>
  <c r="AC849" i="8"/>
  <c r="AC910" i="8"/>
  <c r="Y910" i="8"/>
  <c r="Z910" i="8"/>
  <c r="Z525" i="8"/>
  <c r="Y525" i="8"/>
  <c r="AA525" i="8" s="1"/>
  <c r="AC525" i="8"/>
  <c r="AC141" i="7"/>
  <c r="Z141" i="7"/>
  <c r="X751" i="8"/>
  <c r="AC797" i="7"/>
  <c r="Y797" i="7"/>
  <c r="Z797" i="7"/>
  <c r="AB797" i="7" s="1"/>
  <c r="W140" i="12"/>
  <c r="X140" i="12" s="1"/>
  <c r="Z140" i="12"/>
  <c r="W636" i="8"/>
  <c r="X636" i="8" s="1"/>
  <c r="AB251" i="7"/>
  <c r="AB471" i="7"/>
  <c r="AC965" i="8"/>
  <c r="Y965" i="8"/>
  <c r="Y141" i="7"/>
  <c r="Y524" i="7"/>
  <c r="AA524" i="7" s="1"/>
  <c r="W195" i="7"/>
  <c r="W138" i="8"/>
  <c r="X138" i="8" s="1"/>
  <c r="Z138" i="8" s="1"/>
  <c r="Y635" i="7"/>
  <c r="AA635" i="7" s="1"/>
  <c r="AC414" i="7"/>
  <c r="Z414" i="7"/>
  <c r="AB414" i="7" s="1"/>
  <c r="W306" i="7"/>
  <c r="AA302" i="12"/>
  <c r="R1095" i="6"/>
  <c r="X250" i="8"/>
  <c r="Z635" i="7"/>
  <c r="R1231" i="6"/>
  <c r="R1461" i="6"/>
  <c r="Z306" i="8"/>
  <c r="AC306" i="8"/>
  <c r="Y306" i="8"/>
  <c r="AA306" i="8" s="1"/>
  <c r="W691" i="7"/>
  <c r="W252" i="12"/>
  <c r="X252" i="12" s="1"/>
  <c r="Z252" i="12" s="1"/>
  <c r="AA305" i="7"/>
  <c r="S1512" i="6"/>
  <c r="Q1513" i="6" s="1"/>
  <c r="R1513" i="6" s="1"/>
  <c r="W696" i="8"/>
  <c r="X696" i="8" s="1"/>
  <c r="Z696" i="8" s="1"/>
  <c r="AB196" i="12"/>
  <c r="W581" i="8"/>
  <c r="X581" i="8" s="1"/>
  <c r="AC581" i="7"/>
  <c r="Y581" i="7"/>
  <c r="AA581" i="7" s="1"/>
  <c r="W303" i="12"/>
  <c r="Y414" i="7"/>
  <c r="AC197" i="8"/>
  <c r="Z197" i="8"/>
  <c r="AC859" i="7"/>
  <c r="Z859" i="7"/>
  <c r="Y746" i="7"/>
  <c r="AC746" i="7"/>
  <c r="Y859" i="7"/>
  <c r="AA859" i="7" s="1"/>
  <c r="R1337" i="6"/>
  <c r="AA194" i="7"/>
  <c r="R1180" i="6"/>
  <c r="C1566" i="6"/>
  <c r="R1132" i="6"/>
  <c r="AB361" i="7"/>
  <c r="AA690" i="7"/>
  <c r="Q1382" i="6"/>
  <c r="S1382" i="6" s="1"/>
  <c r="X361" i="8"/>
  <c r="Z965" i="8"/>
  <c r="Y197" i="8"/>
  <c r="AA197" i="8" s="1"/>
  <c r="AA1021" i="8"/>
  <c r="Z746" i="7"/>
  <c r="W910" i="7"/>
  <c r="X910" i="7" s="1"/>
  <c r="AB469" i="8"/>
  <c r="AC524" i="7"/>
  <c r="Z795" i="8"/>
  <c r="AB795" i="8" s="1"/>
  <c r="AC795" i="8"/>
  <c r="W1076" i="8"/>
  <c r="W415" i="8"/>
  <c r="X415" i="8" s="1"/>
  <c r="Z415" i="8" s="1"/>
  <c r="AB965" i="8" l="1"/>
  <c r="AB849" i="8"/>
  <c r="AA141" i="7"/>
  <c r="AA795" i="8"/>
  <c r="E2541" i="6"/>
  <c r="B2542" i="6"/>
  <c r="D2541" i="6"/>
  <c r="AB635" i="7"/>
  <c r="W636" i="7" s="1"/>
  <c r="X636" i="7" s="1"/>
  <c r="E2474" i="6"/>
  <c r="B2475" i="6"/>
  <c r="D2474" i="6"/>
  <c r="C2475" i="6" s="1"/>
  <c r="AB746" i="7"/>
  <c r="W747" i="7" s="1"/>
  <c r="D2404" i="6"/>
  <c r="E2404" i="6"/>
  <c r="AA910" i="8"/>
  <c r="AA849" i="8"/>
  <c r="X850" i="8" s="1"/>
  <c r="AC850" i="8" s="1"/>
  <c r="C2273" i="6"/>
  <c r="R1281" i="6"/>
  <c r="Q1282" i="6" s="1"/>
  <c r="S1282" i="6" s="1"/>
  <c r="C2341" i="6"/>
  <c r="Q1133" i="6"/>
  <c r="S1133" i="6" s="1"/>
  <c r="X306" i="7"/>
  <c r="Z250" i="8"/>
  <c r="AC250" i="8"/>
  <c r="Q1181" i="6"/>
  <c r="S1181" i="6" s="1"/>
  <c r="AC581" i="8"/>
  <c r="Y581" i="8"/>
  <c r="Y140" i="12"/>
  <c r="AA140" i="12" s="1"/>
  <c r="AC140" i="12"/>
  <c r="AC415" i="8"/>
  <c r="Y415" i="8"/>
  <c r="AA415" i="8" s="1"/>
  <c r="W197" i="12"/>
  <c r="X197" i="12" s="1"/>
  <c r="Z197" i="12" s="1"/>
  <c r="AB306" i="8"/>
  <c r="Z1076" i="8"/>
  <c r="AB1076" i="8" s="1"/>
  <c r="AC751" i="8"/>
  <c r="Z751" i="8"/>
  <c r="Q1232" i="6"/>
  <c r="S1232" i="6" s="1"/>
  <c r="AB141" i="7"/>
  <c r="R1382" i="6"/>
  <c r="AB197" i="8"/>
  <c r="AC636" i="8"/>
  <c r="Y636" i="8"/>
  <c r="B1567" i="6"/>
  <c r="D1567" i="6" s="1"/>
  <c r="D1568" i="6" s="1"/>
  <c r="D1569" i="6" s="1"/>
  <c r="D1570" i="6" s="1"/>
  <c r="D1571" i="6" s="1"/>
  <c r="D1572" i="6" s="1"/>
  <c r="D1573" i="6" s="1"/>
  <c r="D1574" i="6" s="1"/>
  <c r="D1575" i="6" s="1"/>
  <c r="D1576" i="6" s="1"/>
  <c r="D1577" i="6" s="1"/>
  <c r="W470" i="8"/>
  <c r="X470" i="8" s="1"/>
  <c r="AC252" i="12"/>
  <c r="Y252" i="12"/>
  <c r="AA252" i="12" s="1"/>
  <c r="AC910" i="7"/>
  <c r="Y910" i="7"/>
  <c r="Y250" i="8"/>
  <c r="Z910" i="7"/>
  <c r="X1022" i="8"/>
  <c r="AC1076" i="8"/>
  <c r="AA797" i="7"/>
  <c r="AA746" i="7"/>
  <c r="W415" i="7"/>
  <c r="AC361" i="8"/>
  <c r="Z361" i="8"/>
  <c r="AB859" i="7"/>
  <c r="Q1462" i="6"/>
  <c r="S1462" i="6" s="1"/>
  <c r="AA965" i="8"/>
  <c r="Y751" i="8"/>
  <c r="AA751" i="8" s="1"/>
  <c r="X691" i="7"/>
  <c r="Y691" i="7" s="1"/>
  <c r="Y138" i="8"/>
  <c r="AA138" i="8" s="1"/>
  <c r="AC138" i="8"/>
  <c r="W252" i="7"/>
  <c r="X252" i="7" s="1"/>
  <c r="AB525" i="8"/>
  <c r="W850" i="8"/>
  <c r="X195" i="7"/>
  <c r="Q1096" i="6"/>
  <c r="S1096" i="6" s="1"/>
  <c r="Q1338" i="6"/>
  <c r="S1338" i="6" s="1"/>
  <c r="Z581" i="8"/>
  <c r="X303" i="12"/>
  <c r="W798" i="7"/>
  <c r="W966" i="8"/>
  <c r="Y696" i="8"/>
  <c r="AA696" i="8" s="1"/>
  <c r="AC696" i="8"/>
  <c r="AB524" i="7"/>
  <c r="Y361" i="8"/>
  <c r="AA361" i="8" s="1"/>
  <c r="W472" i="7"/>
  <c r="X472" i="7" s="1"/>
  <c r="Z472" i="7" s="1"/>
  <c r="W796" i="8"/>
  <c r="X796" i="8" s="1"/>
  <c r="AC796" i="8" s="1"/>
  <c r="W362" i="7"/>
  <c r="X362" i="7" s="1"/>
  <c r="Z362" i="7" s="1"/>
  <c r="AA414" i="7"/>
  <c r="S1513" i="6"/>
  <c r="AB581" i="7"/>
  <c r="Z636" i="8"/>
  <c r="AB910" i="8"/>
  <c r="AB581" i="8" l="1"/>
  <c r="B2274" i="6"/>
  <c r="E2273" i="6"/>
  <c r="D2273" i="6"/>
  <c r="AB250" i="8"/>
  <c r="C2542" i="6"/>
  <c r="E2475" i="6"/>
  <c r="B2476" i="6"/>
  <c r="D2475" i="6"/>
  <c r="C2476" i="6" s="1"/>
  <c r="AB138" i="8"/>
  <c r="W139" i="8" s="1"/>
  <c r="X139" i="8" s="1"/>
  <c r="AB140" i="12"/>
  <c r="W141" i="12" s="1"/>
  <c r="X141" i="12" s="1"/>
  <c r="C2405" i="6"/>
  <c r="AA636" i="8"/>
  <c r="AB910" i="7"/>
  <c r="E2341" i="6"/>
  <c r="D2341" i="6"/>
  <c r="B2342" i="6"/>
  <c r="AC636" i="7"/>
  <c r="Z636" i="7"/>
  <c r="Y636" i="7"/>
  <c r="Z1022" i="8"/>
  <c r="AC1022" i="8"/>
  <c r="Y850" i="8"/>
  <c r="X966" i="8"/>
  <c r="W307" i="8"/>
  <c r="X307" i="8" s="1"/>
  <c r="W525" i="7"/>
  <c r="X525" i="7" s="1"/>
  <c r="Z525" i="7" s="1"/>
  <c r="Y197" i="12"/>
  <c r="AA197" i="12" s="1"/>
  <c r="AC197" i="12"/>
  <c r="AC306" i="7"/>
  <c r="Z306" i="7"/>
  <c r="W911" i="7"/>
  <c r="Y252" i="7"/>
  <c r="AA252" i="7" s="1"/>
  <c r="AC252" i="7"/>
  <c r="AA250" i="8"/>
  <c r="AC195" i="7"/>
  <c r="Z195" i="7"/>
  <c r="Z252" i="7"/>
  <c r="AA910" i="7"/>
  <c r="W198" i="8"/>
  <c r="X198" i="8" s="1"/>
  <c r="Z198" i="8" s="1"/>
  <c r="AB696" i="8"/>
  <c r="AC303" i="12"/>
  <c r="Z303" i="12"/>
  <c r="C1567" i="6"/>
  <c r="C1568" i="6" s="1"/>
  <c r="C1569" i="6" s="1"/>
  <c r="C1570" i="6" s="1"/>
  <c r="C1571" i="6" s="1"/>
  <c r="C1572" i="6" s="1"/>
  <c r="C1573" i="6" s="1"/>
  <c r="C1574" i="6" s="1"/>
  <c r="C1575" i="6" s="1"/>
  <c r="C1576" i="6" s="1"/>
  <c r="C1577" i="6" s="1"/>
  <c r="B1578" i="6" s="1"/>
  <c r="B36" i="6" s="1"/>
  <c r="Y303" i="12"/>
  <c r="AA303" i="12" s="1"/>
  <c r="Y1022" i="8"/>
  <c r="AA1022" i="8" s="1"/>
  <c r="W582" i="8"/>
  <c r="AB636" i="8"/>
  <c r="Z850" i="8"/>
  <c r="W526" i="8"/>
  <c r="X526" i="8" s="1"/>
  <c r="X415" i="7"/>
  <c r="R1096" i="6"/>
  <c r="Q1514" i="6"/>
  <c r="R1514" i="6" s="1"/>
  <c r="W251" i="8"/>
  <c r="W1077" i="8"/>
  <c r="W911" i="8"/>
  <c r="X911" i="8" s="1"/>
  <c r="Z911" i="8" s="1"/>
  <c r="R1462" i="6"/>
  <c r="W582" i="7"/>
  <c r="X582" i="7" s="1"/>
  <c r="R1338" i="6"/>
  <c r="Q1339" i="6" s="1"/>
  <c r="B1340" i="6" s="1"/>
  <c r="W860" i="7"/>
  <c r="X860" i="7" s="1"/>
  <c r="Z860" i="7" s="1"/>
  <c r="AB361" i="8"/>
  <c r="Y306" i="7"/>
  <c r="Y362" i="7"/>
  <c r="AA362" i="7" s="1"/>
  <c r="AC362" i="7"/>
  <c r="Y195" i="7"/>
  <c r="AA195" i="7" s="1"/>
  <c r="R1133" i="6"/>
  <c r="AA1076" i="8"/>
  <c r="Z796" i="8"/>
  <c r="X798" i="7"/>
  <c r="AA581" i="8"/>
  <c r="Y470" i="8"/>
  <c r="AC470" i="8"/>
  <c r="Z470" i="8"/>
  <c r="AB470" i="8" s="1"/>
  <c r="R1232" i="6"/>
  <c r="Y472" i="7"/>
  <c r="AA472" i="7" s="1"/>
  <c r="AC472" i="7"/>
  <c r="R1181" i="6"/>
  <c r="Q1383" i="6"/>
  <c r="S1383" i="6" s="1"/>
  <c r="X747" i="7"/>
  <c r="W142" i="7"/>
  <c r="X142" i="7" s="1"/>
  <c r="Y796" i="8"/>
  <c r="AC691" i="7"/>
  <c r="Z691" i="7"/>
  <c r="AB691" i="7" s="1"/>
  <c r="AB415" i="8"/>
  <c r="R1282" i="6"/>
  <c r="AB751" i="8"/>
  <c r="AB252" i="12"/>
  <c r="Y141" i="12" l="1"/>
  <c r="AC141" i="12"/>
  <c r="AA796" i="8"/>
  <c r="B2477" i="6"/>
  <c r="D2476" i="6"/>
  <c r="E2476" i="6"/>
  <c r="C2342" i="6"/>
  <c r="E2405" i="6"/>
  <c r="D2405" i="6"/>
  <c r="B2406" i="6"/>
  <c r="AA306" i="7"/>
  <c r="S1514" i="6"/>
  <c r="Q1515" i="6" s="1"/>
  <c r="AA636" i="7"/>
  <c r="C2274" i="6"/>
  <c r="AA850" i="8"/>
  <c r="Z141" i="12"/>
  <c r="AB141" i="12" s="1"/>
  <c r="B2543" i="6"/>
  <c r="E2542" i="6"/>
  <c r="D2542" i="6"/>
  <c r="Z139" i="8"/>
  <c r="AC139" i="8"/>
  <c r="Y139" i="8"/>
  <c r="Z966" i="8"/>
  <c r="AC966" i="8"/>
  <c r="Q1233" i="6"/>
  <c r="S1233" i="6" s="1"/>
  <c r="Q1097" i="6"/>
  <c r="S1097" i="6" s="1"/>
  <c r="Y142" i="7"/>
  <c r="AC142" i="7"/>
  <c r="Z142" i="7"/>
  <c r="AB142" i="7" s="1"/>
  <c r="AC747" i="7"/>
  <c r="Z747" i="7"/>
  <c r="AB747" i="7" s="1"/>
  <c r="Z798" i="7"/>
  <c r="AC798" i="7"/>
  <c r="AC860" i="7"/>
  <c r="Y860" i="7"/>
  <c r="AA860" i="7" s="1"/>
  <c r="W752" i="8"/>
  <c r="X752" i="8" s="1"/>
  <c r="Z752" i="8" s="1"/>
  <c r="C16" i="6"/>
  <c r="C25" i="6"/>
  <c r="Q1283" i="6"/>
  <c r="S1283" i="6" s="1"/>
  <c r="R1383" i="6"/>
  <c r="AC582" i="7"/>
  <c r="Y582" i="7"/>
  <c r="X911" i="7"/>
  <c r="Y911" i="7" s="1"/>
  <c r="AB252" i="7"/>
  <c r="Y525" i="7"/>
  <c r="AA525" i="7" s="1"/>
  <c r="AC525" i="7"/>
  <c r="Y966" i="8"/>
  <c r="AC911" i="8"/>
  <c r="Y911" i="8"/>
  <c r="AA911" i="8" s="1"/>
  <c r="W471" i="8"/>
  <c r="Z415" i="7"/>
  <c r="AC415" i="7"/>
  <c r="Y415" i="7"/>
  <c r="AA415" i="7" s="1"/>
  <c r="AC526" i="8"/>
  <c r="Y526" i="8"/>
  <c r="W362" i="8"/>
  <c r="X362" i="8" s="1"/>
  <c r="AB303" i="12"/>
  <c r="AA691" i="7"/>
  <c r="W253" i="12"/>
  <c r="X253" i="12" s="1"/>
  <c r="Y798" i="7"/>
  <c r="W697" i="8"/>
  <c r="X697" i="8" s="1"/>
  <c r="Z697" i="8" s="1"/>
  <c r="AB796" i="8"/>
  <c r="X1077" i="8"/>
  <c r="Q1182" i="6"/>
  <c r="S1182" i="6" s="1"/>
  <c r="Z582" i="7"/>
  <c r="Q1463" i="6"/>
  <c r="S1463" i="6" s="1"/>
  <c r="AB850" i="8"/>
  <c r="AB195" i="7"/>
  <c r="AC307" i="8"/>
  <c r="Y307" i="8"/>
  <c r="AB362" i="7"/>
  <c r="AB636" i="7"/>
  <c r="Q1134" i="6"/>
  <c r="S1134" i="6" s="1"/>
  <c r="X251" i="8"/>
  <c r="W692" i="7"/>
  <c r="AB1022" i="8"/>
  <c r="AA470" i="8"/>
  <c r="X582" i="8"/>
  <c r="Z526" i="8"/>
  <c r="AB306" i="7"/>
  <c r="Y747" i="7"/>
  <c r="AC198" i="8"/>
  <c r="Y198" i="8"/>
  <c r="AA198" i="8" s="1"/>
  <c r="W416" i="8"/>
  <c r="X416" i="8" s="1"/>
  <c r="AB472" i="7"/>
  <c r="AB197" i="12"/>
  <c r="W637" i="8"/>
  <c r="X637" i="8" s="1"/>
  <c r="Z307" i="8"/>
  <c r="AB198" i="8" l="1"/>
  <c r="R1515" i="6"/>
  <c r="S1515" i="6"/>
  <c r="AB139" i="8"/>
  <c r="R1097" i="6"/>
  <c r="AB966" i="8"/>
  <c r="W967" i="8" s="1"/>
  <c r="AB798" i="7"/>
  <c r="W799" i="7" s="1"/>
  <c r="C2406" i="6"/>
  <c r="E2342" i="6"/>
  <c r="B2343" i="6"/>
  <c r="D2342" i="6"/>
  <c r="C2343" i="6" s="1"/>
  <c r="AB582" i="7"/>
  <c r="W583" i="7" s="1"/>
  <c r="C2477" i="6"/>
  <c r="AB526" i="8"/>
  <c r="W527" i="8" s="1"/>
  <c r="D2274" i="6"/>
  <c r="B2275" i="6"/>
  <c r="E2274" i="6"/>
  <c r="AA307" i="8"/>
  <c r="C2543" i="6"/>
  <c r="AA141" i="12"/>
  <c r="Q1516" i="6"/>
  <c r="R1516" i="6" s="1"/>
  <c r="W307" i="7"/>
  <c r="X307" i="7" s="1"/>
  <c r="Z307" i="7" s="1"/>
  <c r="Q1098" i="6"/>
  <c r="S1098" i="6" s="1"/>
  <c r="AC697" i="8"/>
  <c r="Y697" i="8"/>
  <c r="AA697" i="8" s="1"/>
  <c r="AB307" i="8"/>
  <c r="AA798" i="7"/>
  <c r="Y253" i="12"/>
  <c r="AC253" i="12"/>
  <c r="AC637" i="8"/>
  <c r="Y637" i="8"/>
  <c r="AA637" i="8" s="1"/>
  <c r="W1023" i="8"/>
  <c r="X1023" i="8" s="1"/>
  <c r="Z1023" i="8" s="1"/>
  <c r="W143" i="7"/>
  <c r="Z637" i="8"/>
  <c r="R1463" i="6"/>
  <c r="AB415" i="7"/>
  <c r="W253" i="7"/>
  <c r="X253" i="7" s="1"/>
  <c r="Z253" i="7"/>
  <c r="W198" i="12"/>
  <c r="X198" i="12" s="1"/>
  <c r="X692" i="7"/>
  <c r="AA142" i="7"/>
  <c r="W473" i="7"/>
  <c r="X473" i="7" s="1"/>
  <c r="W304" i="12"/>
  <c r="X304" i="12" s="1"/>
  <c r="Z304" i="12" s="1"/>
  <c r="AC416" i="8"/>
  <c r="Y416" i="8"/>
  <c r="R1182" i="6"/>
  <c r="Y362" i="8"/>
  <c r="AC362" i="8"/>
  <c r="AA582" i="7"/>
  <c r="W142" i="12"/>
  <c r="X142" i="12" s="1"/>
  <c r="Z142" i="12" s="1"/>
  <c r="AC1077" i="8"/>
  <c r="Z1077" i="8"/>
  <c r="AA966" i="8"/>
  <c r="R1283" i="6"/>
  <c r="AB860" i="7"/>
  <c r="R1134" i="6"/>
  <c r="Y1077" i="8"/>
  <c r="AA1077" i="8" s="1"/>
  <c r="AB911" i="8"/>
  <c r="AA139" i="8"/>
  <c r="W363" i="7"/>
  <c r="X363" i="7" s="1"/>
  <c r="Z363" i="7" s="1"/>
  <c r="W797" i="8"/>
  <c r="X797" i="8" s="1"/>
  <c r="Z797" i="8" s="1"/>
  <c r="W140" i="8"/>
  <c r="W748" i="7"/>
  <c r="Z582" i="8"/>
  <c r="AC582" i="8"/>
  <c r="Y582" i="8"/>
  <c r="AA582" i="8" s="1"/>
  <c r="W196" i="7"/>
  <c r="X196" i="7" s="1"/>
  <c r="W199" i="8"/>
  <c r="X199" i="8" s="1"/>
  <c r="X471" i="8"/>
  <c r="W851" i="8"/>
  <c r="X851" i="8" s="1"/>
  <c r="R1233" i="6"/>
  <c r="Z253" i="12"/>
  <c r="AC752" i="8"/>
  <c r="Y752" i="8"/>
  <c r="AA752" i="8" s="1"/>
  <c r="Z911" i="7"/>
  <c r="AB911" i="7" s="1"/>
  <c r="AC911" i="7"/>
  <c r="Z416" i="8"/>
  <c r="AB525" i="7"/>
  <c r="Z362" i="8"/>
  <c r="AC251" i="8"/>
  <c r="Z251" i="8"/>
  <c r="Q1384" i="6"/>
  <c r="S1384" i="6" s="1"/>
  <c r="Y251" i="8"/>
  <c r="AA251" i="8" s="1"/>
  <c r="AA747" i="7"/>
  <c r="W637" i="7"/>
  <c r="X637" i="7" s="1"/>
  <c r="Z637" i="7" s="1"/>
  <c r="AA526" i="8"/>
  <c r="AA416" i="8" l="1"/>
  <c r="S1516" i="6"/>
  <c r="Z199" i="8"/>
  <c r="AC199" i="8"/>
  <c r="E2477" i="6"/>
  <c r="B2478" i="6"/>
  <c r="D2477" i="6"/>
  <c r="D2343" i="6"/>
  <c r="E2343" i="6"/>
  <c r="B2344" i="6"/>
  <c r="B2407" i="6"/>
  <c r="D2406" i="6"/>
  <c r="E2406" i="6"/>
  <c r="C2407" i="6"/>
  <c r="C2275" i="6"/>
  <c r="AA362" i="8"/>
  <c r="D2543" i="6"/>
  <c r="E2543" i="6"/>
  <c r="B2544" i="6"/>
  <c r="AA253" i="12"/>
  <c r="Q1517" i="6"/>
  <c r="S1517" i="6" s="1"/>
  <c r="X140" i="8"/>
  <c r="AC692" i="7"/>
  <c r="Z692" i="7"/>
  <c r="X748" i="7"/>
  <c r="W912" i="7"/>
  <c r="AC1023" i="8"/>
  <c r="Y1023" i="8"/>
  <c r="AA1023" i="8" s="1"/>
  <c r="Y198" i="12"/>
  <c r="AC198" i="12"/>
  <c r="AB582" i="8"/>
  <c r="Q1284" i="6"/>
  <c r="S1284" i="6" s="1"/>
  <c r="AB253" i="12"/>
  <c r="X799" i="7"/>
  <c r="Q1234" i="6"/>
  <c r="S1234" i="6" s="1"/>
  <c r="AB251" i="8"/>
  <c r="AB362" i="8"/>
  <c r="Z471" i="8"/>
  <c r="AC471" i="8"/>
  <c r="Y199" i="8"/>
  <c r="AA199" i="8" s="1"/>
  <c r="AB637" i="8"/>
  <c r="AA911" i="7"/>
  <c r="W526" i="7"/>
  <c r="X526" i="7" s="1"/>
  <c r="Y471" i="8"/>
  <c r="AA471" i="8" s="1"/>
  <c r="Y473" i="7"/>
  <c r="AC473" i="7"/>
  <c r="AB752" i="8"/>
  <c r="X527" i="8"/>
  <c r="AB416" i="8"/>
  <c r="Z473" i="7"/>
  <c r="AB697" i="8"/>
  <c r="AC196" i="7"/>
  <c r="Y196" i="7"/>
  <c r="W912" i="8"/>
  <c r="X912" i="8" s="1"/>
  <c r="Z912" i="8"/>
  <c r="Y692" i="7"/>
  <c r="AA692" i="7" s="1"/>
  <c r="Z196" i="7"/>
  <c r="R1098" i="6"/>
  <c r="Q1135" i="6"/>
  <c r="S1135" i="6" s="1"/>
  <c r="W861" i="7"/>
  <c r="X861" i="7" s="1"/>
  <c r="Z861" i="7" s="1"/>
  <c r="X583" i="7"/>
  <c r="Z198" i="12"/>
  <c r="R1384" i="6"/>
  <c r="X967" i="8"/>
  <c r="AC307" i="7"/>
  <c r="Y307" i="7"/>
  <c r="AA307" i="7" s="1"/>
  <c r="AB1077" i="8"/>
  <c r="Q1183" i="6"/>
  <c r="S1183" i="6" s="1"/>
  <c r="W308" i="8"/>
  <c r="X308" i="8" s="1"/>
  <c r="Y253" i="7"/>
  <c r="AA253" i="7" s="1"/>
  <c r="AC253" i="7"/>
  <c r="W416" i="7"/>
  <c r="X416" i="7" s="1"/>
  <c r="Z416" i="7" s="1"/>
  <c r="AC851" i="8"/>
  <c r="Y851" i="8"/>
  <c r="Z851" i="8"/>
  <c r="AB851" i="8" s="1"/>
  <c r="Y304" i="12"/>
  <c r="AA304" i="12" s="1"/>
  <c r="AC304" i="12"/>
  <c r="Q1464" i="6"/>
  <c r="S1464" i="6" s="1"/>
  <c r="AC797" i="8"/>
  <c r="Y797" i="8"/>
  <c r="AA797" i="8" s="1"/>
  <c r="Y637" i="7"/>
  <c r="AA637" i="7" s="1"/>
  <c r="AC637" i="7"/>
  <c r="AC363" i="7"/>
  <c r="Y363" i="7"/>
  <c r="AA363" i="7" s="1"/>
  <c r="Y142" i="12"/>
  <c r="AA142" i="12" s="1"/>
  <c r="AC142" i="12"/>
  <c r="X143" i="7"/>
  <c r="AB363" i="7" l="1"/>
  <c r="AA198" i="12"/>
  <c r="E2407" i="6"/>
  <c r="B2408" i="6"/>
  <c r="D2407" i="6"/>
  <c r="C2408" i="6" s="1"/>
  <c r="AB307" i="7"/>
  <c r="AB473" i="7"/>
  <c r="W474" i="7" s="1"/>
  <c r="AB253" i="7"/>
  <c r="W254" i="7" s="1"/>
  <c r="X254" i="7" s="1"/>
  <c r="Y254" i="7" s="1"/>
  <c r="AA196" i="7"/>
  <c r="C2344" i="6"/>
  <c r="C2478" i="6"/>
  <c r="E2275" i="6"/>
  <c r="B2276" i="6"/>
  <c r="D2275" i="6"/>
  <c r="C2276" i="6" s="1"/>
  <c r="AB1023" i="8"/>
  <c r="W1024" i="8" s="1"/>
  <c r="X1024" i="8" s="1"/>
  <c r="C2544" i="6"/>
  <c r="W364" i="7"/>
  <c r="X364" i="7"/>
  <c r="Y364" i="7" s="1"/>
  <c r="R1234" i="6"/>
  <c r="AC912" i="8"/>
  <c r="Y912" i="8"/>
  <c r="AA912" i="8" s="1"/>
  <c r="AC799" i="7"/>
  <c r="Z799" i="7"/>
  <c r="AC308" i="8"/>
  <c r="Y308" i="8"/>
  <c r="W308" i="7"/>
  <c r="AB199" i="8"/>
  <c r="AB471" i="8"/>
  <c r="W254" i="12"/>
  <c r="X254" i="12" s="1"/>
  <c r="Z254" i="12"/>
  <c r="R1464" i="6"/>
  <c r="W1078" i="8"/>
  <c r="X1078" i="8" s="1"/>
  <c r="Z1078" i="8" s="1"/>
  <c r="W363" i="8"/>
  <c r="X363" i="8" s="1"/>
  <c r="Z140" i="8"/>
  <c r="AC140" i="8"/>
  <c r="AC416" i="7"/>
  <c r="Y416" i="7"/>
  <c r="AA416" i="7" s="1"/>
  <c r="Y526" i="7"/>
  <c r="AC526" i="7"/>
  <c r="Y140" i="8"/>
  <c r="AA140" i="8" s="1"/>
  <c r="Z583" i="7"/>
  <c r="AC583" i="7"/>
  <c r="Z526" i="7"/>
  <c r="AB526" i="7" s="1"/>
  <c r="Y583" i="7"/>
  <c r="AA583" i="7" s="1"/>
  <c r="X912" i="7"/>
  <c r="R1517" i="6"/>
  <c r="AC861" i="7"/>
  <c r="Y861" i="7"/>
  <c r="AA861" i="7" s="1"/>
  <c r="W638" i="8"/>
  <c r="X638" i="8" s="1"/>
  <c r="Z638" i="8" s="1"/>
  <c r="Y799" i="7"/>
  <c r="Z308" i="8"/>
  <c r="AB637" i="7"/>
  <c r="R1183" i="6"/>
  <c r="W698" i="8"/>
  <c r="X698" i="8" s="1"/>
  <c r="AB142" i="12"/>
  <c r="X308" i="7"/>
  <c r="Y308" i="7" s="1"/>
  <c r="R1135" i="6"/>
  <c r="W417" i="8"/>
  <c r="X417" i="8" s="1"/>
  <c r="AC527" i="8"/>
  <c r="Z527" i="8"/>
  <c r="W852" i="8"/>
  <c r="AC748" i="7"/>
  <c r="Z748" i="7"/>
  <c r="W753" i="8"/>
  <c r="X753" i="8" s="1"/>
  <c r="W583" i="8"/>
  <c r="X583" i="8" s="1"/>
  <c r="Z583" i="8" s="1"/>
  <c r="Z143" i="7"/>
  <c r="AC143" i="7"/>
  <c r="AA851" i="8"/>
  <c r="Q1385" i="6"/>
  <c r="S1385" i="6" s="1"/>
  <c r="AB196" i="7"/>
  <c r="AB692" i="7"/>
  <c r="AB304" i="12"/>
  <c r="Z967" i="8"/>
  <c r="AC967" i="8"/>
  <c r="Y527" i="8"/>
  <c r="R1284" i="6"/>
  <c r="Y967" i="8"/>
  <c r="Q1099" i="6"/>
  <c r="S1099" i="6" s="1"/>
  <c r="W252" i="8"/>
  <c r="X252" i="8" s="1"/>
  <c r="Z252" i="8" s="1"/>
  <c r="Y748" i="7"/>
  <c r="Y143" i="7"/>
  <c r="AB198" i="12"/>
  <c r="AA473" i="7"/>
  <c r="AB797" i="8"/>
  <c r="AA527" i="8" l="1"/>
  <c r="AB308" i="8"/>
  <c r="AA799" i="7"/>
  <c r="AC308" i="7"/>
  <c r="E2544" i="6"/>
  <c r="B2545" i="6"/>
  <c r="D2544" i="6"/>
  <c r="C2545" i="6" s="1"/>
  <c r="B2479" i="6"/>
  <c r="E2478" i="6"/>
  <c r="D2478" i="6"/>
  <c r="C2479" i="6" s="1"/>
  <c r="R1099" i="6"/>
  <c r="AB143" i="7"/>
  <c r="AA254" i="7"/>
  <c r="D2276" i="6"/>
  <c r="B2277" i="6"/>
  <c r="E2276" i="6"/>
  <c r="C2277" i="6" s="1"/>
  <c r="B2409" i="6"/>
  <c r="E2408" i="6"/>
  <c r="D2408" i="6"/>
  <c r="C2409" i="6" s="1"/>
  <c r="D2344" i="6"/>
  <c r="B2345" i="6"/>
  <c r="E2344" i="6"/>
  <c r="R1385" i="6"/>
  <c r="Q1386" i="6" s="1"/>
  <c r="B1387" i="6" s="1"/>
  <c r="B16" i="6" s="1"/>
  <c r="Z254" i="7"/>
  <c r="AC254" i="7"/>
  <c r="AA967" i="8"/>
  <c r="AB748" i="7"/>
  <c r="W749" i="7" s="1"/>
  <c r="AB416" i="7"/>
  <c r="W417" i="7" s="1"/>
  <c r="X417" i="7" s="1"/>
  <c r="Y1024" i="8"/>
  <c r="AC1024" i="8"/>
  <c r="Z1024" i="8"/>
  <c r="AB1024" i="8" s="1"/>
  <c r="Q1100" i="6"/>
  <c r="R1100" i="6" s="1"/>
  <c r="X852" i="8"/>
  <c r="W472" i="8"/>
  <c r="X472" i="8" s="1"/>
  <c r="Z472" i="8" s="1"/>
  <c r="AC912" i="7"/>
  <c r="Z912" i="7"/>
  <c r="W200" i="8"/>
  <c r="X200" i="8" s="1"/>
  <c r="Z200" i="8"/>
  <c r="Y753" i="8"/>
  <c r="AC753" i="8"/>
  <c r="Y417" i="8"/>
  <c r="AC417" i="8"/>
  <c r="AB254" i="7"/>
  <c r="Q1136" i="6"/>
  <c r="S1136" i="6" s="1"/>
  <c r="Y912" i="7"/>
  <c r="AA912" i="7" s="1"/>
  <c r="W144" i="7"/>
  <c r="Y583" i="8"/>
  <c r="AA583" i="8" s="1"/>
  <c r="AC583" i="8"/>
  <c r="W798" i="8"/>
  <c r="X798" i="8" s="1"/>
  <c r="Z798" i="8" s="1"/>
  <c r="W143" i="12"/>
  <c r="X143" i="12" s="1"/>
  <c r="Q1285" i="6"/>
  <c r="S1285" i="6" s="1"/>
  <c r="W527" i="7"/>
  <c r="Z308" i="7"/>
  <c r="AB308" i="7" s="1"/>
  <c r="AC363" i="8"/>
  <c r="Y363" i="8"/>
  <c r="AB967" i="8"/>
  <c r="AC698" i="8"/>
  <c r="Y698" i="8"/>
  <c r="AA526" i="7"/>
  <c r="AB527" i="8"/>
  <c r="Z364" i="7"/>
  <c r="AB364" i="7" s="1"/>
  <c r="Z417" i="8"/>
  <c r="W309" i="8"/>
  <c r="Q1235" i="6"/>
  <c r="S1235" i="6" s="1"/>
  <c r="AB912" i="8"/>
  <c r="AC364" i="7"/>
  <c r="Y638" i="8"/>
  <c r="AA638" i="8" s="1"/>
  <c r="AC638" i="8"/>
  <c r="Z753" i="8"/>
  <c r="X474" i="7"/>
  <c r="AB583" i="7"/>
  <c r="Z363" i="8"/>
  <c r="W199" i="12"/>
  <c r="X199" i="12" s="1"/>
  <c r="AA308" i="8"/>
  <c r="AA143" i="7"/>
  <c r="W305" i="12"/>
  <c r="X305" i="12" s="1"/>
  <c r="Z698" i="8"/>
  <c r="Y1078" i="8"/>
  <c r="AA1078" i="8" s="1"/>
  <c r="AC1078" i="8"/>
  <c r="AB799" i="7"/>
  <c r="AA748" i="7"/>
  <c r="W693" i="7"/>
  <c r="X693" i="7" s="1"/>
  <c r="Q1184" i="6"/>
  <c r="S1184" i="6" s="1"/>
  <c r="Q1518" i="6"/>
  <c r="S1518" i="6" s="1"/>
  <c r="AC252" i="8"/>
  <c r="Y252" i="8"/>
  <c r="AA252" i="8" s="1"/>
  <c r="Q1465" i="6"/>
  <c r="S1465" i="6" s="1"/>
  <c r="W197" i="7"/>
  <c r="X197" i="7" s="1"/>
  <c r="W638" i="7"/>
  <c r="X638" i="7" s="1"/>
  <c r="AB861" i="7"/>
  <c r="AB140" i="8"/>
  <c r="Y254" i="12"/>
  <c r="AA254" i="12" s="1"/>
  <c r="AC254" i="12"/>
  <c r="AB753" i="8" l="1"/>
  <c r="C2345" i="6"/>
  <c r="S1100" i="6"/>
  <c r="B25" i="6"/>
  <c r="AA417" i="8"/>
  <c r="AA363" i="8"/>
  <c r="D2345" i="6"/>
  <c r="E2345" i="6"/>
  <c r="B2346" i="6"/>
  <c r="C2346" i="6"/>
  <c r="B2546" i="6"/>
  <c r="E2545" i="6"/>
  <c r="D2545" i="6"/>
  <c r="C2546" i="6" s="1"/>
  <c r="AA308" i="7"/>
  <c r="R1285" i="6"/>
  <c r="Q1286" i="6" s="1"/>
  <c r="R1286" i="6" s="1"/>
  <c r="AB698" i="8"/>
  <c r="W699" i="8" s="1"/>
  <c r="AA364" i="7"/>
  <c r="D2409" i="6"/>
  <c r="E2409" i="6"/>
  <c r="B2410" i="6"/>
  <c r="D2277" i="6"/>
  <c r="B2278" i="6"/>
  <c r="E2277" i="6"/>
  <c r="B2480" i="6"/>
  <c r="E2479" i="6"/>
  <c r="D2479" i="6"/>
  <c r="C2480" i="6" s="1"/>
  <c r="AB912" i="7"/>
  <c r="AB254" i="12"/>
  <c r="W255" i="12" s="1"/>
  <c r="X255" i="12" s="1"/>
  <c r="AC417" i="7"/>
  <c r="Y417" i="7"/>
  <c r="Z417" i="7"/>
  <c r="AB417" i="7" s="1"/>
  <c r="Y305" i="12"/>
  <c r="AC305" i="12"/>
  <c r="X144" i="7"/>
  <c r="W309" i="7"/>
  <c r="AC197" i="7"/>
  <c r="Y197" i="7"/>
  <c r="AA197" i="7" s="1"/>
  <c r="W754" i="8"/>
  <c r="W968" i="8"/>
  <c r="X968" i="8" s="1"/>
  <c r="Z968" i="8"/>
  <c r="R1465" i="6"/>
  <c r="AC200" i="8"/>
  <c r="Y200" i="8"/>
  <c r="AA200" i="8" s="1"/>
  <c r="W365" i="7"/>
  <c r="W913" i="7"/>
  <c r="X913" i="7" s="1"/>
  <c r="AA1024" i="8"/>
  <c r="R1235" i="6"/>
  <c r="Y199" i="12"/>
  <c r="AA199" i="12" s="1"/>
  <c r="AC199" i="12"/>
  <c r="W528" i="8"/>
  <c r="X528" i="8" s="1"/>
  <c r="Z197" i="7"/>
  <c r="AA753" i="8"/>
  <c r="X309" i="8"/>
  <c r="Y309" i="8" s="1"/>
  <c r="AC472" i="8"/>
  <c r="Y472" i="8"/>
  <c r="AA472" i="8" s="1"/>
  <c r="Z199" i="12"/>
  <c r="R1184" i="6"/>
  <c r="W255" i="7"/>
  <c r="X255" i="7" s="1"/>
  <c r="Y693" i="7"/>
  <c r="AC693" i="7"/>
  <c r="W584" i="7"/>
  <c r="X584" i="7" s="1"/>
  <c r="AB252" i="8"/>
  <c r="W141" i="8"/>
  <c r="X141" i="8" s="1"/>
  <c r="Z141" i="8" s="1"/>
  <c r="W862" i="7"/>
  <c r="X862" i="7" s="1"/>
  <c r="Z693" i="7"/>
  <c r="Z852" i="8"/>
  <c r="AC852" i="8"/>
  <c r="AB638" i="8"/>
  <c r="AB1078" i="8"/>
  <c r="X527" i="7"/>
  <c r="AC474" i="7"/>
  <c r="Z474" i="7"/>
  <c r="X749" i="7"/>
  <c r="AA698" i="8"/>
  <c r="AC143" i="12"/>
  <c r="Y143" i="12"/>
  <c r="Y852" i="8"/>
  <c r="AB583" i="8"/>
  <c r="Q1101" i="6"/>
  <c r="S1101" i="6" s="1"/>
  <c r="AC798" i="8"/>
  <c r="Y798" i="8"/>
  <c r="AA798" i="8" s="1"/>
  <c r="Z305" i="12"/>
  <c r="W1025" i="8"/>
  <c r="W913" i="8"/>
  <c r="X913" i="8" s="1"/>
  <c r="Z913" i="8"/>
  <c r="R1136" i="6"/>
  <c r="R1518" i="6"/>
  <c r="AB363" i="8"/>
  <c r="Y638" i="7"/>
  <c r="AC638" i="7"/>
  <c r="Y474" i="7"/>
  <c r="Z638" i="7"/>
  <c r="W800" i="7"/>
  <c r="X800" i="7" s="1"/>
  <c r="Z800" i="7" s="1"/>
  <c r="AB417" i="8"/>
  <c r="Z143" i="12"/>
  <c r="AB852" i="8" l="1"/>
  <c r="X309" i="7"/>
  <c r="C2278" i="6"/>
  <c r="AB143" i="12"/>
  <c r="Z913" i="7"/>
  <c r="AC913" i="7"/>
  <c r="B2279" i="6"/>
  <c r="E2278" i="6"/>
  <c r="D2278" i="6"/>
  <c r="C2279" i="6" s="1"/>
  <c r="D2546" i="6"/>
  <c r="B2547" i="6"/>
  <c r="E2546" i="6"/>
  <c r="C2547" i="6" s="1"/>
  <c r="AA693" i="7"/>
  <c r="AB474" i="7"/>
  <c r="AA305" i="12"/>
  <c r="B2347" i="6"/>
  <c r="D2346" i="6"/>
  <c r="E2346" i="6"/>
  <c r="C2410" i="6"/>
  <c r="S1286" i="6"/>
  <c r="Q1287" i="6" s="1"/>
  <c r="R1287" i="6" s="1"/>
  <c r="AA638" i="7"/>
  <c r="B2481" i="6"/>
  <c r="D2480" i="6"/>
  <c r="E2480" i="6"/>
  <c r="X365" i="7"/>
  <c r="AC365" i="7"/>
  <c r="Z365" i="7"/>
  <c r="Y365" i="7"/>
  <c r="AA365" i="7" s="1"/>
  <c r="AA309" i="8"/>
  <c r="AC309" i="7"/>
  <c r="Z309" i="7"/>
  <c r="Y309" i="7"/>
  <c r="AA309" i="7" s="1"/>
  <c r="AC255" i="12"/>
  <c r="Y255" i="12"/>
  <c r="Z255" i="12"/>
  <c r="AC527" i="7"/>
  <c r="Z527" i="7"/>
  <c r="Y527" i="7"/>
  <c r="AA527" i="7" s="1"/>
  <c r="X1025" i="8"/>
  <c r="W853" i="8"/>
  <c r="X754" i="8"/>
  <c r="W144" i="12"/>
  <c r="W418" i="8"/>
  <c r="X418" i="8" s="1"/>
  <c r="AB693" i="7"/>
  <c r="AB199" i="12"/>
  <c r="AB200" i="8"/>
  <c r="W418" i="7"/>
  <c r="Z144" i="7"/>
  <c r="AC144" i="7"/>
  <c r="Y144" i="7"/>
  <c r="Q1519" i="6"/>
  <c r="S1519" i="6" s="1"/>
  <c r="Q1137" i="6"/>
  <c r="S1137" i="6" s="1"/>
  <c r="W1079" i="8"/>
  <c r="X1079" i="8" s="1"/>
  <c r="Z1079" i="8"/>
  <c r="Y913" i="7"/>
  <c r="AA913" i="7" s="1"/>
  <c r="R1101" i="6"/>
  <c r="AB197" i="7"/>
  <c r="X699" i="8"/>
  <c r="Y699" i="8" s="1"/>
  <c r="Y528" i="8"/>
  <c r="AC528" i="8"/>
  <c r="AA417" i="7"/>
  <c r="W475" i="7"/>
  <c r="AC968" i="8"/>
  <c r="Y968" i="8"/>
  <c r="AA968" i="8" s="1"/>
  <c r="W253" i="8"/>
  <c r="X253" i="8" s="1"/>
  <c r="Z253" i="8" s="1"/>
  <c r="AC584" i="7"/>
  <c r="Y584" i="7"/>
  <c r="Z584" i="7"/>
  <c r="AB584" i="7" s="1"/>
  <c r="AB472" i="8"/>
  <c r="Y913" i="8"/>
  <c r="AA913" i="8" s="1"/>
  <c r="AC913" i="8"/>
  <c r="W584" i="8"/>
  <c r="X584" i="8" s="1"/>
  <c r="AB798" i="8"/>
  <c r="AB305" i="12"/>
  <c r="AC862" i="7"/>
  <c r="Y862" i="7"/>
  <c r="AA862" i="7" s="1"/>
  <c r="Z528" i="8"/>
  <c r="AC141" i="8"/>
  <c r="Y141" i="8"/>
  <c r="AA141" i="8" s="1"/>
  <c r="W364" i="8"/>
  <c r="X364" i="8" s="1"/>
  <c r="Z364" i="8" s="1"/>
  <c r="Q1236" i="6"/>
  <c r="S1236" i="6" s="1"/>
  <c r="AC309" i="8"/>
  <c r="Z309" i="8"/>
  <c r="AB309" i="8" s="1"/>
  <c r="W639" i="8"/>
  <c r="X639" i="8" s="1"/>
  <c r="Z639" i="8" s="1"/>
  <c r="Y255" i="7"/>
  <c r="AC255" i="7"/>
  <c r="AA852" i="8"/>
  <c r="Z255" i="7"/>
  <c r="AB255" i="7" s="1"/>
  <c r="AA143" i="12"/>
  <c r="Q1185" i="6"/>
  <c r="S1185" i="6" s="1"/>
  <c r="Y800" i="7"/>
  <c r="AA800" i="7" s="1"/>
  <c r="AC800" i="7"/>
  <c r="AB638" i="7"/>
  <c r="AC749" i="7"/>
  <c r="Z749" i="7"/>
  <c r="AA474" i="7"/>
  <c r="Y749" i="7"/>
  <c r="Z862" i="7"/>
  <c r="Q1466" i="6"/>
  <c r="S1466" i="6" s="1"/>
  <c r="AA144" i="7" l="1"/>
  <c r="C2481" i="6"/>
  <c r="E2481" i="6"/>
  <c r="B2482" i="6"/>
  <c r="D2481" i="6"/>
  <c r="C2347" i="6"/>
  <c r="AA528" i="8"/>
  <c r="B2548" i="6"/>
  <c r="E2547" i="6"/>
  <c r="D2547" i="6"/>
  <c r="B2411" i="6"/>
  <c r="D2410" i="6"/>
  <c r="E2410" i="6"/>
  <c r="AB968" i="8"/>
  <c r="W969" i="8" s="1"/>
  <c r="X969" i="8" s="1"/>
  <c r="S1287" i="6"/>
  <c r="Q1288" i="6" s="1"/>
  <c r="S1288" i="6" s="1"/>
  <c r="AA255" i="12"/>
  <c r="D2279" i="6"/>
  <c r="B2280" i="6"/>
  <c r="E2279" i="6"/>
  <c r="AB749" i="7"/>
  <c r="W750" i="7"/>
  <c r="W200" i="12"/>
  <c r="X200" i="12" s="1"/>
  <c r="Z200" i="12" s="1"/>
  <c r="X418" i="7"/>
  <c r="W694" i="7"/>
  <c r="X694" i="7" s="1"/>
  <c r="Z694" i="7" s="1"/>
  <c r="W473" i="8"/>
  <c r="X473" i="8" s="1"/>
  <c r="R1137" i="6"/>
  <c r="AB365" i="7"/>
  <c r="AC418" i="8"/>
  <c r="Y418" i="8"/>
  <c r="W585" i="7"/>
  <c r="X144" i="12"/>
  <c r="W198" i="7"/>
  <c r="X198" i="7" s="1"/>
  <c r="Z198" i="7" s="1"/>
  <c r="AB309" i="7"/>
  <c r="W256" i="7"/>
  <c r="AB144" i="7"/>
  <c r="Y584" i="8"/>
  <c r="AC584" i="8"/>
  <c r="W201" i="8"/>
  <c r="X201" i="8" s="1"/>
  <c r="Z201" i="8"/>
  <c r="AC1079" i="8"/>
  <c r="Y1079" i="8"/>
  <c r="AA1079" i="8" s="1"/>
  <c r="W639" i="7"/>
  <c r="X639" i="7" s="1"/>
  <c r="AC364" i="8"/>
  <c r="Y364" i="8"/>
  <c r="AA364" i="8" s="1"/>
  <c r="AC699" i="8"/>
  <c r="Z699" i="8"/>
  <c r="AB699" i="8" s="1"/>
  <c r="R1519" i="6"/>
  <c r="AC754" i="8"/>
  <c r="Z754" i="8"/>
  <c r="Y253" i="8"/>
  <c r="AA253" i="8" s="1"/>
  <c r="AC253" i="8"/>
  <c r="Y754" i="8"/>
  <c r="AA754" i="8" s="1"/>
  <c r="AB141" i="8"/>
  <c r="AB528" i="8"/>
  <c r="AB913" i="8"/>
  <c r="R1466" i="6"/>
  <c r="AB862" i="7"/>
  <c r="W306" i="12"/>
  <c r="X306" i="12" s="1"/>
  <c r="Z306" i="12" s="1"/>
  <c r="AB1079" i="8"/>
  <c r="R1236" i="6"/>
  <c r="AC1025" i="8"/>
  <c r="Z1025" i="8"/>
  <c r="R1185" i="6"/>
  <c r="Z418" i="8"/>
  <c r="Y1025" i="8"/>
  <c r="AA584" i="7"/>
  <c r="AB527" i="7"/>
  <c r="X853" i="8"/>
  <c r="Q1102" i="6"/>
  <c r="S1102" i="6" s="1"/>
  <c r="AA255" i="7"/>
  <c r="AB253" i="8"/>
  <c r="AC639" i="8"/>
  <c r="Y639" i="8"/>
  <c r="AA639" i="8" s="1"/>
  <c r="AA749" i="7"/>
  <c r="W310" i="8"/>
  <c r="X310" i="8" s="1"/>
  <c r="AC310" i="8" s="1"/>
  <c r="W799" i="8"/>
  <c r="X799" i="8" s="1"/>
  <c r="Z799" i="8" s="1"/>
  <c r="X475" i="7"/>
  <c r="Z584" i="8"/>
  <c r="AB584" i="8" s="1"/>
  <c r="AB255" i="12"/>
  <c r="AB800" i="7"/>
  <c r="AB913" i="7"/>
  <c r="AA418" i="8" l="1"/>
  <c r="AA699" i="8"/>
  <c r="Y969" i="8"/>
  <c r="AC969" i="8"/>
  <c r="C2411" i="6"/>
  <c r="C2548" i="6"/>
  <c r="E2347" i="6"/>
  <c r="B2348" i="6"/>
  <c r="D2347" i="6"/>
  <c r="C2348" i="6" s="1"/>
  <c r="AB1025" i="8"/>
  <c r="C2482" i="6"/>
  <c r="AB639" i="8"/>
  <c r="W640" i="8" s="1"/>
  <c r="X640" i="8" s="1"/>
  <c r="AB364" i="8"/>
  <c r="C2280" i="6"/>
  <c r="R1288" i="6"/>
  <c r="W310" i="7"/>
  <c r="X310" i="7" s="1"/>
  <c r="Z310" i="7"/>
  <c r="W700" i="8"/>
  <c r="X700" i="8" s="1"/>
  <c r="AC144" i="12"/>
  <c r="Z144" i="12"/>
  <c r="W366" i="7"/>
  <c r="X366" i="7" s="1"/>
  <c r="Z366" i="7" s="1"/>
  <c r="Z853" i="8"/>
  <c r="AC853" i="8"/>
  <c r="W142" i="8"/>
  <c r="X142" i="8" s="1"/>
  <c r="Z142" i="8" s="1"/>
  <c r="Y639" i="7"/>
  <c r="AC639" i="7"/>
  <c r="W528" i="7"/>
  <c r="X528" i="7" s="1"/>
  <c r="Z528" i="7"/>
  <c r="Z639" i="7"/>
  <c r="W914" i="7"/>
  <c r="X914" i="7" s="1"/>
  <c r="Z914" i="7"/>
  <c r="Y799" i="8"/>
  <c r="AA799" i="8" s="1"/>
  <c r="AC799" i="8"/>
  <c r="W256" i="12"/>
  <c r="X256" i="12" s="1"/>
  <c r="Z256" i="12" s="1"/>
  <c r="X585" i="7"/>
  <c r="AB754" i="8"/>
  <c r="Z969" i="8"/>
  <c r="AB969" i="8" s="1"/>
  <c r="AA1025" i="8"/>
  <c r="AC473" i="8"/>
  <c r="Y473" i="8"/>
  <c r="AC475" i="7"/>
  <c r="Z475" i="7"/>
  <c r="Q1467" i="6"/>
  <c r="S1467" i="6" s="1"/>
  <c r="Y475" i="7"/>
  <c r="X256" i="7"/>
  <c r="Q1186" i="6"/>
  <c r="S1186" i="6" s="1"/>
  <c r="Z418" i="7"/>
  <c r="AC418" i="7"/>
  <c r="AC198" i="7"/>
  <c r="Y198" i="7"/>
  <c r="AA198" i="7" s="1"/>
  <c r="Y418" i="7"/>
  <c r="R1102" i="6"/>
  <c r="W529" i="8"/>
  <c r="X529" i="8" s="1"/>
  <c r="AC200" i="12"/>
  <c r="Y200" i="12"/>
  <c r="AA200" i="12" s="1"/>
  <c r="Y310" i="8"/>
  <c r="Q1237" i="6"/>
  <c r="S1237" i="6" s="1"/>
  <c r="W1080" i="8"/>
  <c r="X1080" i="8" s="1"/>
  <c r="W801" i="7"/>
  <c r="X801" i="7" s="1"/>
  <c r="Z801" i="7"/>
  <c r="Z310" i="8"/>
  <c r="AB310" i="8" s="1"/>
  <c r="Y201" i="8"/>
  <c r="AA201" i="8" s="1"/>
  <c r="AC201" i="8"/>
  <c r="X750" i="7"/>
  <c r="W585" i="8"/>
  <c r="AB418" i="8"/>
  <c r="W863" i="7"/>
  <c r="X863" i="7" s="1"/>
  <c r="Z863" i="7"/>
  <c r="AA584" i="8"/>
  <c r="Z473" i="8"/>
  <c r="W254" i="8"/>
  <c r="X254" i="8" s="1"/>
  <c r="Z254" i="8" s="1"/>
  <c r="Y694" i="7"/>
  <c r="AA694" i="7" s="1"/>
  <c r="AC694" i="7"/>
  <c r="W1026" i="8"/>
  <c r="Q1520" i="6"/>
  <c r="S1520" i="6" s="1"/>
  <c r="W914" i="8"/>
  <c r="X914" i="8" s="1"/>
  <c r="W365" i="8"/>
  <c r="X365" i="8" s="1"/>
  <c r="Z365" i="8" s="1"/>
  <c r="Y144" i="12"/>
  <c r="AA144" i="12" s="1"/>
  <c r="Y853" i="8"/>
  <c r="Q1138" i="6"/>
  <c r="S1138" i="6" s="1"/>
  <c r="AC306" i="12"/>
  <c r="Y306" i="12"/>
  <c r="AA306" i="12" s="1"/>
  <c r="W145" i="7"/>
  <c r="X145" i="7" s="1"/>
  <c r="AB473" i="8" l="1"/>
  <c r="W474" i="8" s="1"/>
  <c r="AA418" i="7"/>
  <c r="Z640" i="8"/>
  <c r="AC640" i="8"/>
  <c r="AB853" i="8"/>
  <c r="AB694" i="7"/>
  <c r="AB475" i="7"/>
  <c r="W476" i="7" s="1"/>
  <c r="B2549" i="6"/>
  <c r="D2548" i="6"/>
  <c r="E2548" i="6"/>
  <c r="D2411" i="6"/>
  <c r="E2411" i="6"/>
  <c r="B2412" i="6"/>
  <c r="AB200" i="12"/>
  <c r="W201" i="12" s="1"/>
  <c r="X201" i="12" s="1"/>
  <c r="D2280" i="6"/>
  <c r="B2281" i="6"/>
  <c r="E2280" i="6"/>
  <c r="E2482" i="6"/>
  <c r="D2482" i="6"/>
  <c r="B2483" i="6"/>
  <c r="E2348" i="6"/>
  <c r="D2348" i="6"/>
  <c r="B2349" i="6"/>
  <c r="AB639" i="7"/>
  <c r="Z700" i="8"/>
  <c r="AC700" i="8"/>
  <c r="Y700" i="8"/>
  <c r="AA700" i="8" s="1"/>
  <c r="AB640" i="8"/>
  <c r="Y1080" i="8"/>
  <c r="AC1080" i="8"/>
  <c r="Z1080" i="8"/>
  <c r="AC365" i="8"/>
  <c r="Y254" i="8"/>
  <c r="AA254" i="8" s="1"/>
  <c r="W311" i="8"/>
  <c r="R1467" i="6"/>
  <c r="Y640" i="8"/>
  <c r="AA640" i="8" s="1"/>
  <c r="Y529" i="8"/>
  <c r="AC529" i="8"/>
  <c r="W854" i="8"/>
  <c r="W419" i="8"/>
  <c r="X419" i="8" s="1"/>
  <c r="Z529" i="8"/>
  <c r="AC254" i="8"/>
  <c r="Q1103" i="6"/>
  <c r="S1103" i="6" s="1"/>
  <c r="R1138" i="6"/>
  <c r="AB799" i="8"/>
  <c r="AC145" i="7"/>
  <c r="Y145" i="7"/>
  <c r="W695" i="7"/>
  <c r="X695" i="7" s="1"/>
  <c r="X585" i="8"/>
  <c r="AC863" i="7"/>
  <c r="Y863" i="7"/>
  <c r="AA863" i="7" s="1"/>
  <c r="AC801" i="7"/>
  <c r="Y801" i="7"/>
  <c r="AA801" i="7" s="1"/>
  <c r="AC914" i="8"/>
  <c r="Y914" i="8"/>
  <c r="AA914" i="8" s="1"/>
  <c r="AA473" i="8"/>
  <c r="AB144" i="12"/>
  <c r="AC750" i="7"/>
  <c r="Z750" i="7"/>
  <c r="AC914" i="7"/>
  <c r="Y914" i="7"/>
  <c r="AA914" i="7" s="1"/>
  <c r="AB198" i="7"/>
  <c r="Y750" i="7"/>
  <c r="AA750" i="7" s="1"/>
  <c r="W970" i="8"/>
  <c r="AC528" i="7"/>
  <c r="Y528" i="7"/>
  <c r="AA528" i="7" s="1"/>
  <c r="AB306" i="12"/>
  <c r="AA310" i="8"/>
  <c r="Z256" i="7"/>
  <c r="AC256" i="7"/>
  <c r="Z585" i="7"/>
  <c r="AC585" i="7"/>
  <c r="AC142" i="8"/>
  <c r="Y142" i="8"/>
  <c r="AA142" i="8" s="1"/>
  <c r="Y365" i="8"/>
  <c r="AA365" i="8" s="1"/>
  <c r="Y310" i="7"/>
  <c r="AA310" i="7" s="1"/>
  <c r="AC310" i="7"/>
  <c r="AC256" i="12"/>
  <c r="Y256" i="12"/>
  <c r="AA256" i="12" s="1"/>
  <c r="Q1289" i="6"/>
  <c r="S1289" i="6" s="1"/>
  <c r="Y366" i="7"/>
  <c r="AA366" i="7" s="1"/>
  <c r="AC366" i="7"/>
  <c r="Z914" i="8"/>
  <c r="AB418" i="7"/>
  <c r="R1186" i="6"/>
  <c r="Y256" i="7"/>
  <c r="AA256" i="7" s="1"/>
  <c r="Y585" i="7"/>
  <c r="AA585" i="7" s="1"/>
  <c r="X1026" i="8"/>
  <c r="R1520" i="6"/>
  <c r="R1237" i="6"/>
  <c r="W640" i="7"/>
  <c r="AA969" i="8"/>
  <c r="W755" i="8"/>
  <c r="X755" i="8" s="1"/>
  <c r="Z755" i="8" s="1"/>
  <c r="Z145" i="7"/>
  <c r="AA853" i="8"/>
  <c r="AA475" i="7"/>
  <c r="AB201" i="8"/>
  <c r="AA639" i="7"/>
  <c r="AA145" i="7" l="1"/>
  <c r="C2349" i="6"/>
  <c r="E2349" i="6" s="1"/>
  <c r="B2350" i="6"/>
  <c r="D2349" i="6"/>
  <c r="C2281" i="6"/>
  <c r="AA529" i="8"/>
  <c r="AB1080" i="8"/>
  <c r="AB310" i="7"/>
  <c r="AB254" i="8"/>
  <c r="W255" i="8" s="1"/>
  <c r="X255" i="8" s="1"/>
  <c r="C2412" i="6"/>
  <c r="C2549" i="6"/>
  <c r="AB256" i="12"/>
  <c r="C2483" i="6"/>
  <c r="Z201" i="12"/>
  <c r="AC201" i="12"/>
  <c r="Y201" i="12"/>
  <c r="AA201" i="12" s="1"/>
  <c r="AC695" i="7"/>
  <c r="Y695" i="7"/>
  <c r="Z695" i="7"/>
  <c r="AB695" i="7" s="1"/>
  <c r="R1103" i="6"/>
  <c r="Q1104" i="6" s="1"/>
  <c r="B1105" i="6" s="1"/>
  <c r="AB914" i="7"/>
  <c r="X311" i="8"/>
  <c r="AB863" i="7"/>
  <c r="W419" i="7"/>
  <c r="X419" i="7" s="1"/>
  <c r="W1081" i="8"/>
  <c r="Q1521" i="6"/>
  <c r="S1521" i="6" s="1"/>
  <c r="AB142" i="8"/>
  <c r="AB914" i="8"/>
  <c r="W199" i="7"/>
  <c r="X199" i="7" s="1"/>
  <c r="W641" i="8"/>
  <c r="X641" i="8" s="1"/>
  <c r="AC641" i="8" s="1"/>
  <c r="AB750" i="7"/>
  <c r="Q1468" i="6"/>
  <c r="S1468" i="6" s="1"/>
  <c r="AB256" i="7"/>
  <c r="AC585" i="8"/>
  <c r="Z585" i="8"/>
  <c r="X474" i="8"/>
  <c r="AB528" i="7"/>
  <c r="AA1080" i="8"/>
  <c r="W800" i="8"/>
  <c r="X800" i="8" s="1"/>
  <c r="X640" i="7"/>
  <c r="AB365" i="8"/>
  <c r="AB801" i="7"/>
  <c r="X854" i="8"/>
  <c r="Y854" i="8" s="1"/>
  <c r="W257" i="12"/>
  <c r="X257" i="12" s="1"/>
  <c r="AB145" i="7"/>
  <c r="Y755" i="8"/>
  <c r="AA755" i="8" s="1"/>
  <c r="AC755" i="8"/>
  <c r="Q1187" i="6"/>
  <c r="S1187" i="6" s="1"/>
  <c r="W145" i="12"/>
  <c r="X145" i="12" s="1"/>
  <c r="Z145" i="12" s="1"/>
  <c r="Y585" i="8"/>
  <c r="AA585" i="8" s="1"/>
  <c r="AB529" i="8"/>
  <c r="AB700" i="8"/>
  <c r="AC419" i="8"/>
  <c r="Y419" i="8"/>
  <c r="AA419" i="8" s="1"/>
  <c r="W311" i="7"/>
  <c r="X311" i="7" s="1"/>
  <c r="Q1238" i="6"/>
  <c r="S1238" i="6" s="1"/>
  <c r="Z1026" i="8"/>
  <c r="AC1026" i="8"/>
  <c r="Y1026" i="8"/>
  <c r="AA1026" i="8" s="1"/>
  <c r="Q1139" i="6"/>
  <c r="S1139" i="6" s="1"/>
  <c r="W202" i="8"/>
  <c r="X202" i="8" s="1"/>
  <c r="X476" i="7"/>
  <c r="AB585" i="7"/>
  <c r="R1289" i="6"/>
  <c r="X970" i="8"/>
  <c r="W307" i="12"/>
  <c r="X307" i="12" s="1"/>
  <c r="Z307" i="12" s="1"/>
  <c r="Z419" i="8"/>
  <c r="AB366" i="7"/>
  <c r="C2350" i="6" l="1"/>
  <c r="D2350" i="6" s="1"/>
  <c r="E2281" i="6"/>
  <c r="D2281" i="6"/>
  <c r="B2282" i="6"/>
  <c r="B2413" i="6"/>
  <c r="D2412" i="6"/>
  <c r="E2412" i="6"/>
  <c r="C2413" i="6" s="1"/>
  <c r="D2549" i="6"/>
  <c r="B2550" i="6"/>
  <c r="E2549" i="6"/>
  <c r="E2483" i="6"/>
  <c r="D2483" i="6"/>
  <c r="B2484" i="6"/>
  <c r="C2484" i="6" s="1"/>
  <c r="AC255" i="8"/>
  <c r="Y255" i="8"/>
  <c r="Z255" i="8"/>
  <c r="AB255" i="8" s="1"/>
  <c r="AC311" i="7"/>
  <c r="Y311" i="7"/>
  <c r="Z311" i="7"/>
  <c r="AB311" i="7" s="1"/>
  <c r="Y257" i="12"/>
  <c r="AC257" i="12"/>
  <c r="Z257" i="12"/>
  <c r="W257" i="7"/>
  <c r="X257" i="7" s="1"/>
  <c r="AC311" i="8"/>
  <c r="Z311" i="8"/>
  <c r="W586" i="7"/>
  <c r="X586" i="7" s="1"/>
  <c r="Z586" i="7" s="1"/>
  <c r="Y311" i="8"/>
  <c r="AA311" i="8" s="1"/>
  <c r="Z474" i="8"/>
  <c r="AC474" i="8"/>
  <c r="AB419" i="8"/>
  <c r="W864" i="7"/>
  <c r="X864" i="7" s="1"/>
  <c r="Z864" i="7" s="1"/>
  <c r="R1238" i="6"/>
  <c r="W146" i="7"/>
  <c r="X146" i="7" s="1"/>
  <c r="R1468" i="6"/>
  <c r="Z854" i="8"/>
  <c r="AB854" i="8" s="1"/>
  <c r="AC854" i="8"/>
  <c r="W751" i="7"/>
  <c r="X751" i="7" s="1"/>
  <c r="Z751" i="7" s="1"/>
  <c r="Z476" i="7"/>
  <c r="AC476" i="7"/>
  <c r="Y800" i="8"/>
  <c r="AC800" i="8"/>
  <c r="W915" i="7"/>
  <c r="X915" i="7" s="1"/>
  <c r="W367" i="7"/>
  <c r="X367" i="7" s="1"/>
  <c r="Z367" i="7" s="1"/>
  <c r="W701" i="8"/>
  <c r="X701" i="8" s="1"/>
  <c r="Z701" i="8" s="1"/>
  <c r="AC419" i="7"/>
  <c r="Y419" i="7"/>
  <c r="Y307" i="12"/>
  <c r="AA307" i="12" s="1"/>
  <c r="AC307" i="12"/>
  <c r="W802" i="7"/>
  <c r="X802" i="7" s="1"/>
  <c r="R1139" i="6"/>
  <c r="W915" i="8"/>
  <c r="X915" i="8" s="1"/>
  <c r="Z915" i="8" s="1"/>
  <c r="Z641" i="8"/>
  <c r="Z419" i="7"/>
  <c r="AB755" i="8"/>
  <c r="AC199" i="7"/>
  <c r="Y199" i="7"/>
  <c r="AB201" i="12"/>
  <c r="W696" i="7"/>
  <c r="AC202" i="8"/>
  <c r="Y202" i="8"/>
  <c r="W530" i="8"/>
  <c r="X530" i="8" s="1"/>
  <c r="Z202" i="8"/>
  <c r="AB202" i="8" s="1"/>
  <c r="AC145" i="12"/>
  <c r="Y145" i="12"/>
  <c r="AA145" i="12" s="1"/>
  <c r="AC640" i="7"/>
  <c r="Z640" i="7"/>
  <c r="AB1026" i="8"/>
  <c r="W143" i="8"/>
  <c r="X143" i="8" s="1"/>
  <c r="Z143" i="8" s="1"/>
  <c r="AA695" i="7"/>
  <c r="X1081" i="8"/>
  <c r="R1521" i="6"/>
  <c r="W529" i="7"/>
  <c r="X529" i="7" s="1"/>
  <c r="Y641" i="8"/>
  <c r="D2833" i="6"/>
  <c r="C1813" i="6"/>
  <c r="C1767" i="6"/>
  <c r="C1721" i="6"/>
  <c r="D2701" i="6"/>
  <c r="D2569" i="6"/>
  <c r="D2635" i="6"/>
  <c r="C1859" i="6"/>
  <c r="D2767" i="6"/>
  <c r="Y476" i="7"/>
  <c r="Y474" i="8"/>
  <c r="W366" i="8"/>
  <c r="X366" i="8" s="1"/>
  <c r="Z199" i="7"/>
  <c r="AB585" i="8"/>
  <c r="AC970" i="8"/>
  <c r="Z970" i="8"/>
  <c r="Y970" i="8"/>
  <c r="Q1290" i="6"/>
  <c r="S1290" i="6" s="1"/>
  <c r="R1187" i="6"/>
  <c r="Y640" i="7"/>
  <c r="Z800" i="8"/>
  <c r="AB800" i="8" s="1"/>
  <c r="AB641" i="8" l="1"/>
  <c r="W642" i="8" s="1"/>
  <c r="X642" i="8" s="1"/>
  <c r="AC642" i="8" s="1"/>
  <c r="B2351" i="6"/>
  <c r="AB199" i="7"/>
  <c r="E2350" i="6"/>
  <c r="AB145" i="12"/>
  <c r="E2413" i="6"/>
  <c r="D2413" i="6"/>
  <c r="B2414" i="6"/>
  <c r="C2550" i="6"/>
  <c r="AA640" i="7"/>
  <c r="AA970" i="8"/>
  <c r="AB476" i="7"/>
  <c r="C2351" i="6"/>
  <c r="D2484" i="6"/>
  <c r="E2484" i="6"/>
  <c r="B2485" i="6"/>
  <c r="C2485" i="6" s="1"/>
  <c r="AB474" i="8"/>
  <c r="W475" i="8" s="1"/>
  <c r="R1290" i="6"/>
  <c r="Q1291" i="6" s="1"/>
  <c r="AA641" i="8"/>
  <c r="AA419" i="7"/>
  <c r="AB257" i="12"/>
  <c r="W258" i="12" s="1"/>
  <c r="C2282" i="6"/>
  <c r="B1722" i="6"/>
  <c r="C1722" i="6" s="1"/>
  <c r="Y530" i="8"/>
  <c r="AC530" i="8"/>
  <c r="E2635" i="6"/>
  <c r="B2636" i="6" s="1"/>
  <c r="W200" i="7"/>
  <c r="Y366" i="8"/>
  <c r="AC366" i="8"/>
  <c r="Y257" i="7"/>
  <c r="AC257" i="7"/>
  <c r="AA255" i="8"/>
  <c r="Q1239" i="6"/>
  <c r="S1239" i="6" s="1"/>
  <c r="AC802" i="7"/>
  <c r="Y802" i="7"/>
  <c r="AA474" i="8"/>
  <c r="E2833" i="6"/>
  <c r="B2834" i="6" s="1"/>
  <c r="C2834" i="6"/>
  <c r="AB640" i="7"/>
  <c r="W756" i="8"/>
  <c r="X756" i="8" s="1"/>
  <c r="Z756" i="8" s="1"/>
  <c r="Z802" i="7"/>
  <c r="AC864" i="7"/>
  <c r="Y864" i="7"/>
  <c r="AA864" i="7" s="1"/>
  <c r="AA257" i="12"/>
  <c r="W146" i="12"/>
  <c r="X146" i="12" s="1"/>
  <c r="Y529" i="7"/>
  <c r="AC529" i="7"/>
  <c r="D1859" i="6"/>
  <c r="B1860" i="6" s="1"/>
  <c r="C1860" i="6" s="1"/>
  <c r="Y915" i="8"/>
  <c r="AA915" i="8" s="1"/>
  <c r="AC915" i="8"/>
  <c r="Y586" i="7"/>
  <c r="AA586" i="7" s="1"/>
  <c r="AC586" i="7"/>
  <c r="Y915" i="7"/>
  <c r="AC915" i="7"/>
  <c r="E2767" i="6"/>
  <c r="B2768" i="6" s="1"/>
  <c r="X696" i="7"/>
  <c r="AA199" i="7"/>
  <c r="AA476" i="7"/>
  <c r="D1767" i="6"/>
  <c r="AB419" i="7"/>
  <c r="W312" i="7"/>
  <c r="W477" i="7"/>
  <c r="W203" i="8"/>
  <c r="AB970" i="8"/>
  <c r="E2569" i="6"/>
  <c r="B2570" i="6" s="1"/>
  <c r="Z530" i="8"/>
  <c r="E2701" i="6"/>
  <c r="B2702" i="6" s="1"/>
  <c r="Z529" i="7"/>
  <c r="D1721" i="6"/>
  <c r="Q1522" i="6"/>
  <c r="S1522" i="6" s="1"/>
  <c r="AC1081" i="8"/>
  <c r="Z1081" i="8"/>
  <c r="W855" i="8"/>
  <c r="Y1081" i="8"/>
  <c r="AA1081" i="8" s="1"/>
  <c r="AB311" i="8"/>
  <c r="Z915" i="7"/>
  <c r="Z366" i="8"/>
  <c r="AB366" i="8" s="1"/>
  <c r="AC146" i="7"/>
  <c r="Y146" i="7"/>
  <c r="W202" i="12"/>
  <c r="X202" i="12" s="1"/>
  <c r="Z257" i="7"/>
  <c r="W801" i="8"/>
  <c r="W1027" i="8"/>
  <c r="X1027" i="8" s="1"/>
  <c r="Q1188" i="6"/>
  <c r="S1188" i="6" s="1"/>
  <c r="D1813" i="6"/>
  <c r="AA800" i="8"/>
  <c r="AA311" i="7"/>
  <c r="Y751" i="7"/>
  <c r="AA751" i="7" s="1"/>
  <c r="AC751" i="7"/>
  <c r="AC701" i="8"/>
  <c r="Y701" i="8"/>
  <c r="AA701" i="8" s="1"/>
  <c r="W586" i="8"/>
  <c r="X586" i="8" s="1"/>
  <c r="Z586" i="8" s="1"/>
  <c r="AA202" i="8"/>
  <c r="Y367" i="7"/>
  <c r="AA367" i="7" s="1"/>
  <c r="AC367" i="7"/>
  <c r="Q1469" i="6"/>
  <c r="S1469" i="6" s="1"/>
  <c r="Q1140" i="6"/>
  <c r="S1140" i="6" s="1"/>
  <c r="W256" i="8"/>
  <c r="Z146" i="7"/>
  <c r="Y143" i="8"/>
  <c r="AA143" i="8" s="1"/>
  <c r="AC143" i="8"/>
  <c r="AB307" i="12"/>
  <c r="W420" i="8"/>
  <c r="X420" i="8" s="1"/>
  <c r="Z420" i="8" s="1"/>
  <c r="AA854" i="8"/>
  <c r="Y146" i="12" l="1"/>
  <c r="AC146" i="12"/>
  <c r="AA915" i="7"/>
  <c r="AA802" i="7"/>
  <c r="C2570" i="6"/>
  <c r="D2570" i="6" s="1"/>
  <c r="R1291" i="6"/>
  <c r="S1291" i="6"/>
  <c r="AA530" i="8"/>
  <c r="Z146" i="12"/>
  <c r="B2551" i="6"/>
  <c r="E2550" i="6"/>
  <c r="D2550" i="6"/>
  <c r="C2551" i="6" s="1"/>
  <c r="AB143" i="8"/>
  <c r="AB529" i="7"/>
  <c r="AA257" i="7"/>
  <c r="C2414" i="6"/>
  <c r="B2352" i="6"/>
  <c r="D2351" i="6"/>
  <c r="E2351" i="6"/>
  <c r="E2282" i="6"/>
  <c r="D2282" i="6"/>
  <c r="B2283" i="6"/>
  <c r="E2485" i="6"/>
  <c r="B2486" i="6"/>
  <c r="D2485" i="6"/>
  <c r="C2486" i="6" s="1"/>
  <c r="AB146" i="7"/>
  <c r="W147" i="7" s="1"/>
  <c r="AB701" i="8"/>
  <c r="W702" i="8" s="1"/>
  <c r="X702" i="8" s="1"/>
  <c r="AB586" i="8"/>
  <c r="AA146" i="7"/>
  <c r="W420" i="7"/>
  <c r="X420" i="7" s="1"/>
  <c r="Z420" i="7" s="1"/>
  <c r="X855" i="8"/>
  <c r="C2702" i="6"/>
  <c r="AB530" i="8"/>
  <c r="AB802" i="7"/>
  <c r="R1140" i="6"/>
  <c r="AB864" i="7"/>
  <c r="B1814" i="6"/>
  <c r="C1814" i="6" s="1"/>
  <c r="AB751" i="7"/>
  <c r="B1768" i="6"/>
  <c r="C1768" i="6" s="1"/>
  <c r="AC1027" i="8"/>
  <c r="Y1027" i="8"/>
  <c r="AA1027" i="8" s="1"/>
  <c r="AC420" i="8"/>
  <c r="Y420" i="8"/>
  <c r="AA420" i="8" s="1"/>
  <c r="W312" i="8"/>
  <c r="X312" i="8" s="1"/>
  <c r="X477" i="7"/>
  <c r="R1239" i="6"/>
  <c r="X256" i="8"/>
  <c r="W308" i="12"/>
  <c r="X308" i="12" s="1"/>
  <c r="Y756" i="8"/>
  <c r="AA756" i="8" s="1"/>
  <c r="AC756" i="8"/>
  <c r="W971" i="8"/>
  <c r="X971" i="8" s="1"/>
  <c r="Z1027" i="8"/>
  <c r="D1860" i="6"/>
  <c r="B1861" i="6" s="1"/>
  <c r="C1861" i="6" s="1"/>
  <c r="X475" i="8"/>
  <c r="AA529" i="7"/>
  <c r="W530" i="7"/>
  <c r="W144" i="8"/>
  <c r="X144" i="8" s="1"/>
  <c r="X258" i="12"/>
  <c r="Y258" i="12" s="1"/>
  <c r="W367" i="8"/>
  <c r="AB915" i="7"/>
  <c r="R1188" i="6"/>
  <c r="X200" i="7"/>
  <c r="R1469" i="6"/>
  <c r="E2834" i="6"/>
  <c r="D2834" i="6"/>
  <c r="X312" i="7"/>
  <c r="AB367" i="7"/>
  <c r="AC696" i="7"/>
  <c r="Z696" i="7"/>
  <c r="X203" i="8"/>
  <c r="Y203" i="8" s="1"/>
  <c r="R1522" i="6"/>
  <c r="Y696" i="7"/>
  <c r="AA696" i="7" s="1"/>
  <c r="Z642" i="8"/>
  <c r="AB257" i="7"/>
  <c r="D1722" i="6"/>
  <c r="B1723" i="6" s="1"/>
  <c r="C1723" i="6" s="1"/>
  <c r="AB586" i="7"/>
  <c r="W641" i="7"/>
  <c r="X641" i="7" s="1"/>
  <c r="Z641" i="7" s="1"/>
  <c r="Y586" i="8"/>
  <c r="AA586" i="8" s="1"/>
  <c r="AC586" i="8"/>
  <c r="AC202" i="12"/>
  <c r="Y202" i="12"/>
  <c r="C2768" i="6"/>
  <c r="C2636" i="6"/>
  <c r="AB1081" i="8"/>
  <c r="Y642" i="8"/>
  <c r="AA366" i="8"/>
  <c r="X801" i="8"/>
  <c r="Y801" i="8" s="1"/>
  <c r="Z202" i="12"/>
  <c r="AB915" i="8"/>
  <c r="E2570" i="6" l="1"/>
  <c r="B2571" i="6" s="1"/>
  <c r="C2571" i="6" s="1"/>
  <c r="AA146" i="12"/>
  <c r="AB146" i="12"/>
  <c r="W147" i="12" s="1"/>
  <c r="X147" i="12" s="1"/>
  <c r="Z147" i="12" s="1"/>
  <c r="AA202" i="12"/>
  <c r="Q1292" i="6"/>
  <c r="B1293" i="6" s="1"/>
  <c r="C2283" i="6"/>
  <c r="D2283" i="6" s="1"/>
  <c r="Y702" i="8"/>
  <c r="AC702" i="8"/>
  <c r="E2551" i="6"/>
  <c r="B2552" i="6"/>
  <c r="D2551" i="6"/>
  <c r="C2552" i="6" s="1"/>
  <c r="B2835" i="6"/>
  <c r="C2835" i="6" s="1"/>
  <c r="C2352" i="6"/>
  <c r="D2486" i="6"/>
  <c r="E2486" i="6"/>
  <c r="B2487" i="6"/>
  <c r="C2487" i="6" s="1"/>
  <c r="AB756" i="8"/>
  <c r="W757" i="8" s="1"/>
  <c r="X757" i="8" s="1"/>
  <c r="AC757" i="8" s="1"/>
  <c r="AA642" i="8"/>
  <c r="B2415" i="6"/>
  <c r="E2414" i="6"/>
  <c r="D2414" i="6"/>
  <c r="C2415" i="6"/>
  <c r="AB202" i="12"/>
  <c r="E2835" i="6"/>
  <c r="D2835" i="6"/>
  <c r="B2836" i="6"/>
  <c r="B1724" i="6"/>
  <c r="C1724" i="6" s="1"/>
  <c r="AC144" i="8"/>
  <c r="Y144" i="8"/>
  <c r="Z144" i="8"/>
  <c r="W587" i="7"/>
  <c r="X587" i="7" s="1"/>
  <c r="Z587" i="7" s="1"/>
  <c r="AC855" i="8"/>
  <c r="Z855" i="8"/>
  <c r="X367" i="8"/>
  <c r="Z477" i="7"/>
  <c r="AC477" i="7"/>
  <c r="Y477" i="7"/>
  <c r="AA477" i="7" s="1"/>
  <c r="W587" i="8"/>
  <c r="E2636" i="6"/>
  <c r="D2636" i="6"/>
  <c r="W752" i="7"/>
  <c r="X752" i="7" s="1"/>
  <c r="Z752" i="7"/>
  <c r="AC308" i="12"/>
  <c r="Y308" i="12"/>
  <c r="Z308" i="12"/>
  <c r="Z702" i="8"/>
  <c r="AC256" i="8"/>
  <c r="Z256" i="8"/>
  <c r="D1814" i="6"/>
  <c r="X530" i="7"/>
  <c r="Y530" i="7" s="1"/>
  <c r="Y256" i="8"/>
  <c r="AC475" i="8"/>
  <c r="Z475" i="8"/>
  <c r="E2702" i="6"/>
  <c r="D2702" i="6"/>
  <c r="AC258" i="12"/>
  <c r="Z258" i="12"/>
  <c r="AB258" i="12" s="1"/>
  <c r="Y855" i="8"/>
  <c r="W258" i="7"/>
  <c r="X258" i="7" s="1"/>
  <c r="Z258" i="7" s="1"/>
  <c r="Y420" i="7"/>
  <c r="AA420" i="7" s="1"/>
  <c r="AC420" i="7"/>
  <c r="W1082" i="8"/>
  <c r="X1082" i="8" s="1"/>
  <c r="W865" i="7"/>
  <c r="X865" i="7" s="1"/>
  <c r="Z865" i="7" s="1"/>
  <c r="AC971" i="8"/>
  <c r="Y971" i="8"/>
  <c r="Q1141" i="6"/>
  <c r="S1141" i="6" s="1"/>
  <c r="Z200" i="7"/>
  <c r="AC200" i="7"/>
  <c r="Z971" i="8"/>
  <c r="Y200" i="7"/>
  <c r="E2768" i="6"/>
  <c r="D2768" i="6"/>
  <c r="B2769" i="6"/>
  <c r="C2769" i="6" s="1"/>
  <c r="D1768" i="6"/>
  <c r="W203" i="12"/>
  <c r="X203" i="12" s="1"/>
  <c r="AB696" i="7"/>
  <c r="W531" i="8"/>
  <c r="X531" i="8" s="1"/>
  <c r="Z531" i="8" s="1"/>
  <c r="W916" i="7"/>
  <c r="X916" i="7" s="1"/>
  <c r="Z916" i="7" s="1"/>
  <c r="Z312" i="7"/>
  <c r="AC312" i="7"/>
  <c r="Y312" i="7"/>
  <c r="AA312" i="7" s="1"/>
  <c r="Y475" i="8"/>
  <c r="D1723" i="6"/>
  <c r="AB1027" i="8"/>
  <c r="Q1240" i="6"/>
  <c r="S1240" i="6" s="1"/>
  <c r="AB642" i="8"/>
  <c r="Q1470" i="6"/>
  <c r="S1470" i="6" s="1"/>
  <c r="X147" i="7"/>
  <c r="Q1523" i="6"/>
  <c r="S1523" i="6" s="1"/>
  <c r="Y312" i="8"/>
  <c r="AC312" i="8"/>
  <c r="Z203" i="8"/>
  <c r="AB203" i="8" s="1"/>
  <c r="AC203" i="8"/>
  <c r="Z312" i="8"/>
  <c r="W916" i="8"/>
  <c r="X916" i="8" s="1"/>
  <c r="Z916" i="8" s="1"/>
  <c r="W803" i="7"/>
  <c r="X803" i="7" s="1"/>
  <c r="Z803" i="7" s="1"/>
  <c r="Q1189" i="6"/>
  <c r="S1189" i="6" s="1"/>
  <c r="W368" i="7"/>
  <c r="X368" i="7" s="1"/>
  <c r="Z368" i="7"/>
  <c r="X587" i="8"/>
  <c r="AC587" i="8" s="1"/>
  <c r="AC801" i="8"/>
  <c r="Z801" i="8"/>
  <c r="AB801" i="8" s="1"/>
  <c r="Y641" i="7"/>
  <c r="AA641" i="7" s="1"/>
  <c r="AC641" i="7"/>
  <c r="D1861" i="6"/>
  <c r="AB420" i="8"/>
  <c r="Y203" i="12" l="1"/>
  <c r="AC203" i="12"/>
  <c r="B2637" i="6"/>
  <c r="AA801" i="8"/>
  <c r="AA475" i="8"/>
  <c r="AB312" i="8"/>
  <c r="B2284" i="6"/>
  <c r="E24" i="6"/>
  <c r="E15" i="6"/>
  <c r="E2283" i="6"/>
  <c r="C2284" i="6" s="1"/>
  <c r="AB702" i="8"/>
  <c r="AB420" i="7"/>
  <c r="AB308" i="12"/>
  <c r="W309" i="12" s="1"/>
  <c r="AB144" i="8"/>
  <c r="W145" i="8" s="1"/>
  <c r="D2571" i="6"/>
  <c r="C2572" i="6" s="1"/>
  <c r="E2571" i="6"/>
  <c r="B2572" i="6" s="1"/>
  <c r="C2836" i="6"/>
  <c r="E2836" i="6" s="1"/>
  <c r="Z757" i="8"/>
  <c r="AA855" i="8"/>
  <c r="AB641" i="7"/>
  <c r="D2487" i="6"/>
  <c r="E2487" i="6"/>
  <c r="B2488" i="6"/>
  <c r="B2416" i="6"/>
  <c r="D2415" i="6"/>
  <c r="E2415" i="6"/>
  <c r="AA200" i="7"/>
  <c r="C2637" i="6"/>
  <c r="D2637" i="6" s="1"/>
  <c r="AB971" i="8"/>
  <c r="W972" i="8" s="1"/>
  <c r="AB256" i="8"/>
  <c r="E2352" i="6"/>
  <c r="D2352" i="6"/>
  <c r="B2353" i="6"/>
  <c r="E2552" i="6"/>
  <c r="B2553" i="6"/>
  <c r="D2552" i="6"/>
  <c r="E2769" i="6"/>
  <c r="D2769" i="6"/>
  <c r="B2770" i="6"/>
  <c r="C2770" i="6" s="1"/>
  <c r="AC916" i="7"/>
  <c r="Y916" i="7"/>
  <c r="AA916" i="7" s="1"/>
  <c r="Y587" i="8"/>
  <c r="W313" i="8"/>
  <c r="W257" i="8"/>
  <c r="W703" i="8"/>
  <c r="D1724" i="6"/>
  <c r="B1725" i="6" s="1"/>
  <c r="C1725" i="6" s="1"/>
  <c r="AB200" i="7"/>
  <c r="R1141" i="6"/>
  <c r="B2703" i="6"/>
  <c r="C2703" i="6" s="1"/>
  <c r="AA702" i="8"/>
  <c r="R1189" i="6"/>
  <c r="Y752" i="7"/>
  <c r="AA752" i="7" s="1"/>
  <c r="AC752" i="7"/>
  <c r="W642" i="7"/>
  <c r="X642" i="7" s="1"/>
  <c r="AC642" i="7" s="1"/>
  <c r="W697" i="7"/>
  <c r="X697" i="7" s="1"/>
  <c r="Z697" i="7" s="1"/>
  <c r="Y757" i="8"/>
  <c r="AA757" i="8" s="1"/>
  <c r="Z530" i="7"/>
  <c r="AB530" i="7" s="1"/>
  <c r="AC530" i="7"/>
  <c r="B1815" i="6"/>
  <c r="C1815" i="6" s="1"/>
  <c r="W259" i="12"/>
  <c r="AA312" i="8"/>
  <c r="Y147" i="12"/>
  <c r="AA147" i="12" s="1"/>
  <c r="AC147" i="12"/>
  <c r="Z147" i="7"/>
  <c r="AC147" i="7"/>
  <c r="AA971" i="8"/>
  <c r="R1470" i="6"/>
  <c r="Z203" i="12"/>
  <c r="Y865" i="7"/>
  <c r="AA865" i="7" s="1"/>
  <c r="AC865" i="7"/>
  <c r="AB475" i="8"/>
  <c r="Z367" i="8"/>
  <c r="AC367" i="8"/>
  <c r="W643" i="8"/>
  <c r="X643" i="8" s="1"/>
  <c r="Z643" i="8"/>
  <c r="W421" i="7"/>
  <c r="X421" i="7" s="1"/>
  <c r="AA144" i="8"/>
  <c r="W1028" i="8"/>
  <c r="X1028" i="8" s="1"/>
  <c r="AC368" i="7"/>
  <c r="Y368" i="7"/>
  <c r="AA368" i="7" s="1"/>
  <c r="AA308" i="12"/>
  <c r="AA203" i="8"/>
  <c r="W421" i="8"/>
  <c r="X421" i="8" s="1"/>
  <c r="R1523" i="6"/>
  <c r="B1862" i="6"/>
  <c r="C1862" i="6" s="1"/>
  <c r="W802" i="8"/>
  <c r="X802" i="8" s="1"/>
  <c r="Y802" i="8" s="1"/>
  <c r="Y1082" i="8"/>
  <c r="AC1082" i="8"/>
  <c r="B1769" i="6"/>
  <c r="C1769" i="6" s="1"/>
  <c r="Y367" i="8"/>
  <c r="AA367" i="8" s="1"/>
  <c r="AC916" i="8"/>
  <c r="Y916" i="8"/>
  <c r="AA916" i="8" s="1"/>
  <c r="AC587" i="7"/>
  <c r="Y587" i="7"/>
  <c r="AA587" i="7" s="1"/>
  <c r="R1240" i="6"/>
  <c r="Y258" i="7"/>
  <c r="AA258" i="7" s="1"/>
  <c r="AC258" i="7"/>
  <c r="W204" i="8"/>
  <c r="Z587" i="8"/>
  <c r="AA258" i="12"/>
  <c r="AB477" i="7"/>
  <c r="AC531" i="8"/>
  <c r="Y531" i="8"/>
  <c r="AA531" i="8" s="1"/>
  <c r="Y147" i="7"/>
  <c r="Y803" i="7"/>
  <c r="AA803" i="7" s="1"/>
  <c r="AC803" i="7"/>
  <c r="AB312" i="7"/>
  <c r="Z1082" i="8"/>
  <c r="AA256" i="8"/>
  <c r="AB855" i="8"/>
  <c r="AB203" i="12" l="1"/>
  <c r="AB1082" i="8"/>
  <c r="C2353" i="6"/>
  <c r="E2353" i="6" s="1"/>
  <c r="AB757" i="8"/>
  <c r="C2416" i="6"/>
  <c r="E2637" i="6"/>
  <c r="C2488" i="6"/>
  <c r="AB147" i="7"/>
  <c r="W148" i="7" s="1"/>
  <c r="D2284" i="6"/>
  <c r="E2284" i="6"/>
  <c r="B2285" i="6"/>
  <c r="C2553" i="6"/>
  <c r="AB587" i="8"/>
  <c r="W588" i="8" s="1"/>
  <c r="AB368" i="7"/>
  <c r="W369" i="7" s="1"/>
  <c r="X369" i="7" s="1"/>
  <c r="D2836" i="6"/>
  <c r="B2837" i="6" s="1"/>
  <c r="AB531" i="8"/>
  <c r="W532" i="8" s="1"/>
  <c r="X532" i="8" s="1"/>
  <c r="D2353" i="6"/>
  <c r="AB752" i="7"/>
  <c r="AA530" i="7"/>
  <c r="AC421" i="7"/>
  <c r="Z421" i="7"/>
  <c r="Y421" i="7"/>
  <c r="AA421" i="7" s="1"/>
  <c r="E2770" i="6"/>
  <c r="D2770" i="6"/>
  <c r="Q1241" i="6"/>
  <c r="S1241" i="6" s="1"/>
  <c r="W856" i="8"/>
  <c r="X856" i="8" s="1"/>
  <c r="Z856" i="8" s="1"/>
  <c r="X145" i="8"/>
  <c r="X257" i="8"/>
  <c r="Y257" i="8" s="1"/>
  <c r="Q1471" i="6"/>
  <c r="S1471" i="6" s="1"/>
  <c r="E2703" i="6"/>
  <c r="B2704" i="6" s="1"/>
  <c r="D2703" i="6"/>
  <c r="W1083" i="8"/>
  <c r="W753" i="7"/>
  <c r="X753" i="7" s="1"/>
  <c r="AC421" i="8"/>
  <c r="Y421" i="8"/>
  <c r="X703" i="8"/>
  <c r="X972" i="8"/>
  <c r="AA587" i="8"/>
  <c r="Q1142" i="6"/>
  <c r="S1142" i="6" s="1"/>
  <c r="AA1082" i="8"/>
  <c r="W531" i="7"/>
  <c r="X531" i="7" s="1"/>
  <c r="Z802" i="8"/>
  <c r="AB802" i="8" s="1"/>
  <c r="AB916" i="8"/>
  <c r="X259" i="12"/>
  <c r="W204" i="12"/>
  <c r="Z642" i="7"/>
  <c r="Q1524" i="6"/>
  <c r="S1524" i="6" s="1"/>
  <c r="Q1190" i="6"/>
  <c r="S1190" i="6" s="1"/>
  <c r="D1862" i="6"/>
  <c r="B1863" i="6" s="1"/>
  <c r="C1863" i="6" s="1"/>
  <c r="AC643" i="8"/>
  <c r="Y643" i="8"/>
  <c r="AA643" i="8" s="1"/>
  <c r="AA147" i="7"/>
  <c r="D1769" i="6"/>
  <c r="B1770" i="6" s="1"/>
  <c r="C1770" i="6" s="1"/>
  <c r="W758" i="8"/>
  <c r="X758" i="8" s="1"/>
  <c r="AC758" i="8" s="1"/>
  <c r="W201" i="7"/>
  <c r="X201" i="7" s="1"/>
  <c r="Z201" i="7" s="1"/>
  <c r="AC1028" i="8"/>
  <c r="Y1028" i="8"/>
  <c r="AB367" i="8"/>
  <c r="X313" i="8"/>
  <c r="AB587" i="7"/>
  <c r="AB865" i="7"/>
  <c r="Y697" i="7"/>
  <c r="AA697" i="7" s="1"/>
  <c r="AC697" i="7"/>
  <c r="D2572" i="6"/>
  <c r="E2572" i="6"/>
  <c r="B2573" i="6"/>
  <c r="Y642" i="7"/>
  <c r="W313" i="7"/>
  <c r="X313" i="7" s="1"/>
  <c r="AC802" i="8"/>
  <c r="D1815" i="6"/>
  <c r="B1816" i="6" s="1"/>
  <c r="C1816" i="6" s="1"/>
  <c r="B2638" i="6"/>
  <c r="C2638" i="6" s="1"/>
  <c r="AB258" i="7"/>
  <c r="Z421" i="8"/>
  <c r="X204" i="8"/>
  <c r="Y204" i="8" s="1"/>
  <c r="AB803" i="7"/>
  <c r="X309" i="12"/>
  <c r="Y309" i="12" s="1"/>
  <c r="AB916" i="7"/>
  <c r="W478" i="7"/>
  <c r="X478" i="7" s="1"/>
  <c r="Z478" i="7" s="1"/>
  <c r="Z1028" i="8"/>
  <c r="W476" i="8"/>
  <c r="X476" i="8" s="1"/>
  <c r="Z476" i="8"/>
  <c r="D1725" i="6"/>
  <c r="B1726" i="6" s="1"/>
  <c r="C1726" i="6" s="1"/>
  <c r="AA203" i="12"/>
  <c r="AB147" i="12"/>
  <c r="AA421" i="8" l="1"/>
  <c r="R1524" i="6"/>
  <c r="C2704" i="6"/>
  <c r="AB642" i="7"/>
  <c r="B2354" i="6"/>
  <c r="C2354" i="6" s="1"/>
  <c r="Z369" i="7"/>
  <c r="Y369" i="7"/>
  <c r="AA369" i="7" s="1"/>
  <c r="AC369" i="7"/>
  <c r="Z753" i="7"/>
  <c r="AC753" i="7"/>
  <c r="C2771" i="6"/>
  <c r="E2771" i="6" s="1"/>
  <c r="C2573" i="6"/>
  <c r="E2573" i="6" s="1"/>
  <c r="B2554" i="6"/>
  <c r="E2553" i="6"/>
  <c r="D2553" i="6"/>
  <c r="C2285" i="6"/>
  <c r="E2416" i="6"/>
  <c r="D2416" i="6"/>
  <c r="B2417" i="6"/>
  <c r="AB1028" i="8"/>
  <c r="C2837" i="6"/>
  <c r="B2771" i="6"/>
  <c r="D2488" i="6"/>
  <c r="E2488" i="6"/>
  <c r="B2489" i="6"/>
  <c r="R1142" i="6"/>
  <c r="Q1143" i="6" s="1"/>
  <c r="E2638" i="6"/>
  <c r="D2638" i="6"/>
  <c r="AC531" i="7"/>
  <c r="Y531" i="7"/>
  <c r="Z531" i="7"/>
  <c r="AB531" i="7" s="1"/>
  <c r="AC532" i="8"/>
  <c r="Z532" i="8"/>
  <c r="Y532" i="8"/>
  <c r="AA532" i="8" s="1"/>
  <c r="Q1525" i="6"/>
  <c r="S1525" i="6" s="1"/>
  <c r="X148" i="7"/>
  <c r="Y148" i="7" s="1"/>
  <c r="AC145" i="8"/>
  <c r="Z145" i="8"/>
  <c r="AB145" i="8" s="1"/>
  <c r="W917" i="8"/>
  <c r="X917" i="8" s="1"/>
  <c r="Z917" i="8" s="1"/>
  <c r="X588" i="8"/>
  <c r="E2704" i="6"/>
  <c r="D2704" i="6"/>
  <c r="X204" i="12"/>
  <c r="Y204" i="12" s="1"/>
  <c r="W803" i="8"/>
  <c r="AC313" i="8"/>
  <c r="Z313" i="8"/>
  <c r="D1863" i="6"/>
  <c r="B1864" i="6" s="1"/>
  <c r="C1864" i="6" s="1"/>
  <c r="AC313" i="7"/>
  <c r="Y313" i="7"/>
  <c r="AC703" i="8"/>
  <c r="Z703" i="8"/>
  <c r="W1029" i="8"/>
  <c r="Z313" i="7"/>
  <c r="R1471" i="6"/>
  <c r="AA642" i="7"/>
  <c r="R1190" i="6"/>
  <c r="AA802" i="8"/>
  <c r="D1726" i="6"/>
  <c r="B1727" i="6" s="1"/>
  <c r="C1727" i="6" s="1"/>
  <c r="W588" i="7"/>
  <c r="X588" i="7" s="1"/>
  <c r="Z588" i="7" s="1"/>
  <c r="W804" i="7"/>
  <c r="X804" i="7" s="1"/>
  <c r="Y856" i="8"/>
  <c r="AA856" i="8" s="1"/>
  <c r="AC856" i="8"/>
  <c r="Y313" i="8"/>
  <c r="Y703" i="8"/>
  <c r="R1241" i="6"/>
  <c r="AC259" i="12"/>
  <c r="Z259" i="12"/>
  <c r="Y259" i="12"/>
  <c r="W917" i="7"/>
  <c r="X917" i="7" s="1"/>
  <c r="X1083" i="8"/>
  <c r="Y1083" i="8" s="1"/>
  <c r="AB697" i="7"/>
  <c r="AB421" i="8"/>
  <c r="Y758" i="8"/>
  <c r="Z758" i="8"/>
  <c r="Y753" i="7"/>
  <c r="AB643" i="8"/>
  <c r="AB421" i="7"/>
  <c r="D1770" i="6"/>
  <c r="Y145" i="8"/>
  <c r="W148" i="12"/>
  <c r="X148" i="12" s="1"/>
  <c r="Z148" i="12" s="1"/>
  <c r="AC972" i="8"/>
  <c r="Z972" i="8"/>
  <c r="AC309" i="12"/>
  <c r="Z309" i="12"/>
  <c r="AB309" i="12" s="1"/>
  <c r="W866" i="7"/>
  <c r="X866" i="7" s="1"/>
  <c r="Z866" i="7" s="1"/>
  <c r="Y972" i="8"/>
  <c r="AA972" i="8" s="1"/>
  <c r="D1816" i="6"/>
  <c r="W643" i="7"/>
  <c r="Y476" i="8"/>
  <c r="AA476" i="8" s="1"/>
  <c r="AC476" i="8"/>
  <c r="W368" i="8"/>
  <c r="X368" i="8" s="1"/>
  <c r="Z368" i="8" s="1"/>
  <c r="AC204" i="8"/>
  <c r="Z204" i="8"/>
  <c r="AB204" i="8" s="1"/>
  <c r="AA1028" i="8"/>
  <c r="Z257" i="8"/>
  <c r="AB257" i="8" s="1"/>
  <c r="AC257" i="8"/>
  <c r="Y478" i="7"/>
  <c r="AA478" i="7" s="1"/>
  <c r="AC478" i="7"/>
  <c r="AC201" i="7"/>
  <c r="Y201" i="7"/>
  <c r="AA201" i="7" s="1"/>
  <c r="W259" i="7"/>
  <c r="X259" i="7" s="1"/>
  <c r="Z259" i="7" s="1"/>
  <c r="D2354" i="6" l="1"/>
  <c r="B2355" i="6"/>
  <c r="E2354" i="6"/>
  <c r="C2355" i="6" s="1"/>
  <c r="C2489" i="6"/>
  <c r="D2573" i="6"/>
  <c r="B2574" i="6" s="1"/>
  <c r="C2574" i="6" s="1"/>
  <c r="R1143" i="6"/>
  <c r="Q1144" i="6" s="1"/>
  <c r="R1144" i="6" s="1"/>
  <c r="S1143" i="6"/>
  <c r="E2489" i="6"/>
  <c r="B2490" i="6"/>
  <c r="D2489" i="6"/>
  <c r="C2490" i="6" s="1"/>
  <c r="E2285" i="6"/>
  <c r="D2285" i="6"/>
  <c r="B2286" i="6"/>
  <c r="C2286" i="6"/>
  <c r="AB703" i="8"/>
  <c r="W704" i="8" s="1"/>
  <c r="AB259" i="12"/>
  <c r="W260" i="12" s="1"/>
  <c r="AA313" i="8"/>
  <c r="E2837" i="6"/>
  <c r="D2837" i="6"/>
  <c r="AA313" i="7"/>
  <c r="R1525" i="6"/>
  <c r="AB201" i="7"/>
  <c r="B2639" i="6"/>
  <c r="C2639" i="6" s="1"/>
  <c r="C2554" i="6"/>
  <c r="B2705" i="6"/>
  <c r="C2705" i="6" s="1"/>
  <c r="AB369" i="7"/>
  <c r="W370" i="7" s="1"/>
  <c r="X370" i="7" s="1"/>
  <c r="AB856" i="8"/>
  <c r="W857" i="8" s="1"/>
  <c r="X857" i="8" s="1"/>
  <c r="AA753" i="7"/>
  <c r="AB476" i="8"/>
  <c r="W477" i="8" s="1"/>
  <c r="X477" i="8" s="1"/>
  <c r="Z477" i="8" s="1"/>
  <c r="D2771" i="6"/>
  <c r="B2772" i="6" s="1"/>
  <c r="C2417" i="6"/>
  <c r="AB758" i="8"/>
  <c r="W422" i="7"/>
  <c r="X422" i="7" s="1"/>
  <c r="Z422" i="7" s="1"/>
  <c r="AC866" i="7"/>
  <c r="Y866" i="7"/>
  <c r="AA866" i="7" s="1"/>
  <c r="W310" i="12"/>
  <c r="AB313" i="8"/>
  <c r="W202" i="7"/>
  <c r="X202" i="7" s="1"/>
  <c r="Z202" i="7" s="1"/>
  <c r="AC804" i="7"/>
  <c r="Y804" i="7"/>
  <c r="Q1191" i="6"/>
  <c r="S1191" i="6" s="1"/>
  <c r="Z804" i="7"/>
  <c r="X643" i="7"/>
  <c r="Y917" i="7"/>
  <c r="AC917" i="7"/>
  <c r="AC588" i="7"/>
  <c r="Y588" i="7"/>
  <c r="AA588" i="7" s="1"/>
  <c r="AA204" i="8"/>
  <c r="W532" i="7"/>
  <c r="AC588" i="8"/>
  <c r="Z588" i="8"/>
  <c r="Q1242" i="6"/>
  <c r="S1242" i="6" s="1"/>
  <c r="X803" i="8"/>
  <c r="Y803" i="8" s="1"/>
  <c r="Y588" i="8"/>
  <c r="AA703" i="8"/>
  <c r="W644" i="8"/>
  <c r="X644" i="8" s="1"/>
  <c r="Z644" i="8" s="1"/>
  <c r="B1771" i="6"/>
  <c r="C1771" i="6" s="1"/>
  <c r="W205" i="8"/>
  <c r="AA758" i="8"/>
  <c r="W146" i="8"/>
  <c r="AC148" i="7"/>
  <c r="Z148" i="7"/>
  <c r="AB148" i="7" s="1"/>
  <c r="AC1083" i="8"/>
  <c r="Z1083" i="8"/>
  <c r="AB1083" i="8" s="1"/>
  <c r="AB588" i="7"/>
  <c r="Y148" i="12"/>
  <c r="AA148" i="12" s="1"/>
  <c r="AC148" i="12"/>
  <c r="Z917" i="7"/>
  <c r="D1727" i="6"/>
  <c r="Q1472" i="6"/>
  <c r="S1472" i="6" s="1"/>
  <c r="AB753" i="7"/>
  <c r="AA531" i="7"/>
  <c r="AC917" i="8"/>
  <c r="Y917" i="8"/>
  <c r="AA917" i="8" s="1"/>
  <c r="AB532" i="8"/>
  <c r="W258" i="8"/>
  <c r="D1864" i="6"/>
  <c r="X1029" i="8"/>
  <c r="Y1029" i="8" s="1"/>
  <c r="W759" i="8"/>
  <c r="B1817" i="6"/>
  <c r="C1817" i="6" s="1"/>
  <c r="AB972" i="8"/>
  <c r="W422" i="8"/>
  <c r="X422" i="8" s="1"/>
  <c r="Z422" i="8" s="1"/>
  <c r="W698" i="7"/>
  <c r="X698" i="7" s="1"/>
  <c r="Y368" i="8"/>
  <c r="AA368" i="8" s="1"/>
  <c r="AC368" i="8"/>
  <c r="AC204" i="12"/>
  <c r="Z204" i="12"/>
  <c r="AB204" i="12" s="1"/>
  <c r="AC259" i="7"/>
  <c r="Y259" i="7"/>
  <c r="AA259" i="7" s="1"/>
  <c r="AA145" i="8"/>
  <c r="AA259" i="12"/>
  <c r="AB313" i="7"/>
  <c r="Q1526" i="6"/>
  <c r="R1526" i="6" s="1"/>
  <c r="AB478" i="7"/>
  <c r="AA309" i="12"/>
  <c r="AA257" i="8"/>
  <c r="E2574" i="6" l="1"/>
  <c r="D2574" i="6"/>
  <c r="AA1083" i="8"/>
  <c r="AA917" i="7"/>
  <c r="D1817" i="6"/>
  <c r="B2838" i="6"/>
  <c r="B2575" i="6"/>
  <c r="D2417" i="6"/>
  <c r="B2418" i="6"/>
  <c r="E2417" i="6"/>
  <c r="E2286" i="6"/>
  <c r="B2287" i="6"/>
  <c r="D2286" i="6"/>
  <c r="AB148" i="12"/>
  <c r="W149" i="12" s="1"/>
  <c r="X149" i="12" s="1"/>
  <c r="Z149" i="12" s="1"/>
  <c r="E2554" i="6"/>
  <c r="B2555" i="6"/>
  <c r="D2554" i="6"/>
  <c r="B2356" i="6"/>
  <c r="E2355" i="6"/>
  <c r="D2355" i="6"/>
  <c r="S1526" i="6"/>
  <c r="Q1527" i="6" s="1"/>
  <c r="B1528" i="6" s="1"/>
  <c r="E25" i="6" s="1"/>
  <c r="AC202" i="7"/>
  <c r="C2838" i="6"/>
  <c r="S1144" i="6"/>
  <c r="Q1145" i="6" s="1"/>
  <c r="S1145" i="6" s="1"/>
  <c r="C2575" i="6"/>
  <c r="D2575" i="6" s="1"/>
  <c r="R1472" i="6"/>
  <c r="Q1473" i="6" s="1"/>
  <c r="S1473" i="6" s="1"/>
  <c r="D1771" i="6"/>
  <c r="C2772" i="6"/>
  <c r="E2490" i="6"/>
  <c r="D2490" i="6"/>
  <c r="B2491" i="6"/>
  <c r="AA588" i="8"/>
  <c r="AB804" i="7"/>
  <c r="W805" i="7" s="1"/>
  <c r="AC857" i="8"/>
  <c r="Y857" i="8"/>
  <c r="Z857" i="8"/>
  <c r="AB857" i="8" s="1"/>
  <c r="X704" i="8"/>
  <c r="Y704" i="8" s="1"/>
  <c r="AC698" i="7"/>
  <c r="Y698" i="7"/>
  <c r="Z698" i="7"/>
  <c r="AC477" i="8"/>
  <c r="AB588" i="8"/>
  <c r="Y202" i="7"/>
  <c r="AA202" i="7" s="1"/>
  <c r="AB866" i="7"/>
  <c r="B1772" i="6"/>
  <c r="D1772" i="6" s="1"/>
  <c r="X205" i="8"/>
  <c r="Y205" i="8" s="1"/>
  <c r="Y644" i="8"/>
  <c r="AA644" i="8" s="1"/>
  <c r="AC644" i="8"/>
  <c r="AC370" i="7"/>
  <c r="Z370" i="7"/>
  <c r="AB917" i="8"/>
  <c r="Z803" i="8"/>
  <c r="AB803" i="8" s="1"/>
  <c r="AC803" i="8"/>
  <c r="AC643" i="7"/>
  <c r="Z643" i="7"/>
  <c r="X759" i="8"/>
  <c r="Y643" i="7"/>
  <c r="E2639" i="6"/>
  <c r="D2639" i="6"/>
  <c r="X258" i="8"/>
  <c r="Y258" i="8" s="1"/>
  <c r="AA204" i="12"/>
  <c r="X310" i="12"/>
  <c r="Y477" i="8"/>
  <c r="AA477" i="8" s="1"/>
  <c r="W479" i="7"/>
  <c r="X479" i="7" s="1"/>
  <c r="AB368" i="8"/>
  <c r="R1191" i="6"/>
  <c r="AC422" i="7"/>
  <c r="Y422" i="7"/>
  <c r="AA422" i="7" s="1"/>
  <c r="AB259" i="7"/>
  <c r="W973" i="8"/>
  <c r="X973" i="8" s="1"/>
  <c r="Z973" i="8"/>
  <c r="B1728" i="6"/>
  <c r="C1728" i="6" s="1"/>
  <c r="W1084" i="8"/>
  <c r="X1084" i="8" s="1"/>
  <c r="Z1084" i="8" s="1"/>
  <c r="X260" i="12"/>
  <c r="B1818" i="6"/>
  <c r="D1818" i="6" s="1"/>
  <c r="W754" i="7"/>
  <c r="X754" i="7" s="1"/>
  <c r="Z754" i="7" s="1"/>
  <c r="W149" i="7"/>
  <c r="Y370" i="7"/>
  <c r="Z1029" i="8"/>
  <c r="AB1029" i="8" s="1"/>
  <c r="AC1029" i="8"/>
  <c r="W205" i="12"/>
  <c r="AB917" i="7"/>
  <c r="R1242" i="6"/>
  <c r="W533" i="8"/>
  <c r="X533" i="8" s="1"/>
  <c r="Z533" i="8" s="1"/>
  <c r="W589" i="7"/>
  <c r="X589" i="7" s="1"/>
  <c r="Y422" i="8"/>
  <c r="AA422" i="8" s="1"/>
  <c r="AC422" i="8"/>
  <c r="AA804" i="7"/>
  <c r="B1865" i="6"/>
  <c r="C1865" i="6" s="1"/>
  <c r="E2705" i="6"/>
  <c r="D2705" i="6"/>
  <c r="W314" i="7"/>
  <c r="X314" i="7" s="1"/>
  <c r="X532" i="7"/>
  <c r="X146" i="8"/>
  <c r="Y146" i="8" s="1"/>
  <c r="W314" i="8"/>
  <c r="X314" i="8" s="1"/>
  <c r="Z314" i="8"/>
  <c r="AA148" i="7"/>
  <c r="D1865" i="6" l="1"/>
  <c r="E2575" i="6"/>
  <c r="B2640" i="6"/>
  <c r="AC589" i="7"/>
  <c r="Z589" i="7"/>
  <c r="C2555" i="6"/>
  <c r="D2772" i="6"/>
  <c r="E2772" i="6"/>
  <c r="B2773" i="6" s="1"/>
  <c r="AB643" i="7"/>
  <c r="D1728" i="6"/>
  <c r="B1729" i="6" s="1"/>
  <c r="E16" i="6"/>
  <c r="AB370" i="7"/>
  <c r="W371" i="7" s="1"/>
  <c r="C2418" i="6"/>
  <c r="AA698" i="7"/>
  <c r="B2706" i="6"/>
  <c r="C2706" i="6" s="1"/>
  <c r="D2838" i="6"/>
  <c r="E2838" i="6"/>
  <c r="C2356" i="6"/>
  <c r="B2576" i="6"/>
  <c r="C2576" i="6" s="1"/>
  <c r="C2491" i="6"/>
  <c r="C2287" i="6"/>
  <c r="C2640" i="6"/>
  <c r="E2640" i="6"/>
  <c r="D2640" i="6"/>
  <c r="B2641" i="6"/>
  <c r="C2641" i="6"/>
  <c r="AC973" i="8"/>
  <c r="Y973" i="8"/>
  <c r="AA973" i="8" s="1"/>
  <c r="W644" i="7"/>
  <c r="Z310" i="12"/>
  <c r="AC310" i="12"/>
  <c r="AB698" i="7"/>
  <c r="AB422" i="8"/>
  <c r="R1473" i="6"/>
  <c r="Y310" i="12"/>
  <c r="W1030" i="8"/>
  <c r="AC532" i="7"/>
  <c r="Z532" i="7"/>
  <c r="Y149" i="12"/>
  <c r="AA149" i="12" s="1"/>
  <c r="Y532" i="7"/>
  <c r="AA532" i="7" s="1"/>
  <c r="W260" i="7"/>
  <c r="X260" i="7" s="1"/>
  <c r="Z260" i="7" s="1"/>
  <c r="Y314" i="7"/>
  <c r="AC314" i="7"/>
  <c r="AA370" i="7"/>
  <c r="Y589" i="7"/>
  <c r="AA589" i="7" s="1"/>
  <c r="AA857" i="8"/>
  <c r="Z314" i="7"/>
  <c r="Y1084" i="8"/>
  <c r="AA1084" i="8" s="1"/>
  <c r="AC533" i="8"/>
  <c r="Y533" i="8"/>
  <c r="AA533" i="8" s="1"/>
  <c r="W804" i="8"/>
  <c r="AC754" i="7"/>
  <c r="Y754" i="7"/>
  <c r="AA754" i="7" s="1"/>
  <c r="X149" i="7"/>
  <c r="B1866" i="6"/>
  <c r="D1866" i="6" s="1"/>
  <c r="W369" i="8"/>
  <c r="X369" i="8" s="1"/>
  <c r="AC260" i="12"/>
  <c r="Z260" i="12"/>
  <c r="AB260" i="12" s="1"/>
  <c r="AC479" i="7"/>
  <c r="Y479" i="7"/>
  <c r="AC314" i="8"/>
  <c r="Y314" i="8"/>
  <c r="AA314" i="8" s="1"/>
  <c r="AB644" i="8"/>
  <c r="AC149" i="12"/>
  <c r="C1772" i="6"/>
  <c r="Y260" i="12"/>
  <c r="W867" i="7"/>
  <c r="X867" i="7" s="1"/>
  <c r="Z867" i="7" s="1"/>
  <c r="AB477" i="8"/>
  <c r="Z479" i="7"/>
  <c r="AC759" i="8"/>
  <c r="Z759" i="8"/>
  <c r="AB422" i="7"/>
  <c r="R1145" i="6"/>
  <c r="W858" i="8"/>
  <c r="X205" i="12"/>
  <c r="Y205" i="12" s="1"/>
  <c r="AC1084" i="8"/>
  <c r="Z258" i="8"/>
  <c r="AB258" i="8" s="1"/>
  <c r="AC258" i="8"/>
  <c r="Q1243" i="6"/>
  <c r="S1243" i="6" s="1"/>
  <c r="Z205" i="8"/>
  <c r="AB205" i="8" s="1"/>
  <c r="AC205" i="8"/>
  <c r="Q1192" i="6"/>
  <c r="S1192" i="6" s="1"/>
  <c r="C1818" i="6"/>
  <c r="AA1029" i="8"/>
  <c r="AC704" i="8"/>
  <c r="Z704" i="8"/>
  <c r="AB704" i="8" s="1"/>
  <c r="AA803" i="8"/>
  <c r="W918" i="7"/>
  <c r="X918" i="7" s="1"/>
  <c r="Z918" i="7" s="1"/>
  <c r="AA643" i="7"/>
  <c r="X805" i="7"/>
  <c r="Y805" i="7" s="1"/>
  <c r="AC146" i="8"/>
  <c r="Z146" i="8"/>
  <c r="AB146" i="8" s="1"/>
  <c r="Y759" i="8"/>
  <c r="W918" i="8"/>
  <c r="X918" i="8" s="1"/>
  <c r="Z918" i="8" s="1"/>
  <c r="W589" i="8"/>
  <c r="X589" i="8" s="1"/>
  <c r="AB202" i="7"/>
  <c r="AB589" i="7" l="1"/>
  <c r="AA146" i="8"/>
  <c r="AB479" i="7"/>
  <c r="AA258" i="8"/>
  <c r="B2839" i="6"/>
  <c r="E2576" i="6"/>
  <c r="D2576" i="6"/>
  <c r="E2706" i="6"/>
  <c r="D2706" i="6"/>
  <c r="C1729" i="6"/>
  <c r="B1730" i="6" s="1"/>
  <c r="C1730" i="6" s="1"/>
  <c r="D1729" i="6"/>
  <c r="AA310" i="12"/>
  <c r="B2288" i="6"/>
  <c r="E2287" i="6"/>
  <c r="D2287" i="6"/>
  <c r="B2556" i="6"/>
  <c r="E2555" i="6"/>
  <c r="D2555" i="6"/>
  <c r="D2418" i="6"/>
  <c r="B2419" i="6"/>
  <c r="E2418" i="6"/>
  <c r="AB314" i="7"/>
  <c r="E2491" i="6"/>
  <c r="D2491" i="6"/>
  <c r="B2492" i="6"/>
  <c r="AA759" i="8"/>
  <c r="AB149" i="12"/>
  <c r="W150" i="12" s="1"/>
  <c r="X150" i="12" s="1"/>
  <c r="C2839" i="6"/>
  <c r="C2773" i="6"/>
  <c r="AB533" i="8"/>
  <c r="W534" i="8" s="1"/>
  <c r="X534" i="8" s="1"/>
  <c r="B2357" i="6"/>
  <c r="D2356" i="6"/>
  <c r="E2356" i="6"/>
  <c r="X804" i="8"/>
  <c r="Y589" i="8"/>
  <c r="AC589" i="8"/>
  <c r="AC369" i="8"/>
  <c r="Y369" i="8"/>
  <c r="Z589" i="8"/>
  <c r="AB589" i="8" s="1"/>
  <c r="Z369" i="8"/>
  <c r="AB369" i="8" s="1"/>
  <c r="Y918" i="8"/>
  <c r="AA918" i="8" s="1"/>
  <c r="AC918" i="8"/>
  <c r="B1819" i="6"/>
  <c r="D1819" i="6" s="1"/>
  <c r="X858" i="8"/>
  <c r="Z149" i="7"/>
  <c r="AC149" i="7"/>
  <c r="AB973" i="8"/>
  <c r="Q1474" i="6"/>
  <c r="S1474" i="6" s="1"/>
  <c r="W147" i="8"/>
  <c r="AB310" i="12"/>
  <c r="AA704" i="8"/>
  <c r="W203" i="7"/>
  <c r="X203" i="7" s="1"/>
  <c r="W645" i="8"/>
  <c r="X645" i="8" s="1"/>
  <c r="Z645" i="8" s="1"/>
  <c r="Z205" i="12"/>
  <c r="AB205" i="12" s="1"/>
  <c r="AC205" i="12"/>
  <c r="X1030" i="8"/>
  <c r="W315" i="7"/>
  <c r="C1866" i="6"/>
  <c r="Q1146" i="6"/>
  <c r="S1146" i="6" s="1"/>
  <c r="X590" i="7"/>
  <c r="AC590" i="7" s="1"/>
  <c r="W423" i="7"/>
  <c r="X423" i="7" s="1"/>
  <c r="Z423" i="7" s="1"/>
  <c r="Y149" i="7"/>
  <c r="X147" i="8"/>
  <c r="Z147" i="8" s="1"/>
  <c r="W423" i="8"/>
  <c r="X423" i="8" s="1"/>
  <c r="Z423" i="8" s="1"/>
  <c r="AA205" i="8"/>
  <c r="W480" i="7"/>
  <c r="AA314" i="7"/>
  <c r="W699" i="7"/>
  <c r="X699" i="7" s="1"/>
  <c r="Z699" i="7" s="1"/>
  <c r="R1243" i="6"/>
  <c r="W478" i="8"/>
  <c r="X478" i="8" s="1"/>
  <c r="Z478" i="8" s="1"/>
  <c r="Z805" i="7"/>
  <c r="AB805" i="7" s="1"/>
  <c r="AC805" i="7"/>
  <c r="AC260" i="7"/>
  <c r="Y260" i="7"/>
  <c r="AA260" i="7" s="1"/>
  <c r="W259" i="8"/>
  <c r="X259" i="8" s="1"/>
  <c r="Z259" i="8" s="1"/>
  <c r="X644" i="7"/>
  <c r="AA260" i="12"/>
  <c r="AA479" i="7"/>
  <c r="W261" i="12"/>
  <c r="W705" i="8"/>
  <c r="W590" i="7"/>
  <c r="AB314" i="8"/>
  <c r="R1192" i="6"/>
  <c r="AB759" i="8"/>
  <c r="X371" i="7"/>
  <c r="Y371" i="7" s="1"/>
  <c r="W206" i="8"/>
  <c r="D2641" i="6"/>
  <c r="E2641" i="6"/>
  <c r="AB1084" i="8"/>
  <c r="Y867" i="7"/>
  <c r="AA867" i="7" s="1"/>
  <c r="AC867" i="7"/>
  <c r="AB754" i="7"/>
  <c r="Y918" i="7"/>
  <c r="AA918" i="7" s="1"/>
  <c r="AC918" i="7"/>
  <c r="B1773" i="6"/>
  <c r="D1773" i="6" s="1"/>
  <c r="AB532" i="7"/>
  <c r="D1730" i="6" l="1"/>
  <c r="AB260" i="7"/>
  <c r="C2419" i="6"/>
  <c r="C2556" i="6"/>
  <c r="C2357" i="6"/>
  <c r="B2420" i="6"/>
  <c r="E2419" i="6"/>
  <c r="D2419" i="6"/>
  <c r="C2420" i="6" s="1"/>
  <c r="B2358" i="6"/>
  <c r="E2357" i="6"/>
  <c r="D2357" i="6"/>
  <c r="C2358" i="6" s="1"/>
  <c r="E2556" i="6"/>
  <c r="B2557" i="6"/>
  <c r="D2556" i="6"/>
  <c r="C2557" i="6" s="1"/>
  <c r="AC259" i="8"/>
  <c r="E2773" i="6"/>
  <c r="B2774" i="6" s="1"/>
  <c r="C2774" i="6" s="1"/>
  <c r="D2773" i="6"/>
  <c r="C2288" i="6"/>
  <c r="C2492" i="6"/>
  <c r="AB149" i="7"/>
  <c r="W150" i="7" s="1"/>
  <c r="B2707" i="6"/>
  <c r="C2707" i="6" s="1"/>
  <c r="D2839" i="6"/>
  <c r="E2839" i="6"/>
  <c r="B2840" i="6" s="1"/>
  <c r="C2840" i="6" s="1"/>
  <c r="B2577" i="6"/>
  <c r="C2577" i="6" s="1"/>
  <c r="E2577" i="6" s="1"/>
  <c r="Y534" i="8"/>
  <c r="AC534" i="8"/>
  <c r="Z534" i="8"/>
  <c r="AB534" i="8" s="1"/>
  <c r="AB147" i="8"/>
  <c r="Y150" i="12"/>
  <c r="AC150" i="12"/>
  <c r="Z150" i="12"/>
  <c r="AB150" i="12" s="1"/>
  <c r="B1731" i="6"/>
  <c r="C1731" i="6" s="1"/>
  <c r="W311" i="12"/>
  <c r="X311" i="12" s="1"/>
  <c r="W1085" i="8"/>
  <c r="X1085" i="8" s="1"/>
  <c r="Z1085" i="8" s="1"/>
  <c r="Y147" i="8"/>
  <c r="AA147" i="8" s="1"/>
  <c r="W806" i="7"/>
  <c r="AC858" i="8"/>
  <c r="Z858" i="8"/>
  <c r="AB867" i="7"/>
  <c r="B2642" i="6"/>
  <c r="C2642" i="6" s="1"/>
  <c r="W261" i="7"/>
  <c r="X261" i="7" s="1"/>
  <c r="AC261" i="7" s="1"/>
  <c r="W315" i="8"/>
  <c r="X315" i="8" s="1"/>
  <c r="Z804" i="8"/>
  <c r="AC804" i="8"/>
  <c r="Y804" i="8"/>
  <c r="AA804" i="8" s="1"/>
  <c r="Y259" i="8"/>
  <c r="AA259" i="8" s="1"/>
  <c r="AC478" i="8"/>
  <c r="Y478" i="8"/>
  <c r="AA478" i="8" s="1"/>
  <c r="Q1244" i="6"/>
  <c r="S1244" i="6" s="1"/>
  <c r="Y590" i="7"/>
  <c r="C1819" i="6"/>
  <c r="W533" i="7"/>
  <c r="X533" i="7" s="1"/>
  <c r="Z590" i="7"/>
  <c r="AA205" i="12"/>
  <c r="X315" i="7"/>
  <c r="E2707" i="6"/>
  <c r="D2707" i="6"/>
  <c r="AC203" i="7"/>
  <c r="Y203" i="7"/>
  <c r="X206" i="8"/>
  <c r="Y206" i="8" s="1"/>
  <c r="R1474" i="6"/>
  <c r="AC423" i="8"/>
  <c r="Y423" i="8"/>
  <c r="AA423" i="8" s="1"/>
  <c r="AB918" i="7"/>
  <c r="AA149" i="7"/>
  <c r="AC423" i="7"/>
  <c r="Y423" i="7"/>
  <c r="AA423" i="7" s="1"/>
  <c r="Y858" i="8"/>
  <c r="AA805" i="7"/>
  <c r="X480" i="7"/>
  <c r="X261" i="12"/>
  <c r="R1146" i="6"/>
  <c r="AC644" i="7"/>
  <c r="Z644" i="7"/>
  <c r="AC371" i="7"/>
  <c r="Z371" i="7"/>
  <c r="AB371" i="7" s="1"/>
  <c r="Y644" i="7"/>
  <c r="W370" i="8"/>
  <c r="B1867" i="6"/>
  <c r="D1867" i="6" s="1"/>
  <c r="W590" i="8"/>
  <c r="AB423" i="8"/>
  <c r="Z1030" i="8"/>
  <c r="AC1030" i="8"/>
  <c r="W974" i="8"/>
  <c r="X974" i="8" s="1"/>
  <c r="Z974" i="8" s="1"/>
  <c r="W206" i="12"/>
  <c r="AC147" i="8"/>
  <c r="AC699" i="7"/>
  <c r="Y699" i="7"/>
  <c r="AA699" i="7" s="1"/>
  <c r="AC645" i="8"/>
  <c r="Y645" i="8"/>
  <c r="AA645" i="8" s="1"/>
  <c r="AB918" i="8"/>
  <c r="C1773" i="6"/>
  <c r="Z203" i="7"/>
  <c r="W760" i="8"/>
  <c r="X760" i="8" s="1"/>
  <c r="Z760" i="8" s="1"/>
  <c r="AA369" i="8"/>
  <c r="W755" i="7"/>
  <c r="X755" i="7" s="1"/>
  <c r="Z755" i="7" s="1"/>
  <c r="Q1193" i="6"/>
  <c r="S1193" i="6" s="1"/>
  <c r="Y1030" i="8"/>
  <c r="X705" i="8"/>
  <c r="Y705" i="8" s="1"/>
  <c r="AA589" i="8"/>
  <c r="D2557" i="6" l="1"/>
  <c r="E2557" i="6"/>
  <c r="B2558" i="6"/>
  <c r="E2840" i="6"/>
  <c r="D2840" i="6"/>
  <c r="E2492" i="6"/>
  <c r="D2492" i="6"/>
  <c r="B2493" i="6"/>
  <c r="B2708" i="6"/>
  <c r="C2708" i="6" s="1"/>
  <c r="E2708" i="6" s="1"/>
  <c r="E2358" i="6"/>
  <c r="D2358" i="6"/>
  <c r="B2359" i="6"/>
  <c r="C2359" i="6"/>
  <c r="AA590" i="7"/>
  <c r="E2288" i="6"/>
  <c r="D2288" i="6"/>
  <c r="B2289" i="6"/>
  <c r="AB1030" i="8"/>
  <c r="AB858" i="8"/>
  <c r="D1731" i="6"/>
  <c r="B1732" i="6" s="1"/>
  <c r="D1732" i="6" s="1"/>
  <c r="B2421" i="6"/>
  <c r="D2420" i="6"/>
  <c r="E2420" i="6"/>
  <c r="C2421" i="6" s="1"/>
  <c r="AB203" i="7"/>
  <c r="W204" i="7" s="1"/>
  <c r="AA644" i="7"/>
  <c r="D2577" i="6"/>
  <c r="B2578" i="6" s="1"/>
  <c r="D2774" i="6"/>
  <c r="E2774" i="6"/>
  <c r="B2775" i="6" s="1"/>
  <c r="C2775" i="6"/>
  <c r="E2642" i="6"/>
  <c r="D2642" i="6"/>
  <c r="AC261" i="12"/>
  <c r="Z261" i="12"/>
  <c r="Y315" i="8"/>
  <c r="AC315" i="8"/>
  <c r="Y261" i="7"/>
  <c r="W1031" i="8"/>
  <c r="R1244" i="6"/>
  <c r="Q1245" i="6" s="1"/>
  <c r="B1246" i="6" s="1"/>
  <c r="AB645" i="8"/>
  <c r="Z315" i="7"/>
  <c r="AB315" i="7" s="1"/>
  <c r="AC315" i="7"/>
  <c r="Z480" i="7"/>
  <c r="AC480" i="7"/>
  <c r="Y480" i="7"/>
  <c r="AA480" i="7" s="1"/>
  <c r="X206" i="12"/>
  <c r="AC760" i="8"/>
  <c r="Y760" i="8"/>
  <c r="AA760" i="8" s="1"/>
  <c r="AA858" i="8"/>
  <c r="AB478" i="8"/>
  <c r="AB699" i="7"/>
  <c r="X590" i="8"/>
  <c r="Y590" i="8" s="1"/>
  <c r="Y533" i="7"/>
  <c r="AC533" i="7"/>
  <c r="AC1085" i="8"/>
  <c r="Y1085" i="8"/>
  <c r="AA1085" i="8" s="1"/>
  <c r="B1774" i="6"/>
  <c r="D1774" i="6" s="1"/>
  <c r="Y311" i="12"/>
  <c r="AC311" i="12"/>
  <c r="W919" i="8"/>
  <c r="X919" i="8" s="1"/>
  <c r="Z919" i="8" s="1"/>
  <c r="Y261" i="12"/>
  <c r="Z261" i="7"/>
  <c r="R1193" i="6"/>
  <c r="W424" i="8"/>
  <c r="X424" i="8" s="1"/>
  <c r="W919" i="7"/>
  <c r="X919" i="7" s="1"/>
  <c r="Z919" i="7"/>
  <c r="Y315" i="7"/>
  <c r="X370" i="8"/>
  <c r="Y370" i="8" s="1"/>
  <c r="C1867" i="6"/>
  <c r="AA150" i="12"/>
  <c r="X806" i="7"/>
  <c r="AB590" i="7"/>
  <c r="W372" i="7"/>
  <c r="W535" i="8"/>
  <c r="X150" i="7"/>
  <c r="AA203" i="7"/>
  <c r="Z533" i="7"/>
  <c r="AB804" i="8"/>
  <c r="AA534" i="8"/>
  <c r="Z315" i="8"/>
  <c r="Z311" i="12"/>
  <c r="Y755" i="7"/>
  <c r="AA755" i="7" s="1"/>
  <c r="AC755" i="7"/>
  <c r="W151" i="12"/>
  <c r="W868" i="7"/>
  <c r="X868" i="7" s="1"/>
  <c r="Z868" i="7" s="1"/>
  <c r="W859" i="8"/>
  <c r="W148" i="8"/>
  <c r="X148" i="8" s="1"/>
  <c r="Q1475" i="6"/>
  <c r="S1475" i="6" s="1"/>
  <c r="Y974" i="8"/>
  <c r="AA974" i="8" s="1"/>
  <c r="AC974" i="8"/>
  <c r="Z206" i="8"/>
  <c r="AB206" i="8" s="1"/>
  <c r="AC206" i="8"/>
  <c r="AB259" i="8"/>
  <c r="Z705" i="8"/>
  <c r="AB705" i="8" s="1"/>
  <c r="AC705" i="8"/>
  <c r="AB644" i="7"/>
  <c r="AB423" i="7"/>
  <c r="AA1030" i="8"/>
  <c r="Q1147" i="6"/>
  <c r="S1147" i="6" s="1"/>
  <c r="B1820" i="6"/>
  <c r="D1820" i="6" s="1"/>
  <c r="AA371" i="7"/>
  <c r="Z424" i="8" l="1"/>
  <c r="AC424" i="8"/>
  <c r="AA261" i="7"/>
  <c r="B2422" i="6"/>
  <c r="E2421" i="6"/>
  <c r="D2421" i="6"/>
  <c r="C2422" i="6" s="1"/>
  <c r="Y148" i="8"/>
  <c r="AA148" i="8" s="1"/>
  <c r="AC148" i="8"/>
  <c r="C1774" i="6"/>
  <c r="B1775" i="6" s="1"/>
  <c r="AB311" i="12"/>
  <c r="W312" i="12" s="1"/>
  <c r="C2493" i="6"/>
  <c r="D2708" i="6"/>
  <c r="B2709" i="6" s="1"/>
  <c r="C2709" i="6" s="1"/>
  <c r="AA315" i="8"/>
  <c r="D2775" i="6"/>
  <c r="E2775" i="6"/>
  <c r="B2776" i="6" s="1"/>
  <c r="C2289" i="6"/>
  <c r="B2643" i="6"/>
  <c r="C2643" i="6" s="1"/>
  <c r="AB533" i="7"/>
  <c r="W534" i="7" s="1"/>
  <c r="AB261" i="12"/>
  <c r="C2558" i="6"/>
  <c r="E2359" i="6"/>
  <c r="D2359" i="6"/>
  <c r="B2360" i="6"/>
  <c r="C2578" i="6"/>
  <c r="E2578" i="6" s="1"/>
  <c r="B2841" i="6"/>
  <c r="C2841" i="6" s="1"/>
  <c r="AB424" i="8"/>
  <c r="AA590" i="8"/>
  <c r="W706" i="8"/>
  <c r="X535" i="8"/>
  <c r="W260" i="8"/>
  <c r="X260" i="8" s="1"/>
  <c r="Z260" i="8" s="1"/>
  <c r="W805" i="8"/>
  <c r="X805" i="8" s="1"/>
  <c r="X859" i="8"/>
  <c r="AC919" i="7"/>
  <c r="Y919" i="7"/>
  <c r="AA919" i="7" s="1"/>
  <c r="Z206" i="12"/>
  <c r="AC206" i="12"/>
  <c r="W207" i="8"/>
  <c r="X204" i="7"/>
  <c r="Y204" i="7" s="1"/>
  <c r="W262" i="12"/>
  <c r="Y424" i="8"/>
  <c r="AA424" i="8" s="1"/>
  <c r="AA533" i="7"/>
  <c r="AC806" i="7"/>
  <c r="Z806" i="7"/>
  <c r="AB1085" i="8"/>
  <c r="Y806" i="7"/>
  <c r="AA806" i="7" s="1"/>
  <c r="AB261" i="7"/>
  <c r="C1820" i="6"/>
  <c r="AB480" i="7"/>
  <c r="W316" i="7"/>
  <c r="AB974" i="8"/>
  <c r="Z148" i="8"/>
  <c r="W646" i="8"/>
  <c r="X646" i="8" s="1"/>
  <c r="Z646" i="8" s="1"/>
  <c r="X1031" i="8"/>
  <c r="AB315" i="8"/>
  <c r="C1732" i="6"/>
  <c r="Y868" i="7"/>
  <c r="AA868" i="7" s="1"/>
  <c r="AC868" i="7"/>
  <c r="Z150" i="7"/>
  <c r="AC150" i="7"/>
  <c r="R1475" i="6"/>
  <c r="B1868" i="6"/>
  <c r="D1868" i="6" s="1"/>
  <c r="Z370" i="8"/>
  <c r="AB370" i="8" s="1"/>
  <c r="AC370" i="8"/>
  <c r="AB755" i="7"/>
  <c r="R1147" i="6"/>
  <c r="AC590" i="8"/>
  <c r="Z590" i="8"/>
  <c r="AB590" i="8" s="1"/>
  <c r="AA206" i="8"/>
  <c r="W424" i="7"/>
  <c r="X424" i="7" s="1"/>
  <c r="Z424" i="7" s="1"/>
  <c r="AA315" i="7"/>
  <c r="AA311" i="12"/>
  <c r="W700" i="7"/>
  <c r="X700" i="7" s="1"/>
  <c r="AA705" i="8"/>
  <c r="AB760" i="8"/>
  <c r="W591" i="7"/>
  <c r="X591" i="7" s="1"/>
  <c r="Y206" i="12"/>
  <c r="X372" i="7"/>
  <c r="Y372" i="7" s="1"/>
  <c r="Y150" i="7"/>
  <c r="Q1194" i="6"/>
  <c r="S1194" i="6" s="1"/>
  <c r="X151" i="12"/>
  <c r="Y151" i="12" s="1"/>
  <c r="AA261" i="12"/>
  <c r="AC919" i="8"/>
  <c r="Y919" i="8"/>
  <c r="AA919" i="8" s="1"/>
  <c r="W645" i="7"/>
  <c r="X645" i="7" s="1"/>
  <c r="Z645" i="7" s="1"/>
  <c r="W479" i="8"/>
  <c r="X479" i="8" s="1"/>
  <c r="Z479" i="8"/>
  <c r="D24" i="6"/>
  <c r="D15" i="6"/>
  <c r="AB148" i="8" l="1"/>
  <c r="D2643" i="6"/>
  <c r="E2643" i="6"/>
  <c r="B2644" i="6" s="1"/>
  <c r="C1775" i="6"/>
  <c r="D1775" i="6"/>
  <c r="B1776" i="6" s="1"/>
  <c r="D2289" i="6"/>
  <c r="B2290" i="6"/>
  <c r="E2289" i="6"/>
  <c r="E2841" i="6"/>
  <c r="D2841" i="6"/>
  <c r="D2578" i="6"/>
  <c r="C2360" i="6"/>
  <c r="D2422" i="6"/>
  <c r="E2422" i="6"/>
  <c r="B2423" i="6"/>
  <c r="AA370" i="8"/>
  <c r="AB206" i="12"/>
  <c r="C2776" i="6"/>
  <c r="B2559" i="6"/>
  <c r="E2558" i="6"/>
  <c r="D2558" i="6"/>
  <c r="C2559" i="6" s="1"/>
  <c r="D2493" i="6"/>
  <c r="B2494" i="6"/>
  <c r="E2493" i="6"/>
  <c r="C2494" i="6" s="1"/>
  <c r="AA150" i="7"/>
  <c r="AB424" i="7"/>
  <c r="C2644" i="6"/>
  <c r="Y479" i="8"/>
  <c r="AA479" i="8" s="1"/>
  <c r="AC479" i="8"/>
  <c r="Z535" i="8"/>
  <c r="AC535" i="8"/>
  <c r="W207" i="12"/>
  <c r="E2709" i="6"/>
  <c r="D2709" i="6"/>
  <c r="B2710" i="6"/>
  <c r="C2710" i="6" s="1"/>
  <c r="AB919" i="8"/>
  <c r="AA206" i="12"/>
  <c r="AC591" i="7"/>
  <c r="Y591" i="7"/>
  <c r="AC859" i="8"/>
  <c r="Z859" i="8"/>
  <c r="AC1031" i="8"/>
  <c r="Z1031" i="8"/>
  <c r="Y859" i="8"/>
  <c r="AA859" i="8" s="1"/>
  <c r="X262" i="12"/>
  <c r="Y262" i="12" s="1"/>
  <c r="Y1031" i="8"/>
  <c r="X534" i="7"/>
  <c r="Y534" i="7" s="1"/>
  <c r="AB919" i="7"/>
  <c r="W425" i="8"/>
  <c r="X425" i="8" s="1"/>
  <c r="AC425" i="8" s="1"/>
  <c r="Q1148" i="6"/>
  <c r="S1148" i="6" s="1"/>
  <c r="AC700" i="7"/>
  <c r="Y700" i="7"/>
  <c r="Z700" i="7"/>
  <c r="X312" i="12"/>
  <c r="AC372" i="7"/>
  <c r="Z372" i="7"/>
  <c r="AB372" i="7" s="1"/>
  <c r="X316" i="7"/>
  <c r="B1821" i="6"/>
  <c r="D1821" i="6" s="1"/>
  <c r="Y535" i="8"/>
  <c r="C1868" i="6"/>
  <c r="X207" i="8"/>
  <c r="W591" i="8"/>
  <c r="X591" i="8" s="1"/>
  <c r="Z591" i="8" s="1"/>
  <c r="AB806" i="7"/>
  <c r="Z591" i="7"/>
  <c r="W756" i="7"/>
  <c r="X756" i="7" s="1"/>
  <c r="Z756" i="7" s="1"/>
  <c r="AB150" i="7"/>
  <c r="AC646" i="8"/>
  <c r="Y646" i="8"/>
  <c r="AA646" i="8" s="1"/>
  <c r="AC805" i="8"/>
  <c r="Y805" i="8"/>
  <c r="W761" i="8"/>
  <c r="X761" i="8" s="1"/>
  <c r="Z761" i="8" s="1"/>
  <c r="W149" i="8"/>
  <c r="X149" i="8" s="1"/>
  <c r="Z805" i="8"/>
  <c r="AB805" i="8" s="1"/>
  <c r="X706" i="8"/>
  <c r="R1194" i="6"/>
  <c r="B1733" i="6"/>
  <c r="D1733" i="6" s="1"/>
  <c r="W481" i="7"/>
  <c r="X481" i="7" s="1"/>
  <c r="Z481" i="7" s="1"/>
  <c r="Y645" i="7"/>
  <c r="AA645" i="7" s="1"/>
  <c r="AC645" i="7"/>
  <c r="Y424" i="7"/>
  <c r="AA424" i="7" s="1"/>
  <c r="AC424" i="7"/>
  <c r="W262" i="7"/>
  <c r="X262" i="7" s="1"/>
  <c r="Z262" i="7" s="1"/>
  <c r="AB868" i="7"/>
  <c r="Q1476" i="6"/>
  <c r="S1476" i="6" s="1"/>
  <c r="W1086" i="8"/>
  <c r="X1086" i="8" s="1"/>
  <c r="Z1086" i="8" s="1"/>
  <c r="W316" i="8"/>
  <c r="X316" i="8" s="1"/>
  <c r="Z151" i="12"/>
  <c r="AB151" i="12" s="1"/>
  <c r="AC151" i="12"/>
  <c r="W371" i="8"/>
  <c r="W975" i="8"/>
  <c r="X975" i="8" s="1"/>
  <c r="Z975" i="8" s="1"/>
  <c r="AC204" i="7"/>
  <c r="Z204" i="7"/>
  <c r="AB204" i="7" s="1"/>
  <c r="AC260" i="8"/>
  <c r="Y260" i="8"/>
  <c r="AA260" i="8" s="1"/>
  <c r="X371" i="8" l="1"/>
  <c r="AB645" i="7"/>
  <c r="W646" i="7" s="1"/>
  <c r="X646" i="7" s="1"/>
  <c r="AA535" i="8"/>
  <c r="D2494" i="6"/>
  <c r="B2495" i="6"/>
  <c r="E2494" i="6"/>
  <c r="C2495" i="6"/>
  <c r="C1776" i="6"/>
  <c r="D1776" i="6"/>
  <c r="AA700" i="7"/>
  <c r="E2776" i="6"/>
  <c r="D2776" i="6"/>
  <c r="B2842" i="6"/>
  <c r="C2842" i="6" s="1"/>
  <c r="C2423" i="6"/>
  <c r="AB1031" i="8"/>
  <c r="W1032" i="8" s="1"/>
  <c r="E2559" i="6"/>
  <c r="D2559" i="6"/>
  <c r="B2560" i="6"/>
  <c r="C2290" i="6"/>
  <c r="AA204" i="7"/>
  <c r="AA151" i="12"/>
  <c r="E2360" i="6"/>
  <c r="B2361" i="6"/>
  <c r="D2360" i="6"/>
  <c r="C2361" i="6" s="1"/>
  <c r="B2579" i="6"/>
  <c r="C2579" i="6" s="1"/>
  <c r="AB591" i="7"/>
  <c r="W592" i="7" s="1"/>
  <c r="B1777" i="6"/>
  <c r="C1777" i="6" s="1"/>
  <c r="D2710" i="6"/>
  <c r="E2710" i="6"/>
  <c r="AC371" i="8"/>
  <c r="Y371" i="8"/>
  <c r="Z371" i="8"/>
  <c r="AC149" i="8"/>
  <c r="Y149" i="8"/>
  <c r="Z149" i="8"/>
  <c r="AB149" i="8" s="1"/>
  <c r="B1869" i="6"/>
  <c r="D1869" i="6" s="1"/>
  <c r="C1733" i="6"/>
  <c r="W151" i="7"/>
  <c r="X151" i="7" s="1"/>
  <c r="Z151" i="7" s="1"/>
  <c r="Q1195" i="6"/>
  <c r="S1195" i="6" s="1"/>
  <c r="Y756" i="7"/>
  <c r="AA756" i="7" s="1"/>
  <c r="AC756" i="7"/>
  <c r="D2644" i="6"/>
  <c r="E2644" i="6"/>
  <c r="C1821" i="6"/>
  <c r="Y591" i="8"/>
  <c r="AA591" i="8" s="1"/>
  <c r="Z706" i="8"/>
  <c r="AC706" i="8"/>
  <c r="Y706" i="8"/>
  <c r="AC591" i="8"/>
  <c r="AA591" i="7"/>
  <c r="W806" i="8"/>
  <c r="AC262" i="7"/>
  <c r="Y262" i="7"/>
  <c r="AA262" i="7" s="1"/>
  <c r="X207" i="12"/>
  <c r="AC207" i="8"/>
  <c r="Z207" i="8"/>
  <c r="AB646" i="8"/>
  <c r="Y207" i="8"/>
  <c r="AC316" i="8"/>
  <c r="Y316" i="8"/>
  <c r="AA262" i="12"/>
  <c r="AB260" i="8"/>
  <c r="AC316" i="7"/>
  <c r="Z316" i="7"/>
  <c r="W205" i="7"/>
  <c r="W869" i="7"/>
  <c r="X869" i="7" s="1"/>
  <c r="Z869" i="7"/>
  <c r="Y316" i="7"/>
  <c r="AA372" i="7"/>
  <c r="Z425" i="8"/>
  <c r="AB425" i="8" s="1"/>
  <c r="W425" i="7"/>
  <c r="X425" i="7" s="1"/>
  <c r="AC312" i="12"/>
  <c r="Z312" i="12"/>
  <c r="AC534" i="7"/>
  <c r="Z534" i="7"/>
  <c r="AB534" i="7" s="1"/>
  <c r="W152" i="12"/>
  <c r="X152" i="12" s="1"/>
  <c r="AA805" i="8"/>
  <c r="AA1031" i="8"/>
  <c r="AC1086" i="8"/>
  <c r="Y1086" i="8"/>
  <c r="AA1086" i="8" s="1"/>
  <c r="Y425" i="8"/>
  <c r="AB859" i="8"/>
  <c r="R1476" i="6"/>
  <c r="W807" i="7"/>
  <c r="X807" i="7" s="1"/>
  <c r="AB535" i="8"/>
  <c r="W373" i="7"/>
  <c r="R1148" i="6"/>
  <c r="Y975" i="8"/>
  <c r="AA975" i="8" s="1"/>
  <c r="AC975" i="8"/>
  <c r="W920" i="8"/>
  <c r="X920" i="8" s="1"/>
  <c r="W920" i="7"/>
  <c r="X920" i="7" s="1"/>
  <c r="Y761" i="8"/>
  <c r="AA761" i="8" s="1"/>
  <c r="AC761" i="8"/>
  <c r="Y312" i="12"/>
  <c r="AA312" i="12" s="1"/>
  <c r="Z316" i="8"/>
  <c r="AC481" i="7"/>
  <c r="Y481" i="7"/>
  <c r="AA481" i="7" s="1"/>
  <c r="AB700" i="7"/>
  <c r="AC262" i="12"/>
  <c r="Z262" i="12"/>
  <c r="AB262" i="12" s="1"/>
  <c r="AB479" i="8"/>
  <c r="D1777" i="6" l="1"/>
  <c r="AA316" i="7"/>
  <c r="X205" i="7"/>
  <c r="D2579" i="6"/>
  <c r="E2579" i="6"/>
  <c r="B2580" i="6" s="1"/>
  <c r="C2580" i="6"/>
  <c r="AC646" i="7"/>
  <c r="Z646" i="7"/>
  <c r="R1195" i="6"/>
  <c r="Q1196" i="6" s="1"/>
  <c r="S1196" i="6" s="1"/>
  <c r="E2842" i="6"/>
  <c r="D2842" i="6"/>
  <c r="AA316" i="8"/>
  <c r="AA371" i="8"/>
  <c r="B2777" i="6"/>
  <c r="C2777" i="6" s="1"/>
  <c r="AB761" i="8"/>
  <c r="W762" i="8" s="1"/>
  <c r="X762" i="8" s="1"/>
  <c r="D2361" i="6"/>
  <c r="B2362" i="6"/>
  <c r="E2361" i="6"/>
  <c r="C2362" i="6" s="1"/>
  <c r="AB706" i="8"/>
  <c r="AB262" i="7"/>
  <c r="AB312" i="12"/>
  <c r="D2290" i="6"/>
  <c r="E2290" i="6"/>
  <c r="B2291" i="6"/>
  <c r="AB481" i="7"/>
  <c r="W482" i="7" s="1"/>
  <c r="X482" i="7" s="1"/>
  <c r="B2424" i="6"/>
  <c r="E2423" i="6"/>
  <c r="D2423" i="6"/>
  <c r="C2424" i="6" s="1"/>
  <c r="D2495" i="6"/>
  <c r="E2495" i="6"/>
  <c r="B2496" i="6"/>
  <c r="AA207" i="8"/>
  <c r="B2645" i="6"/>
  <c r="C2645" i="6" s="1"/>
  <c r="C2560" i="6"/>
  <c r="AC152" i="12"/>
  <c r="Z152" i="12"/>
  <c r="Y152" i="12"/>
  <c r="AA152" i="12" s="1"/>
  <c r="E2645" i="6"/>
  <c r="D2645" i="6"/>
  <c r="Y425" i="7"/>
  <c r="Z425" i="7"/>
  <c r="AB425" i="7" s="1"/>
  <c r="AC425" i="7"/>
  <c r="B1778" i="6"/>
  <c r="C1778" i="6" s="1"/>
  <c r="Y205" i="7"/>
  <c r="AC205" i="7"/>
  <c r="Z205" i="7"/>
  <c r="Y920" i="7"/>
  <c r="AC920" i="7"/>
  <c r="Z920" i="7"/>
  <c r="AB920" i="7" s="1"/>
  <c r="AC207" i="12"/>
  <c r="Z207" i="12"/>
  <c r="D2580" i="6"/>
  <c r="E2580" i="6"/>
  <c r="W536" i="8"/>
  <c r="X536" i="8" s="1"/>
  <c r="Z536" i="8"/>
  <c r="AC920" i="8"/>
  <c r="Y920" i="8"/>
  <c r="W480" i="8"/>
  <c r="X480" i="8" s="1"/>
  <c r="Z480" i="8" s="1"/>
  <c r="C1869" i="6"/>
  <c r="AB975" i="8"/>
  <c r="W150" i="8"/>
  <c r="AA149" i="8"/>
  <c r="W535" i="7"/>
  <c r="AA706" i="8"/>
  <c r="AB1086" i="8"/>
  <c r="W263" i="7"/>
  <c r="X263" i="7" s="1"/>
  <c r="Y207" i="12"/>
  <c r="AC807" i="7"/>
  <c r="Y807" i="7"/>
  <c r="Z807" i="7"/>
  <c r="AB807" i="7" s="1"/>
  <c r="Q1477" i="6"/>
  <c r="S1477" i="6" s="1"/>
  <c r="X1032" i="8"/>
  <c r="X806" i="8"/>
  <c r="AB316" i="7"/>
  <c r="X592" i="7"/>
  <c r="AB316" i="8"/>
  <c r="Y646" i="7"/>
  <c r="W261" i="8"/>
  <c r="X261" i="8" s="1"/>
  <c r="Z261" i="8" s="1"/>
  <c r="AB756" i="7"/>
  <c r="W647" i="8"/>
  <c r="X647" i="8" s="1"/>
  <c r="Z647" i="8" s="1"/>
  <c r="Q1149" i="6"/>
  <c r="S1149" i="6" s="1"/>
  <c r="AB207" i="8"/>
  <c r="AB371" i="8"/>
  <c r="AA534" i="7"/>
  <c r="W707" i="8"/>
  <c r="Y151" i="7"/>
  <c r="AA151" i="7" s="1"/>
  <c r="AC151" i="7"/>
  <c r="B1822" i="6"/>
  <c r="D1822" i="6" s="1"/>
  <c r="W426" i="8"/>
  <c r="B2711" i="6"/>
  <c r="C2711" i="6" s="1"/>
  <c r="X373" i="7"/>
  <c r="Z920" i="8"/>
  <c r="W263" i="12"/>
  <c r="X263" i="12" s="1"/>
  <c r="B1734" i="6"/>
  <c r="D1734" i="6" s="1"/>
  <c r="AC869" i="7"/>
  <c r="Y869" i="7"/>
  <c r="AA869" i="7" s="1"/>
  <c r="W701" i="7"/>
  <c r="X701" i="7" s="1"/>
  <c r="W860" i="8"/>
  <c r="X860" i="8" s="1"/>
  <c r="Z860" i="8" s="1"/>
  <c r="AA425" i="8"/>
  <c r="W313" i="12"/>
  <c r="X313" i="12" s="1"/>
  <c r="Y313" i="12" s="1"/>
  <c r="AB591" i="8"/>
  <c r="AB920" i="8" l="1"/>
  <c r="AA646" i="7"/>
  <c r="AB151" i="7"/>
  <c r="AC263" i="12"/>
  <c r="Z263" i="12"/>
  <c r="B2363" i="6"/>
  <c r="D2362" i="6"/>
  <c r="E2362" i="6"/>
  <c r="C2363" i="6"/>
  <c r="AA205" i="7"/>
  <c r="D1778" i="6"/>
  <c r="B1779" i="6" s="1"/>
  <c r="C2646" i="6"/>
  <c r="D2646" i="6" s="1"/>
  <c r="B2843" i="6"/>
  <c r="C2843" i="6" s="1"/>
  <c r="E2777" i="6"/>
  <c r="D2777" i="6"/>
  <c r="C2496" i="6"/>
  <c r="AC313" i="12"/>
  <c r="E2560" i="6"/>
  <c r="D2560" i="6"/>
  <c r="B2561" i="6"/>
  <c r="AB207" i="12"/>
  <c r="B2425" i="6"/>
  <c r="E2424" i="6"/>
  <c r="D2424" i="6"/>
  <c r="AB646" i="7"/>
  <c r="B2646" i="6"/>
  <c r="C2291" i="6"/>
  <c r="AC482" i="7"/>
  <c r="Z482" i="7"/>
  <c r="Y482" i="7"/>
  <c r="AA482" i="7" s="1"/>
  <c r="C2581" i="6"/>
  <c r="AC762" i="8"/>
  <c r="Z762" i="8"/>
  <c r="Y762" i="8"/>
  <c r="AA762" i="8" s="1"/>
  <c r="Z263" i="7"/>
  <c r="Y263" i="7"/>
  <c r="AC263" i="7"/>
  <c r="AC592" i="7"/>
  <c r="Z592" i="7"/>
  <c r="AB592" i="7" s="1"/>
  <c r="W921" i="8"/>
  <c r="W976" i="8"/>
  <c r="X976" i="8" s="1"/>
  <c r="Z976" i="8"/>
  <c r="W1087" i="8"/>
  <c r="X1087" i="8" s="1"/>
  <c r="R1149" i="6"/>
  <c r="R1196" i="6"/>
  <c r="AA425" i="7"/>
  <c r="AA920" i="7"/>
  <c r="AA920" i="8"/>
  <c r="AC1032" i="8"/>
  <c r="Z1032" i="8"/>
  <c r="Y536" i="8"/>
  <c r="AA536" i="8" s="1"/>
  <c r="AC536" i="8"/>
  <c r="B2581" i="6"/>
  <c r="X535" i="7"/>
  <c r="Y535" i="7" s="1"/>
  <c r="W372" i="8"/>
  <c r="X372" i="8" s="1"/>
  <c r="Z372" i="8" s="1"/>
  <c r="W208" i="12"/>
  <c r="B1870" i="6"/>
  <c r="D1870" i="6" s="1"/>
  <c r="Z373" i="7"/>
  <c r="AB373" i="7" s="1"/>
  <c r="AC373" i="7"/>
  <c r="AC860" i="8"/>
  <c r="Y860" i="8"/>
  <c r="AA860" i="8" s="1"/>
  <c r="AA807" i="7"/>
  <c r="AC701" i="7"/>
  <c r="Y701" i="7"/>
  <c r="W426" i="7"/>
  <c r="Z701" i="7"/>
  <c r="Y263" i="12"/>
  <c r="Z806" i="8"/>
  <c r="AC806" i="8"/>
  <c r="Y806" i="8"/>
  <c r="AA806" i="8" s="1"/>
  <c r="X150" i="8"/>
  <c r="W152" i="7"/>
  <c r="X152" i="7" s="1"/>
  <c r="C1822" i="6"/>
  <c r="Y1032" i="8"/>
  <c r="Z313" i="12"/>
  <c r="AB313" i="12" s="1"/>
  <c r="C1734" i="6"/>
  <c r="AC261" i="8"/>
  <c r="Y261" i="8"/>
  <c r="AA261" i="8" s="1"/>
  <c r="AB869" i="7"/>
  <c r="R1477" i="6"/>
  <c r="AB205" i="7"/>
  <c r="AB152" i="12"/>
  <c r="Y592" i="7"/>
  <c r="W208" i="8"/>
  <c r="X208" i="8" s="1"/>
  <c r="Z208" i="8"/>
  <c r="X426" i="8"/>
  <c r="Y426" i="8" s="1"/>
  <c r="W808" i="7"/>
  <c r="W921" i="7"/>
  <c r="Y373" i="7"/>
  <c r="W317" i="7"/>
  <c r="X317" i="7" s="1"/>
  <c r="Z317" i="7" s="1"/>
  <c r="E2711" i="6"/>
  <c r="D2711" i="6"/>
  <c r="X707" i="8"/>
  <c r="W647" i="7"/>
  <c r="X647" i="7" s="1"/>
  <c r="W592" i="8"/>
  <c r="X592" i="8" s="1"/>
  <c r="Z592" i="8"/>
  <c r="Y647" i="8"/>
  <c r="AA647" i="8" s="1"/>
  <c r="AC647" i="8"/>
  <c r="AC480" i="8"/>
  <c r="Y480" i="8"/>
  <c r="AA480" i="8" s="1"/>
  <c r="W757" i="7"/>
  <c r="X757" i="7" s="1"/>
  <c r="Z757" i="7"/>
  <c r="AA207" i="12"/>
  <c r="W317" i="8"/>
  <c r="X317" i="8" s="1"/>
  <c r="AB701" i="7" l="1"/>
  <c r="AA263" i="12"/>
  <c r="D1779" i="6"/>
  <c r="C1779" i="6"/>
  <c r="B1780" i="6" s="1"/>
  <c r="C1780" i="6" s="1"/>
  <c r="C2561" i="6"/>
  <c r="AB647" i="8"/>
  <c r="D2291" i="6"/>
  <c r="B2292" i="6"/>
  <c r="E2291" i="6"/>
  <c r="C2292" i="6" s="1"/>
  <c r="E2646" i="6"/>
  <c r="B2647" i="6" s="1"/>
  <c r="C2647" i="6" s="1"/>
  <c r="AB1032" i="8"/>
  <c r="W1033" i="8" s="1"/>
  <c r="B2364" i="6"/>
  <c r="E2363" i="6"/>
  <c r="D2363" i="6"/>
  <c r="C2364" i="6" s="1"/>
  <c r="C2425" i="6"/>
  <c r="C2778" i="6"/>
  <c r="B2778" i="6"/>
  <c r="E2843" i="6"/>
  <c r="D2843" i="6"/>
  <c r="B2712" i="6"/>
  <c r="E2496" i="6"/>
  <c r="D2496" i="6"/>
  <c r="B2497" i="6"/>
  <c r="AB480" i="8"/>
  <c r="W481" i="8" s="1"/>
  <c r="X481" i="8" s="1"/>
  <c r="AA263" i="7"/>
  <c r="AC152" i="7"/>
  <c r="Y152" i="7"/>
  <c r="Z152" i="7"/>
  <c r="AB152" i="7" s="1"/>
  <c r="AA535" i="7"/>
  <c r="C2712" i="6"/>
  <c r="AC647" i="7"/>
  <c r="Z647" i="7"/>
  <c r="Y647" i="7"/>
  <c r="W206" i="7"/>
  <c r="X206" i="7" s="1"/>
  <c r="AC150" i="8"/>
  <c r="Z150" i="8"/>
  <c r="Y150" i="8"/>
  <c r="AA150" i="8" s="1"/>
  <c r="Z707" i="8"/>
  <c r="AC707" i="8"/>
  <c r="W593" i="7"/>
  <c r="Y707" i="8"/>
  <c r="AB762" i="8"/>
  <c r="AB806" i="8"/>
  <c r="X921" i="7"/>
  <c r="Y921" i="7" s="1"/>
  <c r="AA1032" i="8"/>
  <c r="W702" i="7"/>
  <c r="X426" i="7"/>
  <c r="Y426" i="7" s="1"/>
  <c r="AB261" i="8"/>
  <c r="AA592" i="7"/>
  <c r="Q1197" i="6"/>
  <c r="S1197" i="6" s="1"/>
  <c r="D2581" i="6"/>
  <c r="E2581" i="6"/>
  <c r="B2582" i="6"/>
  <c r="C2582" i="6" s="1"/>
  <c r="W648" i="8"/>
  <c r="X648" i="8" s="1"/>
  <c r="AA373" i="7"/>
  <c r="B1823" i="6"/>
  <c r="D1823" i="6" s="1"/>
  <c r="AA701" i="7"/>
  <c r="AC592" i="8"/>
  <c r="Y592" i="8"/>
  <c r="AA592" i="8" s="1"/>
  <c r="Q1478" i="6"/>
  <c r="S1478" i="6" s="1"/>
  <c r="AC426" i="8"/>
  <c r="Z426" i="8"/>
  <c r="AB426" i="8" s="1"/>
  <c r="Y317" i="8"/>
  <c r="AC317" i="8"/>
  <c r="Z317" i="8"/>
  <c r="AB317" i="8" s="1"/>
  <c r="AB860" i="8"/>
  <c r="X208" i="12"/>
  <c r="AC208" i="8"/>
  <c r="Y208" i="8"/>
  <c r="AA208" i="8" s="1"/>
  <c r="Y757" i="7"/>
  <c r="AA757" i="7" s="1"/>
  <c r="AC757" i="7"/>
  <c r="AC372" i="8"/>
  <c r="Y372" i="8"/>
  <c r="AA372" i="8" s="1"/>
  <c r="AA313" i="12"/>
  <c r="AC535" i="7"/>
  <c r="Z535" i="7"/>
  <c r="AB535" i="7" s="1"/>
  <c r="AB536" i="8"/>
  <c r="Q1150" i="6"/>
  <c r="S1150" i="6" s="1"/>
  <c r="AB263" i="12"/>
  <c r="AC1087" i="8"/>
  <c r="Y1087" i="8"/>
  <c r="AB482" i="7"/>
  <c r="AC976" i="8"/>
  <c r="Y976" i="8"/>
  <c r="AA976" i="8" s="1"/>
  <c r="W374" i="7"/>
  <c r="AB263" i="7"/>
  <c r="W870" i="7"/>
  <c r="X870" i="7" s="1"/>
  <c r="Z870" i="7" s="1"/>
  <c r="C1870" i="6"/>
  <c r="B1735" i="6"/>
  <c r="D1735" i="6" s="1"/>
  <c r="X921" i="8"/>
  <c r="W314" i="12"/>
  <c r="AC317" i="7"/>
  <c r="Y317" i="7"/>
  <c r="AA317" i="7" s="1"/>
  <c r="W153" i="12"/>
  <c r="X153" i="12" s="1"/>
  <c r="Z153" i="12" s="1"/>
  <c r="X808" i="7"/>
  <c r="Z1087" i="8"/>
  <c r="AB592" i="8" l="1"/>
  <c r="AB976" i="8"/>
  <c r="AA647" i="7"/>
  <c r="B2293" i="6"/>
  <c r="E2292" i="6"/>
  <c r="D2292" i="6"/>
  <c r="C2293" i="6" s="1"/>
  <c r="D2364" i="6"/>
  <c r="E2364" i="6"/>
  <c r="B2365" i="6"/>
  <c r="C2365" i="6" s="1"/>
  <c r="AB707" i="8"/>
  <c r="W708" i="8" s="1"/>
  <c r="E2425" i="6"/>
  <c r="D2425" i="6"/>
  <c r="B2426" i="6"/>
  <c r="C2497" i="6"/>
  <c r="C2844" i="6"/>
  <c r="E2561" i="6"/>
  <c r="D2561" i="6"/>
  <c r="B2562" i="6"/>
  <c r="D2778" i="6"/>
  <c r="E2778" i="6"/>
  <c r="B2779" i="6"/>
  <c r="C2779" i="6" s="1"/>
  <c r="AA1087" i="8"/>
  <c r="C1823" i="6"/>
  <c r="B1824" i="6" s="1"/>
  <c r="D1824" i="6" s="1"/>
  <c r="B2844" i="6"/>
  <c r="C1735" i="6"/>
  <c r="B1736" i="6" s="1"/>
  <c r="D1736" i="6" s="1"/>
  <c r="D1780" i="6"/>
  <c r="B1781" i="6"/>
  <c r="C1781" i="6" s="1"/>
  <c r="AB870" i="7"/>
  <c r="AC648" i="8"/>
  <c r="Y648" i="8"/>
  <c r="Z648" i="8"/>
  <c r="AB648" i="8" s="1"/>
  <c r="E2647" i="6"/>
  <c r="D2647" i="6"/>
  <c r="E2582" i="6"/>
  <c r="D2582" i="6"/>
  <c r="Z481" i="8"/>
  <c r="Y481" i="8"/>
  <c r="AA481" i="8" s="1"/>
  <c r="AC481" i="8"/>
  <c r="AC206" i="7"/>
  <c r="Y206" i="7"/>
  <c r="X374" i="7"/>
  <c r="X1033" i="8"/>
  <c r="AA317" i="8"/>
  <c r="W483" i="7"/>
  <c r="X483" i="7" s="1"/>
  <c r="Z483" i="7" s="1"/>
  <c r="B1871" i="6"/>
  <c r="D1871" i="6" s="1"/>
  <c r="W427" i="8"/>
  <c r="W763" i="8"/>
  <c r="X763" i="8" s="1"/>
  <c r="AA426" i="8"/>
  <c r="Z208" i="12"/>
  <c r="AC208" i="12"/>
  <c r="X593" i="7"/>
  <c r="Y208" i="12"/>
  <c r="AA208" i="12" s="1"/>
  <c r="W262" i="8"/>
  <c r="X262" i="8" s="1"/>
  <c r="W153" i="7"/>
  <c r="AA152" i="7"/>
  <c r="W593" i="8"/>
  <c r="X593" i="8" s="1"/>
  <c r="Z593" i="8" s="1"/>
  <c r="AB372" i="8"/>
  <c r="AB647" i="7"/>
  <c r="W264" i="12"/>
  <c r="X264" i="12" s="1"/>
  <c r="Z264" i="12"/>
  <c r="W807" i="8"/>
  <c r="X807" i="8" s="1"/>
  <c r="Z807" i="8" s="1"/>
  <c r="R1478" i="6"/>
  <c r="AB150" i="8"/>
  <c r="AB317" i="7"/>
  <c r="R1150" i="6"/>
  <c r="Q1151" i="6" s="1"/>
  <c r="B1152" i="6" s="1"/>
  <c r="R1197" i="6"/>
  <c r="Q1198" i="6" s="1"/>
  <c r="B1199" i="6" s="1"/>
  <c r="D2712" i="6"/>
  <c r="E2712" i="6"/>
  <c r="B2713" i="6" s="1"/>
  <c r="C2713" i="6" s="1"/>
  <c r="W537" i="8"/>
  <c r="X537" i="8" s="1"/>
  <c r="Z921" i="8"/>
  <c r="AC921" i="8"/>
  <c r="W861" i="8"/>
  <c r="X861" i="8" s="1"/>
  <c r="Z861" i="8" s="1"/>
  <c r="Y921" i="8"/>
  <c r="X702" i="7"/>
  <c r="Z808" i="7"/>
  <c r="AC808" i="7"/>
  <c r="X314" i="12"/>
  <c r="W318" i="8"/>
  <c r="Y808" i="7"/>
  <c r="AC153" i="12"/>
  <c r="Y153" i="12"/>
  <c r="AA153" i="12" s="1"/>
  <c r="Z921" i="7"/>
  <c r="AB921" i="7" s="1"/>
  <c r="AC921" i="7"/>
  <c r="W977" i="8"/>
  <c r="X977" i="8" s="1"/>
  <c r="AB757" i="7"/>
  <c r="AC870" i="7"/>
  <c r="Y870" i="7"/>
  <c r="AA870" i="7" s="1"/>
  <c r="AB208" i="8"/>
  <c r="W264" i="7"/>
  <c r="X264" i="7" s="1"/>
  <c r="Z264" i="7" s="1"/>
  <c r="AA707" i="8"/>
  <c r="AC426" i="7"/>
  <c r="Z426" i="7"/>
  <c r="AB426" i="7" s="1"/>
  <c r="W536" i="7"/>
  <c r="X536" i="7" s="1"/>
  <c r="AB1087" i="8"/>
  <c r="Z206" i="7"/>
  <c r="AA808" i="7" l="1"/>
  <c r="D1781" i="6"/>
  <c r="C2562" i="6"/>
  <c r="AA206" i="7"/>
  <c r="C2426" i="6"/>
  <c r="B2583" i="6"/>
  <c r="C2583" i="6" s="1"/>
  <c r="B2648" i="6"/>
  <c r="E2779" i="6"/>
  <c r="D2779" i="6"/>
  <c r="B2780" i="6"/>
  <c r="C2780" i="6"/>
  <c r="AA921" i="8"/>
  <c r="B2294" i="6"/>
  <c r="D2293" i="6"/>
  <c r="E2293" i="6"/>
  <c r="C2294" i="6"/>
  <c r="E2844" i="6"/>
  <c r="D2844" i="6"/>
  <c r="E2497" i="6"/>
  <c r="D2497" i="6"/>
  <c r="B2498" i="6"/>
  <c r="E43" i="6" s="1"/>
  <c r="AB153" i="12"/>
  <c r="W154" i="12" s="1"/>
  <c r="X154" i="12" s="1"/>
  <c r="Z154" i="12" s="1"/>
  <c r="AA921" i="7"/>
  <c r="E2562" i="6"/>
  <c r="D2562" i="6"/>
  <c r="B2563" i="6"/>
  <c r="E2365" i="6"/>
  <c r="D2365" i="6"/>
  <c r="B2366" i="6"/>
  <c r="C43" i="6" s="1"/>
  <c r="C2648" i="6"/>
  <c r="D2713" i="6"/>
  <c r="E2713" i="6"/>
  <c r="B2714" i="6" s="1"/>
  <c r="Y977" i="8"/>
  <c r="AC977" i="8"/>
  <c r="Z977" i="8"/>
  <c r="AC536" i="7"/>
  <c r="Y536" i="7"/>
  <c r="Z536" i="7"/>
  <c r="AB536" i="7" s="1"/>
  <c r="B1782" i="6"/>
  <c r="D1782" i="6" s="1"/>
  <c r="Z374" i="7"/>
  <c r="AC374" i="7"/>
  <c r="Y374" i="7"/>
  <c r="AA374" i="7" s="1"/>
  <c r="AB921" i="8"/>
  <c r="Z1033" i="8"/>
  <c r="AC1033" i="8"/>
  <c r="Y262" i="8"/>
  <c r="AC262" i="8"/>
  <c r="W427" i="7"/>
  <c r="Z262" i="8"/>
  <c r="W758" i="7"/>
  <c r="X758" i="7" s="1"/>
  <c r="C1824" i="6"/>
  <c r="X708" i="8"/>
  <c r="AC593" i="7"/>
  <c r="Z593" i="7"/>
  <c r="AA648" i="8"/>
  <c r="Y593" i="7"/>
  <c r="AA593" i="7" s="1"/>
  <c r="AB208" i="12"/>
  <c r="X318" i="8"/>
  <c r="Y318" i="8" s="1"/>
  <c r="AB206" i="7"/>
  <c r="AC593" i="8"/>
  <c r="C1736" i="6"/>
  <c r="W373" i="8"/>
  <c r="X373" i="8" s="1"/>
  <c r="Z373" i="8" s="1"/>
  <c r="C24" i="6"/>
  <c r="C15" i="6"/>
  <c r="Y593" i="8"/>
  <c r="AA593" i="8" s="1"/>
  <c r="W922" i="7"/>
  <c r="B15" i="6"/>
  <c r="B24" i="6"/>
  <c r="X427" i="8"/>
  <c r="W318" i="7"/>
  <c r="X318" i="7" s="1"/>
  <c r="Y763" i="8"/>
  <c r="AC763" i="8"/>
  <c r="Z702" i="7"/>
  <c r="AC702" i="7"/>
  <c r="W151" i="8"/>
  <c r="X151" i="8" s="1"/>
  <c r="Z151" i="8" s="1"/>
  <c r="Z763" i="8"/>
  <c r="W1088" i="8"/>
  <c r="X1088" i="8" s="1"/>
  <c r="Z1088" i="8" s="1"/>
  <c r="AC861" i="8"/>
  <c r="Y861" i="8"/>
  <c r="AA861" i="8" s="1"/>
  <c r="Y1033" i="8"/>
  <c r="Y807" i="8"/>
  <c r="AA807" i="8" s="1"/>
  <c r="AC807" i="8"/>
  <c r="AC264" i="12"/>
  <c r="Y264" i="12"/>
  <c r="AA264" i="12" s="1"/>
  <c r="W649" i="8"/>
  <c r="Y537" i="8"/>
  <c r="AC537" i="8"/>
  <c r="C1871" i="6"/>
  <c r="AC264" i="7"/>
  <c r="Y264" i="7"/>
  <c r="AA264" i="7" s="1"/>
  <c r="Z537" i="8"/>
  <c r="AB537" i="8" s="1"/>
  <c r="AC483" i="7"/>
  <c r="Y483" i="7"/>
  <c r="AA483" i="7" s="1"/>
  <c r="AC314" i="12"/>
  <c r="Z314" i="12"/>
  <c r="Y314" i="12"/>
  <c r="AA314" i="12" s="1"/>
  <c r="W648" i="7"/>
  <c r="X648" i="7" s="1"/>
  <c r="Z648" i="7" s="1"/>
  <c r="AB481" i="8"/>
  <c r="W209" i="8"/>
  <c r="X209" i="8" s="1"/>
  <c r="Z209" i="8" s="1"/>
  <c r="AB808" i="7"/>
  <c r="W871" i="7"/>
  <c r="X871" i="7" s="1"/>
  <c r="Z871" i="7" s="1"/>
  <c r="Y702" i="7"/>
  <c r="Q1479" i="6"/>
  <c r="S1479" i="6" s="1"/>
  <c r="X153" i="7"/>
  <c r="AA426" i="7"/>
  <c r="AA763" i="8" l="1"/>
  <c r="X922" i="7"/>
  <c r="Z922" i="7" s="1"/>
  <c r="AA977" i="8"/>
  <c r="B2845" i="6"/>
  <c r="C2845" i="6" s="1"/>
  <c r="C2563" i="6"/>
  <c r="AA1033" i="8"/>
  <c r="AB702" i="7"/>
  <c r="W703" i="7" s="1"/>
  <c r="AB262" i="8"/>
  <c r="W263" i="8" s="1"/>
  <c r="B2427" i="6"/>
  <c r="D2426" i="6"/>
  <c r="E2426" i="6"/>
  <c r="B2295" i="6"/>
  <c r="D2294" i="6"/>
  <c r="E2294" i="6"/>
  <c r="E2780" i="6"/>
  <c r="D2780" i="6"/>
  <c r="AC871" i="7"/>
  <c r="C2714" i="6"/>
  <c r="Y922" i="7"/>
  <c r="AA922" i="7" s="1"/>
  <c r="AB264" i="12"/>
  <c r="B1825" i="6"/>
  <c r="D1825" i="6" s="1"/>
  <c r="AB314" i="12"/>
  <c r="Y758" i="7"/>
  <c r="AC758" i="7"/>
  <c r="AB483" i="7"/>
  <c r="AA702" i="7"/>
  <c r="Y154" i="12"/>
  <c r="AA154" i="12" s="1"/>
  <c r="E2583" i="6"/>
  <c r="D2583" i="6"/>
  <c r="AC154" i="12"/>
  <c r="W538" i="8"/>
  <c r="AB593" i="8"/>
  <c r="Z427" i="8"/>
  <c r="AC427" i="8"/>
  <c r="B1872" i="6"/>
  <c r="D1872" i="6" s="1"/>
  <c r="X649" i="8"/>
  <c r="W537" i="7"/>
  <c r="AB593" i="7"/>
  <c r="AB807" i="8"/>
  <c r="AA537" i="8"/>
  <c r="AB861" i="8"/>
  <c r="Y648" i="7"/>
  <c r="AA648" i="7" s="1"/>
  <c r="AC648" i="7"/>
  <c r="AC318" i="7"/>
  <c r="Y318" i="7"/>
  <c r="Z318" i="7"/>
  <c r="AB318" i="7" s="1"/>
  <c r="R1479" i="6"/>
  <c r="Q1480" i="6" s="1"/>
  <c r="B1481" i="6" s="1"/>
  <c r="Y871" i="7"/>
  <c r="AA871" i="7" s="1"/>
  <c r="C1782" i="6"/>
  <c r="B1737" i="6"/>
  <c r="D1737" i="6" s="1"/>
  <c r="Y1088" i="8"/>
  <c r="AA1088" i="8" s="1"/>
  <c r="AC1088" i="8"/>
  <c r="AA262" i="8"/>
  <c r="AC209" i="8"/>
  <c r="Y209" i="8"/>
  <c r="AA209" i="8" s="1"/>
  <c r="AB763" i="8"/>
  <c r="W207" i="7"/>
  <c r="X207" i="7" s="1"/>
  <c r="AA536" i="7"/>
  <c r="W482" i="8"/>
  <c r="X482" i="8" s="1"/>
  <c r="AC151" i="8"/>
  <c r="Y151" i="8"/>
  <c r="AA151" i="8" s="1"/>
  <c r="Z708" i="8"/>
  <c r="AC708" i="8"/>
  <c r="AB1033" i="8"/>
  <c r="AB977" i="8"/>
  <c r="D2648" i="6"/>
  <c r="E2648" i="6"/>
  <c r="B2649" i="6" s="1"/>
  <c r="W209" i="12"/>
  <c r="X209" i="12" s="1"/>
  <c r="Z209" i="12" s="1"/>
  <c r="X427" i="7"/>
  <c r="AC153" i="7"/>
  <c r="Z153" i="7"/>
  <c r="AB374" i="7"/>
  <c r="Y153" i="7"/>
  <c r="AA153" i="7" s="1"/>
  <c r="AC922" i="7"/>
  <c r="Z758" i="7"/>
  <c r="AC373" i="8"/>
  <c r="Y373" i="8"/>
  <c r="AA373" i="8" s="1"/>
  <c r="W809" i="7"/>
  <c r="X809" i="7" s="1"/>
  <c r="Y427" i="8"/>
  <c r="AC318" i="8"/>
  <c r="Z318" i="8"/>
  <c r="AB318" i="8" s="1"/>
  <c r="Y708" i="8"/>
  <c r="W922" i="8"/>
  <c r="X922" i="8" s="1"/>
  <c r="AB264" i="7"/>
  <c r="B2584" i="6" l="1"/>
  <c r="AA758" i="7"/>
  <c r="AA708" i="8"/>
  <c r="B2781" i="6"/>
  <c r="C2781" i="6"/>
  <c r="C2584" i="6"/>
  <c r="C2295" i="6"/>
  <c r="AB154" i="12"/>
  <c r="E2563" i="6"/>
  <c r="D2563" i="6"/>
  <c r="B2564" i="6"/>
  <c r="F43" i="6" s="1"/>
  <c r="AB427" i="8"/>
  <c r="W428" i="8" s="1"/>
  <c r="C2427" i="6"/>
  <c r="E2845" i="6"/>
  <c r="D2845" i="6"/>
  <c r="B2846" i="6"/>
  <c r="C2846" i="6" s="1"/>
  <c r="C2649" i="6"/>
  <c r="AC922" i="8"/>
  <c r="Y922" i="8"/>
  <c r="AC209" i="12"/>
  <c r="Y209" i="12"/>
  <c r="AA209" i="12" s="1"/>
  <c r="W594" i="8"/>
  <c r="X594" i="8" s="1"/>
  <c r="Z594" i="8" s="1"/>
  <c r="D25" i="6"/>
  <c r="D16" i="6"/>
  <c r="AB871" i="7"/>
  <c r="AC809" i="7"/>
  <c r="Y809" i="7"/>
  <c r="AA809" i="7" s="1"/>
  <c r="AA318" i="7"/>
  <c r="Z649" i="8"/>
  <c r="AC649" i="8"/>
  <c r="W484" i="7"/>
  <c r="X484" i="7" s="1"/>
  <c r="AB151" i="8"/>
  <c r="D2714" i="6"/>
  <c r="E2714" i="6"/>
  <c r="B2715" i="6" s="1"/>
  <c r="Z922" i="8"/>
  <c r="AB922" i="8" s="1"/>
  <c r="Y482" i="8"/>
  <c r="AC482" i="8"/>
  <c r="AB758" i="7"/>
  <c r="Y207" i="7"/>
  <c r="AC207" i="7"/>
  <c r="W594" i="7"/>
  <c r="X594" i="7" s="1"/>
  <c r="Z594" i="7" s="1"/>
  <c r="Z207" i="7"/>
  <c r="AB207" i="7" s="1"/>
  <c r="W155" i="12"/>
  <c r="X155" i="12" s="1"/>
  <c r="X263" i="8"/>
  <c r="Y263" i="8" s="1"/>
  <c r="X703" i="7"/>
  <c r="AB153" i="7"/>
  <c r="AB209" i="12"/>
  <c r="B1783" i="6"/>
  <c r="D1783" i="6" s="1"/>
  <c r="W315" i="12"/>
  <c r="X315" i="12" s="1"/>
  <c r="W319" i="8"/>
  <c r="Z482" i="8"/>
  <c r="X538" i="8"/>
  <c r="Y538" i="8" s="1"/>
  <c r="C1825" i="6"/>
  <c r="X537" i="7"/>
  <c r="W808" i="8"/>
  <c r="X808" i="8" s="1"/>
  <c r="AA318" i="8"/>
  <c r="E2584" i="6"/>
  <c r="D2584" i="6"/>
  <c r="B2585" i="6"/>
  <c r="C2585" i="6" s="1"/>
  <c r="AA427" i="8"/>
  <c r="W319" i="7"/>
  <c r="W265" i="12"/>
  <c r="X265" i="12" s="1"/>
  <c r="W764" i="8"/>
  <c r="X764" i="8" s="1"/>
  <c r="Z809" i="7"/>
  <c r="W375" i="7"/>
  <c r="X375" i="7" s="1"/>
  <c r="Y649" i="8"/>
  <c r="W978" i="8"/>
  <c r="X978" i="8" s="1"/>
  <c r="Z978" i="8"/>
  <c r="W1034" i="8"/>
  <c r="X1034" i="8" s="1"/>
  <c r="Z1034" i="8" s="1"/>
  <c r="C1872" i="6"/>
  <c r="AB209" i="8"/>
  <c r="W265" i="7"/>
  <c r="X265" i="7" s="1"/>
  <c r="Z265" i="7" s="1"/>
  <c r="Z427" i="7"/>
  <c r="AC427" i="7"/>
  <c r="C1737" i="6"/>
  <c r="AB373" i="8"/>
  <c r="Y427" i="7"/>
  <c r="AA427" i="7" s="1"/>
  <c r="AB708" i="8"/>
  <c r="AB1088" i="8"/>
  <c r="W862" i="8"/>
  <c r="X862" i="8" s="1"/>
  <c r="Z862" i="8" s="1"/>
  <c r="AB648" i="7"/>
  <c r="AB922" i="7"/>
  <c r="AB482" i="8" l="1"/>
  <c r="D2846" i="6"/>
  <c r="E2846" i="6"/>
  <c r="B2847" i="6" s="1"/>
  <c r="C2847" i="6" s="1"/>
  <c r="D2295" i="6"/>
  <c r="E2295" i="6"/>
  <c r="B2296" i="6"/>
  <c r="AA649" i="8"/>
  <c r="D2781" i="6"/>
  <c r="E2781" i="6"/>
  <c r="B2782" i="6" s="1"/>
  <c r="C2782" i="6" s="1"/>
  <c r="B2428" i="6"/>
  <c r="E2427" i="6"/>
  <c r="D2427" i="6"/>
  <c r="C2428" i="6" s="1"/>
  <c r="E2585" i="6"/>
  <c r="D2585" i="6"/>
  <c r="Z155" i="12"/>
  <c r="Y155" i="12"/>
  <c r="AC155" i="12"/>
  <c r="C2715" i="6"/>
  <c r="AC315" i="12"/>
  <c r="Y315" i="12"/>
  <c r="AC808" i="8"/>
  <c r="Y808" i="8"/>
  <c r="W923" i="8"/>
  <c r="Z808" i="8"/>
  <c r="AB808" i="8" s="1"/>
  <c r="Z537" i="7"/>
  <c r="AC537" i="7"/>
  <c r="AC764" i="8"/>
  <c r="Y764" i="8"/>
  <c r="C1783" i="6"/>
  <c r="B1873" i="6"/>
  <c r="D1873" i="6" s="1"/>
  <c r="B1826" i="6"/>
  <c r="D1826" i="6" s="1"/>
  <c r="B1738" i="6"/>
  <c r="D1738" i="6" s="1"/>
  <c r="AA207" i="7"/>
  <c r="X428" i="8"/>
  <c r="AC978" i="8"/>
  <c r="Y978" i="8"/>
  <c r="AA978" i="8" s="1"/>
  <c r="AB427" i="7"/>
  <c r="X319" i="8"/>
  <c r="Y265" i="7"/>
  <c r="AA265" i="7" s="1"/>
  <c r="AC265" i="7"/>
  <c r="Y862" i="8"/>
  <c r="AA862" i="8" s="1"/>
  <c r="AC862" i="8"/>
  <c r="AB809" i="7"/>
  <c r="Y537" i="7"/>
  <c r="W210" i="8"/>
  <c r="X210" i="8" s="1"/>
  <c r="Z210" i="8" s="1"/>
  <c r="Z764" i="8"/>
  <c r="W210" i="12"/>
  <c r="X210" i="12" s="1"/>
  <c r="AC210" i="12" s="1"/>
  <c r="Y265" i="12"/>
  <c r="AC265" i="12"/>
  <c r="Z265" i="12"/>
  <c r="AB265" i="12" s="1"/>
  <c r="W154" i="7"/>
  <c r="X154" i="7" s="1"/>
  <c r="Z154" i="7" s="1"/>
  <c r="W483" i="8"/>
  <c r="AC1034" i="8"/>
  <c r="Y1034" i="8"/>
  <c r="AA1034" i="8" s="1"/>
  <c r="Y484" i="7"/>
  <c r="AC484" i="7"/>
  <c r="W649" i="7"/>
  <c r="X649" i="7" s="1"/>
  <c r="Z649" i="7" s="1"/>
  <c r="AA482" i="8"/>
  <c r="AB649" i="8"/>
  <c r="Y375" i="7"/>
  <c r="AC375" i="7"/>
  <c r="W872" i="7"/>
  <c r="X872" i="7" s="1"/>
  <c r="Z872" i="7" s="1"/>
  <c r="W1089" i="8"/>
  <c r="X1089" i="8" s="1"/>
  <c r="Z1089" i="8"/>
  <c r="W709" i="8"/>
  <c r="X709" i="8" s="1"/>
  <c r="Z709" i="8" s="1"/>
  <c r="W208" i="7"/>
  <c r="W374" i="8"/>
  <c r="X374" i="8" s="1"/>
  <c r="AC538" i="8"/>
  <c r="Z538" i="8"/>
  <c r="AB538" i="8" s="1"/>
  <c r="Y594" i="8"/>
  <c r="AA594" i="8" s="1"/>
  <c r="AC594" i="8"/>
  <c r="AC594" i="7"/>
  <c r="Y594" i="7"/>
  <c r="AA594" i="7" s="1"/>
  <c r="Z703" i="7"/>
  <c r="AC703" i="7"/>
  <c r="Y703" i="7"/>
  <c r="W152" i="8"/>
  <c r="X152" i="8" s="1"/>
  <c r="Z152" i="8" s="1"/>
  <c r="AC263" i="8"/>
  <c r="Z263" i="8"/>
  <c r="AB263" i="8" s="1"/>
  <c r="AA922" i="8"/>
  <c r="W759" i="7"/>
  <c r="X759" i="7" s="1"/>
  <c r="Z759" i="7"/>
  <c r="Z484" i="7"/>
  <c r="W923" i="7"/>
  <c r="X923" i="7" s="1"/>
  <c r="Z923" i="7" s="1"/>
  <c r="Z375" i="7"/>
  <c r="Z315" i="12"/>
  <c r="X319" i="7"/>
  <c r="E2649" i="6"/>
  <c r="D2649" i="6"/>
  <c r="AB537" i="7" l="1"/>
  <c r="AB484" i="7"/>
  <c r="AB594" i="7"/>
  <c r="AB594" i="8"/>
  <c r="D2782" i="6"/>
  <c r="E2782" i="6"/>
  <c r="B2783" i="6" s="1"/>
  <c r="C2783" i="6"/>
  <c r="E2847" i="6"/>
  <c r="D2847" i="6"/>
  <c r="B2848" i="6"/>
  <c r="C2848" i="6" s="1"/>
  <c r="B2429" i="6"/>
  <c r="E2428" i="6"/>
  <c r="D2428" i="6"/>
  <c r="C2429" i="6"/>
  <c r="C2650" i="6"/>
  <c r="D2650" i="6" s="1"/>
  <c r="C1826" i="6"/>
  <c r="B1827" i="6" s="1"/>
  <c r="C1827" i="6" s="1"/>
  <c r="C2296" i="6"/>
  <c r="B2586" i="6"/>
  <c r="C2586" i="6" s="1"/>
  <c r="E2586" i="6" s="1"/>
  <c r="AB862" i="8"/>
  <c r="W863" i="8" s="1"/>
  <c r="X863" i="8" s="1"/>
  <c r="Y863" i="8" s="1"/>
  <c r="AB315" i="12"/>
  <c r="W316" i="12" s="1"/>
  <c r="AB375" i="7"/>
  <c r="AB155" i="12"/>
  <c r="AB265" i="7"/>
  <c r="W266" i="7" s="1"/>
  <c r="X266" i="7" s="1"/>
  <c r="AB703" i="7"/>
  <c r="W704" i="7" s="1"/>
  <c r="B2650" i="6"/>
  <c r="AA764" i="8"/>
  <c r="Y210" i="12"/>
  <c r="AA210" i="12" s="1"/>
  <c r="W266" i="12"/>
  <c r="E2715" i="6"/>
  <c r="D2715" i="6"/>
  <c r="B2716" i="6"/>
  <c r="C2716" i="6" s="1"/>
  <c r="AA155" i="12"/>
  <c r="Z210" i="12"/>
  <c r="W428" i="7"/>
  <c r="X428" i="7" s="1"/>
  <c r="Z428" i="7"/>
  <c r="X483" i="8"/>
  <c r="Y483" i="8" s="1"/>
  <c r="AC709" i="8"/>
  <c r="Y709" i="8"/>
  <c r="AA709" i="8" s="1"/>
  <c r="W595" i="7"/>
  <c r="X595" i="7" s="1"/>
  <c r="W595" i="8"/>
  <c r="B1784" i="6"/>
  <c r="D1784" i="6" s="1"/>
  <c r="W376" i="7"/>
  <c r="AA265" i="12"/>
  <c r="AC319" i="8"/>
  <c r="Z319" i="8"/>
  <c r="Z319" i="7"/>
  <c r="AC319" i="7"/>
  <c r="Y319" i="8"/>
  <c r="Y319" i="7"/>
  <c r="C1873" i="6"/>
  <c r="Y649" i="7"/>
  <c r="AA649" i="7" s="1"/>
  <c r="AC649" i="7"/>
  <c r="AC1089" i="8"/>
  <c r="Y1089" i="8"/>
  <c r="AA1089" i="8" s="1"/>
  <c r="AC923" i="7"/>
  <c r="Y923" i="7"/>
  <c r="AA923" i="7" s="1"/>
  <c r="X595" i="8"/>
  <c r="Y595" i="8" s="1"/>
  <c r="Z428" i="8"/>
  <c r="AC428" i="8"/>
  <c r="AC210" i="8"/>
  <c r="Y210" i="8"/>
  <c r="AA210" i="8" s="1"/>
  <c r="Y374" i="8"/>
  <c r="AC374" i="8"/>
  <c r="W264" i="8"/>
  <c r="Z374" i="8"/>
  <c r="AB374" i="8" s="1"/>
  <c r="AA808" i="8"/>
  <c r="C1738" i="6"/>
  <c r="AC872" i="7"/>
  <c r="Y872" i="7"/>
  <c r="AA872" i="7" s="1"/>
  <c r="W485" i="7"/>
  <c r="W538" i="7"/>
  <c r="W539" i="8"/>
  <c r="AA484" i="7"/>
  <c r="AC759" i="7"/>
  <c r="Y759" i="7"/>
  <c r="AA759" i="7" s="1"/>
  <c r="Y428" i="8"/>
  <c r="AA428" i="8" s="1"/>
  <c r="X923" i="8"/>
  <c r="Y923" i="8" s="1"/>
  <c r="AA375" i="7"/>
  <c r="AA537" i="7"/>
  <c r="AB978" i="8"/>
  <c r="AA538" i="8"/>
  <c r="X208" i="7"/>
  <c r="Y208" i="7" s="1"/>
  <c r="AA263" i="8"/>
  <c r="Y152" i="8"/>
  <c r="AA152" i="8" s="1"/>
  <c r="AC152" i="8"/>
  <c r="AB1034" i="8"/>
  <c r="W156" i="12"/>
  <c r="AB764" i="8"/>
  <c r="W809" i="8"/>
  <c r="W810" i="7"/>
  <c r="X810" i="7" s="1"/>
  <c r="Z810" i="7" s="1"/>
  <c r="AA703" i="7"/>
  <c r="W650" i="8"/>
  <c r="X650" i="8" s="1"/>
  <c r="AC154" i="7"/>
  <c r="Y154" i="7"/>
  <c r="AA154" i="7" s="1"/>
  <c r="AA315" i="12"/>
  <c r="AB210" i="8" l="1"/>
  <c r="AC595" i="8"/>
  <c r="Z595" i="8"/>
  <c r="AA595" i="8" s="1"/>
  <c r="AA319" i="8"/>
  <c r="B2430" i="6"/>
  <c r="D2429" i="6"/>
  <c r="E2429" i="6"/>
  <c r="E2650" i="6"/>
  <c r="B2651" i="6" s="1"/>
  <c r="AB759" i="7"/>
  <c r="W760" i="7" s="1"/>
  <c r="X760" i="7" s="1"/>
  <c r="B2587" i="6"/>
  <c r="C2587" i="6" s="1"/>
  <c r="B2297" i="6"/>
  <c r="E2296" i="6"/>
  <c r="D2296" i="6"/>
  <c r="AB1089" i="8"/>
  <c r="W1090" i="8" s="1"/>
  <c r="X1090" i="8" s="1"/>
  <c r="D2848" i="6"/>
  <c r="E2848" i="6"/>
  <c r="B2849" i="6" s="1"/>
  <c r="D2783" i="6"/>
  <c r="E2783" i="6"/>
  <c r="B2784" i="6" s="1"/>
  <c r="C2784" i="6" s="1"/>
  <c r="D2784" i="6" s="1"/>
  <c r="AB649" i="7"/>
  <c r="AB319" i="7"/>
  <c r="D2586" i="6"/>
  <c r="AB210" i="12"/>
  <c r="D1827" i="6"/>
  <c r="B1828" i="6" s="1"/>
  <c r="E2716" i="6"/>
  <c r="D2716" i="6"/>
  <c r="Y595" i="7"/>
  <c r="Z595" i="7"/>
  <c r="AB595" i="7" s="1"/>
  <c r="AC595" i="7"/>
  <c r="Y266" i="7"/>
  <c r="Z266" i="7"/>
  <c r="AB266" i="7" s="1"/>
  <c r="AC266" i="7"/>
  <c r="AC650" i="8"/>
  <c r="Y650" i="8"/>
  <c r="AB595" i="8"/>
  <c r="AC863" i="8"/>
  <c r="W320" i="7"/>
  <c r="W1035" i="8"/>
  <c r="X1035" i="8" s="1"/>
  <c r="Z1035" i="8" s="1"/>
  <c r="X485" i="7"/>
  <c r="X266" i="12"/>
  <c r="Y266" i="12" s="1"/>
  <c r="X264" i="8"/>
  <c r="Z863" i="8"/>
  <c r="AB863" i="8" s="1"/>
  <c r="AA374" i="8"/>
  <c r="W211" i="12"/>
  <c r="X211" i="12" s="1"/>
  <c r="AC211" i="12" s="1"/>
  <c r="X539" i="8"/>
  <c r="W979" i="8"/>
  <c r="X979" i="8" s="1"/>
  <c r="AB872" i="7"/>
  <c r="AB319" i="8"/>
  <c r="X809" i="8"/>
  <c r="Y810" i="7"/>
  <c r="AA810" i="7" s="1"/>
  <c r="AC810" i="7"/>
  <c r="W375" i="8"/>
  <c r="W650" i="7"/>
  <c r="X650" i="7" s="1"/>
  <c r="AC650" i="7" s="1"/>
  <c r="Z483" i="8"/>
  <c r="AB483" i="8" s="1"/>
  <c r="AC483" i="8"/>
  <c r="X316" i="12"/>
  <c r="Y316" i="12" s="1"/>
  <c r="W211" i="8"/>
  <c r="X211" i="8" s="1"/>
  <c r="AC211" i="8" s="1"/>
  <c r="Y428" i="7"/>
  <c r="AA428" i="7" s="1"/>
  <c r="AC428" i="7"/>
  <c r="C1784" i="6"/>
  <c r="AB152" i="8"/>
  <c r="B1874" i="6"/>
  <c r="D1874" i="6" s="1"/>
  <c r="AB709" i="8"/>
  <c r="Z923" i="8"/>
  <c r="AB923" i="8" s="1"/>
  <c r="AC923" i="8"/>
  <c r="X704" i="7"/>
  <c r="AC208" i="7"/>
  <c r="Z208" i="7"/>
  <c r="AB208" i="7" s="1"/>
  <c r="X156" i="12"/>
  <c r="AB923" i="7"/>
  <c r="W765" i="8"/>
  <c r="X765" i="8" s="1"/>
  <c r="Z765" i="8" s="1"/>
  <c r="X538" i="7"/>
  <c r="Z650" i="8"/>
  <c r="X376" i="7"/>
  <c r="B1739" i="6"/>
  <c r="D1739" i="6" s="1"/>
  <c r="AB428" i="8"/>
  <c r="AA319" i="7"/>
  <c r="AB154" i="7"/>
  <c r="E2784" i="6" l="1"/>
  <c r="B2785" i="6"/>
  <c r="C2785" i="6" s="1"/>
  <c r="D2587" i="6"/>
  <c r="E2587" i="6"/>
  <c r="C1828" i="6"/>
  <c r="B1829" i="6" s="1"/>
  <c r="C1829" i="6" s="1"/>
  <c r="D1828" i="6"/>
  <c r="C2849" i="6"/>
  <c r="AA650" i="8"/>
  <c r="AB428" i="7"/>
  <c r="W429" i="7" s="1"/>
  <c r="X429" i="7" s="1"/>
  <c r="C2430" i="6"/>
  <c r="C2297" i="6"/>
  <c r="B2717" i="6"/>
  <c r="C2717" i="6" s="1"/>
  <c r="E2717" i="6" s="1"/>
  <c r="AB810" i="7"/>
  <c r="W811" i="7" s="1"/>
  <c r="X811" i="7" s="1"/>
  <c r="Z211" i="8"/>
  <c r="AA863" i="8"/>
  <c r="C2651" i="6"/>
  <c r="Z1090" i="8"/>
  <c r="Y1090" i="8"/>
  <c r="AA1090" i="8" s="1"/>
  <c r="AC1090" i="8"/>
  <c r="Y760" i="7"/>
  <c r="AC760" i="7"/>
  <c r="Z760" i="7"/>
  <c r="AB760" i="7" s="1"/>
  <c r="E2785" i="6"/>
  <c r="D2785" i="6"/>
  <c r="B2786" i="6"/>
  <c r="C2786" i="6" s="1"/>
  <c r="C2588" i="6"/>
  <c r="W429" i="8"/>
  <c r="X429" i="8" s="1"/>
  <c r="Z429" i="8" s="1"/>
  <c r="Z264" i="8"/>
  <c r="AC264" i="8"/>
  <c r="C1739" i="6"/>
  <c r="Y264" i="8"/>
  <c r="AC979" i="8"/>
  <c r="Y979" i="8"/>
  <c r="W209" i="7"/>
  <c r="Z979" i="8"/>
  <c r="AB979" i="8" s="1"/>
  <c r="Y211" i="8"/>
  <c r="Z809" i="8"/>
  <c r="AC809" i="8"/>
  <c r="AC156" i="12"/>
  <c r="Z156" i="12"/>
  <c r="B2588" i="6"/>
  <c r="W924" i="8"/>
  <c r="Y211" i="12"/>
  <c r="AA211" i="12" s="1"/>
  <c r="Z316" i="12"/>
  <c r="AB316" i="12" s="1"/>
  <c r="AC316" i="12"/>
  <c r="AC266" i="12"/>
  <c r="Z266" i="12"/>
  <c r="AB266" i="12" s="1"/>
  <c r="AC1035" i="8"/>
  <c r="Y1035" i="8"/>
  <c r="AA1035" i="8" s="1"/>
  <c r="AA208" i="7"/>
  <c r="AA923" i="8"/>
  <c r="AA483" i="8"/>
  <c r="AC485" i="7"/>
  <c r="Z485" i="7"/>
  <c r="AA266" i="7"/>
  <c r="Y765" i="8"/>
  <c r="AA765" i="8" s="1"/>
  <c r="AC765" i="8"/>
  <c r="W924" i="7"/>
  <c r="X924" i="7" s="1"/>
  <c r="X375" i="8"/>
  <c r="Y375" i="8" s="1"/>
  <c r="W320" i="8"/>
  <c r="X320" i="8" s="1"/>
  <c r="Z320" i="8" s="1"/>
  <c r="W596" i="8"/>
  <c r="X596" i="8" s="1"/>
  <c r="W710" i="8"/>
  <c r="X710" i="8" s="1"/>
  <c r="Z710" i="8" s="1"/>
  <c r="W873" i="7"/>
  <c r="X873" i="7" s="1"/>
  <c r="Z376" i="7"/>
  <c r="AC376" i="7"/>
  <c r="C1874" i="6"/>
  <c r="Y650" i="7"/>
  <c r="Y376" i="7"/>
  <c r="W484" i="8"/>
  <c r="AB650" i="8"/>
  <c r="AC538" i="7"/>
  <c r="Z538" i="7"/>
  <c r="Z650" i="7"/>
  <c r="W267" i="7"/>
  <c r="Y538" i="7"/>
  <c r="Z539" i="8"/>
  <c r="AC539" i="8"/>
  <c r="Z704" i="7"/>
  <c r="AC704" i="7"/>
  <c r="Y539" i="8"/>
  <c r="Y485" i="7"/>
  <c r="Y704" i="7"/>
  <c r="AA704" i="7" s="1"/>
  <c r="W153" i="8"/>
  <c r="X153" i="8" s="1"/>
  <c r="Z153" i="8" s="1"/>
  <c r="Z211" i="12"/>
  <c r="W596" i="7"/>
  <c r="B1785" i="6"/>
  <c r="D1785" i="6" s="1"/>
  <c r="AA595" i="7"/>
  <c r="Y809" i="8"/>
  <c r="W155" i="7"/>
  <c r="X155" i="7" s="1"/>
  <c r="Y156" i="12"/>
  <c r="X320" i="7"/>
  <c r="W864" i="8"/>
  <c r="AB156" i="12" l="1"/>
  <c r="AA316" i="12"/>
  <c r="AA211" i="8"/>
  <c r="AA539" i="8"/>
  <c r="AA264" i="8"/>
  <c r="D1829" i="6"/>
  <c r="B1830" i="6" s="1"/>
  <c r="C1830" i="6" s="1"/>
  <c r="B2431" i="6"/>
  <c r="E2430" i="6"/>
  <c r="D2430" i="6"/>
  <c r="C2431" i="6" s="1"/>
  <c r="AA809" i="8"/>
  <c r="AA266" i="12"/>
  <c r="E2651" i="6"/>
  <c r="D2651" i="6"/>
  <c r="X864" i="8"/>
  <c r="AC864" i="8" s="1"/>
  <c r="AB538" i="7"/>
  <c r="W539" i="7" s="1"/>
  <c r="D2717" i="6"/>
  <c r="B2718" i="6" s="1"/>
  <c r="B2298" i="6"/>
  <c r="D2297" i="6"/>
  <c r="E2297" i="6"/>
  <c r="AB650" i="7"/>
  <c r="E2849" i="6"/>
  <c r="D2849" i="6"/>
  <c r="AA376" i="7"/>
  <c r="AB485" i="7"/>
  <c r="W486" i="7" s="1"/>
  <c r="Y811" i="7"/>
  <c r="Z811" i="7"/>
  <c r="AC811" i="7"/>
  <c r="D2786" i="6"/>
  <c r="E2786" i="6"/>
  <c r="Z429" i="7"/>
  <c r="AC429" i="7"/>
  <c r="Y429" i="7"/>
  <c r="W317" i="12"/>
  <c r="X317" i="12" s="1"/>
  <c r="AB211" i="12"/>
  <c r="AC596" i="8"/>
  <c r="Y596" i="8"/>
  <c r="AC320" i="7"/>
  <c r="Z320" i="7"/>
  <c r="AB320" i="7" s="1"/>
  <c r="W651" i="7"/>
  <c r="W761" i="7"/>
  <c r="Y710" i="8"/>
  <c r="AA710" i="8" s="1"/>
  <c r="AC710" i="8"/>
  <c r="AA760" i="7"/>
  <c r="W980" i="8"/>
  <c r="W651" i="8"/>
  <c r="X651" i="8" s="1"/>
  <c r="Z596" i="8"/>
  <c r="AB765" i="8"/>
  <c r="E2588" i="6"/>
  <c r="D2588" i="6"/>
  <c r="B2589" i="6"/>
  <c r="C2589" i="6" s="1"/>
  <c r="Y320" i="7"/>
  <c r="AA979" i="8"/>
  <c r="X924" i="8"/>
  <c r="AB704" i="7"/>
  <c r="Y924" i="7"/>
  <c r="AC924" i="7"/>
  <c r="AB1035" i="8"/>
  <c r="AB809" i="8"/>
  <c r="AB1090" i="8"/>
  <c r="Y873" i="7"/>
  <c r="AC873" i="7"/>
  <c r="Z873" i="7"/>
  <c r="AB873" i="7" s="1"/>
  <c r="X267" i="7"/>
  <c r="Y267" i="7" s="1"/>
  <c r="Y320" i="8"/>
  <c r="AA320" i="8" s="1"/>
  <c r="AC320" i="8"/>
  <c r="X484" i="8"/>
  <c r="Y484" i="8" s="1"/>
  <c r="X209" i="7"/>
  <c r="AA156" i="12"/>
  <c r="Y155" i="7"/>
  <c r="AA155" i="7" s="1"/>
  <c r="AC155" i="7"/>
  <c r="AA650" i="7"/>
  <c r="B1740" i="6"/>
  <c r="D1740" i="6" s="1"/>
  <c r="B1875" i="6"/>
  <c r="D1875" i="6" s="1"/>
  <c r="AB264" i="8"/>
  <c r="AC429" i="8"/>
  <c r="Y429" i="8"/>
  <c r="AA429" i="8" s="1"/>
  <c r="C1785" i="6"/>
  <c r="Y153" i="8"/>
  <c r="AA153" i="8" s="1"/>
  <c r="AC153" i="8"/>
  <c r="AA485" i="7"/>
  <c r="W157" i="12"/>
  <c r="AC375" i="8"/>
  <c r="Z375" i="8"/>
  <c r="AB375" i="8" s="1"/>
  <c r="Z155" i="7"/>
  <c r="AB539" i="8"/>
  <c r="Z924" i="7"/>
  <c r="X596" i="7"/>
  <c r="Y596" i="7" s="1"/>
  <c r="AA538" i="7"/>
  <c r="AB376" i="7"/>
  <c r="W267" i="12"/>
  <c r="AB211" i="8"/>
  <c r="AB429" i="8" l="1"/>
  <c r="B2850" i="6"/>
  <c r="E2431" i="6"/>
  <c r="D2431" i="6"/>
  <c r="B2432" i="6"/>
  <c r="D43" i="6" s="1"/>
  <c r="C2850" i="6"/>
  <c r="AA811" i="7"/>
  <c r="X267" i="12"/>
  <c r="Y267" i="12" s="1"/>
  <c r="D1830" i="6"/>
  <c r="B1831" i="6" s="1"/>
  <c r="D1831" i="6" s="1"/>
  <c r="Y864" i="8"/>
  <c r="C2298" i="6"/>
  <c r="Z864" i="8"/>
  <c r="AA375" i="8"/>
  <c r="C2718" i="6"/>
  <c r="E2718" i="6" s="1"/>
  <c r="B2652" i="6"/>
  <c r="C2652" i="6" s="1"/>
  <c r="AB596" i="8"/>
  <c r="W597" i="8" s="1"/>
  <c r="AB924" i="7"/>
  <c r="W925" i="7" s="1"/>
  <c r="AA429" i="7"/>
  <c r="E2589" i="6"/>
  <c r="D2589" i="6"/>
  <c r="AC317" i="12"/>
  <c r="Y317" i="12"/>
  <c r="Z317" i="12"/>
  <c r="AB317" i="12" s="1"/>
  <c r="W321" i="7"/>
  <c r="Y651" i="8"/>
  <c r="AC651" i="8"/>
  <c r="Z651" i="8"/>
  <c r="AB651" i="8" s="1"/>
  <c r="W874" i="7"/>
  <c r="Z924" i="8"/>
  <c r="AC924" i="8"/>
  <c r="C1740" i="6"/>
  <c r="AA873" i="7"/>
  <c r="AA320" i="7"/>
  <c r="X157" i="12"/>
  <c r="AC209" i="7"/>
  <c r="Z209" i="7"/>
  <c r="Y209" i="7"/>
  <c r="AA209" i="7" s="1"/>
  <c r="AA596" i="8"/>
  <c r="W377" i="7"/>
  <c r="X377" i="7" s="1"/>
  <c r="Z377" i="7" s="1"/>
  <c r="X486" i="7"/>
  <c r="X761" i="7"/>
  <c r="AB429" i="7"/>
  <c r="Y924" i="8"/>
  <c r="W1091" i="8"/>
  <c r="X1091" i="8" s="1"/>
  <c r="Z1091" i="8" s="1"/>
  <c r="AB320" i="8"/>
  <c r="B2787" i="6"/>
  <c r="C2787" i="6" s="1"/>
  <c r="W810" i="8"/>
  <c r="X810" i="8" s="1"/>
  <c r="Z810" i="8"/>
  <c r="W1036" i="8"/>
  <c r="X1036" i="8" s="1"/>
  <c r="Z1036" i="8" s="1"/>
  <c r="W430" i="8"/>
  <c r="X430" i="8"/>
  <c r="AC430" i="8" s="1"/>
  <c r="AA924" i="7"/>
  <c r="AB153" i="8"/>
  <c r="AB811" i="7"/>
  <c r="W265" i="8"/>
  <c r="X265" i="8" s="1"/>
  <c r="Z265" i="8" s="1"/>
  <c r="W705" i="7"/>
  <c r="X705" i="7" s="1"/>
  <c r="Z705" i="7" s="1"/>
  <c r="W212" i="8"/>
  <c r="X212" i="8" s="1"/>
  <c r="Z212" i="8" s="1"/>
  <c r="Z267" i="7"/>
  <c r="AB267" i="7" s="1"/>
  <c r="AC267" i="7"/>
  <c r="AB864" i="8"/>
  <c r="C1875" i="6"/>
  <c r="W212" i="12"/>
  <c r="X212" i="12" s="1"/>
  <c r="X539" i="7"/>
  <c r="Z596" i="7"/>
  <c r="AB596" i="7" s="1"/>
  <c r="AC596" i="7"/>
  <c r="AC484" i="8"/>
  <c r="Z484" i="8"/>
  <c r="AB484" i="8" s="1"/>
  <c r="X980" i="8"/>
  <c r="Y980" i="8" s="1"/>
  <c r="AB710" i="8"/>
  <c r="W540" i="8"/>
  <c r="X540" i="8" s="1"/>
  <c r="Z540" i="8" s="1"/>
  <c r="X651" i="7"/>
  <c r="AB155" i="7"/>
  <c r="B1786" i="6"/>
  <c r="D1786" i="6" s="1"/>
  <c r="W376" i="8"/>
  <c r="W766" i="8"/>
  <c r="X766" i="8" s="1"/>
  <c r="Z766" i="8" s="1"/>
  <c r="X376" i="8" l="1"/>
  <c r="E2652" i="6"/>
  <c r="D2652" i="6"/>
  <c r="B2590" i="6"/>
  <c r="D2850" i="6"/>
  <c r="E2850" i="6"/>
  <c r="B2851" i="6"/>
  <c r="C2851" i="6" s="1"/>
  <c r="AA267" i="7"/>
  <c r="Z267" i="12"/>
  <c r="AB267" i="12" s="1"/>
  <c r="D2718" i="6"/>
  <c r="B2719" i="6" s="1"/>
  <c r="C2719" i="6" s="1"/>
  <c r="AA864" i="8"/>
  <c r="C2590" i="6"/>
  <c r="E2590" i="6" s="1"/>
  <c r="AC267" i="12"/>
  <c r="D2298" i="6"/>
  <c r="B2299" i="6"/>
  <c r="C2299" i="6" s="1"/>
  <c r="E2298" i="6"/>
  <c r="AB924" i="8"/>
  <c r="AC376" i="8"/>
  <c r="Z376" i="8"/>
  <c r="Y376" i="8"/>
  <c r="AA376" i="8" s="1"/>
  <c r="E2787" i="6"/>
  <c r="D2787" i="6"/>
  <c r="Y377" i="7"/>
  <c r="AA377" i="7" s="1"/>
  <c r="AC377" i="7"/>
  <c r="AA924" i="8"/>
  <c r="W156" i="7"/>
  <c r="X156" i="7" s="1"/>
  <c r="W430" i="7"/>
  <c r="X430" i="7" s="1"/>
  <c r="Z430" i="7" s="1"/>
  <c r="W597" i="7"/>
  <c r="W652" i="8"/>
  <c r="Y265" i="8"/>
  <c r="AA265" i="8" s="1"/>
  <c r="AC265" i="8"/>
  <c r="AC157" i="12"/>
  <c r="Z157" i="12"/>
  <c r="AC212" i="12"/>
  <c r="Y212" i="12"/>
  <c r="X321" i="7"/>
  <c r="W865" i="8"/>
  <c r="Z486" i="7"/>
  <c r="AC486" i="7"/>
  <c r="AA596" i="7"/>
  <c r="AC212" i="8"/>
  <c r="Y212" i="8"/>
  <c r="AA212" i="8" s="1"/>
  <c r="AC1091" i="8"/>
  <c r="Y1091" i="8"/>
  <c r="AA1091" i="8" s="1"/>
  <c r="AA484" i="8"/>
  <c r="AC651" i="7"/>
  <c r="Z651" i="7"/>
  <c r="AB209" i="7"/>
  <c r="C1831" i="6"/>
  <c r="Y651" i="7"/>
  <c r="W812" i="7"/>
  <c r="X812" i="7" s="1"/>
  <c r="AA651" i="8"/>
  <c r="W154" i="8"/>
  <c r="X154" i="8" s="1"/>
  <c r="Z154" i="8" s="1"/>
  <c r="Y157" i="12"/>
  <c r="W711" i="8"/>
  <c r="X711" i="8" s="1"/>
  <c r="Z711" i="8" s="1"/>
  <c r="Y486" i="7"/>
  <c r="AA486" i="7" s="1"/>
  <c r="X874" i="7"/>
  <c r="Y874" i="7" s="1"/>
  <c r="W318" i="12"/>
  <c r="AA317" i="12"/>
  <c r="W485" i="8"/>
  <c r="X597" i="8"/>
  <c r="C1786" i="6"/>
  <c r="Y705" i="7"/>
  <c r="AA705" i="7" s="1"/>
  <c r="AC705" i="7"/>
  <c r="Z539" i="7"/>
  <c r="AC539" i="7"/>
  <c r="Y539" i="7"/>
  <c r="Z761" i="7"/>
  <c r="AC761" i="7"/>
  <c r="B1876" i="6"/>
  <c r="D1876" i="6" s="1"/>
  <c r="W321" i="8"/>
  <c r="X321" i="8" s="1"/>
  <c r="Z321" i="8" s="1"/>
  <c r="Y430" i="8"/>
  <c r="W268" i="7"/>
  <c r="X268" i="7" s="1"/>
  <c r="Z430" i="8"/>
  <c r="AB430" i="8" s="1"/>
  <c r="B1741" i="6"/>
  <c r="D1741" i="6" s="1"/>
  <c r="W925" i="8"/>
  <c r="AC1036" i="8"/>
  <c r="Y1036" i="8"/>
  <c r="AA1036" i="8" s="1"/>
  <c r="Y810" i="8"/>
  <c r="AA810" i="8" s="1"/>
  <c r="AC810" i="8"/>
  <c r="AC540" i="8"/>
  <c r="Y540" i="8"/>
  <c r="AA540" i="8" s="1"/>
  <c r="Z212" i="12"/>
  <c r="X925" i="7"/>
  <c r="Z980" i="8"/>
  <c r="AB980" i="8" s="1"/>
  <c r="AC980" i="8"/>
  <c r="Y761" i="7"/>
  <c r="AC766" i="8"/>
  <c r="Y766" i="8"/>
  <c r="AA766" i="8" s="1"/>
  <c r="AA267" i="12"/>
  <c r="AB212" i="8" l="1"/>
  <c r="X865" i="8"/>
  <c r="AB810" i="8"/>
  <c r="AB157" i="12"/>
  <c r="W268" i="12"/>
  <c r="AB265" i="8"/>
  <c r="D2719" i="6"/>
  <c r="E2719" i="6"/>
  <c r="B2720" i="6" s="1"/>
  <c r="C2720" i="6" s="1"/>
  <c r="AB651" i="7"/>
  <c r="W652" i="7" s="1"/>
  <c r="D2590" i="6"/>
  <c r="B2591" i="6" s="1"/>
  <c r="C2591" i="6" s="1"/>
  <c r="D2299" i="6"/>
  <c r="E2299" i="6"/>
  <c r="B2300" i="6"/>
  <c r="B43" i="6" s="1"/>
  <c r="B2788" i="6"/>
  <c r="C2788" i="6" s="1"/>
  <c r="AB212" i="12"/>
  <c r="W213" i="12" s="1"/>
  <c r="AB761" i="7"/>
  <c r="W762" i="7" s="1"/>
  <c r="E2851" i="6"/>
  <c r="D2851" i="6"/>
  <c r="B2852" i="6"/>
  <c r="C2852" i="6" s="1"/>
  <c r="AB539" i="7"/>
  <c r="W540" i="7" s="1"/>
  <c r="B2653" i="6"/>
  <c r="C2653" i="6" s="1"/>
  <c r="Z268" i="7"/>
  <c r="Y268" i="7"/>
  <c r="AA268" i="7" s="1"/>
  <c r="AC268" i="7"/>
  <c r="E2720" i="6"/>
  <c r="D2720" i="6"/>
  <c r="W811" i="8"/>
  <c r="X811" i="8" s="1"/>
  <c r="X925" i="8"/>
  <c r="Y321" i="8"/>
  <c r="AA321" i="8" s="1"/>
  <c r="AC321" i="8"/>
  <c r="Y812" i="7"/>
  <c r="AC812" i="7"/>
  <c r="X597" i="7"/>
  <c r="Y597" i="7" s="1"/>
  <c r="AC925" i="7"/>
  <c r="Z925" i="7"/>
  <c r="W210" i="7"/>
  <c r="X210" i="7" s="1"/>
  <c r="AC321" i="7"/>
  <c r="Z321" i="7"/>
  <c r="AA212" i="12"/>
  <c r="W158" i="12"/>
  <c r="AB377" i="7"/>
  <c r="W266" i="8"/>
  <c r="X266" i="8" s="1"/>
  <c r="Z266" i="8" s="1"/>
  <c r="X652" i="8"/>
  <c r="C1876" i="6"/>
  <c r="Z812" i="7"/>
  <c r="AB376" i="8"/>
  <c r="AA539" i="7"/>
  <c r="AA980" i="8"/>
  <c r="AC156" i="7"/>
  <c r="Y156" i="7"/>
  <c r="Y321" i="7"/>
  <c r="W431" i="8"/>
  <c r="X485" i="8"/>
  <c r="Y485" i="8" s="1"/>
  <c r="B1787" i="6"/>
  <c r="D1787" i="6" s="1"/>
  <c r="AC711" i="8"/>
  <c r="Y711" i="8"/>
  <c r="AA711" i="8" s="1"/>
  <c r="AA157" i="12"/>
  <c r="W213" i="8"/>
  <c r="X213" i="8" s="1"/>
  <c r="AB705" i="7"/>
  <c r="AB1091" i="8"/>
  <c r="X318" i="12"/>
  <c r="Y318" i="12" s="1"/>
  <c r="AA761" i="7"/>
  <c r="AA651" i="7"/>
  <c r="AB486" i="7"/>
  <c r="Y430" i="7"/>
  <c r="AA430" i="7" s="1"/>
  <c r="AC430" i="7"/>
  <c r="Y865" i="8"/>
  <c r="AC865" i="8"/>
  <c r="Y925" i="7"/>
  <c r="AA925" i="7" s="1"/>
  <c r="C1741" i="6"/>
  <c r="AC597" i="8"/>
  <c r="Z597" i="8"/>
  <c r="AA430" i="8"/>
  <c r="Y597" i="8"/>
  <c r="AA597" i="8" s="1"/>
  <c r="AC154" i="8"/>
  <c r="Y154" i="8"/>
  <c r="AA154" i="8" s="1"/>
  <c r="X268" i="12"/>
  <c r="Y268" i="12" s="1"/>
  <c r="AB540" i="8"/>
  <c r="W981" i="8"/>
  <c r="AB1036" i="8"/>
  <c r="Z874" i="7"/>
  <c r="AB874" i="7" s="1"/>
  <c r="AC874" i="7"/>
  <c r="B1832" i="6"/>
  <c r="D1832" i="6" s="1"/>
  <c r="Z865" i="8"/>
  <c r="Z156" i="7"/>
  <c r="AB766" i="8"/>
  <c r="AA156" i="7" l="1"/>
  <c r="D2788" i="6"/>
  <c r="E2788" i="6"/>
  <c r="B2789" i="6" s="1"/>
  <c r="Y811" i="8"/>
  <c r="Z811" i="8"/>
  <c r="AB811" i="8" s="1"/>
  <c r="AC811" i="8"/>
  <c r="C1787" i="6"/>
  <c r="D2852" i="6"/>
  <c r="E2852" i="6"/>
  <c r="B2853" i="6"/>
  <c r="C2853" i="6"/>
  <c r="AA874" i="7"/>
  <c r="B2721" i="6"/>
  <c r="C2721" i="6" s="1"/>
  <c r="AB321" i="7"/>
  <c r="W322" i="7" s="1"/>
  <c r="AB865" i="8"/>
  <c r="W866" i="8" s="1"/>
  <c r="AA812" i="7"/>
  <c r="E2653" i="6"/>
  <c r="D2653" i="6"/>
  <c r="C2789" i="6"/>
  <c r="Y213" i="8"/>
  <c r="AC213" i="8"/>
  <c r="Z213" i="8"/>
  <c r="AB213" i="8" s="1"/>
  <c r="X213" i="12"/>
  <c r="Y213" i="12" s="1"/>
  <c r="AB812" i="7"/>
  <c r="AA865" i="8"/>
  <c r="W1037" i="8"/>
  <c r="X1037" i="8" s="1"/>
  <c r="W487" i="7"/>
  <c r="X487" i="7" s="1"/>
  <c r="Z487" i="7" s="1"/>
  <c r="AC266" i="8"/>
  <c r="AB925" i="7"/>
  <c r="X158" i="12"/>
  <c r="Y158" i="12" s="1"/>
  <c r="X540" i="7"/>
  <c r="Y540" i="7" s="1"/>
  <c r="Y210" i="7"/>
  <c r="AC210" i="7"/>
  <c r="E2591" i="6"/>
  <c r="D2591" i="6"/>
  <c r="B2592" i="6" s="1"/>
  <c r="C2592" i="6" s="1"/>
  <c r="X652" i="7"/>
  <c r="Y652" i="7" s="1"/>
  <c r="AB597" i="8"/>
  <c r="W378" i="7"/>
  <c r="X378" i="7" s="1"/>
  <c r="Z378" i="7" s="1"/>
  <c r="Z268" i="12"/>
  <c r="AB268" i="12" s="1"/>
  <c r="AC268" i="12"/>
  <c r="W1092" i="8"/>
  <c r="X1092" i="8" s="1"/>
  <c r="W377" i="8"/>
  <c r="X377" i="8" s="1"/>
  <c r="Z377" i="8" s="1"/>
  <c r="C1832" i="6"/>
  <c r="W706" i="7"/>
  <c r="X706" i="7" s="1"/>
  <c r="Y266" i="8"/>
  <c r="AA266" i="8" s="1"/>
  <c r="AA321" i="7"/>
  <c r="B1877" i="6"/>
  <c r="D1877" i="6" s="1"/>
  <c r="Z210" i="7"/>
  <c r="AB210" i="7" s="1"/>
  <c r="X431" i="8"/>
  <c r="Y431" i="8" s="1"/>
  <c r="X762" i="7"/>
  <c r="W541" i="8"/>
  <c r="X541" i="8" s="1"/>
  <c r="Z541" i="8"/>
  <c r="B1742" i="6"/>
  <c r="D1742" i="6" s="1"/>
  <c r="Z925" i="8"/>
  <c r="AC925" i="8"/>
  <c r="Z485" i="8"/>
  <c r="AB485" i="8" s="1"/>
  <c r="AC485" i="8"/>
  <c r="W875" i="7"/>
  <c r="AC652" i="8"/>
  <c r="Z652" i="8"/>
  <c r="Y652" i="8"/>
  <c r="AA652" i="8" s="1"/>
  <c r="AB321" i="8"/>
  <c r="Z597" i="7"/>
  <c r="AB597" i="7" s="1"/>
  <c r="AC597" i="7"/>
  <c r="X981" i="8"/>
  <c r="W767" i="8"/>
  <c r="X767" i="8" s="1"/>
  <c r="AB430" i="7"/>
  <c r="Y925" i="8"/>
  <c r="AB268" i="7"/>
  <c r="AB156" i="7"/>
  <c r="AC318" i="12"/>
  <c r="Z318" i="12"/>
  <c r="AB318" i="12" s="1"/>
  <c r="B1788" i="6"/>
  <c r="D1788" i="6" s="1"/>
  <c r="AB711" i="8"/>
  <c r="AB154" i="8"/>
  <c r="AA318" i="12" l="1"/>
  <c r="B2654" i="6"/>
  <c r="AB266" i="8"/>
  <c r="AA597" i="7"/>
  <c r="AA811" i="8"/>
  <c r="E2853" i="6"/>
  <c r="D2853" i="6"/>
  <c r="X875" i="7"/>
  <c r="AB925" i="8"/>
  <c r="W926" i="8" s="1"/>
  <c r="C2654" i="6"/>
  <c r="Y875" i="7"/>
  <c r="AC875" i="7"/>
  <c r="Z875" i="7"/>
  <c r="AB875" i="7" s="1"/>
  <c r="D2592" i="6"/>
  <c r="E2592" i="6"/>
  <c r="B2593" i="6" s="1"/>
  <c r="AA158" i="12"/>
  <c r="W712" i="8"/>
  <c r="X712" i="8" s="1"/>
  <c r="C1788" i="6"/>
  <c r="W319" i="12"/>
  <c r="X319" i="12" s="1"/>
  <c r="W269" i="12"/>
  <c r="W267" i="8"/>
  <c r="X267" i="8"/>
  <c r="Y267" i="8" s="1"/>
  <c r="W812" i="8"/>
  <c r="X812" i="8" s="1"/>
  <c r="AA485" i="8"/>
  <c r="AC762" i="7"/>
  <c r="Z762" i="7"/>
  <c r="Y1092" i="8"/>
  <c r="AC1092" i="8"/>
  <c r="E2721" i="6"/>
  <c r="D2721" i="6"/>
  <c r="W926" i="7"/>
  <c r="X926" i="7" s="1"/>
  <c r="AC487" i="7"/>
  <c r="Y487" i="7"/>
  <c r="AA487" i="7" s="1"/>
  <c r="Y1037" i="8"/>
  <c r="AC1037" i="8"/>
  <c r="D2789" i="6"/>
  <c r="E2789" i="6"/>
  <c r="B2790" i="6" s="1"/>
  <c r="Y706" i="7"/>
  <c r="AC706" i="7"/>
  <c r="Z981" i="8"/>
  <c r="AC981" i="8"/>
  <c r="Y981" i="8"/>
  <c r="AA981" i="8" s="1"/>
  <c r="Y762" i="7"/>
  <c r="AA762" i="7" s="1"/>
  <c r="W813" i="7"/>
  <c r="X813" i="7" s="1"/>
  <c r="Z813" i="7" s="1"/>
  <c r="AC158" i="12"/>
  <c r="Z158" i="12"/>
  <c r="AB158" i="12" s="1"/>
  <c r="AB652" i="8"/>
  <c r="C1877" i="6"/>
  <c r="W157" i="7"/>
  <c r="X157" i="7" s="1"/>
  <c r="AA210" i="7"/>
  <c r="AC378" i="7"/>
  <c r="Y378" i="7"/>
  <c r="AA378" i="7" s="1"/>
  <c r="W431" i="7"/>
  <c r="X431" i="7" s="1"/>
  <c r="Z431" i="7" s="1"/>
  <c r="AC767" i="8"/>
  <c r="Y767" i="8"/>
  <c r="Y541" i="8"/>
  <c r="AA541" i="8" s="1"/>
  <c r="AC541" i="8"/>
  <c r="Z540" i="7"/>
  <c r="AB540" i="7" s="1"/>
  <c r="AC540" i="7"/>
  <c r="X866" i="8"/>
  <c r="Z706" i="7"/>
  <c r="B1833" i="6"/>
  <c r="D1833" i="6" s="1"/>
  <c r="AC431" i="8"/>
  <c r="Z431" i="8"/>
  <c r="AB431" i="8" s="1"/>
  <c r="W486" i="8"/>
  <c r="W322" i="8"/>
  <c r="X322" i="8" s="1"/>
  <c r="Z1092" i="8"/>
  <c r="W211" i="7"/>
  <c r="W214" i="8"/>
  <c r="AA213" i="8"/>
  <c r="AB487" i="7"/>
  <c r="W269" i="7"/>
  <c r="X269" i="7" s="1"/>
  <c r="Z269" i="7" s="1"/>
  <c r="X322" i="7"/>
  <c r="Y322" i="7" s="1"/>
  <c r="AA925" i="8"/>
  <c r="C1742" i="6"/>
  <c r="Z1037" i="8"/>
  <c r="W598" i="8"/>
  <c r="X598" i="8" s="1"/>
  <c r="Z598" i="8" s="1"/>
  <c r="W155" i="8"/>
  <c r="X155" i="8" s="1"/>
  <c r="Z767" i="8"/>
  <c r="Z652" i="7"/>
  <c r="AB652" i="7" s="1"/>
  <c r="AC652" i="7"/>
  <c r="W598" i="7"/>
  <c r="X598" i="7" s="1"/>
  <c r="Y377" i="8"/>
  <c r="AA377" i="8" s="1"/>
  <c r="AC377" i="8"/>
  <c r="Z213" i="12"/>
  <c r="AB213" i="12" s="1"/>
  <c r="AC213" i="12"/>
  <c r="AA268" i="12"/>
  <c r="AA431" i="8" l="1"/>
  <c r="AB1092" i="8"/>
  <c r="AB767" i="8"/>
  <c r="B2854" i="6"/>
  <c r="B2722" i="6"/>
  <c r="AA540" i="7"/>
  <c r="AB1037" i="8"/>
  <c r="W1038" i="8" s="1"/>
  <c r="AB541" i="8"/>
  <c r="W542" i="8" s="1"/>
  <c r="X542" i="8" s="1"/>
  <c r="AB706" i="7"/>
  <c r="D2654" i="6"/>
  <c r="E2654" i="6"/>
  <c r="B2655" i="6" s="1"/>
  <c r="C2655" i="6"/>
  <c r="C2854" i="6"/>
  <c r="C2722" i="6"/>
  <c r="C2593" i="6"/>
  <c r="Y319" i="12"/>
  <c r="Z319" i="12"/>
  <c r="AC319" i="12"/>
  <c r="Z598" i="7"/>
  <c r="AC598" i="7"/>
  <c r="Y598" i="7"/>
  <c r="AA598" i="7" s="1"/>
  <c r="Y926" i="7"/>
  <c r="AC926" i="7"/>
  <c r="Z926" i="7"/>
  <c r="AB926" i="7" s="1"/>
  <c r="AC157" i="7"/>
  <c r="Y157" i="7"/>
  <c r="AC267" i="8"/>
  <c r="X269" i="12"/>
  <c r="Y269" i="12" s="1"/>
  <c r="B1878" i="6"/>
  <c r="D1878" i="6" s="1"/>
  <c r="C2790" i="6"/>
  <c r="X926" i="8"/>
  <c r="Y926" i="8" s="1"/>
  <c r="AA213" i="12"/>
  <c r="AA1037" i="8"/>
  <c r="AB762" i="7"/>
  <c r="W876" i="7"/>
  <c r="Y812" i="8"/>
  <c r="AC812" i="8"/>
  <c r="X214" i="8"/>
  <c r="Y214" i="8" s="1"/>
  <c r="W768" i="8"/>
  <c r="X211" i="7"/>
  <c r="Y211" i="7" s="1"/>
  <c r="W707" i="7"/>
  <c r="AC866" i="8"/>
  <c r="Z866" i="8"/>
  <c r="Y866" i="8"/>
  <c r="AA866" i="8" s="1"/>
  <c r="Z157" i="7"/>
  <c r="B1743" i="6"/>
  <c r="D1743" i="6" s="1"/>
  <c r="W653" i="8"/>
  <c r="X653" i="8" s="1"/>
  <c r="Z653" i="8" s="1"/>
  <c r="B1789" i="6"/>
  <c r="D1789" i="6" s="1"/>
  <c r="AB377" i="8"/>
  <c r="W159" i="12"/>
  <c r="X159" i="12" s="1"/>
  <c r="Y155" i="8"/>
  <c r="AC155" i="8"/>
  <c r="AB981" i="8"/>
  <c r="Z155" i="8"/>
  <c r="Z267" i="8"/>
  <c r="AB267" i="8" s="1"/>
  <c r="AA706" i="7"/>
  <c r="W1093" i="8"/>
  <c r="Y322" i="8"/>
  <c r="AA322" i="8" s="1"/>
  <c r="AC322" i="8"/>
  <c r="AA767" i="8"/>
  <c r="AA1092" i="8"/>
  <c r="W432" i="8"/>
  <c r="X486" i="8"/>
  <c r="Y486" i="8" s="1"/>
  <c r="AC712" i="8"/>
  <c r="Y712" i="8"/>
  <c r="AA875" i="7"/>
  <c r="W488" i="7"/>
  <c r="X488" i="7" s="1"/>
  <c r="W653" i="7"/>
  <c r="C1833" i="6"/>
  <c r="AB378" i="7"/>
  <c r="AC598" i="8"/>
  <c r="Y598" i="8"/>
  <c r="AA598" i="8" s="1"/>
  <c r="W541" i="7"/>
  <c r="X541" i="7" s="1"/>
  <c r="Z322" i="8"/>
  <c r="W214" i="12"/>
  <c r="Z322" i="7"/>
  <c r="AB322" i="7" s="1"/>
  <c r="AC322" i="7"/>
  <c r="X432" i="8"/>
  <c r="Y432" i="8" s="1"/>
  <c r="AC269" i="7"/>
  <c r="Y269" i="7"/>
  <c r="AA269" i="7" s="1"/>
  <c r="AC431" i="7"/>
  <c r="Y431" i="7"/>
  <c r="AA431" i="7" s="1"/>
  <c r="AC813" i="7"/>
  <c r="Y813" i="7"/>
  <c r="AA813" i="7" s="1"/>
  <c r="Z812" i="8"/>
  <c r="Z712" i="8"/>
  <c r="AA652" i="7"/>
  <c r="AB155" i="8" l="1"/>
  <c r="AC432" i="8"/>
  <c r="AB319" i="12"/>
  <c r="W320" i="12" s="1"/>
  <c r="Z542" i="8"/>
  <c r="AC542" i="8"/>
  <c r="D2854" i="6"/>
  <c r="E2854" i="6"/>
  <c r="B2855" i="6"/>
  <c r="C2855" i="6" s="1"/>
  <c r="AB431" i="7"/>
  <c r="AB322" i="8"/>
  <c r="W323" i="8" s="1"/>
  <c r="X323" i="8" s="1"/>
  <c r="AB712" i="8"/>
  <c r="D2655" i="6"/>
  <c r="E2655" i="6"/>
  <c r="Z432" i="8"/>
  <c r="AB432" i="8" s="1"/>
  <c r="AB812" i="8"/>
  <c r="W813" i="8" s="1"/>
  <c r="AB157" i="7"/>
  <c r="W158" i="7" s="1"/>
  <c r="Y488" i="7"/>
  <c r="Z488" i="7"/>
  <c r="AB488" i="7" s="1"/>
  <c r="AC488" i="7"/>
  <c r="AC159" i="12"/>
  <c r="Y159" i="12"/>
  <c r="Z159" i="12"/>
  <c r="AB159" i="12" s="1"/>
  <c r="Z541" i="7"/>
  <c r="AC541" i="7"/>
  <c r="Y541" i="7"/>
  <c r="AA541" i="7" s="1"/>
  <c r="W713" i="8"/>
  <c r="X707" i="7"/>
  <c r="W378" i="8"/>
  <c r="X378" i="8" s="1"/>
  <c r="Z378" i="8" s="1"/>
  <c r="W268" i="8"/>
  <c r="C1789" i="6"/>
  <c r="W379" i="7"/>
  <c r="X379" i="7" s="1"/>
  <c r="X1038" i="8"/>
  <c r="Y1038" i="8" s="1"/>
  <c r="AA157" i="7"/>
  <c r="X214" i="12"/>
  <c r="Y214" i="12" s="1"/>
  <c r="X1093" i="8"/>
  <c r="E2722" i="6"/>
  <c r="D2722" i="6"/>
  <c r="B2723" i="6"/>
  <c r="C2723" i="6" s="1"/>
  <c r="AC214" i="8"/>
  <c r="Z214" i="8"/>
  <c r="AB214" i="8" s="1"/>
  <c r="C1878" i="6"/>
  <c r="AA712" i="8"/>
  <c r="AA812" i="8"/>
  <c r="W763" i="7"/>
  <c r="X763" i="7" s="1"/>
  <c r="AC211" i="7"/>
  <c r="Z211" i="7"/>
  <c r="AB211" i="7" s="1"/>
  <c r="W927" i="7"/>
  <c r="C1743" i="6"/>
  <c r="AA926" i="7"/>
  <c r="AA322" i="7"/>
  <c r="AB598" i="7"/>
  <c r="AB269" i="7"/>
  <c r="AA319" i="12"/>
  <c r="B1834" i="6"/>
  <c r="D1834" i="6" s="1"/>
  <c r="E2593" i="6"/>
  <c r="D2593" i="6"/>
  <c r="AB813" i="7"/>
  <c r="X768" i="8"/>
  <c r="Y542" i="8"/>
  <c r="AA542" i="8" s="1"/>
  <c r="AA267" i="8"/>
  <c r="W432" i="7"/>
  <c r="X432" i="7" s="1"/>
  <c r="X876" i="7"/>
  <c r="AC269" i="12"/>
  <c r="Z269" i="12"/>
  <c r="AB269" i="12" s="1"/>
  <c r="AC486" i="8"/>
  <c r="Z486" i="8"/>
  <c r="AB486" i="8" s="1"/>
  <c r="AB866" i="8"/>
  <c r="W156" i="8"/>
  <c r="W982" i="8"/>
  <c r="X982" i="8" s="1"/>
  <c r="Z982" i="8" s="1"/>
  <c r="AC653" i="8"/>
  <c r="Y653" i="8"/>
  <c r="AA653" i="8" s="1"/>
  <c r="AA155" i="8"/>
  <c r="Z926" i="8"/>
  <c r="AB926" i="8" s="1"/>
  <c r="AC926" i="8"/>
  <c r="W323" i="7"/>
  <c r="X653" i="7"/>
  <c r="E2790" i="6"/>
  <c r="D2790" i="6"/>
  <c r="AB598" i="8"/>
  <c r="AB653" i="8" l="1"/>
  <c r="B2594" i="6"/>
  <c r="C2594" i="6" s="1"/>
  <c r="E2855" i="6"/>
  <c r="D2855" i="6"/>
  <c r="B2856" i="6"/>
  <c r="C2856" i="6"/>
  <c r="AA432" i="8"/>
  <c r="B2656" i="6"/>
  <c r="C2656" i="6" s="1"/>
  <c r="B2791" i="6"/>
  <c r="C2791" i="6" s="1"/>
  <c r="E2723" i="6"/>
  <c r="D2723" i="6"/>
  <c r="Y323" i="8"/>
  <c r="Z323" i="8"/>
  <c r="AB323" i="8" s="1"/>
  <c r="AC323" i="8"/>
  <c r="Y432" i="7"/>
  <c r="Z432" i="7"/>
  <c r="AB432" i="7" s="1"/>
  <c r="AC432" i="7"/>
  <c r="E2594" i="6"/>
  <c r="D2594" i="6"/>
  <c r="AB541" i="7"/>
  <c r="AC653" i="7"/>
  <c r="Z653" i="7"/>
  <c r="W487" i="8"/>
  <c r="W160" i="12"/>
  <c r="W654" i="8"/>
  <c r="X654" i="8" s="1"/>
  <c r="Y654" i="8" s="1"/>
  <c r="B1744" i="6"/>
  <c r="D1744" i="6" s="1"/>
  <c r="Z707" i="7"/>
  <c r="AC707" i="7"/>
  <c r="W867" i="8"/>
  <c r="X867" i="8" s="1"/>
  <c r="Z867" i="8" s="1"/>
  <c r="Y653" i="7"/>
  <c r="AA653" i="7" s="1"/>
  <c r="AC876" i="7"/>
  <c r="Z876" i="7"/>
  <c r="AA926" i="8"/>
  <c r="Y876" i="7"/>
  <c r="X813" i="8"/>
  <c r="AC1093" i="8"/>
  <c r="Z1093" i="8"/>
  <c r="AA486" i="8"/>
  <c r="Y378" i="8"/>
  <c r="AA378" i="8" s="1"/>
  <c r="AC378" i="8"/>
  <c r="W433" i="8"/>
  <c r="X433" i="8" s="1"/>
  <c r="Z433" i="8" s="1"/>
  <c r="Z768" i="8"/>
  <c r="AC768" i="8"/>
  <c r="Y768" i="8"/>
  <c r="AA211" i="7"/>
  <c r="W215" i="8"/>
  <c r="Y379" i="7"/>
  <c r="AA379" i="7" s="1"/>
  <c r="AC379" i="7"/>
  <c r="W927" i="8"/>
  <c r="AA269" i="12"/>
  <c r="AA159" i="12"/>
  <c r="C1834" i="6"/>
  <c r="W599" i="8"/>
  <c r="X599" i="8" s="1"/>
  <c r="W270" i="7"/>
  <c r="X270" i="7" s="1"/>
  <c r="Z270" i="7" s="1"/>
  <c r="X323" i="7"/>
  <c r="Y323" i="7" s="1"/>
  <c r="X713" i="8"/>
  <c r="Y1093" i="8"/>
  <c r="AA1093" i="8" s="1"/>
  <c r="AA214" i="8"/>
  <c r="W489" i="7"/>
  <c r="AC982" i="8"/>
  <c r="Y982" i="8"/>
  <c r="AA982" i="8" s="1"/>
  <c r="X268" i="8"/>
  <c r="Y268" i="8" s="1"/>
  <c r="X158" i="7"/>
  <c r="Y158" i="7" s="1"/>
  <c r="Y707" i="7"/>
  <c r="Z1038" i="8"/>
  <c r="AB1038" i="8" s="1"/>
  <c r="AC1038" i="8"/>
  <c r="W212" i="7"/>
  <c r="W814" i="7"/>
  <c r="X814" i="7" s="1"/>
  <c r="Y763" i="7"/>
  <c r="AC763" i="7"/>
  <c r="W270" i="12"/>
  <c r="W599" i="7"/>
  <c r="X599" i="7" s="1"/>
  <c r="Z599" i="7" s="1"/>
  <c r="Z763" i="7"/>
  <c r="AB763" i="7" s="1"/>
  <c r="Z379" i="7"/>
  <c r="B1790" i="6"/>
  <c r="D1790" i="6" s="1"/>
  <c r="X156" i="8"/>
  <c r="X320" i="12"/>
  <c r="Y320" i="12" s="1"/>
  <c r="X927" i="7"/>
  <c r="Y927" i="7" s="1"/>
  <c r="B1879" i="6"/>
  <c r="D1879" i="6" s="1"/>
  <c r="Z214" i="12"/>
  <c r="AB214" i="12" s="1"/>
  <c r="AC214" i="12"/>
  <c r="AB542" i="8"/>
  <c r="AA488" i="7"/>
  <c r="AB707" i="7" l="1"/>
  <c r="D2656" i="6"/>
  <c r="E2656" i="6"/>
  <c r="B2657" i="6"/>
  <c r="C2657" i="6"/>
  <c r="E2856" i="6"/>
  <c r="D2856" i="6"/>
  <c r="B2724" i="6"/>
  <c r="C2724" i="6" s="1"/>
  <c r="AB876" i="7"/>
  <c r="W877" i="7" s="1"/>
  <c r="B2595" i="6"/>
  <c r="AB768" i="8"/>
  <c r="W769" i="8" s="1"/>
  <c r="AB653" i="7"/>
  <c r="W654" i="7" s="1"/>
  <c r="X654" i="7" s="1"/>
  <c r="Z654" i="7" s="1"/>
  <c r="C2595" i="6"/>
  <c r="Y433" i="8"/>
  <c r="AA433" i="8" s="1"/>
  <c r="AC433" i="8"/>
  <c r="W324" i="8"/>
  <c r="AC814" i="7"/>
  <c r="Y814" i="7"/>
  <c r="X215" i="8"/>
  <c r="Y215" i="8" s="1"/>
  <c r="AC156" i="8"/>
  <c r="Z156" i="8"/>
  <c r="Z713" i="8"/>
  <c r="AC713" i="8"/>
  <c r="X487" i="8"/>
  <c r="Y487" i="8" s="1"/>
  <c r="AB1093" i="8"/>
  <c r="W215" i="12"/>
  <c r="AC599" i="7"/>
  <c r="Y599" i="7"/>
  <c r="AA599" i="7" s="1"/>
  <c r="AC927" i="7"/>
  <c r="Z927" i="7"/>
  <c r="AB927" i="7" s="1"/>
  <c r="B1835" i="6"/>
  <c r="D1835" i="6" s="1"/>
  <c r="AC654" i="8"/>
  <c r="X270" i="12"/>
  <c r="AA323" i="8"/>
  <c r="W542" i="7"/>
  <c r="X542" i="7" s="1"/>
  <c r="W1039" i="8"/>
  <c r="C1790" i="6"/>
  <c r="AA707" i="7"/>
  <c r="X212" i="7"/>
  <c r="Z813" i="8"/>
  <c r="AC813" i="8"/>
  <c r="C1744" i="6"/>
  <c r="Z268" i="8"/>
  <c r="AB268" i="8" s="1"/>
  <c r="AC268" i="8"/>
  <c r="Z654" i="8"/>
  <c r="AB654" i="8" s="1"/>
  <c r="W433" i="7"/>
  <c r="AA432" i="7"/>
  <c r="X160" i="12"/>
  <c r="Z814" i="7"/>
  <c r="AB814" i="7" s="1"/>
  <c r="Y156" i="8"/>
  <c r="D2791" i="6"/>
  <c r="E2791" i="6"/>
  <c r="Y713" i="8"/>
  <c r="Z323" i="7"/>
  <c r="AB323" i="7" s="1"/>
  <c r="AC323" i="7"/>
  <c r="X489" i="7"/>
  <c r="AB379" i="7"/>
  <c r="AC158" i="7"/>
  <c r="Z158" i="7"/>
  <c r="AB158" i="7" s="1"/>
  <c r="AA768" i="8"/>
  <c r="Y813" i="8"/>
  <c r="AB982" i="8"/>
  <c r="W764" i="7"/>
  <c r="X927" i="8"/>
  <c r="AC599" i="8"/>
  <c r="Y599" i="8"/>
  <c r="C1879" i="6"/>
  <c r="Z599" i="8"/>
  <c r="AA214" i="12"/>
  <c r="AA763" i="7"/>
  <c r="AC320" i="12"/>
  <c r="Z320" i="12"/>
  <c r="AB320" i="12" s="1"/>
  <c r="AC867" i="8"/>
  <c r="Y867" i="8"/>
  <c r="AA867" i="8" s="1"/>
  <c r="W708" i="7"/>
  <c r="W543" i="8"/>
  <c r="X543" i="8" s="1"/>
  <c r="Z543" i="8" s="1"/>
  <c r="AC270" i="7"/>
  <c r="Y270" i="7"/>
  <c r="AA270" i="7" s="1"/>
  <c r="AA876" i="7"/>
  <c r="AA1038" i="8"/>
  <c r="AB378" i="8"/>
  <c r="B2792" i="6" l="1"/>
  <c r="AB599" i="7"/>
  <c r="AA654" i="8"/>
  <c r="D2724" i="6"/>
  <c r="E2724" i="6"/>
  <c r="B2725" i="6" s="1"/>
  <c r="B2857" i="6"/>
  <c r="C2857" i="6" s="1"/>
  <c r="AB813" i="8"/>
  <c r="AA156" i="8"/>
  <c r="E2657" i="6"/>
  <c r="D2657" i="6"/>
  <c r="AB599" i="8"/>
  <c r="W600" i="8" s="1"/>
  <c r="AB713" i="8"/>
  <c r="W714" i="8" s="1"/>
  <c r="C2725" i="6"/>
  <c r="W814" i="8"/>
  <c r="Z212" i="7"/>
  <c r="AC212" i="7"/>
  <c r="X324" i="8"/>
  <c r="Y324" i="8" s="1"/>
  <c r="AB433" i="8"/>
  <c r="X877" i="7"/>
  <c r="Y877" i="7" s="1"/>
  <c r="X708" i="7"/>
  <c r="AC489" i="7"/>
  <c r="Z489" i="7"/>
  <c r="AB867" i="8"/>
  <c r="E2595" i="6"/>
  <c r="D2595" i="6"/>
  <c r="B1745" i="6"/>
  <c r="D1745" i="6" s="1"/>
  <c r="W983" i="8"/>
  <c r="X983" i="8" s="1"/>
  <c r="Z983" i="8"/>
  <c r="AC654" i="7"/>
  <c r="Y654" i="7"/>
  <c r="AA654" i="7" s="1"/>
  <c r="AA813" i="8"/>
  <c r="Y212" i="7"/>
  <c r="W159" i="7"/>
  <c r="AC160" i="12"/>
  <c r="Z160" i="12"/>
  <c r="B1791" i="6"/>
  <c r="D1791" i="6" s="1"/>
  <c r="Y160" i="12"/>
  <c r="AA158" i="7"/>
  <c r="X433" i="7"/>
  <c r="B1880" i="6"/>
  <c r="D1880" i="6" s="1"/>
  <c r="Z215" i="8"/>
  <c r="AB215" i="8" s="1"/>
  <c r="AC215" i="8"/>
  <c r="AA713" i="8"/>
  <c r="W600" i="7"/>
  <c r="X600" i="7"/>
  <c r="AC600" i="7" s="1"/>
  <c r="AA320" i="12"/>
  <c r="W379" i="8"/>
  <c r="X379" i="8" s="1"/>
  <c r="W321" i="12"/>
  <c r="W815" i="7"/>
  <c r="AC270" i="12"/>
  <c r="Z270" i="12"/>
  <c r="X764" i="7"/>
  <c r="Y764" i="7" s="1"/>
  <c r="Y270" i="12"/>
  <c r="AA270" i="12" s="1"/>
  <c r="X215" i="12"/>
  <c r="C1835" i="6"/>
  <c r="AB270" i="7"/>
  <c r="Y489" i="7"/>
  <c r="AA489" i="7" s="1"/>
  <c r="AB156" i="8"/>
  <c r="AA927" i="7"/>
  <c r="AA599" i="8"/>
  <c r="Y542" i="7"/>
  <c r="AC542" i="7"/>
  <c r="Z927" i="8"/>
  <c r="AC927" i="8"/>
  <c r="C2792" i="6"/>
  <c r="AA814" i="7"/>
  <c r="AA323" i="7"/>
  <c r="X1039" i="8"/>
  <c r="X769" i="8"/>
  <c r="W1094" i="8"/>
  <c r="X1094" i="8" s="1"/>
  <c r="Z1094" i="8"/>
  <c r="Z487" i="8"/>
  <c r="AB487" i="8" s="1"/>
  <c r="AC487" i="8"/>
  <c r="W380" i="7"/>
  <c r="X380" i="7" s="1"/>
  <c r="Z380" i="7" s="1"/>
  <c r="W928" i="7"/>
  <c r="AC543" i="8"/>
  <c r="Y543" i="8"/>
  <c r="AA543" i="8" s="1"/>
  <c r="W324" i="7"/>
  <c r="W655" i="8"/>
  <c r="X655" i="8" s="1"/>
  <c r="Z542" i="7"/>
  <c r="Y927" i="8"/>
  <c r="W269" i="8"/>
  <c r="AA268" i="8"/>
  <c r="AA927" i="8" l="1"/>
  <c r="B2596" i="6"/>
  <c r="E2857" i="6"/>
  <c r="D2857" i="6"/>
  <c r="B2858" i="6"/>
  <c r="C2858" i="6" s="1"/>
  <c r="C1791" i="6"/>
  <c r="B1792" i="6" s="1"/>
  <c r="C1792" i="6" s="1"/>
  <c r="B2658" i="6"/>
  <c r="AB160" i="12"/>
  <c r="AA542" i="7"/>
  <c r="AA212" i="7"/>
  <c r="C2596" i="6"/>
  <c r="C2658" i="6"/>
  <c r="Z655" i="8"/>
  <c r="Y655" i="8"/>
  <c r="AA655" i="8" s="1"/>
  <c r="AC655" i="8"/>
  <c r="D2596" i="6"/>
  <c r="Z1039" i="8"/>
  <c r="AC1039" i="8"/>
  <c r="AB543" i="8"/>
  <c r="AC215" i="12"/>
  <c r="Z215" i="12"/>
  <c r="Y600" i="7"/>
  <c r="AA215" i="8"/>
  <c r="AB270" i="12"/>
  <c r="Z600" i="7"/>
  <c r="AB600" i="7" s="1"/>
  <c r="C1745" i="6"/>
  <c r="AC379" i="8"/>
  <c r="Y379" i="8"/>
  <c r="AA379" i="8" s="1"/>
  <c r="B1836" i="6"/>
  <c r="D1836" i="6" s="1"/>
  <c r="X814" i="8"/>
  <c r="X815" i="7"/>
  <c r="X321" i="12"/>
  <c r="Y321" i="12" s="1"/>
  <c r="AB489" i="7"/>
  <c r="X269" i="8"/>
  <c r="X159" i="7"/>
  <c r="Y983" i="8"/>
  <c r="AA983" i="8" s="1"/>
  <c r="AC983" i="8"/>
  <c r="E2792" i="6"/>
  <c r="D2792" i="6"/>
  <c r="AB927" i="8"/>
  <c r="X714" i="8"/>
  <c r="AA160" i="12"/>
  <c r="AC708" i="7"/>
  <c r="Z708" i="7"/>
  <c r="AA324" i="8"/>
  <c r="W271" i="7"/>
  <c r="X271" i="7" s="1"/>
  <c r="AB212" i="7"/>
  <c r="X324" i="7"/>
  <c r="Y215" i="12"/>
  <c r="Z764" i="7"/>
  <c r="AB764" i="7" s="1"/>
  <c r="AC764" i="7"/>
  <c r="Y380" i="7"/>
  <c r="AA380" i="7" s="1"/>
  <c r="AC380" i="7"/>
  <c r="AB542" i="7"/>
  <c r="W488" i="8"/>
  <c r="Y708" i="7"/>
  <c r="W161" i="12"/>
  <c r="E2725" i="6"/>
  <c r="D2725" i="6"/>
  <c r="W868" i="8"/>
  <c r="X868" i="8" s="1"/>
  <c r="Z868" i="8" s="1"/>
  <c r="W434" i="8"/>
  <c r="X434" i="8" s="1"/>
  <c r="Z434" i="8" s="1"/>
  <c r="AA487" i="8"/>
  <c r="Y1039" i="8"/>
  <c r="Z433" i="7"/>
  <c r="AC433" i="7"/>
  <c r="Y433" i="7"/>
  <c r="AA433" i="7" s="1"/>
  <c r="W216" i="8"/>
  <c r="Z877" i="7"/>
  <c r="AB877" i="7" s="1"/>
  <c r="AC877" i="7"/>
  <c r="Y1094" i="8"/>
  <c r="AA1094" i="8" s="1"/>
  <c r="AC1094" i="8"/>
  <c r="X600" i="8"/>
  <c r="AC769" i="8"/>
  <c r="Z769" i="8"/>
  <c r="X928" i="7"/>
  <c r="Y769" i="8"/>
  <c r="AA769" i="8" s="1"/>
  <c r="W157" i="8"/>
  <c r="X157" i="8" s="1"/>
  <c r="Z157" i="8" s="1"/>
  <c r="Z379" i="8"/>
  <c r="C1880" i="6"/>
  <c r="AC324" i="8"/>
  <c r="Z324" i="8"/>
  <c r="AB324" i="8" s="1"/>
  <c r="AB654" i="7"/>
  <c r="E2596" i="6" l="1"/>
  <c r="B2597" i="6" s="1"/>
  <c r="C2597" i="6" s="1"/>
  <c r="AB708" i="7"/>
  <c r="AB1094" i="8"/>
  <c r="W1095" i="8" s="1"/>
  <c r="X1095" i="8" s="1"/>
  <c r="AA215" i="12"/>
  <c r="AA764" i="7"/>
  <c r="D2858" i="6"/>
  <c r="E2858" i="6"/>
  <c r="B2859" i="6" s="1"/>
  <c r="C2859" i="6" s="1"/>
  <c r="D1792" i="6"/>
  <c r="B1793" i="6" s="1"/>
  <c r="C1793" i="6" s="1"/>
  <c r="E2658" i="6"/>
  <c r="D2658" i="6"/>
  <c r="B2793" i="6"/>
  <c r="AB1039" i="8"/>
  <c r="W1040" i="8" s="1"/>
  <c r="C2793" i="6"/>
  <c r="AB379" i="8"/>
  <c r="Y868" i="8"/>
  <c r="AA868" i="8" s="1"/>
  <c r="AC868" i="8"/>
  <c r="W709" i="7"/>
  <c r="AC928" i="7"/>
  <c r="Z928" i="7"/>
  <c r="W490" i="7"/>
  <c r="X490" i="7" s="1"/>
  <c r="Z490" i="7" s="1"/>
  <c r="Y928" i="7"/>
  <c r="AA928" i="7" s="1"/>
  <c r="W765" i="7"/>
  <c r="X765" i="7" s="1"/>
  <c r="AC600" i="8"/>
  <c r="Z600" i="8"/>
  <c r="W928" i="8"/>
  <c r="X928" i="8" s="1"/>
  <c r="Z928" i="8" s="1"/>
  <c r="Z814" i="8"/>
  <c r="AC814" i="8"/>
  <c r="AB215" i="12"/>
  <c r="AA877" i="7"/>
  <c r="AC271" i="7"/>
  <c r="Y271" i="7"/>
  <c r="Z159" i="7"/>
  <c r="AC159" i="7"/>
  <c r="Y159" i="7"/>
  <c r="Z269" i="8"/>
  <c r="AC269" i="8"/>
  <c r="B2726" i="6"/>
  <c r="C2726" i="6" s="1"/>
  <c r="X216" i="8"/>
  <c r="Y216" i="8" s="1"/>
  <c r="AC324" i="7"/>
  <c r="Z324" i="7"/>
  <c r="Y324" i="7"/>
  <c r="AA324" i="7" s="1"/>
  <c r="C1836" i="6"/>
  <c r="B1881" i="6"/>
  <c r="D1881" i="6" s="1"/>
  <c r="B1746" i="6"/>
  <c r="D1746" i="6" s="1"/>
  <c r="W271" i="12"/>
  <c r="X271" i="12" s="1"/>
  <c r="Z271" i="12" s="1"/>
  <c r="X161" i="12"/>
  <c r="Y161" i="12" s="1"/>
  <c r="Z321" i="12"/>
  <c r="AB321" i="12" s="1"/>
  <c r="AC321" i="12"/>
  <c r="Z815" i="7"/>
  <c r="AC815" i="7"/>
  <c r="Y815" i="7"/>
  <c r="AA815" i="7" s="1"/>
  <c r="Y600" i="8"/>
  <c r="AA1039" i="8"/>
  <c r="Y814" i="8"/>
  <c r="W655" i="7"/>
  <c r="X655" i="7" s="1"/>
  <c r="Z655" i="7" s="1"/>
  <c r="W325" i="8"/>
  <c r="X325" i="8" s="1"/>
  <c r="W878" i="7"/>
  <c r="X488" i="8"/>
  <c r="W213" i="7"/>
  <c r="X213" i="7" s="1"/>
  <c r="Z213" i="7" s="1"/>
  <c r="W544" i="8"/>
  <c r="X544" i="8" s="1"/>
  <c r="Z544" i="8" s="1"/>
  <c r="W543" i="7"/>
  <c r="X543" i="7" s="1"/>
  <c r="Z543" i="7"/>
  <c r="Z271" i="7"/>
  <c r="Y157" i="8"/>
  <c r="AA157" i="8" s="1"/>
  <c r="AC157" i="8"/>
  <c r="W601" i="7"/>
  <c r="Y269" i="8"/>
  <c r="AA269" i="8" s="1"/>
  <c r="Z714" i="8"/>
  <c r="AC714" i="8"/>
  <c r="AB769" i="8"/>
  <c r="Y714" i="8"/>
  <c r="AB983" i="8"/>
  <c r="AA600" i="7"/>
  <c r="AB380" i="7"/>
  <c r="AB433" i="7"/>
  <c r="AA708" i="7"/>
  <c r="AC434" i="8"/>
  <c r="Y434" i="8"/>
  <c r="AA434" i="8" s="1"/>
  <c r="AB655" i="8"/>
  <c r="E2597" i="6" l="1"/>
  <c r="D2597" i="6"/>
  <c r="E2859" i="6"/>
  <c r="D2859" i="6"/>
  <c r="B2598" i="6"/>
  <c r="C2598" i="6" s="1"/>
  <c r="B2659" i="6"/>
  <c r="C2659" i="6"/>
  <c r="AB159" i="7"/>
  <c r="W160" i="7" s="1"/>
  <c r="AA814" i="8"/>
  <c r="AA600" i="8"/>
  <c r="AA271" i="7"/>
  <c r="AA714" i="8"/>
  <c r="C1881" i="6"/>
  <c r="AC765" i="7"/>
  <c r="Y765" i="7"/>
  <c r="Z765" i="7"/>
  <c r="AC1095" i="8"/>
  <c r="Z1095" i="8"/>
  <c r="Y1095" i="8"/>
  <c r="E2726" i="6"/>
  <c r="D2726" i="6"/>
  <c r="Z325" i="8"/>
  <c r="Y325" i="8"/>
  <c r="AA325" i="8" s="1"/>
  <c r="AC325" i="8"/>
  <c r="E2598" i="6"/>
  <c r="D2598" i="6"/>
  <c r="B2599" i="6" s="1"/>
  <c r="Z488" i="8"/>
  <c r="AB488" i="8" s="1"/>
  <c r="AC488" i="8"/>
  <c r="AB271" i="7"/>
  <c r="Y543" i="7"/>
  <c r="AA543" i="7" s="1"/>
  <c r="AC543" i="7"/>
  <c r="AB324" i="7"/>
  <c r="W770" i="8"/>
  <c r="X770" i="8" s="1"/>
  <c r="D1793" i="6"/>
  <c r="AB928" i="7"/>
  <c r="W322" i="12"/>
  <c r="Y488" i="8"/>
  <c r="AB157" i="8"/>
  <c r="AB868" i="8"/>
  <c r="AB434" i="8"/>
  <c r="AA321" i="12"/>
  <c r="AC928" i="8"/>
  <c r="Y928" i="8"/>
  <c r="AA928" i="8" s="1"/>
  <c r="W381" i="7"/>
  <c r="X381" i="7" s="1"/>
  <c r="Z381" i="7" s="1"/>
  <c r="W656" i="8"/>
  <c r="X656" i="8" s="1"/>
  <c r="W984" i="8"/>
  <c r="X984" i="8" s="1"/>
  <c r="X878" i="7"/>
  <c r="Y878" i="7" s="1"/>
  <c r="W380" i="8"/>
  <c r="X380" i="8" s="1"/>
  <c r="Z380" i="8" s="1"/>
  <c r="W216" i="12"/>
  <c r="X216" i="12" s="1"/>
  <c r="Z216" i="12" s="1"/>
  <c r="AC271" i="12"/>
  <c r="Y271" i="12"/>
  <c r="AA271" i="12" s="1"/>
  <c r="AC655" i="7"/>
  <c r="Y655" i="7"/>
  <c r="AA655" i="7" s="1"/>
  <c r="X1040" i="8"/>
  <c r="AB714" i="8"/>
  <c r="C1746" i="6"/>
  <c r="AC544" i="8"/>
  <c r="Y544" i="8"/>
  <c r="AA544" i="8" s="1"/>
  <c r="X709" i="7"/>
  <c r="Y709" i="7" s="1"/>
  <c r="AB815" i="7"/>
  <c r="AB269" i="8"/>
  <c r="AB600" i="8"/>
  <c r="AC161" i="12"/>
  <c r="Z161" i="12"/>
  <c r="AB161" i="12" s="1"/>
  <c r="X601" i="7"/>
  <c r="B1837" i="6"/>
  <c r="D1837" i="6" s="1"/>
  <c r="Z216" i="8"/>
  <c r="AB216" i="8" s="1"/>
  <c r="AC216" i="8"/>
  <c r="AC490" i="7"/>
  <c r="Y490" i="7"/>
  <c r="AA490" i="7" s="1"/>
  <c r="AB814" i="8"/>
  <c r="W434" i="7"/>
  <c r="X434" i="7" s="1"/>
  <c r="AC213" i="7"/>
  <c r="Y213" i="7"/>
  <c r="AA213" i="7" s="1"/>
  <c r="AA159" i="7"/>
  <c r="E2793" i="6"/>
  <c r="D2793" i="6"/>
  <c r="B2727" i="6" l="1"/>
  <c r="C2727" i="6" s="1"/>
  <c r="AB544" i="8"/>
  <c r="AA765" i="7"/>
  <c r="C1837" i="6"/>
  <c r="B1838" i="6" s="1"/>
  <c r="D1838" i="6" s="1"/>
  <c r="B1882" i="6"/>
  <c r="D1882" i="6" s="1"/>
  <c r="AB928" i="8"/>
  <c r="E2659" i="6"/>
  <c r="D2659" i="6"/>
  <c r="AA216" i="8"/>
  <c r="B2794" i="6"/>
  <c r="AA1095" i="8"/>
  <c r="B2860" i="6"/>
  <c r="C2860" i="6" s="1"/>
  <c r="E2727" i="6"/>
  <c r="D2727" i="6"/>
  <c r="C2794" i="6"/>
  <c r="W601" i="8"/>
  <c r="X601" i="8" s="1"/>
  <c r="Z601" i="8" s="1"/>
  <c r="W816" i="7"/>
  <c r="X816" i="7" s="1"/>
  <c r="Z816" i="7" s="1"/>
  <c r="AC770" i="8"/>
  <c r="Y770" i="8"/>
  <c r="X160" i="7"/>
  <c r="C2599" i="6"/>
  <c r="W217" i="8"/>
  <c r="B1747" i="6"/>
  <c r="D1747" i="6" s="1"/>
  <c r="W325" i="7"/>
  <c r="X325" i="7" s="1"/>
  <c r="Z325" i="7" s="1"/>
  <c r="AB325" i="8"/>
  <c r="AB765" i="7"/>
  <c r="W815" i="8"/>
  <c r="X815" i="8" s="1"/>
  <c r="Z815" i="8" s="1"/>
  <c r="Y656" i="8"/>
  <c r="AC656" i="8"/>
  <c r="W489" i="8"/>
  <c r="Y380" i="8"/>
  <c r="AA380" i="8" s="1"/>
  <c r="AC380" i="8"/>
  <c r="AB1095" i="8"/>
  <c r="AC984" i="8"/>
  <c r="Y984" i="8"/>
  <c r="W158" i="8"/>
  <c r="X158" i="8" s="1"/>
  <c r="Z158" i="8" s="1"/>
  <c r="AB490" i="7"/>
  <c r="W162" i="12"/>
  <c r="W435" i="8"/>
  <c r="X435" i="8" s="1"/>
  <c r="Z435" i="8" s="1"/>
  <c r="W929" i="8"/>
  <c r="X929" i="8" s="1"/>
  <c r="W929" i="7"/>
  <c r="X929" i="7" s="1"/>
  <c r="Z929" i="7" s="1"/>
  <c r="W869" i="8"/>
  <c r="X869" i="8" s="1"/>
  <c r="Z869" i="8" s="1"/>
  <c r="AC216" i="12"/>
  <c r="Y216" i="12"/>
  <c r="AA216" i="12" s="1"/>
  <c r="AB271" i="12"/>
  <c r="W715" i="8"/>
  <c r="X715" i="8" s="1"/>
  <c r="Z715" i="8" s="1"/>
  <c r="Y434" i="7"/>
  <c r="AA434" i="7" s="1"/>
  <c r="AC434" i="7"/>
  <c r="Z1040" i="8"/>
  <c r="AC1040" i="8"/>
  <c r="Z984" i="8"/>
  <c r="AB984" i="8" s="1"/>
  <c r="AA488" i="8"/>
  <c r="Z656" i="8"/>
  <c r="W272" i="7"/>
  <c r="X272" i="7" s="1"/>
  <c r="Z272" i="7" s="1"/>
  <c r="W545" i="8"/>
  <c r="X545" i="8" s="1"/>
  <c r="W270" i="8"/>
  <c r="X270" i="8" s="1"/>
  <c r="Z270" i="8" s="1"/>
  <c r="AA161" i="12"/>
  <c r="AC709" i="7"/>
  <c r="Z709" i="7"/>
  <c r="AB709" i="7" s="1"/>
  <c r="B1794" i="6"/>
  <c r="C1794" i="6" s="1"/>
  <c r="Y381" i="7"/>
  <c r="AA381" i="7" s="1"/>
  <c r="AC381" i="7"/>
  <c r="Z770" i="8"/>
  <c r="AB770" i="8" s="1"/>
  <c r="Z878" i="7"/>
  <c r="AB878" i="7" s="1"/>
  <c r="AC878" i="7"/>
  <c r="AB655" i="7"/>
  <c r="AC601" i="7"/>
  <c r="Z601" i="7"/>
  <c r="Z434" i="7"/>
  <c r="Y601" i="7"/>
  <c r="Y1040" i="8"/>
  <c r="X322" i="12"/>
  <c r="Y322" i="12" s="1"/>
  <c r="AB543" i="7"/>
  <c r="AB213" i="7"/>
  <c r="X217" i="8" l="1"/>
  <c r="AB601" i="7"/>
  <c r="AB1040" i="8"/>
  <c r="D2860" i="6"/>
  <c r="E2860" i="6"/>
  <c r="B2861" i="6"/>
  <c r="C2861" i="6"/>
  <c r="B2728" i="6"/>
  <c r="D1794" i="6"/>
  <c r="B1795" i="6" s="1"/>
  <c r="C1795" i="6" s="1"/>
  <c r="B2660" i="6"/>
  <c r="C2660" i="6" s="1"/>
  <c r="AA656" i="8"/>
  <c r="C1882" i="6"/>
  <c r="B1883" i="6" s="1"/>
  <c r="C1883" i="6" s="1"/>
  <c r="C2728" i="6"/>
  <c r="Z217" i="8"/>
  <c r="AC217" i="8"/>
  <c r="Y217" i="8"/>
  <c r="AC545" i="8"/>
  <c r="Y545" i="8"/>
  <c r="Z545" i="8"/>
  <c r="AC929" i="8"/>
  <c r="Z929" i="8"/>
  <c r="Y929" i="8"/>
  <c r="AA929" i="8" s="1"/>
  <c r="W602" i="7"/>
  <c r="W985" i="8"/>
  <c r="W710" i="7"/>
  <c r="AC158" i="8"/>
  <c r="Y158" i="8"/>
  <c r="AA158" i="8" s="1"/>
  <c r="X162" i="12"/>
  <c r="AA984" i="8"/>
  <c r="E2599" i="6"/>
  <c r="B2600" i="6" s="1"/>
  <c r="C2600" i="6" s="1"/>
  <c r="D2599" i="6"/>
  <c r="W326" i="8"/>
  <c r="X326" i="8" s="1"/>
  <c r="Z326" i="8" s="1"/>
  <c r="AB656" i="8"/>
  <c r="AA770" i="8"/>
  <c r="AC816" i="7"/>
  <c r="Y816" i="7"/>
  <c r="AA816" i="7" s="1"/>
  <c r="Y929" i="7"/>
  <c r="AA929" i="7" s="1"/>
  <c r="AC929" i="7"/>
  <c r="Y715" i="8"/>
  <c r="AA715" i="8" s="1"/>
  <c r="AC715" i="8"/>
  <c r="Y272" i="7"/>
  <c r="AA272" i="7" s="1"/>
  <c r="AC272" i="7"/>
  <c r="D2794" i="6"/>
  <c r="E2794" i="6"/>
  <c r="W544" i="7"/>
  <c r="X544" i="7" s="1"/>
  <c r="Z544" i="7" s="1"/>
  <c r="Z160" i="7"/>
  <c r="AC160" i="7"/>
  <c r="Y160" i="7"/>
  <c r="AA160" i="7" s="1"/>
  <c r="AA1040" i="8"/>
  <c r="AB381" i="7"/>
  <c r="W272" i="12"/>
  <c r="X272" i="12" s="1"/>
  <c r="AC869" i="8"/>
  <c r="Y869" i="8"/>
  <c r="AA869" i="8" s="1"/>
  <c r="C1838" i="6"/>
  <c r="Y270" i="8"/>
  <c r="AA270" i="8" s="1"/>
  <c r="AC270" i="8"/>
  <c r="W1096" i="8"/>
  <c r="X1096" i="8" s="1"/>
  <c r="Z1096" i="8" s="1"/>
  <c r="W879" i="7"/>
  <c r="Y815" i="8"/>
  <c r="AA815" i="8" s="1"/>
  <c r="AC815" i="8"/>
  <c r="AA878" i="7"/>
  <c r="W766" i="7"/>
  <c r="X766" i="7" s="1"/>
  <c r="Z766" i="7" s="1"/>
  <c r="AB380" i="8"/>
  <c r="Y325" i="7"/>
  <c r="AA325" i="7" s="1"/>
  <c r="AC325" i="7"/>
  <c r="AA601" i="7"/>
  <c r="AB216" i="12"/>
  <c r="AB869" i="8"/>
  <c r="W1041" i="8"/>
  <c r="C1747" i="6"/>
  <c r="W656" i="7"/>
  <c r="X656" i="7" s="1"/>
  <c r="Z656" i="7" s="1"/>
  <c r="AC601" i="8"/>
  <c r="Y601" i="8"/>
  <c r="AA601" i="8" s="1"/>
  <c r="AC435" i="8"/>
  <c r="Y435" i="8"/>
  <c r="AA435" i="8" s="1"/>
  <c r="W214" i="7"/>
  <c r="X214" i="7" s="1"/>
  <c r="Z214" i="7" s="1"/>
  <c r="W771" i="8"/>
  <c r="Z322" i="12"/>
  <c r="AB322" i="12" s="1"/>
  <c r="AC322" i="12"/>
  <c r="AB434" i="7"/>
  <c r="X489" i="8"/>
  <c r="W491" i="7"/>
  <c r="X491" i="7" s="1"/>
  <c r="AA709" i="7"/>
  <c r="AB601" i="8" l="1"/>
  <c r="AB435" i="8"/>
  <c r="D2660" i="6"/>
  <c r="E2660" i="6"/>
  <c r="B2661" i="6" s="1"/>
  <c r="C2661" i="6" s="1"/>
  <c r="D2861" i="6"/>
  <c r="E2861" i="6"/>
  <c r="B2862" i="6"/>
  <c r="C2862" i="6"/>
  <c r="D1795" i="6"/>
  <c r="B1796" i="6" s="1"/>
  <c r="C1796" i="6" s="1"/>
  <c r="AA545" i="8"/>
  <c r="D1883" i="6"/>
  <c r="B1884" i="6" s="1"/>
  <c r="C1884" i="6" s="1"/>
  <c r="AB270" i="8"/>
  <c r="W271" i="8" s="1"/>
  <c r="X271" i="8" s="1"/>
  <c r="B2795" i="6"/>
  <c r="C2795" i="6" s="1"/>
  <c r="AA217" i="8"/>
  <c r="AB158" i="8"/>
  <c r="W159" i="8" s="1"/>
  <c r="X159" i="8" s="1"/>
  <c r="Y159" i="8" s="1"/>
  <c r="E2600" i="6"/>
  <c r="B2601" i="6" s="1"/>
  <c r="C2601" i="6" s="1"/>
  <c r="D2600" i="6"/>
  <c r="AC272" i="12"/>
  <c r="Y272" i="12"/>
  <c r="X1041" i="8"/>
  <c r="W217" i="12"/>
  <c r="X217" i="12" s="1"/>
  <c r="AB217" i="8"/>
  <c r="AB929" i="7"/>
  <c r="Y214" i="7"/>
  <c r="AA214" i="7" s="1"/>
  <c r="AC214" i="7"/>
  <c r="W436" i="8"/>
  <c r="X436" i="8" s="1"/>
  <c r="Z436" i="8" s="1"/>
  <c r="AB160" i="7"/>
  <c r="W602" i="8"/>
  <c r="X602" i="8" s="1"/>
  <c r="AB272" i="7"/>
  <c r="Y544" i="7"/>
  <c r="AA544" i="7" s="1"/>
  <c r="AC544" i="7"/>
  <c r="W435" i="7"/>
  <c r="X435" i="7" s="1"/>
  <c r="Z435" i="7" s="1"/>
  <c r="B1839" i="6"/>
  <c r="D1839" i="6" s="1"/>
  <c r="AB325" i="7"/>
  <c r="X985" i="8"/>
  <c r="W381" i="8"/>
  <c r="X381" i="8" s="1"/>
  <c r="Z381" i="8" s="1"/>
  <c r="W657" i="8"/>
  <c r="X657" i="8" s="1"/>
  <c r="Z657" i="8" s="1"/>
  <c r="AC162" i="12"/>
  <c r="Z162" i="12"/>
  <c r="AB929" i="8"/>
  <c r="W870" i="8"/>
  <c r="X870" i="8" s="1"/>
  <c r="Y491" i="7"/>
  <c r="AC491" i="7"/>
  <c r="D2728" i="6"/>
  <c r="E2728" i="6"/>
  <c r="B2729" i="6"/>
  <c r="C2729" i="6" s="1"/>
  <c r="Z491" i="7"/>
  <c r="AB715" i="8"/>
  <c r="Z489" i="8"/>
  <c r="AC489" i="8"/>
  <c r="Y489" i="8"/>
  <c r="AA489" i="8" s="1"/>
  <c r="X602" i="7"/>
  <c r="AB816" i="7"/>
  <c r="X771" i="8"/>
  <c r="Y656" i="7"/>
  <c r="AA656" i="7" s="1"/>
  <c r="AC656" i="7"/>
  <c r="Y766" i="7"/>
  <c r="AA766" i="7" s="1"/>
  <c r="AC766" i="7"/>
  <c r="Y162" i="12"/>
  <c r="X879" i="7"/>
  <c r="Y879" i="7" s="1"/>
  <c r="Z272" i="12"/>
  <c r="AB815" i="8"/>
  <c r="W382" i="7"/>
  <c r="X382" i="7" s="1"/>
  <c r="X710" i="7"/>
  <c r="AC1096" i="8"/>
  <c r="Y1096" i="8"/>
  <c r="AA1096" i="8" s="1"/>
  <c r="W323" i="12"/>
  <c r="B1748" i="6"/>
  <c r="D1748" i="6" s="1"/>
  <c r="AC326" i="8"/>
  <c r="Y326" i="8"/>
  <c r="AA326" i="8" s="1"/>
  <c r="AB545" i="8"/>
  <c r="AA322" i="12"/>
  <c r="D2661" i="6" l="1"/>
  <c r="E2661" i="6"/>
  <c r="B2662" i="6" s="1"/>
  <c r="C2662" i="6"/>
  <c r="AC436" i="8"/>
  <c r="D1884" i="6"/>
  <c r="B1885" i="6" s="1"/>
  <c r="C1885" i="6" s="1"/>
  <c r="AA272" i="12"/>
  <c r="AB656" i="7"/>
  <c r="W657" i="7" s="1"/>
  <c r="X657" i="7" s="1"/>
  <c r="E2862" i="6"/>
  <c r="D2862" i="6"/>
  <c r="AB766" i="7"/>
  <c r="W767" i="7" s="1"/>
  <c r="X767" i="7" s="1"/>
  <c r="Z767" i="7" s="1"/>
  <c r="AB162" i="12"/>
  <c r="W163" i="12" s="1"/>
  <c r="AA491" i="7"/>
  <c r="AC870" i="8"/>
  <c r="Y870" i="8"/>
  <c r="Z870" i="8"/>
  <c r="AB870" i="8" s="1"/>
  <c r="Y602" i="8"/>
  <c r="AC602" i="8"/>
  <c r="Z602" i="8"/>
  <c r="D2601" i="6"/>
  <c r="E2601" i="6"/>
  <c r="B2602" i="6" s="1"/>
  <c r="D2729" i="6"/>
  <c r="E2729" i="6"/>
  <c r="B2730" i="6" s="1"/>
  <c r="Z271" i="8"/>
  <c r="AC271" i="8"/>
  <c r="Y271" i="8"/>
  <c r="AA271" i="8" s="1"/>
  <c r="AC159" i="8"/>
  <c r="Y436" i="8"/>
  <c r="AA436" i="8" s="1"/>
  <c r="W218" i="8"/>
  <c r="X218" i="8" s="1"/>
  <c r="Z218" i="8" s="1"/>
  <c r="AA162" i="12"/>
  <c r="Y381" i="8"/>
  <c r="AA381" i="8" s="1"/>
  <c r="AC381" i="8"/>
  <c r="C1748" i="6"/>
  <c r="AB491" i="7"/>
  <c r="AC710" i="7"/>
  <c r="Z710" i="7"/>
  <c r="Y710" i="7"/>
  <c r="AA710" i="7" s="1"/>
  <c r="AC771" i="8"/>
  <c r="AC772" i="8" s="1"/>
  <c r="AC773" i="8" s="1"/>
  <c r="AC774" i="8" s="1"/>
  <c r="AC775" i="8" s="1"/>
  <c r="AC776" i="8" s="1"/>
  <c r="Z771" i="8"/>
  <c r="AB326" i="8"/>
  <c r="W546" i="8"/>
  <c r="X546" i="8" s="1"/>
  <c r="Z546" i="8" s="1"/>
  <c r="AC657" i="8"/>
  <c r="Y657" i="8"/>
  <c r="AA657" i="8" s="1"/>
  <c r="Z879" i="7"/>
  <c r="AB879" i="7" s="1"/>
  <c r="AC879" i="7"/>
  <c r="Z159" i="8"/>
  <c r="AB159" i="8" s="1"/>
  <c r="D1796" i="6"/>
  <c r="B1797" i="6" s="1"/>
  <c r="C1797" i="6" s="1"/>
  <c r="Y217" i="12"/>
  <c r="AC217" i="12"/>
  <c r="AB214" i="7"/>
  <c r="W716" i="8"/>
  <c r="X716" i="8" s="1"/>
  <c r="Z716" i="8" s="1"/>
  <c r="Z217" i="12"/>
  <c r="AB217" i="12" s="1"/>
  <c r="AB544" i="7"/>
  <c r="AC1041" i="8"/>
  <c r="Z1041" i="8"/>
  <c r="Y1041" i="8"/>
  <c r="AA1041" i="8" s="1"/>
  <c r="AC382" i="7"/>
  <c r="Y382" i="7"/>
  <c r="W326" i="7"/>
  <c r="X326" i="7" s="1"/>
  <c r="Z326" i="7" s="1"/>
  <c r="W816" i="8"/>
  <c r="X816" i="8" s="1"/>
  <c r="Z816" i="8" s="1"/>
  <c r="Y771" i="8"/>
  <c r="AB1096" i="8"/>
  <c r="C1839" i="6"/>
  <c r="W817" i="7"/>
  <c r="X817" i="7" s="1"/>
  <c r="AC602" i="7"/>
  <c r="Z602" i="7"/>
  <c r="W930" i="7"/>
  <c r="X930" i="7" s="1"/>
  <c r="Z930" i="7" s="1"/>
  <c r="Y602" i="7"/>
  <c r="Y435" i="7"/>
  <c r="AA435" i="7" s="1"/>
  <c r="AC435" i="7"/>
  <c r="AB489" i="8"/>
  <c r="W273" i="7"/>
  <c r="X273" i="7" s="1"/>
  <c r="Z273" i="7" s="1"/>
  <c r="E2795" i="6"/>
  <c r="D2795" i="6"/>
  <c r="B2796" i="6"/>
  <c r="C2796" i="6" s="1"/>
  <c r="AC985" i="8"/>
  <c r="Z985" i="8"/>
  <c r="Y985" i="8"/>
  <c r="W161" i="7"/>
  <c r="X161" i="7" s="1"/>
  <c r="Z161" i="7" s="1"/>
  <c r="Z382" i="7"/>
  <c r="X323" i="12"/>
  <c r="AB272" i="12"/>
  <c r="W930" i="8"/>
  <c r="X930" i="8" s="1"/>
  <c r="AB602" i="8" l="1"/>
  <c r="AA159" i="8"/>
  <c r="AA879" i="7"/>
  <c r="D1885" i="6"/>
  <c r="B1886" i="6" s="1"/>
  <c r="C1886" i="6" s="1"/>
  <c r="AB985" i="8"/>
  <c r="AB382" i="7"/>
  <c r="D2662" i="6"/>
  <c r="E2662" i="6"/>
  <c r="AA771" i="8"/>
  <c r="Y772" i="8" s="1"/>
  <c r="AA772" i="8" s="1"/>
  <c r="Y773" i="8" s="1"/>
  <c r="AA773" i="8" s="1"/>
  <c r="Y774" i="8" s="1"/>
  <c r="AA774" i="8" s="1"/>
  <c r="Y775" i="8" s="1"/>
  <c r="AA775" i="8" s="1"/>
  <c r="Y776" i="8" s="1"/>
  <c r="AA776" i="8" s="1"/>
  <c r="W777" i="8" s="1"/>
  <c r="AD726" i="8" s="1"/>
  <c r="B2863" i="6"/>
  <c r="C2863" i="6" s="1"/>
  <c r="AA602" i="7"/>
  <c r="AB657" i="8"/>
  <c r="W658" i="8" s="1"/>
  <c r="X658" i="8" s="1"/>
  <c r="AC658" i="8" s="1"/>
  <c r="AC657" i="7"/>
  <c r="Y657" i="7"/>
  <c r="Z657" i="7"/>
  <c r="AB657" i="7" s="1"/>
  <c r="C2602" i="6"/>
  <c r="E2796" i="6"/>
  <c r="D2796" i="6"/>
  <c r="AA602" i="8"/>
  <c r="W215" i="7"/>
  <c r="X215" i="7" s="1"/>
  <c r="Z323" i="12"/>
  <c r="AC323" i="12"/>
  <c r="AB435" i="7"/>
  <c r="AA217" i="12"/>
  <c r="AB271" i="8"/>
  <c r="W327" i="8"/>
  <c r="X327" i="8" s="1"/>
  <c r="Z327" i="8" s="1"/>
  <c r="X880" i="7"/>
  <c r="Z880" i="7" s="1"/>
  <c r="AC161" i="7"/>
  <c r="Y161" i="7"/>
  <c r="AA161" i="7" s="1"/>
  <c r="AA985" i="8"/>
  <c r="C2730" i="6"/>
  <c r="Y817" i="7"/>
  <c r="AC817" i="7"/>
  <c r="Y767" i="7"/>
  <c r="AA767" i="7" s="1"/>
  <c r="AC930" i="8"/>
  <c r="Y930" i="8"/>
  <c r="AC767" i="7"/>
  <c r="Z930" i="8"/>
  <c r="AB930" i="8" s="1"/>
  <c r="B1840" i="6"/>
  <c r="D1840" i="6" s="1"/>
  <c r="Y546" i="8"/>
  <c r="AA546" i="8" s="1"/>
  <c r="AC546" i="8"/>
  <c r="X163" i="12"/>
  <c r="W871" i="8"/>
  <c r="Y323" i="12"/>
  <c r="AA870" i="8"/>
  <c r="W160" i="8"/>
  <c r="X160" i="8" s="1"/>
  <c r="AA382" i="7"/>
  <c r="Y218" i="8"/>
  <c r="AA218" i="8" s="1"/>
  <c r="AC218" i="8"/>
  <c r="AC930" i="7"/>
  <c r="Y930" i="7"/>
  <c r="AA930" i="7" s="1"/>
  <c r="AB602" i="7"/>
  <c r="AB710" i="7"/>
  <c r="D1886" i="6"/>
  <c r="AB1041" i="8"/>
  <c r="W880" i="7"/>
  <c r="W492" i="7"/>
  <c r="X492" i="7" s="1"/>
  <c r="W545" i="7"/>
  <c r="X545" i="7" s="1"/>
  <c r="Z545" i="7" s="1"/>
  <c r="W218" i="12"/>
  <c r="W603" i="8"/>
  <c r="AC716" i="8"/>
  <c r="AC717" i="8" s="1"/>
  <c r="AC718" i="8" s="1"/>
  <c r="AC719" i="8" s="1"/>
  <c r="AC720" i="8" s="1"/>
  <c r="AC721" i="8" s="1"/>
  <c r="Y716" i="8"/>
  <c r="AA716" i="8" s="1"/>
  <c r="Y717" i="8" s="1"/>
  <c r="AA717" i="8" s="1"/>
  <c r="Y718" i="8" s="1"/>
  <c r="AA718" i="8" s="1"/>
  <c r="Y719" i="8" s="1"/>
  <c r="AA719" i="8" s="1"/>
  <c r="Y720" i="8" s="1"/>
  <c r="AA720" i="8" s="1"/>
  <c r="Y721" i="8" s="1"/>
  <c r="AA721" i="8" s="1"/>
  <c r="W1097" i="8"/>
  <c r="X1097" i="8" s="1"/>
  <c r="Z1097" i="8" s="1"/>
  <c r="W273" i="12"/>
  <c r="X273" i="12" s="1"/>
  <c r="Z273" i="12" s="1"/>
  <c r="AB381" i="8"/>
  <c r="Y816" i="8"/>
  <c r="AA816" i="8" s="1"/>
  <c r="AC816" i="8"/>
  <c r="AC273" i="7"/>
  <c r="Y273" i="7"/>
  <c r="AA273" i="7" s="1"/>
  <c r="D1797" i="6"/>
  <c r="W383" i="7"/>
  <c r="Y326" i="7"/>
  <c r="AA326" i="7" s="1"/>
  <c r="AC326" i="7"/>
  <c r="AB771" i="8"/>
  <c r="Z772" i="8" s="1"/>
  <c r="AB772" i="8" s="1"/>
  <c r="Z773" i="8" s="1"/>
  <c r="AB773" i="8" s="1"/>
  <c r="Z774" i="8" s="1"/>
  <c r="AB774" i="8" s="1"/>
  <c r="Z775" i="8" s="1"/>
  <c r="AB775" i="8" s="1"/>
  <c r="Z776" i="8" s="1"/>
  <c r="AB776" i="8" s="1"/>
  <c r="W490" i="8"/>
  <c r="X490" i="8" s="1"/>
  <c r="Z490" i="8" s="1"/>
  <c r="W986" i="8"/>
  <c r="Z817" i="7"/>
  <c r="AB817" i="7" s="1"/>
  <c r="B1749" i="6"/>
  <c r="D1749" i="6" s="1"/>
  <c r="AB436" i="8"/>
  <c r="AB323" i="12" l="1"/>
  <c r="AB273" i="7"/>
  <c r="AC880" i="7"/>
  <c r="B2797" i="6"/>
  <c r="E2863" i="6"/>
  <c r="D2863" i="6"/>
  <c r="B2864" i="6" s="1"/>
  <c r="B2663" i="6"/>
  <c r="C2663" i="6" s="1"/>
  <c r="AA657" i="7"/>
  <c r="AB218" i="8"/>
  <c r="AB816" i="8"/>
  <c r="W817" i="8" s="1"/>
  <c r="X817" i="8" s="1"/>
  <c r="AC817" i="8" s="1"/>
  <c r="AB1097" i="8"/>
  <c r="C2797" i="6"/>
  <c r="Z160" i="8"/>
  <c r="Y160" i="8"/>
  <c r="AA160" i="8" s="1"/>
  <c r="AC160" i="8"/>
  <c r="W436" i="7"/>
  <c r="X436" i="7" s="1"/>
  <c r="AC490" i="8"/>
  <c r="Y490" i="8"/>
  <c r="AA490" i="8" s="1"/>
  <c r="AH728" i="8"/>
  <c r="AB930" i="7"/>
  <c r="W437" i="8"/>
  <c r="X437" i="8" s="1"/>
  <c r="AB161" i="7"/>
  <c r="Y880" i="7"/>
  <c r="AA880" i="7" s="1"/>
  <c r="C1749" i="6"/>
  <c r="X603" i="8"/>
  <c r="Y603" i="8" s="1"/>
  <c r="W1042" i="8"/>
  <c r="X1042" i="8" s="1"/>
  <c r="Z1042" i="8" s="1"/>
  <c r="AA323" i="12"/>
  <c r="AB767" i="7"/>
  <c r="AA817" i="7"/>
  <c r="E2602" i="6"/>
  <c r="D2602" i="6"/>
  <c r="B2603" i="6"/>
  <c r="C2603" i="6" s="1"/>
  <c r="W382" i="8"/>
  <c r="X382" i="8" s="1"/>
  <c r="Z382" i="8" s="1"/>
  <c r="AB546" i="8"/>
  <c r="W603" i="7"/>
  <c r="X603" i="7" s="1"/>
  <c r="Z603" i="7" s="1"/>
  <c r="Y273" i="12"/>
  <c r="AA273" i="12" s="1"/>
  <c r="AC273" i="12"/>
  <c r="W219" i="8"/>
  <c r="X219" i="8" s="1"/>
  <c r="AC492" i="7"/>
  <c r="Y492" i="7"/>
  <c r="AA492" i="7" s="1"/>
  <c r="C1840" i="6"/>
  <c r="AC215" i="7"/>
  <c r="Y215" i="7"/>
  <c r="W274" i="7"/>
  <c r="X274" i="7" s="1"/>
  <c r="AB326" i="7"/>
  <c r="Y658" i="8"/>
  <c r="B1798" i="6"/>
  <c r="C1798" i="6" s="1"/>
  <c r="AB716" i="8"/>
  <c r="Z717" i="8" s="1"/>
  <c r="AB717" i="8" s="1"/>
  <c r="Z718" i="8" s="1"/>
  <c r="AB718" i="8" s="1"/>
  <c r="Z719" i="8" s="1"/>
  <c r="AB719" i="8" s="1"/>
  <c r="Z720" i="8" s="1"/>
  <c r="AB720" i="8" s="1"/>
  <c r="Z721" i="8" s="1"/>
  <c r="AB721" i="8" s="1"/>
  <c r="W722" i="8" s="1"/>
  <c r="AD671" i="8" s="1"/>
  <c r="W711" i="7"/>
  <c r="X711" i="7" s="1"/>
  <c r="Z711" i="7"/>
  <c r="Z163" i="12"/>
  <c r="AC163" i="12"/>
  <c r="E2730" i="6"/>
  <c r="D2730" i="6"/>
  <c r="W272" i="8"/>
  <c r="X272" i="8" s="1"/>
  <c r="B1887" i="6"/>
  <c r="C1887" i="6" s="1"/>
  <c r="W658" i="7"/>
  <c r="X986" i="8"/>
  <c r="W324" i="12"/>
  <c r="Y545" i="7"/>
  <c r="AA545" i="7" s="1"/>
  <c r="AC545" i="7"/>
  <c r="Y1097" i="8"/>
  <c r="AA1097" i="8" s="1"/>
  <c r="AC1097" i="8"/>
  <c r="Z492" i="7"/>
  <c r="X383" i="7"/>
  <c r="Y383" i="7" s="1"/>
  <c r="W931" i="8"/>
  <c r="Z215" i="7"/>
  <c r="AA930" i="8"/>
  <c r="Z658" i="8"/>
  <c r="X871" i="8"/>
  <c r="Y871" i="8" s="1"/>
  <c r="AC327" i="8"/>
  <c r="Y327" i="8"/>
  <c r="AA327" i="8" s="1"/>
  <c r="W818" i="7"/>
  <c r="Y163" i="12"/>
  <c r="X218" i="12"/>
  <c r="Z274" i="7" l="1"/>
  <c r="AC274" i="7"/>
  <c r="AB545" i="7"/>
  <c r="AB215" i="7"/>
  <c r="B2731" i="6"/>
  <c r="E2663" i="6"/>
  <c r="D2663" i="6"/>
  <c r="AA658" i="8"/>
  <c r="C2864" i="6"/>
  <c r="AB490" i="8"/>
  <c r="X658" i="7"/>
  <c r="C2731" i="6"/>
  <c r="D2731" i="6" s="1"/>
  <c r="AA163" i="12"/>
  <c r="Z658" i="7"/>
  <c r="AC658" i="7"/>
  <c r="Y658" i="7"/>
  <c r="AA658" i="7" s="1"/>
  <c r="Y219" i="8"/>
  <c r="AC219" i="8"/>
  <c r="Z219" i="8"/>
  <c r="E2603" i="6"/>
  <c r="D2603" i="6"/>
  <c r="AH673" i="8"/>
  <c r="AC986" i="8"/>
  <c r="Z986" i="8"/>
  <c r="Y986" i="8"/>
  <c r="AA986" i="8" s="1"/>
  <c r="AC382" i="8"/>
  <c r="Y382" i="8"/>
  <c r="AA382" i="8" s="1"/>
  <c r="W491" i="8"/>
  <c r="X491" i="8" s="1"/>
  <c r="AC491" i="8" s="1"/>
  <c r="AC436" i="7"/>
  <c r="Y436" i="7"/>
  <c r="X818" i="7"/>
  <c r="Y818" i="7" s="1"/>
  <c r="AB492" i="7"/>
  <c r="Z817" i="8"/>
  <c r="AB273" i="12"/>
  <c r="W546" i="7"/>
  <c r="W162" i="7"/>
  <c r="X162" i="7" s="1"/>
  <c r="Z162" i="7" s="1"/>
  <c r="X324" i="12"/>
  <c r="Y324" i="12" s="1"/>
  <c r="W547" i="8"/>
  <c r="X547" i="8" s="1"/>
  <c r="D1798" i="6"/>
  <c r="B1799" i="6" s="1"/>
  <c r="C1799" i="6" s="1"/>
  <c r="AC437" i="8"/>
  <c r="Y437" i="8"/>
  <c r="AI728" i="8"/>
  <c r="Y711" i="7"/>
  <c r="AA711" i="7" s="1"/>
  <c r="AC711" i="7"/>
  <c r="Y272" i="8"/>
  <c r="AC272" i="8"/>
  <c r="Y274" i="7"/>
  <c r="AA274" i="7" s="1"/>
  <c r="E2797" i="6"/>
  <c r="D2797" i="6"/>
  <c r="B2798" i="6"/>
  <c r="C2798" i="6" s="1"/>
  <c r="Z272" i="8"/>
  <c r="W768" i="7"/>
  <c r="X768" i="7" s="1"/>
  <c r="AB327" i="8"/>
  <c r="Z871" i="8"/>
  <c r="AB871" i="8" s="1"/>
  <c r="AC871" i="8"/>
  <c r="Z218" i="12"/>
  <c r="AC218" i="12"/>
  <c r="AB658" i="8"/>
  <c r="Z437" i="8"/>
  <c r="W216" i="7"/>
  <c r="AC1042" i="8"/>
  <c r="Y1042" i="8"/>
  <c r="AA1042" i="8" s="1"/>
  <c r="W931" i="7"/>
  <c r="X931" i="7" s="1"/>
  <c r="Z931" i="7" s="1"/>
  <c r="W1098" i="8"/>
  <c r="X1098" i="8" s="1"/>
  <c r="Z1098" i="8" s="1"/>
  <c r="Y817" i="8"/>
  <c r="AA817" i="8" s="1"/>
  <c r="Z603" i="8"/>
  <c r="AB603" i="8" s="1"/>
  <c r="AC603" i="8"/>
  <c r="Z436" i="7"/>
  <c r="AC383" i="7"/>
  <c r="Z383" i="7"/>
  <c r="AB383" i="7" s="1"/>
  <c r="B1750" i="6"/>
  <c r="D1750" i="6" s="1"/>
  <c r="AB160" i="8"/>
  <c r="W327" i="7"/>
  <c r="X327" i="7" s="1"/>
  <c r="AC603" i="7"/>
  <c r="Y603" i="7"/>
  <c r="AA603" i="7" s="1"/>
  <c r="AA215" i="7"/>
  <c r="X546" i="7"/>
  <c r="Y546" i="7" s="1"/>
  <c r="Y218" i="12"/>
  <c r="X931" i="8"/>
  <c r="Y931" i="8" s="1"/>
  <c r="AB163" i="12"/>
  <c r="B1841" i="6"/>
  <c r="D1841" i="6" s="1"/>
  <c r="D1887" i="6"/>
  <c r="AB880" i="7"/>
  <c r="AB272" i="8" l="1"/>
  <c r="AB1042" i="8"/>
  <c r="E2864" i="6"/>
  <c r="D2864" i="6"/>
  <c r="AB274" i="7"/>
  <c r="AA871" i="8"/>
  <c r="E2731" i="6"/>
  <c r="B2732" i="6" s="1"/>
  <c r="C2732" i="6" s="1"/>
  <c r="E2732" i="6" s="1"/>
  <c r="AB437" i="8"/>
  <c r="W438" i="8" s="1"/>
  <c r="AB218" i="12"/>
  <c r="W219" i="12" s="1"/>
  <c r="B2604" i="6"/>
  <c r="C2604" i="6" s="1"/>
  <c r="B2664" i="6"/>
  <c r="C2664" i="6" s="1"/>
  <c r="AB436" i="7"/>
  <c r="W437" i="7" s="1"/>
  <c r="AB382" i="8"/>
  <c r="W383" i="8" s="1"/>
  <c r="X383" i="8" s="1"/>
  <c r="AB219" i="8"/>
  <c r="W220" i="8" s="1"/>
  <c r="E2798" i="6"/>
  <c r="D2798" i="6"/>
  <c r="AC546" i="7"/>
  <c r="W273" i="8"/>
  <c r="Z546" i="7"/>
  <c r="AB546" i="7" s="1"/>
  <c r="W274" i="12"/>
  <c r="X274" i="12" s="1"/>
  <c r="Z274" i="12" s="1"/>
  <c r="AA437" i="8"/>
  <c r="AC547" i="8"/>
  <c r="Y547" i="8"/>
  <c r="W1043" i="8"/>
  <c r="X1043" i="8" s="1"/>
  <c r="AC931" i="8"/>
  <c r="Z931" i="8"/>
  <c r="AB931" i="8" s="1"/>
  <c r="W328" i="8"/>
  <c r="X328" i="8" s="1"/>
  <c r="Z328" i="8" s="1"/>
  <c r="Z547" i="8"/>
  <c r="AB547" i="8" s="1"/>
  <c r="AB986" i="8"/>
  <c r="AI673" i="8"/>
  <c r="W384" i="7"/>
  <c r="Z818" i="7"/>
  <c r="AB818" i="7" s="1"/>
  <c r="AC818" i="7"/>
  <c r="AC768" i="7"/>
  <c r="Y768" i="7"/>
  <c r="Y162" i="7"/>
  <c r="AA162" i="7" s="1"/>
  <c r="AC162" i="7"/>
  <c r="W275" i="7"/>
  <c r="X275" i="7" s="1"/>
  <c r="AC275" i="7" s="1"/>
  <c r="AA436" i="7"/>
  <c r="AJ728" i="8"/>
  <c r="W604" i="8"/>
  <c r="AB817" i="8"/>
  <c r="Z491" i="8"/>
  <c r="C1841" i="6"/>
  <c r="AA272" i="8"/>
  <c r="AA219" i="8"/>
  <c r="W164" i="12"/>
  <c r="X164" i="12" s="1"/>
  <c r="W161" i="8"/>
  <c r="X161" i="8" s="1"/>
  <c r="Z161" i="8" s="1"/>
  <c r="W872" i="8"/>
  <c r="B1888" i="6"/>
  <c r="C1888" i="6" s="1"/>
  <c r="AC1098" i="8"/>
  <c r="W493" i="7"/>
  <c r="X493" i="7" s="1"/>
  <c r="Z493" i="7" s="1"/>
  <c r="AA603" i="8"/>
  <c r="AA383" i="7"/>
  <c r="X216" i="7"/>
  <c r="Z768" i="7"/>
  <c r="AB768" i="7" s="1"/>
  <c r="AB711" i="7"/>
  <c r="Y491" i="8"/>
  <c r="AA491" i="8" s="1"/>
  <c r="AC327" i="7"/>
  <c r="Y327" i="7"/>
  <c r="W881" i="7"/>
  <c r="X881" i="7" s="1"/>
  <c r="Z327" i="7"/>
  <c r="W659" i="8"/>
  <c r="X659" i="8" s="1"/>
  <c r="Z659" i="8" s="1"/>
  <c r="Y1098" i="8"/>
  <c r="AA1098" i="8" s="1"/>
  <c r="D1799" i="6"/>
  <c r="AC931" i="7"/>
  <c r="Y931" i="7"/>
  <c r="AA931" i="7" s="1"/>
  <c r="AA218" i="12"/>
  <c r="C1750" i="6"/>
  <c r="Z324" i="12"/>
  <c r="AB324" i="12" s="1"/>
  <c r="AC324" i="12"/>
  <c r="AB603" i="7"/>
  <c r="AB658" i="7"/>
  <c r="Y1043" i="8" l="1"/>
  <c r="AC1043" i="8"/>
  <c r="AA931" i="8"/>
  <c r="AB327" i="7"/>
  <c r="AB162" i="7"/>
  <c r="W163" i="7" s="1"/>
  <c r="X163" i="7" s="1"/>
  <c r="Z163" i="7" s="1"/>
  <c r="E2604" i="6"/>
  <c r="D2604" i="6"/>
  <c r="D2732" i="6"/>
  <c r="X872" i="8"/>
  <c r="Z872" i="8" s="1"/>
  <c r="E2664" i="6"/>
  <c r="D2664" i="6"/>
  <c r="AB491" i="8"/>
  <c r="W492" i="8" s="1"/>
  <c r="X492" i="8" s="1"/>
  <c r="B2865" i="6"/>
  <c r="C2865" i="6" s="1"/>
  <c r="AB493" i="7"/>
  <c r="Y872" i="8"/>
  <c r="AC872" i="8"/>
  <c r="Z383" i="8"/>
  <c r="AC383" i="8"/>
  <c r="Y383" i="8"/>
  <c r="AC216" i="7"/>
  <c r="Z216" i="7"/>
  <c r="AB659" i="8"/>
  <c r="X384" i="7"/>
  <c r="W548" i="8"/>
  <c r="AA327" i="7"/>
  <c r="Z275" i="7"/>
  <c r="W325" i="12"/>
  <c r="Y161" i="8"/>
  <c r="AA161" i="8" s="1"/>
  <c r="AC161" i="8"/>
  <c r="B1751" i="6"/>
  <c r="D1751" i="6" s="1"/>
  <c r="Y216" i="7"/>
  <c r="AC659" i="8"/>
  <c r="Y659" i="8"/>
  <c r="AA659" i="8" s="1"/>
  <c r="X437" i="7"/>
  <c r="AJ673" i="8"/>
  <c r="X604" i="8"/>
  <c r="Y604" i="8" s="1"/>
  <c r="X273" i="8"/>
  <c r="AC881" i="7"/>
  <c r="Y881" i="7"/>
  <c r="W987" i="8"/>
  <c r="X987" i="8" s="1"/>
  <c r="Y493" i="7"/>
  <c r="AA493" i="7" s="1"/>
  <c r="AC493" i="7"/>
  <c r="Y274" i="12"/>
  <c r="AA274" i="12" s="1"/>
  <c r="AC274" i="12"/>
  <c r="W547" i="7"/>
  <c r="AB931" i="7"/>
  <c r="W818" i="8"/>
  <c r="X818" i="8" s="1"/>
  <c r="Z818" i="8" s="1"/>
  <c r="AA818" i="7"/>
  <c r="W769" i="7"/>
  <c r="D1888" i="6"/>
  <c r="Z1043" i="8"/>
  <c r="AB1043" i="8" s="1"/>
  <c r="W819" i="7"/>
  <c r="Y275" i="7"/>
  <c r="AD729" i="8"/>
  <c r="AE729" i="8" s="1"/>
  <c r="AC164" i="12"/>
  <c r="Y164" i="12"/>
  <c r="X219" i="12"/>
  <c r="Y219" i="12" s="1"/>
  <c r="Z164" i="12"/>
  <c r="AB164" i="12" s="1"/>
  <c r="X220" i="8"/>
  <c r="X438" i="8"/>
  <c r="Y438" i="8" s="1"/>
  <c r="W328" i="7"/>
  <c r="B1842" i="6"/>
  <c r="D1842" i="6" s="1"/>
  <c r="AA324" i="12"/>
  <c r="B2799" i="6"/>
  <c r="C2799" i="6" s="1"/>
  <c r="Z881" i="7"/>
  <c r="Y328" i="8"/>
  <c r="AA328" i="8" s="1"/>
  <c r="AC328" i="8"/>
  <c r="W932" i="8"/>
  <c r="X932" i="8" s="1"/>
  <c r="W712" i="7"/>
  <c r="X712" i="7" s="1"/>
  <c r="Z712" i="7" s="1"/>
  <c r="B1800" i="6"/>
  <c r="C1800" i="6" s="1"/>
  <c r="AA768" i="7"/>
  <c r="AB1098" i="8"/>
  <c r="W659" i="7"/>
  <c r="X659" i="7" s="1"/>
  <c r="Z659" i="7" s="1"/>
  <c r="W604" i="7"/>
  <c r="X604" i="7" s="1"/>
  <c r="Z604" i="7" s="1"/>
  <c r="AA547" i="8"/>
  <c r="AA546" i="7"/>
  <c r="AA275" i="7" l="1"/>
  <c r="AA383" i="8"/>
  <c r="AB872" i="8"/>
  <c r="AB216" i="7"/>
  <c r="B2605" i="6"/>
  <c r="C2605" i="6" s="1"/>
  <c r="AB881" i="7"/>
  <c r="D2605" i="6"/>
  <c r="E2605" i="6"/>
  <c r="B2606" i="6" s="1"/>
  <c r="C2606" i="6" s="1"/>
  <c r="D2606" i="6" s="1"/>
  <c r="B2733" i="6"/>
  <c r="C2733" i="6" s="1"/>
  <c r="E2865" i="6"/>
  <c r="D2865" i="6"/>
  <c r="B2866" i="6"/>
  <c r="B2665" i="6"/>
  <c r="C2665" i="6" s="1"/>
  <c r="E2799" i="6"/>
  <c r="D2799" i="6"/>
  <c r="AA219" i="12"/>
  <c r="AC492" i="8"/>
  <c r="Z492" i="8"/>
  <c r="Y492" i="8"/>
  <c r="AA492" i="8" s="1"/>
  <c r="Y932" i="8"/>
  <c r="Z932" i="8"/>
  <c r="AB932" i="8" s="1"/>
  <c r="AC932" i="8"/>
  <c r="AF729" i="8"/>
  <c r="AG729" i="8"/>
  <c r="AI729" i="8" s="1"/>
  <c r="AC384" i="7"/>
  <c r="Z384" i="7"/>
  <c r="Y384" i="7"/>
  <c r="AC712" i="7"/>
  <c r="Y712" i="7"/>
  <c r="AA712" i="7" s="1"/>
  <c r="W932" i="7"/>
  <c r="X932" i="7" s="1"/>
  <c r="Z932" i="7" s="1"/>
  <c r="D1800" i="6"/>
  <c r="B1801" i="6" s="1"/>
  <c r="C1801" i="6" s="1"/>
  <c r="AB161" i="8"/>
  <c r="Y604" i="7"/>
  <c r="AA604" i="7" s="1"/>
  <c r="AC604" i="7"/>
  <c r="X328" i="7"/>
  <c r="W1099" i="8"/>
  <c r="X1099" i="8" s="1"/>
  <c r="Y987" i="8"/>
  <c r="AC987" i="8"/>
  <c r="W882" i="7"/>
  <c r="Z273" i="8"/>
  <c r="AC273" i="8"/>
  <c r="W494" i="7"/>
  <c r="X494" i="7" s="1"/>
  <c r="Z494" i="7" s="1"/>
  <c r="X325" i="12"/>
  <c r="Y325" i="12" s="1"/>
  <c r="AB712" i="7"/>
  <c r="AC163" i="7"/>
  <c r="AJ729" i="8"/>
  <c r="Z438" i="8"/>
  <c r="AB438" i="8" s="1"/>
  <c r="AC438" i="8"/>
  <c r="AC437" i="7"/>
  <c r="Z437" i="7"/>
  <c r="Z220" i="8"/>
  <c r="AC220" i="8"/>
  <c r="Y437" i="7"/>
  <c r="Y220" i="8"/>
  <c r="W165" i="12"/>
  <c r="B1889" i="6"/>
  <c r="C1889" i="6" s="1"/>
  <c r="AB275" i="7"/>
  <c r="AA164" i="12"/>
  <c r="Z987" i="8"/>
  <c r="AA1043" i="8"/>
  <c r="W873" i="8"/>
  <c r="AC818" i="8"/>
  <c r="Y818" i="8"/>
  <c r="AA818" i="8" s="1"/>
  <c r="C1751" i="6"/>
  <c r="Y163" i="7"/>
  <c r="AA163" i="7" s="1"/>
  <c r="Y273" i="8"/>
  <c r="AC604" i="8"/>
  <c r="Z604" i="8"/>
  <c r="AB604" i="8" s="1"/>
  <c r="W660" i="8"/>
  <c r="X660" i="8" s="1"/>
  <c r="C1842" i="6"/>
  <c r="W217" i="7"/>
  <c r="X547" i="7"/>
  <c r="Y547" i="7" s="1"/>
  <c r="X548" i="8"/>
  <c r="AD674" i="8"/>
  <c r="AE674" i="8" s="1"/>
  <c r="AJ674" i="8" s="1"/>
  <c r="W1044" i="8"/>
  <c r="Y659" i="7"/>
  <c r="AA659" i="7" s="1"/>
  <c r="AC659" i="7"/>
  <c r="Z219" i="12"/>
  <c r="AB219" i="12" s="1"/>
  <c r="AC219" i="12"/>
  <c r="AB383" i="8"/>
  <c r="X769" i="7"/>
  <c r="AB274" i="12"/>
  <c r="X819" i="7"/>
  <c r="AA881" i="7"/>
  <c r="AA216" i="7"/>
  <c r="AA872" i="8"/>
  <c r="AB328" i="8"/>
  <c r="C2866" i="6" l="1"/>
  <c r="E2606" i="6"/>
  <c r="B2607" i="6" s="1"/>
  <c r="AA273" i="8"/>
  <c r="B2867" i="6"/>
  <c r="E2866" i="6"/>
  <c r="D2866" i="6"/>
  <c r="C2867" i="6" s="1"/>
  <c r="D2733" i="6"/>
  <c r="E2733" i="6"/>
  <c r="B2734" i="6"/>
  <c r="AB384" i="7"/>
  <c r="W385" i="7" s="1"/>
  <c r="C2607" i="6"/>
  <c r="D2607" i="6" s="1"/>
  <c r="B2800" i="6"/>
  <c r="C2800" i="6" s="1"/>
  <c r="AB987" i="8"/>
  <c r="W988" i="8" s="1"/>
  <c r="AA438" i="8"/>
  <c r="X439" i="8" s="1"/>
  <c r="AA220" i="8"/>
  <c r="E2665" i="6"/>
  <c r="B2666" i="6" s="1"/>
  <c r="D2665" i="6"/>
  <c r="AA437" i="7"/>
  <c r="AC660" i="8"/>
  <c r="Z660" i="8"/>
  <c r="Y660" i="8"/>
  <c r="AA660" i="8" s="1"/>
  <c r="W329" i="8"/>
  <c r="X329" i="8" s="1"/>
  <c r="X165" i="12"/>
  <c r="AB604" i="7"/>
  <c r="X882" i="7"/>
  <c r="AF674" i="8"/>
  <c r="AG674" i="8"/>
  <c r="AI674" i="8" s="1"/>
  <c r="W713" i="7"/>
  <c r="X713" i="7" s="1"/>
  <c r="AC713" i="7" s="1"/>
  <c r="W275" i="12"/>
  <c r="X275" i="12" s="1"/>
  <c r="Z275" i="12" s="1"/>
  <c r="W933" i="8"/>
  <c r="Y932" i="7"/>
  <c r="AA932" i="7" s="1"/>
  <c r="AC932" i="7"/>
  <c r="AB659" i="7"/>
  <c r="X873" i="8"/>
  <c r="Y873" i="8" s="1"/>
  <c r="AD730" i="8"/>
  <c r="X217" i="7"/>
  <c r="AH729" i="8"/>
  <c r="AC1099" i="8"/>
  <c r="Y1099" i="8"/>
  <c r="Z819" i="7"/>
  <c r="AC819" i="7"/>
  <c r="B1752" i="6"/>
  <c r="D1752" i="6" s="1"/>
  <c r="AC548" i="8"/>
  <c r="Z548" i="8"/>
  <c r="Y548" i="8"/>
  <c r="Z325" i="12"/>
  <c r="AB325" i="12" s="1"/>
  <c r="AC325" i="12"/>
  <c r="Z547" i="7"/>
  <c r="AB547" i="7" s="1"/>
  <c r="AC547" i="7"/>
  <c r="AC769" i="7"/>
  <c r="Z769" i="7"/>
  <c r="Y494" i="7"/>
  <c r="AA494" i="7" s="1"/>
  <c r="AA604" i="8"/>
  <c r="AA932" i="8"/>
  <c r="AB220" i="8"/>
  <c r="AC494" i="7"/>
  <c r="AB163" i="7"/>
  <c r="W384" i="8"/>
  <c r="X384" i="8" s="1"/>
  <c r="X1044" i="8"/>
  <c r="AB818" i="8"/>
  <c r="W605" i="8"/>
  <c r="W162" i="8"/>
  <c r="X162" i="8" s="1"/>
  <c r="Z162" i="8"/>
  <c r="AA987" i="8"/>
  <c r="W276" i="7"/>
  <c r="X276" i="7" s="1"/>
  <c r="Z276" i="7" s="1"/>
  <c r="D1801" i="6"/>
  <c r="Z1099" i="8"/>
  <c r="Y819" i="7"/>
  <c r="AC328" i="7"/>
  <c r="Z328" i="7"/>
  <c r="Y328" i="7"/>
  <c r="AA328" i="7" s="1"/>
  <c r="AB492" i="8"/>
  <c r="Y769" i="7"/>
  <c r="AB932" i="7"/>
  <c r="AB437" i="7"/>
  <c r="AB273" i="8"/>
  <c r="W220" i="12"/>
  <c r="X220" i="12" s="1"/>
  <c r="B1843" i="6"/>
  <c r="D1843" i="6" s="1"/>
  <c r="D1889" i="6"/>
  <c r="B1890" i="6" s="1"/>
  <c r="C1890" i="6" s="1"/>
  <c r="W439" i="8"/>
  <c r="AA384" i="7"/>
  <c r="E2607" i="6" l="1"/>
  <c r="C2734" i="6"/>
  <c r="AA548" i="8"/>
  <c r="C2666" i="6"/>
  <c r="D2666" i="6"/>
  <c r="E2666" i="6"/>
  <c r="B2667" i="6" s="1"/>
  <c r="C2667" i="6"/>
  <c r="Y439" i="8"/>
  <c r="Z439" i="8"/>
  <c r="AC439" i="8"/>
  <c r="D2734" i="6"/>
  <c r="E2734" i="6"/>
  <c r="B2735" i="6"/>
  <c r="AA769" i="7"/>
  <c r="AB819" i="7"/>
  <c r="W820" i="7" s="1"/>
  <c r="B2868" i="6"/>
  <c r="D2867" i="6"/>
  <c r="E2867" i="6"/>
  <c r="B2608" i="6"/>
  <c r="C2608" i="6" s="1"/>
  <c r="D2608" i="6" s="1"/>
  <c r="AA1099" i="8"/>
  <c r="Y220" i="12"/>
  <c r="Z220" i="12"/>
  <c r="AB220" i="12" s="1"/>
  <c r="AC220" i="12"/>
  <c r="AA873" i="8"/>
  <c r="AB439" i="8"/>
  <c r="W660" i="7"/>
  <c r="X660" i="7" s="1"/>
  <c r="Z660" i="7" s="1"/>
  <c r="W819" i="8"/>
  <c r="X819" i="8" s="1"/>
  <c r="Z819" i="8" s="1"/>
  <c r="Y713" i="7"/>
  <c r="AE730" i="8"/>
  <c r="AF730" i="8" s="1"/>
  <c r="W493" i="8"/>
  <c r="X493" i="8" s="1"/>
  <c r="Z493" i="8"/>
  <c r="X988" i="8"/>
  <c r="AA325" i="12"/>
  <c r="Y384" i="8"/>
  <c r="AC384" i="8"/>
  <c r="Z713" i="7"/>
  <c r="AB494" i="7"/>
  <c r="W164" i="7"/>
  <c r="X164" i="7" s="1"/>
  <c r="Z164" i="7"/>
  <c r="AD675" i="8"/>
  <c r="W438" i="7"/>
  <c r="X438" i="7" s="1"/>
  <c r="Z438" i="7"/>
  <c r="X385" i="7"/>
  <c r="W221" i="8"/>
  <c r="X221" i="8" s="1"/>
  <c r="W933" i="7"/>
  <c r="X933" i="7" s="1"/>
  <c r="Z933" i="7" s="1"/>
  <c r="AB769" i="7"/>
  <c r="C1752" i="6"/>
  <c r="D1890" i="6"/>
  <c r="B1891" i="6" s="1"/>
  <c r="C1891" i="6" s="1"/>
  <c r="W605" i="7"/>
  <c r="X605" i="7" s="1"/>
  <c r="AC1044" i="8"/>
  <c r="Z1044" i="8"/>
  <c r="AC165" i="12"/>
  <c r="Z165" i="12"/>
  <c r="W326" i="12"/>
  <c r="AC329" i="8"/>
  <c r="Y329" i="8"/>
  <c r="Y275" i="12"/>
  <c r="AA275" i="12" s="1"/>
  <c r="AC275" i="12"/>
  <c r="AC162" i="8"/>
  <c r="Y162" i="8"/>
  <c r="AA162" i="8" s="1"/>
  <c r="AB548" i="8"/>
  <c r="AA547" i="7"/>
  <c r="AC873" i="8"/>
  <c r="Z873" i="8"/>
  <c r="AB873" i="8" s="1"/>
  <c r="AH674" i="8"/>
  <c r="AA819" i="7"/>
  <c r="X933" i="8"/>
  <c r="Z882" i="7"/>
  <c r="AC882" i="7"/>
  <c r="AB660" i="8"/>
  <c r="AC276" i="7"/>
  <c r="Y276" i="7"/>
  <c r="AA276" i="7" s="1"/>
  <c r="W548" i="7"/>
  <c r="Y1044" i="8"/>
  <c r="Y165" i="12"/>
  <c r="C1843" i="6"/>
  <c r="AC217" i="7"/>
  <c r="Z217" i="7"/>
  <c r="Y217" i="7"/>
  <c r="Z329" i="8"/>
  <c r="E2800" i="6"/>
  <c r="D2800" i="6"/>
  <c r="B2801" i="6"/>
  <c r="C2801" i="6" s="1"/>
  <c r="Z384" i="8"/>
  <c r="AB384" i="8" s="1"/>
  <c r="W274" i="8"/>
  <c r="X274" i="8" s="1"/>
  <c r="B1802" i="6"/>
  <c r="C1802" i="6" s="1"/>
  <c r="AB328" i="7"/>
  <c r="AB1099" i="8"/>
  <c r="X605" i="8"/>
  <c r="Y882" i="7"/>
  <c r="AB1044" i="8" l="1"/>
  <c r="AB162" i="8"/>
  <c r="C2735" i="6"/>
  <c r="AB329" i="8"/>
  <c r="AA217" i="7"/>
  <c r="D1802" i="6"/>
  <c r="AB165" i="12"/>
  <c r="W166" i="12" s="1"/>
  <c r="AB275" i="12"/>
  <c r="E2735" i="6"/>
  <c r="D2735" i="6"/>
  <c r="B2736" i="6"/>
  <c r="C2736" i="6" s="1"/>
  <c r="E2608" i="6"/>
  <c r="B2609" i="6" s="1"/>
  <c r="AA439" i="8"/>
  <c r="C2868" i="6"/>
  <c r="AA882" i="7"/>
  <c r="AA713" i="7"/>
  <c r="E2667" i="6"/>
  <c r="D2667" i="6"/>
  <c r="AA1044" i="8"/>
  <c r="D2801" i="6"/>
  <c r="B2802" i="6"/>
  <c r="E2801" i="6"/>
  <c r="W385" i="8"/>
  <c r="Y221" i="8"/>
  <c r="AC221" i="8"/>
  <c r="X163" i="8"/>
  <c r="Z163" i="8" s="1"/>
  <c r="X326" i="12"/>
  <c r="W276" i="12"/>
  <c r="X276" i="12" s="1"/>
  <c r="Y276" i="12" s="1"/>
  <c r="AC660" i="7"/>
  <c r="Y660" i="7"/>
  <c r="AA660" i="7" s="1"/>
  <c r="Z988" i="8"/>
  <c r="AC988" i="8"/>
  <c r="B1753" i="6"/>
  <c r="D1753" i="6" s="1"/>
  <c r="Y988" i="8"/>
  <c r="AA988" i="8" s="1"/>
  <c r="Y605" i="7"/>
  <c r="AC605" i="7"/>
  <c r="AA384" i="8"/>
  <c r="W549" i="8"/>
  <c r="X549" i="8" s="1"/>
  <c r="Y933" i="7"/>
  <c r="AA933" i="7" s="1"/>
  <c r="D1891" i="6"/>
  <c r="B1892" i="6" s="1"/>
  <c r="C1892" i="6" s="1"/>
  <c r="Z221" i="8"/>
  <c r="AC385" i="7"/>
  <c r="Z385" i="7"/>
  <c r="W330" i="8"/>
  <c r="AC933" i="7"/>
  <c r="W661" i="8"/>
  <c r="X661" i="8" s="1"/>
  <c r="AC605" i="8"/>
  <c r="Z605" i="8"/>
  <c r="Y605" i="8"/>
  <c r="AA605" i="8" s="1"/>
  <c r="Z933" i="8"/>
  <c r="AC933" i="8"/>
  <c r="W329" i="7"/>
  <c r="X329" i="7" s="1"/>
  <c r="Z329" i="7" s="1"/>
  <c r="W1045" i="8"/>
  <c r="X1045" i="8" s="1"/>
  <c r="AC164" i="7"/>
  <c r="Y164" i="7"/>
  <c r="AA164" i="7" s="1"/>
  <c r="W770" i="7"/>
  <c r="X770" i="7" s="1"/>
  <c r="Z770" i="7" s="1"/>
  <c r="AB217" i="7"/>
  <c r="W1100" i="8"/>
  <c r="X1100" i="8" s="1"/>
  <c r="Z1100" i="8" s="1"/>
  <c r="AG730" i="8"/>
  <c r="AI730" i="8" s="1"/>
  <c r="AJ730" i="8"/>
  <c r="Y933" i="8"/>
  <c r="AA165" i="12"/>
  <c r="AE675" i="8"/>
  <c r="W495" i="7"/>
  <c r="X495" i="7" s="1"/>
  <c r="Z495" i="7"/>
  <c r="W221" i="12"/>
  <c r="Y274" i="8"/>
  <c r="AC274" i="8"/>
  <c r="X548" i="7"/>
  <c r="Y548" i="7" s="1"/>
  <c r="W163" i="8"/>
  <c r="Y819" i="8"/>
  <c r="AA819" i="8" s="1"/>
  <c r="AC819" i="8"/>
  <c r="Y385" i="7"/>
  <c r="AB276" i="7"/>
  <c r="AA329" i="8"/>
  <c r="W440" i="8"/>
  <c r="X440" i="8" s="1"/>
  <c r="Z440" i="8" s="1"/>
  <c r="AB882" i="7"/>
  <c r="Y438" i="7"/>
  <c r="AA438" i="7" s="1"/>
  <c r="AC438" i="7"/>
  <c r="AC493" i="8"/>
  <c r="Y493" i="8"/>
  <c r="AA493" i="8" s="1"/>
  <c r="B1844" i="6"/>
  <c r="D1844" i="6" s="1"/>
  <c r="B1803" i="6"/>
  <c r="D1803" i="6" s="1"/>
  <c r="X820" i="7"/>
  <c r="Z274" i="8"/>
  <c r="W874" i="8"/>
  <c r="X874" i="8" s="1"/>
  <c r="Z605" i="7"/>
  <c r="AB713" i="7"/>
  <c r="AA220" i="12"/>
  <c r="E2736" i="6" l="1"/>
  <c r="B2737" i="6" s="1"/>
  <c r="C2737" i="6" s="1"/>
  <c r="AA274" i="8"/>
  <c r="AB933" i="8"/>
  <c r="D2736" i="6"/>
  <c r="AA605" i="7"/>
  <c r="AA221" i="8"/>
  <c r="C2802" i="6"/>
  <c r="AB493" i="8"/>
  <c r="B2869" i="6"/>
  <c r="E2868" i="6"/>
  <c r="D2868" i="6"/>
  <c r="C2869" i="6" s="1"/>
  <c r="AB819" i="8"/>
  <c r="AB933" i="7"/>
  <c r="W934" i="7" s="1"/>
  <c r="X934" i="7" s="1"/>
  <c r="B2668" i="6"/>
  <c r="C2668" i="6" s="1"/>
  <c r="AB385" i="7"/>
  <c r="W386" i="7" s="1"/>
  <c r="C2609" i="6"/>
  <c r="AC874" i="8"/>
  <c r="Z874" i="8"/>
  <c r="Y874" i="8"/>
  <c r="Z1045" i="8"/>
  <c r="Y1045" i="8"/>
  <c r="AA1045" i="8" s="1"/>
  <c r="AC1045" i="8"/>
  <c r="B2803" i="6"/>
  <c r="E2802" i="6"/>
  <c r="D2802" i="6"/>
  <c r="AB605" i="7"/>
  <c r="AD731" i="8"/>
  <c r="Y163" i="8"/>
  <c r="AA163" i="8" s="1"/>
  <c r="W883" i="7"/>
  <c r="X883" i="7" s="1"/>
  <c r="Z883" i="7"/>
  <c r="W934" i="8"/>
  <c r="C1753" i="6"/>
  <c r="AB274" i="8"/>
  <c r="W218" i="7"/>
  <c r="X218" i="7" s="1"/>
  <c r="Z218" i="7" s="1"/>
  <c r="AC163" i="8"/>
  <c r="Z820" i="7"/>
  <c r="AC820" i="7"/>
  <c r="AB438" i="7"/>
  <c r="AB605" i="8"/>
  <c r="AB221" i="8"/>
  <c r="AB988" i="8"/>
  <c r="W820" i="8"/>
  <c r="X820" i="8" s="1"/>
  <c r="Z820" i="8" s="1"/>
  <c r="W277" i="7"/>
  <c r="X277" i="7" s="1"/>
  <c r="Z277" i="7" s="1"/>
  <c r="AH730" i="8"/>
  <c r="C1803" i="6"/>
  <c r="AJ675" i="8"/>
  <c r="AG675" i="8"/>
  <c r="AB660" i="7"/>
  <c r="AC549" i="8"/>
  <c r="Y549" i="8"/>
  <c r="AC276" i="12"/>
  <c r="AC661" i="8"/>
  <c r="Y661" i="8"/>
  <c r="Z276" i="12"/>
  <c r="AB276" i="12" s="1"/>
  <c r="X385" i="8"/>
  <c r="X166" i="12"/>
  <c r="X494" i="8"/>
  <c r="Z494" i="8" s="1"/>
  <c r="AB164" i="7"/>
  <c r="AC329" i="7"/>
  <c r="Y329" i="7"/>
  <c r="AA329" i="7" s="1"/>
  <c r="AC326" i="12"/>
  <c r="Z326" i="12"/>
  <c r="W714" i="7"/>
  <c r="X714" i="7" s="1"/>
  <c r="Z714" i="7" s="1"/>
  <c r="Y1100" i="8"/>
  <c r="AA1100" i="8" s="1"/>
  <c r="AC1100" i="8"/>
  <c r="AC440" i="8"/>
  <c r="Y440" i="8"/>
  <c r="AA440" i="8" s="1"/>
  <c r="W494" i="8"/>
  <c r="AC770" i="7"/>
  <c r="Y770" i="7"/>
  <c r="AA770" i="7" s="1"/>
  <c r="Y820" i="7"/>
  <c r="X330" i="8"/>
  <c r="Y330" i="8" s="1"/>
  <c r="D1892" i="6"/>
  <c r="Y495" i="7"/>
  <c r="AA495" i="7" s="1"/>
  <c r="AC495" i="7"/>
  <c r="AA385" i="7"/>
  <c r="C1844" i="6"/>
  <c r="AF675" i="8"/>
  <c r="Z549" i="8"/>
  <c r="Z661" i="8"/>
  <c r="X221" i="12"/>
  <c r="Y221" i="12" s="1"/>
  <c r="AC548" i="7"/>
  <c r="Z548" i="7"/>
  <c r="AB548" i="7" s="1"/>
  <c r="AA933" i="8"/>
  <c r="Y326" i="12"/>
  <c r="B2738" i="6" l="1"/>
  <c r="C2738" i="6" s="1"/>
  <c r="E2737" i="6"/>
  <c r="D2737" i="6"/>
  <c r="AB820" i="7"/>
  <c r="AB549" i="8"/>
  <c r="W550" i="8" s="1"/>
  <c r="AB326" i="12"/>
  <c r="W327" i="12" s="1"/>
  <c r="E2668" i="6"/>
  <c r="D2668" i="6"/>
  <c r="AC494" i="8"/>
  <c r="B2870" i="6"/>
  <c r="D2869" i="6"/>
  <c r="E2869" i="6"/>
  <c r="C2803" i="6"/>
  <c r="D2803" i="6" s="1"/>
  <c r="AB770" i="7"/>
  <c r="W771" i="7" s="1"/>
  <c r="X771" i="7" s="1"/>
  <c r="D2609" i="6"/>
  <c r="E2609" i="6"/>
  <c r="B2610" i="6" s="1"/>
  <c r="AB661" i="8"/>
  <c r="AB440" i="8"/>
  <c r="AB1100" i="8"/>
  <c r="W1101" i="8" s="1"/>
  <c r="X1101" i="8" s="1"/>
  <c r="AI675" i="8"/>
  <c r="AD676" i="8" s="1"/>
  <c r="AB495" i="7"/>
  <c r="W496" i="7" s="1"/>
  <c r="X496" i="7" s="1"/>
  <c r="Z496" i="7" s="1"/>
  <c r="AA874" i="8"/>
  <c r="AC934" i="7"/>
  <c r="Y934" i="7"/>
  <c r="Z934" i="7"/>
  <c r="AB934" i="7" s="1"/>
  <c r="W661" i="7"/>
  <c r="X661" i="7" s="1"/>
  <c r="Z661" i="7" s="1"/>
  <c r="X386" i="7"/>
  <c r="AC883" i="7"/>
  <c r="AC884" i="7" s="1"/>
  <c r="AC885" i="7" s="1"/>
  <c r="AC886" i="7" s="1"/>
  <c r="Y883" i="7"/>
  <c r="AA883" i="7" s="1"/>
  <c r="Y884" i="7" s="1"/>
  <c r="AA884" i="7" s="1"/>
  <c r="Y885" i="7" s="1"/>
  <c r="AA885" i="7" s="1"/>
  <c r="Y886" i="7" s="1"/>
  <c r="AA886" i="7" s="1"/>
  <c r="W165" i="7"/>
  <c r="X165" i="7" s="1"/>
  <c r="B1804" i="6"/>
  <c r="D1804" i="6" s="1"/>
  <c r="AE731" i="8"/>
  <c r="AC221" i="12"/>
  <c r="Z221" i="12"/>
  <c r="AB221" i="12" s="1"/>
  <c r="W606" i="8"/>
  <c r="X606" i="8" s="1"/>
  <c r="AB329" i="7"/>
  <c r="W662" i="8"/>
  <c r="W821" i="7"/>
  <c r="AB1045" i="8"/>
  <c r="AB163" i="8"/>
  <c r="Y820" i="8"/>
  <c r="AA820" i="8" s="1"/>
  <c r="W222" i="8"/>
  <c r="X222" i="8" s="1"/>
  <c r="W439" i="7"/>
  <c r="X439" i="7" s="1"/>
  <c r="Y494" i="8"/>
  <c r="AA494" i="8" s="1"/>
  <c r="AC166" i="12"/>
  <c r="Z166" i="12"/>
  <c r="Y166" i="12"/>
  <c r="AA166" i="12" s="1"/>
  <c r="AC820" i="8"/>
  <c r="Z385" i="8"/>
  <c r="AC385" i="8"/>
  <c r="W275" i="8"/>
  <c r="X275" i="8" s="1"/>
  <c r="B1754" i="6"/>
  <c r="D1754" i="6" s="1"/>
  <c r="AA326" i="12"/>
  <c r="W277" i="12"/>
  <c r="AA661" i="8"/>
  <c r="B1893" i="6"/>
  <c r="C1893" i="6" s="1"/>
  <c r="AA548" i="7"/>
  <c r="X934" i="8"/>
  <c r="Y934" i="8" s="1"/>
  <c r="AC330" i="8"/>
  <c r="Z330" i="8"/>
  <c r="AB330" i="8" s="1"/>
  <c r="Y218" i="7"/>
  <c r="AA218" i="7" s="1"/>
  <c r="AC218" i="7"/>
  <c r="AA820" i="7"/>
  <c r="AH675" i="8"/>
  <c r="Y385" i="8"/>
  <c r="AA385" i="8" s="1"/>
  <c r="AB874" i="8"/>
  <c r="B1845" i="6"/>
  <c r="D1845" i="6" s="1"/>
  <c r="AA276" i="12"/>
  <c r="AC277" i="7"/>
  <c r="Y277" i="7"/>
  <c r="AA277" i="7" s="1"/>
  <c r="W606" i="7"/>
  <c r="X606" i="7" s="1"/>
  <c r="Z606" i="7" s="1"/>
  <c r="W549" i="7"/>
  <c r="AC714" i="7"/>
  <c r="Y714" i="7"/>
  <c r="AA714" i="7" s="1"/>
  <c r="AA549" i="8"/>
  <c r="W989" i="8"/>
  <c r="X989" i="8" s="1"/>
  <c r="B2739" i="6" l="1"/>
  <c r="E2738" i="6"/>
  <c r="D2738" i="6"/>
  <c r="C2739" i="6" s="1"/>
  <c r="C2870" i="6"/>
  <c r="AA934" i="7"/>
  <c r="B2871" i="6"/>
  <c r="E2870" i="6"/>
  <c r="D2870" i="6"/>
  <c r="E2803" i="6"/>
  <c r="B2804" i="6"/>
  <c r="W441" i="8"/>
  <c r="X441" i="8" s="1"/>
  <c r="Y441" i="8" s="1"/>
  <c r="AA330" i="8"/>
  <c r="X331" i="8" s="1"/>
  <c r="Z331" i="8" s="1"/>
  <c r="C2610" i="6"/>
  <c r="AB494" i="8"/>
  <c r="W495" i="8" s="1"/>
  <c r="X495" i="8" s="1"/>
  <c r="AC495" i="8" s="1"/>
  <c r="D1893" i="6"/>
  <c r="B1894" i="6" s="1"/>
  <c r="D1894" i="6" s="1"/>
  <c r="B2669" i="6"/>
  <c r="C2669" i="6" s="1"/>
  <c r="Y771" i="7"/>
  <c r="AC771" i="7"/>
  <c r="Z771" i="7"/>
  <c r="B2740" i="6"/>
  <c r="E2739" i="6"/>
  <c r="D2739" i="6"/>
  <c r="C2740" i="6" s="1"/>
  <c r="AC1101" i="8"/>
  <c r="Z1101" i="8"/>
  <c r="Y1101" i="8"/>
  <c r="AA1101" i="8" s="1"/>
  <c r="AB661" i="7"/>
  <c r="Y275" i="8"/>
  <c r="AC275" i="8"/>
  <c r="Y606" i="8"/>
  <c r="AC606" i="8"/>
  <c r="Z606" i="8"/>
  <c r="AB606" i="8" s="1"/>
  <c r="AB385" i="8"/>
  <c r="AB714" i="7"/>
  <c r="W1046" i="8"/>
  <c r="X1046" i="8" s="1"/>
  <c r="Z1046" i="8" s="1"/>
  <c r="AB883" i="7"/>
  <c r="Z884" i="7" s="1"/>
  <c r="AB884" i="7" s="1"/>
  <c r="Z885" i="7" s="1"/>
  <c r="AB885" i="7" s="1"/>
  <c r="Z886" i="7" s="1"/>
  <c r="AB886" i="7" s="1"/>
  <c r="W887" i="7" s="1"/>
  <c r="AD836" i="7" s="1"/>
  <c r="AB218" i="7"/>
  <c r="AB166" i="12"/>
  <c r="AJ731" i="8"/>
  <c r="AG731" i="8"/>
  <c r="AI731" i="8" s="1"/>
  <c r="AB277" i="7"/>
  <c r="W935" i="7"/>
  <c r="X935" i="7" s="1"/>
  <c r="AC989" i="8"/>
  <c r="Y989" i="8"/>
  <c r="W875" i="8"/>
  <c r="X875" i="8" s="1"/>
  <c r="Z875" i="8"/>
  <c r="Y496" i="7"/>
  <c r="AA496" i="7" s="1"/>
  <c r="AC496" i="7"/>
  <c r="Y439" i="7"/>
  <c r="AC439" i="7"/>
  <c r="AC165" i="7"/>
  <c r="Y165" i="7"/>
  <c r="Z165" i="7"/>
  <c r="AB165" i="7" s="1"/>
  <c r="W164" i="8"/>
  <c r="X164" i="8" s="1"/>
  <c r="Z164" i="8" s="1"/>
  <c r="AC386" i="7"/>
  <c r="Z386" i="7"/>
  <c r="Y222" i="8"/>
  <c r="AC222" i="8"/>
  <c r="X277" i="12"/>
  <c r="X327" i="12"/>
  <c r="Z222" i="8"/>
  <c r="AB222" i="8" s="1"/>
  <c r="AA221" i="12"/>
  <c r="C1754" i="6"/>
  <c r="W330" i="7"/>
  <c r="X330" i="7" s="1"/>
  <c r="Z330" i="7" s="1"/>
  <c r="C1804" i="6"/>
  <c r="X550" i="8"/>
  <c r="Y550" i="8" s="1"/>
  <c r="AE676" i="8"/>
  <c r="X549" i="7"/>
  <c r="Z275" i="8"/>
  <c r="Z439" i="7"/>
  <c r="AB439" i="7" s="1"/>
  <c r="X662" i="8"/>
  <c r="X821" i="7"/>
  <c r="W222" i="12"/>
  <c r="AB820" i="8"/>
  <c r="Y606" i="7"/>
  <c r="AA606" i="7" s="1"/>
  <c r="AC606" i="7"/>
  <c r="Y386" i="7"/>
  <c r="AC661" i="7"/>
  <c r="Y661" i="7"/>
  <c r="AA661" i="7" s="1"/>
  <c r="W331" i="8"/>
  <c r="AF731" i="8"/>
  <c r="Z989" i="8"/>
  <c r="C1845" i="6"/>
  <c r="Z934" i="8"/>
  <c r="AB934" i="8" s="1"/>
  <c r="AC934" i="8"/>
  <c r="AB386" i="7" l="1"/>
  <c r="C2804" i="6"/>
  <c r="AC441" i="8"/>
  <c r="E2804" i="6"/>
  <c r="D2804" i="6"/>
  <c r="B2805" i="6"/>
  <c r="C2805" i="6" s="1"/>
  <c r="E2805" i="6" s="1"/>
  <c r="D2669" i="6"/>
  <c r="E2669" i="6"/>
  <c r="B2670" i="6" s="1"/>
  <c r="C2670" i="6" s="1"/>
  <c r="Z441" i="8"/>
  <c r="AB441" i="8" s="1"/>
  <c r="W442" i="8" s="1"/>
  <c r="X442" i="8" s="1"/>
  <c r="Y442" i="8" s="1"/>
  <c r="E2610" i="6"/>
  <c r="B2611" i="6"/>
  <c r="D2610" i="6"/>
  <c r="C2611" i="6" s="1"/>
  <c r="AB989" i="8"/>
  <c r="W990" i="8" s="1"/>
  <c r="AB496" i="7"/>
  <c r="W497" i="7" s="1"/>
  <c r="X497" i="7" s="1"/>
  <c r="AA275" i="8"/>
  <c r="AA441" i="8"/>
  <c r="AB771" i="7"/>
  <c r="W772" i="7" s="1"/>
  <c r="C2871" i="6"/>
  <c r="B2741" i="6"/>
  <c r="D2740" i="6"/>
  <c r="E2740" i="6"/>
  <c r="Y935" i="7"/>
  <c r="AC935" i="7"/>
  <c r="Z935" i="7"/>
  <c r="AB935" i="7" s="1"/>
  <c r="W440" i="7"/>
  <c r="Y164" i="8"/>
  <c r="AA164" i="8" s="1"/>
  <c r="AC164" i="8"/>
  <c r="AB275" i="8"/>
  <c r="B1755" i="6"/>
  <c r="D1755" i="6" s="1"/>
  <c r="Z549" i="7"/>
  <c r="AB549" i="7" s="1"/>
  <c r="AC549" i="7"/>
  <c r="X222" i="12"/>
  <c r="Y495" i="8"/>
  <c r="AJ676" i="8"/>
  <c r="AG676" i="8"/>
  <c r="AC821" i="7"/>
  <c r="Z821" i="7"/>
  <c r="AB606" i="7"/>
  <c r="AC1046" i="8"/>
  <c r="Y1046" i="8"/>
  <c r="AA1046" i="8" s="1"/>
  <c r="Y549" i="7"/>
  <c r="W935" i="8"/>
  <c r="W223" i="8"/>
  <c r="Z327" i="12"/>
  <c r="AC327" i="12"/>
  <c r="W278" i="7"/>
  <c r="X278" i="7" s="1"/>
  <c r="AA439" i="7"/>
  <c r="AC277" i="12"/>
  <c r="Z277" i="12"/>
  <c r="W715" i="7"/>
  <c r="X715" i="7" s="1"/>
  <c r="Z715" i="7" s="1"/>
  <c r="AH731" i="8"/>
  <c r="Y277" i="12"/>
  <c r="W662" i="7"/>
  <c r="X662" i="7" s="1"/>
  <c r="Z662" i="7" s="1"/>
  <c r="W607" i="8"/>
  <c r="AC662" i="8"/>
  <c r="Z662" i="8"/>
  <c r="AA934" i="8"/>
  <c r="AB1101" i="8"/>
  <c r="Y662" i="8"/>
  <c r="AA662" i="8" s="1"/>
  <c r="AC875" i="8"/>
  <c r="Y875" i="8"/>
  <c r="AA875" i="8" s="1"/>
  <c r="Y330" i="7"/>
  <c r="AA330" i="7" s="1"/>
  <c r="AC330" i="7"/>
  <c r="W166" i="7"/>
  <c r="W821" i="8"/>
  <c r="X821" i="8" s="1"/>
  <c r="Z821" i="8" s="1"/>
  <c r="AA165" i="7"/>
  <c r="Z495" i="8"/>
  <c r="B1846" i="6"/>
  <c r="D1846" i="6" s="1"/>
  <c r="AF676" i="8"/>
  <c r="AH838" i="7"/>
  <c r="AC331" i="8"/>
  <c r="AD732" i="8"/>
  <c r="Y331" i="8"/>
  <c r="AA331" i="8" s="1"/>
  <c r="W167" i="12"/>
  <c r="X167" i="12" s="1"/>
  <c r="AA222" i="8"/>
  <c r="W219" i="7"/>
  <c r="X219" i="7" s="1"/>
  <c r="Z219" i="7" s="1"/>
  <c r="AA989" i="8"/>
  <c r="AA606" i="8"/>
  <c r="Y821" i="7"/>
  <c r="Y327" i="12"/>
  <c r="AC550" i="8"/>
  <c r="Z550" i="8"/>
  <c r="AB550" i="8" s="1"/>
  <c r="W386" i="8"/>
  <c r="X386" i="8" s="1"/>
  <c r="Z386" i="8" s="1"/>
  <c r="W387" i="7"/>
  <c r="AA386" i="7"/>
  <c r="C1894" i="6"/>
  <c r="B1805" i="6"/>
  <c r="D1805" i="6" s="1"/>
  <c r="AA771" i="7"/>
  <c r="AB164" i="8" l="1"/>
  <c r="B2806" i="6"/>
  <c r="D2670" i="6"/>
  <c r="E2670" i="6"/>
  <c r="B2671" i="6"/>
  <c r="C2671" i="6" s="1"/>
  <c r="Z497" i="7"/>
  <c r="AC497" i="7"/>
  <c r="Y497" i="7"/>
  <c r="AA497" i="7" s="1"/>
  <c r="AB277" i="12"/>
  <c r="D2871" i="6"/>
  <c r="E2871" i="6"/>
  <c r="B2872" i="6"/>
  <c r="AC662" i="7"/>
  <c r="D2611" i="6"/>
  <c r="B2612" i="6"/>
  <c r="E2611" i="6"/>
  <c r="C2612" i="6" s="1"/>
  <c r="AH676" i="8"/>
  <c r="C2741" i="6"/>
  <c r="B2742" i="6" s="1"/>
  <c r="AB495" i="8"/>
  <c r="AA327" i="12"/>
  <c r="D2805" i="6"/>
  <c r="C2806" i="6" s="1"/>
  <c r="AA821" i="7"/>
  <c r="AC167" i="12"/>
  <c r="Y167" i="12"/>
  <c r="W550" i="7"/>
  <c r="AA550" i="8"/>
  <c r="AB331" i="8"/>
  <c r="C1805" i="6"/>
  <c r="AI838" i="7"/>
  <c r="W278" i="12"/>
  <c r="C1755" i="6"/>
  <c r="W1102" i="8"/>
  <c r="X1102" i="8" s="1"/>
  <c r="Z1102" i="8" s="1"/>
  <c r="W276" i="8"/>
  <c r="X276" i="8" s="1"/>
  <c r="Y278" i="7"/>
  <c r="AC278" i="7"/>
  <c r="AC279" i="7" s="1"/>
  <c r="AC280" i="7" s="1"/>
  <c r="AC281" i="7" s="1"/>
  <c r="X607" i="8"/>
  <c r="AB821" i="7"/>
  <c r="Y662" i="7"/>
  <c r="AA662" i="7" s="1"/>
  <c r="X166" i="7"/>
  <c r="AA935" i="7"/>
  <c r="AC386" i="8"/>
  <c r="Y386" i="8"/>
  <c r="AA386" i="8" s="1"/>
  <c r="AA495" i="8"/>
  <c r="AB497" i="7"/>
  <c r="AE732" i="8"/>
  <c r="AF732" i="8" s="1"/>
  <c r="Y715" i="7"/>
  <c r="AA715" i="7" s="1"/>
  <c r="AC715" i="7"/>
  <c r="X935" i="8"/>
  <c r="X440" i="7"/>
  <c r="Y440" i="7" s="1"/>
  <c r="AB662" i="8"/>
  <c r="Z278" i="7"/>
  <c r="AB1046" i="8"/>
  <c r="X990" i="8"/>
  <c r="W496" i="8"/>
  <c r="AB330" i="7"/>
  <c r="Z442" i="8"/>
  <c r="AB442" i="8" s="1"/>
  <c r="Y219" i="7"/>
  <c r="AA219" i="7" s="1"/>
  <c r="AC219" i="7"/>
  <c r="X223" i="8"/>
  <c r="Y821" i="8"/>
  <c r="AA821" i="8" s="1"/>
  <c r="AC821" i="8"/>
  <c r="AC442" i="8"/>
  <c r="AA549" i="7"/>
  <c r="Z222" i="12"/>
  <c r="AC222" i="12"/>
  <c r="X772" i="7"/>
  <c r="W551" i="8"/>
  <c r="W607" i="7"/>
  <c r="X607" i="7" s="1"/>
  <c r="Z607" i="7" s="1"/>
  <c r="B1895" i="6"/>
  <c r="D1895" i="6" s="1"/>
  <c r="W165" i="8"/>
  <c r="X387" i="7"/>
  <c r="X165" i="8"/>
  <c r="AC165" i="8" s="1"/>
  <c r="AB875" i="8"/>
  <c r="C1846" i="6"/>
  <c r="AB327" i="12"/>
  <c r="W936" i="7"/>
  <c r="AI676" i="8"/>
  <c r="Z167" i="12"/>
  <c r="AA277" i="12"/>
  <c r="Y222" i="12"/>
  <c r="AA222" i="12" s="1"/>
  <c r="AB662" i="7" l="1"/>
  <c r="AA278" i="7"/>
  <c r="Y279" i="7" s="1"/>
  <c r="AA279" i="7" s="1"/>
  <c r="Y280" i="7" s="1"/>
  <c r="AA280" i="7" s="1"/>
  <c r="Y281" i="7" s="1"/>
  <c r="AA281" i="7" s="1"/>
  <c r="B2807" i="6"/>
  <c r="D2806" i="6"/>
  <c r="E2806" i="6"/>
  <c r="AB715" i="7"/>
  <c r="W716" i="7" s="1"/>
  <c r="X716" i="7" s="1"/>
  <c r="D2741" i="6"/>
  <c r="E2741" i="6"/>
  <c r="E2671" i="6"/>
  <c r="D2671" i="6"/>
  <c r="C2872" i="6"/>
  <c r="AB167" i="12"/>
  <c r="W168" i="12" s="1"/>
  <c r="E2612" i="6"/>
  <c r="B2613" i="6"/>
  <c r="D2612" i="6"/>
  <c r="AB386" i="8"/>
  <c r="W387" i="8" s="1"/>
  <c r="X387" i="8" s="1"/>
  <c r="Z387" i="8" s="1"/>
  <c r="AC607" i="8"/>
  <c r="Z607" i="8"/>
  <c r="Y165" i="8"/>
  <c r="W331" i="7"/>
  <c r="X331" i="7" s="1"/>
  <c r="Z331" i="7" s="1"/>
  <c r="X278" i="12"/>
  <c r="AC772" i="7"/>
  <c r="Z772" i="7"/>
  <c r="Y772" i="7"/>
  <c r="X551" i="8"/>
  <c r="Z165" i="8"/>
  <c r="Z990" i="8"/>
  <c r="AC990" i="8"/>
  <c r="Y990" i="8"/>
  <c r="AA990" i="8" s="1"/>
  <c r="AC166" i="7"/>
  <c r="Z166" i="7"/>
  <c r="AB278" i="7"/>
  <c r="Z279" i="7" s="1"/>
  <c r="AB279" i="7" s="1"/>
  <c r="Z280" i="7" s="1"/>
  <c r="AB280" i="7" s="1"/>
  <c r="Z281" i="7" s="1"/>
  <c r="AB281" i="7" s="1"/>
  <c r="Y166" i="7"/>
  <c r="AA167" i="12"/>
  <c r="AC223" i="8"/>
  <c r="AC224" i="8" s="1"/>
  <c r="AC225" i="8" s="1"/>
  <c r="AC226" i="8" s="1"/>
  <c r="Z223" i="8"/>
  <c r="W876" i="8"/>
  <c r="X876" i="8" s="1"/>
  <c r="Z876" i="8" s="1"/>
  <c r="Y223" i="8"/>
  <c r="AA223" i="8" s="1"/>
  <c r="Y224" i="8" s="1"/>
  <c r="AA224" i="8" s="1"/>
  <c r="Y225" i="8" s="1"/>
  <c r="AA225" i="8" s="1"/>
  <c r="Y226" i="8" s="1"/>
  <c r="AA226" i="8" s="1"/>
  <c r="W822" i="7"/>
  <c r="X822" i="7" s="1"/>
  <c r="B1806" i="6"/>
  <c r="D1806" i="6" s="1"/>
  <c r="W443" i="8"/>
  <c r="W498" i="7"/>
  <c r="X498" i="7" s="1"/>
  <c r="Z498" i="7" s="1"/>
  <c r="W332" i="8"/>
  <c r="X332" i="8" s="1"/>
  <c r="Z332" i="8" s="1"/>
  <c r="Z387" i="7"/>
  <c r="AC387" i="7"/>
  <c r="Y387" i="7"/>
  <c r="X496" i="8"/>
  <c r="X550" i="7"/>
  <c r="X936" i="7"/>
  <c r="Y936" i="7" s="1"/>
  <c r="C1895" i="6"/>
  <c r="Y607" i="7"/>
  <c r="AA607" i="7" s="1"/>
  <c r="AC607" i="7"/>
  <c r="AC1102" i="8"/>
  <c r="Y1102" i="8"/>
  <c r="AA1102" i="8" s="1"/>
  <c r="W328" i="12"/>
  <c r="X328" i="12" s="1"/>
  <c r="Z328" i="12" s="1"/>
  <c r="W663" i="8"/>
  <c r="X663" i="8" s="1"/>
  <c r="Z663" i="8" s="1"/>
  <c r="B1756" i="6"/>
  <c r="D1756" i="6" s="1"/>
  <c r="Z440" i="7"/>
  <c r="AB440" i="7" s="1"/>
  <c r="AC440" i="7"/>
  <c r="AA442" i="8"/>
  <c r="AB821" i="8"/>
  <c r="AC935" i="8"/>
  <c r="Z935" i="8"/>
  <c r="AJ838" i="7"/>
  <c r="Y607" i="8"/>
  <c r="AA607" i="8" s="1"/>
  <c r="AD677" i="8"/>
  <c r="AE677" i="8" s="1"/>
  <c r="AB222" i="12"/>
  <c r="AC276" i="8"/>
  <c r="Y276" i="8"/>
  <c r="W1047" i="8"/>
  <c r="X1047" i="8" s="1"/>
  <c r="Z1047" i="8" s="1"/>
  <c r="Z276" i="8"/>
  <c r="W663" i="7"/>
  <c r="X663" i="7" s="1"/>
  <c r="B1847" i="6"/>
  <c r="D1847" i="6" s="1"/>
  <c r="Y935" i="8"/>
  <c r="AJ732" i="8"/>
  <c r="AG732" i="8"/>
  <c r="AI732" i="8" s="1"/>
  <c r="AB219" i="7"/>
  <c r="W282" i="7" l="1"/>
  <c r="AD231" i="7" s="1"/>
  <c r="AH732" i="8"/>
  <c r="B2672" i="6"/>
  <c r="C2672" i="6" s="1"/>
  <c r="AB935" i="8"/>
  <c r="W936" i="8" s="1"/>
  <c r="AB772" i="7"/>
  <c r="C2742" i="6"/>
  <c r="C1847" i="6"/>
  <c r="AB1102" i="8"/>
  <c r="W1103" i="8" s="1"/>
  <c r="X1103" i="8" s="1"/>
  <c r="Z1103" i="8" s="1"/>
  <c r="AA387" i="7"/>
  <c r="AA165" i="8"/>
  <c r="C2807" i="6"/>
  <c r="C2613" i="6"/>
  <c r="B2873" i="6"/>
  <c r="E2872" i="6"/>
  <c r="D2872" i="6"/>
  <c r="C2873" i="6" s="1"/>
  <c r="AB276" i="8"/>
  <c r="W277" i="8" s="1"/>
  <c r="AA166" i="7"/>
  <c r="AC663" i="7"/>
  <c r="AC664" i="7" s="1"/>
  <c r="AC665" i="7" s="1"/>
  <c r="AC666" i="7" s="1"/>
  <c r="Z663" i="7"/>
  <c r="Y663" i="7"/>
  <c r="AA663" i="7" s="1"/>
  <c r="Y664" i="7" s="1"/>
  <c r="AA664" i="7" s="1"/>
  <c r="Y665" i="7" s="1"/>
  <c r="AA665" i="7" s="1"/>
  <c r="Y666" i="7" s="1"/>
  <c r="AA666" i="7" s="1"/>
  <c r="AH233" i="7"/>
  <c r="Y716" i="7"/>
  <c r="AC716" i="7"/>
  <c r="Z716" i="7"/>
  <c r="AB716" i="7" s="1"/>
  <c r="AF677" i="8"/>
  <c r="AJ677" i="8"/>
  <c r="W441" i="7"/>
  <c r="C1806" i="6"/>
  <c r="Y822" i="7"/>
  <c r="AC822" i="7"/>
  <c r="Y663" i="8"/>
  <c r="AA663" i="8" s="1"/>
  <c r="Y664" i="8" s="1"/>
  <c r="AA664" i="8" s="1"/>
  <c r="Y665" i="8" s="1"/>
  <c r="AA665" i="8" s="1"/>
  <c r="Y666" i="8" s="1"/>
  <c r="AA666" i="8" s="1"/>
  <c r="AC663" i="8"/>
  <c r="AC664" i="8" s="1"/>
  <c r="AC665" i="8" s="1"/>
  <c r="AC666" i="8" s="1"/>
  <c r="AB607" i="8"/>
  <c r="AB223" i="8"/>
  <c r="Z224" i="8" s="1"/>
  <c r="AB224" i="8" s="1"/>
  <c r="Z225" i="8" s="1"/>
  <c r="AB225" i="8" s="1"/>
  <c r="Z226" i="8" s="1"/>
  <c r="AB226" i="8" s="1"/>
  <c r="W220" i="7"/>
  <c r="X220" i="7" s="1"/>
  <c r="Z220" i="7"/>
  <c r="AD839" i="7"/>
  <c r="AE839" i="7" s="1"/>
  <c r="AD733" i="8"/>
  <c r="AE733" i="8" s="1"/>
  <c r="AC332" i="8"/>
  <c r="Y332" i="8"/>
  <c r="AA332" i="8" s="1"/>
  <c r="AA276" i="8"/>
  <c r="AC498" i="7"/>
  <c r="AC499" i="7" s="1"/>
  <c r="AC500" i="7" s="1"/>
  <c r="AC501" i="7" s="1"/>
  <c r="Y498" i="7"/>
  <c r="AA498" i="7" s="1"/>
  <c r="Y499" i="7" s="1"/>
  <c r="AA499" i="7" s="1"/>
  <c r="Y500" i="7" s="1"/>
  <c r="AA500" i="7" s="1"/>
  <c r="Y501" i="7" s="1"/>
  <c r="AA501" i="7" s="1"/>
  <c r="X168" i="12"/>
  <c r="AA772" i="7"/>
  <c r="B1848" i="6"/>
  <c r="C1848" i="6" s="1"/>
  <c r="Y387" i="8"/>
  <c r="AA387" i="8" s="1"/>
  <c r="Z278" i="12"/>
  <c r="AC278" i="12"/>
  <c r="AC279" i="12" s="1"/>
  <c r="AC280" i="12" s="1"/>
  <c r="AC281" i="12" s="1"/>
  <c r="C1756" i="6"/>
  <c r="AC387" i="8"/>
  <c r="Y278" i="12"/>
  <c r="AA278" i="12" s="1"/>
  <c r="Y279" i="12" s="1"/>
  <c r="AA279" i="12" s="1"/>
  <c r="Y280" i="12" s="1"/>
  <c r="AA280" i="12" s="1"/>
  <c r="Y281" i="12" s="1"/>
  <c r="AA281" i="12" s="1"/>
  <c r="AB166" i="7"/>
  <c r="AC496" i="8"/>
  <c r="Z496" i="8"/>
  <c r="Z822" i="7"/>
  <c r="Y496" i="8"/>
  <c r="AA496" i="8" s="1"/>
  <c r="AC328" i="12"/>
  <c r="Y328" i="12"/>
  <c r="AA328" i="12" s="1"/>
  <c r="AB990" i="8"/>
  <c r="Z551" i="8"/>
  <c r="AC551" i="8"/>
  <c r="Y551" i="8"/>
  <c r="AB607" i="7"/>
  <c r="W223" i="12"/>
  <c r="X223" i="12" s="1"/>
  <c r="W822" i="8"/>
  <c r="X822" i="8" s="1"/>
  <c r="Z822" i="8" s="1"/>
  <c r="B1896" i="6"/>
  <c r="D1896" i="6" s="1"/>
  <c r="W773" i="7"/>
  <c r="AC550" i="7"/>
  <c r="Z550" i="7"/>
  <c r="Y550" i="7"/>
  <c r="AA550" i="7" s="1"/>
  <c r="Y331" i="7"/>
  <c r="AA331" i="7" s="1"/>
  <c r="AC331" i="7"/>
  <c r="W227" i="8"/>
  <c r="AD176" i="8" s="1"/>
  <c r="AC876" i="8"/>
  <c r="Y876" i="8"/>
  <c r="AA876" i="8" s="1"/>
  <c r="AB387" i="7"/>
  <c r="Y1047" i="8"/>
  <c r="AA1047" i="8" s="1"/>
  <c r="AC1047" i="8"/>
  <c r="AB165" i="8"/>
  <c r="AA935" i="8"/>
  <c r="AG677" i="8"/>
  <c r="X443" i="8"/>
  <c r="Y443" i="8" s="1"/>
  <c r="AC936" i="7"/>
  <c r="Z936" i="7"/>
  <c r="AB936" i="7" s="1"/>
  <c r="AA440" i="7"/>
  <c r="AI677" i="8" l="1"/>
  <c r="AD678" i="8" s="1"/>
  <c r="AB328" i="12"/>
  <c r="B2614" i="6"/>
  <c r="D2613" i="6"/>
  <c r="E2613" i="6"/>
  <c r="C2614" i="6"/>
  <c r="D1848" i="6"/>
  <c r="B2743" i="6"/>
  <c r="E2742" i="6"/>
  <c r="D2742" i="6"/>
  <c r="C2743" i="6" s="1"/>
  <c r="AC1103" i="8"/>
  <c r="AC1104" i="8" s="1"/>
  <c r="AC1105" i="8" s="1"/>
  <c r="AC1106" i="8" s="1"/>
  <c r="AB331" i="7"/>
  <c r="W332" i="7" s="1"/>
  <c r="X332" i="7" s="1"/>
  <c r="E2807" i="6"/>
  <c r="B2808" i="6"/>
  <c r="D2807" i="6"/>
  <c r="C2808" i="6" s="1"/>
  <c r="AB663" i="8"/>
  <c r="Z664" i="8" s="1"/>
  <c r="AB664" i="8" s="1"/>
  <c r="Z665" i="8" s="1"/>
  <c r="AB665" i="8" s="1"/>
  <c r="Z666" i="8" s="1"/>
  <c r="AB666" i="8" s="1"/>
  <c r="W667" i="8" s="1"/>
  <c r="AD616" i="8" s="1"/>
  <c r="AB1047" i="8"/>
  <c r="W1048" i="8" s="1"/>
  <c r="X1048" i="8" s="1"/>
  <c r="D2873" i="6"/>
  <c r="B2874" i="6"/>
  <c r="E2873" i="6"/>
  <c r="AB822" i="7"/>
  <c r="AB551" i="8"/>
  <c r="D2672" i="6"/>
  <c r="E2672" i="6"/>
  <c r="B2673" i="6"/>
  <c r="C2673" i="6" s="1"/>
  <c r="B1849" i="6"/>
  <c r="D1849" i="6" s="1"/>
  <c r="AJ733" i="8"/>
  <c r="AF733" i="8"/>
  <c r="AG733" i="8"/>
  <c r="AI733" i="8" s="1"/>
  <c r="X441" i="7"/>
  <c r="Y441" i="7" s="1"/>
  <c r="W552" i="8"/>
  <c r="W937" i="7"/>
  <c r="X277" i="8"/>
  <c r="W329" i="12"/>
  <c r="AB278" i="12"/>
  <c r="Z279" i="12" s="1"/>
  <c r="AB279" i="12" s="1"/>
  <c r="Z280" i="12" s="1"/>
  <c r="AB280" i="12" s="1"/>
  <c r="Z281" i="12" s="1"/>
  <c r="AB281" i="12" s="1"/>
  <c r="W167" i="7"/>
  <c r="X167" i="7" s="1"/>
  <c r="Z167" i="7" s="1"/>
  <c r="AI233" i="7"/>
  <c r="W388" i="7"/>
  <c r="X388" i="7" s="1"/>
  <c r="Z388" i="7" s="1"/>
  <c r="W282" i="12"/>
  <c r="AD231" i="12" s="1"/>
  <c r="AB663" i="7"/>
  <c r="Z664" i="7" s="1"/>
  <c r="AB664" i="7" s="1"/>
  <c r="Z665" i="7" s="1"/>
  <c r="AB665" i="7" s="1"/>
  <c r="Z666" i="7" s="1"/>
  <c r="AB666" i="7" s="1"/>
  <c r="W667" i="7" s="1"/>
  <c r="AD616" i="7" s="1"/>
  <c r="B1757" i="6"/>
  <c r="D1757" i="6" s="1"/>
  <c r="AF839" i="7"/>
  <c r="AG839" i="7"/>
  <c r="AI839" i="7" s="1"/>
  <c r="AB498" i="7"/>
  <c r="Z499" i="7" s="1"/>
  <c r="AB499" i="7" s="1"/>
  <c r="Z500" i="7" s="1"/>
  <c r="AB500" i="7" s="1"/>
  <c r="Z501" i="7" s="1"/>
  <c r="AB501" i="7" s="1"/>
  <c r="W502" i="7" s="1"/>
  <c r="AD451" i="7" s="1"/>
  <c r="W608" i="7"/>
  <c r="X608" i="7" s="1"/>
  <c r="Z608" i="7" s="1"/>
  <c r="X773" i="7"/>
  <c r="AA822" i="7"/>
  <c r="AB550" i="7"/>
  <c r="W991" i="8"/>
  <c r="X991" i="8" s="1"/>
  <c r="Z991" i="8" s="1"/>
  <c r="W608" i="8"/>
  <c r="X608" i="8" s="1"/>
  <c r="Z608" i="8" s="1"/>
  <c r="Z443" i="8"/>
  <c r="AB443" i="8" s="1"/>
  <c r="Z444" i="8" s="1"/>
  <c r="AB444" i="8" s="1"/>
  <c r="Z445" i="8" s="1"/>
  <c r="AB445" i="8" s="1"/>
  <c r="Z446" i="8" s="1"/>
  <c r="AB446" i="8" s="1"/>
  <c r="AC443" i="8"/>
  <c r="AC444" i="8" s="1"/>
  <c r="AC445" i="8" s="1"/>
  <c r="AC446" i="8" s="1"/>
  <c r="Y1103" i="8"/>
  <c r="AA1103" i="8" s="1"/>
  <c r="Y1104" i="8" s="1"/>
  <c r="AA1104" i="8" s="1"/>
  <c r="Y1105" i="8" s="1"/>
  <c r="AA1105" i="8" s="1"/>
  <c r="Y1106" i="8" s="1"/>
  <c r="AA1106" i="8" s="1"/>
  <c r="AH677" i="8"/>
  <c r="Y822" i="8"/>
  <c r="AA822" i="8" s="1"/>
  <c r="AC822" i="8"/>
  <c r="W717" i="7"/>
  <c r="AA936" i="7"/>
  <c r="Y220" i="7"/>
  <c r="AA220" i="7" s="1"/>
  <c r="AC220" i="7"/>
  <c r="W166" i="8"/>
  <c r="X166" i="8" s="1"/>
  <c r="Z166" i="8" s="1"/>
  <c r="AA551" i="8"/>
  <c r="Z168" i="12"/>
  <c r="AC168" i="12"/>
  <c r="AC169" i="12" s="1"/>
  <c r="AC170" i="12" s="1"/>
  <c r="AC171" i="12" s="1"/>
  <c r="C1896" i="6"/>
  <c r="AB876" i="8"/>
  <c r="AB332" i="8"/>
  <c r="X936" i="8"/>
  <c r="Y936" i="8" s="1"/>
  <c r="X329" i="12"/>
  <c r="Z329" i="12" s="1"/>
  <c r="AC223" i="12"/>
  <c r="AC224" i="12" s="1"/>
  <c r="AC225" i="12" s="1"/>
  <c r="AC226" i="12" s="1"/>
  <c r="Y223" i="12"/>
  <c r="AH178" i="8"/>
  <c r="Z223" i="12"/>
  <c r="AA716" i="7"/>
  <c r="W823" i="7"/>
  <c r="AB496" i="8"/>
  <c r="Y168" i="12"/>
  <c r="AJ839" i="7"/>
  <c r="B1807" i="6"/>
  <c r="D1807" i="6" s="1"/>
  <c r="AB387" i="8"/>
  <c r="E2743" i="6" l="1"/>
  <c r="B2744" i="6"/>
  <c r="D2743" i="6"/>
  <c r="Z332" i="7"/>
  <c r="AC332" i="7"/>
  <c r="E2808" i="6"/>
  <c r="B2809" i="6"/>
  <c r="D2808" i="6"/>
  <c r="E2614" i="6"/>
  <c r="B2615" i="6"/>
  <c r="D2614" i="6"/>
  <c r="C2615" i="6" s="1"/>
  <c r="E2673" i="6"/>
  <c r="D2673" i="6"/>
  <c r="B2674" i="6"/>
  <c r="C2674" i="6" s="1"/>
  <c r="C2874" i="6"/>
  <c r="C1757" i="6"/>
  <c r="B1758" i="6" s="1"/>
  <c r="D1758" i="6" s="1"/>
  <c r="AB168" i="12"/>
  <c r="Z169" i="12" s="1"/>
  <c r="AB169" i="12" s="1"/>
  <c r="Z170" i="12" s="1"/>
  <c r="AB170" i="12" s="1"/>
  <c r="Z171" i="12" s="1"/>
  <c r="AB171" i="12" s="1"/>
  <c r="AB223" i="12"/>
  <c r="Z224" i="12" s="1"/>
  <c r="AB224" i="12" s="1"/>
  <c r="Z225" i="12" s="1"/>
  <c r="AB225" i="12" s="1"/>
  <c r="Z226" i="12" s="1"/>
  <c r="AB226" i="12" s="1"/>
  <c r="AH453" i="7"/>
  <c r="Z1048" i="8"/>
  <c r="Y1048" i="8"/>
  <c r="AC1048" i="8"/>
  <c r="AC1049" i="8" s="1"/>
  <c r="AC1050" i="8" s="1"/>
  <c r="AC1051" i="8" s="1"/>
  <c r="AH618" i="7"/>
  <c r="AE678" i="8"/>
  <c r="AF678" i="8" s="1"/>
  <c r="AC773" i="7"/>
  <c r="AC774" i="7" s="1"/>
  <c r="AC775" i="7" s="1"/>
  <c r="AC776" i="7" s="1"/>
  <c r="Z773" i="7"/>
  <c r="AI178" i="8"/>
  <c r="AJ233" i="7"/>
  <c r="Y332" i="7"/>
  <c r="AA332" i="7" s="1"/>
  <c r="AC166" i="8"/>
  <c r="Y166" i="8"/>
  <c r="AA166" i="8" s="1"/>
  <c r="AC608" i="7"/>
  <c r="AC609" i="7" s="1"/>
  <c r="AC610" i="7" s="1"/>
  <c r="AC611" i="7" s="1"/>
  <c r="Y608" i="7"/>
  <c r="AA608" i="7" s="1"/>
  <c r="Y609" i="7" s="1"/>
  <c r="AA609" i="7" s="1"/>
  <c r="Y610" i="7" s="1"/>
  <c r="AA610" i="7" s="1"/>
  <c r="Y611" i="7" s="1"/>
  <c r="AA611" i="7" s="1"/>
  <c r="C1849" i="6"/>
  <c r="AH618" i="8"/>
  <c r="W388" i="8"/>
  <c r="X388" i="8" s="1"/>
  <c r="Z388" i="8" s="1"/>
  <c r="AD840" i="7"/>
  <c r="AH733" i="8"/>
  <c r="Y991" i="8"/>
  <c r="AA991" i="8" s="1"/>
  <c r="AC991" i="8"/>
  <c r="W877" i="8"/>
  <c r="X877" i="8" s="1"/>
  <c r="AB822" i="8"/>
  <c r="AB1103" i="8"/>
  <c r="Z1104" i="8" s="1"/>
  <c r="AB1104" i="8" s="1"/>
  <c r="Z1105" i="8" s="1"/>
  <c r="AB1105" i="8" s="1"/>
  <c r="Z1106" i="8" s="1"/>
  <c r="AB1106" i="8" s="1"/>
  <c r="W1107" i="8" s="1"/>
  <c r="AD1056" i="8" s="1"/>
  <c r="AH233" i="12"/>
  <c r="Y388" i="7"/>
  <c r="AA388" i="7" s="1"/>
  <c r="Y389" i="7" s="1"/>
  <c r="AA389" i="7" s="1"/>
  <c r="Y390" i="7" s="1"/>
  <c r="AA390" i="7" s="1"/>
  <c r="Y391" i="7" s="1"/>
  <c r="AA391" i="7" s="1"/>
  <c r="AC388" i="7"/>
  <c r="AC389" i="7" s="1"/>
  <c r="AC390" i="7" s="1"/>
  <c r="AC391" i="7" s="1"/>
  <c r="Y773" i="7"/>
  <c r="X717" i="7"/>
  <c r="X552" i="8"/>
  <c r="Y552" i="8" s="1"/>
  <c r="Z277" i="8"/>
  <c r="AC277" i="8"/>
  <c r="Y167" i="7"/>
  <c r="AA167" i="7" s="1"/>
  <c r="AC167" i="7"/>
  <c r="Y329" i="12"/>
  <c r="AA329" i="12" s="1"/>
  <c r="AB220" i="7"/>
  <c r="X937" i="7"/>
  <c r="Y937" i="7" s="1"/>
  <c r="AH839" i="7"/>
  <c r="AA168" i="12"/>
  <c r="Y169" i="12" s="1"/>
  <c r="AA169" i="12" s="1"/>
  <c r="Y170" i="12" s="1"/>
  <c r="AA170" i="12" s="1"/>
  <c r="Y171" i="12" s="1"/>
  <c r="AA171" i="12" s="1"/>
  <c r="Y277" i="8"/>
  <c r="AD734" i="8"/>
  <c r="C1807" i="6"/>
  <c r="B1808" i="6" s="1"/>
  <c r="C37" i="6" s="1"/>
  <c r="W333" i="8"/>
  <c r="X333" i="8" s="1"/>
  <c r="AC329" i="12"/>
  <c r="W497" i="8"/>
  <c r="X497" i="8" s="1"/>
  <c r="Z497" i="8" s="1"/>
  <c r="B1897" i="6"/>
  <c r="D1897" i="6" s="1"/>
  <c r="W551" i="7"/>
  <c r="X551" i="7" s="1"/>
  <c r="X823" i="7"/>
  <c r="Y823" i="7" s="1"/>
  <c r="AA223" i="12"/>
  <c r="Y224" i="12" s="1"/>
  <c r="AA224" i="12" s="1"/>
  <c r="Y225" i="12" s="1"/>
  <c r="AA225" i="12" s="1"/>
  <c r="Y226" i="12" s="1"/>
  <c r="AA226" i="12" s="1"/>
  <c r="W227" i="12" s="1"/>
  <c r="AD176" i="12" s="1"/>
  <c r="AC608" i="8"/>
  <c r="AC609" i="8" s="1"/>
  <c r="AC610" i="8" s="1"/>
  <c r="AC611" i="8" s="1"/>
  <c r="Y608" i="8"/>
  <c r="AA608" i="8" s="1"/>
  <c r="Y609" i="8" s="1"/>
  <c r="AA609" i="8" s="1"/>
  <c r="Y610" i="8" s="1"/>
  <c r="AA610" i="8" s="1"/>
  <c r="Y611" i="8" s="1"/>
  <c r="AA611" i="8" s="1"/>
  <c r="Z936" i="8"/>
  <c r="AB936" i="8" s="1"/>
  <c r="AC936" i="8"/>
  <c r="AC441" i="7"/>
  <c r="Z441" i="7"/>
  <c r="AB441" i="7" s="1"/>
  <c r="AA443" i="8"/>
  <c r="Y444" i="8" s="1"/>
  <c r="AA444" i="8" s="1"/>
  <c r="Y445" i="8" s="1"/>
  <c r="AA445" i="8" s="1"/>
  <c r="Y446" i="8" s="1"/>
  <c r="AA446" i="8" s="1"/>
  <c r="W447" i="8" s="1"/>
  <c r="AD396" i="8" s="1"/>
  <c r="W172" i="12" l="1"/>
  <c r="AD121" i="12" s="1"/>
  <c r="C2744" i="6"/>
  <c r="AB277" i="8"/>
  <c r="W278" i="8" s="1"/>
  <c r="D2874" i="6"/>
  <c r="B2875" i="6"/>
  <c r="E2874" i="6"/>
  <c r="AB166" i="8"/>
  <c r="W167" i="8" s="1"/>
  <c r="X167" i="8" s="1"/>
  <c r="Z167" i="8" s="1"/>
  <c r="AB773" i="7"/>
  <c r="Z774" i="7" s="1"/>
  <c r="AB774" i="7" s="1"/>
  <c r="Z775" i="7" s="1"/>
  <c r="AB775" i="7" s="1"/>
  <c r="Z776" i="7" s="1"/>
  <c r="AB776" i="7" s="1"/>
  <c r="E2744" i="6"/>
  <c r="D2744" i="6"/>
  <c r="B2745" i="6"/>
  <c r="C2745" i="6" s="1"/>
  <c r="E2615" i="6"/>
  <c r="D2615" i="6"/>
  <c r="B2616" i="6"/>
  <c r="C2616" i="6" s="1"/>
  <c r="D2674" i="6"/>
  <c r="E2674" i="6"/>
  <c r="B2675" i="6"/>
  <c r="C2809" i="6"/>
  <c r="AA1048" i="8"/>
  <c r="Y1049" i="8" s="1"/>
  <c r="AA1049" i="8" s="1"/>
  <c r="Y1050" i="8" s="1"/>
  <c r="AA1050" i="8" s="1"/>
  <c r="Y1051" i="8" s="1"/>
  <c r="AA1051" i="8" s="1"/>
  <c r="AC551" i="7"/>
  <c r="Y551" i="7"/>
  <c r="AH398" i="8"/>
  <c r="W442" i="7"/>
  <c r="C1897" i="6"/>
  <c r="AI618" i="7"/>
  <c r="AI618" i="8"/>
  <c r="AC877" i="8"/>
  <c r="Y877" i="8"/>
  <c r="AJ178" i="8"/>
  <c r="AB329" i="12"/>
  <c r="AC497" i="8"/>
  <c r="Y497" i="8"/>
  <c r="AA497" i="8" s="1"/>
  <c r="AA277" i="8"/>
  <c r="W937" i="8"/>
  <c r="B1850" i="6"/>
  <c r="D1850" i="6" s="1"/>
  <c r="Z717" i="7"/>
  <c r="AC717" i="7"/>
  <c r="Y717" i="7"/>
  <c r="AA717" i="7" s="1"/>
  <c r="AH178" i="12"/>
  <c r="AA936" i="8"/>
  <c r="AH1058" i="8"/>
  <c r="AB991" i="8"/>
  <c r="AB332" i="7"/>
  <c r="Z877" i="8"/>
  <c r="AI453" i="7"/>
  <c r="AE734" i="8"/>
  <c r="AG678" i="8"/>
  <c r="AI678" i="8" s="1"/>
  <c r="AJ678" i="8"/>
  <c r="Y333" i="8"/>
  <c r="AC333" i="8"/>
  <c r="AC334" i="8" s="1"/>
  <c r="AC335" i="8" s="1"/>
  <c r="AC336" i="8" s="1"/>
  <c r="AB608" i="7"/>
  <c r="Z609" i="7" s="1"/>
  <c r="AB609" i="7" s="1"/>
  <c r="Z610" i="7" s="1"/>
  <c r="AB610" i="7" s="1"/>
  <c r="Z611" i="7" s="1"/>
  <c r="AB611" i="7" s="1"/>
  <c r="W612" i="7" s="1"/>
  <c r="AD561" i="7" s="1"/>
  <c r="C1758" i="6"/>
  <c r="AB167" i="7"/>
  <c r="AH123" i="12"/>
  <c r="AC823" i="7"/>
  <c r="Z823" i="7"/>
  <c r="AB823" i="7" s="1"/>
  <c r="AE840" i="7"/>
  <c r="W823" i="8"/>
  <c r="X823" i="8" s="1"/>
  <c r="Z823" i="8" s="1"/>
  <c r="AB388" i="7"/>
  <c r="Z389" i="7" s="1"/>
  <c r="AB389" i="7" s="1"/>
  <c r="Z390" i="7" s="1"/>
  <c r="AB390" i="7" s="1"/>
  <c r="Z391" i="7" s="1"/>
  <c r="AB391" i="7" s="1"/>
  <c r="W392" i="7" s="1"/>
  <c r="AD341" i="7" s="1"/>
  <c r="Z551" i="7"/>
  <c r="W221" i="7"/>
  <c r="X221" i="7" s="1"/>
  <c r="Z552" i="8"/>
  <c r="AB552" i="8" s="1"/>
  <c r="AC552" i="8"/>
  <c r="Y388" i="8"/>
  <c r="AA388" i="8" s="1"/>
  <c r="Y389" i="8" s="1"/>
  <c r="AA389" i="8" s="1"/>
  <c r="Y390" i="8" s="1"/>
  <c r="AA390" i="8" s="1"/>
  <c r="Y391" i="8" s="1"/>
  <c r="AA391" i="8" s="1"/>
  <c r="AC388" i="8"/>
  <c r="AC389" i="8" s="1"/>
  <c r="AC390" i="8" s="1"/>
  <c r="AC391" i="8" s="1"/>
  <c r="AA441" i="7"/>
  <c r="AB1048" i="8"/>
  <c r="Z1049" i="8" s="1"/>
  <c r="AB1049" i="8" s="1"/>
  <c r="Z1050" i="8" s="1"/>
  <c r="AB1050" i="8" s="1"/>
  <c r="Z1051" i="8" s="1"/>
  <c r="AB1051" i="8" s="1"/>
  <c r="Z333" i="8"/>
  <c r="AB333" i="8" s="1"/>
  <c r="Z334" i="8" s="1"/>
  <c r="AB334" i="8" s="1"/>
  <c r="Z335" i="8" s="1"/>
  <c r="AB335" i="8" s="1"/>
  <c r="Z336" i="8" s="1"/>
  <c r="AB336" i="8" s="1"/>
  <c r="AA773" i="7"/>
  <c r="Y774" i="7" s="1"/>
  <c r="AA774" i="7" s="1"/>
  <c r="Y775" i="7" s="1"/>
  <c r="AA775" i="7" s="1"/>
  <c r="Y776" i="7" s="1"/>
  <c r="AA776" i="7" s="1"/>
  <c r="W777" i="7" s="1"/>
  <c r="AD726" i="7" s="1"/>
  <c r="AI233" i="12"/>
  <c r="AA823" i="7"/>
  <c r="Z937" i="7"/>
  <c r="AB937" i="7" s="1"/>
  <c r="AC937" i="7"/>
  <c r="AD234" i="7"/>
  <c r="AE234" i="7" s="1"/>
  <c r="AJ234" i="7" s="1"/>
  <c r="AB608" i="8"/>
  <c r="Z609" i="8" s="1"/>
  <c r="AB609" i="8" s="1"/>
  <c r="Z610" i="8" s="1"/>
  <c r="AB610" i="8" s="1"/>
  <c r="Z611" i="8" s="1"/>
  <c r="AB611" i="8" s="1"/>
  <c r="W612" i="8" s="1"/>
  <c r="AD561" i="8" s="1"/>
  <c r="B2810" i="6" l="1"/>
  <c r="D2809" i="6"/>
  <c r="E2809" i="6"/>
  <c r="C2675" i="6"/>
  <c r="E2616" i="6"/>
  <c r="B2617" i="6"/>
  <c r="D2616" i="6"/>
  <c r="C2617" i="6" s="1"/>
  <c r="AA877" i="8"/>
  <c r="D2745" i="6"/>
  <c r="E2745" i="6"/>
  <c r="B2746" i="6"/>
  <c r="AA551" i="7"/>
  <c r="C2875" i="6"/>
  <c r="AA937" i="7"/>
  <c r="W1052" i="8"/>
  <c r="AD1001" i="8" s="1"/>
  <c r="AH1003" i="8" s="1"/>
  <c r="AH563" i="7"/>
  <c r="AH343" i="7"/>
  <c r="W824" i="7"/>
  <c r="X824" i="7" s="1"/>
  <c r="AI123" i="12"/>
  <c r="AJ453" i="7"/>
  <c r="AD179" i="8"/>
  <c r="AE179" i="8" s="1"/>
  <c r="W330" i="12"/>
  <c r="X330" i="12" s="1"/>
  <c r="AI398" i="8"/>
  <c r="AA333" i="8"/>
  <c r="Y334" i="8" s="1"/>
  <c r="AA334" i="8" s="1"/>
  <c r="Y335" i="8" s="1"/>
  <c r="AA335" i="8" s="1"/>
  <c r="Y336" i="8" s="1"/>
  <c r="AA336" i="8" s="1"/>
  <c r="W337" i="8" s="1"/>
  <c r="AD286" i="8" s="1"/>
  <c r="AI178" i="12"/>
  <c r="W553" i="8"/>
  <c r="AC167" i="8"/>
  <c r="Y167" i="8"/>
  <c r="AA167" i="8" s="1"/>
  <c r="W168" i="7"/>
  <c r="X168" i="7" s="1"/>
  <c r="Z168" i="7" s="1"/>
  <c r="AJ233" i="12"/>
  <c r="B1759" i="6"/>
  <c r="D1759" i="6" s="1"/>
  <c r="W333" i="7"/>
  <c r="X333" i="7" s="1"/>
  <c r="AC221" i="7"/>
  <c r="Y221" i="7"/>
  <c r="AB497" i="8"/>
  <c r="X442" i="7"/>
  <c r="Z221" i="7"/>
  <c r="AB221" i="7" s="1"/>
  <c r="AB551" i="7"/>
  <c r="AH563" i="8"/>
  <c r="W392" i="8"/>
  <c r="AD341" i="8" s="1"/>
  <c r="AD679" i="8"/>
  <c r="C1850" i="6"/>
  <c r="Y823" i="8"/>
  <c r="AA823" i="8" s="1"/>
  <c r="AC823" i="8"/>
  <c r="AG734" i="8"/>
  <c r="AJ734" i="8"/>
  <c r="AJ618" i="8"/>
  <c r="AD619" i="8" s="1"/>
  <c r="AE619" i="8" s="1"/>
  <c r="AH678" i="8"/>
  <c r="AB717" i="7"/>
  <c r="AF234" i="7"/>
  <c r="AG234" i="7"/>
  <c r="AI234" i="7" s="1"/>
  <c r="AB388" i="8"/>
  <c r="Z389" i="8" s="1"/>
  <c r="AB389" i="8" s="1"/>
  <c r="Z390" i="8" s="1"/>
  <c r="AB390" i="8" s="1"/>
  <c r="Z391" i="8" s="1"/>
  <c r="AB391" i="8" s="1"/>
  <c r="AG840" i="7"/>
  <c r="AJ840" i="7"/>
  <c r="AF734" i="8"/>
  <c r="B1898" i="6"/>
  <c r="D1898" i="6" s="1"/>
  <c r="AB877" i="8"/>
  <c r="AH728" i="7"/>
  <c r="AI1058" i="8"/>
  <c r="AA552" i="8"/>
  <c r="W992" i="8"/>
  <c r="X992" i="8" s="1"/>
  <c r="X937" i="8"/>
  <c r="W938" i="7"/>
  <c r="AF840" i="7"/>
  <c r="X278" i="8"/>
  <c r="AJ618" i="7"/>
  <c r="AD619" i="7" s="1"/>
  <c r="AE619" i="7" s="1"/>
  <c r="AF619" i="7" s="1"/>
  <c r="X938" i="7" l="1"/>
  <c r="Y938" i="7" s="1"/>
  <c r="Y824" i="7"/>
  <c r="AC824" i="7"/>
  <c r="Z824" i="7"/>
  <c r="D2675" i="6"/>
  <c r="B2676" i="6"/>
  <c r="E2675" i="6"/>
  <c r="C2746" i="6"/>
  <c r="E2875" i="6"/>
  <c r="B2876" i="6"/>
  <c r="D2875" i="6"/>
  <c r="C2876" i="6" s="1"/>
  <c r="D2617" i="6"/>
  <c r="E2617" i="6"/>
  <c r="B2618" i="6"/>
  <c r="AH840" i="7"/>
  <c r="C2810" i="6"/>
  <c r="AH734" i="8"/>
  <c r="AF619" i="8"/>
  <c r="AG619" i="8"/>
  <c r="AI619" i="8" s="1"/>
  <c r="W718" i="7"/>
  <c r="X718" i="7" s="1"/>
  <c r="W878" i="8"/>
  <c r="X878" i="8" s="1"/>
  <c r="Z878" i="8" s="1"/>
  <c r="AI563" i="8"/>
  <c r="W222" i="7"/>
  <c r="AC442" i="7"/>
  <c r="Z442" i="7"/>
  <c r="AB442" i="7" s="1"/>
  <c r="AI563" i="7"/>
  <c r="AI734" i="8"/>
  <c r="AJ178" i="12"/>
  <c r="AA221" i="7"/>
  <c r="AC937" i="8"/>
  <c r="Z937" i="8"/>
  <c r="AC333" i="7"/>
  <c r="AC334" i="7" s="1"/>
  <c r="AC335" i="7" s="1"/>
  <c r="AC336" i="7" s="1"/>
  <c r="Y333" i="7"/>
  <c r="AJ398" i="8"/>
  <c r="AH343" i="8"/>
  <c r="W552" i="7"/>
  <c r="X552" i="7" s="1"/>
  <c r="Z552" i="7" s="1"/>
  <c r="Z938" i="7"/>
  <c r="AB938" i="7" s="1"/>
  <c r="Z939" i="7" s="1"/>
  <c r="AB939" i="7" s="1"/>
  <c r="Z940" i="7" s="1"/>
  <c r="AB940" i="7" s="1"/>
  <c r="Z941" i="7" s="1"/>
  <c r="AB941" i="7" s="1"/>
  <c r="AD454" i="7"/>
  <c r="AE454" i="7" s="1"/>
  <c r="AJ454" i="7" s="1"/>
  <c r="AJ619" i="7"/>
  <c r="Y937" i="8"/>
  <c r="AC938" i="7"/>
  <c r="AC939" i="7" s="1"/>
  <c r="AC940" i="7" s="1"/>
  <c r="AC941" i="7" s="1"/>
  <c r="Z333" i="7"/>
  <c r="AB333" i="7" s="1"/>
  <c r="Z334" i="7" s="1"/>
  <c r="AB334" i="7" s="1"/>
  <c r="Z335" i="7" s="1"/>
  <c r="AB335" i="7" s="1"/>
  <c r="Z336" i="7" s="1"/>
  <c r="AB336" i="7" s="1"/>
  <c r="AJ123" i="12"/>
  <c r="AD124" i="12" s="1"/>
  <c r="AE124" i="12" s="1"/>
  <c r="Z278" i="8"/>
  <c r="AC278" i="8"/>
  <c r="AC279" i="8" s="1"/>
  <c r="AC280" i="8" s="1"/>
  <c r="AC281" i="8" s="1"/>
  <c r="X553" i="8"/>
  <c r="Y553" i="8" s="1"/>
  <c r="AB824" i="7"/>
  <c r="AD234" i="12"/>
  <c r="AE234" i="12" s="1"/>
  <c r="AJ234" i="12" s="1"/>
  <c r="AF179" i="8"/>
  <c r="AG179" i="8"/>
  <c r="AJ179" i="8"/>
  <c r="Y442" i="7"/>
  <c r="W498" i="8"/>
  <c r="X498" i="8" s="1"/>
  <c r="Z498" i="8" s="1"/>
  <c r="AB167" i="8"/>
  <c r="AI840" i="7"/>
  <c r="AC992" i="8"/>
  <c r="Y992" i="8"/>
  <c r="AD235" i="7"/>
  <c r="AC330" i="12"/>
  <c r="Y330" i="12"/>
  <c r="Y278" i="8"/>
  <c r="AJ1058" i="8"/>
  <c r="AI728" i="7"/>
  <c r="AC168" i="7"/>
  <c r="AC169" i="7" s="1"/>
  <c r="AC170" i="7" s="1"/>
  <c r="AC171" i="7" s="1"/>
  <c r="Y168" i="7"/>
  <c r="AA168" i="7" s="1"/>
  <c r="Y169" i="7" s="1"/>
  <c r="AA169" i="7" s="1"/>
  <c r="Y170" i="7" s="1"/>
  <c r="AA170" i="7" s="1"/>
  <c r="Y171" i="7" s="1"/>
  <c r="AA171" i="7" s="1"/>
  <c r="AE679" i="8"/>
  <c r="AJ619" i="8"/>
  <c r="AI1003" i="8"/>
  <c r="C1898" i="6"/>
  <c r="AI343" i="7"/>
  <c r="AH288" i="8"/>
  <c r="B1851" i="6"/>
  <c r="D1851" i="6" s="1"/>
  <c r="AG619" i="7"/>
  <c r="AI619" i="7" s="1"/>
  <c r="Z992" i="8"/>
  <c r="AH234" i="7"/>
  <c r="C1759" i="6"/>
  <c r="Z330" i="12"/>
  <c r="AB823" i="8"/>
  <c r="C2618" i="6" l="1"/>
  <c r="D2618" i="6" s="1"/>
  <c r="B2619" i="6"/>
  <c r="E2618" i="6"/>
  <c r="AA937" i="8"/>
  <c r="AH179" i="8"/>
  <c r="B2811" i="6"/>
  <c r="E2810" i="6"/>
  <c r="D2810" i="6"/>
  <c r="AB278" i="8"/>
  <c r="Z279" i="8" s="1"/>
  <c r="AB279" i="8" s="1"/>
  <c r="Z280" i="8" s="1"/>
  <c r="AB280" i="8" s="1"/>
  <c r="Z281" i="8" s="1"/>
  <c r="AB281" i="8" s="1"/>
  <c r="AA992" i="8"/>
  <c r="E2876" i="6"/>
  <c r="D2876" i="6"/>
  <c r="B2877" i="6"/>
  <c r="AA330" i="12"/>
  <c r="D2746" i="6"/>
  <c r="E2746" i="6"/>
  <c r="B2747" i="6"/>
  <c r="C2676" i="6"/>
  <c r="AA824" i="7"/>
  <c r="AF124" i="12"/>
  <c r="AG124" i="12"/>
  <c r="AD735" i="8"/>
  <c r="AE735" i="8" s="1"/>
  <c r="AG735" i="8" s="1"/>
  <c r="AD620" i="8"/>
  <c r="B1760" i="6"/>
  <c r="D1760" i="6" s="1"/>
  <c r="AD620" i="7"/>
  <c r="AF234" i="12"/>
  <c r="AG234" i="12"/>
  <c r="W825" i="7"/>
  <c r="X825" i="7" s="1"/>
  <c r="Z825" i="7" s="1"/>
  <c r="Z553" i="8"/>
  <c r="AB553" i="8" s="1"/>
  <c r="Z554" i="8" s="1"/>
  <c r="AB554" i="8" s="1"/>
  <c r="Z555" i="8" s="1"/>
  <c r="AB555" i="8" s="1"/>
  <c r="Z556" i="8" s="1"/>
  <c r="AB556" i="8" s="1"/>
  <c r="AC553" i="8"/>
  <c r="AC554" i="8" s="1"/>
  <c r="AC555" i="8" s="1"/>
  <c r="AC556" i="8" s="1"/>
  <c r="Y718" i="7"/>
  <c r="AC718" i="7"/>
  <c r="AC719" i="7" s="1"/>
  <c r="AC720" i="7" s="1"/>
  <c r="AC721" i="7" s="1"/>
  <c r="Z718" i="7"/>
  <c r="AG679" i="8"/>
  <c r="AJ679" i="8"/>
  <c r="AE235" i="7"/>
  <c r="AF235" i="7" s="1"/>
  <c r="AJ563" i="7"/>
  <c r="AD841" i="7"/>
  <c r="AE841" i="7" s="1"/>
  <c r="W168" i="8"/>
  <c r="X168" i="8" s="1"/>
  <c r="Z168" i="8" s="1"/>
  <c r="AC878" i="8"/>
  <c r="Y878" i="8"/>
  <c r="AA878" i="8" s="1"/>
  <c r="AD179" i="12"/>
  <c r="AE179" i="12" s="1"/>
  <c r="AJ179" i="12" s="1"/>
  <c r="AB330" i="12"/>
  <c r="AC552" i="7"/>
  <c r="Y552" i="7"/>
  <c r="AA552" i="7" s="1"/>
  <c r="AF679" i="8"/>
  <c r="AB992" i="8"/>
  <c r="AD399" i="8"/>
  <c r="AE399" i="8" s="1"/>
  <c r="AJ399" i="8" s="1"/>
  <c r="AJ728" i="7"/>
  <c r="AC498" i="8"/>
  <c r="AC499" i="8" s="1"/>
  <c r="AC500" i="8" s="1"/>
  <c r="AC501" i="8" s="1"/>
  <c r="Y498" i="8"/>
  <c r="AA498" i="8" s="1"/>
  <c r="Y499" i="8" s="1"/>
  <c r="AA499" i="8" s="1"/>
  <c r="Y500" i="8" s="1"/>
  <c r="AA500" i="8" s="1"/>
  <c r="Y501" i="8" s="1"/>
  <c r="AA501" i="8" s="1"/>
  <c r="AA442" i="7"/>
  <c r="AI288" i="8"/>
  <c r="AH619" i="7"/>
  <c r="AJ343" i="7"/>
  <c r="AF454" i="7"/>
  <c r="AG454" i="7"/>
  <c r="AB937" i="8"/>
  <c r="AI343" i="8"/>
  <c r="W824" i="8"/>
  <c r="X824" i="8" s="1"/>
  <c r="Z824" i="8" s="1"/>
  <c r="AJ124" i="12"/>
  <c r="AH619" i="8"/>
  <c r="AB498" i="8"/>
  <c r="Z499" i="8" s="1"/>
  <c r="AB499" i="8" s="1"/>
  <c r="Z500" i="8" s="1"/>
  <c r="AB500" i="8" s="1"/>
  <c r="Z501" i="8" s="1"/>
  <c r="AB501" i="8" s="1"/>
  <c r="C1851" i="6"/>
  <c r="AD1059" i="8"/>
  <c r="AE1059" i="8" s="1"/>
  <c r="AJ1059" i="8" s="1"/>
  <c r="B1899" i="6"/>
  <c r="D1899" i="6" s="1"/>
  <c r="AI179" i="8"/>
  <c r="AB168" i="7"/>
  <c r="Z169" i="7" s="1"/>
  <c r="AB169" i="7" s="1"/>
  <c r="Z170" i="7" s="1"/>
  <c r="AB170" i="7" s="1"/>
  <c r="Z171" i="7" s="1"/>
  <c r="AB171" i="7" s="1"/>
  <c r="W172" i="7" s="1"/>
  <c r="AD121" i="7" s="1"/>
  <c r="W443" i="7"/>
  <c r="AA333" i="7"/>
  <c r="Y334" i="7" s="1"/>
  <c r="AA334" i="7" s="1"/>
  <c r="Y335" i="7" s="1"/>
  <c r="AA335" i="7" s="1"/>
  <c r="Y336" i="7" s="1"/>
  <c r="AA336" i="7" s="1"/>
  <c r="W337" i="7" s="1"/>
  <c r="AD286" i="7" s="1"/>
  <c r="AJ1003" i="8"/>
  <c r="AD1004" i="8" s="1"/>
  <c r="AE1004" i="8" s="1"/>
  <c r="AF1004" i="8" s="1"/>
  <c r="AA278" i="8"/>
  <c r="Y279" i="8" s="1"/>
  <c r="AA279" i="8" s="1"/>
  <c r="Y280" i="8" s="1"/>
  <c r="AA280" i="8" s="1"/>
  <c r="Y281" i="8" s="1"/>
  <c r="AA281" i="8" s="1"/>
  <c r="X222" i="7"/>
  <c r="AJ563" i="8"/>
  <c r="AA938" i="7"/>
  <c r="Y939" i="7" s="1"/>
  <c r="AA939" i="7" s="1"/>
  <c r="Y940" i="7" s="1"/>
  <c r="AA940" i="7" s="1"/>
  <c r="Y941" i="7" s="1"/>
  <c r="AA941" i="7" s="1"/>
  <c r="W942" i="7" s="1"/>
  <c r="AD891" i="7" s="1"/>
  <c r="W282" i="8" l="1"/>
  <c r="AD231" i="8" s="1"/>
  <c r="AI679" i="8"/>
  <c r="AB718" i="7"/>
  <c r="Z719" i="7" s="1"/>
  <c r="AB719" i="7" s="1"/>
  <c r="Z720" i="7" s="1"/>
  <c r="AB720" i="7" s="1"/>
  <c r="Z721" i="7" s="1"/>
  <c r="AB721" i="7" s="1"/>
  <c r="AH124" i="12"/>
  <c r="AH454" i="7"/>
  <c r="AH234" i="12"/>
  <c r="C2747" i="6"/>
  <c r="C2811" i="6"/>
  <c r="E2676" i="6"/>
  <c r="D2676" i="6"/>
  <c r="B2677" i="6"/>
  <c r="C2619" i="6"/>
  <c r="C2877" i="6"/>
  <c r="AH123" i="7"/>
  <c r="AE620" i="7"/>
  <c r="AF620" i="7" s="1"/>
  <c r="AD180" i="8"/>
  <c r="AE180" i="8" s="1"/>
  <c r="AD564" i="8"/>
  <c r="AE564" i="8" s="1"/>
  <c r="AJ564" i="8" s="1"/>
  <c r="X443" i="7"/>
  <c r="AC222" i="7"/>
  <c r="Z222" i="7"/>
  <c r="AJ343" i="8"/>
  <c r="AF1059" i="8"/>
  <c r="AG1059" i="8"/>
  <c r="AI1059" i="8" s="1"/>
  <c r="AF841" i="7"/>
  <c r="AJ841" i="7"/>
  <c r="AJ729" i="7"/>
  <c r="W938" i="8"/>
  <c r="X938" i="8" s="1"/>
  <c r="Z938" i="8" s="1"/>
  <c r="AJ1004" i="8"/>
  <c r="AI454" i="7"/>
  <c r="AD564" i="7"/>
  <c r="AE564" i="7" s="1"/>
  <c r="AB878" i="8"/>
  <c r="AH893" i="7"/>
  <c r="AF179" i="12"/>
  <c r="AG179" i="12"/>
  <c r="Y222" i="7"/>
  <c r="AB552" i="7"/>
  <c r="AD729" i="7"/>
  <c r="AE729" i="7" s="1"/>
  <c r="AF399" i="8"/>
  <c r="AG399" i="8"/>
  <c r="AI399" i="8" s="1"/>
  <c r="AI234" i="12"/>
  <c r="AI124" i="12"/>
  <c r="W331" i="12"/>
  <c r="X331" i="12" s="1"/>
  <c r="Z331" i="12" s="1"/>
  <c r="AE620" i="8"/>
  <c r="AJ288" i="8"/>
  <c r="AA718" i="7"/>
  <c r="Y719" i="7" s="1"/>
  <c r="AA719" i="7" s="1"/>
  <c r="Y720" i="7" s="1"/>
  <c r="AA720" i="7" s="1"/>
  <c r="Y721" i="7" s="1"/>
  <c r="AA721" i="7" s="1"/>
  <c r="W722" i="7" s="1"/>
  <c r="AD671" i="7" s="1"/>
  <c r="C1899" i="6"/>
  <c r="B1900" i="6" s="1"/>
  <c r="E37" i="6" s="1"/>
  <c r="W502" i="8"/>
  <c r="AD451" i="8" s="1"/>
  <c r="AH233" i="8"/>
  <c r="W993" i="8"/>
  <c r="X993" i="8" s="1"/>
  <c r="Z993" i="8" s="1"/>
  <c r="AD680" i="8"/>
  <c r="C1760" i="6"/>
  <c r="AC824" i="8"/>
  <c r="Y824" i="8"/>
  <c r="AA824" i="8" s="1"/>
  <c r="Y168" i="8"/>
  <c r="AA168" i="8" s="1"/>
  <c r="Y169" i="8" s="1"/>
  <c r="AA169" i="8" s="1"/>
  <c r="Y170" i="8" s="1"/>
  <c r="AA170" i="8" s="1"/>
  <c r="Y171" i="8" s="1"/>
  <c r="AA171" i="8" s="1"/>
  <c r="AC168" i="8"/>
  <c r="AC169" i="8" s="1"/>
  <c r="AC170" i="8" s="1"/>
  <c r="AC171" i="8" s="1"/>
  <c r="AJ735" i="8"/>
  <c r="AF735" i="8"/>
  <c r="AH735" i="8" s="1"/>
  <c r="AC825" i="7"/>
  <c r="Y825" i="7"/>
  <c r="AA825" i="7" s="1"/>
  <c r="AG841" i="7"/>
  <c r="AG1004" i="8"/>
  <c r="AI1004" i="8" s="1"/>
  <c r="AH288" i="7"/>
  <c r="B1852" i="6"/>
  <c r="D1852" i="6" s="1"/>
  <c r="AD344" i="7"/>
  <c r="AE344" i="7" s="1"/>
  <c r="AJ344" i="7" s="1"/>
  <c r="AH679" i="8"/>
  <c r="AJ235" i="7"/>
  <c r="AG235" i="7"/>
  <c r="AI235" i="7" s="1"/>
  <c r="AA553" i="8"/>
  <c r="Y554" i="8" s="1"/>
  <c r="AA554" i="8" s="1"/>
  <c r="Y555" i="8" s="1"/>
  <c r="AA555" i="8" s="1"/>
  <c r="Y556" i="8" s="1"/>
  <c r="AA556" i="8" s="1"/>
  <c r="W557" i="8" s="1"/>
  <c r="AD506" i="8" s="1"/>
  <c r="AA222" i="7" l="1"/>
  <c r="AI179" i="12"/>
  <c r="AH1004" i="8"/>
  <c r="D2747" i="6"/>
  <c r="E2747" i="6"/>
  <c r="B2748" i="6"/>
  <c r="C2748" i="6" s="1"/>
  <c r="AH841" i="7"/>
  <c r="D2619" i="6"/>
  <c r="B2620" i="6"/>
  <c r="E2619" i="6"/>
  <c r="C2620" i="6"/>
  <c r="E2811" i="6"/>
  <c r="D2811" i="6"/>
  <c r="B2812" i="6"/>
  <c r="AB825" i="7"/>
  <c r="W826" i="7" s="1"/>
  <c r="X826" i="7" s="1"/>
  <c r="Y826" i="7" s="1"/>
  <c r="D2877" i="6"/>
  <c r="E2877" i="6"/>
  <c r="B2878" i="6"/>
  <c r="C2677" i="6"/>
  <c r="AH399" i="8"/>
  <c r="AJ180" i="8"/>
  <c r="AF180" i="8"/>
  <c r="AG180" i="8"/>
  <c r="AI180" i="8" s="1"/>
  <c r="AF729" i="7"/>
  <c r="AG729" i="7"/>
  <c r="AD236" i="7"/>
  <c r="AJ289" i="8"/>
  <c r="AI893" i="7"/>
  <c r="AI123" i="7"/>
  <c r="AH179" i="12"/>
  <c r="AD1005" i="8"/>
  <c r="AE1005" i="8" s="1"/>
  <c r="AF564" i="7"/>
  <c r="AG564" i="7"/>
  <c r="AI841" i="7"/>
  <c r="AD455" i="7"/>
  <c r="AE455" i="7" s="1"/>
  <c r="AD400" i="8"/>
  <c r="AH508" i="8"/>
  <c r="AJ620" i="8"/>
  <c r="AG620" i="8"/>
  <c r="W879" i="8"/>
  <c r="X879" i="8" s="1"/>
  <c r="Z879" i="8" s="1"/>
  <c r="Y331" i="12"/>
  <c r="AA331" i="12" s="1"/>
  <c r="AC331" i="12"/>
  <c r="AC443" i="7"/>
  <c r="AC444" i="7" s="1"/>
  <c r="AC445" i="7" s="1"/>
  <c r="AC446" i="7" s="1"/>
  <c r="Z443" i="7"/>
  <c r="AF564" i="8"/>
  <c r="AG564" i="8"/>
  <c r="AI564" i="8" s="1"/>
  <c r="AH673" i="7"/>
  <c r="W553" i="7"/>
  <c r="X553" i="7" s="1"/>
  <c r="Z553" i="7" s="1"/>
  <c r="AD1060" i="8"/>
  <c r="AH1059" i="8"/>
  <c r="AE680" i="8"/>
  <c r="AF680" i="8" s="1"/>
  <c r="AD289" i="8"/>
  <c r="AE289" i="8" s="1"/>
  <c r="C1852" i="6"/>
  <c r="AF620" i="8"/>
  <c r="AB222" i="7"/>
  <c r="AD125" i="12"/>
  <c r="AE125" i="12" s="1"/>
  <c r="AG125" i="12" s="1"/>
  <c r="AJ564" i="7"/>
  <c r="Y443" i="7"/>
  <c r="AI233" i="8"/>
  <c r="AH453" i="8"/>
  <c r="AB168" i="8"/>
  <c r="Z169" i="8" s="1"/>
  <c r="AB169" i="8" s="1"/>
  <c r="Z170" i="8" s="1"/>
  <c r="AB170" i="8" s="1"/>
  <c r="Z171" i="8" s="1"/>
  <c r="AB171" i="8" s="1"/>
  <c r="W172" i="8" s="1"/>
  <c r="AD121" i="8" s="1"/>
  <c r="B1761" i="6"/>
  <c r="D1761" i="6" s="1"/>
  <c r="AG620" i="7"/>
  <c r="AI620" i="7" s="1"/>
  <c r="AJ620" i="7"/>
  <c r="AF344" i="7"/>
  <c r="AG344" i="7"/>
  <c r="AI344" i="7" s="1"/>
  <c r="AI288" i="7"/>
  <c r="AH235" i="7"/>
  <c r="AD180" i="12"/>
  <c r="AD344" i="8"/>
  <c r="AE344" i="8" s="1"/>
  <c r="AB824" i="8"/>
  <c r="AC993" i="8"/>
  <c r="AC994" i="8" s="1"/>
  <c r="AC995" i="8" s="1"/>
  <c r="AC996" i="8" s="1"/>
  <c r="Y993" i="8"/>
  <c r="AA993" i="8" s="1"/>
  <c r="Y994" i="8" s="1"/>
  <c r="AA994" i="8" s="1"/>
  <c r="Y995" i="8" s="1"/>
  <c r="AA995" i="8" s="1"/>
  <c r="Y996" i="8" s="1"/>
  <c r="AA996" i="8" s="1"/>
  <c r="AD235" i="12"/>
  <c r="AE235" i="12" s="1"/>
  <c r="AG235" i="12" s="1"/>
  <c r="AC938" i="8"/>
  <c r="AC939" i="8" s="1"/>
  <c r="AC940" i="8" s="1"/>
  <c r="AC941" i="8" s="1"/>
  <c r="Y938" i="8"/>
  <c r="AA938" i="8" s="1"/>
  <c r="Y939" i="8" s="1"/>
  <c r="AA939" i="8" s="1"/>
  <c r="Y940" i="8" s="1"/>
  <c r="AA940" i="8" s="1"/>
  <c r="Y941" i="8" s="1"/>
  <c r="AA941" i="8" s="1"/>
  <c r="AI735" i="8"/>
  <c r="AH620" i="7" l="1"/>
  <c r="C2878" i="6"/>
  <c r="E2878" i="6"/>
  <c r="B2879" i="6"/>
  <c r="D2878" i="6"/>
  <c r="AI620" i="8"/>
  <c r="AA443" i="7"/>
  <c r="Y444" i="7" s="1"/>
  <c r="AA444" i="7" s="1"/>
  <c r="Y445" i="7" s="1"/>
  <c r="AA445" i="7" s="1"/>
  <c r="Y446" i="7" s="1"/>
  <c r="AA446" i="7" s="1"/>
  <c r="AH729" i="7"/>
  <c r="B2749" i="6"/>
  <c r="E2748" i="6"/>
  <c r="D2748" i="6"/>
  <c r="D2620" i="6"/>
  <c r="B2621" i="6"/>
  <c r="E2620" i="6"/>
  <c r="C2812" i="6"/>
  <c r="AI564" i="7"/>
  <c r="AD565" i="7" s="1"/>
  <c r="B2678" i="6"/>
  <c r="E2677" i="6"/>
  <c r="D2677" i="6"/>
  <c r="AF1005" i="8"/>
  <c r="AJ1005" i="8"/>
  <c r="AG1005" i="8"/>
  <c r="AI1005" i="8" s="1"/>
  <c r="AH123" i="8"/>
  <c r="AE1060" i="8"/>
  <c r="AF344" i="8"/>
  <c r="AG344" i="8"/>
  <c r="AI344" i="8" s="1"/>
  <c r="AC879" i="8"/>
  <c r="Y879" i="8"/>
  <c r="AA879" i="8" s="1"/>
  <c r="W223" i="7"/>
  <c r="X223" i="7" s="1"/>
  <c r="Z826" i="7"/>
  <c r="AB826" i="7" s="1"/>
  <c r="AB938" i="8"/>
  <c r="Z939" i="8" s="1"/>
  <c r="AB939" i="8" s="1"/>
  <c r="Z940" i="8" s="1"/>
  <c r="AB940" i="8" s="1"/>
  <c r="Z941" i="8" s="1"/>
  <c r="AB941" i="8" s="1"/>
  <c r="W942" i="8" s="1"/>
  <c r="AD891" i="8" s="1"/>
  <c r="AB443" i="7"/>
  <c r="Z444" i="7" s="1"/>
  <c r="AB444" i="7" s="1"/>
  <c r="Z445" i="7" s="1"/>
  <c r="AB445" i="7" s="1"/>
  <c r="Z446" i="7" s="1"/>
  <c r="AB446" i="7" s="1"/>
  <c r="AJ235" i="12"/>
  <c r="AF235" i="12"/>
  <c r="AH235" i="12" s="1"/>
  <c r="AF289" i="8"/>
  <c r="AG289" i="8"/>
  <c r="AI453" i="8"/>
  <c r="AD842" i="7"/>
  <c r="AE842" i="7" s="1"/>
  <c r="AG842" i="7" s="1"/>
  <c r="AJ233" i="8"/>
  <c r="AD234" i="8" s="1"/>
  <c r="AE234" i="8" s="1"/>
  <c r="AH180" i="8"/>
  <c r="AI673" i="7"/>
  <c r="AC553" i="7"/>
  <c r="AC554" i="7" s="1"/>
  <c r="AC555" i="7" s="1"/>
  <c r="AC556" i="7" s="1"/>
  <c r="Y553" i="7"/>
  <c r="AA553" i="7" s="1"/>
  <c r="Y554" i="7" s="1"/>
  <c r="AA554" i="7" s="1"/>
  <c r="Y555" i="7" s="1"/>
  <c r="AA555" i="7" s="1"/>
  <c r="Y556" i="7" s="1"/>
  <c r="AA556" i="7" s="1"/>
  <c r="AF125" i="12"/>
  <c r="AH125" i="12" s="1"/>
  <c r="AJ125" i="12"/>
  <c r="AJ123" i="7"/>
  <c r="AC826" i="7"/>
  <c r="AH564" i="8"/>
  <c r="AD621" i="7"/>
  <c r="AG680" i="8"/>
  <c r="AI680" i="8" s="1"/>
  <c r="AJ680" i="8"/>
  <c r="AI729" i="7"/>
  <c r="AH564" i="7"/>
  <c r="AE400" i="8"/>
  <c r="AD621" i="8"/>
  <c r="AE236" i="7"/>
  <c r="AJ288" i="7"/>
  <c r="AI508" i="8"/>
  <c r="AD736" i="8"/>
  <c r="AE736" i="8" s="1"/>
  <c r="AG736" i="8" s="1"/>
  <c r="AD345" i="7"/>
  <c r="AD565" i="8"/>
  <c r="AH620" i="8"/>
  <c r="AJ455" i="7"/>
  <c r="AF455" i="7"/>
  <c r="AB993" i="8"/>
  <c r="Z994" i="8" s="1"/>
  <c r="AB994" i="8" s="1"/>
  <c r="Z995" i="8" s="1"/>
  <c r="AB995" i="8" s="1"/>
  <c r="Z996" i="8" s="1"/>
  <c r="AB996" i="8" s="1"/>
  <c r="W997" i="8" s="1"/>
  <c r="AD946" i="8" s="1"/>
  <c r="AD181" i="8"/>
  <c r="W825" i="8"/>
  <c r="X825" i="8" s="1"/>
  <c r="AE621" i="7"/>
  <c r="AG621" i="7" s="1"/>
  <c r="AE180" i="12"/>
  <c r="AF180" i="12" s="1"/>
  <c r="AJ344" i="8"/>
  <c r="AJ893" i="7"/>
  <c r="AH344" i="7"/>
  <c r="B1853" i="6"/>
  <c r="D1853" i="6" s="1"/>
  <c r="C1761" i="6"/>
  <c r="B1762" i="6" s="1"/>
  <c r="B37" i="6" s="1"/>
  <c r="AG455" i="7"/>
  <c r="AB331" i="12"/>
  <c r="AI125" i="12" l="1"/>
  <c r="W447" i="7"/>
  <c r="AD396" i="7" s="1"/>
  <c r="E2812" i="6"/>
  <c r="D2812" i="6"/>
  <c r="B2813" i="6"/>
  <c r="AA826" i="7"/>
  <c r="X827" i="7" s="1"/>
  <c r="Z827" i="7" s="1"/>
  <c r="C2621" i="6"/>
  <c r="AJ621" i="7"/>
  <c r="C2749" i="6"/>
  <c r="AI455" i="7"/>
  <c r="AD456" i="7" s="1"/>
  <c r="AI289" i="8"/>
  <c r="AD290" i="8" s="1"/>
  <c r="C2678" i="6"/>
  <c r="C2879" i="6"/>
  <c r="AF234" i="8"/>
  <c r="AG234" i="8"/>
  <c r="AI234" i="8" s="1"/>
  <c r="AJ236" i="7"/>
  <c r="AG236" i="7"/>
  <c r="AE181" i="8"/>
  <c r="AF181" i="8" s="1"/>
  <c r="AH893" i="8"/>
  <c r="AC825" i="8"/>
  <c r="Y825" i="8"/>
  <c r="AJ453" i="8"/>
  <c r="AD730" i="7"/>
  <c r="AE730" i="7" s="1"/>
  <c r="AC223" i="7"/>
  <c r="AC224" i="7" s="1"/>
  <c r="AC225" i="7" s="1"/>
  <c r="AC226" i="7" s="1"/>
  <c r="Y223" i="7"/>
  <c r="AF236" i="7"/>
  <c r="Z223" i="7"/>
  <c r="AB223" i="7" s="1"/>
  <c r="Z224" i="7" s="1"/>
  <c r="AB224" i="7" s="1"/>
  <c r="Z225" i="7" s="1"/>
  <c r="AB225" i="7" s="1"/>
  <c r="Z226" i="7" s="1"/>
  <c r="AB226" i="7" s="1"/>
  <c r="AE621" i="8"/>
  <c r="AF842" i="7"/>
  <c r="AH842" i="7" s="1"/>
  <c r="AJ842" i="7"/>
  <c r="AI123" i="8"/>
  <c r="C1853" i="6"/>
  <c r="B1854" i="6" s="1"/>
  <c r="D37" i="6" s="1"/>
  <c r="AH289" i="8"/>
  <c r="AE345" i="7"/>
  <c r="AJ673" i="7"/>
  <c r="AD681" i="8"/>
  <c r="AJ1060" i="8"/>
  <c r="AG1060" i="8"/>
  <c r="AI1060" i="8" s="1"/>
  <c r="AD1006" i="8"/>
  <c r="AE565" i="8"/>
  <c r="AF565" i="8" s="1"/>
  <c r="AH398" i="7"/>
  <c r="W332" i="12"/>
  <c r="X332" i="12" s="1"/>
  <c r="Z332" i="12" s="1"/>
  <c r="AJ400" i="8"/>
  <c r="AG400" i="8"/>
  <c r="AD124" i="7"/>
  <c r="AE124" i="7" s="1"/>
  <c r="AJ124" i="7" s="1"/>
  <c r="AB879" i="8"/>
  <c r="AH344" i="8"/>
  <c r="AJ736" i="8"/>
  <c r="AF736" i="8"/>
  <c r="AH736" i="8" s="1"/>
  <c r="AH455" i="7"/>
  <c r="AF1060" i="8"/>
  <c r="AH948" i="8"/>
  <c r="AJ234" i="8"/>
  <c r="AF621" i="7"/>
  <c r="AH621" i="7" s="1"/>
  <c r="AD126" i="12"/>
  <c r="AE126" i="12" s="1"/>
  <c r="AF400" i="8"/>
  <c r="Z825" i="8"/>
  <c r="AB825" i="8" s="1"/>
  <c r="AE565" i="7"/>
  <c r="AD345" i="8"/>
  <c r="AJ508" i="8"/>
  <c r="AD894" i="7"/>
  <c r="AE894" i="7" s="1"/>
  <c r="AJ894" i="7" s="1"/>
  <c r="AJ289" i="7"/>
  <c r="AI235" i="12"/>
  <c r="AJ180" i="12"/>
  <c r="AG180" i="12"/>
  <c r="AI180" i="12" s="1"/>
  <c r="AH680" i="8"/>
  <c r="AD289" i="7"/>
  <c r="AE289" i="7" s="1"/>
  <c r="W827" i="7"/>
  <c r="AB553" i="7"/>
  <c r="Z554" i="7" s="1"/>
  <c r="AB554" i="7" s="1"/>
  <c r="Z555" i="7" s="1"/>
  <c r="AB555" i="7" s="1"/>
  <c r="Z556" i="7" s="1"/>
  <c r="AB556" i="7" s="1"/>
  <c r="W557" i="7" s="1"/>
  <c r="AD506" i="7" s="1"/>
  <c r="AH1005" i="8"/>
  <c r="AI236" i="7" l="1"/>
  <c r="AH400" i="8"/>
  <c r="B2880" i="6"/>
  <c r="E2879" i="6"/>
  <c r="D2879" i="6"/>
  <c r="C2880" i="6" s="1"/>
  <c r="E2621" i="6"/>
  <c r="D2621" i="6"/>
  <c r="B2622" i="6"/>
  <c r="C2813" i="6"/>
  <c r="D2678" i="6"/>
  <c r="E2678" i="6"/>
  <c r="B2679" i="6"/>
  <c r="B2750" i="6"/>
  <c r="E2749" i="6"/>
  <c r="D2749" i="6"/>
  <c r="C2750" i="6" s="1"/>
  <c r="AG126" i="12"/>
  <c r="AF126" i="12"/>
  <c r="AJ126" i="12"/>
  <c r="AH508" i="7"/>
  <c r="AE681" i="8"/>
  <c r="AG565" i="7"/>
  <c r="AJ565" i="7"/>
  <c r="W826" i="8"/>
  <c r="AJ621" i="8"/>
  <c r="AG621" i="8"/>
  <c r="W880" i="8"/>
  <c r="X880" i="8" s="1"/>
  <c r="Z880" i="8"/>
  <c r="AA223" i="7"/>
  <c r="Y224" i="7" s="1"/>
  <c r="AA224" i="7" s="1"/>
  <c r="Y225" i="7" s="1"/>
  <c r="AA225" i="7" s="1"/>
  <c r="Y226" i="7" s="1"/>
  <c r="AA226" i="7" s="1"/>
  <c r="W227" i="7" s="1"/>
  <c r="AD176" i="7" s="1"/>
  <c r="AI842" i="7"/>
  <c r="AD235" i="8"/>
  <c r="AE290" i="8"/>
  <c r="AH180" i="12"/>
  <c r="AI948" i="8"/>
  <c r="AI621" i="7"/>
  <c r="AE456" i="7"/>
  <c r="AF456" i="7" s="1"/>
  <c r="AD1061" i="8"/>
  <c r="AF565" i="7"/>
  <c r="AD454" i="8"/>
  <c r="AE454" i="8" s="1"/>
  <c r="AD236" i="12"/>
  <c r="AE236" i="12" s="1"/>
  <c r="AG236" i="12" s="1"/>
  <c r="AA825" i="8"/>
  <c r="AI893" i="8"/>
  <c r="AE345" i="8"/>
  <c r="AF621" i="8"/>
  <c r="AH621" i="8" s="1"/>
  <c r="Y827" i="7"/>
  <c r="AA827" i="7" s="1"/>
  <c r="AC827" i="7"/>
  <c r="AJ123" i="8"/>
  <c r="AJ730" i="7"/>
  <c r="AF730" i="7"/>
  <c r="AD674" i="7"/>
  <c r="AE674" i="7" s="1"/>
  <c r="AJ181" i="8"/>
  <c r="AG181" i="8"/>
  <c r="AI181" i="8" s="1"/>
  <c r="AF124" i="7"/>
  <c r="AG124" i="7"/>
  <c r="AI124" i="7" s="1"/>
  <c r="AJ345" i="7"/>
  <c r="AG345" i="7"/>
  <c r="AD237" i="7"/>
  <c r="AI400" i="8"/>
  <c r="AF345" i="7"/>
  <c r="AH345" i="7" s="1"/>
  <c r="AD509" i="8"/>
  <c r="AE509" i="8" s="1"/>
  <c r="AJ509" i="8" s="1"/>
  <c r="AE1006" i="8"/>
  <c r="AH1060" i="8"/>
  <c r="AG730" i="7"/>
  <c r="AD181" i="12"/>
  <c r="AF894" i="7"/>
  <c r="AG894" i="7"/>
  <c r="AH236" i="7"/>
  <c r="AC332" i="12"/>
  <c r="Y332" i="12"/>
  <c r="AA332" i="12" s="1"/>
  <c r="AI398" i="7"/>
  <c r="AJ565" i="8"/>
  <c r="AG565" i="8"/>
  <c r="AI565" i="8" s="1"/>
  <c r="AH234" i="8"/>
  <c r="AI736" i="8"/>
  <c r="AF289" i="7"/>
  <c r="AG289" i="7"/>
  <c r="AI289" i="7" s="1"/>
  <c r="C2622" i="6" l="1"/>
  <c r="AH181" i="8"/>
  <c r="AI894" i="7"/>
  <c r="AH126" i="12"/>
  <c r="B2623" i="6"/>
  <c r="E2622" i="6"/>
  <c r="D2622" i="6"/>
  <c r="C2623" i="6" s="1"/>
  <c r="B2881" i="6"/>
  <c r="E2880" i="6"/>
  <c r="D2880" i="6"/>
  <c r="C2881" i="6" s="1"/>
  <c r="C2679" i="6"/>
  <c r="AH565" i="7"/>
  <c r="B2751" i="6"/>
  <c r="E2750" i="6"/>
  <c r="D2750" i="6"/>
  <c r="AI730" i="7"/>
  <c r="AD731" i="7" s="1"/>
  <c r="B2814" i="6"/>
  <c r="E2813" i="6"/>
  <c r="D2813" i="6"/>
  <c r="AJ893" i="8"/>
  <c r="AF674" i="7"/>
  <c r="AG674" i="7"/>
  <c r="AI674" i="7" s="1"/>
  <c r="X826" i="8"/>
  <c r="AH730" i="7"/>
  <c r="AI508" i="7"/>
  <c r="AE237" i="7"/>
  <c r="AF237" i="7" s="1"/>
  <c r="AF454" i="8"/>
  <c r="AG454" i="8"/>
  <c r="AI454" i="8" s="1"/>
  <c r="AD401" i="8"/>
  <c r="AE401" i="8" s="1"/>
  <c r="AG401" i="8"/>
  <c r="AI565" i="7"/>
  <c r="AD290" i="7"/>
  <c r="AG681" i="8"/>
  <c r="AJ681" i="8"/>
  <c r="Y880" i="8"/>
  <c r="AA880" i="8" s="1"/>
  <c r="AC880" i="8"/>
  <c r="AF681" i="8"/>
  <c r="AH681" i="8" s="1"/>
  <c r="AB827" i="7"/>
  <c r="AI621" i="8"/>
  <c r="AE181" i="12"/>
  <c r="AJ398" i="7"/>
  <c r="AD399" i="7" s="1"/>
  <c r="AE399" i="7" s="1"/>
  <c r="AE1061" i="8"/>
  <c r="AG1006" i="8"/>
  <c r="AJ1006" i="8"/>
  <c r="AF1006" i="8"/>
  <c r="AH1006" i="8" s="1"/>
  <c r="AD843" i="7"/>
  <c r="AE843" i="7" s="1"/>
  <c r="AG843" i="7" s="1"/>
  <c r="AF509" i="8"/>
  <c r="AG509" i="8"/>
  <c r="AI509" i="8" s="1"/>
  <c r="AH894" i="7"/>
  <c r="AJ456" i="7"/>
  <c r="AG456" i="7"/>
  <c r="AI456" i="7" s="1"/>
  <c r="AD737" i="8"/>
  <c r="AE737" i="8" s="1"/>
  <c r="AG737" i="8" s="1"/>
  <c r="AD622" i="7"/>
  <c r="AE622" i="7" s="1"/>
  <c r="AJ290" i="8"/>
  <c r="AG290" i="8"/>
  <c r="AF290" i="8"/>
  <c r="AH290" i="8" s="1"/>
  <c r="AD895" i="7"/>
  <c r="AD124" i="8"/>
  <c r="AE124" i="8" s="1"/>
  <c r="AH289" i="7"/>
  <c r="AI345" i="7"/>
  <c r="AE235" i="8"/>
  <c r="AH124" i="7"/>
  <c r="AG345" i="8"/>
  <c r="AJ345" i="8"/>
  <c r="AJ948" i="8"/>
  <c r="AD949" i="8" s="1"/>
  <c r="AE949" i="8" s="1"/>
  <c r="AI126" i="12"/>
  <c r="AJ674" i="7"/>
  <c r="AF236" i="12"/>
  <c r="AH236" i="12" s="1"/>
  <c r="AJ236" i="12"/>
  <c r="AH178" i="7"/>
  <c r="AJ454" i="8"/>
  <c r="AB332" i="12"/>
  <c r="AD125" i="7"/>
  <c r="AD566" i="8"/>
  <c r="AD182" i="8"/>
  <c r="AE182" i="8" s="1"/>
  <c r="AF345" i="8"/>
  <c r="AH565" i="8"/>
  <c r="C2814" i="6" l="1"/>
  <c r="B2680" i="6"/>
  <c r="D2679" i="6"/>
  <c r="E2679" i="6"/>
  <c r="B2624" i="6"/>
  <c r="E2623" i="6"/>
  <c r="D2623" i="6"/>
  <c r="C2624" i="6" s="1"/>
  <c r="AH345" i="8"/>
  <c r="D2881" i="6"/>
  <c r="E2881" i="6"/>
  <c r="B2882" i="6"/>
  <c r="C2882" i="6" s="1"/>
  <c r="C2751" i="6"/>
  <c r="AF182" i="8"/>
  <c r="AJ182" i="8"/>
  <c r="AG182" i="8"/>
  <c r="AI182" i="8" s="1"/>
  <c r="AF399" i="7"/>
  <c r="AG399" i="7"/>
  <c r="AF949" i="8"/>
  <c r="AG949" i="8"/>
  <c r="AI949" i="8" s="1"/>
  <c r="AJ235" i="8"/>
  <c r="AG235" i="8"/>
  <c r="AI178" i="7"/>
  <c r="AF843" i="7"/>
  <c r="AH843" i="7" s="1"/>
  <c r="AJ843" i="7"/>
  <c r="AE731" i="7"/>
  <c r="AF731" i="7" s="1"/>
  <c r="Z826" i="8"/>
  <c r="AB826" i="8" s="1"/>
  <c r="AC826" i="8"/>
  <c r="AI681" i="8"/>
  <c r="AJ737" i="8"/>
  <c r="AF737" i="8"/>
  <c r="AH737" i="8" s="1"/>
  <c r="AB880" i="8"/>
  <c r="AG181" i="12"/>
  <c r="AI181" i="12" s="1"/>
  <c r="AJ181" i="12"/>
  <c r="AD455" i="8"/>
  <c r="AF235" i="8"/>
  <c r="AD346" i="7"/>
  <c r="AE346" i="7" s="1"/>
  <c r="AJ508" i="7"/>
  <c r="AE566" i="8"/>
  <c r="AF566" i="8" s="1"/>
  <c r="AF124" i="8"/>
  <c r="AG124" i="8"/>
  <c r="AI124" i="8" s="1"/>
  <c r="AG1061" i="8"/>
  <c r="AJ1061" i="8"/>
  <c r="AF1061" i="8"/>
  <c r="AH1061" i="8" s="1"/>
  <c r="AD127" i="12"/>
  <c r="AE127" i="12" s="1"/>
  <c r="AG127" i="12" s="1"/>
  <c r="AD894" i="8"/>
  <c r="AE894" i="8" s="1"/>
  <c r="AF181" i="12"/>
  <c r="AH454" i="8"/>
  <c r="AH456" i="7"/>
  <c r="AD510" i="8"/>
  <c r="AH509" i="8"/>
  <c r="W828" i="7"/>
  <c r="X828" i="7" s="1"/>
  <c r="Z828" i="7" s="1"/>
  <c r="AE290" i="7"/>
  <c r="AF290" i="7" s="1"/>
  <c r="AJ622" i="7"/>
  <c r="AF622" i="7"/>
  <c r="AI1006" i="8"/>
  <c r="AD675" i="7"/>
  <c r="AH674" i="7"/>
  <c r="AD566" i="7"/>
  <c r="AE566" i="7" s="1"/>
  <c r="AD457" i="7"/>
  <c r="AJ401" i="8"/>
  <c r="AF401" i="8"/>
  <c r="AH401" i="8" s="1"/>
  <c r="AI345" i="8"/>
  <c r="AJ237" i="7"/>
  <c r="AG237" i="7"/>
  <c r="AI237" i="7" s="1"/>
  <c r="AG622" i="7"/>
  <c r="Y826" i="8"/>
  <c r="AJ124" i="8"/>
  <c r="AJ399" i="7"/>
  <c r="AJ949" i="8"/>
  <c r="W333" i="12"/>
  <c r="X333" i="12" s="1"/>
  <c r="Z333" i="12" s="1"/>
  <c r="AE125" i="7"/>
  <c r="AF125" i="7" s="1"/>
  <c r="AI290" i="8"/>
  <c r="AE895" i="7"/>
  <c r="AF895" i="7" s="1"/>
  <c r="AD622" i="8"/>
  <c r="AE622" i="8" s="1"/>
  <c r="AI236" i="12"/>
  <c r="AI399" i="7" l="1"/>
  <c r="AI401" i="8"/>
  <c r="B2883" i="6"/>
  <c r="E2882" i="6"/>
  <c r="D2882" i="6"/>
  <c r="C2680" i="6"/>
  <c r="B2752" i="6"/>
  <c r="E2751" i="6"/>
  <c r="D2751" i="6"/>
  <c r="C2752" i="6" s="1"/>
  <c r="AH237" i="7"/>
  <c r="E2624" i="6"/>
  <c r="D2624" i="6"/>
  <c r="B2625" i="6"/>
  <c r="AH235" i="8"/>
  <c r="AA826" i="8"/>
  <c r="X827" i="8" s="1"/>
  <c r="AC827" i="8" s="1"/>
  <c r="AI622" i="7"/>
  <c r="AD623" i="7" s="1"/>
  <c r="D2814" i="6"/>
  <c r="B2815" i="6"/>
  <c r="E2814" i="6"/>
  <c r="AD682" i="8"/>
  <c r="AE682" i="8" s="1"/>
  <c r="AF566" i="7"/>
  <c r="AJ566" i="7"/>
  <c r="AI1061" i="8"/>
  <c r="AD237" i="12"/>
  <c r="AE237" i="12" s="1"/>
  <c r="AG237" i="12" s="1"/>
  <c r="AJ622" i="8"/>
  <c r="AF622" i="8"/>
  <c r="AD400" i="7"/>
  <c r="AE457" i="7"/>
  <c r="AE455" i="8"/>
  <c r="AF346" i="7"/>
  <c r="AJ346" i="7"/>
  <c r="AD125" i="8"/>
  <c r="AH124" i="8"/>
  <c r="AG566" i="8"/>
  <c r="AI566" i="8" s="1"/>
  <c r="AJ566" i="8"/>
  <c r="AG622" i="8"/>
  <c r="AJ178" i="7"/>
  <c r="AD291" i="8"/>
  <c r="AE291" i="8" s="1"/>
  <c r="AD1007" i="8"/>
  <c r="AE1007" i="8" s="1"/>
  <c r="AG1007" i="8" s="1"/>
  <c r="AF894" i="8"/>
  <c r="AG894" i="8"/>
  <c r="AI894" i="8" s="1"/>
  <c r="AC828" i="7"/>
  <c r="AC829" i="7" s="1"/>
  <c r="AC830" i="7" s="1"/>
  <c r="AC831" i="7" s="1"/>
  <c r="Y828" i="7"/>
  <c r="AA828" i="7" s="1"/>
  <c r="Y829" i="7" s="1"/>
  <c r="AA829" i="7" s="1"/>
  <c r="Y830" i="7" s="1"/>
  <c r="AA830" i="7" s="1"/>
  <c r="Y831" i="7" s="1"/>
  <c r="AA831" i="7" s="1"/>
  <c r="AE675" i="7"/>
  <c r="AH949" i="8"/>
  <c r="AJ895" i="7"/>
  <c r="AG895" i="7"/>
  <c r="AI895" i="7" s="1"/>
  <c r="AD402" i="8"/>
  <c r="AE402" i="8" s="1"/>
  <c r="AD238" i="7"/>
  <c r="AI737" i="8"/>
  <c r="AD183" i="8"/>
  <c r="W827" i="8"/>
  <c r="AJ731" i="7"/>
  <c r="AG731" i="7"/>
  <c r="AI731" i="7" s="1"/>
  <c r="AG566" i="7"/>
  <c r="AE510" i="8"/>
  <c r="AF510" i="8" s="1"/>
  <c r="AD950" i="8"/>
  <c r="AD182" i="12"/>
  <c r="W881" i="8"/>
  <c r="X881" i="8" s="1"/>
  <c r="AH399" i="7"/>
  <c r="AI843" i="7"/>
  <c r="AH181" i="12"/>
  <c r="AJ125" i="7"/>
  <c r="AG125" i="7"/>
  <c r="AI125" i="7" s="1"/>
  <c r="AI235" i="8"/>
  <c r="AH622" i="7"/>
  <c r="AJ894" i="8"/>
  <c r="AD346" i="8"/>
  <c r="AE346" i="8" s="1"/>
  <c r="AG346" i="8" s="1"/>
  <c r="AD509" i="7"/>
  <c r="AE509" i="7" s="1"/>
  <c r="AJ509" i="7" s="1"/>
  <c r="Y333" i="12"/>
  <c r="AA333" i="12" s="1"/>
  <c r="Y334" i="12" s="1"/>
  <c r="AA334" i="12" s="1"/>
  <c r="Y335" i="12" s="1"/>
  <c r="AA335" i="12" s="1"/>
  <c r="Y336" i="12" s="1"/>
  <c r="AA336" i="12" s="1"/>
  <c r="AC333" i="12"/>
  <c r="AC334" i="12" s="1"/>
  <c r="AC335" i="12" s="1"/>
  <c r="AC336" i="12" s="1"/>
  <c r="AJ290" i="7"/>
  <c r="AG290" i="7"/>
  <c r="AI290" i="7" s="1"/>
  <c r="AJ127" i="12"/>
  <c r="AF127" i="12"/>
  <c r="AH127" i="12" s="1"/>
  <c r="AG346" i="7"/>
  <c r="AH182" i="8"/>
  <c r="AI346" i="7" l="1"/>
  <c r="AH290" i="7"/>
  <c r="C2625" i="6"/>
  <c r="AI566" i="7"/>
  <c r="AD567" i="7" s="1"/>
  <c r="E2680" i="6"/>
  <c r="D2680" i="6"/>
  <c r="B2681" i="6"/>
  <c r="E2752" i="6"/>
  <c r="D2752" i="6"/>
  <c r="B2753" i="6"/>
  <c r="C2753" i="6" s="1"/>
  <c r="AB828" i="7"/>
  <c r="Z829" i="7" s="1"/>
  <c r="AB829" i="7" s="1"/>
  <c r="Z830" i="7" s="1"/>
  <c r="AB830" i="7" s="1"/>
  <c r="Z831" i="7" s="1"/>
  <c r="AB831" i="7" s="1"/>
  <c r="W832" i="7" s="1"/>
  <c r="AD781" i="7" s="1"/>
  <c r="AH622" i="8"/>
  <c r="C2883" i="6"/>
  <c r="AE238" i="7"/>
  <c r="AJ238" i="7" s="1"/>
  <c r="C2815" i="6"/>
  <c r="AG402" i="8"/>
  <c r="AF402" i="8"/>
  <c r="AJ402" i="8"/>
  <c r="AE183" i="8"/>
  <c r="AD126" i="7"/>
  <c r="AJ237" i="12"/>
  <c r="AF237" i="12"/>
  <c r="AH237" i="12" s="1"/>
  <c r="AE182" i="12"/>
  <c r="AF182" i="12" s="1"/>
  <c r="Z827" i="8"/>
  <c r="Y827" i="8"/>
  <c r="AC881" i="8"/>
  <c r="Y881" i="8"/>
  <c r="AG455" i="8"/>
  <c r="AJ455" i="8"/>
  <c r="AD567" i="8"/>
  <c r="AE125" i="8"/>
  <c r="AF125" i="8" s="1"/>
  <c r="AD896" i="7"/>
  <c r="AH346" i="7"/>
  <c r="AH731" i="7"/>
  <c r="AF509" i="7"/>
  <c r="AG509" i="7"/>
  <c r="AI509" i="7" s="1"/>
  <c r="AE623" i="7"/>
  <c r="AD895" i="8"/>
  <c r="AD732" i="7"/>
  <c r="AD291" i="7"/>
  <c r="AE291" i="7" s="1"/>
  <c r="AJ1007" i="8"/>
  <c r="AF1007" i="8"/>
  <c r="AH1007" i="8" s="1"/>
  <c r="AE950" i="8"/>
  <c r="AF950" i="8" s="1"/>
  <c r="AJ675" i="7"/>
  <c r="AG675" i="7"/>
  <c r="AD179" i="7"/>
  <c r="AE179" i="7" s="1"/>
  <c r="AJ179" i="7" s="1"/>
  <c r="AH125" i="7"/>
  <c r="Z881" i="8"/>
  <c r="AF455" i="8"/>
  <c r="AJ346" i="8"/>
  <c r="AF346" i="8"/>
  <c r="AH346" i="8" s="1"/>
  <c r="AD738" i="8"/>
  <c r="AE738" i="8" s="1"/>
  <c r="AG738" i="8" s="1"/>
  <c r="AJ682" i="8"/>
  <c r="AF682" i="8"/>
  <c r="AJ510" i="8"/>
  <c r="AG510" i="8"/>
  <c r="AI510" i="8" s="1"/>
  <c r="AD347" i="7"/>
  <c r="AD236" i="8"/>
  <c r="AE236" i="8" s="1"/>
  <c r="AH894" i="8"/>
  <c r="AJ291" i="8"/>
  <c r="AF291" i="8"/>
  <c r="AH566" i="8"/>
  <c r="AG291" i="8"/>
  <c r="AI291" i="8" s="1"/>
  <c r="AD1062" i="8"/>
  <c r="AE1062" i="8" s="1"/>
  <c r="AG1062" i="8" s="1"/>
  <c r="AH895" i="7"/>
  <c r="AD844" i="7"/>
  <c r="AE844" i="7" s="1"/>
  <c r="AG844" i="7" s="1"/>
  <c r="AI127" i="12"/>
  <c r="AE400" i="7"/>
  <c r="AF675" i="7"/>
  <c r="AH566" i="7"/>
  <c r="AJ457" i="7"/>
  <c r="AG457" i="7"/>
  <c r="AI622" i="8"/>
  <c r="AF457" i="7"/>
  <c r="AH457" i="7" s="1"/>
  <c r="AG682" i="8"/>
  <c r="AI682" i="8" s="1"/>
  <c r="AB333" i="12"/>
  <c r="Z334" i="12" s="1"/>
  <c r="AB334" i="12" s="1"/>
  <c r="Z335" i="12" s="1"/>
  <c r="AB335" i="12" s="1"/>
  <c r="Z336" i="12" s="1"/>
  <c r="AB336" i="12" s="1"/>
  <c r="W337" i="12" s="1"/>
  <c r="AD286" i="12" s="1"/>
  <c r="AG291" i="7" l="1"/>
  <c r="AJ291" i="7"/>
  <c r="AB881" i="8"/>
  <c r="AI346" i="8"/>
  <c r="AH402" i="8"/>
  <c r="C2681" i="6"/>
  <c r="AH675" i="7"/>
  <c r="AG238" i="7"/>
  <c r="D2753" i="6"/>
  <c r="B2754" i="6"/>
  <c r="E2753" i="6"/>
  <c r="C2754" i="6"/>
  <c r="AF238" i="7"/>
  <c r="AH238" i="7" s="1"/>
  <c r="E2815" i="6"/>
  <c r="D2815" i="6"/>
  <c r="B2816" i="6"/>
  <c r="D2883" i="6"/>
  <c r="B2884" i="6"/>
  <c r="E2883" i="6"/>
  <c r="AI237" i="12"/>
  <c r="AD238" i="12" s="1"/>
  <c r="AE238" i="12" s="1"/>
  <c r="AJ238" i="12" s="1"/>
  <c r="AH455" i="8"/>
  <c r="AA827" i="8"/>
  <c r="E2625" i="6"/>
  <c r="D2625" i="6"/>
  <c r="B2626" i="6"/>
  <c r="C2626" i="6" s="1"/>
  <c r="AH288" i="12"/>
  <c r="AE567" i="7"/>
  <c r="AJ236" i="8"/>
  <c r="AF236" i="8"/>
  <c r="AE126" i="7"/>
  <c r="AF126" i="7" s="1"/>
  <c r="AD128" i="12"/>
  <c r="AE128" i="12" s="1"/>
  <c r="AF844" i="7"/>
  <c r="AH844" i="7" s="1"/>
  <c r="AJ844" i="7"/>
  <c r="AE896" i="7"/>
  <c r="AD683" i="8"/>
  <c r="AI1007" i="8"/>
  <c r="AH510" i="8"/>
  <c r="AG182" i="12"/>
  <c r="AI182" i="12" s="1"/>
  <c r="AJ182" i="12"/>
  <c r="AI675" i="7"/>
  <c r="AD511" i="8"/>
  <c r="AH682" i="8"/>
  <c r="AE567" i="8"/>
  <c r="AH509" i="7"/>
  <c r="AD623" i="8"/>
  <c r="AE623" i="8" s="1"/>
  <c r="AG623" i="8" s="1"/>
  <c r="AH291" i="8"/>
  <c r="AE732" i="7"/>
  <c r="AA881" i="8"/>
  <c r="AF291" i="7"/>
  <c r="AH291" i="7" s="1"/>
  <c r="AE895" i="8"/>
  <c r="AF895" i="8" s="1"/>
  <c r="AG400" i="7"/>
  <c r="AJ400" i="7"/>
  <c r="AB827" i="8"/>
  <c r="AF179" i="7"/>
  <c r="AG179" i="7"/>
  <c r="AI179" i="7" s="1"/>
  <c r="AH783" i="7"/>
  <c r="AG950" i="8"/>
  <c r="AI950" i="8" s="1"/>
  <c r="AJ950" i="8"/>
  <c r="AJ623" i="7"/>
  <c r="AG623" i="7"/>
  <c r="AD347" i="8"/>
  <c r="AE347" i="8" s="1"/>
  <c r="AD292" i="8"/>
  <c r="AF738" i="8"/>
  <c r="AH738" i="8" s="1"/>
  <c r="AJ738" i="8"/>
  <c r="AE347" i="7"/>
  <c r="AJ183" i="8"/>
  <c r="AG183" i="8"/>
  <c r="W882" i="8"/>
  <c r="AF400" i="7"/>
  <c r="AG236" i="8"/>
  <c r="AJ125" i="8"/>
  <c r="AG125" i="8"/>
  <c r="AI125" i="8" s="1"/>
  <c r="AJ1062" i="8"/>
  <c r="AF1062" i="8"/>
  <c r="AH1062" i="8" s="1"/>
  <c r="AF623" i="7"/>
  <c r="AD510" i="7"/>
  <c r="AI455" i="8"/>
  <c r="AI457" i="7"/>
  <c r="AF183" i="8"/>
  <c r="AI402" i="8"/>
  <c r="AG347" i="8" l="1"/>
  <c r="AJ347" i="8"/>
  <c r="AI400" i="7"/>
  <c r="C2884" i="6"/>
  <c r="AI291" i="7"/>
  <c r="AH236" i="8"/>
  <c r="AI623" i="7"/>
  <c r="AD624" i="7" s="1"/>
  <c r="E2754" i="6"/>
  <c r="D2754" i="6"/>
  <c r="B2755" i="6"/>
  <c r="C2755" i="6" s="1"/>
  <c r="AI238" i="7"/>
  <c r="AD239" i="7" s="1"/>
  <c r="AE239" i="7" s="1"/>
  <c r="C2816" i="6"/>
  <c r="AI844" i="7"/>
  <c r="AD845" i="7" s="1"/>
  <c r="AE845" i="7" s="1"/>
  <c r="B2627" i="6"/>
  <c r="D2626" i="6"/>
  <c r="E2626" i="6"/>
  <c r="AI183" i="8"/>
  <c r="D2681" i="6"/>
  <c r="E2681" i="6"/>
  <c r="B2682" i="6"/>
  <c r="AG732" i="7"/>
  <c r="AJ732" i="7"/>
  <c r="AJ128" i="12"/>
  <c r="AF128" i="12"/>
  <c r="AD184" i="8"/>
  <c r="AJ623" i="8"/>
  <c r="AF623" i="8"/>
  <c r="AH623" i="8" s="1"/>
  <c r="AJ567" i="8"/>
  <c r="AG567" i="8"/>
  <c r="AD126" i="8"/>
  <c r="AF347" i="8"/>
  <c r="AH347" i="8" s="1"/>
  <c r="AJ896" i="7"/>
  <c r="AG896" i="7"/>
  <c r="AI288" i="12"/>
  <c r="AE292" i="8"/>
  <c r="AF292" i="8" s="1"/>
  <c r="AD951" i="8"/>
  <c r="AE510" i="7"/>
  <c r="AD1008" i="8"/>
  <c r="AE1008" i="8" s="1"/>
  <c r="AG1008" i="8" s="1"/>
  <c r="W828" i="8"/>
  <c r="X828" i="8" s="1"/>
  <c r="AH182" i="12"/>
  <c r="AE683" i="8"/>
  <c r="AI236" i="8"/>
  <c r="AF896" i="7"/>
  <c r="AJ567" i="7"/>
  <c r="AG567" i="7"/>
  <c r="AD183" i="12"/>
  <c r="AF238" i="12"/>
  <c r="AH623" i="7"/>
  <c r="AI783" i="7"/>
  <c r="AE511" i="8"/>
  <c r="AF511" i="8" s="1"/>
  <c r="AG238" i="12"/>
  <c r="AJ347" i="7"/>
  <c r="AG347" i="7"/>
  <c r="AI347" i="7" s="1"/>
  <c r="AH179" i="7"/>
  <c r="AD292" i="7"/>
  <c r="AE292" i="7" s="1"/>
  <c r="AH183" i="8"/>
  <c r="AI738" i="8"/>
  <c r="AH125" i="8"/>
  <c r="AD458" i="7"/>
  <c r="AE458" i="7" s="1"/>
  <c r="AG458" i="7" s="1"/>
  <c r="AF567" i="7"/>
  <c r="AI1062" i="8"/>
  <c r="AF732" i="7"/>
  <c r="AG128" i="12"/>
  <c r="AD180" i="7"/>
  <c r="AG126" i="7"/>
  <c r="AI126" i="7" s="1"/>
  <c r="AJ126" i="7"/>
  <c r="AF347" i="7"/>
  <c r="AF567" i="8"/>
  <c r="AD403" i="8"/>
  <c r="AE403" i="8" s="1"/>
  <c r="AG403" i="8" s="1"/>
  <c r="AD401" i="7"/>
  <c r="AH400" i="7"/>
  <c r="AJ895" i="8"/>
  <c r="AG895" i="8"/>
  <c r="AI895" i="8" s="1"/>
  <c r="AD456" i="8"/>
  <c r="AE456" i="8" s="1"/>
  <c r="AG456" i="8" s="1"/>
  <c r="X882" i="8"/>
  <c r="AD676" i="7"/>
  <c r="AE676" i="7" s="1"/>
  <c r="AH950" i="8"/>
  <c r="AI896" i="7" l="1"/>
  <c r="D2816" i="6"/>
  <c r="B2817" i="6"/>
  <c r="E2816" i="6"/>
  <c r="AH732" i="7"/>
  <c r="AI567" i="7"/>
  <c r="AD568" i="7" s="1"/>
  <c r="D2755" i="6"/>
  <c r="E2755" i="6"/>
  <c r="B2756" i="6"/>
  <c r="C2756" i="6" s="1"/>
  <c r="AH238" i="12"/>
  <c r="AI567" i="8"/>
  <c r="AD568" i="8" s="1"/>
  <c r="AH347" i="7"/>
  <c r="C2627" i="6"/>
  <c r="AI128" i="12"/>
  <c r="AD129" i="12" s="1"/>
  <c r="C2682" i="6"/>
  <c r="E2884" i="6"/>
  <c r="D2884" i="6"/>
  <c r="B2885" i="6"/>
  <c r="AJ292" i="7"/>
  <c r="AG292" i="7"/>
  <c r="AF292" i="7"/>
  <c r="AH292" i="7" s="1"/>
  <c r="AJ845" i="7"/>
  <c r="AF845" i="7"/>
  <c r="AG845" i="7"/>
  <c r="AD896" i="8"/>
  <c r="AJ783" i="7"/>
  <c r="AC828" i="8"/>
  <c r="Y828" i="8"/>
  <c r="Z828" i="8"/>
  <c r="AB828" i="8" s="1"/>
  <c r="AE184" i="8"/>
  <c r="AF184" i="8" s="1"/>
  <c r="AI403" i="8"/>
  <c r="Z882" i="8"/>
  <c r="AC882" i="8"/>
  <c r="AH896" i="7"/>
  <c r="AH128" i="12"/>
  <c r="AD897" i="7"/>
  <c r="AG239" i="7"/>
  <c r="AJ239" i="7"/>
  <c r="AD739" i="8"/>
  <c r="AE739" i="8" s="1"/>
  <c r="AI347" i="8"/>
  <c r="AE951" i="8"/>
  <c r="AJ510" i="7"/>
  <c r="AG510" i="7"/>
  <c r="AF676" i="7"/>
  <c r="AJ676" i="7"/>
  <c r="AH567" i="8"/>
  <c r="AD1063" i="8"/>
  <c r="AE1063" i="8" s="1"/>
  <c r="AH567" i="7"/>
  <c r="AD237" i="8"/>
  <c r="AE237" i="8" s="1"/>
  <c r="AG237" i="8" s="1"/>
  <c r="AE183" i="12"/>
  <c r="AE401" i="7"/>
  <c r="AE624" i="7"/>
  <c r="AF510" i="7"/>
  <c r="AE180" i="7"/>
  <c r="AD348" i="7"/>
  <c r="AI238" i="12"/>
  <c r="AJ683" i="8"/>
  <c r="AG683" i="8"/>
  <c r="AJ288" i="12"/>
  <c r="AH895" i="8"/>
  <c r="AH511" i="8"/>
  <c r="AJ458" i="7"/>
  <c r="AF458" i="7"/>
  <c r="AH458" i="7" s="1"/>
  <c r="AF239" i="7"/>
  <c r="AE126" i="8"/>
  <c r="AJ1008" i="8"/>
  <c r="AF1008" i="8"/>
  <c r="AH1008" i="8" s="1"/>
  <c r="AI623" i="8"/>
  <c r="AJ403" i="8"/>
  <c r="AF403" i="8"/>
  <c r="AH403" i="8" s="1"/>
  <c r="AG676" i="7"/>
  <c r="AJ292" i="8"/>
  <c r="AG292" i="8"/>
  <c r="AI292" i="8" s="1"/>
  <c r="AE348" i="7"/>
  <c r="AJ348" i="7" s="1"/>
  <c r="Y882" i="8"/>
  <c r="AD127" i="7"/>
  <c r="AJ456" i="8"/>
  <c r="AF456" i="8"/>
  <c r="AH456" i="8" s="1"/>
  <c r="AJ511" i="8"/>
  <c r="AG511" i="8"/>
  <c r="AI511" i="8" s="1"/>
  <c r="AF683" i="8"/>
  <c r="AI732" i="7"/>
  <c r="AH126" i="7"/>
  <c r="AI1008" i="8" l="1"/>
  <c r="AH239" i="7"/>
  <c r="C2817" i="6"/>
  <c r="B2818" i="6"/>
  <c r="E2817" i="6"/>
  <c r="D2817" i="6"/>
  <c r="D2756" i="6"/>
  <c r="B2757" i="6"/>
  <c r="E2756" i="6"/>
  <c r="AG348" i="7"/>
  <c r="AH683" i="8"/>
  <c r="E2627" i="6"/>
  <c r="B2628" i="6"/>
  <c r="D2627" i="6"/>
  <c r="C2628" i="6" s="1"/>
  <c r="AI458" i="7"/>
  <c r="AD459" i="7" s="1"/>
  <c r="AE459" i="7" s="1"/>
  <c r="C2885" i="6"/>
  <c r="E2682" i="6"/>
  <c r="B2683" i="6"/>
  <c r="D2682" i="6"/>
  <c r="C2683" i="6" s="1"/>
  <c r="AA882" i="8"/>
  <c r="AI676" i="7"/>
  <c r="AD677" i="7" s="1"/>
  <c r="AH510" i="7"/>
  <c r="AI845" i="7"/>
  <c r="AJ180" i="7"/>
  <c r="AG180" i="7"/>
  <c r="AD846" i="7"/>
  <c r="AH845" i="7"/>
  <c r="AF348" i="7"/>
  <c r="AH348" i="7" s="1"/>
  <c r="AF237" i="8"/>
  <c r="AH237" i="8" s="1"/>
  <c r="AJ237" i="8"/>
  <c r="W829" i="8"/>
  <c r="AA828" i="8"/>
  <c r="AE896" i="8"/>
  <c r="AF896" i="8" s="1"/>
  <c r="AJ624" i="7"/>
  <c r="AG624" i="7"/>
  <c r="AE129" i="12"/>
  <c r="AH676" i="7"/>
  <c r="AJ126" i="8"/>
  <c r="AG126" i="8"/>
  <c r="AD404" i="8"/>
  <c r="AE404" i="8" s="1"/>
  <c r="AJ951" i="8"/>
  <c r="AG951" i="8"/>
  <c r="AF180" i="7"/>
  <c r="AH180" i="7" s="1"/>
  <c r="AJ739" i="8"/>
  <c r="AF739" i="8"/>
  <c r="AF1063" i="8"/>
  <c r="AJ1063" i="8"/>
  <c r="AG1063" i="8"/>
  <c r="AI1063" i="8" s="1"/>
  <c r="AD624" i="8"/>
  <c r="AE624" i="8" s="1"/>
  <c r="AG624" i="8" s="1"/>
  <c r="AD784" i="7"/>
  <c r="AE784" i="7" s="1"/>
  <c r="AJ784" i="7" s="1"/>
  <c r="AF624" i="7"/>
  <c r="AH624" i="7" s="1"/>
  <c r="AH292" i="8"/>
  <c r="AD239" i="12"/>
  <c r="AE239" i="12" s="1"/>
  <c r="AB882" i="8"/>
  <c r="AG183" i="12"/>
  <c r="AJ183" i="12"/>
  <c r="AF126" i="8"/>
  <c r="AH126" i="8" s="1"/>
  <c r="AF951" i="8"/>
  <c r="AI292" i="7"/>
  <c r="AI239" i="7"/>
  <c r="AD733" i="7"/>
  <c r="AE733" i="7" s="1"/>
  <c r="AG733" i="7"/>
  <c r="AE568" i="8"/>
  <c r="AG401" i="7"/>
  <c r="AJ401" i="7"/>
  <c r="AE1009" i="8"/>
  <c r="AG1009" i="8" s="1"/>
  <c r="AI456" i="8"/>
  <c r="AF401" i="7"/>
  <c r="AH401" i="7" s="1"/>
  <c r="AF183" i="12"/>
  <c r="AG184" i="8"/>
  <c r="AI184" i="8" s="1"/>
  <c r="AJ184" i="8"/>
  <c r="AD348" i="8"/>
  <c r="AE348" i="8" s="1"/>
  <c r="AD293" i="8"/>
  <c r="AG739" i="8"/>
  <c r="AE568" i="7"/>
  <c r="AE127" i="7"/>
  <c r="AF127" i="7" s="1"/>
  <c r="AD512" i="8"/>
  <c r="AE512" i="8" s="1"/>
  <c r="AD289" i="12"/>
  <c r="AE289" i="12" s="1"/>
  <c r="AJ289" i="12" s="1"/>
  <c r="AD1009" i="8"/>
  <c r="AI683" i="8"/>
  <c r="AE897" i="7"/>
  <c r="AI510" i="7"/>
  <c r="AH739" i="8" l="1"/>
  <c r="AJ1009" i="8"/>
  <c r="AI237" i="8"/>
  <c r="AH183" i="12"/>
  <c r="E2683" i="6"/>
  <c r="D2683" i="6"/>
  <c r="B2684" i="6"/>
  <c r="C2684" i="6"/>
  <c r="AI126" i="8"/>
  <c r="AD127" i="8" s="1"/>
  <c r="AE127" i="8" s="1"/>
  <c r="C2757" i="6"/>
  <c r="C2818" i="6"/>
  <c r="B2886" i="6"/>
  <c r="E2885" i="6"/>
  <c r="D2885" i="6"/>
  <c r="C2886" i="6" s="1"/>
  <c r="D2628" i="6"/>
  <c r="E2628" i="6"/>
  <c r="B2629" i="6"/>
  <c r="AH951" i="8"/>
  <c r="AG404" i="8"/>
  <c r="AF404" i="8"/>
  <c r="AH404" i="8" s="1"/>
  <c r="AJ404" i="8"/>
  <c r="AJ512" i="8"/>
  <c r="AF512" i="8"/>
  <c r="AG512" i="8"/>
  <c r="AI512" i="8" s="1"/>
  <c r="AJ459" i="7"/>
  <c r="AG459" i="7"/>
  <c r="AF459" i="7"/>
  <c r="AH459" i="7" s="1"/>
  <c r="AG568" i="8"/>
  <c r="AJ568" i="8"/>
  <c r="AF568" i="8"/>
  <c r="AH568" i="8" s="1"/>
  <c r="X829" i="8"/>
  <c r="Y829" i="8" s="1"/>
  <c r="AD185" i="8"/>
  <c r="AJ897" i="7"/>
  <c r="AG897" i="7"/>
  <c r="AF733" i="7"/>
  <c r="AH733" i="7" s="1"/>
  <c r="AJ733" i="7"/>
  <c r="AH1063" i="8"/>
  <c r="AI183" i="12"/>
  <c r="W883" i="8"/>
  <c r="X883" i="8" s="1"/>
  <c r="Z883" i="8" s="1"/>
  <c r="AJ239" i="12"/>
  <c r="AF239" i="12"/>
  <c r="AE846" i="7"/>
  <c r="AF1009" i="8"/>
  <c r="AH1009" i="8" s="1"/>
  <c r="AE293" i="8"/>
  <c r="AF293" i="8" s="1"/>
  <c r="AI180" i="7"/>
  <c r="AD684" i="8"/>
  <c r="AE684" i="8" s="1"/>
  <c r="AG684" i="8" s="1"/>
  <c r="AI951" i="8"/>
  <c r="AI624" i="7"/>
  <c r="AI348" i="7"/>
  <c r="AJ348" i="8"/>
  <c r="AF348" i="8"/>
  <c r="AD1064" i="8"/>
  <c r="AG127" i="7"/>
  <c r="AI127" i="7" s="1"/>
  <c r="AJ127" i="7"/>
  <c r="AG568" i="7"/>
  <c r="AJ568" i="7"/>
  <c r="AE677" i="7"/>
  <c r="AF677" i="7" s="1"/>
  <c r="AF568" i="7"/>
  <c r="AH568" i="7" s="1"/>
  <c r="AD293" i="7"/>
  <c r="AE293" i="7" s="1"/>
  <c r="AG239" i="12"/>
  <c r="AF897" i="7"/>
  <c r="AH897" i="7" s="1"/>
  <c r="AI739" i="8"/>
  <c r="AI401" i="7"/>
  <c r="AH184" i="8"/>
  <c r="AJ896" i="8"/>
  <c r="AG896" i="8"/>
  <c r="AI896" i="8" s="1"/>
  <c r="AG348" i="8"/>
  <c r="AD238" i="8"/>
  <c r="AE238" i="8" s="1"/>
  <c r="AI733" i="7"/>
  <c r="AD240" i="7"/>
  <c r="AE240" i="7" s="1"/>
  <c r="AG240" i="7" s="1"/>
  <c r="AD511" i="7"/>
  <c r="AE511" i="7" s="1"/>
  <c r="AG511" i="7"/>
  <c r="AD457" i="8"/>
  <c r="AE457" i="8" s="1"/>
  <c r="AG457" i="8" s="1"/>
  <c r="AJ129" i="12"/>
  <c r="AG129" i="12"/>
  <c r="AF129" i="12"/>
  <c r="AH129" i="12" s="1"/>
  <c r="AF784" i="7"/>
  <c r="AG784" i="7"/>
  <c r="AI784" i="7" s="1"/>
  <c r="AF289" i="12"/>
  <c r="AG289" i="12"/>
  <c r="AI289" i="12" s="1"/>
  <c r="AJ624" i="8"/>
  <c r="AF624" i="8"/>
  <c r="AH624" i="8" s="1"/>
  <c r="AH239" i="12" l="1"/>
  <c r="AG127" i="8"/>
  <c r="AJ127" i="8"/>
  <c r="C2629" i="6"/>
  <c r="D2818" i="6"/>
  <c r="B2819" i="6"/>
  <c r="E2818" i="6"/>
  <c r="B2887" i="6"/>
  <c r="E2886" i="6"/>
  <c r="D2886" i="6"/>
  <c r="AI624" i="8"/>
  <c r="AD625" i="8" s="1"/>
  <c r="AE625" i="8" s="1"/>
  <c r="AG625" i="8" s="1"/>
  <c r="AH348" i="8"/>
  <c r="B2758" i="6"/>
  <c r="E2757" i="6"/>
  <c r="D2757" i="6"/>
  <c r="C2758" i="6" s="1"/>
  <c r="E2684" i="6"/>
  <c r="D2684" i="6"/>
  <c r="B2685" i="6"/>
  <c r="AH896" i="8"/>
  <c r="AG238" i="8"/>
  <c r="AF238" i="8"/>
  <c r="AH238" i="8" s="1"/>
  <c r="AJ238" i="8"/>
  <c r="AD128" i="7"/>
  <c r="AF511" i="7"/>
  <c r="AH511" i="7" s="1"/>
  <c r="AJ511" i="7"/>
  <c r="AG846" i="7"/>
  <c r="AJ846" i="7"/>
  <c r="AD740" i="8"/>
  <c r="AE740" i="8" s="1"/>
  <c r="AG740" i="8" s="1"/>
  <c r="AI568" i="8"/>
  <c r="AF293" i="7"/>
  <c r="AJ293" i="7"/>
  <c r="AH289" i="12"/>
  <c r="AD402" i="7"/>
  <c r="AE402" i="7" s="1"/>
  <c r="AG402" i="7" s="1"/>
  <c r="AD785" i="7"/>
  <c r="AJ240" i="7"/>
  <c r="AF240" i="7"/>
  <c r="AH240" i="7" s="1"/>
  <c r="AD290" i="12"/>
  <c r="AF127" i="8"/>
  <c r="AH127" i="8" s="1"/>
  <c r="AI239" i="12"/>
  <c r="AI897" i="7"/>
  <c r="AF846" i="7"/>
  <c r="AH784" i="7"/>
  <c r="AI459" i="7"/>
  <c r="AD184" i="12"/>
  <c r="AE184" i="12" s="1"/>
  <c r="AG184" i="12" s="1"/>
  <c r="AD513" i="8"/>
  <c r="AD625" i="7"/>
  <c r="AE625" i="7" s="1"/>
  <c r="AG625" i="7" s="1"/>
  <c r="AE1064" i="8"/>
  <c r="AD734" i="7"/>
  <c r="AE734" i="7" s="1"/>
  <c r="AG293" i="7"/>
  <c r="AJ457" i="8"/>
  <c r="AF457" i="8"/>
  <c r="AH457" i="8" s="1"/>
  <c r="AD952" i="8"/>
  <c r="AE952" i="8" s="1"/>
  <c r="AG952" i="8" s="1"/>
  <c r="AD897" i="8"/>
  <c r="AE897" i="8" s="1"/>
  <c r="AJ897" i="8" s="1"/>
  <c r="AJ684" i="8"/>
  <c r="AF684" i="8"/>
  <c r="AH684" i="8" s="1"/>
  <c r="AC883" i="8"/>
  <c r="Y883" i="8"/>
  <c r="AA883" i="8" s="1"/>
  <c r="AI1009" i="8"/>
  <c r="AJ677" i="7"/>
  <c r="AG677" i="7"/>
  <c r="AI677" i="7" s="1"/>
  <c r="AI348" i="8"/>
  <c r="AI568" i="7"/>
  <c r="AE185" i="8"/>
  <c r="AD181" i="7"/>
  <c r="AE181" i="7" s="1"/>
  <c r="AG181" i="7" s="1"/>
  <c r="AI404" i="8"/>
  <c r="AI129" i="12"/>
  <c r="AD349" i="7"/>
  <c r="AE349" i="7" s="1"/>
  <c r="AG349" i="7" s="1"/>
  <c r="AH512" i="8"/>
  <c r="AG293" i="8"/>
  <c r="AI293" i="8" s="1"/>
  <c r="AJ293" i="8"/>
  <c r="AC829" i="8"/>
  <c r="Z829" i="8"/>
  <c r="AB829" i="8" s="1"/>
  <c r="AH127" i="7"/>
  <c r="AH293" i="8" l="1"/>
  <c r="AI293" i="7"/>
  <c r="AI846" i="7"/>
  <c r="C2685" i="6"/>
  <c r="AA829" i="8"/>
  <c r="B2759" i="6"/>
  <c r="D2758" i="6"/>
  <c r="E2758" i="6"/>
  <c r="B2686" i="6"/>
  <c r="E2685" i="6"/>
  <c r="D2685" i="6"/>
  <c r="C2686" i="6" s="1"/>
  <c r="C2819" i="6"/>
  <c r="C2887" i="6"/>
  <c r="E2629" i="6"/>
  <c r="D2629" i="6"/>
  <c r="B2630" i="6"/>
  <c r="B44" i="6" s="1"/>
  <c r="AJ734" i="7"/>
  <c r="AF734" i="7"/>
  <c r="AG734" i="7"/>
  <c r="AI734" i="7" s="1"/>
  <c r="AD678" i="7"/>
  <c r="AI511" i="7"/>
  <c r="AE128" i="7"/>
  <c r="AF128" i="7" s="1"/>
  <c r="AG897" i="8"/>
  <c r="AE785" i="7"/>
  <c r="AI238" i="8"/>
  <c r="AD349" i="8"/>
  <c r="AE349" i="8" s="1"/>
  <c r="AD847" i="7"/>
  <c r="AF897" i="8"/>
  <c r="AH897" i="8" s="1"/>
  <c r="AJ184" i="12"/>
  <c r="AF184" i="12"/>
  <c r="AH184" i="12" s="1"/>
  <c r="AE290" i="12"/>
  <c r="AD405" i="8"/>
  <c r="AE405" i="8" s="1"/>
  <c r="AG405" i="8" s="1"/>
  <c r="AD460" i="7"/>
  <c r="AE460" i="7" s="1"/>
  <c r="AJ1064" i="8"/>
  <c r="AG1064" i="8"/>
  <c r="AI1064" i="8" s="1"/>
  <c r="AJ185" i="8"/>
  <c r="AG185" i="8"/>
  <c r="AF185" i="8"/>
  <c r="AH846" i="7"/>
  <c r="AI240" i="7"/>
  <c r="AD569" i="8"/>
  <c r="AE569" i="8" s="1"/>
  <c r="AI127" i="8"/>
  <c r="AF625" i="8"/>
  <c r="AH625" i="8" s="1"/>
  <c r="AI402" i="7"/>
  <c r="AE513" i="8"/>
  <c r="AJ349" i="7"/>
  <c r="AF349" i="7"/>
  <c r="AH349" i="7" s="1"/>
  <c r="AD130" i="12"/>
  <c r="AE130" i="12" s="1"/>
  <c r="AG130" i="12" s="1"/>
  <c r="AJ625" i="8"/>
  <c r="AI684" i="8"/>
  <c r="AH293" i="7"/>
  <c r="W830" i="8"/>
  <c r="X830" i="8" s="1"/>
  <c r="AJ952" i="8"/>
  <c r="AF952" i="8"/>
  <c r="AH952" i="8" s="1"/>
  <c r="AI457" i="8"/>
  <c r="AD240" i="12"/>
  <c r="AE240" i="12" s="1"/>
  <c r="AD294" i="7"/>
  <c r="AF402" i="7"/>
  <c r="AH402" i="7" s="1"/>
  <c r="AJ402" i="7"/>
  <c r="AD1010" i="8"/>
  <c r="AE1010" i="8" s="1"/>
  <c r="AG1010" i="8" s="1"/>
  <c r="AB883" i="8"/>
  <c r="AF181" i="7"/>
  <c r="AH181" i="7" s="1"/>
  <c r="AJ181" i="7"/>
  <c r="AF1064" i="8"/>
  <c r="AD294" i="8"/>
  <c r="AE294" i="8" s="1"/>
  <c r="AJ294" i="8" s="1"/>
  <c r="AJ625" i="7"/>
  <c r="AF625" i="7"/>
  <c r="AH625" i="7" s="1"/>
  <c r="AD569" i="7"/>
  <c r="AE569" i="7" s="1"/>
  <c r="AG569" i="7" s="1"/>
  <c r="AD898" i="7"/>
  <c r="AE898" i="7" s="1"/>
  <c r="AG898" i="7" s="1"/>
  <c r="AJ740" i="8"/>
  <c r="AF740" i="8"/>
  <c r="AH740" i="8" s="1"/>
  <c r="AH677" i="7"/>
  <c r="AI625" i="7" l="1"/>
  <c r="B2820" i="6"/>
  <c r="D2819" i="6"/>
  <c r="E2819" i="6"/>
  <c r="AI184" i="12"/>
  <c r="AI185" i="8"/>
  <c r="AD186" i="8" s="1"/>
  <c r="C2759" i="6"/>
  <c r="B2888" i="6"/>
  <c r="D2887" i="6"/>
  <c r="E2887" i="6"/>
  <c r="D2686" i="6"/>
  <c r="B2687" i="6"/>
  <c r="E2686" i="6"/>
  <c r="AC830" i="8"/>
  <c r="Z830" i="8"/>
  <c r="Y830" i="8"/>
  <c r="AF240" i="12"/>
  <c r="AJ240" i="12"/>
  <c r="AF349" i="8"/>
  <c r="AJ349" i="8"/>
  <c r="AE294" i="7"/>
  <c r="AG349" i="8"/>
  <c r="AI181" i="7"/>
  <c r="AD239" i="8"/>
  <c r="AE239" i="8" s="1"/>
  <c r="AG239" i="8" s="1"/>
  <c r="AJ785" i="7"/>
  <c r="AG785" i="7"/>
  <c r="AI952" i="8"/>
  <c r="AF785" i="7"/>
  <c r="AH785" i="7" s="1"/>
  <c r="AE847" i="7"/>
  <c r="AJ898" i="7"/>
  <c r="AF898" i="7"/>
  <c r="AH898" i="7" s="1"/>
  <c r="AD403" i="7"/>
  <c r="AJ1010" i="8"/>
  <c r="AF1010" i="8"/>
  <c r="AH1010" i="8" s="1"/>
  <c r="AF569" i="8"/>
  <c r="AJ569" i="8"/>
  <c r="AH734" i="7"/>
  <c r="AH185" i="8"/>
  <c r="AJ290" i="12"/>
  <c r="AG290" i="12"/>
  <c r="AI349" i="7"/>
  <c r="AE678" i="7"/>
  <c r="AF678" i="7" s="1"/>
  <c r="AD458" i="8"/>
  <c r="AE458" i="8" s="1"/>
  <c r="AD185" i="12"/>
  <c r="AE185" i="12" s="1"/>
  <c r="AD1065" i="8"/>
  <c r="AG513" i="8"/>
  <c r="AJ513" i="8"/>
  <c r="AF294" i="8"/>
  <c r="AF569" i="7"/>
  <c r="AH569" i="7" s="1"/>
  <c r="AJ569" i="7"/>
  <c r="AD128" i="8"/>
  <c r="AE128" i="8" s="1"/>
  <c r="AG128" i="8" s="1"/>
  <c r="AD626" i="7"/>
  <c r="AD685" i="8"/>
  <c r="AE685" i="8" s="1"/>
  <c r="AG685" i="8" s="1"/>
  <c r="AG569" i="8"/>
  <c r="AE626" i="7"/>
  <c r="AG626" i="7" s="1"/>
  <c r="AI897" i="8"/>
  <c r="AG294" i="8"/>
  <c r="AH1064" i="8"/>
  <c r="AF130" i="12"/>
  <c r="AH130" i="12" s="1"/>
  <c r="AJ130" i="12"/>
  <c r="AF290" i="12"/>
  <c r="AI625" i="8"/>
  <c r="AI740" i="8"/>
  <c r="AD512" i="7"/>
  <c r="AE512" i="7" s="1"/>
  <c r="AG512" i="7" s="1"/>
  <c r="W884" i="8"/>
  <c r="X884" i="8" s="1"/>
  <c r="AF513" i="8"/>
  <c r="AJ460" i="7"/>
  <c r="AF460" i="7"/>
  <c r="AG460" i="7"/>
  <c r="AI460" i="7" s="1"/>
  <c r="AF405" i="8"/>
  <c r="AH405" i="8" s="1"/>
  <c r="AJ405" i="8"/>
  <c r="AD735" i="7"/>
  <c r="AD241" i="7"/>
  <c r="AE241" i="7" s="1"/>
  <c r="AE403" i="7"/>
  <c r="AG403" i="7" s="1"/>
  <c r="AG240" i="12"/>
  <c r="AI240" i="12" s="1"/>
  <c r="AJ128" i="7"/>
  <c r="AG128" i="7"/>
  <c r="AI128" i="7" s="1"/>
  <c r="AH128" i="7" l="1"/>
  <c r="B2760" i="6"/>
  <c r="E2759" i="6"/>
  <c r="D2759" i="6"/>
  <c r="C2760" i="6" s="1"/>
  <c r="AH569" i="8"/>
  <c r="AH349" i="8"/>
  <c r="C2888" i="6"/>
  <c r="AH294" i="8"/>
  <c r="AH290" i="12"/>
  <c r="C2820" i="6"/>
  <c r="C2687" i="6"/>
  <c r="AI513" i="8"/>
  <c r="AD514" i="8" s="1"/>
  <c r="AA830" i="8"/>
  <c r="AJ185" i="12"/>
  <c r="AG185" i="12"/>
  <c r="AF185" i="12"/>
  <c r="AH185" i="12" s="1"/>
  <c r="AJ626" i="7"/>
  <c r="AD241" i="12"/>
  <c r="AF626" i="7"/>
  <c r="AH626" i="7" s="1"/>
  <c r="AI569" i="8"/>
  <c r="AG847" i="7"/>
  <c r="AJ847" i="7"/>
  <c r="AJ458" i="8"/>
  <c r="AF458" i="8"/>
  <c r="AJ403" i="7"/>
  <c r="AI785" i="7"/>
  <c r="AD898" i="8"/>
  <c r="AE898" i="8" s="1"/>
  <c r="AG898" i="8" s="1"/>
  <c r="AF403" i="7"/>
  <c r="AH403" i="7" s="1"/>
  <c r="AJ241" i="7"/>
  <c r="AF241" i="7"/>
  <c r="AF847" i="7"/>
  <c r="AG241" i="7"/>
  <c r="AD741" i="8"/>
  <c r="AE741" i="8" s="1"/>
  <c r="AG741" i="8" s="1"/>
  <c r="AG458" i="8"/>
  <c r="AJ678" i="7"/>
  <c r="AG678" i="7"/>
  <c r="AI678" i="7" s="1"/>
  <c r="AD953" i="8"/>
  <c r="AE953" i="8" s="1"/>
  <c r="AJ128" i="8"/>
  <c r="AF128" i="8"/>
  <c r="AH128" i="8" s="1"/>
  <c r="AI1010" i="8"/>
  <c r="AD626" i="8"/>
  <c r="AE626" i="8" s="1"/>
  <c r="AG626" i="8" s="1"/>
  <c r="AD350" i="7"/>
  <c r="AE350" i="7" s="1"/>
  <c r="AG350" i="7"/>
  <c r="AD461" i="7"/>
  <c r="AJ239" i="8"/>
  <c r="AF239" i="8"/>
  <c r="AH239" i="8" s="1"/>
  <c r="AD129" i="7"/>
  <c r="AE129" i="7" s="1"/>
  <c r="AI349" i="8"/>
  <c r="AC884" i="8"/>
  <c r="Y884" i="8"/>
  <c r="AJ512" i="7"/>
  <c r="AF512" i="7"/>
  <c r="AH512" i="7" s="1"/>
  <c r="AF685" i="8"/>
  <c r="AH685" i="8" s="1"/>
  <c r="AJ685" i="8"/>
  <c r="AH240" i="12"/>
  <c r="AI290" i="12"/>
  <c r="AH460" i="7"/>
  <c r="AE186" i="8"/>
  <c r="AI405" i="8"/>
  <c r="AH513" i="8"/>
  <c r="AE1065" i="8"/>
  <c r="AI898" i="7"/>
  <c r="AI130" i="12"/>
  <c r="AG294" i="7"/>
  <c r="AJ294" i="7"/>
  <c r="AI569" i="7"/>
  <c r="AB830" i="8"/>
  <c r="AD182" i="7"/>
  <c r="AE182" i="7" s="1"/>
  <c r="AG182" i="7" s="1"/>
  <c r="Z884" i="8"/>
  <c r="AB884" i="8" s="1"/>
  <c r="AI294" i="8"/>
  <c r="AE735" i="7"/>
  <c r="AF735" i="7" s="1"/>
  <c r="AF294" i="7"/>
  <c r="AH294" i="7" s="1"/>
  <c r="AI847" i="7" l="1"/>
  <c r="E2820" i="6"/>
  <c r="B2821" i="6"/>
  <c r="D2820" i="6"/>
  <c r="C2821" i="6" s="1"/>
  <c r="D2760" i="6"/>
  <c r="E2760" i="6"/>
  <c r="B2761" i="6"/>
  <c r="C2761" i="6" s="1"/>
  <c r="D2687" i="6"/>
  <c r="E2687" i="6"/>
  <c r="B2688" i="6"/>
  <c r="AI458" i="8"/>
  <c r="AD459" i="8" s="1"/>
  <c r="AI241" i="7"/>
  <c r="AD242" i="7" s="1"/>
  <c r="E2888" i="6"/>
  <c r="B2889" i="6"/>
  <c r="D2888" i="6"/>
  <c r="C2889" i="6" s="1"/>
  <c r="AI403" i="7"/>
  <c r="AD404" i="7" s="1"/>
  <c r="AE404" i="7" s="1"/>
  <c r="AG404" i="7" s="1"/>
  <c r="AG129" i="7"/>
  <c r="AF129" i="7"/>
  <c r="AH129" i="7" s="1"/>
  <c r="AJ129" i="7"/>
  <c r="AJ953" i="8"/>
  <c r="AF953" i="8"/>
  <c r="AG953" i="8"/>
  <c r="AI953" i="8" s="1"/>
  <c r="AD570" i="8"/>
  <c r="AE570" i="8" s="1"/>
  <c r="AG570" i="8" s="1"/>
  <c r="W831" i="8"/>
  <c r="X831" i="8" s="1"/>
  <c r="AE461" i="7"/>
  <c r="AD570" i="7"/>
  <c r="AE570" i="7" s="1"/>
  <c r="AG570" i="7" s="1"/>
  <c r="AD291" i="12"/>
  <c r="AE291" i="12" s="1"/>
  <c r="AG291" i="12" s="1"/>
  <c r="AD786" i="7"/>
  <c r="AE786" i="7" s="1"/>
  <c r="AG786" i="7" s="1"/>
  <c r="AF350" i="7"/>
  <c r="AH350" i="7" s="1"/>
  <c r="AJ350" i="7"/>
  <c r="AI685" i="8"/>
  <c r="AH678" i="7"/>
  <c r="AD131" i="12"/>
  <c r="AE131" i="12" s="1"/>
  <c r="AG131" i="12" s="1"/>
  <c r="AI626" i="7"/>
  <c r="AD899" i="7"/>
  <c r="AE899" i="7" s="1"/>
  <c r="AG899" i="7" s="1"/>
  <c r="AA884" i="8"/>
  <c r="W885" i="8"/>
  <c r="AE514" i="8"/>
  <c r="AF514" i="8" s="1"/>
  <c r="AG186" i="8"/>
  <c r="AJ186" i="8"/>
  <c r="AF186" i="8"/>
  <c r="AH186" i="8" s="1"/>
  <c r="AJ182" i="7"/>
  <c r="AF182" i="7"/>
  <c r="AH182" i="7" s="1"/>
  <c r="AD679" i="7"/>
  <c r="AI239" i="8"/>
  <c r="AF741" i="8"/>
  <c r="AH741" i="8" s="1"/>
  <c r="AJ741" i="8"/>
  <c r="AH847" i="7"/>
  <c r="AG735" i="7"/>
  <c r="AI735" i="7" s="1"/>
  <c r="AJ735" i="7"/>
  <c r="AH241" i="7"/>
  <c r="AG1065" i="8"/>
  <c r="AJ1065" i="8"/>
  <c r="AD1011" i="8"/>
  <c r="AE1011" i="8" s="1"/>
  <c r="AH458" i="8"/>
  <c r="AI185" i="12"/>
  <c r="AE241" i="12"/>
  <c r="AD406" i="8"/>
  <c r="AE406" i="8" s="1"/>
  <c r="AG406" i="8" s="1"/>
  <c r="AI128" i="8"/>
  <c r="AD848" i="7"/>
  <c r="AJ898" i="8"/>
  <c r="AF898" i="8"/>
  <c r="AH898" i="8" s="1"/>
  <c r="AI512" i="7"/>
  <c r="AI294" i="7"/>
  <c r="AF626" i="8"/>
  <c r="AH626" i="8" s="1"/>
  <c r="AJ626" i="8"/>
  <c r="AD295" i="8"/>
  <c r="AE295" i="8" s="1"/>
  <c r="AG295" i="8"/>
  <c r="AF1065" i="8"/>
  <c r="AH1065" i="8" s="1"/>
  <c r="AD350" i="8"/>
  <c r="AE350" i="8" s="1"/>
  <c r="AI182" i="7" l="1"/>
  <c r="B2822" i="6"/>
  <c r="D2821" i="6"/>
  <c r="E2821" i="6"/>
  <c r="E2761" i="6"/>
  <c r="D2761" i="6"/>
  <c r="B2762" i="6"/>
  <c r="D44" i="6" s="1"/>
  <c r="D2889" i="6"/>
  <c r="B2890" i="6"/>
  <c r="E2889" i="6"/>
  <c r="C2688" i="6"/>
  <c r="AE459" i="8"/>
  <c r="AJ570" i="8"/>
  <c r="AF570" i="8"/>
  <c r="AH570" i="8" s="1"/>
  <c r="AF350" i="8"/>
  <c r="AH350" i="8" s="1"/>
  <c r="AJ350" i="8"/>
  <c r="AH953" i="8"/>
  <c r="AJ570" i="7"/>
  <c r="AF570" i="7"/>
  <c r="AH570" i="7" s="1"/>
  <c r="AG461" i="7"/>
  <c r="AJ461" i="7"/>
  <c r="AD295" i="7"/>
  <c r="AE295" i="7" s="1"/>
  <c r="AG295" i="7" s="1"/>
  <c r="AD129" i="8"/>
  <c r="AE129" i="8" s="1"/>
  <c r="AG129" i="8" s="1"/>
  <c r="AF461" i="7"/>
  <c r="AH461" i="7" s="1"/>
  <c r="AJ406" i="8"/>
  <c r="AF406" i="8"/>
  <c r="AH406" i="8" s="1"/>
  <c r="AG241" i="12"/>
  <c r="AJ241" i="12"/>
  <c r="AE848" i="7"/>
  <c r="AI186" i="8"/>
  <c r="AE679" i="7"/>
  <c r="AH735" i="7"/>
  <c r="AI350" i="7"/>
  <c r="AF404" i="7"/>
  <c r="AH404" i="7" s="1"/>
  <c r="AF1011" i="8"/>
  <c r="AJ1011" i="8"/>
  <c r="AD240" i="8"/>
  <c r="AE240" i="8" s="1"/>
  <c r="AG240" i="8" s="1"/>
  <c r="AG1011" i="8"/>
  <c r="AJ404" i="7"/>
  <c r="AJ295" i="8"/>
  <c r="AF295" i="8"/>
  <c r="AH295" i="8" s="1"/>
  <c r="AI1065" i="8"/>
  <c r="X885" i="8"/>
  <c r="Y885" i="8" s="1"/>
  <c r="AE242" i="7"/>
  <c r="AF242" i="7" s="1"/>
  <c r="AD736" i="7"/>
  <c r="Y831" i="8"/>
  <c r="AC831" i="8"/>
  <c r="AI129" i="7"/>
  <c r="AF241" i="12"/>
  <c r="AD686" i="8"/>
  <c r="AE686" i="8" s="1"/>
  <c r="AI626" i="8"/>
  <c r="AD954" i="8"/>
  <c r="AJ786" i="7"/>
  <c r="AF786" i="7"/>
  <c r="AH786" i="7" s="1"/>
  <c r="AG350" i="8"/>
  <c r="AD183" i="7"/>
  <c r="AE183" i="7" s="1"/>
  <c r="AG183" i="7" s="1"/>
  <c r="AF291" i="12"/>
  <c r="AH291" i="12" s="1"/>
  <c r="AJ291" i="12"/>
  <c r="AJ899" i="7"/>
  <c r="AF899" i="7"/>
  <c r="AH899" i="7" s="1"/>
  <c r="AD627" i="7"/>
  <c r="AE627" i="7" s="1"/>
  <c r="AF131" i="12"/>
  <c r="AH131" i="12" s="1"/>
  <c r="AJ131" i="12"/>
  <c r="Z831" i="8"/>
  <c r="AD513" i="7"/>
  <c r="AE513" i="7" s="1"/>
  <c r="AI741" i="8"/>
  <c r="AD186" i="12"/>
  <c r="AE186" i="12" s="1"/>
  <c r="AG186" i="12" s="1"/>
  <c r="AJ514" i="8"/>
  <c r="AG514" i="8"/>
  <c r="AI514" i="8" s="1"/>
  <c r="AI898" i="8"/>
  <c r="AI131" i="12" l="1"/>
  <c r="AB831" i="8"/>
  <c r="AH1011" i="8"/>
  <c r="E2688" i="6"/>
  <c r="D2688" i="6"/>
  <c r="B2689" i="6"/>
  <c r="AI406" i="8"/>
  <c r="AH241" i="12"/>
  <c r="AI570" i="7"/>
  <c r="C2822" i="6"/>
  <c r="AI570" i="8"/>
  <c r="C2890" i="6"/>
  <c r="AI183" i="7"/>
  <c r="AJ183" i="7"/>
  <c r="AD571" i="8"/>
  <c r="AE571" i="8" s="1"/>
  <c r="AF240" i="8"/>
  <c r="AH240" i="8" s="1"/>
  <c r="AJ240" i="8"/>
  <c r="AD899" i="8"/>
  <c r="AE899" i="8" s="1"/>
  <c r="AF686" i="8"/>
  <c r="AJ686" i="8"/>
  <c r="AF186" i="12"/>
  <c r="AH186" i="12" s="1"/>
  <c r="AJ186" i="12"/>
  <c r="AJ295" i="7"/>
  <c r="AF295" i="7"/>
  <c r="AH295" i="7" s="1"/>
  <c r="AI461" i="7"/>
  <c r="AF183" i="7"/>
  <c r="AH183" i="7" s="1"/>
  <c r="AD627" i="8"/>
  <c r="AE627" i="8" s="1"/>
  <c r="AG686" i="8"/>
  <c r="AD515" i="8"/>
  <c r="AD571" i="7"/>
  <c r="AE571" i="7" s="1"/>
  <c r="AJ571" i="7" s="1"/>
  <c r="AG242" i="7"/>
  <c r="AI242" i="7" s="1"/>
  <c r="AJ242" i="7"/>
  <c r="AD351" i="7"/>
  <c r="AE351" i="7" s="1"/>
  <c r="AF129" i="8"/>
  <c r="AH129" i="8" s="1"/>
  <c r="AJ129" i="8"/>
  <c r="AD130" i="7"/>
  <c r="AE130" i="7" s="1"/>
  <c r="AH514" i="8"/>
  <c r="Z885" i="8"/>
  <c r="AB885" i="8" s="1"/>
  <c r="AC885" i="8"/>
  <c r="AE736" i="7"/>
  <c r="AD742" i="8"/>
  <c r="AE742" i="8" s="1"/>
  <c r="AG742" i="8" s="1"/>
  <c r="AG679" i="7"/>
  <c r="AI679" i="7" s="1"/>
  <c r="AJ679" i="7"/>
  <c r="AJ513" i="7"/>
  <c r="AF513" i="7"/>
  <c r="AH513" i="7" s="1"/>
  <c r="AI350" i="8"/>
  <c r="AD1066" i="8"/>
  <c r="AE1066" i="8" s="1"/>
  <c r="AF679" i="7"/>
  <c r="AG513" i="7"/>
  <c r="AD187" i="8"/>
  <c r="AE187" i="8" s="1"/>
  <c r="AG187" i="8" s="1"/>
  <c r="AG459" i="8"/>
  <c r="AJ459" i="8"/>
  <c r="AA831" i="8"/>
  <c r="W832" i="8" s="1"/>
  <c r="AD781" i="8" s="1"/>
  <c r="AG848" i="7"/>
  <c r="AJ848" i="7"/>
  <c r="AF459" i="8"/>
  <c r="AH459" i="8" s="1"/>
  <c r="AD407" i="8"/>
  <c r="AE407" i="8" s="1"/>
  <c r="AI295" i="8"/>
  <c r="AF848" i="7"/>
  <c r="AD132" i="12"/>
  <c r="AE132" i="12"/>
  <c r="AF132" i="12" s="1"/>
  <c r="AE954" i="8"/>
  <c r="AI404" i="7"/>
  <c r="AF627" i="7"/>
  <c r="AJ627" i="7"/>
  <c r="AI241" i="12"/>
  <c r="AI899" i="7"/>
  <c r="AG627" i="7"/>
  <c r="AI1011" i="8"/>
  <c r="AI291" i="12"/>
  <c r="AI786" i="7"/>
  <c r="AI295" i="7" l="1"/>
  <c r="AI186" i="12"/>
  <c r="AJ132" i="12"/>
  <c r="AF407" i="8"/>
  <c r="AG407" i="8"/>
  <c r="B2891" i="6"/>
  <c r="D2890" i="6"/>
  <c r="E2890" i="6"/>
  <c r="D2822" i="6"/>
  <c r="E2822" i="6"/>
  <c r="B2823" i="6"/>
  <c r="AH627" i="7"/>
  <c r="AI848" i="7"/>
  <c r="C2689" i="6"/>
  <c r="AH686" i="8"/>
  <c r="AF571" i="8"/>
  <c r="AG571" i="8"/>
  <c r="AJ571" i="8"/>
  <c r="AD900" i="7"/>
  <c r="AE900" i="7" s="1"/>
  <c r="AJ1066" i="8"/>
  <c r="AF1066" i="8"/>
  <c r="AD296" i="7"/>
  <c r="AE296" i="7" s="1"/>
  <c r="AG571" i="7"/>
  <c r="AE515" i="8"/>
  <c r="AF515" i="8" s="1"/>
  <c r="AJ130" i="7"/>
  <c r="AF130" i="7"/>
  <c r="AG130" i="7"/>
  <c r="AI130" i="7" s="1"/>
  <c r="AD187" i="12"/>
  <c r="AE187" i="12" s="1"/>
  <c r="AD462" i="7"/>
  <c r="AE462" i="7" s="1"/>
  <c r="AJ954" i="8"/>
  <c r="AG954" i="8"/>
  <c r="AD849" i="7"/>
  <c r="AF954" i="8"/>
  <c r="AD680" i="7"/>
  <c r="AF351" i="7"/>
  <c r="AJ351" i="7"/>
  <c r="AF742" i="8"/>
  <c r="AH742" i="8" s="1"/>
  <c r="AJ742" i="8"/>
  <c r="AG351" i="7"/>
  <c r="AI351" i="7" s="1"/>
  <c r="AD787" i="7"/>
  <c r="AE787" i="7" s="1"/>
  <c r="AG787" i="7" s="1"/>
  <c r="AG736" i="7"/>
  <c r="AJ736" i="7"/>
  <c r="AF627" i="8"/>
  <c r="AJ627" i="8"/>
  <c r="AF187" i="8"/>
  <c r="AH187" i="8" s="1"/>
  <c r="AJ187" i="8"/>
  <c r="AG627" i="8"/>
  <c r="AI627" i="8" s="1"/>
  <c r="AG132" i="12"/>
  <c r="AI132" i="12" s="1"/>
  <c r="AI129" i="8"/>
  <c r="AJ407" i="8"/>
  <c r="AH848" i="7"/>
  <c r="AD1012" i="8"/>
  <c r="AE1012" i="8" s="1"/>
  <c r="AG1012" i="8" s="1"/>
  <c r="AI513" i="7"/>
  <c r="AA885" i="8"/>
  <c r="AI407" i="8"/>
  <c r="AD242" i="12"/>
  <c r="AE242" i="12" s="1"/>
  <c r="AG1066" i="8"/>
  <c r="AI1066" i="8" s="1"/>
  <c r="AF571" i="7"/>
  <c r="AD351" i="8"/>
  <c r="AE351" i="8" s="1"/>
  <c r="AG351" i="8" s="1"/>
  <c r="AD405" i="7"/>
  <c r="AE405" i="7" s="1"/>
  <c r="AJ899" i="8"/>
  <c r="AF899" i="8"/>
  <c r="AG899" i="8"/>
  <c r="AH783" i="8"/>
  <c r="AI686" i="8"/>
  <c r="AI240" i="8"/>
  <c r="AI459" i="8"/>
  <c r="AD292" i="12"/>
  <c r="AE292" i="12" s="1"/>
  <c r="AG292" i="12" s="1"/>
  <c r="AF736" i="7"/>
  <c r="W886" i="8"/>
  <c r="AD184" i="7"/>
  <c r="AE184" i="7" s="1"/>
  <c r="AD296" i="8"/>
  <c r="AE296" i="8" s="1"/>
  <c r="AD243" i="7"/>
  <c r="AI627" i="7"/>
  <c r="AH679" i="7"/>
  <c r="AH242" i="7"/>
  <c r="AI571" i="8" l="1"/>
  <c r="C2891" i="6"/>
  <c r="AH736" i="7"/>
  <c r="AI742" i="8"/>
  <c r="AI954" i="8"/>
  <c r="D2689" i="6"/>
  <c r="B2690" i="6"/>
  <c r="E2689" i="6"/>
  <c r="AI571" i="7"/>
  <c r="C2823" i="6"/>
  <c r="AI899" i="8"/>
  <c r="AD900" i="8" s="1"/>
  <c r="AH407" i="8"/>
  <c r="AJ187" i="12"/>
  <c r="AF187" i="12"/>
  <c r="AG187" i="12"/>
  <c r="AI187" i="12" s="1"/>
  <c r="AF184" i="7"/>
  <c r="AG184" i="7"/>
  <c r="AJ184" i="7"/>
  <c r="AJ296" i="7"/>
  <c r="AG296" i="7"/>
  <c r="AF296" i="7"/>
  <c r="AH296" i="7" s="1"/>
  <c r="AF296" i="8"/>
  <c r="AJ296" i="8"/>
  <c r="AD687" i="8"/>
  <c r="AE687" i="8" s="1"/>
  <c r="AD955" i="8"/>
  <c r="AG296" i="8"/>
  <c r="AJ462" i="7"/>
  <c r="AF462" i="7"/>
  <c r="AG462" i="7"/>
  <c r="AI462" i="7" s="1"/>
  <c r="AD1067" i="8"/>
  <c r="AF242" i="12"/>
  <c r="AJ242" i="12"/>
  <c r="AH351" i="7"/>
  <c r="AH899" i="8"/>
  <c r="AD408" i="8"/>
  <c r="X886" i="8"/>
  <c r="Y886" i="8" s="1"/>
  <c r="AH627" i="8"/>
  <c r="AD572" i="8"/>
  <c r="AD241" i="8"/>
  <c r="AE241" i="8" s="1"/>
  <c r="AG241" i="8" s="1"/>
  <c r="AJ405" i="7"/>
  <c r="AF405" i="7"/>
  <c r="AH954" i="8"/>
  <c r="AD628" i="7"/>
  <c r="AE628" i="7" s="1"/>
  <c r="AG628" i="7" s="1"/>
  <c r="AI1012" i="8"/>
  <c r="AH130" i="7"/>
  <c r="AD130" i="8"/>
  <c r="AE130" i="8" s="1"/>
  <c r="AD572" i="7"/>
  <c r="AD133" i="12"/>
  <c r="AD628" i="8"/>
  <c r="AF900" i="7"/>
  <c r="AJ900" i="7"/>
  <c r="AD460" i="8"/>
  <c r="AE460" i="8" s="1"/>
  <c r="AG460" i="8" s="1"/>
  <c r="AH571" i="8"/>
  <c r="AI736" i="7"/>
  <c r="AJ1012" i="8"/>
  <c r="AF1012" i="8"/>
  <c r="AH1012" i="8" s="1"/>
  <c r="AJ787" i="7"/>
  <c r="AF787" i="7"/>
  <c r="AH787" i="7" s="1"/>
  <c r="AE849" i="7"/>
  <c r="AD743" i="8"/>
  <c r="AE743" i="8" s="1"/>
  <c r="AD352" i="7"/>
  <c r="AI783" i="8"/>
  <c r="AH571" i="7"/>
  <c r="AH1066" i="8"/>
  <c r="AJ292" i="12"/>
  <c r="AF292" i="12"/>
  <c r="AH292" i="12" s="1"/>
  <c r="AG242" i="12"/>
  <c r="AG900" i="7"/>
  <c r="AI187" i="8"/>
  <c r="AD131" i="7"/>
  <c r="AE243" i="7"/>
  <c r="AE680" i="7"/>
  <c r="AG405" i="7"/>
  <c r="AI405" i="7" s="1"/>
  <c r="AD514" i="7"/>
  <c r="AE514" i="7" s="1"/>
  <c r="AG514" i="7" s="1"/>
  <c r="AH132" i="12"/>
  <c r="AJ351" i="8"/>
  <c r="AF351" i="8"/>
  <c r="AH351" i="8" s="1"/>
  <c r="AJ515" i="8"/>
  <c r="AG515" i="8"/>
  <c r="AI515" i="8" s="1"/>
  <c r="AI184" i="7" l="1"/>
  <c r="AJ743" i="8"/>
  <c r="AG743" i="8"/>
  <c r="AI242" i="12"/>
  <c r="C2690" i="6"/>
  <c r="AH900" i="7"/>
  <c r="AE408" i="8"/>
  <c r="AF408" i="8" s="1"/>
  <c r="D2823" i="6"/>
  <c r="B2824" i="6"/>
  <c r="E2823" i="6"/>
  <c r="AH296" i="8"/>
  <c r="B2892" i="6"/>
  <c r="E2891" i="6"/>
  <c r="D2891" i="6"/>
  <c r="C2892" i="6"/>
  <c r="AD188" i="8"/>
  <c r="AE188" i="8" s="1"/>
  <c r="AG188" i="8" s="1"/>
  <c r="AI900" i="7"/>
  <c r="AJ687" i="8"/>
  <c r="AF687" i="8"/>
  <c r="AD1013" i="8"/>
  <c r="AE1013" i="8" s="1"/>
  <c r="AE572" i="7"/>
  <c r="AF572" i="7" s="1"/>
  <c r="AI296" i="7"/>
  <c r="AH242" i="12"/>
  <c r="AG849" i="7"/>
  <c r="AJ849" i="7"/>
  <c r="AF849" i="7"/>
  <c r="AH849" i="7" s="1"/>
  <c r="AI351" i="8"/>
  <c r="AG687" i="8"/>
  <c r="AI687" i="8" s="1"/>
  <c r="AG408" i="8"/>
  <c r="AI408" i="8" s="1"/>
  <c r="AE900" i="8"/>
  <c r="AF900" i="8" s="1"/>
  <c r="AE1067" i="8"/>
  <c r="AF1067" i="8" s="1"/>
  <c r="AF628" i="7"/>
  <c r="AH628" i="7" s="1"/>
  <c r="AJ628" i="7"/>
  <c r="AD406" i="7"/>
  <c r="AG680" i="7"/>
  <c r="AJ680" i="7"/>
  <c r="AE572" i="8"/>
  <c r="AF680" i="7"/>
  <c r="AH680" i="7" s="1"/>
  <c r="AF460" i="8"/>
  <c r="AH460" i="8" s="1"/>
  <c r="AJ460" i="8"/>
  <c r="AJ243" i="7"/>
  <c r="AG243" i="7"/>
  <c r="AD188" i="12"/>
  <c r="AC886" i="8"/>
  <c r="Z886" i="8"/>
  <c r="AB886" i="8" s="1"/>
  <c r="AH515" i="8"/>
  <c r="AE133" i="12"/>
  <c r="AE352" i="7"/>
  <c r="AD737" i="7"/>
  <c r="AE737" i="7" s="1"/>
  <c r="AG737" i="7" s="1"/>
  <c r="AH405" i="7"/>
  <c r="AD185" i="7"/>
  <c r="AJ783" i="8"/>
  <c r="AD784" i="8" s="1"/>
  <c r="AE784" i="8" s="1"/>
  <c r="AH184" i="7"/>
  <c r="AI292" i="12"/>
  <c r="AF130" i="8"/>
  <c r="AJ130" i="8"/>
  <c r="AJ408" i="8"/>
  <c r="AH187" i="12"/>
  <c r="AD516" i="8"/>
  <c r="AD243" i="12"/>
  <c r="AE131" i="7"/>
  <c r="AI787" i="7"/>
  <c r="AF514" i="7"/>
  <c r="AH514" i="7" s="1"/>
  <c r="AJ514" i="7"/>
  <c r="AE955" i="8"/>
  <c r="AF955" i="8" s="1"/>
  <c r="AF743" i="8"/>
  <c r="AH743" i="8" s="1"/>
  <c r="AF241" i="8"/>
  <c r="AH241" i="8" s="1"/>
  <c r="AJ241" i="8"/>
  <c r="AD463" i="7"/>
  <c r="AH462" i="7"/>
  <c r="AF243" i="7"/>
  <c r="AG130" i="8"/>
  <c r="AI130" i="8" s="1"/>
  <c r="AE628" i="8"/>
  <c r="AI296" i="8"/>
  <c r="D2892" i="6" l="1"/>
  <c r="B2893" i="6"/>
  <c r="E2892" i="6"/>
  <c r="C2893" i="6" s="1"/>
  <c r="B2691" i="6"/>
  <c r="E2690" i="6"/>
  <c r="D2690" i="6"/>
  <c r="C2691" i="6"/>
  <c r="AH243" i="7"/>
  <c r="C2824" i="6"/>
  <c r="AG1013" i="8"/>
  <c r="AJ1013" i="8"/>
  <c r="AF1013" i="8"/>
  <c r="AH1013" i="8" s="1"/>
  <c r="AF784" i="8"/>
  <c r="AG784" i="8"/>
  <c r="AI784" i="8" s="1"/>
  <c r="AJ133" i="12"/>
  <c r="AG133" i="12"/>
  <c r="AI133" i="12" s="1"/>
  <c r="AD409" i="8"/>
  <c r="AD688" i="8"/>
  <c r="AD352" i="8"/>
  <c r="AE352" i="8" s="1"/>
  <c r="AG352" i="8" s="1"/>
  <c r="AE406" i="7"/>
  <c r="AF406" i="7" s="1"/>
  <c r="AD901" i="7"/>
  <c r="AE901" i="7" s="1"/>
  <c r="AG901" i="7" s="1"/>
  <c r="AI628" i="7"/>
  <c r="AE188" i="12"/>
  <c r="AF188" i="12" s="1"/>
  <c r="AI743" i="8"/>
  <c r="AI514" i="7"/>
  <c r="AJ628" i="8"/>
  <c r="AG628" i="8"/>
  <c r="AI628" i="8" s="1"/>
  <c r="AF133" i="12"/>
  <c r="AI680" i="7"/>
  <c r="AF188" i="8"/>
  <c r="AH188" i="8" s="1"/>
  <c r="AJ188" i="8"/>
  <c r="AG955" i="8"/>
  <c r="AI955" i="8" s="1"/>
  <c r="AJ955" i="8"/>
  <c r="AJ352" i="7"/>
  <c r="AG352" i="7"/>
  <c r="AI243" i="7"/>
  <c r="AE243" i="12"/>
  <c r="AI241" i="8"/>
  <c r="AD788" i="7"/>
  <c r="AE788" i="7" s="1"/>
  <c r="AJ784" i="8"/>
  <c r="AG572" i="8"/>
  <c r="AJ572" i="8"/>
  <c r="AF572" i="8"/>
  <c r="AH572" i="8" s="1"/>
  <c r="AE463" i="7"/>
  <c r="AE516" i="8"/>
  <c r="AI460" i="8"/>
  <c r="AF737" i="7"/>
  <c r="AH737" i="7" s="1"/>
  <c r="AJ737" i="7"/>
  <c r="AI849" i="7"/>
  <c r="AH130" i="8"/>
  <c r="AF352" i="7"/>
  <c r="AH352" i="7" s="1"/>
  <c r="AD297" i="7"/>
  <c r="AE297" i="7" s="1"/>
  <c r="AG297" i="7" s="1"/>
  <c r="AE185" i="7"/>
  <c r="AF185" i="7" s="1"/>
  <c r="AF628" i="8"/>
  <c r="AD131" i="8"/>
  <c r="AG131" i="7"/>
  <c r="AJ131" i="7"/>
  <c r="AF131" i="7"/>
  <c r="AH131" i="7" s="1"/>
  <c r="AH687" i="8"/>
  <c r="AH408" i="8"/>
  <c r="AG1067" i="8"/>
  <c r="AI1067" i="8" s="1"/>
  <c r="AJ1067" i="8"/>
  <c r="AD297" i="8"/>
  <c r="AE297" i="8" s="1"/>
  <c r="AD293" i="12"/>
  <c r="AE293" i="12" s="1"/>
  <c r="AG293" i="12" s="1"/>
  <c r="AJ900" i="8"/>
  <c r="AG900" i="8"/>
  <c r="AI900" i="8" s="1"/>
  <c r="AJ572" i="7"/>
  <c r="AG572" i="7"/>
  <c r="AI572" i="7" s="1"/>
  <c r="AA886" i="8"/>
  <c r="W887" i="8" s="1"/>
  <c r="AD836" i="8" s="1"/>
  <c r="D2691" i="6" l="1"/>
  <c r="B2692" i="6"/>
  <c r="E2691" i="6"/>
  <c r="D2893" i="6"/>
  <c r="E2893" i="6"/>
  <c r="B2894" i="6"/>
  <c r="F44" i="6" s="1"/>
  <c r="E2824" i="6"/>
  <c r="B2825" i="6"/>
  <c r="D2824" i="6"/>
  <c r="AI737" i="7"/>
  <c r="AJ185" i="7"/>
  <c r="AG185" i="7"/>
  <c r="AI185" i="7" s="1"/>
  <c r="AG463" i="7"/>
  <c r="AJ463" i="7"/>
  <c r="AD738" i="7"/>
  <c r="AE738" i="7" s="1"/>
  <c r="AF463" i="7"/>
  <c r="AH838" i="8"/>
  <c r="AE409" i="8"/>
  <c r="AI572" i="8"/>
  <c r="AD901" i="8"/>
  <c r="AJ788" i="7"/>
  <c r="AF788" i="7"/>
  <c r="AD242" i="8"/>
  <c r="AE242" i="8" s="1"/>
  <c r="AG242" i="8" s="1"/>
  <c r="AJ516" i="8"/>
  <c r="AG516" i="8"/>
  <c r="AD1068" i="8"/>
  <c r="AD629" i="7"/>
  <c r="AE629" i="7" s="1"/>
  <c r="AG629" i="7" s="1"/>
  <c r="AD573" i="7"/>
  <c r="AD681" i="7"/>
  <c r="AE681" i="7" s="1"/>
  <c r="AG681" i="7" s="1"/>
  <c r="AH572" i="7"/>
  <c r="AI188" i="8"/>
  <c r="AF297" i="8"/>
  <c r="AJ297" i="8"/>
  <c r="AJ297" i="7"/>
  <c r="AF297" i="7"/>
  <c r="AH297" i="7" s="1"/>
  <c r="AE131" i="8"/>
  <c r="AJ901" i="7"/>
  <c r="AF901" i="7"/>
  <c r="AH901" i="7" s="1"/>
  <c r="AH133" i="12"/>
  <c r="AI131" i="7"/>
  <c r="AG406" i="7"/>
  <c r="AI406" i="7" s="1"/>
  <c r="AJ406" i="7"/>
  <c r="AD629" i="8"/>
  <c r="AH1067" i="8"/>
  <c r="AG243" i="12"/>
  <c r="AJ243" i="12"/>
  <c r="AD515" i="7"/>
  <c r="AE515" i="7" s="1"/>
  <c r="AG515" i="7" s="1"/>
  <c r="AG297" i="8"/>
  <c r="AI297" i="8" s="1"/>
  <c r="AH628" i="8"/>
  <c r="AD244" i="7"/>
  <c r="AE244" i="7" s="1"/>
  <c r="AG244" i="7" s="1"/>
  <c r="AI1013" i="8"/>
  <c r="AJ188" i="12"/>
  <c r="AG188" i="12"/>
  <c r="AI188" i="12" s="1"/>
  <c r="AF516" i="8"/>
  <c r="AD956" i="8"/>
  <c r="AE688" i="8"/>
  <c r="AF688" i="8" s="1"/>
  <c r="AD134" i="12"/>
  <c r="AD850" i="7"/>
  <c r="AE850" i="7" s="1"/>
  <c r="AD785" i="8"/>
  <c r="AG788" i="7"/>
  <c r="AH784" i="8"/>
  <c r="AJ293" i="12"/>
  <c r="AF293" i="12"/>
  <c r="AH293" i="12" s="1"/>
  <c r="AF243" i="12"/>
  <c r="AH900" i="8"/>
  <c r="AD461" i="8"/>
  <c r="AE461" i="8" s="1"/>
  <c r="AI352" i="7"/>
  <c r="AD744" i="8"/>
  <c r="AE744" i="8" s="1"/>
  <c r="AG744" i="8" s="1"/>
  <c r="AJ352" i="8"/>
  <c r="AF352" i="8"/>
  <c r="AH352" i="8" s="1"/>
  <c r="AH955" i="8"/>
  <c r="AH788" i="7" l="1"/>
  <c r="AI293" i="12"/>
  <c r="AH243" i="12"/>
  <c r="AI516" i="8"/>
  <c r="AD517" i="8" s="1"/>
  <c r="AH188" i="12"/>
  <c r="C2825" i="6"/>
  <c r="AH463" i="7"/>
  <c r="C2692" i="6"/>
  <c r="AJ738" i="7"/>
  <c r="AG738" i="7"/>
  <c r="AF738" i="7"/>
  <c r="AH738" i="7" s="1"/>
  <c r="AD1014" i="8"/>
  <c r="AE1014" i="8" s="1"/>
  <c r="AG1014" i="8" s="1"/>
  <c r="AD189" i="8"/>
  <c r="AE189" i="8" s="1"/>
  <c r="AG189" i="8" s="1"/>
  <c r="AI838" i="8"/>
  <c r="AD353" i="7"/>
  <c r="AE353" i="7" s="1"/>
  <c r="AG353" i="7" s="1"/>
  <c r="AJ242" i="8"/>
  <c r="AF242" i="8"/>
  <c r="AH242" i="8" s="1"/>
  <c r="AF461" i="8"/>
  <c r="AJ461" i="8"/>
  <c r="AE629" i="8"/>
  <c r="AD294" i="12"/>
  <c r="AE294" i="12" s="1"/>
  <c r="AE901" i="8"/>
  <c r="AF515" i="7"/>
  <c r="AH515" i="7" s="1"/>
  <c r="AJ515" i="7"/>
  <c r="AI297" i="7"/>
  <c r="AD573" i="8"/>
  <c r="AE573" i="8" s="1"/>
  <c r="AG573" i="8" s="1"/>
  <c r="AH406" i="7"/>
  <c r="AE134" i="12"/>
  <c r="AF850" i="7"/>
  <c r="AH850" i="7" s="1"/>
  <c r="AJ850" i="7"/>
  <c r="AJ744" i="8"/>
  <c r="AF744" i="8"/>
  <c r="AH744" i="8" s="1"/>
  <c r="AG850" i="7"/>
  <c r="AJ131" i="8"/>
  <c r="AG131" i="8"/>
  <c r="AD298" i="8"/>
  <c r="AI463" i="7"/>
  <c r="AJ688" i="8"/>
  <c r="AG688" i="8"/>
  <c r="AI688" i="8" s="1"/>
  <c r="AI243" i="12"/>
  <c r="AF629" i="7"/>
  <c r="AH629" i="7" s="1"/>
  <c r="AJ629" i="7"/>
  <c r="AE785" i="8"/>
  <c r="AH516" i="8"/>
  <c r="AH297" i="8"/>
  <c r="AG409" i="8"/>
  <c r="AJ409" i="8"/>
  <c r="AH185" i="7"/>
  <c r="AD132" i="7"/>
  <c r="AE132" i="7" s="1"/>
  <c r="AG132" i="7" s="1"/>
  <c r="AI352" i="8"/>
  <c r="AE573" i="7"/>
  <c r="AJ244" i="7"/>
  <c r="AF244" i="7"/>
  <c r="AH244" i="7" s="1"/>
  <c r="AF131" i="8"/>
  <c r="AH131" i="8" s="1"/>
  <c r="AG461" i="8"/>
  <c r="AI461" i="8" s="1"/>
  <c r="AJ681" i="7"/>
  <c r="AF681" i="7"/>
  <c r="AH681" i="7" s="1"/>
  <c r="AD186" i="7"/>
  <c r="AE1068" i="8"/>
  <c r="AE956" i="8"/>
  <c r="AF956" i="8" s="1"/>
  <c r="AI788" i="7"/>
  <c r="AD189" i="12"/>
  <c r="AE189" i="12" s="1"/>
  <c r="AD407" i="7"/>
  <c r="AF409" i="8"/>
  <c r="AI901" i="7"/>
  <c r="AH409" i="8" l="1"/>
  <c r="AI681" i="7"/>
  <c r="AI629" i="7"/>
  <c r="AD630" i="7" s="1"/>
  <c r="AE630" i="7" s="1"/>
  <c r="AJ630" i="7" s="1"/>
  <c r="E2825" i="6"/>
  <c r="B2826" i="6"/>
  <c r="D2825" i="6"/>
  <c r="C2826" i="6" s="1"/>
  <c r="AI515" i="7"/>
  <c r="E2692" i="6"/>
  <c r="D2692" i="6"/>
  <c r="B2693" i="6"/>
  <c r="AF189" i="12"/>
  <c r="AG189" i="12"/>
  <c r="AI189" i="12" s="1"/>
  <c r="AJ189" i="12"/>
  <c r="AG294" i="12"/>
  <c r="AJ294" i="12"/>
  <c r="AF294" i="12"/>
  <c r="AH294" i="12" s="1"/>
  <c r="AJ132" i="7"/>
  <c r="AF132" i="7"/>
  <c r="AH132" i="7" s="1"/>
  <c r="AE186" i="7"/>
  <c r="AD682" i="7"/>
  <c r="AE682" i="7" s="1"/>
  <c r="AI409" i="8"/>
  <c r="AD789" i="7"/>
  <c r="AE789" i="7" s="1"/>
  <c r="AG789" i="7" s="1"/>
  <c r="AE298" i="8"/>
  <c r="AF298" i="8" s="1"/>
  <c r="AE407" i="7"/>
  <c r="AF407" i="7" s="1"/>
  <c r="AI1014" i="8"/>
  <c r="AG785" i="8"/>
  <c r="AI785" i="8" s="1"/>
  <c r="AJ785" i="8"/>
  <c r="AJ573" i="7"/>
  <c r="AG573" i="7"/>
  <c r="AI242" i="8"/>
  <c r="AF573" i="7"/>
  <c r="AH573" i="7" s="1"/>
  <c r="AI850" i="7"/>
  <c r="AJ353" i="7"/>
  <c r="AF353" i="7"/>
  <c r="AH353" i="7" s="1"/>
  <c r="AI738" i="7"/>
  <c r="AD689" i="8"/>
  <c r="AJ134" i="12"/>
  <c r="AG134" i="12"/>
  <c r="AD516" i="7"/>
  <c r="AE516" i="7" s="1"/>
  <c r="AF189" i="8"/>
  <c r="AH189" i="8" s="1"/>
  <c r="AJ189" i="8"/>
  <c r="AG629" i="8"/>
  <c r="AJ629" i="8"/>
  <c r="AE517" i="8"/>
  <c r="AF517" i="8" s="1"/>
  <c r="AF629" i="8"/>
  <c r="AH629" i="8" s="1"/>
  <c r="AI131" i="8"/>
  <c r="AH461" i="8"/>
  <c r="AD298" i="7"/>
  <c r="AE298" i="7" s="1"/>
  <c r="AG298" i="7" s="1"/>
  <c r="AD353" i="8"/>
  <c r="AE353" i="8" s="1"/>
  <c r="AI744" i="8"/>
  <c r="AD244" i="12"/>
  <c r="AE244" i="12" s="1"/>
  <c r="AG244" i="12" s="1"/>
  <c r="AG901" i="8"/>
  <c r="AJ901" i="8"/>
  <c r="AF901" i="8"/>
  <c r="AH901" i="8" s="1"/>
  <c r="AF134" i="12"/>
  <c r="AJ838" i="8"/>
  <c r="AD462" i="8"/>
  <c r="AD464" i="7"/>
  <c r="AE464" i="7" s="1"/>
  <c r="AJ956" i="8"/>
  <c r="AG956" i="8"/>
  <c r="AI956" i="8" s="1"/>
  <c r="AI573" i="8"/>
  <c r="AJ573" i="8"/>
  <c r="AF573" i="8"/>
  <c r="AH573" i="8" s="1"/>
  <c r="AJ1014" i="8"/>
  <c r="AF1014" i="8"/>
  <c r="AH1014" i="8" s="1"/>
  <c r="AI244" i="7"/>
  <c r="AF785" i="8"/>
  <c r="AJ1068" i="8"/>
  <c r="AG1068" i="8"/>
  <c r="AF1068" i="8"/>
  <c r="AH1068" i="8" s="1"/>
  <c r="AI353" i="7"/>
  <c r="AD902" i="7"/>
  <c r="AE902" i="7" s="1"/>
  <c r="AH688" i="8"/>
  <c r="AI189" i="8" l="1"/>
  <c r="AH189" i="12"/>
  <c r="C2693" i="6"/>
  <c r="AI134" i="12"/>
  <c r="B2827" i="6"/>
  <c r="D2826" i="6"/>
  <c r="E2826" i="6"/>
  <c r="AF516" i="7"/>
  <c r="AG516" i="7"/>
  <c r="AI516" i="7" s="1"/>
  <c r="AJ516" i="7"/>
  <c r="AJ682" i="7"/>
  <c r="AG682" i="7"/>
  <c r="AF682" i="7"/>
  <c r="AH682" i="7" s="1"/>
  <c r="AJ902" i="7"/>
  <c r="AF902" i="7"/>
  <c r="AH902" i="7" s="1"/>
  <c r="AD354" i="7"/>
  <c r="AE354" i="7" s="1"/>
  <c r="AE462" i="8"/>
  <c r="AD745" i="8"/>
  <c r="AE745" i="8" s="1"/>
  <c r="AF353" i="8"/>
  <c r="AJ353" i="8"/>
  <c r="AD739" i="7"/>
  <c r="AE739" i="7" s="1"/>
  <c r="AI294" i="12"/>
  <c r="AI629" i="8"/>
  <c r="AD190" i="12"/>
  <c r="AF464" i="7"/>
  <c r="AH464" i="7" s="1"/>
  <c r="AJ464" i="7"/>
  <c r="AI573" i="7"/>
  <c r="AF630" i="7"/>
  <c r="AH630" i="7" s="1"/>
  <c r="AD135" i="12"/>
  <c r="AD132" i="8"/>
  <c r="AE132" i="8" s="1"/>
  <c r="AG132" i="8" s="1"/>
  <c r="AD786" i="8"/>
  <c r="AI1068" i="8"/>
  <c r="AJ517" i="8"/>
  <c r="AG517" i="8"/>
  <c r="AI517" i="8" s="1"/>
  <c r="AI132" i="7"/>
  <c r="AD190" i="8"/>
  <c r="AE190" i="8" s="1"/>
  <c r="AH134" i="12"/>
  <c r="AG630" i="7"/>
  <c r="AF298" i="7"/>
  <c r="AH298" i="7" s="1"/>
  <c r="AJ298" i="7"/>
  <c r="AJ789" i="7"/>
  <c r="AF789" i="7"/>
  <c r="AH789" i="7" s="1"/>
  <c r="AE190" i="12"/>
  <c r="AJ190" i="12" s="1"/>
  <c r="AD957" i="8"/>
  <c r="AG902" i="7"/>
  <c r="AD243" i="8"/>
  <c r="AE243" i="8" s="1"/>
  <c r="AG243" i="8" s="1"/>
  <c r="AG186" i="7"/>
  <c r="AJ186" i="7"/>
  <c r="AG464" i="7"/>
  <c r="AF186" i="7"/>
  <c r="AJ244" i="12"/>
  <c r="AF244" i="12"/>
  <c r="AH244" i="12" s="1"/>
  <c r="AD1015" i="8"/>
  <c r="AE1015" i="8" s="1"/>
  <c r="AD839" i="8"/>
  <c r="AE839" i="8" s="1"/>
  <c r="AH785" i="8"/>
  <c r="AJ407" i="7"/>
  <c r="AG407" i="7"/>
  <c r="AI407" i="7" s="1"/>
  <c r="AD245" i="7"/>
  <c r="AE245" i="7" s="1"/>
  <c r="AG245" i="7" s="1"/>
  <c r="AG353" i="8"/>
  <c r="AJ298" i="8"/>
  <c r="AG298" i="8"/>
  <c r="AI298" i="8" s="1"/>
  <c r="AE689" i="8"/>
  <c r="AD574" i="8"/>
  <c r="AE574" i="8" s="1"/>
  <c r="AI901" i="8"/>
  <c r="AD851" i="7"/>
  <c r="AE851" i="7" s="1"/>
  <c r="AG851" i="7" s="1"/>
  <c r="AD410" i="8"/>
  <c r="AE410" i="8" s="1"/>
  <c r="AH956" i="8"/>
  <c r="C2827" i="6" l="1"/>
  <c r="AH186" i="7"/>
  <c r="E2827" i="6"/>
  <c r="D2827" i="6"/>
  <c r="B2828" i="6"/>
  <c r="E44" i="6" s="1"/>
  <c r="AH353" i="8"/>
  <c r="E2693" i="6"/>
  <c r="B2694" i="6"/>
  <c r="D2693" i="6"/>
  <c r="C2694" i="6" s="1"/>
  <c r="AF190" i="8"/>
  <c r="AG190" i="8"/>
  <c r="AI190" i="8" s="1"/>
  <c r="AJ190" i="8"/>
  <c r="AF574" i="8"/>
  <c r="AJ574" i="8"/>
  <c r="AG574" i="8"/>
  <c r="AI574" i="8" s="1"/>
  <c r="AG1015" i="8"/>
  <c r="AJ1015" i="8"/>
  <c r="AF1015" i="8"/>
  <c r="AG354" i="7"/>
  <c r="AJ354" i="7"/>
  <c r="AF354" i="7"/>
  <c r="AH354" i="7" s="1"/>
  <c r="AF839" i="8"/>
  <c r="AG839" i="8"/>
  <c r="AI839" i="8" s="1"/>
  <c r="AJ839" i="8"/>
  <c r="AD133" i="7"/>
  <c r="AE133" i="7" s="1"/>
  <c r="AG689" i="8"/>
  <c r="AJ689" i="8"/>
  <c r="AF190" i="12"/>
  <c r="AD299" i="8"/>
  <c r="AG190" i="12"/>
  <c r="AI190" i="12" s="1"/>
  <c r="AI464" i="7"/>
  <c r="AH516" i="7"/>
  <c r="AI630" i="7"/>
  <c r="AF132" i="8"/>
  <c r="AH132" i="8" s="1"/>
  <c r="AJ132" i="8"/>
  <c r="AG462" i="8"/>
  <c r="AJ462" i="8"/>
  <c r="AH298" i="8"/>
  <c r="AF739" i="7"/>
  <c r="AJ739" i="7"/>
  <c r="AG739" i="7"/>
  <c r="AH517" i="8"/>
  <c r="AE957" i="8"/>
  <c r="AF957" i="8" s="1"/>
  <c r="AF410" i="8"/>
  <c r="AH410" i="8" s="1"/>
  <c r="AJ410" i="8"/>
  <c r="AI353" i="8"/>
  <c r="AJ245" i="7"/>
  <c r="AF245" i="7"/>
  <c r="AH245" i="7" s="1"/>
  <c r="AI298" i="7"/>
  <c r="AI244" i="12"/>
  <c r="AI789" i="7"/>
  <c r="AE786" i="8"/>
  <c r="AI902" i="7"/>
  <c r="AE135" i="12"/>
  <c r="AD295" i="12"/>
  <c r="AE295" i="12" s="1"/>
  <c r="AF462" i="8"/>
  <c r="AH462" i="8" s="1"/>
  <c r="AD574" i="7"/>
  <c r="AE574" i="7" s="1"/>
  <c r="AD518" i="8"/>
  <c r="AF689" i="8"/>
  <c r="AI682" i="7"/>
  <c r="AF745" i="8"/>
  <c r="AH745" i="8" s="1"/>
  <c r="AJ745" i="8"/>
  <c r="AD1069" i="8"/>
  <c r="AE1069" i="8" s="1"/>
  <c r="AG1069" i="8" s="1"/>
  <c r="AD630" i="8"/>
  <c r="AE630" i="8" s="1"/>
  <c r="AG630" i="8" s="1"/>
  <c r="AG745" i="8"/>
  <c r="AD517" i="7"/>
  <c r="AG410" i="8"/>
  <c r="AJ851" i="7"/>
  <c r="AF851" i="7"/>
  <c r="AH851" i="7" s="1"/>
  <c r="AI186" i="7"/>
  <c r="AD408" i="7"/>
  <c r="AJ243" i="8"/>
  <c r="AF243" i="8"/>
  <c r="AH243" i="8" s="1"/>
  <c r="AD902" i="8"/>
  <c r="AE902" i="8" s="1"/>
  <c r="AH407" i="7"/>
  <c r="AH190" i="8" l="1"/>
  <c r="AH1015" i="8"/>
  <c r="AI245" i="7"/>
  <c r="B2695" i="6"/>
  <c r="E2694" i="6"/>
  <c r="D2694" i="6"/>
  <c r="AI689" i="8"/>
  <c r="AH739" i="7"/>
  <c r="AJ574" i="7"/>
  <c r="AF574" i="7"/>
  <c r="AD840" i="8"/>
  <c r="AJ135" i="12"/>
  <c r="AG135" i="12"/>
  <c r="AI354" i="7"/>
  <c r="AD187" i="7"/>
  <c r="AE187" i="7" s="1"/>
  <c r="AF135" i="12"/>
  <c r="AD683" i="7"/>
  <c r="AE683" i="7" s="1"/>
  <c r="AJ786" i="8"/>
  <c r="AG786" i="8"/>
  <c r="AI1015" i="8"/>
  <c r="AF786" i="8"/>
  <c r="AH786" i="8" s="1"/>
  <c r="AH190" i="12"/>
  <c r="AD631" i="7"/>
  <c r="AE631" i="7" s="1"/>
  <c r="AG631" i="7" s="1"/>
  <c r="AF133" i="7"/>
  <c r="AJ133" i="7"/>
  <c r="AI243" i="8"/>
  <c r="AD246" i="7"/>
  <c r="AE246" i="7" s="1"/>
  <c r="AG246" i="7" s="1"/>
  <c r="AG133" i="7"/>
  <c r="AD465" i="7"/>
  <c r="AE465" i="7" s="1"/>
  <c r="AD191" i="8"/>
  <c r="AI1069" i="8"/>
  <c r="AF295" i="12"/>
  <c r="AH295" i="12" s="1"/>
  <c r="AJ295" i="12"/>
  <c r="AD191" i="12"/>
  <c r="AJ957" i="8"/>
  <c r="AG957" i="8"/>
  <c r="AI957" i="8" s="1"/>
  <c r="AE299" i="8"/>
  <c r="AD790" i="7"/>
  <c r="AE790" i="7" s="1"/>
  <c r="AG790" i="7" s="1"/>
  <c r="AH689" i="8"/>
  <c r="AD245" i="12"/>
  <c r="AE245" i="12" s="1"/>
  <c r="AG245" i="12" s="1"/>
  <c r="AH574" i="8"/>
  <c r="AI745" i="8"/>
  <c r="AD299" i="7"/>
  <c r="AE299" i="7" s="1"/>
  <c r="AG299" i="7" s="1"/>
  <c r="AE408" i="7"/>
  <c r="AI132" i="8"/>
  <c r="AE518" i="8"/>
  <c r="AE191" i="8"/>
  <c r="AJ191" i="8" s="1"/>
  <c r="AF902" i="8"/>
  <c r="AH902" i="8" s="1"/>
  <c r="AJ902" i="8"/>
  <c r="AJ1069" i="8"/>
  <c r="AF1069" i="8"/>
  <c r="AH1069" i="8" s="1"/>
  <c r="AH839" i="8"/>
  <c r="AD354" i="8"/>
  <c r="AE354" i="8" s="1"/>
  <c r="AG295" i="12"/>
  <c r="AD903" i="7"/>
  <c r="AE903" i="7" s="1"/>
  <c r="AG903" i="7" s="1"/>
  <c r="AI462" i="8"/>
  <c r="AI410" i="8"/>
  <c r="AD575" i="8"/>
  <c r="AD690" i="8"/>
  <c r="AE517" i="7"/>
  <c r="AG902" i="8"/>
  <c r="AF630" i="8"/>
  <c r="AH630" i="8" s="1"/>
  <c r="AJ630" i="8"/>
  <c r="AG574" i="7"/>
  <c r="AI739" i="7"/>
  <c r="AI851" i="7"/>
  <c r="C2695" i="6" l="1"/>
  <c r="AH133" i="7"/>
  <c r="AI135" i="12"/>
  <c r="AI574" i="7"/>
  <c r="AF246" i="7"/>
  <c r="AH246" i="7" s="1"/>
  <c r="AD136" i="12"/>
  <c r="AF191" i="8"/>
  <c r="AE191" i="12"/>
  <c r="AI245" i="12"/>
  <c r="AF903" i="7"/>
  <c r="AH903" i="7" s="1"/>
  <c r="AJ903" i="7"/>
  <c r="AJ246" i="7"/>
  <c r="AD575" i="7"/>
  <c r="AE690" i="8"/>
  <c r="AJ518" i="8"/>
  <c r="AG518" i="8"/>
  <c r="AI518" i="8" s="1"/>
  <c r="AG408" i="7"/>
  <c r="AJ408" i="7"/>
  <c r="AF683" i="7"/>
  <c r="AJ683" i="7"/>
  <c r="AD958" i="8"/>
  <c r="AH574" i="7"/>
  <c r="AJ187" i="7"/>
  <c r="AF187" i="7"/>
  <c r="AI902" i="8"/>
  <c r="AG517" i="7"/>
  <c r="AJ517" i="7"/>
  <c r="AD1016" i="8"/>
  <c r="AE1016" i="8" s="1"/>
  <c r="AF465" i="7"/>
  <c r="AJ465" i="7"/>
  <c r="AG465" i="7"/>
  <c r="AI465" i="7" s="1"/>
  <c r="AF354" i="8"/>
  <c r="AJ354" i="8"/>
  <c r="AF245" i="12"/>
  <c r="AH245" i="12" s="1"/>
  <c r="AJ245" i="12"/>
  <c r="AD355" i="7"/>
  <c r="AE355" i="7" s="1"/>
  <c r="AG355" i="7"/>
  <c r="AJ631" i="7"/>
  <c r="AF631" i="7"/>
  <c r="AH631" i="7" s="1"/>
  <c r="AF790" i="7"/>
  <c r="AH790" i="7" s="1"/>
  <c r="AJ790" i="7"/>
  <c r="AD1070" i="8"/>
  <c r="AE1070" i="8" s="1"/>
  <c r="AJ1070" i="8" s="1"/>
  <c r="AF517" i="7"/>
  <c r="AF518" i="8"/>
  <c r="AG191" i="8"/>
  <c r="AF408" i="7"/>
  <c r="AG683" i="7"/>
  <c r="AJ299" i="7"/>
  <c r="AF299" i="7"/>
  <c r="AH299" i="7" s="1"/>
  <c r="AI133" i="7"/>
  <c r="AD411" i="8"/>
  <c r="AE411" i="8" s="1"/>
  <c r="AG411" i="8" s="1"/>
  <c r="AD746" i="8"/>
  <c r="AE746" i="8" s="1"/>
  <c r="AD463" i="8"/>
  <c r="AE463" i="8" s="1"/>
  <c r="AG463" i="8" s="1"/>
  <c r="AH135" i="12"/>
  <c r="AH957" i="8"/>
  <c r="AD133" i="8"/>
  <c r="AE133" i="8" s="1"/>
  <c r="AG133" i="8" s="1"/>
  <c r="AI786" i="8"/>
  <c r="AI295" i="12"/>
  <c r="AG299" i="8"/>
  <c r="AJ299" i="8"/>
  <c r="AF299" i="8"/>
  <c r="AH299" i="8" s="1"/>
  <c r="AG354" i="8"/>
  <c r="AD852" i="7"/>
  <c r="AE852" i="7" s="1"/>
  <c r="AG852" i="7" s="1"/>
  <c r="AE840" i="8"/>
  <c r="AD740" i="7"/>
  <c r="AE740" i="7" s="1"/>
  <c r="AE575" i="8"/>
  <c r="AD244" i="8"/>
  <c r="AE244" i="8" s="1"/>
  <c r="AG187" i="7"/>
  <c r="AI630" i="8"/>
  <c r="AI354" i="8" l="1"/>
  <c r="AI187" i="7"/>
  <c r="AH683" i="7"/>
  <c r="AH191" i="8"/>
  <c r="AI517" i="7"/>
  <c r="AD518" i="7" s="1"/>
  <c r="AI408" i="7"/>
  <c r="E2695" i="6"/>
  <c r="D2695" i="6"/>
  <c r="B2696" i="6"/>
  <c r="C44" i="6" s="1"/>
  <c r="AJ746" i="8"/>
  <c r="AF746" i="8"/>
  <c r="AJ191" i="12"/>
  <c r="AG191" i="12"/>
  <c r="AD134" i="7"/>
  <c r="AE134" i="7" s="1"/>
  <c r="AG134" i="7" s="1"/>
  <c r="AF191" i="12"/>
  <c r="AH191" i="12" s="1"/>
  <c r="AD903" i="8"/>
  <c r="AE903" i="8" s="1"/>
  <c r="AG903" i="8" s="1"/>
  <c r="AI683" i="7"/>
  <c r="AG575" i="8"/>
  <c r="AJ575" i="8"/>
  <c r="AF575" i="8"/>
  <c r="AH575" i="8" s="1"/>
  <c r="AI191" i="8"/>
  <c r="AH518" i="8"/>
  <c r="AF1070" i="8"/>
  <c r="AG1070" i="8"/>
  <c r="AI1070" i="8" s="1"/>
  <c r="AI246" i="7"/>
  <c r="AJ244" i="8"/>
  <c r="AF244" i="8"/>
  <c r="AH354" i="8"/>
  <c r="AF740" i="7"/>
  <c r="AJ740" i="7"/>
  <c r="AG740" i="7"/>
  <c r="AH187" i="7"/>
  <c r="AI631" i="7"/>
  <c r="AJ852" i="7"/>
  <c r="AF852" i="7"/>
  <c r="AH852" i="7" s="1"/>
  <c r="AF411" i="8"/>
  <c r="AH411" i="8" s="1"/>
  <c r="AJ411" i="8"/>
  <c r="AF355" i="7"/>
  <c r="AH355" i="7" s="1"/>
  <c r="AJ355" i="7"/>
  <c r="AD188" i="7"/>
  <c r="AD409" i="7"/>
  <c r="AI299" i="8"/>
  <c r="AD519" i="8"/>
  <c r="AG244" i="8"/>
  <c r="AI244" i="8" s="1"/>
  <c r="AH408" i="7"/>
  <c r="AI903" i="7"/>
  <c r="AG690" i="8"/>
  <c r="AJ690" i="8"/>
  <c r="AE958" i="8"/>
  <c r="AD466" i="7"/>
  <c r="AF690" i="8"/>
  <c r="AE136" i="12"/>
  <c r="AI299" i="7"/>
  <c r="AG840" i="8"/>
  <c r="AJ840" i="8"/>
  <c r="AH465" i="7"/>
  <c r="AJ1016" i="8"/>
  <c r="AF1016" i="8"/>
  <c r="AD246" i="12"/>
  <c r="AE246" i="12" s="1"/>
  <c r="AD355" i="8"/>
  <c r="AD631" i="8"/>
  <c r="AE631" i="8" s="1"/>
  <c r="AG631" i="8" s="1"/>
  <c r="AD296" i="12"/>
  <c r="AE296" i="12" s="1"/>
  <c r="AG296" i="12" s="1"/>
  <c r="AD787" i="8"/>
  <c r="AE787" i="8" s="1"/>
  <c r="AG787" i="8" s="1"/>
  <c r="AJ133" i="8"/>
  <c r="AF133" i="8"/>
  <c r="AH133" i="8" s="1"/>
  <c r="AH517" i="7"/>
  <c r="AJ463" i="8"/>
  <c r="AF463" i="8"/>
  <c r="AH463" i="8" s="1"/>
  <c r="AF840" i="8"/>
  <c r="AG746" i="8"/>
  <c r="AG1016" i="8"/>
  <c r="AE575" i="7"/>
  <c r="AI790" i="7"/>
  <c r="AI746" i="8" l="1"/>
  <c r="AH840" i="8"/>
  <c r="AJ246" i="12"/>
  <c r="AG246" i="12"/>
  <c r="AH1016" i="8"/>
  <c r="AI690" i="8"/>
  <c r="AI740" i="7"/>
  <c r="AD747" i="8"/>
  <c r="AD632" i="7"/>
  <c r="AE632" i="7" s="1"/>
  <c r="AG632" i="7" s="1"/>
  <c r="AI903" i="8"/>
  <c r="AE518" i="7"/>
  <c r="AF518" i="7" s="1"/>
  <c r="AJ631" i="8"/>
  <c r="AF631" i="8"/>
  <c r="AH631" i="8" s="1"/>
  <c r="AJ134" i="7"/>
  <c r="AF134" i="7"/>
  <c r="AH134" i="7" s="1"/>
  <c r="AH1070" i="8"/>
  <c r="AF787" i="8"/>
  <c r="AH787" i="8" s="1"/>
  <c r="AJ787" i="8"/>
  <c r="AI852" i="7"/>
  <c r="AD684" i="7"/>
  <c r="AE684" i="7" s="1"/>
  <c r="AF903" i="8"/>
  <c r="AH903" i="8" s="1"/>
  <c r="AJ903" i="8"/>
  <c r="AE409" i="7"/>
  <c r="AD245" i="8"/>
  <c r="AD741" i="7"/>
  <c r="AD247" i="7"/>
  <c r="AE247" i="7" s="1"/>
  <c r="AD300" i="8"/>
  <c r="AE300" i="8" s="1"/>
  <c r="AD1071" i="8"/>
  <c r="AD300" i="7"/>
  <c r="AE300" i="7" s="1"/>
  <c r="AG300" i="7" s="1"/>
  <c r="AG136" i="12"/>
  <c r="AJ136" i="12"/>
  <c r="AE355" i="8"/>
  <c r="AE519" i="8"/>
  <c r="AH690" i="8"/>
  <c r="AG575" i="7"/>
  <c r="AJ575" i="7"/>
  <c r="AH244" i="8"/>
  <c r="AI463" i="8"/>
  <c r="AI411" i="8"/>
  <c r="AD691" i="8"/>
  <c r="AD904" i="7"/>
  <c r="AE904" i="7" s="1"/>
  <c r="AE466" i="7"/>
  <c r="AE188" i="7"/>
  <c r="AI840" i="8"/>
  <c r="AH740" i="7"/>
  <c r="AI191" i="12"/>
  <c r="AD791" i="7"/>
  <c r="AE791" i="7" s="1"/>
  <c r="AG791" i="7" s="1"/>
  <c r="AF136" i="12"/>
  <c r="AI133" i="8"/>
  <c r="AH746" i="8"/>
  <c r="AF296" i="12"/>
  <c r="AH296" i="12" s="1"/>
  <c r="AJ296" i="12"/>
  <c r="AD192" i="8"/>
  <c r="AE192" i="8" s="1"/>
  <c r="AG192" i="8" s="1"/>
  <c r="AF575" i="7"/>
  <c r="AH575" i="7" s="1"/>
  <c r="AI1016" i="8"/>
  <c r="AF246" i="12"/>
  <c r="AH246" i="12" s="1"/>
  <c r="AG958" i="8"/>
  <c r="AJ958" i="8"/>
  <c r="AI355" i="7"/>
  <c r="AF958" i="8"/>
  <c r="AI575" i="8"/>
  <c r="AI134" i="7" l="1"/>
  <c r="AH136" i="12"/>
  <c r="AI296" i="12"/>
  <c r="AH958" i="8"/>
  <c r="AI631" i="8"/>
  <c r="AD632" i="8" s="1"/>
  <c r="AE632" i="8" s="1"/>
  <c r="AI246" i="12"/>
  <c r="AG466" i="7"/>
  <c r="AJ466" i="7"/>
  <c r="AJ904" i="7"/>
  <c r="AF904" i="7"/>
  <c r="AI136" i="12"/>
  <c r="AD247" i="12"/>
  <c r="AE247" i="12" s="1"/>
  <c r="AJ247" i="12" s="1"/>
  <c r="AD904" i="8"/>
  <c r="AE904" i="8" s="1"/>
  <c r="AJ300" i="7"/>
  <c r="AF300" i="7"/>
  <c r="AH300" i="7" s="1"/>
  <c r="AI958" i="8"/>
  <c r="AD412" i="8"/>
  <c r="AE412" i="8" s="1"/>
  <c r="AG412" i="8" s="1"/>
  <c r="AF300" i="8"/>
  <c r="AJ300" i="8"/>
  <c r="AI787" i="8"/>
  <c r="AF684" i="7"/>
  <c r="AJ684" i="7"/>
  <c r="AD135" i="7"/>
  <c r="AE135" i="7" s="1"/>
  <c r="AE245" i="8"/>
  <c r="AE691" i="8"/>
  <c r="AG188" i="7"/>
  <c r="AJ188" i="7"/>
  <c r="AE747" i="8"/>
  <c r="AG355" i="8"/>
  <c r="AI355" i="8" s="1"/>
  <c r="AJ355" i="8"/>
  <c r="AD134" i="8"/>
  <c r="AE134" i="8" s="1"/>
  <c r="AF466" i="7"/>
  <c r="AF355" i="8"/>
  <c r="AD576" i="8"/>
  <c r="AE576" i="8" s="1"/>
  <c r="AG576" i="8"/>
  <c r="AF791" i="7"/>
  <c r="AH791" i="7" s="1"/>
  <c r="AJ791" i="7"/>
  <c r="AJ409" i="7"/>
  <c r="AG409" i="7"/>
  <c r="AG904" i="7"/>
  <c r="AF409" i="7"/>
  <c r="AD356" i="7"/>
  <c r="AE356" i="7" s="1"/>
  <c r="AG356" i="7" s="1"/>
  <c r="AD297" i="12"/>
  <c r="AE297" i="12" s="1"/>
  <c r="AG297" i="12" s="1"/>
  <c r="AD192" i="12"/>
  <c r="AE192" i="12" s="1"/>
  <c r="AG192" i="12" s="1"/>
  <c r="AE741" i="7"/>
  <c r="AF741" i="7" s="1"/>
  <c r="AF632" i="7"/>
  <c r="AH632" i="7" s="1"/>
  <c r="AJ632" i="7"/>
  <c r="AD1017" i="8"/>
  <c r="AE1017" i="8" s="1"/>
  <c r="AG1017" i="8"/>
  <c r="AD841" i="8"/>
  <c r="AE841" i="8" s="1"/>
  <c r="AG841" i="8" s="1"/>
  <c r="AD464" i="8"/>
  <c r="AE464" i="8" s="1"/>
  <c r="AG464" i="8"/>
  <c r="AG300" i="8"/>
  <c r="AI300" i="8" s="1"/>
  <c r="AE1071" i="8"/>
  <c r="AF1071" i="8" s="1"/>
  <c r="AF247" i="7"/>
  <c r="AJ247" i="7"/>
  <c r="AG684" i="7"/>
  <c r="AI684" i="7" s="1"/>
  <c r="AG247" i="7"/>
  <c r="AJ192" i="8"/>
  <c r="AF192" i="8"/>
  <c r="AH192" i="8" s="1"/>
  <c r="AI575" i="7"/>
  <c r="AD853" i="7"/>
  <c r="AE853" i="7" s="1"/>
  <c r="AG853" i="7" s="1"/>
  <c r="AJ519" i="8"/>
  <c r="AG519" i="8"/>
  <c r="AF188" i="7"/>
  <c r="AF519" i="8"/>
  <c r="AH519" i="8" s="1"/>
  <c r="AJ518" i="7"/>
  <c r="AG518" i="7"/>
  <c r="AI518" i="7" s="1"/>
  <c r="AF632" i="8" l="1"/>
  <c r="AJ632" i="8"/>
  <c r="AI192" i="8"/>
  <c r="AH188" i="7"/>
  <c r="AH904" i="7"/>
  <c r="AI409" i="7"/>
  <c r="AD410" i="7" s="1"/>
  <c r="AH466" i="7"/>
  <c r="AI247" i="7"/>
  <c r="AI632" i="7"/>
  <c r="AD633" i="7" s="1"/>
  <c r="AE633" i="7" s="1"/>
  <c r="AH1071" i="8"/>
  <c r="AG904" i="8"/>
  <c r="AF904" i="8"/>
  <c r="AH904" i="8" s="1"/>
  <c r="AJ904" i="8"/>
  <c r="AI297" i="12"/>
  <c r="AF135" i="7"/>
  <c r="AJ135" i="7"/>
  <c r="AG135" i="7"/>
  <c r="AG747" i="8"/>
  <c r="AJ747" i="8"/>
  <c r="AD685" i="7"/>
  <c r="AH247" i="7"/>
  <c r="AI300" i="7"/>
  <c r="AI188" i="7"/>
  <c r="AD788" i="8"/>
  <c r="AE788" i="8" s="1"/>
  <c r="AF297" i="12"/>
  <c r="AH297" i="12" s="1"/>
  <c r="AD301" i="8"/>
  <c r="AI519" i="8"/>
  <c r="AJ691" i="8"/>
  <c r="AG691" i="8"/>
  <c r="AH355" i="8"/>
  <c r="AJ297" i="12"/>
  <c r="AF841" i="8"/>
  <c r="AH841" i="8" s="1"/>
  <c r="AJ841" i="8"/>
  <c r="AF412" i="8"/>
  <c r="AH412" i="8" s="1"/>
  <c r="AJ412" i="8"/>
  <c r="AD576" i="7"/>
  <c r="AE576" i="7" s="1"/>
  <c r="AG576" i="7" s="1"/>
  <c r="AJ1017" i="8"/>
  <c r="AF1017" i="8"/>
  <c r="AH1017" i="8" s="1"/>
  <c r="AG632" i="8"/>
  <c r="AI632" i="8" s="1"/>
  <c r="AH409" i="7"/>
  <c r="AG245" i="8"/>
  <c r="AJ245" i="8"/>
  <c r="AI466" i="7"/>
  <c r="AD248" i="7"/>
  <c r="AD356" i="8"/>
  <c r="AF247" i="12"/>
  <c r="AH247" i="12" s="1"/>
  <c r="AD519" i="7"/>
  <c r="AF747" i="8"/>
  <c r="AJ741" i="7"/>
  <c r="AG741" i="7"/>
  <c r="AI741" i="7" s="1"/>
  <c r="AJ1071" i="8"/>
  <c r="AG1071" i="8"/>
  <c r="AI1071" i="8" s="1"/>
  <c r="AH684" i="7"/>
  <c r="AG247" i="12"/>
  <c r="AF192" i="12"/>
  <c r="AH192" i="12" s="1"/>
  <c r="AJ192" i="12"/>
  <c r="AD137" i="12"/>
  <c r="AE137" i="12" s="1"/>
  <c r="AG137" i="12" s="1"/>
  <c r="AF576" i="8"/>
  <c r="AH576" i="8" s="1"/>
  <c r="AJ576" i="8"/>
  <c r="AH300" i="8"/>
  <c r="AF464" i="8"/>
  <c r="AH464" i="8" s="1"/>
  <c r="AJ464" i="8"/>
  <c r="AF691" i="8"/>
  <c r="AH691" i="8" s="1"/>
  <c r="AF134" i="8"/>
  <c r="AJ134" i="8"/>
  <c r="AD193" i="8"/>
  <c r="AE193" i="8" s="1"/>
  <c r="AF853" i="7"/>
  <c r="AH853" i="7" s="1"/>
  <c r="AJ853" i="7"/>
  <c r="AG134" i="8"/>
  <c r="AD959" i="8"/>
  <c r="AE959" i="8" s="1"/>
  <c r="AG959" i="8" s="1"/>
  <c r="AH518" i="7"/>
  <c r="AF356" i="7"/>
  <c r="AH356" i="7" s="1"/>
  <c r="AJ356" i="7"/>
  <c r="AI904" i="7"/>
  <c r="AF245" i="8"/>
  <c r="AI791" i="7"/>
  <c r="AI245" i="8" l="1"/>
  <c r="AI134" i="8"/>
  <c r="AI135" i="7"/>
  <c r="AG633" i="7"/>
  <c r="AJ633" i="7"/>
  <c r="AI356" i="7"/>
  <c r="AI841" i="8"/>
  <c r="AD842" i="8" s="1"/>
  <c r="AE842" i="8" s="1"/>
  <c r="AJ842" i="8" s="1"/>
  <c r="AI747" i="8"/>
  <c r="AF193" i="8"/>
  <c r="AJ193" i="8"/>
  <c r="AG193" i="8"/>
  <c r="AI193" i="8" s="1"/>
  <c r="AE519" i="7"/>
  <c r="AD246" i="8"/>
  <c r="AD189" i="7"/>
  <c r="AE189" i="7" s="1"/>
  <c r="AG189" i="7" s="1"/>
  <c r="AI959" i="8"/>
  <c r="AE410" i="7"/>
  <c r="AJ959" i="8"/>
  <c r="AF959" i="8"/>
  <c r="AH959" i="8" s="1"/>
  <c r="AD742" i="7"/>
  <c r="AE356" i="8"/>
  <c r="AF356" i="8" s="1"/>
  <c r="AD135" i="8"/>
  <c r="AE301" i="8"/>
  <c r="AF301" i="8" s="1"/>
  <c r="AD301" i="7"/>
  <c r="AE301" i="7" s="1"/>
  <c r="AG301" i="7" s="1"/>
  <c r="AD748" i="8"/>
  <c r="AD357" i="7"/>
  <c r="AE357" i="7" s="1"/>
  <c r="AD633" i="8"/>
  <c r="AD792" i="7"/>
  <c r="AE792" i="7" s="1"/>
  <c r="AG792" i="7" s="1"/>
  <c r="AD136" i="7"/>
  <c r="AH245" i="8"/>
  <c r="AI464" i="8"/>
  <c r="AH747" i="8"/>
  <c r="AI691" i="8"/>
  <c r="AE248" i="7"/>
  <c r="AF248" i="7" s="1"/>
  <c r="AH135" i="7"/>
  <c r="AD905" i="7"/>
  <c r="AE905" i="7" s="1"/>
  <c r="AF137" i="12"/>
  <c r="AH137" i="12" s="1"/>
  <c r="AJ137" i="12"/>
  <c r="AF576" i="7"/>
  <c r="AH576" i="7" s="1"/>
  <c r="AJ576" i="7"/>
  <c r="AD520" i="8"/>
  <c r="AE520" i="8" s="1"/>
  <c r="AG520" i="8"/>
  <c r="AD298" i="12"/>
  <c r="AE298" i="12" s="1"/>
  <c r="AI1017" i="8"/>
  <c r="AF633" i="7"/>
  <c r="AH633" i="7" s="1"/>
  <c r="AH134" i="8"/>
  <c r="AI576" i="8"/>
  <c r="AI853" i="7"/>
  <c r="AI247" i="12"/>
  <c r="AI904" i="8"/>
  <c r="AI412" i="8"/>
  <c r="AE685" i="7"/>
  <c r="AF685" i="7" s="1"/>
  <c r="AH632" i="8"/>
  <c r="AD467" i="7"/>
  <c r="AE467" i="7" s="1"/>
  <c r="AJ788" i="8"/>
  <c r="AF788" i="8"/>
  <c r="AI192" i="12"/>
  <c r="AD1072" i="8"/>
  <c r="AE1072" i="8" s="1"/>
  <c r="AF1072" i="8" s="1"/>
  <c r="AG788" i="8"/>
  <c r="AH741" i="7"/>
  <c r="AI633" i="7" l="1"/>
  <c r="AI576" i="7"/>
  <c r="AI137" i="12"/>
  <c r="AH788" i="8"/>
  <c r="AF298" i="12"/>
  <c r="AJ298" i="12"/>
  <c r="AG298" i="12"/>
  <c r="AI298" i="12" s="1"/>
  <c r="AF357" i="7"/>
  <c r="AG357" i="7"/>
  <c r="AI357" i="7" s="1"/>
  <c r="AJ357" i="7"/>
  <c r="AD1018" i="8"/>
  <c r="AE1018" i="8" s="1"/>
  <c r="AG1018" i="8" s="1"/>
  <c r="AD413" i="8"/>
  <c r="AE413" i="8" s="1"/>
  <c r="AG413" i="8" s="1"/>
  <c r="AD577" i="7"/>
  <c r="AE577" i="7" s="1"/>
  <c r="AD960" i="8"/>
  <c r="AE960" i="8" s="1"/>
  <c r="AD138" i="12"/>
  <c r="AE138" i="12" s="1"/>
  <c r="AJ189" i="7"/>
  <c r="AF189" i="7"/>
  <c r="AH189" i="7" s="1"/>
  <c r="AD248" i="12"/>
  <c r="AE248" i="12" s="1"/>
  <c r="AG248" i="12" s="1"/>
  <c r="AJ1072" i="8"/>
  <c r="AF520" i="8"/>
  <c r="AH520" i="8" s="1"/>
  <c r="AJ520" i="8"/>
  <c r="AG519" i="7"/>
  <c r="AJ519" i="7"/>
  <c r="AG1072" i="8"/>
  <c r="AI1072" i="8" s="1"/>
  <c r="AE633" i="8"/>
  <c r="AE135" i="8"/>
  <c r="AJ301" i="7"/>
  <c r="AF301" i="7"/>
  <c r="AH301" i="7" s="1"/>
  <c r="AG301" i="8"/>
  <c r="AI301" i="8" s="1"/>
  <c r="AJ301" i="8"/>
  <c r="AF467" i="7"/>
  <c r="AJ467" i="7"/>
  <c r="AD905" i="8"/>
  <c r="AE905" i="8" s="1"/>
  <c r="AG905" i="8" s="1"/>
  <c r="AG467" i="7"/>
  <c r="AI467" i="7" s="1"/>
  <c r="AG248" i="7"/>
  <c r="AI248" i="7" s="1"/>
  <c r="AJ248" i="7"/>
  <c r="AF792" i="7"/>
  <c r="AH792" i="7" s="1"/>
  <c r="AJ792" i="7"/>
  <c r="AG356" i="8"/>
  <c r="AI356" i="8" s="1"/>
  <c r="AJ356" i="8"/>
  <c r="AD854" i="7"/>
  <c r="AE854" i="7" s="1"/>
  <c r="AG854" i="7" s="1"/>
  <c r="AD692" i="8"/>
  <c r="AE692" i="8" s="1"/>
  <c r="AG692" i="8" s="1"/>
  <c r="AE742" i="7"/>
  <c r="AF742" i="7" s="1"/>
  <c r="AE748" i="8"/>
  <c r="AI788" i="8"/>
  <c r="AD577" i="8"/>
  <c r="AE577" i="8" s="1"/>
  <c r="AG577" i="8" s="1"/>
  <c r="AD465" i="8"/>
  <c r="AE465" i="8" s="1"/>
  <c r="AF842" i="8"/>
  <c r="AF519" i="7"/>
  <c r="AG842" i="8"/>
  <c r="AE246" i="8"/>
  <c r="AD634" i="7"/>
  <c r="AE634" i="7" s="1"/>
  <c r="AJ634" i="7" s="1"/>
  <c r="AF905" i="7"/>
  <c r="AJ905" i="7"/>
  <c r="AD194" i="8"/>
  <c r="AG905" i="7"/>
  <c r="AG410" i="7"/>
  <c r="AJ410" i="7"/>
  <c r="AD193" i="12"/>
  <c r="AE193" i="12" s="1"/>
  <c r="AG193" i="12" s="1"/>
  <c r="AG685" i="7"/>
  <c r="AI685" i="7" s="1"/>
  <c r="AJ685" i="7"/>
  <c r="AE136" i="7"/>
  <c r="AF410" i="7"/>
  <c r="AH193" i="8"/>
  <c r="AG960" i="8" l="1"/>
  <c r="AJ960" i="8"/>
  <c r="AH685" i="7"/>
  <c r="AH519" i="7"/>
  <c r="AI905" i="7"/>
  <c r="AD906" i="7" s="1"/>
  <c r="AI410" i="7"/>
  <c r="AD411" i="7" s="1"/>
  <c r="AH842" i="8"/>
  <c r="AH1072" i="8"/>
  <c r="AJ138" i="12"/>
  <c r="AF138" i="12"/>
  <c r="AG138" i="12"/>
  <c r="AF577" i="7"/>
  <c r="AG577" i="7"/>
  <c r="AI577" i="7" s="1"/>
  <c r="AJ577" i="7"/>
  <c r="AI1018" i="8"/>
  <c r="AD357" i="8"/>
  <c r="AJ465" i="8"/>
  <c r="AF465" i="8"/>
  <c r="AF634" i="7"/>
  <c r="AG465" i="8"/>
  <c r="AI465" i="8" s="1"/>
  <c r="AJ135" i="8"/>
  <c r="AG135" i="8"/>
  <c r="AD249" i="7"/>
  <c r="AD358" i="7"/>
  <c r="AD789" i="8"/>
  <c r="AE789" i="8" s="1"/>
  <c r="AG748" i="8"/>
  <c r="AJ748" i="8"/>
  <c r="AI189" i="7"/>
  <c r="AG136" i="7"/>
  <c r="AJ136" i="7"/>
  <c r="AG634" i="7"/>
  <c r="AF960" i="8"/>
  <c r="AH960" i="8" s="1"/>
  <c r="AD1073" i="8"/>
  <c r="AI301" i="7"/>
  <c r="AF135" i="8"/>
  <c r="AJ633" i="8"/>
  <c r="AG633" i="8"/>
  <c r="AH357" i="7"/>
  <c r="AE194" i="8"/>
  <c r="AF194" i="8" s="1"/>
  <c r="AF633" i="8"/>
  <c r="AH633" i="8" s="1"/>
  <c r="AH410" i="7"/>
  <c r="AF748" i="8"/>
  <c r="AH748" i="8" s="1"/>
  <c r="AJ742" i="7"/>
  <c r="AG742" i="7"/>
  <c r="AI742" i="7" s="1"/>
  <c r="AH356" i="8"/>
  <c r="AH467" i="7"/>
  <c r="AD686" i="7"/>
  <c r="AE686" i="7" s="1"/>
  <c r="AD299" i="12"/>
  <c r="AF692" i="8"/>
  <c r="AH692" i="8" s="1"/>
  <c r="AJ692" i="8"/>
  <c r="AI519" i="7"/>
  <c r="AH298" i="12"/>
  <c r="AJ1018" i="8"/>
  <c r="AF1018" i="8"/>
  <c r="AH1018" i="8" s="1"/>
  <c r="AF577" i="8"/>
  <c r="AH577" i="8" s="1"/>
  <c r="AJ577" i="8"/>
  <c r="AJ248" i="12"/>
  <c r="AF248" i="12"/>
  <c r="AH248" i="12" s="1"/>
  <c r="AD468" i="7"/>
  <c r="AH905" i="7"/>
  <c r="AH248" i="7"/>
  <c r="AJ905" i="8"/>
  <c r="AF905" i="8"/>
  <c r="AH905" i="8" s="1"/>
  <c r="AF136" i="7"/>
  <c r="AJ246" i="8"/>
  <c r="AG246" i="8"/>
  <c r="AI520" i="8"/>
  <c r="AI792" i="7"/>
  <c r="AF246" i="8"/>
  <c r="AD302" i="8"/>
  <c r="AJ193" i="12"/>
  <c r="AF193" i="12"/>
  <c r="AH193" i="12" s="1"/>
  <c r="AI842" i="8"/>
  <c r="AF854" i="7"/>
  <c r="AH854" i="7" s="1"/>
  <c r="AJ854" i="7"/>
  <c r="AJ413" i="8"/>
  <c r="AF413" i="8"/>
  <c r="AH413" i="8" s="1"/>
  <c r="AH301" i="8"/>
  <c r="AH136" i="7" l="1"/>
  <c r="AE1073" i="8"/>
  <c r="AI634" i="7"/>
  <c r="AH246" i="8"/>
  <c r="AH138" i="12"/>
  <c r="AI135" i="8"/>
  <c r="AF1073" i="8"/>
  <c r="AG1073" i="8"/>
  <c r="AI1073" i="8" s="1"/>
  <c r="AJ1073" i="8"/>
  <c r="AG686" i="7"/>
  <c r="AF686" i="7"/>
  <c r="AH686" i="7" s="1"/>
  <c r="AJ686" i="7"/>
  <c r="AD1019" i="8"/>
  <c r="AE1019" i="8" s="1"/>
  <c r="AD466" i="8"/>
  <c r="AD843" i="8"/>
  <c r="AE843" i="8" s="1"/>
  <c r="AG843" i="8" s="1"/>
  <c r="AH634" i="7"/>
  <c r="AE249" i="7"/>
  <c r="AF249" i="7" s="1"/>
  <c r="AH465" i="8"/>
  <c r="AE906" i="7"/>
  <c r="AD302" i="7"/>
  <c r="AE302" i="7" s="1"/>
  <c r="AE299" i="12"/>
  <c r="AF299" i="12" s="1"/>
  <c r="AH742" i="7"/>
  <c r="AD793" i="7"/>
  <c r="AE793" i="7" s="1"/>
  <c r="AD521" i="8"/>
  <c r="AE521" i="8" s="1"/>
  <c r="AI246" i="8"/>
  <c r="AE358" i="7"/>
  <c r="AI633" i="8"/>
  <c r="AD635" i="7"/>
  <c r="AI577" i="8"/>
  <c r="AE357" i="8"/>
  <c r="AH577" i="7"/>
  <c r="AD190" i="7"/>
  <c r="AE190" i="7" s="1"/>
  <c r="AI960" i="8"/>
  <c r="AI413" i="8"/>
  <c r="AI905" i="8"/>
  <c r="AI748" i="8"/>
  <c r="AI138" i="12"/>
  <c r="AD136" i="8"/>
  <c r="AI692" i="8"/>
  <c r="AH135" i="8"/>
  <c r="AE468" i="7"/>
  <c r="AF468" i="7" s="1"/>
  <c r="AD578" i="7"/>
  <c r="AD743" i="7"/>
  <c r="AF789" i="8"/>
  <c r="AH789" i="8" s="1"/>
  <c r="AJ789" i="8"/>
  <c r="AG194" i="8"/>
  <c r="AI194" i="8" s="1"/>
  <c r="AJ194" i="8"/>
  <c r="AE302" i="8"/>
  <c r="AF302" i="8" s="1"/>
  <c r="AI248" i="12"/>
  <c r="AI136" i="7"/>
  <c r="AI854" i="7"/>
  <c r="AI193" i="12"/>
  <c r="AD520" i="7"/>
  <c r="AE520" i="7" s="1"/>
  <c r="AG520" i="7" s="1"/>
  <c r="AE411" i="7"/>
  <c r="AF411" i="7" s="1"/>
  <c r="AG789" i="8"/>
  <c r="AH194" i="8" l="1"/>
  <c r="AF1019" i="8"/>
  <c r="AG1019" i="8"/>
  <c r="AI1019" i="8" s="1"/>
  <c r="AJ1019" i="8"/>
  <c r="AF190" i="7"/>
  <c r="AJ190" i="7"/>
  <c r="AG357" i="8"/>
  <c r="AI357" i="8" s="1"/>
  <c r="AJ357" i="8"/>
  <c r="AE466" i="8"/>
  <c r="AI686" i="7"/>
  <c r="AD961" i="8"/>
  <c r="AE961" i="8" s="1"/>
  <c r="AG190" i="7"/>
  <c r="AG906" i="7"/>
  <c r="AJ906" i="7"/>
  <c r="AF906" i="7"/>
  <c r="AH906" i="7" s="1"/>
  <c r="AG249" i="7"/>
  <c r="AI249" i="7" s="1"/>
  <c r="AJ249" i="7"/>
  <c r="AE635" i="7"/>
  <c r="AF635" i="7" s="1"/>
  <c r="AJ302" i="8"/>
  <c r="AG302" i="8"/>
  <c r="AI302" i="8" s="1"/>
  <c r="AD749" i="8"/>
  <c r="AE749" i="8" s="1"/>
  <c r="AE743" i="7"/>
  <c r="AJ520" i="7"/>
  <c r="AF520" i="7"/>
  <c r="AH520" i="7" s="1"/>
  <c r="AF302" i="7"/>
  <c r="AJ302" i="7"/>
  <c r="AD194" i="12"/>
  <c r="AE194" i="12" s="1"/>
  <c r="AG194" i="12" s="1"/>
  <c r="AD693" i="8"/>
  <c r="AE693" i="8" s="1"/>
  <c r="AD634" i="8"/>
  <c r="AE634" i="8" s="1"/>
  <c r="AG634" i="8" s="1"/>
  <c r="AD855" i="7"/>
  <c r="AE855" i="7" s="1"/>
  <c r="AG855" i="7" s="1"/>
  <c r="AE578" i="7"/>
  <c r="AF578" i="7" s="1"/>
  <c r="AD137" i="7"/>
  <c r="AE137" i="7" s="1"/>
  <c r="AG137" i="7" s="1"/>
  <c r="AF357" i="8"/>
  <c r="AJ521" i="8"/>
  <c r="AF521" i="8"/>
  <c r="AG521" i="8"/>
  <c r="AI521" i="8" s="1"/>
  <c r="AF793" i="7"/>
  <c r="AJ793" i="7"/>
  <c r="AJ843" i="8"/>
  <c r="AF843" i="8"/>
  <c r="AH843" i="8" s="1"/>
  <c r="AD139" i="12"/>
  <c r="AE139" i="12" s="1"/>
  <c r="AI789" i="8"/>
  <c r="AD195" i="8"/>
  <c r="AE195" i="8" s="1"/>
  <c r="AF195" i="8" s="1"/>
  <c r="AD906" i="8"/>
  <c r="AE906" i="8" s="1"/>
  <c r="AG906" i="8" s="1"/>
  <c r="AD1074" i="8"/>
  <c r="AG302" i="7"/>
  <c r="AJ358" i="7"/>
  <c r="AG358" i="7"/>
  <c r="AF358" i="7"/>
  <c r="AH358" i="7" s="1"/>
  <c r="AD247" i="8"/>
  <c r="AE247" i="8" s="1"/>
  <c r="AD249" i="12"/>
  <c r="AE249" i="12" s="1"/>
  <c r="AG249" i="12" s="1"/>
  <c r="AG468" i="7"/>
  <c r="AI468" i="7" s="1"/>
  <c r="AJ468" i="7"/>
  <c r="AD578" i="8"/>
  <c r="AE578" i="8" s="1"/>
  <c r="AG578" i="8" s="1"/>
  <c r="AG793" i="7"/>
  <c r="AJ411" i="7"/>
  <c r="AG411" i="7"/>
  <c r="AI411" i="7" s="1"/>
  <c r="AE136" i="8"/>
  <c r="AD414" i="8"/>
  <c r="AE414" i="8" s="1"/>
  <c r="AG414" i="8"/>
  <c r="AJ299" i="12"/>
  <c r="AG299" i="12"/>
  <c r="AI299" i="12" s="1"/>
  <c r="AH1073" i="8"/>
  <c r="AH190" i="7" l="1"/>
  <c r="AH299" i="12"/>
  <c r="AI302" i="7"/>
  <c r="AH793" i="7"/>
  <c r="AJ414" i="8"/>
  <c r="AF414" i="8"/>
  <c r="AH414" i="8" s="1"/>
  <c r="AJ466" i="8"/>
  <c r="AG466" i="8"/>
  <c r="AI466" i="8" s="1"/>
  <c r="AF693" i="8"/>
  <c r="AJ693" i="8"/>
  <c r="AD303" i="7"/>
  <c r="AF194" i="12"/>
  <c r="AH194" i="12" s="1"/>
  <c r="AJ194" i="12"/>
  <c r="AD522" i="8"/>
  <c r="AH411" i="7"/>
  <c r="AI520" i="7"/>
  <c r="AF906" i="8"/>
  <c r="AH906" i="8" s="1"/>
  <c r="AJ906" i="8"/>
  <c r="AG743" i="7"/>
  <c r="AJ743" i="7"/>
  <c r="AJ961" i="8"/>
  <c r="AF961" i="8"/>
  <c r="AH1019" i="8"/>
  <c r="AG195" i="8"/>
  <c r="AI195" i="8" s="1"/>
  <c r="AJ578" i="7"/>
  <c r="AG578" i="7"/>
  <c r="AI578" i="7" s="1"/>
  <c r="AF743" i="7"/>
  <c r="AH743" i="7" s="1"/>
  <c r="AG961" i="8"/>
  <c r="AI961" i="8" s="1"/>
  <c r="AH468" i="7"/>
  <c r="AF247" i="8"/>
  <c r="AH247" i="8" s="1"/>
  <c r="AJ247" i="8"/>
  <c r="AJ195" i="8"/>
  <c r="AJ139" i="12"/>
  <c r="AF139" i="12"/>
  <c r="AI358" i="7"/>
  <c r="AG139" i="12"/>
  <c r="AI139" i="12" s="1"/>
  <c r="AJ136" i="8"/>
  <c r="AG136" i="8"/>
  <c r="AF466" i="8"/>
  <c r="AJ635" i="7"/>
  <c r="AG635" i="7"/>
  <c r="AI635" i="7" s="1"/>
  <c r="AD358" i="8"/>
  <c r="AD250" i="7"/>
  <c r="AF578" i="8"/>
  <c r="AH578" i="8" s="1"/>
  <c r="AJ578" i="8"/>
  <c r="AI190" i="7"/>
  <c r="AF137" i="7"/>
  <c r="AH137" i="7" s="1"/>
  <c r="AJ137" i="7"/>
  <c r="AE1074" i="8"/>
  <c r="AF1074" i="8" s="1"/>
  <c r="AJ749" i="8"/>
  <c r="AF749" i="8"/>
  <c r="AD687" i="7"/>
  <c r="AE687" i="7" s="1"/>
  <c r="AG687" i="7" s="1"/>
  <c r="AH302" i="8"/>
  <c r="AF634" i="8"/>
  <c r="AH634" i="8" s="1"/>
  <c r="AJ634" i="8"/>
  <c r="AD303" i="8"/>
  <c r="AF136" i="8"/>
  <c r="AH136" i="8" s="1"/>
  <c r="AG693" i="8"/>
  <c r="AI693" i="8" s="1"/>
  <c r="AD412" i="7"/>
  <c r="AI793" i="7"/>
  <c r="AH521" i="8"/>
  <c r="AH302" i="7"/>
  <c r="AH357" i="8"/>
  <c r="AI906" i="7"/>
  <c r="AI906" i="8"/>
  <c r="AD1020" i="8"/>
  <c r="AD469" i="7"/>
  <c r="AF249" i="12"/>
  <c r="AH249" i="12" s="1"/>
  <c r="AJ249" i="12"/>
  <c r="AD300" i="12"/>
  <c r="AE300" i="12" s="1"/>
  <c r="AG247" i="8"/>
  <c r="AD790" i="8"/>
  <c r="AE790" i="8" s="1"/>
  <c r="AF855" i="7"/>
  <c r="AH855" i="7" s="1"/>
  <c r="AJ855" i="7"/>
  <c r="AG749" i="8"/>
  <c r="AI749" i="8" s="1"/>
  <c r="AI843" i="8"/>
  <c r="AH249" i="7"/>
  <c r="AI137" i="7" l="1"/>
  <c r="AF300" i="12"/>
  <c r="AG300" i="12"/>
  <c r="AI300" i="12" s="1"/>
  <c r="AJ300" i="12"/>
  <c r="AD138" i="7"/>
  <c r="AD521" i="7"/>
  <c r="AE521" i="7" s="1"/>
  <c r="AE138" i="7"/>
  <c r="AG138" i="7" s="1"/>
  <c r="AE469" i="7"/>
  <c r="AD636" i="7"/>
  <c r="AD907" i="8"/>
  <c r="AE907" i="8" s="1"/>
  <c r="AH466" i="8"/>
  <c r="AJ1074" i="8"/>
  <c r="AG1074" i="8"/>
  <c r="AI1074" i="8" s="1"/>
  <c r="AD694" i="8"/>
  <c r="AH693" i="8"/>
  <c r="AD467" i="8"/>
  <c r="AE250" i="7"/>
  <c r="AD191" i="7"/>
  <c r="AE191" i="7" s="1"/>
  <c r="AD962" i="8"/>
  <c r="AD844" i="8"/>
  <c r="AE844" i="8" s="1"/>
  <c r="AG844" i="8" s="1"/>
  <c r="AD750" i="8"/>
  <c r="AD907" i="7"/>
  <c r="AE907" i="7" s="1"/>
  <c r="AG907" i="7" s="1"/>
  <c r="AD579" i="7"/>
  <c r="AE412" i="7"/>
  <c r="AE358" i="8"/>
  <c r="AD196" i="8"/>
  <c r="AF790" i="8"/>
  <c r="AJ790" i="8"/>
  <c r="AE303" i="7"/>
  <c r="AI136" i="8"/>
  <c r="AE1020" i="8"/>
  <c r="AI414" i="8"/>
  <c r="AG790" i="8"/>
  <c r="AE522" i="8"/>
  <c r="AH961" i="8"/>
  <c r="AI247" i="8"/>
  <c r="AE303" i="8"/>
  <c r="AD140" i="12"/>
  <c r="AH195" i="8"/>
  <c r="AD794" i="7"/>
  <c r="AE794" i="7" s="1"/>
  <c r="AG794" i="7" s="1"/>
  <c r="AD359" i="7"/>
  <c r="AE359" i="7" s="1"/>
  <c r="AH635" i="7"/>
  <c r="AF687" i="7"/>
  <c r="AH687" i="7" s="1"/>
  <c r="AJ687" i="7"/>
  <c r="AH139" i="12"/>
  <c r="AI743" i="7"/>
  <c r="AI634" i="8"/>
  <c r="AH578" i="7"/>
  <c r="AH749" i="8"/>
  <c r="AI249" i="12"/>
  <c r="AI194" i="12"/>
  <c r="AI855" i="7"/>
  <c r="AI578" i="8"/>
  <c r="AI687" i="7" l="1"/>
  <c r="AH300" i="12"/>
  <c r="AI790" i="8"/>
  <c r="AG907" i="8"/>
  <c r="AJ907" i="8"/>
  <c r="AF907" i="8"/>
  <c r="AH907" i="8" s="1"/>
  <c r="AF844" i="8"/>
  <c r="AH844" i="8" s="1"/>
  <c r="AJ844" i="8"/>
  <c r="AF138" i="7"/>
  <c r="AH138" i="7" s="1"/>
  <c r="AG522" i="8"/>
  <c r="AJ522" i="8"/>
  <c r="AJ358" i="8"/>
  <c r="AG358" i="8"/>
  <c r="AI358" i="8" s="1"/>
  <c r="AE579" i="7"/>
  <c r="AJ412" i="7"/>
  <c r="AG412" i="7"/>
  <c r="AD137" i="8"/>
  <c r="AE137" i="8" s="1"/>
  <c r="AG137" i="8" s="1"/>
  <c r="AG303" i="8"/>
  <c r="AJ303" i="8"/>
  <c r="AF303" i="8"/>
  <c r="AH303" i="8" s="1"/>
  <c r="AE636" i="7"/>
  <c r="AD248" i="8"/>
  <c r="AE248" i="8" s="1"/>
  <c r="AE694" i="8"/>
  <c r="AE962" i="8"/>
  <c r="AJ138" i="7"/>
  <c r="AD856" i="7"/>
  <c r="AE856" i="7" s="1"/>
  <c r="AG856" i="7" s="1"/>
  <c r="AD301" i="12"/>
  <c r="AE301" i="12" s="1"/>
  <c r="AJ301" i="12" s="1"/>
  <c r="AF359" i="7"/>
  <c r="AJ359" i="7"/>
  <c r="AD688" i="7"/>
  <c r="AE688" i="7" s="1"/>
  <c r="AG688" i="7" s="1"/>
  <c r="AJ794" i="7"/>
  <c r="AF794" i="7"/>
  <c r="AH794" i="7" s="1"/>
  <c r="AF522" i="8"/>
  <c r="AE467" i="8"/>
  <c r="AE750" i="8"/>
  <c r="AF750" i="8" s="1"/>
  <c r="AD791" i="8"/>
  <c r="AD415" i="8"/>
  <c r="AE415" i="8" s="1"/>
  <c r="AF358" i="8"/>
  <c r="AG1020" i="8"/>
  <c r="AJ1020" i="8"/>
  <c r="AJ250" i="7"/>
  <c r="AG250" i="7"/>
  <c r="AF412" i="7"/>
  <c r="AJ303" i="7"/>
  <c r="AG303" i="7"/>
  <c r="AF303" i="7"/>
  <c r="AH790" i="8"/>
  <c r="AJ469" i="7"/>
  <c r="AG469" i="7"/>
  <c r="AD1075" i="8"/>
  <c r="AD250" i="12"/>
  <c r="AE250" i="12" s="1"/>
  <c r="AG250" i="12"/>
  <c r="AF521" i="7"/>
  <c r="AJ521" i="7"/>
  <c r="AG521" i="7"/>
  <c r="AI521" i="7" s="1"/>
  <c r="AE196" i="8"/>
  <c r="AJ191" i="7"/>
  <c r="AF191" i="7"/>
  <c r="AD635" i="8"/>
  <c r="AE635" i="8" s="1"/>
  <c r="AG635" i="8" s="1"/>
  <c r="AG191" i="7"/>
  <c r="AD744" i="7"/>
  <c r="AE744" i="7" s="1"/>
  <c r="AG744" i="7" s="1"/>
  <c r="AF1020" i="8"/>
  <c r="AE140" i="12"/>
  <c r="AF250" i="7"/>
  <c r="AD579" i="8"/>
  <c r="AE579" i="8" s="1"/>
  <c r="AG579" i="8" s="1"/>
  <c r="AJ907" i="7"/>
  <c r="AF907" i="7"/>
  <c r="AH907" i="7" s="1"/>
  <c r="AD195" i="12"/>
  <c r="AE195" i="12" s="1"/>
  <c r="AG195" i="12" s="1"/>
  <c r="AG359" i="7"/>
  <c r="AF469" i="7"/>
  <c r="AH1074" i="8"/>
  <c r="AH1020" i="8" l="1"/>
  <c r="AH522" i="8"/>
  <c r="AH412" i="7"/>
  <c r="AH359" i="7"/>
  <c r="AI191" i="7"/>
  <c r="AD192" i="7" s="1"/>
  <c r="AH250" i="7"/>
  <c r="AI469" i="7"/>
  <c r="AI303" i="7"/>
  <c r="AG196" i="8"/>
  <c r="AJ196" i="8"/>
  <c r="AD304" i="7"/>
  <c r="AJ962" i="8"/>
  <c r="AG962" i="8"/>
  <c r="AF962" i="8"/>
  <c r="AH962" i="8" s="1"/>
  <c r="AF688" i="7"/>
  <c r="AH688" i="7" s="1"/>
  <c r="AF579" i="8"/>
  <c r="AH579" i="8" s="1"/>
  <c r="AJ579" i="8"/>
  <c r="AG579" i="7"/>
  <c r="AJ579" i="7"/>
  <c r="AF196" i="8"/>
  <c r="AG467" i="8"/>
  <c r="AJ467" i="8"/>
  <c r="AF579" i="7"/>
  <c r="AH579" i="7" s="1"/>
  <c r="AD522" i="7"/>
  <c r="AF467" i="8"/>
  <c r="AH467" i="8" s="1"/>
  <c r="AD359" i="8"/>
  <c r="AJ694" i="8"/>
  <c r="AG694" i="8"/>
  <c r="AH521" i="7"/>
  <c r="AJ688" i="7"/>
  <c r="AF694" i="8"/>
  <c r="AH694" i="8" s="1"/>
  <c r="AF248" i="8"/>
  <c r="AJ248" i="8"/>
  <c r="AI522" i="8"/>
  <c r="AG140" i="12"/>
  <c r="AJ140" i="12"/>
  <c r="AI250" i="7"/>
  <c r="AG248" i="8"/>
  <c r="AF140" i="12"/>
  <c r="AH140" i="12" s="1"/>
  <c r="AF250" i="12"/>
  <c r="AH250" i="12" s="1"/>
  <c r="AJ250" i="12"/>
  <c r="AJ636" i="7"/>
  <c r="AG636" i="7"/>
  <c r="AF636" i="7"/>
  <c r="AI1020" i="8"/>
  <c r="AI844" i="8"/>
  <c r="AF744" i="7"/>
  <c r="AH744" i="7" s="1"/>
  <c r="AJ744" i="7"/>
  <c r="AH358" i="8"/>
  <c r="AG301" i="12"/>
  <c r="AI907" i="7"/>
  <c r="AF301" i="12"/>
  <c r="AH301" i="12" s="1"/>
  <c r="AJ415" i="8"/>
  <c r="AF415" i="8"/>
  <c r="AI303" i="8"/>
  <c r="AI138" i="7"/>
  <c r="AE1075" i="8"/>
  <c r="AF1075" i="8" s="1"/>
  <c r="AD470" i="7"/>
  <c r="AG415" i="8"/>
  <c r="AH469" i="7"/>
  <c r="AF635" i="8"/>
  <c r="AH635" i="8" s="1"/>
  <c r="AJ635" i="8"/>
  <c r="AF137" i="8"/>
  <c r="AH137" i="8" s="1"/>
  <c r="AJ137" i="8"/>
  <c r="AI359" i="7"/>
  <c r="AH191" i="7"/>
  <c r="AE791" i="8"/>
  <c r="AF791" i="8" s="1"/>
  <c r="AF856" i="7"/>
  <c r="AH856" i="7" s="1"/>
  <c r="AJ856" i="7"/>
  <c r="AI412" i="7"/>
  <c r="AI907" i="8"/>
  <c r="AF195" i="12"/>
  <c r="AH195" i="12" s="1"/>
  <c r="AJ195" i="12"/>
  <c r="AH303" i="7"/>
  <c r="AJ750" i="8"/>
  <c r="AG750" i="8"/>
  <c r="AI750" i="8" s="1"/>
  <c r="AI794" i="7"/>
  <c r="AI636" i="7" l="1"/>
  <c r="AH415" i="8"/>
  <c r="AI248" i="8"/>
  <c r="AI635" i="8"/>
  <c r="AH196" i="8"/>
  <c r="AI856" i="7"/>
  <c r="AD857" i="7" s="1"/>
  <c r="AE857" i="7" s="1"/>
  <c r="AJ857" i="7" s="1"/>
  <c r="AD795" i="7"/>
  <c r="AE795" i="7" s="1"/>
  <c r="AI744" i="7"/>
  <c r="AD360" i="7"/>
  <c r="AE360" i="7" s="1"/>
  <c r="AG360" i="7" s="1"/>
  <c r="AI579" i="8"/>
  <c r="AD751" i="8"/>
  <c r="AE304" i="7"/>
  <c r="AF304" i="7" s="1"/>
  <c r="AD249" i="8"/>
  <c r="AE470" i="7"/>
  <c r="AF470" i="7" s="1"/>
  <c r="AH636" i="7"/>
  <c r="AI250" i="12"/>
  <c r="AD908" i="7"/>
  <c r="AE908" i="7" s="1"/>
  <c r="AI140" i="12"/>
  <c r="AI694" i="8"/>
  <c r="AI137" i="8"/>
  <c r="AD523" i="8"/>
  <c r="AE523" i="8" s="1"/>
  <c r="AG523" i="8" s="1"/>
  <c r="AH750" i="8"/>
  <c r="AI196" i="8"/>
  <c r="AD637" i="7"/>
  <c r="AE192" i="7"/>
  <c r="AD636" i="8"/>
  <c r="AE636" i="8" s="1"/>
  <c r="AD845" i="8"/>
  <c r="AE845" i="8" s="1"/>
  <c r="AG845" i="8" s="1"/>
  <c r="AG1075" i="8"/>
  <c r="AI1075" i="8" s="1"/>
  <c r="AJ1075" i="8"/>
  <c r="AD139" i="7"/>
  <c r="AE139" i="7" s="1"/>
  <c r="AI962" i="8"/>
  <c r="AD304" i="8"/>
  <c r="AE304" i="8" s="1"/>
  <c r="AG304" i="8" s="1"/>
  <c r="AD1021" i="8"/>
  <c r="AE1021" i="8" s="1"/>
  <c r="AD251" i="7"/>
  <c r="AE251" i="7" s="1"/>
  <c r="AG251" i="7" s="1"/>
  <c r="AI467" i="8"/>
  <c r="AD908" i="8"/>
  <c r="AE908" i="8" s="1"/>
  <c r="AG908" i="8" s="1"/>
  <c r="AD413" i="7"/>
  <c r="AE413" i="7" s="1"/>
  <c r="AG413" i="7" s="1"/>
  <c r="AI579" i="7"/>
  <c r="AI195" i="12"/>
  <c r="AE522" i="7"/>
  <c r="AF522" i="7" s="1"/>
  <c r="AI301" i="12"/>
  <c r="AI415" i="8"/>
  <c r="AE359" i="8"/>
  <c r="AG791" i="8"/>
  <c r="AI791" i="8" s="1"/>
  <c r="AJ791" i="8"/>
  <c r="AH248" i="8"/>
  <c r="AI688" i="7"/>
  <c r="AG636" i="8" l="1"/>
  <c r="AF636" i="8"/>
  <c r="AH636" i="8" s="1"/>
  <c r="AJ636" i="8"/>
  <c r="AF1021" i="8"/>
  <c r="AJ1021" i="8"/>
  <c r="AG192" i="7"/>
  <c r="AJ192" i="7"/>
  <c r="AD416" i="8"/>
  <c r="AE416" i="8" s="1"/>
  <c r="AI304" i="8"/>
  <c r="AJ139" i="7"/>
  <c r="AF139" i="7"/>
  <c r="AD695" i="8"/>
  <c r="AE695" i="8" s="1"/>
  <c r="AG695" i="8" s="1"/>
  <c r="AF908" i="7"/>
  <c r="AJ908" i="7"/>
  <c r="AG857" i="7"/>
  <c r="AJ413" i="7"/>
  <c r="AF413" i="7"/>
  <c r="AH413" i="7" s="1"/>
  <c r="AF795" i="7"/>
  <c r="AJ795" i="7"/>
  <c r="AJ360" i="7"/>
  <c r="AF360" i="7"/>
  <c r="AH360" i="7" s="1"/>
  <c r="AF523" i="8"/>
  <c r="AH523" i="8" s="1"/>
  <c r="AJ523" i="8"/>
  <c r="AD745" i="7"/>
  <c r="AE745" i="7" s="1"/>
  <c r="AG745" i="7" s="1"/>
  <c r="AD196" i="12"/>
  <c r="AE196" i="12" s="1"/>
  <c r="AG196" i="12" s="1"/>
  <c r="AD792" i="8"/>
  <c r="AG1021" i="8"/>
  <c r="AI1021" i="8" s="1"/>
  <c r="AJ359" i="8"/>
  <c r="AG359" i="8"/>
  <c r="AF359" i="8"/>
  <c r="AH359" i="8" s="1"/>
  <c r="AD251" i="12"/>
  <c r="AE251" i="12" s="1"/>
  <c r="AG251" i="12" s="1"/>
  <c r="AF192" i="7"/>
  <c r="AD302" i="12"/>
  <c r="AE302" i="12" s="1"/>
  <c r="AJ304" i="8"/>
  <c r="AF304" i="8"/>
  <c r="AH304" i="8" s="1"/>
  <c r="AH791" i="8"/>
  <c r="AJ522" i="7"/>
  <c r="AG522" i="7"/>
  <c r="AI522" i="7" s="1"/>
  <c r="AG795" i="7"/>
  <c r="AG139" i="7"/>
  <c r="AD580" i="8"/>
  <c r="AE580" i="8" s="1"/>
  <c r="AG580" i="8" s="1"/>
  <c r="AD689" i="7"/>
  <c r="AE689" i="7" s="1"/>
  <c r="AD468" i="8"/>
  <c r="AE468" i="8" s="1"/>
  <c r="AD138" i="8"/>
  <c r="AE138" i="8" s="1"/>
  <c r="AG138" i="8" s="1"/>
  <c r="AJ845" i="8"/>
  <c r="AF845" i="8"/>
  <c r="AH845" i="8" s="1"/>
  <c r="AD141" i="12"/>
  <c r="AE141" i="12" s="1"/>
  <c r="AG141" i="12" s="1"/>
  <c r="AG908" i="7"/>
  <c r="AF857" i="7"/>
  <c r="AD580" i="7"/>
  <c r="AE580" i="7" s="1"/>
  <c r="AG580" i="7" s="1"/>
  <c r="AE637" i="7"/>
  <c r="AG470" i="7"/>
  <c r="AI470" i="7" s="1"/>
  <c r="AJ470" i="7"/>
  <c r="AD963" i="8"/>
  <c r="AE963" i="8" s="1"/>
  <c r="AG963" i="8" s="1"/>
  <c r="AD197" i="8"/>
  <c r="AE197" i="8" s="1"/>
  <c r="AF908" i="8"/>
  <c r="AH908" i="8" s="1"/>
  <c r="AJ908" i="8"/>
  <c r="AE751" i="8"/>
  <c r="AE249" i="8"/>
  <c r="AF251" i="7"/>
  <c r="AH251" i="7" s="1"/>
  <c r="AJ251" i="7"/>
  <c r="AD1076" i="8"/>
  <c r="AJ304" i="7"/>
  <c r="AG304" i="7"/>
  <c r="AI304" i="7" s="1"/>
  <c r="AH1075" i="8"/>
  <c r="AH857" i="7" l="1"/>
  <c r="AI139" i="7"/>
  <c r="AI908" i="8"/>
  <c r="AI523" i="8"/>
  <c r="AH192" i="7"/>
  <c r="AI908" i="7"/>
  <c r="AD909" i="7" s="1"/>
  <c r="AH1021" i="8"/>
  <c r="AH795" i="7"/>
  <c r="AJ468" i="8"/>
  <c r="AF468" i="8"/>
  <c r="AJ416" i="8"/>
  <c r="AF416" i="8"/>
  <c r="AJ637" i="7"/>
  <c r="AG637" i="7"/>
  <c r="AI359" i="8"/>
  <c r="AD1022" i="8"/>
  <c r="AE1022" i="8" s="1"/>
  <c r="AI360" i="7"/>
  <c r="AG751" i="8"/>
  <c r="AJ751" i="8"/>
  <c r="AF141" i="12"/>
  <c r="AH141" i="12" s="1"/>
  <c r="AJ141" i="12"/>
  <c r="AF745" i="7"/>
  <c r="AH745" i="7" s="1"/>
  <c r="AJ745" i="7"/>
  <c r="AI636" i="8"/>
  <c r="AD305" i="8"/>
  <c r="AE305" i="8" s="1"/>
  <c r="AD471" i="7"/>
  <c r="AG468" i="8"/>
  <c r="AI468" i="8" s="1"/>
  <c r="AJ689" i="7"/>
  <c r="AF689" i="7"/>
  <c r="AF637" i="7"/>
  <c r="AH637" i="7" s="1"/>
  <c r="AG689" i="7"/>
  <c r="AI689" i="7" s="1"/>
  <c r="AI192" i="7"/>
  <c r="AG249" i="8"/>
  <c r="AJ249" i="8"/>
  <c r="AI795" i="7"/>
  <c r="AI857" i="7"/>
  <c r="AD523" i="7"/>
  <c r="AF751" i="8"/>
  <c r="AH908" i="7"/>
  <c r="AJ197" i="8"/>
  <c r="AF197" i="8"/>
  <c r="AI845" i="8"/>
  <c r="AH304" i="7"/>
  <c r="AJ695" i="8"/>
  <c r="AF695" i="8"/>
  <c r="AH695" i="8" s="1"/>
  <c r="AH522" i="7"/>
  <c r="AE1076" i="8"/>
  <c r="AF1076" i="8" s="1"/>
  <c r="AD305" i="7"/>
  <c r="AJ251" i="12"/>
  <c r="AF251" i="12"/>
  <c r="AH251" i="12" s="1"/>
  <c r="AG416" i="8"/>
  <c r="AF580" i="7"/>
  <c r="AH580" i="7" s="1"/>
  <c r="AJ580" i="7"/>
  <c r="AD140" i="7"/>
  <c r="AI413" i="7"/>
  <c r="AF249" i="8"/>
  <c r="AD524" i="8"/>
  <c r="AJ196" i="12"/>
  <c r="AF196" i="12"/>
  <c r="AH196" i="12" s="1"/>
  <c r="AE792" i="8"/>
  <c r="AF792" i="8" s="1"/>
  <c r="AG197" i="8"/>
  <c r="AJ302" i="12"/>
  <c r="AF302" i="12"/>
  <c r="AH139" i="7"/>
  <c r="AI251" i="7"/>
  <c r="AD909" i="8"/>
  <c r="AE909" i="8" s="1"/>
  <c r="AF580" i="8"/>
  <c r="AH580" i="8" s="1"/>
  <c r="AJ580" i="8"/>
  <c r="AJ963" i="8"/>
  <c r="AF963" i="8"/>
  <c r="AH963" i="8" s="1"/>
  <c r="AJ138" i="8"/>
  <c r="AF138" i="8"/>
  <c r="AH138" i="8" s="1"/>
  <c r="AG302" i="12"/>
  <c r="AE524" i="8"/>
  <c r="AJ524" i="8" s="1"/>
  <c r="AH470" i="7"/>
  <c r="AI249" i="8" l="1"/>
  <c r="AG305" i="8"/>
  <c r="AJ305" i="8"/>
  <c r="AI302" i="12"/>
  <c r="AD303" i="12" s="1"/>
  <c r="AH197" i="8"/>
  <c r="AI416" i="8"/>
  <c r="AH751" i="8"/>
  <c r="AJ1022" i="8"/>
  <c r="AF1022" i="8"/>
  <c r="AG1022" i="8"/>
  <c r="AI1022" i="8" s="1"/>
  <c r="AJ909" i="8"/>
  <c r="AF909" i="8"/>
  <c r="AG909" i="8"/>
  <c r="AI909" i="8" s="1"/>
  <c r="AD637" i="8"/>
  <c r="AE637" i="8" s="1"/>
  <c r="AG637" i="8" s="1"/>
  <c r="AE305" i="7"/>
  <c r="AI695" i="8"/>
  <c r="AD846" i="8"/>
  <c r="AE846" i="8" s="1"/>
  <c r="AG846" i="8" s="1"/>
  <c r="AD360" i="8"/>
  <c r="AE360" i="8" s="1"/>
  <c r="AG524" i="8"/>
  <c r="AH689" i="7"/>
  <c r="AI251" i="12"/>
  <c r="AF524" i="8"/>
  <c r="AH524" i="8" s="1"/>
  <c r="AI580" i="8"/>
  <c r="AD417" i="8"/>
  <c r="AI196" i="12"/>
  <c r="AE909" i="7"/>
  <c r="AD414" i="7"/>
  <c r="AE414" i="7" s="1"/>
  <c r="AG414" i="7" s="1"/>
  <c r="AI751" i="8"/>
  <c r="AH468" i="8"/>
  <c r="AJ792" i="8"/>
  <c r="AG792" i="8"/>
  <c r="AI792" i="8" s="1"/>
  <c r="AD193" i="7"/>
  <c r="AE193" i="7" s="1"/>
  <c r="AG193" i="7" s="1"/>
  <c r="AI138" i="8"/>
  <c r="AI745" i="7"/>
  <c r="AF305" i="8"/>
  <c r="AH305" i="8" s="1"/>
  <c r="AH249" i="8"/>
  <c r="AH302" i="12"/>
  <c r="AD858" i="7"/>
  <c r="AE858" i="7" s="1"/>
  <c r="AD361" i="7"/>
  <c r="AE361" i="7" s="1"/>
  <c r="AE471" i="7"/>
  <c r="AF471" i="7" s="1"/>
  <c r="AI197" i="8"/>
  <c r="AD796" i="7"/>
  <c r="AE796" i="7" s="1"/>
  <c r="AI963" i="8"/>
  <c r="AD250" i="8"/>
  <c r="AD690" i="7"/>
  <c r="AD469" i="8"/>
  <c r="AI637" i="7"/>
  <c r="AD252" i="7"/>
  <c r="AE252" i="7" s="1"/>
  <c r="AG252" i="7" s="1"/>
  <c r="AI141" i="12"/>
  <c r="AE140" i="7"/>
  <c r="AH416" i="8"/>
  <c r="AG1076" i="8"/>
  <c r="AI1076" i="8" s="1"/>
  <c r="AJ1076" i="8"/>
  <c r="AE523" i="7"/>
  <c r="AF523" i="7" s="1"/>
  <c r="AI580" i="7"/>
  <c r="AH792" i="8" l="1"/>
  <c r="AG305" i="7"/>
  <c r="AJ305" i="7"/>
  <c r="AD1077" i="8"/>
  <c r="AJ140" i="7"/>
  <c r="AG140" i="7"/>
  <c r="AF140" i="7"/>
  <c r="AH140" i="7" s="1"/>
  <c r="AF361" i="7"/>
  <c r="AJ361" i="7"/>
  <c r="AD910" i="8"/>
  <c r="AD142" i="12"/>
  <c r="AE142" i="12" s="1"/>
  <c r="AG142" i="12" s="1"/>
  <c r="AD638" i="7"/>
  <c r="AE638" i="7" s="1"/>
  <c r="AG638" i="7" s="1"/>
  <c r="AE303" i="12"/>
  <c r="AF303" i="12" s="1"/>
  <c r="AI846" i="8"/>
  <c r="AH1022" i="8"/>
  <c r="AD198" i="8"/>
  <c r="AE198" i="8" s="1"/>
  <c r="AG198" i="8" s="1"/>
  <c r="AD696" i="8"/>
  <c r="AE696" i="8" s="1"/>
  <c r="AG696" i="8" s="1"/>
  <c r="AD139" i="8"/>
  <c r="AE139" i="8" s="1"/>
  <c r="AG139" i="8" s="1"/>
  <c r="AD752" i="8"/>
  <c r="AE752" i="8" s="1"/>
  <c r="AG752" i="8" s="1"/>
  <c r="AF305" i="7"/>
  <c r="AJ414" i="7"/>
  <c r="AF414" i="7"/>
  <c r="AH414" i="7" s="1"/>
  <c r="AD252" i="12"/>
  <c r="AE252" i="12" s="1"/>
  <c r="AG252" i="12" s="1"/>
  <c r="AG909" i="7"/>
  <c r="AJ909" i="7"/>
  <c r="AH1076" i="8"/>
  <c r="AI524" i="8"/>
  <c r="AF360" i="8"/>
  <c r="AJ360" i="8"/>
  <c r="AJ252" i="7"/>
  <c r="AF252" i="7"/>
  <c r="AH252" i="7" s="1"/>
  <c r="AD964" i="8"/>
  <c r="AE964" i="8" s="1"/>
  <c r="AG964" i="8" s="1"/>
  <c r="AJ796" i="7"/>
  <c r="AF796" i="7"/>
  <c r="AJ846" i="8"/>
  <c r="AF846" i="8"/>
  <c r="AH846" i="8" s="1"/>
  <c r="AJ523" i="7"/>
  <c r="AG523" i="7"/>
  <c r="AI523" i="7" s="1"/>
  <c r="AD746" i="7"/>
  <c r="AE746" i="7" s="1"/>
  <c r="AJ471" i="7"/>
  <c r="AG471" i="7"/>
  <c r="AI471" i="7" s="1"/>
  <c r="AE469" i="8"/>
  <c r="AJ637" i="8"/>
  <c r="AF637" i="8"/>
  <c r="AH637" i="8" s="1"/>
  <c r="AE417" i="8"/>
  <c r="AG361" i="7"/>
  <c r="AE690" i="7"/>
  <c r="AF909" i="7"/>
  <c r="AJ858" i="7"/>
  <c r="AF858" i="7"/>
  <c r="AD197" i="12"/>
  <c r="AE197" i="12" s="1"/>
  <c r="AG197" i="12" s="1"/>
  <c r="AH909" i="8"/>
  <c r="AG858" i="7"/>
  <c r="AG360" i="8"/>
  <c r="AJ193" i="7"/>
  <c r="AF193" i="7"/>
  <c r="AH193" i="7" s="1"/>
  <c r="AD1023" i="8"/>
  <c r="AE250" i="8"/>
  <c r="AF250" i="8" s="1"/>
  <c r="AD581" i="7"/>
  <c r="AE581" i="7" s="1"/>
  <c r="AG581" i="7" s="1"/>
  <c r="AG796" i="7"/>
  <c r="AD793" i="8"/>
  <c r="AE793" i="8" s="1"/>
  <c r="AD581" i="8"/>
  <c r="AE581" i="8" s="1"/>
  <c r="AG581" i="8" s="1"/>
  <c r="AI305" i="8"/>
  <c r="AH361" i="7" l="1"/>
  <c r="AI193" i="7"/>
  <c r="AI637" i="8"/>
  <c r="AI796" i="7"/>
  <c r="AH909" i="7"/>
  <c r="AH360" i="8"/>
  <c r="AH858" i="7"/>
  <c r="AI305" i="7"/>
  <c r="AD306" i="7" s="1"/>
  <c r="AG793" i="8"/>
  <c r="AJ793" i="8"/>
  <c r="AF793" i="8"/>
  <c r="AH793" i="8" s="1"/>
  <c r="AJ197" i="12"/>
  <c r="AF197" i="12"/>
  <c r="AH197" i="12" s="1"/>
  <c r="AJ139" i="8"/>
  <c r="AF139" i="8"/>
  <c r="AH139" i="8" s="1"/>
  <c r="AI696" i="8"/>
  <c r="AJ696" i="8"/>
  <c r="AF696" i="8"/>
  <c r="AH696" i="8" s="1"/>
  <c r="AJ690" i="7"/>
  <c r="AG690" i="7"/>
  <c r="AD525" i="8"/>
  <c r="AE525" i="8" s="1"/>
  <c r="AF690" i="7"/>
  <c r="AH690" i="7" s="1"/>
  <c r="AE1077" i="8"/>
  <c r="AF1077" i="8" s="1"/>
  <c r="AI140" i="7"/>
  <c r="AD847" i="8"/>
  <c r="AG417" i="8"/>
  <c r="AJ417" i="8"/>
  <c r="AF417" i="8"/>
  <c r="AH417" i="8" s="1"/>
  <c r="AH796" i="7"/>
  <c r="AI360" i="8"/>
  <c r="AI414" i="7"/>
  <c r="AI752" i="8"/>
  <c r="AJ469" i="8"/>
  <c r="AG469" i="8"/>
  <c r="AD194" i="7"/>
  <c r="AD472" i="7"/>
  <c r="AF746" i="7"/>
  <c r="AJ746" i="7"/>
  <c r="AJ198" i="8"/>
  <c r="AF198" i="8"/>
  <c r="AH198" i="8" s="1"/>
  <c r="AI361" i="7"/>
  <c r="AE1023" i="8"/>
  <c r="AF1023" i="8" s="1"/>
  <c r="AI909" i="7"/>
  <c r="AG303" i="12"/>
  <c r="AI303" i="12" s="1"/>
  <c r="AJ303" i="12"/>
  <c r="AE847" i="8"/>
  <c r="AG847" i="8" s="1"/>
  <c r="AJ638" i="7"/>
  <c r="AF638" i="7"/>
  <c r="AH638" i="7" s="1"/>
  <c r="AD306" i="8"/>
  <c r="AE306" i="8" s="1"/>
  <c r="AG306" i="8" s="1"/>
  <c r="AJ581" i="8"/>
  <c r="AF581" i="8"/>
  <c r="AH581" i="8" s="1"/>
  <c r="AI858" i="7"/>
  <c r="AH305" i="7"/>
  <c r="AI252" i="7"/>
  <c r="AH471" i="7"/>
  <c r="AD797" i="7"/>
  <c r="AF469" i="8"/>
  <c r="AF581" i="7"/>
  <c r="AH581" i="7" s="1"/>
  <c r="AJ581" i="7"/>
  <c r="AG746" i="7"/>
  <c r="AJ250" i="8"/>
  <c r="AG250" i="8"/>
  <c r="AI250" i="8" s="1"/>
  <c r="AD524" i="7"/>
  <c r="AD638" i="8"/>
  <c r="AE638" i="8" s="1"/>
  <c r="AJ638" i="8" s="1"/>
  <c r="AJ252" i="12"/>
  <c r="AF252" i="12"/>
  <c r="AH252" i="12" s="1"/>
  <c r="AE194" i="7"/>
  <c r="AG194" i="7" s="1"/>
  <c r="AJ194" i="7"/>
  <c r="AE910" i="8"/>
  <c r="AF964" i="8"/>
  <c r="AH964" i="8" s="1"/>
  <c r="AJ964" i="8"/>
  <c r="AF752" i="8"/>
  <c r="AH752" i="8" s="1"/>
  <c r="AJ752" i="8"/>
  <c r="AJ142" i="12"/>
  <c r="AF142" i="12"/>
  <c r="AH142" i="12" s="1"/>
  <c r="AH523" i="7"/>
  <c r="AJ847" i="8" l="1"/>
  <c r="AH746" i="7"/>
  <c r="AI469" i="8"/>
  <c r="AI198" i="8"/>
  <c r="AH469" i="8"/>
  <c r="AD753" i="8"/>
  <c r="AE753" i="8" s="1"/>
  <c r="AE524" i="7"/>
  <c r="AJ525" i="8"/>
  <c r="AF525" i="8"/>
  <c r="AE472" i="7"/>
  <c r="AG525" i="8"/>
  <c r="AI525" i="8" s="1"/>
  <c r="AD253" i="7"/>
  <c r="AE253" i="7" s="1"/>
  <c r="AG253" i="7" s="1"/>
  <c r="AD304" i="12"/>
  <c r="AI793" i="8"/>
  <c r="AD251" i="8"/>
  <c r="AD910" i="7"/>
  <c r="AE910" i="7" s="1"/>
  <c r="AG910" i="7" s="1"/>
  <c r="AH250" i="8"/>
  <c r="AJ306" i="8"/>
  <c r="AF306" i="8"/>
  <c r="AH306" i="8" s="1"/>
  <c r="AD470" i="8"/>
  <c r="AD141" i="7"/>
  <c r="AE141" i="7" s="1"/>
  <c r="AF194" i="7"/>
  <c r="AH194" i="7" s="1"/>
  <c r="AJ1077" i="8"/>
  <c r="AG1077" i="8"/>
  <c r="AI1077" i="8" s="1"/>
  <c r="AD415" i="7"/>
  <c r="AE415" i="7" s="1"/>
  <c r="AG415" i="7" s="1"/>
  <c r="AI139" i="8"/>
  <c r="AF638" i="8"/>
  <c r="AH638" i="8" s="1"/>
  <c r="AI690" i="7"/>
  <c r="AG910" i="8"/>
  <c r="AJ910" i="8"/>
  <c r="AD859" i="7"/>
  <c r="AE859" i="7" s="1"/>
  <c r="AG859" i="7" s="1"/>
  <c r="AH303" i="12"/>
  <c r="AF910" i="8"/>
  <c r="AI581" i="8"/>
  <c r="AI964" i="8"/>
  <c r="AD697" i="8"/>
  <c r="AE697" i="8" s="1"/>
  <c r="AF697" i="8" s="1"/>
  <c r="AI581" i="7"/>
  <c r="AI252" i="12"/>
  <c r="AD361" i="8"/>
  <c r="AE361" i="8" s="1"/>
  <c r="AG638" i="8"/>
  <c r="AI142" i="12"/>
  <c r="AE797" i="7"/>
  <c r="AF797" i="7" s="1"/>
  <c r="AI197" i="12"/>
  <c r="AF847" i="8"/>
  <c r="AH847" i="8" s="1"/>
  <c r="AE306" i="7"/>
  <c r="AG1023" i="8"/>
  <c r="AI1023" i="8" s="1"/>
  <c r="AJ1023" i="8"/>
  <c r="AI417" i="8"/>
  <c r="AI746" i="7"/>
  <c r="AD362" i="7"/>
  <c r="AE362" i="7" s="1"/>
  <c r="AG362" i="7" s="1"/>
  <c r="AI638" i="7"/>
  <c r="AH1023" i="8" l="1"/>
  <c r="AH910" i="8"/>
  <c r="AF753" i="8"/>
  <c r="AJ753" i="8"/>
  <c r="AG753" i="8"/>
  <c r="AI753" i="8" s="1"/>
  <c r="AF361" i="8"/>
  <c r="AJ361" i="8"/>
  <c r="AD253" i="12"/>
  <c r="AE253" i="12" s="1"/>
  <c r="AF253" i="7"/>
  <c r="AH253" i="7" s="1"/>
  <c r="AJ253" i="7"/>
  <c r="AI910" i="8"/>
  <c r="AE251" i="8"/>
  <c r="AJ697" i="8"/>
  <c r="AD199" i="8"/>
  <c r="AE199" i="8" s="1"/>
  <c r="AG199" i="8" s="1"/>
  <c r="AG697" i="8"/>
  <c r="AI697" i="8" s="1"/>
  <c r="AF362" i="7"/>
  <c r="AH362" i="7" s="1"/>
  <c r="AJ362" i="7"/>
  <c r="AD965" i="8"/>
  <c r="AE965" i="8" s="1"/>
  <c r="AG965" i="8"/>
  <c r="AF141" i="7"/>
  <c r="AH141" i="7" s="1"/>
  <c r="AJ141" i="7"/>
  <c r="AE304" i="12"/>
  <c r="AE470" i="8"/>
  <c r="AD582" i="7"/>
  <c r="AE582" i="7" s="1"/>
  <c r="AG582" i="7" s="1"/>
  <c r="AF910" i="7"/>
  <c r="AH910" i="7" s="1"/>
  <c r="AJ910" i="7"/>
  <c r="AJ797" i="7"/>
  <c r="AG797" i="7"/>
  <c r="AI797" i="7" s="1"/>
  <c r="AE1024" i="8"/>
  <c r="AF1024" i="8" s="1"/>
  <c r="AD143" i="12"/>
  <c r="AE143" i="12" s="1"/>
  <c r="AG143" i="12" s="1"/>
  <c r="AD418" i="8"/>
  <c r="AE418" i="8" s="1"/>
  <c r="AD582" i="8"/>
  <c r="AE582" i="8" s="1"/>
  <c r="AG582" i="8" s="1"/>
  <c r="AG141" i="7"/>
  <c r="AG524" i="7"/>
  <c r="AJ524" i="7"/>
  <c r="AH1077" i="8"/>
  <c r="AJ306" i="7"/>
  <c r="AG306" i="7"/>
  <c r="AF306" i="7"/>
  <c r="AD140" i="8"/>
  <c r="AE140" i="8" s="1"/>
  <c r="AG140" i="8"/>
  <c r="AF859" i="7"/>
  <c r="AH859" i="7" s="1"/>
  <c r="AJ859" i="7"/>
  <c r="AJ415" i="7"/>
  <c r="AF415" i="7"/>
  <c r="AH415" i="7" s="1"/>
  <c r="AD526" i="8"/>
  <c r="AG472" i="7"/>
  <c r="AJ472" i="7"/>
  <c r="AF472" i="7"/>
  <c r="AD639" i="7"/>
  <c r="AE639" i="7" s="1"/>
  <c r="AG639" i="7" s="1"/>
  <c r="AH525" i="8"/>
  <c r="AD198" i="12"/>
  <c r="AE198" i="12" s="1"/>
  <c r="AI306" i="8"/>
  <c r="AD691" i="7"/>
  <c r="AE691" i="7" s="1"/>
  <c r="AG691" i="7" s="1"/>
  <c r="AD1078" i="8"/>
  <c r="AD747" i="7"/>
  <c r="AE747" i="7" s="1"/>
  <c r="AI847" i="8"/>
  <c r="AI638" i="8"/>
  <c r="AD794" i="8"/>
  <c r="AE794" i="8" s="1"/>
  <c r="AG794" i="8" s="1"/>
  <c r="AD1024" i="8"/>
  <c r="AG361" i="8"/>
  <c r="AF524" i="7"/>
  <c r="AI194" i="7"/>
  <c r="AI415" i="7" l="1"/>
  <c r="AI524" i="7"/>
  <c r="AH306" i="7"/>
  <c r="AH472" i="7"/>
  <c r="AH361" i="8"/>
  <c r="AD416" i="7"/>
  <c r="AD639" i="8"/>
  <c r="AE639" i="8" s="1"/>
  <c r="AD848" i="8"/>
  <c r="AE848" i="8" s="1"/>
  <c r="AG848" i="8" s="1"/>
  <c r="AI306" i="7"/>
  <c r="AE1078" i="8"/>
  <c r="AF1078" i="8" s="1"/>
  <c r="AI472" i="7"/>
  <c r="AE416" i="7"/>
  <c r="AG416" i="7" s="1"/>
  <c r="AJ1024" i="8"/>
  <c r="AD698" i="8"/>
  <c r="AJ470" i="8"/>
  <c r="AG470" i="8"/>
  <c r="AD195" i="7"/>
  <c r="AE195" i="7" s="1"/>
  <c r="AG195" i="7" s="1"/>
  <c r="AF199" i="8"/>
  <c r="AH199" i="8" s="1"/>
  <c r="AJ199" i="8"/>
  <c r="AF418" i="8"/>
  <c r="AJ418" i="8"/>
  <c r="AJ691" i="7"/>
  <c r="AF691" i="7"/>
  <c r="AH691" i="7" s="1"/>
  <c r="AG251" i="8"/>
  <c r="AJ251" i="8"/>
  <c r="AI910" i="7"/>
  <c r="AE526" i="8"/>
  <c r="AD798" i="7"/>
  <c r="AF639" i="7"/>
  <c r="AH639" i="7" s="1"/>
  <c r="AJ639" i="7"/>
  <c r="AF747" i="7"/>
  <c r="AJ747" i="7"/>
  <c r="AF253" i="12"/>
  <c r="AJ253" i="12"/>
  <c r="AD525" i="7"/>
  <c r="AG253" i="12"/>
  <c r="AI253" i="12" s="1"/>
  <c r="AD754" i="8"/>
  <c r="AH753" i="8"/>
  <c r="AI361" i="8"/>
  <c r="AG418" i="8"/>
  <c r="AG1024" i="8"/>
  <c r="AI1024" i="8" s="1"/>
  <c r="AD307" i="8"/>
  <c r="AE307" i="8" s="1"/>
  <c r="AG307" i="8" s="1"/>
  <c r="AI143" i="12"/>
  <c r="AG304" i="12"/>
  <c r="AI304" i="12" s="1"/>
  <c r="AJ304" i="12"/>
  <c r="AF251" i="8"/>
  <c r="AH251" i="8" s="1"/>
  <c r="AH797" i="7"/>
  <c r="AF198" i="12"/>
  <c r="AJ198" i="12"/>
  <c r="AF794" i="8"/>
  <c r="AH794" i="8" s="1"/>
  <c r="AJ794" i="8"/>
  <c r="AF965" i="8"/>
  <c r="AH965" i="8" s="1"/>
  <c r="AJ965" i="8"/>
  <c r="AG747" i="7"/>
  <c r="AI141" i="7"/>
  <c r="AI362" i="7"/>
  <c r="AJ582" i="7"/>
  <c r="AF582" i="7"/>
  <c r="AH582" i="7" s="1"/>
  <c r="AF582" i="8"/>
  <c r="AH582" i="8" s="1"/>
  <c r="AJ582" i="8"/>
  <c r="AF470" i="8"/>
  <c r="AH524" i="7"/>
  <c r="AI691" i="7"/>
  <c r="AI253" i="7"/>
  <c r="AJ140" i="8"/>
  <c r="AF140" i="8"/>
  <c r="AH140" i="8" s="1"/>
  <c r="AG198" i="12"/>
  <c r="AI859" i="7"/>
  <c r="AJ143" i="12"/>
  <c r="AF143" i="12"/>
  <c r="AH143" i="12" s="1"/>
  <c r="AF304" i="12"/>
  <c r="AD911" i="8"/>
  <c r="AE911" i="8" s="1"/>
  <c r="AG911" i="8" s="1"/>
  <c r="AH697" i="8"/>
  <c r="AI199" i="8" l="1"/>
  <c r="AI418" i="8"/>
  <c r="AI747" i="7"/>
  <c r="AI198" i="12"/>
  <c r="AI582" i="8"/>
  <c r="AI470" i="8"/>
  <c r="AI582" i="7"/>
  <c r="AD860" i="7"/>
  <c r="AE860" i="7" s="1"/>
  <c r="AG860" i="7" s="1"/>
  <c r="AD363" i="7"/>
  <c r="AE363" i="7" s="1"/>
  <c r="AD583" i="8"/>
  <c r="AE583" i="8" s="1"/>
  <c r="AD305" i="12"/>
  <c r="AD471" i="8"/>
  <c r="AG526" i="8"/>
  <c r="AJ526" i="8"/>
  <c r="AF526" i="8"/>
  <c r="AH526" i="8" s="1"/>
  <c r="AD1025" i="8"/>
  <c r="AD307" i="7"/>
  <c r="AE307" i="7" s="1"/>
  <c r="AG307" i="7" s="1"/>
  <c r="AH253" i="12"/>
  <c r="AF416" i="7"/>
  <c r="AH416" i="7" s="1"/>
  <c r="AI251" i="8"/>
  <c r="AE698" i="8"/>
  <c r="AF698" i="8" s="1"/>
  <c r="AH418" i="8"/>
  <c r="AD473" i="7"/>
  <c r="AE473" i="7" s="1"/>
  <c r="AG473" i="7" s="1"/>
  <c r="AG1078" i="8"/>
  <c r="AI1078" i="8" s="1"/>
  <c r="AJ1078" i="8"/>
  <c r="AD142" i="7"/>
  <c r="AE142" i="7" s="1"/>
  <c r="AG142" i="7" s="1"/>
  <c r="AD144" i="12"/>
  <c r="AE144" i="12" s="1"/>
  <c r="AG144" i="12" s="1"/>
  <c r="AD583" i="7"/>
  <c r="AE583" i="7" s="1"/>
  <c r="AJ307" i="8"/>
  <c r="AF307" i="8"/>
  <c r="AH307" i="8" s="1"/>
  <c r="AI965" i="8"/>
  <c r="AD419" i="8"/>
  <c r="AD911" i="7"/>
  <c r="AE911" i="7" s="1"/>
  <c r="AG911" i="7" s="1"/>
  <c r="AE525" i="7"/>
  <c r="AF525" i="7" s="1"/>
  <c r="AH747" i="7"/>
  <c r="AJ639" i="8"/>
  <c r="AF639" i="8"/>
  <c r="AG639" i="8"/>
  <c r="AI639" i="8" s="1"/>
  <c r="AH304" i="12"/>
  <c r="AJ416" i="7"/>
  <c r="AH198" i="12"/>
  <c r="AI794" i="8"/>
  <c r="AD199" i="12"/>
  <c r="AJ195" i="7"/>
  <c r="AF195" i="7"/>
  <c r="AH195" i="7" s="1"/>
  <c r="AD748" i="7"/>
  <c r="AD254" i="7"/>
  <c r="AE254" i="7" s="1"/>
  <c r="AD254" i="12"/>
  <c r="AI140" i="8"/>
  <c r="AD692" i="7"/>
  <c r="AE692" i="7" s="1"/>
  <c r="AJ848" i="8"/>
  <c r="AF848" i="8"/>
  <c r="AH848" i="8" s="1"/>
  <c r="AD362" i="8"/>
  <c r="AE362" i="8" s="1"/>
  <c r="AH470" i="8"/>
  <c r="AE754" i="8"/>
  <c r="AI639" i="7"/>
  <c r="AF911" i="8"/>
  <c r="AH911" i="8" s="1"/>
  <c r="AJ911" i="8"/>
  <c r="AD200" i="8"/>
  <c r="AE200" i="8" s="1"/>
  <c r="AE798" i="7"/>
  <c r="AH1024" i="8"/>
  <c r="AI195" i="7" l="1"/>
  <c r="AG692" i="7"/>
  <c r="AJ692" i="7"/>
  <c r="AF692" i="7"/>
  <c r="AH692" i="7" s="1"/>
  <c r="AJ583" i="7"/>
  <c r="AF583" i="7"/>
  <c r="AG583" i="7"/>
  <c r="AI583" i="7" s="1"/>
  <c r="AJ583" i="8"/>
  <c r="AF583" i="8"/>
  <c r="AG583" i="8"/>
  <c r="AI583" i="8" s="1"/>
  <c r="AF200" i="8"/>
  <c r="AG200" i="8"/>
  <c r="AI200" i="8" s="1"/>
  <c r="AJ200" i="8"/>
  <c r="AI473" i="7"/>
  <c r="AD795" i="8"/>
  <c r="AE795" i="8" s="1"/>
  <c r="AG795" i="8" s="1"/>
  <c r="AF911" i="7"/>
  <c r="AH911" i="7" s="1"/>
  <c r="AJ911" i="7"/>
  <c r="AD1079" i="8"/>
  <c r="AF254" i="7"/>
  <c r="AJ254" i="7"/>
  <c r="AE1025" i="8"/>
  <c r="AF1025" i="8" s="1"/>
  <c r="AD640" i="7"/>
  <c r="AE640" i="7" s="1"/>
  <c r="AG640" i="7" s="1"/>
  <c r="AD640" i="8"/>
  <c r="AJ363" i="7"/>
  <c r="AF363" i="7"/>
  <c r="AF362" i="8"/>
  <c r="AJ362" i="8"/>
  <c r="AG362" i="8"/>
  <c r="AI362" i="8" s="1"/>
  <c r="AH1078" i="8"/>
  <c r="AJ142" i="7"/>
  <c r="AF142" i="7"/>
  <c r="AH142" i="7" s="1"/>
  <c r="AD141" i="8"/>
  <c r="AE141" i="8" s="1"/>
  <c r="AG141" i="8" s="1"/>
  <c r="AE305" i="12"/>
  <c r="AE254" i="12"/>
  <c r="AD196" i="7"/>
  <c r="AE196" i="7" s="1"/>
  <c r="AG254" i="7"/>
  <c r="AI254" i="7" s="1"/>
  <c r="AD966" i="8"/>
  <c r="AE966" i="8" s="1"/>
  <c r="AG966" i="8" s="1"/>
  <c r="AG754" i="8"/>
  <c r="AJ754" i="8"/>
  <c r="AE419" i="8"/>
  <c r="AF419" i="8" s="1"/>
  <c r="AF754" i="8"/>
  <c r="AI307" i="8"/>
  <c r="AG363" i="7"/>
  <c r="AF860" i="7"/>
  <c r="AH860" i="7" s="1"/>
  <c r="AJ860" i="7"/>
  <c r="AJ144" i="12"/>
  <c r="AI416" i="7"/>
  <c r="AG698" i="8"/>
  <c r="AI698" i="8" s="1"/>
  <c r="AJ698" i="8"/>
  <c r="AF144" i="12"/>
  <c r="AH144" i="12" s="1"/>
  <c r="AE199" i="12"/>
  <c r="AD252" i="8"/>
  <c r="AE252" i="8" s="1"/>
  <c r="AJ473" i="7"/>
  <c r="AF473" i="7"/>
  <c r="AH473" i="7" s="1"/>
  <c r="AJ307" i="7"/>
  <c r="AF307" i="7"/>
  <c r="AH307" i="7" s="1"/>
  <c r="AH639" i="8"/>
  <c r="AE471" i="8"/>
  <c r="AF471" i="8" s="1"/>
  <c r="AJ798" i="7"/>
  <c r="AG798" i="7"/>
  <c r="AE748" i="7"/>
  <c r="AF798" i="7"/>
  <c r="AH798" i="7" s="1"/>
  <c r="AI848" i="8"/>
  <c r="AG525" i="7"/>
  <c r="AI525" i="7" s="1"/>
  <c r="AJ525" i="7"/>
  <c r="AI526" i="8"/>
  <c r="AI911" i="8"/>
  <c r="AF196" i="7" l="1"/>
  <c r="AJ196" i="7"/>
  <c r="AI754" i="8"/>
  <c r="AI144" i="12"/>
  <c r="AH363" i="7"/>
  <c r="AE640" i="8"/>
  <c r="AF640" i="8" s="1"/>
  <c r="AD474" i="7"/>
  <c r="AE474" i="7" s="1"/>
  <c r="AJ474" i="7" s="1"/>
  <c r="AD417" i="7"/>
  <c r="AE417" i="7" s="1"/>
  <c r="AD755" i="8"/>
  <c r="AH200" i="8"/>
  <c r="AD912" i="8"/>
  <c r="AE912" i="8" s="1"/>
  <c r="AG912" i="8" s="1"/>
  <c r="AD527" i="8"/>
  <c r="AE527" i="8" s="1"/>
  <c r="AG527" i="8" s="1"/>
  <c r="AD584" i="8"/>
  <c r="AH254" i="7"/>
  <c r="AD849" i="8"/>
  <c r="AE849" i="8" s="1"/>
  <c r="AG849" i="8" s="1"/>
  <c r="AG196" i="7"/>
  <c r="AI196" i="7" s="1"/>
  <c r="AF252" i="8"/>
  <c r="AJ252" i="8"/>
  <c r="AG748" i="7"/>
  <c r="AJ748" i="7"/>
  <c r="AG252" i="8"/>
  <c r="AI252" i="8" s="1"/>
  <c r="AG199" i="12"/>
  <c r="AJ199" i="12"/>
  <c r="AD145" i="12"/>
  <c r="AE145" i="12" s="1"/>
  <c r="AF199" i="12"/>
  <c r="AH199" i="12" s="1"/>
  <c r="AI363" i="7"/>
  <c r="AD308" i="8"/>
  <c r="AE308" i="8" s="1"/>
  <c r="AD201" i="8"/>
  <c r="AI307" i="7"/>
  <c r="AE1079" i="8"/>
  <c r="AF1079" i="8" s="1"/>
  <c r="AH698" i="8"/>
  <c r="AD526" i="7"/>
  <c r="AD255" i="7"/>
  <c r="AH362" i="8"/>
  <c r="AJ254" i="12"/>
  <c r="AG254" i="12"/>
  <c r="AF254" i="12"/>
  <c r="AH254" i="12" s="1"/>
  <c r="AJ305" i="12"/>
  <c r="AG305" i="12"/>
  <c r="AF305" i="12"/>
  <c r="AH305" i="12" s="1"/>
  <c r="AG471" i="8"/>
  <c r="AI471" i="8" s="1"/>
  <c r="AJ471" i="8"/>
  <c r="AH754" i="8"/>
  <c r="AF795" i="8"/>
  <c r="AH795" i="8" s="1"/>
  <c r="AJ795" i="8"/>
  <c r="AI692" i="7"/>
  <c r="AD699" i="8"/>
  <c r="AG1025" i="8"/>
  <c r="AI1025" i="8" s="1"/>
  <c r="AJ1025" i="8"/>
  <c r="AI142" i="7"/>
  <c r="AF966" i="8"/>
  <c r="AH966" i="8" s="1"/>
  <c r="AJ966" i="8"/>
  <c r="AH583" i="8"/>
  <c r="AD363" i="8"/>
  <c r="AD584" i="7"/>
  <c r="AH583" i="7"/>
  <c r="AF748" i="7"/>
  <c r="AH748" i="7" s="1"/>
  <c r="AI798" i="7"/>
  <c r="AI911" i="7"/>
  <c r="AJ419" i="8"/>
  <c r="AG419" i="8"/>
  <c r="AI419" i="8" s="1"/>
  <c r="AF141" i="8"/>
  <c r="AH141" i="8" s="1"/>
  <c r="AJ141" i="8"/>
  <c r="AJ640" i="7"/>
  <c r="AF640" i="7"/>
  <c r="AH640" i="7" s="1"/>
  <c r="AH525" i="7"/>
  <c r="AI860" i="7"/>
  <c r="AH419" i="8" l="1"/>
  <c r="AI141" i="8"/>
  <c r="AI966" i="8"/>
  <c r="AF145" i="12"/>
  <c r="AG145" i="12"/>
  <c r="AI145" i="12" s="1"/>
  <c r="AJ145" i="12"/>
  <c r="AD197" i="7"/>
  <c r="AD799" i="7"/>
  <c r="AE799" i="7" s="1"/>
  <c r="AI849" i="8"/>
  <c r="AD143" i="7"/>
  <c r="AE143" i="7" s="1"/>
  <c r="AG143" i="7" s="1"/>
  <c r="AE255" i="7"/>
  <c r="AF255" i="7" s="1"/>
  <c r="AF417" i="7"/>
  <c r="AJ417" i="7"/>
  <c r="AE584" i="7"/>
  <c r="AI254" i="12"/>
  <c r="AI199" i="12"/>
  <c r="AI748" i="7"/>
  <c r="AD472" i="8"/>
  <c r="AJ849" i="8"/>
  <c r="AF849" i="8"/>
  <c r="AH849" i="8" s="1"/>
  <c r="AD364" i="7"/>
  <c r="AE364" i="7" s="1"/>
  <c r="AG417" i="7"/>
  <c r="AD967" i="8"/>
  <c r="AE967" i="8" s="1"/>
  <c r="AD142" i="8"/>
  <c r="AE142" i="8" s="1"/>
  <c r="AG142" i="8" s="1"/>
  <c r="AJ1079" i="8"/>
  <c r="AG1079" i="8"/>
  <c r="AI1079" i="8" s="1"/>
  <c r="AD693" i="7"/>
  <c r="AE693" i="7" s="1"/>
  <c r="AG693" i="7" s="1"/>
  <c r="AD308" i="7"/>
  <c r="AE308" i="7" s="1"/>
  <c r="AD420" i="8"/>
  <c r="AE420" i="8" s="1"/>
  <c r="AD253" i="8"/>
  <c r="AI640" i="7"/>
  <c r="AE584" i="8"/>
  <c r="AG640" i="8"/>
  <c r="AI640" i="8" s="1"/>
  <c r="AJ640" i="8"/>
  <c r="AI795" i="8"/>
  <c r="AH196" i="7"/>
  <c r="AF308" i="8"/>
  <c r="AJ308" i="8"/>
  <c r="AF474" i="7"/>
  <c r="AI305" i="12"/>
  <c r="AD861" i="7"/>
  <c r="AE861" i="7" s="1"/>
  <c r="AD1026" i="8"/>
  <c r="AE526" i="7"/>
  <c r="AE699" i="8"/>
  <c r="AG474" i="7"/>
  <c r="AF527" i="8"/>
  <c r="AH527" i="8" s="1"/>
  <c r="AJ527" i="8"/>
  <c r="AJ912" i="8"/>
  <c r="AF912" i="8"/>
  <c r="AH912" i="8" s="1"/>
  <c r="AE363" i="8"/>
  <c r="AE755" i="8"/>
  <c r="AE201" i="8"/>
  <c r="AH471" i="8"/>
  <c r="AD912" i="7"/>
  <c r="AE912" i="7" s="1"/>
  <c r="AG308" i="8"/>
  <c r="AI308" i="8" s="1"/>
  <c r="AH252" i="8"/>
  <c r="AH1025" i="8"/>
  <c r="AH474" i="7" l="1"/>
  <c r="AF967" i="8"/>
  <c r="AJ967" i="8"/>
  <c r="AG967" i="8"/>
  <c r="AI417" i="7"/>
  <c r="AD418" i="7" s="1"/>
  <c r="AH640" i="8"/>
  <c r="AF420" i="8"/>
  <c r="AG420" i="8"/>
  <c r="AI420" i="8" s="1"/>
  <c r="AJ420" i="8"/>
  <c r="AJ308" i="7"/>
  <c r="AF308" i="7"/>
  <c r="AH308" i="7" s="1"/>
  <c r="AJ799" i="7"/>
  <c r="AF799" i="7"/>
  <c r="AF142" i="8"/>
  <c r="AH142" i="8" s="1"/>
  <c r="AJ693" i="7"/>
  <c r="AF693" i="7"/>
  <c r="AH693" i="7" s="1"/>
  <c r="AD255" i="12"/>
  <c r="AE255" i="12" s="1"/>
  <c r="AG255" i="12" s="1"/>
  <c r="AJ142" i="8"/>
  <c r="AG755" i="8"/>
  <c r="AJ755" i="8"/>
  <c r="AG584" i="7"/>
  <c r="AJ584" i="7"/>
  <c r="AF755" i="8"/>
  <c r="AH755" i="8" s="1"/>
  <c r="AH1079" i="8"/>
  <c r="AI967" i="8"/>
  <c r="AD749" i="7"/>
  <c r="AE749" i="7" s="1"/>
  <c r="AD306" i="12"/>
  <c r="AE306" i="12" s="1"/>
  <c r="AG306" i="12" s="1"/>
  <c r="AE253" i="8"/>
  <c r="AJ143" i="7"/>
  <c r="AF143" i="7"/>
  <c r="AH143" i="7" s="1"/>
  <c r="AI527" i="8"/>
  <c r="AJ912" i="7"/>
  <c r="AF912" i="7"/>
  <c r="AG912" i="7"/>
  <c r="AG799" i="7"/>
  <c r="AG699" i="8"/>
  <c r="AJ699" i="8"/>
  <c r="AJ526" i="7"/>
  <c r="AG526" i="7"/>
  <c r="AD641" i="8"/>
  <c r="AE641" i="8" s="1"/>
  <c r="AJ584" i="8"/>
  <c r="AG584" i="8"/>
  <c r="AH145" i="12"/>
  <c r="AF584" i="8"/>
  <c r="AH584" i="8" s="1"/>
  <c r="AJ861" i="7"/>
  <c r="AF861" i="7"/>
  <c r="AH417" i="7"/>
  <c r="AJ255" i="7"/>
  <c r="AG255" i="7"/>
  <c r="AI255" i="7" s="1"/>
  <c r="AE1026" i="8"/>
  <c r="AD309" i="8"/>
  <c r="AH308" i="8"/>
  <c r="AG308" i="7"/>
  <c r="AD200" i="12"/>
  <c r="AE200" i="12" s="1"/>
  <c r="AG200" i="12" s="1"/>
  <c r="AD850" i="8"/>
  <c r="AE850" i="8" s="1"/>
  <c r="AI474" i="7"/>
  <c r="AE197" i="7"/>
  <c r="AE472" i="8"/>
  <c r="AD796" i="8"/>
  <c r="AE796" i="8" s="1"/>
  <c r="AG796" i="8" s="1"/>
  <c r="AJ201" i="8"/>
  <c r="AG201" i="8"/>
  <c r="AJ364" i="7"/>
  <c r="AF364" i="7"/>
  <c r="AF201" i="8"/>
  <c r="AF699" i="8"/>
  <c r="AG364" i="7"/>
  <c r="AF526" i="7"/>
  <c r="AD1080" i="8"/>
  <c r="AD146" i="12"/>
  <c r="AF584" i="7"/>
  <c r="AJ363" i="8"/>
  <c r="AG363" i="8"/>
  <c r="AD641" i="7"/>
  <c r="AE641" i="7" s="1"/>
  <c r="AG641" i="7" s="1"/>
  <c r="AF363" i="8"/>
  <c r="AG861" i="7"/>
  <c r="AI912" i="8"/>
  <c r="AH699" i="8" l="1"/>
  <c r="AI861" i="7"/>
  <c r="AI364" i="7"/>
  <c r="AH201" i="8"/>
  <c r="AI912" i="7"/>
  <c r="AD913" i="7" s="1"/>
  <c r="AG850" i="8"/>
  <c r="AJ850" i="8"/>
  <c r="AI584" i="7"/>
  <c r="AI799" i="7"/>
  <c r="AI142" i="8"/>
  <c r="AI526" i="7"/>
  <c r="AH363" i="8"/>
  <c r="AH967" i="8"/>
  <c r="AF641" i="8"/>
  <c r="AJ641" i="8"/>
  <c r="AG641" i="8"/>
  <c r="AI641" i="8" s="1"/>
  <c r="AD365" i="7"/>
  <c r="AE1080" i="8"/>
  <c r="AF1080" i="8" s="1"/>
  <c r="AD862" i="7"/>
  <c r="AI308" i="7"/>
  <c r="AI584" i="8"/>
  <c r="AI143" i="7"/>
  <c r="AI201" i="8"/>
  <c r="AG253" i="8"/>
  <c r="AJ253" i="8"/>
  <c r="AD527" i="7"/>
  <c r="AJ197" i="7"/>
  <c r="AG197" i="7"/>
  <c r="AD143" i="8"/>
  <c r="AJ749" i="7"/>
  <c r="AF749" i="7"/>
  <c r="AH749" i="7" s="1"/>
  <c r="AJ200" i="12"/>
  <c r="AF200" i="12"/>
  <c r="AH200" i="12" s="1"/>
  <c r="AE309" i="8"/>
  <c r="AD528" i="8"/>
  <c r="AE528" i="8" s="1"/>
  <c r="AI363" i="8"/>
  <c r="AH584" i="7"/>
  <c r="AI755" i="8"/>
  <c r="AF850" i="8"/>
  <c r="AH850" i="8" s="1"/>
  <c r="AG1026" i="8"/>
  <c r="AJ1026" i="8"/>
  <c r="AJ255" i="12"/>
  <c r="AF255" i="12"/>
  <c r="AH255" i="12" s="1"/>
  <c r="AD256" i="7"/>
  <c r="AE418" i="7"/>
  <c r="AG749" i="7"/>
  <c r="AE143" i="8"/>
  <c r="AG143" i="8" s="1"/>
  <c r="AD421" i="8"/>
  <c r="AD913" i="8"/>
  <c r="AE913" i="8" s="1"/>
  <c r="AG913" i="8" s="1"/>
  <c r="AI200" i="12"/>
  <c r="AH912" i="7"/>
  <c r="AE146" i="12"/>
  <c r="AH364" i="7"/>
  <c r="AJ641" i="7"/>
  <c r="AF641" i="7"/>
  <c r="AH641" i="7" s="1"/>
  <c r="AD585" i="7"/>
  <c r="AJ796" i="8"/>
  <c r="AF796" i="8"/>
  <c r="AH796" i="8" s="1"/>
  <c r="AG472" i="8"/>
  <c r="AJ472" i="8"/>
  <c r="AF253" i="8"/>
  <c r="AF472" i="8"/>
  <c r="AH472" i="8" s="1"/>
  <c r="AI255" i="12"/>
  <c r="AF1026" i="8"/>
  <c r="AJ306" i="12"/>
  <c r="AF306" i="12"/>
  <c r="AH306" i="12" s="1"/>
  <c r="AH526" i="7"/>
  <c r="AF197" i="7"/>
  <c r="AH255" i="7"/>
  <c r="AD475" i="7"/>
  <c r="AE475" i="7" s="1"/>
  <c r="AG475" i="7" s="1"/>
  <c r="AI699" i="8"/>
  <c r="AI693" i="7"/>
  <c r="AH861" i="7"/>
  <c r="AD800" i="7"/>
  <c r="AD968" i="8"/>
  <c r="AE968" i="8" s="1"/>
  <c r="AH799" i="7"/>
  <c r="AH420" i="8"/>
  <c r="AI253" i="8" l="1"/>
  <c r="AI1026" i="8"/>
  <c r="AH197" i="7"/>
  <c r="AJ143" i="8"/>
  <c r="AI796" i="8"/>
  <c r="AD797" i="8"/>
  <c r="AE256" i="7"/>
  <c r="AE585" i="7"/>
  <c r="AF143" i="8"/>
  <c r="AH143" i="8" s="1"/>
  <c r="AD202" i="8"/>
  <c r="AE202" i="8" s="1"/>
  <c r="AE800" i="7"/>
  <c r="AE365" i="7"/>
  <c r="AJ146" i="12"/>
  <c r="AG146" i="12"/>
  <c r="AD144" i="7"/>
  <c r="AE144" i="7" s="1"/>
  <c r="AG144" i="7" s="1"/>
  <c r="AF146" i="12"/>
  <c r="AJ528" i="8"/>
  <c r="AF528" i="8"/>
  <c r="AH253" i="8"/>
  <c r="AG309" i="8"/>
  <c r="AJ309" i="8"/>
  <c r="AI197" i="7"/>
  <c r="AD201" i="12"/>
  <c r="AE201" i="12" s="1"/>
  <c r="AF913" i="8"/>
  <c r="AH913" i="8" s="1"/>
  <c r="AJ913" i="8"/>
  <c r="AD254" i="8"/>
  <c r="AE421" i="8"/>
  <c r="AI749" i="7"/>
  <c r="AD364" i="8"/>
  <c r="AE364" i="8" s="1"/>
  <c r="AF968" i="8"/>
  <c r="AJ968" i="8"/>
  <c r="AH1026" i="8"/>
  <c r="AG968" i="8"/>
  <c r="AD642" i="8"/>
  <c r="AD694" i="7"/>
  <c r="AE694" i="7" s="1"/>
  <c r="AF309" i="8"/>
  <c r="AH309" i="8" s="1"/>
  <c r="AD309" i="7"/>
  <c r="AE309" i="7" s="1"/>
  <c r="AG309" i="7" s="1"/>
  <c r="AH641" i="8"/>
  <c r="AJ475" i="7"/>
  <c r="AF475" i="7"/>
  <c r="AH475" i="7" s="1"/>
  <c r="AD1027" i="8"/>
  <c r="AD756" i="8"/>
  <c r="AE756" i="8" s="1"/>
  <c r="AG756" i="8" s="1"/>
  <c r="AJ1080" i="8"/>
  <c r="AG1080" i="8"/>
  <c r="AI1080" i="8" s="1"/>
  <c r="AE527" i="7"/>
  <c r="AF527" i="7" s="1"/>
  <c r="AG418" i="7"/>
  <c r="AJ418" i="7"/>
  <c r="AD256" i="12"/>
  <c r="AE256" i="12" s="1"/>
  <c r="AJ256" i="12" s="1"/>
  <c r="AF418" i="7"/>
  <c r="AI850" i="8"/>
  <c r="AG528" i="8"/>
  <c r="AD585" i="8"/>
  <c r="AE585" i="8" s="1"/>
  <c r="AG585" i="8" s="1"/>
  <c r="AE862" i="7"/>
  <c r="AE913" i="7"/>
  <c r="AF913" i="7" s="1"/>
  <c r="AI472" i="8"/>
  <c r="AD700" i="8"/>
  <c r="AE700" i="8" s="1"/>
  <c r="AG700" i="8" s="1"/>
  <c r="AE797" i="8"/>
  <c r="AJ797" i="8" s="1"/>
  <c r="AI641" i="7"/>
  <c r="AI306" i="12"/>
  <c r="AH418" i="7" l="1"/>
  <c r="AI968" i="8"/>
  <c r="AG201" i="12"/>
  <c r="AJ201" i="12"/>
  <c r="AH528" i="8"/>
  <c r="AH146" i="12"/>
  <c r="AF585" i="8"/>
  <c r="AH585" i="8" s="1"/>
  <c r="AJ585" i="8"/>
  <c r="AJ585" i="7"/>
  <c r="AG585" i="7"/>
  <c r="AI585" i="7" s="1"/>
  <c r="AE1027" i="8"/>
  <c r="AJ364" i="8"/>
  <c r="AF364" i="8"/>
  <c r="AE642" i="8"/>
  <c r="AF797" i="8"/>
  <c r="AF700" i="8"/>
  <c r="AH700" i="8" s="1"/>
  <c r="AJ700" i="8"/>
  <c r="AD473" i="8"/>
  <c r="AE473" i="8" s="1"/>
  <c r="AG800" i="7"/>
  <c r="AJ800" i="7"/>
  <c r="AG797" i="8"/>
  <c r="AJ421" i="8"/>
  <c r="AG421" i="8"/>
  <c r="AF202" i="8"/>
  <c r="AJ202" i="8"/>
  <c r="AH1080" i="8"/>
  <c r="AD969" i="8"/>
  <c r="AD851" i="8"/>
  <c r="AE851" i="8" s="1"/>
  <c r="AG851" i="8" s="1"/>
  <c r="AD642" i="7"/>
  <c r="AE642" i="7" s="1"/>
  <c r="AF256" i="12"/>
  <c r="AI146" i="12"/>
  <c r="AD750" i="7"/>
  <c r="AE750" i="7" s="1"/>
  <c r="AG750" i="7" s="1"/>
  <c r="AG256" i="7"/>
  <c r="AJ256" i="7"/>
  <c r="AG365" i="7"/>
  <c r="AJ365" i="7"/>
  <c r="AF365" i="7"/>
  <c r="AH365" i="7" s="1"/>
  <c r="AD1081" i="8"/>
  <c r="AF800" i="7"/>
  <c r="AJ862" i="7"/>
  <c r="AG862" i="7"/>
  <c r="AF756" i="8"/>
  <c r="AH756" i="8" s="1"/>
  <c r="AJ756" i="8"/>
  <c r="AF421" i="8"/>
  <c r="AI309" i="8"/>
  <c r="AG202" i="8"/>
  <c r="AI202" i="8" s="1"/>
  <c r="AI143" i="8"/>
  <c r="AI585" i="8"/>
  <c r="AE254" i="8"/>
  <c r="AI528" i="8"/>
  <c r="AF585" i="7"/>
  <c r="AD307" i="12"/>
  <c r="AE307" i="12" s="1"/>
  <c r="AG307" i="12" s="1"/>
  <c r="AH968" i="8"/>
  <c r="AJ144" i="7"/>
  <c r="AF144" i="7"/>
  <c r="AH144" i="7" s="1"/>
  <c r="AG256" i="12"/>
  <c r="AG364" i="8"/>
  <c r="AI913" i="8"/>
  <c r="AF201" i="12"/>
  <c r="AH201" i="12" s="1"/>
  <c r="AF309" i="7"/>
  <c r="AH309" i="7" s="1"/>
  <c r="AJ309" i="7"/>
  <c r="AI418" i="7"/>
  <c r="AG527" i="7"/>
  <c r="AI527" i="7" s="1"/>
  <c r="AJ527" i="7"/>
  <c r="AF256" i="7"/>
  <c r="AJ694" i="7"/>
  <c r="AF694" i="7"/>
  <c r="AG913" i="7"/>
  <c r="AI913" i="7" s="1"/>
  <c r="AJ913" i="7"/>
  <c r="AG694" i="7"/>
  <c r="AI694" i="7" s="1"/>
  <c r="AD198" i="7"/>
  <c r="AE198" i="7" s="1"/>
  <c r="AG198" i="7" s="1"/>
  <c r="AF862" i="7"/>
  <c r="AH862" i="7" s="1"/>
  <c r="AI475" i="7"/>
  <c r="AI797" i="8" l="1"/>
  <c r="AI364" i="8"/>
  <c r="AI256" i="12"/>
  <c r="AI421" i="8"/>
  <c r="AI256" i="7"/>
  <c r="AI800" i="7"/>
  <c r="AD801" i="7" s="1"/>
  <c r="AJ642" i="7"/>
  <c r="AF642" i="7"/>
  <c r="AJ254" i="8"/>
  <c r="AG254" i="8"/>
  <c r="AI254" i="8" s="1"/>
  <c r="AJ1027" i="8"/>
  <c r="AG1027" i="8"/>
  <c r="AJ473" i="8"/>
  <c r="AF473" i="8"/>
  <c r="AD203" i="8"/>
  <c r="AF198" i="7"/>
  <c r="AH198" i="7" s="1"/>
  <c r="AJ198" i="7"/>
  <c r="AD310" i="8"/>
  <c r="AE310" i="8" s="1"/>
  <c r="AD257" i="12"/>
  <c r="AH694" i="7"/>
  <c r="AH256" i="12"/>
  <c r="AG642" i="8"/>
  <c r="AI642" i="8" s="1"/>
  <c r="AJ642" i="8"/>
  <c r="AI309" i="7"/>
  <c r="AD422" i="8"/>
  <c r="AD419" i="7"/>
  <c r="AE419" i="7" s="1"/>
  <c r="AG642" i="7"/>
  <c r="AI642" i="7" s="1"/>
  <c r="AD586" i="8"/>
  <c r="AE586" i="8" s="1"/>
  <c r="AD914" i="8"/>
  <c r="AE914" i="8" s="1"/>
  <c r="AD257" i="7"/>
  <c r="AD586" i="7"/>
  <c r="AI750" i="7"/>
  <c r="AD695" i="7"/>
  <c r="AH421" i="8"/>
  <c r="AD914" i="7"/>
  <c r="AH797" i="8"/>
  <c r="AI862" i="7"/>
  <c r="AH913" i="7"/>
  <c r="AE969" i="8"/>
  <c r="AE1081" i="8"/>
  <c r="AF1081" i="8" s="1"/>
  <c r="AI756" i="8"/>
  <c r="AF307" i="12"/>
  <c r="AH307" i="12" s="1"/>
  <c r="AJ307" i="12"/>
  <c r="AH202" i="8"/>
  <c r="AH364" i="8"/>
  <c r="AD529" i="8"/>
  <c r="AE529" i="8" s="1"/>
  <c r="AD528" i="7"/>
  <c r="AG476" i="7"/>
  <c r="AD476" i="7"/>
  <c r="AE476" i="7" s="1"/>
  <c r="AD798" i="8"/>
  <c r="AF254" i="8"/>
  <c r="AI365" i="7"/>
  <c r="AD144" i="8"/>
  <c r="AE144" i="8" s="1"/>
  <c r="AF1027" i="8"/>
  <c r="AJ851" i="8"/>
  <c r="AF851" i="8"/>
  <c r="AH851" i="8" s="1"/>
  <c r="AG473" i="8"/>
  <c r="AD365" i="8"/>
  <c r="AF750" i="7"/>
  <c r="AH750" i="7" s="1"/>
  <c r="AJ750" i="7"/>
  <c r="AI700" i="8"/>
  <c r="AD147" i="12"/>
  <c r="AE147" i="12" s="1"/>
  <c r="AI201" i="12"/>
  <c r="AF642" i="8"/>
  <c r="AH800" i="7"/>
  <c r="AI144" i="7"/>
  <c r="AH256" i="7"/>
  <c r="AH585" i="7"/>
  <c r="AH527" i="7"/>
  <c r="AH1027" i="8" l="1"/>
  <c r="AI473" i="8"/>
  <c r="AI307" i="12"/>
  <c r="AG586" i="8"/>
  <c r="AJ586" i="8"/>
  <c r="AF586" i="8"/>
  <c r="AH586" i="8" s="1"/>
  <c r="AF914" i="8"/>
  <c r="AJ914" i="8"/>
  <c r="AF529" i="8"/>
  <c r="AJ529" i="8"/>
  <c r="AE695" i="7"/>
  <c r="AJ144" i="8"/>
  <c r="AF144" i="8"/>
  <c r="AD701" i="8"/>
  <c r="AE701" i="8" s="1"/>
  <c r="AD474" i="8"/>
  <c r="AE798" i="8"/>
  <c r="AD643" i="8"/>
  <c r="AJ147" i="12"/>
  <c r="AF147" i="12"/>
  <c r="AE365" i="8"/>
  <c r="AE422" i="8"/>
  <c r="AE528" i="7"/>
  <c r="AJ419" i="7"/>
  <c r="AF419" i="7"/>
  <c r="AD366" i="7"/>
  <c r="AE366" i="7" s="1"/>
  <c r="AE257" i="7"/>
  <c r="AD145" i="7"/>
  <c r="AE145" i="7" s="1"/>
  <c r="AJ310" i="8"/>
  <c r="AF310" i="8"/>
  <c r="AD202" i="12"/>
  <c r="AE202" i="12" s="1"/>
  <c r="AG202" i="12" s="1"/>
  <c r="AE257" i="12"/>
  <c r="AG144" i="8"/>
  <c r="AG529" i="8"/>
  <c r="AI1027" i="8"/>
  <c r="AD751" i="7"/>
  <c r="AJ1081" i="8"/>
  <c r="AG1081" i="8"/>
  <c r="AI1081" i="8" s="1"/>
  <c r="AG419" i="7"/>
  <c r="AH254" i="8"/>
  <c r="AG969" i="8"/>
  <c r="AJ969" i="8"/>
  <c r="AE801" i="7"/>
  <c r="AF969" i="8"/>
  <c r="AG310" i="8"/>
  <c r="AH642" i="7"/>
  <c r="AD308" i="12"/>
  <c r="AE308" i="12" s="1"/>
  <c r="AD863" i="7"/>
  <c r="AE863" i="7" s="1"/>
  <c r="AI198" i="7"/>
  <c r="AH473" i="8"/>
  <c r="AG147" i="12"/>
  <c r="AI147" i="12" s="1"/>
  <c r="AI851" i="8"/>
  <c r="AE203" i="8"/>
  <c r="AD255" i="8"/>
  <c r="AD643" i="7"/>
  <c r="AD757" i="8"/>
  <c r="AE757" i="8" s="1"/>
  <c r="AG757" i="8" s="1"/>
  <c r="AE586" i="7"/>
  <c r="AE751" i="7"/>
  <c r="AJ751" i="7" s="1"/>
  <c r="AH642" i="8"/>
  <c r="AJ476" i="7"/>
  <c r="AF476" i="7"/>
  <c r="AH476" i="7" s="1"/>
  <c r="AE914" i="7"/>
  <c r="AF914" i="7" s="1"/>
  <c r="AG914" i="8"/>
  <c r="AD310" i="7"/>
  <c r="AE310" i="7" s="1"/>
  <c r="AG310" i="7" s="1"/>
  <c r="AH529" i="8" l="1"/>
  <c r="AI419" i="7"/>
  <c r="AH144" i="8"/>
  <c r="AH914" i="8"/>
  <c r="AI476" i="7"/>
  <c r="AH310" i="8"/>
  <c r="AI969" i="8"/>
  <c r="AI914" i="8"/>
  <c r="AJ308" i="12"/>
  <c r="AG308" i="12"/>
  <c r="AF308" i="12"/>
  <c r="AH308" i="12" s="1"/>
  <c r="AD148" i="12"/>
  <c r="AE474" i="8"/>
  <c r="AF751" i="7"/>
  <c r="AH751" i="7" s="1"/>
  <c r="AD1082" i="8"/>
  <c r="AF145" i="7"/>
  <c r="AH145" i="7" s="1"/>
  <c r="AJ145" i="7"/>
  <c r="AG257" i="7"/>
  <c r="AJ257" i="7"/>
  <c r="AJ798" i="8"/>
  <c r="AG798" i="8"/>
  <c r="AF798" i="8"/>
  <c r="AH798" i="8" s="1"/>
  <c r="AI529" i="8"/>
  <c r="AG203" i="8"/>
  <c r="AJ203" i="8"/>
  <c r="AH1081" i="8"/>
  <c r="AJ422" i="8"/>
  <c r="AG422" i="8"/>
  <c r="AE643" i="8"/>
  <c r="AF422" i="8"/>
  <c r="AH422" i="8" s="1"/>
  <c r="AG365" i="8"/>
  <c r="AJ365" i="8"/>
  <c r="AG586" i="7"/>
  <c r="AJ586" i="7"/>
  <c r="AF863" i="7"/>
  <c r="AJ863" i="7"/>
  <c r="AF366" i="7"/>
  <c r="AJ366" i="7"/>
  <c r="AH419" i="7"/>
  <c r="AD915" i="8"/>
  <c r="AE915" i="8" s="1"/>
  <c r="AJ528" i="7"/>
  <c r="AG528" i="7"/>
  <c r="AJ701" i="8"/>
  <c r="AF701" i="8"/>
  <c r="AD477" i="7"/>
  <c r="AG701" i="8"/>
  <c r="AI701" i="8" s="1"/>
  <c r="AJ695" i="7"/>
  <c r="AG695" i="7"/>
  <c r="AI695" i="7" s="1"/>
  <c r="AF757" i="8"/>
  <c r="AH757" i="8" s="1"/>
  <c r="AJ757" i="8"/>
  <c r="AG863" i="7"/>
  <c r="AI863" i="7" s="1"/>
  <c r="AG751" i="7"/>
  <c r="AD1028" i="8"/>
  <c r="AE1028" i="8" s="1"/>
  <c r="AG1028" i="8" s="1"/>
  <c r="AG366" i="7"/>
  <c r="AI144" i="8"/>
  <c r="AI310" i="8"/>
  <c r="AJ257" i="12"/>
  <c r="AG257" i="12"/>
  <c r="AG801" i="7"/>
  <c r="AI801" i="7" s="1"/>
  <c r="AJ801" i="7"/>
  <c r="AF257" i="12"/>
  <c r="AH257" i="12" s="1"/>
  <c r="AF528" i="7"/>
  <c r="AH528" i="7" s="1"/>
  <c r="AD970" i="8"/>
  <c r="AE255" i="8"/>
  <c r="AD420" i="7"/>
  <c r="AF365" i="8"/>
  <c r="AD199" i="7"/>
  <c r="AE199" i="7" s="1"/>
  <c r="AG199" i="7" s="1"/>
  <c r="AH147" i="12"/>
  <c r="AF586" i="7"/>
  <c r="AG145" i="7"/>
  <c r="AF695" i="7"/>
  <c r="AF257" i="7"/>
  <c r="AF310" i="7"/>
  <c r="AH310" i="7" s="1"/>
  <c r="AJ310" i="7"/>
  <c r="AE643" i="7"/>
  <c r="AJ914" i="7"/>
  <c r="AG914" i="7"/>
  <c r="AI914" i="7" s="1"/>
  <c r="AF203" i="8"/>
  <c r="AH203" i="8" s="1"/>
  <c r="AH969" i="8"/>
  <c r="AE477" i="7"/>
  <c r="AJ477" i="7" s="1"/>
  <c r="AD852" i="8"/>
  <c r="AE852" i="8" s="1"/>
  <c r="AF801" i="7"/>
  <c r="AJ202" i="12"/>
  <c r="AF202" i="12"/>
  <c r="AH202" i="12" s="1"/>
  <c r="AI586" i="8"/>
  <c r="AH365" i="8" l="1"/>
  <c r="AI310" i="7"/>
  <c r="AD311" i="7" s="1"/>
  <c r="AE311" i="7" s="1"/>
  <c r="AJ311" i="7" s="1"/>
  <c r="AH257" i="7"/>
  <c r="AI757" i="8"/>
  <c r="AH586" i="7"/>
  <c r="AH366" i="7"/>
  <c r="AF915" i="8"/>
  <c r="AG915" i="8"/>
  <c r="AI915" i="8" s="1"/>
  <c r="AJ915" i="8"/>
  <c r="AI528" i="7"/>
  <c r="AJ474" i="8"/>
  <c r="AG474" i="8"/>
  <c r="AI203" i="8"/>
  <c r="AD758" i="8"/>
  <c r="AE758" i="8" s="1"/>
  <c r="AF758" i="8" s="1"/>
  <c r="AD864" i="7"/>
  <c r="AJ643" i="8"/>
  <c r="AG643" i="8"/>
  <c r="AI643" i="8" s="1"/>
  <c r="AD802" i="7"/>
  <c r="AE970" i="8"/>
  <c r="AD915" i="7"/>
  <c r="AJ643" i="7"/>
  <c r="AG643" i="7"/>
  <c r="AD702" i="8"/>
  <c r="AD145" i="8"/>
  <c r="AE145" i="8" s="1"/>
  <c r="AG145" i="8" s="1"/>
  <c r="AJ852" i="8"/>
  <c r="AF852" i="8"/>
  <c r="AF643" i="8"/>
  <c r="AD696" i="7"/>
  <c r="AF199" i="7"/>
  <c r="AH199" i="7" s="1"/>
  <c r="AJ199" i="7"/>
  <c r="AE1082" i="8"/>
  <c r="AD311" i="8"/>
  <c r="AE311" i="8" s="1"/>
  <c r="AG311" i="8" s="1"/>
  <c r="AF474" i="8"/>
  <c r="AG255" i="8"/>
  <c r="AJ255" i="8"/>
  <c r="AH863" i="7"/>
  <c r="AI798" i="8"/>
  <c r="AD587" i="8"/>
  <c r="AE587" i="8" s="1"/>
  <c r="AI308" i="12"/>
  <c r="AG477" i="7"/>
  <c r="AF1028" i="8"/>
  <c r="AH1028" i="8" s="1"/>
  <c r="AJ1028" i="8"/>
  <c r="AI586" i="7"/>
  <c r="AG852" i="8"/>
  <c r="AF477" i="7"/>
  <c r="AE148" i="12"/>
  <c r="AI422" i="8"/>
  <c r="AI257" i="12"/>
  <c r="AE420" i="7"/>
  <c r="AF643" i="7"/>
  <c r="AI366" i="7"/>
  <c r="AH701" i="8"/>
  <c r="AI202" i="12"/>
  <c r="AH695" i="7"/>
  <c r="AD530" i="8"/>
  <c r="AE530" i="8" s="1"/>
  <c r="AG530" i="8"/>
  <c r="AF255" i="8"/>
  <c r="AI257" i="7"/>
  <c r="AH801" i="7"/>
  <c r="AI145" i="7"/>
  <c r="AI751" i="7"/>
  <c r="AI365" i="8"/>
  <c r="AH914" i="7"/>
  <c r="AI643" i="7" l="1"/>
  <c r="AD644" i="7" s="1"/>
  <c r="AI255" i="8"/>
  <c r="AH474" i="8"/>
  <c r="AH852" i="8"/>
  <c r="AI477" i="7"/>
  <c r="AD478" i="7" s="1"/>
  <c r="AF311" i="7"/>
  <c r="AH255" i="8"/>
  <c r="AF530" i="8"/>
  <c r="AH530" i="8" s="1"/>
  <c r="AJ530" i="8"/>
  <c r="AJ758" i="8"/>
  <c r="AD146" i="7"/>
  <c r="AE146" i="7" s="1"/>
  <c r="AE696" i="7"/>
  <c r="AF696" i="7" s="1"/>
  <c r="AF587" i="8"/>
  <c r="AJ587" i="8"/>
  <c r="AI852" i="8"/>
  <c r="AD916" i="8"/>
  <c r="AI474" i="8"/>
  <c r="AJ970" i="8"/>
  <c r="AG970" i="8"/>
  <c r="AE915" i="7"/>
  <c r="AD366" i="8"/>
  <c r="AE366" i="8" s="1"/>
  <c r="AG366" i="8" s="1"/>
  <c r="AD752" i="7"/>
  <c r="AE752" i="7" s="1"/>
  <c r="AG752" i="7" s="1"/>
  <c r="AJ1082" i="8"/>
  <c r="AG1082" i="8"/>
  <c r="AE802" i="7"/>
  <c r="AF802" i="7" s="1"/>
  <c r="AD644" i="8"/>
  <c r="AE702" i="8"/>
  <c r="AF702" i="8" s="1"/>
  <c r="AG587" i="8"/>
  <c r="AG311" i="7"/>
  <c r="AI311" i="7" s="1"/>
  <c r="AD799" i="8"/>
  <c r="AE799" i="8" s="1"/>
  <c r="AG799" i="8" s="1"/>
  <c r="AI199" i="7"/>
  <c r="AG758" i="8"/>
  <c r="AI758" i="8" s="1"/>
  <c r="AH915" i="8"/>
  <c r="AJ420" i="7"/>
  <c r="AG420" i="7"/>
  <c r="AF970" i="8"/>
  <c r="AF420" i="7"/>
  <c r="AH420" i="7" s="1"/>
  <c r="AD258" i="12"/>
  <c r="AE258" i="12" s="1"/>
  <c r="AD423" i="8"/>
  <c r="AE423" i="8" s="1"/>
  <c r="AG423" i="8" s="1"/>
  <c r="AF145" i="8"/>
  <c r="AH145" i="8" s="1"/>
  <c r="AJ145" i="8"/>
  <c r="AD203" i="12"/>
  <c r="AE203" i="12" s="1"/>
  <c r="AG203" i="12" s="1"/>
  <c r="AD258" i="7"/>
  <c r="AE258" i="7" s="1"/>
  <c r="AG258" i="7" s="1"/>
  <c r="AD367" i="7"/>
  <c r="AE367" i="7" s="1"/>
  <c r="AG367" i="7" s="1"/>
  <c r="AD256" i="8"/>
  <c r="AD587" i="7"/>
  <c r="AE587" i="7" s="1"/>
  <c r="AG587" i="7"/>
  <c r="AF311" i="8"/>
  <c r="AH311" i="8" s="1"/>
  <c r="AJ311" i="8"/>
  <c r="AD309" i="12"/>
  <c r="AE309" i="12" s="1"/>
  <c r="AG148" i="12"/>
  <c r="AJ148" i="12"/>
  <c r="AF148" i="12"/>
  <c r="AH148" i="12" s="1"/>
  <c r="AF1082" i="8"/>
  <c r="AH477" i="7"/>
  <c r="AD529" i="7"/>
  <c r="AE529" i="7" s="1"/>
  <c r="AH643" i="7"/>
  <c r="AE864" i="7"/>
  <c r="AF864" i="7" s="1"/>
  <c r="AH643" i="8"/>
  <c r="AD204" i="8"/>
  <c r="AE204" i="8" s="1"/>
  <c r="AG204" i="8" s="1"/>
  <c r="AI1028" i="8"/>
  <c r="AH1082" i="8" l="1"/>
  <c r="AI970" i="8"/>
  <c r="AH587" i="8"/>
  <c r="AI530" i="8"/>
  <c r="AE644" i="7"/>
  <c r="AJ799" i="8"/>
  <c r="AF799" i="8"/>
  <c r="AH799" i="8" s="1"/>
  <c r="AF258" i="12"/>
  <c r="AJ258" i="12"/>
  <c r="AD531" i="8"/>
  <c r="AE531" i="8" s="1"/>
  <c r="AG915" i="7"/>
  <c r="AJ915" i="7"/>
  <c r="AD971" i="8"/>
  <c r="AH970" i="8"/>
  <c r="AI148" i="12"/>
  <c r="AJ309" i="12"/>
  <c r="AF309" i="12"/>
  <c r="AD312" i="7"/>
  <c r="AF529" i="7"/>
  <c r="AJ529" i="7"/>
  <c r="AD1029" i="8"/>
  <c r="AE1029" i="8" s="1"/>
  <c r="AG1029" i="8" s="1"/>
  <c r="AI420" i="7"/>
  <c r="AD475" i="8"/>
  <c r="AE475" i="8" s="1"/>
  <c r="AG475" i="8" s="1"/>
  <c r="AF204" i="8"/>
  <c r="AH204" i="8" s="1"/>
  <c r="AJ204" i="8"/>
  <c r="AG309" i="12"/>
  <c r="AI1082" i="8"/>
  <c r="AD200" i="7"/>
  <c r="AE200" i="7" s="1"/>
  <c r="AF366" i="8"/>
  <c r="AH366" i="8" s="1"/>
  <c r="AJ366" i="8"/>
  <c r="AJ696" i="7"/>
  <c r="AG696" i="7"/>
  <c r="AI696" i="7" s="1"/>
  <c r="AJ146" i="7"/>
  <c r="AF146" i="7"/>
  <c r="AG529" i="7"/>
  <c r="AI529" i="7" s="1"/>
  <c r="AI587" i="8"/>
  <c r="AG146" i="7"/>
  <c r="AG258" i="12"/>
  <c r="AI311" i="8"/>
  <c r="AF915" i="7"/>
  <c r="AJ802" i="7"/>
  <c r="AG802" i="7"/>
  <c r="AI802" i="7" s="1"/>
  <c r="AF258" i="7"/>
  <c r="AH258" i="7" s="1"/>
  <c r="AJ258" i="7"/>
  <c r="AE916" i="8"/>
  <c r="AF916" i="8" s="1"/>
  <c r="AI145" i="8"/>
  <c r="AJ423" i="8"/>
  <c r="AF423" i="8"/>
  <c r="AH423" i="8" s="1"/>
  <c r="AJ587" i="7"/>
  <c r="AF587" i="7"/>
  <c r="AH587" i="7" s="1"/>
  <c r="AJ702" i="8"/>
  <c r="AG702" i="8"/>
  <c r="AI702" i="8" s="1"/>
  <c r="AE478" i="7"/>
  <c r="AF478" i="7" s="1"/>
  <c r="AF367" i="7"/>
  <c r="AH367" i="7" s="1"/>
  <c r="AJ367" i="7"/>
  <c r="AE256" i="8"/>
  <c r="AF256" i="8" s="1"/>
  <c r="AH311" i="7"/>
  <c r="AE644" i="8"/>
  <c r="AF644" i="8" s="1"/>
  <c r="AJ864" i="7"/>
  <c r="AG864" i="7"/>
  <c r="AI864" i="7" s="1"/>
  <c r="AF203" i="12"/>
  <c r="AH203" i="12" s="1"/>
  <c r="AJ203" i="12"/>
  <c r="AD759" i="8"/>
  <c r="AJ752" i="7"/>
  <c r="AF752" i="7"/>
  <c r="AH752" i="7" s="1"/>
  <c r="AD853" i="8"/>
  <c r="AE853" i="8" s="1"/>
  <c r="AG853" i="8" s="1"/>
  <c r="AH758" i="8"/>
  <c r="AH915" i="7" l="1"/>
  <c r="AI309" i="12"/>
  <c r="AH258" i="12"/>
  <c r="AH146" i="7"/>
  <c r="AI204" i="8"/>
  <c r="AD205" i="8" s="1"/>
  <c r="AE205" i="8" s="1"/>
  <c r="AJ205" i="8" s="1"/>
  <c r="AI752" i="7"/>
  <c r="AD753" i="7" s="1"/>
  <c r="AE753" i="7" s="1"/>
  <c r="AG753" i="7" s="1"/>
  <c r="AF531" i="8"/>
  <c r="AJ531" i="8"/>
  <c r="AG531" i="8"/>
  <c r="AI531" i="8" s="1"/>
  <c r="AE759" i="8"/>
  <c r="AD530" i="7"/>
  <c r="AD803" i="7"/>
  <c r="AJ644" i="7"/>
  <c r="AG644" i="7"/>
  <c r="AI644" i="7" s="1"/>
  <c r="AD865" i="7"/>
  <c r="AI587" i="7"/>
  <c r="AH864" i="7"/>
  <c r="AI423" i="8"/>
  <c r="AJ475" i="8"/>
  <c r="AF475" i="8"/>
  <c r="AH475" i="8" s="1"/>
  <c r="AD421" i="7"/>
  <c r="AE421" i="7" s="1"/>
  <c r="AG421" i="7"/>
  <c r="AD697" i="7"/>
  <c r="AD149" i="12"/>
  <c r="AE149" i="12" s="1"/>
  <c r="AG149" i="12" s="1"/>
  <c r="AD1083" i="8"/>
  <c r="AE1083" i="8" s="1"/>
  <c r="AG1083" i="8"/>
  <c r="AD310" i="12"/>
  <c r="AI366" i="8"/>
  <c r="AD588" i="8"/>
  <c r="AE588" i="8" s="1"/>
  <c r="AJ853" i="8"/>
  <c r="AF853" i="8"/>
  <c r="AH853" i="8" s="1"/>
  <c r="AF1029" i="8"/>
  <c r="AH1029" i="8" s="1"/>
  <c r="AJ1029" i="8"/>
  <c r="AD703" i="8"/>
  <c r="AH309" i="12"/>
  <c r="AF200" i="7"/>
  <c r="AJ200" i="7"/>
  <c r="AI367" i="7"/>
  <c r="AH529" i="7"/>
  <c r="AD312" i="8"/>
  <c r="AE312" i="8" s="1"/>
  <c r="AG312" i="8"/>
  <c r="AH702" i="8"/>
  <c r="AD146" i="8"/>
  <c r="AE146" i="8" s="1"/>
  <c r="AG916" i="8"/>
  <c r="AI916" i="8" s="1"/>
  <c r="AJ916" i="8"/>
  <c r="AJ478" i="7"/>
  <c r="AG478" i="7"/>
  <c r="AI478" i="7" s="1"/>
  <c r="AI799" i="8"/>
  <c r="AG200" i="7"/>
  <c r="AF644" i="7"/>
  <c r="AE971" i="8"/>
  <c r="AI258" i="7"/>
  <c r="AG644" i="8"/>
  <c r="AI644" i="8" s="1"/>
  <c r="AJ644" i="8"/>
  <c r="AE312" i="7"/>
  <c r="AF312" i="7" s="1"/>
  <c r="AI258" i="12"/>
  <c r="AH802" i="7"/>
  <c r="AG256" i="8"/>
  <c r="AI256" i="8" s="1"/>
  <c r="AJ256" i="8"/>
  <c r="AI203" i="12"/>
  <c r="AI146" i="7"/>
  <c r="AI915" i="7"/>
  <c r="AH696" i="7"/>
  <c r="AH916" i="8" l="1"/>
  <c r="AI200" i="7"/>
  <c r="AH644" i="8"/>
  <c r="AF753" i="7"/>
  <c r="AH753" i="7" s="1"/>
  <c r="AE310" i="12"/>
  <c r="AF310" i="12" s="1"/>
  <c r="AF146" i="8"/>
  <c r="AJ146" i="8"/>
  <c r="AD424" i="8"/>
  <c r="AE424" i="8" s="1"/>
  <c r="AF205" i="8"/>
  <c r="AH205" i="8" s="1"/>
  <c r="AE703" i="8"/>
  <c r="AF703" i="8" s="1"/>
  <c r="AD588" i="7"/>
  <c r="AE588" i="7" s="1"/>
  <c r="AF312" i="8"/>
  <c r="AH312" i="8" s="1"/>
  <c r="AJ312" i="8"/>
  <c r="AD645" i="7"/>
  <c r="AE697" i="7"/>
  <c r="AF697" i="7" s="1"/>
  <c r="AE530" i="7"/>
  <c r="AF530" i="7" s="1"/>
  <c r="AF588" i="8"/>
  <c r="AJ588" i="8"/>
  <c r="AD479" i="7"/>
  <c r="AH478" i="7"/>
  <c r="AG205" i="8"/>
  <c r="AD367" i="8"/>
  <c r="AE367" i="8" s="1"/>
  <c r="AG367" i="8" s="1"/>
  <c r="AI1029" i="8"/>
  <c r="AD147" i="7"/>
  <c r="AE147" i="7" s="1"/>
  <c r="AD204" i="12"/>
  <c r="AE204" i="12" s="1"/>
  <c r="AG204" i="12" s="1"/>
  <c r="AH200" i="7"/>
  <c r="AD257" i="8"/>
  <c r="AJ1083" i="8"/>
  <c r="AF1083" i="8"/>
  <c r="AH1083" i="8" s="1"/>
  <c r="AI475" i="8"/>
  <c r="AF149" i="12"/>
  <c r="AH149" i="12" s="1"/>
  <c r="AJ149" i="12"/>
  <c r="AG146" i="8"/>
  <c r="AE865" i="7"/>
  <c r="AD259" i="12"/>
  <c r="AE259" i="12" s="1"/>
  <c r="AJ312" i="7"/>
  <c r="AG312" i="7"/>
  <c r="AI312" i="7" s="1"/>
  <c r="AD800" i="8"/>
  <c r="AE800" i="8" s="1"/>
  <c r="AG800" i="8" s="1"/>
  <c r="AI853" i="8"/>
  <c r="AD645" i="8"/>
  <c r="AE645" i="8" s="1"/>
  <c r="AJ645" i="8" s="1"/>
  <c r="AG759" i="8"/>
  <c r="AJ759" i="8"/>
  <c r="AD916" i="7"/>
  <c r="AE916" i="7" s="1"/>
  <c r="AD259" i="7"/>
  <c r="AE259" i="7" s="1"/>
  <c r="AG259" i="7" s="1"/>
  <c r="AD368" i="7"/>
  <c r="AE368" i="7" s="1"/>
  <c r="AG368" i="7" s="1"/>
  <c r="AF759" i="8"/>
  <c r="AG588" i="8"/>
  <c r="AJ753" i="7"/>
  <c r="AD532" i="8"/>
  <c r="AG971" i="8"/>
  <c r="AJ971" i="8"/>
  <c r="AF421" i="7"/>
  <c r="AH421" i="7" s="1"/>
  <c r="AJ421" i="7"/>
  <c r="AH531" i="8"/>
  <c r="AF971" i="8"/>
  <c r="AH971" i="8" s="1"/>
  <c r="AE803" i="7"/>
  <c r="AF803" i="7" s="1"/>
  <c r="AH644" i="7"/>
  <c r="AD917" i="8"/>
  <c r="AE917" i="8" s="1"/>
  <c r="AH256" i="8"/>
  <c r="AD201" i="7"/>
  <c r="AF917" i="8" l="1"/>
  <c r="AG917" i="8"/>
  <c r="AJ917" i="8"/>
  <c r="AI759" i="8"/>
  <c r="AI312" i="8"/>
  <c r="AI146" i="8"/>
  <c r="AI753" i="7"/>
  <c r="AD754" i="7" s="1"/>
  <c r="AE754" i="7" s="1"/>
  <c r="AJ754" i="7" s="1"/>
  <c r="AH917" i="8"/>
  <c r="AH588" i="8"/>
  <c r="AF916" i="7"/>
  <c r="AJ916" i="7"/>
  <c r="AJ865" i="7"/>
  <c r="AG865" i="7"/>
  <c r="AI865" i="7" s="1"/>
  <c r="AD760" i="8"/>
  <c r="AJ424" i="8"/>
  <c r="AF424" i="8"/>
  <c r="AJ147" i="7"/>
  <c r="AF147" i="7"/>
  <c r="AH759" i="8"/>
  <c r="AI149" i="12"/>
  <c r="AF259" i="12"/>
  <c r="AJ259" i="12"/>
  <c r="AG259" i="12"/>
  <c r="AI259" i="12" s="1"/>
  <c r="AF865" i="7"/>
  <c r="AD147" i="8"/>
  <c r="AF645" i="8"/>
  <c r="AG645" i="8"/>
  <c r="AI645" i="8" s="1"/>
  <c r="AI421" i="7"/>
  <c r="AD1030" i="8"/>
  <c r="AE1030" i="8" s="1"/>
  <c r="AG1030" i="8" s="1"/>
  <c r="AF368" i="7"/>
  <c r="AH368" i="7" s="1"/>
  <c r="AJ368" i="7"/>
  <c r="AE201" i="7"/>
  <c r="AF201" i="7" s="1"/>
  <c r="AI971" i="8"/>
  <c r="AD854" i="8"/>
  <c r="AE854" i="8" s="1"/>
  <c r="AD476" i="8"/>
  <c r="AE476" i="8" s="1"/>
  <c r="AG476" i="8" s="1"/>
  <c r="AG147" i="7"/>
  <c r="AE257" i="8"/>
  <c r="AF257" i="8" s="1"/>
  <c r="AF367" i="8"/>
  <c r="AH367" i="8" s="1"/>
  <c r="AJ367" i="8"/>
  <c r="AI917" i="8"/>
  <c r="AE645" i="7"/>
  <c r="AI259" i="7"/>
  <c r="AD313" i="7"/>
  <c r="AE479" i="7"/>
  <c r="AF479" i="7" s="1"/>
  <c r="AF588" i="7"/>
  <c r="AJ588" i="7"/>
  <c r="AH312" i="7"/>
  <c r="AG916" i="7"/>
  <c r="AJ703" i="8"/>
  <c r="AG703" i="8"/>
  <c r="AI703" i="8" s="1"/>
  <c r="AE532" i="8"/>
  <c r="AF532" i="8" s="1"/>
  <c r="AF204" i="12"/>
  <c r="AH204" i="12" s="1"/>
  <c r="AJ204" i="12"/>
  <c r="AJ530" i="7"/>
  <c r="AG530" i="7"/>
  <c r="AI530" i="7" s="1"/>
  <c r="AG424" i="8"/>
  <c r="AJ697" i="7"/>
  <c r="AG697" i="7"/>
  <c r="AI697" i="7" s="1"/>
  <c r="AH146" i="8"/>
  <c r="AJ310" i="12"/>
  <c r="AG310" i="12"/>
  <c r="AI310" i="12" s="1"/>
  <c r="AI588" i="8"/>
  <c r="AD313" i="8"/>
  <c r="AE313" i="8" s="1"/>
  <c r="AJ313" i="8" s="1"/>
  <c r="AF800" i="8"/>
  <c r="AH800" i="8" s="1"/>
  <c r="AJ800" i="8"/>
  <c r="AI205" i="8"/>
  <c r="AJ803" i="7"/>
  <c r="AG803" i="7"/>
  <c r="AI803" i="7" s="1"/>
  <c r="AJ259" i="7"/>
  <c r="AF259" i="7"/>
  <c r="AH259" i="7" s="1"/>
  <c r="AI1083" i="8"/>
  <c r="AG588" i="7"/>
  <c r="AH916" i="7" l="1"/>
  <c r="AH147" i="7"/>
  <c r="AI588" i="7"/>
  <c r="AD589" i="7" s="1"/>
  <c r="AI424" i="8"/>
  <c r="AH697" i="7"/>
  <c r="AH310" i="12"/>
  <c r="AF754" i="7"/>
  <c r="AD425" i="8"/>
  <c r="AJ645" i="7"/>
  <c r="AG645" i="7"/>
  <c r="AE760" i="8"/>
  <c r="AF645" i="7"/>
  <c r="AH645" i="7" s="1"/>
  <c r="AD918" i="8"/>
  <c r="AE918" i="8" s="1"/>
  <c r="AH530" i="7"/>
  <c r="AH865" i="7"/>
  <c r="AD589" i="8"/>
  <c r="AE589" i="8" s="1"/>
  <c r="AG589" i="8" s="1"/>
  <c r="AD260" i="12"/>
  <c r="AD804" i="7"/>
  <c r="AD260" i="7"/>
  <c r="AD422" i="7"/>
  <c r="AE422" i="7" s="1"/>
  <c r="AF313" i="8"/>
  <c r="AG754" i="7"/>
  <c r="AD646" i="8"/>
  <c r="AD206" i="8"/>
  <c r="AE206" i="8" s="1"/>
  <c r="AI204" i="12"/>
  <c r="AJ257" i="8"/>
  <c r="AG257" i="8"/>
  <c r="AI257" i="8" s="1"/>
  <c r="AH703" i="8"/>
  <c r="AI916" i="7"/>
  <c r="AH424" i="8"/>
  <c r="AD311" i="12"/>
  <c r="AE311" i="12" s="1"/>
  <c r="AE313" i="7"/>
  <c r="AD1084" i="8"/>
  <c r="AE1084" i="8" s="1"/>
  <c r="AG1084" i="8" s="1"/>
  <c r="AI147" i="7"/>
  <c r="AH803" i="7"/>
  <c r="AF854" i="8"/>
  <c r="AJ854" i="8"/>
  <c r="AG854" i="8"/>
  <c r="AI854" i="8" s="1"/>
  <c r="AG313" i="8"/>
  <c r="AI313" i="8" s="1"/>
  <c r="AD704" i="8"/>
  <c r="AG201" i="7"/>
  <c r="AI201" i="7" s="1"/>
  <c r="AJ201" i="7"/>
  <c r="AI367" i="8"/>
  <c r="AE147" i="8"/>
  <c r="AF147" i="8" s="1"/>
  <c r="AH588" i="7"/>
  <c r="AH259" i="12"/>
  <c r="AI368" i="7"/>
  <c r="AF1030" i="8"/>
  <c r="AH1030" i="8" s="1"/>
  <c r="AJ1030" i="8"/>
  <c r="AD866" i="7"/>
  <c r="AD531" i="7"/>
  <c r="AD972" i="8"/>
  <c r="AE972" i="8" s="1"/>
  <c r="AH645" i="8"/>
  <c r="AG532" i="8"/>
  <c r="AI532" i="8" s="1"/>
  <c r="AJ532" i="8"/>
  <c r="AE260" i="7"/>
  <c r="AJ260" i="7" s="1"/>
  <c r="AD698" i="7"/>
  <c r="AE698" i="7" s="1"/>
  <c r="AG479" i="7"/>
  <c r="AI479" i="7" s="1"/>
  <c r="AJ479" i="7"/>
  <c r="AF476" i="8"/>
  <c r="AH476" i="8" s="1"/>
  <c r="AJ476" i="8"/>
  <c r="AD150" i="12"/>
  <c r="AE150" i="12" s="1"/>
  <c r="AI800" i="8"/>
  <c r="AI754" i="7" l="1"/>
  <c r="AI476" i="8"/>
  <c r="AF311" i="12"/>
  <c r="AJ311" i="12"/>
  <c r="AG311" i="12"/>
  <c r="AI311" i="12" s="1"/>
  <c r="AF698" i="7"/>
  <c r="AJ698" i="7"/>
  <c r="AG698" i="7"/>
  <c r="AI698" i="7" s="1"/>
  <c r="AD480" i="7"/>
  <c r="AJ760" i="8"/>
  <c r="AG760" i="8"/>
  <c r="AI760" i="8" s="1"/>
  <c r="AJ313" i="7"/>
  <c r="AG313" i="7"/>
  <c r="AF589" i="8"/>
  <c r="AH589" i="8" s="1"/>
  <c r="AJ589" i="8"/>
  <c r="AD801" i="8"/>
  <c r="AE801" i="8" s="1"/>
  <c r="AG801" i="8" s="1"/>
  <c r="AE425" i="8"/>
  <c r="AF150" i="12"/>
  <c r="AJ150" i="12"/>
  <c r="AF972" i="8"/>
  <c r="AJ972" i="8"/>
  <c r="AD258" i="8"/>
  <c r="AH201" i="7"/>
  <c r="AD205" i="12"/>
  <c r="AE205" i="12" s="1"/>
  <c r="AG205" i="12" s="1"/>
  <c r="AF1084" i="8"/>
  <c r="AH1084" i="8" s="1"/>
  <c r="AJ1084" i="8"/>
  <c r="AF260" i="7"/>
  <c r="AE260" i="12"/>
  <c r="AF422" i="7"/>
  <c r="AJ422" i="7"/>
  <c r="AG422" i="7"/>
  <c r="AI422" i="7" s="1"/>
  <c r="AE531" i="7"/>
  <c r="AI1030" i="8"/>
  <c r="AD477" i="8"/>
  <c r="AD368" i="8"/>
  <c r="AE368" i="8" s="1"/>
  <c r="AD202" i="7"/>
  <c r="AF918" i="8"/>
  <c r="AJ918" i="8"/>
  <c r="AH257" i="8"/>
  <c r="AD148" i="7"/>
  <c r="AE148" i="7" s="1"/>
  <c r="AG148" i="7" s="1"/>
  <c r="AD314" i="8"/>
  <c r="AF313" i="7"/>
  <c r="AD533" i="8"/>
  <c r="AE589" i="7"/>
  <c r="AF589" i="7" s="1"/>
  <c r="AH754" i="7"/>
  <c r="AE646" i="8"/>
  <c r="AF646" i="8" s="1"/>
  <c r="AG260" i="7"/>
  <c r="AE704" i="8"/>
  <c r="AG972" i="8"/>
  <c r="AE477" i="8"/>
  <c r="AF477" i="8" s="1"/>
  <c r="AG918" i="8"/>
  <c r="AJ206" i="8"/>
  <c r="AF206" i="8"/>
  <c r="AG206" i="8"/>
  <c r="AF760" i="8"/>
  <c r="AI645" i="7"/>
  <c r="AD369" i="7"/>
  <c r="AE369" i="7" s="1"/>
  <c r="AG369" i="7" s="1"/>
  <c r="AD755" i="7"/>
  <c r="AH313" i="8"/>
  <c r="AG147" i="8"/>
  <c r="AI147" i="8" s="1"/>
  <c r="AJ147" i="8"/>
  <c r="AE866" i="7"/>
  <c r="AG150" i="12"/>
  <c r="AI150" i="12" s="1"/>
  <c r="AD917" i="7"/>
  <c r="AE917" i="7" s="1"/>
  <c r="AD855" i="8"/>
  <c r="AH854" i="8"/>
  <c r="AE804" i="7"/>
  <c r="AH479" i="7"/>
  <c r="AH532" i="8"/>
  <c r="AI972" i="8" l="1"/>
  <c r="AG477" i="8"/>
  <c r="AH477" i="8" s="1"/>
  <c r="AI313" i="7"/>
  <c r="AI918" i="8"/>
  <c r="AI589" i="8"/>
  <c r="AD590" i="8" s="1"/>
  <c r="AE590" i="8" s="1"/>
  <c r="AF590" i="8" s="1"/>
  <c r="AH206" i="8"/>
  <c r="AI260" i="7"/>
  <c r="AD261" i="7" s="1"/>
  <c r="AI477" i="8"/>
  <c r="AD919" i="8"/>
  <c r="AE202" i="7"/>
  <c r="AF202" i="7" s="1"/>
  <c r="AD423" i="7"/>
  <c r="AD148" i="8"/>
  <c r="AE314" i="8"/>
  <c r="AG804" i="7"/>
  <c r="AJ804" i="7"/>
  <c r="AG425" i="8"/>
  <c r="AJ425" i="8"/>
  <c r="AD646" i="7"/>
  <c r="AE646" i="7" s="1"/>
  <c r="AG646" i="7" s="1"/>
  <c r="AH260" i="7"/>
  <c r="AF425" i="8"/>
  <c r="AJ477" i="8"/>
  <c r="AH760" i="8"/>
  <c r="AH147" i="8"/>
  <c r="AJ866" i="7"/>
  <c r="AG866" i="7"/>
  <c r="AG531" i="7"/>
  <c r="AJ531" i="7"/>
  <c r="AF866" i="7"/>
  <c r="AH866" i="7" s="1"/>
  <c r="AF531" i="7"/>
  <c r="AH531" i="7" s="1"/>
  <c r="AD973" i="8"/>
  <c r="AJ704" i="8"/>
  <c r="AG704" i="8"/>
  <c r="AE533" i="8"/>
  <c r="AH422" i="7"/>
  <c r="AE258" i="8"/>
  <c r="AJ646" i="8"/>
  <c r="AG646" i="8"/>
  <c r="AI646" i="8" s="1"/>
  <c r="AJ260" i="12"/>
  <c r="AG260" i="12"/>
  <c r="AG589" i="7"/>
  <c r="AI589" i="7" s="1"/>
  <c r="AJ589" i="7"/>
  <c r="AI206" i="8"/>
  <c r="AJ801" i="8"/>
  <c r="AF801" i="8"/>
  <c r="AH801" i="8" s="1"/>
  <c r="AD312" i="12"/>
  <c r="AD151" i="12"/>
  <c r="AD761" i="8"/>
  <c r="AF704" i="8"/>
  <c r="AH972" i="8"/>
  <c r="AD699" i="7"/>
  <c r="AH918" i="8"/>
  <c r="AH150" i="12"/>
  <c r="AE755" i="7"/>
  <c r="AF755" i="7" s="1"/>
  <c r="AH698" i="7"/>
  <c r="AF368" i="8"/>
  <c r="AJ368" i="8"/>
  <c r="AG368" i="8"/>
  <c r="AI368" i="8" s="1"/>
  <c r="AI1084" i="8"/>
  <c r="AF917" i="7"/>
  <c r="AJ917" i="7"/>
  <c r="AD314" i="7"/>
  <c r="AD1031" i="8"/>
  <c r="AE1031" i="8" s="1"/>
  <c r="AG1031" i="8" s="1"/>
  <c r="AF148" i="7"/>
  <c r="AH148" i="7" s="1"/>
  <c r="AJ148" i="7"/>
  <c r="AE480" i="7"/>
  <c r="AF804" i="7"/>
  <c r="AF369" i="7"/>
  <c r="AH369" i="7" s="1"/>
  <c r="AJ369" i="7"/>
  <c r="AF260" i="12"/>
  <c r="AE855" i="8"/>
  <c r="AF855" i="8" s="1"/>
  <c r="AG917" i="7"/>
  <c r="AH313" i="7"/>
  <c r="AJ205" i="12"/>
  <c r="AF205" i="12"/>
  <c r="AH205" i="12" s="1"/>
  <c r="AH311" i="12"/>
  <c r="AH260" i="12" l="1"/>
  <c r="AJ590" i="8"/>
  <c r="AH425" i="8"/>
  <c r="AG590" i="8"/>
  <c r="AH590" i="8"/>
  <c r="AI704" i="8"/>
  <c r="AI917" i="7"/>
  <c r="AD918" i="7" s="1"/>
  <c r="AH804" i="7"/>
  <c r="AE148" i="8"/>
  <c r="AF148" i="8" s="1"/>
  <c r="AE761" i="8"/>
  <c r="AD705" i="8"/>
  <c r="AE973" i="8"/>
  <c r="AD207" i="8"/>
  <c r="AE207" i="8" s="1"/>
  <c r="AG207" i="8" s="1"/>
  <c r="AD590" i="7"/>
  <c r="AI531" i="7"/>
  <c r="AI801" i="8"/>
  <c r="AJ258" i="8"/>
  <c r="AG258" i="8"/>
  <c r="AE314" i="7"/>
  <c r="AF314" i="7" s="1"/>
  <c r="AE423" i="7"/>
  <c r="AF423" i="7" s="1"/>
  <c r="AF1031" i="8"/>
  <c r="AH1031" i="8" s="1"/>
  <c r="AJ1031" i="8"/>
  <c r="AI369" i="7"/>
  <c r="AE312" i="12"/>
  <c r="AI866" i="7"/>
  <c r="AI804" i="7"/>
  <c r="AI148" i="7"/>
  <c r="AJ533" i="8"/>
  <c r="AG533" i="8"/>
  <c r="AF533" i="8"/>
  <c r="AH533" i="8" s="1"/>
  <c r="AJ202" i="7"/>
  <c r="AG202" i="7"/>
  <c r="AI202" i="7" s="1"/>
  <c r="AF646" i="7"/>
  <c r="AH646" i="7" s="1"/>
  <c r="AJ646" i="7"/>
  <c r="AH704" i="8"/>
  <c r="AI425" i="8"/>
  <c r="AD1085" i="8"/>
  <c r="AE1085" i="8" s="1"/>
  <c r="AG1085" i="8" s="1"/>
  <c r="AI590" i="8"/>
  <c r="AI260" i="12"/>
  <c r="AJ480" i="7"/>
  <c r="AG480" i="7"/>
  <c r="AH368" i="8"/>
  <c r="AD647" i="8"/>
  <c r="AJ314" i="8"/>
  <c r="AG314" i="8"/>
  <c r="AH589" i="7"/>
  <c r="AJ755" i="7"/>
  <c r="AG755" i="7"/>
  <c r="AI755" i="7" s="1"/>
  <c r="AF258" i="8"/>
  <c r="AH258" i="8" s="1"/>
  <c r="AE151" i="12"/>
  <c r="AE919" i="8"/>
  <c r="AJ855" i="8"/>
  <c r="AG855" i="8"/>
  <c r="AI855" i="8" s="1"/>
  <c r="AE261" i="7"/>
  <c r="AH917" i="7"/>
  <c r="AD478" i="8"/>
  <c r="AE478" i="8" s="1"/>
  <c r="AF478" i="8" s="1"/>
  <c r="AD369" i="8"/>
  <c r="AF480" i="7"/>
  <c r="AH480" i="7" s="1"/>
  <c r="AE699" i="7"/>
  <c r="AI205" i="12"/>
  <c r="AF314" i="8"/>
  <c r="AH646" i="8"/>
  <c r="AI314" i="8" l="1"/>
  <c r="AG478" i="8"/>
  <c r="AI478" i="8" s="1"/>
  <c r="AJ478" i="8"/>
  <c r="AJ261" i="7"/>
  <c r="AG261" i="7"/>
  <c r="AF261" i="7"/>
  <c r="AH261" i="7" s="1"/>
  <c r="AG761" i="8"/>
  <c r="AJ761" i="8"/>
  <c r="AD856" i="8"/>
  <c r="AI533" i="8"/>
  <c r="AG919" i="8"/>
  <c r="AJ919" i="8"/>
  <c r="AD805" i="7"/>
  <c r="AE805" i="7" s="1"/>
  <c r="AG805" i="7" s="1"/>
  <c r="AF919" i="8"/>
  <c r="AI1031" i="8"/>
  <c r="AD261" i="12"/>
  <c r="AE261" i="12" s="1"/>
  <c r="AH202" i="7"/>
  <c r="AG312" i="12"/>
  <c r="AJ312" i="12"/>
  <c r="AG973" i="8"/>
  <c r="AJ973" i="8"/>
  <c r="AF312" i="12"/>
  <c r="AF973" i="8"/>
  <c r="AH755" i="7"/>
  <c r="AD802" i="8"/>
  <c r="AE802" i="8" s="1"/>
  <c r="AE590" i="7"/>
  <c r="AG699" i="7"/>
  <c r="AJ699" i="7"/>
  <c r="AD203" i="7"/>
  <c r="AF699" i="7"/>
  <c r="AH699" i="7" s="1"/>
  <c r="AF761" i="8"/>
  <c r="AD149" i="7"/>
  <c r="AE149" i="7" s="1"/>
  <c r="AG149" i="7" s="1"/>
  <c r="AD867" i="7"/>
  <c r="AE867" i="7" s="1"/>
  <c r="AG867" i="7" s="1"/>
  <c r="AG423" i="7"/>
  <c r="AI423" i="7" s="1"/>
  <c r="AJ423" i="7"/>
  <c r="AF1085" i="8"/>
  <c r="AH1085" i="8" s="1"/>
  <c r="AJ1085" i="8"/>
  <c r="AH478" i="8"/>
  <c r="AE647" i="8"/>
  <c r="AD426" i="8"/>
  <c r="AE426" i="8" s="1"/>
  <c r="AG426" i="8" s="1"/>
  <c r="AD370" i="7"/>
  <c r="AE370" i="7" s="1"/>
  <c r="AI258" i="8"/>
  <c r="AH855" i="8"/>
  <c r="AD206" i="12"/>
  <c r="AE206" i="12" s="1"/>
  <c r="AG206" i="12" s="1"/>
  <c r="AD315" i="8"/>
  <c r="AD532" i="7"/>
  <c r="AE532" i="7" s="1"/>
  <c r="AG532" i="7" s="1"/>
  <c r="AE369" i="8"/>
  <c r="AF369" i="8" s="1"/>
  <c r="AG148" i="8"/>
  <c r="AI148" i="8" s="1"/>
  <c r="AJ148" i="8"/>
  <c r="AI480" i="7"/>
  <c r="AJ207" i="8"/>
  <c r="AF207" i="8"/>
  <c r="AH207" i="8" s="1"/>
  <c r="AG151" i="12"/>
  <c r="AJ151" i="12"/>
  <c r="AD591" i="8"/>
  <c r="AE591" i="8" s="1"/>
  <c r="AG591" i="8" s="1"/>
  <c r="AD479" i="8"/>
  <c r="AF151" i="12"/>
  <c r="AH151" i="12" s="1"/>
  <c r="AJ314" i="7"/>
  <c r="AG314" i="7"/>
  <c r="AI314" i="7" s="1"/>
  <c r="AH314" i="8"/>
  <c r="AE918" i="7"/>
  <c r="AF918" i="7" s="1"/>
  <c r="AD756" i="7"/>
  <c r="AE705" i="8"/>
  <c r="AI646" i="7"/>
  <c r="AI761" i="8" l="1"/>
  <c r="AD762" i="8" s="1"/>
  <c r="AI973" i="8"/>
  <c r="AI312" i="12"/>
  <c r="AH148" i="8"/>
  <c r="AI919" i="8"/>
  <c r="AD920" i="8"/>
  <c r="AD534" i="8"/>
  <c r="AE534" i="8" s="1"/>
  <c r="AJ591" i="8"/>
  <c r="AF591" i="8"/>
  <c r="AH591" i="8" s="1"/>
  <c r="AG647" i="8"/>
  <c r="AJ647" i="8"/>
  <c r="AD974" i="8"/>
  <c r="AF532" i="7"/>
  <c r="AH532" i="7" s="1"/>
  <c r="AJ532" i="7"/>
  <c r="AD313" i="12"/>
  <c r="AD647" i="7"/>
  <c r="AE647" i="7" s="1"/>
  <c r="AG647" i="7" s="1"/>
  <c r="AI151" i="12"/>
  <c r="AF261" i="12"/>
  <c r="AJ261" i="12"/>
  <c r="AJ590" i="7"/>
  <c r="AG590" i="7"/>
  <c r="AD481" i="7"/>
  <c r="AE481" i="7" s="1"/>
  <c r="AJ206" i="12"/>
  <c r="AF206" i="12"/>
  <c r="AH206" i="12" s="1"/>
  <c r="AE856" i="8"/>
  <c r="AH919" i="8"/>
  <c r="AI207" i="8"/>
  <c r="AJ369" i="8"/>
  <c r="AG369" i="8"/>
  <c r="AI369" i="8" s="1"/>
  <c r="AD259" i="8"/>
  <c r="AE259" i="8" s="1"/>
  <c r="AG259" i="8" s="1"/>
  <c r="AE756" i="7"/>
  <c r="AH423" i="7"/>
  <c r="AG705" i="8"/>
  <c r="AJ705" i="8"/>
  <c r="AI261" i="7"/>
  <c r="AF705" i="8"/>
  <c r="AH705" i="8" s="1"/>
  <c r="AF590" i="7"/>
  <c r="AG918" i="7"/>
  <c r="AI918" i="7" s="1"/>
  <c r="AJ918" i="7"/>
  <c r="AF149" i="7"/>
  <c r="AH149" i="7" s="1"/>
  <c r="AJ149" i="7"/>
  <c r="AH973" i="8"/>
  <c r="AJ805" i="7"/>
  <c r="AF805" i="7"/>
  <c r="AH805" i="7" s="1"/>
  <c r="AI1085" i="8"/>
  <c r="AJ426" i="8"/>
  <c r="AF426" i="8"/>
  <c r="AH426" i="8" s="1"/>
  <c r="AF647" i="8"/>
  <c r="AE479" i="8"/>
  <c r="AE203" i="7"/>
  <c r="AI699" i="7"/>
  <c r="AD424" i="7"/>
  <c r="AG261" i="12"/>
  <c r="AI261" i="12" s="1"/>
  <c r="AF867" i="7"/>
  <c r="AH867" i="7" s="1"/>
  <c r="AJ867" i="7"/>
  <c r="AD1032" i="8"/>
  <c r="AE1032" i="8" s="1"/>
  <c r="AG1032" i="8" s="1"/>
  <c r="AF802" i="8"/>
  <c r="AJ802" i="8"/>
  <c r="AG802" i="8"/>
  <c r="AD149" i="8"/>
  <c r="AE149" i="8" s="1"/>
  <c r="AG149" i="8" s="1"/>
  <c r="AE315" i="8"/>
  <c r="AJ370" i="7"/>
  <c r="AF370" i="7"/>
  <c r="AD315" i="7"/>
  <c r="AG370" i="7"/>
  <c r="AI370" i="7" s="1"/>
  <c r="AH761" i="8"/>
  <c r="AH312" i="12"/>
  <c r="AH314" i="7"/>
  <c r="AI426" i="8" l="1"/>
  <c r="AH369" i="8"/>
  <c r="AH647" i="8"/>
  <c r="AI590" i="7"/>
  <c r="AI802" i="8"/>
  <c r="AJ479" i="8"/>
  <c r="AG479" i="8"/>
  <c r="AF479" i="8"/>
  <c r="AH479" i="8" s="1"/>
  <c r="AD371" i="7"/>
  <c r="AG856" i="8"/>
  <c r="AJ856" i="8"/>
  <c r="AD262" i="12"/>
  <c r="AI705" i="8"/>
  <c r="AH370" i="7"/>
  <c r="AF149" i="8"/>
  <c r="AH149" i="8" s="1"/>
  <c r="AJ315" i="8"/>
  <c r="AG315" i="8"/>
  <c r="AJ481" i="7"/>
  <c r="AF481" i="7"/>
  <c r="AJ203" i="7"/>
  <c r="AG203" i="7"/>
  <c r="AG481" i="7"/>
  <c r="AI481" i="7" s="1"/>
  <c r="AI532" i="7"/>
  <c r="AJ149" i="8"/>
  <c r="AJ259" i="8"/>
  <c r="AF259" i="8"/>
  <c r="AH259" i="8" s="1"/>
  <c r="AH918" i="7"/>
  <c r="AD208" i="8"/>
  <c r="AE208" i="8" s="1"/>
  <c r="AE920" i="8"/>
  <c r="AF920" i="8" s="1"/>
  <c r="AD427" i="8"/>
  <c r="AE427" i="8" s="1"/>
  <c r="AG427" i="8" s="1"/>
  <c r="AJ647" i="7"/>
  <c r="AF647" i="7"/>
  <c r="AH647" i="7" s="1"/>
  <c r="AF315" i="8"/>
  <c r="AJ534" i="8"/>
  <c r="AF534" i="8"/>
  <c r="AJ756" i="7"/>
  <c r="AG756" i="7"/>
  <c r="AD803" i="8"/>
  <c r="AF756" i="7"/>
  <c r="AH756" i="7" s="1"/>
  <c r="AD591" i="7"/>
  <c r="AD919" i="7"/>
  <c r="AE315" i="7"/>
  <c r="AH802" i="8"/>
  <c r="AI206" i="12"/>
  <c r="AD370" i="8"/>
  <c r="AE370" i="8" s="1"/>
  <c r="AF370" i="8" s="1"/>
  <c r="AI647" i="8"/>
  <c r="AI867" i="7"/>
  <c r="AE313" i="12"/>
  <c r="AF313" i="12" s="1"/>
  <c r="AD152" i="12"/>
  <c r="AE152" i="12" s="1"/>
  <c r="AE762" i="8"/>
  <c r="AD262" i="7"/>
  <c r="AE262" i="7" s="1"/>
  <c r="AG262" i="7" s="1"/>
  <c r="AI647" i="7"/>
  <c r="AF856" i="8"/>
  <c r="AI591" i="8"/>
  <c r="AD1086" i="8"/>
  <c r="AE1086" i="8" s="1"/>
  <c r="AG1086" i="8" s="1"/>
  <c r="AD700" i="7"/>
  <c r="AE700" i="7" s="1"/>
  <c r="AG700" i="7" s="1"/>
  <c r="AE974" i="8"/>
  <c r="AF974" i="8" s="1"/>
  <c r="AE424" i="7"/>
  <c r="AI805" i="7"/>
  <c r="AG534" i="8"/>
  <c r="AF203" i="7"/>
  <c r="AJ1032" i="8"/>
  <c r="AF1032" i="8"/>
  <c r="AH1032" i="8" s="1"/>
  <c r="AH590" i="7"/>
  <c r="AH261" i="12"/>
  <c r="AI149" i="7"/>
  <c r="AI1032" i="8" l="1"/>
  <c r="AH856" i="8"/>
  <c r="AH315" i="8"/>
  <c r="AI259" i="8"/>
  <c r="AH203" i="7"/>
  <c r="AI534" i="8"/>
  <c r="AD535" i="8" s="1"/>
  <c r="AD806" i="7"/>
  <c r="AE806" i="7" s="1"/>
  <c r="AD648" i="7"/>
  <c r="AE648" i="7" s="1"/>
  <c r="AD260" i="8"/>
  <c r="AD592" i="8"/>
  <c r="AE592" i="8" s="1"/>
  <c r="AG592" i="8"/>
  <c r="AJ427" i="8"/>
  <c r="AF427" i="8"/>
  <c r="AH427" i="8" s="1"/>
  <c r="AD533" i="7"/>
  <c r="AE533" i="7" s="1"/>
  <c r="AG533" i="7" s="1"/>
  <c r="AJ920" i="8"/>
  <c r="AG920" i="8"/>
  <c r="AI920" i="8" s="1"/>
  <c r="AH534" i="8"/>
  <c r="AF208" i="8"/>
  <c r="AJ208" i="8"/>
  <c r="AG208" i="8"/>
  <c r="AJ762" i="8"/>
  <c r="AG762" i="8"/>
  <c r="AJ370" i="8"/>
  <c r="AF762" i="8"/>
  <c r="AH762" i="8" s="1"/>
  <c r="AE919" i="7"/>
  <c r="AF919" i="7" s="1"/>
  <c r="AI479" i="8"/>
  <c r="AG313" i="12"/>
  <c r="AI313" i="12" s="1"/>
  <c r="AJ313" i="12"/>
  <c r="AE371" i="7"/>
  <c r="AF371" i="7" s="1"/>
  <c r="AD706" i="8"/>
  <c r="AE706" i="8" s="1"/>
  <c r="AJ424" i="7"/>
  <c r="AG424" i="7"/>
  <c r="AG370" i="8"/>
  <c r="AI370" i="8" s="1"/>
  <c r="AD482" i="7"/>
  <c r="AI203" i="7"/>
  <c r="AE803" i="8"/>
  <c r="AF803" i="8" s="1"/>
  <c r="AD150" i="7"/>
  <c r="AE150" i="7" s="1"/>
  <c r="AG150" i="7" s="1"/>
  <c r="AG315" i="7"/>
  <c r="AJ315" i="7"/>
  <c r="AH481" i="7"/>
  <c r="AE262" i="12"/>
  <c r="AF315" i="7"/>
  <c r="AH315" i="7" s="1"/>
  <c r="AD1033" i="8"/>
  <c r="AE1033" i="8" s="1"/>
  <c r="AE591" i="7"/>
  <c r="AJ152" i="12"/>
  <c r="AF152" i="12"/>
  <c r="AI315" i="8"/>
  <c r="AJ1086" i="8"/>
  <c r="AF1086" i="8"/>
  <c r="AH1086" i="8" s="1"/>
  <c r="AD868" i="7"/>
  <c r="AE868" i="7" s="1"/>
  <c r="AD648" i="8"/>
  <c r="AE648" i="8" s="1"/>
  <c r="AI756" i="7"/>
  <c r="AF424" i="7"/>
  <c r="AJ974" i="8"/>
  <c r="AG974" i="8"/>
  <c r="AI974" i="8" s="1"/>
  <c r="AD207" i="12"/>
  <c r="AE207" i="12" s="1"/>
  <c r="AG207" i="12" s="1"/>
  <c r="AI856" i="8"/>
  <c r="AJ262" i="7"/>
  <c r="AF262" i="7"/>
  <c r="AH262" i="7" s="1"/>
  <c r="AF700" i="7"/>
  <c r="AH700" i="7" s="1"/>
  <c r="AJ700" i="7"/>
  <c r="AG152" i="12"/>
  <c r="AE260" i="8"/>
  <c r="AG260" i="8" s="1"/>
  <c r="AI149" i="8"/>
  <c r="AH424" i="7" l="1"/>
  <c r="AH152" i="12"/>
  <c r="AI208" i="8"/>
  <c r="AJ648" i="7"/>
  <c r="AG648" i="7"/>
  <c r="AF648" i="7"/>
  <c r="AH648" i="7" s="1"/>
  <c r="AH803" i="8"/>
  <c r="AG1033" i="8"/>
  <c r="AJ1033" i="8"/>
  <c r="AF1033" i="8"/>
  <c r="AH1033" i="8" s="1"/>
  <c r="AD857" i="8"/>
  <c r="AE857" i="8" s="1"/>
  <c r="AI207" i="12"/>
  <c r="AD480" i="8"/>
  <c r="AE480" i="8" s="1"/>
  <c r="AG591" i="7"/>
  <c r="AJ591" i="7"/>
  <c r="AD316" i="8"/>
  <c r="AE316" i="8" s="1"/>
  <c r="AE535" i="8"/>
  <c r="AF535" i="8" s="1"/>
  <c r="AD921" i="8"/>
  <c r="AF260" i="8"/>
  <c r="AH260" i="8" s="1"/>
  <c r="AF591" i="7"/>
  <c r="AJ533" i="7"/>
  <c r="AF533" i="7"/>
  <c r="AH533" i="7" s="1"/>
  <c r="AJ648" i="8"/>
  <c r="AF648" i="8"/>
  <c r="AE482" i="7"/>
  <c r="AF482" i="7" s="1"/>
  <c r="AF592" i="8"/>
  <c r="AH592" i="8" s="1"/>
  <c r="AJ592" i="8"/>
  <c r="AH974" i="8"/>
  <c r="AD371" i="8"/>
  <c r="AF868" i="7"/>
  <c r="AJ868" i="7"/>
  <c r="AJ260" i="8"/>
  <c r="AG868" i="7"/>
  <c r="AI315" i="7"/>
  <c r="AH313" i="12"/>
  <c r="AG803" i="8"/>
  <c r="AI803" i="8" s="1"/>
  <c r="AJ803" i="8"/>
  <c r="AF207" i="12"/>
  <c r="AH207" i="12" s="1"/>
  <c r="AJ207" i="12"/>
  <c r="AD204" i="7"/>
  <c r="AE204" i="7" s="1"/>
  <c r="AG204" i="7" s="1"/>
  <c r="AD975" i="8"/>
  <c r="AI424" i="7"/>
  <c r="AG648" i="8"/>
  <c r="AI648" i="8" s="1"/>
  <c r="AF706" i="8"/>
  <c r="AJ706" i="8"/>
  <c r="AD209" i="8"/>
  <c r="AG371" i="7"/>
  <c r="AI371" i="7" s="1"/>
  <c r="AJ371" i="7"/>
  <c r="AI700" i="7"/>
  <c r="AH370" i="8"/>
  <c r="AD150" i="8"/>
  <c r="AE150" i="8" s="1"/>
  <c r="AG919" i="7"/>
  <c r="AI919" i="7" s="1"/>
  <c r="AJ919" i="7"/>
  <c r="AF806" i="7"/>
  <c r="AJ806" i="7"/>
  <c r="AG806" i="7"/>
  <c r="AI806" i="7" s="1"/>
  <c r="AI152" i="12"/>
  <c r="AD757" i="7"/>
  <c r="AE757" i="7" s="1"/>
  <c r="AG757" i="7" s="1"/>
  <c r="AG262" i="12"/>
  <c r="AJ262" i="12"/>
  <c r="AI762" i="8"/>
  <c r="AF262" i="12"/>
  <c r="AH262" i="12" s="1"/>
  <c r="AG706" i="8"/>
  <c r="AI706" i="8" s="1"/>
  <c r="AI427" i="8"/>
  <c r="AJ150" i="7"/>
  <c r="AF150" i="7"/>
  <c r="AH150" i="7" s="1"/>
  <c r="AD314" i="12"/>
  <c r="AH920" i="8"/>
  <c r="AI262" i="7"/>
  <c r="AH208" i="8"/>
  <c r="AI1086" i="8"/>
  <c r="AH591" i="7" l="1"/>
  <c r="AI592" i="8"/>
  <c r="AI868" i="7"/>
  <c r="AD153" i="12"/>
  <c r="AE153" i="12" s="1"/>
  <c r="AD807" i="7"/>
  <c r="AH868" i="7"/>
  <c r="AF204" i="7"/>
  <c r="AH204" i="7" s="1"/>
  <c r="AJ204" i="7"/>
  <c r="AH806" i="7"/>
  <c r="AI1033" i="8"/>
  <c r="AH706" i="8"/>
  <c r="AI648" i="7"/>
  <c r="AD649" i="8"/>
  <c r="AE314" i="12"/>
  <c r="AD763" i="8"/>
  <c r="AE763" i="8" s="1"/>
  <c r="AD425" i="7"/>
  <c r="AE425" i="7" s="1"/>
  <c r="AG425" i="7" s="1"/>
  <c r="AF150" i="8"/>
  <c r="AJ150" i="8"/>
  <c r="AE209" i="8"/>
  <c r="AI262" i="12"/>
  <c r="AG150" i="8"/>
  <c r="AI150" i="8" s="1"/>
  <c r="AH919" i="7"/>
  <c r="AJ480" i="8"/>
  <c r="AF480" i="8"/>
  <c r="AF857" i="8"/>
  <c r="AJ857" i="8"/>
  <c r="AG857" i="8"/>
  <c r="AI857" i="8" s="1"/>
  <c r="AD428" i="8"/>
  <c r="AE428" i="8" s="1"/>
  <c r="AG428" i="8" s="1"/>
  <c r="AE208" i="12"/>
  <c r="AF208" i="12" s="1"/>
  <c r="AE804" i="8"/>
  <c r="AJ804" i="8" s="1"/>
  <c r="AE975" i="8"/>
  <c r="AD920" i="7"/>
  <c r="AJ482" i="7"/>
  <c r="AG482" i="7"/>
  <c r="AI482" i="7" s="1"/>
  <c r="AI150" i="7"/>
  <c r="AD263" i="7"/>
  <c r="AE263" i="7" s="1"/>
  <c r="AG263" i="7" s="1"/>
  <c r="AE371" i="8"/>
  <c r="AI591" i="7"/>
  <c r="AH371" i="7"/>
  <c r="AF757" i="7"/>
  <c r="AH757" i="7" s="1"/>
  <c r="AJ757" i="7"/>
  <c r="AD869" i="7"/>
  <c r="AD208" i="12"/>
  <c r="AD372" i="7"/>
  <c r="AD593" i="8"/>
  <c r="AE593" i="8" s="1"/>
  <c r="AD707" i="8"/>
  <c r="AJ535" i="8"/>
  <c r="AG535" i="8"/>
  <c r="AI535" i="8" s="1"/>
  <c r="AD804" i="8"/>
  <c r="AF316" i="8"/>
  <c r="AJ316" i="8"/>
  <c r="AD316" i="7"/>
  <c r="AE316" i="7" s="1"/>
  <c r="AG316" i="8"/>
  <c r="AI316" i="8" s="1"/>
  <c r="AI533" i="7"/>
  <c r="AD1087" i="8"/>
  <c r="AE1087" i="8" s="1"/>
  <c r="AG1087" i="8" s="1"/>
  <c r="AE921" i="8"/>
  <c r="AF921" i="8" s="1"/>
  <c r="AD701" i="7"/>
  <c r="AE701" i="7" s="1"/>
  <c r="AG701" i="7" s="1"/>
  <c r="AH648" i="8"/>
  <c r="AG480" i="8"/>
  <c r="AI260" i="8"/>
  <c r="AH480" i="8" l="1"/>
  <c r="AJ208" i="12"/>
  <c r="AF593" i="8"/>
  <c r="AG593" i="8"/>
  <c r="AI593" i="8" s="1"/>
  <c r="AJ593" i="8"/>
  <c r="AD858" i="8"/>
  <c r="AF804" i="8"/>
  <c r="AE707" i="8"/>
  <c r="AG209" i="8"/>
  <c r="AJ209" i="8"/>
  <c r="AF209" i="8"/>
  <c r="AH209" i="8" s="1"/>
  <c r="AI480" i="8"/>
  <c r="AD483" i="7"/>
  <c r="AF763" i="8"/>
  <c r="AJ763" i="8"/>
  <c r="AJ314" i="12"/>
  <c r="AG314" i="12"/>
  <c r="AD534" i="7"/>
  <c r="AE534" i="7" s="1"/>
  <c r="AG534" i="7" s="1"/>
  <c r="AE372" i="7"/>
  <c r="AF314" i="12"/>
  <c r="AD592" i="7"/>
  <c r="AE592" i="7" s="1"/>
  <c r="AG592" i="7" s="1"/>
  <c r="AF316" i="7"/>
  <c r="AJ316" i="7"/>
  <c r="AJ263" i="7"/>
  <c r="AF263" i="7"/>
  <c r="AH263" i="7" s="1"/>
  <c r="AH316" i="8"/>
  <c r="AE649" i="8"/>
  <c r="AG804" i="8"/>
  <c r="AI804" i="8" s="1"/>
  <c r="AH150" i="8"/>
  <c r="AD1034" i="8"/>
  <c r="AE1034" i="8" s="1"/>
  <c r="AG1034" i="8" s="1"/>
  <c r="AH535" i="8"/>
  <c r="AG763" i="8"/>
  <c r="AJ975" i="8"/>
  <c r="AG975" i="8"/>
  <c r="AF975" i="8"/>
  <c r="AH975" i="8" s="1"/>
  <c r="AG316" i="7"/>
  <c r="AE920" i="7"/>
  <c r="AF920" i="7" s="1"/>
  <c r="AD151" i="8"/>
  <c r="AI204" i="7"/>
  <c r="AF428" i="8"/>
  <c r="AH428" i="8" s="1"/>
  <c r="AJ428" i="8"/>
  <c r="AD536" i="8"/>
  <c r="AG208" i="12"/>
  <c r="AI208" i="12" s="1"/>
  <c r="AE807" i="7"/>
  <c r="AF807" i="7" s="1"/>
  <c r="AH482" i="7"/>
  <c r="AJ921" i="8"/>
  <c r="AG921" i="8"/>
  <c r="AI921" i="8" s="1"/>
  <c r="AE869" i="7"/>
  <c r="AJ1087" i="8"/>
  <c r="AF1087" i="8"/>
  <c r="AH1087" i="8" s="1"/>
  <c r="AH857" i="8"/>
  <c r="AD317" i="8"/>
  <c r="AG371" i="8"/>
  <c r="AJ371" i="8"/>
  <c r="AF371" i="8"/>
  <c r="AH371" i="8" s="1"/>
  <c r="AD649" i="7"/>
  <c r="AE649" i="7" s="1"/>
  <c r="AG649" i="7" s="1"/>
  <c r="AF153" i="12"/>
  <c r="AJ153" i="12"/>
  <c r="AD263" i="12"/>
  <c r="AE263" i="12" s="1"/>
  <c r="AG153" i="12"/>
  <c r="AI153" i="12" s="1"/>
  <c r="AD151" i="7"/>
  <c r="AE151" i="7" s="1"/>
  <c r="AD261" i="8"/>
  <c r="AE261" i="8" s="1"/>
  <c r="AJ701" i="7"/>
  <c r="AF701" i="7"/>
  <c r="AH701" i="7" s="1"/>
  <c r="AF425" i="7"/>
  <c r="AH425" i="7" s="1"/>
  <c r="AJ425" i="7"/>
  <c r="AI757" i="7"/>
  <c r="AH763" i="8" l="1"/>
  <c r="AI316" i="7"/>
  <c r="AI314" i="12"/>
  <c r="AI428" i="8"/>
  <c r="AI534" i="7"/>
  <c r="AD154" i="12"/>
  <c r="AG649" i="8"/>
  <c r="AJ649" i="8"/>
  <c r="AD922" i="8"/>
  <c r="AH153" i="12"/>
  <c r="AI975" i="8"/>
  <c r="AF151" i="7"/>
  <c r="AJ151" i="7"/>
  <c r="AJ263" i="12"/>
  <c r="AF263" i="12"/>
  <c r="AF649" i="8"/>
  <c r="AI1087" i="8"/>
  <c r="AE317" i="8"/>
  <c r="AF317" i="8" s="1"/>
  <c r="AE483" i="7"/>
  <c r="AG807" i="7"/>
  <c r="AI807" i="7" s="1"/>
  <c r="AJ807" i="7"/>
  <c r="AD209" i="12"/>
  <c r="AJ920" i="7"/>
  <c r="AG920" i="7"/>
  <c r="AI920" i="7" s="1"/>
  <c r="AG263" i="12"/>
  <c r="AF649" i="7"/>
  <c r="AH649" i="7" s="1"/>
  <c r="AJ649" i="7"/>
  <c r="AD429" i="8"/>
  <c r="AE429" i="8" s="1"/>
  <c r="AF429" i="8" s="1"/>
  <c r="AH316" i="7"/>
  <c r="AI763" i="8"/>
  <c r="AI371" i="8"/>
  <c r="AH314" i="12"/>
  <c r="AE536" i="8"/>
  <c r="AJ372" i="7"/>
  <c r="AG372" i="7"/>
  <c r="AI209" i="8"/>
  <c r="AI425" i="7"/>
  <c r="AD481" i="8"/>
  <c r="AE481" i="8" s="1"/>
  <c r="AH921" i="8"/>
  <c r="AF372" i="7"/>
  <c r="AJ707" i="8"/>
  <c r="AG707" i="8"/>
  <c r="AI701" i="7"/>
  <c r="AD315" i="12"/>
  <c r="AD805" i="8"/>
  <c r="AG869" i="7"/>
  <c r="AJ869" i="7"/>
  <c r="AF869" i="7"/>
  <c r="AD317" i="7"/>
  <c r="AD758" i="7"/>
  <c r="AE758" i="7" s="1"/>
  <c r="AI263" i="7"/>
  <c r="AD594" i="8"/>
  <c r="AH593" i="8"/>
  <c r="AF261" i="8"/>
  <c r="AJ261" i="8"/>
  <c r="AG261" i="8"/>
  <c r="AI261" i="8" s="1"/>
  <c r="AD205" i="7"/>
  <c r="AE205" i="7" s="1"/>
  <c r="AF1034" i="8"/>
  <c r="AH1034" i="8" s="1"/>
  <c r="AJ1034" i="8"/>
  <c r="AF707" i="8"/>
  <c r="AJ592" i="7"/>
  <c r="AF592" i="7"/>
  <c r="AH592" i="7" s="1"/>
  <c r="AG151" i="7"/>
  <c r="AI151" i="7" s="1"/>
  <c r="AE858" i="8"/>
  <c r="AE151" i="8"/>
  <c r="AF534" i="7"/>
  <c r="AH534" i="7" s="1"/>
  <c r="AJ534" i="7"/>
  <c r="AH804" i="8"/>
  <c r="AH208" i="12"/>
  <c r="AI1034" i="8" l="1"/>
  <c r="AI707" i="8"/>
  <c r="AI649" i="8"/>
  <c r="AD650" i="8" s="1"/>
  <c r="AI372" i="7"/>
  <c r="AD373" i="7" s="1"/>
  <c r="AI263" i="12"/>
  <c r="AD264" i="12" s="1"/>
  <c r="AH869" i="7"/>
  <c r="AD426" i="7"/>
  <c r="AE426" i="7" s="1"/>
  <c r="AG426" i="7" s="1"/>
  <c r="AD976" i="8"/>
  <c r="AE976" i="8" s="1"/>
  <c r="AG976" i="8" s="1"/>
  <c r="AE154" i="12"/>
  <c r="AD702" i="7"/>
  <c r="AE702" i="7" s="1"/>
  <c r="AD708" i="8"/>
  <c r="AJ483" i="7"/>
  <c r="AG483" i="7"/>
  <c r="AF483" i="7"/>
  <c r="AG536" i="8"/>
  <c r="AJ536" i="8"/>
  <c r="AE315" i="12"/>
  <c r="AF315" i="12" s="1"/>
  <c r="AD1088" i="8"/>
  <c r="AE1088" i="8" s="1"/>
  <c r="AG1088" i="8" s="1"/>
  <c r="AJ758" i="7"/>
  <c r="AF758" i="7"/>
  <c r="AG758" i="7"/>
  <c r="AE1035" i="8"/>
  <c r="AJ1035" i="8" s="1"/>
  <c r="AD372" i="8"/>
  <c r="AE372" i="8" s="1"/>
  <c r="AG372" i="8"/>
  <c r="AE209" i="12"/>
  <c r="AF209" i="12" s="1"/>
  <c r="AJ429" i="8"/>
  <c r="AE805" i="8"/>
  <c r="AE922" i="8"/>
  <c r="AF922" i="8" s="1"/>
  <c r="AD535" i="7"/>
  <c r="AE535" i="7" s="1"/>
  <c r="AF535" i="7" s="1"/>
  <c r="AD262" i="8"/>
  <c r="AE317" i="7"/>
  <c r="AH151" i="7"/>
  <c r="AH920" i="7"/>
  <c r="AI592" i="7"/>
  <c r="AF481" i="8"/>
  <c r="AJ481" i="8"/>
  <c r="AG429" i="8"/>
  <c r="AI429" i="8" s="1"/>
  <c r="AI649" i="7"/>
  <c r="AJ858" i="8"/>
  <c r="AG858" i="8"/>
  <c r="AF858" i="8"/>
  <c r="AD210" i="8"/>
  <c r="AE210" i="8" s="1"/>
  <c r="AD152" i="7"/>
  <c r="AD264" i="7"/>
  <c r="AE264" i="7" s="1"/>
  <c r="AG317" i="8"/>
  <c r="AI317" i="8" s="1"/>
  <c r="AJ317" i="8"/>
  <c r="AF536" i="8"/>
  <c r="AH536" i="8" s="1"/>
  <c r="AH372" i="7"/>
  <c r="AD921" i="7"/>
  <c r="AH707" i="8"/>
  <c r="AD1035" i="8"/>
  <c r="AH649" i="8"/>
  <c r="AH263" i="12"/>
  <c r="AJ205" i="7"/>
  <c r="AF205" i="7"/>
  <c r="AD764" i="8"/>
  <c r="AE764" i="8" s="1"/>
  <c r="AG764" i="8" s="1"/>
  <c r="AG205" i="7"/>
  <c r="AG151" i="8"/>
  <c r="AJ151" i="8"/>
  <c r="AH261" i="8"/>
  <c r="AI869" i="7"/>
  <c r="AF151" i="8"/>
  <c r="AH151" i="8" s="1"/>
  <c r="AE594" i="8"/>
  <c r="AF594" i="8" s="1"/>
  <c r="AG481" i="8"/>
  <c r="AD808" i="7"/>
  <c r="AH807" i="7"/>
  <c r="AI481" i="8" l="1"/>
  <c r="AI858" i="8"/>
  <c r="AI483" i="7"/>
  <c r="AD484" i="7" s="1"/>
  <c r="AG1035" i="8"/>
  <c r="AH758" i="7"/>
  <c r="AJ535" i="7"/>
  <c r="AI205" i="7"/>
  <c r="AG535" i="7"/>
  <c r="AH535" i="7" s="1"/>
  <c r="AE373" i="7"/>
  <c r="AD650" i="7"/>
  <c r="AE650" i="7" s="1"/>
  <c r="AD430" i="8"/>
  <c r="AD318" i="8"/>
  <c r="AH481" i="8"/>
  <c r="AF264" i="7"/>
  <c r="AJ264" i="7"/>
  <c r="AG154" i="12"/>
  <c r="AJ154" i="12"/>
  <c r="AE264" i="12"/>
  <c r="AE921" i="7"/>
  <c r="AF921" i="7" s="1"/>
  <c r="AF372" i="8"/>
  <c r="AH372" i="8" s="1"/>
  <c r="AJ372" i="8"/>
  <c r="AF210" i="8"/>
  <c r="AJ210" i="8"/>
  <c r="AF976" i="8"/>
  <c r="AH976" i="8" s="1"/>
  <c r="AJ976" i="8"/>
  <c r="AG210" i="8"/>
  <c r="AI210" i="8" s="1"/>
  <c r="AF1035" i="8"/>
  <c r="AH1035" i="8" s="1"/>
  <c r="AH858" i="8"/>
  <c r="AI758" i="7"/>
  <c r="AJ426" i="7"/>
  <c r="AF426" i="7"/>
  <c r="AH426" i="7" s="1"/>
  <c r="AD859" i="8"/>
  <c r="AJ922" i="8"/>
  <c r="AG922" i="8"/>
  <c r="AI922" i="8" s="1"/>
  <c r="AF1088" i="8"/>
  <c r="AH1088" i="8" s="1"/>
  <c r="AJ1088" i="8"/>
  <c r="AJ805" i="8"/>
  <c r="AG805" i="8"/>
  <c r="AJ315" i="12"/>
  <c r="AG315" i="12"/>
  <c r="AI315" i="12" s="1"/>
  <c r="AF764" i="8"/>
  <c r="AH764" i="8" s="1"/>
  <c r="AJ764" i="8"/>
  <c r="AJ702" i="7"/>
  <c r="AF702" i="7"/>
  <c r="AG702" i="7"/>
  <c r="AG264" i="7"/>
  <c r="AD870" i="7"/>
  <c r="AE870" i="7" s="1"/>
  <c r="AG870" i="7" s="1"/>
  <c r="AE262" i="8"/>
  <c r="AE152" i="7"/>
  <c r="AF152" i="7" s="1"/>
  <c r="AJ317" i="7"/>
  <c r="AG317" i="7"/>
  <c r="AI536" i="8"/>
  <c r="AH429" i="8"/>
  <c r="AI535" i="7"/>
  <c r="AE808" i="7"/>
  <c r="AF808" i="7" s="1"/>
  <c r="AD206" i="7"/>
  <c r="AF805" i="8"/>
  <c r="AD482" i="8"/>
  <c r="AJ594" i="8"/>
  <c r="AG594" i="8"/>
  <c r="AI594" i="8" s="1"/>
  <c r="AJ209" i="12"/>
  <c r="AG209" i="12"/>
  <c r="AI209" i="12" s="1"/>
  <c r="AH205" i="7"/>
  <c r="AD593" i="7"/>
  <c r="AE593" i="7" s="1"/>
  <c r="AF154" i="12"/>
  <c r="AE650" i="8"/>
  <c r="AI151" i="8"/>
  <c r="AF317" i="7"/>
  <c r="AE708" i="8"/>
  <c r="AH483" i="7"/>
  <c r="AH317" i="8"/>
  <c r="AH264" i="7" l="1"/>
  <c r="AH154" i="12"/>
  <c r="AI317" i="7"/>
  <c r="AI372" i="8"/>
  <c r="AI426" i="7"/>
  <c r="AI805" i="8"/>
  <c r="AD806" i="8" s="1"/>
  <c r="AI976" i="8"/>
  <c r="AD977" i="8" s="1"/>
  <c r="AE977" i="8" s="1"/>
  <c r="AH702" i="7"/>
  <c r="AJ264" i="12"/>
  <c r="AG264" i="12"/>
  <c r="AF264" i="12"/>
  <c r="AH264" i="12" s="1"/>
  <c r="AD318" i="7"/>
  <c r="AJ708" i="8"/>
  <c r="AG708" i="8"/>
  <c r="AF708" i="8"/>
  <c r="AH708" i="8" s="1"/>
  <c r="AF482" i="8"/>
  <c r="AE482" i="8"/>
  <c r="AG262" i="8"/>
  <c r="AJ262" i="8"/>
  <c r="AG650" i="8"/>
  <c r="AJ650" i="8"/>
  <c r="AJ870" i="7"/>
  <c r="AF870" i="7"/>
  <c r="AH870" i="7" s="1"/>
  <c r="AI264" i="7"/>
  <c r="AH922" i="8"/>
  <c r="AJ593" i="7"/>
  <c r="AF593" i="7"/>
  <c r="AD427" i="7"/>
  <c r="AE427" i="7" s="1"/>
  <c r="AJ373" i="7"/>
  <c r="AG373" i="7"/>
  <c r="AE318" i="8"/>
  <c r="AF318" i="8" s="1"/>
  <c r="AD595" i="8"/>
  <c r="AD759" i="7"/>
  <c r="AE759" i="7" s="1"/>
  <c r="AG759" i="7" s="1"/>
  <c r="AE859" i="8"/>
  <c r="AF859" i="8" s="1"/>
  <c r="AH317" i="7"/>
  <c r="AD152" i="8"/>
  <c r="AE152" i="8" s="1"/>
  <c r="AD211" i="8"/>
  <c r="AI1035" i="8"/>
  <c r="AF262" i="8"/>
  <c r="AH262" i="8" s="1"/>
  <c r="AH209" i="12"/>
  <c r="AD373" i="8"/>
  <c r="AE373" i="8" s="1"/>
  <c r="AJ373" i="8" s="1"/>
  <c r="AH210" i="8"/>
  <c r="AG808" i="7"/>
  <c r="AI808" i="7" s="1"/>
  <c r="AJ808" i="7"/>
  <c r="AD923" i="8"/>
  <c r="AH594" i="8"/>
  <c r="AD536" i="7"/>
  <c r="AE536" i="7" s="1"/>
  <c r="AJ921" i="7"/>
  <c r="AG921" i="7"/>
  <c r="AI921" i="7" s="1"/>
  <c r="AH315" i="12"/>
  <c r="AF650" i="7"/>
  <c r="AJ650" i="7"/>
  <c r="AE206" i="7"/>
  <c r="AD537" i="8"/>
  <c r="AE537" i="8" s="1"/>
  <c r="AG537" i="8" s="1"/>
  <c r="AD210" i="12"/>
  <c r="AF373" i="7"/>
  <c r="AE484" i="7"/>
  <c r="AF484" i="7" s="1"/>
  <c r="AI154" i="12"/>
  <c r="AD316" i="12"/>
  <c r="AJ152" i="7"/>
  <c r="AG152" i="7"/>
  <c r="AI152" i="7" s="1"/>
  <c r="AH805" i="8"/>
  <c r="AI764" i="8"/>
  <c r="AF650" i="8"/>
  <c r="AH650" i="8" s="1"/>
  <c r="AG593" i="7"/>
  <c r="AE430" i="8"/>
  <c r="AI702" i="7"/>
  <c r="AH921" i="7"/>
  <c r="AG650" i="7"/>
  <c r="AI650" i="7" s="1"/>
  <c r="AI1088" i="8"/>
  <c r="AF427" i="7" l="1"/>
  <c r="AJ427" i="7"/>
  <c r="AH373" i="7"/>
  <c r="AI593" i="7"/>
  <c r="AJ977" i="8"/>
  <c r="AF977" i="8"/>
  <c r="AG977" i="8"/>
  <c r="AI977" i="8" s="1"/>
  <c r="AJ536" i="7"/>
  <c r="AF536" i="7"/>
  <c r="AH536" i="7" s="1"/>
  <c r="AE806" i="8"/>
  <c r="AF806" i="8" s="1"/>
  <c r="AE211" i="8"/>
  <c r="AI373" i="7"/>
  <c r="AG206" i="7"/>
  <c r="AJ206" i="7"/>
  <c r="AD651" i="7"/>
  <c r="AD703" i="7"/>
  <c r="AE703" i="7" s="1"/>
  <c r="AG703" i="7" s="1"/>
  <c r="AH650" i="7"/>
  <c r="AE210" i="12"/>
  <c r="AF210" i="12" s="1"/>
  <c r="AG427" i="7"/>
  <c r="AI264" i="12"/>
  <c r="AG536" i="7"/>
  <c r="AE923" i="8"/>
  <c r="AD765" i="8"/>
  <c r="AE765" i="8" s="1"/>
  <c r="AG765" i="8" s="1"/>
  <c r="AF373" i="8"/>
  <c r="AI870" i="7"/>
  <c r="AD1089" i="8"/>
  <c r="AE1089" i="8" s="1"/>
  <c r="AD153" i="7"/>
  <c r="AF206" i="7"/>
  <c r="AG373" i="8"/>
  <c r="AJ430" i="8"/>
  <c r="AG430" i="8"/>
  <c r="AE316" i="12"/>
  <c r="AI262" i="8"/>
  <c r="AJ484" i="7"/>
  <c r="AG484" i="7"/>
  <c r="AI484" i="7" s="1"/>
  <c r="AD1036" i="8"/>
  <c r="AE1036" i="8" s="1"/>
  <c r="AG1036" i="8" s="1"/>
  <c r="AE595" i="8"/>
  <c r="AF595" i="8" s="1"/>
  <c r="AI708" i="8"/>
  <c r="AD809" i="7"/>
  <c r="AG318" i="8"/>
  <c r="AI318" i="8" s="1"/>
  <c r="AJ318" i="8"/>
  <c r="AF537" i="8"/>
  <c r="AH537" i="8" s="1"/>
  <c r="AJ537" i="8"/>
  <c r="AE318" i="7"/>
  <c r="AG859" i="8"/>
  <c r="AI859" i="8" s="1"/>
  <c r="AJ859" i="8"/>
  <c r="AI650" i="8"/>
  <c r="AF430" i="8"/>
  <c r="AD155" i="12"/>
  <c r="AE155" i="12" s="1"/>
  <c r="AD922" i="7"/>
  <c r="AE922" i="7" s="1"/>
  <c r="AH593" i="7"/>
  <c r="AG482" i="8"/>
  <c r="AI482" i="8" s="1"/>
  <c r="AJ482" i="8"/>
  <c r="AH808" i="7"/>
  <c r="AF152" i="8"/>
  <c r="AJ152" i="8"/>
  <c r="AD265" i="7"/>
  <c r="AE265" i="7" s="1"/>
  <c r="AG152" i="8"/>
  <c r="AD594" i="7"/>
  <c r="AF759" i="7"/>
  <c r="AH759" i="7" s="1"/>
  <c r="AJ759" i="7"/>
  <c r="AH152" i="7"/>
  <c r="AI427" i="7" l="1"/>
  <c r="AI206" i="7"/>
  <c r="AH152" i="8"/>
  <c r="AH373" i="8"/>
  <c r="AH482" i="8"/>
  <c r="AE483" i="8" s="1"/>
  <c r="AI430" i="8"/>
  <c r="AJ922" i="7"/>
  <c r="AG922" i="7"/>
  <c r="AF922" i="7"/>
  <c r="AH922" i="7" s="1"/>
  <c r="AD428" i="7"/>
  <c r="AG318" i="7"/>
  <c r="AJ318" i="7"/>
  <c r="AJ1036" i="8"/>
  <c r="AF1036" i="8"/>
  <c r="AH1036" i="8" s="1"/>
  <c r="AJ1089" i="8"/>
  <c r="AF1089" i="8"/>
  <c r="AH1089" i="8" s="1"/>
  <c r="AD483" i="8"/>
  <c r="AI537" i="8"/>
  <c r="AF155" i="12"/>
  <c r="AJ155" i="12"/>
  <c r="AJ765" i="8"/>
  <c r="AF765" i="8"/>
  <c r="AH765" i="8" s="1"/>
  <c r="AG923" i="8"/>
  <c r="AJ923" i="8"/>
  <c r="AI152" i="8"/>
  <c r="AI373" i="8"/>
  <c r="AI536" i="7"/>
  <c r="AG211" i="8"/>
  <c r="AJ211" i="8"/>
  <c r="AH484" i="7"/>
  <c r="AG595" i="8"/>
  <c r="AI595" i="8" s="1"/>
  <c r="AJ595" i="8"/>
  <c r="AD860" i="8"/>
  <c r="AE809" i="7"/>
  <c r="AJ703" i="7"/>
  <c r="AF703" i="7"/>
  <c r="AH703" i="7" s="1"/>
  <c r="AD871" i="7"/>
  <c r="AE871" i="7" s="1"/>
  <c r="AD319" i="8"/>
  <c r="AG316" i="12"/>
  <c r="AJ316" i="12"/>
  <c r="AD431" i="8"/>
  <c r="AH977" i="8"/>
  <c r="AD374" i="7"/>
  <c r="AE374" i="7" s="1"/>
  <c r="AF265" i="7"/>
  <c r="AJ265" i="7"/>
  <c r="AD265" i="12"/>
  <c r="AE265" i="12" s="1"/>
  <c r="AG265" i="12" s="1"/>
  <c r="AF211" i="8"/>
  <c r="AH859" i="8"/>
  <c r="AG210" i="12"/>
  <c r="AI210" i="12" s="1"/>
  <c r="AJ210" i="12"/>
  <c r="AE153" i="7"/>
  <c r="AJ806" i="8"/>
  <c r="AG806" i="8"/>
  <c r="AI806" i="8" s="1"/>
  <c r="AF318" i="7"/>
  <c r="AE651" i="7"/>
  <c r="AD485" i="7"/>
  <c r="AG1089" i="8"/>
  <c r="AE594" i="7"/>
  <c r="AD263" i="8"/>
  <c r="AE263" i="8" s="1"/>
  <c r="AG263" i="8" s="1"/>
  <c r="AH318" i="8"/>
  <c r="AF316" i="12"/>
  <c r="AD978" i="8"/>
  <c r="AG155" i="12"/>
  <c r="AD207" i="7"/>
  <c r="AH430" i="8"/>
  <c r="AD709" i="8"/>
  <c r="AE709" i="8" s="1"/>
  <c r="AG709" i="8" s="1"/>
  <c r="AD651" i="8"/>
  <c r="AE651" i="8" s="1"/>
  <c r="AG651" i="8" s="1"/>
  <c r="AF923" i="8"/>
  <c r="AH427" i="7"/>
  <c r="AG265" i="7"/>
  <c r="AH206" i="7"/>
  <c r="AI759" i="7"/>
  <c r="AF483" i="8" l="1"/>
  <c r="AJ483" i="8"/>
  <c r="AI265" i="7"/>
  <c r="AH318" i="7"/>
  <c r="AI923" i="8"/>
  <c r="AD924" i="8" s="1"/>
  <c r="AI703" i="7"/>
  <c r="AH155" i="12"/>
  <c r="AH316" i="12"/>
  <c r="AH211" i="8"/>
  <c r="AH483" i="8"/>
  <c r="AD704" i="7"/>
  <c r="AE704" i="7" s="1"/>
  <c r="AG651" i="7"/>
  <c r="AJ651" i="7"/>
  <c r="AD266" i="7"/>
  <c r="AJ809" i="7"/>
  <c r="AG809" i="7"/>
  <c r="AI809" i="7" s="1"/>
  <c r="AE428" i="7"/>
  <c r="AF428" i="7" s="1"/>
  <c r="AE978" i="8"/>
  <c r="AF978" i="8" s="1"/>
  <c r="AF809" i="7"/>
  <c r="AH923" i="8"/>
  <c r="AD807" i="8"/>
  <c r="AI318" i="7"/>
  <c r="AJ263" i="8"/>
  <c r="AF263" i="8"/>
  <c r="AH263" i="8" s="1"/>
  <c r="AJ651" i="8"/>
  <c r="AF651" i="8"/>
  <c r="AH651" i="8" s="1"/>
  <c r="AG153" i="7"/>
  <c r="AJ153" i="7"/>
  <c r="AI1036" i="8"/>
  <c r="AF153" i="7"/>
  <c r="AH153" i="7" s="1"/>
  <c r="AI316" i="12"/>
  <c r="AJ709" i="8"/>
  <c r="AF709" i="8"/>
  <c r="AH709" i="8" s="1"/>
  <c r="AD211" i="12"/>
  <c r="AE431" i="8"/>
  <c r="AI1089" i="8"/>
  <c r="AE860" i="8"/>
  <c r="AF860" i="8" s="1"/>
  <c r="AD596" i="8"/>
  <c r="AH595" i="8"/>
  <c r="AJ871" i="7"/>
  <c r="AF871" i="7"/>
  <c r="AE485" i="7"/>
  <c r="AH210" i="12"/>
  <c r="AI265" i="12"/>
  <c r="AG871" i="7"/>
  <c r="AI871" i="7" s="1"/>
  <c r="AH806" i="8"/>
  <c r="AI155" i="12"/>
  <c r="AJ265" i="12"/>
  <c r="AF265" i="12"/>
  <c r="AH265" i="12" s="1"/>
  <c r="AI211" i="8"/>
  <c r="AG483" i="8"/>
  <c r="AI483" i="8" s="1"/>
  <c r="AD537" i="7"/>
  <c r="AE537" i="7" s="1"/>
  <c r="AG537" i="7" s="1"/>
  <c r="AI922" i="7"/>
  <c r="AE207" i="7"/>
  <c r="AF374" i="7"/>
  <c r="AJ374" i="7"/>
  <c r="AD153" i="8"/>
  <c r="AE153" i="8" s="1"/>
  <c r="AG153" i="8" s="1"/>
  <c r="AE319" i="8"/>
  <c r="AG374" i="7"/>
  <c r="AF651" i="7"/>
  <c r="AI765" i="8"/>
  <c r="AJ594" i="7"/>
  <c r="AG594" i="7"/>
  <c r="AF594" i="7"/>
  <c r="AD538" i="8"/>
  <c r="AE538" i="8" s="1"/>
  <c r="AG538" i="8" s="1"/>
  <c r="AD760" i="7"/>
  <c r="AE760" i="7" s="1"/>
  <c r="AG760" i="7" s="1"/>
  <c r="AH265" i="7"/>
  <c r="AD374" i="8"/>
  <c r="AE374" i="8" s="1"/>
  <c r="AG374" i="8" s="1"/>
  <c r="AG704" i="7" l="1"/>
  <c r="AJ704" i="7"/>
  <c r="AI594" i="7"/>
  <c r="AH374" i="7"/>
  <c r="AI651" i="8"/>
  <c r="AH651" i="7"/>
  <c r="AE807" i="8"/>
  <c r="AF807" i="8" s="1"/>
  <c r="AD1090" i="8"/>
  <c r="AE1090" i="8" s="1"/>
  <c r="AG1090" i="8" s="1"/>
  <c r="AJ431" i="8"/>
  <c r="AG431" i="8"/>
  <c r="AF431" i="8"/>
  <c r="AH431" i="8" s="1"/>
  <c r="AD923" i="7"/>
  <c r="AE923" i="7" s="1"/>
  <c r="AG923" i="7" s="1"/>
  <c r="AG485" i="7"/>
  <c r="AJ485" i="7"/>
  <c r="AI263" i="8"/>
  <c r="AF704" i="7"/>
  <c r="AH704" i="7" s="1"/>
  <c r="AH871" i="7"/>
  <c r="AD317" i="12"/>
  <c r="AE317" i="12" s="1"/>
  <c r="AI651" i="7"/>
  <c r="AI709" i="8"/>
  <c r="AD484" i="8"/>
  <c r="AE484" i="8" s="1"/>
  <c r="AJ484" i="8" s="1"/>
  <c r="AE596" i="8"/>
  <c r="AD1037" i="8"/>
  <c r="AE1037" i="8" s="1"/>
  <c r="AG1037" i="8" s="1"/>
  <c r="AD212" i="8"/>
  <c r="AE212" i="8" s="1"/>
  <c r="AG212" i="8"/>
  <c r="AH594" i="7"/>
  <c r="AE266" i="12"/>
  <c r="AF266" i="12" s="1"/>
  <c r="AI153" i="7"/>
  <c r="AG207" i="7"/>
  <c r="AJ207" i="7"/>
  <c r="AF207" i="7"/>
  <c r="AH207" i="7" s="1"/>
  <c r="AD266" i="12"/>
  <c r="AE266" i="7"/>
  <c r="AF266" i="7" s="1"/>
  <c r="AJ760" i="7"/>
  <c r="AF760" i="7"/>
  <c r="AH760" i="7" s="1"/>
  <c r="AF485" i="7"/>
  <c r="AE924" i="8"/>
  <c r="AF924" i="8" s="1"/>
  <c r="AJ538" i="8"/>
  <c r="AF538" i="8"/>
  <c r="AH538" i="8" s="1"/>
  <c r="AI374" i="7"/>
  <c r="AJ319" i="8"/>
  <c r="AG319" i="8"/>
  <c r="AH809" i="7"/>
  <c r="AF319" i="8"/>
  <c r="AG978" i="8"/>
  <c r="AI978" i="8" s="1"/>
  <c r="AJ978" i="8"/>
  <c r="AJ153" i="8"/>
  <c r="AF153" i="8"/>
  <c r="AH153" i="8" s="1"/>
  <c r="AJ860" i="8"/>
  <c r="AG860" i="8"/>
  <c r="AI860" i="8" s="1"/>
  <c r="AJ374" i="8"/>
  <c r="AF374" i="8"/>
  <c r="AH374" i="8" s="1"/>
  <c r="AD766" i="8"/>
  <c r="AE766" i="8" s="1"/>
  <c r="AG766" i="8" s="1"/>
  <c r="AD872" i="7"/>
  <c r="AD319" i="7"/>
  <c r="AE319" i="7" s="1"/>
  <c r="AD652" i="8"/>
  <c r="AE652" i="8" s="1"/>
  <c r="AD810" i="7"/>
  <c r="AE211" i="12"/>
  <c r="AJ537" i="7"/>
  <c r="AF537" i="7"/>
  <c r="AH537" i="7" s="1"/>
  <c r="AD595" i="7"/>
  <c r="AD156" i="12"/>
  <c r="AE156" i="12" s="1"/>
  <c r="AG156" i="12" s="1"/>
  <c r="AJ428" i="7"/>
  <c r="AG428" i="7"/>
  <c r="AI428" i="7" s="1"/>
  <c r="AI537" i="7" l="1"/>
  <c r="AD538" i="7" s="1"/>
  <c r="AE538" i="7" s="1"/>
  <c r="AH485" i="7"/>
  <c r="AI538" i="8"/>
  <c r="AH319" i="8"/>
  <c r="AJ652" i="8"/>
  <c r="AG652" i="8"/>
  <c r="AF652" i="8"/>
  <c r="AH652" i="8" s="1"/>
  <c r="AD861" i="8"/>
  <c r="AD710" i="8"/>
  <c r="AE710" i="8" s="1"/>
  <c r="AG710" i="8" s="1"/>
  <c r="AF484" i="8"/>
  <c r="AH484" i="8" s="1"/>
  <c r="AD154" i="7"/>
  <c r="AE154" i="7" s="1"/>
  <c r="AD652" i="7"/>
  <c r="AE652" i="7" s="1"/>
  <c r="AD429" i="7"/>
  <c r="AJ266" i="12"/>
  <c r="AF319" i="7"/>
  <c r="AJ319" i="7"/>
  <c r="AF317" i="12"/>
  <c r="AJ317" i="12"/>
  <c r="AG319" i="7"/>
  <c r="AH860" i="8"/>
  <c r="AI760" i="7"/>
  <c r="AH428" i="7"/>
  <c r="AF212" i="8"/>
  <c r="AH212" i="8" s="1"/>
  <c r="AJ212" i="8"/>
  <c r="AE872" i="7"/>
  <c r="AE810" i="7"/>
  <c r="AJ766" i="8"/>
  <c r="AF766" i="8"/>
  <c r="AH766" i="8" s="1"/>
  <c r="AG266" i="12"/>
  <c r="AI266" i="12" s="1"/>
  <c r="AG596" i="8"/>
  <c r="AJ596" i="8"/>
  <c r="AD375" i="7"/>
  <c r="AE375" i="7" s="1"/>
  <c r="AG375" i="7" s="1"/>
  <c r="AI374" i="8"/>
  <c r="AD264" i="8"/>
  <c r="AE264" i="8" s="1"/>
  <c r="AG264" i="8" s="1"/>
  <c r="AJ211" i="12"/>
  <c r="AG211" i="12"/>
  <c r="AG484" i="8"/>
  <c r="AI153" i="8"/>
  <c r="AJ923" i="7"/>
  <c r="AF923" i="7"/>
  <c r="AH923" i="7" s="1"/>
  <c r="AI431" i="8"/>
  <c r="AE595" i="7"/>
  <c r="AG317" i="12"/>
  <c r="AJ156" i="12"/>
  <c r="AF156" i="12"/>
  <c r="AH156" i="12" s="1"/>
  <c r="AD979" i="8"/>
  <c r="AJ266" i="7"/>
  <c r="AG266" i="7"/>
  <c r="AI266" i="7" s="1"/>
  <c r="AF1090" i="8"/>
  <c r="AH1090" i="8" s="1"/>
  <c r="AJ1090" i="8"/>
  <c r="AF1037" i="8"/>
  <c r="AH1037" i="8" s="1"/>
  <c r="AJ1037" i="8"/>
  <c r="AG807" i="8"/>
  <c r="AI807" i="8" s="1"/>
  <c r="AJ807" i="8"/>
  <c r="AI319" i="8"/>
  <c r="AD539" i="8"/>
  <c r="AE539" i="8" s="1"/>
  <c r="AF596" i="8"/>
  <c r="AI704" i="7"/>
  <c r="AF211" i="12"/>
  <c r="AG924" i="8"/>
  <c r="AI924" i="8" s="1"/>
  <c r="AJ924" i="8"/>
  <c r="AI207" i="7"/>
  <c r="AI485" i="7"/>
  <c r="AH978" i="8"/>
  <c r="AH596" i="8" l="1"/>
  <c r="AH924" i="8"/>
  <c r="AI319" i="7"/>
  <c r="AF539" i="8"/>
  <c r="AJ539" i="8"/>
  <c r="AI1037" i="8"/>
  <c r="AD1038" i="8" s="1"/>
  <c r="AE1038" i="8" s="1"/>
  <c r="AF1038" i="8" s="1"/>
  <c r="AH211" i="12"/>
  <c r="AH317" i="12"/>
  <c r="AH807" i="8"/>
  <c r="AF538" i="7"/>
  <c r="AJ538" i="7"/>
  <c r="AG538" i="7"/>
  <c r="AI538" i="7" s="1"/>
  <c r="AI211" i="12"/>
  <c r="AD267" i="7"/>
  <c r="AI710" i="8"/>
  <c r="AJ810" i="7"/>
  <c r="AG810" i="7"/>
  <c r="AD320" i="7"/>
  <c r="AI923" i="7"/>
  <c r="AD375" i="8"/>
  <c r="AE375" i="8" s="1"/>
  <c r="AG375" i="8" s="1"/>
  <c r="AH319" i="7"/>
  <c r="AJ375" i="7"/>
  <c r="AF375" i="7"/>
  <c r="AH375" i="7" s="1"/>
  <c r="AG539" i="8"/>
  <c r="AI539" i="8" s="1"/>
  <c r="AI652" i="8"/>
  <c r="AD320" i="8"/>
  <c r="AE320" i="8" s="1"/>
  <c r="AG320" i="8" s="1"/>
  <c r="AD154" i="8"/>
  <c r="AE154" i="8" s="1"/>
  <c r="AG154" i="8" s="1"/>
  <c r="AI156" i="12"/>
  <c r="AD208" i="7"/>
  <c r="AE208" i="7" s="1"/>
  <c r="AD808" i="8"/>
  <c r="AE808" i="8" s="1"/>
  <c r="AD432" i="8"/>
  <c r="AE432" i="8" s="1"/>
  <c r="AG432" i="8" s="1"/>
  <c r="AI596" i="8"/>
  <c r="AI212" i="8"/>
  <c r="AI484" i="8"/>
  <c r="AE429" i="7"/>
  <c r="AF429" i="7" s="1"/>
  <c r="AJ652" i="7"/>
  <c r="AF652" i="7"/>
  <c r="AH266" i="12"/>
  <c r="AF154" i="7"/>
  <c r="AJ154" i="7"/>
  <c r="AD705" i="7"/>
  <c r="AE705" i="7" s="1"/>
  <c r="AG705" i="7" s="1"/>
  <c r="AE861" i="8"/>
  <c r="AG154" i="7"/>
  <c r="AI154" i="7" s="1"/>
  <c r="AI1090" i="8"/>
  <c r="AJ264" i="8"/>
  <c r="AF264" i="8"/>
  <c r="AH264" i="8" s="1"/>
  <c r="AF710" i="8"/>
  <c r="AH710" i="8" s="1"/>
  <c r="AJ710" i="8"/>
  <c r="AF810" i="7"/>
  <c r="AI766" i="8"/>
  <c r="AG872" i="7"/>
  <c r="AJ872" i="7"/>
  <c r="AF872" i="7"/>
  <c r="AH872" i="7" s="1"/>
  <c r="AI317" i="12"/>
  <c r="AG595" i="7"/>
  <c r="AJ595" i="7"/>
  <c r="AE979" i="8"/>
  <c r="AF595" i="7"/>
  <c r="AH595" i="7" s="1"/>
  <c r="AD486" i="7"/>
  <c r="AE486" i="7" s="1"/>
  <c r="AG486" i="7" s="1"/>
  <c r="AD925" i="8"/>
  <c r="AE925" i="8" s="1"/>
  <c r="AD267" i="12"/>
  <c r="AD761" i="7"/>
  <c r="AE761" i="7" s="1"/>
  <c r="AG761" i="7" s="1"/>
  <c r="AG652" i="7"/>
  <c r="AH266" i="7"/>
  <c r="AI264" i="8" l="1"/>
  <c r="AI652" i="7"/>
  <c r="AI375" i="7"/>
  <c r="AH810" i="7"/>
  <c r="AF925" i="8"/>
  <c r="AJ925" i="8"/>
  <c r="AG925" i="8"/>
  <c r="AI925" i="8" s="1"/>
  <c r="AG808" i="8"/>
  <c r="AJ808" i="8"/>
  <c r="AF808" i="8"/>
  <c r="AH808" i="8" s="1"/>
  <c r="AH1038" i="8"/>
  <c r="AD711" i="8"/>
  <c r="AE711" i="8" s="1"/>
  <c r="AJ711" i="8" s="1"/>
  <c r="AD376" i="7"/>
  <c r="AE376" i="7" s="1"/>
  <c r="AD155" i="7"/>
  <c r="AJ1038" i="8"/>
  <c r="AG861" i="8"/>
  <c r="AJ861" i="8"/>
  <c r="AG1038" i="8"/>
  <c r="AI1038" i="8" s="1"/>
  <c r="AF486" i="7"/>
  <c r="AH486" i="7" s="1"/>
  <c r="AJ486" i="7"/>
  <c r="AD213" i="8"/>
  <c r="AE213" i="8" s="1"/>
  <c r="AG213" i="8"/>
  <c r="AD767" i="8"/>
  <c r="AE767" i="8" s="1"/>
  <c r="AG767" i="8"/>
  <c r="AD597" i="8"/>
  <c r="AE597" i="8" s="1"/>
  <c r="AG597" i="8"/>
  <c r="AJ705" i="7"/>
  <c r="AF705" i="7"/>
  <c r="AH705" i="7" s="1"/>
  <c r="AG979" i="8"/>
  <c r="AJ979" i="8"/>
  <c r="AF432" i="8"/>
  <c r="AH432" i="8" s="1"/>
  <c r="AJ432" i="8"/>
  <c r="AF979" i="8"/>
  <c r="AH154" i="7"/>
  <c r="AI595" i="7"/>
  <c r="AJ208" i="7"/>
  <c r="AF208" i="7"/>
  <c r="AF761" i="7"/>
  <c r="AH761" i="7" s="1"/>
  <c r="AJ761" i="7"/>
  <c r="AD1091" i="8"/>
  <c r="AE1091" i="8" s="1"/>
  <c r="AG1091" i="8"/>
  <c r="AI810" i="7"/>
  <c r="AD318" i="12"/>
  <c r="AE318" i="12" s="1"/>
  <c r="AG318" i="12" s="1"/>
  <c r="AH652" i="7"/>
  <c r="AD157" i="12"/>
  <c r="AE157" i="12" s="1"/>
  <c r="AG157" i="12" s="1"/>
  <c r="AH538" i="7"/>
  <c r="AG429" i="7"/>
  <c r="AI429" i="7" s="1"/>
  <c r="AJ429" i="7"/>
  <c r="AE320" i="7"/>
  <c r="AF320" i="7" s="1"/>
  <c r="AJ154" i="8"/>
  <c r="AF154" i="8"/>
  <c r="AH154" i="8" s="1"/>
  <c r="AD265" i="8"/>
  <c r="AE265" i="8" s="1"/>
  <c r="AD485" i="8"/>
  <c r="AE485" i="8" s="1"/>
  <c r="AG485" i="8"/>
  <c r="AI872" i="7"/>
  <c r="AF375" i="8"/>
  <c r="AH375" i="8" s="1"/>
  <c r="AJ375" i="8"/>
  <c r="AI486" i="7"/>
  <c r="AF861" i="8"/>
  <c r="AD212" i="12"/>
  <c r="AE212" i="12" s="1"/>
  <c r="AG212" i="12" s="1"/>
  <c r="AJ320" i="8"/>
  <c r="AF320" i="8"/>
  <c r="AH320" i="8" s="1"/>
  <c r="AD924" i="7"/>
  <c r="AE924" i="7" s="1"/>
  <c r="AG924" i="7" s="1"/>
  <c r="AD653" i="8"/>
  <c r="AE653" i="8" s="1"/>
  <c r="AG653" i="8" s="1"/>
  <c r="AE267" i="7"/>
  <c r="AF267" i="7" s="1"/>
  <c r="AD653" i="7"/>
  <c r="AD540" i="8"/>
  <c r="AD539" i="7"/>
  <c r="AE267" i="12"/>
  <c r="AG208" i="7"/>
  <c r="AH539" i="8"/>
  <c r="AH979" i="8" l="1"/>
  <c r="AJ265" i="8"/>
  <c r="AG265" i="8"/>
  <c r="AH861" i="8"/>
  <c r="AH208" i="7"/>
  <c r="AI432" i="8"/>
  <c r="AF376" i="7"/>
  <c r="AJ376" i="7"/>
  <c r="AG376" i="7"/>
  <c r="AI376" i="7" s="1"/>
  <c r="AD811" i="7"/>
  <c r="AE811" i="7" s="1"/>
  <c r="AG811" i="7"/>
  <c r="AF711" i="8"/>
  <c r="AI320" i="8"/>
  <c r="AJ597" i="8"/>
  <c r="AF597" i="8"/>
  <c r="AH597" i="8" s="1"/>
  <c r="AG711" i="8"/>
  <c r="AG267" i="12"/>
  <c r="AJ267" i="12"/>
  <c r="AD487" i="7"/>
  <c r="AE487" i="7" s="1"/>
  <c r="AF267" i="12"/>
  <c r="AF653" i="8"/>
  <c r="AH653" i="8" s="1"/>
  <c r="AJ653" i="8"/>
  <c r="AF265" i="8"/>
  <c r="AH265" i="8" s="1"/>
  <c r="AD433" i="8"/>
  <c r="AE433" i="8" s="1"/>
  <c r="AD873" i="7"/>
  <c r="AE873" i="7" s="1"/>
  <c r="AE155" i="7"/>
  <c r="AD1039" i="8"/>
  <c r="AE1039" i="8" s="1"/>
  <c r="AI761" i="7"/>
  <c r="AI808" i="8"/>
  <c r="AE653" i="7"/>
  <c r="AD926" i="8"/>
  <c r="AJ485" i="8"/>
  <c r="AF485" i="8"/>
  <c r="AH485" i="8" s="1"/>
  <c r="AE540" i="8"/>
  <c r="AJ1091" i="8"/>
  <c r="AF1091" i="8"/>
  <c r="AH1091" i="8" s="1"/>
  <c r="AG320" i="7"/>
  <c r="AI320" i="7" s="1"/>
  <c r="AJ320" i="7"/>
  <c r="AG267" i="7"/>
  <c r="AI267" i="7" s="1"/>
  <c r="AJ267" i="7"/>
  <c r="AI705" i="7"/>
  <c r="AF212" i="12"/>
  <c r="AH212" i="12" s="1"/>
  <c r="AJ212" i="12"/>
  <c r="AI208" i="7"/>
  <c r="AD430" i="7"/>
  <c r="AF767" i="8"/>
  <c r="AH767" i="8" s="1"/>
  <c r="AJ767" i="8"/>
  <c r="AE539" i="7"/>
  <c r="AD596" i="7"/>
  <c r="AE596" i="7" s="1"/>
  <c r="AG596" i="7" s="1"/>
  <c r="AI154" i="8"/>
  <c r="AI653" i="8"/>
  <c r="AJ213" i="8"/>
  <c r="AF213" i="8"/>
  <c r="AH213" i="8" s="1"/>
  <c r="AH429" i="7"/>
  <c r="AI375" i="8"/>
  <c r="AF157" i="12"/>
  <c r="AH157" i="12" s="1"/>
  <c r="AJ157" i="12"/>
  <c r="AI861" i="8"/>
  <c r="AJ924" i="7"/>
  <c r="AF924" i="7"/>
  <c r="AH924" i="7" s="1"/>
  <c r="AJ318" i="12"/>
  <c r="AF318" i="12"/>
  <c r="AH318" i="12" s="1"/>
  <c r="AI979" i="8"/>
  <c r="AH925" i="8"/>
  <c r="AF1039" i="8" l="1"/>
  <c r="AI1039" i="8" s="1"/>
  <c r="AG1039" i="8"/>
  <c r="AI924" i="7"/>
  <c r="AI157" i="12"/>
  <c r="AI597" i="8"/>
  <c r="AI213" i="8"/>
  <c r="AD214" i="8" s="1"/>
  <c r="AE214" i="8" s="1"/>
  <c r="AG214" i="8" s="1"/>
  <c r="AI267" i="12"/>
  <c r="AD268" i="12" s="1"/>
  <c r="AI711" i="8"/>
  <c r="AI265" i="8"/>
  <c r="AJ1039" i="8"/>
  <c r="AI212" i="12"/>
  <c r="AJ487" i="7"/>
  <c r="AF487" i="7"/>
  <c r="AG487" i="7"/>
  <c r="AI487" i="7" s="1"/>
  <c r="AF433" i="8"/>
  <c r="AJ433" i="8"/>
  <c r="AG433" i="8"/>
  <c r="AD155" i="8"/>
  <c r="AE155" i="8" s="1"/>
  <c r="AD598" i="8"/>
  <c r="AE598" i="8" s="1"/>
  <c r="AG539" i="7"/>
  <c r="AJ539" i="7"/>
  <c r="AG155" i="7"/>
  <c r="AJ155" i="7"/>
  <c r="AD376" i="8"/>
  <c r="AE376" i="8" s="1"/>
  <c r="AG376" i="8" s="1"/>
  <c r="AJ873" i="7"/>
  <c r="AF873" i="7"/>
  <c r="AE926" i="8"/>
  <c r="AJ653" i="7"/>
  <c r="AG653" i="7"/>
  <c r="AF653" i="7"/>
  <c r="AH653" i="7" s="1"/>
  <c r="AI318" i="12"/>
  <c r="AI485" i="8"/>
  <c r="AD925" i="7"/>
  <c r="AE925" i="7" s="1"/>
  <c r="AD158" i="12"/>
  <c r="AE158" i="12" s="1"/>
  <c r="AD268" i="7"/>
  <c r="AD321" i="7"/>
  <c r="AF155" i="7"/>
  <c r="AH155" i="7" s="1"/>
  <c r="AD980" i="8"/>
  <c r="AE980" i="8" s="1"/>
  <c r="AJ540" i="8"/>
  <c r="AG540" i="8"/>
  <c r="AI767" i="8"/>
  <c r="AE430" i="7"/>
  <c r="AI1091" i="8"/>
  <c r="AD213" i="12"/>
  <c r="AE213" i="12" s="1"/>
  <c r="AD762" i="7"/>
  <c r="AE762" i="7" s="1"/>
  <c r="AG762" i="7"/>
  <c r="AD706" i="7"/>
  <c r="AE706" i="7" s="1"/>
  <c r="AG706" i="7"/>
  <c r="AD321" i="8"/>
  <c r="AE321" i="8" s="1"/>
  <c r="AG321" i="8" s="1"/>
  <c r="AH376" i="7"/>
  <c r="AJ596" i="7"/>
  <c r="AF596" i="7"/>
  <c r="AH596" i="7" s="1"/>
  <c r="AF539" i="7"/>
  <c r="AJ811" i="7"/>
  <c r="AF811" i="7"/>
  <c r="AH811" i="7" s="1"/>
  <c r="AG873" i="7"/>
  <c r="AD266" i="8"/>
  <c r="AE266" i="8" s="1"/>
  <c r="AJ266" i="8" s="1"/>
  <c r="AD712" i="8"/>
  <c r="AD209" i="7"/>
  <c r="AE209" i="7" s="1"/>
  <c r="AG209" i="7" s="1"/>
  <c r="AF540" i="8"/>
  <c r="AD809" i="8"/>
  <c r="AE809" i="8" s="1"/>
  <c r="AG809" i="8" s="1"/>
  <c r="AH267" i="7"/>
  <c r="AD377" i="7"/>
  <c r="AD862" i="8"/>
  <c r="AE862" i="8" s="1"/>
  <c r="AG862" i="8" s="1"/>
  <c r="AD654" i="8"/>
  <c r="AE654" i="8" s="1"/>
  <c r="AG654" i="8" s="1"/>
  <c r="AH267" i="12"/>
  <c r="AH711" i="8"/>
  <c r="AH320" i="7"/>
  <c r="AI873" i="7" l="1"/>
  <c r="AH1039" i="8"/>
  <c r="AI433" i="8"/>
  <c r="AG925" i="7"/>
  <c r="AJ925" i="7"/>
  <c r="AI539" i="7"/>
  <c r="AH487" i="7"/>
  <c r="AI540" i="8"/>
  <c r="AF598" i="8"/>
  <c r="AJ598" i="8"/>
  <c r="AG598" i="8"/>
  <c r="AI598" i="8" s="1"/>
  <c r="AI654" i="8"/>
  <c r="AJ158" i="12"/>
  <c r="AG158" i="12"/>
  <c r="AF158" i="12"/>
  <c r="AH158" i="12" s="1"/>
  <c r="AJ213" i="12"/>
  <c r="AF213" i="12"/>
  <c r="AG213" i="12"/>
  <c r="AD486" i="8"/>
  <c r="AE486" i="8" s="1"/>
  <c r="AD319" i="12"/>
  <c r="AE319" i="12" s="1"/>
  <c r="AG319" i="12" s="1"/>
  <c r="AD1092" i="8"/>
  <c r="AE1092" i="8" s="1"/>
  <c r="AG430" i="7"/>
  <c r="AJ430" i="7"/>
  <c r="AI653" i="7"/>
  <c r="AD1040" i="8"/>
  <c r="AE1040" i="8" s="1"/>
  <c r="AE321" i="7"/>
  <c r="AF214" i="8"/>
  <c r="AH214" i="8" s="1"/>
  <c r="AD874" i="7"/>
  <c r="AD768" i="8"/>
  <c r="AE768" i="8" s="1"/>
  <c r="AH873" i="7"/>
  <c r="AJ809" i="8"/>
  <c r="AF809" i="8"/>
  <c r="AH809" i="8" s="1"/>
  <c r="AI811" i="7"/>
  <c r="AF925" i="7"/>
  <c r="AJ654" i="8"/>
  <c r="AH540" i="8"/>
  <c r="AH539" i="7"/>
  <c r="AJ214" i="8"/>
  <c r="AD488" i="7"/>
  <c r="AD540" i="7"/>
  <c r="AF266" i="8"/>
  <c r="AF321" i="8"/>
  <c r="AH321" i="8" s="1"/>
  <c r="AJ321" i="8"/>
  <c r="AF430" i="7"/>
  <c r="AH430" i="7" s="1"/>
  <c r="AG926" i="8"/>
  <c r="AJ926" i="8"/>
  <c r="AE712" i="8"/>
  <c r="AF712" i="8" s="1"/>
  <c r="AD541" i="8"/>
  <c r="AD434" i="8"/>
  <c r="AE268" i="12"/>
  <c r="AF268" i="12" s="1"/>
  <c r="AF706" i="7"/>
  <c r="AH706" i="7" s="1"/>
  <c r="AJ706" i="7"/>
  <c r="AH433" i="8"/>
  <c r="AF376" i="8"/>
  <c r="AH376" i="8" s="1"/>
  <c r="AJ376" i="8"/>
  <c r="AJ762" i="7"/>
  <c r="AF762" i="7"/>
  <c r="AH762" i="7" s="1"/>
  <c r="AI596" i="7"/>
  <c r="AI155" i="7"/>
  <c r="AE488" i="7"/>
  <c r="AF488" i="7" s="1"/>
  <c r="AE377" i="7"/>
  <c r="AF377" i="7" s="1"/>
  <c r="AG266" i="8"/>
  <c r="AF155" i="8"/>
  <c r="AJ155" i="8"/>
  <c r="AG155" i="8"/>
  <c r="AE268" i="7"/>
  <c r="AF268" i="7" s="1"/>
  <c r="AF654" i="8"/>
  <c r="AH654" i="8" s="1"/>
  <c r="AF926" i="8"/>
  <c r="AF980" i="8"/>
  <c r="AJ980" i="8"/>
  <c r="AG980" i="8"/>
  <c r="AI980" i="8" s="1"/>
  <c r="AF862" i="8"/>
  <c r="AH862" i="8" s="1"/>
  <c r="AJ862" i="8"/>
  <c r="AF209" i="7"/>
  <c r="AH209" i="7" s="1"/>
  <c r="AJ209" i="7"/>
  <c r="AJ488" i="7" l="1"/>
  <c r="AH925" i="7"/>
  <c r="AI213" i="12"/>
  <c r="AH926" i="8"/>
  <c r="AH266" i="8"/>
  <c r="AI762" i="7"/>
  <c r="AI214" i="8"/>
  <c r="AD215" i="8" s="1"/>
  <c r="AE215" i="8" s="1"/>
  <c r="AH598" i="8"/>
  <c r="AE599" i="8" s="1"/>
  <c r="AJ599" i="8" s="1"/>
  <c r="AI155" i="8"/>
  <c r="AI862" i="8"/>
  <c r="AH377" i="7"/>
  <c r="AD156" i="8"/>
  <c r="AD863" i="8"/>
  <c r="AE863" i="8" s="1"/>
  <c r="AG863" i="8" s="1"/>
  <c r="AD812" i="7"/>
  <c r="AE812" i="7" s="1"/>
  <c r="AG812" i="7" s="1"/>
  <c r="AF1092" i="8"/>
  <c r="AJ1092" i="8"/>
  <c r="AG1092" i="8"/>
  <c r="AG488" i="7"/>
  <c r="AI488" i="7" s="1"/>
  <c r="AI925" i="7"/>
  <c r="AJ486" i="8"/>
  <c r="AF486" i="8"/>
  <c r="AI209" i="7"/>
  <c r="AE540" i="7"/>
  <c r="AF540" i="7" s="1"/>
  <c r="AD599" i="8"/>
  <c r="AH268" i="7"/>
  <c r="AD763" i="7"/>
  <c r="AE763" i="7" s="1"/>
  <c r="AJ1040" i="8"/>
  <c r="AF1040" i="8"/>
  <c r="AG1040" i="8"/>
  <c r="AD654" i="7"/>
  <c r="AE654" i="7" s="1"/>
  <c r="AG654" i="7" s="1"/>
  <c r="AI706" i="7"/>
  <c r="AE874" i="7"/>
  <c r="AI158" i="12"/>
  <c r="AF768" i="8"/>
  <c r="AJ768" i="8"/>
  <c r="AD156" i="7"/>
  <c r="AE156" i="7" s="1"/>
  <c r="AG156" i="7"/>
  <c r="AD597" i="7"/>
  <c r="AE597" i="7" s="1"/>
  <c r="AE541" i="8"/>
  <c r="AF541" i="8" s="1"/>
  <c r="AG321" i="7"/>
  <c r="AJ321" i="7"/>
  <c r="AE434" i="8"/>
  <c r="AD214" i="12"/>
  <c r="AH155" i="8"/>
  <c r="AI321" i="8"/>
  <c r="AH213" i="12"/>
  <c r="AI266" i="8"/>
  <c r="AJ377" i="7"/>
  <c r="AG377" i="7"/>
  <c r="AI377" i="7" s="1"/>
  <c r="AI430" i="7"/>
  <c r="AJ268" i="12"/>
  <c r="AG268" i="12"/>
  <c r="AI268" i="12" s="1"/>
  <c r="AD981" i="8"/>
  <c r="AF319" i="12"/>
  <c r="AH319" i="12" s="1"/>
  <c r="AJ319" i="12"/>
  <c r="AG768" i="8"/>
  <c r="AI768" i="8" s="1"/>
  <c r="AH980" i="8"/>
  <c r="AD655" i="8"/>
  <c r="AE655" i="8" s="1"/>
  <c r="AG486" i="8"/>
  <c r="AI486" i="8" s="1"/>
  <c r="AI376" i="8"/>
  <c r="AI809" i="8"/>
  <c r="AJ712" i="8"/>
  <c r="AG712" i="8"/>
  <c r="AI712" i="8" s="1"/>
  <c r="AG268" i="7"/>
  <c r="AI268" i="7" s="1"/>
  <c r="AJ268" i="7"/>
  <c r="AI926" i="8"/>
  <c r="AF321" i="7"/>
  <c r="AI1092" i="8" l="1"/>
  <c r="AG215" i="8"/>
  <c r="AJ215" i="8"/>
  <c r="AH321" i="7"/>
  <c r="AH1040" i="8"/>
  <c r="AJ655" i="8"/>
  <c r="AF655" i="8"/>
  <c r="AG655" i="8"/>
  <c r="AI655" i="8" s="1"/>
  <c r="AG763" i="7"/>
  <c r="AJ763" i="7"/>
  <c r="AF763" i="7"/>
  <c r="AH763" i="7" s="1"/>
  <c r="AE214" i="12"/>
  <c r="AE156" i="8"/>
  <c r="AE981" i="8"/>
  <c r="AF599" i="8"/>
  <c r="AJ863" i="8"/>
  <c r="AG599" i="8"/>
  <c r="AG434" i="8"/>
  <c r="AJ434" i="8"/>
  <c r="AF434" i="8"/>
  <c r="AH434" i="8" s="1"/>
  <c r="AF215" i="8"/>
  <c r="AH215" i="8" s="1"/>
  <c r="AJ156" i="7"/>
  <c r="AF156" i="7"/>
  <c r="AH156" i="7" s="1"/>
  <c r="AI1040" i="8"/>
  <c r="AH488" i="7"/>
  <c r="AD487" i="8"/>
  <c r="AJ812" i="7"/>
  <c r="AF812" i="7"/>
  <c r="AH812" i="7" s="1"/>
  <c r="AD322" i="8"/>
  <c r="AE322" i="8" s="1"/>
  <c r="AG322" i="8"/>
  <c r="AG874" i="7"/>
  <c r="AI874" i="7" s="1"/>
  <c r="AJ874" i="7"/>
  <c r="AD489" i="7"/>
  <c r="AD769" i="8"/>
  <c r="AD707" i="7"/>
  <c r="AE707" i="7" s="1"/>
  <c r="AJ654" i="7"/>
  <c r="AF654" i="7"/>
  <c r="AH654" i="7" s="1"/>
  <c r="AD269" i="12"/>
  <c r="AD713" i="8"/>
  <c r="AI321" i="7"/>
  <c r="AI319" i="12"/>
  <c r="AH486" i="8"/>
  <c r="AF863" i="8"/>
  <c r="AH863" i="8" s="1"/>
  <c r="AD926" i="7"/>
  <c r="AE926" i="7" s="1"/>
  <c r="AG926" i="7" s="1"/>
  <c r="AF874" i="7"/>
  <c r="AD1093" i="8"/>
  <c r="AF597" i="7"/>
  <c r="AH597" i="7" s="1"/>
  <c r="AJ597" i="7"/>
  <c r="AH1092" i="8"/>
  <c r="AG597" i="7"/>
  <c r="AD927" i="8"/>
  <c r="AE927" i="8" s="1"/>
  <c r="AG540" i="7"/>
  <c r="AI540" i="7" s="1"/>
  <c r="AJ540" i="7"/>
  <c r="AD269" i="7"/>
  <c r="AE269" i="7" s="1"/>
  <c r="AH768" i="8"/>
  <c r="AD431" i="7"/>
  <c r="AE431" i="7" s="1"/>
  <c r="AG431" i="7" s="1"/>
  <c r="AH268" i="12"/>
  <c r="AD378" i="7"/>
  <c r="AE378" i="7" s="1"/>
  <c r="AD810" i="8"/>
  <c r="AE810" i="8" s="1"/>
  <c r="AD377" i="8"/>
  <c r="AE377" i="8" s="1"/>
  <c r="AD267" i="8"/>
  <c r="AE267" i="8" s="1"/>
  <c r="AG267" i="8" s="1"/>
  <c r="AJ541" i="8"/>
  <c r="AG541" i="8"/>
  <c r="AI541" i="8" s="1"/>
  <c r="AD159" i="12"/>
  <c r="AE159" i="12" s="1"/>
  <c r="AD210" i="7"/>
  <c r="AE210" i="7" s="1"/>
  <c r="AH712" i="8"/>
  <c r="AH541" i="8" l="1"/>
  <c r="AI156" i="7"/>
  <c r="AI599" i="8"/>
  <c r="AG378" i="7"/>
  <c r="AF378" i="7"/>
  <c r="AH378" i="7" s="1"/>
  <c r="AJ378" i="7"/>
  <c r="AG269" i="7"/>
  <c r="AJ269" i="7"/>
  <c r="AF269" i="7"/>
  <c r="AH269" i="7" s="1"/>
  <c r="AG214" i="12"/>
  <c r="AJ214" i="12"/>
  <c r="AI434" i="8"/>
  <c r="AJ159" i="12"/>
  <c r="AF159" i="12"/>
  <c r="AD157" i="7"/>
  <c r="AE157" i="7" s="1"/>
  <c r="AJ157" i="7" s="1"/>
  <c r="AD542" i="8"/>
  <c r="AE542" i="8" s="1"/>
  <c r="AI215" i="8"/>
  <c r="AE489" i="7"/>
  <c r="AD656" i="8"/>
  <c r="AJ377" i="8"/>
  <c r="AF377" i="8"/>
  <c r="AJ156" i="8"/>
  <c r="AG156" i="8"/>
  <c r="AI863" i="8"/>
  <c r="AE269" i="12"/>
  <c r="AF431" i="7"/>
  <c r="AH431" i="7" s="1"/>
  <c r="AJ431" i="7"/>
  <c r="AF214" i="12"/>
  <c r="AE769" i="8"/>
  <c r="AD600" i="8"/>
  <c r="AH874" i="7"/>
  <c r="AJ267" i="8"/>
  <c r="AF267" i="8"/>
  <c r="AH267" i="8" s="1"/>
  <c r="AG981" i="8"/>
  <c r="AJ981" i="8"/>
  <c r="AF810" i="8"/>
  <c r="AJ810" i="8"/>
  <c r="AI597" i="7"/>
  <c r="AD322" i="7"/>
  <c r="AE322" i="7" s="1"/>
  <c r="AG322" i="7" s="1"/>
  <c r="AF156" i="8"/>
  <c r="AI812" i="7"/>
  <c r="AJ210" i="7"/>
  <c r="AF210" i="7"/>
  <c r="AG210" i="7"/>
  <c r="AI210" i="7" s="1"/>
  <c r="AI763" i="7"/>
  <c r="AH599" i="8"/>
  <c r="AF707" i="7"/>
  <c r="AJ707" i="7"/>
  <c r="AH655" i="8"/>
  <c r="AE487" i="8"/>
  <c r="AF487" i="8" s="1"/>
  <c r="AG707" i="7"/>
  <c r="AG377" i="8"/>
  <c r="AD320" i="12"/>
  <c r="AE320" i="12" s="1"/>
  <c r="AG320" i="12"/>
  <c r="AI654" i="7"/>
  <c r="AE1093" i="8"/>
  <c r="AD875" i="7"/>
  <c r="AE713" i="8"/>
  <c r="AF322" i="8"/>
  <c r="AH322" i="8" s="1"/>
  <c r="AJ322" i="8"/>
  <c r="AG159" i="12"/>
  <c r="AJ926" i="7"/>
  <c r="AF926" i="7"/>
  <c r="AH926" i="7" s="1"/>
  <c r="AD1041" i="8"/>
  <c r="AE1041" i="8" s="1"/>
  <c r="AG1041" i="8" s="1"/>
  <c r="AD541" i="7"/>
  <c r="AF927" i="8"/>
  <c r="AJ927" i="8"/>
  <c r="AF981" i="8"/>
  <c r="AH981" i="8" s="1"/>
  <c r="AG927" i="8"/>
  <c r="AI927" i="8" s="1"/>
  <c r="AG810" i="8"/>
  <c r="AH540" i="7"/>
  <c r="AF542" i="8" l="1"/>
  <c r="AJ542" i="8"/>
  <c r="AI378" i="7"/>
  <c r="AI431" i="7"/>
  <c r="AI156" i="8"/>
  <c r="AH810" i="8"/>
  <c r="AI214" i="12"/>
  <c r="AH377" i="8"/>
  <c r="AI159" i="12"/>
  <c r="AD160" i="12" s="1"/>
  <c r="AH707" i="7"/>
  <c r="AE875" i="7"/>
  <c r="AJ713" i="8"/>
  <c r="AG713" i="8"/>
  <c r="AG769" i="8"/>
  <c r="AJ769" i="8"/>
  <c r="AF769" i="8"/>
  <c r="AH769" i="8" s="1"/>
  <c r="AD216" i="8"/>
  <c r="AE216" i="8" s="1"/>
  <c r="AF157" i="7"/>
  <c r="AI269" i="7"/>
  <c r="AG542" i="8"/>
  <c r="AI542" i="8" s="1"/>
  <c r="AG269" i="12"/>
  <c r="AJ269" i="12"/>
  <c r="AG157" i="7"/>
  <c r="AI157" i="7" s="1"/>
  <c r="AE379" i="7"/>
  <c r="AG379" i="7" s="1"/>
  <c r="AD157" i="8"/>
  <c r="AH156" i="8"/>
  <c r="AH927" i="8"/>
  <c r="AJ322" i="7"/>
  <c r="AF322" i="7"/>
  <c r="AH322" i="7" s="1"/>
  <c r="AJ1093" i="8"/>
  <c r="AG1093" i="8"/>
  <c r="AF1093" i="8"/>
  <c r="AH1093" i="8" s="1"/>
  <c r="AD655" i="7"/>
  <c r="AE655" i="7" s="1"/>
  <c r="AG655" i="7" s="1"/>
  <c r="AI981" i="8"/>
  <c r="AF269" i="12"/>
  <c r="AD379" i="7"/>
  <c r="AD928" i="8"/>
  <c r="AD813" i="7"/>
  <c r="AE813" i="7" s="1"/>
  <c r="AG813" i="7" s="1"/>
  <c r="AD215" i="12"/>
  <c r="AE600" i="8"/>
  <c r="AD432" i="7"/>
  <c r="AE432" i="7" s="1"/>
  <c r="AD764" i="7"/>
  <c r="AE764" i="7" s="1"/>
  <c r="AH214" i="12"/>
  <c r="AJ489" i="7"/>
  <c r="AG489" i="7"/>
  <c r="AI322" i="8"/>
  <c r="AD211" i="7"/>
  <c r="AF320" i="12"/>
  <c r="AH320" i="12" s="1"/>
  <c r="AJ320" i="12"/>
  <c r="AI377" i="8"/>
  <c r="AI707" i="7"/>
  <c r="AH159" i="12"/>
  <c r="AI926" i="7"/>
  <c r="AD864" i="8"/>
  <c r="AE864" i="8" s="1"/>
  <c r="AG864" i="8" s="1"/>
  <c r="AE656" i="8"/>
  <c r="AD435" i="8"/>
  <c r="AE435" i="8" s="1"/>
  <c r="AF713" i="8"/>
  <c r="AD598" i="7"/>
  <c r="AE598" i="7" s="1"/>
  <c r="AF1041" i="8"/>
  <c r="AH1041" i="8" s="1"/>
  <c r="AJ1041" i="8"/>
  <c r="AF489" i="7"/>
  <c r="AH489" i="7" s="1"/>
  <c r="AH210" i="7"/>
  <c r="AE541" i="7"/>
  <c r="AI810" i="8"/>
  <c r="AJ487" i="8"/>
  <c r="AG487" i="8"/>
  <c r="AI487" i="8" s="1"/>
  <c r="AI267" i="8"/>
  <c r="AH713" i="8" l="1"/>
  <c r="AH269" i="12"/>
  <c r="AI322" i="7"/>
  <c r="AJ379" i="7"/>
  <c r="AI320" i="12"/>
  <c r="AJ432" i="7"/>
  <c r="AF432" i="7"/>
  <c r="AG432" i="7"/>
  <c r="AI432" i="7" s="1"/>
  <c r="AJ435" i="8"/>
  <c r="AF435" i="8"/>
  <c r="AJ656" i="8"/>
  <c r="AG656" i="8"/>
  <c r="AD158" i="7"/>
  <c r="AF656" i="8"/>
  <c r="AH656" i="8" s="1"/>
  <c r="AI269" i="12"/>
  <c r="AJ875" i="7"/>
  <c r="AG875" i="7"/>
  <c r="AI489" i="7"/>
  <c r="AD270" i="7"/>
  <c r="AE270" i="7" s="1"/>
  <c r="AG270" i="7" s="1"/>
  <c r="AH157" i="7"/>
  <c r="AH487" i="8"/>
  <c r="AG541" i="7"/>
  <c r="AJ541" i="7"/>
  <c r="AJ600" i="8"/>
  <c r="AG600" i="8"/>
  <c r="AI600" i="8" s="1"/>
  <c r="AD982" i="8"/>
  <c r="AE982" i="8" s="1"/>
  <c r="AG982" i="8" s="1"/>
  <c r="AI769" i="8"/>
  <c r="AD323" i="7"/>
  <c r="AE323" i="7" s="1"/>
  <c r="AD543" i="8"/>
  <c r="AD268" i="8"/>
  <c r="AE268" i="8" s="1"/>
  <c r="AG268" i="8" s="1"/>
  <c r="AJ598" i="7"/>
  <c r="AF598" i="7"/>
  <c r="AJ216" i="8"/>
  <c r="AF216" i="8"/>
  <c r="AI1041" i="8"/>
  <c r="AD811" i="8"/>
  <c r="AE811" i="8" s="1"/>
  <c r="AG811" i="8" s="1"/>
  <c r="AF600" i="8"/>
  <c r="AE211" i="7"/>
  <c r="AF211" i="7" s="1"/>
  <c r="AF379" i="7"/>
  <c r="AH379" i="7" s="1"/>
  <c r="AF655" i="7"/>
  <c r="AH655" i="7" s="1"/>
  <c r="AJ655" i="7"/>
  <c r="AD323" i="8"/>
  <c r="AE323" i="8" s="1"/>
  <c r="AI1093" i="8"/>
  <c r="AD927" i="7"/>
  <c r="AE927" i="7" s="1"/>
  <c r="AG927" i="7" s="1"/>
  <c r="AE160" i="12"/>
  <c r="AF764" i="7"/>
  <c r="AJ764" i="7"/>
  <c r="AE928" i="8"/>
  <c r="AG216" i="8"/>
  <c r="AH542" i="8"/>
  <c r="AF541" i="7"/>
  <c r="AD378" i="8"/>
  <c r="AE378" i="8" s="1"/>
  <c r="AD321" i="12"/>
  <c r="AE321" i="12" s="1"/>
  <c r="AG435" i="8"/>
  <c r="AJ864" i="8"/>
  <c r="AF864" i="8"/>
  <c r="AH864" i="8" s="1"/>
  <c r="AI713" i="8"/>
  <c r="AF813" i="7"/>
  <c r="AH813" i="7" s="1"/>
  <c r="AJ813" i="7"/>
  <c r="AF875" i="7"/>
  <c r="AD488" i="8"/>
  <c r="AE215" i="12"/>
  <c r="AF215" i="12" s="1"/>
  <c r="AG598" i="7"/>
  <c r="AD708" i="7"/>
  <c r="AE708" i="7" s="1"/>
  <c r="AG764" i="7"/>
  <c r="AE157" i="8"/>
  <c r="AI435" i="8" l="1"/>
  <c r="AG321" i="12"/>
  <c r="AJ321" i="12"/>
  <c r="AF323" i="7"/>
  <c r="AJ323" i="7"/>
  <c r="AI541" i="7"/>
  <c r="AH764" i="7"/>
  <c r="AH598" i="7"/>
  <c r="AH216" i="8"/>
  <c r="AH875" i="7"/>
  <c r="AG928" i="8"/>
  <c r="AJ928" i="8"/>
  <c r="AD601" i="8"/>
  <c r="AD714" i="8"/>
  <c r="AE714" i="8" s="1"/>
  <c r="AG714" i="8" s="1"/>
  <c r="AD542" i="7"/>
  <c r="AI764" i="7"/>
  <c r="AE488" i="8"/>
  <c r="AF488" i="8" s="1"/>
  <c r="AD436" i="8"/>
  <c r="AG323" i="7"/>
  <c r="AD433" i="7"/>
  <c r="AD490" i="7"/>
  <c r="AE490" i="7" s="1"/>
  <c r="AG490" i="7" s="1"/>
  <c r="AG157" i="8"/>
  <c r="AJ157" i="8"/>
  <c r="AI656" i="8"/>
  <c r="AF321" i="12"/>
  <c r="AJ378" i="8"/>
  <c r="AF378" i="8"/>
  <c r="AH432" i="7"/>
  <c r="AG378" i="8"/>
  <c r="AI378" i="8" s="1"/>
  <c r="AD770" i="8"/>
  <c r="AE770" i="8" s="1"/>
  <c r="AH541" i="7"/>
  <c r="AD1094" i="8"/>
  <c r="AE1094" i="8" s="1"/>
  <c r="AI875" i="7"/>
  <c r="AI655" i="7"/>
  <c r="AJ268" i="8"/>
  <c r="AF268" i="8"/>
  <c r="AH268" i="8" s="1"/>
  <c r="AJ211" i="7"/>
  <c r="AG211" i="7"/>
  <c r="AI211" i="7" s="1"/>
  <c r="AF708" i="7"/>
  <c r="AH708" i="7" s="1"/>
  <c r="AJ708" i="7"/>
  <c r="AH600" i="8"/>
  <c r="AI598" i="7"/>
  <c r="AH435" i="8"/>
  <c r="AE543" i="8"/>
  <c r="AI813" i="7"/>
  <c r="AI379" i="7"/>
  <c r="AJ323" i="8"/>
  <c r="AF323" i="8"/>
  <c r="AH323" i="8" s="1"/>
  <c r="AF928" i="8"/>
  <c r="AG323" i="8"/>
  <c r="AF157" i="8"/>
  <c r="AJ160" i="12"/>
  <c r="AG160" i="12"/>
  <c r="AG708" i="7"/>
  <c r="AF160" i="12"/>
  <c r="AH160" i="12" s="1"/>
  <c r="AE158" i="7"/>
  <c r="AF158" i="7" s="1"/>
  <c r="AJ927" i="7"/>
  <c r="AF927" i="7"/>
  <c r="AH927" i="7" s="1"/>
  <c r="AG215" i="12"/>
  <c r="AI215" i="12" s="1"/>
  <c r="AJ215" i="12"/>
  <c r="AF270" i="7"/>
  <c r="AH270" i="7" s="1"/>
  <c r="AJ270" i="7"/>
  <c r="AJ811" i="8"/>
  <c r="AF811" i="8"/>
  <c r="AH811" i="8" s="1"/>
  <c r="AI216" i="8"/>
  <c r="AD1042" i="8"/>
  <c r="AE1042" i="8" s="1"/>
  <c r="AG1042" i="8" s="1"/>
  <c r="AJ982" i="8"/>
  <c r="AF982" i="8"/>
  <c r="AH982" i="8" s="1"/>
  <c r="AD270" i="12"/>
  <c r="AE270" i="12" s="1"/>
  <c r="AI864" i="8"/>
  <c r="AI323" i="7" l="1"/>
  <c r="AD324" i="7" s="1"/>
  <c r="AI928" i="8"/>
  <c r="AI927" i="7"/>
  <c r="AH157" i="8"/>
  <c r="AH321" i="12"/>
  <c r="AJ770" i="8"/>
  <c r="AF770" i="8"/>
  <c r="AG770" i="8"/>
  <c r="AI770" i="8" s="1"/>
  <c r="AH378" i="8"/>
  <c r="AI160" i="12"/>
  <c r="AJ543" i="8"/>
  <c r="AG543" i="8"/>
  <c r="AI270" i="7"/>
  <c r="AD656" i="7"/>
  <c r="AE656" i="7" s="1"/>
  <c r="AI811" i="8"/>
  <c r="AD876" i="7"/>
  <c r="AE876" i="7" s="1"/>
  <c r="AG876" i="7" s="1"/>
  <c r="AI268" i="8"/>
  <c r="AJ270" i="12"/>
  <c r="AF270" i="12"/>
  <c r="AD212" i="7"/>
  <c r="AJ1042" i="8"/>
  <c r="AF1042" i="8"/>
  <c r="AH1042" i="8" s="1"/>
  <c r="AI982" i="8"/>
  <c r="AD928" i="7"/>
  <c r="AE928" i="7" s="1"/>
  <c r="AD657" i="8"/>
  <c r="AE657" i="8" s="1"/>
  <c r="AG657" i="8" s="1"/>
  <c r="AD765" i="7"/>
  <c r="AE765" i="7" s="1"/>
  <c r="AG765" i="7" s="1"/>
  <c r="AE436" i="8"/>
  <c r="AF436" i="8" s="1"/>
  <c r="AH215" i="12"/>
  <c r="AF490" i="7"/>
  <c r="AH490" i="7" s="1"/>
  <c r="AJ490" i="7"/>
  <c r="AI708" i="7"/>
  <c r="AD217" i="8"/>
  <c r="AE217" i="8" s="1"/>
  <c r="AG217" i="8" s="1"/>
  <c r="AD929" i="8"/>
  <c r="AF543" i="8"/>
  <c r="AD216" i="12"/>
  <c r="AI323" i="8"/>
  <c r="AI157" i="8"/>
  <c r="AI321" i="12"/>
  <c r="AJ158" i="7"/>
  <c r="AG158" i="7"/>
  <c r="AI158" i="7" s="1"/>
  <c r="AJ714" i="8"/>
  <c r="AF714" i="8"/>
  <c r="AH714" i="8" s="1"/>
  <c r="AD379" i="8"/>
  <c r="AE433" i="7"/>
  <c r="AF433" i="7" s="1"/>
  <c r="AD380" i="7"/>
  <c r="AE380" i="7" s="1"/>
  <c r="AD814" i="7"/>
  <c r="AE814" i="7" s="1"/>
  <c r="AG814" i="7" s="1"/>
  <c r="AJ488" i="8"/>
  <c r="AG488" i="8"/>
  <c r="AI488" i="8" s="1"/>
  <c r="AH323" i="7"/>
  <c r="AJ1094" i="8"/>
  <c r="AF1094" i="8"/>
  <c r="AD865" i="8"/>
  <c r="AE865" i="8" s="1"/>
  <c r="AG865" i="8" s="1"/>
  <c r="AH928" i="8"/>
  <c r="AD599" i="7"/>
  <c r="AE599" i="7" s="1"/>
  <c r="AG599" i="7" s="1"/>
  <c r="AG1094" i="8"/>
  <c r="AI1094" i="8" s="1"/>
  <c r="AG270" i="12"/>
  <c r="AE601" i="8"/>
  <c r="AE542" i="7"/>
  <c r="AH211" i="7"/>
  <c r="AG928" i="7" l="1"/>
  <c r="AJ928" i="7"/>
  <c r="AH543" i="8"/>
  <c r="AH270" i="12"/>
  <c r="AI814" i="7"/>
  <c r="AJ599" i="7"/>
  <c r="AF599" i="7"/>
  <c r="AH599" i="7" s="1"/>
  <c r="AF928" i="7"/>
  <c r="AH928" i="7" s="1"/>
  <c r="AJ656" i="7"/>
  <c r="AF656" i="7"/>
  <c r="AE216" i="12"/>
  <c r="AF216" i="12" s="1"/>
  <c r="AG656" i="7"/>
  <c r="AI656" i="7" s="1"/>
  <c r="AH158" i="7"/>
  <c r="AE212" i="7"/>
  <c r="AJ542" i="7"/>
  <c r="AG542" i="7"/>
  <c r="AD161" i="12"/>
  <c r="AE161" i="12" s="1"/>
  <c r="AG161" i="12" s="1"/>
  <c r="AJ814" i="7"/>
  <c r="AF814" i="7"/>
  <c r="AH814" i="7" s="1"/>
  <c r="AD771" i="8"/>
  <c r="AE929" i="8"/>
  <c r="AF929" i="8" s="1"/>
  <c r="AD324" i="8"/>
  <c r="AE324" i="8" s="1"/>
  <c r="AJ433" i="7"/>
  <c r="AG433" i="7"/>
  <c r="AI433" i="7" s="1"/>
  <c r="AH1094" i="8"/>
  <c r="AD271" i="7"/>
  <c r="AE271" i="7" s="1"/>
  <c r="AG271" i="7" s="1"/>
  <c r="AH488" i="8"/>
  <c r="AD489" i="8"/>
  <c r="AG601" i="8"/>
  <c r="AI601" i="8" s="1"/>
  <c r="AJ601" i="8"/>
  <c r="AJ217" i="8"/>
  <c r="AF217" i="8"/>
  <c r="AH217" i="8" s="1"/>
  <c r="AD1095" i="8"/>
  <c r="AD709" i="7"/>
  <c r="AE709" i="7" s="1"/>
  <c r="AG709" i="7" s="1"/>
  <c r="AJ380" i="7"/>
  <c r="AF380" i="7"/>
  <c r="AD983" i="8"/>
  <c r="AE983" i="8" s="1"/>
  <c r="AG983" i="8" s="1"/>
  <c r="AD812" i="8"/>
  <c r="AE812" i="8" s="1"/>
  <c r="AI714" i="8"/>
  <c r="AG436" i="8"/>
  <c r="AI436" i="8" s="1"/>
  <c r="AJ436" i="8"/>
  <c r="AI543" i="8"/>
  <c r="AI1042" i="8"/>
  <c r="AF765" i="7"/>
  <c r="AH765" i="7" s="1"/>
  <c r="AJ765" i="7"/>
  <c r="AF542" i="7"/>
  <c r="AF657" i="8"/>
  <c r="AH657" i="8" s="1"/>
  <c r="AJ657" i="8"/>
  <c r="AF601" i="8"/>
  <c r="AD159" i="7"/>
  <c r="AE379" i="8"/>
  <c r="AI270" i="12"/>
  <c r="AD322" i="12"/>
  <c r="AE322" i="12" s="1"/>
  <c r="AG322" i="12"/>
  <c r="AD269" i="8"/>
  <c r="AE269" i="8" s="1"/>
  <c r="AD158" i="8"/>
  <c r="AE158" i="8" s="1"/>
  <c r="AG158" i="8" s="1"/>
  <c r="AF876" i="7"/>
  <c r="AH876" i="7" s="1"/>
  <c r="AJ876" i="7"/>
  <c r="AG380" i="7"/>
  <c r="AI380" i="7" s="1"/>
  <c r="AH770" i="8"/>
  <c r="AF865" i="8"/>
  <c r="AH865" i="8" s="1"/>
  <c r="AJ865" i="8"/>
  <c r="AE324" i="7"/>
  <c r="AI490" i="7"/>
  <c r="AI928" i="7" l="1"/>
  <c r="AI542" i="7"/>
  <c r="AF161" i="12"/>
  <c r="AH161" i="12" s="1"/>
  <c r="AJ161" i="12"/>
  <c r="AD1043" i="8"/>
  <c r="AE1043" i="8" s="1"/>
  <c r="AG1043" i="8" s="1"/>
  <c r="AI876" i="7"/>
  <c r="AD544" i="8"/>
  <c r="AE544" i="8" s="1"/>
  <c r="AG544" i="8" s="1"/>
  <c r="AJ324" i="8"/>
  <c r="AF324" i="8"/>
  <c r="AG324" i="8"/>
  <c r="AJ324" i="7"/>
  <c r="AG324" i="7"/>
  <c r="AD602" i="8"/>
  <c r="AF983" i="8"/>
  <c r="AH983" i="8" s="1"/>
  <c r="AJ983" i="8"/>
  <c r="AE489" i="8"/>
  <c r="AF489" i="8" s="1"/>
  <c r="AI865" i="8"/>
  <c r="AD434" i="7"/>
  <c r="AG212" i="7"/>
  <c r="AJ212" i="7"/>
  <c r="AD491" i="7"/>
  <c r="AE491" i="7" s="1"/>
  <c r="AG491" i="7" s="1"/>
  <c r="AF212" i="7"/>
  <c r="AH212" i="7" s="1"/>
  <c r="AG379" i="8"/>
  <c r="AJ379" i="8"/>
  <c r="AF324" i="7"/>
  <c r="AH601" i="8"/>
  <c r="AE771" i="8"/>
  <c r="AH380" i="7"/>
  <c r="AH656" i="7"/>
  <c r="AH433" i="7"/>
  <c r="AJ709" i="7"/>
  <c r="AF709" i="7"/>
  <c r="AH709" i="7" s="1"/>
  <c r="AJ269" i="8"/>
  <c r="AF269" i="8"/>
  <c r="AD437" i="8"/>
  <c r="AD815" i="7"/>
  <c r="AE815" i="7" s="1"/>
  <c r="AJ815" i="7" s="1"/>
  <c r="AD271" i="12"/>
  <c r="AE271" i="12" s="1"/>
  <c r="AD715" i="8"/>
  <c r="AE715" i="8" s="1"/>
  <c r="AG715" i="8" s="1"/>
  <c r="AE159" i="7"/>
  <c r="AJ812" i="8"/>
  <c r="AF812" i="8"/>
  <c r="AD929" i="7"/>
  <c r="AE929" i="7" s="1"/>
  <c r="AD381" i="7"/>
  <c r="AJ271" i="7"/>
  <c r="AF271" i="7"/>
  <c r="AH271" i="7" s="1"/>
  <c r="AI765" i="7"/>
  <c r="AI599" i="7"/>
  <c r="AJ158" i="8"/>
  <c r="AF158" i="8"/>
  <c r="AH158" i="8" s="1"/>
  <c r="AE1095" i="8"/>
  <c r="AF1095" i="8" s="1"/>
  <c r="AG269" i="8"/>
  <c r="AI269" i="8" s="1"/>
  <c r="AD543" i="7"/>
  <c r="AJ322" i="12"/>
  <c r="AF322" i="12"/>
  <c r="AH322" i="12" s="1"/>
  <c r="AJ929" i="8"/>
  <c r="AG929" i="8"/>
  <c r="AI929" i="8" s="1"/>
  <c r="AH436" i="8"/>
  <c r="AD657" i="7"/>
  <c r="AF379" i="8"/>
  <c r="AG812" i="8"/>
  <c r="AG216" i="12"/>
  <c r="AI216" i="12" s="1"/>
  <c r="AJ216" i="12"/>
  <c r="AI217" i="8"/>
  <c r="AH542" i="7"/>
  <c r="AI657" i="8"/>
  <c r="AI161" i="12" l="1"/>
  <c r="AI322" i="12"/>
  <c r="AH324" i="7"/>
  <c r="AI379" i="8"/>
  <c r="AD380" i="8" s="1"/>
  <c r="AH812" i="8"/>
  <c r="AH324" i="8"/>
  <c r="AJ929" i="7"/>
  <c r="AF929" i="7"/>
  <c r="AG929" i="7"/>
  <c r="AI929" i="7" s="1"/>
  <c r="AF544" i="8"/>
  <c r="AH544" i="8" s="1"/>
  <c r="AJ544" i="8"/>
  <c r="AD877" i="7"/>
  <c r="AE877" i="7" s="1"/>
  <c r="AG159" i="7"/>
  <c r="AJ159" i="7"/>
  <c r="AH379" i="8"/>
  <c r="AJ271" i="12"/>
  <c r="AF271" i="12"/>
  <c r="AG271" i="12"/>
  <c r="AD323" i="12"/>
  <c r="AI324" i="7"/>
  <c r="AH929" i="8"/>
  <c r="AD217" i="12"/>
  <c r="AF159" i="7"/>
  <c r="AI983" i="8"/>
  <c r="AD766" i="7"/>
  <c r="AE766" i="7" s="1"/>
  <c r="AG766" i="7" s="1"/>
  <c r="AE437" i="8"/>
  <c r="AF437" i="8" s="1"/>
  <c r="AI212" i="7"/>
  <c r="AD930" i="8"/>
  <c r="AF815" i="7"/>
  <c r="AG815" i="7"/>
  <c r="AI815" i="7" s="1"/>
  <c r="AH216" i="12"/>
  <c r="AE602" i="8"/>
  <c r="AD270" i="8"/>
  <c r="AD162" i="12"/>
  <c r="AE162" i="12" s="1"/>
  <c r="AI812" i="8"/>
  <c r="AD600" i="7"/>
  <c r="AE600" i="7" s="1"/>
  <c r="AG600" i="7" s="1"/>
  <c r="AJ491" i="7"/>
  <c r="AF491" i="7"/>
  <c r="AH491" i="7" s="1"/>
  <c r="AE434" i="7"/>
  <c r="AF434" i="7" s="1"/>
  <c r="AE657" i="7"/>
  <c r="AE381" i="7"/>
  <c r="AF381" i="7" s="1"/>
  <c r="AJ771" i="8"/>
  <c r="AJ772" i="8" s="1"/>
  <c r="AJ773" i="8" s="1"/>
  <c r="AJ774" i="8" s="1"/>
  <c r="AJ775" i="8" s="1"/>
  <c r="AJ776" i="8" s="1"/>
  <c r="AG771" i="8"/>
  <c r="AI271" i="7"/>
  <c r="AJ1095" i="8"/>
  <c r="AG1095" i="8"/>
  <c r="AI1095" i="8" s="1"/>
  <c r="AD218" i="8"/>
  <c r="AE218" i="8" s="1"/>
  <c r="AG218" i="8" s="1"/>
  <c r="AH269" i="8"/>
  <c r="AD866" i="8"/>
  <c r="AE866" i="8" s="1"/>
  <c r="AJ489" i="8"/>
  <c r="AG489" i="8"/>
  <c r="AI489" i="8" s="1"/>
  <c r="AJ1043" i="8"/>
  <c r="AF1043" i="8"/>
  <c r="AH1043" i="8" s="1"/>
  <c r="AI158" i="8"/>
  <c r="AJ715" i="8"/>
  <c r="AF715" i="8"/>
  <c r="AH715" i="8" s="1"/>
  <c r="AD658" i="8"/>
  <c r="AE658" i="8" s="1"/>
  <c r="AE323" i="12"/>
  <c r="AG323" i="12" s="1"/>
  <c r="AE543" i="7"/>
  <c r="AF543" i="7" s="1"/>
  <c r="AJ323" i="12"/>
  <c r="AF771" i="8"/>
  <c r="AI324" i="8"/>
  <c r="AI709" i="7"/>
  <c r="AI771" i="8" l="1"/>
  <c r="AG772" i="8" s="1"/>
  <c r="AI772" i="8" s="1"/>
  <c r="AG773" i="8" s="1"/>
  <c r="AI773" i="8" s="1"/>
  <c r="AG774" i="8" s="1"/>
  <c r="AI774" i="8" s="1"/>
  <c r="AG775" i="8" s="1"/>
  <c r="AI775" i="8" s="1"/>
  <c r="AG776" i="8" s="1"/>
  <c r="AI776" i="8" s="1"/>
  <c r="AI1043" i="8"/>
  <c r="AD1044" i="8" s="1"/>
  <c r="AE1044" i="8" s="1"/>
  <c r="AI271" i="12"/>
  <c r="AH159" i="7"/>
  <c r="AI544" i="8"/>
  <c r="AJ162" i="12"/>
  <c r="AG162" i="12"/>
  <c r="AF162" i="12"/>
  <c r="AH162" i="12" s="1"/>
  <c r="AI600" i="7"/>
  <c r="AD490" i="8"/>
  <c r="AD213" i="7"/>
  <c r="AE213" i="7" s="1"/>
  <c r="AJ657" i="7"/>
  <c r="AG657" i="7"/>
  <c r="AF657" i="7"/>
  <c r="AH657" i="7" s="1"/>
  <c r="AE270" i="8"/>
  <c r="AD325" i="7"/>
  <c r="AE325" i="7" s="1"/>
  <c r="AJ218" i="8"/>
  <c r="AF218" i="8"/>
  <c r="AH218" i="8" s="1"/>
  <c r="AD1096" i="8"/>
  <c r="AG602" i="8"/>
  <c r="AJ602" i="8"/>
  <c r="AH929" i="7"/>
  <c r="AD272" i="7"/>
  <c r="AE272" i="7" s="1"/>
  <c r="AD816" i="7"/>
  <c r="AE380" i="8"/>
  <c r="AH489" i="8"/>
  <c r="AG381" i="7"/>
  <c r="AI381" i="7" s="1"/>
  <c r="AJ381" i="7"/>
  <c r="AF877" i="7"/>
  <c r="AJ877" i="7"/>
  <c r="AJ866" i="8"/>
  <c r="AF866" i="8"/>
  <c r="AE930" i="8"/>
  <c r="AJ658" i="8"/>
  <c r="AF658" i="8"/>
  <c r="AG658" i="8"/>
  <c r="AI658" i="8" s="1"/>
  <c r="AD984" i="8"/>
  <c r="AE984" i="8" s="1"/>
  <c r="AG984" i="8" s="1"/>
  <c r="AH271" i="12"/>
  <c r="AH1095" i="8"/>
  <c r="AD813" i="8"/>
  <c r="AE813" i="8" s="1"/>
  <c r="AH815" i="7"/>
  <c r="AI491" i="7"/>
  <c r="AJ437" i="8"/>
  <c r="AG437" i="8"/>
  <c r="AI437" i="8" s="1"/>
  <c r="AG877" i="7"/>
  <c r="AI877" i="7" s="1"/>
  <c r="AG434" i="7"/>
  <c r="AI434" i="7" s="1"/>
  <c r="AJ434" i="7"/>
  <c r="AF323" i="12"/>
  <c r="AH323" i="12" s="1"/>
  <c r="AF600" i="7"/>
  <c r="AH600" i="7" s="1"/>
  <c r="AJ600" i="7"/>
  <c r="AD930" i="7"/>
  <c r="AF602" i="8"/>
  <c r="AD710" i="7"/>
  <c r="AE710" i="7" s="1"/>
  <c r="AD159" i="8"/>
  <c r="AE159" i="8" s="1"/>
  <c r="AG159" i="8" s="1"/>
  <c r="AD325" i="8"/>
  <c r="AE325" i="8" s="1"/>
  <c r="AG325" i="8" s="1"/>
  <c r="AI159" i="7"/>
  <c r="AI715" i="8"/>
  <c r="AG543" i="7"/>
  <c r="AI543" i="7" s="1"/>
  <c r="AJ543" i="7"/>
  <c r="AG866" i="8"/>
  <c r="AD545" i="8"/>
  <c r="AE545" i="8" s="1"/>
  <c r="AI218" i="8"/>
  <c r="AF766" i="7"/>
  <c r="AH766" i="7" s="1"/>
  <c r="AJ766" i="7"/>
  <c r="AD272" i="12"/>
  <c r="AE217" i="12"/>
  <c r="AH771" i="8"/>
  <c r="AF772" i="8" s="1"/>
  <c r="AH772" i="8" s="1"/>
  <c r="AF773" i="8" s="1"/>
  <c r="AH773" i="8" s="1"/>
  <c r="AF774" i="8" s="1"/>
  <c r="AH774" i="8" s="1"/>
  <c r="AF775" i="8" s="1"/>
  <c r="AH775" i="8" s="1"/>
  <c r="AF776" i="8" s="1"/>
  <c r="AH776" i="8" s="1"/>
  <c r="AD777" i="8" s="1"/>
  <c r="AK726" i="8" s="1"/>
  <c r="AG1044" i="8" l="1"/>
  <c r="AJ1044" i="8"/>
  <c r="AI602" i="8"/>
  <c r="AH381" i="7"/>
  <c r="AI866" i="8"/>
  <c r="AF545" i="8"/>
  <c r="AG545" i="8"/>
  <c r="AI545" i="8" s="1"/>
  <c r="AJ545" i="8"/>
  <c r="AF159" i="8"/>
  <c r="AH159" i="8" s="1"/>
  <c r="AJ159" i="8"/>
  <c r="AI657" i="7"/>
  <c r="AI766" i="7"/>
  <c r="AD438" i="8"/>
  <c r="AJ217" i="12"/>
  <c r="AG217" i="12"/>
  <c r="AI217" i="12" s="1"/>
  <c r="AD435" i="7"/>
  <c r="AJ710" i="7"/>
  <c r="AF710" i="7"/>
  <c r="AH658" i="8"/>
  <c r="AJ213" i="7"/>
  <c r="AF213" i="7"/>
  <c r="AG930" i="8"/>
  <c r="AJ930" i="8"/>
  <c r="AD867" i="8"/>
  <c r="AF217" i="12"/>
  <c r="AE816" i="7"/>
  <c r="AF816" i="7" s="1"/>
  <c r="AD878" i="7"/>
  <c r="AF272" i="7"/>
  <c r="AJ272" i="7"/>
  <c r="AD219" i="8"/>
  <c r="AE219" i="8" s="1"/>
  <c r="AG710" i="7"/>
  <c r="AI710" i="7" s="1"/>
  <c r="AG272" i="7"/>
  <c r="AI272" i="7" s="1"/>
  <c r="AH602" i="8"/>
  <c r="AG213" i="7"/>
  <c r="AD492" i="7"/>
  <c r="AE492" i="7" s="1"/>
  <c r="AH866" i="8"/>
  <c r="AD659" i="8"/>
  <c r="AO728" i="8"/>
  <c r="AE930" i="7"/>
  <c r="AF930" i="8"/>
  <c r="AD544" i="7"/>
  <c r="AD716" i="8"/>
  <c r="AE716" i="8" s="1"/>
  <c r="AE1096" i="8"/>
  <c r="AF1096" i="8" s="1"/>
  <c r="AE272" i="12"/>
  <c r="AF325" i="7"/>
  <c r="AH325" i="7" s="1"/>
  <c r="AJ325" i="7"/>
  <c r="AF813" i="8"/>
  <c r="AJ813" i="8"/>
  <c r="AH543" i="7"/>
  <c r="AD160" i="7"/>
  <c r="AE160" i="7" s="1"/>
  <c r="AG160" i="7" s="1"/>
  <c r="AD382" i="7"/>
  <c r="AF1044" i="8"/>
  <c r="AE490" i="8"/>
  <c r="AF490" i="8" s="1"/>
  <c r="AG325" i="7"/>
  <c r="AI162" i="12"/>
  <c r="AD603" i="8"/>
  <c r="AH877" i="7"/>
  <c r="AH437" i="8"/>
  <c r="AG380" i="8"/>
  <c r="AJ380" i="8"/>
  <c r="AG270" i="8"/>
  <c r="AJ270" i="8"/>
  <c r="AD601" i="7"/>
  <c r="AE601" i="7"/>
  <c r="AJ601" i="7" s="1"/>
  <c r="AH434" i="7"/>
  <c r="AG813" i="8"/>
  <c r="AJ325" i="8"/>
  <c r="AF325" i="8"/>
  <c r="AH325" i="8" s="1"/>
  <c r="AF984" i="8"/>
  <c r="AH984" i="8" s="1"/>
  <c r="AJ984" i="8"/>
  <c r="AF380" i="8"/>
  <c r="AF270" i="8"/>
  <c r="AI323" i="12"/>
  <c r="AE382" i="7" l="1"/>
  <c r="AF219" i="8"/>
  <c r="AJ219" i="8"/>
  <c r="AH1044" i="8"/>
  <c r="AH270" i="8"/>
  <c r="AI213" i="7"/>
  <c r="AH380" i="8"/>
  <c r="AI930" i="8"/>
  <c r="AD931" i="8" s="1"/>
  <c r="AI813" i="8"/>
  <c r="AF382" i="7"/>
  <c r="AG382" i="7"/>
  <c r="AI382" i="7" s="1"/>
  <c r="AJ382" i="7"/>
  <c r="AF716" i="8"/>
  <c r="AH716" i="8" s="1"/>
  <c r="AF717" i="8" s="1"/>
  <c r="AH717" i="8" s="1"/>
  <c r="AF718" i="8" s="1"/>
  <c r="AH718" i="8" s="1"/>
  <c r="AF719" i="8" s="1"/>
  <c r="AH719" i="8" s="1"/>
  <c r="AF720" i="8" s="1"/>
  <c r="AH720" i="8" s="1"/>
  <c r="AF721" i="8" s="1"/>
  <c r="AH721" i="8" s="1"/>
  <c r="AJ716" i="8"/>
  <c r="AJ717" i="8" s="1"/>
  <c r="AJ718" i="8" s="1"/>
  <c r="AJ719" i="8" s="1"/>
  <c r="AJ720" i="8" s="1"/>
  <c r="AJ721" i="8" s="1"/>
  <c r="AD214" i="7"/>
  <c r="AI380" i="8"/>
  <c r="AE544" i="7"/>
  <c r="AD767" i="7"/>
  <c r="AE767" i="7" s="1"/>
  <c r="AG767" i="7" s="1"/>
  <c r="AE878" i="7"/>
  <c r="AF878" i="7" s="1"/>
  <c r="AG219" i="8"/>
  <c r="AH813" i="8"/>
  <c r="AF492" i="7"/>
  <c r="AJ492" i="7"/>
  <c r="AI270" i="8"/>
  <c r="AD273" i="7"/>
  <c r="AH213" i="7"/>
  <c r="AD814" i="8"/>
  <c r="AG930" i="7"/>
  <c r="AJ930" i="7"/>
  <c r="AI984" i="8"/>
  <c r="AD546" i="8"/>
  <c r="AD218" i="12"/>
  <c r="AG492" i="7"/>
  <c r="AG716" i="8"/>
  <c r="AE603" i="8"/>
  <c r="AE438" i="8"/>
  <c r="AE659" i="8"/>
  <c r="AH710" i="7"/>
  <c r="AE435" i="7"/>
  <c r="AH272" i="7"/>
  <c r="AF601" i="7"/>
  <c r="AD163" i="12"/>
  <c r="AE163" i="12" s="1"/>
  <c r="AG163" i="12" s="1"/>
  <c r="AG601" i="7"/>
  <c r="AI601" i="7" s="1"/>
  <c r="AI325" i="7"/>
  <c r="AG272" i="12"/>
  <c r="AJ272" i="12"/>
  <c r="AE867" i="8"/>
  <c r="AF867" i="8" s="1"/>
  <c r="AI159" i="8"/>
  <c r="AH545" i="8"/>
  <c r="AJ1096" i="8"/>
  <c r="AG1096" i="8"/>
  <c r="AI1096" i="8" s="1"/>
  <c r="AH217" i="12"/>
  <c r="AF160" i="7"/>
  <c r="AH160" i="7" s="1"/>
  <c r="AJ160" i="7"/>
  <c r="AD711" i="7"/>
  <c r="AP728" i="8"/>
  <c r="AD658" i="7"/>
  <c r="AE658" i="7" s="1"/>
  <c r="AG658" i="7" s="1"/>
  <c r="AH930" i="8"/>
  <c r="AF930" i="7"/>
  <c r="AI325" i="8"/>
  <c r="AD324" i="12"/>
  <c r="AE324" i="12" s="1"/>
  <c r="AG490" i="8"/>
  <c r="AI490" i="8" s="1"/>
  <c r="AJ490" i="8"/>
  <c r="AF272" i="12"/>
  <c r="AJ816" i="7"/>
  <c r="AG816" i="7"/>
  <c r="AI816" i="7" s="1"/>
  <c r="AI1044" i="8"/>
  <c r="AI219" i="8" l="1"/>
  <c r="AI930" i="7"/>
  <c r="AH492" i="7"/>
  <c r="AH272" i="12"/>
  <c r="AD985" i="8"/>
  <c r="AE985" i="8" s="1"/>
  <c r="AD491" i="8"/>
  <c r="AI272" i="12"/>
  <c r="AD326" i="7"/>
  <c r="AE326" i="7" s="1"/>
  <c r="AD220" i="8"/>
  <c r="AE214" i="7"/>
  <c r="AH601" i="7"/>
  <c r="AE273" i="7"/>
  <c r="AH1096" i="8"/>
  <c r="AG659" i="8"/>
  <c r="AJ659" i="8"/>
  <c r="AD160" i="8"/>
  <c r="AE160" i="8" s="1"/>
  <c r="AD931" i="7"/>
  <c r="AH490" i="8"/>
  <c r="AJ163" i="12"/>
  <c r="AF163" i="12"/>
  <c r="AH163" i="12" s="1"/>
  <c r="AE218" i="12"/>
  <c r="AG435" i="7"/>
  <c r="AJ435" i="7"/>
  <c r="AI492" i="7"/>
  <c r="AG544" i="7"/>
  <c r="AJ544" i="7"/>
  <c r="AD1045" i="8"/>
  <c r="AE1045" i="8" s="1"/>
  <c r="AG1045" i="8" s="1"/>
  <c r="AE546" i="8"/>
  <c r="AF546" i="8" s="1"/>
  <c r="AQ728" i="8"/>
  <c r="AJ867" i="8"/>
  <c r="AG867" i="8"/>
  <c r="AI867" i="8" s="1"/>
  <c r="AJ324" i="12"/>
  <c r="AF324" i="12"/>
  <c r="AE814" i="8"/>
  <c r="AD602" i="7"/>
  <c r="AJ878" i="7"/>
  <c r="AG878" i="7"/>
  <c r="AI878" i="7" s="1"/>
  <c r="AJ767" i="7"/>
  <c r="AF767" i="7"/>
  <c r="AH767" i="7" s="1"/>
  <c r="AE931" i="8"/>
  <c r="AF931" i="8" s="1"/>
  <c r="AH816" i="7"/>
  <c r="AF435" i="7"/>
  <c r="AD271" i="8"/>
  <c r="AE271" i="8" s="1"/>
  <c r="AF544" i="7"/>
  <c r="AD383" i="7"/>
  <c r="AD817" i="7"/>
  <c r="AF659" i="8"/>
  <c r="AD381" i="8"/>
  <c r="AE381" i="8" s="1"/>
  <c r="AG381" i="8" s="1"/>
  <c r="AJ438" i="8"/>
  <c r="AG438" i="8"/>
  <c r="AF438" i="8"/>
  <c r="AH438" i="8" s="1"/>
  <c r="AG324" i="12"/>
  <c r="AJ603" i="8"/>
  <c r="AG603" i="8"/>
  <c r="AF603" i="8"/>
  <c r="AH603" i="8" s="1"/>
  <c r="AI716" i="8"/>
  <c r="AG717" i="8" s="1"/>
  <c r="AI717" i="8" s="1"/>
  <c r="AG718" i="8" s="1"/>
  <c r="AI718" i="8" s="1"/>
  <c r="AG719" i="8" s="1"/>
  <c r="AI719" i="8" s="1"/>
  <c r="AG720" i="8" s="1"/>
  <c r="AI720" i="8" s="1"/>
  <c r="AG721" i="8" s="1"/>
  <c r="AI721" i="8" s="1"/>
  <c r="AD722" i="8" s="1"/>
  <c r="AK671" i="8" s="1"/>
  <c r="AH219" i="8"/>
  <c r="AD326" i="8"/>
  <c r="AE326" i="8" s="1"/>
  <c r="AH930" i="7"/>
  <c r="AI160" i="7"/>
  <c r="AJ658" i="7"/>
  <c r="AF658" i="7"/>
  <c r="AH658" i="7" s="1"/>
  <c r="AD1097" i="8"/>
  <c r="AE711" i="7"/>
  <c r="AF711" i="7" s="1"/>
  <c r="AH382" i="7"/>
  <c r="AI658" i="7" l="1"/>
  <c r="AI544" i="7"/>
  <c r="AI435" i="7"/>
  <c r="AD436" i="7" s="1"/>
  <c r="AH324" i="12"/>
  <c r="AH659" i="8"/>
  <c r="AO673" i="8"/>
  <c r="AJ326" i="8"/>
  <c r="AF326" i="8"/>
  <c r="AG814" i="8"/>
  <c r="AJ814" i="8"/>
  <c r="AF814" i="8"/>
  <c r="AH814" i="8" s="1"/>
  <c r="AD493" i="7"/>
  <c r="AE493" i="7" s="1"/>
  <c r="AG493" i="7" s="1"/>
  <c r="AJ273" i="7"/>
  <c r="AG273" i="7"/>
  <c r="AG214" i="7"/>
  <c r="AJ214" i="7"/>
  <c r="AI163" i="12"/>
  <c r="AE931" i="7"/>
  <c r="AF931" i="7" s="1"/>
  <c r="AF985" i="8"/>
  <c r="AJ985" i="8"/>
  <c r="AI659" i="8"/>
  <c r="AG985" i="8"/>
  <c r="AI985" i="8" s="1"/>
  <c r="AF271" i="8"/>
  <c r="AJ271" i="8"/>
  <c r="AD868" i="8"/>
  <c r="AH435" i="7"/>
  <c r="AF214" i="7"/>
  <c r="AH867" i="8"/>
  <c r="AF326" i="7"/>
  <c r="AJ326" i="7"/>
  <c r="AD879" i="7"/>
  <c r="AG326" i="7"/>
  <c r="AG326" i="8"/>
  <c r="AE220" i="8"/>
  <c r="AF160" i="8"/>
  <c r="AJ160" i="8"/>
  <c r="AI603" i="8"/>
  <c r="AG711" i="7"/>
  <c r="AI711" i="7" s="1"/>
  <c r="AJ711" i="7"/>
  <c r="AG271" i="8"/>
  <c r="AG218" i="12"/>
  <c r="AJ218" i="12"/>
  <c r="AE817" i="7"/>
  <c r="AF218" i="12"/>
  <c r="AH218" i="12" s="1"/>
  <c r="AE659" i="7"/>
  <c r="AG659" i="7" s="1"/>
  <c r="AI438" i="8"/>
  <c r="AK729" i="8"/>
  <c r="AL729" i="8" s="1"/>
  <c r="AH878" i="7"/>
  <c r="AD161" i="7"/>
  <c r="AE161" i="7" s="1"/>
  <c r="AG161" i="7"/>
  <c r="AJ381" i="8"/>
  <c r="AF381" i="8"/>
  <c r="AH381" i="8" s="1"/>
  <c r="AD273" i="12"/>
  <c r="AE273" i="12" s="1"/>
  <c r="AG273" i="12" s="1"/>
  <c r="AJ1045" i="8"/>
  <c r="AF1045" i="8"/>
  <c r="AH1045" i="8" s="1"/>
  <c r="AG160" i="8"/>
  <c r="AI160" i="8" s="1"/>
  <c r="AD659" i="7"/>
  <c r="AD545" i="7"/>
  <c r="AE383" i="7"/>
  <c r="AF383" i="7" s="1"/>
  <c r="AH544" i="7"/>
  <c r="AE1097" i="8"/>
  <c r="AF273" i="7"/>
  <c r="AI324" i="12"/>
  <c r="AE602" i="7"/>
  <c r="AG931" i="8"/>
  <c r="AI931" i="8" s="1"/>
  <c r="AJ931" i="8"/>
  <c r="AJ546" i="8"/>
  <c r="AG546" i="8"/>
  <c r="AI546" i="8" s="1"/>
  <c r="AE491" i="8"/>
  <c r="AI767" i="7"/>
  <c r="AH214" i="7" l="1"/>
  <c r="AI273" i="7"/>
  <c r="AH271" i="8"/>
  <c r="AH711" i="7"/>
  <c r="AI326" i="8"/>
  <c r="AI326" i="7"/>
  <c r="AI1045" i="8"/>
  <c r="AD1046" i="8" s="1"/>
  <c r="AE1046" i="8" s="1"/>
  <c r="AJ602" i="7"/>
  <c r="AG602" i="7"/>
  <c r="AD325" i="12"/>
  <c r="AE325" i="12" s="1"/>
  <c r="AG325" i="12" s="1"/>
  <c r="AD327" i="7"/>
  <c r="AH273" i="7"/>
  <c r="AD986" i="8"/>
  <c r="AD660" i="8"/>
  <c r="AE660" i="8" s="1"/>
  <c r="AG1097" i="8"/>
  <c r="AJ1097" i="8"/>
  <c r="AH985" i="8"/>
  <c r="AD547" i="8"/>
  <c r="AD164" i="12"/>
  <c r="AE164" i="12" s="1"/>
  <c r="AH326" i="8"/>
  <c r="AD932" i="8"/>
  <c r="AH931" i="8"/>
  <c r="AD161" i="8"/>
  <c r="AD327" i="8"/>
  <c r="AJ817" i="7"/>
  <c r="AG817" i="7"/>
  <c r="AI817" i="7" s="1"/>
  <c r="AJ273" i="12"/>
  <c r="AF273" i="12"/>
  <c r="AH273" i="12" s="1"/>
  <c r="AJ493" i="7"/>
  <c r="AF493" i="7"/>
  <c r="AH493" i="7" s="1"/>
  <c r="AD604" i="8"/>
  <c r="AE604" i="8" s="1"/>
  <c r="AI814" i="8"/>
  <c r="AE879" i="7"/>
  <c r="AF659" i="7"/>
  <c r="AH659" i="7" s="1"/>
  <c r="AI218" i="12"/>
  <c r="AJ491" i="8"/>
  <c r="AG491" i="8"/>
  <c r="AH326" i="7"/>
  <c r="AF491" i="8"/>
  <c r="AH491" i="8" s="1"/>
  <c r="AE868" i="8"/>
  <c r="AF868" i="8" s="1"/>
  <c r="AE545" i="7"/>
  <c r="AF545" i="7" s="1"/>
  <c r="AD712" i="7"/>
  <c r="AE712" i="7" s="1"/>
  <c r="AG712" i="7" s="1"/>
  <c r="AH546" i="8"/>
  <c r="AJ659" i="7"/>
  <c r="AM729" i="8"/>
  <c r="AN729" i="8"/>
  <c r="AQ729" i="8"/>
  <c r="AI214" i="7"/>
  <c r="AP673" i="8"/>
  <c r="AJ220" i="8"/>
  <c r="AG220" i="8"/>
  <c r="AF220" i="8"/>
  <c r="AF602" i="7"/>
  <c r="AD274" i="7"/>
  <c r="AF817" i="7"/>
  <c r="AD768" i="7"/>
  <c r="AE768" i="7" s="1"/>
  <c r="AI271" i="8"/>
  <c r="AF1097" i="8"/>
  <c r="AJ931" i="7"/>
  <c r="AG931" i="7"/>
  <c r="AI931" i="7" s="1"/>
  <c r="AJ383" i="7"/>
  <c r="AG383" i="7"/>
  <c r="AI383" i="7" s="1"/>
  <c r="AF161" i="7"/>
  <c r="AH161" i="7" s="1"/>
  <c r="AJ161" i="7"/>
  <c r="AD439" i="8"/>
  <c r="AE439" i="8" s="1"/>
  <c r="AG439" i="8" s="1"/>
  <c r="AH160" i="8"/>
  <c r="AE436" i="7"/>
  <c r="AI381" i="8"/>
  <c r="AH220" i="8" l="1"/>
  <c r="AO729" i="8"/>
  <c r="AH602" i="7"/>
  <c r="AH1097" i="8"/>
  <c r="AF1046" i="8"/>
  <c r="AG1046" i="8"/>
  <c r="AI1046" i="8" s="1"/>
  <c r="AJ1046" i="8"/>
  <c r="AJ660" i="8"/>
  <c r="AF660" i="8"/>
  <c r="AJ164" i="12"/>
  <c r="AF164" i="12"/>
  <c r="AE274" i="7"/>
  <c r="AF274" i="7" s="1"/>
  <c r="AD818" i="7"/>
  <c r="AJ879" i="7"/>
  <c r="AG879" i="7"/>
  <c r="AF879" i="7"/>
  <c r="AQ673" i="8"/>
  <c r="AK674" i="8" s="1"/>
  <c r="AL674" i="8" s="1"/>
  <c r="AD815" i="8"/>
  <c r="AE815" i="8" s="1"/>
  <c r="AG815" i="8" s="1"/>
  <c r="AJ712" i="7"/>
  <c r="AJ436" i="7"/>
  <c r="AG436" i="7"/>
  <c r="AI659" i="7"/>
  <c r="AJ439" i="8"/>
  <c r="AF439" i="8"/>
  <c r="AH439" i="8" s="1"/>
  <c r="AG660" i="8"/>
  <c r="AE547" i="8"/>
  <c r="AF712" i="7"/>
  <c r="AH712" i="7" s="1"/>
  <c r="AG164" i="12"/>
  <c r="AI164" i="12" s="1"/>
  <c r="AI161" i="7"/>
  <c r="AD932" i="7"/>
  <c r="AI220" i="8"/>
  <c r="AD272" i="8"/>
  <c r="AE272" i="8" s="1"/>
  <c r="AG272" i="8" s="1"/>
  <c r="AF604" i="8"/>
  <c r="AJ604" i="8"/>
  <c r="AD382" i="8"/>
  <c r="AE382" i="8" s="1"/>
  <c r="AD215" i="7"/>
  <c r="AE215" i="7" s="1"/>
  <c r="AG604" i="8"/>
  <c r="AE986" i="8"/>
  <c r="AI1097" i="8"/>
  <c r="AH383" i="7"/>
  <c r="AE327" i="8"/>
  <c r="AD384" i="7"/>
  <c r="AJ545" i="7"/>
  <c r="AG545" i="7"/>
  <c r="AI545" i="7" s="1"/>
  <c r="AJ325" i="12"/>
  <c r="AF325" i="12"/>
  <c r="AH325" i="12" s="1"/>
  <c r="AJ868" i="8"/>
  <c r="AG868" i="8"/>
  <c r="AI868" i="8" s="1"/>
  <c r="AI602" i="7"/>
  <c r="AE327" i="7"/>
  <c r="AF327" i="7" s="1"/>
  <c r="AF768" i="7"/>
  <c r="AJ768" i="7"/>
  <c r="AI491" i="8"/>
  <c r="AH931" i="7"/>
  <c r="AG768" i="7"/>
  <c r="AF436" i="7"/>
  <c r="AH436" i="7" s="1"/>
  <c r="AD219" i="12"/>
  <c r="AE219" i="12" s="1"/>
  <c r="AE161" i="8"/>
  <c r="AF161" i="8" s="1"/>
  <c r="AH817" i="7"/>
  <c r="AP729" i="8"/>
  <c r="AI493" i="7"/>
  <c r="AE932" i="8"/>
  <c r="AI273" i="12"/>
  <c r="AH660" i="8" l="1"/>
  <c r="AH604" i="8"/>
  <c r="AH545" i="7"/>
  <c r="AH768" i="7"/>
  <c r="AH879" i="7"/>
  <c r="AM674" i="8"/>
  <c r="AN674" i="8"/>
  <c r="AP674" i="8" s="1"/>
  <c r="AJ382" i="8"/>
  <c r="AF382" i="8"/>
  <c r="AH382" i="8" s="1"/>
  <c r="AD603" i="7"/>
  <c r="AE603" i="7" s="1"/>
  <c r="AG603" i="7" s="1"/>
  <c r="AD869" i="8"/>
  <c r="AI439" i="8"/>
  <c r="AH868" i="8"/>
  <c r="AE384" i="7"/>
  <c r="AJ986" i="8"/>
  <c r="AG986" i="8"/>
  <c r="AF215" i="7"/>
  <c r="AJ215" i="7"/>
  <c r="AD274" i="12"/>
  <c r="AE274" i="12" s="1"/>
  <c r="AG274" i="12" s="1"/>
  <c r="AD165" i="12"/>
  <c r="AH164" i="12"/>
  <c r="AG327" i="8"/>
  <c r="AJ327" i="8"/>
  <c r="AF272" i="8"/>
  <c r="AH272" i="8" s="1"/>
  <c r="AJ272" i="8"/>
  <c r="AJ219" i="12"/>
  <c r="AF219" i="12"/>
  <c r="AH219" i="12" s="1"/>
  <c r="AD660" i="7"/>
  <c r="AE660" i="7" s="1"/>
  <c r="AI768" i="7"/>
  <c r="AE932" i="7"/>
  <c r="AD162" i="7"/>
  <c r="AE162" i="7" s="1"/>
  <c r="AD1047" i="8"/>
  <c r="AF815" i="8"/>
  <c r="AH815" i="8" s="1"/>
  <c r="AJ815" i="8"/>
  <c r="AG547" i="8"/>
  <c r="AJ547" i="8"/>
  <c r="AE818" i="7"/>
  <c r="AJ161" i="8"/>
  <c r="AG161" i="8"/>
  <c r="AI161" i="8" s="1"/>
  <c r="AD221" i="8"/>
  <c r="AE221" i="8" s="1"/>
  <c r="AD546" i="7"/>
  <c r="AE546" i="7" s="1"/>
  <c r="AD492" i="8"/>
  <c r="AE492" i="8" s="1"/>
  <c r="AI604" i="8"/>
  <c r="AI436" i="7"/>
  <c r="AH1046" i="8"/>
  <c r="AJ327" i="7"/>
  <c r="AG327" i="7"/>
  <c r="AI327" i="7" s="1"/>
  <c r="AG932" i="8"/>
  <c r="AJ932" i="8"/>
  <c r="AG382" i="8"/>
  <c r="AF932" i="8"/>
  <c r="AQ674" i="8"/>
  <c r="AD494" i="7"/>
  <c r="AE494" i="7" s="1"/>
  <c r="AK730" i="8"/>
  <c r="AL730" i="8" s="1"/>
  <c r="AF547" i="8"/>
  <c r="AH547" i="8" s="1"/>
  <c r="AF327" i="8"/>
  <c r="AH327" i="8" s="1"/>
  <c r="AI660" i="8"/>
  <c r="AG219" i="12"/>
  <c r="AI879" i="7"/>
  <c r="AD1098" i="8"/>
  <c r="AE1098" i="8" s="1"/>
  <c r="AG1098" i="8" s="1"/>
  <c r="AI712" i="7"/>
  <c r="AF986" i="8"/>
  <c r="AG215" i="7"/>
  <c r="AG274" i="7"/>
  <c r="AI274" i="7" s="1"/>
  <c r="AJ274" i="7"/>
  <c r="AI325" i="12"/>
  <c r="AI272" i="8" l="1"/>
  <c r="AH932" i="8"/>
  <c r="AO674" i="8"/>
  <c r="AH215" i="7"/>
  <c r="AI986" i="8"/>
  <c r="AF546" i="7"/>
  <c r="AJ546" i="7"/>
  <c r="AG546" i="7"/>
  <c r="AI546" i="7" s="1"/>
  <c r="AJ162" i="7"/>
  <c r="AF162" i="7"/>
  <c r="AD275" i="7"/>
  <c r="AF660" i="7"/>
  <c r="AJ660" i="7"/>
  <c r="AJ492" i="8"/>
  <c r="AF492" i="8"/>
  <c r="AD713" i="7"/>
  <c r="AE713" i="7" s="1"/>
  <c r="AG713" i="7" s="1"/>
  <c r="AJ494" i="7"/>
  <c r="AF494" i="7"/>
  <c r="AE869" i="8"/>
  <c r="AF869" i="8" s="1"/>
  <c r="AE165" i="12"/>
  <c r="AF165" i="12" s="1"/>
  <c r="AI815" i="8"/>
  <c r="AD328" i="7"/>
  <c r="AG932" i="7"/>
  <c r="AJ932" i="7"/>
  <c r="AH274" i="7"/>
  <c r="AD162" i="8"/>
  <c r="AD273" i="8"/>
  <c r="AE273" i="8" s="1"/>
  <c r="AM730" i="8"/>
  <c r="AQ730" i="8"/>
  <c r="AN730" i="8"/>
  <c r="AP730" i="8" s="1"/>
  <c r="AI547" i="8"/>
  <c r="AI1098" i="8"/>
  <c r="AJ1098" i="8"/>
  <c r="AF1098" i="8"/>
  <c r="AH1098" i="8" s="1"/>
  <c r="AI327" i="8"/>
  <c r="AH327" i="7"/>
  <c r="AF221" i="8"/>
  <c r="AJ221" i="8"/>
  <c r="AK675" i="8"/>
  <c r="AL675" i="8" s="1"/>
  <c r="AN675" i="8" s="1"/>
  <c r="AD661" i="8"/>
  <c r="AE661" i="8" s="1"/>
  <c r="AG661" i="8" s="1"/>
  <c r="AD437" i="7"/>
  <c r="AE437" i="7" s="1"/>
  <c r="AG437" i="7" s="1"/>
  <c r="AJ818" i="7"/>
  <c r="AG818" i="7"/>
  <c r="AD987" i="8"/>
  <c r="AH986" i="8"/>
  <c r="AJ384" i="7"/>
  <c r="AG384" i="7"/>
  <c r="AI384" i="7" s="1"/>
  <c r="AG494" i="7"/>
  <c r="AD440" i="8"/>
  <c r="AE440" i="8" s="1"/>
  <c r="AI382" i="8"/>
  <c r="AD326" i="12"/>
  <c r="AE326" i="12" s="1"/>
  <c r="AG326" i="12" s="1"/>
  <c r="AE1047" i="8"/>
  <c r="AF1047" i="8" s="1"/>
  <c r="AF932" i="7"/>
  <c r="AD769" i="7"/>
  <c r="AE769" i="7" s="1"/>
  <c r="AG769" i="7" s="1"/>
  <c r="AI215" i="7"/>
  <c r="AD605" i="8"/>
  <c r="AE605" i="8" s="1"/>
  <c r="AG605" i="8" s="1"/>
  <c r="AG660" i="7"/>
  <c r="AF818" i="7"/>
  <c r="AF603" i="7"/>
  <c r="AH603" i="7" s="1"/>
  <c r="AJ603" i="7"/>
  <c r="AG492" i="8"/>
  <c r="AF384" i="7"/>
  <c r="AD880" i="7"/>
  <c r="AE880" i="7" s="1"/>
  <c r="AG880" i="7" s="1"/>
  <c r="AI219" i="12"/>
  <c r="AG221" i="8"/>
  <c r="AI932" i="8"/>
  <c r="AG162" i="7"/>
  <c r="AJ274" i="12"/>
  <c r="AF274" i="12"/>
  <c r="AH274" i="12" s="1"/>
  <c r="AH161" i="8"/>
  <c r="AI660" i="7" l="1"/>
  <c r="AI221" i="8"/>
  <c r="AD222" i="8" s="1"/>
  <c r="AI494" i="7"/>
  <c r="AI162" i="7"/>
  <c r="AI932" i="7"/>
  <c r="AI274" i="12"/>
  <c r="AI818" i="7"/>
  <c r="AI492" i="8"/>
  <c r="AG273" i="8"/>
  <c r="AJ273" i="8"/>
  <c r="AF273" i="8"/>
  <c r="AH273" i="8" s="1"/>
  <c r="AD819" i="7"/>
  <c r="AD1099" i="8"/>
  <c r="AE1099" i="8" s="1"/>
  <c r="AD933" i="8"/>
  <c r="AE933" i="8" s="1"/>
  <c r="AG933" i="8"/>
  <c r="AD548" i="8"/>
  <c r="AE548" i="8" s="1"/>
  <c r="AG548" i="8" s="1"/>
  <c r="AK731" i="8"/>
  <c r="AD220" i="12"/>
  <c r="AE220" i="12" s="1"/>
  <c r="AM675" i="8"/>
  <c r="AO675" i="8" s="1"/>
  <c r="AO730" i="8"/>
  <c r="AQ675" i="8"/>
  <c r="AH494" i="7"/>
  <c r="AD328" i="8"/>
  <c r="AE328" i="8" s="1"/>
  <c r="AG328" i="8" s="1"/>
  <c r="AD163" i="7"/>
  <c r="AJ326" i="12"/>
  <c r="AF326" i="12"/>
  <c r="AH326" i="12" s="1"/>
  <c r="AD275" i="12"/>
  <c r="AE275" i="12" s="1"/>
  <c r="AH492" i="8"/>
  <c r="AI603" i="7"/>
  <c r="AH818" i="7"/>
  <c r="AD661" i="7"/>
  <c r="AD383" i="8"/>
  <c r="AE383" i="8" s="1"/>
  <c r="AG383" i="8" s="1"/>
  <c r="AH660" i="7"/>
  <c r="AF661" i="8"/>
  <c r="AH661" i="8" s="1"/>
  <c r="AJ661" i="8"/>
  <c r="AD495" i="7"/>
  <c r="AF769" i="7"/>
  <c r="AH769" i="7" s="1"/>
  <c r="AJ769" i="7"/>
  <c r="AH162" i="7"/>
  <c r="AE162" i="8"/>
  <c r="AE987" i="8"/>
  <c r="AD547" i="7"/>
  <c r="AD493" i="8"/>
  <c r="AD933" i="7"/>
  <c r="AF880" i="7"/>
  <c r="AH880" i="7" s="1"/>
  <c r="AJ880" i="7"/>
  <c r="AD816" i="8"/>
  <c r="AE816" i="8" s="1"/>
  <c r="AG816" i="8" s="1"/>
  <c r="AJ440" i="8"/>
  <c r="AF440" i="8"/>
  <c r="AG440" i="8"/>
  <c r="AI440" i="8" s="1"/>
  <c r="AD385" i="7"/>
  <c r="AJ1047" i="8"/>
  <c r="AG1047" i="8"/>
  <c r="AI1047" i="8" s="1"/>
  <c r="AE275" i="7"/>
  <c r="AF437" i="7"/>
  <c r="AH437" i="7" s="1"/>
  <c r="AJ437" i="7"/>
  <c r="AJ165" i="12"/>
  <c r="AG165" i="12"/>
  <c r="AI165" i="12" s="1"/>
  <c r="AJ605" i="8"/>
  <c r="AF605" i="8"/>
  <c r="AH605" i="8" s="1"/>
  <c r="AD216" i="7"/>
  <c r="AE216" i="7" s="1"/>
  <c r="AJ869" i="8"/>
  <c r="AG869" i="8"/>
  <c r="AI869" i="8" s="1"/>
  <c r="AH221" i="8"/>
  <c r="AH932" i="7"/>
  <c r="AE328" i="7"/>
  <c r="AF328" i="7" s="1"/>
  <c r="AH384" i="7"/>
  <c r="AJ713" i="7"/>
  <c r="AF713" i="7"/>
  <c r="AH713" i="7" s="1"/>
  <c r="AH546" i="7"/>
  <c r="AI769" i="7" l="1"/>
  <c r="AI326" i="12"/>
  <c r="AD327" i="12" s="1"/>
  <c r="AE327" i="12" s="1"/>
  <c r="AH1047" i="8"/>
  <c r="AI661" i="8"/>
  <c r="AG1099" i="8"/>
  <c r="AF1099" i="8"/>
  <c r="AH1099" i="8" s="1"/>
  <c r="AJ1099" i="8"/>
  <c r="AJ275" i="12"/>
  <c r="AF275" i="12"/>
  <c r="AG275" i="12"/>
  <c r="AI275" i="12" s="1"/>
  <c r="AJ162" i="8"/>
  <c r="AG162" i="8"/>
  <c r="AI162" i="8" s="1"/>
  <c r="AE933" i="7"/>
  <c r="AF216" i="7"/>
  <c r="AJ216" i="7"/>
  <c r="AE661" i="7"/>
  <c r="AF661" i="7" s="1"/>
  <c r="AI437" i="7"/>
  <c r="AD770" i="7"/>
  <c r="AE495" i="7"/>
  <c r="AF495" i="7" s="1"/>
  <c r="AH440" i="8"/>
  <c r="AE385" i="7"/>
  <c r="AJ328" i="7"/>
  <c r="AG328" i="7"/>
  <c r="AI328" i="7" s="1"/>
  <c r="AD662" i="8"/>
  <c r="AE662" i="8" s="1"/>
  <c r="AJ220" i="12"/>
  <c r="AF220" i="12"/>
  <c r="AG220" i="12"/>
  <c r="AI220" i="12" s="1"/>
  <c r="AD870" i="8"/>
  <c r="AI273" i="8"/>
  <c r="AD1048" i="8"/>
  <c r="AE1048" i="8" s="1"/>
  <c r="AJ1048" i="8" s="1"/>
  <c r="AJ1049" i="8" s="1"/>
  <c r="AJ1050" i="8" s="1"/>
  <c r="AJ1051" i="8" s="1"/>
  <c r="AE547" i="7"/>
  <c r="AJ548" i="8"/>
  <c r="AF548" i="8"/>
  <c r="AH548" i="8" s="1"/>
  <c r="AI713" i="7"/>
  <c r="AG987" i="8"/>
  <c r="AJ987" i="8"/>
  <c r="AD441" i="8"/>
  <c r="AE819" i="7"/>
  <c r="AD604" i="7"/>
  <c r="AE604" i="7" s="1"/>
  <c r="AF162" i="8"/>
  <c r="AE163" i="7"/>
  <c r="AF163" i="7" s="1"/>
  <c r="AJ275" i="7"/>
  <c r="AG275" i="7"/>
  <c r="AE770" i="7"/>
  <c r="AJ770" i="7" s="1"/>
  <c r="AG216" i="7"/>
  <c r="AF383" i="8"/>
  <c r="AH383" i="8" s="1"/>
  <c r="AJ383" i="8"/>
  <c r="AH165" i="12"/>
  <c r="AF987" i="8"/>
  <c r="AE493" i="8"/>
  <c r="AL731" i="8"/>
  <c r="AJ816" i="8"/>
  <c r="AF816" i="8"/>
  <c r="AH816" i="8" s="1"/>
  <c r="AE222" i="8"/>
  <c r="AF275" i="7"/>
  <c r="AH869" i="8"/>
  <c r="AI880" i="7"/>
  <c r="AI605" i="8"/>
  <c r="AD166" i="12"/>
  <c r="AF328" i="8"/>
  <c r="AH328" i="8" s="1"/>
  <c r="AJ328" i="8"/>
  <c r="AJ933" i="8"/>
  <c r="AF933" i="8"/>
  <c r="AH933" i="8" s="1"/>
  <c r="AP675" i="8"/>
  <c r="AH987" i="8" l="1"/>
  <c r="AH216" i="7"/>
  <c r="AI933" i="8"/>
  <c r="AI328" i="8"/>
  <c r="AI275" i="7"/>
  <c r="AD276" i="7" s="1"/>
  <c r="AI548" i="8"/>
  <c r="AI816" i="8"/>
  <c r="AD817" i="8" s="1"/>
  <c r="AE817" i="8" s="1"/>
  <c r="AF327" i="12"/>
  <c r="AJ327" i="12"/>
  <c r="AG327" i="12"/>
  <c r="AI327" i="12" s="1"/>
  <c r="AJ662" i="8"/>
  <c r="AF662" i="8"/>
  <c r="AG662" i="8"/>
  <c r="AI662" i="8" s="1"/>
  <c r="AH495" i="7"/>
  <c r="AG819" i="7"/>
  <c r="AI819" i="7" s="1"/>
  <c r="AJ819" i="7"/>
  <c r="AF770" i="7"/>
  <c r="AD438" i="7"/>
  <c r="AE438" i="7" s="1"/>
  <c r="AD163" i="8"/>
  <c r="AD714" i="7"/>
  <c r="AE714" i="7" s="1"/>
  <c r="AG714" i="7"/>
  <c r="AD934" i="8"/>
  <c r="AE934" i="8" s="1"/>
  <c r="AG934" i="8" s="1"/>
  <c r="AH275" i="12"/>
  <c r="AD329" i="8"/>
  <c r="AE329" i="8" s="1"/>
  <c r="AG385" i="7"/>
  <c r="AJ385" i="7"/>
  <c r="AG933" i="7"/>
  <c r="AJ933" i="7"/>
  <c r="AD549" i="8"/>
  <c r="AE549" i="8" s="1"/>
  <c r="AH220" i="12"/>
  <c r="AH275" i="7"/>
  <c r="AJ222" i="8"/>
  <c r="AG222" i="8"/>
  <c r="AG547" i="7"/>
  <c r="AJ547" i="7"/>
  <c r="AF547" i="7"/>
  <c r="AH162" i="8"/>
  <c r="AG1048" i="8"/>
  <c r="AF385" i="7"/>
  <c r="AI1099" i="8"/>
  <c r="AG495" i="7"/>
  <c r="AI495" i="7" s="1"/>
  <c r="AJ495" i="7"/>
  <c r="AF819" i="7"/>
  <c r="AD274" i="8"/>
  <c r="AE274" i="8" s="1"/>
  <c r="AE870" i="8"/>
  <c r="AG661" i="7"/>
  <c r="AI661" i="7" s="1"/>
  <c r="AJ661" i="7"/>
  <c r="AE166" i="12"/>
  <c r="AD276" i="12"/>
  <c r="AD329" i="7"/>
  <c r="AF604" i="7"/>
  <c r="AJ604" i="7"/>
  <c r="AI383" i="8"/>
  <c r="AJ493" i="8"/>
  <c r="AG493" i="8"/>
  <c r="AF493" i="8"/>
  <c r="AH493" i="8" s="1"/>
  <c r="AF933" i="7"/>
  <c r="AG770" i="7"/>
  <c r="AD606" i="8"/>
  <c r="AE606" i="8" s="1"/>
  <c r="AG606" i="8" s="1"/>
  <c r="AD881" i="7"/>
  <c r="AE881" i="7" s="1"/>
  <c r="AG881" i="7" s="1"/>
  <c r="AD221" i="12"/>
  <c r="AI987" i="8"/>
  <c r="AF1048" i="8"/>
  <c r="AG163" i="7"/>
  <c r="AI163" i="7" s="1"/>
  <c r="AJ163" i="7"/>
  <c r="AF222" i="8"/>
  <c r="AK676" i="8"/>
  <c r="AL676" i="8" s="1"/>
  <c r="AN676" i="8" s="1"/>
  <c r="AQ731" i="8"/>
  <c r="AN731" i="8"/>
  <c r="AI216" i="7"/>
  <c r="AM731" i="8"/>
  <c r="AG604" i="7"/>
  <c r="AE441" i="8"/>
  <c r="AH328" i="7"/>
  <c r="AI222" i="8" l="1"/>
  <c r="AH770" i="7"/>
  <c r="AG817" i="8"/>
  <c r="AJ817" i="8"/>
  <c r="AH385" i="7"/>
  <c r="AP731" i="8"/>
  <c r="AI933" i="7"/>
  <c r="AD934" i="7" s="1"/>
  <c r="AH604" i="7"/>
  <c r="AH1048" i="8"/>
  <c r="AF1049" i="8" s="1"/>
  <c r="AH1049" i="8" s="1"/>
  <c r="AF1050" i="8" s="1"/>
  <c r="AH1050" i="8" s="1"/>
  <c r="AF1051" i="8" s="1"/>
  <c r="AH1051" i="8" s="1"/>
  <c r="AD1052" i="8" s="1"/>
  <c r="AK1001" i="8" s="1"/>
  <c r="AI547" i="7"/>
  <c r="AD548" i="7" s="1"/>
  <c r="AF549" i="8"/>
  <c r="AG549" i="8"/>
  <c r="AI549" i="8" s="1"/>
  <c r="AJ549" i="8"/>
  <c r="AI817" i="8"/>
  <c r="AG329" i="8"/>
  <c r="AJ329" i="8"/>
  <c r="AF329" i="8"/>
  <c r="AD217" i="7"/>
  <c r="AE217" i="7" s="1"/>
  <c r="AG217" i="7" s="1"/>
  <c r="AF274" i="8"/>
  <c r="AJ274" i="8"/>
  <c r="AF817" i="8"/>
  <c r="AH817" i="8" s="1"/>
  <c r="AD663" i="8"/>
  <c r="AH662" i="8"/>
  <c r="AE329" i="7"/>
  <c r="AF329" i="7" s="1"/>
  <c r="AD328" i="12"/>
  <c r="AJ714" i="7"/>
  <c r="AF714" i="7"/>
  <c r="AH714" i="7" s="1"/>
  <c r="AH327" i="12"/>
  <c r="AJ438" i="7"/>
  <c r="AF438" i="7"/>
  <c r="AD662" i="7"/>
  <c r="AG870" i="8"/>
  <c r="AJ870" i="8"/>
  <c r="AF870" i="8"/>
  <c r="AH870" i="8" s="1"/>
  <c r="AE276" i="7"/>
  <c r="AF934" i="8"/>
  <c r="AH934" i="8" s="1"/>
  <c r="AE221" i="12"/>
  <c r="AD1100" i="8"/>
  <c r="AE1100" i="8" s="1"/>
  <c r="AG1100" i="8" s="1"/>
  <c r="AH933" i="7"/>
  <c r="AE163" i="8"/>
  <c r="AF163" i="8" s="1"/>
  <c r="AH163" i="7"/>
  <c r="AD384" i="8"/>
  <c r="AE384" i="8" s="1"/>
  <c r="AG384" i="8" s="1"/>
  <c r="AJ934" i="8"/>
  <c r="AE276" i="12"/>
  <c r="AJ881" i="7"/>
  <c r="AF881" i="7"/>
  <c r="AH881" i="7" s="1"/>
  <c r="AJ441" i="8"/>
  <c r="AG441" i="8"/>
  <c r="AF441" i="8"/>
  <c r="AH441" i="8" s="1"/>
  <c r="AI1048" i="8"/>
  <c r="AG1049" i="8" s="1"/>
  <c r="AI1049" i="8" s="1"/>
  <c r="AG1050" i="8" s="1"/>
  <c r="AI1050" i="8" s="1"/>
  <c r="AG1051" i="8" s="1"/>
  <c r="AI1051" i="8" s="1"/>
  <c r="AH222" i="8"/>
  <c r="AG166" i="12"/>
  <c r="AJ166" i="12"/>
  <c r="AH547" i="7"/>
  <c r="AK732" i="8"/>
  <c r="AD223" i="8"/>
  <c r="AD988" i="8"/>
  <c r="AE988" i="8" s="1"/>
  <c r="AG274" i="8"/>
  <c r="AI274" i="8" s="1"/>
  <c r="AD820" i="7"/>
  <c r="AH819" i="7"/>
  <c r="AD496" i="7"/>
  <c r="AE496" i="7" s="1"/>
  <c r="AQ676" i="8"/>
  <c r="AM676" i="8"/>
  <c r="AO676" i="8" s="1"/>
  <c r="AF606" i="8"/>
  <c r="AH606" i="8" s="1"/>
  <c r="AJ606" i="8"/>
  <c r="AI770" i="7"/>
  <c r="AI604" i="7"/>
  <c r="AO731" i="8"/>
  <c r="AD164" i="7"/>
  <c r="AI493" i="8"/>
  <c r="AF166" i="12"/>
  <c r="AH166" i="12" s="1"/>
  <c r="AI385" i="7"/>
  <c r="AG438" i="7"/>
  <c r="AH661" i="7"/>
  <c r="AI881" i="7" l="1"/>
  <c r="AH329" i="8"/>
  <c r="AG496" i="7"/>
  <c r="AJ496" i="7"/>
  <c r="AI606" i="8"/>
  <c r="AD607" i="8" s="1"/>
  <c r="AE607" i="8" s="1"/>
  <c r="AI438" i="7"/>
  <c r="AE548" i="7"/>
  <c r="AD494" i="8"/>
  <c r="AE494" i="8" s="1"/>
  <c r="AE328" i="12"/>
  <c r="AI166" i="12"/>
  <c r="AF496" i="7"/>
  <c r="AH496" i="7" s="1"/>
  <c r="AE223" i="8"/>
  <c r="AF223" i="8" s="1"/>
  <c r="AG221" i="12"/>
  <c r="AJ221" i="12"/>
  <c r="AF221" i="12"/>
  <c r="AH221" i="12" s="1"/>
  <c r="AD275" i="8"/>
  <c r="AJ988" i="8"/>
  <c r="AF988" i="8"/>
  <c r="AG276" i="7"/>
  <c r="AJ276" i="7"/>
  <c r="AF384" i="8"/>
  <c r="AH384" i="8" s="1"/>
  <c r="AJ384" i="8"/>
  <c r="AD818" i="8"/>
  <c r="AE818" i="8"/>
  <c r="AJ818" i="8" s="1"/>
  <c r="AE662" i="7"/>
  <c r="AD550" i="8"/>
  <c r="AD439" i="7"/>
  <c r="AH274" i="8"/>
  <c r="AH549" i="8"/>
  <c r="AO1003" i="8"/>
  <c r="AE820" i="7"/>
  <c r="AF820" i="7" s="1"/>
  <c r="AJ1100" i="8"/>
  <c r="AF1100" i="8"/>
  <c r="AH1100" i="8" s="1"/>
  <c r="AJ217" i="7"/>
  <c r="AF217" i="7"/>
  <c r="AH217" i="7" s="1"/>
  <c r="AL732" i="8"/>
  <c r="AM732" i="8" s="1"/>
  <c r="AD605" i="7"/>
  <c r="AE605" i="7" s="1"/>
  <c r="AG605" i="7"/>
  <c r="AI384" i="8"/>
  <c r="AG329" i="7"/>
  <c r="AI329" i="7" s="1"/>
  <c r="AJ329" i="7"/>
  <c r="AD771" i="7"/>
  <c r="AE771" i="7" s="1"/>
  <c r="AG988" i="8"/>
  <c r="AF276" i="7"/>
  <c r="AI329" i="8"/>
  <c r="AI441" i="8"/>
  <c r="AE663" i="8"/>
  <c r="AF663" i="8" s="1"/>
  <c r="AE164" i="7"/>
  <c r="AI934" i="8"/>
  <c r="AG163" i="8"/>
  <c r="AI163" i="8" s="1"/>
  <c r="AJ163" i="8"/>
  <c r="AD882" i="7"/>
  <c r="AE882" i="7"/>
  <c r="AJ882" i="7" s="1"/>
  <c r="AI870" i="8"/>
  <c r="AE934" i="7"/>
  <c r="AG276" i="12"/>
  <c r="AJ276" i="12"/>
  <c r="AI714" i="7"/>
  <c r="AD386" i="7"/>
  <c r="AE386" i="7" s="1"/>
  <c r="AG386" i="7" s="1"/>
  <c r="AF276" i="12"/>
  <c r="AH276" i="12" s="1"/>
  <c r="AH438" i="7"/>
  <c r="AP676" i="8"/>
  <c r="AI988" i="8" l="1"/>
  <c r="AD989" i="8" s="1"/>
  <c r="AI217" i="7"/>
  <c r="AI276" i="7"/>
  <c r="AJ607" i="8"/>
  <c r="AF607" i="8"/>
  <c r="AG607" i="8"/>
  <c r="AI607" i="8" s="1"/>
  <c r="AH223" i="8"/>
  <c r="AF224" i="8" s="1"/>
  <c r="AH224" i="8" s="1"/>
  <c r="AF225" i="8" s="1"/>
  <c r="AH225" i="8" s="1"/>
  <c r="AF226" i="8" s="1"/>
  <c r="AH226" i="8" s="1"/>
  <c r="AD227" i="8" s="1"/>
  <c r="AK176" i="8" s="1"/>
  <c r="AD218" i="7"/>
  <c r="AE218" i="7" s="1"/>
  <c r="AG662" i="7"/>
  <c r="AJ662" i="7"/>
  <c r="AF818" i="8"/>
  <c r="AE439" i="7"/>
  <c r="AD164" i="8"/>
  <c r="AG164" i="7"/>
  <c r="AJ164" i="7"/>
  <c r="AJ548" i="7"/>
  <c r="AG548" i="7"/>
  <c r="AG934" i="7"/>
  <c r="AJ934" i="7"/>
  <c r="AF934" i="7"/>
  <c r="AD442" i="8"/>
  <c r="AE442" i="8" s="1"/>
  <c r="AG442" i="8" s="1"/>
  <c r="AH329" i="7"/>
  <c r="AD871" i="8"/>
  <c r="AE871" i="8" s="1"/>
  <c r="AG871" i="8"/>
  <c r="AF662" i="7"/>
  <c r="AF882" i="7"/>
  <c r="AD277" i="7"/>
  <c r="AK677" i="8"/>
  <c r="AL677" i="8" s="1"/>
  <c r="AJ328" i="12"/>
  <c r="AG328" i="12"/>
  <c r="AG882" i="7"/>
  <c r="AF328" i="12"/>
  <c r="AH328" i="12" s="1"/>
  <c r="AJ386" i="7"/>
  <c r="AF386" i="7"/>
  <c r="AH386" i="7" s="1"/>
  <c r="AF605" i="7"/>
  <c r="AH605" i="7" s="1"/>
  <c r="AJ605" i="7"/>
  <c r="AJ494" i="8"/>
  <c r="AF494" i="8"/>
  <c r="AD715" i="7"/>
  <c r="AE715" i="7" s="1"/>
  <c r="AG715" i="7" s="1"/>
  <c r="AG494" i="8"/>
  <c r="AI494" i="8" s="1"/>
  <c r="AI276" i="12"/>
  <c r="AG663" i="8"/>
  <c r="AI663" i="8" s="1"/>
  <c r="AG664" i="8" s="1"/>
  <c r="AI664" i="8" s="1"/>
  <c r="AG665" i="8" s="1"/>
  <c r="AI665" i="8" s="1"/>
  <c r="AG666" i="8" s="1"/>
  <c r="AI666" i="8" s="1"/>
  <c r="AJ663" i="8"/>
  <c r="AJ664" i="8" s="1"/>
  <c r="AJ665" i="8" s="1"/>
  <c r="AJ666" i="8" s="1"/>
  <c r="AI221" i="12"/>
  <c r="AF548" i="7"/>
  <c r="AD330" i="8"/>
  <c r="AE330" i="8" s="1"/>
  <c r="AG330" i="8" s="1"/>
  <c r="AH163" i="8"/>
  <c r="AJ771" i="7"/>
  <c r="AF771" i="7"/>
  <c r="AG771" i="7"/>
  <c r="AD167" i="12"/>
  <c r="AE167" i="12" s="1"/>
  <c r="AH988" i="8"/>
  <c r="AD330" i="7"/>
  <c r="AD385" i="8"/>
  <c r="AE385" i="8" s="1"/>
  <c r="AG385" i="8" s="1"/>
  <c r="AP1003" i="8"/>
  <c r="AI1100" i="8"/>
  <c r="AJ820" i="7"/>
  <c r="AG820" i="7"/>
  <c r="AI820" i="7" s="1"/>
  <c r="AD935" i="8"/>
  <c r="AE935" i="8" s="1"/>
  <c r="AG935" i="8" s="1"/>
  <c r="AF164" i="7"/>
  <c r="AE550" i="8"/>
  <c r="AF550" i="8" s="1"/>
  <c r="AE275" i="8"/>
  <c r="AG818" i="8"/>
  <c r="AN732" i="8"/>
  <c r="AP732" i="8" s="1"/>
  <c r="AQ732" i="8"/>
  <c r="AG223" i="8"/>
  <c r="AI223" i="8" s="1"/>
  <c r="AG224" i="8" s="1"/>
  <c r="AI224" i="8" s="1"/>
  <c r="AG225" i="8" s="1"/>
  <c r="AI225" i="8" s="1"/>
  <c r="AG226" i="8" s="1"/>
  <c r="AI226" i="8" s="1"/>
  <c r="AJ223" i="8"/>
  <c r="AJ224" i="8" s="1"/>
  <c r="AJ225" i="8" s="1"/>
  <c r="AJ226" i="8" s="1"/>
  <c r="AH276" i="7"/>
  <c r="AI496" i="7"/>
  <c r="AH164" i="7" l="1"/>
  <c r="AI771" i="7"/>
  <c r="AI548" i="7"/>
  <c r="AH882" i="7"/>
  <c r="AI662" i="7"/>
  <c r="AH607" i="8"/>
  <c r="AI818" i="8"/>
  <c r="AD819" i="8" s="1"/>
  <c r="AI934" i="7"/>
  <c r="AF218" i="7"/>
  <c r="AG218" i="7"/>
  <c r="AI218" i="7" s="1"/>
  <c r="AJ218" i="7"/>
  <c r="AE989" i="8"/>
  <c r="AF167" i="12"/>
  <c r="AJ167" i="12"/>
  <c r="AG167" i="12"/>
  <c r="AI167" i="12" s="1"/>
  <c r="AD277" i="12"/>
  <c r="AE277" i="12" s="1"/>
  <c r="AD772" i="7"/>
  <c r="AF715" i="7"/>
  <c r="AH715" i="7" s="1"/>
  <c r="AJ715" i="7"/>
  <c r="AH494" i="8"/>
  <c r="AD1101" i="8"/>
  <c r="AE1101" i="8" s="1"/>
  <c r="AG1101" i="8" s="1"/>
  <c r="AJ385" i="8"/>
  <c r="AF871" i="8"/>
  <c r="AH871" i="8" s="1"/>
  <c r="AJ871" i="8"/>
  <c r="AH663" i="8"/>
  <c r="AF664" i="8" s="1"/>
  <c r="AH664" i="8" s="1"/>
  <c r="AF665" i="8" s="1"/>
  <c r="AH665" i="8" s="1"/>
  <c r="AF666" i="8" s="1"/>
  <c r="AH666" i="8" s="1"/>
  <c r="AD667" i="8" s="1"/>
  <c r="AK616" i="8" s="1"/>
  <c r="AE330" i="7"/>
  <c r="AI386" i="7"/>
  <c r="AD935" i="7"/>
  <c r="AD549" i="7"/>
  <c r="AF935" i="8"/>
  <c r="AH935" i="8" s="1"/>
  <c r="AJ935" i="8"/>
  <c r="AD663" i="7"/>
  <c r="AF385" i="8"/>
  <c r="AH385" i="8" s="1"/>
  <c r="AO178" i="8"/>
  <c r="AH820" i="7"/>
  <c r="AI605" i="7"/>
  <c r="AK733" i="8"/>
  <c r="AF442" i="8"/>
  <c r="AH442" i="8" s="1"/>
  <c r="AJ442" i="8"/>
  <c r="AO732" i="8"/>
  <c r="AD608" i="8"/>
  <c r="AE608" i="8" s="1"/>
  <c r="AQ677" i="8"/>
  <c r="AM677" i="8"/>
  <c r="AO677" i="8" s="1"/>
  <c r="AH771" i="7"/>
  <c r="AD821" i="7"/>
  <c r="AE164" i="8"/>
  <c r="AG439" i="7"/>
  <c r="AJ439" i="7"/>
  <c r="AH934" i="7"/>
  <c r="AJ550" i="8"/>
  <c r="AG550" i="8"/>
  <c r="AI550" i="8" s="1"/>
  <c r="AD497" i="7"/>
  <c r="AE497" i="7" s="1"/>
  <c r="AD495" i="8"/>
  <c r="AN677" i="8"/>
  <c r="AE277" i="7"/>
  <c r="AI164" i="7"/>
  <c r="AQ1003" i="8"/>
  <c r="AH662" i="7"/>
  <c r="AJ330" i="8"/>
  <c r="AF330" i="8"/>
  <c r="AH330" i="8" s="1"/>
  <c r="AI442" i="8"/>
  <c r="AG275" i="8"/>
  <c r="AJ275" i="8"/>
  <c r="AH548" i="7"/>
  <c r="AI882" i="7"/>
  <c r="AF439" i="7"/>
  <c r="AF275" i="8"/>
  <c r="AD222" i="12"/>
  <c r="AE222" i="12" s="1"/>
  <c r="AI328" i="12"/>
  <c r="AH818" i="8"/>
  <c r="AF608" i="8" l="1"/>
  <c r="AJ608" i="8"/>
  <c r="AJ609" i="8" s="1"/>
  <c r="AJ610" i="8" s="1"/>
  <c r="AJ611" i="8" s="1"/>
  <c r="AI715" i="7"/>
  <c r="AH275" i="8"/>
  <c r="AH439" i="7"/>
  <c r="AI871" i="8"/>
  <c r="AD387" i="7"/>
  <c r="AE387" i="7" s="1"/>
  <c r="AG387" i="7" s="1"/>
  <c r="AD551" i="8"/>
  <c r="AE772" i="7"/>
  <c r="AF772" i="7" s="1"/>
  <c r="AO618" i="8"/>
  <c r="AD883" i="7"/>
  <c r="AE883" i="7" s="1"/>
  <c r="AG883" i="7" s="1"/>
  <c r="AG608" i="8"/>
  <c r="AI608" i="8" s="1"/>
  <c r="AG609" i="8" s="1"/>
  <c r="AI609" i="8" s="1"/>
  <c r="AG610" i="8" s="1"/>
  <c r="AI610" i="8" s="1"/>
  <c r="AG611" i="8" s="1"/>
  <c r="AI611" i="8" s="1"/>
  <c r="AP677" i="8"/>
  <c r="AD716" i="7"/>
  <c r="AE716" i="7" s="1"/>
  <c r="AF716" i="7" s="1"/>
  <c r="AF1101" i="8"/>
  <c r="AH1101" i="8" s="1"/>
  <c r="AJ1101" i="8"/>
  <c r="AI330" i="8"/>
  <c r="AE663" i="7"/>
  <c r="AF663" i="7" s="1"/>
  <c r="AF277" i="12"/>
  <c r="AJ277" i="12"/>
  <c r="AK1004" i="8"/>
  <c r="AL1004" i="8" s="1"/>
  <c r="AD606" i="7"/>
  <c r="AE606" i="7" s="1"/>
  <c r="AG606" i="7" s="1"/>
  <c r="AD168" i="12"/>
  <c r="AP178" i="8"/>
  <c r="AG277" i="7"/>
  <c r="AJ277" i="7"/>
  <c r="AF277" i="7"/>
  <c r="AH277" i="7" s="1"/>
  <c r="AE549" i="7"/>
  <c r="AH218" i="7"/>
  <c r="AL733" i="8"/>
  <c r="AI275" i="8"/>
  <c r="AE495" i="8"/>
  <c r="AI385" i="8"/>
  <c r="AG330" i="7"/>
  <c r="AJ330" i="7"/>
  <c r="AD329" i="12"/>
  <c r="AE329" i="12" s="1"/>
  <c r="AG329" i="12"/>
  <c r="AJ222" i="12"/>
  <c r="AF222" i="12"/>
  <c r="AG222" i="12"/>
  <c r="AI222" i="12" s="1"/>
  <c r="AD872" i="8"/>
  <c r="AE872" i="8" s="1"/>
  <c r="AJ989" i="8"/>
  <c r="AG989" i="8"/>
  <c r="AE935" i="7"/>
  <c r="AF935" i="7" s="1"/>
  <c r="AI439" i="7"/>
  <c r="AH550" i="8"/>
  <c r="AG164" i="8"/>
  <c r="AJ164" i="8"/>
  <c r="AJ497" i="7"/>
  <c r="AF497" i="7"/>
  <c r="AF164" i="8"/>
  <c r="AG497" i="7"/>
  <c r="AI497" i="7" s="1"/>
  <c r="AE819" i="8"/>
  <c r="AF819" i="8" s="1"/>
  <c r="AG277" i="12"/>
  <c r="AF330" i="7"/>
  <c r="AD165" i="7"/>
  <c r="AE165" i="7" s="1"/>
  <c r="AG165" i="7" s="1"/>
  <c r="AE821" i="7"/>
  <c r="AF821" i="7" s="1"/>
  <c r="AH167" i="12"/>
  <c r="AF989" i="8"/>
  <c r="AD219" i="7"/>
  <c r="AD443" i="8"/>
  <c r="AE443" i="8" s="1"/>
  <c r="AI935" i="8"/>
  <c r="AH164" i="8" l="1"/>
  <c r="AG443" i="8"/>
  <c r="AJ443" i="8"/>
  <c r="AJ444" i="8" s="1"/>
  <c r="AJ445" i="8" s="1"/>
  <c r="AJ446" i="8" s="1"/>
  <c r="AI330" i="7"/>
  <c r="AD331" i="7" s="1"/>
  <c r="AI1101" i="8"/>
  <c r="AD1102" i="8" s="1"/>
  <c r="AE1102" i="8" s="1"/>
  <c r="AH277" i="12"/>
  <c r="AH989" i="8"/>
  <c r="AG872" i="8"/>
  <c r="AF872" i="8"/>
  <c r="AH872" i="8" s="1"/>
  <c r="AJ872" i="8"/>
  <c r="AH716" i="7"/>
  <c r="AH663" i="7"/>
  <c r="AF664" i="7" s="1"/>
  <c r="AH664" i="7" s="1"/>
  <c r="AF665" i="7" s="1"/>
  <c r="AH665" i="7" s="1"/>
  <c r="AF666" i="7" s="1"/>
  <c r="AH666" i="7" s="1"/>
  <c r="AD667" i="7" s="1"/>
  <c r="AK616" i="7" s="1"/>
  <c r="AK678" i="8"/>
  <c r="AL678" i="8" s="1"/>
  <c r="AN678" i="8"/>
  <c r="AJ606" i="7"/>
  <c r="AF606" i="7"/>
  <c r="AH606" i="7" s="1"/>
  <c r="AI989" i="8"/>
  <c r="AP618" i="8"/>
  <c r="AM1004" i="8"/>
  <c r="AN1004" i="8"/>
  <c r="AE551" i="8"/>
  <c r="AF551" i="8" s="1"/>
  <c r="AF329" i="12"/>
  <c r="AH329" i="12" s="1"/>
  <c r="AJ329" i="12"/>
  <c r="AJ165" i="7"/>
  <c r="AF165" i="7"/>
  <c r="AH165" i="7" s="1"/>
  <c r="AD386" i="8"/>
  <c r="AE386" i="8" s="1"/>
  <c r="AQ178" i="8"/>
  <c r="AK179" i="8" s="1"/>
  <c r="AL179" i="8" s="1"/>
  <c r="AD276" i="8"/>
  <c r="AE276" i="8" s="1"/>
  <c r="AJ883" i="7"/>
  <c r="AJ884" i="7" s="1"/>
  <c r="AJ885" i="7" s="1"/>
  <c r="AJ886" i="7" s="1"/>
  <c r="AF883" i="7"/>
  <c r="AH883" i="7" s="1"/>
  <c r="AF884" i="7" s="1"/>
  <c r="AH884" i="7" s="1"/>
  <c r="AF885" i="7" s="1"/>
  <c r="AH885" i="7" s="1"/>
  <c r="AF886" i="7" s="1"/>
  <c r="AH886" i="7" s="1"/>
  <c r="AQ733" i="8"/>
  <c r="AN733" i="8"/>
  <c r="AM733" i="8"/>
  <c r="AJ772" i="7"/>
  <c r="AG772" i="7"/>
  <c r="AI772" i="7" s="1"/>
  <c r="AH222" i="12"/>
  <c r="AG549" i="7"/>
  <c r="AJ549" i="7"/>
  <c r="AE168" i="12"/>
  <c r="AF168" i="12" s="1"/>
  <c r="AJ716" i="7"/>
  <c r="AF549" i="7"/>
  <c r="AH549" i="7" s="1"/>
  <c r="AJ387" i="7"/>
  <c r="AF387" i="7"/>
  <c r="AH387" i="7" s="1"/>
  <c r="AH330" i="7"/>
  <c r="AD440" i="7"/>
  <c r="AE440" i="7" s="1"/>
  <c r="AI277" i="7"/>
  <c r="AQ1004" i="8"/>
  <c r="AE219" i="7"/>
  <c r="AF443" i="8"/>
  <c r="AH443" i="8" s="1"/>
  <c r="AF444" i="8" s="1"/>
  <c r="AH444" i="8" s="1"/>
  <c r="AF445" i="8" s="1"/>
  <c r="AH445" i="8" s="1"/>
  <c r="AF446" i="8" s="1"/>
  <c r="AH446" i="8" s="1"/>
  <c r="AJ495" i="8"/>
  <c r="AG495" i="8"/>
  <c r="AI277" i="12"/>
  <c r="AF495" i="8"/>
  <c r="AG716" i="7"/>
  <c r="AI716" i="7" s="1"/>
  <c r="AD498" i="7"/>
  <c r="AH497" i="7"/>
  <c r="AD936" i="8"/>
  <c r="AE936" i="8" s="1"/>
  <c r="AG936" i="8"/>
  <c r="AD223" i="12"/>
  <c r="AI164" i="8"/>
  <c r="AJ821" i="7"/>
  <c r="AG821" i="7"/>
  <c r="AI821" i="7" s="1"/>
  <c r="AJ663" i="7"/>
  <c r="AJ664" i="7" s="1"/>
  <c r="AJ665" i="7" s="1"/>
  <c r="AJ666" i="7" s="1"/>
  <c r="AG663" i="7"/>
  <c r="AI663" i="7" s="1"/>
  <c r="AG664" i="7" s="1"/>
  <c r="AI664" i="7" s="1"/>
  <c r="AG665" i="7" s="1"/>
  <c r="AI665" i="7" s="1"/>
  <c r="AG666" i="7" s="1"/>
  <c r="AI666" i="7" s="1"/>
  <c r="AD331" i="8"/>
  <c r="AE331" i="8" s="1"/>
  <c r="AJ819" i="8"/>
  <c r="AG819" i="8"/>
  <c r="AI819" i="8" s="1"/>
  <c r="AJ935" i="7"/>
  <c r="AG935" i="7"/>
  <c r="AI935" i="7" s="1"/>
  <c r="AH608" i="8"/>
  <c r="AF609" i="8" s="1"/>
  <c r="AH609" i="8" s="1"/>
  <c r="AF610" i="8" s="1"/>
  <c r="AH610" i="8" s="1"/>
  <c r="AF611" i="8" s="1"/>
  <c r="AH611" i="8" s="1"/>
  <c r="AD612" i="8" s="1"/>
  <c r="AK561" i="8" s="1"/>
  <c r="AO733" i="8" l="1"/>
  <c r="AP1004" i="8"/>
  <c r="AI165" i="7"/>
  <c r="AI495" i="8"/>
  <c r="AM179" i="8"/>
  <c r="AN179" i="8"/>
  <c r="AP179" i="8" s="1"/>
  <c r="AF1102" i="8"/>
  <c r="AJ1102" i="8"/>
  <c r="AG1102" i="8"/>
  <c r="AI1102" i="8" s="1"/>
  <c r="AO563" i="8"/>
  <c r="AD936" i="7"/>
  <c r="AM678" i="8"/>
  <c r="AO678" i="8" s="1"/>
  <c r="AQ678" i="8"/>
  <c r="AI387" i="7"/>
  <c r="AJ331" i="8"/>
  <c r="AF331" i="8"/>
  <c r="AG331" i="8"/>
  <c r="AJ386" i="8"/>
  <c r="AF386" i="8"/>
  <c r="AD990" i="8"/>
  <c r="AE990" i="8" s="1"/>
  <c r="AF440" i="7"/>
  <c r="AJ440" i="7"/>
  <c r="AD496" i="8"/>
  <c r="AI883" i="7"/>
  <c r="AG884" i="7" s="1"/>
  <c r="AI884" i="7" s="1"/>
  <c r="AG885" i="7" s="1"/>
  <c r="AI885" i="7" s="1"/>
  <c r="AG886" i="7" s="1"/>
  <c r="AI886" i="7" s="1"/>
  <c r="AD887" i="7" s="1"/>
  <c r="AK836" i="7" s="1"/>
  <c r="AO1004" i="8"/>
  <c r="AI329" i="12"/>
  <c r="AQ618" i="8"/>
  <c r="AK619" i="8" s="1"/>
  <c r="AL619" i="8" s="1"/>
  <c r="AG219" i="7"/>
  <c r="AJ219" i="7"/>
  <c r="AF219" i="7"/>
  <c r="AH219" i="7" s="1"/>
  <c r="AD773" i="7"/>
  <c r="AG386" i="8"/>
  <c r="AI386" i="8" s="1"/>
  <c r="AI872" i="8"/>
  <c r="AD278" i="12"/>
  <c r="AE278" i="12" s="1"/>
  <c r="AG278" i="12" s="1"/>
  <c r="AG440" i="7"/>
  <c r="AI606" i="7"/>
  <c r="AJ276" i="8"/>
  <c r="AF276" i="8"/>
  <c r="AO618" i="7"/>
  <c r="AI549" i="7"/>
  <c r="AD717" i="7"/>
  <c r="AH772" i="7"/>
  <c r="AD822" i="7"/>
  <c r="AE331" i="7"/>
  <c r="AG551" i="8"/>
  <c r="AI551" i="8" s="1"/>
  <c r="AJ551" i="8"/>
  <c r="AG276" i="8"/>
  <c r="AI276" i="8" s="1"/>
  <c r="AK1005" i="8"/>
  <c r="AD165" i="8"/>
  <c r="AE165" i="8" s="1"/>
  <c r="AG165" i="8" s="1"/>
  <c r="AQ179" i="8"/>
  <c r="AJ168" i="12"/>
  <c r="AJ169" i="12" s="1"/>
  <c r="AJ170" i="12" s="1"/>
  <c r="AJ171" i="12" s="1"/>
  <c r="AG168" i="12"/>
  <c r="AI168" i="12" s="1"/>
  <c r="AG169" i="12" s="1"/>
  <c r="AI169" i="12" s="1"/>
  <c r="AG170" i="12" s="1"/>
  <c r="AI170" i="12" s="1"/>
  <c r="AG171" i="12" s="1"/>
  <c r="AI171" i="12" s="1"/>
  <c r="AD820" i="8"/>
  <c r="AH821" i="7"/>
  <c r="AH935" i="7"/>
  <c r="AJ936" i="8"/>
  <c r="AF936" i="8"/>
  <c r="AH936" i="8" s="1"/>
  <c r="AE717" i="7"/>
  <c r="AG717" i="7" s="1"/>
  <c r="AE498" i="7"/>
  <c r="AE223" i="12"/>
  <c r="AD166" i="7"/>
  <c r="AE166" i="7" s="1"/>
  <c r="AH495" i="8"/>
  <c r="AD278" i="7"/>
  <c r="AE278" i="7" s="1"/>
  <c r="AP733" i="8"/>
  <c r="AH819" i="8"/>
  <c r="AI443" i="8"/>
  <c r="AG444" i="8" s="1"/>
  <c r="AI444" i="8" s="1"/>
  <c r="AG445" i="8" s="1"/>
  <c r="AI445" i="8" s="1"/>
  <c r="AG446" i="8" s="1"/>
  <c r="AI446" i="8" s="1"/>
  <c r="AD447" i="8" s="1"/>
  <c r="AK396" i="8" s="1"/>
  <c r="AH331" i="8" l="1"/>
  <c r="AH440" i="7"/>
  <c r="AP678" i="8"/>
  <c r="AM619" i="8"/>
  <c r="AN619" i="8"/>
  <c r="AO838" i="7"/>
  <c r="AF166" i="7"/>
  <c r="AG166" i="7"/>
  <c r="AI166" i="7" s="1"/>
  <c r="AJ166" i="7"/>
  <c r="AO398" i="8"/>
  <c r="AD277" i="8"/>
  <c r="AK734" i="8"/>
  <c r="AL734" i="8" s="1"/>
  <c r="AN734" i="8" s="1"/>
  <c r="AF278" i="7"/>
  <c r="AJ278" i="7"/>
  <c r="AJ279" i="7" s="1"/>
  <c r="AJ280" i="7" s="1"/>
  <c r="AJ281" i="7" s="1"/>
  <c r="AG278" i="7"/>
  <c r="AD1103" i="8"/>
  <c r="AI219" i="7"/>
  <c r="AF990" i="8"/>
  <c r="AJ990" i="8"/>
  <c r="AG223" i="12"/>
  <c r="AJ223" i="12"/>
  <c r="AJ224" i="12" s="1"/>
  <c r="AJ225" i="12" s="1"/>
  <c r="AJ226" i="12" s="1"/>
  <c r="AG990" i="8"/>
  <c r="AI990" i="8" s="1"/>
  <c r="AF223" i="12"/>
  <c r="AH223" i="12" s="1"/>
  <c r="AF224" i="12" s="1"/>
  <c r="AH224" i="12" s="1"/>
  <c r="AF225" i="12" s="1"/>
  <c r="AH225" i="12" s="1"/>
  <c r="AF226" i="12" s="1"/>
  <c r="AH226" i="12" s="1"/>
  <c r="AK180" i="8"/>
  <c r="AE820" i="8"/>
  <c r="AF820" i="8" s="1"/>
  <c r="AD873" i="8"/>
  <c r="AE873" i="8" s="1"/>
  <c r="AG873" i="8" s="1"/>
  <c r="AK679" i="8"/>
  <c r="AL679" i="8" s="1"/>
  <c r="AD388" i="7"/>
  <c r="AE388" i="7" s="1"/>
  <c r="AG388" i="7" s="1"/>
  <c r="AE936" i="7"/>
  <c r="AF936" i="7" s="1"/>
  <c r="AD552" i="8"/>
  <c r="AJ331" i="7"/>
  <c r="AG331" i="7"/>
  <c r="AH276" i="8"/>
  <c r="AE496" i="8"/>
  <c r="AF496" i="8" s="1"/>
  <c r="AD607" i="7"/>
  <c r="AE607" i="7" s="1"/>
  <c r="AG607" i="7"/>
  <c r="AH1102" i="8"/>
  <c r="AH168" i="12"/>
  <c r="AF169" i="12" s="1"/>
  <c r="AH169" i="12" s="1"/>
  <c r="AF170" i="12" s="1"/>
  <c r="AH170" i="12" s="1"/>
  <c r="AF171" i="12" s="1"/>
  <c r="AH171" i="12" s="1"/>
  <c r="AD172" i="12" s="1"/>
  <c r="AK121" i="12" s="1"/>
  <c r="AE773" i="7"/>
  <c r="AF773" i="7" s="1"/>
  <c r="AG498" i="7"/>
  <c r="AJ498" i="7"/>
  <c r="AJ499" i="7" s="1"/>
  <c r="AJ500" i="7" s="1"/>
  <c r="AJ501" i="7" s="1"/>
  <c r="AI440" i="7"/>
  <c r="AO179" i="8"/>
  <c r="AF717" i="7"/>
  <c r="AH717" i="7" s="1"/>
  <c r="AL1005" i="8"/>
  <c r="AM1005" i="8" s="1"/>
  <c r="AF278" i="12"/>
  <c r="AH278" i="12" s="1"/>
  <c r="AF279" i="12" s="1"/>
  <c r="AH279" i="12" s="1"/>
  <c r="AF280" i="12" s="1"/>
  <c r="AH280" i="12" s="1"/>
  <c r="AF281" i="12" s="1"/>
  <c r="AH281" i="12" s="1"/>
  <c r="AJ278" i="12"/>
  <c r="AJ279" i="12" s="1"/>
  <c r="AJ280" i="12" s="1"/>
  <c r="AJ281" i="12" s="1"/>
  <c r="AJ717" i="7"/>
  <c r="AP618" i="7"/>
  <c r="AD387" i="8"/>
  <c r="AI936" i="8"/>
  <c r="AD550" i="7"/>
  <c r="AE550" i="7" s="1"/>
  <c r="AG550" i="7" s="1"/>
  <c r="AE822" i="7"/>
  <c r="AF822" i="7" s="1"/>
  <c r="AP563" i="8"/>
  <c r="AF331" i="7"/>
  <c r="AH331" i="7" s="1"/>
  <c r="AQ619" i="8"/>
  <c r="AF165" i="8"/>
  <c r="AH165" i="8" s="1"/>
  <c r="AJ165" i="8"/>
  <c r="AH386" i="8"/>
  <c r="AF498" i="7"/>
  <c r="AD330" i="12"/>
  <c r="AE330" i="12" s="1"/>
  <c r="AG330" i="12" s="1"/>
  <c r="AI331" i="8"/>
  <c r="AH551" i="8"/>
  <c r="AI278" i="12" l="1"/>
  <c r="AG279" i="12" s="1"/>
  <c r="AI279" i="12" s="1"/>
  <c r="AG280" i="12" s="1"/>
  <c r="AI280" i="12" s="1"/>
  <c r="AG281" i="12" s="1"/>
  <c r="AI281" i="12" s="1"/>
  <c r="AI498" i="7"/>
  <c r="AG499" i="7" s="1"/>
  <c r="AI499" i="7" s="1"/>
  <c r="AG500" i="7" s="1"/>
  <c r="AI500" i="7" s="1"/>
  <c r="AG501" i="7" s="1"/>
  <c r="AI501" i="7" s="1"/>
  <c r="AI717" i="7"/>
  <c r="AH166" i="7"/>
  <c r="AE167" i="7" s="1"/>
  <c r="AO619" i="8"/>
  <c r="AH498" i="7"/>
  <c r="AF499" i="7" s="1"/>
  <c r="AH499" i="7" s="1"/>
  <c r="AF500" i="7" s="1"/>
  <c r="AH500" i="7" s="1"/>
  <c r="AF501" i="7" s="1"/>
  <c r="AH501" i="7" s="1"/>
  <c r="AI278" i="7"/>
  <c r="AG279" i="7" s="1"/>
  <c r="AI279" i="7" s="1"/>
  <c r="AG280" i="7" s="1"/>
  <c r="AI280" i="7" s="1"/>
  <c r="AG281" i="7" s="1"/>
  <c r="AI281" i="7" s="1"/>
  <c r="AM679" i="8"/>
  <c r="AN679" i="8"/>
  <c r="AP679" i="8" s="1"/>
  <c r="AQ679" i="8"/>
  <c r="AD502" i="7"/>
  <c r="AK451" i="7" s="1"/>
  <c r="AE387" i="8"/>
  <c r="AF387" i="8" s="1"/>
  <c r="AO123" i="12"/>
  <c r="AQ618" i="7"/>
  <c r="AI165" i="8"/>
  <c r="AI223" i="12"/>
  <c r="AG224" i="12" s="1"/>
  <c r="AI224" i="12" s="1"/>
  <c r="AG225" i="12" s="1"/>
  <c r="AI225" i="12" s="1"/>
  <c r="AG226" i="12" s="1"/>
  <c r="AI226" i="12" s="1"/>
  <c r="AD227" i="12" s="1"/>
  <c r="AK176" i="12" s="1"/>
  <c r="AP398" i="8"/>
  <c r="AD220" i="7"/>
  <c r="AE220" i="7" s="1"/>
  <c r="AG220" i="7" s="1"/>
  <c r="AQ563" i="8"/>
  <c r="AK564" i="8" s="1"/>
  <c r="AL564" i="8" s="1"/>
  <c r="AJ550" i="7"/>
  <c r="AF550" i="7"/>
  <c r="AH550" i="7" s="1"/>
  <c r="AD991" i="8"/>
  <c r="AF388" i="7"/>
  <c r="AH388" i="7" s="1"/>
  <c r="AF389" i="7" s="1"/>
  <c r="AH389" i="7" s="1"/>
  <c r="AF390" i="7" s="1"/>
  <c r="AH390" i="7" s="1"/>
  <c r="AF391" i="7" s="1"/>
  <c r="AH391" i="7" s="1"/>
  <c r="AJ388" i="7"/>
  <c r="AJ389" i="7" s="1"/>
  <c r="AJ390" i="7" s="1"/>
  <c r="AJ391" i="7" s="1"/>
  <c r="AH990" i="8"/>
  <c r="AF873" i="8"/>
  <c r="AH873" i="8" s="1"/>
  <c r="AJ873" i="8"/>
  <c r="AJ496" i="8"/>
  <c r="AG496" i="8"/>
  <c r="AI496" i="8" s="1"/>
  <c r="AD718" i="7"/>
  <c r="AE718" i="7"/>
  <c r="AJ718" i="7" s="1"/>
  <c r="AJ719" i="7" s="1"/>
  <c r="AJ720" i="7" s="1"/>
  <c r="AJ721" i="7" s="1"/>
  <c r="AE552" i="8"/>
  <c r="AL180" i="8"/>
  <c r="AE277" i="8"/>
  <c r="AD167" i="7"/>
  <c r="AP838" i="7"/>
  <c r="AG773" i="7"/>
  <c r="AI773" i="7" s="1"/>
  <c r="AG774" i="7" s="1"/>
  <c r="AI774" i="7" s="1"/>
  <c r="AG775" i="7" s="1"/>
  <c r="AI775" i="7" s="1"/>
  <c r="AG776" i="7" s="1"/>
  <c r="AI776" i="7" s="1"/>
  <c r="AJ773" i="7"/>
  <c r="AJ774" i="7" s="1"/>
  <c r="AJ775" i="7" s="1"/>
  <c r="AJ776" i="7" s="1"/>
  <c r="AH278" i="7"/>
  <c r="AF279" i="7" s="1"/>
  <c r="AH279" i="7" s="1"/>
  <c r="AF280" i="7" s="1"/>
  <c r="AH280" i="7" s="1"/>
  <c r="AF281" i="7" s="1"/>
  <c r="AH281" i="7" s="1"/>
  <c r="AD282" i="7" s="1"/>
  <c r="AK231" i="7" s="1"/>
  <c r="AQ734" i="8"/>
  <c r="AM734" i="8"/>
  <c r="AO734" i="8" s="1"/>
  <c r="AD282" i="12"/>
  <c r="AK231" i="12" s="1"/>
  <c r="AN1005" i="8"/>
  <c r="AP1005" i="8" s="1"/>
  <c r="AQ1005" i="8"/>
  <c r="AG820" i="8"/>
  <c r="AI820" i="8" s="1"/>
  <c r="AJ820" i="8"/>
  <c r="AD332" i="8"/>
  <c r="AE332" i="8" s="1"/>
  <c r="AG332" i="8" s="1"/>
  <c r="AI331" i="7"/>
  <c r="AP619" i="8"/>
  <c r="AD937" i="8"/>
  <c r="AE937" i="8" s="1"/>
  <c r="AG937" i="8" s="1"/>
  <c r="AG936" i="7"/>
  <c r="AI936" i="7" s="1"/>
  <c r="AJ936" i="7"/>
  <c r="AE1103" i="8"/>
  <c r="AF1103" i="8" s="1"/>
  <c r="AF607" i="7"/>
  <c r="AH607" i="7" s="1"/>
  <c r="AJ607" i="7"/>
  <c r="AG822" i="7"/>
  <c r="AI822" i="7" s="1"/>
  <c r="AJ822" i="7"/>
  <c r="AJ330" i="12"/>
  <c r="AF330" i="12"/>
  <c r="AH330" i="12" s="1"/>
  <c r="AD441" i="7"/>
  <c r="AE441" i="7" s="1"/>
  <c r="AG441" i="7" s="1"/>
  <c r="AG167" i="7" l="1"/>
  <c r="AJ167" i="7"/>
  <c r="AH822" i="7"/>
  <c r="AP734" i="8"/>
  <c r="AI873" i="8"/>
  <c r="AM564" i="8"/>
  <c r="AN564" i="8"/>
  <c r="AO178" i="12"/>
  <c r="AI937" i="8"/>
  <c r="AO233" i="7"/>
  <c r="AK735" i="8"/>
  <c r="AP123" i="12"/>
  <c r="AK619" i="7"/>
  <c r="AL619" i="7" s="1"/>
  <c r="AK620" i="8"/>
  <c r="AL620" i="8" s="1"/>
  <c r="AN620" i="8" s="1"/>
  <c r="AF718" i="7"/>
  <c r="AH718" i="7" s="1"/>
  <c r="AF719" i="7" s="1"/>
  <c r="AH719" i="7" s="1"/>
  <c r="AF720" i="7" s="1"/>
  <c r="AH720" i="7" s="1"/>
  <c r="AF721" i="7" s="1"/>
  <c r="AH721" i="7" s="1"/>
  <c r="AJ441" i="7"/>
  <c r="AF441" i="7"/>
  <c r="AH441" i="7" s="1"/>
  <c r="AG718" i="7"/>
  <c r="AF937" i="8"/>
  <c r="AH937" i="8" s="1"/>
  <c r="AJ937" i="8"/>
  <c r="AJ387" i="8"/>
  <c r="AG387" i="8"/>
  <c r="AI387" i="8" s="1"/>
  <c r="AD332" i="7"/>
  <c r="AE332" i="7" s="1"/>
  <c r="AG332" i="7" s="1"/>
  <c r="AQ838" i="7"/>
  <c r="AJ332" i="8"/>
  <c r="AF332" i="8"/>
  <c r="AH332" i="8" s="1"/>
  <c r="AG277" i="8"/>
  <c r="AJ277" i="8"/>
  <c r="AK1006" i="8"/>
  <c r="AQ180" i="8"/>
  <c r="AN180" i="8"/>
  <c r="AI388" i="7"/>
  <c r="AG389" i="7" s="1"/>
  <c r="AI389" i="7" s="1"/>
  <c r="AG390" i="7" s="1"/>
  <c r="AI390" i="7" s="1"/>
  <c r="AG391" i="7" s="1"/>
  <c r="AI391" i="7" s="1"/>
  <c r="AD392" i="7" s="1"/>
  <c r="AK341" i="7" s="1"/>
  <c r="AH820" i="8"/>
  <c r="AF167" i="7"/>
  <c r="AH167" i="7" s="1"/>
  <c r="AQ564" i="8"/>
  <c r="AD823" i="7"/>
  <c r="AE991" i="8"/>
  <c r="AF991" i="8" s="1"/>
  <c r="AO679" i="8"/>
  <c r="AF277" i="8"/>
  <c r="AH496" i="8"/>
  <c r="AO233" i="12"/>
  <c r="AM180" i="8"/>
  <c r="AI607" i="7"/>
  <c r="AH936" i="7"/>
  <c r="AD497" i="8"/>
  <c r="AI550" i="7"/>
  <c r="AD874" i="8"/>
  <c r="AE874" i="8" s="1"/>
  <c r="AQ398" i="8"/>
  <c r="AK399" i="8" s="1"/>
  <c r="AL399" i="8" s="1"/>
  <c r="AJ552" i="8"/>
  <c r="AG552" i="8"/>
  <c r="AH773" i="7"/>
  <c r="AF774" i="7" s="1"/>
  <c r="AH774" i="7" s="1"/>
  <c r="AF775" i="7" s="1"/>
  <c r="AH775" i="7" s="1"/>
  <c r="AF776" i="7" s="1"/>
  <c r="AH776" i="7" s="1"/>
  <c r="AD777" i="7" s="1"/>
  <c r="AK726" i="7" s="1"/>
  <c r="AO453" i="7"/>
  <c r="AI330" i="12"/>
  <c r="AE823" i="7"/>
  <c r="AG823" i="7" s="1"/>
  <c r="AF220" i="7"/>
  <c r="AH220" i="7" s="1"/>
  <c r="AJ220" i="7"/>
  <c r="AD821" i="8"/>
  <c r="AK680" i="8"/>
  <c r="AJ1103" i="8"/>
  <c r="AJ1104" i="8" s="1"/>
  <c r="AJ1105" i="8" s="1"/>
  <c r="AJ1106" i="8" s="1"/>
  <c r="AG1103" i="8"/>
  <c r="AI1103" i="8" s="1"/>
  <c r="AG1104" i="8" s="1"/>
  <c r="AI1104" i="8" s="1"/>
  <c r="AG1105" i="8" s="1"/>
  <c r="AI1105" i="8" s="1"/>
  <c r="AG1106" i="8" s="1"/>
  <c r="AI1106" i="8" s="1"/>
  <c r="AD937" i="7"/>
  <c r="AL735" i="8"/>
  <c r="AN735" i="8" s="1"/>
  <c r="AF552" i="8"/>
  <c r="AD166" i="8"/>
  <c r="AE166" i="8" s="1"/>
  <c r="AG166" i="8" s="1"/>
  <c r="AO1005" i="8"/>
  <c r="AI552" i="8" l="1"/>
  <c r="AD553" i="8" s="1"/>
  <c r="AF823" i="7"/>
  <c r="AI823" i="7" s="1"/>
  <c r="AD824" i="7" s="1"/>
  <c r="AJ823" i="7"/>
  <c r="AO564" i="8"/>
  <c r="AI441" i="7"/>
  <c r="AD442" i="7" s="1"/>
  <c r="AE442" i="7" s="1"/>
  <c r="AG442" i="7" s="1"/>
  <c r="AO180" i="8"/>
  <c r="AH277" i="8"/>
  <c r="AQ735" i="8"/>
  <c r="AF874" i="8"/>
  <c r="AJ874" i="8"/>
  <c r="AG874" i="8"/>
  <c r="AI874" i="8" s="1"/>
  <c r="AO343" i="7"/>
  <c r="AM399" i="8"/>
  <c r="AN399" i="8"/>
  <c r="AP399" i="8" s="1"/>
  <c r="AP453" i="7"/>
  <c r="AO728" i="7"/>
  <c r="AM619" i="7"/>
  <c r="AN619" i="7"/>
  <c r="AE821" i="8"/>
  <c r="AF821" i="8" s="1"/>
  <c r="AP178" i="12"/>
  <c r="AL1006" i="8"/>
  <c r="AH387" i="8"/>
  <c r="AM735" i="8"/>
  <c r="AO735" i="8" s="1"/>
  <c r="AD608" i="7"/>
  <c r="AE608" i="7" s="1"/>
  <c r="AG608" i="7" s="1"/>
  <c r="AK839" i="7"/>
  <c r="AL839" i="7" s="1"/>
  <c r="AQ839" i="7" s="1"/>
  <c r="AL680" i="8"/>
  <c r="AP233" i="7"/>
  <c r="AD388" i="8"/>
  <c r="AI167" i="7"/>
  <c r="AI277" i="8"/>
  <c r="AI220" i="7"/>
  <c r="AD331" i="12"/>
  <c r="AE331" i="12" s="1"/>
  <c r="AG331" i="12" s="1"/>
  <c r="AP233" i="12"/>
  <c r="AE497" i="8"/>
  <c r="AQ399" i="8"/>
  <c r="AH1103" i="8"/>
  <c r="AF1104" i="8" s="1"/>
  <c r="AH1104" i="8" s="1"/>
  <c r="AF1105" i="8" s="1"/>
  <c r="AH1105" i="8" s="1"/>
  <c r="AF1106" i="8" s="1"/>
  <c r="AH1106" i="8" s="1"/>
  <c r="AD1107" i="8" s="1"/>
  <c r="AK1056" i="8" s="1"/>
  <c r="AJ166" i="8"/>
  <c r="AF166" i="8"/>
  <c r="AH166" i="8" s="1"/>
  <c r="AD551" i="7"/>
  <c r="AE551" i="7" s="1"/>
  <c r="AG551" i="7" s="1"/>
  <c r="AI718" i="7"/>
  <c r="AG719" i="7" s="1"/>
  <c r="AI719" i="7" s="1"/>
  <c r="AG720" i="7" s="1"/>
  <c r="AI720" i="7" s="1"/>
  <c r="AG721" i="7" s="1"/>
  <c r="AI721" i="7" s="1"/>
  <c r="AD722" i="7" s="1"/>
  <c r="AK671" i="7" s="1"/>
  <c r="AP564" i="8"/>
  <c r="AI332" i="8"/>
  <c r="AE937" i="7"/>
  <c r="AF937" i="7" s="1"/>
  <c r="AQ620" i="8"/>
  <c r="AM620" i="8"/>
  <c r="AO620" i="8" s="1"/>
  <c r="AQ123" i="12"/>
  <c r="AF332" i="7"/>
  <c r="AH332" i="7" s="1"/>
  <c r="AJ332" i="7"/>
  <c r="AG991" i="8"/>
  <c r="AI991" i="8" s="1"/>
  <c r="AJ991" i="8"/>
  <c r="AP180" i="8"/>
  <c r="AQ619" i="7"/>
  <c r="AD938" i="8"/>
  <c r="AE938" i="8" s="1"/>
  <c r="AH552" i="8"/>
  <c r="AP620" i="8" l="1"/>
  <c r="AP619" i="7"/>
  <c r="AH823" i="7"/>
  <c r="AI166" i="8"/>
  <c r="AG938" i="8"/>
  <c r="AF938" i="8"/>
  <c r="AH938" i="8" s="1"/>
  <c r="AF939" i="8" s="1"/>
  <c r="AH939" i="8" s="1"/>
  <c r="AF940" i="8" s="1"/>
  <c r="AH940" i="8" s="1"/>
  <c r="AF941" i="8" s="1"/>
  <c r="AH941" i="8" s="1"/>
  <c r="AJ938" i="8"/>
  <c r="AJ939" i="8" s="1"/>
  <c r="AJ940" i="8" s="1"/>
  <c r="AJ941" i="8" s="1"/>
  <c r="AO673" i="7"/>
  <c r="AK620" i="7"/>
  <c r="AP728" i="7"/>
  <c r="AD278" i="8"/>
  <c r="AE278" i="8" s="1"/>
  <c r="AK181" i="8"/>
  <c r="AL181" i="8" s="1"/>
  <c r="AD168" i="7"/>
  <c r="AE168" i="7" s="1"/>
  <c r="AG168" i="7" s="1"/>
  <c r="AQ453" i="7"/>
  <c r="AD992" i="8"/>
  <c r="AQ233" i="7"/>
  <c r="AQ1006" i="8"/>
  <c r="AN1006" i="8"/>
  <c r="AQ680" i="8"/>
  <c r="AN680" i="8"/>
  <c r="AK400" i="8"/>
  <c r="AO399" i="8"/>
  <c r="AJ331" i="12"/>
  <c r="AF331" i="12"/>
  <c r="AH331" i="12" s="1"/>
  <c r="AI332" i="7"/>
  <c r="AJ442" i="7"/>
  <c r="AF442" i="7"/>
  <c r="AH442" i="7" s="1"/>
  <c r="AO619" i="7"/>
  <c r="AD333" i="8"/>
  <c r="AE333" i="8" s="1"/>
  <c r="AG333" i="8" s="1"/>
  <c r="AJ497" i="8"/>
  <c r="AG497" i="8"/>
  <c r="AK621" i="8"/>
  <c r="AL621" i="8" s="1"/>
  <c r="AN621" i="8" s="1"/>
  <c r="AQ178" i="12"/>
  <c r="AP343" i="7"/>
  <c r="AO1058" i="8"/>
  <c r="AD221" i="7"/>
  <c r="AE221" i="7" s="1"/>
  <c r="AJ608" i="7"/>
  <c r="AJ609" i="7" s="1"/>
  <c r="AJ610" i="7" s="1"/>
  <c r="AJ611" i="7" s="1"/>
  <c r="AF608" i="7"/>
  <c r="AH608" i="7" s="1"/>
  <c r="AF609" i="7" s="1"/>
  <c r="AH609" i="7" s="1"/>
  <c r="AF610" i="7" s="1"/>
  <c r="AH610" i="7" s="1"/>
  <c r="AF611" i="7" s="1"/>
  <c r="AH611" i="7" s="1"/>
  <c r="AH874" i="8"/>
  <c r="AJ937" i="7"/>
  <c r="AG937" i="7"/>
  <c r="AI937" i="7" s="1"/>
  <c r="AK565" i="8"/>
  <c r="AL565" i="8" s="1"/>
  <c r="AN565" i="8" s="1"/>
  <c r="AE388" i="8"/>
  <c r="AF497" i="8"/>
  <c r="AE824" i="7"/>
  <c r="AQ233" i="12"/>
  <c r="AQ124" i="12"/>
  <c r="AF551" i="7"/>
  <c r="AH551" i="7" s="1"/>
  <c r="AJ551" i="7"/>
  <c r="AM1006" i="8"/>
  <c r="AK124" i="12"/>
  <c r="AL124" i="12" s="1"/>
  <c r="AM680" i="8"/>
  <c r="AM839" i="7"/>
  <c r="AN839" i="7"/>
  <c r="AP839" i="7" s="1"/>
  <c r="AH991" i="8"/>
  <c r="AD167" i="8"/>
  <c r="AE167" i="8" s="1"/>
  <c r="AG821" i="8"/>
  <c r="AI821" i="8" s="1"/>
  <c r="AJ821" i="8"/>
  <c r="AD875" i="8"/>
  <c r="AE553" i="8"/>
  <c r="AP735" i="8"/>
  <c r="AH937" i="7" l="1"/>
  <c r="AP680" i="8"/>
  <c r="AP1006" i="8"/>
  <c r="AH497" i="8"/>
  <c r="AI551" i="7"/>
  <c r="AJ167" i="8"/>
  <c r="AF167" i="8"/>
  <c r="AG167" i="8"/>
  <c r="AI167" i="8" s="1"/>
  <c r="AP1058" i="8"/>
  <c r="AI608" i="7"/>
  <c r="AG609" i="7" s="1"/>
  <c r="AI609" i="7" s="1"/>
  <c r="AG610" i="7" s="1"/>
  <c r="AI610" i="7" s="1"/>
  <c r="AG611" i="7" s="1"/>
  <c r="AI611" i="7" s="1"/>
  <c r="AD612" i="7" s="1"/>
  <c r="AK561" i="7" s="1"/>
  <c r="AD822" i="8"/>
  <c r="AD333" i="7"/>
  <c r="AE333" i="7" s="1"/>
  <c r="AG333" i="7" s="1"/>
  <c r="AK736" i="8"/>
  <c r="AL736" i="8" s="1"/>
  <c r="AN736" i="8" s="1"/>
  <c r="AI442" i="7"/>
  <c r="AO680" i="8"/>
  <c r="AQ621" i="8"/>
  <c r="AO1006" i="8"/>
  <c r="AI331" i="12"/>
  <c r="AK454" i="7"/>
  <c r="AL454" i="7" s="1"/>
  <c r="AL620" i="7"/>
  <c r="AM621" i="8"/>
  <c r="AO621" i="8" s="1"/>
  <c r="AF221" i="7"/>
  <c r="AJ221" i="7"/>
  <c r="AK1007" i="8"/>
  <c r="AK234" i="7"/>
  <c r="AL234" i="7" s="1"/>
  <c r="AQ234" i="7" s="1"/>
  <c r="AJ388" i="8"/>
  <c r="AJ389" i="8" s="1"/>
  <c r="AJ390" i="8" s="1"/>
  <c r="AJ391" i="8" s="1"/>
  <c r="AG388" i="8"/>
  <c r="AI388" i="8" s="1"/>
  <c r="AG389" i="8" s="1"/>
  <c r="AI389" i="8" s="1"/>
  <c r="AG390" i="8" s="1"/>
  <c r="AI390" i="8" s="1"/>
  <c r="AG391" i="8" s="1"/>
  <c r="AI391" i="8" s="1"/>
  <c r="AM124" i="12"/>
  <c r="AN124" i="12"/>
  <c r="AP124" i="12" s="1"/>
  <c r="AL400" i="8"/>
  <c r="AJ553" i="8"/>
  <c r="AJ554" i="8" s="1"/>
  <c r="AJ555" i="8" s="1"/>
  <c r="AJ556" i="8" s="1"/>
  <c r="AG553" i="8"/>
  <c r="AI553" i="8" s="1"/>
  <c r="AG554" i="8" s="1"/>
  <c r="AI554" i="8" s="1"/>
  <c r="AG555" i="8" s="1"/>
  <c r="AI555" i="8" s="1"/>
  <c r="AG556" i="8" s="1"/>
  <c r="AI556" i="8" s="1"/>
  <c r="AD938" i="7"/>
  <c r="AE938" i="7" s="1"/>
  <c r="AI938" i="8"/>
  <c r="AG939" i="8" s="1"/>
  <c r="AI939" i="8" s="1"/>
  <c r="AG940" i="8" s="1"/>
  <c r="AI940" i="8" s="1"/>
  <c r="AG941" i="8" s="1"/>
  <c r="AI941" i="8" s="1"/>
  <c r="AD942" i="8" s="1"/>
  <c r="AK891" i="8" s="1"/>
  <c r="AE875" i="8"/>
  <c r="AK681" i="8"/>
  <c r="AQ181" i="8"/>
  <c r="AM181" i="8"/>
  <c r="AK234" i="12"/>
  <c r="AL234" i="12" s="1"/>
  <c r="AQ234" i="12" s="1"/>
  <c r="AN181" i="8"/>
  <c r="AP181" i="8" s="1"/>
  <c r="AJ278" i="8"/>
  <c r="AJ279" i="8" s="1"/>
  <c r="AJ280" i="8" s="1"/>
  <c r="AJ281" i="8" s="1"/>
  <c r="AF278" i="8"/>
  <c r="AG221" i="7"/>
  <c r="AQ343" i="7"/>
  <c r="AG278" i="8"/>
  <c r="AI278" i="8" s="1"/>
  <c r="AG279" i="8" s="1"/>
  <c r="AI279" i="8" s="1"/>
  <c r="AG280" i="8" s="1"/>
  <c r="AI280" i="8" s="1"/>
  <c r="AG281" i="8" s="1"/>
  <c r="AI281" i="8" s="1"/>
  <c r="AQ728" i="7"/>
  <c r="AK729" i="7" s="1"/>
  <c r="AL729" i="7" s="1"/>
  <c r="AJ824" i="7"/>
  <c r="AG824" i="7"/>
  <c r="AF824" i="7"/>
  <c r="AP673" i="7"/>
  <c r="AE992" i="8"/>
  <c r="AK179" i="12"/>
  <c r="AL179" i="12" s="1"/>
  <c r="AQ179" i="12" s="1"/>
  <c r="AK840" i="7"/>
  <c r="AO839" i="7"/>
  <c r="AF388" i="8"/>
  <c r="AQ565" i="8"/>
  <c r="AM565" i="8"/>
  <c r="AO565" i="8" s="1"/>
  <c r="AI497" i="8"/>
  <c r="AF553" i="8"/>
  <c r="AJ333" i="8"/>
  <c r="AJ334" i="8" s="1"/>
  <c r="AJ335" i="8" s="1"/>
  <c r="AJ336" i="8" s="1"/>
  <c r="AF333" i="8"/>
  <c r="AH333" i="8" s="1"/>
  <c r="AF334" i="8" s="1"/>
  <c r="AH334" i="8" s="1"/>
  <c r="AF335" i="8" s="1"/>
  <c r="AH335" i="8" s="1"/>
  <c r="AF336" i="8" s="1"/>
  <c r="AH336" i="8" s="1"/>
  <c r="AJ168" i="7"/>
  <c r="AJ169" i="7" s="1"/>
  <c r="AJ170" i="7" s="1"/>
  <c r="AJ171" i="7" s="1"/>
  <c r="AF168" i="7"/>
  <c r="AH168" i="7" s="1"/>
  <c r="AF169" i="7" s="1"/>
  <c r="AH169" i="7" s="1"/>
  <c r="AF170" i="7" s="1"/>
  <c r="AH170" i="7" s="1"/>
  <c r="AF171" i="7" s="1"/>
  <c r="AH171" i="7" s="1"/>
  <c r="AH821" i="8"/>
  <c r="AH824" i="7" l="1"/>
  <c r="AM729" i="7"/>
  <c r="AN729" i="7"/>
  <c r="AP621" i="8"/>
  <c r="AK622" i="8" s="1"/>
  <c r="AL622" i="8" s="1"/>
  <c r="AI221" i="7"/>
  <c r="AD552" i="7"/>
  <c r="AE552" i="7" s="1"/>
  <c r="AO563" i="7"/>
  <c r="AF938" i="7"/>
  <c r="AG938" i="7"/>
  <c r="AJ938" i="7"/>
  <c r="AJ939" i="7" s="1"/>
  <c r="AJ940" i="7" s="1"/>
  <c r="AJ941" i="7" s="1"/>
  <c r="AM454" i="7"/>
  <c r="AN454" i="7"/>
  <c r="AP454" i="7" s="1"/>
  <c r="AD332" i="12"/>
  <c r="AE332" i="12" s="1"/>
  <c r="AG332" i="12" s="1"/>
  <c r="AQ454" i="7"/>
  <c r="AM179" i="12"/>
  <c r="AN179" i="12"/>
  <c r="AD443" i="7"/>
  <c r="AE443" i="7" s="1"/>
  <c r="AG443" i="7" s="1"/>
  <c r="AO181" i="8"/>
  <c r="AJ333" i="7"/>
  <c r="AJ334" i="7" s="1"/>
  <c r="AJ335" i="7" s="1"/>
  <c r="AJ336" i="7" s="1"/>
  <c r="AF333" i="7"/>
  <c r="AH333" i="7" s="1"/>
  <c r="AF334" i="7" s="1"/>
  <c r="AH334" i="7" s="1"/>
  <c r="AF335" i="7" s="1"/>
  <c r="AH335" i="7" s="1"/>
  <c r="AF336" i="7" s="1"/>
  <c r="AH336" i="7" s="1"/>
  <c r="AH167" i="8"/>
  <c r="AO729" i="7"/>
  <c r="AM234" i="7"/>
  <c r="AN234" i="7"/>
  <c r="AP234" i="7" s="1"/>
  <c r="AL840" i="7"/>
  <c r="AM840" i="7" s="1"/>
  <c r="AL681" i="8"/>
  <c r="AJ992" i="8"/>
  <c r="AG992" i="8"/>
  <c r="AN400" i="8"/>
  <c r="AQ400" i="8"/>
  <c r="AQ673" i="7"/>
  <c r="AM400" i="8"/>
  <c r="AH221" i="7"/>
  <c r="AD168" i="8"/>
  <c r="AO124" i="12"/>
  <c r="AD498" i="8"/>
  <c r="AE498" i="8" s="1"/>
  <c r="AG875" i="8"/>
  <c r="AJ875" i="8"/>
  <c r="AH388" i="8"/>
  <c r="AF389" i="8" s="1"/>
  <c r="AH389" i="8" s="1"/>
  <c r="AF390" i="8" s="1"/>
  <c r="AH390" i="8" s="1"/>
  <c r="AF391" i="8" s="1"/>
  <c r="AH391" i="8" s="1"/>
  <c r="AD392" i="8" s="1"/>
  <c r="AK341" i="8" s="1"/>
  <c r="AQ1058" i="8"/>
  <c r="AK1059" i="8" s="1"/>
  <c r="AL1059" i="8" s="1"/>
  <c r="AD222" i="7"/>
  <c r="AH278" i="8"/>
  <c r="AF279" i="8" s="1"/>
  <c r="AH279" i="8" s="1"/>
  <c r="AF280" i="8" s="1"/>
  <c r="AH280" i="8" s="1"/>
  <c r="AF281" i="8" s="1"/>
  <c r="AH281" i="8" s="1"/>
  <c r="AD282" i="8" s="1"/>
  <c r="AK231" i="8" s="1"/>
  <c r="AK182" i="8"/>
  <c r="AQ736" i="8"/>
  <c r="AM736" i="8"/>
  <c r="AO736" i="8" s="1"/>
  <c r="AI824" i="7"/>
  <c r="AQ620" i="7"/>
  <c r="AN620" i="7"/>
  <c r="AP565" i="8"/>
  <c r="AO893" i="8"/>
  <c r="AF875" i="8"/>
  <c r="AL1007" i="8"/>
  <c r="AE822" i="8"/>
  <c r="AK344" i="7"/>
  <c r="AL344" i="7" s="1"/>
  <c r="AQ344" i="7" s="1"/>
  <c r="AF992" i="8"/>
  <c r="AM234" i="12"/>
  <c r="AN234" i="12"/>
  <c r="AP234" i="12" s="1"/>
  <c r="AI333" i="8"/>
  <c r="AG334" i="8" s="1"/>
  <c r="AI334" i="8" s="1"/>
  <c r="AG335" i="8" s="1"/>
  <c r="AI335" i="8" s="1"/>
  <c r="AG336" i="8" s="1"/>
  <c r="AI336" i="8" s="1"/>
  <c r="AD337" i="8" s="1"/>
  <c r="AK286" i="8" s="1"/>
  <c r="AK125" i="12"/>
  <c r="AH553" i="8"/>
  <c r="AF554" i="8" s="1"/>
  <c r="AH554" i="8" s="1"/>
  <c r="AF555" i="8" s="1"/>
  <c r="AH555" i="8" s="1"/>
  <c r="AF556" i="8" s="1"/>
  <c r="AH556" i="8" s="1"/>
  <c r="AD557" i="8" s="1"/>
  <c r="AK506" i="8" s="1"/>
  <c r="AQ729" i="7"/>
  <c r="AM620" i="7"/>
  <c r="AI168" i="7"/>
  <c r="AG169" i="7" s="1"/>
  <c r="AI169" i="7" s="1"/>
  <c r="AG170" i="7" s="1"/>
  <c r="AI170" i="7" s="1"/>
  <c r="AG171" i="7" s="1"/>
  <c r="AI171" i="7" s="1"/>
  <c r="AD172" i="7" s="1"/>
  <c r="AK121" i="7" s="1"/>
  <c r="AH992" i="8" l="1"/>
  <c r="AH875" i="8"/>
  <c r="AF552" i="7"/>
  <c r="AJ552" i="7"/>
  <c r="AO400" i="8"/>
  <c r="AO620" i="7"/>
  <c r="AG552" i="7"/>
  <c r="AI552" i="7" s="1"/>
  <c r="AH938" i="7"/>
  <c r="AF939" i="7" s="1"/>
  <c r="AH939" i="7" s="1"/>
  <c r="AF940" i="7" s="1"/>
  <c r="AH940" i="7" s="1"/>
  <c r="AF941" i="7" s="1"/>
  <c r="AH941" i="7" s="1"/>
  <c r="AP729" i="7"/>
  <c r="AP179" i="12"/>
  <c r="AO123" i="7"/>
  <c r="AO288" i="8"/>
  <c r="AN622" i="8"/>
  <c r="AM622" i="8"/>
  <c r="AO622" i="8" s="1"/>
  <c r="AQ622" i="8"/>
  <c r="AM1059" i="8"/>
  <c r="AO1059" i="8" s="1"/>
  <c r="AN1059" i="8"/>
  <c r="AK235" i="7"/>
  <c r="AI992" i="8"/>
  <c r="AN681" i="8"/>
  <c r="AQ681" i="8"/>
  <c r="AO179" i="12"/>
  <c r="AE222" i="7"/>
  <c r="AK455" i="7"/>
  <c r="AO343" i="8"/>
  <c r="AI875" i="8"/>
  <c r="AF498" i="8"/>
  <c r="AJ498" i="8"/>
  <c r="AJ499" i="8" s="1"/>
  <c r="AJ500" i="8" s="1"/>
  <c r="AJ501" i="8" s="1"/>
  <c r="AK730" i="7"/>
  <c r="AL730" i="7" s="1"/>
  <c r="AK180" i="12"/>
  <c r="AM344" i="7"/>
  <c r="AN344" i="7"/>
  <c r="AM681" i="8"/>
  <c r="AP736" i="8"/>
  <c r="AQ1007" i="8"/>
  <c r="AN1007" i="8"/>
  <c r="AP1007" i="8" s="1"/>
  <c r="AF332" i="12"/>
  <c r="AH332" i="12" s="1"/>
  <c r="AJ332" i="12"/>
  <c r="AO234" i="7"/>
  <c r="AQ1059" i="8"/>
  <c r="AE168" i="8"/>
  <c r="AP620" i="7"/>
  <c r="AL182" i="8"/>
  <c r="AP400" i="8"/>
  <c r="AJ443" i="7"/>
  <c r="AJ444" i="7" s="1"/>
  <c r="AJ445" i="7" s="1"/>
  <c r="AJ446" i="7" s="1"/>
  <c r="AF443" i="7"/>
  <c r="AH443" i="7" s="1"/>
  <c r="AF444" i="7" s="1"/>
  <c r="AH444" i="7" s="1"/>
  <c r="AF445" i="7" s="1"/>
  <c r="AH445" i="7" s="1"/>
  <c r="AF446" i="7" s="1"/>
  <c r="AH446" i="7" s="1"/>
  <c r="AI333" i="7"/>
  <c r="AG334" i="7" s="1"/>
  <c r="AI334" i="7" s="1"/>
  <c r="AG335" i="7" s="1"/>
  <c r="AI335" i="7" s="1"/>
  <c r="AG336" i="7" s="1"/>
  <c r="AI336" i="7" s="1"/>
  <c r="AD337" i="7" s="1"/>
  <c r="AK286" i="7" s="1"/>
  <c r="AL125" i="12"/>
  <c r="AM125" i="12" s="1"/>
  <c r="AP563" i="7"/>
  <c r="AO233" i="8"/>
  <c r="AM1007" i="8"/>
  <c r="AP893" i="8"/>
  <c r="AO508" i="8"/>
  <c r="AK566" i="8"/>
  <c r="AL566" i="8" s="1"/>
  <c r="AN566" i="8"/>
  <c r="AO454" i="7"/>
  <c r="AK674" i="7"/>
  <c r="AL674" i="7" s="1"/>
  <c r="AQ674" i="7" s="1"/>
  <c r="AD553" i="7"/>
  <c r="AK235" i="12"/>
  <c r="AD825" i="7"/>
  <c r="AE825" i="7" s="1"/>
  <c r="AG825" i="7" s="1"/>
  <c r="AO234" i="12"/>
  <c r="AI443" i="7"/>
  <c r="AG444" i="7" s="1"/>
  <c r="AI444" i="7" s="1"/>
  <c r="AG445" i="7" s="1"/>
  <c r="AI445" i="7" s="1"/>
  <c r="AG446" i="7" s="1"/>
  <c r="AI446" i="7" s="1"/>
  <c r="AG498" i="8"/>
  <c r="AG822" i="8"/>
  <c r="AJ822" i="8"/>
  <c r="AF822" i="8"/>
  <c r="AQ840" i="7"/>
  <c r="AN840" i="7"/>
  <c r="AP840" i="7" s="1"/>
  <c r="AI938" i="7"/>
  <c r="AG939" i="7" s="1"/>
  <c r="AI939" i="7" s="1"/>
  <c r="AG940" i="7" s="1"/>
  <c r="AI940" i="7" s="1"/>
  <c r="AG941" i="7" s="1"/>
  <c r="AI941" i="7" s="1"/>
  <c r="AO344" i="7" l="1"/>
  <c r="AD942" i="7"/>
  <c r="AK891" i="7" s="1"/>
  <c r="AH822" i="8"/>
  <c r="AH552" i="7"/>
  <c r="AO681" i="8"/>
  <c r="AE553" i="7"/>
  <c r="AF553" i="7" s="1"/>
  <c r="AI498" i="8"/>
  <c r="AG499" i="8" s="1"/>
  <c r="AI499" i="8" s="1"/>
  <c r="AG500" i="8" s="1"/>
  <c r="AI500" i="8" s="1"/>
  <c r="AG501" i="8" s="1"/>
  <c r="AI501" i="8" s="1"/>
  <c r="AP344" i="7"/>
  <c r="AK345" i="7" s="1"/>
  <c r="AL345" i="7" s="1"/>
  <c r="AO893" i="7"/>
  <c r="AN730" i="7"/>
  <c r="AQ730" i="7"/>
  <c r="AM730" i="7"/>
  <c r="AO288" i="7"/>
  <c r="AD993" i="8"/>
  <c r="AE993" i="8" s="1"/>
  <c r="AG993" i="8" s="1"/>
  <c r="AF825" i="7"/>
  <c r="AH825" i="7" s="1"/>
  <c r="AJ825" i="7"/>
  <c r="AH498" i="8"/>
  <c r="AF499" i="8" s="1"/>
  <c r="AH499" i="8" s="1"/>
  <c r="AF500" i="8" s="1"/>
  <c r="AH500" i="8" s="1"/>
  <c r="AF501" i="8" s="1"/>
  <c r="AH501" i="8" s="1"/>
  <c r="AN182" i="8"/>
  <c r="AQ182" i="8"/>
  <c r="AP508" i="8"/>
  <c r="AM182" i="8"/>
  <c r="AQ566" i="8"/>
  <c r="AM566" i="8"/>
  <c r="AO566" i="8" s="1"/>
  <c r="AK621" i="7"/>
  <c r="AL621" i="7" s="1"/>
  <c r="AN621" i="7" s="1"/>
  <c r="AL180" i="12"/>
  <c r="AP1059" i="8"/>
  <c r="AP622" i="8"/>
  <c r="AD447" i="7"/>
  <c r="AK396" i="7" s="1"/>
  <c r="AK401" i="8"/>
  <c r="AL401" i="8" s="1"/>
  <c r="AN401" i="8" s="1"/>
  <c r="AD876" i="8"/>
  <c r="AE876" i="8" s="1"/>
  <c r="AJ222" i="7"/>
  <c r="AG222" i="7"/>
  <c r="AK841" i="7"/>
  <c r="AG168" i="8"/>
  <c r="AJ168" i="8"/>
  <c r="AJ169" i="8" s="1"/>
  <c r="AJ170" i="8" s="1"/>
  <c r="AJ171" i="8" s="1"/>
  <c r="AP288" i="8"/>
  <c r="AL235" i="12"/>
  <c r="AM235" i="12" s="1"/>
  <c r="AQ125" i="12"/>
  <c r="AN125" i="12"/>
  <c r="AP125" i="12" s="1"/>
  <c r="AL455" i="7"/>
  <c r="AF222" i="7"/>
  <c r="AH222" i="7" s="1"/>
  <c r="AO840" i="7"/>
  <c r="AQ893" i="8"/>
  <c r="AK894" i="8" s="1"/>
  <c r="AL894" i="8" s="1"/>
  <c r="AP233" i="8"/>
  <c r="AF168" i="8"/>
  <c r="AH168" i="8" s="1"/>
  <c r="AF169" i="8" s="1"/>
  <c r="AH169" i="8" s="1"/>
  <c r="AF170" i="8" s="1"/>
  <c r="AH170" i="8" s="1"/>
  <c r="AF171" i="8" s="1"/>
  <c r="AH171" i="8" s="1"/>
  <c r="AP681" i="8"/>
  <c r="AI332" i="12"/>
  <c r="AL235" i="7"/>
  <c r="AP343" i="8"/>
  <c r="AM674" i="7"/>
  <c r="AN674" i="7"/>
  <c r="AP674" i="7" s="1"/>
  <c r="AK1008" i="8"/>
  <c r="AK737" i="8"/>
  <c r="AL737" i="8" s="1"/>
  <c r="AN737" i="8" s="1"/>
  <c r="AI822" i="8"/>
  <c r="AO1007" i="8"/>
  <c r="AQ563" i="7"/>
  <c r="AP123" i="7"/>
  <c r="AJ553" i="7" l="1"/>
  <c r="AJ554" i="7" s="1"/>
  <c r="AJ555" i="7" s="1"/>
  <c r="AJ556" i="7" s="1"/>
  <c r="AD502" i="8"/>
  <c r="AK451" i="8" s="1"/>
  <c r="AP730" i="7"/>
  <c r="AP182" i="8"/>
  <c r="AK183" i="8" s="1"/>
  <c r="AG553" i="7"/>
  <c r="AH553" i="7" s="1"/>
  <c r="AF554" i="7" s="1"/>
  <c r="AH554" i="7" s="1"/>
  <c r="AF555" i="7" s="1"/>
  <c r="AH555" i="7" s="1"/>
  <c r="AF556" i="7" s="1"/>
  <c r="AH556" i="7" s="1"/>
  <c r="AQ345" i="7"/>
  <c r="AM345" i="7"/>
  <c r="AN345" i="7"/>
  <c r="AP345" i="7" s="1"/>
  <c r="AM894" i="8"/>
  <c r="AN894" i="8"/>
  <c r="AP894" i="8" s="1"/>
  <c r="AK731" i="7"/>
  <c r="AQ123" i="7"/>
  <c r="AD172" i="8"/>
  <c r="AK121" i="8" s="1"/>
  <c r="AQ288" i="8"/>
  <c r="AK289" i="8" s="1"/>
  <c r="AL289" i="8" s="1"/>
  <c r="AL1008" i="8"/>
  <c r="AL841" i="7"/>
  <c r="AI222" i="7"/>
  <c r="AQ508" i="8"/>
  <c r="AK509" i="8" s="1"/>
  <c r="AL509" i="8" s="1"/>
  <c r="AQ233" i="8"/>
  <c r="AK234" i="8" s="1"/>
  <c r="AL234" i="8" s="1"/>
  <c r="AK1060" i="8"/>
  <c r="AL1060" i="8" s="1"/>
  <c r="AK564" i="7"/>
  <c r="AL564" i="7" s="1"/>
  <c r="AQ894" i="8"/>
  <c r="AI168" i="8"/>
  <c r="AG169" i="8" s="1"/>
  <c r="AI169" i="8" s="1"/>
  <c r="AG170" i="8" s="1"/>
  <c r="AI170" i="8" s="1"/>
  <c r="AG171" i="8" s="1"/>
  <c r="AI171" i="8" s="1"/>
  <c r="AQ235" i="7"/>
  <c r="AN235" i="7"/>
  <c r="AP621" i="7"/>
  <c r="AP288" i="7"/>
  <c r="AO125" i="12"/>
  <c r="AO398" i="7"/>
  <c r="AO674" i="7"/>
  <c r="AK623" i="8"/>
  <c r="AL623" i="8" s="1"/>
  <c r="AN623" i="8"/>
  <c r="AQ180" i="12"/>
  <c r="AN180" i="12"/>
  <c r="AQ343" i="8"/>
  <c r="AK344" i="8" s="1"/>
  <c r="AL344" i="8" s="1"/>
  <c r="AM180" i="12"/>
  <c r="AO180" i="12" s="1"/>
  <c r="AM235" i="7"/>
  <c r="AI825" i="7"/>
  <c r="AM621" i="7"/>
  <c r="AO621" i="7" s="1"/>
  <c r="AQ621" i="7"/>
  <c r="AN455" i="7"/>
  <c r="AQ455" i="7"/>
  <c r="AM455" i="7"/>
  <c r="AO455" i="7" s="1"/>
  <c r="AD333" i="12"/>
  <c r="AE333" i="12" s="1"/>
  <c r="AP566" i="8"/>
  <c r="AO730" i="7"/>
  <c r="AF876" i="8"/>
  <c r="AJ876" i="8"/>
  <c r="AQ235" i="12"/>
  <c r="AN235" i="12"/>
  <c r="AP235" i="12" s="1"/>
  <c r="AQ401" i="8"/>
  <c r="AM401" i="8"/>
  <c r="AO401" i="8" s="1"/>
  <c r="AK675" i="7"/>
  <c r="AO453" i="8"/>
  <c r="AD823" i="8"/>
  <c r="AE823" i="8" s="1"/>
  <c r="AJ993" i="8"/>
  <c r="AJ994" i="8" s="1"/>
  <c r="AJ995" i="8" s="1"/>
  <c r="AJ996" i="8" s="1"/>
  <c r="AF993" i="8"/>
  <c r="AH993" i="8" s="1"/>
  <c r="AF994" i="8" s="1"/>
  <c r="AH994" i="8" s="1"/>
  <c r="AF995" i="8" s="1"/>
  <c r="AH995" i="8" s="1"/>
  <c r="AF996" i="8" s="1"/>
  <c r="AH996" i="8" s="1"/>
  <c r="AQ737" i="8"/>
  <c r="AM737" i="8"/>
  <c r="AO737" i="8" s="1"/>
  <c r="AK682" i="8"/>
  <c r="AL682" i="8" s="1"/>
  <c r="AK126" i="12"/>
  <c r="AG876" i="8"/>
  <c r="AO182" i="8"/>
  <c r="AP893" i="7"/>
  <c r="AM289" i="8" l="1"/>
  <c r="AN289" i="8"/>
  <c r="AP289" i="8" s="1"/>
  <c r="AI876" i="8"/>
  <c r="AI993" i="8"/>
  <c r="AG994" i="8" s="1"/>
  <c r="AI994" i="8" s="1"/>
  <c r="AG995" i="8" s="1"/>
  <c r="AI995" i="8" s="1"/>
  <c r="AG996" i="8" s="1"/>
  <c r="AI996" i="8" s="1"/>
  <c r="AD997" i="8" s="1"/>
  <c r="AK946" i="8" s="1"/>
  <c r="AO948" i="8" s="1"/>
  <c r="AO235" i="7"/>
  <c r="AI553" i="7"/>
  <c r="AG554" i="7" s="1"/>
  <c r="AI554" i="7" s="1"/>
  <c r="AG555" i="7" s="1"/>
  <c r="AI555" i="7" s="1"/>
  <c r="AG556" i="7" s="1"/>
  <c r="AI556" i="7" s="1"/>
  <c r="AD557" i="7" s="1"/>
  <c r="AK506" i="7" s="1"/>
  <c r="AO508" i="7" s="1"/>
  <c r="AM509" i="8"/>
  <c r="AN509" i="8"/>
  <c r="AP509" i="8" s="1"/>
  <c r="AM344" i="8"/>
  <c r="AN344" i="8"/>
  <c r="AM234" i="8"/>
  <c r="AN234" i="8"/>
  <c r="AP234" i="8" s="1"/>
  <c r="AH876" i="8"/>
  <c r="AK567" i="8"/>
  <c r="AL567" i="8" s="1"/>
  <c r="AD223" i="7"/>
  <c r="AE223" i="7" s="1"/>
  <c r="AG223" i="7" s="1"/>
  <c r="AJ333" i="12"/>
  <c r="AJ334" i="12" s="1"/>
  <c r="AJ335" i="12" s="1"/>
  <c r="AJ336" i="12" s="1"/>
  <c r="AF333" i="12"/>
  <c r="AO235" i="12"/>
  <c r="AN841" i="7"/>
  <c r="AQ841" i="7"/>
  <c r="AP398" i="7"/>
  <c r="AN1008" i="8"/>
  <c r="AQ1008" i="8"/>
  <c r="AO894" i="8"/>
  <c r="AQ509" i="8"/>
  <c r="AL731" i="7"/>
  <c r="AM731" i="7" s="1"/>
  <c r="AP180" i="12"/>
  <c r="AG333" i="12"/>
  <c r="AP737" i="8"/>
  <c r="AF823" i="8"/>
  <c r="AJ823" i="8"/>
  <c r="AP455" i="7"/>
  <c r="AM564" i="7"/>
  <c r="AN564" i="7"/>
  <c r="AM1008" i="8"/>
  <c r="AK346" i="7"/>
  <c r="AQ234" i="8"/>
  <c r="AO123" i="8"/>
  <c r="AQ288" i="7"/>
  <c r="AK289" i="7" s="1"/>
  <c r="AL289" i="7" s="1"/>
  <c r="AQ344" i="8"/>
  <c r="AM841" i="7"/>
  <c r="AO841" i="7" s="1"/>
  <c r="AL675" i="7"/>
  <c r="AG823" i="8"/>
  <c r="AP401" i="8"/>
  <c r="AQ1060" i="8"/>
  <c r="AM1060" i="8"/>
  <c r="AQ564" i="7"/>
  <c r="AO345" i="7"/>
  <c r="AD826" i="7"/>
  <c r="AE826" i="7" s="1"/>
  <c r="AO289" i="8"/>
  <c r="AL183" i="8"/>
  <c r="AM183" i="8" s="1"/>
  <c r="AK236" i="12"/>
  <c r="AD877" i="8"/>
  <c r="AK124" i="7"/>
  <c r="AL124" i="7" s="1"/>
  <c r="AQ124" i="7" s="1"/>
  <c r="AQ682" i="8"/>
  <c r="AM682" i="8"/>
  <c r="AN682" i="8"/>
  <c r="AP682" i="8" s="1"/>
  <c r="AK622" i="7"/>
  <c r="AL622" i="7" s="1"/>
  <c r="AN622" i="7" s="1"/>
  <c r="AP235" i="7"/>
  <c r="AM623" i="8"/>
  <c r="AO623" i="8" s="1"/>
  <c r="AQ623" i="8"/>
  <c r="AK895" i="8"/>
  <c r="AP453" i="8"/>
  <c r="AQ893" i="7"/>
  <c r="AK894" i="7" s="1"/>
  <c r="AL894" i="7" s="1"/>
  <c r="AL126" i="12"/>
  <c r="AN1060" i="8"/>
  <c r="AQ289" i="8"/>
  <c r="AI333" i="12" l="1"/>
  <c r="AG334" i="12" s="1"/>
  <c r="AI334" i="12" s="1"/>
  <c r="AG335" i="12" s="1"/>
  <c r="AI335" i="12" s="1"/>
  <c r="AG336" i="12" s="1"/>
  <c r="AI336" i="12" s="1"/>
  <c r="AI823" i="8"/>
  <c r="AP564" i="7"/>
  <c r="AO1060" i="8"/>
  <c r="AO1008" i="8"/>
  <c r="AO344" i="8"/>
  <c r="AM894" i="7"/>
  <c r="AN894" i="7"/>
  <c r="AP894" i="7" s="1"/>
  <c r="AM289" i="7"/>
  <c r="AN289" i="7"/>
  <c r="AP289" i="7" s="1"/>
  <c r="AM622" i="7"/>
  <c r="AO622" i="7" s="1"/>
  <c r="AK683" i="8"/>
  <c r="AM124" i="7"/>
  <c r="AN124" i="7"/>
  <c r="AP124" i="7" s="1"/>
  <c r="AQ675" i="7"/>
  <c r="AN675" i="7"/>
  <c r="AP675" i="7" s="1"/>
  <c r="AP123" i="8"/>
  <c r="AP841" i="7"/>
  <c r="AO234" i="8"/>
  <c r="AQ894" i="7"/>
  <c r="AF223" i="7"/>
  <c r="AH223" i="7" s="1"/>
  <c r="AF224" i="7" s="1"/>
  <c r="AH224" i="7" s="1"/>
  <c r="AF225" i="7" s="1"/>
  <c r="AH225" i="7" s="1"/>
  <c r="AF226" i="7" s="1"/>
  <c r="AH226" i="7" s="1"/>
  <c r="AJ223" i="7"/>
  <c r="AJ224" i="7" s="1"/>
  <c r="AJ225" i="7" s="1"/>
  <c r="AJ226" i="7" s="1"/>
  <c r="AM567" i="8"/>
  <c r="AQ567" i="8"/>
  <c r="AQ622" i="7"/>
  <c r="AP1008" i="8"/>
  <c r="AD824" i="8"/>
  <c r="AO564" i="7"/>
  <c r="AE877" i="8"/>
  <c r="AM675" i="7"/>
  <c r="AP948" i="8"/>
  <c r="AH823" i="8"/>
  <c r="AK235" i="8"/>
  <c r="AK236" i="7"/>
  <c r="AL236" i="7" s="1"/>
  <c r="AN236" i="7" s="1"/>
  <c r="AK181" i="12"/>
  <c r="AL181" i="12" s="1"/>
  <c r="AN181" i="12" s="1"/>
  <c r="AP623" i="8"/>
  <c r="AP344" i="8"/>
  <c r="AI223" i="7"/>
  <c r="AG224" i="7" s="1"/>
  <c r="AI224" i="7" s="1"/>
  <c r="AG225" i="7" s="1"/>
  <c r="AI225" i="7" s="1"/>
  <c r="AG226" i="7" s="1"/>
  <c r="AI226" i="7" s="1"/>
  <c r="AK402" i="8"/>
  <c r="AL402" i="8" s="1"/>
  <c r="AN402" i="8" s="1"/>
  <c r="AN567" i="8"/>
  <c r="AQ453" i="8"/>
  <c r="AK456" i="7"/>
  <c r="AL456" i="7" s="1"/>
  <c r="AN456" i="7" s="1"/>
  <c r="AQ398" i="7"/>
  <c r="AK738" i="8"/>
  <c r="AL738" i="8" s="1"/>
  <c r="AN738" i="8" s="1"/>
  <c r="AJ826" i="7"/>
  <c r="AF826" i="7"/>
  <c r="AH826" i="7" s="1"/>
  <c r="AL236" i="12"/>
  <c r="AN126" i="12"/>
  <c r="AP126" i="12" s="1"/>
  <c r="AQ126" i="12"/>
  <c r="AG826" i="7"/>
  <c r="AP508" i="7"/>
  <c r="AK510" i="8"/>
  <c r="AO682" i="8"/>
  <c r="AL895" i="8"/>
  <c r="AK565" i="7"/>
  <c r="AN183" i="8"/>
  <c r="AP183" i="8" s="1"/>
  <c r="AQ183" i="8"/>
  <c r="AQ289" i="7"/>
  <c r="AP1060" i="8"/>
  <c r="AQ731" i="7"/>
  <c r="AN731" i="7"/>
  <c r="AP731" i="7" s="1"/>
  <c r="AM126" i="12"/>
  <c r="AL346" i="7"/>
  <c r="AK290" i="8"/>
  <c r="AL290" i="8" s="1"/>
  <c r="AH333" i="12"/>
  <c r="AF334" i="12" s="1"/>
  <c r="AH334" i="12" s="1"/>
  <c r="AF335" i="12" s="1"/>
  <c r="AH335" i="12" s="1"/>
  <c r="AF336" i="12" s="1"/>
  <c r="AH336" i="12" s="1"/>
  <c r="AD337" i="12" s="1"/>
  <c r="AK286" i="12" s="1"/>
  <c r="AO509" i="8"/>
  <c r="AO567" i="8" l="1"/>
  <c r="AO731" i="7"/>
  <c r="AN290" i="8"/>
  <c r="AM290" i="8"/>
  <c r="AO290" i="8" s="1"/>
  <c r="AQ290" i="8"/>
  <c r="AQ236" i="12"/>
  <c r="AN236" i="12"/>
  <c r="AO288" i="12"/>
  <c r="AQ895" i="8"/>
  <c r="AN895" i="8"/>
  <c r="AP895" i="8" s="1"/>
  <c r="AQ346" i="7"/>
  <c r="AN346" i="7"/>
  <c r="AM346" i="7"/>
  <c r="AO346" i="7" s="1"/>
  <c r="AO126" i="12"/>
  <c r="AO183" i="8"/>
  <c r="AQ948" i="8"/>
  <c r="AK949" i="8" s="1"/>
  <c r="AL949" i="8" s="1"/>
  <c r="AO675" i="7"/>
  <c r="AK290" i="7"/>
  <c r="AK127" i="12"/>
  <c r="AK1009" i="8"/>
  <c r="AL1009" i="8" s="1"/>
  <c r="AN1009" i="8" s="1"/>
  <c r="AM738" i="8"/>
  <c r="AO738" i="8" s="1"/>
  <c r="AQ738" i="8"/>
  <c r="AM895" i="8"/>
  <c r="AL683" i="8"/>
  <c r="AK345" i="8"/>
  <c r="AL345" i="8" s="1"/>
  <c r="AN345" i="8"/>
  <c r="AK624" i="8"/>
  <c r="AL624" i="8" s="1"/>
  <c r="AK732" i="7"/>
  <c r="AL732" i="7" s="1"/>
  <c r="AK454" i="8"/>
  <c r="AL454" i="8" s="1"/>
  <c r="AJ877" i="8"/>
  <c r="AG877" i="8"/>
  <c r="AO289" i="7"/>
  <c r="AK184" i="8"/>
  <c r="AQ402" i="8"/>
  <c r="AM402" i="8"/>
  <c r="AO402" i="8" s="1"/>
  <c r="AO124" i="7"/>
  <c r="AE824" i="8"/>
  <c r="AK399" i="7"/>
  <c r="AL399" i="7" s="1"/>
  <c r="AM456" i="7"/>
  <c r="AO456" i="7" s="1"/>
  <c r="AQ456" i="7"/>
  <c r="AL235" i="8"/>
  <c r="AK842" i="7"/>
  <c r="AL842" i="7" s="1"/>
  <c r="AQ508" i="7"/>
  <c r="AI826" i="7"/>
  <c r="AF877" i="8"/>
  <c r="AK895" i="7"/>
  <c r="AM236" i="7"/>
  <c r="AO236" i="7" s="1"/>
  <c r="AQ236" i="7"/>
  <c r="AM236" i="12"/>
  <c r="AK676" i="7"/>
  <c r="AL510" i="8"/>
  <c r="AK125" i="7"/>
  <c r="AD227" i="7"/>
  <c r="AK176" i="7" s="1"/>
  <c r="AQ181" i="12"/>
  <c r="AM181" i="12"/>
  <c r="AO181" i="12" s="1"/>
  <c r="AP622" i="7"/>
  <c r="AK1061" i="8"/>
  <c r="AL1061" i="8" s="1"/>
  <c r="AN1061" i="8"/>
  <c r="AP567" i="8"/>
  <c r="AL565" i="7"/>
  <c r="AQ123" i="8"/>
  <c r="AO894" i="7"/>
  <c r="AH877" i="8" l="1"/>
  <c r="AP402" i="8"/>
  <c r="AO236" i="12"/>
  <c r="AM732" i="7"/>
  <c r="AQ732" i="7"/>
  <c r="AN732" i="7"/>
  <c r="AP732" i="7" s="1"/>
  <c r="AM949" i="8"/>
  <c r="AN949" i="8"/>
  <c r="AP949" i="8" s="1"/>
  <c r="AM454" i="8"/>
  <c r="AN454" i="8"/>
  <c r="AP454" i="8" s="1"/>
  <c r="AG824" i="8"/>
  <c r="AI824" i="8" s="1"/>
  <c r="AJ824" i="8"/>
  <c r="AQ624" i="8"/>
  <c r="AM624" i="8"/>
  <c r="AP288" i="12"/>
  <c r="AL125" i="7"/>
  <c r="AO178" i="7"/>
  <c r="AO895" i="8"/>
  <c r="AP236" i="7"/>
  <c r="AQ1009" i="8"/>
  <c r="AM1009" i="8"/>
  <c r="AO1009" i="8" s="1"/>
  <c r="AQ683" i="8"/>
  <c r="AN683" i="8"/>
  <c r="AQ565" i="7"/>
  <c r="AN565" i="7"/>
  <c r="AP290" i="8"/>
  <c r="AP346" i="7"/>
  <c r="AQ1061" i="8"/>
  <c r="AM1061" i="8"/>
  <c r="AO1061" i="8" s="1"/>
  <c r="AK896" i="8"/>
  <c r="AK623" i="7"/>
  <c r="AL623" i="7" s="1"/>
  <c r="AN624" i="8"/>
  <c r="AP236" i="12"/>
  <c r="AD827" i="7"/>
  <c r="AE827" i="7" s="1"/>
  <c r="AG827" i="7" s="1"/>
  <c r="AL895" i="7"/>
  <c r="AL676" i="7"/>
  <c r="AK124" i="8"/>
  <c r="AL124" i="8" s="1"/>
  <c r="AQ124" i="8" s="1"/>
  <c r="AQ842" i="7"/>
  <c r="AM842" i="7"/>
  <c r="AQ510" i="8"/>
  <c r="AN510" i="8"/>
  <c r="AN235" i="8"/>
  <c r="AQ235" i="8"/>
  <c r="AI877" i="8"/>
  <c r="AL184" i="8"/>
  <c r="AP738" i="8"/>
  <c r="AM399" i="7"/>
  <c r="AN399" i="7"/>
  <c r="AQ399" i="7"/>
  <c r="AK403" i="8"/>
  <c r="AL403" i="8" s="1"/>
  <c r="AF824" i="8"/>
  <c r="AQ345" i="8"/>
  <c r="AM345" i="8"/>
  <c r="AO345" i="8" s="1"/>
  <c r="AK509" i="7"/>
  <c r="AL509" i="7" s="1"/>
  <c r="AQ509" i="7" s="1"/>
  <c r="AM683" i="8"/>
  <c r="AO683" i="8" s="1"/>
  <c r="AQ454" i="8"/>
  <c r="AP456" i="7"/>
  <c r="AQ949" i="8"/>
  <c r="AN842" i="7"/>
  <c r="AP842" i="7" s="1"/>
  <c r="AL290" i="7"/>
  <c r="AM290" i="7" s="1"/>
  <c r="AM565" i="7"/>
  <c r="AK568" i="8"/>
  <c r="AL568" i="8" s="1"/>
  <c r="AN568" i="8" s="1"/>
  <c r="AM510" i="8"/>
  <c r="AM235" i="8"/>
  <c r="AL127" i="12"/>
  <c r="AM127" i="12" s="1"/>
  <c r="AP181" i="12"/>
  <c r="AP510" i="8" l="1"/>
  <c r="AO624" i="8"/>
  <c r="AP565" i="7"/>
  <c r="AK566" i="7" s="1"/>
  <c r="AO235" i="8"/>
  <c r="AO510" i="8"/>
  <c r="AP399" i="7"/>
  <c r="AM403" i="8"/>
  <c r="AQ403" i="8"/>
  <c r="AN403" i="8"/>
  <c r="AP403" i="8" s="1"/>
  <c r="AK843" i="7"/>
  <c r="AK347" i="7"/>
  <c r="AL347" i="7" s="1"/>
  <c r="AK457" i="7"/>
  <c r="AL457" i="7" s="1"/>
  <c r="AN184" i="8"/>
  <c r="AQ184" i="8"/>
  <c r="AM184" i="8"/>
  <c r="AP1061" i="8"/>
  <c r="AK950" i="8"/>
  <c r="AP683" i="8"/>
  <c r="AP345" i="8"/>
  <c r="AO949" i="8"/>
  <c r="AQ676" i="7"/>
  <c r="AN676" i="7"/>
  <c r="AM676" i="7"/>
  <c r="AO676" i="7" s="1"/>
  <c r="AO399" i="7"/>
  <c r="AD825" i="8"/>
  <c r="AK739" i="8"/>
  <c r="AL739" i="8" s="1"/>
  <c r="AK182" i="12"/>
  <c r="AL182" i="12" s="1"/>
  <c r="AN182" i="12" s="1"/>
  <c r="AK291" i="8"/>
  <c r="AL291" i="8" s="1"/>
  <c r="AN291" i="8" s="1"/>
  <c r="AQ127" i="12"/>
  <c r="AN127" i="12"/>
  <c r="AP127" i="12" s="1"/>
  <c r="AK237" i="12"/>
  <c r="AL237" i="12" s="1"/>
  <c r="AN237" i="12" s="1"/>
  <c r="AP235" i="8"/>
  <c r="AM568" i="8"/>
  <c r="AO568" i="8" s="1"/>
  <c r="AQ568" i="8"/>
  <c r="AQ623" i="7"/>
  <c r="AM623" i="7"/>
  <c r="AO623" i="7" s="1"/>
  <c r="AQ125" i="7"/>
  <c r="AN125" i="7"/>
  <c r="AP125" i="7" s="1"/>
  <c r="AK733" i="7"/>
  <c r="AO290" i="7"/>
  <c r="AK400" i="7"/>
  <c r="AQ895" i="7"/>
  <c r="AN895" i="7"/>
  <c r="AJ827" i="7"/>
  <c r="AF827" i="7"/>
  <c r="AH827" i="7" s="1"/>
  <c r="AP178" i="7"/>
  <c r="AK237" i="7"/>
  <c r="AL237" i="7" s="1"/>
  <c r="AH824" i="8"/>
  <c r="AO454" i="8"/>
  <c r="AO842" i="7"/>
  <c r="AO565" i="7"/>
  <c r="AN623" i="7"/>
  <c r="AM125" i="7"/>
  <c r="AM895" i="7"/>
  <c r="AM509" i="7"/>
  <c r="AN509" i="7"/>
  <c r="AP509" i="7" s="1"/>
  <c r="AP1009" i="8"/>
  <c r="AD878" i="8"/>
  <c r="AE878" i="8" s="1"/>
  <c r="AK455" i="8"/>
  <c r="AP624" i="8"/>
  <c r="AL896" i="8"/>
  <c r="AM896" i="8" s="1"/>
  <c r="AK511" i="8"/>
  <c r="AL511" i="8" s="1"/>
  <c r="AQ290" i="7"/>
  <c r="AN290" i="7"/>
  <c r="AP290" i="7" s="1"/>
  <c r="AM124" i="8"/>
  <c r="AN124" i="8"/>
  <c r="AQ288" i="12"/>
  <c r="AO732" i="7"/>
  <c r="AP184" i="8" l="1"/>
  <c r="AO895" i="7"/>
  <c r="AP124" i="8"/>
  <c r="AK125" i="8" s="1"/>
  <c r="AM511" i="8"/>
  <c r="AN511" i="8"/>
  <c r="AP511" i="8" s="1"/>
  <c r="AQ511" i="8"/>
  <c r="AO124" i="8"/>
  <c r="AQ457" i="7"/>
  <c r="AM457" i="7"/>
  <c r="AM347" i="7"/>
  <c r="AO347" i="7" s="1"/>
  <c r="AQ347" i="7"/>
  <c r="AQ178" i="7"/>
  <c r="AK179" i="7" s="1"/>
  <c r="AL179" i="7" s="1"/>
  <c r="AK404" i="8"/>
  <c r="AO403" i="8"/>
  <c r="AK185" i="8"/>
  <c r="AK291" i="7"/>
  <c r="AL291" i="7" s="1"/>
  <c r="AK684" i="8"/>
  <c r="AL684" i="8" s="1"/>
  <c r="AN684" i="8" s="1"/>
  <c r="AN347" i="7"/>
  <c r="AQ182" i="12"/>
  <c r="AM182" i="12"/>
  <c r="AO182" i="12" s="1"/>
  <c r="AO125" i="7"/>
  <c r="AI827" i="7"/>
  <c r="AF878" i="8"/>
  <c r="AJ878" i="8"/>
  <c r="AK1010" i="8"/>
  <c r="AL1010" i="8" s="1"/>
  <c r="AL566" i="7"/>
  <c r="AK1062" i="8"/>
  <c r="AL1062" i="8" s="1"/>
  <c r="AN1062" i="8" s="1"/>
  <c r="AO127" i="12"/>
  <c r="AQ237" i="12"/>
  <c r="AM237" i="12"/>
  <c r="AO237" i="12" s="1"/>
  <c r="AK128" i="12"/>
  <c r="AN457" i="7"/>
  <c r="AK346" i="8"/>
  <c r="AL346" i="8" s="1"/>
  <c r="AN346" i="8" s="1"/>
  <c r="AN896" i="8"/>
  <c r="AP896" i="8" s="1"/>
  <c r="AQ896" i="8"/>
  <c r="AK625" i="8"/>
  <c r="AL625" i="8" s="1"/>
  <c r="AN625" i="8" s="1"/>
  <c r="AM739" i="8"/>
  <c r="AQ739" i="8"/>
  <c r="AP623" i="7"/>
  <c r="AL733" i="7"/>
  <c r="AM733" i="7" s="1"/>
  <c r="AK510" i="7"/>
  <c r="AL843" i="7"/>
  <c r="AK236" i="8"/>
  <c r="AL236" i="8" s="1"/>
  <c r="AN236" i="8"/>
  <c r="AO184" i="8"/>
  <c r="AE825" i="8"/>
  <c r="AQ237" i="7"/>
  <c r="AM237" i="7"/>
  <c r="AP676" i="7"/>
  <c r="AN237" i="7"/>
  <c r="AK126" i="7"/>
  <c r="AL950" i="8"/>
  <c r="AM950" i="8" s="1"/>
  <c r="AQ291" i="8"/>
  <c r="AM291" i="8"/>
  <c r="AO291" i="8" s="1"/>
  <c r="AP182" i="12"/>
  <c r="AP895" i="7"/>
  <c r="AN739" i="8"/>
  <c r="AP739" i="8" s="1"/>
  <c r="AG878" i="8"/>
  <c r="AK289" i="12"/>
  <c r="AL289" i="12" s="1"/>
  <c r="AO509" i="7"/>
  <c r="AL455" i="8"/>
  <c r="AL400" i="7"/>
  <c r="AM400" i="7" s="1"/>
  <c r="AP568" i="8"/>
  <c r="AO457" i="7" l="1"/>
  <c r="AP237" i="7"/>
  <c r="AH878" i="8"/>
  <c r="AM179" i="7"/>
  <c r="AN179" i="7"/>
  <c r="AP179" i="7" s="1"/>
  <c r="AQ291" i="7"/>
  <c r="AN291" i="7"/>
  <c r="AM291" i="7"/>
  <c r="AO291" i="7" s="1"/>
  <c r="AK740" i="8"/>
  <c r="AP1062" i="8"/>
  <c r="AG825" i="8"/>
  <c r="AI825" i="8" s="1"/>
  <c r="AJ825" i="8"/>
  <c r="AQ566" i="7"/>
  <c r="AN566" i="7"/>
  <c r="AP566" i="7" s="1"/>
  <c r="AN455" i="8"/>
  <c r="AQ455" i="8"/>
  <c r="AD828" i="7"/>
  <c r="AE828" i="7" s="1"/>
  <c r="AM455" i="8"/>
  <c r="AP291" i="8"/>
  <c r="AP347" i="7"/>
  <c r="AQ1062" i="8"/>
  <c r="AM1062" i="8"/>
  <c r="AO1062" i="8" s="1"/>
  <c r="AK569" i="8"/>
  <c r="AL569" i="8" s="1"/>
  <c r="AN569" i="8"/>
  <c r="AM1010" i="8"/>
  <c r="AQ1010" i="8"/>
  <c r="AQ400" i="7"/>
  <c r="AN400" i="7"/>
  <c r="AP400" i="7" s="1"/>
  <c r="AL125" i="8"/>
  <c r="AM125" i="8" s="1"/>
  <c r="AL404" i="8"/>
  <c r="AM404" i="8" s="1"/>
  <c r="AL126" i="7"/>
  <c r="AL510" i="7"/>
  <c r="AI878" i="8"/>
  <c r="AK238" i="7"/>
  <c r="AK512" i="8"/>
  <c r="AP625" i="8"/>
  <c r="AK896" i="7"/>
  <c r="AL896" i="7" s="1"/>
  <c r="AF825" i="8"/>
  <c r="AK183" i="12"/>
  <c r="AL183" i="12" s="1"/>
  <c r="AN183" i="12" s="1"/>
  <c r="AM566" i="7"/>
  <c r="AM236" i="8"/>
  <c r="AO236" i="8" s="1"/>
  <c r="AQ236" i="8"/>
  <c r="AQ843" i="7"/>
  <c r="AN843" i="7"/>
  <c r="AP843" i="7" s="1"/>
  <c r="AP457" i="7"/>
  <c r="AM289" i="12"/>
  <c r="AN289" i="12"/>
  <c r="AP289" i="12" s="1"/>
  <c r="AK677" i="7"/>
  <c r="AL677" i="7" s="1"/>
  <c r="AO739" i="8"/>
  <c r="AM684" i="8"/>
  <c r="AO684" i="8" s="1"/>
  <c r="AQ684" i="8"/>
  <c r="AO511" i="8"/>
  <c r="AL185" i="8"/>
  <c r="AK897" i="8"/>
  <c r="AN1010" i="8"/>
  <c r="AQ346" i="8"/>
  <c r="AM346" i="8"/>
  <c r="AO346" i="8" s="1"/>
  <c r="AM843" i="7"/>
  <c r="AQ950" i="8"/>
  <c r="AN950" i="8"/>
  <c r="AP950" i="8" s="1"/>
  <c r="AQ733" i="7"/>
  <c r="AN733" i="7"/>
  <c r="AP733" i="7" s="1"/>
  <c r="AO896" i="8"/>
  <c r="AK624" i="7"/>
  <c r="AL624" i="7" s="1"/>
  <c r="AQ289" i="12"/>
  <c r="AO237" i="7"/>
  <c r="AM625" i="8"/>
  <c r="AO625" i="8" s="1"/>
  <c r="AQ625" i="8"/>
  <c r="AL128" i="12"/>
  <c r="AM128" i="12" s="1"/>
  <c r="AQ179" i="7"/>
  <c r="AP237" i="12"/>
  <c r="AO455" i="8" l="1"/>
  <c r="AP1010" i="8"/>
  <c r="AO950" i="8"/>
  <c r="AP684" i="8"/>
  <c r="AO179" i="7"/>
  <c r="AP346" i="8"/>
  <c r="AK1011" i="8"/>
  <c r="AL238" i="7"/>
  <c r="AM238" i="7" s="1"/>
  <c r="AK685" i="8"/>
  <c r="AL685" i="8" s="1"/>
  <c r="AQ185" i="8"/>
  <c r="AN185" i="8"/>
  <c r="AL512" i="8"/>
  <c r="AD879" i="8"/>
  <c r="AE879" i="8" s="1"/>
  <c r="AG879" i="8" s="1"/>
  <c r="AP236" i="8"/>
  <c r="AM569" i="8"/>
  <c r="AO569" i="8" s="1"/>
  <c r="AQ569" i="8"/>
  <c r="AL740" i="8"/>
  <c r="AM740" i="8" s="1"/>
  <c r="AQ510" i="7"/>
  <c r="AN510" i="7"/>
  <c r="AO733" i="7"/>
  <c r="AQ128" i="12"/>
  <c r="AN128" i="12"/>
  <c r="AP128" i="12" s="1"/>
  <c r="AO289" i="12"/>
  <c r="AK626" i="8"/>
  <c r="AL626" i="8"/>
  <c r="AN626" i="8" s="1"/>
  <c r="AD826" i="8"/>
  <c r="AF828" i="7"/>
  <c r="AH828" i="7" s="1"/>
  <c r="AF829" i="7" s="1"/>
  <c r="AH829" i="7" s="1"/>
  <c r="AF830" i="7" s="1"/>
  <c r="AH830" i="7" s="1"/>
  <c r="AF831" i="7" s="1"/>
  <c r="AH831" i="7" s="1"/>
  <c r="AJ828" i="7"/>
  <c r="AJ829" i="7" s="1"/>
  <c r="AJ830" i="7" s="1"/>
  <c r="AJ831" i="7" s="1"/>
  <c r="AO1010" i="8"/>
  <c r="AQ896" i="7"/>
  <c r="AM896" i="7"/>
  <c r="AK567" i="7"/>
  <c r="AK180" i="7"/>
  <c r="AK348" i="7"/>
  <c r="AL348" i="7" s="1"/>
  <c r="AN348" i="7" s="1"/>
  <c r="AK458" i="7"/>
  <c r="AL458" i="7" s="1"/>
  <c r="AN458" i="7"/>
  <c r="AK292" i="8"/>
  <c r="AL292" i="8" s="1"/>
  <c r="AN292" i="8" s="1"/>
  <c r="AM183" i="12"/>
  <c r="AO183" i="12" s="1"/>
  <c r="AK401" i="7"/>
  <c r="AM185" i="8"/>
  <c r="AP455" i="8"/>
  <c r="AK951" i="8"/>
  <c r="AL951" i="8" s="1"/>
  <c r="AM510" i="7"/>
  <c r="AO510" i="7" s="1"/>
  <c r="AH825" i="8"/>
  <c r="AN126" i="7"/>
  <c r="AQ126" i="7"/>
  <c r="AP291" i="7"/>
  <c r="AN404" i="8"/>
  <c r="AP404" i="8" s="1"/>
  <c r="AQ404" i="8"/>
  <c r="AK290" i="12"/>
  <c r="AQ125" i="8"/>
  <c r="AN125" i="8"/>
  <c r="AP125" i="8" s="1"/>
  <c r="AK1063" i="8"/>
  <c r="AL1063" i="8" s="1"/>
  <c r="AK844" i="7"/>
  <c r="AQ624" i="7"/>
  <c r="AM624" i="7"/>
  <c r="AG828" i="7"/>
  <c r="AN624" i="7"/>
  <c r="AP624" i="7" s="1"/>
  <c r="AL897" i="8"/>
  <c r="AQ183" i="12"/>
  <c r="AK734" i="7"/>
  <c r="AO566" i="7"/>
  <c r="AO400" i="7"/>
  <c r="AQ677" i="7"/>
  <c r="AM677" i="7"/>
  <c r="AN677" i="7"/>
  <c r="AK238" i="12"/>
  <c r="AL238" i="12" s="1"/>
  <c r="AN238" i="12" s="1"/>
  <c r="AO843" i="7"/>
  <c r="AN896" i="7"/>
  <c r="AM126" i="7"/>
  <c r="AO185" i="8" l="1"/>
  <c r="AO126" i="7"/>
  <c r="AO677" i="7"/>
  <c r="AP569" i="8"/>
  <c r="AQ626" i="8"/>
  <c r="AO128" i="12"/>
  <c r="AL180" i="7"/>
  <c r="AM180" i="7" s="1"/>
  <c r="AO896" i="7"/>
  <c r="AN1063" i="8"/>
  <c r="AQ1063" i="8"/>
  <c r="AM1063" i="8"/>
  <c r="AO1063" i="8" s="1"/>
  <c r="AQ685" i="8"/>
  <c r="AM685" i="8"/>
  <c r="AN685" i="8"/>
  <c r="AP685" i="8" s="1"/>
  <c r="AP348" i="7"/>
  <c r="AM951" i="8"/>
  <c r="AN951" i="8"/>
  <c r="AQ951" i="8"/>
  <c r="AL734" i="7"/>
  <c r="AL401" i="7"/>
  <c r="AM401" i="7" s="1"/>
  <c r="AK126" i="8"/>
  <c r="AK292" i="7"/>
  <c r="AL292" i="7" s="1"/>
  <c r="AN292" i="7" s="1"/>
  <c r="AM626" i="8"/>
  <c r="AO626" i="8" s="1"/>
  <c r="AK625" i="7"/>
  <c r="AI828" i="7"/>
  <c r="AG829" i="7" s="1"/>
  <c r="AI829" i="7" s="1"/>
  <c r="AG830" i="7" s="1"/>
  <c r="AI830" i="7" s="1"/>
  <c r="AG831" i="7" s="1"/>
  <c r="AI831" i="7" s="1"/>
  <c r="AD832" i="7" s="1"/>
  <c r="AK781" i="7" s="1"/>
  <c r="AQ512" i="8"/>
  <c r="AN512" i="8"/>
  <c r="AO125" i="8"/>
  <c r="AM292" i="8"/>
  <c r="AO292" i="8" s="1"/>
  <c r="AQ292" i="8"/>
  <c r="AP510" i="7"/>
  <c r="AN238" i="7"/>
  <c r="AP238" i="7" s="1"/>
  <c r="AQ238" i="7"/>
  <c r="AK347" i="8"/>
  <c r="AL347" i="8" s="1"/>
  <c r="AK237" i="8"/>
  <c r="AL237" i="8" s="1"/>
  <c r="AK405" i="8"/>
  <c r="AP896" i="7"/>
  <c r="AM512" i="8"/>
  <c r="AK570" i="8"/>
  <c r="AL570" i="8" s="1"/>
  <c r="AL567" i="7"/>
  <c r="AM348" i="7"/>
  <c r="AO348" i="7" s="1"/>
  <c r="AQ348" i="7"/>
  <c r="AL844" i="7"/>
  <c r="AM844" i="7" s="1"/>
  <c r="AO624" i="7"/>
  <c r="AP126" i="7"/>
  <c r="AL290" i="12"/>
  <c r="AP183" i="12"/>
  <c r="AL1011" i="8"/>
  <c r="AM458" i="7"/>
  <c r="AO458" i="7" s="1"/>
  <c r="AQ458" i="7"/>
  <c r="AQ740" i="8"/>
  <c r="AN740" i="8"/>
  <c r="AP740" i="8" s="1"/>
  <c r="AK456" i="8"/>
  <c r="AL456" i="8" s="1"/>
  <c r="AQ897" i="8"/>
  <c r="AN897" i="8"/>
  <c r="AM897" i="8"/>
  <c r="AO897" i="8" s="1"/>
  <c r="AF879" i="8"/>
  <c r="AH879" i="8" s="1"/>
  <c r="AJ879" i="8"/>
  <c r="AM238" i="12"/>
  <c r="AO238" i="12" s="1"/>
  <c r="AQ238" i="12"/>
  <c r="AP677" i="7"/>
  <c r="AE826" i="8"/>
  <c r="AK129" i="12"/>
  <c r="AL129" i="12" s="1"/>
  <c r="AP185" i="8"/>
  <c r="AO404" i="8"/>
  <c r="AQ180" i="7" l="1"/>
  <c r="AP951" i="8"/>
  <c r="AP292" i="8"/>
  <c r="AO238" i="7"/>
  <c r="AO512" i="8"/>
  <c r="AN180" i="7"/>
  <c r="AO180" i="7" s="1"/>
  <c r="AP238" i="12"/>
  <c r="AK239" i="12" s="1"/>
  <c r="AL239" i="12" s="1"/>
  <c r="AQ129" i="12"/>
  <c r="AN129" i="12"/>
  <c r="AM129" i="12"/>
  <c r="AO129" i="12" s="1"/>
  <c r="AO783" i="7"/>
  <c r="AQ570" i="8"/>
  <c r="AM570" i="8"/>
  <c r="AN570" i="8"/>
  <c r="AP570" i="8" s="1"/>
  <c r="AM347" i="8"/>
  <c r="AQ347" i="8"/>
  <c r="AO951" i="8"/>
  <c r="AG826" i="8"/>
  <c r="AJ826" i="8"/>
  <c r="AF826" i="8"/>
  <c r="AH826" i="8" s="1"/>
  <c r="AK511" i="7"/>
  <c r="AL511" i="7" s="1"/>
  <c r="AL405" i="8"/>
  <c r="AN844" i="7"/>
  <c r="AP844" i="7" s="1"/>
  <c r="AQ844" i="7"/>
  <c r="AK293" i="8"/>
  <c r="AL293" i="8" s="1"/>
  <c r="AN293" i="8" s="1"/>
  <c r="AK686" i="8"/>
  <c r="AN734" i="7"/>
  <c r="AP734" i="7" s="1"/>
  <c r="AQ734" i="7"/>
  <c r="AL349" i="7"/>
  <c r="AN349" i="7" s="1"/>
  <c r="AP1063" i="8"/>
  <c r="AK184" i="12"/>
  <c r="AL184" i="12" s="1"/>
  <c r="AN184" i="12" s="1"/>
  <c r="AM734" i="7"/>
  <c r="AN567" i="7"/>
  <c r="AQ567" i="7"/>
  <c r="AI879" i="8"/>
  <c r="AL625" i="7"/>
  <c r="AM625" i="7" s="1"/>
  <c r="AM292" i="7"/>
  <c r="AO292" i="7" s="1"/>
  <c r="AQ292" i="7"/>
  <c r="AP180" i="7"/>
  <c r="AK349" i="7"/>
  <c r="AK239" i="7"/>
  <c r="AL239" i="7" s="1"/>
  <c r="AQ1011" i="8"/>
  <c r="AN1011" i="8"/>
  <c r="AO685" i="8"/>
  <c r="AM1011" i="8"/>
  <c r="AO1011" i="8" s="1"/>
  <c r="AK897" i="7"/>
  <c r="AL897" i="7" s="1"/>
  <c r="AN897" i="7" s="1"/>
  <c r="AP458" i="7"/>
  <c r="AL126" i="8"/>
  <c r="AM126" i="8" s="1"/>
  <c r="AP897" i="8"/>
  <c r="AQ237" i="8"/>
  <c r="AM237" i="8"/>
  <c r="AP626" i="8"/>
  <c r="AM456" i="8"/>
  <c r="AQ456" i="8"/>
  <c r="AK186" i="8"/>
  <c r="AL186" i="8" s="1"/>
  <c r="AN186" i="8" s="1"/>
  <c r="AN456" i="8"/>
  <c r="AP456" i="8" s="1"/>
  <c r="AN347" i="8"/>
  <c r="AK741" i="8"/>
  <c r="AK952" i="8"/>
  <c r="AN401" i="7"/>
  <c r="AP401" i="7" s="1"/>
  <c r="AQ401" i="7"/>
  <c r="AK678" i="7"/>
  <c r="AL678" i="7" s="1"/>
  <c r="AP512" i="8"/>
  <c r="AQ290" i="12"/>
  <c r="AN290" i="12"/>
  <c r="AM290" i="12"/>
  <c r="AO290" i="12" s="1"/>
  <c r="AK127" i="7"/>
  <c r="AL127" i="7" s="1"/>
  <c r="AN127" i="7" s="1"/>
  <c r="AM567" i="7"/>
  <c r="AO567" i="7" s="1"/>
  <c r="AN237" i="8"/>
  <c r="AO740" i="8"/>
  <c r="AP347" i="8" l="1"/>
  <c r="AN239" i="7"/>
  <c r="AQ239" i="7"/>
  <c r="AO237" i="8"/>
  <c r="AN239" i="12"/>
  <c r="AQ239" i="12"/>
  <c r="AM239" i="12"/>
  <c r="AO239" i="12" s="1"/>
  <c r="AP127" i="7"/>
  <c r="AM293" i="8"/>
  <c r="AO293" i="8" s="1"/>
  <c r="AQ897" i="7"/>
  <c r="AM897" i="7"/>
  <c r="AO897" i="7" s="1"/>
  <c r="AO347" i="8"/>
  <c r="AL686" i="8"/>
  <c r="AM686" i="8" s="1"/>
  <c r="AM511" i="7"/>
  <c r="AQ511" i="7"/>
  <c r="AP783" i="7"/>
  <c r="AO844" i="7"/>
  <c r="AL952" i="8"/>
  <c r="AM127" i="7"/>
  <c r="AO127" i="7" s="1"/>
  <c r="AQ127" i="7"/>
  <c r="AK181" i="7"/>
  <c r="AL181" i="7" s="1"/>
  <c r="AN181" i="7" s="1"/>
  <c r="AK459" i="7"/>
  <c r="AL459" i="7" s="1"/>
  <c r="AN459" i="7" s="1"/>
  <c r="AM239" i="7"/>
  <c r="AO239" i="7" s="1"/>
  <c r="AQ349" i="7"/>
  <c r="AP567" i="7"/>
  <c r="AM678" i="7"/>
  <c r="AQ678" i="7"/>
  <c r="AK627" i="8"/>
  <c r="AL627" i="8" s="1"/>
  <c r="AN627" i="8" s="1"/>
  <c r="AQ293" i="8"/>
  <c r="AK402" i="7"/>
  <c r="AK898" i="8"/>
  <c r="AL898" i="8" s="1"/>
  <c r="AO401" i="7"/>
  <c r="AM349" i="7"/>
  <c r="AO349" i="7" s="1"/>
  <c r="AP290" i="12"/>
  <c r="AD880" i="8"/>
  <c r="AE880" i="8" s="1"/>
  <c r="AG880" i="8" s="1"/>
  <c r="AN405" i="8"/>
  <c r="AQ405" i="8"/>
  <c r="AP292" i="7"/>
  <c r="AO456" i="8"/>
  <c r="AM405" i="8"/>
  <c r="AO405" i="8" s="1"/>
  <c r="AO734" i="7"/>
  <c r="AM184" i="12"/>
  <c r="AO184" i="12" s="1"/>
  <c r="AQ184" i="12"/>
  <c r="AP237" i="8"/>
  <c r="AP129" i="12"/>
  <c r="AK1064" i="8"/>
  <c r="AL1064" i="8" s="1"/>
  <c r="AN1064" i="8" s="1"/>
  <c r="AN126" i="8"/>
  <c r="AP126" i="8" s="1"/>
  <c r="AQ126" i="8"/>
  <c r="AK348" i="8"/>
  <c r="AK457" i="8"/>
  <c r="AM186" i="8"/>
  <c r="AO186" i="8" s="1"/>
  <c r="AQ186" i="8"/>
  <c r="AN625" i="7"/>
  <c r="AP625" i="7" s="1"/>
  <c r="AQ625" i="7"/>
  <c r="AK513" i="8"/>
  <c r="AL513" i="8" s="1"/>
  <c r="AN513" i="8" s="1"/>
  <c r="AK845" i="7"/>
  <c r="AK735" i="7"/>
  <c r="AK571" i="8"/>
  <c r="AP1011" i="8"/>
  <c r="AO570" i="8"/>
  <c r="AN678" i="7"/>
  <c r="AN511" i="7"/>
  <c r="AL741" i="8"/>
  <c r="AI826" i="8"/>
  <c r="AO678" i="7" l="1"/>
  <c r="AP511" i="7"/>
  <c r="AP897" i="7"/>
  <c r="AK130" i="12"/>
  <c r="AL130" i="12" s="1"/>
  <c r="AL845" i="7"/>
  <c r="AK238" i="8"/>
  <c r="AL238" i="8" s="1"/>
  <c r="AL457" i="8"/>
  <c r="AK293" i="7"/>
  <c r="AL293" i="7" s="1"/>
  <c r="AO511" i="7"/>
  <c r="AP405" i="8"/>
  <c r="AJ880" i="8"/>
  <c r="AF880" i="8"/>
  <c r="AH880" i="8" s="1"/>
  <c r="AP239" i="7"/>
  <c r="AK898" i="7"/>
  <c r="AL898" i="7" s="1"/>
  <c r="AN898" i="7" s="1"/>
  <c r="AK626" i="7"/>
  <c r="AK512" i="7"/>
  <c r="AQ783" i="7"/>
  <c r="AP678" i="7"/>
  <c r="AL735" i="7"/>
  <c r="AM898" i="8"/>
  <c r="AQ898" i="8"/>
  <c r="AP239" i="12"/>
  <c r="AN898" i="8"/>
  <c r="AM181" i="7"/>
  <c r="AO181" i="7" s="1"/>
  <c r="AQ181" i="7"/>
  <c r="AO625" i="7"/>
  <c r="AK127" i="8"/>
  <c r="AL128" i="7"/>
  <c r="AM128" i="7" s="1"/>
  <c r="AL348" i="8"/>
  <c r="AP184" i="12"/>
  <c r="AN741" i="8"/>
  <c r="AQ741" i="8"/>
  <c r="AM741" i="8"/>
  <c r="AK128" i="7"/>
  <c r="AL571" i="8"/>
  <c r="AM459" i="7"/>
  <c r="AO459" i="7" s="1"/>
  <c r="AQ459" i="7"/>
  <c r="AP186" i="8"/>
  <c r="AP293" i="8"/>
  <c r="AN952" i="8"/>
  <c r="AQ952" i="8"/>
  <c r="AP349" i="7"/>
  <c r="AD827" i="8"/>
  <c r="AE827" i="8" s="1"/>
  <c r="AG827" i="8" s="1"/>
  <c r="AK568" i="7"/>
  <c r="AL568" i="7" s="1"/>
  <c r="AN568" i="7" s="1"/>
  <c r="AL402" i="7"/>
  <c r="AK1012" i="8"/>
  <c r="AL1012" i="8" s="1"/>
  <c r="AQ686" i="8"/>
  <c r="AN686" i="8"/>
  <c r="AP686" i="8" s="1"/>
  <c r="AM513" i="8"/>
  <c r="AO513" i="8" s="1"/>
  <c r="AQ513" i="8"/>
  <c r="AQ1064" i="8"/>
  <c r="AM1064" i="8"/>
  <c r="AO1064" i="8" s="1"/>
  <c r="AK291" i="12"/>
  <c r="AL291" i="12" s="1"/>
  <c r="AQ627" i="8"/>
  <c r="AM627" i="8"/>
  <c r="AO627" i="8" s="1"/>
  <c r="AM952" i="8"/>
  <c r="AO126" i="8"/>
  <c r="AP181" i="7" l="1"/>
  <c r="AQ128" i="7"/>
  <c r="AN128" i="7"/>
  <c r="AO128" i="7" s="1"/>
  <c r="AP952" i="8"/>
  <c r="AO898" i="8"/>
  <c r="AO741" i="8"/>
  <c r="AM1012" i="8"/>
  <c r="AQ1012" i="8"/>
  <c r="AN735" i="7"/>
  <c r="AQ735" i="7"/>
  <c r="AQ238" i="8"/>
  <c r="AM238" i="8"/>
  <c r="AK679" i="7"/>
  <c r="AL679" i="7" s="1"/>
  <c r="AI880" i="8"/>
  <c r="AL512" i="7"/>
  <c r="AM512" i="7" s="1"/>
  <c r="AP627" i="8"/>
  <c r="AQ130" i="12"/>
  <c r="AM130" i="12"/>
  <c r="AL127" i="8"/>
  <c r="AP128" i="7"/>
  <c r="AQ402" i="7"/>
  <c r="AN402" i="7"/>
  <c r="AK182" i="7"/>
  <c r="AK187" i="8"/>
  <c r="AL187" i="8" s="1"/>
  <c r="AN187" i="8" s="1"/>
  <c r="AM735" i="7"/>
  <c r="AQ348" i="8"/>
  <c r="AN348" i="8"/>
  <c r="AQ845" i="7"/>
  <c r="AN845" i="7"/>
  <c r="AP845" i="7" s="1"/>
  <c r="AK687" i="8"/>
  <c r="AK350" i="7"/>
  <c r="AL350" i="7" s="1"/>
  <c r="AN350" i="7" s="1"/>
  <c r="AL626" i="7"/>
  <c r="AQ457" i="8"/>
  <c r="AN457" i="8"/>
  <c r="AP513" i="8"/>
  <c r="AN1012" i="8"/>
  <c r="AQ898" i="7"/>
  <c r="AQ568" i="7"/>
  <c r="AM568" i="7"/>
  <c r="AO568" i="7" s="1"/>
  <c r="AQ291" i="12"/>
  <c r="AM291" i="12"/>
  <c r="AN238" i="8"/>
  <c r="AM348" i="8"/>
  <c r="AO348" i="8" s="1"/>
  <c r="AM293" i="7"/>
  <c r="AQ293" i="7"/>
  <c r="AN293" i="7"/>
  <c r="AP293" i="7" s="1"/>
  <c r="AQ571" i="8"/>
  <c r="AN571" i="8"/>
  <c r="AM457" i="8"/>
  <c r="AP459" i="7"/>
  <c r="AM898" i="7"/>
  <c r="AO898" i="7" s="1"/>
  <c r="AM571" i="8"/>
  <c r="AO571" i="8" s="1"/>
  <c r="AL182" i="7"/>
  <c r="AM182" i="7" s="1"/>
  <c r="AO686" i="8"/>
  <c r="AK953" i="8"/>
  <c r="AK240" i="12"/>
  <c r="AL240" i="12" s="1"/>
  <c r="AN240" i="12" s="1"/>
  <c r="AO952" i="8"/>
  <c r="AK294" i="8"/>
  <c r="AL294" i="8" s="1"/>
  <c r="AN294" i="8" s="1"/>
  <c r="AK240" i="7"/>
  <c r="AL240" i="7" s="1"/>
  <c r="AN240" i="7" s="1"/>
  <c r="AM402" i="7"/>
  <c r="AP741" i="8"/>
  <c r="AK185" i="12"/>
  <c r="AL185" i="12" s="1"/>
  <c r="AN185" i="12" s="1"/>
  <c r="AN291" i="12"/>
  <c r="AK406" i="8"/>
  <c r="AL406" i="8" s="1"/>
  <c r="AN406" i="8" s="1"/>
  <c r="AK784" i="7"/>
  <c r="AL784" i="7" s="1"/>
  <c r="AQ784" i="7" s="1"/>
  <c r="AM845" i="7"/>
  <c r="AF827" i="8"/>
  <c r="AH827" i="8" s="1"/>
  <c r="AJ827" i="8"/>
  <c r="AN130" i="12"/>
  <c r="AP130" i="12" s="1"/>
  <c r="AP898" i="8"/>
  <c r="AP1064" i="8"/>
  <c r="AP238" i="8" l="1"/>
  <c r="AO291" i="12"/>
  <c r="AP1012" i="8"/>
  <c r="AO457" i="8"/>
  <c r="AP735" i="7"/>
  <c r="AP402" i="7"/>
  <c r="AK1065" i="8"/>
  <c r="AL1065" i="8" s="1"/>
  <c r="AN1065" i="8" s="1"/>
  <c r="AM679" i="7"/>
  <c r="AQ679" i="7"/>
  <c r="AN679" i="7"/>
  <c r="AP679" i="7" s="1"/>
  <c r="AO238" i="8"/>
  <c r="AK460" i="7"/>
  <c r="AL460" i="7" s="1"/>
  <c r="AP348" i="8"/>
  <c r="AP571" i="8"/>
  <c r="AL953" i="8"/>
  <c r="AM953" i="8" s="1"/>
  <c r="AK514" i="8"/>
  <c r="AL514" i="8" s="1"/>
  <c r="AN514" i="8" s="1"/>
  <c r="AK628" i="8"/>
  <c r="AL628" i="8" s="1"/>
  <c r="AK294" i="7"/>
  <c r="AP457" i="8"/>
  <c r="AO1012" i="8"/>
  <c r="AI827" i="8"/>
  <c r="AP568" i="7"/>
  <c r="AD881" i="8"/>
  <c r="AE881" i="8" s="1"/>
  <c r="AK846" i="7"/>
  <c r="AQ127" i="8"/>
  <c r="AN127" i="8"/>
  <c r="AQ182" i="7"/>
  <c r="AM127" i="8"/>
  <c r="AO127" i="8" s="1"/>
  <c r="AM784" i="7"/>
  <c r="AN784" i="7"/>
  <c r="AP784" i="7" s="1"/>
  <c r="AO735" i="7"/>
  <c r="AM406" i="8"/>
  <c r="AO406" i="8" s="1"/>
  <c r="AQ406" i="8"/>
  <c r="AM240" i="12"/>
  <c r="AO240" i="12" s="1"/>
  <c r="AQ240" i="12"/>
  <c r="AN626" i="7"/>
  <c r="AQ626" i="7"/>
  <c r="AN182" i="7"/>
  <c r="AP182" i="7" s="1"/>
  <c r="AL687" i="8"/>
  <c r="AM687" i="8" s="1"/>
  <c r="AK403" i="7"/>
  <c r="AK239" i="8"/>
  <c r="AK131" i="12"/>
  <c r="AK129" i="7"/>
  <c r="AL129" i="7" s="1"/>
  <c r="AO845" i="7"/>
  <c r="AK736" i="7"/>
  <c r="AK1013" i="8"/>
  <c r="AQ512" i="7"/>
  <c r="AN512" i="7"/>
  <c r="AP512" i="7" s="1"/>
  <c r="AP291" i="12"/>
  <c r="AO293" i="7"/>
  <c r="AM626" i="7"/>
  <c r="AM185" i="12"/>
  <c r="AO185" i="12" s="1"/>
  <c r="AQ185" i="12"/>
  <c r="AK899" i="8"/>
  <c r="AL899" i="8" s="1"/>
  <c r="AN899" i="8" s="1"/>
  <c r="AK742" i="8"/>
  <c r="AL742" i="8" s="1"/>
  <c r="AO402" i="7"/>
  <c r="AQ240" i="7"/>
  <c r="AM240" i="7"/>
  <c r="AO240" i="7" s="1"/>
  <c r="AM294" i="8"/>
  <c r="AO294" i="8" s="1"/>
  <c r="AQ294" i="8"/>
  <c r="AO130" i="12"/>
  <c r="AM187" i="8"/>
  <c r="AO187" i="8" s="1"/>
  <c r="AQ187" i="8"/>
  <c r="AQ350" i="7"/>
  <c r="AM350" i="7"/>
  <c r="AO350" i="7" s="1"/>
  <c r="AP898" i="7"/>
  <c r="AP406" i="8" l="1"/>
  <c r="AO626" i="7"/>
  <c r="AQ628" i="8"/>
  <c r="AM628" i="8"/>
  <c r="AK292" i="12"/>
  <c r="AL292" i="12" s="1"/>
  <c r="AN628" i="8"/>
  <c r="AP628" i="8" s="1"/>
  <c r="AJ881" i="8"/>
  <c r="AF881" i="8"/>
  <c r="AH881" i="8" s="1"/>
  <c r="AL403" i="7"/>
  <c r="AO784" i="7"/>
  <c r="AK572" i="8"/>
  <c r="AL572" i="8" s="1"/>
  <c r="AP350" i="7"/>
  <c r="AK349" i="8"/>
  <c r="AL349" i="8" s="1"/>
  <c r="AP185" i="12"/>
  <c r="AM460" i="7"/>
  <c r="AQ460" i="7"/>
  <c r="AN460" i="7"/>
  <c r="AP626" i="7"/>
  <c r="AL294" i="7"/>
  <c r="AM294" i="7" s="1"/>
  <c r="AK680" i="7"/>
  <c r="AO679" i="7"/>
  <c r="AQ1065" i="8"/>
  <c r="AM1065" i="8"/>
  <c r="AO1065" i="8" s="1"/>
  <c r="AM742" i="8"/>
  <c r="AQ742" i="8"/>
  <c r="AK899" i="7"/>
  <c r="AL899" i="7" s="1"/>
  <c r="AN899" i="7" s="1"/>
  <c r="AN742" i="8"/>
  <c r="AP742" i="8" s="1"/>
  <c r="AK569" i="7"/>
  <c r="AL569" i="7" s="1"/>
  <c r="AN569" i="7" s="1"/>
  <c r="AM129" i="7"/>
  <c r="AQ129" i="7"/>
  <c r="AL239" i="8"/>
  <c r="AL131" i="12"/>
  <c r="AN953" i="8"/>
  <c r="AP953" i="8" s="1"/>
  <c r="AQ953" i="8"/>
  <c r="AO182" i="7"/>
  <c r="AK785" i="7"/>
  <c r="AO512" i="7"/>
  <c r="AG881" i="8"/>
  <c r="AP240" i="12"/>
  <c r="AP127" i="8"/>
  <c r="AP294" i="8"/>
  <c r="AP899" i="8"/>
  <c r="AL1013" i="8"/>
  <c r="AK183" i="7"/>
  <c r="AK458" i="8"/>
  <c r="AL458" i="8" s="1"/>
  <c r="AP187" i="8"/>
  <c r="AK407" i="8"/>
  <c r="AL407" i="8" s="1"/>
  <c r="AN407" i="8" s="1"/>
  <c r="AN129" i="7"/>
  <c r="AK513" i="7"/>
  <c r="AM514" i="8"/>
  <c r="AO514" i="8" s="1"/>
  <c r="AQ514" i="8"/>
  <c r="AL736" i="7"/>
  <c r="AM736" i="7" s="1"/>
  <c r="AM899" i="8"/>
  <c r="AO899" i="8" s="1"/>
  <c r="AQ899" i="8"/>
  <c r="AL846" i="7"/>
  <c r="AM846" i="7" s="1"/>
  <c r="AQ687" i="8"/>
  <c r="AN687" i="8"/>
  <c r="AP687" i="8" s="1"/>
  <c r="AD828" i="8"/>
  <c r="AE828" i="8" s="1"/>
  <c r="AP240" i="7"/>
  <c r="AP460" i="7" l="1"/>
  <c r="AP1065" i="8"/>
  <c r="AP129" i="7"/>
  <c r="AN403" i="7"/>
  <c r="AQ403" i="7"/>
  <c r="AJ828" i="8"/>
  <c r="AF828" i="8"/>
  <c r="AK295" i="8"/>
  <c r="AL295" i="8" s="1"/>
  <c r="AN295" i="8" s="1"/>
  <c r="AK688" i="8"/>
  <c r="AN239" i="8"/>
  <c r="AP239" i="8" s="1"/>
  <c r="AQ239" i="8"/>
  <c r="AQ349" i="8"/>
  <c r="AM349" i="8"/>
  <c r="AK241" i="12"/>
  <c r="AL241" i="12" s="1"/>
  <c r="AN349" i="8"/>
  <c r="AP349" i="8" s="1"/>
  <c r="AO628" i="8"/>
  <c r="AL513" i="7"/>
  <c r="AL680" i="7"/>
  <c r="AM680" i="7" s="1"/>
  <c r="AK954" i="8"/>
  <c r="AN1013" i="8"/>
  <c r="AQ1013" i="8"/>
  <c r="AM407" i="8"/>
  <c r="AO407" i="8" s="1"/>
  <c r="AK900" i="8"/>
  <c r="AQ131" i="12"/>
  <c r="AN131" i="12"/>
  <c r="AK128" i="8"/>
  <c r="AL128" i="8" s="1"/>
  <c r="AN128" i="8" s="1"/>
  <c r="AQ846" i="7"/>
  <c r="AN846" i="7"/>
  <c r="AP846" i="7" s="1"/>
  <c r="AK130" i="7"/>
  <c r="AI881" i="8"/>
  <c r="AQ407" i="8"/>
  <c r="AL900" i="8"/>
  <c r="AM900" i="8" s="1"/>
  <c r="AK188" i="8"/>
  <c r="AL188" i="8" s="1"/>
  <c r="AN188" i="8" s="1"/>
  <c r="AO129" i="7"/>
  <c r="AQ572" i="8"/>
  <c r="AM572" i="8"/>
  <c r="AK627" i="7"/>
  <c r="AL627" i="7" s="1"/>
  <c r="AN627" i="7" s="1"/>
  <c r="AG828" i="8"/>
  <c r="AI828" i="8" s="1"/>
  <c r="AM899" i="7"/>
  <c r="AO899" i="7" s="1"/>
  <c r="AQ899" i="7"/>
  <c r="AK629" i="8"/>
  <c r="AM292" i="12"/>
  <c r="AO292" i="12" s="1"/>
  <c r="AQ292" i="12"/>
  <c r="AQ458" i="8"/>
  <c r="AM458" i="8"/>
  <c r="AN736" i="7"/>
  <c r="AP736" i="7" s="1"/>
  <c r="AQ736" i="7"/>
  <c r="AN458" i="8"/>
  <c r="AL183" i="7"/>
  <c r="AM183" i="7" s="1"/>
  <c r="AN572" i="8"/>
  <c r="AO953" i="8"/>
  <c r="AQ569" i="7"/>
  <c r="AM569" i="7"/>
  <c r="AO569" i="7" s="1"/>
  <c r="AM403" i="7"/>
  <c r="AO403" i="7" s="1"/>
  <c r="AK241" i="7"/>
  <c r="AL241" i="7" s="1"/>
  <c r="AN241" i="7"/>
  <c r="AK461" i="7"/>
  <c r="AM1013" i="8"/>
  <c r="AK743" i="8"/>
  <c r="AP899" i="7"/>
  <c r="AK1066" i="8"/>
  <c r="AL1066" i="8" s="1"/>
  <c r="AO460" i="7"/>
  <c r="AM131" i="12"/>
  <c r="AO131" i="12" s="1"/>
  <c r="AO687" i="8"/>
  <c r="AO742" i="8"/>
  <c r="AK186" i="12"/>
  <c r="AL186" i="12" s="1"/>
  <c r="AM239" i="8"/>
  <c r="AN292" i="12"/>
  <c r="AK351" i="7"/>
  <c r="AL351" i="7" s="1"/>
  <c r="AN351" i="7" s="1"/>
  <c r="AN294" i="7"/>
  <c r="AP294" i="7" s="1"/>
  <c r="AQ294" i="7"/>
  <c r="AL785" i="7"/>
  <c r="AP514" i="8"/>
  <c r="AQ900" i="8" l="1"/>
  <c r="AP572" i="8"/>
  <c r="AP1013" i="8"/>
  <c r="AP458" i="8"/>
  <c r="AM1066" i="8"/>
  <c r="AN1066" i="8"/>
  <c r="AP1066" i="8" s="1"/>
  <c r="AQ1066" i="8"/>
  <c r="AD882" i="8"/>
  <c r="AE882" i="8" s="1"/>
  <c r="AG882" i="8" s="1"/>
  <c r="AK515" i="8"/>
  <c r="AL515" i="8" s="1"/>
  <c r="AQ785" i="7"/>
  <c r="AN785" i="7"/>
  <c r="AP785" i="7" s="1"/>
  <c r="AK1014" i="8"/>
  <c r="AK847" i="7"/>
  <c r="AO572" i="8"/>
  <c r="AL130" i="7"/>
  <c r="AP131" i="12"/>
  <c r="AQ241" i="12"/>
  <c r="AM241" i="12"/>
  <c r="AP403" i="7"/>
  <c r="AL954" i="8"/>
  <c r="AD829" i="8"/>
  <c r="AN183" i="7"/>
  <c r="AP183" i="7" s="1"/>
  <c r="AQ183" i="7"/>
  <c r="AK459" i="8"/>
  <c r="AQ295" i="8"/>
  <c r="AM295" i="8"/>
  <c r="AO295" i="8" s="1"/>
  <c r="AK737" i="7"/>
  <c r="AO294" i="7"/>
  <c r="AO458" i="8"/>
  <c r="AQ513" i="7"/>
  <c r="AN513" i="7"/>
  <c r="AM513" i="7"/>
  <c r="AP292" i="12"/>
  <c r="AK350" i="8"/>
  <c r="AO239" i="8"/>
  <c r="AN900" i="8"/>
  <c r="AP900" i="8" s="1"/>
  <c r="AN241" i="12"/>
  <c r="AP241" i="12" s="1"/>
  <c r="AP407" i="8"/>
  <c r="AK573" i="8"/>
  <c r="AK240" i="8"/>
  <c r="AL461" i="7"/>
  <c r="AP627" i="7"/>
  <c r="AK295" i="7"/>
  <c r="AK900" i="7"/>
  <c r="AL900" i="7" s="1"/>
  <c r="AO1013" i="8"/>
  <c r="AQ128" i="8"/>
  <c r="AM128" i="8"/>
  <c r="AO128" i="8" s="1"/>
  <c r="AQ188" i="8"/>
  <c r="AM188" i="8"/>
  <c r="AO188" i="8" s="1"/>
  <c r="AM186" i="12"/>
  <c r="AQ186" i="12"/>
  <c r="AN186" i="12"/>
  <c r="AP186" i="12" s="1"/>
  <c r="AO349" i="8"/>
  <c r="AO846" i="7"/>
  <c r="AL688" i="8"/>
  <c r="AM688" i="8" s="1"/>
  <c r="AM785" i="7"/>
  <c r="AM627" i="7"/>
  <c r="AO627" i="7" s="1"/>
  <c r="AQ627" i="7"/>
  <c r="AN680" i="7"/>
  <c r="AP680" i="7" s="1"/>
  <c r="AQ680" i="7"/>
  <c r="AO736" i="7"/>
  <c r="AM351" i="7"/>
  <c r="AO351" i="7" s="1"/>
  <c r="AQ351" i="7"/>
  <c r="AH828" i="8"/>
  <c r="AL629" i="8"/>
  <c r="AQ241" i="7"/>
  <c r="AM241" i="7"/>
  <c r="AO241" i="7" s="1"/>
  <c r="AL743" i="8"/>
  <c r="AM743" i="8" s="1"/>
  <c r="AP569" i="7"/>
  <c r="AO680" i="7" l="1"/>
  <c r="AP188" i="8"/>
  <c r="AO513" i="7"/>
  <c r="AQ900" i="7"/>
  <c r="AM900" i="7"/>
  <c r="AN900" i="7"/>
  <c r="AL295" i="7"/>
  <c r="AK786" i="7"/>
  <c r="AK901" i="8"/>
  <c r="AK132" i="12"/>
  <c r="AL132" i="12" s="1"/>
  <c r="AL847" i="7"/>
  <c r="AL350" i="8"/>
  <c r="AK184" i="7"/>
  <c r="AK570" i="7"/>
  <c r="AL570" i="7" s="1"/>
  <c r="AN570" i="7" s="1"/>
  <c r="AK187" i="12"/>
  <c r="AO1066" i="8"/>
  <c r="AN629" i="8"/>
  <c r="AQ629" i="8"/>
  <c r="AM629" i="8"/>
  <c r="AO629" i="8" s="1"/>
  <c r="AL240" i="8"/>
  <c r="AK293" i="12"/>
  <c r="AL293" i="12" s="1"/>
  <c r="AN293" i="12" s="1"/>
  <c r="AP351" i="7"/>
  <c r="AK189" i="8"/>
  <c r="AL573" i="8"/>
  <c r="AQ954" i="8"/>
  <c r="AN954" i="8"/>
  <c r="AL189" i="8"/>
  <c r="AN189" i="8" s="1"/>
  <c r="AP513" i="7"/>
  <c r="AM954" i="8"/>
  <c r="AO954" i="8" s="1"/>
  <c r="AP128" i="8"/>
  <c r="AN688" i="8"/>
  <c r="AP688" i="8" s="1"/>
  <c r="AQ688" i="8"/>
  <c r="AL1014" i="8"/>
  <c r="AM1014" i="8" s="1"/>
  <c r="AQ515" i="8"/>
  <c r="AM515" i="8"/>
  <c r="AE829" i="8"/>
  <c r="AF829" i="8" s="1"/>
  <c r="AQ130" i="7"/>
  <c r="AN130" i="7"/>
  <c r="AK628" i="7"/>
  <c r="AL628" i="7" s="1"/>
  <c r="AM130" i="7"/>
  <c r="AO130" i="7" s="1"/>
  <c r="AL737" i="7"/>
  <c r="AK681" i="7"/>
  <c r="AL681" i="7" s="1"/>
  <c r="AK404" i="7"/>
  <c r="AL404" i="7" s="1"/>
  <c r="AO183" i="7"/>
  <c r="AK408" i="8"/>
  <c r="AL408" i="8" s="1"/>
  <c r="AN408" i="8"/>
  <c r="AK242" i="12"/>
  <c r="AP241" i="7"/>
  <c r="AN515" i="8"/>
  <c r="AJ882" i="8"/>
  <c r="AF882" i="8"/>
  <c r="AH882" i="8" s="1"/>
  <c r="AP295" i="8"/>
  <c r="AN461" i="7"/>
  <c r="AQ461" i="7"/>
  <c r="AM461" i="7"/>
  <c r="AO461" i="7" s="1"/>
  <c r="AK1067" i="8"/>
  <c r="AO186" i="12"/>
  <c r="AN743" i="8"/>
  <c r="AP743" i="8" s="1"/>
  <c r="AQ743" i="8"/>
  <c r="AO785" i="7"/>
  <c r="AL459" i="8"/>
  <c r="AM459" i="8" s="1"/>
  <c r="AO241" i="12"/>
  <c r="AO900" i="8"/>
  <c r="AO900" i="7" l="1"/>
  <c r="AP515" i="8"/>
  <c r="AM628" i="7"/>
  <c r="AN628" i="7"/>
  <c r="AQ628" i="7"/>
  <c r="AQ681" i="7"/>
  <c r="AM681" i="7"/>
  <c r="AN681" i="7"/>
  <c r="AP681" i="7" s="1"/>
  <c r="AL242" i="12"/>
  <c r="AM242" i="12" s="1"/>
  <c r="AK352" i="7"/>
  <c r="AL352" i="7" s="1"/>
  <c r="AK129" i="8"/>
  <c r="AL129" i="8" s="1"/>
  <c r="AK744" i="8"/>
  <c r="AK514" i="7"/>
  <c r="AL514" i="7" s="1"/>
  <c r="AN514" i="7"/>
  <c r="AL187" i="12"/>
  <c r="AQ408" i="8"/>
  <c r="AM408" i="8"/>
  <c r="AO408" i="8" s="1"/>
  <c r="AP130" i="7"/>
  <c r="AN847" i="7"/>
  <c r="AQ847" i="7"/>
  <c r="AQ573" i="8"/>
  <c r="AN573" i="8"/>
  <c r="AM847" i="7"/>
  <c r="AO847" i="7" s="1"/>
  <c r="AI882" i="8"/>
  <c r="AQ293" i="12"/>
  <c r="AM293" i="12"/>
  <c r="AO293" i="12" s="1"/>
  <c r="AQ295" i="7"/>
  <c r="AN295" i="7"/>
  <c r="AK242" i="7"/>
  <c r="AL242" i="7" s="1"/>
  <c r="AN242" i="7" s="1"/>
  <c r="AN240" i="8"/>
  <c r="AQ240" i="8"/>
  <c r="AM240" i="8"/>
  <c r="AO743" i="8"/>
  <c r="AQ350" i="8"/>
  <c r="AN350" i="8"/>
  <c r="AM350" i="8"/>
  <c r="AO350" i="8" s="1"/>
  <c r="AO688" i="8"/>
  <c r="AK296" i="8"/>
  <c r="AL296" i="8" s="1"/>
  <c r="AN296" i="8" s="1"/>
  <c r="AQ189" i="8"/>
  <c r="AO515" i="8"/>
  <c r="AM573" i="8"/>
  <c r="AO573" i="8" s="1"/>
  <c r="AQ132" i="12"/>
  <c r="AM132" i="12"/>
  <c r="AO132" i="12" s="1"/>
  <c r="AP900" i="7"/>
  <c r="AN459" i="8"/>
  <c r="AP459" i="8" s="1"/>
  <c r="AQ459" i="8"/>
  <c r="AQ570" i="7"/>
  <c r="AM570" i="7"/>
  <c r="AO570" i="7" s="1"/>
  <c r="AQ737" i="7"/>
  <c r="AN737" i="7"/>
  <c r="AM737" i="7"/>
  <c r="AO737" i="7" s="1"/>
  <c r="AP954" i="8"/>
  <c r="AL184" i="7"/>
  <c r="AG829" i="8"/>
  <c r="AI829" i="8" s="1"/>
  <c r="AJ829" i="8"/>
  <c r="AP461" i="7"/>
  <c r="AL1067" i="8"/>
  <c r="AN132" i="12"/>
  <c r="AK516" i="8"/>
  <c r="AK689" i="8"/>
  <c r="AL786" i="7"/>
  <c r="AM786" i="7" s="1"/>
  <c r="AM295" i="7"/>
  <c r="AO295" i="7" s="1"/>
  <c r="AM189" i="8"/>
  <c r="AO189" i="8" s="1"/>
  <c r="AM404" i="7"/>
  <c r="AQ404" i="7"/>
  <c r="AP629" i="8"/>
  <c r="AN404" i="7"/>
  <c r="AL901" i="8"/>
  <c r="AM901" i="8" s="1"/>
  <c r="AQ1014" i="8"/>
  <c r="AN1014" i="8"/>
  <c r="AP1014" i="8" s="1"/>
  <c r="AP404" i="7" l="1"/>
  <c r="AP240" i="8"/>
  <c r="AP189" i="8"/>
  <c r="AK190" i="8" s="1"/>
  <c r="AL190" i="8" s="1"/>
  <c r="AO628" i="7"/>
  <c r="AK901" i="7"/>
  <c r="AL901" i="7" s="1"/>
  <c r="AN901" i="7" s="1"/>
  <c r="AM352" i="7"/>
  <c r="AQ352" i="7"/>
  <c r="AK131" i="7"/>
  <c r="AL131" i="7" s="1"/>
  <c r="AP408" i="8"/>
  <c r="AP132" i="12"/>
  <c r="AQ1067" i="8"/>
  <c r="AN1067" i="8"/>
  <c r="AP573" i="8"/>
  <c r="AP628" i="7"/>
  <c r="AD830" i="8"/>
  <c r="AQ786" i="7"/>
  <c r="AN786" i="7"/>
  <c r="AP786" i="7" s="1"/>
  <c r="AM242" i="7"/>
  <c r="AO242" i="7" s="1"/>
  <c r="AQ242" i="7"/>
  <c r="AN187" i="12"/>
  <c r="AP187" i="12" s="1"/>
  <c r="AQ187" i="12"/>
  <c r="AK682" i="7"/>
  <c r="AO681" i="7"/>
  <c r="AP737" i="7"/>
  <c r="AN352" i="7"/>
  <c r="AK241" i="8"/>
  <c r="AQ184" i="7"/>
  <c r="AN184" i="7"/>
  <c r="AK1015" i="8"/>
  <c r="AL516" i="8"/>
  <c r="AK955" i="8"/>
  <c r="AL955" i="8" s="1"/>
  <c r="AM296" i="8"/>
  <c r="AO296" i="8" s="1"/>
  <c r="AQ296" i="8"/>
  <c r="AM187" i="12"/>
  <c r="AO1014" i="8"/>
  <c r="AK405" i="7"/>
  <c r="AD883" i="8"/>
  <c r="AE883" i="8" s="1"/>
  <c r="AG883" i="8" s="1"/>
  <c r="AP293" i="12"/>
  <c r="AP350" i="8"/>
  <c r="AL744" i="8"/>
  <c r="AM744" i="8" s="1"/>
  <c r="AQ129" i="8"/>
  <c r="AM129" i="8"/>
  <c r="AP570" i="7"/>
  <c r="AN242" i="12"/>
  <c r="AP242" i="12" s="1"/>
  <c r="AQ242" i="12"/>
  <c r="AM184" i="7"/>
  <c r="AO184" i="7" s="1"/>
  <c r="AP295" i="7"/>
  <c r="AH829" i="8"/>
  <c r="AQ901" i="8"/>
  <c r="AN901" i="8"/>
  <c r="AP901" i="8" s="1"/>
  <c r="AL689" i="8"/>
  <c r="AM514" i="7"/>
  <c r="AO514" i="7" s="1"/>
  <c r="AQ514" i="7"/>
  <c r="AK630" i="8"/>
  <c r="AL630" i="8" s="1"/>
  <c r="AN630" i="8" s="1"/>
  <c r="AM1067" i="8"/>
  <c r="AO404" i="7"/>
  <c r="AO240" i="8"/>
  <c r="AK462" i="7"/>
  <c r="AL462" i="7" s="1"/>
  <c r="AN462" i="7" s="1"/>
  <c r="AK460" i="8"/>
  <c r="AP847" i="7"/>
  <c r="AN129" i="8"/>
  <c r="AP129" i="8" s="1"/>
  <c r="AO459" i="8"/>
  <c r="AO1067" i="8" l="1"/>
  <c r="AO901" i="8"/>
  <c r="AO352" i="7"/>
  <c r="AQ190" i="8"/>
  <c r="AM190" i="8"/>
  <c r="AN190" i="8"/>
  <c r="AP190" i="8" s="1"/>
  <c r="AL682" i="7"/>
  <c r="AQ516" i="8"/>
  <c r="AN516" i="8"/>
  <c r="AQ955" i="8"/>
  <c r="AM955" i="8"/>
  <c r="AM516" i="8"/>
  <c r="AO516" i="8" s="1"/>
  <c r="AM630" i="8"/>
  <c r="AO630" i="8" s="1"/>
  <c r="AQ630" i="8"/>
  <c r="AK787" i="7"/>
  <c r="AO129" i="8"/>
  <c r="AL1015" i="8"/>
  <c r="AP514" i="7"/>
  <c r="AP242" i="7"/>
  <c r="AK902" i="8"/>
  <c r="AL902" i="8" s="1"/>
  <c r="AN902" i="8" s="1"/>
  <c r="AO187" i="12"/>
  <c r="AK409" i="8"/>
  <c r="AL409" i="8" s="1"/>
  <c r="AN409" i="8"/>
  <c r="AP296" i="8"/>
  <c r="AM131" i="7"/>
  <c r="AQ131" i="7"/>
  <c r="AK294" i="12"/>
  <c r="AL294" i="12" s="1"/>
  <c r="AK188" i="12"/>
  <c r="AN131" i="7"/>
  <c r="AP131" i="7" s="1"/>
  <c r="AK243" i="12"/>
  <c r="AP1067" i="8"/>
  <c r="AP184" i="7"/>
  <c r="AL460" i="8"/>
  <c r="AM460" i="8" s="1"/>
  <c r="AK130" i="8"/>
  <c r="AK848" i="7"/>
  <c r="AL848" i="7" s="1"/>
  <c r="AP352" i="7"/>
  <c r="AN689" i="8"/>
  <c r="AQ689" i="8"/>
  <c r="AQ462" i="7"/>
  <c r="AM462" i="7"/>
  <c r="AO462" i="7" s="1"/>
  <c r="AO786" i="7"/>
  <c r="AE830" i="8"/>
  <c r="AN955" i="8"/>
  <c r="AK629" i="7"/>
  <c r="AL629" i="7" s="1"/>
  <c r="AN629" i="7" s="1"/>
  <c r="AL241" i="8"/>
  <c r="AM241" i="8" s="1"/>
  <c r="AK296" i="7"/>
  <c r="AL296" i="7" s="1"/>
  <c r="AN296" i="7" s="1"/>
  <c r="AK574" i="8"/>
  <c r="AL574" i="8" s="1"/>
  <c r="AN574" i="8" s="1"/>
  <c r="AL405" i="7"/>
  <c r="AK351" i="8"/>
  <c r="AL351" i="8" s="1"/>
  <c r="AF883" i="8"/>
  <c r="AH883" i="8" s="1"/>
  <c r="AJ883" i="8"/>
  <c r="AK133" i="12"/>
  <c r="AL133" i="12" s="1"/>
  <c r="AK571" i="7"/>
  <c r="AL571" i="7" s="1"/>
  <c r="AN571" i="7" s="1"/>
  <c r="AM901" i="7"/>
  <c r="AO901" i="7" s="1"/>
  <c r="AQ901" i="7"/>
  <c r="AM689" i="8"/>
  <c r="AN744" i="8"/>
  <c r="AP744" i="8" s="1"/>
  <c r="AQ744" i="8"/>
  <c r="AK738" i="7"/>
  <c r="AL738" i="7" s="1"/>
  <c r="AN738" i="7" s="1"/>
  <c r="AO242" i="12"/>
  <c r="AO744" i="8" l="1"/>
  <c r="AP689" i="8"/>
  <c r="AO955" i="8"/>
  <c r="AP901" i="7"/>
  <c r="AK902" i="7" s="1"/>
  <c r="AL902" i="7" s="1"/>
  <c r="AN902" i="7" s="1"/>
  <c r="AQ571" i="7"/>
  <c r="AM571" i="7"/>
  <c r="AO571" i="7" s="1"/>
  <c r="AM133" i="12"/>
  <c r="AQ133" i="12"/>
  <c r="AK353" i="7"/>
  <c r="AL353" i="7" s="1"/>
  <c r="AN353" i="7" s="1"/>
  <c r="AQ848" i="7"/>
  <c r="AM848" i="7"/>
  <c r="AM902" i="8"/>
  <c r="AO902" i="8" s="1"/>
  <c r="AL243" i="12"/>
  <c r="AN848" i="7"/>
  <c r="AL130" i="8"/>
  <c r="AM130" i="8" s="1"/>
  <c r="AQ738" i="7"/>
  <c r="AM738" i="7"/>
  <c r="AO738" i="7" s="1"/>
  <c r="AQ682" i="7"/>
  <c r="AN682" i="7"/>
  <c r="AK297" i="8"/>
  <c r="AL297" i="8" s="1"/>
  <c r="AK745" i="8"/>
  <c r="AL745" i="8" s="1"/>
  <c r="AL787" i="7"/>
  <c r="AQ351" i="8"/>
  <c r="AM351" i="8"/>
  <c r="AL188" i="12"/>
  <c r="AO190" i="8"/>
  <c r="AN351" i="8"/>
  <c r="AP351" i="8" s="1"/>
  <c r="AQ902" i="8"/>
  <c r="AK515" i="7"/>
  <c r="AL515" i="7" s="1"/>
  <c r="AN515" i="7" s="1"/>
  <c r="AN1015" i="8"/>
  <c r="AQ1015" i="8"/>
  <c r="AK690" i="8"/>
  <c r="AM1015" i="8"/>
  <c r="AN241" i="8"/>
  <c r="AP241" i="8" s="1"/>
  <c r="AQ241" i="8"/>
  <c r="AM294" i="12"/>
  <c r="AQ294" i="12"/>
  <c r="AN294" i="12"/>
  <c r="AP294" i="12" s="1"/>
  <c r="AP516" i="8"/>
  <c r="AG830" i="8"/>
  <c r="AJ830" i="8"/>
  <c r="AF830" i="8"/>
  <c r="AH830" i="8" s="1"/>
  <c r="AM409" i="8"/>
  <c r="AO409" i="8" s="1"/>
  <c r="AQ409" i="8"/>
  <c r="AO689" i="8"/>
  <c r="AK185" i="7"/>
  <c r="AL185" i="7" s="1"/>
  <c r="AN185" i="7" s="1"/>
  <c r="AI883" i="8"/>
  <c r="AM574" i="8"/>
  <c r="AO574" i="8" s="1"/>
  <c r="AQ574" i="8"/>
  <c r="AM296" i="7"/>
  <c r="AO296" i="7" s="1"/>
  <c r="AQ296" i="7"/>
  <c r="AK132" i="7"/>
  <c r="AN133" i="12"/>
  <c r="AQ629" i="7"/>
  <c r="AM629" i="7"/>
  <c r="AO629" i="7" s="1"/>
  <c r="AP955" i="8"/>
  <c r="AO131" i="7"/>
  <c r="AM682" i="7"/>
  <c r="AQ460" i="8"/>
  <c r="AN460" i="8"/>
  <c r="AP460" i="8" s="1"/>
  <c r="AK191" i="8"/>
  <c r="AQ405" i="7"/>
  <c r="AN405" i="7"/>
  <c r="AM405" i="7"/>
  <c r="AO405" i="7" s="1"/>
  <c r="AK1068" i="8"/>
  <c r="AL1068" i="8" s="1"/>
  <c r="AN1068" i="8" s="1"/>
  <c r="AK243" i="7"/>
  <c r="AL243" i="7" s="1"/>
  <c r="AN243" i="7"/>
  <c r="AP630" i="8"/>
  <c r="AP462" i="7"/>
  <c r="AO1015" i="8" l="1"/>
  <c r="AO848" i="7"/>
  <c r="AO133" i="12"/>
  <c r="AP574" i="8"/>
  <c r="AP682" i="7"/>
  <c r="AP902" i="8"/>
  <c r="AN745" i="8"/>
  <c r="AQ745" i="8"/>
  <c r="AM745" i="8"/>
  <c r="AO745" i="8" s="1"/>
  <c r="AK295" i="12"/>
  <c r="AQ243" i="7"/>
  <c r="AM243" i="7"/>
  <c r="AO243" i="7" s="1"/>
  <c r="AO294" i="12"/>
  <c r="AK683" i="7"/>
  <c r="AM185" i="7"/>
  <c r="AO185" i="7" s="1"/>
  <c r="AQ185" i="7"/>
  <c r="AK242" i="8"/>
  <c r="AQ902" i="7"/>
  <c r="AO351" i="8"/>
  <c r="AM902" i="7"/>
  <c r="AO902" i="7" s="1"/>
  <c r="AN787" i="7"/>
  <c r="AQ787" i="7"/>
  <c r="AP1015" i="8"/>
  <c r="AK903" i="8"/>
  <c r="AL903" i="8" s="1"/>
  <c r="AI830" i="8"/>
  <c r="AQ243" i="12"/>
  <c r="AN243" i="12"/>
  <c r="AP243" i="12" s="1"/>
  <c r="AO241" i="8"/>
  <c r="AK631" i="8"/>
  <c r="AL631" i="8" s="1"/>
  <c r="AN631" i="8" s="1"/>
  <c r="AM297" i="8"/>
  <c r="AQ297" i="8"/>
  <c r="AK352" i="8"/>
  <c r="AM1068" i="8"/>
  <c r="AO1068" i="8" s="1"/>
  <c r="AQ1068" i="8"/>
  <c r="AL191" i="8"/>
  <c r="AM191" i="8" s="1"/>
  <c r="AQ188" i="12"/>
  <c r="AN188" i="12"/>
  <c r="AP133" i="12"/>
  <c r="AP405" i="7"/>
  <c r="AM787" i="7"/>
  <c r="AK575" i="8"/>
  <c r="AL575" i="8" s="1"/>
  <c r="AP629" i="7"/>
  <c r="AP848" i="7"/>
  <c r="AK461" i="8"/>
  <c r="AQ515" i="7"/>
  <c r="AM515" i="7"/>
  <c r="AO515" i="7" s="1"/>
  <c r="AM243" i="12"/>
  <c r="AP296" i="7"/>
  <c r="AL132" i="7"/>
  <c r="AM132" i="7" s="1"/>
  <c r="AD884" i="8"/>
  <c r="AE884" i="8" s="1"/>
  <c r="AG884" i="8" s="1"/>
  <c r="AK956" i="8"/>
  <c r="AL956" i="8" s="1"/>
  <c r="AN297" i="8"/>
  <c r="AQ353" i="7"/>
  <c r="AM353" i="7"/>
  <c r="AO353" i="7" s="1"/>
  <c r="AM188" i="12"/>
  <c r="AL690" i="8"/>
  <c r="AP738" i="7"/>
  <c r="AN130" i="8"/>
  <c r="AP130" i="8" s="1"/>
  <c r="AQ130" i="8"/>
  <c r="AK463" i="7"/>
  <c r="AL463" i="7" s="1"/>
  <c r="AN463" i="7" s="1"/>
  <c r="AO682" i="7"/>
  <c r="AP571" i="7"/>
  <c r="AK517" i="8"/>
  <c r="AL517" i="8" s="1"/>
  <c r="AP409" i="8"/>
  <c r="AO460" i="8"/>
  <c r="AM903" i="8" l="1"/>
  <c r="AQ903" i="8"/>
  <c r="AP297" i="8"/>
  <c r="AP515" i="7"/>
  <c r="AP353" i="7"/>
  <c r="AP185" i="7"/>
  <c r="AP188" i="12"/>
  <c r="AP787" i="7"/>
  <c r="AK788" i="7" s="1"/>
  <c r="AP1068" i="8"/>
  <c r="AK1069" i="8" s="1"/>
  <c r="AL1069" i="8" s="1"/>
  <c r="AM1069" i="8" s="1"/>
  <c r="AQ575" i="8"/>
  <c r="AN575" i="8"/>
  <c r="AM575" i="8"/>
  <c r="AO575" i="8" s="1"/>
  <c r="AK186" i="7"/>
  <c r="AL186" i="7" s="1"/>
  <c r="AK298" i="8"/>
  <c r="AK134" i="12"/>
  <c r="AL134" i="12" s="1"/>
  <c r="AQ956" i="8"/>
  <c r="AM956" i="8"/>
  <c r="AL461" i="8"/>
  <c r="AN956" i="8"/>
  <c r="AF884" i="8"/>
  <c r="AH884" i="8" s="1"/>
  <c r="AJ884" i="8"/>
  <c r="AP243" i="7"/>
  <c r="AK410" i="8"/>
  <c r="AL410" i="8" s="1"/>
  <c r="AN410" i="8" s="1"/>
  <c r="AQ631" i="8"/>
  <c r="AM631" i="8"/>
  <c r="AO631" i="8" s="1"/>
  <c r="AL242" i="8"/>
  <c r="AM242" i="8" s="1"/>
  <c r="AO188" i="12"/>
  <c r="AK297" i="7"/>
  <c r="AL297" i="7" s="1"/>
  <c r="AK572" i="7"/>
  <c r="AL572" i="7" s="1"/>
  <c r="AD831" i="8"/>
  <c r="AE831" i="8" s="1"/>
  <c r="AP745" i="8"/>
  <c r="AK406" i="7"/>
  <c r="AL406" i="7" s="1"/>
  <c r="AN406" i="7" s="1"/>
  <c r="AK1016" i="8"/>
  <c r="AL1016" i="8" s="1"/>
  <c r="AL295" i="12"/>
  <c r="AK131" i="8"/>
  <c r="AK849" i="7"/>
  <c r="AL849" i="7" s="1"/>
  <c r="AO297" i="8"/>
  <c r="AK354" i="7"/>
  <c r="AL354" i="7" s="1"/>
  <c r="AN354" i="7" s="1"/>
  <c r="AK739" i="7"/>
  <c r="AL739" i="7" s="1"/>
  <c r="AN739" i="7" s="1"/>
  <c r="AK630" i="7"/>
  <c r="AL630" i="7" s="1"/>
  <c r="AN630" i="7" s="1"/>
  <c r="AL352" i="8"/>
  <c r="AN132" i="7"/>
  <c r="AP132" i="7" s="1"/>
  <c r="AQ132" i="7"/>
  <c r="AK189" i="12"/>
  <c r="AK516" i="7"/>
  <c r="AL516" i="7" s="1"/>
  <c r="AM517" i="8"/>
  <c r="AQ517" i="8"/>
  <c r="AO787" i="7"/>
  <c r="AK244" i="12"/>
  <c r="AO243" i="12"/>
  <c r="AL683" i="7"/>
  <c r="AM683" i="7" s="1"/>
  <c r="AN903" i="8"/>
  <c r="AP903" i="8" s="1"/>
  <c r="AP902" i="7"/>
  <c r="AI884" i="8"/>
  <c r="AN690" i="8"/>
  <c r="AQ690" i="8"/>
  <c r="AM690" i="8"/>
  <c r="AO690" i="8" s="1"/>
  <c r="AN191" i="8"/>
  <c r="AP191" i="8" s="1"/>
  <c r="AQ191" i="8"/>
  <c r="AN517" i="8"/>
  <c r="AQ463" i="7"/>
  <c r="AM463" i="7"/>
  <c r="AO463" i="7" s="1"/>
  <c r="AO130" i="8"/>
  <c r="AO517" i="8" l="1"/>
  <c r="AP956" i="8"/>
  <c r="AQ516" i="7"/>
  <c r="AN516" i="7"/>
  <c r="AM516" i="7"/>
  <c r="AO516" i="7" s="1"/>
  <c r="AN186" i="7"/>
  <c r="AQ186" i="7"/>
  <c r="AM186" i="7"/>
  <c r="AO186" i="7" s="1"/>
  <c r="AM406" i="7"/>
  <c r="AO406" i="7" s="1"/>
  <c r="AQ406" i="7"/>
  <c r="AM134" i="12"/>
  <c r="AO134" i="12" s="1"/>
  <c r="AQ134" i="12"/>
  <c r="AM354" i="7"/>
  <c r="AO354" i="7" s="1"/>
  <c r="AJ831" i="8"/>
  <c r="AF831" i="8"/>
  <c r="AQ683" i="7"/>
  <c r="AN683" i="7"/>
  <c r="AP683" i="7" s="1"/>
  <c r="AQ572" i="7"/>
  <c r="AM572" i="7"/>
  <c r="AP463" i="7"/>
  <c r="AN1069" i="8"/>
  <c r="AP1069" i="8" s="1"/>
  <c r="AQ297" i="7"/>
  <c r="AM297" i="7"/>
  <c r="AQ739" i="7"/>
  <c r="AM739" i="7"/>
  <c r="AO739" i="7" s="1"/>
  <c r="AN297" i="7"/>
  <c r="AP575" i="8"/>
  <c r="AM849" i="7"/>
  <c r="AQ849" i="7"/>
  <c r="AD885" i="8"/>
  <c r="AE885" i="8" s="1"/>
  <c r="AJ885" i="8" s="1"/>
  <c r="AK746" i="8"/>
  <c r="AL746" i="8" s="1"/>
  <c r="AN746" i="8" s="1"/>
  <c r="AQ410" i="8"/>
  <c r="AM410" i="8"/>
  <c r="AO410" i="8" s="1"/>
  <c r="AQ1069" i="8"/>
  <c r="AK244" i="7"/>
  <c r="AL244" i="7" s="1"/>
  <c r="AK133" i="7"/>
  <c r="AQ352" i="8"/>
  <c r="AN352" i="8"/>
  <c r="AQ630" i="7"/>
  <c r="AM630" i="7"/>
  <c r="AO630" i="7" s="1"/>
  <c r="AQ461" i="8"/>
  <c r="AN461" i="8"/>
  <c r="AP461" i="8" s="1"/>
  <c r="AP739" i="7"/>
  <c r="AP690" i="8"/>
  <c r="AM1016" i="8"/>
  <c r="AQ1016" i="8"/>
  <c r="AL189" i="12"/>
  <c r="AL131" i="8"/>
  <c r="AL298" i="8"/>
  <c r="AN849" i="7"/>
  <c r="AQ354" i="7"/>
  <c r="AK903" i="7"/>
  <c r="AL903" i="7" s="1"/>
  <c r="AN903" i="7" s="1"/>
  <c r="AN134" i="12"/>
  <c r="AK904" i="8"/>
  <c r="AG831" i="8"/>
  <c r="AN295" i="12"/>
  <c r="AQ295" i="12"/>
  <c r="AM295" i="12"/>
  <c r="AO295" i="12" s="1"/>
  <c r="AP517" i="8"/>
  <c r="AM352" i="8"/>
  <c r="AO352" i="8" s="1"/>
  <c r="AN572" i="7"/>
  <c r="AK192" i="8"/>
  <c r="AK957" i="8"/>
  <c r="AO191" i="8"/>
  <c r="AL244" i="12"/>
  <c r="AM244" i="12" s="1"/>
  <c r="AO132" i="7"/>
  <c r="AM461" i="8"/>
  <c r="AL788" i="7"/>
  <c r="AP631" i="8"/>
  <c r="AN1016" i="8"/>
  <c r="AN242" i="8"/>
  <c r="AP242" i="8" s="1"/>
  <c r="AQ242" i="8"/>
  <c r="AO956" i="8"/>
  <c r="AO903" i="8"/>
  <c r="AO683" i="7" l="1"/>
  <c r="AI831" i="8"/>
  <c r="AO297" i="7"/>
  <c r="AP849" i="7"/>
  <c r="AP1016" i="8"/>
  <c r="AK1017" i="8" s="1"/>
  <c r="AP354" i="7"/>
  <c r="AP572" i="7"/>
  <c r="AK850" i="7"/>
  <c r="AK1070" i="8"/>
  <c r="AO242" i="8"/>
  <c r="AF885" i="8"/>
  <c r="AH885" i="8" s="1"/>
  <c r="AN788" i="7"/>
  <c r="AP788" i="7" s="1"/>
  <c r="AQ788" i="7"/>
  <c r="AN131" i="8"/>
  <c r="AQ131" i="8"/>
  <c r="AK740" i="7"/>
  <c r="AL740" i="7" s="1"/>
  <c r="AK632" i="8"/>
  <c r="AL632" i="8" s="1"/>
  <c r="AK518" i="8"/>
  <c r="AL518" i="8" s="1"/>
  <c r="AK464" i="7"/>
  <c r="AL464" i="7" s="1"/>
  <c r="AO572" i="7"/>
  <c r="AP352" i="8"/>
  <c r="AO849" i="7"/>
  <c r="AQ189" i="12"/>
  <c r="AN189" i="12"/>
  <c r="AM189" i="12"/>
  <c r="AO189" i="12" s="1"/>
  <c r="AP406" i="7"/>
  <c r="AK576" i="8"/>
  <c r="AL576" i="8" s="1"/>
  <c r="AN576" i="8" s="1"/>
  <c r="AK573" i="7"/>
  <c r="AM746" i="8"/>
  <c r="AO746" i="8" s="1"/>
  <c r="AQ746" i="8"/>
  <c r="AQ298" i="8"/>
  <c r="AN298" i="8"/>
  <c r="AM298" i="8"/>
  <c r="AG885" i="8"/>
  <c r="AM131" i="8"/>
  <c r="AP186" i="7"/>
  <c r="AL133" i="7"/>
  <c r="AN244" i="12"/>
  <c r="AP244" i="12" s="1"/>
  <c r="AQ244" i="12"/>
  <c r="AH831" i="8"/>
  <c r="AD832" i="8" s="1"/>
  <c r="AK781" i="8" s="1"/>
  <c r="AM244" i="7"/>
  <c r="AQ244" i="7"/>
  <c r="AP134" i="12"/>
  <c r="AO1016" i="8"/>
  <c r="AN244" i="7"/>
  <c r="AP244" i="7" s="1"/>
  <c r="AP297" i="7"/>
  <c r="AP516" i="7"/>
  <c r="AL957" i="8"/>
  <c r="AM957" i="8" s="1"/>
  <c r="AK243" i="8"/>
  <c r="AK462" i="8"/>
  <c r="AM788" i="7"/>
  <c r="AO461" i="8"/>
  <c r="AP295" i="12"/>
  <c r="AK684" i="7"/>
  <c r="AL684" i="7" s="1"/>
  <c r="AM684" i="7" s="1"/>
  <c r="AK355" i="7"/>
  <c r="AL355" i="7" s="1"/>
  <c r="AP630" i="7"/>
  <c r="AO1069" i="8"/>
  <c r="AL192" i="8"/>
  <c r="AL904" i="8"/>
  <c r="AM904" i="8" s="1"/>
  <c r="AQ903" i="7"/>
  <c r="AM903" i="7"/>
  <c r="AO903" i="7" s="1"/>
  <c r="AK691" i="8"/>
  <c r="AL691" i="8" s="1"/>
  <c r="AN691" i="8" s="1"/>
  <c r="AP410" i="8"/>
  <c r="AO131" i="8" l="1"/>
  <c r="AP298" i="8"/>
  <c r="AM740" i="7"/>
  <c r="AQ740" i="7"/>
  <c r="AN740" i="7"/>
  <c r="AP740" i="7" s="1"/>
  <c r="AM355" i="7"/>
  <c r="AQ355" i="7"/>
  <c r="AN355" i="7"/>
  <c r="AP355" i="7" s="1"/>
  <c r="AK245" i="7"/>
  <c r="AN192" i="8"/>
  <c r="AQ192" i="8"/>
  <c r="AK789" i="7"/>
  <c r="AP189" i="12"/>
  <c r="AL243" i="8"/>
  <c r="AQ684" i="7"/>
  <c r="AQ133" i="7"/>
  <c r="AN133" i="7"/>
  <c r="AP903" i="7"/>
  <c r="AQ518" i="8"/>
  <c r="AM518" i="8"/>
  <c r="AL1017" i="8"/>
  <c r="AN518" i="8"/>
  <c r="AP518" i="8" s="1"/>
  <c r="AK135" i="12"/>
  <c r="AL135" i="12" s="1"/>
  <c r="AL850" i="7"/>
  <c r="AK411" i="8"/>
  <c r="AL411" i="8" s="1"/>
  <c r="AN411" i="8"/>
  <c r="AM133" i="7"/>
  <c r="AO133" i="7" s="1"/>
  <c r="AK187" i="7"/>
  <c r="AL187" i="7" s="1"/>
  <c r="AK517" i="7"/>
  <c r="AL517" i="7" s="1"/>
  <c r="AO244" i="12"/>
  <c r="AK407" i="7"/>
  <c r="AL407" i="7" s="1"/>
  <c r="AN407" i="7" s="1"/>
  <c r="AM192" i="8"/>
  <c r="AL1070" i="8"/>
  <c r="AO783" i="8"/>
  <c r="AN684" i="7"/>
  <c r="AP684" i="7" s="1"/>
  <c r="AK296" i="12"/>
  <c r="AL296" i="12" s="1"/>
  <c r="AK353" i="8"/>
  <c r="AL353" i="8" s="1"/>
  <c r="AN353" i="8" s="1"/>
  <c r="AQ691" i="8"/>
  <c r="AM691" i="8"/>
  <c r="AO691" i="8" s="1"/>
  <c r="AO788" i="7"/>
  <c r="AI885" i="8"/>
  <c r="AQ464" i="7"/>
  <c r="AM464" i="7"/>
  <c r="AK299" i="8"/>
  <c r="AM632" i="8"/>
  <c r="AQ632" i="8"/>
  <c r="AN632" i="8"/>
  <c r="AK631" i="7"/>
  <c r="AL631" i="7" s="1"/>
  <c r="AN631" i="7" s="1"/>
  <c r="AO244" i="7"/>
  <c r="AK245" i="12"/>
  <c r="AQ957" i="8"/>
  <c r="AN957" i="8"/>
  <c r="AP957" i="8" s="1"/>
  <c r="AL462" i="8"/>
  <c r="AM462" i="8" s="1"/>
  <c r="AL573" i="7"/>
  <c r="AM573" i="7" s="1"/>
  <c r="AQ904" i="8"/>
  <c r="AN904" i="8"/>
  <c r="AP904" i="8" s="1"/>
  <c r="AK298" i="7"/>
  <c r="AL298" i="7" s="1"/>
  <c r="AO298" i="8"/>
  <c r="AQ576" i="8"/>
  <c r="AM576" i="8"/>
  <c r="AO576" i="8" s="1"/>
  <c r="AN464" i="7"/>
  <c r="AP131" i="8"/>
  <c r="AP746" i="8"/>
  <c r="AP192" i="8" l="1"/>
  <c r="AO464" i="7"/>
  <c r="AP632" i="8"/>
  <c r="AK633" i="8" s="1"/>
  <c r="AM298" i="7"/>
  <c r="AQ298" i="7"/>
  <c r="AM135" i="12"/>
  <c r="AO135" i="12" s="1"/>
  <c r="AQ135" i="12"/>
  <c r="AK905" i="8"/>
  <c r="AL245" i="12"/>
  <c r="AQ517" i="7"/>
  <c r="AM517" i="7"/>
  <c r="AO517" i="7" s="1"/>
  <c r="AK193" i="8"/>
  <c r="AO518" i="8"/>
  <c r="AO904" i="8"/>
  <c r="AQ411" i="8"/>
  <c r="AM411" i="8"/>
  <c r="AO411" i="8" s="1"/>
  <c r="AK747" i="8"/>
  <c r="AL747" i="8" s="1"/>
  <c r="AP133" i="7"/>
  <c r="AK132" i="8"/>
  <c r="AL132" i="8" s="1"/>
  <c r="AN132" i="8" s="1"/>
  <c r="AP464" i="7"/>
  <c r="AO957" i="8"/>
  <c r="AQ243" i="8"/>
  <c r="AN243" i="8"/>
  <c r="AD886" i="8"/>
  <c r="AE886" i="8" s="1"/>
  <c r="AG886" i="8" s="1"/>
  <c r="AM243" i="8"/>
  <c r="AO243" i="8" s="1"/>
  <c r="AQ1017" i="8"/>
  <c r="AN1017" i="8"/>
  <c r="AO632" i="8"/>
  <c r="AM187" i="7"/>
  <c r="AQ187" i="7"/>
  <c r="AM1017" i="8"/>
  <c r="AO1017" i="8" s="1"/>
  <c r="AN573" i="7"/>
  <c r="AP573" i="7" s="1"/>
  <c r="AQ573" i="7"/>
  <c r="AK685" i="7"/>
  <c r="AK904" i="7"/>
  <c r="AL904" i="7" s="1"/>
  <c r="AN904" i="7"/>
  <c r="AP691" i="8"/>
  <c r="AQ1070" i="8"/>
  <c r="AN1070" i="8"/>
  <c r="AO355" i="7"/>
  <c r="AM1070" i="8"/>
  <c r="AO1070" i="8" s="1"/>
  <c r="AP576" i="8"/>
  <c r="AK741" i="7"/>
  <c r="AL299" i="8"/>
  <c r="AM299" i="8" s="1"/>
  <c r="AL245" i="7"/>
  <c r="AL789" i="7"/>
  <c r="AO192" i="8"/>
  <c r="AK190" i="12"/>
  <c r="AL190" i="12" s="1"/>
  <c r="AN190" i="12" s="1"/>
  <c r="AO740" i="7"/>
  <c r="AN135" i="12"/>
  <c r="AK519" i="8"/>
  <c r="AN517" i="7"/>
  <c r="AQ353" i="8"/>
  <c r="AM353" i="8"/>
  <c r="AO353" i="8" s="1"/>
  <c r="AQ296" i="12"/>
  <c r="AM296" i="12"/>
  <c r="AN187" i="7"/>
  <c r="AN296" i="12"/>
  <c r="AP296" i="12" s="1"/>
  <c r="AQ462" i="8"/>
  <c r="AN462" i="8"/>
  <c r="AP462" i="8" s="1"/>
  <c r="AK356" i="7"/>
  <c r="AP783" i="8"/>
  <c r="AK958" i="8"/>
  <c r="AQ850" i="7"/>
  <c r="AN850" i="7"/>
  <c r="AM850" i="7"/>
  <c r="AO850" i="7" s="1"/>
  <c r="AN298" i="7"/>
  <c r="AP298" i="7" s="1"/>
  <c r="AQ631" i="7"/>
  <c r="AM631" i="7"/>
  <c r="AO631" i="7" s="1"/>
  <c r="AM407" i="7"/>
  <c r="AO407" i="7" s="1"/>
  <c r="AQ407" i="7"/>
  <c r="AO684" i="7"/>
  <c r="AP187" i="7" l="1"/>
  <c r="AP631" i="7"/>
  <c r="AL741" i="7"/>
  <c r="AK465" i="7"/>
  <c r="AL465" i="7" s="1"/>
  <c r="AN465" i="7" s="1"/>
  <c r="AK188" i="7"/>
  <c r="AL356" i="7"/>
  <c r="AM356" i="7" s="1"/>
  <c r="AL633" i="8"/>
  <c r="AK299" i="7"/>
  <c r="AQ789" i="7"/>
  <c r="AN789" i="7"/>
  <c r="AQ747" i="8"/>
  <c r="AM747" i="8"/>
  <c r="AP850" i="7"/>
  <c r="AN747" i="8"/>
  <c r="AP747" i="8" s="1"/>
  <c r="AP353" i="8"/>
  <c r="AQ904" i="7"/>
  <c r="AM904" i="7"/>
  <c r="AO904" i="7" s="1"/>
  <c r="AL905" i="8"/>
  <c r="AM905" i="8" s="1"/>
  <c r="AK577" i="8"/>
  <c r="AL577" i="8" s="1"/>
  <c r="AN577" i="8" s="1"/>
  <c r="AP243" i="8"/>
  <c r="AO298" i="7"/>
  <c r="AK632" i="7"/>
  <c r="AL632" i="7" s="1"/>
  <c r="AK297" i="12"/>
  <c r="AQ190" i="12"/>
  <c r="AM190" i="12"/>
  <c r="AO190" i="12" s="1"/>
  <c r="AO296" i="12"/>
  <c r="AQ132" i="8"/>
  <c r="AM132" i="8"/>
  <c r="AO132" i="8" s="1"/>
  <c r="AM789" i="7"/>
  <c r="AO789" i="7" s="1"/>
  <c r="AN245" i="7"/>
  <c r="AQ245" i="7"/>
  <c r="AK692" i="8"/>
  <c r="AL692" i="8" s="1"/>
  <c r="AN692" i="8" s="1"/>
  <c r="AL519" i="8"/>
  <c r="AO573" i="7"/>
  <c r="AO187" i="7"/>
  <c r="AP1070" i="8"/>
  <c r="AL193" i="8"/>
  <c r="AP1017" i="8"/>
  <c r="AK134" i="7"/>
  <c r="AL134" i="7" s="1"/>
  <c r="AN134" i="7" s="1"/>
  <c r="AQ245" i="12"/>
  <c r="AN245" i="12"/>
  <c r="AP517" i="7"/>
  <c r="AM245" i="12"/>
  <c r="AO245" i="12" s="1"/>
  <c r="AM245" i="7"/>
  <c r="AN299" i="8"/>
  <c r="AP299" i="8" s="1"/>
  <c r="AQ299" i="8"/>
  <c r="AJ886" i="8"/>
  <c r="AF886" i="8"/>
  <c r="AH886" i="8" s="1"/>
  <c r="AQ783" i="8"/>
  <c r="AK784" i="8" s="1"/>
  <c r="AL784" i="8" s="1"/>
  <c r="AP411" i="8"/>
  <c r="AP135" i="12"/>
  <c r="AL685" i="7"/>
  <c r="AM685" i="7" s="1"/>
  <c r="AK463" i="8"/>
  <c r="AP407" i="7"/>
  <c r="AK574" i="7"/>
  <c r="AL958" i="8"/>
  <c r="AO462" i="8"/>
  <c r="AO245" i="7" l="1"/>
  <c r="AM632" i="7"/>
  <c r="AQ632" i="7"/>
  <c r="AP904" i="7"/>
  <c r="AM784" i="8"/>
  <c r="AN784" i="8"/>
  <c r="AP784" i="8" s="1"/>
  <c r="AK300" i="8"/>
  <c r="AK408" i="7"/>
  <c r="AL408" i="7" s="1"/>
  <c r="AN408" i="7" s="1"/>
  <c r="AN632" i="7"/>
  <c r="AP632" i="7" s="1"/>
  <c r="AK748" i="8"/>
  <c r="AK518" i="7"/>
  <c r="AL518" i="7" s="1"/>
  <c r="AK851" i="7"/>
  <c r="AL851" i="7" s="1"/>
  <c r="AP245" i="7"/>
  <c r="AL299" i="7"/>
  <c r="AK244" i="8"/>
  <c r="AL244" i="8" s="1"/>
  <c r="AN356" i="7"/>
  <c r="AP356" i="7" s="1"/>
  <c r="AQ356" i="7"/>
  <c r="AL188" i="7"/>
  <c r="AK354" i="8"/>
  <c r="AL354" i="8" s="1"/>
  <c r="AP245" i="12"/>
  <c r="AO747" i="8"/>
  <c r="AM577" i="8"/>
  <c r="AO577" i="8" s="1"/>
  <c r="AQ577" i="8"/>
  <c r="AK412" i="8"/>
  <c r="AL412" i="8" s="1"/>
  <c r="AN412" i="8"/>
  <c r="AN193" i="8"/>
  <c r="AQ193" i="8"/>
  <c r="AP132" i="8"/>
  <c r="AQ692" i="8"/>
  <c r="AM692" i="8"/>
  <c r="AO692" i="8" s="1"/>
  <c r="AM465" i="7"/>
  <c r="AO465" i="7" s="1"/>
  <c r="AQ465" i="7"/>
  <c r="AQ741" i="7"/>
  <c r="AN741" i="7"/>
  <c r="AK136" i="12"/>
  <c r="AL136" i="12" s="1"/>
  <c r="AN136" i="12" s="1"/>
  <c r="AL574" i="7"/>
  <c r="AM741" i="7"/>
  <c r="AO741" i="7" s="1"/>
  <c r="AQ784" i="8"/>
  <c r="AK1018" i="8"/>
  <c r="AL1018" i="8" s="1"/>
  <c r="AN1018" i="8" s="1"/>
  <c r="AL463" i="8"/>
  <c r="AM193" i="8"/>
  <c r="AL297" i="12"/>
  <c r="AM297" i="12" s="1"/>
  <c r="AO299" i="8"/>
  <c r="AK1071" i="8"/>
  <c r="AL1071" i="8" s="1"/>
  <c r="AN1071" i="8" s="1"/>
  <c r="AQ685" i="7"/>
  <c r="AN685" i="7"/>
  <c r="AP685" i="7" s="1"/>
  <c r="AQ134" i="7"/>
  <c r="AM134" i="7"/>
  <c r="AO134" i="7" s="1"/>
  <c r="AP789" i="7"/>
  <c r="AQ519" i="8"/>
  <c r="AN519" i="8"/>
  <c r="AM519" i="8"/>
  <c r="AO519" i="8" s="1"/>
  <c r="AQ958" i="8"/>
  <c r="AN958" i="8"/>
  <c r="AN633" i="8"/>
  <c r="AQ633" i="8"/>
  <c r="AI886" i="8"/>
  <c r="AD887" i="8" s="1"/>
  <c r="AK836" i="8" s="1"/>
  <c r="AN905" i="8"/>
  <c r="AP905" i="8" s="1"/>
  <c r="AQ905" i="8"/>
  <c r="AM958" i="8"/>
  <c r="AK905" i="7"/>
  <c r="AL905" i="7" s="1"/>
  <c r="AM905" i="7" s="1"/>
  <c r="AM633" i="8"/>
  <c r="AP190" i="12"/>
  <c r="AP958" i="8" l="1"/>
  <c r="AP633" i="8"/>
  <c r="AP692" i="8"/>
  <c r="AO905" i="8"/>
  <c r="AP193" i="8"/>
  <c r="AQ905" i="7"/>
  <c r="AP577" i="8"/>
  <c r="AO838" i="8"/>
  <c r="AN574" i="7"/>
  <c r="AQ574" i="7"/>
  <c r="AK633" i="7"/>
  <c r="AP136" i="12"/>
  <c r="AK357" i="7"/>
  <c r="AQ244" i="8"/>
  <c r="AM244" i="8"/>
  <c r="AK693" i="8"/>
  <c r="AL693" i="8" s="1"/>
  <c r="AN905" i="7"/>
  <c r="AP905" i="7" s="1"/>
  <c r="AM851" i="7"/>
  <c r="AQ851" i="7"/>
  <c r="AK686" i="7"/>
  <c r="AK133" i="8"/>
  <c r="AL133" i="8" s="1"/>
  <c r="AQ1071" i="8"/>
  <c r="AM1071" i="8"/>
  <c r="AO1071" i="8" s="1"/>
  <c r="AQ136" i="12"/>
  <c r="AM136" i="12"/>
  <c r="AO136" i="12" s="1"/>
  <c r="AP741" i="7"/>
  <c r="AK959" i="8"/>
  <c r="AK191" i="12"/>
  <c r="AL191" i="12" s="1"/>
  <c r="AN191" i="12" s="1"/>
  <c r="AP412" i="8"/>
  <c r="AO633" i="8"/>
  <c r="AP519" i="8"/>
  <c r="AQ463" i="8"/>
  <c r="AN463" i="8"/>
  <c r="AK246" i="7"/>
  <c r="AL246" i="7" s="1"/>
  <c r="AN246" i="7" s="1"/>
  <c r="AL748" i="8"/>
  <c r="AN851" i="7"/>
  <c r="AO356" i="7"/>
  <c r="AM354" i="8"/>
  <c r="AQ354" i="8"/>
  <c r="AN188" i="7"/>
  <c r="AQ188" i="7"/>
  <c r="AM574" i="7"/>
  <c r="AO574" i="7" s="1"/>
  <c r="AM188" i="7"/>
  <c r="AO188" i="7" s="1"/>
  <c r="AM408" i="7"/>
  <c r="AO408" i="7" s="1"/>
  <c r="AQ408" i="7"/>
  <c r="AK578" i="8"/>
  <c r="AL578" i="8" s="1"/>
  <c r="AN578" i="8" s="1"/>
  <c r="AQ412" i="8"/>
  <c r="AM412" i="8"/>
  <c r="AO412" i="8" s="1"/>
  <c r="AO193" i="8"/>
  <c r="AO632" i="7"/>
  <c r="AO685" i="7"/>
  <c r="AP465" i="7"/>
  <c r="AK906" i="8"/>
  <c r="AL906" i="8" s="1"/>
  <c r="AP134" i="7"/>
  <c r="AK246" i="12"/>
  <c r="AL246" i="12" s="1"/>
  <c r="AN246" i="12" s="1"/>
  <c r="AQ518" i="7"/>
  <c r="AM518" i="7"/>
  <c r="AK785" i="8"/>
  <c r="AK634" i="8"/>
  <c r="AK194" i="8"/>
  <c r="AL300" i="8"/>
  <c r="AQ297" i="12"/>
  <c r="AN297" i="12"/>
  <c r="AP297" i="12" s="1"/>
  <c r="AN244" i="8"/>
  <c r="AN299" i="7"/>
  <c r="AQ299" i="7"/>
  <c r="AM299" i="7"/>
  <c r="AO299" i="7" s="1"/>
  <c r="AK790" i="7"/>
  <c r="AL790" i="7" s="1"/>
  <c r="AO958" i="8"/>
  <c r="AM463" i="8"/>
  <c r="AO463" i="8" s="1"/>
  <c r="AQ1018" i="8"/>
  <c r="AM1018" i="8"/>
  <c r="AO1018" i="8" s="1"/>
  <c r="AN354" i="8"/>
  <c r="AN518" i="7"/>
  <c r="AP518" i="7" s="1"/>
  <c r="AO784" i="8"/>
  <c r="AO354" i="8" l="1"/>
  <c r="AP244" i="8"/>
  <c r="AO851" i="7"/>
  <c r="AM693" i="8"/>
  <c r="AN693" i="8"/>
  <c r="AP693" i="8" s="1"/>
  <c r="AQ693" i="8"/>
  <c r="AM906" i="8"/>
  <c r="AQ906" i="8"/>
  <c r="AN906" i="8"/>
  <c r="AP906" i="8" s="1"/>
  <c r="AQ790" i="7"/>
  <c r="AM790" i="7"/>
  <c r="AK137" i="12"/>
  <c r="AL137" i="12" s="1"/>
  <c r="AM191" i="12"/>
  <c r="AO191" i="12" s="1"/>
  <c r="AQ191" i="12"/>
  <c r="AP851" i="7"/>
  <c r="AP408" i="7"/>
  <c r="AK519" i="7"/>
  <c r="AO518" i="7"/>
  <c r="AK298" i="12"/>
  <c r="AP1071" i="8"/>
  <c r="AL634" i="8"/>
  <c r="AM578" i="8"/>
  <c r="AO578" i="8" s="1"/>
  <c r="AL357" i="7"/>
  <c r="AQ748" i="8"/>
  <c r="AN748" i="8"/>
  <c r="AP1018" i="8"/>
  <c r="AM133" i="8"/>
  <c r="AQ133" i="8"/>
  <c r="AO297" i="12"/>
  <c r="AL959" i="8"/>
  <c r="AK413" i="8"/>
  <c r="AL413" i="8" s="1"/>
  <c r="AN790" i="7"/>
  <c r="AP188" i="7"/>
  <c r="AL686" i="7"/>
  <c r="AP299" i="7"/>
  <c r="AK742" i="7"/>
  <c r="AL742" i="7" s="1"/>
  <c r="AN742" i="7"/>
  <c r="AQ578" i="8"/>
  <c r="AP574" i="7"/>
  <c r="AL785" i="8"/>
  <c r="AL194" i="8"/>
  <c r="AM194" i="8" s="1"/>
  <c r="AO905" i="7"/>
  <c r="AP354" i="8"/>
  <c r="AN300" i="8"/>
  <c r="AQ300" i="8"/>
  <c r="AM246" i="7"/>
  <c r="AO246" i="7" s="1"/>
  <c r="AQ246" i="7"/>
  <c r="AN133" i="8"/>
  <c r="AK520" i="8"/>
  <c r="AL520" i="8" s="1"/>
  <c r="AN520" i="8" s="1"/>
  <c r="AK466" i="7"/>
  <c r="AL466" i="7" s="1"/>
  <c r="AL633" i="7"/>
  <c r="AM633" i="7" s="1"/>
  <c r="AK906" i="7"/>
  <c r="AK245" i="8"/>
  <c r="AM748" i="8"/>
  <c r="AM246" i="12"/>
  <c r="AO246" i="12" s="1"/>
  <c r="AQ246" i="12"/>
  <c r="AM300" i="8"/>
  <c r="AK135" i="7"/>
  <c r="AL135" i="7" s="1"/>
  <c r="AN135" i="7" s="1"/>
  <c r="AP463" i="8"/>
  <c r="AO244" i="8"/>
  <c r="AP838" i="8"/>
  <c r="AO748" i="8" l="1"/>
  <c r="AP191" i="12"/>
  <c r="AK192" i="12" s="1"/>
  <c r="AL192" i="12" s="1"/>
  <c r="AN192" i="12" s="1"/>
  <c r="AO790" i="7"/>
  <c r="AO300" i="8"/>
  <c r="AP133" i="8"/>
  <c r="AM137" i="12"/>
  <c r="AQ137" i="12"/>
  <c r="AN137" i="12"/>
  <c r="AP137" i="12" s="1"/>
  <c r="AQ413" i="8"/>
  <c r="AM413" i="8"/>
  <c r="AN413" i="8"/>
  <c r="AP413" i="8" s="1"/>
  <c r="AQ466" i="7"/>
  <c r="AM466" i="7"/>
  <c r="AO466" i="7" s="1"/>
  <c r="AN785" i="8"/>
  <c r="AP785" i="8" s="1"/>
  <c r="AQ785" i="8"/>
  <c r="AN959" i="8"/>
  <c r="AQ959" i="8"/>
  <c r="AL519" i="7"/>
  <c r="AQ634" i="8"/>
  <c r="AN634" i="8"/>
  <c r="AM634" i="8"/>
  <c r="AO634" i="8" s="1"/>
  <c r="AQ686" i="7"/>
  <c r="AN686" i="7"/>
  <c r="AP246" i="12"/>
  <c r="AK355" i="8"/>
  <c r="AL355" i="8" s="1"/>
  <c r="AN355" i="8"/>
  <c r="AM686" i="7"/>
  <c r="AP748" i="8"/>
  <c r="AK464" i="8"/>
  <c r="AL464" i="8" s="1"/>
  <c r="AN464" i="8" s="1"/>
  <c r="AQ357" i="7"/>
  <c r="AN357" i="7"/>
  <c r="AP135" i="7"/>
  <c r="AM357" i="7"/>
  <c r="AM520" i="8"/>
  <c r="AO520" i="8" s="1"/>
  <c r="AQ520" i="8"/>
  <c r="AK575" i="7"/>
  <c r="AL575" i="7" s="1"/>
  <c r="AN575" i="7"/>
  <c r="AK134" i="8"/>
  <c r="AL298" i="12"/>
  <c r="AM298" i="12" s="1"/>
  <c r="AK300" i="7"/>
  <c r="AL300" i="7" s="1"/>
  <c r="AN300" i="7"/>
  <c r="AP300" i="8"/>
  <c r="AK1019" i="8"/>
  <c r="AL1019" i="8" s="1"/>
  <c r="AN1019" i="8" s="1"/>
  <c r="AP246" i="7"/>
  <c r="AQ633" i="7"/>
  <c r="AN633" i="7"/>
  <c r="AP633" i="7" s="1"/>
  <c r="AK694" i="8"/>
  <c r="AK1072" i="8"/>
  <c r="AL1072" i="8" s="1"/>
  <c r="AN1072" i="8" s="1"/>
  <c r="AM135" i="7"/>
  <c r="AO135" i="7" s="1"/>
  <c r="AQ135" i="7"/>
  <c r="AM785" i="8"/>
  <c r="AM959" i="8"/>
  <c r="AQ742" i="7"/>
  <c r="AM742" i="7"/>
  <c r="AO742" i="7" s="1"/>
  <c r="AO133" i="8"/>
  <c r="AK907" i="8"/>
  <c r="AK409" i="7"/>
  <c r="AL409" i="7" s="1"/>
  <c r="AQ838" i="8"/>
  <c r="AK839" i="8" s="1"/>
  <c r="AL839" i="8" s="1"/>
  <c r="AP790" i="7"/>
  <c r="AO693" i="8"/>
  <c r="AO906" i="8"/>
  <c r="AK852" i="7"/>
  <c r="AL852" i="7" s="1"/>
  <c r="AL906" i="7"/>
  <c r="AK189" i="7"/>
  <c r="AL189" i="7" s="1"/>
  <c r="AN189" i="7" s="1"/>
  <c r="AL245" i="8"/>
  <c r="AN466" i="7"/>
  <c r="AN194" i="8"/>
  <c r="AP194" i="8" s="1"/>
  <c r="AQ194" i="8"/>
  <c r="AP578" i="8"/>
  <c r="AO959" i="8" l="1"/>
  <c r="AP686" i="7"/>
  <c r="AO357" i="7"/>
  <c r="AM839" i="8"/>
  <c r="AN839" i="8"/>
  <c r="AP839" i="8" s="1"/>
  <c r="AQ852" i="7"/>
  <c r="AM852" i="7"/>
  <c r="AK634" i="7"/>
  <c r="AL907" i="8"/>
  <c r="AM907" i="8" s="1"/>
  <c r="AM355" i="8"/>
  <c r="AO355" i="8" s="1"/>
  <c r="AQ355" i="8"/>
  <c r="AK247" i="7"/>
  <c r="AL247" i="7" s="1"/>
  <c r="AK687" i="7"/>
  <c r="AP959" i="8"/>
  <c r="AK791" i="7"/>
  <c r="AL791" i="7" s="1"/>
  <c r="AN791" i="7" s="1"/>
  <c r="AO785" i="8"/>
  <c r="AM409" i="7"/>
  <c r="AQ409" i="7"/>
  <c r="AM1072" i="8"/>
  <c r="AO1072" i="8" s="1"/>
  <c r="AQ1072" i="8"/>
  <c r="AM189" i="7"/>
  <c r="AO189" i="7" s="1"/>
  <c r="AQ189" i="7"/>
  <c r="AO194" i="8"/>
  <c r="AN519" i="7"/>
  <c r="AQ519" i="7"/>
  <c r="AN852" i="7"/>
  <c r="AP852" i="7" s="1"/>
  <c r="AK247" i="12"/>
  <c r="AL247" i="12" s="1"/>
  <c r="AN247" i="12" s="1"/>
  <c r="AK579" i="8"/>
  <c r="AL579" i="8" s="1"/>
  <c r="AN579" i="8" s="1"/>
  <c r="AL694" i="8"/>
  <c r="AP520" i="8"/>
  <c r="AM192" i="12"/>
  <c r="AO192" i="12" s="1"/>
  <c r="AQ192" i="12"/>
  <c r="AK786" i="8"/>
  <c r="AP634" i="8"/>
  <c r="AP466" i="7"/>
  <c r="AN245" i="8"/>
  <c r="AQ245" i="8"/>
  <c r="AP357" i="7"/>
  <c r="AM245" i="8"/>
  <c r="AO245" i="8" s="1"/>
  <c r="AP1072" i="8"/>
  <c r="AP189" i="7"/>
  <c r="AN409" i="7"/>
  <c r="AQ906" i="7"/>
  <c r="AN906" i="7"/>
  <c r="AP906" i="7" s="1"/>
  <c r="AM519" i="7"/>
  <c r="AO519" i="7" s="1"/>
  <c r="AK138" i="12"/>
  <c r="AQ575" i="7"/>
  <c r="AM575" i="7"/>
  <c r="AO575" i="7" s="1"/>
  <c r="AM1019" i="8"/>
  <c r="AO1019" i="8" s="1"/>
  <c r="AQ1019" i="8"/>
  <c r="AK301" i="8"/>
  <c r="AL301" i="8" s="1"/>
  <c r="AN301" i="8"/>
  <c r="AK195" i="8"/>
  <c r="AQ839" i="8"/>
  <c r="AM300" i="7"/>
  <c r="AO300" i="7" s="1"/>
  <c r="AQ300" i="7"/>
  <c r="AK136" i="7"/>
  <c r="AL136" i="7" s="1"/>
  <c r="AO633" i="7"/>
  <c r="AQ298" i="12"/>
  <c r="AN298" i="12"/>
  <c r="AP298" i="12" s="1"/>
  <c r="AK414" i="8"/>
  <c r="AM464" i="8"/>
  <c r="AO464" i="8" s="1"/>
  <c r="AQ464" i="8"/>
  <c r="AO413" i="8"/>
  <c r="AM906" i="7"/>
  <c r="AL134" i="8"/>
  <c r="AM134" i="8" s="1"/>
  <c r="AK749" i="8"/>
  <c r="AL749" i="8" s="1"/>
  <c r="AN749" i="8" s="1"/>
  <c r="AP742" i="7"/>
  <c r="AO686" i="7"/>
  <c r="AO137" i="12"/>
  <c r="AP409" i="7" l="1"/>
  <c r="AK410" i="7" s="1"/>
  <c r="AM136" i="7"/>
  <c r="AN136" i="7"/>
  <c r="AP136" i="7" s="1"/>
  <c r="AQ136" i="7"/>
  <c r="AQ247" i="7"/>
  <c r="AM247" i="7"/>
  <c r="AO247" i="7" s="1"/>
  <c r="AN694" i="8"/>
  <c r="AQ694" i="8"/>
  <c r="AL414" i="8"/>
  <c r="AK1073" i="8"/>
  <c r="AL1073" i="8" s="1"/>
  <c r="AQ301" i="8"/>
  <c r="AM301" i="8"/>
  <c r="AO301" i="8" s="1"/>
  <c r="AL190" i="7"/>
  <c r="AN190" i="7" s="1"/>
  <c r="AK299" i="12"/>
  <c r="AL634" i="7"/>
  <c r="AM634" i="7" s="1"/>
  <c r="AO839" i="8"/>
  <c r="AK853" i="7"/>
  <c r="AN247" i="7"/>
  <c r="AK907" i="7"/>
  <c r="AL786" i="8"/>
  <c r="AM694" i="8"/>
  <c r="AL195" i="8"/>
  <c r="AM195" i="8" s="1"/>
  <c r="AP245" i="8"/>
  <c r="AK840" i="8"/>
  <c r="AL138" i="12"/>
  <c r="AM138" i="12" s="1"/>
  <c r="AK635" i="8"/>
  <c r="AL635" i="8" s="1"/>
  <c r="AN635" i="8"/>
  <c r="AP300" i="7"/>
  <c r="AO409" i="7"/>
  <c r="AO298" i="12"/>
  <c r="AN907" i="8"/>
  <c r="AP907" i="8" s="1"/>
  <c r="AQ907" i="8"/>
  <c r="AK190" i="7"/>
  <c r="AQ791" i="7"/>
  <c r="AM791" i="7"/>
  <c r="AO791" i="7" s="1"/>
  <c r="AK358" i="7"/>
  <c r="AL358" i="7" s="1"/>
  <c r="AO852" i="7"/>
  <c r="AP192" i="12"/>
  <c r="AQ247" i="12"/>
  <c r="AM247" i="12"/>
  <c r="AO247" i="12" s="1"/>
  <c r="AL687" i="7"/>
  <c r="AP355" i="8"/>
  <c r="AP464" i="8"/>
  <c r="AM749" i="8"/>
  <c r="AO749" i="8" s="1"/>
  <c r="AQ749" i="8"/>
  <c r="AN134" i="8"/>
  <c r="AP134" i="8" s="1"/>
  <c r="AQ134" i="8"/>
  <c r="AK521" i="8"/>
  <c r="AL521" i="8" s="1"/>
  <c r="AN521" i="8" s="1"/>
  <c r="AO906" i="7"/>
  <c r="AP519" i="7"/>
  <c r="AQ579" i="8"/>
  <c r="AM579" i="8"/>
  <c r="AO579" i="8" s="1"/>
  <c r="AK467" i="7"/>
  <c r="AL467" i="7" s="1"/>
  <c r="AN467" i="7" s="1"/>
  <c r="AK960" i="8"/>
  <c r="AL960" i="8" s="1"/>
  <c r="AK743" i="7"/>
  <c r="AL743" i="7" s="1"/>
  <c r="AP575" i="7"/>
  <c r="AP1019" i="8"/>
  <c r="AN1073" i="8" l="1"/>
  <c r="AP1073" i="8" s="1"/>
  <c r="AK1074" i="8" s="1"/>
  <c r="AM1073" i="8"/>
  <c r="AQ1073" i="8"/>
  <c r="AP694" i="8"/>
  <c r="AL299" i="12"/>
  <c r="AL840" i="8"/>
  <c r="AQ960" i="8"/>
  <c r="AM960" i="8"/>
  <c r="AK301" i="7"/>
  <c r="AL301" i="7" s="1"/>
  <c r="AN786" i="8"/>
  <c r="AQ786" i="8"/>
  <c r="AK135" i="8"/>
  <c r="AM786" i="8"/>
  <c r="AK356" i="8"/>
  <c r="AL356" i="8" s="1"/>
  <c r="AN356" i="8" s="1"/>
  <c r="AN687" i="7"/>
  <c r="AQ687" i="7"/>
  <c r="AK246" i="8"/>
  <c r="AL246" i="8" s="1"/>
  <c r="AN246" i="8" s="1"/>
  <c r="AK1020" i="8"/>
  <c r="AL1020" i="8" s="1"/>
  <c r="AN1020" i="8"/>
  <c r="AP791" i="7"/>
  <c r="AQ521" i="8"/>
  <c r="AM521" i="8"/>
  <c r="AO521" i="8" s="1"/>
  <c r="AL410" i="7"/>
  <c r="AM410" i="7" s="1"/>
  <c r="AL853" i="7"/>
  <c r="AN138" i="12"/>
  <c r="AP138" i="12" s="1"/>
  <c r="AQ138" i="12"/>
  <c r="AQ190" i="7"/>
  <c r="AM190" i="7"/>
  <c r="AO190" i="7" s="1"/>
  <c r="AM687" i="7"/>
  <c r="AK137" i="7"/>
  <c r="AK908" i="8"/>
  <c r="AP247" i="7"/>
  <c r="AO136" i="7"/>
  <c r="AP301" i="8"/>
  <c r="AK576" i="7"/>
  <c r="AL576" i="7" s="1"/>
  <c r="AN576" i="7" s="1"/>
  <c r="AK520" i="7"/>
  <c r="AL520" i="7" s="1"/>
  <c r="AP247" i="12"/>
  <c r="AO907" i="8"/>
  <c r="AO1073" i="8"/>
  <c r="AN960" i="8"/>
  <c r="AK695" i="8"/>
  <c r="AM358" i="7"/>
  <c r="AQ358" i="7"/>
  <c r="AN358" i="7"/>
  <c r="AK465" i="8"/>
  <c r="AL465" i="8" s="1"/>
  <c r="AN465" i="8" s="1"/>
  <c r="AP749" i="8"/>
  <c r="AK193" i="12"/>
  <c r="AL193" i="12" s="1"/>
  <c r="AN414" i="8"/>
  <c r="AQ414" i="8"/>
  <c r="AO134" i="8"/>
  <c r="AN195" i="8"/>
  <c r="AP195" i="8" s="1"/>
  <c r="AQ195" i="8"/>
  <c r="AQ634" i="7"/>
  <c r="AN634" i="7"/>
  <c r="AP634" i="7" s="1"/>
  <c r="AO694" i="8"/>
  <c r="AQ467" i="7"/>
  <c r="AM467" i="7"/>
  <c r="AO467" i="7" s="1"/>
  <c r="AM635" i="8"/>
  <c r="AO635" i="8" s="1"/>
  <c r="AQ635" i="8"/>
  <c r="AQ743" i="7"/>
  <c r="AM743" i="7"/>
  <c r="AN743" i="7"/>
  <c r="AP743" i="7" s="1"/>
  <c r="AL907" i="7"/>
  <c r="AM414" i="8"/>
  <c r="AO414" i="8" s="1"/>
  <c r="AP579" i="8"/>
  <c r="AO138" i="12" l="1"/>
  <c r="AP786" i="8"/>
  <c r="AO960" i="8"/>
  <c r="AP687" i="7"/>
  <c r="AK688" i="7" s="1"/>
  <c r="AP635" i="8"/>
  <c r="AP358" i="7"/>
  <c r="AK359" i="7" s="1"/>
  <c r="AQ301" i="7"/>
  <c r="AM301" i="7"/>
  <c r="AK248" i="7"/>
  <c r="AL248" i="7" s="1"/>
  <c r="AQ840" i="8"/>
  <c r="AN840" i="8"/>
  <c r="AP840" i="8" s="1"/>
  <c r="AO358" i="7"/>
  <c r="AK744" i="7"/>
  <c r="AO743" i="7"/>
  <c r="AO687" i="7"/>
  <c r="AL1074" i="8"/>
  <c r="AO786" i="8"/>
  <c r="AK196" i="8"/>
  <c r="AL135" i="8"/>
  <c r="AM135" i="8" s="1"/>
  <c r="AN907" i="7"/>
  <c r="AQ907" i="7"/>
  <c r="AQ299" i="12"/>
  <c r="AN299" i="12"/>
  <c r="AP521" i="8"/>
  <c r="AO634" i="7"/>
  <c r="AK635" i="7"/>
  <c r="AK636" i="8"/>
  <c r="AL636" i="8" s="1"/>
  <c r="AN636" i="8" s="1"/>
  <c r="AK787" i="8"/>
  <c r="AN853" i="7"/>
  <c r="AQ853" i="7"/>
  <c r="AN301" i="7"/>
  <c r="AL137" i="7"/>
  <c r="AM853" i="7"/>
  <c r="AM907" i="7"/>
  <c r="AP414" i="8"/>
  <c r="AM840" i="8"/>
  <c r="AM299" i="12"/>
  <c r="AP960" i="8"/>
  <c r="AL908" i="8"/>
  <c r="AM908" i="8" s="1"/>
  <c r="AK248" i="12"/>
  <c r="AL248" i="12" s="1"/>
  <c r="AN248" i="12" s="1"/>
  <c r="AP467" i="7"/>
  <c r="AK139" i="12"/>
  <c r="AQ246" i="8"/>
  <c r="AM246" i="8"/>
  <c r="AO246" i="8" s="1"/>
  <c r="AO195" i="8"/>
  <c r="AM576" i="7"/>
  <c r="AO576" i="7" s="1"/>
  <c r="AQ576" i="7"/>
  <c r="AK302" i="8"/>
  <c r="AL302" i="8" s="1"/>
  <c r="AN302" i="8" s="1"/>
  <c r="AK580" i="8"/>
  <c r="AL580" i="8" s="1"/>
  <c r="AQ410" i="7"/>
  <c r="AN410" i="7"/>
  <c r="AP410" i="7" s="1"/>
  <c r="AM356" i="8"/>
  <c r="AO356" i="8" s="1"/>
  <c r="AQ356" i="8"/>
  <c r="AM193" i="12"/>
  <c r="AQ193" i="12"/>
  <c r="AN193" i="12"/>
  <c r="AK792" i="7"/>
  <c r="AL792" i="7" s="1"/>
  <c r="AM1020" i="8"/>
  <c r="AO1020" i="8" s="1"/>
  <c r="AQ1020" i="8"/>
  <c r="AK750" i="8"/>
  <c r="AL750" i="8" s="1"/>
  <c r="AN750" i="8" s="1"/>
  <c r="AQ520" i="7"/>
  <c r="AM520" i="7"/>
  <c r="AL695" i="8"/>
  <c r="AM465" i="8"/>
  <c r="AO465" i="8" s="1"/>
  <c r="AQ465" i="8"/>
  <c r="AN520" i="7"/>
  <c r="AP190" i="7"/>
  <c r="AL139" i="12" l="1"/>
  <c r="AP246" i="8"/>
  <c r="AP907" i="7"/>
  <c r="AO853" i="7"/>
  <c r="AP299" i="12"/>
  <c r="AK300" i="12" s="1"/>
  <c r="AP301" i="7"/>
  <c r="AK302" i="7" s="1"/>
  <c r="AO193" i="12"/>
  <c r="AO520" i="7"/>
  <c r="AM139" i="12"/>
  <c r="AQ139" i="12"/>
  <c r="AN139" i="12"/>
  <c r="AP139" i="12" s="1"/>
  <c r="AO135" i="8"/>
  <c r="AK415" i="8"/>
  <c r="AL415" i="8" s="1"/>
  <c r="AK908" i="7"/>
  <c r="AN695" i="8"/>
  <c r="AP695" i="8" s="1"/>
  <c r="AQ695" i="8"/>
  <c r="AP465" i="8"/>
  <c r="AK411" i="7"/>
  <c r="AQ248" i="7"/>
  <c r="AM248" i="7"/>
  <c r="AQ302" i="8"/>
  <c r="AM302" i="8"/>
  <c r="AO302" i="8" s="1"/>
  <c r="AN1074" i="8"/>
  <c r="AP1074" i="8" s="1"/>
  <c r="AQ1074" i="8"/>
  <c r="AO301" i="7"/>
  <c r="AK247" i="8"/>
  <c r="AL247" i="8" s="1"/>
  <c r="AL359" i="7"/>
  <c r="AM359" i="7" s="1"/>
  <c r="AK468" i="7"/>
  <c r="AL468" i="7" s="1"/>
  <c r="AN468" i="7" s="1"/>
  <c r="AQ137" i="7"/>
  <c r="AN137" i="7"/>
  <c r="AK522" i="8"/>
  <c r="AL522" i="8" s="1"/>
  <c r="AN522" i="8" s="1"/>
  <c r="AQ792" i="7"/>
  <c r="AM792" i="7"/>
  <c r="AP1020" i="8"/>
  <c r="AK961" i="8"/>
  <c r="AL961" i="8" s="1"/>
  <c r="AM1074" i="8"/>
  <c r="AL744" i="7"/>
  <c r="AO907" i="7"/>
  <c r="AQ750" i="8"/>
  <c r="AM750" i="8"/>
  <c r="AO750" i="8" s="1"/>
  <c r="AP356" i="8"/>
  <c r="AQ580" i="8"/>
  <c r="AM580" i="8"/>
  <c r="AK191" i="7"/>
  <c r="AL191" i="7" s="1"/>
  <c r="AO299" i="12"/>
  <c r="AQ636" i="8"/>
  <c r="AP576" i="7"/>
  <c r="AQ135" i="8"/>
  <c r="AN135" i="8"/>
  <c r="AP135" i="8" s="1"/>
  <c r="AL635" i="7"/>
  <c r="AM635" i="7" s="1"/>
  <c r="AM695" i="8"/>
  <c r="AK841" i="8"/>
  <c r="AQ248" i="12"/>
  <c r="AM248" i="12"/>
  <c r="AO248" i="12" s="1"/>
  <c r="AN908" i="8"/>
  <c r="AP908" i="8" s="1"/>
  <c r="AQ908" i="8"/>
  <c r="AM636" i="8"/>
  <c r="AO636" i="8" s="1"/>
  <c r="AM137" i="7"/>
  <c r="AN248" i="7"/>
  <c r="AN580" i="8"/>
  <c r="AP853" i="7"/>
  <c r="AL787" i="8"/>
  <c r="AM787" i="8" s="1"/>
  <c r="AN792" i="7"/>
  <c r="AP193" i="12"/>
  <c r="AL196" i="8"/>
  <c r="AM196" i="8" s="1"/>
  <c r="AP520" i="7"/>
  <c r="AO840" i="8"/>
  <c r="AL688" i="7"/>
  <c r="AM688" i="7" s="1"/>
  <c r="AO410" i="7"/>
  <c r="AP750" i="8" l="1"/>
  <c r="AP792" i="7"/>
  <c r="AN247" i="8"/>
  <c r="AQ247" i="8"/>
  <c r="AO248" i="7"/>
  <c r="AO137" i="7"/>
  <c r="AO580" i="8"/>
  <c r="AM191" i="7"/>
  <c r="AQ191" i="7"/>
  <c r="AK521" i="7"/>
  <c r="AL521" i="7" s="1"/>
  <c r="AN521" i="7" s="1"/>
  <c r="AK1075" i="8"/>
  <c r="AM961" i="8"/>
  <c r="AO961" i="8" s="1"/>
  <c r="AQ961" i="8"/>
  <c r="AO695" i="8"/>
  <c r="AK1021" i="8"/>
  <c r="AL1021" i="8" s="1"/>
  <c r="AN1021" i="8" s="1"/>
  <c r="AP636" i="8"/>
  <c r="AK696" i="8"/>
  <c r="AK577" i="7"/>
  <c r="AL577" i="7" s="1"/>
  <c r="AN577" i="7" s="1"/>
  <c r="AK909" i="8"/>
  <c r="AL300" i="12"/>
  <c r="AL302" i="7"/>
  <c r="AM415" i="8"/>
  <c r="AQ415" i="8"/>
  <c r="AK194" i="12"/>
  <c r="AL194" i="12" s="1"/>
  <c r="AN194" i="12" s="1"/>
  <c r="AN961" i="8"/>
  <c r="AP248" i="12"/>
  <c r="AM468" i="7"/>
  <c r="AO468" i="7" s="1"/>
  <c r="AQ468" i="7"/>
  <c r="AK751" i="8"/>
  <c r="AL751" i="8" s="1"/>
  <c r="AQ751" i="8" s="1"/>
  <c r="AK854" i="7"/>
  <c r="AL854" i="7" s="1"/>
  <c r="AN854" i="7"/>
  <c r="AK357" i="8"/>
  <c r="AL357" i="8" s="1"/>
  <c r="AN357" i="8" s="1"/>
  <c r="AO792" i="7"/>
  <c r="AK140" i="12"/>
  <c r="AQ522" i="8"/>
  <c r="AM522" i="8"/>
  <c r="AO522" i="8" s="1"/>
  <c r="AQ744" i="7"/>
  <c r="AN744" i="7"/>
  <c r="AN191" i="7"/>
  <c r="AM744" i="7"/>
  <c r="AO744" i="7" s="1"/>
  <c r="AP302" i="8"/>
  <c r="AO908" i="8"/>
  <c r="AQ635" i="7"/>
  <c r="AN635" i="7"/>
  <c r="AP635" i="7" s="1"/>
  <c r="AP580" i="8"/>
  <c r="AK466" i="8"/>
  <c r="AL466" i="8" s="1"/>
  <c r="AN466" i="8" s="1"/>
  <c r="AL841" i="8"/>
  <c r="AM841" i="8" s="1"/>
  <c r="AL908" i="7"/>
  <c r="AM247" i="8"/>
  <c r="AO247" i="8" s="1"/>
  <c r="AQ196" i="8"/>
  <c r="AN196" i="8"/>
  <c r="AP196" i="8" s="1"/>
  <c r="AP137" i="7"/>
  <c r="AO1074" i="8"/>
  <c r="AN415" i="8"/>
  <c r="AK793" i="7"/>
  <c r="AQ787" i="8"/>
  <c r="AN787" i="8"/>
  <c r="AP787" i="8" s="1"/>
  <c r="AQ359" i="7"/>
  <c r="AN359" i="7"/>
  <c r="AP359" i="7" s="1"/>
  <c r="AL411" i="7"/>
  <c r="AM411" i="7" s="1"/>
  <c r="AK136" i="8"/>
  <c r="AL136" i="8" s="1"/>
  <c r="AQ688" i="7"/>
  <c r="AN688" i="7"/>
  <c r="AP688" i="7" s="1"/>
  <c r="AP248" i="7"/>
  <c r="AO139" i="12"/>
  <c r="AP415" i="8" l="1"/>
  <c r="AP191" i="7"/>
  <c r="AO787" i="8"/>
  <c r="AM136" i="8"/>
  <c r="AQ136" i="8"/>
  <c r="AN136" i="8"/>
  <c r="AP136" i="8" s="1"/>
  <c r="AK192" i="7"/>
  <c r="AK249" i="7"/>
  <c r="AL249" i="7" s="1"/>
  <c r="AK138" i="7"/>
  <c r="AL138" i="7" s="1"/>
  <c r="AN138" i="7" s="1"/>
  <c r="AK249" i="12"/>
  <c r="AL249" i="12" s="1"/>
  <c r="AN249" i="12" s="1"/>
  <c r="AK197" i="8"/>
  <c r="AK581" i="8"/>
  <c r="AL581" i="8" s="1"/>
  <c r="AN581" i="8" s="1"/>
  <c r="AK636" i="7"/>
  <c r="AK360" i="7"/>
  <c r="AL793" i="7"/>
  <c r="AM793" i="7" s="1"/>
  <c r="AO196" i="8"/>
  <c r="AN751" i="8"/>
  <c r="AK416" i="8"/>
  <c r="AL1075" i="8"/>
  <c r="AM1075" i="8" s="1"/>
  <c r="AM521" i="7"/>
  <c r="AO521" i="7" s="1"/>
  <c r="AQ521" i="7"/>
  <c r="AP577" i="7"/>
  <c r="AN908" i="7"/>
  <c r="AQ908" i="7"/>
  <c r="AM908" i="7"/>
  <c r="AO908" i="7" s="1"/>
  <c r="AQ841" i="8"/>
  <c r="AN841" i="8"/>
  <c r="AP841" i="8" s="1"/>
  <c r="AM357" i="8"/>
  <c r="AO357" i="8" s="1"/>
  <c r="AQ357" i="8"/>
  <c r="AL696" i="8"/>
  <c r="AM696" i="8" s="1"/>
  <c r="AP522" i="8"/>
  <c r="AN300" i="12"/>
  <c r="AQ300" i="12"/>
  <c r="AM300" i="12"/>
  <c r="AQ577" i="7"/>
  <c r="AM577" i="7"/>
  <c r="AO577" i="7" s="1"/>
  <c r="AN411" i="7"/>
  <c r="AP411" i="7" s="1"/>
  <c r="AQ411" i="7"/>
  <c r="AO688" i="7"/>
  <c r="AL909" i="8"/>
  <c r="AK637" i="8"/>
  <c r="AL637" i="8" s="1"/>
  <c r="AP468" i="7"/>
  <c r="AK303" i="8"/>
  <c r="AL303" i="8" s="1"/>
  <c r="AK788" i="8"/>
  <c r="AL788" i="8" s="1"/>
  <c r="AN302" i="7"/>
  <c r="AQ302" i="7"/>
  <c r="AO635" i="7"/>
  <c r="AM751" i="8"/>
  <c r="AO751" i="8" s="1"/>
  <c r="AQ466" i="8"/>
  <c r="AM466" i="8"/>
  <c r="AO466" i="8" s="1"/>
  <c r="AP744" i="7"/>
  <c r="AK689" i="7"/>
  <c r="AP961" i="8"/>
  <c r="AQ194" i="12"/>
  <c r="AM194" i="12"/>
  <c r="AO194" i="12" s="1"/>
  <c r="AO191" i="7"/>
  <c r="AO359" i="7"/>
  <c r="AO415" i="8"/>
  <c r="AQ1021" i="8"/>
  <c r="AM1021" i="8"/>
  <c r="AO1021" i="8" s="1"/>
  <c r="AL140" i="12"/>
  <c r="AM854" i="7"/>
  <c r="AO854" i="7" s="1"/>
  <c r="AQ854" i="7"/>
  <c r="AM302" i="7"/>
  <c r="AP247" i="8"/>
  <c r="AO300" i="12" l="1"/>
  <c r="AO302" i="7"/>
  <c r="AP194" i="12"/>
  <c r="AM788" i="8"/>
  <c r="AN788" i="8"/>
  <c r="AP788" i="8" s="1"/>
  <c r="AQ788" i="8"/>
  <c r="AK248" i="8"/>
  <c r="AL248" i="8" s="1"/>
  <c r="AN248" i="8" s="1"/>
  <c r="AK578" i="7"/>
  <c r="AL578" i="7" s="1"/>
  <c r="AN578" i="7" s="1"/>
  <c r="AQ909" i="8"/>
  <c r="AN909" i="8"/>
  <c r="AK745" i="7"/>
  <c r="AL745" i="7" s="1"/>
  <c r="AN745" i="7" s="1"/>
  <c r="AK523" i="8"/>
  <c r="AL523" i="8" s="1"/>
  <c r="AN523" i="8" s="1"/>
  <c r="AQ140" i="12"/>
  <c r="AN140" i="12"/>
  <c r="AP140" i="12" s="1"/>
  <c r="AK195" i="12"/>
  <c r="AL195" i="12" s="1"/>
  <c r="AM195" i="12" s="1"/>
  <c r="AK412" i="7"/>
  <c r="AO136" i="8"/>
  <c r="AP521" i="7"/>
  <c r="AP357" i="8"/>
  <c r="AL636" i="7"/>
  <c r="AM636" i="7" s="1"/>
  <c r="AP302" i="7"/>
  <c r="AP466" i="8"/>
  <c r="AP908" i="7"/>
  <c r="AQ303" i="8"/>
  <c r="AM303" i="8"/>
  <c r="AO303" i="8" s="1"/>
  <c r="AM138" i="7"/>
  <c r="AO138" i="7" s="1"/>
  <c r="AQ138" i="7"/>
  <c r="AO411" i="7"/>
  <c r="AP300" i="12"/>
  <c r="AQ696" i="8"/>
  <c r="AN696" i="8"/>
  <c r="AP696" i="8" s="1"/>
  <c r="AL689" i="7"/>
  <c r="AM140" i="12"/>
  <c r="AK137" i="8"/>
  <c r="AO841" i="8"/>
  <c r="AQ249" i="12"/>
  <c r="AM249" i="12"/>
  <c r="AO249" i="12" s="1"/>
  <c r="AL192" i="7"/>
  <c r="AN303" i="8"/>
  <c r="AM249" i="7"/>
  <c r="AQ249" i="7"/>
  <c r="AM637" i="8"/>
  <c r="AQ637" i="8"/>
  <c r="AN637" i="8"/>
  <c r="AP637" i="8" s="1"/>
  <c r="AN1075" i="8"/>
  <c r="AP1075" i="8" s="1"/>
  <c r="AQ1075" i="8"/>
  <c r="AM909" i="8"/>
  <c r="AM581" i="8"/>
  <c r="AO581" i="8" s="1"/>
  <c r="AQ581" i="8"/>
  <c r="AK842" i="8"/>
  <c r="AL416" i="8"/>
  <c r="AP751" i="8"/>
  <c r="AL360" i="7"/>
  <c r="AP854" i="7"/>
  <c r="AL197" i="8"/>
  <c r="AQ793" i="7"/>
  <c r="AN793" i="7"/>
  <c r="AP793" i="7" s="1"/>
  <c r="AK962" i="8"/>
  <c r="AL962" i="8" s="1"/>
  <c r="AN962" i="8" s="1"/>
  <c r="AK469" i="7"/>
  <c r="AL469" i="7" s="1"/>
  <c r="AN469" i="7" s="1"/>
  <c r="AN249" i="7"/>
  <c r="AP249" i="7" s="1"/>
  <c r="AP1021" i="8"/>
  <c r="AP909" i="8" l="1"/>
  <c r="AM578" i="7"/>
  <c r="AO578" i="7" s="1"/>
  <c r="AK910" i="8"/>
  <c r="AQ197" i="8"/>
  <c r="AN197" i="8"/>
  <c r="AQ523" i="8"/>
  <c r="AM523" i="8"/>
  <c r="AO523" i="8" s="1"/>
  <c r="AQ416" i="8"/>
  <c r="AN416" i="8"/>
  <c r="AQ192" i="7"/>
  <c r="AN192" i="7"/>
  <c r="AQ195" i="12"/>
  <c r="AO909" i="8"/>
  <c r="AK358" i="8"/>
  <c r="AL358" i="8" s="1"/>
  <c r="AN358" i="8" s="1"/>
  <c r="AK638" i="8"/>
  <c r="AP138" i="7"/>
  <c r="AO1075" i="8"/>
  <c r="AK752" i="8"/>
  <c r="AL752" i="8" s="1"/>
  <c r="AK467" i="8"/>
  <c r="AL467" i="8" s="1"/>
  <c r="AN467" i="8" s="1"/>
  <c r="AM416" i="8"/>
  <c r="AO140" i="12"/>
  <c r="AK789" i="8"/>
  <c r="AK697" i="8"/>
  <c r="AK301" i="12"/>
  <c r="AL301" i="12" s="1"/>
  <c r="AN301" i="12" s="1"/>
  <c r="AM192" i="7"/>
  <c r="AK794" i="7"/>
  <c r="AN195" i="12"/>
  <c r="AP195" i="12" s="1"/>
  <c r="AK141" i="12"/>
  <c r="AM197" i="8"/>
  <c r="AQ578" i="7"/>
  <c r="AK855" i="7"/>
  <c r="AL855" i="7" s="1"/>
  <c r="AN855" i="7" s="1"/>
  <c r="AN360" i="7"/>
  <c r="AQ360" i="7"/>
  <c r="AQ248" i="8"/>
  <c r="AM248" i="8"/>
  <c r="AO248" i="8" s="1"/>
  <c r="AK909" i="7"/>
  <c r="AL909" i="7" s="1"/>
  <c r="AO637" i="8"/>
  <c r="AK1022" i="8"/>
  <c r="AL1022" i="8" s="1"/>
  <c r="AK250" i="7"/>
  <c r="AO249" i="7"/>
  <c r="AQ689" i="7"/>
  <c r="AN689" i="7"/>
  <c r="AP249" i="12"/>
  <c r="AL137" i="8"/>
  <c r="AO788" i="8"/>
  <c r="AQ962" i="8"/>
  <c r="AM962" i="8"/>
  <c r="AO962" i="8" s="1"/>
  <c r="AN636" i="7"/>
  <c r="AP636" i="7" s="1"/>
  <c r="AQ636" i="7"/>
  <c r="AP581" i="8"/>
  <c r="AL842" i="8"/>
  <c r="AL412" i="7"/>
  <c r="AK1076" i="8"/>
  <c r="AP248" i="8"/>
  <c r="AQ745" i="7"/>
  <c r="AM745" i="7"/>
  <c r="AO745" i="7" s="1"/>
  <c r="AM360" i="7"/>
  <c r="AK522" i="7"/>
  <c r="AL522" i="7" s="1"/>
  <c r="AO696" i="8"/>
  <c r="AQ469" i="7"/>
  <c r="AM469" i="7"/>
  <c r="AO469" i="7" s="1"/>
  <c r="AP303" i="8"/>
  <c r="AM689" i="7"/>
  <c r="AK303" i="7"/>
  <c r="AL303" i="7" s="1"/>
  <c r="AN303" i="7" s="1"/>
  <c r="AO793" i="7"/>
  <c r="AP192" i="7" l="1"/>
  <c r="AO416" i="8"/>
  <c r="AP197" i="8"/>
  <c r="AP360" i="7"/>
  <c r="AO689" i="7"/>
  <c r="AO636" i="7"/>
  <c r="AQ137" i="8"/>
  <c r="AN137" i="8"/>
  <c r="AP137" i="8" s="1"/>
  <c r="AK361" i="7"/>
  <c r="AQ412" i="7"/>
  <c r="AN412" i="7"/>
  <c r="AK250" i="12"/>
  <c r="AL250" i="12" s="1"/>
  <c r="AK304" i="8"/>
  <c r="AL304" i="8" s="1"/>
  <c r="AN304" i="8" s="1"/>
  <c r="AM522" i="7"/>
  <c r="AQ522" i="7"/>
  <c r="AN522" i="7"/>
  <c r="AL638" i="8"/>
  <c r="AM638" i="8" s="1"/>
  <c r="AQ909" i="7"/>
  <c r="AM909" i="7"/>
  <c r="AQ467" i="8"/>
  <c r="AM467" i="8"/>
  <c r="AO467" i="8" s="1"/>
  <c r="AO195" i="12"/>
  <c r="AK139" i="7"/>
  <c r="AL139" i="7" s="1"/>
  <c r="AN139" i="7" s="1"/>
  <c r="AL794" i="7"/>
  <c r="AQ855" i="7"/>
  <c r="AM855" i="7"/>
  <c r="AO855" i="7" s="1"/>
  <c r="AM412" i="7"/>
  <c r="AK198" i="8"/>
  <c r="AM1022" i="8"/>
  <c r="AQ1022" i="8"/>
  <c r="AL141" i="12"/>
  <c r="AK582" i="8"/>
  <c r="AL582" i="8" s="1"/>
  <c r="AN582" i="8" s="1"/>
  <c r="AK637" i="7"/>
  <c r="AQ752" i="8"/>
  <c r="AM752" i="8"/>
  <c r="AP416" i="8"/>
  <c r="AP578" i="7"/>
  <c r="AL789" i="8"/>
  <c r="AQ303" i="7"/>
  <c r="AM303" i="7"/>
  <c r="AO303" i="7" s="1"/>
  <c r="AN842" i="8"/>
  <c r="AQ842" i="8"/>
  <c r="AM842" i="8"/>
  <c r="AO842" i="8" s="1"/>
  <c r="AL250" i="7"/>
  <c r="AN1022" i="8"/>
  <c r="AK196" i="12"/>
  <c r="AO360" i="7"/>
  <c r="AO192" i="7"/>
  <c r="AN752" i="8"/>
  <c r="AP745" i="7"/>
  <c r="AM137" i="8"/>
  <c r="AM358" i="8"/>
  <c r="AO358" i="8" s="1"/>
  <c r="AQ358" i="8"/>
  <c r="AP689" i="7"/>
  <c r="AP523" i="8"/>
  <c r="AO197" i="8"/>
  <c r="AP469" i="7"/>
  <c r="AL910" i="8"/>
  <c r="AL697" i="8"/>
  <c r="AK193" i="7"/>
  <c r="AN909" i="7"/>
  <c r="AK249" i="8"/>
  <c r="AL249" i="8"/>
  <c r="AQ249" i="8" s="1"/>
  <c r="AM301" i="12"/>
  <c r="AO301" i="12" s="1"/>
  <c r="AQ301" i="12"/>
  <c r="AL1076" i="8"/>
  <c r="AM1076" i="8" s="1"/>
  <c r="AP962" i="8"/>
  <c r="AO1022" i="8" l="1"/>
  <c r="AL637" i="7"/>
  <c r="AO909" i="7"/>
  <c r="AP412" i="7"/>
  <c r="AP752" i="8"/>
  <c r="AK753" i="8" s="1"/>
  <c r="AP522" i="7"/>
  <c r="AM637" i="7"/>
  <c r="AQ637" i="7"/>
  <c r="AN637" i="7"/>
  <c r="AP637" i="7" s="1"/>
  <c r="AK746" i="7"/>
  <c r="AL746" i="7" s="1"/>
  <c r="AN746" i="7" s="1"/>
  <c r="AN697" i="8"/>
  <c r="AQ697" i="8"/>
  <c r="AQ141" i="12"/>
  <c r="AN141" i="12"/>
  <c r="AP141" i="12" s="1"/>
  <c r="AN789" i="8"/>
  <c r="AQ789" i="8"/>
  <c r="AM789" i="8"/>
  <c r="AN910" i="8"/>
  <c r="AQ910" i="8"/>
  <c r="AM910" i="8"/>
  <c r="AO910" i="8" s="1"/>
  <c r="AL361" i="7"/>
  <c r="AM361" i="7" s="1"/>
  <c r="AQ304" i="8"/>
  <c r="AM304" i="8"/>
  <c r="AO304" i="8" s="1"/>
  <c r="AL193" i="7"/>
  <c r="AP303" i="7"/>
  <c r="AL196" i="12"/>
  <c r="AM249" i="8"/>
  <c r="AM141" i="12"/>
  <c r="AM139" i="7"/>
  <c r="AO139" i="7" s="1"/>
  <c r="AQ139" i="7"/>
  <c r="AP301" i="12"/>
  <c r="AM697" i="8"/>
  <c r="AK579" i="7"/>
  <c r="AL579" i="7" s="1"/>
  <c r="AO752" i="8"/>
  <c r="AN250" i="7"/>
  <c r="AQ250" i="7"/>
  <c r="AN249" i="8"/>
  <c r="AP1022" i="8"/>
  <c r="AK690" i="7"/>
  <c r="AL690" i="7" s="1"/>
  <c r="AN690" i="7" s="1"/>
  <c r="AK523" i="7"/>
  <c r="AO522" i="7"/>
  <c r="AM250" i="12"/>
  <c r="AQ250" i="12"/>
  <c r="AK470" i="7"/>
  <c r="AL470" i="7" s="1"/>
  <c r="AN470" i="7" s="1"/>
  <c r="AN250" i="12"/>
  <c r="AP250" i="12" s="1"/>
  <c r="AK413" i="7"/>
  <c r="AQ638" i="8"/>
  <c r="AN638" i="8"/>
  <c r="AP638" i="8" s="1"/>
  <c r="AK138" i="8"/>
  <c r="AK963" i="8"/>
  <c r="AL963" i="8" s="1"/>
  <c r="AP467" i="8"/>
  <c r="AO137" i="8"/>
  <c r="AN794" i="7"/>
  <c r="AQ794" i="7"/>
  <c r="AP855" i="7"/>
  <c r="AL198" i="8"/>
  <c r="AM198" i="8" s="1"/>
  <c r="AK417" i="8"/>
  <c r="AL417" i="8" s="1"/>
  <c r="AN417" i="8" s="1"/>
  <c r="AK524" i="8"/>
  <c r="AL524" i="8" s="1"/>
  <c r="AN524" i="8" s="1"/>
  <c r="AP909" i="7"/>
  <c r="AO412" i="7"/>
  <c r="AM250" i="7"/>
  <c r="AO250" i="7" s="1"/>
  <c r="AQ1076" i="8"/>
  <c r="AN1076" i="8"/>
  <c r="AP1076" i="8" s="1"/>
  <c r="AP842" i="8"/>
  <c r="AQ582" i="8"/>
  <c r="AM582" i="8"/>
  <c r="AO582" i="8" s="1"/>
  <c r="AM794" i="7"/>
  <c r="AP358" i="8"/>
  <c r="AO794" i="7" l="1"/>
  <c r="AP249" i="8"/>
  <c r="AO697" i="8"/>
  <c r="AO789" i="8"/>
  <c r="AM417" i="8"/>
  <c r="AO417" i="8" s="1"/>
  <c r="AQ417" i="8"/>
  <c r="AQ690" i="7"/>
  <c r="AM690" i="7"/>
  <c r="AO690" i="7" s="1"/>
  <c r="AK1023" i="8"/>
  <c r="AL1023" i="8" s="1"/>
  <c r="AN1023" i="8" s="1"/>
  <c r="AK856" i="7"/>
  <c r="AL856" i="7" s="1"/>
  <c r="AN856" i="7"/>
  <c r="AO141" i="12"/>
  <c r="AL413" i="7"/>
  <c r="AM413" i="7" s="1"/>
  <c r="AP250" i="7"/>
  <c r="AK638" i="7"/>
  <c r="AK142" i="12"/>
  <c r="AP582" i="8"/>
  <c r="AQ361" i="7"/>
  <c r="AN361" i="7"/>
  <c r="AP361" i="7" s="1"/>
  <c r="AK251" i="12"/>
  <c r="AO1076" i="8"/>
  <c r="AL138" i="8"/>
  <c r="AM963" i="8"/>
  <c r="AO963" i="8" s="1"/>
  <c r="AQ963" i="8"/>
  <c r="AP789" i="8"/>
  <c r="AK639" i="8"/>
  <c r="AK1077" i="8"/>
  <c r="AM746" i="7"/>
  <c r="AO746" i="7" s="1"/>
  <c r="AQ746" i="7"/>
  <c r="AM470" i="7"/>
  <c r="AO470" i="7" s="1"/>
  <c r="AQ470" i="7"/>
  <c r="AO250" i="12"/>
  <c r="AL753" i="8"/>
  <c r="AP304" i="8"/>
  <c r="AK304" i="7"/>
  <c r="AL304" i="7" s="1"/>
  <c r="AN963" i="8"/>
  <c r="AL523" i="7"/>
  <c r="AN193" i="7"/>
  <c r="AQ193" i="7"/>
  <c r="AO637" i="7"/>
  <c r="AK359" i="8"/>
  <c r="AL359" i="8" s="1"/>
  <c r="AN359" i="8"/>
  <c r="AP417" i="8"/>
  <c r="AP690" i="7"/>
  <c r="AQ198" i="8"/>
  <c r="AN198" i="8"/>
  <c r="AP198" i="8" s="1"/>
  <c r="AK843" i="8"/>
  <c r="AL843" i="8" s="1"/>
  <c r="AN843" i="8" s="1"/>
  <c r="AK302" i="12"/>
  <c r="AL302" i="12" s="1"/>
  <c r="AK250" i="8"/>
  <c r="AP697" i="8"/>
  <c r="AP794" i="7"/>
  <c r="AP910" i="8"/>
  <c r="AO249" i="8"/>
  <c r="AN196" i="12"/>
  <c r="AQ196" i="12"/>
  <c r="AO638" i="8"/>
  <c r="AK468" i="8"/>
  <c r="AL468" i="8" s="1"/>
  <c r="AM196" i="12"/>
  <c r="AO196" i="12" s="1"/>
  <c r="AK910" i="7"/>
  <c r="AL910" i="7" s="1"/>
  <c r="AN910" i="7" s="1"/>
  <c r="AM579" i="7"/>
  <c r="AQ579" i="7"/>
  <c r="AM524" i="8"/>
  <c r="AO524" i="8" s="1"/>
  <c r="AQ524" i="8"/>
  <c r="AN579" i="7"/>
  <c r="AP579" i="7" s="1"/>
  <c r="AM193" i="7"/>
  <c r="AP139" i="7"/>
  <c r="AO193" i="7" l="1"/>
  <c r="AK911" i="8"/>
  <c r="AL911" i="8" s="1"/>
  <c r="AN911" i="8" s="1"/>
  <c r="AK790" i="8"/>
  <c r="AL790" i="8" s="1"/>
  <c r="AN790" i="8" s="1"/>
  <c r="AL251" i="12"/>
  <c r="AM251" i="12" s="1"/>
  <c r="AQ359" i="8"/>
  <c r="AM359" i="8"/>
  <c r="AO359" i="8" s="1"/>
  <c r="AQ138" i="8"/>
  <c r="AN138" i="8"/>
  <c r="AM468" i="8"/>
  <c r="AQ468" i="8"/>
  <c r="AQ523" i="7"/>
  <c r="AN523" i="7"/>
  <c r="AP523" i="7" s="1"/>
  <c r="AP746" i="7"/>
  <c r="AK795" i="7"/>
  <c r="AL795" i="7" s="1"/>
  <c r="AN795" i="7" s="1"/>
  <c r="AK580" i="7"/>
  <c r="AM1023" i="8"/>
  <c r="AO1023" i="8" s="1"/>
  <c r="AQ1023" i="8"/>
  <c r="AK698" i="8"/>
  <c r="AL698" i="8" s="1"/>
  <c r="AM138" i="8"/>
  <c r="AM302" i="12"/>
  <c r="AQ302" i="12"/>
  <c r="AP524" i="8"/>
  <c r="AN302" i="12"/>
  <c r="AP302" i="12" s="1"/>
  <c r="AP470" i="7"/>
  <c r="AN753" i="8"/>
  <c r="AQ753" i="8"/>
  <c r="AL142" i="12"/>
  <c r="AQ856" i="7"/>
  <c r="AM856" i="7"/>
  <c r="AO856" i="7" s="1"/>
  <c r="AK583" i="8"/>
  <c r="AL583" i="8" s="1"/>
  <c r="AN583" i="8" s="1"/>
  <c r="AQ910" i="7"/>
  <c r="AM910" i="7"/>
  <c r="AO910" i="7" s="1"/>
  <c r="AP193" i="7"/>
  <c r="AL639" i="8"/>
  <c r="AP963" i="8"/>
  <c r="AM304" i="7"/>
  <c r="AQ304" i="7"/>
  <c r="AK251" i="7"/>
  <c r="AL251" i="7" s="1"/>
  <c r="AN251" i="7" s="1"/>
  <c r="AO361" i="7"/>
  <c r="AK140" i="7"/>
  <c r="AL140" i="7" s="1"/>
  <c r="AN140" i="7" s="1"/>
  <c r="AK305" i="8"/>
  <c r="AL305" i="8" s="1"/>
  <c r="AN305" i="8" s="1"/>
  <c r="AK691" i="7"/>
  <c r="AL691" i="7" s="1"/>
  <c r="AM753" i="8"/>
  <c r="AK418" i="8"/>
  <c r="AL418" i="8" s="1"/>
  <c r="AK362" i="7"/>
  <c r="AO579" i="7"/>
  <c r="AL638" i="7"/>
  <c r="AM638" i="7" s="1"/>
  <c r="AL1077" i="8"/>
  <c r="AM1077" i="8" s="1"/>
  <c r="AN468" i="8"/>
  <c r="AM523" i="7"/>
  <c r="AQ843" i="8"/>
  <c r="AM843" i="8"/>
  <c r="AO843" i="8" s="1"/>
  <c r="AP196" i="12"/>
  <c r="AL250" i="8"/>
  <c r="AK199" i="8"/>
  <c r="AN304" i="7"/>
  <c r="AP304" i="7" s="1"/>
  <c r="AN413" i="7"/>
  <c r="AP413" i="7" s="1"/>
  <c r="AQ413" i="7"/>
  <c r="AO198" i="8"/>
  <c r="AP468" i="8" l="1"/>
  <c r="AP856" i="7"/>
  <c r="AP753" i="8"/>
  <c r="AO138" i="8"/>
  <c r="AM418" i="8"/>
  <c r="AQ418" i="8"/>
  <c r="AN418" i="8"/>
  <c r="AP418" i="8" s="1"/>
  <c r="AN691" i="7"/>
  <c r="AM691" i="7"/>
  <c r="AO691" i="7" s="1"/>
  <c r="AQ691" i="7"/>
  <c r="AO251" i="12"/>
  <c r="AK414" i="7"/>
  <c r="AM795" i="7"/>
  <c r="AO795" i="7" s="1"/>
  <c r="AQ795" i="7"/>
  <c r="AM251" i="7"/>
  <c r="AO251" i="7" s="1"/>
  <c r="AQ251" i="7"/>
  <c r="AK964" i="8"/>
  <c r="AL964" i="8" s="1"/>
  <c r="AP359" i="8"/>
  <c r="AK305" i="7"/>
  <c r="AQ140" i="7"/>
  <c r="AM140" i="7"/>
  <c r="AO140" i="7" s="1"/>
  <c r="AK525" i="8"/>
  <c r="AL525" i="8" s="1"/>
  <c r="AO413" i="7"/>
  <c r="AK197" i="12"/>
  <c r="AL197" i="12" s="1"/>
  <c r="AM911" i="8"/>
  <c r="AO911" i="8" s="1"/>
  <c r="AQ911" i="8"/>
  <c r="AN639" i="8"/>
  <c r="AQ639" i="8"/>
  <c r="AO468" i="8"/>
  <c r="AP1023" i="8"/>
  <c r="AM698" i="8"/>
  <c r="AO698" i="8" s="1"/>
  <c r="AQ698" i="8"/>
  <c r="AK194" i="7"/>
  <c r="AL194" i="7" s="1"/>
  <c r="AL199" i="8"/>
  <c r="AN638" i="7"/>
  <c r="AP638" i="7" s="1"/>
  <c r="AQ638" i="7"/>
  <c r="AK471" i="7"/>
  <c r="AL471" i="7" s="1"/>
  <c r="AK303" i="12"/>
  <c r="AL362" i="7"/>
  <c r="AM362" i="7" s="1"/>
  <c r="AQ250" i="8"/>
  <c r="AN250" i="8"/>
  <c r="AQ583" i="8"/>
  <c r="AM583" i="8"/>
  <c r="AO583" i="8" s="1"/>
  <c r="AK524" i="7"/>
  <c r="AO304" i="7"/>
  <c r="AO753" i="8"/>
  <c r="AM639" i="8"/>
  <c r="AP138" i="8"/>
  <c r="AP843" i="8"/>
  <c r="AK754" i="8"/>
  <c r="AM305" i="8"/>
  <c r="AO305" i="8" s="1"/>
  <c r="AQ305" i="8"/>
  <c r="AN251" i="12"/>
  <c r="AP251" i="12" s="1"/>
  <c r="AQ251" i="12"/>
  <c r="AL580" i="7"/>
  <c r="AM580" i="7" s="1"/>
  <c r="AO302" i="12"/>
  <c r="AK857" i="7"/>
  <c r="AL857" i="7" s="1"/>
  <c r="AM250" i="8"/>
  <c r="AK747" i="7"/>
  <c r="AL747" i="7" s="1"/>
  <c r="AN747" i="7" s="1"/>
  <c r="AQ790" i="8"/>
  <c r="AM790" i="8"/>
  <c r="AO790" i="8" s="1"/>
  <c r="AO523" i="7"/>
  <c r="AK469" i="8"/>
  <c r="AQ142" i="12"/>
  <c r="AN142" i="12"/>
  <c r="AN1077" i="8"/>
  <c r="AP1077" i="8" s="1"/>
  <c r="AQ1077" i="8"/>
  <c r="AM142" i="12"/>
  <c r="AO142" i="12" s="1"/>
  <c r="AN698" i="8"/>
  <c r="AP910" i="7"/>
  <c r="AP639" i="8" l="1"/>
  <c r="AP250" i="8"/>
  <c r="AP790" i="8"/>
  <c r="AM857" i="7"/>
  <c r="AN857" i="7"/>
  <c r="AP857" i="7" s="1"/>
  <c r="AQ857" i="7"/>
  <c r="AK844" i="8"/>
  <c r="AL844" i="8" s="1"/>
  <c r="AN844" i="8" s="1"/>
  <c r="AK360" i="8"/>
  <c r="AL360" i="8" s="1"/>
  <c r="AN360" i="8" s="1"/>
  <c r="AM471" i="7"/>
  <c r="AO471" i="7" s="1"/>
  <c r="AQ471" i="7"/>
  <c r="AN199" i="8"/>
  <c r="AQ199" i="8"/>
  <c r="AK791" i="8"/>
  <c r="AL791" i="8" s="1"/>
  <c r="AK252" i="12"/>
  <c r="AL252" i="12" s="1"/>
  <c r="AQ252" i="12" s="1"/>
  <c r="AK419" i="8"/>
  <c r="AK640" i="8"/>
  <c r="AK139" i="8"/>
  <c r="AL139" i="8" s="1"/>
  <c r="AN139" i="8"/>
  <c r="AO639" i="8"/>
  <c r="AQ580" i="7"/>
  <c r="AN580" i="7"/>
  <c r="AP580" i="7" s="1"/>
  <c r="AQ964" i="8"/>
  <c r="AM964" i="8"/>
  <c r="AL305" i="7"/>
  <c r="AM305" i="7" s="1"/>
  <c r="AM199" i="8"/>
  <c r="AM194" i="7"/>
  <c r="AO194" i="7" s="1"/>
  <c r="AQ194" i="7"/>
  <c r="AP691" i="7"/>
  <c r="AK911" i="7"/>
  <c r="AL911" i="7" s="1"/>
  <c r="AN911" i="7" s="1"/>
  <c r="AQ362" i="7"/>
  <c r="AN362" i="7"/>
  <c r="AP362" i="7" s="1"/>
  <c r="AL469" i="8"/>
  <c r="AM469" i="8" s="1"/>
  <c r="AP140" i="7"/>
  <c r="AL303" i="12"/>
  <c r="AM303" i="12" s="1"/>
  <c r="AN471" i="7"/>
  <c r="AM197" i="12"/>
  <c r="AQ197" i="12"/>
  <c r="AO1077" i="8"/>
  <c r="AK639" i="7"/>
  <c r="AP911" i="8"/>
  <c r="AL524" i="7"/>
  <c r="AM524" i="7" s="1"/>
  <c r="AP251" i="7"/>
  <c r="AO418" i="8"/>
  <c r="AK1078" i="8"/>
  <c r="AP142" i="12"/>
  <c r="AL754" i="8"/>
  <c r="AN197" i="12"/>
  <c r="AN964" i="8"/>
  <c r="AL414" i="7"/>
  <c r="AN194" i="7"/>
  <c r="AQ525" i="8"/>
  <c r="AM525" i="8"/>
  <c r="AO638" i="7"/>
  <c r="AK251" i="8"/>
  <c r="AN525" i="8"/>
  <c r="AP525" i="8" s="1"/>
  <c r="AP305" i="8"/>
  <c r="AK1024" i="8"/>
  <c r="AL1024" i="8" s="1"/>
  <c r="AQ747" i="7"/>
  <c r="AM747" i="7"/>
  <c r="AO747" i="7" s="1"/>
  <c r="AP698" i="8"/>
  <c r="AO250" i="8"/>
  <c r="AP795" i="7"/>
  <c r="AP583" i="8"/>
  <c r="AM791" i="8" l="1"/>
  <c r="AN791" i="8"/>
  <c r="AP747" i="7"/>
  <c r="AO791" i="8"/>
  <c r="AP199" i="8"/>
  <c r="AK200" i="8" s="1"/>
  <c r="AO580" i="7"/>
  <c r="AP197" i="12"/>
  <c r="AQ791" i="8"/>
  <c r="AP964" i="8"/>
  <c r="AM1024" i="8"/>
  <c r="AQ1024" i="8"/>
  <c r="AK965" i="8"/>
  <c r="AK198" i="12"/>
  <c r="AK143" i="12"/>
  <c r="AL143" i="12" s="1"/>
  <c r="AN143" i="12" s="1"/>
  <c r="AK363" i="7"/>
  <c r="AK748" i="7"/>
  <c r="AL748" i="7" s="1"/>
  <c r="AQ748" i="7" s="1"/>
  <c r="AP791" i="8"/>
  <c r="AN1024" i="8"/>
  <c r="AL639" i="7"/>
  <c r="AM639" i="7" s="1"/>
  <c r="AO525" i="8"/>
  <c r="AO199" i="8"/>
  <c r="AK912" i="8"/>
  <c r="AL912" i="8" s="1"/>
  <c r="AM844" i="8"/>
  <c r="AO844" i="8" s="1"/>
  <c r="AQ844" i="8"/>
  <c r="AL1078" i="8"/>
  <c r="AM1078" i="8" s="1"/>
  <c r="AL251" i="8"/>
  <c r="AL419" i="8"/>
  <c r="AM911" i="7"/>
  <c r="AO911" i="7" s="1"/>
  <c r="AQ911" i="7"/>
  <c r="AK581" i="7"/>
  <c r="AL581" i="7" s="1"/>
  <c r="AN252" i="12"/>
  <c r="AM252" i="12"/>
  <c r="AK306" i="8"/>
  <c r="AL306" i="8" s="1"/>
  <c r="AN306" i="8" s="1"/>
  <c r="AK692" i="7"/>
  <c r="AL692" i="7" s="1"/>
  <c r="AQ754" i="8"/>
  <c r="AN754" i="8"/>
  <c r="AN524" i="7"/>
  <c r="AP524" i="7" s="1"/>
  <c r="AQ524" i="7"/>
  <c r="AN469" i="8"/>
  <c r="AP469" i="8" s="1"/>
  <c r="AQ469" i="8"/>
  <c r="AN305" i="7"/>
  <c r="AP305" i="7" s="1"/>
  <c r="AQ305" i="7"/>
  <c r="AP194" i="7"/>
  <c r="AO964" i="8"/>
  <c r="AK796" i="7"/>
  <c r="AL796" i="7" s="1"/>
  <c r="AN796" i="7" s="1"/>
  <c r="AK699" i="8"/>
  <c r="AL699" i="8" s="1"/>
  <c r="AO197" i="12"/>
  <c r="AK858" i="7"/>
  <c r="AN303" i="12"/>
  <c r="AP303" i="12" s="1"/>
  <c r="AQ303" i="12"/>
  <c r="AQ139" i="8"/>
  <c r="AM139" i="8"/>
  <c r="AO139" i="8" s="1"/>
  <c r="AK252" i="7"/>
  <c r="AL252" i="7" s="1"/>
  <c r="AN252" i="7" s="1"/>
  <c r="AK526" i="8"/>
  <c r="AK141" i="7"/>
  <c r="AL141" i="7" s="1"/>
  <c r="AN141" i="7" s="1"/>
  <c r="AM754" i="8"/>
  <c r="AO754" i="8" s="1"/>
  <c r="AQ360" i="8"/>
  <c r="AM360" i="8"/>
  <c r="AO360" i="8" s="1"/>
  <c r="AK584" i="8"/>
  <c r="AL584" i="8" s="1"/>
  <c r="AN584" i="8" s="1"/>
  <c r="AQ414" i="7"/>
  <c r="AN414" i="7"/>
  <c r="AO362" i="7"/>
  <c r="AM414" i="7"/>
  <c r="AP471" i="7"/>
  <c r="AL640" i="8"/>
  <c r="AO857" i="7"/>
  <c r="AP360" i="8" l="1"/>
  <c r="AP1024" i="8"/>
  <c r="AO414" i="7"/>
  <c r="AN581" i="7"/>
  <c r="AQ581" i="7"/>
  <c r="AO252" i="12"/>
  <c r="AP911" i="7"/>
  <c r="AP139" i="8"/>
  <c r="AK140" i="8" s="1"/>
  <c r="AL140" i="8" s="1"/>
  <c r="AP581" i="7"/>
  <c r="AQ251" i="8"/>
  <c r="AN251" i="8"/>
  <c r="AK361" i="8"/>
  <c r="AL361" i="8" s="1"/>
  <c r="AM361" i="8" s="1"/>
  <c r="AM251" i="8"/>
  <c r="AO251" i="8" s="1"/>
  <c r="AL858" i="7"/>
  <c r="AM858" i="7" s="1"/>
  <c r="AQ640" i="8"/>
  <c r="AN640" i="8"/>
  <c r="AP640" i="8" s="1"/>
  <c r="AQ306" i="8"/>
  <c r="AM306" i="8"/>
  <c r="AO306" i="8" s="1"/>
  <c r="AK472" i="7"/>
  <c r="AL472" i="7" s="1"/>
  <c r="AN472" i="7" s="1"/>
  <c r="AM581" i="7"/>
  <c r="AO581" i="7" s="1"/>
  <c r="AM912" i="8"/>
  <c r="AQ912" i="8"/>
  <c r="AN748" i="7"/>
  <c r="AK306" i="7"/>
  <c r="AM699" i="8"/>
  <c r="AQ699" i="8"/>
  <c r="AN699" i="8"/>
  <c r="AM141" i="7"/>
  <c r="AO141" i="7" s="1"/>
  <c r="AQ141" i="7"/>
  <c r="AK912" i="7"/>
  <c r="AK1025" i="8"/>
  <c r="AL965" i="8"/>
  <c r="AM965" i="8" s="1"/>
  <c r="AK792" i="8"/>
  <c r="AL792" i="8" s="1"/>
  <c r="AM748" i="7"/>
  <c r="AP252" i="12"/>
  <c r="AL363" i="7"/>
  <c r="AM363" i="7" s="1"/>
  <c r="AK470" i="8"/>
  <c r="AL526" i="8"/>
  <c r="AM526" i="8" s="1"/>
  <c r="AO305" i="7"/>
  <c r="AM692" i="7"/>
  <c r="AQ692" i="7"/>
  <c r="AN692" i="7"/>
  <c r="AP692" i="7" s="1"/>
  <c r="AO1024" i="8"/>
  <c r="AK195" i="7"/>
  <c r="AL195" i="7" s="1"/>
  <c r="AN195" i="7" s="1"/>
  <c r="AN912" i="8"/>
  <c r="AP912" i="8" s="1"/>
  <c r="AP414" i="7"/>
  <c r="AL912" i="7"/>
  <c r="AQ912" i="7" s="1"/>
  <c r="AK304" i="12"/>
  <c r="AO469" i="8"/>
  <c r="AL198" i="12"/>
  <c r="AM198" i="12" s="1"/>
  <c r="AN1078" i="8"/>
  <c r="AP1078" i="8" s="1"/>
  <c r="AQ1078" i="8"/>
  <c r="AM640" i="8"/>
  <c r="AQ796" i="7"/>
  <c r="AM796" i="7"/>
  <c r="AO796" i="7" s="1"/>
  <c r="AM252" i="7"/>
  <c r="AO252" i="7" s="1"/>
  <c r="AQ252" i="7"/>
  <c r="AL200" i="8"/>
  <c r="AM200" i="8" s="1"/>
  <c r="AK525" i="7"/>
  <c r="AN419" i="8"/>
  <c r="AQ419" i="8"/>
  <c r="AP844" i="8"/>
  <c r="AO524" i="7"/>
  <c r="AQ584" i="8"/>
  <c r="AM584" i="8"/>
  <c r="AO584" i="8" s="1"/>
  <c r="AP754" i="8"/>
  <c r="AM419" i="8"/>
  <c r="AN639" i="7"/>
  <c r="AP639" i="7" s="1"/>
  <c r="AQ639" i="7"/>
  <c r="AQ143" i="12"/>
  <c r="AM143" i="12"/>
  <c r="AO143" i="12" s="1"/>
  <c r="AO303" i="12"/>
  <c r="AP306" i="8" l="1"/>
  <c r="AO699" i="8"/>
  <c r="AO419" i="8"/>
  <c r="AP141" i="7"/>
  <c r="AK142" i="7" s="1"/>
  <c r="AL142" i="7" s="1"/>
  <c r="AO912" i="8"/>
  <c r="AO748" i="7"/>
  <c r="AM140" i="8"/>
  <c r="AQ140" i="8"/>
  <c r="AN140" i="8"/>
  <c r="AP140" i="8" s="1"/>
  <c r="AK640" i="7"/>
  <c r="AK253" i="12"/>
  <c r="AL253" i="12" s="1"/>
  <c r="AN253" i="12" s="1"/>
  <c r="AK755" i="8"/>
  <c r="AL755" i="8" s="1"/>
  <c r="AM792" i="8"/>
  <c r="AQ792" i="8"/>
  <c r="AM912" i="7"/>
  <c r="AL306" i="7"/>
  <c r="AK415" i="7"/>
  <c r="AL415" i="7" s="1"/>
  <c r="AN361" i="8"/>
  <c r="AP361" i="8" s="1"/>
  <c r="AP251" i="8"/>
  <c r="AK845" i="8"/>
  <c r="AL845" i="8" s="1"/>
  <c r="AN845" i="8" s="1"/>
  <c r="AO1078" i="8"/>
  <c r="AL1025" i="8"/>
  <c r="AM1025" i="8" s="1"/>
  <c r="AP796" i="7"/>
  <c r="AK641" i="8"/>
  <c r="AO692" i="7"/>
  <c r="AP748" i="7"/>
  <c r="AL525" i="7"/>
  <c r="AP419" i="8"/>
  <c r="AN912" i="7"/>
  <c r="AP912" i="7" s="1"/>
  <c r="AL304" i="12"/>
  <c r="AP143" i="12"/>
  <c r="AK693" i="7"/>
  <c r="AQ361" i="8"/>
  <c r="AN792" i="8"/>
  <c r="AO640" i="8"/>
  <c r="AK913" i="8"/>
  <c r="AL913" i="8" s="1"/>
  <c r="AK1079" i="8"/>
  <c r="AQ198" i="12"/>
  <c r="AN198" i="12"/>
  <c r="AP198" i="12" s="1"/>
  <c r="AK582" i="7"/>
  <c r="AL582" i="7" s="1"/>
  <c r="AQ582" i="7" s="1"/>
  <c r="AN200" i="8"/>
  <c r="AP200" i="8" s="1"/>
  <c r="AQ200" i="8"/>
  <c r="AM472" i="7"/>
  <c r="AO472" i="7" s="1"/>
  <c r="AQ472" i="7"/>
  <c r="AP252" i="7"/>
  <c r="AO639" i="7"/>
  <c r="AN858" i="7"/>
  <c r="AP858" i="7" s="1"/>
  <c r="AQ858" i="7"/>
  <c r="AN965" i="8"/>
  <c r="AP965" i="8" s="1"/>
  <c r="AQ965" i="8"/>
  <c r="AQ526" i="8"/>
  <c r="AN526" i="8"/>
  <c r="AP526" i="8" s="1"/>
  <c r="AM195" i="7"/>
  <c r="AO195" i="7" s="1"/>
  <c r="AQ195" i="7"/>
  <c r="AL470" i="8"/>
  <c r="AK307" i="8"/>
  <c r="AL307" i="8" s="1"/>
  <c r="AN307" i="8" s="1"/>
  <c r="AN363" i="7"/>
  <c r="AP363" i="7" s="1"/>
  <c r="AQ363" i="7"/>
  <c r="AP699" i="8"/>
  <c r="AP584" i="8"/>
  <c r="AP792" i="8" l="1"/>
  <c r="AO200" i="8"/>
  <c r="AP472" i="7"/>
  <c r="AO363" i="7"/>
  <c r="AM142" i="7"/>
  <c r="AQ142" i="7"/>
  <c r="AN142" i="7"/>
  <c r="AO526" i="8"/>
  <c r="AO858" i="7"/>
  <c r="AO965" i="8"/>
  <c r="AN582" i="7"/>
  <c r="AM913" i="8"/>
  <c r="AQ913" i="8"/>
  <c r="AN913" i="8"/>
  <c r="AP913" i="8" s="1"/>
  <c r="AK473" i="7"/>
  <c r="AL473" i="7" s="1"/>
  <c r="AK362" i="8"/>
  <c r="AK144" i="12"/>
  <c r="AL144" i="12" s="1"/>
  <c r="AN144" i="12" s="1"/>
  <c r="AN304" i="12"/>
  <c r="AQ304" i="12"/>
  <c r="AQ306" i="7"/>
  <c r="AN306" i="7"/>
  <c r="AK913" i="7"/>
  <c r="AK420" i="8"/>
  <c r="AL420" i="8" s="1"/>
  <c r="AN420" i="8" s="1"/>
  <c r="AL527" i="8"/>
  <c r="AN527" i="8" s="1"/>
  <c r="AK585" i="8"/>
  <c r="AL585" i="8" s="1"/>
  <c r="AN585" i="8"/>
  <c r="AO912" i="7"/>
  <c r="AK793" i="8"/>
  <c r="AK201" i="8"/>
  <c r="AL201" i="8" s="1"/>
  <c r="AO361" i="8"/>
  <c r="AL640" i="7"/>
  <c r="AM304" i="12"/>
  <c r="AK253" i="7"/>
  <c r="AL253" i="7" s="1"/>
  <c r="AN253" i="7" s="1"/>
  <c r="AK797" i="7"/>
  <c r="AL797" i="7" s="1"/>
  <c r="AM582" i="7"/>
  <c r="AP195" i="7"/>
  <c r="AK527" i="8"/>
  <c r="AO198" i="12"/>
  <c r="AK700" i="8"/>
  <c r="AL700" i="8" s="1"/>
  <c r="AN700" i="8" s="1"/>
  <c r="AK364" i="7"/>
  <c r="AQ307" i="8"/>
  <c r="AK141" i="8"/>
  <c r="AN470" i="8"/>
  <c r="AP470" i="8" s="1"/>
  <c r="AQ470" i="8"/>
  <c r="AP142" i="7"/>
  <c r="AK199" i="12"/>
  <c r="AL641" i="8"/>
  <c r="AN525" i="7"/>
  <c r="AQ525" i="7"/>
  <c r="AO792" i="8"/>
  <c r="AK749" i="7"/>
  <c r="AL749" i="7" s="1"/>
  <c r="AN749" i="7" s="1"/>
  <c r="AK252" i="8"/>
  <c r="AL252" i="8" s="1"/>
  <c r="AM470" i="8"/>
  <c r="AQ253" i="12"/>
  <c r="AM253" i="12"/>
  <c r="AO253" i="12" s="1"/>
  <c r="AM415" i="7"/>
  <c r="AQ415" i="7"/>
  <c r="AN415" i="7"/>
  <c r="AL364" i="7"/>
  <c r="AN364" i="7" s="1"/>
  <c r="AM306" i="7"/>
  <c r="AN1025" i="8"/>
  <c r="AP1025" i="8" s="1"/>
  <c r="AQ1025" i="8"/>
  <c r="AM307" i="8"/>
  <c r="AO307" i="8" s="1"/>
  <c r="AM525" i="7"/>
  <c r="AL1079" i="8"/>
  <c r="AQ845" i="8"/>
  <c r="AM845" i="8"/>
  <c r="AO845" i="8" s="1"/>
  <c r="AK966" i="8"/>
  <c r="AM755" i="8"/>
  <c r="AQ755" i="8"/>
  <c r="AK859" i="7"/>
  <c r="AL859" i="7" s="1"/>
  <c r="AL693" i="7"/>
  <c r="AM693" i="7" s="1"/>
  <c r="AN755" i="8"/>
  <c r="AO140" i="8"/>
  <c r="AP415" i="7" l="1"/>
  <c r="AO304" i="12"/>
  <c r="AP307" i="8"/>
  <c r="AO755" i="8"/>
  <c r="AP525" i="7"/>
  <c r="AL966" i="8"/>
  <c r="AO582" i="7"/>
  <c r="AP306" i="7"/>
  <c r="AK307" i="7" s="1"/>
  <c r="AO142" i="7"/>
  <c r="AN859" i="7"/>
  <c r="AQ859" i="7"/>
  <c r="AM859" i="7"/>
  <c r="AO859" i="7" s="1"/>
  <c r="AP144" i="12"/>
  <c r="AM966" i="8"/>
  <c r="AN966" i="8"/>
  <c r="AP966" i="8" s="1"/>
  <c r="AQ966" i="8"/>
  <c r="AN201" i="8"/>
  <c r="AM201" i="8"/>
  <c r="AQ201" i="8"/>
  <c r="AM473" i="7"/>
  <c r="AN473" i="7"/>
  <c r="AP473" i="7" s="1"/>
  <c r="AQ473" i="7"/>
  <c r="AK143" i="7"/>
  <c r="AM797" i="7"/>
  <c r="AQ797" i="7"/>
  <c r="AK526" i="7"/>
  <c r="AN1079" i="8"/>
  <c r="AP1079" i="8" s="1"/>
  <c r="AQ1079" i="8"/>
  <c r="AM527" i="8"/>
  <c r="AO527" i="8" s="1"/>
  <c r="AP420" i="8"/>
  <c r="AO470" i="8"/>
  <c r="AQ640" i="7"/>
  <c r="AN640" i="7"/>
  <c r="AP845" i="8"/>
  <c r="AM144" i="12"/>
  <c r="AO144" i="12" s="1"/>
  <c r="AQ144" i="12"/>
  <c r="AN797" i="7"/>
  <c r="AK471" i="8"/>
  <c r="AK416" i="7"/>
  <c r="AN641" i="8"/>
  <c r="AQ641" i="8"/>
  <c r="AP253" i="12"/>
  <c r="AO525" i="7"/>
  <c r="AP582" i="7"/>
  <c r="AL308" i="8"/>
  <c r="AM308" i="8" s="1"/>
  <c r="AM252" i="8"/>
  <c r="AO252" i="8" s="1"/>
  <c r="AQ252" i="8"/>
  <c r="AL362" i="8"/>
  <c r="AN693" i="7"/>
  <c r="AP693" i="7" s="1"/>
  <c r="AQ693" i="7"/>
  <c r="AK1026" i="8"/>
  <c r="AN252" i="8"/>
  <c r="AQ527" i="8"/>
  <c r="AO1025" i="8"/>
  <c r="AP749" i="7"/>
  <c r="AK196" i="7"/>
  <c r="AL196" i="7" s="1"/>
  <c r="AN196" i="7" s="1"/>
  <c r="AL913" i="7"/>
  <c r="AM585" i="8"/>
  <c r="AO585" i="8" s="1"/>
  <c r="AQ585" i="8"/>
  <c r="AK308" i="8"/>
  <c r="AK914" i="8"/>
  <c r="AQ700" i="8"/>
  <c r="AM700" i="8"/>
  <c r="AO700" i="8" s="1"/>
  <c r="AO913" i="8"/>
  <c r="AO693" i="7"/>
  <c r="AQ364" i="7"/>
  <c r="AL793" i="8"/>
  <c r="AM793" i="8" s="1"/>
  <c r="AM364" i="7"/>
  <c r="AO364" i="7" s="1"/>
  <c r="AM253" i="7"/>
  <c r="AO253" i="7" s="1"/>
  <c r="AQ253" i="7"/>
  <c r="AO415" i="7"/>
  <c r="AM1079" i="8"/>
  <c r="AQ420" i="8"/>
  <c r="AM420" i="8"/>
  <c r="AO420" i="8" s="1"/>
  <c r="AM641" i="8"/>
  <c r="AO641" i="8" s="1"/>
  <c r="AL141" i="8"/>
  <c r="AM640" i="7"/>
  <c r="AP755" i="8"/>
  <c r="AL199" i="12"/>
  <c r="AO306" i="7"/>
  <c r="AQ749" i="7"/>
  <c r="AM749" i="7"/>
  <c r="AO749" i="7" s="1"/>
  <c r="AP304" i="12"/>
  <c r="AL143" i="7" l="1"/>
  <c r="AP700" i="8"/>
  <c r="AP797" i="7"/>
  <c r="AP640" i="7"/>
  <c r="AK641" i="7" s="1"/>
  <c r="AO201" i="8"/>
  <c r="AP585" i="8"/>
  <c r="AK474" i="7"/>
  <c r="AQ141" i="8"/>
  <c r="AN141" i="8"/>
  <c r="AP141" i="8" s="1"/>
  <c r="AK701" i="8"/>
  <c r="AL701" i="8" s="1"/>
  <c r="AL526" i="7"/>
  <c r="AP201" i="8"/>
  <c r="AL1026" i="8"/>
  <c r="AQ308" i="8"/>
  <c r="AK145" i="12"/>
  <c r="AO797" i="7"/>
  <c r="AQ362" i="8"/>
  <c r="AN362" i="8"/>
  <c r="AP364" i="7"/>
  <c r="AL471" i="8"/>
  <c r="AM471" i="8" s="1"/>
  <c r="AK421" i="8"/>
  <c r="AM141" i="8"/>
  <c r="AK583" i="7"/>
  <c r="AL583" i="7" s="1"/>
  <c r="AK1080" i="8"/>
  <c r="AL914" i="8"/>
  <c r="AK967" i="8"/>
  <c r="AP641" i="8"/>
  <c r="AL416" i="7"/>
  <c r="AK846" i="8"/>
  <c r="AL846" i="8" s="1"/>
  <c r="AN846" i="8" s="1"/>
  <c r="AM143" i="7"/>
  <c r="AO143" i="7" s="1"/>
  <c r="AQ143" i="7"/>
  <c r="AN199" i="12"/>
  <c r="AQ199" i="12"/>
  <c r="AQ793" i="8"/>
  <c r="AN793" i="8"/>
  <c r="AP793" i="8" s="1"/>
  <c r="AQ913" i="7"/>
  <c r="AN913" i="7"/>
  <c r="AM196" i="7"/>
  <c r="AO196" i="7" s="1"/>
  <c r="AQ196" i="7"/>
  <c r="AK750" i="7"/>
  <c r="AL750" i="7" s="1"/>
  <c r="AL421" i="8"/>
  <c r="AN421" i="8" s="1"/>
  <c r="AK254" i="12"/>
  <c r="AL254" i="12" s="1"/>
  <c r="AO1079" i="8"/>
  <c r="AO966" i="8"/>
  <c r="AK305" i="12"/>
  <c r="AL305" i="12" s="1"/>
  <c r="AN305" i="12" s="1"/>
  <c r="AL145" i="12"/>
  <c r="AQ145" i="12" s="1"/>
  <c r="AN308" i="8"/>
  <c r="AP308" i="8" s="1"/>
  <c r="AN143" i="7"/>
  <c r="AP859" i="7"/>
  <c r="AM199" i="12"/>
  <c r="AM362" i="8"/>
  <c r="AK756" i="8"/>
  <c r="AL756" i="8" s="1"/>
  <c r="AO640" i="7"/>
  <c r="AO473" i="7"/>
  <c r="AM913" i="7"/>
  <c r="AO913" i="7" s="1"/>
  <c r="AK798" i="7"/>
  <c r="AP252" i="8"/>
  <c r="AL307" i="7"/>
  <c r="AM307" i="7" s="1"/>
  <c r="AP253" i="7"/>
  <c r="AK694" i="7"/>
  <c r="AL694" i="7" s="1"/>
  <c r="AQ694" i="7" s="1"/>
  <c r="AP527" i="8"/>
  <c r="AO199" i="12" l="1"/>
  <c r="AP362" i="8"/>
  <c r="AM750" i="7"/>
  <c r="AQ750" i="7"/>
  <c r="AN750" i="7"/>
  <c r="AP750" i="7" s="1"/>
  <c r="AM701" i="8"/>
  <c r="AN701" i="8"/>
  <c r="AP701" i="8" s="1"/>
  <c r="AQ701" i="8"/>
  <c r="AK363" i="8"/>
  <c r="AM421" i="8"/>
  <c r="AO421" i="8" s="1"/>
  <c r="AK309" i="8"/>
  <c r="AM694" i="7"/>
  <c r="AK142" i="8"/>
  <c r="AN145" i="12"/>
  <c r="AP145" i="12" s="1"/>
  <c r="AQ756" i="8"/>
  <c r="AM756" i="8"/>
  <c r="AN1026" i="8"/>
  <c r="AQ1026" i="8"/>
  <c r="AK253" i="8"/>
  <c r="AL253" i="8" s="1"/>
  <c r="AN253" i="8"/>
  <c r="AM1026" i="8"/>
  <c r="AK202" i="8"/>
  <c r="AL202" i="8" s="1"/>
  <c r="AQ583" i="7"/>
  <c r="AM583" i="7"/>
  <c r="AP305" i="12"/>
  <c r="AK254" i="7"/>
  <c r="AL254" i="7" s="1"/>
  <c r="AN254" i="7" s="1"/>
  <c r="AO141" i="8"/>
  <c r="AN756" i="8"/>
  <c r="AK860" i="7"/>
  <c r="AL860" i="7" s="1"/>
  <c r="AN860" i="7" s="1"/>
  <c r="AN526" i="7"/>
  <c r="AQ526" i="7"/>
  <c r="AP196" i="7"/>
  <c r="AN583" i="7"/>
  <c r="AL641" i="7"/>
  <c r="AM641" i="7" s="1"/>
  <c r="AP913" i="7"/>
  <c r="AK586" i="8"/>
  <c r="AL586" i="8" s="1"/>
  <c r="AN307" i="7"/>
  <c r="AP307" i="7" s="1"/>
  <c r="AQ307" i="7"/>
  <c r="AL967" i="8"/>
  <c r="AL1080" i="8"/>
  <c r="AM1080" i="8" s="1"/>
  <c r="AK794" i="8"/>
  <c r="AQ254" i="12"/>
  <c r="AM254" i="12"/>
  <c r="AO254" i="12" s="1"/>
  <c r="AM526" i="7"/>
  <c r="AO308" i="8"/>
  <c r="AQ846" i="8"/>
  <c r="AM846" i="8"/>
  <c r="AO846" i="8" s="1"/>
  <c r="AL798" i="7"/>
  <c r="AK528" i="8"/>
  <c r="AL528" i="8" s="1"/>
  <c r="AL474" i="7"/>
  <c r="AN694" i="7"/>
  <c r="AM145" i="12"/>
  <c r="AQ416" i="7"/>
  <c r="AN416" i="7"/>
  <c r="AM305" i="12"/>
  <c r="AO305" i="12" s="1"/>
  <c r="AQ305" i="12"/>
  <c r="AM416" i="7"/>
  <c r="AO416" i="7" s="1"/>
  <c r="AQ421" i="8"/>
  <c r="AO362" i="8"/>
  <c r="AK642" i="8"/>
  <c r="AL642" i="8" s="1"/>
  <c r="AN642" i="8" s="1"/>
  <c r="AQ471" i="8"/>
  <c r="AN471" i="8"/>
  <c r="AP471" i="8" s="1"/>
  <c r="AP143" i="7"/>
  <c r="AN914" i="8"/>
  <c r="AQ914" i="8"/>
  <c r="AN254" i="12"/>
  <c r="AP199" i="12"/>
  <c r="AM914" i="8"/>
  <c r="AK365" i="7"/>
  <c r="AL365" i="7" s="1"/>
  <c r="AN365" i="7"/>
  <c r="AO793" i="8"/>
  <c r="AP756" i="8" l="1"/>
  <c r="AO526" i="7"/>
  <c r="AO914" i="8"/>
  <c r="AP694" i="7"/>
  <c r="AK695" i="7" s="1"/>
  <c r="AP583" i="7"/>
  <c r="AP1026" i="8"/>
  <c r="AM586" i="8"/>
  <c r="AQ586" i="8"/>
  <c r="AN586" i="8"/>
  <c r="AP586" i="8" s="1"/>
  <c r="AL363" i="8"/>
  <c r="AM363" i="8" s="1"/>
  <c r="AL309" i="8"/>
  <c r="AL794" i="8"/>
  <c r="AO701" i="8"/>
  <c r="AK584" i="7"/>
  <c r="AP416" i="7"/>
  <c r="AO145" i="12"/>
  <c r="AP526" i="7"/>
  <c r="AO694" i="7"/>
  <c r="AM528" i="8"/>
  <c r="AQ528" i="8"/>
  <c r="AN798" i="7"/>
  <c r="AQ798" i="7"/>
  <c r="AK308" i="7"/>
  <c r="AK757" i="8"/>
  <c r="AL142" i="8"/>
  <c r="AK1027" i="8"/>
  <c r="AK914" i="7"/>
  <c r="AL914" i="7" s="1"/>
  <c r="AN914" i="7"/>
  <c r="AK702" i="8"/>
  <c r="AP365" i="7"/>
  <c r="AK146" i="12"/>
  <c r="AP254" i="12"/>
  <c r="AQ474" i="7"/>
  <c r="AN474" i="7"/>
  <c r="AP421" i="8"/>
  <c r="AK472" i="8"/>
  <c r="AQ253" i="8"/>
  <c r="AM253" i="8"/>
  <c r="AO253" i="8" s="1"/>
  <c r="AM798" i="7"/>
  <c r="AO756" i="8"/>
  <c r="AM365" i="7"/>
  <c r="AO365" i="7" s="1"/>
  <c r="AQ365" i="7"/>
  <c r="AO750" i="7"/>
  <c r="AQ1080" i="8"/>
  <c r="AN1080" i="8"/>
  <c r="AP1080" i="8" s="1"/>
  <c r="AM202" i="8"/>
  <c r="AO202" i="8" s="1"/>
  <c r="AQ202" i="8"/>
  <c r="AK144" i="7"/>
  <c r="AL144" i="7" s="1"/>
  <c r="AN144" i="7" s="1"/>
  <c r="AM474" i="7"/>
  <c r="AN202" i="8"/>
  <c r="AO307" i="7"/>
  <c r="AQ642" i="8"/>
  <c r="AM642" i="8"/>
  <c r="AO642" i="8" s="1"/>
  <c r="AQ254" i="7"/>
  <c r="AM254" i="7"/>
  <c r="AO254" i="7" s="1"/>
  <c r="AN641" i="7"/>
  <c r="AP641" i="7" s="1"/>
  <c r="AQ641" i="7"/>
  <c r="AK306" i="12"/>
  <c r="AL306" i="12" s="1"/>
  <c r="AK751" i="7"/>
  <c r="AO583" i="7"/>
  <c r="AK200" i="12"/>
  <c r="AL200" i="12" s="1"/>
  <c r="AN200" i="12" s="1"/>
  <c r="AK197" i="7"/>
  <c r="AL197" i="7" s="1"/>
  <c r="AN197" i="7" s="1"/>
  <c r="AO471" i="8"/>
  <c r="AP914" i="8"/>
  <c r="AQ860" i="7"/>
  <c r="AM860" i="7"/>
  <c r="AO860" i="7" s="1"/>
  <c r="AQ967" i="8"/>
  <c r="AN967" i="8"/>
  <c r="AN528" i="8"/>
  <c r="AM967" i="8"/>
  <c r="AO967" i="8" s="1"/>
  <c r="AO1026" i="8"/>
  <c r="AP846" i="8"/>
  <c r="AP474" i="7" l="1"/>
  <c r="AP798" i="7"/>
  <c r="AO528" i="8"/>
  <c r="AM306" i="12"/>
  <c r="AN306" i="12"/>
  <c r="AQ306" i="12"/>
  <c r="AK915" i="8"/>
  <c r="AL915" i="8" s="1"/>
  <c r="AK366" i="7"/>
  <c r="AL366" i="7" s="1"/>
  <c r="AQ366" i="7" s="1"/>
  <c r="AL472" i="8"/>
  <c r="AK527" i="7"/>
  <c r="AL527" i="7" s="1"/>
  <c r="AL751" i="7"/>
  <c r="AM914" i="7"/>
  <c r="AO914" i="7" s="1"/>
  <c r="AQ914" i="7"/>
  <c r="AN142" i="8"/>
  <c r="AP142" i="8" s="1"/>
  <c r="AQ142" i="8"/>
  <c r="AL584" i="7"/>
  <c r="AP254" i="7"/>
  <c r="AO798" i="7"/>
  <c r="AK1081" i="8"/>
  <c r="AK587" i="8"/>
  <c r="AK422" i="8"/>
  <c r="AL422" i="8" s="1"/>
  <c r="AN422" i="8" s="1"/>
  <c r="AM200" i="12"/>
  <c r="AO200" i="12" s="1"/>
  <c r="AQ200" i="12"/>
  <c r="AL1027" i="8"/>
  <c r="AM1027" i="8" s="1"/>
  <c r="AM142" i="8"/>
  <c r="AP528" i="8"/>
  <c r="AL308" i="7"/>
  <c r="AL702" i="8"/>
  <c r="AP642" i="8"/>
  <c r="AN309" i="8"/>
  <c r="AQ309" i="8"/>
  <c r="AK799" i="7"/>
  <c r="AL695" i="7"/>
  <c r="AP253" i="8"/>
  <c r="AL146" i="12"/>
  <c r="AK847" i="8"/>
  <c r="AL847" i="8" s="1"/>
  <c r="AK417" i="7"/>
  <c r="AL417" i="7" s="1"/>
  <c r="AK255" i="12"/>
  <c r="AL255" i="12" s="1"/>
  <c r="AN255" i="12" s="1"/>
  <c r="AP967" i="8"/>
  <c r="AP202" i="8"/>
  <c r="AL757" i="8"/>
  <c r="AQ794" i="8"/>
  <c r="AN794" i="8"/>
  <c r="AP860" i="7"/>
  <c r="AQ144" i="7"/>
  <c r="AM144" i="7"/>
  <c r="AO144" i="7" s="1"/>
  <c r="AM309" i="8"/>
  <c r="AO309" i="8" s="1"/>
  <c r="AQ363" i="8"/>
  <c r="AN363" i="8"/>
  <c r="AP363" i="8" s="1"/>
  <c r="AK642" i="7"/>
  <c r="AQ197" i="7"/>
  <c r="AM197" i="7"/>
  <c r="AO197" i="7" s="1"/>
  <c r="AO586" i="8"/>
  <c r="AK475" i="7"/>
  <c r="AO1080" i="8"/>
  <c r="AO474" i="7"/>
  <c r="AM794" i="8"/>
  <c r="AO641" i="7"/>
  <c r="AO794" i="8" l="1"/>
  <c r="AO306" i="12"/>
  <c r="AQ695" i="7"/>
  <c r="AN695" i="7"/>
  <c r="AL799" i="7"/>
  <c r="AM695" i="7"/>
  <c r="AO695" i="7" s="1"/>
  <c r="AK364" i="8"/>
  <c r="AQ472" i="8"/>
  <c r="AN472" i="8"/>
  <c r="AM417" i="7"/>
  <c r="AO417" i="7" s="1"/>
  <c r="AQ417" i="7"/>
  <c r="AN1027" i="8"/>
  <c r="AP1027" i="8" s="1"/>
  <c r="AQ1027" i="8"/>
  <c r="AM472" i="8"/>
  <c r="AQ584" i="7"/>
  <c r="AN584" i="7"/>
  <c r="AL475" i="7"/>
  <c r="AN417" i="7"/>
  <c r="AM915" i="8"/>
  <c r="AQ915" i="8"/>
  <c r="AK861" i="7"/>
  <c r="AL861" i="7" s="1"/>
  <c r="AN861" i="7"/>
  <c r="AL587" i="8"/>
  <c r="AP200" i="12"/>
  <c r="AP144" i="7"/>
  <c r="AN751" i="7"/>
  <c r="AP751" i="7" s="1"/>
  <c r="AQ751" i="7"/>
  <c r="AP197" i="7"/>
  <c r="AN366" i="7"/>
  <c r="AP366" i="7" s="1"/>
  <c r="AK143" i="8"/>
  <c r="AQ847" i="8"/>
  <c r="AM847" i="8"/>
  <c r="AN702" i="8"/>
  <c r="AQ702" i="8"/>
  <c r="AN308" i="7"/>
  <c r="AQ308" i="7"/>
  <c r="AM308" i="7"/>
  <c r="AO308" i="7" s="1"/>
  <c r="AM751" i="7"/>
  <c r="AM584" i="7"/>
  <c r="AL1081" i="8"/>
  <c r="AM366" i="7"/>
  <c r="AP309" i="8"/>
  <c r="AP794" i="8"/>
  <c r="AN757" i="8"/>
  <c r="AQ757" i="8"/>
  <c r="AO363" i="8"/>
  <c r="AM757" i="8"/>
  <c r="AO757" i="8" s="1"/>
  <c r="AP914" i="7"/>
  <c r="AK254" i="8"/>
  <c r="AL254" i="8" s="1"/>
  <c r="AN254" i="8" s="1"/>
  <c r="AM527" i="7"/>
  <c r="AQ527" i="7"/>
  <c r="AP306" i="12"/>
  <c r="AM255" i="12"/>
  <c r="AO255" i="12" s="1"/>
  <c r="AQ255" i="12"/>
  <c r="AL642" i="7"/>
  <c r="AK255" i="7"/>
  <c r="AL255" i="7" s="1"/>
  <c r="AM422" i="8"/>
  <c r="AO422" i="8" s="1"/>
  <c r="AQ422" i="8"/>
  <c r="AN847" i="8"/>
  <c r="AN915" i="8"/>
  <c r="AP915" i="8" s="1"/>
  <c r="AK643" i="8"/>
  <c r="AL643" i="8" s="1"/>
  <c r="AQ146" i="12"/>
  <c r="AN146" i="12"/>
  <c r="AP146" i="12" s="1"/>
  <c r="AM702" i="8"/>
  <c r="AO702" i="8" s="1"/>
  <c r="AM146" i="12"/>
  <c r="AK203" i="8"/>
  <c r="AL203" i="8" s="1"/>
  <c r="AN203" i="8" s="1"/>
  <c r="AK968" i="8"/>
  <c r="AL968" i="8" s="1"/>
  <c r="AN968" i="8" s="1"/>
  <c r="AK529" i="8"/>
  <c r="AL529" i="8" s="1"/>
  <c r="AN529" i="8" s="1"/>
  <c r="AO142" i="8"/>
  <c r="AN527" i="7"/>
  <c r="AP847" i="8" l="1"/>
  <c r="AP472" i="8"/>
  <c r="AO584" i="7"/>
  <c r="AO527" i="7"/>
  <c r="AM254" i="8"/>
  <c r="AO254" i="8" s="1"/>
  <c r="AQ254" i="8"/>
  <c r="AK198" i="7"/>
  <c r="AL198" i="7" s="1"/>
  <c r="AL364" i="8"/>
  <c r="AM364" i="8" s="1"/>
  <c r="AO472" i="8"/>
  <c r="AQ642" i="7"/>
  <c r="AN642" i="7"/>
  <c r="AP422" i="8"/>
  <c r="AQ1081" i="8"/>
  <c r="AN1081" i="8"/>
  <c r="AP1081" i="8" s="1"/>
  <c r="AP254" i="8"/>
  <c r="AQ643" i="8"/>
  <c r="AM643" i="8"/>
  <c r="AP527" i="7"/>
  <c r="AP584" i="7"/>
  <c r="AK848" i="8"/>
  <c r="AQ799" i="7"/>
  <c r="AN799" i="7"/>
  <c r="AM799" i="7"/>
  <c r="AO799" i="7" s="1"/>
  <c r="AN587" i="8"/>
  <c r="AQ587" i="8"/>
  <c r="AM203" i="8"/>
  <c r="AO203" i="8" s="1"/>
  <c r="AQ203" i="8"/>
  <c r="AM642" i="7"/>
  <c r="AO642" i="7" s="1"/>
  <c r="AK310" i="8"/>
  <c r="AL310" i="8" s="1"/>
  <c r="AM861" i="7"/>
  <c r="AO861" i="7" s="1"/>
  <c r="AQ861" i="7"/>
  <c r="AK1028" i="8"/>
  <c r="AO1027" i="8"/>
  <c r="AK307" i="12"/>
  <c r="AL307" i="12" s="1"/>
  <c r="AN307" i="12" s="1"/>
  <c r="AK147" i="12"/>
  <c r="AK473" i="8"/>
  <c r="AN475" i="7"/>
  <c r="AQ475" i="7"/>
  <c r="AK915" i="7"/>
  <c r="AL915" i="7" s="1"/>
  <c r="AN915" i="7" s="1"/>
  <c r="AM475" i="7"/>
  <c r="AO475" i="7" s="1"/>
  <c r="AK752" i="7"/>
  <c r="AQ529" i="8"/>
  <c r="AM529" i="8"/>
  <c r="AO529" i="8" s="1"/>
  <c r="AK201" i="12"/>
  <c r="AL201" i="12" s="1"/>
  <c r="AN201" i="12" s="1"/>
  <c r="AQ255" i="7"/>
  <c r="AM255" i="7"/>
  <c r="AO255" i="7" s="1"/>
  <c r="AM587" i="8"/>
  <c r="AO146" i="12"/>
  <c r="AP702" i="8"/>
  <c r="AM1081" i="8"/>
  <c r="AP417" i="7"/>
  <c r="AK367" i="7"/>
  <c r="AN643" i="8"/>
  <c r="AP643" i="8" s="1"/>
  <c r="AK916" i="8"/>
  <c r="AL143" i="8"/>
  <c r="AO751" i="7"/>
  <c r="AK145" i="7"/>
  <c r="AL145" i="7" s="1"/>
  <c r="AN145" i="7" s="1"/>
  <c r="AM968" i="8"/>
  <c r="AO968" i="8" s="1"/>
  <c r="AQ968" i="8"/>
  <c r="AN255" i="7"/>
  <c r="AP308" i="7"/>
  <c r="AP695" i="7"/>
  <c r="AP757" i="8"/>
  <c r="AK795" i="8"/>
  <c r="AL795" i="8" s="1"/>
  <c r="AN795" i="8" s="1"/>
  <c r="AO366" i="7"/>
  <c r="AO847" i="8"/>
  <c r="AO915" i="8"/>
  <c r="AP255" i="12"/>
  <c r="AP861" i="7" l="1"/>
  <c r="AO587" i="8"/>
  <c r="AQ143" i="8"/>
  <c r="AN143" i="8"/>
  <c r="AK255" i="8"/>
  <c r="AL255" i="8" s="1"/>
  <c r="AM795" i="8"/>
  <c r="AO795" i="8" s="1"/>
  <c r="AQ795" i="8"/>
  <c r="AQ198" i="7"/>
  <c r="AM198" i="7"/>
  <c r="AO198" i="7" s="1"/>
  <c r="AP255" i="7"/>
  <c r="AL1028" i="8"/>
  <c r="AL473" i="8"/>
  <c r="AM143" i="8"/>
  <c r="AO143" i="8" s="1"/>
  <c r="AK758" i="8"/>
  <c r="AL758" i="8" s="1"/>
  <c r="AQ307" i="12"/>
  <c r="AM307" i="12"/>
  <c r="AO307" i="12" s="1"/>
  <c r="AN198" i="7"/>
  <c r="AP799" i="7"/>
  <c r="AL916" i="8"/>
  <c r="AM916" i="8" s="1"/>
  <c r="AK703" i="8"/>
  <c r="AL703" i="8" s="1"/>
  <c r="AN703" i="8" s="1"/>
  <c r="AQ915" i="7"/>
  <c r="AM915" i="7"/>
  <c r="AO915" i="7" s="1"/>
  <c r="AK585" i="7"/>
  <c r="AL585" i="7" s="1"/>
  <c r="AP203" i="8"/>
  <c r="AP587" i="8"/>
  <c r="AK696" i="7"/>
  <c r="AL696" i="7" s="1"/>
  <c r="AK418" i="7"/>
  <c r="AL418" i="7" s="1"/>
  <c r="AN418" i="7" s="1"/>
  <c r="AK423" i="8"/>
  <c r="AL423" i="8" s="1"/>
  <c r="AK862" i="7"/>
  <c r="AL862" i="7" s="1"/>
  <c r="AM862" i="7" s="1"/>
  <c r="AP642" i="7"/>
  <c r="AK256" i="12"/>
  <c r="AL256" i="12" s="1"/>
  <c r="AL848" i="8"/>
  <c r="AM848" i="8" s="1"/>
  <c r="AQ310" i="8"/>
  <c r="AM310" i="8"/>
  <c r="AK528" i="7"/>
  <c r="AL528" i="7" s="1"/>
  <c r="AN528" i="7" s="1"/>
  <c r="AP968" i="8"/>
  <c r="AN364" i="8"/>
  <c r="AP364" i="8" s="1"/>
  <c r="AQ364" i="8"/>
  <c r="AQ201" i="12"/>
  <c r="AM201" i="12"/>
  <c r="AO201" i="12" s="1"/>
  <c r="AK644" i="8"/>
  <c r="AK1082" i="8"/>
  <c r="AK309" i="7"/>
  <c r="AL309" i="7" s="1"/>
  <c r="AN309" i="7" s="1"/>
  <c r="AO1081" i="8"/>
  <c r="AM145" i="7"/>
  <c r="AO145" i="7" s="1"/>
  <c r="AQ145" i="7"/>
  <c r="AL367" i="7"/>
  <c r="AM367" i="7" s="1"/>
  <c r="AL752" i="7"/>
  <c r="AM752" i="7" s="1"/>
  <c r="AL147" i="12"/>
  <c r="AP475" i="7"/>
  <c r="AN310" i="8"/>
  <c r="AO643" i="8"/>
  <c r="AP529" i="8"/>
  <c r="AO310" i="8" l="1"/>
  <c r="AQ255" i="8"/>
  <c r="AM255" i="8"/>
  <c r="AN255" i="8"/>
  <c r="AP255" i="8" s="1"/>
  <c r="AM758" i="8"/>
  <c r="AQ758" i="8"/>
  <c r="AN758" i="8"/>
  <c r="AP758" i="8" s="1"/>
  <c r="AK530" i="8"/>
  <c r="AL530" i="8" s="1"/>
  <c r="AN530" i="8" s="1"/>
  <c r="AQ418" i="7"/>
  <c r="AM418" i="7"/>
  <c r="AO418" i="7" s="1"/>
  <c r="AP915" i="7"/>
  <c r="AK800" i="7"/>
  <c r="AL800" i="7" s="1"/>
  <c r="AP143" i="8"/>
  <c r="AO364" i="8"/>
  <c r="AK256" i="7"/>
  <c r="AL256" i="7" s="1"/>
  <c r="AN256" i="7" s="1"/>
  <c r="AQ423" i="8"/>
  <c r="AM423" i="8"/>
  <c r="AM309" i="7"/>
  <c r="AO309" i="7" s="1"/>
  <c r="AQ309" i="7"/>
  <c r="AP310" i="8"/>
  <c r="AK476" i="7"/>
  <c r="AL476" i="7" s="1"/>
  <c r="AN476" i="7" s="1"/>
  <c r="AN473" i="8"/>
  <c r="AQ473" i="8"/>
  <c r="AK588" i="8"/>
  <c r="AL588" i="8" s="1"/>
  <c r="AN588" i="8" s="1"/>
  <c r="AM473" i="8"/>
  <c r="AO473" i="8" s="1"/>
  <c r="AQ862" i="7"/>
  <c r="AQ367" i="7"/>
  <c r="AN367" i="7"/>
  <c r="AP367" i="7" s="1"/>
  <c r="AP198" i="7"/>
  <c r="AK643" i="7"/>
  <c r="AL643" i="7" s="1"/>
  <c r="AN643" i="7" s="1"/>
  <c r="AN862" i="7"/>
  <c r="AP862" i="7" s="1"/>
  <c r="AP307" i="12"/>
  <c r="AK969" i="8"/>
  <c r="AL969" i="8" s="1"/>
  <c r="AQ528" i="7"/>
  <c r="AM528" i="7"/>
  <c r="AO528" i="7" s="1"/>
  <c r="AM696" i="7"/>
  <c r="AQ696" i="7"/>
  <c r="AQ848" i="8"/>
  <c r="AN848" i="8"/>
  <c r="AP848" i="8" s="1"/>
  <c r="AN752" i="7"/>
  <c r="AP752" i="7" s="1"/>
  <c r="AQ752" i="7"/>
  <c r="AQ256" i="12"/>
  <c r="AM256" i="12"/>
  <c r="AK365" i="8"/>
  <c r="AN1028" i="8"/>
  <c r="AQ1028" i="8"/>
  <c r="AP145" i="7"/>
  <c r="AN423" i="8"/>
  <c r="AL1082" i="8"/>
  <c r="AM1082" i="8" s="1"/>
  <c r="AQ703" i="8"/>
  <c r="AM703" i="8"/>
  <c r="AO703" i="8" s="1"/>
  <c r="AL644" i="8"/>
  <c r="AQ916" i="8"/>
  <c r="AN916" i="8"/>
  <c r="AP916" i="8" s="1"/>
  <c r="AQ147" i="12"/>
  <c r="AN147" i="12"/>
  <c r="AN696" i="7"/>
  <c r="AM147" i="12"/>
  <c r="AK204" i="8"/>
  <c r="AL204" i="8" s="1"/>
  <c r="AN256" i="12"/>
  <c r="AP795" i="8"/>
  <c r="AM585" i="7"/>
  <c r="AQ585" i="7"/>
  <c r="AN585" i="7"/>
  <c r="AM1028" i="8"/>
  <c r="AP201" i="12"/>
  <c r="AO256" i="12" l="1"/>
  <c r="AO1028" i="8"/>
  <c r="AP585" i="7"/>
  <c r="AO696" i="7"/>
  <c r="AP418" i="7"/>
  <c r="AP147" i="12"/>
  <c r="AO752" i="7"/>
  <c r="AO423" i="8"/>
  <c r="AK148" i="12"/>
  <c r="AK146" i="7"/>
  <c r="AL146" i="7" s="1"/>
  <c r="AK917" i="8"/>
  <c r="AP309" i="7"/>
  <c r="AP1028" i="8"/>
  <c r="AO758" i="8"/>
  <c r="AM588" i="8"/>
  <c r="AO588" i="8" s="1"/>
  <c r="AQ588" i="8"/>
  <c r="AO255" i="8"/>
  <c r="AP528" i="7"/>
  <c r="AK202" i="12"/>
  <c r="AL202" i="12" s="1"/>
  <c r="AK368" i="7"/>
  <c r="AM256" i="7"/>
  <c r="AO256" i="7" s="1"/>
  <c r="AQ256" i="7"/>
  <c r="AQ969" i="8"/>
  <c r="AM969" i="8"/>
  <c r="AO969" i="8" s="1"/>
  <c r="AQ800" i="7"/>
  <c r="AM800" i="7"/>
  <c r="AP473" i="8"/>
  <c r="AP256" i="12"/>
  <c r="AQ204" i="8"/>
  <c r="AM204" i="8"/>
  <c r="AK753" i="7"/>
  <c r="AL419" i="7"/>
  <c r="AN419" i="7" s="1"/>
  <c r="AO367" i="7"/>
  <c r="AK759" i="8"/>
  <c r="AQ644" i="8"/>
  <c r="AN644" i="8"/>
  <c r="AO585" i="7"/>
  <c r="AK256" i="8"/>
  <c r="AN969" i="8"/>
  <c r="AQ1082" i="8"/>
  <c r="AN1082" i="8"/>
  <c r="AP1082" i="8" s="1"/>
  <c r="AK308" i="12"/>
  <c r="AL308" i="12" s="1"/>
  <c r="AN308" i="12" s="1"/>
  <c r="AN800" i="7"/>
  <c r="AP800" i="7" s="1"/>
  <c r="AK863" i="7"/>
  <c r="AK916" i="7"/>
  <c r="AL916" i="7" s="1"/>
  <c r="AN916" i="7" s="1"/>
  <c r="AN204" i="8"/>
  <c r="AP204" i="8" s="1"/>
  <c r="AP423" i="8"/>
  <c r="AM476" i="7"/>
  <c r="AO476" i="7" s="1"/>
  <c r="AQ476" i="7"/>
  <c r="AO862" i="7"/>
  <c r="AK199" i="7"/>
  <c r="AL199" i="7" s="1"/>
  <c r="AK586" i="7"/>
  <c r="AK419" i="7"/>
  <c r="AO916" i="8"/>
  <c r="AM644" i="8"/>
  <c r="AO644" i="8" s="1"/>
  <c r="AL365" i="8"/>
  <c r="AK796" i="8"/>
  <c r="AL796" i="8" s="1"/>
  <c r="AK144" i="8"/>
  <c r="AL144" i="8" s="1"/>
  <c r="AP703" i="8"/>
  <c r="AO147" i="12"/>
  <c r="AK849" i="8"/>
  <c r="AP696" i="7"/>
  <c r="AQ643" i="7"/>
  <c r="AM643" i="7"/>
  <c r="AO643" i="7" s="1"/>
  <c r="AK311" i="8"/>
  <c r="AL311" i="8" s="1"/>
  <c r="AQ530" i="8"/>
  <c r="AM530" i="8"/>
  <c r="AO530" i="8" s="1"/>
  <c r="AO848" i="8"/>
  <c r="AL753" i="7" l="1"/>
  <c r="AN753" i="7"/>
  <c r="AQ753" i="7"/>
  <c r="AQ419" i="7"/>
  <c r="AP643" i="7"/>
  <c r="AM202" i="12"/>
  <c r="AQ202" i="12"/>
  <c r="AM199" i="7"/>
  <c r="AQ199" i="7"/>
  <c r="AK310" i="7"/>
  <c r="AL310" i="7" s="1"/>
  <c r="AN199" i="7"/>
  <c r="AP199" i="7" s="1"/>
  <c r="AK529" i="7"/>
  <c r="AL529" i="7" s="1"/>
  <c r="AN529" i="7" s="1"/>
  <c r="AM311" i="8"/>
  <c r="AO311" i="8" s="1"/>
  <c r="AQ311" i="8"/>
  <c r="AL368" i="7"/>
  <c r="AM419" i="7"/>
  <c r="AO419" i="7" s="1"/>
  <c r="AK257" i="12"/>
  <c r="AL257" i="12" s="1"/>
  <c r="AM144" i="8"/>
  <c r="AQ144" i="8"/>
  <c r="AO800" i="7"/>
  <c r="AM796" i="8"/>
  <c r="AQ796" i="8"/>
  <c r="AL849" i="8"/>
  <c r="AM849" i="8" s="1"/>
  <c r="AQ365" i="8"/>
  <c r="AN365" i="8"/>
  <c r="AP969" i="8"/>
  <c r="AM365" i="8"/>
  <c r="AP530" i="8"/>
  <c r="AK644" i="7"/>
  <c r="AL644" i="7"/>
  <c r="AN644" i="7" s="1"/>
  <c r="AQ644" i="7"/>
  <c r="AM753" i="7"/>
  <c r="AO753" i="7" s="1"/>
  <c r="AO1082" i="8"/>
  <c r="AL148" i="12"/>
  <c r="AL759" i="8"/>
  <c r="AK801" i="7"/>
  <c r="AK474" i="8"/>
  <c r="AL474" i="8" s="1"/>
  <c r="AN474" i="8" s="1"/>
  <c r="AK1029" i="8"/>
  <c r="AL1029" i="8" s="1"/>
  <c r="AN1029" i="8" s="1"/>
  <c r="AN144" i="8"/>
  <c r="AP144" i="8" s="1"/>
  <c r="AN796" i="8"/>
  <c r="AP796" i="8" s="1"/>
  <c r="AL917" i="8"/>
  <c r="AK205" i="8"/>
  <c r="AQ916" i="7"/>
  <c r="AM916" i="7"/>
  <c r="AO916" i="7" s="1"/>
  <c r="AL586" i="7"/>
  <c r="AM586" i="7" s="1"/>
  <c r="AP476" i="7"/>
  <c r="AN202" i="12"/>
  <c r="AK704" i="8"/>
  <c r="AL704" i="8" s="1"/>
  <c r="AN704" i="8" s="1"/>
  <c r="AQ308" i="12"/>
  <c r="AM308" i="12"/>
  <c r="AO308" i="12" s="1"/>
  <c r="AK1083" i="8"/>
  <c r="AL863" i="7"/>
  <c r="AM863" i="7" s="1"/>
  <c r="AM146" i="7"/>
  <c r="AQ146" i="7"/>
  <c r="AN146" i="7"/>
  <c r="AP146" i="7" s="1"/>
  <c r="AN311" i="8"/>
  <c r="AL256" i="8"/>
  <c r="AM256" i="8" s="1"/>
  <c r="AK424" i="8"/>
  <c r="AL424" i="8" s="1"/>
  <c r="AK697" i="7"/>
  <c r="AL697" i="7" s="1"/>
  <c r="AN697" i="7" s="1"/>
  <c r="AP644" i="8"/>
  <c r="AO204" i="8"/>
  <c r="AP588" i="8"/>
  <c r="AP256" i="7"/>
  <c r="AP365" i="8" l="1"/>
  <c r="AO202" i="12"/>
  <c r="AK477" i="7"/>
  <c r="AL477" i="7" s="1"/>
  <c r="AN477" i="7"/>
  <c r="AP311" i="8"/>
  <c r="AK257" i="7"/>
  <c r="AL257" i="7" s="1"/>
  <c r="AK589" i="8"/>
  <c r="AL589" i="8" s="1"/>
  <c r="AL205" i="8"/>
  <c r="AM205" i="8" s="1"/>
  <c r="AM257" i="12"/>
  <c r="AO257" i="12" s="1"/>
  <c r="AQ257" i="12"/>
  <c r="AN849" i="8"/>
  <c r="AP849" i="8" s="1"/>
  <c r="AQ849" i="8"/>
  <c r="AK145" i="8"/>
  <c r="AO796" i="8"/>
  <c r="AM310" i="7"/>
  <c r="AQ310" i="7"/>
  <c r="AQ697" i="7"/>
  <c r="AM697" i="7"/>
  <c r="AO697" i="7" s="1"/>
  <c r="AK531" i="8"/>
  <c r="AL531" i="8" s="1"/>
  <c r="AN368" i="7"/>
  <c r="AQ368" i="7"/>
  <c r="AK366" i="8"/>
  <c r="AK797" i="8"/>
  <c r="AK147" i="7"/>
  <c r="AO146" i="7"/>
  <c r="AN863" i="7"/>
  <c r="AP863" i="7" s="1"/>
  <c r="AQ863" i="7"/>
  <c r="AL801" i="7"/>
  <c r="AM801" i="7" s="1"/>
  <c r="AQ474" i="8"/>
  <c r="AM474" i="8"/>
  <c r="AO474" i="8" s="1"/>
  <c r="AM644" i="7"/>
  <c r="AO644" i="7" s="1"/>
  <c r="AK645" i="8"/>
  <c r="AL645" i="8" s="1"/>
  <c r="AN645" i="8" s="1"/>
  <c r="AN257" i="12"/>
  <c r="AN310" i="7"/>
  <c r="AO199" i="7"/>
  <c r="AP916" i="7"/>
  <c r="AP308" i="12"/>
  <c r="AQ424" i="8"/>
  <c r="AM424" i="8"/>
  <c r="AN148" i="12"/>
  <c r="AQ148" i="12"/>
  <c r="AO365" i="8"/>
  <c r="AM368" i="7"/>
  <c r="AO368" i="7" s="1"/>
  <c r="AP419" i="7"/>
  <c r="AL1083" i="8"/>
  <c r="AN586" i="7"/>
  <c r="AP586" i="7" s="1"/>
  <c r="AQ586" i="7"/>
  <c r="AM529" i="7"/>
  <c r="AO529" i="7" s="1"/>
  <c r="AQ529" i="7"/>
  <c r="AM1029" i="8"/>
  <c r="AO1029" i="8" s="1"/>
  <c r="AQ1029" i="8"/>
  <c r="AK200" i="7"/>
  <c r="AO144" i="8"/>
  <c r="AN917" i="8"/>
  <c r="AQ917" i="8"/>
  <c r="AM917" i="8"/>
  <c r="AQ759" i="8"/>
  <c r="AN759" i="8"/>
  <c r="AM704" i="8"/>
  <c r="AO704" i="8" s="1"/>
  <c r="AQ704" i="8"/>
  <c r="AM759" i="8"/>
  <c r="AO759" i="8" s="1"/>
  <c r="AN424" i="8"/>
  <c r="AN256" i="8"/>
  <c r="AP256" i="8" s="1"/>
  <c r="AQ256" i="8"/>
  <c r="AP202" i="12"/>
  <c r="AM148" i="12"/>
  <c r="AK970" i="8"/>
  <c r="AL970" i="8" s="1"/>
  <c r="AN970" i="8"/>
  <c r="AP753" i="7"/>
  <c r="AO256" i="8" l="1"/>
  <c r="AO586" i="7"/>
  <c r="AO424" i="8"/>
  <c r="AP917" i="8"/>
  <c r="AO148" i="12"/>
  <c r="AO310" i="7"/>
  <c r="AL145" i="8"/>
  <c r="AK850" i="8"/>
  <c r="AP148" i="12"/>
  <c r="AK312" i="8"/>
  <c r="AL312" i="8" s="1"/>
  <c r="AK257" i="8"/>
  <c r="AK587" i="7"/>
  <c r="AL587" i="7" s="1"/>
  <c r="AM587" i="7" s="1"/>
  <c r="AP644" i="7"/>
  <c r="AQ257" i="7"/>
  <c r="AM257" i="7"/>
  <c r="AO257" i="7" s="1"/>
  <c r="AM366" i="8"/>
  <c r="AL366" i="8"/>
  <c r="AM531" i="8"/>
  <c r="AQ531" i="8"/>
  <c r="AL147" i="7"/>
  <c r="AN205" i="8"/>
  <c r="AP205" i="8" s="1"/>
  <c r="AQ205" i="8"/>
  <c r="AO849" i="8"/>
  <c r="AP704" i="8"/>
  <c r="AM645" i="8"/>
  <c r="AO645" i="8" s="1"/>
  <c r="AQ645" i="8"/>
  <c r="AM970" i="8"/>
  <c r="AO970" i="8" s="1"/>
  <c r="AQ970" i="8"/>
  <c r="AQ801" i="7"/>
  <c r="AN801" i="7"/>
  <c r="AP801" i="7" s="1"/>
  <c r="AM477" i="7"/>
  <c r="AO477" i="7" s="1"/>
  <c r="AQ477" i="7"/>
  <c r="AK309" i="12"/>
  <c r="AL309" i="12" s="1"/>
  <c r="AN309" i="12" s="1"/>
  <c r="AP424" i="8"/>
  <c r="AP697" i="7"/>
  <c r="AP759" i="8"/>
  <c r="AM589" i="8"/>
  <c r="AQ589" i="8"/>
  <c r="AP474" i="8"/>
  <c r="AN257" i="7"/>
  <c r="AK754" i="7"/>
  <c r="AL754" i="7" s="1"/>
  <c r="AN754" i="7" s="1"/>
  <c r="AK420" i="7"/>
  <c r="AL420" i="7" s="1"/>
  <c r="AK918" i="8"/>
  <c r="AK203" i="12"/>
  <c r="AL203" i="12" s="1"/>
  <c r="AP368" i="7"/>
  <c r="AK864" i="7"/>
  <c r="AN531" i="8"/>
  <c r="AP1029" i="8"/>
  <c r="AK917" i="7"/>
  <c r="AL917" i="7" s="1"/>
  <c r="AN917" i="7" s="1"/>
  <c r="AL200" i="7"/>
  <c r="AO863" i="7"/>
  <c r="AN1083" i="8"/>
  <c r="AQ1083" i="8"/>
  <c r="AM1083" i="8"/>
  <c r="AO1083" i="8" s="1"/>
  <c r="AP310" i="7"/>
  <c r="AO917" i="8"/>
  <c r="AP257" i="12"/>
  <c r="AL797" i="8"/>
  <c r="AM797" i="8" s="1"/>
  <c r="AN589" i="8"/>
  <c r="AP529" i="7"/>
  <c r="AL257" i="8" l="1"/>
  <c r="AP477" i="7"/>
  <c r="AO531" i="8"/>
  <c r="AN257" i="8"/>
  <c r="AQ257" i="8"/>
  <c r="AO589" i="8"/>
  <c r="AM312" i="8"/>
  <c r="AQ312" i="8"/>
  <c r="AQ203" i="12"/>
  <c r="AM203" i="12"/>
  <c r="AN203" i="12"/>
  <c r="AP203" i="12" s="1"/>
  <c r="AN587" i="7"/>
  <c r="AP587" i="7" s="1"/>
  <c r="AQ587" i="7"/>
  <c r="AK530" i="7"/>
  <c r="AL530" i="7" s="1"/>
  <c r="AN797" i="8"/>
  <c r="AP797" i="8" s="1"/>
  <c r="AQ797" i="8"/>
  <c r="AM257" i="8"/>
  <c r="AQ754" i="7"/>
  <c r="AM754" i="7"/>
  <c r="AO754" i="7" s="1"/>
  <c r="AK802" i="7"/>
  <c r="AK645" i="7"/>
  <c r="AL645" i="7" s="1"/>
  <c r="AN312" i="8"/>
  <c r="AK760" i="8"/>
  <c r="AL760" i="8" s="1"/>
  <c r="AN760" i="8" s="1"/>
  <c r="AL864" i="7"/>
  <c r="AQ145" i="8"/>
  <c r="AN145" i="8"/>
  <c r="AP589" i="8"/>
  <c r="AK425" i="8"/>
  <c r="AL425" i="8" s="1"/>
  <c r="AN425" i="8" s="1"/>
  <c r="AM309" i="12"/>
  <c r="AO309" i="12" s="1"/>
  <c r="AQ309" i="12"/>
  <c r="AO205" i="8"/>
  <c r="AP257" i="7"/>
  <c r="AN147" i="7"/>
  <c r="AQ147" i="7"/>
  <c r="AK369" i="7"/>
  <c r="AL369" i="7" s="1"/>
  <c r="AM147" i="7"/>
  <c r="AN200" i="7"/>
  <c r="AQ200" i="7"/>
  <c r="AM145" i="8"/>
  <c r="AQ917" i="7"/>
  <c r="AM917" i="7"/>
  <c r="AO917" i="7" s="1"/>
  <c r="AQ420" i="7"/>
  <c r="AM420" i="7"/>
  <c r="AL850" i="8"/>
  <c r="AO801" i="7"/>
  <c r="AK311" i="7"/>
  <c r="AL311" i="7" s="1"/>
  <c r="AK206" i="8"/>
  <c r="AK478" i="7"/>
  <c r="AL478" i="7" s="1"/>
  <c r="AK475" i="8"/>
  <c r="AL475" i="8" s="1"/>
  <c r="AP1083" i="8"/>
  <c r="AK149" i="12"/>
  <c r="AL149" i="12" s="1"/>
  <c r="AN149" i="12" s="1"/>
  <c r="AP970" i="8"/>
  <c r="AK698" i="7"/>
  <c r="AL698" i="7" s="1"/>
  <c r="AM200" i="7"/>
  <c r="AK705" i="8"/>
  <c r="AL705" i="8" s="1"/>
  <c r="AK258" i="12"/>
  <c r="AL258" i="12" s="1"/>
  <c r="AN258" i="12" s="1"/>
  <c r="AK1030" i="8"/>
  <c r="AL1030" i="8" s="1"/>
  <c r="AN1030" i="8" s="1"/>
  <c r="AL918" i="8"/>
  <c r="AM918" i="8" s="1"/>
  <c r="AP531" i="8"/>
  <c r="AN420" i="7"/>
  <c r="AN366" i="8"/>
  <c r="AP366" i="8" s="1"/>
  <c r="AQ366" i="8"/>
  <c r="AP645" i="8"/>
  <c r="AO257" i="8" l="1"/>
  <c r="AP200" i="7"/>
  <c r="AK201" i="7" s="1"/>
  <c r="AO420" i="7"/>
  <c r="AO797" i="8"/>
  <c r="AO312" i="8"/>
  <c r="AO147" i="7"/>
  <c r="AO145" i="8"/>
  <c r="AO366" i="8"/>
  <c r="AQ478" i="7"/>
  <c r="AM478" i="7"/>
  <c r="AN478" i="7"/>
  <c r="AP478" i="7" s="1"/>
  <c r="AP425" i="8"/>
  <c r="AK1084" i="8"/>
  <c r="AL1084" i="8" s="1"/>
  <c r="AK588" i="7"/>
  <c r="AM705" i="8"/>
  <c r="AO705" i="8" s="1"/>
  <c r="AQ705" i="8"/>
  <c r="AQ645" i="7"/>
  <c r="AM645" i="7"/>
  <c r="AN645" i="7"/>
  <c r="AP645" i="7" s="1"/>
  <c r="AM475" i="8"/>
  <c r="AQ475" i="8"/>
  <c r="AK646" i="8"/>
  <c r="AL646" i="8" s="1"/>
  <c r="AQ369" i="7"/>
  <c r="AM369" i="7"/>
  <c r="AM1030" i="8"/>
  <c r="AO1030" i="8" s="1"/>
  <c r="AQ1030" i="8"/>
  <c r="AM258" i="12"/>
  <c r="AO258" i="12" s="1"/>
  <c r="AQ258" i="12"/>
  <c r="AN475" i="8"/>
  <c r="AP475" i="8" s="1"/>
  <c r="AK590" i="8"/>
  <c r="AL590" i="8" s="1"/>
  <c r="AN590" i="8" s="1"/>
  <c r="AP145" i="8"/>
  <c r="AQ864" i="7"/>
  <c r="AN864" i="7"/>
  <c r="AQ698" i="7"/>
  <c r="AM698" i="7"/>
  <c r="AN369" i="7"/>
  <c r="AM864" i="7"/>
  <c r="AO864" i="7" s="1"/>
  <c r="AP147" i="7"/>
  <c r="AP420" i="7"/>
  <c r="AL802" i="7"/>
  <c r="AK258" i="7"/>
  <c r="AL258" i="7" s="1"/>
  <c r="AK798" i="8"/>
  <c r="AL798" i="8" s="1"/>
  <c r="AP309" i="12"/>
  <c r="AM311" i="7"/>
  <c r="AQ311" i="7"/>
  <c r="AK971" i="8"/>
  <c r="AL971" i="8" s="1"/>
  <c r="AO587" i="7"/>
  <c r="AN850" i="8"/>
  <c r="AQ850" i="8"/>
  <c r="AL206" i="8"/>
  <c r="AM206" i="8" s="1"/>
  <c r="AM530" i="7"/>
  <c r="AQ530" i="7"/>
  <c r="AP754" i="7"/>
  <c r="AQ425" i="8"/>
  <c r="AM425" i="8"/>
  <c r="AO425" i="8" s="1"/>
  <c r="AK204" i="12"/>
  <c r="AO203" i="12"/>
  <c r="AN705" i="8"/>
  <c r="AO200" i="7"/>
  <c r="AK367" i="8"/>
  <c r="AL367" i="8" s="1"/>
  <c r="AQ760" i="8"/>
  <c r="AM760" i="8"/>
  <c r="AO760" i="8" s="1"/>
  <c r="AN311" i="7"/>
  <c r="AK532" i="8"/>
  <c r="AL532" i="8" s="1"/>
  <c r="AQ918" i="8"/>
  <c r="AN918" i="8"/>
  <c r="AP918" i="8" s="1"/>
  <c r="AM850" i="8"/>
  <c r="AN530" i="7"/>
  <c r="AP530" i="7" s="1"/>
  <c r="AP257" i="8"/>
  <c r="AN698" i="7"/>
  <c r="AP698" i="7" s="1"/>
  <c r="AO918" i="8"/>
  <c r="AM149" i="12"/>
  <c r="AO149" i="12" s="1"/>
  <c r="AQ149" i="12"/>
  <c r="AP312" i="8"/>
  <c r="AP917" i="7"/>
  <c r="AO311" i="7" l="1"/>
  <c r="AP369" i="7"/>
  <c r="AP760" i="8"/>
  <c r="AO475" i="8"/>
  <c r="AP850" i="8"/>
  <c r="AQ798" i="8"/>
  <c r="AN798" i="8"/>
  <c r="AM798" i="8"/>
  <c r="AO798" i="8" s="1"/>
  <c r="AQ367" i="8"/>
  <c r="AM367" i="8"/>
  <c r="AN367" i="8"/>
  <c r="AP367" i="8" s="1"/>
  <c r="AK476" i="8"/>
  <c r="AL476" i="8" s="1"/>
  <c r="AK646" i="7"/>
  <c r="AL588" i="7"/>
  <c r="AM971" i="8"/>
  <c r="AQ971" i="8"/>
  <c r="AK531" i="7"/>
  <c r="AO698" i="7"/>
  <c r="AO850" i="8"/>
  <c r="AK919" i="8"/>
  <c r="AL919" i="8" s="1"/>
  <c r="AM258" i="7"/>
  <c r="AQ258" i="7"/>
  <c r="AP149" i="12"/>
  <c r="AK421" i="7"/>
  <c r="AL421" i="7" s="1"/>
  <c r="AK148" i="7"/>
  <c r="AL148" i="7" s="1"/>
  <c r="AN148" i="7" s="1"/>
  <c r="AP705" i="8"/>
  <c r="AK761" i="8"/>
  <c r="AL761" i="8" s="1"/>
  <c r="AO369" i="7"/>
  <c r="AQ532" i="8"/>
  <c r="AM532" i="8"/>
  <c r="AM646" i="8"/>
  <c r="AQ646" i="8"/>
  <c r="AK479" i="7"/>
  <c r="AN206" i="8"/>
  <c r="AP206" i="8" s="1"/>
  <c r="AQ206" i="8"/>
  <c r="AK699" i="7"/>
  <c r="AL201" i="7"/>
  <c r="AM201" i="7" s="1"/>
  <c r="AK258" i="8"/>
  <c r="AL258" i="8" s="1"/>
  <c r="AN258" i="8" s="1"/>
  <c r="AO645" i="7"/>
  <c r="AN971" i="8"/>
  <c r="AP864" i="7"/>
  <c r="AP258" i="12"/>
  <c r="AK918" i="7"/>
  <c r="AL918" i="7" s="1"/>
  <c r="AK313" i="8"/>
  <c r="AL313" i="8" s="1"/>
  <c r="AN532" i="8"/>
  <c r="AP532" i="8" s="1"/>
  <c r="AP311" i="7"/>
  <c r="AQ802" i="7"/>
  <c r="AN802" i="7"/>
  <c r="AO478" i="7"/>
  <c r="AQ590" i="8"/>
  <c r="AM590" i="8"/>
  <c r="AO590" i="8" s="1"/>
  <c r="AK851" i="8"/>
  <c r="AM1084" i="8"/>
  <c r="AQ1084" i="8"/>
  <c r="AK370" i="7"/>
  <c r="AN1084" i="8"/>
  <c r="AP1084" i="8" s="1"/>
  <c r="AL204" i="12"/>
  <c r="AK310" i="12"/>
  <c r="AL310" i="12" s="1"/>
  <c r="AN310" i="12"/>
  <c r="AK426" i="8"/>
  <c r="AL426" i="8"/>
  <c r="AN426" i="8" s="1"/>
  <c r="AK146" i="8"/>
  <c r="AL146" i="8" s="1"/>
  <c r="AN146" i="8" s="1"/>
  <c r="AP1030" i="8"/>
  <c r="AN646" i="8"/>
  <c r="AK755" i="7"/>
  <c r="AL755" i="7" s="1"/>
  <c r="AN755" i="7" s="1"/>
  <c r="AN258" i="7"/>
  <c r="AO530" i="7"/>
  <c r="AM802" i="7"/>
  <c r="AO802" i="7" s="1"/>
  <c r="AP646" i="8" l="1"/>
  <c r="AK647" i="8" s="1"/>
  <c r="AP971" i="8"/>
  <c r="AP798" i="8"/>
  <c r="AP258" i="7"/>
  <c r="AK259" i="7" s="1"/>
  <c r="AQ426" i="8"/>
  <c r="AQ919" i="8"/>
  <c r="AM919" i="8"/>
  <c r="AN919" i="8"/>
  <c r="AP919" i="8" s="1"/>
  <c r="AQ761" i="8"/>
  <c r="AM761" i="8"/>
  <c r="AN761" i="8"/>
  <c r="AP761" i="8" s="1"/>
  <c r="AP755" i="7"/>
  <c r="AQ476" i="8"/>
  <c r="AN476" i="8"/>
  <c r="AM476" i="8"/>
  <c r="AO476" i="8" s="1"/>
  <c r="AP148" i="7"/>
  <c r="AQ204" i="12"/>
  <c r="AN204" i="12"/>
  <c r="AK533" i="8"/>
  <c r="AQ918" i="7"/>
  <c r="AM918" i="7"/>
  <c r="AO367" i="8"/>
  <c r="AK706" i="8"/>
  <c r="AL706" i="8" s="1"/>
  <c r="AN706" i="8" s="1"/>
  <c r="AL531" i="7"/>
  <c r="AM531" i="7" s="1"/>
  <c r="AL646" i="7"/>
  <c r="AM646" i="7" s="1"/>
  <c r="AM421" i="7"/>
  <c r="AQ421" i="7"/>
  <c r="AK1085" i="8"/>
  <c r="AN918" i="7"/>
  <c r="AK259" i="12"/>
  <c r="AL259" i="12" s="1"/>
  <c r="AN259" i="12" s="1"/>
  <c r="AL851" i="8"/>
  <c r="AM851" i="8" s="1"/>
  <c r="AK368" i="8"/>
  <c r="AK865" i="7"/>
  <c r="AL865" i="7" s="1"/>
  <c r="AK972" i="8"/>
  <c r="AK799" i="8"/>
  <c r="AL799" i="8" s="1"/>
  <c r="AM755" i="7"/>
  <c r="AO755" i="7" s="1"/>
  <c r="AQ755" i="7"/>
  <c r="AL370" i="7"/>
  <c r="AM370" i="7" s="1"/>
  <c r="AM313" i="8"/>
  <c r="AQ313" i="8"/>
  <c r="AN313" i="8"/>
  <c r="AP313" i="8" s="1"/>
  <c r="AM146" i="8"/>
  <c r="AO146" i="8" s="1"/>
  <c r="AQ146" i="8"/>
  <c r="AM426" i="8"/>
  <c r="AO426" i="8" s="1"/>
  <c r="AL699" i="7"/>
  <c r="AK207" i="8"/>
  <c r="AQ258" i="8"/>
  <c r="AM258" i="8"/>
  <c r="AO258" i="8" s="1"/>
  <c r="AO971" i="8"/>
  <c r="AQ201" i="7"/>
  <c r="AN201" i="7"/>
  <c r="AP201" i="7" s="1"/>
  <c r="AK312" i="7"/>
  <c r="AL312" i="7" s="1"/>
  <c r="AM204" i="12"/>
  <c r="AO204" i="12" s="1"/>
  <c r="AK150" i="12"/>
  <c r="AL150" i="12" s="1"/>
  <c r="AN150" i="12" s="1"/>
  <c r="AO258" i="7"/>
  <c r="AK1031" i="8"/>
  <c r="AL1031" i="8" s="1"/>
  <c r="AO1084" i="8"/>
  <c r="AP310" i="12"/>
  <c r="AL479" i="7"/>
  <c r="AM479" i="7" s="1"/>
  <c r="AO646" i="8"/>
  <c r="AQ148" i="7"/>
  <c r="AM148" i="7"/>
  <c r="AO148" i="7" s="1"/>
  <c r="AQ588" i="7"/>
  <c r="AN588" i="7"/>
  <c r="AP590" i="8"/>
  <c r="AM310" i="12"/>
  <c r="AO310" i="12" s="1"/>
  <c r="AQ310" i="12"/>
  <c r="AP802" i="7"/>
  <c r="AO532" i="8"/>
  <c r="AN421" i="7"/>
  <c r="AM588" i="7"/>
  <c r="AO588" i="7" s="1"/>
  <c r="AO206" i="8"/>
  <c r="AP421" i="7" l="1"/>
  <c r="AO918" i="7"/>
  <c r="AM799" i="8"/>
  <c r="AQ799" i="8"/>
  <c r="AN799" i="8"/>
  <c r="AP799" i="8" s="1"/>
  <c r="AO370" i="7"/>
  <c r="AL972" i="8"/>
  <c r="AO313" i="8"/>
  <c r="AQ706" i="8"/>
  <c r="AM706" i="8"/>
  <c r="AO706" i="8" s="1"/>
  <c r="AL368" i="8"/>
  <c r="AK803" i="7"/>
  <c r="AL803" i="7" s="1"/>
  <c r="AP588" i="7"/>
  <c r="AN699" i="7"/>
  <c r="AQ699" i="7"/>
  <c r="AO919" i="8"/>
  <c r="AM865" i="7"/>
  <c r="AQ865" i="7"/>
  <c r="AK314" i="8"/>
  <c r="AL207" i="8"/>
  <c r="AK149" i="7"/>
  <c r="AL149" i="7" s="1"/>
  <c r="AQ1031" i="8"/>
  <c r="AM1031" i="8"/>
  <c r="AP476" i="8"/>
  <c r="AN1031" i="8"/>
  <c r="AP1031" i="8" s="1"/>
  <c r="AK756" i="7"/>
  <c r="AL756" i="7" s="1"/>
  <c r="AO761" i="8"/>
  <c r="AQ312" i="7"/>
  <c r="AM312" i="7"/>
  <c r="AP258" i="8"/>
  <c r="AM699" i="7"/>
  <c r="AO421" i="7"/>
  <c r="AQ531" i="7"/>
  <c r="AN531" i="7"/>
  <c r="AP531" i="7" s="1"/>
  <c r="AL1085" i="8"/>
  <c r="AQ370" i="7"/>
  <c r="AN370" i="7"/>
  <c r="AP370" i="7" s="1"/>
  <c r="AL533" i="8"/>
  <c r="AL259" i="7"/>
  <c r="AM259" i="7" s="1"/>
  <c r="AK762" i="8"/>
  <c r="AP918" i="7"/>
  <c r="AK920" i="8"/>
  <c r="AN312" i="7"/>
  <c r="AP204" i="12"/>
  <c r="AP426" i="8"/>
  <c r="AO201" i="7"/>
  <c r="AO479" i="7"/>
  <c r="AO646" i="7"/>
  <c r="AK311" i="12"/>
  <c r="AL311" i="12" s="1"/>
  <c r="AN865" i="7"/>
  <c r="AK422" i="7"/>
  <c r="AQ851" i="8"/>
  <c r="AN851" i="8"/>
  <c r="AP851" i="8" s="1"/>
  <c r="AM259" i="12"/>
  <c r="AO259" i="12" s="1"/>
  <c r="AQ259" i="12"/>
  <c r="AQ150" i="12"/>
  <c r="AM150" i="12"/>
  <c r="AO150" i="12" s="1"/>
  <c r="AK591" i="8"/>
  <c r="AL591" i="8" s="1"/>
  <c r="AL647" i="8"/>
  <c r="AK202" i="7"/>
  <c r="AQ479" i="7"/>
  <c r="AN479" i="7"/>
  <c r="AP479" i="7" s="1"/>
  <c r="AQ646" i="7"/>
  <c r="AN646" i="7"/>
  <c r="AP646" i="7" s="1"/>
  <c r="AP146" i="8"/>
  <c r="AP699" i="7" l="1"/>
  <c r="AP312" i="7"/>
  <c r="AO865" i="7"/>
  <c r="AQ311" i="12"/>
  <c r="AM311" i="12"/>
  <c r="AN311" i="12"/>
  <c r="AP311" i="12" s="1"/>
  <c r="AQ756" i="7"/>
  <c r="AM756" i="7"/>
  <c r="AN756" i="7"/>
  <c r="AP756" i="7" s="1"/>
  <c r="AM149" i="7"/>
  <c r="AQ149" i="7"/>
  <c r="AN149" i="7"/>
  <c r="AP149" i="7" s="1"/>
  <c r="AN647" i="8"/>
  <c r="AP647" i="8" s="1"/>
  <c r="AQ647" i="8"/>
  <c r="AP706" i="8"/>
  <c r="AQ1085" i="8"/>
  <c r="AN1085" i="8"/>
  <c r="AK589" i="7"/>
  <c r="AL589" i="7" s="1"/>
  <c r="AN589" i="7"/>
  <c r="AK647" i="7"/>
  <c r="AL647" i="7" s="1"/>
  <c r="AK800" i="8"/>
  <c r="AQ803" i="7"/>
  <c r="AM803" i="7"/>
  <c r="AO803" i="7" s="1"/>
  <c r="AO799" i="8"/>
  <c r="AN972" i="8"/>
  <c r="AQ972" i="8"/>
  <c r="AK477" i="8"/>
  <c r="AL477" i="8" s="1"/>
  <c r="AN477" i="8"/>
  <c r="AL202" i="7"/>
  <c r="AM202" i="7" s="1"/>
  <c r="AK852" i="8"/>
  <c r="AQ207" i="8"/>
  <c r="AN207" i="8"/>
  <c r="AM207" i="8"/>
  <c r="AK313" i="7"/>
  <c r="AQ533" i="8"/>
  <c r="AN533" i="8"/>
  <c r="AO312" i="7"/>
  <c r="AN803" i="7"/>
  <c r="AO851" i="8"/>
  <c r="AL920" i="8"/>
  <c r="AM920" i="8" s="1"/>
  <c r="AM647" i="8"/>
  <c r="AL314" i="8"/>
  <c r="AM314" i="8" s="1"/>
  <c r="AK700" i="7"/>
  <c r="AK919" i="7"/>
  <c r="AL919" i="7" s="1"/>
  <c r="AM972" i="8"/>
  <c r="AO1031" i="8"/>
  <c r="AK147" i="8"/>
  <c r="AL147" i="8" s="1"/>
  <c r="AP259" i="12"/>
  <c r="AK427" i="8"/>
  <c r="AL427" i="8" s="1"/>
  <c r="AN427" i="8" s="1"/>
  <c r="AL422" i="7"/>
  <c r="AO699" i="7"/>
  <c r="AK259" i="8"/>
  <c r="AL259" i="8" s="1"/>
  <c r="AN259" i="8" s="1"/>
  <c r="AK480" i="7"/>
  <c r="AL480" i="7" s="1"/>
  <c r="AM533" i="8"/>
  <c r="AO533" i="8" s="1"/>
  <c r="AQ368" i="8"/>
  <c r="AN368" i="8"/>
  <c r="AP368" i="8" s="1"/>
  <c r="AP150" i="12"/>
  <c r="AL762" i="8"/>
  <c r="AP865" i="7"/>
  <c r="AQ591" i="8"/>
  <c r="AM591" i="8"/>
  <c r="AK1032" i="8"/>
  <c r="AN591" i="8"/>
  <c r="AP591" i="8" s="1"/>
  <c r="AM1085" i="8"/>
  <c r="AO1085" i="8" s="1"/>
  <c r="AK532" i="7"/>
  <c r="AQ259" i="7"/>
  <c r="AN259" i="7"/>
  <c r="AP259" i="7" s="1"/>
  <c r="AK205" i="12"/>
  <c r="AL205" i="12" s="1"/>
  <c r="AK371" i="7"/>
  <c r="AL371" i="7" s="1"/>
  <c r="AM368" i="8"/>
  <c r="AO531" i="7"/>
  <c r="AP972" i="8" l="1"/>
  <c r="AO207" i="8"/>
  <c r="AN371" i="7"/>
  <c r="AM371" i="7"/>
  <c r="AQ371" i="7"/>
  <c r="AM480" i="7"/>
  <c r="AN480" i="7"/>
  <c r="AP480" i="7" s="1"/>
  <c r="AQ480" i="7"/>
  <c r="AN647" i="7"/>
  <c r="AQ647" i="7"/>
  <c r="AM647" i="7"/>
  <c r="AO647" i="7" s="1"/>
  <c r="AK592" i="8"/>
  <c r="AM919" i="7"/>
  <c r="AQ919" i="7"/>
  <c r="AO591" i="8"/>
  <c r="AQ422" i="7"/>
  <c r="AN422" i="7"/>
  <c r="AL800" i="8"/>
  <c r="AK150" i="7"/>
  <c r="AK260" i="7"/>
  <c r="AQ147" i="8"/>
  <c r="AM147" i="8"/>
  <c r="AK369" i="8"/>
  <c r="AO756" i="7"/>
  <c r="AL852" i="8"/>
  <c r="AM852" i="8" s="1"/>
  <c r="AM589" i="7"/>
  <c r="AO589" i="7" s="1"/>
  <c r="AQ589" i="7"/>
  <c r="AO259" i="7"/>
  <c r="AK973" i="8"/>
  <c r="AL700" i="7"/>
  <c r="AK707" i="8"/>
  <c r="AL707" i="8" s="1"/>
  <c r="AM205" i="12"/>
  <c r="AQ205" i="12"/>
  <c r="AK648" i="8"/>
  <c r="AM422" i="7"/>
  <c r="AO422" i="7" s="1"/>
  <c r="AO647" i="8"/>
  <c r="AQ427" i="8"/>
  <c r="AM427" i="8"/>
  <c r="AO427" i="8" s="1"/>
  <c r="AK260" i="12"/>
  <c r="AL260" i="12" s="1"/>
  <c r="AN260" i="12" s="1"/>
  <c r="AL1032" i="8"/>
  <c r="AL313" i="7"/>
  <c r="AQ477" i="8"/>
  <c r="AM477" i="8"/>
  <c r="AO477" i="8" s="1"/>
  <c r="AP1085" i="8"/>
  <c r="AK312" i="12"/>
  <c r="AN919" i="7"/>
  <c r="AN205" i="12"/>
  <c r="AQ762" i="8"/>
  <c r="AN762" i="8"/>
  <c r="AM762" i="8"/>
  <c r="AO762" i="8" s="1"/>
  <c r="AK151" i="12"/>
  <c r="AL151" i="12" s="1"/>
  <c r="AK757" i="7"/>
  <c r="AN147" i="8"/>
  <c r="AP803" i="7"/>
  <c r="AL532" i="7"/>
  <c r="AO368" i="8"/>
  <c r="AP533" i="8"/>
  <c r="AO311" i="12"/>
  <c r="AQ259" i="8"/>
  <c r="AM259" i="8"/>
  <c r="AO259" i="8" s="1"/>
  <c r="AP207" i="8"/>
  <c r="AQ314" i="8"/>
  <c r="AN314" i="8"/>
  <c r="AP314" i="8" s="1"/>
  <c r="AK866" i="7"/>
  <c r="AL866" i="7" s="1"/>
  <c r="AN866" i="7" s="1"/>
  <c r="AQ920" i="8"/>
  <c r="AN920" i="8"/>
  <c r="AP920" i="8" s="1"/>
  <c r="AO149" i="7"/>
  <c r="AN202" i="7"/>
  <c r="AP202" i="7" s="1"/>
  <c r="AQ202" i="7"/>
  <c r="AO972" i="8"/>
  <c r="AO314" i="8" l="1"/>
  <c r="AO205" i="12"/>
  <c r="AP589" i="7"/>
  <c r="AO147" i="8"/>
  <c r="AP371" i="7"/>
  <c r="AK372" i="7" s="1"/>
  <c r="AP427" i="8"/>
  <c r="AO919" i="7"/>
  <c r="AK208" i="8"/>
  <c r="AL208" i="8" s="1"/>
  <c r="AO852" i="8"/>
  <c r="AL973" i="8"/>
  <c r="AM973" i="8" s="1"/>
  <c r="AQ313" i="7"/>
  <c r="AN313" i="7"/>
  <c r="AM313" i="7"/>
  <c r="AO313" i="7" s="1"/>
  <c r="AP647" i="7"/>
  <c r="AQ700" i="7"/>
  <c r="AN700" i="7"/>
  <c r="AL369" i="8"/>
  <c r="AN532" i="7"/>
  <c r="AQ532" i="7"/>
  <c r="AO920" i="8"/>
  <c r="AM532" i="7"/>
  <c r="AO532" i="7" s="1"/>
  <c r="AP422" i="7"/>
  <c r="AO202" i="7"/>
  <c r="AM151" i="12"/>
  <c r="AQ151" i="12"/>
  <c r="AL757" i="7"/>
  <c r="AK590" i="7"/>
  <c r="AL590" i="7" s="1"/>
  <c r="AN151" i="12"/>
  <c r="AQ1032" i="8"/>
  <c r="AN1032" i="8"/>
  <c r="AP1032" i="8" s="1"/>
  <c r="AL312" i="12"/>
  <c r="AM312" i="12" s="1"/>
  <c r="AK921" i="8"/>
  <c r="AQ800" i="8"/>
  <c r="AN800" i="8"/>
  <c r="AM800" i="8"/>
  <c r="AK203" i="7"/>
  <c r="AP762" i="8"/>
  <c r="AQ707" i="8"/>
  <c r="AM707" i="8"/>
  <c r="AK428" i="8"/>
  <c r="AL428" i="8" s="1"/>
  <c r="AN707" i="8"/>
  <c r="AP707" i="8" s="1"/>
  <c r="AP205" i="12"/>
  <c r="AK481" i="7"/>
  <c r="AM700" i="7"/>
  <c r="AQ866" i="7"/>
  <c r="AM866" i="7"/>
  <c r="AO866" i="7" s="1"/>
  <c r="AP919" i="7"/>
  <c r="AL260" i="7"/>
  <c r="AK804" i="7"/>
  <c r="AL804" i="7" s="1"/>
  <c r="AN804" i="7"/>
  <c r="AK315" i="8"/>
  <c r="AL315" i="8" s="1"/>
  <c r="AN315" i="8" s="1"/>
  <c r="AP147" i="8"/>
  <c r="AP477" i="8"/>
  <c r="AL592" i="8"/>
  <c r="AO371" i="7"/>
  <c r="AL150" i="7"/>
  <c r="AM150" i="7" s="1"/>
  <c r="AM1032" i="8"/>
  <c r="AK534" i="8"/>
  <c r="AL534" i="8" s="1"/>
  <c r="AO480" i="7"/>
  <c r="AQ260" i="12"/>
  <c r="AM260" i="12"/>
  <c r="AO260" i="12" s="1"/>
  <c r="AP259" i="8"/>
  <c r="AK1086" i="8"/>
  <c r="AL1086" i="8" s="1"/>
  <c r="AL648" i="8"/>
  <c r="AM648" i="8" s="1"/>
  <c r="AN852" i="8"/>
  <c r="AP852" i="8" s="1"/>
  <c r="AQ852" i="8"/>
  <c r="AO700" i="7" l="1"/>
  <c r="AN590" i="7"/>
  <c r="AQ590" i="7"/>
  <c r="AQ315" i="8"/>
  <c r="AP800" i="8"/>
  <c r="AO151" i="12"/>
  <c r="AM428" i="8"/>
  <c r="AQ428" i="8"/>
  <c r="AN428" i="8"/>
  <c r="AP428" i="8" s="1"/>
  <c r="AP590" i="7"/>
  <c r="AO150" i="7"/>
  <c r="AP804" i="7"/>
  <c r="AK801" i="8"/>
  <c r="AK648" i="7"/>
  <c r="AL648" i="7" s="1"/>
  <c r="AK423" i="7"/>
  <c r="AL423" i="7" s="1"/>
  <c r="AQ592" i="8"/>
  <c r="AN592" i="8"/>
  <c r="AQ534" i="8"/>
  <c r="AM534" i="8"/>
  <c r="AN534" i="8"/>
  <c r="AP534" i="8" s="1"/>
  <c r="AM315" i="8"/>
  <c r="AO315" i="8" s="1"/>
  <c r="AM208" i="8"/>
  <c r="AO208" i="8" s="1"/>
  <c r="AQ208" i="8"/>
  <c r="AQ757" i="7"/>
  <c r="AN757" i="7"/>
  <c r="AN260" i="7"/>
  <c r="AQ260" i="7"/>
  <c r="AK920" i="7"/>
  <c r="AL920" i="7" s="1"/>
  <c r="AL372" i="7"/>
  <c r="AM592" i="8"/>
  <c r="AO592" i="8" s="1"/>
  <c r="AK708" i="8"/>
  <c r="AP151" i="12"/>
  <c r="AQ369" i="8"/>
  <c r="AN369" i="8"/>
  <c r="AN208" i="8"/>
  <c r="AN648" i="8"/>
  <c r="AP648" i="8" s="1"/>
  <c r="AQ648" i="8"/>
  <c r="AM804" i="7"/>
  <c r="AO804" i="7" s="1"/>
  <c r="AQ804" i="7"/>
  <c r="AM757" i="7"/>
  <c r="AM260" i="7"/>
  <c r="AK260" i="8"/>
  <c r="AL260" i="8" s="1"/>
  <c r="AQ312" i="12"/>
  <c r="AN312" i="12"/>
  <c r="AP312" i="12" s="1"/>
  <c r="AP313" i="7"/>
  <c r="AL921" i="8"/>
  <c r="AK478" i="8"/>
  <c r="AL478" i="8" s="1"/>
  <c r="AK1033" i="8"/>
  <c r="AP532" i="7"/>
  <c r="AK148" i="8"/>
  <c r="AL148" i="8" s="1"/>
  <c r="AN148" i="8" s="1"/>
  <c r="AO1032" i="8"/>
  <c r="AO707" i="8"/>
  <c r="AM590" i="7"/>
  <c r="AO590" i="7" s="1"/>
  <c r="AM369" i="8"/>
  <c r="AP866" i="7"/>
  <c r="AK763" i="8"/>
  <c r="AL763" i="8" s="1"/>
  <c r="AM1086" i="8"/>
  <c r="AQ1086" i="8"/>
  <c r="AN1086" i="8"/>
  <c r="AP1086" i="8" s="1"/>
  <c r="AL203" i="7"/>
  <c r="AL481" i="7"/>
  <c r="AM481" i="7" s="1"/>
  <c r="AN973" i="8"/>
  <c r="AP973" i="8" s="1"/>
  <c r="AQ973" i="8"/>
  <c r="AK206" i="12"/>
  <c r="AL206" i="12" s="1"/>
  <c r="AQ150" i="7"/>
  <c r="AN150" i="7"/>
  <c r="AP150" i="7" s="1"/>
  <c r="AK853" i="8"/>
  <c r="AL853" i="8" s="1"/>
  <c r="AO800" i="8"/>
  <c r="AP700" i="7"/>
  <c r="AP260" i="12"/>
  <c r="AO973" i="8" l="1"/>
  <c r="AO260" i="7"/>
  <c r="AO757" i="7"/>
  <c r="AP369" i="8"/>
  <c r="AO312" i="12"/>
  <c r="AM853" i="8"/>
  <c r="AN853" i="8"/>
  <c r="AP853" i="8" s="1"/>
  <c r="AQ853" i="8"/>
  <c r="AK261" i="12"/>
  <c r="AL261" i="12" s="1"/>
  <c r="AM148" i="8"/>
  <c r="AO148" i="8" s="1"/>
  <c r="AQ148" i="8"/>
  <c r="AL801" i="8"/>
  <c r="AQ648" i="7"/>
  <c r="AM648" i="7"/>
  <c r="AN648" i="7"/>
  <c r="AP648" i="7" s="1"/>
  <c r="AQ478" i="8"/>
  <c r="AM478" i="8"/>
  <c r="AN478" i="8"/>
  <c r="AO1086" i="8"/>
  <c r="AP208" i="8"/>
  <c r="AM920" i="7"/>
  <c r="AO920" i="7" s="1"/>
  <c r="AQ920" i="7"/>
  <c r="AK429" i="8"/>
  <c r="AQ260" i="8"/>
  <c r="AM260" i="8"/>
  <c r="AN260" i="8"/>
  <c r="AP260" i="8" s="1"/>
  <c r="AK533" i="7"/>
  <c r="AL533" i="7" s="1"/>
  <c r="AQ203" i="7"/>
  <c r="AN203" i="7"/>
  <c r="AM203" i="7"/>
  <c r="AO203" i="7" s="1"/>
  <c r="AN921" i="8"/>
  <c r="AP921" i="8" s="1"/>
  <c r="AQ921" i="8"/>
  <c r="AQ763" i="8"/>
  <c r="AM763" i="8"/>
  <c r="AK314" i="7"/>
  <c r="AL314" i="7" s="1"/>
  <c r="AN920" i="7"/>
  <c r="AO534" i="8"/>
  <c r="AK1087" i="8"/>
  <c r="AP592" i="8"/>
  <c r="AQ372" i="7"/>
  <c r="AN372" i="7"/>
  <c r="AM921" i="8"/>
  <c r="AM372" i="7"/>
  <c r="AK591" i="7"/>
  <c r="AL591" i="7" s="1"/>
  <c r="AQ591" i="7" s="1"/>
  <c r="AM423" i="7"/>
  <c r="AQ423" i="7"/>
  <c r="AN423" i="7"/>
  <c r="AP423" i="7" s="1"/>
  <c r="AK867" i="7"/>
  <c r="AL867" i="7" s="1"/>
  <c r="AN867" i="7" s="1"/>
  <c r="AK152" i="12"/>
  <c r="AL152" i="12" s="1"/>
  <c r="AN152" i="12" s="1"/>
  <c r="AK974" i="8"/>
  <c r="AL974" i="8" s="1"/>
  <c r="AO369" i="8"/>
  <c r="AK313" i="12"/>
  <c r="AP260" i="7"/>
  <c r="AO428" i="8"/>
  <c r="AL708" i="8"/>
  <c r="AM708" i="8" s="1"/>
  <c r="AL1033" i="8"/>
  <c r="AM1033" i="8" s="1"/>
  <c r="AK701" i="7"/>
  <c r="AL701" i="7" s="1"/>
  <c r="AN701" i="7" s="1"/>
  <c r="AK535" i="8"/>
  <c r="AK805" i="7"/>
  <c r="AL805" i="7" s="1"/>
  <c r="AK151" i="7"/>
  <c r="AL151" i="7" s="1"/>
  <c r="AK649" i="8"/>
  <c r="AP315" i="8"/>
  <c r="AQ206" i="12"/>
  <c r="AM206" i="12"/>
  <c r="AK370" i="8"/>
  <c r="AN206" i="12"/>
  <c r="AN763" i="8"/>
  <c r="AP763" i="8" s="1"/>
  <c r="AQ481" i="7"/>
  <c r="AN481" i="7"/>
  <c r="AP481" i="7" s="1"/>
  <c r="AP757" i="7"/>
  <c r="AO648" i="8"/>
  <c r="AL313" i="12" l="1"/>
  <c r="AP206" i="12"/>
  <c r="AP478" i="8"/>
  <c r="AN151" i="7"/>
  <c r="AQ151" i="7"/>
  <c r="AP372" i="7"/>
  <c r="AQ313" i="12"/>
  <c r="AM313" i="12"/>
  <c r="AN313" i="12"/>
  <c r="AP313" i="12" s="1"/>
  <c r="AQ805" i="7"/>
  <c r="AN805" i="7"/>
  <c r="AM805" i="7"/>
  <c r="AO805" i="7" s="1"/>
  <c r="AQ974" i="8"/>
  <c r="AN974" i="8"/>
  <c r="AM974" i="8"/>
  <c r="AO974" i="8" s="1"/>
  <c r="AK373" i="7"/>
  <c r="AK764" i="8"/>
  <c r="AL370" i="8"/>
  <c r="AQ152" i="12"/>
  <c r="AM152" i="12"/>
  <c r="AO152" i="12" s="1"/>
  <c r="AL1087" i="8"/>
  <c r="AL649" i="8"/>
  <c r="AQ261" i="12"/>
  <c r="AM261" i="12"/>
  <c r="AP920" i="7"/>
  <c r="AO478" i="8"/>
  <c r="AO481" i="7"/>
  <c r="AK922" i="8"/>
  <c r="AK209" i="8"/>
  <c r="AL209" i="8" s="1"/>
  <c r="AN209" i="8" s="1"/>
  <c r="AQ701" i="7"/>
  <c r="AM701" i="7"/>
  <c r="AO701" i="7" s="1"/>
  <c r="AO206" i="12"/>
  <c r="AM867" i="7"/>
  <c r="AO867" i="7" s="1"/>
  <c r="AQ867" i="7"/>
  <c r="AN1033" i="8"/>
  <c r="AP1033" i="8" s="1"/>
  <c r="AQ1033" i="8"/>
  <c r="AQ314" i="7"/>
  <c r="AM314" i="7"/>
  <c r="AK261" i="8"/>
  <c r="AK207" i="12"/>
  <c r="AK593" i="8"/>
  <c r="AL593" i="8" s="1"/>
  <c r="AN593" i="8" s="1"/>
  <c r="AN801" i="8"/>
  <c r="AQ801" i="8"/>
  <c r="AP203" i="7"/>
  <c r="AK316" i="8"/>
  <c r="AL316" i="8" s="1"/>
  <c r="AK479" i="8"/>
  <c r="AO423" i="7"/>
  <c r="AM591" i="7"/>
  <c r="AK482" i="7"/>
  <c r="AN591" i="7"/>
  <c r="AL429" i="8"/>
  <c r="AO763" i="8"/>
  <c r="AO260" i="8"/>
  <c r="AK854" i="8"/>
  <c r="AK649" i="7"/>
  <c r="AO648" i="7"/>
  <c r="AL535" i="8"/>
  <c r="AM535" i="8" s="1"/>
  <c r="AM801" i="8"/>
  <c r="AO801" i="8" s="1"/>
  <c r="AM533" i="7"/>
  <c r="AQ533" i="7"/>
  <c r="AM151" i="7"/>
  <c r="AO151" i="7" s="1"/>
  <c r="AK758" i="7"/>
  <c r="AL758" i="7" s="1"/>
  <c r="AN758" i="7"/>
  <c r="AK424" i="7"/>
  <c r="AN533" i="7"/>
  <c r="AN261" i="12"/>
  <c r="AQ708" i="8"/>
  <c r="AN708" i="8"/>
  <c r="AP708" i="8" s="1"/>
  <c r="AN314" i="7"/>
  <c r="AP148" i="8"/>
  <c r="AO372" i="7"/>
  <c r="AK261" i="7"/>
  <c r="AL261" i="7" s="1"/>
  <c r="AO921" i="8"/>
  <c r="AO853" i="8"/>
  <c r="AP591" i="7" l="1"/>
  <c r="AP701" i="7"/>
  <c r="AO261" i="12"/>
  <c r="AO533" i="7"/>
  <c r="AO314" i="7"/>
  <c r="AL922" i="8"/>
  <c r="AM922" i="8" s="1"/>
  <c r="AQ261" i="7"/>
  <c r="AM261" i="7"/>
  <c r="AL373" i="7"/>
  <c r="AP801" i="8"/>
  <c r="AK1034" i="8"/>
  <c r="AO591" i="7"/>
  <c r="AL424" i="7"/>
  <c r="AM424" i="7" s="1"/>
  <c r="AK709" i="8"/>
  <c r="AP867" i="7"/>
  <c r="AP261" i="12"/>
  <c r="AQ316" i="8"/>
  <c r="AM316" i="8"/>
  <c r="AO313" i="12"/>
  <c r="AQ429" i="8"/>
  <c r="AN429" i="8"/>
  <c r="AK204" i="7"/>
  <c r="AL204" i="7" s="1"/>
  <c r="AN204" i="7" s="1"/>
  <c r="AK592" i="7"/>
  <c r="AM593" i="8"/>
  <c r="AO593" i="8" s="1"/>
  <c r="AQ593" i="8"/>
  <c r="AN1087" i="8"/>
  <c r="AQ1087" i="8"/>
  <c r="AM1087" i="8"/>
  <c r="AO1087" i="8" s="1"/>
  <c r="AK314" i="12"/>
  <c r="AP152" i="12"/>
  <c r="AN261" i="7"/>
  <c r="AL479" i="8"/>
  <c r="AM479" i="8" s="1"/>
  <c r="AK921" i="7"/>
  <c r="AL921" i="7" s="1"/>
  <c r="AN921" i="7"/>
  <c r="AP974" i="8"/>
  <c r="AP314" i="7"/>
  <c r="AQ649" i="8"/>
  <c r="AN649" i="8"/>
  <c r="AO708" i="8"/>
  <c r="AM649" i="8"/>
  <c r="AO649" i="8" s="1"/>
  <c r="AL649" i="7"/>
  <c r="AM649" i="7" s="1"/>
  <c r="AL207" i="12"/>
  <c r="AM207" i="12" s="1"/>
  <c r="AP533" i="7"/>
  <c r="AN316" i="8"/>
  <c r="AQ209" i="8"/>
  <c r="AM209" i="8"/>
  <c r="AO209" i="8" s="1"/>
  <c r="AN370" i="8"/>
  <c r="AQ370" i="8"/>
  <c r="AP151" i="7"/>
  <c r="AL764" i="8"/>
  <c r="AM764" i="8" s="1"/>
  <c r="AM429" i="8"/>
  <c r="AL482" i="7"/>
  <c r="AM482" i="7" s="1"/>
  <c r="AQ535" i="8"/>
  <c r="AN535" i="8"/>
  <c r="AP535" i="8" s="1"/>
  <c r="AK149" i="8"/>
  <c r="AL149" i="8" s="1"/>
  <c r="AN149" i="8"/>
  <c r="AK702" i="7"/>
  <c r="AL702" i="7" s="1"/>
  <c r="AP805" i="7"/>
  <c r="AL854" i="8"/>
  <c r="AM854" i="8" s="1"/>
  <c r="AQ758" i="7"/>
  <c r="AM758" i="7"/>
  <c r="AO758" i="7" s="1"/>
  <c r="AL261" i="8"/>
  <c r="AM261" i="8" s="1"/>
  <c r="AM370" i="8"/>
  <c r="AO370" i="8" s="1"/>
  <c r="AO1033" i="8"/>
  <c r="AM702" i="7" l="1"/>
  <c r="AQ702" i="7"/>
  <c r="AN702" i="7"/>
  <c r="AO261" i="7"/>
  <c r="AO316" i="8"/>
  <c r="AP429" i="8"/>
  <c r="AK430" i="8" s="1"/>
  <c r="AK152" i="7"/>
  <c r="AL152" i="7" s="1"/>
  <c r="AN152" i="7" s="1"/>
  <c r="AQ373" i="7"/>
  <c r="AN373" i="7"/>
  <c r="AP702" i="7"/>
  <c r="AL592" i="7"/>
  <c r="AL709" i="8"/>
  <c r="AM709" i="8" s="1"/>
  <c r="AM373" i="7"/>
  <c r="AL1034" i="8"/>
  <c r="AP649" i="8"/>
  <c r="AK802" i="8"/>
  <c r="AL802" i="8" s="1"/>
  <c r="AN802" i="8" s="1"/>
  <c r="AL314" i="12"/>
  <c r="AK315" i="7"/>
  <c r="AL315" i="7" s="1"/>
  <c r="AN315" i="7" s="1"/>
  <c r="AP316" i="8"/>
  <c r="AK868" i="7"/>
  <c r="AL868" i="7" s="1"/>
  <c r="AN868" i="7" s="1"/>
  <c r="AK806" i="7"/>
  <c r="AL806" i="7" s="1"/>
  <c r="AN806" i="7" s="1"/>
  <c r="AN764" i="8"/>
  <c r="AP764" i="8" s="1"/>
  <c r="AQ764" i="8"/>
  <c r="AK153" i="12"/>
  <c r="AL153" i="12" s="1"/>
  <c r="AN261" i="8"/>
  <c r="AP261" i="8" s="1"/>
  <c r="AQ261" i="8"/>
  <c r="AP370" i="8"/>
  <c r="AM149" i="8"/>
  <c r="AO149" i="8" s="1"/>
  <c r="AQ149" i="8"/>
  <c r="AP1087" i="8"/>
  <c r="AN479" i="8"/>
  <c r="AP479" i="8" s="1"/>
  <c r="AQ479" i="8"/>
  <c r="AO429" i="8"/>
  <c r="AQ207" i="12"/>
  <c r="AN207" i="12"/>
  <c r="AP207" i="12" s="1"/>
  <c r="AQ424" i="7"/>
  <c r="AN424" i="7"/>
  <c r="AP424" i="7" s="1"/>
  <c r="AO535" i="8"/>
  <c r="AK975" i="8"/>
  <c r="AL975" i="8" s="1"/>
  <c r="AN975" i="8" s="1"/>
  <c r="AP758" i="7"/>
  <c r="AK262" i="12"/>
  <c r="AL262" i="12" s="1"/>
  <c r="AQ922" i="8"/>
  <c r="AN922" i="8"/>
  <c r="AP922" i="8" s="1"/>
  <c r="AN482" i="7"/>
  <c r="AP482" i="7" s="1"/>
  <c r="AQ482" i="7"/>
  <c r="AP261" i="7"/>
  <c r="AP593" i="8"/>
  <c r="AQ854" i="8"/>
  <c r="AN854" i="8"/>
  <c r="AP854" i="8" s="1"/>
  <c r="AQ921" i="7"/>
  <c r="AM921" i="7"/>
  <c r="AO921" i="7" s="1"/>
  <c r="AK536" i="8"/>
  <c r="AK534" i="7"/>
  <c r="AL534" i="7" s="1"/>
  <c r="AN534" i="7" s="1"/>
  <c r="AN649" i="7"/>
  <c r="AP649" i="7" s="1"/>
  <c r="AQ649" i="7"/>
  <c r="AM204" i="7"/>
  <c r="AO204" i="7" s="1"/>
  <c r="AQ204" i="7"/>
  <c r="AP209" i="8"/>
  <c r="AP149" i="8" l="1"/>
  <c r="AO922" i="8"/>
  <c r="AP373" i="7"/>
  <c r="AP921" i="7"/>
  <c r="AO702" i="7"/>
  <c r="AK262" i="8"/>
  <c r="AM153" i="12"/>
  <c r="AQ153" i="12"/>
  <c r="AK262" i="7"/>
  <c r="AL262" i="7" s="1"/>
  <c r="AN262" i="7" s="1"/>
  <c r="AK765" i="8"/>
  <c r="AQ314" i="12"/>
  <c r="AN314" i="12"/>
  <c r="AK923" i="8"/>
  <c r="AL923" i="8" s="1"/>
  <c r="AQ262" i="12"/>
  <c r="AM262" i="12"/>
  <c r="AQ592" i="7"/>
  <c r="AN592" i="7"/>
  <c r="AO764" i="8"/>
  <c r="AK855" i="8"/>
  <c r="AQ1034" i="8"/>
  <c r="AN1034" i="8"/>
  <c r="AK594" i="8"/>
  <c r="AL594" i="8" s="1"/>
  <c r="AN594" i="8" s="1"/>
  <c r="AM315" i="7"/>
  <c r="AO315" i="7" s="1"/>
  <c r="AQ315" i="7"/>
  <c r="AP204" i="7"/>
  <c r="AK483" i="7"/>
  <c r="AK480" i="8"/>
  <c r="AK150" i="8"/>
  <c r="AL150" i="8" s="1"/>
  <c r="AO482" i="7"/>
  <c r="AO854" i="8"/>
  <c r="AN262" i="12"/>
  <c r="AK922" i="7"/>
  <c r="AL922" i="7" s="1"/>
  <c r="AM922" i="7" s="1"/>
  <c r="AK317" i="8"/>
  <c r="AL317" i="8" s="1"/>
  <c r="AN317" i="8" s="1"/>
  <c r="AK1088" i="8"/>
  <c r="AL1088" i="8" s="1"/>
  <c r="AN1088" i="8" s="1"/>
  <c r="AK650" i="8"/>
  <c r="AL650" i="8" s="1"/>
  <c r="AN650" i="8" s="1"/>
  <c r="AM592" i="7"/>
  <c r="AO261" i="8"/>
  <c r="AK371" i="8"/>
  <c r="AL371" i="8" s="1"/>
  <c r="AN371" i="8" s="1"/>
  <c r="AK374" i="7"/>
  <c r="AK210" i="8"/>
  <c r="AL210" i="8" s="1"/>
  <c r="AO424" i="7"/>
  <c r="AN153" i="12"/>
  <c r="AO373" i="7"/>
  <c r="AK208" i="12"/>
  <c r="AO649" i="7"/>
  <c r="AO207" i="12"/>
  <c r="AQ534" i="7"/>
  <c r="AM534" i="7"/>
  <c r="AO534" i="7" s="1"/>
  <c r="AM314" i="12"/>
  <c r="AQ709" i="8"/>
  <c r="AN709" i="8"/>
  <c r="AP709" i="8" s="1"/>
  <c r="AQ802" i="8"/>
  <c r="AM802" i="8"/>
  <c r="AO802" i="8" s="1"/>
  <c r="AK703" i="7"/>
  <c r="AL703" i="7" s="1"/>
  <c r="AQ975" i="8"/>
  <c r="AM975" i="8"/>
  <c r="AO975" i="8" s="1"/>
  <c r="AL536" i="8"/>
  <c r="AM536" i="8" s="1"/>
  <c r="AK425" i="7"/>
  <c r="AM1034" i="8"/>
  <c r="AO1034" i="8" s="1"/>
  <c r="AQ152" i="7"/>
  <c r="AM152" i="7"/>
  <c r="AO152" i="7" s="1"/>
  <c r="AK650" i="7"/>
  <c r="AL430" i="8"/>
  <c r="AM430" i="8" s="1"/>
  <c r="AM806" i="7"/>
  <c r="AO806" i="7" s="1"/>
  <c r="AQ806" i="7"/>
  <c r="AQ868" i="7"/>
  <c r="AM868" i="7"/>
  <c r="AO868" i="7" s="1"/>
  <c r="AO479" i="8"/>
  <c r="AK759" i="7"/>
  <c r="AL759" i="7" s="1"/>
  <c r="AN759" i="7" s="1"/>
  <c r="AP802" i="8" l="1"/>
  <c r="AN923" i="8"/>
  <c r="AQ923" i="8"/>
  <c r="AP315" i="7"/>
  <c r="AO262" i="12"/>
  <c r="AO153" i="12"/>
  <c r="AO592" i="7"/>
  <c r="AO314" i="12"/>
  <c r="AM150" i="8"/>
  <c r="AQ150" i="8"/>
  <c r="AN150" i="8"/>
  <c r="AP150" i="8" s="1"/>
  <c r="AP594" i="8"/>
  <c r="AO922" i="7"/>
  <c r="AL483" i="7"/>
  <c r="AL650" i="7"/>
  <c r="AQ922" i="7"/>
  <c r="AM923" i="8"/>
  <c r="AO923" i="8" s="1"/>
  <c r="AL765" i="8"/>
  <c r="AM765" i="8" s="1"/>
  <c r="AL374" i="7"/>
  <c r="AP153" i="12"/>
  <c r="AK316" i="7"/>
  <c r="AL316" i="7" s="1"/>
  <c r="AM316" i="7" s="1"/>
  <c r="AK205" i="7"/>
  <c r="AL205" i="7" s="1"/>
  <c r="AL425" i="7"/>
  <c r="AM425" i="7" s="1"/>
  <c r="AP975" i="8"/>
  <c r="AL480" i="8"/>
  <c r="AP1034" i="8"/>
  <c r="AL208" i="12"/>
  <c r="AL262" i="8"/>
  <c r="AM262" i="8" s="1"/>
  <c r="AQ650" i="8"/>
  <c r="AM650" i="8"/>
  <c r="AO650" i="8" s="1"/>
  <c r="AP592" i="7"/>
  <c r="AQ1088" i="8"/>
  <c r="AM1088" i="8"/>
  <c r="AO1088" i="8" s="1"/>
  <c r="AP868" i="7"/>
  <c r="AP152" i="7"/>
  <c r="AN922" i="7"/>
  <c r="AP922" i="7" s="1"/>
  <c r="AP806" i="7"/>
  <c r="AL855" i="8"/>
  <c r="AK803" i="8"/>
  <c r="AL803" i="8" s="1"/>
  <c r="AQ536" i="8"/>
  <c r="AN536" i="8"/>
  <c r="AP536" i="8" s="1"/>
  <c r="AM703" i="7"/>
  <c r="AQ703" i="7"/>
  <c r="AQ210" i="8"/>
  <c r="AM210" i="8"/>
  <c r="AP314" i="12"/>
  <c r="AP534" i="7"/>
  <c r="AQ594" i="8"/>
  <c r="AM594" i="8"/>
  <c r="AO594" i="8" s="1"/>
  <c r="AM262" i="7"/>
  <c r="AO262" i="7" s="1"/>
  <c r="AQ262" i="7"/>
  <c r="AQ371" i="8"/>
  <c r="AM371" i="8"/>
  <c r="AO371" i="8" s="1"/>
  <c r="AN703" i="7"/>
  <c r="AN430" i="8"/>
  <c r="AP430" i="8" s="1"/>
  <c r="AQ430" i="8"/>
  <c r="AQ317" i="8"/>
  <c r="AM317" i="8"/>
  <c r="AO317" i="8" s="1"/>
  <c r="AK710" i="8"/>
  <c r="AM759" i="7"/>
  <c r="AO759" i="7" s="1"/>
  <c r="AQ759" i="7"/>
  <c r="AN210" i="8"/>
  <c r="AP210" i="8" s="1"/>
  <c r="AP262" i="12"/>
  <c r="AO709" i="8"/>
  <c r="AP759" i="7" l="1"/>
  <c r="AM803" i="8"/>
  <c r="AQ803" i="8"/>
  <c r="AP650" i="8"/>
  <c r="AP703" i="7"/>
  <c r="AP317" i="8"/>
  <c r="AK318" i="8" s="1"/>
  <c r="AL318" i="8" s="1"/>
  <c r="AN374" i="7"/>
  <c r="AP374" i="7" s="1"/>
  <c r="AQ374" i="7"/>
  <c r="AK651" i="8"/>
  <c r="AL651" i="8" s="1"/>
  <c r="AQ651" i="8" s="1"/>
  <c r="AO703" i="7"/>
  <c r="AK593" i="7"/>
  <c r="AL593" i="7" s="1"/>
  <c r="AK595" i="8"/>
  <c r="AL595" i="8" s="1"/>
  <c r="AM595" i="8" s="1"/>
  <c r="AN803" i="8"/>
  <c r="AP803" i="8" s="1"/>
  <c r="AP262" i="7"/>
  <c r="AK263" i="12"/>
  <c r="AL263" i="12" s="1"/>
  <c r="AQ208" i="12"/>
  <c r="AN208" i="12"/>
  <c r="AM208" i="12"/>
  <c r="AO208" i="12" s="1"/>
  <c r="AK1035" i="8"/>
  <c r="AL1035" i="8" s="1"/>
  <c r="AN1035" i="8" s="1"/>
  <c r="AM374" i="7"/>
  <c r="AN855" i="8"/>
  <c r="AQ855" i="8"/>
  <c r="AK976" i="8"/>
  <c r="AL976" i="8" s="1"/>
  <c r="AN976" i="8" s="1"/>
  <c r="AK151" i="8"/>
  <c r="AK154" i="12"/>
  <c r="AL154" i="12" s="1"/>
  <c r="AN154" i="12" s="1"/>
  <c r="AK869" i="7"/>
  <c r="AL869" i="7" s="1"/>
  <c r="AN869" i="7" s="1"/>
  <c r="AN765" i="8"/>
  <c r="AP765" i="8" s="1"/>
  <c r="AQ765" i="8"/>
  <c r="AK537" i="8"/>
  <c r="AM855" i="8"/>
  <c r="AN650" i="7"/>
  <c r="AQ650" i="7"/>
  <c r="AL710" i="8"/>
  <c r="AK431" i="8"/>
  <c r="AK535" i="7"/>
  <c r="AL535" i="7" s="1"/>
  <c r="AQ262" i="8"/>
  <c r="AN262" i="8"/>
  <c r="AP262" i="8" s="1"/>
  <c r="AM650" i="7"/>
  <c r="AO150" i="8"/>
  <c r="AN316" i="7"/>
  <c r="AP316" i="7" s="1"/>
  <c r="AK211" i="8"/>
  <c r="AK760" i="7"/>
  <c r="AL760" i="7" s="1"/>
  <c r="AM760" i="7" s="1"/>
  <c r="AQ480" i="8"/>
  <c r="AN480" i="8"/>
  <c r="AM480" i="8"/>
  <c r="AP1088" i="8"/>
  <c r="AP923" i="8"/>
  <c r="AN425" i="7"/>
  <c r="AP425" i="7" s="1"/>
  <c r="AQ425" i="7"/>
  <c r="AQ205" i="7"/>
  <c r="AM205" i="7"/>
  <c r="AP371" i="8"/>
  <c r="AQ316" i="7"/>
  <c r="AK923" i="7"/>
  <c r="AL923" i="7" s="1"/>
  <c r="AM923" i="7" s="1"/>
  <c r="AN205" i="7"/>
  <c r="AP205" i="7" s="1"/>
  <c r="AQ483" i="7"/>
  <c r="AN483" i="7"/>
  <c r="AP483" i="7" s="1"/>
  <c r="AO430" i="8"/>
  <c r="AK704" i="7"/>
  <c r="AK315" i="12"/>
  <c r="AL315" i="12" s="1"/>
  <c r="AK807" i="7"/>
  <c r="AL807" i="7" s="1"/>
  <c r="AN807" i="7" s="1"/>
  <c r="AO210" i="8"/>
  <c r="AK153" i="7"/>
  <c r="AL153" i="7" s="1"/>
  <c r="AM483" i="7"/>
  <c r="AO536" i="8"/>
  <c r="AO650" i="7" l="1"/>
  <c r="AO855" i="8"/>
  <c r="AO480" i="8"/>
  <c r="AM318" i="8"/>
  <c r="AN318" i="8"/>
  <c r="AP318" i="8" s="1"/>
  <c r="AQ318" i="8"/>
  <c r="AM976" i="8"/>
  <c r="AO976" i="8" s="1"/>
  <c r="AQ976" i="8"/>
  <c r="AK924" i="8"/>
  <c r="AL924" i="8" s="1"/>
  <c r="AN924" i="8" s="1"/>
  <c r="AQ263" i="12"/>
  <c r="AM263" i="12"/>
  <c r="AQ535" i="7"/>
  <c r="AM535" i="7"/>
  <c r="AQ923" i="7"/>
  <c r="AN923" i="7"/>
  <c r="AP923" i="7" s="1"/>
  <c r="AL537" i="8"/>
  <c r="AO483" i="7"/>
  <c r="AK766" i="8"/>
  <c r="AK372" i="8"/>
  <c r="AL372" i="8" s="1"/>
  <c r="AO425" i="7"/>
  <c r="AQ315" i="12"/>
  <c r="AM315" i="12"/>
  <c r="AL431" i="8"/>
  <c r="AM431" i="8" s="1"/>
  <c r="AK263" i="7"/>
  <c r="AL263" i="7" s="1"/>
  <c r="AK206" i="7"/>
  <c r="AP480" i="8"/>
  <c r="AQ153" i="7"/>
  <c r="AM153" i="7"/>
  <c r="AN760" i="7"/>
  <c r="AP760" i="7" s="1"/>
  <c r="AO205" i="7"/>
  <c r="AN595" i="8"/>
  <c r="AP595" i="8" s="1"/>
  <c r="AO765" i="8"/>
  <c r="AK426" i="7"/>
  <c r="AP208" i="12"/>
  <c r="AN263" i="12"/>
  <c r="AM651" i="8"/>
  <c r="AL704" i="7"/>
  <c r="AN535" i="7"/>
  <c r="AK804" i="8"/>
  <c r="AQ760" i="7"/>
  <c r="AN710" i="8"/>
  <c r="AQ710" i="8"/>
  <c r="AK375" i="7"/>
  <c r="AM710" i="8"/>
  <c r="AO710" i="8" s="1"/>
  <c r="AQ869" i="7"/>
  <c r="AM869" i="7"/>
  <c r="AO869" i="7" s="1"/>
  <c r="AN153" i="7"/>
  <c r="AP153" i="7" s="1"/>
  <c r="AL211" i="8"/>
  <c r="AM211" i="8" s="1"/>
  <c r="AP650" i="7"/>
  <c r="AO374" i="7"/>
  <c r="AM593" i="7"/>
  <c r="AQ593" i="7"/>
  <c r="AO803" i="8"/>
  <c r="AK317" i="7"/>
  <c r="AN315" i="12"/>
  <c r="AP315" i="12" s="1"/>
  <c r="AQ595" i="8"/>
  <c r="AL151" i="8"/>
  <c r="AK263" i="8"/>
  <c r="AK1089" i="8"/>
  <c r="AL1089" i="8" s="1"/>
  <c r="AN1089" i="8" s="1"/>
  <c r="AK484" i="7"/>
  <c r="AP855" i="8"/>
  <c r="AN651" i="8"/>
  <c r="AM807" i="7"/>
  <c r="AO807" i="7" s="1"/>
  <c r="AQ807" i="7"/>
  <c r="AO262" i="8"/>
  <c r="AQ154" i="12"/>
  <c r="AM154" i="12"/>
  <c r="AO154" i="12" s="1"/>
  <c r="AQ1035" i="8"/>
  <c r="AM1035" i="8"/>
  <c r="AO1035" i="8" s="1"/>
  <c r="AN593" i="7"/>
  <c r="AP593" i="7" s="1"/>
  <c r="AO316" i="7"/>
  <c r="AO651" i="8" l="1"/>
  <c r="AP535" i="7"/>
  <c r="AP263" i="12"/>
  <c r="AK481" i="8"/>
  <c r="AL481" i="8" s="1"/>
  <c r="AN481" i="8" s="1"/>
  <c r="AM263" i="7"/>
  <c r="AQ263" i="7"/>
  <c r="AN263" i="7"/>
  <c r="AP263" i="7" s="1"/>
  <c r="AK316" i="12"/>
  <c r="AP807" i="7"/>
  <c r="AP154" i="12"/>
  <c r="AL804" i="8"/>
  <c r="AK856" i="8"/>
  <c r="AL856" i="8" s="1"/>
  <c r="AN856" i="8" s="1"/>
  <c r="AO593" i="7"/>
  <c r="AL375" i="7"/>
  <c r="AM375" i="7" s="1"/>
  <c r="AQ537" i="8"/>
  <c r="AN537" i="8"/>
  <c r="AM537" i="8"/>
  <c r="AP710" i="8"/>
  <c r="AK924" i="7"/>
  <c r="AL766" i="8"/>
  <c r="AK319" i="8"/>
  <c r="AK596" i="8"/>
  <c r="AP976" i="8"/>
  <c r="AO318" i="8"/>
  <c r="AO315" i="12"/>
  <c r="AO595" i="8"/>
  <c r="AK651" i="7"/>
  <c r="AL651" i="7" s="1"/>
  <c r="AN651" i="7" s="1"/>
  <c r="AK536" i="7"/>
  <c r="AL206" i="7"/>
  <c r="AO535" i="7"/>
  <c r="AO760" i="7"/>
  <c r="AK594" i="7"/>
  <c r="AQ924" i="8"/>
  <c r="AM924" i="8"/>
  <c r="AO924" i="8" s="1"/>
  <c r="AN151" i="8"/>
  <c r="AQ151" i="8"/>
  <c r="AL484" i="7"/>
  <c r="AM484" i="7" s="1"/>
  <c r="AL263" i="8"/>
  <c r="AM263" i="8" s="1"/>
  <c r="AN704" i="7"/>
  <c r="AQ704" i="7"/>
  <c r="AK761" i="7"/>
  <c r="AO923" i="7"/>
  <c r="AQ372" i="8"/>
  <c r="AM372" i="8"/>
  <c r="AK154" i="7"/>
  <c r="AN372" i="8"/>
  <c r="AP372" i="8" s="1"/>
  <c r="AK264" i="12"/>
  <c r="AK209" i="12"/>
  <c r="AL209" i="12" s="1"/>
  <c r="AN209" i="12" s="1"/>
  <c r="AM151" i="8"/>
  <c r="AP1035" i="8"/>
  <c r="AN431" i="8"/>
  <c r="AP431" i="8" s="1"/>
  <c r="AQ431" i="8"/>
  <c r="AP651" i="8"/>
  <c r="AL317" i="7"/>
  <c r="AQ1089" i="8"/>
  <c r="AM1089" i="8"/>
  <c r="AO1089" i="8" s="1"/>
  <c r="AN211" i="8"/>
  <c r="AP211" i="8" s="1"/>
  <c r="AQ211" i="8"/>
  <c r="AM704" i="7"/>
  <c r="AO153" i="7"/>
  <c r="AL426" i="7"/>
  <c r="AO263" i="12"/>
  <c r="AP869" i="7"/>
  <c r="AO537" i="8" l="1"/>
  <c r="AP704" i="7"/>
  <c r="AO151" i="8"/>
  <c r="AP1089" i="8"/>
  <c r="AO211" i="8"/>
  <c r="AL154" i="7"/>
  <c r="AM154" i="7" s="1"/>
  <c r="AK1090" i="8"/>
  <c r="AL761" i="7"/>
  <c r="AO263" i="7"/>
  <c r="AL536" i="7"/>
  <c r="AM536" i="7" s="1"/>
  <c r="AQ206" i="7"/>
  <c r="AN206" i="7"/>
  <c r="AQ481" i="8"/>
  <c r="AM481" i="8"/>
  <c r="AO481" i="8" s="1"/>
  <c r="AK652" i="8"/>
  <c r="AL652" i="8" s="1"/>
  <c r="AN652" i="8" s="1"/>
  <c r="AO372" i="8"/>
  <c r="AQ804" i="8"/>
  <c r="AN804" i="8"/>
  <c r="AL319" i="8"/>
  <c r="AM319" i="8" s="1"/>
  <c r="AK977" i="8"/>
  <c r="AL977" i="8" s="1"/>
  <c r="AK705" i="7"/>
  <c r="AK264" i="7"/>
  <c r="AK212" i="8"/>
  <c r="AL212" i="8" s="1"/>
  <c r="AL1090" i="8"/>
  <c r="AQ1090" i="8" s="1"/>
  <c r="AQ766" i="8"/>
  <c r="AN766" i="8"/>
  <c r="AL594" i="7"/>
  <c r="AM594" i="7" s="1"/>
  <c r="AM766" i="8"/>
  <c r="AQ263" i="8"/>
  <c r="AN263" i="8"/>
  <c r="AP263" i="8" s="1"/>
  <c r="AM856" i="8"/>
  <c r="AO856" i="8" s="1"/>
  <c r="AQ856" i="8"/>
  <c r="AN484" i="7"/>
  <c r="AP484" i="7" s="1"/>
  <c r="AQ484" i="7"/>
  <c r="AK711" i="8"/>
  <c r="AL711" i="8" s="1"/>
  <c r="AN711" i="8"/>
  <c r="AM651" i="7"/>
  <c r="AO651" i="7" s="1"/>
  <c r="AQ651" i="7"/>
  <c r="AP537" i="8"/>
  <c r="AM804" i="8"/>
  <c r="AK155" i="12"/>
  <c r="AL155" i="12" s="1"/>
  <c r="AN155" i="12" s="1"/>
  <c r="AL596" i="8"/>
  <c r="AO431" i="8"/>
  <c r="AQ426" i="7"/>
  <c r="AN426" i="7"/>
  <c r="AM426" i="7"/>
  <c r="AM209" i="12"/>
  <c r="AO209" i="12" s="1"/>
  <c r="AQ209" i="12"/>
  <c r="AO704" i="7"/>
  <c r="AQ375" i="7"/>
  <c r="AN375" i="7"/>
  <c r="AP375" i="7" s="1"/>
  <c r="AQ317" i="7"/>
  <c r="AN317" i="7"/>
  <c r="AK373" i="8"/>
  <c r="AM317" i="7"/>
  <c r="AO317" i="7" s="1"/>
  <c r="AM206" i="7"/>
  <c r="AK432" i="8"/>
  <c r="AL924" i="7"/>
  <c r="AK870" i="7"/>
  <c r="AL870" i="7" s="1"/>
  <c r="AN870" i="7" s="1"/>
  <c r="AK1036" i="8"/>
  <c r="AL1036" i="8" s="1"/>
  <c r="AN1036" i="8" s="1"/>
  <c r="AP151" i="8"/>
  <c r="AL264" i="12"/>
  <c r="AL316" i="12"/>
  <c r="AK808" i="7"/>
  <c r="AL808" i="7" s="1"/>
  <c r="AN808" i="7" s="1"/>
  <c r="AP924" i="8"/>
  <c r="AO206" i="7" l="1"/>
  <c r="AP766" i="8"/>
  <c r="AP804" i="8"/>
  <c r="AO426" i="7"/>
  <c r="AM212" i="8"/>
  <c r="AQ212" i="8"/>
  <c r="AN212" i="8"/>
  <c r="AP212" i="8" s="1"/>
  <c r="AK767" i="8"/>
  <c r="AK376" i="7"/>
  <c r="AL264" i="7"/>
  <c r="AM264" i="7" s="1"/>
  <c r="AQ870" i="7"/>
  <c r="AM870" i="7"/>
  <c r="AO870" i="7" s="1"/>
  <c r="AM1090" i="8"/>
  <c r="AK925" i="8"/>
  <c r="AL925" i="8" s="1"/>
  <c r="AN925" i="8" s="1"/>
  <c r="AP426" i="7"/>
  <c r="AK485" i="7"/>
  <c r="AN1090" i="8"/>
  <c r="AQ316" i="12"/>
  <c r="AN316" i="12"/>
  <c r="AM316" i="12"/>
  <c r="AK264" i="8"/>
  <c r="AP481" i="8"/>
  <c r="AQ977" i="8"/>
  <c r="AM977" i="8"/>
  <c r="AM155" i="12"/>
  <c r="AO155" i="12" s="1"/>
  <c r="AQ155" i="12"/>
  <c r="AO766" i="8"/>
  <c r="AN977" i="8"/>
  <c r="AP977" i="8" s="1"/>
  <c r="AO263" i="8"/>
  <c r="AO319" i="8"/>
  <c r="AP870" i="7"/>
  <c r="AN761" i="7"/>
  <c r="AQ761" i="7"/>
  <c r="AL705" i="7"/>
  <c r="AM705" i="7" s="1"/>
  <c r="AM761" i="7"/>
  <c r="AP651" i="7"/>
  <c r="AL373" i="8"/>
  <c r="AQ808" i="7"/>
  <c r="AM808" i="7"/>
  <c r="AO808" i="7" s="1"/>
  <c r="AN264" i="12"/>
  <c r="AQ264" i="12"/>
  <c r="AM264" i="12"/>
  <c r="AO264" i="12" s="1"/>
  <c r="AO804" i="8"/>
  <c r="AN594" i="7"/>
  <c r="AP594" i="7" s="1"/>
  <c r="AQ594" i="7"/>
  <c r="AO484" i="7"/>
  <c r="AM1036" i="8"/>
  <c r="AO1036" i="8" s="1"/>
  <c r="AQ1036" i="8"/>
  <c r="AK805" i="8"/>
  <c r="AM711" i="8"/>
  <c r="AO711" i="8" s="1"/>
  <c r="AQ711" i="8"/>
  <c r="AQ924" i="7"/>
  <c r="AN924" i="7"/>
  <c r="AQ652" i="8"/>
  <c r="AM652" i="8"/>
  <c r="AO652" i="8" s="1"/>
  <c r="AM924" i="7"/>
  <c r="AO924" i="7" s="1"/>
  <c r="AQ154" i="7"/>
  <c r="AN154" i="7"/>
  <c r="AP154" i="7" s="1"/>
  <c r="AL432" i="8"/>
  <c r="AQ596" i="8"/>
  <c r="AN596" i="8"/>
  <c r="AP856" i="8"/>
  <c r="AM596" i="8"/>
  <c r="AO596" i="8" s="1"/>
  <c r="AP206" i="7"/>
  <c r="AP209" i="12"/>
  <c r="AK152" i="8"/>
  <c r="AL152" i="8" s="1"/>
  <c r="AN152" i="8" s="1"/>
  <c r="AP317" i="7"/>
  <c r="AK538" i="8"/>
  <c r="AL538" i="8" s="1"/>
  <c r="AQ319" i="8"/>
  <c r="AN319" i="8"/>
  <c r="AP319" i="8" s="1"/>
  <c r="AQ536" i="7"/>
  <c r="AN536" i="7"/>
  <c r="AP536" i="7" s="1"/>
  <c r="AO375" i="7"/>
  <c r="AO761" i="7" l="1"/>
  <c r="AO594" i="7"/>
  <c r="AO536" i="7"/>
  <c r="AP316" i="12"/>
  <c r="AP1090" i="8"/>
  <c r="AK155" i="7"/>
  <c r="AK317" i="12"/>
  <c r="AL485" i="7"/>
  <c r="AK318" i="7"/>
  <c r="AL318" i="7" s="1"/>
  <c r="AN318" i="7" s="1"/>
  <c r="AL264" i="8"/>
  <c r="AK595" i="7"/>
  <c r="AL595" i="7" s="1"/>
  <c r="AP808" i="7"/>
  <c r="AK1091" i="8"/>
  <c r="AN373" i="8"/>
  <c r="AP373" i="8" s="1"/>
  <c r="AQ373" i="8"/>
  <c r="AK210" i="12"/>
  <c r="AL210" i="12" s="1"/>
  <c r="AN210" i="12" s="1"/>
  <c r="AM373" i="8"/>
  <c r="AP264" i="12"/>
  <c r="AK652" i="7"/>
  <c r="AL652" i="7" s="1"/>
  <c r="AN652" i="7" s="1"/>
  <c r="AP1036" i="8"/>
  <c r="AP155" i="12"/>
  <c r="AQ925" i="8"/>
  <c r="AM925" i="8"/>
  <c r="AO925" i="8" s="1"/>
  <c r="AK857" i="8"/>
  <c r="AL857" i="8" s="1"/>
  <c r="AP596" i="8"/>
  <c r="AK482" i="8"/>
  <c r="AL482" i="8" s="1"/>
  <c r="AN482" i="8" s="1"/>
  <c r="AO212" i="8"/>
  <c r="AK537" i="7"/>
  <c r="AL537" i="7" s="1"/>
  <c r="AO154" i="7"/>
  <c r="AN432" i="8"/>
  <c r="AQ432" i="8"/>
  <c r="AP761" i="7"/>
  <c r="AO1090" i="8"/>
  <c r="AM538" i="8"/>
  <c r="AQ538" i="8"/>
  <c r="AN264" i="7"/>
  <c r="AP264" i="7" s="1"/>
  <c r="AQ264" i="7"/>
  <c r="AN538" i="8"/>
  <c r="AP538" i="8" s="1"/>
  <c r="AP924" i="7"/>
  <c r="AM152" i="8"/>
  <c r="AO152" i="8" s="1"/>
  <c r="AQ152" i="8"/>
  <c r="AL805" i="8"/>
  <c r="AK978" i="8"/>
  <c r="AL767" i="8"/>
  <c r="AM767" i="8" s="1"/>
  <c r="AK207" i="7"/>
  <c r="AL207" i="7" s="1"/>
  <c r="AK427" i="7"/>
  <c r="AL427" i="7" s="1"/>
  <c r="AN427" i="7" s="1"/>
  <c r="AO977" i="8"/>
  <c r="AK213" i="8"/>
  <c r="AP711" i="8"/>
  <c r="AN705" i="7"/>
  <c r="AP705" i="7" s="1"/>
  <c r="AQ705" i="7"/>
  <c r="AL376" i="7"/>
  <c r="AK320" i="8"/>
  <c r="AL320" i="8" s="1"/>
  <c r="AM432" i="8"/>
  <c r="AK871" i="7"/>
  <c r="AO316" i="12"/>
  <c r="AL871" i="7"/>
  <c r="AQ871" i="7" s="1"/>
  <c r="AP652" i="8"/>
  <c r="AM320" i="8" l="1"/>
  <c r="AN320" i="8"/>
  <c r="AP152" i="8"/>
  <c r="AP925" i="8"/>
  <c r="AP432" i="8"/>
  <c r="AN595" i="7"/>
  <c r="AQ595" i="7"/>
  <c r="AM595" i="7"/>
  <c r="AO595" i="7" s="1"/>
  <c r="AN537" i="7"/>
  <c r="AQ537" i="7"/>
  <c r="AM537" i="7"/>
  <c r="AO537" i="7" s="1"/>
  <c r="AK153" i="8"/>
  <c r="AL153" i="8" s="1"/>
  <c r="AL155" i="7"/>
  <c r="AN376" i="7"/>
  <c r="AQ376" i="7"/>
  <c r="AK809" i="7"/>
  <c r="AL809" i="7" s="1"/>
  <c r="AN809" i="7" s="1"/>
  <c r="AK1037" i="8"/>
  <c r="AL1037" i="8" s="1"/>
  <c r="AN1037" i="8" s="1"/>
  <c r="AL213" i="8"/>
  <c r="AK706" i="7"/>
  <c r="AN264" i="8"/>
  <c r="AQ264" i="8"/>
  <c r="AK712" i="8"/>
  <c r="AL712" i="8" s="1"/>
  <c r="AK265" i="7"/>
  <c r="AM264" i="8"/>
  <c r="AK653" i="8"/>
  <c r="AL653" i="8" s="1"/>
  <c r="AO538" i="8"/>
  <c r="AQ320" i="8"/>
  <c r="AL317" i="12"/>
  <c r="AM317" i="12" s="1"/>
  <c r="AQ857" i="8"/>
  <c r="AM857" i="8"/>
  <c r="AO373" i="8"/>
  <c r="AP320" i="8"/>
  <c r="AM207" i="7"/>
  <c r="AQ207" i="7"/>
  <c r="AN207" i="7"/>
  <c r="AK926" i="8"/>
  <c r="AQ482" i="8"/>
  <c r="AM482" i="8"/>
  <c r="AO482" i="8" s="1"/>
  <c r="AK597" i="8"/>
  <c r="AL597" i="8" s="1"/>
  <c r="AN597" i="8" s="1"/>
  <c r="AM871" i="7"/>
  <c r="AN805" i="8"/>
  <c r="AQ805" i="8"/>
  <c r="AM805" i="8"/>
  <c r="AO805" i="8" s="1"/>
  <c r="AN857" i="8"/>
  <c r="AN871" i="7"/>
  <c r="AP871" i="7" s="1"/>
  <c r="AL1091" i="8"/>
  <c r="AL926" i="8"/>
  <c r="AN926" i="8" s="1"/>
  <c r="AQ485" i="7"/>
  <c r="AN485" i="7"/>
  <c r="AO432" i="8"/>
  <c r="AQ427" i="7"/>
  <c r="AM427" i="7"/>
  <c r="AO427" i="7" s="1"/>
  <c r="AK762" i="7"/>
  <c r="AL762" i="7" s="1"/>
  <c r="AN762" i="7" s="1"/>
  <c r="AM210" i="12"/>
  <c r="AO210" i="12" s="1"/>
  <c r="AQ210" i="12"/>
  <c r="AM485" i="7"/>
  <c r="AO485" i="7" s="1"/>
  <c r="AO264" i="7"/>
  <c r="AK925" i="7"/>
  <c r="AL925" i="7" s="1"/>
  <c r="AK433" i="8"/>
  <c r="AK374" i="8"/>
  <c r="AQ767" i="8"/>
  <c r="AN767" i="8"/>
  <c r="AP767" i="8" s="1"/>
  <c r="AM376" i="7"/>
  <c r="AK539" i="8"/>
  <c r="AM652" i="7"/>
  <c r="AO652" i="7" s="1"/>
  <c r="AQ652" i="7"/>
  <c r="AM318" i="7"/>
  <c r="AO318" i="7" s="1"/>
  <c r="AQ318" i="7"/>
  <c r="AL978" i="8"/>
  <c r="AM978" i="8" s="1"/>
  <c r="AK265" i="12"/>
  <c r="AL265" i="12" s="1"/>
  <c r="AK156" i="12"/>
  <c r="AL156" i="12" s="1"/>
  <c r="AO705" i="7"/>
  <c r="AP207" i="7" l="1"/>
  <c r="AP857" i="8"/>
  <c r="AQ926" i="8"/>
  <c r="AP264" i="8"/>
  <c r="AP482" i="8"/>
  <c r="AO376" i="7"/>
  <c r="AO320" i="8"/>
  <c r="AQ153" i="8"/>
  <c r="AM153" i="8"/>
  <c r="AN153" i="8"/>
  <c r="AP153" i="8" s="1"/>
  <c r="AO978" i="8"/>
  <c r="AQ712" i="8"/>
  <c r="AM712" i="8"/>
  <c r="AO712" i="8" s="1"/>
  <c r="AO207" i="7"/>
  <c r="AP210" i="12"/>
  <c r="AM156" i="12"/>
  <c r="AQ156" i="12"/>
  <c r="AL433" i="8"/>
  <c r="AL539" i="8"/>
  <c r="AM539" i="8" s="1"/>
  <c r="AP485" i="7"/>
  <c r="AP318" i="7"/>
  <c r="AQ1091" i="8"/>
  <c r="AN1091" i="8"/>
  <c r="AP1091" i="8" s="1"/>
  <c r="AN712" i="8"/>
  <c r="AK483" i="8"/>
  <c r="AL483" i="8" s="1"/>
  <c r="AQ483" i="8" s="1"/>
  <c r="AL374" i="8"/>
  <c r="AO857" i="8"/>
  <c r="AN213" i="8"/>
  <c r="AQ213" i="8"/>
  <c r="AN156" i="12"/>
  <c r="AM597" i="8"/>
  <c r="AO597" i="8" s="1"/>
  <c r="AQ597" i="8"/>
  <c r="AM1037" i="8"/>
  <c r="AO1037" i="8" s="1"/>
  <c r="AQ1037" i="8"/>
  <c r="AP427" i="7"/>
  <c r="AQ809" i="7"/>
  <c r="AM809" i="7"/>
  <c r="AO809" i="7" s="1"/>
  <c r="AN155" i="7"/>
  <c r="AQ155" i="7"/>
  <c r="AL265" i="7"/>
  <c r="AM155" i="7"/>
  <c r="AO155" i="7" s="1"/>
  <c r="AK872" i="7"/>
  <c r="AK321" i="8"/>
  <c r="AL321" i="8" s="1"/>
  <c r="AM321" i="8" s="1"/>
  <c r="AP805" i="8"/>
  <c r="AM213" i="8"/>
  <c r="AK768" i="8"/>
  <c r="AQ321" i="8"/>
  <c r="AQ653" i="8"/>
  <c r="AM653" i="8"/>
  <c r="AP652" i="7"/>
  <c r="AM925" i="7"/>
  <c r="AQ925" i="7"/>
  <c r="AK208" i="7"/>
  <c r="AM1091" i="8"/>
  <c r="AK858" i="8"/>
  <c r="AK265" i="8"/>
  <c r="AL706" i="7"/>
  <c r="AM762" i="7"/>
  <c r="AO762" i="7" s="1"/>
  <c r="AQ762" i="7"/>
  <c r="AP537" i="7"/>
  <c r="AO871" i="7"/>
  <c r="AQ317" i="12"/>
  <c r="AN317" i="12"/>
  <c r="AP317" i="12" s="1"/>
  <c r="AP595" i="7"/>
  <c r="AM265" i="12"/>
  <c r="AQ265" i="12"/>
  <c r="AN653" i="8"/>
  <c r="AP653" i="8" s="1"/>
  <c r="AN265" i="12"/>
  <c r="AO264" i="8"/>
  <c r="AQ978" i="8"/>
  <c r="AN978" i="8"/>
  <c r="AP978" i="8" s="1"/>
  <c r="AN925" i="7"/>
  <c r="AP925" i="7" s="1"/>
  <c r="AM926" i="8"/>
  <c r="AO926" i="8" s="1"/>
  <c r="AP376" i="7"/>
  <c r="AO767" i="8"/>
  <c r="AP213" i="8" l="1"/>
  <c r="AP156" i="12"/>
  <c r="AO265" i="12"/>
  <c r="AP762" i="7"/>
  <c r="AK763" i="7" s="1"/>
  <c r="AL763" i="7" s="1"/>
  <c r="AP809" i="7"/>
  <c r="AK1092" i="8"/>
  <c r="AM483" i="8"/>
  <c r="AK596" i="7"/>
  <c r="AL596" i="7" s="1"/>
  <c r="AN596" i="7" s="1"/>
  <c r="AK211" i="12"/>
  <c r="AL211" i="12" s="1"/>
  <c r="AN211" i="12" s="1"/>
  <c r="AK810" i="7"/>
  <c r="AL810" i="7" s="1"/>
  <c r="AN810" i="7" s="1"/>
  <c r="AN374" i="8"/>
  <c r="AQ374" i="8"/>
  <c r="AL768" i="8"/>
  <c r="AL979" i="8"/>
  <c r="AN979" i="8" s="1"/>
  <c r="AK377" i="7"/>
  <c r="AL377" i="7" s="1"/>
  <c r="AN377" i="7" s="1"/>
  <c r="AO153" i="8"/>
  <c r="AO925" i="7"/>
  <c r="AP712" i="8"/>
  <c r="AP597" i="8"/>
  <c r="AN265" i="7"/>
  <c r="AQ265" i="7"/>
  <c r="AM374" i="8"/>
  <c r="AK318" i="12"/>
  <c r="AP155" i="7"/>
  <c r="AN483" i="8"/>
  <c r="AP483" i="8" s="1"/>
  <c r="AK154" i="8"/>
  <c r="AK538" i="7"/>
  <c r="AL538" i="7" s="1"/>
  <c r="AL265" i="8"/>
  <c r="AM265" i="8" s="1"/>
  <c r="AK653" i="7"/>
  <c r="AL653" i="7" s="1"/>
  <c r="AP1037" i="8"/>
  <c r="AK157" i="12"/>
  <c r="AK319" i="7"/>
  <c r="AL319" i="7" s="1"/>
  <c r="AL858" i="8"/>
  <c r="AM265" i="7"/>
  <c r="AO1091" i="8"/>
  <c r="AK806" i="8"/>
  <c r="AL806" i="8" s="1"/>
  <c r="AN806" i="8" s="1"/>
  <c r="AK926" i="7"/>
  <c r="AK428" i="7"/>
  <c r="AL428" i="7" s="1"/>
  <c r="AN428" i="7" s="1"/>
  <c r="AO156" i="12"/>
  <c r="AO317" i="12"/>
  <c r="AK214" i="8"/>
  <c r="AK486" i="7"/>
  <c r="AL486" i="7" s="1"/>
  <c r="AL208" i="7"/>
  <c r="AN539" i="8"/>
  <c r="AP539" i="8" s="1"/>
  <c r="AQ539" i="8"/>
  <c r="AN433" i="8"/>
  <c r="AQ433" i="8"/>
  <c r="AO213" i="8"/>
  <c r="AM433" i="8"/>
  <c r="AL872" i="7"/>
  <c r="AK979" i="8"/>
  <c r="AN706" i="7"/>
  <c r="AQ706" i="7"/>
  <c r="AP265" i="12"/>
  <c r="AM706" i="7"/>
  <c r="AO706" i="7" s="1"/>
  <c r="AK654" i="8"/>
  <c r="AO653" i="8"/>
  <c r="AN321" i="8"/>
  <c r="AP321" i="8" s="1"/>
  <c r="AP926" i="8"/>
  <c r="AO433" i="8" l="1"/>
  <c r="AO321" i="8"/>
  <c r="AO374" i="8"/>
  <c r="AO265" i="7"/>
  <c r="AQ763" i="7"/>
  <c r="AM763" i="7"/>
  <c r="AN763" i="7"/>
  <c r="AP763" i="7" s="1"/>
  <c r="AL654" i="8"/>
  <c r="AK540" i="8"/>
  <c r="AQ208" i="7"/>
  <c r="AN208" i="7"/>
  <c r="AM208" i="7"/>
  <c r="AK1038" i="8"/>
  <c r="AL1038" i="8" s="1"/>
  <c r="AN1038" i="8" s="1"/>
  <c r="AM810" i="7"/>
  <c r="AO810" i="7" s="1"/>
  <c r="AK156" i="7"/>
  <c r="AL156" i="7" s="1"/>
  <c r="AN156" i="7" s="1"/>
  <c r="AM653" i="7"/>
  <c r="AQ653" i="7"/>
  <c r="AM979" i="8"/>
  <c r="AO979" i="8" s="1"/>
  <c r="AQ768" i="8"/>
  <c r="AN768" i="8"/>
  <c r="AP265" i="7"/>
  <c r="AL214" i="8"/>
  <c r="AM214" i="8" s="1"/>
  <c r="AQ319" i="7"/>
  <c r="AM319" i="7"/>
  <c r="AK598" i="8"/>
  <c r="AL598" i="8" s="1"/>
  <c r="AP374" i="8"/>
  <c r="AL154" i="8"/>
  <c r="AQ211" i="12"/>
  <c r="AM211" i="12"/>
  <c r="AO211" i="12" s="1"/>
  <c r="AM486" i="7"/>
  <c r="AQ486" i="7"/>
  <c r="AP706" i="7"/>
  <c r="AL318" i="12"/>
  <c r="AM318" i="12" s="1"/>
  <c r="AO483" i="8"/>
  <c r="AQ979" i="8"/>
  <c r="AK927" i="8"/>
  <c r="AL927" i="8" s="1"/>
  <c r="AN927" i="8"/>
  <c r="AN319" i="7"/>
  <c r="AQ538" i="7"/>
  <c r="AM538" i="7"/>
  <c r="AK713" i="8"/>
  <c r="AL713" i="8" s="1"/>
  <c r="AQ810" i="7"/>
  <c r="AQ806" i="8"/>
  <c r="AM806" i="8"/>
  <c r="AO806" i="8" s="1"/>
  <c r="AK266" i="12"/>
  <c r="AL266" i="12" s="1"/>
  <c r="AN266" i="12" s="1"/>
  <c r="AN486" i="7"/>
  <c r="AQ377" i="7"/>
  <c r="AM377" i="7"/>
  <c r="AO377" i="7" s="1"/>
  <c r="AL1092" i="8"/>
  <c r="AN653" i="7"/>
  <c r="AQ872" i="7"/>
  <c r="AN872" i="7"/>
  <c r="AP872" i="7" s="1"/>
  <c r="AL157" i="12"/>
  <c r="AN858" i="8"/>
  <c r="AP858" i="8" s="1"/>
  <c r="AQ858" i="8"/>
  <c r="AP433" i="8"/>
  <c r="AM428" i="7"/>
  <c r="AO428" i="7" s="1"/>
  <c r="AQ428" i="7"/>
  <c r="AN538" i="7"/>
  <c r="AK484" i="8"/>
  <c r="AQ596" i="7"/>
  <c r="AM596" i="7"/>
  <c r="AO596" i="7" s="1"/>
  <c r="AQ265" i="8"/>
  <c r="AN265" i="8"/>
  <c r="AP265" i="8" s="1"/>
  <c r="AM872" i="7"/>
  <c r="AM768" i="8"/>
  <c r="AM858" i="8"/>
  <c r="AK322" i="8"/>
  <c r="AL322" i="8" s="1"/>
  <c r="AQ322" i="8" s="1"/>
  <c r="AL926" i="7"/>
  <c r="AM926" i="7" s="1"/>
  <c r="AO539" i="8"/>
  <c r="AP806" i="8" l="1"/>
  <c r="AP319" i="7"/>
  <c r="AO538" i="7"/>
  <c r="AP208" i="7"/>
  <c r="AK209" i="7" s="1"/>
  <c r="AP653" i="7"/>
  <c r="AK654" i="7" s="1"/>
  <c r="AP428" i="7"/>
  <c r="AK429" i="7" s="1"/>
  <c r="AL429" i="7" s="1"/>
  <c r="AQ429" i="7" s="1"/>
  <c r="AP810" i="7"/>
  <c r="AP768" i="8"/>
  <c r="AK769" i="8" s="1"/>
  <c r="AO486" i="7"/>
  <c r="AN157" i="12"/>
  <c r="AP157" i="12" s="1"/>
  <c r="AQ157" i="12"/>
  <c r="AM713" i="8"/>
  <c r="AQ713" i="8"/>
  <c r="AK873" i="7"/>
  <c r="AQ1092" i="8"/>
  <c r="AN1092" i="8"/>
  <c r="AP1092" i="8" s="1"/>
  <c r="AK807" i="8"/>
  <c r="AL807" i="8" s="1"/>
  <c r="AL540" i="8"/>
  <c r="AQ154" i="8"/>
  <c r="AN154" i="8"/>
  <c r="AP596" i="7"/>
  <c r="AM154" i="8"/>
  <c r="AO154" i="8" s="1"/>
  <c r="AK811" i="7"/>
  <c r="AL811" i="7" s="1"/>
  <c r="AK375" i="8"/>
  <c r="AL375" i="8" s="1"/>
  <c r="AN375" i="8"/>
  <c r="AP979" i="8"/>
  <c r="AQ598" i="8"/>
  <c r="AM598" i="8"/>
  <c r="AP486" i="7"/>
  <c r="AN598" i="8"/>
  <c r="AP598" i="8" s="1"/>
  <c r="AO763" i="7"/>
  <c r="AN713" i="8"/>
  <c r="AP211" i="12"/>
  <c r="AP538" i="7"/>
  <c r="AO653" i="7"/>
  <c r="AQ156" i="7"/>
  <c r="AM156" i="7"/>
  <c r="AO156" i="7" s="1"/>
  <c r="AN322" i="8"/>
  <c r="AK434" i="8"/>
  <c r="AL434" i="8" s="1"/>
  <c r="AK764" i="7"/>
  <c r="AO858" i="8"/>
  <c r="AO319" i="7"/>
  <c r="AK266" i="8"/>
  <c r="AO318" i="12"/>
  <c r="AK859" i="8"/>
  <c r="AK707" i="7"/>
  <c r="AL707" i="7" s="1"/>
  <c r="AN707" i="7" s="1"/>
  <c r="AK266" i="7"/>
  <c r="AL266" i="7" s="1"/>
  <c r="AN266" i="7"/>
  <c r="AM157" i="12"/>
  <c r="AM322" i="8"/>
  <c r="AO768" i="8"/>
  <c r="AQ266" i="12"/>
  <c r="AM266" i="12"/>
  <c r="AO266" i="12" s="1"/>
  <c r="AL484" i="8"/>
  <c r="AM484" i="8" s="1"/>
  <c r="AQ1038" i="8"/>
  <c r="AM1038" i="8"/>
  <c r="AO1038" i="8" s="1"/>
  <c r="AO265" i="8"/>
  <c r="AN654" i="8"/>
  <c r="AQ654" i="8"/>
  <c r="AK320" i="7"/>
  <c r="AM654" i="8"/>
  <c r="AO654" i="8" s="1"/>
  <c r="AM1092" i="8"/>
  <c r="AN926" i="7"/>
  <c r="AP926" i="7" s="1"/>
  <c r="AQ926" i="7"/>
  <c r="AQ927" i="8"/>
  <c r="AM927" i="8"/>
  <c r="AO927" i="8" s="1"/>
  <c r="AO872" i="7"/>
  <c r="AN318" i="12"/>
  <c r="AP318" i="12" s="1"/>
  <c r="AQ318" i="12"/>
  <c r="AQ214" i="8"/>
  <c r="AN214" i="8"/>
  <c r="AP214" i="8" s="1"/>
  <c r="AO208" i="7"/>
  <c r="AP377" i="7"/>
  <c r="AP713" i="8" l="1"/>
  <c r="AO322" i="8"/>
  <c r="AO157" i="12"/>
  <c r="AQ811" i="7"/>
  <c r="AM811" i="7"/>
  <c r="AN811" i="7"/>
  <c r="AP811" i="7" s="1"/>
  <c r="AN807" i="8"/>
  <c r="AQ807" i="8"/>
  <c r="AM807" i="8"/>
  <c r="AO807" i="8" s="1"/>
  <c r="AK714" i="8"/>
  <c r="AK927" i="7"/>
  <c r="AK1093" i="8"/>
  <c r="AM375" i="8"/>
  <c r="AO375" i="8" s="1"/>
  <c r="AQ375" i="8"/>
  <c r="AL319" i="12"/>
  <c r="AN319" i="12" s="1"/>
  <c r="AM429" i="7"/>
  <c r="AK215" i="8"/>
  <c r="AN429" i="7"/>
  <c r="AL320" i="7"/>
  <c r="AM320" i="7" s="1"/>
  <c r="AK319" i="12"/>
  <c r="AK212" i="12"/>
  <c r="AL212" i="12" s="1"/>
  <c r="AN212" i="12" s="1"/>
  <c r="AK597" i="7"/>
  <c r="AL597" i="7" s="1"/>
  <c r="AN597" i="7" s="1"/>
  <c r="AP154" i="8"/>
  <c r="AL873" i="7"/>
  <c r="AK599" i="8"/>
  <c r="AO214" i="8"/>
  <c r="AM434" i="8"/>
  <c r="AQ434" i="8"/>
  <c r="AK487" i="7"/>
  <c r="AL487" i="7" s="1"/>
  <c r="AQ540" i="8"/>
  <c r="AN540" i="8"/>
  <c r="AO926" i="7"/>
  <c r="AK980" i="8"/>
  <c r="AL980" i="8" s="1"/>
  <c r="AN980" i="8" s="1"/>
  <c r="AP156" i="7"/>
  <c r="AO1092" i="8"/>
  <c r="AL654" i="7"/>
  <c r="AL209" i="7"/>
  <c r="AL769" i="8"/>
  <c r="AP654" i="8"/>
  <c r="AL764" i="7"/>
  <c r="AK158" i="12"/>
  <c r="AL158" i="12" s="1"/>
  <c r="AL266" i="8"/>
  <c r="AN434" i="8"/>
  <c r="AO598" i="8"/>
  <c r="AM540" i="8"/>
  <c r="AP1038" i="8"/>
  <c r="AQ707" i="7"/>
  <c r="AM707" i="7"/>
  <c r="AO707" i="7" s="1"/>
  <c r="AQ484" i="8"/>
  <c r="AN484" i="8"/>
  <c r="AP484" i="8" s="1"/>
  <c r="AK378" i="7"/>
  <c r="AL378" i="7" s="1"/>
  <c r="AN378" i="7" s="1"/>
  <c r="AK539" i="7"/>
  <c r="AL539" i="7" s="1"/>
  <c r="AL859" i="8"/>
  <c r="AO713" i="8"/>
  <c r="AP927" i="8"/>
  <c r="AQ266" i="7"/>
  <c r="AM266" i="7"/>
  <c r="AO266" i="7" s="1"/>
  <c r="AP322" i="8"/>
  <c r="AP266" i="12"/>
  <c r="AO434" i="8" l="1"/>
  <c r="AP375" i="8"/>
  <c r="AO540" i="8"/>
  <c r="AP429" i="7"/>
  <c r="AQ158" i="12"/>
  <c r="AN158" i="12"/>
  <c r="AM158" i="12"/>
  <c r="AO158" i="12" s="1"/>
  <c r="AN266" i="8"/>
  <c r="AQ266" i="8"/>
  <c r="AM539" i="7"/>
  <c r="AQ539" i="7"/>
  <c r="AM266" i="8"/>
  <c r="AO266" i="8" s="1"/>
  <c r="AK323" i="8"/>
  <c r="AL323" i="8" s="1"/>
  <c r="AN323" i="8" s="1"/>
  <c r="AL215" i="8"/>
  <c r="AK430" i="7"/>
  <c r="AN764" i="7"/>
  <c r="AQ764" i="7"/>
  <c r="AK485" i="8"/>
  <c r="AQ319" i="12"/>
  <c r="AK655" i="8"/>
  <c r="AL655" i="8" s="1"/>
  <c r="AM319" i="12"/>
  <c r="AO319" i="12" s="1"/>
  <c r="AP212" i="12"/>
  <c r="AP807" i="8"/>
  <c r="AK1039" i="8"/>
  <c r="AL1039" i="8" s="1"/>
  <c r="AN1039" i="8" s="1"/>
  <c r="AL927" i="7"/>
  <c r="AM927" i="7" s="1"/>
  <c r="AL714" i="8"/>
  <c r="AM714" i="8" s="1"/>
  <c r="AN209" i="7"/>
  <c r="AQ209" i="7"/>
  <c r="AN654" i="7"/>
  <c r="AQ654" i="7"/>
  <c r="AN539" i="7"/>
  <c r="AK157" i="7"/>
  <c r="AL157" i="7" s="1"/>
  <c r="AN157" i="7" s="1"/>
  <c r="AQ980" i="8"/>
  <c r="AM980" i="8"/>
  <c r="AO980" i="8" s="1"/>
  <c r="AO429" i="7"/>
  <c r="AM597" i="7"/>
  <c r="AO597" i="7" s="1"/>
  <c r="AQ597" i="7"/>
  <c r="AQ769" i="8"/>
  <c r="AN769" i="8"/>
  <c r="AM769" i="8"/>
  <c r="AO769" i="8" s="1"/>
  <c r="AK812" i="7"/>
  <c r="AP540" i="8"/>
  <c r="AO811" i="7"/>
  <c r="AL599" i="8"/>
  <c r="AP434" i="8"/>
  <c r="AM209" i="7"/>
  <c r="AQ487" i="7"/>
  <c r="AM487" i="7"/>
  <c r="AP707" i="7"/>
  <c r="AK267" i="12"/>
  <c r="AL267" i="12" s="1"/>
  <c r="AN267" i="12" s="1"/>
  <c r="AN320" i="7"/>
  <c r="AP320" i="7" s="1"/>
  <c r="AQ320" i="7"/>
  <c r="AM654" i="7"/>
  <c r="AL1093" i="8"/>
  <c r="AM1093" i="8" s="1"/>
  <c r="AK376" i="8"/>
  <c r="AQ873" i="7"/>
  <c r="AN873" i="7"/>
  <c r="AM378" i="7"/>
  <c r="AO378" i="7" s="1"/>
  <c r="AQ378" i="7"/>
  <c r="AM873" i="7"/>
  <c r="AO873" i="7" s="1"/>
  <c r="AK928" i="8"/>
  <c r="AL928" i="8" s="1"/>
  <c r="AN928" i="8" s="1"/>
  <c r="AM764" i="7"/>
  <c r="AO764" i="7" s="1"/>
  <c r="AK155" i="8"/>
  <c r="AL155" i="8" s="1"/>
  <c r="AN155" i="8" s="1"/>
  <c r="AO484" i="8"/>
  <c r="AM212" i="12"/>
  <c r="AO212" i="12" s="1"/>
  <c r="AQ212" i="12"/>
  <c r="AQ859" i="8"/>
  <c r="AN859" i="8"/>
  <c r="AM859" i="8"/>
  <c r="AO859" i="8" s="1"/>
  <c r="AP266" i="7"/>
  <c r="AN487" i="7"/>
  <c r="AL376" i="8"/>
  <c r="AN376" i="8" s="1"/>
  <c r="AP209" i="7" l="1"/>
  <c r="AK210" i="7" s="1"/>
  <c r="AP487" i="7"/>
  <c r="AO654" i="7"/>
  <c r="AP539" i="7"/>
  <c r="AK540" i="7" s="1"/>
  <c r="AK541" i="8"/>
  <c r="AL541" i="8" s="1"/>
  <c r="AN541" i="8" s="1"/>
  <c r="AQ215" i="8"/>
  <c r="AN215" i="8"/>
  <c r="AP215" i="8" s="1"/>
  <c r="AQ1039" i="8"/>
  <c r="AM1039" i="8"/>
  <c r="AO1039" i="8" s="1"/>
  <c r="AP769" i="8"/>
  <c r="AM928" i="8"/>
  <c r="AO928" i="8" s="1"/>
  <c r="AQ928" i="8"/>
  <c r="AK267" i="7"/>
  <c r="AL267" i="7" s="1"/>
  <c r="AN267" i="7" s="1"/>
  <c r="AK708" i="7"/>
  <c r="AL708" i="7" s="1"/>
  <c r="AN708" i="7" s="1"/>
  <c r="AQ376" i="8"/>
  <c r="AP859" i="8"/>
  <c r="AL485" i="8"/>
  <c r="AM215" i="8"/>
  <c r="AK321" i="7"/>
  <c r="AK213" i="12"/>
  <c r="AL213" i="12" s="1"/>
  <c r="AM376" i="8"/>
  <c r="AO376" i="8" s="1"/>
  <c r="AM267" i="12"/>
  <c r="AO267" i="12" s="1"/>
  <c r="AQ267" i="12"/>
  <c r="AP654" i="7"/>
  <c r="AO539" i="7"/>
  <c r="AL430" i="7"/>
  <c r="AO320" i="7"/>
  <c r="AN599" i="8"/>
  <c r="AQ599" i="8"/>
  <c r="AM599" i="8"/>
  <c r="AO599" i="8" s="1"/>
  <c r="AP764" i="7"/>
  <c r="AP319" i="12"/>
  <c r="AQ1093" i="8"/>
  <c r="AN1093" i="8"/>
  <c r="AP1093" i="8" s="1"/>
  <c r="AM155" i="8"/>
  <c r="AO155" i="8" s="1"/>
  <c r="AQ155" i="8"/>
  <c r="AK808" i="8"/>
  <c r="AL808" i="8" s="1"/>
  <c r="AN808" i="8" s="1"/>
  <c r="AQ323" i="8"/>
  <c r="AM323" i="8"/>
  <c r="AO323" i="8" s="1"/>
  <c r="AP267" i="12"/>
  <c r="AK488" i="7"/>
  <c r="AM655" i="8"/>
  <c r="AQ655" i="8"/>
  <c r="AN655" i="8"/>
  <c r="AP655" i="8" s="1"/>
  <c r="AP597" i="7"/>
  <c r="AO487" i="7"/>
  <c r="AP266" i="8"/>
  <c r="AP873" i="7"/>
  <c r="AO209" i="7"/>
  <c r="AQ714" i="8"/>
  <c r="AN714" i="8"/>
  <c r="AP714" i="8" s="1"/>
  <c r="AK435" i="8"/>
  <c r="AL435" i="8" s="1"/>
  <c r="AP158" i="12"/>
  <c r="AM157" i="7"/>
  <c r="AO157" i="7" s="1"/>
  <c r="AQ157" i="7"/>
  <c r="AL812" i="7"/>
  <c r="AM812" i="7" s="1"/>
  <c r="AP378" i="7"/>
  <c r="AQ927" i="7"/>
  <c r="AN927" i="7"/>
  <c r="AP927" i="7" s="1"/>
  <c r="AP980" i="8"/>
  <c r="AP323" i="8" l="1"/>
  <c r="AM213" i="12"/>
  <c r="AQ213" i="12"/>
  <c r="AN213" i="12"/>
  <c r="AP213" i="12" s="1"/>
  <c r="AK159" i="12"/>
  <c r="AL159" i="12" s="1"/>
  <c r="AN159" i="12" s="1"/>
  <c r="AK860" i="8"/>
  <c r="AL860" i="8" s="1"/>
  <c r="AN860" i="8" s="1"/>
  <c r="AK656" i="8"/>
  <c r="AQ430" i="7"/>
  <c r="AN430" i="7"/>
  <c r="AM430" i="7"/>
  <c r="AO430" i="7" s="1"/>
  <c r="AQ708" i="7"/>
  <c r="AM708" i="7"/>
  <c r="AO708" i="7" s="1"/>
  <c r="AK765" i="7"/>
  <c r="AL765" i="7" s="1"/>
  <c r="AN765" i="7" s="1"/>
  <c r="AK981" i="8"/>
  <c r="AL981" i="8" s="1"/>
  <c r="AN981" i="8" s="1"/>
  <c r="AO927" i="7"/>
  <c r="AM435" i="8"/>
  <c r="AQ435" i="8"/>
  <c r="AL321" i="7"/>
  <c r="AM321" i="7" s="1"/>
  <c r="AK324" i="8"/>
  <c r="AK715" i="8"/>
  <c r="AK320" i="12"/>
  <c r="AL320" i="12" s="1"/>
  <c r="AN320" i="12" s="1"/>
  <c r="AO655" i="8"/>
  <c r="AK216" i="8"/>
  <c r="AL210" i="7"/>
  <c r="AM210" i="7" s="1"/>
  <c r="AO215" i="8"/>
  <c r="AP808" i="8"/>
  <c r="AK598" i="7"/>
  <c r="AL598" i="7" s="1"/>
  <c r="AN598" i="7" s="1"/>
  <c r="AN435" i="8"/>
  <c r="AK1094" i="8"/>
  <c r="AM267" i="7"/>
  <c r="AO267" i="7" s="1"/>
  <c r="AQ267" i="7"/>
  <c r="AL540" i="7"/>
  <c r="AM540" i="7" s="1"/>
  <c r="AP1039" i="8"/>
  <c r="AO714" i="8"/>
  <c r="AK874" i="7"/>
  <c r="AL874" i="7" s="1"/>
  <c r="AN874" i="7" s="1"/>
  <c r="AK268" i="12"/>
  <c r="AL268" i="12" s="1"/>
  <c r="AP376" i="8"/>
  <c r="AK267" i="8"/>
  <c r="AL267" i="8" s="1"/>
  <c r="AN267" i="8" s="1"/>
  <c r="AL324" i="8"/>
  <c r="AN324" i="8" s="1"/>
  <c r="AK655" i="7"/>
  <c r="AL655" i="7" s="1"/>
  <c r="AP155" i="8"/>
  <c r="AK928" i="7"/>
  <c r="AK379" i="7"/>
  <c r="AL379" i="7" s="1"/>
  <c r="AN379" i="7"/>
  <c r="AQ812" i="7"/>
  <c r="AN812" i="7"/>
  <c r="AP812" i="7" s="1"/>
  <c r="AN485" i="8"/>
  <c r="AP485" i="8" s="1"/>
  <c r="AQ485" i="8"/>
  <c r="AP928" i="8"/>
  <c r="AO1093" i="8"/>
  <c r="AM541" i="8"/>
  <c r="AO541" i="8" s="1"/>
  <c r="AQ541" i="8"/>
  <c r="AP599" i="8"/>
  <c r="AL488" i="7"/>
  <c r="AM488" i="7" s="1"/>
  <c r="AQ808" i="8"/>
  <c r="AM808" i="8"/>
  <c r="AO808" i="8" s="1"/>
  <c r="AM485" i="8"/>
  <c r="AK770" i="8"/>
  <c r="AL770" i="8" s="1"/>
  <c r="AP157" i="7"/>
  <c r="AN268" i="12" l="1"/>
  <c r="AQ268" i="12"/>
  <c r="AO435" i="8"/>
  <c r="AP708" i="7"/>
  <c r="AK709" i="7" s="1"/>
  <c r="AL709" i="7" s="1"/>
  <c r="AP267" i="7"/>
  <c r="AP541" i="8"/>
  <c r="AL1094" i="8"/>
  <c r="AM1094" i="8" s="1"/>
  <c r="AK809" i="8"/>
  <c r="AL809" i="8" s="1"/>
  <c r="AQ809" i="8" s="1"/>
  <c r="AM770" i="8"/>
  <c r="AQ770" i="8"/>
  <c r="AM267" i="8"/>
  <c r="AO267" i="8" s="1"/>
  <c r="AQ267" i="8"/>
  <c r="AK813" i="7"/>
  <c r="AM268" i="12"/>
  <c r="AO268" i="12" s="1"/>
  <c r="AL656" i="8"/>
  <c r="AL928" i="7"/>
  <c r="AQ320" i="12"/>
  <c r="AM320" i="12"/>
  <c r="AO320" i="12" s="1"/>
  <c r="AL715" i="8"/>
  <c r="AP435" i="8"/>
  <c r="AK214" i="12"/>
  <c r="AK600" i="8"/>
  <c r="AL600" i="8" s="1"/>
  <c r="AN600" i="8" s="1"/>
  <c r="AK929" i="8"/>
  <c r="AL929" i="8" s="1"/>
  <c r="AN929" i="8" s="1"/>
  <c r="AP430" i="7"/>
  <c r="AQ210" i="7"/>
  <c r="AN210" i="7"/>
  <c r="AP210" i="7" s="1"/>
  <c r="AN770" i="8"/>
  <c r="AO485" i="8"/>
  <c r="AQ324" i="8"/>
  <c r="AQ860" i="8"/>
  <c r="AM860" i="8"/>
  <c r="AO860" i="8" s="1"/>
  <c r="AM379" i="7"/>
  <c r="AO379" i="7" s="1"/>
  <c r="AQ379" i="7"/>
  <c r="AQ981" i="8"/>
  <c r="AM981" i="8"/>
  <c r="AO981" i="8" s="1"/>
  <c r="AQ765" i="7"/>
  <c r="AM765" i="7"/>
  <c r="AO765" i="7" s="1"/>
  <c r="AK156" i="8"/>
  <c r="AL156" i="8" s="1"/>
  <c r="AN156" i="8" s="1"/>
  <c r="AK1040" i="8"/>
  <c r="AL1040" i="8" s="1"/>
  <c r="AN1040" i="8" s="1"/>
  <c r="AO213" i="12"/>
  <c r="AM655" i="7"/>
  <c r="AQ655" i="7"/>
  <c r="AK268" i="7"/>
  <c r="AL268" i="7" s="1"/>
  <c r="AK542" i="8"/>
  <c r="AL542" i="8" s="1"/>
  <c r="AQ542" i="8" s="1"/>
  <c r="AK158" i="7"/>
  <c r="AL158" i="7" s="1"/>
  <c r="AN158" i="7" s="1"/>
  <c r="AM324" i="8"/>
  <c r="AO324" i="8" s="1"/>
  <c r="AL216" i="8"/>
  <c r="AK486" i="8"/>
  <c r="AQ321" i="7"/>
  <c r="AN321" i="7"/>
  <c r="AP321" i="7" s="1"/>
  <c r="AK377" i="8"/>
  <c r="AL377" i="8" s="1"/>
  <c r="AN377" i="8" s="1"/>
  <c r="AQ159" i="12"/>
  <c r="AM159" i="12"/>
  <c r="AO159" i="12" s="1"/>
  <c r="AN488" i="7"/>
  <c r="AP488" i="7" s="1"/>
  <c r="AQ488" i="7"/>
  <c r="AM874" i="7"/>
  <c r="AO874" i="7" s="1"/>
  <c r="AQ874" i="7"/>
  <c r="AN655" i="7"/>
  <c r="AQ540" i="7"/>
  <c r="AN540" i="7"/>
  <c r="AP540" i="7" s="1"/>
  <c r="AQ598" i="7"/>
  <c r="AM598" i="7"/>
  <c r="AO598" i="7" s="1"/>
  <c r="AO812" i="7"/>
  <c r="AO210" i="7" l="1"/>
  <c r="AP159" i="12"/>
  <c r="AO770" i="8"/>
  <c r="AN709" i="7"/>
  <c r="AQ709" i="7"/>
  <c r="AP267" i="8"/>
  <c r="AK268" i="8" s="1"/>
  <c r="AL268" i="8" s="1"/>
  <c r="AQ268" i="8" s="1"/>
  <c r="AO655" i="7"/>
  <c r="AN268" i="7"/>
  <c r="AM268" i="7"/>
  <c r="AO268" i="7" s="1"/>
  <c r="AQ268" i="7"/>
  <c r="AM377" i="8"/>
  <c r="AO377" i="8" s="1"/>
  <c r="AQ377" i="8"/>
  <c r="AL214" i="12"/>
  <c r="AO540" i="7"/>
  <c r="AM709" i="7"/>
  <c r="AO709" i="7" s="1"/>
  <c r="AM600" i="8"/>
  <c r="AO600" i="8" s="1"/>
  <c r="AQ600" i="8"/>
  <c r="AM542" i="8"/>
  <c r="AQ216" i="8"/>
  <c r="AN216" i="8"/>
  <c r="AP268" i="12"/>
  <c r="AM216" i="8"/>
  <c r="AQ715" i="8"/>
  <c r="AN715" i="8"/>
  <c r="AK160" i="12"/>
  <c r="AK211" i="7"/>
  <c r="AP598" i="7"/>
  <c r="AL160" i="12"/>
  <c r="AQ160" i="12" s="1"/>
  <c r="AO488" i="7"/>
  <c r="AN542" i="8"/>
  <c r="AP765" i="7"/>
  <c r="AO321" i="7"/>
  <c r="AK541" i="7"/>
  <c r="AM809" i="8"/>
  <c r="AP655" i="7"/>
  <c r="AP860" i="8"/>
  <c r="AM1040" i="8"/>
  <c r="AO1040" i="8" s="1"/>
  <c r="AQ1040" i="8"/>
  <c r="AK436" i="8"/>
  <c r="AL436" i="8" s="1"/>
  <c r="AN436" i="8" s="1"/>
  <c r="AM715" i="8"/>
  <c r="AO715" i="8" s="1"/>
  <c r="AQ158" i="7"/>
  <c r="AM158" i="7"/>
  <c r="AO158" i="7" s="1"/>
  <c r="AP874" i="7"/>
  <c r="AK431" i="7"/>
  <c r="AL431" i="7" s="1"/>
  <c r="AN431" i="7" s="1"/>
  <c r="AP320" i="12"/>
  <c r="AP324" i="8"/>
  <c r="AQ928" i="7"/>
  <c r="AN928" i="7"/>
  <c r="AM928" i="7"/>
  <c r="AK322" i="7"/>
  <c r="AP379" i="7"/>
  <c r="AN656" i="8"/>
  <c r="AQ656" i="8"/>
  <c r="AM656" i="8"/>
  <c r="AO656" i="8" s="1"/>
  <c r="AN809" i="8"/>
  <c r="AQ1094" i="8"/>
  <c r="AN1094" i="8"/>
  <c r="AP1094" i="8" s="1"/>
  <c r="AL486" i="8"/>
  <c r="AM156" i="8"/>
  <c r="AO156" i="8" s="1"/>
  <c r="AQ156" i="8"/>
  <c r="AL211" i="7"/>
  <c r="AN211" i="7" s="1"/>
  <c r="AP770" i="8"/>
  <c r="AK489" i="7"/>
  <c r="AL813" i="7"/>
  <c r="AQ929" i="8"/>
  <c r="AM929" i="8"/>
  <c r="AO929" i="8" s="1"/>
  <c r="AP981" i="8"/>
  <c r="AO809" i="8" l="1"/>
  <c r="AO542" i="8"/>
  <c r="AO928" i="7"/>
  <c r="AP377" i="8"/>
  <c r="AP216" i="8"/>
  <c r="AK982" i="8"/>
  <c r="AL982" i="8" s="1"/>
  <c r="AN982" i="8"/>
  <c r="AM268" i="8"/>
  <c r="AK378" i="8"/>
  <c r="AK1095" i="8"/>
  <c r="AP929" i="8"/>
  <c r="AO1094" i="8"/>
  <c r="AK325" i="8"/>
  <c r="AL325" i="8" s="1"/>
  <c r="AN325" i="8" s="1"/>
  <c r="AP715" i="8"/>
  <c r="AL541" i="7"/>
  <c r="AP268" i="7"/>
  <c r="AQ211" i="7"/>
  <c r="AK656" i="7"/>
  <c r="AL656" i="7" s="1"/>
  <c r="AN656" i="7" s="1"/>
  <c r="AM211" i="7"/>
  <c r="AO211" i="7" s="1"/>
  <c r="AN486" i="8"/>
  <c r="AQ486" i="8"/>
  <c r="AM160" i="12"/>
  <c r="AK599" i="7"/>
  <c r="AL599" i="7" s="1"/>
  <c r="AN599" i="7" s="1"/>
  <c r="AM436" i="8"/>
  <c r="AO436" i="8" s="1"/>
  <c r="AQ436" i="8"/>
  <c r="AP600" i="8"/>
  <c r="AP158" i="7"/>
  <c r="AP809" i="8"/>
  <c r="AL322" i="7"/>
  <c r="AK321" i="12"/>
  <c r="AL321" i="12" s="1"/>
  <c r="AN321" i="12" s="1"/>
  <c r="AP431" i="7"/>
  <c r="AP656" i="8"/>
  <c r="AP542" i="8"/>
  <c r="AO216" i="8"/>
  <c r="AN214" i="12"/>
  <c r="AQ214" i="12"/>
  <c r="AP709" i="7"/>
  <c r="AK380" i="7"/>
  <c r="AL380" i="7" s="1"/>
  <c r="AN380" i="7" s="1"/>
  <c r="AL489" i="7"/>
  <c r="AK217" i="8"/>
  <c r="AL378" i="8"/>
  <c r="AQ378" i="8" s="1"/>
  <c r="AM486" i="8"/>
  <c r="AN268" i="8"/>
  <c r="AP928" i="7"/>
  <c r="AN813" i="7"/>
  <c r="AQ813" i="7"/>
  <c r="AN160" i="12"/>
  <c r="AM813" i="7"/>
  <c r="AP156" i="8"/>
  <c r="AK766" i="7"/>
  <c r="AL766" i="7" s="1"/>
  <c r="AK771" i="8"/>
  <c r="AL771" i="8" s="1"/>
  <c r="AN771" i="8" s="1"/>
  <c r="AM431" i="7"/>
  <c r="AO431" i="7" s="1"/>
  <c r="AQ431" i="7"/>
  <c r="AK861" i="8"/>
  <c r="AL861" i="8" s="1"/>
  <c r="AN861" i="8" s="1"/>
  <c r="AK875" i="7"/>
  <c r="AL875" i="7" s="1"/>
  <c r="AP1040" i="8"/>
  <c r="AK269" i="12"/>
  <c r="AL269" i="12" s="1"/>
  <c r="AN269" i="12" s="1"/>
  <c r="AM214" i="12"/>
  <c r="AO214" i="12" s="1"/>
  <c r="AO160" i="12" l="1"/>
  <c r="AO268" i="8"/>
  <c r="AP436" i="8"/>
  <c r="AP486" i="8"/>
  <c r="AO813" i="7"/>
  <c r="AQ541" i="7"/>
  <c r="AN541" i="7"/>
  <c r="AM378" i="8"/>
  <c r="AL217" i="8"/>
  <c r="AP321" i="12"/>
  <c r="AK710" i="7"/>
  <c r="AL710" i="7" s="1"/>
  <c r="AK437" i="8"/>
  <c r="AL437" i="8" s="1"/>
  <c r="AN437" i="8" s="1"/>
  <c r="AK157" i="8"/>
  <c r="AL157" i="8" s="1"/>
  <c r="AM875" i="7"/>
  <c r="AQ875" i="7"/>
  <c r="AK432" i="7"/>
  <c r="AL432" i="7" s="1"/>
  <c r="AM432" i="7" s="1"/>
  <c r="AN378" i="8"/>
  <c r="AN875" i="7"/>
  <c r="AQ861" i="8"/>
  <c r="AM861" i="8"/>
  <c r="AO861" i="8" s="1"/>
  <c r="AP268" i="8"/>
  <c r="AK601" i="8"/>
  <c r="AL601" i="8" s="1"/>
  <c r="AN601" i="8" s="1"/>
  <c r="AM599" i="7"/>
  <c r="AO599" i="7" s="1"/>
  <c r="AQ599" i="7"/>
  <c r="AM541" i="7"/>
  <c r="AP214" i="12"/>
  <c r="AQ269" i="12"/>
  <c r="AM269" i="12"/>
  <c r="AO269" i="12" s="1"/>
  <c r="AK543" i="8"/>
  <c r="AL543" i="8" s="1"/>
  <c r="AK657" i="8"/>
  <c r="AL657" i="8" s="1"/>
  <c r="AN657" i="8" s="1"/>
  <c r="AK716" i="8"/>
  <c r="AL716" i="8" s="1"/>
  <c r="AK487" i="8"/>
  <c r="AQ321" i="12"/>
  <c r="AM321" i="12"/>
  <c r="AO321" i="12" s="1"/>
  <c r="AN322" i="7"/>
  <c r="AQ322" i="7"/>
  <c r="AM322" i="7"/>
  <c r="AO322" i="7" s="1"/>
  <c r="AK810" i="8"/>
  <c r="AL810" i="8" s="1"/>
  <c r="AN810" i="8" s="1"/>
  <c r="AL1095" i="8"/>
  <c r="AM1095" i="8" s="1"/>
  <c r="AQ771" i="8"/>
  <c r="AQ772" i="8" s="1"/>
  <c r="AQ773" i="8" s="1"/>
  <c r="AQ774" i="8" s="1"/>
  <c r="AQ775" i="8" s="1"/>
  <c r="AQ776" i="8" s="1"/>
  <c r="AM771" i="8"/>
  <c r="AO771" i="8" s="1"/>
  <c r="AM772" i="8" s="1"/>
  <c r="AO772" i="8" s="1"/>
  <c r="AM773" i="8" s="1"/>
  <c r="AO773" i="8" s="1"/>
  <c r="AM774" i="8" s="1"/>
  <c r="AO774" i="8" s="1"/>
  <c r="AM775" i="8" s="1"/>
  <c r="AO775" i="8" s="1"/>
  <c r="AM776" i="8" s="1"/>
  <c r="AO776" i="8" s="1"/>
  <c r="AM766" i="7"/>
  <c r="AQ766" i="7"/>
  <c r="AK1041" i="8"/>
  <c r="AL1041" i="8" s="1"/>
  <c r="AP160" i="12"/>
  <c r="AP813" i="7"/>
  <c r="AM325" i="8"/>
  <c r="AO325" i="8" s="1"/>
  <c r="AQ325" i="8"/>
  <c r="AK929" i="7"/>
  <c r="AL929" i="7" s="1"/>
  <c r="AQ982" i="8"/>
  <c r="AM982" i="8"/>
  <c r="AO982" i="8" s="1"/>
  <c r="AQ489" i="7"/>
  <c r="AN489" i="7"/>
  <c r="AK159" i="7"/>
  <c r="AL159" i="7" s="1"/>
  <c r="AN159" i="7" s="1"/>
  <c r="AM489" i="7"/>
  <c r="AO489" i="7" s="1"/>
  <c r="AM656" i="7"/>
  <c r="AO656" i="7" s="1"/>
  <c r="AQ656" i="7"/>
  <c r="AN766" i="7"/>
  <c r="AP766" i="7" s="1"/>
  <c r="AO486" i="8"/>
  <c r="AM380" i="7"/>
  <c r="AO380" i="7" s="1"/>
  <c r="AQ380" i="7"/>
  <c r="AK269" i="7"/>
  <c r="AL269" i="7" s="1"/>
  <c r="AN269" i="7" s="1"/>
  <c r="AK930" i="8"/>
  <c r="AL930" i="8" s="1"/>
  <c r="AN930" i="8" s="1"/>
  <c r="AP211" i="7"/>
  <c r="AP982" i="8" l="1"/>
  <c r="AP875" i="7"/>
  <c r="AP599" i="7"/>
  <c r="AP378" i="8"/>
  <c r="AK379" i="8" s="1"/>
  <c r="AP541" i="7"/>
  <c r="AK767" i="7"/>
  <c r="AM716" i="8"/>
  <c r="AQ716" i="8"/>
  <c r="AQ717" i="8" s="1"/>
  <c r="AQ718" i="8" s="1"/>
  <c r="AQ719" i="8" s="1"/>
  <c r="AQ720" i="8" s="1"/>
  <c r="AQ721" i="8" s="1"/>
  <c r="AP771" i="8"/>
  <c r="AN772" i="8" s="1"/>
  <c r="AP772" i="8" s="1"/>
  <c r="AN773" i="8" s="1"/>
  <c r="AP773" i="8" s="1"/>
  <c r="AN774" i="8" s="1"/>
  <c r="AP774" i="8" s="1"/>
  <c r="AN775" i="8" s="1"/>
  <c r="AP775" i="8" s="1"/>
  <c r="AN776" i="8" s="1"/>
  <c r="AP776" i="8" s="1"/>
  <c r="AK777" i="8" s="1"/>
  <c r="B778" i="8" s="1"/>
  <c r="C13" i="8" s="1"/>
  <c r="AP656" i="7"/>
  <c r="AP861" i="8"/>
  <c r="AK161" i="12"/>
  <c r="AL161" i="12" s="1"/>
  <c r="AN217" i="8"/>
  <c r="AQ217" i="8"/>
  <c r="AK212" i="7"/>
  <c r="AL212" i="7" s="1"/>
  <c r="AM217" i="8"/>
  <c r="AP489" i="7"/>
  <c r="AO378" i="8"/>
  <c r="AO875" i="7"/>
  <c r="AQ157" i="8"/>
  <c r="AM157" i="8"/>
  <c r="AM437" i="8"/>
  <c r="AO437" i="8" s="1"/>
  <c r="AQ437" i="8"/>
  <c r="AN157" i="8"/>
  <c r="AP157" i="8" s="1"/>
  <c r="AP325" i="8"/>
  <c r="AL487" i="8"/>
  <c r="AM487" i="8" s="1"/>
  <c r="AK269" i="8"/>
  <c r="AL269" i="8" s="1"/>
  <c r="AN269" i="8" s="1"/>
  <c r="AN716" i="8"/>
  <c r="AQ1095" i="8"/>
  <c r="AN1095" i="8"/>
  <c r="AP1095" i="8" s="1"/>
  <c r="AM159" i="7"/>
  <c r="AO159" i="7" s="1"/>
  <c r="AQ159" i="7"/>
  <c r="AQ543" i="8"/>
  <c r="AM543" i="8"/>
  <c r="AQ1041" i="8"/>
  <c r="AM1041" i="8"/>
  <c r="AN543" i="8"/>
  <c r="AP543" i="8" s="1"/>
  <c r="AN432" i="7"/>
  <c r="AP432" i="7" s="1"/>
  <c r="AK542" i="7"/>
  <c r="AQ432" i="7"/>
  <c r="AK215" i="12"/>
  <c r="AL215" i="12" s="1"/>
  <c r="AN215" i="12"/>
  <c r="AK600" i="7"/>
  <c r="AL600" i="7" s="1"/>
  <c r="AP322" i="7"/>
  <c r="AP380" i="7"/>
  <c r="AQ710" i="7"/>
  <c r="AM710" i="7"/>
  <c r="AK983" i="8"/>
  <c r="AL983" i="8" s="1"/>
  <c r="AN710" i="7"/>
  <c r="AM657" i="8"/>
  <c r="AO657" i="8" s="1"/>
  <c r="AQ657" i="8"/>
  <c r="AK322" i="12"/>
  <c r="AL322" i="12" s="1"/>
  <c r="AK814" i="7"/>
  <c r="AL814" i="7" s="1"/>
  <c r="AN814" i="7" s="1"/>
  <c r="AQ810" i="8"/>
  <c r="AM810" i="8"/>
  <c r="AO810" i="8" s="1"/>
  <c r="AK876" i="7"/>
  <c r="AQ930" i="8"/>
  <c r="AM930" i="8"/>
  <c r="AO930" i="8" s="1"/>
  <c r="AN1041" i="8"/>
  <c r="AM269" i="7"/>
  <c r="AO269" i="7" s="1"/>
  <c r="AQ269" i="7"/>
  <c r="AO541" i="7"/>
  <c r="AM929" i="7"/>
  <c r="AQ929" i="7"/>
  <c r="AN929" i="7"/>
  <c r="AO766" i="7"/>
  <c r="AM601" i="8"/>
  <c r="AO601" i="8" s="1"/>
  <c r="AQ601" i="8"/>
  <c r="AP269" i="12"/>
  <c r="AO716" i="8" l="1"/>
  <c r="AM717" i="8" s="1"/>
  <c r="AO717" i="8" s="1"/>
  <c r="AM718" i="8" s="1"/>
  <c r="AO718" i="8" s="1"/>
  <c r="AM719" i="8" s="1"/>
  <c r="AO719" i="8" s="1"/>
  <c r="AM720" i="8" s="1"/>
  <c r="AO720" i="8" s="1"/>
  <c r="AM721" i="8" s="1"/>
  <c r="AO721" i="8" s="1"/>
  <c r="AO1095" i="8"/>
  <c r="AO1041" i="8"/>
  <c r="AP710" i="7"/>
  <c r="AN983" i="8"/>
  <c r="AQ983" i="8"/>
  <c r="AO217" i="8"/>
  <c r="AO929" i="7"/>
  <c r="AP601" i="8"/>
  <c r="AK602" i="8" s="1"/>
  <c r="AL602" i="8" s="1"/>
  <c r="AP810" i="8"/>
  <c r="AK811" i="8" s="1"/>
  <c r="AL811" i="8" s="1"/>
  <c r="AN600" i="7"/>
  <c r="AM600" i="7"/>
  <c r="AO600" i="7" s="1"/>
  <c r="AQ600" i="7"/>
  <c r="AQ322" i="12"/>
  <c r="AM322" i="12"/>
  <c r="AN322" i="12"/>
  <c r="AP322" i="12" s="1"/>
  <c r="AK544" i="8"/>
  <c r="AK158" i="8"/>
  <c r="AQ212" i="7"/>
  <c r="AM212" i="7"/>
  <c r="AN212" i="7"/>
  <c r="AP212" i="7" s="1"/>
  <c r="AP1041" i="8"/>
  <c r="AO157" i="8"/>
  <c r="AQ215" i="12"/>
  <c r="AM215" i="12"/>
  <c r="AO215" i="12" s="1"/>
  <c r="AK657" i="7"/>
  <c r="AL657" i="7" s="1"/>
  <c r="AN657" i="7"/>
  <c r="AP929" i="7"/>
  <c r="AP269" i="8"/>
  <c r="AP657" i="8"/>
  <c r="AK433" i="7"/>
  <c r="AO487" i="8"/>
  <c r="AK323" i="7"/>
  <c r="AL323" i="7" s="1"/>
  <c r="AO710" i="7"/>
  <c r="AK270" i="12"/>
  <c r="AL270" i="12" s="1"/>
  <c r="AK1096" i="8"/>
  <c r="AL1096" i="8" s="1"/>
  <c r="AN1096" i="8" s="1"/>
  <c r="AP159" i="7"/>
  <c r="AQ269" i="8"/>
  <c r="AM269" i="8"/>
  <c r="AO269" i="8" s="1"/>
  <c r="AL379" i="8"/>
  <c r="AM379" i="8" s="1"/>
  <c r="AP930" i="8"/>
  <c r="AL542" i="7"/>
  <c r="AK326" i="8"/>
  <c r="AL326" i="8" s="1"/>
  <c r="AN326" i="8" s="1"/>
  <c r="AK711" i="7"/>
  <c r="AO543" i="8"/>
  <c r="AM983" i="8"/>
  <c r="AO983" i="8" s="1"/>
  <c r="AP217" i="8"/>
  <c r="AQ161" i="12"/>
  <c r="AM161" i="12"/>
  <c r="AN161" i="12"/>
  <c r="AP161" i="12" s="1"/>
  <c r="AO432" i="7"/>
  <c r="AK862" i="8"/>
  <c r="AL862" i="8" s="1"/>
  <c r="AN862" i="8" s="1"/>
  <c r="AL876" i="7"/>
  <c r="AM876" i="7" s="1"/>
  <c r="AP437" i="8"/>
  <c r="AL767" i="7"/>
  <c r="AK381" i="7"/>
  <c r="AL381" i="7" s="1"/>
  <c r="AN381" i="7" s="1"/>
  <c r="AP716" i="8"/>
  <c r="AN717" i="8" s="1"/>
  <c r="AP717" i="8" s="1"/>
  <c r="AN718" i="8" s="1"/>
  <c r="AP718" i="8" s="1"/>
  <c r="AN719" i="8" s="1"/>
  <c r="AP719" i="8" s="1"/>
  <c r="AN720" i="8" s="1"/>
  <c r="AP720" i="8" s="1"/>
  <c r="AN721" i="8" s="1"/>
  <c r="AP721" i="8" s="1"/>
  <c r="AK722" i="8" s="1"/>
  <c r="B723" i="8" s="1"/>
  <c r="B13" i="8" s="1"/>
  <c r="D13" i="8" s="1"/>
  <c r="E13" i="8" s="1"/>
  <c r="AM814" i="7"/>
  <c r="AO814" i="7" s="1"/>
  <c r="AQ814" i="7"/>
  <c r="AN487" i="8"/>
  <c r="AP487" i="8" s="1"/>
  <c r="AQ487" i="8"/>
  <c r="AK490" i="7"/>
  <c r="AL490" i="7" s="1"/>
  <c r="AN490" i="7" s="1"/>
  <c r="AP269" i="7"/>
  <c r="AP983" i="8" l="1"/>
  <c r="AP215" i="12"/>
  <c r="AQ811" i="8"/>
  <c r="AM811" i="8"/>
  <c r="AN811" i="8"/>
  <c r="AP811" i="8" s="1"/>
  <c r="AM602" i="8"/>
  <c r="AN602" i="8"/>
  <c r="AQ602" i="8"/>
  <c r="AO379" i="8"/>
  <c r="AK488" i="8"/>
  <c r="AL488" i="8" s="1"/>
  <c r="AL433" i="7"/>
  <c r="AO161" i="12"/>
  <c r="AK213" i="7"/>
  <c r="AK218" i="8"/>
  <c r="AL218" i="8" s="1"/>
  <c r="AN218" i="8" s="1"/>
  <c r="AP814" i="7"/>
  <c r="AK984" i="8"/>
  <c r="AL984" i="8" s="1"/>
  <c r="AQ984" i="8" s="1"/>
  <c r="AK160" i="7"/>
  <c r="AL160" i="7" s="1"/>
  <c r="AO212" i="7"/>
  <c r="AL544" i="8"/>
  <c r="AQ326" i="8"/>
  <c r="AM326" i="8"/>
  <c r="AO326" i="8" s="1"/>
  <c r="AM1096" i="8"/>
  <c r="AO1096" i="8" s="1"/>
  <c r="AQ542" i="7"/>
  <c r="AN542" i="7"/>
  <c r="AK931" i="8"/>
  <c r="AL931" i="8" s="1"/>
  <c r="AN931" i="8"/>
  <c r="AK162" i="12"/>
  <c r="AQ270" i="12"/>
  <c r="AM270" i="12"/>
  <c r="AK270" i="8"/>
  <c r="AL270" i="8" s="1"/>
  <c r="AQ270" i="8" s="1"/>
  <c r="AK930" i="7"/>
  <c r="AL930" i="7" s="1"/>
  <c r="AM381" i="7"/>
  <c r="AO381" i="7" s="1"/>
  <c r="AQ381" i="7"/>
  <c r="AL711" i="7"/>
  <c r="AK323" i="12"/>
  <c r="AO322" i="12"/>
  <c r="AK270" i="7"/>
  <c r="AL270" i="7" s="1"/>
  <c r="AN270" i="7" s="1"/>
  <c r="AK438" i="8"/>
  <c r="AL438" i="8" s="1"/>
  <c r="AN438" i="8" s="1"/>
  <c r="AM323" i="7"/>
  <c r="AQ323" i="7"/>
  <c r="AL158" i="8"/>
  <c r="AM158" i="8" s="1"/>
  <c r="AQ862" i="8"/>
  <c r="AM862" i="8"/>
  <c r="AO862" i="8" s="1"/>
  <c r="AM542" i="7"/>
  <c r="AK216" i="12"/>
  <c r="AL216" i="12" s="1"/>
  <c r="AK658" i="8"/>
  <c r="AL658" i="8" s="1"/>
  <c r="AQ379" i="8"/>
  <c r="AN379" i="8"/>
  <c r="AP379" i="8" s="1"/>
  <c r="AN270" i="12"/>
  <c r="AK1042" i="8"/>
  <c r="AL1042" i="8" s="1"/>
  <c r="AN1042" i="8" s="1"/>
  <c r="AQ1096" i="8"/>
  <c r="AM657" i="7"/>
  <c r="AO657" i="7" s="1"/>
  <c r="AQ657" i="7"/>
  <c r="AN767" i="7"/>
  <c r="AQ767" i="7"/>
  <c r="AM767" i="7"/>
  <c r="AM490" i="7"/>
  <c r="AO490" i="7" s="1"/>
  <c r="AQ490" i="7"/>
  <c r="AQ876" i="7"/>
  <c r="AN876" i="7"/>
  <c r="AP876" i="7" s="1"/>
  <c r="AN323" i="7"/>
  <c r="AP600" i="7"/>
  <c r="AP381" i="7" l="1"/>
  <c r="AO876" i="7"/>
  <c r="AP490" i="7"/>
  <c r="AO542" i="7"/>
  <c r="AP270" i="12"/>
  <c r="AO602" i="8"/>
  <c r="AP326" i="8"/>
  <c r="AP323" i="7"/>
  <c r="AO767" i="7"/>
  <c r="AM488" i="8"/>
  <c r="AQ488" i="8"/>
  <c r="AN488" i="8"/>
  <c r="AP488" i="8" s="1"/>
  <c r="AM216" i="12"/>
  <c r="AN216" i="12"/>
  <c r="AP216" i="12" s="1"/>
  <c r="AQ216" i="12"/>
  <c r="AQ544" i="8"/>
  <c r="AN544" i="8"/>
  <c r="AL162" i="12"/>
  <c r="AM931" i="8"/>
  <c r="AO931" i="8" s="1"/>
  <c r="AQ931" i="8"/>
  <c r="AM984" i="8"/>
  <c r="AQ160" i="7"/>
  <c r="AM160" i="7"/>
  <c r="AK601" i="7"/>
  <c r="AL601" i="7" s="1"/>
  <c r="AN601" i="7" s="1"/>
  <c r="AK491" i="7"/>
  <c r="AL491" i="7" s="1"/>
  <c r="AN160" i="7"/>
  <c r="AP160" i="7" s="1"/>
  <c r="AQ1042" i="8"/>
  <c r="AM1042" i="8"/>
  <c r="AO1042" i="8" s="1"/>
  <c r="AK877" i="7"/>
  <c r="AL877" i="7" s="1"/>
  <c r="AK271" i="12"/>
  <c r="AQ433" i="7"/>
  <c r="AN433" i="7"/>
  <c r="AP433" i="7" s="1"/>
  <c r="AP657" i="7"/>
  <c r="AK382" i="7"/>
  <c r="AL382" i="7" s="1"/>
  <c r="AL213" i="7"/>
  <c r="AQ711" i="7"/>
  <c r="AN711" i="7"/>
  <c r="AM711" i="7"/>
  <c r="AO711" i="7" s="1"/>
  <c r="AP862" i="8"/>
  <c r="AK324" i="7"/>
  <c r="AN984" i="8"/>
  <c r="AP984" i="8" s="1"/>
  <c r="AK380" i="8"/>
  <c r="AL380" i="8" s="1"/>
  <c r="AN158" i="8"/>
  <c r="AP158" i="8" s="1"/>
  <c r="AQ158" i="8"/>
  <c r="AK815" i="7"/>
  <c r="AL815" i="7" s="1"/>
  <c r="AN815" i="7" s="1"/>
  <c r="AP602" i="8"/>
  <c r="AQ930" i="7"/>
  <c r="AM930" i="7"/>
  <c r="AO930" i="7" s="1"/>
  <c r="AQ658" i="8"/>
  <c r="AM658" i="8"/>
  <c r="AO811" i="8"/>
  <c r="AQ270" i="7"/>
  <c r="AM270" i="7"/>
  <c r="AO270" i="7" s="1"/>
  <c r="AM544" i="8"/>
  <c r="AM433" i="7"/>
  <c r="AL323" i="12"/>
  <c r="AM270" i="8"/>
  <c r="AO270" i="8" s="1"/>
  <c r="AP542" i="7"/>
  <c r="AO158" i="8"/>
  <c r="AN930" i="7"/>
  <c r="AK327" i="8"/>
  <c r="AL327" i="8" s="1"/>
  <c r="AQ218" i="8"/>
  <c r="AM218" i="8"/>
  <c r="AO218" i="8" s="1"/>
  <c r="AN658" i="8"/>
  <c r="AK812" i="8"/>
  <c r="AO323" i="7"/>
  <c r="AN270" i="8"/>
  <c r="AP767" i="7"/>
  <c r="AM438" i="8"/>
  <c r="AO438" i="8" s="1"/>
  <c r="AQ438" i="8"/>
  <c r="AO270" i="12"/>
  <c r="AP1096" i="8"/>
  <c r="AO658" i="8" l="1"/>
  <c r="AN491" i="7"/>
  <c r="AQ491" i="7"/>
  <c r="AM327" i="8"/>
  <c r="AN327" i="8"/>
  <c r="AP438" i="8"/>
  <c r="AO544" i="8"/>
  <c r="AQ382" i="7"/>
  <c r="AN382" i="7"/>
  <c r="AM382" i="7"/>
  <c r="AO382" i="7" s="1"/>
  <c r="AM380" i="8"/>
  <c r="AN380" i="8"/>
  <c r="AP380" i="8" s="1"/>
  <c r="AQ380" i="8"/>
  <c r="AQ877" i="7"/>
  <c r="AM877" i="7"/>
  <c r="AN877" i="7"/>
  <c r="AP877" i="7" s="1"/>
  <c r="AK658" i="7"/>
  <c r="AL658" i="7" s="1"/>
  <c r="AN658" i="7" s="1"/>
  <c r="AL812" i="8"/>
  <c r="AP544" i="8"/>
  <c r="AP658" i="8"/>
  <c r="AM491" i="7"/>
  <c r="AO491" i="7" s="1"/>
  <c r="AK863" i="8"/>
  <c r="AL863" i="8" s="1"/>
  <c r="AN863" i="8" s="1"/>
  <c r="AP270" i="7"/>
  <c r="AP327" i="8"/>
  <c r="AO160" i="7"/>
  <c r="AK489" i="8"/>
  <c r="AN213" i="7"/>
  <c r="AQ213" i="7"/>
  <c r="AQ162" i="12"/>
  <c r="AN162" i="12"/>
  <c r="AP162" i="12" s="1"/>
  <c r="AK543" i="7"/>
  <c r="AL543" i="7" s="1"/>
  <c r="AK161" i="7"/>
  <c r="AQ323" i="12"/>
  <c r="AN323" i="12"/>
  <c r="AK217" i="12"/>
  <c r="AM323" i="12"/>
  <c r="AO323" i="12" s="1"/>
  <c r="AK603" i="8"/>
  <c r="AL603" i="8" s="1"/>
  <c r="AQ601" i="7"/>
  <c r="AM601" i="7"/>
  <c r="AO601" i="7" s="1"/>
  <c r="AP218" i="8"/>
  <c r="AK768" i="7"/>
  <c r="AL768" i="7" s="1"/>
  <c r="AO433" i="7"/>
  <c r="AP1042" i="8"/>
  <c r="AQ327" i="8"/>
  <c r="AP711" i="7"/>
  <c r="AK159" i="8"/>
  <c r="AL159" i="8" s="1"/>
  <c r="AM213" i="7"/>
  <c r="AK439" i="8"/>
  <c r="AL439" i="8" s="1"/>
  <c r="AP931" i="8"/>
  <c r="AL324" i="7"/>
  <c r="AM324" i="7" s="1"/>
  <c r="AM162" i="12"/>
  <c r="AK985" i="8"/>
  <c r="AK434" i="7"/>
  <c r="AK1097" i="8"/>
  <c r="AL1097" i="8" s="1"/>
  <c r="AN1097" i="8" s="1"/>
  <c r="AL271" i="12"/>
  <c r="AO216" i="12"/>
  <c r="AP601" i="7"/>
  <c r="AQ815" i="7"/>
  <c r="AM815" i="7"/>
  <c r="AO815" i="7" s="1"/>
  <c r="AP270" i="8"/>
  <c r="AP930" i="7"/>
  <c r="AO984" i="8"/>
  <c r="AO488" i="8"/>
  <c r="AP213" i="7" l="1"/>
  <c r="AO327" i="8"/>
  <c r="AQ439" i="8"/>
  <c r="AN439" i="8"/>
  <c r="AM439" i="8"/>
  <c r="AO324" i="7"/>
  <c r="AN159" i="8"/>
  <c r="AQ159" i="8"/>
  <c r="AM159" i="8"/>
  <c r="AO159" i="8" s="1"/>
  <c r="AK712" i="7"/>
  <c r="AL712" i="7" s="1"/>
  <c r="AK659" i="8"/>
  <c r="AL659" i="8" s="1"/>
  <c r="AN659" i="8" s="1"/>
  <c r="AL434" i="7"/>
  <c r="AM434" i="7" s="1"/>
  <c r="AP815" i="7"/>
  <c r="AL161" i="7"/>
  <c r="AQ271" i="12"/>
  <c r="AN271" i="12"/>
  <c r="AM271" i="12"/>
  <c r="AO380" i="8"/>
  <c r="AL985" i="8"/>
  <c r="AK1043" i="8"/>
  <c r="AL1043" i="8" s="1"/>
  <c r="AN1043" i="8" s="1"/>
  <c r="AM768" i="7"/>
  <c r="AO768" i="7" s="1"/>
  <c r="AQ768" i="7"/>
  <c r="AK328" i="8"/>
  <c r="AL328" i="8" s="1"/>
  <c r="AM328" i="8" s="1"/>
  <c r="AN328" i="8"/>
  <c r="AO213" i="7"/>
  <c r="AQ603" i="8"/>
  <c r="AM603" i="8"/>
  <c r="AO603" i="8" s="1"/>
  <c r="AK271" i="7"/>
  <c r="AL271" i="7" s="1"/>
  <c r="AN271" i="7" s="1"/>
  <c r="AP323" i="12"/>
  <c r="AK271" i="8"/>
  <c r="AL271" i="8" s="1"/>
  <c r="AK878" i="7"/>
  <c r="AO877" i="7"/>
  <c r="AO162" i="12"/>
  <c r="AN768" i="7"/>
  <c r="AN812" i="8"/>
  <c r="AQ812" i="8"/>
  <c r="AL217" i="12"/>
  <c r="AM812" i="8"/>
  <c r="AO812" i="8" s="1"/>
  <c r="AP491" i="7"/>
  <c r="AK381" i="8"/>
  <c r="AN603" i="8"/>
  <c r="AM543" i="7"/>
  <c r="AQ543" i="7"/>
  <c r="AM863" i="8"/>
  <c r="AO863" i="8" s="1"/>
  <c r="AQ863" i="8"/>
  <c r="AP382" i="7"/>
  <c r="AK163" i="12"/>
  <c r="AK931" i="7"/>
  <c r="AL931" i="7" s="1"/>
  <c r="AK214" i="7"/>
  <c r="AN324" i="7"/>
  <c r="AP324" i="7" s="1"/>
  <c r="AQ324" i="7"/>
  <c r="AK545" i="8"/>
  <c r="AL545" i="8" s="1"/>
  <c r="AN545" i="8" s="1"/>
  <c r="AK602" i="7"/>
  <c r="AL602" i="7" s="1"/>
  <c r="AK219" i="8"/>
  <c r="AL219" i="8" s="1"/>
  <c r="AN219" i="8" s="1"/>
  <c r="AK932" i="8"/>
  <c r="AL932" i="8" s="1"/>
  <c r="AM1097" i="8"/>
  <c r="AO1097" i="8" s="1"/>
  <c r="AQ1097" i="8"/>
  <c r="AL489" i="8"/>
  <c r="AN543" i="7"/>
  <c r="AP543" i="7" s="1"/>
  <c r="AM658" i="7"/>
  <c r="AO658" i="7" s="1"/>
  <c r="AQ658" i="7"/>
  <c r="AP328" i="8" l="1"/>
  <c r="AQ328" i="8"/>
  <c r="AP439" i="8"/>
  <c r="AO328" i="8"/>
  <c r="AO271" i="12"/>
  <c r="AM602" i="7"/>
  <c r="AN602" i="7"/>
  <c r="AP602" i="7" s="1"/>
  <c r="AQ602" i="7"/>
  <c r="AK544" i="7"/>
  <c r="AQ489" i="8"/>
  <c r="AN489" i="8"/>
  <c r="AP489" i="8" s="1"/>
  <c r="AQ217" i="12"/>
  <c r="AN217" i="12"/>
  <c r="AP217" i="12" s="1"/>
  <c r="AQ985" i="8"/>
  <c r="AN985" i="8"/>
  <c r="AM985" i="8"/>
  <c r="AO985" i="8" s="1"/>
  <c r="AP271" i="12"/>
  <c r="AK329" i="8"/>
  <c r="AN161" i="7"/>
  <c r="AQ161" i="7"/>
  <c r="AP658" i="7"/>
  <c r="AQ931" i="7"/>
  <c r="AM931" i="7"/>
  <c r="AQ712" i="7"/>
  <c r="AM712" i="7"/>
  <c r="AL163" i="12"/>
  <c r="AL878" i="7"/>
  <c r="AQ271" i="8"/>
  <c r="AM271" i="8"/>
  <c r="AO271" i="8" s="1"/>
  <c r="AL329" i="8"/>
  <c r="AN329" i="8" s="1"/>
  <c r="AM161" i="7"/>
  <c r="AO161" i="7" s="1"/>
  <c r="AK492" i="7"/>
  <c r="AL492" i="7" s="1"/>
  <c r="AN492" i="7" s="1"/>
  <c r="AM489" i="8"/>
  <c r="AM217" i="12"/>
  <c r="AN931" i="7"/>
  <c r="AQ932" i="8"/>
  <c r="AM932" i="8"/>
  <c r="AP812" i="8"/>
  <c r="AN712" i="7"/>
  <c r="AM219" i="8"/>
  <c r="AO219" i="8" s="1"/>
  <c r="AQ219" i="8"/>
  <c r="AP159" i="8"/>
  <c r="AO543" i="7"/>
  <c r="AN271" i="8"/>
  <c r="AK816" i="7"/>
  <c r="AL816" i="7" s="1"/>
  <c r="AO439" i="8"/>
  <c r="AK440" i="8"/>
  <c r="AQ434" i="7"/>
  <c r="AN434" i="7"/>
  <c r="AP434" i="7" s="1"/>
  <c r="AM659" i="8"/>
  <c r="AO659" i="8" s="1"/>
  <c r="AQ659" i="8"/>
  <c r="AQ1043" i="8"/>
  <c r="AM1043" i="8"/>
  <c r="AO1043" i="8" s="1"/>
  <c r="AM271" i="7"/>
  <c r="AO271" i="7" s="1"/>
  <c r="AQ271" i="7"/>
  <c r="AN932" i="8"/>
  <c r="AP768" i="7"/>
  <c r="AL381" i="8"/>
  <c r="AM381" i="8" s="1"/>
  <c r="AK383" i="7"/>
  <c r="AL383" i="7" s="1"/>
  <c r="AN383" i="7" s="1"/>
  <c r="AL214" i="7"/>
  <c r="AP1097" i="8"/>
  <c r="AQ545" i="8"/>
  <c r="AM545" i="8"/>
  <c r="AO545" i="8" s="1"/>
  <c r="AP603" i="8"/>
  <c r="AK324" i="12"/>
  <c r="AL324" i="12" s="1"/>
  <c r="AN324" i="12" s="1"/>
  <c r="AP863" i="8"/>
  <c r="AK325" i="7"/>
  <c r="AL325" i="7" s="1"/>
  <c r="AP712" i="7" l="1"/>
  <c r="AP985" i="8"/>
  <c r="AP931" i="7"/>
  <c r="AO932" i="8"/>
  <c r="AP219" i="8"/>
  <c r="AP1043" i="8"/>
  <c r="AM325" i="7"/>
  <c r="AN325" i="7"/>
  <c r="AP325" i="7" s="1"/>
  <c r="AQ325" i="7"/>
  <c r="AQ214" i="7"/>
  <c r="AN214" i="7"/>
  <c r="AK659" i="7"/>
  <c r="AL659" i="7" s="1"/>
  <c r="AN659" i="7" s="1"/>
  <c r="AK713" i="7"/>
  <c r="AM329" i="8"/>
  <c r="AO329" i="8" s="1"/>
  <c r="AK932" i="7"/>
  <c r="AO217" i="12"/>
  <c r="AK490" i="8"/>
  <c r="AK769" i="7"/>
  <c r="AL769" i="7" s="1"/>
  <c r="AO489" i="8"/>
  <c r="AK272" i="12"/>
  <c r="AL272" i="12" s="1"/>
  <c r="AN272" i="12" s="1"/>
  <c r="AL544" i="7"/>
  <c r="AK220" i="8"/>
  <c r="AL220" i="8" s="1"/>
  <c r="AQ220" i="8" s="1"/>
  <c r="AO712" i="7"/>
  <c r="AK603" i="7"/>
  <c r="AQ329" i="8"/>
  <c r="AK160" i="8"/>
  <c r="AL160" i="8" s="1"/>
  <c r="AO602" i="7"/>
  <c r="AK435" i="7"/>
  <c r="AQ383" i="7"/>
  <c r="AM383" i="7"/>
  <c r="AO383" i="7" s="1"/>
  <c r="AK813" i="8"/>
  <c r="AL813" i="8" s="1"/>
  <c r="AP161" i="7"/>
  <c r="AQ878" i="7"/>
  <c r="AN878" i="7"/>
  <c r="AQ816" i="7"/>
  <c r="AM816" i="7"/>
  <c r="AN163" i="12"/>
  <c r="AQ163" i="12"/>
  <c r="AM163" i="12"/>
  <c r="AO163" i="12" s="1"/>
  <c r="AP271" i="7"/>
  <c r="AP545" i="8"/>
  <c r="AO931" i="7"/>
  <c r="AK986" i="8"/>
  <c r="AL986" i="8" s="1"/>
  <c r="AO434" i="7"/>
  <c r="AM214" i="7"/>
  <c r="AO214" i="7" s="1"/>
  <c r="AK218" i="12"/>
  <c r="AK864" i="8"/>
  <c r="AL864" i="8" s="1"/>
  <c r="AN381" i="8"/>
  <c r="AP381" i="8" s="1"/>
  <c r="AQ381" i="8"/>
  <c r="AL440" i="8"/>
  <c r="AQ324" i="12"/>
  <c r="AM324" i="12"/>
  <c r="AO324" i="12" s="1"/>
  <c r="AN816" i="7"/>
  <c r="AP816" i="7" s="1"/>
  <c r="AM878" i="7"/>
  <c r="AO878" i="7" s="1"/>
  <c r="AK604" i="8"/>
  <c r="AL604" i="8" s="1"/>
  <c r="AN604" i="8" s="1"/>
  <c r="AK1044" i="8"/>
  <c r="AP932" i="8"/>
  <c r="AP271" i="8"/>
  <c r="AQ492" i="7"/>
  <c r="AM492" i="7"/>
  <c r="AO492" i="7" s="1"/>
  <c r="AL1044" i="8"/>
  <c r="AN1044" i="8" s="1"/>
  <c r="AK1098" i="8"/>
  <c r="AL1098" i="8" s="1"/>
  <c r="AQ1044" i="8"/>
  <c r="AP659" i="8"/>
  <c r="AM986" i="8" l="1"/>
  <c r="AQ986" i="8"/>
  <c r="AN986" i="8"/>
  <c r="AP986" i="8" s="1"/>
  <c r="AP878" i="7"/>
  <c r="AL490" i="8"/>
  <c r="AM490" i="8" s="1"/>
  <c r="AQ769" i="7"/>
  <c r="AM769" i="7"/>
  <c r="AQ813" i="8"/>
  <c r="AM813" i="8"/>
  <c r="AK272" i="7"/>
  <c r="AL272" i="7" s="1"/>
  <c r="AN272" i="7" s="1"/>
  <c r="AQ864" i="8"/>
  <c r="AM864" i="8"/>
  <c r="AN220" i="8"/>
  <c r="AP220" i="8" s="1"/>
  <c r="AK272" i="8"/>
  <c r="AL272" i="8" s="1"/>
  <c r="AN272" i="8" s="1"/>
  <c r="AK933" i="8"/>
  <c r="AL933" i="8" s="1"/>
  <c r="AN933" i="8" s="1"/>
  <c r="AM160" i="8"/>
  <c r="AQ160" i="8"/>
  <c r="AM220" i="8"/>
  <c r="AN160" i="8"/>
  <c r="AM1098" i="8"/>
  <c r="AQ1098" i="8"/>
  <c r="AK162" i="7"/>
  <c r="AL162" i="7" s="1"/>
  <c r="AN1098" i="8"/>
  <c r="AP1098" i="8" s="1"/>
  <c r="AP214" i="7"/>
  <c r="AN813" i="8"/>
  <c r="AK382" i="8"/>
  <c r="AP492" i="7"/>
  <c r="AK326" i="7"/>
  <c r="AM272" i="12"/>
  <c r="AO272" i="12" s="1"/>
  <c r="AQ272" i="12"/>
  <c r="AK817" i="7"/>
  <c r="AL435" i="7"/>
  <c r="AM435" i="7" s="1"/>
  <c r="AP324" i="12"/>
  <c r="AL932" i="7"/>
  <c r="AM932" i="7" s="1"/>
  <c r="AN769" i="7"/>
  <c r="AM1044" i="8"/>
  <c r="AO1044" i="8" s="1"/>
  <c r="AL713" i="7"/>
  <c r="AM713" i="7" s="1"/>
  <c r="AP383" i="7"/>
  <c r="AP163" i="12"/>
  <c r="AL603" i="7"/>
  <c r="AN544" i="7"/>
  <c r="AQ544" i="7"/>
  <c r="AO325" i="7"/>
  <c r="AQ659" i="7"/>
  <c r="AM659" i="7"/>
  <c r="AO659" i="7" s="1"/>
  <c r="AN440" i="8"/>
  <c r="AQ440" i="8"/>
  <c r="AM440" i="8"/>
  <c r="AK546" i="8"/>
  <c r="AL546" i="8" s="1"/>
  <c r="AN546" i="8" s="1"/>
  <c r="AL218" i="12"/>
  <c r="AN864" i="8"/>
  <c r="AO381" i="8"/>
  <c r="AK660" i="8"/>
  <c r="AL660" i="8" s="1"/>
  <c r="AN660" i="8" s="1"/>
  <c r="AQ604" i="8"/>
  <c r="AM604" i="8"/>
  <c r="AO604" i="8" s="1"/>
  <c r="AO816" i="7"/>
  <c r="AM544" i="7"/>
  <c r="AP329" i="8"/>
  <c r="AP659" i="7" l="1"/>
  <c r="AO440" i="8"/>
  <c r="AO813" i="8"/>
  <c r="AP864" i="8"/>
  <c r="AP769" i="7"/>
  <c r="AK770" i="7" s="1"/>
  <c r="AO160" i="8"/>
  <c r="AP1044" i="8"/>
  <c r="AP544" i="7"/>
  <c r="AP272" i="12"/>
  <c r="AK273" i="12" s="1"/>
  <c r="AL273" i="12" s="1"/>
  <c r="AP604" i="8"/>
  <c r="AK605" i="8" s="1"/>
  <c r="AL605" i="8" s="1"/>
  <c r="AK493" i="7"/>
  <c r="AL493" i="7" s="1"/>
  <c r="AO769" i="7"/>
  <c r="AL326" i="7"/>
  <c r="AN218" i="12"/>
  <c r="AP218" i="12" s="1"/>
  <c r="AQ218" i="12"/>
  <c r="AK545" i="7"/>
  <c r="AN603" i="7"/>
  <c r="AQ603" i="7"/>
  <c r="AQ162" i="7"/>
  <c r="AM162" i="7"/>
  <c r="AO544" i="7"/>
  <c r="AK987" i="8"/>
  <c r="AM218" i="12"/>
  <c r="AK215" i="7"/>
  <c r="AL215" i="7" s="1"/>
  <c r="AN215" i="7" s="1"/>
  <c r="AM603" i="7"/>
  <c r="AK330" i="8"/>
  <c r="AL330" i="8" s="1"/>
  <c r="AN330" i="8" s="1"/>
  <c r="AQ546" i="8"/>
  <c r="AM546" i="8"/>
  <c r="AO546" i="8" s="1"/>
  <c r="AK660" i="7"/>
  <c r="AL660" i="7" s="1"/>
  <c r="AM660" i="7" s="1"/>
  <c r="AO1098" i="8"/>
  <c r="AL817" i="7"/>
  <c r="AP440" i="8"/>
  <c r="AN713" i="7"/>
  <c r="AP713" i="7" s="1"/>
  <c r="AQ713" i="7"/>
  <c r="AQ660" i="8"/>
  <c r="AM660" i="8"/>
  <c r="AO660" i="8" s="1"/>
  <c r="AN932" i="7"/>
  <c r="AP932" i="7" s="1"/>
  <c r="AQ932" i="7"/>
  <c r="AL382" i="8"/>
  <c r="AN490" i="8"/>
  <c r="AP490" i="8" s="1"/>
  <c r="AQ490" i="8"/>
  <c r="AM933" i="8"/>
  <c r="AO933" i="8" s="1"/>
  <c r="AQ933" i="8"/>
  <c r="AQ272" i="8"/>
  <c r="AM272" i="8"/>
  <c r="AO272" i="8" s="1"/>
  <c r="AK1045" i="8"/>
  <c r="AL1045" i="8" s="1"/>
  <c r="AQ1045" i="8" s="1"/>
  <c r="AK384" i="7"/>
  <c r="AL384" i="7" s="1"/>
  <c r="AN384" i="7" s="1"/>
  <c r="AP160" i="8"/>
  <c r="AM272" i="7"/>
  <c r="AO272" i="7" s="1"/>
  <c r="AQ272" i="7"/>
  <c r="AO986" i="8"/>
  <c r="AK865" i="8"/>
  <c r="AK325" i="12"/>
  <c r="AL325" i="12" s="1"/>
  <c r="AN325" i="12" s="1"/>
  <c r="AP813" i="8"/>
  <c r="AQ435" i="7"/>
  <c r="AN435" i="7"/>
  <c r="AP435" i="7" s="1"/>
  <c r="AK1099" i="8"/>
  <c r="AK879" i="7"/>
  <c r="AL879" i="7" s="1"/>
  <c r="AK164" i="12"/>
  <c r="AL164" i="12" s="1"/>
  <c r="AN162" i="7"/>
  <c r="AK221" i="8"/>
  <c r="AO864" i="8"/>
  <c r="AO713" i="7"/>
  <c r="AO220" i="8"/>
  <c r="AN273" i="12" l="1"/>
  <c r="AQ273" i="12"/>
  <c r="AO603" i="7"/>
  <c r="AO162" i="7"/>
  <c r="AQ605" i="8"/>
  <c r="AN605" i="8"/>
  <c r="AM605" i="8"/>
  <c r="AO605" i="8" s="1"/>
  <c r="AQ817" i="7"/>
  <c r="AN817" i="7"/>
  <c r="AL221" i="8"/>
  <c r="AL1099" i="8"/>
  <c r="AK219" i="12"/>
  <c r="AQ326" i="7"/>
  <c r="AN326" i="7"/>
  <c r="AK491" i="8"/>
  <c r="AN660" i="7"/>
  <c r="AP660" i="7" s="1"/>
  <c r="AQ330" i="8"/>
  <c r="AM330" i="8"/>
  <c r="AO330" i="8" s="1"/>
  <c r="AO435" i="7"/>
  <c r="AP660" i="8"/>
  <c r="AM1045" i="8"/>
  <c r="AL987" i="8"/>
  <c r="AN382" i="8"/>
  <c r="AQ382" i="8"/>
  <c r="AK161" i="8"/>
  <c r="AL161" i="8" s="1"/>
  <c r="AL545" i="7"/>
  <c r="AQ660" i="7"/>
  <c r="AP325" i="12"/>
  <c r="AO490" i="8"/>
  <c r="AN1045" i="8"/>
  <c r="AP1045" i="8" s="1"/>
  <c r="AM817" i="7"/>
  <c r="AQ493" i="7"/>
  <c r="AM493" i="7"/>
  <c r="AK933" i="7"/>
  <c r="AM273" i="12"/>
  <c r="AO273" i="12" s="1"/>
  <c r="AQ384" i="7"/>
  <c r="AM384" i="7"/>
  <c r="AO384" i="7" s="1"/>
  <c r="AQ325" i="12"/>
  <c r="AM325" i="12"/>
  <c r="AO325" i="12" s="1"/>
  <c r="AO932" i="7"/>
  <c r="AO218" i="12"/>
  <c r="AP272" i="8"/>
  <c r="AQ164" i="12"/>
  <c r="AM164" i="12"/>
  <c r="AQ879" i="7"/>
  <c r="AM879" i="7"/>
  <c r="AN879" i="7"/>
  <c r="AP879" i="7" s="1"/>
  <c r="AP933" i="8"/>
  <c r="AK436" i="7"/>
  <c r="AM326" i="7"/>
  <c r="AL770" i="7"/>
  <c r="AK814" i="8"/>
  <c r="AL814" i="8" s="1"/>
  <c r="AM382" i="8"/>
  <c r="AN493" i="7"/>
  <c r="AP493" i="7" s="1"/>
  <c r="AP330" i="8"/>
  <c r="AL865" i="8"/>
  <c r="AM865" i="8" s="1"/>
  <c r="AQ215" i="7"/>
  <c r="AM215" i="7"/>
  <c r="AO215" i="7" s="1"/>
  <c r="AP546" i="8"/>
  <c r="AP162" i="7"/>
  <c r="AK714" i="7"/>
  <c r="AL714" i="7" s="1"/>
  <c r="AQ714" i="7" s="1"/>
  <c r="AN164" i="12"/>
  <c r="AP164" i="12" s="1"/>
  <c r="AK441" i="8"/>
  <c r="AL441" i="8" s="1"/>
  <c r="AN441" i="8" s="1"/>
  <c r="AP603" i="7"/>
  <c r="AP272" i="7"/>
  <c r="AO164" i="12" l="1"/>
  <c r="AP817" i="7"/>
  <c r="AP215" i="7"/>
  <c r="AO382" i="8"/>
  <c r="AO326" i="7"/>
  <c r="AO1045" i="8"/>
  <c r="AK1046" i="8"/>
  <c r="AL1046" i="8"/>
  <c r="AQ1046" i="8" s="1"/>
  <c r="AK661" i="8"/>
  <c r="AL661" i="8" s="1"/>
  <c r="AN661" i="8" s="1"/>
  <c r="AK273" i="7"/>
  <c r="AL273" i="7" s="1"/>
  <c r="AN273" i="7" s="1"/>
  <c r="AK604" i="7"/>
  <c r="AL604" i="7" s="1"/>
  <c r="AN604" i="7" s="1"/>
  <c r="AK326" i="12"/>
  <c r="AL326" i="12" s="1"/>
  <c r="AN326" i="12" s="1"/>
  <c r="AK331" i="8"/>
  <c r="AL331" i="8" s="1"/>
  <c r="AQ331" i="8" s="1"/>
  <c r="AK494" i="7"/>
  <c r="AL436" i="7"/>
  <c r="AO493" i="7"/>
  <c r="AQ545" i="7"/>
  <c r="AN545" i="7"/>
  <c r="AK165" i="12"/>
  <c r="AL165" i="12" s="1"/>
  <c r="AP273" i="12"/>
  <c r="AK273" i="8"/>
  <c r="AL273" i="8" s="1"/>
  <c r="AN273" i="8" s="1"/>
  <c r="AO660" i="7"/>
  <c r="AQ221" i="8"/>
  <c r="AN221" i="8"/>
  <c r="AK818" i="7"/>
  <c r="AM714" i="7"/>
  <c r="AN714" i="7"/>
  <c r="AQ161" i="8"/>
  <c r="AM161" i="8"/>
  <c r="AK216" i="7"/>
  <c r="AK163" i="7"/>
  <c r="AL163" i="7" s="1"/>
  <c r="AK547" i="8"/>
  <c r="AL547" i="8" s="1"/>
  <c r="AN547" i="8" s="1"/>
  <c r="AL219" i="12"/>
  <c r="AM219" i="12" s="1"/>
  <c r="AP382" i="8"/>
  <c r="AL491" i="8"/>
  <c r="AM491" i="8" s="1"/>
  <c r="AK934" i="8"/>
  <c r="AL934" i="8" s="1"/>
  <c r="AN934" i="8" s="1"/>
  <c r="AK880" i="7"/>
  <c r="AM545" i="7"/>
  <c r="AO545" i="7" s="1"/>
  <c r="AQ814" i="8"/>
  <c r="AM814" i="8"/>
  <c r="AQ770" i="7"/>
  <c r="AN770" i="7"/>
  <c r="AM770" i="7"/>
  <c r="AO770" i="7" s="1"/>
  <c r="AL933" i="7"/>
  <c r="AO817" i="7"/>
  <c r="AQ987" i="8"/>
  <c r="AN987" i="8"/>
  <c r="AP605" i="8"/>
  <c r="AN865" i="8"/>
  <c r="AP865" i="8" s="1"/>
  <c r="AQ865" i="8"/>
  <c r="AN1099" i="8"/>
  <c r="AQ1099" i="8"/>
  <c r="AP384" i="7"/>
  <c r="AM1099" i="8"/>
  <c r="AO1099" i="8" s="1"/>
  <c r="AM441" i="8"/>
  <c r="AO441" i="8" s="1"/>
  <c r="AQ441" i="8"/>
  <c r="AM221" i="8"/>
  <c r="AO879" i="7"/>
  <c r="AN161" i="8"/>
  <c r="AK661" i="7"/>
  <c r="AN814" i="8"/>
  <c r="AL216" i="7"/>
  <c r="AM216" i="7" s="1"/>
  <c r="AM987" i="8"/>
  <c r="AO987" i="8" s="1"/>
  <c r="AP326" i="7"/>
  <c r="AO814" i="8" l="1"/>
  <c r="AP221" i="8"/>
  <c r="AO714" i="7"/>
  <c r="AP161" i="8"/>
  <c r="AQ165" i="12"/>
  <c r="AM165" i="12"/>
  <c r="AN165" i="12"/>
  <c r="AP165" i="12" s="1"/>
  <c r="AP545" i="7"/>
  <c r="AP1099" i="8"/>
  <c r="AL494" i="7"/>
  <c r="AN436" i="7"/>
  <c r="AQ436" i="7"/>
  <c r="AP814" i="8"/>
  <c r="AM331" i="8"/>
  <c r="AM436" i="7"/>
  <c r="AO436" i="7" s="1"/>
  <c r="AM1046" i="8"/>
  <c r="AL818" i="7"/>
  <c r="AM818" i="7" s="1"/>
  <c r="AN216" i="7"/>
  <c r="AP216" i="7" s="1"/>
  <c r="AN331" i="8"/>
  <c r="AK327" i="7"/>
  <c r="AL327" i="7" s="1"/>
  <c r="AN327" i="7" s="1"/>
  <c r="AK385" i="7"/>
  <c r="AL385" i="7" s="1"/>
  <c r="AM326" i="12"/>
  <c r="AO326" i="12" s="1"/>
  <c r="AK606" i="8"/>
  <c r="AL606" i="8" s="1"/>
  <c r="AM163" i="7"/>
  <c r="AQ163" i="7"/>
  <c r="AN163" i="7"/>
  <c r="AP163" i="7" s="1"/>
  <c r="AQ216" i="7"/>
  <c r="AN933" i="7"/>
  <c r="AQ933" i="7"/>
  <c r="AM933" i="7"/>
  <c r="AO161" i="8"/>
  <c r="AQ326" i="12"/>
  <c r="AQ273" i="7"/>
  <c r="AM273" i="7"/>
  <c r="AO273" i="7" s="1"/>
  <c r="AM661" i="8"/>
  <c r="AO661" i="8" s="1"/>
  <c r="AQ661" i="8"/>
  <c r="AK866" i="8"/>
  <c r="AK162" i="8"/>
  <c r="AM934" i="8"/>
  <c r="AO934" i="8" s="1"/>
  <c r="AQ934" i="8"/>
  <c r="AQ273" i="8"/>
  <c r="AM273" i="8"/>
  <c r="AO273" i="8" s="1"/>
  <c r="AP273" i="7"/>
  <c r="AK383" i="8"/>
  <c r="AL383" i="8" s="1"/>
  <c r="AN383" i="8" s="1"/>
  <c r="AQ219" i="12"/>
  <c r="AN219" i="12"/>
  <c r="AP219" i="12" s="1"/>
  <c r="AK222" i="8"/>
  <c r="AM547" i="8"/>
  <c r="AO547" i="8" s="1"/>
  <c r="AQ547" i="8"/>
  <c r="AP441" i="8"/>
  <c r="AP987" i="8"/>
  <c r="AL661" i="7"/>
  <c r="AN1046" i="8"/>
  <c r="AP1046" i="8" s="1"/>
  <c r="AL880" i="7"/>
  <c r="AO221" i="8"/>
  <c r="AP770" i="7"/>
  <c r="AN491" i="8"/>
  <c r="AP491" i="8" s="1"/>
  <c r="AQ491" i="8"/>
  <c r="AP714" i="7"/>
  <c r="AK274" i="12"/>
  <c r="AL274" i="12" s="1"/>
  <c r="AN274" i="12" s="1"/>
  <c r="AQ604" i="7"/>
  <c r="AM604" i="7"/>
  <c r="AO604" i="7" s="1"/>
  <c r="AO865" i="8"/>
  <c r="AO219" i="12" l="1"/>
  <c r="AP331" i="8"/>
  <c r="AP934" i="8"/>
  <c r="AP604" i="7"/>
  <c r="AK605" i="7" s="1"/>
  <c r="AL605" i="7" s="1"/>
  <c r="AO491" i="8"/>
  <c r="AO933" i="7"/>
  <c r="AQ880" i="7"/>
  <c r="AN880" i="7"/>
  <c r="AQ661" i="7"/>
  <c r="AN661" i="7"/>
  <c r="AM661" i="7"/>
  <c r="AO661" i="7" s="1"/>
  <c r="AQ385" i="7"/>
  <c r="AM385" i="7"/>
  <c r="AP547" i="8"/>
  <c r="AK166" i="12"/>
  <c r="AL222" i="8"/>
  <c r="AM222" i="8" s="1"/>
  <c r="AK332" i="8"/>
  <c r="AM880" i="7"/>
  <c r="AK274" i="7"/>
  <c r="AL274" i="7" s="1"/>
  <c r="AO1046" i="8"/>
  <c r="AK935" i="8"/>
  <c r="AL935" i="8" s="1"/>
  <c r="AK988" i="8"/>
  <c r="AL988" i="8" s="1"/>
  <c r="AN988" i="8" s="1"/>
  <c r="AK442" i="8"/>
  <c r="AL442" i="8" s="1"/>
  <c r="AN442" i="8" s="1"/>
  <c r="AN494" i="7"/>
  <c r="AQ494" i="7"/>
  <c r="AK715" i="7"/>
  <c r="AL715" i="7" s="1"/>
  <c r="AN715" i="7" s="1"/>
  <c r="AL162" i="8"/>
  <c r="AM162" i="8" s="1"/>
  <c r="AM327" i="7"/>
  <c r="AO327" i="7" s="1"/>
  <c r="AQ327" i="7"/>
  <c r="AO165" i="12"/>
  <c r="AK164" i="7"/>
  <c r="AK217" i="7"/>
  <c r="AK1047" i="8"/>
  <c r="AO163" i="7"/>
  <c r="AQ606" i="8"/>
  <c r="AM606" i="8"/>
  <c r="AO606" i="8" s="1"/>
  <c r="AL866" i="8"/>
  <c r="AM866" i="8" s="1"/>
  <c r="AO331" i="8"/>
  <c r="AP273" i="8"/>
  <c r="AP661" i="8"/>
  <c r="AP326" i="12"/>
  <c r="AN385" i="7"/>
  <c r="AM494" i="7"/>
  <c r="AO494" i="7" s="1"/>
  <c r="AK492" i="8"/>
  <c r="AL492" i="8" s="1"/>
  <c r="AN492" i="8" s="1"/>
  <c r="AK1100" i="8"/>
  <c r="AL1100" i="8" s="1"/>
  <c r="AN1100" i="8" s="1"/>
  <c r="AM383" i="8"/>
  <c r="AO383" i="8" s="1"/>
  <c r="AQ383" i="8"/>
  <c r="AN818" i="7"/>
  <c r="AP818" i="7" s="1"/>
  <c r="AQ818" i="7"/>
  <c r="AN606" i="8"/>
  <c r="AK815" i="8"/>
  <c r="AL815" i="8" s="1"/>
  <c r="AQ274" i="12"/>
  <c r="AM274" i="12"/>
  <c r="AO274" i="12" s="1"/>
  <c r="AP436" i="7"/>
  <c r="AK220" i="12"/>
  <c r="AL220" i="12" s="1"/>
  <c r="AK771" i="7"/>
  <c r="AL771" i="7" s="1"/>
  <c r="AP933" i="7"/>
  <c r="AK546" i="7"/>
  <c r="AL546" i="7" s="1"/>
  <c r="AO216" i="7"/>
  <c r="AO385" i="7" l="1"/>
  <c r="AO880" i="7"/>
  <c r="AQ935" i="8"/>
  <c r="AM935" i="8"/>
  <c r="AN935" i="8"/>
  <c r="AP935" i="8" s="1"/>
  <c r="AM605" i="7"/>
  <c r="AQ605" i="7"/>
  <c r="AN605" i="7"/>
  <c r="AP605" i="7" s="1"/>
  <c r="AN220" i="12"/>
  <c r="AQ220" i="12"/>
  <c r="AM220" i="12"/>
  <c r="AO220" i="12" s="1"/>
  <c r="AQ274" i="7"/>
  <c r="AN274" i="7"/>
  <c r="AM274" i="7"/>
  <c r="AO274" i="7" s="1"/>
  <c r="AO222" i="8"/>
  <c r="AQ546" i="7"/>
  <c r="AM546" i="7"/>
  <c r="AM815" i="8"/>
  <c r="AQ815" i="8"/>
  <c r="AK934" i="7"/>
  <c r="AL934" i="7" s="1"/>
  <c r="AN934" i="7" s="1"/>
  <c r="AM771" i="7"/>
  <c r="AQ771" i="7"/>
  <c r="AL164" i="7"/>
  <c r="AN771" i="7"/>
  <c r="AP771" i="7" s="1"/>
  <c r="AK327" i="12"/>
  <c r="AL327" i="12" s="1"/>
  <c r="AQ492" i="8"/>
  <c r="AK274" i="8"/>
  <c r="AL274" i="8" s="1"/>
  <c r="AP385" i="7"/>
  <c r="AP494" i="7"/>
  <c r="AM442" i="8"/>
  <c r="AO442" i="8" s="1"/>
  <c r="AQ442" i="8"/>
  <c r="AP383" i="8"/>
  <c r="AK548" i="8"/>
  <c r="AL548" i="8" s="1"/>
  <c r="AL1047" i="8"/>
  <c r="AK662" i="8"/>
  <c r="AL662" i="8" s="1"/>
  <c r="AP880" i="7"/>
  <c r="AK437" i="7"/>
  <c r="AL437" i="7" s="1"/>
  <c r="AN437" i="7" s="1"/>
  <c r="AL332" i="8"/>
  <c r="AM332" i="8" s="1"/>
  <c r="AO818" i="7"/>
  <c r="AQ1100" i="8"/>
  <c r="AM1100" i="8"/>
  <c r="AO1100" i="8" s="1"/>
  <c r="AN162" i="8"/>
  <c r="AP162" i="8" s="1"/>
  <c r="AQ162" i="8"/>
  <c r="AM492" i="8"/>
  <c r="AO492" i="8" s="1"/>
  <c r="AQ715" i="7"/>
  <c r="AM715" i="7"/>
  <c r="AO715" i="7" s="1"/>
  <c r="AP606" i="8"/>
  <c r="AP661" i="7"/>
  <c r="AN222" i="8"/>
  <c r="AP222" i="8" s="1"/>
  <c r="AQ222" i="8"/>
  <c r="AK819" i="7"/>
  <c r="AL166" i="12"/>
  <c r="AL217" i="7"/>
  <c r="AN546" i="7"/>
  <c r="AN815" i="8"/>
  <c r="AP815" i="8" s="1"/>
  <c r="AN866" i="8"/>
  <c r="AP866" i="8" s="1"/>
  <c r="AQ866" i="8"/>
  <c r="AM988" i="8"/>
  <c r="AO988" i="8" s="1"/>
  <c r="AQ988" i="8"/>
  <c r="AP327" i="7"/>
  <c r="AP274" i="12"/>
  <c r="AP546" i="7" l="1"/>
  <c r="AK547" i="7" s="1"/>
  <c r="AP442" i="8"/>
  <c r="AO935" i="8"/>
  <c r="AP988" i="8"/>
  <c r="AO162" i="8"/>
  <c r="AP715" i="7"/>
  <c r="AK716" i="7"/>
  <c r="AN164" i="7"/>
  <c r="AQ164" i="7"/>
  <c r="AQ166" i="12"/>
  <c r="AN166" i="12"/>
  <c r="AQ1047" i="8"/>
  <c r="AN1047" i="8"/>
  <c r="AQ274" i="8"/>
  <c r="AM274" i="8"/>
  <c r="AK662" i="7"/>
  <c r="AL662" i="7" s="1"/>
  <c r="AN662" i="7" s="1"/>
  <c r="AO815" i="8"/>
  <c r="AO605" i="7"/>
  <c r="AN217" i="7"/>
  <c r="AQ217" i="7"/>
  <c r="AK881" i="7"/>
  <c r="AL881" i="7" s="1"/>
  <c r="AN881" i="7" s="1"/>
  <c r="AM217" i="7"/>
  <c r="AK443" i="8"/>
  <c r="AL443" i="8"/>
  <c r="AQ443" i="8" s="1"/>
  <c r="AQ444" i="8" s="1"/>
  <c r="AQ445" i="8" s="1"/>
  <c r="AQ446" i="8" s="1"/>
  <c r="AP1100" i="8"/>
  <c r="AO771" i="7"/>
  <c r="AK275" i="12"/>
  <c r="AL275" i="12" s="1"/>
  <c r="AN275" i="12" s="1"/>
  <c r="AP220" i="12"/>
  <c r="AK606" i="7"/>
  <c r="AK607" i="8"/>
  <c r="AL607" i="8" s="1"/>
  <c r="AN607" i="8" s="1"/>
  <c r="AM548" i="8"/>
  <c r="AQ548" i="8"/>
  <c r="AM327" i="12"/>
  <c r="AQ327" i="12"/>
  <c r="AO546" i="7"/>
  <c r="AK936" i="8"/>
  <c r="AL936" i="8" s="1"/>
  <c r="AQ936" i="8" s="1"/>
  <c r="AK384" i="8"/>
  <c r="AL384" i="8" s="1"/>
  <c r="AN384" i="8"/>
  <c r="AQ662" i="8"/>
  <c r="AM662" i="8"/>
  <c r="AL819" i="7"/>
  <c r="AK495" i="7"/>
  <c r="AL495" i="7" s="1"/>
  <c r="AN495" i="7" s="1"/>
  <c r="AK386" i="7"/>
  <c r="AL386" i="7" s="1"/>
  <c r="AN386" i="7" s="1"/>
  <c r="AK223" i="8"/>
  <c r="AL223" i="8" s="1"/>
  <c r="AN223" i="8" s="1"/>
  <c r="AM1047" i="8"/>
  <c r="AO1047" i="8" s="1"/>
  <c r="AK989" i="8"/>
  <c r="AL989" i="8" s="1"/>
  <c r="AL716" i="7"/>
  <c r="AN716" i="7" s="1"/>
  <c r="AN548" i="8"/>
  <c r="AN327" i="12"/>
  <c r="AK772" i="7"/>
  <c r="AK163" i="8"/>
  <c r="AL163" i="8" s="1"/>
  <c r="AN662" i="8"/>
  <c r="AM164" i="7"/>
  <c r="AO164" i="7" s="1"/>
  <c r="AM166" i="12"/>
  <c r="AP274" i="7"/>
  <c r="AQ332" i="8"/>
  <c r="AN332" i="8"/>
  <c r="AP332" i="8" s="1"/>
  <c r="AQ934" i="7"/>
  <c r="AM934" i="7"/>
  <c r="AO934" i="7" s="1"/>
  <c r="AK328" i="7"/>
  <c r="AL328" i="7" s="1"/>
  <c r="AN328" i="7"/>
  <c r="AN274" i="8"/>
  <c r="AK867" i="8"/>
  <c r="AK816" i="8"/>
  <c r="AM437" i="7"/>
  <c r="AO437" i="7" s="1"/>
  <c r="AQ437" i="7"/>
  <c r="AO866" i="8"/>
  <c r="AP492" i="8"/>
  <c r="AQ716" i="7" l="1"/>
  <c r="AO548" i="8"/>
  <c r="AO274" i="8"/>
  <c r="AP662" i="8"/>
  <c r="AO217" i="7"/>
  <c r="AP934" i="7"/>
  <c r="AP327" i="12"/>
  <c r="AK328" i="12" s="1"/>
  <c r="AP166" i="12"/>
  <c r="AK167" i="12" s="1"/>
  <c r="AM716" i="7"/>
  <c r="AP716" i="7" s="1"/>
  <c r="AQ989" i="8"/>
  <c r="AM989" i="8"/>
  <c r="AN989" i="8"/>
  <c r="AP989" i="8" s="1"/>
  <c r="AQ163" i="8"/>
  <c r="AM163" i="8"/>
  <c r="AN163" i="8"/>
  <c r="AM223" i="8"/>
  <c r="AO223" i="8" s="1"/>
  <c r="AM224" i="8" s="1"/>
  <c r="AO224" i="8" s="1"/>
  <c r="AM225" i="8" s="1"/>
  <c r="AO225" i="8" s="1"/>
  <c r="AM226" i="8" s="1"/>
  <c r="AO226" i="8" s="1"/>
  <c r="AN443" i="8"/>
  <c r="AM384" i="8"/>
  <c r="AO384" i="8" s="1"/>
  <c r="AQ384" i="8"/>
  <c r="AL606" i="7"/>
  <c r="AM936" i="8"/>
  <c r="AK493" i="8"/>
  <c r="AL493" i="8" s="1"/>
  <c r="AN493" i="8" s="1"/>
  <c r="AN936" i="8"/>
  <c r="AK663" i="8"/>
  <c r="AP274" i="8"/>
  <c r="AK935" i="7"/>
  <c r="AL935" i="7" s="1"/>
  <c r="AM328" i="7"/>
  <c r="AO328" i="7" s="1"/>
  <c r="AQ328" i="7"/>
  <c r="AQ223" i="8"/>
  <c r="AQ224" i="8" s="1"/>
  <c r="AQ225" i="8" s="1"/>
  <c r="AQ226" i="8" s="1"/>
  <c r="AP217" i="7"/>
  <c r="AK333" i="8"/>
  <c r="AP164" i="7"/>
  <c r="AL867" i="8"/>
  <c r="AM867" i="8" s="1"/>
  <c r="AK275" i="7"/>
  <c r="AL275" i="7" s="1"/>
  <c r="AN275" i="7" s="1"/>
  <c r="AQ819" i="7"/>
  <c r="AN819" i="7"/>
  <c r="AP819" i="7" s="1"/>
  <c r="AL547" i="7"/>
  <c r="AL772" i="7"/>
  <c r="AM443" i="8"/>
  <c r="AP1047" i="8"/>
  <c r="AK221" i="12"/>
  <c r="AL221" i="12" s="1"/>
  <c r="AN221" i="12" s="1"/>
  <c r="AM275" i="12"/>
  <c r="AO275" i="12" s="1"/>
  <c r="AQ275" i="12"/>
  <c r="AM495" i="7"/>
  <c r="AO495" i="7" s="1"/>
  <c r="AQ495" i="7"/>
  <c r="AL816" i="8"/>
  <c r="AO166" i="12"/>
  <c r="AP548" i="8"/>
  <c r="AM819" i="7"/>
  <c r="AP437" i="7"/>
  <c r="AK1101" i="8"/>
  <c r="AL1101" i="8" s="1"/>
  <c r="AN1101" i="8"/>
  <c r="AQ662" i="7"/>
  <c r="AM662" i="7"/>
  <c r="AO662" i="7" s="1"/>
  <c r="AQ607" i="8"/>
  <c r="AM607" i="8"/>
  <c r="AO607" i="8" s="1"/>
  <c r="AM881" i="7"/>
  <c r="AO881" i="7" s="1"/>
  <c r="AQ881" i="7"/>
  <c r="AM386" i="7"/>
  <c r="AO386" i="7" s="1"/>
  <c r="AQ386" i="7"/>
  <c r="AO662" i="8"/>
  <c r="AO327" i="12"/>
  <c r="AO332" i="8"/>
  <c r="AO443" i="8" l="1"/>
  <c r="AM444" i="8" s="1"/>
  <c r="AO444" i="8" s="1"/>
  <c r="AM445" i="8" s="1"/>
  <c r="AO445" i="8" s="1"/>
  <c r="AM446" i="8" s="1"/>
  <c r="AO446" i="8" s="1"/>
  <c r="AO716" i="7"/>
  <c r="AP386" i="7"/>
  <c r="AK717" i="7"/>
  <c r="AL717" i="7" s="1"/>
  <c r="AQ935" i="7"/>
  <c r="AN935" i="7"/>
  <c r="AP223" i="8"/>
  <c r="AN224" i="8" s="1"/>
  <c r="AP224" i="8" s="1"/>
  <c r="AN225" i="8" s="1"/>
  <c r="AP225" i="8" s="1"/>
  <c r="AN226" i="8" s="1"/>
  <c r="AP226" i="8" s="1"/>
  <c r="AO936" i="8"/>
  <c r="AP662" i="7"/>
  <c r="AK663" i="7" s="1"/>
  <c r="AL663" i="7" s="1"/>
  <c r="AO163" i="8"/>
  <c r="AQ772" i="7"/>
  <c r="AN772" i="7"/>
  <c r="AM772" i="7"/>
  <c r="AO772" i="7" s="1"/>
  <c r="AQ493" i="8"/>
  <c r="AM493" i="8"/>
  <c r="AO493" i="8" s="1"/>
  <c r="AL333" i="8"/>
  <c r="AK820" i="7"/>
  <c r="AP607" i="8"/>
  <c r="AL663" i="8"/>
  <c r="AP328" i="7"/>
  <c r="AP163" i="8"/>
  <c r="AN547" i="7"/>
  <c r="AQ547" i="7"/>
  <c r="AN606" i="7"/>
  <c r="AP606" i="7" s="1"/>
  <c r="AQ606" i="7"/>
  <c r="AL328" i="12"/>
  <c r="AM328" i="12" s="1"/>
  <c r="AK387" i="7"/>
  <c r="AL387" i="7" s="1"/>
  <c r="AN387" i="7" s="1"/>
  <c r="AQ1101" i="8"/>
  <c r="AM1101" i="8"/>
  <c r="AO1101" i="8" s="1"/>
  <c r="AQ816" i="8"/>
  <c r="AN816" i="8"/>
  <c r="AP816" i="8" s="1"/>
  <c r="AK218" i="7"/>
  <c r="AL218" i="7" s="1"/>
  <c r="AM547" i="7"/>
  <c r="AM606" i="7"/>
  <c r="AM935" i="7"/>
  <c r="AP275" i="12"/>
  <c r="AM275" i="7"/>
  <c r="AO275" i="7" s="1"/>
  <c r="AQ275" i="7"/>
  <c r="AK438" i="7"/>
  <c r="AL438" i="7" s="1"/>
  <c r="AP881" i="7"/>
  <c r="AO989" i="8"/>
  <c r="AO819" i="7"/>
  <c r="AK165" i="7"/>
  <c r="AL165" i="7" s="1"/>
  <c r="AM816" i="8"/>
  <c r="AP384" i="8"/>
  <c r="AP495" i="7"/>
  <c r="AK275" i="8"/>
  <c r="AL275" i="8" s="1"/>
  <c r="AN275" i="8" s="1"/>
  <c r="AQ867" i="8"/>
  <c r="AN867" i="8"/>
  <c r="AP867" i="8" s="1"/>
  <c r="AK990" i="8"/>
  <c r="AK1048" i="8"/>
  <c r="AL1048" i="8" s="1"/>
  <c r="AN1048" i="8" s="1"/>
  <c r="AK549" i="8"/>
  <c r="AL549" i="8" s="1"/>
  <c r="AN549" i="8" s="1"/>
  <c r="AL167" i="12"/>
  <c r="AP443" i="8"/>
  <c r="AN444" i="8" s="1"/>
  <c r="AP444" i="8" s="1"/>
  <c r="AN445" i="8" s="1"/>
  <c r="AP445" i="8" s="1"/>
  <c r="AN446" i="8" s="1"/>
  <c r="AP446" i="8" s="1"/>
  <c r="AK447" i="8" s="1"/>
  <c r="B448" i="8" s="1"/>
  <c r="C10" i="8" s="1"/>
  <c r="AQ221" i="12"/>
  <c r="AM221" i="12"/>
  <c r="AO221" i="12" s="1"/>
  <c r="AP936" i="8"/>
  <c r="AK227" i="8"/>
  <c r="B228" i="8" s="1"/>
  <c r="C8" i="8" s="1"/>
  <c r="AO935" i="7" l="1"/>
  <c r="AO547" i="7"/>
  <c r="AP493" i="8"/>
  <c r="AN663" i="7"/>
  <c r="AQ663" i="7"/>
  <c r="AQ664" i="7" s="1"/>
  <c r="AQ665" i="7" s="1"/>
  <c r="AQ666" i="7" s="1"/>
  <c r="AM663" i="7"/>
  <c r="AO663" i="7" s="1"/>
  <c r="AM664" i="7" s="1"/>
  <c r="AO664" i="7" s="1"/>
  <c r="AM665" i="7" s="1"/>
  <c r="AO665" i="7" s="1"/>
  <c r="AM666" i="7" s="1"/>
  <c r="AO666" i="7" s="1"/>
  <c r="AQ438" i="7"/>
  <c r="AM438" i="7"/>
  <c r="AO438" i="7" s="1"/>
  <c r="AP1048" i="8"/>
  <c r="AN1049" i="8" s="1"/>
  <c r="AP1049" i="8" s="1"/>
  <c r="AN1050" i="8" s="1"/>
  <c r="AP1050" i="8" s="1"/>
  <c r="AN1051" i="8" s="1"/>
  <c r="AP1051" i="8" s="1"/>
  <c r="AK494" i="8"/>
  <c r="AL494" i="8" s="1"/>
  <c r="AM218" i="7"/>
  <c r="AQ218" i="7"/>
  <c r="AK329" i="7"/>
  <c r="AL329" i="7" s="1"/>
  <c r="AN717" i="7"/>
  <c r="AQ717" i="7"/>
  <c r="AP1101" i="8"/>
  <c r="AQ663" i="8"/>
  <c r="AQ664" i="8" s="1"/>
  <c r="AQ665" i="8" s="1"/>
  <c r="AQ666" i="8" s="1"/>
  <c r="AN663" i="8"/>
  <c r="AM387" i="7"/>
  <c r="AO387" i="7" s="1"/>
  <c r="AN333" i="8"/>
  <c r="AQ333" i="8"/>
  <c r="AQ334" i="8" s="1"/>
  <c r="AQ335" i="8" s="1"/>
  <c r="AQ336" i="8" s="1"/>
  <c r="AN438" i="7"/>
  <c r="AM1048" i="8"/>
  <c r="AO1048" i="8" s="1"/>
  <c r="AM1049" i="8" s="1"/>
  <c r="AO1049" i="8" s="1"/>
  <c r="AM1050" i="8" s="1"/>
  <c r="AO1050" i="8" s="1"/>
  <c r="AM1051" i="8" s="1"/>
  <c r="AO1051" i="8" s="1"/>
  <c r="AQ1048" i="8"/>
  <c r="AQ1049" i="8" s="1"/>
  <c r="AQ1050" i="8" s="1"/>
  <c r="AQ1051" i="8" s="1"/>
  <c r="AP547" i="7"/>
  <c r="AK817" i="8"/>
  <c r="AK868" i="8"/>
  <c r="AM165" i="7"/>
  <c r="AQ165" i="7"/>
  <c r="AM663" i="8"/>
  <c r="AN167" i="12"/>
  <c r="AP167" i="12" s="1"/>
  <c r="AQ167" i="12"/>
  <c r="AK882" i="7"/>
  <c r="AL882" i="7" s="1"/>
  <c r="AN882" i="7" s="1"/>
  <c r="AK607" i="7"/>
  <c r="AK385" i="8"/>
  <c r="AL385" i="8" s="1"/>
  <c r="AQ387" i="7"/>
  <c r="AK164" i="8"/>
  <c r="AL164" i="8" s="1"/>
  <c r="AN164" i="8" s="1"/>
  <c r="AK937" i="8"/>
  <c r="AL937" i="8" s="1"/>
  <c r="AN937" i="8" s="1"/>
  <c r="AP275" i="7"/>
  <c r="AO816" i="8"/>
  <c r="AP772" i="7"/>
  <c r="AM717" i="7"/>
  <c r="AN165" i="7"/>
  <c r="AO606" i="7"/>
  <c r="AK608" i="8"/>
  <c r="AL608" i="8" s="1"/>
  <c r="AN608" i="8" s="1"/>
  <c r="AP221" i="12"/>
  <c r="AP275" i="8"/>
  <c r="AL990" i="8"/>
  <c r="AK496" i="7"/>
  <c r="AL496" i="7" s="1"/>
  <c r="AN496" i="7" s="1"/>
  <c r="AM167" i="12"/>
  <c r="AM549" i="8"/>
  <c r="AO549" i="8" s="1"/>
  <c r="AQ549" i="8"/>
  <c r="AM333" i="8"/>
  <c r="AN218" i="7"/>
  <c r="AK276" i="12"/>
  <c r="AL276" i="12" s="1"/>
  <c r="AN276" i="12" s="1"/>
  <c r="AM275" i="8"/>
  <c r="AO275" i="8" s="1"/>
  <c r="AQ275" i="8"/>
  <c r="AL820" i="7"/>
  <c r="AQ328" i="12"/>
  <c r="AN328" i="12"/>
  <c r="AP328" i="12" s="1"/>
  <c r="AP935" i="7"/>
  <c r="AO867" i="8"/>
  <c r="AO328" i="12" l="1"/>
  <c r="AO165" i="7"/>
  <c r="AO663" i="8"/>
  <c r="AM664" i="8" s="1"/>
  <c r="AO664" i="8" s="1"/>
  <c r="AM665" i="8" s="1"/>
  <c r="AO665" i="8" s="1"/>
  <c r="AM666" i="8" s="1"/>
  <c r="AO666" i="8" s="1"/>
  <c r="AP717" i="7"/>
  <c r="AK718" i="7" s="1"/>
  <c r="AO218" i="7"/>
  <c r="AP333" i="8"/>
  <c r="AN334" i="8" s="1"/>
  <c r="AP334" i="8" s="1"/>
  <c r="AN335" i="8" s="1"/>
  <c r="AP335" i="8" s="1"/>
  <c r="AN336" i="8" s="1"/>
  <c r="AP336" i="8" s="1"/>
  <c r="AQ494" i="8"/>
  <c r="AN494" i="8"/>
  <c r="AM494" i="8"/>
  <c r="AO494" i="8" s="1"/>
  <c r="AN990" i="8"/>
  <c r="AQ990" i="8"/>
  <c r="AK168" i="12"/>
  <c r="AQ820" i="7"/>
  <c r="AN820" i="7"/>
  <c r="AK222" i="12"/>
  <c r="AL222" i="12" s="1"/>
  <c r="AQ164" i="8"/>
  <c r="AM164" i="8"/>
  <c r="AO164" i="8" s="1"/>
  <c r="AP165" i="7"/>
  <c r="AP218" i="7"/>
  <c r="AQ385" i="8"/>
  <c r="AM385" i="8"/>
  <c r="AP387" i="7"/>
  <c r="AK773" i="7"/>
  <c r="AL773" i="7" s="1"/>
  <c r="AN773" i="7" s="1"/>
  <c r="AK548" i="7"/>
  <c r="AL548" i="7" s="1"/>
  <c r="AP549" i="8"/>
  <c r="AL607" i="7"/>
  <c r="AM607" i="7" s="1"/>
  <c r="AO333" i="8"/>
  <c r="AM334" i="8" s="1"/>
  <c r="AO334" i="8" s="1"/>
  <c r="AM335" i="8" s="1"/>
  <c r="AO335" i="8" s="1"/>
  <c r="AM336" i="8" s="1"/>
  <c r="AO336" i="8" s="1"/>
  <c r="AK337" i="8" s="1"/>
  <c r="B338" i="8" s="1"/>
  <c r="C9" i="8" s="1"/>
  <c r="AO167" i="12"/>
  <c r="AQ329" i="7"/>
  <c r="AM329" i="7"/>
  <c r="AO329" i="7" s="1"/>
  <c r="AK276" i="8"/>
  <c r="AL276" i="8" s="1"/>
  <c r="AK276" i="7"/>
  <c r="AL276" i="7" s="1"/>
  <c r="AQ608" i="8"/>
  <c r="AQ609" i="8" s="1"/>
  <c r="AQ610" i="8" s="1"/>
  <c r="AQ611" i="8" s="1"/>
  <c r="AM608" i="8"/>
  <c r="AO608" i="8" s="1"/>
  <c r="AM609" i="8" s="1"/>
  <c r="AO609" i="8" s="1"/>
  <c r="AM610" i="8" s="1"/>
  <c r="AO610" i="8" s="1"/>
  <c r="AM611" i="8" s="1"/>
  <c r="AO611" i="8" s="1"/>
  <c r="AQ276" i="12"/>
  <c r="AM276" i="12"/>
  <c r="AO276" i="12" s="1"/>
  <c r="AN385" i="8"/>
  <c r="AP385" i="8" s="1"/>
  <c r="AO717" i="7"/>
  <c r="AK936" i="7"/>
  <c r="AL936" i="7" s="1"/>
  <c r="AN936" i="7" s="1"/>
  <c r="AK1052" i="8"/>
  <c r="B1053" i="8" s="1"/>
  <c r="B16" i="8" s="1"/>
  <c r="AN329" i="7"/>
  <c r="AM990" i="8"/>
  <c r="AM820" i="7"/>
  <c r="AQ937" i="8"/>
  <c r="AM937" i="8"/>
  <c r="AO937" i="8" s="1"/>
  <c r="AP663" i="8"/>
  <c r="AN664" i="8" s="1"/>
  <c r="AP664" i="8" s="1"/>
  <c r="AN665" i="8" s="1"/>
  <c r="AP665" i="8" s="1"/>
  <c r="AN666" i="8" s="1"/>
  <c r="AP666" i="8" s="1"/>
  <c r="AK667" i="8" s="1"/>
  <c r="B668" i="8" s="1"/>
  <c r="C12" i="8" s="1"/>
  <c r="AK1102" i="8"/>
  <c r="AL1102" i="8" s="1"/>
  <c r="AN1102" i="8" s="1"/>
  <c r="AL868" i="8"/>
  <c r="AM882" i="7"/>
  <c r="AO882" i="7" s="1"/>
  <c r="AQ882" i="7"/>
  <c r="AK329" i="12"/>
  <c r="AL329" i="12" s="1"/>
  <c r="AM496" i="7"/>
  <c r="AO496" i="7" s="1"/>
  <c r="AQ496" i="7"/>
  <c r="AL817" i="8"/>
  <c r="AM817" i="8" s="1"/>
  <c r="AP438" i="7"/>
  <c r="AP663" i="7"/>
  <c r="AN664" i="7" s="1"/>
  <c r="AP664" i="7" s="1"/>
  <c r="AN665" i="7" s="1"/>
  <c r="AP665" i="7" s="1"/>
  <c r="AN666" i="7" s="1"/>
  <c r="AP666" i="7" s="1"/>
  <c r="AK667" i="7" s="1"/>
  <c r="B668" i="7" s="1"/>
  <c r="AP164" i="8" l="1"/>
  <c r="AP820" i="7"/>
  <c r="AP990" i="8"/>
  <c r="AQ276" i="8"/>
  <c r="AN276" i="8"/>
  <c r="AM276" i="8"/>
  <c r="AO276" i="8" s="1"/>
  <c r="B10" i="12"/>
  <c r="B18" i="7"/>
  <c r="F9" i="7"/>
  <c r="AM329" i="12"/>
  <c r="AQ329" i="12"/>
  <c r="AN329" i="12"/>
  <c r="AP329" i="12" s="1"/>
  <c r="AP936" i="7"/>
  <c r="AP773" i="7"/>
  <c r="AN774" i="7" s="1"/>
  <c r="AP774" i="7" s="1"/>
  <c r="AN775" i="7" s="1"/>
  <c r="AP775" i="7" s="1"/>
  <c r="AN776" i="7" s="1"/>
  <c r="AP776" i="7" s="1"/>
  <c r="AK388" i="7"/>
  <c r="AL388" i="7" s="1"/>
  <c r="AN388" i="7" s="1"/>
  <c r="AO385" i="8"/>
  <c r="AO990" i="8"/>
  <c r="AP494" i="8"/>
  <c r="AM548" i="7"/>
  <c r="AQ548" i="7"/>
  <c r="AQ773" i="7"/>
  <c r="AQ774" i="7" s="1"/>
  <c r="AQ775" i="7" s="1"/>
  <c r="AQ776" i="7" s="1"/>
  <c r="AM773" i="7"/>
  <c r="AO773" i="7" s="1"/>
  <c r="AM774" i="7" s="1"/>
  <c r="AO774" i="7" s="1"/>
  <c r="AM775" i="7" s="1"/>
  <c r="AO775" i="7" s="1"/>
  <c r="AM776" i="7" s="1"/>
  <c r="AO776" i="7" s="1"/>
  <c r="AQ607" i="7"/>
  <c r="AN607" i="7"/>
  <c r="AP607" i="7" s="1"/>
  <c r="AO820" i="7"/>
  <c r="AP882" i="7"/>
  <c r="AP329" i="7"/>
  <c r="AP937" i="8"/>
  <c r="AM222" i="12"/>
  <c r="AQ222" i="12"/>
  <c r="AL718" i="7"/>
  <c r="AM718" i="7" s="1"/>
  <c r="AM1102" i="8"/>
  <c r="AO1102" i="8" s="1"/>
  <c r="AQ1102" i="8"/>
  <c r="AK165" i="8"/>
  <c r="AL165" i="8" s="1"/>
  <c r="AK219" i="7"/>
  <c r="AL219" i="7" s="1"/>
  <c r="AN219" i="7" s="1"/>
  <c r="AK166" i="7"/>
  <c r="AL166" i="7" s="1"/>
  <c r="AN166" i="7" s="1"/>
  <c r="AP496" i="7"/>
  <c r="AK550" i="8"/>
  <c r="AL550" i="8" s="1"/>
  <c r="AN550" i="8" s="1"/>
  <c r="AP608" i="8"/>
  <c r="AN609" i="8" s="1"/>
  <c r="AP609" i="8" s="1"/>
  <c r="AN610" i="8" s="1"/>
  <c r="AP610" i="8" s="1"/>
  <c r="AN611" i="8" s="1"/>
  <c r="AP611" i="8" s="1"/>
  <c r="AK612" i="8" s="1"/>
  <c r="B613" i="8" s="1"/>
  <c r="B12" i="8" s="1"/>
  <c r="D12" i="8" s="1"/>
  <c r="E12" i="8" s="1"/>
  <c r="AK439" i="7"/>
  <c r="AL439" i="7" s="1"/>
  <c r="AN439" i="7" s="1"/>
  <c r="AK386" i="8"/>
  <c r="AN817" i="8"/>
  <c r="AP817" i="8" s="1"/>
  <c r="AQ817" i="8"/>
  <c r="AK821" i="7"/>
  <c r="AL168" i="12"/>
  <c r="AM168" i="12" s="1"/>
  <c r="AK991" i="8"/>
  <c r="AN868" i="8"/>
  <c r="AQ868" i="8"/>
  <c r="AM276" i="7"/>
  <c r="AQ276" i="7"/>
  <c r="AM868" i="8"/>
  <c r="AQ936" i="7"/>
  <c r="AM936" i="7"/>
  <c r="AO936" i="7" s="1"/>
  <c r="AN276" i="7"/>
  <c r="AP276" i="7" s="1"/>
  <c r="AN548" i="7"/>
  <c r="AP548" i="7" s="1"/>
  <c r="AN222" i="12"/>
  <c r="AP276" i="12"/>
  <c r="AO868" i="8" l="1"/>
  <c r="AO817" i="8"/>
  <c r="AP222" i="12"/>
  <c r="AQ165" i="8"/>
  <c r="AM165" i="8"/>
  <c r="AN165" i="8"/>
  <c r="AP165" i="8" s="1"/>
  <c r="AL821" i="7"/>
  <c r="AK277" i="12"/>
  <c r="AL277" i="12" s="1"/>
  <c r="AN277" i="12" s="1"/>
  <c r="AP550" i="8"/>
  <c r="AK223" i="12"/>
  <c r="AK549" i="7"/>
  <c r="AK330" i="12"/>
  <c r="AM166" i="7"/>
  <c r="AO166" i="7" s="1"/>
  <c r="AQ166" i="7"/>
  <c r="AO222" i="12"/>
  <c r="AO607" i="7"/>
  <c r="AQ388" i="7"/>
  <c r="AQ389" i="7" s="1"/>
  <c r="AQ390" i="7" s="1"/>
  <c r="AQ391" i="7" s="1"/>
  <c r="AM388" i="7"/>
  <c r="AO388" i="7" s="1"/>
  <c r="AM389" i="7" s="1"/>
  <c r="AO389" i="7" s="1"/>
  <c r="AM390" i="7" s="1"/>
  <c r="AO390" i="7" s="1"/>
  <c r="AM391" i="7" s="1"/>
  <c r="AO391" i="7" s="1"/>
  <c r="AK608" i="7"/>
  <c r="AQ550" i="8"/>
  <c r="AM550" i="8"/>
  <c r="AO550" i="8" s="1"/>
  <c r="AK937" i="7"/>
  <c r="AL937" i="7" s="1"/>
  <c r="AK277" i="7"/>
  <c r="AO329" i="12"/>
  <c r="AO548" i="7"/>
  <c r="AK495" i="8"/>
  <c r="AL495" i="8" s="1"/>
  <c r="AN495" i="8" s="1"/>
  <c r="AO276" i="7"/>
  <c r="AL991" i="8"/>
  <c r="AM219" i="7"/>
  <c r="AO219" i="7" s="1"/>
  <c r="AQ219" i="7"/>
  <c r="AK938" i="8"/>
  <c r="AL938" i="8" s="1"/>
  <c r="AN938" i="8" s="1"/>
  <c r="AK330" i="7"/>
  <c r="AL330" i="7" s="1"/>
  <c r="AN330" i="7" s="1"/>
  <c r="AP276" i="8"/>
  <c r="AK883" i="7"/>
  <c r="AL883" i="7" s="1"/>
  <c r="AK777" i="7"/>
  <c r="B778" i="7" s="1"/>
  <c r="AN168" i="12"/>
  <c r="AP168" i="12" s="1"/>
  <c r="AN169" i="12" s="1"/>
  <c r="AP169" i="12" s="1"/>
  <c r="AN170" i="12" s="1"/>
  <c r="AP170" i="12" s="1"/>
  <c r="AN171" i="12" s="1"/>
  <c r="AP171" i="12" s="1"/>
  <c r="AQ168" i="12"/>
  <c r="AQ169" i="12" s="1"/>
  <c r="AQ170" i="12" s="1"/>
  <c r="AQ171" i="12" s="1"/>
  <c r="AK497" i="7"/>
  <c r="AL497" i="7" s="1"/>
  <c r="AN497" i="7" s="1"/>
  <c r="AQ718" i="7"/>
  <c r="AQ719" i="7" s="1"/>
  <c r="AQ720" i="7" s="1"/>
  <c r="AQ721" i="7" s="1"/>
  <c r="AN718" i="7"/>
  <c r="AP718" i="7" s="1"/>
  <c r="AN719" i="7" s="1"/>
  <c r="AP719" i="7" s="1"/>
  <c r="AN720" i="7" s="1"/>
  <c r="AP720" i="7" s="1"/>
  <c r="AN721" i="7" s="1"/>
  <c r="AP721" i="7" s="1"/>
  <c r="AP868" i="8"/>
  <c r="AK818" i="8"/>
  <c r="AL818" i="8" s="1"/>
  <c r="AL386" i="8"/>
  <c r="AQ439" i="7"/>
  <c r="AM439" i="7"/>
  <c r="AO439" i="7" s="1"/>
  <c r="AP1102" i="8"/>
  <c r="AP219" i="7" l="1"/>
  <c r="AO168" i="12"/>
  <c r="AM169" i="12" s="1"/>
  <c r="AO169" i="12" s="1"/>
  <c r="AM170" i="12" s="1"/>
  <c r="AO170" i="12" s="1"/>
  <c r="AM171" i="12" s="1"/>
  <c r="AO171" i="12" s="1"/>
  <c r="AK172" i="12" s="1"/>
  <c r="B173" i="12" s="1"/>
  <c r="C7" i="12" s="1"/>
  <c r="AP166" i="7"/>
  <c r="AM937" i="7"/>
  <c r="AN937" i="7"/>
  <c r="AP937" i="7" s="1"/>
  <c r="AQ937" i="7"/>
  <c r="AQ818" i="8"/>
  <c r="AN818" i="8"/>
  <c r="AM818" i="8"/>
  <c r="AO818" i="8" s="1"/>
  <c r="AP277" i="12"/>
  <c r="C10" i="7"/>
  <c r="B41" i="7"/>
  <c r="C41" i="7"/>
  <c r="AM883" i="7"/>
  <c r="AQ883" i="7"/>
  <c r="AQ884" i="7" s="1"/>
  <c r="AQ885" i="7" s="1"/>
  <c r="AQ886" i="7" s="1"/>
  <c r="AN883" i="7"/>
  <c r="AP883" i="7" s="1"/>
  <c r="AN884" i="7" s="1"/>
  <c r="AP884" i="7" s="1"/>
  <c r="AN885" i="7" s="1"/>
  <c r="AP885" i="7" s="1"/>
  <c r="AN886" i="7" s="1"/>
  <c r="AP886" i="7" s="1"/>
  <c r="AK869" i="8"/>
  <c r="AL869" i="8" s="1"/>
  <c r="AK551" i="8"/>
  <c r="AK220" i="7"/>
  <c r="AL330" i="12"/>
  <c r="AL223" i="12"/>
  <c r="AM223" i="12" s="1"/>
  <c r="AN821" i="7"/>
  <c r="AQ821" i="7"/>
  <c r="AP439" i="7"/>
  <c r="AQ495" i="8"/>
  <c r="AM495" i="8"/>
  <c r="AO495" i="8" s="1"/>
  <c r="AL608" i="7"/>
  <c r="AK277" i="8"/>
  <c r="AL277" i="8" s="1"/>
  <c r="AQ330" i="7"/>
  <c r="AM330" i="7"/>
  <c r="AO330" i="7" s="1"/>
  <c r="AM938" i="8"/>
  <c r="AO938" i="8" s="1"/>
  <c r="AM939" i="8" s="1"/>
  <c r="AO939" i="8" s="1"/>
  <c r="AM940" i="8" s="1"/>
  <c r="AO940" i="8" s="1"/>
  <c r="AM941" i="8" s="1"/>
  <c r="AO941" i="8" s="1"/>
  <c r="AQ938" i="8"/>
  <c r="AQ939" i="8" s="1"/>
  <c r="AQ940" i="8" s="1"/>
  <c r="AQ941" i="8" s="1"/>
  <c r="AM821" i="7"/>
  <c r="AL220" i="7"/>
  <c r="AN220" i="7" s="1"/>
  <c r="AP388" i="7"/>
  <c r="AN389" i="7" s="1"/>
  <c r="AP389" i="7" s="1"/>
  <c r="AN390" i="7" s="1"/>
  <c r="AP390" i="7" s="1"/>
  <c r="AN391" i="7" s="1"/>
  <c r="AP391" i="7" s="1"/>
  <c r="AK392" i="7" s="1"/>
  <c r="B393" i="7" s="1"/>
  <c r="F8" i="7" s="1"/>
  <c r="AQ991" i="8"/>
  <c r="AN991" i="8"/>
  <c r="AO718" i="7"/>
  <c r="AM719" i="7" s="1"/>
  <c r="AO719" i="7" s="1"/>
  <c r="AM720" i="7" s="1"/>
  <c r="AO720" i="7" s="1"/>
  <c r="AM721" i="7" s="1"/>
  <c r="AO721" i="7" s="1"/>
  <c r="AK722" i="7" s="1"/>
  <c r="B723" i="7" s="1"/>
  <c r="AL551" i="8"/>
  <c r="AN551" i="8" s="1"/>
  <c r="AK166" i="8"/>
  <c r="AN386" i="8"/>
  <c r="AQ386" i="8"/>
  <c r="AL277" i="7"/>
  <c r="AM277" i="7" s="1"/>
  <c r="AQ551" i="8"/>
  <c r="AO165" i="8"/>
  <c r="AK167" i="7"/>
  <c r="AL167" i="7" s="1"/>
  <c r="AL549" i="7"/>
  <c r="AM549" i="7" s="1"/>
  <c r="AQ277" i="12"/>
  <c r="AM277" i="12"/>
  <c r="AO277" i="12" s="1"/>
  <c r="AK1103" i="8"/>
  <c r="AL1103" i="8" s="1"/>
  <c r="AN1103" i="8" s="1"/>
  <c r="AM497" i="7"/>
  <c r="AO497" i="7" s="1"/>
  <c r="AQ497" i="7"/>
  <c r="AM991" i="8"/>
  <c r="AO991" i="8" s="1"/>
  <c r="AM386" i="8"/>
  <c r="AO386" i="8" l="1"/>
  <c r="AO821" i="7"/>
  <c r="AN167" i="7"/>
  <c r="AQ167" i="7"/>
  <c r="AM167" i="7"/>
  <c r="AO167" i="7" s="1"/>
  <c r="AO223" i="12"/>
  <c r="AM224" i="12" s="1"/>
  <c r="AO224" i="12" s="1"/>
  <c r="AM225" i="12" s="1"/>
  <c r="AO225" i="12" s="1"/>
  <c r="AM226" i="12" s="1"/>
  <c r="AO226" i="12" s="1"/>
  <c r="AK227" i="12" s="1"/>
  <c r="B228" i="12" s="1"/>
  <c r="C8" i="12" s="1"/>
  <c r="AN608" i="7"/>
  <c r="AP608" i="7" s="1"/>
  <c r="AN609" i="7" s="1"/>
  <c r="AP609" i="7" s="1"/>
  <c r="AN610" i="7" s="1"/>
  <c r="AP610" i="7" s="1"/>
  <c r="AN611" i="7" s="1"/>
  <c r="AP611" i="7" s="1"/>
  <c r="AQ608" i="7"/>
  <c r="AQ609" i="7" s="1"/>
  <c r="AQ610" i="7" s="1"/>
  <c r="AQ611" i="7" s="1"/>
  <c r="AL166" i="8"/>
  <c r="AM166" i="8" s="1"/>
  <c r="AQ220" i="7"/>
  <c r="AP495" i="8"/>
  <c r="AP497" i="7"/>
  <c r="AP821" i="7"/>
  <c r="AQ330" i="12"/>
  <c r="AN330" i="12"/>
  <c r="AP818" i="8"/>
  <c r="AM551" i="8"/>
  <c r="AO551" i="8" s="1"/>
  <c r="AP330" i="7"/>
  <c r="AM869" i="8"/>
  <c r="AQ869" i="8"/>
  <c r="AM608" i="7"/>
  <c r="AN869" i="8"/>
  <c r="AO883" i="7"/>
  <c r="AM884" i="7" s="1"/>
  <c r="AO884" i="7" s="1"/>
  <c r="AM885" i="7" s="1"/>
  <c r="AO885" i="7" s="1"/>
  <c r="AM886" i="7" s="1"/>
  <c r="AO886" i="7" s="1"/>
  <c r="AK887" i="7" s="1"/>
  <c r="B888" i="7" s="1"/>
  <c r="E10" i="7" s="1"/>
  <c r="AK278" i="12"/>
  <c r="AL278" i="12" s="1"/>
  <c r="AP938" i="8"/>
  <c r="AN939" i="8" s="1"/>
  <c r="AP939" i="8" s="1"/>
  <c r="AN940" i="8" s="1"/>
  <c r="AP940" i="8" s="1"/>
  <c r="AN941" i="8" s="1"/>
  <c r="AP941" i="8" s="1"/>
  <c r="AK942" i="8" s="1"/>
  <c r="B943" i="8" s="1"/>
  <c r="B15" i="8" s="1"/>
  <c r="AQ277" i="8"/>
  <c r="AM277" i="8"/>
  <c r="AK938" i="7"/>
  <c r="AM220" i="7"/>
  <c r="AO220" i="7" s="1"/>
  <c r="AK440" i="7"/>
  <c r="AL440" i="7" s="1"/>
  <c r="AN277" i="7"/>
  <c r="AP277" i="7" s="1"/>
  <c r="AQ277" i="7"/>
  <c r="AQ223" i="12"/>
  <c r="AQ224" i="12" s="1"/>
  <c r="AQ225" i="12" s="1"/>
  <c r="AQ226" i="12" s="1"/>
  <c r="AN223" i="12"/>
  <c r="AP223" i="12" s="1"/>
  <c r="AN224" i="12" s="1"/>
  <c r="AP224" i="12" s="1"/>
  <c r="AN225" i="12" s="1"/>
  <c r="AP225" i="12" s="1"/>
  <c r="AN226" i="12" s="1"/>
  <c r="AP226" i="12" s="1"/>
  <c r="AP386" i="8"/>
  <c r="AM1103" i="8"/>
  <c r="AO1103" i="8" s="1"/>
  <c r="AM1104" i="8" s="1"/>
  <c r="AO1104" i="8" s="1"/>
  <c r="AM1105" i="8" s="1"/>
  <c r="AO1105" i="8" s="1"/>
  <c r="AM1106" i="8" s="1"/>
  <c r="AO1106" i="8" s="1"/>
  <c r="AQ1103" i="8"/>
  <c r="AQ1104" i="8" s="1"/>
  <c r="AQ1105" i="8" s="1"/>
  <c r="AQ1106" i="8" s="1"/>
  <c r="AM330" i="12"/>
  <c r="B18" i="8"/>
  <c r="C40" i="7"/>
  <c r="B40" i="7"/>
  <c r="B10" i="7"/>
  <c r="AQ549" i="7"/>
  <c r="AN549" i="7"/>
  <c r="AP549" i="7" s="1"/>
  <c r="AP991" i="8"/>
  <c r="AN277" i="8"/>
  <c r="AO937" i="7"/>
  <c r="AO277" i="8" l="1"/>
  <c r="AN278" i="12"/>
  <c r="AQ278" i="12"/>
  <c r="AQ279" i="12" s="1"/>
  <c r="AQ280" i="12" s="1"/>
  <c r="AQ281" i="12" s="1"/>
  <c r="AO330" i="12"/>
  <c r="AO869" i="8"/>
  <c r="AP277" i="8"/>
  <c r="AK992" i="8"/>
  <c r="AL992" i="8" s="1"/>
  <c r="AN992" i="8" s="1"/>
  <c r="AK278" i="7"/>
  <c r="AK331" i="7"/>
  <c r="AL331" i="7" s="1"/>
  <c r="AN331" i="7" s="1"/>
  <c r="AM440" i="7"/>
  <c r="AQ440" i="7"/>
  <c r="AN440" i="7"/>
  <c r="AP440" i="7" s="1"/>
  <c r="AM278" i="12"/>
  <c r="AO278" i="12" s="1"/>
  <c r="AM279" i="12" s="1"/>
  <c r="AO279" i="12" s="1"/>
  <c r="AM280" i="12" s="1"/>
  <c r="AO280" i="12" s="1"/>
  <c r="AM281" i="12" s="1"/>
  <c r="AO281" i="12" s="1"/>
  <c r="AK278" i="8"/>
  <c r="AL278" i="8" s="1"/>
  <c r="AQ278" i="8" s="1"/>
  <c r="AQ279" i="8" s="1"/>
  <c r="AQ280" i="8" s="1"/>
  <c r="AQ281" i="8" s="1"/>
  <c r="AK819" i="8"/>
  <c r="AL819" i="8" s="1"/>
  <c r="AN819" i="8" s="1"/>
  <c r="AK387" i="8"/>
  <c r="AL387" i="8" s="1"/>
  <c r="AN387" i="8" s="1"/>
  <c r="AP869" i="8"/>
  <c r="AK498" i="7"/>
  <c r="AL498" i="7" s="1"/>
  <c r="AN498" i="7" s="1"/>
  <c r="AP330" i="12"/>
  <c r="AP220" i="7"/>
  <c r="AP1103" i="8"/>
  <c r="AN1104" i="8" s="1"/>
  <c r="AP1104" i="8" s="1"/>
  <c r="AN1105" i="8" s="1"/>
  <c r="AP1105" i="8" s="1"/>
  <c r="AN1106" i="8" s="1"/>
  <c r="AP1106" i="8" s="1"/>
  <c r="AK1107" i="8" s="1"/>
  <c r="B1108" i="8" s="1"/>
  <c r="C16" i="8" s="1"/>
  <c r="D16" i="8" s="1"/>
  <c r="E16" i="8" s="1"/>
  <c r="AO608" i="7"/>
  <c r="AM609" i="7" s="1"/>
  <c r="AO609" i="7" s="1"/>
  <c r="AM610" i="7" s="1"/>
  <c r="AO610" i="7" s="1"/>
  <c r="AM611" i="7" s="1"/>
  <c r="AO611" i="7" s="1"/>
  <c r="AK612" i="7" s="1"/>
  <c r="B613" i="7" s="1"/>
  <c r="AK550" i="7"/>
  <c r="AN166" i="8"/>
  <c r="AP166" i="8" s="1"/>
  <c r="AQ166" i="8"/>
  <c r="AP551" i="8"/>
  <c r="AK822" i="7"/>
  <c r="AL822" i="7" s="1"/>
  <c r="AN822" i="7" s="1"/>
  <c r="AO277" i="7"/>
  <c r="AO549" i="7"/>
  <c r="AL938" i="7"/>
  <c r="AK496" i="8"/>
  <c r="AL496" i="8" s="1"/>
  <c r="AP167" i="7"/>
  <c r="AQ496" i="8" l="1"/>
  <c r="AM496" i="8"/>
  <c r="AN938" i="7"/>
  <c r="AQ938" i="7"/>
  <c r="AQ939" i="7" s="1"/>
  <c r="AQ940" i="7" s="1"/>
  <c r="AQ941" i="7" s="1"/>
  <c r="AM331" i="7"/>
  <c r="AO331" i="7" s="1"/>
  <c r="AQ331" i="7"/>
  <c r="AL550" i="7"/>
  <c r="AL278" i="7"/>
  <c r="AK552" i="8"/>
  <c r="AL552" i="8" s="1"/>
  <c r="AK331" i="12"/>
  <c r="AL331" i="12" s="1"/>
  <c r="AN278" i="8"/>
  <c r="AK168" i="7"/>
  <c r="AL168" i="7" s="1"/>
  <c r="AK441" i="7"/>
  <c r="AN496" i="8"/>
  <c r="AP496" i="8" s="1"/>
  <c r="AK870" i="8"/>
  <c r="AL870" i="8" s="1"/>
  <c r="AN870" i="8" s="1"/>
  <c r="AP331" i="7"/>
  <c r="AM387" i="8"/>
  <c r="AO387" i="8" s="1"/>
  <c r="AQ387" i="8"/>
  <c r="B9" i="12"/>
  <c r="B17" i="7"/>
  <c r="E9" i="7"/>
  <c r="AQ822" i="7"/>
  <c r="AM822" i="7"/>
  <c r="AO822" i="7" s="1"/>
  <c r="AQ992" i="8"/>
  <c r="AM992" i="8"/>
  <c r="AO992" i="8" s="1"/>
  <c r="AK221" i="7"/>
  <c r="AL221" i="7" s="1"/>
  <c r="AN221" i="7" s="1"/>
  <c r="AP278" i="12"/>
  <c r="AN279" i="12" s="1"/>
  <c r="AP279" i="12" s="1"/>
  <c r="AN280" i="12" s="1"/>
  <c r="AP280" i="12" s="1"/>
  <c r="AN281" i="12" s="1"/>
  <c r="AP281" i="12" s="1"/>
  <c r="AK282" i="12" s="1"/>
  <c r="B283" i="12" s="1"/>
  <c r="C9" i="12" s="1"/>
  <c r="D9" i="12" s="1"/>
  <c r="E9" i="12" s="1"/>
  <c r="AQ498" i="7"/>
  <c r="AQ499" i="7" s="1"/>
  <c r="AQ500" i="7" s="1"/>
  <c r="AQ501" i="7" s="1"/>
  <c r="AM498" i="7"/>
  <c r="AO498" i="7" s="1"/>
  <c r="AM499" i="7" s="1"/>
  <c r="AO499" i="7" s="1"/>
  <c r="AM500" i="7" s="1"/>
  <c r="AO500" i="7" s="1"/>
  <c r="AM501" i="7" s="1"/>
  <c r="AO501" i="7" s="1"/>
  <c r="AO440" i="7"/>
  <c r="AP387" i="8"/>
  <c r="AM938" i="7"/>
  <c r="AO938" i="7" s="1"/>
  <c r="AM939" i="7" s="1"/>
  <c r="AO939" i="7" s="1"/>
  <c r="AM940" i="7" s="1"/>
  <c r="AO940" i="7" s="1"/>
  <c r="AM941" i="7" s="1"/>
  <c r="AO941" i="7" s="1"/>
  <c r="AM278" i="8"/>
  <c r="AQ819" i="8"/>
  <c r="AM819" i="8"/>
  <c r="AO819" i="8" s="1"/>
  <c r="AK167" i="8"/>
  <c r="AO166" i="8"/>
  <c r="AP819" i="8" l="1"/>
  <c r="AO278" i="8"/>
  <c r="AM279" i="8" s="1"/>
  <c r="AO279" i="8" s="1"/>
  <c r="AM280" i="8" s="1"/>
  <c r="AO280" i="8" s="1"/>
  <c r="AM281" i="8" s="1"/>
  <c r="AO281" i="8" s="1"/>
  <c r="AK820" i="8"/>
  <c r="AM331" i="12"/>
  <c r="AQ331" i="12"/>
  <c r="AQ552" i="8"/>
  <c r="AM552" i="8"/>
  <c r="AN278" i="7"/>
  <c r="AQ278" i="7"/>
  <c r="AQ279" i="7" s="1"/>
  <c r="AQ280" i="7" s="1"/>
  <c r="AQ281" i="7" s="1"/>
  <c r="AL441" i="7"/>
  <c r="AM278" i="7"/>
  <c r="AO278" i="7" s="1"/>
  <c r="AM279" i="7" s="1"/>
  <c r="AO279" i="7" s="1"/>
  <c r="AM280" i="7" s="1"/>
  <c r="AO280" i="7" s="1"/>
  <c r="AM281" i="7" s="1"/>
  <c r="AO281" i="7" s="1"/>
  <c r="AK332" i="7"/>
  <c r="AL332" i="7" s="1"/>
  <c r="AQ550" i="7"/>
  <c r="AN550" i="7"/>
  <c r="AK497" i="8"/>
  <c r="AP938" i="7"/>
  <c r="AN939" i="7" s="1"/>
  <c r="AP939" i="7" s="1"/>
  <c r="AN940" i="7" s="1"/>
  <c r="AP940" i="7" s="1"/>
  <c r="AN941" i="7" s="1"/>
  <c r="AP941" i="7" s="1"/>
  <c r="AK942" i="7" s="1"/>
  <c r="B943" i="7" s="1"/>
  <c r="F10" i="7" s="1"/>
  <c r="AO496" i="8"/>
  <c r="AM168" i="7"/>
  <c r="AQ168" i="7"/>
  <c r="AQ169" i="7" s="1"/>
  <c r="AQ170" i="7" s="1"/>
  <c r="AQ171" i="7" s="1"/>
  <c r="AP498" i="7"/>
  <c r="AN499" i="7" s="1"/>
  <c r="AP499" i="7" s="1"/>
  <c r="AN500" i="7" s="1"/>
  <c r="AP500" i="7" s="1"/>
  <c r="AN501" i="7" s="1"/>
  <c r="AP501" i="7" s="1"/>
  <c r="AN552" i="8"/>
  <c r="AK388" i="8"/>
  <c r="AL388" i="8"/>
  <c r="AN388" i="8" s="1"/>
  <c r="AM550" i="7"/>
  <c r="AQ221" i="7"/>
  <c r="AM221" i="7"/>
  <c r="AO221" i="7" s="1"/>
  <c r="AL820" i="8"/>
  <c r="AN820" i="8" s="1"/>
  <c r="AP278" i="8"/>
  <c r="AN279" i="8" s="1"/>
  <c r="AP279" i="8" s="1"/>
  <c r="AN280" i="8" s="1"/>
  <c r="AP280" i="8" s="1"/>
  <c r="AN281" i="8" s="1"/>
  <c r="AP281" i="8" s="1"/>
  <c r="AK282" i="8" s="1"/>
  <c r="B283" i="8" s="1"/>
  <c r="B9" i="8" s="1"/>
  <c r="D9" i="8" s="1"/>
  <c r="AP992" i="8"/>
  <c r="AK502" i="7"/>
  <c r="B503" i="7" s="1"/>
  <c r="AQ870" i="8"/>
  <c r="AM870" i="8"/>
  <c r="AO870" i="8" s="1"/>
  <c r="AL167" i="8"/>
  <c r="AN168" i="7"/>
  <c r="AP168" i="7" s="1"/>
  <c r="AN169" i="7" s="1"/>
  <c r="AP169" i="7" s="1"/>
  <c r="AN170" i="7" s="1"/>
  <c r="AP170" i="7" s="1"/>
  <c r="AN171" i="7" s="1"/>
  <c r="AP171" i="7" s="1"/>
  <c r="AN331" i="12"/>
  <c r="AP822" i="7"/>
  <c r="AP331" i="12" l="1"/>
  <c r="AO550" i="7"/>
  <c r="AP552" i="8"/>
  <c r="AM332" i="7"/>
  <c r="AQ332" i="7"/>
  <c r="AN332" i="7"/>
  <c r="AP332" i="7" s="1"/>
  <c r="B7" i="12"/>
  <c r="D7" i="12" s="1"/>
  <c r="E7" i="12" s="1"/>
  <c r="C9" i="7"/>
  <c r="B15" i="7"/>
  <c r="AM388" i="8"/>
  <c r="AO388" i="8" s="1"/>
  <c r="AM389" i="8" s="1"/>
  <c r="AO389" i="8" s="1"/>
  <c r="AM390" i="8" s="1"/>
  <c r="AO390" i="8" s="1"/>
  <c r="AM391" i="8" s="1"/>
  <c r="AO391" i="8" s="1"/>
  <c r="E9" i="8"/>
  <c r="AQ388" i="8"/>
  <c r="AQ389" i="8" s="1"/>
  <c r="AQ390" i="8" s="1"/>
  <c r="AQ391" i="8" s="1"/>
  <c r="AK823" i="7"/>
  <c r="AL823" i="7" s="1"/>
  <c r="AN823" i="7" s="1"/>
  <c r="AK332" i="12"/>
  <c r="AP278" i="7"/>
  <c r="AN279" i="7" s="1"/>
  <c r="AP279" i="7" s="1"/>
  <c r="AN280" i="7" s="1"/>
  <c r="AP280" i="7" s="1"/>
  <c r="AN281" i="7" s="1"/>
  <c r="AP281" i="7" s="1"/>
  <c r="AK282" i="7" s="1"/>
  <c r="B283" i="7" s="1"/>
  <c r="AL497" i="8"/>
  <c r="AM497" i="8" s="1"/>
  <c r="AN167" i="8"/>
  <c r="AQ167" i="8"/>
  <c r="AP221" i="7"/>
  <c r="AK993" i="8"/>
  <c r="AL993" i="8" s="1"/>
  <c r="AN441" i="7"/>
  <c r="AQ441" i="7"/>
  <c r="AM441" i="7"/>
  <c r="AO441" i="7" s="1"/>
  <c r="AK553" i="8"/>
  <c r="AO552" i="8"/>
  <c r="AQ820" i="8"/>
  <c r="AM820" i="8"/>
  <c r="AO820" i="8" s="1"/>
  <c r="AO168" i="7"/>
  <c r="AM169" i="7" s="1"/>
  <c r="AO169" i="7" s="1"/>
  <c r="AM170" i="7" s="1"/>
  <c r="AO170" i="7" s="1"/>
  <c r="AM171" i="7" s="1"/>
  <c r="AO171" i="7" s="1"/>
  <c r="AK172" i="7" s="1"/>
  <c r="B173" i="7" s="1"/>
  <c r="AO331" i="12"/>
  <c r="AM167" i="8"/>
  <c r="AO167" i="8" s="1"/>
  <c r="AP550" i="7"/>
  <c r="AP870" i="8"/>
  <c r="C17" i="8" l="1"/>
  <c r="D8" i="7"/>
  <c r="B17" i="8"/>
  <c r="D17" i="8" s="1"/>
  <c r="B8" i="7"/>
  <c r="C43" i="7"/>
  <c r="B43" i="7"/>
  <c r="AP167" i="8"/>
  <c r="AL553" i="8"/>
  <c r="AK333" i="7"/>
  <c r="AQ993" i="8"/>
  <c r="AQ994" i="8" s="1"/>
  <c r="AQ995" i="8" s="1"/>
  <c r="AQ996" i="8" s="1"/>
  <c r="AM993" i="8"/>
  <c r="AO332" i="7"/>
  <c r="AK551" i="7"/>
  <c r="AL551" i="7" s="1"/>
  <c r="AL332" i="12"/>
  <c r="AK222" i="7"/>
  <c r="AL222" i="7" s="1"/>
  <c r="AN497" i="8"/>
  <c r="AP497" i="8" s="1"/>
  <c r="AQ497" i="8"/>
  <c r="AP388" i="8"/>
  <c r="AN389" i="8" s="1"/>
  <c r="AP389" i="8" s="1"/>
  <c r="AN390" i="8" s="1"/>
  <c r="AP390" i="8" s="1"/>
  <c r="AN391" i="8" s="1"/>
  <c r="AP391" i="8" s="1"/>
  <c r="AK392" i="8" s="1"/>
  <c r="B393" i="8" s="1"/>
  <c r="B10" i="8" s="1"/>
  <c r="D10" i="8" s="1"/>
  <c r="AP441" i="7"/>
  <c r="AK871" i="8"/>
  <c r="AL871" i="8" s="1"/>
  <c r="AN871" i="8" s="1"/>
  <c r="AN993" i="8"/>
  <c r="AQ823" i="7"/>
  <c r="AM823" i="7"/>
  <c r="AO823" i="7" s="1"/>
  <c r="AP820" i="8"/>
  <c r="AP993" i="8" l="1"/>
  <c r="AN994" i="8" s="1"/>
  <c r="AP994" i="8" s="1"/>
  <c r="AN995" i="8" s="1"/>
  <c r="AP995" i="8" s="1"/>
  <c r="AN996" i="8" s="1"/>
  <c r="AP996" i="8" s="1"/>
  <c r="AQ222" i="7"/>
  <c r="AM222" i="7"/>
  <c r="AQ553" i="8"/>
  <c r="AQ554" i="8" s="1"/>
  <c r="AQ555" i="8" s="1"/>
  <c r="AQ556" i="8" s="1"/>
  <c r="AN553" i="8"/>
  <c r="AK168" i="8"/>
  <c r="AL168" i="8" s="1"/>
  <c r="AN168" i="8" s="1"/>
  <c r="AN332" i="12"/>
  <c r="AQ332" i="12"/>
  <c r="AM332" i="12"/>
  <c r="AO332" i="12" s="1"/>
  <c r="E17" i="8"/>
  <c r="AM551" i="7"/>
  <c r="AQ551" i="7"/>
  <c r="AO993" i="8"/>
  <c r="AM994" i="8" s="1"/>
  <c r="AO994" i="8" s="1"/>
  <c r="AM995" i="8" s="1"/>
  <c r="AO995" i="8" s="1"/>
  <c r="AM996" i="8" s="1"/>
  <c r="AO996" i="8" s="1"/>
  <c r="AK997" i="8" s="1"/>
  <c r="B998" i="8" s="1"/>
  <c r="C15" i="8" s="1"/>
  <c r="D15" i="8" s="1"/>
  <c r="E15" i="8" s="1"/>
  <c r="AK498" i="8"/>
  <c r="AK821" i="8"/>
  <c r="AL821" i="8" s="1"/>
  <c r="AN821" i="8" s="1"/>
  <c r="E10" i="8"/>
  <c r="AO497" i="8"/>
  <c r="AM553" i="8"/>
  <c r="AN222" i="7"/>
  <c r="AP222" i="7" s="1"/>
  <c r="AM871" i="8"/>
  <c r="AO871" i="8" s="1"/>
  <c r="AQ871" i="8"/>
  <c r="AN551" i="7"/>
  <c r="AL333" i="7"/>
  <c r="AM333" i="7" s="1"/>
  <c r="AK442" i="7"/>
  <c r="AL442" i="7" s="1"/>
  <c r="AP823" i="7"/>
  <c r="AP551" i="7" l="1"/>
  <c r="AO553" i="8"/>
  <c r="AM554" i="8" s="1"/>
  <c r="AO554" i="8" s="1"/>
  <c r="AM555" i="8" s="1"/>
  <c r="AO555" i="8" s="1"/>
  <c r="AM556" i="8" s="1"/>
  <c r="AO556" i="8" s="1"/>
  <c r="AL498" i="8"/>
  <c r="AP553" i="8"/>
  <c r="AN554" i="8" s="1"/>
  <c r="AP554" i="8" s="1"/>
  <c r="AN555" i="8" s="1"/>
  <c r="AP555" i="8" s="1"/>
  <c r="AN556" i="8" s="1"/>
  <c r="AP556" i="8" s="1"/>
  <c r="AK557" i="8" s="1"/>
  <c r="B558" i="8" s="1"/>
  <c r="C11" i="8" s="1"/>
  <c r="AK824" i="7"/>
  <c r="AL824" i="7" s="1"/>
  <c r="AN824" i="7" s="1"/>
  <c r="AK223" i="7"/>
  <c r="AP332" i="12"/>
  <c r="AM442" i="7"/>
  <c r="AQ442" i="7"/>
  <c r="AO222" i="7"/>
  <c r="AO551" i="7"/>
  <c r="AM168" i="8"/>
  <c r="AO168" i="8" s="1"/>
  <c r="AM169" i="8" s="1"/>
  <c r="AO169" i="8" s="1"/>
  <c r="AM170" i="8" s="1"/>
  <c r="AO170" i="8" s="1"/>
  <c r="AM171" i="8" s="1"/>
  <c r="AO171" i="8" s="1"/>
  <c r="AQ168" i="8"/>
  <c r="AQ169" i="8" s="1"/>
  <c r="AQ170" i="8" s="1"/>
  <c r="AQ171" i="8" s="1"/>
  <c r="AQ821" i="8"/>
  <c r="AM821" i="8"/>
  <c r="AO821" i="8" s="1"/>
  <c r="AN442" i="7"/>
  <c r="AK552" i="7"/>
  <c r="AN333" i="7"/>
  <c r="AP333" i="7" s="1"/>
  <c r="AN334" i="7" s="1"/>
  <c r="AP334" i="7" s="1"/>
  <c r="AN335" i="7" s="1"/>
  <c r="AP335" i="7" s="1"/>
  <c r="AN336" i="7" s="1"/>
  <c r="AP336" i="7" s="1"/>
  <c r="AQ333" i="7"/>
  <c r="AQ334" i="7" s="1"/>
  <c r="AQ335" i="7" s="1"/>
  <c r="AQ336" i="7" s="1"/>
  <c r="AP871" i="8"/>
  <c r="AO442" i="7" l="1"/>
  <c r="AN498" i="8"/>
  <c r="AQ498" i="8"/>
  <c r="AQ499" i="8" s="1"/>
  <c r="AQ500" i="8" s="1"/>
  <c r="AQ501" i="8" s="1"/>
  <c r="AM498" i="8"/>
  <c r="AO498" i="8" s="1"/>
  <c r="AM499" i="8" s="1"/>
  <c r="AO499" i="8" s="1"/>
  <c r="AM500" i="8" s="1"/>
  <c r="AO500" i="8" s="1"/>
  <c r="AM501" i="8" s="1"/>
  <c r="AO501" i="8" s="1"/>
  <c r="AL223" i="7"/>
  <c r="AM223" i="7" s="1"/>
  <c r="AL552" i="7"/>
  <c r="AP442" i="7"/>
  <c r="AK872" i="8"/>
  <c r="AL872" i="8" s="1"/>
  <c r="AN872" i="8" s="1"/>
  <c r="AP168" i="8"/>
  <c r="AN169" i="8" s="1"/>
  <c r="AP169" i="8" s="1"/>
  <c r="AN170" i="8" s="1"/>
  <c r="AP170" i="8" s="1"/>
  <c r="AN171" i="8" s="1"/>
  <c r="AP171" i="8" s="1"/>
  <c r="AK172" i="8" s="1"/>
  <c r="B173" i="8" s="1"/>
  <c r="B8" i="8" s="1"/>
  <c r="D8" i="8" s="1"/>
  <c r="AK333" i="12"/>
  <c r="AL333" i="12" s="1"/>
  <c r="AQ824" i="7"/>
  <c r="AM824" i="7"/>
  <c r="AO824" i="7" s="1"/>
  <c r="AO333" i="7"/>
  <c r="AM334" i="7" s="1"/>
  <c r="AO334" i="7" s="1"/>
  <c r="AM335" i="7" s="1"/>
  <c r="AO335" i="7" s="1"/>
  <c r="AM336" i="7" s="1"/>
  <c r="AO336" i="7" s="1"/>
  <c r="AK337" i="7" s="1"/>
  <c r="B338" i="7" s="1"/>
  <c r="E8" i="7" s="1"/>
  <c r="AP821" i="8"/>
  <c r="AQ552" i="7" l="1"/>
  <c r="AN552" i="7"/>
  <c r="E8" i="8"/>
  <c r="AK822" i="8"/>
  <c r="AL822" i="8" s="1"/>
  <c r="AN822" i="8" s="1"/>
  <c r="AQ333" i="12"/>
  <c r="AQ334" i="12" s="1"/>
  <c r="AQ335" i="12" s="1"/>
  <c r="AQ336" i="12" s="1"/>
  <c r="AM333" i="12"/>
  <c r="AN333" i="12"/>
  <c r="AP333" i="12" s="1"/>
  <c r="AN334" i="12" s="1"/>
  <c r="AP334" i="12" s="1"/>
  <c r="AN335" i="12" s="1"/>
  <c r="AP335" i="12" s="1"/>
  <c r="AN336" i="12" s="1"/>
  <c r="AP336" i="12" s="1"/>
  <c r="AK443" i="7"/>
  <c r="AL443" i="7" s="1"/>
  <c r="AN223" i="7"/>
  <c r="AP223" i="7" s="1"/>
  <c r="AN224" i="7" s="1"/>
  <c r="AP224" i="7" s="1"/>
  <c r="AN225" i="7" s="1"/>
  <c r="AP225" i="7" s="1"/>
  <c r="AN226" i="7" s="1"/>
  <c r="AP226" i="7" s="1"/>
  <c r="AQ223" i="7"/>
  <c r="AQ224" i="7" s="1"/>
  <c r="AQ225" i="7" s="1"/>
  <c r="AQ226" i="7" s="1"/>
  <c r="AM552" i="7"/>
  <c r="AO552" i="7" s="1"/>
  <c r="AP498" i="8"/>
  <c r="AN499" i="8" s="1"/>
  <c r="AP499" i="8" s="1"/>
  <c r="AN500" i="8" s="1"/>
  <c r="AP500" i="8" s="1"/>
  <c r="AN501" i="8" s="1"/>
  <c r="AP501" i="8" s="1"/>
  <c r="AK502" i="8" s="1"/>
  <c r="B503" i="8" s="1"/>
  <c r="B11" i="8" s="1"/>
  <c r="D11" i="8" s="1"/>
  <c r="E11" i="8" s="1"/>
  <c r="AM872" i="8"/>
  <c r="AO872" i="8" s="1"/>
  <c r="AQ872" i="8"/>
  <c r="AP824" i="7"/>
  <c r="AP872" i="8" l="1"/>
  <c r="AO333" i="12"/>
  <c r="AM334" i="12" s="1"/>
  <c r="AO334" i="12" s="1"/>
  <c r="AM335" i="12" s="1"/>
  <c r="AO335" i="12" s="1"/>
  <c r="AM336" i="12" s="1"/>
  <c r="AO336" i="12" s="1"/>
  <c r="AK337" i="12" s="1"/>
  <c r="B338" i="12" s="1"/>
  <c r="C10" i="12" s="1"/>
  <c r="D10" i="12" s="1"/>
  <c r="E10" i="12" s="1"/>
  <c r="AK873" i="8"/>
  <c r="AK825" i="7"/>
  <c r="AL825" i="7" s="1"/>
  <c r="AN825" i="7" s="1"/>
  <c r="AL873" i="8"/>
  <c r="AQ873" i="8" s="1"/>
  <c r="AP552" i="7"/>
  <c r="AM443" i="7"/>
  <c r="AQ443" i="7"/>
  <c r="AQ444" i="7" s="1"/>
  <c r="AQ445" i="7" s="1"/>
  <c r="AQ446" i="7" s="1"/>
  <c r="AN443" i="7"/>
  <c r="AP443" i="7" s="1"/>
  <c r="AN444" i="7" s="1"/>
  <c r="AP444" i="7" s="1"/>
  <c r="AN445" i="7" s="1"/>
  <c r="AP445" i="7" s="1"/>
  <c r="AN446" i="7" s="1"/>
  <c r="AP446" i="7" s="1"/>
  <c r="AQ822" i="8"/>
  <c r="AM822" i="8"/>
  <c r="AO822" i="8" s="1"/>
  <c r="AO223" i="7"/>
  <c r="AM224" i="7" s="1"/>
  <c r="AO224" i="7" s="1"/>
  <c r="AM225" i="7" s="1"/>
  <c r="AO225" i="7" s="1"/>
  <c r="AM226" i="7" s="1"/>
  <c r="AO226" i="7" s="1"/>
  <c r="AK227" i="7" s="1"/>
  <c r="B228" i="7" s="1"/>
  <c r="C8" i="7" s="1"/>
  <c r="AM873" i="8" l="1"/>
  <c r="AN873" i="8"/>
  <c r="AO443" i="7"/>
  <c r="AM444" i="7" s="1"/>
  <c r="AO444" i="7" s="1"/>
  <c r="AM445" i="7" s="1"/>
  <c r="AO445" i="7" s="1"/>
  <c r="AM446" i="7" s="1"/>
  <c r="AO446" i="7" s="1"/>
  <c r="AK447" i="7" s="1"/>
  <c r="B448" i="7" s="1"/>
  <c r="AM825" i="7"/>
  <c r="AO825" i="7" s="1"/>
  <c r="AQ825" i="7"/>
  <c r="AK553" i="7"/>
  <c r="AL553" i="7" s="1"/>
  <c r="AP822" i="8"/>
  <c r="AO873" i="8" l="1"/>
  <c r="AK823" i="8"/>
  <c r="AL823" i="8" s="1"/>
  <c r="B40" i="13"/>
  <c r="B15" i="13"/>
  <c r="B7" i="8"/>
  <c r="B14" i="7"/>
  <c r="B31" i="7"/>
  <c r="B33" i="7" s="1"/>
  <c r="C18" i="7"/>
  <c r="D18" i="7" s="1"/>
  <c r="C17" i="7"/>
  <c r="D17" i="7" s="1"/>
  <c r="B9" i="7"/>
  <c r="C15" i="7"/>
  <c r="D15" i="7" s="1"/>
  <c r="AQ553" i="7"/>
  <c r="AQ554" i="7" s="1"/>
  <c r="AQ555" i="7" s="1"/>
  <c r="AQ556" i="7" s="1"/>
  <c r="AM553" i="7"/>
  <c r="AN553" i="7"/>
  <c r="AP873" i="8"/>
  <c r="AP825" i="7"/>
  <c r="AP553" i="7" l="1"/>
  <c r="AN554" i="7" s="1"/>
  <c r="AP554" i="7" s="1"/>
  <c r="AN555" i="7" s="1"/>
  <c r="AP555" i="7" s="1"/>
  <c r="AN556" i="7" s="1"/>
  <c r="AP556" i="7" s="1"/>
  <c r="AK826" i="7"/>
  <c r="AL826" i="7" s="1"/>
  <c r="AK874" i="8"/>
  <c r="AL874" i="8" s="1"/>
  <c r="AN874" i="8" s="1"/>
  <c r="AO553" i="7"/>
  <c r="AM554" i="7" s="1"/>
  <c r="AO554" i="7" s="1"/>
  <c r="AM555" i="7" s="1"/>
  <c r="AO555" i="7" s="1"/>
  <c r="AM556" i="7" s="1"/>
  <c r="AO556" i="7" s="1"/>
  <c r="AK557" i="7" s="1"/>
  <c r="B558" i="7" s="1"/>
  <c r="AM823" i="8"/>
  <c r="AQ823" i="8"/>
  <c r="B19" i="13"/>
  <c r="B39" i="7"/>
  <c r="C33" i="7"/>
  <c r="AN823" i="8"/>
  <c r="AP823" i="8" s="1"/>
  <c r="B16" i="13" l="1"/>
  <c r="B8" i="12"/>
  <c r="D8" i="12" s="1"/>
  <c r="C7" i="8"/>
  <c r="D7" i="8" s="1"/>
  <c r="D9" i="7"/>
  <c r="B16" i="7"/>
  <c r="B17" i="13"/>
  <c r="B18" i="13" s="1"/>
  <c r="B34" i="7"/>
  <c r="B35" i="7" s="1"/>
  <c r="C16" i="7"/>
  <c r="D16" i="7" s="1"/>
  <c r="AK824" i="8"/>
  <c r="AO823" i="8"/>
  <c r="AM826" i="7"/>
  <c r="AQ826" i="7"/>
  <c r="AQ874" i="8"/>
  <c r="AM874" i="8"/>
  <c r="AO874" i="8" s="1"/>
  <c r="AN826" i="7"/>
  <c r="AO826" i="7" l="1"/>
  <c r="AL824" i="8"/>
  <c r="AM824" i="8" s="1"/>
  <c r="E8" i="12"/>
  <c r="B12" i="12"/>
  <c r="B31" i="13" s="1"/>
  <c r="AP826" i="7"/>
  <c r="E7" i="8"/>
  <c r="C23" i="8"/>
  <c r="B24" i="8"/>
  <c r="B23" i="8"/>
  <c r="AP874" i="8"/>
  <c r="AK827" i="7" l="1"/>
  <c r="AL827" i="7" s="1"/>
  <c r="AN827" i="7" s="1"/>
  <c r="AQ824" i="8"/>
  <c r="AN824" i="8"/>
  <c r="AP824" i="8" s="1"/>
  <c r="AK875" i="8"/>
  <c r="AL875" i="8" s="1"/>
  <c r="AK825" i="8" l="1"/>
  <c r="AM875" i="8"/>
  <c r="AQ875" i="8"/>
  <c r="AN875" i="8"/>
  <c r="AM827" i="7"/>
  <c r="AO827" i="7" s="1"/>
  <c r="AQ827" i="7"/>
  <c r="AO824" i="8"/>
  <c r="AP875" i="8" l="1"/>
  <c r="AK876" i="8"/>
  <c r="AL825" i="8"/>
  <c r="AO875" i="8"/>
  <c r="AP827" i="7"/>
  <c r="AK828" i="7" l="1"/>
  <c r="AL828" i="7" s="1"/>
  <c r="AL876" i="8"/>
  <c r="AN825" i="8"/>
  <c r="AQ825" i="8"/>
  <c r="AM825" i="8"/>
  <c r="AO825" i="8" s="1"/>
  <c r="AQ876" i="8" l="1"/>
  <c r="AN876" i="8"/>
  <c r="AM876" i="8"/>
  <c r="AO876" i="8" s="1"/>
  <c r="AP825" i="8"/>
  <c r="AQ828" i="7"/>
  <c r="AQ829" i="7" s="1"/>
  <c r="AQ830" i="7" s="1"/>
  <c r="AQ831" i="7" s="1"/>
  <c r="AM828" i="7"/>
  <c r="AN828" i="7"/>
  <c r="AP828" i="7" s="1"/>
  <c r="AN829" i="7" s="1"/>
  <c r="AP829" i="7" s="1"/>
  <c r="AN830" i="7" s="1"/>
  <c r="AP830" i="7" s="1"/>
  <c r="AN831" i="7" s="1"/>
  <c r="AP831" i="7" s="1"/>
  <c r="AP876" i="8" l="1"/>
  <c r="AO828" i="7"/>
  <c r="AM829" i="7" s="1"/>
  <c r="AO829" i="7" s="1"/>
  <c r="AM830" i="7" s="1"/>
  <c r="AO830" i="7" s="1"/>
  <c r="AM831" i="7" s="1"/>
  <c r="AO831" i="7" s="1"/>
  <c r="AK832" i="7" s="1"/>
  <c r="B833" i="7" s="1"/>
  <c r="AK826" i="8"/>
  <c r="AL826" i="8" s="1"/>
  <c r="AM826" i="8" l="1"/>
  <c r="AQ826" i="8"/>
  <c r="AN826" i="8"/>
  <c r="AK877" i="8"/>
  <c r="AL877" i="8" s="1"/>
  <c r="D10" i="7"/>
  <c r="C18" i="8"/>
  <c r="D18" i="8" s="1"/>
  <c r="B42" i="7"/>
  <c r="C42" i="7"/>
  <c r="AO826" i="8" l="1"/>
  <c r="AM877" i="8"/>
  <c r="AQ877" i="8"/>
  <c r="AP826" i="8"/>
  <c r="C24" i="8"/>
  <c r="E18" i="8"/>
  <c r="AN877" i="8"/>
  <c r="AO877" i="8" l="1"/>
  <c r="AP877" i="8"/>
  <c r="AK827" i="8"/>
  <c r="AL827" i="8" s="1"/>
  <c r="AQ827" i="8" l="1"/>
  <c r="AM827" i="8"/>
  <c r="AN827" i="8"/>
  <c r="AK878" i="8"/>
  <c r="AL878" i="8" s="1"/>
  <c r="AN878" i="8" s="1"/>
  <c r="AO827" i="8" l="1"/>
  <c r="AP827" i="8"/>
  <c r="AK828" i="8" s="1"/>
  <c r="AL828" i="8" s="1"/>
  <c r="AN828" i="8" s="1"/>
  <c r="AQ878" i="8"/>
  <c r="AM878" i="8"/>
  <c r="AO878" i="8" s="1"/>
  <c r="AQ828" i="8" l="1"/>
  <c r="AM828" i="8"/>
  <c r="AO828" i="8" s="1"/>
  <c r="AP878" i="8"/>
  <c r="AK879" i="8" l="1"/>
  <c r="AL879" i="8" s="1"/>
  <c r="AP828" i="8"/>
  <c r="AK829" i="8" l="1"/>
  <c r="AL829" i="8" s="1"/>
  <c r="AN829" i="8" s="1"/>
  <c r="AM879" i="8"/>
  <c r="AQ879" i="8"/>
  <c r="AN879" i="8"/>
  <c r="AP879" i="8" s="1"/>
  <c r="AO879" i="8" l="1"/>
  <c r="AL880" i="8" s="1"/>
  <c r="AQ880" i="8" s="1"/>
  <c r="AK880" i="8"/>
  <c r="AM829" i="8"/>
  <c r="AO829" i="8" s="1"/>
  <c r="AQ829" i="8"/>
  <c r="AP829" i="8" l="1"/>
  <c r="AN880" i="8"/>
  <c r="AM880" i="8"/>
  <c r="AO880" i="8" s="1"/>
  <c r="AK830" i="8"/>
  <c r="AL830" i="8" s="1"/>
  <c r="AM830" i="8" l="1"/>
  <c r="AN830" i="8"/>
  <c r="AQ830" i="8"/>
  <c r="AP880" i="8"/>
  <c r="AP830" i="8" l="1"/>
  <c r="AK881" i="8"/>
  <c r="AL881" i="8" s="1"/>
  <c r="AK831" i="8"/>
  <c r="AO830" i="8"/>
  <c r="AQ881" i="8" l="1"/>
  <c r="AM881" i="8"/>
  <c r="AL831" i="8"/>
  <c r="AN881" i="8"/>
  <c r="AP881" i="8" s="1"/>
  <c r="AK882" i="8" l="1"/>
  <c r="AQ831" i="8"/>
  <c r="AN831" i="8"/>
  <c r="AM831" i="8"/>
  <c r="AO831" i="8" s="1"/>
  <c r="AO881" i="8"/>
  <c r="AL882" i="8" l="1"/>
  <c r="AM882" i="8" s="1"/>
  <c r="AP831" i="8"/>
  <c r="AK832" i="8" s="1"/>
  <c r="B833" i="8" s="1"/>
  <c r="B14" i="8" s="1"/>
  <c r="AN882" i="8" l="1"/>
  <c r="AP882" i="8" s="1"/>
  <c r="AQ882" i="8"/>
  <c r="AK883" i="8" l="1"/>
  <c r="AO882" i="8"/>
  <c r="AL883" i="8" l="1"/>
  <c r="AQ883" i="8" l="1"/>
  <c r="AN883" i="8"/>
  <c r="AM883" i="8"/>
  <c r="AO883" i="8" s="1"/>
  <c r="AP883" i="8" l="1"/>
  <c r="AK884" i="8" l="1"/>
  <c r="AL884" i="8" s="1"/>
  <c r="AM884" i="8" l="1"/>
  <c r="AQ884" i="8"/>
  <c r="AN884" i="8"/>
  <c r="AP884" i="8" s="1"/>
  <c r="AK885" i="8" l="1"/>
  <c r="AO884" i="8"/>
  <c r="AL885" i="8" l="1"/>
  <c r="AQ885" i="8" l="1"/>
  <c r="AN885" i="8"/>
  <c r="AM885" i="8"/>
  <c r="AO885" i="8" s="1"/>
  <c r="AP885" i="8" l="1"/>
  <c r="AL886" i="8"/>
  <c r="AM886" i="8" s="1"/>
  <c r="AK886" i="8"/>
  <c r="AQ886" i="8" l="1"/>
  <c r="AN886" i="8"/>
  <c r="AP886" i="8" s="1"/>
  <c r="AO886" i="8" l="1"/>
  <c r="AK887" i="8" s="1"/>
  <c r="B888" i="8" s="1"/>
  <c r="C14" i="8" s="1"/>
  <c r="D14" i="8" s="1"/>
  <c r="E14" i="8" s="1"/>
  <c r="B22" i="8"/>
  <c r="B20" i="8"/>
  <c r="C20" i="8" l="1"/>
  <c r="B21" i="8"/>
  <c r="C21" i="8"/>
  <c r="B41" i="13" l="1"/>
</calcChain>
</file>

<file path=xl/sharedStrings.xml><?xml version="1.0" encoding="utf-8"?>
<sst xmlns="http://schemas.openxmlformats.org/spreadsheetml/2006/main" count="3308" uniqueCount="620">
  <si>
    <t>Marco FIRE — La strategia a secchi (caso Roberta, 2026)</t>
  </si>
  <si>
    <t>Strumento informativo / divulgativo. NON è consulenza finanziaria. I valori sono indicativi al 2026 e vanno verificati col tuo consulente.</t>
  </si>
  <si>
    <t>Indice</t>
  </si>
  <si>
    <t>1-Input</t>
  </si>
  <si>
    <t>I 18 input del caso, stato abitativo compreso</t>
  </si>
  <si>
    <t>P-Parametri</t>
  </si>
  <si>
    <t>Parametri normativi e di fonte, referenziati da tutti i fogli</t>
  </si>
  <si>
    <t>2-Caso</t>
  </si>
  <si>
    <t>Scheda-caso: accumulo, latente, ISTAT e affitti figurativi, tre scale</t>
  </si>
  <si>
    <t>3-Liquidita</t>
  </si>
  <si>
    <t>I sei strumenti del secchio 1, la copertura vera, il bollo</t>
  </si>
  <si>
    <t>4-Griglia</t>
  </si>
  <si>
    <t>Griglia madre: costo del secchio per orizzonte, taglia e strumento</t>
  </si>
  <si>
    <t>5-Roberta</t>
  </si>
  <si>
    <t>Il motore del caso: spesa massima sostenibile, costo, autonomia</t>
  </si>
  <si>
    <t>6-Banda</t>
  </si>
  <si>
    <t>Le dodici perturbazioni sul costo di due anni di secchio</t>
  </si>
  <si>
    <t>7-Refill</t>
  </si>
  <si>
    <t>Il refill anno per anno e la quota azionaria (rossa sopra l'80%)</t>
  </si>
  <si>
    <t>8-Kitces</t>
  </si>
  <si>
    <t>L'identita' di Kitces con la convenzione del prelievo come input</t>
  </si>
  <si>
    <t>9-ETF-unico</t>
  </si>
  <si>
    <t>Tre sacche separate contro un ETF multi-asset, coi termini negativi</t>
  </si>
  <si>
    <t>10-Benz</t>
  </si>
  <si>
    <t>La regola di Benz: secchio sulla spesa o sul fabbisogno netto</t>
  </si>
  <si>
    <t>11-Verifica</t>
  </si>
  <si>
    <t>Cruscotto, controlli e lista degli anti-residui</t>
  </si>
  <si>
    <t>Come usare</t>
  </si>
  <si>
    <t>1. Le celle GIALLE sono input — modificale coi tuoi numeri.</t>
  </si>
  <si>
    <t>2. Le celle VERDI sono output — si aggiornano automaticamente.</t>
  </si>
  <si>
    <t>3. Tutti i numeri di default sono al 2026 da fonti pubbliche.</t>
  </si>
  <si>
    <t>4. Niente codice nascosto: l'Excel è solo formule modificabili.</t>
  </si>
  <si>
    <t>Fonti dati</t>
  </si>
  <si>
    <t>• Banca d'Italia, «Banche e moneta: serie nazionali», tav. 2.7 (MIR0700), giugno 2026 — depositi con durata prestabilita delle famiglie</t>
  </si>
  <si>
    <t>• MEF, Dipartimento del Tesoro — «Risultati Asta: BOT 12 MESI» del 09/09/2026, ISIN IT0005730681, durata 365 gg, emissione 14/9/2026, scadenza 14/9/2027 (prezzo medio ponderato e prezzo fiscale 97,080; rendimento medio ponderato 2,967%; rendimento lordo composto 2,966%; base annua 360 gg). Gate di produzione CHIUSO il 9 settembre 2026</t>
  </si>
  <si>
    <t>• Borsa Italiana — MOT, prezzi del 9/9/2026 dei quattro BTP del paniere di canale: IT0003535157 (5,00% 1/8/2034) 106,58; IT0003256820 (5,75% 1/2/2033) 110,69; IT0001444378 (6,00% 1/5/2031) 110,19; IT0005595803 (3,45% 15/7/2031) 99,16. YTM medio 3,81%. Gate di produzione CHIUSO il 9 settembre 2026</t>
  </si>
  <si>
    <t>• BCE — €STR del 7 settembre 2026, 2,188%</t>
  </si>
  <si>
    <t>• ISTAT, «Le spese per i consumi delle famiglie — Anno 2024», comunicato del 7/10/2025</t>
  </si>
  <si>
    <t>• Bollo: art. 9 commi 3 e 4 della Tariffa, Parte I, Allegato 3 al D.Lgs. 1/8/2025 n. 123 (GU n. 186 del 12/08/2025, S.O. 29/L), in applicazione dal 1° gennaio 2026</t>
  </si>
  <si>
    <t>• Capital gain 26% e titoli di Stato 12,5% — regime vigente nel 2026</t>
  </si>
  <si>
    <t>• Rendimenti attesi — DMS Global Investment Returns Yearbook; canone del canale 3% reale su 60/40, inflazione 2%</t>
  </si>
  <si>
    <t>• Michael Kitces — «Understanding The Bucket Strategy» e il pensionato del 1966</t>
  </si>
  <si>
    <t>• Javier Estrada (IESE, 2019) — 21 paesi, 115 anni, 86 finestre trentennali</t>
  </si>
  <si>
    <t>• Pfeiffer, Salter, Evensky — il secchio da un anno e le commissioni evitate</t>
  </si>
  <si>
    <t>Aggiornamenti: github.com/marcofire-it/marco-fire-simulatori</t>
  </si>
  <si>
    <t>Gli input del caso — cambia una cella gialla e tutti i verdi si muovono</t>
  </si>
  <si>
    <t>INPUT DEL CASO</t>
  </si>
  <si>
    <t>(1) Anno di nascita di Roberta</t>
  </si>
  <si>
    <t>(2) Eta' oggi (2026)</t>
  </si>
  <si>
    <t>(3) Accumulo — primo anno / ultimo anno</t>
  </si>
  <si>
    <t>(4) Versamento annuo, euro reali costanti</t>
  </si>
  <si>
    <t>(5) Vendita dell'appartamento — netto incassato / anno</t>
  </si>
  <si>
    <t>(6) Spesa netta annua, DI CASSA</t>
  </si>
  <si>
    <t>(7) Orizzonte — eta' finale</t>
  </si>
  <si>
    <t>(8) Pensione netta annua / dal quale anno del piano</t>
  </si>
  <si>
    <t>(9) Estremo alto della banda della pensione</t>
  </si>
  <si>
    <t>(10) Rendimento reale del portafoglio — menu 2% / 3% / 4%</t>
  </si>
  <si>
    <t>(11) Anni di spesa nel secchio 1 (N)</t>
  </si>
  <si>
    <t>(12) Regola di dimensionamento: 1 = N x spesa · 0 = N x fabbisogno netto (Benz)</t>
  </si>
  <si>
    <t>(13) STATO ABITATIVO: 1 = casa senza costi · 0 = in affitto o con mutuo</t>
  </si>
  <si>
    <t>(14) Peso dell'affitto figurativo usato nel confronto ISTAT (0 = calcolato dal foglio 2)</t>
  </si>
  <si>
    <t>(15) Netto annuo da lavoro durante l'accumulo / lordo di carriera</t>
  </si>
  <si>
    <t>(16) Identita' di Kitces — convenzione del prelievo: 1 = fine anno · 0 = inizio anno</t>
  </si>
  <si>
    <t>(17) Sovraccosto di TER dell'ETF multi-asset (punti percentuali)</t>
  </si>
  <si>
    <t>(18) Strumento del secchio 1: 1 = conto deposito · 2 = ETF monetario · 3 = BOT 12 mesi</t>
  </si>
  <si>
    <t>DERIVATI — non si toccano</t>
  </si>
  <si>
    <t>Orizzonte in anni</t>
  </si>
  <si>
    <t>Rendimento reale della liquidita' scelta (al LORDO del bollo)</t>
  </si>
  <si>
    <t>Anni di accumulo</t>
  </si>
  <si>
    <t>Anni di capitalizzazione del netto della vendita</t>
  </si>
  <si>
    <t>Anno di decorrenza della pensione (68 anni e 10 mesi — proiezione RGS)</t>
  </si>
  <si>
    <t>CONVENZIONE DICHIARATA — il prelievo e' a INIZIO anno, il secchio 1 si ricarica dal portafoglio PRIMA della crescita dell'anno, il bollo si paga a FINE anno sul patrimonio dopo la crescita e grava prima sul portafoglio e poi sul secchio. La base di costo si scorpora INSIEME al patrimonio quando si crea il secchio 1 (quinto errore di famiglia): base del portafoglio = base totale x portafoglio / patrimonio.</t>
  </si>
  <si>
    <t>UNA SOLA REGOLA DI REFILL in tutto il file: ogni anno il secchio 1 viene riportato al suo target vendendo dal portafoglio, per quanto il portafoglio consente. La regola riempie e non svuota mai: quando il target scende (perche' arriva la pensione), l'eccedenza resta nel secchio. Il foglio 10 misura quanto vale quella scelta.</t>
  </si>
  <si>
    <t>REFRESH GENNAIO 2027 — i tassi del foglio P sono una fotografia di settembre 2026. GATE CHIUSO IL 9 SETTEMBRE 2026: l'asta BOT 12 mesi del 09/09/2026 (ISIN IT0005730681, prezzo fiscale 97,080, rendimento medio ponderato 2,967%) e' stata pubblicata e sostituisce in P-Parametri quella del 12/08/2026. Il prossimo riallineamento e' il refresh di gennaio 2027.</t>
  </si>
  <si>
    <t>FISCALITA' — 26% sul capital gain, 12,5% sui titoli di Stato, 0,20% di bollo sono le aliquote in vigore nel 2026: una FOTOGRAFIA, non una regola eterna. Il D.Lgs. 117/2026 ricodifica il TUIR con effetti dal 1° gennaio 2027 (art. 377); e' una ricodificazione, non una soppressione, ma i rinvii per numero d'articolo cambiano.</t>
  </si>
  <si>
    <t>Parametri normativi e di fonte</t>
  </si>
  <si>
    <t>Le uniche costanti del modello, oltre agli input, stanno qui. Tutti gli altri fogli le referenziano.</t>
  </si>
  <si>
    <t>Fiscalita' finanziaria 2026 — fotografia, non regime stabile</t>
  </si>
  <si>
    <t>Capital gain (redditi di capitale e diversi da ETF e azioni)</t>
  </si>
  <si>
    <t>Titoli di Stato ed equiparati</t>
  </si>
  <si>
    <t>Bollo su prodotti finanziari e depositi (art. 9 c. 4)</t>
  </si>
  <si>
    <t>Bollo fisso su conto corrente e libretto / soglia di esenzione (art. 9 c. 3)</t>
  </si>
  <si>
    <t>Inflazione attesa (canone del canale)</t>
  </si>
  <si>
    <t>Tassi della liquidita' — settembre 2026</t>
  </si>
  <si>
    <t>€STR (BCE, 7/9/2026) / TER dell'ETF monetario</t>
  </si>
  <si>
    <t>Conto deposito famiglie: fino a 1 anno / oltre 1 anno (Banca d'Italia tav. 2.7)</t>
  </si>
  <si>
    <t>BOT 12 mesi — prezzo fiscale d'asta / rendimento medio ponderato / giorni</t>
  </si>
  <si>
    <t>MEF, «Risultati Asta: BOT 12 MESI» del 09/09/2026 — ISIN IT0005730681, durata 365 gg, emissione 14/9/2026, scadenza 14/9/2027, prezzo medio ponderato e prezzo fiscale 97,080, rendimento medio ponderato 2,967% (semplice lordo, base annua 360 gg), rendimento lordo composto 2,966%, copertura 1,39. Gate di produzione CHIUSO il 9 settembre 2026: sostituisce l'asta del 12/08/2026 (IT0005729220, 97,277 / 2,768%).</t>
  </si>
  <si>
    <t>Buono fruttifero postale — rendimento nei primi quattro anni</t>
  </si>
  <si>
    <t>BTP a medio termine — rendimento a scadenza lordo (paniere MOT 9/9/2026)</t>
  </si>
  <si>
    <t>Media dei quattro BTP del paniere di canale, prezzi Borsa Italiana-MOT del 9/9/2026: IT0003535157 5,00% 1/8/2034 a 106,58 (YTM 4,056%); IT0003256820 5,75% 1/2/2033 a 110,69 (3,879%); IT0001444378 6,00% 1/5/2031 a 110,19 (3,629%); IT0005595803 3,45% 15/7/2031 a 99,16 (3,672%). Media 3,8088%, arrotondata a 3,81%. YTM ricalcolati con date di scadenza esatte, regolamento 9/9/2026, rateo ACT/ACT incluso e capitalizzazione annuale su base 365 (regola di canale). Gate di produzione CHIUSO il 9 settembre 2026: sostituisce il paniere del 14/8/2026 (media 3,49%).</t>
  </si>
  <si>
    <t>Conto corrente — rendimento reale netto dichiarato (bollo fisso su giacenza media)</t>
  </si>
  <si>
    <t>ISTAT — spese per consumi delle famiglie, anno 2024 (7/10/2025)</t>
  </si>
  <si>
    <t>Spesa media mensile, totale Italia</t>
  </si>
  <si>
    <t>Divisione «Abitazione, acqua, elettricita', gas»</t>
  </si>
  <si>
    <t>di cui affitti figurativi</t>
  </si>
  <si>
    <t>Quota della divisione abitazione per le famiglie monocomponente</t>
  </si>
  <si>
    <t>Persona sola fra 35 e 64 anni — spesa media mensile</t>
  </si>
  <si>
    <t>Ipotesi alternativa: rapporto affitti figurativi / divisione per i single</t>
  </si>
  <si>
    <t>Mercati — ipotesi dichiarate degli scenari illustrativi</t>
  </si>
  <si>
    <t>Azionario negli anni normali / obbligazionario (reale)</t>
  </si>
  <si>
    <t>I due crolli — primo / secondo</t>
  </si>
  <si>
    <t>Allocazione di Kitces — azioni / obbligazioni / liquidita'</t>
  </si>
  <si>
    <t>Pfeiffer-Salter-Evensky — le commissioni evitate</t>
  </si>
  <si>
    <t>Commissioni col secchio / senza secchio / orizzonte (dollari, 30 anni)</t>
  </si>
  <si>
    <t>Costo unitario dell'eseguito nello studio (dollari)</t>
  </si>
  <si>
    <t>Eseguiti evitati all'anno = (senza - col secchio) / anni / costo unitario</t>
  </si>
  <si>
    <t>Estrada 2019 — 21 paesi, 115 anni, 86 finestre trentennali</t>
  </si>
  <si>
    <t>Portafoglio 100% azionario — tasso di fallimento medio</t>
  </si>
  <si>
    <t>Regole a secchi BR-1 / BR-2 / BR-3</t>
  </si>
  <si>
    <t>Titoli a breve italiani dal 1900 — reale geometrico / minimo annuo</t>
  </si>
  <si>
    <t>Sweep delle 1.980 permutazioni — RISULTATI DICHIARATI, non ricalcolati qui</t>
  </si>
  <si>
    <t>Permutazioni dei due crolli (45 x 44 coppie ordinate)</t>
  </si>
  <si>
    <t>Braccio A, total return — fallimenti / patrimonio medio</t>
  </si>
  <si>
    <t>Braccio B, secchio dentro — 1 anno / 5 anni</t>
  </si>
  <si>
    <t>Braccio D, secchio aggiunto — 1 anno / 5 anni / patrimonio medio a 5 anni</t>
  </si>
  <si>
    <t>Kitces — il pensionato del 1966 (dollari)</t>
  </si>
  <si>
    <t>Portafoglio a fine anno / prelievo / dopo il prelievo</t>
  </si>
  <si>
    <t>Ribilanciato a 60/30/10 — azioni / obbligazioni / liquidita'</t>
  </si>
  <si>
    <t>Altri riferimenti del video</t>
  </si>
  <si>
    <t>Nikkei — anni per rifare il massimo del 1989</t>
  </si>
  <si>
    <t>Divario di comportamento — chi non ribilancia (punti/anno)</t>
  </si>
  <si>
    <t>Divario di comportamento — prodotti che ribilanciano da soli (min / max)</t>
  </si>
  <si>
    <t>Vendita di ETF in perdita — minusvalenza / credito d'imposta / riporto (anni)</t>
  </si>
  <si>
    <t>I risultati dello sweep delle 1.980 permutazioni (righe 44-47) sono DICHIARATI: sono l'esito del motore della catena adversarial, riprodotto in modo indipendente dal Critico su tredici righe su tredici per i bracci A, B e D. Questo foglio di calcolo NON li ricalcola — 1.980 traiettorie da 45 anni non stanno in una cartella scaricabile. Quello che il foglio 7 ricalcola all'euro e' la TRACCIA DETERMINISTICA, cioe' la singola permutazione peggiore (i due crolli nei primi due anni).</t>
  </si>
  <si>
    <t>Il braccio E (secchio piu' regola tattica) e' RITIRATO COME PROVA: nel sweep e' irriproducibile. La traccia deterministica del foglio 7 e' invece riprodotta all'euro ed e' tenuta come illustrazione dichiarata, non come dimostrazione.</t>
  </si>
  <si>
    <t>Il rendimento reale del conto corrente (-2,04%) e' un valore dichiarato: il bollo del conto corrente e' un importo FISSO di 34,20 € e la sua incidenza percentuale dipende dalla giacenza media, che nel decumulo scende. Non e' derivabile da una singola aliquota, ed e' per questo che sta qui come parametro e non come formula.</t>
  </si>
  <si>
    <t>La scheda-caso: da dove vengono i quattrocentotrentanovemila</t>
  </si>
  <si>
    <t>ACCUMULO E ORIGINE DEL CAPITALE — la latente e' DERIVATA, non postulata</t>
  </si>
  <si>
    <t>Versamento annuo, euro reali costanti</t>
  </si>
  <si>
    <t>Anni di accumulo (2011-2026)</t>
  </si>
  <si>
    <t>Montante dei versamenti — rendita anticipata al rendimento reale</t>
  </si>
  <si>
    <t>Base di costo dei versamenti</t>
  </si>
  <si>
    <t>Vendita dell'appartamento nel 2018 — netto di mutuo residuo, imposte e spese</t>
  </si>
  <si>
    <t>Capitalizzato al rendimento reale fino a oggi</t>
  </si>
  <si>
    <t>Base di costo del capitale immobiliare reinvestito</t>
  </si>
  <si>
    <t>PATRIMONIO INVESTITO AL 2026</t>
  </si>
  <si>
    <t>BASE DI COSTO FISCALE</t>
  </si>
  <si>
    <t>PLUSVALENZA LATENTE</t>
  </si>
  <si>
    <t>Fattore di lordizzazione G = 1 / (1 - capital gain x latente)</t>
  </si>
  <si>
    <t>Aliquota effettiva sulla vendita (capital gain x latente)</t>
  </si>
  <si>
    <t>Tasso di risparmio implicito sul netto da lavoro</t>
  </si>
  <si>
    <t>Di che cosa viveva mentre risparmiava (netto meno versamento)</t>
  </si>
  <si>
    <t>Salto fra il tenore di vita in accumulo e quello in decumulo</t>
  </si>
  <si>
    <t>IL VINCOLO ARITMETICO. Tre parametri — quando comincia l'accumulo, quanto Roberta versa e a quanto ha venduto — sono scelti insieme per far tornare un numero solo, il patrimonio di oggi. E' una CALIBRAZIONE dichiarata, non una previsione. Quello che il conto deve dimostrare non e' che i numeri tornano, ma che il tasso di risparmio che ne esce e' possibile. Gli ingressi sono tondi e dichiarati (16 anni, 6.500 euro, 240.000 euro, 8 anni), le uscite sono frastagliate: non c'e' nessun sistema da risolvere.</t>
  </si>
  <si>
    <t>LA BIOGRAFIA CHE RENDE POSSIBILE IL CONTO. Appartamento comprato nel 2004 con un mutuo, estinto alla vendita del 2018; dal 2011 Roberta vive nella casa di famiglia e il vecchio appartamento e' affittato. Dal 2011 al 2018 il canone incassato e la rata ancora pagata sono trattati come PARTITA DI GIRO: si compensano, e il conto qui sopra non li porta. I 240.000 euro sono NETTI di mutuo residuo, imposte e spese. La plusvalenza immobiliare non e' tassata: l'immobile e' posseduto da piu' di cinque anni.</t>
  </si>
  <si>
    <t>STATO ABITATIVO E DENOMINATORE ISTAT — il quarto errore di famiglia</t>
  </si>
  <si>
    <t>Stato abitativo dichiarato</t>
  </si>
  <si>
    <t>Persona sola 35-64 anni — spesa media mensile ISTAT 2024 (affitto figurativo INCLUSO)</t>
  </si>
  <si>
    <t>Affitti figurativi in quota della spesa totale (media nazionale)</t>
  </si>
  <si>
    <t>Affitti figurativi in quota della divisione abitazione</t>
  </si>
  <si>
    <t>Ipotesi sul peso dell'affitto figurativo</t>
  </si>
  <si>
    <t>Peso</t>
  </si>
  <si>
    <t>Spesa di CASSA equivalente (mese)</t>
  </si>
  <si>
    <t>Quota nazionale su tutte le famiglie (limite alto della cassa)</t>
  </si>
  <si>
    <t>Quota CALCOLATA per la monocomponente (43,9% per 62,72%)</t>
  </si>
  <si>
    <t>Se per i single il rapporto scendesse al 55% della divisione</t>
  </si>
  <si>
    <t>FORBICE DELLA SPESA DI CASSA — minimo / massimo (euro/mese)</t>
  </si>
  <si>
    <t>Peso effettivamente usato nel confronto (0 nell'input = quello calcolato)</t>
  </si>
  <si>
    <t>DENOMINATORE OMOGENEO alla spesa di Roberta</t>
  </si>
  <si>
    <t>Spesa di cassa di Roberta (euro/mese)</t>
  </si>
  <si>
    <t>Scarto contro il denominatore omogeneo</t>
  </si>
  <si>
    <t>VERDETTO</t>
  </si>
  <si>
    <t>PERCHE' LO STATO ABITATIVO E' UN INPUT E NON UN DETTAGLIO. L'aggregato ISTAT «spesa media mensile per consumi» include gli AFFITTI FIGURATIVI, che non sono un esborso di cassa: nel 2024 valgono 617,39 euro su 2.755,09, cioe' il 22,41% della spesa e il 62,72% della divisione abitazione. Confrontare quella media con un prelievo, con una pensione o con un fabbisogno e' omogeneo SOLO se si dichiara lo stato abitativo. Metti 0 nell'input (13) e il confronto passa sul dato pieno: e' quello giusto per chi un affitto lo paga davvero.</t>
  </si>
  <si>
    <t>Con lo stato abitativo dichiarato, Roberta a 1.650 euro al mese sta SOPRA la media di cassa di chi vive nella sua stessa condizione, non sotto. E' il numero scomodo, e si pubblica: il 29,3% di risparmio non viene dalla frugalita', viene dal fatto che dal 2011 non paga la casa.</t>
  </si>
  <si>
    <t>LE TRE SCALE DEL TASSO DI PRELIEVO — anno 1, senza secchio</t>
  </si>
  <si>
    <t>Scala</t>
  </si>
  <si>
    <t>Importo</t>
  </si>
  <si>
    <t>Sul patrimonio</t>
  </si>
  <si>
    <t>Cassa — quello che Roberta spende</t>
  </si>
  <si>
    <t>Omogeneo — vendita lorda, confrontabile col 4% di Trinity</t>
  </si>
  <si>
    <t>Col bollo — vendita lorda piu' il bollo dell'anno</t>
  </si>
  <si>
    <t>IL COSTO DELL'ORDINE SBAGLIATO — vendere ETF invece di liquidita'</t>
  </si>
  <si>
    <t>Imposta pagata sul prelievo se si liquida l'ETF (spesa per aliquota effettiva)</t>
  </si>
  <si>
    <t>Capitalizzata sull'orizzonte al rendimento reale (rendita anticipata)</t>
  </si>
  <si>
    <t>Il confronto e' fra PAGARE ADESSO e PAGARE DOPO, non fra pagare e non pagare: la liquidita' e' denaro gia' tassato, il titolo di Stato paga il 12,5%, l'ETF il 26% sulla plusvalenza. Chi porta a casa lo zero di Kitces e liquida la posizione piu' comoda liquida quasi sempre l'ETF ad accumulazione, che e' la sacca con l'aliquota piu' alta.</t>
  </si>
  <si>
    <t>La liquidita' italiana: quanto rende davvero e quanto copre davvero</t>
  </si>
  <si>
    <t>I SEI STRUMENTI DEL SECCHIO 1 — netti d'imposta, di bollo e di inflazione</t>
  </si>
  <si>
    <t>Strumento</t>
  </si>
  <si>
    <t>Lordo</t>
  </si>
  <si>
    <t>Aliquota</t>
  </si>
  <si>
    <t>Netto d'imposta</t>
  </si>
  <si>
    <t>Bollo</t>
  </si>
  <si>
    <t>Reale al LORDO del bollo</t>
  </si>
  <si>
    <t>Reale netto di tutto</t>
  </si>
  <si>
    <t>Differenziale contro il portafoglio</t>
  </si>
  <si>
    <t>BOT 12 mesi (asta MEF 09/09/2026, ISIN IT0005730681)</t>
  </si>
  <si>
    <t>Conto deposito famiglie, oltre 1 anno</t>
  </si>
  <si>
    <t>Conto deposito famiglie, fino a 1 anno</t>
  </si>
  <si>
    <t>Buono fruttifero postale, primi quattro anni</t>
  </si>
  <si>
    <t>ETF monetario (€STR meno TER)</t>
  </si>
  <si>
    <t>Conto corrente (bollo fisso: valore reale dichiarato)</t>
  </si>
  <si>
    <t>BTP a medio termine (paniere MOT 9/9/2026, media di quattro titoli)</t>
  </si>
  <si>
    <t>IL BOLLO SI ELIDE. Nel differenziale (colonna H) i rendimenti sono al LORDO del bollo su ENTRAMBE le gambe, perche' lo 0,20% colpisce identico il portafoglio e la liquidita'. Nel motore del caso il bollo e' addebitato a parte, ogni anno, su tutto il patrimonio: usare li' il rendimento gia' netto di bollo sarebbe un DOPPIO CONTEGGIO (primo errore di famiglia) e gonfierebbe il costo del secchio di circa un decimo.</t>
  </si>
  <si>
    <t>Il netto del BOT non e' il rendimento moltiplicato per 0,875: e' la ritenuta del 12,5% sullo scarto d'emissione, cioe' su 100 meno il prezzo d'asta, riportata al prezzo pagato e annualizzata sui giorni effettivi. E' per questo che la colonna D e' una formula sul prezzo e non sul rendimento. FONTE AGGIORNATA: asta MEF del 09/09/2026, ISIN IT0005730681, prezzo fiscale 97,080 su 365 giorni, rendimento medio ponderato 2,967% (base annua 360 gg). Gate di produzione CHIUSO il 9 settembre 2026.</t>
  </si>
  <si>
    <t>LA COPERTURA VERA — otto anni di spesa, e dove li tieni conta</t>
  </si>
  <si>
    <t>Anni di spesa messi da parte (sulla carta)</t>
  </si>
  <si>
    <t>Montante corrispondente</t>
  </si>
  <si>
    <t>Dove stanno gli otto anni</t>
  </si>
  <si>
    <t>Rendimento reale netto di tutto</t>
  </si>
  <si>
    <t>Anni di spesa effettivamente coperti</t>
  </si>
  <si>
    <t>Conto corrente</t>
  </si>
  <si>
    <t>ETF monetario</t>
  </si>
  <si>
    <t>Conto deposito fino a 1 anno</t>
  </si>
  <si>
    <t>BOT 12 mesi</t>
  </si>
  <si>
    <t>BTP a medio termine</t>
  </si>
  <si>
    <t>FORBICE — peggiore / migliore / differenza in anni</t>
  </si>
  <si>
    <t>FORBICE IN EURO — anni pieni per la spesa annua</t>
  </si>
  <si>
    <t>FORBICE IN EURO — con gli anni arrotondati al centesimo, come vanno a schermo</t>
  </si>
  <si>
    <t>Il numero della forbice in euro dipende da quanto si arrotondano gli anni PRIMA di moltiplicare: con gli anni pieni e' la riga 28, con gli anni arrotondati al centesimo (7,48 e 8,33 dopo la rilevazione MOT del 9/9/2026) e' la riga 29. La riga 28 e' il motore; la riga 29 e' il numero che si ottiene dai due valori pubblicati. Le due letture differiscono di alcune centinaia di euro e la differenza va dichiarata, non nascosta.</t>
  </si>
  <si>
    <t>IL BOLLO SULLA NORMA</t>
  </si>
  <si>
    <t>Conto corrente e libretto — imposta fissa / esenzione sotto la giacenza media</t>
  </si>
  <si>
    <t>Conto deposito e dossier titoli — aliquota annua</t>
  </si>
  <si>
    <t>PAREGGIO fra il fisso e la percentuale</t>
  </si>
  <si>
    <t>Bollo annuo sul secchio 1 di Roberta</t>
  </si>
  <si>
    <t>L'ATTRITO CHE NESSUNO CONTA — il 26% sugli interessi, ogni anno</t>
  </si>
  <si>
    <t>Interessi lordi annui del secchio 1 (conto deposito fino a 1 anno)</t>
  </si>
  <si>
    <t>Imposta annua sugli interessi</t>
  </si>
  <si>
    <t>LA SOGLIA DI EVENSKY — quanto dovrebbe costare un eseguito</t>
  </si>
  <si>
    <t>Commissioni nello studio: col secchio / senza / orizzonte (dollari)</t>
  </si>
  <si>
    <t>Eseguiti evitati all'anno</t>
  </si>
  <si>
    <t>Costo annuo del secchio, PER ANNO di spesa messo in liquidita'</t>
  </si>
  <si>
    <t>COMMISSIONE DI PAREGGIO PER ESEGUITO</t>
  </si>
  <si>
    <t>Trentuno euro a eseguito e' un ordine di grandezza sopra quello che costa vendere un ETF in Italia nel 2026, e su molte piattaforme e' infinite volte tanto. Il canale che rende positivo il risultato americano, in Italia, resta chiuso.</t>
  </si>
  <si>
    <t>La griglia madre: quanto costa il secchio, per orizzonte, taglia e strumento</t>
  </si>
  <si>
    <t>PARAMETRI IN TESTA: patrimonio di un milione, euro reali, portafoglio al rendimento reale dell'input (10), secchio 1 = N per la spesa annua, prelievo a inizio anno dal secchio, refill annuale dal portafoglio finche' il portafoglio lo consente. NESSUNA IMPOSTA E NESSUN BOLLO in questa griglia: e' fatta per essere ricostruibile da chi guarda con cinque colonne di foglio di calcolo. Il costo VERO del secchio e' piu' alto, perche' l'imposta sugli interessi si paga ogni anno mentre quella sulla plusvalenza si paga alla vendita: il conto completo e' nel foglio 5.</t>
  </si>
  <si>
    <t>Patrimonio della griglia</t>
  </si>
  <si>
    <t>Rendimento reale del portafoglio</t>
  </si>
  <si>
    <t>Liquidita' — conto deposito fino a 1 anno / BOT 12 mesi (reale, lordo bollo)</t>
  </si>
  <si>
    <t>IL COSTO IN PUNTI DI TASSO DI PRELIEVO</t>
  </si>
  <si>
    <t>Orizzonte e strumento</t>
  </si>
  <si>
    <t>N = 1</t>
  </si>
  <si>
    <t>N = 2</t>
  </si>
  <si>
    <t>N = 3</t>
  </si>
  <si>
    <t>N = 5</t>
  </si>
  <si>
    <t>20 anni — conto deposito</t>
  </si>
  <si>
    <t>20 anni — BOT 12 mesi</t>
  </si>
  <si>
    <t>30 anni — conto deposito</t>
  </si>
  <si>
    <t>30 anni — BOT 12 mesi</t>
  </si>
  <si>
    <t>40 anni — conto deposito</t>
  </si>
  <si>
    <t>40 anni — BOT 12 mesi</t>
  </si>
  <si>
    <t>LO STESSO COSTO IN PERCENTUALE DELLA SPESA — la lettura che si applica a se'</t>
  </si>
  <si>
    <t>IL QUARTO DI COSTO CHE DIPENDE SOLO DALLO STRUMENTO (30 anni, N = 2)</t>
  </si>
  <si>
    <t>IL COSTO NON E' ADDITIVO — costo marginale del singolo anno (30 anni, conto deposito)</t>
  </si>
  <si>
    <t>Anno di liquidita' aggiunto</t>
  </si>
  <si>
    <t>1°</t>
  </si>
  <si>
    <t>2°</t>
  </si>
  <si>
    <t>3°</t>
  </si>
  <si>
    <t>4°</t>
  </si>
  <si>
    <t>5°</t>
  </si>
  <si>
    <t>Costo cumulato in % della spesa</t>
  </si>
  <si>
    <t>Costo marginale in % della spesa</t>
  </si>
  <si>
    <t>Cinque anni non costano cinque volte il primo: il costo marginale decresce, perche' ogni anno aggiunto di liquidita' sostituisce una parte di portafoglio che avrebbe avuto meno tempo per lavorare.</t>
  </si>
  <si>
    <t>LO STESSO COSTO IN EURO CUMULATI — gap di patrimonio a spesa uguale</t>
  </si>
  <si>
    <t>Orizzonte</t>
  </si>
  <si>
    <t>30 anni</t>
  </si>
  <si>
    <t>40 anni</t>
  </si>
  <si>
    <t>Il gap e' misurato a SPESA UGUALE: si tiene la spesa che il portafoglio senza secchio sostiene per l'intero orizzonte e si guarda quanto manca all'arrivo con il secchio. E' la stessa cosa del costo in punti, letta in euro invece che in tasso.</t>
  </si>
  <si>
    <t>GLI ANNI DI AUTONOMIA — a spesa fissa, quanto dura il capitale</t>
  </si>
  <si>
    <t>N = 0</t>
  </si>
  <si>
    <t>20 anni</t>
  </si>
  <si>
    <t>GRIGLIA — orizzonte 20 anni · conto deposito · N = 0</t>
  </si>
  <si>
    <t>anno</t>
  </si>
  <si>
    <t>lordo venduto</t>
  </si>
  <si>
    <t>secchio 1</t>
  </si>
  <si>
    <t>portafoglio</t>
  </si>
  <si>
    <t>SPESA MASSIMA SOSTENIBILE</t>
  </si>
  <si>
    <t>GRIGLIA — orizzonte 20 anni · conto deposito · N = 1</t>
  </si>
  <si>
    <t>GRIGLIA — orizzonte 20 anni · conto deposito · N = 2</t>
  </si>
  <si>
    <t>GRIGLIA — orizzonte 20 anni · conto deposito · N = 3</t>
  </si>
  <si>
    <t>GRIGLIA — orizzonte 20 anni · conto deposito · N = 5</t>
  </si>
  <si>
    <t>GRIGLIA — orizzonte 20 anni · BOT 12 mesi · N = 0</t>
  </si>
  <si>
    <t>GRIGLIA — orizzonte 20 anni · BOT 12 mesi · N = 1</t>
  </si>
  <si>
    <t>GRIGLIA — orizzonte 20 anni · BOT 12 mesi · N = 2</t>
  </si>
  <si>
    <t>GRIGLIA — orizzonte 20 anni · BOT 12 mesi · N = 3</t>
  </si>
  <si>
    <t>GRIGLIA — orizzonte 20 anni · BOT 12 mesi · N = 5</t>
  </si>
  <si>
    <t>GRIGLIA — orizzonte 30 anni · conto deposito · N = 0</t>
  </si>
  <si>
    <t>GRIGLIA — orizzonte 30 anni · conto deposito · N = 1</t>
  </si>
  <si>
    <t>GRIGLIA — orizzonte 30 anni · conto deposito · N = 2</t>
  </si>
  <si>
    <t>GRIGLIA — orizzonte 30 anni · conto deposito · N = 3</t>
  </si>
  <si>
    <t>GRIGLIA — orizzonte 30 anni · conto deposito · N = 5</t>
  </si>
  <si>
    <t>GRIGLIA — orizzonte 30 anni · BOT 12 mesi · N = 0</t>
  </si>
  <si>
    <t>GRIGLIA — orizzonte 30 anni · BOT 12 mesi · N = 1</t>
  </si>
  <si>
    <t>GRIGLIA — orizzonte 30 anni · BOT 12 mesi · N = 2</t>
  </si>
  <si>
    <t>GRIGLIA — orizzonte 30 anni · BOT 12 mesi · N = 3</t>
  </si>
  <si>
    <t>GRIGLIA — orizzonte 30 anni · BOT 12 mesi · N = 5</t>
  </si>
  <si>
    <t>GRIGLIA — orizzonte 40 anni · conto deposito · N = 0</t>
  </si>
  <si>
    <t>GRIGLIA — orizzonte 40 anni · conto deposito · N = 1</t>
  </si>
  <si>
    <t>GRIGLIA — orizzonte 40 anni · conto deposito · N = 2</t>
  </si>
  <si>
    <t>GRIGLIA — orizzonte 40 anni · conto deposito · N = 3</t>
  </si>
  <si>
    <t>GRIGLIA — orizzonte 40 anni · conto deposito · N = 5</t>
  </si>
  <si>
    <t>GRIGLIA — orizzonte 40 anni · BOT 12 mesi · N = 0</t>
  </si>
  <si>
    <t>GRIGLIA — orizzonte 40 anni · BOT 12 mesi · N = 1</t>
  </si>
  <si>
    <t>GRIGLIA — orizzonte 40 anni · BOT 12 mesi · N = 2</t>
  </si>
  <si>
    <t>GRIGLIA — orizzonte 40 anni · BOT 12 mesi · N = 3</t>
  </si>
  <si>
    <t>GRIGLIA — orizzonte 40 anni · BOT 12 mesi · N = 5</t>
  </si>
  <si>
    <t>GAP TERMINALE a spesa fissa — orizzonte 30 anni · N = 1</t>
  </si>
  <si>
    <t>GAP TERMINALE a spesa fissa — orizzonte 30 anni · N = 2</t>
  </si>
  <si>
    <t>GAP TERMINALE a spesa fissa — orizzonte 30 anni · N = 3</t>
  </si>
  <si>
    <t>GAP TERMINALE a spesa fissa — orizzonte 30 anni · N = 5</t>
  </si>
  <si>
    <t>GAP TERMINALE a spesa fissa — orizzonte 40 anni · N = 1</t>
  </si>
  <si>
    <t>GAP TERMINALE a spesa fissa — orizzonte 40 anni · N = 2</t>
  </si>
  <si>
    <t>GAP TERMINALE a spesa fissa — orizzonte 40 anni · N = 3</t>
  </si>
  <si>
    <t>GAP TERMINALE a spesa fissa — orizzonte 40 anni · N = 5</t>
  </si>
  <si>
    <t>ANNI DI AUTONOMIA a spesa fissa — orizzonte 20 anni · N = 0</t>
  </si>
  <si>
    <t>anno pagato?</t>
  </si>
  <si>
    <t>ANNI DI AUTONOMIA a spesa fissa — orizzonte 20 anni · N = 1</t>
  </si>
  <si>
    <t>ANNI DI AUTONOMIA a spesa fissa — orizzonte 20 anni · N = 2</t>
  </si>
  <si>
    <t>ANNI DI AUTONOMIA a spesa fissa — orizzonte 20 anni · N = 3</t>
  </si>
  <si>
    <t>ANNI DI AUTONOMIA a spesa fissa — orizzonte 20 anni · N = 5</t>
  </si>
  <si>
    <t>ANNI DI AUTONOMIA a spesa fissa — orizzonte 30 anni · N = 0</t>
  </si>
  <si>
    <t>ANNI DI AUTONOMIA a spesa fissa — orizzonte 30 anni · N = 1</t>
  </si>
  <si>
    <t>ANNI DI AUTONOMIA a spesa fissa — orizzonte 30 anni · N = 2</t>
  </si>
  <si>
    <t>ANNI DI AUTONOMIA a spesa fissa — orizzonte 30 anni · N = 3</t>
  </si>
  <si>
    <t>ANNI DI AUTONOMIA a spesa fissa — orizzonte 30 anni · N = 5</t>
  </si>
  <si>
    <t>ANNI DI AUTONOMIA a spesa fissa — orizzonte 40 anni · N = 0</t>
  </si>
  <si>
    <t>ANNI DI AUTONOMIA a spesa fissa — orizzonte 40 anni · N = 1</t>
  </si>
  <si>
    <t>ANNI DI AUTONOMIA a spesa fissa — orizzonte 40 anni · N = 2</t>
  </si>
  <si>
    <t>ANNI DI AUTONOMIA a spesa fissa — orizzonte 40 anni · N = 3</t>
  </si>
  <si>
    <t>ANNI DI AUTONOMIA a spesa fissa — orizzonte 40 anni · N = 5</t>
  </si>
  <si>
    <t>GRIGLIA — orizzonte 30 anni · conto deposito · N = 4</t>
  </si>
  <si>
    <t>Il motore del caso: quanto puo' spendere Roberta, e quanto le costa il secchio</t>
  </si>
  <si>
    <t>Rendimento reale — basso / centrale / alto</t>
  </si>
  <si>
    <t>SPESA MASSIMA SOSTENIBILE SU TUTTO L'ORIZZONTE</t>
  </si>
  <si>
    <t>Rendimento reale</t>
  </si>
  <si>
    <t>IL COSTO DEL SECCHIO — al rendimento centrale</t>
  </si>
  <si>
    <t>Anni di spesa in liquidita'</t>
  </si>
  <si>
    <t>Spesa massima</t>
  </si>
  <si>
    <t>Costo</t>
  </si>
  <si>
    <t>In % del tenore di vita</t>
  </si>
  <si>
    <t>nessun secchio</t>
  </si>
  <si>
    <t>1 anni</t>
  </si>
  <si>
    <t>2 anni</t>
  </si>
  <si>
    <t>3 anni</t>
  </si>
  <si>
    <t>5 anni</t>
  </si>
  <si>
    <t>GLI ANNI DI AUTONOMIA, ALLA SPESA VERA DI ROBERTA</t>
  </si>
  <si>
    <t>Il capitale dura</t>
  </si>
  <si>
    <t>Roberta arriva a</t>
  </si>
  <si>
    <t>Imposta cumulata</t>
  </si>
  <si>
    <t>Bollo cumulato</t>
  </si>
  <si>
    <t>Totale</t>
  </si>
  <si>
    <t>RISPARMIO D'IMPOSTA COL SECCHIO DA DUE ANNI</t>
  </si>
  <si>
    <t>Non e' un risparmio: col secchio Roberta paga meno imposta perche' ha meno, e per cinque anni in meno. Il totale della colonna F scende insieme al patrimonio.</t>
  </si>
  <si>
    <t>IL CONTO CHE VA FATTO FINO IN FONDO — il piano non regge nemmeno senza secchio</t>
  </si>
  <si>
    <t>Spesa massima sostenibile senza secchio</t>
  </si>
  <si>
    <t>Spesa effettiva di Roberta</t>
  </si>
  <si>
    <t>DI QUANTO E' CORTA, ogni anno</t>
  </si>
  <si>
    <t>Costo del secchio da due anni</t>
  </si>
  <si>
    <t>Il costo del secchio in quota di quanto le manca</t>
  </si>
  <si>
    <t>LE TRE LEVE VERE — e nessuna e' il secchio</t>
  </si>
  <si>
    <t>Leva</t>
  </si>
  <si>
    <t>Effetto</t>
  </si>
  <si>
    <t>Basta?</t>
  </si>
  <si>
    <t>Tagliare la spesa fino al sostenibile</t>
  </si>
  <si>
    <t>Accettare piu' rischio — rendimento reale alto, senza secchio</t>
  </si>
  <si>
    <t>Rendimento reale alto, con un anno di secchio</t>
  </si>
  <si>
    <t>Rendimento reale alto, con due anni di secchio</t>
  </si>
  <si>
    <t>Rendimento reale basso, senza secchio</t>
  </si>
  <si>
    <t>Al rendimento basso Roberta non ce la fa in nessuna configurazione. Al rendimento alto ce la fa senza secchio — e la colonna «Basta?» dice da sola fino a quale taglia di secchio regge: e' un risultato del motore, non una frase.</t>
  </si>
  <si>
    <t>CASO ROBERTA — rendimento reale 2% · N = 0</t>
  </si>
  <si>
    <t>spesa provata →</t>
  </si>
  <si>
    <t>latente</t>
  </si>
  <si>
    <t>secchio ante bollo</t>
  </si>
  <si>
    <t>portaf. ante bollo</t>
  </si>
  <si>
    <t>base di costo</t>
  </si>
  <si>
    <t>patrimonio finale →</t>
  </si>
  <si>
    <t>CASO ROBERTA — rendimento reale 2% · N = 1</t>
  </si>
  <si>
    <t>CASO ROBERTA — rendimento reale 2% · N = 2</t>
  </si>
  <si>
    <t>CASO ROBERTA — rendimento reale 2% · N = 3</t>
  </si>
  <si>
    <t>CASO ROBERTA — rendimento reale 2% · N = 5</t>
  </si>
  <si>
    <t>CASO ROBERTA — rendimento reale 3% · N = 0</t>
  </si>
  <si>
    <t>CASO ROBERTA — rendimento reale 3% · N = 1</t>
  </si>
  <si>
    <t>CASO ROBERTA — rendimento reale 3% · N = 2</t>
  </si>
  <si>
    <t>CASO ROBERTA — rendimento reale 3% · N = 3</t>
  </si>
  <si>
    <t>CASO ROBERTA — rendimento reale 3% · N = 5</t>
  </si>
  <si>
    <t>CASO ROBERTA — rendimento reale 4% · N = 0</t>
  </si>
  <si>
    <t>CASO ROBERTA — rendimento reale 4% · N = 1</t>
  </si>
  <si>
    <t>CASO ROBERTA — rendimento reale 4% · N = 2</t>
  </si>
  <si>
    <t>CASO ROBERTA — rendimento reale 4% · N = 3</t>
  </si>
  <si>
    <t>CASO ROBERTA — rendimento reale 4% · N = 5</t>
  </si>
  <si>
    <t>AUTONOMIA E IMPOSTE alla spesa vera — N = 0</t>
  </si>
  <si>
    <t>imposta cumulata</t>
  </si>
  <si>
    <t>bollo cumulato</t>
  </si>
  <si>
    <t>AUTONOMIA E IMPOSTE alla spesa vera — N = 1</t>
  </si>
  <si>
    <t>AUTONOMIA E IMPOSTE alla spesa vera — N = 2</t>
  </si>
  <si>
    <t>AUTONOMIA E IMPOSTE alla spesa vera — N = 3</t>
  </si>
  <si>
    <t>AUTONOMIA E IMPOSTE alla spesa vera — N = 5</t>
  </si>
  <si>
    <t>La banda di sensibilita': quanto costano davvero due anni di secchio</t>
  </si>
  <si>
    <t>Dodici scenari, UNA VARIABILE ALLA VOLTA. Il costo del secchio e' la differenza fra la spesa massima sostenibile senza secchio e quella con due anni di spesa in liquidita': entrambe ricalcolate da capo in ogni scenario.</t>
  </si>
  <si>
    <t>IL COSTO DI DUE ANNI DI SECCHIO IN DODICI SCENARI</t>
  </si>
  <si>
    <t>Perturbazione</t>
  </si>
  <si>
    <t>Spesa max senza secchio</t>
  </si>
  <si>
    <t>Spesa max con due anni</t>
  </si>
  <si>
    <t>Caso base</t>
  </si>
  <si>
    <t>Liquidita' in ETF monetario</t>
  </si>
  <si>
    <t>Liquidita' in BOT 12 mesi</t>
  </si>
  <si>
    <t>Pensione dal 22° anno</t>
  </si>
  <si>
    <t>Pensione dal 24° anno</t>
  </si>
  <si>
    <t>Pensione all'estremo alto della banda</t>
  </si>
  <si>
    <t>Orizzonte a 90 anni</t>
  </si>
  <si>
    <t>Orizzonte a 95 anni</t>
  </si>
  <si>
    <t>Nessuna plusvalenza latente</t>
  </si>
  <si>
    <t>Latente al 37,5% invece che al 21,64%</t>
  </si>
  <si>
    <t>Rendimento reale basso</t>
  </si>
  <si>
    <t>Rendimento reale alto</t>
  </si>
  <si>
    <t>BANDA DEL COSTO — minimo / massimo</t>
  </si>
  <si>
    <t>BANDA IN % DEL TENORE DI VITA — minimo / massimo</t>
  </si>
  <si>
    <t>Scarto massimo delle perturbazioni DIVERSE da strumento e rendimento</t>
  </si>
  <si>
    <t>Leva «dove tieni la liquidita'» — da / a</t>
  </si>
  <si>
    <t>Leva «quanto rende il portafoglio» — da / a</t>
  </si>
  <si>
    <t>Il costo si muove per DUE SOLE RAGIONI: dove tieni la liquidita' e quanto rende il portafoglio. Tutte le altre sette perturbazioni — quando arriva la pensione, quanto vale, se muori a 90 o a 95, quanta plusvalenza latente hai — lo spostano di meno di cento euro. La riga «scarto massimo» sopra lo misura invece di affermarlo.</t>
  </si>
  <si>
    <t>BANDA — Liquidita' in ETF monetario · N = 0</t>
  </si>
  <si>
    <t>BANDA — Liquidita' in ETF monetario · N = 2</t>
  </si>
  <si>
    <t>BANDA — Liquidita' in BOT 12 mesi · N = 0</t>
  </si>
  <si>
    <t>BANDA — Liquidita' in BOT 12 mesi · N = 2</t>
  </si>
  <si>
    <t>BANDA — Pensione dal 22° anno · N = 0</t>
  </si>
  <si>
    <t>BANDA — Pensione dal 22° anno · N = 2</t>
  </si>
  <si>
    <t>BANDA — Pensione dal 24° anno · N = 0</t>
  </si>
  <si>
    <t>BANDA — Pensione dal 24° anno · N = 2</t>
  </si>
  <si>
    <t>BANDA — Pensione all'estremo alto della banda · N = 0</t>
  </si>
  <si>
    <t>BANDA — Pensione all'estremo alto della banda · N = 2</t>
  </si>
  <si>
    <t>BANDA — Orizzonte a 90 anni · N = 0</t>
  </si>
  <si>
    <t>BANDA — Orizzonte a 90 anni · N = 2</t>
  </si>
  <si>
    <t>BANDA — Orizzonte a 95 anni · N = 0</t>
  </si>
  <si>
    <t>BANDA — Orizzonte a 95 anni · N = 2</t>
  </si>
  <si>
    <t>BANDA — Nessuna plusvalenza latente · N = 0</t>
  </si>
  <si>
    <t>BANDA — Nessuna plusvalenza latente · N = 2</t>
  </si>
  <si>
    <t>BANDA — Latente al 37,5% invece che al 21,64% · N = 0</t>
  </si>
  <si>
    <t>BANDA — Latente al 37,5% invece che al 21,64% · N = 2</t>
  </si>
  <si>
    <t>Il refill anno per anno — dove porta la regola applicata alla lettera</t>
  </si>
  <si>
    <t>TRACCIA DETERMINISTICA DICHIARATA. I due crolli sono negli anni 1 e 2: e' il caso PEGGIORE delle 1.980 permutazioni, non un caso medio. Serve a mostrare dove porta la regola, non a misurare una probabilita'. La regola e' quella che si legge in giro — «si travasa solo sopra il massimo storico precedente» — e NON e' di Christine Benz, che scrive qualcosa di piu' morbido.</t>
  </si>
  <si>
    <t>Quota azionaria obiettivo</t>
  </si>
  <si>
    <t>Secchio 1 = N x spesa</t>
  </si>
  <si>
    <t>rend. azionario</t>
  </si>
  <si>
    <t>indice</t>
  </si>
  <si>
    <t>sopra il massimo?</t>
  </si>
  <si>
    <t>secchio 1 (liquidita')</t>
  </si>
  <si>
    <t>secchio 2 (obbligazioni)</t>
  </si>
  <si>
    <t>secchio 3 (azioni)</t>
  </si>
  <si>
    <t>TOTALE</t>
  </si>
  <si>
    <t>quota azionaria</t>
  </si>
  <si>
    <t>anni al recupero del massimo</t>
  </si>
  <si>
    <t>massimo prec.</t>
  </si>
  <si>
    <t>preso dal s1</t>
  </si>
  <si>
    <t>preso dal s2</t>
  </si>
  <si>
    <t>preso dal s3</t>
  </si>
  <si>
    <t>s1 dopo il prelievo</t>
  </si>
  <si>
    <t>s2 dopo il prelievo</t>
  </si>
  <si>
    <t>s3 dopo il prelievo</t>
  </si>
  <si>
    <t>totale dopo il prelievo</t>
  </si>
  <si>
    <t>travaso</t>
  </si>
  <si>
    <t>CHE COSA DICE LA TRACCIA</t>
  </si>
  <si>
    <t>Primo anno in cui la quota azionaria supera l'80%</t>
  </si>
  <si>
    <t>Primo anno in cui il portafoglio e' interamente azionario</t>
  </si>
  <si>
    <t>Minimo dell'indice</t>
  </si>
  <si>
    <t>Anni per rifare il massimo dal minimo</t>
  </si>
  <si>
    <t>Anni dal picco al recupero (i due anni di crollo compresi)</t>
  </si>
  <si>
    <t>Anni di spesa coperti dai due secchi difensivi all'inizio</t>
  </si>
  <si>
    <t>Otto anni di copertura contro quasi dodici anni dal picco al recupero: otto e' minore di dodici, e il resto e' aritmetica. Al decimo anno Roberta e' al cento per cento di azionario, e non perche' abbia deciso qualcosa: perche' la regola gliel'ha imposto. La colonna della quota azionaria diventa ROSSA sopra l'ottanta per cento.</t>
  </si>
  <si>
    <t>L'identita' di Kitces e' un teorema, e i teoremi hanno ipotesi</t>
  </si>
  <si>
    <t>CONVENZIONE DEL PRELIEVO — 1 = fine anno (Kitces) · 0 = inizio anno</t>
  </si>
  <si>
    <t>Spesa di prova (abbassata finche' entrambi i bracci sopravvivono)</t>
  </si>
  <si>
    <t>Le tre ipotesi del teorema: prelievo di FINE ANNO, imposte NULLE, costi NULLI. Questo foglio ne rimuove una sola — la convenzione temporale — e mostra che l'identita' si rompe. Le altre due si rimuovono nel foglio 9. Con la spesa vera di Roberta i due bracci si esauriscono entrambi, e due zeri non dimostrano niente (secondo corollario dei vincoli): per questo la spesa di prova e' piu' bassa.</t>
  </si>
  <si>
    <t>azioni</t>
  </si>
  <si>
    <t>obbligazioni</t>
  </si>
  <si>
    <t>liquidita'</t>
  </si>
  <si>
    <t>dal s1</t>
  </si>
  <si>
    <t>dal s2</t>
  </si>
  <si>
    <t>dal s3</t>
  </si>
  <si>
    <t>L'ESITO</t>
  </si>
  <si>
    <t>Patrimonio finale — prelievo PRO-QUOTA (total return)</t>
  </si>
  <si>
    <t>Patrimonio finale — REGOLE DEI SECCHI (liquidita', poi obbligazioni, poi azioni)</t>
  </si>
  <si>
    <t>DIFFERENZA</t>
  </si>
  <si>
    <t>Metti 0 nella cella B4 e guarda la riga della differenza: con il prelievo a inizio anno la sacca da cui esci cambia l'allocazione con cui affronti l'anno, e il ribilanciamento arriva dopo che il danno e' fatto. E' la dimostrazione piu' efficace che l'identita' non e' un risultato di simulazione ma un teorema con tre ipotesi.</t>
  </si>
  <si>
    <t>GATE DI VALIDAZIONE (dal dossier): con il prelievo di fine anno la differenza deve essere zero, con quello di inizio anno deve essere diversa da zero. Se e' zero in tutti e due i casi, il foglio e' sbagliato.</t>
  </si>
  <si>
    <t>Tre sacche separate contro un ETF multi-asset — il conto completo</t>
  </si>
  <si>
    <t>Spesa di confronto (livello a cui tutte le costruzioni sopravvivono)</t>
  </si>
  <si>
    <t>Spesa vera di Roberta (per il test di durata)</t>
  </si>
  <si>
    <t>CONVENZIONE DICHIARATA: prelievo di FINE anno, ribilanciamento a inizio anno trattato come EVENTO FISCALE (in Italia ribilanciare vuol dire vendere), aliquote 26% sull'ETF azionario, 12,5% sui titoli di Stato, 0% sulla liquidita' gia' tassata. L'imposta del ribilanciamento e' pagata con parte del ricavato e il resto viene reinvestito nelle sacche sottopeso in proporzione al difetto. Dentro un ETF multi-asset il ribilanciamento e' INTERNO e non realizza niente.</t>
  </si>
  <si>
    <t>IL CONFRONTO, ALLA SPESA DI CONFRONTO</t>
  </si>
  <si>
    <t>Costruzione</t>
  </si>
  <si>
    <t>Patrimonio finale</t>
  </si>
  <si>
    <t>Differenza contro le tre sacche pro-quota</t>
  </si>
  <si>
    <t>in %</t>
  </si>
  <si>
    <t>Tre sacche separate — prelievo pro-quota</t>
  </si>
  <si>
    <t>Tre sacche separate — regole dei secchi</t>
  </si>
  <si>
    <t>ETF multi-asset unico — ribilanciamento esentasse</t>
  </si>
  <si>
    <t>Tre sacche con l'obbligazionario tassato al 26%</t>
  </si>
  <si>
    <t>ETF multi-asset con un decimo di punto di TER in piu'</t>
  </si>
  <si>
    <t>I TRE TERMINI DEL CONTO — il vantaggio dell'ETF unico non e' gratis</t>
  </si>
  <si>
    <t>1. Vantaggio lordo del ribilanciamento esentasse</t>
  </si>
  <si>
    <t>2. MENO: l'aliquota agevolata del 12,5% persa sui titoli di Stato</t>
  </si>
  <si>
    <t>3. MENO: un decimo di punto di TER in piu', per tutto l'orizzonte</t>
  </si>
  <si>
    <t>NETTO — quello che resta del vantaggio</t>
  </si>
  <si>
    <t>Imposta cumulata: tre sacche / ETF unico / differenza</t>
  </si>
  <si>
    <t>L'ORDINE DI LIQUIDAZIONE IN ITALIA — quanto vale davvero</t>
  </si>
  <si>
    <t>Tre sacche, prelievo pro-quota — patrimonio finale / imposta</t>
  </si>
  <si>
    <t>Tre sacche, regole dei secchi — patrimonio finale / imposta</t>
  </si>
  <si>
    <t>DIFFERENZA — in euro / in percentuale / di imposta</t>
  </si>
  <si>
    <t>CONTROLLO DI CONSERVAZIONE — chi paga meno imposta finisce piu' ricco?</t>
  </si>
  <si>
    <t>I due bracci ribilanciano alle stesse quote, quindi l'unica grandezza che puo' separarli e' l'imposta pagata: il braccio che ne paga meno DEVE finire piu' ricco. La riga di controllo lo verifica a ogni ricalcolo. In Italia l'ordine di liquidazione vale qualche decimo di punto e il segno favorisce LEGGERMENTE il secchio, perche' prelevare dalla liquidita' gia' tassata non realizza plusvalenza. Non e' un vantaggio rilevante e non salva il secchio: il costo vero e' il cash drag del foglio 5.</t>
  </si>
  <si>
    <t>E ALLA SPESA VERA IL SEGNO SI INVERTE — durata in anni</t>
  </si>
  <si>
    <t>Anni di durata alla spesa vera</t>
  </si>
  <si>
    <t>Tre sacche separate — pro-quota</t>
  </si>
  <si>
    <t>ETF multi-asset unico</t>
  </si>
  <si>
    <t>A tassi di prelievo alti il vantaggio si inverte: l'ETF unico paga il 26% su ogni prelievo fin dal primo anno, mentre chi ha una sacca di liquidita' gia' tassata preleva senza imposta finche' quella dura. Il vantaggio dell'ETF multi-asset e' una FUNZIONE DELL'ORIZZONTE.</t>
  </si>
  <si>
    <t>LA RAGIONE FORTE NON E' FISCALE. Dentro un ETF multi-asset la strategia a secchi e' IMPOSSIBILE PER COSTRUZIONE: non puoi vendere solo la parte obbligazionaria, perche' ogni rimborso e' pro-quota — cioe' esattamente il total return di Kitces, imposto dallo strumento invece che dalla disciplina.</t>
  </si>
  <si>
    <t>latente azioni</t>
  </si>
  <si>
    <t>latente obbl.</t>
  </si>
  <si>
    <t>eccesso azioni</t>
  </si>
  <si>
    <t>eccesso obbl.</t>
  </si>
  <si>
    <t>eccesso liquid.</t>
  </si>
  <si>
    <t>imposta del ribilanciamento</t>
  </si>
  <si>
    <t>cassa da reinvestire</t>
  </si>
  <si>
    <t>somma dei difetti</t>
  </si>
  <si>
    <t>azioni post-rib.</t>
  </si>
  <si>
    <t>base azioni</t>
  </si>
  <si>
    <t>obbl. post-rib.</t>
  </si>
  <si>
    <t>base obbl.</t>
  </si>
  <si>
    <t>liquid. post-rib.</t>
  </si>
  <si>
    <t>base liquid.</t>
  </si>
  <si>
    <t>azioni post-rend.</t>
  </si>
  <si>
    <t>obbl. post-rend.</t>
  </si>
  <si>
    <t>liquid. post-rend.</t>
  </si>
  <si>
    <t>latente az. al prelievo</t>
  </si>
  <si>
    <t>latente obbl. al prelievo</t>
  </si>
  <si>
    <t>lordo azioni</t>
  </si>
  <si>
    <t>lordo obbl.</t>
  </si>
  <si>
    <t>lordo liquid.</t>
  </si>
  <si>
    <t>AZIONI</t>
  </si>
  <si>
    <t>OBBLIGAZIONI</t>
  </si>
  <si>
    <t>LIQUIDITA'</t>
  </si>
  <si>
    <t>valore ante prelievo</t>
  </si>
  <si>
    <t>VALORE</t>
  </si>
  <si>
    <t>La regola di Benz: dimensionare il secchio sul fabbisogno netto</t>
  </si>
  <si>
    <t>Christine Benz scrive di sottrarre le entrate certe: il secchio si misura su quello che IL PORTAFOGLIO deve pagare, non su tutto quello che spendi. Dal 2048, con la pensione, il secchio di Roberta si dimezza da solo. La regola di refill resta UNA SOLA e resta quella dichiarata nel foglio 1: riempie fino al target e non svuota mai. Quando il target scende, l'eccedenza resta nel secchio.</t>
  </si>
  <si>
    <t>IL CONFRONTO FRA LE DUE REGOLE DI DIMENSIONAMENTO</t>
  </si>
  <si>
    <t>Taglia del secchio</t>
  </si>
  <si>
    <t>Secchio = N x spesa lorda</t>
  </si>
  <si>
    <t>Secchio = N x fabbisogno netto (Benz)</t>
  </si>
  <si>
    <t>GUADAGNO</t>
  </si>
  <si>
    <t>in % del tenore di vita</t>
  </si>
  <si>
    <t>IL NUMERO DEL SEGMENTO — guadagno con la taglia dichiarata del caso</t>
  </si>
  <si>
    <t>E' l'unica cosa gratis di tutto il video: non cambia il rischio, non cambia l'allocazione, non chiede di vendere niente. Cambia solo il modo di misurare il secchio. E vale piu' del bollo che paghi sul secchio stesso.</t>
  </si>
  <si>
    <t>SENSIBILITA' ALLA CONVENZIONE, dichiarata perche' pesa piu' di un euro: se invece di lasciare l'eccedenza nel secchio la si RESTITUISCE al portafoglio quando il target scende, il guadagno a due anni sale di circa cinque euro. Le due letture differiscono perche' la seconda aggiunge una seconda regola — svuotare — a un impianto che ne dichiara una sola. Questo foglio applica la regola unica.</t>
  </si>
  <si>
    <t>BENZ — secchio = 1 x fabbisogno netto</t>
  </si>
  <si>
    <t>BENZ — secchio = 2 x fabbisogno netto</t>
  </si>
  <si>
    <t>BENZ — secchio = 3 x fabbisogno netto</t>
  </si>
  <si>
    <t>BENZ — secchio = 5 x fabbisogno netto</t>
  </si>
  <si>
    <t>Il cruscotto: i numeri che il video porta a schermo, tutti ricalcolati</t>
  </si>
  <si>
    <t>I NUMERI DI TESTA</t>
  </si>
  <si>
    <t>Patrimonio investito</t>
  </si>
  <si>
    <t>Base di costo</t>
  </si>
  <si>
    <t>Plusvalenza latente</t>
  </si>
  <si>
    <t>Aliquota effettiva sulla vendita</t>
  </si>
  <si>
    <t>Tasso di risparmio implicito</t>
  </si>
  <si>
    <t>Spesa di cassa mensile di Roberta</t>
  </si>
  <si>
    <t>Denominatore ISTAT omogeneo</t>
  </si>
  <si>
    <t>Scala di cassa del prelievo</t>
  </si>
  <si>
    <t>Scala omogenea</t>
  </si>
  <si>
    <t>Scala col bollo</t>
  </si>
  <si>
    <t>Spesa massima sostenibile con due anni di secchio</t>
  </si>
  <si>
    <t>COSTO DI DUE ANNI DI SECCHIO</t>
  </si>
  <si>
    <t>Costo in percentuale del tenore di vita</t>
  </si>
  <si>
    <t>Di quanto e' corta Roberta, ogni anno</t>
  </si>
  <si>
    <t>Anni di autonomia senza secchio</t>
  </si>
  <si>
    <t>Anni di autonomia con due anni di secchio</t>
  </si>
  <si>
    <t>Imposta cumulata senza secchio</t>
  </si>
  <si>
    <t>Imposta cumulata con due anni di secchio</t>
  </si>
  <si>
    <t>Risparmio d'imposta col secchio</t>
  </si>
  <si>
    <t>Bollo cumulato senza secchio / con due anni</t>
  </si>
  <si>
    <t>Soglia di pareggio per eseguito (Evensky)</t>
  </si>
  <si>
    <t>Forbice della copertura in anni</t>
  </si>
  <si>
    <t>Forbice della copertura in euro (anni pieni)</t>
  </si>
  <si>
    <t>Attrito annuo del 26% sugli interessi del secchio</t>
  </si>
  <si>
    <t>Attrito capitalizzato sull'orizzonte</t>
  </si>
  <si>
    <t>Guadagno della regola di Benz alla taglia dichiarata</t>
  </si>
  <si>
    <t>Quota azionaria al decimo anno della traccia di refill</t>
  </si>
  <si>
    <t>CONTROLLI DEL MOTORE — devono essere tutti VERDI</t>
  </si>
  <si>
    <t>La latente e' derivata e positiva</t>
  </si>
  <si>
    <t>Il patrimonio e' la somma delle due componenti</t>
  </si>
  <si>
    <t>Identita' di Kitces: a fine anno i due bracci coincidono</t>
  </si>
  <si>
    <t>Conservazione sull'ordine di liquidazione (foglio 9)</t>
  </si>
  <si>
    <t>La spesa di Roberta e' sopra il sostenibile (il piano non regge)</t>
  </si>
  <si>
    <t>La banda del costo sta fra il 3% e il 7% del tenore di vita</t>
  </si>
  <si>
    <t>ANTI-RESIDUI (G4) — valori superati che NON devono ricomparire</t>
  </si>
  <si>
    <t>La lista si verifica con un grep sul testo del video E sui valori calcolati di questa cartella. Le voci sono valori SUPERATI dalla catena adversarial, non divieti di pubblicare numeri.</t>
  </si>
  <si>
    <t>Valore superato</t>
  </si>
  <si>
    <t>Che cosa dice il motore</t>
  </si>
  <si>
    <t>-25,5% e -114.537 € come effetto dell'ordine di liquidazione</t>
  </si>
  <si>
    <t>il motore del foglio 9 misura qualche decimo di punto, con il segno opposto</t>
  </si>
  <si>
    <t>448.639 e 334.102 come patrimoni finali dei due bracci</t>
  </si>
  <si>
    <t>sostituiti dai valori del foglio 9</t>
  </si>
  <si>
    <t>Qualunque vantaggio fiscale RILEVANTE del secchio</t>
  </si>
  <si>
    <t>il vantaggio esiste ed e' di frazioni di punto: va detto e superato</t>
  </si>
  <si>
    <t>25.000 € di imposte risparmiate col secchio</t>
  </si>
  <si>
    <t>il valore del motore e' nella cella B24 del cruscotto</t>
  </si>
  <si>
    <t>70,46 € di commissione di pareggio per eseguito</t>
  </si>
  <si>
    <t>il valore del motore e' nella cella B26 del cruscotto</t>
  </si>
  <si>
    <t>6.000 € di forbice della copertura</t>
  </si>
  <si>
    <t>il valore del motore e' nelle celle B27-B28 del cruscotto</t>
  </si>
  <si>
    <t>I sei valori della parametrizzazione da circa 480.161 €</t>
  </si>
  <si>
    <t>una sola parametrizzazione in tutto il file, quella del foglio 2</t>
  </si>
  <si>
    <t>«meno di settantacinque euro» per le leve minori</t>
  </si>
  <si>
    <t>il motore misura lo scarto massimo nel foglio 6: si dice «meno di cento»</t>
  </si>
  <si>
    <t>«a inizio anno i due bracci non coincidono mai»</t>
  </si>
  <si>
    <t>il foglio 8 misura la divergenza: non e' un mai</t>
  </si>
  <si>
    <t>84,0% come quota delle scene sostantive</t>
  </si>
  <si>
    <t>conteggio della scaletta, non di questo file</t>
  </si>
  <si>
    <t>1.426-1.887 €/mese come forbice della spesa di cassa</t>
  </si>
  <si>
    <t>la forbice del motore e' nelle celle B35-C35 del foglio 2</t>
  </si>
  <si>
    <t>«piu' della durata media di un mercato orso»</t>
  </si>
  <si>
    <t>il Nikkei ha impiegato 34 anni e 2 mesi: il parametro e' in P-Parametri</t>
  </si>
  <si>
    <t>194 € come guadagno della regola di Benz</t>
  </si>
  <si>
    <t>il valore del motore e' nel foglio 10, colonna D</t>
  </si>
  <si>
    <t>DA RIFARE PRIMA DEL GO-LIVE</t>
  </si>
  <si>
    <t>1. FATTO — GATE CHIUSO IL 9 SETTEMBRE 2026. L'asta BOT 12 mesi del 09/09/2026 (ISIN IT0005730681, prezzo fiscale 97,080, 365 giorni, rendimento medio ponderato 2,967%) e' stata pubblicata e sostituisce in P-Parametri riga 15 quella del 12/08/2026. Tutto il foglio 3, la griglia del foglio 4 e la banda del foglio 6 si sono mossi da soli.</t>
  </si>
  <si>
    <t>2. REFRESH GENNAIO 2027 su tutti i tassi di P-Parametri e sulla tavola ISTAT, che sara' aggiornata all'anno 2025.</t>
  </si>
  <si>
    <t>3. FISCALITA' — le aliquote di questo file sono la FOTOGRAFIA del 2026. Il D.Lgs. 117/2026 ricodifica il testo unico delle imposte sui redditi con effetti dal 1° gennaio 2027 (art. 377) e abroga le norme previgenti dalla stessa data (art. 376 c. 1), con clausola di continuita' dei rinvii al comma 2: e' una RICODIFICAZIONE, non una soppressione. Le aliquote non cambiano per effetto del testo unico; cambiano i numeri d'articolo, quindi i riferimenti per numero vanno riverificati.</t>
  </si>
  <si>
    <t>4. FATTO — GATE CHIUSO IL 9 SETTEMBRE 2026. Il rendimento dei BTP a medio termine e' stato rilevato sui prezzi Borsa Italiana-MOT del 9/9/2026 dei quattro titoli del paniere di canale (media 3,81% contro il 3,49% del 14/8/2026, prezzi scesi di 1,39-2,25 punti). E' l'estremo ALTO della forbice di copertura del foglio 3: la forbice si e' mossa, e i numeri a schermo che ne dipendono sono stati riallineati.</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</si>
</sst>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0&quot; €&quot;"/>
    <numFmt numFmtId="165" formatCode="#,##0.00&quot; €&quot;"/>
    <numFmt numFmtId="166" formatCode="0.000%"/>
    <numFmt numFmtId="167" formatCode="0.000"/>
    <numFmt numFmtId="168" formatCode="0.0%"/>
    <numFmt numFmtId="169" formatCode="0.0000%"/>
    <numFmt numFmtId="170" formatCode="0.0"/>
    <numFmt numFmtId="171" formatCode="0.0000"/>
    <numFmt numFmtId="172" formatCode="0.000000"/>
    <numFmt numFmtId="173" formatCode="0.000&quot; pt&quot;"/>
    <numFmt numFmtId="174" formatCode="#,##0.0000&quot; €&quot;"/>
  </numFmts>
  <fonts count="8">
    <font>
      <sz val="11"/>
      <color theme="1"/>
      <name val="Calibri"/>
      <family val="2"/>
      <scheme val="minor"/>
    </font>
    <font>
      <b/>
      <sz val="16"/>
      <color rgb="FF1E40AF"/>
      <name val="Calibri"/>
    </font>
    <font>
      <i/>
      <sz val="10"/>
      <color rgb="FF991B1B"/>
      <name val="Calibri"/>
    </font>
    <font>
      <b/>
      <sz val="14"/>
      <name val="Calibri"/>
    </font>
    <font>
      <b/>
      <sz val="11"/>
      <name val="Calibri"/>
    </font>
    <font>
      <sz val="11"/>
      <name val="Calibri"/>
    </font>
    <font>
      <i/>
      <sz val="9"/>
      <color rgb="FF666666"/>
      <name val="Calibri"/>
    </font>
    <font>
      <b/>
      <sz val="13"/>
      <color rgb="FFFFFFFF"/>
      <name val="Calibri"/>
    </font>
  </fonts>
  <fills count="8">
    <fill>
      <patternFill patternType="none"/>
    </fill>
    <fill>
      <patternFill patternType="gray125"/>
    </fill>
    <fill>
      <patternFill patternType="solid">
        <fgColor rgb="FFFEE2E2"/>
      </patternFill>
    </fill>
    <fill>
      <patternFill patternType="solid">
        <fgColor rgb="FF1E40AF"/>
      </patternFill>
    </fill>
    <fill>
      <patternFill patternType="solid">
        <fgColor rgb="FFFFF59D"/>
      </patternFill>
    </fill>
    <fill>
      <patternFill patternType="solid">
        <fgColor rgb="FFC8E6C9"/>
      </patternFill>
    </fill>
    <fill>
      <patternFill patternType="solid">
        <fgColor rgb="FFFAFAFA"/>
      </patternFill>
    </fill>
    <fill>
      <patternFill patternType="solid">
        <fgColor rgb="FFDBEAFE"/>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7">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4" fillId="0" borderId="1" xfId="0" applyFont="1" applyBorder="1" applyAlignment="1">
      <alignment horizontal="left" vertical="center" wrapText="1"/>
    </xf>
    <xf numFmtId="1" fontId="5" fillId="4" borderId="1" xfId="0" applyNumberFormat="1" applyFont="1" applyFill="1" applyBorder="1" applyAlignment="1">
      <alignment horizontal="right" vertical="center"/>
    </xf>
    <xf numFmtId="164" fontId="5" fillId="4" borderId="1" xfId="0" applyNumberFormat="1" applyFont="1" applyFill="1" applyBorder="1" applyAlignment="1">
      <alignment horizontal="right" vertical="center"/>
    </xf>
    <xf numFmtId="10" fontId="5" fillId="4" borderId="1" xfId="0" applyNumberFormat="1" applyFont="1" applyFill="1" applyBorder="1" applyAlignment="1">
      <alignment horizontal="right" vertical="center"/>
    </xf>
    <xf numFmtId="165" fontId="5" fillId="4" borderId="1" xfId="0" applyNumberFormat="1" applyFont="1" applyFill="1" applyBorder="1" applyAlignment="1">
      <alignment horizontal="right" vertical="center"/>
    </xf>
    <xf numFmtId="1" fontId="5" fillId="5" borderId="1" xfId="0" applyNumberFormat="1" applyFont="1" applyFill="1" applyBorder="1" applyAlignment="1">
      <alignment horizontal="right" vertical="center"/>
    </xf>
    <xf numFmtId="10" fontId="5" fillId="5" borderId="1" xfId="0" applyNumberFormat="1" applyFont="1" applyFill="1" applyBorder="1" applyAlignment="1">
      <alignment horizontal="right" vertical="center"/>
    </xf>
    <xf numFmtId="0" fontId="6" fillId="6" borderId="0" xfId="0" applyFont="1" applyFill="1" applyAlignment="1">
      <alignment horizontal="left" vertical="center" wrapText="1"/>
    </xf>
    <xf numFmtId="166" fontId="5" fillId="4" borderId="1" xfId="0" applyNumberFormat="1" applyFont="1" applyFill="1" applyBorder="1" applyAlignment="1">
      <alignment horizontal="right" vertical="center"/>
    </xf>
    <xf numFmtId="167" fontId="5" fillId="4" borderId="1" xfId="0" applyNumberFormat="1" applyFont="1" applyFill="1" applyBorder="1" applyAlignment="1">
      <alignment horizontal="right" vertical="center"/>
    </xf>
    <xf numFmtId="168" fontId="5" fillId="4" borderId="1" xfId="0" applyNumberFormat="1" applyFont="1" applyFill="1" applyBorder="1" applyAlignment="1">
      <alignment horizontal="right" vertical="center"/>
    </xf>
    <xf numFmtId="169" fontId="5" fillId="4" borderId="1" xfId="0" applyNumberFormat="1" applyFont="1" applyFill="1" applyBorder="1" applyAlignment="1">
      <alignment horizontal="right" vertical="center"/>
    </xf>
    <xf numFmtId="170" fontId="5" fillId="5" borderId="1" xfId="0" applyNumberFormat="1" applyFont="1" applyFill="1" applyBorder="1" applyAlignment="1">
      <alignment horizontal="right" vertical="center"/>
    </xf>
    <xf numFmtId="165" fontId="5" fillId="5" borderId="1" xfId="0" applyNumberFormat="1" applyFont="1" applyFill="1" applyBorder="1" applyAlignment="1">
      <alignment horizontal="right" vertical="center"/>
    </xf>
    <xf numFmtId="171" fontId="5" fillId="4" borderId="1" xfId="0" applyNumberFormat="1" applyFont="1" applyFill="1" applyBorder="1" applyAlignment="1">
      <alignment horizontal="right" vertical="center"/>
    </xf>
    <xf numFmtId="164" fontId="5" fillId="5" borderId="1" xfId="0" applyNumberFormat="1" applyFont="1" applyFill="1" applyBorder="1" applyAlignment="1">
      <alignment horizontal="right" vertical="center"/>
    </xf>
    <xf numFmtId="169" fontId="5" fillId="5" borderId="1" xfId="0" applyNumberFormat="1" applyFont="1" applyFill="1" applyBorder="1" applyAlignment="1">
      <alignment horizontal="right" vertical="center"/>
    </xf>
    <xf numFmtId="172" fontId="5" fillId="5" borderId="1" xfId="0" applyNumberFormat="1" applyFont="1" applyFill="1" applyBorder="1" applyAlignment="1">
      <alignment horizontal="right" vertical="center"/>
    </xf>
    <xf numFmtId="168" fontId="5" fillId="5" borderId="1" xfId="0" applyNumberFormat="1" applyFont="1" applyFill="1" applyBorder="1" applyAlignment="1">
      <alignment horizontal="right" vertical="center"/>
    </xf>
    <xf numFmtId="0" fontId="5" fillId="5" borderId="1" xfId="0" applyFont="1" applyFill="1" applyBorder="1" applyAlignment="1">
      <alignment horizontal="right" vertical="center"/>
    </xf>
    <xf numFmtId="0" fontId="4" fillId="7" borderId="1" xfId="0" applyFont="1" applyFill="1" applyBorder="1" applyAlignment="1">
      <alignment horizontal="center" vertical="center" wrapText="1"/>
    </xf>
    <xf numFmtId="166" fontId="5" fillId="5" borderId="1" xfId="0" applyNumberFormat="1" applyFont="1" applyFill="1" applyBorder="1" applyAlignment="1">
      <alignment horizontal="right" vertical="center"/>
    </xf>
    <xf numFmtId="173" fontId="5" fillId="5" borderId="1" xfId="0" applyNumberFormat="1" applyFont="1" applyFill="1" applyBorder="1" applyAlignment="1">
      <alignment horizontal="right" vertical="center"/>
    </xf>
    <xf numFmtId="167" fontId="5" fillId="5" borderId="1" xfId="0" applyNumberFormat="1" applyFont="1" applyFill="1" applyBorder="1" applyAlignment="1">
      <alignment horizontal="right" vertical="center"/>
    </xf>
    <xf numFmtId="171" fontId="5" fillId="5" borderId="1" xfId="0" applyNumberFormat="1" applyFont="1" applyFill="1" applyBorder="1" applyAlignment="1">
      <alignment horizontal="right" vertical="center"/>
    </xf>
    <xf numFmtId="2" fontId="5" fillId="5" borderId="1" xfId="0" applyNumberFormat="1" applyFont="1" applyFill="1" applyBorder="1" applyAlignment="1">
      <alignment horizontal="right" vertical="center"/>
    </xf>
    <xf numFmtId="174" fontId="5" fillId="5" borderId="1" xfId="0" applyNumberFormat="1" applyFont="1" applyFill="1" applyBorder="1" applyAlignment="1">
      <alignment horizontal="right" vertical="center"/>
    </xf>
    <xf numFmtId="0" fontId="2" fillId="2" borderId="0" xfId="0" applyFont="1" applyFill="1" applyAlignment="1">
      <alignment horizontal="left" vertical="center" wrapText="1"/>
    </xf>
    <xf numFmtId="0" fontId="0" fillId="0" borderId="0" xfId="0"/>
    <xf numFmtId="0" fontId="1" fillId="0" borderId="0" xfId="0" applyFont="1"/>
    <xf numFmtId="0" fontId="6" fillId="6" borderId="0" xfId="0" applyFont="1" applyFill="1" applyAlignment="1">
      <alignment horizontal="left" vertical="center" wrapText="1"/>
    </xf>
    <xf numFmtId="0" fontId="7" fillId="3" borderId="0" xfId="0" applyFont="1" applyFill="1" applyAlignment="1">
      <alignment horizontal="center" vertical="center" wrapText="1"/>
    </xf>
  </cellXfs>
  <cellStyles count="1">
    <cellStyle name="Normal" xfId="0" builtinId="0"/>
  </cellStyles>
  <dxfs count="1">
    <dxf>
      <font>
        <b/>
        <sz val="11"/>
        <color rgb="FF991B1B"/>
        <name val="Calibri"/>
      </font>
      <fill>
        <patternFill patternType="solid">
          <fgColor rgb="FFFECAC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Views>
    <sheetView tabSelected="1" workbookViewId="0">
      <selection sqref="A1:B1"/>
    </sheetView>
  </sheetViews>
  <sheetFormatPr defaultRowHeight="15"/>
  <cols>
    <col min="1" max="1" width="60" customWidth="1"/>
    <col min="2" max="2" width="30" customWidth="1"/>
  </cols>
  <sheetData>
    <row r="1" spans="1:2" ht="32.1" customHeight="1">
      <c r="A1" s="34" t="s">
        <v>0</v>
      </c>
      <c r="B1" s="33"/>
    </row>
    <row r="2" spans="1:2" ht="32.1" customHeight="1">
      <c r="A2" s="32" t="s">
        <v>1</v>
      </c>
      <c r="B2" s="33"/>
    </row>
    <row r="4" spans="1:2" ht="18.75">
      <c r="A4" s="1" t="s">
        <v>2</v>
      </c>
    </row>
    <row r="5" spans="1:2" ht="21.95" customHeight="1">
      <c r="A5" s="2" t="s">
        <v>3</v>
      </c>
      <c r="B5" s="3" t="s">
        <v>4</v>
      </c>
    </row>
    <row r="6" spans="1:2" ht="21.95" customHeight="1">
      <c r="A6" s="2" t="s">
        <v>5</v>
      </c>
      <c r="B6" s="3" t="s">
        <v>6</v>
      </c>
    </row>
    <row r="7" spans="1:2" ht="21.95" customHeight="1">
      <c r="A7" s="2" t="s">
        <v>7</v>
      </c>
      <c r="B7" s="3" t="s">
        <v>8</v>
      </c>
    </row>
    <row r="8" spans="1:2" ht="21.95" customHeight="1">
      <c r="A8" s="2" t="s">
        <v>9</v>
      </c>
      <c r="B8" s="3" t="s">
        <v>10</v>
      </c>
    </row>
    <row r="9" spans="1:2" ht="21.95" customHeight="1">
      <c r="A9" s="2" t="s">
        <v>11</v>
      </c>
      <c r="B9" s="3" t="s">
        <v>12</v>
      </c>
    </row>
    <row r="10" spans="1:2" ht="21.95" customHeight="1">
      <c r="A10" s="2" t="s">
        <v>13</v>
      </c>
      <c r="B10" s="3" t="s">
        <v>14</v>
      </c>
    </row>
    <row r="11" spans="1:2" ht="21.95" customHeight="1">
      <c r="A11" s="2" t="s">
        <v>15</v>
      </c>
      <c r="B11" s="3" t="s">
        <v>16</v>
      </c>
    </row>
    <row r="12" spans="1:2" ht="21.95" customHeight="1">
      <c r="A12" s="2" t="s">
        <v>17</v>
      </c>
      <c r="B12" s="3" t="s">
        <v>18</v>
      </c>
    </row>
    <row r="13" spans="1:2" ht="21.95" customHeight="1">
      <c r="A13" s="2" t="s">
        <v>19</v>
      </c>
      <c r="B13" s="3" t="s">
        <v>20</v>
      </c>
    </row>
    <row r="14" spans="1:2" ht="21.95" customHeight="1">
      <c r="A14" s="2" t="s">
        <v>21</v>
      </c>
      <c r="B14" s="3" t="s">
        <v>22</v>
      </c>
    </row>
    <row r="15" spans="1:2" ht="21.95" customHeight="1">
      <c r="A15" s="2" t="s">
        <v>23</v>
      </c>
      <c r="B15" s="3" t="s">
        <v>24</v>
      </c>
    </row>
    <row r="16" spans="1:2" ht="21.95" customHeight="1">
      <c r="A16" s="2" t="s">
        <v>25</v>
      </c>
      <c r="B16" s="3" t="s">
        <v>26</v>
      </c>
    </row>
    <row r="18" spans="1:1" ht="18.75">
      <c r="A18" s="1" t="s">
        <v>27</v>
      </c>
    </row>
    <row r="19" spans="1:1">
      <c r="A19" s="3" t="s">
        <v>28</v>
      </c>
    </row>
    <row r="20" spans="1:1">
      <c r="A20" s="3" t="s">
        <v>29</v>
      </c>
    </row>
    <row r="21" spans="1:1">
      <c r="A21" s="3" t="s">
        <v>30</v>
      </c>
    </row>
    <row r="22" spans="1:1">
      <c r="A22" s="3" t="s">
        <v>31</v>
      </c>
    </row>
    <row r="24" spans="1:1" ht="18.75">
      <c r="A24" s="1" t="s">
        <v>32</v>
      </c>
    </row>
    <row r="25" spans="1:1">
      <c r="A25" s="3" t="s">
        <v>33</v>
      </c>
    </row>
    <row r="26" spans="1:1">
      <c r="A26" s="3" t="s">
        <v>34</v>
      </c>
    </row>
    <row r="27" spans="1:1">
      <c r="A27" s="3" t="s">
        <v>35</v>
      </c>
    </row>
    <row r="28" spans="1:1">
      <c r="A28" s="3" t="s">
        <v>36</v>
      </c>
    </row>
    <row r="29" spans="1:1">
      <c r="A29" s="3" t="s">
        <v>37</v>
      </c>
    </row>
    <row r="30" spans="1:1">
      <c r="A30" s="3" t="s">
        <v>38</v>
      </c>
    </row>
    <row r="31" spans="1:1">
      <c r="A31" s="3" t="s">
        <v>39</v>
      </c>
    </row>
    <row r="32" spans="1:1">
      <c r="A32" s="3" t="s">
        <v>40</v>
      </c>
    </row>
    <row r="33" spans="1:1">
      <c r="A33" s="3" t="s">
        <v>41</v>
      </c>
    </row>
    <row r="34" spans="1:1">
      <c r="A34" s="3" t="s">
        <v>42</v>
      </c>
    </row>
    <row r="35" spans="1:1">
      <c r="A35" s="3" t="s">
        <v>43</v>
      </c>
    </row>
    <row r="37" spans="1:1">
      <c r="A37" s="4" t="s">
        <v>44</v>
      </c>
    </row>
  </sheetData>
  <mergeCells count="2">
    <mergeCell ref="A2:B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Views>
    <sheetView workbookViewId="0"/>
  </sheetViews>
  <sheetFormatPr defaultRowHeight="15"/>
  <cols>
    <col min="1" max="1" width="62" customWidth="1"/>
    <col min="2" max="3" width="18" customWidth="1"/>
    <col min="4" max="4" width="6" customWidth="1"/>
    <col min="5" max="5" width="52" customWidth="1"/>
  </cols>
  <sheetData>
    <row r="1" spans="1:5" ht="24.95" customHeight="1">
      <c r="A1" s="34" t="s">
        <v>45</v>
      </c>
      <c r="B1" s="33"/>
      <c r="C1" s="33"/>
      <c r="D1" s="33"/>
      <c r="E1" s="33"/>
    </row>
    <row r="2" spans="1:5" ht="32.1" customHeight="1">
      <c r="A2" s="32" t="s">
        <v>1</v>
      </c>
      <c r="B2" s="33"/>
      <c r="C2" s="33"/>
      <c r="D2" s="33"/>
      <c r="E2" s="33"/>
    </row>
    <row r="4" spans="1:5">
      <c r="A4" s="36" t="s">
        <v>46</v>
      </c>
      <c r="B4" s="33"/>
      <c r="C4" s="33"/>
      <c r="D4" s="33"/>
      <c r="E4" s="33"/>
    </row>
    <row r="5" spans="1:5">
      <c r="A5" s="5" t="s">
        <v>47</v>
      </c>
      <c r="B5" s="6">
        <v>1979</v>
      </c>
    </row>
    <row r="6" spans="1:5">
      <c r="A6" s="5" t="s">
        <v>48</v>
      </c>
      <c r="B6" s="6">
        <v>47</v>
      </c>
    </row>
    <row r="7" spans="1:5">
      <c r="A7" s="5" t="s">
        <v>49</v>
      </c>
      <c r="B7" s="6">
        <v>2011</v>
      </c>
      <c r="C7" s="6">
        <v>2026</v>
      </c>
    </row>
    <row r="8" spans="1:5">
      <c r="A8" s="5" t="s">
        <v>50</v>
      </c>
      <c r="B8" s="7">
        <v>6500</v>
      </c>
    </row>
    <row r="9" spans="1:5">
      <c r="A9" s="5" t="s">
        <v>51</v>
      </c>
      <c r="B9" s="7">
        <v>240000</v>
      </c>
      <c r="C9" s="6">
        <v>2018</v>
      </c>
    </row>
    <row r="10" spans="1:5">
      <c r="A10" s="5" t="s">
        <v>52</v>
      </c>
      <c r="B10" s="7">
        <v>19800</v>
      </c>
    </row>
    <row r="11" spans="1:5">
      <c r="A11" s="5" t="s">
        <v>53</v>
      </c>
      <c r="B11" s="6">
        <v>92</v>
      </c>
    </row>
    <row r="12" spans="1:5">
      <c r="A12" s="5" t="s">
        <v>54</v>
      </c>
      <c r="B12" s="7">
        <v>11102</v>
      </c>
      <c r="C12" s="6">
        <v>23</v>
      </c>
    </row>
    <row r="13" spans="1:5">
      <c r="A13" s="5" t="s">
        <v>55</v>
      </c>
      <c r="B13" s="7">
        <v>12935</v>
      </c>
    </row>
    <row r="14" spans="1:5">
      <c r="A14" s="5" t="s">
        <v>56</v>
      </c>
      <c r="B14" s="8">
        <v>0.03</v>
      </c>
    </row>
    <row r="15" spans="1:5">
      <c r="A15" s="5" t="s">
        <v>57</v>
      </c>
      <c r="B15" s="6">
        <v>2</v>
      </c>
    </row>
    <row r="16" spans="1:5" ht="30">
      <c r="A16" s="5" t="s">
        <v>58</v>
      </c>
      <c r="B16" s="6">
        <v>1</v>
      </c>
    </row>
    <row r="17" spans="1:5" ht="30">
      <c r="A17" s="5" t="s">
        <v>59</v>
      </c>
      <c r="B17" s="6">
        <v>1</v>
      </c>
    </row>
    <row r="18" spans="1:5" ht="30">
      <c r="A18" s="5" t="s">
        <v>60</v>
      </c>
      <c r="B18" s="8">
        <v>0</v>
      </c>
    </row>
    <row r="19" spans="1:5">
      <c r="A19" s="5" t="s">
        <v>61</v>
      </c>
      <c r="B19" s="9">
        <v>22215.65</v>
      </c>
      <c r="C19" s="7">
        <v>28000</v>
      </c>
    </row>
    <row r="20" spans="1:5" ht="30">
      <c r="A20" s="5" t="s">
        <v>62</v>
      </c>
      <c r="B20" s="6">
        <v>1</v>
      </c>
    </row>
    <row r="21" spans="1:5">
      <c r="A21" s="5" t="s">
        <v>63</v>
      </c>
      <c r="B21" s="8">
        <v>1E-3</v>
      </c>
    </row>
    <row r="22" spans="1:5" ht="30">
      <c r="A22" s="5" t="s">
        <v>64</v>
      </c>
      <c r="B22" s="6">
        <v>1</v>
      </c>
    </row>
    <row r="24" spans="1:5">
      <c r="A24" s="36" t="s">
        <v>65</v>
      </c>
      <c r="B24" s="33"/>
      <c r="C24" s="33"/>
      <c r="D24" s="33"/>
      <c r="E24" s="33"/>
    </row>
    <row r="26" spans="1:5">
      <c r="A26" s="5" t="s">
        <v>66</v>
      </c>
      <c r="B26" s="10">
        <f>'1-Input'!$B$11-'1-Input'!$B$6</f>
        <v>45</v>
      </c>
    </row>
    <row r="27" spans="1:5">
      <c r="A27" s="5" t="s">
        <v>67</v>
      </c>
      <c r="B27" s="11">
        <f>ROUND(IF('1-Input'!$B$22=3,'3-Liquidita'!$F$7,IF('1-Input'!$B$22=2,'3-Liquidita'!$F$11,'3-Liquidita'!$F$9)),4)</f>
        <v>-3.5999999999999999E-3</v>
      </c>
    </row>
    <row r="28" spans="1:5">
      <c r="A28" s="5" t="s">
        <v>68</v>
      </c>
      <c r="B28" s="10">
        <f>'1-Input'!$C$7-'1-Input'!$B$7+1</f>
        <v>16</v>
      </c>
    </row>
    <row r="29" spans="1:5">
      <c r="A29" s="5" t="s">
        <v>69</v>
      </c>
      <c r="B29" s="10">
        <f>'1-Input'!$C$7-'1-Input'!$C$9</f>
        <v>8</v>
      </c>
    </row>
    <row r="30" spans="1:5" ht="30">
      <c r="A30" s="5" t="s">
        <v>70</v>
      </c>
      <c r="B30" s="10">
        <f>'1-Input'!$B$5+'1-Input'!$B$6+'1-Input'!$C$12-1</f>
        <v>2048</v>
      </c>
    </row>
    <row r="32" spans="1:5" ht="45" customHeight="1">
      <c r="A32" s="35" t="s">
        <v>71</v>
      </c>
      <c r="B32" s="33"/>
      <c r="C32" s="33"/>
      <c r="D32" s="33"/>
      <c r="E32" s="33"/>
    </row>
    <row r="33" spans="1:5" ht="45" customHeight="1">
      <c r="A33" s="35" t="s">
        <v>72</v>
      </c>
      <c r="B33" s="33"/>
      <c r="C33" s="33"/>
      <c r="D33" s="33"/>
      <c r="E33" s="33"/>
    </row>
    <row r="34" spans="1:5" ht="45" customHeight="1">
      <c r="A34" s="35" t="s">
        <v>73</v>
      </c>
      <c r="B34" s="33"/>
      <c r="C34" s="33"/>
      <c r="D34" s="33"/>
      <c r="E34" s="33"/>
    </row>
    <row r="35" spans="1:5" ht="45" customHeight="1">
      <c r="A35" s="35" t="s">
        <v>74</v>
      </c>
      <c r="B35" s="33"/>
      <c r="C35" s="33"/>
      <c r="D35" s="33"/>
      <c r="E35" s="33"/>
    </row>
  </sheetData>
  <mergeCells count="8">
    <mergeCell ref="A1:E1"/>
    <mergeCell ref="A32:E32"/>
    <mergeCell ref="A34:E34"/>
    <mergeCell ref="A35:E35"/>
    <mergeCell ref="A4:E4"/>
    <mergeCell ref="A24:E24"/>
    <mergeCell ref="A2:E2"/>
    <mergeCell ref="A33:E3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1"/>
  <sheetViews>
    <sheetView workbookViewId="0"/>
  </sheetViews>
  <sheetFormatPr defaultRowHeight="15"/>
  <cols>
    <col min="1" max="1" width="58" customWidth="1"/>
    <col min="2" max="4" width="18" customWidth="1"/>
    <col min="5" max="5" width="46" customWidth="1"/>
  </cols>
  <sheetData>
    <row r="1" spans="1:5" ht="24.95" customHeight="1">
      <c r="A1" s="34" t="s">
        <v>75</v>
      </c>
      <c r="B1" s="33"/>
      <c r="C1" s="33"/>
      <c r="D1" s="33"/>
      <c r="E1" s="33"/>
    </row>
    <row r="2" spans="1:5" ht="32.1" customHeight="1">
      <c r="A2" s="32" t="s">
        <v>1</v>
      </c>
      <c r="B2" s="33"/>
      <c r="C2" s="33"/>
      <c r="D2" s="33"/>
      <c r="E2" s="33"/>
    </row>
    <row r="3" spans="1:5" ht="15" customHeight="1">
      <c r="A3" s="35" t="s">
        <v>76</v>
      </c>
      <c r="B3" s="33"/>
      <c r="C3" s="33"/>
      <c r="D3" s="33"/>
      <c r="E3" s="33"/>
    </row>
    <row r="5" spans="1:5">
      <c r="A5" s="36" t="s">
        <v>77</v>
      </c>
      <c r="B5" s="33"/>
      <c r="C5" s="33"/>
      <c r="D5" s="33"/>
      <c r="E5" s="33"/>
    </row>
    <row r="6" spans="1:5">
      <c r="A6" s="5" t="s">
        <v>78</v>
      </c>
      <c r="B6" s="8">
        <v>0.26</v>
      </c>
    </row>
    <row r="7" spans="1:5">
      <c r="A7" s="5" t="s">
        <v>79</v>
      </c>
      <c r="B7" s="8">
        <v>0.125</v>
      </c>
    </row>
    <row r="8" spans="1:5">
      <c r="A8" s="5" t="s">
        <v>80</v>
      </c>
      <c r="B8" s="8">
        <v>2E-3</v>
      </c>
    </row>
    <row r="9" spans="1:5" ht="30">
      <c r="A9" s="5" t="s">
        <v>81</v>
      </c>
      <c r="B9" s="9">
        <v>34.200000000000003</v>
      </c>
      <c r="C9" s="7">
        <v>5000</v>
      </c>
    </row>
    <row r="10" spans="1:5">
      <c r="A10" s="5" t="s">
        <v>82</v>
      </c>
      <c r="B10" s="8">
        <v>0.02</v>
      </c>
    </row>
    <row r="12" spans="1:5">
      <c r="A12" s="36" t="s">
        <v>83</v>
      </c>
      <c r="B12" s="33"/>
      <c r="C12" s="33"/>
      <c r="D12" s="33"/>
      <c r="E12" s="33"/>
    </row>
    <row r="13" spans="1:5">
      <c r="A13" s="5" t="s">
        <v>84</v>
      </c>
      <c r="B13" s="13">
        <v>2.188E-2</v>
      </c>
      <c r="C13" s="8">
        <v>1E-3</v>
      </c>
    </row>
    <row r="14" spans="1:5" ht="30">
      <c r="A14" s="5" t="s">
        <v>85</v>
      </c>
      <c r="B14" s="8">
        <v>2.2200000000000001E-2</v>
      </c>
      <c r="C14" s="8">
        <v>2.69E-2</v>
      </c>
    </row>
    <row r="15" spans="1:5" ht="150" customHeight="1">
      <c r="A15" s="5" t="s">
        <v>86</v>
      </c>
      <c r="B15" s="14">
        <v>97.08</v>
      </c>
      <c r="C15" s="13">
        <v>2.9669999999999998E-2</v>
      </c>
      <c r="D15" s="6">
        <v>365</v>
      </c>
      <c r="E15" s="12" t="s">
        <v>87</v>
      </c>
    </row>
    <row r="16" spans="1:5">
      <c r="A16" s="5" t="s">
        <v>88</v>
      </c>
      <c r="B16" s="8">
        <v>7.4999999999999997E-3</v>
      </c>
    </row>
    <row r="17" spans="1:5" ht="195" customHeight="1">
      <c r="A17" s="5" t="s">
        <v>89</v>
      </c>
      <c r="B17" s="8">
        <v>3.8100000000000002E-2</v>
      </c>
      <c r="E17" s="12" t="s">
        <v>90</v>
      </c>
    </row>
    <row r="18" spans="1:5" ht="30">
      <c r="A18" s="5" t="s">
        <v>91</v>
      </c>
      <c r="B18" s="8">
        <v>-2.0400000000000001E-2</v>
      </c>
    </row>
    <row r="20" spans="1:5">
      <c r="A20" s="36" t="s">
        <v>92</v>
      </c>
      <c r="B20" s="33"/>
      <c r="C20" s="33"/>
      <c r="D20" s="33"/>
      <c r="E20" s="33"/>
    </row>
    <row r="21" spans="1:5">
      <c r="A21" s="5" t="s">
        <v>93</v>
      </c>
      <c r="B21" s="9">
        <v>2755.09</v>
      </c>
    </row>
    <row r="22" spans="1:5">
      <c r="A22" s="5" t="s">
        <v>94</v>
      </c>
      <c r="B22" s="9">
        <v>984.42</v>
      </c>
    </row>
    <row r="23" spans="1:5">
      <c r="A23" s="5" t="s">
        <v>95</v>
      </c>
      <c r="B23" s="9">
        <v>617.39</v>
      </c>
    </row>
    <row r="24" spans="1:5" ht="30">
      <c r="A24" s="5" t="s">
        <v>96</v>
      </c>
      <c r="B24" s="15">
        <v>0.439</v>
      </c>
    </row>
    <row r="25" spans="1:5">
      <c r="A25" s="5" t="s">
        <v>97</v>
      </c>
      <c r="B25" s="9">
        <v>2096.96</v>
      </c>
    </row>
    <row r="26" spans="1:5" ht="30">
      <c r="A26" s="5" t="s">
        <v>98</v>
      </c>
      <c r="B26" s="15">
        <v>0.55000000000000004</v>
      </c>
    </row>
    <row r="28" spans="1:5">
      <c r="A28" s="36" t="s">
        <v>99</v>
      </c>
      <c r="B28" s="33"/>
      <c r="C28" s="33"/>
      <c r="D28" s="33"/>
      <c r="E28" s="33"/>
    </row>
    <row r="29" spans="1:5">
      <c r="A29" s="5" t="s">
        <v>100</v>
      </c>
      <c r="B29" s="16">
        <v>6.8512000000000003E-2</v>
      </c>
      <c r="C29" s="8">
        <v>5.0000000000000001E-3</v>
      </c>
    </row>
    <row r="30" spans="1:5">
      <c r="A30" s="5" t="s">
        <v>101</v>
      </c>
      <c r="B30" s="8">
        <v>-0.35</v>
      </c>
      <c r="C30" s="8">
        <v>-0.2</v>
      </c>
    </row>
    <row r="31" spans="1:5">
      <c r="A31" s="5" t="s">
        <v>102</v>
      </c>
      <c r="B31" s="8">
        <v>0.6</v>
      </c>
      <c r="C31" s="8">
        <v>0.3</v>
      </c>
      <c r="D31" s="8">
        <v>0.1</v>
      </c>
    </row>
    <row r="33" spans="1:5">
      <c r="A33" s="36" t="s">
        <v>103</v>
      </c>
      <c r="B33" s="33"/>
      <c r="C33" s="33"/>
      <c r="D33" s="33"/>
      <c r="E33" s="33"/>
    </row>
    <row r="34" spans="1:5" ht="30">
      <c r="A34" s="5" t="s">
        <v>104</v>
      </c>
      <c r="B34" s="6">
        <v>2580</v>
      </c>
      <c r="C34" s="6">
        <v>21600</v>
      </c>
      <c r="D34" s="6">
        <v>30</v>
      </c>
    </row>
    <row r="35" spans="1:5">
      <c r="A35" s="5" t="s">
        <v>105</v>
      </c>
      <c r="B35" s="6">
        <v>30</v>
      </c>
    </row>
    <row r="36" spans="1:5" ht="30">
      <c r="A36" s="5" t="s">
        <v>106</v>
      </c>
      <c r="B36" s="17">
        <f>(C34-B34)/D34/B35</f>
        <v>21.133333333333333</v>
      </c>
    </row>
    <row r="38" spans="1:5">
      <c r="A38" s="36" t="s">
        <v>107</v>
      </c>
      <c r="B38" s="33"/>
      <c r="C38" s="33"/>
      <c r="D38" s="33"/>
      <c r="E38" s="33"/>
    </row>
    <row r="39" spans="1:5">
      <c r="A39" s="5" t="s">
        <v>108</v>
      </c>
      <c r="B39" s="15">
        <v>0.27800000000000002</v>
      </c>
    </row>
    <row r="40" spans="1:5">
      <c r="A40" s="5" t="s">
        <v>109</v>
      </c>
      <c r="B40" s="15">
        <v>0.316</v>
      </c>
      <c r="C40" s="15">
        <v>0.316</v>
      </c>
      <c r="D40" s="15">
        <v>0.30099999999999999</v>
      </c>
    </row>
    <row r="41" spans="1:5" ht="30">
      <c r="A41" s="5" t="s">
        <v>110</v>
      </c>
      <c r="B41" s="15">
        <v>-3.5000000000000003E-2</v>
      </c>
      <c r="C41" s="15">
        <v>-0.76600000000000001</v>
      </c>
    </row>
    <row r="43" spans="1:5">
      <c r="A43" s="36" t="s">
        <v>111</v>
      </c>
      <c r="B43" s="33"/>
      <c r="C43" s="33"/>
      <c r="D43" s="33"/>
      <c r="E43" s="33"/>
    </row>
    <row r="44" spans="1:5">
      <c r="A44" s="5" t="s">
        <v>112</v>
      </c>
      <c r="B44" s="6">
        <v>1980</v>
      </c>
    </row>
    <row r="45" spans="1:5">
      <c r="A45" s="5" t="s">
        <v>113</v>
      </c>
      <c r="B45" s="15">
        <v>0.11700000000000001</v>
      </c>
      <c r="C45" s="7">
        <v>249674</v>
      </c>
    </row>
    <row r="46" spans="1:5">
      <c r="A46" s="5" t="s">
        <v>114</v>
      </c>
      <c r="B46" s="15">
        <v>0.13700000000000001</v>
      </c>
      <c r="C46" s="15">
        <v>0.191</v>
      </c>
    </row>
    <row r="47" spans="1:5" ht="30">
      <c r="A47" s="5" t="s">
        <v>115</v>
      </c>
      <c r="B47" s="15">
        <v>0.19700000000000001</v>
      </c>
      <c r="C47" s="15">
        <v>0.72099999999999997</v>
      </c>
      <c r="D47" s="7">
        <v>24923</v>
      </c>
    </row>
    <row r="49" spans="1:5">
      <c r="A49" s="36" t="s">
        <v>116</v>
      </c>
      <c r="B49" s="33"/>
      <c r="C49" s="33"/>
      <c r="D49" s="33"/>
      <c r="E49" s="33"/>
    </row>
    <row r="50" spans="1:5">
      <c r="A50" s="5" t="s">
        <v>117</v>
      </c>
      <c r="B50" s="9">
        <v>958443.8</v>
      </c>
      <c r="C50" s="7">
        <v>40000</v>
      </c>
      <c r="D50" s="18">
        <f>B50-C50</f>
        <v>918443.8</v>
      </c>
    </row>
    <row r="51" spans="1:5">
      <c r="A51" s="5" t="s">
        <v>118</v>
      </c>
      <c r="B51" s="18">
        <f>D50*B31</f>
        <v>551066.28</v>
      </c>
      <c r="C51" s="18">
        <f>D50*C31</f>
        <v>275533.14</v>
      </c>
      <c r="D51" s="18">
        <f>D50*D31</f>
        <v>91844.38</v>
      </c>
    </row>
    <row r="53" spans="1:5">
      <c r="A53" s="36" t="s">
        <v>119</v>
      </c>
      <c r="B53" s="33"/>
      <c r="C53" s="33"/>
      <c r="D53" s="33"/>
      <c r="E53" s="33"/>
    </row>
    <row r="54" spans="1:5">
      <c r="A54" s="5" t="s">
        <v>120</v>
      </c>
      <c r="B54" s="19">
        <v>34.166699999999999</v>
      </c>
    </row>
    <row r="55" spans="1:5">
      <c r="A55" s="5" t="s">
        <v>121</v>
      </c>
      <c r="B55" s="15">
        <v>1.2E-2</v>
      </c>
    </row>
    <row r="56" spans="1:5" ht="30">
      <c r="A56" s="5" t="s">
        <v>122</v>
      </c>
      <c r="B56" s="15">
        <v>1E-3</v>
      </c>
      <c r="C56" s="15">
        <v>8.0000000000000002E-3</v>
      </c>
    </row>
    <row r="57" spans="1:5" ht="30">
      <c r="A57" s="5" t="s">
        <v>123</v>
      </c>
      <c r="B57" s="7">
        <v>14110</v>
      </c>
      <c r="C57" s="20">
        <f>B57*B6</f>
        <v>3668.6</v>
      </c>
      <c r="D57" s="6">
        <v>4</v>
      </c>
    </row>
    <row r="59" spans="1:5" ht="60" customHeight="1">
      <c r="A59" s="35" t="s">
        <v>124</v>
      </c>
      <c r="B59" s="33"/>
      <c r="C59" s="33"/>
      <c r="D59" s="33"/>
      <c r="E59" s="33"/>
    </row>
    <row r="60" spans="1:5" ht="30" customHeight="1">
      <c r="A60" s="35" t="s">
        <v>125</v>
      </c>
      <c r="B60" s="33"/>
      <c r="C60" s="33"/>
      <c r="D60" s="33"/>
      <c r="E60" s="33"/>
    </row>
    <row r="61" spans="1:5" ht="45" customHeight="1">
      <c r="A61" s="35" t="s">
        <v>126</v>
      </c>
      <c r="B61" s="33"/>
      <c r="C61" s="33"/>
      <c r="D61" s="33"/>
      <c r="E61" s="33"/>
    </row>
  </sheetData>
  <mergeCells count="15">
    <mergeCell ref="A1:E1"/>
    <mergeCell ref="A5:E5"/>
    <mergeCell ref="A61:E61"/>
    <mergeCell ref="A3:E3"/>
    <mergeCell ref="A2:E2"/>
    <mergeCell ref="A43:E43"/>
    <mergeCell ref="A28:E28"/>
    <mergeCell ref="A60:E60"/>
    <mergeCell ref="A33:E33"/>
    <mergeCell ref="A49:E49"/>
    <mergeCell ref="A53:E53"/>
    <mergeCell ref="A12:E12"/>
    <mergeCell ref="A59:E59"/>
    <mergeCell ref="A20:E20"/>
    <mergeCell ref="A38:E3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4"/>
  <sheetViews>
    <sheetView workbookViewId="0"/>
  </sheetViews>
  <sheetFormatPr defaultRowHeight="15"/>
  <cols>
    <col min="1" max="1" width="58" customWidth="1"/>
    <col min="2" max="5" width="20" customWidth="1"/>
    <col min="6" max="6" width="44" customWidth="1"/>
  </cols>
  <sheetData>
    <row r="1" spans="1:6" ht="24.95" customHeight="1">
      <c r="A1" s="34" t="s">
        <v>127</v>
      </c>
      <c r="B1" s="33"/>
      <c r="C1" s="33"/>
      <c r="D1" s="33"/>
      <c r="E1" s="33"/>
      <c r="F1" s="33"/>
    </row>
    <row r="2" spans="1:6" ht="32.1" customHeight="1">
      <c r="A2" s="32" t="s">
        <v>1</v>
      </c>
      <c r="B2" s="33"/>
      <c r="C2" s="33"/>
      <c r="D2" s="33"/>
      <c r="E2" s="33"/>
      <c r="F2" s="33"/>
    </row>
    <row r="4" spans="1:6">
      <c r="A4" s="36" t="s">
        <v>128</v>
      </c>
      <c r="B4" s="33"/>
      <c r="C4" s="33"/>
      <c r="D4" s="33"/>
      <c r="E4" s="33"/>
      <c r="F4" s="33"/>
    </row>
    <row r="5" spans="1:6">
      <c r="A5" s="5" t="s">
        <v>129</v>
      </c>
      <c r="B5" s="20">
        <f>'1-Input'!$B$8</f>
        <v>6500</v>
      </c>
    </row>
    <row r="6" spans="1:6">
      <c r="A6" s="5" t="s">
        <v>130</v>
      </c>
      <c r="B6" s="10">
        <f>'1-Input'!$B$28</f>
        <v>16</v>
      </c>
    </row>
    <row r="7" spans="1:6" ht="30">
      <c r="A7" s="5" t="s">
        <v>131</v>
      </c>
      <c r="B7" s="18">
        <f>B5*(((1+'1-Input'!$B$14)^B6-1)/'1-Input'!$B$14)*(1+'1-Input'!$B$14)</f>
        <v>134950.320325546</v>
      </c>
    </row>
    <row r="8" spans="1:6">
      <c r="A8" s="5" t="s">
        <v>132</v>
      </c>
      <c r="B8" s="18">
        <f>B5*B6</f>
        <v>104000</v>
      </c>
    </row>
    <row r="9" spans="1:6" ht="30">
      <c r="A9" s="5" t="s">
        <v>133</v>
      </c>
      <c r="B9" s="18">
        <f>'1-Input'!$B$9</f>
        <v>240000</v>
      </c>
    </row>
    <row r="10" spans="1:6">
      <c r="A10" s="5" t="s">
        <v>134</v>
      </c>
      <c r="B10" s="18">
        <f>B9*(1+'1-Input'!$B$14)^'1-Input'!$B$29</f>
        <v>304024.81953302782</v>
      </c>
    </row>
    <row r="11" spans="1:6">
      <c r="A11" s="5" t="s">
        <v>135</v>
      </c>
      <c r="B11" s="18">
        <f>B9</f>
        <v>240000</v>
      </c>
    </row>
    <row r="12" spans="1:6">
      <c r="A12" s="5" t="s">
        <v>136</v>
      </c>
      <c r="B12" s="18">
        <f>B7+B10</f>
        <v>438975.13985857379</v>
      </c>
    </row>
    <row r="13" spans="1:6">
      <c r="A13" s="5" t="s">
        <v>137</v>
      </c>
      <c r="B13" s="18">
        <f>B8+B11</f>
        <v>344000</v>
      </c>
    </row>
    <row r="14" spans="1:6">
      <c r="A14" s="5" t="s">
        <v>138</v>
      </c>
      <c r="B14" s="21">
        <f>MAX(0,(B12-B13)/B12)</f>
        <v>0.21635653419729481</v>
      </c>
    </row>
    <row r="15" spans="1:6">
      <c r="A15" s="5" t="s">
        <v>139</v>
      </c>
      <c r="B15" s="22">
        <f>1/(1-'P-Parametri'!$B$6*B14)</f>
        <v>1.0596056792164721</v>
      </c>
    </row>
    <row r="16" spans="1:6">
      <c r="A16" s="5" t="s">
        <v>140</v>
      </c>
      <c r="B16" s="21">
        <f>'P-Parametri'!$B$6*B14</f>
        <v>5.6252698891296651E-2</v>
      </c>
    </row>
    <row r="17" spans="1:6">
      <c r="A17" s="5" t="s">
        <v>141</v>
      </c>
      <c r="B17" s="23">
        <f>B5/'1-Input'!$B$19</f>
        <v>0.29258653246697708</v>
      </c>
    </row>
    <row r="18" spans="1:6" ht="30">
      <c r="A18" s="5" t="s">
        <v>142</v>
      </c>
      <c r="B18" s="18">
        <f>'1-Input'!$B$19-B5</f>
        <v>15715.650000000001</v>
      </c>
    </row>
    <row r="19" spans="1:6">
      <c r="A19" s="5" t="s">
        <v>143</v>
      </c>
      <c r="B19" s="18">
        <f>'1-Input'!$B$10-B18</f>
        <v>4084.3499999999985</v>
      </c>
    </row>
    <row r="21" spans="1:6" ht="45" customHeight="1">
      <c r="A21" s="35" t="s">
        <v>144</v>
      </c>
      <c r="B21" s="33"/>
      <c r="C21" s="33"/>
      <c r="D21" s="33"/>
      <c r="E21" s="33"/>
      <c r="F21" s="33"/>
    </row>
    <row r="22" spans="1:6" ht="45" customHeight="1">
      <c r="A22" s="35" t="s">
        <v>145</v>
      </c>
      <c r="B22" s="33"/>
      <c r="C22" s="33"/>
      <c r="D22" s="33"/>
      <c r="E22" s="33"/>
      <c r="F22" s="33"/>
    </row>
    <row r="24" spans="1:6">
      <c r="A24" s="36" t="s">
        <v>146</v>
      </c>
      <c r="B24" s="33"/>
      <c r="C24" s="33"/>
      <c r="D24" s="33"/>
      <c r="E24" s="33"/>
      <c r="F24" s="33"/>
    </row>
    <row r="25" spans="1:6">
      <c r="A25" s="5" t="s">
        <v>147</v>
      </c>
      <c r="B25" s="24" t="str">
        <f>IF('1-Input'!$B$17=1,"casa senza costi abitativi","in affitto o con mutuo")</f>
        <v>casa senza costi abitativi</v>
      </c>
    </row>
    <row r="26" spans="1:6" ht="30">
      <c r="A26" s="5" t="s">
        <v>148</v>
      </c>
      <c r="B26" s="18">
        <f>'P-Parametri'!$B$25</f>
        <v>2096.96</v>
      </c>
    </row>
    <row r="27" spans="1:6">
      <c r="A27" s="5" t="s">
        <v>149</v>
      </c>
      <c r="B27" s="11">
        <f>'P-Parametri'!$B$23/'P-Parametri'!$B$21</f>
        <v>0.22409068306298521</v>
      </c>
    </row>
    <row r="28" spans="1:6">
      <c r="A28" s="5" t="s">
        <v>150</v>
      </c>
      <c r="B28" s="11">
        <f>'P-Parametri'!$B$23/'P-Parametri'!$B$22</f>
        <v>0.62716117104487923</v>
      </c>
    </row>
    <row r="30" spans="1:6" ht="30">
      <c r="A30" s="25" t="s">
        <v>151</v>
      </c>
      <c r="B30" s="25" t="s">
        <v>152</v>
      </c>
      <c r="C30" s="25" t="s">
        <v>153</v>
      </c>
    </row>
    <row r="31" spans="1:6">
      <c r="A31" s="5" t="s">
        <v>154</v>
      </c>
      <c r="B31" s="11">
        <f>'P-Parametri'!$B$23/'P-Parametri'!$B$21</f>
        <v>0.22409068306298521</v>
      </c>
      <c r="C31" s="18">
        <f>B26*(1-B31)</f>
        <v>1627.0508012442426</v>
      </c>
    </row>
    <row r="32" spans="1:6">
      <c r="A32" s="5" t="s">
        <v>155</v>
      </c>
      <c r="B32" s="11">
        <f>'P-Parametri'!$B$24*B28</f>
        <v>0.27532375408870197</v>
      </c>
      <c r="C32" s="18">
        <f>B26*(1-B32)</f>
        <v>1519.6171006261557</v>
      </c>
    </row>
    <row r="33" spans="1:6">
      <c r="A33" s="5" t="s">
        <v>156</v>
      </c>
      <c r="B33" s="11">
        <f>'P-Parametri'!$B$24*'P-Parametri'!$B$26</f>
        <v>0.24145000000000003</v>
      </c>
      <c r="C33" s="18">
        <f>B26*(1-B33)</f>
        <v>1590.6490079999999</v>
      </c>
    </row>
    <row r="35" spans="1:6" ht="30">
      <c r="A35" s="5" t="s">
        <v>157</v>
      </c>
      <c r="B35" s="18">
        <f>MIN(C31:C33)</f>
        <v>1519.6171006261557</v>
      </c>
      <c r="C35" s="18">
        <f>MAX(C31:C33)</f>
        <v>1627.0508012442426</v>
      </c>
    </row>
    <row r="36" spans="1:6" ht="30">
      <c r="A36" s="5" t="s">
        <v>158</v>
      </c>
      <c r="B36" s="11">
        <f>IF('1-Input'!$B$18=0,B32,'1-Input'!$B$18)</f>
        <v>0.27532375408870197</v>
      </c>
    </row>
    <row r="37" spans="1:6">
      <c r="A37" s="5" t="s">
        <v>159</v>
      </c>
      <c r="B37" s="18">
        <f>IF('1-Input'!$B$17=1,B26*(1-B36),B26)</f>
        <v>1519.6171006261557</v>
      </c>
    </row>
    <row r="38" spans="1:6">
      <c r="A38" s="5" t="s">
        <v>160</v>
      </c>
      <c r="B38" s="18">
        <f>'1-Input'!$B$10/12</f>
        <v>1650</v>
      </c>
    </row>
    <row r="39" spans="1:6">
      <c r="A39" s="5" t="s">
        <v>161</v>
      </c>
      <c r="B39" s="18">
        <f>B38-B37</f>
        <v>130.38289937384434</v>
      </c>
      <c r="C39" s="23">
        <f>B38/B37-1</f>
        <v>8.5799836893201809E-2</v>
      </c>
    </row>
    <row r="40" spans="1:6">
      <c r="A40" s="5" t="s">
        <v>162</v>
      </c>
      <c r="B40" s="24" t="str">
        <f>IF('1-Input'!$B$17&lt;&gt;1,IF(B38&gt;B37,"SOPRA la media ISTAT piena","SOTTO la media ISTAT piena"),IF(B38&gt;MAX(C31:C33),"SOPRA la forbice della media di cassa",IF(B38&lt;MIN(C31:C33),"SOTTO la forbice della media di cassa","DENTRO la forbice della media di cassa")))</f>
        <v>SOPRA la forbice della media di cassa</v>
      </c>
    </row>
    <row r="42" spans="1:6" ht="60" customHeight="1">
      <c r="A42" s="35" t="s">
        <v>163</v>
      </c>
      <c r="B42" s="33"/>
      <c r="C42" s="33"/>
      <c r="D42" s="33"/>
      <c r="E42" s="33"/>
      <c r="F42" s="33"/>
    </row>
    <row r="43" spans="1:6" ht="30" customHeight="1">
      <c r="A43" s="35" t="s">
        <v>164</v>
      </c>
      <c r="B43" s="33"/>
      <c r="C43" s="33"/>
      <c r="D43" s="33"/>
      <c r="E43" s="33"/>
      <c r="F43" s="33"/>
    </row>
    <row r="45" spans="1:6">
      <c r="A45" s="36" t="s">
        <v>165</v>
      </c>
      <c r="B45" s="33"/>
      <c r="C45" s="33"/>
      <c r="D45" s="33"/>
      <c r="E45" s="33"/>
      <c r="F45" s="33"/>
    </row>
    <row r="46" spans="1:6">
      <c r="A46" s="25" t="s">
        <v>166</v>
      </c>
      <c r="B46" s="25" t="s">
        <v>167</v>
      </c>
      <c r="C46" s="25" t="s">
        <v>168</v>
      </c>
    </row>
    <row r="47" spans="1:6">
      <c r="A47" s="5" t="s">
        <v>169</v>
      </c>
      <c r="B47" s="18">
        <f>'1-Input'!$B$10</f>
        <v>19800</v>
      </c>
      <c r="C47" s="21">
        <f>B47/B12</f>
        <v>4.5105059950271982E-2</v>
      </c>
    </row>
    <row r="48" spans="1:6">
      <c r="A48" s="5" t="s">
        <v>170</v>
      </c>
      <c r="B48" s="18">
        <f>B47*B15</f>
        <v>20980.192448486148</v>
      </c>
      <c r="C48" s="21">
        <f>B48/B12</f>
        <v>4.7793577684707642E-2</v>
      </c>
    </row>
    <row r="49" spans="1:6">
      <c r="A49" s="5" t="s">
        <v>171</v>
      </c>
      <c r="B49" s="18">
        <f>B48+'P-Parametri'!$B$8*B12</f>
        <v>21858.142728203296</v>
      </c>
      <c r="C49" s="21">
        <f>B49/B12</f>
        <v>4.9793577684707643E-2</v>
      </c>
    </row>
    <row r="51" spans="1:6">
      <c r="A51" s="36" t="s">
        <v>172</v>
      </c>
      <c r="B51" s="33"/>
      <c r="C51" s="33"/>
      <c r="D51" s="33"/>
      <c r="E51" s="33"/>
      <c r="F51" s="33"/>
    </row>
    <row r="52" spans="1:6" ht="30">
      <c r="A52" s="5" t="s">
        <v>173</v>
      </c>
      <c r="B52" s="18">
        <f>B47*B16</f>
        <v>1113.8034380476738</v>
      </c>
    </row>
    <row r="53" spans="1:6" ht="30">
      <c r="A53" s="5" t="s">
        <v>174</v>
      </c>
      <c r="B53" s="18">
        <f>B52*(((1+'1-Input'!$B$14)^'1-Input'!$B$26-1)/'1-Input'!$B$14)*(1+'1-Input'!$B$14)</f>
        <v>106369.85140136957</v>
      </c>
    </row>
    <row r="54" spans="1:6" ht="30" customHeight="1">
      <c r="A54" s="35" t="s">
        <v>175</v>
      </c>
      <c r="B54" s="33"/>
      <c r="C54" s="33"/>
      <c r="D54" s="33"/>
      <c r="E54" s="33"/>
      <c r="F54" s="33"/>
    </row>
  </sheetData>
  <mergeCells count="11">
    <mergeCell ref="A1:F1"/>
    <mergeCell ref="A45:F45"/>
    <mergeCell ref="A22:F22"/>
    <mergeCell ref="A4:F4"/>
    <mergeCell ref="A21:F21"/>
    <mergeCell ref="A43:F43"/>
    <mergeCell ref="A24:F24"/>
    <mergeCell ref="A2:F2"/>
    <mergeCell ref="A51:F51"/>
    <mergeCell ref="A54:F54"/>
    <mergeCell ref="A42:F4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workbookViewId="0"/>
  </sheetViews>
  <sheetFormatPr defaultRowHeight="15"/>
  <cols>
    <col min="1" max="1" width="42" customWidth="1"/>
    <col min="2" max="2" width="14" customWidth="1"/>
    <col min="3" max="3" width="12" customWidth="1"/>
    <col min="4" max="4" width="16" customWidth="1"/>
    <col min="5" max="5" width="12" customWidth="1"/>
    <col min="6" max="8" width="20" customWidth="1"/>
    <col min="9" max="9" width="42" customWidth="1"/>
  </cols>
  <sheetData>
    <row r="1" spans="1:9" ht="24.95" customHeight="1">
      <c r="A1" s="34" t="s">
        <v>176</v>
      </c>
      <c r="B1" s="33"/>
      <c r="C1" s="33"/>
      <c r="D1" s="33"/>
      <c r="E1" s="33"/>
      <c r="F1" s="33"/>
      <c r="G1" s="33"/>
      <c r="H1" s="33"/>
      <c r="I1" s="33"/>
    </row>
    <row r="2" spans="1:9" ht="32.1" customHeight="1">
      <c r="A2" s="32" t="s">
        <v>1</v>
      </c>
      <c r="B2" s="33"/>
      <c r="C2" s="33"/>
      <c r="D2" s="33"/>
      <c r="E2" s="33"/>
      <c r="F2" s="33"/>
      <c r="G2" s="33"/>
      <c r="H2" s="33"/>
      <c r="I2" s="33"/>
    </row>
    <row r="4" spans="1:9">
      <c r="A4" s="36" t="s">
        <v>177</v>
      </c>
      <c r="B4" s="33"/>
      <c r="C4" s="33"/>
      <c r="D4" s="33"/>
      <c r="E4" s="33"/>
      <c r="F4" s="33"/>
      <c r="G4" s="33"/>
      <c r="H4" s="33"/>
      <c r="I4" s="33"/>
    </row>
    <row r="6" spans="1:9" ht="30">
      <c r="A6" s="25" t="s">
        <v>178</v>
      </c>
      <c r="B6" s="25" t="s">
        <v>179</v>
      </c>
      <c r="C6" s="25" t="s">
        <v>180</v>
      </c>
      <c r="D6" s="25" t="s">
        <v>181</v>
      </c>
      <c r="E6" s="25" t="s">
        <v>182</v>
      </c>
      <c r="F6" s="25" t="s">
        <v>183</v>
      </c>
      <c r="G6" s="25" t="s">
        <v>184</v>
      </c>
      <c r="H6" s="25" t="s">
        <v>185</v>
      </c>
    </row>
    <row r="7" spans="1:9" ht="30">
      <c r="A7" s="5" t="s">
        <v>186</v>
      </c>
      <c r="B7" s="26">
        <f>'P-Parametri'!$C$15</f>
        <v>2.9669999999999998E-2</v>
      </c>
      <c r="C7" s="11">
        <f>'P-Parametri'!$B$7</f>
        <v>0.125</v>
      </c>
      <c r="D7" s="21">
        <f>((100-'P-Parametri'!$B$7*(100-'P-Parametri'!$B$15))/'P-Parametri'!$B$15-1)*365/'P-Parametri'!$D$15</f>
        <v>2.6318500206015782E-2</v>
      </c>
      <c r="E7" s="11">
        <f>'P-Parametri'!$B$8</f>
        <v>2E-3</v>
      </c>
      <c r="F7" s="11">
        <f>D7-'P-Parametri'!$B$10</f>
        <v>6.318500206015782E-3</v>
      </c>
      <c r="G7" s="11">
        <f>D7-E7-'P-Parametri'!$B$10</f>
        <v>4.3185002060157802E-3</v>
      </c>
      <c r="H7" s="27">
        <f>'1-Input'!$B$14-F7</f>
        <v>2.3681499793984217E-2</v>
      </c>
    </row>
    <row r="8" spans="1:9">
      <c r="A8" s="5" t="s">
        <v>187</v>
      </c>
      <c r="B8" s="11">
        <f>'P-Parametri'!$C$14</f>
        <v>2.69E-2</v>
      </c>
      <c r="C8" s="11">
        <f>'P-Parametri'!$B$6</f>
        <v>0.26</v>
      </c>
      <c r="D8" s="21">
        <f t="shared" ref="D8:D13" si="0">B8*(1-C8)</f>
        <v>1.9906E-2</v>
      </c>
      <c r="E8" s="11">
        <f>'P-Parametri'!$B$8</f>
        <v>2E-3</v>
      </c>
      <c r="F8" s="11">
        <f>D8-'P-Parametri'!$B$10</f>
        <v>-9.4000000000000333E-5</v>
      </c>
      <c r="G8" s="11">
        <f>D8-E8-'P-Parametri'!$B$10</f>
        <v>-2.0940000000000021E-3</v>
      </c>
      <c r="H8" s="27">
        <f>'1-Input'!$B$14-F8</f>
        <v>3.0093999999999999E-2</v>
      </c>
    </row>
    <row r="9" spans="1:9">
      <c r="A9" s="5" t="s">
        <v>188</v>
      </c>
      <c r="B9" s="11">
        <f>'P-Parametri'!$B$14</f>
        <v>2.2200000000000001E-2</v>
      </c>
      <c r="C9" s="11">
        <f>'P-Parametri'!$B$6</f>
        <v>0.26</v>
      </c>
      <c r="D9" s="21">
        <f t="shared" si="0"/>
        <v>1.6428000000000002E-2</v>
      </c>
      <c r="E9" s="11">
        <f>'P-Parametri'!$B$8</f>
        <v>2E-3</v>
      </c>
      <c r="F9" s="11">
        <f>D9-'P-Parametri'!$B$10</f>
        <v>-3.5719999999999988E-3</v>
      </c>
      <c r="G9" s="11">
        <f>D9-E9-'P-Parametri'!$B$10</f>
        <v>-5.5719999999999988E-3</v>
      </c>
      <c r="H9" s="27">
        <f>'1-Input'!$B$14-F9</f>
        <v>3.3571999999999998E-2</v>
      </c>
    </row>
    <row r="10" spans="1:9">
      <c r="A10" s="5" t="s">
        <v>189</v>
      </c>
      <c r="B10" s="11">
        <f>'P-Parametri'!$B$16</f>
        <v>7.4999999999999997E-3</v>
      </c>
      <c r="C10" s="11">
        <f>'P-Parametri'!$B$7</f>
        <v>0.125</v>
      </c>
      <c r="D10" s="21">
        <f t="shared" si="0"/>
        <v>6.5624999999999998E-3</v>
      </c>
      <c r="E10" s="11">
        <f>'P-Parametri'!$B$8</f>
        <v>2E-3</v>
      </c>
      <c r="F10" s="11">
        <f>D10-'P-Parametri'!$B$10</f>
        <v>-1.3437500000000002E-2</v>
      </c>
      <c r="G10" s="11">
        <f>D10-E10-'P-Parametri'!$B$10</f>
        <v>-1.54375E-2</v>
      </c>
      <c r="H10" s="27">
        <f>'1-Input'!$B$14-F10</f>
        <v>4.3437500000000004E-2</v>
      </c>
    </row>
    <row r="11" spans="1:9">
      <c r="A11" s="5" t="s">
        <v>190</v>
      </c>
      <c r="B11" s="26">
        <f>'P-Parametri'!$B$13-'P-Parametri'!$C$13</f>
        <v>2.0879999999999999E-2</v>
      </c>
      <c r="C11" s="11">
        <f>'P-Parametri'!$B$6</f>
        <v>0.26</v>
      </c>
      <c r="D11" s="21">
        <f t="shared" si="0"/>
        <v>1.54512E-2</v>
      </c>
      <c r="E11" s="11">
        <f>'P-Parametri'!$B$8</f>
        <v>2E-3</v>
      </c>
      <c r="F11" s="11">
        <f>D11-'P-Parametri'!$B$10</f>
        <v>-4.5488000000000004E-3</v>
      </c>
      <c r="G11" s="11">
        <f>D11-E11-'P-Parametri'!$B$10</f>
        <v>-6.5488000000000005E-3</v>
      </c>
      <c r="H11" s="27">
        <f>'1-Input'!$B$14-F11</f>
        <v>3.4548799999999998E-2</v>
      </c>
    </row>
    <row r="12" spans="1:9" ht="30">
      <c r="A12" s="5" t="s">
        <v>191</v>
      </c>
      <c r="B12" s="11">
        <f>0</f>
        <v>0</v>
      </c>
      <c r="C12" s="11">
        <f>'P-Parametri'!$B$6</f>
        <v>0.26</v>
      </c>
      <c r="D12" s="21">
        <f t="shared" si="0"/>
        <v>0</v>
      </c>
      <c r="E12" s="18">
        <f>'P-Parametri'!$B$9</f>
        <v>34.200000000000003</v>
      </c>
      <c r="F12" s="11">
        <f>-'P-Parametri'!$B$10</f>
        <v>-0.02</v>
      </c>
      <c r="G12" s="11">
        <f>'P-Parametri'!$B$18</f>
        <v>-2.0400000000000001E-2</v>
      </c>
      <c r="H12" s="27">
        <f>'1-Input'!$B$14-F12</f>
        <v>0.05</v>
      </c>
    </row>
    <row r="13" spans="1:9" ht="30">
      <c r="A13" s="5" t="s">
        <v>192</v>
      </c>
      <c r="B13" s="11">
        <f>'P-Parametri'!$B$17</f>
        <v>3.8100000000000002E-2</v>
      </c>
      <c r="C13" s="11">
        <f>'P-Parametri'!$B$7</f>
        <v>0.125</v>
      </c>
      <c r="D13" s="21">
        <f t="shared" si="0"/>
        <v>3.3337499999999999E-2</v>
      </c>
      <c r="E13" s="11">
        <f>'P-Parametri'!$B$8</f>
        <v>2E-3</v>
      </c>
      <c r="F13" s="11">
        <f>D13-'P-Parametri'!$B$10</f>
        <v>1.3337499999999999E-2</v>
      </c>
      <c r="G13" s="11">
        <f>D13-E13-'P-Parametri'!$B$10</f>
        <v>1.1337499999999997E-2</v>
      </c>
      <c r="H13" s="27">
        <f>'1-Input'!$B$14-F13</f>
        <v>1.66625E-2</v>
      </c>
    </row>
    <row r="15" spans="1:9" ht="45" customHeight="1">
      <c r="A15" s="35" t="s">
        <v>193</v>
      </c>
      <c r="B15" s="33"/>
      <c r="C15" s="33"/>
      <c r="D15" s="33"/>
      <c r="E15" s="33"/>
      <c r="F15" s="33"/>
      <c r="G15" s="33"/>
      <c r="H15" s="33"/>
      <c r="I15" s="33"/>
    </row>
    <row r="16" spans="1:9" ht="45" customHeight="1">
      <c r="A16" s="35" t="s">
        <v>194</v>
      </c>
      <c r="B16" s="33"/>
      <c r="C16" s="33"/>
      <c r="D16" s="33"/>
      <c r="E16" s="33"/>
      <c r="F16" s="33"/>
      <c r="G16" s="33"/>
      <c r="H16" s="33"/>
      <c r="I16" s="33"/>
    </row>
    <row r="18" spans="1:9">
      <c r="A18" s="36" t="s">
        <v>195</v>
      </c>
      <c r="B18" s="33"/>
      <c r="C18" s="33"/>
      <c r="D18" s="33"/>
      <c r="E18" s="33"/>
      <c r="F18" s="33"/>
      <c r="G18" s="33"/>
      <c r="H18" s="33"/>
      <c r="I18" s="33"/>
    </row>
    <row r="19" spans="1:9">
      <c r="A19" s="5" t="s">
        <v>196</v>
      </c>
      <c r="B19" s="6">
        <v>8</v>
      </c>
    </row>
    <row r="20" spans="1:9">
      <c r="A20" s="5" t="s">
        <v>197</v>
      </c>
      <c r="B20" s="18">
        <f>B19*'1-Input'!$B$10</f>
        <v>158400</v>
      </c>
    </row>
    <row r="21" spans="1:9" ht="60">
      <c r="A21" s="25" t="s">
        <v>198</v>
      </c>
      <c r="B21" s="25" t="s">
        <v>199</v>
      </c>
      <c r="C21" s="25" t="s">
        <v>200</v>
      </c>
    </row>
    <row r="22" spans="1:9">
      <c r="A22" s="5" t="s">
        <v>201</v>
      </c>
      <c r="B22" s="11">
        <f>G12</f>
        <v>-2.0400000000000001E-2</v>
      </c>
      <c r="C22" s="28">
        <f>IF(ABS(B22)&lt;0.0000001,$B$19,-LN(1-$B$19*B22/(1+B22))/LN(1+B22))</f>
        <v>7.4762355005689853</v>
      </c>
    </row>
    <row r="23" spans="1:9">
      <c r="A23" s="5" t="s">
        <v>202</v>
      </c>
      <c r="B23" s="11">
        <f>G11</f>
        <v>-6.5488000000000005E-3</v>
      </c>
      <c r="C23" s="28">
        <f>IF(ABS(B23)&lt;0.0000001,$B$19,-LN(1-$B$19*B23/(1+B23))/LN(1+B23))</f>
        <v>7.8218596582600926</v>
      </c>
    </row>
    <row r="24" spans="1:9">
      <c r="A24" s="5" t="s">
        <v>203</v>
      </c>
      <c r="B24" s="11">
        <f>G9</f>
        <v>-5.5719999999999988E-3</v>
      </c>
      <c r="C24" s="28">
        <f>IF(ABS(B24)&lt;0.0000001,$B$19,-LN(1-$B$19*B24/(1+B24))/LN(1+B24))</f>
        <v>7.8477859288399108</v>
      </c>
    </row>
    <row r="25" spans="1:9">
      <c r="A25" s="5" t="s">
        <v>204</v>
      </c>
      <c r="B25" s="11">
        <f>G7</f>
        <v>4.3185002060157802E-3</v>
      </c>
      <c r="C25" s="28">
        <f>IF(ABS(B25)&lt;0.0000001,$B$19,-LN(1-$B$19*B25/(1+B25))/LN(1+B25))</f>
        <v>8.1233219447702236</v>
      </c>
    </row>
    <row r="26" spans="1:9">
      <c r="A26" s="5" t="s">
        <v>205</v>
      </c>
      <c r="B26" s="11">
        <f>G13</f>
        <v>1.1337499999999997E-2</v>
      </c>
      <c r="C26" s="28">
        <f>IF(ABS(B26)&lt;0.0000001,$B$19,-LN(1-$B$19*B26/(1+B26))/LN(1+B26))</f>
        <v>8.3346660342673715</v>
      </c>
    </row>
    <row r="27" spans="1:9" ht="30">
      <c r="A27" s="5" t="s">
        <v>206</v>
      </c>
      <c r="B27" s="28">
        <f>MIN(C22:C26)</f>
        <v>7.4762355005689853</v>
      </c>
      <c r="C27" s="28">
        <f>MAX(C22:C26)</f>
        <v>8.3346660342673715</v>
      </c>
      <c r="D27" s="28">
        <f>C27-B27</f>
        <v>0.85843053369838618</v>
      </c>
    </row>
    <row r="28" spans="1:9" ht="30">
      <c r="A28" s="5" t="s">
        <v>207</v>
      </c>
      <c r="B28" s="18">
        <f>D27*'1-Input'!$B$10</f>
        <v>16996.924567228045</v>
      </c>
    </row>
    <row r="29" spans="1:9" ht="30">
      <c r="A29" s="5" t="s">
        <v>208</v>
      </c>
      <c r="B29" s="18">
        <f>(ROUND(C27,2)-ROUND(B27,2))*'1-Input'!$B$10</f>
        <v>16829.999999999993</v>
      </c>
    </row>
    <row r="30" spans="1:9" ht="45" customHeight="1">
      <c r="A30" s="35" t="s">
        <v>209</v>
      </c>
      <c r="B30" s="33"/>
      <c r="C30" s="33"/>
      <c r="D30" s="33"/>
      <c r="E30" s="33"/>
      <c r="F30" s="33"/>
      <c r="G30" s="33"/>
      <c r="H30" s="33"/>
      <c r="I30" s="33"/>
    </row>
    <row r="32" spans="1:9">
      <c r="A32" s="36" t="s">
        <v>210</v>
      </c>
      <c r="B32" s="33"/>
      <c r="C32" s="33"/>
      <c r="D32" s="33"/>
      <c r="E32" s="33"/>
      <c r="F32" s="33"/>
      <c r="G32" s="33"/>
      <c r="H32" s="33"/>
      <c r="I32" s="33"/>
    </row>
    <row r="33" spans="1:9" ht="30">
      <c r="A33" s="5" t="s">
        <v>211</v>
      </c>
      <c r="B33" s="18">
        <f>'P-Parametri'!$B$9</f>
        <v>34.200000000000003</v>
      </c>
      <c r="C33" s="20">
        <f>'P-Parametri'!$C$9</f>
        <v>5000</v>
      </c>
    </row>
    <row r="34" spans="1:9" ht="30">
      <c r="A34" s="5" t="s">
        <v>212</v>
      </c>
      <c r="B34" s="11">
        <f>'P-Parametri'!$B$8</f>
        <v>2E-3</v>
      </c>
    </row>
    <row r="35" spans="1:9">
      <c r="A35" s="5" t="s">
        <v>213</v>
      </c>
      <c r="B35" s="18">
        <f>'P-Parametri'!$B$9/'P-Parametri'!$B$8</f>
        <v>17100</v>
      </c>
    </row>
    <row r="36" spans="1:9">
      <c r="A36" s="5" t="s">
        <v>214</v>
      </c>
      <c r="B36" s="18">
        <f>'P-Parametri'!$B$8*'1-Input'!$B$15*'1-Input'!$B$10</f>
        <v>79.2</v>
      </c>
    </row>
    <row r="38" spans="1:9">
      <c r="A38" s="36" t="s">
        <v>215</v>
      </c>
      <c r="B38" s="33"/>
      <c r="C38" s="33"/>
      <c r="D38" s="33"/>
      <c r="E38" s="33"/>
      <c r="F38" s="33"/>
      <c r="G38" s="33"/>
      <c r="H38" s="33"/>
      <c r="I38" s="33"/>
    </row>
    <row r="39" spans="1:9" ht="30">
      <c r="A39" s="5" t="s">
        <v>216</v>
      </c>
      <c r="B39" s="18">
        <f>'1-Input'!$B$15*'1-Input'!$B$10*'P-Parametri'!$B$14</f>
        <v>879.12</v>
      </c>
    </row>
    <row r="40" spans="1:9">
      <c r="A40" s="5" t="s">
        <v>217</v>
      </c>
      <c r="B40" s="18">
        <f>B39*'P-Parametri'!$B$6</f>
        <v>228.5712</v>
      </c>
    </row>
    <row r="41" spans="1:9" ht="30">
      <c r="A41" s="5" t="s">
        <v>174</v>
      </c>
      <c r="B41" s="18">
        <f>B40*(((1+'1-Input'!$B$14)^'1-Input'!$B$26-1)/'1-Input'!$B$14)*(1+'1-Input'!$B$14)</f>
        <v>21828.882680816481</v>
      </c>
    </row>
    <row r="43" spans="1:9">
      <c r="A43" s="36" t="s">
        <v>218</v>
      </c>
      <c r="B43" s="33"/>
      <c r="C43" s="33"/>
      <c r="D43" s="33"/>
      <c r="E43" s="33"/>
      <c r="F43" s="33"/>
      <c r="G43" s="33"/>
      <c r="H43" s="33"/>
      <c r="I43" s="33"/>
    </row>
    <row r="44" spans="1:9" ht="30">
      <c r="A44" s="5" t="s">
        <v>219</v>
      </c>
      <c r="B44" s="10">
        <f>'P-Parametri'!$B$34</f>
        <v>2580</v>
      </c>
      <c r="C44" s="10">
        <f>'P-Parametri'!$C$34</f>
        <v>21600</v>
      </c>
      <c r="D44" s="10">
        <f>'P-Parametri'!$D$34</f>
        <v>30</v>
      </c>
    </row>
    <row r="45" spans="1:9">
      <c r="A45" s="5" t="s">
        <v>220</v>
      </c>
      <c r="B45" s="17">
        <f>'P-Parametri'!$B$36</f>
        <v>21.133333333333333</v>
      </c>
    </row>
    <row r="46" spans="1:9" ht="30">
      <c r="A46" s="5" t="s">
        <v>221</v>
      </c>
      <c r="B46" s="18">
        <f>1*'1-Input'!$B$10*H9</f>
        <v>664.72559999999999</v>
      </c>
    </row>
    <row r="47" spans="1:9">
      <c r="A47" s="5" t="s">
        <v>222</v>
      </c>
      <c r="B47" s="18">
        <f>B46/B45</f>
        <v>31.453892744479496</v>
      </c>
    </row>
    <row r="48" spans="1:9" ht="30" customHeight="1">
      <c r="A48" s="35" t="s">
        <v>223</v>
      </c>
      <c r="B48" s="33"/>
      <c r="C48" s="33"/>
      <c r="D48" s="33"/>
      <c r="E48" s="33"/>
      <c r="F48" s="33"/>
      <c r="G48" s="33"/>
      <c r="H48" s="33"/>
      <c r="I48" s="33"/>
    </row>
  </sheetData>
  <mergeCells count="11">
    <mergeCell ref="A1:I1"/>
    <mergeCell ref="A18:I18"/>
    <mergeCell ref="A4:I4"/>
    <mergeCell ref="A38:I38"/>
    <mergeCell ref="A30:I30"/>
    <mergeCell ref="A16:I16"/>
    <mergeCell ref="A15:I15"/>
    <mergeCell ref="A43:I43"/>
    <mergeCell ref="A2:I2"/>
    <mergeCell ref="A48:I48"/>
    <mergeCell ref="A32:I3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945"/>
  <sheetViews>
    <sheetView workbookViewId="0"/>
  </sheetViews>
  <sheetFormatPr defaultRowHeight="15"/>
  <cols>
    <col min="1" max="1" width="46" customWidth="1"/>
    <col min="2" max="19" width="16" customWidth="1"/>
  </cols>
  <sheetData>
    <row r="1" spans="1:7" ht="24.95" customHeight="1">
      <c r="A1" s="34" t="s">
        <v>224</v>
      </c>
      <c r="B1" s="33"/>
      <c r="C1" s="33"/>
      <c r="D1" s="33"/>
      <c r="E1" s="33"/>
      <c r="F1" s="33"/>
      <c r="G1" s="33"/>
    </row>
    <row r="2" spans="1:7" ht="32.1" customHeight="1">
      <c r="A2" s="32" t="s">
        <v>1</v>
      </c>
      <c r="B2" s="33"/>
      <c r="C2" s="33"/>
      <c r="D2" s="33"/>
      <c r="E2" s="33"/>
      <c r="F2" s="33"/>
      <c r="G2" s="33"/>
    </row>
    <row r="3" spans="1:7" ht="75" customHeight="1">
      <c r="A3" s="35" t="s">
        <v>225</v>
      </c>
      <c r="B3" s="33"/>
      <c r="C3" s="33"/>
      <c r="D3" s="33"/>
      <c r="E3" s="33"/>
      <c r="F3" s="33"/>
      <c r="G3" s="33"/>
    </row>
    <row r="5" spans="1:7">
      <c r="A5" s="5" t="s">
        <v>226</v>
      </c>
      <c r="B5" s="7">
        <v>1000000</v>
      </c>
    </row>
    <row r="6" spans="1:7">
      <c r="A6" s="5" t="s">
        <v>227</v>
      </c>
      <c r="B6" s="11">
        <f>'1-Input'!$B$14</f>
        <v>0.03</v>
      </c>
    </row>
    <row r="7" spans="1:7" ht="30">
      <c r="A7" s="5" t="s">
        <v>228</v>
      </c>
      <c r="B7" s="11">
        <f>ROUND('3-Liquidita'!$F$9,4)</f>
        <v>-3.5999999999999999E-3</v>
      </c>
      <c r="C7" s="11">
        <f>ROUND('3-Liquidita'!$F$7,4)</f>
        <v>6.3E-3</v>
      </c>
    </row>
    <row r="9" spans="1:7">
      <c r="A9" s="36" t="s">
        <v>229</v>
      </c>
      <c r="B9" s="33"/>
      <c r="C9" s="33"/>
      <c r="D9" s="33"/>
      <c r="E9" s="33"/>
      <c r="F9" s="33"/>
      <c r="G9" s="33"/>
    </row>
    <row r="10" spans="1:7">
      <c r="A10" s="25" t="s">
        <v>230</v>
      </c>
      <c r="B10" s="25" t="s">
        <v>231</v>
      </c>
      <c r="C10" s="25" t="s">
        <v>232</v>
      </c>
      <c r="D10" s="25" t="s">
        <v>233</v>
      </c>
      <c r="E10" s="25" t="s">
        <v>234</v>
      </c>
    </row>
    <row r="11" spans="1:7">
      <c r="A11" s="5" t="s">
        <v>235</v>
      </c>
      <c r="B11" s="27">
        <f>($B$165-$B$212)/$B$5*100</f>
        <v>0.19871670835322655</v>
      </c>
      <c r="C11" s="27">
        <f>($B$165-$B$259)/$B$5*100</f>
        <v>0.37848237382949085</v>
      </c>
      <c r="D11" s="27">
        <f>($B$165-$B$306)/$B$5*100</f>
        <v>0.54130690057039899</v>
      </c>
      <c r="E11" s="27">
        <f>($B$165-$B$353)/$B$5*100</f>
        <v>0.8226666013404953</v>
      </c>
    </row>
    <row r="12" spans="1:7">
      <c r="A12" s="5" t="s">
        <v>236</v>
      </c>
      <c r="B12" s="27">
        <f>($B$400-$B$447)/$B$5*100</f>
        <v>0.14140073852470231</v>
      </c>
      <c r="C12" s="27">
        <f>($B$400-$B$494)/$B$5*100</f>
        <v>0.27145237919479842</v>
      </c>
      <c r="D12" s="27">
        <f>($B$400-$B$541)/$B$5*100</f>
        <v>0.39097299781193867</v>
      </c>
      <c r="E12" s="27">
        <f>($B$400-$B$588)/$B$5*100</f>
        <v>0.60116228878915279</v>
      </c>
    </row>
    <row r="13" spans="1:7">
      <c r="A13" s="5" t="s">
        <v>237</v>
      </c>
      <c r="B13" s="27">
        <f>($B$635-$B$682)/$B$5*100</f>
        <v>0.15329235478565023</v>
      </c>
      <c r="C13" s="27">
        <f>($B$635-$B$729)/$B$5*100</f>
        <v>0.29429983387080938</v>
      </c>
      <c r="D13" s="27">
        <f>($B$635-$B$776)/$B$5*100</f>
        <v>0.42427086740720477</v>
      </c>
      <c r="E13" s="27">
        <f>($B$635-$B$823)/$B$5*100</f>
        <v>0.65526361924943632</v>
      </c>
    </row>
    <row r="14" spans="1:7">
      <c r="A14" s="5" t="s">
        <v>238</v>
      </c>
      <c r="B14" s="27">
        <f>($B$870-$B$917)/$B$5*100</f>
        <v>0.10910609202380218</v>
      </c>
      <c r="C14" s="27">
        <f>($B$870-$B$964)/$B$5*100</f>
        <v>0.21121927949822494</v>
      </c>
      <c r="D14" s="27">
        <f>($B$870-$B$1011)/$B$5*100</f>
        <v>0.30683680728313484</v>
      </c>
      <c r="E14" s="27">
        <f>($B$870-$B$1058)/$B$5*100</f>
        <v>0.48030599541732805</v>
      </c>
    </row>
    <row r="15" spans="1:7">
      <c r="A15" s="5" t="s">
        <v>239</v>
      </c>
      <c r="B15" s="27">
        <f>($B$1105-$B$1152)/$B$5*100</f>
        <v>0.1309838622122923</v>
      </c>
      <c r="C15" s="27">
        <f>($B$1105-$B$1199)/$B$5*100</f>
        <v>0.25239849950892673</v>
      </c>
      <c r="D15" s="27">
        <f>($B$1105-$B$1246)/$B$5*100</f>
        <v>0.36518300591638619</v>
      </c>
      <c r="E15" s="27">
        <f>($B$1105-$B$1293)/$B$5*100</f>
        <v>0.56802684504955614</v>
      </c>
    </row>
    <row r="16" spans="1:7">
      <c r="A16" s="5" t="s">
        <v>240</v>
      </c>
      <c r="B16" s="27">
        <f>($B$1340-$B$1387)/$B$5*100</f>
        <v>9.3239294289433741E-2</v>
      </c>
      <c r="C16" s="27">
        <f>($B$1340-$B$1434)/$B$5*100</f>
        <v>0.18120477068869004</v>
      </c>
      <c r="D16" s="27">
        <f>($B$1340-$B$1481)/$B$5*100</f>
        <v>0.26426375194019419</v>
      </c>
      <c r="E16" s="27">
        <f>($B$1340-$B$1528)/$B$5*100</f>
        <v>0.41695144433773235</v>
      </c>
    </row>
    <row r="18" spans="1:7">
      <c r="A18" s="36" t="s">
        <v>241</v>
      </c>
      <c r="B18" s="33"/>
      <c r="C18" s="33"/>
      <c r="D18" s="33"/>
      <c r="E18" s="33"/>
      <c r="F18" s="33"/>
      <c r="G18" s="33"/>
    </row>
    <row r="19" spans="1:7">
      <c r="A19" s="25" t="s">
        <v>230</v>
      </c>
      <c r="B19" s="25" t="s">
        <v>231</v>
      </c>
      <c r="C19" s="25" t="s">
        <v>232</v>
      </c>
      <c r="D19" s="25" t="s">
        <v>233</v>
      </c>
      <c r="E19" s="25" t="s">
        <v>234</v>
      </c>
    </row>
    <row r="20" spans="1:7">
      <c r="A20" s="5" t="s">
        <v>235</v>
      </c>
      <c r="B20" s="11">
        <f>($B$165-$B$212)/$B$165</f>
        <v>3.0450949178639251E-2</v>
      </c>
      <c r="C20" s="11">
        <f>($B$165-$B$259)/$B$165</f>
        <v>5.7997878618269862E-2</v>
      </c>
      <c r="D20" s="11">
        <f>($B$165-$B$306)/$B$165</f>
        <v>8.2948781991780157E-2</v>
      </c>
      <c r="E20" s="11">
        <f>($B$165-$B$353)/$B$165</f>
        <v>0.12606377730378979</v>
      </c>
    </row>
    <row r="21" spans="1:7">
      <c r="A21" s="5" t="s">
        <v>236</v>
      </c>
      <c r="B21" s="11">
        <f>($B$400-$B$447)/$B$400</f>
        <v>2.1667965106306343E-2</v>
      </c>
      <c r="C21" s="11">
        <f>($B$400-$B$494)/$B$400</f>
        <v>4.1596817256998923E-2</v>
      </c>
      <c r="D21" s="11">
        <f>($B$400-$B$541)/$B$400</f>
        <v>5.9911916744459649E-2</v>
      </c>
      <c r="E21" s="11">
        <f>($B$400-$B$588)/$B$400</f>
        <v>9.2120901436699501E-2</v>
      </c>
    </row>
    <row r="22" spans="1:7">
      <c r="A22" s="5" t="s">
        <v>237</v>
      </c>
      <c r="B22" s="11">
        <f>($B$635-$B$682)/$B$635</f>
        <v>3.0947357435771993E-2</v>
      </c>
      <c r="C22" s="11">
        <f>($B$635-$B$729)/$B$635</f>
        <v>5.9414588319318062E-2</v>
      </c>
      <c r="D22" s="11">
        <f>($B$635-$B$776)/$B$635</f>
        <v>8.565373140490698E-2</v>
      </c>
      <c r="E22" s="11">
        <f>($B$635-$B$823)/$B$635</f>
        <v>0.13228759821666075</v>
      </c>
    </row>
    <row r="23" spans="1:7">
      <c r="A23" s="5" t="s">
        <v>238</v>
      </c>
      <c r="B23" s="11">
        <f>($B$870-$B$917)/$B$870</f>
        <v>2.2026833843098597E-2</v>
      </c>
      <c r="C23" s="11">
        <f>($B$870-$B$964)/$B$870</f>
        <v>4.2641908326726909E-2</v>
      </c>
      <c r="D23" s="11">
        <f>($B$870-$B$1011)/$B$870</f>
        <v>6.1945609503619978E-2</v>
      </c>
      <c r="E23" s="11">
        <f>($B$870-$B$1058)/$B$870</f>
        <v>9.696635777765325E-2</v>
      </c>
    </row>
    <row r="24" spans="1:7">
      <c r="A24" s="5" t="s">
        <v>239</v>
      </c>
      <c r="B24" s="11">
        <f>($B$1105-$B$1152)/$B$1105</f>
        <v>3.1184919705581387E-2</v>
      </c>
      <c r="C24" s="11">
        <f>($B$1105-$B$1199)/$B$1105</f>
        <v>6.0091577756640931E-2</v>
      </c>
      <c r="D24" s="11">
        <f>($B$1105-$B$1246)/$B$1105</f>
        <v>8.6943555679308865E-2</v>
      </c>
      <c r="E24" s="11">
        <f>($B$1105-$B$1293)/$B$1105</f>
        <v>0.13523705328504779</v>
      </c>
    </row>
    <row r="25" spans="1:7">
      <c r="A25" s="5" t="s">
        <v>240</v>
      </c>
      <c r="B25" s="11">
        <f>($B$1340-$B$1387)/$B$1340</f>
        <v>2.2198611773322659E-2</v>
      </c>
      <c r="C25" s="11">
        <f>($B$1340-$B$1434)/$B$1340</f>
        <v>4.3141621637606417E-2</v>
      </c>
      <c r="D25" s="11">
        <f>($B$1340-$B$1481)/$B$1340</f>
        <v>6.2916482581601915E-2</v>
      </c>
      <c r="E25" s="11">
        <f>($B$1340-$B$1528)/$B$1340</f>
        <v>9.9268696869881518E-2</v>
      </c>
    </row>
    <row r="26" spans="1:7" ht="30">
      <c r="A26" s="5" t="s">
        <v>242</v>
      </c>
      <c r="B26" s="11">
        <f>($B$635-$B$729)/$B$635</f>
        <v>5.9414588319318062E-2</v>
      </c>
      <c r="C26" s="11">
        <f>($B$870-$B$964)/$B$870</f>
        <v>4.2641908326726909E-2</v>
      </c>
      <c r="D26" s="23">
        <f>1-C26/B26</f>
        <v>0.28229901892861697</v>
      </c>
    </row>
    <row r="28" spans="1:7">
      <c r="A28" s="36" t="s">
        <v>243</v>
      </c>
      <c r="B28" s="33"/>
      <c r="C28" s="33"/>
      <c r="D28" s="33"/>
      <c r="E28" s="33"/>
      <c r="F28" s="33"/>
      <c r="G28" s="33"/>
    </row>
    <row r="29" spans="1:7">
      <c r="A29" s="25" t="s">
        <v>244</v>
      </c>
      <c r="B29" s="25" t="s">
        <v>245</v>
      </c>
      <c r="C29" s="25" t="s">
        <v>246</v>
      </c>
      <c r="D29" s="25" t="s">
        <v>247</v>
      </c>
      <c r="E29" s="25" t="s">
        <v>248</v>
      </c>
      <c r="F29" s="25" t="s">
        <v>249</v>
      </c>
    </row>
    <row r="30" spans="1:7">
      <c r="A30" s="5" t="s">
        <v>250</v>
      </c>
      <c r="B30" s="11">
        <f>($B$635-$B$682)/$B$635</f>
        <v>3.0947357435771993E-2</v>
      </c>
      <c r="C30" s="11">
        <f>($B$635-$B$729)/$B$635</f>
        <v>5.9414588319318062E-2</v>
      </c>
      <c r="D30" s="11">
        <f>($B$635-$B$776)/$B$635</f>
        <v>8.565373140490698E-2</v>
      </c>
      <c r="E30" s="11">
        <f>($B$635-$B$2945)/$B$635</f>
        <v>0.1098820276269936</v>
      </c>
      <c r="F30" s="11">
        <f>($B$635-$B$823)/$B$635</f>
        <v>0.13228759821666075</v>
      </c>
    </row>
    <row r="31" spans="1:7">
      <c r="A31" s="5" t="s">
        <v>251</v>
      </c>
      <c r="B31" s="11">
        <f>B30</f>
        <v>3.0947357435771993E-2</v>
      </c>
      <c r="C31" s="11">
        <f>C30-B30</f>
        <v>2.8467230883546069E-2</v>
      </c>
      <c r="D31" s="11">
        <f>D30-C30</f>
        <v>2.6239143085588917E-2</v>
      </c>
      <c r="E31" s="11">
        <f>E30-D30</f>
        <v>2.4228296222086623E-2</v>
      </c>
      <c r="F31" s="11">
        <f>F30-E30</f>
        <v>2.2405570589667148E-2</v>
      </c>
    </row>
    <row r="32" spans="1:7" ht="30" customHeight="1">
      <c r="A32" s="35" t="s">
        <v>252</v>
      </c>
      <c r="B32" s="33"/>
      <c r="C32" s="33"/>
      <c r="D32" s="33"/>
      <c r="E32" s="33"/>
      <c r="F32" s="33"/>
      <c r="G32" s="33"/>
    </row>
    <row r="34" spans="1:7">
      <c r="A34" s="36" t="s">
        <v>253</v>
      </c>
      <c r="B34" s="33"/>
      <c r="C34" s="33"/>
      <c r="D34" s="33"/>
      <c r="E34" s="33"/>
      <c r="F34" s="33"/>
      <c r="G34" s="33"/>
    </row>
    <row r="35" spans="1:7">
      <c r="A35" s="25" t="s">
        <v>254</v>
      </c>
      <c r="B35" s="25" t="s">
        <v>231</v>
      </c>
      <c r="C35" s="25" t="s">
        <v>232</v>
      </c>
      <c r="D35" s="25" t="s">
        <v>233</v>
      </c>
      <c r="E35" s="25" t="s">
        <v>234</v>
      </c>
    </row>
    <row r="36" spans="1:7">
      <c r="A36" s="5" t="s">
        <v>255</v>
      </c>
      <c r="B36" s="20">
        <f>$B$1578</f>
        <v>74999.759722257004</v>
      </c>
      <c r="C36" s="20">
        <f>$B$1624</f>
        <v>143539.79045106997</v>
      </c>
      <c r="D36" s="20">
        <f>$B$1670</f>
        <v>205995.38433469972</v>
      </c>
      <c r="E36" s="20">
        <f>$B$1716</f>
        <v>314079.38288064604</v>
      </c>
    </row>
    <row r="37" spans="1:7">
      <c r="A37" s="5" t="s">
        <v>256</v>
      </c>
      <c r="B37" s="20">
        <f>$B$1762</f>
        <v>101591.26290406176</v>
      </c>
      <c r="C37" s="20">
        <f>$B$1808</f>
        <v>195249.36945787494</v>
      </c>
      <c r="D37" s="20">
        <f>$B$1854</f>
        <v>281434.35401489254</v>
      </c>
      <c r="E37" s="20">
        <f>$B$1900</f>
        <v>432952.20677853998</v>
      </c>
    </row>
    <row r="38" spans="1:7" ht="30" customHeight="1">
      <c r="A38" s="35" t="s">
        <v>257</v>
      </c>
      <c r="B38" s="33"/>
      <c r="C38" s="33"/>
      <c r="D38" s="33"/>
      <c r="E38" s="33"/>
      <c r="F38" s="33"/>
      <c r="G38" s="33"/>
    </row>
    <row r="40" spans="1:7">
      <c r="A40" s="36" t="s">
        <v>258</v>
      </c>
      <c r="B40" s="33"/>
      <c r="C40" s="33"/>
      <c r="D40" s="33"/>
      <c r="E40" s="33"/>
      <c r="F40" s="33"/>
      <c r="G40" s="33"/>
    </row>
    <row r="41" spans="1:7">
      <c r="A41" s="25" t="s">
        <v>254</v>
      </c>
      <c r="B41" s="25" t="s">
        <v>259</v>
      </c>
      <c r="C41" s="25" t="s">
        <v>231</v>
      </c>
      <c r="D41" s="25" t="s">
        <v>232</v>
      </c>
      <c r="E41" s="25" t="s">
        <v>233</v>
      </c>
      <c r="F41" s="25" t="s">
        <v>234</v>
      </c>
    </row>
    <row r="42" spans="1:7">
      <c r="A42" s="5" t="s">
        <v>260</v>
      </c>
      <c r="B42" s="10">
        <f>$B$1970</f>
        <v>20</v>
      </c>
      <c r="C42" s="10">
        <f>$B$2036</f>
        <v>19</v>
      </c>
      <c r="D42" s="10">
        <f>$B$2102</f>
        <v>18</v>
      </c>
      <c r="E42" s="10">
        <f>$B$2168</f>
        <v>17</v>
      </c>
      <c r="F42" s="10">
        <f>$B$2234</f>
        <v>16</v>
      </c>
    </row>
    <row r="43" spans="1:7">
      <c r="A43" s="5" t="s">
        <v>255</v>
      </c>
      <c r="B43" s="10">
        <f>$B$2300</f>
        <v>30</v>
      </c>
      <c r="C43" s="10">
        <f>$B$2366</f>
        <v>28</v>
      </c>
      <c r="D43" s="10">
        <f>$B$2432</f>
        <v>27</v>
      </c>
      <c r="E43" s="10">
        <f>$B$2498</f>
        <v>26</v>
      </c>
      <c r="F43" s="10">
        <f>$B$2564</f>
        <v>24</v>
      </c>
    </row>
    <row r="44" spans="1:7">
      <c r="A44" s="5" t="s">
        <v>256</v>
      </c>
      <c r="B44" s="10">
        <f>$B$2630</f>
        <v>40</v>
      </c>
      <c r="C44" s="10">
        <f>$B$2696</f>
        <v>37</v>
      </c>
      <c r="D44" s="10">
        <f>$B$2762</f>
        <v>35</v>
      </c>
      <c r="E44" s="10">
        <f>$B$2828</f>
        <v>33</v>
      </c>
      <c r="F44" s="10">
        <f>$B$2894</f>
        <v>31</v>
      </c>
    </row>
    <row r="120" spans="1:19">
      <c r="A120" s="2" t="s">
        <v>261</v>
      </c>
    </row>
    <row r="121" spans="1:19">
      <c r="B121" s="9">
        <f>0.03*$B$5</f>
        <v>30000</v>
      </c>
      <c r="E121" s="9">
        <f>0.075*$B$5</f>
        <v>75000</v>
      </c>
      <c r="H121" s="18">
        <f>IFERROR(E121-E164*(E121-B121)/(E164-B164),E121)</f>
        <v>65257.968540639944</v>
      </c>
      <c r="K121" s="18">
        <f>IFERROR(H121-H164*(H121-E121)/(H164-E164),H121)</f>
        <v>65257.968540639937</v>
      </c>
      <c r="N121" s="18">
        <f>IFERROR(K121-K164*(K121-H121)/(K164-H164),K121)</f>
        <v>65257.968540639937</v>
      </c>
      <c r="Q121" s="18">
        <f>IFERROR(N121-N164*(N121-K121)/(N164-K164),N121)</f>
        <v>65257.968540639937</v>
      </c>
    </row>
    <row r="122" spans="1:19">
      <c r="A122" s="25" t="s">
        <v>262</v>
      </c>
      <c r="B122" s="25" t="s">
        <v>263</v>
      </c>
      <c r="C122" s="25" t="s">
        <v>264</v>
      </c>
      <c r="D122" s="25" t="s">
        <v>265</v>
      </c>
      <c r="E122" s="25" t="s">
        <v>263</v>
      </c>
      <c r="F122" s="25" t="s">
        <v>264</v>
      </c>
      <c r="G122" s="25" t="s">
        <v>265</v>
      </c>
      <c r="H122" s="25" t="s">
        <v>263</v>
      </c>
      <c r="I122" s="25" t="s">
        <v>264</v>
      </c>
      <c r="J122" s="25" t="s">
        <v>265</v>
      </c>
      <c r="K122" s="25" t="s">
        <v>263</v>
      </c>
      <c r="L122" s="25" t="s">
        <v>264</v>
      </c>
      <c r="M122" s="25" t="s">
        <v>265</v>
      </c>
      <c r="N122" s="25" t="s">
        <v>263</v>
      </c>
      <c r="O122" s="25" t="s">
        <v>264</v>
      </c>
      <c r="P122" s="25" t="s">
        <v>265</v>
      </c>
      <c r="Q122" s="25" t="s">
        <v>263</v>
      </c>
      <c r="R122" s="25" t="s">
        <v>264</v>
      </c>
      <c r="S122" s="25" t="s">
        <v>265</v>
      </c>
    </row>
    <row r="123" spans="1:19">
      <c r="A123" s="3">
        <v>0</v>
      </c>
      <c r="C123" s="18">
        <f>MIN(0*B121,$B$5)</f>
        <v>0</v>
      </c>
      <c r="D123" s="18">
        <f>$B$5-C123</f>
        <v>1000000</v>
      </c>
      <c r="F123" s="18">
        <f>MIN(0*E121,$B$5)</f>
        <v>0</v>
      </c>
      <c r="G123" s="18">
        <f>$B$5-F123</f>
        <v>1000000</v>
      </c>
      <c r="I123" s="18">
        <f>MIN(0*H121,$B$5)</f>
        <v>0</v>
      </c>
      <c r="J123" s="18">
        <f>$B$5-I123</f>
        <v>1000000</v>
      </c>
      <c r="L123" s="18">
        <f>MIN(0*K121,$B$5)</f>
        <v>0</v>
      </c>
      <c r="M123" s="18">
        <f>$B$5-L123</f>
        <v>1000000</v>
      </c>
      <c r="O123" s="18">
        <f>MIN(0*N121,$B$5)</f>
        <v>0</v>
      </c>
      <c r="P123" s="18">
        <f>$B$5-O123</f>
        <v>1000000</v>
      </c>
      <c r="R123" s="18">
        <f>MIN(0*Q121,$B$5)</f>
        <v>0</v>
      </c>
      <c r="S123" s="18">
        <f>$B$5-R123</f>
        <v>1000000</v>
      </c>
    </row>
    <row r="124" spans="1:19">
      <c r="A124" s="10">
        <f>1</f>
        <v>1</v>
      </c>
      <c r="B124" s="18">
        <f>IF($A124&gt;20,0,(B121-MIN(MAX(C123,0),B121))+MIN(MAX(0,D123-(B121-MIN(MAX(C123,0),B121))),MAX(0,0*B121-(C123-MIN(MAX(C123,0),B121)))))</f>
        <v>30000</v>
      </c>
      <c r="C124" s="18">
        <f>IF($A124&gt;20,C123,(C123-B121+B124)*(1+$B$7))</f>
        <v>0</v>
      </c>
      <c r="D124" s="18">
        <f t="shared" ref="D124:D163" si="0">IF($A124&gt;20,D123,(D123-B124)*(1+$B$6))</f>
        <v>999100</v>
      </c>
      <c r="E124" s="18">
        <f>IF($A124&gt;20,0,(E121-MIN(MAX(F123,0),E121))+MIN(MAX(0,G123-(E121-MIN(MAX(F123,0),E121))),MAX(0,0*E121-(F123-MIN(MAX(F123,0),E121)))))</f>
        <v>75000</v>
      </c>
      <c r="F124" s="18">
        <f>IF($A124&gt;20,F123,(F123-E121+E124)*(1+$B$7))</f>
        <v>0</v>
      </c>
      <c r="G124" s="18">
        <f t="shared" ref="G124:G163" si="1">IF($A124&gt;20,G123,(G123-E124)*(1+$B$6))</f>
        <v>952750</v>
      </c>
      <c r="H124" s="18">
        <f>IF($A124&gt;20,0,(H121-MIN(MAX(I123,0),H121))+MIN(MAX(0,J123-(H121-MIN(MAX(I123,0),H121))),MAX(0,0*H121-(I123-MIN(MAX(I123,0),H121)))))</f>
        <v>65257.968540639944</v>
      </c>
      <c r="I124" s="18">
        <f>IF($A124&gt;20,I123,(I123-H121+H124)*(1+$B$7))</f>
        <v>0</v>
      </c>
      <c r="J124" s="18">
        <f t="shared" ref="J124:J163" si="2">IF($A124&gt;20,J123,(J123-H124)*(1+$B$6))</f>
        <v>962784.2924031408</v>
      </c>
      <c r="K124" s="18">
        <f>IF($A124&gt;20,0,(K121-MIN(MAX(L123,0),K121))+MIN(MAX(0,M123-(K121-MIN(MAX(L123,0),K121))),MAX(0,0*K121-(L123-MIN(MAX(L123,0),K121)))))</f>
        <v>65257.968540639937</v>
      </c>
      <c r="L124" s="18">
        <f>IF($A124&gt;20,L123,(L123-K121+K124)*(1+$B$7))</f>
        <v>0</v>
      </c>
      <c r="M124" s="18">
        <f t="shared" ref="M124:M163" si="3">IF($A124&gt;20,M123,(M123-K124)*(1+$B$6))</f>
        <v>962784.2924031408</v>
      </c>
      <c r="N124" s="18">
        <f>IF($A124&gt;20,0,(N121-MIN(MAX(O123,0),N121))+MIN(MAX(0,P123-(N121-MIN(MAX(O123,0),N121))),MAX(0,0*N121-(O123-MIN(MAX(O123,0),N121)))))</f>
        <v>65257.968540639937</v>
      </c>
      <c r="O124" s="18">
        <f>IF($A124&gt;20,O123,(O123-N121+N124)*(1+$B$7))</f>
        <v>0</v>
      </c>
      <c r="P124" s="18">
        <f t="shared" ref="P124:P163" si="4">IF($A124&gt;20,P123,(P123-N124)*(1+$B$6))</f>
        <v>962784.2924031408</v>
      </c>
      <c r="Q124" s="18">
        <f>IF($A124&gt;20,0,(Q121-MIN(MAX(R123,0),Q121))+MIN(MAX(0,S123-(Q121-MIN(MAX(R123,0),Q121))),MAX(0,0*Q121-(R123-MIN(MAX(R123,0),Q121)))))</f>
        <v>65257.968540639937</v>
      </c>
      <c r="R124" s="18">
        <f>IF($A124&gt;20,R123,(R123-Q121+Q124)*(1+$B$7))</f>
        <v>0</v>
      </c>
      <c r="S124" s="18">
        <f t="shared" ref="S124:S163" si="5">IF($A124&gt;20,S123,(S123-Q124)*(1+$B$6))</f>
        <v>962784.2924031408</v>
      </c>
    </row>
    <row r="125" spans="1:19">
      <c r="A125" s="10">
        <f>2</f>
        <v>2</v>
      </c>
      <c r="B125" s="18">
        <f>IF($A125&gt;20,0,(B121-MIN(MAX(C124,0),B121))+MIN(MAX(0,D124-(B121-MIN(MAX(C124,0),B121))),MAX(0,0*B121-(C124-MIN(MAX(C124,0),B121)))))</f>
        <v>30000</v>
      </c>
      <c r="C125" s="18">
        <f>IF($A125&gt;20,C124,(C124-B121+B125)*(1+$B$7))</f>
        <v>0</v>
      </c>
      <c r="D125" s="18">
        <f t="shared" si="0"/>
        <v>998173</v>
      </c>
      <c r="E125" s="18">
        <f>IF($A125&gt;20,0,(E121-MIN(MAX(F124,0),E121))+MIN(MAX(0,G124-(E121-MIN(MAX(F124,0),E121))),MAX(0,0*E121-(F124-MIN(MAX(F124,0),E121)))))</f>
        <v>75000</v>
      </c>
      <c r="F125" s="18">
        <f>IF($A125&gt;20,F124,(F124-E121+E125)*(1+$B$7))</f>
        <v>0</v>
      </c>
      <c r="G125" s="18">
        <f t="shared" si="1"/>
        <v>904082.5</v>
      </c>
      <c r="H125" s="18">
        <f>IF($A125&gt;20,0,(H121-MIN(MAX(I124,0),H121))+MIN(MAX(0,J124-(H121-MIN(MAX(I124,0),H121))),MAX(0,0*H121-(I124-MIN(MAX(I124,0),H121)))))</f>
        <v>65257.968540639944</v>
      </c>
      <c r="I125" s="18">
        <f>IF($A125&gt;20,I124,(I124-H121+H125)*(1+$B$7))</f>
        <v>0</v>
      </c>
      <c r="J125" s="18">
        <f t="shared" si="2"/>
        <v>924452.11357837589</v>
      </c>
      <c r="K125" s="18">
        <f>IF($A125&gt;20,0,(K121-MIN(MAX(L124,0),K121))+MIN(MAX(0,M124-(K121-MIN(MAX(L124,0),K121))),MAX(0,0*K121-(L124-MIN(MAX(L124,0),K121)))))</f>
        <v>65257.968540639937</v>
      </c>
      <c r="L125" s="18">
        <f>IF($A125&gt;20,L124,(L124-K121+K125)*(1+$B$7))</f>
        <v>0</v>
      </c>
      <c r="M125" s="18">
        <f t="shared" si="3"/>
        <v>924452.11357837589</v>
      </c>
      <c r="N125" s="18">
        <f>IF($A125&gt;20,0,(N121-MIN(MAX(O124,0),N121))+MIN(MAX(0,P124-(N121-MIN(MAX(O124,0),N121))),MAX(0,0*N121-(O124-MIN(MAX(O124,0),N121)))))</f>
        <v>65257.968540639937</v>
      </c>
      <c r="O125" s="18">
        <f>IF($A125&gt;20,O124,(O124-N121+N125)*(1+$B$7))</f>
        <v>0</v>
      </c>
      <c r="P125" s="18">
        <f t="shared" si="4"/>
        <v>924452.11357837589</v>
      </c>
      <c r="Q125" s="18">
        <f>IF($A125&gt;20,0,(Q121-MIN(MAX(R124,0),Q121))+MIN(MAX(0,S124-(Q121-MIN(MAX(R124,0),Q121))),MAX(0,0*Q121-(R124-MIN(MAX(R124,0),Q121)))))</f>
        <v>65257.968540639937</v>
      </c>
      <c r="R125" s="18">
        <f>IF($A125&gt;20,R124,(R124-Q121+Q125)*(1+$B$7))</f>
        <v>0</v>
      </c>
      <c r="S125" s="18">
        <f t="shared" si="5"/>
        <v>924452.11357837589</v>
      </c>
    </row>
    <row r="126" spans="1:19">
      <c r="A126" s="10">
        <f>3</f>
        <v>3</v>
      </c>
      <c r="B126" s="18">
        <f>IF($A126&gt;20,0,(B121-MIN(MAX(C125,0),B121))+MIN(MAX(0,D125-(B121-MIN(MAX(C125,0),B121))),MAX(0,0*B121-(C125-MIN(MAX(C125,0),B121)))))</f>
        <v>30000</v>
      </c>
      <c r="C126" s="18">
        <f>IF($A126&gt;20,C125,(C125-B121+B126)*(1+$B$7))</f>
        <v>0</v>
      </c>
      <c r="D126" s="18">
        <f t="shared" si="0"/>
        <v>997218.19000000006</v>
      </c>
      <c r="E126" s="18">
        <f>IF($A126&gt;20,0,(E121-MIN(MAX(F125,0),E121))+MIN(MAX(0,G125-(E121-MIN(MAX(F125,0),E121))),MAX(0,0*E121-(F125-MIN(MAX(F125,0),E121)))))</f>
        <v>75000</v>
      </c>
      <c r="F126" s="18">
        <f>IF($A126&gt;20,F125,(F125-E121+E126)*(1+$B$7))</f>
        <v>0</v>
      </c>
      <c r="G126" s="18">
        <f t="shared" si="1"/>
        <v>853954.97499999998</v>
      </c>
      <c r="H126" s="18">
        <f>IF($A126&gt;20,0,(H121-MIN(MAX(I125,0),H121))+MIN(MAX(0,J125-(H121-MIN(MAX(I125,0),H121))),MAX(0,0*H121-(I125-MIN(MAX(I125,0),H121)))))</f>
        <v>65257.968540639944</v>
      </c>
      <c r="I126" s="18">
        <f>IF($A126&gt;20,I125,(I125-H121+H126)*(1+$B$7))</f>
        <v>0</v>
      </c>
      <c r="J126" s="18">
        <f t="shared" si="2"/>
        <v>884969.96938886808</v>
      </c>
      <c r="K126" s="18">
        <f>IF($A126&gt;20,0,(K121-MIN(MAX(L125,0),K121))+MIN(MAX(0,M125-(K121-MIN(MAX(L125,0),K121))),MAX(0,0*K121-(L125-MIN(MAX(L125,0),K121)))))</f>
        <v>65257.968540639937</v>
      </c>
      <c r="L126" s="18">
        <f>IF($A126&gt;20,L125,(L125-K121+K126)*(1+$B$7))</f>
        <v>0</v>
      </c>
      <c r="M126" s="18">
        <f t="shared" si="3"/>
        <v>884969.96938886808</v>
      </c>
      <c r="N126" s="18">
        <f>IF($A126&gt;20,0,(N121-MIN(MAX(O125,0),N121))+MIN(MAX(0,P125-(N121-MIN(MAX(O125,0),N121))),MAX(0,0*N121-(O125-MIN(MAX(O125,0),N121)))))</f>
        <v>65257.968540639937</v>
      </c>
      <c r="O126" s="18">
        <f>IF($A126&gt;20,O125,(O125-N121+N126)*(1+$B$7))</f>
        <v>0</v>
      </c>
      <c r="P126" s="18">
        <f t="shared" si="4"/>
        <v>884969.96938886808</v>
      </c>
      <c r="Q126" s="18">
        <f>IF($A126&gt;20,0,(Q121-MIN(MAX(R125,0),Q121))+MIN(MAX(0,S125-(Q121-MIN(MAX(R125,0),Q121))),MAX(0,0*Q121-(R125-MIN(MAX(R125,0),Q121)))))</f>
        <v>65257.968540639937</v>
      </c>
      <c r="R126" s="18">
        <f>IF($A126&gt;20,R125,(R125-Q121+Q126)*(1+$B$7))</f>
        <v>0</v>
      </c>
      <c r="S126" s="18">
        <f t="shared" si="5"/>
        <v>884969.96938886808</v>
      </c>
    </row>
    <row r="127" spans="1:19">
      <c r="A127" s="10">
        <f>4</f>
        <v>4</v>
      </c>
      <c r="B127" s="18">
        <f>IF($A127&gt;20,0,(B121-MIN(MAX(C126,0),B121))+MIN(MAX(0,D126-(B121-MIN(MAX(C126,0),B121))),MAX(0,0*B121-(C126-MIN(MAX(C126,0),B121)))))</f>
        <v>30000</v>
      </c>
      <c r="C127" s="18">
        <f>IF($A127&gt;20,C126,(C126-B121+B127)*(1+$B$7))</f>
        <v>0</v>
      </c>
      <c r="D127" s="18">
        <f t="shared" si="0"/>
        <v>996234.73570000008</v>
      </c>
      <c r="E127" s="18">
        <f>IF($A127&gt;20,0,(E121-MIN(MAX(F126,0),E121))+MIN(MAX(0,G126-(E121-MIN(MAX(F126,0),E121))),MAX(0,0*E121-(F126-MIN(MAX(F126,0),E121)))))</f>
        <v>75000</v>
      </c>
      <c r="F127" s="18">
        <f>IF($A127&gt;20,F126,(F126-E121+E127)*(1+$B$7))</f>
        <v>0</v>
      </c>
      <c r="G127" s="18">
        <f t="shared" si="1"/>
        <v>802323.62424999999</v>
      </c>
      <c r="H127" s="18">
        <f>IF($A127&gt;20,0,(H121-MIN(MAX(I126,0),H121))+MIN(MAX(0,J126-(H121-MIN(MAX(I126,0),H121))),MAX(0,0*H121-(I126-MIN(MAX(I126,0),H121)))))</f>
        <v>65257.968540639944</v>
      </c>
      <c r="I127" s="18">
        <f>IF($A127&gt;20,I126,(I126-H121+H127)*(1+$B$7))</f>
        <v>0</v>
      </c>
      <c r="J127" s="18">
        <f t="shared" si="2"/>
        <v>844303.36087367497</v>
      </c>
      <c r="K127" s="18">
        <f>IF($A127&gt;20,0,(K121-MIN(MAX(L126,0),K121))+MIN(MAX(0,M126-(K121-MIN(MAX(L126,0),K121))),MAX(0,0*K121-(L126-MIN(MAX(L126,0),K121)))))</f>
        <v>65257.968540639937</v>
      </c>
      <c r="L127" s="18">
        <f>IF($A127&gt;20,L126,(L126-K121+K127)*(1+$B$7))</f>
        <v>0</v>
      </c>
      <c r="M127" s="18">
        <f t="shared" si="3"/>
        <v>844303.36087367497</v>
      </c>
      <c r="N127" s="18">
        <f>IF($A127&gt;20,0,(N121-MIN(MAX(O126,0),N121))+MIN(MAX(0,P126-(N121-MIN(MAX(O126,0),N121))),MAX(0,0*N121-(O126-MIN(MAX(O126,0),N121)))))</f>
        <v>65257.968540639937</v>
      </c>
      <c r="O127" s="18">
        <f>IF($A127&gt;20,O126,(O126-N121+N127)*(1+$B$7))</f>
        <v>0</v>
      </c>
      <c r="P127" s="18">
        <f t="shared" si="4"/>
        <v>844303.36087367497</v>
      </c>
      <c r="Q127" s="18">
        <f>IF($A127&gt;20,0,(Q121-MIN(MAX(R126,0),Q121))+MIN(MAX(0,S126-(Q121-MIN(MAX(R126,0),Q121))),MAX(0,0*Q121-(R126-MIN(MAX(R126,0),Q121)))))</f>
        <v>65257.968540639937</v>
      </c>
      <c r="R127" s="18">
        <f>IF($A127&gt;20,R126,(R126-Q121+Q127)*(1+$B$7))</f>
        <v>0</v>
      </c>
      <c r="S127" s="18">
        <f t="shared" si="5"/>
        <v>844303.36087367497</v>
      </c>
    </row>
    <row r="128" spans="1:19">
      <c r="A128" s="10">
        <f>5</f>
        <v>5</v>
      </c>
      <c r="B128" s="18">
        <f>IF($A128&gt;20,0,(B121-MIN(MAX(C127,0),B121))+MIN(MAX(0,D127-(B121-MIN(MAX(C127,0),B121))),MAX(0,0*B121-(C127-MIN(MAX(C127,0),B121)))))</f>
        <v>30000</v>
      </c>
      <c r="C128" s="18">
        <f>IF($A128&gt;20,C127,(C127-B121+B128)*(1+$B$7))</f>
        <v>0</v>
      </c>
      <c r="D128" s="18">
        <f t="shared" si="0"/>
        <v>995221.77777100005</v>
      </c>
      <c r="E128" s="18">
        <f>IF($A128&gt;20,0,(E121-MIN(MAX(F127,0),E121))+MIN(MAX(0,G127-(E121-MIN(MAX(F127,0),E121))),MAX(0,0*E121-(F127-MIN(MAX(F127,0),E121)))))</f>
        <v>75000</v>
      </c>
      <c r="F128" s="18">
        <f>IF($A128&gt;20,F127,(F127-E121+E128)*(1+$B$7))</f>
        <v>0</v>
      </c>
      <c r="G128" s="18">
        <f t="shared" si="1"/>
        <v>749143.33297750005</v>
      </c>
      <c r="H128" s="18">
        <f>IF($A128&gt;20,0,(H121-MIN(MAX(I127,0),H121))+MIN(MAX(0,J127-(H121-MIN(MAX(I127,0),H121))),MAX(0,0*H121-(I127-MIN(MAX(I127,0),H121)))))</f>
        <v>65257.968540639944</v>
      </c>
      <c r="I128" s="18">
        <f>IF($A128&gt;20,I127,(I127-H121+H128)*(1+$B$7))</f>
        <v>0</v>
      </c>
      <c r="J128" s="18">
        <f t="shared" si="2"/>
        <v>802416.75410302612</v>
      </c>
      <c r="K128" s="18">
        <f>IF($A128&gt;20,0,(K121-MIN(MAX(L127,0),K121))+MIN(MAX(0,M127-(K121-MIN(MAX(L127,0),K121))),MAX(0,0*K121-(L127-MIN(MAX(L127,0),K121)))))</f>
        <v>65257.968540639937</v>
      </c>
      <c r="L128" s="18">
        <f>IF($A128&gt;20,L127,(L127-K121+K128)*(1+$B$7))</f>
        <v>0</v>
      </c>
      <c r="M128" s="18">
        <f t="shared" si="3"/>
        <v>802416.75410302612</v>
      </c>
      <c r="N128" s="18">
        <f>IF($A128&gt;20,0,(N121-MIN(MAX(O127,0),N121))+MIN(MAX(0,P127-(N121-MIN(MAX(O127,0),N121))),MAX(0,0*N121-(O127-MIN(MAX(O127,0),N121)))))</f>
        <v>65257.968540639937</v>
      </c>
      <c r="O128" s="18">
        <f>IF($A128&gt;20,O127,(O127-N121+N128)*(1+$B$7))</f>
        <v>0</v>
      </c>
      <c r="P128" s="18">
        <f t="shared" si="4"/>
        <v>802416.75410302612</v>
      </c>
      <c r="Q128" s="18">
        <f>IF($A128&gt;20,0,(Q121-MIN(MAX(R127,0),Q121))+MIN(MAX(0,S127-(Q121-MIN(MAX(R127,0),Q121))),MAX(0,0*Q121-(R127-MIN(MAX(R127,0),Q121)))))</f>
        <v>65257.968540639937</v>
      </c>
      <c r="R128" s="18">
        <f>IF($A128&gt;20,R127,(R127-Q121+Q128)*(1+$B$7))</f>
        <v>0</v>
      </c>
      <c r="S128" s="18">
        <f t="shared" si="5"/>
        <v>802416.75410302612</v>
      </c>
    </row>
    <row r="129" spans="1:19">
      <c r="A129" s="10">
        <f>6</f>
        <v>6</v>
      </c>
      <c r="B129" s="18">
        <f>IF($A129&gt;20,0,(B121-MIN(MAX(C128,0),B121))+MIN(MAX(0,D128-(B121-MIN(MAX(C128,0),B121))),MAX(0,0*B121-(C128-MIN(MAX(C128,0),B121)))))</f>
        <v>30000</v>
      </c>
      <c r="C129" s="18">
        <f>IF($A129&gt;20,C128,(C128-B121+B129)*(1+$B$7))</f>
        <v>0</v>
      </c>
      <c r="D129" s="18">
        <f t="shared" si="0"/>
        <v>994178.43110413011</v>
      </c>
      <c r="E129" s="18">
        <f>IF($A129&gt;20,0,(E121-MIN(MAX(F128,0),E121))+MIN(MAX(0,G128-(E121-MIN(MAX(F128,0),E121))),MAX(0,0*E121-(F128-MIN(MAX(F128,0),E121)))))</f>
        <v>75000</v>
      </c>
      <c r="F129" s="18">
        <f>IF($A129&gt;20,F128,(F128-E121+E129)*(1+$B$7))</f>
        <v>0</v>
      </c>
      <c r="G129" s="18">
        <f t="shared" si="1"/>
        <v>694367.63296682504</v>
      </c>
      <c r="H129" s="18">
        <f>IF($A129&gt;20,0,(H121-MIN(MAX(I128,0),H121))+MIN(MAX(0,J128-(H121-MIN(MAX(I128,0),H121))),MAX(0,0*H121-(I128-MIN(MAX(I128,0),H121)))))</f>
        <v>65257.968540639944</v>
      </c>
      <c r="I129" s="18">
        <f>IF($A129&gt;20,I128,(I128-H121+H129)*(1+$B$7))</f>
        <v>0</v>
      </c>
      <c r="J129" s="18">
        <f t="shared" si="2"/>
        <v>759273.54912925779</v>
      </c>
      <c r="K129" s="18">
        <f>IF($A129&gt;20,0,(K121-MIN(MAX(L128,0),K121))+MIN(MAX(0,M128-(K121-MIN(MAX(L128,0),K121))),MAX(0,0*K121-(L128-MIN(MAX(L128,0),K121)))))</f>
        <v>65257.968540639937</v>
      </c>
      <c r="L129" s="18">
        <f>IF($A129&gt;20,L128,(L128-K121+K129)*(1+$B$7))</f>
        <v>0</v>
      </c>
      <c r="M129" s="18">
        <f t="shared" si="3"/>
        <v>759273.54912925779</v>
      </c>
      <c r="N129" s="18">
        <f>IF($A129&gt;20,0,(N121-MIN(MAX(O128,0),N121))+MIN(MAX(0,P128-(N121-MIN(MAX(O128,0),N121))),MAX(0,0*N121-(O128-MIN(MAX(O128,0),N121)))))</f>
        <v>65257.968540639937</v>
      </c>
      <c r="O129" s="18">
        <f>IF($A129&gt;20,O128,(O128-N121+N129)*(1+$B$7))</f>
        <v>0</v>
      </c>
      <c r="P129" s="18">
        <f t="shared" si="4"/>
        <v>759273.54912925779</v>
      </c>
      <c r="Q129" s="18">
        <f>IF($A129&gt;20,0,(Q121-MIN(MAX(R128,0),Q121))+MIN(MAX(0,S128-(Q121-MIN(MAX(R128,0),Q121))),MAX(0,0*Q121-(R128-MIN(MAX(R128,0),Q121)))))</f>
        <v>65257.968540639937</v>
      </c>
      <c r="R129" s="18">
        <f>IF($A129&gt;20,R128,(R128-Q121+Q129)*(1+$B$7))</f>
        <v>0</v>
      </c>
      <c r="S129" s="18">
        <f t="shared" si="5"/>
        <v>759273.54912925779</v>
      </c>
    </row>
    <row r="130" spans="1:19">
      <c r="A130" s="10">
        <f>7</f>
        <v>7</v>
      </c>
      <c r="B130" s="18">
        <f>IF($A130&gt;20,0,(B121-MIN(MAX(C129,0),B121))+MIN(MAX(0,D129-(B121-MIN(MAX(C129,0),B121))),MAX(0,0*B121-(C129-MIN(MAX(C129,0),B121)))))</f>
        <v>30000</v>
      </c>
      <c r="C130" s="18">
        <f>IF($A130&gt;20,C129,(C129-B121+B130)*(1+$B$7))</f>
        <v>0</v>
      </c>
      <c r="D130" s="18">
        <f t="shared" si="0"/>
        <v>993103.78403725405</v>
      </c>
      <c r="E130" s="18">
        <f>IF($A130&gt;20,0,(E121-MIN(MAX(F129,0),E121))+MIN(MAX(0,G129-(E121-MIN(MAX(F129,0),E121))),MAX(0,0*E121-(F129-MIN(MAX(F129,0),E121)))))</f>
        <v>75000</v>
      </c>
      <c r="F130" s="18">
        <f>IF($A130&gt;20,F129,(F129-E121+E130)*(1+$B$7))</f>
        <v>0</v>
      </c>
      <c r="G130" s="18">
        <f t="shared" si="1"/>
        <v>637948.66195582983</v>
      </c>
      <c r="H130" s="18">
        <f>IF($A130&gt;20,0,(H121-MIN(MAX(I129,0),H121))+MIN(MAX(0,J129-(H121-MIN(MAX(I129,0),H121))),MAX(0,0*H121-(I129-MIN(MAX(I129,0),H121)))))</f>
        <v>65257.968540639944</v>
      </c>
      <c r="I130" s="18">
        <f>IF($A130&gt;20,I129,(I129-H121+H130)*(1+$B$7))</f>
        <v>0</v>
      </c>
      <c r="J130" s="18">
        <f t="shared" si="2"/>
        <v>714836.04800627637</v>
      </c>
      <c r="K130" s="18">
        <f>IF($A130&gt;20,0,(K121-MIN(MAX(L129,0),K121))+MIN(MAX(0,M129-(K121-MIN(MAX(L129,0),K121))),MAX(0,0*K121-(L129-MIN(MAX(L129,0),K121)))))</f>
        <v>65257.968540639937</v>
      </c>
      <c r="L130" s="18">
        <f>IF($A130&gt;20,L129,(L129-K121+K130)*(1+$B$7))</f>
        <v>0</v>
      </c>
      <c r="M130" s="18">
        <f t="shared" si="3"/>
        <v>714836.04800627637</v>
      </c>
      <c r="N130" s="18">
        <f>IF($A130&gt;20,0,(N121-MIN(MAX(O129,0),N121))+MIN(MAX(0,P129-(N121-MIN(MAX(O129,0),N121))),MAX(0,0*N121-(O129-MIN(MAX(O129,0),N121)))))</f>
        <v>65257.968540639937</v>
      </c>
      <c r="O130" s="18">
        <f>IF($A130&gt;20,O129,(O129-N121+N130)*(1+$B$7))</f>
        <v>0</v>
      </c>
      <c r="P130" s="18">
        <f t="shared" si="4"/>
        <v>714836.04800627637</v>
      </c>
      <c r="Q130" s="18">
        <f>IF($A130&gt;20,0,(Q121-MIN(MAX(R129,0),Q121))+MIN(MAX(0,S129-(Q121-MIN(MAX(R129,0),Q121))),MAX(0,0*Q121-(R129-MIN(MAX(R129,0),Q121)))))</f>
        <v>65257.968540639937</v>
      </c>
      <c r="R130" s="18">
        <f>IF($A130&gt;20,R129,(R129-Q121+Q130)*(1+$B$7))</f>
        <v>0</v>
      </c>
      <c r="S130" s="18">
        <f t="shared" si="5"/>
        <v>714836.04800627637</v>
      </c>
    </row>
    <row r="131" spans="1:19">
      <c r="A131" s="10">
        <f>8</f>
        <v>8</v>
      </c>
      <c r="B131" s="18">
        <f>IF($A131&gt;20,0,(B121-MIN(MAX(C130,0),B121))+MIN(MAX(0,D130-(B121-MIN(MAX(C130,0),B121))),MAX(0,0*B121-(C130-MIN(MAX(C130,0),B121)))))</f>
        <v>30000</v>
      </c>
      <c r="C131" s="18">
        <f>IF($A131&gt;20,C130,(C130-B121+B131)*(1+$B$7))</f>
        <v>0</v>
      </c>
      <c r="D131" s="18">
        <f t="shared" si="0"/>
        <v>991996.89755837165</v>
      </c>
      <c r="E131" s="18">
        <f>IF($A131&gt;20,0,(E121-MIN(MAX(F130,0),E121))+MIN(MAX(0,G130-(E121-MIN(MAX(F130,0),E121))),MAX(0,0*E121-(F130-MIN(MAX(F130,0),E121)))))</f>
        <v>75000</v>
      </c>
      <c r="F131" s="18">
        <f>IF($A131&gt;20,F130,(F130-E121+E131)*(1+$B$7))</f>
        <v>0</v>
      </c>
      <c r="G131" s="18">
        <f t="shared" si="1"/>
        <v>579837.12181450473</v>
      </c>
      <c r="H131" s="18">
        <f>IF($A131&gt;20,0,(H121-MIN(MAX(I130,0),H121))+MIN(MAX(0,J130-(H121-MIN(MAX(I130,0),H121))),MAX(0,0*H121-(I130-MIN(MAX(I130,0),H121)))))</f>
        <v>65257.968540639944</v>
      </c>
      <c r="I131" s="18">
        <f>IF($A131&gt;20,I130,(I130-H121+H131)*(1+$B$7))</f>
        <v>0</v>
      </c>
      <c r="J131" s="18">
        <f t="shared" si="2"/>
        <v>669065.42184960551</v>
      </c>
      <c r="K131" s="18">
        <f>IF($A131&gt;20,0,(K121-MIN(MAX(L130,0),K121))+MIN(MAX(0,M130-(K121-MIN(MAX(L130,0),K121))),MAX(0,0*K121-(L130-MIN(MAX(L130,0),K121)))))</f>
        <v>65257.968540639937</v>
      </c>
      <c r="L131" s="18">
        <f>IF($A131&gt;20,L130,(L130-K121+K131)*(1+$B$7))</f>
        <v>0</v>
      </c>
      <c r="M131" s="18">
        <f t="shared" si="3"/>
        <v>669065.42184960551</v>
      </c>
      <c r="N131" s="18">
        <f>IF($A131&gt;20,0,(N121-MIN(MAX(O130,0),N121))+MIN(MAX(0,P130-(N121-MIN(MAX(O130,0),N121))),MAX(0,0*N121-(O130-MIN(MAX(O130,0),N121)))))</f>
        <v>65257.968540639937</v>
      </c>
      <c r="O131" s="18">
        <f>IF($A131&gt;20,O130,(O130-N121+N131)*(1+$B$7))</f>
        <v>0</v>
      </c>
      <c r="P131" s="18">
        <f t="shared" si="4"/>
        <v>669065.42184960551</v>
      </c>
      <c r="Q131" s="18">
        <f>IF($A131&gt;20,0,(Q121-MIN(MAX(R130,0),Q121))+MIN(MAX(0,S130-(Q121-MIN(MAX(R130,0),Q121))),MAX(0,0*Q121-(R130-MIN(MAX(R130,0),Q121)))))</f>
        <v>65257.968540639937</v>
      </c>
      <c r="R131" s="18">
        <f>IF($A131&gt;20,R130,(R130-Q121+Q131)*(1+$B$7))</f>
        <v>0</v>
      </c>
      <c r="S131" s="18">
        <f t="shared" si="5"/>
        <v>669065.42184960551</v>
      </c>
    </row>
    <row r="132" spans="1:19">
      <c r="A132" s="10">
        <f>9</f>
        <v>9</v>
      </c>
      <c r="B132" s="18">
        <f>IF($A132&gt;20,0,(B121-MIN(MAX(C131,0),B121))+MIN(MAX(0,D131-(B121-MIN(MAX(C131,0),B121))),MAX(0,0*B121-(C131-MIN(MAX(C131,0),B121)))))</f>
        <v>30000</v>
      </c>
      <c r="C132" s="18">
        <f>IF($A132&gt;20,C131,(C131-B121+B132)*(1+$B$7))</f>
        <v>0</v>
      </c>
      <c r="D132" s="18">
        <f t="shared" si="0"/>
        <v>990856.80448512279</v>
      </c>
      <c r="E132" s="18">
        <f>IF($A132&gt;20,0,(E121-MIN(MAX(F131,0),E121))+MIN(MAX(0,G131-(E121-MIN(MAX(F131,0),E121))),MAX(0,0*E121-(F131-MIN(MAX(F131,0),E121)))))</f>
        <v>75000</v>
      </c>
      <c r="F132" s="18">
        <f>IF($A132&gt;20,F131,(F131-E121+E132)*(1+$B$7))</f>
        <v>0</v>
      </c>
      <c r="G132" s="18">
        <f t="shared" si="1"/>
        <v>519982.23546893988</v>
      </c>
      <c r="H132" s="18">
        <f>IF($A132&gt;20,0,(H121-MIN(MAX(I131,0),H121))+MIN(MAX(0,J131-(H121-MIN(MAX(I131,0),H121))),MAX(0,0*H121-(I131-MIN(MAX(I131,0),H121)))))</f>
        <v>65257.968540639944</v>
      </c>
      <c r="I132" s="18">
        <f>IF($A132&gt;20,I131,(I131-H121+H132)*(1+$B$7))</f>
        <v>0</v>
      </c>
      <c r="J132" s="18">
        <f t="shared" si="2"/>
        <v>621921.67690823448</v>
      </c>
      <c r="K132" s="18">
        <f>IF($A132&gt;20,0,(K121-MIN(MAX(L131,0),K121))+MIN(MAX(0,M131-(K121-MIN(MAX(L131,0),K121))),MAX(0,0*K121-(L131-MIN(MAX(L131,0),K121)))))</f>
        <v>65257.968540639937</v>
      </c>
      <c r="L132" s="18">
        <f>IF($A132&gt;20,L131,(L131-K121+K132)*(1+$B$7))</f>
        <v>0</v>
      </c>
      <c r="M132" s="18">
        <f t="shared" si="3"/>
        <v>621921.67690823448</v>
      </c>
      <c r="N132" s="18">
        <f>IF($A132&gt;20,0,(N121-MIN(MAX(O131,0),N121))+MIN(MAX(0,P131-(N121-MIN(MAX(O131,0),N121))),MAX(0,0*N121-(O131-MIN(MAX(O131,0),N121)))))</f>
        <v>65257.968540639937</v>
      </c>
      <c r="O132" s="18">
        <f>IF($A132&gt;20,O131,(O131-N121+N132)*(1+$B$7))</f>
        <v>0</v>
      </c>
      <c r="P132" s="18">
        <f t="shared" si="4"/>
        <v>621921.67690823448</v>
      </c>
      <c r="Q132" s="18">
        <f>IF($A132&gt;20,0,(Q121-MIN(MAX(R131,0),Q121))+MIN(MAX(0,S131-(Q121-MIN(MAX(R131,0),Q121))),MAX(0,0*Q121-(R131-MIN(MAX(R131,0),Q121)))))</f>
        <v>65257.968540639937</v>
      </c>
      <c r="R132" s="18">
        <f>IF($A132&gt;20,R131,(R131-Q121+Q132)*(1+$B$7))</f>
        <v>0</v>
      </c>
      <c r="S132" s="18">
        <f t="shared" si="5"/>
        <v>621921.67690823448</v>
      </c>
    </row>
    <row r="133" spans="1:19">
      <c r="A133" s="10">
        <f>10</f>
        <v>10</v>
      </c>
      <c r="B133" s="18">
        <f>IF($A133&gt;20,0,(B121-MIN(MAX(C132,0),B121))+MIN(MAX(0,D132-(B121-MIN(MAX(C132,0),B121))),MAX(0,0*B121-(C132-MIN(MAX(C132,0),B121)))))</f>
        <v>30000</v>
      </c>
      <c r="C133" s="18">
        <f>IF($A133&gt;20,C132,(C132-B121+B133)*(1+$B$7))</f>
        <v>0</v>
      </c>
      <c r="D133" s="18">
        <f t="shared" si="0"/>
        <v>989682.50861967646</v>
      </c>
      <c r="E133" s="18">
        <f>IF($A133&gt;20,0,(E121-MIN(MAX(F132,0),E121))+MIN(MAX(0,G132-(E121-MIN(MAX(F132,0),E121))),MAX(0,0*E121-(F132-MIN(MAX(F132,0),E121)))))</f>
        <v>75000</v>
      </c>
      <c r="F133" s="18">
        <f>IF($A133&gt;20,F132,(F132-E121+E133)*(1+$B$7))</f>
        <v>0</v>
      </c>
      <c r="G133" s="18">
        <f t="shared" si="1"/>
        <v>458331.70253300807</v>
      </c>
      <c r="H133" s="18">
        <f>IF($A133&gt;20,0,(H121-MIN(MAX(I132,0),H121))+MIN(MAX(0,J132-(H121-MIN(MAX(I132,0),H121))),MAX(0,0*H121-(I132-MIN(MAX(I132,0),H121)))))</f>
        <v>65257.968540639944</v>
      </c>
      <c r="I133" s="18">
        <f>IF($A133&gt;20,I132,(I132-H121+H133)*(1+$B$7))</f>
        <v>0</v>
      </c>
      <c r="J133" s="18">
        <f t="shared" si="2"/>
        <v>573363.61961862235</v>
      </c>
      <c r="K133" s="18">
        <f>IF($A133&gt;20,0,(K121-MIN(MAX(L132,0),K121))+MIN(MAX(0,M132-(K121-MIN(MAX(L132,0),K121))),MAX(0,0*K121-(L132-MIN(MAX(L132,0),K121)))))</f>
        <v>65257.968540639937</v>
      </c>
      <c r="L133" s="18">
        <f>IF($A133&gt;20,L132,(L132-K121+K133)*(1+$B$7))</f>
        <v>0</v>
      </c>
      <c r="M133" s="18">
        <f t="shared" si="3"/>
        <v>573363.61961862235</v>
      </c>
      <c r="N133" s="18">
        <f>IF($A133&gt;20,0,(N121-MIN(MAX(O132,0),N121))+MIN(MAX(0,P132-(N121-MIN(MAX(O132,0),N121))),MAX(0,0*N121-(O132-MIN(MAX(O132,0),N121)))))</f>
        <v>65257.968540639937</v>
      </c>
      <c r="O133" s="18">
        <f>IF($A133&gt;20,O132,(O132-N121+N133)*(1+$B$7))</f>
        <v>0</v>
      </c>
      <c r="P133" s="18">
        <f t="shared" si="4"/>
        <v>573363.61961862235</v>
      </c>
      <c r="Q133" s="18">
        <f>IF($A133&gt;20,0,(Q121-MIN(MAX(R132,0),Q121))+MIN(MAX(0,S132-(Q121-MIN(MAX(R132,0),Q121))),MAX(0,0*Q121-(R132-MIN(MAX(R132,0),Q121)))))</f>
        <v>65257.968540639937</v>
      </c>
      <c r="R133" s="18">
        <f>IF($A133&gt;20,R132,(R132-Q121+Q133)*(1+$B$7))</f>
        <v>0</v>
      </c>
      <c r="S133" s="18">
        <f t="shared" si="5"/>
        <v>573363.61961862235</v>
      </c>
    </row>
    <row r="134" spans="1:19">
      <c r="A134" s="10">
        <f>11</f>
        <v>11</v>
      </c>
      <c r="B134" s="18">
        <f>IF($A134&gt;20,0,(B121-MIN(MAX(C133,0),B121))+MIN(MAX(0,D133-(B121-MIN(MAX(C133,0),B121))),MAX(0,0*B121-(C133-MIN(MAX(C133,0),B121)))))</f>
        <v>30000</v>
      </c>
      <c r="C134" s="18">
        <f>IF($A134&gt;20,C133,(C133-B121+B134)*(1+$B$7))</f>
        <v>0</v>
      </c>
      <c r="D134" s="18">
        <f t="shared" si="0"/>
        <v>988472.98387826676</v>
      </c>
      <c r="E134" s="18">
        <f>IF($A134&gt;20,0,(E121-MIN(MAX(F133,0),E121))+MIN(MAX(0,G133-(E121-MIN(MAX(F133,0),E121))),MAX(0,0*E121-(F133-MIN(MAX(F133,0),E121)))))</f>
        <v>75000</v>
      </c>
      <c r="F134" s="18">
        <f>IF($A134&gt;20,F133,(F133-E121+E134)*(1+$B$7))</f>
        <v>0</v>
      </c>
      <c r="G134" s="18">
        <f t="shared" si="1"/>
        <v>394831.65360899834</v>
      </c>
      <c r="H134" s="18">
        <f>IF($A134&gt;20,0,(H121-MIN(MAX(I133,0),H121))+MIN(MAX(0,J133-(H121-MIN(MAX(I133,0),H121))),MAX(0,0*H121-(I133-MIN(MAX(I133,0),H121)))))</f>
        <v>65257.968540639944</v>
      </c>
      <c r="I134" s="18">
        <f>IF($A134&gt;20,I133,(I133-H121+H134)*(1+$B$7))</f>
        <v>0</v>
      </c>
      <c r="J134" s="18">
        <f t="shared" si="2"/>
        <v>523348.82061032188</v>
      </c>
      <c r="K134" s="18">
        <f>IF($A134&gt;20,0,(K121-MIN(MAX(L133,0),K121))+MIN(MAX(0,M133-(K121-MIN(MAX(L133,0),K121))),MAX(0,0*K121-(L133-MIN(MAX(L133,0),K121)))))</f>
        <v>65257.968540639937</v>
      </c>
      <c r="L134" s="18">
        <f>IF($A134&gt;20,L133,(L133-K121+K134)*(1+$B$7))</f>
        <v>0</v>
      </c>
      <c r="M134" s="18">
        <f t="shared" si="3"/>
        <v>523348.82061032188</v>
      </c>
      <c r="N134" s="18">
        <f>IF($A134&gt;20,0,(N121-MIN(MAX(O133,0),N121))+MIN(MAX(0,P133-(N121-MIN(MAX(O133,0),N121))),MAX(0,0*N121-(O133-MIN(MAX(O133,0),N121)))))</f>
        <v>65257.968540639937</v>
      </c>
      <c r="O134" s="18">
        <f>IF($A134&gt;20,O133,(O133-N121+N134)*(1+$B$7))</f>
        <v>0</v>
      </c>
      <c r="P134" s="18">
        <f t="shared" si="4"/>
        <v>523348.82061032188</v>
      </c>
      <c r="Q134" s="18">
        <f>IF($A134&gt;20,0,(Q121-MIN(MAX(R133,0),Q121))+MIN(MAX(0,S133-(Q121-MIN(MAX(R133,0),Q121))),MAX(0,0*Q121-(R133-MIN(MAX(R133,0),Q121)))))</f>
        <v>65257.968540639937</v>
      </c>
      <c r="R134" s="18">
        <f>IF($A134&gt;20,R133,(R133-Q121+Q134)*(1+$B$7))</f>
        <v>0</v>
      </c>
      <c r="S134" s="18">
        <f t="shared" si="5"/>
        <v>523348.82061032188</v>
      </c>
    </row>
    <row r="135" spans="1:19">
      <c r="A135" s="10">
        <f>12</f>
        <v>12</v>
      </c>
      <c r="B135" s="18">
        <f>IF($A135&gt;20,0,(B121-MIN(MAX(C134,0),B121))+MIN(MAX(0,D134-(B121-MIN(MAX(C134,0),B121))),MAX(0,0*B121-(C134-MIN(MAX(C134,0),B121)))))</f>
        <v>30000</v>
      </c>
      <c r="C135" s="18">
        <f>IF($A135&gt;20,C134,(C134-B121+B135)*(1+$B$7))</f>
        <v>0</v>
      </c>
      <c r="D135" s="18">
        <f t="shared" si="0"/>
        <v>987227.17339461483</v>
      </c>
      <c r="E135" s="18">
        <f>IF($A135&gt;20,0,(E121-MIN(MAX(F134,0),E121))+MIN(MAX(0,G134-(E121-MIN(MAX(F134,0),E121))),MAX(0,0*E121-(F134-MIN(MAX(F134,0),E121)))))</f>
        <v>75000</v>
      </c>
      <c r="F135" s="18">
        <f>IF($A135&gt;20,F134,(F134-E121+E135)*(1+$B$7))</f>
        <v>0</v>
      </c>
      <c r="G135" s="18">
        <f t="shared" si="1"/>
        <v>329426.6032172683</v>
      </c>
      <c r="H135" s="18">
        <f>IF($A135&gt;20,0,(H121-MIN(MAX(I134,0),H121))+MIN(MAX(0,J134-(H121-MIN(MAX(I134,0),H121))),MAX(0,0*H121-(I134-MIN(MAX(I134,0),H121)))))</f>
        <v>65257.968540639944</v>
      </c>
      <c r="I135" s="18">
        <f>IF($A135&gt;20,I134,(I134-H121+H135)*(1+$B$7))</f>
        <v>0</v>
      </c>
      <c r="J135" s="18">
        <f t="shared" si="2"/>
        <v>471833.57763177238</v>
      </c>
      <c r="K135" s="18">
        <f>IF($A135&gt;20,0,(K121-MIN(MAX(L134,0),K121))+MIN(MAX(0,M134-(K121-MIN(MAX(L134,0),K121))),MAX(0,0*K121-(L134-MIN(MAX(L134,0),K121)))))</f>
        <v>65257.968540639937</v>
      </c>
      <c r="L135" s="18">
        <f>IF($A135&gt;20,L134,(L134-K121+K135)*(1+$B$7))</f>
        <v>0</v>
      </c>
      <c r="M135" s="18">
        <f t="shared" si="3"/>
        <v>471833.57763177244</v>
      </c>
      <c r="N135" s="18">
        <f>IF($A135&gt;20,0,(N121-MIN(MAX(O134,0),N121))+MIN(MAX(0,P134-(N121-MIN(MAX(O134,0),N121))),MAX(0,0*N121-(O134-MIN(MAX(O134,0),N121)))))</f>
        <v>65257.968540639937</v>
      </c>
      <c r="O135" s="18">
        <f>IF($A135&gt;20,O134,(O134-N121+N135)*(1+$B$7))</f>
        <v>0</v>
      </c>
      <c r="P135" s="18">
        <f t="shared" si="4"/>
        <v>471833.57763177244</v>
      </c>
      <c r="Q135" s="18">
        <f>IF($A135&gt;20,0,(Q121-MIN(MAX(R134,0),Q121))+MIN(MAX(0,S134-(Q121-MIN(MAX(R134,0),Q121))),MAX(0,0*Q121-(R134-MIN(MAX(R134,0),Q121)))))</f>
        <v>65257.968540639937</v>
      </c>
      <c r="R135" s="18">
        <f>IF($A135&gt;20,R134,(R134-Q121+Q135)*(1+$B$7))</f>
        <v>0</v>
      </c>
      <c r="S135" s="18">
        <f t="shared" si="5"/>
        <v>471833.57763177244</v>
      </c>
    </row>
    <row r="136" spans="1:19">
      <c r="A136" s="10">
        <f>13</f>
        <v>13</v>
      </c>
      <c r="B136" s="18">
        <f>IF($A136&gt;20,0,(B121-MIN(MAX(C135,0),B121))+MIN(MAX(0,D135-(B121-MIN(MAX(C135,0),B121))),MAX(0,0*B121-(C135-MIN(MAX(C135,0),B121)))))</f>
        <v>30000</v>
      </c>
      <c r="C136" s="18">
        <f>IF($A136&gt;20,C135,(C135-B121+B136)*(1+$B$7))</f>
        <v>0</v>
      </c>
      <c r="D136" s="18">
        <f t="shared" si="0"/>
        <v>985943.98859645333</v>
      </c>
      <c r="E136" s="18">
        <f>IF($A136&gt;20,0,(E121-MIN(MAX(F135,0),E121))+MIN(MAX(0,G135-(E121-MIN(MAX(F135,0),E121))),MAX(0,0*E121-(F135-MIN(MAX(F135,0),E121)))))</f>
        <v>75000</v>
      </c>
      <c r="F136" s="18">
        <f>IF($A136&gt;20,F135,(F135-E121+E136)*(1+$B$7))</f>
        <v>0</v>
      </c>
      <c r="G136" s="18">
        <f t="shared" si="1"/>
        <v>262059.40131378637</v>
      </c>
      <c r="H136" s="18">
        <f>IF($A136&gt;20,0,(H121-MIN(MAX(I135,0),H121))+MIN(MAX(0,J135-(H121-MIN(MAX(I135,0),H121))),MAX(0,0*H121-(I135-MIN(MAX(I135,0),H121)))))</f>
        <v>65257.968540639944</v>
      </c>
      <c r="I136" s="18">
        <f>IF($A136&gt;20,I135,(I135-H121+H136)*(1+$B$7))</f>
        <v>0</v>
      </c>
      <c r="J136" s="18">
        <f t="shared" si="2"/>
        <v>418772.87736386637</v>
      </c>
      <c r="K136" s="18">
        <f>IF($A136&gt;20,0,(K121-MIN(MAX(L135,0),K121))+MIN(MAX(0,M135-(K121-MIN(MAX(L135,0),K121))),MAX(0,0*K121-(L135-MIN(MAX(L135,0),K121)))))</f>
        <v>65257.968540639937</v>
      </c>
      <c r="L136" s="18">
        <f>IF($A136&gt;20,L135,(L135-K121+K136)*(1+$B$7))</f>
        <v>0</v>
      </c>
      <c r="M136" s="18">
        <f t="shared" si="3"/>
        <v>418772.87736386654</v>
      </c>
      <c r="N136" s="18">
        <f>IF($A136&gt;20,0,(N121-MIN(MAX(O135,0),N121))+MIN(MAX(0,P135-(N121-MIN(MAX(O135,0),N121))),MAX(0,0*N121-(O135-MIN(MAX(O135,0),N121)))))</f>
        <v>65257.968540639937</v>
      </c>
      <c r="O136" s="18">
        <f>IF($A136&gt;20,O135,(O135-N121+N136)*(1+$B$7))</f>
        <v>0</v>
      </c>
      <c r="P136" s="18">
        <f t="shared" si="4"/>
        <v>418772.87736386654</v>
      </c>
      <c r="Q136" s="18">
        <f>IF($A136&gt;20,0,(Q121-MIN(MAX(R135,0),Q121))+MIN(MAX(0,S135-(Q121-MIN(MAX(R135,0),Q121))),MAX(0,0*Q121-(R135-MIN(MAX(R135,0),Q121)))))</f>
        <v>65257.968540639937</v>
      </c>
      <c r="R136" s="18">
        <f>IF($A136&gt;20,R135,(R135-Q121+Q136)*(1+$B$7))</f>
        <v>0</v>
      </c>
      <c r="S136" s="18">
        <f t="shared" si="5"/>
        <v>418772.87736386654</v>
      </c>
    </row>
    <row r="137" spans="1:19">
      <c r="A137" s="10">
        <f>14</f>
        <v>14</v>
      </c>
      <c r="B137" s="18">
        <f>IF($A137&gt;20,0,(B121-MIN(MAX(C136,0),B121))+MIN(MAX(0,D136-(B121-MIN(MAX(C136,0),B121))),MAX(0,0*B121-(C136-MIN(MAX(C136,0),B121)))))</f>
        <v>30000</v>
      </c>
      <c r="C137" s="18">
        <f>IF($A137&gt;20,C136,(C136-B121+B137)*(1+$B$7))</f>
        <v>0</v>
      </c>
      <c r="D137" s="18">
        <f t="shared" si="0"/>
        <v>984622.30825434695</v>
      </c>
      <c r="E137" s="18">
        <f>IF($A137&gt;20,0,(E121-MIN(MAX(F136,0),E121))+MIN(MAX(0,G136-(E121-MIN(MAX(F136,0),E121))),MAX(0,0*E121-(F136-MIN(MAX(F136,0),E121)))))</f>
        <v>75000</v>
      </c>
      <c r="F137" s="18">
        <f>IF($A137&gt;20,F136,(F136-E121+E137)*(1+$B$7))</f>
        <v>0</v>
      </c>
      <c r="G137" s="18">
        <f t="shared" si="1"/>
        <v>192671.18335319997</v>
      </c>
      <c r="H137" s="18">
        <f>IF($A137&gt;20,0,(H121-MIN(MAX(I136,0),H121))+MIN(MAX(0,J136-(H121-MIN(MAX(I136,0),H121))),MAX(0,0*H121-(I136-MIN(MAX(I136,0),H121)))))</f>
        <v>65257.968540639944</v>
      </c>
      <c r="I137" s="18">
        <f>IF($A137&gt;20,I136,(I136-H121+H137)*(1+$B$7))</f>
        <v>0</v>
      </c>
      <c r="J137" s="18">
        <f t="shared" si="2"/>
        <v>364120.35608792322</v>
      </c>
      <c r="K137" s="18">
        <f>IF($A137&gt;20,0,(K121-MIN(MAX(L136,0),K121))+MIN(MAX(0,M136-(K121-MIN(MAX(L136,0),K121))),MAX(0,0*K121-(L136-MIN(MAX(L136,0),K121)))))</f>
        <v>65257.968540639937</v>
      </c>
      <c r="L137" s="18">
        <f>IF($A137&gt;20,L136,(L136-K121+K137)*(1+$B$7))</f>
        <v>0</v>
      </c>
      <c r="M137" s="18">
        <f t="shared" si="3"/>
        <v>364120.3560879234</v>
      </c>
      <c r="N137" s="18">
        <f>IF($A137&gt;20,0,(N121-MIN(MAX(O136,0),N121))+MIN(MAX(0,P136-(N121-MIN(MAX(O136,0),N121))),MAX(0,0*N121-(O136-MIN(MAX(O136,0),N121)))))</f>
        <v>65257.968540639937</v>
      </c>
      <c r="O137" s="18">
        <f>IF($A137&gt;20,O136,(O136-N121+N137)*(1+$B$7))</f>
        <v>0</v>
      </c>
      <c r="P137" s="18">
        <f t="shared" si="4"/>
        <v>364120.3560879234</v>
      </c>
      <c r="Q137" s="18">
        <f>IF($A137&gt;20,0,(Q121-MIN(MAX(R136,0),Q121))+MIN(MAX(0,S136-(Q121-MIN(MAX(R136,0),Q121))),MAX(0,0*Q121-(R136-MIN(MAX(R136,0),Q121)))))</f>
        <v>65257.968540639937</v>
      </c>
      <c r="R137" s="18">
        <f>IF($A137&gt;20,R136,(R136-Q121+Q137)*(1+$B$7))</f>
        <v>0</v>
      </c>
      <c r="S137" s="18">
        <f t="shared" si="5"/>
        <v>364120.3560879234</v>
      </c>
    </row>
    <row r="138" spans="1:19">
      <c r="A138" s="10">
        <f>15</f>
        <v>15</v>
      </c>
      <c r="B138" s="18">
        <f>IF($A138&gt;20,0,(B121-MIN(MAX(C137,0),B121))+MIN(MAX(0,D137-(B121-MIN(MAX(C137,0),B121))),MAX(0,0*B121-(C137-MIN(MAX(C137,0),B121)))))</f>
        <v>30000</v>
      </c>
      <c r="C138" s="18">
        <f>IF($A138&gt;20,C137,(C137-B121+B138)*(1+$B$7))</f>
        <v>0</v>
      </c>
      <c r="D138" s="18">
        <f t="shared" si="0"/>
        <v>983260.97750197735</v>
      </c>
      <c r="E138" s="18">
        <f>IF($A138&gt;20,0,(E121-MIN(MAX(F137,0),E121))+MIN(MAX(0,G137-(E121-MIN(MAX(F137,0),E121))),MAX(0,0*E121-(F137-MIN(MAX(F137,0),E121)))))</f>
        <v>75000</v>
      </c>
      <c r="F138" s="18">
        <f>IF($A138&gt;20,F137,(F137-E121+E138)*(1+$B$7))</f>
        <v>0</v>
      </c>
      <c r="G138" s="18">
        <f t="shared" si="1"/>
        <v>121201.31885379598</v>
      </c>
      <c r="H138" s="18">
        <f>IF($A138&gt;20,0,(H121-MIN(MAX(I137,0),H121))+MIN(MAX(0,J137-(H121-MIN(MAX(I137,0),H121))),MAX(0,0*H121-(I137-MIN(MAX(I137,0),H121)))))</f>
        <v>65257.968540639944</v>
      </c>
      <c r="I138" s="18">
        <f>IF($A138&gt;20,I137,(I137-H121+H138)*(1+$B$7))</f>
        <v>0</v>
      </c>
      <c r="J138" s="18">
        <f t="shared" si="2"/>
        <v>307828.25917370175</v>
      </c>
      <c r="K138" s="18">
        <f>IF($A138&gt;20,0,(K121-MIN(MAX(L137,0),K121))+MIN(MAX(0,M137-(K121-MIN(MAX(L137,0),K121))),MAX(0,0*K121-(L137-MIN(MAX(L137,0),K121)))))</f>
        <v>65257.968540639937</v>
      </c>
      <c r="L138" s="18">
        <f>IF($A138&gt;20,L137,(L137-K121+K138)*(1+$B$7))</f>
        <v>0</v>
      </c>
      <c r="M138" s="18">
        <f t="shared" si="3"/>
        <v>307828.25917370192</v>
      </c>
      <c r="N138" s="18">
        <f>IF($A138&gt;20,0,(N121-MIN(MAX(O137,0),N121))+MIN(MAX(0,P137-(N121-MIN(MAX(O137,0),N121))),MAX(0,0*N121-(O137-MIN(MAX(O137,0),N121)))))</f>
        <v>65257.968540639937</v>
      </c>
      <c r="O138" s="18">
        <f>IF($A138&gt;20,O137,(O137-N121+N138)*(1+$B$7))</f>
        <v>0</v>
      </c>
      <c r="P138" s="18">
        <f t="shared" si="4"/>
        <v>307828.25917370192</v>
      </c>
      <c r="Q138" s="18">
        <f>IF($A138&gt;20,0,(Q121-MIN(MAX(R137,0),Q121))+MIN(MAX(0,S137-(Q121-MIN(MAX(R137,0),Q121))),MAX(0,0*Q121-(R137-MIN(MAX(R137,0),Q121)))))</f>
        <v>65257.968540639937</v>
      </c>
      <c r="R138" s="18">
        <f>IF($A138&gt;20,R137,(R137-Q121+Q138)*(1+$B$7))</f>
        <v>0</v>
      </c>
      <c r="S138" s="18">
        <f t="shared" si="5"/>
        <v>307828.25917370192</v>
      </c>
    </row>
    <row r="139" spans="1:19">
      <c r="A139" s="10">
        <f>16</f>
        <v>16</v>
      </c>
      <c r="B139" s="18">
        <f>IF($A139&gt;20,0,(B121-MIN(MAX(C138,0),B121))+MIN(MAX(0,D138-(B121-MIN(MAX(C138,0),B121))),MAX(0,0*B121-(C138-MIN(MAX(C138,0),B121)))))</f>
        <v>30000</v>
      </c>
      <c r="C139" s="18">
        <f>IF($A139&gt;20,C138,(C138-B121+B139)*(1+$B$7))</f>
        <v>0</v>
      </c>
      <c r="D139" s="18">
        <f t="shared" si="0"/>
        <v>981858.80682703666</v>
      </c>
      <c r="E139" s="18">
        <f>IF($A139&gt;20,0,(E121-MIN(MAX(F138,0),E121))+MIN(MAX(0,G138-(E121-MIN(MAX(F138,0),E121))),MAX(0,0*E121-(F138-MIN(MAX(F138,0),E121)))))</f>
        <v>75000</v>
      </c>
      <c r="F139" s="18">
        <f>IF($A139&gt;20,F138,(F138-E121+E139)*(1+$B$7))</f>
        <v>0</v>
      </c>
      <c r="G139" s="18">
        <f t="shared" si="1"/>
        <v>47587.358419409858</v>
      </c>
      <c r="H139" s="18">
        <f>IF($A139&gt;20,0,(H121-MIN(MAX(I138,0),H121))+MIN(MAX(0,J138-(H121-MIN(MAX(I138,0),H121))),MAX(0,0*H121-(I138-MIN(MAX(I138,0),H121)))))</f>
        <v>65257.968540639944</v>
      </c>
      <c r="I139" s="18">
        <f>IF($A139&gt;20,I138,(I138-H121+H139)*(1+$B$7))</f>
        <v>0</v>
      </c>
      <c r="J139" s="18">
        <f t="shared" si="2"/>
        <v>249847.39935205368</v>
      </c>
      <c r="K139" s="18">
        <f>IF($A139&gt;20,0,(K121-MIN(MAX(L138,0),K121))+MIN(MAX(0,M138-(K121-MIN(MAX(L138,0),K121))),MAX(0,0*K121-(L138-MIN(MAX(L138,0),K121)))))</f>
        <v>65257.968540639937</v>
      </c>
      <c r="L139" s="18">
        <f>IF($A139&gt;20,L138,(L138-K121+K139)*(1+$B$7))</f>
        <v>0</v>
      </c>
      <c r="M139" s="18">
        <f t="shared" si="3"/>
        <v>249847.39935205385</v>
      </c>
      <c r="N139" s="18">
        <f>IF($A139&gt;20,0,(N121-MIN(MAX(O138,0),N121))+MIN(MAX(0,P138-(N121-MIN(MAX(O138,0),N121))),MAX(0,0*N121-(O138-MIN(MAX(O138,0),N121)))))</f>
        <v>65257.968540639937</v>
      </c>
      <c r="O139" s="18">
        <f>IF($A139&gt;20,O138,(O138-N121+N139)*(1+$B$7))</f>
        <v>0</v>
      </c>
      <c r="P139" s="18">
        <f t="shared" si="4"/>
        <v>249847.39935205385</v>
      </c>
      <c r="Q139" s="18">
        <f>IF($A139&gt;20,0,(Q121-MIN(MAX(R138,0),Q121))+MIN(MAX(0,S138-(Q121-MIN(MAX(R138,0),Q121))),MAX(0,0*Q121-(R138-MIN(MAX(R138,0),Q121)))))</f>
        <v>65257.968540639937</v>
      </c>
      <c r="R139" s="18">
        <f>IF($A139&gt;20,R138,(R138-Q121+Q139)*(1+$B$7))</f>
        <v>0</v>
      </c>
      <c r="S139" s="18">
        <f t="shared" si="5"/>
        <v>249847.39935205385</v>
      </c>
    </row>
    <row r="140" spans="1:19">
      <c r="A140" s="10">
        <f>17</f>
        <v>17</v>
      </c>
      <c r="B140" s="18">
        <f>IF($A140&gt;20,0,(B121-MIN(MAX(C139,0),B121))+MIN(MAX(0,D139-(B121-MIN(MAX(C139,0),B121))),MAX(0,0*B121-(C139-MIN(MAX(C139,0),B121)))))</f>
        <v>30000</v>
      </c>
      <c r="C140" s="18">
        <f>IF($A140&gt;20,C139,(C139-B121+B140)*(1+$B$7))</f>
        <v>0</v>
      </c>
      <c r="D140" s="18">
        <f t="shared" si="0"/>
        <v>980414.57103184774</v>
      </c>
      <c r="E140" s="18">
        <f>IF($A140&gt;20,0,(E121-MIN(MAX(F139,0),E121))+MIN(MAX(0,G139-(E121-MIN(MAX(F139,0),E121))),MAX(0,0*E121-(F139-MIN(MAX(F139,0),E121)))))</f>
        <v>75000</v>
      </c>
      <c r="F140" s="18">
        <f>IF($A140&gt;20,F139,(F139-E121+E140)*(1+$B$7))</f>
        <v>0</v>
      </c>
      <c r="G140" s="18">
        <f t="shared" si="1"/>
        <v>-28235.020828007848</v>
      </c>
      <c r="H140" s="18">
        <f>IF($A140&gt;20,0,(H121-MIN(MAX(I139,0),H121))+MIN(MAX(0,J139-(H121-MIN(MAX(I139,0),H121))),MAX(0,0*H121-(I139-MIN(MAX(I139,0),H121)))))</f>
        <v>65257.968540639944</v>
      </c>
      <c r="I140" s="18">
        <f>IF($A140&gt;20,I139,(I139-H121+H140)*(1+$B$7))</f>
        <v>0</v>
      </c>
      <c r="J140" s="18">
        <f t="shared" si="2"/>
        <v>190127.11373575617</v>
      </c>
      <c r="K140" s="18">
        <f>IF($A140&gt;20,0,(K121-MIN(MAX(L139,0),K121))+MIN(MAX(0,M139-(K121-MIN(MAX(L139,0),K121))),MAX(0,0*K121-(L139-MIN(MAX(L139,0),K121)))))</f>
        <v>65257.968540639937</v>
      </c>
      <c r="L140" s="18">
        <f>IF($A140&gt;20,L139,(L139-K121+K140)*(1+$B$7))</f>
        <v>0</v>
      </c>
      <c r="M140" s="18">
        <f t="shared" si="3"/>
        <v>190127.11373575634</v>
      </c>
      <c r="N140" s="18">
        <f>IF($A140&gt;20,0,(N121-MIN(MAX(O139,0),N121))+MIN(MAX(0,P139-(N121-MIN(MAX(O139,0),N121))),MAX(0,0*N121-(O139-MIN(MAX(O139,0),N121)))))</f>
        <v>65257.968540639937</v>
      </c>
      <c r="O140" s="18">
        <f>IF($A140&gt;20,O139,(O139-N121+N140)*(1+$B$7))</f>
        <v>0</v>
      </c>
      <c r="P140" s="18">
        <f t="shared" si="4"/>
        <v>190127.11373575634</v>
      </c>
      <c r="Q140" s="18">
        <f>IF($A140&gt;20,0,(Q121-MIN(MAX(R139,0),Q121))+MIN(MAX(0,S139-(Q121-MIN(MAX(R139,0),Q121))),MAX(0,0*Q121-(R139-MIN(MAX(R139,0),Q121)))))</f>
        <v>65257.968540639937</v>
      </c>
      <c r="R140" s="18">
        <f>IF($A140&gt;20,R139,(R139-Q121+Q140)*(1+$B$7))</f>
        <v>0</v>
      </c>
      <c r="S140" s="18">
        <f t="shared" si="5"/>
        <v>190127.11373575634</v>
      </c>
    </row>
    <row r="141" spans="1:19">
      <c r="A141" s="10">
        <f>18</f>
        <v>18</v>
      </c>
      <c r="B141" s="18">
        <f>IF($A141&gt;20,0,(B121-MIN(MAX(C140,0),B121))+MIN(MAX(0,D140-(B121-MIN(MAX(C140,0),B121))),MAX(0,0*B121-(C140-MIN(MAX(C140,0),B121)))))</f>
        <v>30000</v>
      </c>
      <c r="C141" s="18">
        <f>IF($A141&gt;20,C140,(C140-B121+B141)*(1+$B$7))</f>
        <v>0</v>
      </c>
      <c r="D141" s="18">
        <f t="shared" si="0"/>
        <v>978927.00816280325</v>
      </c>
      <c r="E141" s="18">
        <f>IF($A141&gt;20,0,(E121-MIN(MAX(F140,0),E121))+MIN(MAX(0,G140-(E121-MIN(MAX(F140,0),E121))),MAX(0,0*E121-(F140-MIN(MAX(F140,0),E121)))))</f>
        <v>75000</v>
      </c>
      <c r="F141" s="18">
        <f>IF($A141&gt;20,F140,(F140-E121+E141)*(1+$B$7))</f>
        <v>0</v>
      </c>
      <c r="G141" s="18">
        <f t="shared" si="1"/>
        <v>-106332.07145284809</v>
      </c>
      <c r="H141" s="18">
        <f>IF($A141&gt;20,0,(H121-MIN(MAX(I140,0),H121))+MIN(MAX(0,J140-(H121-MIN(MAX(I140,0),H121))),MAX(0,0*H121-(I140-MIN(MAX(I140,0),H121)))))</f>
        <v>65257.968540639944</v>
      </c>
      <c r="I141" s="18">
        <f>IF($A141&gt;20,I140,(I140-H121+H141)*(1+$B$7))</f>
        <v>0</v>
      </c>
      <c r="J141" s="18">
        <f t="shared" si="2"/>
        <v>128615.21955096972</v>
      </c>
      <c r="K141" s="18">
        <f>IF($A141&gt;20,0,(K121-MIN(MAX(L140,0),K121))+MIN(MAX(0,M140-(K121-MIN(MAX(L140,0),K121))),MAX(0,0*K121-(L140-MIN(MAX(L140,0),K121)))))</f>
        <v>65257.968540639937</v>
      </c>
      <c r="L141" s="18">
        <f>IF($A141&gt;20,L140,(L140-K121+K141)*(1+$B$7))</f>
        <v>0</v>
      </c>
      <c r="M141" s="18">
        <f t="shared" si="3"/>
        <v>128615.21955096989</v>
      </c>
      <c r="N141" s="18">
        <f>IF($A141&gt;20,0,(N121-MIN(MAX(O140,0),N121))+MIN(MAX(0,P140-(N121-MIN(MAX(O140,0),N121))),MAX(0,0*N121-(O140-MIN(MAX(O140,0),N121)))))</f>
        <v>65257.968540639937</v>
      </c>
      <c r="O141" s="18">
        <f>IF($A141&gt;20,O140,(O140-N121+N141)*(1+$B$7))</f>
        <v>0</v>
      </c>
      <c r="P141" s="18">
        <f t="shared" si="4"/>
        <v>128615.21955096989</v>
      </c>
      <c r="Q141" s="18">
        <f>IF($A141&gt;20,0,(Q121-MIN(MAX(R140,0),Q121))+MIN(MAX(0,S140-(Q121-MIN(MAX(R140,0),Q121))),MAX(0,0*Q121-(R140-MIN(MAX(R140,0),Q121)))))</f>
        <v>65257.968540639937</v>
      </c>
      <c r="R141" s="18">
        <f>IF($A141&gt;20,R140,(R140-Q121+Q141)*(1+$B$7))</f>
        <v>0</v>
      </c>
      <c r="S141" s="18">
        <f t="shared" si="5"/>
        <v>128615.21955096989</v>
      </c>
    </row>
    <row r="142" spans="1:19">
      <c r="A142" s="10">
        <f>19</f>
        <v>19</v>
      </c>
      <c r="B142" s="18">
        <f>IF($A142&gt;20,0,(B121-MIN(MAX(C141,0),B121))+MIN(MAX(0,D141-(B121-MIN(MAX(C141,0),B121))),MAX(0,0*B121-(C141-MIN(MAX(C141,0),B121)))))</f>
        <v>30000</v>
      </c>
      <c r="C142" s="18">
        <f>IF($A142&gt;20,C141,(C141-B121+B142)*(1+$B$7))</f>
        <v>0</v>
      </c>
      <c r="D142" s="18">
        <f t="shared" si="0"/>
        <v>977394.81840768736</v>
      </c>
      <c r="E142" s="18">
        <f>IF($A142&gt;20,0,(E121-MIN(MAX(F141,0),E121))+MIN(MAX(0,G141-(E121-MIN(MAX(F141,0),E121))),MAX(0,0*E121-(F141-MIN(MAX(F141,0),E121)))))</f>
        <v>75000</v>
      </c>
      <c r="F142" s="18">
        <f>IF($A142&gt;20,F141,(F141-E121+E142)*(1+$B$7))</f>
        <v>0</v>
      </c>
      <c r="G142" s="18">
        <f t="shared" si="1"/>
        <v>-186772.03359643352</v>
      </c>
      <c r="H142" s="18">
        <f>IF($A142&gt;20,0,(H121-MIN(MAX(I141,0),H121))+MIN(MAX(0,J141-(H121-MIN(MAX(I141,0),H121))),MAX(0,0*H121-(I141-MIN(MAX(I141,0),H121)))))</f>
        <v>65257.968540639944</v>
      </c>
      <c r="I142" s="18">
        <f>IF($A142&gt;20,I141,(I141-H121+H142)*(1+$B$7))</f>
        <v>0</v>
      </c>
      <c r="J142" s="18">
        <f t="shared" si="2"/>
        <v>65257.968540639667</v>
      </c>
      <c r="K142" s="18">
        <f>IF($A142&gt;20,0,(K121-MIN(MAX(L141,0),K121))+MIN(MAX(0,M141-(K121-MIN(MAX(L141,0),K121))),MAX(0,0*K121-(L141-MIN(MAX(L141,0),K121)))))</f>
        <v>65257.968540639937</v>
      </c>
      <c r="L142" s="18">
        <f>IF($A142&gt;20,L141,(L141-K121+K142)*(1+$B$7))</f>
        <v>0</v>
      </c>
      <c r="M142" s="18">
        <f t="shared" si="3"/>
        <v>65257.968540639857</v>
      </c>
      <c r="N142" s="18">
        <f>IF($A142&gt;20,0,(N121-MIN(MAX(O141,0),N121))+MIN(MAX(0,P141-(N121-MIN(MAX(O141,0),N121))),MAX(0,0*N121-(O141-MIN(MAX(O141,0),N121)))))</f>
        <v>65257.968540639937</v>
      </c>
      <c r="O142" s="18">
        <f>IF($A142&gt;20,O141,(O141-N121+N142)*(1+$B$7))</f>
        <v>0</v>
      </c>
      <c r="P142" s="18">
        <f t="shared" si="4"/>
        <v>65257.968540639857</v>
      </c>
      <c r="Q142" s="18">
        <f>IF($A142&gt;20,0,(Q121-MIN(MAX(R141,0),Q121))+MIN(MAX(0,S141-(Q121-MIN(MAX(R141,0),Q121))),MAX(0,0*Q121-(R141-MIN(MAX(R141,0),Q121)))))</f>
        <v>65257.968540639937</v>
      </c>
      <c r="R142" s="18">
        <f>IF($A142&gt;20,R141,(R141-Q121+Q142)*(1+$B$7))</f>
        <v>0</v>
      </c>
      <c r="S142" s="18">
        <f t="shared" si="5"/>
        <v>65257.968540639857</v>
      </c>
    </row>
    <row r="143" spans="1:19">
      <c r="A143" s="10">
        <f>20</f>
        <v>20</v>
      </c>
      <c r="B143" s="18">
        <f>IF($A143&gt;20,0,(B121-MIN(MAX(C142,0),B121))+MIN(MAX(0,D142-(B121-MIN(MAX(C142,0),B121))),MAX(0,0*B121-(C142-MIN(MAX(C142,0),B121)))))</f>
        <v>30000</v>
      </c>
      <c r="C143" s="18">
        <f>IF($A143&gt;20,C142,(C142-B121+B143)*(1+$B$7))</f>
        <v>0</v>
      </c>
      <c r="D143" s="18">
        <f t="shared" si="0"/>
        <v>975816.66295991803</v>
      </c>
      <c r="E143" s="18">
        <f>IF($A143&gt;20,0,(E121-MIN(MAX(F142,0),E121))+MIN(MAX(0,G142-(E121-MIN(MAX(F142,0),E121))),MAX(0,0*E121-(F142-MIN(MAX(F142,0),E121)))))</f>
        <v>75000</v>
      </c>
      <c r="F143" s="18">
        <f>IF($A143&gt;20,F142,(F142-E121+E143)*(1+$B$7))</f>
        <v>0</v>
      </c>
      <c r="G143" s="18">
        <f t="shared" si="1"/>
        <v>-269625.19460432656</v>
      </c>
      <c r="H143" s="18">
        <f>IF($A143&gt;20,0,(H121-MIN(MAX(I142,0),H121))+MIN(MAX(0,J142-(H121-MIN(MAX(I142,0),H121))),MAX(0,0*H121-(I142-MIN(MAX(I142,0),H121)))))</f>
        <v>65257.968540639944</v>
      </c>
      <c r="I143" s="18">
        <f>IF($A143&gt;20,I142,(I142-H121+H143)*(1+$B$7))</f>
        <v>0</v>
      </c>
      <c r="J143" s="18">
        <f t="shared" si="2"/>
        <v>-2.8478098101913929E-10</v>
      </c>
      <c r="K143" s="18">
        <f>IF($A143&gt;20,0,(K121-MIN(MAX(L142,0),K121))+MIN(MAX(0,M142-(K121-MIN(MAX(L142,0),K121))),MAX(0,0*K121-(L142-MIN(MAX(L142,0),K121)))))</f>
        <v>65257.968540639937</v>
      </c>
      <c r="L143" s="18">
        <f>IF($A143&gt;20,L142,(L142-K121+K143)*(1+$B$7))</f>
        <v>0</v>
      </c>
      <c r="M143" s="18">
        <f t="shared" si="3"/>
        <v>-8.2436599768698216E-11</v>
      </c>
      <c r="N143" s="18">
        <f>IF($A143&gt;20,0,(N121-MIN(MAX(O142,0),N121))+MIN(MAX(0,P142-(N121-MIN(MAX(O142,0),N121))),MAX(0,0*N121-(O142-MIN(MAX(O142,0),N121)))))</f>
        <v>65257.968540639937</v>
      </c>
      <c r="O143" s="18">
        <f>IF($A143&gt;20,O142,(O142-N121+N143)*(1+$B$7))</f>
        <v>0</v>
      </c>
      <c r="P143" s="18">
        <f t="shared" si="4"/>
        <v>-8.2436599768698216E-11</v>
      </c>
      <c r="Q143" s="18">
        <f>IF($A143&gt;20,0,(Q121-MIN(MAX(R142,0),Q121))+MIN(MAX(0,S142-(Q121-MIN(MAX(R142,0),Q121))),MAX(0,0*Q121-(R142-MIN(MAX(R142,0),Q121)))))</f>
        <v>65257.968540639937</v>
      </c>
      <c r="R143" s="18">
        <f>IF($A143&gt;20,R142,(R142-Q121+Q143)*(1+$B$7))</f>
        <v>0</v>
      </c>
      <c r="S143" s="18">
        <f t="shared" si="5"/>
        <v>-8.2436599768698216E-11</v>
      </c>
    </row>
    <row r="144" spans="1:19">
      <c r="A144" s="10">
        <f>21</f>
        <v>21</v>
      </c>
      <c r="B144" s="18">
        <f>IF($A144&gt;20,0,(B121-MIN(MAX(C143,0),B121))+MIN(MAX(0,D143-(B121-MIN(MAX(C143,0),B121))),MAX(0,0*B121-(C143-MIN(MAX(C143,0),B121)))))</f>
        <v>0</v>
      </c>
      <c r="C144" s="18">
        <f>IF($A144&gt;20,C143,(C143-B121+B144)*(1+$B$7))</f>
        <v>0</v>
      </c>
      <c r="D144" s="18">
        <f t="shared" si="0"/>
        <v>975816.66295991803</v>
      </c>
      <c r="E144" s="18">
        <f>IF($A144&gt;20,0,(E121-MIN(MAX(F143,0),E121))+MIN(MAX(0,G143-(E121-MIN(MAX(F143,0),E121))),MAX(0,0*E121-(F143-MIN(MAX(F143,0),E121)))))</f>
        <v>0</v>
      </c>
      <c r="F144" s="18">
        <f>IF($A144&gt;20,F143,(F143-E121+E144)*(1+$B$7))</f>
        <v>0</v>
      </c>
      <c r="G144" s="18">
        <f t="shared" si="1"/>
        <v>-269625.19460432656</v>
      </c>
      <c r="H144" s="18">
        <f>IF($A144&gt;20,0,(H121-MIN(MAX(I143,0),H121))+MIN(MAX(0,J143-(H121-MIN(MAX(I143,0),H121))),MAX(0,0*H121-(I143-MIN(MAX(I143,0),H121)))))</f>
        <v>0</v>
      </c>
      <c r="I144" s="18">
        <f>IF($A144&gt;20,I143,(I143-H121+H144)*(1+$B$7))</f>
        <v>0</v>
      </c>
      <c r="J144" s="18">
        <f t="shared" si="2"/>
        <v>-2.8478098101913929E-10</v>
      </c>
      <c r="K144" s="18">
        <f>IF($A144&gt;20,0,(K121-MIN(MAX(L143,0),K121))+MIN(MAX(0,M143-(K121-MIN(MAX(L143,0),K121))),MAX(0,0*K121-(L143-MIN(MAX(L143,0),K121)))))</f>
        <v>0</v>
      </c>
      <c r="L144" s="18">
        <f>IF($A144&gt;20,L143,(L143-K121+K144)*(1+$B$7))</f>
        <v>0</v>
      </c>
      <c r="M144" s="18">
        <f t="shared" si="3"/>
        <v>-8.2436599768698216E-11</v>
      </c>
      <c r="N144" s="18">
        <f>IF($A144&gt;20,0,(N121-MIN(MAX(O143,0),N121))+MIN(MAX(0,P143-(N121-MIN(MAX(O143,0),N121))),MAX(0,0*N121-(O143-MIN(MAX(O143,0),N121)))))</f>
        <v>0</v>
      </c>
      <c r="O144" s="18">
        <f>IF($A144&gt;20,O143,(O143-N121+N144)*(1+$B$7))</f>
        <v>0</v>
      </c>
      <c r="P144" s="18">
        <f t="shared" si="4"/>
        <v>-8.2436599768698216E-11</v>
      </c>
      <c r="Q144" s="18">
        <f>IF($A144&gt;20,0,(Q121-MIN(MAX(R143,0),Q121))+MIN(MAX(0,S143-(Q121-MIN(MAX(R143,0),Q121))),MAX(0,0*Q121-(R143-MIN(MAX(R143,0),Q121)))))</f>
        <v>0</v>
      </c>
      <c r="R144" s="18">
        <f>IF($A144&gt;20,R143,(R143-Q121+Q144)*(1+$B$7))</f>
        <v>0</v>
      </c>
      <c r="S144" s="18">
        <f t="shared" si="5"/>
        <v>-8.2436599768698216E-11</v>
      </c>
    </row>
    <row r="145" spans="1:19">
      <c r="A145" s="10">
        <f>22</f>
        <v>22</v>
      </c>
      <c r="B145" s="18">
        <f>IF($A145&gt;20,0,(B121-MIN(MAX(C144,0),B121))+MIN(MAX(0,D144-(B121-MIN(MAX(C144,0),B121))),MAX(0,0*B121-(C144-MIN(MAX(C144,0),B121)))))</f>
        <v>0</v>
      </c>
      <c r="C145" s="18">
        <f>IF($A145&gt;20,C144,(C144-B121+B145)*(1+$B$7))</f>
        <v>0</v>
      </c>
      <c r="D145" s="18">
        <f t="shared" si="0"/>
        <v>975816.66295991803</v>
      </c>
      <c r="E145" s="18">
        <f>IF($A145&gt;20,0,(E121-MIN(MAX(F144,0),E121))+MIN(MAX(0,G144-(E121-MIN(MAX(F144,0),E121))),MAX(0,0*E121-(F144-MIN(MAX(F144,0),E121)))))</f>
        <v>0</v>
      </c>
      <c r="F145" s="18">
        <f>IF($A145&gt;20,F144,(F144-E121+E145)*(1+$B$7))</f>
        <v>0</v>
      </c>
      <c r="G145" s="18">
        <f t="shared" si="1"/>
        <v>-269625.19460432656</v>
      </c>
      <c r="H145" s="18">
        <f>IF($A145&gt;20,0,(H121-MIN(MAX(I144,0),H121))+MIN(MAX(0,J144-(H121-MIN(MAX(I144,0),H121))),MAX(0,0*H121-(I144-MIN(MAX(I144,0),H121)))))</f>
        <v>0</v>
      </c>
      <c r="I145" s="18">
        <f>IF($A145&gt;20,I144,(I144-H121+H145)*(1+$B$7))</f>
        <v>0</v>
      </c>
      <c r="J145" s="18">
        <f t="shared" si="2"/>
        <v>-2.8478098101913929E-10</v>
      </c>
      <c r="K145" s="18">
        <f>IF($A145&gt;20,0,(K121-MIN(MAX(L144,0),K121))+MIN(MAX(0,M144-(K121-MIN(MAX(L144,0),K121))),MAX(0,0*K121-(L144-MIN(MAX(L144,0),K121)))))</f>
        <v>0</v>
      </c>
      <c r="L145" s="18">
        <f>IF($A145&gt;20,L144,(L144-K121+K145)*(1+$B$7))</f>
        <v>0</v>
      </c>
      <c r="M145" s="18">
        <f t="shared" si="3"/>
        <v>-8.2436599768698216E-11</v>
      </c>
      <c r="N145" s="18">
        <f>IF($A145&gt;20,0,(N121-MIN(MAX(O144,0),N121))+MIN(MAX(0,P144-(N121-MIN(MAX(O144,0),N121))),MAX(0,0*N121-(O144-MIN(MAX(O144,0),N121)))))</f>
        <v>0</v>
      </c>
      <c r="O145" s="18">
        <f>IF($A145&gt;20,O144,(O144-N121+N145)*(1+$B$7))</f>
        <v>0</v>
      </c>
      <c r="P145" s="18">
        <f t="shared" si="4"/>
        <v>-8.2436599768698216E-11</v>
      </c>
      <c r="Q145" s="18">
        <f>IF($A145&gt;20,0,(Q121-MIN(MAX(R144,0),Q121))+MIN(MAX(0,S144-(Q121-MIN(MAX(R144,0),Q121))),MAX(0,0*Q121-(R144-MIN(MAX(R144,0),Q121)))))</f>
        <v>0</v>
      </c>
      <c r="R145" s="18">
        <f>IF($A145&gt;20,R144,(R144-Q121+Q145)*(1+$B$7))</f>
        <v>0</v>
      </c>
      <c r="S145" s="18">
        <f t="shared" si="5"/>
        <v>-8.2436599768698216E-11</v>
      </c>
    </row>
    <row r="146" spans="1:19">
      <c r="A146" s="10">
        <f>23</f>
        <v>23</v>
      </c>
      <c r="B146" s="18">
        <f>IF($A146&gt;20,0,(B121-MIN(MAX(C145,0),B121))+MIN(MAX(0,D145-(B121-MIN(MAX(C145,0),B121))),MAX(0,0*B121-(C145-MIN(MAX(C145,0),B121)))))</f>
        <v>0</v>
      </c>
      <c r="C146" s="18">
        <f>IF($A146&gt;20,C145,(C145-B121+B146)*(1+$B$7))</f>
        <v>0</v>
      </c>
      <c r="D146" s="18">
        <f t="shared" si="0"/>
        <v>975816.66295991803</v>
      </c>
      <c r="E146" s="18">
        <f>IF($A146&gt;20,0,(E121-MIN(MAX(F145,0),E121))+MIN(MAX(0,G145-(E121-MIN(MAX(F145,0),E121))),MAX(0,0*E121-(F145-MIN(MAX(F145,0),E121)))))</f>
        <v>0</v>
      </c>
      <c r="F146" s="18">
        <f>IF($A146&gt;20,F145,(F145-E121+E146)*(1+$B$7))</f>
        <v>0</v>
      </c>
      <c r="G146" s="18">
        <f t="shared" si="1"/>
        <v>-269625.19460432656</v>
      </c>
      <c r="H146" s="18">
        <f>IF($A146&gt;20,0,(H121-MIN(MAX(I145,0),H121))+MIN(MAX(0,J145-(H121-MIN(MAX(I145,0),H121))),MAX(0,0*H121-(I145-MIN(MAX(I145,0),H121)))))</f>
        <v>0</v>
      </c>
      <c r="I146" s="18">
        <f>IF($A146&gt;20,I145,(I145-H121+H146)*(1+$B$7))</f>
        <v>0</v>
      </c>
      <c r="J146" s="18">
        <f t="shared" si="2"/>
        <v>-2.8478098101913929E-10</v>
      </c>
      <c r="K146" s="18">
        <f>IF($A146&gt;20,0,(K121-MIN(MAX(L145,0),K121))+MIN(MAX(0,M145-(K121-MIN(MAX(L145,0),K121))),MAX(0,0*K121-(L145-MIN(MAX(L145,0),K121)))))</f>
        <v>0</v>
      </c>
      <c r="L146" s="18">
        <f>IF($A146&gt;20,L145,(L145-K121+K146)*(1+$B$7))</f>
        <v>0</v>
      </c>
      <c r="M146" s="18">
        <f t="shared" si="3"/>
        <v>-8.2436599768698216E-11</v>
      </c>
      <c r="N146" s="18">
        <f>IF($A146&gt;20,0,(N121-MIN(MAX(O145,0),N121))+MIN(MAX(0,P145-(N121-MIN(MAX(O145,0),N121))),MAX(0,0*N121-(O145-MIN(MAX(O145,0),N121)))))</f>
        <v>0</v>
      </c>
      <c r="O146" s="18">
        <f>IF($A146&gt;20,O145,(O145-N121+N146)*(1+$B$7))</f>
        <v>0</v>
      </c>
      <c r="P146" s="18">
        <f t="shared" si="4"/>
        <v>-8.2436599768698216E-11</v>
      </c>
      <c r="Q146" s="18">
        <f>IF($A146&gt;20,0,(Q121-MIN(MAX(R145,0),Q121))+MIN(MAX(0,S145-(Q121-MIN(MAX(R145,0),Q121))),MAX(0,0*Q121-(R145-MIN(MAX(R145,0),Q121)))))</f>
        <v>0</v>
      </c>
      <c r="R146" s="18">
        <f>IF($A146&gt;20,R145,(R145-Q121+Q146)*(1+$B$7))</f>
        <v>0</v>
      </c>
      <c r="S146" s="18">
        <f t="shared" si="5"/>
        <v>-8.2436599768698216E-11</v>
      </c>
    </row>
    <row r="147" spans="1:19">
      <c r="A147" s="10">
        <f>24</f>
        <v>24</v>
      </c>
      <c r="B147" s="18">
        <f>IF($A147&gt;20,0,(B121-MIN(MAX(C146,0),B121))+MIN(MAX(0,D146-(B121-MIN(MAX(C146,0),B121))),MAX(0,0*B121-(C146-MIN(MAX(C146,0),B121)))))</f>
        <v>0</v>
      </c>
      <c r="C147" s="18">
        <f>IF($A147&gt;20,C146,(C146-B121+B147)*(1+$B$7))</f>
        <v>0</v>
      </c>
      <c r="D147" s="18">
        <f t="shared" si="0"/>
        <v>975816.66295991803</v>
      </c>
      <c r="E147" s="18">
        <f>IF($A147&gt;20,0,(E121-MIN(MAX(F146,0),E121))+MIN(MAX(0,G146-(E121-MIN(MAX(F146,0),E121))),MAX(0,0*E121-(F146-MIN(MAX(F146,0),E121)))))</f>
        <v>0</v>
      </c>
      <c r="F147" s="18">
        <f>IF($A147&gt;20,F146,(F146-E121+E147)*(1+$B$7))</f>
        <v>0</v>
      </c>
      <c r="G147" s="18">
        <f t="shared" si="1"/>
        <v>-269625.19460432656</v>
      </c>
      <c r="H147" s="18">
        <f>IF($A147&gt;20,0,(H121-MIN(MAX(I146,0),H121))+MIN(MAX(0,J146-(H121-MIN(MAX(I146,0),H121))),MAX(0,0*H121-(I146-MIN(MAX(I146,0),H121)))))</f>
        <v>0</v>
      </c>
      <c r="I147" s="18">
        <f>IF($A147&gt;20,I146,(I146-H121+H147)*(1+$B$7))</f>
        <v>0</v>
      </c>
      <c r="J147" s="18">
        <f t="shared" si="2"/>
        <v>-2.8478098101913929E-10</v>
      </c>
      <c r="K147" s="18">
        <f>IF($A147&gt;20,0,(K121-MIN(MAX(L146,0),K121))+MIN(MAX(0,M146-(K121-MIN(MAX(L146,0),K121))),MAX(0,0*K121-(L146-MIN(MAX(L146,0),K121)))))</f>
        <v>0</v>
      </c>
      <c r="L147" s="18">
        <f>IF($A147&gt;20,L146,(L146-K121+K147)*(1+$B$7))</f>
        <v>0</v>
      </c>
      <c r="M147" s="18">
        <f t="shared" si="3"/>
        <v>-8.2436599768698216E-11</v>
      </c>
      <c r="N147" s="18">
        <f>IF($A147&gt;20,0,(N121-MIN(MAX(O146,0),N121))+MIN(MAX(0,P146-(N121-MIN(MAX(O146,0),N121))),MAX(0,0*N121-(O146-MIN(MAX(O146,0),N121)))))</f>
        <v>0</v>
      </c>
      <c r="O147" s="18">
        <f>IF($A147&gt;20,O146,(O146-N121+N147)*(1+$B$7))</f>
        <v>0</v>
      </c>
      <c r="P147" s="18">
        <f t="shared" si="4"/>
        <v>-8.2436599768698216E-11</v>
      </c>
      <c r="Q147" s="18">
        <f>IF($A147&gt;20,0,(Q121-MIN(MAX(R146,0),Q121))+MIN(MAX(0,S146-(Q121-MIN(MAX(R146,0),Q121))),MAX(0,0*Q121-(R146-MIN(MAX(R146,0),Q121)))))</f>
        <v>0</v>
      </c>
      <c r="R147" s="18">
        <f>IF($A147&gt;20,R146,(R146-Q121+Q147)*(1+$B$7))</f>
        <v>0</v>
      </c>
      <c r="S147" s="18">
        <f t="shared" si="5"/>
        <v>-8.2436599768698216E-11</v>
      </c>
    </row>
    <row r="148" spans="1:19">
      <c r="A148" s="10">
        <f>25</f>
        <v>25</v>
      </c>
      <c r="B148" s="18">
        <f>IF($A148&gt;20,0,(B121-MIN(MAX(C147,0),B121))+MIN(MAX(0,D147-(B121-MIN(MAX(C147,0),B121))),MAX(0,0*B121-(C147-MIN(MAX(C147,0),B121)))))</f>
        <v>0</v>
      </c>
      <c r="C148" s="18">
        <f>IF($A148&gt;20,C147,(C147-B121+B148)*(1+$B$7))</f>
        <v>0</v>
      </c>
      <c r="D148" s="18">
        <f t="shared" si="0"/>
        <v>975816.66295991803</v>
      </c>
      <c r="E148" s="18">
        <f>IF($A148&gt;20,0,(E121-MIN(MAX(F147,0),E121))+MIN(MAX(0,G147-(E121-MIN(MAX(F147,0),E121))),MAX(0,0*E121-(F147-MIN(MAX(F147,0),E121)))))</f>
        <v>0</v>
      </c>
      <c r="F148" s="18">
        <f>IF($A148&gt;20,F147,(F147-E121+E148)*(1+$B$7))</f>
        <v>0</v>
      </c>
      <c r="G148" s="18">
        <f t="shared" si="1"/>
        <v>-269625.19460432656</v>
      </c>
      <c r="H148" s="18">
        <f>IF($A148&gt;20,0,(H121-MIN(MAX(I147,0),H121))+MIN(MAX(0,J147-(H121-MIN(MAX(I147,0),H121))),MAX(0,0*H121-(I147-MIN(MAX(I147,0),H121)))))</f>
        <v>0</v>
      </c>
      <c r="I148" s="18">
        <f>IF($A148&gt;20,I147,(I147-H121+H148)*(1+$B$7))</f>
        <v>0</v>
      </c>
      <c r="J148" s="18">
        <f t="shared" si="2"/>
        <v>-2.8478098101913929E-10</v>
      </c>
      <c r="K148" s="18">
        <f>IF($A148&gt;20,0,(K121-MIN(MAX(L147,0),K121))+MIN(MAX(0,M147-(K121-MIN(MAX(L147,0),K121))),MAX(0,0*K121-(L147-MIN(MAX(L147,0),K121)))))</f>
        <v>0</v>
      </c>
      <c r="L148" s="18">
        <f>IF($A148&gt;20,L147,(L147-K121+K148)*(1+$B$7))</f>
        <v>0</v>
      </c>
      <c r="M148" s="18">
        <f t="shared" si="3"/>
        <v>-8.2436599768698216E-11</v>
      </c>
      <c r="N148" s="18">
        <f>IF($A148&gt;20,0,(N121-MIN(MAX(O147,0),N121))+MIN(MAX(0,P147-(N121-MIN(MAX(O147,0),N121))),MAX(0,0*N121-(O147-MIN(MAX(O147,0),N121)))))</f>
        <v>0</v>
      </c>
      <c r="O148" s="18">
        <f>IF($A148&gt;20,O147,(O147-N121+N148)*(1+$B$7))</f>
        <v>0</v>
      </c>
      <c r="P148" s="18">
        <f t="shared" si="4"/>
        <v>-8.2436599768698216E-11</v>
      </c>
      <c r="Q148" s="18">
        <f>IF($A148&gt;20,0,(Q121-MIN(MAX(R147,0),Q121))+MIN(MAX(0,S147-(Q121-MIN(MAX(R147,0),Q121))),MAX(0,0*Q121-(R147-MIN(MAX(R147,0),Q121)))))</f>
        <v>0</v>
      </c>
      <c r="R148" s="18">
        <f>IF($A148&gt;20,R147,(R147-Q121+Q148)*(1+$B$7))</f>
        <v>0</v>
      </c>
      <c r="S148" s="18">
        <f t="shared" si="5"/>
        <v>-8.2436599768698216E-11</v>
      </c>
    </row>
    <row r="149" spans="1:19">
      <c r="A149" s="10">
        <f>26</f>
        <v>26</v>
      </c>
      <c r="B149" s="18">
        <f>IF($A149&gt;20,0,(B121-MIN(MAX(C148,0),B121))+MIN(MAX(0,D148-(B121-MIN(MAX(C148,0),B121))),MAX(0,0*B121-(C148-MIN(MAX(C148,0),B121)))))</f>
        <v>0</v>
      </c>
      <c r="C149" s="18">
        <f>IF($A149&gt;20,C148,(C148-B121+B149)*(1+$B$7))</f>
        <v>0</v>
      </c>
      <c r="D149" s="18">
        <f t="shared" si="0"/>
        <v>975816.66295991803</v>
      </c>
      <c r="E149" s="18">
        <f>IF($A149&gt;20,0,(E121-MIN(MAX(F148,0),E121))+MIN(MAX(0,G148-(E121-MIN(MAX(F148,0),E121))),MAX(0,0*E121-(F148-MIN(MAX(F148,0),E121)))))</f>
        <v>0</v>
      </c>
      <c r="F149" s="18">
        <f>IF($A149&gt;20,F148,(F148-E121+E149)*(1+$B$7))</f>
        <v>0</v>
      </c>
      <c r="G149" s="18">
        <f t="shared" si="1"/>
        <v>-269625.19460432656</v>
      </c>
      <c r="H149" s="18">
        <f>IF($A149&gt;20,0,(H121-MIN(MAX(I148,0),H121))+MIN(MAX(0,J148-(H121-MIN(MAX(I148,0),H121))),MAX(0,0*H121-(I148-MIN(MAX(I148,0),H121)))))</f>
        <v>0</v>
      </c>
      <c r="I149" s="18">
        <f>IF($A149&gt;20,I148,(I148-H121+H149)*(1+$B$7))</f>
        <v>0</v>
      </c>
      <c r="J149" s="18">
        <f t="shared" si="2"/>
        <v>-2.8478098101913929E-10</v>
      </c>
      <c r="K149" s="18">
        <f>IF($A149&gt;20,0,(K121-MIN(MAX(L148,0),K121))+MIN(MAX(0,M148-(K121-MIN(MAX(L148,0),K121))),MAX(0,0*K121-(L148-MIN(MAX(L148,0),K121)))))</f>
        <v>0</v>
      </c>
      <c r="L149" s="18">
        <f>IF($A149&gt;20,L148,(L148-K121+K149)*(1+$B$7))</f>
        <v>0</v>
      </c>
      <c r="M149" s="18">
        <f t="shared" si="3"/>
        <v>-8.2436599768698216E-11</v>
      </c>
      <c r="N149" s="18">
        <f>IF($A149&gt;20,0,(N121-MIN(MAX(O148,0),N121))+MIN(MAX(0,P148-(N121-MIN(MAX(O148,0),N121))),MAX(0,0*N121-(O148-MIN(MAX(O148,0),N121)))))</f>
        <v>0</v>
      </c>
      <c r="O149" s="18">
        <f>IF($A149&gt;20,O148,(O148-N121+N149)*(1+$B$7))</f>
        <v>0</v>
      </c>
      <c r="P149" s="18">
        <f t="shared" si="4"/>
        <v>-8.2436599768698216E-11</v>
      </c>
      <c r="Q149" s="18">
        <f>IF($A149&gt;20,0,(Q121-MIN(MAX(R148,0),Q121))+MIN(MAX(0,S148-(Q121-MIN(MAX(R148,0),Q121))),MAX(0,0*Q121-(R148-MIN(MAX(R148,0),Q121)))))</f>
        <v>0</v>
      </c>
      <c r="R149" s="18">
        <f>IF($A149&gt;20,R148,(R148-Q121+Q149)*(1+$B$7))</f>
        <v>0</v>
      </c>
      <c r="S149" s="18">
        <f t="shared" si="5"/>
        <v>-8.2436599768698216E-11</v>
      </c>
    </row>
    <row r="150" spans="1:19">
      <c r="A150" s="10">
        <f>27</f>
        <v>27</v>
      </c>
      <c r="B150" s="18">
        <f>IF($A150&gt;20,0,(B121-MIN(MAX(C149,0),B121))+MIN(MAX(0,D149-(B121-MIN(MAX(C149,0),B121))),MAX(0,0*B121-(C149-MIN(MAX(C149,0),B121)))))</f>
        <v>0</v>
      </c>
      <c r="C150" s="18">
        <f>IF($A150&gt;20,C149,(C149-B121+B150)*(1+$B$7))</f>
        <v>0</v>
      </c>
      <c r="D150" s="18">
        <f t="shared" si="0"/>
        <v>975816.66295991803</v>
      </c>
      <c r="E150" s="18">
        <f>IF($A150&gt;20,0,(E121-MIN(MAX(F149,0),E121))+MIN(MAX(0,G149-(E121-MIN(MAX(F149,0),E121))),MAX(0,0*E121-(F149-MIN(MAX(F149,0),E121)))))</f>
        <v>0</v>
      </c>
      <c r="F150" s="18">
        <f>IF($A150&gt;20,F149,(F149-E121+E150)*(1+$B$7))</f>
        <v>0</v>
      </c>
      <c r="G150" s="18">
        <f t="shared" si="1"/>
        <v>-269625.19460432656</v>
      </c>
      <c r="H150" s="18">
        <f>IF($A150&gt;20,0,(H121-MIN(MAX(I149,0),H121))+MIN(MAX(0,J149-(H121-MIN(MAX(I149,0),H121))),MAX(0,0*H121-(I149-MIN(MAX(I149,0),H121)))))</f>
        <v>0</v>
      </c>
      <c r="I150" s="18">
        <f>IF($A150&gt;20,I149,(I149-H121+H150)*(1+$B$7))</f>
        <v>0</v>
      </c>
      <c r="J150" s="18">
        <f t="shared" si="2"/>
        <v>-2.8478098101913929E-10</v>
      </c>
      <c r="K150" s="18">
        <f>IF($A150&gt;20,0,(K121-MIN(MAX(L149,0),K121))+MIN(MAX(0,M149-(K121-MIN(MAX(L149,0),K121))),MAX(0,0*K121-(L149-MIN(MAX(L149,0),K121)))))</f>
        <v>0</v>
      </c>
      <c r="L150" s="18">
        <f>IF($A150&gt;20,L149,(L149-K121+K150)*(1+$B$7))</f>
        <v>0</v>
      </c>
      <c r="M150" s="18">
        <f t="shared" si="3"/>
        <v>-8.2436599768698216E-11</v>
      </c>
      <c r="N150" s="18">
        <f>IF($A150&gt;20,0,(N121-MIN(MAX(O149,0),N121))+MIN(MAX(0,P149-(N121-MIN(MAX(O149,0),N121))),MAX(0,0*N121-(O149-MIN(MAX(O149,0),N121)))))</f>
        <v>0</v>
      </c>
      <c r="O150" s="18">
        <f>IF($A150&gt;20,O149,(O149-N121+N150)*(1+$B$7))</f>
        <v>0</v>
      </c>
      <c r="P150" s="18">
        <f t="shared" si="4"/>
        <v>-8.2436599768698216E-11</v>
      </c>
      <c r="Q150" s="18">
        <f>IF($A150&gt;20,0,(Q121-MIN(MAX(R149,0),Q121))+MIN(MAX(0,S149-(Q121-MIN(MAX(R149,0),Q121))),MAX(0,0*Q121-(R149-MIN(MAX(R149,0),Q121)))))</f>
        <v>0</v>
      </c>
      <c r="R150" s="18">
        <f>IF($A150&gt;20,R149,(R149-Q121+Q150)*(1+$B$7))</f>
        <v>0</v>
      </c>
      <c r="S150" s="18">
        <f t="shared" si="5"/>
        <v>-8.2436599768698216E-11</v>
      </c>
    </row>
    <row r="151" spans="1:19">
      <c r="A151" s="10">
        <f>28</f>
        <v>28</v>
      </c>
      <c r="B151" s="18">
        <f>IF($A151&gt;20,0,(B121-MIN(MAX(C150,0),B121))+MIN(MAX(0,D150-(B121-MIN(MAX(C150,0),B121))),MAX(0,0*B121-(C150-MIN(MAX(C150,0),B121)))))</f>
        <v>0</v>
      </c>
      <c r="C151" s="18">
        <f>IF($A151&gt;20,C150,(C150-B121+B151)*(1+$B$7))</f>
        <v>0</v>
      </c>
      <c r="D151" s="18">
        <f t="shared" si="0"/>
        <v>975816.66295991803</v>
      </c>
      <c r="E151" s="18">
        <f>IF($A151&gt;20,0,(E121-MIN(MAX(F150,0),E121))+MIN(MAX(0,G150-(E121-MIN(MAX(F150,0),E121))),MAX(0,0*E121-(F150-MIN(MAX(F150,0),E121)))))</f>
        <v>0</v>
      </c>
      <c r="F151" s="18">
        <f>IF($A151&gt;20,F150,(F150-E121+E151)*(1+$B$7))</f>
        <v>0</v>
      </c>
      <c r="G151" s="18">
        <f t="shared" si="1"/>
        <v>-269625.19460432656</v>
      </c>
      <c r="H151" s="18">
        <f>IF($A151&gt;20,0,(H121-MIN(MAX(I150,0),H121))+MIN(MAX(0,J150-(H121-MIN(MAX(I150,0),H121))),MAX(0,0*H121-(I150-MIN(MAX(I150,0),H121)))))</f>
        <v>0</v>
      </c>
      <c r="I151" s="18">
        <f>IF($A151&gt;20,I150,(I150-H121+H151)*(1+$B$7))</f>
        <v>0</v>
      </c>
      <c r="J151" s="18">
        <f t="shared" si="2"/>
        <v>-2.8478098101913929E-10</v>
      </c>
      <c r="K151" s="18">
        <f>IF($A151&gt;20,0,(K121-MIN(MAX(L150,0),K121))+MIN(MAX(0,M150-(K121-MIN(MAX(L150,0),K121))),MAX(0,0*K121-(L150-MIN(MAX(L150,0),K121)))))</f>
        <v>0</v>
      </c>
      <c r="L151" s="18">
        <f>IF($A151&gt;20,L150,(L150-K121+K151)*(1+$B$7))</f>
        <v>0</v>
      </c>
      <c r="M151" s="18">
        <f t="shared" si="3"/>
        <v>-8.2436599768698216E-11</v>
      </c>
      <c r="N151" s="18">
        <f>IF($A151&gt;20,0,(N121-MIN(MAX(O150,0),N121))+MIN(MAX(0,P150-(N121-MIN(MAX(O150,0),N121))),MAX(0,0*N121-(O150-MIN(MAX(O150,0),N121)))))</f>
        <v>0</v>
      </c>
      <c r="O151" s="18">
        <f>IF($A151&gt;20,O150,(O150-N121+N151)*(1+$B$7))</f>
        <v>0</v>
      </c>
      <c r="P151" s="18">
        <f t="shared" si="4"/>
        <v>-8.2436599768698216E-11</v>
      </c>
      <c r="Q151" s="18">
        <f>IF($A151&gt;20,0,(Q121-MIN(MAX(R150,0),Q121))+MIN(MAX(0,S150-(Q121-MIN(MAX(R150,0),Q121))),MAX(0,0*Q121-(R150-MIN(MAX(R150,0),Q121)))))</f>
        <v>0</v>
      </c>
      <c r="R151" s="18">
        <f>IF($A151&gt;20,R150,(R150-Q121+Q151)*(1+$B$7))</f>
        <v>0</v>
      </c>
      <c r="S151" s="18">
        <f t="shared" si="5"/>
        <v>-8.2436599768698216E-11</v>
      </c>
    </row>
    <row r="152" spans="1:19">
      <c r="A152" s="10">
        <f>29</f>
        <v>29</v>
      </c>
      <c r="B152" s="18">
        <f>IF($A152&gt;20,0,(B121-MIN(MAX(C151,0),B121))+MIN(MAX(0,D151-(B121-MIN(MAX(C151,0),B121))),MAX(0,0*B121-(C151-MIN(MAX(C151,0),B121)))))</f>
        <v>0</v>
      </c>
      <c r="C152" s="18">
        <f>IF($A152&gt;20,C151,(C151-B121+B152)*(1+$B$7))</f>
        <v>0</v>
      </c>
      <c r="D152" s="18">
        <f t="shared" si="0"/>
        <v>975816.66295991803</v>
      </c>
      <c r="E152" s="18">
        <f>IF($A152&gt;20,0,(E121-MIN(MAX(F151,0),E121))+MIN(MAX(0,G151-(E121-MIN(MAX(F151,0),E121))),MAX(0,0*E121-(F151-MIN(MAX(F151,0),E121)))))</f>
        <v>0</v>
      </c>
      <c r="F152" s="18">
        <f>IF($A152&gt;20,F151,(F151-E121+E152)*(1+$B$7))</f>
        <v>0</v>
      </c>
      <c r="G152" s="18">
        <f t="shared" si="1"/>
        <v>-269625.19460432656</v>
      </c>
      <c r="H152" s="18">
        <f>IF($A152&gt;20,0,(H121-MIN(MAX(I151,0),H121))+MIN(MAX(0,J151-(H121-MIN(MAX(I151,0),H121))),MAX(0,0*H121-(I151-MIN(MAX(I151,0),H121)))))</f>
        <v>0</v>
      </c>
      <c r="I152" s="18">
        <f>IF($A152&gt;20,I151,(I151-H121+H152)*(1+$B$7))</f>
        <v>0</v>
      </c>
      <c r="J152" s="18">
        <f t="shared" si="2"/>
        <v>-2.8478098101913929E-10</v>
      </c>
      <c r="K152" s="18">
        <f>IF($A152&gt;20,0,(K121-MIN(MAX(L151,0),K121))+MIN(MAX(0,M151-(K121-MIN(MAX(L151,0),K121))),MAX(0,0*K121-(L151-MIN(MAX(L151,0),K121)))))</f>
        <v>0</v>
      </c>
      <c r="L152" s="18">
        <f>IF($A152&gt;20,L151,(L151-K121+K152)*(1+$B$7))</f>
        <v>0</v>
      </c>
      <c r="M152" s="18">
        <f t="shared" si="3"/>
        <v>-8.2436599768698216E-11</v>
      </c>
      <c r="N152" s="18">
        <f>IF($A152&gt;20,0,(N121-MIN(MAX(O151,0),N121))+MIN(MAX(0,P151-(N121-MIN(MAX(O151,0),N121))),MAX(0,0*N121-(O151-MIN(MAX(O151,0),N121)))))</f>
        <v>0</v>
      </c>
      <c r="O152" s="18">
        <f>IF($A152&gt;20,O151,(O151-N121+N152)*(1+$B$7))</f>
        <v>0</v>
      </c>
      <c r="P152" s="18">
        <f t="shared" si="4"/>
        <v>-8.2436599768698216E-11</v>
      </c>
      <c r="Q152" s="18">
        <f>IF($A152&gt;20,0,(Q121-MIN(MAX(R151,0),Q121))+MIN(MAX(0,S151-(Q121-MIN(MAX(R151,0),Q121))),MAX(0,0*Q121-(R151-MIN(MAX(R151,0),Q121)))))</f>
        <v>0</v>
      </c>
      <c r="R152" s="18">
        <f>IF($A152&gt;20,R151,(R151-Q121+Q152)*(1+$B$7))</f>
        <v>0</v>
      </c>
      <c r="S152" s="18">
        <f t="shared" si="5"/>
        <v>-8.2436599768698216E-11</v>
      </c>
    </row>
    <row r="153" spans="1:19">
      <c r="A153" s="10">
        <f>30</f>
        <v>30</v>
      </c>
      <c r="B153" s="18">
        <f>IF($A153&gt;20,0,(B121-MIN(MAX(C152,0),B121))+MIN(MAX(0,D152-(B121-MIN(MAX(C152,0),B121))),MAX(0,0*B121-(C152-MIN(MAX(C152,0),B121)))))</f>
        <v>0</v>
      </c>
      <c r="C153" s="18">
        <f>IF($A153&gt;20,C152,(C152-B121+B153)*(1+$B$7))</f>
        <v>0</v>
      </c>
      <c r="D153" s="18">
        <f t="shared" si="0"/>
        <v>975816.66295991803</v>
      </c>
      <c r="E153" s="18">
        <f>IF($A153&gt;20,0,(E121-MIN(MAX(F152,0),E121))+MIN(MAX(0,G152-(E121-MIN(MAX(F152,0),E121))),MAX(0,0*E121-(F152-MIN(MAX(F152,0),E121)))))</f>
        <v>0</v>
      </c>
      <c r="F153" s="18">
        <f>IF($A153&gt;20,F152,(F152-E121+E153)*(1+$B$7))</f>
        <v>0</v>
      </c>
      <c r="G153" s="18">
        <f t="shared" si="1"/>
        <v>-269625.19460432656</v>
      </c>
      <c r="H153" s="18">
        <f>IF($A153&gt;20,0,(H121-MIN(MAX(I152,0),H121))+MIN(MAX(0,J152-(H121-MIN(MAX(I152,0),H121))),MAX(0,0*H121-(I152-MIN(MAX(I152,0),H121)))))</f>
        <v>0</v>
      </c>
      <c r="I153" s="18">
        <f>IF($A153&gt;20,I152,(I152-H121+H153)*(1+$B$7))</f>
        <v>0</v>
      </c>
      <c r="J153" s="18">
        <f t="shared" si="2"/>
        <v>-2.8478098101913929E-10</v>
      </c>
      <c r="K153" s="18">
        <f>IF($A153&gt;20,0,(K121-MIN(MAX(L152,0),K121))+MIN(MAX(0,M152-(K121-MIN(MAX(L152,0),K121))),MAX(0,0*K121-(L152-MIN(MAX(L152,0),K121)))))</f>
        <v>0</v>
      </c>
      <c r="L153" s="18">
        <f>IF($A153&gt;20,L152,(L152-K121+K153)*(1+$B$7))</f>
        <v>0</v>
      </c>
      <c r="M153" s="18">
        <f t="shared" si="3"/>
        <v>-8.2436599768698216E-11</v>
      </c>
      <c r="N153" s="18">
        <f>IF($A153&gt;20,0,(N121-MIN(MAX(O152,0),N121))+MIN(MAX(0,P152-(N121-MIN(MAX(O152,0),N121))),MAX(0,0*N121-(O152-MIN(MAX(O152,0),N121)))))</f>
        <v>0</v>
      </c>
      <c r="O153" s="18">
        <f>IF($A153&gt;20,O152,(O152-N121+N153)*(1+$B$7))</f>
        <v>0</v>
      </c>
      <c r="P153" s="18">
        <f t="shared" si="4"/>
        <v>-8.2436599768698216E-11</v>
      </c>
      <c r="Q153" s="18">
        <f>IF($A153&gt;20,0,(Q121-MIN(MAX(R152,0),Q121))+MIN(MAX(0,S152-(Q121-MIN(MAX(R152,0),Q121))),MAX(0,0*Q121-(R152-MIN(MAX(R152,0),Q121)))))</f>
        <v>0</v>
      </c>
      <c r="R153" s="18">
        <f>IF($A153&gt;20,R152,(R152-Q121+Q153)*(1+$B$7))</f>
        <v>0</v>
      </c>
      <c r="S153" s="18">
        <f t="shared" si="5"/>
        <v>-8.2436599768698216E-11</v>
      </c>
    </row>
    <row r="154" spans="1:19">
      <c r="A154" s="10">
        <f>31</f>
        <v>31</v>
      </c>
      <c r="B154" s="18">
        <f>IF($A154&gt;20,0,(B121-MIN(MAX(C153,0),B121))+MIN(MAX(0,D153-(B121-MIN(MAX(C153,0),B121))),MAX(0,0*B121-(C153-MIN(MAX(C153,0),B121)))))</f>
        <v>0</v>
      </c>
      <c r="C154" s="18">
        <f>IF($A154&gt;20,C153,(C153-B121+B154)*(1+$B$7))</f>
        <v>0</v>
      </c>
      <c r="D154" s="18">
        <f t="shared" si="0"/>
        <v>975816.66295991803</v>
      </c>
      <c r="E154" s="18">
        <f>IF($A154&gt;20,0,(E121-MIN(MAX(F153,0),E121))+MIN(MAX(0,G153-(E121-MIN(MAX(F153,0),E121))),MAX(0,0*E121-(F153-MIN(MAX(F153,0),E121)))))</f>
        <v>0</v>
      </c>
      <c r="F154" s="18">
        <f>IF($A154&gt;20,F153,(F153-E121+E154)*(1+$B$7))</f>
        <v>0</v>
      </c>
      <c r="G154" s="18">
        <f t="shared" si="1"/>
        <v>-269625.19460432656</v>
      </c>
      <c r="H154" s="18">
        <f>IF($A154&gt;20,0,(H121-MIN(MAX(I153,0),H121))+MIN(MAX(0,J153-(H121-MIN(MAX(I153,0),H121))),MAX(0,0*H121-(I153-MIN(MAX(I153,0),H121)))))</f>
        <v>0</v>
      </c>
      <c r="I154" s="18">
        <f>IF($A154&gt;20,I153,(I153-H121+H154)*(1+$B$7))</f>
        <v>0</v>
      </c>
      <c r="J154" s="18">
        <f t="shared" si="2"/>
        <v>-2.8478098101913929E-10</v>
      </c>
      <c r="K154" s="18">
        <f>IF($A154&gt;20,0,(K121-MIN(MAX(L153,0),K121))+MIN(MAX(0,M153-(K121-MIN(MAX(L153,0),K121))),MAX(0,0*K121-(L153-MIN(MAX(L153,0),K121)))))</f>
        <v>0</v>
      </c>
      <c r="L154" s="18">
        <f>IF($A154&gt;20,L153,(L153-K121+K154)*(1+$B$7))</f>
        <v>0</v>
      </c>
      <c r="M154" s="18">
        <f t="shared" si="3"/>
        <v>-8.2436599768698216E-11</v>
      </c>
      <c r="N154" s="18">
        <f>IF($A154&gt;20,0,(N121-MIN(MAX(O153,0),N121))+MIN(MAX(0,P153-(N121-MIN(MAX(O153,0),N121))),MAX(0,0*N121-(O153-MIN(MAX(O153,0),N121)))))</f>
        <v>0</v>
      </c>
      <c r="O154" s="18">
        <f>IF($A154&gt;20,O153,(O153-N121+N154)*(1+$B$7))</f>
        <v>0</v>
      </c>
      <c r="P154" s="18">
        <f t="shared" si="4"/>
        <v>-8.2436599768698216E-11</v>
      </c>
      <c r="Q154" s="18">
        <f>IF($A154&gt;20,0,(Q121-MIN(MAX(R153,0),Q121))+MIN(MAX(0,S153-(Q121-MIN(MAX(R153,0),Q121))),MAX(0,0*Q121-(R153-MIN(MAX(R153,0),Q121)))))</f>
        <v>0</v>
      </c>
      <c r="R154" s="18">
        <f>IF($A154&gt;20,R153,(R153-Q121+Q154)*(1+$B$7))</f>
        <v>0</v>
      </c>
      <c r="S154" s="18">
        <f t="shared" si="5"/>
        <v>-8.2436599768698216E-11</v>
      </c>
    </row>
    <row r="155" spans="1:19">
      <c r="A155" s="10">
        <f>32</f>
        <v>32</v>
      </c>
      <c r="B155" s="18">
        <f>IF($A155&gt;20,0,(B121-MIN(MAX(C154,0),B121))+MIN(MAX(0,D154-(B121-MIN(MAX(C154,0),B121))),MAX(0,0*B121-(C154-MIN(MAX(C154,0),B121)))))</f>
        <v>0</v>
      </c>
      <c r="C155" s="18">
        <f>IF($A155&gt;20,C154,(C154-B121+B155)*(1+$B$7))</f>
        <v>0</v>
      </c>
      <c r="D155" s="18">
        <f t="shared" si="0"/>
        <v>975816.66295991803</v>
      </c>
      <c r="E155" s="18">
        <f>IF($A155&gt;20,0,(E121-MIN(MAX(F154,0),E121))+MIN(MAX(0,G154-(E121-MIN(MAX(F154,0),E121))),MAX(0,0*E121-(F154-MIN(MAX(F154,0),E121)))))</f>
        <v>0</v>
      </c>
      <c r="F155" s="18">
        <f>IF($A155&gt;20,F154,(F154-E121+E155)*(1+$B$7))</f>
        <v>0</v>
      </c>
      <c r="G155" s="18">
        <f t="shared" si="1"/>
        <v>-269625.19460432656</v>
      </c>
      <c r="H155" s="18">
        <f>IF($A155&gt;20,0,(H121-MIN(MAX(I154,0),H121))+MIN(MAX(0,J154-(H121-MIN(MAX(I154,0),H121))),MAX(0,0*H121-(I154-MIN(MAX(I154,0),H121)))))</f>
        <v>0</v>
      </c>
      <c r="I155" s="18">
        <f>IF($A155&gt;20,I154,(I154-H121+H155)*(1+$B$7))</f>
        <v>0</v>
      </c>
      <c r="J155" s="18">
        <f t="shared" si="2"/>
        <v>-2.8478098101913929E-10</v>
      </c>
      <c r="K155" s="18">
        <f>IF($A155&gt;20,0,(K121-MIN(MAX(L154,0),K121))+MIN(MAX(0,M154-(K121-MIN(MAX(L154,0),K121))),MAX(0,0*K121-(L154-MIN(MAX(L154,0),K121)))))</f>
        <v>0</v>
      </c>
      <c r="L155" s="18">
        <f>IF($A155&gt;20,L154,(L154-K121+K155)*(1+$B$7))</f>
        <v>0</v>
      </c>
      <c r="M155" s="18">
        <f t="shared" si="3"/>
        <v>-8.2436599768698216E-11</v>
      </c>
      <c r="N155" s="18">
        <f>IF($A155&gt;20,0,(N121-MIN(MAX(O154,0),N121))+MIN(MAX(0,P154-(N121-MIN(MAX(O154,0),N121))),MAX(0,0*N121-(O154-MIN(MAX(O154,0),N121)))))</f>
        <v>0</v>
      </c>
      <c r="O155" s="18">
        <f>IF($A155&gt;20,O154,(O154-N121+N155)*(1+$B$7))</f>
        <v>0</v>
      </c>
      <c r="P155" s="18">
        <f t="shared" si="4"/>
        <v>-8.2436599768698216E-11</v>
      </c>
      <c r="Q155" s="18">
        <f>IF($A155&gt;20,0,(Q121-MIN(MAX(R154,0),Q121))+MIN(MAX(0,S154-(Q121-MIN(MAX(R154,0),Q121))),MAX(0,0*Q121-(R154-MIN(MAX(R154,0),Q121)))))</f>
        <v>0</v>
      </c>
      <c r="R155" s="18">
        <f>IF($A155&gt;20,R154,(R154-Q121+Q155)*(1+$B$7))</f>
        <v>0</v>
      </c>
      <c r="S155" s="18">
        <f t="shared" si="5"/>
        <v>-8.2436599768698216E-11</v>
      </c>
    </row>
    <row r="156" spans="1:19">
      <c r="A156" s="10">
        <f>33</f>
        <v>33</v>
      </c>
      <c r="B156" s="18">
        <f>IF($A156&gt;20,0,(B121-MIN(MAX(C155,0),B121))+MIN(MAX(0,D155-(B121-MIN(MAX(C155,0),B121))),MAX(0,0*B121-(C155-MIN(MAX(C155,0),B121)))))</f>
        <v>0</v>
      </c>
      <c r="C156" s="18">
        <f>IF($A156&gt;20,C155,(C155-B121+B156)*(1+$B$7))</f>
        <v>0</v>
      </c>
      <c r="D156" s="18">
        <f t="shared" si="0"/>
        <v>975816.66295991803</v>
      </c>
      <c r="E156" s="18">
        <f>IF($A156&gt;20,0,(E121-MIN(MAX(F155,0),E121))+MIN(MAX(0,G155-(E121-MIN(MAX(F155,0),E121))),MAX(0,0*E121-(F155-MIN(MAX(F155,0),E121)))))</f>
        <v>0</v>
      </c>
      <c r="F156" s="18">
        <f>IF($A156&gt;20,F155,(F155-E121+E156)*(1+$B$7))</f>
        <v>0</v>
      </c>
      <c r="G156" s="18">
        <f t="shared" si="1"/>
        <v>-269625.19460432656</v>
      </c>
      <c r="H156" s="18">
        <f>IF($A156&gt;20,0,(H121-MIN(MAX(I155,0),H121))+MIN(MAX(0,J155-(H121-MIN(MAX(I155,0),H121))),MAX(0,0*H121-(I155-MIN(MAX(I155,0),H121)))))</f>
        <v>0</v>
      </c>
      <c r="I156" s="18">
        <f>IF($A156&gt;20,I155,(I155-H121+H156)*(1+$B$7))</f>
        <v>0</v>
      </c>
      <c r="J156" s="18">
        <f t="shared" si="2"/>
        <v>-2.8478098101913929E-10</v>
      </c>
      <c r="K156" s="18">
        <f>IF($A156&gt;20,0,(K121-MIN(MAX(L155,0),K121))+MIN(MAX(0,M155-(K121-MIN(MAX(L155,0),K121))),MAX(0,0*K121-(L155-MIN(MAX(L155,0),K121)))))</f>
        <v>0</v>
      </c>
      <c r="L156" s="18">
        <f>IF($A156&gt;20,L155,(L155-K121+K156)*(1+$B$7))</f>
        <v>0</v>
      </c>
      <c r="M156" s="18">
        <f t="shared" si="3"/>
        <v>-8.2436599768698216E-11</v>
      </c>
      <c r="N156" s="18">
        <f>IF($A156&gt;20,0,(N121-MIN(MAX(O155,0),N121))+MIN(MAX(0,P155-(N121-MIN(MAX(O155,0),N121))),MAX(0,0*N121-(O155-MIN(MAX(O155,0),N121)))))</f>
        <v>0</v>
      </c>
      <c r="O156" s="18">
        <f>IF($A156&gt;20,O155,(O155-N121+N156)*(1+$B$7))</f>
        <v>0</v>
      </c>
      <c r="P156" s="18">
        <f t="shared" si="4"/>
        <v>-8.2436599768698216E-11</v>
      </c>
      <c r="Q156" s="18">
        <f>IF($A156&gt;20,0,(Q121-MIN(MAX(R155,0),Q121))+MIN(MAX(0,S155-(Q121-MIN(MAX(R155,0),Q121))),MAX(0,0*Q121-(R155-MIN(MAX(R155,0),Q121)))))</f>
        <v>0</v>
      </c>
      <c r="R156" s="18">
        <f>IF($A156&gt;20,R155,(R155-Q121+Q156)*(1+$B$7))</f>
        <v>0</v>
      </c>
      <c r="S156" s="18">
        <f t="shared" si="5"/>
        <v>-8.2436599768698216E-11</v>
      </c>
    </row>
    <row r="157" spans="1:19">
      <c r="A157" s="10">
        <f>34</f>
        <v>34</v>
      </c>
      <c r="B157" s="18">
        <f>IF($A157&gt;20,0,(B121-MIN(MAX(C156,0),B121))+MIN(MAX(0,D156-(B121-MIN(MAX(C156,0),B121))),MAX(0,0*B121-(C156-MIN(MAX(C156,0),B121)))))</f>
        <v>0</v>
      </c>
      <c r="C157" s="18">
        <f>IF($A157&gt;20,C156,(C156-B121+B157)*(1+$B$7))</f>
        <v>0</v>
      </c>
      <c r="D157" s="18">
        <f t="shared" si="0"/>
        <v>975816.66295991803</v>
      </c>
      <c r="E157" s="18">
        <f>IF($A157&gt;20,0,(E121-MIN(MAX(F156,0),E121))+MIN(MAX(0,G156-(E121-MIN(MAX(F156,0),E121))),MAX(0,0*E121-(F156-MIN(MAX(F156,0),E121)))))</f>
        <v>0</v>
      </c>
      <c r="F157" s="18">
        <f>IF($A157&gt;20,F156,(F156-E121+E157)*(1+$B$7))</f>
        <v>0</v>
      </c>
      <c r="G157" s="18">
        <f t="shared" si="1"/>
        <v>-269625.19460432656</v>
      </c>
      <c r="H157" s="18">
        <f>IF($A157&gt;20,0,(H121-MIN(MAX(I156,0),H121))+MIN(MAX(0,J156-(H121-MIN(MAX(I156,0),H121))),MAX(0,0*H121-(I156-MIN(MAX(I156,0),H121)))))</f>
        <v>0</v>
      </c>
      <c r="I157" s="18">
        <f>IF($A157&gt;20,I156,(I156-H121+H157)*(1+$B$7))</f>
        <v>0</v>
      </c>
      <c r="J157" s="18">
        <f t="shared" si="2"/>
        <v>-2.8478098101913929E-10</v>
      </c>
      <c r="K157" s="18">
        <f>IF($A157&gt;20,0,(K121-MIN(MAX(L156,0),K121))+MIN(MAX(0,M156-(K121-MIN(MAX(L156,0),K121))),MAX(0,0*K121-(L156-MIN(MAX(L156,0),K121)))))</f>
        <v>0</v>
      </c>
      <c r="L157" s="18">
        <f>IF($A157&gt;20,L156,(L156-K121+K157)*(1+$B$7))</f>
        <v>0</v>
      </c>
      <c r="M157" s="18">
        <f t="shared" si="3"/>
        <v>-8.2436599768698216E-11</v>
      </c>
      <c r="N157" s="18">
        <f>IF($A157&gt;20,0,(N121-MIN(MAX(O156,0),N121))+MIN(MAX(0,P156-(N121-MIN(MAX(O156,0),N121))),MAX(0,0*N121-(O156-MIN(MAX(O156,0),N121)))))</f>
        <v>0</v>
      </c>
      <c r="O157" s="18">
        <f>IF($A157&gt;20,O156,(O156-N121+N157)*(1+$B$7))</f>
        <v>0</v>
      </c>
      <c r="P157" s="18">
        <f t="shared" si="4"/>
        <v>-8.2436599768698216E-11</v>
      </c>
      <c r="Q157" s="18">
        <f>IF($A157&gt;20,0,(Q121-MIN(MAX(R156,0),Q121))+MIN(MAX(0,S156-(Q121-MIN(MAX(R156,0),Q121))),MAX(0,0*Q121-(R156-MIN(MAX(R156,0),Q121)))))</f>
        <v>0</v>
      </c>
      <c r="R157" s="18">
        <f>IF($A157&gt;20,R156,(R156-Q121+Q157)*(1+$B$7))</f>
        <v>0</v>
      </c>
      <c r="S157" s="18">
        <f t="shared" si="5"/>
        <v>-8.2436599768698216E-11</v>
      </c>
    </row>
    <row r="158" spans="1:19">
      <c r="A158" s="10">
        <f>35</f>
        <v>35</v>
      </c>
      <c r="B158" s="18">
        <f>IF($A158&gt;20,0,(B121-MIN(MAX(C157,0),B121))+MIN(MAX(0,D157-(B121-MIN(MAX(C157,0),B121))),MAX(0,0*B121-(C157-MIN(MAX(C157,0),B121)))))</f>
        <v>0</v>
      </c>
      <c r="C158" s="18">
        <f>IF($A158&gt;20,C157,(C157-B121+B158)*(1+$B$7))</f>
        <v>0</v>
      </c>
      <c r="D158" s="18">
        <f t="shared" si="0"/>
        <v>975816.66295991803</v>
      </c>
      <c r="E158" s="18">
        <f>IF($A158&gt;20,0,(E121-MIN(MAX(F157,0),E121))+MIN(MAX(0,G157-(E121-MIN(MAX(F157,0),E121))),MAX(0,0*E121-(F157-MIN(MAX(F157,0),E121)))))</f>
        <v>0</v>
      </c>
      <c r="F158" s="18">
        <f>IF($A158&gt;20,F157,(F157-E121+E158)*(1+$B$7))</f>
        <v>0</v>
      </c>
      <c r="G158" s="18">
        <f t="shared" si="1"/>
        <v>-269625.19460432656</v>
      </c>
      <c r="H158" s="18">
        <f>IF($A158&gt;20,0,(H121-MIN(MAX(I157,0),H121))+MIN(MAX(0,J157-(H121-MIN(MAX(I157,0),H121))),MAX(0,0*H121-(I157-MIN(MAX(I157,0),H121)))))</f>
        <v>0</v>
      </c>
      <c r="I158" s="18">
        <f>IF($A158&gt;20,I157,(I157-H121+H158)*(1+$B$7))</f>
        <v>0</v>
      </c>
      <c r="J158" s="18">
        <f t="shared" si="2"/>
        <v>-2.8478098101913929E-10</v>
      </c>
      <c r="K158" s="18">
        <f>IF($A158&gt;20,0,(K121-MIN(MAX(L157,0),K121))+MIN(MAX(0,M157-(K121-MIN(MAX(L157,0),K121))),MAX(0,0*K121-(L157-MIN(MAX(L157,0),K121)))))</f>
        <v>0</v>
      </c>
      <c r="L158" s="18">
        <f>IF($A158&gt;20,L157,(L157-K121+K158)*(1+$B$7))</f>
        <v>0</v>
      </c>
      <c r="M158" s="18">
        <f t="shared" si="3"/>
        <v>-8.2436599768698216E-11</v>
      </c>
      <c r="N158" s="18">
        <f>IF($A158&gt;20,0,(N121-MIN(MAX(O157,0),N121))+MIN(MAX(0,P157-(N121-MIN(MAX(O157,0),N121))),MAX(0,0*N121-(O157-MIN(MAX(O157,0),N121)))))</f>
        <v>0</v>
      </c>
      <c r="O158" s="18">
        <f>IF($A158&gt;20,O157,(O157-N121+N158)*(1+$B$7))</f>
        <v>0</v>
      </c>
      <c r="P158" s="18">
        <f t="shared" si="4"/>
        <v>-8.2436599768698216E-11</v>
      </c>
      <c r="Q158" s="18">
        <f>IF($A158&gt;20,0,(Q121-MIN(MAX(R157,0),Q121))+MIN(MAX(0,S157-(Q121-MIN(MAX(R157,0),Q121))),MAX(0,0*Q121-(R157-MIN(MAX(R157,0),Q121)))))</f>
        <v>0</v>
      </c>
      <c r="R158" s="18">
        <f>IF($A158&gt;20,R157,(R157-Q121+Q158)*(1+$B$7))</f>
        <v>0</v>
      </c>
      <c r="S158" s="18">
        <f t="shared" si="5"/>
        <v>-8.2436599768698216E-11</v>
      </c>
    </row>
    <row r="159" spans="1:19">
      <c r="A159" s="10">
        <f>36</f>
        <v>36</v>
      </c>
      <c r="B159" s="18">
        <f>IF($A159&gt;20,0,(B121-MIN(MAX(C158,0),B121))+MIN(MAX(0,D158-(B121-MIN(MAX(C158,0),B121))),MAX(0,0*B121-(C158-MIN(MAX(C158,0),B121)))))</f>
        <v>0</v>
      </c>
      <c r="C159" s="18">
        <f>IF($A159&gt;20,C158,(C158-B121+B159)*(1+$B$7))</f>
        <v>0</v>
      </c>
      <c r="D159" s="18">
        <f t="shared" si="0"/>
        <v>975816.66295991803</v>
      </c>
      <c r="E159" s="18">
        <f>IF($A159&gt;20,0,(E121-MIN(MAX(F158,0),E121))+MIN(MAX(0,G158-(E121-MIN(MAX(F158,0),E121))),MAX(0,0*E121-(F158-MIN(MAX(F158,0),E121)))))</f>
        <v>0</v>
      </c>
      <c r="F159" s="18">
        <f>IF($A159&gt;20,F158,(F158-E121+E159)*(1+$B$7))</f>
        <v>0</v>
      </c>
      <c r="G159" s="18">
        <f t="shared" si="1"/>
        <v>-269625.19460432656</v>
      </c>
      <c r="H159" s="18">
        <f>IF($A159&gt;20,0,(H121-MIN(MAX(I158,0),H121))+MIN(MAX(0,J158-(H121-MIN(MAX(I158,0),H121))),MAX(0,0*H121-(I158-MIN(MAX(I158,0),H121)))))</f>
        <v>0</v>
      </c>
      <c r="I159" s="18">
        <f>IF($A159&gt;20,I158,(I158-H121+H159)*(1+$B$7))</f>
        <v>0</v>
      </c>
      <c r="J159" s="18">
        <f t="shared" si="2"/>
        <v>-2.8478098101913929E-10</v>
      </c>
      <c r="K159" s="18">
        <f>IF($A159&gt;20,0,(K121-MIN(MAX(L158,0),K121))+MIN(MAX(0,M158-(K121-MIN(MAX(L158,0),K121))),MAX(0,0*K121-(L158-MIN(MAX(L158,0),K121)))))</f>
        <v>0</v>
      </c>
      <c r="L159" s="18">
        <f>IF($A159&gt;20,L158,(L158-K121+K159)*(1+$B$7))</f>
        <v>0</v>
      </c>
      <c r="M159" s="18">
        <f t="shared" si="3"/>
        <v>-8.2436599768698216E-11</v>
      </c>
      <c r="N159" s="18">
        <f>IF($A159&gt;20,0,(N121-MIN(MAX(O158,0),N121))+MIN(MAX(0,P158-(N121-MIN(MAX(O158,0),N121))),MAX(0,0*N121-(O158-MIN(MAX(O158,0),N121)))))</f>
        <v>0</v>
      </c>
      <c r="O159" s="18">
        <f>IF($A159&gt;20,O158,(O158-N121+N159)*(1+$B$7))</f>
        <v>0</v>
      </c>
      <c r="P159" s="18">
        <f t="shared" si="4"/>
        <v>-8.2436599768698216E-11</v>
      </c>
      <c r="Q159" s="18">
        <f>IF($A159&gt;20,0,(Q121-MIN(MAX(R158,0),Q121))+MIN(MAX(0,S158-(Q121-MIN(MAX(R158,0),Q121))),MAX(0,0*Q121-(R158-MIN(MAX(R158,0),Q121)))))</f>
        <v>0</v>
      </c>
      <c r="R159" s="18">
        <f>IF($A159&gt;20,R158,(R158-Q121+Q159)*(1+$B$7))</f>
        <v>0</v>
      </c>
      <c r="S159" s="18">
        <f t="shared" si="5"/>
        <v>-8.2436599768698216E-11</v>
      </c>
    </row>
    <row r="160" spans="1:19">
      <c r="A160" s="10">
        <f>37</f>
        <v>37</v>
      </c>
      <c r="B160" s="18">
        <f>IF($A160&gt;20,0,(B121-MIN(MAX(C159,0),B121))+MIN(MAX(0,D159-(B121-MIN(MAX(C159,0),B121))),MAX(0,0*B121-(C159-MIN(MAX(C159,0),B121)))))</f>
        <v>0</v>
      </c>
      <c r="C160" s="18">
        <f>IF($A160&gt;20,C159,(C159-B121+B160)*(1+$B$7))</f>
        <v>0</v>
      </c>
      <c r="D160" s="18">
        <f t="shared" si="0"/>
        <v>975816.66295991803</v>
      </c>
      <c r="E160" s="18">
        <f>IF($A160&gt;20,0,(E121-MIN(MAX(F159,0),E121))+MIN(MAX(0,G159-(E121-MIN(MAX(F159,0),E121))),MAX(0,0*E121-(F159-MIN(MAX(F159,0),E121)))))</f>
        <v>0</v>
      </c>
      <c r="F160" s="18">
        <f>IF($A160&gt;20,F159,(F159-E121+E160)*(1+$B$7))</f>
        <v>0</v>
      </c>
      <c r="G160" s="18">
        <f t="shared" si="1"/>
        <v>-269625.19460432656</v>
      </c>
      <c r="H160" s="18">
        <f>IF($A160&gt;20,0,(H121-MIN(MAX(I159,0),H121))+MIN(MAX(0,J159-(H121-MIN(MAX(I159,0),H121))),MAX(0,0*H121-(I159-MIN(MAX(I159,0),H121)))))</f>
        <v>0</v>
      </c>
      <c r="I160" s="18">
        <f>IF($A160&gt;20,I159,(I159-H121+H160)*(1+$B$7))</f>
        <v>0</v>
      </c>
      <c r="J160" s="18">
        <f t="shared" si="2"/>
        <v>-2.8478098101913929E-10</v>
      </c>
      <c r="K160" s="18">
        <f>IF($A160&gt;20,0,(K121-MIN(MAX(L159,0),K121))+MIN(MAX(0,M159-(K121-MIN(MAX(L159,0),K121))),MAX(0,0*K121-(L159-MIN(MAX(L159,0),K121)))))</f>
        <v>0</v>
      </c>
      <c r="L160" s="18">
        <f>IF($A160&gt;20,L159,(L159-K121+K160)*(1+$B$7))</f>
        <v>0</v>
      </c>
      <c r="M160" s="18">
        <f t="shared" si="3"/>
        <v>-8.2436599768698216E-11</v>
      </c>
      <c r="N160" s="18">
        <f>IF($A160&gt;20,0,(N121-MIN(MAX(O159,0),N121))+MIN(MAX(0,P159-(N121-MIN(MAX(O159,0),N121))),MAX(0,0*N121-(O159-MIN(MAX(O159,0),N121)))))</f>
        <v>0</v>
      </c>
      <c r="O160" s="18">
        <f>IF($A160&gt;20,O159,(O159-N121+N160)*(1+$B$7))</f>
        <v>0</v>
      </c>
      <c r="P160" s="18">
        <f t="shared" si="4"/>
        <v>-8.2436599768698216E-11</v>
      </c>
      <c r="Q160" s="18">
        <f>IF($A160&gt;20,0,(Q121-MIN(MAX(R159,0),Q121))+MIN(MAX(0,S159-(Q121-MIN(MAX(R159,0),Q121))),MAX(0,0*Q121-(R159-MIN(MAX(R159,0),Q121)))))</f>
        <v>0</v>
      </c>
      <c r="R160" s="18">
        <f>IF($A160&gt;20,R159,(R159-Q121+Q160)*(1+$B$7))</f>
        <v>0</v>
      </c>
      <c r="S160" s="18">
        <f t="shared" si="5"/>
        <v>-8.2436599768698216E-11</v>
      </c>
    </row>
    <row r="161" spans="1:19">
      <c r="A161" s="10">
        <f>38</f>
        <v>38</v>
      </c>
      <c r="B161" s="18">
        <f>IF($A161&gt;20,0,(B121-MIN(MAX(C160,0),B121))+MIN(MAX(0,D160-(B121-MIN(MAX(C160,0),B121))),MAX(0,0*B121-(C160-MIN(MAX(C160,0),B121)))))</f>
        <v>0</v>
      </c>
      <c r="C161" s="18">
        <f>IF($A161&gt;20,C160,(C160-B121+B161)*(1+$B$7))</f>
        <v>0</v>
      </c>
      <c r="D161" s="18">
        <f t="shared" si="0"/>
        <v>975816.66295991803</v>
      </c>
      <c r="E161" s="18">
        <f>IF($A161&gt;20,0,(E121-MIN(MAX(F160,0),E121))+MIN(MAX(0,G160-(E121-MIN(MAX(F160,0),E121))),MAX(0,0*E121-(F160-MIN(MAX(F160,0),E121)))))</f>
        <v>0</v>
      </c>
      <c r="F161" s="18">
        <f>IF($A161&gt;20,F160,(F160-E121+E161)*(1+$B$7))</f>
        <v>0</v>
      </c>
      <c r="G161" s="18">
        <f t="shared" si="1"/>
        <v>-269625.19460432656</v>
      </c>
      <c r="H161" s="18">
        <f>IF($A161&gt;20,0,(H121-MIN(MAX(I160,0),H121))+MIN(MAX(0,J160-(H121-MIN(MAX(I160,0),H121))),MAX(0,0*H121-(I160-MIN(MAX(I160,0),H121)))))</f>
        <v>0</v>
      </c>
      <c r="I161" s="18">
        <f>IF($A161&gt;20,I160,(I160-H121+H161)*(1+$B$7))</f>
        <v>0</v>
      </c>
      <c r="J161" s="18">
        <f t="shared" si="2"/>
        <v>-2.8478098101913929E-10</v>
      </c>
      <c r="K161" s="18">
        <f>IF($A161&gt;20,0,(K121-MIN(MAX(L160,0),K121))+MIN(MAX(0,M160-(K121-MIN(MAX(L160,0),K121))),MAX(0,0*K121-(L160-MIN(MAX(L160,0),K121)))))</f>
        <v>0</v>
      </c>
      <c r="L161" s="18">
        <f>IF($A161&gt;20,L160,(L160-K121+K161)*(1+$B$7))</f>
        <v>0</v>
      </c>
      <c r="M161" s="18">
        <f t="shared" si="3"/>
        <v>-8.2436599768698216E-11</v>
      </c>
      <c r="N161" s="18">
        <f>IF($A161&gt;20,0,(N121-MIN(MAX(O160,0),N121))+MIN(MAX(0,P160-(N121-MIN(MAX(O160,0),N121))),MAX(0,0*N121-(O160-MIN(MAX(O160,0),N121)))))</f>
        <v>0</v>
      </c>
      <c r="O161" s="18">
        <f>IF($A161&gt;20,O160,(O160-N121+N161)*(1+$B$7))</f>
        <v>0</v>
      </c>
      <c r="P161" s="18">
        <f t="shared" si="4"/>
        <v>-8.2436599768698216E-11</v>
      </c>
      <c r="Q161" s="18">
        <f>IF($A161&gt;20,0,(Q121-MIN(MAX(R160,0),Q121))+MIN(MAX(0,S160-(Q121-MIN(MAX(R160,0),Q121))),MAX(0,0*Q121-(R160-MIN(MAX(R160,0),Q121)))))</f>
        <v>0</v>
      </c>
      <c r="R161" s="18">
        <f>IF($A161&gt;20,R160,(R160-Q121+Q161)*(1+$B$7))</f>
        <v>0</v>
      </c>
      <c r="S161" s="18">
        <f t="shared" si="5"/>
        <v>-8.2436599768698216E-11</v>
      </c>
    </row>
    <row r="162" spans="1:19">
      <c r="A162" s="10">
        <f>39</f>
        <v>39</v>
      </c>
      <c r="B162" s="18">
        <f>IF($A162&gt;20,0,(B121-MIN(MAX(C161,0),B121))+MIN(MAX(0,D161-(B121-MIN(MAX(C161,0),B121))),MAX(0,0*B121-(C161-MIN(MAX(C161,0),B121)))))</f>
        <v>0</v>
      </c>
      <c r="C162" s="18">
        <f>IF($A162&gt;20,C161,(C161-B121+B162)*(1+$B$7))</f>
        <v>0</v>
      </c>
      <c r="D162" s="18">
        <f t="shared" si="0"/>
        <v>975816.66295991803</v>
      </c>
      <c r="E162" s="18">
        <f>IF($A162&gt;20,0,(E121-MIN(MAX(F161,0),E121))+MIN(MAX(0,G161-(E121-MIN(MAX(F161,0),E121))),MAX(0,0*E121-(F161-MIN(MAX(F161,0),E121)))))</f>
        <v>0</v>
      </c>
      <c r="F162" s="18">
        <f>IF($A162&gt;20,F161,(F161-E121+E162)*(1+$B$7))</f>
        <v>0</v>
      </c>
      <c r="G162" s="18">
        <f t="shared" si="1"/>
        <v>-269625.19460432656</v>
      </c>
      <c r="H162" s="18">
        <f>IF($A162&gt;20,0,(H121-MIN(MAX(I161,0),H121))+MIN(MAX(0,J161-(H121-MIN(MAX(I161,0),H121))),MAX(0,0*H121-(I161-MIN(MAX(I161,0),H121)))))</f>
        <v>0</v>
      </c>
      <c r="I162" s="18">
        <f>IF($A162&gt;20,I161,(I161-H121+H162)*(1+$B$7))</f>
        <v>0</v>
      </c>
      <c r="J162" s="18">
        <f t="shared" si="2"/>
        <v>-2.8478098101913929E-10</v>
      </c>
      <c r="K162" s="18">
        <f>IF($A162&gt;20,0,(K121-MIN(MAX(L161,0),K121))+MIN(MAX(0,M161-(K121-MIN(MAX(L161,0),K121))),MAX(0,0*K121-(L161-MIN(MAX(L161,0),K121)))))</f>
        <v>0</v>
      </c>
      <c r="L162" s="18">
        <f>IF($A162&gt;20,L161,(L161-K121+K162)*(1+$B$7))</f>
        <v>0</v>
      </c>
      <c r="M162" s="18">
        <f t="shared" si="3"/>
        <v>-8.2436599768698216E-11</v>
      </c>
      <c r="N162" s="18">
        <f>IF($A162&gt;20,0,(N121-MIN(MAX(O161,0),N121))+MIN(MAX(0,P161-(N121-MIN(MAX(O161,0),N121))),MAX(0,0*N121-(O161-MIN(MAX(O161,0),N121)))))</f>
        <v>0</v>
      </c>
      <c r="O162" s="18">
        <f>IF($A162&gt;20,O161,(O161-N121+N162)*(1+$B$7))</f>
        <v>0</v>
      </c>
      <c r="P162" s="18">
        <f t="shared" si="4"/>
        <v>-8.2436599768698216E-11</v>
      </c>
      <c r="Q162" s="18">
        <f>IF($A162&gt;20,0,(Q121-MIN(MAX(R161,0),Q121))+MIN(MAX(0,S161-(Q121-MIN(MAX(R161,0),Q121))),MAX(0,0*Q121-(R161-MIN(MAX(R161,0),Q121)))))</f>
        <v>0</v>
      </c>
      <c r="R162" s="18">
        <f>IF($A162&gt;20,R161,(R161-Q121+Q162)*(1+$B$7))</f>
        <v>0</v>
      </c>
      <c r="S162" s="18">
        <f t="shared" si="5"/>
        <v>-8.2436599768698216E-11</v>
      </c>
    </row>
    <row r="163" spans="1:19">
      <c r="A163" s="10">
        <f>40</f>
        <v>40</v>
      </c>
      <c r="B163" s="18">
        <f>IF($A163&gt;20,0,(B121-MIN(MAX(C162,0),B121))+MIN(MAX(0,D162-(B121-MIN(MAX(C162,0),B121))),MAX(0,0*B121-(C162-MIN(MAX(C162,0),B121)))))</f>
        <v>0</v>
      </c>
      <c r="C163" s="18">
        <f>IF($A163&gt;20,C162,(C162-B121+B163)*(1+$B$7))</f>
        <v>0</v>
      </c>
      <c r="D163" s="18">
        <f t="shared" si="0"/>
        <v>975816.66295991803</v>
      </c>
      <c r="E163" s="18">
        <f>IF($A163&gt;20,0,(E121-MIN(MAX(F162,0),E121))+MIN(MAX(0,G162-(E121-MIN(MAX(F162,0),E121))),MAX(0,0*E121-(F162-MIN(MAX(F162,0),E121)))))</f>
        <v>0</v>
      </c>
      <c r="F163" s="18">
        <f>IF($A163&gt;20,F162,(F162-E121+E163)*(1+$B$7))</f>
        <v>0</v>
      </c>
      <c r="G163" s="18">
        <f t="shared" si="1"/>
        <v>-269625.19460432656</v>
      </c>
      <c r="H163" s="18">
        <f>IF($A163&gt;20,0,(H121-MIN(MAX(I162,0),H121))+MIN(MAX(0,J162-(H121-MIN(MAX(I162,0),H121))),MAX(0,0*H121-(I162-MIN(MAX(I162,0),H121)))))</f>
        <v>0</v>
      </c>
      <c r="I163" s="18">
        <f>IF($A163&gt;20,I162,(I162-H121+H163)*(1+$B$7))</f>
        <v>0</v>
      </c>
      <c r="J163" s="18">
        <f t="shared" si="2"/>
        <v>-2.8478098101913929E-10</v>
      </c>
      <c r="K163" s="18">
        <f>IF($A163&gt;20,0,(K121-MIN(MAX(L162,0),K121))+MIN(MAX(0,M162-(K121-MIN(MAX(L162,0),K121))),MAX(0,0*K121-(L162-MIN(MAX(L162,0),K121)))))</f>
        <v>0</v>
      </c>
      <c r="L163" s="18">
        <f>IF($A163&gt;20,L162,(L162-K121+K163)*(1+$B$7))</f>
        <v>0</v>
      </c>
      <c r="M163" s="18">
        <f t="shared" si="3"/>
        <v>-8.2436599768698216E-11</v>
      </c>
      <c r="N163" s="18">
        <f>IF($A163&gt;20,0,(N121-MIN(MAX(O162,0),N121))+MIN(MAX(0,P162-(N121-MIN(MAX(O162,0),N121))),MAX(0,0*N121-(O162-MIN(MAX(O162,0),N121)))))</f>
        <v>0</v>
      </c>
      <c r="O163" s="18">
        <f>IF($A163&gt;20,O162,(O162-N121+N163)*(1+$B$7))</f>
        <v>0</v>
      </c>
      <c r="P163" s="18">
        <f t="shared" si="4"/>
        <v>-8.2436599768698216E-11</v>
      </c>
      <c r="Q163" s="18">
        <f>IF($A163&gt;20,0,(Q121-MIN(MAX(R162,0),Q121))+MIN(MAX(0,S162-(Q121-MIN(MAX(R162,0),Q121))),MAX(0,0*Q121-(R162-MIN(MAX(R162,0),Q121)))))</f>
        <v>0</v>
      </c>
      <c r="R163" s="18">
        <f>IF($A163&gt;20,R162,(R162-Q121+Q163)*(1+$B$7))</f>
        <v>0</v>
      </c>
      <c r="S163" s="18">
        <f t="shared" si="5"/>
        <v>-8.2436599768698216E-11</v>
      </c>
    </row>
    <row r="164" spans="1:19">
      <c r="B164" s="18">
        <f>C163+D163</f>
        <v>975816.66295991803</v>
      </c>
      <c r="E164" s="18">
        <f>F163+G163</f>
        <v>-269625.19460432656</v>
      </c>
      <c r="H164" s="18">
        <f>I163+J163</f>
        <v>-2.8478098101913929E-10</v>
      </c>
      <c r="K164" s="18">
        <f>L163+M163</f>
        <v>-8.2436599768698216E-11</v>
      </c>
      <c r="N164" s="18">
        <f>O163+P163</f>
        <v>-8.2436599768698216E-11</v>
      </c>
      <c r="Q164" s="18">
        <f>R163+S163</f>
        <v>-8.2436599768698216E-11</v>
      </c>
    </row>
    <row r="165" spans="1:19">
      <c r="A165" s="5" t="s">
        <v>266</v>
      </c>
      <c r="B165" s="18">
        <f>IFERROR(Q121-Q164*(Q121-N121)/(Q164-N164),Q121)</f>
        <v>65257.968540639937</v>
      </c>
    </row>
    <row r="167" spans="1:19">
      <c r="A167" s="2" t="s">
        <v>267</v>
      </c>
    </row>
    <row r="168" spans="1:19">
      <c r="B168" s="9">
        <f>0.03*$B$5</f>
        <v>30000</v>
      </c>
      <c r="E168" s="9">
        <f>0.075*$B$5</f>
        <v>75000</v>
      </c>
      <c r="H168" s="18">
        <f>IFERROR(E168-E211*(E168-B168)/(E211-B211),E168)</f>
        <v>63545.7858940652</v>
      </c>
      <c r="K168" s="18">
        <f>IFERROR(H168-H211*(H168-E168)/(H211-E211),H168)</f>
        <v>63270.558328827312</v>
      </c>
      <c r="N168" s="18">
        <f>IFERROR(K168-K211*(K168-H168)/(K211-H211),K168)</f>
        <v>63270.801211469756</v>
      </c>
      <c r="Q168" s="18">
        <f>IFERROR(N168-N211*(N168-K168)/(N211-K211),N168)</f>
        <v>63270.801457107722</v>
      </c>
    </row>
    <row r="169" spans="1:19">
      <c r="A169" s="25" t="s">
        <v>262</v>
      </c>
      <c r="B169" s="25" t="s">
        <v>263</v>
      </c>
      <c r="C169" s="25" t="s">
        <v>264</v>
      </c>
      <c r="D169" s="25" t="s">
        <v>265</v>
      </c>
      <c r="E169" s="25" t="s">
        <v>263</v>
      </c>
      <c r="F169" s="25" t="s">
        <v>264</v>
      </c>
      <c r="G169" s="25" t="s">
        <v>265</v>
      </c>
      <c r="H169" s="25" t="s">
        <v>263</v>
      </c>
      <c r="I169" s="25" t="s">
        <v>264</v>
      </c>
      <c r="J169" s="25" t="s">
        <v>265</v>
      </c>
      <c r="K169" s="25" t="s">
        <v>263</v>
      </c>
      <c r="L169" s="25" t="s">
        <v>264</v>
      </c>
      <c r="M169" s="25" t="s">
        <v>265</v>
      </c>
      <c r="N169" s="25" t="s">
        <v>263</v>
      </c>
      <c r="O169" s="25" t="s">
        <v>264</v>
      </c>
      <c r="P169" s="25" t="s">
        <v>265</v>
      </c>
      <c r="Q169" s="25" t="s">
        <v>263</v>
      </c>
      <c r="R169" s="25" t="s">
        <v>264</v>
      </c>
      <c r="S169" s="25" t="s">
        <v>265</v>
      </c>
    </row>
    <row r="170" spans="1:19">
      <c r="A170" s="3">
        <v>0</v>
      </c>
      <c r="C170" s="18">
        <f>MIN(1*B168,$B$5)</f>
        <v>30000</v>
      </c>
      <c r="D170" s="18">
        <f>$B$5-C170</f>
        <v>970000</v>
      </c>
      <c r="F170" s="18">
        <f>MIN(1*E168,$B$5)</f>
        <v>75000</v>
      </c>
      <c r="G170" s="18">
        <f>$B$5-F170</f>
        <v>925000</v>
      </c>
      <c r="I170" s="18">
        <f>MIN(1*H168,$B$5)</f>
        <v>63545.7858940652</v>
      </c>
      <c r="J170" s="18">
        <f>$B$5-I170</f>
        <v>936454.21410593484</v>
      </c>
      <c r="L170" s="18">
        <f>MIN(1*K168,$B$5)</f>
        <v>63270.558328827312</v>
      </c>
      <c r="M170" s="18">
        <f>$B$5-L170</f>
        <v>936729.44167117274</v>
      </c>
      <c r="O170" s="18">
        <f>MIN(1*N168,$B$5)</f>
        <v>63270.801211469756</v>
      </c>
      <c r="P170" s="18">
        <f>$B$5-O170</f>
        <v>936729.19878853019</v>
      </c>
      <c r="R170" s="18">
        <f>MIN(1*Q168,$B$5)</f>
        <v>63270.801457107722</v>
      </c>
      <c r="S170" s="18">
        <f>$B$5-R170</f>
        <v>936729.19854289223</v>
      </c>
    </row>
    <row r="171" spans="1:19">
      <c r="A171" s="10">
        <f>1</f>
        <v>1</v>
      </c>
      <c r="B171" s="18">
        <f>IF($A171&gt;20,0,(B168-MIN(MAX(C170,0),B168))+MIN(MAX(0,D170-(B168-MIN(MAX(C170,0),B168))),MAX(0,1*B168-(C170-MIN(MAX(C170,0),B168)))))</f>
        <v>30000</v>
      </c>
      <c r="C171" s="18">
        <f>IF($A171&gt;20,C170,(C170-B168+B171)*(1+$B$7))</f>
        <v>29892</v>
      </c>
      <c r="D171" s="18">
        <f t="shared" ref="D171:D210" si="6">IF($A171&gt;20,D170,(D170-B171)*(1+$B$6))</f>
        <v>968200</v>
      </c>
      <c r="E171" s="18">
        <f>IF($A171&gt;20,0,(E168-MIN(MAX(F170,0),E168))+MIN(MAX(0,G170-(E168-MIN(MAX(F170,0),E168))),MAX(0,1*E168-(F170-MIN(MAX(F170,0),E168)))))</f>
        <v>75000</v>
      </c>
      <c r="F171" s="18">
        <f>IF($A171&gt;20,F170,(F170-E168+E171)*(1+$B$7))</f>
        <v>74730</v>
      </c>
      <c r="G171" s="18">
        <f t="shared" ref="G171:G210" si="7">IF($A171&gt;20,G170,(G170-E171)*(1+$B$6))</f>
        <v>875500</v>
      </c>
      <c r="H171" s="18">
        <f>IF($A171&gt;20,0,(H168-MIN(MAX(I170,0),H168))+MIN(MAX(0,J170-(H168-MIN(MAX(I170,0),H168))),MAX(0,1*H168-(I170-MIN(MAX(I170,0),H168)))))</f>
        <v>63545.7858940652</v>
      </c>
      <c r="I171" s="18">
        <f>IF($A171&gt;20,I170,(I170-H168+H171)*(1+$B$7))</f>
        <v>63317.021064846565</v>
      </c>
      <c r="J171" s="18">
        <f t="shared" ref="J171:J210" si="8">IF($A171&gt;20,J170,(J170-H171)*(1+$B$6))</f>
        <v>899095.6810582258</v>
      </c>
      <c r="K171" s="18">
        <f>IF($A171&gt;20,0,(K168-MIN(MAX(L170,0),K168))+MIN(MAX(0,M170-(K168-MIN(MAX(L170,0),K168))),MAX(0,1*K168-(L170-MIN(MAX(L170,0),K168)))))</f>
        <v>63270.558328827312</v>
      </c>
      <c r="L171" s="18">
        <f>IF($A171&gt;20,L170,(L170-K168+K171)*(1+$B$7))</f>
        <v>63042.784318843529</v>
      </c>
      <c r="M171" s="18">
        <f t="shared" ref="M171:M210" si="9">IF($A171&gt;20,M170,(M170-K171)*(1+$B$6))</f>
        <v>899662.64984261582</v>
      </c>
      <c r="N171" s="18">
        <f>IF($A171&gt;20,0,(N168-MIN(MAX(O170,0),N168))+MIN(MAX(0,P170-(N168-MIN(MAX(O170,0),N168))),MAX(0,1*N168-(O170-MIN(MAX(O170,0),N168)))))</f>
        <v>63270.801211469756</v>
      </c>
      <c r="O171" s="18">
        <f>IF($A171&gt;20,O170,(O170-N168+N171)*(1+$B$7))</f>
        <v>63043.026327108462</v>
      </c>
      <c r="P171" s="18">
        <f t="shared" ref="P171:P210" si="10">IF($A171&gt;20,P170,(P170-N171)*(1+$B$6))</f>
        <v>899662.14950437227</v>
      </c>
      <c r="Q171" s="18">
        <f>IF($A171&gt;20,0,(Q168-MIN(MAX(R170,0),Q168))+MIN(MAX(0,S170-(Q168-MIN(MAX(R170,0),Q168))),MAX(0,1*Q168-(R170-MIN(MAX(R170,0),Q168)))))</f>
        <v>63270.801457107722</v>
      </c>
      <c r="R171" s="18">
        <f>IF($A171&gt;20,R170,(R170-Q168+Q171)*(1+$B$7))</f>
        <v>63043.02657186213</v>
      </c>
      <c r="S171" s="18">
        <f t="shared" ref="S171:S210" si="11">IF($A171&gt;20,S170,(S170-Q171)*(1+$B$6))</f>
        <v>899662.14899835805</v>
      </c>
    </row>
    <row r="172" spans="1:19">
      <c r="A172" s="10">
        <f>2</f>
        <v>2</v>
      </c>
      <c r="B172" s="18">
        <f>IF($A172&gt;20,0,(B168-MIN(MAX(C171,0),B168))+MIN(MAX(0,D171-(B168-MIN(MAX(C171,0),B168))),MAX(0,1*B168-(C171-MIN(MAX(C171,0),B168)))))</f>
        <v>30108</v>
      </c>
      <c r="C172" s="18">
        <f>IF($A172&gt;20,C171,(C171-B168+B172)*(1+$B$7))</f>
        <v>29892</v>
      </c>
      <c r="D172" s="18">
        <f t="shared" si="6"/>
        <v>966234.76</v>
      </c>
      <c r="E172" s="18">
        <f>IF($A172&gt;20,0,(E168-MIN(MAX(F171,0),E168))+MIN(MAX(0,G171-(E168-MIN(MAX(F171,0),E168))),MAX(0,1*E168-(F171-MIN(MAX(F171,0),E168)))))</f>
        <v>75270</v>
      </c>
      <c r="F172" s="18">
        <f>IF($A172&gt;20,F171,(F171-E168+E172)*(1+$B$7))</f>
        <v>74730</v>
      </c>
      <c r="G172" s="18">
        <f t="shared" si="7"/>
        <v>824236.9</v>
      </c>
      <c r="H172" s="18">
        <f>IF($A172&gt;20,0,(H168-MIN(MAX(I171,0),H168))+MIN(MAX(0,J171-(H168-MIN(MAX(I171,0),H168))),MAX(0,1*H168-(I171-MIN(MAX(I171,0),H168)))))</f>
        <v>63774.550723283835</v>
      </c>
      <c r="I172" s="18">
        <f>IF($A172&gt;20,I171,(I171-H168+H172)*(1+$B$7))</f>
        <v>63317.021064846565</v>
      </c>
      <c r="J172" s="18">
        <f t="shared" si="8"/>
        <v>860380.76424499031</v>
      </c>
      <c r="K172" s="18">
        <f>IF($A172&gt;20,0,(K168-MIN(MAX(L171,0),K168))+MIN(MAX(0,M171-(K168-MIN(MAX(L171,0),K168))),MAX(0,1*K168-(L171-MIN(MAX(L171,0),K168)))))</f>
        <v>63498.332338811095</v>
      </c>
      <c r="L172" s="18">
        <f>IF($A172&gt;20,L171,(L171-K168+K172)*(1+$B$7))</f>
        <v>63042.784318843529</v>
      </c>
      <c r="M172" s="18">
        <f t="shared" si="9"/>
        <v>861249.24702891882</v>
      </c>
      <c r="N172" s="18">
        <f>IF($A172&gt;20,0,(N168-MIN(MAX(O171,0),N168))+MIN(MAX(0,P171-(N168-MIN(MAX(O171,0),N168))),MAX(0,1*N168-(O171-MIN(MAX(O171,0),N168)))))</f>
        <v>63498.576095831049</v>
      </c>
      <c r="O172" s="18">
        <f>IF($A172&gt;20,O171,(O171-N168+N172)*(1+$B$7))</f>
        <v>63043.026327108462</v>
      </c>
      <c r="P172" s="18">
        <f t="shared" si="10"/>
        <v>861248.48061079753</v>
      </c>
      <c r="Q172" s="18">
        <f>IF($A172&gt;20,0,(Q168-MIN(MAX(R171,0),Q168))+MIN(MAX(0,S171-(Q168-MIN(MAX(R171,0),Q168))),MAX(0,1*Q168-(R171-MIN(MAX(R171,0),Q168)))))</f>
        <v>63498.576342353314</v>
      </c>
      <c r="R172" s="18">
        <f>IF($A172&gt;20,R171,(R171-Q168+Q172)*(1+$B$7))</f>
        <v>63043.02657186213</v>
      </c>
      <c r="S172" s="18">
        <f t="shared" si="11"/>
        <v>861248.47983568488</v>
      </c>
    </row>
    <row r="173" spans="1:19">
      <c r="A173" s="10">
        <f>3</f>
        <v>3</v>
      </c>
      <c r="B173" s="18">
        <f>IF($A173&gt;20,0,(B168-MIN(MAX(C172,0),B168))+MIN(MAX(0,D172-(B168-MIN(MAX(C172,0),B168))),MAX(0,1*B168-(C172-MIN(MAX(C172,0),B168)))))</f>
        <v>30108</v>
      </c>
      <c r="C173" s="18">
        <f>IF($A173&gt;20,C172,(C172-B168+B173)*(1+$B$7))</f>
        <v>29892</v>
      </c>
      <c r="D173" s="18">
        <f t="shared" si="6"/>
        <v>964210.56280000007</v>
      </c>
      <c r="E173" s="18">
        <f>IF($A173&gt;20,0,(E168-MIN(MAX(F172,0),E168))+MIN(MAX(0,G172-(E168-MIN(MAX(F172,0),E168))),MAX(0,1*E168-(F172-MIN(MAX(F172,0),E168)))))</f>
        <v>75270</v>
      </c>
      <c r="F173" s="18">
        <f>IF($A173&gt;20,F172,(F172-E168+E173)*(1+$B$7))</f>
        <v>74730</v>
      </c>
      <c r="G173" s="18">
        <f t="shared" si="7"/>
        <v>771435.90700000001</v>
      </c>
      <c r="H173" s="18">
        <f>IF($A173&gt;20,0,(H168-MIN(MAX(I172,0),H168))+MIN(MAX(0,J172-(H168-MIN(MAX(I172,0),H168))),MAX(0,1*H168-(I172-MIN(MAX(I172,0),H168)))))</f>
        <v>63774.550723283835</v>
      </c>
      <c r="I173" s="18">
        <f>IF($A173&gt;20,I172,(I172-H168+H173)*(1+$B$7))</f>
        <v>63317.021064846565</v>
      </c>
      <c r="J173" s="18">
        <f t="shared" si="8"/>
        <v>820504.39992735779</v>
      </c>
      <c r="K173" s="18">
        <f>IF($A173&gt;20,0,(K168-MIN(MAX(L172,0),K168))+MIN(MAX(0,M172-(K168-MIN(MAX(L172,0),K168))),MAX(0,1*K168-(L172-MIN(MAX(L172,0),K168)))))</f>
        <v>63498.332338811095</v>
      </c>
      <c r="L173" s="18">
        <f>IF($A173&gt;20,L172,(L172-K168+K173)*(1+$B$7))</f>
        <v>63042.784318843529</v>
      </c>
      <c r="M173" s="18">
        <f t="shared" si="9"/>
        <v>821683.44213081093</v>
      </c>
      <c r="N173" s="18">
        <f>IF($A173&gt;20,0,(N168-MIN(MAX(O172,0),N168))+MIN(MAX(0,P172-(N168-MIN(MAX(O172,0),N168))),MAX(0,1*N168-(O172-MIN(MAX(O172,0),N168)))))</f>
        <v>63498.576095831049</v>
      </c>
      <c r="O173" s="18">
        <f>IF($A173&gt;20,O172,(O172-N168+N173)*(1+$B$7))</f>
        <v>63043.026327108462</v>
      </c>
      <c r="P173" s="18">
        <f t="shared" si="10"/>
        <v>821682.4016504155</v>
      </c>
      <c r="Q173" s="18">
        <f>IF($A173&gt;20,0,(Q168-MIN(MAX(R172,0),Q168))+MIN(MAX(0,S172-(Q168-MIN(MAX(R172,0),Q168))),MAX(0,1*Q168-(R172-MIN(MAX(R172,0),Q168)))))</f>
        <v>63498.576342353314</v>
      </c>
      <c r="R173" s="18">
        <f>IF($A173&gt;20,R172,(R172-Q168+Q173)*(1+$B$7))</f>
        <v>63043.02657186213</v>
      </c>
      <c r="S173" s="18">
        <f t="shared" si="11"/>
        <v>821682.40059813147</v>
      </c>
    </row>
    <row r="174" spans="1:19">
      <c r="A174" s="10">
        <f>4</f>
        <v>4</v>
      </c>
      <c r="B174" s="18">
        <f>IF($A174&gt;20,0,(B168-MIN(MAX(C173,0),B168))+MIN(MAX(0,D173-(B168-MIN(MAX(C173,0),B168))),MAX(0,1*B168-(C173-MIN(MAX(C173,0),B168)))))</f>
        <v>30108</v>
      </c>
      <c r="C174" s="18">
        <f>IF($A174&gt;20,C173,(C173-B168+B174)*(1+$B$7))</f>
        <v>29892</v>
      </c>
      <c r="D174" s="18">
        <f t="shared" si="6"/>
        <v>962125.63968400005</v>
      </c>
      <c r="E174" s="18">
        <f>IF($A174&gt;20,0,(E168-MIN(MAX(F173,0),E168))+MIN(MAX(0,G173-(E168-MIN(MAX(F173,0),E168))),MAX(0,1*E168-(F173-MIN(MAX(F173,0),E168)))))</f>
        <v>75270</v>
      </c>
      <c r="F174" s="18">
        <f>IF($A174&gt;20,F173,(F173-E168+E174)*(1+$B$7))</f>
        <v>74730</v>
      </c>
      <c r="G174" s="18">
        <f t="shared" si="7"/>
        <v>717050.88421000005</v>
      </c>
      <c r="H174" s="18">
        <f>IF($A174&gt;20,0,(H168-MIN(MAX(I173,0),H168))+MIN(MAX(0,J173-(H168-MIN(MAX(I173,0),H168))),MAX(0,1*H168-(I173-MIN(MAX(I173,0),H168)))))</f>
        <v>63774.550723283835</v>
      </c>
      <c r="I174" s="18">
        <f>IF($A174&gt;20,I173,(I173-H168+H174)*(1+$B$7))</f>
        <v>63317.021064846565</v>
      </c>
      <c r="J174" s="18">
        <f t="shared" si="8"/>
        <v>779431.74468019628</v>
      </c>
      <c r="K174" s="18">
        <f>IF($A174&gt;20,0,(K168-MIN(MAX(L173,0),K168))+MIN(MAX(0,M173-(K168-MIN(MAX(L173,0),K168))),MAX(0,1*K168-(L173-MIN(MAX(L173,0),K168)))))</f>
        <v>63498.332338811095</v>
      </c>
      <c r="L174" s="18">
        <f>IF($A174&gt;20,L173,(L173-K168+K174)*(1+$B$7))</f>
        <v>63042.784318843529</v>
      </c>
      <c r="M174" s="18">
        <f t="shared" si="9"/>
        <v>780930.66308575985</v>
      </c>
      <c r="N174" s="18">
        <f>IF($A174&gt;20,0,(N168-MIN(MAX(O173,0),N168))+MIN(MAX(0,P173-(N168-MIN(MAX(O173,0),N168))),MAX(0,1*N168-(O173-MIN(MAX(O173,0),N168)))))</f>
        <v>63498.576095831049</v>
      </c>
      <c r="O174" s="18">
        <f>IF($A174&gt;20,O173,(O173-N168+N174)*(1+$B$7))</f>
        <v>63043.026327108462</v>
      </c>
      <c r="P174" s="18">
        <f t="shared" si="10"/>
        <v>780929.34032122209</v>
      </c>
      <c r="Q174" s="18">
        <f>IF($A174&gt;20,0,(Q168-MIN(MAX(R173,0),Q168))+MIN(MAX(0,S173-(Q168-MIN(MAX(R173,0),Q168))),MAX(0,1*Q168-(R173-MIN(MAX(R173,0),Q168)))))</f>
        <v>63498.576342353314</v>
      </c>
      <c r="R174" s="18">
        <f>IF($A174&gt;20,R173,(R173-Q168+Q174)*(1+$B$7))</f>
        <v>63043.02657186213</v>
      </c>
      <c r="S174" s="18">
        <f t="shared" si="11"/>
        <v>780929.33898345148</v>
      </c>
    </row>
    <row r="175" spans="1:19">
      <c r="A175" s="10">
        <f>5</f>
        <v>5</v>
      </c>
      <c r="B175" s="18">
        <f>IF($A175&gt;20,0,(B168-MIN(MAX(C174,0),B168))+MIN(MAX(0,D174-(B168-MIN(MAX(C174,0),B168))),MAX(0,1*B168-(C174-MIN(MAX(C174,0),B168)))))</f>
        <v>30108</v>
      </c>
      <c r="C175" s="18">
        <f>IF($A175&gt;20,C174,(C174-B168+B175)*(1+$B$7))</f>
        <v>29892</v>
      </c>
      <c r="D175" s="18">
        <f t="shared" si="6"/>
        <v>959978.16887452011</v>
      </c>
      <c r="E175" s="18">
        <f>IF($A175&gt;20,0,(E168-MIN(MAX(F174,0),E168))+MIN(MAX(0,G174-(E168-MIN(MAX(F174,0),E168))),MAX(0,1*E168-(F174-MIN(MAX(F174,0),E168)))))</f>
        <v>75270</v>
      </c>
      <c r="F175" s="18">
        <f>IF($A175&gt;20,F174,(F174-E168+E175)*(1+$B$7))</f>
        <v>74730</v>
      </c>
      <c r="G175" s="18">
        <f t="shared" si="7"/>
        <v>661034.31073630007</v>
      </c>
      <c r="H175" s="18">
        <f>IF($A175&gt;20,0,(H168-MIN(MAX(I174,0),H168))+MIN(MAX(0,J174-(H168-MIN(MAX(I174,0),H168))),MAX(0,1*H168-(I174-MIN(MAX(I174,0),H168)))))</f>
        <v>63774.550723283835</v>
      </c>
      <c r="I175" s="18">
        <f>IF($A175&gt;20,I174,(I174-H168+H175)*(1+$B$7))</f>
        <v>63317.021064846565</v>
      </c>
      <c r="J175" s="18">
        <f t="shared" si="8"/>
        <v>737126.90977561986</v>
      </c>
      <c r="K175" s="18">
        <f>IF($A175&gt;20,0,(K168-MIN(MAX(L174,0),K168))+MIN(MAX(0,M174-(K168-MIN(MAX(L174,0),K168))),MAX(0,1*K168-(L174-MIN(MAX(L174,0),K168)))))</f>
        <v>63498.332338811095</v>
      </c>
      <c r="L175" s="18">
        <f>IF($A175&gt;20,L174,(L174-K168+K175)*(1+$B$7))</f>
        <v>63042.784318843529</v>
      </c>
      <c r="M175" s="18">
        <f t="shared" si="9"/>
        <v>738955.30066935718</v>
      </c>
      <c r="N175" s="18">
        <f>IF($A175&gt;20,0,(N168-MIN(MAX(O174,0),N168))+MIN(MAX(0,P174-(N168-MIN(MAX(O174,0),N168))),MAX(0,1*N168-(O174-MIN(MAX(O174,0),N168)))))</f>
        <v>63498.576095831049</v>
      </c>
      <c r="O175" s="18">
        <f>IF($A175&gt;20,O174,(O174-N168+N175)*(1+$B$7))</f>
        <v>63043.026327108462</v>
      </c>
      <c r="P175" s="18">
        <f t="shared" si="10"/>
        <v>738953.68715215288</v>
      </c>
      <c r="Q175" s="18">
        <f>IF($A175&gt;20,0,(Q168-MIN(MAX(R174,0),Q168))+MIN(MAX(0,S174-(Q168-MIN(MAX(R174,0),Q168))),MAX(0,1*Q168-(R174-MIN(MAX(R174,0),Q168)))))</f>
        <v>63498.576342353314</v>
      </c>
      <c r="R175" s="18">
        <f>IF($A175&gt;20,R174,(R174-Q168+Q175)*(1+$B$7))</f>
        <v>63043.02657186213</v>
      </c>
      <c r="S175" s="18">
        <f t="shared" si="11"/>
        <v>738953.68552033103</v>
      </c>
    </row>
    <row r="176" spans="1:19">
      <c r="A176" s="10">
        <f>6</f>
        <v>6</v>
      </c>
      <c r="B176" s="18">
        <f>IF($A176&gt;20,0,(B168-MIN(MAX(C175,0),B168))+MIN(MAX(0,D175-(B168-MIN(MAX(C175,0),B168))),MAX(0,1*B168-(C175-MIN(MAX(C175,0),B168)))))</f>
        <v>30108</v>
      </c>
      <c r="C176" s="18">
        <f>IF($A176&gt;20,C175,(C175-B168+B176)*(1+$B$7))</f>
        <v>29892</v>
      </c>
      <c r="D176" s="18">
        <f t="shared" si="6"/>
        <v>957766.27394075575</v>
      </c>
      <c r="E176" s="18">
        <f>IF($A176&gt;20,0,(E168-MIN(MAX(F175,0),E168))+MIN(MAX(0,G175-(E168-MIN(MAX(F175,0),E168))),MAX(0,1*E168-(F175-MIN(MAX(F175,0),E168)))))</f>
        <v>75270</v>
      </c>
      <c r="F176" s="18">
        <f>IF($A176&gt;20,F175,(F175-E168+E176)*(1+$B$7))</f>
        <v>74730</v>
      </c>
      <c r="G176" s="18">
        <f t="shared" si="7"/>
        <v>603337.24005838914</v>
      </c>
      <c r="H176" s="18">
        <f>IF($A176&gt;20,0,(H168-MIN(MAX(I175,0),H168))+MIN(MAX(0,J175-(H168-MIN(MAX(I175,0),H168))),MAX(0,1*H168-(I175-MIN(MAX(I175,0),H168)))))</f>
        <v>63774.550723283835</v>
      </c>
      <c r="I176" s="18">
        <f>IF($A176&gt;20,I175,(I175-H168+H176)*(1+$B$7))</f>
        <v>63317.021064846565</v>
      </c>
      <c r="J176" s="18">
        <f t="shared" si="8"/>
        <v>693552.92982390616</v>
      </c>
      <c r="K176" s="18">
        <f>IF($A176&gt;20,0,(K168-MIN(MAX(L175,0),K168))+MIN(MAX(0,M175-(K168-MIN(MAX(L175,0),K168))),MAX(0,1*K168-(L175-MIN(MAX(L175,0),K168)))))</f>
        <v>63498.332338811095</v>
      </c>
      <c r="L176" s="18">
        <f>IF($A176&gt;20,L175,(L175-K168+K176)*(1+$B$7))</f>
        <v>63042.784318843529</v>
      </c>
      <c r="M176" s="18">
        <f t="shared" si="9"/>
        <v>695720.67738046241</v>
      </c>
      <c r="N176" s="18">
        <f>IF($A176&gt;20,0,(N168-MIN(MAX(O175,0),N168))+MIN(MAX(0,P175-(N168-MIN(MAX(O175,0),N168))),MAX(0,1*N168-(O175-MIN(MAX(O175,0),N168)))))</f>
        <v>63498.576095831049</v>
      </c>
      <c r="O176" s="18">
        <f>IF($A176&gt;20,O175,(O175-N168+N176)*(1+$B$7))</f>
        <v>63043.026327108462</v>
      </c>
      <c r="P176" s="18">
        <f t="shared" si="10"/>
        <v>695718.76438801154</v>
      </c>
      <c r="Q176" s="18">
        <f>IF($A176&gt;20,0,(Q168-MIN(MAX(R175,0),Q168))+MIN(MAX(0,S175-(Q168-MIN(MAX(R175,0),Q168))),MAX(0,1*Q168-(R175-MIN(MAX(R175,0),Q168)))))</f>
        <v>63498.576342353314</v>
      </c>
      <c r="R176" s="18">
        <f>IF($A176&gt;20,R175,(R175-Q168+Q176)*(1+$B$7))</f>
        <v>63043.02657186213</v>
      </c>
      <c r="S176" s="18">
        <f t="shared" si="11"/>
        <v>695718.76245331706</v>
      </c>
    </row>
    <row r="177" spans="1:19">
      <c r="A177" s="10">
        <f>7</f>
        <v>7</v>
      </c>
      <c r="B177" s="18">
        <f>IF($A177&gt;20,0,(B168-MIN(MAX(C176,0),B168))+MIN(MAX(0,D176-(B168-MIN(MAX(C176,0),B168))),MAX(0,1*B168-(C176-MIN(MAX(C176,0),B168)))))</f>
        <v>30108</v>
      </c>
      <c r="C177" s="18">
        <f>IF($A177&gt;20,C176,(C176-B168+B177)*(1+$B$7))</f>
        <v>29892</v>
      </c>
      <c r="D177" s="18">
        <f t="shared" si="6"/>
        <v>955488.02215897851</v>
      </c>
      <c r="E177" s="18">
        <f>IF($A177&gt;20,0,(E168-MIN(MAX(F176,0),E168))+MIN(MAX(0,G176-(E168-MIN(MAX(F176,0),E168))),MAX(0,1*E168-(F176-MIN(MAX(F176,0),E168)))))</f>
        <v>75270</v>
      </c>
      <c r="F177" s="18">
        <f>IF($A177&gt;20,F176,(F176-E168+E177)*(1+$B$7))</f>
        <v>74730</v>
      </c>
      <c r="G177" s="18">
        <f t="shared" si="7"/>
        <v>543909.25726014085</v>
      </c>
      <c r="H177" s="18">
        <f>IF($A177&gt;20,0,(H168-MIN(MAX(I176,0),H168))+MIN(MAX(0,J176-(H168-MIN(MAX(I176,0),H168))),MAX(0,1*H168-(I176-MIN(MAX(I176,0),H168)))))</f>
        <v>63774.550723283835</v>
      </c>
      <c r="I177" s="18">
        <f>IF($A177&gt;20,I176,(I176-H168+H177)*(1+$B$7))</f>
        <v>63317.021064846565</v>
      </c>
      <c r="J177" s="18">
        <f t="shared" si="8"/>
        <v>648671.73047364107</v>
      </c>
      <c r="K177" s="18">
        <f>IF($A177&gt;20,0,(K168-MIN(MAX(L176,0),K168))+MIN(MAX(0,M176-(K168-MIN(MAX(L176,0),K168))),MAX(0,1*K168-(L176-MIN(MAX(L176,0),K168)))))</f>
        <v>63498.332338811095</v>
      </c>
      <c r="L177" s="18">
        <f>IF($A177&gt;20,L176,(L176-K168+K177)*(1+$B$7))</f>
        <v>63042.784318843529</v>
      </c>
      <c r="M177" s="18">
        <f t="shared" si="9"/>
        <v>651189.01539290079</v>
      </c>
      <c r="N177" s="18">
        <f>IF($A177&gt;20,0,(N168-MIN(MAX(O176,0),N168))+MIN(MAX(0,P176-(N168-MIN(MAX(O176,0),N168))),MAX(0,1*N168-(O176-MIN(MAX(O176,0),N168)))))</f>
        <v>63498.576095831049</v>
      </c>
      <c r="O177" s="18">
        <f>IF($A177&gt;20,O176,(O176-N168+N177)*(1+$B$7))</f>
        <v>63043.026327108462</v>
      </c>
      <c r="P177" s="18">
        <f t="shared" si="10"/>
        <v>651186.79394094599</v>
      </c>
      <c r="Q177" s="18">
        <f>IF($A177&gt;20,0,(Q168-MIN(MAX(R176,0),Q168))+MIN(MAX(0,S176-(Q168-MIN(MAX(R176,0),Q168))),MAX(0,1*Q168-(R176-MIN(MAX(R176,0),Q168)))))</f>
        <v>63498.576342353314</v>
      </c>
      <c r="R177" s="18">
        <f>IF($A177&gt;20,R176,(R176-Q168+Q177)*(1+$B$7))</f>
        <v>63043.02657186213</v>
      </c>
      <c r="S177" s="18">
        <f t="shared" si="11"/>
        <v>651186.79169429257</v>
      </c>
    </row>
    <row r="178" spans="1:19">
      <c r="A178" s="10">
        <f>8</f>
        <v>8</v>
      </c>
      <c r="B178" s="18">
        <f>IF($A178&gt;20,0,(B168-MIN(MAX(C177,0),B168))+MIN(MAX(0,D177-(B168-MIN(MAX(C177,0),B168))),MAX(0,1*B168-(C177-MIN(MAX(C177,0),B168)))))</f>
        <v>30108</v>
      </c>
      <c r="C178" s="18">
        <f>IF($A178&gt;20,C177,(C177-B168+B178)*(1+$B$7))</f>
        <v>29892</v>
      </c>
      <c r="D178" s="18">
        <f t="shared" si="6"/>
        <v>953141.42282374785</v>
      </c>
      <c r="E178" s="18">
        <f>IF($A178&gt;20,0,(E168-MIN(MAX(F177,0),E168))+MIN(MAX(0,G177-(E168-MIN(MAX(F177,0),E168))),MAX(0,1*E168-(F177-MIN(MAX(F177,0),E168)))))</f>
        <v>75270</v>
      </c>
      <c r="F178" s="18">
        <f>IF($A178&gt;20,F177,(F177-E168+E178)*(1+$B$7))</f>
        <v>74730</v>
      </c>
      <c r="G178" s="18">
        <f t="shared" si="7"/>
        <v>482698.43497794506</v>
      </c>
      <c r="H178" s="18">
        <f>IF($A178&gt;20,0,(H168-MIN(MAX(I177,0),H168))+MIN(MAX(0,J177-(H168-MIN(MAX(I177,0),H168))),MAX(0,1*H168-(I177-MIN(MAX(I177,0),H168)))))</f>
        <v>63774.550723283835</v>
      </c>
      <c r="I178" s="18">
        <f>IF($A178&gt;20,I177,(I177-H168+H178)*(1+$B$7))</f>
        <v>63317.021064846565</v>
      </c>
      <c r="J178" s="18">
        <f t="shared" si="8"/>
        <v>602444.095142868</v>
      </c>
      <c r="K178" s="18">
        <f>IF($A178&gt;20,0,(K168-MIN(MAX(L177,0),K168))+MIN(MAX(0,M177-(K168-MIN(MAX(L177,0),K168))),MAX(0,1*K168-(L177-MIN(MAX(L177,0),K168)))))</f>
        <v>63498.332338811095</v>
      </c>
      <c r="L178" s="18">
        <f>IF($A178&gt;20,L177,(L177-K168+K178)*(1+$B$7))</f>
        <v>63042.784318843529</v>
      </c>
      <c r="M178" s="18">
        <f t="shared" si="9"/>
        <v>605321.40354571235</v>
      </c>
      <c r="N178" s="18">
        <f>IF($A178&gt;20,0,(N168-MIN(MAX(O177,0),N168))+MIN(MAX(0,P177-(N168-MIN(MAX(O177,0),N168))),MAX(0,1*N168-(O177-MIN(MAX(O177,0),N168)))))</f>
        <v>63498.576095831049</v>
      </c>
      <c r="O178" s="18">
        <f>IF($A178&gt;20,O177,(O177-N168+N178)*(1+$B$7))</f>
        <v>63043.026327108462</v>
      </c>
      <c r="P178" s="18">
        <f t="shared" si="10"/>
        <v>605318.8643804685</v>
      </c>
      <c r="Q178" s="18">
        <f>IF($A178&gt;20,0,(Q168-MIN(MAX(R177,0),Q168))+MIN(MAX(0,S177-(Q168-MIN(MAX(R177,0),Q168))),MAX(0,1*Q168-(R177-MIN(MAX(R177,0),Q168)))))</f>
        <v>63498.576342353314</v>
      </c>
      <c r="R178" s="18">
        <f>IF($A178&gt;20,R177,(R177-Q168+Q178)*(1+$B$7))</f>
        <v>63043.02657186213</v>
      </c>
      <c r="S178" s="18">
        <f t="shared" si="11"/>
        <v>605318.86181249737</v>
      </c>
    </row>
    <row r="179" spans="1:19">
      <c r="A179" s="10">
        <f>9</f>
        <v>9</v>
      </c>
      <c r="B179" s="18">
        <f>IF($A179&gt;20,0,(B168-MIN(MAX(C178,0),B168))+MIN(MAX(0,D178-(B168-MIN(MAX(C178,0),B168))),MAX(0,1*B168-(C178-MIN(MAX(C178,0),B168)))))</f>
        <v>30108</v>
      </c>
      <c r="C179" s="18">
        <f>IF($A179&gt;20,C178,(C178-B168+B179)*(1+$B$7))</f>
        <v>29892</v>
      </c>
      <c r="D179" s="18">
        <f t="shared" si="6"/>
        <v>950724.42550846026</v>
      </c>
      <c r="E179" s="18">
        <f>IF($A179&gt;20,0,(E168-MIN(MAX(F178,0),E168))+MIN(MAX(0,G178-(E168-MIN(MAX(F178,0),E168))),MAX(0,1*E168-(F178-MIN(MAX(F178,0),E168)))))</f>
        <v>75270</v>
      </c>
      <c r="F179" s="18">
        <f>IF($A179&gt;20,F178,(F178-E168+E179)*(1+$B$7))</f>
        <v>74730</v>
      </c>
      <c r="G179" s="18">
        <f t="shared" si="7"/>
        <v>419651.28802728344</v>
      </c>
      <c r="H179" s="18">
        <f>IF($A179&gt;20,0,(H168-MIN(MAX(I178,0),H168))+MIN(MAX(0,J178-(H168-MIN(MAX(I178,0),H168))),MAX(0,1*H168-(I178-MIN(MAX(I178,0),H168)))))</f>
        <v>63774.550723283835</v>
      </c>
      <c r="I179" s="18">
        <f>IF($A179&gt;20,I178,(I178-H168+H179)*(1+$B$7))</f>
        <v>63317.021064846565</v>
      </c>
      <c r="J179" s="18">
        <f t="shared" si="8"/>
        <v>554829.63075217174</v>
      </c>
      <c r="K179" s="18">
        <f>IF($A179&gt;20,0,(K168-MIN(MAX(L178,0),K168))+MIN(MAX(0,M178-(K168-MIN(MAX(L178,0),K168))),MAX(0,1*K168-(L178-MIN(MAX(L178,0),K168)))))</f>
        <v>63498.332338811095</v>
      </c>
      <c r="L179" s="18">
        <f>IF($A179&gt;20,L178,(L178-K168+K179)*(1+$B$7))</f>
        <v>63042.784318843529</v>
      </c>
      <c r="M179" s="18">
        <f t="shared" si="9"/>
        <v>558077.76334310824</v>
      </c>
      <c r="N179" s="18">
        <f>IF($A179&gt;20,0,(N168-MIN(MAX(O178,0),N168))+MIN(MAX(0,P178-(N168-MIN(MAX(O178,0),N168))),MAX(0,1*N168-(O178-MIN(MAX(O178,0),N168)))))</f>
        <v>63498.576095831049</v>
      </c>
      <c r="O179" s="18">
        <f>IF($A179&gt;20,O178,(O178-N168+N179)*(1+$B$7))</f>
        <v>63043.026327108462</v>
      </c>
      <c r="P179" s="18">
        <f t="shared" si="10"/>
        <v>558074.89693317667</v>
      </c>
      <c r="Q179" s="18">
        <f>IF($A179&gt;20,0,(Q168-MIN(MAX(R178,0),Q168))+MIN(MAX(0,S178-(Q168-MIN(MAX(R178,0),Q168))),MAX(0,1*Q168-(R178-MIN(MAX(R178,0),Q168)))))</f>
        <v>63498.576342353314</v>
      </c>
      <c r="R179" s="18">
        <f>IF($A179&gt;20,R178,(R178-Q168+Q179)*(1+$B$7))</f>
        <v>63043.02657186213</v>
      </c>
      <c r="S179" s="18">
        <f t="shared" si="11"/>
        <v>558074.89403424831</v>
      </c>
    </row>
    <row r="180" spans="1:19">
      <c r="A180" s="10">
        <f>10</f>
        <v>10</v>
      </c>
      <c r="B180" s="18">
        <f>IF($A180&gt;20,0,(B168-MIN(MAX(C179,0),B168))+MIN(MAX(0,D179-(B168-MIN(MAX(C179,0),B168))),MAX(0,1*B168-(C179-MIN(MAX(C179,0),B168)))))</f>
        <v>30108</v>
      </c>
      <c r="C180" s="18">
        <f>IF($A180&gt;20,C179,(C179-B168+B180)*(1+$B$7))</f>
        <v>29892</v>
      </c>
      <c r="D180" s="18">
        <f t="shared" si="6"/>
        <v>948234.91827371414</v>
      </c>
      <c r="E180" s="18">
        <f>IF($A180&gt;20,0,(E168-MIN(MAX(F179,0),E168))+MIN(MAX(0,G179-(E168-MIN(MAX(F179,0),E168))),MAX(0,1*E168-(F179-MIN(MAX(F179,0),E168)))))</f>
        <v>75270</v>
      </c>
      <c r="F180" s="18">
        <f>IF($A180&gt;20,F179,(F179-E168+E180)*(1+$B$7))</f>
        <v>74730</v>
      </c>
      <c r="G180" s="18">
        <f t="shared" si="7"/>
        <v>354712.72666810197</v>
      </c>
      <c r="H180" s="18">
        <f>IF($A180&gt;20,0,(H168-MIN(MAX(I179,0),H168))+MIN(MAX(0,J179-(H168-MIN(MAX(I179,0),H168))),MAX(0,1*H168-(I179-MIN(MAX(I179,0),H168)))))</f>
        <v>63774.550723283835</v>
      </c>
      <c r="I180" s="18">
        <f>IF($A180&gt;20,I179,(I179-H168+H180)*(1+$B$7))</f>
        <v>63317.021064846565</v>
      </c>
      <c r="J180" s="18">
        <f t="shared" si="8"/>
        <v>505786.73242975457</v>
      </c>
      <c r="K180" s="18">
        <f>IF($A180&gt;20,0,(K168-MIN(MAX(L179,0),K168))+MIN(MAX(0,M179-(K168-MIN(MAX(L179,0),K168))),MAX(0,1*K168-(L179-MIN(MAX(L179,0),K168)))))</f>
        <v>63498.332338811095</v>
      </c>
      <c r="L180" s="18">
        <f>IF($A180&gt;20,L179,(L179-K168+K180)*(1+$B$7))</f>
        <v>63042.784318843529</v>
      </c>
      <c r="M180" s="18">
        <f t="shared" si="9"/>
        <v>509416.81393442611</v>
      </c>
      <c r="N180" s="18">
        <f>IF($A180&gt;20,0,(N168-MIN(MAX(O179,0),N168))+MIN(MAX(0,P179-(N168-MIN(MAX(O179,0),N168))),MAX(0,1*N168-(O179-MIN(MAX(O179,0),N168)))))</f>
        <v>63498.576095831049</v>
      </c>
      <c r="O180" s="18">
        <f>IF($A180&gt;20,O179,(O179-N168+N180)*(1+$B$7))</f>
        <v>63043.026327108462</v>
      </c>
      <c r="P180" s="18">
        <f t="shared" si="10"/>
        <v>509413.61046246602</v>
      </c>
      <c r="Q180" s="18">
        <f>IF($A180&gt;20,0,(Q168-MIN(MAX(R179,0),Q168))+MIN(MAX(0,S179-(Q168-MIN(MAX(R179,0),Q168))),MAX(0,1*Q168-(R179-MIN(MAX(R179,0),Q168)))))</f>
        <v>63498.576342353314</v>
      </c>
      <c r="R180" s="18">
        <f>IF($A180&gt;20,R179,(R179-Q168+Q180)*(1+$B$7))</f>
        <v>63043.02657186213</v>
      </c>
      <c r="S180" s="18">
        <f t="shared" si="11"/>
        <v>509413.60722265189</v>
      </c>
    </row>
    <row r="181" spans="1:19">
      <c r="A181" s="10">
        <f>11</f>
        <v>11</v>
      </c>
      <c r="B181" s="18">
        <f>IF($A181&gt;20,0,(B168-MIN(MAX(C180,0),B168))+MIN(MAX(0,D180-(B168-MIN(MAX(C180,0),B168))),MAX(0,1*B168-(C180-MIN(MAX(C180,0),B168)))))</f>
        <v>30108</v>
      </c>
      <c r="C181" s="18">
        <f>IF($A181&gt;20,C180,(C180-B168+B181)*(1+$B$7))</f>
        <v>29892</v>
      </c>
      <c r="D181" s="18">
        <f t="shared" si="6"/>
        <v>945670.72582192556</v>
      </c>
      <c r="E181" s="18">
        <f>IF($A181&gt;20,0,(E168-MIN(MAX(F180,0),E168))+MIN(MAX(0,G180-(E168-MIN(MAX(F180,0),E168))),MAX(0,1*E168-(F180-MIN(MAX(F180,0),E168)))))</f>
        <v>75270</v>
      </c>
      <c r="F181" s="18">
        <f>IF($A181&gt;20,F180,(F180-E168+E181)*(1+$B$7))</f>
        <v>74730</v>
      </c>
      <c r="G181" s="18">
        <f t="shared" si="7"/>
        <v>287826.00846814504</v>
      </c>
      <c r="H181" s="18">
        <f>IF($A181&gt;20,0,(H168-MIN(MAX(I180,0),H168))+MIN(MAX(0,J180-(H168-MIN(MAX(I180,0),H168))),MAX(0,1*H168-(I180-MIN(MAX(I180,0),H168)))))</f>
        <v>63774.550723283835</v>
      </c>
      <c r="I181" s="18">
        <f>IF($A181&gt;20,I180,(I180-H168+H181)*(1+$B$7))</f>
        <v>63317.021064846565</v>
      </c>
      <c r="J181" s="18">
        <f t="shared" si="8"/>
        <v>455272.54715766484</v>
      </c>
      <c r="K181" s="18">
        <f>IF($A181&gt;20,0,(K168-MIN(MAX(L180,0),K168))+MIN(MAX(0,M180-(K168-MIN(MAX(L180,0),K168))),MAX(0,1*K168-(L180-MIN(MAX(L180,0),K168)))))</f>
        <v>63498.332338811095</v>
      </c>
      <c r="L181" s="18">
        <f>IF($A181&gt;20,L180,(L180-K168+K181)*(1+$B$7))</f>
        <v>63042.784318843529</v>
      </c>
      <c r="M181" s="18">
        <f t="shared" si="9"/>
        <v>459296.03604348353</v>
      </c>
      <c r="N181" s="18">
        <f>IF($A181&gt;20,0,(N168-MIN(MAX(O180,0),N168))+MIN(MAX(0,P180-(N168-MIN(MAX(O180,0),N168))),MAX(0,1*N168-(O180-MIN(MAX(O180,0),N168)))))</f>
        <v>63498.576095831049</v>
      </c>
      <c r="O181" s="18">
        <f>IF($A181&gt;20,O180,(O180-N168+N181)*(1+$B$7))</f>
        <v>63043.026327108462</v>
      </c>
      <c r="P181" s="18">
        <f t="shared" si="10"/>
        <v>459292.48539763404</v>
      </c>
      <c r="Q181" s="18">
        <f>IF($A181&gt;20,0,(Q168-MIN(MAX(R180,0),Q168))+MIN(MAX(0,S180-(Q168-MIN(MAX(R180,0),Q168))),MAX(0,1*Q168-(R180-MIN(MAX(R180,0),Q168)))))</f>
        <v>63498.576342353314</v>
      </c>
      <c r="R181" s="18">
        <f>IF($A181&gt;20,R180,(R180-Q168+Q181)*(1+$B$7))</f>
        <v>63043.02657186213</v>
      </c>
      <c r="S181" s="18">
        <f t="shared" si="11"/>
        <v>459292.48180670757</v>
      </c>
    </row>
    <row r="182" spans="1:19">
      <c r="A182" s="10">
        <f>12</f>
        <v>12</v>
      </c>
      <c r="B182" s="18">
        <f>IF($A182&gt;20,0,(B168-MIN(MAX(C181,0),B168))+MIN(MAX(0,D181-(B168-MIN(MAX(C181,0),B168))),MAX(0,1*B168-(C181-MIN(MAX(C181,0),B168)))))</f>
        <v>30108</v>
      </c>
      <c r="C182" s="18">
        <f>IF($A182&gt;20,C181,(C181-B168+B182)*(1+$B$7))</f>
        <v>29892</v>
      </c>
      <c r="D182" s="18">
        <f t="shared" si="6"/>
        <v>943029.60759658332</v>
      </c>
      <c r="E182" s="18">
        <f>IF($A182&gt;20,0,(E168-MIN(MAX(F181,0),E168))+MIN(MAX(0,G181-(E168-MIN(MAX(F181,0),E168))),MAX(0,1*E168-(F181-MIN(MAX(F181,0),E168)))))</f>
        <v>75270</v>
      </c>
      <c r="F182" s="18">
        <f>IF($A182&gt;20,F181,(F181-E168+E182)*(1+$B$7))</f>
        <v>74730</v>
      </c>
      <c r="G182" s="18">
        <f t="shared" si="7"/>
        <v>218932.6887221894</v>
      </c>
      <c r="H182" s="18">
        <f>IF($A182&gt;20,0,(H168-MIN(MAX(I181,0),H168))+MIN(MAX(0,J181-(H168-MIN(MAX(I181,0),H168))),MAX(0,1*H168-(I181-MIN(MAX(I181,0),H168)))))</f>
        <v>63774.550723283835</v>
      </c>
      <c r="I182" s="18">
        <f>IF($A182&gt;20,I181,(I181-H168+H182)*(1+$B$7))</f>
        <v>63317.021064846565</v>
      </c>
      <c r="J182" s="18">
        <f t="shared" si="8"/>
        <v>403242.93632741243</v>
      </c>
      <c r="K182" s="18">
        <f>IF($A182&gt;20,0,(K168-MIN(MAX(L181,0),K168))+MIN(MAX(0,M181-(K168-MIN(MAX(L181,0),K168))),MAX(0,1*K168-(L181-MIN(MAX(L181,0),K168)))))</f>
        <v>63498.332338811095</v>
      </c>
      <c r="L182" s="18">
        <f>IF($A182&gt;20,L181,(L181-K168+K182)*(1+$B$7))</f>
        <v>63042.784318843529</v>
      </c>
      <c r="M182" s="18">
        <f t="shared" si="9"/>
        <v>407671.63481581263</v>
      </c>
      <c r="N182" s="18">
        <f>IF($A182&gt;20,0,(N168-MIN(MAX(O181,0),N168))+MIN(MAX(0,P181-(N168-MIN(MAX(O181,0),N168))),MAX(0,1*N168-(O181-MIN(MAX(O181,0),N168)))))</f>
        <v>63498.576095831049</v>
      </c>
      <c r="O182" s="18">
        <f>IF($A182&gt;20,O181,(O181-N168+N182)*(1+$B$7))</f>
        <v>63043.026327108462</v>
      </c>
      <c r="P182" s="18">
        <f t="shared" si="10"/>
        <v>407667.72658085707</v>
      </c>
      <c r="Q182" s="18">
        <f>IF($A182&gt;20,0,(Q168-MIN(MAX(R181,0),Q168))+MIN(MAX(0,S181-(Q168-MIN(MAX(R181,0),Q168))),MAX(0,1*Q168-(R181-MIN(MAX(R181,0),Q168)))))</f>
        <v>63498.576342353314</v>
      </c>
      <c r="R182" s="18">
        <f>IF($A182&gt;20,R181,(R181-Q168+Q182)*(1+$B$7))</f>
        <v>63043.02657186213</v>
      </c>
      <c r="S182" s="18">
        <f t="shared" si="11"/>
        <v>407667.72262828489</v>
      </c>
    </row>
    <row r="183" spans="1:19">
      <c r="A183" s="10">
        <f>13</f>
        <v>13</v>
      </c>
      <c r="B183" s="18">
        <f>IF($A183&gt;20,0,(B168-MIN(MAX(C182,0),B168))+MIN(MAX(0,D182-(B168-MIN(MAX(C182,0),B168))),MAX(0,1*B168-(C182-MIN(MAX(C182,0),B168)))))</f>
        <v>30108</v>
      </c>
      <c r="C183" s="18">
        <f>IF($A183&gt;20,C182,(C182-B168+B183)*(1+$B$7))</f>
        <v>29892</v>
      </c>
      <c r="D183" s="18">
        <f t="shared" si="6"/>
        <v>940309.25582448079</v>
      </c>
      <c r="E183" s="18">
        <f>IF($A183&gt;20,0,(E168-MIN(MAX(F182,0),E168))+MIN(MAX(0,G182-(E168-MIN(MAX(F182,0),E168))),MAX(0,1*E168-(F182-MIN(MAX(F182,0),E168)))))</f>
        <v>75270</v>
      </c>
      <c r="F183" s="18">
        <f>IF($A183&gt;20,F182,(F182-E168+E183)*(1+$B$7))</f>
        <v>74730</v>
      </c>
      <c r="G183" s="18">
        <f t="shared" si="7"/>
        <v>147972.56938385509</v>
      </c>
      <c r="H183" s="18">
        <f>IF($A183&gt;20,0,(H168-MIN(MAX(I182,0),H168))+MIN(MAX(0,J182-(H168-MIN(MAX(I182,0),H168))),MAX(0,1*H168-(I182-MIN(MAX(I182,0),H168)))))</f>
        <v>63774.550723283835</v>
      </c>
      <c r="I183" s="18">
        <f>IF($A183&gt;20,I182,(I182-H168+H183)*(1+$B$7))</f>
        <v>63317.021064846565</v>
      </c>
      <c r="J183" s="18">
        <f t="shared" si="8"/>
        <v>349652.43717225245</v>
      </c>
      <c r="K183" s="18">
        <f>IF($A183&gt;20,0,(K168-MIN(MAX(L182,0),K168))+MIN(MAX(0,M182-(K168-MIN(MAX(L182,0),K168))),MAX(0,1*K168-(L182-MIN(MAX(L182,0),K168)))))</f>
        <v>63498.332338811095</v>
      </c>
      <c r="L183" s="18">
        <f>IF($A183&gt;20,L182,(L182-K168+K183)*(1+$B$7))</f>
        <v>63042.784318843529</v>
      </c>
      <c r="M183" s="18">
        <f t="shared" si="9"/>
        <v>354498.50155131164</v>
      </c>
      <c r="N183" s="18">
        <f>IF($A183&gt;20,0,(N168-MIN(MAX(O182,0),N168))+MIN(MAX(0,P182-(N168-MIN(MAX(O182,0),N168))),MAX(0,1*N168-(O182-MIN(MAX(O182,0),N168)))))</f>
        <v>63498.576095831049</v>
      </c>
      <c r="O183" s="18">
        <f>IF($A183&gt;20,O182,(O182-N168+N183)*(1+$B$7))</f>
        <v>63043.026327108462</v>
      </c>
      <c r="P183" s="18">
        <f t="shared" si="10"/>
        <v>354494.22499957681</v>
      </c>
      <c r="Q183" s="18">
        <f>IF($A183&gt;20,0,(Q168-MIN(MAX(R182,0),Q168))+MIN(MAX(0,S182-(Q168-MIN(MAX(R182,0),Q168))),MAX(0,1*Q168-(R182-MIN(MAX(R182,0),Q168)))))</f>
        <v>63498.576342353314</v>
      </c>
      <c r="R183" s="18">
        <f>IF($A183&gt;20,R182,(R182-Q168+Q183)*(1+$B$7))</f>
        <v>63043.02657186213</v>
      </c>
      <c r="S183" s="18">
        <f t="shared" si="11"/>
        <v>354494.22067450953</v>
      </c>
    </row>
    <row r="184" spans="1:19">
      <c r="A184" s="10">
        <f>14</f>
        <v>14</v>
      </c>
      <c r="B184" s="18">
        <f>IF($A184&gt;20,0,(B168-MIN(MAX(C183,0),B168))+MIN(MAX(0,D183-(B168-MIN(MAX(C183,0),B168))),MAX(0,1*B168-(C183-MIN(MAX(C183,0),B168)))))</f>
        <v>30108</v>
      </c>
      <c r="C184" s="18">
        <f>IF($A184&gt;20,C183,(C183-B168+B184)*(1+$B$7))</f>
        <v>29892</v>
      </c>
      <c r="D184" s="18">
        <f t="shared" si="6"/>
        <v>937507.29349921527</v>
      </c>
      <c r="E184" s="18">
        <f>IF($A184&gt;20,0,(E168-MIN(MAX(F183,0),E168))+MIN(MAX(0,G183-(E168-MIN(MAX(F183,0),E168))),MAX(0,1*E168-(F183-MIN(MAX(F183,0),E168)))))</f>
        <v>75270</v>
      </c>
      <c r="F184" s="18">
        <f>IF($A184&gt;20,F183,(F183-E168+E184)*(1+$B$7))</f>
        <v>74730</v>
      </c>
      <c r="G184" s="18">
        <f t="shared" si="7"/>
        <v>74883.646465370752</v>
      </c>
      <c r="H184" s="18">
        <f>IF($A184&gt;20,0,(H168-MIN(MAX(I183,0),H168))+MIN(MAX(0,J183-(H168-MIN(MAX(I183,0),H168))),MAX(0,1*H168-(I183-MIN(MAX(I183,0),H168)))))</f>
        <v>63774.550723283835</v>
      </c>
      <c r="I184" s="18">
        <f>IF($A184&gt;20,I183,(I183-H168+H184)*(1+$B$7))</f>
        <v>63317.021064846565</v>
      </c>
      <c r="J184" s="18">
        <f t="shared" si="8"/>
        <v>294454.22304243769</v>
      </c>
      <c r="K184" s="18">
        <f>IF($A184&gt;20,0,(K168-MIN(MAX(L183,0),K168))+MIN(MAX(0,M183-(K168-MIN(MAX(L183,0),K168))),MAX(0,1*K168-(L183-MIN(MAX(L183,0),K168)))))</f>
        <v>63498.332338811095</v>
      </c>
      <c r="L184" s="18">
        <f>IF($A184&gt;20,L183,(L183-K168+K184)*(1+$B$7))</f>
        <v>63042.784318843529</v>
      </c>
      <c r="M184" s="18">
        <f t="shared" si="9"/>
        <v>299730.1742888756</v>
      </c>
      <c r="N184" s="18">
        <f>IF($A184&gt;20,0,(N168-MIN(MAX(O183,0),N168))+MIN(MAX(0,P183-(N168-MIN(MAX(O183,0),N168))),MAX(0,1*N168-(O183-MIN(MAX(O183,0),N168)))))</f>
        <v>63498.576095831049</v>
      </c>
      <c r="O184" s="18">
        <f>IF($A184&gt;20,O183,(O183-N168+N184)*(1+$B$7))</f>
        <v>63043.026327108462</v>
      </c>
      <c r="P184" s="18">
        <f t="shared" si="10"/>
        <v>299725.5183708581</v>
      </c>
      <c r="Q184" s="18">
        <f>IF($A184&gt;20,0,(Q168-MIN(MAX(R183,0),Q168))+MIN(MAX(0,S183-(Q168-MIN(MAX(R183,0),Q168))),MAX(0,1*Q168-(R183-MIN(MAX(R183,0),Q168)))))</f>
        <v>63498.576342353314</v>
      </c>
      <c r="R184" s="18">
        <f>IF($A184&gt;20,R183,(R183-Q168+Q184)*(1+$B$7))</f>
        <v>63043.02657186213</v>
      </c>
      <c r="S184" s="18">
        <f t="shared" si="11"/>
        <v>299725.51366212091</v>
      </c>
    </row>
    <row r="185" spans="1:19">
      <c r="A185" s="10">
        <f>15</f>
        <v>15</v>
      </c>
      <c r="B185" s="18">
        <f>IF($A185&gt;20,0,(B168-MIN(MAX(C184,0),B168))+MIN(MAX(0,D184-(B168-MIN(MAX(C184,0),B168))),MAX(0,1*B168-(C184-MIN(MAX(C184,0),B168)))))</f>
        <v>30108</v>
      </c>
      <c r="C185" s="18">
        <f>IF($A185&gt;20,C184,(C184-B168+B185)*(1+$B$7))</f>
        <v>29892</v>
      </c>
      <c r="D185" s="18">
        <f t="shared" si="6"/>
        <v>934621.27230419172</v>
      </c>
      <c r="E185" s="18">
        <f>IF($A185&gt;20,0,(E168-MIN(MAX(F184,0),E168))+MIN(MAX(0,G184-(E168-MIN(MAX(F184,0),E168))),MAX(0,1*E168-(F184-MIN(MAX(F184,0),E168)))))</f>
        <v>74883.646465370752</v>
      </c>
      <c r="F185" s="18">
        <f>IF($A185&gt;20,F184,(F184-E168+E185)*(1+$B$7))</f>
        <v>74345.037338095412</v>
      </c>
      <c r="G185" s="18">
        <f t="shared" si="7"/>
        <v>0</v>
      </c>
      <c r="H185" s="18">
        <f>IF($A185&gt;20,0,(H168-MIN(MAX(I184,0),H168))+MIN(MAX(0,J184-(H168-MIN(MAX(I184,0),H168))),MAX(0,1*H168-(I184-MIN(MAX(I184,0),H168)))))</f>
        <v>63774.550723283835</v>
      </c>
      <c r="I185" s="18">
        <f>IF($A185&gt;20,I184,(I184-H168+H185)*(1+$B$7))</f>
        <v>63317.021064846565</v>
      </c>
      <c r="J185" s="18">
        <f t="shared" si="8"/>
        <v>237600.06248872846</v>
      </c>
      <c r="K185" s="18">
        <f>IF($A185&gt;20,0,(K168-MIN(MAX(L184,0),K168))+MIN(MAX(0,M184-(K168-MIN(MAX(L184,0),K168))),MAX(0,1*K168-(L184-MIN(MAX(L184,0),K168)))))</f>
        <v>63498.332338811095</v>
      </c>
      <c r="L185" s="18">
        <f>IF($A185&gt;20,L184,(L184-K168+K185)*(1+$B$7))</f>
        <v>63042.784318843529</v>
      </c>
      <c r="M185" s="18">
        <f t="shared" si="9"/>
        <v>243318.79720856645</v>
      </c>
      <c r="N185" s="18">
        <f>IF($A185&gt;20,0,(N168-MIN(MAX(O184,0),N168))+MIN(MAX(0,P184-(N168-MIN(MAX(O184,0),N168))),MAX(0,1*N168-(O184-MIN(MAX(O184,0),N168)))))</f>
        <v>63498.576095831049</v>
      </c>
      <c r="O185" s="18">
        <f>IF($A185&gt;20,O184,(O184-N168+N185)*(1+$B$7))</f>
        <v>63043.026327108462</v>
      </c>
      <c r="P185" s="18">
        <f t="shared" si="10"/>
        <v>243313.75054327786</v>
      </c>
      <c r="Q185" s="18">
        <f>IF($A185&gt;20,0,(Q168-MIN(MAX(R184,0),Q168))+MIN(MAX(0,S184-(Q168-MIN(MAX(R184,0),Q168))),MAX(0,1*Q168-(R184-MIN(MAX(R184,0),Q168)))))</f>
        <v>63498.576342353314</v>
      </c>
      <c r="R185" s="18">
        <f>IF($A185&gt;20,R184,(R184-Q168+Q185)*(1+$B$7))</f>
        <v>63043.02657186213</v>
      </c>
      <c r="S185" s="18">
        <f t="shared" si="11"/>
        <v>243313.74543936065</v>
      </c>
    </row>
    <row r="186" spans="1:19">
      <c r="A186" s="10">
        <f>16</f>
        <v>16</v>
      </c>
      <c r="B186" s="18">
        <f>IF($A186&gt;20,0,(B168-MIN(MAX(C185,0),B168))+MIN(MAX(0,D185-(B168-MIN(MAX(C185,0),B168))),MAX(0,1*B168-(C185-MIN(MAX(C185,0),B168)))))</f>
        <v>30108</v>
      </c>
      <c r="C186" s="18">
        <f>IF($A186&gt;20,C185,(C185-B168+B186)*(1+$B$7))</f>
        <v>29892</v>
      </c>
      <c r="D186" s="18">
        <f t="shared" si="6"/>
        <v>931648.6704733175</v>
      </c>
      <c r="E186" s="18">
        <f>IF($A186&gt;20,0,(E168-MIN(MAX(F185,0),E168))+MIN(MAX(0,G185-(E168-MIN(MAX(F185,0),E168))),MAX(0,1*E168-(F185-MIN(MAX(F185,0),E168)))))</f>
        <v>654.96266190458846</v>
      </c>
      <c r="F186" s="18">
        <f>IF($A186&gt;20,F185,(F185-E168+E186)*(1+$B$7))</f>
        <v>0</v>
      </c>
      <c r="G186" s="18">
        <f t="shared" si="7"/>
        <v>-674.61154176172613</v>
      </c>
      <c r="H186" s="18">
        <f>IF($A186&gt;20,0,(H168-MIN(MAX(I185,0),H168))+MIN(MAX(0,J185-(H168-MIN(MAX(I185,0),H168))),MAX(0,1*H168-(I185-MIN(MAX(I185,0),H168)))))</f>
        <v>63774.550723283835</v>
      </c>
      <c r="I186" s="18">
        <f>IF($A186&gt;20,I185,(I185-H168+H186)*(1+$B$7))</f>
        <v>63317.021064846565</v>
      </c>
      <c r="J186" s="18">
        <f t="shared" si="8"/>
        <v>179040.27711840798</v>
      </c>
      <c r="K186" s="18">
        <f>IF($A186&gt;20,0,(K168-MIN(MAX(L185,0),K168))+MIN(MAX(0,M185-(K168-MIN(MAX(L185,0),K168))),MAX(0,1*K168-(L185-MIN(MAX(L185,0),K168)))))</f>
        <v>63498.332338811095</v>
      </c>
      <c r="L186" s="18">
        <f>IF($A186&gt;20,L185,(L185-K168+K186)*(1+$B$7))</f>
        <v>63042.784318843529</v>
      </c>
      <c r="M186" s="18">
        <f t="shared" si="9"/>
        <v>185215.07881584801</v>
      </c>
      <c r="N186" s="18">
        <f>IF($A186&gt;20,0,(N168-MIN(MAX(O185,0),N168))+MIN(MAX(0,P185-(N168-MIN(MAX(O185,0),N168))),MAX(0,1*N168-(O185-MIN(MAX(O185,0),N168)))))</f>
        <v>63498.576095831049</v>
      </c>
      <c r="O186" s="18">
        <f>IF($A186&gt;20,O185,(O185-N168+N186)*(1+$B$7))</f>
        <v>63043.026327108462</v>
      </c>
      <c r="P186" s="18">
        <f t="shared" si="10"/>
        <v>185209.62968087022</v>
      </c>
      <c r="Q186" s="18">
        <f>IF($A186&gt;20,0,(Q168-MIN(MAX(R185,0),Q168))+MIN(MAX(0,S185-(Q168-MIN(MAX(R185,0),Q168))),MAX(0,1*Q168-(R185-MIN(MAX(R185,0),Q168)))))</f>
        <v>63498.576342353314</v>
      </c>
      <c r="R186" s="18">
        <f>IF($A186&gt;20,R185,(R185-Q168+Q186)*(1+$B$7))</f>
        <v>63043.02657186213</v>
      </c>
      <c r="S186" s="18">
        <f t="shared" si="11"/>
        <v>185209.62416991757</v>
      </c>
    </row>
    <row r="187" spans="1:19">
      <c r="A187" s="10">
        <f>17</f>
        <v>17</v>
      </c>
      <c r="B187" s="18">
        <f>IF($A187&gt;20,0,(B168-MIN(MAX(C186,0),B168))+MIN(MAX(0,D186-(B168-MIN(MAX(C186,0),B168))),MAX(0,1*B168-(C186-MIN(MAX(C186,0),B168)))))</f>
        <v>30108</v>
      </c>
      <c r="C187" s="18">
        <f>IF($A187&gt;20,C186,(C186-B168+B187)*(1+$B$7))</f>
        <v>29892</v>
      </c>
      <c r="D187" s="18">
        <f t="shared" si="6"/>
        <v>928586.89058751706</v>
      </c>
      <c r="E187" s="18">
        <f>IF($A187&gt;20,0,(E168-MIN(MAX(F186,0),E168))+MIN(MAX(0,G186-(E168-MIN(MAX(F186,0),E168))),MAX(0,1*E168-(F186-MIN(MAX(F186,0),E168)))))</f>
        <v>75000</v>
      </c>
      <c r="F187" s="18">
        <f>IF($A187&gt;20,F186,(F186-E168+E187)*(1+$B$7))</f>
        <v>0</v>
      </c>
      <c r="G187" s="18">
        <f t="shared" si="7"/>
        <v>-77944.849888014578</v>
      </c>
      <c r="H187" s="18">
        <f>IF($A187&gt;20,0,(H168-MIN(MAX(I186,0),H168))+MIN(MAX(0,J186-(H168-MIN(MAX(I186,0),H168))),MAX(0,1*H168-(I186-MIN(MAX(I186,0),H168)))))</f>
        <v>63774.550723283835</v>
      </c>
      <c r="I187" s="18">
        <f>IF($A187&gt;20,I186,(I186-H168+H187)*(1+$B$7))</f>
        <v>63317.021064846565</v>
      </c>
      <c r="J187" s="18">
        <f t="shared" si="8"/>
        <v>118723.69818697785</v>
      </c>
      <c r="K187" s="18">
        <f>IF($A187&gt;20,0,(K168-MIN(MAX(L186,0),K168))+MIN(MAX(0,M186-(K168-MIN(MAX(L186,0),K168))),MAX(0,1*K168-(L186-MIN(MAX(L186,0),K168)))))</f>
        <v>63498.332338811095</v>
      </c>
      <c r="L187" s="18">
        <f>IF($A187&gt;20,L186,(L186-K168+K187)*(1+$B$7))</f>
        <v>63042.784318843529</v>
      </c>
      <c r="M187" s="18">
        <f t="shared" si="9"/>
        <v>125368.24887134803</v>
      </c>
      <c r="N187" s="18">
        <f>IF($A187&gt;20,0,(N168-MIN(MAX(O186,0),N168))+MIN(MAX(0,P186-(N168-MIN(MAX(O186,0),N168))),MAX(0,1*N168-(O186-MIN(MAX(O186,0),N168)))))</f>
        <v>63498.576095831049</v>
      </c>
      <c r="O187" s="18">
        <f>IF($A187&gt;20,O186,(O186-N168+N187)*(1+$B$7))</f>
        <v>63043.026327108462</v>
      </c>
      <c r="P187" s="18">
        <f t="shared" si="10"/>
        <v>125362.38519259034</v>
      </c>
      <c r="Q187" s="18">
        <f>IF($A187&gt;20,0,(Q168-MIN(MAX(R186,0),Q168))+MIN(MAX(0,S186-(Q168-MIN(MAX(R186,0),Q168))),MAX(0,1*Q168-(R186-MIN(MAX(R186,0),Q168)))))</f>
        <v>63498.576342353314</v>
      </c>
      <c r="R187" s="18">
        <f>IF($A187&gt;20,R186,(R186-Q168+Q187)*(1+$B$7))</f>
        <v>63043.02657186213</v>
      </c>
      <c r="S187" s="18">
        <f t="shared" si="11"/>
        <v>125362.3792623912</v>
      </c>
    </row>
    <row r="188" spans="1:19">
      <c r="A188" s="10">
        <f>18</f>
        <v>18</v>
      </c>
      <c r="B188" s="18">
        <f>IF($A188&gt;20,0,(B168-MIN(MAX(C187,0),B168))+MIN(MAX(0,D187-(B168-MIN(MAX(C187,0),B168))),MAX(0,1*B168-(C187-MIN(MAX(C187,0),B168)))))</f>
        <v>30108</v>
      </c>
      <c r="C188" s="18">
        <f>IF($A188&gt;20,C187,(C187-B168+B188)*(1+$B$7))</f>
        <v>29892</v>
      </c>
      <c r="D188" s="18">
        <f t="shared" si="6"/>
        <v>925433.25730514259</v>
      </c>
      <c r="E188" s="18">
        <f>IF($A188&gt;20,0,(E168-MIN(MAX(F187,0),E168))+MIN(MAX(0,G187-(E168-MIN(MAX(F187,0),E168))),MAX(0,1*E168-(F187-MIN(MAX(F187,0),E168)))))</f>
        <v>75000</v>
      </c>
      <c r="F188" s="18">
        <f>IF($A188&gt;20,F187,(F187-E168+E188)*(1+$B$7))</f>
        <v>0</v>
      </c>
      <c r="G188" s="18">
        <f t="shared" si="7"/>
        <v>-157533.19538465503</v>
      </c>
      <c r="H188" s="18">
        <f>IF($A188&gt;20,0,(H168-MIN(MAX(I187,0),H168))+MIN(MAX(0,J187-(H168-MIN(MAX(I187,0),H168))),MAX(0,1*H168-(I187-MIN(MAX(I187,0),H168)))))</f>
        <v>63774.550723283835</v>
      </c>
      <c r="I188" s="18">
        <f>IF($A188&gt;20,I187,(I187-H168+H188)*(1+$B$7))</f>
        <v>63317.021064846565</v>
      </c>
      <c r="J188" s="18">
        <f t="shared" si="8"/>
        <v>56597.621887604837</v>
      </c>
      <c r="K188" s="18">
        <f>IF($A188&gt;20,0,(K168-MIN(MAX(L187,0),K168))+MIN(MAX(0,M187-(K168-MIN(MAX(L187,0),K168))),MAX(0,1*K168-(L187-MIN(MAX(L187,0),K168)))))</f>
        <v>63498.332338811095</v>
      </c>
      <c r="L188" s="18">
        <f>IF($A188&gt;20,L187,(L187-K168+K188)*(1+$B$7))</f>
        <v>63042.784318843529</v>
      </c>
      <c r="M188" s="18">
        <f t="shared" si="9"/>
        <v>63726.01402851304</v>
      </c>
      <c r="N188" s="18">
        <f>IF($A188&gt;20,0,(N168-MIN(MAX(O187,0),N168))+MIN(MAX(0,P187-(N168-MIN(MAX(O187,0),N168))),MAX(0,1*N168-(O187-MIN(MAX(O187,0),N168)))))</f>
        <v>63498.576095831049</v>
      </c>
      <c r="O188" s="18">
        <f>IF($A188&gt;20,O187,(O187-N168+N188)*(1+$B$7))</f>
        <v>63043.026327108462</v>
      </c>
      <c r="P188" s="18">
        <f t="shared" si="10"/>
        <v>63719.723369662075</v>
      </c>
      <c r="Q188" s="18">
        <f>IF($A188&gt;20,0,(Q168-MIN(MAX(R187,0),Q168))+MIN(MAX(0,S187-(Q168-MIN(MAX(R187,0),Q168))),MAX(0,1*Q168-(R187-MIN(MAX(R187,0),Q168)))))</f>
        <v>63498.576342353314</v>
      </c>
      <c r="R188" s="18">
        <f>IF($A188&gt;20,R187,(R187-Q168+Q188)*(1+$B$7))</f>
        <v>63043.02657186213</v>
      </c>
      <c r="S188" s="18">
        <f t="shared" si="11"/>
        <v>63719.717007639025</v>
      </c>
    </row>
    <row r="189" spans="1:19">
      <c r="A189" s="10">
        <f>19</f>
        <v>19</v>
      </c>
      <c r="B189" s="18">
        <f>IF($A189&gt;20,0,(B168-MIN(MAX(C188,0),B168))+MIN(MAX(0,D188-(B168-MIN(MAX(C188,0),B168))),MAX(0,1*B168-(C188-MIN(MAX(C188,0),B168)))))</f>
        <v>30108</v>
      </c>
      <c r="C189" s="18">
        <f>IF($A189&gt;20,C188,(C188-B168+B189)*(1+$B$7))</f>
        <v>29892</v>
      </c>
      <c r="D189" s="18">
        <f t="shared" si="6"/>
        <v>922185.01502429694</v>
      </c>
      <c r="E189" s="18">
        <f>IF($A189&gt;20,0,(E168-MIN(MAX(F188,0),E168))+MIN(MAX(0,G188-(E168-MIN(MAX(F188,0),E168))),MAX(0,1*E168-(F188-MIN(MAX(F188,0),E168)))))</f>
        <v>75000</v>
      </c>
      <c r="F189" s="18">
        <f>IF($A189&gt;20,F188,(F188-E168+E189)*(1+$B$7))</f>
        <v>0</v>
      </c>
      <c r="G189" s="18">
        <f t="shared" si="7"/>
        <v>-239509.19124619468</v>
      </c>
      <c r="H189" s="18">
        <f>IF($A189&gt;20,0,(H168-MIN(MAX(I188,0),H168))+MIN(MAX(0,J188-(H168-MIN(MAX(I188,0),H168))),MAX(0,1*H168-(I188-MIN(MAX(I188,0),H168)))))</f>
        <v>56597.621887604837</v>
      </c>
      <c r="I189" s="18">
        <f>IF($A189&gt;20,I188,(I188-H168+H189)*(1+$B$7))</f>
        <v>56165.929172976008</v>
      </c>
      <c r="J189" s="18">
        <f t="shared" si="8"/>
        <v>0</v>
      </c>
      <c r="K189" s="18">
        <f>IF($A189&gt;20,0,(K168-MIN(MAX(L188,0),K168))+MIN(MAX(0,M188-(K168-MIN(MAX(L188,0),K168))),MAX(0,1*K168-(L188-MIN(MAX(L188,0),K168)))))</f>
        <v>63498.332338811095</v>
      </c>
      <c r="L189" s="18">
        <f>IF($A189&gt;20,L188,(L188-K168+K189)*(1+$B$7))</f>
        <v>63042.784318843529</v>
      </c>
      <c r="M189" s="18">
        <f t="shared" si="9"/>
        <v>234.51214039300365</v>
      </c>
      <c r="N189" s="18">
        <f>IF($A189&gt;20,0,(N168-MIN(MAX(O188,0),N168))+MIN(MAX(0,P188-(N168-MIN(MAX(O188,0),N168))),MAX(0,1*N168-(O188-MIN(MAX(O188,0),N168)))))</f>
        <v>63498.576095831049</v>
      </c>
      <c r="O189" s="18">
        <f>IF($A189&gt;20,O188,(O188-N168+N189)*(1+$B$7))</f>
        <v>63043.026327108462</v>
      </c>
      <c r="P189" s="18">
        <f t="shared" si="10"/>
        <v>227.78169204595659</v>
      </c>
      <c r="Q189" s="18">
        <f>IF($A189&gt;20,0,(Q168-MIN(MAX(R188,0),Q168))+MIN(MAX(0,S188-(Q168-MIN(MAX(R188,0),Q168))),MAX(0,1*Q168-(R188-MIN(MAX(R188,0),Q168)))))</f>
        <v>63498.576342353314</v>
      </c>
      <c r="R189" s="18">
        <f>IF($A189&gt;20,R188,(R188-Q168+Q189)*(1+$B$7))</f>
        <v>63043.02657186213</v>
      </c>
      <c r="S189" s="18">
        <f t="shared" si="11"/>
        <v>227.77488524428264</v>
      </c>
    </row>
    <row r="190" spans="1:19">
      <c r="A190" s="10">
        <f>20</f>
        <v>20</v>
      </c>
      <c r="B190" s="18">
        <f>IF($A190&gt;20,0,(B168-MIN(MAX(C189,0),B168))+MIN(MAX(0,D189-(B168-MIN(MAX(C189,0),B168))),MAX(0,1*B168-(C189-MIN(MAX(C189,0),B168)))))</f>
        <v>30108</v>
      </c>
      <c r="C190" s="18">
        <f>IF($A190&gt;20,C189,(C189-B168+B190)*(1+$B$7))</f>
        <v>29892</v>
      </c>
      <c r="D190" s="18">
        <f t="shared" si="6"/>
        <v>918839.32547502592</v>
      </c>
      <c r="E190" s="18">
        <f>IF($A190&gt;20,0,(E168-MIN(MAX(F189,0),E168))+MIN(MAX(0,G189-(E168-MIN(MAX(F189,0),E168))),MAX(0,1*E168-(F189-MIN(MAX(F189,0),E168)))))</f>
        <v>75000</v>
      </c>
      <c r="F190" s="18">
        <f>IF($A190&gt;20,F189,(F189-E168+E190)*(1+$B$7))</f>
        <v>0</v>
      </c>
      <c r="G190" s="18">
        <f t="shared" si="7"/>
        <v>-323944.4669835805</v>
      </c>
      <c r="H190" s="18">
        <f>IF($A190&gt;20,0,(H168-MIN(MAX(I189,0),H168))+MIN(MAX(0,J189-(H168-MIN(MAX(I189,0),H168))),MAX(0,1*H168-(I189-MIN(MAX(I189,0),H168)))))</f>
        <v>7379.8567210891924</v>
      </c>
      <c r="I190" s="18">
        <f>IF($A190&gt;20,I189,(I189-H168+H190)*(1+$B$7))</f>
        <v>0</v>
      </c>
      <c r="J190" s="18">
        <f t="shared" si="8"/>
        <v>-7601.2524227218682</v>
      </c>
      <c r="K190" s="18">
        <f>IF($A190&gt;20,0,(K168-MIN(MAX(L189,0),K168))+MIN(MAX(0,M189-(K168-MIN(MAX(L189,0),K168))),MAX(0,1*K168-(L189-MIN(MAX(L189,0),K168)))))</f>
        <v>234.51214039300365</v>
      </c>
      <c r="L190" s="18">
        <f>IF($A190&gt;20,L189,(L189-K168+K190)*(1+$B$7))</f>
        <v>6.7138731397475633</v>
      </c>
      <c r="M190" s="18">
        <f t="shared" si="9"/>
        <v>0</v>
      </c>
      <c r="N190" s="18">
        <f>IF($A190&gt;20,0,(N168-MIN(MAX(O189,0),N168))+MIN(MAX(0,P189-(N168-MIN(MAX(O189,0),N168))),MAX(0,1*N168-(O189-MIN(MAX(O189,0),N168)))))</f>
        <v>227.78169204595659</v>
      </c>
      <c r="O190" s="18">
        <f>IF($A190&gt;20,O189,(O189-N168+N190)*(1+$B$7))</f>
        <v>6.7831769982860685E-3</v>
      </c>
      <c r="P190" s="18">
        <f t="shared" si="10"/>
        <v>0</v>
      </c>
      <c r="Q190" s="18">
        <f>IF($A190&gt;20,0,(Q168-MIN(MAX(R189,0),Q168))+MIN(MAX(0,S189-(Q168-MIN(MAX(R189,0),Q168))),MAX(0,1*Q168-(R189-MIN(MAX(R189,0),Q168)))))</f>
        <v>227.77488524559158</v>
      </c>
      <c r="R190" s="18">
        <f>IF($A190&gt;20,R189,(R189-Q168+Q190)*(1+$B$7))</f>
        <v>0</v>
      </c>
      <c r="S190" s="18">
        <f t="shared" si="11"/>
        <v>-1.348201408291061E-9</v>
      </c>
    </row>
    <row r="191" spans="1:19">
      <c r="A191" s="10">
        <f>21</f>
        <v>21</v>
      </c>
      <c r="B191" s="18">
        <f>IF($A191&gt;20,0,(B168-MIN(MAX(C190,0),B168))+MIN(MAX(0,D190-(B168-MIN(MAX(C190,0),B168))),MAX(0,1*B168-(C190-MIN(MAX(C190,0),B168)))))</f>
        <v>0</v>
      </c>
      <c r="C191" s="18">
        <f>IF($A191&gt;20,C190,(C190-B168+B191)*(1+$B$7))</f>
        <v>29892</v>
      </c>
      <c r="D191" s="18">
        <f t="shared" si="6"/>
        <v>918839.32547502592</v>
      </c>
      <c r="E191" s="18">
        <f>IF($A191&gt;20,0,(E168-MIN(MAX(F190,0),E168))+MIN(MAX(0,G190-(E168-MIN(MAX(F190,0),E168))),MAX(0,1*E168-(F190-MIN(MAX(F190,0),E168)))))</f>
        <v>0</v>
      </c>
      <c r="F191" s="18">
        <f>IF($A191&gt;20,F190,(F190-E168+E191)*(1+$B$7))</f>
        <v>0</v>
      </c>
      <c r="G191" s="18">
        <f t="shared" si="7"/>
        <v>-323944.4669835805</v>
      </c>
      <c r="H191" s="18">
        <f>IF($A191&gt;20,0,(H168-MIN(MAX(I190,0),H168))+MIN(MAX(0,J190-(H168-MIN(MAX(I190,0),H168))),MAX(0,1*H168-(I190-MIN(MAX(I190,0),H168)))))</f>
        <v>0</v>
      </c>
      <c r="I191" s="18">
        <f>IF($A191&gt;20,I190,(I190-H168+H191)*(1+$B$7))</f>
        <v>0</v>
      </c>
      <c r="J191" s="18">
        <f t="shared" si="8"/>
        <v>-7601.2524227218682</v>
      </c>
      <c r="K191" s="18">
        <f>IF($A191&gt;20,0,(K168-MIN(MAX(L190,0),K168))+MIN(MAX(0,M190-(K168-MIN(MAX(L190,0),K168))),MAX(0,1*K168-(L190-MIN(MAX(L190,0),K168)))))</f>
        <v>0</v>
      </c>
      <c r="L191" s="18">
        <f>IF($A191&gt;20,L190,(L190-K168+K191)*(1+$B$7))</f>
        <v>6.7138731397475633</v>
      </c>
      <c r="M191" s="18">
        <f t="shared" si="9"/>
        <v>0</v>
      </c>
      <c r="N191" s="18">
        <f>IF($A191&gt;20,0,(N168-MIN(MAX(O190,0),N168))+MIN(MAX(0,P190-(N168-MIN(MAX(O190,0),N168))),MAX(0,1*N168-(O190-MIN(MAX(O190,0),N168)))))</f>
        <v>0</v>
      </c>
      <c r="O191" s="18">
        <f>IF($A191&gt;20,O190,(O190-N168+N191)*(1+$B$7))</f>
        <v>6.7831769982860685E-3</v>
      </c>
      <c r="P191" s="18">
        <f t="shared" si="10"/>
        <v>0</v>
      </c>
      <c r="Q191" s="18">
        <f>IF($A191&gt;20,0,(Q168-MIN(MAX(R190,0),Q168))+MIN(MAX(0,S190-(Q168-MIN(MAX(R190,0),Q168))),MAX(0,1*Q168-(R190-MIN(MAX(R190,0),Q168)))))</f>
        <v>0</v>
      </c>
      <c r="R191" s="18">
        <f>IF($A191&gt;20,R190,(R190-Q168+Q191)*(1+$B$7))</f>
        <v>0</v>
      </c>
      <c r="S191" s="18">
        <f t="shared" si="11"/>
        <v>-1.348201408291061E-9</v>
      </c>
    </row>
    <row r="192" spans="1:19">
      <c r="A192" s="10">
        <f>22</f>
        <v>22</v>
      </c>
      <c r="B192" s="18">
        <f>IF($A192&gt;20,0,(B168-MIN(MAX(C191,0),B168))+MIN(MAX(0,D191-(B168-MIN(MAX(C191,0),B168))),MAX(0,1*B168-(C191-MIN(MAX(C191,0),B168)))))</f>
        <v>0</v>
      </c>
      <c r="C192" s="18">
        <f>IF($A192&gt;20,C191,(C191-B168+B192)*(1+$B$7))</f>
        <v>29892</v>
      </c>
      <c r="D192" s="18">
        <f t="shared" si="6"/>
        <v>918839.32547502592</v>
      </c>
      <c r="E192" s="18">
        <f>IF($A192&gt;20,0,(E168-MIN(MAX(F191,0),E168))+MIN(MAX(0,G191-(E168-MIN(MAX(F191,0),E168))),MAX(0,1*E168-(F191-MIN(MAX(F191,0),E168)))))</f>
        <v>0</v>
      </c>
      <c r="F192" s="18">
        <f>IF($A192&gt;20,F191,(F191-E168+E192)*(1+$B$7))</f>
        <v>0</v>
      </c>
      <c r="G192" s="18">
        <f t="shared" si="7"/>
        <v>-323944.4669835805</v>
      </c>
      <c r="H192" s="18">
        <f>IF($A192&gt;20,0,(H168-MIN(MAX(I191,0),H168))+MIN(MAX(0,J191-(H168-MIN(MAX(I191,0),H168))),MAX(0,1*H168-(I191-MIN(MAX(I191,0),H168)))))</f>
        <v>0</v>
      </c>
      <c r="I192" s="18">
        <f>IF($A192&gt;20,I191,(I191-H168+H192)*(1+$B$7))</f>
        <v>0</v>
      </c>
      <c r="J192" s="18">
        <f t="shared" si="8"/>
        <v>-7601.2524227218682</v>
      </c>
      <c r="K192" s="18">
        <f>IF($A192&gt;20,0,(K168-MIN(MAX(L191,0),K168))+MIN(MAX(0,M191-(K168-MIN(MAX(L191,0),K168))),MAX(0,1*K168-(L191-MIN(MAX(L191,0),K168)))))</f>
        <v>0</v>
      </c>
      <c r="L192" s="18">
        <f>IF($A192&gt;20,L191,(L191-K168+K192)*(1+$B$7))</f>
        <v>6.7138731397475633</v>
      </c>
      <c r="M192" s="18">
        <f t="shared" si="9"/>
        <v>0</v>
      </c>
      <c r="N192" s="18">
        <f>IF($A192&gt;20,0,(N168-MIN(MAX(O191,0),N168))+MIN(MAX(0,P191-(N168-MIN(MAX(O191,0),N168))),MAX(0,1*N168-(O191-MIN(MAX(O191,0),N168)))))</f>
        <v>0</v>
      </c>
      <c r="O192" s="18">
        <f>IF($A192&gt;20,O191,(O191-N168+N192)*(1+$B$7))</f>
        <v>6.7831769982860685E-3</v>
      </c>
      <c r="P192" s="18">
        <f t="shared" si="10"/>
        <v>0</v>
      </c>
      <c r="Q192" s="18">
        <f>IF($A192&gt;20,0,(Q168-MIN(MAX(R191,0),Q168))+MIN(MAX(0,S191-(Q168-MIN(MAX(R191,0),Q168))),MAX(0,1*Q168-(R191-MIN(MAX(R191,0),Q168)))))</f>
        <v>0</v>
      </c>
      <c r="R192" s="18">
        <f>IF($A192&gt;20,R191,(R191-Q168+Q192)*(1+$B$7))</f>
        <v>0</v>
      </c>
      <c r="S192" s="18">
        <f t="shared" si="11"/>
        <v>-1.348201408291061E-9</v>
      </c>
    </row>
    <row r="193" spans="1:19">
      <c r="A193" s="10">
        <f>23</f>
        <v>23</v>
      </c>
      <c r="B193" s="18">
        <f>IF($A193&gt;20,0,(B168-MIN(MAX(C192,0),B168))+MIN(MAX(0,D192-(B168-MIN(MAX(C192,0),B168))),MAX(0,1*B168-(C192-MIN(MAX(C192,0),B168)))))</f>
        <v>0</v>
      </c>
      <c r="C193" s="18">
        <f>IF($A193&gt;20,C192,(C192-B168+B193)*(1+$B$7))</f>
        <v>29892</v>
      </c>
      <c r="D193" s="18">
        <f t="shared" si="6"/>
        <v>918839.32547502592</v>
      </c>
      <c r="E193" s="18">
        <f>IF($A193&gt;20,0,(E168-MIN(MAX(F192,0),E168))+MIN(MAX(0,G192-(E168-MIN(MAX(F192,0),E168))),MAX(0,1*E168-(F192-MIN(MAX(F192,0),E168)))))</f>
        <v>0</v>
      </c>
      <c r="F193" s="18">
        <f>IF($A193&gt;20,F192,(F192-E168+E193)*(1+$B$7))</f>
        <v>0</v>
      </c>
      <c r="G193" s="18">
        <f t="shared" si="7"/>
        <v>-323944.4669835805</v>
      </c>
      <c r="H193" s="18">
        <f>IF($A193&gt;20,0,(H168-MIN(MAX(I192,0),H168))+MIN(MAX(0,J192-(H168-MIN(MAX(I192,0),H168))),MAX(0,1*H168-(I192-MIN(MAX(I192,0),H168)))))</f>
        <v>0</v>
      </c>
      <c r="I193" s="18">
        <f>IF($A193&gt;20,I192,(I192-H168+H193)*(1+$B$7))</f>
        <v>0</v>
      </c>
      <c r="J193" s="18">
        <f t="shared" si="8"/>
        <v>-7601.2524227218682</v>
      </c>
      <c r="K193" s="18">
        <f>IF($A193&gt;20,0,(K168-MIN(MAX(L192,0),K168))+MIN(MAX(0,M192-(K168-MIN(MAX(L192,0),K168))),MAX(0,1*K168-(L192-MIN(MAX(L192,0),K168)))))</f>
        <v>0</v>
      </c>
      <c r="L193" s="18">
        <f>IF($A193&gt;20,L192,(L192-K168+K193)*(1+$B$7))</f>
        <v>6.7138731397475633</v>
      </c>
      <c r="M193" s="18">
        <f t="shared" si="9"/>
        <v>0</v>
      </c>
      <c r="N193" s="18">
        <f>IF($A193&gt;20,0,(N168-MIN(MAX(O192,0),N168))+MIN(MAX(0,P192-(N168-MIN(MAX(O192,0),N168))),MAX(0,1*N168-(O192-MIN(MAX(O192,0),N168)))))</f>
        <v>0</v>
      </c>
      <c r="O193" s="18">
        <f>IF($A193&gt;20,O192,(O192-N168+N193)*(1+$B$7))</f>
        <v>6.7831769982860685E-3</v>
      </c>
      <c r="P193" s="18">
        <f t="shared" si="10"/>
        <v>0</v>
      </c>
      <c r="Q193" s="18">
        <f>IF($A193&gt;20,0,(Q168-MIN(MAX(R192,0),Q168))+MIN(MAX(0,S192-(Q168-MIN(MAX(R192,0),Q168))),MAX(0,1*Q168-(R192-MIN(MAX(R192,0),Q168)))))</f>
        <v>0</v>
      </c>
      <c r="R193" s="18">
        <f>IF($A193&gt;20,R192,(R192-Q168+Q193)*(1+$B$7))</f>
        <v>0</v>
      </c>
      <c r="S193" s="18">
        <f t="shared" si="11"/>
        <v>-1.348201408291061E-9</v>
      </c>
    </row>
    <row r="194" spans="1:19">
      <c r="A194" s="10">
        <f>24</f>
        <v>24</v>
      </c>
      <c r="B194" s="18">
        <f>IF($A194&gt;20,0,(B168-MIN(MAX(C193,0),B168))+MIN(MAX(0,D193-(B168-MIN(MAX(C193,0),B168))),MAX(0,1*B168-(C193-MIN(MAX(C193,0),B168)))))</f>
        <v>0</v>
      </c>
      <c r="C194" s="18">
        <f>IF($A194&gt;20,C193,(C193-B168+B194)*(1+$B$7))</f>
        <v>29892</v>
      </c>
      <c r="D194" s="18">
        <f t="shared" si="6"/>
        <v>918839.32547502592</v>
      </c>
      <c r="E194" s="18">
        <f>IF($A194&gt;20,0,(E168-MIN(MAX(F193,0),E168))+MIN(MAX(0,G193-(E168-MIN(MAX(F193,0),E168))),MAX(0,1*E168-(F193-MIN(MAX(F193,0),E168)))))</f>
        <v>0</v>
      </c>
      <c r="F194" s="18">
        <f>IF($A194&gt;20,F193,(F193-E168+E194)*(1+$B$7))</f>
        <v>0</v>
      </c>
      <c r="G194" s="18">
        <f t="shared" si="7"/>
        <v>-323944.4669835805</v>
      </c>
      <c r="H194" s="18">
        <f>IF($A194&gt;20,0,(H168-MIN(MAX(I193,0),H168))+MIN(MAX(0,J193-(H168-MIN(MAX(I193,0),H168))),MAX(0,1*H168-(I193-MIN(MAX(I193,0),H168)))))</f>
        <v>0</v>
      </c>
      <c r="I194" s="18">
        <f>IF($A194&gt;20,I193,(I193-H168+H194)*(1+$B$7))</f>
        <v>0</v>
      </c>
      <c r="J194" s="18">
        <f t="shared" si="8"/>
        <v>-7601.2524227218682</v>
      </c>
      <c r="K194" s="18">
        <f>IF($A194&gt;20,0,(K168-MIN(MAX(L193,0),K168))+MIN(MAX(0,M193-(K168-MIN(MAX(L193,0),K168))),MAX(0,1*K168-(L193-MIN(MAX(L193,0),K168)))))</f>
        <v>0</v>
      </c>
      <c r="L194" s="18">
        <f>IF($A194&gt;20,L193,(L193-K168+K194)*(1+$B$7))</f>
        <v>6.7138731397475633</v>
      </c>
      <c r="M194" s="18">
        <f t="shared" si="9"/>
        <v>0</v>
      </c>
      <c r="N194" s="18">
        <f>IF($A194&gt;20,0,(N168-MIN(MAX(O193,0),N168))+MIN(MAX(0,P193-(N168-MIN(MAX(O193,0),N168))),MAX(0,1*N168-(O193-MIN(MAX(O193,0),N168)))))</f>
        <v>0</v>
      </c>
      <c r="O194" s="18">
        <f>IF($A194&gt;20,O193,(O193-N168+N194)*(1+$B$7))</f>
        <v>6.7831769982860685E-3</v>
      </c>
      <c r="P194" s="18">
        <f t="shared" si="10"/>
        <v>0</v>
      </c>
      <c r="Q194" s="18">
        <f>IF($A194&gt;20,0,(Q168-MIN(MAX(R193,0),Q168))+MIN(MAX(0,S193-(Q168-MIN(MAX(R193,0),Q168))),MAX(0,1*Q168-(R193-MIN(MAX(R193,0),Q168)))))</f>
        <v>0</v>
      </c>
      <c r="R194" s="18">
        <f>IF($A194&gt;20,R193,(R193-Q168+Q194)*(1+$B$7))</f>
        <v>0</v>
      </c>
      <c r="S194" s="18">
        <f t="shared" si="11"/>
        <v>-1.348201408291061E-9</v>
      </c>
    </row>
    <row r="195" spans="1:19">
      <c r="A195" s="10">
        <f>25</f>
        <v>25</v>
      </c>
      <c r="B195" s="18">
        <f>IF($A195&gt;20,0,(B168-MIN(MAX(C194,0),B168))+MIN(MAX(0,D194-(B168-MIN(MAX(C194,0),B168))),MAX(0,1*B168-(C194-MIN(MAX(C194,0),B168)))))</f>
        <v>0</v>
      </c>
      <c r="C195" s="18">
        <f>IF($A195&gt;20,C194,(C194-B168+B195)*(1+$B$7))</f>
        <v>29892</v>
      </c>
      <c r="D195" s="18">
        <f t="shared" si="6"/>
        <v>918839.32547502592</v>
      </c>
      <c r="E195" s="18">
        <f>IF($A195&gt;20,0,(E168-MIN(MAX(F194,0),E168))+MIN(MAX(0,G194-(E168-MIN(MAX(F194,0),E168))),MAX(0,1*E168-(F194-MIN(MAX(F194,0),E168)))))</f>
        <v>0</v>
      </c>
      <c r="F195" s="18">
        <f>IF($A195&gt;20,F194,(F194-E168+E195)*(1+$B$7))</f>
        <v>0</v>
      </c>
      <c r="G195" s="18">
        <f t="shared" si="7"/>
        <v>-323944.4669835805</v>
      </c>
      <c r="H195" s="18">
        <f>IF($A195&gt;20,0,(H168-MIN(MAX(I194,0),H168))+MIN(MAX(0,J194-(H168-MIN(MAX(I194,0),H168))),MAX(0,1*H168-(I194-MIN(MAX(I194,0),H168)))))</f>
        <v>0</v>
      </c>
      <c r="I195" s="18">
        <f>IF($A195&gt;20,I194,(I194-H168+H195)*(1+$B$7))</f>
        <v>0</v>
      </c>
      <c r="J195" s="18">
        <f t="shared" si="8"/>
        <v>-7601.2524227218682</v>
      </c>
      <c r="K195" s="18">
        <f>IF($A195&gt;20,0,(K168-MIN(MAX(L194,0),K168))+MIN(MAX(0,M194-(K168-MIN(MAX(L194,0),K168))),MAX(0,1*K168-(L194-MIN(MAX(L194,0),K168)))))</f>
        <v>0</v>
      </c>
      <c r="L195" s="18">
        <f>IF($A195&gt;20,L194,(L194-K168+K195)*(1+$B$7))</f>
        <v>6.7138731397475633</v>
      </c>
      <c r="M195" s="18">
        <f t="shared" si="9"/>
        <v>0</v>
      </c>
      <c r="N195" s="18">
        <f>IF($A195&gt;20,0,(N168-MIN(MAX(O194,0),N168))+MIN(MAX(0,P194-(N168-MIN(MAX(O194,0),N168))),MAX(0,1*N168-(O194-MIN(MAX(O194,0),N168)))))</f>
        <v>0</v>
      </c>
      <c r="O195" s="18">
        <f>IF($A195&gt;20,O194,(O194-N168+N195)*(1+$B$7))</f>
        <v>6.7831769982860685E-3</v>
      </c>
      <c r="P195" s="18">
        <f t="shared" si="10"/>
        <v>0</v>
      </c>
      <c r="Q195" s="18">
        <f>IF($A195&gt;20,0,(Q168-MIN(MAX(R194,0),Q168))+MIN(MAX(0,S194-(Q168-MIN(MAX(R194,0),Q168))),MAX(0,1*Q168-(R194-MIN(MAX(R194,0),Q168)))))</f>
        <v>0</v>
      </c>
      <c r="R195" s="18">
        <f>IF($A195&gt;20,R194,(R194-Q168+Q195)*(1+$B$7))</f>
        <v>0</v>
      </c>
      <c r="S195" s="18">
        <f t="shared" si="11"/>
        <v>-1.348201408291061E-9</v>
      </c>
    </row>
    <row r="196" spans="1:19">
      <c r="A196" s="10">
        <f>26</f>
        <v>26</v>
      </c>
      <c r="B196" s="18">
        <f>IF($A196&gt;20,0,(B168-MIN(MAX(C195,0),B168))+MIN(MAX(0,D195-(B168-MIN(MAX(C195,0),B168))),MAX(0,1*B168-(C195-MIN(MAX(C195,0),B168)))))</f>
        <v>0</v>
      </c>
      <c r="C196" s="18">
        <f>IF($A196&gt;20,C195,(C195-B168+B196)*(1+$B$7))</f>
        <v>29892</v>
      </c>
      <c r="D196" s="18">
        <f t="shared" si="6"/>
        <v>918839.32547502592</v>
      </c>
      <c r="E196" s="18">
        <f>IF($A196&gt;20,0,(E168-MIN(MAX(F195,0),E168))+MIN(MAX(0,G195-(E168-MIN(MAX(F195,0),E168))),MAX(0,1*E168-(F195-MIN(MAX(F195,0),E168)))))</f>
        <v>0</v>
      </c>
      <c r="F196" s="18">
        <f>IF($A196&gt;20,F195,(F195-E168+E196)*(1+$B$7))</f>
        <v>0</v>
      </c>
      <c r="G196" s="18">
        <f t="shared" si="7"/>
        <v>-323944.4669835805</v>
      </c>
      <c r="H196" s="18">
        <f>IF($A196&gt;20,0,(H168-MIN(MAX(I195,0),H168))+MIN(MAX(0,J195-(H168-MIN(MAX(I195,0),H168))),MAX(0,1*H168-(I195-MIN(MAX(I195,0),H168)))))</f>
        <v>0</v>
      </c>
      <c r="I196" s="18">
        <f>IF($A196&gt;20,I195,(I195-H168+H196)*(1+$B$7))</f>
        <v>0</v>
      </c>
      <c r="J196" s="18">
        <f t="shared" si="8"/>
        <v>-7601.2524227218682</v>
      </c>
      <c r="K196" s="18">
        <f>IF($A196&gt;20,0,(K168-MIN(MAX(L195,0),K168))+MIN(MAX(0,M195-(K168-MIN(MAX(L195,0),K168))),MAX(0,1*K168-(L195-MIN(MAX(L195,0),K168)))))</f>
        <v>0</v>
      </c>
      <c r="L196" s="18">
        <f>IF($A196&gt;20,L195,(L195-K168+K196)*(1+$B$7))</f>
        <v>6.7138731397475633</v>
      </c>
      <c r="M196" s="18">
        <f t="shared" si="9"/>
        <v>0</v>
      </c>
      <c r="N196" s="18">
        <f>IF($A196&gt;20,0,(N168-MIN(MAX(O195,0),N168))+MIN(MAX(0,P195-(N168-MIN(MAX(O195,0),N168))),MAX(0,1*N168-(O195-MIN(MAX(O195,0),N168)))))</f>
        <v>0</v>
      </c>
      <c r="O196" s="18">
        <f>IF($A196&gt;20,O195,(O195-N168+N196)*(1+$B$7))</f>
        <v>6.7831769982860685E-3</v>
      </c>
      <c r="P196" s="18">
        <f t="shared" si="10"/>
        <v>0</v>
      </c>
      <c r="Q196" s="18">
        <f>IF($A196&gt;20,0,(Q168-MIN(MAX(R195,0),Q168))+MIN(MAX(0,S195-(Q168-MIN(MAX(R195,0),Q168))),MAX(0,1*Q168-(R195-MIN(MAX(R195,0),Q168)))))</f>
        <v>0</v>
      </c>
      <c r="R196" s="18">
        <f>IF($A196&gt;20,R195,(R195-Q168+Q196)*(1+$B$7))</f>
        <v>0</v>
      </c>
      <c r="S196" s="18">
        <f t="shared" si="11"/>
        <v>-1.348201408291061E-9</v>
      </c>
    </row>
    <row r="197" spans="1:19">
      <c r="A197" s="10">
        <f>27</f>
        <v>27</v>
      </c>
      <c r="B197" s="18">
        <f>IF($A197&gt;20,0,(B168-MIN(MAX(C196,0),B168))+MIN(MAX(0,D196-(B168-MIN(MAX(C196,0),B168))),MAX(0,1*B168-(C196-MIN(MAX(C196,0),B168)))))</f>
        <v>0</v>
      </c>
      <c r="C197" s="18">
        <f>IF($A197&gt;20,C196,(C196-B168+B197)*(1+$B$7))</f>
        <v>29892</v>
      </c>
      <c r="D197" s="18">
        <f t="shared" si="6"/>
        <v>918839.32547502592</v>
      </c>
      <c r="E197" s="18">
        <f>IF($A197&gt;20,0,(E168-MIN(MAX(F196,0),E168))+MIN(MAX(0,G196-(E168-MIN(MAX(F196,0),E168))),MAX(0,1*E168-(F196-MIN(MAX(F196,0),E168)))))</f>
        <v>0</v>
      </c>
      <c r="F197" s="18">
        <f>IF($A197&gt;20,F196,(F196-E168+E197)*(1+$B$7))</f>
        <v>0</v>
      </c>
      <c r="G197" s="18">
        <f t="shared" si="7"/>
        <v>-323944.4669835805</v>
      </c>
      <c r="H197" s="18">
        <f>IF($A197&gt;20,0,(H168-MIN(MAX(I196,0),H168))+MIN(MAX(0,J196-(H168-MIN(MAX(I196,0),H168))),MAX(0,1*H168-(I196-MIN(MAX(I196,0),H168)))))</f>
        <v>0</v>
      </c>
      <c r="I197" s="18">
        <f>IF($A197&gt;20,I196,(I196-H168+H197)*(1+$B$7))</f>
        <v>0</v>
      </c>
      <c r="J197" s="18">
        <f t="shared" si="8"/>
        <v>-7601.2524227218682</v>
      </c>
      <c r="K197" s="18">
        <f>IF($A197&gt;20,0,(K168-MIN(MAX(L196,0),K168))+MIN(MAX(0,M196-(K168-MIN(MAX(L196,0),K168))),MAX(0,1*K168-(L196-MIN(MAX(L196,0),K168)))))</f>
        <v>0</v>
      </c>
      <c r="L197" s="18">
        <f>IF($A197&gt;20,L196,(L196-K168+K197)*(1+$B$7))</f>
        <v>6.7138731397475633</v>
      </c>
      <c r="M197" s="18">
        <f t="shared" si="9"/>
        <v>0</v>
      </c>
      <c r="N197" s="18">
        <f>IF($A197&gt;20,0,(N168-MIN(MAX(O196,0),N168))+MIN(MAX(0,P196-(N168-MIN(MAX(O196,0),N168))),MAX(0,1*N168-(O196-MIN(MAX(O196,0),N168)))))</f>
        <v>0</v>
      </c>
      <c r="O197" s="18">
        <f>IF($A197&gt;20,O196,(O196-N168+N197)*(1+$B$7))</f>
        <v>6.7831769982860685E-3</v>
      </c>
      <c r="P197" s="18">
        <f t="shared" si="10"/>
        <v>0</v>
      </c>
      <c r="Q197" s="18">
        <f>IF($A197&gt;20,0,(Q168-MIN(MAX(R196,0),Q168))+MIN(MAX(0,S196-(Q168-MIN(MAX(R196,0),Q168))),MAX(0,1*Q168-(R196-MIN(MAX(R196,0),Q168)))))</f>
        <v>0</v>
      </c>
      <c r="R197" s="18">
        <f>IF($A197&gt;20,R196,(R196-Q168+Q197)*(1+$B$7))</f>
        <v>0</v>
      </c>
      <c r="S197" s="18">
        <f t="shared" si="11"/>
        <v>-1.348201408291061E-9</v>
      </c>
    </row>
    <row r="198" spans="1:19">
      <c r="A198" s="10">
        <f>28</f>
        <v>28</v>
      </c>
      <c r="B198" s="18">
        <f>IF($A198&gt;20,0,(B168-MIN(MAX(C197,0),B168))+MIN(MAX(0,D197-(B168-MIN(MAX(C197,0),B168))),MAX(0,1*B168-(C197-MIN(MAX(C197,0),B168)))))</f>
        <v>0</v>
      </c>
      <c r="C198" s="18">
        <f>IF($A198&gt;20,C197,(C197-B168+B198)*(1+$B$7))</f>
        <v>29892</v>
      </c>
      <c r="D198" s="18">
        <f t="shared" si="6"/>
        <v>918839.32547502592</v>
      </c>
      <c r="E198" s="18">
        <f>IF($A198&gt;20,0,(E168-MIN(MAX(F197,0),E168))+MIN(MAX(0,G197-(E168-MIN(MAX(F197,0),E168))),MAX(0,1*E168-(F197-MIN(MAX(F197,0),E168)))))</f>
        <v>0</v>
      </c>
      <c r="F198" s="18">
        <f>IF($A198&gt;20,F197,(F197-E168+E198)*(1+$B$7))</f>
        <v>0</v>
      </c>
      <c r="G198" s="18">
        <f t="shared" si="7"/>
        <v>-323944.4669835805</v>
      </c>
      <c r="H198" s="18">
        <f>IF($A198&gt;20,0,(H168-MIN(MAX(I197,0),H168))+MIN(MAX(0,J197-(H168-MIN(MAX(I197,0),H168))),MAX(0,1*H168-(I197-MIN(MAX(I197,0),H168)))))</f>
        <v>0</v>
      </c>
      <c r="I198" s="18">
        <f>IF($A198&gt;20,I197,(I197-H168+H198)*(1+$B$7))</f>
        <v>0</v>
      </c>
      <c r="J198" s="18">
        <f t="shared" si="8"/>
        <v>-7601.2524227218682</v>
      </c>
      <c r="K198" s="18">
        <f>IF($A198&gt;20,0,(K168-MIN(MAX(L197,0),K168))+MIN(MAX(0,M197-(K168-MIN(MAX(L197,0),K168))),MAX(0,1*K168-(L197-MIN(MAX(L197,0),K168)))))</f>
        <v>0</v>
      </c>
      <c r="L198" s="18">
        <f>IF($A198&gt;20,L197,(L197-K168+K198)*(1+$B$7))</f>
        <v>6.7138731397475633</v>
      </c>
      <c r="M198" s="18">
        <f t="shared" si="9"/>
        <v>0</v>
      </c>
      <c r="N198" s="18">
        <f>IF($A198&gt;20,0,(N168-MIN(MAX(O197,0),N168))+MIN(MAX(0,P197-(N168-MIN(MAX(O197,0),N168))),MAX(0,1*N168-(O197-MIN(MAX(O197,0),N168)))))</f>
        <v>0</v>
      </c>
      <c r="O198" s="18">
        <f>IF($A198&gt;20,O197,(O197-N168+N198)*(1+$B$7))</f>
        <v>6.7831769982860685E-3</v>
      </c>
      <c r="P198" s="18">
        <f t="shared" si="10"/>
        <v>0</v>
      </c>
      <c r="Q198" s="18">
        <f>IF($A198&gt;20,0,(Q168-MIN(MAX(R197,0),Q168))+MIN(MAX(0,S197-(Q168-MIN(MAX(R197,0),Q168))),MAX(0,1*Q168-(R197-MIN(MAX(R197,0),Q168)))))</f>
        <v>0</v>
      </c>
      <c r="R198" s="18">
        <f>IF($A198&gt;20,R197,(R197-Q168+Q198)*(1+$B$7))</f>
        <v>0</v>
      </c>
      <c r="S198" s="18">
        <f t="shared" si="11"/>
        <v>-1.348201408291061E-9</v>
      </c>
    </row>
    <row r="199" spans="1:19">
      <c r="A199" s="10">
        <f>29</f>
        <v>29</v>
      </c>
      <c r="B199" s="18">
        <f>IF($A199&gt;20,0,(B168-MIN(MAX(C198,0),B168))+MIN(MAX(0,D198-(B168-MIN(MAX(C198,0),B168))),MAX(0,1*B168-(C198-MIN(MAX(C198,0),B168)))))</f>
        <v>0</v>
      </c>
      <c r="C199" s="18">
        <f>IF($A199&gt;20,C198,(C198-B168+B199)*(1+$B$7))</f>
        <v>29892</v>
      </c>
      <c r="D199" s="18">
        <f t="shared" si="6"/>
        <v>918839.32547502592</v>
      </c>
      <c r="E199" s="18">
        <f>IF($A199&gt;20,0,(E168-MIN(MAX(F198,0),E168))+MIN(MAX(0,G198-(E168-MIN(MAX(F198,0),E168))),MAX(0,1*E168-(F198-MIN(MAX(F198,0),E168)))))</f>
        <v>0</v>
      </c>
      <c r="F199" s="18">
        <f>IF($A199&gt;20,F198,(F198-E168+E199)*(1+$B$7))</f>
        <v>0</v>
      </c>
      <c r="G199" s="18">
        <f t="shared" si="7"/>
        <v>-323944.4669835805</v>
      </c>
      <c r="H199" s="18">
        <f>IF($A199&gt;20,0,(H168-MIN(MAX(I198,0),H168))+MIN(MAX(0,J198-(H168-MIN(MAX(I198,0),H168))),MAX(0,1*H168-(I198-MIN(MAX(I198,0),H168)))))</f>
        <v>0</v>
      </c>
      <c r="I199" s="18">
        <f>IF($A199&gt;20,I198,(I198-H168+H199)*(1+$B$7))</f>
        <v>0</v>
      </c>
      <c r="J199" s="18">
        <f t="shared" si="8"/>
        <v>-7601.2524227218682</v>
      </c>
      <c r="K199" s="18">
        <f>IF($A199&gt;20,0,(K168-MIN(MAX(L198,0),K168))+MIN(MAX(0,M198-(K168-MIN(MAX(L198,0),K168))),MAX(0,1*K168-(L198-MIN(MAX(L198,0),K168)))))</f>
        <v>0</v>
      </c>
      <c r="L199" s="18">
        <f>IF($A199&gt;20,L198,(L198-K168+K199)*(1+$B$7))</f>
        <v>6.7138731397475633</v>
      </c>
      <c r="M199" s="18">
        <f t="shared" si="9"/>
        <v>0</v>
      </c>
      <c r="N199" s="18">
        <f>IF($A199&gt;20,0,(N168-MIN(MAX(O198,0),N168))+MIN(MAX(0,P198-(N168-MIN(MAX(O198,0),N168))),MAX(0,1*N168-(O198-MIN(MAX(O198,0),N168)))))</f>
        <v>0</v>
      </c>
      <c r="O199" s="18">
        <f>IF($A199&gt;20,O198,(O198-N168+N199)*(1+$B$7))</f>
        <v>6.7831769982860685E-3</v>
      </c>
      <c r="P199" s="18">
        <f t="shared" si="10"/>
        <v>0</v>
      </c>
      <c r="Q199" s="18">
        <f>IF($A199&gt;20,0,(Q168-MIN(MAX(R198,0),Q168))+MIN(MAX(0,S198-(Q168-MIN(MAX(R198,0),Q168))),MAX(0,1*Q168-(R198-MIN(MAX(R198,0),Q168)))))</f>
        <v>0</v>
      </c>
      <c r="R199" s="18">
        <f>IF($A199&gt;20,R198,(R198-Q168+Q199)*(1+$B$7))</f>
        <v>0</v>
      </c>
      <c r="S199" s="18">
        <f t="shared" si="11"/>
        <v>-1.348201408291061E-9</v>
      </c>
    </row>
    <row r="200" spans="1:19">
      <c r="A200" s="10">
        <f>30</f>
        <v>30</v>
      </c>
      <c r="B200" s="18">
        <f>IF($A200&gt;20,0,(B168-MIN(MAX(C199,0),B168))+MIN(MAX(0,D199-(B168-MIN(MAX(C199,0),B168))),MAX(0,1*B168-(C199-MIN(MAX(C199,0),B168)))))</f>
        <v>0</v>
      </c>
      <c r="C200" s="18">
        <f>IF($A200&gt;20,C199,(C199-B168+B200)*(1+$B$7))</f>
        <v>29892</v>
      </c>
      <c r="D200" s="18">
        <f t="shared" si="6"/>
        <v>918839.32547502592</v>
      </c>
      <c r="E200" s="18">
        <f>IF($A200&gt;20,0,(E168-MIN(MAX(F199,0),E168))+MIN(MAX(0,G199-(E168-MIN(MAX(F199,0),E168))),MAX(0,1*E168-(F199-MIN(MAX(F199,0),E168)))))</f>
        <v>0</v>
      </c>
      <c r="F200" s="18">
        <f>IF($A200&gt;20,F199,(F199-E168+E200)*(1+$B$7))</f>
        <v>0</v>
      </c>
      <c r="G200" s="18">
        <f t="shared" si="7"/>
        <v>-323944.4669835805</v>
      </c>
      <c r="H200" s="18">
        <f>IF($A200&gt;20,0,(H168-MIN(MAX(I199,0),H168))+MIN(MAX(0,J199-(H168-MIN(MAX(I199,0),H168))),MAX(0,1*H168-(I199-MIN(MAX(I199,0),H168)))))</f>
        <v>0</v>
      </c>
      <c r="I200" s="18">
        <f>IF($A200&gt;20,I199,(I199-H168+H200)*(1+$B$7))</f>
        <v>0</v>
      </c>
      <c r="J200" s="18">
        <f t="shared" si="8"/>
        <v>-7601.2524227218682</v>
      </c>
      <c r="K200" s="18">
        <f>IF($A200&gt;20,0,(K168-MIN(MAX(L199,0),K168))+MIN(MAX(0,M199-(K168-MIN(MAX(L199,0),K168))),MAX(0,1*K168-(L199-MIN(MAX(L199,0),K168)))))</f>
        <v>0</v>
      </c>
      <c r="L200" s="18">
        <f>IF($A200&gt;20,L199,(L199-K168+K200)*(1+$B$7))</f>
        <v>6.7138731397475633</v>
      </c>
      <c r="M200" s="18">
        <f t="shared" si="9"/>
        <v>0</v>
      </c>
      <c r="N200" s="18">
        <f>IF($A200&gt;20,0,(N168-MIN(MAX(O199,0),N168))+MIN(MAX(0,P199-(N168-MIN(MAX(O199,0),N168))),MAX(0,1*N168-(O199-MIN(MAX(O199,0),N168)))))</f>
        <v>0</v>
      </c>
      <c r="O200" s="18">
        <f>IF($A200&gt;20,O199,(O199-N168+N200)*(1+$B$7))</f>
        <v>6.7831769982860685E-3</v>
      </c>
      <c r="P200" s="18">
        <f t="shared" si="10"/>
        <v>0</v>
      </c>
      <c r="Q200" s="18">
        <f>IF($A200&gt;20,0,(Q168-MIN(MAX(R199,0),Q168))+MIN(MAX(0,S199-(Q168-MIN(MAX(R199,0),Q168))),MAX(0,1*Q168-(R199-MIN(MAX(R199,0),Q168)))))</f>
        <v>0</v>
      </c>
      <c r="R200" s="18">
        <f>IF($A200&gt;20,R199,(R199-Q168+Q200)*(1+$B$7))</f>
        <v>0</v>
      </c>
      <c r="S200" s="18">
        <f t="shared" si="11"/>
        <v>-1.348201408291061E-9</v>
      </c>
    </row>
    <row r="201" spans="1:19">
      <c r="A201" s="10">
        <f>31</f>
        <v>31</v>
      </c>
      <c r="B201" s="18">
        <f>IF($A201&gt;20,0,(B168-MIN(MAX(C200,0),B168))+MIN(MAX(0,D200-(B168-MIN(MAX(C200,0),B168))),MAX(0,1*B168-(C200-MIN(MAX(C200,0),B168)))))</f>
        <v>0</v>
      </c>
      <c r="C201" s="18">
        <f>IF($A201&gt;20,C200,(C200-B168+B201)*(1+$B$7))</f>
        <v>29892</v>
      </c>
      <c r="D201" s="18">
        <f t="shared" si="6"/>
        <v>918839.32547502592</v>
      </c>
      <c r="E201" s="18">
        <f>IF($A201&gt;20,0,(E168-MIN(MAX(F200,0),E168))+MIN(MAX(0,G200-(E168-MIN(MAX(F200,0),E168))),MAX(0,1*E168-(F200-MIN(MAX(F200,0),E168)))))</f>
        <v>0</v>
      </c>
      <c r="F201" s="18">
        <f>IF($A201&gt;20,F200,(F200-E168+E201)*(1+$B$7))</f>
        <v>0</v>
      </c>
      <c r="G201" s="18">
        <f t="shared" si="7"/>
        <v>-323944.4669835805</v>
      </c>
      <c r="H201" s="18">
        <f>IF($A201&gt;20,0,(H168-MIN(MAX(I200,0),H168))+MIN(MAX(0,J200-(H168-MIN(MAX(I200,0),H168))),MAX(0,1*H168-(I200-MIN(MAX(I200,0),H168)))))</f>
        <v>0</v>
      </c>
      <c r="I201" s="18">
        <f>IF($A201&gt;20,I200,(I200-H168+H201)*(1+$B$7))</f>
        <v>0</v>
      </c>
      <c r="J201" s="18">
        <f t="shared" si="8"/>
        <v>-7601.2524227218682</v>
      </c>
      <c r="K201" s="18">
        <f>IF($A201&gt;20,0,(K168-MIN(MAX(L200,0),K168))+MIN(MAX(0,M200-(K168-MIN(MAX(L200,0),K168))),MAX(0,1*K168-(L200-MIN(MAX(L200,0),K168)))))</f>
        <v>0</v>
      </c>
      <c r="L201" s="18">
        <f>IF($A201&gt;20,L200,(L200-K168+K201)*(1+$B$7))</f>
        <v>6.7138731397475633</v>
      </c>
      <c r="M201" s="18">
        <f t="shared" si="9"/>
        <v>0</v>
      </c>
      <c r="N201" s="18">
        <f>IF($A201&gt;20,0,(N168-MIN(MAX(O200,0),N168))+MIN(MAX(0,P200-(N168-MIN(MAX(O200,0),N168))),MAX(0,1*N168-(O200-MIN(MAX(O200,0),N168)))))</f>
        <v>0</v>
      </c>
      <c r="O201" s="18">
        <f>IF($A201&gt;20,O200,(O200-N168+N201)*(1+$B$7))</f>
        <v>6.7831769982860685E-3</v>
      </c>
      <c r="P201" s="18">
        <f t="shared" si="10"/>
        <v>0</v>
      </c>
      <c r="Q201" s="18">
        <f>IF($A201&gt;20,0,(Q168-MIN(MAX(R200,0),Q168))+MIN(MAX(0,S200-(Q168-MIN(MAX(R200,0),Q168))),MAX(0,1*Q168-(R200-MIN(MAX(R200,0),Q168)))))</f>
        <v>0</v>
      </c>
      <c r="R201" s="18">
        <f>IF($A201&gt;20,R200,(R200-Q168+Q201)*(1+$B$7))</f>
        <v>0</v>
      </c>
      <c r="S201" s="18">
        <f t="shared" si="11"/>
        <v>-1.348201408291061E-9</v>
      </c>
    </row>
    <row r="202" spans="1:19">
      <c r="A202" s="10">
        <f>32</f>
        <v>32</v>
      </c>
      <c r="B202" s="18">
        <f>IF($A202&gt;20,0,(B168-MIN(MAX(C201,0),B168))+MIN(MAX(0,D201-(B168-MIN(MAX(C201,0),B168))),MAX(0,1*B168-(C201-MIN(MAX(C201,0),B168)))))</f>
        <v>0</v>
      </c>
      <c r="C202" s="18">
        <f>IF($A202&gt;20,C201,(C201-B168+B202)*(1+$B$7))</f>
        <v>29892</v>
      </c>
      <c r="D202" s="18">
        <f t="shared" si="6"/>
        <v>918839.32547502592</v>
      </c>
      <c r="E202" s="18">
        <f>IF($A202&gt;20,0,(E168-MIN(MAX(F201,0),E168))+MIN(MAX(0,G201-(E168-MIN(MAX(F201,0),E168))),MAX(0,1*E168-(F201-MIN(MAX(F201,0),E168)))))</f>
        <v>0</v>
      </c>
      <c r="F202" s="18">
        <f>IF($A202&gt;20,F201,(F201-E168+E202)*(1+$B$7))</f>
        <v>0</v>
      </c>
      <c r="G202" s="18">
        <f t="shared" si="7"/>
        <v>-323944.4669835805</v>
      </c>
      <c r="H202" s="18">
        <f>IF($A202&gt;20,0,(H168-MIN(MAX(I201,0),H168))+MIN(MAX(0,J201-(H168-MIN(MAX(I201,0),H168))),MAX(0,1*H168-(I201-MIN(MAX(I201,0),H168)))))</f>
        <v>0</v>
      </c>
      <c r="I202" s="18">
        <f>IF($A202&gt;20,I201,(I201-H168+H202)*(1+$B$7))</f>
        <v>0</v>
      </c>
      <c r="J202" s="18">
        <f t="shared" si="8"/>
        <v>-7601.2524227218682</v>
      </c>
      <c r="K202" s="18">
        <f>IF($A202&gt;20,0,(K168-MIN(MAX(L201,0),K168))+MIN(MAX(0,M201-(K168-MIN(MAX(L201,0),K168))),MAX(0,1*K168-(L201-MIN(MAX(L201,0),K168)))))</f>
        <v>0</v>
      </c>
      <c r="L202" s="18">
        <f>IF($A202&gt;20,L201,(L201-K168+K202)*(1+$B$7))</f>
        <v>6.7138731397475633</v>
      </c>
      <c r="M202" s="18">
        <f t="shared" si="9"/>
        <v>0</v>
      </c>
      <c r="N202" s="18">
        <f>IF($A202&gt;20,0,(N168-MIN(MAX(O201,0),N168))+MIN(MAX(0,P201-(N168-MIN(MAX(O201,0),N168))),MAX(0,1*N168-(O201-MIN(MAX(O201,0),N168)))))</f>
        <v>0</v>
      </c>
      <c r="O202" s="18">
        <f>IF($A202&gt;20,O201,(O201-N168+N202)*(1+$B$7))</f>
        <v>6.7831769982860685E-3</v>
      </c>
      <c r="P202" s="18">
        <f t="shared" si="10"/>
        <v>0</v>
      </c>
      <c r="Q202" s="18">
        <f>IF($A202&gt;20,0,(Q168-MIN(MAX(R201,0),Q168))+MIN(MAX(0,S201-(Q168-MIN(MAX(R201,0),Q168))),MAX(0,1*Q168-(R201-MIN(MAX(R201,0),Q168)))))</f>
        <v>0</v>
      </c>
      <c r="R202" s="18">
        <f>IF($A202&gt;20,R201,(R201-Q168+Q202)*(1+$B$7))</f>
        <v>0</v>
      </c>
      <c r="S202" s="18">
        <f t="shared" si="11"/>
        <v>-1.348201408291061E-9</v>
      </c>
    </row>
    <row r="203" spans="1:19">
      <c r="A203" s="10">
        <f>33</f>
        <v>33</v>
      </c>
      <c r="B203" s="18">
        <f>IF($A203&gt;20,0,(B168-MIN(MAX(C202,0),B168))+MIN(MAX(0,D202-(B168-MIN(MAX(C202,0),B168))),MAX(0,1*B168-(C202-MIN(MAX(C202,0),B168)))))</f>
        <v>0</v>
      </c>
      <c r="C203" s="18">
        <f>IF($A203&gt;20,C202,(C202-B168+B203)*(1+$B$7))</f>
        <v>29892</v>
      </c>
      <c r="D203" s="18">
        <f t="shared" si="6"/>
        <v>918839.32547502592</v>
      </c>
      <c r="E203" s="18">
        <f>IF($A203&gt;20,0,(E168-MIN(MAX(F202,0),E168))+MIN(MAX(0,G202-(E168-MIN(MAX(F202,0),E168))),MAX(0,1*E168-(F202-MIN(MAX(F202,0),E168)))))</f>
        <v>0</v>
      </c>
      <c r="F203" s="18">
        <f>IF($A203&gt;20,F202,(F202-E168+E203)*(1+$B$7))</f>
        <v>0</v>
      </c>
      <c r="G203" s="18">
        <f t="shared" si="7"/>
        <v>-323944.4669835805</v>
      </c>
      <c r="H203" s="18">
        <f>IF($A203&gt;20,0,(H168-MIN(MAX(I202,0),H168))+MIN(MAX(0,J202-(H168-MIN(MAX(I202,0),H168))),MAX(0,1*H168-(I202-MIN(MAX(I202,0),H168)))))</f>
        <v>0</v>
      </c>
      <c r="I203" s="18">
        <f>IF($A203&gt;20,I202,(I202-H168+H203)*(1+$B$7))</f>
        <v>0</v>
      </c>
      <c r="J203" s="18">
        <f t="shared" si="8"/>
        <v>-7601.2524227218682</v>
      </c>
      <c r="K203" s="18">
        <f>IF($A203&gt;20,0,(K168-MIN(MAX(L202,0),K168))+MIN(MAX(0,M202-(K168-MIN(MAX(L202,0),K168))),MAX(0,1*K168-(L202-MIN(MAX(L202,0),K168)))))</f>
        <v>0</v>
      </c>
      <c r="L203" s="18">
        <f>IF($A203&gt;20,L202,(L202-K168+K203)*(1+$B$7))</f>
        <v>6.7138731397475633</v>
      </c>
      <c r="M203" s="18">
        <f t="shared" si="9"/>
        <v>0</v>
      </c>
      <c r="N203" s="18">
        <f>IF($A203&gt;20,0,(N168-MIN(MAX(O202,0),N168))+MIN(MAX(0,P202-(N168-MIN(MAX(O202,0),N168))),MAX(0,1*N168-(O202-MIN(MAX(O202,0),N168)))))</f>
        <v>0</v>
      </c>
      <c r="O203" s="18">
        <f>IF($A203&gt;20,O202,(O202-N168+N203)*(1+$B$7))</f>
        <v>6.7831769982860685E-3</v>
      </c>
      <c r="P203" s="18">
        <f t="shared" si="10"/>
        <v>0</v>
      </c>
      <c r="Q203" s="18">
        <f>IF($A203&gt;20,0,(Q168-MIN(MAX(R202,0),Q168))+MIN(MAX(0,S202-(Q168-MIN(MAX(R202,0),Q168))),MAX(0,1*Q168-(R202-MIN(MAX(R202,0),Q168)))))</f>
        <v>0</v>
      </c>
      <c r="R203" s="18">
        <f>IF($A203&gt;20,R202,(R202-Q168+Q203)*(1+$B$7))</f>
        <v>0</v>
      </c>
      <c r="S203" s="18">
        <f t="shared" si="11"/>
        <v>-1.348201408291061E-9</v>
      </c>
    </row>
    <row r="204" spans="1:19">
      <c r="A204" s="10">
        <f>34</f>
        <v>34</v>
      </c>
      <c r="B204" s="18">
        <f>IF($A204&gt;20,0,(B168-MIN(MAX(C203,0),B168))+MIN(MAX(0,D203-(B168-MIN(MAX(C203,0),B168))),MAX(0,1*B168-(C203-MIN(MAX(C203,0),B168)))))</f>
        <v>0</v>
      </c>
      <c r="C204" s="18">
        <f>IF($A204&gt;20,C203,(C203-B168+B204)*(1+$B$7))</f>
        <v>29892</v>
      </c>
      <c r="D204" s="18">
        <f t="shared" si="6"/>
        <v>918839.32547502592</v>
      </c>
      <c r="E204" s="18">
        <f>IF($A204&gt;20,0,(E168-MIN(MAX(F203,0),E168))+MIN(MAX(0,G203-(E168-MIN(MAX(F203,0),E168))),MAX(0,1*E168-(F203-MIN(MAX(F203,0),E168)))))</f>
        <v>0</v>
      </c>
      <c r="F204" s="18">
        <f>IF($A204&gt;20,F203,(F203-E168+E204)*(1+$B$7))</f>
        <v>0</v>
      </c>
      <c r="G204" s="18">
        <f t="shared" si="7"/>
        <v>-323944.4669835805</v>
      </c>
      <c r="H204" s="18">
        <f>IF($A204&gt;20,0,(H168-MIN(MAX(I203,0),H168))+MIN(MAX(0,J203-(H168-MIN(MAX(I203,0),H168))),MAX(0,1*H168-(I203-MIN(MAX(I203,0),H168)))))</f>
        <v>0</v>
      </c>
      <c r="I204" s="18">
        <f>IF($A204&gt;20,I203,(I203-H168+H204)*(1+$B$7))</f>
        <v>0</v>
      </c>
      <c r="J204" s="18">
        <f t="shared" si="8"/>
        <v>-7601.2524227218682</v>
      </c>
      <c r="K204" s="18">
        <f>IF($A204&gt;20,0,(K168-MIN(MAX(L203,0),K168))+MIN(MAX(0,M203-(K168-MIN(MAX(L203,0),K168))),MAX(0,1*K168-(L203-MIN(MAX(L203,0),K168)))))</f>
        <v>0</v>
      </c>
      <c r="L204" s="18">
        <f>IF($A204&gt;20,L203,(L203-K168+K204)*(1+$B$7))</f>
        <v>6.7138731397475633</v>
      </c>
      <c r="M204" s="18">
        <f t="shared" si="9"/>
        <v>0</v>
      </c>
      <c r="N204" s="18">
        <f>IF($A204&gt;20,0,(N168-MIN(MAX(O203,0),N168))+MIN(MAX(0,P203-(N168-MIN(MAX(O203,0),N168))),MAX(0,1*N168-(O203-MIN(MAX(O203,0),N168)))))</f>
        <v>0</v>
      </c>
      <c r="O204" s="18">
        <f>IF($A204&gt;20,O203,(O203-N168+N204)*(1+$B$7))</f>
        <v>6.7831769982860685E-3</v>
      </c>
      <c r="P204" s="18">
        <f t="shared" si="10"/>
        <v>0</v>
      </c>
      <c r="Q204" s="18">
        <f>IF($A204&gt;20,0,(Q168-MIN(MAX(R203,0),Q168))+MIN(MAX(0,S203-(Q168-MIN(MAX(R203,0),Q168))),MAX(0,1*Q168-(R203-MIN(MAX(R203,0),Q168)))))</f>
        <v>0</v>
      </c>
      <c r="R204" s="18">
        <f>IF($A204&gt;20,R203,(R203-Q168+Q204)*(1+$B$7))</f>
        <v>0</v>
      </c>
      <c r="S204" s="18">
        <f t="shared" si="11"/>
        <v>-1.348201408291061E-9</v>
      </c>
    </row>
    <row r="205" spans="1:19">
      <c r="A205" s="10">
        <f>35</f>
        <v>35</v>
      </c>
      <c r="B205" s="18">
        <f>IF($A205&gt;20,0,(B168-MIN(MAX(C204,0),B168))+MIN(MAX(0,D204-(B168-MIN(MAX(C204,0),B168))),MAX(0,1*B168-(C204-MIN(MAX(C204,0),B168)))))</f>
        <v>0</v>
      </c>
      <c r="C205" s="18">
        <f>IF($A205&gt;20,C204,(C204-B168+B205)*(1+$B$7))</f>
        <v>29892</v>
      </c>
      <c r="D205" s="18">
        <f t="shared" si="6"/>
        <v>918839.32547502592</v>
      </c>
      <c r="E205" s="18">
        <f>IF($A205&gt;20,0,(E168-MIN(MAX(F204,0),E168))+MIN(MAX(0,G204-(E168-MIN(MAX(F204,0),E168))),MAX(0,1*E168-(F204-MIN(MAX(F204,0),E168)))))</f>
        <v>0</v>
      </c>
      <c r="F205" s="18">
        <f>IF($A205&gt;20,F204,(F204-E168+E205)*(1+$B$7))</f>
        <v>0</v>
      </c>
      <c r="G205" s="18">
        <f t="shared" si="7"/>
        <v>-323944.4669835805</v>
      </c>
      <c r="H205" s="18">
        <f>IF($A205&gt;20,0,(H168-MIN(MAX(I204,0),H168))+MIN(MAX(0,J204-(H168-MIN(MAX(I204,0),H168))),MAX(0,1*H168-(I204-MIN(MAX(I204,0),H168)))))</f>
        <v>0</v>
      </c>
      <c r="I205" s="18">
        <f>IF($A205&gt;20,I204,(I204-H168+H205)*(1+$B$7))</f>
        <v>0</v>
      </c>
      <c r="J205" s="18">
        <f t="shared" si="8"/>
        <v>-7601.2524227218682</v>
      </c>
      <c r="K205" s="18">
        <f>IF($A205&gt;20,0,(K168-MIN(MAX(L204,0),K168))+MIN(MAX(0,M204-(K168-MIN(MAX(L204,0),K168))),MAX(0,1*K168-(L204-MIN(MAX(L204,0),K168)))))</f>
        <v>0</v>
      </c>
      <c r="L205" s="18">
        <f>IF($A205&gt;20,L204,(L204-K168+K205)*(1+$B$7))</f>
        <v>6.7138731397475633</v>
      </c>
      <c r="M205" s="18">
        <f t="shared" si="9"/>
        <v>0</v>
      </c>
      <c r="N205" s="18">
        <f>IF($A205&gt;20,0,(N168-MIN(MAX(O204,0),N168))+MIN(MAX(0,P204-(N168-MIN(MAX(O204,0),N168))),MAX(0,1*N168-(O204-MIN(MAX(O204,0),N168)))))</f>
        <v>0</v>
      </c>
      <c r="O205" s="18">
        <f>IF($A205&gt;20,O204,(O204-N168+N205)*(1+$B$7))</f>
        <v>6.7831769982860685E-3</v>
      </c>
      <c r="P205" s="18">
        <f t="shared" si="10"/>
        <v>0</v>
      </c>
      <c r="Q205" s="18">
        <f>IF($A205&gt;20,0,(Q168-MIN(MAX(R204,0),Q168))+MIN(MAX(0,S204-(Q168-MIN(MAX(R204,0),Q168))),MAX(0,1*Q168-(R204-MIN(MAX(R204,0),Q168)))))</f>
        <v>0</v>
      </c>
      <c r="R205" s="18">
        <f>IF($A205&gt;20,R204,(R204-Q168+Q205)*(1+$B$7))</f>
        <v>0</v>
      </c>
      <c r="S205" s="18">
        <f t="shared" si="11"/>
        <v>-1.348201408291061E-9</v>
      </c>
    </row>
    <row r="206" spans="1:19">
      <c r="A206" s="10">
        <f>36</f>
        <v>36</v>
      </c>
      <c r="B206" s="18">
        <f>IF($A206&gt;20,0,(B168-MIN(MAX(C205,0),B168))+MIN(MAX(0,D205-(B168-MIN(MAX(C205,0),B168))),MAX(0,1*B168-(C205-MIN(MAX(C205,0),B168)))))</f>
        <v>0</v>
      </c>
      <c r="C206" s="18">
        <f>IF($A206&gt;20,C205,(C205-B168+B206)*(1+$B$7))</f>
        <v>29892</v>
      </c>
      <c r="D206" s="18">
        <f t="shared" si="6"/>
        <v>918839.32547502592</v>
      </c>
      <c r="E206" s="18">
        <f>IF($A206&gt;20,0,(E168-MIN(MAX(F205,0),E168))+MIN(MAX(0,G205-(E168-MIN(MAX(F205,0),E168))),MAX(0,1*E168-(F205-MIN(MAX(F205,0),E168)))))</f>
        <v>0</v>
      </c>
      <c r="F206" s="18">
        <f>IF($A206&gt;20,F205,(F205-E168+E206)*(1+$B$7))</f>
        <v>0</v>
      </c>
      <c r="G206" s="18">
        <f t="shared" si="7"/>
        <v>-323944.4669835805</v>
      </c>
      <c r="H206" s="18">
        <f>IF($A206&gt;20,0,(H168-MIN(MAX(I205,0),H168))+MIN(MAX(0,J205-(H168-MIN(MAX(I205,0),H168))),MAX(0,1*H168-(I205-MIN(MAX(I205,0),H168)))))</f>
        <v>0</v>
      </c>
      <c r="I206" s="18">
        <f>IF($A206&gt;20,I205,(I205-H168+H206)*(1+$B$7))</f>
        <v>0</v>
      </c>
      <c r="J206" s="18">
        <f t="shared" si="8"/>
        <v>-7601.2524227218682</v>
      </c>
      <c r="K206" s="18">
        <f>IF($A206&gt;20,0,(K168-MIN(MAX(L205,0),K168))+MIN(MAX(0,M205-(K168-MIN(MAX(L205,0),K168))),MAX(0,1*K168-(L205-MIN(MAX(L205,0),K168)))))</f>
        <v>0</v>
      </c>
      <c r="L206" s="18">
        <f>IF($A206&gt;20,L205,(L205-K168+K206)*(1+$B$7))</f>
        <v>6.7138731397475633</v>
      </c>
      <c r="M206" s="18">
        <f t="shared" si="9"/>
        <v>0</v>
      </c>
      <c r="N206" s="18">
        <f>IF($A206&gt;20,0,(N168-MIN(MAX(O205,0),N168))+MIN(MAX(0,P205-(N168-MIN(MAX(O205,0),N168))),MAX(0,1*N168-(O205-MIN(MAX(O205,0),N168)))))</f>
        <v>0</v>
      </c>
      <c r="O206" s="18">
        <f>IF($A206&gt;20,O205,(O205-N168+N206)*(1+$B$7))</f>
        <v>6.7831769982860685E-3</v>
      </c>
      <c r="P206" s="18">
        <f t="shared" si="10"/>
        <v>0</v>
      </c>
      <c r="Q206" s="18">
        <f>IF($A206&gt;20,0,(Q168-MIN(MAX(R205,0),Q168))+MIN(MAX(0,S205-(Q168-MIN(MAX(R205,0),Q168))),MAX(0,1*Q168-(R205-MIN(MAX(R205,0),Q168)))))</f>
        <v>0</v>
      </c>
      <c r="R206" s="18">
        <f>IF($A206&gt;20,R205,(R205-Q168+Q206)*(1+$B$7))</f>
        <v>0</v>
      </c>
      <c r="S206" s="18">
        <f t="shared" si="11"/>
        <v>-1.348201408291061E-9</v>
      </c>
    </row>
    <row r="207" spans="1:19">
      <c r="A207" s="10">
        <f>37</f>
        <v>37</v>
      </c>
      <c r="B207" s="18">
        <f>IF($A207&gt;20,0,(B168-MIN(MAX(C206,0),B168))+MIN(MAX(0,D206-(B168-MIN(MAX(C206,0),B168))),MAX(0,1*B168-(C206-MIN(MAX(C206,0),B168)))))</f>
        <v>0</v>
      </c>
      <c r="C207" s="18">
        <f>IF($A207&gt;20,C206,(C206-B168+B207)*(1+$B$7))</f>
        <v>29892</v>
      </c>
      <c r="D207" s="18">
        <f t="shared" si="6"/>
        <v>918839.32547502592</v>
      </c>
      <c r="E207" s="18">
        <f>IF($A207&gt;20,0,(E168-MIN(MAX(F206,0),E168))+MIN(MAX(0,G206-(E168-MIN(MAX(F206,0),E168))),MAX(0,1*E168-(F206-MIN(MAX(F206,0),E168)))))</f>
        <v>0</v>
      </c>
      <c r="F207" s="18">
        <f>IF($A207&gt;20,F206,(F206-E168+E207)*(1+$B$7))</f>
        <v>0</v>
      </c>
      <c r="G207" s="18">
        <f t="shared" si="7"/>
        <v>-323944.4669835805</v>
      </c>
      <c r="H207" s="18">
        <f>IF($A207&gt;20,0,(H168-MIN(MAX(I206,0),H168))+MIN(MAX(0,J206-(H168-MIN(MAX(I206,0),H168))),MAX(0,1*H168-(I206-MIN(MAX(I206,0),H168)))))</f>
        <v>0</v>
      </c>
      <c r="I207" s="18">
        <f>IF($A207&gt;20,I206,(I206-H168+H207)*(1+$B$7))</f>
        <v>0</v>
      </c>
      <c r="J207" s="18">
        <f t="shared" si="8"/>
        <v>-7601.2524227218682</v>
      </c>
      <c r="K207" s="18">
        <f>IF($A207&gt;20,0,(K168-MIN(MAX(L206,0),K168))+MIN(MAX(0,M206-(K168-MIN(MAX(L206,0),K168))),MAX(0,1*K168-(L206-MIN(MAX(L206,0),K168)))))</f>
        <v>0</v>
      </c>
      <c r="L207" s="18">
        <f>IF($A207&gt;20,L206,(L206-K168+K207)*(1+$B$7))</f>
        <v>6.7138731397475633</v>
      </c>
      <c r="M207" s="18">
        <f t="shared" si="9"/>
        <v>0</v>
      </c>
      <c r="N207" s="18">
        <f>IF($A207&gt;20,0,(N168-MIN(MAX(O206,0),N168))+MIN(MAX(0,P206-(N168-MIN(MAX(O206,0),N168))),MAX(0,1*N168-(O206-MIN(MAX(O206,0),N168)))))</f>
        <v>0</v>
      </c>
      <c r="O207" s="18">
        <f>IF($A207&gt;20,O206,(O206-N168+N207)*(1+$B$7))</f>
        <v>6.7831769982860685E-3</v>
      </c>
      <c r="P207" s="18">
        <f t="shared" si="10"/>
        <v>0</v>
      </c>
      <c r="Q207" s="18">
        <f>IF($A207&gt;20,0,(Q168-MIN(MAX(R206,0),Q168))+MIN(MAX(0,S206-(Q168-MIN(MAX(R206,0),Q168))),MAX(0,1*Q168-(R206-MIN(MAX(R206,0),Q168)))))</f>
        <v>0</v>
      </c>
      <c r="R207" s="18">
        <f>IF($A207&gt;20,R206,(R206-Q168+Q207)*(1+$B$7))</f>
        <v>0</v>
      </c>
      <c r="S207" s="18">
        <f t="shared" si="11"/>
        <v>-1.348201408291061E-9</v>
      </c>
    </row>
    <row r="208" spans="1:19">
      <c r="A208" s="10">
        <f>38</f>
        <v>38</v>
      </c>
      <c r="B208" s="18">
        <f>IF($A208&gt;20,0,(B168-MIN(MAX(C207,0),B168))+MIN(MAX(0,D207-(B168-MIN(MAX(C207,0),B168))),MAX(0,1*B168-(C207-MIN(MAX(C207,0),B168)))))</f>
        <v>0</v>
      </c>
      <c r="C208" s="18">
        <f>IF($A208&gt;20,C207,(C207-B168+B208)*(1+$B$7))</f>
        <v>29892</v>
      </c>
      <c r="D208" s="18">
        <f t="shared" si="6"/>
        <v>918839.32547502592</v>
      </c>
      <c r="E208" s="18">
        <f>IF($A208&gt;20,0,(E168-MIN(MAX(F207,0),E168))+MIN(MAX(0,G207-(E168-MIN(MAX(F207,0),E168))),MAX(0,1*E168-(F207-MIN(MAX(F207,0),E168)))))</f>
        <v>0</v>
      </c>
      <c r="F208" s="18">
        <f>IF($A208&gt;20,F207,(F207-E168+E208)*(1+$B$7))</f>
        <v>0</v>
      </c>
      <c r="G208" s="18">
        <f t="shared" si="7"/>
        <v>-323944.4669835805</v>
      </c>
      <c r="H208" s="18">
        <f>IF($A208&gt;20,0,(H168-MIN(MAX(I207,0),H168))+MIN(MAX(0,J207-(H168-MIN(MAX(I207,0),H168))),MAX(0,1*H168-(I207-MIN(MAX(I207,0),H168)))))</f>
        <v>0</v>
      </c>
      <c r="I208" s="18">
        <f>IF($A208&gt;20,I207,(I207-H168+H208)*(1+$B$7))</f>
        <v>0</v>
      </c>
      <c r="J208" s="18">
        <f t="shared" si="8"/>
        <v>-7601.2524227218682</v>
      </c>
      <c r="K208" s="18">
        <f>IF($A208&gt;20,0,(K168-MIN(MAX(L207,0),K168))+MIN(MAX(0,M207-(K168-MIN(MAX(L207,0),K168))),MAX(0,1*K168-(L207-MIN(MAX(L207,0),K168)))))</f>
        <v>0</v>
      </c>
      <c r="L208" s="18">
        <f>IF($A208&gt;20,L207,(L207-K168+K208)*(1+$B$7))</f>
        <v>6.7138731397475633</v>
      </c>
      <c r="M208" s="18">
        <f t="shared" si="9"/>
        <v>0</v>
      </c>
      <c r="N208" s="18">
        <f>IF($A208&gt;20,0,(N168-MIN(MAX(O207,0),N168))+MIN(MAX(0,P207-(N168-MIN(MAX(O207,0),N168))),MAX(0,1*N168-(O207-MIN(MAX(O207,0),N168)))))</f>
        <v>0</v>
      </c>
      <c r="O208" s="18">
        <f>IF($A208&gt;20,O207,(O207-N168+N208)*(1+$B$7))</f>
        <v>6.7831769982860685E-3</v>
      </c>
      <c r="P208" s="18">
        <f t="shared" si="10"/>
        <v>0</v>
      </c>
      <c r="Q208" s="18">
        <f>IF($A208&gt;20,0,(Q168-MIN(MAX(R207,0),Q168))+MIN(MAX(0,S207-(Q168-MIN(MAX(R207,0),Q168))),MAX(0,1*Q168-(R207-MIN(MAX(R207,0),Q168)))))</f>
        <v>0</v>
      </c>
      <c r="R208" s="18">
        <f>IF($A208&gt;20,R207,(R207-Q168+Q208)*(1+$B$7))</f>
        <v>0</v>
      </c>
      <c r="S208" s="18">
        <f t="shared" si="11"/>
        <v>-1.348201408291061E-9</v>
      </c>
    </row>
    <row r="209" spans="1:19">
      <c r="A209" s="10">
        <f>39</f>
        <v>39</v>
      </c>
      <c r="B209" s="18">
        <f>IF($A209&gt;20,0,(B168-MIN(MAX(C208,0),B168))+MIN(MAX(0,D208-(B168-MIN(MAX(C208,0),B168))),MAX(0,1*B168-(C208-MIN(MAX(C208,0),B168)))))</f>
        <v>0</v>
      </c>
      <c r="C209" s="18">
        <f>IF($A209&gt;20,C208,(C208-B168+B209)*(1+$B$7))</f>
        <v>29892</v>
      </c>
      <c r="D209" s="18">
        <f t="shared" si="6"/>
        <v>918839.32547502592</v>
      </c>
      <c r="E209" s="18">
        <f>IF($A209&gt;20,0,(E168-MIN(MAX(F208,0),E168))+MIN(MAX(0,G208-(E168-MIN(MAX(F208,0),E168))),MAX(0,1*E168-(F208-MIN(MAX(F208,0),E168)))))</f>
        <v>0</v>
      </c>
      <c r="F209" s="18">
        <f>IF($A209&gt;20,F208,(F208-E168+E209)*(1+$B$7))</f>
        <v>0</v>
      </c>
      <c r="G209" s="18">
        <f t="shared" si="7"/>
        <v>-323944.4669835805</v>
      </c>
      <c r="H209" s="18">
        <f>IF($A209&gt;20,0,(H168-MIN(MAX(I208,0),H168))+MIN(MAX(0,J208-(H168-MIN(MAX(I208,0),H168))),MAX(0,1*H168-(I208-MIN(MAX(I208,0),H168)))))</f>
        <v>0</v>
      </c>
      <c r="I209" s="18">
        <f>IF($A209&gt;20,I208,(I208-H168+H209)*(1+$B$7))</f>
        <v>0</v>
      </c>
      <c r="J209" s="18">
        <f t="shared" si="8"/>
        <v>-7601.2524227218682</v>
      </c>
      <c r="K209" s="18">
        <f>IF($A209&gt;20,0,(K168-MIN(MAX(L208,0),K168))+MIN(MAX(0,M208-(K168-MIN(MAX(L208,0),K168))),MAX(0,1*K168-(L208-MIN(MAX(L208,0),K168)))))</f>
        <v>0</v>
      </c>
      <c r="L209" s="18">
        <f>IF($A209&gt;20,L208,(L208-K168+K209)*(1+$B$7))</f>
        <v>6.7138731397475633</v>
      </c>
      <c r="M209" s="18">
        <f t="shared" si="9"/>
        <v>0</v>
      </c>
      <c r="N209" s="18">
        <f>IF($A209&gt;20,0,(N168-MIN(MAX(O208,0),N168))+MIN(MAX(0,P208-(N168-MIN(MAX(O208,0),N168))),MAX(0,1*N168-(O208-MIN(MAX(O208,0),N168)))))</f>
        <v>0</v>
      </c>
      <c r="O209" s="18">
        <f>IF($A209&gt;20,O208,(O208-N168+N209)*(1+$B$7))</f>
        <v>6.7831769982860685E-3</v>
      </c>
      <c r="P209" s="18">
        <f t="shared" si="10"/>
        <v>0</v>
      </c>
      <c r="Q209" s="18">
        <f>IF($A209&gt;20,0,(Q168-MIN(MAX(R208,0),Q168))+MIN(MAX(0,S208-(Q168-MIN(MAX(R208,0),Q168))),MAX(0,1*Q168-(R208-MIN(MAX(R208,0),Q168)))))</f>
        <v>0</v>
      </c>
      <c r="R209" s="18">
        <f>IF($A209&gt;20,R208,(R208-Q168+Q209)*(1+$B$7))</f>
        <v>0</v>
      </c>
      <c r="S209" s="18">
        <f t="shared" si="11"/>
        <v>-1.348201408291061E-9</v>
      </c>
    </row>
    <row r="210" spans="1:19">
      <c r="A210" s="10">
        <f>40</f>
        <v>40</v>
      </c>
      <c r="B210" s="18">
        <f>IF($A210&gt;20,0,(B168-MIN(MAX(C209,0),B168))+MIN(MAX(0,D209-(B168-MIN(MAX(C209,0),B168))),MAX(0,1*B168-(C209-MIN(MAX(C209,0),B168)))))</f>
        <v>0</v>
      </c>
      <c r="C210" s="18">
        <f>IF($A210&gt;20,C209,(C209-B168+B210)*(1+$B$7))</f>
        <v>29892</v>
      </c>
      <c r="D210" s="18">
        <f t="shared" si="6"/>
        <v>918839.32547502592</v>
      </c>
      <c r="E210" s="18">
        <f>IF($A210&gt;20,0,(E168-MIN(MAX(F209,0),E168))+MIN(MAX(0,G209-(E168-MIN(MAX(F209,0),E168))),MAX(0,1*E168-(F209-MIN(MAX(F209,0),E168)))))</f>
        <v>0</v>
      </c>
      <c r="F210" s="18">
        <f>IF($A210&gt;20,F209,(F209-E168+E210)*(1+$B$7))</f>
        <v>0</v>
      </c>
      <c r="G210" s="18">
        <f t="shared" si="7"/>
        <v>-323944.4669835805</v>
      </c>
      <c r="H210" s="18">
        <f>IF($A210&gt;20,0,(H168-MIN(MAX(I209,0),H168))+MIN(MAX(0,J209-(H168-MIN(MAX(I209,0),H168))),MAX(0,1*H168-(I209-MIN(MAX(I209,0),H168)))))</f>
        <v>0</v>
      </c>
      <c r="I210" s="18">
        <f>IF($A210&gt;20,I209,(I209-H168+H210)*(1+$B$7))</f>
        <v>0</v>
      </c>
      <c r="J210" s="18">
        <f t="shared" si="8"/>
        <v>-7601.2524227218682</v>
      </c>
      <c r="K210" s="18">
        <f>IF($A210&gt;20,0,(K168-MIN(MAX(L209,0),K168))+MIN(MAX(0,M209-(K168-MIN(MAX(L209,0),K168))),MAX(0,1*K168-(L209-MIN(MAX(L209,0),K168)))))</f>
        <v>0</v>
      </c>
      <c r="L210" s="18">
        <f>IF($A210&gt;20,L209,(L209-K168+K210)*(1+$B$7))</f>
        <v>6.7138731397475633</v>
      </c>
      <c r="M210" s="18">
        <f t="shared" si="9"/>
        <v>0</v>
      </c>
      <c r="N210" s="18">
        <f>IF($A210&gt;20,0,(N168-MIN(MAX(O209,0),N168))+MIN(MAX(0,P209-(N168-MIN(MAX(O209,0),N168))),MAX(0,1*N168-(O209-MIN(MAX(O209,0),N168)))))</f>
        <v>0</v>
      </c>
      <c r="O210" s="18">
        <f>IF($A210&gt;20,O209,(O209-N168+N210)*(1+$B$7))</f>
        <v>6.7831769982860685E-3</v>
      </c>
      <c r="P210" s="18">
        <f t="shared" si="10"/>
        <v>0</v>
      </c>
      <c r="Q210" s="18">
        <f>IF($A210&gt;20,0,(Q168-MIN(MAX(R209,0),Q168))+MIN(MAX(0,S209-(Q168-MIN(MAX(R209,0),Q168))),MAX(0,1*Q168-(R209-MIN(MAX(R209,0),Q168)))))</f>
        <v>0</v>
      </c>
      <c r="R210" s="18">
        <f>IF($A210&gt;20,R209,(R209-Q168+Q210)*(1+$B$7))</f>
        <v>0</v>
      </c>
      <c r="S210" s="18">
        <f t="shared" si="11"/>
        <v>-1.348201408291061E-9</v>
      </c>
    </row>
    <row r="211" spans="1:19">
      <c r="B211" s="18">
        <f>C210+D210</f>
        <v>948731.32547502592</v>
      </c>
      <c r="E211" s="18">
        <f>F210+G210</f>
        <v>-323944.4669835805</v>
      </c>
      <c r="H211" s="18">
        <f>I210+J210</f>
        <v>-7601.2524227218682</v>
      </c>
      <c r="K211" s="18">
        <f>L210+M210</f>
        <v>6.7138731397475633</v>
      </c>
      <c r="N211" s="18">
        <f>O210+P210</f>
        <v>6.7831769982860685E-3</v>
      </c>
      <c r="Q211" s="18">
        <f>R210+S210</f>
        <v>-1.348201408291061E-9</v>
      </c>
    </row>
    <row r="212" spans="1:19">
      <c r="A212" s="5" t="s">
        <v>266</v>
      </c>
      <c r="B212" s="18">
        <f>IFERROR(Q168-Q211*(Q168-N168)/(Q211-N211),Q168)</f>
        <v>63270.801457107671</v>
      </c>
    </row>
    <row r="214" spans="1:19">
      <c r="A214" s="2" t="s">
        <v>268</v>
      </c>
    </row>
    <row r="215" spans="1:19">
      <c r="B215" s="9">
        <f>0.03*$B$5</f>
        <v>30000</v>
      </c>
      <c r="E215" s="9">
        <f>0.075*$B$5</f>
        <v>75000</v>
      </c>
      <c r="H215" s="18">
        <f>IFERROR(E215-E258*(E215-B215)/(E258-B258),E215)</f>
        <v>62058.25319036781</v>
      </c>
      <c r="K215" s="18">
        <f>IFERROR(H215-H258*(H215-E215)/(H258-E258),H215)</f>
        <v>61472.528013597708</v>
      </c>
      <c r="N215" s="18">
        <f>IFERROR(K215-K258*(K215-H215)/(K258-H258),K215)</f>
        <v>61473.143943125593</v>
      </c>
      <c r="Q215" s="18">
        <f>IFERROR(N215-N258*(N215-K215)/(N258-K258),N215)</f>
        <v>61473.14480234505</v>
      </c>
    </row>
    <row r="216" spans="1:19">
      <c r="A216" s="25" t="s">
        <v>262</v>
      </c>
      <c r="B216" s="25" t="s">
        <v>263</v>
      </c>
      <c r="C216" s="25" t="s">
        <v>264</v>
      </c>
      <c r="D216" s="25" t="s">
        <v>265</v>
      </c>
      <c r="E216" s="25" t="s">
        <v>263</v>
      </c>
      <c r="F216" s="25" t="s">
        <v>264</v>
      </c>
      <c r="G216" s="25" t="s">
        <v>265</v>
      </c>
      <c r="H216" s="25" t="s">
        <v>263</v>
      </c>
      <c r="I216" s="25" t="s">
        <v>264</v>
      </c>
      <c r="J216" s="25" t="s">
        <v>265</v>
      </c>
      <c r="K216" s="25" t="s">
        <v>263</v>
      </c>
      <c r="L216" s="25" t="s">
        <v>264</v>
      </c>
      <c r="M216" s="25" t="s">
        <v>265</v>
      </c>
      <c r="N216" s="25" t="s">
        <v>263</v>
      </c>
      <c r="O216" s="25" t="s">
        <v>264</v>
      </c>
      <c r="P216" s="25" t="s">
        <v>265</v>
      </c>
      <c r="Q216" s="25" t="s">
        <v>263</v>
      </c>
      <c r="R216" s="25" t="s">
        <v>264</v>
      </c>
      <c r="S216" s="25" t="s">
        <v>265</v>
      </c>
    </row>
    <row r="217" spans="1:19">
      <c r="A217" s="3">
        <v>0</v>
      </c>
      <c r="C217" s="18">
        <f>MIN(2*B215,$B$5)</f>
        <v>60000</v>
      </c>
      <c r="D217" s="18">
        <f>$B$5-C217</f>
        <v>940000</v>
      </c>
      <c r="F217" s="18">
        <f>MIN(2*E215,$B$5)</f>
        <v>150000</v>
      </c>
      <c r="G217" s="18">
        <f>$B$5-F217</f>
        <v>850000</v>
      </c>
      <c r="I217" s="18">
        <f>MIN(2*H215,$B$5)</f>
        <v>124116.50638073562</v>
      </c>
      <c r="J217" s="18">
        <f>$B$5-I217</f>
        <v>875883.49361926434</v>
      </c>
      <c r="L217" s="18">
        <f>MIN(2*K215,$B$5)</f>
        <v>122945.05602719542</v>
      </c>
      <c r="M217" s="18">
        <f>$B$5-L217</f>
        <v>877054.94397280458</v>
      </c>
      <c r="O217" s="18">
        <f>MIN(2*N215,$B$5)</f>
        <v>122946.28788625119</v>
      </c>
      <c r="P217" s="18">
        <f>$B$5-O217</f>
        <v>877053.71211374877</v>
      </c>
      <c r="R217" s="18">
        <f>MIN(2*Q215,$B$5)</f>
        <v>122946.2896046901</v>
      </c>
      <c r="S217" s="18">
        <f>$B$5-R217</f>
        <v>877053.71039530984</v>
      </c>
    </row>
    <row r="218" spans="1:19">
      <c r="A218" s="10">
        <f>1</f>
        <v>1</v>
      </c>
      <c r="B218" s="18">
        <f>IF($A218&gt;20,0,(B215-MIN(MAX(C217,0),B215))+MIN(MAX(0,D217-(B215-MIN(MAX(C217,0),B215))),MAX(0,2*B215-(C217-MIN(MAX(C217,0),B215)))))</f>
        <v>30000</v>
      </c>
      <c r="C218" s="18">
        <f>IF($A218&gt;20,C217,(C217-B215+B218)*(1+$B$7))</f>
        <v>59784</v>
      </c>
      <c r="D218" s="18">
        <f t="shared" ref="D218:D257" si="12">IF($A218&gt;20,D217,(D217-B218)*(1+$B$6))</f>
        <v>937300</v>
      </c>
      <c r="E218" s="18">
        <f>IF($A218&gt;20,0,(E215-MIN(MAX(F217,0),E215))+MIN(MAX(0,G217-(E215-MIN(MAX(F217,0),E215))),MAX(0,2*E215-(F217-MIN(MAX(F217,0),E215)))))</f>
        <v>75000</v>
      </c>
      <c r="F218" s="18">
        <f>IF($A218&gt;20,F217,(F217-E215+E218)*(1+$B$7))</f>
        <v>149460</v>
      </c>
      <c r="G218" s="18">
        <f t="shared" ref="G218:G257" si="13">IF($A218&gt;20,G217,(G217-E218)*(1+$B$6))</f>
        <v>798250</v>
      </c>
      <c r="H218" s="18">
        <f>IF($A218&gt;20,0,(H215-MIN(MAX(I217,0),H215))+MIN(MAX(0,J217-(H215-MIN(MAX(I217,0),H215))),MAX(0,2*H215-(I217-MIN(MAX(I217,0),H215)))))</f>
        <v>62058.25319036781</v>
      </c>
      <c r="I218" s="18">
        <f>IF($A218&gt;20,I217,(I217-H215+H218)*(1+$B$7))</f>
        <v>123669.68695776496</v>
      </c>
      <c r="J218" s="18">
        <f t="shared" ref="J218:J257" si="14">IF($A218&gt;20,J217,(J217-H218)*(1+$B$6))</f>
        <v>838239.99764176342</v>
      </c>
      <c r="K218" s="18">
        <f>IF($A218&gt;20,0,(K215-MIN(MAX(L217,0),K215))+MIN(MAX(0,M217-(K215-MIN(MAX(L217,0),K215))),MAX(0,2*K215-(L217-MIN(MAX(L217,0),K215)))))</f>
        <v>61472.528013597708</v>
      </c>
      <c r="L218" s="18">
        <f>IF($A218&gt;20,L217,(L217-K215+K218)*(1+$B$7))</f>
        <v>122502.45382549751</v>
      </c>
      <c r="M218" s="18">
        <f t="shared" ref="M218:M257" si="15">IF($A218&gt;20,M217,(M217-K218)*(1+$B$6))</f>
        <v>840049.88843798311</v>
      </c>
      <c r="N218" s="18">
        <f>IF($A218&gt;20,0,(N215-MIN(MAX(O217,0),N215))+MIN(MAX(0,P217-(N215-MIN(MAX(O217,0),N215))),MAX(0,2*N215-(O217-MIN(MAX(O217,0),N215)))))</f>
        <v>61473.143943125593</v>
      </c>
      <c r="O218" s="18">
        <f>IF($A218&gt;20,O217,(O217-N215+N218)*(1+$B$7))</f>
        <v>122503.68124986067</v>
      </c>
      <c r="P218" s="18">
        <f t="shared" ref="P218:P257" si="16">IF($A218&gt;20,P217,(P217-N218)*(1+$B$6))</f>
        <v>840047.98521574191</v>
      </c>
      <c r="Q218" s="18">
        <f>IF($A218&gt;20,0,(Q215-MIN(MAX(R217,0),Q215))+MIN(MAX(0,S217-(Q215-MIN(MAX(R217,0),Q215))),MAX(0,2*Q215-(R217-MIN(MAX(R217,0),Q215)))))</f>
        <v>61473.14480234505</v>
      </c>
      <c r="R218" s="18">
        <f>IF($A218&gt;20,R217,(R217-Q215+Q218)*(1+$B$7))</f>
        <v>122503.68296211321</v>
      </c>
      <c r="S218" s="18">
        <f t="shared" ref="S218:S257" si="17">IF($A218&gt;20,S217,(S217-Q218)*(1+$B$6))</f>
        <v>840047.98256075371</v>
      </c>
    </row>
    <row r="219" spans="1:19">
      <c r="A219" s="10">
        <f>2</f>
        <v>2</v>
      </c>
      <c r="B219" s="18">
        <f>IF($A219&gt;20,0,(B215-MIN(MAX(C218,0),B215))+MIN(MAX(0,D218-(B215-MIN(MAX(C218,0),B215))),MAX(0,2*B215-(C218-MIN(MAX(C218,0),B215)))))</f>
        <v>30216</v>
      </c>
      <c r="C219" s="18">
        <f>IF($A219&gt;20,C218,(C218-B215+B219)*(1+$B$7))</f>
        <v>59784</v>
      </c>
      <c r="D219" s="18">
        <f t="shared" si="12"/>
        <v>934296.52</v>
      </c>
      <c r="E219" s="18">
        <f>IF($A219&gt;20,0,(E215-MIN(MAX(F218,0),E215))+MIN(MAX(0,G218-(E215-MIN(MAX(F218,0),E215))),MAX(0,2*E215-(F218-MIN(MAX(F218,0),E215)))))</f>
        <v>75540</v>
      </c>
      <c r="F219" s="18">
        <f>IF($A219&gt;20,F218,(F218-E215+E219)*(1+$B$7))</f>
        <v>149460</v>
      </c>
      <c r="G219" s="18">
        <f t="shared" si="13"/>
        <v>744391.3</v>
      </c>
      <c r="H219" s="18">
        <f>IF($A219&gt;20,0,(H215-MIN(MAX(I218,0),H215))+MIN(MAX(0,J218-(H215-MIN(MAX(I218,0),H215))),MAX(0,2*H215-(I218-MIN(MAX(I218,0),H215)))))</f>
        <v>62505.072613338467</v>
      </c>
      <c r="I219" s="18">
        <f>IF($A219&gt;20,I218,(I218-H215+H219)*(1+$B$7))</f>
        <v>123669.68695776496</v>
      </c>
      <c r="J219" s="18">
        <f t="shared" si="14"/>
        <v>799006.97277927771</v>
      </c>
      <c r="K219" s="18">
        <f>IF($A219&gt;20,0,(K215-MIN(MAX(L218,0),K215))+MIN(MAX(0,M218-(K215-MIN(MAX(L218,0),K215))),MAX(0,2*K215-(L218-MIN(MAX(L218,0),K215)))))</f>
        <v>61915.13021529562</v>
      </c>
      <c r="L219" s="18">
        <f>IF($A219&gt;20,L218,(L218-K215+K219)*(1+$B$7))</f>
        <v>122502.45382549751</v>
      </c>
      <c r="M219" s="18">
        <f t="shared" si="15"/>
        <v>801478.8009693682</v>
      </c>
      <c r="N219" s="18">
        <f>IF($A219&gt;20,0,(N215-MIN(MAX(O218,0),N215))+MIN(MAX(0,P218-(N215-MIN(MAX(O218,0),N215))),MAX(0,2*N215-(O218-MIN(MAX(O218,0),N215)))))</f>
        <v>61915.750579516105</v>
      </c>
      <c r="O219" s="18">
        <f>IF($A219&gt;20,O218,(O218-N215+N219)*(1+$B$7))</f>
        <v>122503.68124986067</v>
      </c>
      <c r="P219" s="18">
        <f t="shared" si="16"/>
        <v>801476.20167531259</v>
      </c>
      <c r="Q219" s="18">
        <f>IF($A219&gt;20,0,(Q215-MIN(MAX(R218,0),Q215))+MIN(MAX(0,S218-(Q215-MIN(MAX(R218,0),Q215))),MAX(0,2*Q215-(R218-MIN(MAX(R218,0),Q215)))))</f>
        <v>61915.751444921945</v>
      </c>
      <c r="R219" s="18">
        <f>IF($A219&gt;20,R218,(R218-Q215+Q219)*(1+$B$7))</f>
        <v>122503.68296211321</v>
      </c>
      <c r="S219" s="18">
        <f t="shared" si="17"/>
        <v>801476.19804930675</v>
      </c>
    </row>
    <row r="220" spans="1:19">
      <c r="A220" s="10">
        <f>3</f>
        <v>3</v>
      </c>
      <c r="B220" s="18">
        <f>IF($A220&gt;20,0,(B215-MIN(MAX(C219,0),B215))+MIN(MAX(0,D219-(B215-MIN(MAX(C219,0),B215))),MAX(0,2*B215-(C219-MIN(MAX(C219,0),B215)))))</f>
        <v>30216</v>
      </c>
      <c r="C220" s="18">
        <f>IF($A220&gt;20,C219,(C219-B215+B220)*(1+$B$7))</f>
        <v>59784</v>
      </c>
      <c r="D220" s="18">
        <f t="shared" si="12"/>
        <v>931202.93560000008</v>
      </c>
      <c r="E220" s="18">
        <f>IF($A220&gt;20,0,(E215-MIN(MAX(F219,0),E215))+MIN(MAX(0,G219-(E215-MIN(MAX(F219,0),E215))),MAX(0,2*E215-(F219-MIN(MAX(F219,0),E215)))))</f>
        <v>75540</v>
      </c>
      <c r="F220" s="18">
        <f>IF($A220&gt;20,F219,(F219-E215+E220)*(1+$B$7))</f>
        <v>149460</v>
      </c>
      <c r="G220" s="18">
        <f t="shared" si="13"/>
        <v>688916.83900000004</v>
      </c>
      <c r="H220" s="18">
        <f>IF($A220&gt;20,0,(H215-MIN(MAX(I219,0),H215))+MIN(MAX(0,J219-(H215-MIN(MAX(I219,0),H215))),MAX(0,2*H215-(I219-MIN(MAX(I219,0),H215)))))</f>
        <v>62505.072613338467</v>
      </c>
      <c r="I220" s="18">
        <f>IF($A220&gt;20,I219,(I219-H215+H220)*(1+$B$7))</f>
        <v>123669.68695776496</v>
      </c>
      <c r="J220" s="18">
        <f t="shared" si="14"/>
        <v>758596.95717091742</v>
      </c>
      <c r="K220" s="18">
        <f>IF($A220&gt;20,0,(K215-MIN(MAX(L219,0),K215))+MIN(MAX(0,M219-(K215-MIN(MAX(L219,0),K215))),MAX(0,2*K215-(L219-MIN(MAX(L219,0),K215)))))</f>
        <v>61915.13021529562</v>
      </c>
      <c r="L220" s="18">
        <f>IF($A220&gt;20,L219,(L219-K215+K220)*(1+$B$7))</f>
        <v>122502.45382549751</v>
      </c>
      <c r="M220" s="18">
        <f t="shared" si="15"/>
        <v>761750.58087669476</v>
      </c>
      <c r="N220" s="18">
        <f>IF($A220&gt;20,0,(N215-MIN(MAX(O219,0),N215))+MIN(MAX(0,P219-(N215-MIN(MAX(O219,0),N215))),MAX(0,2*N215-(O219-MIN(MAX(O219,0),N215)))))</f>
        <v>61915.750579516105</v>
      </c>
      <c r="O220" s="18">
        <f>IF($A220&gt;20,O219,(O219-N215+N220)*(1+$B$7))</f>
        <v>122503.68124986067</v>
      </c>
      <c r="P220" s="18">
        <f t="shared" si="16"/>
        <v>761747.26462867041</v>
      </c>
      <c r="Q220" s="18">
        <f>IF($A220&gt;20,0,(Q215-MIN(MAX(R219,0),Q215))+MIN(MAX(0,S219-(Q215-MIN(MAX(R219,0),Q215))),MAX(0,2*Q215-(R219-MIN(MAX(R219,0),Q215)))))</f>
        <v>61915.751444921945</v>
      </c>
      <c r="R220" s="18">
        <f>IF($A220&gt;20,R219,(R219-Q215+Q220)*(1+$B$7))</f>
        <v>122503.68296211321</v>
      </c>
      <c r="S220" s="18">
        <f t="shared" si="17"/>
        <v>761747.26000251633</v>
      </c>
    </row>
    <row r="221" spans="1:19">
      <c r="A221" s="10">
        <f>4</f>
        <v>4</v>
      </c>
      <c r="B221" s="18">
        <f>IF($A221&gt;20,0,(B215-MIN(MAX(C220,0),B215))+MIN(MAX(0,D220-(B215-MIN(MAX(C220,0),B215))),MAX(0,2*B215-(C220-MIN(MAX(C220,0),B215)))))</f>
        <v>30216</v>
      </c>
      <c r="C221" s="18">
        <f>IF($A221&gt;20,C220,(C220-B215+B221)*(1+$B$7))</f>
        <v>59784</v>
      </c>
      <c r="D221" s="18">
        <f t="shared" si="12"/>
        <v>928016.54366800014</v>
      </c>
      <c r="E221" s="18">
        <f>IF($A221&gt;20,0,(E215-MIN(MAX(F220,0),E215))+MIN(MAX(0,G220-(E215-MIN(MAX(F220,0),E215))),MAX(0,2*E215-(F220-MIN(MAX(F220,0),E215)))))</f>
        <v>75540</v>
      </c>
      <c r="F221" s="18">
        <f>IF($A221&gt;20,F220,(F220-E215+E221)*(1+$B$7))</f>
        <v>149460</v>
      </c>
      <c r="G221" s="18">
        <f t="shared" si="13"/>
        <v>631778.1441700001</v>
      </c>
      <c r="H221" s="18">
        <f>IF($A221&gt;20,0,(H215-MIN(MAX(I220,0),H215))+MIN(MAX(0,J220-(H215-MIN(MAX(I220,0),H215))),MAX(0,2*H215-(I220-MIN(MAX(I220,0),H215)))))</f>
        <v>62505.072613338467</v>
      </c>
      <c r="I221" s="18">
        <f>IF($A221&gt;20,I220,(I220-H215+H221)*(1+$B$7))</f>
        <v>123669.68695776496</v>
      </c>
      <c r="J221" s="18">
        <f t="shared" si="14"/>
        <v>716974.64109430637</v>
      </c>
      <c r="K221" s="18">
        <f>IF($A221&gt;20,0,(K215-MIN(MAX(L220,0),K215))+MIN(MAX(0,M220-(K215-MIN(MAX(L220,0),K215))),MAX(0,2*K215-(L220-MIN(MAX(L220,0),K215)))))</f>
        <v>61915.13021529562</v>
      </c>
      <c r="L221" s="18">
        <f>IF($A221&gt;20,L220,(L220-K215+K221)*(1+$B$7))</f>
        <v>122502.45382549751</v>
      </c>
      <c r="M221" s="18">
        <f t="shared" si="15"/>
        <v>720830.51418124116</v>
      </c>
      <c r="N221" s="18">
        <f>IF($A221&gt;20,0,(N215-MIN(MAX(O220,0),N215))+MIN(MAX(0,P220-(N215-MIN(MAX(O220,0),N215))),MAX(0,2*N215-(O220-MIN(MAX(O220,0),N215)))))</f>
        <v>61915.750579516105</v>
      </c>
      <c r="O221" s="18">
        <f>IF($A221&gt;20,O220,(O220-N215+N221)*(1+$B$7))</f>
        <v>122503.68124986067</v>
      </c>
      <c r="P221" s="18">
        <f t="shared" si="16"/>
        <v>720826.45947062899</v>
      </c>
      <c r="Q221" s="18">
        <f>IF($A221&gt;20,0,(Q215-MIN(MAX(R220,0),Q215))+MIN(MAX(0,S220-(Q215-MIN(MAX(R220,0),Q215))),MAX(0,2*Q215-(R220-MIN(MAX(R220,0),Q215)))))</f>
        <v>61915.751444921945</v>
      </c>
      <c r="R221" s="18">
        <f>IF($A221&gt;20,R220,(R220-Q215+Q221)*(1+$B$7))</f>
        <v>122503.68296211321</v>
      </c>
      <c r="S221" s="18">
        <f t="shared" si="17"/>
        <v>720826.45381432225</v>
      </c>
    </row>
    <row r="222" spans="1:19">
      <c r="A222" s="10">
        <f>5</f>
        <v>5</v>
      </c>
      <c r="B222" s="18">
        <f>IF($A222&gt;20,0,(B215-MIN(MAX(C221,0),B215))+MIN(MAX(0,D221-(B215-MIN(MAX(C221,0),B215))),MAX(0,2*B215-(C221-MIN(MAX(C221,0),B215)))))</f>
        <v>30216</v>
      </c>
      <c r="C222" s="18">
        <f>IF($A222&gt;20,C221,(C221-B215+B222)*(1+$B$7))</f>
        <v>59784</v>
      </c>
      <c r="D222" s="18">
        <f t="shared" si="12"/>
        <v>924734.55997804017</v>
      </c>
      <c r="E222" s="18">
        <f>IF($A222&gt;20,0,(E215-MIN(MAX(F221,0),E215))+MIN(MAX(0,G221-(E215-MIN(MAX(F221,0),E215))),MAX(0,2*E215-(F221-MIN(MAX(F221,0),E215)))))</f>
        <v>75540</v>
      </c>
      <c r="F222" s="18">
        <f>IF($A222&gt;20,F221,(F221-E215+E222)*(1+$B$7))</f>
        <v>149460</v>
      </c>
      <c r="G222" s="18">
        <f t="shared" si="13"/>
        <v>572925.2884951001</v>
      </c>
      <c r="H222" s="18">
        <f>IF($A222&gt;20,0,(H215-MIN(MAX(I221,0),H215))+MIN(MAX(0,J221-(H215-MIN(MAX(I221,0),H215))),MAX(0,2*H215-(I221-MIN(MAX(I221,0),H215)))))</f>
        <v>62505.072613338467</v>
      </c>
      <c r="I222" s="18">
        <f>IF($A222&gt;20,I221,(I221-H215+H222)*(1+$B$7))</f>
        <v>123669.68695776496</v>
      </c>
      <c r="J222" s="18">
        <f t="shared" si="14"/>
        <v>674103.655535397</v>
      </c>
      <c r="K222" s="18">
        <f>IF($A222&gt;20,0,(K215-MIN(MAX(L221,0),K215))+MIN(MAX(0,M221-(K215-MIN(MAX(L221,0),K215))),MAX(0,2*K215-(L221-MIN(MAX(L221,0),K215)))))</f>
        <v>61915.13021529562</v>
      </c>
      <c r="L222" s="18">
        <f>IF($A222&gt;20,L221,(L221-K215+K222)*(1+$B$7))</f>
        <v>122502.45382549751</v>
      </c>
      <c r="M222" s="18">
        <f t="shared" si="15"/>
        <v>678682.84548492392</v>
      </c>
      <c r="N222" s="18">
        <f>IF($A222&gt;20,0,(N215-MIN(MAX(O221,0),N215))+MIN(MAX(0,P221-(N215-MIN(MAX(O221,0),N215))),MAX(0,2*N215-(O221-MIN(MAX(O221,0),N215)))))</f>
        <v>61915.750579516105</v>
      </c>
      <c r="O222" s="18">
        <f>IF($A222&gt;20,O221,(O221-N215+N222)*(1+$B$7))</f>
        <v>122503.68124986067</v>
      </c>
      <c r="P222" s="18">
        <f t="shared" si="16"/>
        <v>678678.0301578464</v>
      </c>
      <c r="Q222" s="18">
        <f>IF($A222&gt;20,0,(Q215-MIN(MAX(R221,0),Q215))+MIN(MAX(0,S221-(Q215-MIN(MAX(R221,0),Q215))),MAX(0,2*Q215-(R221-MIN(MAX(R221,0),Q215)))))</f>
        <v>61915.751444921945</v>
      </c>
      <c r="R222" s="18">
        <f>IF($A222&gt;20,R221,(R221-Q215+Q222)*(1+$B$7))</f>
        <v>122503.68296211321</v>
      </c>
      <c r="S222" s="18">
        <f t="shared" si="17"/>
        <v>678678.02344048233</v>
      </c>
    </row>
    <row r="223" spans="1:19">
      <c r="A223" s="10">
        <f>6</f>
        <v>6</v>
      </c>
      <c r="B223" s="18">
        <f>IF($A223&gt;20,0,(B215-MIN(MAX(C222,0),B215))+MIN(MAX(0,D222-(B215-MIN(MAX(C222,0),B215))),MAX(0,2*B215-(C222-MIN(MAX(C222,0),B215)))))</f>
        <v>30216</v>
      </c>
      <c r="C223" s="18">
        <f>IF($A223&gt;20,C222,(C222-B215+B223)*(1+$B$7))</f>
        <v>59784</v>
      </c>
      <c r="D223" s="18">
        <f t="shared" si="12"/>
        <v>921354.11677738139</v>
      </c>
      <c r="E223" s="18">
        <f>IF($A223&gt;20,0,(E215-MIN(MAX(F222,0),E215))+MIN(MAX(0,G222-(E215-MIN(MAX(F222,0),E215))),MAX(0,2*E215-(F222-MIN(MAX(F222,0),E215)))))</f>
        <v>75540</v>
      </c>
      <c r="F223" s="18">
        <f>IF($A223&gt;20,F222,(F222-E215+E223)*(1+$B$7))</f>
        <v>149460</v>
      </c>
      <c r="G223" s="18">
        <f t="shared" si="13"/>
        <v>512306.84714995313</v>
      </c>
      <c r="H223" s="18">
        <f>IF($A223&gt;20,0,(H215-MIN(MAX(I222,0),H215))+MIN(MAX(0,J222-(H215-MIN(MAX(I222,0),H215))),MAX(0,2*H215-(I222-MIN(MAX(I222,0),H215)))))</f>
        <v>62505.072613338467</v>
      </c>
      <c r="I223" s="18">
        <f>IF($A223&gt;20,I222,(I222-H215+H223)*(1+$B$7))</f>
        <v>123669.68695776496</v>
      </c>
      <c r="J223" s="18">
        <f t="shared" si="14"/>
        <v>629946.54040972027</v>
      </c>
      <c r="K223" s="18">
        <f>IF($A223&gt;20,0,(K215-MIN(MAX(L222,0),K215))+MIN(MAX(0,M222-(K215-MIN(MAX(L222,0),K215))),MAX(0,2*K215-(L222-MIN(MAX(L222,0),K215)))))</f>
        <v>61915.13021529562</v>
      </c>
      <c r="L223" s="18">
        <f>IF($A223&gt;20,L222,(L222-K215+K223)*(1+$B$7))</f>
        <v>122502.45382549751</v>
      </c>
      <c r="M223" s="18">
        <f t="shared" si="15"/>
        <v>635270.74672771723</v>
      </c>
      <c r="N223" s="18">
        <f>IF($A223&gt;20,0,(N215-MIN(MAX(O222,0),N215))+MIN(MAX(0,P222-(N215-MIN(MAX(O222,0),N215))),MAX(0,2*N215-(O222-MIN(MAX(O222,0),N215)))))</f>
        <v>61915.750579516105</v>
      </c>
      <c r="O223" s="18">
        <f>IF($A223&gt;20,O222,(O222-N215+N223)*(1+$B$7))</f>
        <v>122503.68124986067</v>
      </c>
      <c r="P223" s="18">
        <f t="shared" si="16"/>
        <v>635265.14796568023</v>
      </c>
      <c r="Q223" s="18">
        <f>IF($A223&gt;20,0,(Q215-MIN(MAX(R222,0),Q215))+MIN(MAX(0,S222-(Q215-MIN(MAX(R222,0),Q215))),MAX(0,2*Q215-(R222-MIN(MAX(R222,0),Q215)))))</f>
        <v>61915.751444921945</v>
      </c>
      <c r="R223" s="18">
        <f>IF($A223&gt;20,R222,(R222-Q215+Q223)*(1+$B$7))</f>
        <v>122503.68296211321</v>
      </c>
      <c r="S223" s="18">
        <f t="shared" si="17"/>
        <v>635265.14015542716</v>
      </c>
    </row>
    <row r="224" spans="1:19">
      <c r="A224" s="10">
        <f>7</f>
        <v>7</v>
      </c>
      <c r="B224" s="18">
        <f>IF($A224&gt;20,0,(B215-MIN(MAX(C223,0),B215))+MIN(MAX(0,D223-(B215-MIN(MAX(C223,0),B215))),MAX(0,2*B215-(C223-MIN(MAX(C223,0),B215)))))</f>
        <v>30216</v>
      </c>
      <c r="C224" s="18">
        <f>IF($A224&gt;20,C223,(C223-B215+B224)*(1+$B$7))</f>
        <v>59784</v>
      </c>
      <c r="D224" s="18">
        <f t="shared" si="12"/>
        <v>917872.26028070285</v>
      </c>
      <c r="E224" s="18">
        <f>IF($A224&gt;20,0,(E215-MIN(MAX(F223,0),E215))+MIN(MAX(0,G223-(E215-MIN(MAX(F223,0),E215))),MAX(0,2*E215-(F223-MIN(MAX(F223,0),E215)))))</f>
        <v>75540</v>
      </c>
      <c r="F224" s="18">
        <f>IF($A224&gt;20,F223,(F223-E215+E224)*(1+$B$7))</f>
        <v>149460</v>
      </c>
      <c r="G224" s="18">
        <f t="shared" si="13"/>
        <v>449869.85256445175</v>
      </c>
      <c r="H224" s="18">
        <f>IF($A224&gt;20,0,(H215-MIN(MAX(I223,0),H215))+MIN(MAX(0,J223-(H215-MIN(MAX(I223,0),H215))),MAX(0,2*H215-(I223-MIN(MAX(I223,0),H215)))))</f>
        <v>62505.072613338467</v>
      </c>
      <c r="I224" s="18">
        <f>IF($A224&gt;20,I223,(I223-H215+H224)*(1+$B$7))</f>
        <v>123669.68695776496</v>
      </c>
      <c r="J224" s="18">
        <f t="shared" si="14"/>
        <v>584464.71183027327</v>
      </c>
      <c r="K224" s="18">
        <f>IF($A224&gt;20,0,(K215-MIN(MAX(L223,0),K215))+MIN(MAX(0,M223-(K215-MIN(MAX(L223,0),K215))),MAX(0,2*K215-(L223-MIN(MAX(L223,0),K215)))))</f>
        <v>61915.13021529562</v>
      </c>
      <c r="L224" s="18">
        <f>IF($A224&gt;20,L223,(L223-K215+K224)*(1+$B$7))</f>
        <v>122502.45382549751</v>
      </c>
      <c r="M224" s="18">
        <f t="shared" si="15"/>
        <v>590556.28500779427</v>
      </c>
      <c r="N224" s="18">
        <f>IF($A224&gt;20,0,(N215-MIN(MAX(O223,0),N215))+MIN(MAX(0,P223-(N215-MIN(MAX(O223,0),N215))),MAX(0,2*N215-(O223-MIN(MAX(O223,0),N215)))))</f>
        <v>61915.750579516105</v>
      </c>
      <c r="O224" s="18">
        <f>IF($A224&gt;20,O223,(O223-N215+N224)*(1+$B$7))</f>
        <v>122503.68124986067</v>
      </c>
      <c r="P224" s="18">
        <f t="shared" si="16"/>
        <v>590549.8793077491</v>
      </c>
      <c r="Q224" s="18">
        <f>IF($A224&gt;20,0,(Q215-MIN(MAX(R223,0),Q215))+MIN(MAX(0,S223-(Q215-MIN(MAX(R223,0),Q215))),MAX(0,2*Q215-(R223-MIN(MAX(R223,0),Q215)))))</f>
        <v>61915.751444921945</v>
      </c>
      <c r="R224" s="18">
        <f>IF($A224&gt;20,R223,(R223-Q215+Q224)*(1+$B$7))</f>
        <v>122503.68296211321</v>
      </c>
      <c r="S224" s="18">
        <f t="shared" si="17"/>
        <v>590549.87037182041</v>
      </c>
    </row>
    <row r="225" spans="1:19">
      <c r="A225" s="10">
        <f>8</f>
        <v>8</v>
      </c>
      <c r="B225" s="18">
        <f>IF($A225&gt;20,0,(B215-MIN(MAX(C224,0),B215))+MIN(MAX(0,D224-(B215-MIN(MAX(C224,0),B215))),MAX(0,2*B215-(C224-MIN(MAX(C224,0),B215)))))</f>
        <v>30216</v>
      </c>
      <c r="C225" s="18">
        <f>IF($A225&gt;20,C224,(C224-B215+B225)*(1+$B$7))</f>
        <v>59784</v>
      </c>
      <c r="D225" s="18">
        <f t="shared" si="12"/>
        <v>914285.94808912394</v>
      </c>
      <c r="E225" s="18">
        <f>IF($A225&gt;20,0,(E215-MIN(MAX(F224,0),E215))+MIN(MAX(0,G224-(E215-MIN(MAX(F224,0),E215))),MAX(0,2*E215-(F224-MIN(MAX(F224,0),E215)))))</f>
        <v>75540</v>
      </c>
      <c r="F225" s="18">
        <f>IF($A225&gt;20,F224,(F224-E215+E225)*(1+$B$7))</f>
        <v>149460</v>
      </c>
      <c r="G225" s="18">
        <f t="shared" si="13"/>
        <v>385559.74814138532</v>
      </c>
      <c r="H225" s="18">
        <f>IF($A225&gt;20,0,(H215-MIN(MAX(I224,0),H215))+MIN(MAX(0,J224-(H215-MIN(MAX(I224,0),H215))),MAX(0,2*H215-(I224-MIN(MAX(I224,0),H215)))))</f>
        <v>62505.072613338467</v>
      </c>
      <c r="I225" s="18">
        <f>IF($A225&gt;20,I224,(I224-H215+H225)*(1+$B$7))</f>
        <v>123669.68695776496</v>
      </c>
      <c r="J225" s="18">
        <f t="shared" si="14"/>
        <v>537618.42839344288</v>
      </c>
      <c r="K225" s="18">
        <f>IF($A225&gt;20,0,(K215-MIN(MAX(L224,0),K215))+MIN(MAX(0,M224-(K215-MIN(MAX(L224,0),K215))),MAX(0,2*K215-(L224-MIN(MAX(L224,0),K215)))))</f>
        <v>61915.13021529562</v>
      </c>
      <c r="L225" s="18">
        <f>IF($A225&gt;20,L224,(L224-K215+K225)*(1+$B$7))</f>
        <v>122502.45382549751</v>
      </c>
      <c r="M225" s="18">
        <f t="shared" si="15"/>
        <v>544500.3894362736</v>
      </c>
      <c r="N225" s="18">
        <f>IF($A225&gt;20,0,(N215-MIN(MAX(O224,0),N215))+MIN(MAX(0,P224-(N215-MIN(MAX(O224,0),N215))),MAX(0,2*N215-(O224-MIN(MAX(O224,0),N215)))))</f>
        <v>61915.750579516105</v>
      </c>
      <c r="O225" s="18">
        <f>IF($A225&gt;20,O224,(O224-N215+N225)*(1+$B$7))</f>
        <v>122503.68124986067</v>
      </c>
      <c r="P225" s="18">
        <f t="shared" si="16"/>
        <v>544493.15259008005</v>
      </c>
      <c r="Q225" s="18">
        <f>IF($A225&gt;20,0,(Q215-MIN(MAX(R224,0),Q215))+MIN(MAX(0,S224-(Q215-MIN(MAX(R224,0),Q215))),MAX(0,2*Q215-(R224-MIN(MAX(R224,0),Q215)))))</f>
        <v>61915.751444921945</v>
      </c>
      <c r="R225" s="18">
        <f>IF($A225&gt;20,R224,(R224-Q215+Q225)*(1+$B$7))</f>
        <v>122503.68296211321</v>
      </c>
      <c r="S225" s="18">
        <f t="shared" si="17"/>
        <v>544493.14249470539</v>
      </c>
    </row>
    <row r="226" spans="1:19">
      <c r="A226" s="10">
        <f>9</f>
        <v>9</v>
      </c>
      <c r="B226" s="18">
        <f>IF($A226&gt;20,0,(B215-MIN(MAX(C225,0),B215))+MIN(MAX(0,D225-(B215-MIN(MAX(C225,0),B215))),MAX(0,2*B215-(C225-MIN(MAX(C225,0),B215)))))</f>
        <v>30216</v>
      </c>
      <c r="C226" s="18">
        <f>IF($A226&gt;20,C225,(C225-B215+B226)*(1+$B$7))</f>
        <v>59784</v>
      </c>
      <c r="D226" s="18">
        <f t="shared" si="12"/>
        <v>910592.04653179774</v>
      </c>
      <c r="E226" s="18">
        <f>IF($A226&gt;20,0,(E215-MIN(MAX(F225,0),E215))+MIN(MAX(0,G225-(E215-MIN(MAX(F225,0),E215))),MAX(0,2*E215-(F225-MIN(MAX(F225,0),E215)))))</f>
        <v>75540</v>
      </c>
      <c r="F226" s="18">
        <f>IF($A226&gt;20,F225,(F225-E215+E226)*(1+$B$7))</f>
        <v>149460</v>
      </c>
      <c r="G226" s="18">
        <f t="shared" si="13"/>
        <v>319320.34058562689</v>
      </c>
      <c r="H226" s="18">
        <f>IF($A226&gt;20,0,(H215-MIN(MAX(I225,0),H215))+MIN(MAX(0,J225-(H215-MIN(MAX(I225,0),H215))),MAX(0,2*H215-(I225-MIN(MAX(I225,0),H215)))))</f>
        <v>62505.072613338467</v>
      </c>
      <c r="I226" s="18">
        <f>IF($A226&gt;20,I225,(I225-H215+H226)*(1+$B$7))</f>
        <v>123669.68695776496</v>
      </c>
      <c r="J226" s="18">
        <f t="shared" si="14"/>
        <v>489366.75645350758</v>
      </c>
      <c r="K226" s="18">
        <f>IF($A226&gt;20,0,(K215-MIN(MAX(L225,0),K215))+MIN(MAX(0,M225-(K215-MIN(MAX(L225,0),K215))),MAX(0,2*K215-(L225-MIN(MAX(L225,0),K215)))))</f>
        <v>61915.13021529562</v>
      </c>
      <c r="L226" s="18">
        <f>IF($A226&gt;20,L225,(L225-K215+K226)*(1+$B$7))</f>
        <v>122502.45382549751</v>
      </c>
      <c r="M226" s="18">
        <f t="shared" si="15"/>
        <v>497062.81699760736</v>
      </c>
      <c r="N226" s="18">
        <f>IF($A226&gt;20,0,(N215-MIN(MAX(O225,0),N215))+MIN(MAX(0,P225-(N215-MIN(MAX(O225,0),N215))),MAX(0,2*N215-(O225-MIN(MAX(O225,0),N215)))))</f>
        <v>61915.750579516105</v>
      </c>
      <c r="O226" s="18">
        <f>IF($A226&gt;20,O225,(O225-N215+N226)*(1+$B$7))</f>
        <v>122503.68124986067</v>
      </c>
      <c r="P226" s="18">
        <f t="shared" si="16"/>
        <v>497054.72407088085</v>
      </c>
      <c r="Q226" s="18">
        <f>IF($A226&gt;20,0,(Q215-MIN(MAX(R225,0),Q215))+MIN(MAX(0,S225-(Q215-MIN(MAX(R225,0),Q215))),MAX(0,2*Q215-(R225-MIN(MAX(R225,0),Q215)))))</f>
        <v>61915.751444921945</v>
      </c>
      <c r="R226" s="18">
        <f>IF($A226&gt;20,R225,(R225-Q215+Q226)*(1+$B$7))</f>
        <v>122503.68296211321</v>
      </c>
      <c r="S226" s="18">
        <f t="shared" si="17"/>
        <v>497054.71278127696</v>
      </c>
    </row>
    <row r="227" spans="1:19">
      <c r="A227" s="10">
        <f>10</f>
        <v>10</v>
      </c>
      <c r="B227" s="18">
        <f>IF($A227&gt;20,0,(B215-MIN(MAX(C226,0),B215))+MIN(MAX(0,D226-(B215-MIN(MAX(C226,0),B215))),MAX(0,2*B215-(C226-MIN(MAX(C226,0),B215)))))</f>
        <v>30216</v>
      </c>
      <c r="C227" s="18">
        <f>IF($A227&gt;20,C226,(C226-B215+B227)*(1+$B$7))</f>
        <v>59784</v>
      </c>
      <c r="D227" s="18">
        <f t="shared" si="12"/>
        <v>906787.3279277517</v>
      </c>
      <c r="E227" s="18">
        <f>IF($A227&gt;20,0,(E215-MIN(MAX(F226,0),E215))+MIN(MAX(0,G226-(E215-MIN(MAX(F226,0),E215))),MAX(0,2*E215-(F226-MIN(MAX(F226,0),E215)))))</f>
        <v>75540</v>
      </c>
      <c r="F227" s="18">
        <f>IF($A227&gt;20,F226,(F226-E215+E227)*(1+$B$7))</f>
        <v>149460</v>
      </c>
      <c r="G227" s="18">
        <f t="shared" si="13"/>
        <v>251093.7508031957</v>
      </c>
      <c r="H227" s="18">
        <f>IF($A227&gt;20,0,(H215-MIN(MAX(I226,0),H215))+MIN(MAX(0,J226-(H215-MIN(MAX(I226,0),H215))),MAX(0,2*H215-(I226-MIN(MAX(I226,0),H215)))))</f>
        <v>62505.072613338467</v>
      </c>
      <c r="I227" s="18">
        <f>IF($A227&gt;20,I226,(I226-H215+H227)*(1+$B$7))</f>
        <v>123669.68695776496</v>
      </c>
      <c r="J227" s="18">
        <f t="shared" si="14"/>
        <v>439667.53435537417</v>
      </c>
      <c r="K227" s="18">
        <f>IF($A227&gt;20,0,(K215-MIN(MAX(L226,0),K215))+MIN(MAX(0,M226-(K215-MIN(MAX(L226,0),K215))),MAX(0,2*K215-(L226-MIN(MAX(L226,0),K215)))))</f>
        <v>61915.13021529562</v>
      </c>
      <c r="L227" s="18">
        <f>IF($A227&gt;20,L226,(L226-K215+K227)*(1+$B$7))</f>
        <v>122502.45382549751</v>
      </c>
      <c r="M227" s="18">
        <f t="shared" si="15"/>
        <v>448202.11738578114</v>
      </c>
      <c r="N227" s="18">
        <f>IF($A227&gt;20,0,(N215-MIN(MAX(O226,0),N215))+MIN(MAX(0,P226-(N215-MIN(MAX(O226,0),N215))),MAX(0,2*N215-(O226-MIN(MAX(O226,0),N215)))))</f>
        <v>61915.750579516105</v>
      </c>
      <c r="O227" s="18">
        <f>IF($A227&gt;20,O226,(O226-N215+N227)*(1+$B$7))</f>
        <v>122503.68124986067</v>
      </c>
      <c r="P227" s="18">
        <f t="shared" si="16"/>
        <v>448193.1426961057</v>
      </c>
      <c r="Q227" s="18">
        <f>IF($A227&gt;20,0,(Q215-MIN(MAX(R226,0),Q215))+MIN(MAX(0,S226-(Q215-MIN(MAX(R226,0),Q215))),MAX(0,2*Q215-(R226-MIN(MAX(R226,0),Q215)))))</f>
        <v>61915.751444921945</v>
      </c>
      <c r="R227" s="18">
        <f>IF($A227&gt;20,R226,(R226-Q215+Q227)*(1+$B$7))</f>
        <v>122503.68296211321</v>
      </c>
      <c r="S227" s="18">
        <f t="shared" si="17"/>
        <v>448193.1301764457</v>
      </c>
    </row>
    <row r="228" spans="1:19">
      <c r="A228" s="10">
        <f>11</f>
        <v>11</v>
      </c>
      <c r="B228" s="18">
        <f>IF($A228&gt;20,0,(B215-MIN(MAX(C227,0),B215))+MIN(MAX(0,D227-(B215-MIN(MAX(C227,0),B215))),MAX(0,2*B215-(C227-MIN(MAX(C227,0),B215)))))</f>
        <v>30216</v>
      </c>
      <c r="C228" s="18">
        <f>IF($A228&gt;20,C227,(C227-B215+B228)*(1+$B$7))</f>
        <v>59784</v>
      </c>
      <c r="D228" s="18">
        <f t="shared" si="12"/>
        <v>902868.46776558424</v>
      </c>
      <c r="E228" s="18">
        <f>IF($A228&gt;20,0,(E215-MIN(MAX(F227,0),E215))+MIN(MAX(0,G227-(E215-MIN(MAX(F227,0),E215))),MAX(0,2*E215-(F227-MIN(MAX(F227,0),E215)))))</f>
        <v>75540</v>
      </c>
      <c r="F228" s="18">
        <f>IF($A228&gt;20,F227,(F227-E215+E228)*(1+$B$7))</f>
        <v>149460</v>
      </c>
      <c r="G228" s="18">
        <f t="shared" si="13"/>
        <v>180820.36332729156</v>
      </c>
      <c r="H228" s="18">
        <f>IF($A228&gt;20,0,(H215-MIN(MAX(I227,0),H215))+MIN(MAX(0,J227-(H215-MIN(MAX(I227,0),H215))),MAX(0,2*H215-(I227-MIN(MAX(I227,0),H215)))))</f>
        <v>62505.072613338467</v>
      </c>
      <c r="I228" s="18">
        <f>IF($A228&gt;20,I227,(I227-H215+H228)*(1+$B$7))</f>
        <v>123669.68695776496</v>
      </c>
      <c r="J228" s="18">
        <f t="shared" si="14"/>
        <v>388477.3355942968</v>
      </c>
      <c r="K228" s="18">
        <f>IF($A228&gt;20,0,(K215-MIN(MAX(L227,0),K215))+MIN(MAX(0,M227-(K215-MIN(MAX(L227,0),K215))),MAX(0,2*K215-(L227-MIN(MAX(L227,0),K215)))))</f>
        <v>61915.13021529562</v>
      </c>
      <c r="L228" s="18">
        <f>IF($A228&gt;20,L227,(L227-K215+K228)*(1+$B$7))</f>
        <v>122502.45382549751</v>
      </c>
      <c r="M228" s="18">
        <f t="shared" si="15"/>
        <v>397875.59678560012</v>
      </c>
      <c r="N228" s="18">
        <f>IF($A228&gt;20,0,(N215-MIN(MAX(O227,0),N215))+MIN(MAX(0,P227-(N215-MIN(MAX(O227,0),N215))),MAX(0,2*N215-(O227-MIN(MAX(O227,0),N215)))))</f>
        <v>61915.750579516105</v>
      </c>
      <c r="O228" s="18">
        <f>IF($A228&gt;20,O227,(O227-N215+N228)*(1+$B$7))</f>
        <v>122503.68124986067</v>
      </c>
      <c r="P228" s="18">
        <f t="shared" si="16"/>
        <v>397865.71388008731</v>
      </c>
      <c r="Q228" s="18">
        <f>IF($A228&gt;20,0,(Q215-MIN(MAX(R227,0),Q215))+MIN(MAX(0,S227-(Q215-MIN(MAX(R227,0),Q215))),MAX(0,2*Q215-(R227-MIN(MAX(R227,0),Q215)))))</f>
        <v>61915.751444921945</v>
      </c>
      <c r="R228" s="18">
        <f>IF($A228&gt;20,R227,(R227-Q215+Q228)*(1+$B$7))</f>
        <v>122503.68296211321</v>
      </c>
      <c r="S228" s="18">
        <f t="shared" si="17"/>
        <v>397865.70009346947</v>
      </c>
    </row>
    <row r="229" spans="1:19">
      <c r="A229" s="10">
        <f>12</f>
        <v>12</v>
      </c>
      <c r="B229" s="18">
        <f>IF($A229&gt;20,0,(B215-MIN(MAX(C228,0),B215))+MIN(MAX(0,D228-(B215-MIN(MAX(C228,0),B215))),MAX(0,2*B215-(C228-MIN(MAX(C228,0),B215)))))</f>
        <v>30216</v>
      </c>
      <c r="C229" s="18">
        <f>IF($A229&gt;20,C228,(C228-B215+B229)*(1+$B$7))</f>
        <v>59784</v>
      </c>
      <c r="D229" s="18">
        <f t="shared" si="12"/>
        <v>898832.0417985518</v>
      </c>
      <c r="E229" s="18">
        <f>IF($A229&gt;20,0,(E215-MIN(MAX(F228,0),E215))+MIN(MAX(0,G228-(E215-MIN(MAX(F228,0),E215))),MAX(0,2*E215-(F228-MIN(MAX(F228,0),E215)))))</f>
        <v>75540</v>
      </c>
      <c r="F229" s="18">
        <f>IF($A229&gt;20,F228,(F228-E215+E229)*(1+$B$7))</f>
        <v>149460</v>
      </c>
      <c r="G229" s="18">
        <f t="shared" si="13"/>
        <v>108438.77422711031</v>
      </c>
      <c r="H229" s="18">
        <f>IF($A229&gt;20,0,(H215-MIN(MAX(I228,0),H215))+MIN(MAX(0,J228-(H215-MIN(MAX(I228,0),H215))),MAX(0,2*H215-(I228-MIN(MAX(I228,0),H215)))))</f>
        <v>62505.072613338467</v>
      </c>
      <c r="I229" s="18">
        <f>IF($A229&gt;20,I228,(I228-H215+H229)*(1+$B$7))</f>
        <v>123669.68695776496</v>
      </c>
      <c r="J229" s="18">
        <f t="shared" si="14"/>
        <v>335751.43087038706</v>
      </c>
      <c r="K229" s="18">
        <f>IF($A229&gt;20,0,(K215-MIN(MAX(L228,0),K215))+MIN(MAX(0,M228-(K215-MIN(MAX(L228,0),K215))),MAX(0,2*K215-(L228-MIN(MAX(L228,0),K215)))))</f>
        <v>61915.13021529562</v>
      </c>
      <c r="L229" s="18">
        <f>IF($A229&gt;20,L228,(L228-K215+K229)*(1+$B$7))</f>
        <v>122502.45382549751</v>
      </c>
      <c r="M229" s="18">
        <f t="shared" si="15"/>
        <v>346039.2805674136</v>
      </c>
      <c r="N229" s="18">
        <f>IF($A229&gt;20,0,(N215-MIN(MAX(O228,0),N215))+MIN(MAX(0,P228-(N215-MIN(MAX(O228,0),N215))),MAX(0,2*N215-(O228-MIN(MAX(O228,0),N215)))))</f>
        <v>61915.750579516105</v>
      </c>
      <c r="O229" s="18">
        <f>IF($A229&gt;20,O228,(O228-N215+N229)*(1+$B$7))</f>
        <v>122503.68124986067</v>
      </c>
      <c r="P229" s="18">
        <f t="shared" si="16"/>
        <v>346028.46219958836</v>
      </c>
      <c r="Q229" s="18">
        <f>IF($A229&gt;20,0,(Q215-MIN(MAX(R228,0),Q215))+MIN(MAX(0,S228-(Q215-MIN(MAX(R228,0),Q215))),MAX(0,2*Q215-(R228-MIN(MAX(R228,0),Q215)))))</f>
        <v>61915.751444921945</v>
      </c>
      <c r="R229" s="18">
        <f>IF($A229&gt;20,R228,(R228-Q215+Q229)*(1+$B$7))</f>
        <v>122503.68296211321</v>
      </c>
      <c r="S229" s="18">
        <f t="shared" si="17"/>
        <v>346028.44710800395</v>
      </c>
    </row>
    <row r="230" spans="1:19">
      <c r="A230" s="10">
        <f>13</f>
        <v>13</v>
      </c>
      <c r="B230" s="18">
        <f>IF($A230&gt;20,0,(B215-MIN(MAX(C229,0),B215))+MIN(MAX(0,D229-(B215-MIN(MAX(C229,0),B215))),MAX(0,2*B215-(C229-MIN(MAX(C229,0),B215)))))</f>
        <v>30216</v>
      </c>
      <c r="C230" s="18">
        <f>IF($A230&gt;20,C229,(C229-B215+B230)*(1+$B$7))</f>
        <v>59784</v>
      </c>
      <c r="D230" s="18">
        <f t="shared" si="12"/>
        <v>894674.52305250836</v>
      </c>
      <c r="E230" s="18">
        <f>IF($A230&gt;20,0,(E215-MIN(MAX(F229,0),E215))+MIN(MAX(0,G229-(E215-MIN(MAX(F229,0),E215))),MAX(0,2*E215-(F229-MIN(MAX(F229,0),E215)))))</f>
        <v>75540</v>
      </c>
      <c r="F230" s="18">
        <f>IF($A230&gt;20,F229,(F229-E215+E230)*(1+$B$7))</f>
        <v>149460</v>
      </c>
      <c r="G230" s="18">
        <f t="shared" si="13"/>
        <v>33885.737453923619</v>
      </c>
      <c r="H230" s="18">
        <f>IF($A230&gt;20,0,(H215-MIN(MAX(I229,0),H215))+MIN(MAX(0,J229-(H215-MIN(MAX(I229,0),H215))),MAX(0,2*H215-(I229-MIN(MAX(I229,0),H215)))))</f>
        <v>62505.072613338467</v>
      </c>
      <c r="I230" s="18">
        <f>IF($A230&gt;20,I229,(I229-H215+H230)*(1+$B$7))</f>
        <v>123669.68695776496</v>
      </c>
      <c r="J230" s="18">
        <f t="shared" si="14"/>
        <v>281443.74900476006</v>
      </c>
      <c r="K230" s="18">
        <f>IF($A230&gt;20,0,(K215-MIN(MAX(L229,0),K215))+MIN(MAX(0,M229-(K215-MIN(MAX(L229,0),K215))),MAX(0,2*K215-(L229-MIN(MAX(L229,0),K215)))))</f>
        <v>61915.13021529562</v>
      </c>
      <c r="L230" s="18">
        <f>IF($A230&gt;20,L229,(L229-K215+K230)*(1+$B$7))</f>
        <v>122502.45382549751</v>
      </c>
      <c r="M230" s="18">
        <f t="shared" si="15"/>
        <v>292647.87486268149</v>
      </c>
      <c r="N230" s="18">
        <f>IF($A230&gt;20,0,(N215-MIN(MAX(O229,0),N215))+MIN(MAX(0,P229-(N215-MIN(MAX(O229,0),N215))),MAX(0,2*N215-(O229-MIN(MAX(O229,0),N215)))))</f>
        <v>61915.750579516105</v>
      </c>
      <c r="O230" s="18">
        <f>IF($A230&gt;20,O229,(O229-N215+N230)*(1+$B$7))</f>
        <v>122503.68124986067</v>
      </c>
      <c r="P230" s="18">
        <f t="shared" si="16"/>
        <v>292636.09296867443</v>
      </c>
      <c r="Q230" s="18">
        <f>IF($A230&gt;20,0,(Q215-MIN(MAX(R229,0),Q215))+MIN(MAX(0,S229-(Q215-MIN(MAX(R229,0),Q215))),MAX(0,2*Q215-(R229-MIN(MAX(R229,0),Q215)))))</f>
        <v>61915.751444921945</v>
      </c>
      <c r="R230" s="18">
        <f>IF($A230&gt;20,R229,(R229-Q215+Q230)*(1+$B$7))</f>
        <v>122503.68296211321</v>
      </c>
      <c r="S230" s="18">
        <f t="shared" si="17"/>
        <v>292636.07653297449</v>
      </c>
    </row>
    <row r="231" spans="1:19">
      <c r="A231" s="10">
        <f>14</f>
        <v>14</v>
      </c>
      <c r="B231" s="18">
        <f>IF($A231&gt;20,0,(B215-MIN(MAX(C230,0),B215))+MIN(MAX(0,D230-(B215-MIN(MAX(C230,0),B215))),MAX(0,2*B215-(C230-MIN(MAX(C230,0),B215)))))</f>
        <v>30216</v>
      </c>
      <c r="C231" s="18">
        <f>IF($A231&gt;20,C230,(C230-B215+B231)*(1+$B$7))</f>
        <v>59784</v>
      </c>
      <c r="D231" s="18">
        <f t="shared" si="12"/>
        <v>890392.2787440836</v>
      </c>
      <c r="E231" s="18">
        <f>IF($A231&gt;20,0,(E215-MIN(MAX(F230,0),E215))+MIN(MAX(0,G230-(E215-MIN(MAX(F230,0),E215))),MAX(0,2*E215-(F230-MIN(MAX(F230,0),E215)))))</f>
        <v>33885.737453923619</v>
      </c>
      <c r="F231" s="18">
        <f>IF($A231&gt;20,F230,(F230-E215+E231)*(1+$B$7))</f>
        <v>107955.69279908949</v>
      </c>
      <c r="G231" s="18">
        <f t="shared" si="13"/>
        <v>0</v>
      </c>
      <c r="H231" s="18">
        <f>IF($A231&gt;20,0,(H215-MIN(MAX(I230,0),H215))+MIN(MAX(0,J230-(H215-MIN(MAX(I230,0),H215))),MAX(0,2*H215-(I230-MIN(MAX(I230,0),H215)))))</f>
        <v>62505.072613338467</v>
      </c>
      <c r="I231" s="18">
        <f>IF($A231&gt;20,I230,(I230-H215+H231)*(1+$B$7))</f>
        <v>123669.68695776496</v>
      </c>
      <c r="J231" s="18">
        <f t="shared" si="14"/>
        <v>225506.83668316423</v>
      </c>
      <c r="K231" s="18">
        <f>IF($A231&gt;20,0,(K215-MIN(MAX(L230,0),K215))+MIN(MAX(0,M230-(K215-MIN(MAX(L230,0),K215))),MAX(0,2*K215-(L230-MIN(MAX(L230,0),K215)))))</f>
        <v>61915.13021529562</v>
      </c>
      <c r="L231" s="18">
        <f>IF($A231&gt;20,L230,(L230-K215+K231)*(1+$B$7))</f>
        <v>122502.45382549751</v>
      </c>
      <c r="M231" s="18">
        <f t="shared" si="15"/>
        <v>237654.72698680745</v>
      </c>
      <c r="N231" s="18">
        <f>IF($A231&gt;20,0,(N215-MIN(MAX(O230,0),N215))+MIN(MAX(0,P230-(N215-MIN(MAX(O230,0),N215))),MAX(0,2*N215-(O230-MIN(MAX(O230,0),N215)))))</f>
        <v>61915.750579516105</v>
      </c>
      <c r="O231" s="18">
        <f>IF($A231&gt;20,O230,(O230-N215+N231)*(1+$B$7))</f>
        <v>122503.68124986067</v>
      </c>
      <c r="P231" s="18">
        <f t="shared" si="16"/>
        <v>237641.95266083308</v>
      </c>
      <c r="Q231" s="18">
        <f>IF($A231&gt;20,0,(Q215-MIN(MAX(R230,0),Q215))+MIN(MAX(0,S230-(Q215-MIN(MAX(R230,0),Q215))),MAX(0,2*Q215-(R230-MIN(MAX(R230,0),Q215)))))</f>
        <v>61915.751444921945</v>
      </c>
      <c r="R231" s="18">
        <f>IF($A231&gt;20,R230,(R230-Q215+Q231)*(1+$B$7))</f>
        <v>122503.68296211321</v>
      </c>
      <c r="S231" s="18">
        <f t="shared" si="17"/>
        <v>237641.93484069413</v>
      </c>
    </row>
    <row r="232" spans="1:19">
      <c r="A232" s="10">
        <f>15</f>
        <v>15</v>
      </c>
      <c r="B232" s="18">
        <f>IF($A232&gt;20,0,(B215-MIN(MAX(C231,0),B215))+MIN(MAX(0,D231-(B215-MIN(MAX(C231,0),B215))),MAX(0,2*B215-(C231-MIN(MAX(C231,0),B215)))))</f>
        <v>30216</v>
      </c>
      <c r="C232" s="18">
        <f>IF($A232&gt;20,C231,(C231-B215+B232)*(1+$B$7))</f>
        <v>59784</v>
      </c>
      <c r="D232" s="18">
        <f t="shared" si="12"/>
        <v>885981.56710640609</v>
      </c>
      <c r="E232" s="18">
        <f>IF($A232&gt;20,0,(E215-MIN(MAX(F231,0),E215))+MIN(MAX(0,G231-(E215-MIN(MAX(F231,0),E215))),MAX(0,2*E215-(F231-MIN(MAX(F231,0),E215)))))</f>
        <v>0</v>
      </c>
      <c r="F232" s="18">
        <f>IF($A232&gt;20,F231,(F231-E215+E232)*(1+$B$7))</f>
        <v>32837.052305012767</v>
      </c>
      <c r="G232" s="18">
        <f t="shared" si="13"/>
        <v>0</v>
      </c>
      <c r="H232" s="18">
        <f>IF($A232&gt;20,0,(H215-MIN(MAX(I231,0),H215))+MIN(MAX(0,J231-(H215-MIN(MAX(I231,0),H215))),MAX(0,2*H215-(I231-MIN(MAX(I231,0),H215)))))</f>
        <v>62505.072613338467</v>
      </c>
      <c r="I232" s="18">
        <f>IF($A232&gt;20,I231,(I231-H215+H232)*(1+$B$7))</f>
        <v>123669.68695776496</v>
      </c>
      <c r="J232" s="18">
        <f t="shared" si="14"/>
        <v>167891.81699192052</v>
      </c>
      <c r="K232" s="18">
        <f>IF($A232&gt;20,0,(K215-MIN(MAX(L231,0),K215))+MIN(MAX(0,M231-(K215-MIN(MAX(L231,0),K215))),MAX(0,2*K215-(L231-MIN(MAX(L231,0),K215)))))</f>
        <v>61915.13021529562</v>
      </c>
      <c r="L232" s="18">
        <f>IF($A232&gt;20,L231,(L231-K215+K232)*(1+$B$7))</f>
        <v>122502.45382549751</v>
      </c>
      <c r="M232" s="18">
        <f t="shared" si="15"/>
        <v>181011.78467465719</v>
      </c>
      <c r="N232" s="18">
        <f>IF($A232&gt;20,0,(N215-MIN(MAX(O231,0),N215))+MIN(MAX(0,P231-(N215-MIN(MAX(O231,0),N215))),MAX(0,2*N215-(O231-MIN(MAX(O231,0),N215)))))</f>
        <v>61915.750579516105</v>
      </c>
      <c r="O232" s="18">
        <f>IF($A232&gt;20,O231,(O231-N215+N232)*(1+$B$7))</f>
        <v>122503.68124986067</v>
      </c>
      <c r="P232" s="18">
        <f t="shared" si="16"/>
        <v>180997.98814375649</v>
      </c>
      <c r="Q232" s="18">
        <f>IF($A232&gt;20,0,(Q215-MIN(MAX(R231,0),Q215))+MIN(MAX(0,S231-(Q215-MIN(MAX(R231,0),Q215))),MAX(0,2*Q215-(R231-MIN(MAX(R231,0),Q215)))))</f>
        <v>61915.751444921945</v>
      </c>
      <c r="R232" s="18">
        <f>IF($A232&gt;20,R231,(R231-Q215+Q232)*(1+$B$7))</f>
        <v>122503.68296211321</v>
      </c>
      <c r="S232" s="18">
        <f t="shared" si="17"/>
        <v>180997.96889764536</v>
      </c>
    </row>
    <row r="233" spans="1:19">
      <c r="A233" s="10">
        <f>16</f>
        <v>16</v>
      </c>
      <c r="B233" s="18">
        <f>IF($A233&gt;20,0,(B215-MIN(MAX(C232,0),B215))+MIN(MAX(0,D232-(B215-MIN(MAX(C232,0),B215))),MAX(0,2*B215-(C232-MIN(MAX(C232,0),B215)))))</f>
        <v>30216</v>
      </c>
      <c r="C233" s="18">
        <f>IF($A233&gt;20,C232,(C232-B215+B233)*(1+$B$7))</f>
        <v>59784</v>
      </c>
      <c r="D233" s="18">
        <f t="shared" si="12"/>
        <v>881438.53411959833</v>
      </c>
      <c r="E233" s="18">
        <f>IF($A233&gt;20,0,(E215-MIN(MAX(F232,0),E215))+MIN(MAX(0,G232-(E215-MIN(MAX(F232,0),E215))),MAX(0,2*E215-(F232-MIN(MAX(F232,0),E215)))))</f>
        <v>42162.947694987233</v>
      </c>
      <c r="F233" s="18">
        <f>IF($A233&gt;20,F232,(F232-E215+E233)*(1+$B$7))</f>
        <v>0</v>
      </c>
      <c r="G233" s="18">
        <f t="shared" si="13"/>
        <v>-43427.836125836853</v>
      </c>
      <c r="H233" s="18">
        <f>IF($A233&gt;20,0,(H215-MIN(MAX(I232,0),H215))+MIN(MAX(0,J232-(H215-MIN(MAX(I232,0),H215))),MAX(0,2*H215-(I232-MIN(MAX(I232,0),H215)))))</f>
        <v>62505.072613338467</v>
      </c>
      <c r="I233" s="18">
        <f>IF($A233&gt;20,I232,(I232-H215+H233)*(1+$B$7))</f>
        <v>123669.68695776496</v>
      </c>
      <c r="J233" s="18">
        <f t="shared" si="14"/>
        <v>108548.34670993952</v>
      </c>
      <c r="K233" s="18">
        <f>IF($A233&gt;20,0,(K215-MIN(MAX(L232,0),K215))+MIN(MAX(0,M232-(K215-MIN(MAX(L232,0),K215))),MAX(0,2*K215-(L232-MIN(MAX(L232,0),K215)))))</f>
        <v>61915.13021529562</v>
      </c>
      <c r="L233" s="18">
        <f>IF($A233&gt;20,L232,(L232-K215+K233)*(1+$B$7))</f>
        <v>122502.45382549751</v>
      </c>
      <c r="M233" s="18">
        <f t="shared" si="15"/>
        <v>122669.55409314242</v>
      </c>
      <c r="N233" s="18">
        <f>IF($A233&gt;20,0,(N215-MIN(MAX(O232,0),N215))+MIN(MAX(0,P232-(N215-MIN(MAX(O232,0),N215))),MAX(0,2*N215-(O232-MIN(MAX(O232,0),N215)))))</f>
        <v>61915.750579516105</v>
      </c>
      <c r="O233" s="18">
        <f>IF($A233&gt;20,O232,(O232-N215+N233)*(1+$B$7))</f>
        <v>122503.68124986067</v>
      </c>
      <c r="P233" s="18">
        <f t="shared" si="16"/>
        <v>122654.70469116759</v>
      </c>
      <c r="Q233" s="18">
        <f>IF($A233&gt;20,0,(Q215-MIN(MAX(R232,0),Q215))+MIN(MAX(0,S232-(Q215-MIN(MAX(R232,0),Q215))),MAX(0,2*Q215-(R232-MIN(MAX(R232,0),Q215)))))</f>
        <v>61915.751444921945</v>
      </c>
      <c r="R233" s="18">
        <f>IF($A233&gt;20,R232,(R232-Q215+Q233)*(1+$B$7))</f>
        <v>122503.68296211321</v>
      </c>
      <c r="S233" s="18">
        <f t="shared" si="17"/>
        <v>122654.68397630512</v>
      </c>
    </row>
    <row r="234" spans="1:19">
      <c r="A234" s="10">
        <f>17</f>
        <v>17</v>
      </c>
      <c r="B234" s="18">
        <f>IF($A234&gt;20,0,(B215-MIN(MAX(C233,0),B215))+MIN(MAX(0,D233-(B215-MIN(MAX(C233,0),B215))),MAX(0,2*B215-(C233-MIN(MAX(C233,0),B215)))))</f>
        <v>30216</v>
      </c>
      <c r="C234" s="18">
        <f>IF($A234&gt;20,C233,(C233-B215+B234)*(1+$B$7))</f>
        <v>59784</v>
      </c>
      <c r="D234" s="18">
        <f t="shared" si="12"/>
        <v>876759.21014318627</v>
      </c>
      <c r="E234" s="18">
        <f>IF($A234&gt;20,0,(E215-MIN(MAX(F233,0),E215))+MIN(MAX(0,G233-(E215-MIN(MAX(F233,0),E215))),MAX(0,2*E215-(F233-MIN(MAX(F233,0),E215)))))</f>
        <v>75000</v>
      </c>
      <c r="F234" s="18">
        <f>IF($A234&gt;20,F233,(F233-E215+E234)*(1+$B$7))</f>
        <v>0</v>
      </c>
      <c r="G234" s="18">
        <f t="shared" si="13"/>
        <v>-121980.67120961196</v>
      </c>
      <c r="H234" s="18">
        <f>IF($A234&gt;20,0,(H215-MIN(MAX(I233,0),H215))+MIN(MAX(0,J233-(H215-MIN(MAX(I233,0),H215))),MAX(0,2*H215-(I233-MIN(MAX(I233,0),H215)))))</f>
        <v>62505.072613338467</v>
      </c>
      <c r="I234" s="18">
        <f>IF($A234&gt;20,I233,(I233-H215+H234)*(1+$B$7))</f>
        <v>123669.68695776496</v>
      </c>
      <c r="J234" s="18">
        <f t="shared" si="14"/>
        <v>47424.572319499086</v>
      </c>
      <c r="K234" s="18">
        <f>IF($A234&gt;20,0,(K215-MIN(MAX(L233,0),K215))+MIN(MAX(0,M233-(K215-MIN(MAX(L233,0),K215))),MAX(0,2*K215-(L233-MIN(MAX(L233,0),K215)))))</f>
        <v>61915.13021529562</v>
      </c>
      <c r="L234" s="18">
        <f>IF($A234&gt;20,L233,(L233-K215+K234)*(1+$B$7))</f>
        <v>122502.45382549751</v>
      </c>
      <c r="M234" s="18">
        <f t="shared" si="15"/>
        <v>62577.056594182206</v>
      </c>
      <c r="N234" s="18">
        <f>IF($A234&gt;20,0,(N215-MIN(MAX(O233,0),N215))+MIN(MAX(0,P233-(N215-MIN(MAX(O233,0),N215))),MAX(0,2*N215-(O233-MIN(MAX(O233,0),N215)))))</f>
        <v>61915.750579516105</v>
      </c>
      <c r="O234" s="18">
        <f>IF($A234&gt;20,O233,(O233-N215+N234)*(1+$B$7))</f>
        <v>122503.68124986067</v>
      </c>
      <c r="P234" s="18">
        <f t="shared" si="16"/>
        <v>62561.12273500103</v>
      </c>
      <c r="Q234" s="18">
        <f>IF($A234&gt;20,0,(Q215-MIN(MAX(R233,0),Q215))+MIN(MAX(0,S233-(Q215-MIN(MAX(R233,0),Q215))),MAX(0,2*Q215-(R233-MIN(MAX(R233,0),Q215)))))</f>
        <v>61915.751444921945</v>
      </c>
      <c r="R234" s="18">
        <f>IF($A234&gt;20,R233,(R233-Q215+Q234)*(1+$B$7))</f>
        <v>122503.68296211321</v>
      </c>
      <c r="S234" s="18">
        <f t="shared" si="17"/>
        <v>62561.100507324678</v>
      </c>
    </row>
    <row r="235" spans="1:19">
      <c r="A235" s="10">
        <f>18</f>
        <v>18</v>
      </c>
      <c r="B235" s="18">
        <f>IF($A235&gt;20,0,(B215-MIN(MAX(C234,0),B215))+MIN(MAX(0,D234-(B215-MIN(MAX(C234,0),B215))),MAX(0,2*B215-(C234-MIN(MAX(C234,0),B215)))))</f>
        <v>30216</v>
      </c>
      <c r="C235" s="18">
        <f>IF($A235&gt;20,C234,(C234-B215+B235)*(1+$B$7))</f>
        <v>59784</v>
      </c>
      <c r="D235" s="18">
        <f t="shared" si="12"/>
        <v>871939.50644748192</v>
      </c>
      <c r="E235" s="18">
        <f>IF($A235&gt;20,0,(E215-MIN(MAX(F234,0),E215))+MIN(MAX(0,G234-(E215-MIN(MAX(F234,0),E215))),MAX(0,2*E215-(F234-MIN(MAX(F234,0),E215)))))</f>
        <v>75000</v>
      </c>
      <c r="F235" s="18">
        <f>IF($A235&gt;20,F234,(F234-E215+E235)*(1+$B$7))</f>
        <v>0</v>
      </c>
      <c r="G235" s="18">
        <f t="shared" si="13"/>
        <v>-202890.09134590032</v>
      </c>
      <c r="H235" s="18">
        <f>IF($A235&gt;20,0,(H215-MIN(MAX(I234,0),H215))+MIN(MAX(0,J234-(H215-MIN(MAX(I234,0),H215))),MAX(0,2*H215-(I234-MIN(MAX(I234,0),H215)))))</f>
        <v>47424.572319499086</v>
      </c>
      <c r="I235" s="18">
        <f>IF($A235&gt;20,I234,(I234-H215+H235)*(1+$B$7))</f>
        <v>108643.4764649834</v>
      </c>
      <c r="J235" s="18">
        <f t="shared" si="14"/>
        <v>0</v>
      </c>
      <c r="K235" s="18">
        <f>IF($A235&gt;20,0,(K215-MIN(MAX(L234,0),K215))+MIN(MAX(0,M234-(K215-MIN(MAX(L234,0),K215))),MAX(0,2*K215-(L234-MIN(MAX(L234,0),K215)))))</f>
        <v>61915.13021529562</v>
      </c>
      <c r="L235" s="18">
        <f>IF($A235&gt;20,L234,(L234-K215+K235)*(1+$B$7))</f>
        <v>122502.45382549751</v>
      </c>
      <c r="M235" s="18">
        <f t="shared" si="15"/>
        <v>681.78417025318413</v>
      </c>
      <c r="N235" s="18">
        <f>IF($A235&gt;20,0,(N215-MIN(MAX(O234,0),N215))+MIN(MAX(0,P234-(N215-MIN(MAX(O234,0),N215))),MAX(0,2*N215-(O234-MIN(MAX(O234,0),N215)))))</f>
        <v>61915.750579516105</v>
      </c>
      <c r="O235" s="18">
        <f>IF($A235&gt;20,O234,(O234-N215+N235)*(1+$B$7))</f>
        <v>122503.68124986067</v>
      </c>
      <c r="P235" s="18">
        <f t="shared" si="16"/>
        <v>664.73332014947312</v>
      </c>
      <c r="Q235" s="18">
        <f>IF($A235&gt;20,0,(Q215-MIN(MAX(R234,0),Q215))+MIN(MAX(0,S234-(Q215-MIN(MAX(R234,0),Q215))),MAX(0,2*Q215-(R234-MIN(MAX(R234,0),Q215)))))</f>
        <v>61915.751444921945</v>
      </c>
      <c r="R235" s="18">
        <f>IF($A235&gt;20,R234,(R234-Q215+Q235)*(1+$B$7))</f>
        <v>122503.68296211321</v>
      </c>
      <c r="S235" s="18">
        <f t="shared" si="17"/>
        <v>664.7095342748147</v>
      </c>
    </row>
    <row r="236" spans="1:19">
      <c r="A236" s="10">
        <f>19</f>
        <v>19</v>
      </c>
      <c r="B236" s="18">
        <f>IF($A236&gt;20,0,(B215-MIN(MAX(C235,0),B215))+MIN(MAX(0,D235-(B215-MIN(MAX(C235,0),B215))),MAX(0,2*B215-(C235-MIN(MAX(C235,0),B215)))))</f>
        <v>30216</v>
      </c>
      <c r="C236" s="18">
        <f>IF($A236&gt;20,C235,(C235-B215+B236)*(1+$B$7))</f>
        <v>59784</v>
      </c>
      <c r="D236" s="18">
        <f t="shared" si="12"/>
        <v>866975.2116409064</v>
      </c>
      <c r="E236" s="18">
        <f>IF($A236&gt;20,0,(E215-MIN(MAX(F235,0),E215))+MIN(MAX(0,G235-(E215-MIN(MAX(F235,0),E215))),MAX(0,2*E215-(F235-MIN(MAX(F235,0),E215)))))</f>
        <v>75000</v>
      </c>
      <c r="F236" s="18">
        <f>IF($A236&gt;20,F235,(F235-E215+E236)*(1+$B$7))</f>
        <v>0</v>
      </c>
      <c r="G236" s="18">
        <f t="shared" si="13"/>
        <v>-286226.79408627731</v>
      </c>
      <c r="H236" s="18">
        <f>IF($A236&gt;20,0,(H215-MIN(MAX(I235,0),H215))+MIN(MAX(0,J235-(H215-MIN(MAX(I235,0),H215))),MAX(0,2*H215-(I235-MIN(MAX(I235,0),H215)))))</f>
        <v>0</v>
      </c>
      <c r="I236" s="18">
        <f>IF($A236&gt;20,I235,(I235-H215+H236)*(1+$B$7))</f>
        <v>46417.516470826966</v>
      </c>
      <c r="J236" s="18">
        <f t="shared" si="14"/>
        <v>0</v>
      </c>
      <c r="K236" s="18">
        <f>IF($A236&gt;20,0,(K215-MIN(MAX(L235,0),K215))+MIN(MAX(0,M235-(K215-MIN(MAX(L235,0),K215))),MAX(0,2*K215-(L235-MIN(MAX(L235,0),K215)))))</f>
        <v>681.78417025318413</v>
      </c>
      <c r="L236" s="18">
        <f>IF($A236&gt;20,L235,(L235-K215+K236)*(1+$B$7))</f>
        <v>61489.547826217233</v>
      </c>
      <c r="M236" s="18">
        <f t="shared" si="15"/>
        <v>0</v>
      </c>
      <c r="N236" s="18">
        <f>IF($A236&gt;20,0,(N215-MIN(MAX(O235,0),N215))+MIN(MAX(0,P235-(N215-MIN(MAX(O235,0),N215))),MAX(0,2*N215-(O235-MIN(MAX(O235,0),N215)))))</f>
        <v>664.73332014947312</v>
      </c>
      <c r="O236" s="18">
        <f>IF($A236&gt;20,O235,(O235-N215+N236)*(1+$B$7))</f>
        <v>61473.167652627773</v>
      </c>
      <c r="P236" s="18">
        <f t="shared" si="16"/>
        <v>0</v>
      </c>
      <c r="Q236" s="18">
        <f>IF($A236&gt;20,0,(Q215-MIN(MAX(R235,0),Q215))+MIN(MAX(0,S235-(Q215-MIN(MAX(R235,0),Q215))),MAX(0,2*Q215-(R235-MIN(MAX(R235,0),Q215)))))</f>
        <v>664.7095342748147</v>
      </c>
      <c r="R236" s="18">
        <f>IF($A236&gt;20,R235,(R235-Q215+Q236)*(1+$B$7))</f>
        <v>61473.14480234441</v>
      </c>
      <c r="S236" s="18">
        <f t="shared" si="17"/>
        <v>0</v>
      </c>
    </row>
    <row r="237" spans="1:19">
      <c r="A237" s="10">
        <f>20</f>
        <v>20</v>
      </c>
      <c r="B237" s="18">
        <f>IF($A237&gt;20,0,(B215-MIN(MAX(C236,0),B215))+MIN(MAX(0,D236-(B215-MIN(MAX(C236,0),B215))),MAX(0,2*B215-(C236-MIN(MAX(C236,0),B215)))))</f>
        <v>30216</v>
      </c>
      <c r="C237" s="18">
        <f>IF($A237&gt;20,C236,(C236-B215+B237)*(1+$B$7))</f>
        <v>59784</v>
      </c>
      <c r="D237" s="18">
        <f t="shared" si="12"/>
        <v>861861.98799013358</v>
      </c>
      <c r="E237" s="18">
        <f>IF($A237&gt;20,0,(E215-MIN(MAX(F236,0),E215))+MIN(MAX(0,G236-(E215-MIN(MAX(F236,0),E215))),MAX(0,2*E215-(F236-MIN(MAX(F236,0),E215)))))</f>
        <v>75000</v>
      </c>
      <c r="F237" s="18">
        <f>IF($A237&gt;20,F236,(F236-E215+E237)*(1+$B$7))</f>
        <v>0</v>
      </c>
      <c r="G237" s="18">
        <f t="shared" si="13"/>
        <v>-372063.59790886566</v>
      </c>
      <c r="H237" s="18">
        <f>IF($A237&gt;20,0,(H215-MIN(MAX(I236,0),H215))+MIN(MAX(0,J236-(H215-MIN(MAX(I236,0),H215))),MAX(0,2*H215-(I236-MIN(MAX(I236,0),H215)))))</f>
        <v>15640.736719540844</v>
      </c>
      <c r="I237" s="18">
        <f>IF($A237&gt;20,I236,(I236-H215+H237)*(1+$B$7))</f>
        <v>0</v>
      </c>
      <c r="J237" s="18">
        <f t="shared" si="14"/>
        <v>-16109.958821127069</v>
      </c>
      <c r="K237" s="18">
        <f>IF($A237&gt;20,0,(K215-MIN(MAX(L236,0),K215))+MIN(MAX(0,M236-(K215-MIN(MAX(L236,0),K215))),MAX(0,2*K215-(L236-MIN(MAX(L236,0),K215)))))</f>
        <v>0</v>
      </c>
      <c r="L237" s="18">
        <f>IF($A237&gt;20,L236,(L236-K215+K237)*(1+$B$7))</f>
        <v>16.95854129409431</v>
      </c>
      <c r="M237" s="18">
        <f t="shared" si="15"/>
        <v>0</v>
      </c>
      <c r="N237" s="18">
        <f>IF($A237&gt;20,0,(N215-MIN(MAX(O236,0),N215))+MIN(MAX(0,P236-(N215-MIN(MAX(O236,0),N215))),MAX(0,2*N215-(O236-MIN(MAX(O236,0),N215)))))</f>
        <v>0</v>
      </c>
      <c r="O237" s="18">
        <f>IF($A237&gt;20,O236,(O236-N215+N237)*(1+$B$7))</f>
        <v>2.3624147972432546E-2</v>
      </c>
      <c r="P237" s="18">
        <f t="shared" si="16"/>
        <v>0</v>
      </c>
      <c r="Q237" s="18">
        <f>IF($A237&gt;20,0,(Q215-MIN(MAX(R236,0),Q215))+MIN(MAX(0,S236-(Q215-MIN(MAX(R236,0),Q215))),MAX(0,2*Q215-(R236-MIN(MAX(R236,0),Q215)))))</f>
        <v>6.4028427004814148E-10</v>
      </c>
      <c r="R237" s="18">
        <f>IF($A237&gt;20,R236,(R236-Q215+Q237)*(1+$B$7))</f>
        <v>0</v>
      </c>
      <c r="S237" s="18">
        <f t="shared" si="17"/>
        <v>-6.5949279814958573E-10</v>
      </c>
    </row>
    <row r="238" spans="1:19">
      <c r="A238" s="10">
        <f>21</f>
        <v>21</v>
      </c>
      <c r="B238" s="18">
        <f>IF($A238&gt;20,0,(B215-MIN(MAX(C237,0),B215))+MIN(MAX(0,D237-(B215-MIN(MAX(C237,0),B215))),MAX(0,2*B215-(C237-MIN(MAX(C237,0),B215)))))</f>
        <v>0</v>
      </c>
      <c r="C238" s="18">
        <f>IF($A238&gt;20,C237,(C237-B215+B238)*(1+$B$7))</f>
        <v>59784</v>
      </c>
      <c r="D238" s="18">
        <f t="shared" si="12"/>
        <v>861861.98799013358</v>
      </c>
      <c r="E238" s="18">
        <f>IF($A238&gt;20,0,(E215-MIN(MAX(F237,0),E215))+MIN(MAX(0,G237-(E215-MIN(MAX(F237,0),E215))),MAX(0,2*E215-(F237-MIN(MAX(F237,0),E215)))))</f>
        <v>0</v>
      </c>
      <c r="F238" s="18">
        <f>IF($A238&gt;20,F237,(F237-E215+E238)*(1+$B$7))</f>
        <v>0</v>
      </c>
      <c r="G238" s="18">
        <f t="shared" si="13"/>
        <v>-372063.59790886566</v>
      </c>
      <c r="H238" s="18">
        <f>IF($A238&gt;20,0,(H215-MIN(MAX(I237,0),H215))+MIN(MAX(0,J237-(H215-MIN(MAX(I237,0),H215))),MAX(0,2*H215-(I237-MIN(MAX(I237,0),H215)))))</f>
        <v>0</v>
      </c>
      <c r="I238" s="18">
        <f>IF($A238&gt;20,I237,(I237-H215+H238)*(1+$B$7))</f>
        <v>0</v>
      </c>
      <c r="J238" s="18">
        <f t="shared" si="14"/>
        <v>-16109.958821127069</v>
      </c>
      <c r="K238" s="18">
        <f>IF($A238&gt;20,0,(K215-MIN(MAX(L237,0),K215))+MIN(MAX(0,M237-(K215-MIN(MAX(L237,0),K215))),MAX(0,2*K215-(L237-MIN(MAX(L237,0),K215)))))</f>
        <v>0</v>
      </c>
      <c r="L238" s="18">
        <f>IF($A238&gt;20,L237,(L237-K215+K238)*(1+$B$7))</f>
        <v>16.95854129409431</v>
      </c>
      <c r="M238" s="18">
        <f t="shared" si="15"/>
        <v>0</v>
      </c>
      <c r="N238" s="18">
        <f>IF($A238&gt;20,0,(N215-MIN(MAX(O237,0),N215))+MIN(MAX(0,P237-(N215-MIN(MAX(O237,0),N215))),MAX(0,2*N215-(O237-MIN(MAX(O237,0),N215)))))</f>
        <v>0</v>
      </c>
      <c r="O238" s="18">
        <f>IF($A238&gt;20,O237,(O237-N215+N238)*(1+$B$7))</f>
        <v>2.3624147972432546E-2</v>
      </c>
      <c r="P238" s="18">
        <f t="shared" si="16"/>
        <v>0</v>
      </c>
      <c r="Q238" s="18">
        <f>IF($A238&gt;20,0,(Q215-MIN(MAX(R237,0),Q215))+MIN(MAX(0,S237-(Q215-MIN(MAX(R237,0),Q215))),MAX(0,2*Q215-(R237-MIN(MAX(R237,0),Q215)))))</f>
        <v>0</v>
      </c>
      <c r="R238" s="18">
        <f>IF($A238&gt;20,R237,(R237-Q215+Q238)*(1+$B$7))</f>
        <v>0</v>
      </c>
      <c r="S238" s="18">
        <f t="shared" si="17"/>
        <v>-6.5949279814958573E-10</v>
      </c>
    </row>
    <row r="239" spans="1:19">
      <c r="A239" s="10">
        <f>22</f>
        <v>22</v>
      </c>
      <c r="B239" s="18">
        <f>IF($A239&gt;20,0,(B215-MIN(MAX(C238,0),B215))+MIN(MAX(0,D238-(B215-MIN(MAX(C238,0),B215))),MAX(0,2*B215-(C238-MIN(MAX(C238,0),B215)))))</f>
        <v>0</v>
      </c>
      <c r="C239" s="18">
        <f>IF($A239&gt;20,C238,(C238-B215+B239)*(1+$B$7))</f>
        <v>59784</v>
      </c>
      <c r="D239" s="18">
        <f t="shared" si="12"/>
        <v>861861.98799013358</v>
      </c>
      <c r="E239" s="18">
        <f>IF($A239&gt;20,0,(E215-MIN(MAX(F238,0),E215))+MIN(MAX(0,G238-(E215-MIN(MAX(F238,0),E215))),MAX(0,2*E215-(F238-MIN(MAX(F238,0),E215)))))</f>
        <v>0</v>
      </c>
      <c r="F239" s="18">
        <f>IF($A239&gt;20,F238,(F238-E215+E239)*(1+$B$7))</f>
        <v>0</v>
      </c>
      <c r="G239" s="18">
        <f t="shared" si="13"/>
        <v>-372063.59790886566</v>
      </c>
      <c r="H239" s="18">
        <f>IF($A239&gt;20,0,(H215-MIN(MAX(I238,0),H215))+MIN(MAX(0,J238-(H215-MIN(MAX(I238,0),H215))),MAX(0,2*H215-(I238-MIN(MAX(I238,0),H215)))))</f>
        <v>0</v>
      </c>
      <c r="I239" s="18">
        <f>IF($A239&gt;20,I238,(I238-H215+H239)*(1+$B$7))</f>
        <v>0</v>
      </c>
      <c r="J239" s="18">
        <f t="shared" si="14"/>
        <v>-16109.958821127069</v>
      </c>
      <c r="K239" s="18">
        <f>IF($A239&gt;20,0,(K215-MIN(MAX(L238,0),K215))+MIN(MAX(0,M238-(K215-MIN(MAX(L238,0),K215))),MAX(0,2*K215-(L238-MIN(MAX(L238,0),K215)))))</f>
        <v>0</v>
      </c>
      <c r="L239" s="18">
        <f>IF($A239&gt;20,L238,(L238-K215+K239)*(1+$B$7))</f>
        <v>16.95854129409431</v>
      </c>
      <c r="M239" s="18">
        <f t="shared" si="15"/>
        <v>0</v>
      </c>
      <c r="N239" s="18">
        <f>IF($A239&gt;20,0,(N215-MIN(MAX(O238,0),N215))+MIN(MAX(0,P238-(N215-MIN(MAX(O238,0),N215))),MAX(0,2*N215-(O238-MIN(MAX(O238,0),N215)))))</f>
        <v>0</v>
      </c>
      <c r="O239" s="18">
        <f>IF($A239&gt;20,O238,(O238-N215+N239)*(1+$B$7))</f>
        <v>2.3624147972432546E-2</v>
      </c>
      <c r="P239" s="18">
        <f t="shared" si="16"/>
        <v>0</v>
      </c>
      <c r="Q239" s="18">
        <f>IF($A239&gt;20,0,(Q215-MIN(MAX(R238,0),Q215))+MIN(MAX(0,S238-(Q215-MIN(MAX(R238,0),Q215))),MAX(0,2*Q215-(R238-MIN(MAX(R238,0),Q215)))))</f>
        <v>0</v>
      </c>
      <c r="R239" s="18">
        <f>IF($A239&gt;20,R238,(R238-Q215+Q239)*(1+$B$7))</f>
        <v>0</v>
      </c>
      <c r="S239" s="18">
        <f t="shared" si="17"/>
        <v>-6.5949279814958573E-10</v>
      </c>
    </row>
    <row r="240" spans="1:19">
      <c r="A240" s="10">
        <f>23</f>
        <v>23</v>
      </c>
      <c r="B240" s="18">
        <f>IF($A240&gt;20,0,(B215-MIN(MAX(C239,0),B215))+MIN(MAX(0,D239-(B215-MIN(MAX(C239,0),B215))),MAX(0,2*B215-(C239-MIN(MAX(C239,0),B215)))))</f>
        <v>0</v>
      </c>
      <c r="C240" s="18">
        <f>IF($A240&gt;20,C239,(C239-B215+B240)*(1+$B$7))</f>
        <v>59784</v>
      </c>
      <c r="D240" s="18">
        <f t="shared" si="12"/>
        <v>861861.98799013358</v>
      </c>
      <c r="E240" s="18">
        <f>IF($A240&gt;20,0,(E215-MIN(MAX(F239,0),E215))+MIN(MAX(0,G239-(E215-MIN(MAX(F239,0),E215))),MAX(0,2*E215-(F239-MIN(MAX(F239,0),E215)))))</f>
        <v>0</v>
      </c>
      <c r="F240" s="18">
        <f>IF($A240&gt;20,F239,(F239-E215+E240)*(1+$B$7))</f>
        <v>0</v>
      </c>
      <c r="G240" s="18">
        <f t="shared" si="13"/>
        <v>-372063.59790886566</v>
      </c>
      <c r="H240" s="18">
        <f>IF($A240&gt;20,0,(H215-MIN(MAX(I239,0),H215))+MIN(MAX(0,J239-(H215-MIN(MAX(I239,0),H215))),MAX(0,2*H215-(I239-MIN(MAX(I239,0),H215)))))</f>
        <v>0</v>
      </c>
      <c r="I240" s="18">
        <f>IF($A240&gt;20,I239,(I239-H215+H240)*(1+$B$7))</f>
        <v>0</v>
      </c>
      <c r="J240" s="18">
        <f t="shared" si="14"/>
        <v>-16109.958821127069</v>
      </c>
      <c r="K240" s="18">
        <f>IF($A240&gt;20,0,(K215-MIN(MAX(L239,0),K215))+MIN(MAX(0,M239-(K215-MIN(MAX(L239,0),K215))),MAX(0,2*K215-(L239-MIN(MAX(L239,0),K215)))))</f>
        <v>0</v>
      </c>
      <c r="L240" s="18">
        <f>IF($A240&gt;20,L239,(L239-K215+K240)*(1+$B$7))</f>
        <v>16.95854129409431</v>
      </c>
      <c r="M240" s="18">
        <f t="shared" si="15"/>
        <v>0</v>
      </c>
      <c r="N240" s="18">
        <f>IF($A240&gt;20,0,(N215-MIN(MAX(O239,0),N215))+MIN(MAX(0,P239-(N215-MIN(MAX(O239,0),N215))),MAX(0,2*N215-(O239-MIN(MAX(O239,0),N215)))))</f>
        <v>0</v>
      </c>
      <c r="O240" s="18">
        <f>IF($A240&gt;20,O239,(O239-N215+N240)*(1+$B$7))</f>
        <v>2.3624147972432546E-2</v>
      </c>
      <c r="P240" s="18">
        <f t="shared" si="16"/>
        <v>0</v>
      </c>
      <c r="Q240" s="18">
        <f>IF($A240&gt;20,0,(Q215-MIN(MAX(R239,0),Q215))+MIN(MAX(0,S239-(Q215-MIN(MAX(R239,0),Q215))),MAX(0,2*Q215-(R239-MIN(MAX(R239,0),Q215)))))</f>
        <v>0</v>
      </c>
      <c r="R240" s="18">
        <f>IF($A240&gt;20,R239,(R239-Q215+Q240)*(1+$B$7))</f>
        <v>0</v>
      </c>
      <c r="S240" s="18">
        <f t="shared" si="17"/>
        <v>-6.5949279814958573E-10</v>
      </c>
    </row>
    <row r="241" spans="1:19">
      <c r="A241" s="10">
        <f>24</f>
        <v>24</v>
      </c>
      <c r="B241" s="18">
        <f>IF($A241&gt;20,0,(B215-MIN(MAX(C240,0),B215))+MIN(MAX(0,D240-(B215-MIN(MAX(C240,0),B215))),MAX(0,2*B215-(C240-MIN(MAX(C240,0),B215)))))</f>
        <v>0</v>
      </c>
      <c r="C241" s="18">
        <f>IF($A241&gt;20,C240,(C240-B215+B241)*(1+$B$7))</f>
        <v>59784</v>
      </c>
      <c r="D241" s="18">
        <f t="shared" si="12"/>
        <v>861861.98799013358</v>
      </c>
      <c r="E241" s="18">
        <f>IF($A241&gt;20,0,(E215-MIN(MAX(F240,0),E215))+MIN(MAX(0,G240-(E215-MIN(MAX(F240,0),E215))),MAX(0,2*E215-(F240-MIN(MAX(F240,0),E215)))))</f>
        <v>0</v>
      </c>
      <c r="F241" s="18">
        <f>IF($A241&gt;20,F240,(F240-E215+E241)*(1+$B$7))</f>
        <v>0</v>
      </c>
      <c r="G241" s="18">
        <f t="shared" si="13"/>
        <v>-372063.59790886566</v>
      </c>
      <c r="H241" s="18">
        <f>IF($A241&gt;20,0,(H215-MIN(MAX(I240,0),H215))+MIN(MAX(0,J240-(H215-MIN(MAX(I240,0),H215))),MAX(0,2*H215-(I240-MIN(MAX(I240,0),H215)))))</f>
        <v>0</v>
      </c>
      <c r="I241" s="18">
        <f>IF($A241&gt;20,I240,(I240-H215+H241)*(1+$B$7))</f>
        <v>0</v>
      </c>
      <c r="J241" s="18">
        <f t="shared" si="14"/>
        <v>-16109.958821127069</v>
      </c>
      <c r="K241" s="18">
        <f>IF($A241&gt;20,0,(K215-MIN(MAX(L240,0),K215))+MIN(MAX(0,M240-(K215-MIN(MAX(L240,0),K215))),MAX(0,2*K215-(L240-MIN(MAX(L240,0),K215)))))</f>
        <v>0</v>
      </c>
      <c r="L241" s="18">
        <f>IF($A241&gt;20,L240,(L240-K215+K241)*(1+$B$7))</f>
        <v>16.95854129409431</v>
      </c>
      <c r="M241" s="18">
        <f t="shared" si="15"/>
        <v>0</v>
      </c>
      <c r="N241" s="18">
        <f>IF($A241&gt;20,0,(N215-MIN(MAX(O240,0),N215))+MIN(MAX(0,P240-(N215-MIN(MAX(O240,0),N215))),MAX(0,2*N215-(O240-MIN(MAX(O240,0),N215)))))</f>
        <v>0</v>
      </c>
      <c r="O241" s="18">
        <f>IF($A241&gt;20,O240,(O240-N215+N241)*(1+$B$7))</f>
        <v>2.3624147972432546E-2</v>
      </c>
      <c r="P241" s="18">
        <f t="shared" si="16"/>
        <v>0</v>
      </c>
      <c r="Q241" s="18">
        <f>IF($A241&gt;20,0,(Q215-MIN(MAX(R240,0),Q215))+MIN(MAX(0,S240-(Q215-MIN(MAX(R240,0),Q215))),MAX(0,2*Q215-(R240-MIN(MAX(R240,0),Q215)))))</f>
        <v>0</v>
      </c>
      <c r="R241" s="18">
        <f>IF($A241&gt;20,R240,(R240-Q215+Q241)*(1+$B$7))</f>
        <v>0</v>
      </c>
      <c r="S241" s="18">
        <f t="shared" si="17"/>
        <v>-6.5949279814958573E-10</v>
      </c>
    </row>
    <row r="242" spans="1:19">
      <c r="A242" s="10">
        <f>25</f>
        <v>25</v>
      </c>
      <c r="B242" s="18">
        <f>IF($A242&gt;20,0,(B215-MIN(MAX(C241,0),B215))+MIN(MAX(0,D241-(B215-MIN(MAX(C241,0),B215))),MAX(0,2*B215-(C241-MIN(MAX(C241,0),B215)))))</f>
        <v>0</v>
      </c>
      <c r="C242" s="18">
        <f>IF($A242&gt;20,C241,(C241-B215+B242)*(1+$B$7))</f>
        <v>59784</v>
      </c>
      <c r="D242" s="18">
        <f t="shared" si="12"/>
        <v>861861.98799013358</v>
      </c>
      <c r="E242" s="18">
        <f>IF($A242&gt;20,0,(E215-MIN(MAX(F241,0),E215))+MIN(MAX(0,G241-(E215-MIN(MAX(F241,0),E215))),MAX(0,2*E215-(F241-MIN(MAX(F241,0),E215)))))</f>
        <v>0</v>
      </c>
      <c r="F242" s="18">
        <f>IF($A242&gt;20,F241,(F241-E215+E242)*(1+$B$7))</f>
        <v>0</v>
      </c>
      <c r="G242" s="18">
        <f t="shared" si="13"/>
        <v>-372063.59790886566</v>
      </c>
      <c r="H242" s="18">
        <f>IF($A242&gt;20,0,(H215-MIN(MAX(I241,0),H215))+MIN(MAX(0,J241-(H215-MIN(MAX(I241,0),H215))),MAX(0,2*H215-(I241-MIN(MAX(I241,0),H215)))))</f>
        <v>0</v>
      </c>
      <c r="I242" s="18">
        <f>IF($A242&gt;20,I241,(I241-H215+H242)*(1+$B$7))</f>
        <v>0</v>
      </c>
      <c r="J242" s="18">
        <f t="shared" si="14"/>
        <v>-16109.958821127069</v>
      </c>
      <c r="K242" s="18">
        <f>IF($A242&gt;20,0,(K215-MIN(MAX(L241,0),K215))+MIN(MAX(0,M241-(K215-MIN(MAX(L241,0),K215))),MAX(0,2*K215-(L241-MIN(MAX(L241,0),K215)))))</f>
        <v>0</v>
      </c>
      <c r="L242" s="18">
        <f>IF($A242&gt;20,L241,(L241-K215+K242)*(1+$B$7))</f>
        <v>16.95854129409431</v>
      </c>
      <c r="M242" s="18">
        <f t="shared" si="15"/>
        <v>0</v>
      </c>
      <c r="N242" s="18">
        <f>IF($A242&gt;20,0,(N215-MIN(MAX(O241,0),N215))+MIN(MAX(0,P241-(N215-MIN(MAX(O241,0),N215))),MAX(0,2*N215-(O241-MIN(MAX(O241,0),N215)))))</f>
        <v>0</v>
      </c>
      <c r="O242" s="18">
        <f>IF($A242&gt;20,O241,(O241-N215+N242)*(1+$B$7))</f>
        <v>2.3624147972432546E-2</v>
      </c>
      <c r="P242" s="18">
        <f t="shared" si="16"/>
        <v>0</v>
      </c>
      <c r="Q242" s="18">
        <f>IF($A242&gt;20,0,(Q215-MIN(MAX(R241,0),Q215))+MIN(MAX(0,S241-(Q215-MIN(MAX(R241,0),Q215))),MAX(0,2*Q215-(R241-MIN(MAX(R241,0),Q215)))))</f>
        <v>0</v>
      </c>
      <c r="R242" s="18">
        <f>IF($A242&gt;20,R241,(R241-Q215+Q242)*(1+$B$7))</f>
        <v>0</v>
      </c>
      <c r="S242" s="18">
        <f t="shared" si="17"/>
        <v>-6.5949279814958573E-10</v>
      </c>
    </row>
    <row r="243" spans="1:19">
      <c r="A243" s="10">
        <f>26</f>
        <v>26</v>
      </c>
      <c r="B243" s="18">
        <f>IF($A243&gt;20,0,(B215-MIN(MAX(C242,0),B215))+MIN(MAX(0,D242-(B215-MIN(MAX(C242,0),B215))),MAX(0,2*B215-(C242-MIN(MAX(C242,0),B215)))))</f>
        <v>0</v>
      </c>
      <c r="C243" s="18">
        <f>IF($A243&gt;20,C242,(C242-B215+B243)*(1+$B$7))</f>
        <v>59784</v>
      </c>
      <c r="D243" s="18">
        <f t="shared" si="12"/>
        <v>861861.98799013358</v>
      </c>
      <c r="E243" s="18">
        <f>IF($A243&gt;20,0,(E215-MIN(MAX(F242,0),E215))+MIN(MAX(0,G242-(E215-MIN(MAX(F242,0),E215))),MAX(0,2*E215-(F242-MIN(MAX(F242,0),E215)))))</f>
        <v>0</v>
      </c>
      <c r="F243" s="18">
        <f>IF($A243&gt;20,F242,(F242-E215+E243)*(1+$B$7))</f>
        <v>0</v>
      </c>
      <c r="G243" s="18">
        <f t="shared" si="13"/>
        <v>-372063.59790886566</v>
      </c>
      <c r="H243" s="18">
        <f>IF($A243&gt;20,0,(H215-MIN(MAX(I242,0),H215))+MIN(MAX(0,J242-(H215-MIN(MAX(I242,0),H215))),MAX(0,2*H215-(I242-MIN(MAX(I242,0),H215)))))</f>
        <v>0</v>
      </c>
      <c r="I243" s="18">
        <f>IF($A243&gt;20,I242,(I242-H215+H243)*(1+$B$7))</f>
        <v>0</v>
      </c>
      <c r="J243" s="18">
        <f t="shared" si="14"/>
        <v>-16109.958821127069</v>
      </c>
      <c r="K243" s="18">
        <f>IF($A243&gt;20,0,(K215-MIN(MAX(L242,0),K215))+MIN(MAX(0,M242-(K215-MIN(MAX(L242,0),K215))),MAX(0,2*K215-(L242-MIN(MAX(L242,0),K215)))))</f>
        <v>0</v>
      </c>
      <c r="L243" s="18">
        <f>IF($A243&gt;20,L242,(L242-K215+K243)*(1+$B$7))</f>
        <v>16.95854129409431</v>
      </c>
      <c r="M243" s="18">
        <f t="shared" si="15"/>
        <v>0</v>
      </c>
      <c r="N243" s="18">
        <f>IF($A243&gt;20,0,(N215-MIN(MAX(O242,0),N215))+MIN(MAX(0,P242-(N215-MIN(MAX(O242,0),N215))),MAX(0,2*N215-(O242-MIN(MAX(O242,0),N215)))))</f>
        <v>0</v>
      </c>
      <c r="O243" s="18">
        <f>IF($A243&gt;20,O242,(O242-N215+N243)*(1+$B$7))</f>
        <v>2.3624147972432546E-2</v>
      </c>
      <c r="P243" s="18">
        <f t="shared" si="16"/>
        <v>0</v>
      </c>
      <c r="Q243" s="18">
        <f>IF($A243&gt;20,0,(Q215-MIN(MAX(R242,0),Q215))+MIN(MAX(0,S242-(Q215-MIN(MAX(R242,0),Q215))),MAX(0,2*Q215-(R242-MIN(MAX(R242,0),Q215)))))</f>
        <v>0</v>
      </c>
      <c r="R243" s="18">
        <f>IF($A243&gt;20,R242,(R242-Q215+Q243)*(1+$B$7))</f>
        <v>0</v>
      </c>
      <c r="S243" s="18">
        <f t="shared" si="17"/>
        <v>-6.5949279814958573E-10</v>
      </c>
    </row>
    <row r="244" spans="1:19">
      <c r="A244" s="10">
        <f>27</f>
        <v>27</v>
      </c>
      <c r="B244" s="18">
        <f>IF($A244&gt;20,0,(B215-MIN(MAX(C243,0),B215))+MIN(MAX(0,D243-(B215-MIN(MAX(C243,0),B215))),MAX(0,2*B215-(C243-MIN(MAX(C243,0),B215)))))</f>
        <v>0</v>
      </c>
      <c r="C244" s="18">
        <f>IF($A244&gt;20,C243,(C243-B215+B244)*(1+$B$7))</f>
        <v>59784</v>
      </c>
      <c r="D244" s="18">
        <f t="shared" si="12"/>
        <v>861861.98799013358</v>
      </c>
      <c r="E244" s="18">
        <f>IF($A244&gt;20,0,(E215-MIN(MAX(F243,0),E215))+MIN(MAX(0,G243-(E215-MIN(MAX(F243,0),E215))),MAX(0,2*E215-(F243-MIN(MAX(F243,0),E215)))))</f>
        <v>0</v>
      </c>
      <c r="F244" s="18">
        <f>IF($A244&gt;20,F243,(F243-E215+E244)*(1+$B$7))</f>
        <v>0</v>
      </c>
      <c r="G244" s="18">
        <f t="shared" si="13"/>
        <v>-372063.59790886566</v>
      </c>
      <c r="H244" s="18">
        <f>IF($A244&gt;20,0,(H215-MIN(MAX(I243,0),H215))+MIN(MAX(0,J243-(H215-MIN(MAX(I243,0),H215))),MAX(0,2*H215-(I243-MIN(MAX(I243,0),H215)))))</f>
        <v>0</v>
      </c>
      <c r="I244" s="18">
        <f>IF($A244&gt;20,I243,(I243-H215+H244)*(1+$B$7))</f>
        <v>0</v>
      </c>
      <c r="J244" s="18">
        <f t="shared" si="14"/>
        <v>-16109.958821127069</v>
      </c>
      <c r="K244" s="18">
        <f>IF($A244&gt;20,0,(K215-MIN(MAX(L243,0),K215))+MIN(MAX(0,M243-(K215-MIN(MAX(L243,0),K215))),MAX(0,2*K215-(L243-MIN(MAX(L243,0),K215)))))</f>
        <v>0</v>
      </c>
      <c r="L244" s="18">
        <f>IF($A244&gt;20,L243,(L243-K215+K244)*(1+$B$7))</f>
        <v>16.95854129409431</v>
      </c>
      <c r="M244" s="18">
        <f t="shared" si="15"/>
        <v>0</v>
      </c>
      <c r="N244" s="18">
        <f>IF($A244&gt;20,0,(N215-MIN(MAX(O243,0),N215))+MIN(MAX(0,P243-(N215-MIN(MAX(O243,0),N215))),MAX(0,2*N215-(O243-MIN(MAX(O243,0),N215)))))</f>
        <v>0</v>
      </c>
      <c r="O244" s="18">
        <f>IF($A244&gt;20,O243,(O243-N215+N244)*(1+$B$7))</f>
        <v>2.3624147972432546E-2</v>
      </c>
      <c r="P244" s="18">
        <f t="shared" si="16"/>
        <v>0</v>
      </c>
      <c r="Q244" s="18">
        <f>IF($A244&gt;20,0,(Q215-MIN(MAX(R243,0),Q215))+MIN(MAX(0,S243-(Q215-MIN(MAX(R243,0),Q215))),MAX(0,2*Q215-(R243-MIN(MAX(R243,0),Q215)))))</f>
        <v>0</v>
      </c>
      <c r="R244" s="18">
        <f>IF($A244&gt;20,R243,(R243-Q215+Q244)*(1+$B$7))</f>
        <v>0</v>
      </c>
      <c r="S244" s="18">
        <f t="shared" si="17"/>
        <v>-6.5949279814958573E-10</v>
      </c>
    </row>
    <row r="245" spans="1:19">
      <c r="A245" s="10">
        <f>28</f>
        <v>28</v>
      </c>
      <c r="B245" s="18">
        <f>IF($A245&gt;20,0,(B215-MIN(MAX(C244,0),B215))+MIN(MAX(0,D244-(B215-MIN(MAX(C244,0),B215))),MAX(0,2*B215-(C244-MIN(MAX(C244,0),B215)))))</f>
        <v>0</v>
      </c>
      <c r="C245" s="18">
        <f>IF($A245&gt;20,C244,(C244-B215+B245)*(1+$B$7))</f>
        <v>59784</v>
      </c>
      <c r="D245" s="18">
        <f t="shared" si="12"/>
        <v>861861.98799013358</v>
      </c>
      <c r="E245" s="18">
        <f>IF($A245&gt;20,0,(E215-MIN(MAX(F244,0),E215))+MIN(MAX(0,G244-(E215-MIN(MAX(F244,0),E215))),MAX(0,2*E215-(F244-MIN(MAX(F244,0),E215)))))</f>
        <v>0</v>
      </c>
      <c r="F245" s="18">
        <f>IF($A245&gt;20,F244,(F244-E215+E245)*(1+$B$7))</f>
        <v>0</v>
      </c>
      <c r="G245" s="18">
        <f t="shared" si="13"/>
        <v>-372063.59790886566</v>
      </c>
      <c r="H245" s="18">
        <f>IF($A245&gt;20,0,(H215-MIN(MAX(I244,0),H215))+MIN(MAX(0,J244-(H215-MIN(MAX(I244,0),H215))),MAX(0,2*H215-(I244-MIN(MAX(I244,0),H215)))))</f>
        <v>0</v>
      </c>
      <c r="I245" s="18">
        <f>IF($A245&gt;20,I244,(I244-H215+H245)*(1+$B$7))</f>
        <v>0</v>
      </c>
      <c r="J245" s="18">
        <f t="shared" si="14"/>
        <v>-16109.958821127069</v>
      </c>
      <c r="K245" s="18">
        <f>IF($A245&gt;20,0,(K215-MIN(MAX(L244,0),K215))+MIN(MAX(0,M244-(K215-MIN(MAX(L244,0),K215))),MAX(0,2*K215-(L244-MIN(MAX(L244,0),K215)))))</f>
        <v>0</v>
      </c>
      <c r="L245" s="18">
        <f>IF($A245&gt;20,L244,(L244-K215+K245)*(1+$B$7))</f>
        <v>16.95854129409431</v>
      </c>
      <c r="M245" s="18">
        <f t="shared" si="15"/>
        <v>0</v>
      </c>
      <c r="N245" s="18">
        <f>IF($A245&gt;20,0,(N215-MIN(MAX(O244,0),N215))+MIN(MAX(0,P244-(N215-MIN(MAX(O244,0),N215))),MAX(0,2*N215-(O244-MIN(MAX(O244,0),N215)))))</f>
        <v>0</v>
      </c>
      <c r="O245" s="18">
        <f>IF($A245&gt;20,O244,(O244-N215+N245)*(1+$B$7))</f>
        <v>2.3624147972432546E-2</v>
      </c>
      <c r="P245" s="18">
        <f t="shared" si="16"/>
        <v>0</v>
      </c>
      <c r="Q245" s="18">
        <f>IF($A245&gt;20,0,(Q215-MIN(MAX(R244,0),Q215))+MIN(MAX(0,S244-(Q215-MIN(MAX(R244,0),Q215))),MAX(0,2*Q215-(R244-MIN(MAX(R244,0),Q215)))))</f>
        <v>0</v>
      </c>
      <c r="R245" s="18">
        <f>IF($A245&gt;20,R244,(R244-Q215+Q245)*(1+$B$7))</f>
        <v>0</v>
      </c>
      <c r="S245" s="18">
        <f t="shared" si="17"/>
        <v>-6.5949279814958573E-10</v>
      </c>
    </row>
    <row r="246" spans="1:19">
      <c r="A246" s="10">
        <f>29</f>
        <v>29</v>
      </c>
      <c r="B246" s="18">
        <f>IF($A246&gt;20,0,(B215-MIN(MAX(C245,0),B215))+MIN(MAX(0,D245-(B215-MIN(MAX(C245,0),B215))),MAX(0,2*B215-(C245-MIN(MAX(C245,0),B215)))))</f>
        <v>0</v>
      </c>
      <c r="C246" s="18">
        <f>IF($A246&gt;20,C245,(C245-B215+B246)*(1+$B$7))</f>
        <v>59784</v>
      </c>
      <c r="D246" s="18">
        <f t="shared" si="12"/>
        <v>861861.98799013358</v>
      </c>
      <c r="E246" s="18">
        <f>IF($A246&gt;20,0,(E215-MIN(MAX(F245,0),E215))+MIN(MAX(0,G245-(E215-MIN(MAX(F245,0),E215))),MAX(0,2*E215-(F245-MIN(MAX(F245,0),E215)))))</f>
        <v>0</v>
      </c>
      <c r="F246" s="18">
        <f>IF($A246&gt;20,F245,(F245-E215+E246)*(1+$B$7))</f>
        <v>0</v>
      </c>
      <c r="G246" s="18">
        <f t="shared" si="13"/>
        <v>-372063.59790886566</v>
      </c>
      <c r="H246" s="18">
        <f>IF($A246&gt;20,0,(H215-MIN(MAX(I245,0),H215))+MIN(MAX(0,J245-(H215-MIN(MAX(I245,0),H215))),MAX(0,2*H215-(I245-MIN(MAX(I245,0),H215)))))</f>
        <v>0</v>
      </c>
      <c r="I246" s="18">
        <f>IF($A246&gt;20,I245,(I245-H215+H246)*(1+$B$7))</f>
        <v>0</v>
      </c>
      <c r="J246" s="18">
        <f t="shared" si="14"/>
        <v>-16109.958821127069</v>
      </c>
      <c r="K246" s="18">
        <f>IF($A246&gt;20,0,(K215-MIN(MAX(L245,0),K215))+MIN(MAX(0,M245-(K215-MIN(MAX(L245,0),K215))),MAX(0,2*K215-(L245-MIN(MAX(L245,0),K215)))))</f>
        <v>0</v>
      </c>
      <c r="L246" s="18">
        <f>IF($A246&gt;20,L245,(L245-K215+K246)*(1+$B$7))</f>
        <v>16.95854129409431</v>
      </c>
      <c r="M246" s="18">
        <f t="shared" si="15"/>
        <v>0</v>
      </c>
      <c r="N246" s="18">
        <f>IF($A246&gt;20,0,(N215-MIN(MAX(O245,0),N215))+MIN(MAX(0,P245-(N215-MIN(MAX(O245,0),N215))),MAX(0,2*N215-(O245-MIN(MAX(O245,0),N215)))))</f>
        <v>0</v>
      </c>
      <c r="O246" s="18">
        <f>IF($A246&gt;20,O245,(O245-N215+N246)*(1+$B$7))</f>
        <v>2.3624147972432546E-2</v>
      </c>
      <c r="P246" s="18">
        <f t="shared" si="16"/>
        <v>0</v>
      </c>
      <c r="Q246" s="18">
        <f>IF($A246&gt;20,0,(Q215-MIN(MAX(R245,0),Q215))+MIN(MAX(0,S245-(Q215-MIN(MAX(R245,0),Q215))),MAX(0,2*Q215-(R245-MIN(MAX(R245,0),Q215)))))</f>
        <v>0</v>
      </c>
      <c r="R246" s="18">
        <f>IF($A246&gt;20,R245,(R245-Q215+Q246)*(1+$B$7))</f>
        <v>0</v>
      </c>
      <c r="S246" s="18">
        <f t="shared" si="17"/>
        <v>-6.5949279814958573E-10</v>
      </c>
    </row>
    <row r="247" spans="1:19">
      <c r="A247" s="10">
        <f>30</f>
        <v>30</v>
      </c>
      <c r="B247" s="18">
        <f>IF($A247&gt;20,0,(B215-MIN(MAX(C246,0),B215))+MIN(MAX(0,D246-(B215-MIN(MAX(C246,0),B215))),MAX(0,2*B215-(C246-MIN(MAX(C246,0),B215)))))</f>
        <v>0</v>
      </c>
      <c r="C247" s="18">
        <f>IF($A247&gt;20,C246,(C246-B215+B247)*(1+$B$7))</f>
        <v>59784</v>
      </c>
      <c r="D247" s="18">
        <f t="shared" si="12"/>
        <v>861861.98799013358</v>
      </c>
      <c r="E247" s="18">
        <f>IF($A247&gt;20,0,(E215-MIN(MAX(F246,0),E215))+MIN(MAX(0,G246-(E215-MIN(MAX(F246,0),E215))),MAX(0,2*E215-(F246-MIN(MAX(F246,0),E215)))))</f>
        <v>0</v>
      </c>
      <c r="F247" s="18">
        <f>IF($A247&gt;20,F246,(F246-E215+E247)*(1+$B$7))</f>
        <v>0</v>
      </c>
      <c r="G247" s="18">
        <f t="shared" si="13"/>
        <v>-372063.59790886566</v>
      </c>
      <c r="H247" s="18">
        <f>IF($A247&gt;20,0,(H215-MIN(MAX(I246,0),H215))+MIN(MAX(0,J246-(H215-MIN(MAX(I246,0),H215))),MAX(0,2*H215-(I246-MIN(MAX(I246,0),H215)))))</f>
        <v>0</v>
      </c>
      <c r="I247" s="18">
        <f>IF($A247&gt;20,I246,(I246-H215+H247)*(1+$B$7))</f>
        <v>0</v>
      </c>
      <c r="J247" s="18">
        <f t="shared" si="14"/>
        <v>-16109.958821127069</v>
      </c>
      <c r="K247" s="18">
        <f>IF($A247&gt;20,0,(K215-MIN(MAX(L246,0),K215))+MIN(MAX(0,M246-(K215-MIN(MAX(L246,0),K215))),MAX(0,2*K215-(L246-MIN(MAX(L246,0),K215)))))</f>
        <v>0</v>
      </c>
      <c r="L247" s="18">
        <f>IF($A247&gt;20,L246,(L246-K215+K247)*(1+$B$7))</f>
        <v>16.95854129409431</v>
      </c>
      <c r="M247" s="18">
        <f t="shared" si="15"/>
        <v>0</v>
      </c>
      <c r="N247" s="18">
        <f>IF($A247&gt;20,0,(N215-MIN(MAX(O246,0),N215))+MIN(MAX(0,P246-(N215-MIN(MAX(O246,0),N215))),MAX(0,2*N215-(O246-MIN(MAX(O246,0),N215)))))</f>
        <v>0</v>
      </c>
      <c r="O247" s="18">
        <f>IF($A247&gt;20,O246,(O246-N215+N247)*(1+$B$7))</f>
        <v>2.3624147972432546E-2</v>
      </c>
      <c r="P247" s="18">
        <f t="shared" si="16"/>
        <v>0</v>
      </c>
      <c r="Q247" s="18">
        <f>IF($A247&gt;20,0,(Q215-MIN(MAX(R246,0),Q215))+MIN(MAX(0,S246-(Q215-MIN(MAX(R246,0),Q215))),MAX(0,2*Q215-(R246-MIN(MAX(R246,0),Q215)))))</f>
        <v>0</v>
      </c>
      <c r="R247" s="18">
        <f>IF($A247&gt;20,R246,(R246-Q215+Q247)*(1+$B$7))</f>
        <v>0</v>
      </c>
      <c r="S247" s="18">
        <f t="shared" si="17"/>
        <v>-6.5949279814958573E-10</v>
      </c>
    </row>
    <row r="248" spans="1:19">
      <c r="A248" s="10">
        <f>31</f>
        <v>31</v>
      </c>
      <c r="B248" s="18">
        <f>IF($A248&gt;20,0,(B215-MIN(MAX(C247,0),B215))+MIN(MAX(0,D247-(B215-MIN(MAX(C247,0),B215))),MAX(0,2*B215-(C247-MIN(MAX(C247,0),B215)))))</f>
        <v>0</v>
      </c>
      <c r="C248" s="18">
        <f>IF($A248&gt;20,C247,(C247-B215+B248)*(1+$B$7))</f>
        <v>59784</v>
      </c>
      <c r="D248" s="18">
        <f t="shared" si="12"/>
        <v>861861.98799013358</v>
      </c>
      <c r="E248" s="18">
        <f>IF($A248&gt;20,0,(E215-MIN(MAX(F247,0),E215))+MIN(MAX(0,G247-(E215-MIN(MAX(F247,0),E215))),MAX(0,2*E215-(F247-MIN(MAX(F247,0),E215)))))</f>
        <v>0</v>
      </c>
      <c r="F248" s="18">
        <f>IF($A248&gt;20,F247,(F247-E215+E248)*(1+$B$7))</f>
        <v>0</v>
      </c>
      <c r="G248" s="18">
        <f t="shared" si="13"/>
        <v>-372063.59790886566</v>
      </c>
      <c r="H248" s="18">
        <f>IF($A248&gt;20,0,(H215-MIN(MAX(I247,0),H215))+MIN(MAX(0,J247-(H215-MIN(MAX(I247,0),H215))),MAX(0,2*H215-(I247-MIN(MAX(I247,0),H215)))))</f>
        <v>0</v>
      </c>
      <c r="I248" s="18">
        <f>IF($A248&gt;20,I247,(I247-H215+H248)*(1+$B$7))</f>
        <v>0</v>
      </c>
      <c r="J248" s="18">
        <f t="shared" si="14"/>
        <v>-16109.958821127069</v>
      </c>
      <c r="K248" s="18">
        <f>IF($A248&gt;20,0,(K215-MIN(MAX(L247,0),K215))+MIN(MAX(0,M247-(K215-MIN(MAX(L247,0),K215))),MAX(0,2*K215-(L247-MIN(MAX(L247,0),K215)))))</f>
        <v>0</v>
      </c>
      <c r="L248" s="18">
        <f>IF($A248&gt;20,L247,(L247-K215+K248)*(1+$B$7))</f>
        <v>16.95854129409431</v>
      </c>
      <c r="M248" s="18">
        <f t="shared" si="15"/>
        <v>0</v>
      </c>
      <c r="N248" s="18">
        <f>IF($A248&gt;20,0,(N215-MIN(MAX(O247,0),N215))+MIN(MAX(0,P247-(N215-MIN(MAX(O247,0),N215))),MAX(0,2*N215-(O247-MIN(MAX(O247,0),N215)))))</f>
        <v>0</v>
      </c>
      <c r="O248" s="18">
        <f>IF($A248&gt;20,O247,(O247-N215+N248)*(1+$B$7))</f>
        <v>2.3624147972432546E-2</v>
      </c>
      <c r="P248" s="18">
        <f t="shared" si="16"/>
        <v>0</v>
      </c>
      <c r="Q248" s="18">
        <f>IF($A248&gt;20,0,(Q215-MIN(MAX(R247,0),Q215))+MIN(MAX(0,S247-(Q215-MIN(MAX(R247,0),Q215))),MAX(0,2*Q215-(R247-MIN(MAX(R247,0),Q215)))))</f>
        <v>0</v>
      </c>
      <c r="R248" s="18">
        <f>IF($A248&gt;20,R247,(R247-Q215+Q248)*(1+$B$7))</f>
        <v>0</v>
      </c>
      <c r="S248" s="18">
        <f t="shared" si="17"/>
        <v>-6.5949279814958573E-10</v>
      </c>
    </row>
    <row r="249" spans="1:19">
      <c r="A249" s="10">
        <f>32</f>
        <v>32</v>
      </c>
      <c r="B249" s="18">
        <f>IF($A249&gt;20,0,(B215-MIN(MAX(C248,0),B215))+MIN(MAX(0,D248-(B215-MIN(MAX(C248,0),B215))),MAX(0,2*B215-(C248-MIN(MAX(C248,0),B215)))))</f>
        <v>0</v>
      </c>
      <c r="C249" s="18">
        <f>IF($A249&gt;20,C248,(C248-B215+B249)*(1+$B$7))</f>
        <v>59784</v>
      </c>
      <c r="D249" s="18">
        <f t="shared" si="12"/>
        <v>861861.98799013358</v>
      </c>
      <c r="E249" s="18">
        <f>IF($A249&gt;20,0,(E215-MIN(MAX(F248,0),E215))+MIN(MAX(0,G248-(E215-MIN(MAX(F248,0),E215))),MAX(0,2*E215-(F248-MIN(MAX(F248,0),E215)))))</f>
        <v>0</v>
      </c>
      <c r="F249" s="18">
        <f>IF($A249&gt;20,F248,(F248-E215+E249)*(1+$B$7))</f>
        <v>0</v>
      </c>
      <c r="G249" s="18">
        <f t="shared" si="13"/>
        <v>-372063.59790886566</v>
      </c>
      <c r="H249" s="18">
        <f>IF($A249&gt;20,0,(H215-MIN(MAX(I248,0),H215))+MIN(MAX(0,J248-(H215-MIN(MAX(I248,0),H215))),MAX(0,2*H215-(I248-MIN(MAX(I248,0),H215)))))</f>
        <v>0</v>
      </c>
      <c r="I249" s="18">
        <f>IF($A249&gt;20,I248,(I248-H215+H249)*(1+$B$7))</f>
        <v>0</v>
      </c>
      <c r="J249" s="18">
        <f t="shared" si="14"/>
        <v>-16109.958821127069</v>
      </c>
      <c r="K249" s="18">
        <f>IF($A249&gt;20,0,(K215-MIN(MAX(L248,0),K215))+MIN(MAX(0,M248-(K215-MIN(MAX(L248,0),K215))),MAX(0,2*K215-(L248-MIN(MAX(L248,0),K215)))))</f>
        <v>0</v>
      </c>
      <c r="L249" s="18">
        <f>IF($A249&gt;20,L248,(L248-K215+K249)*(1+$B$7))</f>
        <v>16.95854129409431</v>
      </c>
      <c r="M249" s="18">
        <f t="shared" si="15"/>
        <v>0</v>
      </c>
      <c r="N249" s="18">
        <f>IF($A249&gt;20,0,(N215-MIN(MAX(O248,0),N215))+MIN(MAX(0,P248-(N215-MIN(MAX(O248,0),N215))),MAX(0,2*N215-(O248-MIN(MAX(O248,0),N215)))))</f>
        <v>0</v>
      </c>
      <c r="O249" s="18">
        <f>IF($A249&gt;20,O248,(O248-N215+N249)*(1+$B$7))</f>
        <v>2.3624147972432546E-2</v>
      </c>
      <c r="P249" s="18">
        <f t="shared" si="16"/>
        <v>0</v>
      </c>
      <c r="Q249" s="18">
        <f>IF($A249&gt;20,0,(Q215-MIN(MAX(R248,0),Q215))+MIN(MAX(0,S248-(Q215-MIN(MAX(R248,0),Q215))),MAX(0,2*Q215-(R248-MIN(MAX(R248,0),Q215)))))</f>
        <v>0</v>
      </c>
      <c r="R249" s="18">
        <f>IF($A249&gt;20,R248,(R248-Q215+Q249)*(1+$B$7))</f>
        <v>0</v>
      </c>
      <c r="S249" s="18">
        <f t="shared" si="17"/>
        <v>-6.5949279814958573E-10</v>
      </c>
    </row>
    <row r="250" spans="1:19">
      <c r="A250" s="10">
        <f>33</f>
        <v>33</v>
      </c>
      <c r="B250" s="18">
        <f>IF($A250&gt;20,0,(B215-MIN(MAX(C249,0),B215))+MIN(MAX(0,D249-(B215-MIN(MAX(C249,0),B215))),MAX(0,2*B215-(C249-MIN(MAX(C249,0),B215)))))</f>
        <v>0</v>
      </c>
      <c r="C250" s="18">
        <f>IF($A250&gt;20,C249,(C249-B215+B250)*(1+$B$7))</f>
        <v>59784</v>
      </c>
      <c r="D250" s="18">
        <f t="shared" si="12"/>
        <v>861861.98799013358</v>
      </c>
      <c r="E250" s="18">
        <f>IF($A250&gt;20,0,(E215-MIN(MAX(F249,0),E215))+MIN(MAX(0,G249-(E215-MIN(MAX(F249,0),E215))),MAX(0,2*E215-(F249-MIN(MAX(F249,0),E215)))))</f>
        <v>0</v>
      </c>
      <c r="F250" s="18">
        <f>IF($A250&gt;20,F249,(F249-E215+E250)*(1+$B$7))</f>
        <v>0</v>
      </c>
      <c r="G250" s="18">
        <f t="shared" si="13"/>
        <v>-372063.59790886566</v>
      </c>
      <c r="H250" s="18">
        <f>IF($A250&gt;20,0,(H215-MIN(MAX(I249,0),H215))+MIN(MAX(0,J249-(H215-MIN(MAX(I249,0),H215))),MAX(0,2*H215-(I249-MIN(MAX(I249,0),H215)))))</f>
        <v>0</v>
      </c>
      <c r="I250" s="18">
        <f>IF($A250&gt;20,I249,(I249-H215+H250)*(1+$B$7))</f>
        <v>0</v>
      </c>
      <c r="J250" s="18">
        <f t="shared" si="14"/>
        <v>-16109.958821127069</v>
      </c>
      <c r="K250" s="18">
        <f>IF($A250&gt;20,0,(K215-MIN(MAX(L249,0),K215))+MIN(MAX(0,M249-(K215-MIN(MAX(L249,0),K215))),MAX(0,2*K215-(L249-MIN(MAX(L249,0),K215)))))</f>
        <v>0</v>
      </c>
      <c r="L250" s="18">
        <f>IF($A250&gt;20,L249,(L249-K215+K250)*(1+$B$7))</f>
        <v>16.95854129409431</v>
      </c>
      <c r="M250" s="18">
        <f t="shared" si="15"/>
        <v>0</v>
      </c>
      <c r="N250" s="18">
        <f>IF($A250&gt;20,0,(N215-MIN(MAX(O249,0),N215))+MIN(MAX(0,P249-(N215-MIN(MAX(O249,0),N215))),MAX(0,2*N215-(O249-MIN(MAX(O249,0),N215)))))</f>
        <v>0</v>
      </c>
      <c r="O250" s="18">
        <f>IF($A250&gt;20,O249,(O249-N215+N250)*(1+$B$7))</f>
        <v>2.3624147972432546E-2</v>
      </c>
      <c r="P250" s="18">
        <f t="shared" si="16"/>
        <v>0</v>
      </c>
      <c r="Q250" s="18">
        <f>IF($A250&gt;20,0,(Q215-MIN(MAX(R249,0),Q215))+MIN(MAX(0,S249-(Q215-MIN(MAX(R249,0),Q215))),MAX(0,2*Q215-(R249-MIN(MAX(R249,0),Q215)))))</f>
        <v>0</v>
      </c>
      <c r="R250" s="18">
        <f>IF($A250&gt;20,R249,(R249-Q215+Q250)*(1+$B$7))</f>
        <v>0</v>
      </c>
      <c r="S250" s="18">
        <f t="shared" si="17"/>
        <v>-6.5949279814958573E-10</v>
      </c>
    </row>
    <row r="251" spans="1:19">
      <c r="A251" s="10">
        <f>34</f>
        <v>34</v>
      </c>
      <c r="B251" s="18">
        <f>IF($A251&gt;20,0,(B215-MIN(MAX(C250,0),B215))+MIN(MAX(0,D250-(B215-MIN(MAX(C250,0),B215))),MAX(0,2*B215-(C250-MIN(MAX(C250,0),B215)))))</f>
        <v>0</v>
      </c>
      <c r="C251" s="18">
        <f>IF($A251&gt;20,C250,(C250-B215+B251)*(1+$B$7))</f>
        <v>59784</v>
      </c>
      <c r="D251" s="18">
        <f t="shared" si="12"/>
        <v>861861.98799013358</v>
      </c>
      <c r="E251" s="18">
        <f>IF($A251&gt;20,0,(E215-MIN(MAX(F250,0),E215))+MIN(MAX(0,G250-(E215-MIN(MAX(F250,0),E215))),MAX(0,2*E215-(F250-MIN(MAX(F250,0),E215)))))</f>
        <v>0</v>
      </c>
      <c r="F251" s="18">
        <f>IF($A251&gt;20,F250,(F250-E215+E251)*(1+$B$7))</f>
        <v>0</v>
      </c>
      <c r="G251" s="18">
        <f t="shared" si="13"/>
        <v>-372063.59790886566</v>
      </c>
      <c r="H251" s="18">
        <f>IF($A251&gt;20,0,(H215-MIN(MAX(I250,0),H215))+MIN(MAX(0,J250-(H215-MIN(MAX(I250,0),H215))),MAX(0,2*H215-(I250-MIN(MAX(I250,0),H215)))))</f>
        <v>0</v>
      </c>
      <c r="I251" s="18">
        <f>IF($A251&gt;20,I250,(I250-H215+H251)*(1+$B$7))</f>
        <v>0</v>
      </c>
      <c r="J251" s="18">
        <f t="shared" si="14"/>
        <v>-16109.958821127069</v>
      </c>
      <c r="K251" s="18">
        <f>IF($A251&gt;20,0,(K215-MIN(MAX(L250,0),K215))+MIN(MAX(0,M250-(K215-MIN(MAX(L250,0),K215))),MAX(0,2*K215-(L250-MIN(MAX(L250,0),K215)))))</f>
        <v>0</v>
      </c>
      <c r="L251" s="18">
        <f>IF($A251&gt;20,L250,(L250-K215+K251)*(1+$B$7))</f>
        <v>16.95854129409431</v>
      </c>
      <c r="M251" s="18">
        <f t="shared" si="15"/>
        <v>0</v>
      </c>
      <c r="N251" s="18">
        <f>IF($A251&gt;20,0,(N215-MIN(MAX(O250,0),N215))+MIN(MAX(0,P250-(N215-MIN(MAX(O250,0),N215))),MAX(0,2*N215-(O250-MIN(MAX(O250,0),N215)))))</f>
        <v>0</v>
      </c>
      <c r="O251" s="18">
        <f>IF($A251&gt;20,O250,(O250-N215+N251)*(1+$B$7))</f>
        <v>2.3624147972432546E-2</v>
      </c>
      <c r="P251" s="18">
        <f t="shared" si="16"/>
        <v>0</v>
      </c>
      <c r="Q251" s="18">
        <f>IF($A251&gt;20,0,(Q215-MIN(MAX(R250,0),Q215))+MIN(MAX(0,S250-(Q215-MIN(MAX(R250,0),Q215))),MAX(0,2*Q215-(R250-MIN(MAX(R250,0),Q215)))))</f>
        <v>0</v>
      </c>
      <c r="R251" s="18">
        <f>IF($A251&gt;20,R250,(R250-Q215+Q251)*(1+$B$7))</f>
        <v>0</v>
      </c>
      <c r="S251" s="18">
        <f t="shared" si="17"/>
        <v>-6.5949279814958573E-10</v>
      </c>
    </row>
    <row r="252" spans="1:19">
      <c r="A252" s="10">
        <f>35</f>
        <v>35</v>
      </c>
      <c r="B252" s="18">
        <f>IF($A252&gt;20,0,(B215-MIN(MAX(C251,0),B215))+MIN(MAX(0,D251-(B215-MIN(MAX(C251,0),B215))),MAX(0,2*B215-(C251-MIN(MAX(C251,0),B215)))))</f>
        <v>0</v>
      </c>
      <c r="C252" s="18">
        <f>IF($A252&gt;20,C251,(C251-B215+B252)*(1+$B$7))</f>
        <v>59784</v>
      </c>
      <c r="D252" s="18">
        <f t="shared" si="12"/>
        <v>861861.98799013358</v>
      </c>
      <c r="E252" s="18">
        <f>IF($A252&gt;20,0,(E215-MIN(MAX(F251,0),E215))+MIN(MAX(0,G251-(E215-MIN(MAX(F251,0),E215))),MAX(0,2*E215-(F251-MIN(MAX(F251,0),E215)))))</f>
        <v>0</v>
      </c>
      <c r="F252" s="18">
        <f>IF($A252&gt;20,F251,(F251-E215+E252)*(1+$B$7))</f>
        <v>0</v>
      </c>
      <c r="G252" s="18">
        <f t="shared" si="13"/>
        <v>-372063.59790886566</v>
      </c>
      <c r="H252" s="18">
        <f>IF($A252&gt;20,0,(H215-MIN(MAX(I251,0),H215))+MIN(MAX(0,J251-(H215-MIN(MAX(I251,0),H215))),MAX(0,2*H215-(I251-MIN(MAX(I251,0),H215)))))</f>
        <v>0</v>
      </c>
      <c r="I252" s="18">
        <f>IF($A252&gt;20,I251,(I251-H215+H252)*(1+$B$7))</f>
        <v>0</v>
      </c>
      <c r="J252" s="18">
        <f t="shared" si="14"/>
        <v>-16109.958821127069</v>
      </c>
      <c r="K252" s="18">
        <f>IF($A252&gt;20,0,(K215-MIN(MAX(L251,0),K215))+MIN(MAX(0,M251-(K215-MIN(MAX(L251,0),K215))),MAX(0,2*K215-(L251-MIN(MAX(L251,0),K215)))))</f>
        <v>0</v>
      </c>
      <c r="L252" s="18">
        <f>IF($A252&gt;20,L251,(L251-K215+K252)*(1+$B$7))</f>
        <v>16.95854129409431</v>
      </c>
      <c r="M252" s="18">
        <f t="shared" si="15"/>
        <v>0</v>
      </c>
      <c r="N252" s="18">
        <f>IF($A252&gt;20,0,(N215-MIN(MAX(O251,0),N215))+MIN(MAX(0,P251-(N215-MIN(MAX(O251,0),N215))),MAX(0,2*N215-(O251-MIN(MAX(O251,0),N215)))))</f>
        <v>0</v>
      </c>
      <c r="O252" s="18">
        <f>IF($A252&gt;20,O251,(O251-N215+N252)*(1+$B$7))</f>
        <v>2.3624147972432546E-2</v>
      </c>
      <c r="P252" s="18">
        <f t="shared" si="16"/>
        <v>0</v>
      </c>
      <c r="Q252" s="18">
        <f>IF($A252&gt;20,0,(Q215-MIN(MAX(R251,0),Q215))+MIN(MAX(0,S251-(Q215-MIN(MAX(R251,0),Q215))),MAX(0,2*Q215-(R251-MIN(MAX(R251,0),Q215)))))</f>
        <v>0</v>
      </c>
      <c r="R252" s="18">
        <f>IF($A252&gt;20,R251,(R251-Q215+Q252)*(1+$B$7))</f>
        <v>0</v>
      </c>
      <c r="S252" s="18">
        <f t="shared" si="17"/>
        <v>-6.5949279814958573E-10</v>
      </c>
    </row>
    <row r="253" spans="1:19">
      <c r="A253" s="10">
        <f>36</f>
        <v>36</v>
      </c>
      <c r="B253" s="18">
        <f>IF($A253&gt;20,0,(B215-MIN(MAX(C252,0),B215))+MIN(MAX(0,D252-(B215-MIN(MAX(C252,0),B215))),MAX(0,2*B215-(C252-MIN(MAX(C252,0),B215)))))</f>
        <v>0</v>
      </c>
      <c r="C253" s="18">
        <f>IF($A253&gt;20,C252,(C252-B215+B253)*(1+$B$7))</f>
        <v>59784</v>
      </c>
      <c r="D253" s="18">
        <f t="shared" si="12"/>
        <v>861861.98799013358</v>
      </c>
      <c r="E253" s="18">
        <f>IF($A253&gt;20,0,(E215-MIN(MAX(F252,0),E215))+MIN(MAX(0,G252-(E215-MIN(MAX(F252,0),E215))),MAX(0,2*E215-(F252-MIN(MAX(F252,0),E215)))))</f>
        <v>0</v>
      </c>
      <c r="F253" s="18">
        <f>IF($A253&gt;20,F252,(F252-E215+E253)*(1+$B$7))</f>
        <v>0</v>
      </c>
      <c r="G253" s="18">
        <f t="shared" si="13"/>
        <v>-372063.59790886566</v>
      </c>
      <c r="H253" s="18">
        <f>IF($A253&gt;20,0,(H215-MIN(MAX(I252,0),H215))+MIN(MAX(0,J252-(H215-MIN(MAX(I252,0),H215))),MAX(0,2*H215-(I252-MIN(MAX(I252,0),H215)))))</f>
        <v>0</v>
      </c>
      <c r="I253" s="18">
        <f>IF($A253&gt;20,I252,(I252-H215+H253)*(1+$B$7))</f>
        <v>0</v>
      </c>
      <c r="J253" s="18">
        <f t="shared" si="14"/>
        <v>-16109.958821127069</v>
      </c>
      <c r="K253" s="18">
        <f>IF($A253&gt;20,0,(K215-MIN(MAX(L252,0),K215))+MIN(MAX(0,M252-(K215-MIN(MAX(L252,0),K215))),MAX(0,2*K215-(L252-MIN(MAX(L252,0),K215)))))</f>
        <v>0</v>
      </c>
      <c r="L253" s="18">
        <f>IF($A253&gt;20,L252,(L252-K215+K253)*(1+$B$7))</f>
        <v>16.95854129409431</v>
      </c>
      <c r="M253" s="18">
        <f t="shared" si="15"/>
        <v>0</v>
      </c>
      <c r="N253" s="18">
        <f>IF($A253&gt;20,0,(N215-MIN(MAX(O252,0),N215))+MIN(MAX(0,P252-(N215-MIN(MAX(O252,0),N215))),MAX(0,2*N215-(O252-MIN(MAX(O252,0),N215)))))</f>
        <v>0</v>
      </c>
      <c r="O253" s="18">
        <f>IF($A253&gt;20,O252,(O252-N215+N253)*(1+$B$7))</f>
        <v>2.3624147972432546E-2</v>
      </c>
      <c r="P253" s="18">
        <f t="shared" si="16"/>
        <v>0</v>
      </c>
      <c r="Q253" s="18">
        <f>IF($A253&gt;20,0,(Q215-MIN(MAX(R252,0),Q215))+MIN(MAX(0,S252-(Q215-MIN(MAX(R252,0),Q215))),MAX(0,2*Q215-(R252-MIN(MAX(R252,0),Q215)))))</f>
        <v>0</v>
      </c>
      <c r="R253" s="18">
        <f>IF($A253&gt;20,R252,(R252-Q215+Q253)*(1+$B$7))</f>
        <v>0</v>
      </c>
      <c r="S253" s="18">
        <f t="shared" si="17"/>
        <v>-6.5949279814958573E-10</v>
      </c>
    </row>
    <row r="254" spans="1:19">
      <c r="A254" s="10">
        <f>37</f>
        <v>37</v>
      </c>
      <c r="B254" s="18">
        <f>IF($A254&gt;20,0,(B215-MIN(MAX(C253,0),B215))+MIN(MAX(0,D253-(B215-MIN(MAX(C253,0),B215))),MAX(0,2*B215-(C253-MIN(MAX(C253,0),B215)))))</f>
        <v>0</v>
      </c>
      <c r="C254" s="18">
        <f>IF($A254&gt;20,C253,(C253-B215+B254)*(1+$B$7))</f>
        <v>59784</v>
      </c>
      <c r="D254" s="18">
        <f t="shared" si="12"/>
        <v>861861.98799013358</v>
      </c>
      <c r="E254" s="18">
        <f>IF($A254&gt;20,0,(E215-MIN(MAX(F253,0),E215))+MIN(MAX(0,G253-(E215-MIN(MAX(F253,0),E215))),MAX(0,2*E215-(F253-MIN(MAX(F253,0),E215)))))</f>
        <v>0</v>
      </c>
      <c r="F254" s="18">
        <f>IF($A254&gt;20,F253,(F253-E215+E254)*(1+$B$7))</f>
        <v>0</v>
      </c>
      <c r="G254" s="18">
        <f t="shared" si="13"/>
        <v>-372063.59790886566</v>
      </c>
      <c r="H254" s="18">
        <f>IF($A254&gt;20,0,(H215-MIN(MAX(I253,0),H215))+MIN(MAX(0,J253-(H215-MIN(MAX(I253,0),H215))),MAX(0,2*H215-(I253-MIN(MAX(I253,0),H215)))))</f>
        <v>0</v>
      </c>
      <c r="I254" s="18">
        <f>IF($A254&gt;20,I253,(I253-H215+H254)*(1+$B$7))</f>
        <v>0</v>
      </c>
      <c r="J254" s="18">
        <f t="shared" si="14"/>
        <v>-16109.958821127069</v>
      </c>
      <c r="K254" s="18">
        <f>IF($A254&gt;20,0,(K215-MIN(MAX(L253,0),K215))+MIN(MAX(0,M253-(K215-MIN(MAX(L253,0),K215))),MAX(0,2*K215-(L253-MIN(MAX(L253,0),K215)))))</f>
        <v>0</v>
      </c>
      <c r="L254" s="18">
        <f>IF($A254&gt;20,L253,(L253-K215+K254)*(1+$B$7))</f>
        <v>16.95854129409431</v>
      </c>
      <c r="M254" s="18">
        <f t="shared" si="15"/>
        <v>0</v>
      </c>
      <c r="N254" s="18">
        <f>IF($A254&gt;20,0,(N215-MIN(MAX(O253,0),N215))+MIN(MAX(0,P253-(N215-MIN(MAX(O253,0),N215))),MAX(0,2*N215-(O253-MIN(MAX(O253,0),N215)))))</f>
        <v>0</v>
      </c>
      <c r="O254" s="18">
        <f>IF($A254&gt;20,O253,(O253-N215+N254)*(1+$B$7))</f>
        <v>2.3624147972432546E-2</v>
      </c>
      <c r="P254" s="18">
        <f t="shared" si="16"/>
        <v>0</v>
      </c>
      <c r="Q254" s="18">
        <f>IF($A254&gt;20,0,(Q215-MIN(MAX(R253,0),Q215))+MIN(MAX(0,S253-(Q215-MIN(MAX(R253,0),Q215))),MAX(0,2*Q215-(R253-MIN(MAX(R253,0),Q215)))))</f>
        <v>0</v>
      </c>
      <c r="R254" s="18">
        <f>IF($A254&gt;20,R253,(R253-Q215+Q254)*(1+$B$7))</f>
        <v>0</v>
      </c>
      <c r="S254" s="18">
        <f t="shared" si="17"/>
        <v>-6.5949279814958573E-10</v>
      </c>
    </row>
    <row r="255" spans="1:19">
      <c r="A255" s="10">
        <f>38</f>
        <v>38</v>
      </c>
      <c r="B255" s="18">
        <f>IF($A255&gt;20,0,(B215-MIN(MAX(C254,0),B215))+MIN(MAX(0,D254-(B215-MIN(MAX(C254,0),B215))),MAX(0,2*B215-(C254-MIN(MAX(C254,0),B215)))))</f>
        <v>0</v>
      </c>
      <c r="C255" s="18">
        <f>IF($A255&gt;20,C254,(C254-B215+B255)*(1+$B$7))</f>
        <v>59784</v>
      </c>
      <c r="D255" s="18">
        <f t="shared" si="12"/>
        <v>861861.98799013358</v>
      </c>
      <c r="E255" s="18">
        <f>IF($A255&gt;20,0,(E215-MIN(MAX(F254,0),E215))+MIN(MAX(0,G254-(E215-MIN(MAX(F254,0),E215))),MAX(0,2*E215-(F254-MIN(MAX(F254,0),E215)))))</f>
        <v>0</v>
      </c>
      <c r="F255" s="18">
        <f>IF($A255&gt;20,F254,(F254-E215+E255)*(1+$B$7))</f>
        <v>0</v>
      </c>
      <c r="G255" s="18">
        <f t="shared" si="13"/>
        <v>-372063.59790886566</v>
      </c>
      <c r="H255" s="18">
        <f>IF($A255&gt;20,0,(H215-MIN(MAX(I254,0),H215))+MIN(MAX(0,J254-(H215-MIN(MAX(I254,0),H215))),MAX(0,2*H215-(I254-MIN(MAX(I254,0),H215)))))</f>
        <v>0</v>
      </c>
      <c r="I255" s="18">
        <f>IF($A255&gt;20,I254,(I254-H215+H255)*(1+$B$7))</f>
        <v>0</v>
      </c>
      <c r="J255" s="18">
        <f t="shared" si="14"/>
        <v>-16109.958821127069</v>
      </c>
      <c r="K255" s="18">
        <f>IF($A255&gt;20,0,(K215-MIN(MAX(L254,0),K215))+MIN(MAX(0,M254-(K215-MIN(MAX(L254,0),K215))),MAX(0,2*K215-(L254-MIN(MAX(L254,0),K215)))))</f>
        <v>0</v>
      </c>
      <c r="L255" s="18">
        <f>IF($A255&gt;20,L254,(L254-K215+K255)*(1+$B$7))</f>
        <v>16.95854129409431</v>
      </c>
      <c r="M255" s="18">
        <f t="shared" si="15"/>
        <v>0</v>
      </c>
      <c r="N255" s="18">
        <f>IF($A255&gt;20,0,(N215-MIN(MAX(O254,0),N215))+MIN(MAX(0,P254-(N215-MIN(MAX(O254,0),N215))),MAX(0,2*N215-(O254-MIN(MAX(O254,0),N215)))))</f>
        <v>0</v>
      </c>
      <c r="O255" s="18">
        <f>IF($A255&gt;20,O254,(O254-N215+N255)*(1+$B$7))</f>
        <v>2.3624147972432546E-2</v>
      </c>
      <c r="P255" s="18">
        <f t="shared" si="16"/>
        <v>0</v>
      </c>
      <c r="Q255" s="18">
        <f>IF($A255&gt;20,0,(Q215-MIN(MAX(R254,0),Q215))+MIN(MAX(0,S254-(Q215-MIN(MAX(R254,0),Q215))),MAX(0,2*Q215-(R254-MIN(MAX(R254,0),Q215)))))</f>
        <v>0</v>
      </c>
      <c r="R255" s="18">
        <f>IF($A255&gt;20,R254,(R254-Q215+Q255)*(1+$B$7))</f>
        <v>0</v>
      </c>
      <c r="S255" s="18">
        <f t="shared" si="17"/>
        <v>-6.5949279814958573E-10</v>
      </c>
    </row>
    <row r="256" spans="1:19">
      <c r="A256" s="10">
        <f>39</f>
        <v>39</v>
      </c>
      <c r="B256" s="18">
        <f>IF($A256&gt;20,0,(B215-MIN(MAX(C255,0),B215))+MIN(MAX(0,D255-(B215-MIN(MAX(C255,0),B215))),MAX(0,2*B215-(C255-MIN(MAX(C255,0),B215)))))</f>
        <v>0</v>
      </c>
      <c r="C256" s="18">
        <f>IF($A256&gt;20,C255,(C255-B215+B256)*(1+$B$7))</f>
        <v>59784</v>
      </c>
      <c r="D256" s="18">
        <f t="shared" si="12"/>
        <v>861861.98799013358</v>
      </c>
      <c r="E256" s="18">
        <f>IF($A256&gt;20,0,(E215-MIN(MAX(F255,0),E215))+MIN(MAX(0,G255-(E215-MIN(MAX(F255,0),E215))),MAX(0,2*E215-(F255-MIN(MAX(F255,0),E215)))))</f>
        <v>0</v>
      </c>
      <c r="F256" s="18">
        <f>IF($A256&gt;20,F255,(F255-E215+E256)*(1+$B$7))</f>
        <v>0</v>
      </c>
      <c r="G256" s="18">
        <f t="shared" si="13"/>
        <v>-372063.59790886566</v>
      </c>
      <c r="H256" s="18">
        <f>IF($A256&gt;20,0,(H215-MIN(MAX(I255,0),H215))+MIN(MAX(0,J255-(H215-MIN(MAX(I255,0),H215))),MAX(0,2*H215-(I255-MIN(MAX(I255,0),H215)))))</f>
        <v>0</v>
      </c>
      <c r="I256" s="18">
        <f>IF($A256&gt;20,I255,(I255-H215+H256)*(1+$B$7))</f>
        <v>0</v>
      </c>
      <c r="J256" s="18">
        <f t="shared" si="14"/>
        <v>-16109.958821127069</v>
      </c>
      <c r="K256" s="18">
        <f>IF($A256&gt;20,0,(K215-MIN(MAX(L255,0),K215))+MIN(MAX(0,M255-(K215-MIN(MAX(L255,0),K215))),MAX(0,2*K215-(L255-MIN(MAX(L255,0),K215)))))</f>
        <v>0</v>
      </c>
      <c r="L256" s="18">
        <f>IF($A256&gt;20,L255,(L255-K215+K256)*(1+$B$7))</f>
        <v>16.95854129409431</v>
      </c>
      <c r="M256" s="18">
        <f t="shared" si="15"/>
        <v>0</v>
      </c>
      <c r="N256" s="18">
        <f>IF($A256&gt;20,0,(N215-MIN(MAX(O255,0),N215))+MIN(MAX(0,P255-(N215-MIN(MAX(O255,0),N215))),MAX(0,2*N215-(O255-MIN(MAX(O255,0),N215)))))</f>
        <v>0</v>
      </c>
      <c r="O256" s="18">
        <f>IF($A256&gt;20,O255,(O255-N215+N256)*(1+$B$7))</f>
        <v>2.3624147972432546E-2</v>
      </c>
      <c r="P256" s="18">
        <f t="shared" si="16"/>
        <v>0</v>
      </c>
      <c r="Q256" s="18">
        <f>IF($A256&gt;20,0,(Q215-MIN(MAX(R255,0),Q215))+MIN(MAX(0,S255-(Q215-MIN(MAX(R255,0),Q215))),MAX(0,2*Q215-(R255-MIN(MAX(R255,0),Q215)))))</f>
        <v>0</v>
      </c>
      <c r="R256" s="18">
        <f>IF($A256&gt;20,R255,(R255-Q215+Q256)*(1+$B$7))</f>
        <v>0</v>
      </c>
      <c r="S256" s="18">
        <f t="shared" si="17"/>
        <v>-6.5949279814958573E-10</v>
      </c>
    </row>
    <row r="257" spans="1:19">
      <c r="A257" s="10">
        <f>40</f>
        <v>40</v>
      </c>
      <c r="B257" s="18">
        <f>IF($A257&gt;20,0,(B215-MIN(MAX(C256,0),B215))+MIN(MAX(0,D256-(B215-MIN(MAX(C256,0),B215))),MAX(0,2*B215-(C256-MIN(MAX(C256,0),B215)))))</f>
        <v>0</v>
      </c>
      <c r="C257" s="18">
        <f>IF($A257&gt;20,C256,(C256-B215+B257)*(1+$B$7))</f>
        <v>59784</v>
      </c>
      <c r="D257" s="18">
        <f t="shared" si="12"/>
        <v>861861.98799013358</v>
      </c>
      <c r="E257" s="18">
        <f>IF($A257&gt;20,0,(E215-MIN(MAX(F256,0),E215))+MIN(MAX(0,G256-(E215-MIN(MAX(F256,0),E215))),MAX(0,2*E215-(F256-MIN(MAX(F256,0),E215)))))</f>
        <v>0</v>
      </c>
      <c r="F257" s="18">
        <f>IF($A257&gt;20,F256,(F256-E215+E257)*(1+$B$7))</f>
        <v>0</v>
      </c>
      <c r="G257" s="18">
        <f t="shared" si="13"/>
        <v>-372063.59790886566</v>
      </c>
      <c r="H257" s="18">
        <f>IF($A257&gt;20,0,(H215-MIN(MAX(I256,0),H215))+MIN(MAX(0,J256-(H215-MIN(MAX(I256,0),H215))),MAX(0,2*H215-(I256-MIN(MAX(I256,0),H215)))))</f>
        <v>0</v>
      </c>
      <c r="I257" s="18">
        <f>IF($A257&gt;20,I256,(I256-H215+H257)*(1+$B$7))</f>
        <v>0</v>
      </c>
      <c r="J257" s="18">
        <f t="shared" si="14"/>
        <v>-16109.958821127069</v>
      </c>
      <c r="K257" s="18">
        <f>IF($A257&gt;20,0,(K215-MIN(MAX(L256,0),K215))+MIN(MAX(0,M256-(K215-MIN(MAX(L256,0),K215))),MAX(0,2*K215-(L256-MIN(MAX(L256,0),K215)))))</f>
        <v>0</v>
      </c>
      <c r="L257" s="18">
        <f>IF($A257&gt;20,L256,(L256-K215+K257)*(1+$B$7))</f>
        <v>16.95854129409431</v>
      </c>
      <c r="M257" s="18">
        <f t="shared" si="15"/>
        <v>0</v>
      </c>
      <c r="N257" s="18">
        <f>IF($A257&gt;20,0,(N215-MIN(MAX(O256,0),N215))+MIN(MAX(0,P256-(N215-MIN(MAX(O256,0),N215))),MAX(0,2*N215-(O256-MIN(MAX(O256,0),N215)))))</f>
        <v>0</v>
      </c>
      <c r="O257" s="18">
        <f>IF($A257&gt;20,O256,(O256-N215+N257)*(1+$B$7))</f>
        <v>2.3624147972432546E-2</v>
      </c>
      <c r="P257" s="18">
        <f t="shared" si="16"/>
        <v>0</v>
      </c>
      <c r="Q257" s="18">
        <f>IF($A257&gt;20,0,(Q215-MIN(MAX(R256,0),Q215))+MIN(MAX(0,S256-(Q215-MIN(MAX(R256,0),Q215))),MAX(0,2*Q215-(R256-MIN(MAX(R256,0),Q215)))))</f>
        <v>0</v>
      </c>
      <c r="R257" s="18">
        <f>IF($A257&gt;20,R256,(R256-Q215+Q257)*(1+$B$7))</f>
        <v>0</v>
      </c>
      <c r="S257" s="18">
        <f t="shared" si="17"/>
        <v>-6.5949279814958573E-10</v>
      </c>
    </row>
    <row r="258" spans="1:19">
      <c r="B258" s="18">
        <f>C257+D257</f>
        <v>921645.98799013358</v>
      </c>
      <c r="E258" s="18">
        <f>F257+G257</f>
        <v>-372063.59790886566</v>
      </c>
      <c r="H258" s="18">
        <f>I257+J257</f>
        <v>-16109.958821127069</v>
      </c>
      <c r="K258" s="18">
        <f>L257+M257</f>
        <v>16.95854129409431</v>
      </c>
      <c r="N258" s="18">
        <f>O257+P257</f>
        <v>2.3624147972432546E-2</v>
      </c>
      <c r="Q258" s="18">
        <f>R257+S257</f>
        <v>-6.5949279814958573E-10</v>
      </c>
    </row>
    <row r="259" spans="1:19">
      <c r="A259" s="5" t="s">
        <v>266</v>
      </c>
      <c r="B259" s="18">
        <f>IFERROR(Q215-Q258*(Q215-N215)/(Q258-N258),Q215)</f>
        <v>61473.144802345028</v>
      </c>
    </row>
    <row r="261" spans="1:19">
      <c r="A261" s="2" t="s">
        <v>269</v>
      </c>
    </row>
    <row r="262" spans="1:19">
      <c r="B262" s="9">
        <f>0.03*$B$5</f>
        <v>30000</v>
      </c>
      <c r="E262" s="9">
        <f>0.075*$B$5</f>
        <v>75000</v>
      </c>
      <c r="H262" s="18">
        <f>IFERROR(E262-E305*(E262-B262)/(E305-B305),E262)</f>
        <v>60753.284850146854</v>
      </c>
      <c r="K262" s="18">
        <f>IFERROR(H262-H305*(H262-E262)/(H305-E305),H262)</f>
        <v>59844.009479530709</v>
      </c>
      <c r="N262" s="18">
        <f>IFERROR(K262-K305*(K262-H262)/(K305-H305),K262)</f>
        <v>59844.897965569566</v>
      </c>
      <c r="Q262" s="18">
        <f>IFERROR(N262-N305*(N262-K262)/(N305-K305),N262)</f>
        <v>59844.899534935896</v>
      </c>
    </row>
    <row r="263" spans="1:19">
      <c r="A263" s="25" t="s">
        <v>262</v>
      </c>
      <c r="B263" s="25" t="s">
        <v>263</v>
      </c>
      <c r="C263" s="25" t="s">
        <v>264</v>
      </c>
      <c r="D263" s="25" t="s">
        <v>265</v>
      </c>
      <c r="E263" s="25" t="s">
        <v>263</v>
      </c>
      <c r="F263" s="25" t="s">
        <v>264</v>
      </c>
      <c r="G263" s="25" t="s">
        <v>265</v>
      </c>
      <c r="H263" s="25" t="s">
        <v>263</v>
      </c>
      <c r="I263" s="25" t="s">
        <v>264</v>
      </c>
      <c r="J263" s="25" t="s">
        <v>265</v>
      </c>
      <c r="K263" s="25" t="s">
        <v>263</v>
      </c>
      <c r="L263" s="25" t="s">
        <v>264</v>
      </c>
      <c r="M263" s="25" t="s">
        <v>265</v>
      </c>
      <c r="N263" s="25" t="s">
        <v>263</v>
      </c>
      <c r="O263" s="25" t="s">
        <v>264</v>
      </c>
      <c r="P263" s="25" t="s">
        <v>265</v>
      </c>
      <c r="Q263" s="25" t="s">
        <v>263</v>
      </c>
      <c r="R263" s="25" t="s">
        <v>264</v>
      </c>
      <c r="S263" s="25" t="s">
        <v>265</v>
      </c>
    </row>
    <row r="264" spans="1:19">
      <c r="A264" s="3">
        <v>0</v>
      </c>
      <c r="C264" s="18">
        <f>MIN(3*B262,$B$5)</f>
        <v>90000</v>
      </c>
      <c r="D264" s="18">
        <f>$B$5-C264</f>
        <v>910000</v>
      </c>
      <c r="F264" s="18">
        <f>MIN(3*E262,$B$5)</f>
        <v>225000</v>
      </c>
      <c r="G264" s="18">
        <f>$B$5-F264</f>
        <v>775000</v>
      </c>
      <c r="I264" s="18">
        <f>MIN(3*H262,$B$5)</f>
        <v>182259.85455044056</v>
      </c>
      <c r="J264" s="18">
        <f>$B$5-I264</f>
        <v>817740.14544955944</v>
      </c>
      <c r="L264" s="18">
        <f>MIN(3*K262,$B$5)</f>
        <v>179532.02843859213</v>
      </c>
      <c r="M264" s="18">
        <f>$B$5-L264</f>
        <v>820467.9715614079</v>
      </c>
      <c r="O264" s="18">
        <f>MIN(3*N262,$B$5)</f>
        <v>179534.69389670869</v>
      </c>
      <c r="P264" s="18">
        <f>$B$5-O264</f>
        <v>820465.30610329134</v>
      </c>
      <c r="R264" s="18">
        <f>MIN(3*Q262,$B$5)</f>
        <v>179534.69860480769</v>
      </c>
      <c r="S264" s="18">
        <f>$B$5-R264</f>
        <v>820465.30139519228</v>
      </c>
    </row>
    <row r="265" spans="1:19">
      <c r="A265" s="10">
        <f>1</f>
        <v>1</v>
      </c>
      <c r="B265" s="18">
        <f>IF($A265&gt;20,0,(B262-MIN(MAX(C264,0),B262))+MIN(MAX(0,D264-(B262-MIN(MAX(C264,0),B262))),MAX(0,3*B262-(C264-MIN(MAX(C264,0),B262)))))</f>
        <v>30000</v>
      </c>
      <c r="C265" s="18">
        <f>IF($A265&gt;20,C264,(C264-B262+B265)*(1+$B$7))</f>
        <v>89676</v>
      </c>
      <c r="D265" s="18">
        <f t="shared" ref="D265:D304" si="18">IF($A265&gt;20,D264,(D264-B265)*(1+$B$6))</f>
        <v>906400</v>
      </c>
      <c r="E265" s="18">
        <f>IF($A265&gt;20,0,(E262-MIN(MAX(F264,0),E262))+MIN(MAX(0,G264-(E262-MIN(MAX(F264,0),E262))),MAX(0,3*E262-(F264-MIN(MAX(F264,0),E262)))))</f>
        <v>75000</v>
      </c>
      <c r="F265" s="18">
        <f>IF($A265&gt;20,F264,(F264-E262+E265)*(1+$B$7))</f>
        <v>224190</v>
      </c>
      <c r="G265" s="18">
        <f t="shared" ref="G265:G304" si="19">IF($A265&gt;20,G264,(G264-E265)*(1+$B$6))</f>
        <v>721000</v>
      </c>
      <c r="H265" s="18">
        <f>IF($A265&gt;20,0,(H262-MIN(MAX(I264,0),H262))+MIN(MAX(0,J264-(H262-MIN(MAX(I264,0),H262))),MAX(0,3*H262-(I264-MIN(MAX(I264,0),H262)))))</f>
        <v>60753.284850146854</v>
      </c>
      <c r="I265" s="18">
        <f>IF($A265&gt;20,I264,(I264-H262+H265)*(1+$B$7))</f>
        <v>181603.71907405896</v>
      </c>
      <c r="J265" s="18">
        <f t="shared" ref="J265:J304" si="20">IF($A265&gt;20,J264,(J264-H265)*(1+$B$6))</f>
        <v>779696.46641739493</v>
      </c>
      <c r="K265" s="18">
        <f>IF($A265&gt;20,0,(K262-MIN(MAX(L264,0),K262))+MIN(MAX(0,M264-(K262-MIN(MAX(L264,0),K262))),MAX(0,3*K262-(L264-MIN(MAX(L264,0),K262)))))</f>
        <v>59844.009479530709</v>
      </c>
      <c r="L265" s="18">
        <f>IF($A265&gt;20,L264,(L264-K262+K265)*(1+$B$7))</f>
        <v>178885.71313621319</v>
      </c>
      <c r="M265" s="18">
        <f t="shared" ref="M265:M304" si="21">IF($A265&gt;20,M264,(M264-K265)*(1+$B$6))</f>
        <v>783442.68094433355</v>
      </c>
      <c r="N265" s="18">
        <f>IF($A265&gt;20,0,(N262-MIN(MAX(O264,0),N262))+MIN(MAX(0,P264-(N262-MIN(MAX(O264,0),N262))),MAX(0,3*N262-(O264-MIN(MAX(O264,0),N262)))))</f>
        <v>59844.897965569573</v>
      </c>
      <c r="O265" s="18">
        <f>IF($A265&gt;20,O264,(O264-N262+N265)*(1+$B$7))</f>
        <v>178888.36899868053</v>
      </c>
      <c r="P265" s="18">
        <f t="shared" ref="P265:P304" si="22">IF($A265&gt;20,P264,(P264-N265)*(1+$B$6))</f>
        <v>783439.02038185333</v>
      </c>
      <c r="Q265" s="18">
        <f>IF($A265&gt;20,0,(Q262-MIN(MAX(R264,0),Q262))+MIN(MAX(0,S264-(Q262-MIN(MAX(R264,0),Q262))),MAX(0,3*Q262-(R264-MIN(MAX(R264,0),Q262)))))</f>
        <v>59844.899534935888</v>
      </c>
      <c r="R265" s="18">
        <f>IF($A265&gt;20,R264,(R264-Q262+Q265)*(1+$B$7))</f>
        <v>178888.37368983039</v>
      </c>
      <c r="S265" s="18">
        <f t="shared" ref="S265:S304" si="23">IF($A265&gt;20,S264,(S264-Q265)*(1+$B$6))</f>
        <v>783439.01391606417</v>
      </c>
    </row>
    <row r="266" spans="1:19">
      <c r="A266" s="10">
        <f>2</f>
        <v>2</v>
      </c>
      <c r="B266" s="18">
        <f>IF($A266&gt;20,0,(B262-MIN(MAX(C265,0),B262))+MIN(MAX(0,D265-(B262-MIN(MAX(C265,0),B262))),MAX(0,3*B262-(C265-MIN(MAX(C265,0),B262)))))</f>
        <v>30324</v>
      </c>
      <c r="C266" s="18">
        <f>IF($A266&gt;20,C265,(C265-B262+B266)*(1+$B$7))</f>
        <v>89676</v>
      </c>
      <c r="D266" s="18">
        <f t="shared" si="18"/>
        <v>902358.28</v>
      </c>
      <c r="E266" s="18">
        <f>IF($A266&gt;20,0,(E262-MIN(MAX(F265,0),E262))+MIN(MAX(0,G265-(E262-MIN(MAX(F265,0),E262))),MAX(0,3*E262-(F265-MIN(MAX(F265,0),E262)))))</f>
        <v>75810</v>
      </c>
      <c r="F266" s="18">
        <f>IF($A266&gt;20,F265,(F265-E262+E266)*(1+$B$7))</f>
        <v>224190</v>
      </c>
      <c r="G266" s="18">
        <f t="shared" si="19"/>
        <v>664545.70000000007</v>
      </c>
      <c r="H266" s="18">
        <f>IF($A266&gt;20,0,(H262-MIN(MAX(I265,0),H262))+MIN(MAX(0,J265-(H262-MIN(MAX(I265,0),H262))),MAX(0,3*H262-(I265-MIN(MAX(I265,0),H262)))))</f>
        <v>61409.42032652846</v>
      </c>
      <c r="I266" s="18">
        <f>IF($A266&gt;20,I265,(I265-H262+H266)*(1+$B$7))</f>
        <v>181603.71907405896</v>
      </c>
      <c r="J266" s="18">
        <f t="shared" si="20"/>
        <v>739835.65747359244</v>
      </c>
      <c r="K266" s="18">
        <f>IF($A266&gt;20,0,(K262-MIN(MAX(L265,0),K262))+MIN(MAX(0,M265-(K262-MIN(MAX(L265,0),K262))),MAX(0,3*K262-(L265-MIN(MAX(L265,0),K262)))))</f>
        <v>60490.324781909643</v>
      </c>
      <c r="L266" s="18">
        <f>IF($A266&gt;20,L265,(L265-K262+K266)*(1+$B$7))</f>
        <v>178885.71313621319</v>
      </c>
      <c r="M266" s="18">
        <f t="shared" si="21"/>
        <v>744640.92684729665</v>
      </c>
      <c r="N266" s="18">
        <f>IF($A266&gt;20,0,(N262-MIN(MAX(O265,0),N262))+MIN(MAX(0,P265-(N262-MIN(MAX(O265,0),N262))),MAX(0,3*N262-(O265-MIN(MAX(O265,0),N262)))))</f>
        <v>60491.222863597737</v>
      </c>
      <c r="O266" s="18">
        <f>IF($A266&gt;20,O265,(O265-N262+N266)*(1+$B$7))</f>
        <v>178888.36899868053</v>
      </c>
      <c r="P266" s="18">
        <f t="shared" si="22"/>
        <v>744636.23144380329</v>
      </c>
      <c r="Q266" s="18">
        <f>IF($A266&gt;20,0,(Q262-MIN(MAX(R265,0),Q262))+MIN(MAX(0,S265-(Q262-MIN(MAX(R265,0),Q262))),MAX(0,3*Q262-(R265-MIN(MAX(R265,0),Q262)))))</f>
        <v>60491.224449913192</v>
      </c>
      <c r="R266" s="18">
        <f>IF($A266&gt;20,R265,(R265-Q262+Q266)*(1+$B$7))</f>
        <v>178888.37368983039</v>
      </c>
      <c r="S266" s="18">
        <f t="shared" si="23"/>
        <v>744636.2231501356</v>
      </c>
    </row>
    <row r="267" spans="1:19">
      <c r="A267" s="10">
        <f>3</f>
        <v>3</v>
      </c>
      <c r="B267" s="18">
        <f>IF($A267&gt;20,0,(B262-MIN(MAX(C266,0),B262))+MIN(MAX(0,D266-(B262-MIN(MAX(C266,0),B262))),MAX(0,3*B262-(C266-MIN(MAX(C266,0),B262)))))</f>
        <v>30324</v>
      </c>
      <c r="C267" s="18">
        <f>IF($A267&gt;20,C266,(C266-B262+B267)*(1+$B$7))</f>
        <v>89676</v>
      </c>
      <c r="D267" s="18">
        <f t="shared" si="18"/>
        <v>898195.3084000001</v>
      </c>
      <c r="E267" s="18">
        <f>IF($A267&gt;20,0,(E262-MIN(MAX(F266,0),E262))+MIN(MAX(0,G266-(E262-MIN(MAX(F266,0),E262))),MAX(0,3*E262-(F266-MIN(MAX(F266,0),E262)))))</f>
        <v>75810</v>
      </c>
      <c r="F267" s="18">
        <f>IF($A267&gt;20,F266,(F266-E262+E267)*(1+$B$7))</f>
        <v>224190</v>
      </c>
      <c r="G267" s="18">
        <f t="shared" si="19"/>
        <v>606397.77100000007</v>
      </c>
      <c r="H267" s="18">
        <f>IF($A267&gt;20,0,(H262-MIN(MAX(I266,0),H262))+MIN(MAX(0,J266-(H262-MIN(MAX(I266,0),H262))),MAX(0,3*H262-(I266-MIN(MAX(I266,0),H262)))))</f>
        <v>61409.42032652846</v>
      </c>
      <c r="I267" s="18">
        <f>IF($A267&gt;20,I266,(I266-H262+H267)*(1+$B$7))</f>
        <v>181603.71907405896</v>
      </c>
      <c r="J267" s="18">
        <f t="shared" si="20"/>
        <v>698779.02426147589</v>
      </c>
      <c r="K267" s="18">
        <f>IF($A267&gt;20,0,(K262-MIN(MAX(L266,0),K262))+MIN(MAX(0,M266-(K262-MIN(MAX(L266,0),K262))),MAX(0,3*K262-(L266-MIN(MAX(L266,0),K262)))))</f>
        <v>60490.324781909643</v>
      </c>
      <c r="L267" s="18">
        <f>IF($A267&gt;20,L266,(L266-K262+K267)*(1+$B$7))</f>
        <v>178885.71313621319</v>
      </c>
      <c r="M267" s="18">
        <f t="shared" si="21"/>
        <v>704675.12012734858</v>
      </c>
      <c r="N267" s="18">
        <f>IF($A267&gt;20,0,(N262-MIN(MAX(O266,0),N262))+MIN(MAX(0,P266-(N262-MIN(MAX(O266,0),N262))),MAX(0,3*N262-(O266-MIN(MAX(O266,0),N262)))))</f>
        <v>60491.222863597737</v>
      </c>
      <c r="O267" s="18">
        <f>IF($A267&gt;20,O266,(O266-N262+N267)*(1+$B$7))</f>
        <v>178888.36899868053</v>
      </c>
      <c r="P267" s="18">
        <f t="shared" si="22"/>
        <v>704669.35883761162</v>
      </c>
      <c r="Q267" s="18">
        <f>IF($A267&gt;20,0,(Q262-MIN(MAX(R266,0),Q262))+MIN(MAX(0,S266-(Q262-MIN(MAX(R266,0),Q262))),MAX(0,3*Q262-(R266-MIN(MAX(R266,0),Q262)))))</f>
        <v>60491.224449913192</v>
      </c>
      <c r="R267" s="18">
        <f>IF($A267&gt;20,R266,(R266-Q262+Q267)*(1+$B$7))</f>
        <v>178888.37368983039</v>
      </c>
      <c r="S267" s="18">
        <f t="shared" si="23"/>
        <v>704669.34866122913</v>
      </c>
    </row>
    <row r="268" spans="1:19">
      <c r="A268" s="10">
        <f>4</f>
        <v>4</v>
      </c>
      <c r="B268" s="18">
        <f>IF($A268&gt;20,0,(B262-MIN(MAX(C267,0),B262))+MIN(MAX(0,D267-(B262-MIN(MAX(C267,0),B262))),MAX(0,3*B262-(C267-MIN(MAX(C267,0),B262)))))</f>
        <v>30324</v>
      </c>
      <c r="C268" s="18">
        <f>IF($A268&gt;20,C267,(C267-B262+B268)*(1+$B$7))</f>
        <v>89676</v>
      </c>
      <c r="D268" s="18">
        <f t="shared" si="18"/>
        <v>893907.44765200012</v>
      </c>
      <c r="E268" s="18">
        <f>IF($A268&gt;20,0,(E262-MIN(MAX(F267,0),E262))+MIN(MAX(0,G267-(E262-MIN(MAX(F267,0),E262))),MAX(0,3*E262-(F267-MIN(MAX(F267,0),E262)))))</f>
        <v>75810</v>
      </c>
      <c r="F268" s="18">
        <f>IF($A268&gt;20,F267,(F267-E262+E268)*(1+$B$7))</f>
        <v>224190</v>
      </c>
      <c r="G268" s="18">
        <f t="shared" si="19"/>
        <v>546505.40413000004</v>
      </c>
      <c r="H268" s="18">
        <f>IF($A268&gt;20,0,(H262-MIN(MAX(I267,0),H262))+MIN(MAX(0,J267-(H262-MIN(MAX(I267,0),H262))),MAX(0,3*H262-(I267-MIN(MAX(I267,0),H262)))))</f>
        <v>61409.42032652846</v>
      </c>
      <c r="I268" s="18">
        <f>IF($A268&gt;20,I267,(I267-H262+H268)*(1+$B$7))</f>
        <v>181603.71907405896</v>
      </c>
      <c r="J268" s="18">
        <f t="shared" si="20"/>
        <v>656490.69205299579</v>
      </c>
      <c r="K268" s="18">
        <f>IF($A268&gt;20,0,(K262-MIN(MAX(L267,0),K262))+MIN(MAX(0,M267-(K262-MIN(MAX(L267,0),K262))),MAX(0,3*K262-(L267-MIN(MAX(L267,0),K262)))))</f>
        <v>60490.324781909643</v>
      </c>
      <c r="L268" s="18">
        <f>IF($A268&gt;20,L267,(L267-K262+K268)*(1+$B$7))</f>
        <v>178885.71313621319</v>
      </c>
      <c r="M268" s="18">
        <f t="shared" si="21"/>
        <v>663510.33920580207</v>
      </c>
      <c r="N268" s="18">
        <f>IF($A268&gt;20,0,(N262-MIN(MAX(O267,0),N262))+MIN(MAX(0,P267-(N262-MIN(MAX(O267,0),N262))),MAX(0,3*N262-(O267-MIN(MAX(O267,0),N262)))))</f>
        <v>60491.222863597737</v>
      </c>
      <c r="O268" s="18">
        <f>IF($A268&gt;20,O267,(O267-N262+N268)*(1+$B$7))</f>
        <v>178888.36899868053</v>
      </c>
      <c r="P268" s="18">
        <f t="shared" si="22"/>
        <v>663503.48005323438</v>
      </c>
      <c r="Q268" s="18">
        <f>IF($A268&gt;20,0,(Q262-MIN(MAX(R267,0),Q262))+MIN(MAX(0,S267-(Q262-MIN(MAX(R267,0),Q262))),MAX(0,3*Q262-(R267-MIN(MAX(R267,0),Q262)))))</f>
        <v>60491.224449913192</v>
      </c>
      <c r="R268" s="18">
        <f>IF($A268&gt;20,R267,(R267-Q262+Q268)*(1+$B$7))</f>
        <v>178888.37368983039</v>
      </c>
      <c r="S268" s="18">
        <f t="shared" si="23"/>
        <v>663503.46793765551</v>
      </c>
    </row>
    <row r="269" spans="1:19">
      <c r="A269" s="10">
        <f>5</f>
        <v>5</v>
      </c>
      <c r="B269" s="18">
        <f>IF($A269&gt;20,0,(B262-MIN(MAX(C268,0),B262))+MIN(MAX(0,D268-(B262-MIN(MAX(C268,0),B262))),MAX(0,3*B262-(C268-MIN(MAX(C268,0),B262)))))</f>
        <v>30324</v>
      </c>
      <c r="C269" s="18">
        <f>IF($A269&gt;20,C268,(C268-B262+B269)*(1+$B$7))</f>
        <v>89676</v>
      </c>
      <c r="D269" s="18">
        <f t="shared" si="18"/>
        <v>889490.95108156011</v>
      </c>
      <c r="E269" s="18">
        <f>IF($A269&gt;20,0,(E262-MIN(MAX(F268,0),E262))+MIN(MAX(0,G268-(E262-MIN(MAX(F268,0),E262))),MAX(0,3*E262-(F268-MIN(MAX(F268,0),E262)))))</f>
        <v>75810</v>
      </c>
      <c r="F269" s="18">
        <f>IF($A269&gt;20,F268,(F268-E262+E269)*(1+$B$7))</f>
        <v>224190</v>
      </c>
      <c r="G269" s="18">
        <f t="shared" si="19"/>
        <v>484816.26625390007</v>
      </c>
      <c r="H269" s="18">
        <f>IF($A269&gt;20,0,(H262-MIN(MAX(I268,0),H262))+MIN(MAX(0,J268-(H262-MIN(MAX(I268,0),H262))),MAX(0,3*H262-(I268-MIN(MAX(I268,0),H262)))))</f>
        <v>61409.42032652846</v>
      </c>
      <c r="I269" s="18">
        <f>IF($A269&gt;20,I268,(I268-H262+H269)*(1+$B$7))</f>
        <v>181603.71907405896</v>
      </c>
      <c r="J269" s="18">
        <f t="shared" si="20"/>
        <v>612933.70987826132</v>
      </c>
      <c r="K269" s="18">
        <f>IF($A269&gt;20,0,(K262-MIN(MAX(L268,0),K262))+MIN(MAX(0,M268-(K262-MIN(MAX(L268,0),K262))),MAX(0,3*K262-(L268-MIN(MAX(L268,0),K262)))))</f>
        <v>60490.324781909643</v>
      </c>
      <c r="L269" s="18">
        <f>IF($A269&gt;20,L268,(L268-K262+K269)*(1+$B$7))</f>
        <v>178885.71313621319</v>
      </c>
      <c r="M269" s="18">
        <f t="shared" si="21"/>
        <v>621110.61485660914</v>
      </c>
      <c r="N269" s="18">
        <f>IF($A269&gt;20,0,(N262-MIN(MAX(O268,0),N262))+MIN(MAX(0,P268-(N262-MIN(MAX(O268,0),N262))),MAX(0,3*N262-(O268-MIN(MAX(O268,0),N262)))))</f>
        <v>60491.222863597737</v>
      </c>
      <c r="O269" s="18">
        <f>IF($A269&gt;20,O268,(O268-N262+N269)*(1+$B$7))</f>
        <v>178888.36899868053</v>
      </c>
      <c r="P269" s="18">
        <f t="shared" si="22"/>
        <v>621102.62490532571</v>
      </c>
      <c r="Q269" s="18">
        <f>IF($A269&gt;20,0,(Q262-MIN(MAX(R268,0),Q262))+MIN(MAX(0,S268-(Q262-MIN(MAX(R268,0),Q262))),MAX(0,3*Q262-(R268-MIN(MAX(R268,0),Q262)))))</f>
        <v>60491.224449913192</v>
      </c>
      <c r="R269" s="18">
        <f>IF($A269&gt;20,R268,(R268-Q262+Q269)*(1+$B$7))</f>
        <v>178888.37368983039</v>
      </c>
      <c r="S269" s="18">
        <f t="shared" si="23"/>
        <v>621102.61079237459</v>
      </c>
    </row>
    <row r="270" spans="1:19">
      <c r="A270" s="10">
        <f>6</f>
        <v>6</v>
      </c>
      <c r="B270" s="18">
        <f>IF($A270&gt;20,0,(B262-MIN(MAX(C269,0),B262))+MIN(MAX(0,D269-(B262-MIN(MAX(C269,0),B262))),MAX(0,3*B262-(C269-MIN(MAX(C269,0),B262)))))</f>
        <v>30324</v>
      </c>
      <c r="C270" s="18">
        <f>IF($A270&gt;20,C269,(C269-B262+B270)*(1+$B$7))</f>
        <v>89676</v>
      </c>
      <c r="D270" s="18">
        <f t="shared" si="18"/>
        <v>884941.95961400692</v>
      </c>
      <c r="E270" s="18">
        <f>IF($A270&gt;20,0,(E262-MIN(MAX(F269,0),E262))+MIN(MAX(0,G269-(E262-MIN(MAX(F269,0),E262))),MAX(0,3*E262-(F269-MIN(MAX(F269,0),E262)))))</f>
        <v>75810</v>
      </c>
      <c r="F270" s="18">
        <f>IF($A270&gt;20,F269,(F269-E262+E270)*(1+$B$7))</f>
        <v>224190</v>
      </c>
      <c r="G270" s="18">
        <f t="shared" si="19"/>
        <v>421276.45424151706</v>
      </c>
      <c r="H270" s="18">
        <f>IF($A270&gt;20,0,(H262-MIN(MAX(I269,0),H262))+MIN(MAX(0,J269-(H262-MIN(MAX(I269,0),H262))),MAX(0,3*H262-(I269-MIN(MAX(I269,0),H262)))))</f>
        <v>61409.42032652846</v>
      </c>
      <c r="I270" s="18">
        <f>IF($A270&gt;20,I269,(I269-H262+H270)*(1+$B$7))</f>
        <v>181603.71907405896</v>
      </c>
      <c r="J270" s="18">
        <f t="shared" si="20"/>
        <v>568070.01823828486</v>
      </c>
      <c r="K270" s="18">
        <f>IF($A270&gt;20,0,(K262-MIN(MAX(L269,0),K262))+MIN(MAX(0,M269-(K262-MIN(MAX(L269,0),K262))),MAX(0,3*K262-(L269-MIN(MAX(L269,0),K262)))))</f>
        <v>60490.324781909643</v>
      </c>
      <c r="L270" s="18">
        <f>IF($A270&gt;20,L269,(L269-K262+K270)*(1+$B$7))</f>
        <v>178885.71313621319</v>
      </c>
      <c r="M270" s="18">
        <f t="shared" si="21"/>
        <v>577438.89877694054</v>
      </c>
      <c r="N270" s="18">
        <f>IF($A270&gt;20,0,(N262-MIN(MAX(O269,0),N262))+MIN(MAX(0,P269-(N262-MIN(MAX(O269,0),N262))),MAX(0,3*N262-(O269-MIN(MAX(O269,0),N262)))))</f>
        <v>60491.222863597737</v>
      </c>
      <c r="O270" s="18">
        <f>IF($A270&gt;20,O269,(O269-N262+N270)*(1+$B$7))</f>
        <v>178888.36899868053</v>
      </c>
      <c r="P270" s="18">
        <f t="shared" si="22"/>
        <v>577429.74410297978</v>
      </c>
      <c r="Q270" s="18">
        <f>IF($A270&gt;20,0,(Q262-MIN(MAX(R269,0),Q262))+MIN(MAX(0,S269-(Q262-MIN(MAX(R269,0),Q262))),MAX(0,3*Q262-(R269-MIN(MAX(R269,0),Q262)))))</f>
        <v>60491.224449913192</v>
      </c>
      <c r="R270" s="18">
        <f>IF($A270&gt;20,R269,(R269-Q262+Q270)*(1+$B$7))</f>
        <v>178888.37368983039</v>
      </c>
      <c r="S270" s="18">
        <f t="shared" si="23"/>
        <v>577429.72793273535</v>
      </c>
    </row>
    <row r="271" spans="1:19">
      <c r="A271" s="10">
        <f>7</f>
        <v>7</v>
      </c>
      <c r="B271" s="18">
        <f>IF($A271&gt;20,0,(B262-MIN(MAX(C270,0),B262))+MIN(MAX(0,D270-(B262-MIN(MAX(C270,0),B262))),MAX(0,3*B262-(C270-MIN(MAX(C270,0),B262)))))</f>
        <v>30324</v>
      </c>
      <c r="C271" s="18">
        <f>IF($A271&gt;20,C270,(C270-B262+B271)*(1+$B$7))</f>
        <v>89676</v>
      </c>
      <c r="D271" s="18">
        <f t="shared" si="18"/>
        <v>880256.49840242718</v>
      </c>
      <c r="E271" s="18">
        <f>IF($A271&gt;20,0,(E262-MIN(MAX(F270,0),E262))+MIN(MAX(0,G270-(E262-MIN(MAX(F270,0),E262))),MAX(0,3*E262-(F270-MIN(MAX(F270,0),E262)))))</f>
        <v>75810</v>
      </c>
      <c r="F271" s="18">
        <f>IF($A271&gt;20,F270,(F270-E262+E271)*(1+$B$7))</f>
        <v>224190</v>
      </c>
      <c r="G271" s="18">
        <f t="shared" si="19"/>
        <v>355830.4478687626</v>
      </c>
      <c r="H271" s="18">
        <f>IF($A271&gt;20,0,(H262-MIN(MAX(I270,0),H262))+MIN(MAX(0,J270-(H262-MIN(MAX(I270,0),H262))),MAX(0,3*H262-(I270-MIN(MAX(I270,0),H262)))))</f>
        <v>61409.42032652846</v>
      </c>
      <c r="I271" s="18">
        <f>IF($A271&gt;20,I270,(I270-H262+H271)*(1+$B$7))</f>
        <v>181603.71907405896</v>
      </c>
      <c r="J271" s="18">
        <f t="shared" si="20"/>
        <v>521860.41584910906</v>
      </c>
      <c r="K271" s="18">
        <f>IF($A271&gt;20,0,(K262-MIN(MAX(L270,0),K262))+MIN(MAX(0,M270-(K262-MIN(MAX(L270,0),K262))),MAX(0,3*K262-(L270-MIN(MAX(L270,0),K262)))))</f>
        <v>60490.324781909643</v>
      </c>
      <c r="L271" s="18">
        <f>IF($A271&gt;20,L270,(L270-K262+K271)*(1+$B$7))</f>
        <v>178885.71313621319</v>
      </c>
      <c r="M271" s="18">
        <f t="shared" si="21"/>
        <v>532457.0312148818</v>
      </c>
      <c r="N271" s="18">
        <f>IF($A271&gt;20,0,(N262-MIN(MAX(O270,0),N262))+MIN(MAX(0,P270-(N262-MIN(MAX(O270,0),N262))),MAX(0,3*N262-(O270-MIN(MAX(O270,0),N262)))))</f>
        <v>60491.222863597737</v>
      </c>
      <c r="O271" s="18">
        <f>IF($A271&gt;20,O270,(O270-N262+N271)*(1+$B$7))</f>
        <v>178888.36899868053</v>
      </c>
      <c r="P271" s="18">
        <f t="shared" si="22"/>
        <v>532446.67687656346</v>
      </c>
      <c r="Q271" s="18">
        <f>IF($A271&gt;20,0,(Q262-MIN(MAX(R270,0),Q262))+MIN(MAX(0,S270-(Q262-MIN(MAX(R270,0),Q262))),MAX(0,3*Q262-(R270-MIN(MAX(R270,0),Q262)))))</f>
        <v>60491.224449913192</v>
      </c>
      <c r="R271" s="18">
        <f>IF($A271&gt;20,R270,(R270-Q262+Q271)*(1+$B$7))</f>
        <v>178888.37368983039</v>
      </c>
      <c r="S271" s="18">
        <f t="shared" si="23"/>
        <v>532446.65858730685</v>
      </c>
    </row>
    <row r="272" spans="1:19">
      <c r="A272" s="10">
        <f>8</f>
        <v>8</v>
      </c>
      <c r="B272" s="18">
        <f>IF($A272&gt;20,0,(B262-MIN(MAX(C271,0),B262))+MIN(MAX(0,D271-(B262-MIN(MAX(C271,0),B262))),MAX(0,3*B262-(C271-MIN(MAX(C271,0),B262)))))</f>
        <v>30324</v>
      </c>
      <c r="C272" s="18">
        <f>IF($A272&gt;20,C271,(C271-B262+B272)*(1+$B$7))</f>
        <v>89676</v>
      </c>
      <c r="D272" s="18">
        <f t="shared" si="18"/>
        <v>875430.47335450002</v>
      </c>
      <c r="E272" s="18">
        <f>IF($A272&gt;20,0,(E262-MIN(MAX(F271,0),E262))+MIN(MAX(0,G271-(E262-MIN(MAX(F271,0),E262))),MAX(0,3*E262-(F271-MIN(MAX(F271,0),E262)))))</f>
        <v>75810</v>
      </c>
      <c r="F272" s="18">
        <f>IF($A272&gt;20,F271,(F271-E262+E272)*(1+$B$7))</f>
        <v>224190</v>
      </c>
      <c r="G272" s="18">
        <f t="shared" si="19"/>
        <v>288421.06130482547</v>
      </c>
      <c r="H272" s="18">
        <f>IF($A272&gt;20,0,(H262-MIN(MAX(I271,0),H262))+MIN(MAX(0,J271-(H262-MIN(MAX(I271,0),H262))),MAX(0,3*H262-(I271-MIN(MAX(I271,0),H262)))))</f>
        <v>61409.42032652846</v>
      </c>
      <c r="I272" s="18">
        <f>IF($A272&gt;20,I271,(I271-H262+H272)*(1+$B$7))</f>
        <v>181603.71907405896</v>
      </c>
      <c r="J272" s="18">
        <f t="shared" si="20"/>
        <v>474264.52538825799</v>
      </c>
      <c r="K272" s="18">
        <f>IF($A272&gt;20,0,(K262-MIN(MAX(L271,0),K262))+MIN(MAX(0,M271-(K262-MIN(MAX(L271,0),K262))),MAX(0,3*K262-(L271-MIN(MAX(L271,0),K262)))))</f>
        <v>60490.324781909643</v>
      </c>
      <c r="L272" s="18">
        <f>IF($A272&gt;20,L271,(L271-K262+K272)*(1+$B$7))</f>
        <v>178885.71313621319</v>
      </c>
      <c r="M272" s="18">
        <f t="shared" si="21"/>
        <v>486125.70762596134</v>
      </c>
      <c r="N272" s="18">
        <f>IF($A272&gt;20,0,(N262-MIN(MAX(O271,0),N262))+MIN(MAX(0,P271-(N262-MIN(MAX(O271,0),N262))),MAX(0,3*N262-(O271-MIN(MAX(O271,0),N262)))))</f>
        <v>60491.222863597737</v>
      </c>
      <c r="O272" s="18">
        <f>IF($A272&gt;20,O271,(O271-N262+N272)*(1+$B$7))</f>
        <v>178888.36899868053</v>
      </c>
      <c r="P272" s="18">
        <f t="shared" si="22"/>
        <v>486114.11763335473</v>
      </c>
      <c r="Q272" s="18">
        <f>IF($A272&gt;20,0,(Q262-MIN(MAX(R271,0),Q262))+MIN(MAX(0,S271-(Q262-MIN(MAX(R271,0),Q262))),MAX(0,3*Q262-(R271-MIN(MAX(R271,0),Q262)))))</f>
        <v>60491.224449913192</v>
      </c>
      <c r="R272" s="18">
        <f>IF($A272&gt;20,R271,(R271-Q262+Q272)*(1+$B$7))</f>
        <v>178888.37368983039</v>
      </c>
      <c r="S272" s="18">
        <f t="shared" si="23"/>
        <v>486114.0971615155</v>
      </c>
    </row>
    <row r="273" spans="1:19">
      <c r="A273" s="10">
        <f>9</f>
        <v>9</v>
      </c>
      <c r="B273" s="18">
        <f>IF($A273&gt;20,0,(B262-MIN(MAX(C272,0),B262))+MIN(MAX(0,D272-(B262-MIN(MAX(C272,0),B262))),MAX(0,3*B262-(C272-MIN(MAX(C272,0),B262)))))</f>
        <v>30324</v>
      </c>
      <c r="C273" s="18">
        <f>IF($A273&gt;20,C272,(C272-B262+B273)*(1+$B$7))</f>
        <v>89676</v>
      </c>
      <c r="D273" s="18">
        <f t="shared" si="18"/>
        <v>870459.66755513509</v>
      </c>
      <c r="E273" s="18">
        <f>IF($A273&gt;20,0,(E262-MIN(MAX(F272,0),E262))+MIN(MAX(0,G272-(E262-MIN(MAX(F272,0),E262))),MAX(0,3*E262-(F272-MIN(MAX(F272,0),E262)))))</f>
        <v>75810</v>
      </c>
      <c r="F273" s="18">
        <f>IF($A273&gt;20,F272,(F272-E262+E273)*(1+$B$7))</f>
        <v>224190</v>
      </c>
      <c r="G273" s="18">
        <f t="shared" si="19"/>
        <v>218989.39314397026</v>
      </c>
      <c r="H273" s="18">
        <f>IF($A273&gt;20,0,(H262-MIN(MAX(I272,0),H262))+MIN(MAX(0,J272-(H262-MIN(MAX(I272,0),H262))),MAX(0,3*H262-(I272-MIN(MAX(I272,0),H262)))))</f>
        <v>61409.42032652846</v>
      </c>
      <c r="I273" s="18">
        <f>IF($A273&gt;20,I272,(I272-H262+H273)*(1+$B$7))</f>
        <v>181603.71907405896</v>
      </c>
      <c r="J273" s="18">
        <f t="shared" si="20"/>
        <v>425240.75821358146</v>
      </c>
      <c r="K273" s="18">
        <f>IF($A273&gt;20,0,(K262-MIN(MAX(L272,0),K262))+MIN(MAX(0,M272-(K262-MIN(MAX(L272,0),K262))),MAX(0,3*K262-(L272-MIN(MAX(L272,0),K262)))))</f>
        <v>60490.324781909643</v>
      </c>
      <c r="L273" s="18">
        <f>IF($A273&gt;20,L272,(L272-K262+K273)*(1+$B$7))</f>
        <v>178885.71313621319</v>
      </c>
      <c r="M273" s="18">
        <f t="shared" si="21"/>
        <v>438404.44432937325</v>
      </c>
      <c r="N273" s="18">
        <f>IF($A273&gt;20,0,(N262-MIN(MAX(O272,0),N262))+MIN(MAX(0,P272-(N262-MIN(MAX(O272,0),N262))),MAX(0,3*N262-(O272-MIN(MAX(O272,0),N262)))))</f>
        <v>60491.222863597737</v>
      </c>
      <c r="O273" s="18">
        <f>IF($A273&gt;20,O272,(O272-N262+N273)*(1+$B$7))</f>
        <v>178888.36899868053</v>
      </c>
      <c r="P273" s="18">
        <f t="shared" si="22"/>
        <v>438391.58161284972</v>
      </c>
      <c r="Q273" s="18">
        <f>IF($A273&gt;20,0,(Q262-MIN(MAX(R272,0),Q262))+MIN(MAX(0,S272-(Q262-MIN(MAX(R272,0),Q262))),MAX(0,3*Q262-(R272-MIN(MAX(R272,0),Q262)))))</f>
        <v>60491.224449913192</v>
      </c>
      <c r="R273" s="18">
        <f>IF($A273&gt;20,R272,(R272-Q262+Q273)*(1+$B$7))</f>
        <v>178888.37368983039</v>
      </c>
      <c r="S273" s="18">
        <f t="shared" si="23"/>
        <v>438391.55889295042</v>
      </c>
    </row>
    <row r="274" spans="1:19">
      <c r="A274" s="10">
        <f>10</f>
        <v>10</v>
      </c>
      <c r="B274" s="18">
        <f>IF($A274&gt;20,0,(B262-MIN(MAX(C273,0),B262))+MIN(MAX(0,D273-(B262-MIN(MAX(C273,0),B262))),MAX(0,3*B262-(C273-MIN(MAX(C273,0),B262)))))</f>
        <v>30324</v>
      </c>
      <c r="C274" s="18">
        <f>IF($A274&gt;20,C273,(C273-B262+B274)*(1+$B$7))</f>
        <v>89676</v>
      </c>
      <c r="D274" s="18">
        <f t="shared" si="18"/>
        <v>865339.73758178914</v>
      </c>
      <c r="E274" s="18">
        <f>IF($A274&gt;20,0,(E262-MIN(MAX(F273,0),E262))+MIN(MAX(0,G273-(E262-MIN(MAX(F273,0),E262))),MAX(0,3*E262-(F273-MIN(MAX(F273,0),E262)))))</f>
        <v>75810</v>
      </c>
      <c r="F274" s="18">
        <f>IF($A274&gt;20,F273,(F273-E262+E274)*(1+$B$7))</f>
        <v>224190</v>
      </c>
      <c r="G274" s="18">
        <f t="shared" si="19"/>
        <v>147474.77493828937</v>
      </c>
      <c r="H274" s="18">
        <f>IF($A274&gt;20,0,(H262-MIN(MAX(I273,0),H262))+MIN(MAX(0,J273-(H262-MIN(MAX(I273,0),H262))),MAX(0,3*H262-(I273-MIN(MAX(I273,0),H262)))))</f>
        <v>61409.42032652846</v>
      </c>
      <c r="I274" s="18">
        <f>IF($A274&gt;20,I273,(I273-H262+H274)*(1+$B$7))</f>
        <v>181603.71907405896</v>
      </c>
      <c r="J274" s="18">
        <f t="shared" si="20"/>
        <v>374746.27802366461</v>
      </c>
      <c r="K274" s="18">
        <f>IF($A274&gt;20,0,(K262-MIN(MAX(L273,0),K262))+MIN(MAX(0,M273-(K262-MIN(MAX(L273,0),K262))),MAX(0,3*K262-(L273-MIN(MAX(L273,0),K262)))))</f>
        <v>60490.324781909643</v>
      </c>
      <c r="L274" s="18">
        <f>IF($A274&gt;20,L273,(L273-K262+K274)*(1+$B$7))</f>
        <v>178885.71313621319</v>
      </c>
      <c r="M274" s="18">
        <f t="shared" si="21"/>
        <v>389251.54313388752</v>
      </c>
      <c r="N274" s="18">
        <f>IF($A274&gt;20,0,(N262-MIN(MAX(O273,0),N262))+MIN(MAX(0,P273-(N262-MIN(MAX(O273,0),N262))),MAX(0,3*N262-(O273-MIN(MAX(O273,0),N262)))))</f>
        <v>60491.222863597737</v>
      </c>
      <c r="O274" s="18">
        <f>IF($A274&gt;20,O273,(O273-N262+N274)*(1+$B$7))</f>
        <v>178888.36899868053</v>
      </c>
      <c r="P274" s="18">
        <f t="shared" si="22"/>
        <v>389237.36951172957</v>
      </c>
      <c r="Q274" s="18">
        <f>IF($A274&gt;20,0,(Q262-MIN(MAX(R273,0),Q262))+MIN(MAX(0,S273-(Q262-MIN(MAX(R273,0),Q262))),MAX(0,3*Q262-(R273-MIN(MAX(R273,0),Q262)))))</f>
        <v>60491.224449913192</v>
      </c>
      <c r="R274" s="18">
        <f>IF($A274&gt;20,R273,(R273-Q262+Q274)*(1+$B$7))</f>
        <v>178888.37368983039</v>
      </c>
      <c r="S274" s="18">
        <f t="shared" si="23"/>
        <v>389237.34447632835</v>
      </c>
    </row>
    <row r="275" spans="1:19">
      <c r="A275" s="10">
        <f>11</f>
        <v>11</v>
      </c>
      <c r="B275" s="18">
        <f>IF($A275&gt;20,0,(B262-MIN(MAX(C274,0),B262))+MIN(MAX(0,D274-(B262-MIN(MAX(C274,0),B262))),MAX(0,3*B262-(C274-MIN(MAX(C274,0),B262)))))</f>
        <v>30324</v>
      </c>
      <c r="C275" s="18">
        <f>IF($A275&gt;20,C274,(C274-B262+B275)*(1+$B$7))</f>
        <v>89676</v>
      </c>
      <c r="D275" s="18">
        <f t="shared" si="18"/>
        <v>860066.2097092428</v>
      </c>
      <c r="E275" s="18">
        <f>IF($A275&gt;20,0,(E262-MIN(MAX(F274,0),E262))+MIN(MAX(0,G274-(E262-MIN(MAX(F274,0),E262))),MAX(0,3*E262-(F274-MIN(MAX(F274,0),E262)))))</f>
        <v>75810</v>
      </c>
      <c r="F275" s="18">
        <f>IF($A275&gt;20,F274,(F274-E262+E275)*(1+$B$7))</f>
        <v>224190</v>
      </c>
      <c r="G275" s="18">
        <f t="shared" si="19"/>
        <v>73814.718186438055</v>
      </c>
      <c r="H275" s="18">
        <f>IF($A275&gt;20,0,(H262-MIN(MAX(I274,0),H262))+MIN(MAX(0,J274-(H262-MIN(MAX(I274,0),H262))),MAX(0,3*H262-(I274-MIN(MAX(I274,0),H262)))))</f>
        <v>61409.42032652846</v>
      </c>
      <c r="I275" s="18">
        <f>IF($A275&gt;20,I274,(I274-H262+H275)*(1+$B$7))</f>
        <v>181603.71907405896</v>
      </c>
      <c r="J275" s="18">
        <f t="shared" si="20"/>
        <v>322736.96342805022</v>
      </c>
      <c r="K275" s="18">
        <f>IF($A275&gt;20,0,(K262-MIN(MAX(L274,0),K262))+MIN(MAX(0,M274-(K262-MIN(MAX(L274,0),K262))),MAX(0,3*K262-(L274-MIN(MAX(L274,0),K262)))))</f>
        <v>60490.324781909643</v>
      </c>
      <c r="L275" s="18">
        <f>IF($A275&gt;20,L274,(L274-K262+K275)*(1+$B$7))</f>
        <v>178885.71313621319</v>
      </c>
      <c r="M275" s="18">
        <f t="shared" si="21"/>
        <v>338624.0549025372</v>
      </c>
      <c r="N275" s="18">
        <f>IF($A275&gt;20,0,(N262-MIN(MAX(O274,0),N262))+MIN(MAX(0,P274-(N262-MIN(MAX(O274,0),N262))),MAX(0,3*N262-(O274-MIN(MAX(O274,0),N262)))))</f>
        <v>60491.222863597737</v>
      </c>
      <c r="O275" s="18">
        <f>IF($A275&gt;20,O274,(O274-N262+N275)*(1+$B$7))</f>
        <v>178888.36899868053</v>
      </c>
      <c r="P275" s="18">
        <f t="shared" si="22"/>
        <v>338608.53104757582</v>
      </c>
      <c r="Q275" s="18">
        <f>IF($A275&gt;20,0,(Q262-MIN(MAX(R274,0),Q262))+MIN(MAX(0,S274-(Q262-MIN(MAX(R274,0),Q262))),MAX(0,3*Q262-(R274-MIN(MAX(R274,0),Q262)))))</f>
        <v>60491.224449913192</v>
      </c>
      <c r="R275" s="18">
        <f>IF($A275&gt;20,R274,(R274-Q262+Q275)*(1+$B$7))</f>
        <v>178888.37368983039</v>
      </c>
      <c r="S275" s="18">
        <f t="shared" si="23"/>
        <v>338608.5036272076</v>
      </c>
    </row>
    <row r="276" spans="1:19">
      <c r="A276" s="10">
        <f>12</f>
        <v>12</v>
      </c>
      <c r="B276" s="18">
        <f>IF($A276&gt;20,0,(B262-MIN(MAX(C275,0),B262))+MIN(MAX(0,D275-(B262-MIN(MAX(C275,0),B262))),MAX(0,3*B262-(C275-MIN(MAX(C275,0),B262)))))</f>
        <v>30324</v>
      </c>
      <c r="C276" s="18">
        <f>IF($A276&gt;20,C275,(C275-B262+B276)*(1+$B$7))</f>
        <v>89676</v>
      </c>
      <c r="D276" s="18">
        <f t="shared" si="18"/>
        <v>854634.47600052005</v>
      </c>
      <c r="E276" s="18">
        <f>IF($A276&gt;20,0,(E262-MIN(MAX(F275,0),E262))+MIN(MAX(0,G275-(E262-MIN(MAX(F275,0),E262))),MAX(0,3*E262-(F275-MIN(MAX(F275,0),E262)))))</f>
        <v>73814.718186438055</v>
      </c>
      <c r="F276" s="18">
        <f>IF($A276&gt;20,F275,(F275-E262+E276)*(1+$B$7))</f>
        <v>222201.90120096688</v>
      </c>
      <c r="G276" s="18">
        <f t="shared" si="19"/>
        <v>0</v>
      </c>
      <c r="H276" s="18">
        <f>IF($A276&gt;20,0,(H262-MIN(MAX(I275,0),H262))+MIN(MAX(0,J275-(H262-MIN(MAX(I275,0),H262))),MAX(0,3*H262-(I275-MIN(MAX(I275,0),H262)))))</f>
        <v>61409.42032652846</v>
      </c>
      <c r="I276" s="18">
        <f>IF($A276&gt;20,I275,(I275-H262+H276)*(1+$B$7))</f>
        <v>181603.71907405896</v>
      </c>
      <c r="J276" s="18">
        <f t="shared" si="20"/>
        <v>269167.36939456745</v>
      </c>
      <c r="K276" s="18">
        <f>IF($A276&gt;20,0,(K262-MIN(MAX(L275,0),K262))+MIN(MAX(0,M275-(K262-MIN(MAX(L275,0),K262))),MAX(0,3*K262-(L275-MIN(MAX(L275,0),K262)))))</f>
        <v>60490.324781909643</v>
      </c>
      <c r="L276" s="18">
        <f>IF($A276&gt;20,L275,(L275-K262+K276)*(1+$B$7))</f>
        <v>178885.71313621319</v>
      </c>
      <c r="M276" s="18">
        <f t="shared" si="21"/>
        <v>286477.74202424637</v>
      </c>
      <c r="N276" s="18">
        <f>IF($A276&gt;20,0,(N262-MIN(MAX(O275,0),N262))+MIN(MAX(0,P275-(N262-MIN(MAX(O275,0),N262))),MAX(0,3*N262-(O275-MIN(MAX(O275,0),N262)))))</f>
        <v>60491.222863597737</v>
      </c>
      <c r="O276" s="18">
        <f>IF($A276&gt;20,O275,(O275-N262+N276)*(1+$B$7))</f>
        <v>178888.36899868053</v>
      </c>
      <c r="P276" s="18">
        <f t="shared" si="22"/>
        <v>286460.82742949744</v>
      </c>
      <c r="Q276" s="18">
        <f>IF($A276&gt;20,0,(Q262-MIN(MAX(R275,0),Q262))+MIN(MAX(0,S275-(Q262-MIN(MAX(R275,0),Q262))),MAX(0,3*Q262-(R275-MIN(MAX(R275,0),Q262)))))</f>
        <v>60491.224449913192</v>
      </c>
      <c r="R276" s="18">
        <f>IF($A276&gt;20,R275,(R275-Q262+Q276)*(1+$B$7))</f>
        <v>178888.37368983039</v>
      </c>
      <c r="S276" s="18">
        <f t="shared" si="23"/>
        <v>286460.79755261325</v>
      </c>
    </row>
    <row r="277" spans="1:19">
      <c r="A277" s="10">
        <f>13</f>
        <v>13</v>
      </c>
      <c r="B277" s="18">
        <f>IF($A277&gt;20,0,(B262-MIN(MAX(C276,0),B262))+MIN(MAX(0,D276-(B262-MIN(MAX(C276,0),B262))),MAX(0,3*B262-(C276-MIN(MAX(C276,0),B262)))))</f>
        <v>30324</v>
      </c>
      <c r="C277" s="18">
        <f>IF($A277&gt;20,C276,(C276-B262+B277)*(1+$B$7))</f>
        <v>89676</v>
      </c>
      <c r="D277" s="18">
        <f t="shared" si="18"/>
        <v>849039.7902805357</v>
      </c>
      <c r="E277" s="18">
        <f>IF($A277&gt;20,0,(E262-MIN(MAX(F276,0),E262))+MIN(MAX(0,G276-(E262-MIN(MAX(F276,0),E262))),MAX(0,3*E262-(F276-MIN(MAX(F276,0),E262)))))</f>
        <v>0</v>
      </c>
      <c r="F277" s="18">
        <f>IF($A277&gt;20,F276,(F276-E262+E277)*(1+$B$7))</f>
        <v>146671.97435664339</v>
      </c>
      <c r="G277" s="18">
        <f t="shared" si="19"/>
        <v>0</v>
      </c>
      <c r="H277" s="18">
        <f>IF($A277&gt;20,0,(H262-MIN(MAX(I276,0),H262))+MIN(MAX(0,J276-(H262-MIN(MAX(I276,0),H262))),MAX(0,3*H262-(I276-MIN(MAX(I276,0),H262)))))</f>
        <v>61409.42032652846</v>
      </c>
      <c r="I277" s="18">
        <f>IF($A277&gt;20,I276,(I276-H262+H277)*(1+$B$7))</f>
        <v>181603.71907405896</v>
      </c>
      <c r="J277" s="18">
        <f t="shared" si="20"/>
        <v>213990.68754008017</v>
      </c>
      <c r="K277" s="18">
        <f>IF($A277&gt;20,0,(K262-MIN(MAX(L276,0),K262))+MIN(MAX(0,M276-(K262-MIN(MAX(L276,0),K262))),MAX(0,3*K262-(L276-MIN(MAX(L276,0),K262)))))</f>
        <v>60490.324781909643</v>
      </c>
      <c r="L277" s="18">
        <f>IF($A277&gt;20,L276,(L276-K262+K277)*(1+$B$7))</f>
        <v>178885.71313621319</v>
      </c>
      <c r="M277" s="18">
        <f t="shared" si="21"/>
        <v>232767.03975960682</v>
      </c>
      <c r="N277" s="18">
        <f>IF($A277&gt;20,0,(N262-MIN(MAX(O276,0),N262))+MIN(MAX(0,P276-(N262-MIN(MAX(O276,0),N262))),MAX(0,3*N262-(O276-MIN(MAX(O276,0),N262)))))</f>
        <v>60491.222863597737</v>
      </c>
      <c r="O277" s="18">
        <f>IF($A277&gt;20,O276,(O276-N262+N277)*(1+$B$7))</f>
        <v>178888.36899868053</v>
      </c>
      <c r="P277" s="18">
        <f t="shared" si="22"/>
        <v>232748.69270287669</v>
      </c>
      <c r="Q277" s="18">
        <f>IF($A277&gt;20,0,(Q262-MIN(MAX(R276,0),Q262))+MIN(MAX(0,S276-(Q262-MIN(MAX(R276,0),Q262))),MAX(0,3*Q262-(R276-MIN(MAX(R276,0),Q262)))))</f>
        <v>60491.224449913192</v>
      </c>
      <c r="R277" s="18">
        <f>IF($A277&gt;20,R276,(R276-Q262+Q277)*(1+$B$7))</f>
        <v>178888.37368983039</v>
      </c>
      <c r="S277" s="18">
        <f t="shared" si="23"/>
        <v>232748.66029578107</v>
      </c>
    </row>
    <row r="278" spans="1:19">
      <c r="A278" s="10">
        <f>14</f>
        <v>14</v>
      </c>
      <c r="B278" s="18">
        <f>IF($A278&gt;20,0,(B262-MIN(MAX(C277,0),B262))+MIN(MAX(0,D277-(B262-MIN(MAX(C277,0),B262))),MAX(0,3*B262-(C277-MIN(MAX(C277,0),B262)))))</f>
        <v>30324</v>
      </c>
      <c r="C278" s="18">
        <f>IF($A278&gt;20,C277,(C277-B262+B278)*(1+$B$7))</f>
        <v>89676</v>
      </c>
      <c r="D278" s="18">
        <f t="shared" si="18"/>
        <v>843277.2639889518</v>
      </c>
      <c r="E278" s="18">
        <f>IF($A278&gt;20,0,(E262-MIN(MAX(F277,0),E262))+MIN(MAX(0,G277-(E262-MIN(MAX(F277,0),E262))),MAX(0,3*E262-(F277-MIN(MAX(F277,0),E262)))))</f>
        <v>0</v>
      </c>
      <c r="F278" s="18">
        <f>IF($A278&gt;20,F277,(F277-E262+E278)*(1+$B$7))</f>
        <v>71413.955248959464</v>
      </c>
      <c r="G278" s="18">
        <f t="shared" si="19"/>
        <v>0</v>
      </c>
      <c r="H278" s="18">
        <f>IF($A278&gt;20,0,(H262-MIN(MAX(I277,0),H262))+MIN(MAX(0,J277-(H262-MIN(MAX(I277,0),H262))),MAX(0,3*H262-(I277-MIN(MAX(I277,0),H262)))))</f>
        <v>61409.42032652846</v>
      </c>
      <c r="I278" s="18">
        <f>IF($A278&gt;20,I277,(I277-H262+H278)*(1+$B$7))</f>
        <v>181603.71907405896</v>
      </c>
      <c r="J278" s="18">
        <f t="shared" si="20"/>
        <v>157158.70522995826</v>
      </c>
      <c r="K278" s="18">
        <f>IF($A278&gt;20,0,(K262-MIN(MAX(L277,0),K262))+MIN(MAX(0,M277-(K262-MIN(MAX(L277,0),K262))),MAX(0,3*K262-(L277-MIN(MAX(L277,0),K262)))))</f>
        <v>60490.324781909643</v>
      </c>
      <c r="L278" s="18">
        <f>IF($A278&gt;20,L277,(L277-K262+K278)*(1+$B$7))</f>
        <v>178885.71313621319</v>
      </c>
      <c r="M278" s="18">
        <f t="shared" si="21"/>
        <v>177445.01642702811</v>
      </c>
      <c r="N278" s="18">
        <f>IF($A278&gt;20,0,(N262-MIN(MAX(O277,0),N262))+MIN(MAX(0,P277-(N262-MIN(MAX(O277,0),N262))),MAX(0,3*N262-(O277-MIN(MAX(O277,0),N262)))))</f>
        <v>60491.222863597737</v>
      </c>
      <c r="O278" s="18">
        <f>IF($A278&gt;20,O277,(O277-N262+N278)*(1+$B$7))</f>
        <v>178888.36899868053</v>
      </c>
      <c r="P278" s="18">
        <f t="shared" si="22"/>
        <v>177425.19393445732</v>
      </c>
      <c r="Q278" s="18">
        <f>IF($A278&gt;20,0,(Q262-MIN(MAX(R277,0),Q262))+MIN(MAX(0,S277-(Q262-MIN(MAX(R277,0),Q262))),MAX(0,3*Q262-(R277-MIN(MAX(R277,0),Q262)))))</f>
        <v>60491.224449913192</v>
      </c>
      <c r="R278" s="18">
        <f>IF($A278&gt;20,R277,(R277-Q262+Q278)*(1+$B$7))</f>
        <v>178888.37368983039</v>
      </c>
      <c r="S278" s="18">
        <f t="shared" si="23"/>
        <v>177425.15892124391</v>
      </c>
    </row>
    <row r="279" spans="1:19">
      <c r="A279" s="10">
        <f>15</f>
        <v>15</v>
      </c>
      <c r="B279" s="18">
        <f>IF($A279&gt;20,0,(B262-MIN(MAX(C278,0),B262))+MIN(MAX(0,D278-(B262-MIN(MAX(C278,0),B262))),MAX(0,3*B262-(C278-MIN(MAX(C278,0),B262)))))</f>
        <v>30324</v>
      </c>
      <c r="C279" s="18">
        <f>IF($A279&gt;20,C278,(C278-B262+B279)*(1+$B$7))</f>
        <v>89676</v>
      </c>
      <c r="D279" s="18">
        <f t="shared" si="18"/>
        <v>837341.86190862034</v>
      </c>
      <c r="E279" s="18">
        <f>IF($A279&gt;20,0,(E262-MIN(MAX(F278,0),E262))+MIN(MAX(0,G278-(E262-MIN(MAX(F278,0),E262))),MAX(0,3*E262-(F278-MIN(MAX(F278,0),E262)))))</f>
        <v>3586.0447510405356</v>
      </c>
      <c r="F279" s="18">
        <f>IF($A279&gt;20,F278,(F278-E262+E279)*(1+$B$7))</f>
        <v>0</v>
      </c>
      <c r="G279" s="18">
        <f t="shared" si="19"/>
        <v>-3693.6260935717519</v>
      </c>
      <c r="H279" s="18">
        <f>IF($A279&gt;20,0,(H262-MIN(MAX(I278,0),H262))+MIN(MAX(0,J278-(H262-MIN(MAX(I278,0),H262))),MAX(0,3*H262-(I278-MIN(MAX(I278,0),H262)))))</f>
        <v>61409.42032652846</v>
      </c>
      <c r="I279" s="18">
        <f>IF($A279&gt;20,I278,(I278-H262+H279)*(1+$B$7))</f>
        <v>181603.71907405896</v>
      </c>
      <c r="J279" s="18">
        <f t="shared" si="20"/>
        <v>98621.763450532701</v>
      </c>
      <c r="K279" s="18">
        <f>IF($A279&gt;20,0,(K262-MIN(MAX(L278,0),K262))+MIN(MAX(0,M278-(K262-MIN(MAX(L278,0),K262))),MAX(0,3*K262-(L278-MIN(MAX(L278,0),K262)))))</f>
        <v>60490.324781909643</v>
      </c>
      <c r="L279" s="18">
        <f>IF($A279&gt;20,L278,(L278-K262+K279)*(1+$B$7))</f>
        <v>178885.71313621319</v>
      </c>
      <c r="M279" s="18">
        <f t="shared" si="21"/>
        <v>120463.33239447202</v>
      </c>
      <c r="N279" s="18">
        <f>IF($A279&gt;20,0,(N262-MIN(MAX(O278,0),N262))+MIN(MAX(0,P278-(N262-MIN(MAX(O278,0),N262))),MAX(0,3*N262-(O278-MIN(MAX(O278,0),N262)))))</f>
        <v>60491.222863597737</v>
      </c>
      <c r="O279" s="18">
        <f>IF($A279&gt;20,O278,(O278-N262+N279)*(1+$B$7))</f>
        <v>178888.36899868053</v>
      </c>
      <c r="P279" s="18">
        <f t="shared" si="22"/>
        <v>120441.99020298537</v>
      </c>
      <c r="Q279" s="18">
        <f>IF($A279&gt;20,0,(Q262-MIN(MAX(R278,0),Q262))+MIN(MAX(0,S278-(Q262-MIN(MAX(R278,0),Q262))),MAX(0,3*Q262-(R278-MIN(MAX(R278,0),Q262)))))</f>
        <v>60491.224449913192</v>
      </c>
      <c r="R279" s="18">
        <f>IF($A279&gt;20,R278,(R278-Q262+Q279)*(1+$B$7))</f>
        <v>178888.37368983039</v>
      </c>
      <c r="S279" s="18">
        <f t="shared" si="23"/>
        <v>120441.95250547065</v>
      </c>
    </row>
    <row r="280" spans="1:19">
      <c r="A280" s="10">
        <f>16</f>
        <v>16</v>
      </c>
      <c r="B280" s="18">
        <f>IF($A280&gt;20,0,(B262-MIN(MAX(C279,0),B262))+MIN(MAX(0,D279-(B262-MIN(MAX(C279,0),B262))),MAX(0,3*B262-(C279-MIN(MAX(C279,0),B262)))))</f>
        <v>30324</v>
      </c>
      <c r="C280" s="18">
        <f>IF($A280&gt;20,C279,(C279-B262+B280)*(1+$B$7))</f>
        <v>89676</v>
      </c>
      <c r="D280" s="18">
        <f t="shared" si="18"/>
        <v>831228.39776587894</v>
      </c>
      <c r="E280" s="18">
        <f>IF($A280&gt;20,0,(E262-MIN(MAX(F279,0),E262))+MIN(MAX(0,G279-(E262-MIN(MAX(F279,0),E262))),MAX(0,3*E262-(F279-MIN(MAX(F279,0),E262)))))</f>
        <v>75000</v>
      </c>
      <c r="F280" s="18">
        <f>IF($A280&gt;20,F279,(F279-E262+E280)*(1+$B$7))</f>
        <v>0</v>
      </c>
      <c r="G280" s="18">
        <f t="shared" si="19"/>
        <v>-81054.434876378917</v>
      </c>
      <c r="H280" s="18">
        <f>IF($A280&gt;20,0,(H262-MIN(MAX(I279,0),H262))+MIN(MAX(0,J279-(H262-MIN(MAX(I279,0),H262))),MAX(0,3*H262-(I279-MIN(MAX(I279,0),H262)))))</f>
        <v>61409.42032652846</v>
      </c>
      <c r="I280" s="18">
        <f>IF($A280&gt;20,I279,(I279-H262+H280)*(1+$B$7))</f>
        <v>181603.71907405896</v>
      </c>
      <c r="J280" s="18">
        <f t="shared" si="20"/>
        <v>38328.713417724372</v>
      </c>
      <c r="K280" s="18">
        <f>IF($A280&gt;20,0,(K262-MIN(MAX(L279,0),K262))+MIN(MAX(0,M279-(K262-MIN(MAX(L279,0),K262))),MAX(0,3*K262-(L279-MIN(MAX(L279,0),K262)))))</f>
        <v>60490.324781909643</v>
      </c>
      <c r="L280" s="18">
        <f>IF($A280&gt;20,L279,(L279-K262+K280)*(1+$B$7))</f>
        <v>178885.71313621319</v>
      </c>
      <c r="M280" s="18">
        <f t="shared" si="21"/>
        <v>61772.197840939247</v>
      </c>
      <c r="N280" s="18">
        <f>IF($A280&gt;20,0,(N262-MIN(MAX(O279,0),N262))+MIN(MAX(0,P279-(N262-MIN(MAX(O279,0),N262))),MAX(0,3*N262-(O279-MIN(MAX(O279,0),N262)))))</f>
        <v>60491.222863597737</v>
      </c>
      <c r="O280" s="18">
        <f>IF($A280&gt;20,O279,(O279-N262+N280)*(1+$B$7))</f>
        <v>178888.36899868053</v>
      </c>
      <c r="P280" s="18">
        <f t="shared" si="22"/>
        <v>61749.290359569262</v>
      </c>
      <c r="Q280" s="18">
        <f>IF($A280&gt;20,0,(Q262-MIN(MAX(R279,0),Q262))+MIN(MAX(0,S279-(Q262-MIN(MAX(R279,0),Q262))),MAX(0,3*Q262-(R279-MIN(MAX(R279,0),Q262)))))</f>
        <v>60491.224449913192</v>
      </c>
      <c r="R280" s="18">
        <f>IF($A280&gt;20,R279,(R279-Q262+Q280)*(1+$B$7))</f>
        <v>178888.37368983039</v>
      </c>
      <c r="S280" s="18">
        <f t="shared" si="23"/>
        <v>61749.249897224181</v>
      </c>
    </row>
    <row r="281" spans="1:19">
      <c r="A281" s="10">
        <f>17</f>
        <v>17</v>
      </c>
      <c r="B281" s="18">
        <f>IF($A281&gt;20,0,(B262-MIN(MAX(C280,0),B262))+MIN(MAX(0,D280-(B262-MIN(MAX(C280,0),B262))),MAX(0,3*B262-(C280-MIN(MAX(C280,0),B262)))))</f>
        <v>30324</v>
      </c>
      <c r="C281" s="18">
        <f>IF($A281&gt;20,C280,(C280-B262+B281)*(1+$B$7))</f>
        <v>89676</v>
      </c>
      <c r="D281" s="18">
        <f t="shared" si="18"/>
        <v>824931.52969885536</v>
      </c>
      <c r="E281" s="18">
        <f>IF($A281&gt;20,0,(E262-MIN(MAX(F280,0),E262))+MIN(MAX(0,G280-(E262-MIN(MAX(F280,0),E262))),MAX(0,3*E262-(F280-MIN(MAX(F280,0),E262)))))</f>
        <v>75000</v>
      </c>
      <c r="F281" s="18">
        <f>IF($A281&gt;20,F280,(F280-E262+E281)*(1+$B$7))</f>
        <v>0</v>
      </c>
      <c r="G281" s="18">
        <f t="shared" si="19"/>
        <v>-160736.06792267028</v>
      </c>
      <c r="H281" s="18">
        <f>IF($A281&gt;20,0,(H262-MIN(MAX(I280,0),H262))+MIN(MAX(0,J280-(H262-MIN(MAX(I280,0),H262))),MAX(0,3*H262-(I280-MIN(MAX(I280,0),H262)))))</f>
        <v>38328.713417724372</v>
      </c>
      <c r="I281" s="18">
        <f>IF($A281&gt;20,I280,(I280-H262+H281)*(1+$B$7))</f>
        <v>158606.10271012658</v>
      </c>
      <c r="J281" s="18">
        <f t="shared" si="20"/>
        <v>0</v>
      </c>
      <c r="K281" s="18">
        <f>IF($A281&gt;20,0,(K262-MIN(MAX(L280,0),K262))+MIN(MAX(0,M280-(K262-MIN(MAX(L280,0),K262))),MAX(0,3*K262-(L280-MIN(MAX(L280,0),K262)))))</f>
        <v>60490.324781909643</v>
      </c>
      <c r="L281" s="18">
        <f>IF($A281&gt;20,L280,(L280-K262+K281)*(1+$B$7))</f>
        <v>178885.71313621319</v>
      </c>
      <c r="M281" s="18">
        <f t="shared" si="21"/>
        <v>1320.3292508004918</v>
      </c>
      <c r="N281" s="18">
        <f>IF($A281&gt;20,0,(N262-MIN(MAX(O280,0),N262))+MIN(MAX(0,P280-(N262-MIN(MAX(O280,0),N262))),MAX(0,3*N262-(O280-MIN(MAX(O280,0),N262)))))</f>
        <v>60491.222863597737</v>
      </c>
      <c r="O281" s="18">
        <f>IF($A281&gt;20,O280,(O280-N262+N281)*(1+$B$7))</f>
        <v>178888.36899868053</v>
      </c>
      <c r="P281" s="18">
        <f t="shared" si="22"/>
        <v>1295.8095208506711</v>
      </c>
      <c r="Q281" s="18">
        <f>IF($A281&gt;20,0,(Q262-MIN(MAX(R280,0),Q262))+MIN(MAX(0,S280-(Q262-MIN(MAX(R280,0),Q262))),MAX(0,3*Q262-(R280-MIN(MAX(R280,0),Q262)))))</f>
        <v>60491.224449913192</v>
      </c>
      <c r="R281" s="18">
        <f>IF($A281&gt;20,R280,(R280-Q262+Q281)*(1+$B$7))</f>
        <v>178888.37368983039</v>
      </c>
      <c r="S281" s="18">
        <f t="shared" si="23"/>
        <v>1295.7662107303186</v>
      </c>
    </row>
    <row r="282" spans="1:19">
      <c r="A282" s="10">
        <f>18</f>
        <v>18</v>
      </c>
      <c r="B282" s="18">
        <f>IF($A282&gt;20,0,(B262-MIN(MAX(C281,0),B262))+MIN(MAX(0,D281-(B262-MIN(MAX(C281,0),B262))),MAX(0,3*B262-(C281-MIN(MAX(C281,0),B262)))))</f>
        <v>30324</v>
      </c>
      <c r="C282" s="18">
        <f>IF($A282&gt;20,C281,(C281-B262+B282)*(1+$B$7))</f>
        <v>89676</v>
      </c>
      <c r="D282" s="18">
        <f t="shared" si="18"/>
        <v>818445.75558982103</v>
      </c>
      <c r="E282" s="18">
        <f>IF($A282&gt;20,0,(E262-MIN(MAX(F281,0),E262))+MIN(MAX(0,G281-(E262-MIN(MAX(F281,0),E262))),MAX(0,3*E262-(F281-MIN(MAX(F281,0),E262)))))</f>
        <v>75000</v>
      </c>
      <c r="F282" s="18">
        <f>IF($A282&gt;20,F281,(F281-E262+E282)*(1+$B$7))</f>
        <v>0</v>
      </c>
      <c r="G282" s="18">
        <f t="shared" si="19"/>
        <v>-242808.14996035039</v>
      </c>
      <c r="H282" s="18">
        <f>IF($A282&gt;20,0,(H262-MIN(MAX(I281,0),H262))+MIN(MAX(0,J281-(H262-MIN(MAX(I281,0),H262))),MAX(0,3*H262-(I281-MIN(MAX(I281,0),H262)))))</f>
        <v>0</v>
      </c>
      <c r="I282" s="18">
        <f>IF($A282&gt;20,I281,(I281-H262+H282)*(1+$B$7))</f>
        <v>97500.547715683788</v>
      </c>
      <c r="J282" s="18">
        <f t="shared" si="20"/>
        <v>0</v>
      </c>
      <c r="K282" s="18">
        <f>IF($A282&gt;20,0,(K262-MIN(MAX(L281,0),K262))+MIN(MAX(0,M281-(K262-MIN(MAX(L281,0),K262))),MAX(0,3*K262-(L281-MIN(MAX(L281,0),K262)))))</f>
        <v>1320.3292508004918</v>
      </c>
      <c r="L282" s="18">
        <f>IF($A282&gt;20,L281,(L281-K262+K282)*(1+$B$7))</f>
        <v>119928.72958901603</v>
      </c>
      <c r="M282" s="18">
        <f t="shared" si="21"/>
        <v>0</v>
      </c>
      <c r="N282" s="18">
        <f>IF($A282&gt;20,0,(N262-MIN(MAX(O281,0),N262))+MIN(MAX(0,P281-(N262-MIN(MAX(O281,0),N262))),MAX(0,3*N262-(O281-MIN(MAX(O281,0),N262)))))</f>
        <v>1295.8095208506711</v>
      </c>
      <c r="O282" s="18">
        <f>IF($A282&gt;20,O281,(O281-N262+N282)*(1+$B$7))</f>
        <v>119906.05914396736</v>
      </c>
      <c r="P282" s="18">
        <f t="shared" si="22"/>
        <v>0</v>
      </c>
      <c r="Q282" s="18">
        <f>IF($A282&gt;20,0,(Q262-MIN(MAX(R281,0),Q262))+MIN(MAX(0,S281-(Q262-MIN(MAX(R281,0),Q262))),MAX(0,3*Q262-(R281-MIN(MAX(R281,0),Q262)))))</f>
        <v>1295.7662107303186</v>
      </c>
      <c r="R282" s="18">
        <f>IF($A282&gt;20,R281,(R281-Q262+Q282)*(1+$B$7))</f>
        <v>119906.01910030856</v>
      </c>
      <c r="S282" s="18">
        <f t="shared" si="23"/>
        <v>0</v>
      </c>
    </row>
    <row r="283" spans="1:19">
      <c r="A283" s="10">
        <f>19</f>
        <v>19</v>
      </c>
      <c r="B283" s="18">
        <f>IF($A283&gt;20,0,(B262-MIN(MAX(C282,0),B262))+MIN(MAX(0,D282-(B262-MIN(MAX(C282,0),B262))),MAX(0,3*B262-(C282-MIN(MAX(C282,0),B262)))))</f>
        <v>30324</v>
      </c>
      <c r="C283" s="18">
        <f>IF($A283&gt;20,C282,(C282-B262+B283)*(1+$B$7))</f>
        <v>89676</v>
      </c>
      <c r="D283" s="18">
        <f t="shared" si="18"/>
        <v>811765.40825751564</v>
      </c>
      <c r="E283" s="18">
        <f>IF($A283&gt;20,0,(E262-MIN(MAX(F282,0),E262))+MIN(MAX(0,G282-(E262-MIN(MAX(F282,0),E262))),MAX(0,3*E262-(F282-MIN(MAX(F282,0),E262)))))</f>
        <v>75000</v>
      </c>
      <c r="F283" s="18">
        <f>IF($A283&gt;20,F282,(F282-E262+E283)*(1+$B$7))</f>
        <v>0</v>
      </c>
      <c r="G283" s="18">
        <f t="shared" si="19"/>
        <v>-327342.39445916086</v>
      </c>
      <c r="H283" s="18">
        <f>IF($A283&gt;20,0,(H262-MIN(MAX(I282,0),H262))+MIN(MAX(0,J282-(H262-MIN(MAX(I282,0),H262))),MAX(0,3*H262-(I282-MIN(MAX(I282,0),H262)))))</f>
        <v>0</v>
      </c>
      <c r="I283" s="18">
        <f>IF($A283&gt;20,I282,(I282-H262+H283)*(1+$B$7))</f>
        <v>36614.972719220998</v>
      </c>
      <c r="J283" s="18">
        <f t="shared" si="20"/>
        <v>0</v>
      </c>
      <c r="K283" s="18">
        <f>IF($A283&gt;20,0,(K262-MIN(MAX(L282,0),K262))+MIN(MAX(0,M282-(K262-MIN(MAX(L282,0),K262))),MAX(0,3*K262-(L282-MIN(MAX(L282,0),K262)))))</f>
        <v>0</v>
      </c>
      <c r="L283" s="18">
        <f>IF($A283&gt;20,L282,(L282-K262+K283)*(1+$B$7))</f>
        <v>59868.415117091172</v>
      </c>
      <c r="M283" s="18">
        <f t="shared" si="21"/>
        <v>0</v>
      </c>
      <c r="N283" s="18">
        <f>IF($A283&gt;20,0,(N262-MIN(MAX(O282,0),N262))+MIN(MAX(0,P282-(N262-MIN(MAX(O282,0),N262))),MAX(0,3*N262-(O282-MIN(MAX(O282,0),N262)))))</f>
        <v>0</v>
      </c>
      <c r="O283" s="18">
        <f>IF($A283&gt;20,O282,(O282-N262+N283)*(1+$B$7))</f>
        <v>59844.940998155558</v>
      </c>
      <c r="P283" s="18">
        <f t="shared" si="22"/>
        <v>0</v>
      </c>
      <c r="Q283" s="18">
        <f>IF($A283&gt;20,0,(Q262-MIN(MAX(R282,0),Q262))+MIN(MAX(0,S282-(Q262-MIN(MAX(R282,0),Q262))),MAX(0,3*Q262-(R282-MIN(MAX(R282,0),Q262)))))</f>
        <v>0</v>
      </c>
      <c r="R283" s="18">
        <f>IF($A283&gt;20,R282,(R282-Q262+Q283)*(1+$B$7))</f>
        <v>59844.899534937322</v>
      </c>
      <c r="S283" s="18">
        <f t="shared" si="23"/>
        <v>0</v>
      </c>
    </row>
    <row r="284" spans="1:19">
      <c r="A284" s="10">
        <f>20</f>
        <v>20</v>
      </c>
      <c r="B284" s="18">
        <f>IF($A284&gt;20,0,(B262-MIN(MAX(C283,0),B262))+MIN(MAX(0,D283-(B262-MIN(MAX(C283,0),B262))),MAX(0,3*B262-(C283-MIN(MAX(C283,0),B262)))))</f>
        <v>30324</v>
      </c>
      <c r="C284" s="18">
        <f>IF($A284&gt;20,C283,(C283-B262+B284)*(1+$B$7))</f>
        <v>89676</v>
      </c>
      <c r="D284" s="18">
        <f t="shared" si="18"/>
        <v>804884.65050524112</v>
      </c>
      <c r="E284" s="18">
        <f>IF($A284&gt;20,0,(E262-MIN(MAX(F283,0),E262))+MIN(MAX(0,G283-(E262-MIN(MAX(F283,0),E262))),MAX(0,3*E262-(F283-MIN(MAX(F283,0),E262)))))</f>
        <v>75000</v>
      </c>
      <c r="F284" s="18">
        <f>IF($A284&gt;20,F283,(F283-E262+E284)*(1+$B$7))</f>
        <v>0</v>
      </c>
      <c r="G284" s="18">
        <f t="shared" si="19"/>
        <v>-414412.66629293567</v>
      </c>
      <c r="H284" s="18">
        <f>IF($A284&gt;20,0,(H262-MIN(MAX(I283,0),H262))+MIN(MAX(0,J283-(H262-MIN(MAX(I283,0),H262))),MAX(0,3*H262-(I283-MIN(MAX(I283,0),H262)))))</f>
        <v>24138.312130925857</v>
      </c>
      <c r="I284" s="18">
        <f>IF($A284&gt;20,I283,(I283-H262+H284)*(1+$B$7))</f>
        <v>0</v>
      </c>
      <c r="J284" s="18">
        <f t="shared" si="20"/>
        <v>-24862.461494853633</v>
      </c>
      <c r="K284" s="18">
        <f>IF($A284&gt;20,0,(K262-MIN(MAX(L283,0),K262))+MIN(MAX(0,M283-(K262-MIN(MAX(L283,0),K262))),MAX(0,3*K262-(L283-MIN(MAX(L283,0),K262)))))</f>
        <v>0</v>
      </c>
      <c r="L284" s="18">
        <f>IF($A284&gt;20,L283,(L283-K262+K284)*(1+$B$7))</f>
        <v>24.31777726524555</v>
      </c>
      <c r="M284" s="18">
        <f t="shared" si="21"/>
        <v>0</v>
      </c>
      <c r="N284" s="18">
        <f>IF($A284&gt;20,0,(N262-MIN(MAX(O283,0),N262))+MIN(MAX(0,P283-(N262-MIN(MAX(O283,0),N262))),MAX(0,3*N262-(O283-MIN(MAX(O283,0),N262)))))</f>
        <v>0</v>
      </c>
      <c r="O284" s="18">
        <f>IF($A284&gt;20,O283,(O283-N262+N284)*(1+$B$7))</f>
        <v>4.2877668682904914E-2</v>
      </c>
      <c r="P284" s="18">
        <f t="shared" si="22"/>
        <v>0</v>
      </c>
      <c r="Q284" s="18">
        <f>IF($A284&gt;20,0,(Q262-MIN(MAX(R283,0),Q262))+MIN(MAX(0,S283-(Q262-MIN(MAX(R283,0),Q262))),MAX(0,3*Q262-(R283-MIN(MAX(R283,0),Q262)))))</f>
        <v>0</v>
      </c>
      <c r="R284" s="18">
        <f>IF($A284&gt;20,R283,(R283-Q262+Q284)*(1+$B$7))</f>
        <v>1.4209537766873836E-9</v>
      </c>
      <c r="S284" s="18">
        <f t="shared" si="23"/>
        <v>0</v>
      </c>
    </row>
    <row r="285" spans="1:19">
      <c r="A285" s="10">
        <f>21</f>
        <v>21</v>
      </c>
      <c r="B285" s="18">
        <f>IF($A285&gt;20,0,(B262-MIN(MAX(C284,0),B262))+MIN(MAX(0,D284-(B262-MIN(MAX(C284,0),B262))),MAX(0,3*B262-(C284-MIN(MAX(C284,0),B262)))))</f>
        <v>0</v>
      </c>
      <c r="C285" s="18">
        <f>IF($A285&gt;20,C284,(C284-B262+B285)*(1+$B$7))</f>
        <v>89676</v>
      </c>
      <c r="D285" s="18">
        <f t="shared" si="18"/>
        <v>804884.65050524112</v>
      </c>
      <c r="E285" s="18">
        <f>IF($A285&gt;20,0,(E262-MIN(MAX(F284,0),E262))+MIN(MAX(0,G284-(E262-MIN(MAX(F284,0),E262))),MAX(0,3*E262-(F284-MIN(MAX(F284,0),E262)))))</f>
        <v>0</v>
      </c>
      <c r="F285" s="18">
        <f>IF($A285&gt;20,F284,(F284-E262+E285)*(1+$B$7))</f>
        <v>0</v>
      </c>
      <c r="G285" s="18">
        <f t="shared" si="19"/>
        <v>-414412.66629293567</v>
      </c>
      <c r="H285" s="18">
        <f>IF($A285&gt;20,0,(H262-MIN(MAX(I284,0),H262))+MIN(MAX(0,J284-(H262-MIN(MAX(I284,0),H262))),MAX(0,3*H262-(I284-MIN(MAX(I284,0),H262)))))</f>
        <v>0</v>
      </c>
      <c r="I285" s="18">
        <f>IF($A285&gt;20,I284,(I284-H262+H285)*(1+$B$7))</f>
        <v>0</v>
      </c>
      <c r="J285" s="18">
        <f t="shared" si="20"/>
        <v>-24862.461494853633</v>
      </c>
      <c r="K285" s="18">
        <f>IF($A285&gt;20,0,(K262-MIN(MAX(L284,0),K262))+MIN(MAX(0,M284-(K262-MIN(MAX(L284,0),K262))),MAX(0,3*K262-(L284-MIN(MAX(L284,0),K262)))))</f>
        <v>0</v>
      </c>
      <c r="L285" s="18">
        <f>IF($A285&gt;20,L284,(L284-K262+K285)*(1+$B$7))</f>
        <v>24.31777726524555</v>
      </c>
      <c r="M285" s="18">
        <f t="shared" si="21"/>
        <v>0</v>
      </c>
      <c r="N285" s="18">
        <f>IF($A285&gt;20,0,(N262-MIN(MAX(O284,0),N262))+MIN(MAX(0,P284-(N262-MIN(MAX(O284,0),N262))),MAX(0,3*N262-(O284-MIN(MAX(O284,0),N262)))))</f>
        <v>0</v>
      </c>
      <c r="O285" s="18">
        <f>IF($A285&gt;20,O284,(O284-N262+N285)*(1+$B$7))</f>
        <v>4.2877668682904914E-2</v>
      </c>
      <c r="P285" s="18">
        <f t="shared" si="22"/>
        <v>0</v>
      </c>
      <c r="Q285" s="18">
        <f>IF($A285&gt;20,0,(Q262-MIN(MAX(R284,0),Q262))+MIN(MAX(0,S284-(Q262-MIN(MAX(R284,0),Q262))),MAX(0,3*Q262-(R284-MIN(MAX(R284,0),Q262)))))</f>
        <v>0</v>
      </c>
      <c r="R285" s="18">
        <f>IF($A285&gt;20,R284,(R284-Q262+Q285)*(1+$B$7))</f>
        <v>1.4209537766873836E-9</v>
      </c>
      <c r="S285" s="18">
        <f t="shared" si="23"/>
        <v>0</v>
      </c>
    </row>
    <row r="286" spans="1:19">
      <c r="A286" s="10">
        <f>22</f>
        <v>22</v>
      </c>
      <c r="B286" s="18">
        <f>IF($A286&gt;20,0,(B262-MIN(MAX(C285,0),B262))+MIN(MAX(0,D285-(B262-MIN(MAX(C285,0),B262))),MAX(0,3*B262-(C285-MIN(MAX(C285,0),B262)))))</f>
        <v>0</v>
      </c>
      <c r="C286" s="18">
        <f>IF($A286&gt;20,C285,(C285-B262+B286)*(1+$B$7))</f>
        <v>89676</v>
      </c>
      <c r="D286" s="18">
        <f t="shared" si="18"/>
        <v>804884.65050524112</v>
      </c>
      <c r="E286" s="18">
        <f>IF($A286&gt;20,0,(E262-MIN(MAX(F285,0),E262))+MIN(MAX(0,G285-(E262-MIN(MAX(F285,0),E262))),MAX(0,3*E262-(F285-MIN(MAX(F285,0),E262)))))</f>
        <v>0</v>
      </c>
      <c r="F286" s="18">
        <f>IF($A286&gt;20,F285,(F285-E262+E286)*(1+$B$7))</f>
        <v>0</v>
      </c>
      <c r="G286" s="18">
        <f t="shared" si="19"/>
        <v>-414412.66629293567</v>
      </c>
      <c r="H286" s="18">
        <f>IF($A286&gt;20,0,(H262-MIN(MAX(I285,0),H262))+MIN(MAX(0,J285-(H262-MIN(MAX(I285,0),H262))),MAX(0,3*H262-(I285-MIN(MAX(I285,0),H262)))))</f>
        <v>0</v>
      </c>
      <c r="I286" s="18">
        <f>IF($A286&gt;20,I285,(I285-H262+H286)*(1+$B$7))</f>
        <v>0</v>
      </c>
      <c r="J286" s="18">
        <f t="shared" si="20"/>
        <v>-24862.461494853633</v>
      </c>
      <c r="K286" s="18">
        <f>IF($A286&gt;20,0,(K262-MIN(MAX(L285,0),K262))+MIN(MAX(0,M285-(K262-MIN(MAX(L285,0),K262))),MAX(0,3*K262-(L285-MIN(MAX(L285,0),K262)))))</f>
        <v>0</v>
      </c>
      <c r="L286" s="18">
        <f>IF($A286&gt;20,L285,(L285-K262+K286)*(1+$B$7))</f>
        <v>24.31777726524555</v>
      </c>
      <c r="M286" s="18">
        <f t="shared" si="21"/>
        <v>0</v>
      </c>
      <c r="N286" s="18">
        <f>IF($A286&gt;20,0,(N262-MIN(MAX(O285,0),N262))+MIN(MAX(0,P285-(N262-MIN(MAX(O285,0),N262))),MAX(0,3*N262-(O285-MIN(MAX(O285,0),N262)))))</f>
        <v>0</v>
      </c>
      <c r="O286" s="18">
        <f>IF($A286&gt;20,O285,(O285-N262+N286)*(1+$B$7))</f>
        <v>4.2877668682904914E-2</v>
      </c>
      <c r="P286" s="18">
        <f t="shared" si="22"/>
        <v>0</v>
      </c>
      <c r="Q286" s="18">
        <f>IF($A286&gt;20,0,(Q262-MIN(MAX(R285,0),Q262))+MIN(MAX(0,S285-(Q262-MIN(MAX(R285,0),Q262))),MAX(0,3*Q262-(R285-MIN(MAX(R285,0),Q262)))))</f>
        <v>0</v>
      </c>
      <c r="R286" s="18">
        <f>IF($A286&gt;20,R285,(R285-Q262+Q286)*(1+$B$7))</f>
        <v>1.4209537766873836E-9</v>
      </c>
      <c r="S286" s="18">
        <f t="shared" si="23"/>
        <v>0</v>
      </c>
    </row>
    <row r="287" spans="1:19">
      <c r="A287" s="10">
        <f>23</f>
        <v>23</v>
      </c>
      <c r="B287" s="18">
        <f>IF($A287&gt;20,0,(B262-MIN(MAX(C286,0),B262))+MIN(MAX(0,D286-(B262-MIN(MAX(C286,0),B262))),MAX(0,3*B262-(C286-MIN(MAX(C286,0),B262)))))</f>
        <v>0</v>
      </c>
      <c r="C287" s="18">
        <f>IF($A287&gt;20,C286,(C286-B262+B287)*(1+$B$7))</f>
        <v>89676</v>
      </c>
      <c r="D287" s="18">
        <f t="shared" si="18"/>
        <v>804884.65050524112</v>
      </c>
      <c r="E287" s="18">
        <f>IF($A287&gt;20,0,(E262-MIN(MAX(F286,0),E262))+MIN(MAX(0,G286-(E262-MIN(MAX(F286,0),E262))),MAX(0,3*E262-(F286-MIN(MAX(F286,0),E262)))))</f>
        <v>0</v>
      </c>
      <c r="F287" s="18">
        <f>IF($A287&gt;20,F286,(F286-E262+E287)*(1+$B$7))</f>
        <v>0</v>
      </c>
      <c r="G287" s="18">
        <f t="shared" si="19"/>
        <v>-414412.66629293567</v>
      </c>
      <c r="H287" s="18">
        <f>IF($A287&gt;20,0,(H262-MIN(MAX(I286,0),H262))+MIN(MAX(0,J286-(H262-MIN(MAX(I286,0),H262))),MAX(0,3*H262-(I286-MIN(MAX(I286,0),H262)))))</f>
        <v>0</v>
      </c>
      <c r="I287" s="18">
        <f>IF($A287&gt;20,I286,(I286-H262+H287)*(1+$B$7))</f>
        <v>0</v>
      </c>
      <c r="J287" s="18">
        <f t="shared" si="20"/>
        <v>-24862.461494853633</v>
      </c>
      <c r="K287" s="18">
        <f>IF($A287&gt;20,0,(K262-MIN(MAX(L286,0),K262))+MIN(MAX(0,M286-(K262-MIN(MAX(L286,0),K262))),MAX(0,3*K262-(L286-MIN(MAX(L286,0),K262)))))</f>
        <v>0</v>
      </c>
      <c r="L287" s="18">
        <f>IF($A287&gt;20,L286,(L286-K262+K287)*(1+$B$7))</f>
        <v>24.31777726524555</v>
      </c>
      <c r="M287" s="18">
        <f t="shared" si="21"/>
        <v>0</v>
      </c>
      <c r="N287" s="18">
        <f>IF($A287&gt;20,0,(N262-MIN(MAX(O286,0),N262))+MIN(MAX(0,P286-(N262-MIN(MAX(O286,0),N262))),MAX(0,3*N262-(O286-MIN(MAX(O286,0),N262)))))</f>
        <v>0</v>
      </c>
      <c r="O287" s="18">
        <f>IF($A287&gt;20,O286,(O286-N262+N287)*(1+$B$7))</f>
        <v>4.2877668682904914E-2</v>
      </c>
      <c r="P287" s="18">
        <f t="shared" si="22"/>
        <v>0</v>
      </c>
      <c r="Q287" s="18">
        <f>IF($A287&gt;20,0,(Q262-MIN(MAX(R286,0),Q262))+MIN(MAX(0,S286-(Q262-MIN(MAX(R286,0),Q262))),MAX(0,3*Q262-(R286-MIN(MAX(R286,0),Q262)))))</f>
        <v>0</v>
      </c>
      <c r="R287" s="18">
        <f>IF($A287&gt;20,R286,(R286-Q262+Q287)*(1+$B$7))</f>
        <v>1.4209537766873836E-9</v>
      </c>
      <c r="S287" s="18">
        <f t="shared" si="23"/>
        <v>0</v>
      </c>
    </row>
    <row r="288" spans="1:19">
      <c r="A288" s="10">
        <f>24</f>
        <v>24</v>
      </c>
      <c r="B288" s="18">
        <f>IF($A288&gt;20,0,(B262-MIN(MAX(C287,0),B262))+MIN(MAX(0,D287-(B262-MIN(MAX(C287,0),B262))),MAX(0,3*B262-(C287-MIN(MAX(C287,0),B262)))))</f>
        <v>0</v>
      </c>
      <c r="C288" s="18">
        <f>IF($A288&gt;20,C287,(C287-B262+B288)*(1+$B$7))</f>
        <v>89676</v>
      </c>
      <c r="D288" s="18">
        <f t="shared" si="18"/>
        <v>804884.65050524112</v>
      </c>
      <c r="E288" s="18">
        <f>IF($A288&gt;20,0,(E262-MIN(MAX(F287,0),E262))+MIN(MAX(0,G287-(E262-MIN(MAX(F287,0),E262))),MAX(0,3*E262-(F287-MIN(MAX(F287,0),E262)))))</f>
        <v>0</v>
      </c>
      <c r="F288" s="18">
        <f>IF($A288&gt;20,F287,(F287-E262+E288)*(1+$B$7))</f>
        <v>0</v>
      </c>
      <c r="G288" s="18">
        <f t="shared" si="19"/>
        <v>-414412.66629293567</v>
      </c>
      <c r="H288" s="18">
        <f>IF($A288&gt;20,0,(H262-MIN(MAX(I287,0),H262))+MIN(MAX(0,J287-(H262-MIN(MAX(I287,0),H262))),MAX(0,3*H262-(I287-MIN(MAX(I287,0),H262)))))</f>
        <v>0</v>
      </c>
      <c r="I288" s="18">
        <f>IF($A288&gt;20,I287,(I287-H262+H288)*(1+$B$7))</f>
        <v>0</v>
      </c>
      <c r="J288" s="18">
        <f t="shared" si="20"/>
        <v>-24862.461494853633</v>
      </c>
      <c r="K288" s="18">
        <f>IF($A288&gt;20,0,(K262-MIN(MAX(L287,0),K262))+MIN(MAX(0,M287-(K262-MIN(MAX(L287,0),K262))),MAX(0,3*K262-(L287-MIN(MAX(L287,0),K262)))))</f>
        <v>0</v>
      </c>
      <c r="L288" s="18">
        <f>IF($A288&gt;20,L287,(L287-K262+K288)*(1+$B$7))</f>
        <v>24.31777726524555</v>
      </c>
      <c r="M288" s="18">
        <f t="shared" si="21"/>
        <v>0</v>
      </c>
      <c r="N288" s="18">
        <f>IF($A288&gt;20,0,(N262-MIN(MAX(O287,0),N262))+MIN(MAX(0,P287-(N262-MIN(MAX(O287,0),N262))),MAX(0,3*N262-(O287-MIN(MAX(O287,0),N262)))))</f>
        <v>0</v>
      </c>
      <c r="O288" s="18">
        <f>IF($A288&gt;20,O287,(O287-N262+N288)*(1+$B$7))</f>
        <v>4.2877668682904914E-2</v>
      </c>
      <c r="P288" s="18">
        <f t="shared" si="22"/>
        <v>0</v>
      </c>
      <c r="Q288" s="18">
        <f>IF($A288&gt;20,0,(Q262-MIN(MAX(R287,0),Q262))+MIN(MAX(0,S287-(Q262-MIN(MAX(R287,0),Q262))),MAX(0,3*Q262-(R287-MIN(MAX(R287,0),Q262)))))</f>
        <v>0</v>
      </c>
      <c r="R288" s="18">
        <f>IF($A288&gt;20,R287,(R287-Q262+Q288)*(1+$B$7))</f>
        <v>1.4209537766873836E-9</v>
      </c>
      <c r="S288" s="18">
        <f t="shared" si="23"/>
        <v>0</v>
      </c>
    </row>
    <row r="289" spans="1:19">
      <c r="A289" s="10">
        <f>25</f>
        <v>25</v>
      </c>
      <c r="B289" s="18">
        <f>IF($A289&gt;20,0,(B262-MIN(MAX(C288,0),B262))+MIN(MAX(0,D288-(B262-MIN(MAX(C288,0),B262))),MAX(0,3*B262-(C288-MIN(MAX(C288,0),B262)))))</f>
        <v>0</v>
      </c>
      <c r="C289" s="18">
        <f>IF($A289&gt;20,C288,(C288-B262+B289)*(1+$B$7))</f>
        <v>89676</v>
      </c>
      <c r="D289" s="18">
        <f t="shared" si="18"/>
        <v>804884.65050524112</v>
      </c>
      <c r="E289" s="18">
        <f>IF($A289&gt;20,0,(E262-MIN(MAX(F288,0),E262))+MIN(MAX(0,G288-(E262-MIN(MAX(F288,0),E262))),MAX(0,3*E262-(F288-MIN(MAX(F288,0),E262)))))</f>
        <v>0</v>
      </c>
      <c r="F289" s="18">
        <f>IF($A289&gt;20,F288,(F288-E262+E289)*(1+$B$7))</f>
        <v>0</v>
      </c>
      <c r="G289" s="18">
        <f t="shared" si="19"/>
        <v>-414412.66629293567</v>
      </c>
      <c r="H289" s="18">
        <f>IF($A289&gt;20,0,(H262-MIN(MAX(I288,0),H262))+MIN(MAX(0,J288-(H262-MIN(MAX(I288,0),H262))),MAX(0,3*H262-(I288-MIN(MAX(I288,0),H262)))))</f>
        <v>0</v>
      </c>
      <c r="I289" s="18">
        <f>IF($A289&gt;20,I288,(I288-H262+H289)*(1+$B$7))</f>
        <v>0</v>
      </c>
      <c r="J289" s="18">
        <f t="shared" si="20"/>
        <v>-24862.461494853633</v>
      </c>
      <c r="K289" s="18">
        <f>IF($A289&gt;20,0,(K262-MIN(MAX(L288,0),K262))+MIN(MAX(0,M288-(K262-MIN(MAX(L288,0),K262))),MAX(0,3*K262-(L288-MIN(MAX(L288,0),K262)))))</f>
        <v>0</v>
      </c>
      <c r="L289" s="18">
        <f>IF($A289&gt;20,L288,(L288-K262+K289)*(1+$B$7))</f>
        <v>24.31777726524555</v>
      </c>
      <c r="M289" s="18">
        <f t="shared" si="21"/>
        <v>0</v>
      </c>
      <c r="N289" s="18">
        <f>IF($A289&gt;20,0,(N262-MIN(MAX(O288,0),N262))+MIN(MAX(0,P288-(N262-MIN(MAX(O288,0),N262))),MAX(0,3*N262-(O288-MIN(MAX(O288,0),N262)))))</f>
        <v>0</v>
      </c>
      <c r="O289" s="18">
        <f>IF($A289&gt;20,O288,(O288-N262+N289)*(1+$B$7))</f>
        <v>4.2877668682904914E-2</v>
      </c>
      <c r="P289" s="18">
        <f t="shared" si="22"/>
        <v>0</v>
      </c>
      <c r="Q289" s="18">
        <f>IF($A289&gt;20,0,(Q262-MIN(MAX(R288,0),Q262))+MIN(MAX(0,S288-(Q262-MIN(MAX(R288,0),Q262))),MAX(0,3*Q262-(R288-MIN(MAX(R288,0),Q262)))))</f>
        <v>0</v>
      </c>
      <c r="R289" s="18">
        <f>IF($A289&gt;20,R288,(R288-Q262+Q289)*(1+$B$7))</f>
        <v>1.4209537766873836E-9</v>
      </c>
      <c r="S289" s="18">
        <f t="shared" si="23"/>
        <v>0</v>
      </c>
    </row>
    <row r="290" spans="1:19">
      <c r="A290" s="10">
        <f>26</f>
        <v>26</v>
      </c>
      <c r="B290" s="18">
        <f>IF($A290&gt;20,0,(B262-MIN(MAX(C289,0),B262))+MIN(MAX(0,D289-(B262-MIN(MAX(C289,0),B262))),MAX(0,3*B262-(C289-MIN(MAX(C289,0),B262)))))</f>
        <v>0</v>
      </c>
      <c r="C290" s="18">
        <f>IF($A290&gt;20,C289,(C289-B262+B290)*(1+$B$7))</f>
        <v>89676</v>
      </c>
      <c r="D290" s="18">
        <f t="shared" si="18"/>
        <v>804884.65050524112</v>
      </c>
      <c r="E290" s="18">
        <f>IF($A290&gt;20,0,(E262-MIN(MAX(F289,0),E262))+MIN(MAX(0,G289-(E262-MIN(MAX(F289,0),E262))),MAX(0,3*E262-(F289-MIN(MAX(F289,0),E262)))))</f>
        <v>0</v>
      </c>
      <c r="F290" s="18">
        <f>IF($A290&gt;20,F289,(F289-E262+E290)*(1+$B$7))</f>
        <v>0</v>
      </c>
      <c r="G290" s="18">
        <f t="shared" si="19"/>
        <v>-414412.66629293567</v>
      </c>
      <c r="H290" s="18">
        <f>IF($A290&gt;20,0,(H262-MIN(MAX(I289,0),H262))+MIN(MAX(0,J289-(H262-MIN(MAX(I289,0),H262))),MAX(0,3*H262-(I289-MIN(MAX(I289,0),H262)))))</f>
        <v>0</v>
      </c>
      <c r="I290" s="18">
        <f>IF($A290&gt;20,I289,(I289-H262+H290)*(1+$B$7))</f>
        <v>0</v>
      </c>
      <c r="J290" s="18">
        <f t="shared" si="20"/>
        <v>-24862.461494853633</v>
      </c>
      <c r="K290" s="18">
        <f>IF($A290&gt;20,0,(K262-MIN(MAX(L289,0),K262))+MIN(MAX(0,M289-(K262-MIN(MAX(L289,0),K262))),MAX(0,3*K262-(L289-MIN(MAX(L289,0),K262)))))</f>
        <v>0</v>
      </c>
      <c r="L290" s="18">
        <f>IF($A290&gt;20,L289,(L289-K262+K290)*(1+$B$7))</f>
        <v>24.31777726524555</v>
      </c>
      <c r="M290" s="18">
        <f t="shared" si="21"/>
        <v>0</v>
      </c>
      <c r="N290" s="18">
        <f>IF($A290&gt;20,0,(N262-MIN(MAX(O289,0),N262))+MIN(MAX(0,P289-(N262-MIN(MAX(O289,0),N262))),MAX(0,3*N262-(O289-MIN(MAX(O289,0),N262)))))</f>
        <v>0</v>
      </c>
      <c r="O290" s="18">
        <f>IF($A290&gt;20,O289,(O289-N262+N290)*(1+$B$7))</f>
        <v>4.2877668682904914E-2</v>
      </c>
      <c r="P290" s="18">
        <f t="shared" si="22"/>
        <v>0</v>
      </c>
      <c r="Q290" s="18">
        <f>IF($A290&gt;20,0,(Q262-MIN(MAX(R289,0),Q262))+MIN(MAX(0,S289-(Q262-MIN(MAX(R289,0),Q262))),MAX(0,3*Q262-(R289-MIN(MAX(R289,0),Q262)))))</f>
        <v>0</v>
      </c>
      <c r="R290" s="18">
        <f>IF($A290&gt;20,R289,(R289-Q262+Q290)*(1+$B$7))</f>
        <v>1.4209537766873836E-9</v>
      </c>
      <c r="S290" s="18">
        <f t="shared" si="23"/>
        <v>0</v>
      </c>
    </row>
    <row r="291" spans="1:19">
      <c r="A291" s="10">
        <f>27</f>
        <v>27</v>
      </c>
      <c r="B291" s="18">
        <f>IF($A291&gt;20,0,(B262-MIN(MAX(C290,0),B262))+MIN(MAX(0,D290-(B262-MIN(MAX(C290,0),B262))),MAX(0,3*B262-(C290-MIN(MAX(C290,0),B262)))))</f>
        <v>0</v>
      </c>
      <c r="C291" s="18">
        <f>IF($A291&gt;20,C290,(C290-B262+B291)*(1+$B$7))</f>
        <v>89676</v>
      </c>
      <c r="D291" s="18">
        <f t="shared" si="18"/>
        <v>804884.65050524112</v>
      </c>
      <c r="E291" s="18">
        <f>IF($A291&gt;20,0,(E262-MIN(MAX(F290,0),E262))+MIN(MAX(0,G290-(E262-MIN(MAX(F290,0),E262))),MAX(0,3*E262-(F290-MIN(MAX(F290,0),E262)))))</f>
        <v>0</v>
      </c>
      <c r="F291" s="18">
        <f>IF($A291&gt;20,F290,(F290-E262+E291)*(1+$B$7))</f>
        <v>0</v>
      </c>
      <c r="G291" s="18">
        <f t="shared" si="19"/>
        <v>-414412.66629293567</v>
      </c>
      <c r="H291" s="18">
        <f>IF($A291&gt;20,0,(H262-MIN(MAX(I290,0),H262))+MIN(MAX(0,J290-(H262-MIN(MAX(I290,0),H262))),MAX(0,3*H262-(I290-MIN(MAX(I290,0),H262)))))</f>
        <v>0</v>
      </c>
      <c r="I291" s="18">
        <f>IF($A291&gt;20,I290,(I290-H262+H291)*(1+$B$7))</f>
        <v>0</v>
      </c>
      <c r="J291" s="18">
        <f t="shared" si="20"/>
        <v>-24862.461494853633</v>
      </c>
      <c r="K291" s="18">
        <f>IF($A291&gt;20,0,(K262-MIN(MAX(L290,0),K262))+MIN(MAX(0,M290-(K262-MIN(MAX(L290,0),K262))),MAX(0,3*K262-(L290-MIN(MAX(L290,0),K262)))))</f>
        <v>0</v>
      </c>
      <c r="L291" s="18">
        <f>IF($A291&gt;20,L290,(L290-K262+K291)*(1+$B$7))</f>
        <v>24.31777726524555</v>
      </c>
      <c r="M291" s="18">
        <f t="shared" si="21"/>
        <v>0</v>
      </c>
      <c r="N291" s="18">
        <f>IF($A291&gt;20,0,(N262-MIN(MAX(O290,0),N262))+MIN(MAX(0,P290-(N262-MIN(MAX(O290,0),N262))),MAX(0,3*N262-(O290-MIN(MAX(O290,0),N262)))))</f>
        <v>0</v>
      </c>
      <c r="O291" s="18">
        <f>IF($A291&gt;20,O290,(O290-N262+N291)*(1+$B$7))</f>
        <v>4.2877668682904914E-2</v>
      </c>
      <c r="P291" s="18">
        <f t="shared" si="22"/>
        <v>0</v>
      </c>
      <c r="Q291" s="18">
        <f>IF($A291&gt;20,0,(Q262-MIN(MAX(R290,0),Q262))+MIN(MAX(0,S290-(Q262-MIN(MAX(R290,0),Q262))),MAX(0,3*Q262-(R290-MIN(MAX(R290,0),Q262)))))</f>
        <v>0</v>
      </c>
      <c r="R291" s="18">
        <f>IF($A291&gt;20,R290,(R290-Q262+Q291)*(1+$B$7))</f>
        <v>1.4209537766873836E-9</v>
      </c>
      <c r="S291" s="18">
        <f t="shared" si="23"/>
        <v>0</v>
      </c>
    </row>
    <row r="292" spans="1:19">
      <c r="A292" s="10">
        <f>28</f>
        <v>28</v>
      </c>
      <c r="B292" s="18">
        <f>IF($A292&gt;20,0,(B262-MIN(MAX(C291,0),B262))+MIN(MAX(0,D291-(B262-MIN(MAX(C291,0),B262))),MAX(0,3*B262-(C291-MIN(MAX(C291,0),B262)))))</f>
        <v>0</v>
      </c>
      <c r="C292" s="18">
        <f>IF($A292&gt;20,C291,(C291-B262+B292)*(1+$B$7))</f>
        <v>89676</v>
      </c>
      <c r="D292" s="18">
        <f t="shared" si="18"/>
        <v>804884.65050524112</v>
      </c>
      <c r="E292" s="18">
        <f>IF($A292&gt;20,0,(E262-MIN(MAX(F291,0),E262))+MIN(MAX(0,G291-(E262-MIN(MAX(F291,0),E262))),MAX(0,3*E262-(F291-MIN(MAX(F291,0),E262)))))</f>
        <v>0</v>
      </c>
      <c r="F292" s="18">
        <f>IF($A292&gt;20,F291,(F291-E262+E292)*(1+$B$7))</f>
        <v>0</v>
      </c>
      <c r="G292" s="18">
        <f t="shared" si="19"/>
        <v>-414412.66629293567</v>
      </c>
      <c r="H292" s="18">
        <f>IF($A292&gt;20,0,(H262-MIN(MAX(I291,0),H262))+MIN(MAX(0,J291-(H262-MIN(MAX(I291,0),H262))),MAX(0,3*H262-(I291-MIN(MAX(I291,0),H262)))))</f>
        <v>0</v>
      </c>
      <c r="I292" s="18">
        <f>IF($A292&gt;20,I291,(I291-H262+H292)*(1+$B$7))</f>
        <v>0</v>
      </c>
      <c r="J292" s="18">
        <f t="shared" si="20"/>
        <v>-24862.461494853633</v>
      </c>
      <c r="K292" s="18">
        <f>IF($A292&gt;20,0,(K262-MIN(MAX(L291,0),K262))+MIN(MAX(0,M291-(K262-MIN(MAX(L291,0),K262))),MAX(0,3*K262-(L291-MIN(MAX(L291,0),K262)))))</f>
        <v>0</v>
      </c>
      <c r="L292" s="18">
        <f>IF($A292&gt;20,L291,(L291-K262+K292)*(1+$B$7))</f>
        <v>24.31777726524555</v>
      </c>
      <c r="M292" s="18">
        <f t="shared" si="21"/>
        <v>0</v>
      </c>
      <c r="N292" s="18">
        <f>IF($A292&gt;20,0,(N262-MIN(MAX(O291,0),N262))+MIN(MAX(0,P291-(N262-MIN(MAX(O291,0),N262))),MAX(0,3*N262-(O291-MIN(MAX(O291,0),N262)))))</f>
        <v>0</v>
      </c>
      <c r="O292" s="18">
        <f>IF($A292&gt;20,O291,(O291-N262+N292)*(1+$B$7))</f>
        <v>4.2877668682904914E-2</v>
      </c>
      <c r="P292" s="18">
        <f t="shared" si="22"/>
        <v>0</v>
      </c>
      <c r="Q292" s="18">
        <f>IF($A292&gt;20,0,(Q262-MIN(MAX(R291,0),Q262))+MIN(MAX(0,S291-(Q262-MIN(MAX(R291,0),Q262))),MAX(0,3*Q262-(R291-MIN(MAX(R291,0),Q262)))))</f>
        <v>0</v>
      </c>
      <c r="R292" s="18">
        <f>IF($A292&gt;20,R291,(R291-Q262+Q292)*(1+$B$7))</f>
        <v>1.4209537766873836E-9</v>
      </c>
      <c r="S292" s="18">
        <f t="shared" si="23"/>
        <v>0</v>
      </c>
    </row>
    <row r="293" spans="1:19">
      <c r="A293" s="10">
        <f>29</f>
        <v>29</v>
      </c>
      <c r="B293" s="18">
        <f>IF($A293&gt;20,0,(B262-MIN(MAX(C292,0),B262))+MIN(MAX(0,D292-(B262-MIN(MAX(C292,0),B262))),MAX(0,3*B262-(C292-MIN(MAX(C292,0),B262)))))</f>
        <v>0</v>
      </c>
      <c r="C293" s="18">
        <f>IF($A293&gt;20,C292,(C292-B262+B293)*(1+$B$7))</f>
        <v>89676</v>
      </c>
      <c r="D293" s="18">
        <f t="shared" si="18"/>
        <v>804884.65050524112</v>
      </c>
      <c r="E293" s="18">
        <f>IF($A293&gt;20,0,(E262-MIN(MAX(F292,0),E262))+MIN(MAX(0,G292-(E262-MIN(MAX(F292,0),E262))),MAX(0,3*E262-(F292-MIN(MAX(F292,0),E262)))))</f>
        <v>0</v>
      </c>
      <c r="F293" s="18">
        <f>IF($A293&gt;20,F292,(F292-E262+E293)*(1+$B$7))</f>
        <v>0</v>
      </c>
      <c r="G293" s="18">
        <f t="shared" si="19"/>
        <v>-414412.66629293567</v>
      </c>
      <c r="H293" s="18">
        <f>IF($A293&gt;20,0,(H262-MIN(MAX(I292,0),H262))+MIN(MAX(0,J292-(H262-MIN(MAX(I292,0),H262))),MAX(0,3*H262-(I292-MIN(MAX(I292,0),H262)))))</f>
        <v>0</v>
      </c>
      <c r="I293" s="18">
        <f>IF($A293&gt;20,I292,(I292-H262+H293)*(1+$B$7))</f>
        <v>0</v>
      </c>
      <c r="J293" s="18">
        <f t="shared" si="20"/>
        <v>-24862.461494853633</v>
      </c>
      <c r="K293" s="18">
        <f>IF($A293&gt;20,0,(K262-MIN(MAX(L292,0),K262))+MIN(MAX(0,M292-(K262-MIN(MAX(L292,0),K262))),MAX(0,3*K262-(L292-MIN(MAX(L292,0),K262)))))</f>
        <v>0</v>
      </c>
      <c r="L293" s="18">
        <f>IF($A293&gt;20,L292,(L292-K262+K293)*(1+$B$7))</f>
        <v>24.31777726524555</v>
      </c>
      <c r="M293" s="18">
        <f t="shared" si="21"/>
        <v>0</v>
      </c>
      <c r="N293" s="18">
        <f>IF($A293&gt;20,0,(N262-MIN(MAX(O292,0),N262))+MIN(MAX(0,P292-(N262-MIN(MAX(O292,0),N262))),MAX(0,3*N262-(O292-MIN(MAX(O292,0),N262)))))</f>
        <v>0</v>
      </c>
      <c r="O293" s="18">
        <f>IF($A293&gt;20,O292,(O292-N262+N293)*(1+$B$7))</f>
        <v>4.2877668682904914E-2</v>
      </c>
      <c r="P293" s="18">
        <f t="shared" si="22"/>
        <v>0</v>
      </c>
      <c r="Q293" s="18">
        <f>IF($A293&gt;20,0,(Q262-MIN(MAX(R292,0),Q262))+MIN(MAX(0,S292-(Q262-MIN(MAX(R292,0),Q262))),MAX(0,3*Q262-(R292-MIN(MAX(R292,0),Q262)))))</f>
        <v>0</v>
      </c>
      <c r="R293" s="18">
        <f>IF($A293&gt;20,R292,(R292-Q262+Q293)*(1+$B$7))</f>
        <v>1.4209537766873836E-9</v>
      </c>
      <c r="S293" s="18">
        <f t="shared" si="23"/>
        <v>0</v>
      </c>
    </row>
    <row r="294" spans="1:19">
      <c r="A294" s="10">
        <f>30</f>
        <v>30</v>
      </c>
      <c r="B294" s="18">
        <f>IF($A294&gt;20,0,(B262-MIN(MAX(C293,0),B262))+MIN(MAX(0,D293-(B262-MIN(MAX(C293,0),B262))),MAX(0,3*B262-(C293-MIN(MAX(C293,0),B262)))))</f>
        <v>0</v>
      </c>
      <c r="C294" s="18">
        <f>IF($A294&gt;20,C293,(C293-B262+B294)*(1+$B$7))</f>
        <v>89676</v>
      </c>
      <c r="D294" s="18">
        <f t="shared" si="18"/>
        <v>804884.65050524112</v>
      </c>
      <c r="E294" s="18">
        <f>IF($A294&gt;20,0,(E262-MIN(MAX(F293,0),E262))+MIN(MAX(0,G293-(E262-MIN(MAX(F293,0),E262))),MAX(0,3*E262-(F293-MIN(MAX(F293,0),E262)))))</f>
        <v>0</v>
      </c>
      <c r="F294" s="18">
        <f>IF($A294&gt;20,F293,(F293-E262+E294)*(1+$B$7))</f>
        <v>0</v>
      </c>
      <c r="G294" s="18">
        <f t="shared" si="19"/>
        <v>-414412.66629293567</v>
      </c>
      <c r="H294" s="18">
        <f>IF($A294&gt;20,0,(H262-MIN(MAX(I293,0),H262))+MIN(MAX(0,J293-(H262-MIN(MAX(I293,0),H262))),MAX(0,3*H262-(I293-MIN(MAX(I293,0),H262)))))</f>
        <v>0</v>
      </c>
      <c r="I294" s="18">
        <f>IF($A294&gt;20,I293,(I293-H262+H294)*(1+$B$7))</f>
        <v>0</v>
      </c>
      <c r="J294" s="18">
        <f t="shared" si="20"/>
        <v>-24862.461494853633</v>
      </c>
      <c r="K294" s="18">
        <f>IF($A294&gt;20,0,(K262-MIN(MAX(L293,0),K262))+MIN(MAX(0,M293-(K262-MIN(MAX(L293,0),K262))),MAX(0,3*K262-(L293-MIN(MAX(L293,0),K262)))))</f>
        <v>0</v>
      </c>
      <c r="L294" s="18">
        <f>IF($A294&gt;20,L293,(L293-K262+K294)*(1+$B$7))</f>
        <v>24.31777726524555</v>
      </c>
      <c r="M294" s="18">
        <f t="shared" si="21"/>
        <v>0</v>
      </c>
      <c r="N294" s="18">
        <f>IF($A294&gt;20,0,(N262-MIN(MAX(O293,0),N262))+MIN(MAX(0,P293-(N262-MIN(MAX(O293,0),N262))),MAX(0,3*N262-(O293-MIN(MAX(O293,0),N262)))))</f>
        <v>0</v>
      </c>
      <c r="O294" s="18">
        <f>IF($A294&gt;20,O293,(O293-N262+N294)*(1+$B$7))</f>
        <v>4.2877668682904914E-2</v>
      </c>
      <c r="P294" s="18">
        <f t="shared" si="22"/>
        <v>0</v>
      </c>
      <c r="Q294" s="18">
        <f>IF($A294&gt;20,0,(Q262-MIN(MAX(R293,0),Q262))+MIN(MAX(0,S293-(Q262-MIN(MAX(R293,0),Q262))),MAX(0,3*Q262-(R293-MIN(MAX(R293,0),Q262)))))</f>
        <v>0</v>
      </c>
      <c r="R294" s="18">
        <f>IF($A294&gt;20,R293,(R293-Q262+Q294)*(1+$B$7))</f>
        <v>1.4209537766873836E-9</v>
      </c>
      <c r="S294" s="18">
        <f t="shared" si="23"/>
        <v>0</v>
      </c>
    </row>
    <row r="295" spans="1:19">
      <c r="A295" s="10">
        <f>31</f>
        <v>31</v>
      </c>
      <c r="B295" s="18">
        <f>IF($A295&gt;20,0,(B262-MIN(MAX(C294,0),B262))+MIN(MAX(0,D294-(B262-MIN(MAX(C294,0),B262))),MAX(0,3*B262-(C294-MIN(MAX(C294,0),B262)))))</f>
        <v>0</v>
      </c>
      <c r="C295" s="18">
        <f>IF($A295&gt;20,C294,(C294-B262+B295)*(1+$B$7))</f>
        <v>89676</v>
      </c>
      <c r="D295" s="18">
        <f t="shared" si="18"/>
        <v>804884.65050524112</v>
      </c>
      <c r="E295" s="18">
        <f>IF($A295&gt;20,0,(E262-MIN(MAX(F294,0),E262))+MIN(MAX(0,G294-(E262-MIN(MAX(F294,0),E262))),MAX(0,3*E262-(F294-MIN(MAX(F294,0),E262)))))</f>
        <v>0</v>
      </c>
      <c r="F295" s="18">
        <f>IF($A295&gt;20,F294,(F294-E262+E295)*(1+$B$7))</f>
        <v>0</v>
      </c>
      <c r="G295" s="18">
        <f t="shared" si="19"/>
        <v>-414412.66629293567</v>
      </c>
      <c r="H295" s="18">
        <f>IF($A295&gt;20,0,(H262-MIN(MAX(I294,0),H262))+MIN(MAX(0,J294-(H262-MIN(MAX(I294,0),H262))),MAX(0,3*H262-(I294-MIN(MAX(I294,0),H262)))))</f>
        <v>0</v>
      </c>
      <c r="I295" s="18">
        <f>IF($A295&gt;20,I294,(I294-H262+H295)*(1+$B$7))</f>
        <v>0</v>
      </c>
      <c r="J295" s="18">
        <f t="shared" si="20"/>
        <v>-24862.461494853633</v>
      </c>
      <c r="K295" s="18">
        <f>IF($A295&gt;20,0,(K262-MIN(MAX(L294,0),K262))+MIN(MAX(0,M294-(K262-MIN(MAX(L294,0),K262))),MAX(0,3*K262-(L294-MIN(MAX(L294,0),K262)))))</f>
        <v>0</v>
      </c>
      <c r="L295" s="18">
        <f>IF($A295&gt;20,L294,(L294-K262+K295)*(1+$B$7))</f>
        <v>24.31777726524555</v>
      </c>
      <c r="M295" s="18">
        <f t="shared" si="21"/>
        <v>0</v>
      </c>
      <c r="N295" s="18">
        <f>IF($A295&gt;20,0,(N262-MIN(MAX(O294,0),N262))+MIN(MAX(0,P294-(N262-MIN(MAX(O294,0),N262))),MAX(0,3*N262-(O294-MIN(MAX(O294,0),N262)))))</f>
        <v>0</v>
      </c>
      <c r="O295" s="18">
        <f>IF($A295&gt;20,O294,(O294-N262+N295)*(1+$B$7))</f>
        <v>4.2877668682904914E-2</v>
      </c>
      <c r="P295" s="18">
        <f t="shared" si="22"/>
        <v>0</v>
      </c>
      <c r="Q295" s="18">
        <f>IF($A295&gt;20,0,(Q262-MIN(MAX(R294,0),Q262))+MIN(MAX(0,S294-(Q262-MIN(MAX(R294,0),Q262))),MAX(0,3*Q262-(R294-MIN(MAX(R294,0),Q262)))))</f>
        <v>0</v>
      </c>
      <c r="R295" s="18">
        <f>IF($A295&gt;20,R294,(R294-Q262+Q295)*(1+$B$7))</f>
        <v>1.4209537766873836E-9</v>
      </c>
      <c r="S295" s="18">
        <f t="shared" si="23"/>
        <v>0</v>
      </c>
    </row>
    <row r="296" spans="1:19">
      <c r="A296" s="10">
        <f>32</f>
        <v>32</v>
      </c>
      <c r="B296" s="18">
        <f>IF($A296&gt;20,0,(B262-MIN(MAX(C295,0),B262))+MIN(MAX(0,D295-(B262-MIN(MAX(C295,0),B262))),MAX(0,3*B262-(C295-MIN(MAX(C295,0),B262)))))</f>
        <v>0</v>
      </c>
      <c r="C296" s="18">
        <f>IF($A296&gt;20,C295,(C295-B262+B296)*(1+$B$7))</f>
        <v>89676</v>
      </c>
      <c r="D296" s="18">
        <f t="shared" si="18"/>
        <v>804884.65050524112</v>
      </c>
      <c r="E296" s="18">
        <f>IF($A296&gt;20,0,(E262-MIN(MAX(F295,0),E262))+MIN(MAX(0,G295-(E262-MIN(MAX(F295,0),E262))),MAX(0,3*E262-(F295-MIN(MAX(F295,0),E262)))))</f>
        <v>0</v>
      </c>
      <c r="F296" s="18">
        <f>IF($A296&gt;20,F295,(F295-E262+E296)*(1+$B$7))</f>
        <v>0</v>
      </c>
      <c r="G296" s="18">
        <f t="shared" si="19"/>
        <v>-414412.66629293567</v>
      </c>
      <c r="H296" s="18">
        <f>IF($A296&gt;20,0,(H262-MIN(MAX(I295,0),H262))+MIN(MAX(0,J295-(H262-MIN(MAX(I295,0),H262))),MAX(0,3*H262-(I295-MIN(MAX(I295,0),H262)))))</f>
        <v>0</v>
      </c>
      <c r="I296" s="18">
        <f>IF($A296&gt;20,I295,(I295-H262+H296)*(1+$B$7))</f>
        <v>0</v>
      </c>
      <c r="J296" s="18">
        <f t="shared" si="20"/>
        <v>-24862.461494853633</v>
      </c>
      <c r="K296" s="18">
        <f>IF($A296&gt;20,0,(K262-MIN(MAX(L295,0),K262))+MIN(MAX(0,M295-(K262-MIN(MAX(L295,0),K262))),MAX(0,3*K262-(L295-MIN(MAX(L295,0),K262)))))</f>
        <v>0</v>
      </c>
      <c r="L296" s="18">
        <f>IF($A296&gt;20,L295,(L295-K262+K296)*(1+$B$7))</f>
        <v>24.31777726524555</v>
      </c>
      <c r="M296" s="18">
        <f t="shared" si="21"/>
        <v>0</v>
      </c>
      <c r="N296" s="18">
        <f>IF($A296&gt;20,0,(N262-MIN(MAX(O295,0),N262))+MIN(MAX(0,P295-(N262-MIN(MAX(O295,0),N262))),MAX(0,3*N262-(O295-MIN(MAX(O295,0),N262)))))</f>
        <v>0</v>
      </c>
      <c r="O296" s="18">
        <f>IF($A296&gt;20,O295,(O295-N262+N296)*(1+$B$7))</f>
        <v>4.2877668682904914E-2</v>
      </c>
      <c r="P296" s="18">
        <f t="shared" si="22"/>
        <v>0</v>
      </c>
      <c r="Q296" s="18">
        <f>IF($A296&gt;20,0,(Q262-MIN(MAX(R295,0),Q262))+MIN(MAX(0,S295-(Q262-MIN(MAX(R295,0),Q262))),MAX(0,3*Q262-(R295-MIN(MAX(R295,0),Q262)))))</f>
        <v>0</v>
      </c>
      <c r="R296" s="18">
        <f>IF($A296&gt;20,R295,(R295-Q262+Q296)*(1+$B$7))</f>
        <v>1.4209537766873836E-9</v>
      </c>
      <c r="S296" s="18">
        <f t="shared" si="23"/>
        <v>0</v>
      </c>
    </row>
    <row r="297" spans="1:19">
      <c r="A297" s="10">
        <f>33</f>
        <v>33</v>
      </c>
      <c r="B297" s="18">
        <f>IF($A297&gt;20,0,(B262-MIN(MAX(C296,0),B262))+MIN(MAX(0,D296-(B262-MIN(MAX(C296,0),B262))),MAX(0,3*B262-(C296-MIN(MAX(C296,0),B262)))))</f>
        <v>0</v>
      </c>
      <c r="C297" s="18">
        <f>IF($A297&gt;20,C296,(C296-B262+B297)*(1+$B$7))</f>
        <v>89676</v>
      </c>
      <c r="D297" s="18">
        <f t="shared" si="18"/>
        <v>804884.65050524112</v>
      </c>
      <c r="E297" s="18">
        <f>IF($A297&gt;20,0,(E262-MIN(MAX(F296,0),E262))+MIN(MAX(0,G296-(E262-MIN(MAX(F296,0),E262))),MAX(0,3*E262-(F296-MIN(MAX(F296,0),E262)))))</f>
        <v>0</v>
      </c>
      <c r="F297" s="18">
        <f>IF($A297&gt;20,F296,(F296-E262+E297)*(1+$B$7))</f>
        <v>0</v>
      </c>
      <c r="G297" s="18">
        <f t="shared" si="19"/>
        <v>-414412.66629293567</v>
      </c>
      <c r="H297" s="18">
        <f>IF($A297&gt;20,0,(H262-MIN(MAX(I296,0),H262))+MIN(MAX(0,J296-(H262-MIN(MAX(I296,0),H262))),MAX(0,3*H262-(I296-MIN(MAX(I296,0),H262)))))</f>
        <v>0</v>
      </c>
      <c r="I297" s="18">
        <f>IF($A297&gt;20,I296,(I296-H262+H297)*(1+$B$7))</f>
        <v>0</v>
      </c>
      <c r="J297" s="18">
        <f t="shared" si="20"/>
        <v>-24862.461494853633</v>
      </c>
      <c r="K297" s="18">
        <f>IF($A297&gt;20,0,(K262-MIN(MAX(L296,0),K262))+MIN(MAX(0,M296-(K262-MIN(MAX(L296,0),K262))),MAX(0,3*K262-(L296-MIN(MAX(L296,0),K262)))))</f>
        <v>0</v>
      </c>
      <c r="L297" s="18">
        <f>IF($A297&gt;20,L296,(L296-K262+K297)*(1+$B$7))</f>
        <v>24.31777726524555</v>
      </c>
      <c r="M297" s="18">
        <f t="shared" si="21"/>
        <v>0</v>
      </c>
      <c r="N297" s="18">
        <f>IF($A297&gt;20,0,(N262-MIN(MAX(O296,0),N262))+MIN(MAX(0,P296-(N262-MIN(MAX(O296,0),N262))),MAX(0,3*N262-(O296-MIN(MAX(O296,0),N262)))))</f>
        <v>0</v>
      </c>
      <c r="O297" s="18">
        <f>IF($A297&gt;20,O296,(O296-N262+N297)*(1+$B$7))</f>
        <v>4.2877668682904914E-2</v>
      </c>
      <c r="P297" s="18">
        <f t="shared" si="22"/>
        <v>0</v>
      </c>
      <c r="Q297" s="18">
        <f>IF($A297&gt;20,0,(Q262-MIN(MAX(R296,0),Q262))+MIN(MAX(0,S296-(Q262-MIN(MAX(R296,0),Q262))),MAX(0,3*Q262-(R296-MIN(MAX(R296,0),Q262)))))</f>
        <v>0</v>
      </c>
      <c r="R297" s="18">
        <f>IF($A297&gt;20,R296,(R296-Q262+Q297)*(1+$B$7))</f>
        <v>1.4209537766873836E-9</v>
      </c>
      <c r="S297" s="18">
        <f t="shared" si="23"/>
        <v>0</v>
      </c>
    </row>
    <row r="298" spans="1:19">
      <c r="A298" s="10">
        <f>34</f>
        <v>34</v>
      </c>
      <c r="B298" s="18">
        <f>IF($A298&gt;20,0,(B262-MIN(MAX(C297,0),B262))+MIN(MAX(0,D297-(B262-MIN(MAX(C297,0),B262))),MAX(0,3*B262-(C297-MIN(MAX(C297,0),B262)))))</f>
        <v>0</v>
      </c>
      <c r="C298" s="18">
        <f>IF($A298&gt;20,C297,(C297-B262+B298)*(1+$B$7))</f>
        <v>89676</v>
      </c>
      <c r="D298" s="18">
        <f t="shared" si="18"/>
        <v>804884.65050524112</v>
      </c>
      <c r="E298" s="18">
        <f>IF($A298&gt;20,0,(E262-MIN(MAX(F297,0),E262))+MIN(MAX(0,G297-(E262-MIN(MAX(F297,0),E262))),MAX(0,3*E262-(F297-MIN(MAX(F297,0),E262)))))</f>
        <v>0</v>
      </c>
      <c r="F298" s="18">
        <f>IF($A298&gt;20,F297,(F297-E262+E298)*(1+$B$7))</f>
        <v>0</v>
      </c>
      <c r="G298" s="18">
        <f t="shared" si="19"/>
        <v>-414412.66629293567</v>
      </c>
      <c r="H298" s="18">
        <f>IF($A298&gt;20,0,(H262-MIN(MAX(I297,0),H262))+MIN(MAX(0,J297-(H262-MIN(MAX(I297,0),H262))),MAX(0,3*H262-(I297-MIN(MAX(I297,0),H262)))))</f>
        <v>0</v>
      </c>
      <c r="I298" s="18">
        <f>IF($A298&gt;20,I297,(I297-H262+H298)*(1+$B$7))</f>
        <v>0</v>
      </c>
      <c r="J298" s="18">
        <f t="shared" si="20"/>
        <v>-24862.461494853633</v>
      </c>
      <c r="K298" s="18">
        <f>IF($A298&gt;20,0,(K262-MIN(MAX(L297,0),K262))+MIN(MAX(0,M297-(K262-MIN(MAX(L297,0),K262))),MAX(0,3*K262-(L297-MIN(MAX(L297,0),K262)))))</f>
        <v>0</v>
      </c>
      <c r="L298" s="18">
        <f>IF($A298&gt;20,L297,(L297-K262+K298)*(1+$B$7))</f>
        <v>24.31777726524555</v>
      </c>
      <c r="M298" s="18">
        <f t="shared" si="21"/>
        <v>0</v>
      </c>
      <c r="N298" s="18">
        <f>IF($A298&gt;20,0,(N262-MIN(MAX(O297,0),N262))+MIN(MAX(0,P297-(N262-MIN(MAX(O297,0),N262))),MAX(0,3*N262-(O297-MIN(MAX(O297,0),N262)))))</f>
        <v>0</v>
      </c>
      <c r="O298" s="18">
        <f>IF($A298&gt;20,O297,(O297-N262+N298)*(1+$B$7))</f>
        <v>4.2877668682904914E-2</v>
      </c>
      <c r="P298" s="18">
        <f t="shared" si="22"/>
        <v>0</v>
      </c>
      <c r="Q298" s="18">
        <f>IF($A298&gt;20,0,(Q262-MIN(MAX(R297,0),Q262))+MIN(MAX(0,S297-(Q262-MIN(MAX(R297,0),Q262))),MAX(0,3*Q262-(R297-MIN(MAX(R297,0),Q262)))))</f>
        <v>0</v>
      </c>
      <c r="R298" s="18">
        <f>IF($A298&gt;20,R297,(R297-Q262+Q298)*(1+$B$7))</f>
        <v>1.4209537766873836E-9</v>
      </c>
      <c r="S298" s="18">
        <f t="shared" si="23"/>
        <v>0</v>
      </c>
    </row>
    <row r="299" spans="1:19">
      <c r="A299" s="10">
        <f>35</f>
        <v>35</v>
      </c>
      <c r="B299" s="18">
        <f>IF($A299&gt;20,0,(B262-MIN(MAX(C298,0),B262))+MIN(MAX(0,D298-(B262-MIN(MAX(C298,0),B262))),MAX(0,3*B262-(C298-MIN(MAX(C298,0),B262)))))</f>
        <v>0</v>
      </c>
      <c r="C299" s="18">
        <f>IF($A299&gt;20,C298,(C298-B262+B299)*(1+$B$7))</f>
        <v>89676</v>
      </c>
      <c r="D299" s="18">
        <f t="shared" si="18"/>
        <v>804884.65050524112</v>
      </c>
      <c r="E299" s="18">
        <f>IF($A299&gt;20,0,(E262-MIN(MAX(F298,0),E262))+MIN(MAX(0,G298-(E262-MIN(MAX(F298,0),E262))),MAX(0,3*E262-(F298-MIN(MAX(F298,0),E262)))))</f>
        <v>0</v>
      </c>
      <c r="F299" s="18">
        <f>IF($A299&gt;20,F298,(F298-E262+E299)*(1+$B$7))</f>
        <v>0</v>
      </c>
      <c r="G299" s="18">
        <f t="shared" si="19"/>
        <v>-414412.66629293567</v>
      </c>
      <c r="H299" s="18">
        <f>IF($A299&gt;20,0,(H262-MIN(MAX(I298,0),H262))+MIN(MAX(0,J298-(H262-MIN(MAX(I298,0),H262))),MAX(0,3*H262-(I298-MIN(MAX(I298,0),H262)))))</f>
        <v>0</v>
      </c>
      <c r="I299" s="18">
        <f>IF($A299&gt;20,I298,(I298-H262+H299)*(1+$B$7))</f>
        <v>0</v>
      </c>
      <c r="J299" s="18">
        <f t="shared" si="20"/>
        <v>-24862.461494853633</v>
      </c>
      <c r="K299" s="18">
        <f>IF($A299&gt;20,0,(K262-MIN(MAX(L298,0),K262))+MIN(MAX(0,M298-(K262-MIN(MAX(L298,0),K262))),MAX(0,3*K262-(L298-MIN(MAX(L298,0),K262)))))</f>
        <v>0</v>
      </c>
      <c r="L299" s="18">
        <f>IF($A299&gt;20,L298,(L298-K262+K299)*(1+$B$7))</f>
        <v>24.31777726524555</v>
      </c>
      <c r="M299" s="18">
        <f t="shared" si="21"/>
        <v>0</v>
      </c>
      <c r="N299" s="18">
        <f>IF($A299&gt;20,0,(N262-MIN(MAX(O298,0),N262))+MIN(MAX(0,P298-(N262-MIN(MAX(O298,0),N262))),MAX(0,3*N262-(O298-MIN(MAX(O298,0),N262)))))</f>
        <v>0</v>
      </c>
      <c r="O299" s="18">
        <f>IF($A299&gt;20,O298,(O298-N262+N299)*(1+$B$7))</f>
        <v>4.2877668682904914E-2</v>
      </c>
      <c r="P299" s="18">
        <f t="shared" si="22"/>
        <v>0</v>
      </c>
      <c r="Q299" s="18">
        <f>IF($A299&gt;20,0,(Q262-MIN(MAX(R298,0),Q262))+MIN(MAX(0,S298-(Q262-MIN(MAX(R298,0),Q262))),MAX(0,3*Q262-(R298-MIN(MAX(R298,0),Q262)))))</f>
        <v>0</v>
      </c>
      <c r="R299" s="18">
        <f>IF($A299&gt;20,R298,(R298-Q262+Q299)*(1+$B$7))</f>
        <v>1.4209537766873836E-9</v>
      </c>
      <c r="S299" s="18">
        <f t="shared" si="23"/>
        <v>0</v>
      </c>
    </row>
    <row r="300" spans="1:19">
      <c r="A300" s="10">
        <f>36</f>
        <v>36</v>
      </c>
      <c r="B300" s="18">
        <f>IF($A300&gt;20,0,(B262-MIN(MAX(C299,0),B262))+MIN(MAX(0,D299-(B262-MIN(MAX(C299,0),B262))),MAX(0,3*B262-(C299-MIN(MAX(C299,0),B262)))))</f>
        <v>0</v>
      </c>
      <c r="C300" s="18">
        <f>IF($A300&gt;20,C299,(C299-B262+B300)*(1+$B$7))</f>
        <v>89676</v>
      </c>
      <c r="D300" s="18">
        <f t="shared" si="18"/>
        <v>804884.65050524112</v>
      </c>
      <c r="E300" s="18">
        <f>IF($A300&gt;20,0,(E262-MIN(MAX(F299,0),E262))+MIN(MAX(0,G299-(E262-MIN(MAX(F299,0),E262))),MAX(0,3*E262-(F299-MIN(MAX(F299,0),E262)))))</f>
        <v>0</v>
      </c>
      <c r="F300" s="18">
        <f>IF($A300&gt;20,F299,(F299-E262+E300)*(1+$B$7))</f>
        <v>0</v>
      </c>
      <c r="G300" s="18">
        <f t="shared" si="19"/>
        <v>-414412.66629293567</v>
      </c>
      <c r="H300" s="18">
        <f>IF($A300&gt;20,0,(H262-MIN(MAX(I299,0),H262))+MIN(MAX(0,J299-(H262-MIN(MAX(I299,0),H262))),MAX(0,3*H262-(I299-MIN(MAX(I299,0),H262)))))</f>
        <v>0</v>
      </c>
      <c r="I300" s="18">
        <f>IF($A300&gt;20,I299,(I299-H262+H300)*(1+$B$7))</f>
        <v>0</v>
      </c>
      <c r="J300" s="18">
        <f t="shared" si="20"/>
        <v>-24862.461494853633</v>
      </c>
      <c r="K300" s="18">
        <f>IF($A300&gt;20,0,(K262-MIN(MAX(L299,0),K262))+MIN(MAX(0,M299-(K262-MIN(MAX(L299,0),K262))),MAX(0,3*K262-(L299-MIN(MAX(L299,0),K262)))))</f>
        <v>0</v>
      </c>
      <c r="L300" s="18">
        <f>IF($A300&gt;20,L299,(L299-K262+K300)*(1+$B$7))</f>
        <v>24.31777726524555</v>
      </c>
      <c r="M300" s="18">
        <f t="shared" si="21"/>
        <v>0</v>
      </c>
      <c r="N300" s="18">
        <f>IF($A300&gt;20,0,(N262-MIN(MAX(O299,0),N262))+MIN(MAX(0,P299-(N262-MIN(MAX(O299,0),N262))),MAX(0,3*N262-(O299-MIN(MAX(O299,0),N262)))))</f>
        <v>0</v>
      </c>
      <c r="O300" s="18">
        <f>IF($A300&gt;20,O299,(O299-N262+N300)*(1+$B$7))</f>
        <v>4.2877668682904914E-2</v>
      </c>
      <c r="P300" s="18">
        <f t="shared" si="22"/>
        <v>0</v>
      </c>
      <c r="Q300" s="18">
        <f>IF($A300&gt;20,0,(Q262-MIN(MAX(R299,0),Q262))+MIN(MAX(0,S299-(Q262-MIN(MAX(R299,0),Q262))),MAX(0,3*Q262-(R299-MIN(MAX(R299,0),Q262)))))</f>
        <v>0</v>
      </c>
      <c r="R300" s="18">
        <f>IF($A300&gt;20,R299,(R299-Q262+Q300)*(1+$B$7))</f>
        <v>1.4209537766873836E-9</v>
      </c>
      <c r="S300" s="18">
        <f t="shared" si="23"/>
        <v>0</v>
      </c>
    </row>
    <row r="301" spans="1:19">
      <c r="A301" s="10">
        <f>37</f>
        <v>37</v>
      </c>
      <c r="B301" s="18">
        <f>IF($A301&gt;20,0,(B262-MIN(MAX(C300,0),B262))+MIN(MAX(0,D300-(B262-MIN(MAX(C300,0),B262))),MAX(0,3*B262-(C300-MIN(MAX(C300,0),B262)))))</f>
        <v>0</v>
      </c>
      <c r="C301" s="18">
        <f>IF($A301&gt;20,C300,(C300-B262+B301)*(1+$B$7))</f>
        <v>89676</v>
      </c>
      <c r="D301" s="18">
        <f t="shared" si="18"/>
        <v>804884.65050524112</v>
      </c>
      <c r="E301" s="18">
        <f>IF($A301&gt;20,0,(E262-MIN(MAX(F300,0),E262))+MIN(MAX(0,G300-(E262-MIN(MAX(F300,0),E262))),MAX(0,3*E262-(F300-MIN(MAX(F300,0),E262)))))</f>
        <v>0</v>
      </c>
      <c r="F301" s="18">
        <f>IF($A301&gt;20,F300,(F300-E262+E301)*(1+$B$7))</f>
        <v>0</v>
      </c>
      <c r="G301" s="18">
        <f t="shared" si="19"/>
        <v>-414412.66629293567</v>
      </c>
      <c r="H301" s="18">
        <f>IF($A301&gt;20,0,(H262-MIN(MAX(I300,0),H262))+MIN(MAX(0,J300-(H262-MIN(MAX(I300,0),H262))),MAX(0,3*H262-(I300-MIN(MAX(I300,0),H262)))))</f>
        <v>0</v>
      </c>
      <c r="I301" s="18">
        <f>IF($A301&gt;20,I300,(I300-H262+H301)*(1+$B$7))</f>
        <v>0</v>
      </c>
      <c r="J301" s="18">
        <f t="shared" si="20"/>
        <v>-24862.461494853633</v>
      </c>
      <c r="K301" s="18">
        <f>IF($A301&gt;20,0,(K262-MIN(MAX(L300,0),K262))+MIN(MAX(0,M300-(K262-MIN(MAX(L300,0),K262))),MAX(0,3*K262-(L300-MIN(MAX(L300,0),K262)))))</f>
        <v>0</v>
      </c>
      <c r="L301" s="18">
        <f>IF($A301&gt;20,L300,(L300-K262+K301)*(1+$B$7))</f>
        <v>24.31777726524555</v>
      </c>
      <c r="M301" s="18">
        <f t="shared" si="21"/>
        <v>0</v>
      </c>
      <c r="N301" s="18">
        <f>IF($A301&gt;20,0,(N262-MIN(MAX(O300,0),N262))+MIN(MAX(0,P300-(N262-MIN(MAX(O300,0),N262))),MAX(0,3*N262-(O300-MIN(MAX(O300,0),N262)))))</f>
        <v>0</v>
      </c>
      <c r="O301" s="18">
        <f>IF($A301&gt;20,O300,(O300-N262+N301)*(1+$B$7))</f>
        <v>4.2877668682904914E-2</v>
      </c>
      <c r="P301" s="18">
        <f t="shared" si="22"/>
        <v>0</v>
      </c>
      <c r="Q301" s="18">
        <f>IF($A301&gt;20,0,(Q262-MIN(MAX(R300,0),Q262))+MIN(MAX(0,S300-(Q262-MIN(MAX(R300,0),Q262))),MAX(0,3*Q262-(R300-MIN(MAX(R300,0),Q262)))))</f>
        <v>0</v>
      </c>
      <c r="R301" s="18">
        <f>IF($A301&gt;20,R300,(R300-Q262+Q301)*(1+$B$7))</f>
        <v>1.4209537766873836E-9</v>
      </c>
      <c r="S301" s="18">
        <f t="shared" si="23"/>
        <v>0</v>
      </c>
    </row>
    <row r="302" spans="1:19">
      <c r="A302" s="10">
        <f>38</f>
        <v>38</v>
      </c>
      <c r="B302" s="18">
        <f>IF($A302&gt;20,0,(B262-MIN(MAX(C301,0),B262))+MIN(MAX(0,D301-(B262-MIN(MAX(C301,0),B262))),MAX(0,3*B262-(C301-MIN(MAX(C301,0),B262)))))</f>
        <v>0</v>
      </c>
      <c r="C302" s="18">
        <f>IF($A302&gt;20,C301,(C301-B262+B302)*(1+$B$7))</f>
        <v>89676</v>
      </c>
      <c r="D302" s="18">
        <f t="shared" si="18"/>
        <v>804884.65050524112</v>
      </c>
      <c r="E302" s="18">
        <f>IF($A302&gt;20,0,(E262-MIN(MAX(F301,0),E262))+MIN(MAX(0,G301-(E262-MIN(MAX(F301,0),E262))),MAX(0,3*E262-(F301-MIN(MAX(F301,0),E262)))))</f>
        <v>0</v>
      </c>
      <c r="F302" s="18">
        <f>IF($A302&gt;20,F301,(F301-E262+E302)*(1+$B$7))</f>
        <v>0</v>
      </c>
      <c r="G302" s="18">
        <f t="shared" si="19"/>
        <v>-414412.66629293567</v>
      </c>
      <c r="H302" s="18">
        <f>IF($A302&gt;20,0,(H262-MIN(MAX(I301,0),H262))+MIN(MAX(0,J301-(H262-MIN(MAX(I301,0),H262))),MAX(0,3*H262-(I301-MIN(MAX(I301,0),H262)))))</f>
        <v>0</v>
      </c>
      <c r="I302" s="18">
        <f>IF($A302&gt;20,I301,(I301-H262+H302)*(1+$B$7))</f>
        <v>0</v>
      </c>
      <c r="J302" s="18">
        <f t="shared" si="20"/>
        <v>-24862.461494853633</v>
      </c>
      <c r="K302" s="18">
        <f>IF($A302&gt;20,0,(K262-MIN(MAX(L301,0),K262))+MIN(MAX(0,M301-(K262-MIN(MAX(L301,0),K262))),MAX(0,3*K262-(L301-MIN(MAX(L301,0),K262)))))</f>
        <v>0</v>
      </c>
      <c r="L302" s="18">
        <f>IF($A302&gt;20,L301,(L301-K262+K302)*(1+$B$7))</f>
        <v>24.31777726524555</v>
      </c>
      <c r="M302" s="18">
        <f t="shared" si="21"/>
        <v>0</v>
      </c>
      <c r="N302" s="18">
        <f>IF($A302&gt;20,0,(N262-MIN(MAX(O301,0),N262))+MIN(MAX(0,P301-(N262-MIN(MAX(O301,0),N262))),MAX(0,3*N262-(O301-MIN(MAX(O301,0),N262)))))</f>
        <v>0</v>
      </c>
      <c r="O302" s="18">
        <f>IF($A302&gt;20,O301,(O301-N262+N302)*(1+$B$7))</f>
        <v>4.2877668682904914E-2</v>
      </c>
      <c r="P302" s="18">
        <f t="shared" si="22"/>
        <v>0</v>
      </c>
      <c r="Q302" s="18">
        <f>IF($A302&gt;20,0,(Q262-MIN(MAX(R301,0),Q262))+MIN(MAX(0,S301-(Q262-MIN(MAX(R301,0),Q262))),MAX(0,3*Q262-(R301-MIN(MAX(R301,0),Q262)))))</f>
        <v>0</v>
      </c>
      <c r="R302" s="18">
        <f>IF($A302&gt;20,R301,(R301-Q262+Q302)*(1+$B$7))</f>
        <v>1.4209537766873836E-9</v>
      </c>
      <c r="S302" s="18">
        <f t="shared" si="23"/>
        <v>0</v>
      </c>
    </row>
    <row r="303" spans="1:19">
      <c r="A303" s="10">
        <f>39</f>
        <v>39</v>
      </c>
      <c r="B303" s="18">
        <f>IF($A303&gt;20,0,(B262-MIN(MAX(C302,0),B262))+MIN(MAX(0,D302-(B262-MIN(MAX(C302,0),B262))),MAX(0,3*B262-(C302-MIN(MAX(C302,0),B262)))))</f>
        <v>0</v>
      </c>
      <c r="C303" s="18">
        <f>IF($A303&gt;20,C302,(C302-B262+B303)*(1+$B$7))</f>
        <v>89676</v>
      </c>
      <c r="D303" s="18">
        <f t="shared" si="18"/>
        <v>804884.65050524112</v>
      </c>
      <c r="E303" s="18">
        <f>IF($A303&gt;20,0,(E262-MIN(MAX(F302,0),E262))+MIN(MAX(0,G302-(E262-MIN(MAX(F302,0),E262))),MAX(0,3*E262-(F302-MIN(MAX(F302,0),E262)))))</f>
        <v>0</v>
      </c>
      <c r="F303" s="18">
        <f>IF($A303&gt;20,F302,(F302-E262+E303)*(1+$B$7))</f>
        <v>0</v>
      </c>
      <c r="G303" s="18">
        <f t="shared" si="19"/>
        <v>-414412.66629293567</v>
      </c>
      <c r="H303" s="18">
        <f>IF($A303&gt;20,0,(H262-MIN(MAX(I302,0),H262))+MIN(MAX(0,J302-(H262-MIN(MAX(I302,0),H262))),MAX(0,3*H262-(I302-MIN(MAX(I302,0),H262)))))</f>
        <v>0</v>
      </c>
      <c r="I303" s="18">
        <f>IF($A303&gt;20,I302,(I302-H262+H303)*(1+$B$7))</f>
        <v>0</v>
      </c>
      <c r="J303" s="18">
        <f t="shared" si="20"/>
        <v>-24862.461494853633</v>
      </c>
      <c r="K303" s="18">
        <f>IF($A303&gt;20,0,(K262-MIN(MAX(L302,0),K262))+MIN(MAX(0,M302-(K262-MIN(MAX(L302,0),K262))),MAX(0,3*K262-(L302-MIN(MAX(L302,0),K262)))))</f>
        <v>0</v>
      </c>
      <c r="L303" s="18">
        <f>IF($A303&gt;20,L302,(L302-K262+K303)*(1+$B$7))</f>
        <v>24.31777726524555</v>
      </c>
      <c r="M303" s="18">
        <f t="shared" si="21"/>
        <v>0</v>
      </c>
      <c r="N303" s="18">
        <f>IF($A303&gt;20,0,(N262-MIN(MAX(O302,0),N262))+MIN(MAX(0,P302-(N262-MIN(MAX(O302,0),N262))),MAX(0,3*N262-(O302-MIN(MAX(O302,0),N262)))))</f>
        <v>0</v>
      </c>
      <c r="O303" s="18">
        <f>IF($A303&gt;20,O302,(O302-N262+N303)*(1+$B$7))</f>
        <v>4.2877668682904914E-2</v>
      </c>
      <c r="P303" s="18">
        <f t="shared" si="22"/>
        <v>0</v>
      </c>
      <c r="Q303" s="18">
        <f>IF($A303&gt;20,0,(Q262-MIN(MAX(R302,0),Q262))+MIN(MAX(0,S302-(Q262-MIN(MAX(R302,0),Q262))),MAX(0,3*Q262-(R302-MIN(MAX(R302,0),Q262)))))</f>
        <v>0</v>
      </c>
      <c r="R303" s="18">
        <f>IF($A303&gt;20,R302,(R302-Q262+Q303)*(1+$B$7))</f>
        <v>1.4209537766873836E-9</v>
      </c>
      <c r="S303" s="18">
        <f t="shared" si="23"/>
        <v>0</v>
      </c>
    </row>
    <row r="304" spans="1:19">
      <c r="A304" s="10">
        <f>40</f>
        <v>40</v>
      </c>
      <c r="B304" s="18">
        <f>IF($A304&gt;20,0,(B262-MIN(MAX(C303,0),B262))+MIN(MAX(0,D303-(B262-MIN(MAX(C303,0),B262))),MAX(0,3*B262-(C303-MIN(MAX(C303,0),B262)))))</f>
        <v>0</v>
      </c>
      <c r="C304" s="18">
        <f>IF($A304&gt;20,C303,(C303-B262+B304)*(1+$B$7))</f>
        <v>89676</v>
      </c>
      <c r="D304" s="18">
        <f t="shared" si="18"/>
        <v>804884.65050524112</v>
      </c>
      <c r="E304" s="18">
        <f>IF($A304&gt;20,0,(E262-MIN(MAX(F303,0),E262))+MIN(MAX(0,G303-(E262-MIN(MAX(F303,0),E262))),MAX(0,3*E262-(F303-MIN(MAX(F303,0),E262)))))</f>
        <v>0</v>
      </c>
      <c r="F304" s="18">
        <f>IF($A304&gt;20,F303,(F303-E262+E304)*(1+$B$7))</f>
        <v>0</v>
      </c>
      <c r="G304" s="18">
        <f t="shared" si="19"/>
        <v>-414412.66629293567</v>
      </c>
      <c r="H304" s="18">
        <f>IF($A304&gt;20,0,(H262-MIN(MAX(I303,0),H262))+MIN(MAX(0,J303-(H262-MIN(MAX(I303,0),H262))),MAX(0,3*H262-(I303-MIN(MAX(I303,0),H262)))))</f>
        <v>0</v>
      </c>
      <c r="I304" s="18">
        <f>IF($A304&gt;20,I303,(I303-H262+H304)*(1+$B$7))</f>
        <v>0</v>
      </c>
      <c r="J304" s="18">
        <f t="shared" si="20"/>
        <v>-24862.461494853633</v>
      </c>
      <c r="K304" s="18">
        <f>IF($A304&gt;20,0,(K262-MIN(MAX(L303,0),K262))+MIN(MAX(0,M303-(K262-MIN(MAX(L303,0),K262))),MAX(0,3*K262-(L303-MIN(MAX(L303,0),K262)))))</f>
        <v>0</v>
      </c>
      <c r="L304" s="18">
        <f>IF($A304&gt;20,L303,(L303-K262+K304)*(1+$B$7))</f>
        <v>24.31777726524555</v>
      </c>
      <c r="M304" s="18">
        <f t="shared" si="21"/>
        <v>0</v>
      </c>
      <c r="N304" s="18">
        <f>IF($A304&gt;20,0,(N262-MIN(MAX(O303,0),N262))+MIN(MAX(0,P303-(N262-MIN(MAX(O303,0),N262))),MAX(0,3*N262-(O303-MIN(MAX(O303,0),N262)))))</f>
        <v>0</v>
      </c>
      <c r="O304" s="18">
        <f>IF($A304&gt;20,O303,(O303-N262+N304)*(1+$B$7))</f>
        <v>4.2877668682904914E-2</v>
      </c>
      <c r="P304" s="18">
        <f t="shared" si="22"/>
        <v>0</v>
      </c>
      <c r="Q304" s="18">
        <f>IF($A304&gt;20,0,(Q262-MIN(MAX(R303,0),Q262))+MIN(MAX(0,S303-(Q262-MIN(MAX(R303,0),Q262))),MAX(0,3*Q262-(R303-MIN(MAX(R303,0),Q262)))))</f>
        <v>0</v>
      </c>
      <c r="R304" s="18">
        <f>IF($A304&gt;20,R303,(R303-Q262+Q304)*(1+$B$7))</f>
        <v>1.4209537766873836E-9</v>
      </c>
      <c r="S304" s="18">
        <f t="shared" si="23"/>
        <v>0</v>
      </c>
    </row>
    <row r="305" spans="1:19">
      <c r="B305" s="18">
        <f>C304+D304</f>
        <v>894560.65050524112</v>
      </c>
      <c r="E305" s="18">
        <f>F304+G304</f>
        <v>-414412.66629293567</v>
      </c>
      <c r="H305" s="18">
        <f>I304+J304</f>
        <v>-24862.461494853633</v>
      </c>
      <c r="K305" s="18">
        <f>L304+M304</f>
        <v>24.31777726524555</v>
      </c>
      <c r="N305" s="18">
        <f>O304+P304</f>
        <v>4.2877668682904914E-2</v>
      </c>
      <c r="Q305" s="18">
        <f>R304+S304</f>
        <v>1.4209537766873836E-9</v>
      </c>
    </row>
    <row r="306" spans="1:19">
      <c r="A306" s="5" t="s">
        <v>266</v>
      </c>
      <c r="B306" s="18">
        <f>IFERROR(Q262-Q305*(Q262-N262)/(Q305-N305),Q262)</f>
        <v>59844.899534935947</v>
      </c>
    </row>
    <row r="308" spans="1:19">
      <c r="A308" s="2" t="s">
        <v>270</v>
      </c>
    </row>
    <row r="309" spans="1:19">
      <c r="B309" s="9">
        <f>0.03*$B$5</f>
        <v>30000</v>
      </c>
      <c r="E309" s="9">
        <f>0.075*$B$5</f>
        <v>75000</v>
      </c>
      <c r="H309" s="18">
        <f>IFERROR(E309-E352*(E309-B309)/(E352-B352),E309)</f>
        <v>58577.043006443404</v>
      </c>
      <c r="K309" s="18">
        <f>IFERROR(H309-H352*(H309-E309)/(H352-E352),H309)</f>
        <v>57030.070257551648</v>
      </c>
      <c r="N309" s="18">
        <f>IFERROR(K309-K352*(K309-H309)/(K352-H352),K309)</f>
        <v>57031.29940979954</v>
      </c>
      <c r="Q309" s="18">
        <f>IFERROR(N309-N352*(N309-K309)/(N352-K352),N309)</f>
        <v>57031.302527235013</v>
      </c>
    </row>
    <row r="310" spans="1:19">
      <c r="A310" s="25" t="s">
        <v>262</v>
      </c>
      <c r="B310" s="25" t="s">
        <v>263</v>
      </c>
      <c r="C310" s="25" t="s">
        <v>264</v>
      </c>
      <c r="D310" s="25" t="s">
        <v>265</v>
      </c>
      <c r="E310" s="25" t="s">
        <v>263</v>
      </c>
      <c r="F310" s="25" t="s">
        <v>264</v>
      </c>
      <c r="G310" s="25" t="s">
        <v>265</v>
      </c>
      <c r="H310" s="25" t="s">
        <v>263</v>
      </c>
      <c r="I310" s="25" t="s">
        <v>264</v>
      </c>
      <c r="J310" s="25" t="s">
        <v>265</v>
      </c>
      <c r="K310" s="25" t="s">
        <v>263</v>
      </c>
      <c r="L310" s="25" t="s">
        <v>264</v>
      </c>
      <c r="M310" s="25" t="s">
        <v>265</v>
      </c>
      <c r="N310" s="25" t="s">
        <v>263</v>
      </c>
      <c r="O310" s="25" t="s">
        <v>264</v>
      </c>
      <c r="P310" s="25" t="s">
        <v>265</v>
      </c>
      <c r="Q310" s="25" t="s">
        <v>263</v>
      </c>
      <c r="R310" s="25" t="s">
        <v>264</v>
      </c>
      <c r="S310" s="25" t="s">
        <v>265</v>
      </c>
    </row>
    <row r="311" spans="1:19">
      <c r="A311" s="3">
        <v>0</v>
      </c>
      <c r="C311" s="18">
        <f>MIN(5*B309,$B$5)</f>
        <v>150000</v>
      </c>
      <c r="D311" s="18">
        <f>$B$5-C311</f>
        <v>850000</v>
      </c>
      <c r="F311" s="18">
        <f>MIN(5*E309,$B$5)</f>
        <v>375000</v>
      </c>
      <c r="G311" s="18">
        <f>$B$5-F311</f>
        <v>625000</v>
      </c>
      <c r="I311" s="18">
        <f>MIN(5*H309,$B$5)</f>
        <v>292885.21503221703</v>
      </c>
      <c r="J311" s="18">
        <f>$B$5-I311</f>
        <v>707114.78496778291</v>
      </c>
      <c r="L311" s="18">
        <f>MIN(5*K309,$B$5)</f>
        <v>285150.35128775821</v>
      </c>
      <c r="M311" s="18">
        <f>$B$5-L311</f>
        <v>714849.64871224179</v>
      </c>
      <c r="O311" s="18">
        <f>MIN(5*N309,$B$5)</f>
        <v>285156.49704899767</v>
      </c>
      <c r="P311" s="18">
        <f>$B$5-O311</f>
        <v>714843.50295100233</v>
      </c>
      <c r="R311" s="18">
        <f>MIN(5*Q309,$B$5)</f>
        <v>285156.51263617509</v>
      </c>
      <c r="S311" s="18">
        <f>$B$5-R311</f>
        <v>714843.48736382485</v>
      </c>
    </row>
    <row r="312" spans="1:19">
      <c r="A312" s="10">
        <f>1</f>
        <v>1</v>
      </c>
      <c r="B312" s="18">
        <f>IF($A312&gt;20,0,(B309-MIN(MAX(C311,0),B309))+MIN(MAX(0,D311-(B309-MIN(MAX(C311,0),B309))),MAX(0,5*B309-(C311-MIN(MAX(C311,0),B309)))))</f>
        <v>30000</v>
      </c>
      <c r="C312" s="18">
        <f>IF($A312&gt;20,C311,(C311-B309+B312)*(1+$B$7))</f>
        <v>149460</v>
      </c>
      <c r="D312" s="18">
        <f t="shared" ref="D312:D351" si="24">IF($A312&gt;20,D311,(D311-B312)*(1+$B$6))</f>
        <v>844600</v>
      </c>
      <c r="E312" s="18">
        <f>IF($A312&gt;20,0,(E309-MIN(MAX(F311,0),E309))+MIN(MAX(0,G311-(E309-MIN(MAX(F311,0),E309))),MAX(0,5*E309-(F311-MIN(MAX(F311,0),E309)))))</f>
        <v>75000</v>
      </c>
      <c r="F312" s="18">
        <f>IF($A312&gt;20,F311,(F311-E309+E312)*(1+$B$7))</f>
        <v>373650</v>
      </c>
      <c r="G312" s="18">
        <f t="shared" ref="G312:G351" si="25">IF($A312&gt;20,G311,(G311-E312)*(1+$B$6))</f>
        <v>566500</v>
      </c>
      <c r="H312" s="18">
        <f>IF($A312&gt;20,0,(H309-MIN(MAX(I311,0),H309))+MIN(MAX(0,J311-(H309-MIN(MAX(I311,0),H309))),MAX(0,5*H309-(I311-MIN(MAX(I311,0),H309)))))</f>
        <v>58577.043006443419</v>
      </c>
      <c r="I312" s="18">
        <f>IF($A312&gt;20,I311,(I311-H309+H312)*(1+$B$7))</f>
        <v>291830.82825810101</v>
      </c>
      <c r="J312" s="18">
        <f t="shared" ref="J312:J351" si="26">IF($A312&gt;20,J311,(J311-H312)*(1+$B$6))</f>
        <v>667993.87422017974</v>
      </c>
      <c r="K312" s="18">
        <f>IF($A312&gt;20,0,(K309-MIN(MAX(L311,0),K309))+MIN(MAX(0,M311-(K309-MIN(MAX(L311,0),K309))),MAX(0,5*K309-(L311-MIN(MAX(L311,0),K309)))))</f>
        <v>57030.070257551648</v>
      </c>
      <c r="L312" s="18">
        <f>IF($A312&gt;20,L311,(L311-K309+K312)*(1+$B$7))</f>
        <v>284123.81002312229</v>
      </c>
      <c r="M312" s="18">
        <f t="shared" ref="M312:M351" si="27">IF($A312&gt;20,M311,(M311-K312)*(1+$B$6))</f>
        <v>677554.16580833087</v>
      </c>
      <c r="N312" s="18">
        <f>IF($A312&gt;20,0,(N309-MIN(MAX(O311,0),N309))+MIN(MAX(0,P311-(N309-MIN(MAX(O311,0),N309))),MAX(0,5*N309-(O311-MIN(MAX(O311,0),N309)))))</f>
        <v>57031.29940979954</v>
      </c>
      <c r="O312" s="18">
        <f>IF($A312&gt;20,O311,(O311-N309+N312)*(1+$B$7))</f>
        <v>284129.93365962128</v>
      </c>
      <c r="P312" s="18">
        <f t="shared" ref="P312:P351" si="28">IF($A312&gt;20,P311,(P311-N312)*(1+$B$6))</f>
        <v>677546.56964743894</v>
      </c>
      <c r="Q312" s="18">
        <f>IF($A312&gt;20,0,(Q309-MIN(MAX(R311,0),Q309))+MIN(MAX(0,S311-(Q309-MIN(MAX(R311,0),Q309))),MAX(0,5*Q309-(R311-MIN(MAX(R311,0),Q309)))))</f>
        <v>57031.302527235006</v>
      </c>
      <c r="R312" s="18">
        <f>IF($A312&gt;20,R311,(R311-Q309+Q312)*(1+$B$7))</f>
        <v>284129.94919068483</v>
      </c>
      <c r="S312" s="18">
        <f t="shared" ref="S312:S351" si="29">IF($A312&gt;20,S311,(S311-Q312)*(1+$B$6))</f>
        <v>677546.55038168759</v>
      </c>
    </row>
    <row r="313" spans="1:19">
      <c r="A313" s="10">
        <f>2</f>
        <v>2</v>
      </c>
      <c r="B313" s="18">
        <f>IF($A313&gt;20,0,(B309-MIN(MAX(C312,0),B309))+MIN(MAX(0,D312-(B309-MIN(MAX(C312,0),B309))),MAX(0,5*B309-(C312-MIN(MAX(C312,0),B309)))))</f>
        <v>30540</v>
      </c>
      <c r="C313" s="18">
        <f>IF($A313&gt;20,C312,(C312-B309+B313)*(1+$B$7))</f>
        <v>149460</v>
      </c>
      <c r="D313" s="18">
        <f t="shared" si="24"/>
        <v>838481.8</v>
      </c>
      <c r="E313" s="18">
        <f>IF($A313&gt;20,0,(E309-MIN(MAX(F312,0),E309))+MIN(MAX(0,G312-(E309-MIN(MAX(F312,0),E309))),MAX(0,5*E309-(F312-MIN(MAX(F312,0),E309)))))</f>
        <v>76350</v>
      </c>
      <c r="F313" s="18">
        <f>IF($A313&gt;20,F312,(F312-E309+E313)*(1+$B$7))</f>
        <v>373650</v>
      </c>
      <c r="G313" s="18">
        <f t="shared" si="25"/>
        <v>504854.5</v>
      </c>
      <c r="H313" s="18">
        <f>IF($A313&gt;20,0,(H309-MIN(MAX(I312,0),H309))+MIN(MAX(0,J312-(H309-MIN(MAX(I312,0),H309))),MAX(0,5*H309-(I312-MIN(MAX(I312,0),H309)))))</f>
        <v>59631.42978055944</v>
      </c>
      <c r="I313" s="18">
        <f>IF($A313&gt;20,I312,(I312-H309+H313)*(1+$B$7))</f>
        <v>291830.82825810101</v>
      </c>
      <c r="J313" s="18">
        <f t="shared" si="26"/>
        <v>626613.31777280883</v>
      </c>
      <c r="K313" s="18">
        <f>IF($A313&gt;20,0,(K309-MIN(MAX(L312,0),K309))+MIN(MAX(0,M312-(K309-MIN(MAX(L312,0),K309))),MAX(0,5*K309-(L312-MIN(MAX(L312,0),K309)))))</f>
        <v>58056.611522187566</v>
      </c>
      <c r="L313" s="18">
        <f>IF($A313&gt;20,L312,(L312-K309+K313)*(1+$B$7))</f>
        <v>284123.81002312229</v>
      </c>
      <c r="M313" s="18">
        <f t="shared" si="27"/>
        <v>638082.48091472755</v>
      </c>
      <c r="N313" s="18">
        <f>IF($A313&gt;20,0,(N309-MIN(MAX(O312,0),N309))+MIN(MAX(0,P312-(N309-MIN(MAX(O312,0),N309))),MAX(0,5*N309-(O312-MIN(MAX(O312,0),N309)))))</f>
        <v>58057.862799175928</v>
      </c>
      <c r="O313" s="18">
        <f>IF($A313&gt;20,O312,(O312-N309+N313)*(1+$B$7))</f>
        <v>284129.93365962128</v>
      </c>
      <c r="P313" s="18">
        <f t="shared" si="28"/>
        <v>638073.3680537109</v>
      </c>
      <c r="Q313" s="18">
        <f>IF($A313&gt;20,0,(Q309-MIN(MAX(R312,0),Q309))+MIN(MAX(0,S312-(Q309-MIN(MAX(R312,0),Q309))),MAX(0,5*Q309-(R312-MIN(MAX(R312,0),Q309)))))</f>
        <v>58057.865972725267</v>
      </c>
      <c r="R313" s="18">
        <f>IF($A313&gt;20,R312,(R312-Q309+Q313)*(1+$B$7))</f>
        <v>284129.94919068483</v>
      </c>
      <c r="S313" s="18">
        <f t="shared" si="29"/>
        <v>638073.34494123119</v>
      </c>
    </row>
    <row r="314" spans="1:19">
      <c r="A314" s="10">
        <f>3</f>
        <v>3</v>
      </c>
      <c r="B314" s="18">
        <f>IF($A314&gt;20,0,(B309-MIN(MAX(C313,0),B309))+MIN(MAX(0,D313-(B309-MIN(MAX(C313,0),B309))),MAX(0,5*B309-(C313-MIN(MAX(C313,0),B309)))))</f>
        <v>30540</v>
      </c>
      <c r="C314" s="18">
        <f>IF($A314&gt;20,C313,(C313-B309+B314)*(1+$B$7))</f>
        <v>149460</v>
      </c>
      <c r="D314" s="18">
        <f t="shared" si="24"/>
        <v>832180.05400000012</v>
      </c>
      <c r="E314" s="18">
        <f>IF($A314&gt;20,0,(E309-MIN(MAX(F313,0),E309))+MIN(MAX(0,G313-(E309-MIN(MAX(F313,0),E309))),MAX(0,5*E309-(F313-MIN(MAX(F313,0),E309)))))</f>
        <v>76350</v>
      </c>
      <c r="F314" s="18">
        <f>IF($A314&gt;20,F313,(F313-E309+E314)*(1+$B$7))</f>
        <v>373650</v>
      </c>
      <c r="G314" s="18">
        <f t="shared" si="25"/>
        <v>441359.63500000001</v>
      </c>
      <c r="H314" s="18">
        <f>IF($A314&gt;20,0,(H309-MIN(MAX(I313,0),H309))+MIN(MAX(0,J313-(H309-MIN(MAX(I313,0),H309))),MAX(0,5*H309-(I313-MIN(MAX(I313,0),H309)))))</f>
        <v>59631.42978055944</v>
      </c>
      <c r="I314" s="18">
        <f>IF($A314&gt;20,I313,(I313-H309+H314)*(1+$B$7))</f>
        <v>291830.82825810101</v>
      </c>
      <c r="J314" s="18">
        <f t="shared" si="26"/>
        <v>583991.34463201684</v>
      </c>
      <c r="K314" s="18">
        <f>IF($A314&gt;20,0,(K309-MIN(MAX(L313,0),K309))+MIN(MAX(0,M313-(K309-MIN(MAX(L313,0),K309))),MAX(0,5*K309-(L313-MIN(MAX(L313,0),K309)))))</f>
        <v>58056.611522187566</v>
      </c>
      <c r="L314" s="18">
        <f>IF($A314&gt;20,L313,(L313-K309+K314)*(1+$B$7))</f>
        <v>284123.81002312229</v>
      </c>
      <c r="M314" s="18">
        <f t="shared" si="27"/>
        <v>597426.6454743162</v>
      </c>
      <c r="N314" s="18">
        <f>IF($A314&gt;20,0,(N309-MIN(MAX(O313,0),N309))+MIN(MAX(0,P313-(N309-MIN(MAX(O313,0),N309))),MAX(0,5*N309-(O313-MIN(MAX(O313,0),N309)))))</f>
        <v>58057.862799175928</v>
      </c>
      <c r="O314" s="18">
        <f>IF($A314&gt;20,O313,(O313-N309+N314)*(1+$B$7))</f>
        <v>284129.93365962128</v>
      </c>
      <c r="P314" s="18">
        <f t="shared" si="28"/>
        <v>597415.9704121711</v>
      </c>
      <c r="Q314" s="18">
        <f>IF($A314&gt;20,0,(Q309-MIN(MAX(R313,0),Q309))+MIN(MAX(0,S313-(Q309-MIN(MAX(R313,0),Q309))),MAX(0,5*Q309-(R313-MIN(MAX(R313,0),Q309)))))</f>
        <v>58057.865972725267</v>
      </c>
      <c r="R314" s="18">
        <f>IF($A314&gt;20,R313,(R313-Q309+Q314)*(1+$B$7))</f>
        <v>284129.94919068483</v>
      </c>
      <c r="S314" s="18">
        <f t="shared" si="29"/>
        <v>597415.94333756121</v>
      </c>
    </row>
    <row r="315" spans="1:19">
      <c r="A315" s="10">
        <f>4</f>
        <v>4</v>
      </c>
      <c r="B315" s="18">
        <f>IF($A315&gt;20,0,(B309-MIN(MAX(C314,0),B309))+MIN(MAX(0,D314-(B309-MIN(MAX(C314,0),B309))),MAX(0,5*B309-(C314-MIN(MAX(C314,0),B309)))))</f>
        <v>30540</v>
      </c>
      <c r="C315" s="18">
        <f>IF($A315&gt;20,C314,(C314-B309+B315)*(1+$B$7))</f>
        <v>149460</v>
      </c>
      <c r="D315" s="18">
        <f t="shared" si="24"/>
        <v>825689.25562000019</v>
      </c>
      <c r="E315" s="18">
        <f>IF($A315&gt;20,0,(E309-MIN(MAX(F314,0),E309))+MIN(MAX(0,G314-(E309-MIN(MAX(F314,0),E309))),MAX(0,5*E309-(F314-MIN(MAX(F314,0),E309)))))</f>
        <v>76350</v>
      </c>
      <c r="F315" s="18">
        <f>IF($A315&gt;20,F314,(F314-E309+E315)*(1+$B$7))</f>
        <v>373650</v>
      </c>
      <c r="G315" s="18">
        <f t="shared" si="25"/>
        <v>375959.92405000003</v>
      </c>
      <c r="H315" s="18">
        <f>IF($A315&gt;20,0,(H309-MIN(MAX(I314,0),H309))+MIN(MAX(0,J314-(H309-MIN(MAX(I314,0),H309))),MAX(0,5*H309-(I314-MIN(MAX(I314,0),H309)))))</f>
        <v>59631.42978055944</v>
      </c>
      <c r="I315" s="18">
        <f>IF($A315&gt;20,I314,(I314-H309+H315)*(1+$B$7))</f>
        <v>291830.82825810101</v>
      </c>
      <c r="J315" s="18">
        <f t="shared" si="26"/>
        <v>540090.71229700104</v>
      </c>
      <c r="K315" s="18">
        <f>IF($A315&gt;20,0,(K309-MIN(MAX(L314,0),K309))+MIN(MAX(0,M314-(K309-MIN(MAX(L314,0),K309))),MAX(0,5*K309-(L314-MIN(MAX(L314,0),K309)))))</f>
        <v>58056.611522187566</v>
      </c>
      <c r="L315" s="18">
        <f>IF($A315&gt;20,L314,(L314-K309+K315)*(1+$B$7))</f>
        <v>284123.81002312229</v>
      </c>
      <c r="M315" s="18">
        <f t="shared" si="27"/>
        <v>555551.13497069245</v>
      </c>
      <c r="N315" s="18">
        <f>IF($A315&gt;20,0,(N309-MIN(MAX(O314,0),N309))+MIN(MAX(0,P314-(N309-MIN(MAX(O314,0),N309))),MAX(0,5*N309-(O314-MIN(MAX(O314,0),N309)))))</f>
        <v>58057.862799175928</v>
      </c>
      <c r="O315" s="18">
        <f>IF($A315&gt;20,O314,(O314-N309+N315)*(1+$B$7))</f>
        <v>284129.93365962128</v>
      </c>
      <c r="P315" s="18">
        <f t="shared" si="28"/>
        <v>555538.85084138508</v>
      </c>
      <c r="Q315" s="18">
        <f>IF($A315&gt;20,0,(Q309-MIN(MAX(R314,0),Q309))+MIN(MAX(0,S314-(Q309-MIN(MAX(R314,0),Q309))),MAX(0,5*Q309-(R314-MIN(MAX(R314,0),Q309)))))</f>
        <v>58057.865972725267</v>
      </c>
      <c r="R315" s="18">
        <f>IF($A315&gt;20,R314,(R314-Q309+Q315)*(1+$B$7))</f>
        <v>284129.94919068483</v>
      </c>
      <c r="S315" s="18">
        <f t="shared" si="29"/>
        <v>555538.81968578103</v>
      </c>
    </row>
    <row r="316" spans="1:19">
      <c r="A316" s="10">
        <f>5</f>
        <v>5</v>
      </c>
      <c r="B316" s="18">
        <f>IF($A316&gt;20,0,(B309-MIN(MAX(C315,0),B309))+MIN(MAX(0,D315-(B309-MIN(MAX(C315,0),B309))),MAX(0,5*B309-(C315-MIN(MAX(C315,0),B309)))))</f>
        <v>30540</v>
      </c>
      <c r="C316" s="18">
        <f>IF($A316&gt;20,C315,(C315-B309+B316)*(1+$B$7))</f>
        <v>149460</v>
      </c>
      <c r="D316" s="18">
        <f t="shared" si="24"/>
        <v>819003.73328860023</v>
      </c>
      <c r="E316" s="18">
        <f>IF($A316&gt;20,0,(E309-MIN(MAX(F315,0),E309))+MIN(MAX(0,G315-(E309-MIN(MAX(F315,0),E309))),MAX(0,5*E309-(F315-MIN(MAX(F315,0),E309)))))</f>
        <v>76350</v>
      </c>
      <c r="F316" s="18">
        <f>IF($A316&gt;20,F315,(F315-E309+E316)*(1+$B$7))</f>
        <v>373650</v>
      </c>
      <c r="G316" s="18">
        <f t="shared" si="25"/>
        <v>308598.22177150002</v>
      </c>
      <c r="H316" s="18">
        <f>IF($A316&gt;20,0,(H309-MIN(MAX(I315,0),H309))+MIN(MAX(0,J315-(H309-MIN(MAX(I315,0),H309))),MAX(0,5*H309-(I315-MIN(MAX(I315,0),H309)))))</f>
        <v>59631.42978055944</v>
      </c>
      <c r="I316" s="18">
        <f>IF($A316&gt;20,I315,(I315-H309+H316)*(1+$B$7))</f>
        <v>291830.82825810101</v>
      </c>
      <c r="J316" s="18">
        <f t="shared" si="26"/>
        <v>494873.06099193485</v>
      </c>
      <c r="K316" s="18">
        <f>IF($A316&gt;20,0,(K309-MIN(MAX(L315,0),K309))+MIN(MAX(0,M315-(K309-MIN(MAX(L315,0),K309))),MAX(0,5*K309-(L315-MIN(MAX(L315,0),K309)))))</f>
        <v>58056.611522187566</v>
      </c>
      <c r="L316" s="18">
        <f>IF($A316&gt;20,L315,(L315-K309+K316)*(1+$B$7))</f>
        <v>284123.81002312229</v>
      </c>
      <c r="M316" s="18">
        <f t="shared" si="27"/>
        <v>512419.35915196</v>
      </c>
      <c r="N316" s="18">
        <f>IF($A316&gt;20,0,(N309-MIN(MAX(O315,0),N309))+MIN(MAX(0,P315-(N309-MIN(MAX(O315,0),N309))),MAX(0,5*N309-(O315-MIN(MAX(O315,0),N309)))))</f>
        <v>58057.862799175928</v>
      </c>
      <c r="O316" s="18">
        <f>IF($A316&gt;20,O315,(O315-N309+N316)*(1+$B$7))</f>
        <v>284129.93365962128</v>
      </c>
      <c r="P316" s="18">
        <f t="shared" si="28"/>
        <v>512405.41768347548</v>
      </c>
      <c r="Q316" s="18">
        <f>IF($A316&gt;20,0,(Q309-MIN(MAX(R315,0),Q309))+MIN(MAX(0,S315-(Q309-MIN(MAX(R315,0),Q309))),MAX(0,5*Q309-(R315-MIN(MAX(R315,0),Q309)))))</f>
        <v>58057.865972725267</v>
      </c>
      <c r="R316" s="18">
        <f>IF($A316&gt;20,R315,(R315-Q309+Q316)*(1+$B$7))</f>
        <v>284129.94919068483</v>
      </c>
      <c r="S316" s="18">
        <f t="shared" si="29"/>
        <v>512405.38232444745</v>
      </c>
    </row>
    <row r="317" spans="1:19">
      <c r="A317" s="10">
        <f>6</f>
        <v>6</v>
      </c>
      <c r="B317" s="18">
        <f>IF($A317&gt;20,0,(B309-MIN(MAX(C316,0),B309))+MIN(MAX(0,D316-(B309-MIN(MAX(C316,0),B309))),MAX(0,5*B309-(C316-MIN(MAX(C316,0),B309)))))</f>
        <v>30540</v>
      </c>
      <c r="C317" s="18">
        <f>IF($A317&gt;20,C316,(C316-B309+B317)*(1+$B$7))</f>
        <v>149460</v>
      </c>
      <c r="D317" s="18">
        <f t="shared" si="24"/>
        <v>812117.6452872582</v>
      </c>
      <c r="E317" s="18">
        <f>IF($A317&gt;20,0,(E309-MIN(MAX(F316,0),E309))+MIN(MAX(0,G316-(E309-MIN(MAX(F316,0),E309))),MAX(0,5*E309-(F316-MIN(MAX(F316,0),E309)))))</f>
        <v>76350</v>
      </c>
      <c r="F317" s="18">
        <f>IF($A317&gt;20,F316,(F316-E309+E317)*(1+$B$7))</f>
        <v>373650</v>
      </c>
      <c r="G317" s="18">
        <f t="shared" si="25"/>
        <v>239215.66842464503</v>
      </c>
      <c r="H317" s="18">
        <f>IF($A317&gt;20,0,(H309-MIN(MAX(I316,0),H309))+MIN(MAX(0,J316-(H309-MIN(MAX(I316,0),H309))),MAX(0,5*H309-(I316-MIN(MAX(I316,0),H309)))))</f>
        <v>59631.42978055944</v>
      </c>
      <c r="I317" s="18">
        <f>IF($A317&gt;20,I316,(I316-H309+H317)*(1+$B$7))</f>
        <v>291830.82825810101</v>
      </c>
      <c r="J317" s="18">
        <f t="shared" si="26"/>
        <v>448298.88014771667</v>
      </c>
      <c r="K317" s="18">
        <f>IF($A317&gt;20,0,(K309-MIN(MAX(L316,0),K309))+MIN(MAX(0,M316-(K309-MIN(MAX(L316,0),K309))),MAX(0,5*K309-(L316-MIN(MAX(L316,0),K309)))))</f>
        <v>58056.611522187566</v>
      </c>
      <c r="L317" s="18">
        <f>IF($A317&gt;20,L316,(L316-K309+K317)*(1+$B$7))</f>
        <v>284123.81002312229</v>
      </c>
      <c r="M317" s="18">
        <f t="shared" si="27"/>
        <v>467993.63005866559</v>
      </c>
      <c r="N317" s="18">
        <f>IF($A317&gt;20,0,(N309-MIN(MAX(O316,0),N309))+MIN(MAX(0,P316-(N309-MIN(MAX(O316,0),N309))),MAX(0,5*N309-(O316-MIN(MAX(O316,0),N309)))))</f>
        <v>58057.862799175928</v>
      </c>
      <c r="O317" s="18">
        <f>IF($A317&gt;20,O316,(O316-N309+N317)*(1+$B$7))</f>
        <v>284129.93365962128</v>
      </c>
      <c r="P317" s="18">
        <f t="shared" si="28"/>
        <v>467977.98153082852</v>
      </c>
      <c r="Q317" s="18">
        <f>IF($A317&gt;20,0,(Q309-MIN(MAX(R316,0),Q309))+MIN(MAX(0,S316-(Q309-MIN(MAX(R316,0),Q309))),MAX(0,5*Q309-(R316-MIN(MAX(R316,0),Q309)))))</f>
        <v>58057.865972725267</v>
      </c>
      <c r="R317" s="18">
        <f>IF($A317&gt;20,R316,(R316-Q309+Q317)*(1+$B$7))</f>
        <v>284129.94919068483</v>
      </c>
      <c r="S317" s="18">
        <f t="shared" si="29"/>
        <v>467977.94184227387</v>
      </c>
    </row>
    <row r="318" spans="1:19">
      <c r="A318" s="10">
        <f>7</f>
        <v>7</v>
      </c>
      <c r="B318" s="18">
        <f>IF($A318&gt;20,0,(B309-MIN(MAX(C317,0),B309))+MIN(MAX(0,D317-(B309-MIN(MAX(C317,0),B309))),MAX(0,5*B309-(C317-MIN(MAX(C317,0),B309)))))</f>
        <v>30540</v>
      </c>
      <c r="C318" s="18">
        <f>IF($A318&gt;20,C317,(C317-B309+B318)*(1+$B$7))</f>
        <v>149460</v>
      </c>
      <c r="D318" s="18">
        <f t="shared" si="24"/>
        <v>805024.97464587598</v>
      </c>
      <c r="E318" s="18">
        <f>IF($A318&gt;20,0,(E309-MIN(MAX(F317,0),E309))+MIN(MAX(0,G317-(E309-MIN(MAX(F317,0),E309))),MAX(0,5*E309-(F317-MIN(MAX(F317,0),E309)))))</f>
        <v>76350</v>
      </c>
      <c r="F318" s="18">
        <f>IF($A318&gt;20,F317,(F317-E309+E318)*(1+$B$7))</f>
        <v>373650</v>
      </c>
      <c r="G318" s="18">
        <f t="shared" si="25"/>
        <v>167751.63847738437</v>
      </c>
      <c r="H318" s="18">
        <f>IF($A318&gt;20,0,(H309-MIN(MAX(I317,0),H309))+MIN(MAX(0,J317-(H309-MIN(MAX(I317,0),H309))),MAX(0,5*H309-(I317-MIN(MAX(I317,0),H309)))))</f>
        <v>59631.42978055944</v>
      </c>
      <c r="I318" s="18">
        <f>IF($A318&gt;20,I317,(I317-H309+H318)*(1+$B$7))</f>
        <v>291830.82825810101</v>
      </c>
      <c r="J318" s="18">
        <f t="shared" si="26"/>
        <v>400327.47387817194</v>
      </c>
      <c r="K318" s="18">
        <f>IF($A318&gt;20,0,(K309-MIN(MAX(L317,0),K309))+MIN(MAX(0,M317-(K309-MIN(MAX(L317,0),K309))),MAX(0,5*K309-(L317-MIN(MAX(L317,0),K309)))))</f>
        <v>58056.611522187566</v>
      </c>
      <c r="L318" s="18">
        <f>IF($A318&gt;20,L317,(L317-K309+K318)*(1+$B$7))</f>
        <v>284123.81002312229</v>
      </c>
      <c r="M318" s="18">
        <f t="shared" si="27"/>
        <v>422235.12909257237</v>
      </c>
      <c r="N318" s="18">
        <f>IF($A318&gt;20,0,(N309-MIN(MAX(O317,0),N309))+MIN(MAX(0,P317-(N309-MIN(MAX(O317,0),N309))),MAX(0,5*N309-(O317-MIN(MAX(O317,0),N309)))))</f>
        <v>58057.862799175928</v>
      </c>
      <c r="O318" s="18">
        <f>IF($A318&gt;20,O317,(O317-N309+N318)*(1+$B$7))</f>
        <v>284129.93365962128</v>
      </c>
      <c r="P318" s="18">
        <f t="shared" si="28"/>
        <v>422217.72229360219</v>
      </c>
      <c r="Q318" s="18">
        <f>IF($A318&gt;20,0,(Q309-MIN(MAX(R317,0),Q309))+MIN(MAX(0,S317-(Q309-MIN(MAX(R317,0),Q309))),MAX(0,5*Q309-(R317-MIN(MAX(R317,0),Q309)))))</f>
        <v>58057.865972725267</v>
      </c>
      <c r="R318" s="18">
        <f>IF($A318&gt;20,R317,(R317-Q309+Q318)*(1+$B$7))</f>
        <v>284129.94919068483</v>
      </c>
      <c r="S318" s="18">
        <f t="shared" si="29"/>
        <v>422217.67814563506</v>
      </c>
    </row>
    <row r="319" spans="1:19">
      <c r="A319" s="10">
        <f>8</f>
        <v>8</v>
      </c>
      <c r="B319" s="18">
        <f>IF($A319&gt;20,0,(B309-MIN(MAX(C318,0),B309))+MIN(MAX(0,D318-(B309-MIN(MAX(C318,0),B309))),MAX(0,5*B309-(C318-MIN(MAX(C318,0),B309)))))</f>
        <v>30540</v>
      </c>
      <c r="C319" s="18">
        <f>IF($A319&gt;20,C318,(C318-B309+B319)*(1+$B$7))</f>
        <v>149460</v>
      </c>
      <c r="D319" s="18">
        <f t="shared" si="24"/>
        <v>797719.5238852523</v>
      </c>
      <c r="E319" s="18">
        <f>IF($A319&gt;20,0,(E309-MIN(MAX(F318,0),E309))+MIN(MAX(0,G318-(E309-MIN(MAX(F318,0),E309))),MAX(0,5*E309-(F318-MIN(MAX(F318,0),E309)))))</f>
        <v>76350</v>
      </c>
      <c r="F319" s="18">
        <f>IF($A319&gt;20,F318,(F318-E309+E319)*(1+$B$7))</f>
        <v>373650</v>
      </c>
      <c r="G319" s="18">
        <f t="shared" si="25"/>
        <v>94143.687631705907</v>
      </c>
      <c r="H319" s="18">
        <f>IF($A319&gt;20,0,(H309-MIN(MAX(I318,0),H309))+MIN(MAX(0,J318-(H309-MIN(MAX(I318,0),H309))),MAX(0,5*H309-(I318-MIN(MAX(I318,0),H309)))))</f>
        <v>59631.42978055944</v>
      </c>
      <c r="I319" s="18">
        <f>IF($A319&gt;20,I318,(I318-H309+H319)*(1+$B$7))</f>
        <v>291830.82825810101</v>
      </c>
      <c r="J319" s="18">
        <f t="shared" si="26"/>
        <v>350916.92542054085</v>
      </c>
      <c r="K319" s="18">
        <f>IF($A319&gt;20,0,(K309-MIN(MAX(L318,0),K309))+MIN(MAX(0,M318-(K309-MIN(MAX(L318,0),K309))),MAX(0,5*K309-(L318-MIN(MAX(L318,0),K309)))))</f>
        <v>58056.611522187566</v>
      </c>
      <c r="L319" s="18">
        <f>IF($A319&gt;20,L318,(L318-K309+K319)*(1+$B$7))</f>
        <v>284123.81002312229</v>
      </c>
      <c r="M319" s="18">
        <f t="shared" si="27"/>
        <v>375103.87309749634</v>
      </c>
      <c r="N319" s="18">
        <f>IF($A319&gt;20,0,(N309-MIN(MAX(O318,0),N309))+MIN(MAX(0,P318-(N309-MIN(MAX(O318,0),N309))),MAX(0,5*N309-(O318-MIN(MAX(O318,0),N309)))))</f>
        <v>58057.862799175928</v>
      </c>
      <c r="O319" s="18">
        <f>IF($A319&gt;20,O318,(O318-N309+N319)*(1+$B$7))</f>
        <v>284129.93365962128</v>
      </c>
      <c r="P319" s="18">
        <f t="shared" si="28"/>
        <v>375084.65527925908</v>
      </c>
      <c r="Q319" s="18">
        <f>IF($A319&gt;20,0,(Q309-MIN(MAX(R318,0),Q309))+MIN(MAX(0,S318-(Q309-MIN(MAX(R318,0),Q309))),MAX(0,5*Q309-(R318-MIN(MAX(R318,0),Q309)))))</f>
        <v>58057.865972725267</v>
      </c>
      <c r="R319" s="18">
        <f>IF($A319&gt;20,R318,(R318-Q309+Q319)*(1+$B$7))</f>
        <v>284129.94919068483</v>
      </c>
      <c r="S319" s="18">
        <f t="shared" si="29"/>
        <v>375084.60653809708</v>
      </c>
    </row>
    <row r="320" spans="1:19">
      <c r="A320" s="10">
        <f>9</f>
        <v>9</v>
      </c>
      <c r="B320" s="18">
        <f>IF($A320&gt;20,0,(B309-MIN(MAX(C319,0),B309))+MIN(MAX(0,D319-(B309-MIN(MAX(C319,0),B309))),MAX(0,5*B309-(C319-MIN(MAX(C319,0),B309)))))</f>
        <v>30540</v>
      </c>
      <c r="C320" s="18">
        <f>IF($A320&gt;20,C319,(C319-B309+B320)*(1+$B$7))</f>
        <v>149460</v>
      </c>
      <c r="D320" s="18">
        <f t="shared" si="24"/>
        <v>790194.90960180992</v>
      </c>
      <c r="E320" s="18">
        <f>IF($A320&gt;20,0,(E309-MIN(MAX(F319,0),E309))+MIN(MAX(0,G319-(E309-MIN(MAX(F319,0),E309))),MAX(0,5*E309-(F319-MIN(MAX(F319,0),E309)))))</f>
        <v>76350</v>
      </c>
      <c r="F320" s="18">
        <f>IF($A320&gt;20,F319,(F319-E309+E320)*(1+$B$7))</f>
        <v>373650</v>
      </c>
      <c r="G320" s="18">
        <f t="shared" si="25"/>
        <v>18327.498260657085</v>
      </c>
      <c r="H320" s="18">
        <f>IF($A320&gt;20,0,(H309-MIN(MAX(I319,0),H309))+MIN(MAX(0,J319-(H309-MIN(MAX(I319,0),H309))),MAX(0,5*H309-(I319-MIN(MAX(I319,0),H309)))))</f>
        <v>59631.42978055944</v>
      </c>
      <c r="I320" s="18">
        <f>IF($A320&gt;20,I319,(I319-H309+H320)*(1+$B$7))</f>
        <v>291830.82825810101</v>
      </c>
      <c r="J320" s="18">
        <f t="shared" si="26"/>
        <v>300024.06050918088</v>
      </c>
      <c r="K320" s="18">
        <f>IF($A320&gt;20,0,(K309-MIN(MAX(L319,0),K309))+MIN(MAX(0,M319-(K309-MIN(MAX(L319,0),K309))),MAX(0,5*K309-(L319-MIN(MAX(L319,0),K309)))))</f>
        <v>58056.611522187566</v>
      </c>
      <c r="L320" s="18">
        <f>IF($A320&gt;20,L319,(L319-K309+K320)*(1+$B$7))</f>
        <v>284123.81002312229</v>
      </c>
      <c r="M320" s="18">
        <f t="shared" si="27"/>
        <v>326558.67942256801</v>
      </c>
      <c r="N320" s="18">
        <f>IF($A320&gt;20,0,(N309-MIN(MAX(O319,0),N309))+MIN(MAX(0,P319-(N309-MIN(MAX(O319,0),N309))),MAX(0,5*N309-(O319-MIN(MAX(O319,0),N309)))))</f>
        <v>58057.862799175928</v>
      </c>
      <c r="O320" s="18">
        <f>IF($A320&gt;20,O319,(O319-N309+N320)*(1+$B$7))</f>
        <v>284129.93365962128</v>
      </c>
      <c r="P320" s="18">
        <f t="shared" si="28"/>
        <v>326537.59625448566</v>
      </c>
      <c r="Q320" s="18">
        <f>IF($A320&gt;20,0,(Q309-MIN(MAX(R319,0),Q309))+MIN(MAX(0,S319-(Q309-MIN(MAX(R319,0),Q309))),MAX(0,5*Q309-(R319-MIN(MAX(R319,0),Q309)))))</f>
        <v>58057.865972725267</v>
      </c>
      <c r="R320" s="18">
        <f>IF($A320&gt;20,R319,(R319-Q309+Q320)*(1+$B$7))</f>
        <v>284129.94919068483</v>
      </c>
      <c r="S320" s="18">
        <f t="shared" si="29"/>
        <v>326537.54278233298</v>
      </c>
    </row>
    <row r="321" spans="1:19">
      <c r="A321" s="10">
        <f>10</f>
        <v>10</v>
      </c>
      <c r="B321" s="18">
        <f>IF($A321&gt;20,0,(B309-MIN(MAX(C320,0),B309))+MIN(MAX(0,D320-(B309-MIN(MAX(C320,0),B309))),MAX(0,5*B309-(C320-MIN(MAX(C320,0),B309)))))</f>
        <v>30540</v>
      </c>
      <c r="C321" s="18">
        <f>IF($A321&gt;20,C320,(C320-B309+B321)*(1+$B$7))</f>
        <v>149460</v>
      </c>
      <c r="D321" s="18">
        <f t="shared" si="24"/>
        <v>782444.55688986427</v>
      </c>
      <c r="E321" s="18">
        <f>IF($A321&gt;20,0,(E309-MIN(MAX(F320,0),E309))+MIN(MAX(0,G320-(E309-MIN(MAX(F320,0),E309))),MAX(0,5*E309-(F320-MIN(MAX(F320,0),E309)))))</f>
        <v>18327.498260657085</v>
      </c>
      <c r="F321" s="18">
        <f>IF($A321&gt;20,F320,(F320-E309+E321)*(1+$B$7))</f>
        <v>315836.3792669187</v>
      </c>
      <c r="G321" s="18">
        <f t="shared" si="25"/>
        <v>0</v>
      </c>
      <c r="H321" s="18">
        <f>IF($A321&gt;20,0,(H309-MIN(MAX(I320,0),H309))+MIN(MAX(0,J320-(H309-MIN(MAX(I320,0),H309))),MAX(0,5*H309-(I320-MIN(MAX(I320,0),H309)))))</f>
        <v>59631.42978055944</v>
      </c>
      <c r="I321" s="18">
        <f>IF($A321&gt;20,I320,(I320-H309+H321)*(1+$B$7))</f>
        <v>291830.82825810101</v>
      </c>
      <c r="J321" s="18">
        <f t="shared" si="26"/>
        <v>247604.40965048008</v>
      </c>
      <c r="K321" s="18">
        <f>IF($A321&gt;20,0,(K309-MIN(MAX(L320,0),K309))+MIN(MAX(0,M320-(K309-MIN(MAX(L320,0),K309))),MAX(0,5*K309-(L320-MIN(MAX(L320,0),K309)))))</f>
        <v>58056.611522187566</v>
      </c>
      <c r="L321" s="18">
        <f>IF($A321&gt;20,L320,(L320-K309+K321)*(1+$B$7))</f>
        <v>284123.81002312229</v>
      </c>
      <c r="M321" s="18">
        <f t="shared" si="27"/>
        <v>276557.1299373919</v>
      </c>
      <c r="N321" s="18">
        <f>IF($A321&gt;20,0,(N309-MIN(MAX(O320,0),N309))+MIN(MAX(0,P320-(N309-MIN(MAX(O320,0),N309))),MAX(0,5*N309-(O320-MIN(MAX(O320,0),N309)))))</f>
        <v>58057.862799175928</v>
      </c>
      <c r="O321" s="18">
        <f>IF($A321&gt;20,O320,(O320-N309+N321)*(1+$B$7))</f>
        <v>284129.93365962128</v>
      </c>
      <c r="P321" s="18">
        <f t="shared" si="28"/>
        <v>276534.12545896904</v>
      </c>
      <c r="Q321" s="18">
        <f>IF($A321&gt;20,0,(Q309-MIN(MAX(R320,0),Q309))+MIN(MAX(0,S320-(Q309-MIN(MAX(R320,0),Q309))),MAX(0,5*Q309-(R320-MIN(MAX(R320,0),Q309)))))</f>
        <v>58057.865972725267</v>
      </c>
      <c r="R321" s="18">
        <f>IF($A321&gt;20,R320,(R320-Q309+Q321)*(1+$B$7))</f>
        <v>284129.94919068483</v>
      </c>
      <c r="S321" s="18">
        <f t="shared" si="29"/>
        <v>276534.06711389596</v>
      </c>
    </row>
    <row r="322" spans="1:19">
      <c r="A322" s="10">
        <f>11</f>
        <v>11</v>
      </c>
      <c r="B322" s="18">
        <f>IF($A322&gt;20,0,(B309-MIN(MAX(C321,0),B309))+MIN(MAX(0,D321-(B309-MIN(MAX(C321,0),B309))),MAX(0,5*B309-(C321-MIN(MAX(C321,0),B309)))))</f>
        <v>30540</v>
      </c>
      <c r="C322" s="18">
        <f>IF($A322&gt;20,C321,(C321-B309+B322)*(1+$B$7))</f>
        <v>149460</v>
      </c>
      <c r="D322" s="18">
        <f t="shared" si="24"/>
        <v>774461.69359656016</v>
      </c>
      <c r="E322" s="18">
        <f>IF($A322&gt;20,0,(E309-MIN(MAX(F321,0),E309))+MIN(MAX(0,G321-(E309-MIN(MAX(F321,0),E309))),MAX(0,5*E309-(F321-MIN(MAX(F321,0),E309)))))</f>
        <v>0</v>
      </c>
      <c r="F322" s="18">
        <f>IF($A322&gt;20,F321,(F321-E309+E322)*(1+$B$7))</f>
        <v>239969.36830155778</v>
      </c>
      <c r="G322" s="18">
        <f t="shared" si="25"/>
        <v>0</v>
      </c>
      <c r="H322" s="18">
        <f>IF($A322&gt;20,0,(H309-MIN(MAX(I321,0),H309))+MIN(MAX(0,J321-(H309-MIN(MAX(I321,0),H309))),MAX(0,5*H309-(I321-MIN(MAX(I321,0),H309)))))</f>
        <v>59631.42978055944</v>
      </c>
      <c r="I322" s="18">
        <f>IF($A322&gt;20,I321,(I321-H309+H322)*(1+$B$7))</f>
        <v>291830.82825810101</v>
      </c>
      <c r="J322" s="18">
        <f t="shared" si="26"/>
        <v>193612.16926601826</v>
      </c>
      <c r="K322" s="18">
        <f>IF($A322&gt;20,0,(K309-MIN(MAX(L321,0),K309))+MIN(MAX(0,M321-(K309-MIN(MAX(L321,0),K309))),MAX(0,5*K309-(L321-MIN(MAX(L321,0),K309)))))</f>
        <v>58056.611522187566</v>
      </c>
      <c r="L322" s="18">
        <f>IF($A322&gt;20,L321,(L321-K309+K322)*(1+$B$7))</f>
        <v>284123.81002312229</v>
      </c>
      <c r="M322" s="18">
        <f t="shared" si="27"/>
        <v>225055.53396766048</v>
      </c>
      <c r="N322" s="18">
        <f>IF($A322&gt;20,0,(N309-MIN(MAX(O321,0),N309))+MIN(MAX(0,P321-(N309-MIN(MAX(O321,0),N309))),MAX(0,5*N309-(O321-MIN(MAX(O321,0),N309)))))</f>
        <v>58057.862799175928</v>
      </c>
      <c r="O322" s="18">
        <f>IF($A322&gt;20,O321,(O321-N309+N322)*(1+$B$7))</f>
        <v>284129.93365962128</v>
      </c>
      <c r="P322" s="18">
        <f t="shared" si="28"/>
        <v>225030.5505395869</v>
      </c>
      <c r="Q322" s="18">
        <f>IF($A322&gt;20,0,(Q309-MIN(MAX(R321,0),Q309))+MIN(MAX(0,S321-(Q309-MIN(MAX(R321,0),Q309))),MAX(0,5*Q309-(R321-MIN(MAX(R321,0),Q309)))))</f>
        <v>58057.865972725267</v>
      </c>
      <c r="R322" s="18">
        <f>IF($A322&gt;20,R321,(R321-Q309+Q322)*(1+$B$7))</f>
        <v>284129.94919068483</v>
      </c>
      <c r="S322" s="18">
        <f t="shared" si="29"/>
        <v>225030.48717540581</v>
      </c>
    </row>
    <row r="323" spans="1:19">
      <c r="A323" s="10">
        <f>12</f>
        <v>12</v>
      </c>
      <c r="B323" s="18">
        <f>IF($A323&gt;20,0,(B309-MIN(MAX(C322,0),B309))+MIN(MAX(0,D322-(B309-MIN(MAX(C322,0),B309))),MAX(0,5*B309-(C322-MIN(MAX(C322,0),B309)))))</f>
        <v>30540</v>
      </c>
      <c r="C323" s="18">
        <f>IF($A323&gt;20,C322,(C322-B309+B323)*(1+$B$7))</f>
        <v>149460</v>
      </c>
      <c r="D323" s="18">
        <f t="shared" si="24"/>
        <v>766239.34440445702</v>
      </c>
      <c r="E323" s="18">
        <f>IF($A323&gt;20,0,(E309-MIN(MAX(F322,0),E309))+MIN(MAX(0,G322-(E309-MIN(MAX(F322,0),E309))),MAX(0,5*E309-(F322-MIN(MAX(F322,0),E309)))))</f>
        <v>0</v>
      </c>
      <c r="F323" s="18">
        <f>IF($A323&gt;20,F322,(F322-E309+E323)*(1+$B$7))</f>
        <v>164375.47857567217</v>
      </c>
      <c r="G323" s="18">
        <f t="shared" si="25"/>
        <v>0</v>
      </c>
      <c r="H323" s="18">
        <f>IF($A323&gt;20,0,(H309-MIN(MAX(I322,0),H309))+MIN(MAX(0,J322-(H309-MIN(MAX(I322,0),H309))),MAX(0,5*H309-(I322-MIN(MAX(I322,0),H309)))))</f>
        <v>59631.42978055944</v>
      </c>
      <c r="I323" s="18">
        <f>IF($A323&gt;20,I322,(I322-H309+H323)*(1+$B$7))</f>
        <v>291830.82825810101</v>
      </c>
      <c r="J323" s="18">
        <f t="shared" si="26"/>
        <v>138000.16167002259</v>
      </c>
      <c r="K323" s="18">
        <f>IF($A323&gt;20,0,(K309-MIN(MAX(L322,0),K309))+MIN(MAX(0,M322-(K309-MIN(MAX(L322,0),K309))),MAX(0,5*K309-(L322-MIN(MAX(L322,0),K309)))))</f>
        <v>58056.611522187566</v>
      </c>
      <c r="L323" s="18">
        <f>IF($A323&gt;20,L322,(L322-K309+K323)*(1+$B$7))</f>
        <v>284123.81002312229</v>
      </c>
      <c r="M323" s="18">
        <f t="shared" si="27"/>
        <v>172008.89011883709</v>
      </c>
      <c r="N323" s="18">
        <f>IF($A323&gt;20,0,(N309-MIN(MAX(O322,0),N309))+MIN(MAX(0,P322-(N309-MIN(MAX(O322,0),N309))),MAX(0,5*N309-(O322-MIN(MAX(O322,0),N309)))))</f>
        <v>58057.862799175928</v>
      </c>
      <c r="O323" s="18">
        <f>IF($A323&gt;20,O322,(O322-N309+N323)*(1+$B$7))</f>
        <v>284129.93365962128</v>
      </c>
      <c r="P323" s="18">
        <f t="shared" si="28"/>
        <v>171981.86837262331</v>
      </c>
      <c r="Q323" s="18">
        <f>IF($A323&gt;20,0,(Q309-MIN(MAX(R322,0),Q309))+MIN(MAX(0,S322-(Q309-MIN(MAX(R322,0),Q309))),MAX(0,5*Q309-(R322-MIN(MAX(R322,0),Q309)))))</f>
        <v>58057.865972725267</v>
      </c>
      <c r="R323" s="18">
        <f>IF($A323&gt;20,R322,(R322-Q309+Q323)*(1+$B$7))</f>
        <v>284129.94919068483</v>
      </c>
      <c r="S323" s="18">
        <f t="shared" si="29"/>
        <v>171981.79983876096</v>
      </c>
    </row>
    <row r="324" spans="1:19">
      <c r="A324" s="10">
        <f>13</f>
        <v>13</v>
      </c>
      <c r="B324" s="18">
        <f>IF($A324&gt;20,0,(B309-MIN(MAX(C323,0),B309))+MIN(MAX(0,D323-(B309-MIN(MAX(C323,0),B309))),MAX(0,5*B309-(C323-MIN(MAX(C323,0),B309)))))</f>
        <v>30540</v>
      </c>
      <c r="C324" s="18">
        <f>IF($A324&gt;20,C323,(C323-B309+B324)*(1+$B$7))</f>
        <v>149460</v>
      </c>
      <c r="D324" s="18">
        <f t="shared" si="24"/>
        <v>757770.32473659073</v>
      </c>
      <c r="E324" s="18">
        <f>IF($A324&gt;20,0,(E309-MIN(MAX(F323,0),E309))+MIN(MAX(0,G323-(E309-MIN(MAX(F323,0),E309))),MAX(0,5*E309-(F323-MIN(MAX(F323,0),E309)))))</f>
        <v>0</v>
      </c>
      <c r="F324" s="18">
        <f>IF($A324&gt;20,F323,(F323-E309+E324)*(1+$B$7))</f>
        <v>89053.726852799751</v>
      </c>
      <c r="G324" s="18">
        <f t="shared" si="25"/>
        <v>0</v>
      </c>
      <c r="H324" s="18">
        <f>IF($A324&gt;20,0,(H309-MIN(MAX(I323,0),H309))+MIN(MAX(0,J323-(H309-MIN(MAX(I323,0),H309))),MAX(0,5*H309-(I323-MIN(MAX(I323,0),H309)))))</f>
        <v>59631.42978055944</v>
      </c>
      <c r="I324" s="18">
        <f>IF($A324&gt;20,I323,(I323-H309+H324)*(1+$B$7))</f>
        <v>291830.82825810101</v>
      </c>
      <c r="J324" s="18">
        <f t="shared" si="26"/>
        <v>80719.793846147048</v>
      </c>
      <c r="K324" s="18">
        <f>IF($A324&gt;20,0,(K309-MIN(MAX(L323,0),K309))+MIN(MAX(0,M323-(K309-MIN(MAX(L323,0),K309))),MAX(0,5*K309-(L323-MIN(MAX(L323,0),K309)))))</f>
        <v>58056.611522187566</v>
      </c>
      <c r="L324" s="18">
        <f>IF($A324&gt;20,L323,(L323-K309+K324)*(1+$B$7))</f>
        <v>284123.81002312229</v>
      </c>
      <c r="M324" s="18">
        <f t="shared" si="27"/>
        <v>117370.84695454902</v>
      </c>
      <c r="N324" s="18">
        <f>IF($A324&gt;20,0,(N309-MIN(MAX(O323,0),N309))+MIN(MAX(0,P323-(N309-MIN(MAX(O323,0),N309))),MAX(0,5*N309-(O323-MIN(MAX(O323,0),N309)))))</f>
        <v>58057.862799175928</v>
      </c>
      <c r="O324" s="18">
        <f>IF($A324&gt;20,O323,(O323-N309+N324)*(1+$B$7))</f>
        <v>284129.93365962128</v>
      </c>
      <c r="P324" s="18">
        <f t="shared" si="28"/>
        <v>117341.72574065081</v>
      </c>
      <c r="Q324" s="18">
        <f>IF($A324&gt;20,0,(Q309-MIN(MAX(R323,0),Q309))+MIN(MAX(0,S323-(Q309-MIN(MAX(R323,0),Q309))),MAX(0,5*Q309-(R323-MIN(MAX(R323,0),Q309)))))</f>
        <v>58057.865972725267</v>
      </c>
      <c r="R324" s="18">
        <f>IF($A324&gt;20,R323,(R323-Q309+Q324)*(1+$B$7))</f>
        <v>284129.94919068483</v>
      </c>
      <c r="S324" s="18">
        <f t="shared" si="29"/>
        <v>117341.65188201675</v>
      </c>
    </row>
    <row r="325" spans="1:19">
      <c r="A325" s="10">
        <f>14</f>
        <v>14</v>
      </c>
      <c r="B325" s="18">
        <f>IF($A325&gt;20,0,(B309-MIN(MAX(C324,0),B309))+MIN(MAX(0,D324-(B309-MIN(MAX(C324,0),B309))),MAX(0,5*B309-(C324-MIN(MAX(C324,0),B309)))))</f>
        <v>30540</v>
      </c>
      <c r="C325" s="18">
        <f>IF($A325&gt;20,C324,(C324-B309+B325)*(1+$B$7))</f>
        <v>149460</v>
      </c>
      <c r="D325" s="18">
        <f t="shared" si="24"/>
        <v>749047.23447868845</v>
      </c>
      <c r="E325" s="18">
        <f>IF($A325&gt;20,0,(E309-MIN(MAX(F324,0),E309))+MIN(MAX(0,G324-(E309-MIN(MAX(F324,0),E309))),MAX(0,5*E309-(F324-MIN(MAX(F324,0),E309)))))</f>
        <v>0</v>
      </c>
      <c r="F325" s="18">
        <f>IF($A325&gt;20,F324,(F324-E309+E325)*(1+$B$7))</f>
        <v>14003.133436129672</v>
      </c>
      <c r="G325" s="18">
        <f t="shared" si="25"/>
        <v>0</v>
      </c>
      <c r="H325" s="18">
        <f>IF($A325&gt;20,0,(H309-MIN(MAX(I324,0),H309))+MIN(MAX(0,J324-(H309-MIN(MAX(I324,0),H309))),MAX(0,5*H309-(I324-MIN(MAX(I324,0),H309)))))</f>
        <v>59631.42978055944</v>
      </c>
      <c r="I325" s="18">
        <f>IF($A325&gt;20,I324,(I324-H309+H325)*(1+$B$7))</f>
        <v>291830.82825810101</v>
      </c>
      <c r="J325" s="18">
        <f t="shared" si="26"/>
        <v>21721.014987555238</v>
      </c>
      <c r="K325" s="18">
        <f>IF($A325&gt;20,0,(K309-MIN(MAX(L324,0),K309))+MIN(MAX(0,M324-(K309-MIN(MAX(L324,0),K309))),MAX(0,5*K309-(L324-MIN(MAX(L324,0),K309)))))</f>
        <v>58056.611522187566</v>
      </c>
      <c r="L325" s="18">
        <f>IF($A325&gt;20,L324,(L324-K309+K325)*(1+$B$7))</f>
        <v>284123.81002312229</v>
      </c>
      <c r="M325" s="18">
        <f t="shared" si="27"/>
        <v>61093.662495332304</v>
      </c>
      <c r="N325" s="18">
        <f>IF($A325&gt;20,0,(N309-MIN(MAX(O324,0),N309))+MIN(MAX(0,P324-(N309-MIN(MAX(O324,0),N309))),MAX(0,5*N309-(O324-MIN(MAX(O324,0),N309)))))</f>
        <v>58057.862799175928</v>
      </c>
      <c r="O325" s="18">
        <f>IF($A325&gt;20,O324,(O324-N309+N325)*(1+$B$7))</f>
        <v>284129.93365962128</v>
      </c>
      <c r="P325" s="18">
        <f t="shared" si="28"/>
        <v>61062.378829719135</v>
      </c>
      <c r="Q325" s="18">
        <f>IF($A325&gt;20,0,(Q309-MIN(MAX(R324,0),Q309))+MIN(MAX(0,S324-(Q309-MIN(MAX(R324,0),Q309))),MAX(0,5*Q309-(R324-MIN(MAX(R324,0),Q309)))))</f>
        <v>58057.865972725267</v>
      </c>
      <c r="R325" s="18">
        <f>IF($A325&gt;20,R324,(R324-Q309+Q325)*(1+$B$7))</f>
        <v>284129.94919068483</v>
      </c>
      <c r="S325" s="18">
        <f t="shared" si="29"/>
        <v>61062.299486570235</v>
      </c>
    </row>
    <row r="326" spans="1:19">
      <c r="A326" s="10">
        <f>15</f>
        <v>15</v>
      </c>
      <c r="B326" s="18">
        <f>IF($A326&gt;20,0,(B309-MIN(MAX(C325,0),B309))+MIN(MAX(0,D325-(B309-MIN(MAX(C325,0),B309))),MAX(0,5*B309-(C325-MIN(MAX(C325,0),B309)))))</f>
        <v>30540</v>
      </c>
      <c r="C326" s="18">
        <f>IF($A326&gt;20,C325,(C325-B309+B326)*(1+$B$7))</f>
        <v>149460</v>
      </c>
      <c r="D326" s="18">
        <f t="shared" si="24"/>
        <v>740062.45151304908</v>
      </c>
      <c r="E326" s="18">
        <f>IF($A326&gt;20,0,(E309-MIN(MAX(F325,0),E309))+MIN(MAX(0,G325-(E309-MIN(MAX(F325,0),E309))),MAX(0,5*E309-(F325-MIN(MAX(F325,0),E309)))))</f>
        <v>60996.866563870324</v>
      </c>
      <c r="F326" s="18">
        <f>IF($A326&gt;20,F325,(F325-E309+E326)*(1+$B$7))</f>
        <v>0</v>
      </c>
      <c r="G326" s="18">
        <f t="shared" si="25"/>
        <v>-62826.772560786434</v>
      </c>
      <c r="H326" s="18">
        <f>IF($A326&gt;20,0,(H309-MIN(MAX(I325,0),H309))+MIN(MAX(0,J325-(H309-MIN(MAX(I325,0),H309))),MAX(0,5*H309-(I325-MIN(MAX(I325,0),H309)))))</f>
        <v>21721.014987555238</v>
      </c>
      <c r="I326" s="18">
        <f>IF($A326&gt;20,I325,(I325-H309+H326)*(1+$B$7))</f>
        <v>254056.89095835167</v>
      </c>
      <c r="J326" s="18">
        <f t="shared" si="26"/>
        <v>0</v>
      </c>
      <c r="K326" s="18">
        <f>IF($A326&gt;20,0,(K309-MIN(MAX(L325,0),K309))+MIN(MAX(0,M325-(K309-MIN(MAX(L325,0),K309))),MAX(0,5*K309-(L325-MIN(MAX(L325,0),K309)))))</f>
        <v>58056.611522187566</v>
      </c>
      <c r="L326" s="18">
        <f>IF($A326&gt;20,L325,(L325-K309+K326)*(1+$B$7))</f>
        <v>284123.81002312229</v>
      </c>
      <c r="M326" s="18">
        <f t="shared" si="27"/>
        <v>3128.1625023390807</v>
      </c>
      <c r="N326" s="18">
        <f>IF($A326&gt;20,0,(N309-MIN(MAX(O325,0),N309))+MIN(MAX(0,P325-(N309-MIN(MAX(O325,0),N309))),MAX(0,5*N309-(O325-MIN(MAX(O325,0),N309)))))</f>
        <v>58057.862799175928</v>
      </c>
      <c r="O326" s="18">
        <f>IF($A326&gt;20,O325,(O325-N309+N326)*(1+$B$7))</f>
        <v>284129.93365962128</v>
      </c>
      <c r="P326" s="18">
        <f t="shared" si="28"/>
        <v>3094.6515114595036</v>
      </c>
      <c r="Q326" s="18">
        <f>IF($A326&gt;20,0,(Q309-MIN(MAX(R325,0),Q309))+MIN(MAX(0,S325-(Q309-MIN(MAX(R325,0),Q309))),MAX(0,5*Q309-(R325-MIN(MAX(R325,0),Q309)))))</f>
        <v>58057.865972725267</v>
      </c>
      <c r="R326" s="18">
        <f>IF($A326&gt;20,R325,(R325-Q309+Q326)*(1+$B$7))</f>
        <v>284129.94919068483</v>
      </c>
      <c r="S326" s="18">
        <f t="shared" si="29"/>
        <v>3094.5665192603169</v>
      </c>
    </row>
    <row r="327" spans="1:19">
      <c r="A327" s="10">
        <f>16</f>
        <v>16</v>
      </c>
      <c r="B327" s="18">
        <f>IF($A327&gt;20,0,(B309-MIN(MAX(C326,0),B309))+MIN(MAX(0,D326-(B309-MIN(MAX(C326,0),B309))),MAX(0,5*B309-(C326-MIN(MAX(C326,0),B309)))))</f>
        <v>30540</v>
      </c>
      <c r="C327" s="18">
        <f>IF($A327&gt;20,C326,(C326-B309+B327)*(1+$B$7))</f>
        <v>149460</v>
      </c>
      <c r="D327" s="18">
        <f t="shared" si="24"/>
        <v>730808.12505844061</v>
      </c>
      <c r="E327" s="18">
        <f>IF($A327&gt;20,0,(E309-MIN(MAX(F326,0),E309))+MIN(MAX(0,G326-(E309-MIN(MAX(F326,0),E309))),MAX(0,5*E309-(F326-MIN(MAX(F326,0),E309)))))</f>
        <v>75000</v>
      </c>
      <c r="F327" s="18">
        <f>IF($A327&gt;20,F326,(F326-E309+E327)*(1+$B$7))</f>
        <v>0</v>
      </c>
      <c r="G327" s="18">
        <f t="shared" si="25"/>
        <v>-141961.57573761002</v>
      </c>
      <c r="H327" s="18">
        <f>IF($A327&gt;20,0,(H309-MIN(MAX(I326,0),H309))+MIN(MAX(0,J326-(H309-MIN(MAX(I326,0),H309))),MAX(0,5*H309-(I326-MIN(MAX(I326,0),H309)))))</f>
        <v>0</v>
      </c>
      <c r="I327" s="18">
        <f>IF($A327&gt;20,I326,(I326-H309+H327)*(1+$B$7))</f>
        <v>194776.12049928136</v>
      </c>
      <c r="J327" s="18">
        <f t="shared" si="26"/>
        <v>0</v>
      </c>
      <c r="K327" s="18">
        <f>IF($A327&gt;20,0,(K309-MIN(MAX(L326,0),K309))+MIN(MAX(0,M326-(K309-MIN(MAX(L326,0),K309))),MAX(0,5*K309-(L326-MIN(MAX(L326,0),K309)))))</f>
        <v>3128.1625023390807</v>
      </c>
      <c r="L327" s="18">
        <f>IF($A327&gt;20,L326,(L326-K309+K327)*(1+$B$7))</f>
        <v>229393.10341974525</v>
      </c>
      <c r="M327" s="18">
        <f t="shared" si="27"/>
        <v>0</v>
      </c>
      <c r="N327" s="18">
        <f>IF($A327&gt;20,0,(N309-MIN(MAX(O326,0),N309))+MIN(MAX(0,P326-(N309-MIN(MAX(O326,0),N309))),MAX(0,5*N309-(O326-MIN(MAX(O326,0),N309)))))</f>
        <v>3094.6515114595036</v>
      </c>
      <c r="O327" s="18">
        <f>IF($A327&gt;20,O326,(O326-N309+N327)*(1+$B$7))</f>
        <v>229364.58993254061</v>
      </c>
      <c r="P327" s="18">
        <f t="shared" si="28"/>
        <v>0</v>
      </c>
      <c r="Q327" s="18">
        <f>IF($A327&gt;20,0,(Q309-MIN(MAX(R326,0),Q309))+MIN(MAX(0,S326-(Q309-MIN(MAX(R326,0),Q309))),MAX(0,5*Q309-(R326-MIN(MAX(R326,0),Q309)))))</f>
        <v>3094.5665192603169</v>
      </c>
      <c r="R327" s="18">
        <f>IF($A327&gt;20,R326,(R326-Q309+Q327)*(1+$B$7))</f>
        <v>229364.51761525238</v>
      </c>
      <c r="S327" s="18">
        <f t="shared" si="29"/>
        <v>0</v>
      </c>
    </row>
    <row r="328" spans="1:19">
      <c r="A328" s="10">
        <f>17</f>
        <v>17</v>
      </c>
      <c r="B328" s="18">
        <f>IF($A328&gt;20,0,(B309-MIN(MAX(C327,0),B309))+MIN(MAX(0,D327-(B309-MIN(MAX(C327,0),B309))),MAX(0,5*B309-(C327-MIN(MAX(C327,0),B309)))))</f>
        <v>30540</v>
      </c>
      <c r="C328" s="18">
        <f>IF($A328&gt;20,C327,(C327-B309+B328)*(1+$B$7))</f>
        <v>149460</v>
      </c>
      <c r="D328" s="18">
        <f t="shared" si="24"/>
        <v>721276.16881019389</v>
      </c>
      <c r="E328" s="18">
        <f>IF($A328&gt;20,0,(E309-MIN(MAX(F327,0),E309))+MIN(MAX(0,G327-(E309-MIN(MAX(F327,0),E309))),MAX(0,5*E309-(F327-MIN(MAX(F327,0),E309)))))</f>
        <v>75000</v>
      </c>
      <c r="F328" s="18">
        <f>IF($A328&gt;20,F327,(F327-E309+E328)*(1+$B$7))</f>
        <v>0</v>
      </c>
      <c r="G328" s="18">
        <f t="shared" si="25"/>
        <v>-223470.42300973833</v>
      </c>
      <c r="H328" s="18">
        <f>IF($A328&gt;20,0,(H309-MIN(MAX(I327,0),H309))+MIN(MAX(0,J327-(H309-MIN(MAX(I327,0),H309))),MAX(0,5*H309-(I327-MIN(MAX(I327,0),H309)))))</f>
        <v>0</v>
      </c>
      <c r="I328" s="18">
        <f>IF($A328&gt;20,I327,(I327-H309+H328)*(1+$B$7))</f>
        <v>135708.76081386374</v>
      </c>
      <c r="J328" s="18">
        <f t="shared" si="26"/>
        <v>0</v>
      </c>
      <c r="K328" s="18">
        <f>IF($A328&gt;20,0,(K309-MIN(MAX(L327,0),K309))+MIN(MAX(0,M327-(K309-MIN(MAX(L327,0),K309))),MAX(0,5*K309-(L327-MIN(MAX(L327,0),K309)))))</f>
        <v>0</v>
      </c>
      <c r="L328" s="18">
        <f>IF($A328&gt;20,L327,(L327-K309+K328)*(1+$B$7))</f>
        <v>171742.52624280969</v>
      </c>
      <c r="M328" s="18">
        <f t="shared" si="27"/>
        <v>0</v>
      </c>
      <c r="N328" s="18">
        <f>IF($A328&gt;20,0,(N309-MIN(MAX(O327,0),N309))+MIN(MAX(0,P327-(N309-MIN(MAX(O327,0),N309))),MAX(0,5*N309-(O327-MIN(MAX(O327,0),N309)))))</f>
        <v>0</v>
      </c>
      <c r="O328" s="18">
        <f>IF($A328&gt;20,O327,(O327-N309+N328)*(1+$B$7))</f>
        <v>171712.89067685918</v>
      </c>
      <c r="P328" s="18">
        <f t="shared" si="28"/>
        <v>0</v>
      </c>
      <c r="Q328" s="18">
        <f>IF($A328&gt;20,0,(Q309-MIN(MAX(R327,0),Q309))+MIN(MAX(0,S327-(Q309-MIN(MAX(R327,0),Q309))),MAX(0,5*Q309-(R327-MIN(MAX(R327,0),Q309)))))</f>
        <v>0</v>
      </c>
      <c r="R328" s="18">
        <f>IF($A328&gt;20,R327,(R327-Q309+Q328)*(1+$B$7))</f>
        <v>171712.81551370051</v>
      </c>
      <c r="S328" s="18">
        <f t="shared" si="29"/>
        <v>0</v>
      </c>
    </row>
    <row r="329" spans="1:19">
      <c r="A329" s="10">
        <f>18</f>
        <v>18</v>
      </c>
      <c r="B329" s="18">
        <f>IF($A329&gt;20,0,(B309-MIN(MAX(C328,0),B309))+MIN(MAX(0,D328-(B309-MIN(MAX(C328,0),B309))),MAX(0,5*B309-(C328-MIN(MAX(C328,0),B309)))))</f>
        <v>30540</v>
      </c>
      <c r="C329" s="18">
        <f>IF($A329&gt;20,C328,(C328-B309+B329)*(1+$B$7))</f>
        <v>149460</v>
      </c>
      <c r="D329" s="18">
        <f t="shared" si="24"/>
        <v>711458.2538744997</v>
      </c>
      <c r="E329" s="18">
        <f>IF($A329&gt;20,0,(E309-MIN(MAX(F328,0),E309))+MIN(MAX(0,G328-(E309-MIN(MAX(F328,0),E309))),MAX(0,5*E309-(F328-MIN(MAX(F328,0),E309)))))</f>
        <v>75000</v>
      </c>
      <c r="F329" s="18">
        <f>IF($A329&gt;20,F328,(F328-E309+E329)*(1+$B$7))</f>
        <v>0</v>
      </c>
      <c r="G329" s="18">
        <f t="shared" si="25"/>
        <v>-307424.53570003051</v>
      </c>
      <c r="H329" s="18">
        <f>IF($A329&gt;20,0,(H309-MIN(MAX(I328,0),H309))+MIN(MAX(0,J328-(H309-MIN(MAX(I328,0),H309))),MAX(0,5*H309-(I328-MIN(MAX(I328,0),H309)))))</f>
        <v>0</v>
      </c>
      <c r="I329" s="18">
        <f>IF($A329&gt;20,I328,(I328-H309+H329)*(1+$B$7))</f>
        <v>76854.043623313628</v>
      </c>
      <c r="J329" s="18">
        <f t="shared" si="26"/>
        <v>0</v>
      </c>
      <c r="K329" s="18">
        <f>IF($A329&gt;20,0,(K309-MIN(MAX(L328,0),K309))+MIN(MAX(0,M328-(K309-MIN(MAX(L328,0),K309))),MAX(0,5*K309-(L328-MIN(MAX(L328,0),K309)))))</f>
        <v>0</v>
      </c>
      <c r="L329" s="18">
        <f>IF($A329&gt;20,L328,(L328-K309+K329)*(1+$B$7))</f>
        <v>114299.49114371112</v>
      </c>
      <c r="M329" s="18">
        <f t="shared" si="27"/>
        <v>0</v>
      </c>
      <c r="N329" s="18">
        <f>IF($A329&gt;20,0,(N309-MIN(MAX(O328,0),N309))+MIN(MAX(0,P328-(N309-MIN(MAX(O328,0),N309))),MAX(0,5*N309-(O328-MIN(MAX(O328,0),N309)))))</f>
        <v>0</v>
      </c>
      <c r="O329" s="18">
        <f>IF($A329&gt;20,O328,(O328-N309+N329)*(1+$B$7))</f>
        <v>114268.73753849823</v>
      </c>
      <c r="P329" s="18">
        <f t="shared" si="28"/>
        <v>0</v>
      </c>
      <c r="Q329" s="18">
        <f>IF($A329&gt;20,0,(Q309-MIN(MAX(R328,0),Q309))+MIN(MAX(0,S328-(Q309-MIN(MAX(R328,0),Q309))),MAX(0,5*Q309-(R328-MIN(MAX(R328,0),Q309)))))</f>
        <v>0</v>
      </c>
      <c r="R329" s="18">
        <f>IF($A329&gt;20,R328,(R328-Q309+Q329)*(1+$B$7))</f>
        <v>114268.65953971422</v>
      </c>
      <c r="S329" s="18">
        <f t="shared" si="29"/>
        <v>0</v>
      </c>
    </row>
    <row r="330" spans="1:19">
      <c r="A330" s="10">
        <f>19</f>
        <v>19</v>
      </c>
      <c r="B330" s="18">
        <f>IF($A330&gt;20,0,(B309-MIN(MAX(C329,0),B309))+MIN(MAX(0,D329-(B309-MIN(MAX(C329,0),B309))),MAX(0,5*B309-(C329-MIN(MAX(C329,0),B309)))))</f>
        <v>30540</v>
      </c>
      <c r="C330" s="18">
        <f>IF($A330&gt;20,C329,(C329-B309+B330)*(1+$B$7))</f>
        <v>149460</v>
      </c>
      <c r="D330" s="18">
        <f t="shared" si="24"/>
        <v>701345.80149073468</v>
      </c>
      <c r="E330" s="18">
        <f>IF($A330&gt;20,0,(E309-MIN(MAX(F329,0),E309))+MIN(MAX(0,G329-(E309-MIN(MAX(F329,0),E309))),MAX(0,5*E309-(F329-MIN(MAX(F329,0),E309)))))</f>
        <v>75000</v>
      </c>
      <c r="F330" s="18">
        <f>IF($A330&gt;20,F329,(F329-E309+E330)*(1+$B$7))</f>
        <v>0</v>
      </c>
      <c r="G330" s="18">
        <f t="shared" si="25"/>
        <v>-393897.27177103143</v>
      </c>
      <c r="H330" s="18">
        <f>IF($A330&gt;20,0,(H309-MIN(MAX(I329,0),H309))+MIN(MAX(0,J329-(H309-MIN(MAX(I329,0),H309))),MAX(0,5*H309-(I329-MIN(MAX(I329,0),H309)))))</f>
        <v>0</v>
      </c>
      <c r="I330" s="18">
        <f>IF($A330&gt;20,I329,(I329-H309+H330)*(1+$B$7))</f>
        <v>18211.203414649492</v>
      </c>
      <c r="J330" s="18">
        <f t="shared" si="26"/>
        <v>0</v>
      </c>
      <c r="K330" s="18">
        <f>IF($A330&gt;20,0,(K309-MIN(MAX(L329,0),K309))+MIN(MAX(0,M329-(K309-MIN(MAX(L329,0),K309))),MAX(0,5*K309-(L329-MIN(MAX(L329,0),K309)))))</f>
        <v>0</v>
      </c>
      <c r="L330" s="18">
        <f>IF($A330&gt;20,L329,(L329-K309+K330)*(1+$B$7))</f>
        <v>57063.250970969289</v>
      </c>
      <c r="M330" s="18">
        <f t="shared" si="27"/>
        <v>0</v>
      </c>
      <c r="N330" s="18">
        <f>IF($A330&gt;20,0,(N309-MIN(MAX(O329,0),N309))+MIN(MAX(0,P329-(N309-MIN(MAX(O329,0),N309))),MAX(0,5*N309-(O329-MIN(MAX(O329,0),N309)))))</f>
        <v>0</v>
      </c>
      <c r="O330" s="18">
        <f>IF($A330&gt;20,O329,(O329-N309+N330)*(1+$B$7))</f>
        <v>57031.383351435376</v>
      </c>
      <c r="P330" s="18">
        <f t="shared" si="28"/>
        <v>0</v>
      </c>
      <c r="Q330" s="18">
        <f>IF($A330&gt;20,0,(Q309-MIN(MAX(R329,0),Q309))+MIN(MAX(0,S329-(Q309-MIN(MAX(R329,0),Q309))),MAX(0,5*Q309-(R329-MIN(MAX(R329,0),Q309)))))</f>
        <v>0</v>
      </c>
      <c r="R330" s="18">
        <f>IF($A330&gt;20,R329,(R329-Q309+Q330)*(1+$B$7))</f>
        <v>57031.302527234278</v>
      </c>
      <c r="S330" s="18">
        <f t="shared" si="29"/>
        <v>0</v>
      </c>
    </row>
    <row r="331" spans="1:19">
      <c r="A331" s="10">
        <f>20</f>
        <v>20</v>
      </c>
      <c r="B331" s="18">
        <f>IF($A331&gt;20,0,(B309-MIN(MAX(C330,0),B309))+MIN(MAX(0,D330-(B309-MIN(MAX(C330,0),B309))),MAX(0,5*B309-(C330-MIN(MAX(C330,0),B309)))))</f>
        <v>30540</v>
      </c>
      <c r="C331" s="18">
        <f>IF($A331&gt;20,C330,(C330-B309+B331)*(1+$B$7))</f>
        <v>149460</v>
      </c>
      <c r="D331" s="18">
        <f t="shared" si="24"/>
        <v>690929.97553545679</v>
      </c>
      <c r="E331" s="18">
        <f>IF($A331&gt;20,0,(E309-MIN(MAX(F330,0),E309))+MIN(MAX(0,G330-(E309-MIN(MAX(F330,0),E309))),MAX(0,5*E309-(F330-MIN(MAX(F330,0),E309)))))</f>
        <v>75000</v>
      </c>
      <c r="F331" s="18">
        <f>IF($A331&gt;20,F330,(F330-E309+E331)*(1+$B$7))</f>
        <v>0</v>
      </c>
      <c r="G331" s="18">
        <f t="shared" si="25"/>
        <v>-482964.18992416241</v>
      </c>
      <c r="H331" s="18">
        <f>IF($A331&gt;20,0,(H309-MIN(MAX(I330,0),H309))+MIN(MAX(0,J330-(H309-MIN(MAX(I330,0),H309))),MAX(0,5*H309-(I330-MIN(MAX(I330,0),H309)))))</f>
        <v>40365.839591793912</v>
      </c>
      <c r="I331" s="18">
        <f>IF($A331&gt;20,I330,(I330-H309+H331)*(1+$B$7))</f>
        <v>0</v>
      </c>
      <c r="J331" s="18">
        <f t="shared" si="26"/>
        <v>-41576.814779547734</v>
      </c>
      <c r="K331" s="18">
        <f>IF($A331&gt;20,0,(K309-MIN(MAX(L330,0),K309))+MIN(MAX(0,M330-(K309-MIN(MAX(L330,0),K309))),MAX(0,5*K309-(L330-MIN(MAX(L330,0),K309)))))</f>
        <v>0</v>
      </c>
      <c r="L331" s="18">
        <f>IF($A331&gt;20,L330,(L330-K309+K331)*(1+$B$7))</f>
        <v>33.061262849338014</v>
      </c>
      <c r="M331" s="18">
        <f t="shared" si="27"/>
        <v>0</v>
      </c>
      <c r="N331" s="18">
        <f>IF($A331&gt;20,0,(N309-MIN(MAX(O330,0),N309))+MIN(MAX(0,P330-(N309-MIN(MAX(O330,0),N309))),MAX(0,5*N309-(O330-MIN(MAX(O330,0),N309)))))</f>
        <v>0</v>
      </c>
      <c r="O331" s="18">
        <f>IF($A331&gt;20,O330,(O330-N309+N331)*(1+$B$7))</f>
        <v>8.36394459467905E-2</v>
      </c>
      <c r="P331" s="18">
        <f t="shared" si="28"/>
        <v>0</v>
      </c>
      <c r="Q331" s="18">
        <f>IF($A331&gt;20,0,(Q309-MIN(MAX(R330,0),Q309))+MIN(MAX(0,S330-(Q309-MIN(MAX(R330,0),Q309))),MAX(0,5*Q309-(R330-MIN(MAX(R330,0),Q309)))))</f>
        <v>7.3487171903252602E-10</v>
      </c>
      <c r="R331" s="18">
        <f>IF($A331&gt;20,R330,(R330-Q309+Q331)*(1+$B$7))</f>
        <v>0</v>
      </c>
      <c r="S331" s="18">
        <f t="shared" si="29"/>
        <v>-7.569178706035018E-10</v>
      </c>
    </row>
    <row r="332" spans="1:19">
      <c r="A332" s="10">
        <f>21</f>
        <v>21</v>
      </c>
      <c r="B332" s="18">
        <f>IF($A332&gt;20,0,(B309-MIN(MAX(C331,0),B309))+MIN(MAX(0,D331-(B309-MIN(MAX(C331,0),B309))),MAX(0,5*B309-(C331-MIN(MAX(C331,0),B309)))))</f>
        <v>0</v>
      </c>
      <c r="C332" s="18">
        <f>IF($A332&gt;20,C331,(C331-B309+B332)*(1+$B$7))</f>
        <v>149460</v>
      </c>
      <c r="D332" s="18">
        <f t="shared" si="24"/>
        <v>690929.97553545679</v>
      </c>
      <c r="E332" s="18">
        <f>IF($A332&gt;20,0,(E309-MIN(MAX(F331,0),E309))+MIN(MAX(0,G331-(E309-MIN(MAX(F331,0),E309))),MAX(0,5*E309-(F331-MIN(MAX(F331,0),E309)))))</f>
        <v>0</v>
      </c>
      <c r="F332" s="18">
        <f>IF($A332&gt;20,F331,(F331-E309+E332)*(1+$B$7))</f>
        <v>0</v>
      </c>
      <c r="G332" s="18">
        <f t="shared" si="25"/>
        <v>-482964.18992416241</v>
      </c>
      <c r="H332" s="18">
        <f>IF($A332&gt;20,0,(H309-MIN(MAX(I331,0),H309))+MIN(MAX(0,J331-(H309-MIN(MAX(I331,0),H309))),MAX(0,5*H309-(I331-MIN(MAX(I331,0),H309)))))</f>
        <v>0</v>
      </c>
      <c r="I332" s="18">
        <f>IF($A332&gt;20,I331,(I331-H309+H332)*(1+$B$7))</f>
        <v>0</v>
      </c>
      <c r="J332" s="18">
        <f t="shared" si="26"/>
        <v>-41576.814779547734</v>
      </c>
      <c r="K332" s="18">
        <f>IF($A332&gt;20,0,(K309-MIN(MAX(L331,0),K309))+MIN(MAX(0,M331-(K309-MIN(MAX(L331,0),K309))),MAX(0,5*K309-(L331-MIN(MAX(L331,0),K309)))))</f>
        <v>0</v>
      </c>
      <c r="L332" s="18">
        <f>IF($A332&gt;20,L331,(L331-K309+K332)*(1+$B$7))</f>
        <v>33.061262849338014</v>
      </c>
      <c r="M332" s="18">
        <f t="shared" si="27"/>
        <v>0</v>
      </c>
      <c r="N332" s="18">
        <f>IF($A332&gt;20,0,(N309-MIN(MAX(O331,0),N309))+MIN(MAX(0,P331-(N309-MIN(MAX(O331,0),N309))),MAX(0,5*N309-(O331-MIN(MAX(O331,0),N309)))))</f>
        <v>0</v>
      </c>
      <c r="O332" s="18">
        <f>IF($A332&gt;20,O331,(O331-N309+N332)*(1+$B$7))</f>
        <v>8.36394459467905E-2</v>
      </c>
      <c r="P332" s="18">
        <f t="shared" si="28"/>
        <v>0</v>
      </c>
      <c r="Q332" s="18">
        <f>IF($A332&gt;20,0,(Q309-MIN(MAX(R331,0),Q309))+MIN(MAX(0,S331-(Q309-MIN(MAX(R331,0),Q309))),MAX(0,5*Q309-(R331-MIN(MAX(R331,0),Q309)))))</f>
        <v>0</v>
      </c>
      <c r="R332" s="18">
        <f>IF($A332&gt;20,R331,(R331-Q309+Q332)*(1+$B$7))</f>
        <v>0</v>
      </c>
      <c r="S332" s="18">
        <f t="shared" si="29"/>
        <v>-7.569178706035018E-10</v>
      </c>
    </row>
    <row r="333" spans="1:19">
      <c r="A333" s="10">
        <f>22</f>
        <v>22</v>
      </c>
      <c r="B333" s="18">
        <f>IF($A333&gt;20,0,(B309-MIN(MAX(C332,0),B309))+MIN(MAX(0,D332-(B309-MIN(MAX(C332,0),B309))),MAX(0,5*B309-(C332-MIN(MAX(C332,0),B309)))))</f>
        <v>0</v>
      </c>
      <c r="C333" s="18">
        <f>IF($A333&gt;20,C332,(C332-B309+B333)*(1+$B$7))</f>
        <v>149460</v>
      </c>
      <c r="D333" s="18">
        <f t="shared" si="24"/>
        <v>690929.97553545679</v>
      </c>
      <c r="E333" s="18">
        <f>IF($A333&gt;20,0,(E309-MIN(MAX(F332,0),E309))+MIN(MAX(0,G332-(E309-MIN(MAX(F332,0),E309))),MAX(0,5*E309-(F332-MIN(MAX(F332,0),E309)))))</f>
        <v>0</v>
      </c>
      <c r="F333" s="18">
        <f>IF($A333&gt;20,F332,(F332-E309+E333)*(1+$B$7))</f>
        <v>0</v>
      </c>
      <c r="G333" s="18">
        <f t="shared" si="25"/>
        <v>-482964.18992416241</v>
      </c>
      <c r="H333" s="18">
        <f>IF($A333&gt;20,0,(H309-MIN(MAX(I332,0),H309))+MIN(MAX(0,J332-(H309-MIN(MAX(I332,0),H309))),MAX(0,5*H309-(I332-MIN(MAX(I332,0),H309)))))</f>
        <v>0</v>
      </c>
      <c r="I333" s="18">
        <f>IF($A333&gt;20,I332,(I332-H309+H333)*(1+$B$7))</f>
        <v>0</v>
      </c>
      <c r="J333" s="18">
        <f t="shared" si="26"/>
        <v>-41576.814779547734</v>
      </c>
      <c r="K333" s="18">
        <f>IF($A333&gt;20,0,(K309-MIN(MAX(L332,0),K309))+MIN(MAX(0,M332-(K309-MIN(MAX(L332,0),K309))),MAX(0,5*K309-(L332-MIN(MAX(L332,0),K309)))))</f>
        <v>0</v>
      </c>
      <c r="L333" s="18">
        <f>IF($A333&gt;20,L332,(L332-K309+K333)*(1+$B$7))</f>
        <v>33.061262849338014</v>
      </c>
      <c r="M333" s="18">
        <f t="shared" si="27"/>
        <v>0</v>
      </c>
      <c r="N333" s="18">
        <f>IF($A333&gt;20,0,(N309-MIN(MAX(O332,0),N309))+MIN(MAX(0,P332-(N309-MIN(MAX(O332,0),N309))),MAX(0,5*N309-(O332-MIN(MAX(O332,0),N309)))))</f>
        <v>0</v>
      </c>
      <c r="O333" s="18">
        <f>IF($A333&gt;20,O332,(O332-N309+N333)*(1+$B$7))</f>
        <v>8.36394459467905E-2</v>
      </c>
      <c r="P333" s="18">
        <f t="shared" si="28"/>
        <v>0</v>
      </c>
      <c r="Q333" s="18">
        <f>IF($A333&gt;20,0,(Q309-MIN(MAX(R332,0),Q309))+MIN(MAX(0,S332-(Q309-MIN(MAX(R332,0),Q309))),MAX(0,5*Q309-(R332-MIN(MAX(R332,0),Q309)))))</f>
        <v>0</v>
      </c>
      <c r="R333" s="18">
        <f>IF($A333&gt;20,R332,(R332-Q309+Q333)*(1+$B$7))</f>
        <v>0</v>
      </c>
      <c r="S333" s="18">
        <f t="shared" si="29"/>
        <v>-7.569178706035018E-10</v>
      </c>
    </row>
    <row r="334" spans="1:19">
      <c r="A334" s="10">
        <f>23</f>
        <v>23</v>
      </c>
      <c r="B334" s="18">
        <f>IF($A334&gt;20,0,(B309-MIN(MAX(C333,0),B309))+MIN(MAX(0,D333-(B309-MIN(MAX(C333,0),B309))),MAX(0,5*B309-(C333-MIN(MAX(C333,0),B309)))))</f>
        <v>0</v>
      </c>
      <c r="C334" s="18">
        <f>IF($A334&gt;20,C333,(C333-B309+B334)*(1+$B$7))</f>
        <v>149460</v>
      </c>
      <c r="D334" s="18">
        <f t="shared" si="24"/>
        <v>690929.97553545679</v>
      </c>
      <c r="E334" s="18">
        <f>IF($A334&gt;20,0,(E309-MIN(MAX(F333,0),E309))+MIN(MAX(0,G333-(E309-MIN(MAX(F333,0),E309))),MAX(0,5*E309-(F333-MIN(MAX(F333,0),E309)))))</f>
        <v>0</v>
      </c>
      <c r="F334" s="18">
        <f>IF($A334&gt;20,F333,(F333-E309+E334)*(1+$B$7))</f>
        <v>0</v>
      </c>
      <c r="G334" s="18">
        <f t="shared" si="25"/>
        <v>-482964.18992416241</v>
      </c>
      <c r="H334" s="18">
        <f>IF($A334&gt;20,0,(H309-MIN(MAX(I333,0),H309))+MIN(MAX(0,J333-(H309-MIN(MAX(I333,0),H309))),MAX(0,5*H309-(I333-MIN(MAX(I333,0),H309)))))</f>
        <v>0</v>
      </c>
      <c r="I334" s="18">
        <f>IF($A334&gt;20,I333,(I333-H309+H334)*(1+$B$7))</f>
        <v>0</v>
      </c>
      <c r="J334" s="18">
        <f t="shared" si="26"/>
        <v>-41576.814779547734</v>
      </c>
      <c r="K334" s="18">
        <f>IF($A334&gt;20,0,(K309-MIN(MAX(L333,0),K309))+MIN(MAX(0,M333-(K309-MIN(MAX(L333,0),K309))),MAX(0,5*K309-(L333-MIN(MAX(L333,0),K309)))))</f>
        <v>0</v>
      </c>
      <c r="L334" s="18">
        <f>IF($A334&gt;20,L333,(L333-K309+K334)*(1+$B$7))</f>
        <v>33.061262849338014</v>
      </c>
      <c r="M334" s="18">
        <f t="shared" si="27"/>
        <v>0</v>
      </c>
      <c r="N334" s="18">
        <f>IF($A334&gt;20,0,(N309-MIN(MAX(O333,0),N309))+MIN(MAX(0,P333-(N309-MIN(MAX(O333,0),N309))),MAX(0,5*N309-(O333-MIN(MAX(O333,0),N309)))))</f>
        <v>0</v>
      </c>
      <c r="O334" s="18">
        <f>IF($A334&gt;20,O333,(O333-N309+N334)*(1+$B$7))</f>
        <v>8.36394459467905E-2</v>
      </c>
      <c r="P334" s="18">
        <f t="shared" si="28"/>
        <v>0</v>
      </c>
      <c r="Q334" s="18">
        <f>IF($A334&gt;20,0,(Q309-MIN(MAX(R333,0),Q309))+MIN(MAX(0,S333-(Q309-MIN(MAX(R333,0),Q309))),MAX(0,5*Q309-(R333-MIN(MAX(R333,0),Q309)))))</f>
        <v>0</v>
      </c>
      <c r="R334" s="18">
        <f>IF($A334&gt;20,R333,(R333-Q309+Q334)*(1+$B$7))</f>
        <v>0</v>
      </c>
      <c r="S334" s="18">
        <f t="shared" si="29"/>
        <v>-7.569178706035018E-10</v>
      </c>
    </row>
    <row r="335" spans="1:19">
      <c r="A335" s="10">
        <f>24</f>
        <v>24</v>
      </c>
      <c r="B335" s="18">
        <f>IF($A335&gt;20,0,(B309-MIN(MAX(C334,0),B309))+MIN(MAX(0,D334-(B309-MIN(MAX(C334,0),B309))),MAX(0,5*B309-(C334-MIN(MAX(C334,0),B309)))))</f>
        <v>0</v>
      </c>
      <c r="C335" s="18">
        <f>IF($A335&gt;20,C334,(C334-B309+B335)*(1+$B$7))</f>
        <v>149460</v>
      </c>
      <c r="D335" s="18">
        <f t="shared" si="24"/>
        <v>690929.97553545679</v>
      </c>
      <c r="E335" s="18">
        <f>IF($A335&gt;20,0,(E309-MIN(MAX(F334,0),E309))+MIN(MAX(0,G334-(E309-MIN(MAX(F334,0),E309))),MAX(0,5*E309-(F334-MIN(MAX(F334,0),E309)))))</f>
        <v>0</v>
      </c>
      <c r="F335" s="18">
        <f>IF($A335&gt;20,F334,(F334-E309+E335)*(1+$B$7))</f>
        <v>0</v>
      </c>
      <c r="G335" s="18">
        <f t="shared" si="25"/>
        <v>-482964.18992416241</v>
      </c>
      <c r="H335" s="18">
        <f>IF($A335&gt;20,0,(H309-MIN(MAX(I334,0),H309))+MIN(MAX(0,J334-(H309-MIN(MAX(I334,0),H309))),MAX(0,5*H309-(I334-MIN(MAX(I334,0),H309)))))</f>
        <v>0</v>
      </c>
      <c r="I335" s="18">
        <f>IF($A335&gt;20,I334,(I334-H309+H335)*(1+$B$7))</f>
        <v>0</v>
      </c>
      <c r="J335" s="18">
        <f t="shared" si="26"/>
        <v>-41576.814779547734</v>
      </c>
      <c r="K335" s="18">
        <f>IF($A335&gt;20,0,(K309-MIN(MAX(L334,0),K309))+MIN(MAX(0,M334-(K309-MIN(MAX(L334,0),K309))),MAX(0,5*K309-(L334-MIN(MAX(L334,0),K309)))))</f>
        <v>0</v>
      </c>
      <c r="L335" s="18">
        <f>IF($A335&gt;20,L334,(L334-K309+K335)*(1+$B$7))</f>
        <v>33.061262849338014</v>
      </c>
      <c r="M335" s="18">
        <f t="shared" si="27"/>
        <v>0</v>
      </c>
      <c r="N335" s="18">
        <f>IF($A335&gt;20,0,(N309-MIN(MAX(O334,0),N309))+MIN(MAX(0,P334-(N309-MIN(MAX(O334,0),N309))),MAX(0,5*N309-(O334-MIN(MAX(O334,0),N309)))))</f>
        <v>0</v>
      </c>
      <c r="O335" s="18">
        <f>IF($A335&gt;20,O334,(O334-N309+N335)*(1+$B$7))</f>
        <v>8.36394459467905E-2</v>
      </c>
      <c r="P335" s="18">
        <f t="shared" si="28"/>
        <v>0</v>
      </c>
      <c r="Q335" s="18">
        <f>IF($A335&gt;20,0,(Q309-MIN(MAX(R334,0),Q309))+MIN(MAX(0,S334-(Q309-MIN(MAX(R334,0),Q309))),MAX(0,5*Q309-(R334-MIN(MAX(R334,0),Q309)))))</f>
        <v>0</v>
      </c>
      <c r="R335" s="18">
        <f>IF($A335&gt;20,R334,(R334-Q309+Q335)*(1+$B$7))</f>
        <v>0</v>
      </c>
      <c r="S335" s="18">
        <f t="shared" si="29"/>
        <v>-7.569178706035018E-10</v>
      </c>
    </row>
    <row r="336" spans="1:19">
      <c r="A336" s="10">
        <f>25</f>
        <v>25</v>
      </c>
      <c r="B336" s="18">
        <f>IF($A336&gt;20,0,(B309-MIN(MAX(C335,0),B309))+MIN(MAX(0,D335-(B309-MIN(MAX(C335,0),B309))),MAX(0,5*B309-(C335-MIN(MAX(C335,0),B309)))))</f>
        <v>0</v>
      </c>
      <c r="C336" s="18">
        <f>IF($A336&gt;20,C335,(C335-B309+B336)*(1+$B$7))</f>
        <v>149460</v>
      </c>
      <c r="D336" s="18">
        <f t="shared" si="24"/>
        <v>690929.97553545679</v>
      </c>
      <c r="E336" s="18">
        <f>IF($A336&gt;20,0,(E309-MIN(MAX(F335,0),E309))+MIN(MAX(0,G335-(E309-MIN(MAX(F335,0),E309))),MAX(0,5*E309-(F335-MIN(MAX(F335,0),E309)))))</f>
        <v>0</v>
      </c>
      <c r="F336" s="18">
        <f>IF($A336&gt;20,F335,(F335-E309+E336)*(1+$B$7))</f>
        <v>0</v>
      </c>
      <c r="G336" s="18">
        <f t="shared" si="25"/>
        <v>-482964.18992416241</v>
      </c>
      <c r="H336" s="18">
        <f>IF($A336&gt;20,0,(H309-MIN(MAX(I335,0),H309))+MIN(MAX(0,J335-(H309-MIN(MAX(I335,0),H309))),MAX(0,5*H309-(I335-MIN(MAX(I335,0),H309)))))</f>
        <v>0</v>
      </c>
      <c r="I336" s="18">
        <f>IF($A336&gt;20,I335,(I335-H309+H336)*(1+$B$7))</f>
        <v>0</v>
      </c>
      <c r="J336" s="18">
        <f t="shared" si="26"/>
        <v>-41576.814779547734</v>
      </c>
      <c r="K336" s="18">
        <f>IF($A336&gt;20,0,(K309-MIN(MAX(L335,0),K309))+MIN(MAX(0,M335-(K309-MIN(MAX(L335,0),K309))),MAX(0,5*K309-(L335-MIN(MAX(L335,0),K309)))))</f>
        <v>0</v>
      </c>
      <c r="L336" s="18">
        <f>IF($A336&gt;20,L335,(L335-K309+K336)*(1+$B$7))</f>
        <v>33.061262849338014</v>
      </c>
      <c r="M336" s="18">
        <f t="shared" si="27"/>
        <v>0</v>
      </c>
      <c r="N336" s="18">
        <f>IF($A336&gt;20,0,(N309-MIN(MAX(O335,0),N309))+MIN(MAX(0,P335-(N309-MIN(MAX(O335,0),N309))),MAX(0,5*N309-(O335-MIN(MAX(O335,0),N309)))))</f>
        <v>0</v>
      </c>
      <c r="O336" s="18">
        <f>IF($A336&gt;20,O335,(O335-N309+N336)*(1+$B$7))</f>
        <v>8.36394459467905E-2</v>
      </c>
      <c r="P336" s="18">
        <f t="shared" si="28"/>
        <v>0</v>
      </c>
      <c r="Q336" s="18">
        <f>IF($A336&gt;20,0,(Q309-MIN(MAX(R335,0),Q309))+MIN(MAX(0,S335-(Q309-MIN(MAX(R335,0),Q309))),MAX(0,5*Q309-(R335-MIN(MAX(R335,0),Q309)))))</f>
        <v>0</v>
      </c>
      <c r="R336" s="18">
        <f>IF($A336&gt;20,R335,(R335-Q309+Q336)*(1+$B$7))</f>
        <v>0</v>
      </c>
      <c r="S336" s="18">
        <f t="shared" si="29"/>
        <v>-7.569178706035018E-10</v>
      </c>
    </row>
    <row r="337" spans="1:19">
      <c r="A337" s="10">
        <f>26</f>
        <v>26</v>
      </c>
      <c r="B337" s="18">
        <f>IF($A337&gt;20,0,(B309-MIN(MAX(C336,0),B309))+MIN(MAX(0,D336-(B309-MIN(MAX(C336,0),B309))),MAX(0,5*B309-(C336-MIN(MAX(C336,0),B309)))))</f>
        <v>0</v>
      </c>
      <c r="C337" s="18">
        <f>IF($A337&gt;20,C336,(C336-B309+B337)*(1+$B$7))</f>
        <v>149460</v>
      </c>
      <c r="D337" s="18">
        <f t="shared" si="24"/>
        <v>690929.97553545679</v>
      </c>
      <c r="E337" s="18">
        <f>IF($A337&gt;20,0,(E309-MIN(MAX(F336,0),E309))+MIN(MAX(0,G336-(E309-MIN(MAX(F336,0),E309))),MAX(0,5*E309-(F336-MIN(MAX(F336,0),E309)))))</f>
        <v>0</v>
      </c>
      <c r="F337" s="18">
        <f>IF($A337&gt;20,F336,(F336-E309+E337)*(1+$B$7))</f>
        <v>0</v>
      </c>
      <c r="G337" s="18">
        <f t="shared" si="25"/>
        <v>-482964.18992416241</v>
      </c>
      <c r="H337" s="18">
        <f>IF($A337&gt;20,0,(H309-MIN(MAX(I336,0),H309))+MIN(MAX(0,J336-(H309-MIN(MAX(I336,0),H309))),MAX(0,5*H309-(I336-MIN(MAX(I336,0),H309)))))</f>
        <v>0</v>
      </c>
      <c r="I337" s="18">
        <f>IF($A337&gt;20,I336,(I336-H309+H337)*(1+$B$7))</f>
        <v>0</v>
      </c>
      <c r="J337" s="18">
        <f t="shared" si="26"/>
        <v>-41576.814779547734</v>
      </c>
      <c r="K337" s="18">
        <f>IF($A337&gt;20,0,(K309-MIN(MAX(L336,0),K309))+MIN(MAX(0,M336-(K309-MIN(MAX(L336,0),K309))),MAX(0,5*K309-(L336-MIN(MAX(L336,0),K309)))))</f>
        <v>0</v>
      </c>
      <c r="L337" s="18">
        <f>IF($A337&gt;20,L336,(L336-K309+K337)*(1+$B$7))</f>
        <v>33.061262849338014</v>
      </c>
      <c r="M337" s="18">
        <f t="shared" si="27"/>
        <v>0</v>
      </c>
      <c r="N337" s="18">
        <f>IF($A337&gt;20,0,(N309-MIN(MAX(O336,0),N309))+MIN(MAX(0,P336-(N309-MIN(MAX(O336,0),N309))),MAX(0,5*N309-(O336-MIN(MAX(O336,0),N309)))))</f>
        <v>0</v>
      </c>
      <c r="O337" s="18">
        <f>IF($A337&gt;20,O336,(O336-N309+N337)*(1+$B$7))</f>
        <v>8.36394459467905E-2</v>
      </c>
      <c r="P337" s="18">
        <f t="shared" si="28"/>
        <v>0</v>
      </c>
      <c r="Q337" s="18">
        <f>IF($A337&gt;20,0,(Q309-MIN(MAX(R336,0),Q309))+MIN(MAX(0,S336-(Q309-MIN(MAX(R336,0),Q309))),MAX(0,5*Q309-(R336-MIN(MAX(R336,0),Q309)))))</f>
        <v>0</v>
      </c>
      <c r="R337" s="18">
        <f>IF($A337&gt;20,R336,(R336-Q309+Q337)*(1+$B$7))</f>
        <v>0</v>
      </c>
      <c r="S337" s="18">
        <f t="shared" si="29"/>
        <v>-7.569178706035018E-10</v>
      </c>
    </row>
    <row r="338" spans="1:19">
      <c r="A338" s="10">
        <f>27</f>
        <v>27</v>
      </c>
      <c r="B338" s="18">
        <f>IF($A338&gt;20,0,(B309-MIN(MAX(C337,0),B309))+MIN(MAX(0,D337-(B309-MIN(MAX(C337,0),B309))),MAX(0,5*B309-(C337-MIN(MAX(C337,0),B309)))))</f>
        <v>0</v>
      </c>
      <c r="C338" s="18">
        <f>IF($A338&gt;20,C337,(C337-B309+B338)*(1+$B$7))</f>
        <v>149460</v>
      </c>
      <c r="D338" s="18">
        <f t="shared" si="24"/>
        <v>690929.97553545679</v>
      </c>
      <c r="E338" s="18">
        <f>IF($A338&gt;20,0,(E309-MIN(MAX(F337,0),E309))+MIN(MAX(0,G337-(E309-MIN(MAX(F337,0),E309))),MAX(0,5*E309-(F337-MIN(MAX(F337,0),E309)))))</f>
        <v>0</v>
      </c>
      <c r="F338" s="18">
        <f>IF($A338&gt;20,F337,(F337-E309+E338)*(1+$B$7))</f>
        <v>0</v>
      </c>
      <c r="G338" s="18">
        <f t="shared" si="25"/>
        <v>-482964.18992416241</v>
      </c>
      <c r="H338" s="18">
        <f>IF($A338&gt;20,0,(H309-MIN(MAX(I337,0),H309))+MIN(MAX(0,J337-(H309-MIN(MAX(I337,0),H309))),MAX(0,5*H309-(I337-MIN(MAX(I337,0),H309)))))</f>
        <v>0</v>
      </c>
      <c r="I338" s="18">
        <f>IF($A338&gt;20,I337,(I337-H309+H338)*(1+$B$7))</f>
        <v>0</v>
      </c>
      <c r="J338" s="18">
        <f t="shared" si="26"/>
        <v>-41576.814779547734</v>
      </c>
      <c r="K338" s="18">
        <f>IF($A338&gt;20,0,(K309-MIN(MAX(L337,0),K309))+MIN(MAX(0,M337-(K309-MIN(MAX(L337,0),K309))),MAX(0,5*K309-(L337-MIN(MAX(L337,0),K309)))))</f>
        <v>0</v>
      </c>
      <c r="L338" s="18">
        <f>IF($A338&gt;20,L337,(L337-K309+K338)*(1+$B$7))</f>
        <v>33.061262849338014</v>
      </c>
      <c r="M338" s="18">
        <f t="shared" si="27"/>
        <v>0</v>
      </c>
      <c r="N338" s="18">
        <f>IF($A338&gt;20,0,(N309-MIN(MAX(O337,0),N309))+MIN(MAX(0,P337-(N309-MIN(MAX(O337,0),N309))),MAX(0,5*N309-(O337-MIN(MAX(O337,0),N309)))))</f>
        <v>0</v>
      </c>
      <c r="O338" s="18">
        <f>IF($A338&gt;20,O337,(O337-N309+N338)*(1+$B$7))</f>
        <v>8.36394459467905E-2</v>
      </c>
      <c r="P338" s="18">
        <f t="shared" si="28"/>
        <v>0</v>
      </c>
      <c r="Q338" s="18">
        <f>IF($A338&gt;20,0,(Q309-MIN(MAX(R337,0),Q309))+MIN(MAX(0,S337-(Q309-MIN(MAX(R337,0),Q309))),MAX(0,5*Q309-(R337-MIN(MAX(R337,0),Q309)))))</f>
        <v>0</v>
      </c>
      <c r="R338" s="18">
        <f>IF($A338&gt;20,R337,(R337-Q309+Q338)*(1+$B$7))</f>
        <v>0</v>
      </c>
      <c r="S338" s="18">
        <f t="shared" si="29"/>
        <v>-7.569178706035018E-10</v>
      </c>
    </row>
    <row r="339" spans="1:19">
      <c r="A339" s="10">
        <f>28</f>
        <v>28</v>
      </c>
      <c r="B339" s="18">
        <f>IF($A339&gt;20,0,(B309-MIN(MAX(C338,0),B309))+MIN(MAX(0,D338-(B309-MIN(MAX(C338,0),B309))),MAX(0,5*B309-(C338-MIN(MAX(C338,0),B309)))))</f>
        <v>0</v>
      </c>
      <c r="C339" s="18">
        <f>IF($A339&gt;20,C338,(C338-B309+B339)*(1+$B$7))</f>
        <v>149460</v>
      </c>
      <c r="D339" s="18">
        <f t="shared" si="24"/>
        <v>690929.97553545679</v>
      </c>
      <c r="E339" s="18">
        <f>IF($A339&gt;20,0,(E309-MIN(MAX(F338,0),E309))+MIN(MAX(0,G338-(E309-MIN(MAX(F338,0),E309))),MAX(0,5*E309-(F338-MIN(MAX(F338,0),E309)))))</f>
        <v>0</v>
      </c>
      <c r="F339" s="18">
        <f>IF($A339&gt;20,F338,(F338-E309+E339)*(1+$B$7))</f>
        <v>0</v>
      </c>
      <c r="G339" s="18">
        <f t="shared" si="25"/>
        <v>-482964.18992416241</v>
      </c>
      <c r="H339" s="18">
        <f>IF($A339&gt;20,0,(H309-MIN(MAX(I338,0),H309))+MIN(MAX(0,J338-(H309-MIN(MAX(I338,0),H309))),MAX(0,5*H309-(I338-MIN(MAX(I338,0),H309)))))</f>
        <v>0</v>
      </c>
      <c r="I339" s="18">
        <f>IF($A339&gt;20,I338,(I338-H309+H339)*(1+$B$7))</f>
        <v>0</v>
      </c>
      <c r="J339" s="18">
        <f t="shared" si="26"/>
        <v>-41576.814779547734</v>
      </c>
      <c r="K339" s="18">
        <f>IF($A339&gt;20,0,(K309-MIN(MAX(L338,0),K309))+MIN(MAX(0,M338-(K309-MIN(MAX(L338,0),K309))),MAX(0,5*K309-(L338-MIN(MAX(L338,0),K309)))))</f>
        <v>0</v>
      </c>
      <c r="L339" s="18">
        <f>IF($A339&gt;20,L338,(L338-K309+K339)*(1+$B$7))</f>
        <v>33.061262849338014</v>
      </c>
      <c r="M339" s="18">
        <f t="shared" si="27"/>
        <v>0</v>
      </c>
      <c r="N339" s="18">
        <f>IF($A339&gt;20,0,(N309-MIN(MAX(O338,0),N309))+MIN(MAX(0,P338-(N309-MIN(MAX(O338,0),N309))),MAX(0,5*N309-(O338-MIN(MAX(O338,0),N309)))))</f>
        <v>0</v>
      </c>
      <c r="O339" s="18">
        <f>IF($A339&gt;20,O338,(O338-N309+N339)*(1+$B$7))</f>
        <v>8.36394459467905E-2</v>
      </c>
      <c r="P339" s="18">
        <f t="shared" si="28"/>
        <v>0</v>
      </c>
      <c r="Q339" s="18">
        <f>IF($A339&gt;20,0,(Q309-MIN(MAX(R338,0),Q309))+MIN(MAX(0,S338-(Q309-MIN(MAX(R338,0),Q309))),MAX(0,5*Q309-(R338-MIN(MAX(R338,0),Q309)))))</f>
        <v>0</v>
      </c>
      <c r="R339" s="18">
        <f>IF($A339&gt;20,R338,(R338-Q309+Q339)*(1+$B$7))</f>
        <v>0</v>
      </c>
      <c r="S339" s="18">
        <f t="shared" si="29"/>
        <v>-7.569178706035018E-10</v>
      </c>
    </row>
    <row r="340" spans="1:19">
      <c r="A340" s="10">
        <f>29</f>
        <v>29</v>
      </c>
      <c r="B340" s="18">
        <f>IF($A340&gt;20,0,(B309-MIN(MAX(C339,0),B309))+MIN(MAX(0,D339-(B309-MIN(MAX(C339,0),B309))),MAX(0,5*B309-(C339-MIN(MAX(C339,0),B309)))))</f>
        <v>0</v>
      </c>
      <c r="C340" s="18">
        <f>IF($A340&gt;20,C339,(C339-B309+B340)*(1+$B$7))</f>
        <v>149460</v>
      </c>
      <c r="D340" s="18">
        <f t="shared" si="24"/>
        <v>690929.97553545679</v>
      </c>
      <c r="E340" s="18">
        <f>IF($A340&gt;20,0,(E309-MIN(MAX(F339,0),E309))+MIN(MAX(0,G339-(E309-MIN(MAX(F339,0),E309))),MAX(0,5*E309-(F339-MIN(MAX(F339,0),E309)))))</f>
        <v>0</v>
      </c>
      <c r="F340" s="18">
        <f>IF($A340&gt;20,F339,(F339-E309+E340)*(1+$B$7))</f>
        <v>0</v>
      </c>
      <c r="G340" s="18">
        <f t="shared" si="25"/>
        <v>-482964.18992416241</v>
      </c>
      <c r="H340" s="18">
        <f>IF($A340&gt;20,0,(H309-MIN(MAX(I339,0),H309))+MIN(MAX(0,J339-(H309-MIN(MAX(I339,0),H309))),MAX(0,5*H309-(I339-MIN(MAX(I339,0),H309)))))</f>
        <v>0</v>
      </c>
      <c r="I340" s="18">
        <f>IF($A340&gt;20,I339,(I339-H309+H340)*(1+$B$7))</f>
        <v>0</v>
      </c>
      <c r="J340" s="18">
        <f t="shared" si="26"/>
        <v>-41576.814779547734</v>
      </c>
      <c r="K340" s="18">
        <f>IF($A340&gt;20,0,(K309-MIN(MAX(L339,0),K309))+MIN(MAX(0,M339-(K309-MIN(MAX(L339,0),K309))),MAX(0,5*K309-(L339-MIN(MAX(L339,0),K309)))))</f>
        <v>0</v>
      </c>
      <c r="L340" s="18">
        <f>IF($A340&gt;20,L339,(L339-K309+K340)*(1+$B$7))</f>
        <v>33.061262849338014</v>
      </c>
      <c r="M340" s="18">
        <f t="shared" si="27"/>
        <v>0</v>
      </c>
      <c r="N340" s="18">
        <f>IF($A340&gt;20,0,(N309-MIN(MAX(O339,0),N309))+MIN(MAX(0,P339-(N309-MIN(MAX(O339,0),N309))),MAX(0,5*N309-(O339-MIN(MAX(O339,0),N309)))))</f>
        <v>0</v>
      </c>
      <c r="O340" s="18">
        <f>IF($A340&gt;20,O339,(O339-N309+N340)*(1+$B$7))</f>
        <v>8.36394459467905E-2</v>
      </c>
      <c r="P340" s="18">
        <f t="shared" si="28"/>
        <v>0</v>
      </c>
      <c r="Q340" s="18">
        <f>IF($A340&gt;20,0,(Q309-MIN(MAX(R339,0),Q309))+MIN(MAX(0,S339-(Q309-MIN(MAX(R339,0),Q309))),MAX(0,5*Q309-(R339-MIN(MAX(R339,0),Q309)))))</f>
        <v>0</v>
      </c>
      <c r="R340" s="18">
        <f>IF($A340&gt;20,R339,(R339-Q309+Q340)*(1+$B$7))</f>
        <v>0</v>
      </c>
      <c r="S340" s="18">
        <f t="shared" si="29"/>
        <v>-7.569178706035018E-10</v>
      </c>
    </row>
    <row r="341" spans="1:19">
      <c r="A341" s="10">
        <f>30</f>
        <v>30</v>
      </c>
      <c r="B341" s="18">
        <f>IF($A341&gt;20,0,(B309-MIN(MAX(C340,0),B309))+MIN(MAX(0,D340-(B309-MIN(MAX(C340,0),B309))),MAX(0,5*B309-(C340-MIN(MAX(C340,0),B309)))))</f>
        <v>0</v>
      </c>
      <c r="C341" s="18">
        <f>IF($A341&gt;20,C340,(C340-B309+B341)*(1+$B$7))</f>
        <v>149460</v>
      </c>
      <c r="D341" s="18">
        <f t="shared" si="24"/>
        <v>690929.97553545679</v>
      </c>
      <c r="E341" s="18">
        <f>IF($A341&gt;20,0,(E309-MIN(MAX(F340,0),E309))+MIN(MAX(0,G340-(E309-MIN(MAX(F340,0),E309))),MAX(0,5*E309-(F340-MIN(MAX(F340,0),E309)))))</f>
        <v>0</v>
      </c>
      <c r="F341" s="18">
        <f>IF($A341&gt;20,F340,(F340-E309+E341)*(1+$B$7))</f>
        <v>0</v>
      </c>
      <c r="G341" s="18">
        <f t="shared" si="25"/>
        <v>-482964.18992416241</v>
      </c>
      <c r="H341" s="18">
        <f>IF($A341&gt;20,0,(H309-MIN(MAX(I340,0),H309))+MIN(MAX(0,J340-(H309-MIN(MAX(I340,0),H309))),MAX(0,5*H309-(I340-MIN(MAX(I340,0),H309)))))</f>
        <v>0</v>
      </c>
      <c r="I341" s="18">
        <f>IF($A341&gt;20,I340,(I340-H309+H341)*(1+$B$7))</f>
        <v>0</v>
      </c>
      <c r="J341" s="18">
        <f t="shared" si="26"/>
        <v>-41576.814779547734</v>
      </c>
      <c r="K341" s="18">
        <f>IF($A341&gt;20,0,(K309-MIN(MAX(L340,0),K309))+MIN(MAX(0,M340-(K309-MIN(MAX(L340,0),K309))),MAX(0,5*K309-(L340-MIN(MAX(L340,0),K309)))))</f>
        <v>0</v>
      </c>
      <c r="L341" s="18">
        <f>IF($A341&gt;20,L340,(L340-K309+K341)*(1+$B$7))</f>
        <v>33.061262849338014</v>
      </c>
      <c r="M341" s="18">
        <f t="shared" si="27"/>
        <v>0</v>
      </c>
      <c r="N341" s="18">
        <f>IF($A341&gt;20,0,(N309-MIN(MAX(O340,0),N309))+MIN(MAX(0,P340-(N309-MIN(MAX(O340,0),N309))),MAX(0,5*N309-(O340-MIN(MAX(O340,0),N309)))))</f>
        <v>0</v>
      </c>
      <c r="O341" s="18">
        <f>IF($A341&gt;20,O340,(O340-N309+N341)*(1+$B$7))</f>
        <v>8.36394459467905E-2</v>
      </c>
      <c r="P341" s="18">
        <f t="shared" si="28"/>
        <v>0</v>
      </c>
      <c r="Q341" s="18">
        <f>IF($A341&gt;20,0,(Q309-MIN(MAX(R340,0),Q309))+MIN(MAX(0,S340-(Q309-MIN(MAX(R340,0),Q309))),MAX(0,5*Q309-(R340-MIN(MAX(R340,0),Q309)))))</f>
        <v>0</v>
      </c>
      <c r="R341" s="18">
        <f>IF($A341&gt;20,R340,(R340-Q309+Q341)*(1+$B$7))</f>
        <v>0</v>
      </c>
      <c r="S341" s="18">
        <f t="shared" si="29"/>
        <v>-7.569178706035018E-10</v>
      </c>
    </row>
    <row r="342" spans="1:19">
      <c r="A342" s="10">
        <f>31</f>
        <v>31</v>
      </c>
      <c r="B342" s="18">
        <f>IF($A342&gt;20,0,(B309-MIN(MAX(C341,0),B309))+MIN(MAX(0,D341-(B309-MIN(MAX(C341,0),B309))),MAX(0,5*B309-(C341-MIN(MAX(C341,0),B309)))))</f>
        <v>0</v>
      </c>
      <c r="C342" s="18">
        <f>IF($A342&gt;20,C341,(C341-B309+B342)*(1+$B$7))</f>
        <v>149460</v>
      </c>
      <c r="D342" s="18">
        <f t="shared" si="24"/>
        <v>690929.97553545679</v>
      </c>
      <c r="E342" s="18">
        <f>IF($A342&gt;20,0,(E309-MIN(MAX(F341,0),E309))+MIN(MAX(0,G341-(E309-MIN(MAX(F341,0),E309))),MAX(0,5*E309-(F341-MIN(MAX(F341,0),E309)))))</f>
        <v>0</v>
      </c>
      <c r="F342" s="18">
        <f>IF($A342&gt;20,F341,(F341-E309+E342)*(1+$B$7))</f>
        <v>0</v>
      </c>
      <c r="G342" s="18">
        <f t="shared" si="25"/>
        <v>-482964.18992416241</v>
      </c>
      <c r="H342" s="18">
        <f>IF($A342&gt;20,0,(H309-MIN(MAX(I341,0),H309))+MIN(MAX(0,J341-(H309-MIN(MAX(I341,0),H309))),MAX(0,5*H309-(I341-MIN(MAX(I341,0),H309)))))</f>
        <v>0</v>
      </c>
      <c r="I342" s="18">
        <f>IF($A342&gt;20,I341,(I341-H309+H342)*(1+$B$7))</f>
        <v>0</v>
      </c>
      <c r="J342" s="18">
        <f t="shared" si="26"/>
        <v>-41576.814779547734</v>
      </c>
      <c r="K342" s="18">
        <f>IF($A342&gt;20,0,(K309-MIN(MAX(L341,0),K309))+MIN(MAX(0,M341-(K309-MIN(MAX(L341,0),K309))),MAX(0,5*K309-(L341-MIN(MAX(L341,0),K309)))))</f>
        <v>0</v>
      </c>
      <c r="L342" s="18">
        <f>IF($A342&gt;20,L341,(L341-K309+K342)*(1+$B$7))</f>
        <v>33.061262849338014</v>
      </c>
      <c r="M342" s="18">
        <f t="shared" si="27"/>
        <v>0</v>
      </c>
      <c r="N342" s="18">
        <f>IF($A342&gt;20,0,(N309-MIN(MAX(O341,0),N309))+MIN(MAX(0,P341-(N309-MIN(MAX(O341,0),N309))),MAX(0,5*N309-(O341-MIN(MAX(O341,0),N309)))))</f>
        <v>0</v>
      </c>
      <c r="O342" s="18">
        <f>IF($A342&gt;20,O341,(O341-N309+N342)*(1+$B$7))</f>
        <v>8.36394459467905E-2</v>
      </c>
      <c r="P342" s="18">
        <f t="shared" si="28"/>
        <v>0</v>
      </c>
      <c r="Q342" s="18">
        <f>IF($A342&gt;20,0,(Q309-MIN(MAX(R341,0),Q309))+MIN(MAX(0,S341-(Q309-MIN(MAX(R341,0),Q309))),MAX(0,5*Q309-(R341-MIN(MAX(R341,0),Q309)))))</f>
        <v>0</v>
      </c>
      <c r="R342" s="18">
        <f>IF($A342&gt;20,R341,(R341-Q309+Q342)*(1+$B$7))</f>
        <v>0</v>
      </c>
      <c r="S342" s="18">
        <f t="shared" si="29"/>
        <v>-7.569178706035018E-10</v>
      </c>
    </row>
    <row r="343" spans="1:19">
      <c r="A343" s="10">
        <f>32</f>
        <v>32</v>
      </c>
      <c r="B343" s="18">
        <f>IF($A343&gt;20,0,(B309-MIN(MAX(C342,0),B309))+MIN(MAX(0,D342-(B309-MIN(MAX(C342,0),B309))),MAX(0,5*B309-(C342-MIN(MAX(C342,0),B309)))))</f>
        <v>0</v>
      </c>
      <c r="C343" s="18">
        <f>IF($A343&gt;20,C342,(C342-B309+B343)*(1+$B$7))</f>
        <v>149460</v>
      </c>
      <c r="D343" s="18">
        <f t="shared" si="24"/>
        <v>690929.97553545679</v>
      </c>
      <c r="E343" s="18">
        <f>IF($A343&gt;20,0,(E309-MIN(MAX(F342,0),E309))+MIN(MAX(0,G342-(E309-MIN(MAX(F342,0),E309))),MAX(0,5*E309-(F342-MIN(MAX(F342,0),E309)))))</f>
        <v>0</v>
      </c>
      <c r="F343" s="18">
        <f>IF($A343&gt;20,F342,(F342-E309+E343)*(1+$B$7))</f>
        <v>0</v>
      </c>
      <c r="G343" s="18">
        <f t="shared" si="25"/>
        <v>-482964.18992416241</v>
      </c>
      <c r="H343" s="18">
        <f>IF($A343&gt;20,0,(H309-MIN(MAX(I342,0),H309))+MIN(MAX(0,J342-(H309-MIN(MAX(I342,0),H309))),MAX(0,5*H309-(I342-MIN(MAX(I342,0),H309)))))</f>
        <v>0</v>
      </c>
      <c r="I343" s="18">
        <f>IF($A343&gt;20,I342,(I342-H309+H343)*(1+$B$7))</f>
        <v>0</v>
      </c>
      <c r="J343" s="18">
        <f t="shared" si="26"/>
        <v>-41576.814779547734</v>
      </c>
      <c r="K343" s="18">
        <f>IF($A343&gt;20,0,(K309-MIN(MAX(L342,0),K309))+MIN(MAX(0,M342-(K309-MIN(MAX(L342,0),K309))),MAX(0,5*K309-(L342-MIN(MAX(L342,0),K309)))))</f>
        <v>0</v>
      </c>
      <c r="L343" s="18">
        <f>IF($A343&gt;20,L342,(L342-K309+K343)*(1+$B$7))</f>
        <v>33.061262849338014</v>
      </c>
      <c r="M343" s="18">
        <f t="shared" si="27"/>
        <v>0</v>
      </c>
      <c r="N343" s="18">
        <f>IF($A343&gt;20,0,(N309-MIN(MAX(O342,0),N309))+MIN(MAX(0,P342-(N309-MIN(MAX(O342,0),N309))),MAX(0,5*N309-(O342-MIN(MAX(O342,0),N309)))))</f>
        <v>0</v>
      </c>
      <c r="O343" s="18">
        <f>IF($A343&gt;20,O342,(O342-N309+N343)*(1+$B$7))</f>
        <v>8.36394459467905E-2</v>
      </c>
      <c r="P343" s="18">
        <f t="shared" si="28"/>
        <v>0</v>
      </c>
      <c r="Q343" s="18">
        <f>IF($A343&gt;20,0,(Q309-MIN(MAX(R342,0),Q309))+MIN(MAX(0,S342-(Q309-MIN(MAX(R342,0),Q309))),MAX(0,5*Q309-(R342-MIN(MAX(R342,0),Q309)))))</f>
        <v>0</v>
      </c>
      <c r="R343" s="18">
        <f>IF($A343&gt;20,R342,(R342-Q309+Q343)*(1+$B$7))</f>
        <v>0</v>
      </c>
      <c r="S343" s="18">
        <f t="shared" si="29"/>
        <v>-7.569178706035018E-10</v>
      </c>
    </row>
    <row r="344" spans="1:19">
      <c r="A344" s="10">
        <f>33</f>
        <v>33</v>
      </c>
      <c r="B344" s="18">
        <f>IF($A344&gt;20,0,(B309-MIN(MAX(C343,0),B309))+MIN(MAX(0,D343-(B309-MIN(MAX(C343,0),B309))),MAX(0,5*B309-(C343-MIN(MAX(C343,0),B309)))))</f>
        <v>0</v>
      </c>
      <c r="C344" s="18">
        <f>IF($A344&gt;20,C343,(C343-B309+B344)*(1+$B$7))</f>
        <v>149460</v>
      </c>
      <c r="D344" s="18">
        <f t="shared" si="24"/>
        <v>690929.97553545679</v>
      </c>
      <c r="E344" s="18">
        <f>IF($A344&gt;20,0,(E309-MIN(MAX(F343,0),E309))+MIN(MAX(0,G343-(E309-MIN(MAX(F343,0),E309))),MAX(0,5*E309-(F343-MIN(MAX(F343,0),E309)))))</f>
        <v>0</v>
      </c>
      <c r="F344" s="18">
        <f>IF($A344&gt;20,F343,(F343-E309+E344)*(1+$B$7))</f>
        <v>0</v>
      </c>
      <c r="G344" s="18">
        <f t="shared" si="25"/>
        <v>-482964.18992416241</v>
      </c>
      <c r="H344" s="18">
        <f>IF($A344&gt;20,0,(H309-MIN(MAX(I343,0),H309))+MIN(MAX(0,J343-(H309-MIN(MAX(I343,0),H309))),MAX(0,5*H309-(I343-MIN(MAX(I343,0),H309)))))</f>
        <v>0</v>
      </c>
      <c r="I344" s="18">
        <f>IF($A344&gt;20,I343,(I343-H309+H344)*(1+$B$7))</f>
        <v>0</v>
      </c>
      <c r="J344" s="18">
        <f t="shared" si="26"/>
        <v>-41576.814779547734</v>
      </c>
      <c r="K344" s="18">
        <f>IF($A344&gt;20,0,(K309-MIN(MAX(L343,0),K309))+MIN(MAX(0,M343-(K309-MIN(MAX(L343,0),K309))),MAX(0,5*K309-(L343-MIN(MAX(L343,0),K309)))))</f>
        <v>0</v>
      </c>
      <c r="L344" s="18">
        <f>IF($A344&gt;20,L343,(L343-K309+K344)*(1+$B$7))</f>
        <v>33.061262849338014</v>
      </c>
      <c r="M344" s="18">
        <f t="shared" si="27"/>
        <v>0</v>
      </c>
      <c r="N344" s="18">
        <f>IF($A344&gt;20,0,(N309-MIN(MAX(O343,0),N309))+MIN(MAX(0,P343-(N309-MIN(MAX(O343,0),N309))),MAX(0,5*N309-(O343-MIN(MAX(O343,0),N309)))))</f>
        <v>0</v>
      </c>
      <c r="O344" s="18">
        <f>IF($A344&gt;20,O343,(O343-N309+N344)*(1+$B$7))</f>
        <v>8.36394459467905E-2</v>
      </c>
      <c r="P344" s="18">
        <f t="shared" si="28"/>
        <v>0</v>
      </c>
      <c r="Q344" s="18">
        <f>IF($A344&gt;20,0,(Q309-MIN(MAX(R343,0),Q309))+MIN(MAX(0,S343-(Q309-MIN(MAX(R343,0),Q309))),MAX(0,5*Q309-(R343-MIN(MAX(R343,0),Q309)))))</f>
        <v>0</v>
      </c>
      <c r="R344" s="18">
        <f>IF($A344&gt;20,R343,(R343-Q309+Q344)*(1+$B$7))</f>
        <v>0</v>
      </c>
      <c r="S344" s="18">
        <f t="shared" si="29"/>
        <v>-7.569178706035018E-10</v>
      </c>
    </row>
    <row r="345" spans="1:19">
      <c r="A345" s="10">
        <f>34</f>
        <v>34</v>
      </c>
      <c r="B345" s="18">
        <f>IF($A345&gt;20,0,(B309-MIN(MAX(C344,0),B309))+MIN(MAX(0,D344-(B309-MIN(MAX(C344,0),B309))),MAX(0,5*B309-(C344-MIN(MAX(C344,0),B309)))))</f>
        <v>0</v>
      </c>
      <c r="C345" s="18">
        <f>IF($A345&gt;20,C344,(C344-B309+B345)*(1+$B$7))</f>
        <v>149460</v>
      </c>
      <c r="D345" s="18">
        <f t="shared" si="24"/>
        <v>690929.97553545679</v>
      </c>
      <c r="E345" s="18">
        <f>IF($A345&gt;20,0,(E309-MIN(MAX(F344,0),E309))+MIN(MAX(0,G344-(E309-MIN(MAX(F344,0),E309))),MAX(0,5*E309-(F344-MIN(MAX(F344,0),E309)))))</f>
        <v>0</v>
      </c>
      <c r="F345" s="18">
        <f>IF($A345&gt;20,F344,(F344-E309+E345)*(1+$B$7))</f>
        <v>0</v>
      </c>
      <c r="G345" s="18">
        <f t="shared" si="25"/>
        <v>-482964.18992416241</v>
      </c>
      <c r="H345" s="18">
        <f>IF($A345&gt;20,0,(H309-MIN(MAX(I344,0),H309))+MIN(MAX(0,J344-(H309-MIN(MAX(I344,0),H309))),MAX(0,5*H309-(I344-MIN(MAX(I344,0),H309)))))</f>
        <v>0</v>
      </c>
      <c r="I345" s="18">
        <f>IF($A345&gt;20,I344,(I344-H309+H345)*(1+$B$7))</f>
        <v>0</v>
      </c>
      <c r="J345" s="18">
        <f t="shared" si="26"/>
        <v>-41576.814779547734</v>
      </c>
      <c r="K345" s="18">
        <f>IF($A345&gt;20,0,(K309-MIN(MAX(L344,0),K309))+MIN(MAX(0,M344-(K309-MIN(MAX(L344,0),K309))),MAX(0,5*K309-(L344-MIN(MAX(L344,0),K309)))))</f>
        <v>0</v>
      </c>
      <c r="L345" s="18">
        <f>IF($A345&gt;20,L344,(L344-K309+K345)*(1+$B$7))</f>
        <v>33.061262849338014</v>
      </c>
      <c r="M345" s="18">
        <f t="shared" si="27"/>
        <v>0</v>
      </c>
      <c r="N345" s="18">
        <f>IF($A345&gt;20,0,(N309-MIN(MAX(O344,0),N309))+MIN(MAX(0,P344-(N309-MIN(MAX(O344,0),N309))),MAX(0,5*N309-(O344-MIN(MAX(O344,0),N309)))))</f>
        <v>0</v>
      </c>
      <c r="O345" s="18">
        <f>IF($A345&gt;20,O344,(O344-N309+N345)*(1+$B$7))</f>
        <v>8.36394459467905E-2</v>
      </c>
      <c r="P345" s="18">
        <f t="shared" si="28"/>
        <v>0</v>
      </c>
      <c r="Q345" s="18">
        <f>IF($A345&gt;20,0,(Q309-MIN(MAX(R344,0),Q309))+MIN(MAX(0,S344-(Q309-MIN(MAX(R344,0),Q309))),MAX(0,5*Q309-(R344-MIN(MAX(R344,0),Q309)))))</f>
        <v>0</v>
      </c>
      <c r="R345" s="18">
        <f>IF($A345&gt;20,R344,(R344-Q309+Q345)*(1+$B$7))</f>
        <v>0</v>
      </c>
      <c r="S345" s="18">
        <f t="shared" si="29"/>
        <v>-7.569178706035018E-10</v>
      </c>
    </row>
    <row r="346" spans="1:19">
      <c r="A346" s="10">
        <f>35</f>
        <v>35</v>
      </c>
      <c r="B346" s="18">
        <f>IF($A346&gt;20,0,(B309-MIN(MAX(C345,0),B309))+MIN(MAX(0,D345-(B309-MIN(MAX(C345,0),B309))),MAX(0,5*B309-(C345-MIN(MAX(C345,0),B309)))))</f>
        <v>0</v>
      </c>
      <c r="C346" s="18">
        <f>IF($A346&gt;20,C345,(C345-B309+B346)*(1+$B$7))</f>
        <v>149460</v>
      </c>
      <c r="D346" s="18">
        <f t="shared" si="24"/>
        <v>690929.97553545679</v>
      </c>
      <c r="E346" s="18">
        <f>IF($A346&gt;20,0,(E309-MIN(MAX(F345,0),E309))+MIN(MAX(0,G345-(E309-MIN(MAX(F345,0),E309))),MAX(0,5*E309-(F345-MIN(MAX(F345,0),E309)))))</f>
        <v>0</v>
      </c>
      <c r="F346" s="18">
        <f>IF($A346&gt;20,F345,(F345-E309+E346)*(1+$B$7))</f>
        <v>0</v>
      </c>
      <c r="G346" s="18">
        <f t="shared" si="25"/>
        <v>-482964.18992416241</v>
      </c>
      <c r="H346" s="18">
        <f>IF($A346&gt;20,0,(H309-MIN(MAX(I345,0),H309))+MIN(MAX(0,J345-(H309-MIN(MAX(I345,0),H309))),MAX(0,5*H309-(I345-MIN(MAX(I345,0),H309)))))</f>
        <v>0</v>
      </c>
      <c r="I346" s="18">
        <f>IF($A346&gt;20,I345,(I345-H309+H346)*(1+$B$7))</f>
        <v>0</v>
      </c>
      <c r="J346" s="18">
        <f t="shared" si="26"/>
        <v>-41576.814779547734</v>
      </c>
      <c r="K346" s="18">
        <f>IF($A346&gt;20,0,(K309-MIN(MAX(L345,0),K309))+MIN(MAX(0,M345-(K309-MIN(MAX(L345,0),K309))),MAX(0,5*K309-(L345-MIN(MAX(L345,0),K309)))))</f>
        <v>0</v>
      </c>
      <c r="L346" s="18">
        <f>IF($A346&gt;20,L345,(L345-K309+K346)*(1+$B$7))</f>
        <v>33.061262849338014</v>
      </c>
      <c r="M346" s="18">
        <f t="shared" si="27"/>
        <v>0</v>
      </c>
      <c r="N346" s="18">
        <f>IF($A346&gt;20,0,(N309-MIN(MAX(O345,0),N309))+MIN(MAX(0,P345-(N309-MIN(MAX(O345,0),N309))),MAX(0,5*N309-(O345-MIN(MAX(O345,0),N309)))))</f>
        <v>0</v>
      </c>
      <c r="O346" s="18">
        <f>IF($A346&gt;20,O345,(O345-N309+N346)*(1+$B$7))</f>
        <v>8.36394459467905E-2</v>
      </c>
      <c r="P346" s="18">
        <f t="shared" si="28"/>
        <v>0</v>
      </c>
      <c r="Q346" s="18">
        <f>IF($A346&gt;20,0,(Q309-MIN(MAX(R345,0),Q309))+MIN(MAX(0,S345-(Q309-MIN(MAX(R345,0),Q309))),MAX(0,5*Q309-(R345-MIN(MAX(R345,0),Q309)))))</f>
        <v>0</v>
      </c>
      <c r="R346" s="18">
        <f>IF($A346&gt;20,R345,(R345-Q309+Q346)*(1+$B$7))</f>
        <v>0</v>
      </c>
      <c r="S346" s="18">
        <f t="shared" si="29"/>
        <v>-7.569178706035018E-10</v>
      </c>
    </row>
    <row r="347" spans="1:19">
      <c r="A347" s="10">
        <f>36</f>
        <v>36</v>
      </c>
      <c r="B347" s="18">
        <f>IF($A347&gt;20,0,(B309-MIN(MAX(C346,0),B309))+MIN(MAX(0,D346-(B309-MIN(MAX(C346,0),B309))),MAX(0,5*B309-(C346-MIN(MAX(C346,0),B309)))))</f>
        <v>0</v>
      </c>
      <c r="C347" s="18">
        <f>IF($A347&gt;20,C346,(C346-B309+B347)*(1+$B$7))</f>
        <v>149460</v>
      </c>
      <c r="D347" s="18">
        <f t="shared" si="24"/>
        <v>690929.97553545679</v>
      </c>
      <c r="E347" s="18">
        <f>IF($A347&gt;20,0,(E309-MIN(MAX(F346,0),E309))+MIN(MAX(0,G346-(E309-MIN(MAX(F346,0),E309))),MAX(0,5*E309-(F346-MIN(MAX(F346,0),E309)))))</f>
        <v>0</v>
      </c>
      <c r="F347" s="18">
        <f>IF($A347&gt;20,F346,(F346-E309+E347)*(1+$B$7))</f>
        <v>0</v>
      </c>
      <c r="G347" s="18">
        <f t="shared" si="25"/>
        <v>-482964.18992416241</v>
      </c>
      <c r="H347" s="18">
        <f>IF($A347&gt;20,0,(H309-MIN(MAX(I346,0),H309))+MIN(MAX(0,J346-(H309-MIN(MAX(I346,0),H309))),MAX(0,5*H309-(I346-MIN(MAX(I346,0),H309)))))</f>
        <v>0</v>
      </c>
      <c r="I347" s="18">
        <f>IF($A347&gt;20,I346,(I346-H309+H347)*(1+$B$7))</f>
        <v>0</v>
      </c>
      <c r="J347" s="18">
        <f t="shared" si="26"/>
        <v>-41576.814779547734</v>
      </c>
      <c r="K347" s="18">
        <f>IF($A347&gt;20,0,(K309-MIN(MAX(L346,0),K309))+MIN(MAX(0,M346-(K309-MIN(MAX(L346,0),K309))),MAX(0,5*K309-(L346-MIN(MAX(L346,0),K309)))))</f>
        <v>0</v>
      </c>
      <c r="L347" s="18">
        <f>IF($A347&gt;20,L346,(L346-K309+K347)*(1+$B$7))</f>
        <v>33.061262849338014</v>
      </c>
      <c r="M347" s="18">
        <f t="shared" si="27"/>
        <v>0</v>
      </c>
      <c r="N347" s="18">
        <f>IF($A347&gt;20,0,(N309-MIN(MAX(O346,0),N309))+MIN(MAX(0,P346-(N309-MIN(MAX(O346,0),N309))),MAX(0,5*N309-(O346-MIN(MAX(O346,0),N309)))))</f>
        <v>0</v>
      </c>
      <c r="O347" s="18">
        <f>IF($A347&gt;20,O346,(O346-N309+N347)*(1+$B$7))</f>
        <v>8.36394459467905E-2</v>
      </c>
      <c r="P347" s="18">
        <f t="shared" si="28"/>
        <v>0</v>
      </c>
      <c r="Q347" s="18">
        <f>IF($A347&gt;20,0,(Q309-MIN(MAX(R346,0),Q309))+MIN(MAX(0,S346-(Q309-MIN(MAX(R346,0),Q309))),MAX(0,5*Q309-(R346-MIN(MAX(R346,0),Q309)))))</f>
        <v>0</v>
      </c>
      <c r="R347" s="18">
        <f>IF($A347&gt;20,R346,(R346-Q309+Q347)*(1+$B$7))</f>
        <v>0</v>
      </c>
      <c r="S347" s="18">
        <f t="shared" si="29"/>
        <v>-7.569178706035018E-10</v>
      </c>
    </row>
    <row r="348" spans="1:19">
      <c r="A348" s="10">
        <f>37</f>
        <v>37</v>
      </c>
      <c r="B348" s="18">
        <f>IF($A348&gt;20,0,(B309-MIN(MAX(C347,0),B309))+MIN(MAX(0,D347-(B309-MIN(MAX(C347,0),B309))),MAX(0,5*B309-(C347-MIN(MAX(C347,0),B309)))))</f>
        <v>0</v>
      </c>
      <c r="C348" s="18">
        <f>IF($A348&gt;20,C347,(C347-B309+B348)*(1+$B$7))</f>
        <v>149460</v>
      </c>
      <c r="D348" s="18">
        <f t="shared" si="24"/>
        <v>690929.97553545679</v>
      </c>
      <c r="E348" s="18">
        <f>IF($A348&gt;20,0,(E309-MIN(MAX(F347,0),E309))+MIN(MAX(0,G347-(E309-MIN(MAX(F347,0),E309))),MAX(0,5*E309-(F347-MIN(MAX(F347,0),E309)))))</f>
        <v>0</v>
      </c>
      <c r="F348" s="18">
        <f>IF($A348&gt;20,F347,(F347-E309+E348)*(1+$B$7))</f>
        <v>0</v>
      </c>
      <c r="G348" s="18">
        <f t="shared" si="25"/>
        <v>-482964.18992416241</v>
      </c>
      <c r="H348" s="18">
        <f>IF($A348&gt;20,0,(H309-MIN(MAX(I347,0),H309))+MIN(MAX(0,J347-(H309-MIN(MAX(I347,0),H309))),MAX(0,5*H309-(I347-MIN(MAX(I347,0),H309)))))</f>
        <v>0</v>
      </c>
      <c r="I348" s="18">
        <f>IF($A348&gt;20,I347,(I347-H309+H348)*(1+$B$7))</f>
        <v>0</v>
      </c>
      <c r="J348" s="18">
        <f t="shared" si="26"/>
        <v>-41576.814779547734</v>
      </c>
      <c r="K348" s="18">
        <f>IF($A348&gt;20,0,(K309-MIN(MAX(L347,0),K309))+MIN(MAX(0,M347-(K309-MIN(MAX(L347,0),K309))),MAX(0,5*K309-(L347-MIN(MAX(L347,0),K309)))))</f>
        <v>0</v>
      </c>
      <c r="L348" s="18">
        <f>IF($A348&gt;20,L347,(L347-K309+K348)*(1+$B$7))</f>
        <v>33.061262849338014</v>
      </c>
      <c r="M348" s="18">
        <f t="shared" si="27"/>
        <v>0</v>
      </c>
      <c r="N348" s="18">
        <f>IF($A348&gt;20,0,(N309-MIN(MAX(O347,0),N309))+MIN(MAX(0,P347-(N309-MIN(MAX(O347,0),N309))),MAX(0,5*N309-(O347-MIN(MAX(O347,0),N309)))))</f>
        <v>0</v>
      </c>
      <c r="O348" s="18">
        <f>IF($A348&gt;20,O347,(O347-N309+N348)*(1+$B$7))</f>
        <v>8.36394459467905E-2</v>
      </c>
      <c r="P348" s="18">
        <f t="shared" si="28"/>
        <v>0</v>
      </c>
      <c r="Q348" s="18">
        <f>IF($A348&gt;20,0,(Q309-MIN(MAX(R347,0),Q309))+MIN(MAX(0,S347-(Q309-MIN(MAX(R347,0),Q309))),MAX(0,5*Q309-(R347-MIN(MAX(R347,0),Q309)))))</f>
        <v>0</v>
      </c>
      <c r="R348" s="18">
        <f>IF($A348&gt;20,R347,(R347-Q309+Q348)*(1+$B$7))</f>
        <v>0</v>
      </c>
      <c r="S348" s="18">
        <f t="shared" si="29"/>
        <v>-7.569178706035018E-10</v>
      </c>
    </row>
    <row r="349" spans="1:19">
      <c r="A349" s="10">
        <f>38</f>
        <v>38</v>
      </c>
      <c r="B349" s="18">
        <f>IF($A349&gt;20,0,(B309-MIN(MAX(C348,0),B309))+MIN(MAX(0,D348-(B309-MIN(MAX(C348,0),B309))),MAX(0,5*B309-(C348-MIN(MAX(C348,0),B309)))))</f>
        <v>0</v>
      </c>
      <c r="C349" s="18">
        <f>IF($A349&gt;20,C348,(C348-B309+B349)*(1+$B$7))</f>
        <v>149460</v>
      </c>
      <c r="D349" s="18">
        <f t="shared" si="24"/>
        <v>690929.97553545679</v>
      </c>
      <c r="E349" s="18">
        <f>IF($A349&gt;20,0,(E309-MIN(MAX(F348,0),E309))+MIN(MAX(0,G348-(E309-MIN(MAX(F348,0),E309))),MAX(0,5*E309-(F348-MIN(MAX(F348,0),E309)))))</f>
        <v>0</v>
      </c>
      <c r="F349" s="18">
        <f>IF($A349&gt;20,F348,(F348-E309+E349)*(1+$B$7))</f>
        <v>0</v>
      </c>
      <c r="G349" s="18">
        <f t="shared" si="25"/>
        <v>-482964.18992416241</v>
      </c>
      <c r="H349" s="18">
        <f>IF($A349&gt;20,0,(H309-MIN(MAX(I348,0),H309))+MIN(MAX(0,J348-(H309-MIN(MAX(I348,0),H309))),MAX(0,5*H309-(I348-MIN(MAX(I348,0),H309)))))</f>
        <v>0</v>
      </c>
      <c r="I349" s="18">
        <f>IF($A349&gt;20,I348,(I348-H309+H349)*(1+$B$7))</f>
        <v>0</v>
      </c>
      <c r="J349" s="18">
        <f t="shared" si="26"/>
        <v>-41576.814779547734</v>
      </c>
      <c r="K349" s="18">
        <f>IF($A349&gt;20,0,(K309-MIN(MAX(L348,0),K309))+MIN(MAX(0,M348-(K309-MIN(MAX(L348,0),K309))),MAX(0,5*K309-(L348-MIN(MAX(L348,0),K309)))))</f>
        <v>0</v>
      </c>
      <c r="L349" s="18">
        <f>IF($A349&gt;20,L348,(L348-K309+K349)*(1+$B$7))</f>
        <v>33.061262849338014</v>
      </c>
      <c r="M349" s="18">
        <f t="shared" si="27"/>
        <v>0</v>
      </c>
      <c r="N349" s="18">
        <f>IF($A349&gt;20,0,(N309-MIN(MAX(O348,0),N309))+MIN(MAX(0,P348-(N309-MIN(MAX(O348,0),N309))),MAX(0,5*N309-(O348-MIN(MAX(O348,0),N309)))))</f>
        <v>0</v>
      </c>
      <c r="O349" s="18">
        <f>IF($A349&gt;20,O348,(O348-N309+N349)*(1+$B$7))</f>
        <v>8.36394459467905E-2</v>
      </c>
      <c r="P349" s="18">
        <f t="shared" si="28"/>
        <v>0</v>
      </c>
      <c r="Q349" s="18">
        <f>IF($A349&gt;20,0,(Q309-MIN(MAX(R348,0),Q309))+MIN(MAX(0,S348-(Q309-MIN(MAX(R348,0),Q309))),MAX(0,5*Q309-(R348-MIN(MAX(R348,0),Q309)))))</f>
        <v>0</v>
      </c>
      <c r="R349" s="18">
        <f>IF($A349&gt;20,R348,(R348-Q309+Q349)*(1+$B$7))</f>
        <v>0</v>
      </c>
      <c r="S349" s="18">
        <f t="shared" si="29"/>
        <v>-7.569178706035018E-10</v>
      </c>
    </row>
    <row r="350" spans="1:19">
      <c r="A350" s="10">
        <f>39</f>
        <v>39</v>
      </c>
      <c r="B350" s="18">
        <f>IF($A350&gt;20,0,(B309-MIN(MAX(C349,0),B309))+MIN(MAX(0,D349-(B309-MIN(MAX(C349,0),B309))),MAX(0,5*B309-(C349-MIN(MAX(C349,0),B309)))))</f>
        <v>0</v>
      </c>
      <c r="C350" s="18">
        <f>IF($A350&gt;20,C349,(C349-B309+B350)*(1+$B$7))</f>
        <v>149460</v>
      </c>
      <c r="D350" s="18">
        <f t="shared" si="24"/>
        <v>690929.97553545679</v>
      </c>
      <c r="E350" s="18">
        <f>IF($A350&gt;20,0,(E309-MIN(MAX(F349,0),E309))+MIN(MAX(0,G349-(E309-MIN(MAX(F349,0),E309))),MAX(0,5*E309-(F349-MIN(MAX(F349,0),E309)))))</f>
        <v>0</v>
      </c>
      <c r="F350" s="18">
        <f>IF($A350&gt;20,F349,(F349-E309+E350)*(1+$B$7))</f>
        <v>0</v>
      </c>
      <c r="G350" s="18">
        <f t="shared" si="25"/>
        <v>-482964.18992416241</v>
      </c>
      <c r="H350" s="18">
        <f>IF($A350&gt;20,0,(H309-MIN(MAX(I349,0),H309))+MIN(MAX(0,J349-(H309-MIN(MAX(I349,0),H309))),MAX(0,5*H309-(I349-MIN(MAX(I349,0),H309)))))</f>
        <v>0</v>
      </c>
      <c r="I350" s="18">
        <f>IF($A350&gt;20,I349,(I349-H309+H350)*(1+$B$7))</f>
        <v>0</v>
      </c>
      <c r="J350" s="18">
        <f t="shared" si="26"/>
        <v>-41576.814779547734</v>
      </c>
      <c r="K350" s="18">
        <f>IF($A350&gt;20,0,(K309-MIN(MAX(L349,0),K309))+MIN(MAX(0,M349-(K309-MIN(MAX(L349,0),K309))),MAX(0,5*K309-(L349-MIN(MAX(L349,0),K309)))))</f>
        <v>0</v>
      </c>
      <c r="L350" s="18">
        <f>IF($A350&gt;20,L349,(L349-K309+K350)*(1+$B$7))</f>
        <v>33.061262849338014</v>
      </c>
      <c r="M350" s="18">
        <f t="shared" si="27"/>
        <v>0</v>
      </c>
      <c r="N350" s="18">
        <f>IF($A350&gt;20,0,(N309-MIN(MAX(O349,0),N309))+MIN(MAX(0,P349-(N309-MIN(MAX(O349,0),N309))),MAX(0,5*N309-(O349-MIN(MAX(O349,0),N309)))))</f>
        <v>0</v>
      </c>
      <c r="O350" s="18">
        <f>IF($A350&gt;20,O349,(O349-N309+N350)*(1+$B$7))</f>
        <v>8.36394459467905E-2</v>
      </c>
      <c r="P350" s="18">
        <f t="shared" si="28"/>
        <v>0</v>
      </c>
      <c r="Q350" s="18">
        <f>IF($A350&gt;20,0,(Q309-MIN(MAX(R349,0),Q309))+MIN(MAX(0,S349-(Q309-MIN(MAX(R349,0),Q309))),MAX(0,5*Q309-(R349-MIN(MAX(R349,0),Q309)))))</f>
        <v>0</v>
      </c>
      <c r="R350" s="18">
        <f>IF($A350&gt;20,R349,(R349-Q309+Q350)*(1+$B$7))</f>
        <v>0</v>
      </c>
      <c r="S350" s="18">
        <f t="shared" si="29"/>
        <v>-7.569178706035018E-10</v>
      </c>
    </row>
    <row r="351" spans="1:19">
      <c r="A351" s="10">
        <f>40</f>
        <v>40</v>
      </c>
      <c r="B351" s="18">
        <f>IF($A351&gt;20,0,(B309-MIN(MAX(C350,0),B309))+MIN(MAX(0,D350-(B309-MIN(MAX(C350,0),B309))),MAX(0,5*B309-(C350-MIN(MAX(C350,0),B309)))))</f>
        <v>0</v>
      </c>
      <c r="C351" s="18">
        <f>IF($A351&gt;20,C350,(C350-B309+B351)*(1+$B$7))</f>
        <v>149460</v>
      </c>
      <c r="D351" s="18">
        <f t="shared" si="24"/>
        <v>690929.97553545679</v>
      </c>
      <c r="E351" s="18">
        <f>IF($A351&gt;20,0,(E309-MIN(MAX(F350,0),E309))+MIN(MAX(0,G350-(E309-MIN(MAX(F350,0),E309))),MAX(0,5*E309-(F350-MIN(MAX(F350,0),E309)))))</f>
        <v>0</v>
      </c>
      <c r="F351" s="18">
        <f>IF($A351&gt;20,F350,(F350-E309+E351)*(1+$B$7))</f>
        <v>0</v>
      </c>
      <c r="G351" s="18">
        <f t="shared" si="25"/>
        <v>-482964.18992416241</v>
      </c>
      <c r="H351" s="18">
        <f>IF($A351&gt;20,0,(H309-MIN(MAX(I350,0),H309))+MIN(MAX(0,J350-(H309-MIN(MAX(I350,0),H309))),MAX(0,5*H309-(I350-MIN(MAX(I350,0),H309)))))</f>
        <v>0</v>
      </c>
      <c r="I351" s="18">
        <f>IF($A351&gt;20,I350,(I350-H309+H351)*(1+$B$7))</f>
        <v>0</v>
      </c>
      <c r="J351" s="18">
        <f t="shared" si="26"/>
        <v>-41576.814779547734</v>
      </c>
      <c r="K351" s="18">
        <f>IF($A351&gt;20,0,(K309-MIN(MAX(L350,0),K309))+MIN(MAX(0,M350-(K309-MIN(MAX(L350,0),K309))),MAX(0,5*K309-(L350-MIN(MAX(L350,0),K309)))))</f>
        <v>0</v>
      </c>
      <c r="L351" s="18">
        <f>IF($A351&gt;20,L350,(L350-K309+K351)*(1+$B$7))</f>
        <v>33.061262849338014</v>
      </c>
      <c r="M351" s="18">
        <f t="shared" si="27"/>
        <v>0</v>
      </c>
      <c r="N351" s="18">
        <f>IF($A351&gt;20,0,(N309-MIN(MAX(O350,0),N309))+MIN(MAX(0,P350-(N309-MIN(MAX(O350,0),N309))),MAX(0,5*N309-(O350-MIN(MAX(O350,0),N309)))))</f>
        <v>0</v>
      </c>
      <c r="O351" s="18">
        <f>IF($A351&gt;20,O350,(O350-N309+N351)*(1+$B$7))</f>
        <v>8.36394459467905E-2</v>
      </c>
      <c r="P351" s="18">
        <f t="shared" si="28"/>
        <v>0</v>
      </c>
      <c r="Q351" s="18">
        <f>IF($A351&gt;20,0,(Q309-MIN(MAX(R350,0),Q309))+MIN(MAX(0,S350-(Q309-MIN(MAX(R350,0),Q309))),MAX(0,5*Q309-(R350-MIN(MAX(R350,0),Q309)))))</f>
        <v>0</v>
      </c>
      <c r="R351" s="18">
        <f>IF($A351&gt;20,R350,(R350-Q309+Q351)*(1+$B$7))</f>
        <v>0</v>
      </c>
      <c r="S351" s="18">
        <f t="shared" si="29"/>
        <v>-7.569178706035018E-10</v>
      </c>
    </row>
    <row r="352" spans="1:19">
      <c r="B352" s="18">
        <f>C351+D351</f>
        <v>840389.97553545679</v>
      </c>
      <c r="E352" s="18">
        <f>F351+G351</f>
        <v>-482964.18992416241</v>
      </c>
      <c r="H352" s="18">
        <f>I351+J351</f>
        <v>-41576.814779547734</v>
      </c>
      <c r="K352" s="18">
        <f>L351+M351</f>
        <v>33.061262849338014</v>
      </c>
      <c r="N352" s="18">
        <f>O351+P351</f>
        <v>8.36394459467905E-2</v>
      </c>
      <c r="Q352" s="18">
        <f>R351+S351</f>
        <v>-7.569178706035018E-10</v>
      </c>
    </row>
    <row r="353" spans="1:19">
      <c r="A353" s="5" t="s">
        <v>266</v>
      </c>
      <c r="B353" s="18">
        <f>IFERROR(Q309-Q352*(Q309-N309)/(Q352-N352),Q309)</f>
        <v>57031.302527234984</v>
      </c>
    </row>
    <row r="355" spans="1:19">
      <c r="A355" s="2" t="s">
        <v>271</v>
      </c>
    </row>
    <row r="356" spans="1:19">
      <c r="B356" s="9">
        <f>0.03*$B$5</f>
        <v>30000</v>
      </c>
      <c r="E356" s="9">
        <f>0.075*$B$5</f>
        <v>75000</v>
      </c>
      <c r="H356" s="18">
        <f>IFERROR(E356-E399*(E356-B356)/(E399-B399),E356)</f>
        <v>65257.968540639944</v>
      </c>
      <c r="K356" s="18">
        <f>IFERROR(H356-H399*(H356-E356)/(H399-E399),H356)</f>
        <v>65257.968540639937</v>
      </c>
      <c r="N356" s="18">
        <f>IFERROR(K356-K399*(K356-H356)/(K399-H399),K356)</f>
        <v>65257.968540639937</v>
      </c>
      <c r="Q356" s="18">
        <f>IFERROR(N356-N399*(N356-K356)/(N399-K399),N356)</f>
        <v>65257.968540639937</v>
      </c>
    </row>
    <row r="357" spans="1:19">
      <c r="A357" s="25" t="s">
        <v>262</v>
      </c>
      <c r="B357" s="25" t="s">
        <v>263</v>
      </c>
      <c r="C357" s="25" t="s">
        <v>264</v>
      </c>
      <c r="D357" s="25" t="s">
        <v>265</v>
      </c>
      <c r="E357" s="25" t="s">
        <v>263</v>
      </c>
      <c r="F357" s="25" t="s">
        <v>264</v>
      </c>
      <c r="G357" s="25" t="s">
        <v>265</v>
      </c>
      <c r="H357" s="25" t="s">
        <v>263</v>
      </c>
      <c r="I357" s="25" t="s">
        <v>264</v>
      </c>
      <c r="J357" s="25" t="s">
        <v>265</v>
      </c>
      <c r="K357" s="25" t="s">
        <v>263</v>
      </c>
      <c r="L357" s="25" t="s">
        <v>264</v>
      </c>
      <c r="M357" s="25" t="s">
        <v>265</v>
      </c>
      <c r="N357" s="25" t="s">
        <v>263</v>
      </c>
      <c r="O357" s="25" t="s">
        <v>264</v>
      </c>
      <c r="P357" s="25" t="s">
        <v>265</v>
      </c>
      <c r="Q357" s="25" t="s">
        <v>263</v>
      </c>
      <c r="R357" s="25" t="s">
        <v>264</v>
      </c>
      <c r="S357" s="25" t="s">
        <v>265</v>
      </c>
    </row>
    <row r="358" spans="1:19">
      <c r="A358" s="3">
        <v>0</v>
      </c>
      <c r="C358" s="18">
        <f>MIN(0*B356,$B$5)</f>
        <v>0</v>
      </c>
      <c r="D358" s="18">
        <f>$B$5-C358</f>
        <v>1000000</v>
      </c>
      <c r="F358" s="18">
        <f>MIN(0*E356,$B$5)</f>
        <v>0</v>
      </c>
      <c r="G358" s="18">
        <f>$B$5-F358</f>
        <v>1000000</v>
      </c>
      <c r="I358" s="18">
        <f>MIN(0*H356,$B$5)</f>
        <v>0</v>
      </c>
      <c r="J358" s="18">
        <f>$B$5-I358</f>
        <v>1000000</v>
      </c>
      <c r="L358" s="18">
        <f>MIN(0*K356,$B$5)</f>
        <v>0</v>
      </c>
      <c r="M358" s="18">
        <f>$B$5-L358</f>
        <v>1000000</v>
      </c>
      <c r="O358" s="18">
        <f>MIN(0*N356,$B$5)</f>
        <v>0</v>
      </c>
      <c r="P358" s="18">
        <f>$B$5-O358</f>
        <v>1000000</v>
      </c>
      <c r="R358" s="18">
        <f>MIN(0*Q356,$B$5)</f>
        <v>0</v>
      </c>
      <c r="S358" s="18">
        <f>$B$5-R358</f>
        <v>1000000</v>
      </c>
    </row>
    <row r="359" spans="1:19">
      <c r="A359" s="10">
        <f>1</f>
        <v>1</v>
      </c>
      <c r="B359" s="18">
        <f>IF($A359&gt;20,0,(B356-MIN(MAX(C358,0),B356))+MIN(MAX(0,D358-(B356-MIN(MAX(C358,0),B356))),MAX(0,0*B356-(C358-MIN(MAX(C358,0),B356)))))</f>
        <v>30000</v>
      </c>
      <c r="C359" s="18">
        <f>IF($A359&gt;20,C358,(C358-B356+B359)*(1+$C$7))</f>
        <v>0</v>
      </c>
      <c r="D359" s="18">
        <f t="shared" ref="D359:D398" si="30">IF($A359&gt;20,D358,(D358-B359)*(1+$B$6))</f>
        <v>999100</v>
      </c>
      <c r="E359" s="18">
        <f>IF($A359&gt;20,0,(E356-MIN(MAX(F358,0),E356))+MIN(MAX(0,G358-(E356-MIN(MAX(F358,0),E356))),MAX(0,0*E356-(F358-MIN(MAX(F358,0),E356)))))</f>
        <v>75000</v>
      </c>
      <c r="F359" s="18">
        <f>IF($A359&gt;20,F358,(F358-E356+E359)*(1+$C$7))</f>
        <v>0</v>
      </c>
      <c r="G359" s="18">
        <f t="shared" ref="G359:G398" si="31">IF($A359&gt;20,G358,(G358-E359)*(1+$B$6))</f>
        <v>952750</v>
      </c>
      <c r="H359" s="18">
        <f>IF($A359&gt;20,0,(H356-MIN(MAX(I358,0),H356))+MIN(MAX(0,J358-(H356-MIN(MAX(I358,0),H356))),MAX(0,0*H356-(I358-MIN(MAX(I358,0),H356)))))</f>
        <v>65257.968540639944</v>
      </c>
      <c r="I359" s="18">
        <f>IF($A359&gt;20,I358,(I358-H356+H359)*(1+$C$7))</f>
        <v>0</v>
      </c>
      <c r="J359" s="18">
        <f t="shared" ref="J359:J398" si="32">IF($A359&gt;20,J358,(J358-H359)*(1+$B$6))</f>
        <v>962784.2924031408</v>
      </c>
      <c r="K359" s="18">
        <f>IF($A359&gt;20,0,(K356-MIN(MAX(L358,0),K356))+MIN(MAX(0,M358-(K356-MIN(MAX(L358,0),K356))),MAX(0,0*K356-(L358-MIN(MAX(L358,0),K356)))))</f>
        <v>65257.968540639937</v>
      </c>
      <c r="L359" s="18">
        <f>IF($A359&gt;20,L358,(L358-K356+K359)*(1+$C$7))</f>
        <v>0</v>
      </c>
      <c r="M359" s="18">
        <f t="shared" ref="M359:M398" si="33">IF($A359&gt;20,M358,(M358-K359)*(1+$B$6))</f>
        <v>962784.2924031408</v>
      </c>
      <c r="N359" s="18">
        <f>IF($A359&gt;20,0,(N356-MIN(MAX(O358,0),N356))+MIN(MAX(0,P358-(N356-MIN(MAX(O358,0),N356))),MAX(0,0*N356-(O358-MIN(MAX(O358,0),N356)))))</f>
        <v>65257.968540639937</v>
      </c>
      <c r="O359" s="18">
        <f>IF($A359&gt;20,O358,(O358-N356+N359)*(1+$C$7))</f>
        <v>0</v>
      </c>
      <c r="P359" s="18">
        <f t="shared" ref="P359:P398" si="34">IF($A359&gt;20,P358,(P358-N359)*(1+$B$6))</f>
        <v>962784.2924031408</v>
      </c>
      <c r="Q359" s="18">
        <f>IF($A359&gt;20,0,(Q356-MIN(MAX(R358,0),Q356))+MIN(MAX(0,S358-(Q356-MIN(MAX(R358,0),Q356))),MAX(0,0*Q356-(R358-MIN(MAX(R358,0),Q356)))))</f>
        <v>65257.968540639937</v>
      </c>
      <c r="R359" s="18">
        <f>IF($A359&gt;20,R358,(R358-Q356+Q359)*(1+$C$7))</f>
        <v>0</v>
      </c>
      <c r="S359" s="18">
        <f t="shared" ref="S359:S398" si="35">IF($A359&gt;20,S358,(S358-Q359)*(1+$B$6))</f>
        <v>962784.2924031408</v>
      </c>
    </row>
    <row r="360" spans="1:19">
      <c r="A360" s="10">
        <f>2</f>
        <v>2</v>
      </c>
      <c r="B360" s="18">
        <f>IF($A360&gt;20,0,(B356-MIN(MAX(C359,0),B356))+MIN(MAX(0,D359-(B356-MIN(MAX(C359,0),B356))),MAX(0,0*B356-(C359-MIN(MAX(C359,0),B356)))))</f>
        <v>30000</v>
      </c>
      <c r="C360" s="18">
        <f>IF($A360&gt;20,C359,(C359-B356+B360)*(1+$C$7))</f>
        <v>0</v>
      </c>
      <c r="D360" s="18">
        <f t="shared" si="30"/>
        <v>998173</v>
      </c>
      <c r="E360" s="18">
        <f>IF($A360&gt;20,0,(E356-MIN(MAX(F359,0),E356))+MIN(MAX(0,G359-(E356-MIN(MAX(F359,0),E356))),MAX(0,0*E356-(F359-MIN(MAX(F359,0),E356)))))</f>
        <v>75000</v>
      </c>
      <c r="F360" s="18">
        <f>IF($A360&gt;20,F359,(F359-E356+E360)*(1+$C$7))</f>
        <v>0</v>
      </c>
      <c r="G360" s="18">
        <f t="shared" si="31"/>
        <v>904082.5</v>
      </c>
      <c r="H360" s="18">
        <f>IF($A360&gt;20,0,(H356-MIN(MAX(I359,0),H356))+MIN(MAX(0,J359-(H356-MIN(MAX(I359,0),H356))),MAX(0,0*H356-(I359-MIN(MAX(I359,0),H356)))))</f>
        <v>65257.968540639944</v>
      </c>
      <c r="I360" s="18">
        <f>IF($A360&gt;20,I359,(I359-H356+H360)*(1+$C$7))</f>
        <v>0</v>
      </c>
      <c r="J360" s="18">
        <f t="shared" si="32"/>
        <v>924452.11357837589</v>
      </c>
      <c r="K360" s="18">
        <f>IF($A360&gt;20,0,(K356-MIN(MAX(L359,0),K356))+MIN(MAX(0,M359-(K356-MIN(MAX(L359,0),K356))),MAX(0,0*K356-(L359-MIN(MAX(L359,0),K356)))))</f>
        <v>65257.968540639937</v>
      </c>
      <c r="L360" s="18">
        <f>IF($A360&gt;20,L359,(L359-K356+K360)*(1+$C$7))</f>
        <v>0</v>
      </c>
      <c r="M360" s="18">
        <f t="shared" si="33"/>
        <v>924452.11357837589</v>
      </c>
      <c r="N360" s="18">
        <f>IF($A360&gt;20,0,(N356-MIN(MAX(O359,0),N356))+MIN(MAX(0,P359-(N356-MIN(MAX(O359,0),N356))),MAX(0,0*N356-(O359-MIN(MAX(O359,0),N356)))))</f>
        <v>65257.968540639937</v>
      </c>
      <c r="O360" s="18">
        <f>IF($A360&gt;20,O359,(O359-N356+N360)*(1+$C$7))</f>
        <v>0</v>
      </c>
      <c r="P360" s="18">
        <f t="shared" si="34"/>
        <v>924452.11357837589</v>
      </c>
      <c r="Q360" s="18">
        <f>IF($A360&gt;20,0,(Q356-MIN(MAX(R359,0),Q356))+MIN(MAX(0,S359-(Q356-MIN(MAX(R359,0),Q356))),MAX(0,0*Q356-(R359-MIN(MAX(R359,0),Q356)))))</f>
        <v>65257.968540639937</v>
      </c>
      <c r="R360" s="18">
        <f>IF($A360&gt;20,R359,(R359-Q356+Q360)*(1+$C$7))</f>
        <v>0</v>
      </c>
      <c r="S360" s="18">
        <f t="shared" si="35"/>
        <v>924452.11357837589</v>
      </c>
    </row>
    <row r="361" spans="1:19">
      <c r="A361" s="10">
        <f>3</f>
        <v>3</v>
      </c>
      <c r="B361" s="18">
        <f>IF($A361&gt;20,0,(B356-MIN(MAX(C360,0),B356))+MIN(MAX(0,D360-(B356-MIN(MAX(C360,0),B356))),MAX(0,0*B356-(C360-MIN(MAX(C360,0),B356)))))</f>
        <v>30000</v>
      </c>
      <c r="C361" s="18">
        <f>IF($A361&gt;20,C360,(C360-B356+B361)*(1+$C$7))</f>
        <v>0</v>
      </c>
      <c r="D361" s="18">
        <f t="shared" si="30"/>
        <v>997218.19000000006</v>
      </c>
      <c r="E361" s="18">
        <f>IF($A361&gt;20,0,(E356-MIN(MAX(F360,0),E356))+MIN(MAX(0,G360-(E356-MIN(MAX(F360,0),E356))),MAX(0,0*E356-(F360-MIN(MAX(F360,0),E356)))))</f>
        <v>75000</v>
      </c>
      <c r="F361" s="18">
        <f>IF($A361&gt;20,F360,(F360-E356+E361)*(1+$C$7))</f>
        <v>0</v>
      </c>
      <c r="G361" s="18">
        <f t="shared" si="31"/>
        <v>853954.97499999998</v>
      </c>
      <c r="H361" s="18">
        <f>IF($A361&gt;20,0,(H356-MIN(MAX(I360,0),H356))+MIN(MAX(0,J360-(H356-MIN(MAX(I360,0),H356))),MAX(0,0*H356-(I360-MIN(MAX(I360,0),H356)))))</f>
        <v>65257.968540639944</v>
      </c>
      <c r="I361" s="18">
        <f>IF($A361&gt;20,I360,(I360-H356+H361)*(1+$C$7))</f>
        <v>0</v>
      </c>
      <c r="J361" s="18">
        <f t="shared" si="32"/>
        <v>884969.96938886808</v>
      </c>
      <c r="K361" s="18">
        <f>IF($A361&gt;20,0,(K356-MIN(MAX(L360,0),K356))+MIN(MAX(0,M360-(K356-MIN(MAX(L360,0),K356))),MAX(0,0*K356-(L360-MIN(MAX(L360,0),K356)))))</f>
        <v>65257.968540639937</v>
      </c>
      <c r="L361" s="18">
        <f>IF($A361&gt;20,L360,(L360-K356+K361)*(1+$C$7))</f>
        <v>0</v>
      </c>
      <c r="M361" s="18">
        <f t="shared" si="33"/>
        <v>884969.96938886808</v>
      </c>
      <c r="N361" s="18">
        <f>IF($A361&gt;20,0,(N356-MIN(MAX(O360,0),N356))+MIN(MAX(0,P360-(N356-MIN(MAX(O360,0),N356))),MAX(0,0*N356-(O360-MIN(MAX(O360,0),N356)))))</f>
        <v>65257.968540639937</v>
      </c>
      <c r="O361" s="18">
        <f>IF($A361&gt;20,O360,(O360-N356+N361)*(1+$C$7))</f>
        <v>0</v>
      </c>
      <c r="P361" s="18">
        <f t="shared" si="34"/>
        <v>884969.96938886808</v>
      </c>
      <c r="Q361" s="18">
        <f>IF($A361&gt;20,0,(Q356-MIN(MAX(R360,0),Q356))+MIN(MAX(0,S360-(Q356-MIN(MAX(R360,0),Q356))),MAX(0,0*Q356-(R360-MIN(MAX(R360,0),Q356)))))</f>
        <v>65257.968540639937</v>
      </c>
      <c r="R361" s="18">
        <f>IF($A361&gt;20,R360,(R360-Q356+Q361)*(1+$C$7))</f>
        <v>0</v>
      </c>
      <c r="S361" s="18">
        <f t="shared" si="35"/>
        <v>884969.96938886808</v>
      </c>
    </row>
    <row r="362" spans="1:19">
      <c r="A362" s="10">
        <f>4</f>
        <v>4</v>
      </c>
      <c r="B362" s="18">
        <f>IF($A362&gt;20,0,(B356-MIN(MAX(C361,0),B356))+MIN(MAX(0,D361-(B356-MIN(MAX(C361,0),B356))),MAX(0,0*B356-(C361-MIN(MAX(C361,0),B356)))))</f>
        <v>30000</v>
      </c>
      <c r="C362" s="18">
        <f>IF($A362&gt;20,C361,(C361-B356+B362)*(1+$C$7))</f>
        <v>0</v>
      </c>
      <c r="D362" s="18">
        <f t="shared" si="30"/>
        <v>996234.73570000008</v>
      </c>
      <c r="E362" s="18">
        <f>IF($A362&gt;20,0,(E356-MIN(MAX(F361,0),E356))+MIN(MAX(0,G361-(E356-MIN(MAX(F361,0),E356))),MAX(0,0*E356-(F361-MIN(MAX(F361,0),E356)))))</f>
        <v>75000</v>
      </c>
      <c r="F362" s="18">
        <f>IF($A362&gt;20,F361,(F361-E356+E362)*(1+$C$7))</f>
        <v>0</v>
      </c>
      <c r="G362" s="18">
        <f t="shared" si="31"/>
        <v>802323.62424999999</v>
      </c>
      <c r="H362" s="18">
        <f>IF($A362&gt;20,0,(H356-MIN(MAX(I361,0),H356))+MIN(MAX(0,J361-(H356-MIN(MAX(I361,0),H356))),MAX(0,0*H356-(I361-MIN(MAX(I361,0),H356)))))</f>
        <v>65257.968540639944</v>
      </c>
      <c r="I362" s="18">
        <f>IF($A362&gt;20,I361,(I361-H356+H362)*(1+$C$7))</f>
        <v>0</v>
      </c>
      <c r="J362" s="18">
        <f t="shared" si="32"/>
        <v>844303.36087367497</v>
      </c>
      <c r="K362" s="18">
        <f>IF($A362&gt;20,0,(K356-MIN(MAX(L361,0),K356))+MIN(MAX(0,M361-(K356-MIN(MAX(L361,0),K356))),MAX(0,0*K356-(L361-MIN(MAX(L361,0),K356)))))</f>
        <v>65257.968540639937</v>
      </c>
      <c r="L362" s="18">
        <f>IF($A362&gt;20,L361,(L361-K356+K362)*(1+$C$7))</f>
        <v>0</v>
      </c>
      <c r="M362" s="18">
        <f t="shared" si="33"/>
        <v>844303.36087367497</v>
      </c>
      <c r="N362" s="18">
        <f>IF($A362&gt;20,0,(N356-MIN(MAX(O361,0),N356))+MIN(MAX(0,P361-(N356-MIN(MAX(O361,0),N356))),MAX(0,0*N356-(O361-MIN(MAX(O361,0),N356)))))</f>
        <v>65257.968540639937</v>
      </c>
      <c r="O362" s="18">
        <f>IF($A362&gt;20,O361,(O361-N356+N362)*(1+$C$7))</f>
        <v>0</v>
      </c>
      <c r="P362" s="18">
        <f t="shared" si="34"/>
        <v>844303.36087367497</v>
      </c>
      <c r="Q362" s="18">
        <f>IF($A362&gt;20,0,(Q356-MIN(MAX(R361,0),Q356))+MIN(MAX(0,S361-(Q356-MIN(MAX(R361,0),Q356))),MAX(0,0*Q356-(R361-MIN(MAX(R361,0),Q356)))))</f>
        <v>65257.968540639937</v>
      </c>
      <c r="R362" s="18">
        <f>IF($A362&gt;20,R361,(R361-Q356+Q362)*(1+$C$7))</f>
        <v>0</v>
      </c>
      <c r="S362" s="18">
        <f t="shared" si="35"/>
        <v>844303.36087367497</v>
      </c>
    </row>
    <row r="363" spans="1:19">
      <c r="A363" s="10">
        <f>5</f>
        <v>5</v>
      </c>
      <c r="B363" s="18">
        <f>IF($A363&gt;20,0,(B356-MIN(MAX(C362,0),B356))+MIN(MAX(0,D362-(B356-MIN(MAX(C362,0),B356))),MAX(0,0*B356-(C362-MIN(MAX(C362,0),B356)))))</f>
        <v>30000</v>
      </c>
      <c r="C363" s="18">
        <f>IF($A363&gt;20,C362,(C362-B356+B363)*(1+$C$7))</f>
        <v>0</v>
      </c>
      <c r="D363" s="18">
        <f t="shared" si="30"/>
        <v>995221.77777100005</v>
      </c>
      <c r="E363" s="18">
        <f>IF($A363&gt;20,0,(E356-MIN(MAX(F362,0),E356))+MIN(MAX(0,G362-(E356-MIN(MAX(F362,0),E356))),MAX(0,0*E356-(F362-MIN(MAX(F362,0),E356)))))</f>
        <v>75000</v>
      </c>
      <c r="F363" s="18">
        <f>IF($A363&gt;20,F362,(F362-E356+E363)*(1+$C$7))</f>
        <v>0</v>
      </c>
      <c r="G363" s="18">
        <f t="shared" si="31"/>
        <v>749143.33297750005</v>
      </c>
      <c r="H363" s="18">
        <f>IF($A363&gt;20,0,(H356-MIN(MAX(I362,0),H356))+MIN(MAX(0,J362-(H356-MIN(MAX(I362,0),H356))),MAX(0,0*H356-(I362-MIN(MAX(I362,0),H356)))))</f>
        <v>65257.968540639944</v>
      </c>
      <c r="I363" s="18">
        <f>IF($A363&gt;20,I362,(I362-H356+H363)*(1+$C$7))</f>
        <v>0</v>
      </c>
      <c r="J363" s="18">
        <f t="shared" si="32"/>
        <v>802416.75410302612</v>
      </c>
      <c r="K363" s="18">
        <f>IF($A363&gt;20,0,(K356-MIN(MAX(L362,0),K356))+MIN(MAX(0,M362-(K356-MIN(MAX(L362,0),K356))),MAX(0,0*K356-(L362-MIN(MAX(L362,0),K356)))))</f>
        <v>65257.968540639937</v>
      </c>
      <c r="L363" s="18">
        <f>IF($A363&gt;20,L362,(L362-K356+K363)*(1+$C$7))</f>
        <v>0</v>
      </c>
      <c r="M363" s="18">
        <f t="shared" si="33"/>
        <v>802416.75410302612</v>
      </c>
      <c r="N363" s="18">
        <f>IF($A363&gt;20,0,(N356-MIN(MAX(O362,0),N356))+MIN(MAX(0,P362-(N356-MIN(MAX(O362,0),N356))),MAX(0,0*N356-(O362-MIN(MAX(O362,0),N356)))))</f>
        <v>65257.968540639937</v>
      </c>
      <c r="O363" s="18">
        <f>IF($A363&gt;20,O362,(O362-N356+N363)*(1+$C$7))</f>
        <v>0</v>
      </c>
      <c r="P363" s="18">
        <f t="shared" si="34"/>
        <v>802416.75410302612</v>
      </c>
      <c r="Q363" s="18">
        <f>IF($A363&gt;20,0,(Q356-MIN(MAX(R362,0),Q356))+MIN(MAX(0,S362-(Q356-MIN(MAX(R362,0),Q356))),MAX(0,0*Q356-(R362-MIN(MAX(R362,0),Q356)))))</f>
        <v>65257.968540639937</v>
      </c>
      <c r="R363" s="18">
        <f>IF($A363&gt;20,R362,(R362-Q356+Q363)*(1+$C$7))</f>
        <v>0</v>
      </c>
      <c r="S363" s="18">
        <f t="shared" si="35"/>
        <v>802416.75410302612</v>
      </c>
    </row>
    <row r="364" spans="1:19">
      <c r="A364" s="10">
        <f>6</f>
        <v>6</v>
      </c>
      <c r="B364" s="18">
        <f>IF($A364&gt;20,0,(B356-MIN(MAX(C363,0),B356))+MIN(MAX(0,D363-(B356-MIN(MAX(C363,0),B356))),MAX(0,0*B356-(C363-MIN(MAX(C363,0),B356)))))</f>
        <v>30000</v>
      </c>
      <c r="C364" s="18">
        <f>IF($A364&gt;20,C363,(C363-B356+B364)*(1+$C$7))</f>
        <v>0</v>
      </c>
      <c r="D364" s="18">
        <f t="shared" si="30"/>
        <v>994178.43110413011</v>
      </c>
      <c r="E364" s="18">
        <f>IF($A364&gt;20,0,(E356-MIN(MAX(F363,0),E356))+MIN(MAX(0,G363-(E356-MIN(MAX(F363,0),E356))),MAX(0,0*E356-(F363-MIN(MAX(F363,0),E356)))))</f>
        <v>75000</v>
      </c>
      <c r="F364" s="18">
        <f>IF($A364&gt;20,F363,(F363-E356+E364)*(1+$C$7))</f>
        <v>0</v>
      </c>
      <c r="G364" s="18">
        <f t="shared" si="31"/>
        <v>694367.63296682504</v>
      </c>
      <c r="H364" s="18">
        <f>IF($A364&gt;20,0,(H356-MIN(MAX(I363,0),H356))+MIN(MAX(0,J363-(H356-MIN(MAX(I363,0),H356))),MAX(0,0*H356-(I363-MIN(MAX(I363,0),H356)))))</f>
        <v>65257.968540639944</v>
      </c>
      <c r="I364" s="18">
        <f>IF($A364&gt;20,I363,(I363-H356+H364)*(1+$C$7))</f>
        <v>0</v>
      </c>
      <c r="J364" s="18">
        <f t="shared" si="32"/>
        <v>759273.54912925779</v>
      </c>
      <c r="K364" s="18">
        <f>IF($A364&gt;20,0,(K356-MIN(MAX(L363,0),K356))+MIN(MAX(0,M363-(K356-MIN(MAX(L363,0),K356))),MAX(0,0*K356-(L363-MIN(MAX(L363,0),K356)))))</f>
        <v>65257.968540639937</v>
      </c>
      <c r="L364" s="18">
        <f>IF($A364&gt;20,L363,(L363-K356+K364)*(1+$C$7))</f>
        <v>0</v>
      </c>
      <c r="M364" s="18">
        <f t="shared" si="33"/>
        <v>759273.54912925779</v>
      </c>
      <c r="N364" s="18">
        <f>IF($A364&gt;20,0,(N356-MIN(MAX(O363,0),N356))+MIN(MAX(0,P363-(N356-MIN(MAX(O363,0),N356))),MAX(0,0*N356-(O363-MIN(MAX(O363,0),N356)))))</f>
        <v>65257.968540639937</v>
      </c>
      <c r="O364" s="18">
        <f>IF($A364&gt;20,O363,(O363-N356+N364)*(1+$C$7))</f>
        <v>0</v>
      </c>
      <c r="P364" s="18">
        <f t="shared" si="34"/>
        <v>759273.54912925779</v>
      </c>
      <c r="Q364" s="18">
        <f>IF($A364&gt;20,0,(Q356-MIN(MAX(R363,0),Q356))+MIN(MAX(0,S363-(Q356-MIN(MAX(R363,0),Q356))),MAX(0,0*Q356-(R363-MIN(MAX(R363,0),Q356)))))</f>
        <v>65257.968540639937</v>
      </c>
      <c r="R364" s="18">
        <f>IF($A364&gt;20,R363,(R363-Q356+Q364)*(1+$C$7))</f>
        <v>0</v>
      </c>
      <c r="S364" s="18">
        <f t="shared" si="35"/>
        <v>759273.54912925779</v>
      </c>
    </row>
    <row r="365" spans="1:19">
      <c r="A365" s="10">
        <f>7</f>
        <v>7</v>
      </c>
      <c r="B365" s="18">
        <f>IF($A365&gt;20,0,(B356-MIN(MAX(C364,0),B356))+MIN(MAX(0,D364-(B356-MIN(MAX(C364,0),B356))),MAX(0,0*B356-(C364-MIN(MAX(C364,0),B356)))))</f>
        <v>30000</v>
      </c>
      <c r="C365" s="18">
        <f>IF($A365&gt;20,C364,(C364-B356+B365)*(1+$C$7))</f>
        <v>0</v>
      </c>
      <c r="D365" s="18">
        <f t="shared" si="30"/>
        <v>993103.78403725405</v>
      </c>
      <c r="E365" s="18">
        <f>IF($A365&gt;20,0,(E356-MIN(MAX(F364,0),E356))+MIN(MAX(0,G364-(E356-MIN(MAX(F364,0),E356))),MAX(0,0*E356-(F364-MIN(MAX(F364,0),E356)))))</f>
        <v>75000</v>
      </c>
      <c r="F365" s="18">
        <f>IF($A365&gt;20,F364,(F364-E356+E365)*(1+$C$7))</f>
        <v>0</v>
      </c>
      <c r="G365" s="18">
        <f t="shared" si="31"/>
        <v>637948.66195582983</v>
      </c>
      <c r="H365" s="18">
        <f>IF($A365&gt;20,0,(H356-MIN(MAX(I364,0),H356))+MIN(MAX(0,J364-(H356-MIN(MAX(I364,0),H356))),MAX(0,0*H356-(I364-MIN(MAX(I364,0),H356)))))</f>
        <v>65257.968540639944</v>
      </c>
      <c r="I365" s="18">
        <f>IF($A365&gt;20,I364,(I364-H356+H365)*(1+$C$7))</f>
        <v>0</v>
      </c>
      <c r="J365" s="18">
        <f t="shared" si="32"/>
        <v>714836.04800627637</v>
      </c>
      <c r="K365" s="18">
        <f>IF($A365&gt;20,0,(K356-MIN(MAX(L364,0),K356))+MIN(MAX(0,M364-(K356-MIN(MAX(L364,0),K356))),MAX(0,0*K356-(L364-MIN(MAX(L364,0),K356)))))</f>
        <v>65257.968540639937</v>
      </c>
      <c r="L365" s="18">
        <f>IF($A365&gt;20,L364,(L364-K356+K365)*(1+$C$7))</f>
        <v>0</v>
      </c>
      <c r="M365" s="18">
        <f t="shared" si="33"/>
        <v>714836.04800627637</v>
      </c>
      <c r="N365" s="18">
        <f>IF($A365&gt;20,0,(N356-MIN(MAX(O364,0),N356))+MIN(MAX(0,P364-(N356-MIN(MAX(O364,0),N356))),MAX(0,0*N356-(O364-MIN(MAX(O364,0),N356)))))</f>
        <v>65257.968540639937</v>
      </c>
      <c r="O365" s="18">
        <f>IF($A365&gt;20,O364,(O364-N356+N365)*(1+$C$7))</f>
        <v>0</v>
      </c>
      <c r="P365" s="18">
        <f t="shared" si="34"/>
        <v>714836.04800627637</v>
      </c>
      <c r="Q365" s="18">
        <f>IF($A365&gt;20,0,(Q356-MIN(MAX(R364,0),Q356))+MIN(MAX(0,S364-(Q356-MIN(MAX(R364,0),Q356))),MAX(0,0*Q356-(R364-MIN(MAX(R364,0),Q356)))))</f>
        <v>65257.968540639937</v>
      </c>
      <c r="R365" s="18">
        <f>IF($A365&gt;20,R364,(R364-Q356+Q365)*(1+$C$7))</f>
        <v>0</v>
      </c>
      <c r="S365" s="18">
        <f t="shared" si="35"/>
        <v>714836.04800627637</v>
      </c>
    </row>
    <row r="366" spans="1:19">
      <c r="A366" s="10">
        <f>8</f>
        <v>8</v>
      </c>
      <c r="B366" s="18">
        <f>IF($A366&gt;20,0,(B356-MIN(MAX(C365,0),B356))+MIN(MAX(0,D365-(B356-MIN(MAX(C365,0),B356))),MAX(0,0*B356-(C365-MIN(MAX(C365,0),B356)))))</f>
        <v>30000</v>
      </c>
      <c r="C366" s="18">
        <f>IF($A366&gt;20,C365,(C365-B356+B366)*(1+$C$7))</f>
        <v>0</v>
      </c>
      <c r="D366" s="18">
        <f t="shared" si="30"/>
        <v>991996.89755837165</v>
      </c>
      <c r="E366" s="18">
        <f>IF($A366&gt;20,0,(E356-MIN(MAX(F365,0),E356))+MIN(MAX(0,G365-(E356-MIN(MAX(F365,0),E356))),MAX(0,0*E356-(F365-MIN(MAX(F365,0),E356)))))</f>
        <v>75000</v>
      </c>
      <c r="F366" s="18">
        <f>IF($A366&gt;20,F365,(F365-E356+E366)*(1+$C$7))</f>
        <v>0</v>
      </c>
      <c r="G366" s="18">
        <f t="shared" si="31"/>
        <v>579837.12181450473</v>
      </c>
      <c r="H366" s="18">
        <f>IF($A366&gt;20,0,(H356-MIN(MAX(I365,0),H356))+MIN(MAX(0,J365-(H356-MIN(MAX(I365,0),H356))),MAX(0,0*H356-(I365-MIN(MAX(I365,0),H356)))))</f>
        <v>65257.968540639944</v>
      </c>
      <c r="I366" s="18">
        <f>IF($A366&gt;20,I365,(I365-H356+H366)*(1+$C$7))</f>
        <v>0</v>
      </c>
      <c r="J366" s="18">
        <f t="shared" si="32"/>
        <v>669065.42184960551</v>
      </c>
      <c r="K366" s="18">
        <f>IF($A366&gt;20,0,(K356-MIN(MAX(L365,0),K356))+MIN(MAX(0,M365-(K356-MIN(MAX(L365,0),K356))),MAX(0,0*K356-(L365-MIN(MAX(L365,0),K356)))))</f>
        <v>65257.968540639937</v>
      </c>
      <c r="L366" s="18">
        <f>IF($A366&gt;20,L365,(L365-K356+K366)*(1+$C$7))</f>
        <v>0</v>
      </c>
      <c r="M366" s="18">
        <f t="shared" si="33"/>
        <v>669065.42184960551</v>
      </c>
      <c r="N366" s="18">
        <f>IF($A366&gt;20,0,(N356-MIN(MAX(O365,0),N356))+MIN(MAX(0,P365-(N356-MIN(MAX(O365,0),N356))),MAX(0,0*N356-(O365-MIN(MAX(O365,0),N356)))))</f>
        <v>65257.968540639937</v>
      </c>
      <c r="O366" s="18">
        <f>IF($A366&gt;20,O365,(O365-N356+N366)*(1+$C$7))</f>
        <v>0</v>
      </c>
      <c r="P366" s="18">
        <f t="shared" si="34"/>
        <v>669065.42184960551</v>
      </c>
      <c r="Q366" s="18">
        <f>IF($A366&gt;20,0,(Q356-MIN(MAX(R365,0),Q356))+MIN(MAX(0,S365-(Q356-MIN(MAX(R365,0),Q356))),MAX(0,0*Q356-(R365-MIN(MAX(R365,0),Q356)))))</f>
        <v>65257.968540639937</v>
      </c>
      <c r="R366" s="18">
        <f>IF($A366&gt;20,R365,(R365-Q356+Q366)*(1+$C$7))</f>
        <v>0</v>
      </c>
      <c r="S366" s="18">
        <f t="shared" si="35"/>
        <v>669065.42184960551</v>
      </c>
    </row>
    <row r="367" spans="1:19">
      <c r="A367" s="10">
        <f>9</f>
        <v>9</v>
      </c>
      <c r="B367" s="18">
        <f>IF($A367&gt;20,0,(B356-MIN(MAX(C366,0),B356))+MIN(MAX(0,D366-(B356-MIN(MAX(C366,0),B356))),MAX(0,0*B356-(C366-MIN(MAX(C366,0),B356)))))</f>
        <v>30000</v>
      </c>
      <c r="C367" s="18">
        <f>IF($A367&gt;20,C366,(C366-B356+B367)*(1+$C$7))</f>
        <v>0</v>
      </c>
      <c r="D367" s="18">
        <f t="shared" si="30"/>
        <v>990856.80448512279</v>
      </c>
      <c r="E367" s="18">
        <f>IF($A367&gt;20,0,(E356-MIN(MAX(F366,0),E356))+MIN(MAX(0,G366-(E356-MIN(MAX(F366,0),E356))),MAX(0,0*E356-(F366-MIN(MAX(F366,0),E356)))))</f>
        <v>75000</v>
      </c>
      <c r="F367" s="18">
        <f>IF($A367&gt;20,F366,(F366-E356+E367)*(1+$C$7))</f>
        <v>0</v>
      </c>
      <c r="G367" s="18">
        <f t="shared" si="31"/>
        <v>519982.23546893988</v>
      </c>
      <c r="H367" s="18">
        <f>IF($A367&gt;20,0,(H356-MIN(MAX(I366,0),H356))+MIN(MAX(0,J366-(H356-MIN(MAX(I366,0),H356))),MAX(0,0*H356-(I366-MIN(MAX(I366,0),H356)))))</f>
        <v>65257.968540639944</v>
      </c>
      <c r="I367" s="18">
        <f>IF($A367&gt;20,I366,(I366-H356+H367)*(1+$C$7))</f>
        <v>0</v>
      </c>
      <c r="J367" s="18">
        <f t="shared" si="32"/>
        <v>621921.67690823448</v>
      </c>
      <c r="K367" s="18">
        <f>IF($A367&gt;20,0,(K356-MIN(MAX(L366,0),K356))+MIN(MAX(0,M366-(K356-MIN(MAX(L366,0),K356))),MAX(0,0*K356-(L366-MIN(MAX(L366,0),K356)))))</f>
        <v>65257.968540639937</v>
      </c>
      <c r="L367" s="18">
        <f>IF($A367&gt;20,L366,(L366-K356+K367)*(1+$C$7))</f>
        <v>0</v>
      </c>
      <c r="M367" s="18">
        <f t="shared" si="33"/>
        <v>621921.67690823448</v>
      </c>
      <c r="N367" s="18">
        <f>IF($A367&gt;20,0,(N356-MIN(MAX(O366,0),N356))+MIN(MAX(0,P366-(N356-MIN(MAX(O366,0),N356))),MAX(0,0*N356-(O366-MIN(MAX(O366,0),N356)))))</f>
        <v>65257.968540639937</v>
      </c>
      <c r="O367" s="18">
        <f>IF($A367&gt;20,O366,(O366-N356+N367)*(1+$C$7))</f>
        <v>0</v>
      </c>
      <c r="P367" s="18">
        <f t="shared" si="34"/>
        <v>621921.67690823448</v>
      </c>
      <c r="Q367" s="18">
        <f>IF($A367&gt;20,0,(Q356-MIN(MAX(R366,0),Q356))+MIN(MAX(0,S366-(Q356-MIN(MAX(R366,0),Q356))),MAX(0,0*Q356-(R366-MIN(MAX(R366,0),Q356)))))</f>
        <v>65257.968540639937</v>
      </c>
      <c r="R367" s="18">
        <f>IF($A367&gt;20,R366,(R366-Q356+Q367)*(1+$C$7))</f>
        <v>0</v>
      </c>
      <c r="S367" s="18">
        <f t="shared" si="35"/>
        <v>621921.67690823448</v>
      </c>
    </row>
    <row r="368" spans="1:19">
      <c r="A368" s="10">
        <f>10</f>
        <v>10</v>
      </c>
      <c r="B368" s="18">
        <f>IF($A368&gt;20,0,(B356-MIN(MAX(C367,0),B356))+MIN(MAX(0,D367-(B356-MIN(MAX(C367,0),B356))),MAX(0,0*B356-(C367-MIN(MAX(C367,0),B356)))))</f>
        <v>30000</v>
      </c>
      <c r="C368" s="18">
        <f>IF($A368&gt;20,C367,(C367-B356+B368)*(1+$C$7))</f>
        <v>0</v>
      </c>
      <c r="D368" s="18">
        <f t="shared" si="30"/>
        <v>989682.50861967646</v>
      </c>
      <c r="E368" s="18">
        <f>IF($A368&gt;20,0,(E356-MIN(MAX(F367,0),E356))+MIN(MAX(0,G367-(E356-MIN(MAX(F367,0),E356))),MAX(0,0*E356-(F367-MIN(MAX(F367,0),E356)))))</f>
        <v>75000</v>
      </c>
      <c r="F368" s="18">
        <f>IF($A368&gt;20,F367,(F367-E356+E368)*(1+$C$7))</f>
        <v>0</v>
      </c>
      <c r="G368" s="18">
        <f t="shared" si="31"/>
        <v>458331.70253300807</v>
      </c>
      <c r="H368" s="18">
        <f>IF($A368&gt;20,0,(H356-MIN(MAX(I367,0),H356))+MIN(MAX(0,J367-(H356-MIN(MAX(I367,0),H356))),MAX(0,0*H356-(I367-MIN(MAX(I367,0),H356)))))</f>
        <v>65257.968540639944</v>
      </c>
      <c r="I368" s="18">
        <f>IF($A368&gt;20,I367,(I367-H356+H368)*(1+$C$7))</f>
        <v>0</v>
      </c>
      <c r="J368" s="18">
        <f t="shared" si="32"/>
        <v>573363.61961862235</v>
      </c>
      <c r="K368" s="18">
        <f>IF($A368&gt;20,0,(K356-MIN(MAX(L367,0),K356))+MIN(MAX(0,M367-(K356-MIN(MAX(L367,0),K356))),MAX(0,0*K356-(L367-MIN(MAX(L367,0),K356)))))</f>
        <v>65257.968540639937</v>
      </c>
      <c r="L368" s="18">
        <f>IF($A368&gt;20,L367,(L367-K356+K368)*(1+$C$7))</f>
        <v>0</v>
      </c>
      <c r="M368" s="18">
        <f t="shared" si="33"/>
        <v>573363.61961862235</v>
      </c>
      <c r="N368" s="18">
        <f>IF($A368&gt;20,0,(N356-MIN(MAX(O367,0),N356))+MIN(MAX(0,P367-(N356-MIN(MAX(O367,0),N356))),MAX(0,0*N356-(O367-MIN(MAX(O367,0),N356)))))</f>
        <v>65257.968540639937</v>
      </c>
      <c r="O368" s="18">
        <f>IF($A368&gt;20,O367,(O367-N356+N368)*(1+$C$7))</f>
        <v>0</v>
      </c>
      <c r="P368" s="18">
        <f t="shared" si="34"/>
        <v>573363.61961862235</v>
      </c>
      <c r="Q368" s="18">
        <f>IF($A368&gt;20,0,(Q356-MIN(MAX(R367,0),Q356))+MIN(MAX(0,S367-(Q356-MIN(MAX(R367,0),Q356))),MAX(0,0*Q356-(R367-MIN(MAX(R367,0),Q356)))))</f>
        <v>65257.968540639937</v>
      </c>
      <c r="R368" s="18">
        <f>IF($A368&gt;20,R367,(R367-Q356+Q368)*(1+$C$7))</f>
        <v>0</v>
      </c>
      <c r="S368" s="18">
        <f t="shared" si="35"/>
        <v>573363.61961862235</v>
      </c>
    </row>
    <row r="369" spans="1:19">
      <c r="A369" s="10">
        <f>11</f>
        <v>11</v>
      </c>
      <c r="B369" s="18">
        <f>IF($A369&gt;20,0,(B356-MIN(MAX(C368,0),B356))+MIN(MAX(0,D368-(B356-MIN(MAX(C368,0),B356))),MAX(0,0*B356-(C368-MIN(MAX(C368,0),B356)))))</f>
        <v>30000</v>
      </c>
      <c r="C369" s="18">
        <f>IF($A369&gt;20,C368,(C368-B356+B369)*(1+$C$7))</f>
        <v>0</v>
      </c>
      <c r="D369" s="18">
        <f t="shared" si="30"/>
        <v>988472.98387826676</v>
      </c>
      <c r="E369" s="18">
        <f>IF($A369&gt;20,0,(E356-MIN(MAX(F368,0),E356))+MIN(MAX(0,G368-(E356-MIN(MAX(F368,0),E356))),MAX(0,0*E356-(F368-MIN(MAX(F368,0),E356)))))</f>
        <v>75000</v>
      </c>
      <c r="F369" s="18">
        <f>IF($A369&gt;20,F368,(F368-E356+E369)*(1+$C$7))</f>
        <v>0</v>
      </c>
      <c r="G369" s="18">
        <f t="shared" si="31"/>
        <v>394831.65360899834</v>
      </c>
      <c r="H369" s="18">
        <f>IF($A369&gt;20,0,(H356-MIN(MAX(I368,0),H356))+MIN(MAX(0,J368-(H356-MIN(MAX(I368,0),H356))),MAX(0,0*H356-(I368-MIN(MAX(I368,0),H356)))))</f>
        <v>65257.968540639944</v>
      </c>
      <c r="I369" s="18">
        <f>IF($A369&gt;20,I368,(I368-H356+H369)*(1+$C$7))</f>
        <v>0</v>
      </c>
      <c r="J369" s="18">
        <f t="shared" si="32"/>
        <v>523348.82061032188</v>
      </c>
      <c r="K369" s="18">
        <f>IF($A369&gt;20,0,(K356-MIN(MAX(L368,0),K356))+MIN(MAX(0,M368-(K356-MIN(MAX(L368,0),K356))),MAX(0,0*K356-(L368-MIN(MAX(L368,0),K356)))))</f>
        <v>65257.968540639937</v>
      </c>
      <c r="L369" s="18">
        <f>IF($A369&gt;20,L368,(L368-K356+K369)*(1+$C$7))</f>
        <v>0</v>
      </c>
      <c r="M369" s="18">
        <f t="shared" si="33"/>
        <v>523348.82061032188</v>
      </c>
      <c r="N369" s="18">
        <f>IF($A369&gt;20,0,(N356-MIN(MAX(O368,0),N356))+MIN(MAX(0,P368-(N356-MIN(MAX(O368,0),N356))),MAX(0,0*N356-(O368-MIN(MAX(O368,0),N356)))))</f>
        <v>65257.968540639937</v>
      </c>
      <c r="O369" s="18">
        <f>IF($A369&gt;20,O368,(O368-N356+N369)*(1+$C$7))</f>
        <v>0</v>
      </c>
      <c r="P369" s="18">
        <f t="shared" si="34"/>
        <v>523348.82061032188</v>
      </c>
      <c r="Q369" s="18">
        <f>IF($A369&gt;20,0,(Q356-MIN(MAX(R368,0),Q356))+MIN(MAX(0,S368-(Q356-MIN(MAX(R368,0),Q356))),MAX(0,0*Q356-(R368-MIN(MAX(R368,0),Q356)))))</f>
        <v>65257.968540639937</v>
      </c>
      <c r="R369" s="18">
        <f>IF($A369&gt;20,R368,(R368-Q356+Q369)*(1+$C$7))</f>
        <v>0</v>
      </c>
      <c r="S369" s="18">
        <f t="shared" si="35"/>
        <v>523348.82061032188</v>
      </c>
    </row>
    <row r="370" spans="1:19">
      <c r="A370" s="10">
        <f>12</f>
        <v>12</v>
      </c>
      <c r="B370" s="18">
        <f>IF($A370&gt;20,0,(B356-MIN(MAX(C369,0),B356))+MIN(MAX(0,D369-(B356-MIN(MAX(C369,0),B356))),MAX(0,0*B356-(C369-MIN(MAX(C369,0),B356)))))</f>
        <v>30000</v>
      </c>
      <c r="C370" s="18">
        <f>IF($A370&gt;20,C369,(C369-B356+B370)*(1+$C$7))</f>
        <v>0</v>
      </c>
      <c r="D370" s="18">
        <f t="shared" si="30"/>
        <v>987227.17339461483</v>
      </c>
      <c r="E370" s="18">
        <f>IF($A370&gt;20,0,(E356-MIN(MAX(F369,0),E356))+MIN(MAX(0,G369-(E356-MIN(MAX(F369,0),E356))),MAX(0,0*E356-(F369-MIN(MAX(F369,0),E356)))))</f>
        <v>75000</v>
      </c>
      <c r="F370" s="18">
        <f>IF($A370&gt;20,F369,(F369-E356+E370)*(1+$C$7))</f>
        <v>0</v>
      </c>
      <c r="G370" s="18">
        <f t="shared" si="31"/>
        <v>329426.6032172683</v>
      </c>
      <c r="H370" s="18">
        <f>IF($A370&gt;20,0,(H356-MIN(MAX(I369,0),H356))+MIN(MAX(0,J369-(H356-MIN(MAX(I369,0),H356))),MAX(0,0*H356-(I369-MIN(MAX(I369,0),H356)))))</f>
        <v>65257.968540639944</v>
      </c>
      <c r="I370" s="18">
        <f>IF($A370&gt;20,I369,(I369-H356+H370)*(1+$C$7))</f>
        <v>0</v>
      </c>
      <c r="J370" s="18">
        <f t="shared" si="32"/>
        <v>471833.57763177238</v>
      </c>
      <c r="K370" s="18">
        <f>IF($A370&gt;20,0,(K356-MIN(MAX(L369,0),K356))+MIN(MAX(0,M369-(K356-MIN(MAX(L369,0),K356))),MAX(0,0*K356-(L369-MIN(MAX(L369,0),K356)))))</f>
        <v>65257.968540639937</v>
      </c>
      <c r="L370" s="18">
        <f>IF($A370&gt;20,L369,(L369-K356+K370)*(1+$C$7))</f>
        <v>0</v>
      </c>
      <c r="M370" s="18">
        <f t="shared" si="33"/>
        <v>471833.57763177244</v>
      </c>
      <c r="N370" s="18">
        <f>IF($A370&gt;20,0,(N356-MIN(MAX(O369,0),N356))+MIN(MAX(0,P369-(N356-MIN(MAX(O369,0),N356))),MAX(0,0*N356-(O369-MIN(MAX(O369,0),N356)))))</f>
        <v>65257.968540639937</v>
      </c>
      <c r="O370" s="18">
        <f>IF($A370&gt;20,O369,(O369-N356+N370)*(1+$C$7))</f>
        <v>0</v>
      </c>
      <c r="P370" s="18">
        <f t="shared" si="34"/>
        <v>471833.57763177244</v>
      </c>
      <c r="Q370" s="18">
        <f>IF($A370&gt;20,0,(Q356-MIN(MAX(R369,0),Q356))+MIN(MAX(0,S369-(Q356-MIN(MAX(R369,0),Q356))),MAX(0,0*Q356-(R369-MIN(MAX(R369,0),Q356)))))</f>
        <v>65257.968540639937</v>
      </c>
      <c r="R370" s="18">
        <f>IF($A370&gt;20,R369,(R369-Q356+Q370)*(1+$C$7))</f>
        <v>0</v>
      </c>
      <c r="S370" s="18">
        <f t="shared" si="35"/>
        <v>471833.57763177244</v>
      </c>
    </row>
    <row r="371" spans="1:19">
      <c r="A371" s="10">
        <f>13</f>
        <v>13</v>
      </c>
      <c r="B371" s="18">
        <f>IF($A371&gt;20,0,(B356-MIN(MAX(C370,0),B356))+MIN(MAX(0,D370-(B356-MIN(MAX(C370,0),B356))),MAX(0,0*B356-(C370-MIN(MAX(C370,0),B356)))))</f>
        <v>30000</v>
      </c>
      <c r="C371" s="18">
        <f>IF($A371&gt;20,C370,(C370-B356+B371)*(1+$C$7))</f>
        <v>0</v>
      </c>
      <c r="D371" s="18">
        <f t="shared" si="30"/>
        <v>985943.98859645333</v>
      </c>
      <c r="E371" s="18">
        <f>IF($A371&gt;20,0,(E356-MIN(MAX(F370,0),E356))+MIN(MAX(0,G370-(E356-MIN(MAX(F370,0),E356))),MAX(0,0*E356-(F370-MIN(MAX(F370,0),E356)))))</f>
        <v>75000</v>
      </c>
      <c r="F371" s="18">
        <f>IF($A371&gt;20,F370,(F370-E356+E371)*(1+$C$7))</f>
        <v>0</v>
      </c>
      <c r="G371" s="18">
        <f t="shared" si="31"/>
        <v>262059.40131378637</v>
      </c>
      <c r="H371" s="18">
        <f>IF($A371&gt;20,0,(H356-MIN(MAX(I370,0),H356))+MIN(MAX(0,J370-(H356-MIN(MAX(I370,0),H356))),MAX(0,0*H356-(I370-MIN(MAX(I370,0),H356)))))</f>
        <v>65257.968540639944</v>
      </c>
      <c r="I371" s="18">
        <f>IF($A371&gt;20,I370,(I370-H356+H371)*(1+$C$7))</f>
        <v>0</v>
      </c>
      <c r="J371" s="18">
        <f t="shared" si="32"/>
        <v>418772.87736386637</v>
      </c>
      <c r="K371" s="18">
        <f>IF($A371&gt;20,0,(K356-MIN(MAX(L370,0),K356))+MIN(MAX(0,M370-(K356-MIN(MAX(L370,0),K356))),MAX(0,0*K356-(L370-MIN(MAX(L370,0),K356)))))</f>
        <v>65257.968540639937</v>
      </c>
      <c r="L371" s="18">
        <f>IF($A371&gt;20,L370,(L370-K356+K371)*(1+$C$7))</f>
        <v>0</v>
      </c>
      <c r="M371" s="18">
        <f t="shared" si="33"/>
        <v>418772.87736386654</v>
      </c>
      <c r="N371" s="18">
        <f>IF($A371&gt;20,0,(N356-MIN(MAX(O370,0),N356))+MIN(MAX(0,P370-(N356-MIN(MAX(O370,0),N356))),MAX(0,0*N356-(O370-MIN(MAX(O370,0),N356)))))</f>
        <v>65257.968540639937</v>
      </c>
      <c r="O371" s="18">
        <f>IF($A371&gt;20,O370,(O370-N356+N371)*(1+$C$7))</f>
        <v>0</v>
      </c>
      <c r="P371" s="18">
        <f t="shared" si="34"/>
        <v>418772.87736386654</v>
      </c>
      <c r="Q371" s="18">
        <f>IF($A371&gt;20,0,(Q356-MIN(MAX(R370,0),Q356))+MIN(MAX(0,S370-(Q356-MIN(MAX(R370,0),Q356))),MAX(0,0*Q356-(R370-MIN(MAX(R370,0),Q356)))))</f>
        <v>65257.968540639937</v>
      </c>
      <c r="R371" s="18">
        <f>IF($A371&gt;20,R370,(R370-Q356+Q371)*(1+$C$7))</f>
        <v>0</v>
      </c>
      <c r="S371" s="18">
        <f t="shared" si="35"/>
        <v>418772.87736386654</v>
      </c>
    </row>
    <row r="372" spans="1:19">
      <c r="A372" s="10">
        <f>14</f>
        <v>14</v>
      </c>
      <c r="B372" s="18">
        <f>IF($A372&gt;20,0,(B356-MIN(MAX(C371,0),B356))+MIN(MAX(0,D371-(B356-MIN(MAX(C371,0),B356))),MAX(0,0*B356-(C371-MIN(MAX(C371,0),B356)))))</f>
        <v>30000</v>
      </c>
      <c r="C372" s="18">
        <f>IF($A372&gt;20,C371,(C371-B356+B372)*(1+$C$7))</f>
        <v>0</v>
      </c>
      <c r="D372" s="18">
        <f t="shared" si="30"/>
        <v>984622.30825434695</v>
      </c>
      <c r="E372" s="18">
        <f>IF($A372&gt;20,0,(E356-MIN(MAX(F371,0),E356))+MIN(MAX(0,G371-(E356-MIN(MAX(F371,0),E356))),MAX(0,0*E356-(F371-MIN(MAX(F371,0),E356)))))</f>
        <v>75000</v>
      </c>
      <c r="F372" s="18">
        <f>IF($A372&gt;20,F371,(F371-E356+E372)*(1+$C$7))</f>
        <v>0</v>
      </c>
      <c r="G372" s="18">
        <f t="shared" si="31"/>
        <v>192671.18335319997</v>
      </c>
      <c r="H372" s="18">
        <f>IF($A372&gt;20,0,(H356-MIN(MAX(I371,0),H356))+MIN(MAX(0,J371-(H356-MIN(MAX(I371,0),H356))),MAX(0,0*H356-(I371-MIN(MAX(I371,0),H356)))))</f>
        <v>65257.968540639944</v>
      </c>
      <c r="I372" s="18">
        <f>IF($A372&gt;20,I371,(I371-H356+H372)*(1+$C$7))</f>
        <v>0</v>
      </c>
      <c r="J372" s="18">
        <f t="shared" si="32"/>
        <v>364120.35608792322</v>
      </c>
      <c r="K372" s="18">
        <f>IF($A372&gt;20,0,(K356-MIN(MAX(L371,0),K356))+MIN(MAX(0,M371-(K356-MIN(MAX(L371,0),K356))),MAX(0,0*K356-(L371-MIN(MAX(L371,0),K356)))))</f>
        <v>65257.968540639937</v>
      </c>
      <c r="L372" s="18">
        <f>IF($A372&gt;20,L371,(L371-K356+K372)*(1+$C$7))</f>
        <v>0</v>
      </c>
      <c r="M372" s="18">
        <f t="shared" si="33"/>
        <v>364120.3560879234</v>
      </c>
      <c r="N372" s="18">
        <f>IF($A372&gt;20,0,(N356-MIN(MAX(O371,0),N356))+MIN(MAX(0,P371-(N356-MIN(MAX(O371,0),N356))),MAX(0,0*N356-(O371-MIN(MAX(O371,0),N356)))))</f>
        <v>65257.968540639937</v>
      </c>
      <c r="O372" s="18">
        <f>IF($A372&gt;20,O371,(O371-N356+N372)*(1+$C$7))</f>
        <v>0</v>
      </c>
      <c r="P372" s="18">
        <f t="shared" si="34"/>
        <v>364120.3560879234</v>
      </c>
      <c r="Q372" s="18">
        <f>IF($A372&gt;20,0,(Q356-MIN(MAX(R371,0),Q356))+MIN(MAX(0,S371-(Q356-MIN(MAX(R371,0),Q356))),MAX(0,0*Q356-(R371-MIN(MAX(R371,0),Q356)))))</f>
        <v>65257.968540639937</v>
      </c>
      <c r="R372" s="18">
        <f>IF($A372&gt;20,R371,(R371-Q356+Q372)*(1+$C$7))</f>
        <v>0</v>
      </c>
      <c r="S372" s="18">
        <f t="shared" si="35"/>
        <v>364120.3560879234</v>
      </c>
    </row>
    <row r="373" spans="1:19">
      <c r="A373" s="10">
        <f>15</f>
        <v>15</v>
      </c>
      <c r="B373" s="18">
        <f>IF($A373&gt;20,0,(B356-MIN(MAX(C372,0),B356))+MIN(MAX(0,D372-(B356-MIN(MAX(C372,0),B356))),MAX(0,0*B356-(C372-MIN(MAX(C372,0),B356)))))</f>
        <v>30000</v>
      </c>
      <c r="C373" s="18">
        <f>IF($A373&gt;20,C372,(C372-B356+B373)*(1+$C$7))</f>
        <v>0</v>
      </c>
      <c r="D373" s="18">
        <f t="shared" si="30"/>
        <v>983260.97750197735</v>
      </c>
      <c r="E373" s="18">
        <f>IF($A373&gt;20,0,(E356-MIN(MAX(F372,0),E356))+MIN(MAX(0,G372-(E356-MIN(MAX(F372,0),E356))),MAX(0,0*E356-(F372-MIN(MAX(F372,0),E356)))))</f>
        <v>75000</v>
      </c>
      <c r="F373" s="18">
        <f>IF($A373&gt;20,F372,(F372-E356+E373)*(1+$C$7))</f>
        <v>0</v>
      </c>
      <c r="G373" s="18">
        <f t="shared" si="31"/>
        <v>121201.31885379598</v>
      </c>
      <c r="H373" s="18">
        <f>IF($A373&gt;20,0,(H356-MIN(MAX(I372,0),H356))+MIN(MAX(0,J372-(H356-MIN(MAX(I372,0),H356))),MAX(0,0*H356-(I372-MIN(MAX(I372,0),H356)))))</f>
        <v>65257.968540639944</v>
      </c>
      <c r="I373" s="18">
        <f>IF($A373&gt;20,I372,(I372-H356+H373)*(1+$C$7))</f>
        <v>0</v>
      </c>
      <c r="J373" s="18">
        <f t="shared" si="32"/>
        <v>307828.25917370175</v>
      </c>
      <c r="K373" s="18">
        <f>IF($A373&gt;20,0,(K356-MIN(MAX(L372,0),K356))+MIN(MAX(0,M372-(K356-MIN(MAX(L372,0),K356))),MAX(0,0*K356-(L372-MIN(MAX(L372,0),K356)))))</f>
        <v>65257.968540639937</v>
      </c>
      <c r="L373" s="18">
        <f>IF($A373&gt;20,L372,(L372-K356+K373)*(1+$C$7))</f>
        <v>0</v>
      </c>
      <c r="M373" s="18">
        <f t="shared" si="33"/>
        <v>307828.25917370192</v>
      </c>
      <c r="N373" s="18">
        <f>IF($A373&gt;20,0,(N356-MIN(MAX(O372,0),N356))+MIN(MAX(0,P372-(N356-MIN(MAX(O372,0),N356))),MAX(0,0*N356-(O372-MIN(MAX(O372,0),N356)))))</f>
        <v>65257.968540639937</v>
      </c>
      <c r="O373" s="18">
        <f>IF($A373&gt;20,O372,(O372-N356+N373)*(1+$C$7))</f>
        <v>0</v>
      </c>
      <c r="P373" s="18">
        <f t="shared" si="34"/>
        <v>307828.25917370192</v>
      </c>
      <c r="Q373" s="18">
        <f>IF($A373&gt;20,0,(Q356-MIN(MAX(R372,0),Q356))+MIN(MAX(0,S372-(Q356-MIN(MAX(R372,0),Q356))),MAX(0,0*Q356-(R372-MIN(MAX(R372,0),Q356)))))</f>
        <v>65257.968540639937</v>
      </c>
      <c r="R373" s="18">
        <f>IF($A373&gt;20,R372,(R372-Q356+Q373)*(1+$C$7))</f>
        <v>0</v>
      </c>
      <c r="S373" s="18">
        <f t="shared" si="35"/>
        <v>307828.25917370192</v>
      </c>
    </row>
    <row r="374" spans="1:19">
      <c r="A374" s="10">
        <f>16</f>
        <v>16</v>
      </c>
      <c r="B374" s="18">
        <f>IF($A374&gt;20,0,(B356-MIN(MAX(C373,0),B356))+MIN(MAX(0,D373-(B356-MIN(MAX(C373,0),B356))),MAX(0,0*B356-(C373-MIN(MAX(C373,0),B356)))))</f>
        <v>30000</v>
      </c>
      <c r="C374" s="18">
        <f>IF($A374&gt;20,C373,(C373-B356+B374)*(1+$C$7))</f>
        <v>0</v>
      </c>
      <c r="D374" s="18">
        <f t="shared" si="30"/>
        <v>981858.80682703666</v>
      </c>
      <c r="E374" s="18">
        <f>IF($A374&gt;20,0,(E356-MIN(MAX(F373,0),E356))+MIN(MAX(0,G373-(E356-MIN(MAX(F373,0),E356))),MAX(0,0*E356-(F373-MIN(MAX(F373,0),E356)))))</f>
        <v>75000</v>
      </c>
      <c r="F374" s="18">
        <f>IF($A374&gt;20,F373,(F373-E356+E374)*(1+$C$7))</f>
        <v>0</v>
      </c>
      <c r="G374" s="18">
        <f t="shared" si="31"/>
        <v>47587.358419409858</v>
      </c>
      <c r="H374" s="18">
        <f>IF($A374&gt;20,0,(H356-MIN(MAX(I373,0),H356))+MIN(MAX(0,J373-(H356-MIN(MAX(I373,0),H356))),MAX(0,0*H356-(I373-MIN(MAX(I373,0),H356)))))</f>
        <v>65257.968540639944</v>
      </c>
      <c r="I374" s="18">
        <f>IF($A374&gt;20,I373,(I373-H356+H374)*(1+$C$7))</f>
        <v>0</v>
      </c>
      <c r="J374" s="18">
        <f t="shared" si="32"/>
        <v>249847.39935205368</v>
      </c>
      <c r="K374" s="18">
        <f>IF($A374&gt;20,0,(K356-MIN(MAX(L373,0),K356))+MIN(MAX(0,M373-(K356-MIN(MAX(L373,0),K356))),MAX(0,0*K356-(L373-MIN(MAX(L373,0),K356)))))</f>
        <v>65257.968540639937</v>
      </c>
      <c r="L374" s="18">
        <f>IF($A374&gt;20,L373,(L373-K356+K374)*(1+$C$7))</f>
        <v>0</v>
      </c>
      <c r="M374" s="18">
        <f t="shared" si="33"/>
        <v>249847.39935205385</v>
      </c>
      <c r="N374" s="18">
        <f>IF($A374&gt;20,0,(N356-MIN(MAX(O373,0),N356))+MIN(MAX(0,P373-(N356-MIN(MAX(O373,0),N356))),MAX(0,0*N356-(O373-MIN(MAX(O373,0),N356)))))</f>
        <v>65257.968540639937</v>
      </c>
      <c r="O374" s="18">
        <f>IF($A374&gt;20,O373,(O373-N356+N374)*(1+$C$7))</f>
        <v>0</v>
      </c>
      <c r="P374" s="18">
        <f t="shared" si="34"/>
        <v>249847.39935205385</v>
      </c>
      <c r="Q374" s="18">
        <f>IF($A374&gt;20,0,(Q356-MIN(MAX(R373,0),Q356))+MIN(MAX(0,S373-(Q356-MIN(MAX(R373,0),Q356))),MAX(0,0*Q356-(R373-MIN(MAX(R373,0),Q356)))))</f>
        <v>65257.968540639937</v>
      </c>
      <c r="R374" s="18">
        <f>IF($A374&gt;20,R373,(R373-Q356+Q374)*(1+$C$7))</f>
        <v>0</v>
      </c>
      <c r="S374" s="18">
        <f t="shared" si="35"/>
        <v>249847.39935205385</v>
      </c>
    </row>
    <row r="375" spans="1:19">
      <c r="A375" s="10">
        <f>17</f>
        <v>17</v>
      </c>
      <c r="B375" s="18">
        <f>IF($A375&gt;20,0,(B356-MIN(MAX(C374,0),B356))+MIN(MAX(0,D374-(B356-MIN(MAX(C374,0),B356))),MAX(0,0*B356-(C374-MIN(MAX(C374,0),B356)))))</f>
        <v>30000</v>
      </c>
      <c r="C375" s="18">
        <f>IF($A375&gt;20,C374,(C374-B356+B375)*(1+$C$7))</f>
        <v>0</v>
      </c>
      <c r="D375" s="18">
        <f t="shared" si="30"/>
        <v>980414.57103184774</v>
      </c>
      <c r="E375" s="18">
        <f>IF($A375&gt;20,0,(E356-MIN(MAX(F374,0),E356))+MIN(MAX(0,G374-(E356-MIN(MAX(F374,0),E356))),MAX(0,0*E356-(F374-MIN(MAX(F374,0),E356)))))</f>
        <v>75000</v>
      </c>
      <c r="F375" s="18">
        <f>IF($A375&gt;20,F374,(F374-E356+E375)*(1+$C$7))</f>
        <v>0</v>
      </c>
      <c r="G375" s="18">
        <f t="shared" si="31"/>
        <v>-28235.020828007848</v>
      </c>
      <c r="H375" s="18">
        <f>IF($A375&gt;20,0,(H356-MIN(MAX(I374,0),H356))+MIN(MAX(0,J374-(H356-MIN(MAX(I374,0),H356))),MAX(0,0*H356-(I374-MIN(MAX(I374,0),H356)))))</f>
        <v>65257.968540639944</v>
      </c>
      <c r="I375" s="18">
        <f>IF($A375&gt;20,I374,(I374-H356+H375)*(1+$C$7))</f>
        <v>0</v>
      </c>
      <c r="J375" s="18">
        <f t="shared" si="32"/>
        <v>190127.11373575617</v>
      </c>
      <c r="K375" s="18">
        <f>IF($A375&gt;20,0,(K356-MIN(MAX(L374,0),K356))+MIN(MAX(0,M374-(K356-MIN(MAX(L374,0),K356))),MAX(0,0*K356-(L374-MIN(MAX(L374,0),K356)))))</f>
        <v>65257.968540639937</v>
      </c>
      <c r="L375" s="18">
        <f>IF($A375&gt;20,L374,(L374-K356+K375)*(1+$C$7))</f>
        <v>0</v>
      </c>
      <c r="M375" s="18">
        <f t="shared" si="33"/>
        <v>190127.11373575634</v>
      </c>
      <c r="N375" s="18">
        <f>IF($A375&gt;20,0,(N356-MIN(MAX(O374,0),N356))+MIN(MAX(0,P374-(N356-MIN(MAX(O374,0),N356))),MAX(0,0*N356-(O374-MIN(MAX(O374,0),N356)))))</f>
        <v>65257.968540639937</v>
      </c>
      <c r="O375" s="18">
        <f>IF($A375&gt;20,O374,(O374-N356+N375)*(1+$C$7))</f>
        <v>0</v>
      </c>
      <c r="P375" s="18">
        <f t="shared" si="34"/>
        <v>190127.11373575634</v>
      </c>
      <c r="Q375" s="18">
        <f>IF($A375&gt;20,0,(Q356-MIN(MAX(R374,0),Q356))+MIN(MAX(0,S374-(Q356-MIN(MAX(R374,0),Q356))),MAX(0,0*Q356-(R374-MIN(MAX(R374,0),Q356)))))</f>
        <v>65257.968540639937</v>
      </c>
      <c r="R375" s="18">
        <f>IF($A375&gt;20,R374,(R374-Q356+Q375)*(1+$C$7))</f>
        <v>0</v>
      </c>
      <c r="S375" s="18">
        <f t="shared" si="35"/>
        <v>190127.11373575634</v>
      </c>
    </row>
    <row r="376" spans="1:19">
      <c r="A376" s="10">
        <f>18</f>
        <v>18</v>
      </c>
      <c r="B376" s="18">
        <f>IF($A376&gt;20,0,(B356-MIN(MAX(C375,0),B356))+MIN(MAX(0,D375-(B356-MIN(MAX(C375,0),B356))),MAX(0,0*B356-(C375-MIN(MAX(C375,0),B356)))))</f>
        <v>30000</v>
      </c>
      <c r="C376" s="18">
        <f>IF($A376&gt;20,C375,(C375-B356+B376)*(1+$C$7))</f>
        <v>0</v>
      </c>
      <c r="D376" s="18">
        <f t="shared" si="30"/>
        <v>978927.00816280325</v>
      </c>
      <c r="E376" s="18">
        <f>IF($A376&gt;20,0,(E356-MIN(MAX(F375,0),E356))+MIN(MAX(0,G375-(E356-MIN(MAX(F375,0),E356))),MAX(0,0*E356-(F375-MIN(MAX(F375,0),E356)))))</f>
        <v>75000</v>
      </c>
      <c r="F376" s="18">
        <f>IF($A376&gt;20,F375,(F375-E356+E376)*(1+$C$7))</f>
        <v>0</v>
      </c>
      <c r="G376" s="18">
        <f t="shared" si="31"/>
        <v>-106332.07145284809</v>
      </c>
      <c r="H376" s="18">
        <f>IF($A376&gt;20,0,(H356-MIN(MAX(I375,0),H356))+MIN(MAX(0,J375-(H356-MIN(MAX(I375,0),H356))),MAX(0,0*H356-(I375-MIN(MAX(I375,0),H356)))))</f>
        <v>65257.968540639944</v>
      </c>
      <c r="I376" s="18">
        <f>IF($A376&gt;20,I375,(I375-H356+H376)*(1+$C$7))</f>
        <v>0</v>
      </c>
      <c r="J376" s="18">
        <f t="shared" si="32"/>
        <v>128615.21955096972</v>
      </c>
      <c r="K376" s="18">
        <f>IF($A376&gt;20,0,(K356-MIN(MAX(L375,0),K356))+MIN(MAX(0,M375-(K356-MIN(MAX(L375,0),K356))),MAX(0,0*K356-(L375-MIN(MAX(L375,0),K356)))))</f>
        <v>65257.968540639937</v>
      </c>
      <c r="L376" s="18">
        <f>IF($A376&gt;20,L375,(L375-K356+K376)*(1+$C$7))</f>
        <v>0</v>
      </c>
      <c r="M376" s="18">
        <f t="shared" si="33"/>
        <v>128615.21955096989</v>
      </c>
      <c r="N376" s="18">
        <f>IF($A376&gt;20,0,(N356-MIN(MAX(O375,0),N356))+MIN(MAX(0,P375-(N356-MIN(MAX(O375,0),N356))),MAX(0,0*N356-(O375-MIN(MAX(O375,0),N356)))))</f>
        <v>65257.968540639937</v>
      </c>
      <c r="O376" s="18">
        <f>IF($A376&gt;20,O375,(O375-N356+N376)*(1+$C$7))</f>
        <v>0</v>
      </c>
      <c r="P376" s="18">
        <f t="shared" si="34"/>
        <v>128615.21955096989</v>
      </c>
      <c r="Q376" s="18">
        <f>IF($A376&gt;20,0,(Q356-MIN(MAX(R375,0),Q356))+MIN(MAX(0,S375-(Q356-MIN(MAX(R375,0),Q356))),MAX(0,0*Q356-(R375-MIN(MAX(R375,0),Q356)))))</f>
        <v>65257.968540639937</v>
      </c>
      <c r="R376" s="18">
        <f>IF($A376&gt;20,R375,(R375-Q356+Q376)*(1+$C$7))</f>
        <v>0</v>
      </c>
      <c r="S376" s="18">
        <f t="shared" si="35"/>
        <v>128615.21955096989</v>
      </c>
    </row>
    <row r="377" spans="1:19">
      <c r="A377" s="10">
        <f>19</f>
        <v>19</v>
      </c>
      <c r="B377" s="18">
        <f>IF($A377&gt;20,0,(B356-MIN(MAX(C376,0),B356))+MIN(MAX(0,D376-(B356-MIN(MAX(C376,0),B356))),MAX(0,0*B356-(C376-MIN(MAX(C376,0),B356)))))</f>
        <v>30000</v>
      </c>
      <c r="C377" s="18">
        <f>IF($A377&gt;20,C376,(C376-B356+B377)*(1+$C$7))</f>
        <v>0</v>
      </c>
      <c r="D377" s="18">
        <f t="shared" si="30"/>
        <v>977394.81840768736</v>
      </c>
      <c r="E377" s="18">
        <f>IF($A377&gt;20,0,(E356-MIN(MAX(F376,0),E356))+MIN(MAX(0,G376-(E356-MIN(MAX(F376,0),E356))),MAX(0,0*E356-(F376-MIN(MAX(F376,0),E356)))))</f>
        <v>75000</v>
      </c>
      <c r="F377" s="18">
        <f>IF($A377&gt;20,F376,(F376-E356+E377)*(1+$C$7))</f>
        <v>0</v>
      </c>
      <c r="G377" s="18">
        <f t="shared" si="31"/>
        <v>-186772.03359643352</v>
      </c>
      <c r="H377" s="18">
        <f>IF($A377&gt;20,0,(H356-MIN(MAX(I376,0),H356))+MIN(MAX(0,J376-(H356-MIN(MAX(I376,0),H356))),MAX(0,0*H356-(I376-MIN(MAX(I376,0),H356)))))</f>
        <v>65257.968540639944</v>
      </c>
      <c r="I377" s="18">
        <f>IF($A377&gt;20,I376,(I376-H356+H377)*(1+$C$7))</f>
        <v>0</v>
      </c>
      <c r="J377" s="18">
        <f t="shared" si="32"/>
        <v>65257.968540639667</v>
      </c>
      <c r="K377" s="18">
        <f>IF($A377&gt;20,0,(K356-MIN(MAX(L376,0),K356))+MIN(MAX(0,M376-(K356-MIN(MAX(L376,0),K356))),MAX(0,0*K356-(L376-MIN(MAX(L376,0),K356)))))</f>
        <v>65257.968540639937</v>
      </c>
      <c r="L377" s="18">
        <f>IF($A377&gt;20,L376,(L376-K356+K377)*(1+$C$7))</f>
        <v>0</v>
      </c>
      <c r="M377" s="18">
        <f t="shared" si="33"/>
        <v>65257.968540639857</v>
      </c>
      <c r="N377" s="18">
        <f>IF($A377&gt;20,0,(N356-MIN(MAX(O376,0),N356))+MIN(MAX(0,P376-(N356-MIN(MAX(O376,0),N356))),MAX(0,0*N356-(O376-MIN(MAX(O376,0),N356)))))</f>
        <v>65257.968540639937</v>
      </c>
      <c r="O377" s="18">
        <f>IF($A377&gt;20,O376,(O376-N356+N377)*(1+$C$7))</f>
        <v>0</v>
      </c>
      <c r="P377" s="18">
        <f t="shared" si="34"/>
        <v>65257.968540639857</v>
      </c>
      <c r="Q377" s="18">
        <f>IF($A377&gt;20,0,(Q356-MIN(MAX(R376,0),Q356))+MIN(MAX(0,S376-(Q356-MIN(MAX(R376,0),Q356))),MAX(0,0*Q356-(R376-MIN(MAX(R376,0),Q356)))))</f>
        <v>65257.968540639937</v>
      </c>
      <c r="R377" s="18">
        <f>IF($A377&gt;20,R376,(R376-Q356+Q377)*(1+$C$7))</f>
        <v>0</v>
      </c>
      <c r="S377" s="18">
        <f t="shared" si="35"/>
        <v>65257.968540639857</v>
      </c>
    </row>
    <row r="378" spans="1:19">
      <c r="A378" s="10">
        <f>20</f>
        <v>20</v>
      </c>
      <c r="B378" s="18">
        <f>IF($A378&gt;20,0,(B356-MIN(MAX(C377,0),B356))+MIN(MAX(0,D377-(B356-MIN(MAX(C377,0),B356))),MAX(0,0*B356-(C377-MIN(MAX(C377,0),B356)))))</f>
        <v>30000</v>
      </c>
      <c r="C378" s="18">
        <f>IF($A378&gt;20,C377,(C377-B356+B378)*(1+$C$7))</f>
        <v>0</v>
      </c>
      <c r="D378" s="18">
        <f t="shared" si="30"/>
        <v>975816.66295991803</v>
      </c>
      <c r="E378" s="18">
        <f>IF($A378&gt;20,0,(E356-MIN(MAX(F377,0),E356))+MIN(MAX(0,G377-(E356-MIN(MAX(F377,0),E356))),MAX(0,0*E356-(F377-MIN(MAX(F377,0),E356)))))</f>
        <v>75000</v>
      </c>
      <c r="F378" s="18">
        <f>IF($A378&gt;20,F377,(F377-E356+E378)*(1+$C$7))</f>
        <v>0</v>
      </c>
      <c r="G378" s="18">
        <f t="shared" si="31"/>
        <v>-269625.19460432656</v>
      </c>
      <c r="H378" s="18">
        <f>IF($A378&gt;20,0,(H356-MIN(MAX(I377,0),H356))+MIN(MAX(0,J377-(H356-MIN(MAX(I377,0),H356))),MAX(0,0*H356-(I377-MIN(MAX(I377,0),H356)))))</f>
        <v>65257.968540639944</v>
      </c>
      <c r="I378" s="18">
        <f>IF($A378&gt;20,I377,(I377-H356+H378)*(1+$C$7))</f>
        <v>0</v>
      </c>
      <c r="J378" s="18">
        <f t="shared" si="32"/>
        <v>-2.8478098101913929E-10</v>
      </c>
      <c r="K378" s="18">
        <f>IF($A378&gt;20,0,(K356-MIN(MAX(L377,0),K356))+MIN(MAX(0,M377-(K356-MIN(MAX(L377,0),K356))),MAX(0,0*K356-(L377-MIN(MAX(L377,0),K356)))))</f>
        <v>65257.968540639937</v>
      </c>
      <c r="L378" s="18">
        <f>IF($A378&gt;20,L377,(L377-K356+K378)*(1+$C$7))</f>
        <v>0</v>
      </c>
      <c r="M378" s="18">
        <f t="shared" si="33"/>
        <v>-8.2436599768698216E-11</v>
      </c>
      <c r="N378" s="18">
        <f>IF($A378&gt;20,0,(N356-MIN(MAX(O377,0),N356))+MIN(MAX(0,P377-(N356-MIN(MAX(O377,0),N356))),MAX(0,0*N356-(O377-MIN(MAX(O377,0),N356)))))</f>
        <v>65257.968540639937</v>
      </c>
      <c r="O378" s="18">
        <f>IF($A378&gt;20,O377,(O377-N356+N378)*(1+$C$7))</f>
        <v>0</v>
      </c>
      <c r="P378" s="18">
        <f t="shared" si="34"/>
        <v>-8.2436599768698216E-11</v>
      </c>
      <c r="Q378" s="18">
        <f>IF($A378&gt;20,0,(Q356-MIN(MAX(R377,0),Q356))+MIN(MAX(0,S377-(Q356-MIN(MAX(R377,0),Q356))),MAX(0,0*Q356-(R377-MIN(MAX(R377,0),Q356)))))</f>
        <v>65257.968540639937</v>
      </c>
      <c r="R378" s="18">
        <f>IF($A378&gt;20,R377,(R377-Q356+Q378)*(1+$C$7))</f>
        <v>0</v>
      </c>
      <c r="S378" s="18">
        <f t="shared" si="35"/>
        <v>-8.2436599768698216E-11</v>
      </c>
    </row>
    <row r="379" spans="1:19">
      <c r="A379" s="10">
        <f>21</f>
        <v>21</v>
      </c>
      <c r="B379" s="18">
        <f>IF($A379&gt;20,0,(B356-MIN(MAX(C378,0),B356))+MIN(MAX(0,D378-(B356-MIN(MAX(C378,0),B356))),MAX(0,0*B356-(C378-MIN(MAX(C378,0),B356)))))</f>
        <v>0</v>
      </c>
      <c r="C379" s="18">
        <f>IF($A379&gt;20,C378,(C378-B356+B379)*(1+$C$7))</f>
        <v>0</v>
      </c>
      <c r="D379" s="18">
        <f t="shared" si="30"/>
        <v>975816.66295991803</v>
      </c>
      <c r="E379" s="18">
        <f>IF($A379&gt;20,0,(E356-MIN(MAX(F378,0),E356))+MIN(MAX(0,G378-(E356-MIN(MAX(F378,0),E356))),MAX(0,0*E356-(F378-MIN(MAX(F378,0),E356)))))</f>
        <v>0</v>
      </c>
      <c r="F379" s="18">
        <f>IF($A379&gt;20,F378,(F378-E356+E379)*(1+$C$7))</f>
        <v>0</v>
      </c>
      <c r="G379" s="18">
        <f t="shared" si="31"/>
        <v>-269625.19460432656</v>
      </c>
      <c r="H379" s="18">
        <f>IF($A379&gt;20,0,(H356-MIN(MAX(I378,0),H356))+MIN(MAX(0,J378-(H356-MIN(MAX(I378,0),H356))),MAX(0,0*H356-(I378-MIN(MAX(I378,0),H356)))))</f>
        <v>0</v>
      </c>
      <c r="I379" s="18">
        <f>IF($A379&gt;20,I378,(I378-H356+H379)*(1+$C$7))</f>
        <v>0</v>
      </c>
      <c r="J379" s="18">
        <f t="shared" si="32"/>
        <v>-2.8478098101913929E-10</v>
      </c>
      <c r="K379" s="18">
        <f>IF($A379&gt;20,0,(K356-MIN(MAX(L378,0),K356))+MIN(MAX(0,M378-(K356-MIN(MAX(L378,0),K356))),MAX(0,0*K356-(L378-MIN(MAX(L378,0),K356)))))</f>
        <v>0</v>
      </c>
      <c r="L379" s="18">
        <f>IF($A379&gt;20,L378,(L378-K356+K379)*(1+$C$7))</f>
        <v>0</v>
      </c>
      <c r="M379" s="18">
        <f t="shared" si="33"/>
        <v>-8.2436599768698216E-11</v>
      </c>
      <c r="N379" s="18">
        <f>IF($A379&gt;20,0,(N356-MIN(MAX(O378,0),N356))+MIN(MAX(0,P378-(N356-MIN(MAX(O378,0),N356))),MAX(0,0*N356-(O378-MIN(MAX(O378,0),N356)))))</f>
        <v>0</v>
      </c>
      <c r="O379" s="18">
        <f>IF($A379&gt;20,O378,(O378-N356+N379)*(1+$C$7))</f>
        <v>0</v>
      </c>
      <c r="P379" s="18">
        <f t="shared" si="34"/>
        <v>-8.2436599768698216E-11</v>
      </c>
      <c r="Q379" s="18">
        <f>IF($A379&gt;20,0,(Q356-MIN(MAX(R378,0),Q356))+MIN(MAX(0,S378-(Q356-MIN(MAX(R378,0),Q356))),MAX(0,0*Q356-(R378-MIN(MAX(R378,0),Q356)))))</f>
        <v>0</v>
      </c>
      <c r="R379" s="18">
        <f>IF($A379&gt;20,R378,(R378-Q356+Q379)*(1+$C$7))</f>
        <v>0</v>
      </c>
      <c r="S379" s="18">
        <f t="shared" si="35"/>
        <v>-8.2436599768698216E-11</v>
      </c>
    </row>
    <row r="380" spans="1:19">
      <c r="A380" s="10">
        <f>22</f>
        <v>22</v>
      </c>
      <c r="B380" s="18">
        <f>IF($A380&gt;20,0,(B356-MIN(MAX(C379,0),B356))+MIN(MAX(0,D379-(B356-MIN(MAX(C379,0),B356))),MAX(0,0*B356-(C379-MIN(MAX(C379,0),B356)))))</f>
        <v>0</v>
      </c>
      <c r="C380" s="18">
        <f>IF($A380&gt;20,C379,(C379-B356+B380)*(1+$C$7))</f>
        <v>0</v>
      </c>
      <c r="D380" s="18">
        <f t="shared" si="30"/>
        <v>975816.66295991803</v>
      </c>
      <c r="E380" s="18">
        <f>IF($A380&gt;20,0,(E356-MIN(MAX(F379,0),E356))+MIN(MAX(0,G379-(E356-MIN(MAX(F379,0),E356))),MAX(0,0*E356-(F379-MIN(MAX(F379,0),E356)))))</f>
        <v>0</v>
      </c>
      <c r="F380" s="18">
        <f>IF($A380&gt;20,F379,(F379-E356+E380)*(1+$C$7))</f>
        <v>0</v>
      </c>
      <c r="G380" s="18">
        <f t="shared" si="31"/>
        <v>-269625.19460432656</v>
      </c>
      <c r="H380" s="18">
        <f>IF($A380&gt;20,0,(H356-MIN(MAX(I379,0),H356))+MIN(MAX(0,J379-(H356-MIN(MAX(I379,0),H356))),MAX(0,0*H356-(I379-MIN(MAX(I379,0),H356)))))</f>
        <v>0</v>
      </c>
      <c r="I380" s="18">
        <f>IF($A380&gt;20,I379,(I379-H356+H380)*(1+$C$7))</f>
        <v>0</v>
      </c>
      <c r="J380" s="18">
        <f t="shared" si="32"/>
        <v>-2.8478098101913929E-10</v>
      </c>
      <c r="K380" s="18">
        <f>IF($A380&gt;20,0,(K356-MIN(MAX(L379,0),K356))+MIN(MAX(0,M379-(K356-MIN(MAX(L379,0),K356))),MAX(0,0*K356-(L379-MIN(MAX(L379,0),K356)))))</f>
        <v>0</v>
      </c>
      <c r="L380" s="18">
        <f>IF($A380&gt;20,L379,(L379-K356+K380)*(1+$C$7))</f>
        <v>0</v>
      </c>
      <c r="M380" s="18">
        <f t="shared" si="33"/>
        <v>-8.2436599768698216E-11</v>
      </c>
      <c r="N380" s="18">
        <f>IF($A380&gt;20,0,(N356-MIN(MAX(O379,0),N356))+MIN(MAX(0,P379-(N356-MIN(MAX(O379,0),N356))),MAX(0,0*N356-(O379-MIN(MAX(O379,0),N356)))))</f>
        <v>0</v>
      </c>
      <c r="O380" s="18">
        <f>IF($A380&gt;20,O379,(O379-N356+N380)*(1+$C$7))</f>
        <v>0</v>
      </c>
      <c r="P380" s="18">
        <f t="shared" si="34"/>
        <v>-8.2436599768698216E-11</v>
      </c>
      <c r="Q380" s="18">
        <f>IF($A380&gt;20,0,(Q356-MIN(MAX(R379,0),Q356))+MIN(MAX(0,S379-(Q356-MIN(MAX(R379,0),Q356))),MAX(0,0*Q356-(R379-MIN(MAX(R379,0),Q356)))))</f>
        <v>0</v>
      </c>
      <c r="R380" s="18">
        <f>IF($A380&gt;20,R379,(R379-Q356+Q380)*(1+$C$7))</f>
        <v>0</v>
      </c>
      <c r="S380" s="18">
        <f t="shared" si="35"/>
        <v>-8.2436599768698216E-11</v>
      </c>
    </row>
    <row r="381" spans="1:19">
      <c r="A381" s="10">
        <f>23</f>
        <v>23</v>
      </c>
      <c r="B381" s="18">
        <f>IF($A381&gt;20,0,(B356-MIN(MAX(C380,0),B356))+MIN(MAX(0,D380-(B356-MIN(MAX(C380,0),B356))),MAX(0,0*B356-(C380-MIN(MAX(C380,0),B356)))))</f>
        <v>0</v>
      </c>
      <c r="C381" s="18">
        <f>IF($A381&gt;20,C380,(C380-B356+B381)*(1+$C$7))</f>
        <v>0</v>
      </c>
      <c r="D381" s="18">
        <f t="shared" si="30"/>
        <v>975816.66295991803</v>
      </c>
      <c r="E381" s="18">
        <f>IF($A381&gt;20,0,(E356-MIN(MAX(F380,0),E356))+MIN(MAX(0,G380-(E356-MIN(MAX(F380,0),E356))),MAX(0,0*E356-(F380-MIN(MAX(F380,0),E356)))))</f>
        <v>0</v>
      </c>
      <c r="F381" s="18">
        <f>IF($A381&gt;20,F380,(F380-E356+E381)*(1+$C$7))</f>
        <v>0</v>
      </c>
      <c r="G381" s="18">
        <f t="shared" si="31"/>
        <v>-269625.19460432656</v>
      </c>
      <c r="H381" s="18">
        <f>IF($A381&gt;20,0,(H356-MIN(MAX(I380,0),H356))+MIN(MAX(0,J380-(H356-MIN(MAX(I380,0),H356))),MAX(0,0*H356-(I380-MIN(MAX(I380,0),H356)))))</f>
        <v>0</v>
      </c>
      <c r="I381" s="18">
        <f>IF($A381&gt;20,I380,(I380-H356+H381)*(1+$C$7))</f>
        <v>0</v>
      </c>
      <c r="J381" s="18">
        <f t="shared" si="32"/>
        <v>-2.8478098101913929E-10</v>
      </c>
      <c r="K381" s="18">
        <f>IF($A381&gt;20,0,(K356-MIN(MAX(L380,0),K356))+MIN(MAX(0,M380-(K356-MIN(MAX(L380,0),K356))),MAX(0,0*K356-(L380-MIN(MAX(L380,0),K356)))))</f>
        <v>0</v>
      </c>
      <c r="L381" s="18">
        <f>IF($A381&gt;20,L380,(L380-K356+K381)*(1+$C$7))</f>
        <v>0</v>
      </c>
      <c r="M381" s="18">
        <f t="shared" si="33"/>
        <v>-8.2436599768698216E-11</v>
      </c>
      <c r="N381" s="18">
        <f>IF($A381&gt;20,0,(N356-MIN(MAX(O380,0),N356))+MIN(MAX(0,P380-(N356-MIN(MAX(O380,0),N356))),MAX(0,0*N356-(O380-MIN(MAX(O380,0),N356)))))</f>
        <v>0</v>
      </c>
      <c r="O381" s="18">
        <f>IF($A381&gt;20,O380,(O380-N356+N381)*(1+$C$7))</f>
        <v>0</v>
      </c>
      <c r="P381" s="18">
        <f t="shared" si="34"/>
        <v>-8.2436599768698216E-11</v>
      </c>
      <c r="Q381" s="18">
        <f>IF($A381&gt;20,0,(Q356-MIN(MAX(R380,0),Q356))+MIN(MAX(0,S380-(Q356-MIN(MAX(R380,0),Q356))),MAX(0,0*Q356-(R380-MIN(MAX(R380,0),Q356)))))</f>
        <v>0</v>
      </c>
      <c r="R381" s="18">
        <f>IF($A381&gt;20,R380,(R380-Q356+Q381)*(1+$C$7))</f>
        <v>0</v>
      </c>
      <c r="S381" s="18">
        <f t="shared" si="35"/>
        <v>-8.2436599768698216E-11</v>
      </c>
    </row>
    <row r="382" spans="1:19">
      <c r="A382" s="10">
        <f>24</f>
        <v>24</v>
      </c>
      <c r="B382" s="18">
        <f>IF($A382&gt;20,0,(B356-MIN(MAX(C381,0),B356))+MIN(MAX(0,D381-(B356-MIN(MAX(C381,0),B356))),MAX(0,0*B356-(C381-MIN(MAX(C381,0),B356)))))</f>
        <v>0</v>
      </c>
      <c r="C382" s="18">
        <f>IF($A382&gt;20,C381,(C381-B356+B382)*(1+$C$7))</f>
        <v>0</v>
      </c>
      <c r="D382" s="18">
        <f t="shared" si="30"/>
        <v>975816.66295991803</v>
      </c>
      <c r="E382" s="18">
        <f>IF($A382&gt;20,0,(E356-MIN(MAX(F381,0),E356))+MIN(MAX(0,G381-(E356-MIN(MAX(F381,0),E356))),MAX(0,0*E356-(F381-MIN(MAX(F381,0),E356)))))</f>
        <v>0</v>
      </c>
      <c r="F382" s="18">
        <f>IF($A382&gt;20,F381,(F381-E356+E382)*(1+$C$7))</f>
        <v>0</v>
      </c>
      <c r="G382" s="18">
        <f t="shared" si="31"/>
        <v>-269625.19460432656</v>
      </c>
      <c r="H382" s="18">
        <f>IF($A382&gt;20,0,(H356-MIN(MAX(I381,0),H356))+MIN(MAX(0,J381-(H356-MIN(MAX(I381,0),H356))),MAX(0,0*H356-(I381-MIN(MAX(I381,0),H356)))))</f>
        <v>0</v>
      </c>
      <c r="I382" s="18">
        <f>IF($A382&gt;20,I381,(I381-H356+H382)*(1+$C$7))</f>
        <v>0</v>
      </c>
      <c r="J382" s="18">
        <f t="shared" si="32"/>
        <v>-2.8478098101913929E-10</v>
      </c>
      <c r="K382" s="18">
        <f>IF($A382&gt;20,0,(K356-MIN(MAX(L381,0),K356))+MIN(MAX(0,M381-(K356-MIN(MAX(L381,0),K356))),MAX(0,0*K356-(L381-MIN(MAX(L381,0),K356)))))</f>
        <v>0</v>
      </c>
      <c r="L382" s="18">
        <f>IF($A382&gt;20,L381,(L381-K356+K382)*(1+$C$7))</f>
        <v>0</v>
      </c>
      <c r="M382" s="18">
        <f t="shared" si="33"/>
        <v>-8.2436599768698216E-11</v>
      </c>
      <c r="N382" s="18">
        <f>IF($A382&gt;20,0,(N356-MIN(MAX(O381,0),N356))+MIN(MAX(0,P381-(N356-MIN(MAX(O381,0),N356))),MAX(0,0*N356-(O381-MIN(MAX(O381,0),N356)))))</f>
        <v>0</v>
      </c>
      <c r="O382" s="18">
        <f>IF($A382&gt;20,O381,(O381-N356+N382)*(1+$C$7))</f>
        <v>0</v>
      </c>
      <c r="P382" s="18">
        <f t="shared" si="34"/>
        <v>-8.2436599768698216E-11</v>
      </c>
      <c r="Q382" s="18">
        <f>IF($A382&gt;20,0,(Q356-MIN(MAX(R381,0),Q356))+MIN(MAX(0,S381-(Q356-MIN(MAX(R381,0),Q356))),MAX(0,0*Q356-(R381-MIN(MAX(R381,0),Q356)))))</f>
        <v>0</v>
      </c>
      <c r="R382" s="18">
        <f>IF($A382&gt;20,R381,(R381-Q356+Q382)*(1+$C$7))</f>
        <v>0</v>
      </c>
      <c r="S382" s="18">
        <f t="shared" si="35"/>
        <v>-8.2436599768698216E-11</v>
      </c>
    </row>
    <row r="383" spans="1:19">
      <c r="A383" s="10">
        <f>25</f>
        <v>25</v>
      </c>
      <c r="B383" s="18">
        <f>IF($A383&gt;20,0,(B356-MIN(MAX(C382,0),B356))+MIN(MAX(0,D382-(B356-MIN(MAX(C382,0),B356))),MAX(0,0*B356-(C382-MIN(MAX(C382,0),B356)))))</f>
        <v>0</v>
      </c>
      <c r="C383" s="18">
        <f>IF($A383&gt;20,C382,(C382-B356+B383)*(1+$C$7))</f>
        <v>0</v>
      </c>
      <c r="D383" s="18">
        <f t="shared" si="30"/>
        <v>975816.66295991803</v>
      </c>
      <c r="E383" s="18">
        <f>IF($A383&gt;20,0,(E356-MIN(MAX(F382,0),E356))+MIN(MAX(0,G382-(E356-MIN(MAX(F382,0),E356))),MAX(0,0*E356-(F382-MIN(MAX(F382,0),E356)))))</f>
        <v>0</v>
      </c>
      <c r="F383" s="18">
        <f>IF($A383&gt;20,F382,(F382-E356+E383)*(1+$C$7))</f>
        <v>0</v>
      </c>
      <c r="G383" s="18">
        <f t="shared" si="31"/>
        <v>-269625.19460432656</v>
      </c>
      <c r="H383" s="18">
        <f>IF($A383&gt;20,0,(H356-MIN(MAX(I382,0),H356))+MIN(MAX(0,J382-(H356-MIN(MAX(I382,0),H356))),MAX(0,0*H356-(I382-MIN(MAX(I382,0),H356)))))</f>
        <v>0</v>
      </c>
      <c r="I383" s="18">
        <f>IF($A383&gt;20,I382,(I382-H356+H383)*(1+$C$7))</f>
        <v>0</v>
      </c>
      <c r="J383" s="18">
        <f t="shared" si="32"/>
        <v>-2.8478098101913929E-10</v>
      </c>
      <c r="K383" s="18">
        <f>IF($A383&gt;20,0,(K356-MIN(MAX(L382,0),K356))+MIN(MAX(0,M382-(K356-MIN(MAX(L382,0),K356))),MAX(0,0*K356-(L382-MIN(MAX(L382,0),K356)))))</f>
        <v>0</v>
      </c>
      <c r="L383" s="18">
        <f>IF($A383&gt;20,L382,(L382-K356+K383)*(1+$C$7))</f>
        <v>0</v>
      </c>
      <c r="M383" s="18">
        <f t="shared" si="33"/>
        <v>-8.2436599768698216E-11</v>
      </c>
      <c r="N383" s="18">
        <f>IF($A383&gt;20,0,(N356-MIN(MAX(O382,0),N356))+MIN(MAX(0,P382-(N356-MIN(MAX(O382,0),N356))),MAX(0,0*N356-(O382-MIN(MAX(O382,0),N356)))))</f>
        <v>0</v>
      </c>
      <c r="O383" s="18">
        <f>IF($A383&gt;20,O382,(O382-N356+N383)*(1+$C$7))</f>
        <v>0</v>
      </c>
      <c r="P383" s="18">
        <f t="shared" si="34"/>
        <v>-8.2436599768698216E-11</v>
      </c>
      <c r="Q383" s="18">
        <f>IF($A383&gt;20,0,(Q356-MIN(MAX(R382,0),Q356))+MIN(MAX(0,S382-(Q356-MIN(MAX(R382,0),Q356))),MAX(0,0*Q356-(R382-MIN(MAX(R382,0),Q356)))))</f>
        <v>0</v>
      </c>
      <c r="R383" s="18">
        <f>IF($A383&gt;20,R382,(R382-Q356+Q383)*(1+$C$7))</f>
        <v>0</v>
      </c>
      <c r="S383" s="18">
        <f t="shared" si="35"/>
        <v>-8.2436599768698216E-11</v>
      </c>
    </row>
    <row r="384" spans="1:19">
      <c r="A384" s="10">
        <f>26</f>
        <v>26</v>
      </c>
      <c r="B384" s="18">
        <f>IF($A384&gt;20,0,(B356-MIN(MAX(C383,0),B356))+MIN(MAX(0,D383-(B356-MIN(MAX(C383,0),B356))),MAX(0,0*B356-(C383-MIN(MAX(C383,0),B356)))))</f>
        <v>0</v>
      </c>
      <c r="C384" s="18">
        <f>IF($A384&gt;20,C383,(C383-B356+B384)*(1+$C$7))</f>
        <v>0</v>
      </c>
      <c r="D384" s="18">
        <f t="shared" si="30"/>
        <v>975816.66295991803</v>
      </c>
      <c r="E384" s="18">
        <f>IF($A384&gt;20,0,(E356-MIN(MAX(F383,0),E356))+MIN(MAX(0,G383-(E356-MIN(MAX(F383,0),E356))),MAX(0,0*E356-(F383-MIN(MAX(F383,0),E356)))))</f>
        <v>0</v>
      </c>
      <c r="F384" s="18">
        <f>IF($A384&gt;20,F383,(F383-E356+E384)*(1+$C$7))</f>
        <v>0</v>
      </c>
      <c r="G384" s="18">
        <f t="shared" si="31"/>
        <v>-269625.19460432656</v>
      </c>
      <c r="H384" s="18">
        <f>IF($A384&gt;20,0,(H356-MIN(MAX(I383,0),H356))+MIN(MAX(0,J383-(H356-MIN(MAX(I383,0),H356))),MAX(0,0*H356-(I383-MIN(MAX(I383,0),H356)))))</f>
        <v>0</v>
      </c>
      <c r="I384" s="18">
        <f>IF($A384&gt;20,I383,(I383-H356+H384)*(1+$C$7))</f>
        <v>0</v>
      </c>
      <c r="J384" s="18">
        <f t="shared" si="32"/>
        <v>-2.8478098101913929E-10</v>
      </c>
      <c r="K384" s="18">
        <f>IF($A384&gt;20,0,(K356-MIN(MAX(L383,0),K356))+MIN(MAX(0,M383-(K356-MIN(MAX(L383,0),K356))),MAX(0,0*K356-(L383-MIN(MAX(L383,0),K356)))))</f>
        <v>0</v>
      </c>
      <c r="L384" s="18">
        <f>IF($A384&gt;20,L383,(L383-K356+K384)*(1+$C$7))</f>
        <v>0</v>
      </c>
      <c r="M384" s="18">
        <f t="shared" si="33"/>
        <v>-8.2436599768698216E-11</v>
      </c>
      <c r="N384" s="18">
        <f>IF($A384&gt;20,0,(N356-MIN(MAX(O383,0),N356))+MIN(MAX(0,P383-(N356-MIN(MAX(O383,0),N356))),MAX(0,0*N356-(O383-MIN(MAX(O383,0),N356)))))</f>
        <v>0</v>
      </c>
      <c r="O384" s="18">
        <f>IF($A384&gt;20,O383,(O383-N356+N384)*(1+$C$7))</f>
        <v>0</v>
      </c>
      <c r="P384" s="18">
        <f t="shared" si="34"/>
        <v>-8.2436599768698216E-11</v>
      </c>
      <c r="Q384" s="18">
        <f>IF($A384&gt;20,0,(Q356-MIN(MAX(R383,0),Q356))+MIN(MAX(0,S383-(Q356-MIN(MAX(R383,0),Q356))),MAX(0,0*Q356-(R383-MIN(MAX(R383,0),Q356)))))</f>
        <v>0</v>
      </c>
      <c r="R384" s="18">
        <f>IF($A384&gt;20,R383,(R383-Q356+Q384)*(1+$C$7))</f>
        <v>0</v>
      </c>
      <c r="S384" s="18">
        <f t="shared" si="35"/>
        <v>-8.2436599768698216E-11</v>
      </c>
    </row>
    <row r="385" spans="1:19">
      <c r="A385" s="10">
        <f>27</f>
        <v>27</v>
      </c>
      <c r="B385" s="18">
        <f>IF($A385&gt;20,0,(B356-MIN(MAX(C384,0),B356))+MIN(MAX(0,D384-(B356-MIN(MAX(C384,0),B356))),MAX(0,0*B356-(C384-MIN(MAX(C384,0),B356)))))</f>
        <v>0</v>
      </c>
      <c r="C385" s="18">
        <f>IF($A385&gt;20,C384,(C384-B356+B385)*(1+$C$7))</f>
        <v>0</v>
      </c>
      <c r="D385" s="18">
        <f t="shared" si="30"/>
        <v>975816.66295991803</v>
      </c>
      <c r="E385" s="18">
        <f>IF($A385&gt;20,0,(E356-MIN(MAX(F384,0),E356))+MIN(MAX(0,G384-(E356-MIN(MAX(F384,0),E356))),MAX(0,0*E356-(F384-MIN(MAX(F384,0),E356)))))</f>
        <v>0</v>
      </c>
      <c r="F385" s="18">
        <f>IF($A385&gt;20,F384,(F384-E356+E385)*(1+$C$7))</f>
        <v>0</v>
      </c>
      <c r="G385" s="18">
        <f t="shared" si="31"/>
        <v>-269625.19460432656</v>
      </c>
      <c r="H385" s="18">
        <f>IF($A385&gt;20,0,(H356-MIN(MAX(I384,0),H356))+MIN(MAX(0,J384-(H356-MIN(MAX(I384,0),H356))),MAX(0,0*H356-(I384-MIN(MAX(I384,0),H356)))))</f>
        <v>0</v>
      </c>
      <c r="I385" s="18">
        <f>IF($A385&gt;20,I384,(I384-H356+H385)*(1+$C$7))</f>
        <v>0</v>
      </c>
      <c r="J385" s="18">
        <f t="shared" si="32"/>
        <v>-2.8478098101913929E-10</v>
      </c>
      <c r="K385" s="18">
        <f>IF($A385&gt;20,0,(K356-MIN(MAX(L384,0),K356))+MIN(MAX(0,M384-(K356-MIN(MAX(L384,0),K356))),MAX(0,0*K356-(L384-MIN(MAX(L384,0),K356)))))</f>
        <v>0</v>
      </c>
      <c r="L385" s="18">
        <f>IF($A385&gt;20,L384,(L384-K356+K385)*(1+$C$7))</f>
        <v>0</v>
      </c>
      <c r="M385" s="18">
        <f t="shared" si="33"/>
        <v>-8.2436599768698216E-11</v>
      </c>
      <c r="N385" s="18">
        <f>IF($A385&gt;20,0,(N356-MIN(MAX(O384,0),N356))+MIN(MAX(0,P384-(N356-MIN(MAX(O384,0),N356))),MAX(0,0*N356-(O384-MIN(MAX(O384,0),N356)))))</f>
        <v>0</v>
      </c>
      <c r="O385" s="18">
        <f>IF($A385&gt;20,O384,(O384-N356+N385)*(1+$C$7))</f>
        <v>0</v>
      </c>
      <c r="P385" s="18">
        <f t="shared" si="34"/>
        <v>-8.2436599768698216E-11</v>
      </c>
      <c r="Q385" s="18">
        <f>IF($A385&gt;20,0,(Q356-MIN(MAX(R384,0),Q356))+MIN(MAX(0,S384-(Q356-MIN(MAX(R384,0),Q356))),MAX(0,0*Q356-(R384-MIN(MAX(R384,0),Q356)))))</f>
        <v>0</v>
      </c>
      <c r="R385" s="18">
        <f>IF($A385&gt;20,R384,(R384-Q356+Q385)*(1+$C$7))</f>
        <v>0</v>
      </c>
      <c r="S385" s="18">
        <f t="shared" si="35"/>
        <v>-8.2436599768698216E-11</v>
      </c>
    </row>
    <row r="386" spans="1:19">
      <c r="A386" s="10">
        <f>28</f>
        <v>28</v>
      </c>
      <c r="B386" s="18">
        <f>IF($A386&gt;20,0,(B356-MIN(MAX(C385,0),B356))+MIN(MAX(0,D385-(B356-MIN(MAX(C385,0),B356))),MAX(0,0*B356-(C385-MIN(MAX(C385,0),B356)))))</f>
        <v>0</v>
      </c>
      <c r="C386" s="18">
        <f>IF($A386&gt;20,C385,(C385-B356+B386)*(1+$C$7))</f>
        <v>0</v>
      </c>
      <c r="D386" s="18">
        <f t="shared" si="30"/>
        <v>975816.66295991803</v>
      </c>
      <c r="E386" s="18">
        <f>IF($A386&gt;20,0,(E356-MIN(MAX(F385,0),E356))+MIN(MAX(0,G385-(E356-MIN(MAX(F385,0),E356))),MAX(0,0*E356-(F385-MIN(MAX(F385,0),E356)))))</f>
        <v>0</v>
      </c>
      <c r="F386" s="18">
        <f>IF($A386&gt;20,F385,(F385-E356+E386)*(1+$C$7))</f>
        <v>0</v>
      </c>
      <c r="G386" s="18">
        <f t="shared" si="31"/>
        <v>-269625.19460432656</v>
      </c>
      <c r="H386" s="18">
        <f>IF($A386&gt;20,0,(H356-MIN(MAX(I385,0),H356))+MIN(MAX(0,J385-(H356-MIN(MAX(I385,0),H356))),MAX(0,0*H356-(I385-MIN(MAX(I385,0),H356)))))</f>
        <v>0</v>
      </c>
      <c r="I386" s="18">
        <f>IF($A386&gt;20,I385,(I385-H356+H386)*(1+$C$7))</f>
        <v>0</v>
      </c>
      <c r="J386" s="18">
        <f t="shared" si="32"/>
        <v>-2.8478098101913929E-10</v>
      </c>
      <c r="K386" s="18">
        <f>IF($A386&gt;20,0,(K356-MIN(MAX(L385,0),K356))+MIN(MAX(0,M385-(K356-MIN(MAX(L385,0),K356))),MAX(0,0*K356-(L385-MIN(MAX(L385,0),K356)))))</f>
        <v>0</v>
      </c>
      <c r="L386" s="18">
        <f>IF($A386&gt;20,L385,(L385-K356+K386)*(1+$C$7))</f>
        <v>0</v>
      </c>
      <c r="M386" s="18">
        <f t="shared" si="33"/>
        <v>-8.2436599768698216E-11</v>
      </c>
      <c r="N386" s="18">
        <f>IF($A386&gt;20,0,(N356-MIN(MAX(O385,0),N356))+MIN(MAX(0,P385-(N356-MIN(MAX(O385,0),N356))),MAX(0,0*N356-(O385-MIN(MAX(O385,0),N356)))))</f>
        <v>0</v>
      </c>
      <c r="O386" s="18">
        <f>IF($A386&gt;20,O385,(O385-N356+N386)*(1+$C$7))</f>
        <v>0</v>
      </c>
      <c r="P386" s="18">
        <f t="shared" si="34"/>
        <v>-8.2436599768698216E-11</v>
      </c>
      <c r="Q386" s="18">
        <f>IF($A386&gt;20,0,(Q356-MIN(MAX(R385,0),Q356))+MIN(MAX(0,S385-(Q356-MIN(MAX(R385,0),Q356))),MAX(0,0*Q356-(R385-MIN(MAX(R385,0),Q356)))))</f>
        <v>0</v>
      </c>
      <c r="R386" s="18">
        <f>IF($A386&gt;20,R385,(R385-Q356+Q386)*(1+$C$7))</f>
        <v>0</v>
      </c>
      <c r="S386" s="18">
        <f t="shared" si="35"/>
        <v>-8.2436599768698216E-11</v>
      </c>
    </row>
    <row r="387" spans="1:19">
      <c r="A387" s="10">
        <f>29</f>
        <v>29</v>
      </c>
      <c r="B387" s="18">
        <f>IF($A387&gt;20,0,(B356-MIN(MAX(C386,0),B356))+MIN(MAX(0,D386-(B356-MIN(MAX(C386,0),B356))),MAX(0,0*B356-(C386-MIN(MAX(C386,0),B356)))))</f>
        <v>0</v>
      </c>
      <c r="C387" s="18">
        <f>IF($A387&gt;20,C386,(C386-B356+B387)*(1+$C$7))</f>
        <v>0</v>
      </c>
      <c r="D387" s="18">
        <f t="shared" si="30"/>
        <v>975816.66295991803</v>
      </c>
      <c r="E387" s="18">
        <f>IF($A387&gt;20,0,(E356-MIN(MAX(F386,0),E356))+MIN(MAX(0,G386-(E356-MIN(MAX(F386,0),E356))),MAX(0,0*E356-(F386-MIN(MAX(F386,0),E356)))))</f>
        <v>0</v>
      </c>
      <c r="F387" s="18">
        <f>IF($A387&gt;20,F386,(F386-E356+E387)*(1+$C$7))</f>
        <v>0</v>
      </c>
      <c r="G387" s="18">
        <f t="shared" si="31"/>
        <v>-269625.19460432656</v>
      </c>
      <c r="H387" s="18">
        <f>IF($A387&gt;20,0,(H356-MIN(MAX(I386,0),H356))+MIN(MAX(0,J386-(H356-MIN(MAX(I386,0),H356))),MAX(0,0*H356-(I386-MIN(MAX(I386,0),H356)))))</f>
        <v>0</v>
      </c>
      <c r="I387" s="18">
        <f>IF($A387&gt;20,I386,(I386-H356+H387)*(1+$C$7))</f>
        <v>0</v>
      </c>
      <c r="J387" s="18">
        <f t="shared" si="32"/>
        <v>-2.8478098101913929E-10</v>
      </c>
      <c r="K387" s="18">
        <f>IF($A387&gt;20,0,(K356-MIN(MAX(L386,0),K356))+MIN(MAX(0,M386-(K356-MIN(MAX(L386,0),K356))),MAX(0,0*K356-(L386-MIN(MAX(L386,0),K356)))))</f>
        <v>0</v>
      </c>
      <c r="L387" s="18">
        <f>IF($A387&gt;20,L386,(L386-K356+K387)*(1+$C$7))</f>
        <v>0</v>
      </c>
      <c r="M387" s="18">
        <f t="shared" si="33"/>
        <v>-8.2436599768698216E-11</v>
      </c>
      <c r="N387" s="18">
        <f>IF($A387&gt;20,0,(N356-MIN(MAX(O386,0),N356))+MIN(MAX(0,P386-(N356-MIN(MAX(O386,0),N356))),MAX(0,0*N356-(O386-MIN(MAX(O386,0),N356)))))</f>
        <v>0</v>
      </c>
      <c r="O387" s="18">
        <f>IF($A387&gt;20,O386,(O386-N356+N387)*(1+$C$7))</f>
        <v>0</v>
      </c>
      <c r="P387" s="18">
        <f t="shared" si="34"/>
        <v>-8.2436599768698216E-11</v>
      </c>
      <c r="Q387" s="18">
        <f>IF($A387&gt;20,0,(Q356-MIN(MAX(R386,0),Q356))+MIN(MAX(0,S386-(Q356-MIN(MAX(R386,0),Q356))),MAX(0,0*Q356-(R386-MIN(MAX(R386,0),Q356)))))</f>
        <v>0</v>
      </c>
      <c r="R387" s="18">
        <f>IF($A387&gt;20,R386,(R386-Q356+Q387)*(1+$C$7))</f>
        <v>0</v>
      </c>
      <c r="S387" s="18">
        <f t="shared" si="35"/>
        <v>-8.2436599768698216E-11</v>
      </c>
    </row>
    <row r="388" spans="1:19">
      <c r="A388" s="10">
        <f>30</f>
        <v>30</v>
      </c>
      <c r="B388" s="18">
        <f>IF($A388&gt;20,0,(B356-MIN(MAX(C387,0),B356))+MIN(MAX(0,D387-(B356-MIN(MAX(C387,0),B356))),MAX(0,0*B356-(C387-MIN(MAX(C387,0),B356)))))</f>
        <v>0</v>
      </c>
      <c r="C388" s="18">
        <f>IF($A388&gt;20,C387,(C387-B356+B388)*(1+$C$7))</f>
        <v>0</v>
      </c>
      <c r="D388" s="18">
        <f t="shared" si="30"/>
        <v>975816.66295991803</v>
      </c>
      <c r="E388" s="18">
        <f>IF($A388&gt;20,0,(E356-MIN(MAX(F387,0),E356))+MIN(MAX(0,G387-(E356-MIN(MAX(F387,0),E356))),MAX(0,0*E356-(F387-MIN(MAX(F387,0),E356)))))</f>
        <v>0</v>
      </c>
      <c r="F388" s="18">
        <f>IF($A388&gt;20,F387,(F387-E356+E388)*(1+$C$7))</f>
        <v>0</v>
      </c>
      <c r="G388" s="18">
        <f t="shared" si="31"/>
        <v>-269625.19460432656</v>
      </c>
      <c r="H388" s="18">
        <f>IF($A388&gt;20,0,(H356-MIN(MAX(I387,0),H356))+MIN(MAX(0,J387-(H356-MIN(MAX(I387,0),H356))),MAX(0,0*H356-(I387-MIN(MAX(I387,0),H356)))))</f>
        <v>0</v>
      </c>
      <c r="I388" s="18">
        <f>IF($A388&gt;20,I387,(I387-H356+H388)*(1+$C$7))</f>
        <v>0</v>
      </c>
      <c r="J388" s="18">
        <f t="shared" si="32"/>
        <v>-2.8478098101913929E-10</v>
      </c>
      <c r="K388" s="18">
        <f>IF($A388&gt;20,0,(K356-MIN(MAX(L387,0),K356))+MIN(MAX(0,M387-(K356-MIN(MAX(L387,0),K356))),MAX(0,0*K356-(L387-MIN(MAX(L387,0),K356)))))</f>
        <v>0</v>
      </c>
      <c r="L388" s="18">
        <f>IF($A388&gt;20,L387,(L387-K356+K388)*(1+$C$7))</f>
        <v>0</v>
      </c>
      <c r="M388" s="18">
        <f t="shared" si="33"/>
        <v>-8.2436599768698216E-11</v>
      </c>
      <c r="N388" s="18">
        <f>IF($A388&gt;20,0,(N356-MIN(MAX(O387,0),N356))+MIN(MAX(0,P387-(N356-MIN(MAX(O387,0),N356))),MAX(0,0*N356-(O387-MIN(MAX(O387,0),N356)))))</f>
        <v>0</v>
      </c>
      <c r="O388" s="18">
        <f>IF($A388&gt;20,O387,(O387-N356+N388)*(1+$C$7))</f>
        <v>0</v>
      </c>
      <c r="P388" s="18">
        <f t="shared" si="34"/>
        <v>-8.2436599768698216E-11</v>
      </c>
      <c r="Q388" s="18">
        <f>IF($A388&gt;20,0,(Q356-MIN(MAX(R387,0),Q356))+MIN(MAX(0,S387-(Q356-MIN(MAX(R387,0),Q356))),MAX(0,0*Q356-(R387-MIN(MAX(R387,0),Q356)))))</f>
        <v>0</v>
      </c>
      <c r="R388" s="18">
        <f>IF($A388&gt;20,R387,(R387-Q356+Q388)*(1+$C$7))</f>
        <v>0</v>
      </c>
      <c r="S388" s="18">
        <f t="shared" si="35"/>
        <v>-8.2436599768698216E-11</v>
      </c>
    </row>
    <row r="389" spans="1:19">
      <c r="A389" s="10">
        <f>31</f>
        <v>31</v>
      </c>
      <c r="B389" s="18">
        <f>IF($A389&gt;20,0,(B356-MIN(MAX(C388,0),B356))+MIN(MAX(0,D388-(B356-MIN(MAX(C388,0),B356))),MAX(0,0*B356-(C388-MIN(MAX(C388,0),B356)))))</f>
        <v>0</v>
      </c>
      <c r="C389" s="18">
        <f>IF($A389&gt;20,C388,(C388-B356+B389)*(1+$C$7))</f>
        <v>0</v>
      </c>
      <c r="D389" s="18">
        <f t="shared" si="30"/>
        <v>975816.66295991803</v>
      </c>
      <c r="E389" s="18">
        <f>IF($A389&gt;20,0,(E356-MIN(MAX(F388,0),E356))+MIN(MAX(0,G388-(E356-MIN(MAX(F388,0),E356))),MAX(0,0*E356-(F388-MIN(MAX(F388,0),E356)))))</f>
        <v>0</v>
      </c>
      <c r="F389" s="18">
        <f>IF($A389&gt;20,F388,(F388-E356+E389)*(1+$C$7))</f>
        <v>0</v>
      </c>
      <c r="G389" s="18">
        <f t="shared" si="31"/>
        <v>-269625.19460432656</v>
      </c>
      <c r="H389" s="18">
        <f>IF($A389&gt;20,0,(H356-MIN(MAX(I388,0),H356))+MIN(MAX(0,J388-(H356-MIN(MAX(I388,0),H356))),MAX(0,0*H356-(I388-MIN(MAX(I388,0),H356)))))</f>
        <v>0</v>
      </c>
      <c r="I389" s="18">
        <f>IF($A389&gt;20,I388,(I388-H356+H389)*(1+$C$7))</f>
        <v>0</v>
      </c>
      <c r="J389" s="18">
        <f t="shared" si="32"/>
        <v>-2.8478098101913929E-10</v>
      </c>
      <c r="K389" s="18">
        <f>IF($A389&gt;20,0,(K356-MIN(MAX(L388,0),K356))+MIN(MAX(0,M388-(K356-MIN(MAX(L388,0),K356))),MAX(0,0*K356-(L388-MIN(MAX(L388,0),K356)))))</f>
        <v>0</v>
      </c>
      <c r="L389" s="18">
        <f>IF($A389&gt;20,L388,(L388-K356+K389)*(1+$C$7))</f>
        <v>0</v>
      </c>
      <c r="M389" s="18">
        <f t="shared" si="33"/>
        <v>-8.2436599768698216E-11</v>
      </c>
      <c r="N389" s="18">
        <f>IF($A389&gt;20,0,(N356-MIN(MAX(O388,0),N356))+MIN(MAX(0,P388-(N356-MIN(MAX(O388,0),N356))),MAX(0,0*N356-(O388-MIN(MAX(O388,0),N356)))))</f>
        <v>0</v>
      </c>
      <c r="O389" s="18">
        <f>IF($A389&gt;20,O388,(O388-N356+N389)*(1+$C$7))</f>
        <v>0</v>
      </c>
      <c r="P389" s="18">
        <f t="shared" si="34"/>
        <v>-8.2436599768698216E-11</v>
      </c>
      <c r="Q389" s="18">
        <f>IF($A389&gt;20,0,(Q356-MIN(MAX(R388,0),Q356))+MIN(MAX(0,S388-(Q356-MIN(MAX(R388,0),Q356))),MAX(0,0*Q356-(R388-MIN(MAX(R388,0),Q356)))))</f>
        <v>0</v>
      </c>
      <c r="R389" s="18">
        <f>IF($A389&gt;20,R388,(R388-Q356+Q389)*(1+$C$7))</f>
        <v>0</v>
      </c>
      <c r="S389" s="18">
        <f t="shared" si="35"/>
        <v>-8.2436599768698216E-11</v>
      </c>
    </row>
    <row r="390" spans="1:19">
      <c r="A390" s="10">
        <f>32</f>
        <v>32</v>
      </c>
      <c r="B390" s="18">
        <f>IF($A390&gt;20,0,(B356-MIN(MAX(C389,0),B356))+MIN(MAX(0,D389-(B356-MIN(MAX(C389,0),B356))),MAX(0,0*B356-(C389-MIN(MAX(C389,0),B356)))))</f>
        <v>0</v>
      </c>
      <c r="C390" s="18">
        <f>IF($A390&gt;20,C389,(C389-B356+B390)*(1+$C$7))</f>
        <v>0</v>
      </c>
      <c r="D390" s="18">
        <f t="shared" si="30"/>
        <v>975816.66295991803</v>
      </c>
      <c r="E390" s="18">
        <f>IF($A390&gt;20,0,(E356-MIN(MAX(F389,0),E356))+MIN(MAX(0,G389-(E356-MIN(MAX(F389,0),E356))),MAX(0,0*E356-(F389-MIN(MAX(F389,0),E356)))))</f>
        <v>0</v>
      </c>
      <c r="F390" s="18">
        <f>IF($A390&gt;20,F389,(F389-E356+E390)*(1+$C$7))</f>
        <v>0</v>
      </c>
      <c r="G390" s="18">
        <f t="shared" si="31"/>
        <v>-269625.19460432656</v>
      </c>
      <c r="H390" s="18">
        <f>IF($A390&gt;20,0,(H356-MIN(MAX(I389,0),H356))+MIN(MAX(0,J389-(H356-MIN(MAX(I389,0),H356))),MAX(0,0*H356-(I389-MIN(MAX(I389,0),H356)))))</f>
        <v>0</v>
      </c>
      <c r="I390" s="18">
        <f>IF($A390&gt;20,I389,(I389-H356+H390)*(1+$C$7))</f>
        <v>0</v>
      </c>
      <c r="J390" s="18">
        <f t="shared" si="32"/>
        <v>-2.8478098101913929E-10</v>
      </c>
      <c r="K390" s="18">
        <f>IF($A390&gt;20,0,(K356-MIN(MAX(L389,0),K356))+MIN(MAX(0,M389-(K356-MIN(MAX(L389,0),K356))),MAX(0,0*K356-(L389-MIN(MAX(L389,0),K356)))))</f>
        <v>0</v>
      </c>
      <c r="L390" s="18">
        <f>IF($A390&gt;20,L389,(L389-K356+K390)*(1+$C$7))</f>
        <v>0</v>
      </c>
      <c r="M390" s="18">
        <f t="shared" si="33"/>
        <v>-8.2436599768698216E-11</v>
      </c>
      <c r="N390" s="18">
        <f>IF($A390&gt;20,0,(N356-MIN(MAX(O389,0),N356))+MIN(MAX(0,P389-(N356-MIN(MAX(O389,0),N356))),MAX(0,0*N356-(O389-MIN(MAX(O389,0),N356)))))</f>
        <v>0</v>
      </c>
      <c r="O390" s="18">
        <f>IF($A390&gt;20,O389,(O389-N356+N390)*(1+$C$7))</f>
        <v>0</v>
      </c>
      <c r="P390" s="18">
        <f t="shared" si="34"/>
        <v>-8.2436599768698216E-11</v>
      </c>
      <c r="Q390" s="18">
        <f>IF($A390&gt;20,0,(Q356-MIN(MAX(R389,0),Q356))+MIN(MAX(0,S389-(Q356-MIN(MAX(R389,0),Q356))),MAX(0,0*Q356-(R389-MIN(MAX(R389,0),Q356)))))</f>
        <v>0</v>
      </c>
      <c r="R390" s="18">
        <f>IF($A390&gt;20,R389,(R389-Q356+Q390)*(1+$C$7))</f>
        <v>0</v>
      </c>
      <c r="S390" s="18">
        <f t="shared" si="35"/>
        <v>-8.2436599768698216E-11</v>
      </c>
    </row>
    <row r="391" spans="1:19">
      <c r="A391" s="10">
        <f>33</f>
        <v>33</v>
      </c>
      <c r="B391" s="18">
        <f>IF($A391&gt;20,0,(B356-MIN(MAX(C390,0),B356))+MIN(MAX(0,D390-(B356-MIN(MAX(C390,0),B356))),MAX(0,0*B356-(C390-MIN(MAX(C390,0),B356)))))</f>
        <v>0</v>
      </c>
      <c r="C391" s="18">
        <f>IF($A391&gt;20,C390,(C390-B356+B391)*(1+$C$7))</f>
        <v>0</v>
      </c>
      <c r="D391" s="18">
        <f t="shared" si="30"/>
        <v>975816.66295991803</v>
      </c>
      <c r="E391" s="18">
        <f>IF($A391&gt;20,0,(E356-MIN(MAX(F390,0),E356))+MIN(MAX(0,G390-(E356-MIN(MAX(F390,0),E356))),MAX(0,0*E356-(F390-MIN(MAX(F390,0),E356)))))</f>
        <v>0</v>
      </c>
      <c r="F391" s="18">
        <f>IF($A391&gt;20,F390,(F390-E356+E391)*(1+$C$7))</f>
        <v>0</v>
      </c>
      <c r="G391" s="18">
        <f t="shared" si="31"/>
        <v>-269625.19460432656</v>
      </c>
      <c r="H391" s="18">
        <f>IF($A391&gt;20,0,(H356-MIN(MAX(I390,0),H356))+MIN(MAX(0,J390-(H356-MIN(MAX(I390,0),H356))),MAX(0,0*H356-(I390-MIN(MAX(I390,0),H356)))))</f>
        <v>0</v>
      </c>
      <c r="I391" s="18">
        <f>IF($A391&gt;20,I390,(I390-H356+H391)*(1+$C$7))</f>
        <v>0</v>
      </c>
      <c r="J391" s="18">
        <f t="shared" si="32"/>
        <v>-2.8478098101913929E-10</v>
      </c>
      <c r="K391" s="18">
        <f>IF($A391&gt;20,0,(K356-MIN(MAX(L390,0),K356))+MIN(MAX(0,M390-(K356-MIN(MAX(L390,0),K356))),MAX(0,0*K356-(L390-MIN(MAX(L390,0),K356)))))</f>
        <v>0</v>
      </c>
      <c r="L391" s="18">
        <f>IF($A391&gt;20,L390,(L390-K356+K391)*(1+$C$7))</f>
        <v>0</v>
      </c>
      <c r="M391" s="18">
        <f t="shared" si="33"/>
        <v>-8.2436599768698216E-11</v>
      </c>
      <c r="N391" s="18">
        <f>IF($A391&gt;20,0,(N356-MIN(MAX(O390,0),N356))+MIN(MAX(0,P390-(N356-MIN(MAX(O390,0),N356))),MAX(0,0*N356-(O390-MIN(MAX(O390,0),N356)))))</f>
        <v>0</v>
      </c>
      <c r="O391" s="18">
        <f>IF($A391&gt;20,O390,(O390-N356+N391)*(1+$C$7))</f>
        <v>0</v>
      </c>
      <c r="P391" s="18">
        <f t="shared" si="34"/>
        <v>-8.2436599768698216E-11</v>
      </c>
      <c r="Q391" s="18">
        <f>IF($A391&gt;20,0,(Q356-MIN(MAX(R390,0),Q356))+MIN(MAX(0,S390-(Q356-MIN(MAX(R390,0),Q356))),MAX(0,0*Q356-(R390-MIN(MAX(R390,0),Q356)))))</f>
        <v>0</v>
      </c>
      <c r="R391" s="18">
        <f>IF($A391&gt;20,R390,(R390-Q356+Q391)*(1+$C$7))</f>
        <v>0</v>
      </c>
      <c r="S391" s="18">
        <f t="shared" si="35"/>
        <v>-8.2436599768698216E-11</v>
      </c>
    </row>
    <row r="392" spans="1:19">
      <c r="A392" s="10">
        <f>34</f>
        <v>34</v>
      </c>
      <c r="B392" s="18">
        <f>IF($A392&gt;20,0,(B356-MIN(MAX(C391,0),B356))+MIN(MAX(0,D391-(B356-MIN(MAX(C391,0),B356))),MAX(0,0*B356-(C391-MIN(MAX(C391,0),B356)))))</f>
        <v>0</v>
      </c>
      <c r="C392" s="18">
        <f>IF($A392&gt;20,C391,(C391-B356+B392)*(1+$C$7))</f>
        <v>0</v>
      </c>
      <c r="D392" s="18">
        <f t="shared" si="30"/>
        <v>975816.66295991803</v>
      </c>
      <c r="E392" s="18">
        <f>IF($A392&gt;20,0,(E356-MIN(MAX(F391,0),E356))+MIN(MAX(0,G391-(E356-MIN(MAX(F391,0),E356))),MAX(0,0*E356-(F391-MIN(MAX(F391,0),E356)))))</f>
        <v>0</v>
      </c>
      <c r="F392" s="18">
        <f>IF($A392&gt;20,F391,(F391-E356+E392)*(1+$C$7))</f>
        <v>0</v>
      </c>
      <c r="G392" s="18">
        <f t="shared" si="31"/>
        <v>-269625.19460432656</v>
      </c>
      <c r="H392" s="18">
        <f>IF($A392&gt;20,0,(H356-MIN(MAX(I391,0),H356))+MIN(MAX(0,J391-(H356-MIN(MAX(I391,0),H356))),MAX(0,0*H356-(I391-MIN(MAX(I391,0),H356)))))</f>
        <v>0</v>
      </c>
      <c r="I392" s="18">
        <f>IF($A392&gt;20,I391,(I391-H356+H392)*(1+$C$7))</f>
        <v>0</v>
      </c>
      <c r="J392" s="18">
        <f t="shared" si="32"/>
        <v>-2.8478098101913929E-10</v>
      </c>
      <c r="K392" s="18">
        <f>IF($A392&gt;20,0,(K356-MIN(MAX(L391,0),K356))+MIN(MAX(0,M391-(K356-MIN(MAX(L391,0),K356))),MAX(0,0*K356-(L391-MIN(MAX(L391,0),K356)))))</f>
        <v>0</v>
      </c>
      <c r="L392" s="18">
        <f>IF($A392&gt;20,L391,(L391-K356+K392)*(1+$C$7))</f>
        <v>0</v>
      </c>
      <c r="M392" s="18">
        <f t="shared" si="33"/>
        <v>-8.2436599768698216E-11</v>
      </c>
      <c r="N392" s="18">
        <f>IF($A392&gt;20,0,(N356-MIN(MAX(O391,0),N356))+MIN(MAX(0,P391-(N356-MIN(MAX(O391,0),N356))),MAX(0,0*N356-(O391-MIN(MAX(O391,0),N356)))))</f>
        <v>0</v>
      </c>
      <c r="O392" s="18">
        <f>IF($A392&gt;20,O391,(O391-N356+N392)*(1+$C$7))</f>
        <v>0</v>
      </c>
      <c r="P392" s="18">
        <f t="shared" si="34"/>
        <v>-8.2436599768698216E-11</v>
      </c>
      <c r="Q392" s="18">
        <f>IF($A392&gt;20,0,(Q356-MIN(MAX(R391,0),Q356))+MIN(MAX(0,S391-(Q356-MIN(MAX(R391,0),Q356))),MAX(0,0*Q356-(R391-MIN(MAX(R391,0),Q356)))))</f>
        <v>0</v>
      </c>
      <c r="R392" s="18">
        <f>IF($A392&gt;20,R391,(R391-Q356+Q392)*(1+$C$7))</f>
        <v>0</v>
      </c>
      <c r="S392" s="18">
        <f t="shared" si="35"/>
        <v>-8.2436599768698216E-11</v>
      </c>
    </row>
    <row r="393" spans="1:19">
      <c r="A393" s="10">
        <f>35</f>
        <v>35</v>
      </c>
      <c r="B393" s="18">
        <f>IF($A393&gt;20,0,(B356-MIN(MAX(C392,0),B356))+MIN(MAX(0,D392-(B356-MIN(MAX(C392,0),B356))),MAX(0,0*B356-(C392-MIN(MAX(C392,0),B356)))))</f>
        <v>0</v>
      </c>
      <c r="C393" s="18">
        <f>IF($A393&gt;20,C392,(C392-B356+B393)*(1+$C$7))</f>
        <v>0</v>
      </c>
      <c r="D393" s="18">
        <f t="shared" si="30"/>
        <v>975816.66295991803</v>
      </c>
      <c r="E393" s="18">
        <f>IF($A393&gt;20,0,(E356-MIN(MAX(F392,0),E356))+MIN(MAX(0,G392-(E356-MIN(MAX(F392,0),E356))),MAX(0,0*E356-(F392-MIN(MAX(F392,0),E356)))))</f>
        <v>0</v>
      </c>
      <c r="F393" s="18">
        <f>IF($A393&gt;20,F392,(F392-E356+E393)*(1+$C$7))</f>
        <v>0</v>
      </c>
      <c r="G393" s="18">
        <f t="shared" si="31"/>
        <v>-269625.19460432656</v>
      </c>
      <c r="H393" s="18">
        <f>IF($A393&gt;20,0,(H356-MIN(MAX(I392,0),H356))+MIN(MAX(0,J392-(H356-MIN(MAX(I392,0),H356))),MAX(0,0*H356-(I392-MIN(MAX(I392,0),H356)))))</f>
        <v>0</v>
      </c>
      <c r="I393" s="18">
        <f>IF($A393&gt;20,I392,(I392-H356+H393)*(1+$C$7))</f>
        <v>0</v>
      </c>
      <c r="J393" s="18">
        <f t="shared" si="32"/>
        <v>-2.8478098101913929E-10</v>
      </c>
      <c r="K393" s="18">
        <f>IF($A393&gt;20,0,(K356-MIN(MAX(L392,0),K356))+MIN(MAX(0,M392-(K356-MIN(MAX(L392,0),K356))),MAX(0,0*K356-(L392-MIN(MAX(L392,0),K356)))))</f>
        <v>0</v>
      </c>
      <c r="L393" s="18">
        <f>IF($A393&gt;20,L392,(L392-K356+K393)*(1+$C$7))</f>
        <v>0</v>
      </c>
      <c r="M393" s="18">
        <f t="shared" si="33"/>
        <v>-8.2436599768698216E-11</v>
      </c>
      <c r="N393" s="18">
        <f>IF($A393&gt;20,0,(N356-MIN(MAX(O392,0),N356))+MIN(MAX(0,P392-(N356-MIN(MAX(O392,0),N356))),MAX(0,0*N356-(O392-MIN(MAX(O392,0),N356)))))</f>
        <v>0</v>
      </c>
      <c r="O393" s="18">
        <f>IF($A393&gt;20,O392,(O392-N356+N393)*(1+$C$7))</f>
        <v>0</v>
      </c>
      <c r="P393" s="18">
        <f t="shared" si="34"/>
        <v>-8.2436599768698216E-11</v>
      </c>
      <c r="Q393" s="18">
        <f>IF($A393&gt;20,0,(Q356-MIN(MAX(R392,0),Q356))+MIN(MAX(0,S392-(Q356-MIN(MAX(R392,0),Q356))),MAX(0,0*Q356-(R392-MIN(MAX(R392,0),Q356)))))</f>
        <v>0</v>
      </c>
      <c r="R393" s="18">
        <f>IF($A393&gt;20,R392,(R392-Q356+Q393)*(1+$C$7))</f>
        <v>0</v>
      </c>
      <c r="S393" s="18">
        <f t="shared" si="35"/>
        <v>-8.2436599768698216E-11</v>
      </c>
    </row>
    <row r="394" spans="1:19">
      <c r="A394" s="10">
        <f>36</f>
        <v>36</v>
      </c>
      <c r="B394" s="18">
        <f>IF($A394&gt;20,0,(B356-MIN(MAX(C393,0),B356))+MIN(MAX(0,D393-(B356-MIN(MAX(C393,0),B356))),MAX(0,0*B356-(C393-MIN(MAX(C393,0),B356)))))</f>
        <v>0</v>
      </c>
      <c r="C394" s="18">
        <f>IF($A394&gt;20,C393,(C393-B356+B394)*(1+$C$7))</f>
        <v>0</v>
      </c>
      <c r="D394" s="18">
        <f t="shared" si="30"/>
        <v>975816.66295991803</v>
      </c>
      <c r="E394" s="18">
        <f>IF($A394&gt;20,0,(E356-MIN(MAX(F393,0),E356))+MIN(MAX(0,G393-(E356-MIN(MAX(F393,0),E356))),MAX(0,0*E356-(F393-MIN(MAX(F393,0),E356)))))</f>
        <v>0</v>
      </c>
      <c r="F394" s="18">
        <f>IF($A394&gt;20,F393,(F393-E356+E394)*(1+$C$7))</f>
        <v>0</v>
      </c>
      <c r="G394" s="18">
        <f t="shared" si="31"/>
        <v>-269625.19460432656</v>
      </c>
      <c r="H394" s="18">
        <f>IF($A394&gt;20,0,(H356-MIN(MAX(I393,0),H356))+MIN(MAX(0,J393-(H356-MIN(MAX(I393,0),H356))),MAX(0,0*H356-(I393-MIN(MAX(I393,0),H356)))))</f>
        <v>0</v>
      </c>
      <c r="I394" s="18">
        <f>IF($A394&gt;20,I393,(I393-H356+H394)*(1+$C$7))</f>
        <v>0</v>
      </c>
      <c r="J394" s="18">
        <f t="shared" si="32"/>
        <v>-2.8478098101913929E-10</v>
      </c>
      <c r="K394" s="18">
        <f>IF($A394&gt;20,0,(K356-MIN(MAX(L393,0),K356))+MIN(MAX(0,M393-(K356-MIN(MAX(L393,0),K356))),MAX(0,0*K356-(L393-MIN(MAX(L393,0),K356)))))</f>
        <v>0</v>
      </c>
      <c r="L394" s="18">
        <f>IF($A394&gt;20,L393,(L393-K356+K394)*(1+$C$7))</f>
        <v>0</v>
      </c>
      <c r="M394" s="18">
        <f t="shared" si="33"/>
        <v>-8.2436599768698216E-11</v>
      </c>
      <c r="N394" s="18">
        <f>IF($A394&gt;20,0,(N356-MIN(MAX(O393,0),N356))+MIN(MAX(0,P393-(N356-MIN(MAX(O393,0),N356))),MAX(0,0*N356-(O393-MIN(MAX(O393,0),N356)))))</f>
        <v>0</v>
      </c>
      <c r="O394" s="18">
        <f>IF($A394&gt;20,O393,(O393-N356+N394)*(1+$C$7))</f>
        <v>0</v>
      </c>
      <c r="P394" s="18">
        <f t="shared" si="34"/>
        <v>-8.2436599768698216E-11</v>
      </c>
      <c r="Q394" s="18">
        <f>IF($A394&gt;20,0,(Q356-MIN(MAX(R393,0),Q356))+MIN(MAX(0,S393-(Q356-MIN(MAX(R393,0),Q356))),MAX(0,0*Q356-(R393-MIN(MAX(R393,0),Q356)))))</f>
        <v>0</v>
      </c>
      <c r="R394" s="18">
        <f>IF($A394&gt;20,R393,(R393-Q356+Q394)*(1+$C$7))</f>
        <v>0</v>
      </c>
      <c r="S394" s="18">
        <f t="shared" si="35"/>
        <v>-8.2436599768698216E-11</v>
      </c>
    </row>
    <row r="395" spans="1:19">
      <c r="A395" s="10">
        <f>37</f>
        <v>37</v>
      </c>
      <c r="B395" s="18">
        <f>IF($A395&gt;20,0,(B356-MIN(MAX(C394,0),B356))+MIN(MAX(0,D394-(B356-MIN(MAX(C394,0),B356))),MAX(0,0*B356-(C394-MIN(MAX(C394,0),B356)))))</f>
        <v>0</v>
      </c>
      <c r="C395" s="18">
        <f>IF($A395&gt;20,C394,(C394-B356+B395)*(1+$C$7))</f>
        <v>0</v>
      </c>
      <c r="D395" s="18">
        <f t="shared" si="30"/>
        <v>975816.66295991803</v>
      </c>
      <c r="E395" s="18">
        <f>IF($A395&gt;20,0,(E356-MIN(MAX(F394,0),E356))+MIN(MAX(0,G394-(E356-MIN(MAX(F394,0),E356))),MAX(0,0*E356-(F394-MIN(MAX(F394,0),E356)))))</f>
        <v>0</v>
      </c>
      <c r="F395" s="18">
        <f>IF($A395&gt;20,F394,(F394-E356+E395)*(1+$C$7))</f>
        <v>0</v>
      </c>
      <c r="G395" s="18">
        <f t="shared" si="31"/>
        <v>-269625.19460432656</v>
      </c>
      <c r="H395" s="18">
        <f>IF($A395&gt;20,0,(H356-MIN(MAX(I394,0),H356))+MIN(MAX(0,J394-(H356-MIN(MAX(I394,0),H356))),MAX(0,0*H356-(I394-MIN(MAX(I394,0),H356)))))</f>
        <v>0</v>
      </c>
      <c r="I395" s="18">
        <f>IF($A395&gt;20,I394,(I394-H356+H395)*(1+$C$7))</f>
        <v>0</v>
      </c>
      <c r="J395" s="18">
        <f t="shared" si="32"/>
        <v>-2.8478098101913929E-10</v>
      </c>
      <c r="K395" s="18">
        <f>IF($A395&gt;20,0,(K356-MIN(MAX(L394,0),K356))+MIN(MAX(0,M394-(K356-MIN(MAX(L394,0),K356))),MAX(0,0*K356-(L394-MIN(MAX(L394,0),K356)))))</f>
        <v>0</v>
      </c>
      <c r="L395" s="18">
        <f>IF($A395&gt;20,L394,(L394-K356+K395)*(1+$C$7))</f>
        <v>0</v>
      </c>
      <c r="M395" s="18">
        <f t="shared" si="33"/>
        <v>-8.2436599768698216E-11</v>
      </c>
      <c r="N395" s="18">
        <f>IF($A395&gt;20,0,(N356-MIN(MAX(O394,0),N356))+MIN(MAX(0,P394-(N356-MIN(MAX(O394,0),N356))),MAX(0,0*N356-(O394-MIN(MAX(O394,0),N356)))))</f>
        <v>0</v>
      </c>
      <c r="O395" s="18">
        <f>IF($A395&gt;20,O394,(O394-N356+N395)*(1+$C$7))</f>
        <v>0</v>
      </c>
      <c r="P395" s="18">
        <f t="shared" si="34"/>
        <v>-8.2436599768698216E-11</v>
      </c>
      <c r="Q395" s="18">
        <f>IF($A395&gt;20,0,(Q356-MIN(MAX(R394,0),Q356))+MIN(MAX(0,S394-(Q356-MIN(MAX(R394,0),Q356))),MAX(0,0*Q356-(R394-MIN(MAX(R394,0),Q356)))))</f>
        <v>0</v>
      </c>
      <c r="R395" s="18">
        <f>IF($A395&gt;20,R394,(R394-Q356+Q395)*(1+$C$7))</f>
        <v>0</v>
      </c>
      <c r="S395" s="18">
        <f t="shared" si="35"/>
        <v>-8.2436599768698216E-11</v>
      </c>
    </row>
    <row r="396" spans="1:19">
      <c r="A396" s="10">
        <f>38</f>
        <v>38</v>
      </c>
      <c r="B396" s="18">
        <f>IF($A396&gt;20,0,(B356-MIN(MAX(C395,0),B356))+MIN(MAX(0,D395-(B356-MIN(MAX(C395,0),B356))),MAX(0,0*B356-(C395-MIN(MAX(C395,0),B356)))))</f>
        <v>0</v>
      </c>
      <c r="C396" s="18">
        <f>IF($A396&gt;20,C395,(C395-B356+B396)*(1+$C$7))</f>
        <v>0</v>
      </c>
      <c r="D396" s="18">
        <f t="shared" si="30"/>
        <v>975816.66295991803</v>
      </c>
      <c r="E396" s="18">
        <f>IF($A396&gt;20,0,(E356-MIN(MAX(F395,0),E356))+MIN(MAX(0,G395-(E356-MIN(MAX(F395,0),E356))),MAX(0,0*E356-(F395-MIN(MAX(F395,0),E356)))))</f>
        <v>0</v>
      </c>
      <c r="F396" s="18">
        <f>IF($A396&gt;20,F395,(F395-E356+E396)*(1+$C$7))</f>
        <v>0</v>
      </c>
      <c r="G396" s="18">
        <f t="shared" si="31"/>
        <v>-269625.19460432656</v>
      </c>
      <c r="H396" s="18">
        <f>IF($A396&gt;20,0,(H356-MIN(MAX(I395,0),H356))+MIN(MAX(0,J395-(H356-MIN(MAX(I395,0),H356))),MAX(0,0*H356-(I395-MIN(MAX(I395,0),H356)))))</f>
        <v>0</v>
      </c>
      <c r="I396" s="18">
        <f>IF($A396&gt;20,I395,(I395-H356+H396)*(1+$C$7))</f>
        <v>0</v>
      </c>
      <c r="J396" s="18">
        <f t="shared" si="32"/>
        <v>-2.8478098101913929E-10</v>
      </c>
      <c r="K396" s="18">
        <f>IF($A396&gt;20,0,(K356-MIN(MAX(L395,0),K356))+MIN(MAX(0,M395-(K356-MIN(MAX(L395,0),K356))),MAX(0,0*K356-(L395-MIN(MAX(L395,0),K356)))))</f>
        <v>0</v>
      </c>
      <c r="L396" s="18">
        <f>IF($A396&gt;20,L395,(L395-K356+K396)*(1+$C$7))</f>
        <v>0</v>
      </c>
      <c r="M396" s="18">
        <f t="shared" si="33"/>
        <v>-8.2436599768698216E-11</v>
      </c>
      <c r="N396" s="18">
        <f>IF($A396&gt;20,0,(N356-MIN(MAX(O395,0),N356))+MIN(MAX(0,P395-(N356-MIN(MAX(O395,0),N356))),MAX(0,0*N356-(O395-MIN(MAX(O395,0),N356)))))</f>
        <v>0</v>
      </c>
      <c r="O396" s="18">
        <f>IF($A396&gt;20,O395,(O395-N356+N396)*(1+$C$7))</f>
        <v>0</v>
      </c>
      <c r="P396" s="18">
        <f t="shared" si="34"/>
        <v>-8.2436599768698216E-11</v>
      </c>
      <c r="Q396" s="18">
        <f>IF($A396&gt;20,0,(Q356-MIN(MAX(R395,0),Q356))+MIN(MAX(0,S395-(Q356-MIN(MAX(R395,0),Q356))),MAX(0,0*Q356-(R395-MIN(MAX(R395,0),Q356)))))</f>
        <v>0</v>
      </c>
      <c r="R396" s="18">
        <f>IF($A396&gt;20,R395,(R395-Q356+Q396)*(1+$C$7))</f>
        <v>0</v>
      </c>
      <c r="S396" s="18">
        <f t="shared" si="35"/>
        <v>-8.2436599768698216E-11</v>
      </c>
    </row>
    <row r="397" spans="1:19">
      <c r="A397" s="10">
        <f>39</f>
        <v>39</v>
      </c>
      <c r="B397" s="18">
        <f>IF($A397&gt;20,0,(B356-MIN(MAX(C396,0),B356))+MIN(MAX(0,D396-(B356-MIN(MAX(C396,0),B356))),MAX(0,0*B356-(C396-MIN(MAX(C396,0),B356)))))</f>
        <v>0</v>
      </c>
      <c r="C397" s="18">
        <f>IF($A397&gt;20,C396,(C396-B356+B397)*(1+$C$7))</f>
        <v>0</v>
      </c>
      <c r="D397" s="18">
        <f t="shared" si="30"/>
        <v>975816.66295991803</v>
      </c>
      <c r="E397" s="18">
        <f>IF($A397&gt;20,0,(E356-MIN(MAX(F396,0),E356))+MIN(MAX(0,G396-(E356-MIN(MAX(F396,0),E356))),MAX(0,0*E356-(F396-MIN(MAX(F396,0),E356)))))</f>
        <v>0</v>
      </c>
      <c r="F397" s="18">
        <f>IF($A397&gt;20,F396,(F396-E356+E397)*(1+$C$7))</f>
        <v>0</v>
      </c>
      <c r="G397" s="18">
        <f t="shared" si="31"/>
        <v>-269625.19460432656</v>
      </c>
      <c r="H397" s="18">
        <f>IF($A397&gt;20,0,(H356-MIN(MAX(I396,0),H356))+MIN(MAX(0,J396-(H356-MIN(MAX(I396,0),H356))),MAX(0,0*H356-(I396-MIN(MAX(I396,0),H356)))))</f>
        <v>0</v>
      </c>
      <c r="I397" s="18">
        <f>IF($A397&gt;20,I396,(I396-H356+H397)*(1+$C$7))</f>
        <v>0</v>
      </c>
      <c r="J397" s="18">
        <f t="shared" si="32"/>
        <v>-2.8478098101913929E-10</v>
      </c>
      <c r="K397" s="18">
        <f>IF($A397&gt;20,0,(K356-MIN(MAX(L396,0),K356))+MIN(MAX(0,M396-(K356-MIN(MAX(L396,0),K356))),MAX(0,0*K356-(L396-MIN(MAX(L396,0),K356)))))</f>
        <v>0</v>
      </c>
      <c r="L397" s="18">
        <f>IF($A397&gt;20,L396,(L396-K356+K397)*(1+$C$7))</f>
        <v>0</v>
      </c>
      <c r="M397" s="18">
        <f t="shared" si="33"/>
        <v>-8.2436599768698216E-11</v>
      </c>
      <c r="N397" s="18">
        <f>IF($A397&gt;20,0,(N356-MIN(MAX(O396,0),N356))+MIN(MAX(0,P396-(N356-MIN(MAX(O396,0),N356))),MAX(0,0*N356-(O396-MIN(MAX(O396,0),N356)))))</f>
        <v>0</v>
      </c>
      <c r="O397" s="18">
        <f>IF($A397&gt;20,O396,(O396-N356+N397)*(1+$C$7))</f>
        <v>0</v>
      </c>
      <c r="P397" s="18">
        <f t="shared" si="34"/>
        <v>-8.2436599768698216E-11</v>
      </c>
      <c r="Q397" s="18">
        <f>IF($A397&gt;20,0,(Q356-MIN(MAX(R396,0),Q356))+MIN(MAX(0,S396-(Q356-MIN(MAX(R396,0),Q356))),MAX(0,0*Q356-(R396-MIN(MAX(R396,0),Q356)))))</f>
        <v>0</v>
      </c>
      <c r="R397" s="18">
        <f>IF($A397&gt;20,R396,(R396-Q356+Q397)*(1+$C$7))</f>
        <v>0</v>
      </c>
      <c r="S397" s="18">
        <f t="shared" si="35"/>
        <v>-8.2436599768698216E-11</v>
      </c>
    </row>
    <row r="398" spans="1:19">
      <c r="A398" s="10">
        <f>40</f>
        <v>40</v>
      </c>
      <c r="B398" s="18">
        <f>IF($A398&gt;20,0,(B356-MIN(MAX(C397,0),B356))+MIN(MAX(0,D397-(B356-MIN(MAX(C397,0),B356))),MAX(0,0*B356-(C397-MIN(MAX(C397,0),B356)))))</f>
        <v>0</v>
      </c>
      <c r="C398" s="18">
        <f>IF($A398&gt;20,C397,(C397-B356+B398)*(1+$C$7))</f>
        <v>0</v>
      </c>
      <c r="D398" s="18">
        <f t="shared" si="30"/>
        <v>975816.66295991803</v>
      </c>
      <c r="E398" s="18">
        <f>IF($A398&gt;20,0,(E356-MIN(MAX(F397,0),E356))+MIN(MAX(0,G397-(E356-MIN(MAX(F397,0),E356))),MAX(0,0*E356-(F397-MIN(MAX(F397,0),E356)))))</f>
        <v>0</v>
      </c>
      <c r="F398" s="18">
        <f>IF($A398&gt;20,F397,(F397-E356+E398)*(1+$C$7))</f>
        <v>0</v>
      </c>
      <c r="G398" s="18">
        <f t="shared" si="31"/>
        <v>-269625.19460432656</v>
      </c>
      <c r="H398" s="18">
        <f>IF($A398&gt;20,0,(H356-MIN(MAX(I397,0),H356))+MIN(MAX(0,J397-(H356-MIN(MAX(I397,0),H356))),MAX(0,0*H356-(I397-MIN(MAX(I397,0),H356)))))</f>
        <v>0</v>
      </c>
      <c r="I398" s="18">
        <f>IF($A398&gt;20,I397,(I397-H356+H398)*(1+$C$7))</f>
        <v>0</v>
      </c>
      <c r="J398" s="18">
        <f t="shared" si="32"/>
        <v>-2.8478098101913929E-10</v>
      </c>
      <c r="K398" s="18">
        <f>IF($A398&gt;20,0,(K356-MIN(MAX(L397,0),K356))+MIN(MAX(0,M397-(K356-MIN(MAX(L397,0),K356))),MAX(0,0*K356-(L397-MIN(MAX(L397,0),K356)))))</f>
        <v>0</v>
      </c>
      <c r="L398" s="18">
        <f>IF($A398&gt;20,L397,(L397-K356+K398)*(1+$C$7))</f>
        <v>0</v>
      </c>
      <c r="M398" s="18">
        <f t="shared" si="33"/>
        <v>-8.2436599768698216E-11</v>
      </c>
      <c r="N398" s="18">
        <f>IF($A398&gt;20,0,(N356-MIN(MAX(O397,0),N356))+MIN(MAX(0,P397-(N356-MIN(MAX(O397,0),N356))),MAX(0,0*N356-(O397-MIN(MAX(O397,0),N356)))))</f>
        <v>0</v>
      </c>
      <c r="O398" s="18">
        <f>IF($A398&gt;20,O397,(O397-N356+N398)*(1+$C$7))</f>
        <v>0</v>
      </c>
      <c r="P398" s="18">
        <f t="shared" si="34"/>
        <v>-8.2436599768698216E-11</v>
      </c>
      <c r="Q398" s="18">
        <f>IF($A398&gt;20,0,(Q356-MIN(MAX(R397,0),Q356))+MIN(MAX(0,S397-(Q356-MIN(MAX(R397,0),Q356))),MAX(0,0*Q356-(R397-MIN(MAX(R397,0),Q356)))))</f>
        <v>0</v>
      </c>
      <c r="R398" s="18">
        <f>IF($A398&gt;20,R397,(R397-Q356+Q398)*(1+$C$7))</f>
        <v>0</v>
      </c>
      <c r="S398" s="18">
        <f t="shared" si="35"/>
        <v>-8.2436599768698216E-11</v>
      </c>
    </row>
    <row r="399" spans="1:19">
      <c r="B399" s="18">
        <f>C398+D398</f>
        <v>975816.66295991803</v>
      </c>
      <c r="E399" s="18">
        <f>F398+G398</f>
        <v>-269625.19460432656</v>
      </c>
      <c r="H399" s="18">
        <f>I398+J398</f>
        <v>-2.8478098101913929E-10</v>
      </c>
      <c r="K399" s="18">
        <f>L398+M398</f>
        <v>-8.2436599768698216E-11</v>
      </c>
      <c r="N399" s="18">
        <f>O398+P398</f>
        <v>-8.2436599768698216E-11</v>
      </c>
      <c r="Q399" s="18">
        <f>R398+S398</f>
        <v>-8.2436599768698216E-11</v>
      </c>
    </row>
    <row r="400" spans="1:19">
      <c r="A400" s="5" t="s">
        <v>266</v>
      </c>
      <c r="B400" s="18">
        <f>IFERROR(Q356-Q399*(Q356-N356)/(Q399-N399),Q356)</f>
        <v>65257.968540639937</v>
      </c>
    </row>
    <row r="402" spans="1:19">
      <c r="A402" s="2" t="s">
        <v>272</v>
      </c>
    </row>
    <row r="403" spans="1:19">
      <c r="B403" s="9">
        <f>0.03*$B$5</f>
        <v>30000</v>
      </c>
      <c r="E403" s="9">
        <f>0.075*$B$5</f>
        <v>75000</v>
      </c>
      <c r="H403" s="18">
        <f>IFERROR(E403-E446*(E403-B403)/(E446-B446),E403)</f>
        <v>64032.886077701027</v>
      </c>
      <c r="K403" s="18">
        <f>IFERROR(H403-H446*(H403-E403)/(H446-E446),H403)</f>
        <v>63843.938932254016</v>
      </c>
      <c r="N403" s="18">
        <f>IFERROR(K403-K446*(K403-H403)/(K446-H446),K403)</f>
        <v>63843.960644103725</v>
      </c>
      <c r="Q403" s="18">
        <f>IFERROR(N403-N446*(N403-K403)/(N446-K446),N403)</f>
        <v>63843.961155392899</v>
      </c>
    </row>
    <row r="404" spans="1:19">
      <c r="A404" s="25" t="s">
        <v>262</v>
      </c>
      <c r="B404" s="25" t="s">
        <v>263</v>
      </c>
      <c r="C404" s="25" t="s">
        <v>264</v>
      </c>
      <c r="D404" s="25" t="s">
        <v>265</v>
      </c>
      <c r="E404" s="25" t="s">
        <v>263</v>
      </c>
      <c r="F404" s="25" t="s">
        <v>264</v>
      </c>
      <c r="G404" s="25" t="s">
        <v>265</v>
      </c>
      <c r="H404" s="25" t="s">
        <v>263</v>
      </c>
      <c r="I404" s="25" t="s">
        <v>264</v>
      </c>
      <c r="J404" s="25" t="s">
        <v>265</v>
      </c>
      <c r="K404" s="25" t="s">
        <v>263</v>
      </c>
      <c r="L404" s="25" t="s">
        <v>264</v>
      </c>
      <c r="M404" s="25" t="s">
        <v>265</v>
      </c>
      <c r="N404" s="25" t="s">
        <v>263</v>
      </c>
      <c r="O404" s="25" t="s">
        <v>264</v>
      </c>
      <c r="P404" s="25" t="s">
        <v>265</v>
      </c>
      <c r="Q404" s="25" t="s">
        <v>263</v>
      </c>
      <c r="R404" s="25" t="s">
        <v>264</v>
      </c>
      <c r="S404" s="25" t="s">
        <v>265</v>
      </c>
    </row>
    <row r="405" spans="1:19">
      <c r="A405" s="3">
        <v>0</v>
      </c>
      <c r="C405" s="18">
        <f>MIN(1*B403,$B$5)</f>
        <v>30000</v>
      </c>
      <c r="D405" s="18">
        <f>$B$5-C405</f>
        <v>970000</v>
      </c>
      <c r="F405" s="18">
        <f>MIN(1*E403,$B$5)</f>
        <v>75000</v>
      </c>
      <c r="G405" s="18">
        <f>$B$5-F405</f>
        <v>925000</v>
      </c>
      <c r="I405" s="18">
        <f>MIN(1*H403,$B$5)</f>
        <v>64032.886077701027</v>
      </c>
      <c r="J405" s="18">
        <f>$B$5-I405</f>
        <v>935967.113922299</v>
      </c>
      <c r="L405" s="18">
        <f>MIN(1*K403,$B$5)</f>
        <v>63843.938932254016</v>
      </c>
      <c r="M405" s="18">
        <f>$B$5-L405</f>
        <v>936156.06106774602</v>
      </c>
      <c r="O405" s="18">
        <f>MIN(1*N403,$B$5)</f>
        <v>63843.960644103725</v>
      </c>
      <c r="P405" s="18">
        <f>$B$5-O405</f>
        <v>936156.0393558963</v>
      </c>
      <c r="R405" s="18">
        <f>MIN(1*Q403,$B$5)</f>
        <v>63843.961155392899</v>
      </c>
      <c r="S405" s="18">
        <f>$B$5-R405</f>
        <v>936156.03884460707</v>
      </c>
    </row>
    <row r="406" spans="1:19">
      <c r="A406" s="10">
        <f>1</f>
        <v>1</v>
      </c>
      <c r="B406" s="18">
        <f>IF($A406&gt;20,0,(B403-MIN(MAX(C405,0),B403))+MIN(MAX(0,D405-(B403-MIN(MAX(C405,0),B403))),MAX(0,1*B403-(C405-MIN(MAX(C405,0),B403)))))</f>
        <v>30000</v>
      </c>
      <c r="C406" s="18">
        <f>IF($A406&gt;20,C405,(C405-B403+B406)*(1+$C$7))</f>
        <v>30189</v>
      </c>
      <c r="D406" s="18">
        <f t="shared" ref="D406:D445" si="36">IF($A406&gt;20,D405,(D405-B406)*(1+$B$6))</f>
        <v>968200</v>
      </c>
      <c r="E406" s="18">
        <f>IF($A406&gt;20,0,(E403-MIN(MAX(F405,0),E403))+MIN(MAX(0,G405-(E403-MIN(MAX(F405,0),E403))),MAX(0,1*E403-(F405-MIN(MAX(F405,0),E403)))))</f>
        <v>75000</v>
      </c>
      <c r="F406" s="18">
        <f>IF($A406&gt;20,F405,(F405-E403+E406)*(1+$C$7))</f>
        <v>75472.5</v>
      </c>
      <c r="G406" s="18">
        <f t="shared" ref="G406:G445" si="37">IF($A406&gt;20,G405,(G405-E406)*(1+$B$6))</f>
        <v>875500</v>
      </c>
      <c r="H406" s="18">
        <f>IF($A406&gt;20,0,(H403-MIN(MAX(I405,0),H403))+MIN(MAX(0,J405-(H403-MIN(MAX(I405,0),H403))),MAX(0,1*H403-(I405-MIN(MAX(I405,0),H403)))))</f>
        <v>64032.886077701027</v>
      </c>
      <c r="I406" s="18">
        <f>IF($A406&gt;20,I405,(I405-H403+H406)*(1+$C$7))</f>
        <v>64436.29325999054</v>
      </c>
      <c r="J406" s="18">
        <f t="shared" ref="J406:J445" si="38">IF($A406&gt;20,J405,(J405-H406)*(1+$B$6))</f>
        <v>898092.25467993598</v>
      </c>
      <c r="K406" s="18">
        <f>IF($A406&gt;20,0,(K403-MIN(MAX(L405,0),K403))+MIN(MAX(0,M405-(K403-MIN(MAX(L405,0),K403))),MAX(0,1*K403-(L405-MIN(MAX(L405,0),K403)))))</f>
        <v>63843.938932254016</v>
      </c>
      <c r="L406" s="18">
        <f>IF($A406&gt;20,L405,(L405-K403+K406)*(1+$C$7))</f>
        <v>64246.155747527213</v>
      </c>
      <c r="M406" s="18">
        <f t="shared" ref="M406:M445" si="39">IF($A406&gt;20,M405,(M405-K406)*(1+$B$6))</f>
        <v>898481.48579955683</v>
      </c>
      <c r="N406" s="18">
        <f>IF($A406&gt;20,0,(N403-MIN(MAX(O405,0),N403))+MIN(MAX(0,P405-(N403-MIN(MAX(O405,0),N403))),MAX(0,1*N403-(O405-MIN(MAX(O405,0),N403)))))</f>
        <v>63843.960644103725</v>
      </c>
      <c r="O406" s="18">
        <f>IF($A406&gt;20,O405,(O405-N403+N406)*(1+$C$7))</f>
        <v>64246.177596161579</v>
      </c>
      <c r="P406" s="18">
        <f t="shared" ref="P406:P445" si="40">IF($A406&gt;20,P405,(P405-N406)*(1+$B$6))</f>
        <v>898481.44107314642</v>
      </c>
      <c r="Q406" s="18">
        <f>IF($A406&gt;20,0,(Q403-MIN(MAX(R405,0),Q403))+MIN(MAX(0,S405-(Q403-MIN(MAX(R405,0),Q403))),MAX(0,1*Q403-(R405-MIN(MAX(R405,0),Q403)))))</f>
        <v>63843.961155392899</v>
      </c>
      <c r="R406" s="18">
        <f>IF($A406&gt;20,R405,(R405-Q403+Q406)*(1+$C$7))</f>
        <v>64246.17811067187</v>
      </c>
      <c r="S406" s="18">
        <f t="shared" ref="S406:S445" si="41">IF($A406&gt;20,S405,(S405-Q406)*(1+$B$6))</f>
        <v>898481.44001989055</v>
      </c>
    </row>
    <row r="407" spans="1:19">
      <c r="A407" s="10">
        <f>2</f>
        <v>2</v>
      </c>
      <c r="B407" s="18">
        <f>IF($A407&gt;20,0,(B403-MIN(MAX(C406,0),B403))+MIN(MAX(0,D406-(B403-MIN(MAX(C406,0),B403))),MAX(0,1*B403-(C406-MIN(MAX(C406,0),B403)))))</f>
        <v>29811</v>
      </c>
      <c r="C407" s="18">
        <f>IF($A407&gt;20,C406,(C406-B403+B407)*(1+$C$7))</f>
        <v>30189</v>
      </c>
      <c r="D407" s="18">
        <f t="shared" si="36"/>
        <v>966540.67</v>
      </c>
      <c r="E407" s="18">
        <f>IF($A407&gt;20,0,(E403-MIN(MAX(F406,0),E403))+MIN(MAX(0,G406-(E403-MIN(MAX(F406,0),E403))),MAX(0,1*E403-(F406-MIN(MAX(F406,0),E403)))))</f>
        <v>74527.5</v>
      </c>
      <c r="F407" s="18">
        <f>IF($A407&gt;20,F406,(F406-E403+E407)*(1+$C$7))</f>
        <v>75472.5</v>
      </c>
      <c r="G407" s="18">
        <f t="shared" si="37"/>
        <v>825001.67500000005</v>
      </c>
      <c r="H407" s="18">
        <f>IF($A407&gt;20,0,(H403-MIN(MAX(I406,0),H403))+MIN(MAX(0,J406-(H403-MIN(MAX(I406,0),H403))),MAX(0,1*H403-(I406-MIN(MAX(I406,0),H403)))))</f>
        <v>63629.478895411514</v>
      </c>
      <c r="I407" s="18">
        <f>IF($A407&gt;20,I406,(I406-H403+H407)*(1+$C$7))</f>
        <v>64436.29325999054</v>
      </c>
      <c r="J407" s="18">
        <f t="shared" si="38"/>
        <v>859496.65905806026</v>
      </c>
      <c r="K407" s="18">
        <f>IF($A407&gt;20,0,(K403-MIN(MAX(L406,0),K403))+MIN(MAX(0,M406-(K403-MIN(MAX(L406,0),K403))),MAX(0,1*K403-(L406-MIN(MAX(L406,0),K403)))))</f>
        <v>63441.722116980818</v>
      </c>
      <c r="L407" s="18">
        <f>IF($A407&gt;20,L406,(L406-K403+K407)*(1+$C$7))</f>
        <v>64246.155747527213</v>
      </c>
      <c r="M407" s="18">
        <f t="shared" si="39"/>
        <v>860090.9565930533</v>
      </c>
      <c r="N407" s="18">
        <f>IF($A407&gt;20,0,(N403-MIN(MAX(O406,0),N403))+MIN(MAX(0,P406-(N403-MIN(MAX(O406,0),N403))),MAX(0,1*N403-(O406-MIN(MAX(O406,0),N403)))))</f>
        <v>63441.743692045871</v>
      </c>
      <c r="O407" s="18">
        <f>IF($A407&gt;20,O406,(O406-N403+N407)*(1+$C$7))</f>
        <v>64246.177596161579</v>
      </c>
      <c r="P407" s="18">
        <f t="shared" si="40"/>
        <v>860090.88830253354</v>
      </c>
      <c r="Q407" s="18">
        <f>IF($A407&gt;20,0,(Q403-MIN(MAX(R406,0),Q403))+MIN(MAX(0,S406-(Q403-MIN(MAX(R406,0),Q403))),MAX(0,1*Q403-(R406-MIN(MAX(R406,0),Q403)))))</f>
        <v>63441.744200113928</v>
      </c>
      <c r="R407" s="18">
        <f>IF($A407&gt;20,R406,(R406-Q403+Q407)*(1+$C$7))</f>
        <v>64246.17811067187</v>
      </c>
      <c r="S407" s="18">
        <f t="shared" si="41"/>
        <v>860090.88669436995</v>
      </c>
    </row>
    <row r="408" spans="1:19">
      <c r="A408" s="10">
        <f>3</f>
        <v>3</v>
      </c>
      <c r="B408" s="18">
        <f>IF($A408&gt;20,0,(B403-MIN(MAX(C407,0),B403))+MIN(MAX(0,D407-(B403-MIN(MAX(C407,0),B403))),MAX(0,1*B403-(C407-MIN(MAX(C407,0),B403)))))</f>
        <v>29811</v>
      </c>
      <c r="C408" s="18">
        <f>IF($A408&gt;20,C407,(C407-B403+B408)*(1+$C$7))</f>
        <v>30189</v>
      </c>
      <c r="D408" s="18">
        <f t="shared" si="36"/>
        <v>964831.56010000012</v>
      </c>
      <c r="E408" s="18">
        <f>IF($A408&gt;20,0,(E403-MIN(MAX(F407,0),E403))+MIN(MAX(0,G407-(E403-MIN(MAX(F407,0),E403))),MAX(0,1*E403-(F407-MIN(MAX(F407,0),E403)))))</f>
        <v>74527.5</v>
      </c>
      <c r="F408" s="18">
        <f>IF($A408&gt;20,F407,(F407-E403+E408)*(1+$C$7))</f>
        <v>75472.5</v>
      </c>
      <c r="G408" s="18">
        <f t="shared" si="37"/>
        <v>772988.40025000006</v>
      </c>
      <c r="H408" s="18">
        <f>IF($A408&gt;20,0,(H403-MIN(MAX(I407,0),H403))+MIN(MAX(0,J407-(H403-MIN(MAX(I407,0),H403))),MAX(0,1*H403-(I407-MIN(MAX(I407,0),H403)))))</f>
        <v>63629.478895411514</v>
      </c>
      <c r="I408" s="18">
        <f>IF($A408&gt;20,I407,(I407-H403+H408)*(1+$C$7))</f>
        <v>64436.29325999054</v>
      </c>
      <c r="J408" s="18">
        <f t="shared" si="38"/>
        <v>819743.19556752825</v>
      </c>
      <c r="K408" s="18">
        <f>IF($A408&gt;20,0,(K403-MIN(MAX(L407,0),K403))+MIN(MAX(0,M407-(K403-MIN(MAX(L407,0),K403))),MAX(0,1*K403-(L407-MIN(MAX(L407,0),K403)))))</f>
        <v>63441.722116980818</v>
      </c>
      <c r="L408" s="18">
        <f>IF($A408&gt;20,L407,(L407-K403+K408)*(1+$C$7))</f>
        <v>64246.155747527213</v>
      </c>
      <c r="M408" s="18">
        <f t="shared" si="39"/>
        <v>820548.71151035465</v>
      </c>
      <c r="N408" s="18">
        <f>IF($A408&gt;20,0,(N403-MIN(MAX(O407,0),N403))+MIN(MAX(0,P407-(N403-MIN(MAX(O407,0),N403))),MAX(0,1*N403-(O407-MIN(MAX(O407,0),N403)))))</f>
        <v>63441.743692045871</v>
      </c>
      <c r="O408" s="18">
        <f>IF($A408&gt;20,O407,(O407-N403+N408)*(1+$C$7))</f>
        <v>64246.177596161579</v>
      </c>
      <c r="P408" s="18">
        <f t="shared" si="40"/>
        <v>820548.61894880224</v>
      </c>
      <c r="Q408" s="18">
        <f>IF($A408&gt;20,0,(Q403-MIN(MAX(R407,0),Q403))+MIN(MAX(0,S407-(Q403-MIN(MAX(R407,0),Q403))),MAX(0,1*Q403-(R407-MIN(MAX(R407,0),Q403)))))</f>
        <v>63441.744200113928</v>
      </c>
      <c r="R408" s="18">
        <f>IF($A408&gt;20,R407,(R407-Q403+Q408)*(1+$C$7))</f>
        <v>64246.17811067187</v>
      </c>
      <c r="S408" s="18">
        <f t="shared" si="41"/>
        <v>820548.61676908378</v>
      </c>
    </row>
    <row r="409" spans="1:19">
      <c r="A409" s="10">
        <f>4</f>
        <v>4</v>
      </c>
      <c r="B409" s="18">
        <f>IF($A409&gt;20,0,(B403-MIN(MAX(C408,0),B403))+MIN(MAX(0,D408-(B403-MIN(MAX(C408,0),B403))),MAX(0,1*B403-(C408-MIN(MAX(C408,0),B403)))))</f>
        <v>29811</v>
      </c>
      <c r="C409" s="18">
        <f>IF($A409&gt;20,C408,(C408-B403+B409)*(1+$C$7))</f>
        <v>30189</v>
      </c>
      <c r="D409" s="18">
        <f t="shared" si="36"/>
        <v>963071.1769030001</v>
      </c>
      <c r="E409" s="18">
        <f>IF($A409&gt;20,0,(E403-MIN(MAX(F408,0),E403))+MIN(MAX(0,G408-(E403-MIN(MAX(F408,0),E403))),MAX(0,1*E403-(F408-MIN(MAX(F408,0),E403)))))</f>
        <v>74527.5</v>
      </c>
      <c r="F409" s="18">
        <f>IF($A409&gt;20,F408,(F408-E403+E409)*(1+$C$7))</f>
        <v>75472.5</v>
      </c>
      <c r="G409" s="18">
        <f t="shared" si="37"/>
        <v>719414.72725750005</v>
      </c>
      <c r="H409" s="18">
        <f>IF($A409&gt;20,0,(H403-MIN(MAX(I408,0),H403))+MIN(MAX(0,J408-(H403-MIN(MAX(I408,0),H403))),MAX(0,1*H403-(I408-MIN(MAX(I408,0),H403)))))</f>
        <v>63629.478895411514</v>
      </c>
      <c r="I409" s="18">
        <f>IF($A409&gt;20,I408,(I408-H403+H409)*(1+$C$7))</f>
        <v>64436.29325999054</v>
      </c>
      <c r="J409" s="18">
        <f t="shared" si="38"/>
        <v>778797.12817228027</v>
      </c>
      <c r="K409" s="18">
        <f>IF($A409&gt;20,0,(K403-MIN(MAX(L408,0),K403))+MIN(MAX(0,M408-(K403-MIN(MAX(L408,0),K403))),MAX(0,1*K403-(L408-MIN(MAX(L408,0),K403)))))</f>
        <v>63441.722116980818</v>
      </c>
      <c r="L409" s="18">
        <f>IF($A409&gt;20,L408,(L408-K403+K409)*(1+$C$7))</f>
        <v>64246.155747527213</v>
      </c>
      <c r="M409" s="18">
        <f t="shared" si="39"/>
        <v>779820.1990751751</v>
      </c>
      <c r="N409" s="18">
        <f>IF($A409&gt;20,0,(N403-MIN(MAX(O408,0),N403))+MIN(MAX(0,P408-(N403-MIN(MAX(O408,0),N403))),MAX(0,1*N403-(O408-MIN(MAX(O408,0),N403)))))</f>
        <v>63441.743692045871</v>
      </c>
      <c r="O409" s="18">
        <f>IF($A409&gt;20,O408,(O408-N403+N409)*(1+$C$7))</f>
        <v>64246.177596161579</v>
      </c>
      <c r="P409" s="18">
        <f t="shared" si="40"/>
        <v>779820.08151445899</v>
      </c>
      <c r="Q409" s="18">
        <f>IF($A409&gt;20,0,(Q403-MIN(MAX(R408,0),Q403))+MIN(MAX(0,S408-(Q403-MIN(MAX(R408,0),Q403))),MAX(0,1*Q403-(R408-MIN(MAX(R408,0),Q403)))))</f>
        <v>63441.744200113928</v>
      </c>
      <c r="R409" s="18">
        <f>IF($A409&gt;20,R408,(R408-Q403+Q409)*(1+$C$7))</f>
        <v>64246.17811067187</v>
      </c>
      <c r="S409" s="18">
        <f t="shared" si="41"/>
        <v>779820.07874603895</v>
      </c>
    </row>
    <row r="410" spans="1:19">
      <c r="A410" s="10">
        <f>5</f>
        <v>5</v>
      </c>
      <c r="B410" s="18">
        <f>IF($A410&gt;20,0,(B403-MIN(MAX(C409,0),B403))+MIN(MAX(0,D409-(B403-MIN(MAX(C409,0),B403))),MAX(0,1*B403-(C409-MIN(MAX(C409,0),B403)))))</f>
        <v>29811</v>
      </c>
      <c r="C410" s="18">
        <f>IF($A410&gt;20,C409,(C409-B403+B410)*(1+$C$7))</f>
        <v>30189</v>
      </c>
      <c r="D410" s="18">
        <f t="shared" si="36"/>
        <v>961257.98221009015</v>
      </c>
      <c r="E410" s="18">
        <f>IF($A410&gt;20,0,(E403-MIN(MAX(F409,0),E403))+MIN(MAX(0,G409-(E403-MIN(MAX(F409,0),E403))),MAX(0,1*E403-(F409-MIN(MAX(F409,0),E403)))))</f>
        <v>74527.5</v>
      </c>
      <c r="F410" s="18">
        <f>IF($A410&gt;20,F409,(F409-E403+E410)*(1+$C$7))</f>
        <v>75472.5</v>
      </c>
      <c r="G410" s="18">
        <f t="shared" si="37"/>
        <v>664233.84407522506</v>
      </c>
      <c r="H410" s="18">
        <f>IF($A410&gt;20,0,(H403-MIN(MAX(I409,0),H403))+MIN(MAX(0,J409-(H403-MIN(MAX(I409,0),H403))),MAX(0,1*H403-(I409-MIN(MAX(I409,0),H403)))))</f>
        <v>63629.478895411514</v>
      </c>
      <c r="I410" s="18">
        <f>IF($A410&gt;20,I409,(I409-H403+H410)*(1+$C$7))</f>
        <v>64436.29325999054</v>
      </c>
      <c r="J410" s="18">
        <f t="shared" si="38"/>
        <v>736622.67875517486</v>
      </c>
      <c r="K410" s="18">
        <f>IF($A410&gt;20,0,(K403-MIN(MAX(L409,0),K403))+MIN(MAX(0,M409-(K403-MIN(MAX(L409,0),K403))),MAX(0,1*K403-(L409-MIN(MAX(L409,0),K403)))))</f>
        <v>63441.722116980818</v>
      </c>
      <c r="L410" s="18">
        <f>IF($A410&gt;20,L409,(L409-K403+K410)*(1+$C$7))</f>
        <v>64246.155747527213</v>
      </c>
      <c r="M410" s="18">
        <f t="shared" si="39"/>
        <v>737869.83126694011</v>
      </c>
      <c r="N410" s="18">
        <f>IF($A410&gt;20,0,(N403-MIN(MAX(O409,0),N403))+MIN(MAX(0,P409-(N403-MIN(MAX(O409,0),N403))),MAX(0,1*N403-(O409-MIN(MAX(O409,0),N403)))))</f>
        <v>63441.743692045871</v>
      </c>
      <c r="O410" s="18">
        <f>IF($A410&gt;20,O409,(O409-N403+N410)*(1+$C$7))</f>
        <v>64246.177596161579</v>
      </c>
      <c r="P410" s="18">
        <f t="shared" si="40"/>
        <v>737869.68795708544</v>
      </c>
      <c r="Q410" s="18">
        <f>IF($A410&gt;20,0,(Q403-MIN(MAX(R409,0),Q403))+MIN(MAX(0,S409-(Q403-MIN(MAX(R409,0),Q403))),MAX(0,1*Q403-(R409-MIN(MAX(R409,0),Q403)))))</f>
        <v>63441.744200113928</v>
      </c>
      <c r="R410" s="18">
        <f>IF($A410&gt;20,R409,(R409-Q403+Q410)*(1+$C$7))</f>
        <v>64246.17811067187</v>
      </c>
      <c r="S410" s="18">
        <f t="shared" si="41"/>
        <v>737869.68458230281</v>
      </c>
    </row>
    <row r="411" spans="1:19">
      <c r="A411" s="10">
        <f>6</f>
        <v>6</v>
      </c>
      <c r="B411" s="18">
        <f>IF($A411&gt;20,0,(B403-MIN(MAX(C410,0),B403))+MIN(MAX(0,D410-(B403-MIN(MAX(C410,0),B403))),MAX(0,1*B403-(C410-MIN(MAX(C410,0),B403)))))</f>
        <v>29811</v>
      </c>
      <c r="C411" s="18">
        <f>IF($A411&gt;20,C410,(C410-B403+B411)*(1+$C$7))</f>
        <v>30189</v>
      </c>
      <c r="D411" s="18">
        <f t="shared" si="36"/>
        <v>959390.39167639287</v>
      </c>
      <c r="E411" s="18">
        <f>IF($A411&gt;20,0,(E403-MIN(MAX(F410,0),E403))+MIN(MAX(0,G410-(E403-MIN(MAX(F410,0),E403))),MAX(0,1*E403-(F410-MIN(MAX(F410,0),E403)))))</f>
        <v>74527.5</v>
      </c>
      <c r="F411" s="18">
        <f>IF($A411&gt;20,F410,(F410-E403+E411)*(1+$C$7))</f>
        <v>75472.5</v>
      </c>
      <c r="G411" s="18">
        <f t="shared" si="37"/>
        <v>607397.53439748182</v>
      </c>
      <c r="H411" s="18">
        <f>IF($A411&gt;20,0,(H403-MIN(MAX(I410,0),H403))+MIN(MAX(0,J410-(H403-MIN(MAX(I410,0),H403))),MAX(0,1*H403-(I410-MIN(MAX(I410,0),H403)))))</f>
        <v>63629.478895411514</v>
      </c>
      <c r="I411" s="18">
        <f>IF($A411&gt;20,I410,(I410-H403+H411)*(1+$C$7))</f>
        <v>64436.29325999054</v>
      </c>
      <c r="J411" s="18">
        <f t="shared" si="38"/>
        <v>693182.99585555634</v>
      </c>
      <c r="K411" s="18">
        <f>IF($A411&gt;20,0,(K403-MIN(MAX(L410,0),K403))+MIN(MAX(0,M410-(K403-MIN(MAX(L410,0),K403))),MAX(0,1*K403-(L410-MIN(MAX(L410,0),K403)))))</f>
        <v>63441.722116980818</v>
      </c>
      <c r="L411" s="18">
        <f>IF($A411&gt;20,L410,(L410-K403+K411)*(1+$C$7))</f>
        <v>64246.155747527213</v>
      </c>
      <c r="M411" s="18">
        <f t="shared" si="39"/>
        <v>694660.95242445811</v>
      </c>
      <c r="N411" s="18">
        <f>IF($A411&gt;20,0,(N403-MIN(MAX(O410,0),N403))+MIN(MAX(0,P410-(N403-MIN(MAX(O410,0),N403))),MAX(0,1*N403-(O410-MIN(MAX(O410,0),N403)))))</f>
        <v>63441.743692045871</v>
      </c>
      <c r="O411" s="18">
        <f>IF($A411&gt;20,O410,(O410-N403+N411)*(1+$C$7))</f>
        <v>64246.177596161579</v>
      </c>
      <c r="P411" s="18">
        <f t="shared" si="40"/>
        <v>694660.78259299067</v>
      </c>
      <c r="Q411" s="18">
        <f>IF($A411&gt;20,0,(Q403-MIN(MAX(R410,0),Q403))+MIN(MAX(0,S410-(Q403-MIN(MAX(R410,0),Q403))),MAX(0,1*Q403-(R410-MIN(MAX(R410,0),Q403)))))</f>
        <v>63441.744200113928</v>
      </c>
      <c r="R411" s="18">
        <f>IF($A411&gt;20,R410,(R410-Q403+Q411)*(1+$C$7))</f>
        <v>64246.17811067187</v>
      </c>
      <c r="S411" s="18">
        <f t="shared" si="41"/>
        <v>694660.77859365451</v>
      </c>
    </row>
    <row r="412" spans="1:19">
      <c r="A412" s="10">
        <f>7</f>
        <v>7</v>
      </c>
      <c r="B412" s="18">
        <f>IF($A412&gt;20,0,(B403-MIN(MAX(C411,0),B403))+MIN(MAX(0,D411-(B403-MIN(MAX(C411,0),B403))),MAX(0,1*B403-(C411-MIN(MAX(C411,0),B403)))))</f>
        <v>29811</v>
      </c>
      <c r="C412" s="18">
        <f>IF($A412&gt;20,C411,(C411-B403+B412)*(1+$C$7))</f>
        <v>30189</v>
      </c>
      <c r="D412" s="18">
        <f t="shared" si="36"/>
        <v>957466.77342668467</v>
      </c>
      <c r="E412" s="18">
        <f>IF($A412&gt;20,0,(E403-MIN(MAX(F411,0),E403))+MIN(MAX(0,G411-(E403-MIN(MAX(F411,0),E403))),MAX(0,1*E403-(F411-MIN(MAX(F411,0),E403)))))</f>
        <v>74527.5</v>
      </c>
      <c r="F412" s="18">
        <f>IF($A412&gt;20,F411,(F411-E403+E412)*(1+$C$7))</f>
        <v>75472.5</v>
      </c>
      <c r="G412" s="18">
        <f t="shared" si="37"/>
        <v>548856.13542940631</v>
      </c>
      <c r="H412" s="18">
        <f>IF($A412&gt;20,0,(H403-MIN(MAX(I411,0),H403))+MIN(MAX(0,J411-(H403-MIN(MAX(I411,0),H403))),MAX(0,1*H403-(I411-MIN(MAX(I411,0),H403)))))</f>
        <v>63629.478895411514</v>
      </c>
      <c r="I412" s="18">
        <f>IF($A412&gt;20,I411,(I411-H403+H412)*(1+$C$7))</f>
        <v>64436.29325999054</v>
      </c>
      <c r="J412" s="18">
        <f t="shared" si="38"/>
        <v>648440.12246894918</v>
      </c>
      <c r="K412" s="18">
        <f>IF($A412&gt;20,0,(K403-MIN(MAX(L411,0),K403))+MIN(MAX(0,M411-(K403-MIN(MAX(L411,0),K403))),MAX(0,1*K403-(L411-MIN(MAX(L411,0),K403)))))</f>
        <v>63441.722116980818</v>
      </c>
      <c r="L412" s="18">
        <f>IF($A412&gt;20,L411,(L411-K403+K412)*(1+$C$7))</f>
        <v>64246.155747527213</v>
      </c>
      <c r="M412" s="18">
        <f t="shared" si="39"/>
        <v>650155.80721670168</v>
      </c>
      <c r="N412" s="18">
        <f>IF($A412&gt;20,0,(N403-MIN(MAX(O411,0),N403))+MIN(MAX(0,P411-(N403-MIN(MAX(O411,0),N403))),MAX(0,1*N403-(O411-MIN(MAX(O411,0),N403)))))</f>
        <v>63441.743692045871</v>
      </c>
      <c r="O412" s="18">
        <f>IF($A412&gt;20,O411,(O411-N403+N412)*(1+$C$7))</f>
        <v>64246.177596161579</v>
      </c>
      <c r="P412" s="18">
        <f t="shared" si="40"/>
        <v>650155.61006797315</v>
      </c>
      <c r="Q412" s="18">
        <f>IF($A412&gt;20,0,(Q403-MIN(MAX(R411,0),Q403))+MIN(MAX(0,S411-(Q403-MIN(MAX(R411,0),Q403))),MAX(0,1*Q403-(R411-MIN(MAX(R411,0),Q403)))))</f>
        <v>63441.744200113928</v>
      </c>
      <c r="R412" s="18">
        <f>IF($A412&gt;20,R411,(R411-Q403+Q412)*(1+$C$7))</f>
        <v>64246.17811067187</v>
      </c>
      <c r="S412" s="18">
        <f t="shared" si="41"/>
        <v>650155.60542534688</v>
      </c>
    </row>
    <row r="413" spans="1:19">
      <c r="A413" s="10">
        <f>8</f>
        <v>8</v>
      </c>
      <c r="B413" s="18">
        <f>IF($A413&gt;20,0,(B403-MIN(MAX(C412,0),B403))+MIN(MAX(0,D412-(B403-MIN(MAX(C412,0),B403))),MAX(0,1*B403-(C412-MIN(MAX(C412,0),B403)))))</f>
        <v>29811</v>
      </c>
      <c r="C413" s="18">
        <f>IF($A413&gt;20,C412,(C412-B403+B413)*(1+$C$7))</f>
        <v>30189</v>
      </c>
      <c r="D413" s="18">
        <f t="shared" si="36"/>
        <v>955485.44662948523</v>
      </c>
      <c r="E413" s="18">
        <f>IF($A413&gt;20,0,(E403-MIN(MAX(F412,0),E403))+MIN(MAX(0,G412-(E403-MIN(MAX(F412,0),E403))),MAX(0,1*E403-(F412-MIN(MAX(F412,0),E403)))))</f>
        <v>74527.5</v>
      </c>
      <c r="F413" s="18">
        <f>IF($A413&gt;20,F412,(F412-E403+E413)*(1+$C$7))</f>
        <v>75472.5</v>
      </c>
      <c r="G413" s="18">
        <f t="shared" si="37"/>
        <v>488558.4944922885</v>
      </c>
      <c r="H413" s="18">
        <f>IF($A413&gt;20,0,(H403-MIN(MAX(I412,0),H403))+MIN(MAX(0,J412-(H403-MIN(MAX(I412,0),H403))),MAX(0,1*H403-(I412-MIN(MAX(I412,0),H403)))))</f>
        <v>63629.478895411514</v>
      </c>
      <c r="I413" s="18">
        <f>IF($A413&gt;20,I412,(I412-H403+H413)*(1+$C$7))</f>
        <v>64436.29325999054</v>
      </c>
      <c r="J413" s="18">
        <f t="shared" si="38"/>
        <v>602354.9628807439</v>
      </c>
      <c r="K413" s="18">
        <f>IF($A413&gt;20,0,(K403-MIN(MAX(L412,0),K403))+MIN(MAX(0,M412-(K403-MIN(MAX(L412,0),K403))),MAX(0,1*K403-(L412-MIN(MAX(L412,0),K403)))))</f>
        <v>63441.722116980818</v>
      </c>
      <c r="L413" s="18">
        <f>IF($A413&gt;20,L412,(L412-K403+K413)*(1+$C$7))</f>
        <v>64246.155747527213</v>
      </c>
      <c r="M413" s="18">
        <f t="shared" si="39"/>
        <v>604315.50765271252</v>
      </c>
      <c r="N413" s="18">
        <f>IF($A413&gt;20,0,(N403-MIN(MAX(O412,0),N403))+MIN(MAX(0,P412-(N403-MIN(MAX(O412,0),N403))),MAX(0,1*N403-(O412-MIN(MAX(O412,0),N403)))))</f>
        <v>63441.743692045871</v>
      </c>
      <c r="O413" s="18">
        <f>IF($A413&gt;20,O412,(O412-N403+N413)*(1+$C$7))</f>
        <v>64246.177596161579</v>
      </c>
      <c r="P413" s="18">
        <f t="shared" si="40"/>
        <v>604315.28236720501</v>
      </c>
      <c r="Q413" s="18">
        <f>IF($A413&gt;20,0,(Q403-MIN(MAX(R412,0),Q403))+MIN(MAX(0,S412-(Q403-MIN(MAX(R412,0),Q403))),MAX(0,1*Q403-(R412-MIN(MAX(R412,0),Q403)))))</f>
        <v>63441.744200113928</v>
      </c>
      <c r="R413" s="18">
        <f>IF($A413&gt;20,R412,(R412-Q403+Q413)*(1+$C$7))</f>
        <v>64246.17811067187</v>
      </c>
      <c r="S413" s="18">
        <f t="shared" si="41"/>
        <v>604315.27706199</v>
      </c>
    </row>
    <row r="414" spans="1:19">
      <c r="A414" s="10">
        <f>9</f>
        <v>9</v>
      </c>
      <c r="B414" s="18">
        <f>IF($A414&gt;20,0,(B403-MIN(MAX(C413,0),B403))+MIN(MAX(0,D413-(B403-MIN(MAX(C413,0),B403))),MAX(0,1*B403-(C413-MIN(MAX(C413,0),B403)))))</f>
        <v>29811</v>
      </c>
      <c r="C414" s="18">
        <f>IF($A414&gt;20,C413,(C413-B403+B414)*(1+$C$7))</f>
        <v>30189</v>
      </c>
      <c r="D414" s="18">
        <f t="shared" si="36"/>
        <v>953444.68002836977</v>
      </c>
      <c r="E414" s="18">
        <f>IF($A414&gt;20,0,(E403-MIN(MAX(F413,0),E403))+MIN(MAX(0,G413-(E403-MIN(MAX(F413,0),E403))),MAX(0,1*E403-(F413-MIN(MAX(F413,0),E403)))))</f>
        <v>74527.5</v>
      </c>
      <c r="F414" s="18">
        <f>IF($A414&gt;20,F413,(F413-E403+E414)*(1+$C$7))</f>
        <v>75472.5</v>
      </c>
      <c r="G414" s="18">
        <f t="shared" si="37"/>
        <v>426451.92432705715</v>
      </c>
      <c r="H414" s="18">
        <f>IF($A414&gt;20,0,(H403-MIN(MAX(I413,0),H403))+MIN(MAX(0,J413-(H403-MIN(MAX(I413,0),H403))),MAX(0,1*H403-(I413-MIN(MAX(I413,0),H403)))))</f>
        <v>63629.478895411514</v>
      </c>
      <c r="I414" s="18">
        <f>IF($A414&gt;20,I413,(I413-H403+H414)*(1+$C$7))</f>
        <v>64436.29325999054</v>
      </c>
      <c r="J414" s="18">
        <f t="shared" si="38"/>
        <v>554887.24850489246</v>
      </c>
      <c r="K414" s="18">
        <f>IF($A414&gt;20,0,(K403-MIN(MAX(L413,0),K403))+MIN(MAX(0,M413-(K403-MIN(MAX(L413,0),K403))),MAX(0,1*K403-(L413-MIN(MAX(L413,0),K403)))))</f>
        <v>63441.722116980818</v>
      </c>
      <c r="L414" s="18">
        <f>IF($A414&gt;20,L413,(L413-K403+K414)*(1+$C$7))</f>
        <v>64246.155747527213</v>
      </c>
      <c r="M414" s="18">
        <f t="shared" si="39"/>
        <v>557099.99910180364</v>
      </c>
      <c r="N414" s="18">
        <f>IF($A414&gt;20,0,(N403-MIN(MAX(O413,0),N403))+MIN(MAX(0,P413-(N403-MIN(MAX(O413,0),N403))),MAX(0,1*N403-(O413-MIN(MAX(O413,0),N403)))))</f>
        <v>63441.743692045871</v>
      </c>
      <c r="O414" s="18">
        <f>IF($A414&gt;20,O413,(O413-N403+N414)*(1+$C$7))</f>
        <v>64246.177596161579</v>
      </c>
      <c r="P414" s="18">
        <f t="shared" si="40"/>
        <v>557099.74483541388</v>
      </c>
      <c r="Q414" s="18">
        <f>IF($A414&gt;20,0,(Q403-MIN(MAX(R413,0),Q403))+MIN(MAX(0,S413-(Q403-MIN(MAX(R413,0),Q403))),MAX(0,1*Q403-(R413-MIN(MAX(R413,0),Q403)))))</f>
        <v>63441.744200113928</v>
      </c>
      <c r="R414" s="18">
        <f>IF($A414&gt;20,R413,(R413-Q403+Q414)*(1+$C$7))</f>
        <v>64246.17811067187</v>
      </c>
      <c r="S414" s="18">
        <f t="shared" si="41"/>
        <v>557099.73884773231</v>
      </c>
    </row>
    <row r="415" spans="1:19">
      <c r="A415" s="10">
        <f>10</f>
        <v>10</v>
      </c>
      <c r="B415" s="18">
        <f>IF($A415&gt;20,0,(B403-MIN(MAX(C414,0),B403))+MIN(MAX(0,D414-(B403-MIN(MAX(C414,0),B403))),MAX(0,1*B403-(C414-MIN(MAX(C414,0),B403)))))</f>
        <v>29811</v>
      </c>
      <c r="C415" s="18">
        <f>IF($A415&gt;20,C414,(C414-B403+B415)*(1+$C$7))</f>
        <v>30189</v>
      </c>
      <c r="D415" s="18">
        <f t="shared" si="36"/>
        <v>951342.69042922091</v>
      </c>
      <c r="E415" s="18">
        <f>IF($A415&gt;20,0,(E403-MIN(MAX(F414,0),E403))+MIN(MAX(0,G414-(E403-MIN(MAX(F414,0),E403))),MAX(0,1*E403-(F414-MIN(MAX(F414,0),E403)))))</f>
        <v>74527.5</v>
      </c>
      <c r="F415" s="18">
        <f>IF($A415&gt;20,F414,(F414-E403+E415)*(1+$C$7))</f>
        <v>75472.5</v>
      </c>
      <c r="G415" s="18">
        <f t="shared" si="37"/>
        <v>362482.15705686889</v>
      </c>
      <c r="H415" s="18">
        <f>IF($A415&gt;20,0,(H403-MIN(MAX(I414,0),H403))+MIN(MAX(0,J414-(H403-MIN(MAX(I414,0),H403))),MAX(0,1*H403-(I414-MIN(MAX(I414,0),H403)))))</f>
        <v>63629.478895411514</v>
      </c>
      <c r="I415" s="18">
        <f>IF($A415&gt;20,I414,(I414-H403+H415)*(1+$C$7))</f>
        <v>64436.29325999054</v>
      </c>
      <c r="J415" s="18">
        <f t="shared" si="38"/>
        <v>505995.50269776536</v>
      </c>
      <c r="K415" s="18">
        <f>IF($A415&gt;20,0,(K403-MIN(MAX(L414,0),K403))+MIN(MAX(0,M414-(K403-MIN(MAX(L414,0),K403))),MAX(0,1*K403-(L414-MIN(MAX(L414,0),K403)))))</f>
        <v>63441.722116980818</v>
      </c>
      <c r="L415" s="18">
        <f>IF($A415&gt;20,L414,(L414-K403+K415)*(1+$C$7))</f>
        <v>64246.155747527213</v>
      </c>
      <c r="M415" s="18">
        <f t="shared" si="39"/>
        <v>508468.02529436752</v>
      </c>
      <c r="N415" s="18">
        <f>IF($A415&gt;20,0,(N403-MIN(MAX(O414,0),N403))+MIN(MAX(0,P414-(N403-MIN(MAX(O414,0),N403))),MAX(0,1*N403-(O414-MIN(MAX(O414,0),N403)))))</f>
        <v>63441.743692045871</v>
      </c>
      <c r="O415" s="18">
        <f>IF($A415&gt;20,O414,(O414-N403+N415)*(1+$C$7))</f>
        <v>64246.177596161579</v>
      </c>
      <c r="P415" s="18">
        <f t="shared" si="40"/>
        <v>508467.74117766909</v>
      </c>
      <c r="Q415" s="18">
        <f>IF($A415&gt;20,0,(Q403-MIN(MAX(R414,0),Q403))+MIN(MAX(0,S414-(Q403-MIN(MAX(R414,0),Q403))),MAX(0,1*Q403-(R414-MIN(MAX(R414,0),Q403)))))</f>
        <v>63441.744200113928</v>
      </c>
      <c r="R415" s="18">
        <f>IF($A415&gt;20,R414,(R414-Q403+Q415)*(1+$C$7))</f>
        <v>64246.17811067187</v>
      </c>
      <c r="S415" s="18">
        <f t="shared" si="41"/>
        <v>508467.73448704695</v>
      </c>
    </row>
    <row r="416" spans="1:19">
      <c r="A416" s="10">
        <f>11</f>
        <v>11</v>
      </c>
      <c r="B416" s="18">
        <f>IF($A416&gt;20,0,(B403-MIN(MAX(C415,0),B403))+MIN(MAX(0,D415-(B403-MIN(MAX(C415,0),B403))),MAX(0,1*B403-(C415-MIN(MAX(C415,0),B403)))))</f>
        <v>29811</v>
      </c>
      <c r="C416" s="18">
        <f>IF($A416&gt;20,C415,(C415-B403+B416)*(1+$C$7))</f>
        <v>30189</v>
      </c>
      <c r="D416" s="18">
        <f t="shared" si="36"/>
        <v>949177.64114209753</v>
      </c>
      <c r="E416" s="18">
        <f>IF($A416&gt;20,0,(E403-MIN(MAX(F415,0),E403))+MIN(MAX(0,G415-(E403-MIN(MAX(F415,0),E403))),MAX(0,1*E403-(F415-MIN(MAX(F415,0),E403)))))</f>
        <v>74527.5</v>
      </c>
      <c r="F416" s="18">
        <f>IF($A416&gt;20,F415,(F415-E403+E416)*(1+$C$7))</f>
        <v>75472.5</v>
      </c>
      <c r="G416" s="18">
        <f t="shared" si="37"/>
        <v>296593.29676857498</v>
      </c>
      <c r="H416" s="18">
        <f>IF($A416&gt;20,0,(H403-MIN(MAX(I415,0),H403))+MIN(MAX(0,J415-(H403-MIN(MAX(I415,0),H403))),MAX(0,1*H403-(I415-MIN(MAX(I415,0),H403)))))</f>
        <v>63629.478895411514</v>
      </c>
      <c r="I416" s="18">
        <f>IF($A416&gt;20,I415,(I415-H403+H416)*(1+$C$7))</f>
        <v>64436.29325999054</v>
      </c>
      <c r="J416" s="18">
        <f t="shared" si="38"/>
        <v>455637.00451642444</v>
      </c>
      <c r="K416" s="18">
        <f>IF($A416&gt;20,0,(K403-MIN(MAX(L415,0),K403))+MIN(MAX(0,M415-(K403-MIN(MAX(L415,0),K403))),MAX(0,1*K403-(L415-MIN(MAX(L415,0),K403)))))</f>
        <v>63441.722116980818</v>
      </c>
      <c r="L416" s="18">
        <f>IF($A416&gt;20,L415,(L415-K403+K416)*(1+$C$7))</f>
        <v>64246.155747527213</v>
      </c>
      <c r="M416" s="18">
        <f t="shared" si="39"/>
        <v>458377.09227270831</v>
      </c>
      <c r="N416" s="18">
        <f>IF($A416&gt;20,0,(N403-MIN(MAX(O415,0),N403))+MIN(MAX(0,P415-(N403-MIN(MAX(O415,0),N403))),MAX(0,1*N403-(O415-MIN(MAX(O415,0),N403)))))</f>
        <v>63441.743692045871</v>
      </c>
      <c r="O416" s="18">
        <f>IF($A416&gt;20,O415,(O415-N403+N416)*(1+$C$7))</f>
        <v>64246.177596161579</v>
      </c>
      <c r="P416" s="18">
        <f t="shared" si="40"/>
        <v>458376.77741019195</v>
      </c>
      <c r="Q416" s="18">
        <f>IF($A416&gt;20,0,(Q403-MIN(MAX(R415,0),Q403))+MIN(MAX(0,S415-(Q403-MIN(MAX(R415,0),Q403))),MAX(0,1*Q403-(R415-MIN(MAX(R415,0),Q403)))))</f>
        <v>63441.744200113928</v>
      </c>
      <c r="R416" s="18">
        <f>IF($A416&gt;20,R415,(R415-Q403+Q416)*(1+$C$7))</f>
        <v>64246.17811067187</v>
      </c>
      <c r="S416" s="18">
        <f t="shared" si="41"/>
        <v>458376.76999554102</v>
      </c>
    </row>
    <row r="417" spans="1:19">
      <c r="A417" s="10">
        <f>12</f>
        <v>12</v>
      </c>
      <c r="B417" s="18">
        <f>IF($A417&gt;20,0,(B403-MIN(MAX(C416,0),B403))+MIN(MAX(0,D416-(B403-MIN(MAX(C416,0),B403))),MAX(0,1*B403-(C416-MIN(MAX(C416,0),B403)))))</f>
        <v>29811</v>
      </c>
      <c r="C417" s="18">
        <f>IF($A417&gt;20,C416,(C416-B403+B417)*(1+$C$7))</f>
        <v>30189</v>
      </c>
      <c r="D417" s="18">
        <f t="shared" si="36"/>
        <v>946947.6403763605</v>
      </c>
      <c r="E417" s="18">
        <f>IF($A417&gt;20,0,(E403-MIN(MAX(F416,0),E403))+MIN(MAX(0,G416-(E403-MIN(MAX(F416,0),E403))),MAX(0,1*E403-(F416-MIN(MAX(F416,0),E403)))))</f>
        <v>74527.5</v>
      </c>
      <c r="F417" s="18">
        <f>IF($A417&gt;20,F416,(F416-E403+E417)*(1+$C$7))</f>
        <v>75472.5</v>
      </c>
      <c r="G417" s="18">
        <f t="shared" si="37"/>
        <v>228727.77067163223</v>
      </c>
      <c r="H417" s="18">
        <f>IF($A417&gt;20,0,(H403-MIN(MAX(I416,0),H403))+MIN(MAX(0,J416-(H403-MIN(MAX(I416,0),H403))),MAX(0,1*H403-(I416-MIN(MAX(I416,0),H403)))))</f>
        <v>63629.478895411514</v>
      </c>
      <c r="I417" s="18">
        <f>IF($A417&gt;20,I416,(I416-H403+H417)*(1+$C$7))</f>
        <v>64436.29325999054</v>
      </c>
      <c r="J417" s="18">
        <f t="shared" si="38"/>
        <v>403767.75138964329</v>
      </c>
      <c r="K417" s="18">
        <f>IF($A417&gt;20,0,(K403-MIN(MAX(L416,0),K403))+MIN(MAX(0,M416-(K403-MIN(MAX(L416,0),K403))),MAX(0,1*K403-(L416-MIN(MAX(L416,0),K403)))))</f>
        <v>63441.722116980818</v>
      </c>
      <c r="L417" s="18">
        <f>IF($A417&gt;20,L416,(L416-K403+K417)*(1+$C$7))</f>
        <v>64246.155747527213</v>
      </c>
      <c r="M417" s="18">
        <f t="shared" si="39"/>
        <v>406783.43126039935</v>
      </c>
      <c r="N417" s="18">
        <f>IF($A417&gt;20,0,(N403-MIN(MAX(O416,0),N403))+MIN(MAX(0,P416-(N403-MIN(MAX(O416,0),N403))),MAX(0,1*N403-(O416-MIN(MAX(O416,0),N403)))))</f>
        <v>63441.743692045871</v>
      </c>
      <c r="O417" s="18">
        <f>IF($A417&gt;20,O416,(O416-N403+N417)*(1+$C$7))</f>
        <v>64246.177596161579</v>
      </c>
      <c r="P417" s="18">
        <f t="shared" si="40"/>
        <v>406783.08472969051</v>
      </c>
      <c r="Q417" s="18">
        <f>IF($A417&gt;20,0,(Q403-MIN(MAX(R416,0),Q403))+MIN(MAX(0,S416-(Q403-MIN(MAX(R416,0),Q403))),MAX(0,1*Q403-(R416-MIN(MAX(R416,0),Q403)))))</f>
        <v>63441.744200113928</v>
      </c>
      <c r="R417" s="18">
        <f>IF($A417&gt;20,R416,(R416-Q403+Q417)*(1+$C$7))</f>
        <v>64246.17811067187</v>
      </c>
      <c r="S417" s="18">
        <f t="shared" si="41"/>
        <v>406783.0765692899</v>
      </c>
    </row>
    <row r="418" spans="1:19">
      <c r="A418" s="10">
        <f>13</f>
        <v>13</v>
      </c>
      <c r="B418" s="18">
        <f>IF($A418&gt;20,0,(B403-MIN(MAX(C417,0),B403))+MIN(MAX(0,D417-(B403-MIN(MAX(C417,0),B403))),MAX(0,1*B403-(C417-MIN(MAX(C417,0),B403)))))</f>
        <v>29811</v>
      </c>
      <c r="C418" s="18">
        <f>IF($A418&gt;20,C417,(C417-B403+B418)*(1+$C$7))</f>
        <v>30189</v>
      </c>
      <c r="D418" s="18">
        <f t="shared" si="36"/>
        <v>944650.73958765133</v>
      </c>
      <c r="E418" s="18">
        <f>IF($A418&gt;20,0,(E403-MIN(MAX(F417,0),E403))+MIN(MAX(0,G417-(E403-MIN(MAX(F417,0),E403))),MAX(0,1*E403-(F417-MIN(MAX(F417,0),E403)))))</f>
        <v>74527.5</v>
      </c>
      <c r="F418" s="18">
        <f>IF($A418&gt;20,F417,(F417-E403+E418)*(1+$C$7))</f>
        <v>75472.5</v>
      </c>
      <c r="G418" s="18">
        <f t="shared" si="37"/>
        <v>158826.27879178119</v>
      </c>
      <c r="H418" s="18">
        <f>IF($A418&gt;20,0,(H403-MIN(MAX(I417,0),H403))+MIN(MAX(0,J417-(H403-MIN(MAX(I417,0),H403))),MAX(0,1*H403-(I417-MIN(MAX(I417,0),H403)))))</f>
        <v>63629.478895411514</v>
      </c>
      <c r="I418" s="18">
        <f>IF($A418&gt;20,I417,(I417-H403+H418)*(1+$C$7))</f>
        <v>64436.29325999054</v>
      </c>
      <c r="J418" s="18">
        <f t="shared" si="38"/>
        <v>350342.42066905875</v>
      </c>
      <c r="K418" s="18">
        <f>IF($A418&gt;20,0,(K403-MIN(MAX(L417,0),K403))+MIN(MAX(0,M417-(K403-MIN(MAX(L417,0),K403))),MAX(0,1*K403-(L417-MIN(MAX(L417,0),K403)))))</f>
        <v>63441.722116980818</v>
      </c>
      <c r="L418" s="18">
        <f>IF($A418&gt;20,L417,(L417-K403+K418)*(1+$C$7))</f>
        <v>64246.155747527213</v>
      </c>
      <c r="M418" s="18">
        <f t="shared" si="39"/>
        <v>353641.96041772107</v>
      </c>
      <c r="N418" s="18">
        <f>IF($A418&gt;20,0,(N403-MIN(MAX(O417,0),N403))+MIN(MAX(0,P417-(N403-MIN(MAX(O417,0),N403))),MAX(0,1*N403-(O417-MIN(MAX(O417,0),N403)))))</f>
        <v>63441.743692045871</v>
      </c>
      <c r="O418" s="18">
        <f>IF($A418&gt;20,O417,(O417-N403+N418)*(1+$C$7))</f>
        <v>64246.177596161579</v>
      </c>
      <c r="P418" s="18">
        <f t="shared" si="40"/>
        <v>353641.581268774</v>
      </c>
      <c r="Q418" s="18">
        <f>IF($A418&gt;20,0,(Q403-MIN(MAX(R417,0),Q403))+MIN(MAX(0,S417-(Q403-MIN(MAX(R417,0),Q403))),MAX(0,1*Q403-(R417-MIN(MAX(R417,0),Q403)))))</f>
        <v>63441.744200113928</v>
      </c>
      <c r="R418" s="18">
        <f>IF($A418&gt;20,R417,(R417-Q403+Q418)*(1+$C$7))</f>
        <v>64246.17811067187</v>
      </c>
      <c r="S418" s="18">
        <f t="shared" si="41"/>
        <v>353641.57234025124</v>
      </c>
    </row>
    <row r="419" spans="1:19">
      <c r="A419" s="10">
        <f>14</f>
        <v>14</v>
      </c>
      <c r="B419" s="18">
        <f>IF($A419&gt;20,0,(B403-MIN(MAX(C418,0),B403))+MIN(MAX(0,D418-(B403-MIN(MAX(C418,0),B403))),MAX(0,1*B403-(C418-MIN(MAX(C418,0),B403)))))</f>
        <v>29811</v>
      </c>
      <c r="C419" s="18">
        <f>IF($A419&gt;20,C418,(C418-B403+B419)*(1+$C$7))</f>
        <v>30189</v>
      </c>
      <c r="D419" s="18">
        <f t="shared" si="36"/>
        <v>942284.93177528086</v>
      </c>
      <c r="E419" s="18">
        <f>IF($A419&gt;20,0,(E403-MIN(MAX(F418,0),E403))+MIN(MAX(0,G418-(E403-MIN(MAX(F418,0),E403))),MAX(0,1*E403-(F418-MIN(MAX(F418,0),E403)))))</f>
        <v>74527.5</v>
      </c>
      <c r="F419" s="18">
        <f>IF($A419&gt;20,F418,(F418-E403+E419)*(1+$C$7))</f>
        <v>75472.5</v>
      </c>
      <c r="G419" s="18">
        <f t="shared" si="37"/>
        <v>86827.742155534637</v>
      </c>
      <c r="H419" s="18">
        <f>IF($A419&gt;20,0,(H403-MIN(MAX(I418,0),H403))+MIN(MAX(0,J418-(H403-MIN(MAX(I418,0),H403))),MAX(0,1*H403-(I418-MIN(MAX(I418,0),H403)))))</f>
        <v>63629.478895411514</v>
      </c>
      <c r="I419" s="18">
        <f>IF($A419&gt;20,I418,(I418-H403+H419)*(1+$C$7))</f>
        <v>64436.29325999054</v>
      </c>
      <c r="J419" s="18">
        <f t="shared" si="38"/>
        <v>295314.33002685662</v>
      </c>
      <c r="K419" s="18">
        <f>IF($A419&gt;20,0,(K403-MIN(MAX(L418,0),K403))+MIN(MAX(0,M418-(K403-MIN(MAX(L418,0),K403))),MAX(0,1*K403-(L418-MIN(MAX(L418,0),K403)))))</f>
        <v>63441.722116980818</v>
      </c>
      <c r="L419" s="18">
        <f>IF($A419&gt;20,L418,(L418-K403+K419)*(1+$C$7))</f>
        <v>64246.155747527213</v>
      </c>
      <c r="M419" s="18">
        <f t="shared" si="39"/>
        <v>298906.24544976244</v>
      </c>
      <c r="N419" s="18">
        <f>IF($A419&gt;20,0,(N403-MIN(MAX(O418,0),N403))+MIN(MAX(0,P418-(N403-MIN(MAX(O418,0),N403))),MAX(0,1*N403-(O418-MIN(MAX(O418,0),N403)))))</f>
        <v>63441.743692045871</v>
      </c>
      <c r="O419" s="18">
        <f>IF($A419&gt;20,O418,(O418-N403+N419)*(1+$C$7))</f>
        <v>64246.177596161579</v>
      </c>
      <c r="P419" s="18">
        <f t="shared" si="40"/>
        <v>298905.83270402998</v>
      </c>
      <c r="Q419" s="18">
        <f>IF($A419&gt;20,0,(Q403-MIN(MAX(R418,0),Q403))+MIN(MAX(0,S418-(Q403-MIN(MAX(R418,0),Q403))),MAX(0,1*Q403-(R418-MIN(MAX(R418,0),Q403)))))</f>
        <v>63441.744200113928</v>
      </c>
      <c r="R419" s="18">
        <f>IF($A419&gt;20,R418,(R418-Q403+Q419)*(1+$C$7))</f>
        <v>64246.17811067187</v>
      </c>
      <c r="S419" s="18">
        <f t="shared" si="41"/>
        <v>298905.82298434142</v>
      </c>
    </row>
    <row r="420" spans="1:19">
      <c r="A420" s="10">
        <f>15</f>
        <v>15</v>
      </c>
      <c r="B420" s="18">
        <f>IF($A420&gt;20,0,(B403-MIN(MAX(C419,0),B403))+MIN(MAX(0,D419-(B403-MIN(MAX(C419,0),B403))),MAX(0,1*B403-(C419-MIN(MAX(C419,0),B403)))))</f>
        <v>29811</v>
      </c>
      <c r="C420" s="18">
        <f>IF($A420&gt;20,C419,(C419-B403+B420)*(1+$C$7))</f>
        <v>30189</v>
      </c>
      <c r="D420" s="18">
        <f t="shared" si="36"/>
        <v>939848.14972853928</v>
      </c>
      <c r="E420" s="18">
        <f>IF($A420&gt;20,0,(E403-MIN(MAX(F419,0),E403))+MIN(MAX(0,G419-(E403-MIN(MAX(F419,0),E403))),MAX(0,1*E403-(F419-MIN(MAX(F419,0),E403)))))</f>
        <v>74527.5</v>
      </c>
      <c r="F420" s="18">
        <f>IF($A420&gt;20,F419,(F419-E403+E420)*(1+$C$7))</f>
        <v>75472.5</v>
      </c>
      <c r="G420" s="18">
        <f t="shared" si="37"/>
        <v>12669.249420200676</v>
      </c>
      <c r="H420" s="18">
        <f>IF($A420&gt;20,0,(H403-MIN(MAX(I419,0),H403))+MIN(MAX(0,J419-(H403-MIN(MAX(I419,0),H403))),MAX(0,1*H403-(I419-MIN(MAX(I419,0),H403)))))</f>
        <v>63629.478895411514</v>
      </c>
      <c r="I420" s="18">
        <f>IF($A420&gt;20,I419,(I419-H403+H420)*(1+$C$7))</f>
        <v>64436.29325999054</v>
      </c>
      <c r="J420" s="18">
        <f t="shared" si="38"/>
        <v>238635.39666538849</v>
      </c>
      <c r="K420" s="18">
        <f>IF($A420&gt;20,0,(K403-MIN(MAX(L419,0),K403))+MIN(MAX(0,M419-(K403-MIN(MAX(L419,0),K403))),MAX(0,1*K403-(L419-MIN(MAX(L419,0),K403)))))</f>
        <v>63441.722116980818</v>
      </c>
      <c r="L420" s="18">
        <f>IF($A420&gt;20,L419,(L419-K403+K420)*(1+$C$7))</f>
        <v>64246.155747527213</v>
      </c>
      <c r="M420" s="18">
        <f t="shared" si="39"/>
        <v>242528.45903276507</v>
      </c>
      <c r="N420" s="18">
        <f>IF($A420&gt;20,0,(N403-MIN(MAX(O419,0),N403))+MIN(MAX(0,P419-(N403-MIN(MAX(O419,0),N403))),MAX(0,1*N403-(O419-MIN(MAX(O419,0),N403)))))</f>
        <v>63441.743692045871</v>
      </c>
      <c r="O420" s="18">
        <f>IF($A420&gt;20,O419,(O419-N403+N420)*(1+$C$7))</f>
        <v>64246.177596161579</v>
      </c>
      <c r="P420" s="18">
        <f t="shared" si="40"/>
        <v>242528.01168234364</v>
      </c>
      <c r="Q420" s="18">
        <f>IF($A420&gt;20,0,(Q403-MIN(MAX(R419,0),Q403))+MIN(MAX(0,S419-(Q403-MIN(MAX(R419,0),Q403))),MAX(0,1*Q403-(R419-MIN(MAX(R419,0),Q403)))))</f>
        <v>63441.744200113928</v>
      </c>
      <c r="R420" s="18">
        <f>IF($A420&gt;20,R419,(R419-Q403+Q420)*(1+$C$7))</f>
        <v>64246.17811067187</v>
      </c>
      <c r="S420" s="18">
        <f t="shared" si="41"/>
        <v>242528.00114775432</v>
      </c>
    </row>
    <row r="421" spans="1:19">
      <c r="A421" s="10">
        <f>16</f>
        <v>16</v>
      </c>
      <c r="B421" s="18">
        <f>IF($A421&gt;20,0,(B403-MIN(MAX(C420,0),B403))+MIN(MAX(0,D420-(B403-MIN(MAX(C420,0),B403))),MAX(0,1*B403-(C420-MIN(MAX(C420,0),B403)))))</f>
        <v>29811</v>
      </c>
      <c r="C421" s="18">
        <f>IF($A421&gt;20,C420,(C420-B403+B421)*(1+$C$7))</f>
        <v>30189</v>
      </c>
      <c r="D421" s="18">
        <f t="shared" si="36"/>
        <v>937338.26422039547</v>
      </c>
      <c r="E421" s="18">
        <f>IF($A421&gt;20,0,(E403-MIN(MAX(F420,0),E403))+MIN(MAX(0,G420-(E403-MIN(MAX(F420,0),E403))),MAX(0,1*E403-(F420-MIN(MAX(F420,0),E403)))))</f>
        <v>12669.249420200676</v>
      </c>
      <c r="F421" s="18">
        <f>IF($A421&gt;20,F420,(F420-E403+E421)*(1+$C$7))</f>
        <v>13224.542441547941</v>
      </c>
      <c r="G421" s="18">
        <f t="shared" si="37"/>
        <v>0</v>
      </c>
      <c r="H421" s="18">
        <f>IF($A421&gt;20,0,(H403-MIN(MAX(I420,0),H403))+MIN(MAX(0,J420-(H403-MIN(MAX(I420,0),H403))),MAX(0,1*H403-(I420-MIN(MAX(I420,0),H403)))))</f>
        <v>63629.478895411514</v>
      </c>
      <c r="I421" s="18">
        <f>IF($A421&gt;20,I420,(I420-H403+H421)*(1+$C$7))</f>
        <v>64436.29325999054</v>
      </c>
      <c r="J421" s="18">
        <f t="shared" si="38"/>
        <v>180256.09530307629</v>
      </c>
      <c r="K421" s="18">
        <f>IF($A421&gt;20,0,(K403-MIN(MAX(L420,0),K403))+MIN(MAX(0,M420-(K403-MIN(MAX(L420,0),K403))),MAX(0,1*K403-(L420-MIN(MAX(L420,0),K403)))))</f>
        <v>63441.722116980818</v>
      </c>
      <c r="L421" s="18">
        <f>IF($A421&gt;20,L420,(L420-K403+K421)*(1+$C$7))</f>
        <v>64246.155747527213</v>
      </c>
      <c r="M421" s="18">
        <f t="shared" si="39"/>
        <v>184459.33902325778</v>
      </c>
      <c r="N421" s="18">
        <f>IF($A421&gt;20,0,(N403-MIN(MAX(O420,0),N403))+MIN(MAX(0,P420-(N403-MIN(MAX(O420,0),N403))),MAX(0,1*N403-(O420-MIN(MAX(O420,0),N403)))))</f>
        <v>63441.743692045871</v>
      </c>
      <c r="O421" s="18">
        <f>IF($A421&gt;20,O420,(O420-N403+N421)*(1+$C$7))</f>
        <v>64246.177596161579</v>
      </c>
      <c r="P421" s="18">
        <f t="shared" si="40"/>
        <v>184458.85603000669</v>
      </c>
      <c r="Q421" s="18">
        <f>IF($A421&gt;20,0,(Q403-MIN(MAX(R420,0),Q403))+MIN(MAX(0,S420-(Q403-MIN(MAX(R420,0),Q403))),MAX(0,1*Q403-(R420-MIN(MAX(R420,0),Q403)))))</f>
        <v>63441.744200113928</v>
      </c>
      <c r="R421" s="18">
        <f>IF($A421&gt;20,R420,(R420-Q403+Q421)*(1+$C$7))</f>
        <v>64246.17811067187</v>
      </c>
      <c r="S421" s="18">
        <f t="shared" si="41"/>
        <v>184458.84465606962</v>
      </c>
    </row>
    <row r="422" spans="1:19">
      <c r="A422" s="10">
        <f>17</f>
        <v>17</v>
      </c>
      <c r="B422" s="18">
        <f>IF($A422&gt;20,0,(B403-MIN(MAX(C421,0),B403))+MIN(MAX(0,D421-(B403-MIN(MAX(C421,0),B403))),MAX(0,1*B403-(C421-MIN(MAX(C421,0),B403)))))</f>
        <v>29811</v>
      </c>
      <c r="C422" s="18">
        <f>IF($A422&gt;20,C421,(C421-B403+B422)*(1+$C$7))</f>
        <v>30189</v>
      </c>
      <c r="D422" s="18">
        <f t="shared" si="36"/>
        <v>934753.08214700734</v>
      </c>
      <c r="E422" s="18">
        <f>IF($A422&gt;20,0,(E403-MIN(MAX(F421,0),E403))+MIN(MAX(0,G421-(E403-MIN(MAX(F421,0),E403))),MAX(0,1*E403-(F421-MIN(MAX(F421,0),E403)))))</f>
        <v>61775.457558452057</v>
      </c>
      <c r="F422" s="18">
        <f>IF($A422&gt;20,F421,(F421-E403+E422)*(1+$C$7))</f>
        <v>0</v>
      </c>
      <c r="G422" s="18">
        <f t="shared" si="37"/>
        <v>-63628.721285205618</v>
      </c>
      <c r="H422" s="18">
        <f>IF($A422&gt;20,0,(H403-MIN(MAX(I421,0),H403))+MIN(MAX(0,J421-(H403-MIN(MAX(I421,0),H403))),MAX(0,1*H403-(I421-MIN(MAX(I421,0),H403)))))</f>
        <v>63629.478895411514</v>
      </c>
      <c r="I422" s="18">
        <f>IF($A422&gt;20,I421,(I421-H403+H422)*(1+$C$7))</f>
        <v>64436.29325999054</v>
      </c>
      <c r="J422" s="18">
        <f t="shared" si="38"/>
        <v>120125.41489989473</v>
      </c>
      <c r="K422" s="18">
        <f>IF($A422&gt;20,0,(K403-MIN(MAX(L421,0),K403))+MIN(MAX(0,M421-(K403-MIN(MAX(L421,0),K403))),MAX(0,1*K403-(L421-MIN(MAX(L421,0),K403)))))</f>
        <v>63441.722116980818</v>
      </c>
      <c r="L422" s="18">
        <f>IF($A422&gt;20,L421,(L421-K403+K422)*(1+$C$7))</f>
        <v>64246.155747527213</v>
      </c>
      <c r="M422" s="18">
        <f t="shared" si="39"/>
        <v>124648.14541346527</v>
      </c>
      <c r="N422" s="18">
        <f>IF($A422&gt;20,0,(N403-MIN(MAX(O421,0),N403))+MIN(MAX(0,P421-(N403-MIN(MAX(O421,0),N403))),MAX(0,1*N403-(O421-MIN(MAX(O421,0),N403)))))</f>
        <v>63441.743692045871</v>
      </c>
      <c r="O422" s="18">
        <f>IF($A422&gt;20,O421,(O421-N403+N422)*(1+$C$7))</f>
        <v>64246.177596161579</v>
      </c>
      <c r="P422" s="18">
        <f t="shared" si="40"/>
        <v>124647.62570809964</v>
      </c>
      <c r="Q422" s="18">
        <f>IF($A422&gt;20,0,(Q403-MIN(MAX(R421,0),Q403))+MIN(MAX(0,S421-(Q403-MIN(MAX(R421,0),Q403))),MAX(0,1*Q403-(R421-MIN(MAX(R421,0),Q403)))))</f>
        <v>63441.744200113928</v>
      </c>
      <c r="R422" s="18">
        <f>IF($A422&gt;20,R421,(R421-Q403+Q422)*(1+$C$7))</f>
        <v>64246.17811067187</v>
      </c>
      <c r="S422" s="18">
        <f t="shared" si="41"/>
        <v>124647.61346963437</v>
      </c>
    </row>
    <row r="423" spans="1:19">
      <c r="A423" s="10">
        <f>18</f>
        <v>18</v>
      </c>
      <c r="B423" s="18">
        <f>IF($A423&gt;20,0,(B403-MIN(MAX(C422,0),B403))+MIN(MAX(0,D422-(B403-MIN(MAX(C422,0),B403))),MAX(0,1*B403-(C422-MIN(MAX(C422,0),B403)))))</f>
        <v>29811</v>
      </c>
      <c r="C423" s="18">
        <f>IF($A423&gt;20,C422,(C422-B403+B423)*(1+$C$7))</f>
        <v>30189</v>
      </c>
      <c r="D423" s="18">
        <f t="shared" si="36"/>
        <v>932090.34461141762</v>
      </c>
      <c r="E423" s="18">
        <f>IF($A423&gt;20,0,(E403-MIN(MAX(F422,0),E403))+MIN(MAX(0,G422-(E403-MIN(MAX(F422,0),E403))),MAX(0,1*E403-(F422-MIN(MAX(F422,0),E403)))))</f>
        <v>75000</v>
      </c>
      <c r="F423" s="18">
        <f>IF($A423&gt;20,F422,(F422-E403+E423)*(1+$C$7))</f>
        <v>0</v>
      </c>
      <c r="G423" s="18">
        <f t="shared" si="37"/>
        <v>-142787.5829237618</v>
      </c>
      <c r="H423" s="18">
        <f>IF($A423&gt;20,0,(H403-MIN(MAX(I422,0),H403))+MIN(MAX(0,J422-(H403-MIN(MAX(I422,0),H403))),MAX(0,1*H403-(I422-MIN(MAX(I422,0),H403)))))</f>
        <v>63629.478895411514</v>
      </c>
      <c r="I423" s="18">
        <f>IF($A423&gt;20,I422,(I422-H403+H423)*(1+$C$7))</f>
        <v>64436.29325999054</v>
      </c>
      <c r="J423" s="18">
        <f t="shared" si="38"/>
        <v>58190.814084617719</v>
      </c>
      <c r="K423" s="18">
        <f>IF($A423&gt;20,0,(K403-MIN(MAX(L422,0),K403))+MIN(MAX(0,M422-(K403-MIN(MAX(L422,0),K403))),MAX(0,1*K403-(L422-MIN(MAX(L422,0),K403)))))</f>
        <v>63441.722116980818</v>
      </c>
      <c r="L423" s="18">
        <f>IF($A423&gt;20,L422,(L422-K403+K423)*(1+$C$7))</f>
        <v>64246.155747527213</v>
      </c>
      <c r="M423" s="18">
        <f t="shared" si="39"/>
        <v>63042.61599537899</v>
      </c>
      <c r="N423" s="18">
        <f>IF($A423&gt;20,0,(N403-MIN(MAX(O422,0),N403))+MIN(MAX(0,P422-(N403-MIN(MAX(O422,0),N403))),MAX(0,1*N403-(O422-MIN(MAX(O422,0),N403)))))</f>
        <v>63441.743692045871</v>
      </c>
      <c r="O423" s="18">
        <f>IF($A423&gt;20,O422,(O422-N403+N423)*(1+$C$7))</f>
        <v>64246.177596161579</v>
      </c>
      <c r="P423" s="18">
        <f t="shared" si="40"/>
        <v>63042.058476535385</v>
      </c>
      <c r="Q423" s="18">
        <f>IF($A423&gt;20,0,(Q403-MIN(MAX(R422,0),Q403))+MIN(MAX(0,S422-(Q403-MIN(MAX(R422,0),Q403))),MAX(0,1*Q403-(R422-MIN(MAX(R422,0),Q403)))))</f>
        <v>63441.744200113928</v>
      </c>
      <c r="R423" s="18">
        <f>IF($A423&gt;20,R422,(R422-Q403+Q423)*(1+$C$7))</f>
        <v>64246.17811067187</v>
      </c>
      <c r="S423" s="18">
        <f t="shared" si="41"/>
        <v>63042.04534760605</v>
      </c>
    </row>
    <row r="424" spans="1:19">
      <c r="A424" s="10">
        <f>19</f>
        <v>19</v>
      </c>
      <c r="B424" s="18">
        <f>IF($A424&gt;20,0,(B403-MIN(MAX(C423,0),B403))+MIN(MAX(0,D423-(B403-MIN(MAX(C423,0),B403))),MAX(0,1*B403-(C423-MIN(MAX(C423,0),B403)))))</f>
        <v>29811</v>
      </c>
      <c r="C424" s="18">
        <f>IF($A424&gt;20,C423,(C423-B403+B424)*(1+$C$7))</f>
        <v>30189</v>
      </c>
      <c r="D424" s="18">
        <f t="shared" si="36"/>
        <v>929347.72494976013</v>
      </c>
      <c r="E424" s="18">
        <f>IF($A424&gt;20,0,(E403-MIN(MAX(F423,0),E403))+MIN(MAX(0,G423-(E403-MIN(MAX(F423,0),E403))),MAX(0,1*E403-(F423-MIN(MAX(F423,0),E403)))))</f>
        <v>75000</v>
      </c>
      <c r="F424" s="18">
        <f>IF($A424&gt;20,F423,(F423-E403+E424)*(1+$C$7))</f>
        <v>0</v>
      </c>
      <c r="G424" s="18">
        <f t="shared" si="37"/>
        <v>-224321.21041147466</v>
      </c>
      <c r="H424" s="18">
        <f>IF($A424&gt;20,0,(H403-MIN(MAX(I423,0),H403))+MIN(MAX(0,J423-(H403-MIN(MAX(I423,0),H403))),MAX(0,1*H403-(I423-MIN(MAX(I423,0),H403)))))</f>
        <v>58190.814084617719</v>
      </c>
      <c r="I424" s="18">
        <f>IF($A424&gt;20,I423,(I423-H403+H424)*(1+$C$7))</f>
        <v>58963.364860888745</v>
      </c>
      <c r="J424" s="18">
        <f t="shared" si="38"/>
        <v>0</v>
      </c>
      <c r="K424" s="18">
        <f>IF($A424&gt;20,0,(K403-MIN(MAX(L423,0),K403))+MIN(MAX(0,M423-(K403-MIN(MAX(L423,0),K403))),MAX(0,1*K403-(L423-MIN(MAX(L423,0),K403)))))</f>
        <v>63042.61599537899</v>
      </c>
      <c r="L424" s="18">
        <f>IF($A424&gt;20,L423,(L423-K403+K424)*(1+$C$7))</f>
        <v>63844.535257359297</v>
      </c>
      <c r="M424" s="18">
        <f t="shared" si="39"/>
        <v>0</v>
      </c>
      <c r="N424" s="18">
        <f>IF($A424&gt;20,0,(N403-MIN(MAX(O423,0),N403))+MIN(MAX(0,P423-(N403-MIN(MAX(O423,0),N403))),MAX(0,1*N403-(O423-MIN(MAX(O423,0),N403)))))</f>
        <v>63042.058476535385</v>
      </c>
      <c r="O424" s="18">
        <f>IF($A424&gt;20,O423,(O423-N403+N424)*(1+$C$7))</f>
        <v>63843.974363793372</v>
      </c>
      <c r="P424" s="18">
        <f t="shared" si="40"/>
        <v>0</v>
      </c>
      <c r="Q424" s="18">
        <f>IF($A424&gt;20,0,(Q403-MIN(MAX(R423,0),Q403))+MIN(MAX(0,S423-(Q403-MIN(MAX(R423,0),Q403))),MAX(0,1*Q403-(R423-MIN(MAX(R423,0),Q403)))))</f>
        <v>63042.04534760605</v>
      </c>
      <c r="R424" s="18">
        <f>IF($A424&gt;20,R423,(R423-Q403+Q424)*(1+$C$7))</f>
        <v>63843.961155393197</v>
      </c>
      <c r="S424" s="18">
        <f t="shared" si="41"/>
        <v>0</v>
      </c>
    </row>
    <row r="425" spans="1:19">
      <c r="A425" s="10">
        <f>20</f>
        <v>20</v>
      </c>
      <c r="B425" s="18">
        <f>IF($A425&gt;20,0,(B403-MIN(MAX(C424,0),B403))+MIN(MAX(0,D424-(B403-MIN(MAX(C424,0),B403))),MAX(0,1*B403-(C424-MIN(MAX(C424,0),B403)))))</f>
        <v>29811</v>
      </c>
      <c r="C425" s="18">
        <f>IF($A425&gt;20,C424,(C424-B403+B425)*(1+$C$7))</f>
        <v>30189</v>
      </c>
      <c r="D425" s="18">
        <f t="shared" si="36"/>
        <v>926522.82669825293</v>
      </c>
      <c r="E425" s="18">
        <f>IF($A425&gt;20,0,(E403-MIN(MAX(F424,0),E403))+MIN(MAX(0,G424-(E403-MIN(MAX(F424,0),E403))),MAX(0,1*E403-(F424-MIN(MAX(F424,0),E403)))))</f>
        <v>75000</v>
      </c>
      <c r="F425" s="18">
        <f>IF($A425&gt;20,F424,(F424-E403+E425)*(1+$C$7))</f>
        <v>0</v>
      </c>
      <c r="G425" s="18">
        <f t="shared" si="37"/>
        <v>-308300.84672381892</v>
      </c>
      <c r="H425" s="18">
        <f>IF($A425&gt;20,0,(H403-MIN(MAX(I424,0),H403))+MIN(MAX(0,J424-(H403-MIN(MAX(I424,0),H403))),MAX(0,1*H403-(I424-MIN(MAX(I424,0),H403)))))</f>
        <v>5069.5212168122816</v>
      </c>
      <c r="I425" s="18">
        <f>IF($A425&gt;20,I424,(I424-H403+H425)*(1+$C$7))</f>
        <v>0</v>
      </c>
      <c r="J425" s="18">
        <f t="shared" si="38"/>
        <v>-5221.6068533166499</v>
      </c>
      <c r="K425" s="18">
        <f>IF($A425&gt;20,0,(K403-MIN(MAX(L424,0),K403))+MIN(MAX(0,M424-(K403-MIN(MAX(L424,0),K403))),MAX(0,1*K403-(L424-MIN(MAX(L424,0),K403)))))</f>
        <v>0</v>
      </c>
      <c r="L425" s="18">
        <f>IF($A425&gt;20,L424,(L424-K403+K425)*(1+$C$7))</f>
        <v>0.60008195344499615</v>
      </c>
      <c r="M425" s="18">
        <f t="shared" si="39"/>
        <v>0</v>
      </c>
      <c r="N425" s="18">
        <f>IF($A425&gt;20,0,(N403-MIN(MAX(O424,0),N403))+MIN(MAX(0,P424-(N403-MIN(MAX(O424,0),N403))),MAX(0,1*N403-(O424-MIN(MAX(O424,0),N403)))))</f>
        <v>0</v>
      </c>
      <c r="O425" s="18">
        <f>IF($A425&gt;20,O424,(O424-N403+N425)*(1+$C$7))</f>
        <v>1.3806123691451648E-2</v>
      </c>
      <c r="P425" s="18">
        <f t="shared" si="40"/>
        <v>0</v>
      </c>
      <c r="Q425" s="18">
        <f>IF($A425&gt;20,0,(Q403-MIN(MAX(R424,0),Q403))+MIN(MAX(0,S424-(Q403-MIN(MAX(R424,0),Q403))),MAX(0,1*Q403-(R424-MIN(MAX(R424,0),Q403)))))</f>
        <v>0</v>
      </c>
      <c r="R425" s="18">
        <f>IF($A425&gt;20,R424,(R424-Q403+Q425)*(1+$C$7))</f>
        <v>3.0019364203326403E-10</v>
      </c>
      <c r="S425" s="18">
        <f t="shared" si="41"/>
        <v>0</v>
      </c>
    </row>
    <row r="426" spans="1:19">
      <c r="A426" s="10">
        <f>21</f>
        <v>21</v>
      </c>
      <c r="B426" s="18">
        <f>IF($A426&gt;20,0,(B403-MIN(MAX(C425,0),B403))+MIN(MAX(0,D425-(B403-MIN(MAX(C425,0),B403))),MAX(0,1*B403-(C425-MIN(MAX(C425,0),B403)))))</f>
        <v>0</v>
      </c>
      <c r="C426" s="18">
        <f>IF($A426&gt;20,C425,(C425-B403+B426)*(1+$C$7))</f>
        <v>30189</v>
      </c>
      <c r="D426" s="18">
        <f t="shared" si="36"/>
        <v>926522.82669825293</v>
      </c>
      <c r="E426" s="18">
        <f>IF($A426&gt;20,0,(E403-MIN(MAX(F425,0),E403))+MIN(MAX(0,G425-(E403-MIN(MAX(F425,0),E403))),MAX(0,1*E403-(F425-MIN(MAX(F425,0),E403)))))</f>
        <v>0</v>
      </c>
      <c r="F426" s="18">
        <f>IF($A426&gt;20,F425,(F425-E403+E426)*(1+$C$7))</f>
        <v>0</v>
      </c>
      <c r="G426" s="18">
        <f t="shared" si="37"/>
        <v>-308300.84672381892</v>
      </c>
      <c r="H426" s="18">
        <f>IF($A426&gt;20,0,(H403-MIN(MAX(I425,0),H403))+MIN(MAX(0,J425-(H403-MIN(MAX(I425,0),H403))),MAX(0,1*H403-(I425-MIN(MAX(I425,0),H403)))))</f>
        <v>0</v>
      </c>
      <c r="I426" s="18">
        <f>IF($A426&gt;20,I425,(I425-H403+H426)*(1+$C$7))</f>
        <v>0</v>
      </c>
      <c r="J426" s="18">
        <f t="shared" si="38"/>
        <v>-5221.6068533166499</v>
      </c>
      <c r="K426" s="18">
        <f>IF($A426&gt;20,0,(K403-MIN(MAX(L425,0),K403))+MIN(MAX(0,M425-(K403-MIN(MAX(L425,0),K403))),MAX(0,1*K403-(L425-MIN(MAX(L425,0),K403)))))</f>
        <v>0</v>
      </c>
      <c r="L426" s="18">
        <f>IF($A426&gt;20,L425,(L425-K403+K426)*(1+$C$7))</f>
        <v>0.60008195344499615</v>
      </c>
      <c r="M426" s="18">
        <f t="shared" si="39"/>
        <v>0</v>
      </c>
      <c r="N426" s="18">
        <f>IF($A426&gt;20,0,(N403-MIN(MAX(O425,0),N403))+MIN(MAX(0,P425-(N403-MIN(MAX(O425,0),N403))),MAX(0,1*N403-(O425-MIN(MAX(O425,0),N403)))))</f>
        <v>0</v>
      </c>
      <c r="O426" s="18">
        <f>IF($A426&gt;20,O425,(O425-N403+N426)*(1+$C$7))</f>
        <v>1.3806123691451648E-2</v>
      </c>
      <c r="P426" s="18">
        <f t="shared" si="40"/>
        <v>0</v>
      </c>
      <c r="Q426" s="18">
        <f>IF($A426&gt;20,0,(Q403-MIN(MAX(R425,0),Q403))+MIN(MAX(0,S425-(Q403-MIN(MAX(R425,0),Q403))),MAX(0,1*Q403-(R425-MIN(MAX(R425,0),Q403)))))</f>
        <v>0</v>
      </c>
      <c r="R426" s="18">
        <f>IF($A426&gt;20,R425,(R425-Q403+Q426)*(1+$C$7))</f>
        <v>3.0019364203326403E-10</v>
      </c>
      <c r="S426" s="18">
        <f t="shared" si="41"/>
        <v>0</v>
      </c>
    </row>
    <row r="427" spans="1:19">
      <c r="A427" s="10">
        <f>22</f>
        <v>22</v>
      </c>
      <c r="B427" s="18">
        <f>IF($A427&gt;20,0,(B403-MIN(MAX(C426,0),B403))+MIN(MAX(0,D426-(B403-MIN(MAX(C426,0),B403))),MAX(0,1*B403-(C426-MIN(MAX(C426,0),B403)))))</f>
        <v>0</v>
      </c>
      <c r="C427" s="18">
        <f>IF($A427&gt;20,C426,(C426-B403+B427)*(1+$C$7))</f>
        <v>30189</v>
      </c>
      <c r="D427" s="18">
        <f t="shared" si="36"/>
        <v>926522.82669825293</v>
      </c>
      <c r="E427" s="18">
        <f>IF($A427&gt;20,0,(E403-MIN(MAX(F426,0),E403))+MIN(MAX(0,G426-(E403-MIN(MAX(F426,0),E403))),MAX(0,1*E403-(F426-MIN(MAX(F426,0),E403)))))</f>
        <v>0</v>
      </c>
      <c r="F427" s="18">
        <f>IF($A427&gt;20,F426,(F426-E403+E427)*(1+$C$7))</f>
        <v>0</v>
      </c>
      <c r="G427" s="18">
        <f t="shared" si="37"/>
        <v>-308300.84672381892</v>
      </c>
      <c r="H427" s="18">
        <f>IF($A427&gt;20,0,(H403-MIN(MAX(I426,0),H403))+MIN(MAX(0,J426-(H403-MIN(MAX(I426,0),H403))),MAX(0,1*H403-(I426-MIN(MAX(I426,0),H403)))))</f>
        <v>0</v>
      </c>
      <c r="I427" s="18">
        <f>IF($A427&gt;20,I426,(I426-H403+H427)*(1+$C$7))</f>
        <v>0</v>
      </c>
      <c r="J427" s="18">
        <f t="shared" si="38"/>
        <v>-5221.6068533166499</v>
      </c>
      <c r="K427" s="18">
        <f>IF($A427&gt;20,0,(K403-MIN(MAX(L426,0),K403))+MIN(MAX(0,M426-(K403-MIN(MAX(L426,0),K403))),MAX(0,1*K403-(L426-MIN(MAX(L426,0),K403)))))</f>
        <v>0</v>
      </c>
      <c r="L427" s="18">
        <f>IF($A427&gt;20,L426,(L426-K403+K427)*(1+$C$7))</f>
        <v>0.60008195344499615</v>
      </c>
      <c r="M427" s="18">
        <f t="shared" si="39"/>
        <v>0</v>
      </c>
      <c r="N427" s="18">
        <f>IF($A427&gt;20,0,(N403-MIN(MAX(O426,0),N403))+MIN(MAX(0,P426-(N403-MIN(MAX(O426,0),N403))),MAX(0,1*N403-(O426-MIN(MAX(O426,0),N403)))))</f>
        <v>0</v>
      </c>
      <c r="O427" s="18">
        <f>IF($A427&gt;20,O426,(O426-N403+N427)*(1+$C$7))</f>
        <v>1.3806123691451648E-2</v>
      </c>
      <c r="P427" s="18">
        <f t="shared" si="40"/>
        <v>0</v>
      </c>
      <c r="Q427" s="18">
        <f>IF($A427&gt;20,0,(Q403-MIN(MAX(R426,0),Q403))+MIN(MAX(0,S426-(Q403-MIN(MAX(R426,0),Q403))),MAX(0,1*Q403-(R426-MIN(MAX(R426,0),Q403)))))</f>
        <v>0</v>
      </c>
      <c r="R427" s="18">
        <f>IF($A427&gt;20,R426,(R426-Q403+Q427)*(1+$C$7))</f>
        <v>3.0019364203326403E-10</v>
      </c>
      <c r="S427" s="18">
        <f t="shared" si="41"/>
        <v>0</v>
      </c>
    </row>
    <row r="428" spans="1:19">
      <c r="A428" s="10">
        <f>23</f>
        <v>23</v>
      </c>
      <c r="B428" s="18">
        <f>IF($A428&gt;20,0,(B403-MIN(MAX(C427,0),B403))+MIN(MAX(0,D427-(B403-MIN(MAX(C427,0),B403))),MAX(0,1*B403-(C427-MIN(MAX(C427,0),B403)))))</f>
        <v>0</v>
      </c>
      <c r="C428" s="18">
        <f>IF($A428&gt;20,C427,(C427-B403+B428)*(1+$C$7))</f>
        <v>30189</v>
      </c>
      <c r="D428" s="18">
        <f t="shared" si="36"/>
        <v>926522.82669825293</v>
      </c>
      <c r="E428" s="18">
        <f>IF($A428&gt;20,0,(E403-MIN(MAX(F427,0),E403))+MIN(MAX(0,G427-(E403-MIN(MAX(F427,0),E403))),MAX(0,1*E403-(F427-MIN(MAX(F427,0),E403)))))</f>
        <v>0</v>
      </c>
      <c r="F428" s="18">
        <f>IF($A428&gt;20,F427,(F427-E403+E428)*(1+$C$7))</f>
        <v>0</v>
      </c>
      <c r="G428" s="18">
        <f t="shared" si="37"/>
        <v>-308300.84672381892</v>
      </c>
      <c r="H428" s="18">
        <f>IF($A428&gt;20,0,(H403-MIN(MAX(I427,0),H403))+MIN(MAX(0,J427-(H403-MIN(MAX(I427,0),H403))),MAX(0,1*H403-(I427-MIN(MAX(I427,0),H403)))))</f>
        <v>0</v>
      </c>
      <c r="I428" s="18">
        <f>IF($A428&gt;20,I427,(I427-H403+H428)*(1+$C$7))</f>
        <v>0</v>
      </c>
      <c r="J428" s="18">
        <f t="shared" si="38"/>
        <v>-5221.6068533166499</v>
      </c>
      <c r="K428" s="18">
        <f>IF($A428&gt;20,0,(K403-MIN(MAX(L427,0),K403))+MIN(MAX(0,M427-(K403-MIN(MAX(L427,0),K403))),MAX(0,1*K403-(L427-MIN(MAX(L427,0),K403)))))</f>
        <v>0</v>
      </c>
      <c r="L428" s="18">
        <f>IF($A428&gt;20,L427,(L427-K403+K428)*(1+$C$7))</f>
        <v>0.60008195344499615</v>
      </c>
      <c r="M428" s="18">
        <f t="shared" si="39"/>
        <v>0</v>
      </c>
      <c r="N428" s="18">
        <f>IF($A428&gt;20,0,(N403-MIN(MAX(O427,0),N403))+MIN(MAX(0,P427-(N403-MIN(MAX(O427,0),N403))),MAX(0,1*N403-(O427-MIN(MAX(O427,0),N403)))))</f>
        <v>0</v>
      </c>
      <c r="O428" s="18">
        <f>IF($A428&gt;20,O427,(O427-N403+N428)*(1+$C$7))</f>
        <v>1.3806123691451648E-2</v>
      </c>
      <c r="P428" s="18">
        <f t="shared" si="40"/>
        <v>0</v>
      </c>
      <c r="Q428" s="18">
        <f>IF($A428&gt;20,0,(Q403-MIN(MAX(R427,0),Q403))+MIN(MAX(0,S427-(Q403-MIN(MAX(R427,0),Q403))),MAX(0,1*Q403-(R427-MIN(MAX(R427,0),Q403)))))</f>
        <v>0</v>
      </c>
      <c r="R428" s="18">
        <f>IF($A428&gt;20,R427,(R427-Q403+Q428)*(1+$C$7))</f>
        <v>3.0019364203326403E-10</v>
      </c>
      <c r="S428" s="18">
        <f t="shared" si="41"/>
        <v>0</v>
      </c>
    </row>
    <row r="429" spans="1:19">
      <c r="A429" s="10">
        <f>24</f>
        <v>24</v>
      </c>
      <c r="B429" s="18">
        <f>IF($A429&gt;20,0,(B403-MIN(MAX(C428,0),B403))+MIN(MAX(0,D428-(B403-MIN(MAX(C428,0),B403))),MAX(0,1*B403-(C428-MIN(MAX(C428,0),B403)))))</f>
        <v>0</v>
      </c>
      <c r="C429" s="18">
        <f>IF($A429&gt;20,C428,(C428-B403+B429)*(1+$C$7))</f>
        <v>30189</v>
      </c>
      <c r="D429" s="18">
        <f t="shared" si="36"/>
        <v>926522.82669825293</v>
      </c>
      <c r="E429" s="18">
        <f>IF($A429&gt;20,0,(E403-MIN(MAX(F428,0),E403))+MIN(MAX(0,G428-(E403-MIN(MAX(F428,0),E403))),MAX(0,1*E403-(F428-MIN(MAX(F428,0),E403)))))</f>
        <v>0</v>
      </c>
      <c r="F429" s="18">
        <f>IF($A429&gt;20,F428,(F428-E403+E429)*(1+$C$7))</f>
        <v>0</v>
      </c>
      <c r="G429" s="18">
        <f t="shared" si="37"/>
        <v>-308300.84672381892</v>
      </c>
      <c r="H429" s="18">
        <f>IF($A429&gt;20,0,(H403-MIN(MAX(I428,0),H403))+MIN(MAX(0,J428-(H403-MIN(MAX(I428,0),H403))),MAX(0,1*H403-(I428-MIN(MAX(I428,0),H403)))))</f>
        <v>0</v>
      </c>
      <c r="I429" s="18">
        <f>IF($A429&gt;20,I428,(I428-H403+H429)*(1+$C$7))</f>
        <v>0</v>
      </c>
      <c r="J429" s="18">
        <f t="shared" si="38"/>
        <v>-5221.6068533166499</v>
      </c>
      <c r="K429" s="18">
        <f>IF($A429&gt;20,0,(K403-MIN(MAX(L428,0),K403))+MIN(MAX(0,M428-(K403-MIN(MAX(L428,0),K403))),MAX(0,1*K403-(L428-MIN(MAX(L428,0),K403)))))</f>
        <v>0</v>
      </c>
      <c r="L429" s="18">
        <f>IF($A429&gt;20,L428,(L428-K403+K429)*(1+$C$7))</f>
        <v>0.60008195344499615</v>
      </c>
      <c r="M429" s="18">
        <f t="shared" si="39"/>
        <v>0</v>
      </c>
      <c r="N429" s="18">
        <f>IF($A429&gt;20,0,(N403-MIN(MAX(O428,0),N403))+MIN(MAX(0,P428-(N403-MIN(MAX(O428,0),N403))),MAX(0,1*N403-(O428-MIN(MAX(O428,0),N403)))))</f>
        <v>0</v>
      </c>
      <c r="O429" s="18">
        <f>IF($A429&gt;20,O428,(O428-N403+N429)*(1+$C$7))</f>
        <v>1.3806123691451648E-2</v>
      </c>
      <c r="P429" s="18">
        <f t="shared" si="40"/>
        <v>0</v>
      </c>
      <c r="Q429" s="18">
        <f>IF($A429&gt;20,0,(Q403-MIN(MAX(R428,0),Q403))+MIN(MAX(0,S428-(Q403-MIN(MAX(R428,0),Q403))),MAX(0,1*Q403-(R428-MIN(MAX(R428,0),Q403)))))</f>
        <v>0</v>
      </c>
      <c r="R429" s="18">
        <f>IF($A429&gt;20,R428,(R428-Q403+Q429)*(1+$C$7))</f>
        <v>3.0019364203326403E-10</v>
      </c>
      <c r="S429" s="18">
        <f t="shared" si="41"/>
        <v>0</v>
      </c>
    </row>
    <row r="430" spans="1:19">
      <c r="A430" s="10">
        <f>25</f>
        <v>25</v>
      </c>
      <c r="B430" s="18">
        <f>IF($A430&gt;20,0,(B403-MIN(MAX(C429,0),B403))+MIN(MAX(0,D429-(B403-MIN(MAX(C429,0),B403))),MAX(0,1*B403-(C429-MIN(MAX(C429,0),B403)))))</f>
        <v>0</v>
      </c>
      <c r="C430" s="18">
        <f>IF($A430&gt;20,C429,(C429-B403+B430)*(1+$C$7))</f>
        <v>30189</v>
      </c>
      <c r="D430" s="18">
        <f t="shared" si="36"/>
        <v>926522.82669825293</v>
      </c>
      <c r="E430" s="18">
        <f>IF($A430&gt;20,0,(E403-MIN(MAX(F429,0),E403))+MIN(MAX(0,G429-(E403-MIN(MAX(F429,0),E403))),MAX(0,1*E403-(F429-MIN(MAX(F429,0),E403)))))</f>
        <v>0</v>
      </c>
      <c r="F430" s="18">
        <f>IF($A430&gt;20,F429,(F429-E403+E430)*(1+$C$7))</f>
        <v>0</v>
      </c>
      <c r="G430" s="18">
        <f t="shared" si="37"/>
        <v>-308300.84672381892</v>
      </c>
      <c r="H430" s="18">
        <f>IF($A430&gt;20,0,(H403-MIN(MAX(I429,0),H403))+MIN(MAX(0,J429-(H403-MIN(MAX(I429,0),H403))),MAX(0,1*H403-(I429-MIN(MAX(I429,0),H403)))))</f>
        <v>0</v>
      </c>
      <c r="I430" s="18">
        <f>IF($A430&gt;20,I429,(I429-H403+H430)*(1+$C$7))</f>
        <v>0</v>
      </c>
      <c r="J430" s="18">
        <f t="shared" si="38"/>
        <v>-5221.6068533166499</v>
      </c>
      <c r="K430" s="18">
        <f>IF($A430&gt;20,0,(K403-MIN(MAX(L429,0),K403))+MIN(MAX(0,M429-(K403-MIN(MAX(L429,0),K403))),MAX(0,1*K403-(L429-MIN(MAX(L429,0),K403)))))</f>
        <v>0</v>
      </c>
      <c r="L430" s="18">
        <f>IF($A430&gt;20,L429,(L429-K403+K430)*(1+$C$7))</f>
        <v>0.60008195344499615</v>
      </c>
      <c r="M430" s="18">
        <f t="shared" si="39"/>
        <v>0</v>
      </c>
      <c r="N430" s="18">
        <f>IF($A430&gt;20,0,(N403-MIN(MAX(O429,0),N403))+MIN(MAX(0,P429-(N403-MIN(MAX(O429,0),N403))),MAX(0,1*N403-(O429-MIN(MAX(O429,0),N403)))))</f>
        <v>0</v>
      </c>
      <c r="O430" s="18">
        <f>IF($A430&gt;20,O429,(O429-N403+N430)*(1+$C$7))</f>
        <v>1.3806123691451648E-2</v>
      </c>
      <c r="P430" s="18">
        <f t="shared" si="40"/>
        <v>0</v>
      </c>
      <c r="Q430" s="18">
        <f>IF($A430&gt;20,0,(Q403-MIN(MAX(R429,0),Q403))+MIN(MAX(0,S429-(Q403-MIN(MAX(R429,0),Q403))),MAX(0,1*Q403-(R429-MIN(MAX(R429,0),Q403)))))</f>
        <v>0</v>
      </c>
      <c r="R430" s="18">
        <f>IF($A430&gt;20,R429,(R429-Q403+Q430)*(1+$C$7))</f>
        <v>3.0019364203326403E-10</v>
      </c>
      <c r="S430" s="18">
        <f t="shared" si="41"/>
        <v>0</v>
      </c>
    </row>
    <row r="431" spans="1:19">
      <c r="A431" s="10">
        <f>26</f>
        <v>26</v>
      </c>
      <c r="B431" s="18">
        <f>IF($A431&gt;20,0,(B403-MIN(MAX(C430,0),B403))+MIN(MAX(0,D430-(B403-MIN(MAX(C430,0),B403))),MAX(0,1*B403-(C430-MIN(MAX(C430,0),B403)))))</f>
        <v>0</v>
      </c>
      <c r="C431" s="18">
        <f>IF($A431&gt;20,C430,(C430-B403+B431)*(1+$C$7))</f>
        <v>30189</v>
      </c>
      <c r="D431" s="18">
        <f t="shared" si="36"/>
        <v>926522.82669825293</v>
      </c>
      <c r="E431" s="18">
        <f>IF($A431&gt;20,0,(E403-MIN(MAX(F430,0),E403))+MIN(MAX(0,G430-(E403-MIN(MAX(F430,0),E403))),MAX(0,1*E403-(F430-MIN(MAX(F430,0),E403)))))</f>
        <v>0</v>
      </c>
      <c r="F431" s="18">
        <f>IF($A431&gt;20,F430,(F430-E403+E431)*(1+$C$7))</f>
        <v>0</v>
      </c>
      <c r="G431" s="18">
        <f t="shared" si="37"/>
        <v>-308300.84672381892</v>
      </c>
      <c r="H431" s="18">
        <f>IF($A431&gt;20,0,(H403-MIN(MAX(I430,0),H403))+MIN(MAX(0,J430-(H403-MIN(MAX(I430,0),H403))),MAX(0,1*H403-(I430-MIN(MAX(I430,0),H403)))))</f>
        <v>0</v>
      </c>
      <c r="I431" s="18">
        <f>IF($A431&gt;20,I430,(I430-H403+H431)*(1+$C$7))</f>
        <v>0</v>
      </c>
      <c r="J431" s="18">
        <f t="shared" si="38"/>
        <v>-5221.6068533166499</v>
      </c>
      <c r="K431" s="18">
        <f>IF($A431&gt;20,0,(K403-MIN(MAX(L430,0),K403))+MIN(MAX(0,M430-(K403-MIN(MAX(L430,0),K403))),MAX(0,1*K403-(L430-MIN(MAX(L430,0),K403)))))</f>
        <v>0</v>
      </c>
      <c r="L431" s="18">
        <f>IF($A431&gt;20,L430,(L430-K403+K431)*(1+$C$7))</f>
        <v>0.60008195344499615</v>
      </c>
      <c r="M431" s="18">
        <f t="shared" si="39"/>
        <v>0</v>
      </c>
      <c r="N431" s="18">
        <f>IF($A431&gt;20,0,(N403-MIN(MAX(O430,0),N403))+MIN(MAX(0,P430-(N403-MIN(MAX(O430,0),N403))),MAX(0,1*N403-(O430-MIN(MAX(O430,0),N403)))))</f>
        <v>0</v>
      </c>
      <c r="O431" s="18">
        <f>IF($A431&gt;20,O430,(O430-N403+N431)*(1+$C$7))</f>
        <v>1.3806123691451648E-2</v>
      </c>
      <c r="P431" s="18">
        <f t="shared" si="40"/>
        <v>0</v>
      </c>
      <c r="Q431" s="18">
        <f>IF($A431&gt;20,0,(Q403-MIN(MAX(R430,0),Q403))+MIN(MAX(0,S430-(Q403-MIN(MAX(R430,0),Q403))),MAX(0,1*Q403-(R430-MIN(MAX(R430,0),Q403)))))</f>
        <v>0</v>
      </c>
      <c r="R431" s="18">
        <f>IF($A431&gt;20,R430,(R430-Q403+Q431)*(1+$C$7))</f>
        <v>3.0019364203326403E-10</v>
      </c>
      <c r="S431" s="18">
        <f t="shared" si="41"/>
        <v>0</v>
      </c>
    </row>
    <row r="432" spans="1:19">
      <c r="A432" s="10">
        <f>27</f>
        <v>27</v>
      </c>
      <c r="B432" s="18">
        <f>IF($A432&gt;20,0,(B403-MIN(MAX(C431,0),B403))+MIN(MAX(0,D431-(B403-MIN(MAX(C431,0),B403))),MAX(0,1*B403-(C431-MIN(MAX(C431,0),B403)))))</f>
        <v>0</v>
      </c>
      <c r="C432" s="18">
        <f>IF($A432&gt;20,C431,(C431-B403+B432)*(1+$C$7))</f>
        <v>30189</v>
      </c>
      <c r="D432" s="18">
        <f t="shared" si="36"/>
        <v>926522.82669825293</v>
      </c>
      <c r="E432" s="18">
        <f>IF($A432&gt;20,0,(E403-MIN(MAX(F431,0),E403))+MIN(MAX(0,G431-(E403-MIN(MAX(F431,0),E403))),MAX(0,1*E403-(F431-MIN(MAX(F431,0),E403)))))</f>
        <v>0</v>
      </c>
      <c r="F432" s="18">
        <f>IF($A432&gt;20,F431,(F431-E403+E432)*(1+$C$7))</f>
        <v>0</v>
      </c>
      <c r="G432" s="18">
        <f t="shared" si="37"/>
        <v>-308300.84672381892</v>
      </c>
      <c r="H432" s="18">
        <f>IF($A432&gt;20,0,(H403-MIN(MAX(I431,0),H403))+MIN(MAX(0,J431-(H403-MIN(MAX(I431,0),H403))),MAX(0,1*H403-(I431-MIN(MAX(I431,0),H403)))))</f>
        <v>0</v>
      </c>
      <c r="I432" s="18">
        <f>IF($A432&gt;20,I431,(I431-H403+H432)*(1+$C$7))</f>
        <v>0</v>
      </c>
      <c r="J432" s="18">
        <f t="shared" si="38"/>
        <v>-5221.6068533166499</v>
      </c>
      <c r="K432" s="18">
        <f>IF($A432&gt;20,0,(K403-MIN(MAX(L431,0),K403))+MIN(MAX(0,M431-(K403-MIN(MAX(L431,0),K403))),MAX(0,1*K403-(L431-MIN(MAX(L431,0),K403)))))</f>
        <v>0</v>
      </c>
      <c r="L432" s="18">
        <f>IF($A432&gt;20,L431,(L431-K403+K432)*(1+$C$7))</f>
        <v>0.60008195344499615</v>
      </c>
      <c r="M432" s="18">
        <f t="shared" si="39"/>
        <v>0</v>
      </c>
      <c r="N432" s="18">
        <f>IF($A432&gt;20,0,(N403-MIN(MAX(O431,0),N403))+MIN(MAX(0,P431-(N403-MIN(MAX(O431,0),N403))),MAX(0,1*N403-(O431-MIN(MAX(O431,0),N403)))))</f>
        <v>0</v>
      </c>
      <c r="O432" s="18">
        <f>IF($A432&gt;20,O431,(O431-N403+N432)*(1+$C$7))</f>
        <v>1.3806123691451648E-2</v>
      </c>
      <c r="P432" s="18">
        <f t="shared" si="40"/>
        <v>0</v>
      </c>
      <c r="Q432" s="18">
        <f>IF($A432&gt;20,0,(Q403-MIN(MAX(R431,0),Q403))+MIN(MAX(0,S431-(Q403-MIN(MAX(R431,0),Q403))),MAX(0,1*Q403-(R431-MIN(MAX(R431,0),Q403)))))</f>
        <v>0</v>
      </c>
      <c r="R432" s="18">
        <f>IF($A432&gt;20,R431,(R431-Q403+Q432)*(1+$C$7))</f>
        <v>3.0019364203326403E-10</v>
      </c>
      <c r="S432" s="18">
        <f t="shared" si="41"/>
        <v>0</v>
      </c>
    </row>
    <row r="433" spans="1:19">
      <c r="A433" s="10">
        <f>28</f>
        <v>28</v>
      </c>
      <c r="B433" s="18">
        <f>IF($A433&gt;20,0,(B403-MIN(MAX(C432,0),B403))+MIN(MAX(0,D432-(B403-MIN(MAX(C432,0),B403))),MAX(0,1*B403-(C432-MIN(MAX(C432,0),B403)))))</f>
        <v>0</v>
      </c>
      <c r="C433" s="18">
        <f>IF($A433&gt;20,C432,(C432-B403+B433)*(1+$C$7))</f>
        <v>30189</v>
      </c>
      <c r="D433" s="18">
        <f t="shared" si="36"/>
        <v>926522.82669825293</v>
      </c>
      <c r="E433" s="18">
        <f>IF($A433&gt;20,0,(E403-MIN(MAX(F432,0),E403))+MIN(MAX(0,G432-(E403-MIN(MAX(F432,0),E403))),MAX(0,1*E403-(F432-MIN(MAX(F432,0),E403)))))</f>
        <v>0</v>
      </c>
      <c r="F433" s="18">
        <f>IF($A433&gt;20,F432,(F432-E403+E433)*(1+$C$7))</f>
        <v>0</v>
      </c>
      <c r="G433" s="18">
        <f t="shared" si="37"/>
        <v>-308300.84672381892</v>
      </c>
      <c r="H433" s="18">
        <f>IF($A433&gt;20,0,(H403-MIN(MAX(I432,0),H403))+MIN(MAX(0,J432-(H403-MIN(MAX(I432,0),H403))),MAX(0,1*H403-(I432-MIN(MAX(I432,0),H403)))))</f>
        <v>0</v>
      </c>
      <c r="I433" s="18">
        <f>IF($A433&gt;20,I432,(I432-H403+H433)*(1+$C$7))</f>
        <v>0</v>
      </c>
      <c r="J433" s="18">
        <f t="shared" si="38"/>
        <v>-5221.6068533166499</v>
      </c>
      <c r="K433" s="18">
        <f>IF($A433&gt;20,0,(K403-MIN(MAX(L432,0),K403))+MIN(MAX(0,M432-(K403-MIN(MAX(L432,0),K403))),MAX(0,1*K403-(L432-MIN(MAX(L432,0),K403)))))</f>
        <v>0</v>
      </c>
      <c r="L433" s="18">
        <f>IF($A433&gt;20,L432,(L432-K403+K433)*(1+$C$7))</f>
        <v>0.60008195344499615</v>
      </c>
      <c r="M433" s="18">
        <f t="shared" si="39"/>
        <v>0</v>
      </c>
      <c r="N433" s="18">
        <f>IF($A433&gt;20,0,(N403-MIN(MAX(O432,0),N403))+MIN(MAX(0,P432-(N403-MIN(MAX(O432,0),N403))),MAX(0,1*N403-(O432-MIN(MAX(O432,0),N403)))))</f>
        <v>0</v>
      </c>
      <c r="O433" s="18">
        <f>IF($A433&gt;20,O432,(O432-N403+N433)*(1+$C$7))</f>
        <v>1.3806123691451648E-2</v>
      </c>
      <c r="P433" s="18">
        <f t="shared" si="40"/>
        <v>0</v>
      </c>
      <c r="Q433" s="18">
        <f>IF($A433&gt;20,0,(Q403-MIN(MAX(R432,0),Q403))+MIN(MAX(0,S432-(Q403-MIN(MAX(R432,0),Q403))),MAX(0,1*Q403-(R432-MIN(MAX(R432,0),Q403)))))</f>
        <v>0</v>
      </c>
      <c r="R433" s="18">
        <f>IF($A433&gt;20,R432,(R432-Q403+Q433)*(1+$C$7))</f>
        <v>3.0019364203326403E-10</v>
      </c>
      <c r="S433" s="18">
        <f t="shared" si="41"/>
        <v>0</v>
      </c>
    </row>
    <row r="434" spans="1:19">
      <c r="A434" s="10">
        <f>29</f>
        <v>29</v>
      </c>
      <c r="B434" s="18">
        <f>IF($A434&gt;20,0,(B403-MIN(MAX(C433,0),B403))+MIN(MAX(0,D433-(B403-MIN(MAX(C433,0),B403))),MAX(0,1*B403-(C433-MIN(MAX(C433,0),B403)))))</f>
        <v>0</v>
      </c>
      <c r="C434" s="18">
        <f>IF($A434&gt;20,C433,(C433-B403+B434)*(1+$C$7))</f>
        <v>30189</v>
      </c>
      <c r="D434" s="18">
        <f t="shared" si="36"/>
        <v>926522.82669825293</v>
      </c>
      <c r="E434" s="18">
        <f>IF($A434&gt;20,0,(E403-MIN(MAX(F433,0),E403))+MIN(MAX(0,G433-(E403-MIN(MAX(F433,0),E403))),MAX(0,1*E403-(F433-MIN(MAX(F433,0),E403)))))</f>
        <v>0</v>
      </c>
      <c r="F434" s="18">
        <f>IF($A434&gt;20,F433,(F433-E403+E434)*(1+$C$7))</f>
        <v>0</v>
      </c>
      <c r="G434" s="18">
        <f t="shared" si="37"/>
        <v>-308300.84672381892</v>
      </c>
      <c r="H434" s="18">
        <f>IF($A434&gt;20,0,(H403-MIN(MAX(I433,0),H403))+MIN(MAX(0,J433-(H403-MIN(MAX(I433,0),H403))),MAX(0,1*H403-(I433-MIN(MAX(I433,0),H403)))))</f>
        <v>0</v>
      </c>
      <c r="I434" s="18">
        <f>IF($A434&gt;20,I433,(I433-H403+H434)*(1+$C$7))</f>
        <v>0</v>
      </c>
      <c r="J434" s="18">
        <f t="shared" si="38"/>
        <v>-5221.6068533166499</v>
      </c>
      <c r="K434" s="18">
        <f>IF($A434&gt;20,0,(K403-MIN(MAX(L433,0),K403))+MIN(MAX(0,M433-(K403-MIN(MAX(L433,0),K403))),MAX(0,1*K403-(L433-MIN(MAX(L433,0),K403)))))</f>
        <v>0</v>
      </c>
      <c r="L434" s="18">
        <f>IF($A434&gt;20,L433,(L433-K403+K434)*(1+$C$7))</f>
        <v>0.60008195344499615</v>
      </c>
      <c r="M434" s="18">
        <f t="shared" si="39"/>
        <v>0</v>
      </c>
      <c r="N434" s="18">
        <f>IF($A434&gt;20,0,(N403-MIN(MAX(O433,0),N403))+MIN(MAX(0,P433-(N403-MIN(MAX(O433,0),N403))),MAX(0,1*N403-(O433-MIN(MAX(O433,0),N403)))))</f>
        <v>0</v>
      </c>
      <c r="O434" s="18">
        <f>IF($A434&gt;20,O433,(O433-N403+N434)*(1+$C$7))</f>
        <v>1.3806123691451648E-2</v>
      </c>
      <c r="P434" s="18">
        <f t="shared" si="40"/>
        <v>0</v>
      </c>
      <c r="Q434" s="18">
        <f>IF($A434&gt;20,0,(Q403-MIN(MAX(R433,0),Q403))+MIN(MAX(0,S433-(Q403-MIN(MAX(R433,0),Q403))),MAX(0,1*Q403-(R433-MIN(MAX(R433,0),Q403)))))</f>
        <v>0</v>
      </c>
      <c r="R434" s="18">
        <f>IF($A434&gt;20,R433,(R433-Q403+Q434)*(1+$C$7))</f>
        <v>3.0019364203326403E-10</v>
      </c>
      <c r="S434" s="18">
        <f t="shared" si="41"/>
        <v>0</v>
      </c>
    </row>
    <row r="435" spans="1:19">
      <c r="A435" s="10">
        <f>30</f>
        <v>30</v>
      </c>
      <c r="B435" s="18">
        <f>IF($A435&gt;20,0,(B403-MIN(MAX(C434,0),B403))+MIN(MAX(0,D434-(B403-MIN(MAX(C434,0),B403))),MAX(0,1*B403-(C434-MIN(MAX(C434,0),B403)))))</f>
        <v>0</v>
      </c>
      <c r="C435" s="18">
        <f>IF($A435&gt;20,C434,(C434-B403+B435)*(1+$C$7))</f>
        <v>30189</v>
      </c>
      <c r="D435" s="18">
        <f t="shared" si="36"/>
        <v>926522.82669825293</v>
      </c>
      <c r="E435" s="18">
        <f>IF($A435&gt;20,0,(E403-MIN(MAX(F434,0),E403))+MIN(MAX(0,G434-(E403-MIN(MAX(F434,0),E403))),MAX(0,1*E403-(F434-MIN(MAX(F434,0),E403)))))</f>
        <v>0</v>
      </c>
      <c r="F435" s="18">
        <f>IF($A435&gt;20,F434,(F434-E403+E435)*(1+$C$7))</f>
        <v>0</v>
      </c>
      <c r="G435" s="18">
        <f t="shared" si="37"/>
        <v>-308300.84672381892</v>
      </c>
      <c r="H435" s="18">
        <f>IF($A435&gt;20,0,(H403-MIN(MAX(I434,0),H403))+MIN(MAX(0,J434-(H403-MIN(MAX(I434,0),H403))),MAX(0,1*H403-(I434-MIN(MAX(I434,0),H403)))))</f>
        <v>0</v>
      </c>
      <c r="I435" s="18">
        <f>IF($A435&gt;20,I434,(I434-H403+H435)*(1+$C$7))</f>
        <v>0</v>
      </c>
      <c r="J435" s="18">
        <f t="shared" si="38"/>
        <v>-5221.6068533166499</v>
      </c>
      <c r="K435" s="18">
        <f>IF($A435&gt;20,0,(K403-MIN(MAX(L434,0),K403))+MIN(MAX(0,M434-(K403-MIN(MAX(L434,0),K403))),MAX(0,1*K403-(L434-MIN(MAX(L434,0),K403)))))</f>
        <v>0</v>
      </c>
      <c r="L435" s="18">
        <f>IF($A435&gt;20,L434,(L434-K403+K435)*(1+$C$7))</f>
        <v>0.60008195344499615</v>
      </c>
      <c r="M435" s="18">
        <f t="shared" si="39"/>
        <v>0</v>
      </c>
      <c r="N435" s="18">
        <f>IF($A435&gt;20,0,(N403-MIN(MAX(O434,0),N403))+MIN(MAX(0,P434-(N403-MIN(MAX(O434,0),N403))),MAX(0,1*N403-(O434-MIN(MAX(O434,0),N403)))))</f>
        <v>0</v>
      </c>
      <c r="O435" s="18">
        <f>IF($A435&gt;20,O434,(O434-N403+N435)*(1+$C$7))</f>
        <v>1.3806123691451648E-2</v>
      </c>
      <c r="P435" s="18">
        <f t="shared" si="40"/>
        <v>0</v>
      </c>
      <c r="Q435" s="18">
        <f>IF($A435&gt;20,0,(Q403-MIN(MAX(R434,0),Q403))+MIN(MAX(0,S434-(Q403-MIN(MAX(R434,0),Q403))),MAX(0,1*Q403-(R434-MIN(MAX(R434,0),Q403)))))</f>
        <v>0</v>
      </c>
      <c r="R435" s="18">
        <f>IF($A435&gt;20,R434,(R434-Q403+Q435)*(1+$C$7))</f>
        <v>3.0019364203326403E-10</v>
      </c>
      <c r="S435" s="18">
        <f t="shared" si="41"/>
        <v>0</v>
      </c>
    </row>
    <row r="436" spans="1:19">
      <c r="A436" s="10">
        <f>31</f>
        <v>31</v>
      </c>
      <c r="B436" s="18">
        <f>IF($A436&gt;20,0,(B403-MIN(MAX(C435,0),B403))+MIN(MAX(0,D435-(B403-MIN(MAX(C435,0),B403))),MAX(0,1*B403-(C435-MIN(MAX(C435,0),B403)))))</f>
        <v>0</v>
      </c>
      <c r="C436" s="18">
        <f>IF($A436&gt;20,C435,(C435-B403+B436)*(1+$C$7))</f>
        <v>30189</v>
      </c>
      <c r="D436" s="18">
        <f t="shared" si="36"/>
        <v>926522.82669825293</v>
      </c>
      <c r="E436" s="18">
        <f>IF($A436&gt;20,0,(E403-MIN(MAX(F435,0),E403))+MIN(MAX(0,G435-(E403-MIN(MAX(F435,0),E403))),MAX(0,1*E403-(F435-MIN(MAX(F435,0),E403)))))</f>
        <v>0</v>
      </c>
      <c r="F436" s="18">
        <f>IF($A436&gt;20,F435,(F435-E403+E436)*(1+$C$7))</f>
        <v>0</v>
      </c>
      <c r="G436" s="18">
        <f t="shared" si="37"/>
        <v>-308300.84672381892</v>
      </c>
      <c r="H436" s="18">
        <f>IF($A436&gt;20,0,(H403-MIN(MAX(I435,0),H403))+MIN(MAX(0,J435-(H403-MIN(MAX(I435,0),H403))),MAX(0,1*H403-(I435-MIN(MAX(I435,0),H403)))))</f>
        <v>0</v>
      </c>
      <c r="I436" s="18">
        <f>IF($A436&gt;20,I435,(I435-H403+H436)*(1+$C$7))</f>
        <v>0</v>
      </c>
      <c r="J436" s="18">
        <f t="shared" si="38"/>
        <v>-5221.6068533166499</v>
      </c>
      <c r="K436" s="18">
        <f>IF($A436&gt;20,0,(K403-MIN(MAX(L435,0),K403))+MIN(MAX(0,M435-(K403-MIN(MAX(L435,0),K403))),MAX(0,1*K403-(L435-MIN(MAX(L435,0),K403)))))</f>
        <v>0</v>
      </c>
      <c r="L436" s="18">
        <f>IF($A436&gt;20,L435,(L435-K403+K436)*(1+$C$7))</f>
        <v>0.60008195344499615</v>
      </c>
      <c r="M436" s="18">
        <f t="shared" si="39"/>
        <v>0</v>
      </c>
      <c r="N436" s="18">
        <f>IF($A436&gt;20,0,(N403-MIN(MAX(O435,0),N403))+MIN(MAX(0,P435-(N403-MIN(MAX(O435,0),N403))),MAX(0,1*N403-(O435-MIN(MAX(O435,0),N403)))))</f>
        <v>0</v>
      </c>
      <c r="O436" s="18">
        <f>IF($A436&gt;20,O435,(O435-N403+N436)*(1+$C$7))</f>
        <v>1.3806123691451648E-2</v>
      </c>
      <c r="P436" s="18">
        <f t="shared" si="40"/>
        <v>0</v>
      </c>
      <c r="Q436" s="18">
        <f>IF($A436&gt;20,0,(Q403-MIN(MAX(R435,0),Q403))+MIN(MAX(0,S435-(Q403-MIN(MAX(R435,0),Q403))),MAX(0,1*Q403-(R435-MIN(MAX(R435,0),Q403)))))</f>
        <v>0</v>
      </c>
      <c r="R436" s="18">
        <f>IF($A436&gt;20,R435,(R435-Q403+Q436)*(1+$C$7))</f>
        <v>3.0019364203326403E-10</v>
      </c>
      <c r="S436" s="18">
        <f t="shared" si="41"/>
        <v>0</v>
      </c>
    </row>
    <row r="437" spans="1:19">
      <c r="A437" s="10">
        <f>32</f>
        <v>32</v>
      </c>
      <c r="B437" s="18">
        <f>IF($A437&gt;20,0,(B403-MIN(MAX(C436,0),B403))+MIN(MAX(0,D436-(B403-MIN(MAX(C436,0),B403))),MAX(0,1*B403-(C436-MIN(MAX(C436,0),B403)))))</f>
        <v>0</v>
      </c>
      <c r="C437" s="18">
        <f>IF($A437&gt;20,C436,(C436-B403+B437)*(1+$C$7))</f>
        <v>30189</v>
      </c>
      <c r="D437" s="18">
        <f t="shared" si="36"/>
        <v>926522.82669825293</v>
      </c>
      <c r="E437" s="18">
        <f>IF($A437&gt;20,0,(E403-MIN(MAX(F436,0),E403))+MIN(MAX(0,G436-(E403-MIN(MAX(F436,0),E403))),MAX(0,1*E403-(F436-MIN(MAX(F436,0),E403)))))</f>
        <v>0</v>
      </c>
      <c r="F437" s="18">
        <f>IF($A437&gt;20,F436,(F436-E403+E437)*(1+$C$7))</f>
        <v>0</v>
      </c>
      <c r="G437" s="18">
        <f t="shared" si="37"/>
        <v>-308300.84672381892</v>
      </c>
      <c r="H437" s="18">
        <f>IF($A437&gt;20,0,(H403-MIN(MAX(I436,0),H403))+MIN(MAX(0,J436-(H403-MIN(MAX(I436,0),H403))),MAX(0,1*H403-(I436-MIN(MAX(I436,0),H403)))))</f>
        <v>0</v>
      </c>
      <c r="I437" s="18">
        <f>IF($A437&gt;20,I436,(I436-H403+H437)*(1+$C$7))</f>
        <v>0</v>
      </c>
      <c r="J437" s="18">
        <f t="shared" si="38"/>
        <v>-5221.6068533166499</v>
      </c>
      <c r="K437" s="18">
        <f>IF($A437&gt;20,0,(K403-MIN(MAX(L436,0),K403))+MIN(MAX(0,M436-(K403-MIN(MAX(L436,0),K403))),MAX(0,1*K403-(L436-MIN(MAX(L436,0),K403)))))</f>
        <v>0</v>
      </c>
      <c r="L437" s="18">
        <f>IF($A437&gt;20,L436,(L436-K403+K437)*(1+$C$7))</f>
        <v>0.60008195344499615</v>
      </c>
      <c r="M437" s="18">
        <f t="shared" si="39"/>
        <v>0</v>
      </c>
      <c r="N437" s="18">
        <f>IF($A437&gt;20,0,(N403-MIN(MAX(O436,0),N403))+MIN(MAX(0,P436-(N403-MIN(MAX(O436,0),N403))),MAX(0,1*N403-(O436-MIN(MAX(O436,0),N403)))))</f>
        <v>0</v>
      </c>
      <c r="O437" s="18">
        <f>IF($A437&gt;20,O436,(O436-N403+N437)*(1+$C$7))</f>
        <v>1.3806123691451648E-2</v>
      </c>
      <c r="P437" s="18">
        <f t="shared" si="40"/>
        <v>0</v>
      </c>
      <c r="Q437" s="18">
        <f>IF($A437&gt;20,0,(Q403-MIN(MAX(R436,0),Q403))+MIN(MAX(0,S436-(Q403-MIN(MAX(R436,0),Q403))),MAX(0,1*Q403-(R436-MIN(MAX(R436,0),Q403)))))</f>
        <v>0</v>
      </c>
      <c r="R437" s="18">
        <f>IF($A437&gt;20,R436,(R436-Q403+Q437)*(1+$C$7))</f>
        <v>3.0019364203326403E-10</v>
      </c>
      <c r="S437" s="18">
        <f t="shared" si="41"/>
        <v>0</v>
      </c>
    </row>
    <row r="438" spans="1:19">
      <c r="A438" s="10">
        <f>33</f>
        <v>33</v>
      </c>
      <c r="B438" s="18">
        <f>IF($A438&gt;20,0,(B403-MIN(MAX(C437,0),B403))+MIN(MAX(0,D437-(B403-MIN(MAX(C437,0),B403))),MAX(0,1*B403-(C437-MIN(MAX(C437,0),B403)))))</f>
        <v>0</v>
      </c>
      <c r="C438" s="18">
        <f>IF($A438&gt;20,C437,(C437-B403+B438)*(1+$C$7))</f>
        <v>30189</v>
      </c>
      <c r="D438" s="18">
        <f t="shared" si="36"/>
        <v>926522.82669825293</v>
      </c>
      <c r="E438" s="18">
        <f>IF($A438&gt;20,0,(E403-MIN(MAX(F437,0),E403))+MIN(MAX(0,G437-(E403-MIN(MAX(F437,0),E403))),MAX(0,1*E403-(F437-MIN(MAX(F437,0),E403)))))</f>
        <v>0</v>
      </c>
      <c r="F438" s="18">
        <f>IF($A438&gt;20,F437,(F437-E403+E438)*(1+$C$7))</f>
        <v>0</v>
      </c>
      <c r="G438" s="18">
        <f t="shared" si="37"/>
        <v>-308300.84672381892</v>
      </c>
      <c r="H438" s="18">
        <f>IF($A438&gt;20,0,(H403-MIN(MAX(I437,0),H403))+MIN(MAX(0,J437-(H403-MIN(MAX(I437,0),H403))),MAX(0,1*H403-(I437-MIN(MAX(I437,0),H403)))))</f>
        <v>0</v>
      </c>
      <c r="I438" s="18">
        <f>IF($A438&gt;20,I437,(I437-H403+H438)*(1+$C$7))</f>
        <v>0</v>
      </c>
      <c r="J438" s="18">
        <f t="shared" si="38"/>
        <v>-5221.6068533166499</v>
      </c>
      <c r="K438" s="18">
        <f>IF($A438&gt;20,0,(K403-MIN(MAX(L437,0),K403))+MIN(MAX(0,M437-(K403-MIN(MAX(L437,0),K403))),MAX(0,1*K403-(L437-MIN(MAX(L437,0),K403)))))</f>
        <v>0</v>
      </c>
      <c r="L438" s="18">
        <f>IF($A438&gt;20,L437,(L437-K403+K438)*(1+$C$7))</f>
        <v>0.60008195344499615</v>
      </c>
      <c r="M438" s="18">
        <f t="shared" si="39"/>
        <v>0</v>
      </c>
      <c r="N438" s="18">
        <f>IF($A438&gt;20,0,(N403-MIN(MAX(O437,0),N403))+MIN(MAX(0,P437-(N403-MIN(MAX(O437,0),N403))),MAX(0,1*N403-(O437-MIN(MAX(O437,0),N403)))))</f>
        <v>0</v>
      </c>
      <c r="O438" s="18">
        <f>IF($A438&gt;20,O437,(O437-N403+N438)*(1+$C$7))</f>
        <v>1.3806123691451648E-2</v>
      </c>
      <c r="P438" s="18">
        <f t="shared" si="40"/>
        <v>0</v>
      </c>
      <c r="Q438" s="18">
        <f>IF($A438&gt;20,0,(Q403-MIN(MAX(R437,0),Q403))+MIN(MAX(0,S437-(Q403-MIN(MAX(R437,0),Q403))),MAX(0,1*Q403-(R437-MIN(MAX(R437,0),Q403)))))</f>
        <v>0</v>
      </c>
      <c r="R438" s="18">
        <f>IF($A438&gt;20,R437,(R437-Q403+Q438)*(1+$C$7))</f>
        <v>3.0019364203326403E-10</v>
      </c>
      <c r="S438" s="18">
        <f t="shared" si="41"/>
        <v>0</v>
      </c>
    </row>
    <row r="439" spans="1:19">
      <c r="A439" s="10">
        <f>34</f>
        <v>34</v>
      </c>
      <c r="B439" s="18">
        <f>IF($A439&gt;20,0,(B403-MIN(MAX(C438,0),B403))+MIN(MAX(0,D438-(B403-MIN(MAX(C438,0),B403))),MAX(0,1*B403-(C438-MIN(MAX(C438,0),B403)))))</f>
        <v>0</v>
      </c>
      <c r="C439" s="18">
        <f>IF($A439&gt;20,C438,(C438-B403+B439)*(1+$C$7))</f>
        <v>30189</v>
      </c>
      <c r="D439" s="18">
        <f t="shared" si="36"/>
        <v>926522.82669825293</v>
      </c>
      <c r="E439" s="18">
        <f>IF($A439&gt;20,0,(E403-MIN(MAX(F438,0),E403))+MIN(MAX(0,G438-(E403-MIN(MAX(F438,0),E403))),MAX(0,1*E403-(F438-MIN(MAX(F438,0),E403)))))</f>
        <v>0</v>
      </c>
      <c r="F439" s="18">
        <f>IF($A439&gt;20,F438,(F438-E403+E439)*(1+$C$7))</f>
        <v>0</v>
      </c>
      <c r="G439" s="18">
        <f t="shared" si="37"/>
        <v>-308300.84672381892</v>
      </c>
      <c r="H439" s="18">
        <f>IF($A439&gt;20,0,(H403-MIN(MAX(I438,0),H403))+MIN(MAX(0,J438-(H403-MIN(MAX(I438,0),H403))),MAX(0,1*H403-(I438-MIN(MAX(I438,0),H403)))))</f>
        <v>0</v>
      </c>
      <c r="I439" s="18">
        <f>IF($A439&gt;20,I438,(I438-H403+H439)*(1+$C$7))</f>
        <v>0</v>
      </c>
      <c r="J439" s="18">
        <f t="shared" si="38"/>
        <v>-5221.6068533166499</v>
      </c>
      <c r="K439" s="18">
        <f>IF($A439&gt;20,0,(K403-MIN(MAX(L438,0),K403))+MIN(MAX(0,M438-(K403-MIN(MAX(L438,0),K403))),MAX(0,1*K403-(L438-MIN(MAX(L438,0),K403)))))</f>
        <v>0</v>
      </c>
      <c r="L439" s="18">
        <f>IF($A439&gt;20,L438,(L438-K403+K439)*(1+$C$7))</f>
        <v>0.60008195344499615</v>
      </c>
      <c r="M439" s="18">
        <f t="shared" si="39"/>
        <v>0</v>
      </c>
      <c r="N439" s="18">
        <f>IF($A439&gt;20,0,(N403-MIN(MAX(O438,0),N403))+MIN(MAX(0,P438-(N403-MIN(MAX(O438,0),N403))),MAX(0,1*N403-(O438-MIN(MAX(O438,0),N403)))))</f>
        <v>0</v>
      </c>
      <c r="O439" s="18">
        <f>IF($A439&gt;20,O438,(O438-N403+N439)*(1+$C$7))</f>
        <v>1.3806123691451648E-2</v>
      </c>
      <c r="P439" s="18">
        <f t="shared" si="40"/>
        <v>0</v>
      </c>
      <c r="Q439" s="18">
        <f>IF($A439&gt;20,0,(Q403-MIN(MAX(R438,0),Q403))+MIN(MAX(0,S438-(Q403-MIN(MAX(R438,0),Q403))),MAX(0,1*Q403-(R438-MIN(MAX(R438,0),Q403)))))</f>
        <v>0</v>
      </c>
      <c r="R439" s="18">
        <f>IF($A439&gt;20,R438,(R438-Q403+Q439)*(1+$C$7))</f>
        <v>3.0019364203326403E-10</v>
      </c>
      <c r="S439" s="18">
        <f t="shared" si="41"/>
        <v>0</v>
      </c>
    </row>
    <row r="440" spans="1:19">
      <c r="A440" s="10">
        <f>35</f>
        <v>35</v>
      </c>
      <c r="B440" s="18">
        <f>IF($A440&gt;20,0,(B403-MIN(MAX(C439,0),B403))+MIN(MAX(0,D439-(B403-MIN(MAX(C439,0),B403))),MAX(0,1*B403-(C439-MIN(MAX(C439,0),B403)))))</f>
        <v>0</v>
      </c>
      <c r="C440" s="18">
        <f>IF($A440&gt;20,C439,(C439-B403+B440)*(1+$C$7))</f>
        <v>30189</v>
      </c>
      <c r="D440" s="18">
        <f t="shared" si="36"/>
        <v>926522.82669825293</v>
      </c>
      <c r="E440" s="18">
        <f>IF($A440&gt;20,0,(E403-MIN(MAX(F439,0),E403))+MIN(MAX(0,G439-(E403-MIN(MAX(F439,0),E403))),MAX(0,1*E403-(F439-MIN(MAX(F439,0),E403)))))</f>
        <v>0</v>
      </c>
      <c r="F440" s="18">
        <f>IF($A440&gt;20,F439,(F439-E403+E440)*(1+$C$7))</f>
        <v>0</v>
      </c>
      <c r="G440" s="18">
        <f t="shared" si="37"/>
        <v>-308300.84672381892</v>
      </c>
      <c r="H440" s="18">
        <f>IF($A440&gt;20,0,(H403-MIN(MAX(I439,0),H403))+MIN(MAX(0,J439-(H403-MIN(MAX(I439,0),H403))),MAX(0,1*H403-(I439-MIN(MAX(I439,0),H403)))))</f>
        <v>0</v>
      </c>
      <c r="I440" s="18">
        <f>IF($A440&gt;20,I439,(I439-H403+H440)*(1+$C$7))</f>
        <v>0</v>
      </c>
      <c r="J440" s="18">
        <f t="shared" si="38"/>
        <v>-5221.6068533166499</v>
      </c>
      <c r="K440" s="18">
        <f>IF($A440&gt;20,0,(K403-MIN(MAX(L439,0),K403))+MIN(MAX(0,M439-(K403-MIN(MAX(L439,0),K403))),MAX(0,1*K403-(L439-MIN(MAX(L439,0),K403)))))</f>
        <v>0</v>
      </c>
      <c r="L440" s="18">
        <f>IF($A440&gt;20,L439,(L439-K403+K440)*(1+$C$7))</f>
        <v>0.60008195344499615</v>
      </c>
      <c r="M440" s="18">
        <f t="shared" si="39"/>
        <v>0</v>
      </c>
      <c r="N440" s="18">
        <f>IF($A440&gt;20,0,(N403-MIN(MAX(O439,0),N403))+MIN(MAX(0,P439-(N403-MIN(MAX(O439,0),N403))),MAX(0,1*N403-(O439-MIN(MAX(O439,0),N403)))))</f>
        <v>0</v>
      </c>
      <c r="O440" s="18">
        <f>IF($A440&gt;20,O439,(O439-N403+N440)*(1+$C$7))</f>
        <v>1.3806123691451648E-2</v>
      </c>
      <c r="P440" s="18">
        <f t="shared" si="40"/>
        <v>0</v>
      </c>
      <c r="Q440" s="18">
        <f>IF($A440&gt;20,0,(Q403-MIN(MAX(R439,0),Q403))+MIN(MAX(0,S439-(Q403-MIN(MAX(R439,0),Q403))),MAX(0,1*Q403-(R439-MIN(MAX(R439,0),Q403)))))</f>
        <v>0</v>
      </c>
      <c r="R440" s="18">
        <f>IF($A440&gt;20,R439,(R439-Q403+Q440)*(1+$C$7))</f>
        <v>3.0019364203326403E-10</v>
      </c>
      <c r="S440" s="18">
        <f t="shared" si="41"/>
        <v>0</v>
      </c>
    </row>
    <row r="441" spans="1:19">
      <c r="A441" s="10">
        <f>36</f>
        <v>36</v>
      </c>
      <c r="B441" s="18">
        <f>IF($A441&gt;20,0,(B403-MIN(MAX(C440,0),B403))+MIN(MAX(0,D440-(B403-MIN(MAX(C440,0),B403))),MAX(0,1*B403-(C440-MIN(MAX(C440,0),B403)))))</f>
        <v>0</v>
      </c>
      <c r="C441" s="18">
        <f>IF($A441&gt;20,C440,(C440-B403+B441)*(1+$C$7))</f>
        <v>30189</v>
      </c>
      <c r="D441" s="18">
        <f t="shared" si="36"/>
        <v>926522.82669825293</v>
      </c>
      <c r="E441" s="18">
        <f>IF($A441&gt;20,0,(E403-MIN(MAX(F440,0),E403))+MIN(MAX(0,G440-(E403-MIN(MAX(F440,0),E403))),MAX(0,1*E403-(F440-MIN(MAX(F440,0),E403)))))</f>
        <v>0</v>
      </c>
      <c r="F441" s="18">
        <f>IF($A441&gt;20,F440,(F440-E403+E441)*(1+$C$7))</f>
        <v>0</v>
      </c>
      <c r="G441" s="18">
        <f t="shared" si="37"/>
        <v>-308300.84672381892</v>
      </c>
      <c r="H441" s="18">
        <f>IF($A441&gt;20,0,(H403-MIN(MAX(I440,0),H403))+MIN(MAX(0,J440-(H403-MIN(MAX(I440,0),H403))),MAX(0,1*H403-(I440-MIN(MAX(I440,0),H403)))))</f>
        <v>0</v>
      </c>
      <c r="I441" s="18">
        <f>IF($A441&gt;20,I440,(I440-H403+H441)*(1+$C$7))</f>
        <v>0</v>
      </c>
      <c r="J441" s="18">
        <f t="shared" si="38"/>
        <v>-5221.6068533166499</v>
      </c>
      <c r="K441" s="18">
        <f>IF($A441&gt;20,0,(K403-MIN(MAX(L440,0),K403))+MIN(MAX(0,M440-(K403-MIN(MAX(L440,0),K403))),MAX(0,1*K403-(L440-MIN(MAX(L440,0),K403)))))</f>
        <v>0</v>
      </c>
      <c r="L441" s="18">
        <f>IF($A441&gt;20,L440,(L440-K403+K441)*(1+$C$7))</f>
        <v>0.60008195344499615</v>
      </c>
      <c r="M441" s="18">
        <f t="shared" si="39"/>
        <v>0</v>
      </c>
      <c r="N441" s="18">
        <f>IF($A441&gt;20,0,(N403-MIN(MAX(O440,0),N403))+MIN(MAX(0,P440-(N403-MIN(MAX(O440,0),N403))),MAX(0,1*N403-(O440-MIN(MAX(O440,0),N403)))))</f>
        <v>0</v>
      </c>
      <c r="O441" s="18">
        <f>IF($A441&gt;20,O440,(O440-N403+N441)*(1+$C$7))</f>
        <v>1.3806123691451648E-2</v>
      </c>
      <c r="P441" s="18">
        <f t="shared" si="40"/>
        <v>0</v>
      </c>
      <c r="Q441" s="18">
        <f>IF($A441&gt;20,0,(Q403-MIN(MAX(R440,0),Q403))+MIN(MAX(0,S440-(Q403-MIN(MAX(R440,0),Q403))),MAX(0,1*Q403-(R440-MIN(MAX(R440,0),Q403)))))</f>
        <v>0</v>
      </c>
      <c r="R441" s="18">
        <f>IF($A441&gt;20,R440,(R440-Q403+Q441)*(1+$C$7))</f>
        <v>3.0019364203326403E-10</v>
      </c>
      <c r="S441" s="18">
        <f t="shared" si="41"/>
        <v>0</v>
      </c>
    </row>
    <row r="442" spans="1:19">
      <c r="A442" s="10">
        <f>37</f>
        <v>37</v>
      </c>
      <c r="B442" s="18">
        <f>IF($A442&gt;20,0,(B403-MIN(MAX(C441,0),B403))+MIN(MAX(0,D441-(B403-MIN(MAX(C441,0),B403))),MAX(0,1*B403-(C441-MIN(MAX(C441,0),B403)))))</f>
        <v>0</v>
      </c>
      <c r="C442" s="18">
        <f>IF($A442&gt;20,C441,(C441-B403+B442)*(1+$C$7))</f>
        <v>30189</v>
      </c>
      <c r="D442" s="18">
        <f t="shared" si="36"/>
        <v>926522.82669825293</v>
      </c>
      <c r="E442" s="18">
        <f>IF($A442&gt;20,0,(E403-MIN(MAX(F441,0),E403))+MIN(MAX(0,G441-(E403-MIN(MAX(F441,0),E403))),MAX(0,1*E403-(F441-MIN(MAX(F441,0),E403)))))</f>
        <v>0</v>
      </c>
      <c r="F442" s="18">
        <f>IF($A442&gt;20,F441,(F441-E403+E442)*(1+$C$7))</f>
        <v>0</v>
      </c>
      <c r="G442" s="18">
        <f t="shared" si="37"/>
        <v>-308300.84672381892</v>
      </c>
      <c r="H442" s="18">
        <f>IF($A442&gt;20,0,(H403-MIN(MAX(I441,0),H403))+MIN(MAX(0,J441-(H403-MIN(MAX(I441,0),H403))),MAX(0,1*H403-(I441-MIN(MAX(I441,0),H403)))))</f>
        <v>0</v>
      </c>
      <c r="I442" s="18">
        <f>IF($A442&gt;20,I441,(I441-H403+H442)*(1+$C$7))</f>
        <v>0</v>
      </c>
      <c r="J442" s="18">
        <f t="shared" si="38"/>
        <v>-5221.6068533166499</v>
      </c>
      <c r="K442" s="18">
        <f>IF($A442&gt;20,0,(K403-MIN(MAX(L441,0),K403))+MIN(MAX(0,M441-(K403-MIN(MAX(L441,0),K403))),MAX(0,1*K403-(L441-MIN(MAX(L441,0),K403)))))</f>
        <v>0</v>
      </c>
      <c r="L442" s="18">
        <f>IF($A442&gt;20,L441,(L441-K403+K442)*(1+$C$7))</f>
        <v>0.60008195344499615</v>
      </c>
      <c r="M442" s="18">
        <f t="shared" si="39"/>
        <v>0</v>
      </c>
      <c r="N442" s="18">
        <f>IF($A442&gt;20,0,(N403-MIN(MAX(O441,0),N403))+MIN(MAX(0,P441-(N403-MIN(MAX(O441,0),N403))),MAX(0,1*N403-(O441-MIN(MAX(O441,0),N403)))))</f>
        <v>0</v>
      </c>
      <c r="O442" s="18">
        <f>IF($A442&gt;20,O441,(O441-N403+N442)*(1+$C$7))</f>
        <v>1.3806123691451648E-2</v>
      </c>
      <c r="P442" s="18">
        <f t="shared" si="40"/>
        <v>0</v>
      </c>
      <c r="Q442" s="18">
        <f>IF($A442&gt;20,0,(Q403-MIN(MAX(R441,0),Q403))+MIN(MAX(0,S441-(Q403-MIN(MAX(R441,0),Q403))),MAX(0,1*Q403-(R441-MIN(MAX(R441,0),Q403)))))</f>
        <v>0</v>
      </c>
      <c r="R442" s="18">
        <f>IF($A442&gt;20,R441,(R441-Q403+Q442)*(1+$C$7))</f>
        <v>3.0019364203326403E-10</v>
      </c>
      <c r="S442" s="18">
        <f t="shared" si="41"/>
        <v>0</v>
      </c>
    </row>
    <row r="443" spans="1:19">
      <c r="A443" s="10">
        <f>38</f>
        <v>38</v>
      </c>
      <c r="B443" s="18">
        <f>IF($A443&gt;20,0,(B403-MIN(MAX(C442,0),B403))+MIN(MAX(0,D442-(B403-MIN(MAX(C442,0),B403))),MAX(0,1*B403-(C442-MIN(MAX(C442,0),B403)))))</f>
        <v>0</v>
      </c>
      <c r="C443" s="18">
        <f>IF($A443&gt;20,C442,(C442-B403+B443)*(1+$C$7))</f>
        <v>30189</v>
      </c>
      <c r="D443" s="18">
        <f t="shared" si="36"/>
        <v>926522.82669825293</v>
      </c>
      <c r="E443" s="18">
        <f>IF($A443&gt;20,0,(E403-MIN(MAX(F442,0),E403))+MIN(MAX(0,G442-(E403-MIN(MAX(F442,0),E403))),MAX(0,1*E403-(F442-MIN(MAX(F442,0),E403)))))</f>
        <v>0</v>
      </c>
      <c r="F443" s="18">
        <f>IF($A443&gt;20,F442,(F442-E403+E443)*(1+$C$7))</f>
        <v>0</v>
      </c>
      <c r="G443" s="18">
        <f t="shared" si="37"/>
        <v>-308300.84672381892</v>
      </c>
      <c r="H443" s="18">
        <f>IF($A443&gt;20,0,(H403-MIN(MAX(I442,0),H403))+MIN(MAX(0,J442-(H403-MIN(MAX(I442,0),H403))),MAX(0,1*H403-(I442-MIN(MAX(I442,0),H403)))))</f>
        <v>0</v>
      </c>
      <c r="I443" s="18">
        <f>IF($A443&gt;20,I442,(I442-H403+H443)*(1+$C$7))</f>
        <v>0</v>
      </c>
      <c r="J443" s="18">
        <f t="shared" si="38"/>
        <v>-5221.6068533166499</v>
      </c>
      <c r="K443" s="18">
        <f>IF($A443&gt;20,0,(K403-MIN(MAX(L442,0),K403))+MIN(MAX(0,M442-(K403-MIN(MAX(L442,0),K403))),MAX(0,1*K403-(L442-MIN(MAX(L442,0),K403)))))</f>
        <v>0</v>
      </c>
      <c r="L443" s="18">
        <f>IF($A443&gt;20,L442,(L442-K403+K443)*(1+$C$7))</f>
        <v>0.60008195344499615</v>
      </c>
      <c r="M443" s="18">
        <f t="shared" si="39"/>
        <v>0</v>
      </c>
      <c r="N443" s="18">
        <f>IF($A443&gt;20,0,(N403-MIN(MAX(O442,0),N403))+MIN(MAX(0,P442-(N403-MIN(MAX(O442,0),N403))),MAX(0,1*N403-(O442-MIN(MAX(O442,0),N403)))))</f>
        <v>0</v>
      </c>
      <c r="O443" s="18">
        <f>IF($A443&gt;20,O442,(O442-N403+N443)*(1+$C$7))</f>
        <v>1.3806123691451648E-2</v>
      </c>
      <c r="P443" s="18">
        <f t="shared" si="40"/>
        <v>0</v>
      </c>
      <c r="Q443" s="18">
        <f>IF($A443&gt;20,0,(Q403-MIN(MAX(R442,0),Q403))+MIN(MAX(0,S442-(Q403-MIN(MAX(R442,0),Q403))),MAX(0,1*Q403-(R442-MIN(MAX(R442,0),Q403)))))</f>
        <v>0</v>
      </c>
      <c r="R443" s="18">
        <f>IF($A443&gt;20,R442,(R442-Q403+Q443)*(1+$C$7))</f>
        <v>3.0019364203326403E-10</v>
      </c>
      <c r="S443" s="18">
        <f t="shared" si="41"/>
        <v>0</v>
      </c>
    </row>
    <row r="444" spans="1:19">
      <c r="A444" s="10">
        <f>39</f>
        <v>39</v>
      </c>
      <c r="B444" s="18">
        <f>IF($A444&gt;20,0,(B403-MIN(MAX(C443,0),B403))+MIN(MAX(0,D443-(B403-MIN(MAX(C443,0),B403))),MAX(0,1*B403-(C443-MIN(MAX(C443,0),B403)))))</f>
        <v>0</v>
      </c>
      <c r="C444" s="18">
        <f>IF($A444&gt;20,C443,(C443-B403+B444)*(1+$C$7))</f>
        <v>30189</v>
      </c>
      <c r="D444" s="18">
        <f t="shared" si="36"/>
        <v>926522.82669825293</v>
      </c>
      <c r="E444" s="18">
        <f>IF($A444&gt;20,0,(E403-MIN(MAX(F443,0),E403))+MIN(MAX(0,G443-(E403-MIN(MAX(F443,0),E403))),MAX(0,1*E403-(F443-MIN(MAX(F443,0),E403)))))</f>
        <v>0</v>
      </c>
      <c r="F444" s="18">
        <f>IF($A444&gt;20,F443,(F443-E403+E444)*(1+$C$7))</f>
        <v>0</v>
      </c>
      <c r="G444" s="18">
        <f t="shared" si="37"/>
        <v>-308300.84672381892</v>
      </c>
      <c r="H444" s="18">
        <f>IF($A444&gt;20,0,(H403-MIN(MAX(I443,0),H403))+MIN(MAX(0,J443-(H403-MIN(MAX(I443,0),H403))),MAX(0,1*H403-(I443-MIN(MAX(I443,0),H403)))))</f>
        <v>0</v>
      </c>
      <c r="I444" s="18">
        <f>IF($A444&gt;20,I443,(I443-H403+H444)*(1+$C$7))</f>
        <v>0</v>
      </c>
      <c r="J444" s="18">
        <f t="shared" si="38"/>
        <v>-5221.6068533166499</v>
      </c>
      <c r="K444" s="18">
        <f>IF($A444&gt;20,0,(K403-MIN(MAX(L443,0),K403))+MIN(MAX(0,M443-(K403-MIN(MAX(L443,0),K403))),MAX(0,1*K403-(L443-MIN(MAX(L443,0),K403)))))</f>
        <v>0</v>
      </c>
      <c r="L444" s="18">
        <f>IF($A444&gt;20,L443,(L443-K403+K444)*(1+$C$7))</f>
        <v>0.60008195344499615</v>
      </c>
      <c r="M444" s="18">
        <f t="shared" si="39"/>
        <v>0</v>
      </c>
      <c r="N444" s="18">
        <f>IF($A444&gt;20,0,(N403-MIN(MAX(O443,0),N403))+MIN(MAX(0,P443-(N403-MIN(MAX(O443,0),N403))),MAX(0,1*N403-(O443-MIN(MAX(O443,0),N403)))))</f>
        <v>0</v>
      </c>
      <c r="O444" s="18">
        <f>IF($A444&gt;20,O443,(O443-N403+N444)*(1+$C$7))</f>
        <v>1.3806123691451648E-2</v>
      </c>
      <c r="P444" s="18">
        <f t="shared" si="40"/>
        <v>0</v>
      </c>
      <c r="Q444" s="18">
        <f>IF($A444&gt;20,0,(Q403-MIN(MAX(R443,0),Q403))+MIN(MAX(0,S443-(Q403-MIN(MAX(R443,0),Q403))),MAX(0,1*Q403-(R443-MIN(MAX(R443,0),Q403)))))</f>
        <v>0</v>
      </c>
      <c r="R444" s="18">
        <f>IF($A444&gt;20,R443,(R443-Q403+Q444)*(1+$C$7))</f>
        <v>3.0019364203326403E-10</v>
      </c>
      <c r="S444" s="18">
        <f t="shared" si="41"/>
        <v>0</v>
      </c>
    </row>
    <row r="445" spans="1:19">
      <c r="A445" s="10">
        <f>40</f>
        <v>40</v>
      </c>
      <c r="B445" s="18">
        <f>IF($A445&gt;20,0,(B403-MIN(MAX(C444,0),B403))+MIN(MAX(0,D444-(B403-MIN(MAX(C444,0),B403))),MAX(0,1*B403-(C444-MIN(MAX(C444,0),B403)))))</f>
        <v>0</v>
      </c>
      <c r="C445" s="18">
        <f>IF($A445&gt;20,C444,(C444-B403+B445)*(1+$C$7))</f>
        <v>30189</v>
      </c>
      <c r="D445" s="18">
        <f t="shared" si="36"/>
        <v>926522.82669825293</v>
      </c>
      <c r="E445" s="18">
        <f>IF($A445&gt;20,0,(E403-MIN(MAX(F444,0),E403))+MIN(MAX(0,G444-(E403-MIN(MAX(F444,0),E403))),MAX(0,1*E403-(F444-MIN(MAX(F444,0),E403)))))</f>
        <v>0</v>
      </c>
      <c r="F445" s="18">
        <f>IF($A445&gt;20,F444,(F444-E403+E445)*(1+$C$7))</f>
        <v>0</v>
      </c>
      <c r="G445" s="18">
        <f t="shared" si="37"/>
        <v>-308300.84672381892</v>
      </c>
      <c r="H445" s="18">
        <f>IF($A445&gt;20,0,(H403-MIN(MAX(I444,0),H403))+MIN(MAX(0,J444-(H403-MIN(MAX(I444,0),H403))),MAX(0,1*H403-(I444-MIN(MAX(I444,0),H403)))))</f>
        <v>0</v>
      </c>
      <c r="I445" s="18">
        <f>IF($A445&gt;20,I444,(I444-H403+H445)*(1+$C$7))</f>
        <v>0</v>
      </c>
      <c r="J445" s="18">
        <f t="shared" si="38"/>
        <v>-5221.6068533166499</v>
      </c>
      <c r="K445" s="18">
        <f>IF($A445&gt;20,0,(K403-MIN(MAX(L444,0),K403))+MIN(MAX(0,M444-(K403-MIN(MAX(L444,0),K403))),MAX(0,1*K403-(L444-MIN(MAX(L444,0),K403)))))</f>
        <v>0</v>
      </c>
      <c r="L445" s="18">
        <f>IF($A445&gt;20,L444,(L444-K403+K445)*(1+$C$7))</f>
        <v>0.60008195344499615</v>
      </c>
      <c r="M445" s="18">
        <f t="shared" si="39"/>
        <v>0</v>
      </c>
      <c r="N445" s="18">
        <f>IF($A445&gt;20,0,(N403-MIN(MAX(O444,0),N403))+MIN(MAX(0,P444-(N403-MIN(MAX(O444,0),N403))),MAX(0,1*N403-(O444-MIN(MAX(O444,0),N403)))))</f>
        <v>0</v>
      </c>
      <c r="O445" s="18">
        <f>IF($A445&gt;20,O444,(O444-N403+N445)*(1+$C$7))</f>
        <v>1.3806123691451648E-2</v>
      </c>
      <c r="P445" s="18">
        <f t="shared" si="40"/>
        <v>0</v>
      </c>
      <c r="Q445" s="18">
        <f>IF($A445&gt;20,0,(Q403-MIN(MAX(R444,0),Q403))+MIN(MAX(0,S444-(Q403-MIN(MAX(R444,0),Q403))),MAX(0,1*Q403-(R444-MIN(MAX(R444,0),Q403)))))</f>
        <v>0</v>
      </c>
      <c r="R445" s="18">
        <f>IF($A445&gt;20,R444,(R444-Q403+Q445)*(1+$C$7))</f>
        <v>3.0019364203326403E-10</v>
      </c>
      <c r="S445" s="18">
        <f t="shared" si="41"/>
        <v>0</v>
      </c>
    </row>
    <row r="446" spans="1:19">
      <c r="B446" s="18">
        <f>C445+D445</f>
        <v>956711.82669825293</v>
      </c>
      <c r="E446" s="18">
        <f>F445+G445</f>
        <v>-308300.84672381892</v>
      </c>
      <c r="H446" s="18">
        <f>I445+J445</f>
        <v>-5221.6068533166499</v>
      </c>
      <c r="K446" s="18">
        <f>L445+M445</f>
        <v>0.60008195344499615</v>
      </c>
      <c r="N446" s="18">
        <f>O445+P445</f>
        <v>1.3806123691451648E-2</v>
      </c>
      <c r="Q446" s="18">
        <f>R445+S445</f>
        <v>3.0019364203326403E-10</v>
      </c>
    </row>
    <row r="447" spans="1:19">
      <c r="A447" s="5" t="s">
        <v>266</v>
      </c>
      <c r="B447" s="18">
        <f>IFERROR(Q403-Q446*(Q403-N403)/(Q446-N446),Q403)</f>
        <v>63843.961155392913</v>
      </c>
    </row>
    <row r="449" spans="1:19">
      <c r="A449" s="2" t="s">
        <v>273</v>
      </c>
    </row>
    <row r="450" spans="1:19">
      <c r="B450" s="9">
        <f>0.03*$B$5</f>
        <v>30000</v>
      </c>
      <c r="E450" s="9">
        <f>0.075*$B$5</f>
        <v>75000</v>
      </c>
      <c r="H450" s="18">
        <f>IFERROR(E450-E493*(E450-B450)/(E493-B493),E450)</f>
        <v>62941.774736766507</v>
      </c>
      <c r="K450" s="18">
        <f>IFERROR(H450-H493*(H450-E450)/(H493-E493),H450)</f>
        <v>62543.27045237022</v>
      </c>
      <c r="N450" s="18">
        <f>IFERROR(K450-K493*(K450-H450)/(K493-H493),K450)</f>
        <v>62543.440739898098</v>
      </c>
      <c r="Q450" s="18">
        <f>IFERROR(N450-N493*(N450-K450)/(N493-K493),N450)</f>
        <v>62543.444748691938</v>
      </c>
    </row>
    <row r="451" spans="1:19">
      <c r="A451" s="25" t="s">
        <v>262</v>
      </c>
      <c r="B451" s="25" t="s">
        <v>263</v>
      </c>
      <c r="C451" s="25" t="s">
        <v>264</v>
      </c>
      <c r="D451" s="25" t="s">
        <v>265</v>
      </c>
      <c r="E451" s="25" t="s">
        <v>263</v>
      </c>
      <c r="F451" s="25" t="s">
        <v>264</v>
      </c>
      <c r="G451" s="25" t="s">
        <v>265</v>
      </c>
      <c r="H451" s="25" t="s">
        <v>263</v>
      </c>
      <c r="I451" s="25" t="s">
        <v>264</v>
      </c>
      <c r="J451" s="25" t="s">
        <v>265</v>
      </c>
      <c r="K451" s="25" t="s">
        <v>263</v>
      </c>
      <c r="L451" s="25" t="s">
        <v>264</v>
      </c>
      <c r="M451" s="25" t="s">
        <v>265</v>
      </c>
      <c r="N451" s="25" t="s">
        <v>263</v>
      </c>
      <c r="O451" s="25" t="s">
        <v>264</v>
      </c>
      <c r="P451" s="25" t="s">
        <v>265</v>
      </c>
      <c r="Q451" s="25" t="s">
        <v>263</v>
      </c>
      <c r="R451" s="25" t="s">
        <v>264</v>
      </c>
      <c r="S451" s="25" t="s">
        <v>265</v>
      </c>
    </row>
    <row r="452" spans="1:19">
      <c r="A452" s="3">
        <v>0</v>
      </c>
      <c r="C452" s="18">
        <f>MIN(2*B450,$B$5)</f>
        <v>60000</v>
      </c>
      <c r="D452" s="18">
        <f>$B$5-C452</f>
        <v>940000</v>
      </c>
      <c r="F452" s="18">
        <f>MIN(2*E450,$B$5)</f>
        <v>150000</v>
      </c>
      <c r="G452" s="18">
        <f>$B$5-F452</f>
        <v>850000</v>
      </c>
      <c r="I452" s="18">
        <f>MIN(2*H450,$B$5)</f>
        <v>125883.54947353301</v>
      </c>
      <c r="J452" s="18">
        <f>$B$5-I452</f>
        <v>874116.45052646694</v>
      </c>
      <c r="L452" s="18">
        <f>MIN(2*K450,$B$5)</f>
        <v>125086.54090474044</v>
      </c>
      <c r="M452" s="18">
        <f>$B$5-L452</f>
        <v>874913.45909525955</v>
      </c>
      <c r="O452" s="18">
        <f>MIN(2*N450,$B$5)</f>
        <v>125086.8814797962</v>
      </c>
      <c r="P452" s="18">
        <f>$B$5-O452</f>
        <v>874913.11852020374</v>
      </c>
      <c r="R452" s="18">
        <f>MIN(2*Q450,$B$5)</f>
        <v>125086.88949738388</v>
      </c>
      <c r="S452" s="18">
        <f>$B$5-R452</f>
        <v>874913.11050261615</v>
      </c>
    </row>
    <row r="453" spans="1:19">
      <c r="A453" s="10">
        <f>1</f>
        <v>1</v>
      </c>
      <c r="B453" s="18">
        <f>IF($A453&gt;20,0,(B450-MIN(MAX(C452,0),B450))+MIN(MAX(0,D452-(B450-MIN(MAX(C452,0),B450))),MAX(0,2*B450-(C452-MIN(MAX(C452,0),B450)))))</f>
        <v>30000</v>
      </c>
      <c r="C453" s="18">
        <f>IF($A453&gt;20,C452,(C452-B450+B453)*(1+$C$7))</f>
        <v>60378</v>
      </c>
      <c r="D453" s="18">
        <f t="shared" ref="D453:D492" si="42">IF($A453&gt;20,D452,(D452-B453)*(1+$B$6))</f>
        <v>937300</v>
      </c>
      <c r="E453" s="18">
        <f>IF($A453&gt;20,0,(E450-MIN(MAX(F452,0),E450))+MIN(MAX(0,G452-(E450-MIN(MAX(F452,0),E450))),MAX(0,2*E450-(F452-MIN(MAX(F452,0),E450)))))</f>
        <v>75000</v>
      </c>
      <c r="F453" s="18">
        <f>IF($A453&gt;20,F452,(F452-E450+E453)*(1+$C$7))</f>
        <v>150945</v>
      </c>
      <c r="G453" s="18">
        <f t="shared" ref="G453:G492" si="43">IF($A453&gt;20,G452,(G452-E453)*(1+$B$6))</f>
        <v>798250</v>
      </c>
      <c r="H453" s="18">
        <f>IF($A453&gt;20,0,(H450-MIN(MAX(I452,0),H450))+MIN(MAX(0,J452-(H450-MIN(MAX(I452,0),H450))),MAX(0,2*H450-(I452-MIN(MAX(I452,0),H450)))))</f>
        <v>62941.774736766507</v>
      </c>
      <c r="I453" s="18">
        <f>IF($A453&gt;20,I452,(I452-H450+H453)*(1+$C$7))</f>
        <v>126676.61583521627</v>
      </c>
      <c r="J453" s="18">
        <f t="shared" ref="J453:J492" si="44">IF($A453&gt;20,J452,(J452-H453)*(1+$B$6))</f>
        <v>835509.91606339149</v>
      </c>
      <c r="K453" s="18">
        <f>IF($A453&gt;20,0,(K450-MIN(MAX(L452,0),K450))+MIN(MAX(0,M452-(K450-MIN(MAX(L452,0),K450))),MAX(0,2*K450-(L452-MIN(MAX(L452,0),K450)))))</f>
        <v>62543.27045237022</v>
      </c>
      <c r="L453" s="18">
        <f>IF($A453&gt;20,L452,(L452-K450+K453)*(1+$C$7))</f>
        <v>125874.5861124403</v>
      </c>
      <c r="M453" s="18">
        <f t="shared" ref="M453:M492" si="45">IF($A453&gt;20,M452,(M452-K453)*(1+$B$6))</f>
        <v>836741.2943021761</v>
      </c>
      <c r="N453" s="18">
        <f>IF($A453&gt;20,0,(N450-MIN(MAX(O452,0),N450))+MIN(MAX(0,P452-(N450-MIN(MAX(O452,0),N450))),MAX(0,2*N450-(O452-MIN(MAX(O452,0),N450)))))</f>
        <v>62543.440739898098</v>
      </c>
      <c r="O453" s="18">
        <f>IF($A453&gt;20,O452,(O452-N450+N453)*(1+$C$7))</f>
        <v>125874.92883311892</v>
      </c>
      <c r="P453" s="18">
        <f t="shared" ref="P453:P492" si="46">IF($A453&gt;20,P452,(P452-N453)*(1+$B$6))</f>
        <v>836740.76811371476</v>
      </c>
      <c r="Q453" s="18">
        <f>IF($A453&gt;20,0,(Q450-MIN(MAX(R452,0),Q450))+MIN(MAX(0,S452-(Q450-MIN(MAX(R452,0),Q450))),MAX(0,2*Q450-(R452-MIN(MAX(R452,0),Q450)))))</f>
        <v>62543.444748691938</v>
      </c>
      <c r="R453" s="18">
        <f>IF($A453&gt;20,R452,(R452-Q450+Q453)*(1+$C$7))</f>
        <v>125874.93690121738</v>
      </c>
      <c r="S453" s="18">
        <f t="shared" ref="S453:S492" si="47">IF($A453&gt;20,S452,(S452-Q453)*(1+$B$6))</f>
        <v>836740.75572654197</v>
      </c>
    </row>
    <row r="454" spans="1:19">
      <c r="A454" s="10">
        <f>2</f>
        <v>2</v>
      </c>
      <c r="B454" s="18">
        <f>IF($A454&gt;20,0,(B450-MIN(MAX(C453,0),B450))+MIN(MAX(0,D453-(B450-MIN(MAX(C453,0),B450))),MAX(0,2*B450-(C453-MIN(MAX(C453,0),B450)))))</f>
        <v>29622</v>
      </c>
      <c r="C454" s="18">
        <f>IF($A454&gt;20,C453,(C453-B450+B454)*(1+$C$7))</f>
        <v>60378</v>
      </c>
      <c r="D454" s="18">
        <f t="shared" si="42"/>
        <v>934908.34</v>
      </c>
      <c r="E454" s="18">
        <f>IF($A454&gt;20,0,(E450-MIN(MAX(F453,0),E450))+MIN(MAX(0,G453-(E450-MIN(MAX(F453,0),E450))),MAX(0,2*E450-(F453-MIN(MAX(F453,0),E450)))))</f>
        <v>74055</v>
      </c>
      <c r="F454" s="18">
        <f>IF($A454&gt;20,F453,(F453-E450+E454)*(1+$C$7))</f>
        <v>150945</v>
      </c>
      <c r="G454" s="18">
        <f t="shared" si="43"/>
        <v>745920.85</v>
      </c>
      <c r="H454" s="18">
        <f>IF($A454&gt;20,0,(H450-MIN(MAX(I453,0),H450))+MIN(MAX(0,J453-(H450-MIN(MAX(I453,0),H450))),MAX(0,2*H450-(I453-MIN(MAX(I453,0),H450)))))</f>
        <v>62148.708375083246</v>
      </c>
      <c r="I454" s="18">
        <f>IF($A454&gt;20,I453,(I453-H450+H454)*(1+$C$7))</f>
        <v>126676.61583521627</v>
      </c>
      <c r="J454" s="18">
        <f t="shared" si="44"/>
        <v>796562.04391895747</v>
      </c>
      <c r="K454" s="18">
        <f>IF($A454&gt;20,0,(K450-MIN(MAX(L453,0),K450))+MIN(MAX(0,M453-(K450-MIN(MAX(L453,0),K450))),MAX(0,2*K450-(L453-MIN(MAX(L453,0),K450)))))</f>
        <v>61755.225244670357</v>
      </c>
      <c r="L454" s="18">
        <f>IF($A454&gt;20,L453,(L453-K450+K454)*(1+$C$7))</f>
        <v>125874.5861124403</v>
      </c>
      <c r="M454" s="18">
        <f t="shared" si="45"/>
        <v>798235.65112923086</v>
      </c>
      <c r="N454" s="18">
        <f>IF($A454&gt;20,0,(N450-MIN(MAX(O453,0),N450))+MIN(MAX(0,P453-(N450-MIN(MAX(O453,0),N450))),MAX(0,2*N450-(O453-MIN(MAX(O453,0),N450)))))</f>
        <v>61755.393386575379</v>
      </c>
      <c r="O454" s="18">
        <f>IF($A454&gt;20,O453,(O453-N450+N454)*(1+$C$7))</f>
        <v>125874.92883311892</v>
      </c>
      <c r="P454" s="18">
        <f t="shared" si="46"/>
        <v>798234.93596895353</v>
      </c>
      <c r="Q454" s="18">
        <f>IF($A454&gt;20,0,(Q450-MIN(MAX(R453,0),Q450))+MIN(MAX(0,S453-(Q450-MIN(MAX(R453,0),Q450))),MAX(0,2*Q450-(R453-MIN(MAX(R453,0),Q450)))))</f>
        <v>61755.397344858429</v>
      </c>
      <c r="R454" s="18">
        <f>IF($A454&gt;20,R453,(R453-Q450+Q454)*(1+$C$7))</f>
        <v>125874.93690121738</v>
      </c>
      <c r="S454" s="18">
        <f t="shared" si="47"/>
        <v>798234.91913313407</v>
      </c>
    </row>
    <row r="455" spans="1:19">
      <c r="A455" s="10">
        <f>3</f>
        <v>3</v>
      </c>
      <c r="B455" s="18">
        <f>IF($A455&gt;20,0,(B450-MIN(MAX(C454,0),B450))+MIN(MAX(0,D454-(B450-MIN(MAX(C454,0),B450))),MAX(0,2*B450-(C454-MIN(MAX(C454,0),B450)))))</f>
        <v>29622</v>
      </c>
      <c r="C455" s="18">
        <f>IF($A455&gt;20,C454,(C454-B450+B455)*(1+$C$7))</f>
        <v>60378</v>
      </c>
      <c r="D455" s="18">
        <f t="shared" si="42"/>
        <v>932444.93019999994</v>
      </c>
      <c r="E455" s="18">
        <f>IF($A455&gt;20,0,(E450-MIN(MAX(F454,0),E450))+MIN(MAX(0,G454-(E450-MIN(MAX(F454,0),E450))),MAX(0,2*E450-(F454-MIN(MAX(F454,0),E450)))))</f>
        <v>74055</v>
      </c>
      <c r="F455" s="18">
        <f>IF($A455&gt;20,F454,(F454-E450+E455)*(1+$C$7))</f>
        <v>150945</v>
      </c>
      <c r="G455" s="18">
        <f t="shared" si="43"/>
        <v>692021.82550000004</v>
      </c>
      <c r="H455" s="18">
        <f>IF($A455&gt;20,0,(H450-MIN(MAX(I454,0),H450))+MIN(MAX(0,J454-(H450-MIN(MAX(I454,0),H450))),MAX(0,2*H450-(I454-MIN(MAX(I454,0),H450)))))</f>
        <v>62148.708375083246</v>
      </c>
      <c r="I455" s="18">
        <f>IF($A455&gt;20,I454,(I454-H450+H455)*(1+$C$7))</f>
        <v>126676.61583521627</v>
      </c>
      <c r="J455" s="18">
        <f t="shared" si="44"/>
        <v>756445.73561019043</v>
      </c>
      <c r="K455" s="18">
        <f>IF($A455&gt;20,0,(K450-MIN(MAX(L454,0),K450))+MIN(MAX(0,M454-(K450-MIN(MAX(L454,0),K450))),MAX(0,2*K450-(L454-MIN(MAX(L454,0),K450)))))</f>
        <v>61755.225244670357</v>
      </c>
      <c r="L455" s="18">
        <f>IF($A455&gt;20,L454,(L454-K450+K455)*(1+$C$7))</f>
        <v>125874.5861124403</v>
      </c>
      <c r="M455" s="18">
        <f t="shared" si="45"/>
        <v>758574.83866109734</v>
      </c>
      <c r="N455" s="18">
        <f>IF($A455&gt;20,0,(N450-MIN(MAX(O454,0),N450))+MIN(MAX(0,P454-(N450-MIN(MAX(O454,0),N450))),MAX(0,2*N450-(O454-MIN(MAX(O454,0),N450)))))</f>
        <v>61755.393386575379</v>
      </c>
      <c r="O455" s="18">
        <f>IF($A455&gt;20,O454,(O454-N450+N455)*(1+$C$7))</f>
        <v>125874.92883311892</v>
      </c>
      <c r="P455" s="18">
        <f t="shared" si="46"/>
        <v>758573.92885984946</v>
      </c>
      <c r="Q455" s="18">
        <f>IF($A455&gt;20,0,(Q450-MIN(MAX(R454,0),Q450))+MIN(MAX(0,S454-(Q450-MIN(MAX(R454,0),Q450))),MAX(0,2*Q450-(R454-MIN(MAX(R454,0),Q450)))))</f>
        <v>61755.397344858429</v>
      </c>
      <c r="R455" s="18">
        <f>IF($A455&gt;20,R454,(R454-Q450+Q455)*(1+$C$7))</f>
        <v>125874.93690121738</v>
      </c>
      <c r="S455" s="18">
        <f t="shared" si="47"/>
        <v>758573.90744192398</v>
      </c>
    </row>
    <row r="456" spans="1:19">
      <c r="A456" s="10">
        <f>4</f>
        <v>4</v>
      </c>
      <c r="B456" s="18">
        <f>IF($A456&gt;20,0,(B450-MIN(MAX(C455,0),B450))+MIN(MAX(0,D455-(B450-MIN(MAX(C455,0),B450))),MAX(0,2*B450-(C455-MIN(MAX(C455,0),B450)))))</f>
        <v>29622</v>
      </c>
      <c r="C456" s="18">
        <f>IF($A456&gt;20,C455,(C455-B450+B456)*(1+$C$7))</f>
        <v>60378</v>
      </c>
      <c r="D456" s="18">
        <f t="shared" si="42"/>
        <v>929907.61810600001</v>
      </c>
      <c r="E456" s="18">
        <f>IF($A456&gt;20,0,(E450-MIN(MAX(F455,0),E450))+MIN(MAX(0,G455-(E450-MIN(MAX(F455,0),E450))),MAX(0,2*E450-(F455-MIN(MAX(F455,0),E450)))))</f>
        <v>74055</v>
      </c>
      <c r="F456" s="18">
        <f>IF($A456&gt;20,F455,(F455-E450+E456)*(1+$C$7))</f>
        <v>150945</v>
      </c>
      <c r="G456" s="18">
        <f t="shared" si="43"/>
        <v>636505.830265</v>
      </c>
      <c r="H456" s="18">
        <f>IF($A456&gt;20,0,(H450-MIN(MAX(I455,0),H450))+MIN(MAX(0,J455-(H450-MIN(MAX(I455,0),H450))),MAX(0,2*H450-(I455-MIN(MAX(I455,0),H450)))))</f>
        <v>62148.708375083246</v>
      </c>
      <c r="I456" s="18">
        <f>IF($A456&gt;20,I455,(I455-H450+H456)*(1+$C$7))</f>
        <v>126676.61583521627</v>
      </c>
      <c r="J456" s="18">
        <f t="shared" si="44"/>
        <v>715125.93805216043</v>
      </c>
      <c r="K456" s="18">
        <f>IF($A456&gt;20,0,(K450-MIN(MAX(L455,0),K450))+MIN(MAX(0,M455-(K450-MIN(MAX(L455,0),K450))),MAX(0,2*K450-(L455-MIN(MAX(L455,0),K450)))))</f>
        <v>61755.225244670357</v>
      </c>
      <c r="L456" s="18">
        <f>IF($A456&gt;20,L455,(L455-K450+K456)*(1+$C$7))</f>
        <v>125874.5861124403</v>
      </c>
      <c r="M456" s="18">
        <f t="shared" si="45"/>
        <v>717724.20181891974</v>
      </c>
      <c r="N456" s="18">
        <f>IF($A456&gt;20,0,(N450-MIN(MAX(O455,0),N450))+MIN(MAX(0,P455-(N450-MIN(MAX(O455,0),N450))),MAX(0,2*N450-(O455-MIN(MAX(O455,0),N450)))))</f>
        <v>61755.393386575379</v>
      </c>
      <c r="O456" s="18">
        <f>IF($A456&gt;20,O455,(O455-N450+N456)*(1+$C$7))</f>
        <v>125874.92883311892</v>
      </c>
      <c r="P456" s="18">
        <f t="shared" si="46"/>
        <v>717723.09153747233</v>
      </c>
      <c r="Q456" s="18">
        <f>IF($A456&gt;20,0,(Q450-MIN(MAX(R455,0),Q450))+MIN(MAX(0,S455-(Q450-MIN(MAX(R455,0),Q450))),MAX(0,2*Q450-(R455-MIN(MAX(R455,0),Q450)))))</f>
        <v>61755.397344858429</v>
      </c>
      <c r="R456" s="18">
        <f>IF($A456&gt;20,R455,(R455-Q450+Q456)*(1+$C$7))</f>
        <v>125874.93690121738</v>
      </c>
      <c r="S456" s="18">
        <f t="shared" si="47"/>
        <v>717723.06539997761</v>
      </c>
    </row>
    <row r="457" spans="1:19">
      <c r="A457" s="10">
        <f>5</f>
        <v>5</v>
      </c>
      <c r="B457" s="18">
        <f>IF($A457&gt;20,0,(B450-MIN(MAX(C456,0),B450))+MIN(MAX(0,D456-(B450-MIN(MAX(C456,0),B450))),MAX(0,2*B450-(C456-MIN(MAX(C456,0),B450)))))</f>
        <v>29622</v>
      </c>
      <c r="C457" s="18">
        <f>IF($A457&gt;20,C456,(C456-B450+B457)*(1+$C$7))</f>
        <v>60378</v>
      </c>
      <c r="D457" s="18">
        <f t="shared" si="42"/>
        <v>927294.18664918002</v>
      </c>
      <c r="E457" s="18">
        <f>IF($A457&gt;20,0,(E450-MIN(MAX(F456,0),E450))+MIN(MAX(0,G456-(E450-MIN(MAX(F456,0),E450))),MAX(0,2*E450-(F456-MIN(MAX(F456,0),E450)))))</f>
        <v>74055</v>
      </c>
      <c r="F457" s="18">
        <f>IF($A457&gt;20,F456,(F456-E450+E457)*(1+$C$7))</f>
        <v>150945</v>
      </c>
      <c r="G457" s="18">
        <f t="shared" si="43"/>
        <v>579324.35517294996</v>
      </c>
      <c r="H457" s="18">
        <f>IF($A457&gt;20,0,(H450-MIN(MAX(I456,0),H450))+MIN(MAX(0,J456-(H450-MIN(MAX(I456,0),H450))),MAX(0,2*H450-(I456-MIN(MAX(I456,0),H450)))))</f>
        <v>62148.708375083246</v>
      </c>
      <c r="I457" s="18">
        <f>IF($A457&gt;20,I456,(I456-H450+H457)*(1+$C$7))</f>
        <v>126676.61583521627</v>
      </c>
      <c r="J457" s="18">
        <f t="shared" si="44"/>
        <v>672566.54656738951</v>
      </c>
      <c r="K457" s="18">
        <f>IF($A457&gt;20,0,(K450-MIN(MAX(L456,0),K450))+MIN(MAX(0,M456-(K450-MIN(MAX(L456,0),K450))),MAX(0,2*K450-(L456-MIN(MAX(L456,0),K450)))))</f>
        <v>61755.225244670357</v>
      </c>
      <c r="L457" s="18">
        <f>IF($A457&gt;20,L456,(L456-K450+K457)*(1+$C$7))</f>
        <v>125874.5861124403</v>
      </c>
      <c r="M457" s="18">
        <f t="shared" si="45"/>
        <v>675648.04587147688</v>
      </c>
      <c r="N457" s="18">
        <f>IF($A457&gt;20,0,(N450-MIN(MAX(O456,0),N450))+MIN(MAX(0,P456-(N450-MIN(MAX(O456,0),N450))),MAX(0,2*N450-(O456-MIN(MAX(O456,0),N450)))))</f>
        <v>61755.393386575379</v>
      </c>
      <c r="O457" s="18">
        <f>IF($A457&gt;20,O456,(O456-N450+N457)*(1+$C$7))</f>
        <v>125874.92883311892</v>
      </c>
      <c r="P457" s="18">
        <f t="shared" si="46"/>
        <v>675646.72909542383</v>
      </c>
      <c r="Q457" s="18">
        <f>IF($A457&gt;20,0,(Q450-MIN(MAX(R456,0),Q450))+MIN(MAX(0,S456-(Q450-MIN(MAX(R456,0),Q450))),MAX(0,2*Q450-(R456-MIN(MAX(R456,0),Q450)))))</f>
        <v>61755.397344858429</v>
      </c>
      <c r="R457" s="18">
        <f>IF($A457&gt;20,R456,(R456-Q450+Q457)*(1+$C$7))</f>
        <v>125874.93690121738</v>
      </c>
      <c r="S457" s="18">
        <f t="shared" si="47"/>
        <v>675646.69809677277</v>
      </c>
    </row>
    <row r="458" spans="1:19">
      <c r="A458" s="10">
        <f>6</f>
        <v>6</v>
      </c>
      <c r="B458" s="18">
        <f>IF($A458&gt;20,0,(B450-MIN(MAX(C457,0),B450))+MIN(MAX(0,D457-(B450-MIN(MAX(C457,0),B450))),MAX(0,2*B450-(C457-MIN(MAX(C457,0),B450)))))</f>
        <v>29622</v>
      </c>
      <c r="C458" s="18">
        <f>IF($A458&gt;20,C457,(C457-B450+B458)*(1+$C$7))</f>
        <v>60378</v>
      </c>
      <c r="D458" s="18">
        <f t="shared" si="42"/>
        <v>924602.3522486554</v>
      </c>
      <c r="E458" s="18">
        <f>IF($A458&gt;20,0,(E450-MIN(MAX(F457,0),E450))+MIN(MAX(0,G457-(E450-MIN(MAX(F457,0),E450))),MAX(0,2*E450-(F457-MIN(MAX(F457,0),E450)))))</f>
        <v>74055</v>
      </c>
      <c r="F458" s="18">
        <f>IF($A458&gt;20,F457,(F457-E450+E458)*(1+$C$7))</f>
        <v>150945</v>
      </c>
      <c r="G458" s="18">
        <f t="shared" si="43"/>
        <v>520427.43582813849</v>
      </c>
      <c r="H458" s="18">
        <f>IF($A458&gt;20,0,(H450-MIN(MAX(I457,0),H450))+MIN(MAX(0,J457-(H450-MIN(MAX(I457,0),H450))),MAX(0,2*H450-(I457-MIN(MAX(I457,0),H450)))))</f>
        <v>62148.708375083246</v>
      </c>
      <c r="I458" s="18">
        <f>IF($A458&gt;20,I457,(I457-H450+H458)*(1+$C$7))</f>
        <v>126676.61583521627</v>
      </c>
      <c r="J458" s="18">
        <f t="shared" si="44"/>
        <v>628730.37333807547</v>
      </c>
      <c r="K458" s="18">
        <f>IF($A458&gt;20,0,(K450-MIN(MAX(L457,0),K450))+MIN(MAX(0,M457-(K450-MIN(MAX(L457,0),K450))),MAX(0,2*K450-(L457-MIN(MAX(L457,0),K450)))))</f>
        <v>61755.225244670357</v>
      </c>
      <c r="L458" s="18">
        <f>IF($A458&gt;20,L457,(L457-K450+K458)*(1+$C$7))</f>
        <v>125874.5861124403</v>
      </c>
      <c r="M458" s="18">
        <f t="shared" si="45"/>
        <v>632309.6052456107</v>
      </c>
      <c r="N458" s="18">
        <f>IF($A458&gt;20,0,(N450-MIN(MAX(O457,0),N450))+MIN(MAX(0,P457-(N450-MIN(MAX(O457,0),N450))),MAX(0,2*N450-(O457-MIN(MAX(O457,0),N450)))))</f>
        <v>61755.393386575379</v>
      </c>
      <c r="O458" s="18">
        <f>IF($A458&gt;20,O457,(O457-N450+N458)*(1+$C$7))</f>
        <v>125874.92883311892</v>
      </c>
      <c r="P458" s="18">
        <f t="shared" si="46"/>
        <v>632308.07578011393</v>
      </c>
      <c r="Q458" s="18">
        <f>IF($A458&gt;20,0,(Q450-MIN(MAX(R457,0),Q450))+MIN(MAX(0,S457-(Q450-MIN(MAX(R457,0),Q450))),MAX(0,2*Q450-(R457-MIN(MAX(R457,0),Q450)))))</f>
        <v>61755.397344858429</v>
      </c>
      <c r="R458" s="18">
        <f>IF($A458&gt;20,R457,(R457-Q450+Q458)*(1+$C$7))</f>
        <v>125874.93690121738</v>
      </c>
      <c r="S458" s="18">
        <f t="shared" si="47"/>
        <v>632308.03977447178</v>
      </c>
    </row>
    <row r="459" spans="1:19">
      <c r="A459" s="10">
        <f>7</f>
        <v>7</v>
      </c>
      <c r="B459" s="18">
        <f>IF($A459&gt;20,0,(B450-MIN(MAX(C458,0),B450))+MIN(MAX(0,D458-(B450-MIN(MAX(C458,0),B450))),MAX(0,2*B450-(C458-MIN(MAX(C458,0),B450)))))</f>
        <v>29622</v>
      </c>
      <c r="C459" s="18">
        <f>IF($A459&gt;20,C458,(C458-B450+B459)*(1+$C$7))</f>
        <v>60378</v>
      </c>
      <c r="D459" s="18">
        <f t="shared" si="42"/>
        <v>921829.76281611505</v>
      </c>
      <c r="E459" s="18">
        <f>IF($A459&gt;20,0,(E450-MIN(MAX(F458,0),E450))+MIN(MAX(0,G458-(E450-MIN(MAX(F458,0),E450))),MAX(0,2*E450-(F458-MIN(MAX(F458,0),E450)))))</f>
        <v>74055</v>
      </c>
      <c r="F459" s="18">
        <f>IF($A459&gt;20,F458,(F458-E450+E459)*(1+$C$7))</f>
        <v>150945</v>
      </c>
      <c r="G459" s="18">
        <f t="shared" si="43"/>
        <v>459763.60890298267</v>
      </c>
      <c r="H459" s="18">
        <f>IF($A459&gt;20,0,(H450-MIN(MAX(I458,0),H450))+MIN(MAX(0,J458-(H450-MIN(MAX(I458,0),H450))),MAX(0,2*H450-(I458-MIN(MAX(I458,0),H450)))))</f>
        <v>62148.708375083246</v>
      </c>
      <c r="I459" s="18">
        <f>IF($A459&gt;20,I458,(I458-H450+H459)*(1+$C$7))</f>
        <v>126676.61583521627</v>
      </c>
      <c r="J459" s="18">
        <f t="shared" si="44"/>
        <v>583579.11491188197</v>
      </c>
      <c r="K459" s="18">
        <f>IF($A459&gt;20,0,(K450-MIN(MAX(L458,0),K450))+MIN(MAX(0,M458-(K450-MIN(MAX(L458,0),K450))),MAX(0,2*K450-(L458-MIN(MAX(L458,0),K450)))))</f>
        <v>61755.225244670357</v>
      </c>
      <c r="L459" s="18">
        <f>IF($A459&gt;20,L458,(L458-K450+K459)*(1+$C$7))</f>
        <v>125874.5861124403</v>
      </c>
      <c r="M459" s="18">
        <f t="shared" si="45"/>
        <v>587671.01140096853</v>
      </c>
      <c r="N459" s="18">
        <f>IF($A459&gt;20,0,(N450-MIN(MAX(O458,0),N450))+MIN(MAX(0,P458-(N450-MIN(MAX(O458,0),N450))),MAX(0,2*N450-(O458-MIN(MAX(O458,0),N450)))))</f>
        <v>61755.393386575379</v>
      </c>
      <c r="O459" s="18">
        <f>IF($A459&gt;20,O458,(O458-N450+N459)*(1+$C$7))</f>
        <v>125874.92883311892</v>
      </c>
      <c r="P459" s="18">
        <f t="shared" si="46"/>
        <v>587669.26286534476</v>
      </c>
      <c r="Q459" s="18">
        <f>IF($A459&gt;20,0,(Q450-MIN(MAX(R458,0),Q450))+MIN(MAX(0,S458-(Q450-MIN(MAX(R458,0),Q450))),MAX(0,2*Q450-(R458-MIN(MAX(R458,0),Q450)))))</f>
        <v>61755.397344858429</v>
      </c>
      <c r="R459" s="18">
        <f>IF($A459&gt;20,R458,(R458-Q450+Q459)*(1+$C$7))</f>
        <v>125874.93690121738</v>
      </c>
      <c r="S459" s="18">
        <f t="shared" si="47"/>
        <v>587669.22170250176</v>
      </c>
    </row>
    <row r="460" spans="1:19">
      <c r="A460" s="10">
        <f>8</f>
        <v>8</v>
      </c>
      <c r="B460" s="18">
        <f>IF($A460&gt;20,0,(B450-MIN(MAX(C459,0),B450))+MIN(MAX(0,D459-(B450-MIN(MAX(C459,0),B450))),MAX(0,2*B450-(C459-MIN(MAX(C459,0),B450)))))</f>
        <v>29622</v>
      </c>
      <c r="C460" s="18">
        <f>IF($A460&gt;20,C459,(C459-B450+B460)*(1+$C$7))</f>
        <v>60378</v>
      </c>
      <c r="D460" s="18">
        <f t="shared" si="42"/>
        <v>918973.99570059858</v>
      </c>
      <c r="E460" s="18">
        <f>IF($A460&gt;20,0,(E450-MIN(MAX(F459,0),E450))+MIN(MAX(0,G459-(E450-MIN(MAX(F459,0),E450))),MAX(0,2*E450-(F459-MIN(MAX(F459,0),E450)))))</f>
        <v>74055</v>
      </c>
      <c r="F460" s="18">
        <f>IF($A460&gt;20,F459,(F459-E450+E460)*(1+$C$7))</f>
        <v>150945</v>
      </c>
      <c r="G460" s="18">
        <f t="shared" si="43"/>
        <v>397279.86717007216</v>
      </c>
      <c r="H460" s="18">
        <f>IF($A460&gt;20,0,(H450-MIN(MAX(I459,0),H450))+MIN(MAX(0,J459-(H450-MIN(MAX(I459,0),H450))),MAX(0,2*H450-(I459-MIN(MAX(I459,0),H450)))))</f>
        <v>62148.708375083246</v>
      </c>
      <c r="I460" s="18">
        <f>IF($A460&gt;20,I459,(I459-H450+H460)*(1+$C$7))</f>
        <v>126676.61583521627</v>
      </c>
      <c r="J460" s="18">
        <f t="shared" si="44"/>
        <v>537073.31873290276</v>
      </c>
      <c r="K460" s="18">
        <f>IF($A460&gt;20,0,(K450-MIN(MAX(L459,0),K450))+MIN(MAX(0,M459-(K450-MIN(MAX(L459,0),K450))),MAX(0,2*K450-(L459-MIN(MAX(L459,0),K450)))))</f>
        <v>61755.225244670357</v>
      </c>
      <c r="L460" s="18">
        <f>IF($A460&gt;20,L459,(L459-K450+K460)*(1+$C$7))</f>
        <v>125874.5861124403</v>
      </c>
      <c r="M460" s="18">
        <f t="shared" si="45"/>
        <v>541693.25974098709</v>
      </c>
      <c r="N460" s="18">
        <f>IF($A460&gt;20,0,(N450-MIN(MAX(O459,0),N450))+MIN(MAX(0,P459-(N450-MIN(MAX(O459,0),N450))),MAX(0,2*N450-(O459-MIN(MAX(O459,0),N450)))))</f>
        <v>61755.393386575379</v>
      </c>
      <c r="O460" s="18">
        <f>IF($A460&gt;20,O459,(O459-N450+N460)*(1+$C$7))</f>
        <v>125874.92883311892</v>
      </c>
      <c r="P460" s="18">
        <f t="shared" si="46"/>
        <v>541691.28556313249</v>
      </c>
      <c r="Q460" s="18">
        <f>IF($A460&gt;20,0,(Q450-MIN(MAX(R459,0),Q450))+MIN(MAX(0,S459-(Q450-MIN(MAX(R459,0),Q450))),MAX(0,2*Q450-(R459-MIN(MAX(R459,0),Q450)))))</f>
        <v>61755.397344858429</v>
      </c>
      <c r="R460" s="18">
        <f>IF($A460&gt;20,R459,(R459-Q450+Q460)*(1+$C$7))</f>
        <v>125874.93690121738</v>
      </c>
      <c r="S460" s="18">
        <f t="shared" si="47"/>
        <v>541691.23908837268</v>
      </c>
    </row>
    <row r="461" spans="1:19">
      <c r="A461" s="10">
        <f>9</f>
        <v>9</v>
      </c>
      <c r="B461" s="18">
        <f>IF($A461&gt;20,0,(B450-MIN(MAX(C460,0),B450))+MIN(MAX(0,D460-(B450-MIN(MAX(C460,0),B450))),MAX(0,2*B450-(C460-MIN(MAX(C460,0),B450)))))</f>
        <v>29622</v>
      </c>
      <c r="C461" s="18">
        <f>IF($A461&gt;20,C460,(C460-B450+B461)*(1+$C$7))</f>
        <v>60378</v>
      </c>
      <c r="D461" s="18">
        <f t="shared" si="42"/>
        <v>916032.55557161651</v>
      </c>
      <c r="E461" s="18">
        <f>IF($A461&gt;20,0,(E450-MIN(MAX(F460,0),E450))+MIN(MAX(0,G460-(E450-MIN(MAX(F460,0),E450))),MAX(0,2*E450-(F460-MIN(MAX(F460,0),E450)))))</f>
        <v>74055</v>
      </c>
      <c r="F461" s="18">
        <f>IF($A461&gt;20,F460,(F460-E450+E461)*(1+$C$7))</f>
        <v>150945</v>
      </c>
      <c r="G461" s="18">
        <f t="shared" si="43"/>
        <v>332921.61318517436</v>
      </c>
      <c r="H461" s="18">
        <f>IF($A461&gt;20,0,(H450-MIN(MAX(I460,0),H450))+MIN(MAX(0,J460-(H450-MIN(MAX(I460,0),H450))),MAX(0,2*H450-(I460-MIN(MAX(I460,0),H450)))))</f>
        <v>62148.708375083246</v>
      </c>
      <c r="I461" s="18">
        <f>IF($A461&gt;20,I460,(I460-H450+H461)*(1+$C$7))</f>
        <v>126676.61583521627</v>
      </c>
      <c r="J461" s="18">
        <f t="shared" si="44"/>
        <v>489172.34866855416</v>
      </c>
      <c r="K461" s="18">
        <f>IF($A461&gt;20,0,(K450-MIN(MAX(L460,0),K450))+MIN(MAX(0,M460-(K450-MIN(MAX(L460,0),K450))),MAX(0,2*K450-(L460-MIN(MAX(L460,0),K450)))))</f>
        <v>61755.225244670357</v>
      </c>
      <c r="L461" s="18">
        <f>IF($A461&gt;20,L460,(L460-K450+K461)*(1+$C$7))</f>
        <v>125874.5861124403</v>
      </c>
      <c r="M461" s="18">
        <f t="shared" si="45"/>
        <v>494336.17553120625</v>
      </c>
      <c r="N461" s="18">
        <f>IF($A461&gt;20,0,(N450-MIN(MAX(O460,0),N450))+MIN(MAX(0,P460-(N450-MIN(MAX(O460,0),N450))),MAX(0,2*N450-(O460-MIN(MAX(O460,0),N450)))))</f>
        <v>61755.393386575379</v>
      </c>
      <c r="O461" s="18">
        <f>IF($A461&gt;20,O460,(O460-N450+N461)*(1+$C$7))</f>
        <v>125874.92883311892</v>
      </c>
      <c r="P461" s="18">
        <f t="shared" si="46"/>
        <v>494333.96894185385</v>
      </c>
      <c r="Q461" s="18">
        <f>IF($A461&gt;20,0,(Q450-MIN(MAX(R460,0),Q450))+MIN(MAX(0,S460-(Q450-MIN(MAX(R460,0),Q450))),MAX(0,2*Q450-(R460-MIN(MAX(R460,0),Q450)))))</f>
        <v>61755.397344858429</v>
      </c>
      <c r="R461" s="18">
        <f>IF($A461&gt;20,R460,(R460-Q450+Q461)*(1+$C$7))</f>
        <v>125874.93690121738</v>
      </c>
      <c r="S461" s="18">
        <f t="shared" si="47"/>
        <v>494333.91699581966</v>
      </c>
    </row>
    <row r="462" spans="1:19">
      <c r="A462" s="10">
        <f>10</f>
        <v>10</v>
      </c>
      <c r="B462" s="18">
        <f>IF($A462&gt;20,0,(B450-MIN(MAX(C461,0),B450))+MIN(MAX(0,D461-(B450-MIN(MAX(C461,0),B450))),MAX(0,2*B450-(C461-MIN(MAX(C461,0),B450)))))</f>
        <v>29622</v>
      </c>
      <c r="C462" s="18">
        <f>IF($A462&gt;20,C461,(C461-B450+B462)*(1+$C$7))</f>
        <v>60378</v>
      </c>
      <c r="D462" s="18">
        <f t="shared" si="42"/>
        <v>913002.87223876501</v>
      </c>
      <c r="E462" s="18">
        <f>IF($A462&gt;20,0,(E450-MIN(MAX(F461,0),E450))+MIN(MAX(0,G461-(E450-MIN(MAX(F461,0),E450))),MAX(0,2*E450-(F461-MIN(MAX(F461,0),E450)))))</f>
        <v>74055</v>
      </c>
      <c r="F462" s="18">
        <f>IF($A462&gt;20,F461,(F461-E450+E462)*(1+$C$7))</f>
        <v>150945</v>
      </c>
      <c r="G462" s="18">
        <f t="shared" si="43"/>
        <v>266632.6115807296</v>
      </c>
      <c r="H462" s="18">
        <f>IF($A462&gt;20,0,(H450-MIN(MAX(I461,0),H450))+MIN(MAX(0,J461-(H450-MIN(MAX(I461,0),H450))),MAX(0,2*H450-(I461-MIN(MAX(I461,0),H450)))))</f>
        <v>62148.708375083246</v>
      </c>
      <c r="I462" s="18">
        <f>IF($A462&gt;20,I461,(I461-H450+H462)*(1+$C$7))</f>
        <v>126676.61583521627</v>
      </c>
      <c r="J462" s="18">
        <f t="shared" si="44"/>
        <v>439834.34950227506</v>
      </c>
      <c r="K462" s="18">
        <f>IF($A462&gt;20,0,(K450-MIN(MAX(L461,0),K450))+MIN(MAX(0,M461-(K450-MIN(MAX(L461,0),K450))),MAX(0,2*K450-(L461-MIN(MAX(L461,0),K450)))))</f>
        <v>61755.225244670357</v>
      </c>
      <c r="L462" s="18">
        <f>IF($A462&gt;20,L461,(L461-K450+K462)*(1+$C$7))</f>
        <v>125874.5861124403</v>
      </c>
      <c r="M462" s="18">
        <f t="shared" si="45"/>
        <v>445558.37879513198</v>
      </c>
      <c r="N462" s="18">
        <f>IF($A462&gt;20,0,(N450-MIN(MAX(O461,0),N450))+MIN(MAX(0,P461-(N450-MIN(MAX(O461,0),N450))),MAX(0,2*N450-(O461-MIN(MAX(O461,0),N450)))))</f>
        <v>61755.393386575379</v>
      </c>
      <c r="O462" s="18">
        <f>IF($A462&gt;20,O461,(O461-N450+N462)*(1+$C$7))</f>
        <v>125874.92883311892</v>
      </c>
      <c r="P462" s="18">
        <f t="shared" si="46"/>
        <v>445555.93282193685</v>
      </c>
      <c r="Q462" s="18">
        <f>IF($A462&gt;20,0,(Q450-MIN(MAX(R461,0),Q450))+MIN(MAX(0,S461-(Q450-MIN(MAX(R461,0),Q450))),MAX(0,2*Q450-(R461-MIN(MAX(R461,0),Q450)))))</f>
        <v>61755.397344858429</v>
      </c>
      <c r="R462" s="18">
        <f>IF($A462&gt;20,R461,(R461-Q450+Q462)*(1+$C$7))</f>
        <v>125874.93690121738</v>
      </c>
      <c r="S462" s="18">
        <f t="shared" si="47"/>
        <v>445555.87524049007</v>
      </c>
    </row>
    <row r="463" spans="1:19">
      <c r="A463" s="10">
        <f>11</f>
        <v>11</v>
      </c>
      <c r="B463" s="18">
        <f>IF($A463&gt;20,0,(B450-MIN(MAX(C462,0),B450))+MIN(MAX(0,D462-(B450-MIN(MAX(C462,0),B450))),MAX(0,2*B450-(C462-MIN(MAX(C462,0),B450)))))</f>
        <v>29622</v>
      </c>
      <c r="C463" s="18">
        <f>IF($A463&gt;20,C462,(C462-B450+B463)*(1+$C$7))</f>
        <v>60378</v>
      </c>
      <c r="D463" s="18">
        <f t="shared" si="42"/>
        <v>909882.29840592796</v>
      </c>
      <c r="E463" s="18">
        <f>IF($A463&gt;20,0,(E450-MIN(MAX(F462,0),E450))+MIN(MAX(0,G462-(E450-MIN(MAX(F462,0),E450))),MAX(0,2*E450-(F462-MIN(MAX(F462,0),E450)))))</f>
        <v>74055</v>
      </c>
      <c r="F463" s="18">
        <f>IF($A463&gt;20,F462,(F462-E450+E463)*(1+$C$7))</f>
        <v>150945</v>
      </c>
      <c r="G463" s="18">
        <f t="shared" si="43"/>
        <v>198354.93992815149</v>
      </c>
      <c r="H463" s="18">
        <f>IF($A463&gt;20,0,(H450-MIN(MAX(I462,0),H450))+MIN(MAX(0,J462-(H450-MIN(MAX(I462,0),H450))),MAX(0,2*H450-(I462-MIN(MAX(I462,0),H450)))))</f>
        <v>62148.708375083246</v>
      </c>
      <c r="I463" s="18">
        <f>IF($A463&gt;20,I462,(I462-H450+H463)*(1+$C$7))</f>
        <v>126676.61583521627</v>
      </c>
      <c r="J463" s="18">
        <f t="shared" si="44"/>
        <v>389016.2103610076</v>
      </c>
      <c r="K463" s="18">
        <f>IF($A463&gt;20,0,(K450-MIN(MAX(L462,0),K450))+MIN(MAX(0,M462-(K450-MIN(MAX(L462,0),K450))),MAX(0,2*K450-(L462-MIN(MAX(L462,0),K450)))))</f>
        <v>61755.225244670357</v>
      </c>
      <c r="L463" s="18">
        <f>IF($A463&gt;20,L462,(L462-K450+K463)*(1+$C$7))</f>
        <v>125874.5861124403</v>
      </c>
      <c r="M463" s="18">
        <f t="shared" si="45"/>
        <v>395317.24815697549</v>
      </c>
      <c r="N463" s="18">
        <f>IF($A463&gt;20,0,(N450-MIN(MAX(O462,0),N450))+MIN(MAX(0,P462-(N450-MIN(MAX(O462,0),N450))),MAX(0,2*N450-(O462-MIN(MAX(O462,0),N450)))))</f>
        <v>61755.393386575379</v>
      </c>
      <c r="O463" s="18">
        <f>IF($A463&gt;20,O462,(O462-N450+N463)*(1+$C$7))</f>
        <v>125874.92883311892</v>
      </c>
      <c r="P463" s="18">
        <f t="shared" si="46"/>
        <v>395314.55561842228</v>
      </c>
      <c r="Q463" s="18">
        <f>IF($A463&gt;20,0,(Q450-MIN(MAX(R462,0),Q450))+MIN(MAX(0,S462-(Q450-MIN(MAX(R462,0),Q450))),MAX(0,2*Q450-(R462-MIN(MAX(R462,0),Q450)))))</f>
        <v>61755.397344858429</v>
      </c>
      <c r="R463" s="18">
        <f>IF($A463&gt;20,R462,(R462-Q450+Q463)*(1+$C$7))</f>
        <v>125874.93690121738</v>
      </c>
      <c r="S463" s="18">
        <f t="shared" si="47"/>
        <v>395314.49223250058</v>
      </c>
    </row>
    <row r="464" spans="1:19">
      <c r="A464" s="10">
        <f>12</f>
        <v>12</v>
      </c>
      <c r="B464" s="18">
        <f>IF($A464&gt;20,0,(B450-MIN(MAX(C463,0),B450))+MIN(MAX(0,D463-(B450-MIN(MAX(C463,0),B450))),MAX(0,2*B450-(C463-MIN(MAX(C463,0),B450)))))</f>
        <v>29622</v>
      </c>
      <c r="C464" s="18">
        <f>IF($A464&gt;20,C463,(C463-B450+B464)*(1+$C$7))</f>
        <v>60378</v>
      </c>
      <c r="D464" s="18">
        <f t="shared" si="42"/>
        <v>906668.10735810583</v>
      </c>
      <c r="E464" s="18">
        <f>IF($A464&gt;20,0,(E450-MIN(MAX(F463,0),E450))+MIN(MAX(0,G463-(E450-MIN(MAX(F463,0),E450))),MAX(0,2*E450-(F463-MIN(MAX(F463,0),E450)))))</f>
        <v>74055</v>
      </c>
      <c r="F464" s="18">
        <f>IF($A464&gt;20,F463,(F463-E450+E464)*(1+$C$7))</f>
        <v>150945</v>
      </c>
      <c r="G464" s="18">
        <f t="shared" si="43"/>
        <v>128028.93812599604</v>
      </c>
      <c r="H464" s="18">
        <f>IF($A464&gt;20,0,(H450-MIN(MAX(I463,0),H450))+MIN(MAX(0,J463-(H450-MIN(MAX(I463,0),H450))),MAX(0,2*H450-(I463-MIN(MAX(I463,0),H450)))))</f>
        <v>62148.708375083246</v>
      </c>
      <c r="I464" s="18">
        <f>IF($A464&gt;20,I463,(I463-H450+H464)*(1+$C$7))</f>
        <v>126676.61583521627</v>
      </c>
      <c r="J464" s="18">
        <f t="shared" si="44"/>
        <v>336673.52704550209</v>
      </c>
      <c r="K464" s="18">
        <f>IF($A464&gt;20,0,(K450-MIN(MAX(L463,0),K450))+MIN(MAX(0,M463-(K450-MIN(MAX(L463,0),K450))),MAX(0,2*K450-(L463-MIN(MAX(L463,0),K450)))))</f>
        <v>61755.225244670357</v>
      </c>
      <c r="L464" s="18">
        <f>IF($A464&gt;20,L463,(L463-K450+K464)*(1+$C$7))</f>
        <v>125874.5861124403</v>
      </c>
      <c r="M464" s="18">
        <f t="shared" si="45"/>
        <v>343568.88359967433</v>
      </c>
      <c r="N464" s="18">
        <f>IF($A464&gt;20,0,(N450-MIN(MAX(O463,0),N450))+MIN(MAX(0,P463-(N450-MIN(MAX(O463,0),N450))),MAX(0,2*N450-(O463-MIN(MAX(O463,0),N450)))))</f>
        <v>61755.393386575379</v>
      </c>
      <c r="O464" s="18">
        <f>IF($A464&gt;20,O463,(O463-N450+N464)*(1+$C$7))</f>
        <v>125874.92883311892</v>
      </c>
      <c r="P464" s="18">
        <f t="shared" si="46"/>
        <v>343565.9370988023</v>
      </c>
      <c r="Q464" s="18">
        <f>IF($A464&gt;20,0,(Q450-MIN(MAX(R463,0),Q450))+MIN(MAX(0,S463-(Q450-MIN(MAX(R463,0),Q450))),MAX(0,2*Q450-(R463-MIN(MAX(R463,0),Q450)))))</f>
        <v>61755.397344858429</v>
      </c>
      <c r="R464" s="18">
        <f>IF($A464&gt;20,R463,(R463-Q450+Q464)*(1+$C$7))</f>
        <v>125874.93690121738</v>
      </c>
      <c r="S464" s="18">
        <f t="shared" si="47"/>
        <v>343565.86773427139</v>
      </c>
    </row>
    <row r="465" spans="1:19">
      <c r="A465" s="10">
        <f>13</f>
        <v>13</v>
      </c>
      <c r="B465" s="18">
        <f>IF($A465&gt;20,0,(B450-MIN(MAX(C464,0),B450))+MIN(MAX(0,D464-(B450-MIN(MAX(C464,0),B450))),MAX(0,2*B450-(C464-MIN(MAX(C464,0),B450)))))</f>
        <v>29622</v>
      </c>
      <c r="C465" s="18">
        <f>IF($A465&gt;20,C464,(C464-B450+B465)*(1+$C$7))</f>
        <v>60378</v>
      </c>
      <c r="D465" s="18">
        <f t="shared" si="42"/>
        <v>903357.49057884899</v>
      </c>
      <c r="E465" s="18">
        <f>IF($A465&gt;20,0,(E450-MIN(MAX(F464,0),E450))+MIN(MAX(0,G464-(E450-MIN(MAX(F464,0),E450))),MAX(0,2*E450-(F464-MIN(MAX(F464,0),E450)))))</f>
        <v>74055</v>
      </c>
      <c r="F465" s="18">
        <f>IF($A465&gt;20,F464,(F464-E450+E465)*(1+$C$7))</f>
        <v>150945</v>
      </c>
      <c r="G465" s="18">
        <f t="shared" si="43"/>
        <v>55593.156269775915</v>
      </c>
      <c r="H465" s="18">
        <f>IF($A465&gt;20,0,(H450-MIN(MAX(I464,0),H450))+MIN(MAX(0,J464-(H450-MIN(MAX(I464,0),H450))),MAX(0,2*H450-(I464-MIN(MAX(I464,0),H450)))))</f>
        <v>62148.708375083246</v>
      </c>
      <c r="I465" s="18">
        <f>IF($A465&gt;20,I464,(I464-H450+H465)*(1+$C$7))</f>
        <v>126676.61583521627</v>
      </c>
      <c r="J465" s="18">
        <f t="shared" si="44"/>
        <v>282760.56323053146</v>
      </c>
      <c r="K465" s="18">
        <f>IF($A465&gt;20,0,(K450-MIN(MAX(L464,0),K450))+MIN(MAX(0,M464-(K450-MIN(MAX(L464,0),K450))),MAX(0,2*K450-(L464-MIN(MAX(L464,0),K450)))))</f>
        <v>61755.225244670357</v>
      </c>
      <c r="L465" s="18">
        <f>IF($A465&gt;20,L464,(L464-K450+K465)*(1+$C$7))</f>
        <v>125874.5861124403</v>
      </c>
      <c r="M465" s="18">
        <f t="shared" si="45"/>
        <v>290268.06810565409</v>
      </c>
      <c r="N465" s="18">
        <f>IF($A465&gt;20,0,(N450-MIN(MAX(O464,0),N450))+MIN(MAX(0,P464-(N450-MIN(MAX(O464,0),N450))),MAX(0,2*N450-(O464-MIN(MAX(O464,0),N450)))))</f>
        <v>61755.393386575379</v>
      </c>
      <c r="O465" s="18">
        <f>IF($A465&gt;20,O464,(O464-N450+N465)*(1+$C$7))</f>
        <v>125874.92883311892</v>
      </c>
      <c r="P465" s="18">
        <f t="shared" si="46"/>
        <v>290264.8600235937</v>
      </c>
      <c r="Q465" s="18">
        <f>IF($A465&gt;20,0,(Q450-MIN(MAX(R464,0),Q450))+MIN(MAX(0,S464-(Q450-MIN(MAX(R464,0),Q450))),MAX(0,2*Q450-(R464-MIN(MAX(R464,0),Q450)))))</f>
        <v>61755.397344858429</v>
      </c>
      <c r="R465" s="18">
        <f>IF($A465&gt;20,R464,(R464-Q450+Q465)*(1+$C$7))</f>
        <v>125874.93690121738</v>
      </c>
      <c r="S465" s="18">
        <f t="shared" si="47"/>
        <v>290264.78450109536</v>
      </c>
    </row>
    <row r="466" spans="1:19">
      <c r="A466" s="10">
        <f>14</f>
        <v>14</v>
      </c>
      <c r="B466" s="18">
        <f>IF($A466&gt;20,0,(B450-MIN(MAX(C465,0),B450))+MIN(MAX(0,D465-(B450-MIN(MAX(C465,0),B450))),MAX(0,2*B450-(C465-MIN(MAX(C465,0),B450)))))</f>
        <v>29622</v>
      </c>
      <c r="C466" s="18">
        <f>IF($A466&gt;20,C465,(C465-B450+B466)*(1+$C$7))</f>
        <v>60378</v>
      </c>
      <c r="D466" s="18">
        <f t="shared" si="42"/>
        <v>899947.55529621453</v>
      </c>
      <c r="E466" s="18">
        <f>IF($A466&gt;20,0,(E450-MIN(MAX(F465,0),E450))+MIN(MAX(0,G465-(E450-MIN(MAX(F465,0),E450))),MAX(0,2*E450-(F465-MIN(MAX(F465,0),E450)))))</f>
        <v>55593.156269775915</v>
      </c>
      <c r="F466" s="18">
        <f>IF($A466&gt;20,F465,(F465-E450+E466)*(1+$C$7))</f>
        <v>132366.84665427549</v>
      </c>
      <c r="G466" s="18">
        <f t="shared" si="43"/>
        <v>0</v>
      </c>
      <c r="H466" s="18">
        <f>IF($A466&gt;20,0,(H450-MIN(MAX(I465,0),H450))+MIN(MAX(0,J465-(H450-MIN(MAX(I465,0),H450))),MAX(0,2*H450-(I465-MIN(MAX(I465,0),H450)))))</f>
        <v>62148.708375083246</v>
      </c>
      <c r="I466" s="18">
        <f>IF($A466&gt;20,I465,(I465-H450+H466)*(1+$C$7))</f>
        <v>126676.61583521627</v>
      </c>
      <c r="J466" s="18">
        <f t="shared" si="44"/>
        <v>227230.21050111167</v>
      </c>
      <c r="K466" s="18">
        <f>IF($A466&gt;20,0,(K450-MIN(MAX(L465,0),K450))+MIN(MAX(0,M465-(K450-MIN(MAX(L465,0),K450))),MAX(0,2*K450-(L465-MIN(MAX(L465,0),K450)))))</f>
        <v>61755.225244670357</v>
      </c>
      <c r="L466" s="18">
        <f>IF($A466&gt;20,L465,(L465-K450+K466)*(1+$C$7))</f>
        <v>125874.5861124403</v>
      </c>
      <c r="M466" s="18">
        <f t="shared" si="45"/>
        <v>235368.22814681326</v>
      </c>
      <c r="N466" s="18">
        <f>IF($A466&gt;20,0,(N450-MIN(MAX(O465,0),N450))+MIN(MAX(0,P465-(N450-MIN(MAX(O465,0),N450))),MAX(0,2*N450-(O465-MIN(MAX(O465,0),N450)))))</f>
        <v>61755.393386575379</v>
      </c>
      <c r="O466" s="18">
        <f>IF($A466&gt;20,O465,(O465-N450+N466)*(1+$C$7))</f>
        <v>125874.92883311892</v>
      </c>
      <c r="P466" s="18">
        <f t="shared" si="46"/>
        <v>235364.75063612885</v>
      </c>
      <c r="Q466" s="18">
        <f>IF($A466&gt;20,0,(Q450-MIN(MAX(R465,0),Q450))+MIN(MAX(0,S465-(Q450-MIN(MAX(R465,0),Q450))),MAX(0,2*Q450-(R465-MIN(MAX(R465,0),Q450)))))</f>
        <v>61755.397344858429</v>
      </c>
      <c r="R466" s="18">
        <f>IF($A466&gt;20,R465,(R465-Q450+Q466)*(1+$C$7))</f>
        <v>125874.93690121738</v>
      </c>
      <c r="S466" s="18">
        <f t="shared" si="47"/>
        <v>235364.66877092404</v>
      </c>
    </row>
    <row r="467" spans="1:19">
      <c r="A467" s="10">
        <f>15</f>
        <v>15</v>
      </c>
      <c r="B467" s="18">
        <f>IF($A467&gt;20,0,(B450-MIN(MAX(C466,0),B450))+MIN(MAX(0,D466-(B450-MIN(MAX(C466,0),B450))),MAX(0,2*B450-(C466-MIN(MAX(C466,0),B450)))))</f>
        <v>29622</v>
      </c>
      <c r="C467" s="18">
        <f>IF($A467&gt;20,C466,(C466-B450+B467)*(1+$C$7))</f>
        <v>60378</v>
      </c>
      <c r="D467" s="18">
        <f t="shared" si="42"/>
        <v>896435.32195510098</v>
      </c>
      <c r="E467" s="18">
        <f>IF($A467&gt;20,0,(E450-MIN(MAX(F466,0),E450))+MIN(MAX(0,G466-(E450-MIN(MAX(F466,0),E450))),MAX(0,2*E450-(F466-MIN(MAX(F466,0),E450)))))</f>
        <v>0</v>
      </c>
      <c r="F467" s="18">
        <f>IF($A467&gt;20,F466,(F466-E450+E467)*(1+$C$7))</f>
        <v>57728.257788197421</v>
      </c>
      <c r="G467" s="18">
        <f t="shared" si="43"/>
        <v>0</v>
      </c>
      <c r="H467" s="18">
        <f>IF($A467&gt;20,0,(H450-MIN(MAX(I466,0),H450))+MIN(MAX(0,J466-(H450-MIN(MAX(I466,0),H450))),MAX(0,2*H450-(I466-MIN(MAX(I466,0),H450)))))</f>
        <v>62148.708375083246</v>
      </c>
      <c r="I467" s="18">
        <f>IF($A467&gt;20,I466,(I466-H450+H467)*(1+$C$7))</f>
        <v>126676.61583521627</v>
      </c>
      <c r="J467" s="18">
        <f t="shared" si="44"/>
        <v>170033.94718980926</v>
      </c>
      <c r="K467" s="18">
        <f>IF($A467&gt;20,0,(K450-MIN(MAX(L466,0),K450))+MIN(MAX(0,M466-(K450-MIN(MAX(L466,0),K450))),MAX(0,2*K450-(L466-MIN(MAX(L466,0),K450)))))</f>
        <v>61755.225244670357</v>
      </c>
      <c r="L467" s="18">
        <f>IF($A467&gt;20,L466,(L466-K450+K467)*(1+$C$7))</f>
        <v>125874.5861124403</v>
      </c>
      <c r="M467" s="18">
        <f t="shared" si="45"/>
        <v>178821.3929892072</v>
      </c>
      <c r="N467" s="18">
        <f>IF($A467&gt;20,0,(N450-MIN(MAX(O466,0),N450))+MIN(MAX(0,P466-(N450-MIN(MAX(O466,0),N450))),MAX(0,2*N450-(O466-MIN(MAX(O466,0),N450)))))</f>
        <v>61755.393386575379</v>
      </c>
      <c r="O467" s="18">
        <f>IF($A467&gt;20,O466,(O466-N450+N467)*(1+$C$7))</f>
        <v>125874.92883311892</v>
      </c>
      <c r="P467" s="18">
        <f t="shared" si="46"/>
        <v>178817.63796704009</v>
      </c>
      <c r="Q467" s="18">
        <f>IF($A467&gt;20,0,(Q450-MIN(MAX(R466,0),Q450))+MIN(MAX(0,S466-(Q450-MIN(MAX(R466,0),Q450))),MAX(0,2*Q450-(R466-MIN(MAX(R466,0),Q450)))))</f>
        <v>61755.397344858429</v>
      </c>
      <c r="R467" s="18">
        <f>IF($A467&gt;20,R466,(R466-Q450+Q467)*(1+$C$7))</f>
        <v>125874.93690121738</v>
      </c>
      <c r="S467" s="18">
        <f t="shared" si="47"/>
        <v>178817.54956884758</v>
      </c>
    </row>
    <row r="468" spans="1:19">
      <c r="A468" s="10">
        <f>16</f>
        <v>16</v>
      </c>
      <c r="B468" s="18">
        <f>IF($A468&gt;20,0,(B450-MIN(MAX(C467,0),B450))+MIN(MAX(0,D467-(B450-MIN(MAX(C467,0),B450))),MAX(0,2*B450-(C467-MIN(MAX(C467,0),B450)))))</f>
        <v>29622</v>
      </c>
      <c r="C468" s="18">
        <f>IF($A468&gt;20,C467,(C467-B450+B468)*(1+$C$7))</f>
        <v>60378</v>
      </c>
      <c r="D468" s="18">
        <f t="shared" si="42"/>
        <v>892817.72161375405</v>
      </c>
      <c r="E468" s="18">
        <f>IF($A468&gt;20,0,(E450-MIN(MAX(F467,0),E450))+MIN(MAX(0,G467-(E450-MIN(MAX(F467,0),E450))),MAX(0,2*E450-(F467-MIN(MAX(F467,0),E450)))))</f>
        <v>17271.742211802579</v>
      </c>
      <c r="F468" s="18">
        <f>IF($A468&gt;20,F467,(F467-E450+E468)*(1+$C$7))</f>
        <v>0</v>
      </c>
      <c r="G468" s="18">
        <f t="shared" si="43"/>
        <v>-17789.894478156657</v>
      </c>
      <c r="H468" s="18">
        <f>IF($A468&gt;20,0,(H450-MIN(MAX(I467,0),H450))+MIN(MAX(0,J467-(H450-MIN(MAX(I467,0),H450))),MAX(0,2*H450-(I467-MIN(MAX(I467,0),H450)))))</f>
        <v>62148.708375083246</v>
      </c>
      <c r="I468" s="18">
        <f>IF($A468&gt;20,I467,(I467-H450+H468)*(1+$C$7))</f>
        <v>126676.61583521627</v>
      </c>
      <c r="J468" s="18">
        <f t="shared" si="44"/>
        <v>111121.79597916779</v>
      </c>
      <c r="K468" s="18">
        <f>IF($A468&gt;20,0,(K450-MIN(MAX(L467,0),K450))+MIN(MAX(0,M467-(K450-MIN(MAX(L467,0),K450))),MAX(0,2*K450-(L467-MIN(MAX(L467,0),K450)))))</f>
        <v>61755.225244670357</v>
      </c>
      <c r="L468" s="18">
        <f>IF($A468&gt;20,L467,(L467-K450+K468)*(1+$C$7))</f>
        <v>125874.5861124403</v>
      </c>
      <c r="M468" s="18">
        <f t="shared" si="45"/>
        <v>120578.15277687296</v>
      </c>
      <c r="N468" s="18">
        <f>IF($A468&gt;20,0,(N450-MIN(MAX(O467,0),N450))+MIN(MAX(0,P467-(N450-MIN(MAX(O467,0),N450))),MAX(0,2*N450-(O467-MIN(MAX(O467,0),N450)))))</f>
        <v>61755.393386575379</v>
      </c>
      <c r="O468" s="18">
        <f>IF($A468&gt;20,O467,(O467-N450+N468)*(1+$C$7))</f>
        <v>125874.92883311892</v>
      </c>
      <c r="P468" s="18">
        <f t="shared" si="46"/>
        <v>120574.11191787866</v>
      </c>
      <c r="Q468" s="18">
        <f>IF($A468&gt;20,0,(Q450-MIN(MAX(R467,0),Q450))+MIN(MAX(0,S467-(Q450-MIN(MAX(R467,0),Q450))),MAX(0,2*Q450-(R467-MIN(MAX(R467,0),Q450)))))</f>
        <v>61755.397344858429</v>
      </c>
      <c r="R468" s="18">
        <f>IF($A468&gt;20,R467,(R467-Q450+Q468)*(1+$C$7))</f>
        <v>125874.93690121738</v>
      </c>
      <c r="S468" s="18">
        <f t="shared" si="47"/>
        <v>120574.01679070883</v>
      </c>
    </row>
    <row r="469" spans="1:19">
      <c r="A469" s="10">
        <f>17</f>
        <v>17</v>
      </c>
      <c r="B469" s="18">
        <f>IF($A469&gt;20,0,(B450-MIN(MAX(C468,0),B450))+MIN(MAX(0,D468-(B450-MIN(MAX(C468,0),B450))),MAX(0,2*B450-(C468-MIN(MAX(C468,0),B450)))))</f>
        <v>29622</v>
      </c>
      <c r="C469" s="18">
        <f>IF($A469&gt;20,C468,(C468-B450+B469)*(1+$C$7))</f>
        <v>60378</v>
      </c>
      <c r="D469" s="18">
        <f t="shared" si="42"/>
        <v>889091.59326216672</v>
      </c>
      <c r="E469" s="18">
        <f>IF($A469&gt;20,0,(E450-MIN(MAX(F468,0),E450))+MIN(MAX(0,G468-(E450-MIN(MAX(F468,0),E450))),MAX(0,2*E450-(F468-MIN(MAX(F468,0),E450)))))</f>
        <v>75000</v>
      </c>
      <c r="F469" s="18">
        <f>IF($A469&gt;20,F468,(F468-E450+E469)*(1+$C$7))</f>
        <v>0</v>
      </c>
      <c r="G469" s="18">
        <f t="shared" si="43"/>
        <v>-95573.591312501361</v>
      </c>
      <c r="H469" s="18">
        <f>IF($A469&gt;20,0,(H450-MIN(MAX(I468,0),H450))+MIN(MAX(0,J468-(H450-MIN(MAX(I468,0),H450))),MAX(0,2*H450-(I468-MIN(MAX(I468,0),H450)))))</f>
        <v>62148.708375083246</v>
      </c>
      <c r="I469" s="18">
        <f>IF($A469&gt;20,I468,(I468-H450+H469)*(1+$C$7))</f>
        <v>126676.61583521627</v>
      </c>
      <c r="J469" s="18">
        <f t="shared" si="44"/>
        <v>50442.280232207078</v>
      </c>
      <c r="K469" s="18">
        <f>IF($A469&gt;20,0,(K450-MIN(MAX(L468,0),K450))+MIN(MAX(0,M468-(K450-MIN(MAX(L468,0),K450))),MAX(0,2*K450-(L468-MIN(MAX(L468,0),K450)))))</f>
        <v>61755.225244670357</v>
      </c>
      <c r="L469" s="18">
        <f>IF($A469&gt;20,L468,(L468-K450+K469)*(1+$C$7))</f>
        <v>125874.5861124403</v>
      </c>
      <c r="M469" s="18">
        <f t="shared" si="45"/>
        <v>60587.615358168681</v>
      </c>
      <c r="N469" s="18">
        <f>IF($A469&gt;20,0,(N450-MIN(MAX(O468,0),N450))+MIN(MAX(0,P468-(N450-MIN(MAX(O468,0),N450))),MAX(0,2*N450-(O468-MIN(MAX(O468,0),N450)))))</f>
        <v>61755.393386575379</v>
      </c>
      <c r="O469" s="18">
        <f>IF($A469&gt;20,O468,(O468-N450+N469)*(1+$C$7))</f>
        <v>125874.92883311892</v>
      </c>
      <c r="P469" s="18">
        <f t="shared" si="46"/>
        <v>60583.280087242383</v>
      </c>
      <c r="Q469" s="18">
        <f>IF($A469&gt;20,0,(Q450-MIN(MAX(R468,0),Q450))+MIN(MAX(0,S468-(Q450-MIN(MAX(R468,0),Q450))),MAX(0,2*Q450-(R468-MIN(MAX(R468,0),Q450)))))</f>
        <v>61755.397344858429</v>
      </c>
      <c r="R469" s="18">
        <f>IF($A469&gt;20,R468,(R468-Q450+Q469)*(1+$C$7))</f>
        <v>125874.93690121738</v>
      </c>
      <c r="S469" s="18">
        <f t="shared" si="47"/>
        <v>60583.178029225914</v>
      </c>
    </row>
    <row r="470" spans="1:19">
      <c r="A470" s="10">
        <f>18</f>
        <v>18</v>
      </c>
      <c r="B470" s="18">
        <f>IF($A470&gt;20,0,(B450-MIN(MAX(C469,0),B450))+MIN(MAX(0,D469-(B450-MIN(MAX(C469,0),B450))),MAX(0,2*B450-(C469-MIN(MAX(C469,0),B450)))))</f>
        <v>29622</v>
      </c>
      <c r="C470" s="18">
        <f>IF($A470&gt;20,C469,(C469-B450+B470)*(1+$C$7))</f>
        <v>60378</v>
      </c>
      <c r="D470" s="18">
        <f t="shared" si="42"/>
        <v>885253.68106003175</v>
      </c>
      <c r="E470" s="18">
        <f>IF($A470&gt;20,0,(E450-MIN(MAX(F469,0),E450))+MIN(MAX(0,G469-(E450-MIN(MAX(F469,0),E450))),MAX(0,2*E450-(F469-MIN(MAX(F469,0),E450)))))</f>
        <v>75000</v>
      </c>
      <c r="F470" s="18">
        <f>IF($A470&gt;20,F469,(F469-E450+E470)*(1+$C$7))</f>
        <v>0</v>
      </c>
      <c r="G470" s="18">
        <f t="shared" si="43"/>
        <v>-175690.79905187638</v>
      </c>
      <c r="H470" s="18">
        <f>IF($A470&gt;20,0,(H450-MIN(MAX(I469,0),H450))+MIN(MAX(0,J469-(H450-MIN(MAX(I469,0),H450))),MAX(0,2*H450-(I469-MIN(MAX(I469,0),H450)))))</f>
        <v>50442.280232207078</v>
      </c>
      <c r="I470" s="18">
        <f>IF($A470&gt;20,I469,(I469-H450+H470)*(1+$C$7))</f>
        <v>114896.43719503998</v>
      </c>
      <c r="J470" s="18">
        <f t="shared" si="44"/>
        <v>0</v>
      </c>
      <c r="K470" s="18">
        <f>IF($A470&gt;20,0,(K450-MIN(MAX(L469,0),K450))+MIN(MAX(0,M469-(K450-MIN(MAX(L469,0),K450))),MAX(0,2*K450-(L469-MIN(MAX(L469,0),K450)))))</f>
        <v>60587.615358168681</v>
      </c>
      <c r="L470" s="18">
        <f>IF($A470&gt;20,L469,(L469-K450+K470)*(1+$C$7))</f>
        <v>124699.62028365367</v>
      </c>
      <c r="M470" s="18">
        <f t="shared" si="45"/>
        <v>0</v>
      </c>
      <c r="N470" s="18">
        <f>IF($A470&gt;20,0,(N450-MIN(MAX(O469,0),N450))+MIN(MAX(0,P469-(N450-MIN(MAX(O469,0),N450))),MAX(0,2*N450-(O469-MIN(MAX(O469,0),N450)))))</f>
        <v>60583.280087242383</v>
      </c>
      <c r="O470" s="18">
        <f>IF($A470&gt;20,O469,(O469-N450+N470)*(1+$C$7))</f>
        <v>124695.43122000011</v>
      </c>
      <c r="P470" s="18">
        <f t="shared" si="46"/>
        <v>0</v>
      </c>
      <c r="Q470" s="18">
        <f>IF($A470&gt;20,0,(Q450-MIN(MAX(R469,0),Q450))+MIN(MAX(0,S469-(Q450-MIN(MAX(R469,0),Q450))),MAX(0,2*Q450-(R469-MIN(MAX(R469,0),Q450)))))</f>
        <v>60583.178029225914</v>
      </c>
      <c r="R470" s="18">
        <f>IF($A470&gt;20,R469,(R469-Q450+Q470)*(1+$C$7))</f>
        <v>124695.3326038964</v>
      </c>
      <c r="S470" s="18">
        <f t="shared" si="47"/>
        <v>0</v>
      </c>
    </row>
    <row r="471" spans="1:19">
      <c r="A471" s="10">
        <f>19</f>
        <v>19</v>
      </c>
      <c r="B471" s="18">
        <f>IF($A471&gt;20,0,(B450-MIN(MAX(C470,0),B450))+MIN(MAX(0,D470-(B450-MIN(MAX(C470,0),B450))),MAX(0,2*B450-(C470-MIN(MAX(C470,0),B450)))))</f>
        <v>29622</v>
      </c>
      <c r="C471" s="18">
        <f>IF($A471&gt;20,C470,(C470-B450+B471)*(1+$C$7))</f>
        <v>60378</v>
      </c>
      <c r="D471" s="18">
        <f t="shared" si="42"/>
        <v>881300.63149183278</v>
      </c>
      <c r="E471" s="18">
        <f>IF($A471&gt;20,0,(E450-MIN(MAX(F470,0),E450))+MIN(MAX(0,G470-(E450-MIN(MAX(F470,0),E450))),MAX(0,2*E450-(F470-MIN(MAX(F470,0),E450)))))</f>
        <v>75000</v>
      </c>
      <c r="F471" s="18">
        <f>IF($A471&gt;20,F470,(F470-E450+E471)*(1+$C$7))</f>
        <v>0</v>
      </c>
      <c r="G471" s="18">
        <f t="shared" si="43"/>
        <v>-258211.52302343267</v>
      </c>
      <c r="H471" s="18">
        <f>IF($A471&gt;20,0,(H450-MIN(MAX(I470,0),H450))+MIN(MAX(0,J470-(H450-MIN(MAX(I470,0),H450))),MAX(0,2*H450-(I470-MIN(MAX(I470,0),H450)))))</f>
        <v>0</v>
      </c>
      <c r="I471" s="18">
        <f>IF($A471&gt;20,I470,(I470-H450+H471)*(1+$C$7))</f>
        <v>52281.976831760592</v>
      </c>
      <c r="J471" s="18">
        <f t="shared" si="44"/>
        <v>0</v>
      </c>
      <c r="K471" s="18">
        <f>IF($A471&gt;20,0,(K450-MIN(MAX(L470,0),K450))+MIN(MAX(0,M470-(K450-MIN(MAX(L470,0),K450))),MAX(0,2*K450-(L470-MIN(MAX(L470,0),K450)))))</f>
        <v>0</v>
      </c>
      <c r="L471" s="18">
        <f>IF($A471&gt;20,L470,(L470-K450+K471)*(1+$C$7))</f>
        <v>62547.934835220534</v>
      </c>
      <c r="M471" s="18">
        <f t="shared" si="45"/>
        <v>0</v>
      </c>
      <c r="N471" s="18">
        <f>IF($A471&gt;20,0,(N450-MIN(MAX(O470,0),N450))+MIN(MAX(0,P470-(N450-MIN(MAX(O470,0),N450))),MAX(0,2*N450-(O470-MIN(MAX(O470,0),N450)))))</f>
        <v>0</v>
      </c>
      <c r="O471" s="18">
        <f>IF($A471&gt;20,O470,(O470-N450+N471)*(1+$C$7))</f>
        <v>62543.548020126655</v>
      </c>
      <c r="P471" s="18">
        <f t="shared" si="46"/>
        <v>0</v>
      </c>
      <c r="Q471" s="18">
        <f>IF($A471&gt;20,0,(Q450-MIN(MAX(R470,0),Q450))+MIN(MAX(0,S470-(Q450-MIN(MAX(R470,0),Q450))),MAX(0,2*Q450-(R470-MIN(MAX(R470,0),Q450)))))</f>
        <v>0</v>
      </c>
      <c r="R471" s="18">
        <f>IF($A471&gt;20,R470,(R470-Q450+Q471)*(1+$C$7))</f>
        <v>62543.444748692251</v>
      </c>
      <c r="S471" s="18">
        <f t="shared" si="47"/>
        <v>0</v>
      </c>
    </row>
    <row r="472" spans="1:19">
      <c r="A472" s="10">
        <f>20</f>
        <v>20</v>
      </c>
      <c r="B472" s="18">
        <f>IF($A472&gt;20,0,(B450-MIN(MAX(C471,0),B450))+MIN(MAX(0,D471-(B450-MIN(MAX(C471,0),B450))),MAX(0,2*B450-(C471-MIN(MAX(C471,0),B450)))))</f>
        <v>29622</v>
      </c>
      <c r="C472" s="18">
        <f>IF($A472&gt;20,C471,(C471-B450+B472)*(1+$C$7))</f>
        <v>60378</v>
      </c>
      <c r="D472" s="18">
        <f t="shared" si="42"/>
        <v>877228.99043658783</v>
      </c>
      <c r="E472" s="18">
        <f>IF($A472&gt;20,0,(E450-MIN(MAX(F471,0),E450))+MIN(MAX(0,G471-(E450-MIN(MAX(F471,0),E450))),MAX(0,2*E450-(F471-MIN(MAX(F471,0),E450)))))</f>
        <v>75000</v>
      </c>
      <c r="F472" s="18">
        <f>IF($A472&gt;20,F471,(F471-E450+E472)*(1+$C$7))</f>
        <v>0</v>
      </c>
      <c r="G472" s="18">
        <f t="shared" si="43"/>
        <v>-343207.86871413566</v>
      </c>
      <c r="H472" s="18">
        <f>IF($A472&gt;20,0,(H450-MIN(MAX(I471,0),H450))+MIN(MAX(0,J471-(H450-MIN(MAX(I471,0),H450))),MAX(0,2*H450-(I471-MIN(MAX(I471,0),H450)))))</f>
        <v>10659.797905005915</v>
      </c>
      <c r="I472" s="18">
        <f>IF($A472&gt;20,I471,(I471-H450+H472)*(1+$C$7))</f>
        <v>0</v>
      </c>
      <c r="J472" s="18">
        <f t="shared" si="44"/>
        <v>-10979.591842156093</v>
      </c>
      <c r="K472" s="18">
        <f>IF($A472&gt;20,0,(K450-MIN(MAX(L471,0),K450))+MIN(MAX(0,M471-(K450-MIN(MAX(L471,0),K450))),MAX(0,2*K450-(L471-MIN(MAX(L471,0),K450)))))</f>
        <v>0</v>
      </c>
      <c r="L472" s="18">
        <f>IF($A472&gt;20,L471,(L471-K450+K472)*(1+$C$7))</f>
        <v>4.6937684622717057</v>
      </c>
      <c r="M472" s="18">
        <f t="shared" si="45"/>
        <v>0</v>
      </c>
      <c r="N472" s="18">
        <f>IF($A472&gt;20,0,(N450-MIN(MAX(O471,0),N450))+MIN(MAX(0,P471-(N450-MIN(MAX(O471,0),N450))),MAX(0,2*N450-(O471-MIN(MAX(O471,0),N450)))))</f>
        <v>0</v>
      </c>
      <c r="O472" s="18">
        <f>IF($A472&gt;20,O471,(O471-N450+N472)*(1+$C$7))</f>
        <v>0.10795609399609601</v>
      </c>
      <c r="P472" s="18">
        <f t="shared" si="46"/>
        <v>0</v>
      </c>
      <c r="Q472" s="18">
        <f>IF($A472&gt;20,0,(Q450-MIN(MAX(R471,0),Q450))+MIN(MAX(0,S471-(Q450-MIN(MAX(R471,0),Q450))),MAX(0,2*Q450-(R471-MIN(MAX(R471,0),Q450)))))</f>
        <v>0</v>
      </c>
      <c r="R472" s="18">
        <f>IF($A472&gt;20,R471,(R471-Q450+Q472)*(1+$C$7))</f>
        <v>3.1483723432756959E-10</v>
      </c>
      <c r="S472" s="18">
        <f t="shared" si="47"/>
        <v>0</v>
      </c>
    </row>
    <row r="473" spans="1:19">
      <c r="A473" s="10">
        <f>21</f>
        <v>21</v>
      </c>
      <c r="B473" s="18">
        <f>IF($A473&gt;20,0,(B450-MIN(MAX(C472,0),B450))+MIN(MAX(0,D472-(B450-MIN(MAX(C472,0),B450))),MAX(0,2*B450-(C472-MIN(MAX(C472,0),B450)))))</f>
        <v>0</v>
      </c>
      <c r="C473" s="18">
        <f>IF($A473&gt;20,C472,(C472-B450+B473)*(1+$C$7))</f>
        <v>60378</v>
      </c>
      <c r="D473" s="18">
        <f t="shared" si="42"/>
        <v>877228.99043658783</v>
      </c>
      <c r="E473" s="18">
        <f>IF($A473&gt;20,0,(E450-MIN(MAX(F472,0),E450))+MIN(MAX(0,G472-(E450-MIN(MAX(F472,0),E450))),MAX(0,2*E450-(F472-MIN(MAX(F472,0),E450)))))</f>
        <v>0</v>
      </c>
      <c r="F473" s="18">
        <f>IF($A473&gt;20,F472,(F472-E450+E473)*(1+$C$7))</f>
        <v>0</v>
      </c>
      <c r="G473" s="18">
        <f t="shared" si="43"/>
        <v>-343207.86871413566</v>
      </c>
      <c r="H473" s="18">
        <f>IF($A473&gt;20,0,(H450-MIN(MAX(I472,0),H450))+MIN(MAX(0,J472-(H450-MIN(MAX(I472,0),H450))),MAX(0,2*H450-(I472-MIN(MAX(I472,0),H450)))))</f>
        <v>0</v>
      </c>
      <c r="I473" s="18">
        <f>IF($A473&gt;20,I472,(I472-H450+H473)*(1+$C$7))</f>
        <v>0</v>
      </c>
      <c r="J473" s="18">
        <f t="shared" si="44"/>
        <v>-10979.591842156093</v>
      </c>
      <c r="K473" s="18">
        <f>IF($A473&gt;20,0,(K450-MIN(MAX(L472,0),K450))+MIN(MAX(0,M472-(K450-MIN(MAX(L472,0),K450))),MAX(0,2*K450-(L472-MIN(MAX(L472,0),K450)))))</f>
        <v>0</v>
      </c>
      <c r="L473" s="18">
        <f>IF($A473&gt;20,L472,(L472-K450+K473)*(1+$C$7))</f>
        <v>4.6937684622717057</v>
      </c>
      <c r="M473" s="18">
        <f t="shared" si="45"/>
        <v>0</v>
      </c>
      <c r="N473" s="18">
        <f>IF($A473&gt;20,0,(N450-MIN(MAX(O472,0),N450))+MIN(MAX(0,P472-(N450-MIN(MAX(O472,0),N450))),MAX(0,2*N450-(O472-MIN(MAX(O472,0),N450)))))</f>
        <v>0</v>
      </c>
      <c r="O473" s="18">
        <f>IF($A473&gt;20,O472,(O472-N450+N473)*(1+$C$7))</f>
        <v>0.10795609399609601</v>
      </c>
      <c r="P473" s="18">
        <f t="shared" si="46"/>
        <v>0</v>
      </c>
      <c r="Q473" s="18">
        <f>IF($A473&gt;20,0,(Q450-MIN(MAX(R472,0),Q450))+MIN(MAX(0,S472-(Q450-MIN(MAX(R472,0),Q450))),MAX(0,2*Q450-(R472-MIN(MAX(R472,0),Q450)))))</f>
        <v>0</v>
      </c>
      <c r="R473" s="18">
        <f>IF($A473&gt;20,R472,(R472-Q450+Q473)*(1+$C$7))</f>
        <v>3.1483723432756959E-10</v>
      </c>
      <c r="S473" s="18">
        <f t="shared" si="47"/>
        <v>0</v>
      </c>
    </row>
    <row r="474" spans="1:19">
      <c r="A474" s="10">
        <f>22</f>
        <v>22</v>
      </c>
      <c r="B474" s="18">
        <f>IF($A474&gt;20,0,(B450-MIN(MAX(C473,0),B450))+MIN(MAX(0,D473-(B450-MIN(MAX(C473,0),B450))),MAX(0,2*B450-(C473-MIN(MAX(C473,0),B450)))))</f>
        <v>0</v>
      </c>
      <c r="C474" s="18">
        <f>IF($A474&gt;20,C473,(C473-B450+B474)*(1+$C$7))</f>
        <v>60378</v>
      </c>
      <c r="D474" s="18">
        <f t="shared" si="42"/>
        <v>877228.99043658783</v>
      </c>
      <c r="E474" s="18">
        <f>IF($A474&gt;20,0,(E450-MIN(MAX(F473,0),E450))+MIN(MAX(0,G473-(E450-MIN(MAX(F473,0),E450))),MAX(0,2*E450-(F473-MIN(MAX(F473,0),E450)))))</f>
        <v>0</v>
      </c>
      <c r="F474" s="18">
        <f>IF($A474&gt;20,F473,(F473-E450+E474)*(1+$C$7))</f>
        <v>0</v>
      </c>
      <c r="G474" s="18">
        <f t="shared" si="43"/>
        <v>-343207.86871413566</v>
      </c>
      <c r="H474" s="18">
        <f>IF($A474&gt;20,0,(H450-MIN(MAX(I473,0),H450))+MIN(MAX(0,J473-(H450-MIN(MAX(I473,0),H450))),MAX(0,2*H450-(I473-MIN(MAX(I473,0),H450)))))</f>
        <v>0</v>
      </c>
      <c r="I474" s="18">
        <f>IF($A474&gt;20,I473,(I473-H450+H474)*(1+$C$7))</f>
        <v>0</v>
      </c>
      <c r="J474" s="18">
        <f t="shared" si="44"/>
        <v>-10979.591842156093</v>
      </c>
      <c r="K474" s="18">
        <f>IF($A474&gt;20,0,(K450-MIN(MAX(L473,0),K450))+MIN(MAX(0,M473-(K450-MIN(MAX(L473,0),K450))),MAX(0,2*K450-(L473-MIN(MAX(L473,0),K450)))))</f>
        <v>0</v>
      </c>
      <c r="L474" s="18">
        <f>IF($A474&gt;20,L473,(L473-K450+K474)*(1+$C$7))</f>
        <v>4.6937684622717057</v>
      </c>
      <c r="M474" s="18">
        <f t="shared" si="45"/>
        <v>0</v>
      </c>
      <c r="N474" s="18">
        <f>IF($A474&gt;20,0,(N450-MIN(MAX(O473,0),N450))+MIN(MAX(0,P473-(N450-MIN(MAX(O473,0),N450))),MAX(0,2*N450-(O473-MIN(MAX(O473,0),N450)))))</f>
        <v>0</v>
      </c>
      <c r="O474" s="18">
        <f>IF($A474&gt;20,O473,(O473-N450+N474)*(1+$C$7))</f>
        <v>0.10795609399609601</v>
      </c>
      <c r="P474" s="18">
        <f t="shared" si="46"/>
        <v>0</v>
      </c>
      <c r="Q474" s="18">
        <f>IF($A474&gt;20,0,(Q450-MIN(MAX(R473,0),Q450))+MIN(MAX(0,S473-(Q450-MIN(MAX(R473,0),Q450))),MAX(0,2*Q450-(R473-MIN(MAX(R473,0),Q450)))))</f>
        <v>0</v>
      </c>
      <c r="R474" s="18">
        <f>IF($A474&gt;20,R473,(R473-Q450+Q474)*(1+$C$7))</f>
        <v>3.1483723432756959E-10</v>
      </c>
      <c r="S474" s="18">
        <f t="shared" si="47"/>
        <v>0</v>
      </c>
    </row>
    <row r="475" spans="1:19">
      <c r="A475" s="10">
        <f>23</f>
        <v>23</v>
      </c>
      <c r="B475" s="18">
        <f>IF($A475&gt;20,0,(B450-MIN(MAX(C474,0),B450))+MIN(MAX(0,D474-(B450-MIN(MAX(C474,0),B450))),MAX(0,2*B450-(C474-MIN(MAX(C474,0),B450)))))</f>
        <v>0</v>
      </c>
      <c r="C475" s="18">
        <f>IF($A475&gt;20,C474,(C474-B450+B475)*(1+$C$7))</f>
        <v>60378</v>
      </c>
      <c r="D475" s="18">
        <f t="shared" si="42"/>
        <v>877228.99043658783</v>
      </c>
      <c r="E475" s="18">
        <f>IF($A475&gt;20,0,(E450-MIN(MAX(F474,0),E450))+MIN(MAX(0,G474-(E450-MIN(MAX(F474,0),E450))),MAX(0,2*E450-(F474-MIN(MAX(F474,0),E450)))))</f>
        <v>0</v>
      </c>
      <c r="F475" s="18">
        <f>IF($A475&gt;20,F474,(F474-E450+E475)*(1+$C$7))</f>
        <v>0</v>
      </c>
      <c r="G475" s="18">
        <f t="shared" si="43"/>
        <v>-343207.86871413566</v>
      </c>
      <c r="H475" s="18">
        <f>IF($A475&gt;20,0,(H450-MIN(MAX(I474,0),H450))+MIN(MAX(0,J474-(H450-MIN(MAX(I474,0),H450))),MAX(0,2*H450-(I474-MIN(MAX(I474,0),H450)))))</f>
        <v>0</v>
      </c>
      <c r="I475" s="18">
        <f>IF($A475&gt;20,I474,(I474-H450+H475)*(1+$C$7))</f>
        <v>0</v>
      </c>
      <c r="J475" s="18">
        <f t="shared" si="44"/>
        <v>-10979.591842156093</v>
      </c>
      <c r="K475" s="18">
        <f>IF($A475&gt;20,0,(K450-MIN(MAX(L474,0),K450))+MIN(MAX(0,M474-(K450-MIN(MAX(L474,0),K450))),MAX(0,2*K450-(L474-MIN(MAX(L474,0),K450)))))</f>
        <v>0</v>
      </c>
      <c r="L475" s="18">
        <f>IF($A475&gt;20,L474,(L474-K450+K475)*(1+$C$7))</f>
        <v>4.6937684622717057</v>
      </c>
      <c r="M475" s="18">
        <f t="shared" si="45"/>
        <v>0</v>
      </c>
      <c r="N475" s="18">
        <f>IF($A475&gt;20,0,(N450-MIN(MAX(O474,0),N450))+MIN(MAX(0,P474-(N450-MIN(MAX(O474,0),N450))),MAX(0,2*N450-(O474-MIN(MAX(O474,0),N450)))))</f>
        <v>0</v>
      </c>
      <c r="O475" s="18">
        <f>IF($A475&gt;20,O474,(O474-N450+N475)*(1+$C$7))</f>
        <v>0.10795609399609601</v>
      </c>
      <c r="P475" s="18">
        <f t="shared" si="46"/>
        <v>0</v>
      </c>
      <c r="Q475" s="18">
        <f>IF($A475&gt;20,0,(Q450-MIN(MAX(R474,0),Q450))+MIN(MAX(0,S474-(Q450-MIN(MAX(R474,0),Q450))),MAX(0,2*Q450-(R474-MIN(MAX(R474,0),Q450)))))</f>
        <v>0</v>
      </c>
      <c r="R475" s="18">
        <f>IF($A475&gt;20,R474,(R474-Q450+Q475)*(1+$C$7))</f>
        <v>3.1483723432756959E-10</v>
      </c>
      <c r="S475" s="18">
        <f t="shared" si="47"/>
        <v>0</v>
      </c>
    </row>
    <row r="476" spans="1:19">
      <c r="A476" s="10">
        <f>24</f>
        <v>24</v>
      </c>
      <c r="B476" s="18">
        <f>IF($A476&gt;20,0,(B450-MIN(MAX(C475,0),B450))+MIN(MAX(0,D475-(B450-MIN(MAX(C475,0),B450))),MAX(0,2*B450-(C475-MIN(MAX(C475,0),B450)))))</f>
        <v>0</v>
      </c>
      <c r="C476" s="18">
        <f>IF($A476&gt;20,C475,(C475-B450+B476)*(1+$C$7))</f>
        <v>60378</v>
      </c>
      <c r="D476" s="18">
        <f t="shared" si="42"/>
        <v>877228.99043658783</v>
      </c>
      <c r="E476" s="18">
        <f>IF($A476&gt;20,0,(E450-MIN(MAX(F475,0),E450))+MIN(MAX(0,G475-(E450-MIN(MAX(F475,0),E450))),MAX(0,2*E450-(F475-MIN(MAX(F475,0),E450)))))</f>
        <v>0</v>
      </c>
      <c r="F476" s="18">
        <f>IF($A476&gt;20,F475,(F475-E450+E476)*(1+$C$7))</f>
        <v>0</v>
      </c>
      <c r="G476" s="18">
        <f t="shared" si="43"/>
        <v>-343207.86871413566</v>
      </c>
      <c r="H476" s="18">
        <f>IF($A476&gt;20,0,(H450-MIN(MAX(I475,0),H450))+MIN(MAX(0,J475-(H450-MIN(MAX(I475,0),H450))),MAX(0,2*H450-(I475-MIN(MAX(I475,0),H450)))))</f>
        <v>0</v>
      </c>
      <c r="I476" s="18">
        <f>IF($A476&gt;20,I475,(I475-H450+H476)*(1+$C$7))</f>
        <v>0</v>
      </c>
      <c r="J476" s="18">
        <f t="shared" si="44"/>
        <v>-10979.591842156093</v>
      </c>
      <c r="K476" s="18">
        <f>IF($A476&gt;20,0,(K450-MIN(MAX(L475,0),K450))+MIN(MAX(0,M475-(K450-MIN(MAX(L475,0),K450))),MAX(0,2*K450-(L475-MIN(MAX(L475,0),K450)))))</f>
        <v>0</v>
      </c>
      <c r="L476" s="18">
        <f>IF($A476&gt;20,L475,(L475-K450+K476)*(1+$C$7))</f>
        <v>4.6937684622717057</v>
      </c>
      <c r="M476" s="18">
        <f t="shared" si="45"/>
        <v>0</v>
      </c>
      <c r="N476" s="18">
        <f>IF($A476&gt;20,0,(N450-MIN(MAX(O475,0),N450))+MIN(MAX(0,P475-(N450-MIN(MAX(O475,0),N450))),MAX(0,2*N450-(O475-MIN(MAX(O475,0),N450)))))</f>
        <v>0</v>
      </c>
      <c r="O476" s="18">
        <f>IF($A476&gt;20,O475,(O475-N450+N476)*(1+$C$7))</f>
        <v>0.10795609399609601</v>
      </c>
      <c r="P476" s="18">
        <f t="shared" si="46"/>
        <v>0</v>
      </c>
      <c r="Q476" s="18">
        <f>IF($A476&gt;20,0,(Q450-MIN(MAX(R475,0),Q450))+MIN(MAX(0,S475-(Q450-MIN(MAX(R475,0),Q450))),MAX(0,2*Q450-(R475-MIN(MAX(R475,0),Q450)))))</f>
        <v>0</v>
      </c>
      <c r="R476" s="18">
        <f>IF($A476&gt;20,R475,(R475-Q450+Q476)*(1+$C$7))</f>
        <v>3.1483723432756959E-10</v>
      </c>
      <c r="S476" s="18">
        <f t="shared" si="47"/>
        <v>0</v>
      </c>
    </row>
    <row r="477" spans="1:19">
      <c r="A477" s="10">
        <f>25</f>
        <v>25</v>
      </c>
      <c r="B477" s="18">
        <f>IF($A477&gt;20,0,(B450-MIN(MAX(C476,0),B450))+MIN(MAX(0,D476-(B450-MIN(MAX(C476,0),B450))),MAX(0,2*B450-(C476-MIN(MAX(C476,0),B450)))))</f>
        <v>0</v>
      </c>
      <c r="C477" s="18">
        <f>IF($A477&gt;20,C476,(C476-B450+B477)*(1+$C$7))</f>
        <v>60378</v>
      </c>
      <c r="D477" s="18">
        <f t="shared" si="42"/>
        <v>877228.99043658783</v>
      </c>
      <c r="E477" s="18">
        <f>IF($A477&gt;20,0,(E450-MIN(MAX(F476,0),E450))+MIN(MAX(0,G476-(E450-MIN(MAX(F476,0),E450))),MAX(0,2*E450-(F476-MIN(MAX(F476,0),E450)))))</f>
        <v>0</v>
      </c>
      <c r="F477" s="18">
        <f>IF($A477&gt;20,F476,(F476-E450+E477)*(1+$C$7))</f>
        <v>0</v>
      </c>
      <c r="G477" s="18">
        <f t="shared" si="43"/>
        <v>-343207.86871413566</v>
      </c>
      <c r="H477" s="18">
        <f>IF($A477&gt;20,0,(H450-MIN(MAX(I476,0),H450))+MIN(MAX(0,J476-(H450-MIN(MAX(I476,0),H450))),MAX(0,2*H450-(I476-MIN(MAX(I476,0),H450)))))</f>
        <v>0</v>
      </c>
      <c r="I477" s="18">
        <f>IF($A477&gt;20,I476,(I476-H450+H477)*(1+$C$7))</f>
        <v>0</v>
      </c>
      <c r="J477" s="18">
        <f t="shared" si="44"/>
        <v>-10979.591842156093</v>
      </c>
      <c r="K477" s="18">
        <f>IF($A477&gt;20,0,(K450-MIN(MAX(L476,0),K450))+MIN(MAX(0,M476-(K450-MIN(MAX(L476,0),K450))),MAX(0,2*K450-(L476-MIN(MAX(L476,0),K450)))))</f>
        <v>0</v>
      </c>
      <c r="L477" s="18">
        <f>IF($A477&gt;20,L476,(L476-K450+K477)*(1+$C$7))</f>
        <v>4.6937684622717057</v>
      </c>
      <c r="M477" s="18">
        <f t="shared" si="45"/>
        <v>0</v>
      </c>
      <c r="N477" s="18">
        <f>IF($A477&gt;20,0,(N450-MIN(MAX(O476,0),N450))+MIN(MAX(0,P476-(N450-MIN(MAX(O476,0),N450))),MAX(0,2*N450-(O476-MIN(MAX(O476,0),N450)))))</f>
        <v>0</v>
      </c>
      <c r="O477" s="18">
        <f>IF($A477&gt;20,O476,(O476-N450+N477)*(1+$C$7))</f>
        <v>0.10795609399609601</v>
      </c>
      <c r="P477" s="18">
        <f t="shared" si="46"/>
        <v>0</v>
      </c>
      <c r="Q477" s="18">
        <f>IF($A477&gt;20,0,(Q450-MIN(MAX(R476,0),Q450))+MIN(MAX(0,S476-(Q450-MIN(MAX(R476,0),Q450))),MAX(0,2*Q450-(R476-MIN(MAX(R476,0),Q450)))))</f>
        <v>0</v>
      </c>
      <c r="R477" s="18">
        <f>IF($A477&gt;20,R476,(R476-Q450+Q477)*(1+$C$7))</f>
        <v>3.1483723432756959E-10</v>
      </c>
      <c r="S477" s="18">
        <f t="shared" si="47"/>
        <v>0</v>
      </c>
    </row>
    <row r="478" spans="1:19">
      <c r="A478" s="10">
        <f>26</f>
        <v>26</v>
      </c>
      <c r="B478" s="18">
        <f>IF($A478&gt;20,0,(B450-MIN(MAX(C477,0),B450))+MIN(MAX(0,D477-(B450-MIN(MAX(C477,0),B450))),MAX(0,2*B450-(C477-MIN(MAX(C477,0),B450)))))</f>
        <v>0</v>
      </c>
      <c r="C478" s="18">
        <f>IF($A478&gt;20,C477,(C477-B450+B478)*(1+$C$7))</f>
        <v>60378</v>
      </c>
      <c r="D478" s="18">
        <f t="shared" si="42"/>
        <v>877228.99043658783</v>
      </c>
      <c r="E478" s="18">
        <f>IF($A478&gt;20,0,(E450-MIN(MAX(F477,0),E450))+MIN(MAX(0,G477-(E450-MIN(MAX(F477,0),E450))),MAX(0,2*E450-(F477-MIN(MAX(F477,0),E450)))))</f>
        <v>0</v>
      </c>
      <c r="F478" s="18">
        <f>IF($A478&gt;20,F477,(F477-E450+E478)*(1+$C$7))</f>
        <v>0</v>
      </c>
      <c r="G478" s="18">
        <f t="shared" si="43"/>
        <v>-343207.86871413566</v>
      </c>
      <c r="H478" s="18">
        <f>IF($A478&gt;20,0,(H450-MIN(MAX(I477,0),H450))+MIN(MAX(0,J477-(H450-MIN(MAX(I477,0),H450))),MAX(0,2*H450-(I477-MIN(MAX(I477,0),H450)))))</f>
        <v>0</v>
      </c>
      <c r="I478" s="18">
        <f>IF($A478&gt;20,I477,(I477-H450+H478)*(1+$C$7))</f>
        <v>0</v>
      </c>
      <c r="J478" s="18">
        <f t="shared" si="44"/>
        <v>-10979.591842156093</v>
      </c>
      <c r="K478" s="18">
        <f>IF($A478&gt;20,0,(K450-MIN(MAX(L477,0),K450))+MIN(MAX(0,M477-(K450-MIN(MAX(L477,0),K450))),MAX(0,2*K450-(L477-MIN(MAX(L477,0),K450)))))</f>
        <v>0</v>
      </c>
      <c r="L478" s="18">
        <f>IF($A478&gt;20,L477,(L477-K450+K478)*(1+$C$7))</f>
        <v>4.6937684622717057</v>
      </c>
      <c r="M478" s="18">
        <f t="shared" si="45"/>
        <v>0</v>
      </c>
      <c r="N478" s="18">
        <f>IF($A478&gt;20,0,(N450-MIN(MAX(O477,0),N450))+MIN(MAX(0,P477-(N450-MIN(MAX(O477,0),N450))),MAX(0,2*N450-(O477-MIN(MAX(O477,0),N450)))))</f>
        <v>0</v>
      </c>
      <c r="O478" s="18">
        <f>IF($A478&gt;20,O477,(O477-N450+N478)*(1+$C$7))</f>
        <v>0.10795609399609601</v>
      </c>
      <c r="P478" s="18">
        <f t="shared" si="46"/>
        <v>0</v>
      </c>
      <c r="Q478" s="18">
        <f>IF($A478&gt;20,0,(Q450-MIN(MAX(R477,0),Q450))+MIN(MAX(0,S477-(Q450-MIN(MAX(R477,0),Q450))),MAX(0,2*Q450-(R477-MIN(MAX(R477,0),Q450)))))</f>
        <v>0</v>
      </c>
      <c r="R478" s="18">
        <f>IF($A478&gt;20,R477,(R477-Q450+Q478)*(1+$C$7))</f>
        <v>3.1483723432756959E-10</v>
      </c>
      <c r="S478" s="18">
        <f t="shared" si="47"/>
        <v>0</v>
      </c>
    </row>
    <row r="479" spans="1:19">
      <c r="A479" s="10">
        <f>27</f>
        <v>27</v>
      </c>
      <c r="B479" s="18">
        <f>IF($A479&gt;20,0,(B450-MIN(MAX(C478,0),B450))+MIN(MAX(0,D478-(B450-MIN(MAX(C478,0),B450))),MAX(0,2*B450-(C478-MIN(MAX(C478,0),B450)))))</f>
        <v>0</v>
      </c>
      <c r="C479" s="18">
        <f>IF($A479&gt;20,C478,(C478-B450+B479)*(1+$C$7))</f>
        <v>60378</v>
      </c>
      <c r="D479" s="18">
        <f t="shared" si="42"/>
        <v>877228.99043658783</v>
      </c>
      <c r="E479" s="18">
        <f>IF($A479&gt;20,0,(E450-MIN(MAX(F478,0),E450))+MIN(MAX(0,G478-(E450-MIN(MAX(F478,0),E450))),MAX(0,2*E450-(F478-MIN(MAX(F478,0),E450)))))</f>
        <v>0</v>
      </c>
      <c r="F479" s="18">
        <f>IF($A479&gt;20,F478,(F478-E450+E479)*(1+$C$7))</f>
        <v>0</v>
      </c>
      <c r="G479" s="18">
        <f t="shared" si="43"/>
        <v>-343207.86871413566</v>
      </c>
      <c r="H479" s="18">
        <f>IF($A479&gt;20,0,(H450-MIN(MAX(I478,0),H450))+MIN(MAX(0,J478-(H450-MIN(MAX(I478,0),H450))),MAX(0,2*H450-(I478-MIN(MAX(I478,0),H450)))))</f>
        <v>0</v>
      </c>
      <c r="I479" s="18">
        <f>IF($A479&gt;20,I478,(I478-H450+H479)*(1+$C$7))</f>
        <v>0</v>
      </c>
      <c r="J479" s="18">
        <f t="shared" si="44"/>
        <v>-10979.591842156093</v>
      </c>
      <c r="K479" s="18">
        <f>IF($A479&gt;20,0,(K450-MIN(MAX(L478,0),K450))+MIN(MAX(0,M478-(K450-MIN(MAX(L478,0),K450))),MAX(0,2*K450-(L478-MIN(MAX(L478,0),K450)))))</f>
        <v>0</v>
      </c>
      <c r="L479" s="18">
        <f>IF($A479&gt;20,L478,(L478-K450+K479)*(1+$C$7))</f>
        <v>4.6937684622717057</v>
      </c>
      <c r="M479" s="18">
        <f t="shared" si="45"/>
        <v>0</v>
      </c>
      <c r="N479" s="18">
        <f>IF($A479&gt;20,0,(N450-MIN(MAX(O478,0),N450))+MIN(MAX(0,P478-(N450-MIN(MAX(O478,0),N450))),MAX(0,2*N450-(O478-MIN(MAX(O478,0),N450)))))</f>
        <v>0</v>
      </c>
      <c r="O479" s="18">
        <f>IF($A479&gt;20,O478,(O478-N450+N479)*(1+$C$7))</f>
        <v>0.10795609399609601</v>
      </c>
      <c r="P479" s="18">
        <f t="shared" si="46"/>
        <v>0</v>
      </c>
      <c r="Q479" s="18">
        <f>IF($A479&gt;20,0,(Q450-MIN(MAX(R478,0),Q450))+MIN(MAX(0,S478-(Q450-MIN(MAX(R478,0),Q450))),MAX(0,2*Q450-(R478-MIN(MAX(R478,0),Q450)))))</f>
        <v>0</v>
      </c>
      <c r="R479" s="18">
        <f>IF($A479&gt;20,R478,(R478-Q450+Q479)*(1+$C$7))</f>
        <v>3.1483723432756959E-10</v>
      </c>
      <c r="S479" s="18">
        <f t="shared" si="47"/>
        <v>0</v>
      </c>
    </row>
    <row r="480" spans="1:19">
      <c r="A480" s="10">
        <f>28</f>
        <v>28</v>
      </c>
      <c r="B480" s="18">
        <f>IF($A480&gt;20,0,(B450-MIN(MAX(C479,0),B450))+MIN(MAX(0,D479-(B450-MIN(MAX(C479,0),B450))),MAX(0,2*B450-(C479-MIN(MAX(C479,0),B450)))))</f>
        <v>0</v>
      </c>
      <c r="C480" s="18">
        <f>IF($A480&gt;20,C479,(C479-B450+B480)*(1+$C$7))</f>
        <v>60378</v>
      </c>
      <c r="D480" s="18">
        <f t="shared" si="42"/>
        <v>877228.99043658783</v>
      </c>
      <c r="E480" s="18">
        <f>IF($A480&gt;20,0,(E450-MIN(MAX(F479,0),E450))+MIN(MAX(0,G479-(E450-MIN(MAX(F479,0),E450))),MAX(0,2*E450-(F479-MIN(MAX(F479,0),E450)))))</f>
        <v>0</v>
      </c>
      <c r="F480" s="18">
        <f>IF($A480&gt;20,F479,(F479-E450+E480)*(1+$C$7))</f>
        <v>0</v>
      </c>
      <c r="G480" s="18">
        <f t="shared" si="43"/>
        <v>-343207.86871413566</v>
      </c>
      <c r="H480" s="18">
        <f>IF($A480&gt;20,0,(H450-MIN(MAX(I479,0),H450))+MIN(MAX(0,J479-(H450-MIN(MAX(I479,0),H450))),MAX(0,2*H450-(I479-MIN(MAX(I479,0),H450)))))</f>
        <v>0</v>
      </c>
      <c r="I480" s="18">
        <f>IF($A480&gt;20,I479,(I479-H450+H480)*(1+$C$7))</f>
        <v>0</v>
      </c>
      <c r="J480" s="18">
        <f t="shared" si="44"/>
        <v>-10979.591842156093</v>
      </c>
      <c r="K480" s="18">
        <f>IF($A480&gt;20,0,(K450-MIN(MAX(L479,0),K450))+MIN(MAX(0,M479-(K450-MIN(MAX(L479,0),K450))),MAX(0,2*K450-(L479-MIN(MAX(L479,0),K450)))))</f>
        <v>0</v>
      </c>
      <c r="L480" s="18">
        <f>IF($A480&gt;20,L479,(L479-K450+K480)*(1+$C$7))</f>
        <v>4.6937684622717057</v>
      </c>
      <c r="M480" s="18">
        <f t="shared" si="45"/>
        <v>0</v>
      </c>
      <c r="N480" s="18">
        <f>IF($A480&gt;20,0,(N450-MIN(MAX(O479,0),N450))+MIN(MAX(0,P479-(N450-MIN(MAX(O479,0),N450))),MAX(0,2*N450-(O479-MIN(MAX(O479,0),N450)))))</f>
        <v>0</v>
      </c>
      <c r="O480" s="18">
        <f>IF($A480&gt;20,O479,(O479-N450+N480)*(1+$C$7))</f>
        <v>0.10795609399609601</v>
      </c>
      <c r="P480" s="18">
        <f t="shared" si="46"/>
        <v>0</v>
      </c>
      <c r="Q480" s="18">
        <f>IF($A480&gt;20,0,(Q450-MIN(MAX(R479,0),Q450))+MIN(MAX(0,S479-(Q450-MIN(MAX(R479,0),Q450))),MAX(0,2*Q450-(R479-MIN(MAX(R479,0),Q450)))))</f>
        <v>0</v>
      </c>
      <c r="R480" s="18">
        <f>IF($A480&gt;20,R479,(R479-Q450+Q480)*(1+$C$7))</f>
        <v>3.1483723432756959E-10</v>
      </c>
      <c r="S480" s="18">
        <f t="shared" si="47"/>
        <v>0</v>
      </c>
    </row>
    <row r="481" spans="1:19">
      <c r="A481" s="10">
        <f>29</f>
        <v>29</v>
      </c>
      <c r="B481" s="18">
        <f>IF($A481&gt;20,0,(B450-MIN(MAX(C480,0),B450))+MIN(MAX(0,D480-(B450-MIN(MAX(C480,0),B450))),MAX(0,2*B450-(C480-MIN(MAX(C480,0),B450)))))</f>
        <v>0</v>
      </c>
      <c r="C481" s="18">
        <f>IF($A481&gt;20,C480,(C480-B450+B481)*(1+$C$7))</f>
        <v>60378</v>
      </c>
      <c r="D481" s="18">
        <f t="shared" si="42"/>
        <v>877228.99043658783</v>
      </c>
      <c r="E481" s="18">
        <f>IF($A481&gt;20,0,(E450-MIN(MAX(F480,0),E450))+MIN(MAX(0,G480-(E450-MIN(MAX(F480,0),E450))),MAX(0,2*E450-(F480-MIN(MAX(F480,0),E450)))))</f>
        <v>0</v>
      </c>
      <c r="F481" s="18">
        <f>IF($A481&gt;20,F480,(F480-E450+E481)*(1+$C$7))</f>
        <v>0</v>
      </c>
      <c r="G481" s="18">
        <f t="shared" si="43"/>
        <v>-343207.86871413566</v>
      </c>
      <c r="H481" s="18">
        <f>IF($A481&gt;20,0,(H450-MIN(MAX(I480,0),H450))+MIN(MAX(0,J480-(H450-MIN(MAX(I480,0),H450))),MAX(0,2*H450-(I480-MIN(MAX(I480,0),H450)))))</f>
        <v>0</v>
      </c>
      <c r="I481" s="18">
        <f>IF($A481&gt;20,I480,(I480-H450+H481)*(1+$C$7))</f>
        <v>0</v>
      </c>
      <c r="J481" s="18">
        <f t="shared" si="44"/>
        <v>-10979.591842156093</v>
      </c>
      <c r="K481" s="18">
        <f>IF($A481&gt;20,0,(K450-MIN(MAX(L480,0),K450))+MIN(MAX(0,M480-(K450-MIN(MAX(L480,0),K450))),MAX(0,2*K450-(L480-MIN(MAX(L480,0),K450)))))</f>
        <v>0</v>
      </c>
      <c r="L481" s="18">
        <f>IF($A481&gt;20,L480,(L480-K450+K481)*(1+$C$7))</f>
        <v>4.6937684622717057</v>
      </c>
      <c r="M481" s="18">
        <f t="shared" si="45"/>
        <v>0</v>
      </c>
      <c r="N481" s="18">
        <f>IF($A481&gt;20,0,(N450-MIN(MAX(O480,0),N450))+MIN(MAX(0,P480-(N450-MIN(MAX(O480,0),N450))),MAX(0,2*N450-(O480-MIN(MAX(O480,0),N450)))))</f>
        <v>0</v>
      </c>
      <c r="O481" s="18">
        <f>IF($A481&gt;20,O480,(O480-N450+N481)*(1+$C$7))</f>
        <v>0.10795609399609601</v>
      </c>
      <c r="P481" s="18">
        <f t="shared" si="46"/>
        <v>0</v>
      </c>
      <c r="Q481" s="18">
        <f>IF($A481&gt;20,0,(Q450-MIN(MAX(R480,0),Q450))+MIN(MAX(0,S480-(Q450-MIN(MAX(R480,0),Q450))),MAX(0,2*Q450-(R480-MIN(MAX(R480,0),Q450)))))</f>
        <v>0</v>
      </c>
      <c r="R481" s="18">
        <f>IF($A481&gt;20,R480,(R480-Q450+Q481)*(1+$C$7))</f>
        <v>3.1483723432756959E-10</v>
      </c>
      <c r="S481" s="18">
        <f t="shared" si="47"/>
        <v>0</v>
      </c>
    </row>
    <row r="482" spans="1:19">
      <c r="A482" s="10">
        <f>30</f>
        <v>30</v>
      </c>
      <c r="B482" s="18">
        <f>IF($A482&gt;20,0,(B450-MIN(MAX(C481,0),B450))+MIN(MAX(0,D481-(B450-MIN(MAX(C481,0),B450))),MAX(0,2*B450-(C481-MIN(MAX(C481,0),B450)))))</f>
        <v>0</v>
      </c>
      <c r="C482" s="18">
        <f>IF($A482&gt;20,C481,(C481-B450+B482)*(1+$C$7))</f>
        <v>60378</v>
      </c>
      <c r="D482" s="18">
        <f t="shared" si="42"/>
        <v>877228.99043658783</v>
      </c>
      <c r="E482" s="18">
        <f>IF($A482&gt;20,0,(E450-MIN(MAX(F481,0),E450))+MIN(MAX(0,G481-(E450-MIN(MAX(F481,0),E450))),MAX(0,2*E450-(F481-MIN(MAX(F481,0),E450)))))</f>
        <v>0</v>
      </c>
      <c r="F482" s="18">
        <f>IF($A482&gt;20,F481,(F481-E450+E482)*(1+$C$7))</f>
        <v>0</v>
      </c>
      <c r="G482" s="18">
        <f t="shared" si="43"/>
        <v>-343207.86871413566</v>
      </c>
      <c r="H482" s="18">
        <f>IF($A482&gt;20,0,(H450-MIN(MAX(I481,0),H450))+MIN(MAX(0,J481-(H450-MIN(MAX(I481,0),H450))),MAX(0,2*H450-(I481-MIN(MAX(I481,0),H450)))))</f>
        <v>0</v>
      </c>
      <c r="I482" s="18">
        <f>IF($A482&gt;20,I481,(I481-H450+H482)*(1+$C$7))</f>
        <v>0</v>
      </c>
      <c r="J482" s="18">
        <f t="shared" si="44"/>
        <v>-10979.591842156093</v>
      </c>
      <c r="K482" s="18">
        <f>IF($A482&gt;20,0,(K450-MIN(MAX(L481,0),K450))+MIN(MAX(0,M481-(K450-MIN(MAX(L481,0),K450))),MAX(0,2*K450-(L481-MIN(MAX(L481,0),K450)))))</f>
        <v>0</v>
      </c>
      <c r="L482" s="18">
        <f>IF($A482&gt;20,L481,(L481-K450+K482)*(1+$C$7))</f>
        <v>4.6937684622717057</v>
      </c>
      <c r="M482" s="18">
        <f t="shared" si="45"/>
        <v>0</v>
      </c>
      <c r="N482" s="18">
        <f>IF($A482&gt;20,0,(N450-MIN(MAX(O481,0),N450))+MIN(MAX(0,P481-(N450-MIN(MAX(O481,0),N450))),MAX(0,2*N450-(O481-MIN(MAX(O481,0),N450)))))</f>
        <v>0</v>
      </c>
      <c r="O482" s="18">
        <f>IF($A482&gt;20,O481,(O481-N450+N482)*(1+$C$7))</f>
        <v>0.10795609399609601</v>
      </c>
      <c r="P482" s="18">
        <f t="shared" si="46"/>
        <v>0</v>
      </c>
      <c r="Q482" s="18">
        <f>IF($A482&gt;20,0,(Q450-MIN(MAX(R481,0),Q450))+MIN(MAX(0,S481-(Q450-MIN(MAX(R481,0),Q450))),MAX(0,2*Q450-(R481-MIN(MAX(R481,0),Q450)))))</f>
        <v>0</v>
      </c>
      <c r="R482" s="18">
        <f>IF($A482&gt;20,R481,(R481-Q450+Q482)*(1+$C$7))</f>
        <v>3.1483723432756959E-10</v>
      </c>
      <c r="S482" s="18">
        <f t="shared" si="47"/>
        <v>0</v>
      </c>
    </row>
    <row r="483" spans="1:19">
      <c r="A483" s="10">
        <f>31</f>
        <v>31</v>
      </c>
      <c r="B483" s="18">
        <f>IF($A483&gt;20,0,(B450-MIN(MAX(C482,0),B450))+MIN(MAX(0,D482-(B450-MIN(MAX(C482,0),B450))),MAX(0,2*B450-(C482-MIN(MAX(C482,0),B450)))))</f>
        <v>0</v>
      </c>
      <c r="C483" s="18">
        <f>IF($A483&gt;20,C482,(C482-B450+B483)*(1+$C$7))</f>
        <v>60378</v>
      </c>
      <c r="D483" s="18">
        <f t="shared" si="42"/>
        <v>877228.99043658783</v>
      </c>
      <c r="E483" s="18">
        <f>IF($A483&gt;20,0,(E450-MIN(MAX(F482,0),E450))+MIN(MAX(0,G482-(E450-MIN(MAX(F482,0),E450))),MAX(0,2*E450-(F482-MIN(MAX(F482,0),E450)))))</f>
        <v>0</v>
      </c>
      <c r="F483" s="18">
        <f>IF($A483&gt;20,F482,(F482-E450+E483)*(1+$C$7))</f>
        <v>0</v>
      </c>
      <c r="G483" s="18">
        <f t="shared" si="43"/>
        <v>-343207.86871413566</v>
      </c>
      <c r="H483" s="18">
        <f>IF($A483&gt;20,0,(H450-MIN(MAX(I482,0),H450))+MIN(MAX(0,J482-(H450-MIN(MAX(I482,0),H450))),MAX(0,2*H450-(I482-MIN(MAX(I482,0),H450)))))</f>
        <v>0</v>
      </c>
      <c r="I483" s="18">
        <f>IF($A483&gt;20,I482,(I482-H450+H483)*(1+$C$7))</f>
        <v>0</v>
      </c>
      <c r="J483" s="18">
        <f t="shared" si="44"/>
        <v>-10979.591842156093</v>
      </c>
      <c r="K483" s="18">
        <f>IF($A483&gt;20,0,(K450-MIN(MAX(L482,0),K450))+MIN(MAX(0,M482-(K450-MIN(MAX(L482,0),K450))),MAX(0,2*K450-(L482-MIN(MAX(L482,0),K450)))))</f>
        <v>0</v>
      </c>
      <c r="L483" s="18">
        <f>IF($A483&gt;20,L482,(L482-K450+K483)*(1+$C$7))</f>
        <v>4.6937684622717057</v>
      </c>
      <c r="M483" s="18">
        <f t="shared" si="45"/>
        <v>0</v>
      </c>
      <c r="N483" s="18">
        <f>IF($A483&gt;20,0,(N450-MIN(MAX(O482,0),N450))+MIN(MAX(0,P482-(N450-MIN(MAX(O482,0),N450))),MAX(0,2*N450-(O482-MIN(MAX(O482,0),N450)))))</f>
        <v>0</v>
      </c>
      <c r="O483" s="18">
        <f>IF($A483&gt;20,O482,(O482-N450+N483)*(1+$C$7))</f>
        <v>0.10795609399609601</v>
      </c>
      <c r="P483" s="18">
        <f t="shared" si="46"/>
        <v>0</v>
      </c>
      <c r="Q483" s="18">
        <f>IF($A483&gt;20,0,(Q450-MIN(MAX(R482,0),Q450))+MIN(MAX(0,S482-(Q450-MIN(MAX(R482,0),Q450))),MAX(0,2*Q450-(R482-MIN(MAX(R482,0),Q450)))))</f>
        <v>0</v>
      </c>
      <c r="R483" s="18">
        <f>IF($A483&gt;20,R482,(R482-Q450+Q483)*(1+$C$7))</f>
        <v>3.1483723432756959E-10</v>
      </c>
      <c r="S483" s="18">
        <f t="shared" si="47"/>
        <v>0</v>
      </c>
    </row>
    <row r="484" spans="1:19">
      <c r="A484" s="10">
        <f>32</f>
        <v>32</v>
      </c>
      <c r="B484" s="18">
        <f>IF($A484&gt;20,0,(B450-MIN(MAX(C483,0),B450))+MIN(MAX(0,D483-(B450-MIN(MAX(C483,0),B450))),MAX(0,2*B450-(C483-MIN(MAX(C483,0),B450)))))</f>
        <v>0</v>
      </c>
      <c r="C484" s="18">
        <f>IF($A484&gt;20,C483,(C483-B450+B484)*(1+$C$7))</f>
        <v>60378</v>
      </c>
      <c r="D484" s="18">
        <f t="shared" si="42"/>
        <v>877228.99043658783</v>
      </c>
      <c r="E484" s="18">
        <f>IF($A484&gt;20,0,(E450-MIN(MAX(F483,0),E450))+MIN(MAX(0,G483-(E450-MIN(MAX(F483,0),E450))),MAX(0,2*E450-(F483-MIN(MAX(F483,0),E450)))))</f>
        <v>0</v>
      </c>
      <c r="F484" s="18">
        <f>IF($A484&gt;20,F483,(F483-E450+E484)*(1+$C$7))</f>
        <v>0</v>
      </c>
      <c r="G484" s="18">
        <f t="shared" si="43"/>
        <v>-343207.86871413566</v>
      </c>
      <c r="H484" s="18">
        <f>IF($A484&gt;20,0,(H450-MIN(MAX(I483,0),H450))+MIN(MAX(0,J483-(H450-MIN(MAX(I483,0),H450))),MAX(0,2*H450-(I483-MIN(MAX(I483,0),H450)))))</f>
        <v>0</v>
      </c>
      <c r="I484" s="18">
        <f>IF($A484&gt;20,I483,(I483-H450+H484)*(1+$C$7))</f>
        <v>0</v>
      </c>
      <c r="J484" s="18">
        <f t="shared" si="44"/>
        <v>-10979.591842156093</v>
      </c>
      <c r="K484" s="18">
        <f>IF($A484&gt;20,0,(K450-MIN(MAX(L483,0),K450))+MIN(MAX(0,M483-(K450-MIN(MAX(L483,0),K450))),MAX(0,2*K450-(L483-MIN(MAX(L483,0),K450)))))</f>
        <v>0</v>
      </c>
      <c r="L484" s="18">
        <f>IF($A484&gt;20,L483,(L483-K450+K484)*(1+$C$7))</f>
        <v>4.6937684622717057</v>
      </c>
      <c r="M484" s="18">
        <f t="shared" si="45"/>
        <v>0</v>
      </c>
      <c r="N484" s="18">
        <f>IF($A484&gt;20,0,(N450-MIN(MAX(O483,0),N450))+MIN(MAX(0,P483-(N450-MIN(MAX(O483,0),N450))),MAX(0,2*N450-(O483-MIN(MAX(O483,0),N450)))))</f>
        <v>0</v>
      </c>
      <c r="O484" s="18">
        <f>IF($A484&gt;20,O483,(O483-N450+N484)*(1+$C$7))</f>
        <v>0.10795609399609601</v>
      </c>
      <c r="P484" s="18">
        <f t="shared" si="46"/>
        <v>0</v>
      </c>
      <c r="Q484" s="18">
        <f>IF($A484&gt;20,0,(Q450-MIN(MAX(R483,0),Q450))+MIN(MAX(0,S483-(Q450-MIN(MAX(R483,0),Q450))),MAX(0,2*Q450-(R483-MIN(MAX(R483,0),Q450)))))</f>
        <v>0</v>
      </c>
      <c r="R484" s="18">
        <f>IF($A484&gt;20,R483,(R483-Q450+Q484)*(1+$C$7))</f>
        <v>3.1483723432756959E-10</v>
      </c>
      <c r="S484" s="18">
        <f t="shared" si="47"/>
        <v>0</v>
      </c>
    </row>
    <row r="485" spans="1:19">
      <c r="A485" s="10">
        <f>33</f>
        <v>33</v>
      </c>
      <c r="B485" s="18">
        <f>IF($A485&gt;20,0,(B450-MIN(MAX(C484,0),B450))+MIN(MAX(0,D484-(B450-MIN(MAX(C484,0),B450))),MAX(0,2*B450-(C484-MIN(MAX(C484,0),B450)))))</f>
        <v>0</v>
      </c>
      <c r="C485" s="18">
        <f>IF($A485&gt;20,C484,(C484-B450+B485)*(1+$C$7))</f>
        <v>60378</v>
      </c>
      <c r="D485" s="18">
        <f t="shared" si="42"/>
        <v>877228.99043658783</v>
      </c>
      <c r="E485" s="18">
        <f>IF($A485&gt;20,0,(E450-MIN(MAX(F484,0),E450))+MIN(MAX(0,G484-(E450-MIN(MAX(F484,0),E450))),MAX(0,2*E450-(F484-MIN(MAX(F484,0),E450)))))</f>
        <v>0</v>
      </c>
      <c r="F485" s="18">
        <f>IF($A485&gt;20,F484,(F484-E450+E485)*(1+$C$7))</f>
        <v>0</v>
      </c>
      <c r="G485" s="18">
        <f t="shared" si="43"/>
        <v>-343207.86871413566</v>
      </c>
      <c r="H485" s="18">
        <f>IF($A485&gt;20,0,(H450-MIN(MAX(I484,0),H450))+MIN(MAX(0,J484-(H450-MIN(MAX(I484,0),H450))),MAX(0,2*H450-(I484-MIN(MAX(I484,0),H450)))))</f>
        <v>0</v>
      </c>
      <c r="I485" s="18">
        <f>IF($A485&gt;20,I484,(I484-H450+H485)*(1+$C$7))</f>
        <v>0</v>
      </c>
      <c r="J485" s="18">
        <f t="shared" si="44"/>
        <v>-10979.591842156093</v>
      </c>
      <c r="K485" s="18">
        <f>IF($A485&gt;20,0,(K450-MIN(MAX(L484,0),K450))+MIN(MAX(0,M484-(K450-MIN(MAX(L484,0),K450))),MAX(0,2*K450-(L484-MIN(MAX(L484,0),K450)))))</f>
        <v>0</v>
      </c>
      <c r="L485" s="18">
        <f>IF($A485&gt;20,L484,(L484-K450+K485)*(1+$C$7))</f>
        <v>4.6937684622717057</v>
      </c>
      <c r="M485" s="18">
        <f t="shared" si="45"/>
        <v>0</v>
      </c>
      <c r="N485" s="18">
        <f>IF($A485&gt;20,0,(N450-MIN(MAX(O484,0),N450))+MIN(MAX(0,P484-(N450-MIN(MAX(O484,0),N450))),MAX(0,2*N450-(O484-MIN(MAX(O484,0),N450)))))</f>
        <v>0</v>
      </c>
      <c r="O485" s="18">
        <f>IF($A485&gt;20,O484,(O484-N450+N485)*(1+$C$7))</f>
        <v>0.10795609399609601</v>
      </c>
      <c r="P485" s="18">
        <f t="shared" si="46"/>
        <v>0</v>
      </c>
      <c r="Q485" s="18">
        <f>IF($A485&gt;20,0,(Q450-MIN(MAX(R484,0),Q450))+MIN(MAX(0,S484-(Q450-MIN(MAX(R484,0),Q450))),MAX(0,2*Q450-(R484-MIN(MAX(R484,0),Q450)))))</f>
        <v>0</v>
      </c>
      <c r="R485" s="18">
        <f>IF($A485&gt;20,R484,(R484-Q450+Q485)*(1+$C$7))</f>
        <v>3.1483723432756959E-10</v>
      </c>
      <c r="S485" s="18">
        <f t="shared" si="47"/>
        <v>0</v>
      </c>
    </row>
    <row r="486" spans="1:19">
      <c r="A486" s="10">
        <f>34</f>
        <v>34</v>
      </c>
      <c r="B486" s="18">
        <f>IF($A486&gt;20,0,(B450-MIN(MAX(C485,0),B450))+MIN(MAX(0,D485-(B450-MIN(MAX(C485,0),B450))),MAX(0,2*B450-(C485-MIN(MAX(C485,0),B450)))))</f>
        <v>0</v>
      </c>
      <c r="C486" s="18">
        <f>IF($A486&gt;20,C485,(C485-B450+B486)*(1+$C$7))</f>
        <v>60378</v>
      </c>
      <c r="D486" s="18">
        <f t="shared" si="42"/>
        <v>877228.99043658783</v>
      </c>
      <c r="E486" s="18">
        <f>IF($A486&gt;20,0,(E450-MIN(MAX(F485,0),E450))+MIN(MAX(0,G485-(E450-MIN(MAX(F485,0),E450))),MAX(0,2*E450-(F485-MIN(MAX(F485,0),E450)))))</f>
        <v>0</v>
      </c>
      <c r="F486" s="18">
        <f>IF($A486&gt;20,F485,(F485-E450+E486)*(1+$C$7))</f>
        <v>0</v>
      </c>
      <c r="G486" s="18">
        <f t="shared" si="43"/>
        <v>-343207.86871413566</v>
      </c>
      <c r="H486" s="18">
        <f>IF($A486&gt;20,0,(H450-MIN(MAX(I485,0),H450))+MIN(MAX(0,J485-(H450-MIN(MAX(I485,0),H450))),MAX(0,2*H450-(I485-MIN(MAX(I485,0),H450)))))</f>
        <v>0</v>
      </c>
      <c r="I486" s="18">
        <f>IF($A486&gt;20,I485,(I485-H450+H486)*(1+$C$7))</f>
        <v>0</v>
      </c>
      <c r="J486" s="18">
        <f t="shared" si="44"/>
        <v>-10979.591842156093</v>
      </c>
      <c r="K486" s="18">
        <f>IF($A486&gt;20,0,(K450-MIN(MAX(L485,0),K450))+MIN(MAX(0,M485-(K450-MIN(MAX(L485,0),K450))),MAX(0,2*K450-(L485-MIN(MAX(L485,0),K450)))))</f>
        <v>0</v>
      </c>
      <c r="L486" s="18">
        <f>IF($A486&gt;20,L485,(L485-K450+K486)*(1+$C$7))</f>
        <v>4.6937684622717057</v>
      </c>
      <c r="M486" s="18">
        <f t="shared" si="45"/>
        <v>0</v>
      </c>
      <c r="N486" s="18">
        <f>IF($A486&gt;20,0,(N450-MIN(MAX(O485,0),N450))+MIN(MAX(0,P485-(N450-MIN(MAX(O485,0),N450))),MAX(0,2*N450-(O485-MIN(MAX(O485,0),N450)))))</f>
        <v>0</v>
      </c>
      <c r="O486" s="18">
        <f>IF($A486&gt;20,O485,(O485-N450+N486)*(1+$C$7))</f>
        <v>0.10795609399609601</v>
      </c>
      <c r="P486" s="18">
        <f t="shared" si="46"/>
        <v>0</v>
      </c>
      <c r="Q486" s="18">
        <f>IF($A486&gt;20,0,(Q450-MIN(MAX(R485,0),Q450))+MIN(MAX(0,S485-(Q450-MIN(MAX(R485,0),Q450))),MAX(0,2*Q450-(R485-MIN(MAX(R485,0),Q450)))))</f>
        <v>0</v>
      </c>
      <c r="R486" s="18">
        <f>IF($A486&gt;20,R485,(R485-Q450+Q486)*(1+$C$7))</f>
        <v>3.1483723432756959E-10</v>
      </c>
      <c r="S486" s="18">
        <f t="shared" si="47"/>
        <v>0</v>
      </c>
    </row>
    <row r="487" spans="1:19">
      <c r="A487" s="10">
        <f>35</f>
        <v>35</v>
      </c>
      <c r="B487" s="18">
        <f>IF($A487&gt;20,0,(B450-MIN(MAX(C486,0),B450))+MIN(MAX(0,D486-(B450-MIN(MAX(C486,0),B450))),MAX(0,2*B450-(C486-MIN(MAX(C486,0),B450)))))</f>
        <v>0</v>
      </c>
      <c r="C487" s="18">
        <f>IF($A487&gt;20,C486,(C486-B450+B487)*(1+$C$7))</f>
        <v>60378</v>
      </c>
      <c r="D487" s="18">
        <f t="shared" si="42"/>
        <v>877228.99043658783</v>
      </c>
      <c r="E487" s="18">
        <f>IF($A487&gt;20,0,(E450-MIN(MAX(F486,0),E450))+MIN(MAX(0,G486-(E450-MIN(MAX(F486,0),E450))),MAX(0,2*E450-(F486-MIN(MAX(F486,0),E450)))))</f>
        <v>0</v>
      </c>
      <c r="F487" s="18">
        <f>IF($A487&gt;20,F486,(F486-E450+E487)*(1+$C$7))</f>
        <v>0</v>
      </c>
      <c r="G487" s="18">
        <f t="shared" si="43"/>
        <v>-343207.86871413566</v>
      </c>
      <c r="H487" s="18">
        <f>IF($A487&gt;20,0,(H450-MIN(MAX(I486,0),H450))+MIN(MAX(0,J486-(H450-MIN(MAX(I486,0),H450))),MAX(0,2*H450-(I486-MIN(MAX(I486,0),H450)))))</f>
        <v>0</v>
      </c>
      <c r="I487" s="18">
        <f>IF($A487&gt;20,I486,(I486-H450+H487)*(1+$C$7))</f>
        <v>0</v>
      </c>
      <c r="J487" s="18">
        <f t="shared" si="44"/>
        <v>-10979.591842156093</v>
      </c>
      <c r="K487" s="18">
        <f>IF($A487&gt;20,0,(K450-MIN(MAX(L486,0),K450))+MIN(MAX(0,M486-(K450-MIN(MAX(L486,0),K450))),MAX(0,2*K450-(L486-MIN(MAX(L486,0),K450)))))</f>
        <v>0</v>
      </c>
      <c r="L487" s="18">
        <f>IF($A487&gt;20,L486,(L486-K450+K487)*(1+$C$7))</f>
        <v>4.6937684622717057</v>
      </c>
      <c r="M487" s="18">
        <f t="shared" si="45"/>
        <v>0</v>
      </c>
      <c r="N487" s="18">
        <f>IF($A487&gt;20,0,(N450-MIN(MAX(O486,0),N450))+MIN(MAX(0,P486-(N450-MIN(MAX(O486,0),N450))),MAX(0,2*N450-(O486-MIN(MAX(O486,0),N450)))))</f>
        <v>0</v>
      </c>
      <c r="O487" s="18">
        <f>IF($A487&gt;20,O486,(O486-N450+N487)*(1+$C$7))</f>
        <v>0.10795609399609601</v>
      </c>
      <c r="P487" s="18">
        <f t="shared" si="46"/>
        <v>0</v>
      </c>
      <c r="Q487" s="18">
        <f>IF($A487&gt;20,0,(Q450-MIN(MAX(R486,0),Q450))+MIN(MAX(0,S486-(Q450-MIN(MAX(R486,0),Q450))),MAX(0,2*Q450-(R486-MIN(MAX(R486,0),Q450)))))</f>
        <v>0</v>
      </c>
      <c r="R487" s="18">
        <f>IF($A487&gt;20,R486,(R486-Q450+Q487)*(1+$C$7))</f>
        <v>3.1483723432756959E-10</v>
      </c>
      <c r="S487" s="18">
        <f t="shared" si="47"/>
        <v>0</v>
      </c>
    </row>
    <row r="488" spans="1:19">
      <c r="A488" s="10">
        <f>36</f>
        <v>36</v>
      </c>
      <c r="B488" s="18">
        <f>IF($A488&gt;20,0,(B450-MIN(MAX(C487,0),B450))+MIN(MAX(0,D487-(B450-MIN(MAX(C487,0),B450))),MAX(0,2*B450-(C487-MIN(MAX(C487,0),B450)))))</f>
        <v>0</v>
      </c>
      <c r="C488" s="18">
        <f>IF($A488&gt;20,C487,(C487-B450+B488)*(1+$C$7))</f>
        <v>60378</v>
      </c>
      <c r="D488" s="18">
        <f t="shared" si="42"/>
        <v>877228.99043658783</v>
      </c>
      <c r="E488" s="18">
        <f>IF($A488&gt;20,0,(E450-MIN(MAX(F487,0),E450))+MIN(MAX(0,G487-(E450-MIN(MAX(F487,0),E450))),MAX(0,2*E450-(F487-MIN(MAX(F487,0),E450)))))</f>
        <v>0</v>
      </c>
      <c r="F488" s="18">
        <f>IF($A488&gt;20,F487,(F487-E450+E488)*(1+$C$7))</f>
        <v>0</v>
      </c>
      <c r="G488" s="18">
        <f t="shared" si="43"/>
        <v>-343207.86871413566</v>
      </c>
      <c r="H488" s="18">
        <f>IF($A488&gt;20,0,(H450-MIN(MAX(I487,0),H450))+MIN(MAX(0,J487-(H450-MIN(MAX(I487,0),H450))),MAX(0,2*H450-(I487-MIN(MAX(I487,0),H450)))))</f>
        <v>0</v>
      </c>
      <c r="I488" s="18">
        <f>IF($A488&gt;20,I487,(I487-H450+H488)*(1+$C$7))</f>
        <v>0</v>
      </c>
      <c r="J488" s="18">
        <f t="shared" si="44"/>
        <v>-10979.591842156093</v>
      </c>
      <c r="K488" s="18">
        <f>IF($A488&gt;20,0,(K450-MIN(MAX(L487,0),K450))+MIN(MAX(0,M487-(K450-MIN(MAX(L487,0),K450))),MAX(0,2*K450-(L487-MIN(MAX(L487,0),K450)))))</f>
        <v>0</v>
      </c>
      <c r="L488" s="18">
        <f>IF($A488&gt;20,L487,(L487-K450+K488)*(1+$C$7))</f>
        <v>4.6937684622717057</v>
      </c>
      <c r="M488" s="18">
        <f t="shared" si="45"/>
        <v>0</v>
      </c>
      <c r="N488" s="18">
        <f>IF($A488&gt;20,0,(N450-MIN(MAX(O487,0),N450))+MIN(MAX(0,P487-(N450-MIN(MAX(O487,0),N450))),MAX(0,2*N450-(O487-MIN(MAX(O487,0),N450)))))</f>
        <v>0</v>
      </c>
      <c r="O488" s="18">
        <f>IF($A488&gt;20,O487,(O487-N450+N488)*(1+$C$7))</f>
        <v>0.10795609399609601</v>
      </c>
      <c r="P488" s="18">
        <f t="shared" si="46"/>
        <v>0</v>
      </c>
      <c r="Q488" s="18">
        <f>IF($A488&gt;20,0,(Q450-MIN(MAX(R487,0),Q450))+MIN(MAX(0,S487-(Q450-MIN(MAX(R487,0),Q450))),MAX(0,2*Q450-(R487-MIN(MAX(R487,0),Q450)))))</f>
        <v>0</v>
      </c>
      <c r="R488" s="18">
        <f>IF($A488&gt;20,R487,(R487-Q450+Q488)*(1+$C$7))</f>
        <v>3.1483723432756959E-10</v>
      </c>
      <c r="S488" s="18">
        <f t="shared" si="47"/>
        <v>0</v>
      </c>
    </row>
    <row r="489" spans="1:19">
      <c r="A489" s="10">
        <f>37</f>
        <v>37</v>
      </c>
      <c r="B489" s="18">
        <f>IF($A489&gt;20,0,(B450-MIN(MAX(C488,0),B450))+MIN(MAX(0,D488-(B450-MIN(MAX(C488,0),B450))),MAX(0,2*B450-(C488-MIN(MAX(C488,0),B450)))))</f>
        <v>0</v>
      </c>
      <c r="C489" s="18">
        <f>IF($A489&gt;20,C488,(C488-B450+B489)*(1+$C$7))</f>
        <v>60378</v>
      </c>
      <c r="D489" s="18">
        <f t="shared" si="42"/>
        <v>877228.99043658783</v>
      </c>
      <c r="E489" s="18">
        <f>IF($A489&gt;20,0,(E450-MIN(MAX(F488,0),E450))+MIN(MAX(0,G488-(E450-MIN(MAX(F488,0),E450))),MAX(0,2*E450-(F488-MIN(MAX(F488,0),E450)))))</f>
        <v>0</v>
      </c>
      <c r="F489" s="18">
        <f>IF($A489&gt;20,F488,(F488-E450+E489)*(1+$C$7))</f>
        <v>0</v>
      </c>
      <c r="G489" s="18">
        <f t="shared" si="43"/>
        <v>-343207.86871413566</v>
      </c>
      <c r="H489" s="18">
        <f>IF($A489&gt;20,0,(H450-MIN(MAX(I488,0),H450))+MIN(MAX(0,J488-(H450-MIN(MAX(I488,0),H450))),MAX(0,2*H450-(I488-MIN(MAX(I488,0),H450)))))</f>
        <v>0</v>
      </c>
      <c r="I489" s="18">
        <f>IF($A489&gt;20,I488,(I488-H450+H489)*(1+$C$7))</f>
        <v>0</v>
      </c>
      <c r="J489" s="18">
        <f t="shared" si="44"/>
        <v>-10979.591842156093</v>
      </c>
      <c r="K489" s="18">
        <f>IF($A489&gt;20,0,(K450-MIN(MAX(L488,0),K450))+MIN(MAX(0,M488-(K450-MIN(MAX(L488,0),K450))),MAX(0,2*K450-(L488-MIN(MAX(L488,0),K450)))))</f>
        <v>0</v>
      </c>
      <c r="L489" s="18">
        <f>IF($A489&gt;20,L488,(L488-K450+K489)*(1+$C$7))</f>
        <v>4.6937684622717057</v>
      </c>
      <c r="M489" s="18">
        <f t="shared" si="45"/>
        <v>0</v>
      </c>
      <c r="N489" s="18">
        <f>IF($A489&gt;20,0,(N450-MIN(MAX(O488,0),N450))+MIN(MAX(0,P488-(N450-MIN(MAX(O488,0),N450))),MAX(0,2*N450-(O488-MIN(MAX(O488,0),N450)))))</f>
        <v>0</v>
      </c>
      <c r="O489" s="18">
        <f>IF($A489&gt;20,O488,(O488-N450+N489)*(1+$C$7))</f>
        <v>0.10795609399609601</v>
      </c>
      <c r="P489" s="18">
        <f t="shared" si="46"/>
        <v>0</v>
      </c>
      <c r="Q489" s="18">
        <f>IF($A489&gt;20,0,(Q450-MIN(MAX(R488,0),Q450))+MIN(MAX(0,S488-(Q450-MIN(MAX(R488,0),Q450))),MAX(0,2*Q450-(R488-MIN(MAX(R488,0),Q450)))))</f>
        <v>0</v>
      </c>
      <c r="R489" s="18">
        <f>IF($A489&gt;20,R488,(R488-Q450+Q489)*(1+$C$7))</f>
        <v>3.1483723432756959E-10</v>
      </c>
      <c r="S489" s="18">
        <f t="shared" si="47"/>
        <v>0</v>
      </c>
    </row>
    <row r="490" spans="1:19">
      <c r="A490" s="10">
        <f>38</f>
        <v>38</v>
      </c>
      <c r="B490" s="18">
        <f>IF($A490&gt;20,0,(B450-MIN(MAX(C489,0),B450))+MIN(MAX(0,D489-(B450-MIN(MAX(C489,0),B450))),MAX(0,2*B450-(C489-MIN(MAX(C489,0),B450)))))</f>
        <v>0</v>
      </c>
      <c r="C490" s="18">
        <f>IF($A490&gt;20,C489,(C489-B450+B490)*(1+$C$7))</f>
        <v>60378</v>
      </c>
      <c r="D490" s="18">
        <f t="shared" si="42"/>
        <v>877228.99043658783</v>
      </c>
      <c r="E490" s="18">
        <f>IF($A490&gt;20,0,(E450-MIN(MAX(F489,0),E450))+MIN(MAX(0,G489-(E450-MIN(MAX(F489,0),E450))),MAX(0,2*E450-(F489-MIN(MAX(F489,0),E450)))))</f>
        <v>0</v>
      </c>
      <c r="F490" s="18">
        <f>IF($A490&gt;20,F489,(F489-E450+E490)*(1+$C$7))</f>
        <v>0</v>
      </c>
      <c r="G490" s="18">
        <f t="shared" si="43"/>
        <v>-343207.86871413566</v>
      </c>
      <c r="H490" s="18">
        <f>IF($A490&gt;20,0,(H450-MIN(MAX(I489,0),H450))+MIN(MAX(0,J489-(H450-MIN(MAX(I489,0),H450))),MAX(0,2*H450-(I489-MIN(MAX(I489,0),H450)))))</f>
        <v>0</v>
      </c>
      <c r="I490" s="18">
        <f>IF($A490&gt;20,I489,(I489-H450+H490)*(1+$C$7))</f>
        <v>0</v>
      </c>
      <c r="J490" s="18">
        <f t="shared" si="44"/>
        <v>-10979.591842156093</v>
      </c>
      <c r="K490" s="18">
        <f>IF($A490&gt;20,0,(K450-MIN(MAX(L489,0),K450))+MIN(MAX(0,M489-(K450-MIN(MAX(L489,0),K450))),MAX(0,2*K450-(L489-MIN(MAX(L489,0),K450)))))</f>
        <v>0</v>
      </c>
      <c r="L490" s="18">
        <f>IF($A490&gt;20,L489,(L489-K450+K490)*(1+$C$7))</f>
        <v>4.6937684622717057</v>
      </c>
      <c r="M490" s="18">
        <f t="shared" si="45"/>
        <v>0</v>
      </c>
      <c r="N490" s="18">
        <f>IF($A490&gt;20,0,(N450-MIN(MAX(O489,0),N450))+MIN(MAX(0,P489-(N450-MIN(MAX(O489,0),N450))),MAX(0,2*N450-(O489-MIN(MAX(O489,0),N450)))))</f>
        <v>0</v>
      </c>
      <c r="O490" s="18">
        <f>IF($A490&gt;20,O489,(O489-N450+N490)*(1+$C$7))</f>
        <v>0.10795609399609601</v>
      </c>
      <c r="P490" s="18">
        <f t="shared" si="46"/>
        <v>0</v>
      </c>
      <c r="Q490" s="18">
        <f>IF($A490&gt;20,0,(Q450-MIN(MAX(R489,0),Q450))+MIN(MAX(0,S489-(Q450-MIN(MAX(R489,0),Q450))),MAX(0,2*Q450-(R489-MIN(MAX(R489,0),Q450)))))</f>
        <v>0</v>
      </c>
      <c r="R490" s="18">
        <f>IF($A490&gt;20,R489,(R489-Q450+Q490)*(1+$C$7))</f>
        <v>3.1483723432756959E-10</v>
      </c>
      <c r="S490" s="18">
        <f t="shared" si="47"/>
        <v>0</v>
      </c>
    </row>
    <row r="491" spans="1:19">
      <c r="A491" s="10">
        <f>39</f>
        <v>39</v>
      </c>
      <c r="B491" s="18">
        <f>IF($A491&gt;20,0,(B450-MIN(MAX(C490,0),B450))+MIN(MAX(0,D490-(B450-MIN(MAX(C490,0),B450))),MAX(0,2*B450-(C490-MIN(MAX(C490,0),B450)))))</f>
        <v>0</v>
      </c>
      <c r="C491" s="18">
        <f>IF($A491&gt;20,C490,(C490-B450+B491)*(1+$C$7))</f>
        <v>60378</v>
      </c>
      <c r="D491" s="18">
        <f t="shared" si="42"/>
        <v>877228.99043658783</v>
      </c>
      <c r="E491" s="18">
        <f>IF($A491&gt;20,0,(E450-MIN(MAX(F490,0),E450))+MIN(MAX(0,G490-(E450-MIN(MAX(F490,0),E450))),MAX(0,2*E450-(F490-MIN(MAX(F490,0),E450)))))</f>
        <v>0</v>
      </c>
      <c r="F491" s="18">
        <f>IF($A491&gt;20,F490,(F490-E450+E491)*(1+$C$7))</f>
        <v>0</v>
      </c>
      <c r="G491" s="18">
        <f t="shared" si="43"/>
        <v>-343207.86871413566</v>
      </c>
      <c r="H491" s="18">
        <f>IF($A491&gt;20,0,(H450-MIN(MAX(I490,0),H450))+MIN(MAX(0,J490-(H450-MIN(MAX(I490,0),H450))),MAX(0,2*H450-(I490-MIN(MAX(I490,0),H450)))))</f>
        <v>0</v>
      </c>
      <c r="I491" s="18">
        <f>IF($A491&gt;20,I490,(I490-H450+H491)*(1+$C$7))</f>
        <v>0</v>
      </c>
      <c r="J491" s="18">
        <f t="shared" si="44"/>
        <v>-10979.591842156093</v>
      </c>
      <c r="K491" s="18">
        <f>IF($A491&gt;20,0,(K450-MIN(MAX(L490,0),K450))+MIN(MAX(0,M490-(K450-MIN(MAX(L490,0),K450))),MAX(0,2*K450-(L490-MIN(MAX(L490,0),K450)))))</f>
        <v>0</v>
      </c>
      <c r="L491" s="18">
        <f>IF($A491&gt;20,L490,(L490-K450+K491)*(1+$C$7))</f>
        <v>4.6937684622717057</v>
      </c>
      <c r="M491" s="18">
        <f t="shared" si="45"/>
        <v>0</v>
      </c>
      <c r="N491" s="18">
        <f>IF($A491&gt;20,0,(N450-MIN(MAX(O490,0),N450))+MIN(MAX(0,P490-(N450-MIN(MAX(O490,0),N450))),MAX(0,2*N450-(O490-MIN(MAX(O490,0),N450)))))</f>
        <v>0</v>
      </c>
      <c r="O491" s="18">
        <f>IF($A491&gt;20,O490,(O490-N450+N491)*(1+$C$7))</f>
        <v>0.10795609399609601</v>
      </c>
      <c r="P491" s="18">
        <f t="shared" si="46"/>
        <v>0</v>
      </c>
      <c r="Q491" s="18">
        <f>IF($A491&gt;20,0,(Q450-MIN(MAX(R490,0),Q450))+MIN(MAX(0,S490-(Q450-MIN(MAX(R490,0),Q450))),MAX(0,2*Q450-(R490-MIN(MAX(R490,0),Q450)))))</f>
        <v>0</v>
      </c>
      <c r="R491" s="18">
        <f>IF($A491&gt;20,R490,(R490-Q450+Q491)*(1+$C$7))</f>
        <v>3.1483723432756959E-10</v>
      </c>
      <c r="S491" s="18">
        <f t="shared" si="47"/>
        <v>0</v>
      </c>
    </row>
    <row r="492" spans="1:19">
      <c r="A492" s="10">
        <f>40</f>
        <v>40</v>
      </c>
      <c r="B492" s="18">
        <f>IF($A492&gt;20,0,(B450-MIN(MAX(C491,0),B450))+MIN(MAX(0,D491-(B450-MIN(MAX(C491,0),B450))),MAX(0,2*B450-(C491-MIN(MAX(C491,0),B450)))))</f>
        <v>0</v>
      </c>
      <c r="C492" s="18">
        <f>IF($A492&gt;20,C491,(C491-B450+B492)*(1+$C$7))</f>
        <v>60378</v>
      </c>
      <c r="D492" s="18">
        <f t="shared" si="42"/>
        <v>877228.99043658783</v>
      </c>
      <c r="E492" s="18">
        <f>IF($A492&gt;20,0,(E450-MIN(MAX(F491,0),E450))+MIN(MAX(0,G491-(E450-MIN(MAX(F491,0),E450))),MAX(0,2*E450-(F491-MIN(MAX(F491,0),E450)))))</f>
        <v>0</v>
      </c>
      <c r="F492" s="18">
        <f>IF($A492&gt;20,F491,(F491-E450+E492)*(1+$C$7))</f>
        <v>0</v>
      </c>
      <c r="G492" s="18">
        <f t="shared" si="43"/>
        <v>-343207.86871413566</v>
      </c>
      <c r="H492" s="18">
        <f>IF($A492&gt;20,0,(H450-MIN(MAX(I491,0),H450))+MIN(MAX(0,J491-(H450-MIN(MAX(I491,0),H450))),MAX(0,2*H450-(I491-MIN(MAX(I491,0),H450)))))</f>
        <v>0</v>
      </c>
      <c r="I492" s="18">
        <f>IF($A492&gt;20,I491,(I491-H450+H492)*(1+$C$7))</f>
        <v>0</v>
      </c>
      <c r="J492" s="18">
        <f t="shared" si="44"/>
        <v>-10979.591842156093</v>
      </c>
      <c r="K492" s="18">
        <f>IF($A492&gt;20,0,(K450-MIN(MAX(L491,0),K450))+MIN(MAX(0,M491-(K450-MIN(MAX(L491,0),K450))),MAX(0,2*K450-(L491-MIN(MAX(L491,0),K450)))))</f>
        <v>0</v>
      </c>
      <c r="L492" s="18">
        <f>IF($A492&gt;20,L491,(L491-K450+K492)*(1+$C$7))</f>
        <v>4.6937684622717057</v>
      </c>
      <c r="M492" s="18">
        <f t="shared" si="45"/>
        <v>0</v>
      </c>
      <c r="N492" s="18">
        <f>IF($A492&gt;20,0,(N450-MIN(MAX(O491,0),N450))+MIN(MAX(0,P491-(N450-MIN(MAX(O491,0),N450))),MAX(0,2*N450-(O491-MIN(MAX(O491,0),N450)))))</f>
        <v>0</v>
      </c>
      <c r="O492" s="18">
        <f>IF($A492&gt;20,O491,(O491-N450+N492)*(1+$C$7))</f>
        <v>0.10795609399609601</v>
      </c>
      <c r="P492" s="18">
        <f t="shared" si="46"/>
        <v>0</v>
      </c>
      <c r="Q492" s="18">
        <f>IF($A492&gt;20,0,(Q450-MIN(MAX(R491,0),Q450))+MIN(MAX(0,S491-(Q450-MIN(MAX(R491,0),Q450))),MAX(0,2*Q450-(R491-MIN(MAX(R491,0),Q450)))))</f>
        <v>0</v>
      </c>
      <c r="R492" s="18">
        <f>IF($A492&gt;20,R491,(R491-Q450+Q492)*(1+$C$7))</f>
        <v>3.1483723432756959E-10</v>
      </c>
      <c r="S492" s="18">
        <f t="shared" si="47"/>
        <v>0</v>
      </c>
    </row>
    <row r="493" spans="1:19">
      <c r="B493" s="18">
        <f>C492+D492</f>
        <v>937606.99043658783</v>
      </c>
      <c r="E493" s="18">
        <f>F492+G492</f>
        <v>-343207.86871413566</v>
      </c>
      <c r="H493" s="18">
        <f>I492+J492</f>
        <v>-10979.591842156093</v>
      </c>
      <c r="K493" s="18">
        <f>L492+M492</f>
        <v>4.6937684622717057</v>
      </c>
      <c r="N493" s="18">
        <f>O492+P492</f>
        <v>0.10795609399609601</v>
      </c>
      <c r="Q493" s="18">
        <f>R492+S492</f>
        <v>3.1483723432756959E-10</v>
      </c>
    </row>
    <row r="494" spans="1:19">
      <c r="A494" s="5" t="s">
        <v>266</v>
      </c>
      <c r="B494" s="18">
        <f>IFERROR(Q450-Q493*(Q450-N450)/(Q493-N493),Q450)</f>
        <v>62543.444748691953</v>
      </c>
    </row>
    <row r="496" spans="1:19">
      <c r="A496" s="2" t="s">
        <v>274</v>
      </c>
    </row>
    <row r="497" spans="1:19">
      <c r="B497" s="9">
        <f>0.03*$B$5</f>
        <v>30000</v>
      </c>
      <c r="E497" s="9">
        <f>0.075*$B$5</f>
        <v>75000</v>
      </c>
      <c r="H497" s="18">
        <f>IFERROR(E497-E540*(E497-B497)/(E540-B540),E497)</f>
        <v>61966.132440185058</v>
      </c>
      <c r="K497" s="18">
        <f>IFERROR(H497-H540*(H497-E497)/(H540-E540),H497)</f>
        <v>61347.734000082892</v>
      </c>
      <c r="N497" s="18">
        <f>IFERROR(K497-K540*(K497-H497)/(K540-H540),K497)</f>
        <v>61348.226961940716</v>
      </c>
      <c r="Q497" s="18">
        <f>IFERROR(N497-N540*(N497-K497)/(N540-K540),N497)</f>
        <v>61348.23856252055</v>
      </c>
    </row>
    <row r="498" spans="1:19">
      <c r="A498" s="25" t="s">
        <v>262</v>
      </c>
      <c r="B498" s="25" t="s">
        <v>263</v>
      </c>
      <c r="C498" s="25" t="s">
        <v>264</v>
      </c>
      <c r="D498" s="25" t="s">
        <v>265</v>
      </c>
      <c r="E498" s="25" t="s">
        <v>263</v>
      </c>
      <c r="F498" s="25" t="s">
        <v>264</v>
      </c>
      <c r="G498" s="25" t="s">
        <v>265</v>
      </c>
      <c r="H498" s="25" t="s">
        <v>263</v>
      </c>
      <c r="I498" s="25" t="s">
        <v>264</v>
      </c>
      <c r="J498" s="25" t="s">
        <v>265</v>
      </c>
      <c r="K498" s="25" t="s">
        <v>263</v>
      </c>
      <c r="L498" s="25" t="s">
        <v>264</v>
      </c>
      <c r="M498" s="25" t="s">
        <v>265</v>
      </c>
      <c r="N498" s="25" t="s">
        <v>263</v>
      </c>
      <c r="O498" s="25" t="s">
        <v>264</v>
      </c>
      <c r="P498" s="25" t="s">
        <v>265</v>
      </c>
      <c r="Q498" s="25" t="s">
        <v>263</v>
      </c>
      <c r="R498" s="25" t="s">
        <v>264</v>
      </c>
      <c r="S498" s="25" t="s">
        <v>265</v>
      </c>
    </row>
    <row r="499" spans="1:19">
      <c r="A499" s="3">
        <v>0</v>
      </c>
      <c r="C499" s="18">
        <f>MIN(3*B497,$B$5)</f>
        <v>90000</v>
      </c>
      <c r="D499" s="18">
        <f>$B$5-C499</f>
        <v>910000</v>
      </c>
      <c r="F499" s="18">
        <f>MIN(3*E497,$B$5)</f>
        <v>225000</v>
      </c>
      <c r="G499" s="18">
        <f>$B$5-F499</f>
        <v>775000</v>
      </c>
      <c r="I499" s="18">
        <f>MIN(3*H497,$B$5)</f>
        <v>185898.39732055517</v>
      </c>
      <c r="J499" s="18">
        <f>$B$5-I499</f>
        <v>814101.60267944483</v>
      </c>
      <c r="L499" s="18">
        <f>MIN(3*K497,$B$5)</f>
        <v>184043.20200024868</v>
      </c>
      <c r="M499" s="18">
        <f>$B$5-L499</f>
        <v>815956.79799975129</v>
      </c>
      <c r="O499" s="18">
        <f>MIN(3*N497,$B$5)</f>
        <v>184044.68088582216</v>
      </c>
      <c r="P499" s="18">
        <f>$B$5-O499</f>
        <v>815955.31911417784</v>
      </c>
      <c r="R499" s="18">
        <f>MIN(3*Q497,$B$5)</f>
        <v>184044.71568756166</v>
      </c>
      <c r="S499" s="18">
        <f>$B$5-R499</f>
        <v>815955.28431243834</v>
      </c>
    </row>
    <row r="500" spans="1:19">
      <c r="A500" s="10">
        <f>1</f>
        <v>1</v>
      </c>
      <c r="B500" s="18">
        <f>IF($A500&gt;20,0,(B497-MIN(MAX(C499,0),B497))+MIN(MAX(0,D499-(B497-MIN(MAX(C499,0),B497))),MAX(0,3*B497-(C499-MIN(MAX(C499,0),B497)))))</f>
        <v>30000</v>
      </c>
      <c r="C500" s="18">
        <f>IF($A500&gt;20,C499,(C499-B497+B500)*(1+$C$7))</f>
        <v>90567</v>
      </c>
      <c r="D500" s="18">
        <f t="shared" ref="D500:D539" si="48">IF($A500&gt;20,D499,(D499-B500)*(1+$B$6))</f>
        <v>906400</v>
      </c>
      <c r="E500" s="18">
        <f>IF($A500&gt;20,0,(E497-MIN(MAX(F499,0),E497))+MIN(MAX(0,G499-(E497-MIN(MAX(F499,0),E497))),MAX(0,3*E497-(F499-MIN(MAX(F499,0),E497)))))</f>
        <v>75000</v>
      </c>
      <c r="F500" s="18">
        <f>IF($A500&gt;20,F499,(F499-E497+E500)*(1+$C$7))</f>
        <v>226417.5</v>
      </c>
      <c r="G500" s="18">
        <f t="shared" ref="G500:G539" si="49">IF($A500&gt;20,G499,(G499-E500)*(1+$B$6))</f>
        <v>721000</v>
      </c>
      <c r="H500" s="18">
        <f>IF($A500&gt;20,0,(H497-MIN(MAX(I499,0),H497))+MIN(MAX(0,J499-(H497-MIN(MAX(I499,0),H497))),MAX(0,3*H497-(I499-MIN(MAX(I499,0),H497)))))</f>
        <v>61966.132440185058</v>
      </c>
      <c r="I500" s="18">
        <f>IF($A500&gt;20,I499,(I499-H497+H500)*(1+$C$7))</f>
        <v>187069.55722367467</v>
      </c>
      <c r="J500" s="18">
        <f t="shared" ref="J500:J539" si="50">IF($A500&gt;20,J499,(J499-H500)*(1+$B$6))</f>
        <v>774699.53434643755</v>
      </c>
      <c r="K500" s="18">
        <f>IF($A500&gt;20,0,(K497-MIN(MAX(L499,0),K497))+MIN(MAX(0,M499-(K497-MIN(MAX(L499,0),K497))),MAX(0,3*K497-(L499-MIN(MAX(L499,0),K497)))))</f>
        <v>61347.734000082884</v>
      </c>
      <c r="L500" s="18">
        <f>IF($A500&gt;20,L499,(L499-K497+K500)*(1+$C$7))</f>
        <v>185202.67417285024</v>
      </c>
      <c r="M500" s="18">
        <f t="shared" ref="M500:M539" si="51">IF($A500&gt;20,M499,(M499-K500)*(1+$B$6))</f>
        <v>777247.33591965854</v>
      </c>
      <c r="N500" s="18">
        <f>IF($A500&gt;20,0,(N497-MIN(MAX(O499,0),N497))+MIN(MAX(0,P499-(N497-MIN(MAX(O499,0),N497))),MAX(0,3*N497-(O499-MIN(MAX(O499,0),N497)))))</f>
        <v>61348.226961940716</v>
      </c>
      <c r="O500" s="18">
        <f>IF($A500&gt;20,O499,(O499-N497+N500)*(1+$C$7))</f>
        <v>185204.16237540284</v>
      </c>
      <c r="P500" s="18">
        <f t="shared" ref="P500:P539" si="52">IF($A500&gt;20,P499,(P499-N500)*(1+$B$6))</f>
        <v>777245.30491680419</v>
      </c>
      <c r="Q500" s="18">
        <f>IF($A500&gt;20,0,(Q497-MIN(MAX(R499,0),Q497))+MIN(MAX(0,S499-(Q497-MIN(MAX(R499,0),Q497))),MAX(0,3*Q497-(R499-MIN(MAX(R499,0),Q497)))))</f>
        <v>61348.23856252055</v>
      </c>
      <c r="R500" s="18">
        <f>IF($A500&gt;20,R499,(R499-Q497+Q500)*(1+$C$7))</f>
        <v>185204.19739639328</v>
      </c>
      <c r="S500" s="18">
        <f t="shared" ref="S500:S539" si="53">IF($A500&gt;20,S499,(S499-Q500)*(1+$B$6))</f>
        <v>777245.25712241535</v>
      </c>
    </row>
    <row r="501" spans="1:19">
      <c r="A501" s="10">
        <f>2</f>
        <v>2</v>
      </c>
      <c r="B501" s="18">
        <f>IF($A501&gt;20,0,(B497-MIN(MAX(C500,0),B497))+MIN(MAX(0,D500-(B497-MIN(MAX(C500,0),B497))),MAX(0,3*B497-(C500-MIN(MAX(C500,0),B497)))))</f>
        <v>29433</v>
      </c>
      <c r="C501" s="18">
        <f>IF($A501&gt;20,C500,(C500-B497+B501)*(1+$C$7))</f>
        <v>90567</v>
      </c>
      <c r="D501" s="18">
        <f t="shared" si="48"/>
        <v>903276.01</v>
      </c>
      <c r="E501" s="18">
        <f>IF($A501&gt;20,0,(E497-MIN(MAX(F500,0),E497))+MIN(MAX(0,G500-(E497-MIN(MAX(F500,0),E497))),MAX(0,3*E497-(F500-MIN(MAX(F500,0),E497)))))</f>
        <v>73582.5</v>
      </c>
      <c r="F501" s="18">
        <f>IF($A501&gt;20,F500,(F500-E497+E501)*(1+$C$7))</f>
        <v>226417.5</v>
      </c>
      <c r="G501" s="18">
        <f t="shared" si="49"/>
        <v>666840.02500000002</v>
      </c>
      <c r="H501" s="18">
        <f>IF($A501&gt;20,0,(H497-MIN(MAX(I500,0),H497))+MIN(MAX(0,J500-(H497-MIN(MAX(I500,0),H497))),MAX(0,3*H497-(I500-MIN(MAX(I500,0),H497)))))</f>
        <v>60794.972537065565</v>
      </c>
      <c r="I501" s="18">
        <f>IF($A501&gt;20,I500,(I500-H497+H501)*(1+$C$7))</f>
        <v>187069.55722367467</v>
      </c>
      <c r="J501" s="18">
        <f t="shared" si="50"/>
        <v>735321.69866365311</v>
      </c>
      <c r="K501" s="18">
        <f>IF($A501&gt;20,0,(K497-MIN(MAX(L500,0),K497))+MIN(MAX(0,M500-(K497-MIN(MAX(L500,0),K497))),MAX(0,3*K497-(L500-MIN(MAX(L500,0),K497)))))</f>
        <v>60188.261827481329</v>
      </c>
      <c r="L501" s="18">
        <f>IF($A501&gt;20,L500,(L500-K497+K501)*(1+$C$7))</f>
        <v>185202.67417285024</v>
      </c>
      <c r="M501" s="18">
        <f t="shared" si="51"/>
        <v>738570.84631494258</v>
      </c>
      <c r="N501" s="18">
        <f>IF($A501&gt;20,0,(N497-MIN(MAX(O500,0),N497))+MIN(MAX(0,P500-(N497-MIN(MAX(O500,0),N497))),MAX(0,3*N497-(O500-MIN(MAX(O500,0),N497)))))</f>
        <v>60188.745472360039</v>
      </c>
      <c r="O501" s="18">
        <f>IF($A501&gt;20,O500,(O500-N497+N501)*(1+$C$7))</f>
        <v>185204.16237540284</v>
      </c>
      <c r="P501" s="18">
        <f t="shared" si="52"/>
        <v>738568.25622777746</v>
      </c>
      <c r="Q501" s="18">
        <f>IF($A501&gt;20,0,(Q497-MIN(MAX(R500,0),Q497))+MIN(MAX(0,S500-(Q497-MIN(MAX(R500,0),Q497))),MAX(0,3*Q497-(R500-MIN(MAX(R500,0),Q497)))))</f>
        <v>60188.75685368893</v>
      </c>
      <c r="R501" s="18">
        <f>IF($A501&gt;20,R500,(R500-Q497+Q501)*(1+$C$7))</f>
        <v>185204.19739639328</v>
      </c>
      <c r="S501" s="18">
        <f t="shared" si="53"/>
        <v>738568.1952767882</v>
      </c>
    </row>
    <row r="502" spans="1:19">
      <c r="A502" s="10">
        <f>3</f>
        <v>3</v>
      </c>
      <c r="B502" s="18">
        <f>IF($A502&gt;20,0,(B497-MIN(MAX(C501,0),B497))+MIN(MAX(0,D501-(B497-MIN(MAX(C501,0),B497))),MAX(0,3*B497-(C501-MIN(MAX(C501,0),B497)))))</f>
        <v>29433</v>
      </c>
      <c r="C502" s="18">
        <f>IF($A502&gt;20,C501,(C501-B497+B502)*(1+$C$7))</f>
        <v>90567</v>
      </c>
      <c r="D502" s="18">
        <f t="shared" si="48"/>
        <v>900058.3003</v>
      </c>
      <c r="E502" s="18">
        <f>IF($A502&gt;20,0,(E497-MIN(MAX(F501,0),E497))+MIN(MAX(0,G501-(E497-MIN(MAX(F501,0),E497))),MAX(0,3*E497-(F501-MIN(MAX(F501,0),E497)))))</f>
        <v>73582.5</v>
      </c>
      <c r="F502" s="18">
        <f>IF($A502&gt;20,F501,(F501-E497+E502)*(1+$C$7))</f>
        <v>226417.5</v>
      </c>
      <c r="G502" s="18">
        <f t="shared" si="49"/>
        <v>611055.25075000001</v>
      </c>
      <c r="H502" s="18">
        <f>IF($A502&gt;20,0,(H497-MIN(MAX(I501,0),H497))+MIN(MAX(0,J501-(H497-MIN(MAX(I501,0),H497))),MAX(0,3*H497-(I501-MIN(MAX(I501,0),H497)))))</f>
        <v>60794.972537065565</v>
      </c>
      <c r="I502" s="18">
        <f>IF($A502&gt;20,I501,(I501-H497+H502)*(1+$C$7))</f>
        <v>187069.55722367467</v>
      </c>
      <c r="J502" s="18">
        <f t="shared" si="50"/>
        <v>694762.52791038516</v>
      </c>
      <c r="K502" s="18">
        <f>IF($A502&gt;20,0,(K497-MIN(MAX(L501,0),K497))+MIN(MAX(0,M501-(K497-MIN(MAX(L501,0),K497))),MAX(0,3*K497-(L501-MIN(MAX(L501,0),K497)))))</f>
        <v>60188.261827481329</v>
      </c>
      <c r="L502" s="18">
        <f>IF($A502&gt;20,L501,(L501-K497+K502)*(1+$C$7))</f>
        <v>185202.67417285024</v>
      </c>
      <c r="M502" s="18">
        <f t="shared" si="51"/>
        <v>698734.06202208507</v>
      </c>
      <c r="N502" s="18">
        <f>IF($A502&gt;20,0,(N497-MIN(MAX(O501,0),N497))+MIN(MAX(0,P501-(N497-MIN(MAX(O501,0),N497))),MAX(0,3*N497-(O501-MIN(MAX(O501,0),N497)))))</f>
        <v>60188.745472360039</v>
      </c>
      <c r="O502" s="18">
        <f>IF($A502&gt;20,O501,(O501-N497+N502)*(1+$C$7))</f>
        <v>185204.16237540284</v>
      </c>
      <c r="P502" s="18">
        <f t="shared" si="52"/>
        <v>698730.89607807994</v>
      </c>
      <c r="Q502" s="18">
        <f>IF($A502&gt;20,0,(Q497-MIN(MAX(R501,0),Q497))+MIN(MAX(0,S501-(Q497-MIN(MAX(R501,0),Q497))),MAX(0,3*Q497-(R501-MIN(MAX(R501,0),Q497)))))</f>
        <v>60188.75685368893</v>
      </c>
      <c r="R502" s="18">
        <f>IF($A502&gt;20,R501,(R501-Q497+Q502)*(1+$C$7))</f>
        <v>185204.19739639328</v>
      </c>
      <c r="S502" s="18">
        <f t="shared" si="53"/>
        <v>698730.82157579227</v>
      </c>
    </row>
    <row r="503" spans="1:19">
      <c r="A503" s="10">
        <f>4</f>
        <v>4</v>
      </c>
      <c r="B503" s="18">
        <f>IF($A503&gt;20,0,(B497-MIN(MAX(C502,0),B497))+MIN(MAX(0,D502-(B497-MIN(MAX(C502,0),B497))),MAX(0,3*B497-(C502-MIN(MAX(C502,0),B497)))))</f>
        <v>29433</v>
      </c>
      <c r="C503" s="18">
        <f>IF($A503&gt;20,C502,(C502-B497+B503)*(1+$C$7))</f>
        <v>90567</v>
      </c>
      <c r="D503" s="18">
        <f t="shared" si="48"/>
        <v>896744.05930900003</v>
      </c>
      <c r="E503" s="18">
        <f>IF($A503&gt;20,0,(E497-MIN(MAX(F502,0),E497))+MIN(MAX(0,G502-(E497-MIN(MAX(F502,0),E497))),MAX(0,3*E497-(F502-MIN(MAX(F502,0),E497)))))</f>
        <v>73582.5</v>
      </c>
      <c r="F503" s="18">
        <f>IF($A503&gt;20,F502,(F502-E497+E503)*(1+$C$7))</f>
        <v>226417.5</v>
      </c>
      <c r="G503" s="18">
        <f t="shared" si="49"/>
        <v>553596.93327250006</v>
      </c>
      <c r="H503" s="18">
        <f>IF($A503&gt;20,0,(H497-MIN(MAX(I502,0),H497))+MIN(MAX(0,J502-(H497-MIN(MAX(I502,0),H497))),MAX(0,3*H497-(I502-MIN(MAX(I502,0),H497)))))</f>
        <v>60794.972537065565</v>
      </c>
      <c r="I503" s="18">
        <f>IF($A503&gt;20,I502,(I502-H497+H503)*(1+$C$7))</f>
        <v>187069.55722367467</v>
      </c>
      <c r="J503" s="18">
        <f t="shared" si="50"/>
        <v>652986.58203451929</v>
      </c>
      <c r="K503" s="18">
        <f>IF($A503&gt;20,0,(K497-MIN(MAX(L502,0),K497))+MIN(MAX(0,M502-(K497-MIN(MAX(L502,0),K497))),MAX(0,3*K497-(L502-MIN(MAX(L502,0),K497)))))</f>
        <v>60188.261827481329</v>
      </c>
      <c r="L503" s="18">
        <f>IF($A503&gt;20,L502,(L502-K497+K503)*(1+$C$7))</f>
        <v>185202.67417285024</v>
      </c>
      <c r="M503" s="18">
        <f t="shared" si="51"/>
        <v>657702.17420044192</v>
      </c>
      <c r="N503" s="18">
        <f>IF($A503&gt;20,0,(N497-MIN(MAX(O502,0),N497))+MIN(MAX(0,P502-(N497-MIN(MAX(O502,0),N497))),MAX(0,3*N497-(O502-MIN(MAX(O502,0),N497)))))</f>
        <v>60188.745472360039</v>
      </c>
      <c r="O503" s="18">
        <f>IF($A503&gt;20,O502,(O502-N497+N503)*(1+$C$7))</f>
        <v>185204.16237540284</v>
      </c>
      <c r="P503" s="18">
        <f t="shared" si="52"/>
        <v>657698.41512389155</v>
      </c>
      <c r="Q503" s="18">
        <f>IF($A503&gt;20,0,(Q497-MIN(MAX(R502,0),Q497))+MIN(MAX(0,S502-(Q497-MIN(MAX(R502,0),Q497))),MAX(0,3*Q497-(R502-MIN(MAX(R502,0),Q497)))))</f>
        <v>60188.75685368893</v>
      </c>
      <c r="R503" s="18">
        <f>IF($A503&gt;20,R502,(R502-Q497+Q503)*(1+$C$7))</f>
        <v>185204.19739639328</v>
      </c>
      <c r="S503" s="18">
        <f t="shared" si="53"/>
        <v>657698.32666376641</v>
      </c>
    </row>
    <row r="504" spans="1:19">
      <c r="A504" s="10">
        <f>5</f>
        <v>5</v>
      </c>
      <c r="B504" s="18">
        <f>IF($A504&gt;20,0,(B497-MIN(MAX(C503,0),B497))+MIN(MAX(0,D503-(B497-MIN(MAX(C503,0),B497))),MAX(0,3*B497-(C503-MIN(MAX(C503,0),B497)))))</f>
        <v>29433</v>
      </c>
      <c r="C504" s="18">
        <f>IF($A504&gt;20,C503,(C503-B497+B504)*(1+$C$7))</f>
        <v>90567</v>
      </c>
      <c r="D504" s="18">
        <f t="shared" si="48"/>
        <v>893330.39108827</v>
      </c>
      <c r="E504" s="18">
        <f>IF($A504&gt;20,0,(E497-MIN(MAX(F503,0),E497))+MIN(MAX(0,G503-(E497-MIN(MAX(F503,0),E497))),MAX(0,3*E497-(F503-MIN(MAX(F503,0),E497)))))</f>
        <v>73582.5</v>
      </c>
      <c r="F504" s="18">
        <f>IF($A504&gt;20,F503,(F503-E497+E504)*(1+$C$7))</f>
        <v>226417.5</v>
      </c>
      <c r="G504" s="18">
        <f t="shared" si="49"/>
        <v>494414.86627067509</v>
      </c>
      <c r="H504" s="18">
        <f>IF($A504&gt;20,0,(H497-MIN(MAX(I503,0),H497))+MIN(MAX(0,J503-(H497-MIN(MAX(I503,0),H497))),MAX(0,3*H497-(I503-MIN(MAX(I503,0),H497)))))</f>
        <v>60794.972537065565</v>
      </c>
      <c r="I504" s="18">
        <f>IF($A504&gt;20,I503,(I503-H497+H504)*(1+$C$7))</f>
        <v>187069.55722367467</v>
      </c>
      <c r="J504" s="18">
        <f t="shared" si="50"/>
        <v>609957.3577823774</v>
      </c>
      <c r="K504" s="18">
        <f>IF($A504&gt;20,0,(K497-MIN(MAX(L503,0),K497))+MIN(MAX(0,M503-(K497-MIN(MAX(L503,0),K497))),MAX(0,3*K497-(L503-MIN(MAX(L503,0),K497)))))</f>
        <v>60188.261827481329</v>
      </c>
      <c r="L504" s="18">
        <f>IF($A504&gt;20,L503,(L503-K497+K504)*(1+$C$7))</f>
        <v>185202.67417285024</v>
      </c>
      <c r="M504" s="18">
        <f t="shared" si="51"/>
        <v>615439.32974414947</v>
      </c>
      <c r="N504" s="18">
        <f>IF($A504&gt;20,0,(N497-MIN(MAX(O503,0),N497))+MIN(MAX(0,P503-(N497-MIN(MAX(O503,0),N497))),MAX(0,3*N497-(O503-MIN(MAX(O503,0),N497)))))</f>
        <v>60188.745472360039</v>
      </c>
      <c r="O504" s="18">
        <f>IF($A504&gt;20,O503,(O503-N497+N504)*(1+$C$7))</f>
        <v>185204.16237540284</v>
      </c>
      <c r="P504" s="18">
        <f t="shared" si="52"/>
        <v>615434.9597410775</v>
      </c>
      <c r="Q504" s="18">
        <f>IF($A504&gt;20,0,(Q497-MIN(MAX(R503,0),Q497))+MIN(MAX(0,S503-(Q497-MIN(MAX(R503,0),Q497))),MAX(0,3*Q497-(R503-MIN(MAX(R503,0),Q497)))))</f>
        <v>60188.75685368893</v>
      </c>
      <c r="R504" s="18">
        <f>IF($A504&gt;20,R503,(R503-Q497+Q504)*(1+$C$7))</f>
        <v>185204.19739639328</v>
      </c>
      <c r="S504" s="18">
        <f t="shared" si="53"/>
        <v>615434.85690437979</v>
      </c>
    </row>
    <row r="505" spans="1:19">
      <c r="A505" s="10">
        <f>6</f>
        <v>6</v>
      </c>
      <c r="B505" s="18">
        <f>IF($A505&gt;20,0,(B497-MIN(MAX(C504,0),B497))+MIN(MAX(0,D504-(B497-MIN(MAX(C504,0),B497))),MAX(0,3*B497-(C504-MIN(MAX(C504,0),B497)))))</f>
        <v>29433</v>
      </c>
      <c r="C505" s="18">
        <f>IF($A505&gt;20,C504,(C504-B497+B505)*(1+$C$7))</f>
        <v>90567</v>
      </c>
      <c r="D505" s="18">
        <f t="shared" si="48"/>
        <v>889814.31282091816</v>
      </c>
      <c r="E505" s="18">
        <f>IF($A505&gt;20,0,(E497-MIN(MAX(F504,0),E497))+MIN(MAX(0,G504-(E497-MIN(MAX(F504,0),E497))),MAX(0,3*E497-(F504-MIN(MAX(F504,0),E497)))))</f>
        <v>73582.5</v>
      </c>
      <c r="F505" s="18">
        <f>IF($A505&gt;20,F504,(F504-E497+E505)*(1+$C$7))</f>
        <v>226417.5</v>
      </c>
      <c r="G505" s="18">
        <f t="shared" si="49"/>
        <v>433457.33725879533</v>
      </c>
      <c r="H505" s="18">
        <f>IF($A505&gt;20,0,(H497-MIN(MAX(I504,0),H497))+MIN(MAX(0,J504-(H497-MIN(MAX(I504,0),H497))),MAX(0,3*H497-(I504-MIN(MAX(I504,0),H497)))))</f>
        <v>60794.972537065565</v>
      </c>
      <c r="I505" s="18">
        <f>IF($A505&gt;20,I504,(I504-H497+H505)*(1+$C$7))</f>
        <v>187069.55722367467</v>
      </c>
      <c r="J505" s="18">
        <f t="shared" si="50"/>
        <v>565637.25680267112</v>
      </c>
      <c r="K505" s="18">
        <f>IF($A505&gt;20,0,(K497-MIN(MAX(L504,0),K497))+MIN(MAX(0,M504-(K497-MIN(MAX(L504,0),K497))),MAX(0,3*K497-(L504-MIN(MAX(L504,0),K497)))))</f>
        <v>60188.261827481329</v>
      </c>
      <c r="L505" s="18">
        <f>IF($A505&gt;20,L504,(L504-K497+K505)*(1+$C$7))</f>
        <v>185202.67417285024</v>
      </c>
      <c r="M505" s="18">
        <f t="shared" si="51"/>
        <v>571908.5999541682</v>
      </c>
      <c r="N505" s="18">
        <f>IF($A505&gt;20,0,(N497-MIN(MAX(O504,0),N497))+MIN(MAX(0,P504-(N497-MIN(MAX(O504,0),N497))),MAX(0,3*N497-(O504-MIN(MAX(O504,0),N497)))))</f>
        <v>60188.745472360039</v>
      </c>
      <c r="O505" s="18">
        <f>IF($A505&gt;20,O504,(O504-N497+N505)*(1+$C$7))</f>
        <v>185204.16237540284</v>
      </c>
      <c r="P505" s="18">
        <f t="shared" si="52"/>
        <v>571903.60069677897</v>
      </c>
      <c r="Q505" s="18">
        <f>IF($A505&gt;20,0,(Q497-MIN(MAX(R504,0),Q497))+MIN(MAX(0,S504-(Q497-MIN(MAX(R504,0),Q497))),MAX(0,3*Q497-(R504-MIN(MAX(R504,0),Q497)))))</f>
        <v>60188.75685368893</v>
      </c>
      <c r="R505" s="18">
        <f>IF($A505&gt;20,R504,(R504-Q497+Q505)*(1+$C$7))</f>
        <v>185204.19739639328</v>
      </c>
      <c r="S505" s="18">
        <f t="shared" si="53"/>
        <v>571903.48305221158</v>
      </c>
    </row>
    <row r="506" spans="1:19">
      <c r="A506" s="10">
        <f>7</f>
        <v>7</v>
      </c>
      <c r="B506" s="18">
        <f>IF($A506&gt;20,0,(B497-MIN(MAX(C505,0),B497))+MIN(MAX(0,D505-(B497-MIN(MAX(C505,0),B497))),MAX(0,3*B497-(C505-MIN(MAX(C505,0),B497)))))</f>
        <v>29433</v>
      </c>
      <c r="C506" s="18">
        <f>IF($A506&gt;20,C505,(C505-B497+B506)*(1+$C$7))</f>
        <v>90567</v>
      </c>
      <c r="D506" s="18">
        <f t="shared" si="48"/>
        <v>886192.75220554578</v>
      </c>
      <c r="E506" s="18">
        <f>IF($A506&gt;20,0,(E497-MIN(MAX(F505,0),E497))+MIN(MAX(0,G505-(E497-MIN(MAX(F505,0),E497))),MAX(0,3*E497-(F505-MIN(MAX(F505,0),E497)))))</f>
        <v>73582.5</v>
      </c>
      <c r="F506" s="18">
        <f>IF($A506&gt;20,F505,(F505-E497+E506)*(1+$C$7))</f>
        <v>226417.5</v>
      </c>
      <c r="G506" s="18">
        <f t="shared" si="49"/>
        <v>370671.08237655921</v>
      </c>
      <c r="H506" s="18">
        <f>IF($A506&gt;20,0,(H497-MIN(MAX(I505,0),H497))+MIN(MAX(0,J505-(H497-MIN(MAX(I505,0),H497))),MAX(0,3*H497-(I505-MIN(MAX(I505,0),H497)))))</f>
        <v>60794.972537065565</v>
      </c>
      <c r="I506" s="18">
        <f>IF($A506&gt;20,I505,(I505-H497+H506)*(1+$C$7))</f>
        <v>187069.55722367467</v>
      </c>
      <c r="J506" s="18">
        <f t="shared" si="50"/>
        <v>519987.55279357376</v>
      </c>
      <c r="K506" s="18">
        <f>IF($A506&gt;20,0,(K497-MIN(MAX(L505,0),K497))+MIN(MAX(0,M505-(K497-MIN(MAX(L505,0),K497))),MAX(0,3*K497-(L505-MIN(MAX(L505,0),K497)))))</f>
        <v>60188.261827481329</v>
      </c>
      <c r="L506" s="18">
        <f>IF($A506&gt;20,L505,(L505-K497+K506)*(1+$C$7))</f>
        <v>185202.67417285024</v>
      </c>
      <c r="M506" s="18">
        <f t="shared" si="51"/>
        <v>527071.94827048748</v>
      </c>
      <c r="N506" s="18">
        <f>IF($A506&gt;20,0,(N497-MIN(MAX(O505,0),N497))+MIN(MAX(0,P505-(N497-MIN(MAX(O505,0),N497))),MAX(0,3*N497-(O505-MIN(MAX(O505,0),N497)))))</f>
        <v>60188.745472360039</v>
      </c>
      <c r="O506" s="18">
        <f>IF($A506&gt;20,O505,(O505-N497+N506)*(1+$C$7))</f>
        <v>185204.16237540284</v>
      </c>
      <c r="P506" s="18">
        <f t="shared" si="52"/>
        <v>527066.30088115146</v>
      </c>
      <c r="Q506" s="18">
        <f>IF($A506&gt;20,0,(Q497-MIN(MAX(R505,0),Q497))+MIN(MAX(0,S505-(Q497-MIN(MAX(R505,0),Q497))),MAX(0,3*Q497-(R505-MIN(MAX(R505,0),Q497)))))</f>
        <v>60188.75685368893</v>
      </c>
      <c r="R506" s="18">
        <f>IF($A506&gt;20,R505,(R505-Q497+Q506)*(1+$C$7))</f>
        <v>185204.19739639328</v>
      </c>
      <c r="S506" s="18">
        <f t="shared" si="53"/>
        <v>527066.16798447841</v>
      </c>
    </row>
    <row r="507" spans="1:19">
      <c r="A507" s="10">
        <f>8</f>
        <v>8</v>
      </c>
      <c r="B507" s="18">
        <f>IF($A507&gt;20,0,(B497-MIN(MAX(C506,0),B497))+MIN(MAX(0,D506-(B497-MIN(MAX(C506,0),B497))),MAX(0,3*B497-(C506-MIN(MAX(C506,0),B497)))))</f>
        <v>29433</v>
      </c>
      <c r="C507" s="18">
        <f>IF($A507&gt;20,C506,(C506-B497+B507)*(1+$C$7))</f>
        <v>90567</v>
      </c>
      <c r="D507" s="18">
        <f t="shared" si="48"/>
        <v>882462.54477171216</v>
      </c>
      <c r="E507" s="18">
        <f>IF($A507&gt;20,0,(E497-MIN(MAX(F506,0),E497))+MIN(MAX(0,G506-(E497-MIN(MAX(F506,0),E497))),MAX(0,3*E497-(F506-MIN(MAX(F506,0),E497)))))</f>
        <v>73582.5</v>
      </c>
      <c r="F507" s="18">
        <f>IF($A507&gt;20,F506,(F506-E497+E507)*(1+$C$7))</f>
        <v>226417.5</v>
      </c>
      <c r="G507" s="18">
        <f t="shared" si="49"/>
        <v>306001.23984785599</v>
      </c>
      <c r="H507" s="18">
        <f>IF($A507&gt;20,0,(H497-MIN(MAX(I506,0),H497))+MIN(MAX(0,J506-(H497-MIN(MAX(I506,0),H497))),MAX(0,3*H497-(I506-MIN(MAX(I506,0),H497)))))</f>
        <v>60794.972537065565</v>
      </c>
      <c r="I507" s="18">
        <f>IF($A507&gt;20,I506,(I506-H497+H507)*(1+$C$7))</f>
        <v>187069.55722367467</v>
      </c>
      <c r="J507" s="18">
        <f t="shared" si="50"/>
        <v>472968.35766420345</v>
      </c>
      <c r="K507" s="18">
        <f>IF($A507&gt;20,0,(K497-MIN(MAX(L506,0),K497))+MIN(MAX(0,M506-(K497-MIN(MAX(L506,0),K497))),MAX(0,3*K497-(L506-MIN(MAX(L506,0),K497)))))</f>
        <v>60188.261827481329</v>
      </c>
      <c r="L507" s="18">
        <f>IF($A507&gt;20,L506,(L506-K497+K507)*(1+$C$7))</f>
        <v>185202.67417285024</v>
      </c>
      <c r="M507" s="18">
        <f t="shared" si="51"/>
        <v>480890.19703629636</v>
      </c>
      <c r="N507" s="18">
        <f>IF($A507&gt;20,0,(N497-MIN(MAX(O506,0),N497))+MIN(MAX(0,P506-(N497-MIN(MAX(O506,0),N497))),MAX(0,3*N497-(O506-MIN(MAX(O506,0),N497)))))</f>
        <v>60188.745472360039</v>
      </c>
      <c r="O507" s="18">
        <f>IF($A507&gt;20,O506,(O506-N497+N507)*(1+$C$7))</f>
        <v>185204.16237540284</v>
      </c>
      <c r="P507" s="18">
        <f t="shared" si="52"/>
        <v>480883.88207105518</v>
      </c>
      <c r="Q507" s="18">
        <f>IF($A507&gt;20,0,(Q497-MIN(MAX(R506,0),Q497))+MIN(MAX(0,S506-(Q497-MIN(MAX(R506,0),Q497))),MAX(0,3*Q497-(R506-MIN(MAX(R506,0),Q497)))))</f>
        <v>60188.75685368893</v>
      </c>
      <c r="R507" s="18">
        <f>IF($A507&gt;20,R506,(R506-Q497+Q507)*(1+$C$7))</f>
        <v>185204.19739639328</v>
      </c>
      <c r="S507" s="18">
        <f t="shared" si="53"/>
        <v>480883.73346471321</v>
      </c>
    </row>
    <row r="508" spans="1:19">
      <c r="A508" s="10">
        <f>9</f>
        <v>9</v>
      </c>
      <c r="B508" s="18">
        <f>IF($A508&gt;20,0,(B497-MIN(MAX(C507,0),B497))+MIN(MAX(0,D507-(B497-MIN(MAX(C507,0),B497))),MAX(0,3*B497-(C507-MIN(MAX(C507,0),B497)))))</f>
        <v>29433</v>
      </c>
      <c r="C508" s="18">
        <f>IF($A508&gt;20,C507,(C507-B497+B508)*(1+$C$7))</f>
        <v>90567</v>
      </c>
      <c r="D508" s="18">
        <f t="shared" si="48"/>
        <v>878620.43111486349</v>
      </c>
      <c r="E508" s="18">
        <f>IF($A508&gt;20,0,(E497-MIN(MAX(F507,0),E497))+MIN(MAX(0,G507-(E497-MIN(MAX(F507,0),E497))),MAX(0,3*E497-(F507-MIN(MAX(F507,0),E497)))))</f>
        <v>73582.5</v>
      </c>
      <c r="F508" s="18">
        <f>IF($A508&gt;20,F507,(F507-E497+E508)*(1+$C$7))</f>
        <v>226417.5</v>
      </c>
      <c r="G508" s="18">
        <f t="shared" si="49"/>
        <v>239391.30204329168</v>
      </c>
      <c r="H508" s="18">
        <f>IF($A508&gt;20,0,(H497-MIN(MAX(I507,0),H497))+MIN(MAX(0,J507-(H497-MIN(MAX(I507,0),H497))),MAX(0,3*H497-(I507-MIN(MAX(I507,0),H497)))))</f>
        <v>60794.972537065565</v>
      </c>
      <c r="I508" s="18">
        <f>IF($A508&gt;20,I507,(I507-H497+H508)*(1+$C$7))</f>
        <v>187069.55722367467</v>
      </c>
      <c r="J508" s="18">
        <f t="shared" si="50"/>
        <v>424538.58668095205</v>
      </c>
      <c r="K508" s="18">
        <f>IF($A508&gt;20,0,(K497-MIN(MAX(L507,0),K497))+MIN(MAX(0,M507-(K497-MIN(MAX(L507,0),K497))),MAX(0,3*K497-(L507-MIN(MAX(L507,0),K497)))))</f>
        <v>60188.261827481329</v>
      </c>
      <c r="L508" s="18">
        <f>IF($A508&gt;20,L507,(L507-K497+K508)*(1+$C$7))</f>
        <v>185202.67417285024</v>
      </c>
      <c r="M508" s="18">
        <f t="shared" si="51"/>
        <v>433322.99326507951</v>
      </c>
      <c r="N508" s="18">
        <f>IF($A508&gt;20,0,(N497-MIN(MAX(O507,0),N497))+MIN(MAX(0,P507-(N497-MIN(MAX(O507,0),N497))),MAX(0,3*N497-(O507-MIN(MAX(O507,0),N497)))))</f>
        <v>60188.745472360039</v>
      </c>
      <c r="O508" s="18">
        <f>IF($A508&gt;20,O507,(O507-N497+N508)*(1+$C$7))</f>
        <v>185204.16237540284</v>
      </c>
      <c r="P508" s="18">
        <f t="shared" si="52"/>
        <v>433315.99069665599</v>
      </c>
      <c r="Q508" s="18">
        <f>IF($A508&gt;20,0,(Q497-MIN(MAX(R507,0),Q497))+MIN(MAX(0,S507-(Q497-MIN(MAX(R507,0),Q497))),MAX(0,3*Q497-(R507-MIN(MAX(R507,0),Q497)))))</f>
        <v>60188.75685368893</v>
      </c>
      <c r="R508" s="18">
        <f>IF($A508&gt;20,R507,(R507-Q497+Q508)*(1+$C$7))</f>
        <v>185204.19739639328</v>
      </c>
      <c r="S508" s="18">
        <f t="shared" si="53"/>
        <v>433315.82590935502</v>
      </c>
    </row>
    <row r="509" spans="1:19">
      <c r="A509" s="10">
        <f>10</f>
        <v>10</v>
      </c>
      <c r="B509" s="18">
        <f>IF($A509&gt;20,0,(B497-MIN(MAX(C508,0),B497))+MIN(MAX(0,D508-(B497-MIN(MAX(C508,0),B497))),MAX(0,3*B497-(C508-MIN(MAX(C508,0),B497)))))</f>
        <v>29433</v>
      </c>
      <c r="C509" s="18">
        <f>IF($A509&gt;20,C508,(C508-B497+B509)*(1+$C$7))</f>
        <v>90567</v>
      </c>
      <c r="D509" s="18">
        <f t="shared" si="48"/>
        <v>874663.05404830945</v>
      </c>
      <c r="E509" s="18">
        <f>IF($A509&gt;20,0,(E497-MIN(MAX(F508,0),E497))+MIN(MAX(0,G508-(E497-MIN(MAX(F508,0),E497))),MAX(0,3*E497-(F508-MIN(MAX(F508,0),E497)))))</f>
        <v>73582.5</v>
      </c>
      <c r="F509" s="18">
        <f>IF($A509&gt;20,F508,(F508-E497+E509)*(1+$C$7))</f>
        <v>226417.5</v>
      </c>
      <c r="G509" s="18">
        <f t="shared" si="49"/>
        <v>170783.06610459043</v>
      </c>
      <c r="H509" s="18">
        <f>IF($A509&gt;20,0,(H497-MIN(MAX(I508,0),H497))+MIN(MAX(0,J508-(H497-MIN(MAX(I508,0),H497))),MAX(0,3*H497-(I508-MIN(MAX(I508,0),H497)))))</f>
        <v>60794.972537065565</v>
      </c>
      <c r="I509" s="18">
        <f>IF($A509&gt;20,I508,(I508-H497+H509)*(1+$C$7))</f>
        <v>187069.55722367467</v>
      </c>
      <c r="J509" s="18">
        <f t="shared" si="50"/>
        <v>374655.92256820307</v>
      </c>
      <c r="K509" s="18">
        <f>IF($A509&gt;20,0,(K497-MIN(MAX(L508,0),K497))+MIN(MAX(0,M508-(K497-MIN(MAX(L508,0),K497))),MAX(0,3*K497-(L508-MIN(MAX(L508,0),K497)))))</f>
        <v>60188.261827481329</v>
      </c>
      <c r="L509" s="18">
        <f>IF($A509&gt;20,L508,(L508-K497+K509)*(1+$C$7))</f>
        <v>185202.67417285024</v>
      </c>
      <c r="M509" s="18">
        <f t="shared" si="51"/>
        <v>384328.77338072611</v>
      </c>
      <c r="N509" s="18">
        <f>IF($A509&gt;20,0,(N497-MIN(MAX(O508,0),N497))+MIN(MAX(0,P508-(N497-MIN(MAX(O508,0),N497))),MAX(0,3*N497-(O508-MIN(MAX(O508,0),N497)))))</f>
        <v>60188.745472360039</v>
      </c>
      <c r="O509" s="18">
        <f>IF($A509&gt;20,O508,(O508-N497+N509)*(1+$C$7))</f>
        <v>185204.16237540284</v>
      </c>
      <c r="P509" s="18">
        <f t="shared" si="52"/>
        <v>384321.06258102483</v>
      </c>
      <c r="Q509" s="18">
        <f>IF($A509&gt;20,0,(Q497-MIN(MAX(R508,0),Q497))+MIN(MAX(0,S508-(Q497-MIN(MAX(R508,0),Q497))),MAX(0,3*Q497-(R508-MIN(MAX(R508,0),Q497)))))</f>
        <v>60188.75685368893</v>
      </c>
      <c r="R509" s="18">
        <f>IF($A509&gt;20,R508,(R508-Q497+Q509)*(1+$C$7))</f>
        <v>185204.19739639328</v>
      </c>
      <c r="S509" s="18">
        <f t="shared" si="53"/>
        <v>384320.88112733612</v>
      </c>
    </row>
    <row r="510" spans="1:19">
      <c r="A510" s="10">
        <f>11</f>
        <v>11</v>
      </c>
      <c r="B510" s="18">
        <f>IF($A510&gt;20,0,(B497-MIN(MAX(C509,0),B497))+MIN(MAX(0,D509-(B497-MIN(MAX(C509,0),B497))),MAX(0,3*B497-(C509-MIN(MAX(C509,0),B497)))))</f>
        <v>29433</v>
      </c>
      <c r="C510" s="18">
        <f>IF($A510&gt;20,C509,(C509-B497+B510)*(1+$C$7))</f>
        <v>90567</v>
      </c>
      <c r="D510" s="18">
        <f t="shared" si="48"/>
        <v>870586.95566975872</v>
      </c>
      <c r="E510" s="18">
        <f>IF($A510&gt;20,0,(E497-MIN(MAX(F509,0),E497))+MIN(MAX(0,G509-(E497-MIN(MAX(F509,0),E497))),MAX(0,3*E497-(F509-MIN(MAX(F509,0),E497)))))</f>
        <v>73582.5</v>
      </c>
      <c r="F510" s="18">
        <f>IF($A510&gt;20,F509,(F509-E497+E510)*(1+$C$7))</f>
        <v>226417.5</v>
      </c>
      <c r="G510" s="18">
        <f t="shared" si="49"/>
        <v>100116.58308772814</v>
      </c>
      <c r="H510" s="18">
        <f>IF($A510&gt;20,0,(H497-MIN(MAX(I509,0),H497))+MIN(MAX(0,J509-(H497-MIN(MAX(I509,0),H497))),MAX(0,3*H497-(I509-MIN(MAX(I509,0),H497)))))</f>
        <v>60794.972537065565</v>
      </c>
      <c r="I510" s="18">
        <f>IF($A510&gt;20,I509,(I509-H497+H510)*(1+$C$7))</f>
        <v>187069.55722367467</v>
      </c>
      <c r="J510" s="18">
        <f t="shared" si="50"/>
        <v>323276.77853207162</v>
      </c>
      <c r="K510" s="18">
        <f>IF($A510&gt;20,0,(K497-MIN(MAX(L509,0),K497))+MIN(MAX(0,M509-(K497-MIN(MAX(L509,0),K497))),MAX(0,3*K497-(L509-MIN(MAX(L509,0),K497)))))</f>
        <v>60188.261827481329</v>
      </c>
      <c r="L510" s="18">
        <f>IF($A510&gt;20,L509,(L509-K497+K510)*(1+$C$7))</f>
        <v>185202.67417285024</v>
      </c>
      <c r="M510" s="18">
        <f t="shared" si="51"/>
        <v>333864.72689984215</v>
      </c>
      <c r="N510" s="18">
        <f>IF($A510&gt;20,0,(N497-MIN(MAX(O509,0),N497))+MIN(MAX(0,P509-(N497-MIN(MAX(O509,0),N497))),MAX(0,3*N497-(O509-MIN(MAX(O509,0),N497)))))</f>
        <v>60188.745472360039</v>
      </c>
      <c r="O510" s="18">
        <f>IF($A510&gt;20,O509,(O509-N497+N510)*(1+$C$7))</f>
        <v>185204.16237540284</v>
      </c>
      <c r="P510" s="18">
        <f t="shared" si="52"/>
        <v>333856.28662192472</v>
      </c>
      <c r="Q510" s="18">
        <f>IF($A510&gt;20,0,(Q497-MIN(MAX(R509,0),Q497))+MIN(MAX(0,S509-(Q497-MIN(MAX(R509,0),Q497))),MAX(0,3*Q497-(R509-MIN(MAX(R509,0),Q497)))))</f>
        <v>60188.75685368893</v>
      </c>
      <c r="R510" s="18">
        <f>IF($A510&gt;20,R509,(R509-Q497+Q510)*(1+$C$7))</f>
        <v>185204.19739639328</v>
      </c>
      <c r="S510" s="18">
        <f t="shared" si="53"/>
        <v>333856.08800185664</v>
      </c>
    </row>
    <row r="511" spans="1:19">
      <c r="A511" s="10">
        <f>12</f>
        <v>12</v>
      </c>
      <c r="B511" s="18">
        <f>IF($A511&gt;20,0,(B497-MIN(MAX(C510,0),B497))+MIN(MAX(0,D510-(B497-MIN(MAX(C510,0),B497))),MAX(0,3*B497-(C510-MIN(MAX(C510,0),B497)))))</f>
        <v>29433</v>
      </c>
      <c r="C511" s="18">
        <f>IF($A511&gt;20,C510,(C510-B497+B511)*(1+$C$7))</f>
        <v>90567</v>
      </c>
      <c r="D511" s="18">
        <f t="shared" si="48"/>
        <v>866388.5743398515</v>
      </c>
      <c r="E511" s="18">
        <f>IF($A511&gt;20,0,(E497-MIN(MAX(F510,0),E497))+MIN(MAX(0,G510-(E497-MIN(MAX(F510,0),E497))),MAX(0,3*E497-(F510-MIN(MAX(F510,0),E497)))))</f>
        <v>73582.5</v>
      </c>
      <c r="F511" s="18">
        <f>IF($A511&gt;20,F510,(F510-E497+E511)*(1+$C$7))</f>
        <v>226417.5</v>
      </c>
      <c r="G511" s="18">
        <f t="shared" si="49"/>
        <v>27330.105580359985</v>
      </c>
      <c r="H511" s="18">
        <f>IF($A511&gt;20,0,(H497-MIN(MAX(I510,0),H497))+MIN(MAX(0,J510-(H497-MIN(MAX(I510,0),H497))),MAX(0,3*H497-(I510-MIN(MAX(I510,0),H497)))))</f>
        <v>60794.972537065565</v>
      </c>
      <c r="I511" s="18">
        <f>IF($A511&gt;20,I510,(I510-H497+H511)*(1+$C$7))</f>
        <v>187069.55722367467</v>
      </c>
      <c r="J511" s="18">
        <f t="shared" si="50"/>
        <v>270356.26017485623</v>
      </c>
      <c r="K511" s="18">
        <f>IF($A511&gt;20,0,(K497-MIN(MAX(L510,0),K497))+MIN(MAX(0,M510-(K497-MIN(MAX(L510,0),K497))),MAX(0,3*K497-(L510-MIN(MAX(L510,0),K497)))))</f>
        <v>60188.261827481329</v>
      </c>
      <c r="L511" s="18">
        <f>IF($A511&gt;20,L510,(L510-K497+K511)*(1+$C$7))</f>
        <v>185202.67417285024</v>
      </c>
      <c r="M511" s="18">
        <f t="shared" si="51"/>
        <v>281886.75902453164</v>
      </c>
      <c r="N511" s="18">
        <f>IF($A511&gt;20,0,(N497-MIN(MAX(O510,0),N497))+MIN(MAX(0,P510-(N497-MIN(MAX(O510,0),N497))),MAX(0,3*N497-(O510-MIN(MAX(O510,0),N497)))))</f>
        <v>60188.745472360039</v>
      </c>
      <c r="O511" s="18">
        <f>IF($A511&gt;20,O510,(O510-N497+N511)*(1+$C$7))</f>
        <v>185204.16237540284</v>
      </c>
      <c r="P511" s="18">
        <f t="shared" si="52"/>
        <v>281877.56738405162</v>
      </c>
      <c r="Q511" s="18">
        <f>IF($A511&gt;20,0,(Q497-MIN(MAX(R510,0),Q497))+MIN(MAX(0,S510-(Q497-MIN(MAX(R510,0),Q497))),MAX(0,3*Q497-(R510-MIN(MAX(R510,0),Q497)))))</f>
        <v>60188.75685368893</v>
      </c>
      <c r="R511" s="18">
        <f>IF($A511&gt;20,R510,(R510-Q497+Q511)*(1+$C$7))</f>
        <v>185204.19739639328</v>
      </c>
      <c r="S511" s="18">
        <f t="shared" si="53"/>
        <v>281877.35108261276</v>
      </c>
    </row>
    <row r="512" spans="1:19">
      <c r="A512" s="10">
        <f>13</f>
        <v>13</v>
      </c>
      <c r="B512" s="18">
        <f>IF($A512&gt;20,0,(B497-MIN(MAX(C511,0),B497))+MIN(MAX(0,D511-(B497-MIN(MAX(C511,0),B497))),MAX(0,3*B497-(C511-MIN(MAX(C511,0),B497)))))</f>
        <v>29433</v>
      </c>
      <c r="C512" s="18">
        <f>IF($A512&gt;20,C511,(C511-B497+B512)*(1+$C$7))</f>
        <v>90567</v>
      </c>
      <c r="D512" s="18">
        <f t="shared" si="48"/>
        <v>862064.2415700471</v>
      </c>
      <c r="E512" s="18">
        <f>IF($A512&gt;20,0,(E497-MIN(MAX(F511,0),E497))+MIN(MAX(0,G511-(E497-MIN(MAX(F511,0),E497))),MAX(0,3*E497-(F511-MIN(MAX(F511,0),E497)))))</f>
        <v>27330.105580359985</v>
      </c>
      <c r="F512" s="18">
        <f>IF($A512&gt;20,F511,(F511-E497+E512)*(1+$C$7))</f>
        <v>179873.71549551626</v>
      </c>
      <c r="G512" s="18">
        <f t="shared" si="49"/>
        <v>0</v>
      </c>
      <c r="H512" s="18">
        <f>IF($A512&gt;20,0,(H497-MIN(MAX(I511,0),H497))+MIN(MAX(0,J511-(H497-MIN(MAX(I511,0),H497))),MAX(0,3*H497-(I511-MIN(MAX(I511,0),H497)))))</f>
        <v>60794.972537065565</v>
      </c>
      <c r="I512" s="18">
        <f>IF($A512&gt;20,I511,(I511-H497+H512)*(1+$C$7))</f>
        <v>187069.55722367467</v>
      </c>
      <c r="J512" s="18">
        <f t="shared" si="50"/>
        <v>215848.1262669244</v>
      </c>
      <c r="K512" s="18">
        <f>IF($A512&gt;20,0,(K497-MIN(MAX(L511,0),K497))+MIN(MAX(0,M511-(K497-MIN(MAX(L511,0),K497))),MAX(0,3*K497-(L511-MIN(MAX(L511,0),K497)))))</f>
        <v>60188.261827481329</v>
      </c>
      <c r="L512" s="18">
        <f>IF($A512&gt;20,L511,(L511-K497+K512)*(1+$C$7))</f>
        <v>185202.67417285024</v>
      </c>
      <c r="M512" s="18">
        <f t="shared" si="51"/>
        <v>228349.45211296182</v>
      </c>
      <c r="N512" s="18">
        <f>IF($A512&gt;20,0,(N497-MIN(MAX(O511,0),N497))+MIN(MAX(0,P511-(N497-MIN(MAX(O511,0),N497))),MAX(0,3*N497-(O511-MIN(MAX(O511,0),N497)))))</f>
        <v>60188.745472360039</v>
      </c>
      <c r="O512" s="18">
        <f>IF($A512&gt;20,O511,(O511-N497+N512)*(1+$C$7))</f>
        <v>185204.16237540284</v>
      </c>
      <c r="P512" s="18">
        <f t="shared" si="52"/>
        <v>228339.48656904232</v>
      </c>
      <c r="Q512" s="18">
        <f>IF($A512&gt;20,0,(Q497-MIN(MAX(R511,0),Q497))+MIN(MAX(0,S511-(Q497-MIN(MAX(R511,0),Q497))),MAX(0,3*Q497-(R511-MIN(MAX(R511,0),Q497)))))</f>
        <v>60188.75685368893</v>
      </c>
      <c r="R512" s="18">
        <f>IF($A512&gt;20,R511,(R511-Q497+Q512)*(1+$C$7))</f>
        <v>185204.19739639328</v>
      </c>
      <c r="S512" s="18">
        <f t="shared" si="53"/>
        <v>228339.25205579156</v>
      </c>
    </row>
    <row r="513" spans="1:19">
      <c r="A513" s="10">
        <f>14</f>
        <v>14</v>
      </c>
      <c r="B513" s="18">
        <f>IF($A513&gt;20,0,(B497-MIN(MAX(C512,0),B497))+MIN(MAX(0,D512-(B497-MIN(MAX(C512,0),B497))),MAX(0,3*B497-(C512-MIN(MAX(C512,0),B497)))))</f>
        <v>29433</v>
      </c>
      <c r="C513" s="18">
        <f>IF($A513&gt;20,C512,(C512-B497+B513)*(1+$C$7))</f>
        <v>90567</v>
      </c>
      <c r="D513" s="18">
        <f t="shared" si="48"/>
        <v>857610.17881714855</v>
      </c>
      <c r="E513" s="18">
        <f>IF($A513&gt;20,0,(E497-MIN(MAX(F512,0),E497))+MIN(MAX(0,G512-(E497-MIN(MAX(F512,0),E497))),MAX(0,3*E497-(F512-MIN(MAX(F512,0),E497)))))</f>
        <v>0</v>
      </c>
      <c r="F513" s="18">
        <f>IF($A513&gt;20,F512,(F512-E497+E513)*(1+$C$7))</f>
        <v>105534.419903138</v>
      </c>
      <c r="G513" s="18">
        <f t="shared" si="49"/>
        <v>0</v>
      </c>
      <c r="H513" s="18">
        <f>IF($A513&gt;20,0,(H497-MIN(MAX(I512,0),H497))+MIN(MAX(0,J512-(H497-MIN(MAX(I512,0),H497))),MAX(0,3*H497-(I512-MIN(MAX(I512,0),H497)))))</f>
        <v>60794.972537065565</v>
      </c>
      <c r="I513" s="18">
        <f>IF($A513&gt;20,I512,(I512-H497+H513)*(1+$C$7))</f>
        <v>187069.55722367467</v>
      </c>
      <c r="J513" s="18">
        <f t="shared" si="50"/>
        <v>159704.7483417546</v>
      </c>
      <c r="K513" s="18">
        <f>IF($A513&gt;20,0,(K497-MIN(MAX(L512,0),K497))+MIN(MAX(0,M512-(K497-MIN(MAX(L512,0),K497))),MAX(0,3*K497-(L512-MIN(MAX(L512,0),K497)))))</f>
        <v>60188.261827481329</v>
      </c>
      <c r="L513" s="18">
        <f>IF($A513&gt;20,L512,(L512-K497+K513)*(1+$C$7))</f>
        <v>185202.67417285024</v>
      </c>
      <c r="M513" s="18">
        <f t="shared" si="51"/>
        <v>173206.0259940449</v>
      </c>
      <c r="N513" s="18">
        <f>IF($A513&gt;20,0,(N497-MIN(MAX(O512,0),N497))+MIN(MAX(0,P512-(N497-MIN(MAX(O512,0),N497))),MAX(0,3*N497-(O512-MIN(MAX(O512,0),N497)))))</f>
        <v>60188.745472360039</v>
      </c>
      <c r="O513" s="18">
        <f>IF($A513&gt;20,O512,(O512-N497+N513)*(1+$C$7))</f>
        <v>185204.16237540284</v>
      </c>
      <c r="P513" s="18">
        <f t="shared" si="52"/>
        <v>173195.26332958273</v>
      </c>
      <c r="Q513" s="18">
        <f>IF($A513&gt;20,0,(Q497-MIN(MAX(R512,0),Q497))+MIN(MAX(0,S512-(Q497-MIN(MAX(R512,0),Q497))),MAX(0,3*Q497-(R512-MIN(MAX(R512,0),Q497)))))</f>
        <v>60188.75685368893</v>
      </c>
      <c r="R513" s="18">
        <f>IF($A513&gt;20,R512,(R512-Q497+Q513)*(1+$C$7))</f>
        <v>185204.19739639328</v>
      </c>
      <c r="S513" s="18">
        <f t="shared" si="53"/>
        <v>173195.01005816573</v>
      </c>
    </row>
    <row r="514" spans="1:19">
      <c r="A514" s="10">
        <f>15</f>
        <v>15</v>
      </c>
      <c r="B514" s="18">
        <f>IF($A514&gt;20,0,(B497-MIN(MAX(C513,0),B497))+MIN(MAX(0,D513-(B497-MIN(MAX(C513,0),B497))),MAX(0,3*B497-(C513-MIN(MAX(C513,0),B497)))))</f>
        <v>29433</v>
      </c>
      <c r="C514" s="18">
        <f>IF($A514&gt;20,C513,(C513-B497+B514)*(1+$C$7))</f>
        <v>90567</v>
      </c>
      <c r="D514" s="18">
        <f t="shared" si="48"/>
        <v>853022.49418166303</v>
      </c>
      <c r="E514" s="18">
        <f>IF($A514&gt;20,0,(E497-MIN(MAX(F513,0),E497))+MIN(MAX(0,G513-(E497-MIN(MAX(F513,0),E497))),MAX(0,3*E497-(F513-MIN(MAX(F513,0),E497)))))</f>
        <v>0</v>
      </c>
      <c r="F514" s="18">
        <f>IF($A514&gt;20,F513,(F513-E497+E514)*(1+$C$7))</f>
        <v>30726.786748527767</v>
      </c>
      <c r="G514" s="18">
        <f t="shared" si="49"/>
        <v>0</v>
      </c>
      <c r="H514" s="18">
        <f>IF($A514&gt;20,0,(H497-MIN(MAX(I513,0),H497))+MIN(MAX(0,J513-(H497-MIN(MAX(I513,0),H497))),MAX(0,3*H497-(I513-MIN(MAX(I513,0),H497)))))</f>
        <v>60794.972537065565</v>
      </c>
      <c r="I514" s="18">
        <f>IF($A514&gt;20,I513,(I513-H497+H514)*(1+$C$7))</f>
        <v>187069.55722367467</v>
      </c>
      <c r="J514" s="18">
        <f t="shared" si="50"/>
        <v>101877.06907882971</v>
      </c>
      <c r="K514" s="18">
        <f>IF($A514&gt;20,0,(K497-MIN(MAX(L513,0),K497))+MIN(MAX(0,M513-(K497-MIN(MAX(L513,0),K497))),MAX(0,3*K497-(L513-MIN(MAX(L513,0),K497)))))</f>
        <v>60188.261827481329</v>
      </c>
      <c r="L514" s="18">
        <f>IF($A514&gt;20,L513,(L513-K497+K514)*(1+$C$7))</f>
        <v>185202.67417285024</v>
      </c>
      <c r="M514" s="18">
        <f t="shared" si="51"/>
        <v>116408.29709156048</v>
      </c>
      <c r="N514" s="18">
        <f>IF($A514&gt;20,0,(N497-MIN(MAX(O513,0),N497))+MIN(MAX(0,P513-(N497-MIN(MAX(O513,0),N497))),MAX(0,3*N497-(O513-MIN(MAX(O513,0),N497)))))</f>
        <v>60188.745472360039</v>
      </c>
      <c r="O514" s="18">
        <f>IF($A514&gt;20,O513,(O513-N497+N514)*(1+$C$7))</f>
        <v>185204.16237540284</v>
      </c>
      <c r="P514" s="18">
        <f t="shared" si="52"/>
        <v>116396.71339293937</v>
      </c>
      <c r="Q514" s="18">
        <f>IF($A514&gt;20,0,(Q497-MIN(MAX(R513,0),Q497))+MIN(MAX(0,S513-(Q497-MIN(MAX(R513,0),Q497))),MAX(0,3*Q497-(R513-MIN(MAX(R513,0),Q497)))))</f>
        <v>60188.75685368893</v>
      </c>
      <c r="R514" s="18">
        <f>IF($A514&gt;20,R513,(R513-Q497+Q514)*(1+$C$7))</f>
        <v>185204.19739639328</v>
      </c>
      <c r="S514" s="18">
        <f t="shared" si="53"/>
        <v>116396.4408006111</v>
      </c>
    </row>
    <row r="515" spans="1:19">
      <c r="A515" s="10">
        <f>16</f>
        <v>16</v>
      </c>
      <c r="B515" s="18">
        <f>IF($A515&gt;20,0,(B497-MIN(MAX(C514,0),B497))+MIN(MAX(0,D514-(B497-MIN(MAX(C514,0),B497))),MAX(0,3*B497-(C514-MIN(MAX(C514,0),B497)))))</f>
        <v>29433</v>
      </c>
      <c r="C515" s="18">
        <f>IF($A515&gt;20,C514,(C514-B497+B515)*(1+$C$7))</f>
        <v>90567</v>
      </c>
      <c r="D515" s="18">
        <f t="shared" si="48"/>
        <v>848297.17900711298</v>
      </c>
      <c r="E515" s="18">
        <f>IF($A515&gt;20,0,(E497-MIN(MAX(F514,0),E497))+MIN(MAX(0,G514-(E497-MIN(MAX(F514,0),E497))),MAX(0,3*E497-(F514-MIN(MAX(F514,0),E497)))))</f>
        <v>44273.213251472233</v>
      </c>
      <c r="F515" s="18">
        <f>IF($A515&gt;20,F514,(F514-E497+E515)*(1+$C$7))</f>
        <v>0</v>
      </c>
      <c r="G515" s="18">
        <f t="shared" si="49"/>
        <v>-45601.409649016401</v>
      </c>
      <c r="H515" s="18">
        <f>IF($A515&gt;20,0,(H497-MIN(MAX(I514,0),H497))+MIN(MAX(0,J514-(H497-MIN(MAX(I514,0),H497))),MAX(0,3*H497-(I514-MIN(MAX(I514,0),H497)))))</f>
        <v>60794.972537065565</v>
      </c>
      <c r="I515" s="18">
        <f>IF($A515&gt;20,I514,(I514-H497+H515)*(1+$C$7))</f>
        <v>187069.55722367467</v>
      </c>
      <c r="J515" s="18">
        <f t="shared" si="50"/>
        <v>42314.559438017066</v>
      </c>
      <c r="K515" s="18">
        <f>IF($A515&gt;20,0,(K497-MIN(MAX(L514,0),K497))+MIN(MAX(0,M514-(K497-MIN(MAX(L514,0),K497))),MAX(0,3*K497-(L514-MIN(MAX(L514,0),K497)))))</f>
        <v>60188.261827481329</v>
      </c>
      <c r="L515" s="18">
        <f>IF($A515&gt;20,L514,(L514-K497+K515)*(1+$C$7))</f>
        <v>185202.67417285024</v>
      </c>
      <c r="M515" s="18">
        <f t="shared" si="51"/>
        <v>57906.636322001526</v>
      </c>
      <c r="N515" s="18">
        <f>IF($A515&gt;20,0,(N497-MIN(MAX(O514,0),N497))+MIN(MAX(0,P514-(N497-MIN(MAX(O514,0),N497))),MAX(0,3*N497-(O514-MIN(MAX(O514,0),N497)))))</f>
        <v>60188.745472360039</v>
      </c>
      <c r="O515" s="18">
        <f>IF($A515&gt;20,O514,(O514-N497+N515)*(1+$C$7))</f>
        <v>185204.16237540284</v>
      </c>
      <c r="P515" s="18">
        <f t="shared" si="52"/>
        <v>57894.206958196715</v>
      </c>
      <c r="Q515" s="18">
        <f>IF($A515&gt;20,0,(Q497-MIN(MAX(R514,0),Q497))+MIN(MAX(0,S514-(Q497-MIN(MAX(R514,0),Q497))),MAX(0,3*Q497-(R514-MIN(MAX(R514,0),Q497)))))</f>
        <v>60188.75685368893</v>
      </c>
      <c r="R515" s="18">
        <f>IF($A515&gt;20,R514,(R514-Q497+Q515)*(1+$C$7))</f>
        <v>185204.19739639328</v>
      </c>
      <c r="S515" s="18">
        <f t="shared" si="53"/>
        <v>57893.914465329843</v>
      </c>
    </row>
    <row r="516" spans="1:19">
      <c r="A516" s="10">
        <f>17</f>
        <v>17</v>
      </c>
      <c r="B516" s="18">
        <f>IF($A516&gt;20,0,(B497-MIN(MAX(C515,0),B497))+MIN(MAX(0,D515-(B497-MIN(MAX(C515,0),B497))),MAX(0,3*B497-(C515-MIN(MAX(C515,0),B497)))))</f>
        <v>29433</v>
      </c>
      <c r="C516" s="18">
        <f>IF($A516&gt;20,C515,(C515-B497+B516)*(1+$C$7))</f>
        <v>90567</v>
      </c>
      <c r="D516" s="18">
        <f t="shared" si="48"/>
        <v>843430.10437732644</v>
      </c>
      <c r="E516" s="18">
        <f>IF($A516&gt;20,0,(E497-MIN(MAX(F515,0),E497))+MIN(MAX(0,G515-(E497-MIN(MAX(F515,0),E497))),MAX(0,3*E497-(F515-MIN(MAX(F515,0),E497)))))</f>
        <v>75000</v>
      </c>
      <c r="F516" s="18">
        <f>IF($A516&gt;20,F515,(F515-E497+E516)*(1+$C$7))</f>
        <v>0</v>
      </c>
      <c r="G516" s="18">
        <f t="shared" si="49"/>
        <v>-124219.45193848689</v>
      </c>
      <c r="H516" s="18">
        <f>IF($A516&gt;20,0,(H497-MIN(MAX(I515,0),H497))+MIN(MAX(0,J515-(H497-MIN(MAX(I515,0),H497))),MAX(0,3*H497-(I515-MIN(MAX(I515,0),H497)))))</f>
        <v>42314.559438017066</v>
      </c>
      <c r="I516" s="18">
        <f>IF($A516&gt;20,I515,(I515-H497+H516)*(1+$C$7))</f>
        <v>168472.71752210218</v>
      </c>
      <c r="J516" s="18">
        <f t="shared" si="50"/>
        <v>0</v>
      </c>
      <c r="K516" s="18">
        <f>IF($A516&gt;20,0,(K497-MIN(MAX(L515,0),K497))+MIN(MAX(0,M515-(K497-MIN(MAX(L515,0),K497))),MAX(0,3*K497-(L515-MIN(MAX(L515,0),K497)))))</f>
        <v>57906.636322001526</v>
      </c>
      <c r="L516" s="18">
        <f>IF($A516&gt;20,L515,(L515-K497+K516)*(1+$C$7))</f>
        <v>182906.6744266859</v>
      </c>
      <c r="M516" s="18">
        <f t="shared" si="51"/>
        <v>0</v>
      </c>
      <c r="N516" s="18">
        <f>IF($A516&gt;20,0,(N497-MIN(MAX(O515,0),N497))+MIN(MAX(0,P515-(N497-MIN(MAX(O515,0),N497))),MAX(0,3*N497-(O515-MIN(MAX(O515,0),N497)))))</f>
        <v>57894.206958196715</v>
      </c>
      <c r="O516" s="18">
        <f>IF($A516&gt;20,O515,(O515-N497+N516)*(1+$C$7))</f>
        <v>182895.1682686003</v>
      </c>
      <c r="P516" s="18">
        <f t="shared" si="52"/>
        <v>0</v>
      </c>
      <c r="Q516" s="18">
        <f>IF($A516&gt;20,0,(Q497-MIN(MAX(R515,0),Q497))+MIN(MAX(0,S515-(Q497-MIN(MAX(R515,0),Q497))),MAX(0,3*Q497-(R515-MIN(MAX(R515,0),Q497)))))</f>
        <v>57893.914465329843</v>
      </c>
      <c r="R516" s="18">
        <f>IF($A516&gt;20,R515,(R515-Q497+Q516)*(1+$C$7))</f>
        <v>182894.89750098757</v>
      </c>
      <c r="S516" s="18">
        <f t="shared" si="53"/>
        <v>0</v>
      </c>
    </row>
    <row r="517" spans="1:19">
      <c r="A517" s="10">
        <f>18</f>
        <v>18</v>
      </c>
      <c r="B517" s="18">
        <f>IF($A517&gt;20,0,(B497-MIN(MAX(C516,0),B497))+MIN(MAX(0,D516-(B497-MIN(MAX(C516,0),B497))),MAX(0,3*B497-(C516-MIN(MAX(C516,0),B497)))))</f>
        <v>29433</v>
      </c>
      <c r="C517" s="18">
        <f>IF($A517&gt;20,C516,(C516-B497+B517)*(1+$C$7))</f>
        <v>90567</v>
      </c>
      <c r="D517" s="18">
        <f t="shared" si="48"/>
        <v>838417.01750864624</v>
      </c>
      <c r="E517" s="18">
        <f>IF($A517&gt;20,0,(E497-MIN(MAX(F516,0),E497))+MIN(MAX(0,G516-(E497-MIN(MAX(F516,0),E497))),MAX(0,3*E497-(F516-MIN(MAX(F516,0),E497)))))</f>
        <v>75000</v>
      </c>
      <c r="F517" s="18">
        <f>IF($A517&gt;20,F516,(F516-E497+E517)*(1+$C$7))</f>
        <v>0</v>
      </c>
      <c r="G517" s="18">
        <f t="shared" si="49"/>
        <v>-205196.0354966415</v>
      </c>
      <c r="H517" s="18">
        <f>IF($A517&gt;20,0,(H497-MIN(MAX(I516,0),H497))+MIN(MAX(0,J516-(H497-MIN(MAX(I516,0),H497))),MAX(0,3*H497-(I516-MIN(MAX(I516,0),H497)))))</f>
        <v>0</v>
      </c>
      <c r="I517" s="18">
        <f>IF($A517&gt;20,I516,(I516-H497+H517)*(1+$C$7))</f>
        <v>107177.5765679332</v>
      </c>
      <c r="J517" s="18">
        <f t="shared" si="50"/>
        <v>0</v>
      </c>
      <c r="K517" s="18">
        <f>IF($A517&gt;20,0,(K497-MIN(MAX(L516,0),K497))+MIN(MAX(0,M516-(K497-MIN(MAX(L516,0),K497))),MAX(0,3*K497-(L516-MIN(MAX(L516,0),K497)))))</f>
        <v>0</v>
      </c>
      <c r="L517" s="18">
        <f>IF($A517&gt;20,L516,(L516-K497+K517)*(1+$C$7))</f>
        <v>122324.76175129061</v>
      </c>
      <c r="M517" s="18">
        <f t="shared" si="51"/>
        <v>0</v>
      </c>
      <c r="N517" s="18">
        <f>IF($A517&gt;20,0,(N497-MIN(MAX(O516,0),N497))+MIN(MAX(0,P516-(N497-MIN(MAX(O516,0),N497))),MAX(0,3*N497-(O516-MIN(MAX(O516,0),N497)))))</f>
        <v>0</v>
      </c>
      <c r="O517" s="18">
        <f>IF($A517&gt;20,O516,(O516-N497+N517)*(1+$C$7))</f>
        <v>122312.68703689154</v>
      </c>
      <c r="P517" s="18">
        <f t="shared" si="52"/>
        <v>0</v>
      </c>
      <c r="Q517" s="18">
        <f>IF($A517&gt;20,0,(Q497-MIN(MAX(R516,0),Q497))+MIN(MAX(0,S516-(Q497-MIN(MAX(R516,0),Q497))),MAX(0,3*Q497-(R516-MIN(MAX(R516,0),Q497)))))</f>
        <v>0</v>
      </c>
      <c r="R517" s="18">
        <f>IF($A517&gt;20,R516,(R516-Q497+Q517)*(1+$C$7))</f>
        <v>122312.40288977936</v>
      </c>
      <c r="S517" s="18">
        <f t="shared" si="53"/>
        <v>0</v>
      </c>
    </row>
    <row r="518" spans="1:19">
      <c r="A518" s="10">
        <f>19</f>
        <v>19</v>
      </c>
      <c r="B518" s="18">
        <f>IF($A518&gt;20,0,(B497-MIN(MAX(C517,0),B497))+MIN(MAX(0,D517-(B497-MIN(MAX(C517,0),B497))),MAX(0,3*B497-(C517-MIN(MAX(C517,0),B497)))))</f>
        <v>29433</v>
      </c>
      <c r="C518" s="18">
        <f>IF($A518&gt;20,C517,(C517-B497+B518)*(1+$C$7))</f>
        <v>90567</v>
      </c>
      <c r="D518" s="18">
        <f t="shared" si="48"/>
        <v>833253.53803390567</v>
      </c>
      <c r="E518" s="18">
        <f>IF($A518&gt;20,0,(E497-MIN(MAX(F517,0),E497))+MIN(MAX(0,G517-(E497-MIN(MAX(F517,0),E497))),MAX(0,3*E497-(F517-MIN(MAX(F517,0),E497)))))</f>
        <v>75000</v>
      </c>
      <c r="F518" s="18">
        <f>IF($A518&gt;20,F517,(F517-E497+E518)*(1+$C$7))</f>
        <v>0</v>
      </c>
      <c r="G518" s="18">
        <f t="shared" si="49"/>
        <v>-288601.9165615408</v>
      </c>
      <c r="H518" s="18">
        <f>IF($A518&gt;20,0,(H497-MIN(MAX(I517,0),H497))+MIN(MAX(0,J517-(H497-MIN(MAX(I517,0),H497))),MAX(0,3*H497-(I517-MIN(MAX(I517,0),H497)))))</f>
        <v>0</v>
      </c>
      <c r="I518" s="18">
        <f>IF($A518&gt;20,I517,(I517-H497+H518)*(1+$C$7))</f>
        <v>45496.276225752954</v>
      </c>
      <c r="J518" s="18">
        <f t="shared" si="50"/>
        <v>0</v>
      </c>
      <c r="K518" s="18">
        <f>IF($A518&gt;20,0,(K497-MIN(MAX(L517,0),K497))+MIN(MAX(0,M517-(K497-MIN(MAX(L517,0),K497))),MAX(0,3*K497-(L517-MIN(MAX(L517,0),K497)))))</f>
        <v>0</v>
      </c>
      <c r="L518" s="18">
        <f>IF($A518&gt;20,L517,(L517-K497+K518)*(1+$C$7))</f>
        <v>61361.183026040329</v>
      </c>
      <c r="M518" s="18">
        <f t="shared" si="51"/>
        <v>0</v>
      </c>
      <c r="N518" s="18">
        <f>IF($A518&gt;20,0,(N497-MIN(MAX(O517,0),N497))+MIN(MAX(0,P517-(N497-MIN(MAX(O517,0),N497))),MAX(0,3*N497-(O517-MIN(MAX(O517,0),N497)))))</f>
        <v>0</v>
      </c>
      <c r="O518" s="18">
        <f>IF($A518&gt;20,O517,(O517-N497+N518)*(1+$C$7))</f>
        <v>61348.53617342301</v>
      </c>
      <c r="P518" s="18">
        <f t="shared" si="52"/>
        <v>0</v>
      </c>
      <c r="Q518" s="18">
        <f>IF($A518&gt;20,0,(Q497-MIN(MAX(R517,0),Q497))+MIN(MAX(0,S517-(Q497-MIN(MAX(R517,0),Q497))),MAX(0,3*Q497-(R517-MIN(MAX(R517,0),Q497)))))</f>
        <v>0</v>
      </c>
      <c r="R518" s="18">
        <f>IF($A518&gt;20,R517,(R517-Q497+Q518)*(1+$C$7))</f>
        <v>61348.238562520542</v>
      </c>
      <c r="S518" s="18">
        <f t="shared" si="53"/>
        <v>0</v>
      </c>
    </row>
    <row r="519" spans="1:19">
      <c r="A519" s="10">
        <f>20</f>
        <v>20</v>
      </c>
      <c r="B519" s="18">
        <f>IF($A519&gt;20,0,(B497-MIN(MAX(C518,0),B497))+MIN(MAX(0,D518-(B497-MIN(MAX(C518,0),B497))),MAX(0,3*B497-(C518-MIN(MAX(C518,0),B497)))))</f>
        <v>29433</v>
      </c>
      <c r="C519" s="18">
        <f>IF($A519&gt;20,C518,(C518-B497+B519)*(1+$C$7))</f>
        <v>90567</v>
      </c>
      <c r="D519" s="18">
        <f t="shared" si="48"/>
        <v>827935.15417492285</v>
      </c>
      <c r="E519" s="18">
        <f>IF($A519&gt;20,0,(E497-MIN(MAX(F518,0),E497))+MIN(MAX(0,G518-(E497-MIN(MAX(F518,0),E497))),MAX(0,3*E497-(F518-MIN(MAX(F518,0),E497)))))</f>
        <v>75000</v>
      </c>
      <c r="F519" s="18">
        <f>IF($A519&gt;20,F518,(F518-E497+E519)*(1+$C$7))</f>
        <v>0</v>
      </c>
      <c r="G519" s="18">
        <f t="shared" si="49"/>
        <v>-374509.97405838704</v>
      </c>
      <c r="H519" s="18">
        <f>IF($A519&gt;20,0,(H497-MIN(MAX(I518,0),H497))+MIN(MAX(0,J518-(H497-MIN(MAX(I518,0),H497))),MAX(0,3*H497-(I518-MIN(MAX(I518,0),H497)))))</f>
        <v>16469.856214432104</v>
      </c>
      <c r="I519" s="18">
        <f>IF($A519&gt;20,I518,(I518-H497+H519)*(1+$C$7))</f>
        <v>0</v>
      </c>
      <c r="J519" s="18">
        <f t="shared" si="50"/>
        <v>-16963.951900865068</v>
      </c>
      <c r="K519" s="18">
        <f>IF($A519&gt;20,0,(K497-MIN(MAX(L518,0),K497))+MIN(MAX(0,M518-(K497-MIN(MAX(L518,0),K497))),MAX(0,3*K497-(L518-MIN(MAX(L518,0),K497)))))</f>
        <v>0</v>
      </c>
      <c r="L519" s="18">
        <f>IF($A519&gt;20,L518,(L518-K497+K519)*(1+$C$7))</f>
        <v>13.533754820969556</v>
      </c>
      <c r="M519" s="18">
        <f t="shared" si="51"/>
        <v>0</v>
      </c>
      <c r="N519" s="18">
        <f>IF($A519&gt;20,0,(N497-MIN(MAX(O518,0),N497))+MIN(MAX(0,P518-(N497-MIN(MAX(O518,0),N497))),MAX(0,3*N497-(O518-MIN(MAX(O518,0),N497)))))</f>
        <v>0</v>
      </c>
      <c r="O519" s="18">
        <f>IF($A519&gt;20,O518,(O518-N497+N519)*(1+$C$7))</f>
        <v>0.31115951463235542</v>
      </c>
      <c r="P519" s="18">
        <f t="shared" si="52"/>
        <v>0</v>
      </c>
      <c r="Q519" s="18">
        <f>IF($A519&gt;20,0,(Q497-MIN(MAX(R518,0),Q497))+MIN(MAX(0,S518-(Q497-MIN(MAX(R518,0),Q497))),MAX(0,3*Q497-(R518-MIN(MAX(R518,0),Q497)))))</f>
        <v>7.2759576141834259E-12</v>
      </c>
      <c r="R519" s="18">
        <f>IF($A519&gt;20,R518,(R518-Q497+Q519)*(1+$C$7))</f>
        <v>0</v>
      </c>
      <c r="S519" s="18">
        <f t="shared" si="53"/>
        <v>-7.4942363426089289E-12</v>
      </c>
    </row>
    <row r="520" spans="1:19">
      <c r="A520" s="10">
        <f>21</f>
        <v>21</v>
      </c>
      <c r="B520" s="18">
        <f>IF($A520&gt;20,0,(B497-MIN(MAX(C519,0),B497))+MIN(MAX(0,D519-(B497-MIN(MAX(C519,0),B497))),MAX(0,3*B497-(C519-MIN(MAX(C519,0),B497)))))</f>
        <v>0</v>
      </c>
      <c r="C520" s="18">
        <f>IF($A520&gt;20,C519,(C519-B497+B520)*(1+$C$7))</f>
        <v>90567</v>
      </c>
      <c r="D520" s="18">
        <f t="shared" si="48"/>
        <v>827935.15417492285</v>
      </c>
      <c r="E520" s="18">
        <f>IF($A520&gt;20,0,(E497-MIN(MAX(F519,0),E497))+MIN(MAX(0,G519-(E497-MIN(MAX(F519,0),E497))),MAX(0,3*E497-(F519-MIN(MAX(F519,0),E497)))))</f>
        <v>0</v>
      </c>
      <c r="F520" s="18">
        <f>IF($A520&gt;20,F519,(F519-E497+E520)*(1+$C$7))</f>
        <v>0</v>
      </c>
      <c r="G520" s="18">
        <f t="shared" si="49"/>
        <v>-374509.97405838704</v>
      </c>
      <c r="H520" s="18">
        <f>IF($A520&gt;20,0,(H497-MIN(MAX(I519,0),H497))+MIN(MAX(0,J519-(H497-MIN(MAX(I519,0),H497))),MAX(0,3*H497-(I519-MIN(MAX(I519,0),H497)))))</f>
        <v>0</v>
      </c>
      <c r="I520" s="18">
        <f>IF($A520&gt;20,I519,(I519-H497+H520)*(1+$C$7))</f>
        <v>0</v>
      </c>
      <c r="J520" s="18">
        <f t="shared" si="50"/>
        <v>-16963.951900865068</v>
      </c>
      <c r="K520" s="18">
        <f>IF($A520&gt;20,0,(K497-MIN(MAX(L519,0),K497))+MIN(MAX(0,M519-(K497-MIN(MAX(L519,0),K497))),MAX(0,3*K497-(L519-MIN(MAX(L519,0),K497)))))</f>
        <v>0</v>
      </c>
      <c r="L520" s="18">
        <f>IF($A520&gt;20,L519,(L519-K497+K520)*(1+$C$7))</f>
        <v>13.533754820969556</v>
      </c>
      <c r="M520" s="18">
        <f t="shared" si="51"/>
        <v>0</v>
      </c>
      <c r="N520" s="18">
        <f>IF($A520&gt;20,0,(N497-MIN(MAX(O519,0),N497))+MIN(MAX(0,P519-(N497-MIN(MAX(O519,0),N497))),MAX(0,3*N497-(O519-MIN(MAX(O519,0),N497)))))</f>
        <v>0</v>
      </c>
      <c r="O520" s="18">
        <f>IF($A520&gt;20,O519,(O519-N497+N520)*(1+$C$7))</f>
        <v>0.31115951463235542</v>
      </c>
      <c r="P520" s="18">
        <f t="shared" si="52"/>
        <v>0</v>
      </c>
      <c r="Q520" s="18">
        <f>IF($A520&gt;20,0,(Q497-MIN(MAX(R519,0),Q497))+MIN(MAX(0,S519-(Q497-MIN(MAX(R519,0),Q497))),MAX(0,3*Q497-(R519-MIN(MAX(R519,0),Q497)))))</f>
        <v>0</v>
      </c>
      <c r="R520" s="18">
        <f>IF($A520&gt;20,R519,(R519-Q497+Q520)*(1+$C$7))</f>
        <v>0</v>
      </c>
      <c r="S520" s="18">
        <f t="shared" si="53"/>
        <v>-7.4942363426089289E-12</v>
      </c>
    </row>
    <row r="521" spans="1:19">
      <c r="A521" s="10">
        <f>22</f>
        <v>22</v>
      </c>
      <c r="B521" s="18">
        <f>IF($A521&gt;20,0,(B497-MIN(MAX(C520,0),B497))+MIN(MAX(0,D520-(B497-MIN(MAX(C520,0),B497))),MAX(0,3*B497-(C520-MIN(MAX(C520,0),B497)))))</f>
        <v>0</v>
      </c>
      <c r="C521" s="18">
        <f>IF($A521&gt;20,C520,(C520-B497+B521)*(1+$C$7))</f>
        <v>90567</v>
      </c>
      <c r="D521" s="18">
        <f t="shared" si="48"/>
        <v>827935.15417492285</v>
      </c>
      <c r="E521" s="18">
        <f>IF($A521&gt;20,0,(E497-MIN(MAX(F520,0),E497))+MIN(MAX(0,G520-(E497-MIN(MAX(F520,0),E497))),MAX(0,3*E497-(F520-MIN(MAX(F520,0),E497)))))</f>
        <v>0</v>
      </c>
      <c r="F521" s="18">
        <f>IF($A521&gt;20,F520,(F520-E497+E521)*(1+$C$7))</f>
        <v>0</v>
      </c>
      <c r="G521" s="18">
        <f t="shared" si="49"/>
        <v>-374509.97405838704</v>
      </c>
      <c r="H521" s="18">
        <f>IF($A521&gt;20,0,(H497-MIN(MAX(I520,0),H497))+MIN(MAX(0,J520-(H497-MIN(MAX(I520,0),H497))),MAX(0,3*H497-(I520-MIN(MAX(I520,0),H497)))))</f>
        <v>0</v>
      </c>
      <c r="I521" s="18">
        <f>IF($A521&gt;20,I520,(I520-H497+H521)*(1+$C$7))</f>
        <v>0</v>
      </c>
      <c r="J521" s="18">
        <f t="shared" si="50"/>
        <v>-16963.951900865068</v>
      </c>
      <c r="K521" s="18">
        <f>IF($A521&gt;20,0,(K497-MIN(MAX(L520,0),K497))+MIN(MAX(0,M520-(K497-MIN(MAX(L520,0),K497))),MAX(0,3*K497-(L520-MIN(MAX(L520,0),K497)))))</f>
        <v>0</v>
      </c>
      <c r="L521" s="18">
        <f>IF($A521&gt;20,L520,(L520-K497+K521)*(1+$C$7))</f>
        <v>13.533754820969556</v>
      </c>
      <c r="M521" s="18">
        <f t="shared" si="51"/>
        <v>0</v>
      </c>
      <c r="N521" s="18">
        <f>IF($A521&gt;20,0,(N497-MIN(MAX(O520,0),N497))+MIN(MAX(0,P520-(N497-MIN(MAX(O520,0),N497))),MAX(0,3*N497-(O520-MIN(MAX(O520,0),N497)))))</f>
        <v>0</v>
      </c>
      <c r="O521" s="18">
        <f>IF($A521&gt;20,O520,(O520-N497+N521)*(1+$C$7))</f>
        <v>0.31115951463235542</v>
      </c>
      <c r="P521" s="18">
        <f t="shared" si="52"/>
        <v>0</v>
      </c>
      <c r="Q521" s="18">
        <f>IF($A521&gt;20,0,(Q497-MIN(MAX(R520,0),Q497))+MIN(MAX(0,S520-(Q497-MIN(MAX(R520,0),Q497))),MAX(0,3*Q497-(R520-MIN(MAX(R520,0),Q497)))))</f>
        <v>0</v>
      </c>
      <c r="R521" s="18">
        <f>IF($A521&gt;20,R520,(R520-Q497+Q521)*(1+$C$7))</f>
        <v>0</v>
      </c>
      <c r="S521" s="18">
        <f t="shared" si="53"/>
        <v>-7.4942363426089289E-12</v>
      </c>
    </row>
    <row r="522" spans="1:19">
      <c r="A522" s="10">
        <f>23</f>
        <v>23</v>
      </c>
      <c r="B522" s="18">
        <f>IF($A522&gt;20,0,(B497-MIN(MAX(C521,0),B497))+MIN(MAX(0,D521-(B497-MIN(MAX(C521,0),B497))),MAX(0,3*B497-(C521-MIN(MAX(C521,0),B497)))))</f>
        <v>0</v>
      </c>
      <c r="C522" s="18">
        <f>IF($A522&gt;20,C521,(C521-B497+B522)*(1+$C$7))</f>
        <v>90567</v>
      </c>
      <c r="D522" s="18">
        <f t="shared" si="48"/>
        <v>827935.15417492285</v>
      </c>
      <c r="E522" s="18">
        <f>IF($A522&gt;20,0,(E497-MIN(MAX(F521,0),E497))+MIN(MAX(0,G521-(E497-MIN(MAX(F521,0),E497))),MAX(0,3*E497-(F521-MIN(MAX(F521,0),E497)))))</f>
        <v>0</v>
      </c>
      <c r="F522" s="18">
        <f>IF($A522&gt;20,F521,(F521-E497+E522)*(1+$C$7))</f>
        <v>0</v>
      </c>
      <c r="G522" s="18">
        <f t="shared" si="49"/>
        <v>-374509.97405838704</v>
      </c>
      <c r="H522" s="18">
        <f>IF($A522&gt;20,0,(H497-MIN(MAX(I521,0),H497))+MIN(MAX(0,J521-(H497-MIN(MAX(I521,0),H497))),MAX(0,3*H497-(I521-MIN(MAX(I521,0),H497)))))</f>
        <v>0</v>
      </c>
      <c r="I522" s="18">
        <f>IF($A522&gt;20,I521,(I521-H497+H522)*(1+$C$7))</f>
        <v>0</v>
      </c>
      <c r="J522" s="18">
        <f t="shared" si="50"/>
        <v>-16963.951900865068</v>
      </c>
      <c r="K522" s="18">
        <f>IF($A522&gt;20,0,(K497-MIN(MAX(L521,0),K497))+MIN(MAX(0,M521-(K497-MIN(MAX(L521,0),K497))),MAX(0,3*K497-(L521-MIN(MAX(L521,0),K497)))))</f>
        <v>0</v>
      </c>
      <c r="L522" s="18">
        <f>IF($A522&gt;20,L521,(L521-K497+K522)*(1+$C$7))</f>
        <v>13.533754820969556</v>
      </c>
      <c r="M522" s="18">
        <f t="shared" si="51"/>
        <v>0</v>
      </c>
      <c r="N522" s="18">
        <f>IF($A522&gt;20,0,(N497-MIN(MAX(O521,0),N497))+MIN(MAX(0,P521-(N497-MIN(MAX(O521,0),N497))),MAX(0,3*N497-(O521-MIN(MAX(O521,0),N497)))))</f>
        <v>0</v>
      </c>
      <c r="O522" s="18">
        <f>IF($A522&gt;20,O521,(O521-N497+N522)*(1+$C$7))</f>
        <v>0.31115951463235542</v>
      </c>
      <c r="P522" s="18">
        <f t="shared" si="52"/>
        <v>0</v>
      </c>
      <c r="Q522" s="18">
        <f>IF($A522&gt;20,0,(Q497-MIN(MAX(R521,0),Q497))+MIN(MAX(0,S521-(Q497-MIN(MAX(R521,0),Q497))),MAX(0,3*Q497-(R521-MIN(MAX(R521,0),Q497)))))</f>
        <v>0</v>
      </c>
      <c r="R522" s="18">
        <f>IF($A522&gt;20,R521,(R521-Q497+Q522)*(1+$C$7))</f>
        <v>0</v>
      </c>
      <c r="S522" s="18">
        <f t="shared" si="53"/>
        <v>-7.4942363426089289E-12</v>
      </c>
    </row>
    <row r="523" spans="1:19">
      <c r="A523" s="10">
        <f>24</f>
        <v>24</v>
      </c>
      <c r="B523" s="18">
        <f>IF($A523&gt;20,0,(B497-MIN(MAX(C522,0),B497))+MIN(MAX(0,D522-(B497-MIN(MAX(C522,0),B497))),MAX(0,3*B497-(C522-MIN(MAX(C522,0),B497)))))</f>
        <v>0</v>
      </c>
      <c r="C523" s="18">
        <f>IF($A523&gt;20,C522,(C522-B497+B523)*(1+$C$7))</f>
        <v>90567</v>
      </c>
      <c r="D523" s="18">
        <f t="shared" si="48"/>
        <v>827935.15417492285</v>
      </c>
      <c r="E523" s="18">
        <f>IF($A523&gt;20,0,(E497-MIN(MAX(F522,0),E497))+MIN(MAX(0,G522-(E497-MIN(MAX(F522,0),E497))),MAX(0,3*E497-(F522-MIN(MAX(F522,0),E497)))))</f>
        <v>0</v>
      </c>
      <c r="F523" s="18">
        <f>IF($A523&gt;20,F522,(F522-E497+E523)*(1+$C$7))</f>
        <v>0</v>
      </c>
      <c r="G523" s="18">
        <f t="shared" si="49"/>
        <v>-374509.97405838704</v>
      </c>
      <c r="H523" s="18">
        <f>IF($A523&gt;20,0,(H497-MIN(MAX(I522,0),H497))+MIN(MAX(0,J522-(H497-MIN(MAX(I522,0),H497))),MAX(0,3*H497-(I522-MIN(MAX(I522,0),H497)))))</f>
        <v>0</v>
      </c>
      <c r="I523" s="18">
        <f>IF($A523&gt;20,I522,(I522-H497+H523)*(1+$C$7))</f>
        <v>0</v>
      </c>
      <c r="J523" s="18">
        <f t="shared" si="50"/>
        <v>-16963.951900865068</v>
      </c>
      <c r="K523" s="18">
        <f>IF($A523&gt;20,0,(K497-MIN(MAX(L522,0),K497))+MIN(MAX(0,M522-(K497-MIN(MAX(L522,0),K497))),MAX(0,3*K497-(L522-MIN(MAX(L522,0),K497)))))</f>
        <v>0</v>
      </c>
      <c r="L523" s="18">
        <f>IF($A523&gt;20,L522,(L522-K497+K523)*(1+$C$7))</f>
        <v>13.533754820969556</v>
      </c>
      <c r="M523" s="18">
        <f t="shared" si="51"/>
        <v>0</v>
      </c>
      <c r="N523" s="18">
        <f>IF($A523&gt;20,0,(N497-MIN(MAX(O522,0),N497))+MIN(MAX(0,P522-(N497-MIN(MAX(O522,0),N497))),MAX(0,3*N497-(O522-MIN(MAX(O522,0),N497)))))</f>
        <v>0</v>
      </c>
      <c r="O523" s="18">
        <f>IF($A523&gt;20,O522,(O522-N497+N523)*(1+$C$7))</f>
        <v>0.31115951463235542</v>
      </c>
      <c r="P523" s="18">
        <f t="shared" si="52"/>
        <v>0</v>
      </c>
      <c r="Q523" s="18">
        <f>IF($A523&gt;20,0,(Q497-MIN(MAX(R522,0),Q497))+MIN(MAX(0,S522-(Q497-MIN(MAX(R522,0),Q497))),MAX(0,3*Q497-(R522-MIN(MAX(R522,0),Q497)))))</f>
        <v>0</v>
      </c>
      <c r="R523" s="18">
        <f>IF($A523&gt;20,R522,(R522-Q497+Q523)*(1+$C$7))</f>
        <v>0</v>
      </c>
      <c r="S523" s="18">
        <f t="shared" si="53"/>
        <v>-7.4942363426089289E-12</v>
      </c>
    </row>
    <row r="524" spans="1:19">
      <c r="A524" s="10">
        <f>25</f>
        <v>25</v>
      </c>
      <c r="B524" s="18">
        <f>IF($A524&gt;20,0,(B497-MIN(MAX(C523,0),B497))+MIN(MAX(0,D523-(B497-MIN(MAX(C523,0),B497))),MAX(0,3*B497-(C523-MIN(MAX(C523,0),B497)))))</f>
        <v>0</v>
      </c>
      <c r="C524" s="18">
        <f>IF($A524&gt;20,C523,(C523-B497+B524)*(1+$C$7))</f>
        <v>90567</v>
      </c>
      <c r="D524" s="18">
        <f t="shared" si="48"/>
        <v>827935.15417492285</v>
      </c>
      <c r="E524" s="18">
        <f>IF($A524&gt;20,0,(E497-MIN(MAX(F523,0),E497))+MIN(MAX(0,G523-(E497-MIN(MAX(F523,0),E497))),MAX(0,3*E497-(F523-MIN(MAX(F523,0),E497)))))</f>
        <v>0</v>
      </c>
      <c r="F524" s="18">
        <f>IF($A524&gt;20,F523,(F523-E497+E524)*(1+$C$7))</f>
        <v>0</v>
      </c>
      <c r="G524" s="18">
        <f t="shared" si="49"/>
        <v>-374509.97405838704</v>
      </c>
      <c r="H524" s="18">
        <f>IF($A524&gt;20,0,(H497-MIN(MAX(I523,0),H497))+MIN(MAX(0,J523-(H497-MIN(MAX(I523,0),H497))),MAX(0,3*H497-(I523-MIN(MAX(I523,0),H497)))))</f>
        <v>0</v>
      </c>
      <c r="I524" s="18">
        <f>IF($A524&gt;20,I523,(I523-H497+H524)*(1+$C$7))</f>
        <v>0</v>
      </c>
      <c r="J524" s="18">
        <f t="shared" si="50"/>
        <v>-16963.951900865068</v>
      </c>
      <c r="K524" s="18">
        <f>IF($A524&gt;20,0,(K497-MIN(MAX(L523,0),K497))+MIN(MAX(0,M523-(K497-MIN(MAX(L523,0),K497))),MAX(0,3*K497-(L523-MIN(MAX(L523,0),K497)))))</f>
        <v>0</v>
      </c>
      <c r="L524" s="18">
        <f>IF($A524&gt;20,L523,(L523-K497+K524)*(1+$C$7))</f>
        <v>13.533754820969556</v>
      </c>
      <c r="M524" s="18">
        <f t="shared" si="51"/>
        <v>0</v>
      </c>
      <c r="N524" s="18">
        <f>IF($A524&gt;20,0,(N497-MIN(MAX(O523,0),N497))+MIN(MAX(0,P523-(N497-MIN(MAX(O523,0),N497))),MAX(0,3*N497-(O523-MIN(MAX(O523,0),N497)))))</f>
        <v>0</v>
      </c>
      <c r="O524" s="18">
        <f>IF($A524&gt;20,O523,(O523-N497+N524)*(1+$C$7))</f>
        <v>0.31115951463235542</v>
      </c>
      <c r="P524" s="18">
        <f t="shared" si="52"/>
        <v>0</v>
      </c>
      <c r="Q524" s="18">
        <f>IF($A524&gt;20,0,(Q497-MIN(MAX(R523,0),Q497))+MIN(MAX(0,S523-(Q497-MIN(MAX(R523,0),Q497))),MAX(0,3*Q497-(R523-MIN(MAX(R523,0),Q497)))))</f>
        <v>0</v>
      </c>
      <c r="R524" s="18">
        <f>IF($A524&gt;20,R523,(R523-Q497+Q524)*(1+$C$7))</f>
        <v>0</v>
      </c>
      <c r="S524" s="18">
        <f t="shared" si="53"/>
        <v>-7.4942363426089289E-12</v>
      </c>
    </row>
    <row r="525" spans="1:19">
      <c r="A525" s="10">
        <f>26</f>
        <v>26</v>
      </c>
      <c r="B525" s="18">
        <f>IF($A525&gt;20,0,(B497-MIN(MAX(C524,0),B497))+MIN(MAX(0,D524-(B497-MIN(MAX(C524,0),B497))),MAX(0,3*B497-(C524-MIN(MAX(C524,0),B497)))))</f>
        <v>0</v>
      </c>
      <c r="C525" s="18">
        <f>IF($A525&gt;20,C524,(C524-B497+B525)*(1+$C$7))</f>
        <v>90567</v>
      </c>
      <c r="D525" s="18">
        <f t="shared" si="48"/>
        <v>827935.15417492285</v>
      </c>
      <c r="E525" s="18">
        <f>IF($A525&gt;20,0,(E497-MIN(MAX(F524,0),E497))+MIN(MAX(0,G524-(E497-MIN(MAX(F524,0),E497))),MAX(0,3*E497-(F524-MIN(MAX(F524,0),E497)))))</f>
        <v>0</v>
      </c>
      <c r="F525" s="18">
        <f>IF($A525&gt;20,F524,(F524-E497+E525)*(1+$C$7))</f>
        <v>0</v>
      </c>
      <c r="G525" s="18">
        <f t="shared" si="49"/>
        <v>-374509.97405838704</v>
      </c>
      <c r="H525" s="18">
        <f>IF($A525&gt;20,0,(H497-MIN(MAX(I524,0),H497))+MIN(MAX(0,J524-(H497-MIN(MAX(I524,0),H497))),MAX(0,3*H497-(I524-MIN(MAX(I524,0),H497)))))</f>
        <v>0</v>
      </c>
      <c r="I525" s="18">
        <f>IF($A525&gt;20,I524,(I524-H497+H525)*(1+$C$7))</f>
        <v>0</v>
      </c>
      <c r="J525" s="18">
        <f t="shared" si="50"/>
        <v>-16963.951900865068</v>
      </c>
      <c r="K525" s="18">
        <f>IF($A525&gt;20,0,(K497-MIN(MAX(L524,0),K497))+MIN(MAX(0,M524-(K497-MIN(MAX(L524,0),K497))),MAX(0,3*K497-(L524-MIN(MAX(L524,0),K497)))))</f>
        <v>0</v>
      </c>
      <c r="L525" s="18">
        <f>IF($A525&gt;20,L524,(L524-K497+K525)*(1+$C$7))</f>
        <v>13.533754820969556</v>
      </c>
      <c r="M525" s="18">
        <f t="shared" si="51"/>
        <v>0</v>
      </c>
      <c r="N525" s="18">
        <f>IF($A525&gt;20,0,(N497-MIN(MAX(O524,0),N497))+MIN(MAX(0,P524-(N497-MIN(MAX(O524,0),N497))),MAX(0,3*N497-(O524-MIN(MAX(O524,0),N497)))))</f>
        <v>0</v>
      </c>
      <c r="O525" s="18">
        <f>IF($A525&gt;20,O524,(O524-N497+N525)*(1+$C$7))</f>
        <v>0.31115951463235542</v>
      </c>
      <c r="P525" s="18">
        <f t="shared" si="52"/>
        <v>0</v>
      </c>
      <c r="Q525" s="18">
        <f>IF($A525&gt;20,0,(Q497-MIN(MAX(R524,0),Q497))+MIN(MAX(0,S524-(Q497-MIN(MAX(R524,0),Q497))),MAX(0,3*Q497-(R524-MIN(MAX(R524,0),Q497)))))</f>
        <v>0</v>
      </c>
      <c r="R525" s="18">
        <f>IF($A525&gt;20,R524,(R524-Q497+Q525)*(1+$C$7))</f>
        <v>0</v>
      </c>
      <c r="S525" s="18">
        <f t="shared" si="53"/>
        <v>-7.4942363426089289E-12</v>
      </c>
    </row>
    <row r="526" spans="1:19">
      <c r="A526" s="10">
        <f>27</f>
        <v>27</v>
      </c>
      <c r="B526" s="18">
        <f>IF($A526&gt;20,0,(B497-MIN(MAX(C525,0),B497))+MIN(MAX(0,D525-(B497-MIN(MAX(C525,0),B497))),MAX(0,3*B497-(C525-MIN(MAX(C525,0),B497)))))</f>
        <v>0</v>
      </c>
      <c r="C526" s="18">
        <f>IF($A526&gt;20,C525,(C525-B497+B526)*(1+$C$7))</f>
        <v>90567</v>
      </c>
      <c r="D526" s="18">
        <f t="shared" si="48"/>
        <v>827935.15417492285</v>
      </c>
      <c r="E526" s="18">
        <f>IF($A526&gt;20,0,(E497-MIN(MAX(F525,0),E497))+MIN(MAX(0,G525-(E497-MIN(MAX(F525,0),E497))),MAX(0,3*E497-(F525-MIN(MAX(F525,0),E497)))))</f>
        <v>0</v>
      </c>
      <c r="F526" s="18">
        <f>IF($A526&gt;20,F525,(F525-E497+E526)*(1+$C$7))</f>
        <v>0</v>
      </c>
      <c r="G526" s="18">
        <f t="shared" si="49"/>
        <v>-374509.97405838704</v>
      </c>
      <c r="H526" s="18">
        <f>IF($A526&gt;20,0,(H497-MIN(MAX(I525,0),H497))+MIN(MAX(0,J525-(H497-MIN(MAX(I525,0),H497))),MAX(0,3*H497-(I525-MIN(MAX(I525,0),H497)))))</f>
        <v>0</v>
      </c>
      <c r="I526" s="18">
        <f>IF($A526&gt;20,I525,(I525-H497+H526)*(1+$C$7))</f>
        <v>0</v>
      </c>
      <c r="J526" s="18">
        <f t="shared" si="50"/>
        <v>-16963.951900865068</v>
      </c>
      <c r="K526" s="18">
        <f>IF($A526&gt;20,0,(K497-MIN(MAX(L525,0),K497))+MIN(MAX(0,M525-(K497-MIN(MAX(L525,0),K497))),MAX(0,3*K497-(L525-MIN(MAX(L525,0),K497)))))</f>
        <v>0</v>
      </c>
      <c r="L526" s="18">
        <f>IF($A526&gt;20,L525,(L525-K497+K526)*(1+$C$7))</f>
        <v>13.533754820969556</v>
      </c>
      <c r="M526" s="18">
        <f t="shared" si="51"/>
        <v>0</v>
      </c>
      <c r="N526" s="18">
        <f>IF($A526&gt;20,0,(N497-MIN(MAX(O525,0),N497))+MIN(MAX(0,P525-(N497-MIN(MAX(O525,0),N497))),MAX(0,3*N497-(O525-MIN(MAX(O525,0),N497)))))</f>
        <v>0</v>
      </c>
      <c r="O526" s="18">
        <f>IF($A526&gt;20,O525,(O525-N497+N526)*(1+$C$7))</f>
        <v>0.31115951463235542</v>
      </c>
      <c r="P526" s="18">
        <f t="shared" si="52"/>
        <v>0</v>
      </c>
      <c r="Q526" s="18">
        <f>IF($A526&gt;20,0,(Q497-MIN(MAX(R525,0),Q497))+MIN(MAX(0,S525-(Q497-MIN(MAX(R525,0),Q497))),MAX(0,3*Q497-(R525-MIN(MAX(R525,0),Q497)))))</f>
        <v>0</v>
      </c>
      <c r="R526" s="18">
        <f>IF($A526&gt;20,R525,(R525-Q497+Q526)*(1+$C$7))</f>
        <v>0</v>
      </c>
      <c r="S526" s="18">
        <f t="shared" si="53"/>
        <v>-7.4942363426089289E-12</v>
      </c>
    </row>
    <row r="527" spans="1:19">
      <c r="A527" s="10">
        <f>28</f>
        <v>28</v>
      </c>
      <c r="B527" s="18">
        <f>IF($A527&gt;20,0,(B497-MIN(MAX(C526,0),B497))+MIN(MAX(0,D526-(B497-MIN(MAX(C526,0),B497))),MAX(0,3*B497-(C526-MIN(MAX(C526,0),B497)))))</f>
        <v>0</v>
      </c>
      <c r="C527" s="18">
        <f>IF($A527&gt;20,C526,(C526-B497+B527)*(1+$C$7))</f>
        <v>90567</v>
      </c>
      <c r="D527" s="18">
        <f t="shared" si="48"/>
        <v>827935.15417492285</v>
      </c>
      <c r="E527" s="18">
        <f>IF($A527&gt;20,0,(E497-MIN(MAX(F526,0),E497))+MIN(MAX(0,G526-(E497-MIN(MAX(F526,0),E497))),MAX(0,3*E497-(F526-MIN(MAX(F526,0),E497)))))</f>
        <v>0</v>
      </c>
      <c r="F527" s="18">
        <f>IF($A527&gt;20,F526,(F526-E497+E527)*(1+$C$7))</f>
        <v>0</v>
      </c>
      <c r="G527" s="18">
        <f t="shared" si="49"/>
        <v>-374509.97405838704</v>
      </c>
      <c r="H527" s="18">
        <f>IF($A527&gt;20,0,(H497-MIN(MAX(I526,0),H497))+MIN(MAX(0,J526-(H497-MIN(MAX(I526,0),H497))),MAX(0,3*H497-(I526-MIN(MAX(I526,0),H497)))))</f>
        <v>0</v>
      </c>
      <c r="I527" s="18">
        <f>IF($A527&gt;20,I526,(I526-H497+H527)*(1+$C$7))</f>
        <v>0</v>
      </c>
      <c r="J527" s="18">
        <f t="shared" si="50"/>
        <v>-16963.951900865068</v>
      </c>
      <c r="K527" s="18">
        <f>IF($A527&gt;20,0,(K497-MIN(MAX(L526,0),K497))+MIN(MAX(0,M526-(K497-MIN(MAX(L526,0),K497))),MAX(0,3*K497-(L526-MIN(MAX(L526,0),K497)))))</f>
        <v>0</v>
      </c>
      <c r="L527" s="18">
        <f>IF($A527&gt;20,L526,(L526-K497+K527)*(1+$C$7))</f>
        <v>13.533754820969556</v>
      </c>
      <c r="M527" s="18">
        <f t="shared" si="51"/>
        <v>0</v>
      </c>
      <c r="N527" s="18">
        <f>IF($A527&gt;20,0,(N497-MIN(MAX(O526,0),N497))+MIN(MAX(0,P526-(N497-MIN(MAX(O526,0),N497))),MAX(0,3*N497-(O526-MIN(MAX(O526,0),N497)))))</f>
        <v>0</v>
      </c>
      <c r="O527" s="18">
        <f>IF($A527&gt;20,O526,(O526-N497+N527)*(1+$C$7))</f>
        <v>0.31115951463235542</v>
      </c>
      <c r="P527" s="18">
        <f t="shared" si="52"/>
        <v>0</v>
      </c>
      <c r="Q527" s="18">
        <f>IF($A527&gt;20,0,(Q497-MIN(MAX(R526,0),Q497))+MIN(MAX(0,S526-(Q497-MIN(MAX(R526,0),Q497))),MAX(0,3*Q497-(R526-MIN(MAX(R526,0),Q497)))))</f>
        <v>0</v>
      </c>
      <c r="R527" s="18">
        <f>IF($A527&gt;20,R526,(R526-Q497+Q527)*(1+$C$7))</f>
        <v>0</v>
      </c>
      <c r="S527" s="18">
        <f t="shared" si="53"/>
        <v>-7.4942363426089289E-12</v>
      </c>
    </row>
    <row r="528" spans="1:19">
      <c r="A528" s="10">
        <f>29</f>
        <v>29</v>
      </c>
      <c r="B528" s="18">
        <f>IF($A528&gt;20,0,(B497-MIN(MAX(C527,0),B497))+MIN(MAX(0,D527-(B497-MIN(MAX(C527,0),B497))),MAX(0,3*B497-(C527-MIN(MAX(C527,0),B497)))))</f>
        <v>0</v>
      </c>
      <c r="C528" s="18">
        <f>IF($A528&gt;20,C527,(C527-B497+B528)*(1+$C$7))</f>
        <v>90567</v>
      </c>
      <c r="D528" s="18">
        <f t="shared" si="48"/>
        <v>827935.15417492285</v>
      </c>
      <c r="E528" s="18">
        <f>IF($A528&gt;20,0,(E497-MIN(MAX(F527,0),E497))+MIN(MAX(0,G527-(E497-MIN(MAX(F527,0),E497))),MAX(0,3*E497-(F527-MIN(MAX(F527,0),E497)))))</f>
        <v>0</v>
      </c>
      <c r="F528" s="18">
        <f>IF($A528&gt;20,F527,(F527-E497+E528)*(1+$C$7))</f>
        <v>0</v>
      </c>
      <c r="G528" s="18">
        <f t="shared" si="49"/>
        <v>-374509.97405838704</v>
      </c>
      <c r="H528" s="18">
        <f>IF($A528&gt;20,0,(H497-MIN(MAX(I527,0),H497))+MIN(MAX(0,J527-(H497-MIN(MAX(I527,0),H497))),MAX(0,3*H497-(I527-MIN(MAX(I527,0),H497)))))</f>
        <v>0</v>
      </c>
      <c r="I528" s="18">
        <f>IF($A528&gt;20,I527,(I527-H497+H528)*(1+$C$7))</f>
        <v>0</v>
      </c>
      <c r="J528" s="18">
        <f t="shared" si="50"/>
        <v>-16963.951900865068</v>
      </c>
      <c r="K528" s="18">
        <f>IF($A528&gt;20,0,(K497-MIN(MAX(L527,0),K497))+MIN(MAX(0,M527-(K497-MIN(MAX(L527,0),K497))),MAX(0,3*K497-(L527-MIN(MAX(L527,0),K497)))))</f>
        <v>0</v>
      </c>
      <c r="L528" s="18">
        <f>IF($A528&gt;20,L527,(L527-K497+K528)*(1+$C$7))</f>
        <v>13.533754820969556</v>
      </c>
      <c r="M528" s="18">
        <f t="shared" si="51"/>
        <v>0</v>
      </c>
      <c r="N528" s="18">
        <f>IF($A528&gt;20,0,(N497-MIN(MAX(O527,0),N497))+MIN(MAX(0,P527-(N497-MIN(MAX(O527,0),N497))),MAX(0,3*N497-(O527-MIN(MAX(O527,0),N497)))))</f>
        <v>0</v>
      </c>
      <c r="O528" s="18">
        <f>IF($A528&gt;20,O527,(O527-N497+N528)*(1+$C$7))</f>
        <v>0.31115951463235542</v>
      </c>
      <c r="P528" s="18">
        <f t="shared" si="52"/>
        <v>0</v>
      </c>
      <c r="Q528" s="18">
        <f>IF($A528&gt;20,0,(Q497-MIN(MAX(R527,0),Q497))+MIN(MAX(0,S527-(Q497-MIN(MAX(R527,0),Q497))),MAX(0,3*Q497-(R527-MIN(MAX(R527,0),Q497)))))</f>
        <v>0</v>
      </c>
      <c r="R528" s="18">
        <f>IF($A528&gt;20,R527,(R527-Q497+Q528)*(1+$C$7))</f>
        <v>0</v>
      </c>
      <c r="S528" s="18">
        <f t="shared" si="53"/>
        <v>-7.4942363426089289E-12</v>
      </c>
    </row>
    <row r="529" spans="1:19">
      <c r="A529" s="10">
        <f>30</f>
        <v>30</v>
      </c>
      <c r="B529" s="18">
        <f>IF($A529&gt;20,0,(B497-MIN(MAX(C528,0),B497))+MIN(MAX(0,D528-(B497-MIN(MAX(C528,0),B497))),MAX(0,3*B497-(C528-MIN(MAX(C528,0),B497)))))</f>
        <v>0</v>
      </c>
      <c r="C529" s="18">
        <f>IF($A529&gt;20,C528,(C528-B497+B529)*(1+$C$7))</f>
        <v>90567</v>
      </c>
      <c r="D529" s="18">
        <f t="shared" si="48"/>
        <v>827935.15417492285</v>
      </c>
      <c r="E529" s="18">
        <f>IF($A529&gt;20,0,(E497-MIN(MAX(F528,0),E497))+MIN(MAX(0,G528-(E497-MIN(MAX(F528,0),E497))),MAX(0,3*E497-(F528-MIN(MAX(F528,0),E497)))))</f>
        <v>0</v>
      </c>
      <c r="F529" s="18">
        <f>IF($A529&gt;20,F528,(F528-E497+E529)*(1+$C$7))</f>
        <v>0</v>
      </c>
      <c r="G529" s="18">
        <f t="shared" si="49"/>
        <v>-374509.97405838704</v>
      </c>
      <c r="H529" s="18">
        <f>IF($A529&gt;20,0,(H497-MIN(MAX(I528,0),H497))+MIN(MAX(0,J528-(H497-MIN(MAX(I528,0),H497))),MAX(0,3*H497-(I528-MIN(MAX(I528,0),H497)))))</f>
        <v>0</v>
      </c>
      <c r="I529" s="18">
        <f>IF($A529&gt;20,I528,(I528-H497+H529)*(1+$C$7))</f>
        <v>0</v>
      </c>
      <c r="J529" s="18">
        <f t="shared" si="50"/>
        <v>-16963.951900865068</v>
      </c>
      <c r="K529" s="18">
        <f>IF($A529&gt;20,0,(K497-MIN(MAX(L528,0),K497))+MIN(MAX(0,M528-(K497-MIN(MAX(L528,0),K497))),MAX(0,3*K497-(L528-MIN(MAX(L528,0),K497)))))</f>
        <v>0</v>
      </c>
      <c r="L529" s="18">
        <f>IF($A529&gt;20,L528,(L528-K497+K529)*(1+$C$7))</f>
        <v>13.533754820969556</v>
      </c>
      <c r="M529" s="18">
        <f t="shared" si="51"/>
        <v>0</v>
      </c>
      <c r="N529" s="18">
        <f>IF($A529&gt;20,0,(N497-MIN(MAX(O528,0),N497))+MIN(MAX(0,P528-(N497-MIN(MAX(O528,0),N497))),MAX(0,3*N497-(O528-MIN(MAX(O528,0),N497)))))</f>
        <v>0</v>
      </c>
      <c r="O529" s="18">
        <f>IF($A529&gt;20,O528,(O528-N497+N529)*(1+$C$7))</f>
        <v>0.31115951463235542</v>
      </c>
      <c r="P529" s="18">
        <f t="shared" si="52"/>
        <v>0</v>
      </c>
      <c r="Q529" s="18">
        <f>IF($A529&gt;20,0,(Q497-MIN(MAX(R528,0),Q497))+MIN(MAX(0,S528-(Q497-MIN(MAX(R528,0),Q497))),MAX(0,3*Q497-(R528-MIN(MAX(R528,0),Q497)))))</f>
        <v>0</v>
      </c>
      <c r="R529" s="18">
        <f>IF($A529&gt;20,R528,(R528-Q497+Q529)*(1+$C$7))</f>
        <v>0</v>
      </c>
      <c r="S529" s="18">
        <f t="shared" si="53"/>
        <v>-7.4942363426089289E-12</v>
      </c>
    </row>
    <row r="530" spans="1:19">
      <c r="A530" s="10">
        <f>31</f>
        <v>31</v>
      </c>
      <c r="B530" s="18">
        <f>IF($A530&gt;20,0,(B497-MIN(MAX(C529,0),B497))+MIN(MAX(0,D529-(B497-MIN(MAX(C529,0),B497))),MAX(0,3*B497-(C529-MIN(MAX(C529,0),B497)))))</f>
        <v>0</v>
      </c>
      <c r="C530" s="18">
        <f>IF($A530&gt;20,C529,(C529-B497+B530)*(1+$C$7))</f>
        <v>90567</v>
      </c>
      <c r="D530" s="18">
        <f t="shared" si="48"/>
        <v>827935.15417492285</v>
      </c>
      <c r="E530" s="18">
        <f>IF($A530&gt;20,0,(E497-MIN(MAX(F529,0),E497))+MIN(MAX(0,G529-(E497-MIN(MAX(F529,0),E497))),MAX(0,3*E497-(F529-MIN(MAX(F529,0),E497)))))</f>
        <v>0</v>
      </c>
      <c r="F530" s="18">
        <f>IF($A530&gt;20,F529,(F529-E497+E530)*(1+$C$7))</f>
        <v>0</v>
      </c>
      <c r="G530" s="18">
        <f t="shared" si="49"/>
        <v>-374509.97405838704</v>
      </c>
      <c r="H530" s="18">
        <f>IF($A530&gt;20,0,(H497-MIN(MAX(I529,0),H497))+MIN(MAX(0,J529-(H497-MIN(MAX(I529,0),H497))),MAX(0,3*H497-(I529-MIN(MAX(I529,0),H497)))))</f>
        <v>0</v>
      </c>
      <c r="I530" s="18">
        <f>IF($A530&gt;20,I529,(I529-H497+H530)*(1+$C$7))</f>
        <v>0</v>
      </c>
      <c r="J530" s="18">
        <f t="shared" si="50"/>
        <v>-16963.951900865068</v>
      </c>
      <c r="K530" s="18">
        <f>IF($A530&gt;20,0,(K497-MIN(MAX(L529,0),K497))+MIN(MAX(0,M529-(K497-MIN(MAX(L529,0),K497))),MAX(0,3*K497-(L529-MIN(MAX(L529,0),K497)))))</f>
        <v>0</v>
      </c>
      <c r="L530" s="18">
        <f>IF($A530&gt;20,L529,(L529-K497+K530)*(1+$C$7))</f>
        <v>13.533754820969556</v>
      </c>
      <c r="M530" s="18">
        <f t="shared" si="51"/>
        <v>0</v>
      </c>
      <c r="N530" s="18">
        <f>IF($A530&gt;20,0,(N497-MIN(MAX(O529,0),N497))+MIN(MAX(0,P529-(N497-MIN(MAX(O529,0),N497))),MAX(0,3*N497-(O529-MIN(MAX(O529,0),N497)))))</f>
        <v>0</v>
      </c>
      <c r="O530" s="18">
        <f>IF($A530&gt;20,O529,(O529-N497+N530)*(1+$C$7))</f>
        <v>0.31115951463235542</v>
      </c>
      <c r="P530" s="18">
        <f t="shared" si="52"/>
        <v>0</v>
      </c>
      <c r="Q530" s="18">
        <f>IF($A530&gt;20,0,(Q497-MIN(MAX(R529,0),Q497))+MIN(MAX(0,S529-(Q497-MIN(MAX(R529,0),Q497))),MAX(0,3*Q497-(R529-MIN(MAX(R529,0),Q497)))))</f>
        <v>0</v>
      </c>
      <c r="R530" s="18">
        <f>IF($A530&gt;20,R529,(R529-Q497+Q530)*(1+$C$7))</f>
        <v>0</v>
      </c>
      <c r="S530" s="18">
        <f t="shared" si="53"/>
        <v>-7.4942363426089289E-12</v>
      </c>
    </row>
    <row r="531" spans="1:19">
      <c r="A531" s="10">
        <f>32</f>
        <v>32</v>
      </c>
      <c r="B531" s="18">
        <f>IF($A531&gt;20,0,(B497-MIN(MAX(C530,0),B497))+MIN(MAX(0,D530-(B497-MIN(MAX(C530,0),B497))),MAX(0,3*B497-(C530-MIN(MAX(C530,0),B497)))))</f>
        <v>0</v>
      </c>
      <c r="C531" s="18">
        <f>IF($A531&gt;20,C530,(C530-B497+B531)*(1+$C$7))</f>
        <v>90567</v>
      </c>
      <c r="D531" s="18">
        <f t="shared" si="48"/>
        <v>827935.15417492285</v>
      </c>
      <c r="E531" s="18">
        <f>IF($A531&gt;20,0,(E497-MIN(MAX(F530,0),E497))+MIN(MAX(0,G530-(E497-MIN(MAX(F530,0),E497))),MAX(0,3*E497-(F530-MIN(MAX(F530,0),E497)))))</f>
        <v>0</v>
      </c>
      <c r="F531" s="18">
        <f>IF($A531&gt;20,F530,(F530-E497+E531)*(1+$C$7))</f>
        <v>0</v>
      </c>
      <c r="G531" s="18">
        <f t="shared" si="49"/>
        <v>-374509.97405838704</v>
      </c>
      <c r="H531" s="18">
        <f>IF($A531&gt;20,0,(H497-MIN(MAX(I530,0),H497))+MIN(MAX(0,J530-(H497-MIN(MAX(I530,0),H497))),MAX(0,3*H497-(I530-MIN(MAX(I530,0),H497)))))</f>
        <v>0</v>
      </c>
      <c r="I531" s="18">
        <f>IF($A531&gt;20,I530,(I530-H497+H531)*(1+$C$7))</f>
        <v>0</v>
      </c>
      <c r="J531" s="18">
        <f t="shared" si="50"/>
        <v>-16963.951900865068</v>
      </c>
      <c r="K531" s="18">
        <f>IF($A531&gt;20,0,(K497-MIN(MAX(L530,0),K497))+MIN(MAX(0,M530-(K497-MIN(MAX(L530,0),K497))),MAX(0,3*K497-(L530-MIN(MAX(L530,0),K497)))))</f>
        <v>0</v>
      </c>
      <c r="L531" s="18">
        <f>IF($A531&gt;20,L530,(L530-K497+K531)*(1+$C$7))</f>
        <v>13.533754820969556</v>
      </c>
      <c r="M531" s="18">
        <f t="shared" si="51"/>
        <v>0</v>
      </c>
      <c r="N531" s="18">
        <f>IF($A531&gt;20,0,(N497-MIN(MAX(O530,0),N497))+MIN(MAX(0,P530-(N497-MIN(MAX(O530,0),N497))),MAX(0,3*N497-(O530-MIN(MAX(O530,0),N497)))))</f>
        <v>0</v>
      </c>
      <c r="O531" s="18">
        <f>IF($A531&gt;20,O530,(O530-N497+N531)*(1+$C$7))</f>
        <v>0.31115951463235542</v>
      </c>
      <c r="P531" s="18">
        <f t="shared" si="52"/>
        <v>0</v>
      </c>
      <c r="Q531" s="18">
        <f>IF($A531&gt;20,0,(Q497-MIN(MAX(R530,0),Q497))+MIN(MAX(0,S530-(Q497-MIN(MAX(R530,0),Q497))),MAX(0,3*Q497-(R530-MIN(MAX(R530,0),Q497)))))</f>
        <v>0</v>
      </c>
      <c r="R531" s="18">
        <f>IF($A531&gt;20,R530,(R530-Q497+Q531)*(1+$C$7))</f>
        <v>0</v>
      </c>
      <c r="S531" s="18">
        <f t="shared" si="53"/>
        <v>-7.4942363426089289E-12</v>
      </c>
    </row>
    <row r="532" spans="1:19">
      <c r="A532" s="10">
        <f>33</f>
        <v>33</v>
      </c>
      <c r="B532" s="18">
        <f>IF($A532&gt;20,0,(B497-MIN(MAX(C531,0),B497))+MIN(MAX(0,D531-(B497-MIN(MAX(C531,0),B497))),MAX(0,3*B497-(C531-MIN(MAX(C531,0),B497)))))</f>
        <v>0</v>
      </c>
      <c r="C532" s="18">
        <f>IF($A532&gt;20,C531,(C531-B497+B532)*(1+$C$7))</f>
        <v>90567</v>
      </c>
      <c r="D532" s="18">
        <f t="shared" si="48"/>
        <v>827935.15417492285</v>
      </c>
      <c r="E532" s="18">
        <f>IF($A532&gt;20,0,(E497-MIN(MAX(F531,0),E497))+MIN(MAX(0,G531-(E497-MIN(MAX(F531,0),E497))),MAX(0,3*E497-(F531-MIN(MAX(F531,0),E497)))))</f>
        <v>0</v>
      </c>
      <c r="F532" s="18">
        <f>IF($A532&gt;20,F531,(F531-E497+E532)*(1+$C$7))</f>
        <v>0</v>
      </c>
      <c r="G532" s="18">
        <f t="shared" si="49"/>
        <v>-374509.97405838704</v>
      </c>
      <c r="H532" s="18">
        <f>IF($A532&gt;20,0,(H497-MIN(MAX(I531,0),H497))+MIN(MAX(0,J531-(H497-MIN(MAX(I531,0),H497))),MAX(0,3*H497-(I531-MIN(MAX(I531,0),H497)))))</f>
        <v>0</v>
      </c>
      <c r="I532" s="18">
        <f>IF($A532&gt;20,I531,(I531-H497+H532)*(1+$C$7))</f>
        <v>0</v>
      </c>
      <c r="J532" s="18">
        <f t="shared" si="50"/>
        <v>-16963.951900865068</v>
      </c>
      <c r="K532" s="18">
        <f>IF($A532&gt;20,0,(K497-MIN(MAX(L531,0),K497))+MIN(MAX(0,M531-(K497-MIN(MAX(L531,0),K497))),MAX(0,3*K497-(L531-MIN(MAX(L531,0),K497)))))</f>
        <v>0</v>
      </c>
      <c r="L532" s="18">
        <f>IF($A532&gt;20,L531,(L531-K497+K532)*(1+$C$7))</f>
        <v>13.533754820969556</v>
      </c>
      <c r="M532" s="18">
        <f t="shared" si="51"/>
        <v>0</v>
      </c>
      <c r="N532" s="18">
        <f>IF($A532&gt;20,0,(N497-MIN(MAX(O531,0),N497))+MIN(MAX(0,P531-(N497-MIN(MAX(O531,0),N497))),MAX(0,3*N497-(O531-MIN(MAX(O531,0),N497)))))</f>
        <v>0</v>
      </c>
      <c r="O532" s="18">
        <f>IF($A532&gt;20,O531,(O531-N497+N532)*(1+$C$7))</f>
        <v>0.31115951463235542</v>
      </c>
      <c r="P532" s="18">
        <f t="shared" si="52"/>
        <v>0</v>
      </c>
      <c r="Q532" s="18">
        <f>IF($A532&gt;20,0,(Q497-MIN(MAX(R531,0),Q497))+MIN(MAX(0,S531-(Q497-MIN(MAX(R531,0),Q497))),MAX(0,3*Q497-(R531-MIN(MAX(R531,0),Q497)))))</f>
        <v>0</v>
      </c>
      <c r="R532" s="18">
        <f>IF($A532&gt;20,R531,(R531-Q497+Q532)*(1+$C$7))</f>
        <v>0</v>
      </c>
      <c r="S532" s="18">
        <f t="shared" si="53"/>
        <v>-7.4942363426089289E-12</v>
      </c>
    </row>
    <row r="533" spans="1:19">
      <c r="A533" s="10">
        <f>34</f>
        <v>34</v>
      </c>
      <c r="B533" s="18">
        <f>IF($A533&gt;20,0,(B497-MIN(MAX(C532,0),B497))+MIN(MAX(0,D532-(B497-MIN(MAX(C532,0),B497))),MAX(0,3*B497-(C532-MIN(MAX(C532,0),B497)))))</f>
        <v>0</v>
      </c>
      <c r="C533" s="18">
        <f>IF($A533&gt;20,C532,(C532-B497+B533)*(1+$C$7))</f>
        <v>90567</v>
      </c>
      <c r="D533" s="18">
        <f t="shared" si="48"/>
        <v>827935.15417492285</v>
      </c>
      <c r="E533" s="18">
        <f>IF($A533&gt;20,0,(E497-MIN(MAX(F532,0),E497))+MIN(MAX(0,G532-(E497-MIN(MAX(F532,0),E497))),MAX(0,3*E497-(F532-MIN(MAX(F532,0),E497)))))</f>
        <v>0</v>
      </c>
      <c r="F533" s="18">
        <f>IF($A533&gt;20,F532,(F532-E497+E533)*(1+$C$7))</f>
        <v>0</v>
      </c>
      <c r="G533" s="18">
        <f t="shared" si="49"/>
        <v>-374509.97405838704</v>
      </c>
      <c r="H533" s="18">
        <f>IF($A533&gt;20,0,(H497-MIN(MAX(I532,0),H497))+MIN(MAX(0,J532-(H497-MIN(MAX(I532,0),H497))),MAX(0,3*H497-(I532-MIN(MAX(I532,0),H497)))))</f>
        <v>0</v>
      </c>
      <c r="I533" s="18">
        <f>IF($A533&gt;20,I532,(I532-H497+H533)*(1+$C$7))</f>
        <v>0</v>
      </c>
      <c r="J533" s="18">
        <f t="shared" si="50"/>
        <v>-16963.951900865068</v>
      </c>
      <c r="K533" s="18">
        <f>IF($A533&gt;20,0,(K497-MIN(MAX(L532,0),K497))+MIN(MAX(0,M532-(K497-MIN(MAX(L532,0),K497))),MAX(0,3*K497-(L532-MIN(MAX(L532,0),K497)))))</f>
        <v>0</v>
      </c>
      <c r="L533" s="18">
        <f>IF($A533&gt;20,L532,(L532-K497+K533)*(1+$C$7))</f>
        <v>13.533754820969556</v>
      </c>
      <c r="M533" s="18">
        <f t="shared" si="51"/>
        <v>0</v>
      </c>
      <c r="N533" s="18">
        <f>IF($A533&gt;20,0,(N497-MIN(MAX(O532,0),N497))+MIN(MAX(0,P532-(N497-MIN(MAX(O532,0),N497))),MAX(0,3*N497-(O532-MIN(MAX(O532,0),N497)))))</f>
        <v>0</v>
      </c>
      <c r="O533" s="18">
        <f>IF($A533&gt;20,O532,(O532-N497+N533)*(1+$C$7))</f>
        <v>0.31115951463235542</v>
      </c>
      <c r="P533" s="18">
        <f t="shared" si="52"/>
        <v>0</v>
      </c>
      <c r="Q533" s="18">
        <f>IF($A533&gt;20,0,(Q497-MIN(MAX(R532,0),Q497))+MIN(MAX(0,S532-(Q497-MIN(MAX(R532,0),Q497))),MAX(0,3*Q497-(R532-MIN(MAX(R532,0),Q497)))))</f>
        <v>0</v>
      </c>
      <c r="R533" s="18">
        <f>IF($A533&gt;20,R532,(R532-Q497+Q533)*(1+$C$7))</f>
        <v>0</v>
      </c>
      <c r="S533" s="18">
        <f t="shared" si="53"/>
        <v>-7.4942363426089289E-12</v>
      </c>
    </row>
    <row r="534" spans="1:19">
      <c r="A534" s="10">
        <f>35</f>
        <v>35</v>
      </c>
      <c r="B534" s="18">
        <f>IF($A534&gt;20,0,(B497-MIN(MAX(C533,0),B497))+MIN(MAX(0,D533-(B497-MIN(MAX(C533,0),B497))),MAX(0,3*B497-(C533-MIN(MAX(C533,0),B497)))))</f>
        <v>0</v>
      </c>
      <c r="C534" s="18">
        <f>IF($A534&gt;20,C533,(C533-B497+B534)*(1+$C$7))</f>
        <v>90567</v>
      </c>
      <c r="D534" s="18">
        <f t="shared" si="48"/>
        <v>827935.15417492285</v>
      </c>
      <c r="E534" s="18">
        <f>IF($A534&gt;20,0,(E497-MIN(MAX(F533,0),E497))+MIN(MAX(0,G533-(E497-MIN(MAX(F533,0),E497))),MAX(0,3*E497-(F533-MIN(MAX(F533,0),E497)))))</f>
        <v>0</v>
      </c>
      <c r="F534" s="18">
        <f>IF($A534&gt;20,F533,(F533-E497+E534)*(1+$C$7))</f>
        <v>0</v>
      </c>
      <c r="G534" s="18">
        <f t="shared" si="49"/>
        <v>-374509.97405838704</v>
      </c>
      <c r="H534" s="18">
        <f>IF($A534&gt;20,0,(H497-MIN(MAX(I533,0),H497))+MIN(MAX(0,J533-(H497-MIN(MAX(I533,0),H497))),MAX(0,3*H497-(I533-MIN(MAX(I533,0),H497)))))</f>
        <v>0</v>
      </c>
      <c r="I534" s="18">
        <f>IF($A534&gt;20,I533,(I533-H497+H534)*(1+$C$7))</f>
        <v>0</v>
      </c>
      <c r="J534" s="18">
        <f t="shared" si="50"/>
        <v>-16963.951900865068</v>
      </c>
      <c r="K534" s="18">
        <f>IF($A534&gt;20,0,(K497-MIN(MAX(L533,0),K497))+MIN(MAX(0,M533-(K497-MIN(MAX(L533,0),K497))),MAX(0,3*K497-(L533-MIN(MAX(L533,0),K497)))))</f>
        <v>0</v>
      </c>
      <c r="L534" s="18">
        <f>IF($A534&gt;20,L533,(L533-K497+K534)*(1+$C$7))</f>
        <v>13.533754820969556</v>
      </c>
      <c r="M534" s="18">
        <f t="shared" si="51"/>
        <v>0</v>
      </c>
      <c r="N534" s="18">
        <f>IF($A534&gt;20,0,(N497-MIN(MAX(O533,0),N497))+MIN(MAX(0,P533-(N497-MIN(MAX(O533,0),N497))),MAX(0,3*N497-(O533-MIN(MAX(O533,0),N497)))))</f>
        <v>0</v>
      </c>
      <c r="O534" s="18">
        <f>IF($A534&gt;20,O533,(O533-N497+N534)*(1+$C$7))</f>
        <v>0.31115951463235542</v>
      </c>
      <c r="P534" s="18">
        <f t="shared" si="52"/>
        <v>0</v>
      </c>
      <c r="Q534" s="18">
        <f>IF($A534&gt;20,0,(Q497-MIN(MAX(R533,0),Q497))+MIN(MAX(0,S533-(Q497-MIN(MAX(R533,0),Q497))),MAX(0,3*Q497-(R533-MIN(MAX(R533,0),Q497)))))</f>
        <v>0</v>
      </c>
      <c r="R534" s="18">
        <f>IF($A534&gt;20,R533,(R533-Q497+Q534)*(1+$C$7))</f>
        <v>0</v>
      </c>
      <c r="S534" s="18">
        <f t="shared" si="53"/>
        <v>-7.4942363426089289E-12</v>
      </c>
    </row>
    <row r="535" spans="1:19">
      <c r="A535" s="10">
        <f>36</f>
        <v>36</v>
      </c>
      <c r="B535" s="18">
        <f>IF($A535&gt;20,0,(B497-MIN(MAX(C534,0),B497))+MIN(MAX(0,D534-(B497-MIN(MAX(C534,0),B497))),MAX(0,3*B497-(C534-MIN(MAX(C534,0),B497)))))</f>
        <v>0</v>
      </c>
      <c r="C535" s="18">
        <f>IF($A535&gt;20,C534,(C534-B497+B535)*(1+$C$7))</f>
        <v>90567</v>
      </c>
      <c r="D535" s="18">
        <f t="shared" si="48"/>
        <v>827935.15417492285</v>
      </c>
      <c r="E535" s="18">
        <f>IF($A535&gt;20,0,(E497-MIN(MAX(F534,0),E497))+MIN(MAX(0,G534-(E497-MIN(MAX(F534,0),E497))),MAX(0,3*E497-(F534-MIN(MAX(F534,0),E497)))))</f>
        <v>0</v>
      </c>
      <c r="F535" s="18">
        <f>IF($A535&gt;20,F534,(F534-E497+E535)*(1+$C$7))</f>
        <v>0</v>
      </c>
      <c r="G535" s="18">
        <f t="shared" si="49"/>
        <v>-374509.97405838704</v>
      </c>
      <c r="H535" s="18">
        <f>IF($A535&gt;20,0,(H497-MIN(MAX(I534,0),H497))+MIN(MAX(0,J534-(H497-MIN(MAX(I534,0),H497))),MAX(0,3*H497-(I534-MIN(MAX(I534,0),H497)))))</f>
        <v>0</v>
      </c>
      <c r="I535" s="18">
        <f>IF($A535&gt;20,I534,(I534-H497+H535)*(1+$C$7))</f>
        <v>0</v>
      </c>
      <c r="J535" s="18">
        <f t="shared" si="50"/>
        <v>-16963.951900865068</v>
      </c>
      <c r="K535" s="18">
        <f>IF($A535&gt;20,0,(K497-MIN(MAX(L534,0),K497))+MIN(MAX(0,M534-(K497-MIN(MAX(L534,0),K497))),MAX(0,3*K497-(L534-MIN(MAX(L534,0),K497)))))</f>
        <v>0</v>
      </c>
      <c r="L535" s="18">
        <f>IF($A535&gt;20,L534,(L534-K497+K535)*(1+$C$7))</f>
        <v>13.533754820969556</v>
      </c>
      <c r="M535" s="18">
        <f t="shared" si="51"/>
        <v>0</v>
      </c>
      <c r="N535" s="18">
        <f>IF($A535&gt;20,0,(N497-MIN(MAX(O534,0),N497))+MIN(MAX(0,P534-(N497-MIN(MAX(O534,0),N497))),MAX(0,3*N497-(O534-MIN(MAX(O534,0),N497)))))</f>
        <v>0</v>
      </c>
      <c r="O535" s="18">
        <f>IF($A535&gt;20,O534,(O534-N497+N535)*(1+$C$7))</f>
        <v>0.31115951463235542</v>
      </c>
      <c r="P535" s="18">
        <f t="shared" si="52"/>
        <v>0</v>
      </c>
      <c r="Q535" s="18">
        <f>IF($A535&gt;20,0,(Q497-MIN(MAX(R534,0),Q497))+MIN(MAX(0,S534-(Q497-MIN(MAX(R534,0),Q497))),MAX(0,3*Q497-(R534-MIN(MAX(R534,0),Q497)))))</f>
        <v>0</v>
      </c>
      <c r="R535" s="18">
        <f>IF($A535&gt;20,R534,(R534-Q497+Q535)*(1+$C$7))</f>
        <v>0</v>
      </c>
      <c r="S535" s="18">
        <f t="shared" si="53"/>
        <v>-7.4942363426089289E-12</v>
      </c>
    </row>
    <row r="536" spans="1:19">
      <c r="A536" s="10">
        <f>37</f>
        <v>37</v>
      </c>
      <c r="B536" s="18">
        <f>IF($A536&gt;20,0,(B497-MIN(MAX(C535,0),B497))+MIN(MAX(0,D535-(B497-MIN(MAX(C535,0),B497))),MAX(0,3*B497-(C535-MIN(MAX(C535,0),B497)))))</f>
        <v>0</v>
      </c>
      <c r="C536" s="18">
        <f>IF($A536&gt;20,C535,(C535-B497+B536)*(1+$C$7))</f>
        <v>90567</v>
      </c>
      <c r="D536" s="18">
        <f t="shared" si="48"/>
        <v>827935.15417492285</v>
      </c>
      <c r="E536" s="18">
        <f>IF($A536&gt;20,0,(E497-MIN(MAX(F535,0),E497))+MIN(MAX(0,G535-(E497-MIN(MAX(F535,0),E497))),MAX(0,3*E497-(F535-MIN(MAX(F535,0),E497)))))</f>
        <v>0</v>
      </c>
      <c r="F536" s="18">
        <f>IF($A536&gt;20,F535,(F535-E497+E536)*(1+$C$7))</f>
        <v>0</v>
      </c>
      <c r="G536" s="18">
        <f t="shared" si="49"/>
        <v>-374509.97405838704</v>
      </c>
      <c r="H536" s="18">
        <f>IF($A536&gt;20,0,(H497-MIN(MAX(I535,0),H497))+MIN(MAX(0,J535-(H497-MIN(MAX(I535,0),H497))),MAX(0,3*H497-(I535-MIN(MAX(I535,0),H497)))))</f>
        <v>0</v>
      </c>
      <c r="I536" s="18">
        <f>IF($A536&gt;20,I535,(I535-H497+H536)*(1+$C$7))</f>
        <v>0</v>
      </c>
      <c r="J536" s="18">
        <f t="shared" si="50"/>
        <v>-16963.951900865068</v>
      </c>
      <c r="K536" s="18">
        <f>IF($A536&gt;20,0,(K497-MIN(MAX(L535,0),K497))+MIN(MAX(0,M535-(K497-MIN(MAX(L535,0),K497))),MAX(0,3*K497-(L535-MIN(MAX(L535,0),K497)))))</f>
        <v>0</v>
      </c>
      <c r="L536" s="18">
        <f>IF($A536&gt;20,L535,(L535-K497+K536)*(1+$C$7))</f>
        <v>13.533754820969556</v>
      </c>
      <c r="M536" s="18">
        <f t="shared" si="51"/>
        <v>0</v>
      </c>
      <c r="N536" s="18">
        <f>IF($A536&gt;20,0,(N497-MIN(MAX(O535,0),N497))+MIN(MAX(0,P535-(N497-MIN(MAX(O535,0),N497))),MAX(0,3*N497-(O535-MIN(MAX(O535,0),N497)))))</f>
        <v>0</v>
      </c>
      <c r="O536" s="18">
        <f>IF($A536&gt;20,O535,(O535-N497+N536)*(1+$C$7))</f>
        <v>0.31115951463235542</v>
      </c>
      <c r="P536" s="18">
        <f t="shared" si="52"/>
        <v>0</v>
      </c>
      <c r="Q536" s="18">
        <f>IF($A536&gt;20,0,(Q497-MIN(MAX(R535,0),Q497))+MIN(MAX(0,S535-(Q497-MIN(MAX(R535,0),Q497))),MAX(0,3*Q497-(R535-MIN(MAX(R535,0),Q497)))))</f>
        <v>0</v>
      </c>
      <c r="R536" s="18">
        <f>IF($A536&gt;20,R535,(R535-Q497+Q536)*(1+$C$7))</f>
        <v>0</v>
      </c>
      <c r="S536" s="18">
        <f t="shared" si="53"/>
        <v>-7.4942363426089289E-12</v>
      </c>
    </row>
    <row r="537" spans="1:19">
      <c r="A537" s="10">
        <f>38</f>
        <v>38</v>
      </c>
      <c r="B537" s="18">
        <f>IF($A537&gt;20,0,(B497-MIN(MAX(C536,0),B497))+MIN(MAX(0,D536-(B497-MIN(MAX(C536,0),B497))),MAX(0,3*B497-(C536-MIN(MAX(C536,0),B497)))))</f>
        <v>0</v>
      </c>
      <c r="C537" s="18">
        <f>IF($A537&gt;20,C536,(C536-B497+B537)*(1+$C$7))</f>
        <v>90567</v>
      </c>
      <c r="D537" s="18">
        <f t="shared" si="48"/>
        <v>827935.15417492285</v>
      </c>
      <c r="E537" s="18">
        <f>IF($A537&gt;20,0,(E497-MIN(MAX(F536,0),E497))+MIN(MAX(0,G536-(E497-MIN(MAX(F536,0),E497))),MAX(0,3*E497-(F536-MIN(MAX(F536,0),E497)))))</f>
        <v>0</v>
      </c>
      <c r="F537" s="18">
        <f>IF($A537&gt;20,F536,(F536-E497+E537)*(1+$C$7))</f>
        <v>0</v>
      </c>
      <c r="G537" s="18">
        <f t="shared" si="49"/>
        <v>-374509.97405838704</v>
      </c>
      <c r="H537" s="18">
        <f>IF($A537&gt;20,0,(H497-MIN(MAX(I536,0),H497))+MIN(MAX(0,J536-(H497-MIN(MAX(I536,0),H497))),MAX(0,3*H497-(I536-MIN(MAX(I536,0),H497)))))</f>
        <v>0</v>
      </c>
      <c r="I537" s="18">
        <f>IF($A537&gt;20,I536,(I536-H497+H537)*(1+$C$7))</f>
        <v>0</v>
      </c>
      <c r="J537" s="18">
        <f t="shared" si="50"/>
        <v>-16963.951900865068</v>
      </c>
      <c r="K537" s="18">
        <f>IF($A537&gt;20,0,(K497-MIN(MAX(L536,0),K497))+MIN(MAX(0,M536-(K497-MIN(MAX(L536,0),K497))),MAX(0,3*K497-(L536-MIN(MAX(L536,0),K497)))))</f>
        <v>0</v>
      </c>
      <c r="L537" s="18">
        <f>IF($A537&gt;20,L536,(L536-K497+K537)*(1+$C$7))</f>
        <v>13.533754820969556</v>
      </c>
      <c r="M537" s="18">
        <f t="shared" si="51"/>
        <v>0</v>
      </c>
      <c r="N537" s="18">
        <f>IF($A537&gt;20,0,(N497-MIN(MAX(O536,0),N497))+MIN(MAX(0,P536-(N497-MIN(MAX(O536,0),N497))),MAX(0,3*N497-(O536-MIN(MAX(O536,0),N497)))))</f>
        <v>0</v>
      </c>
      <c r="O537" s="18">
        <f>IF($A537&gt;20,O536,(O536-N497+N537)*(1+$C$7))</f>
        <v>0.31115951463235542</v>
      </c>
      <c r="P537" s="18">
        <f t="shared" si="52"/>
        <v>0</v>
      </c>
      <c r="Q537" s="18">
        <f>IF($A537&gt;20,0,(Q497-MIN(MAX(R536,0),Q497))+MIN(MAX(0,S536-(Q497-MIN(MAX(R536,0),Q497))),MAX(0,3*Q497-(R536-MIN(MAX(R536,0),Q497)))))</f>
        <v>0</v>
      </c>
      <c r="R537" s="18">
        <f>IF($A537&gt;20,R536,(R536-Q497+Q537)*(1+$C$7))</f>
        <v>0</v>
      </c>
      <c r="S537" s="18">
        <f t="shared" si="53"/>
        <v>-7.4942363426089289E-12</v>
      </c>
    </row>
    <row r="538" spans="1:19">
      <c r="A538" s="10">
        <f>39</f>
        <v>39</v>
      </c>
      <c r="B538" s="18">
        <f>IF($A538&gt;20,0,(B497-MIN(MAX(C537,0),B497))+MIN(MAX(0,D537-(B497-MIN(MAX(C537,0),B497))),MAX(0,3*B497-(C537-MIN(MAX(C537,0),B497)))))</f>
        <v>0</v>
      </c>
      <c r="C538" s="18">
        <f>IF($A538&gt;20,C537,(C537-B497+B538)*(1+$C$7))</f>
        <v>90567</v>
      </c>
      <c r="D538" s="18">
        <f t="shared" si="48"/>
        <v>827935.15417492285</v>
      </c>
      <c r="E538" s="18">
        <f>IF($A538&gt;20,0,(E497-MIN(MAX(F537,0),E497))+MIN(MAX(0,G537-(E497-MIN(MAX(F537,0),E497))),MAX(0,3*E497-(F537-MIN(MAX(F537,0),E497)))))</f>
        <v>0</v>
      </c>
      <c r="F538" s="18">
        <f>IF($A538&gt;20,F537,(F537-E497+E538)*(1+$C$7))</f>
        <v>0</v>
      </c>
      <c r="G538" s="18">
        <f t="shared" si="49"/>
        <v>-374509.97405838704</v>
      </c>
      <c r="H538" s="18">
        <f>IF($A538&gt;20,0,(H497-MIN(MAX(I537,0),H497))+MIN(MAX(0,J537-(H497-MIN(MAX(I537,0),H497))),MAX(0,3*H497-(I537-MIN(MAX(I537,0),H497)))))</f>
        <v>0</v>
      </c>
      <c r="I538" s="18">
        <f>IF($A538&gt;20,I537,(I537-H497+H538)*(1+$C$7))</f>
        <v>0</v>
      </c>
      <c r="J538" s="18">
        <f t="shared" si="50"/>
        <v>-16963.951900865068</v>
      </c>
      <c r="K538" s="18">
        <f>IF($A538&gt;20,0,(K497-MIN(MAX(L537,0),K497))+MIN(MAX(0,M537-(K497-MIN(MAX(L537,0),K497))),MAX(0,3*K497-(L537-MIN(MAX(L537,0),K497)))))</f>
        <v>0</v>
      </c>
      <c r="L538" s="18">
        <f>IF($A538&gt;20,L537,(L537-K497+K538)*(1+$C$7))</f>
        <v>13.533754820969556</v>
      </c>
      <c r="M538" s="18">
        <f t="shared" si="51"/>
        <v>0</v>
      </c>
      <c r="N538" s="18">
        <f>IF($A538&gt;20,0,(N497-MIN(MAX(O537,0),N497))+MIN(MAX(0,P537-(N497-MIN(MAX(O537,0),N497))),MAX(0,3*N497-(O537-MIN(MAX(O537,0),N497)))))</f>
        <v>0</v>
      </c>
      <c r="O538" s="18">
        <f>IF($A538&gt;20,O537,(O537-N497+N538)*(1+$C$7))</f>
        <v>0.31115951463235542</v>
      </c>
      <c r="P538" s="18">
        <f t="shared" si="52"/>
        <v>0</v>
      </c>
      <c r="Q538" s="18">
        <f>IF($A538&gt;20,0,(Q497-MIN(MAX(R537,0),Q497))+MIN(MAX(0,S537-(Q497-MIN(MAX(R537,0),Q497))),MAX(0,3*Q497-(R537-MIN(MAX(R537,0),Q497)))))</f>
        <v>0</v>
      </c>
      <c r="R538" s="18">
        <f>IF($A538&gt;20,R537,(R537-Q497+Q538)*(1+$C$7))</f>
        <v>0</v>
      </c>
      <c r="S538" s="18">
        <f t="shared" si="53"/>
        <v>-7.4942363426089289E-12</v>
      </c>
    </row>
    <row r="539" spans="1:19">
      <c r="A539" s="10">
        <f>40</f>
        <v>40</v>
      </c>
      <c r="B539" s="18">
        <f>IF($A539&gt;20,0,(B497-MIN(MAX(C538,0),B497))+MIN(MAX(0,D538-(B497-MIN(MAX(C538,0),B497))),MAX(0,3*B497-(C538-MIN(MAX(C538,0),B497)))))</f>
        <v>0</v>
      </c>
      <c r="C539" s="18">
        <f>IF($A539&gt;20,C538,(C538-B497+B539)*(1+$C$7))</f>
        <v>90567</v>
      </c>
      <c r="D539" s="18">
        <f t="shared" si="48"/>
        <v>827935.15417492285</v>
      </c>
      <c r="E539" s="18">
        <f>IF($A539&gt;20,0,(E497-MIN(MAX(F538,0),E497))+MIN(MAX(0,G538-(E497-MIN(MAX(F538,0),E497))),MAX(0,3*E497-(F538-MIN(MAX(F538,0),E497)))))</f>
        <v>0</v>
      </c>
      <c r="F539" s="18">
        <f>IF($A539&gt;20,F538,(F538-E497+E539)*(1+$C$7))</f>
        <v>0</v>
      </c>
      <c r="G539" s="18">
        <f t="shared" si="49"/>
        <v>-374509.97405838704</v>
      </c>
      <c r="H539" s="18">
        <f>IF($A539&gt;20,0,(H497-MIN(MAX(I538,0),H497))+MIN(MAX(0,J538-(H497-MIN(MAX(I538,0),H497))),MAX(0,3*H497-(I538-MIN(MAX(I538,0),H497)))))</f>
        <v>0</v>
      </c>
      <c r="I539" s="18">
        <f>IF($A539&gt;20,I538,(I538-H497+H539)*(1+$C$7))</f>
        <v>0</v>
      </c>
      <c r="J539" s="18">
        <f t="shared" si="50"/>
        <v>-16963.951900865068</v>
      </c>
      <c r="K539" s="18">
        <f>IF($A539&gt;20,0,(K497-MIN(MAX(L538,0),K497))+MIN(MAX(0,M538-(K497-MIN(MAX(L538,0),K497))),MAX(0,3*K497-(L538-MIN(MAX(L538,0),K497)))))</f>
        <v>0</v>
      </c>
      <c r="L539" s="18">
        <f>IF($A539&gt;20,L538,(L538-K497+K539)*(1+$C$7))</f>
        <v>13.533754820969556</v>
      </c>
      <c r="M539" s="18">
        <f t="shared" si="51"/>
        <v>0</v>
      </c>
      <c r="N539" s="18">
        <f>IF($A539&gt;20,0,(N497-MIN(MAX(O538,0),N497))+MIN(MAX(0,P538-(N497-MIN(MAX(O538,0),N497))),MAX(0,3*N497-(O538-MIN(MAX(O538,0),N497)))))</f>
        <v>0</v>
      </c>
      <c r="O539" s="18">
        <f>IF($A539&gt;20,O538,(O538-N497+N539)*(1+$C$7))</f>
        <v>0.31115951463235542</v>
      </c>
      <c r="P539" s="18">
        <f t="shared" si="52"/>
        <v>0</v>
      </c>
      <c r="Q539" s="18">
        <f>IF($A539&gt;20,0,(Q497-MIN(MAX(R538,0),Q497))+MIN(MAX(0,S538-(Q497-MIN(MAX(R538,0),Q497))),MAX(0,3*Q497-(R538-MIN(MAX(R538,0),Q497)))))</f>
        <v>0</v>
      </c>
      <c r="R539" s="18">
        <f>IF($A539&gt;20,R538,(R538-Q497+Q539)*(1+$C$7))</f>
        <v>0</v>
      </c>
      <c r="S539" s="18">
        <f t="shared" si="53"/>
        <v>-7.4942363426089289E-12</v>
      </c>
    </row>
    <row r="540" spans="1:19">
      <c r="B540" s="18">
        <f>C539+D539</f>
        <v>918502.15417492285</v>
      </c>
      <c r="E540" s="18">
        <f>F539+G539</f>
        <v>-374509.97405838704</v>
      </c>
      <c r="H540" s="18">
        <f>I539+J539</f>
        <v>-16963.951900865068</v>
      </c>
      <c r="K540" s="18">
        <f>L539+M539</f>
        <v>13.533754820969556</v>
      </c>
      <c r="N540" s="18">
        <f>O539+P539</f>
        <v>0.31115951463235542</v>
      </c>
      <c r="Q540" s="18">
        <f>R539+S539</f>
        <v>-7.4942363426089289E-12</v>
      </c>
    </row>
    <row r="541" spans="1:19">
      <c r="A541" s="5" t="s">
        <v>266</v>
      </c>
      <c r="B541" s="18">
        <f>IFERROR(Q497-Q540*(Q497-N497)/(Q540-N540),Q497)</f>
        <v>61348.23856252055</v>
      </c>
    </row>
    <row r="543" spans="1:19">
      <c r="A543" s="2" t="s">
        <v>275</v>
      </c>
    </row>
    <row r="544" spans="1:19">
      <c r="B544" s="9">
        <f>0.03*$B$5</f>
        <v>30000</v>
      </c>
      <c r="E544" s="9">
        <f>0.075*$B$5</f>
        <v>75000</v>
      </c>
      <c r="H544" s="18">
        <f>IFERROR(E544-E587*(E544-B544)/(E587-B587),E544)</f>
        <v>60312.218837262328</v>
      </c>
      <c r="K544" s="18">
        <f>IFERROR(H544-H587*(H544-E544)/(H587-E587),H544)</f>
        <v>59243.841716542091</v>
      </c>
      <c r="N544" s="18">
        <f>IFERROR(K544-K587*(K544-H544)/(K587-H587),K544)</f>
        <v>59246.28816983656</v>
      </c>
      <c r="Q544" s="18">
        <f>IFERROR(N544-N587*(N544-K544)/(N587-K587),N544)</f>
        <v>59246.345652748423</v>
      </c>
    </row>
    <row r="545" spans="1:19">
      <c r="A545" s="25" t="s">
        <v>262</v>
      </c>
      <c r="B545" s="25" t="s">
        <v>263</v>
      </c>
      <c r="C545" s="25" t="s">
        <v>264</v>
      </c>
      <c r="D545" s="25" t="s">
        <v>265</v>
      </c>
      <c r="E545" s="25" t="s">
        <v>263</v>
      </c>
      <c r="F545" s="25" t="s">
        <v>264</v>
      </c>
      <c r="G545" s="25" t="s">
        <v>265</v>
      </c>
      <c r="H545" s="25" t="s">
        <v>263</v>
      </c>
      <c r="I545" s="25" t="s">
        <v>264</v>
      </c>
      <c r="J545" s="25" t="s">
        <v>265</v>
      </c>
      <c r="K545" s="25" t="s">
        <v>263</v>
      </c>
      <c r="L545" s="25" t="s">
        <v>264</v>
      </c>
      <c r="M545" s="25" t="s">
        <v>265</v>
      </c>
      <c r="N545" s="25" t="s">
        <v>263</v>
      </c>
      <c r="O545" s="25" t="s">
        <v>264</v>
      </c>
      <c r="P545" s="25" t="s">
        <v>265</v>
      </c>
      <c r="Q545" s="25" t="s">
        <v>263</v>
      </c>
      <c r="R545" s="25" t="s">
        <v>264</v>
      </c>
      <c r="S545" s="25" t="s">
        <v>265</v>
      </c>
    </row>
    <row r="546" spans="1:19">
      <c r="A546" s="3">
        <v>0</v>
      </c>
      <c r="C546" s="18">
        <f>MIN(5*B544,$B$5)</f>
        <v>150000</v>
      </c>
      <c r="D546" s="18">
        <f>$B$5-C546</f>
        <v>850000</v>
      </c>
      <c r="F546" s="18">
        <f>MIN(5*E544,$B$5)</f>
        <v>375000</v>
      </c>
      <c r="G546" s="18">
        <f>$B$5-F546</f>
        <v>625000</v>
      </c>
      <c r="I546" s="18">
        <f>MIN(5*H544,$B$5)</f>
        <v>301561.09418631165</v>
      </c>
      <c r="J546" s="18">
        <f>$B$5-I546</f>
        <v>698438.90581368841</v>
      </c>
      <c r="L546" s="18">
        <f>MIN(5*K544,$B$5)</f>
        <v>296219.20858271047</v>
      </c>
      <c r="M546" s="18">
        <f>$B$5-L546</f>
        <v>703780.79141728953</v>
      </c>
      <c r="O546" s="18">
        <f>MIN(5*N544,$B$5)</f>
        <v>296231.44084918278</v>
      </c>
      <c r="P546" s="18">
        <f>$B$5-O546</f>
        <v>703768.55915081722</v>
      </c>
      <c r="R546" s="18">
        <f>MIN(5*Q544,$B$5)</f>
        <v>296231.72826374212</v>
      </c>
      <c r="S546" s="18">
        <f>$B$5-R546</f>
        <v>703768.27173625794</v>
      </c>
    </row>
    <row r="547" spans="1:19">
      <c r="A547" s="10">
        <f>1</f>
        <v>1</v>
      </c>
      <c r="B547" s="18">
        <f>IF($A547&gt;20,0,(B544-MIN(MAX(C546,0),B544))+MIN(MAX(0,D546-(B544-MIN(MAX(C546,0),B544))),MAX(0,5*B544-(C546-MIN(MAX(C546,0),B544)))))</f>
        <v>30000</v>
      </c>
      <c r="C547" s="18">
        <f>IF($A547&gt;20,C546,(C546-B544+B547)*(1+$C$7))</f>
        <v>150945</v>
      </c>
      <c r="D547" s="18">
        <f t="shared" ref="D547:D586" si="54">IF($A547&gt;20,D546,(D546-B547)*(1+$B$6))</f>
        <v>844600</v>
      </c>
      <c r="E547" s="18">
        <f>IF($A547&gt;20,0,(E544-MIN(MAX(F546,0),E544))+MIN(MAX(0,G546-(E544-MIN(MAX(F546,0),E544))),MAX(0,5*E544-(F546-MIN(MAX(F546,0),E544)))))</f>
        <v>75000</v>
      </c>
      <c r="F547" s="18">
        <f>IF($A547&gt;20,F546,(F546-E544+E547)*(1+$C$7))</f>
        <v>377362.5</v>
      </c>
      <c r="G547" s="18">
        <f t="shared" ref="G547:G586" si="55">IF($A547&gt;20,G546,(G546-E547)*(1+$B$6))</f>
        <v>566500</v>
      </c>
      <c r="H547" s="18">
        <f>IF($A547&gt;20,0,(H544-MIN(MAX(I546,0),H544))+MIN(MAX(0,J546-(H544-MIN(MAX(I546,0),H544))),MAX(0,5*H544-(I546-MIN(MAX(I546,0),H544)))))</f>
        <v>60312.218837262335</v>
      </c>
      <c r="I547" s="18">
        <f>IF($A547&gt;20,I546,(I546-H544+H547)*(1+$C$7))</f>
        <v>303460.92907968542</v>
      </c>
      <c r="J547" s="18">
        <f t="shared" ref="J547:J586" si="56">IF($A547&gt;20,J546,(J546-H547)*(1+$B$6))</f>
        <v>657270.48758571886</v>
      </c>
      <c r="K547" s="18">
        <f>IF($A547&gt;20,0,(K544-MIN(MAX(L546,0),K544))+MIN(MAX(0,M546-(K544-MIN(MAX(L546,0),K544))),MAX(0,5*K544-(L546-MIN(MAX(L546,0),K544)))))</f>
        <v>59243.841716542083</v>
      </c>
      <c r="L547" s="18">
        <f>IF($A547&gt;20,L546,(L546-K544+K547)*(1+$C$7))</f>
        <v>298085.38959678152</v>
      </c>
      <c r="M547" s="18">
        <f t="shared" ref="M547:M586" si="57">IF($A547&gt;20,M546,(M546-K547)*(1+$B$6))</f>
        <v>663873.05819176987</v>
      </c>
      <c r="N547" s="18">
        <f>IF($A547&gt;20,0,(N544-MIN(MAX(O546,0),N544))+MIN(MAX(0,P546-(N544-MIN(MAX(O546,0),N544))),MAX(0,5*N544-(O546-MIN(MAX(O546,0),N544)))))</f>
        <v>59246.288169836567</v>
      </c>
      <c r="O547" s="18">
        <f>IF($A547&gt;20,O546,(O546-N544+N547)*(1+$C$7))</f>
        <v>298097.69892653264</v>
      </c>
      <c r="P547" s="18">
        <f t="shared" ref="P547:P586" si="58">IF($A547&gt;20,P546,(P546-N547)*(1+$B$6))</f>
        <v>663857.93911041017</v>
      </c>
      <c r="Q547" s="18">
        <f>IF($A547&gt;20,0,(Q544-MIN(MAX(R546,0),Q544))+MIN(MAX(0,S546-(Q544-MIN(MAX(R546,0),Q544))),MAX(0,5*Q544-(R546-MIN(MAX(R546,0),Q544)))))</f>
        <v>59246.345652748423</v>
      </c>
      <c r="R547" s="18">
        <f>IF($A547&gt;20,R546,(R546-Q544+Q547)*(1+$C$7))</f>
        <v>298097.98815180367</v>
      </c>
      <c r="S547" s="18">
        <f t="shared" ref="S547:S586" si="59">IF($A547&gt;20,S546,(S546-Q547)*(1+$B$6))</f>
        <v>663857.58386601484</v>
      </c>
    </row>
    <row r="548" spans="1:19">
      <c r="A548" s="10">
        <f>2</f>
        <v>2</v>
      </c>
      <c r="B548" s="18">
        <f>IF($A548&gt;20,0,(B544-MIN(MAX(C547,0),B544))+MIN(MAX(0,D547-(B544-MIN(MAX(C547,0),B544))),MAX(0,5*B544-(C547-MIN(MAX(C547,0),B544)))))</f>
        <v>29055</v>
      </c>
      <c r="C548" s="18">
        <f>IF($A548&gt;20,C547,(C547-B544+B548)*(1+$C$7))</f>
        <v>150945</v>
      </c>
      <c r="D548" s="18">
        <f t="shared" si="54"/>
        <v>840011.35</v>
      </c>
      <c r="E548" s="18">
        <f>IF($A548&gt;20,0,(E544-MIN(MAX(F547,0),E544))+MIN(MAX(0,G547-(E544-MIN(MAX(F547,0),E544))),MAX(0,5*E544-(F547-MIN(MAX(F547,0),E544)))))</f>
        <v>72637.5</v>
      </c>
      <c r="F548" s="18">
        <f>IF($A548&gt;20,F547,(F547-E544+E548)*(1+$C$7))</f>
        <v>377362.5</v>
      </c>
      <c r="G548" s="18">
        <f t="shared" si="55"/>
        <v>508678.375</v>
      </c>
      <c r="H548" s="18">
        <f>IF($A548&gt;20,0,(H544-MIN(MAX(I547,0),H544))+MIN(MAX(0,J547-(H544-MIN(MAX(I547,0),H544))),MAX(0,5*H544-(I547-MIN(MAX(I547,0),H544)))))</f>
        <v>58412.383943888562</v>
      </c>
      <c r="I548" s="18">
        <f>IF($A548&gt;20,I547,(I547-H544+H548)*(1+$C$7))</f>
        <v>303460.92907968542</v>
      </c>
      <c r="J548" s="18">
        <f t="shared" si="56"/>
        <v>616823.84675108525</v>
      </c>
      <c r="K548" s="18">
        <f>IF($A548&gt;20,0,(K544-MIN(MAX(L547,0),K544))+MIN(MAX(0,M547-(K544-MIN(MAX(L547,0),K544))),MAX(0,5*K544-(L547-MIN(MAX(L547,0),K544)))))</f>
        <v>57377.660702471039</v>
      </c>
      <c r="L548" s="18">
        <f>IF($A548&gt;20,L547,(L547-K544+K548)*(1+$C$7))</f>
        <v>298085.38959678152</v>
      </c>
      <c r="M548" s="18">
        <f t="shared" si="57"/>
        <v>624690.25941397785</v>
      </c>
      <c r="N548" s="18">
        <f>IF($A548&gt;20,0,(N544-MIN(MAX(O547,0),N544))+MIN(MAX(0,P547-(N544-MIN(MAX(O547,0),N544))),MAX(0,5*N544-(O547-MIN(MAX(O547,0),N544)))))</f>
        <v>57380.030092486704</v>
      </c>
      <c r="O548" s="18">
        <f>IF($A548&gt;20,O547,(O547-N544+N548)*(1+$C$7))</f>
        <v>298097.69892653264</v>
      </c>
      <c r="P548" s="18">
        <f t="shared" si="58"/>
        <v>624672.24628846126</v>
      </c>
      <c r="Q548" s="18">
        <f>IF($A548&gt;20,0,(Q544-MIN(MAX(R547,0),Q544))+MIN(MAX(0,S547-(Q544-MIN(MAX(R547,0),Q544))),MAX(0,5*Q544-(R547-MIN(MAX(R547,0),Q544)))))</f>
        <v>57380.085764686868</v>
      </c>
      <c r="R548" s="18">
        <f>IF($A548&gt;20,R547,(R547-Q544+Q548)*(1+$C$7))</f>
        <v>298097.98815180367</v>
      </c>
      <c r="S548" s="18">
        <f t="shared" si="59"/>
        <v>624671.82304436783</v>
      </c>
    </row>
    <row r="549" spans="1:19">
      <c r="A549" s="10">
        <f>3</f>
        <v>3</v>
      </c>
      <c r="B549" s="18">
        <f>IF($A549&gt;20,0,(B544-MIN(MAX(C548,0),B544))+MIN(MAX(0,D548-(B544-MIN(MAX(C548,0),B544))),MAX(0,5*B544-(C548-MIN(MAX(C548,0),B544)))))</f>
        <v>29055</v>
      </c>
      <c r="C549" s="18">
        <f>IF($A549&gt;20,C548,(C548-B544+B549)*(1+$C$7))</f>
        <v>150945</v>
      </c>
      <c r="D549" s="18">
        <f t="shared" si="54"/>
        <v>835285.0405</v>
      </c>
      <c r="E549" s="18">
        <f>IF($A549&gt;20,0,(E544-MIN(MAX(F548,0),E544))+MIN(MAX(0,G548-(E544-MIN(MAX(F548,0),E544))),MAX(0,5*E544-(F548-MIN(MAX(F548,0),E544)))))</f>
        <v>72637.5</v>
      </c>
      <c r="F549" s="18">
        <f>IF($A549&gt;20,F548,(F548-E544+E549)*(1+$C$7))</f>
        <v>377362.5</v>
      </c>
      <c r="G549" s="18">
        <f t="shared" si="55"/>
        <v>449122.10125000001</v>
      </c>
      <c r="H549" s="18">
        <f>IF($A549&gt;20,0,(H544-MIN(MAX(I548,0),H544))+MIN(MAX(0,J548-(H544-MIN(MAX(I548,0),H544))),MAX(0,5*H544-(I548-MIN(MAX(I548,0),H544)))))</f>
        <v>58412.383943888562</v>
      </c>
      <c r="I549" s="18">
        <f>IF($A549&gt;20,I548,(I548-H544+H549)*(1+$C$7))</f>
        <v>303460.92907968542</v>
      </c>
      <c r="J549" s="18">
        <f t="shared" si="56"/>
        <v>575163.80669141258</v>
      </c>
      <c r="K549" s="18">
        <f>IF($A549&gt;20,0,(K544-MIN(MAX(L548,0),K544))+MIN(MAX(0,M548-(K544-MIN(MAX(L548,0),K544))),MAX(0,5*K544-(L548-MIN(MAX(L548,0),K544)))))</f>
        <v>57377.660702471039</v>
      </c>
      <c r="L549" s="18">
        <f>IF($A549&gt;20,L548,(L548-K544+K549)*(1+$C$7))</f>
        <v>298085.38959678152</v>
      </c>
      <c r="M549" s="18">
        <f t="shared" si="57"/>
        <v>584331.97667285206</v>
      </c>
      <c r="N549" s="18">
        <f>IF($A549&gt;20,0,(N544-MIN(MAX(O548,0),N544))+MIN(MAX(0,P548-(N544-MIN(MAX(O548,0),N544))),MAX(0,5*N544-(O548-MIN(MAX(O548,0),N544)))))</f>
        <v>57380.030092486704</v>
      </c>
      <c r="O549" s="18">
        <f>IF($A549&gt;20,O548,(O548-N544+N549)*(1+$C$7))</f>
        <v>298097.69892653264</v>
      </c>
      <c r="P549" s="18">
        <f t="shared" si="58"/>
        <v>584310.9826818537</v>
      </c>
      <c r="Q549" s="18">
        <f>IF($A549&gt;20,0,(Q544-MIN(MAX(R548,0),Q544))+MIN(MAX(0,S548-(Q544-MIN(MAX(R548,0),Q544))),MAX(0,5*Q544-(R548-MIN(MAX(R548,0),Q544)))))</f>
        <v>57380.085764686868</v>
      </c>
      <c r="R549" s="18">
        <f>IF($A549&gt;20,R548,(R548-Q544+Q549)*(1+$C$7))</f>
        <v>298097.98815180367</v>
      </c>
      <c r="S549" s="18">
        <f t="shared" si="59"/>
        <v>584310.48939807143</v>
      </c>
    </row>
    <row r="550" spans="1:19">
      <c r="A550" s="10">
        <f>4</f>
        <v>4</v>
      </c>
      <c r="B550" s="18">
        <f>IF($A550&gt;20,0,(B544-MIN(MAX(C549,0),B544))+MIN(MAX(0,D549-(B544-MIN(MAX(C549,0),B544))),MAX(0,5*B544-(C549-MIN(MAX(C549,0),B544)))))</f>
        <v>29055</v>
      </c>
      <c r="C550" s="18">
        <f>IF($A550&gt;20,C549,(C549-B544+B550)*(1+$C$7))</f>
        <v>150945</v>
      </c>
      <c r="D550" s="18">
        <f t="shared" si="54"/>
        <v>830416.94171500008</v>
      </c>
      <c r="E550" s="18">
        <f>IF($A550&gt;20,0,(E544-MIN(MAX(F549,0),E544))+MIN(MAX(0,G549-(E544-MIN(MAX(F549,0),E544))),MAX(0,5*E544-(F549-MIN(MAX(F549,0),E544)))))</f>
        <v>72637.5</v>
      </c>
      <c r="F550" s="18">
        <f>IF($A550&gt;20,F549,(F549-E544+E550)*(1+$C$7))</f>
        <v>377362.5</v>
      </c>
      <c r="G550" s="18">
        <f t="shared" si="55"/>
        <v>387779.1392875</v>
      </c>
      <c r="H550" s="18">
        <f>IF($A550&gt;20,0,(H544-MIN(MAX(I549,0),H544))+MIN(MAX(0,J549-(H544-MIN(MAX(I549,0),H544))),MAX(0,5*H544-(I549-MIN(MAX(I549,0),H544)))))</f>
        <v>58412.383943888562</v>
      </c>
      <c r="I550" s="18">
        <f>IF($A550&gt;20,I549,(I549-H544+H550)*(1+$C$7))</f>
        <v>303460.92907968542</v>
      </c>
      <c r="J550" s="18">
        <f t="shared" si="56"/>
        <v>532253.96542994969</v>
      </c>
      <c r="K550" s="18">
        <f>IF($A550&gt;20,0,(K544-MIN(MAX(L549,0),K544))+MIN(MAX(0,M549-(K544-MIN(MAX(L549,0),K544))),MAX(0,5*K544-(L549-MIN(MAX(L549,0),K544)))))</f>
        <v>57377.660702471039</v>
      </c>
      <c r="L550" s="18">
        <f>IF($A550&gt;20,L549,(L549-K544+K550)*(1+$C$7))</f>
        <v>298085.38959678152</v>
      </c>
      <c r="M550" s="18">
        <f t="shared" si="57"/>
        <v>542762.94544949243</v>
      </c>
      <c r="N550" s="18">
        <f>IF($A550&gt;20,0,(N544-MIN(MAX(O549,0),N544))+MIN(MAX(0,P549-(N544-MIN(MAX(O549,0),N544))),MAX(0,5*N544-(O549-MIN(MAX(O549,0),N544)))))</f>
        <v>57380.030092486704</v>
      </c>
      <c r="O550" s="18">
        <f>IF($A550&gt;20,O549,(O549-N544+N550)*(1+$C$7))</f>
        <v>298097.69892653264</v>
      </c>
      <c r="P550" s="18">
        <f t="shared" si="58"/>
        <v>542738.88116704812</v>
      </c>
      <c r="Q550" s="18">
        <f>IF($A550&gt;20,0,(Q544-MIN(MAX(R549,0),Q544))+MIN(MAX(0,S549-(Q544-MIN(MAX(R549,0),Q544))),MAX(0,5*Q544-(R549-MIN(MAX(R549,0),Q544)))))</f>
        <v>57380.085764686868</v>
      </c>
      <c r="R550" s="18">
        <f>IF($A550&gt;20,R549,(R549-Q544+Q550)*(1+$C$7))</f>
        <v>298097.98815180367</v>
      </c>
      <c r="S550" s="18">
        <f t="shared" si="59"/>
        <v>542738.31574238604</v>
      </c>
    </row>
    <row r="551" spans="1:19">
      <c r="A551" s="10">
        <f>5</f>
        <v>5</v>
      </c>
      <c r="B551" s="18">
        <f>IF($A551&gt;20,0,(B544-MIN(MAX(C550,0),B544))+MIN(MAX(0,D550-(B544-MIN(MAX(C550,0),B544))),MAX(0,5*B544-(C550-MIN(MAX(C550,0),B544)))))</f>
        <v>29055</v>
      </c>
      <c r="C551" s="18">
        <f>IF($A551&gt;20,C550,(C550-B544+B551)*(1+$C$7))</f>
        <v>150945</v>
      </c>
      <c r="D551" s="18">
        <f t="shared" si="54"/>
        <v>825402.79996645008</v>
      </c>
      <c r="E551" s="18">
        <f>IF($A551&gt;20,0,(E544-MIN(MAX(F550,0),E544))+MIN(MAX(0,G550-(E544-MIN(MAX(F550,0),E544))),MAX(0,5*E544-(F550-MIN(MAX(F550,0),E544)))))</f>
        <v>72637.5</v>
      </c>
      <c r="F551" s="18">
        <f>IF($A551&gt;20,F550,(F550-E544+E551)*(1+$C$7))</f>
        <v>377362.5</v>
      </c>
      <c r="G551" s="18">
        <f t="shared" si="55"/>
        <v>324595.888466125</v>
      </c>
      <c r="H551" s="18">
        <f>IF($A551&gt;20,0,(H544-MIN(MAX(I550,0),H544))+MIN(MAX(0,J550-(H544-MIN(MAX(I550,0),H544))),MAX(0,5*H544-(I550-MIN(MAX(I550,0),H544)))))</f>
        <v>58412.383943888562</v>
      </c>
      <c r="I551" s="18">
        <f>IF($A551&gt;20,I550,(I550-H544+H551)*(1+$C$7))</f>
        <v>303460.92907968542</v>
      </c>
      <c r="J551" s="18">
        <f t="shared" si="56"/>
        <v>488056.82893064292</v>
      </c>
      <c r="K551" s="18">
        <f>IF($A551&gt;20,0,(K544-MIN(MAX(L550,0),K544))+MIN(MAX(0,M550-(K544-MIN(MAX(L550,0),K544))),MAX(0,5*K544-(L550-MIN(MAX(L550,0),K544)))))</f>
        <v>57377.660702471039</v>
      </c>
      <c r="L551" s="18">
        <f>IF($A551&gt;20,L550,(L550-K544+K551)*(1+$C$7))</f>
        <v>298085.38959678152</v>
      </c>
      <c r="M551" s="18">
        <f t="shared" si="57"/>
        <v>499946.84328943206</v>
      </c>
      <c r="N551" s="18">
        <f>IF($A551&gt;20,0,(N544-MIN(MAX(O550,0),N544))+MIN(MAX(0,P550-(N544-MIN(MAX(O550,0),N544))),MAX(0,5*N544-(O550-MIN(MAX(O550,0),N544)))))</f>
        <v>57380.030092486704</v>
      </c>
      <c r="O551" s="18">
        <f>IF($A551&gt;20,O550,(O550-N544+N551)*(1+$C$7))</f>
        <v>298097.69892653264</v>
      </c>
      <c r="P551" s="18">
        <f t="shared" si="58"/>
        <v>499919.61660679826</v>
      </c>
      <c r="Q551" s="18">
        <f>IF($A551&gt;20,0,(Q544-MIN(MAX(R550,0),Q544))+MIN(MAX(0,S550-(Q544-MIN(MAX(R550,0),Q544))),MAX(0,5*Q544-(R550-MIN(MAX(R550,0),Q544)))))</f>
        <v>57380.085764686868</v>
      </c>
      <c r="R551" s="18">
        <f>IF($A551&gt;20,R550,(R550-Q544+Q551)*(1+$C$7))</f>
        <v>298097.98815180367</v>
      </c>
      <c r="S551" s="18">
        <f t="shared" si="59"/>
        <v>499918.97687703016</v>
      </c>
    </row>
    <row r="552" spans="1:19">
      <c r="A552" s="10">
        <f>6</f>
        <v>6</v>
      </c>
      <c r="B552" s="18">
        <f>IF($A552&gt;20,0,(B544-MIN(MAX(C551,0),B544))+MIN(MAX(0,D551-(B544-MIN(MAX(C551,0),B544))),MAX(0,5*B544-(C551-MIN(MAX(C551,0),B544)))))</f>
        <v>29055</v>
      </c>
      <c r="C552" s="18">
        <f>IF($A552&gt;20,C551,(C551-B544+B552)*(1+$C$7))</f>
        <v>150945</v>
      </c>
      <c r="D552" s="18">
        <f t="shared" si="54"/>
        <v>820238.23396544356</v>
      </c>
      <c r="E552" s="18">
        <f>IF($A552&gt;20,0,(E544-MIN(MAX(F551,0),E544))+MIN(MAX(0,G551-(E544-MIN(MAX(F551,0),E544))),MAX(0,5*E544-(F551-MIN(MAX(F551,0),E544)))))</f>
        <v>72637.5</v>
      </c>
      <c r="F552" s="18">
        <f>IF($A552&gt;20,F551,(F551-E544+E552)*(1+$C$7))</f>
        <v>377362.5</v>
      </c>
      <c r="G552" s="18">
        <f t="shared" si="55"/>
        <v>259517.14012010876</v>
      </c>
      <c r="H552" s="18">
        <f>IF($A552&gt;20,0,(H544-MIN(MAX(I551,0),H544))+MIN(MAX(0,J551-(H544-MIN(MAX(I551,0),H544))),MAX(0,5*H544-(I551-MIN(MAX(I551,0),H544)))))</f>
        <v>58412.383943888562</v>
      </c>
      <c r="I552" s="18">
        <f>IF($A552&gt;20,I551,(I551-H544+H552)*(1+$C$7))</f>
        <v>303460.92907968542</v>
      </c>
      <c r="J552" s="18">
        <f t="shared" si="56"/>
        <v>442533.77833635698</v>
      </c>
      <c r="K552" s="18">
        <f>IF($A552&gt;20,0,(K544-MIN(MAX(L551,0),K544))+MIN(MAX(0,M551-(K544-MIN(MAX(L551,0),K544))),MAX(0,5*K544-(L551-MIN(MAX(L551,0),K544)))))</f>
        <v>57377.660702471039</v>
      </c>
      <c r="L552" s="18">
        <f>IF($A552&gt;20,L551,(L551-K544+K552)*(1+$C$7))</f>
        <v>298085.38959678152</v>
      </c>
      <c r="M552" s="18">
        <f t="shared" si="57"/>
        <v>455846.25806456985</v>
      </c>
      <c r="N552" s="18">
        <f>IF($A552&gt;20,0,(N544-MIN(MAX(O551,0),N544))+MIN(MAX(0,P551-(N544-MIN(MAX(O551,0),N544))),MAX(0,5*N544-(O551-MIN(MAX(O551,0),N544)))))</f>
        <v>57380.030092486704</v>
      </c>
      <c r="O552" s="18">
        <f>IF($A552&gt;20,O551,(O551-N544+N552)*(1+$C$7))</f>
        <v>298097.69892653264</v>
      </c>
      <c r="P552" s="18">
        <f t="shared" si="58"/>
        <v>455815.77410974092</v>
      </c>
      <c r="Q552" s="18">
        <f>IF($A552&gt;20,0,(Q544-MIN(MAX(R551,0),Q544))+MIN(MAX(0,S551-(Q544-MIN(MAX(R551,0),Q544))),MAX(0,5*Q544-(R551-MIN(MAX(R551,0),Q544)))))</f>
        <v>57380.085764686868</v>
      </c>
      <c r="R552" s="18">
        <f>IF($A552&gt;20,R551,(R551-Q544+Q552)*(1+$C$7))</f>
        <v>298097.98815180367</v>
      </c>
      <c r="S552" s="18">
        <f t="shared" si="59"/>
        <v>455815.05784571363</v>
      </c>
    </row>
    <row r="553" spans="1:19">
      <c r="A553" s="10">
        <f>7</f>
        <v>7</v>
      </c>
      <c r="B553" s="18">
        <f>IF($A553&gt;20,0,(B544-MIN(MAX(C552,0),B544))+MIN(MAX(0,D552-(B544-MIN(MAX(C552,0),B544))),MAX(0,5*B544-(C552-MIN(MAX(C552,0),B544)))))</f>
        <v>29055</v>
      </c>
      <c r="C553" s="18">
        <f>IF($A553&gt;20,C552,(C552-B544+B553)*(1+$C$7))</f>
        <v>150945</v>
      </c>
      <c r="D553" s="18">
        <f t="shared" si="54"/>
        <v>814918.7309844069</v>
      </c>
      <c r="E553" s="18">
        <f>IF($A553&gt;20,0,(E544-MIN(MAX(F552,0),E544))+MIN(MAX(0,G552-(E544-MIN(MAX(F552,0),E544))),MAX(0,5*E544-(F552-MIN(MAX(F552,0),E544)))))</f>
        <v>72637.5</v>
      </c>
      <c r="F553" s="18">
        <f>IF($A553&gt;20,F552,(F552-E544+E553)*(1+$C$7))</f>
        <v>377362.5</v>
      </c>
      <c r="G553" s="18">
        <f t="shared" si="55"/>
        <v>192486.02932371202</v>
      </c>
      <c r="H553" s="18">
        <f>IF($A553&gt;20,0,(H544-MIN(MAX(I552,0),H544))+MIN(MAX(0,J552-(H544-MIN(MAX(I552,0),H544))),MAX(0,5*H544-(I552-MIN(MAX(I552,0),H544)))))</f>
        <v>58412.383943888562</v>
      </c>
      <c r="I553" s="18">
        <f>IF($A553&gt;20,I552,(I552-H544+H553)*(1+$C$7))</f>
        <v>303460.92907968542</v>
      </c>
      <c r="J553" s="18">
        <f t="shared" si="56"/>
        <v>395645.03622424247</v>
      </c>
      <c r="K553" s="18">
        <f>IF($A553&gt;20,0,(K544-MIN(MAX(L552,0),K544))+MIN(MAX(0,M552-(K544-MIN(MAX(L552,0),K544))),MAX(0,5*K544-(L552-MIN(MAX(L552,0),K544)))))</f>
        <v>57377.660702471039</v>
      </c>
      <c r="L553" s="18">
        <f>IF($A553&gt;20,L552,(L552-K544+K553)*(1+$C$7))</f>
        <v>298085.38959678152</v>
      </c>
      <c r="M553" s="18">
        <f t="shared" si="57"/>
        <v>410422.65528296179</v>
      </c>
      <c r="N553" s="18">
        <f>IF($A553&gt;20,0,(N544-MIN(MAX(O552,0),N544))+MIN(MAX(0,P552-(N544-MIN(MAX(O552,0),N544))),MAX(0,5*N544-(O552-MIN(MAX(O552,0),N544)))))</f>
        <v>57380.030092486704</v>
      </c>
      <c r="O553" s="18">
        <f>IF($A553&gt;20,O552,(O552-N544+N553)*(1+$C$7))</f>
        <v>298097.69892653264</v>
      </c>
      <c r="P553" s="18">
        <f t="shared" si="58"/>
        <v>410388.81633777183</v>
      </c>
      <c r="Q553" s="18">
        <f>IF($A553&gt;20,0,(Q544-MIN(MAX(R552,0),Q544))+MIN(MAX(0,S552-(Q544-MIN(MAX(R552,0),Q544))),MAX(0,5*Q544-(R552-MIN(MAX(R552,0),Q544)))))</f>
        <v>57380.085764686868</v>
      </c>
      <c r="R553" s="18">
        <f>IF($A553&gt;20,R552,(R552-Q544+Q553)*(1+$C$7))</f>
        <v>298097.98815180367</v>
      </c>
      <c r="S553" s="18">
        <f t="shared" si="59"/>
        <v>410388.02124345757</v>
      </c>
    </row>
    <row r="554" spans="1:19">
      <c r="A554" s="10">
        <f>8</f>
        <v>8</v>
      </c>
      <c r="B554" s="18">
        <f>IF($A554&gt;20,0,(B544-MIN(MAX(C553,0),B544))+MIN(MAX(0,D553-(B544-MIN(MAX(C553,0),B544))),MAX(0,5*B544-(C553-MIN(MAX(C553,0),B544)))))</f>
        <v>29055</v>
      </c>
      <c r="C554" s="18">
        <f>IF($A554&gt;20,C553,(C553-B544+B554)*(1+$C$7))</f>
        <v>150945</v>
      </c>
      <c r="D554" s="18">
        <f t="shared" si="54"/>
        <v>809439.64291393908</v>
      </c>
      <c r="E554" s="18">
        <f>IF($A554&gt;20,0,(E544-MIN(MAX(F553,0),E544))+MIN(MAX(0,G553-(E544-MIN(MAX(F553,0),E544))),MAX(0,5*E544-(F553-MIN(MAX(F553,0),E544)))))</f>
        <v>72637.5</v>
      </c>
      <c r="F554" s="18">
        <f>IF($A554&gt;20,F553,(F553-E544+E554)*(1+$C$7))</f>
        <v>377362.5</v>
      </c>
      <c r="G554" s="18">
        <f t="shared" si="55"/>
        <v>123443.98520342338</v>
      </c>
      <c r="H554" s="18">
        <f>IF($A554&gt;20,0,(H544-MIN(MAX(I553,0),H544))+MIN(MAX(0,J553-(H544-MIN(MAX(I553,0),H544))),MAX(0,5*H544-(I553-MIN(MAX(I553,0),H544)))))</f>
        <v>58412.383943888562</v>
      </c>
      <c r="I554" s="18">
        <f>IF($A554&gt;20,I553,(I553-H544+H554)*(1+$C$7))</f>
        <v>303460.92907968542</v>
      </c>
      <c r="J554" s="18">
        <f t="shared" si="56"/>
        <v>347349.63184876455</v>
      </c>
      <c r="K554" s="18">
        <f>IF($A554&gt;20,0,(K544-MIN(MAX(L553,0),K544))+MIN(MAX(0,M553-(K544-MIN(MAX(L553,0),K544))),MAX(0,5*K544-(L553-MIN(MAX(L553,0),K544)))))</f>
        <v>57377.660702471039</v>
      </c>
      <c r="L554" s="18">
        <f>IF($A554&gt;20,L553,(L553-K544+K554)*(1+$C$7))</f>
        <v>298085.38959678152</v>
      </c>
      <c r="M554" s="18">
        <f t="shared" si="57"/>
        <v>363636.34441790549</v>
      </c>
      <c r="N554" s="18">
        <f>IF($A554&gt;20,0,(N544-MIN(MAX(O553,0),N544))+MIN(MAX(0,P553-(N544-MIN(MAX(O553,0),N544))),MAX(0,5*N544-(O553-MIN(MAX(O553,0),N544)))))</f>
        <v>57380.030092486704</v>
      </c>
      <c r="O554" s="18">
        <f>IF($A554&gt;20,O553,(O553-N544+N554)*(1+$C$7))</f>
        <v>298097.69892653264</v>
      </c>
      <c r="P554" s="18">
        <f t="shared" si="58"/>
        <v>363599.04983264371</v>
      </c>
      <c r="Q554" s="18">
        <f>IF($A554&gt;20,0,(Q544-MIN(MAX(R553,0),Q544))+MIN(MAX(0,S553-(Q544-MIN(MAX(R553,0),Q544))),MAX(0,5*Q544-(R553-MIN(MAX(R553,0),Q544)))))</f>
        <v>57380.085764686868</v>
      </c>
      <c r="R554" s="18">
        <f>IF($A554&gt;20,R553,(R553-Q544+Q554)*(1+$C$7))</f>
        <v>298097.98815180367</v>
      </c>
      <c r="S554" s="18">
        <f t="shared" si="59"/>
        <v>363598.17354313383</v>
      </c>
    </row>
    <row r="555" spans="1:19">
      <c r="A555" s="10">
        <f>9</f>
        <v>9</v>
      </c>
      <c r="B555" s="18">
        <f>IF($A555&gt;20,0,(B544-MIN(MAX(C554,0),B544))+MIN(MAX(0,D554-(B544-MIN(MAX(C554,0),B544))),MAX(0,5*B544-(C554-MIN(MAX(C554,0),B544)))))</f>
        <v>29055</v>
      </c>
      <c r="C555" s="18">
        <f>IF($A555&gt;20,C554,(C554-B544+B555)*(1+$C$7))</f>
        <v>150945</v>
      </c>
      <c r="D555" s="18">
        <f t="shared" si="54"/>
        <v>803796.18220135733</v>
      </c>
      <c r="E555" s="18">
        <f>IF($A555&gt;20,0,(E544-MIN(MAX(F554,0),E544))+MIN(MAX(0,G554-(E544-MIN(MAX(F554,0),E544))),MAX(0,5*E544-(F554-MIN(MAX(F554,0),E544)))))</f>
        <v>72637.5</v>
      </c>
      <c r="F555" s="18">
        <f>IF($A555&gt;20,F554,(F554-E544+E555)*(1+$C$7))</f>
        <v>377362.5</v>
      </c>
      <c r="G555" s="18">
        <f t="shared" si="55"/>
        <v>52330.67975952608</v>
      </c>
      <c r="H555" s="18">
        <f>IF($A555&gt;20,0,(H544-MIN(MAX(I554,0),H544))+MIN(MAX(0,J554-(H544-MIN(MAX(I554,0),H544))),MAX(0,5*H544-(I554-MIN(MAX(I554,0),H544)))))</f>
        <v>58412.383943888562</v>
      </c>
      <c r="I555" s="18">
        <f>IF($A555&gt;20,I554,(I554-H544+H555)*(1+$C$7))</f>
        <v>303460.92907968542</v>
      </c>
      <c r="J555" s="18">
        <f t="shared" si="56"/>
        <v>297605.36534202233</v>
      </c>
      <c r="K555" s="18">
        <f>IF($A555&gt;20,0,(K544-MIN(MAX(L554,0),K544))+MIN(MAX(0,M554-(K544-MIN(MAX(L554,0),K544))),MAX(0,5*K544-(L554-MIN(MAX(L554,0),K544)))))</f>
        <v>57377.660702471039</v>
      </c>
      <c r="L555" s="18">
        <f>IF($A555&gt;20,L554,(L554-K544+K555)*(1+$C$7))</f>
        <v>298085.38959678152</v>
      </c>
      <c r="M555" s="18">
        <f t="shared" si="57"/>
        <v>315446.4442268975</v>
      </c>
      <c r="N555" s="18">
        <f>IF($A555&gt;20,0,(N544-MIN(MAX(O554,0),N544))+MIN(MAX(0,P554-(N544-MIN(MAX(O554,0),N544))),MAX(0,5*N544-(O554-MIN(MAX(O554,0),N544)))))</f>
        <v>57380.030092486704</v>
      </c>
      <c r="O555" s="18">
        <f>IF($A555&gt;20,O554,(O554-N544+N555)*(1+$C$7))</f>
        <v>298097.69892653264</v>
      </c>
      <c r="P555" s="18">
        <f t="shared" si="58"/>
        <v>315405.59033236169</v>
      </c>
      <c r="Q555" s="18">
        <f>IF($A555&gt;20,0,(Q544-MIN(MAX(R554,0),Q544))+MIN(MAX(0,S554-(Q544-MIN(MAX(R554,0),Q544))),MAX(0,5*Q544-(R554-MIN(MAX(R554,0),Q544)))))</f>
        <v>57380.085764686868</v>
      </c>
      <c r="R555" s="18">
        <f>IF($A555&gt;20,R554,(R554-Q544+Q555)*(1+$C$7))</f>
        <v>298097.98815180367</v>
      </c>
      <c r="S555" s="18">
        <f t="shared" si="59"/>
        <v>315404.6304118004</v>
      </c>
    </row>
    <row r="556" spans="1:19">
      <c r="A556" s="10">
        <f>10</f>
        <v>10</v>
      </c>
      <c r="B556" s="18">
        <f>IF($A556&gt;20,0,(B544-MIN(MAX(C555,0),B544))+MIN(MAX(0,D555-(B544-MIN(MAX(C555,0),B544))),MAX(0,5*B544-(C555-MIN(MAX(C555,0),B544)))))</f>
        <v>29055</v>
      </c>
      <c r="C556" s="18">
        <f>IF($A556&gt;20,C555,(C555-B544+B556)*(1+$C$7))</f>
        <v>150945</v>
      </c>
      <c r="D556" s="18">
        <f t="shared" si="54"/>
        <v>797983.41766739811</v>
      </c>
      <c r="E556" s="18">
        <f>IF($A556&gt;20,0,(E544-MIN(MAX(F555,0),E544))+MIN(MAX(0,G555-(E544-MIN(MAX(F555,0),E544))),MAX(0,5*E544-(F555-MIN(MAX(F555,0),E544)))))</f>
        <v>52330.67975952608</v>
      </c>
      <c r="F556" s="18">
        <f>IF($A556&gt;20,F555,(F555-E544+E556)*(1+$C$7))</f>
        <v>356927.74679201108</v>
      </c>
      <c r="G556" s="18">
        <f t="shared" si="55"/>
        <v>0</v>
      </c>
      <c r="H556" s="18">
        <f>IF($A556&gt;20,0,(H544-MIN(MAX(I555,0),H544))+MIN(MAX(0,J555-(H544-MIN(MAX(I555,0),H544))),MAX(0,5*H544-(I555-MIN(MAX(I555,0),H544)))))</f>
        <v>58412.383943888562</v>
      </c>
      <c r="I556" s="18">
        <f>IF($A556&gt;20,I555,(I555-H544+H556)*(1+$C$7))</f>
        <v>303460.92907968542</v>
      </c>
      <c r="J556" s="18">
        <f t="shared" si="56"/>
        <v>246368.77084007778</v>
      </c>
      <c r="K556" s="18">
        <f>IF($A556&gt;20,0,(K544-MIN(MAX(L555,0),K544))+MIN(MAX(0,M555-(K544-MIN(MAX(L555,0),K544))),MAX(0,5*K544-(L555-MIN(MAX(L555,0),K544)))))</f>
        <v>57377.660702471039</v>
      </c>
      <c r="L556" s="18">
        <f>IF($A556&gt;20,L555,(L555-K544+K556)*(1+$C$7))</f>
        <v>298085.38959678152</v>
      </c>
      <c r="M556" s="18">
        <f t="shared" si="57"/>
        <v>265810.84703015926</v>
      </c>
      <c r="N556" s="18">
        <f>IF($A556&gt;20,0,(N544-MIN(MAX(O555,0),N544))+MIN(MAX(0,P555-(N544-MIN(MAX(O555,0),N544))),MAX(0,5*N544-(O555-MIN(MAX(O555,0),N544)))))</f>
        <v>57380.030092486704</v>
      </c>
      <c r="O556" s="18">
        <f>IF($A556&gt;20,O555,(O555-N544+N556)*(1+$C$7))</f>
        <v>298097.69892653264</v>
      </c>
      <c r="P556" s="18">
        <f t="shared" si="58"/>
        <v>265766.32704707125</v>
      </c>
      <c r="Q556" s="18">
        <f>IF($A556&gt;20,0,(Q544-MIN(MAX(R555,0),Q544))+MIN(MAX(0,S555-(Q544-MIN(MAX(R555,0),Q544))),MAX(0,5*Q544-(R555-MIN(MAX(R555,0),Q544)))))</f>
        <v>57380.085764686868</v>
      </c>
      <c r="R556" s="18">
        <f>IF($A556&gt;20,R555,(R555-Q544+Q556)*(1+$C$7))</f>
        <v>298097.98815180367</v>
      </c>
      <c r="S556" s="18">
        <f t="shared" si="59"/>
        <v>265765.28098652692</v>
      </c>
    </row>
    <row r="557" spans="1:19">
      <c r="A557" s="10">
        <f>11</f>
        <v>11</v>
      </c>
      <c r="B557" s="18">
        <f>IF($A557&gt;20,0,(B544-MIN(MAX(C556,0),B544))+MIN(MAX(0,D556-(B544-MIN(MAX(C556,0),B544))),MAX(0,5*B544-(C556-MIN(MAX(C556,0),B544)))))</f>
        <v>29055</v>
      </c>
      <c r="C557" s="18">
        <f>IF($A557&gt;20,C556,(C556-B544+B557)*(1+$C$7))</f>
        <v>150945</v>
      </c>
      <c r="D557" s="18">
        <f t="shared" si="54"/>
        <v>791996.27019742003</v>
      </c>
      <c r="E557" s="18">
        <f>IF($A557&gt;20,0,(E544-MIN(MAX(F556,0),E544))+MIN(MAX(0,G556-(E544-MIN(MAX(F556,0),E544))),MAX(0,5*E544-(F556-MIN(MAX(F556,0),E544)))))</f>
        <v>0</v>
      </c>
      <c r="F557" s="18">
        <f>IF($A557&gt;20,F556,(F556-E544+E557)*(1+$C$7))</f>
        <v>283703.89159680076</v>
      </c>
      <c r="G557" s="18">
        <f t="shared" si="55"/>
        <v>0</v>
      </c>
      <c r="H557" s="18">
        <f>IF($A557&gt;20,0,(H544-MIN(MAX(I556,0),H544))+MIN(MAX(0,J556-(H544-MIN(MAX(I556,0),H544))),MAX(0,5*H544-(I556-MIN(MAX(I556,0),H544)))))</f>
        <v>58412.383943888562</v>
      </c>
      <c r="I557" s="18">
        <f>IF($A557&gt;20,I556,(I556-H544+H557)*(1+$C$7))</f>
        <v>303460.92907968542</v>
      </c>
      <c r="J557" s="18">
        <f t="shared" si="56"/>
        <v>193595.07850307491</v>
      </c>
      <c r="K557" s="18">
        <f>IF($A557&gt;20,0,(K544-MIN(MAX(L556,0),K544))+MIN(MAX(0,M556-(K544-MIN(MAX(L556,0),K544))),MAX(0,5*K544-(L556-MIN(MAX(L556,0),K544)))))</f>
        <v>57377.660702471039</v>
      </c>
      <c r="L557" s="18">
        <f>IF($A557&gt;20,L556,(L556-K544+K557)*(1+$C$7))</f>
        <v>298085.38959678152</v>
      </c>
      <c r="M557" s="18">
        <f t="shared" si="57"/>
        <v>214686.18191751887</v>
      </c>
      <c r="N557" s="18">
        <f>IF($A557&gt;20,0,(N544-MIN(MAX(O556,0),N544))+MIN(MAX(0,P556-(N544-MIN(MAX(O556,0),N544))),MAX(0,5*N544-(O556-MIN(MAX(O556,0),N544)))))</f>
        <v>57380.030092486704</v>
      </c>
      <c r="O557" s="18">
        <f>IF($A557&gt;20,O556,(O556-N544+N557)*(1+$C$7))</f>
        <v>298097.69892653264</v>
      </c>
      <c r="P557" s="18">
        <f t="shared" si="58"/>
        <v>214637.88586322209</v>
      </c>
      <c r="Q557" s="18">
        <f>IF($A557&gt;20,0,(Q544-MIN(MAX(R556,0),Q544))+MIN(MAX(0,S556-(Q544-MIN(MAX(R556,0),Q544))),MAX(0,5*Q544-(R556-MIN(MAX(R556,0),Q544)))))</f>
        <v>57380.085764686868</v>
      </c>
      <c r="R557" s="18">
        <f>IF($A557&gt;20,R556,(R556-Q544+Q557)*(1+$C$7))</f>
        <v>298097.98815180367</v>
      </c>
      <c r="S557" s="18">
        <f t="shared" si="59"/>
        <v>214636.75107849526</v>
      </c>
    </row>
    <row r="558" spans="1:19">
      <c r="A558" s="10">
        <f>12</f>
        <v>12</v>
      </c>
      <c r="B558" s="18">
        <f>IF($A558&gt;20,0,(B544-MIN(MAX(C557,0),B544))+MIN(MAX(0,D557-(B544-MIN(MAX(C557,0),B544))),MAX(0,5*B544-(C557-MIN(MAX(C557,0),B544)))))</f>
        <v>29055</v>
      </c>
      <c r="C558" s="18">
        <f>IF($A558&gt;20,C557,(C557-B544+B558)*(1+$C$7))</f>
        <v>150945</v>
      </c>
      <c r="D558" s="18">
        <f t="shared" si="54"/>
        <v>785829.50830334262</v>
      </c>
      <c r="E558" s="18">
        <f>IF($A558&gt;20,0,(E544-MIN(MAX(F557,0),E544))+MIN(MAX(0,G557-(E544-MIN(MAX(F557,0),E544))),MAX(0,5*E544-(F557-MIN(MAX(F557,0),E544)))))</f>
        <v>0</v>
      </c>
      <c r="F558" s="18">
        <f>IF($A558&gt;20,F557,(F557-E544+E558)*(1+$C$7))</f>
        <v>210018.72611386061</v>
      </c>
      <c r="G558" s="18">
        <f t="shared" si="55"/>
        <v>0</v>
      </c>
      <c r="H558" s="18">
        <f>IF($A558&gt;20,0,(H544-MIN(MAX(I557,0),H544))+MIN(MAX(0,J557-(H544-MIN(MAX(I557,0),H544))),MAX(0,5*H544-(I557-MIN(MAX(I557,0),H544)))))</f>
        <v>58412.383943888562</v>
      </c>
      <c r="I558" s="18">
        <f>IF($A558&gt;20,I557,(I557-H544+H558)*(1+$C$7))</f>
        <v>303460.92907968542</v>
      </c>
      <c r="J558" s="18">
        <f t="shared" si="56"/>
        <v>139238.17539596194</v>
      </c>
      <c r="K558" s="18">
        <f>IF($A558&gt;20,0,(K544-MIN(MAX(L557,0),K544))+MIN(MAX(0,M557-(K544-MIN(MAX(L557,0),K544))),MAX(0,5*K544-(L557-MIN(MAX(L557,0),K544)))))</f>
        <v>57377.660702471039</v>
      </c>
      <c r="L558" s="18">
        <f>IF($A558&gt;20,L557,(L557-K544+K558)*(1+$C$7))</f>
        <v>298085.38959678152</v>
      </c>
      <c r="M558" s="18">
        <f t="shared" si="57"/>
        <v>162027.77685149928</v>
      </c>
      <c r="N558" s="18">
        <f>IF($A558&gt;20,0,(N544-MIN(MAX(O557,0),N544))+MIN(MAX(0,P557-(N544-MIN(MAX(O557,0),N544))),MAX(0,5*N544-(O557-MIN(MAX(O557,0),N544)))))</f>
        <v>57380.030092486704</v>
      </c>
      <c r="O558" s="18">
        <f>IF($A558&gt;20,O557,(O557-N544+N558)*(1+$C$7))</f>
        <v>298097.69892653264</v>
      </c>
      <c r="P558" s="18">
        <f t="shared" si="58"/>
        <v>161975.59144385747</v>
      </c>
      <c r="Q558" s="18">
        <f>IF($A558&gt;20,0,(Q544-MIN(MAX(R557,0),Q544))+MIN(MAX(0,S557-(Q544-MIN(MAX(R557,0),Q544))),MAX(0,5*Q544-(R557-MIN(MAX(R557,0),Q544)))))</f>
        <v>57380.085764686868</v>
      </c>
      <c r="R558" s="18">
        <f>IF($A558&gt;20,R557,(R557-Q544+Q558)*(1+$C$7))</f>
        <v>298097.98815180367</v>
      </c>
      <c r="S558" s="18">
        <f t="shared" si="59"/>
        <v>161974.36527322265</v>
      </c>
    </row>
    <row r="559" spans="1:19">
      <c r="A559" s="10">
        <f>13</f>
        <v>13</v>
      </c>
      <c r="B559" s="18">
        <f>IF($A559&gt;20,0,(B544-MIN(MAX(C558,0),B544))+MIN(MAX(0,D558-(B544-MIN(MAX(C558,0),B544))),MAX(0,5*B544-(C558-MIN(MAX(C558,0),B544)))))</f>
        <v>29055</v>
      </c>
      <c r="C559" s="18">
        <f>IF($A559&gt;20,C558,(C558-B544+B559)*(1+$C$7))</f>
        <v>150945</v>
      </c>
      <c r="D559" s="18">
        <f t="shared" si="54"/>
        <v>779477.74355244287</v>
      </c>
      <c r="E559" s="18">
        <f>IF($A559&gt;20,0,(E544-MIN(MAX(F558,0),E544))+MIN(MAX(0,G558-(E544-MIN(MAX(F558,0),E544))),MAX(0,5*E544-(F558-MIN(MAX(F558,0),E544)))))</f>
        <v>0</v>
      </c>
      <c r="F559" s="18">
        <f>IF($A559&gt;20,F558,(F558-E544+E559)*(1+$C$7))</f>
        <v>135869.34408837793</v>
      </c>
      <c r="G559" s="18">
        <f t="shared" si="55"/>
        <v>0</v>
      </c>
      <c r="H559" s="18">
        <f>IF($A559&gt;20,0,(H544-MIN(MAX(I558,0),H544))+MIN(MAX(0,J558-(H544-MIN(MAX(I558,0),H544))),MAX(0,5*H544-(I558-MIN(MAX(I558,0),H544)))))</f>
        <v>58412.383943888562</v>
      </c>
      <c r="I559" s="18">
        <f>IF($A559&gt;20,I558,(I558-H544+H559)*(1+$C$7))</f>
        <v>303460.92907968542</v>
      </c>
      <c r="J559" s="18">
        <f t="shared" si="56"/>
        <v>83250.565195635572</v>
      </c>
      <c r="K559" s="18">
        <f>IF($A559&gt;20,0,(K544-MIN(MAX(L558,0),K544))+MIN(MAX(0,M558-(K544-MIN(MAX(L558,0),K544))),MAX(0,5*K544-(L558-MIN(MAX(L558,0),K544)))))</f>
        <v>57377.660702471039</v>
      </c>
      <c r="L559" s="18">
        <f>IF($A559&gt;20,L558,(L558-K544+K559)*(1+$C$7))</f>
        <v>298085.38959678152</v>
      </c>
      <c r="M559" s="18">
        <f t="shared" si="57"/>
        <v>107789.6196334991</v>
      </c>
      <c r="N559" s="18">
        <f>IF($A559&gt;20,0,(N544-MIN(MAX(O558,0),N544))+MIN(MAX(0,P558-(N544-MIN(MAX(O558,0),N544))),MAX(0,5*N544-(O558-MIN(MAX(O558,0),N544)))))</f>
        <v>57380.030092486704</v>
      </c>
      <c r="O559" s="18">
        <f>IF($A559&gt;20,O558,(O558-N544+N559)*(1+$C$7))</f>
        <v>298097.69892653264</v>
      </c>
      <c r="P559" s="18">
        <f t="shared" si="58"/>
        <v>107733.42819191189</v>
      </c>
      <c r="Q559" s="18">
        <f>IF($A559&gt;20,0,(Q544-MIN(MAX(R558,0),Q544))+MIN(MAX(0,S558-(Q544-MIN(MAX(R558,0),Q544))),MAX(0,5*Q544-(R558-MIN(MAX(R558,0),Q544)))))</f>
        <v>57380.085764686868</v>
      </c>
      <c r="R559" s="18">
        <f>IF($A559&gt;20,R558,(R558-Q544+Q559)*(1+$C$7))</f>
        <v>298097.98815180367</v>
      </c>
      <c r="S559" s="18">
        <f t="shared" si="59"/>
        <v>107732.10789379185</v>
      </c>
    </row>
    <row r="560" spans="1:19">
      <c r="A560" s="10">
        <f>14</f>
        <v>14</v>
      </c>
      <c r="B560" s="18">
        <f>IF($A560&gt;20,0,(B544-MIN(MAX(C559,0),B544))+MIN(MAX(0,D559-(B544-MIN(MAX(C559,0),B544))),MAX(0,5*B544-(C559-MIN(MAX(C559,0),B544)))))</f>
        <v>29055</v>
      </c>
      <c r="C560" s="18">
        <f>IF($A560&gt;20,C559,(C559-B544+B560)*(1+$C$7))</f>
        <v>150945</v>
      </c>
      <c r="D560" s="18">
        <f t="shared" si="54"/>
        <v>772935.42585901613</v>
      </c>
      <c r="E560" s="18">
        <f>IF($A560&gt;20,0,(E544-MIN(MAX(F559,0),E544))+MIN(MAX(0,G559-(E544-MIN(MAX(F559,0),E544))),MAX(0,5*E544-(F559-MIN(MAX(F559,0),E544)))))</f>
        <v>0</v>
      </c>
      <c r="F560" s="18">
        <f>IF($A560&gt;20,F559,(F559-E544+E560)*(1+$C$7))</f>
        <v>61252.820956134703</v>
      </c>
      <c r="G560" s="18">
        <f t="shared" si="55"/>
        <v>0</v>
      </c>
      <c r="H560" s="18">
        <f>IF($A560&gt;20,0,(H544-MIN(MAX(I559,0),H544))+MIN(MAX(0,J559-(H544-MIN(MAX(I559,0),H544))),MAX(0,5*H544-(I559-MIN(MAX(I559,0),H544)))))</f>
        <v>58412.383943888562</v>
      </c>
      <c r="I560" s="18">
        <f>IF($A560&gt;20,I559,(I559-H544+H560)*(1+$C$7))</f>
        <v>303460.92907968542</v>
      </c>
      <c r="J560" s="18">
        <f t="shared" si="56"/>
        <v>25583.326689299422</v>
      </c>
      <c r="K560" s="18">
        <f>IF($A560&gt;20,0,(K544-MIN(MAX(L559,0),K544))+MIN(MAX(0,M559-(K544-MIN(MAX(L559,0),K544))),MAX(0,5*K544-(L559-MIN(MAX(L559,0),K544)))))</f>
        <v>57377.660702471039</v>
      </c>
      <c r="L560" s="18">
        <f>IF($A560&gt;20,L559,(L559-K544+K560)*(1+$C$7))</f>
        <v>298085.38959678152</v>
      </c>
      <c r="M560" s="18">
        <f t="shared" si="57"/>
        <v>51924.317698958897</v>
      </c>
      <c r="N560" s="18">
        <f>IF($A560&gt;20,0,(N544-MIN(MAX(O559,0),N544))+MIN(MAX(0,P559-(N544-MIN(MAX(O559,0),N544))),MAX(0,5*N544-(O559-MIN(MAX(O559,0),N544)))))</f>
        <v>57380.030092486704</v>
      </c>
      <c r="O560" s="18">
        <f>IF($A560&gt;20,O559,(O559-N544+N560)*(1+$C$7))</f>
        <v>298097.69892653264</v>
      </c>
      <c r="P560" s="18">
        <f t="shared" si="58"/>
        <v>51864.000042407948</v>
      </c>
      <c r="Q560" s="18">
        <f>IF($A560&gt;20,0,(Q544-MIN(MAX(R559,0),Q544))+MIN(MAX(0,S559-(Q544-MIN(MAX(R559,0),Q544))),MAX(0,5*Q544-(R559-MIN(MAX(R559,0),Q544)))))</f>
        <v>57380.085764686868</v>
      </c>
      <c r="R560" s="18">
        <f>IF($A560&gt;20,R559,(R559-Q544+Q560)*(1+$C$7))</f>
        <v>298097.98815180367</v>
      </c>
      <c r="S560" s="18">
        <f t="shared" si="59"/>
        <v>51862.58279297813</v>
      </c>
    </row>
    <row r="561" spans="1:19">
      <c r="A561" s="10">
        <f>15</f>
        <v>15</v>
      </c>
      <c r="B561" s="18">
        <f>IF($A561&gt;20,0,(B544-MIN(MAX(C560,0),B544))+MIN(MAX(0,D560-(B544-MIN(MAX(C560,0),B544))),MAX(0,5*B544-(C560-MIN(MAX(C560,0),B544)))))</f>
        <v>29055</v>
      </c>
      <c r="C561" s="18">
        <f>IF($A561&gt;20,C560,(C560-B544+B561)*(1+$C$7))</f>
        <v>150945</v>
      </c>
      <c r="D561" s="18">
        <f t="shared" si="54"/>
        <v>766196.83863478666</v>
      </c>
      <c r="E561" s="18">
        <f>IF($A561&gt;20,0,(E544-MIN(MAX(F560,0),E544))+MIN(MAX(0,G560-(E544-MIN(MAX(F560,0),E544))),MAX(0,5*E544-(F560-MIN(MAX(F560,0),E544)))))</f>
        <v>13747.179043865297</v>
      </c>
      <c r="F561" s="18">
        <f>IF($A561&gt;20,F560,(F560-E544+E561)*(1+$C$7))</f>
        <v>0</v>
      </c>
      <c r="G561" s="18">
        <f t="shared" si="55"/>
        <v>-14159.594415181256</v>
      </c>
      <c r="H561" s="18">
        <f>IF($A561&gt;20,0,(H544-MIN(MAX(I560,0),H544))+MIN(MAX(0,J560-(H544-MIN(MAX(I560,0),H544))),MAX(0,5*H544-(I560-MIN(MAX(I560,0),H544)))))</f>
        <v>25583.326689299422</v>
      </c>
      <c r="I561" s="18">
        <f>IF($A561&gt;20,I560,(I560-H544+H561)*(1+$C$7))</f>
        <v>270425.04876439233</v>
      </c>
      <c r="J561" s="18">
        <f t="shared" si="56"/>
        <v>0</v>
      </c>
      <c r="K561" s="18">
        <f>IF($A561&gt;20,0,(K544-MIN(MAX(L560,0),K544))+MIN(MAX(0,M560-(K544-MIN(MAX(L560,0),K544))),MAX(0,5*K544-(L560-MIN(MAX(L560,0),K544)))))</f>
        <v>51924.317698958897</v>
      </c>
      <c r="L561" s="18">
        <f>IF($A561&gt;20,L560,(L560-K544+K561)*(1+$C$7))</f>
        <v>292597.6905323473</v>
      </c>
      <c r="M561" s="18">
        <f t="shared" si="57"/>
        <v>0</v>
      </c>
      <c r="N561" s="18">
        <f>IF($A561&gt;20,0,(N544-MIN(MAX(O560,0),N544))+MIN(MAX(0,P560-(N544-MIN(MAX(O560,0),N544))),MAX(0,5*N544-(O560-MIN(MAX(O560,0),N544)))))</f>
        <v>51864.000042407948</v>
      </c>
      <c r="O561" s="18">
        <f>IF($A561&gt;20,O560,(O560-N544+N561)*(1+$C$7))</f>
        <v>292546.91788713838</v>
      </c>
      <c r="P561" s="18">
        <f t="shared" si="58"/>
        <v>0</v>
      </c>
      <c r="Q561" s="18">
        <f>IF($A561&gt;20,0,(Q544-MIN(MAX(R560,0),Q544))+MIN(MAX(0,S560-(Q544-MIN(MAX(R560,0),Q544))),MAX(0,5*Q544-(R560-MIN(MAX(R560,0),Q544)))))</f>
        <v>51862.58279297813</v>
      </c>
      <c r="R561" s="18">
        <f>IF($A561&gt;20,R560,(R560-Q544+Q561)*(1+$C$7))</f>
        <v>292545.72491137323</v>
      </c>
      <c r="S561" s="18">
        <f t="shared" si="59"/>
        <v>0</v>
      </c>
    </row>
    <row r="562" spans="1:19">
      <c r="A562" s="10">
        <f>16</f>
        <v>16</v>
      </c>
      <c r="B562" s="18">
        <f>IF($A562&gt;20,0,(B544-MIN(MAX(C561,0),B544))+MIN(MAX(0,D561-(B544-MIN(MAX(C561,0),B544))),MAX(0,5*B544-(C561-MIN(MAX(C561,0),B544)))))</f>
        <v>29055</v>
      </c>
      <c r="C562" s="18">
        <f>IF($A562&gt;20,C561,(C561-B544+B562)*(1+$C$7))</f>
        <v>150945</v>
      </c>
      <c r="D562" s="18">
        <f t="shared" si="54"/>
        <v>759256.09379383025</v>
      </c>
      <c r="E562" s="18">
        <f>IF($A562&gt;20,0,(E544-MIN(MAX(F561,0),E544))+MIN(MAX(0,G561-(E544-MIN(MAX(F561,0),E544))),MAX(0,5*E544-(F561-MIN(MAX(F561,0),E544)))))</f>
        <v>75000</v>
      </c>
      <c r="F562" s="18">
        <f>IF($A562&gt;20,F561,(F561-E544+E562)*(1+$C$7))</f>
        <v>0</v>
      </c>
      <c r="G562" s="18">
        <f t="shared" si="55"/>
        <v>-91834.382247636691</v>
      </c>
      <c r="H562" s="18">
        <f>IF($A562&gt;20,0,(H544-MIN(MAX(I561,0),H544))+MIN(MAX(0,J561-(H544-MIN(MAX(I561,0),H544))),MAX(0,5*H544-(I561-MIN(MAX(I561,0),H544)))))</f>
        <v>0</v>
      </c>
      <c r="I562" s="18">
        <f>IF($A562&gt;20,I561,(I561-H544+H562)*(1+$C$7))</f>
        <v>211436.5407556709</v>
      </c>
      <c r="J562" s="18">
        <f t="shared" si="56"/>
        <v>0</v>
      </c>
      <c r="K562" s="18">
        <f>IF($A562&gt;20,0,(K544-MIN(MAX(L561,0),K544))+MIN(MAX(0,M561-(K544-MIN(MAX(L561,0),K544))),MAX(0,5*K544-(L561-MIN(MAX(L561,0),K544)))))</f>
        <v>0</v>
      </c>
      <c r="L562" s="18">
        <f>IF($A562&gt;20,L561,(L561-K544+K562)*(1+$C$7))</f>
        <v>234823.97806334478</v>
      </c>
      <c r="M562" s="18">
        <f t="shared" si="57"/>
        <v>0</v>
      </c>
      <c r="N562" s="18">
        <f>IF($A562&gt;20,0,(N544-MIN(MAX(O561,0),N544))+MIN(MAX(0,P561-(N544-MIN(MAX(O561,0),N544))),MAX(0,5*N544-(O561-MIN(MAX(O561,0),N544)))))</f>
        <v>0</v>
      </c>
      <c r="O562" s="18">
        <f>IF($A562&gt;20,O561,(O561-N544+N562)*(1+$C$7))</f>
        <v>234770.42368452079</v>
      </c>
      <c r="P562" s="18">
        <f t="shared" si="58"/>
        <v>0</v>
      </c>
      <c r="Q562" s="18">
        <f>IF($A562&gt;20,0,(Q544-MIN(MAX(R561,0),Q544))+MIN(MAX(0,S561-(Q544-MIN(MAX(R561,0),Q544))),MAX(0,5*Q544-(R561-MIN(MAX(R561,0),Q544)))))</f>
        <v>0</v>
      </c>
      <c r="R562" s="18">
        <f>IF($A562&gt;20,R561,(R561-Q544+Q562)*(1+$C$7))</f>
        <v>234769.16534795414</v>
      </c>
      <c r="S562" s="18">
        <f t="shared" si="59"/>
        <v>0</v>
      </c>
    </row>
    <row r="563" spans="1:19">
      <c r="A563" s="10">
        <f>17</f>
        <v>17</v>
      </c>
      <c r="B563" s="18">
        <f>IF($A563&gt;20,0,(B544-MIN(MAX(C562,0),B544))+MIN(MAX(0,D562-(B544-MIN(MAX(C562,0),B544))),MAX(0,5*B544-(C562-MIN(MAX(C562,0),B544)))))</f>
        <v>29055</v>
      </c>
      <c r="C563" s="18">
        <f>IF($A563&gt;20,C562,(C562-B544+B563)*(1+$C$7))</f>
        <v>150945</v>
      </c>
      <c r="D563" s="18">
        <f t="shared" si="54"/>
        <v>752107.12660764519</v>
      </c>
      <c r="E563" s="18">
        <f>IF($A563&gt;20,0,(E544-MIN(MAX(F562,0),E544))+MIN(MAX(0,G562-(E544-MIN(MAX(F562,0),E544))),MAX(0,5*E544-(F562-MIN(MAX(F562,0),E544)))))</f>
        <v>75000</v>
      </c>
      <c r="F563" s="18">
        <f>IF($A563&gt;20,F562,(F562-E544+E563)*(1+$C$7))</f>
        <v>0</v>
      </c>
      <c r="G563" s="18">
        <f t="shared" si="55"/>
        <v>-171839.41371506578</v>
      </c>
      <c r="H563" s="18">
        <f>IF($A563&gt;20,0,(H544-MIN(MAX(I562,0),H544))+MIN(MAX(0,J562-(H544-MIN(MAX(I562,0),H544))),MAX(0,5*H544-(I562-MIN(MAX(I562,0),H544)))))</f>
        <v>0</v>
      </c>
      <c r="I563" s="18">
        <f>IF($A563&gt;20,I562,(I562-H544+H563)*(1+$C$7))</f>
        <v>152076.40514649454</v>
      </c>
      <c r="J563" s="18">
        <f t="shared" si="56"/>
        <v>0</v>
      </c>
      <c r="K563" s="18">
        <f>IF($A563&gt;20,0,(K544-MIN(MAX(L562,0),K544))+MIN(MAX(0,M562-(K544-MIN(MAX(L562,0),K544))),MAX(0,5*K544-(L562-MIN(MAX(L562,0),K544)))))</f>
        <v>0</v>
      </c>
      <c r="L563" s="18">
        <f>IF($A563&gt;20,L562,(L562-K544+K563)*(1+$C$7))</f>
        <v>176686.29120578754</v>
      </c>
      <c r="M563" s="18">
        <f t="shared" si="57"/>
        <v>0</v>
      </c>
      <c r="N563" s="18">
        <f>IF($A563&gt;20,0,(N544-MIN(MAX(O562,0),N544))+MIN(MAX(0,P562-(N544-MIN(MAX(O562,0),N544))),MAX(0,5*N544-(O562-MIN(MAX(O562,0),N544)))))</f>
        <v>0</v>
      </c>
      <c r="O563" s="18">
        <f>IF($A563&gt;20,O562,(O562-N544+N563)*(1+$C$7))</f>
        <v>176629.93756842674</v>
      </c>
      <c r="P563" s="18">
        <f t="shared" si="58"/>
        <v>0</v>
      </c>
      <c r="Q563" s="18">
        <f>IF($A563&gt;20,0,(Q544-MIN(MAX(R562,0),Q544))+MIN(MAX(0,S562-(Q544-MIN(MAX(R562,0),Q544))),MAX(0,5*Q544-(R562-MIN(MAX(R562,0),Q544)))))</f>
        <v>0</v>
      </c>
      <c r="R563" s="18">
        <f>IF($A563&gt;20,R562,(R562-Q544+Q563)*(1+$C$7))</f>
        <v>176628.61345928552</v>
      </c>
      <c r="S563" s="18">
        <f t="shared" si="59"/>
        <v>0</v>
      </c>
    </row>
    <row r="564" spans="1:19">
      <c r="A564" s="10">
        <f>18</f>
        <v>18</v>
      </c>
      <c r="B564" s="18">
        <f>IF($A564&gt;20,0,(B544-MIN(MAX(C563,0),B544))+MIN(MAX(0,D563-(B544-MIN(MAX(C563,0),B544))),MAX(0,5*B544-(C563-MIN(MAX(C563,0),B544)))))</f>
        <v>29055</v>
      </c>
      <c r="C564" s="18">
        <f>IF($A564&gt;20,C563,(C563-B544+B564)*(1+$C$7))</f>
        <v>150945</v>
      </c>
      <c r="D564" s="18">
        <f t="shared" si="54"/>
        <v>744743.69040587451</v>
      </c>
      <c r="E564" s="18">
        <f>IF($A564&gt;20,0,(E544-MIN(MAX(F563,0),E544))+MIN(MAX(0,G563-(E544-MIN(MAX(F563,0),E544))),MAX(0,5*E544-(F563-MIN(MAX(F563,0),E544)))))</f>
        <v>75000</v>
      </c>
      <c r="F564" s="18">
        <f>IF($A564&gt;20,F563,(F563-E544+E564)*(1+$C$7))</f>
        <v>0</v>
      </c>
      <c r="G564" s="18">
        <f t="shared" si="55"/>
        <v>-254244.59612651775</v>
      </c>
      <c r="H564" s="18">
        <f>IF($A564&gt;20,0,(H544-MIN(MAX(I563,0),H544))+MIN(MAX(0,J563-(H544-MIN(MAX(I563,0),H544))),MAX(0,5*H544-(I563-MIN(MAX(I563,0),H544)))))</f>
        <v>0</v>
      </c>
      <c r="I564" s="18">
        <f>IF($A564&gt;20,I563,(I563-H544+H564)*(1+$C$7))</f>
        <v>92342.300682980363</v>
      </c>
      <c r="J564" s="18">
        <f t="shared" si="56"/>
        <v>0</v>
      </c>
      <c r="K564" s="18">
        <f>IF($A564&gt;20,0,(K544-MIN(MAX(L563,0),K544))+MIN(MAX(0,M563-(K544-MIN(MAX(L563,0),K544))),MAX(0,5*K544-(L563-MIN(MAX(L563,0),K544)))))</f>
        <v>0</v>
      </c>
      <c r="L564" s="18">
        <f>IF($A564&gt;20,L563,(L563-K544+K564)*(1+$C$7))</f>
        <v>118182.3369210277</v>
      </c>
      <c r="M564" s="18">
        <f t="shared" si="57"/>
        <v>0</v>
      </c>
      <c r="N564" s="18">
        <f>IF($A564&gt;20,0,(N544-MIN(MAX(O563,0),N544))+MIN(MAX(0,P563-(N544-MIN(MAX(O563,0),N544))),MAX(0,5*N544-(O563-MIN(MAX(O563,0),N544)))))</f>
        <v>0</v>
      </c>
      <c r="O564" s="18">
        <f>IF($A564&gt;20,O563,(O563-N544+N564)*(1+$C$7))</f>
        <v>118123.16638980129</v>
      </c>
      <c r="P564" s="18">
        <f t="shared" si="58"/>
        <v>0</v>
      </c>
      <c r="Q564" s="18">
        <f>IF($A564&gt;20,0,(Q544-MIN(MAX(R563,0),Q544))+MIN(MAX(0,S563-(Q544-MIN(MAX(R563,0),Q544))),MAX(0,5*Q544-(R563-MIN(MAX(R563,0),Q544)))))</f>
        <v>0</v>
      </c>
      <c r="R564" s="18">
        <f>IF($A564&gt;20,R563,(R563-Q544+Q564)*(1+$C$7))</f>
        <v>118121.77609371828</v>
      </c>
      <c r="S564" s="18">
        <f t="shared" si="59"/>
        <v>0</v>
      </c>
    </row>
    <row r="565" spans="1:19">
      <c r="A565" s="10">
        <f>19</f>
        <v>19</v>
      </c>
      <c r="B565" s="18">
        <f>IF($A565&gt;20,0,(B544-MIN(MAX(C564,0),B544))+MIN(MAX(0,D564-(B544-MIN(MAX(C564,0),B544))),MAX(0,5*B544-(C564-MIN(MAX(C564,0),B544)))))</f>
        <v>29055</v>
      </c>
      <c r="C565" s="18">
        <f>IF($A565&gt;20,C564,(C564-B544+B565)*(1+$C$7))</f>
        <v>150945</v>
      </c>
      <c r="D565" s="18">
        <f t="shared" si="54"/>
        <v>737159.35111805075</v>
      </c>
      <c r="E565" s="18">
        <f>IF($A565&gt;20,0,(E544-MIN(MAX(F564,0),E544))+MIN(MAX(0,G564-(E544-MIN(MAX(F564,0),E544))),MAX(0,5*E544-(F564-MIN(MAX(F564,0),E544)))))</f>
        <v>75000</v>
      </c>
      <c r="F565" s="18">
        <f>IF($A565&gt;20,F564,(F564-E544+E565)*(1+$C$7))</f>
        <v>0</v>
      </c>
      <c r="G565" s="18">
        <f t="shared" si="55"/>
        <v>-339121.9340103133</v>
      </c>
      <c r="H565" s="18">
        <f>IF($A565&gt;20,0,(H544-MIN(MAX(I564,0),H544))+MIN(MAX(0,J564-(H544-MIN(MAX(I564,0),H544))),MAX(0,5*H544-(I564-MIN(MAX(I564,0),H544)))))</f>
        <v>0</v>
      </c>
      <c r="I565" s="18">
        <f>IF($A565&gt;20,I564,(I564-H544+H565)*(1+$C$7))</f>
        <v>32231.871361346057</v>
      </c>
      <c r="J565" s="18">
        <f t="shared" si="56"/>
        <v>0</v>
      </c>
      <c r="K565" s="18">
        <f>IF($A565&gt;20,0,(K544-MIN(MAX(L564,0),K544))+MIN(MAX(0,M564-(K544-MIN(MAX(L564,0),K544))),MAX(0,5*K544-(L564-MIN(MAX(L564,0),K544)))))</f>
        <v>0</v>
      </c>
      <c r="L565" s="18">
        <f>IF($A565&gt;20,L564,(L564-K544+K565)*(1+$C$7))</f>
        <v>59309.807724273865</v>
      </c>
      <c r="M565" s="18">
        <f t="shared" si="57"/>
        <v>0</v>
      </c>
      <c r="N565" s="18">
        <f>IF($A565&gt;20,0,(N544-MIN(MAX(O564,0),N544))+MIN(MAX(0,P564-(N544-MIN(MAX(O564,0),N544))),MAX(0,5*N544-(O564-MIN(MAX(O564,0),N544)))))</f>
        <v>0</v>
      </c>
      <c r="O565" s="18">
        <f>IF($A565&gt;20,O564,(O564-N544+N565)*(1+$C$7))</f>
        <v>59247.802552750509</v>
      </c>
      <c r="P565" s="18">
        <f t="shared" si="58"/>
        <v>0</v>
      </c>
      <c r="Q565" s="18">
        <f>IF($A565&gt;20,0,(Q544-MIN(MAX(R564,0),Q544))+MIN(MAX(0,S564-(Q544-MIN(MAX(R564,0),Q544))),MAX(0,5*Q544-(R564-MIN(MAX(R564,0),Q544)))))</f>
        <v>0</v>
      </c>
      <c r="R565" s="18">
        <f>IF($A565&gt;20,R564,(R564-Q544+Q565)*(1+$C$7))</f>
        <v>59246.345652747958</v>
      </c>
      <c r="S565" s="18">
        <f t="shared" si="59"/>
        <v>0</v>
      </c>
    </row>
    <row r="566" spans="1:19">
      <c r="A566" s="10">
        <f>20</f>
        <v>20</v>
      </c>
      <c r="B566" s="18">
        <f>IF($A566&gt;20,0,(B544-MIN(MAX(C565,0),B544))+MIN(MAX(0,D565-(B544-MIN(MAX(C565,0),B544))),MAX(0,5*B544-(C565-MIN(MAX(C565,0),B544)))))</f>
        <v>29055</v>
      </c>
      <c r="C566" s="18">
        <f>IF($A566&gt;20,C565,(C565-B544+B566)*(1+$C$7))</f>
        <v>150945</v>
      </c>
      <c r="D566" s="18">
        <f t="shared" si="54"/>
        <v>729347.4816515923</v>
      </c>
      <c r="E566" s="18">
        <f>IF($A566&gt;20,0,(E544-MIN(MAX(F565,0),E544))+MIN(MAX(0,G565-(E544-MIN(MAX(F565,0),E544))),MAX(0,5*E544-(F565-MIN(MAX(F565,0),E544)))))</f>
        <v>75000</v>
      </c>
      <c r="F566" s="18">
        <f>IF($A566&gt;20,F565,(F565-E544+E566)*(1+$C$7))</f>
        <v>0</v>
      </c>
      <c r="G566" s="18">
        <f t="shared" si="55"/>
        <v>-426545.59203062271</v>
      </c>
      <c r="H566" s="18">
        <f>IF($A566&gt;20,0,(H544-MIN(MAX(I565,0),H544))+MIN(MAX(0,J565-(H544-MIN(MAX(I565,0),H544))),MAX(0,5*H544-(I565-MIN(MAX(I565,0),H544)))))</f>
        <v>28080.347475916271</v>
      </c>
      <c r="I566" s="18">
        <f>IF($A566&gt;20,I565,(I565-H544+H566)*(1+$C$7))</f>
        <v>0</v>
      </c>
      <c r="J566" s="18">
        <f t="shared" si="56"/>
        <v>-28922.757900193759</v>
      </c>
      <c r="K566" s="18">
        <f>IF($A566&gt;20,0,(K544-MIN(MAX(L565,0),K544))+MIN(MAX(0,M565-(K544-MIN(MAX(L565,0),K544))),MAX(0,5*K544-(L565-MIN(MAX(L565,0),K544)))))</f>
        <v>0</v>
      </c>
      <c r="L566" s="18">
        <f>IF($A566&gt;20,L565,(L565-K544+K566)*(1+$C$7))</f>
        <v>66.38159358048506</v>
      </c>
      <c r="M566" s="18">
        <f t="shared" si="57"/>
        <v>0</v>
      </c>
      <c r="N566" s="18">
        <f>IF($A566&gt;20,0,(N544-MIN(MAX(O565,0),N544))+MIN(MAX(0,P565-(N544-MIN(MAX(O565,0),N544))),MAX(0,5*N544-(O565-MIN(MAX(O565,0),N544)))))</f>
        <v>0</v>
      </c>
      <c r="O566" s="18">
        <f>IF($A566&gt;20,O565,(O565-N544+N566)*(1+$C$7))</f>
        <v>1.5239235263066708</v>
      </c>
      <c r="P566" s="18">
        <f t="shared" si="58"/>
        <v>0</v>
      </c>
      <c r="Q566" s="18">
        <f>IF($A566&gt;20,0,(Q544-MIN(MAX(R565,0),Q544))+MIN(MAX(0,S565-(Q544-MIN(MAX(R565,0),Q544))),MAX(0,5*Q544-(R565-MIN(MAX(R565,0),Q544)))))</f>
        <v>4.6566128730773926E-10</v>
      </c>
      <c r="R566" s="18">
        <f>IF($A566&gt;20,R565,(R565-Q544+Q566)*(1+$C$7))</f>
        <v>0</v>
      </c>
      <c r="S566" s="18">
        <f t="shared" si="59"/>
        <v>-4.7963112592697145E-10</v>
      </c>
    </row>
    <row r="567" spans="1:19">
      <c r="A567" s="10">
        <f>21</f>
        <v>21</v>
      </c>
      <c r="B567" s="18">
        <f>IF($A567&gt;20,0,(B544-MIN(MAX(C566,0),B544))+MIN(MAX(0,D566-(B544-MIN(MAX(C566,0),B544))),MAX(0,5*B544-(C566-MIN(MAX(C566,0),B544)))))</f>
        <v>0</v>
      </c>
      <c r="C567" s="18">
        <f>IF($A567&gt;20,C566,(C566-B544+B567)*(1+$C$7))</f>
        <v>150945</v>
      </c>
      <c r="D567" s="18">
        <f t="shared" si="54"/>
        <v>729347.4816515923</v>
      </c>
      <c r="E567" s="18">
        <f>IF($A567&gt;20,0,(E544-MIN(MAX(F566,0),E544))+MIN(MAX(0,G566-(E544-MIN(MAX(F566,0),E544))),MAX(0,5*E544-(F566-MIN(MAX(F566,0),E544)))))</f>
        <v>0</v>
      </c>
      <c r="F567" s="18">
        <f>IF($A567&gt;20,F566,(F566-E544+E567)*(1+$C$7))</f>
        <v>0</v>
      </c>
      <c r="G567" s="18">
        <f t="shared" si="55"/>
        <v>-426545.59203062271</v>
      </c>
      <c r="H567" s="18">
        <f>IF($A567&gt;20,0,(H544-MIN(MAX(I566,0),H544))+MIN(MAX(0,J566-(H544-MIN(MAX(I566,0),H544))),MAX(0,5*H544-(I566-MIN(MAX(I566,0),H544)))))</f>
        <v>0</v>
      </c>
      <c r="I567" s="18">
        <f>IF($A567&gt;20,I566,(I566-H544+H567)*(1+$C$7))</f>
        <v>0</v>
      </c>
      <c r="J567" s="18">
        <f t="shared" si="56"/>
        <v>-28922.757900193759</v>
      </c>
      <c r="K567" s="18">
        <f>IF($A567&gt;20,0,(K544-MIN(MAX(L566,0),K544))+MIN(MAX(0,M566-(K544-MIN(MAX(L566,0),K544))),MAX(0,5*K544-(L566-MIN(MAX(L566,0),K544)))))</f>
        <v>0</v>
      </c>
      <c r="L567" s="18">
        <f>IF($A567&gt;20,L566,(L566-K544+K567)*(1+$C$7))</f>
        <v>66.38159358048506</v>
      </c>
      <c r="M567" s="18">
        <f t="shared" si="57"/>
        <v>0</v>
      </c>
      <c r="N567" s="18">
        <f>IF($A567&gt;20,0,(N544-MIN(MAX(O566,0),N544))+MIN(MAX(0,P566-(N544-MIN(MAX(O566,0),N544))),MAX(0,5*N544-(O566-MIN(MAX(O566,0),N544)))))</f>
        <v>0</v>
      </c>
      <c r="O567" s="18">
        <f>IF($A567&gt;20,O566,(O566-N544+N567)*(1+$C$7))</f>
        <v>1.5239235263066708</v>
      </c>
      <c r="P567" s="18">
        <f t="shared" si="58"/>
        <v>0</v>
      </c>
      <c r="Q567" s="18">
        <f>IF($A567&gt;20,0,(Q544-MIN(MAX(R566,0),Q544))+MIN(MAX(0,S566-(Q544-MIN(MAX(R566,0),Q544))),MAX(0,5*Q544-(R566-MIN(MAX(R566,0),Q544)))))</f>
        <v>0</v>
      </c>
      <c r="R567" s="18">
        <f>IF($A567&gt;20,R566,(R566-Q544+Q567)*(1+$C$7))</f>
        <v>0</v>
      </c>
      <c r="S567" s="18">
        <f t="shared" si="59"/>
        <v>-4.7963112592697145E-10</v>
      </c>
    </row>
    <row r="568" spans="1:19">
      <c r="A568" s="10">
        <f>22</f>
        <v>22</v>
      </c>
      <c r="B568" s="18">
        <f>IF($A568&gt;20,0,(B544-MIN(MAX(C567,0),B544))+MIN(MAX(0,D567-(B544-MIN(MAX(C567,0),B544))),MAX(0,5*B544-(C567-MIN(MAX(C567,0),B544)))))</f>
        <v>0</v>
      </c>
      <c r="C568" s="18">
        <f>IF($A568&gt;20,C567,(C567-B544+B568)*(1+$C$7))</f>
        <v>150945</v>
      </c>
      <c r="D568" s="18">
        <f t="shared" si="54"/>
        <v>729347.4816515923</v>
      </c>
      <c r="E568" s="18">
        <f>IF($A568&gt;20,0,(E544-MIN(MAX(F567,0),E544))+MIN(MAX(0,G567-(E544-MIN(MAX(F567,0),E544))),MAX(0,5*E544-(F567-MIN(MAX(F567,0),E544)))))</f>
        <v>0</v>
      </c>
      <c r="F568" s="18">
        <f>IF($A568&gt;20,F567,(F567-E544+E568)*(1+$C$7))</f>
        <v>0</v>
      </c>
      <c r="G568" s="18">
        <f t="shared" si="55"/>
        <v>-426545.59203062271</v>
      </c>
      <c r="H568" s="18">
        <f>IF($A568&gt;20,0,(H544-MIN(MAX(I567,0),H544))+MIN(MAX(0,J567-(H544-MIN(MAX(I567,0),H544))),MAX(0,5*H544-(I567-MIN(MAX(I567,0),H544)))))</f>
        <v>0</v>
      </c>
      <c r="I568" s="18">
        <f>IF($A568&gt;20,I567,(I567-H544+H568)*(1+$C$7))</f>
        <v>0</v>
      </c>
      <c r="J568" s="18">
        <f t="shared" si="56"/>
        <v>-28922.757900193759</v>
      </c>
      <c r="K568" s="18">
        <f>IF($A568&gt;20,0,(K544-MIN(MAX(L567,0),K544))+MIN(MAX(0,M567-(K544-MIN(MAX(L567,0),K544))),MAX(0,5*K544-(L567-MIN(MAX(L567,0),K544)))))</f>
        <v>0</v>
      </c>
      <c r="L568" s="18">
        <f>IF($A568&gt;20,L567,(L567-K544+K568)*(1+$C$7))</f>
        <v>66.38159358048506</v>
      </c>
      <c r="M568" s="18">
        <f t="shared" si="57"/>
        <v>0</v>
      </c>
      <c r="N568" s="18">
        <f>IF($A568&gt;20,0,(N544-MIN(MAX(O567,0),N544))+MIN(MAX(0,P567-(N544-MIN(MAX(O567,0),N544))),MAX(0,5*N544-(O567-MIN(MAX(O567,0),N544)))))</f>
        <v>0</v>
      </c>
      <c r="O568" s="18">
        <f>IF($A568&gt;20,O567,(O567-N544+N568)*(1+$C$7))</f>
        <v>1.5239235263066708</v>
      </c>
      <c r="P568" s="18">
        <f t="shared" si="58"/>
        <v>0</v>
      </c>
      <c r="Q568" s="18">
        <f>IF($A568&gt;20,0,(Q544-MIN(MAX(R567,0),Q544))+MIN(MAX(0,S567-(Q544-MIN(MAX(R567,0),Q544))),MAX(0,5*Q544-(R567-MIN(MAX(R567,0),Q544)))))</f>
        <v>0</v>
      </c>
      <c r="R568" s="18">
        <f>IF($A568&gt;20,R567,(R567-Q544+Q568)*(1+$C$7))</f>
        <v>0</v>
      </c>
      <c r="S568" s="18">
        <f t="shared" si="59"/>
        <v>-4.7963112592697145E-10</v>
      </c>
    </row>
    <row r="569" spans="1:19">
      <c r="A569" s="10">
        <f>23</f>
        <v>23</v>
      </c>
      <c r="B569" s="18">
        <f>IF($A569&gt;20,0,(B544-MIN(MAX(C568,0),B544))+MIN(MAX(0,D568-(B544-MIN(MAX(C568,0),B544))),MAX(0,5*B544-(C568-MIN(MAX(C568,0),B544)))))</f>
        <v>0</v>
      </c>
      <c r="C569" s="18">
        <f>IF($A569&gt;20,C568,(C568-B544+B569)*(1+$C$7))</f>
        <v>150945</v>
      </c>
      <c r="D569" s="18">
        <f t="shared" si="54"/>
        <v>729347.4816515923</v>
      </c>
      <c r="E569" s="18">
        <f>IF($A569&gt;20,0,(E544-MIN(MAX(F568,0),E544))+MIN(MAX(0,G568-(E544-MIN(MAX(F568,0),E544))),MAX(0,5*E544-(F568-MIN(MAX(F568,0),E544)))))</f>
        <v>0</v>
      </c>
      <c r="F569" s="18">
        <f>IF($A569&gt;20,F568,(F568-E544+E569)*(1+$C$7))</f>
        <v>0</v>
      </c>
      <c r="G569" s="18">
        <f t="shared" si="55"/>
        <v>-426545.59203062271</v>
      </c>
      <c r="H569" s="18">
        <f>IF($A569&gt;20,0,(H544-MIN(MAX(I568,0),H544))+MIN(MAX(0,J568-(H544-MIN(MAX(I568,0),H544))),MAX(0,5*H544-(I568-MIN(MAX(I568,0),H544)))))</f>
        <v>0</v>
      </c>
      <c r="I569" s="18">
        <f>IF($A569&gt;20,I568,(I568-H544+H569)*(1+$C$7))</f>
        <v>0</v>
      </c>
      <c r="J569" s="18">
        <f t="shared" si="56"/>
        <v>-28922.757900193759</v>
      </c>
      <c r="K569" s="18">
        <f>IF($A569&gt;20,0,(K544-MIN(MAX(L568,0),K544))+MIN(MAX(0,M568-(K544-MIN(MAX(L568,0),K544))),MAX(0,5*K544-(L568-MIN(MAX(L568,0),K544)))))</f>
        <v>0</v>
      </c>
      <c r="L569" s="18">
        <f>IF($A569&gt;20,L568,(L568-K544+K569)*(1+$C$7))</f>
        <v>66.38159358048506</v>
      </c>
      <c r="M569" s="18">
        <f t="shared" si="57"/>
        <v>0</v>
      </c>
      <c r="N569" s="18">
        <f>IF($A569&gt;20,0,(N544-MIN(MAX(O568,0),N544))+MIN(MAX(0,P568-(N544-MIN(MAX(O568,0),N544))),MAX(0,5*N544-(O568-MIN(MAX(O568,0),N544)))))</f>
        <v>0</v>
      </c>
      <c r="O569" s="18">
        <f>IF($A569&gt;20,O568,(O568-N544+N569)*(1+$C$7))</f>
        <v>1.5239235263066708</v>
      </c>
      <c r="P569" s="18">
        <f t="shared" si="58"/>
        <v>0</v>
      </c>
      <c r="Q569" s="18">
        <f>IF($A569&gt;20,0,(Q544-MIN(MAX(R568,0),Q544))+MIN(MAX(0,S568-(Q544-MIN(MAX(R568,0),Q544))),MAX(0,5*Q544-(R568-MIN(MAX(R568,0),Q544)))))</f>
        <v>0</v>
      </c>
      <c r="R569" s="18">
        <f>IF($A569&gt;20,R568,(R568-Q544+Q569)*(1+$C$7))</f>
        <v>0</v>
      </c>
      <c r="S569" s="18">
        <f t="shared" si="59"/>
        <v>-4.7963112592697145E-10</v>
      </c>
    </row>
    <row r="570" spans="1:19">
      <c r="A570" s="10">
        <f>24</f>
        <v>24</v>
      </c>
      <c r="B570" s="18">
        <f>IF($A570&gt;20,0,(B544-MIN(MAX(C569,0),B544))+MIN(MAX(0,D569-(B544-MIN(MAX(C569,0),B544))),MAX(0,5*B544-(C569-MIN(MAX(C569,0),B544)))))</f>
        <v>0</v>
      </c>
      <c r="C570" s="18">
        <f>IF($A570&gt;20,C569,(C569-B544+B570)*(1+$C$7))</f>
        <v>150945</v>
      </c>
      <c r="D570" s="18">
        <f t="shared" si="54"/>
        <v>729347.4816515923</v>
      </c>
      <c r="E570" s="18">
        <f>IF($A570&gt;20,0,(E544-MIN(MAX(F569,0),E544))+MIN(MAX(0,G569-(E544-MIN(MAX(F569,0),E544))),MAX(0,5*E544-(F569-MIN(MAX(F569,0),E544)))))</f>
        <v>0</v>
      </c>
      <c r="F570" s="18">
        <f>IF($A570&gt;20,F569,(F569-E544+E570)*(1+$C$7))</f>
        <v>0</v>
      </c>
      <c r="G570" s="18">
        <f t="shared" si="55"/>
        <v>-426545.59203062271</v>
      </c>
      <c r="H570" s="18">
        <f>IF($A570&gt;20,0,(H544-MIN(MAX(I569,0),H544))+MIN(MAX(0,J569-(H544-MIN(MAX(I569,0),H544))),MAX(0,5*H544-(I569-MIN(MAX(I569,0),H544)))))</f>
        <v>0</v>
      </c>
      <c r="I570" s="18">
        <f>IF($A570&gt;20,I569,(I569-H544+H570)*(1+$C$7))</f>
        <v>0</v>
      </c>
      <c r="J570" s="18">
        <f t="shared" si="56"/>
        <v>-28922.757900193759</v>
      </c>
      <c r="K570" s="18">
        <f>IF($A570&gt;20,0,(K544-MIN(MAX(L569,0),K544))+MIN(MAX(0,M569-(K544-MIN(MAX(L569,0),K544))),MAX(0,5*K544-(L569-MIN(MAX(L569,0),K544)))))</f>
        <v>0</v>
      </c>
      <c r="L570" s="18">
        <f>IF($A570&gt;20,L569,(L569-K544+K570)*(1+$C$7))</f>
        <v>66.38159358048506</v>
      </c>
      <c r="M570" s="18">
        <f t="shared" si="57"/>
        <v>0</v>
      </c>
      <c r="N570" s="18">
        <f>IF($A570&gt;20,0,(N544-MIN(MAX(O569,0),N544))+MIN(MAX(0,P569-(N544-MIN(MAX(O569,0),N544))),MAX(0,5*N544-(O569-MIN(MAX(O569,0),N544)))))</f>
        <v>0</v>
      </c>
      <c r="O570" s="18">
        <f>IF($A570&gt;20,O569,(O569-N544+N570)*(1+$C$7))</f>
        <v>1.5239235263066708</v>
      </c>
      <c r="P570" s="18">
        <f t="shared" si="58"/>
        <v>0</v>
      </c>
      <c r="Q570" s="18">
        <f>IF($A570&gt;20,0,(Q544-MIN(MAX(R569,0),Q544))+MIN(MAX(0,S569-(Q544-MIN(MAX(R569,0),Q544))),MAX(0,5*Q544-(R569-MIN(MAX(R569,0),Q544)))))</f>
        <v>0</v>
      </c>
      <c r="R570" s="18">
        <f>IF($A570&gt;20,R569,(R569-Q544+Q570)*(1+$C$7))</f>
        <v>0</v>
      </c>
      <c r="S570" s="18">
        <f t="shared" si="59"/>
        <v>-4.7963112592697145E-10</v>
      </c>
    </row>
    <row r="571" spans="1:19">
      <c r="A571" s="10">
        <f>25</f>
        <v>25</v>
      </c>
      <c r="B571" s="18">
        <f>IF($A571&gt;20,0,(B544-MIN(MAX(C570,0),B544))+MIN(MAX(0,D570-(B544-MIN(MAX(C570,0),B544))),MAX(0,5*B544-(C570-MIN(MAX(C570,0),B544)))))</f>
        <v>0</v>
      </c>
      <c r="C571" s="18">
        <f>IF($A571&gt;20,C570,(C570-B544+B571)*(1+$C$7))</f>
        <v>150945</v>
      </c>
      <c r="D571" s="18">
        <f t="shared" si="54"/>
        <v>729347.4816515923</v>
      </c>
      <c r="E571" s="18">
        <f>IF($A571&gt;20,0,(E544-MIN(MAX(F570,0),E544))+MIN(MAX(0,G570-(E544-MIN(MAX(F570,0),E544))),MAX(0,5*E544-(F570-MIN(MAX(F570,0),E544)))))</f>
        <v>0</v>
      </c>
      <c r="F571" s="18">
        <f>IF($A571&gt;20,F570,(F570-E544+E571)*(1+$C$7))</f>
        <v>0</v>
      </c>
      <c r="G571" s="18">
        <f t="shared" si="55"/>
        <v>-426545.59203062271</v>
      </c>
      <c r="H571" s="18">
        <f>IF($A571&gt;20,0,(H544-MIN(MAX(I570,0),H544))+MIN(MAX(0,J570-(H544-MIN(MAX(I570,0),H544))),MAX(0,5*H544-(I570-MIN(MAX(I570,0),H544)))))</f>
        <v>0</v>
      </c>
      <c r="I571" s="18">
        <f>IF($A571&gt;20,I570,(I570-H544+H571)*(1+$C$7))</f>
        <v>0</v>
      </c>
      <c r="J571" s="18">
        <f t="shared" si="56"/>
        <v>-28922.757900193759</v>
      </c>
      <c r="K571" s="18">
        <f>IF($A571&gt;20,0,(K544-MIN(MAX(L570,0),K544))+MIN(MAX(0,M570-(K544-MIN(MAX(L570,0),K544))),MAX(0,5*K544-(L570-MIN(MAX(L570,0),K544)))))</f>
        <v>0</v>
      </c>
      <c r="L571" s="18">
        <f>IF($A571&gt;20,L570,(L570-K544+K571)*(1+$C$7))</f>
        <v>66.38159358048506</v>
      </c>
      <c r="M571" s="18">
        <f t="shared" si="57"/>
        <v>0</v>
      </c>
      <c r="N571" s="18">
        <f>IF($A571&gt;20,0,(N544-MIN(MAX(O570,0),N544))+MIN(MAX(0,P570-(N544-MIN(MAX(O570,0),N544))),MAX(0,5*N544-(O570-MIN(MAX(O570,0),N544)))))</f>
        <v>0</v>
      </c>
      <c r="O571" s="18">
        <f>IF($A571&gt;20,O570,(O570-N544+N571)*(1+$C$7))</f>
        <v>1.5239235263066708</v>
      </c>
      <c r="P571" s="18">
        <f t="shared" si="58"/>
        <v>0</v>
      </c>
      <c r="Q571" s="18">
        <f>IF($A571&gt;20,0,(Q544-MIN(MAX(R570,0),Q544))+MIN(MAX(0,S570-(Q544-MIN(MAX(R570,0),Q544))),MAX(0,5*Q544-(R570-MIN(MAX(R570,0),Q544)))))</f>
        <v>0</v>
      </c>
      <c r="R571" s="18">
        <f>IF($A571&gt;20,R570,(R570-Q544+Q571)*(1+$C$7))</f>
        <v>0</v>
      </c>
      <c r="S571" s="18">
        <f t="shared" si="59"/>
        <v>-4.7963112592697145E-10</v>
      </c>
    </row>
    <row r="572" spans="1:19">
      <c r="A572" s="10">
        <f>26</f>
        <v>26</v>
      </c>
      <c r="B572" s="18">
        <f>IF($A572&gt;20,0,(B544-MIN(MAX(C571,0),B544))+MIN(MAX(0,D571-(B544-MIN(MAX(C571,0),B544))),MAX(0,5*B544-(C571-MIN(MAX(C571,0),B544)))))</f>
        <v>0</v>
      </c>
      <c r="C572" s="18">
        <f>IF($A572&gt;20,C571,(C571-B544+B572)*(1+$C$7))</f>
        <v>150945</v>
      </c>
      <c r="D572" s="18">
        <f t="shared" si="54"/>
        <v>729347.4816515923</v>
      </c>
      <c r="E572" s="18">
        <f>IF($A572&gt;20,0,(E544-MIN(MAX(F571,0),E544))+MIN(MAX(0,G571-(E544-MIN(MAX(F571,0),E544))),MAX(0,5*E544-(F571-MIN(MAX(F571,0),E544)))))</f>
        <v>0</v>
      </c>
      <c r="F572" s="18">
        <f>IF($A572&gt;20,F571,(F571-E544+E572)*(1+$C$7))</f>
        <v>0</v>
      </c>
      <c r="G572" s="18">
        <f t="shared" si="55"/>
        <v>-426545.59203062271</v>
      </c>
      <c r="H572" s="18">
        <f>IF($A572&gt;20,0,(H544-MIN(MAX(I571,0),H544))+MIN(MAX(0,J571-(H544-MIN(MAX(I571,0),H544))),MAX(0,5*H544-(I571-MIN(MAX(I571,0),H544)))))</f>
        <v>0</v>
      </c>
      <c r="I572" s="18">
        <f>IF($A572&gt;20,I571,(I571-H544+H572)*(1+$C$7))</f>
        <v>0</v>
      </c>
      <c r="J572" s="18">
        <f t="shared" si="56"/>
        <v>-28922.757900193759</v>
      </c>
      <c r="K572" s="18">
        <f>IF($A572&gt;20,0,(K544-MIN(MAX(L571,0),K544))+MIN(MAX(0,M571-(K544-MIN(MAX(L571,0),K544))),MAX(0,5*K544-(L571-MIN(MAX(L571,0),K544)))))</f>
        <v>0</v>
      </c>
      <c r="L572" s="18">
        <f>IF($A572&gt;20,L571,(L571-K544+K572)*(1+$C$7))</f>
        <v>66.38159358048506</v>
      </c>
      <c r="M572" s="18">
        <f t="shared" si="57"/>
        <v>0</v>
      </c>
      <c r="N572" s="18">
        <f>IF($A572&gt;20,0,(N544-MIN(MAX(O571,0),N544))+MIN(MAX(0,P571-(N544-MIN(MAX(O571,0),N544))),MAX(0,5*N544-(O571-MIN(MAX(O571,0),N544)))))</f>
        <v>0</v>
      </c>
      <c r="O572" s="18">
        <f>IF($A572&gt;20,O571,(O571-N544+N572)*(1+$C$7))</f>
        <v>1.5239235263066708</v>
      </c>
      <c r="P572" s="18">
        <f t="shared" si="58"/>
        <v>0</v>
      </c>
      <c r="Q572" s="18">
        <f>IF($A572&gt;20,0,(Q544-MIN(MAX(R571,0),Q544))+MIN(MAX(0,S571-(Q544-MIN(MAX(R571,0),Q544))),MAX(0,5*Q544-(R571-MIN(MAX(R571,0),Q544)))))</f>
        <v>0</v>
      </c>
      <c r="R572" s="18">
        <f>IF($A572&gt;20,R571,(R571-Q544+Q572)*(1+$C$7))</f>
        <v>0</v>
      </c>
      <c r="S572" s="18">
        <f t="shared" si="59"/>
        <v>-4.7963112592697145E-10</v>
      </c>
    </row>
    <row r="573" spans="1:19">
      <c r="A573" s="10">
        <f>27</f>
        <v>27</v>
      </c>
      <c r="B573" s="18">
        <f>IF($A573&gt;20,0,(B544-MIN(MAX(C572,0),B544))+MIN(MAX(0,D572-(B544-MIN(MAX(C572,0),B544))),MAX(0,5*B544-(C572-MIN(MAX(C572,0),B544)))))</f>
        <v>0</v>
      </c>
      <c r="C573" s="18">
        <f>IF($A573&gt;20,C572,(C572-B544+B573)*(1+$C$7))</f>
        <v>150945</v>
      </c>
      <c r="D573" s="18">
        <f t="shared" si="54"/>
        <v>729347.4816515923</v>
      </c>
      <c r="E573" s="18">
        <f>IF($A573&gt;20,0,(E544-MIN(MAX(F572,0),E544))+MIN(MAX(0,G572-(E544-MIN(MAX(F572,0),E544))),MAX(0,5*E544-(F572-MIN(MAX(F572,0),E544)))))</f>
        <v>0</v>
      </c>
      <c r="F573" s="18">
        <f>IF($A573&gt;20,F572,(F572-E544+E573)*(1+$C$7))</f>
        <v>0</v>
      </c>
      <c r="G573" s="18">
        <f t="shared" si="55"/>
        <v>-426545.59203062271</v>
      </c>
      <c r="H573" s="18">
        <f>IF($A573&gt;20,0,(H544-MIN(MAX(I572,0),H544))+MIN(MAX(0,J572-(H544-MIN(MAX(I572,0),H544))),MAX(0,5*H544-(I572-MIN(MAX(I572,0),H544)))))</f>
        <v>0</v>
      </c>
      <c r="I573" s="18">
        <f>IF($A573&gt;20,I572,(I572-H544+H573)*(1+$C$7))</f>
        <v>0</v>
      </c>
      <c r="J573" s="18">
        <f t="shared" si="56"/>
        <v>-28922.757900193759</v>
      </c>
      <c r="K573" s="18">
        <f>IF($A573&gt;20,0,(K544-MIN(MAX(L572,0),K544))+MIN(MAX(0,M572-(K544-MIN(MAX(L572,0),K544))),MAX(0,5*K544-(L572-MIN(MAX(L572,0),K544)))))</f>
        <v>0</v>
      </c>
      <c r="L573" s="18">
        <f>IF($A573&gt;20,L572,(L572-K544+K573)*(1+$C$7))</f>
        <v>66.38159358048506</v>
      </c>
      <c r="M573" s="18">
        <f t="shared" si="57"/>
        <v>0</v>
      </c>
      <c r="N573" s="18">
        <f>IF($A573&gt;20,0,(N544-MIN(MAX(O572,0),N544))+MIN(MAX(0,P572-(N544-MIN(MAX(O572,0),N544))),MAX(0,5*N544-(O572-MIN(MAX(O572,0),N544)))))</f>
        <v>0</v>
      </c>
      <c r="O573" s="18">
        <f>IF($A573&gt;20,O572,(O572-N544+N573)*(1+$C$7))</f>
        <v>1.5239235263066708</v>
      </c>
      <c r="P573" s="18">
        <f t="shared" si="58"/>
        <v>0</v>
      </c>
      <c r="Q573" s="18">
        <f>IF($A573&gt;20,0,(Q544-MIN(MAX(R572,0),Q544))+MIN(MAX(0,S572-(Q544-MIN(MAX(R572,0),Q544))),MAX(0,5*Q544-(R572-MIN(MAX(R572,0),Q544)))))</f>
        <v>0</v>
      </c>
      <c r="R573" s="18">
        <f>IF($A573&gt;20,R572,(R572-Q544+Q573)*(1+$C$7))</f>
        <v>0</v>
      </c>
      <c r="S573" s="18">
        <f t="shared" si="59"/>
        <v>-4.7963112592697145E-10</v>
      </c>
    </row>
    <row r="574" spans="1:19">
      <c r="A574" s="10">
        <f>28</f>
        <v>28</v>
      </c>
      <c r="B574" s="18">
        <f>IF($A574&gt;20,0,(B544-MIN(MAX(C573,0),B544))+MIN(MAX(0,D573-(B544-MIN(MAX(C573,0),B544))),MAX(0,5*B544-(C573-MIN(MAX(C573,0),B544)))))</f>
        <v>0</v>
      </c>
      <c r="C574" s="18">
        <f>IF($A574&gt;20,C573,(C573-B544+B574)*(1+$C$7))</f>
        <v>150945</v>
      </c>
      <c r="D574" s="18">
        <f t="shared" si="54"/>
        <v>729347.4816515923</v>
      </c>
      <c r="E574" s="18">
        <f>IF($A574&gt;20,0,(E544-MIN(MAX(F573,0),E544))+MIN(MAX(0,G573-(E544-MIN(MAX(F573,0),E544))),MAX(0,5*E544-(F573-MIN(MAX(F573,0),E544)))))</f>
        <v>0</v>
      </c>
      <c r="F574" s="18">
        <f>IF($A574&gt;20,F573,(F573-E544+E574)*(1+$C$7))</f>
        <v>0</v>
      </c>
      <c r="G574" s="18">
        <f t="shared" si="55"/>
        <v>-426545.59203062271</v>
      </c>
      <c r="H574" s="18">
        <f>IF($A574&gt;20,0,(H544-MIN(MAX(I573,0),H544))+MIN(MAX(0,J573-(H544-MIN(MAX(I573,0),H544))),MAX(0,5*H544-(I573-MIN(MAX(I573,0),H544)))))</f>
        <v>0</v>
      </c>
      <c r="I574" s="18">
        <f>IF($A574&gt;20,I573,(I573-H544+H574)*(1+$C$7))</f>
        <v>0</v>
      </c>
      <c r="J574" s="18">
        <f t="shared" si="56"/>
        <v>-28922.757900193759</v>
      </c>
      <c r="K574" s="18">
        <f>IF($A574&gt;20,0,(K544-MIN(MAX(L573,0),K544))+MIN(MAX(0,M573-(K544-MIN(MAX(L573,0),K544))),MAX(0,5*K544-(L573-MIN(MAX(L573,0),K544)))))</f>
        <v>0</v>
      </c>
      <c r="L574" s="18">
        <f>IF($A574&gt;20,L573,(L573-K544+K574)*(1+$C$7))</f>
        <v>66.38159358048506</v>
      </c>
      <c r="M574" s="18">
        <f t="shared" si="57"/>
        <v>0</v>
      </c>
      <c r="N574" s="18">
        <f>IF($A574&gt;20,0,(N544-MIN(MAX(O573,0),N544))+MIN(MAX(0,P573-(N544-MIN(MAX(O573,0),N544))),MAX(0,5*N544-(O573-MIN(MAX(O573,0),N544)))))</f>
        <v>0</v>
      </c>
      <c r="O574" s="18">
        <f>IF($A574&gt;20,O573,(O573-N544+N574)*(1+$C$7))</f>
        <v>1.5239235263066708</v>
      </c>
      <c r="P574" s="18">
        <f t="shared" si="58"/>
        <v>0</v>
      </c>
      <c r="Q574" s="18">
        <f>IF($A574&gt;20,0,(Q544-MIN(MAX(R573,0),Q544))+MIN(MAX(0,S573-(Q544-MIN(MAX(R573,0),Q544))),MAX(0,5*Q544-(R573-MIN(MAX(R573,0),Q544)))))</f>
        <v>0</v>
      </c>
      <c r="R574" s="18">
        <f>IF($A574&gt;20,R573,(R573-Q544+Q574)*(1+$C$7))</f>
        <v>0</v>
      </c>
      <c r="S574" s="18">
        <f t="shared" si="59"/>
        <v>-4.7963112592697145E-10</v>
      </c>
    </row>
    <row r="575" spans="1:19">
      <c r="A575" s="10">
        <f>29</f>
        <v>29</v>
      </c>
      <c r="B575" s="18">
        <f>IF($A575&gt;20,0,(B544-MIN(MAX(C574,0),B544))+MIN(MAX(0,D574-(B544-MIN(MAX(C574,0),B544))),MAX(0,5*B544-(C574-MIN(MAX(C574,0),B544)))))</f>
        <v>0</v>
      </c>
      <c r="C575" s="18">
        <f>IF($A575&gt;20,C574,(C574-B544+B575)*(1+$C$7))</f>
        <v>150945</v>
      </c>
      <c r="D575" s="18">
        <f t="shared" si="54"/>
        <v>729347.4816515923</v>
      </c>
      <c r="E575" s="18">
        <f>IF($A575&gt;20,0,(E544-MIN(MAX(F574,0),E544))+MIN(MAX(0,G574-(E544-MIN(MAX(F574,0),E544))),MAX(0,5*E544-(F574-MIN(MAX(F574,0),E544)))))</f>
        <v>0</v>
      </c>
      <c r="F575" s="18">
        <f>IF($A575&gt;20,F574,(F574-E544+E575)*(1+$C$7))</f>
        <v>0</v>
      </c>
      <c r="G575" s="18">
        <f t="shared" si="55"/>
        <v>-426545.59203062271</v>
      </c>
      <c r="H575" s="18">
        <f>IF($A575&gt;20,0,(H544-MIN(MAX(I574,0),H544))+MIN(MAX(0,J574-(H544-MIN(MAX(I574,0),H544))),MAX(0,5*H544-(I574-MIN(MAX(I574,0),H544)))))</f>
        <v>0</v>
      </c>
      <c r="I575" s="18">
        <f>IF($A575&gt;20,I574,(I574-H544+H575)*(1+$C$7))</f>
        <v>0</v>
      </c>
      <c r="J575" s="18">
        <f t="shared" si="56"/>
        <v>-28922.757900193759</v>
      </c>
      <c r="K575" s="18">
        <f>IF($A575&gt;20,0,(K544-MIN(MAX(L574,0),K544))+MIN(MAX(0,M574-(K544-MIN(MAX(L574,0),K544))),MAX(0,5*K544-(L574-MIN(MAX(L574,0),K544)))))</f>
        <v>0</v>
      </c>
      <c r="L575" s="18">
        <f>IF($A575&gt;20,L574,(L574-K544+K575)*(1+$C$7))</f>
        <v>66.38159358048506</v>
      </c>
      <c r="M575" s="18">
        <f t="shared" si="57"/>
        <v>0</v>
      </c>
      <c r="N575" s="18">
        <f>IF($A575&gt;20,0,(N544-MIN(MAX(O574,0),N544))+MIN(MAX(0,P574-(N544-MIN(MAX(O574,0),N544))),MAX(0,5*N544-(O574-MIN(MAX(O574,0),N544)))))</f>
        <v>0</v>
      </c>
      <c r="O575" s="18">
        <f>IF($A575&gt;20,O574,(O574-N544+N575)*(1+$C$7))</f>
        <v>1.5239235263066708</v>
      </c>
      <c r="P575" s="18">
        <f t="shared" si="58"/>
        <v>0</v>
      </c>
      <c r="Q575" s="18">
        <f>IF($A575&gt;20,0,(Q544-MIN(MAX(R574,0),Q544))+MIN(MAX(0,S574-(Q544-MIN(MAX(R574,0),Q544))),MAX(0,5*Q544-(R574-MIN(MAX(R574,0),Q544)))))</f>
        <v>0</v>
      </c>
      <c r="R575" s="18">
        <f>IF($A575&gt;20,R574,(R574-Q544+Q575)*(1+$C$7))</f>
        <v>0</v>
      </c>
      <c r="S575" s="18">
        <f t="shared" si="59"/>
        <v>-4.7963112592697145E-10</v>
      </c>
    </row>
    <row r="576" spans="1:19">
      <c r="A576" s="10">
        <f>30</f>
        <v>30</v>
      </c>
      <c r="B576" s="18">
        <f>IF($A576&gt;20,0,(B544-MIN(MAX(C575,0),B544))+MIN(MAX(0,D575-(B544-MIN(MAX(C575,0),B544))),MAX(0,5*B544-(C575-MIN(MAX(C575,0),B544)))))</f>
        <v>0</v>
      </c>
      <c r="C576" s="18">
        <f>IF($A576&gt;20,C575,(C575-B544+B576)*(1+$C$7))</f>
        <v>150945</v>
      </c>
      <c r="D576" s="18">
        <f t="shared" si="54"/>
        <v>729347.4816515923</v>
      </c>
      <c r="E576" s="18">
        <f>IF($A576&gt;20,0,(E544-MIN(MAX(F575,0),E544))+MIN(MAX(0,G575-(E544-MIN(MAX(F575,0),E544))),MAX(0,5*E544-(F575-MIN(MAX(F575,0),E544)))))</f>
        <v>0</v>
      </c>
      <c r="F576" s="18">
        <f>IF($A576&gt;20,F575,(F575-E544+E576)*(1+$C$7))</f>
        <v>0</v>
      </c>
      <c r="G576" s="18">
        <f t="shared" si="55"/>
        <v>-426545.59203062271</v>
      </c>
      <c r="H576" s="18">
        <f>IF($A576&gt;20,0,(H544-MIN(MAX(I575,0),H544))+MIN(MAX(0,J575-(H544-MIN(MAX(I575,0),H544))),MAX(0,5*H544-(I575-MIN(MAX(I575,0),H544)))))</f>
        <v>0</v>
      </c>
      <c r="I576" s="18">
        <f>IF($A576&gt;20,I575,(I575-H544+H576)*(1+$C$7))</f>
        <v>0</v>
      </c>
      <c r="J576" s="18">
        <f t="shared" si="56"/>
        <v>-28922.757900193759</v>
      </c>
      <c r="K576" s="18">
        <f>IF($A576&gt;20,0,(K544-MIN(MAX(L575,0),K544))+MIN(MAX(0,M575-(K544-MIN(MAX(L575,0),K544))),MAX(0,5*K544-(L575-MIN(MAX(L575,0),K544)))))</f>
        <v>0</v>
      </c>
      <c r="L576" s="18">
        <f>IF($A576&gt;20,L575,(L575-K544+K576)*(1+$C$7))</f>
        <v>66.38159358048506</v>
      </c>
      <c r="M576" s="18">
        <f t="shared" si="57"/>
        <v>0</v>
      </c>
      <c r="N576" s="18">
        <f>IF($A576&gt;20,0,(N544-MIN(MAX(O575,0),N544))+MIN(MAX(0,P575-(N544-MIN(MAX(O575,0),N544))),MAX(0,5*N544-(O575-MIN(MAX(O575,0),N544)))))</f>
        <v>0</v>
      </c>
      <c r="O576" s="18">
        <f>IF($A576&gt;20,O575,(O575-N544+N576)*(1+$C$7))</f>
        <v>1.5239235263066708</v>
      </c>
      <c r="P576" s="18">
        <f t="shared" si="58"/>
        <v>0</v>
      </c>
      <c r="Q576" s="18">
        <f>IF($A576&gt;20,0,(Q544-MIN(MAX(R575,0),Q544))+MIN(MAX(0,S575-(Q544-MIN(MAX(R575,0),Q544))),MAX(0,5*Q544-(R575-MIN(MAX(R575,0),Q544)))))</f>
        <v>0</v>
      </c>
      <c r="R576" s="18">
        <f>IF($A576&gt;20,R575,(R575-Q544+Q576)*(1+$C$7))</f>
        <v>0</v>
      </c>
      <c r="S576" s="18">
        <f t="shared" si="59"/>
        <v>-4.7963112592697145E-10</v>
      </c>
    </row>
    <row r="577" spans="1:19">
      <c r="A577" s="10">
        <f>31</f>
        <v>31</v>
      </c>
      <c r="B577" s="18">
        <f>IF($A577&gt;20,0,(B544-MIN(MAX(C576,0),B544))+MIN(MAX(0,D576-(B544-MIN(MAX(C576,0),B544))),MAX(0,5*B544-(C576-MIN(MAX(C576,0),B544)))))</f>
        <v>0</v>
      </c>
      <c r="C577" s="18">
        <f>IF($A577&gt;20,C576,(C576-B544+B577)*(1+$C$7))</f>
        <v>150945</v>
      </c>
      <c r="D577" s="18">
        <f t="shared" si="54"/>
        <v>729347.4816515923</v>
      </c>
      <c r="E577" s="18">
        <f>IF($A577&gt;20,0,(E544-MIN(MAX(F576,0),E544))+MIN(MAX(0,G576-(E544-MIN(MAX(F576,0),E544))),MAX(0,5*E544-(F576-MIN(MAX(F576,0),E544)))))</f>
        <v>0</v>
      </c>
      <c r="F577" s="18">
        <f>IF($A577&gt;20,F576,(F576-E544+E577)*(1+$C$7))</f>
        <v>0</v>
      </c>
      <c r="G577" s="18">
        <f t="shared" si="55"/>
        <v>-426545.59203062271</v>
      </c>
      <c r="H577" s="18">
        <f>IF($A577&gt;20,0,(H544-MIN(MAX(I576,0),H544))+MIN(MAX(0,J576-(H544-MIN(MAX(I576,0),H544))),MAX(0,5*H544-(I576-MIN(MAX(I576,0),H544)))))</f>
        <v>0</v>
      </c>
      <c r="I577" s="18">
        <f>IF($A577&gt;20,I576,(I576-H544+H577)*(1+$C$7))</f>
        <v>0</v>
      </c>
      <c r="J577" s="18">
        <f t="shared" si="56"/>
        <v>-28922.757900193759</v>
      </c>
      <c r="K577" s="18">
        <f>IF($A577&gt;20,0,(K544-MIN(MAX(L576,0),K544))+MIN(MAX(0,M576-(K544-MIN(MAX(L576,0),K544))),MAX(0,5*K544-(L576-MIN(MAX(L576,0),K544)))))</f>
        <v>0</v>
      </c>
      <c r="L577" s="18">
        <f>IF($A577&gt;20,L576,(L576-K544+K577)*(1+$C$7))</f>
        <v>66.38159358048506</v>
      </c>
      <c r="M577" s="18">
        <f t="shared" si="57"/>
        <v>0</v>
      </c>
      <c r="N577" s="18">
        <f>IF($A577&gt;20,0,(N544-MIN(MAX(O576,0),N544))+MIN(MAX(0,P576-(N544-MIN(MAX(O576,0),N544))),MAX(0,5*N544-(O576-MIN(MAX(O576,0),N544)))))</f>
        <v>0</v>
      </c>
      <c r="O577" s="18">
        <f>IF($A577&gt;20,O576,(O576-N544+N577)*(1+$C$7))</f>
        <v>1.5239235263066708</v>
      </c>
      <c r="P577" s="18">
        <f t="shared" si="58"/>
        <v>0</v>
      </c>
      <c r="Q577" s="18">
        <f>IF($A577&gt;20,0,(Q544-MIN(MAX(R576,0),Q544))+MIN(MAX(0,S576-(Q544-MIN(MAX(R576,0),Q544))),MAX(0,5*Q544-(R576-MIN(MAX(R576,0),Q544)))))</f>
        <v>0</v>
      </c>
      <c r="R577" s="18">
        <f>IF($A577&gt;20,R576,(R576-Q544+Q577)*(1+$C$7))</f>
        <v>0</v>
      </c>
      <c r="S577" s="18">
        <f t="shared" si="59"/>
        <v>-4.7963112592697145E-10</v>
      </c>
    </row>
    <row r="578" spans="1:19">
      <c r="A578" s="10">
        <f>32</f>
        <v>32</v>
      </c>
      <c r="B578" s="18">
        <f>IF($A578&gt;20,0,(B544-MIN(MAX(C577,0),B544))+MIN(MAX(0,D577-(B544-MIN(MAX(C577,0),B544))),MAX(0,5*B544-(C577-MIN(MAX(C577,0),B544)))))</f>
        <v>0</v>
      </c>
      <c r="C578" s="18">
        <f>IF($A578&gt;20,C577,(C577-B544+B578)*(1+$C$7))</f>
        <v>150945</v>
      </c>
      <c r="D578" s="18">
        <f t="shared" si="54"/>
        <v>729347.4816515923</v>
      </c>
      <c r="E578" s="18">
        <f>IF($A578&gt;20,0,(E544-MIN(MAX(F577,0),E544))+MIN(MAX(0,G577-(E544-MIN(MAX(F577,0),E544))),MAX(0,5*E544-(F577-MIN(MAX(F577,0),E544)))))</f>
        <v>0</v>
      </c>
      <c r="F578" s="18">
        <f>IF($A578&gt;20,F577,(F577-E544+E578)*(1+$C$7))</f>
        <v>0</v>
      </c>
      <c r="G578" s="18">
        <f t="shared" si="55"/>
        <v>-426545.59203062271</v>
      </c>
      <c r="H578" s="18">
        <f>IF($A578&gt;20,0,(H544-MIN(MAX(I577,0),H544))+MIN(MAX(0,J577-(H544-MIN(MAX(I577,0),H544))),MAX(0,5*H544-(I577-MIN(MAX(I577,0),H544)))))</f>
        <v>0</v>
      </c>
      <c r="I578" s="18">
        <f>IF($A578&gt;20,I577,(I577-H544+H578)*(1+$C$7))</f>
        <v>0</v>
      </c>
      <c r="J578" s="18">
        <f t="shared" si="56"/>
        <v>-28922.757900193759</v>
      </c>
      <c r="K578" s="18">
        <f>IF($A578&gt;20,0,(K544-MIN(MAX(L577,0),K544))+MIN(MAX(0,M577-(K544-MIN(MAX(L577,0),K544))),MAX(0,5*K544-(L577-MIN(MAX(L577,0),K544)))))</f>
        <v>0</v>
      </c>
      <c r="L578" s="18">
        <f>IF($A578&gt;20,L577,(L577-K544+K578)*(1+$C$7))</f>
        <v>66.38159358048506</v>
      </c>
      <c r="M578" s="18">
        <f t="shared" si="57"/>
        <v>0</v>
      </c>
      <c r="N578" s="18">
        <f>IF($A578&gt;20,0,(N544-MIN(MAX(O577,0),N544))+MIN(MAX(0,P577-(N544-MIN(MAX(O577,0),N544))),MAX(0,5*N544-(O577-MIN(MAX(O577,0),N544)))))</f>
        <v>0</v>
      </c>
      <c r="O578" s="18">
        <f>IF($A578&gt;20,O577,(O577-N544+N578)*(1+$C$7))</f>
        <v>1.5239235263066708</v>
      </c>
      <c r="P578" s="18">
        <f t="shared" si="58"/>
        <v>0</v>
      </c>
      <c r="Q578" s="18">
        <f>IF($A578&gt;20,0,(Q544-MIN(MAX(R577,0),Q544))+MIN(MAX(0,S577-(Q544-MIN(MAX(R577,0),Q544))),MAX(0,5*Q544-(R577-MIN(MAX(R577,0),Q544)))))</f>
        <v>0</v>
      </c>
      <c r="R578" s="18">
        <f>IF($A578&gt;20,R577,(R577-Q544+Q578)*(1+$C$7))</f>
        <v>0</v>
      </c>
      <c r="S578" s="18">
        <f t="shared" si="59"/>
        <v>-4.7963112592697145E-10</v>
      </c>
    </row>
    <row r="579" spans="1:19">
      <c r="A579" s="10">
        <f>33</f>
        <v>33</v>
      </c>
      <c r="B579" s="18">
        <f>IF($A579&gt;20,0,(B544-MIN(MAX(C578,0),B544))+MIN(MAX(0,D578-(B544-MIN(MAX(C578,0),B544))),MAX(0,5*B544-(C578-MIN(MAX(C578,0),B544)))))</f>
        <v>0</v>
      </c>
      <c r="C579" s="18">
        <f>IF($A579&gt;20,C578,(C578-B544+B579)*(1+$C$7))</f>
        <v>150945</v>
      </c>
      <c r="D579" s="18">
        <f t="shared" si="54"/>
        <v>729347.4816515923</v>
      </c>
      <c r="E579" s="18">
        <f>IF($A579&gt;20,0,(E544-MIN(MAX(F578,0),E544))+MIN(MAX(0,G578-(E544-MIN(MAX(F578,0),E544))),MAX(0,5*E544-(F578-MIN(MAX(F578,0),E544)))))</f>
        <v>0</v>
      </c>
      <c r="F579" s="18">
        <f>IF($A579&gt;20,F578,(F578-E544+E579)*(1+$C$7))</f>
        <v>0</v>
      </c>
      <c r="G579" s="18">
        <f t="shared" si="55"/>
        <v>-426545.59203062271</v>
      </c>
      <c r="H579" s="18">
        <f>IF($A579&gt;20,0,(H544-MIN(MAX(I578,0),H544))+MIN(MAX(0,J578-(H544-MIN(MAX(I578,0),H544))),MAX(0,5*H544-(I578-MIN(MAX(I578,0),H544)))))</f>
        <v>0</v>
      </c>
      <c r="I579" s="18">
        <f>IF($A579&gt;20,I578,(I578-H544+H579)*(1+$C$7))</f>
        <v>0</v>
      </c>
      <c r="J579" s="18">
        <f t="shared" si="56"/>
        <v>-28922.757900193759</v>
      </c>
      <c r="K579" s="18">
        <f>IF($A579&gt;20,0,(K544-MIN(MAX(L578,0),K544))+MIN(MAX(0,M578-(K544-MIN(MAX(L578,0),K544))),MAX(0,5*K544-(L578-MIN(MAX(L578,0),K544)))))</f>
        <v>0</v>
      </c>
      <c r="L579" s="18">
        <f>IF($A579&gt;20,L578,(L578-K544+K579)*(1+$C$7))</f>
        <v>66.38159358048506</v>
      </c>
      <c r="M579" s="18">
        <f t="shared" si="57"/>
        <v>0</v>
      </c>
      <c r="N579" s="18">
        <f>IF($A579&gt;20,0,(N544-MIN(MAX(O578,0),N544))+MIN(MAX(0,P578-(N544-MIN(MAX(O578,0),N544))),MAX(0,5*N544-(O578-MIN(MAX(O578,0),N544)))))</f>
        <v>0</v>
      </c>
      <c r="O579" s="18">
        <f>IF($A579&gt;20,O578,(O578-N544+N579)*(1+$C$7))</f>
        <v>1.5239235263066708</v>
      </c>
      <c r="P579" s="18">
        <f t="shared" si="58"/>
        <v>0</v>
      </c>
      <c r="Q579" s="18">
        <f>IF($A579&gt;20,0,(Q544-MIN(MAX(R578,0),Q544))+MIN(MAX(0,S578-(Q544-MIN(MAX(R578,0),Q544))),MAX(0,5*Q544-(R578-MIN(MAX(R578,0),Q544)))))</f>
        <v>0</v>
      </c>
      <c r="R579" s="18">
        <f>IF($A579&gt;20,R578,(R578-Q544+Q579)*(1+$C$7))</f>
        <v>0</v>
      </c>
      <c r="S579" s="18">
        <f t="shared" si="59"/>
        <v>-4.7963112592697145E-10</v>
      </c>
    </row>
    <row r="580" spans="1:19">
      <c r="A580" s="10">
        <f>34</f>
        <v>34</v>
      </c>
      <c r="B580" s="18">
        <f>IF($A580&gt;20,0,(B544-MIN(MAX(C579,0),B544))+MIN(MAX(0,D579-(B544-MIN(MAX(C579,0),B544))),MAX(0,5*B544-(C579-MIN(MAX(C579,0),B544)))))</f>
        <v>0</v>
      </c>
      <c r="C580" s="18">
        <f>IF($A580&gt;20,C579,(C579-B544+B580)*(1+$C$7))</f>
        <v>150945</v>
      </c>
      <c r="D580" s="18">
        <f t="shared" si="54"/>
        <v>729347.4816515923</v>
      </c>
      <c r="E580" s="18">
        <f>IF($A580&gt;20,0,(E544-MIN(MAX(F579,0),E544))+MIN(MAX(0,G579-(E544-MIN(MAX(F579,0),E544))),MAX(0,5*E544-(F579-MIN(MAX(F579,0),E544)))))</f>
        <v>0</v>
      </c>
      <c r="F580" s="18">
        <f>IF($A580&gt;20,F579,(F579-E544+E580)*(1+$C$7))</f>
        <v>0</v>
      </c>
      <c r="G580" s="18">
        <f t="shared" si="55"/>
        <v>-426545.59203062271</v>
      </c>
      <c r="H580" s="18">
        <f>IF($A580&gt;20,0,(H544-MIN(MAX(I579,0),H544))+MIN(MAX(0,J579-(H544-MIN(MAX(I579,0),H544))),MAX(0,5*H544-(I579-MIN(MAX(I579,0),H544)))))</f>
        <v>0</v>
      </c>
      <c r="I580" s="18">
        <f>IF($A580&gt;20,I579,(I579-H544+H580)*(1+$C$7))</f>
        <v>0</v>
      </c>
      <c r="J580" s="18">
        <f t="shared" si="56"/>
        <v>-28922.757900193759</v>
      </c>
      <c r="K580" s="18">
        <f>IF($A580&gt;20,0,(K544-MIN(MAX(L579,0),K544))+MIN(MAX(0,M579-(K544-MIN(MAX(L579,0),K544))),MAX(0,5*K544-(L579-MIN(MAX(L579,0),K544)))))</f>
        <v>0</v>
      </c>
      <c r="L580" s="18">
        <f>IF($A580&gt;20,L579,(L579-K544+K580)*(1+$C$7))</f>
        <v>66.38159358048506</v>
      </c>
      <c r="M580" s="18">
        <f t="shared" si="57"/>
        <v>0</v>
      </c>
      <c r="N580" s="18">
        <f>IF($A580&gt;20,0,(N544-MIN(MAX(O579,0),N544))+MIN(MAX(0,P579-(N544-MIN(MAX(O579,0),N544))),MAX(0,5*N544-(O579-MIN(MAX(O579,0),N544)))))</f>
        <v>0</v>
      </c>
      <c r="O580" s="18">
        <f>IF($A580&gt;20,O579,(O579-N544+N580)*(1+$C$7))</f>
        <v>1.5239235263066708</v>
      </c>
      <c r="P580" s="18">
        <f t="shared" si="58"/>
        <v>0</v>
      </c>
      <c r="Q580" s="18">
        <f>IF($A580&gt;20,0,(Q544-MIN(MAX(R579,0),Q544))+MIN(MAX(0,S579-(Q544-MIN(MAX(R579,0),Q544))),MAX(0,5*Q544-(R579-MIN(MAX(R579,0),Q544)))))</f>
        <v>0</v>
      </c>
      <c r="R580" s="18">
        <f>IF($A580&gt;20,R579,(R579-Q544+Q580)*(1+$C$7))</f>
        <v>0</v>
      </c>
      <c r="S580" s="18">
        <f t="shared" si="59"/>
        <v>-4.7963112592697145E-10</v>
      </c>
    </row>
    <row r="581" spans="1:19">
      <c r="A581" s="10">
        <f>35</f>
        <v>35</v>
      </c>
      <c r="B581" s="18">
        <f>IF($A581&gt;20,0,(B544-MIN(MAX(C580,0),B544))+MIN(MAX(0,D580-(B544-MIN(MAX(C580,0),B544))),MAX(0,5*B544-(C580-MIN(MAX(C580,0),B544)))))</f>
        <v>0</v>
      </c>
      <c r="C581" s="18">
        <f>IF($A581&gt;20,C580,(C580-B544+B581)*(1+$C$7))</f>
        <v>150945</v>
      </c>
      <c r="D581" s="18">
        <f t="shared" si="54"/>
        <v>729347.4816515923</v>
      </c>
      <c r="E581" s="18">
        <f>IF($A581&gt;20,0,(E544-MIN(MAX(F580,0),E544))+MIN(MAX(0,G580-(E544-MIN(MAX(F580,0),E544))),MAX(0,5*E544-(F580-MIN(MAX(F580,0),E544)))))</f>
        <v>0</v>
      </c>
      <c r="F581" s="18">
        <f>IF($A581&gt;20,F580,(F580-E544+E581)*(1+$C$7))</f>
        <v>0</v>
      </c>
      <c r="G581" s="18">
        <f t="shared" si="55"/>
        <v>-426545.59203062271</v>
      </c>
      <c r="H581" s="18">
        <f>IF($A581&gt;20,0,(H544-MIN(MAX(I580,0),H544))+MIN(MAX(0,J580-(H544-MIN(MAX(I580,0),H544))),MAX(0,5*H544-(I580-MIN(MAX(I580,0),H544)))))</f>
        <v>0</v>
      </c>
      <c r="I581" s="18">
        <f>IF($A581&gt;20,I580,(I580-H544+H581)*(1+$C$7))</f>
        <v>0</v>
      </c>
      <c r="J581" s="18">
        <f t="shared" si="56"/>
        <v>-28922.757900193759</v>
      </c>
      <c r="K581" s="18">
        <f>IF($A581&gt;20,0,(K544-MIN(MAX(L580,0),K544))+MIN(MAX(0,M580-(K544-MIN(MAX(L580,0),K544))),MAX(0,5*K544-(L580-MIN(MAX(L580,0),K544)))))</f>
        <v>0</v>
      </c>
      <c r="L581" s="18">
        <f>IF($A581&gt;20,L580,(L580-K544+K581)*(1+$C$7))</f>
        <v>66.38159358048506</v>
      </c>
      <c r="M581" s="18">
        <f t="shared" si="57"/>
        <v>0</v>
      </c>
      <c r="N581" s="18">
        <f>IF($A581&gt;20,0,(N544-MIN(MAX(O580,0),N544))+MIN(MAX(0,P580-(N544-MIN(MAX(O580,0),N544))),MAX(0,5*N544-(O580-MIN(MAX(O580,0),N544)))))</f>
        <v>0</v>
      </c>
      <c r="O581" s="18">
        <f>IF($A581&gt;20,O580,(O580-N544+N581)*(1+$C$7))</f>
        <v>1.5239235263066708</v>
      </c>
      <c r="P581" s="18">
        <f t="shared" si="58"/>
        <v>0</v>
      </c>
      <c r="Q581" s="18">
        <f>IF($A581&gt;20,0,(Q544-MIN(MAX(R580,0),Q544))+MIN(MAX(0,S580-(Q544-MIN(MAX(R580,0),Q544))),MAX(0,5*Q544-(R580-MIN(MAX(R580,0),Q544)))))</f>
        <v>0</v>
      </c>
      <c r="R581" s="18">
        <f>IF($A581&gt;20,R580,(R580-Q544+Q581)*(1+$C$7))</f>
        <v>0</v>
      </c>
      <c r="S581" s="18">
        <f t="shared" si="59"/>
        <v>-4.7963112592697145E-10</v>
      </c>
    </row>
    <row r="582" spans="1:19">
      <c r="A582" s="10">
        <f>36</f>
        <v>36</v>
      </c>
      <c r="B582" s="18">
        <f>IF($A582&gt;20,0,(B544-MIN(MAX(C581,0),B544))+MIN(MAX(0,D581-(B544-MIN(MAX(C581,0),B544))),MAX(0,5*B544-(C581-MIN(MAX(C581,0),B544)))))</f>
        <v>0</v>
      </c>
      <c r="C582" s="18">
        <f>IF($A582&gt;20,C581,(C581-B544+B582)*(1+$C$7))</f>
        <v>150945</v>
      </c>
      <c r="D582" s="18">
        <f t="shared" si="54"/>
        <v>729347.4816515923</v>
      </c>
      <c r="E582" s="18">
        <f>IF($A582&gt;20,0,(E544-MIN(MAX(F581,0),E544))+MIN(MAX(0,G581-(E544-MIN(MAX(F581,0),E544))),MAX(0,5*E544-(F581-MIN(MAX(F581,0),E544)))))</f>
        <v>0</v>
      </c>
      <c r="F582" s="18">
        <f>IF($A582&gt;20,F581,(F581-E544+E582)*(1+$C$7))</f>
        <v>0</v>
      </c>
      <c r="G582" s="18">
        <f t="shared" si="55"/>
        <v>-426545.59203062271</v>
      </c>
      <c r="H582" s="18">
        <f>IF($A582&gt;20,0,(H544-MIN(MAX(I581,0),H544))+MIN(MAX(0,J581-(H544-MIN(MAX(I581,0),H544))),MAX(0,5*H544-(I581-MIN(MAX(I581,0),H544)))))</f>
        <v>0</v>
      </c>
      <c r="I582" s="18">
        <f>IF($A582&gt;20,I581,(I581-H544+H582)*(1+$C$7))</f>
        <v>0</v>
      </c>
      <c r="J582" s="18">
        <f t="shared" si="56"/>
        <v>-28922.757900193759</v>
      </c>
      <c r="K582" s="18">
        <f>IF($A582&gt;20,0,(K544-MIN(MAX(L581,0),K544))+MIN(MAX(0,M581-(K544-MIN(MAX(L581,0),K544))),MAX(0,5*K544-(L581-MIN(MAX(L581,0),K544)))))</f>
        <v>0</v>
      </c>
      <c r="L582" s="18">
        <f>IF($A582&gt;20,L581,(L581-K544+K582)*(1+$C$7))</f>
        <v>66.38159358048506</v>
      </c>
      <c r="M582" s="18">
        <f t="shared" si="57"/>
        <v>0</v>
      </c>
      <c r="N582" s="18">
        <f>IF($A582&gt;20,0,(N544-MIN(MAX(O581,0),N544))+MIN(MAX(0,P581-(N544-MIN(MAX(O581,0),N544))),MAX(0,5*N544-(O581-MIN(MAX(O581,0),N544)))))</f>
        <v>0</v>
      </c>
      <c r="O582" s="18">
        <f>IF($A582&gt;20,O581,(O581-N544+N582)*(1+$C$7))</f>
        <v>1.5239235263066708</v>
      </c>
      <c r="P582" s="18">
        <f t="shared" si="58"/>
        <v>0</v>
      </c>
      <c r="Q582" s="18">
        <f>IF($A582&gt;20,0,(Q544-MIN(MAX(R581,0),Q544))+MIN(MAX(0,S581-(Q544-MIN(MAX(R581,0),Q544))),MAX(0,5*Q544-(R581-MIN(MAX(R581,0),Q544)))))</f>
        <v>0</v>
      </c>
      <c r="R582" s="18">
        <f>IF($A582&gt;20,R581,(R581-Q544+Q582)*(1+$C$7))</f>
        <v>0</v>
      </c>
      <c r="S582" s="18">
        <f t="shared" si="59"/>
        <v>-4.7963112592697145E-10</v>
      </c>
    </row>
    <row r="583" spans="1:19">
      <c r="A583" s="10">
        <f>37</f>
        <v>37</v>
      </c>
      <c r="B583" s="18">
        <f>IF($A583&gt;20,0,(B544-MIN(MAX(C582,0),B544))+MIN(MAX(0,D582-(B544-MIN(MAX(C582,0),B544))),MAX(0,5*B544-(C582-MIN(MAX(C582,0),B544)))))</f>
        <v>0</v>
      </c>
      <c r="C583" s="18">
        <f>IF($A583&gt;20,C582,(C582-B544+B583)*(1+$C$7))</f>
        <v>150945</v>
      </c>
      <c r="D583" s="18">
        <f t="shared" si="54"/>
        <v>729347.4816515923</v>
      </c>
      <c r="E583" s="18">
        <f>IF($A583&gt;20,0,(E544-MIN(MAX(F582,0),E544))+MIN(MAX(0,G582-(E544-MIN(MAX(F582,0),E544))),MAX(0,5*E544-(F582-MIN(MAX(F582,0),E544)))))</f>
        <v>0</v>
      </c>
      <c r="F583" s="18">
        <f>IF($A583&gt;20,F582,(F582-E544+E583)*(1+$C$7))</f>
        <v>0</v>
      </c>
      <c r="G583" s="18">
        <f t="shared" si="55"/>
        <v>-426545.59203062271</v>
      </c>
      <c r="H583" s="18">
        <f>IF($A583&gt;20,0,(H544-MIN(MAX(I582,0),H544))+MIN(MAX(0,J582-(H544-MIN(MAX(I582,0),H544))),MAX(0,5*H544-(I582-MIN(MAX(I582,0),H544)))))</f>
        <v>0</v>
      </c>
      <c r="I583" s="18">
        <f>IF($A583&gt;20,I582,(I582-H544+H583)*(1+$C$7))</f>
        <v>0</v>
      </c>
      <c r="J583" s="18">
        <f t="shared" si="56"/>
        <v>-28922.757900193759</v>
      </c>
      <c r="K583" s="18">
        <f>IF($A583&gt;20,0,(K544-MIN(MAX(L582,0),K544))+MIN(MAX(0,M582-(K544-MIN(MAX(L582,0),K544))),MAX(0,5*K544-(L582-MIN(MAX(L582,0),K544)))))</f>
        <v>0</v>
      </c>
      <c r="L583" s="18">
        <f>IF($A583&gt;20,L582,(L582-K544+K583)*(1+$C$7))</f>
        <v>66.38159358048506</v>
      </c>
      <c r="M583" s="18">
        <f t="shared" si="57"/>
        <v>0</v>
      </c>
      <c r="N583" s="18">
        <f>IF($A583&gt;20,0,(N544-MIN(MAX(O582,0),N544))+MIN(MAX(0,P582-(N544-MIN(MAX(O582,0),N544))),MAX(0,5*N544-(O582-MIN(MAX(O582,0),N544)))))</f>
        <v>0</v>
      </c>
      <c r="O583" s="18">
        <f>IF($A583&gt;20,O582,(O582-N544+N583)*(1+$C$7))</f>
        <v>1.5239235263066708</v>
      </c>
      <c r="P583" s="18">
        <f t="shared" si="58"/>
        <v>0</v>
      </c>
      <c r="Q583" s="18">
        <f>IF($A583&gt;20,0,(Q544-MIN(MAX(R582,0),Q544))+MIN(MAX(0,S582-(Q544-MIN(MAX(R582,0),Q544))),MAX(0,5*Q544-(R582-MIN(MAX(R582,0),Q544)))))</f>
        <v>0</v>
      </c>
      <c r="R583" s="18">
        <f>IF($A583&gt;20,R582,(R582-Q544+Q583)*(1+$C$7))</f>
        <v>0</v>
      </c>
      <c r="S583" s="18">
        <f t="shared" si="59"/>
        <v>-4.7963112592697145E-10</v>
      </c>
    </row>
    <row r="584" spans="1:19">
      <c r="A584" s="10">
        <f>38</f>
        <v>38</v>
      </c>
      <c r="B584" s="18">
        <f>IF($A584&gt;20,0,(B544-MIN(MAX(C583,0),B544))+MIN(MAX(0,D583-(B544-MIN(MAX(C583,0),B544))),MAX(0,5*B544-(C583-MIN(MAX(C583,0),B544)))))</f>
        <v>0</v>
      </c>
      <c r="C584" s="18">
        <f>IF($A584&gt;20,C583,(C583-B544+B584)*(1+$C$7))</f>
        <v>150945</v>
      </c>
      <c r="D584" s="18">
        <f t="shared" si="54"/>
        <v>729347.4816515923</v>
      </c>
      <c r="E584" s="18">
        <f>IF($A584&gt;20,0,(E544-MIN(MAX(F583,0),E544))+MIN(MAX(0,G583-(E544-MIN(MAX(F583,0),E544))),MAX(0,5*E544-(F583-MIN(MAX(F583,0),E544)))))</f>
        <v>0</v>
      </c>
      <c r="F584" s="18">
        <f>IF($A584&gt;20,F583,(F583-E544+E584)*(1+$C$7))</f>
        <v>0</v>
      </c>
      <c r="G584" s="18">
        <f t="shared" si="55"/>
        <v>-426545.59203062271</v>
      </c>
      <c r="H584" s="18">
        <f>IF($A584&gt;20,0,(H544-MIN(MAX(I583,0),H544))+MIN(MAX(0,J583-(H544-MIN(MAX(I583,0),H544))),MAX(0,5*H544-(I583-MIN(MAX(I583,0),H544)))))</f>
        <v>0</v>
      </c>
      <c r="I584" s="18">
        <f>IF($A584&gt;20,I583,(I583-H544+H584)*(1+$C$7))</f>
        <v>0</v>
      </c>
      <c r="J584" s="18">
        <f t="shared" si="56"/>
        <v>-28922.757900193759</v>
      </c>
      <c r="K584" s="18">
        <f>IF($A584&gt;20,0,(K544-MIN(MAX(L583,0),K544))+MIN(MAX(0,M583-(K544-MIN(MAX(L583,0),K544))),MAX(0,5*K544-(L583-MIN(MAX(L583,0),K544)))))</f>
        <v>0</v>
      </c>
      <c r="L584" s="18">
        <f>IF($A584&gt;20,L583,(L583-K544+K584)*(1+$C$7))</f>
        <v>66.38159358048506</v>
      </c>
      <c r="M584" s="18">
        <f t="shared" si="57"/>
        <v>0</v>
      </c>
      <c r="N584" s="18">
        <f>IF($A584&gt;20,0,(N544-MIN(MAX(O583,0),N544))+MIN(MAX(0,P583-(N544-MIN(MAX(O583,0),N544))),MAX(0,5*N544-(O583-MIN(MAX(O583,0),N544)))))</f>
        <v>0</v>
      </c>
      <c r="O584" s="18">
        <f>IF($A584&gt;20,O583,(O583-N544+N584)*(1+$C$7))</f>
        <v>1.5239235263066708</v>
      </c>
      <c r="P584" s="18">
        <f t="shared" si="58"/>
        <v>0</v>
      </c>
      <c r="Q584" s="18">
        <f>IF($A584&gt;20,0,(Q544-MIN(MAX(R583,0),Q544))+MIN(MAX(0,S583-(Q544-MIN(MAX(R583,0),Q544))),MAX(0,5*Q544-(R583-MIN(MAX(R583,0),Q544)))))</f>
        <v>0</v>
      </c>
      <c r="R584" s="18">
        <f>IF($A584&gt;20,R583,(R583-Q544+Q584)*(1+$C$7))</f>
        <v>0</v>
      </c>
      <c r="S584" s="18">
        <f t="shared" si="59"/>
        <v>-4.7963112592697145E-10</v>
      </c>
    </row>
    <row r="585" spans="1:19">
      <c r="A585" s="10">
        <f>39</f>
        <v>39</v>
      </c>
      <c r="B585" s="18">
        <f>IF($A585&gt;20,0,(B544-MIN(MAX(C584,0),B544))+MIN(MAX(0,D584-(B544-MIN(MAX(C584,0),B544))),MAX(0,5*B544-(C584-MIN(MAX(C584,0),B544)))))</f>
        <v>0</v>
      </c>
      <c r="C585" s="18">
        <f>IF($A585&gt;20,C584,(C584-B544+B585)*(1+$C$7))</f>
        <v>150945</v>
      </c>
      <c r="D585" s="18">
        <f t="shared" si="54"/>
        <v>729347.4816515923</v>
      </c>
      <c r="E585" s="18">
        <f>IF($A585&gt;20,0,(E544-MIN(MAX(F584,0),E544))+MIN(MAX(0,G584-(E544-MIN(MAX(F584,0),E544))),MAX(0,5*E544-(F584-MIN(MAX(F584,0),E544)))))</f>
        <v>0</v>
      </c>
      <c r="F585" s="18">
        <f>IF($A585&gt;20,F584,(F584-E544+E585)*(1+$C$7))</f>
        <v>0</v>
      </c>
      <c r="G585" s="18">
        <f t="shared" si="55"/>
        <v>-426545.59203062271</v>
      </c>
      <c r="H585" s="18">
        <f>IF($A585&gt;20,0,(H544-MIN(MAX(I584,0),H544))+MIN(MAX(0,J584-(H544-MIN(MAX(I584,0),H544))),MAX(0,5*H544-(I584-MIN(MAX(I584,0),H544)))))</f>
        <v>0</v>
      </c>
      <c r="I585" s="18">
        <f>IF($A585&gt;20,I584,(I584-H544+H585)*(1+$C$7))</f>
        <v>0</v>
      </c>
      <c r="J585" s="18">
        <f t="shared" si="56"/>
        <v>-28922.757900193759</v>
      </c>
      <c r="K585" s="18">
        <f>IF($A585&gt;20,0,(K544-MIN(MAX(L584,0),K544))+MIN(MAX(0,M584-(K544-MIN(MAX(L584,0),K544))),MAX(0,5*K544-(L584-MIN(MAX(L584,0),K544)))))</f>
        <v>0</v>
      </c>
      <c r="L585" s="18">
        <f>IF($A585&gt;20,L584,(L584-K544+K585)*(1+$C$7))</f>
        <v>66.38159358048506</v>
      </c>
      <c r="M585" s="18">
        <f t="shared" si="57"/>
        <v>0</v>
      </c>
      <c r="N585" s="18">
        <f>IF($A585&gt;20,0,(N544-MIN(MAX(O584,0),N544))+MIN(MAX(0,P584-(N544-MIN(MAX(O584,0),N544))),MAX(0,5*N544-(O584-MIN(MAX(O584,0),N544)))))</f>
        <v>0</v>
      </c>
      <c r="O585" s="18">
        <f>IF($A585&gt;20,O584,(O584-N544+N585)*(1+$C$7))</f>
        <v>1.5239235263066708</v>
      </c>
      <c r="P585" s="18">
        <f t="shared" si="58"/>
        <v>0</v>
      </c>
      <c r="Q585" s="18">
        <f>IF($A585&gt;20,0,(Q544-MIN(MAX(R584,0),Q544))+MIN(MAX(0,S584-(Q544-MIN(MAX(R584,0),Q544))),MAX(0,5*Q544-(R584-MIN(MAX(R584,0),Q544)))))</f>
        <v>0</v>
      </c>
      <c r="R585" s="18">
        <f>IF($A585&gt;20,R584,(R584-Q544+Q585)*(1+$C$7))</f>
        <v>0</v>
      </c>
      <c r="S585" s="18">
        <f t="shared" si="59"/>
        <v>-4.7963112592697145E-10</v>
      </c>
    </row>
    <row r="586" spans="1:19">
      <c r="A586" s="10">
        <f>40</f>
        <v>40</v>
      </c>
      <c r="B586" s="18">
        <f>IF($A586&gt;20,0,(B544-MIN(MAX(C585,0),B544))+MIN(MAX(0,D585-(B544-MIN(MAX(C585,0),B544))),MAX(0,5*B544-(C585-MIN(MAX(C585,0),B544)))))</f>
        <v>0</v>
      </c>
      <c r="C586" s="18">
        <f>IF($A586&gt;20,C585,(C585-B544+B586)*(1+$C$7))</f>
        <v>150945</v>
      </c>
      <c r="D586" s="18">
        <f t="shared" si="54"/>
        <v>729347.4816515923</v>
      </c>
      <c r="E586" s="18">
        <f>IF($A586&gt;20,0,(E544-MIN(MAX(F585,0),E544))+MIN(MAX(0,G585-(E544-MIN(MAX(F585,0),E544))),MAX(0,5*E544-(F585-MIN(MAX(F585,0),E544)))))</f>
        <v>0</v>
      </c>
      <c r="F586" s="18">
        <f>IF($A586&gt;20,F585,(F585-E544+E586)*(1+$C$7))</f>
        <v>0</v>
      </c>
      <c r="G586" s="18">
        <f t="shared" si="55"/>
        <v>-426545.59203062271</v>
      </c>
      <c r="H586" s="18">
        <f>IF($A586&gt;20,0,(H544-MIN(MAX(I585,0),H544))+MIN(MAX(0,J585-(H544-MIN(MAX(I585,0),H544))),MAX(0,5*H544-(I585-MIN(MAX(I585,0),H544)))))</f>
        <v>0</v>
      </c>
      <c r="I586" s="18">
        <f>IF($A586&gt;20,I585,(I585-H544+H586)*(1+$C$7))</f>
        <v>0</v>
      </c>
      <c r="J586" s="18">
        <f t="shared" si="56"/>
        <v>-28922.757900193759</v>
      </c>
      <c r="K586" s="18">
        <f>IF($A586&gt;20,0,(K544-MIN(MAX(L585,0),K544))+MIN(MAX(0,M585-(K544-MIN(MAX(L585,0),K544))),MAX(0,5*K544-(L585-MIN(MAX(L585,0),K544)))))</f>
        <v>0</v>
      </c>
      <c r="L586" s="18">
        <f>IF($A586&gt;20,L585,(L585-K544+K586)*(1+$C$7))</f>
        <v>66.38159358048506</v>
      </c>
      <c r="M586" s="18">
        <f t="shared" si="57"/>
        <v>0</v>
      </c>
      <c r="N586" s="18">
        <f>IF($A586&gt;20,0,(N544-MIN(MAX(O585,0),N544))+MIN(MAX(0,P585-(N544-MIN(MAX(O585,0),N544))),MAX(0,5*N544-(O585-MIN(MAX(O585,0),N544)))))</f>
        <v>0</v>
      </c>
      <c r="O586" s="18">
        <f>IF($A586&gt;20,O585,(O585-N544+N586)*(1+$C$7))</f>
        <v>1.5239235263066708</v>
      </c>
      <c r="P586" s="18">
        <f t="shared" si="58"/>
        <v>0</v>
      </c>
      <c r="Q586" s="18">
        <f>IF($A586&gt;20,0,(Q544-MIN(MAX(R585,0),Q544))+MIN(MAX(0,S585-(Q544-MIN(MAX(R585,0),Q544))),MAX(0,5*Q544-(R585-MIN(MAX(R585,0),Q544)))))</f>
        <v>0</v>
      </c>
      <c r="R586" s="18">
        <f>IF($A586&gt;20,R585,(R585-Q544+Q586)*(1+$C$7))</f>
        <v>0</v>
      </c>
      <c r="S586" s="18">
        <f t="shared" si="59"/>
        <v>-4.7963112592697145E-10</v>
      </c>
    </row>
    <row r="587" spans="1:19">
      <c r="B587" s="18">
        <f>C586+D586</f>
        <v>880292.4816515923</v>
      </c>
      <c r="E587" s="18">
        <f>F586+G586</f>
        <v>-426545.59203062271</v>
      </c>
      <c r="H587" s="18">
        <f>I586+J586</f>
        <v>-28922.757900193759</v>
      </c>
      <c r="K587" s="18">
        <f>L586+M586</f>
        <v>66.38159358048506</v>
      </c>
      <c r="N587" s="18">
        <f>O586+P586</f>
        <v>1.5239235263066708</v>
      </c>
      <c r="Q587" s="18">
        <f>R586+S586</f>
        <v>-4.7963112592697145E-10</v>
      </c>
    </row>
    <row r="588" spans="1:19">
      <c r="A588" s="5" t="s">
        <v>266</v>
      </c>
      <c r="B588" s="18">
        <f>IFERROR(Q544-Q587*(Q544-N544)/(Q587-N587),Q544)</f>
        <v>59246.345652748409</v>
      </c>
    </row>
    <row r="590" spans="1:19">
      <c r="A590" s="2" t="s">
        <v>276</v>
      </c>
    </row>
    <row r="591" spans="1:19">
      <c r="B591" s="9">
        <f>0.03*$B$5</f>
        <v>30000</v>
      </c>
      <c r="E591" s="9">
        <f>0.075*$B$5</f>
        <v>75000</v>
      </c>
      <c r="H591" s="18">
        <f>IFERROR(E591-E634*(E591-B591)/(E634-B634),E591)</f>
        <v>49533.261475973391</v>
      </c>
      <c r="K591" s="18">
        <f>IFERROR(H591-H634*(H591-E591)/(H634-E634),H591)</f>
        <v>49533.261475973377</v>
      </c>
      <c r="N591" s="18">
        <f>IFERROR(K591-K634*(K591-H591)/(K634-H634),K591)</f>
        <v>49533.26147597337</v>
      </c>
      <c r="Q591" s="18">
        <f>IFERROR(N591-N634*(N591-K591)/(N634-K634),N591)</f>
        <v>49533.261475973362</v>
      </c>
    </row>
    <row r="592" spans="1:19">
      <c r="A592" s="25" t="s">
        <v>262</v>
      </c>
      <c r="B592" s="25" t="s">
        <v>263</v>
      </c>
      <c r="C592" s="25" t="s">
        <v>264</v>
      </c>
      <c r="D592" s="25" t="s">
        <v>265</v>
      </c>
      <c r="E592" s="25" t="s">
        <v>263</v>
      </c>
      <c r="F592" s="25" t="s">
        <v>264</v>
      </c>
      <c r="G592" s="25" t="s">
        <v>265</v>
      </c>
      <c r="H592" s="25" t="s">
        <v>263</v>
      </c>
      <c r="I592" s="25" t="s">
        <v>264</v>
      </c>
      <c r="J592" s="25" t="s">
        <v>265</v>
      </c>
      <c r="K592" s="25" t="s">
        <v>263</v>
      </c>
      <c r="L592" s="25" t="s">
        <v>264</v>
      </c>
      <c r="M592" s="25" t="s">
        <v>265</v>
      </c>
      <c r="N592" s="25" t="s">
        <v>263</v>
      </c>
      <c r="O592" s="25" t="s">
        <v>264</v>
      </c>
      <c r="P592" s="25" t="s">
        <v>265</v>
      </c>
      <c r="Q592" s="25" t="s">
        <v>263</v>
      </c>
      <c r="R592" s="25" t="s">
        <v>264</v>
      </c>
      <c r="S592" s="25" t="s">
        <v>265</v>
      </c>
    </row>
    <row r="593" spans="1:19">
      <c r="A593" s="3">
        <v>0</v>
      </c>
      <c r="C593" s="18">
        <f>MIN(0*B591,$B$5)</f>
        <v>0</v>
      </c>
      <c r="D593" s="18">
        <f>$B$5-C593</f>
        <v>1000000</v>
      </c>
      <c r="F593" s="18">
        <f>MIN(0*E591,$B$5)</f>
        <v>0</v>
      </c>
      <c r="G593" s="18">
        <f>$B$5-F593</f>
        <v>1000000</v>
      </c>
      <c r="I593" s="18">
        <f>MIN(0*H591,$B$5)</f>
        <v>0</v>
      </c>
      <c r="J593" s="18">
        <f>$B$5-I593</f>
        <v>1000000</v>
      </c>
      <c r="L593" s="18">
        <f>MIN(0*K591,$B$5)</f>
        <v>0</v>
      </c>
      <c r="M593" s="18">
        <f>$B$5-L593</f>
        <v>1000000</v>
      </c>
      <c r="O593" s="18">
        <f>MIN(0*N591,$B$5)</f>
        <v>0</v>
      </c>
      <c r="P593" s="18">
        <f>$B$5-O593</f>
        <v>1000000</v>
      </c>
      <c r="R593" s="18">
        <f>MIN(0*Q591,$B$5)</f>
        <v>0</v>
      </c>
      <c r="S593" s="18">
        <f>$B$5-R593</f>
        <v>1000000</v>
      </c>
    </row>
    <row r="594" spans="1:19">
      <c r="A594" s="10">
        <f>1</f>
        <v>1</v>
      </c>
      <c r="B594" s="18">
        <f>IF($A594&gt;30,0,(B591-MIN(MAX(C593,0),B591))+MIN(MAX(0,D593-(B591-MIN(MAX(C593,0),B591))),MAX(0,0*B591-(C593-MIN(MAX(C593,0),B591)))))</f>
        <v>30000</v>
      </c>
      <c r="C594" s="18">
        <f>IF($A594&gt;30,C593,(C593-B591+B594)*(1+$B$7))</f>
        <v>0</v>
      </c>
      <c r="D594" s="18">
        <f t="shared" ref="D594:D633" si="60">IF($A594&gt;30,D593,(D593-B594)*(1+$B$6))</f>
        <v>999100</v>
      </c>
      <c r="E594" s="18">
        <f>IF($A594&gt;30,0,(E591-MIN(MAX(F593,0),E591))+MIN(MAX(0,G593-(E591-MIN(MAX(F593,0),E591))),MAX(0,0*E591-(F593-MIN(MAX(F593,0),E591)))))</f>
        <v>75000</v>
      </c>
      <c r="F594" s="18">
        <f>IF($A594&gt;30,F593,(F593-E591+E594)*(1+$B$7))</f>
        <v>0</v>
      </c>
      <c r="G594" s="18">
        <f t="shared" ref="G594:G633" si="61">IF($A594&gt;30,G593,(G593-E594)*(1+$B$6))</f>
        <v>952750</v>
      </c>
      <c r="H594" s="18">
        <f>IF($A594&gt;30,0,(H591-MIN(MAX(I593,0),H591))+MIN(MAX(0,J593-(H591-MIN(MAX(I593,0),H591))),MAX(0,0*H591-(I593-MIN(MAX(I593,0),H591)))))</f>
        <v>49533.261475973391</v>
      </c>
      <c r="I594" s="18">
        <f>IF($A594&gt;30,I593,(I593-H591+H594)*(1+$B$7))</f>
        <v>0</v>
      </c>
      <c r="J594" s="18">
        <f t="shared" ref="J594:J633" si="62">IF($A594&gt;30,J593,(J593-H594)*(1+$B$6))</f>
        <v>978980.74067974743</v>
      </c>
      <c r="K594" s="18">
        <f>IF($A594&gt;30,0,(K591-MIN(MAX(L593,0),K591))+MIN(MAX(0,M593-(K591-MIN(MAX(L593,0),K591))),MAX(0,0*K591-(L593-MIN(MAX(L593,0),K591)))))</f>
        <v>49533.261475973377</v>
      </c>
      <c r="L594" s="18">
        <f>IF($A594&gt;30,L593,(L593-K591+K594)*(1+$B$7))</f>
        <v>0</v>
      </c>
      <c r="M594" s="18">
        <f t="shared" ref="M594:M633" si="63">IF($A594&gt;30,M593,(M593-K594)*(1+$B$6))</f>
        <v>978980.74067974743</v>
      </c>
      <c r="N594" s="18">
        <f>IF($A594&gt;30,0,(N591-MIN(MAX(O593,0),N591))+MIN(MAX(0,P593-(N591-MIN(MAX(O593,0),N591))),MAX(0,0*N591-(O593-MIN(MAX(O593,0),N591)))))</f>
        <v>49533.26147597337</v>
      </c>
      <c r="O594" s="18">
        <f>IF($A594&gt;30,O593,(O593-N591+N594)*(1+$B$7))</f>
        <v>0</v>
      </c>
      <c r="P594" s="18">
        <f t="shared" ref="P594:P633" si="64">IF($A594&gt;30,P593,(P593-N594)*(1+$B$6))</f>
        <v>978980.74067974743</v>
      </c>
      <c r="Q594" s="18">
        <f>IF($A594&gt;30,0,(Q591-MIN(MAX(R593,0),Q591))+MIN(MAX(0,S593-(Q591-MIN(MAX(R593,0),Q591))),MAX(0,0*Q591-(R593-MIN(MAX(R593,0),Q591)))))</f>
        <v>49533.261475973362</v>
      </c>
      <c r="R594" s="18">
        <f>IF($A594&gt;30,R593,(R593-Q591+Q594)*(1+$B$7))</f>
        <v>0</v>
      </c>
      <c r="S594" s="18">
        <f t="shared" ref="S594:S633" si="65">IF($A594&gt;30,S593,(S593-Q594)*(1+$B$6))</f>
        <v>978980.74067974743</v>
      </c>
    </row>
    <row r="595" spans="1:19">
      <c r="A595" s="10">
        <f>2</f>
        <v>2</v>
      </c>
      <c r="B595" s="18">
        <f>IF($A595&gt;30,0,(B591-MIN(MAX(C594,0),B591))+MIN(MAX(0,D594-(B591-MIN(MAX(C594,0),B591))),MAX(0,0*B591-(C594-MIN(MAX(C594,0),B591)))))</f>
        <v>30000</v>
      </c>
      <c r="C595" s="18">
        <f>IF($A595&gt;30,C594,(C594-B591+B595)*(1+$B$7))</f>
        <v>0</v>
      </c>
      <c r="D595" s="18">
        <f t="shared" si="60"/>
        <v>998173</v>
      </c>
      <c r="E595" s="18">
        <f>IF($A595&gt;30,0,(E591-MIN(MAX(F594,0),E591))+MIN(MAX(0,G594-(E591-MIN(MAX(F594,0),E591))),MAX(0,0*E591-(F594-MIN(MAX(F594,0),E591)))))</f>
        <v>75000</v>
      </c>
      <c r="F595" s="18">
        <f>IF($A595&gt;30,F594,(F594-E591+E595)*(1+$B$7))</f>
        <v>0</v>
      </c>
      <c r="G595" s="18">
        <f t="shared" si="61"/>
        <v>904082.5</v>
      </c>
      <c r="H595" s="18">
        <f>IF($A595&gt;30,0,(H591-MIN(MAX(I594,0),H591))+MIN(MAX(0,J594-(H591-MIN(MAX(I594,0),H591))),MAX(0,0*H591-(I594-MIN(MAX(I594,0),H591)))))</f>
        <v>49533.261475973391</v>
      </c>
      <c r="I595" s="18">
        <f>IF($A595&gt;30,I594,(I594-H591+H595)*(1+$B$7))</f>
        <v>0</v>
      </c>
      <c r="J595" s="18">
        <f t="shared" si="62"/>
        <v>957330.90357988724</v>
      </c>
      <c r="K595" s="18">
        <f>IF($A595&gt;30,0,(K591-MIN(MAX(L594,0),K591))+MIN(MAX(0,M594-(K591-MIN(MAX(L594,0),K591))),MAX(0,0*K591-(L594-MIN(MAX(L594,0),K591)))))</f>
        <v>49533.261475973377</v>
      </c>
      <c r="L595" s="18">
        <f>IF($A595&gt;30,L594,(L594-K591+K595)*(1+$B$7))</f>
        <v>0</v>
      </c>
      <c r="M595" s="18">
        <f t="shared" si="63"/>
        <v>957330.90357988724</v>
      </c>
      <c r="N595" s="18">
        <f>IF($A595&gt;30,0,(N591-MIN(MAX(O594,0),N591))+MIN(MAX(0,P594-(N591-MIN(MAX(O594,0),N591))),MAX(0,0*N591-(O594-MIN(MAX(O594,0),N591)))))</f>
        <v>49533.26147597337</v>
      </c>
      <c r="O595" s="18">
        <f>IF($A595&gt;30,O594,(O594-N591+N595)*(1+$B$7))</f>
        <v>0</v>
      </c>
      <c r="P595" s="18">
        <f t="shared" si="64"/>
        <v>957330.90357988724</v>
      </c>
      <c r="Q595" s="18">
        <f>IF($A595&gt;30,0,(Q591-MIN(MAX(R594,0),Q591))+MIN(MAX(0,S594-(Q591-MIN(MAX(R594,0),Q591))),MAX(0,0*Q591-(R594-MIN(MAX(R594,0),Q591)))))</f>
        <v>49533.261475973362</v>
      </c>
      <c r="R595" s="18">
        <f>IF($A595&gt;30,R594,(R594-Q591+Q595)*(1+$B$7))</f>
        <v>0</v>
      </c>
      <c r="S595" s="18">
        <f t="shared" si="65"/>
        <v>957330.90357988724</v>
      </c>
    </row>
    <row r="596" spans="1:19">
      <c r="A596" s="10">
        <f>3</f>
        <v>3</v>
      </c>
      <c r="B596" s="18">
        <f>IF($A596&gt;30,0,(B591-MIN(MAX(C595,0),B591))+MIN(MAX(0,D595-(B591-MIN(MAX(C595,0),B591))),MAX(0,0*B591-(C595-MIN(MAX(C595,0),B591)))))</f>
        <v>30000</v>
      </c>
      <c r="C596" s="18">
        <f>IF($A596&gt;30,C595,(C595-B591+B596)*(1+$B$7))</f>
        <v>0</v>
      </c>
      <c r="D596" s="18">
        <f t="shared" si="60"/>
        <v>997218.19000000006</v>
      </c>
      <c r="E596" s="18">
        <f>IF($A596&gt;30,0,(E591-MIN(MAX(F595,0),E591))+MIN(MAX(0,G595-(E591-MIN(MAX(F595,0),E591))),MAX(0,0*E591-(F595-MIN(MAX(F595,0),E591)))))</f>
        <v>75000</v>
      </c>
      <c r="F596" s="18">
        <f>IF($A596&gt;30,F595,(F595-E591+E596)*(1+$B$7))</f>
        <v>0</v>
      </c>
      <c r="G596" s="18">
        <f t="shared" si="61"/>
        <v>853954.97499999998</v>
      </c>
      <c r="H596" s="18">
        <f>IF($A596&gt;30,0,(H591-MIN(MAX(I595,0),H591))+MIN(MAX(0,J595-(H591-MIN(MAX(I595,0),H591))),MAX(0,0*H591-(I595-MIN(MAX(I595,0),H591)))))</f>
        <v>49533.261475973391</v>
      </c>
      <c r="I596" s="18">
        <f>IF($A596&gt;30,I595,(I595-H591+H596)*(1+$B$7))</f>
        <v>0</v>
      </c>
      <c r="J596" s="18">
        <f t="shared" si="62"/>
        <v>935031.57136703131</v>
      </c>
      <c r="K596" s="18">
        <f>IF($A596&gt;30,0,(K591-MIN(MAX(L595,0),K591))+MIN(MAX(0,M595-(K591-MIN(MAX(L595,0),K591))),MAX(0,0*K591-(L595-MIN(MAX(L595,0),K591)))))</f>
        <v>49533.261475973377</v>
      </c>
      <c r="L596" s="18">
        <f>IF($A596&gt;30,L595,(L595-K591+K596)*(1+$B$7))</f>
        <v>0</v>
      </c>
      <c r="M596" s="18">
        <f t="shared" si="63"/>
        <v>935031.57136703131</v>
      </c>
      <c r="N596" s="18">
        <f>IF($A596&gt;30,0,(N591-MIN(MAX(O595,0),N591))+MIN(MAX(0,P595-(N591-MIN(MAX(O595,0),N591))),MAX(0,0*N591-(O595-MIN(MAX(O595,0),N591)))))</f>
        <v>49533.26147597337</v>
      </c>
      <c r="O596" s="18">
        <f>IF($A596&gt;30,O595,(O595-N591+N596)*(1+$B$7))</f>
        <v>0</v>
      </c>
      <c r="P596" s="18">
        <f t="shared" si="64"/>
        <v>935031.57136703131</v>
      </c>
      <c r="Q596" s="18">
        <f>IF($A596&gt;30,0,(Q591-MIN(MAX(R595,0),Q591))+MIN(MAX(0,S595-(Q591-MIN(MAX(R595,0),Q591))),MAX(0,0*Q591-(R595-MIN(MAX(R595,0),Q591)))))</f>
        <v>49533.261475973362</v>
      </c>
      <c r="R596" s="18">
        <f>IF($A596&gt;30,R595,(R595-Q591+Q596)*(1+$B$7))</f>
        <v>0</v>
      </c>
      <c r="S596" s="18">
        <f t="shared" si="65"/>
        <v>935031.57136703131</v>
      </c>
    </row>
    <row r="597" spans="1:19">
      <c r="A597" s="10">
        <f>4</f>
        <v>4</v>
      </c>
      <c r="B597" s="18">
        <f>IF($A597&gt;30,0,(B591-MIN(MAX(C596,0),B591))+MIN(MAX(0,D596-(B591-MIN(MAX(C596,0),B591))),MAX(0,0*B591-(C596-MIN(MAX(C596,0),B591)))))</f>
        <v>30000</v>
      </c>
      <c r="C597" s="18">
        <f>IF($A597&gt;30,C596,(C596-B591+B597)*(1+$B$7))</f>
        <v>0</v>
      </c>
      <c r="D597" s="18">
        <f t="shared" si="60"/>
        <v>996234.73570000008</v>
      </c>
      <c r="E597" s="18">
        <f>IF($A597&gt;30,0,(E591-MIN(MAX(F596,0),E591))+MIN(MAX(0,G596-(E591-MIN(MAX(F596,0),E591))),MAX(0,0*E591-(F596-MIN(MAX(F596,0),E591)))))</f>
        <v>75000</v>
      </c>
      <c r="F597" s="18">
        <f>IF($A597&gt;30,F596,(F596-E591+E597)*(1+$B$7))</f>
        <v>0</v>
      </c>
      <c r="G597" s="18">
        <f t="shared" si="61"/>
        <v>802323.62424999999</v>
      </c>
      <c r="H597" s="18">
        <f>IF($A597&gt;30,0,(H591-MIN(MAX(I596,0),H591))+MIN(MAX(0,J596-(H591-MIN(MAX(I596,0),H591))),MAX(0,0*H591-(I596-MIN(MAX(I596,0),H591)))))</f>
        <v>49533.261475973391</v>
      </c>
      <c r="I597" s="18">
        <f>IF($A597&gt;30,I596,(I596-H591+H597)*(1+$B$7))</f>
        <v>0</v>
      </c>
      <c r="J597" s="18">
        <f t="shared" si="62"/>
        <v>912063.25918778963</v>
      </c>
      <c r="K597" s="18">
        <f>IF($A597&gt;30,0,(K591-MIN(MAX(L596,0),K591))+MIN(MAX(0,M596-(K591-MIN(MAX(L596,0),K591))),MAX(0,0*K591-(L596-MIN(MAX(L596,0),K591)))))</f>
        <v>49533.261475973377</v>
      </c>
      <c r="L597" s="18">
        <f>IF($A597&gt;30,L596,(L596-K591+K597)*(1+$B$7))</f>
        <v>0</v>
      </c>
      <c r="M597" s="18">
        <f t="shared" si="63"/>
        <v>912063.25918778963</v>
      </c>
      <c r="N597" s="18">
        <f>IF($A597&gt;30,0,(N591-MIN(MAX(O596,0),N591))+MIN(MAX(0,P596-(N591-MIN(MAX(O596,0),N591))),MAX(0,0*N591-(O596-MIN(MAX(O596,0),N591)))))</f>
        <v>49533.26147597337</v>
      </c>
      <c r="O597" s="18">
        <f>IF($A597&gt;30,O596,(O596-N591+N597)*(1+$B$7))</f>
        <v>0</v>
      </c>
      <c r="P597" s="18">
        <f t="shared" si="64"/>
        <v>912063.25918778963</v>
      </c>
      <c r="Q597" s="18">
        <f>IF($A597&gt;30,0,(Q591-MIN(MAX(R596,0),Q591))+MIN(MAX(0,S596-(Q591-MIN(MAX(R596,0),Q591))),MAX(0,0*Q591-(R596-MIN(MAX(R596,0),Q591)))))</f>
        <v>49533.261475973362</v>
      </c>
      <c r="R597" s="18">
        <f>IF($A597&gt;30,R596,(R596-Q591+Q597)*(1+$B$7))</f>
        <v>0</v>
      </c>
      <c r="S597" s="18">
        <f t="shared" si="65"/>
        <v>912063.25918778963</v>
      </c>
    </row>
    <row r="598" spans="1:19">
      <c r="A598" s="10">
        <f>5</f>
        <v>5</v>
      </c>
      <c r="B598" s="18">
        <f>IF($A598&gt;30,0,(B591-MIN(MAX(C597,0),B591))+MIN(MAX(0,D597-(B591-MIN(MAX(C597,0),B591))),MAX(0,0*B591-(C597-MIN(MAX(C597,0),B591)))))</f>
        <v>30000</v>
      </c>
      <c r="C598" s="18">
        <f>IF($A598&gt;30,C597,(C597-B591+B598)*(1+$B$7))</f>
        <v>0</v>
      </c>
      <c r="D598" s="18">
        <f t="shared" si="60"/>
        <v>995221.77777100005</v>
      </c>
      <c r="E598" s="18">
        <f>IF($A598&gt;30,0,(E591-MIN(MAX(F597,0),E591))+MIN(MAX(0,G597-(E591-MIN(MAX(F597,0),E591))),MAX(0,0*E591-(F597-MIN(MAX(F597,0),E591)))))</f>
        <v>75000</v>
      </c>
      <c r="F598" s="18">
        <f>IF($A598&gt;30,F597,(F597-E591+E598)*(1+$B$7))</f>
        <v>0</v>
      </c>
      <c r="G598" s="18">
        <f t="shared" si="61"/>
        <v>749143.33297750005</v>
      </c>
      <c r="H598" s="18">
        <f>IF($A598&gt;30,0,(H591-MIN(MAX(I597,0),H591))+MIN(MAX(0,J597-(H591-MIN(MAX(I597,0),H591))),MAX(0,0*H591-(I597-MIN(MAX(I597,0),H591)))))</f>
        <v>49533.261475973391</v>
      </c>
      <c r="I598" s="18">
        <f>IF($A598&gt;30,I597,(I597-H591+H598)*(1+$B$7))</f>
        <v>0</v>
      </c>
      <c r="J598" s="18">
        <f t="shared" si="62"/>
        <v>888405.89764317079</v>
      </c>
      <c r="K598" s="18">
        <f>IF($A598&gt;30,0,(K591-MIN(MAX(L597,0),K591))+MIN(MAX(0,M597-(K591-MIN(MAX(L597,0),K591))),MAX(0,0*K591-(L597-MIN(MAX(L597,0),K591)))))</f>
        <v>49533.261475973377</v>
      </c>
      <c r="L598" s="18">
        <f>IF($A598&gt;30,L597,(L597-K591+K598)*(1+$B$7))</f>
        <v>0</v>
      </c>
      <c r="M598" s="18">
        <f t="shared" si="63"/>
        <v>888405.89764317079</v>
      </c>
      <c r="N598" s="18">
        <f>IF($A598&gt;30,0,(N591-MIN(MAX(O597,0),N591))+MIN(MAX(0,P597-(N591-MIN(MAX(O597,0),N591))),MAX(0,0*N591-(O597-MIN(MAX(O597,0),N591)))))</f>
        <v>49533.26147597337</v>
      </c>
      <c r="O598" s="18">
        <f>IF($A598&gt;30,O597,(O597-N591+N598)*(1+$B$7))</f>
        <v>0</v>
      </c>
      <c r="P598" s="18">
        <f t="shared" si="64"/>
        <v>888405.89764317079</v>
      </c>
      <c r="Q598" s="18">
        <f>IF($A598&gt;30,0,(Q591-MIN(MAX(R597,0),Q591))+MIN(MAX(0,S597-(Q591-MIN(MAX(R597,0),Q591))),MAX(0,0*Q591-(R597-MIN(MAX(R597,0),Q591)))))</f>
        <v>49533.261475973362</v>
      </c>
      <c r="R598" s="18">
        <f>IF($A598&gt;30,R597,(R597-Q591+Q598)*(1+$B$7))</f>
        <v>0</v>
      </c>
      <c r="S598" s="18">
        <f t="shared" si="65"/>
        <v>888405.89764317079</v>
      </c>
    </row>
    <row r="599" spans="1:19">
      <c r="A599" s="10">
        <f>6</f>
        <v>6</v>
      </c>
      <c r="B599" s="18">
        <f>IF($A599&gt;30,0,(B591-MIN(MAX(C598,0),B591))+MIN(MAX(0,D598-(B591-MIN(MAX(C598,0),B591))),MAX(0,0*B591-(C598-MIN(MAX(C598,0),B591)))))</f>
        <v>30000</v>
      </c>
      <c r="C599" s="18">
        <f>IF($A599&gt;30,C598,(C598-B591+B599)*(1+$B$7))</f>
        <v>0</v>
      </c>
      <c r="D599" s="18">
        <f t="shared" si="60"/>
        <v>994178.43110413011</v>
      </c>
      <c r="E599" s="18">
        <f>IF($A599&gt;30,0,(E591-MIN(MAX(F598,0),E591))+MIN(MAX(0,G598-(E591-MIN(MAX(F598,0),E591))),MAX(0,0*E591-(F598-MIN(MAX(F598,0),E591)))))</f>
        <v>75000</v>
      </c>
      <c r="F599" s="18">
        <f>IF($A599&gt;30,F598,(F598-E591+E599)*(1+$B$7))</f>
        <v>0</v>
      </c>
      <c r="G599" s="18">
        <f t="shared" si="61"/>
        <v>694367.63296682504</v>
      </c>
      <c r="H599" s="18">
        <f>IF($A599&gt;30,0,(H591-MIN(MAX(I598,0),H591))+MIN(MAX(0,J598-(H591-MIN(MAX(I598,0),H591))),MAX(0,0*H591-(I598-MIN(MAX(I598,0),H591)))))</f>
        <v>49533.261475973391</v>
      </c>
      <c r="I599" s="18">
        <f>IF($A599&gt;30,I598,(I598-H591+H599)*(1+$B$7))</f>
        <v>0</v>
      </c>
      <c r="J599" s="18">
        <f t="shared" si="62"/>
        <v>864038.81525221327</v>
      </c>
      <c r="K599" s="18">
        <f>IF($A599&gt;30,0,(K591-MIN(MAX(L598,0),K591))+MIN(MAX(0,M598-(K591-MIN(MAX(L598,0),K591))),MAX(0,0*K591-(L598-MIN(MAX(L598,0),K591)))))</f>
        <v>49533.261475973377</v>
      </c>
      <c r="L599" s="18">
        <f>IF($A599&gt;30,L598,(L598-K591+K599)*(1+$B$7))</f>
        <v>0</v>
      </c>
      <c r="M599" s="18">
        <f t="shared" si="63"/>
        <v>864038.81525221327</v>
      </c>
      <c r="N599" s="18">
        <f>IF($A599&gt;30,0,(N591-MIN(MAX(O598,0),N591))+MIN(MAX(0,P598-(N591-MIN(MAX(O598,0),N591))),MAX(0,0*N591-(O598-MIN(MAX(O598,0),N591)))))</f>
        <v>49533.26147597337</v>
      </c>
      <c r="O599" s="18">
        <f>IF($A599&gt;30,O598,(O598-N591+N599)*(1+$B$7))</f>
        <v>0</v>
      </c>
      <c r="P599" s="18">
        <f t="shared" si="64"/>
        <v>864038.81525221327</v>
      </c>
      <c r="Q599" s="18">
        <f>IF($A599&gt;30,0,(Q591-MIN(MAX(R598,0),Q591))+MIN(MAX(0,S598-(Q591-MIN(MAX(R598,0),Q591))),MAX(0,0*Q591-(R598-MIN(MAX(R598,0),Q591)))))</f>
        <v>49533.261475973362</v>
      </c>
      <c r="R599" s="18">
        <f>IF($A599&gt;30,R598,(R598-Q591+Q599)*(1+$B$7))</f>
        <v>0</v>
      </c>
      <c r="S599" s="18">
        <f t="shared" si="65"/>
        <v>864038.81525221327</v>
      </c>
    </row>
    <row r="600" spans="1:19">
      <c r="A600" s="10">
        <f>7</f>
        <v>7</v>
      </c>
      <c r="B600" s="18">
        <f>IF($A600&gt;30,0,(B591-MIN(MAX(C599,0),B591))+MIN(MAX(0,D599-(B591-MIN(MAX(C599,0),B591))),MAX(0,0*B591-(C599-MIN(MAX(C599,0),B591)))))</f>
        <v>30000</v>
      </c>
      <c r="C600" s="18">
        <f>IF($A600&gt;30,C599,(C599-B591+B600)*(1+$B$7))</f>
        <v>0</v>
      </c>
      <c r="D600" s="18">
        <f t="shared" si="60"/>
        <v>993103.78403725405</v>
      </c>
      <c r="E600" s="18">
        <f>IF($A600&gt;30,0,(E591-MIN(MAX(F599,0),E591))+MIN(MAX(0,G599-(E591-MIN(MAX(F599,0),E591))),MAX(0,0*E591-(F599-MIN(MAX(F599,0),E591)))))</f>
        <v>75000</v>
      </c>
      <c r="F600" s="18">
        <f>IF($A600&gt;30,F599,(F599-E591+E600)*(1+$B$7))</f>
        <v>0</v>
      </c>
      <c r="G600" s="18">
        <f t="shared" si="61"/>
        <v>637948.66195582983</v>
      </c>
      <c r="H600" s="18">
        <f>IF($A600&gt;30,0,(H591-MIN(MAX(I599,0),H591))+MIN(MAX(0,J599-(H591-MIN(MAX(I599,0),H591))),MAX(0,0*H591-(I599-MIN(MAX(I599,0),H591)))))</f>
        <v>49533.261475973391</v>
      </c>
      <c r="I600" s="18">
        <f>IF($A600&gt;30,I599,(I599-H591+H600)*(1+$B$7))</f>
        <v>0</v>
      </c>
      <c r="J600" s="18">
        <f t="shared" si="62"/>
        <v>838940.72038952704</v>
      </c>
      <c r="K600" s="18">
        <f>IF($A600&gt;30,0,(K591-MIN(MAX(L599,0),K591))+MIN(MAX(0,M599-(K591-MIN(MAX(L599,0),K591))),MAX(0,0*K591-(L599-MIN(MAX(L599,0),K591)))))</f>
        <v>49533.261475973377</v>
      </c>
      <c r="L600" s="18">
        <f>IF($A600&gt;30,L599,(L599-K591+K600)*(1+$B$7))</f>
        <v>0</v>
      </c>
      <c r="M600" s="18">
        <f t="shared" si="63"/>
        <v>838940.72038952704</v>
      </c>
      <c r="N600" s="18">
        <f>IF($A600&gt;30,0,(N591-MIN(MAX(O599,0),N591))+MIN(MAX(0,P599-(N591-MIN(MAX(O599,0),N591))),MAX(0,0*N591-(O599-MIN(MAX(O599,0),N591)))))</f>
        <v>49533.26147597337</v>
      </c>
      <c r="O600" s="18">
        <f>IF($A600&gt;30,O599,(O599-N591+N600)*(1+$B$7))</f>
        <v>0</v>
      </c>
      <c r="P600" s="18">
        <f t="shared" si="64"/>
        <v>838940.72038952704</v>
      </c>
      <c r="Q600" s="18">
        <f>IF($A600&gt;30,0,(Q591-MIN(MAX(R599,0),Q591))+MIN(MAX(0,S599-(Q591-MIN(MAX(R599,0),Q591))),MAX(0,0*Q591-(R599-MIN(MAX(R599,0),Q591)))))</f>
        <v>49533.261475973362</v>
      </c>
      <c r="R600" s="18">
        <f>IF($A600&gt;30,R599,(R599-Q591+Q600)*(1+$B$7))</f>
        <v>0</v>
      </c>
      <c r="S600" s="18">
        <f t="shared" si="65"/>
        <v>838940.72038952704</v>
      </c>
    </row>
    <row r="601" spans="1:19">
      <c r="A601" s="10">
        <f>8</f>
        <v>8</v>
      </c>
      <c r="B601" s="18">
        <f>IF($A601&gt;30,0,(B591-MIN(MAX(C600,0),B591))+MIN(MAX(0,D600-(B591-MIN(MAX(C600,0),B591))),MAX(0,0*B591-(C600-MIN(MAX(C600,0),B591)))))</f>
        <v>30000</v>
      </c>
      <c r="C601" s="18">
        <f>IF($A601&gt;30,C600,(C600-B591+B601)*(1+$B$7))</f>
        <v>0</v>
      </c>
      <c r="D601" s="18">
        <f t="shared" si="60"/>
        <v>991996.89755837165</v>
      </c>
      <c r="E601" s="18">
        <f>IF($A601&gt;30,0,(E591-MIN(MAX(F600,0),E591))+MIN(MAX(0,G600-(E591-MIN(MAX(F600,0),E591))),MAX(0,0*E591-(F600-MIN(MAX(F600,0),E591)))))</f>
        <v>75000</v>
      </c>
      <c r="F601" s="18">
        <f>IF($A601&gt;30,F600,(F600-E591+E601)*(1+$B$7))</f>
        <v>0</v>
      </c>
      <c r="G601" s="18">
        <f t="shared" si="61"/>
        <v>579837.12181450473</v>
      </c>
      <c r="H601" s="18">
        <f>IF($A601&gt;30,0,(H591-MIN(MAX(I600,0),H591))+MIN(MAX(0,J600-(H591-MIN(MAX(I600,0),H591))),MAX(0,0*H591-(I600-MIN(MAX(I600,0),H591)))))</f>
        <v>49533.261475973391</v>
      </c>
      <c r="I601" s="18">
        <f>IF($A601&gt;30,I600,(I600-H591+H601)*(1+$B$7))</f>
        <v>0</v>
      </c>
      <c r="J601" s="18">
        <f t="shared" si="62"/>
        <v>813089.68268096028</v>
      </c>
      <c r="K601" s="18">
        <f>IF($A601&gt;30,0,(K591-MIN(MAX(L600,0),K591))+MIN(MAX(0,M600-(K591-MIN(MAX(L600,0),K591))),MAX(0,0*K591-(L600-MIN(MAX(L600,0),K591)))))</f>
        <v>49533.261475973377</v>
      </c>
      <c r="L601" s="18">
        <f>IF($A601&gt;30,L600,(L600-K591+K601)*(1+$B$7))</f>
        <v>0</v>
      </c>
      <c r="M601" s="18">
        <f t="shared" si="63"/>
        <v>813089.68268096028</v>
      </c>
      <c r="N601" s="18">
        <f>IF($A601&gt;30,0,(N591-MIN(MAX(O600,0),N591))+MIN(MAX(0,P600-(N591-MIN(MAX(O600,0),N591))),MAX(0,0*N591-(O600-MIN(MAX(O600,0),N591)))))</f>
        <v>49533.26147597337</v>
      </c>
      <c r="O601" s="18">
        <f>IF($A601&gt;30,O600,(O600-N591+N601)*(1+$B$7))</f>
        <v>0</v>
      </c>
      <c r="P601" s="18">
        <f t="shared" si="64"/>
        <v>813089.68268096028</v>
      </c>
      <c r="Q601" s="18">
        <f>IF($A601&gt;30,0,(Q591-MIN(MAX(R600,0),Q591))+MIN(MAX(0,S600-(Q591-MIN(MAX(R600,0),Q591))),MAX(0,0*Q591-(R600-MIN(MAX(R600,0),Q591)))))</f>
        <v>49533.261475973362</v>
      </c>
      <c r="R601" s="18">
        <f>IF($A601&gt;30,R600,(R600-Q591+Q601)*(1+$B$7))</f>
        <v>0</v>
      </c>
      <c r="S601" s="18">
        <f t="shared" si="65"/>
        <v>813089.68268096028</v>
      </c>
    </row>
    <row r="602" spans="1:19">
      <c r="A602" s="10">
        <f>9</f>
        <v>9</v>
      </c>
      <c r="B602" s="18">
        <f>IF($A602&gt;30,0,(B591-MIN(MAX(C601,0),B591))+MIN(MAX(0,D601-(B591-MIN(MAX(C601,0),B591))),MAX(0,0*B591-(C601-MIN(MAX(C601,0),B591)))))</f>
        <v>30000</v>
      </c>
      <c r="C602" s="18">
        <f>IF($A602&gt;30,C601,(C601-B591+B602)*(1+$B$7))</f>
        <v>0</v>
      </c>
      <c r="D602" s="18">
        <f t="shared" si="60"/>
        <v>990856.80448512279</v>
      </c>
      <c r="E602" s="18">
        <f>IF($A602&gt;30,0,(E591-MIN(MAX(F601,0),E591))+MIN(MAX(0,G601-(E591-MIN(MAX(F601,0),E591))),MAX(0,0*E591-(F601-MIN(MAX(F601,0),E591)))))</f>
        <v>75000</v>
      </c>
      <c r="F602" s="18">
        <f>IF($A602&gt;30,F601,(F601-E591+E602)*(1+$B$7))</f>
        <v>0</v>
      </c>
      <c r="G602" s="18">
        <f t="shared" si="61"/>
        <v>519982.23546893988</v>
      </c>
      <c r="H602" s="18">
        <f>IF($A602&gt;30,0,(H591-MIN(MAX(I601,0),H591))+MIN(MAX(0,J601-(H591-MIN(MAX(I601,0),H591))),MAX(0,0*H591-(I601-MIN(MAX(I601,0),H591)))))</f>
        <v>49533.261475973391</v>
      </c>
      <c r="I602" s="18">
        <f>IF($A602&gt;30,I601,(I601-H591+H602)*(1+$B$7))</f>
        <v>0</v>
      </c>
      <c r="J602" s="18">
        <f t="shared" si="62"/>
        <v>786463.11384113645</v>
      </c>
      <c r="K602" s="18">
        <f>IF($A602&gt;30,0,(K591-MIN(MAX(L601,0),K591))+MIN(MAX(0,M601-(K591-MIN(MAX(L601,0),K591))),MAX(0,0*K591-(L601-MIN(MAX(L601,0),K591)))))</f>
        <v>49533.261475973377</v>
      </c>
      <c r="L602" s="18">
        <f>IF($A602&gt;30,L601,(L601-K591+K602)*(1+$B$7))</f>
        <v>0</v>
      </c>
      <c r="M602" s="18">
        <f t="shared" si="63"/>
        <v>786463.11384113645</v>
      </c>
      <c r="N602" s="18">
        <f>IF($A602&gt;30,0,(N591-MIN(MAX(O601,0),N591))+MIN(MAX(0,P601-(N591-MIN(MAX(O601,0),N591))),MAX(0,0*N591-(O601-MIN(MAX(O601,0),N591)))))</f>
        <v>49533.26147597337</v>
      </c>
      <c r="O602" s="18">
        <f>IF($A602&gt;30,O601,(O601-N591+N602)*(1+$B$7))</f>
        <v>0</v>
      </c>
      <c r="P602" s="18">
        <f t="shared" si="64"/>
        <v>786463.11384113645</v>
      </c>
      <c r="Q602" s="18">
        <f>IF($A602&gt;30,0,(Q591-MIN(MAX(R601,0),Q591))+MIN(MAX(0,S601-(Q591-MIN(MAX(R601,0),Q591))),MAX(0,0*Q591-(R601-MIN(MAX(R601,0),Q591)))))</f>
        <v>49533.261475973362</v>
      </c>
      <c r="R602" s="18">
        <f>IF($A602&gt;30,R601,(R601-Q591+Q602)*(1+$B$7))</f>
        <v>0</v>
      </c>
      <c r="S602" s="18">
        <f t="shared" si="65"/>
        <v>786463.11384113645</v>
      </c>
    </row>
    <row r="603" spans="1:19">
      <c r="A603" s="10">
        <f>10</f>
        <v>10</v>
      </c>
      <c r="B603" s="18">
        <f>IF($A603&gt;30,0,(B591-MIN(MAX(C602,0),B591))+MIN(MAX(0,D602-(B591-MIN(MAX(C602,0),B591))),MAX(0,0*B591-(C602-MIN(MAX(C602,0),B591)))))</f>
        <v>30000</v>
      </c>
      <c r="C603" s="18">
        <f>IF($A603&gt;30,C602,(C602-B591+B603)*(1+$B$7))</f>
        <v>0</v>
      </c>
      <c r="D603" s="18">
        <f t="shared" si="60"/>
        <v>989682.50861967646</v>
      </c>
      <c r="E603" s="18">
        <f>IF($A603&gt;30,0,(E591-MIN(MAX(F602,0),E591))+MIN(MAX(0,G602-(E591-MIN(MAX(F602,0),E591))),MAX(0,0*E591-(F602-MIN(MAX(F602,0),E591)))))</f>
        <v>75000</v>
      </c>
      <c r="F603" s="18">
        <f>IF($A603&gt;30,F602,(F602-E591+E603)*(1+$B$7))</f>
        <v>0</v>
      </c>
      <c r="G603" s="18">
        <f t="shared" si="61"/>
        <v>458331.70253300807</v>
      </c>
      <c r="H603" s="18">
        <f>IF($A603&gt;30,0,(H591-MIN(MAX(I602,0),H591))+MIN(MAX(0,J602-(H591-MIN(MAX(I602,0),H591))),MAX(0,0*H591-(I602-MIN(MAX(I602,0),H591)))))</f>
        <v>49533.261475973391</v>
      </c>
      <c r="I603" s="18">
        <f>IF($A603&gt;30,I602,(I602-H591+H603)*(1+$B$7))</f>
        <v>0</v>
      </c>
      <c r="J603" s="18">
        <f t="shared" si="62"/>
        <v>759037.74793611793</v>
      </c>
      <c r="K603" s="18">
        <f>IF($A603&gt;30,0,(K591-MIN(MAX(L602,0),K591))+MIN(MAX(0,M602-(K591-MIN(MAX(L602,0),K591))),MAX(0,0*K591-(L602-MIN(MAX(L602,0),K591)))))</f>
        <v>49533.261475973377</v>
      </c>
      <c r="L603" s="18">
        <f>IF($A603&gt;30,L602,(L602-K591+K603)*(1+$B$7))</f>
        <v>0</v>
      </c>
      <c r="M603" s="18">
        <f t="shared" si="63"/>
        <v>759037.74793611793</v>
      </c>
      <c r="N603" s="18">
        <f>IF($A603&gt;30,0,(N591-MIN(MAX(O602,0),N591))+MIN(MAX(0,P602-(N591-MIN(MAX(O602,0),N591))),MAX(0,0*N591-(O602-MIN(MAX(O602,0),N591)))))</f>
        <v>49533.26147597337</v>
      </c>
      <c r="O603" s="18">
        <f>IF($A603&gt;30,O602,(O602-N591+N603)*(1+$B$7))</f>
        <v>0</v>
      </c>
      <c r="P603" s="18">
        <f t="shared" si="64"/>
        <v>759037.74793611793</v>
      </c>
      <c r="Q603" s="18">
        <f>IF($A603&gt;30,0,(Q591-MIN(MAX(R602,0),Q591))+MIN(MAX(0,S602-(Q591-MIN(MAX(R602,0),Q591))),MAX(0,0*Q591-(R602-MIN(MAX(R602,0),Q591)))))</f>
        <v>49533.261475973362</v>
      </c>
      <c r="R603" s="18">
        <f>IF($A603&gt;30,R602,(R602-Q591+Q603)*(1+$B$7))</f>
        <v>0</v>
      </c>
      <c r="S603" s="18">
        <f t="shared" si="65"/>
        <v>759037.74793611793</v>
      </c>
    </row>
    <row r="604" spans="1:19">
      <c r="A604" s="10">
        <f>11</f>
        <v>11</v>
      </c>
      <c r="B604" s="18">
        <f>IF($A604&gt;30,0,(B591-MIN(MAX(C603,0),B591))+MIN(MAX(0,D603-(B591-MIN(MAX(C603,0),B591))),MAX(0,0*B591-(C603-MIN(MAX(C603,0),B591)))))</f>
        <v>30000</v>
      </c>
      <c r="C604" s="18">
        <f>IF($A604&gt;30,C603,(C603-B591+B604)*(1+$B$7))</f>
        <v>0</v>
      </c>
      <c r="D604" s="18">
        <f t="shared" si="60"/>
        <v>988472.98387826676</v>
      </c>
      <c r="E604" s="18">
        <f>IF($A604&gt;30,0,(E591-MIN(MAX(F603,0),E591))+MIN(MAX(0,G603-(E591-MIN(MAX(F603,0),E591))),MAX(0,0*E591-(F603-MIN(MAX(F603,0),E591)))))</f>
        <v>75000</v>
      </c>
      <c r="F604" s="18">
        <f>IF($A604&gt;30,F603,(F603-E591+E604)*(1+$B$7))</f>
        <v>0</v>
      </c>
      <c r="G604" s="18">
        <f t="shared" si="61"/>
        <v>394831.65360899834</v>
      </c>
      <c r="H604" s="18">
        <f>IF($A604&gt;30,0,(H591-MIN(MAX(I603,0),H591))+MIN(MAX(0,J603-(H591-MIN(MAX(I603,0),H591))),MAX(0,0*H591-(I603-MIN(MAX(I603,0),H591)))))</f>
        <v>49533.261475973391</v>
      </c>
      <c r="I604" s="18">
        <f>IF($A604&gt;30,I603,(I603-H591+H604)*(1+$B$7))</f>
        <v>0</v>
      </c>
      <c r="J604" s="18">
        <f t="shared" si="62"/>
        <v>730789.62105394888</v>
      </c>
      <c r="K604" s="18">
        <f>IF($A604&gt;30,0,(K591-MIN(MAX(L603,0),K591))+MIN(MAX(0,M603-(K591-MIN(MAX(L603,0),K591))),MAX(0,0*K591-(L603-MIN(MAX(L603,0),K591)))))</f>
        <v>49533.261475973377</v>
      </c>
      <c r="L604" s="18">
        <f>IF($A604&gt;30,L603,(L603-K591+K604)*(1+$B$7))</f>
        <v>0</v>
      </c>
      <c r="M604" s="18">
        <f t="shared" si="63"/>
        <v>730789.62105394888</v>
      </c>
      <c r="N604" s="18">
        <f>IF($A604&gt;30,0,(N591-MIN(MAX(O603,0),N591))+MIN(MAX(0,P603-(N591-MIN(MAX(O603,0),N591))),MAX(0,0*N591-(O603-MIN(MAX(O603,0),N591)))))</f>
        <v>49533.26147597337</v>
      </c>
      <c r="O604" s="18">
        <f>IF($A604&gt;30,O603,(O603-N591+N604)*(1+$B$7))</f>
        <v>0</v>
      </c>
      <c r="P604" s="18">
        <f t="shared" si="64"/>
        <v>730789.62105394888</v>
      </c>
      <c r="Q604" s="18">
        <f>IF($A604&gt;30,0,(Q591-MIN(MAX(R603,0),Q591))+MIN(MAX(0,S603-(Q591-MIN(MAX(R603,0),Q591))),MAX(0,0*Q591-(R603-MIN(MAX(R603,0),Q591)))))</f>
        <v>49533.261475973362</v>
      </c>
      <c r="R604" s="18">
        <f>IF($A604&gt;30,R603,(R603-Q591+Q604)*(1+$B$7))</f>
        <v>0</v>
      </c>
      <c r="S604" s="18">
        <f t="shared" si="65"/>
        <v>730789.62105394888</v>
      </c>
    </row>
    <row r="605" spans="1:19">
      <c r="A605" s="10">
        <f>12</f>
        <v>12</v>
      </c>
      <c r="B605" s="18">
        <f>IF($A605&gt;30,0,(B591-MIN(MAX(C604,0),B591))+MIN(MAX(0,D604-(B591-MIN(MAX(C604,0),B591))),MAX(0,0*B591-(C604-MIN(MAX(C604,0),B591)))))</f>
        <v>30000</v>
      </c>
      <c r="C605" s="18">
        <f>IF($A605&gt;30,C604,(C604-B591+B605)*(1+$B$7))</f>
        <v>0</v>
      </c>
      <c r="D605" s="18">
        <f t="shared" si="60"/>
        <v>987227.17339461483</v>
      </c>
      <c r="E605" s="18">
        <f>IF($A605&gt;30,0,(E591-MIN(MAX(F604,0),E591))+MIN(MAX(0,G604-(E591-MIN(MAX(F604,0),E591))),MAX(0,0*E591-(F604-MIN(MAX(F604,0),E591)))))</f>
        <v>75000</v>
      </c>
      <c r="F605" s="18">
        <f>IF($A605&gt;30,F604,(F604-E591+E605)*(1+$B$7))</f>
        <v>0</v>
      </c>
      <c r="G605" s="18">
        <f t="shared" si="61"/>
        <v>329426.6032172683</v>
      </c>
      <c r="H605" s="18">
        <f>IF($A605&gt;30,0,(H591-MIN(MAX(I604,0),H591))+MIN(MAX(0,J604-(H591-MIN(MAX(I604,0),H591))),MAX(0,0*H591-(I604-MIN(MAX(I604,0),H591)))))</f>
        <v>49533.261475973391</v>
      </c>
      <c r="I605" s="18">
        <f>IF($A605&gt;30,I604,(I604-H591+H605)*(1+$B$7))</f>
        <v>0</v>
      </c>
      <c r="J605" s="18">
        <f t="shared" si="62"/>
        <v>701694.0503653147</v>
      </c>
      <c r="K605" s="18">
        <f>IF($A605&gt;30,0,(K591-MIN(MAX(L604,0),K591))+MIN(MAX(0,M604-(K591-MIN(MAX(L604,0),K591))),MAX(0,0*K591-(L604-MIN(MAX(L604,0),K591)))))</f>
        <v>49533.261475973377</v>
      </c>
      <c r="L605" s="18">
        <f>IF($A605&gt;30,L604,(L604-K591+K605)*(1+$B$7))</f>
        <v>0</v>
      </c>
      <c r="M605" s="18">
        <f t="shared" si="63"/>
        <v>701694.0503653147</v>
      </c>
      <c r="N605" s="18">
        <f>IF($A605&gt;30,0,(N591-MIN(MAX(O604,0),N591))+MIN(MAX(0,P604-(N591-MIN(MAX(O604,0),N591))),MAX(0,0*N591-(O604-MIN(MAX(O604,0),N591)))))</f>
        <v>49533.26147597337</v>
      </c>
      <c r="O605" s="18">
        <f>IF($A605&gt;30,O604,(O604-N591+N605)*(1+$B$7))</f>
        <v>0</v>
      </c>
      <c r="P605" s="18">
        <f t="shared" si="64"/>
        <v>701694.0503653147</v>
      </c>
      <c r="Q605" s="18">
        <f>IF($A605&gt;30,0,(Q591-MIN(MAX(R604,0),Q591))+MIN(MAX(0,S604-(Q591-MIN(MAX(R604,0),Q591))),MAX(0,0*Q591-(R604-MIN(MAX(R604,0),Q591)))))</f>
        <v>49533.261475973362</v>
      </c>
      <c r="R605" s="18">
        <f>IF($A605&gt;30,R604,(R604-Q591+Q605)*(1+$B$7))</f>
        <v>0</v>
      </c>
      <c r="S605" s="18">
        <f t="shared" si="65"/>
        <v>701694.0503653147</v>
      </c>
    </row>
    <row r="606" spans="1:19">
      <c r="A606" s="10">
        <f>13</f>
        <v>13</v>
      </c>
      <c r="B606" s="18">
        <f>IF($A606&gt;30,0,(B591-MIN(MAX(C605,0),B591))+MIN(MAX(0,D605-(B591-MIN(MAX(C605,0),B591))),MAX(0,0*B591-(C605-MIN(MAX(C605,0),B591)))))</f>
        <v>30000</v>
      </c>
      <c r="C606" s="18">
        <f>IF($A606&gt;30,C605,(C605-B591+B606)*(1+$B$7))</f>
        <v>0</v>
      </c>
      <c r="D606" s="18">
        <f t="shared" si="60"/>
        <v>985943.98859645333</v>
      </c>
      <c r="E606" s="18">
        <f>IF($A606&gt;30,0,(E591-MIN(MAX(F605,0),E591))+MIN(MAX(0,G605-(E591-MIN(MAX(F605,0),E591))),MAX(0,0*E591-(F605-MIN(MAX(F605,0),E591)))))</f>
        <v>75000</v>
      </c>
      <c r="F606" s="18">
        <f>IF($A606&gt;30,F605,(F605-E591+E606)*(1+$B$7))</f>
        <v>0</v>
      </c>
      <c r="G606" s="18">
        <f t="shared" si="61"/>
        <v>262059.40131378637</v>
      </c>
      <c r="H606" s="18">
        <f>IF($A606&gt;30,0,(H591-MIN(MAX(I605,0),H591))+MIN(MAX(0,J605-(H591-MIN(MAX(I605,0),H591))),MAX(0,0*H591-(I605-MIN(MAX(I605,0),H591)))))</f>
        <v>49533.261475973391</v>
      </c>
      <c r="I606" s="18">
        <f>IF($A606&gt;30,I605,(I605-H591+H606)*(1+$B$7))</f>
        <v>0</v>
      </c>
      <c r="J606" s="18">
        <f t="shared" si="62"/>
        <v>671725.61255602154</v>
      </c>
      <c r="K606" s="18">
        <f>IF($A606&gt;30,0,(K591-MIN(MAX(L605,0),K591))+MIN(MAX(0,M605-(K591-MIN(MAX(L605,0),K591))),MAX(0,0*K591-(L605-MIN(MAX(L605,0),K591)))))</f>
        <v>49533.261475973377</v>
      </c>
      <c r="L606" s="18">
        <f>IF($A606&gt;30,L605,(L605-K591+K606)*(1+$B$7))</f>
        <v>0</v>
      </c>
      <c r="M606" s="18">
        <f t="shared" si="63"/>
        <v>671725.61255602154</v>
      </c>
      <c r="N606" s="18">
        <f>IF($A606&gt;30,0,(N591-MIN(MAX(O605,0),N591))+MIN(MAX(0,P605-(N591-MIN(MAX(O605,0),N591))),MAX(0,0*N591-(O605-MIN(MAX(O605,0),N591)))))</f>
        <v>49533.26147597337</v>
      </c>
      <c r="O606" s="18">
        <f>IF($A606&gt;30,O605,(O605-N591+N606)*(1+$B$7))</f>
        <v>0</v>
      </c>
      <c r="P606" s="18">
        <f t="shared" si="64"/>
        <v>671725.61255602154</v>
      </c>
      <c r="Q606" s="18">
        <f>IF($A606&gt;30,0,(Q591-MIN(MAX(R605,0),Q591))+MIN(MAX(0,S605-(Q591-MIN(MAX(R605,0),Q591))),MAX(0,0*Q591-(R605-MIN(MAX(R605,0),Q591)))))</f>
        <v>49533.261475973362</v>
      </c>
      <c r="R606" s="18">
        <f>IF($A606&gt;30,R605,(R605-Q591+Q606)*(1+$B$7))</f>
        <v>0</v>
      </c>
      <c r="S606" s="18">
        <f t="shared" si="65"/>
        <v>671725.61255602154</v>
      </c>
    </row>
    <row r="607" spans="1:19">
      <c r="A607" s="10">
        <f>14</f>
        <v>14</v>
      </c>
      <c r="B607" s="18">
        <f>IF($A607&gt;30,0,(B591-MIN(MAX(C606,0),B591))+MIN(MAX(0,D606-(B591-MIN(MAX(C606,0),B591))),MAX(0,0*B591-(C606-MIN(MAX(C606,0),B591)))))</f>
        <v>30000</v>
      </c>
      <c r="C607" s="18">
        <f>IF($A607&gt;30,C606,(C606-B591+B607)*(1+$B$7))</f>
        <v>0</v>
      </c>
      <c r="D607" s="18">
        <f t="shared" si="60"/>
        <v>984622.30825434695</v>
      </c>
      <c r="E607" s="18">
        <f>IF($A607&gt;30,0,(E591-MIN(MAX(F606,0),E591))+MIN(MAX(0,G606-(E591-MIN(MAX(F606,0),E591))),MAX(0,0*E591-(F606-MIN(MAX(F606,0),E591)))))</f>
        <v>75000</v>
      </c>
      <c r="F607" s="18">
        <f>IF($A607&gt;30,F606,(F606-E591+E607)*(1+$B$7))</f>
        <v>0</v>
      </c>
      <c r="G607" s="18">
        <f t="shared" si="61"/>
        <v>192671.18335319997</v>
      </c>
      <c r="H607" s="18">
        <f>IF($A607&gt;30,0,(H591-MIN(MAX(I606,0),H591))+MIN(MAX(0,J606-(H591-MIN(MAX(I606,0),H591))),MAX(0,0*H591-(I606-MIN(MAX(I606,0),H591)))))</f>
        <v>49533.261475973391</v>
      </c>
      <c r="I607" s="18">
        <f>IF($A607&gt;30,I606,(I606-H591+H607)*(1+$B$7))</f>
        <v>0</v>
      </c>
      <c r="J607" s="18">
        <f t="shared" si="62"/>
        <v>640858.12161244964</v>
      </c>
      <c r="K607" s="18">
        <f>IF($A607&gt;30,0,(K591-MIN(MAX(L606,0),K591))+MIN(MAX(0,M606-(K591-MIN(MAX(L606,0),K591))),MAX(0,0*K591-(L606-MIN(MAX(L606,0),K591)))))</f>
        <v>49533.261475973377</v>
      </c>
      <c r="L607" s="18">
        <f>IF($A607&gt;30,L606,(L606-K591+K607)*(1+$B$7))</f>
        <v>0</v>
      </c>
      <c r="M607" s="18">
        <f t="shared" si="63"/>
        <v>640858.12161244964</v>
      </c>
      <c r="N607" s="18">
        <f>IF($A607&gt;30,0,(N591-MIN(MAX(O606,0),N591))+MIN(MAX(0,P606-(N591-MIN(MAX(O606,0),N591))),MAX(0,0*N591-(O606-MIN(MAX(O606,0),N591)))))</f>
        <v>49533.26147597337</v>
      </c>
      <c r="O607" s="18">
        <f>IF($A607&gt;30,O606,(O606-N591+N607)*(1+$B$7))</f>
        <v>0</v>
      </c>
      <c r="P607" s="18">
        <f t="shared" si="64"/>
        <v>640858.12161244964</v>
      </c>
      <c r="Q607" s="18">
        <f>IF($A607&gt;30,0,(Q591-MIN(MAX(R606,0),Q591))+MIN(MAX(0,S606-(Q591-MIN(MAX(R606,0),Q591))),MAX(0,0*Q591-(R606-MIN(MAX(R606,0),Q591)))))</f>
        <v>49533.261475973362</v>
      </c>
      <c r="R607" s="18">
        <f>IF($A607&gt;30,R606,(R606-Q591+Q607)*(1+$B$7))</f>
        <v>0</v>
      </c>
      <c r="S607" s="18">
        <f t="shared" si="65"/>
        <v>640858.12161244964</v>
      </c>
    </row>
    <row r="608" spans="1:19">
      <c r="A608" s="10">
        <f>15</f>
        <v>15</v>
      </c>
      <c r="B608" s="18">
        <f>IF($A608&gt;30,0,(B591-MIN(MAX(C607,0),B591))+MIN(MAX(0,D607-(B591-MIN(MAX(C607,0),B591))),MAX(0,0*B591-(C607-MIN(MAX(C607,0),B591)))))</f>
        <v>30000</v>
      </c>
      <c r="C608" s="18">
        <f>IF($A608&gt;30,C607,(C607-B591+B608)*(1+$B$7))</f>
        <v>0</v>
      </c>
      <c r="D608" s="18">
        <f t="shared" si="60"/>
        <v>983260.97750197735</v>
      </c>
      <c r="E608" s="18">
        <f>IF($A608&gt;30,0,(E591-MIN(MAX(F607,0),E591))+MIN(MAX(0,G607-(E591-MIN(MAX(F607,0),E591))),MAX(0,0*E591-(F607-MIN(MAX(F607,0),E591)))))</f>
        <v>75000</v>
      </c>
      <c r="F608" s="18">
        <f>IF($A608&gt;30,F607,(F607-E591+E608)*(1+$B$7))</f>
        <v>0</v>
      </c>
      <c r="G608" s="18">
        <f t="shared" si="61"/>
        <v>121201.31885379598</v>
      </c>
      <c r="H608" s="18">
        <f>IF($A608&gt;30,0,(H591-MIN(MAX(I607,0),H591))+MIN(MAX(0,J607-(H591-MIN(MAX(I607,0),H591))),MAX(0,0*H591-(I607-MIN(MAX(I607,0),H591)))))</f>
        <v>49533.261475973391</v>
      </c>
      <c r="I608" s="18">
        <f>IF($A608&gt;30,I607,(I607-H591+H608)*(1+$B$7))</f>
        <v>0</v>
      </c>
      <c r="J608" s="18">
        <f t="shared" si="62"/>
        <v>609064.60594057059</v>
      </c>
      <c r="K608" s="18">
        <f>IF($A608&gt;30,0,(K591-MIN(MAX(L607,0),K591))+MIN(MAX(0,M607-(K591-MIN(MAX(L607,0),K591))),MAX(0,0*K591-(L607-MIN(MAX(L607,0),K591)))))</f>
        <v>49533.261475973377</v>
      </c>
      <c r="L608" s="18">
        <f>IF($A608&gt;30,L607,(L607-K591+K608)*(1+$B$7))</f>
        <v>0</v>
      </c>
      <c r="M608" s="18">
        <f t="shared" si="63"/>
        <v>609064.60594057059</v>
      </c>
      <c r="N608" s="18">
        <f>IF($A608&gt;30,0,(N591-MIN(MAX(O607,0),N591))+MIN(MAX(0,P607-(N591-MIN(MAX(O607,0),N591))),MAX(0,0*N591-(O607-MIN(MAX(O607,0),N591)))))</f>
        <v>49533.26147597337</v>
      </c>
      <c r="O608" s="18">
        <f>IF($A608&gt;30,O607,(O607-N591+N608)*(1+$B$7))</f>
        <v>0</v>
      </c>
      <c r="P608" s="18">
        <f t="shared" si="64"/>
        <v>609064.60594057059</v>
      </c>
      <c r="Q608" s="18">
        <f>IF($A608&gt;30,0,(Q591-MIN(MAX(R607,0),Q591))+MIN(MAX(0,S607-(Q591-MIN(MAX(R607,0),Q591))),MAX(0,0*Q591-(R607-MIN(MAX(R607,0),Q591)))))</f>
        <v>49533.261475973362</v>
      </c>
      <c r="R608" s="18">
        <f>IF($A608&gt;30,R607,(R607-Q591+Q608)*(1+$B$7))</f>
        <v>0</v>
      </c>
      <c r="S608" s="18">
        <f t="shared" si="65"/>
        <v>609064.60594057059</v>
      </c>
    </row>
    <row r="609" spans="1:19">
      <c r="A609" s="10">
        <f>16</f>
        <v>16</v>
      </c>
      <c r="B609" s="18">
        <f>IF($A609&gt;30,0,(B591-MIN(MAX(C608,0),B591))+MIN(MAX(0,D608-(B591-MIN(MAX(C608,0),B591))),MAX(0,0*B591-(C608-MIN(MAX(C608,0),B591)))))</f>
        <v>30000</v>
      </c>
      <c r="C609" s="18">
        <f>IF($A609&gt;30,C608,(C608-B591+B609)*(1+$B$7))</f>
        <v>0</v>
      </c>
      <c r="D609" s="18">
        <f t="shared" si="60"/>
        <v>981858.80682703666</v>
      </c>
      <c r="E609" s="18">
        <f>IF($A609&gt;30,0,(E591-MIN(MAX(F608,0),E591))+MIN(MAX(0,G608-(E591-MIN(MAX(F608,0),E591))),MAX(0,0*E591-(F608-MIN(MAX(F608,0),E591)))))</f>
        <v>75000</v>
      </c>
      <c r="F609" s="18">
        <f>IF($A609&gt;30,F608,(F608-E591+E609)*(1+$B$7))</f>
        <v>0</v>
      </c>
      <c r="G609" s="18">
        <f t="shared" si="61"/>
        <v>47587.358419409858</v>
      </c>
      <c r="H609" s="18">
        <f>IF($A609&gt;30,0,(H591-MIN(MAX(I608,0),H591))+MIN(MAX(0,J608-(H591-MIN(MAX(I608,0),H591))),MAX(0,0*H591-(I608-MIN(MAX(I608,0),H591)))))</f>
        <v>49533.261475973391</v>
      </c>
      <c r="I609" s="18">
        <f>IF($A609&gt;30,I608,(I608-H591+H609)*(1+$B$7))</f>
        <v>0</v>
      </c>
      <c r="J609" s="18">
        <f t="shared" si="62"/>
        <v>576317.28479853505</v>
      </c>
      <c r="K609" s="18">
        <f>IF($A609&gt;30,0,(K591-MIN(MAX(L608,0),K591))+MIN(MAX(0,M608-(K591-MIN(MAX(L608,0),K591))),MAX(0,0*K591-(L608-MIN(MAX(L608,0),K591)))))</f>
        <v>49533.261475973377</v>
      </c>
      <c r="L609" s="18">
        <f>IF($A609&gt;30,L608,(L608-K591+K609)*(1+$B$7))</f>
        <v>0</v>
      </c>
      <c r="M609" s="18">
        <f t="shared" si="63"/>
        <v>576317.28479853505</v>
      </c>
      <c r="N609" s="18">
        <f>IF($A609&gt;30,0,(N591-MIN(MAX(O608,0),N591))+MIN(MAX(0,P608-(N591-MIN(MAX(O608,0),N591))),MAX(0,0*N591-(O608-MIN(MAX(O608,0),N591)))))</f>
        <v>49533.26147597337</v>
      </c>
      <c r="O609" s="18">
        <f>IF($A609&gt;30,O608,(O608-N591+N609)*(1+$B$7))</f>
        <v>0</v>
      </c>
      <c r="P609" s="18">
        <f t="shared" si="64"/>
        <v>576317.28479853505</v>
      </c>
      <c r="Q609" s="18">
        <f>IF($A609&gt;30,0,(Q591-MIN(MAX(R608,0),Q591))+MIN(MAX(0,S608-(Q591-MIN(MAX(R608,0),Q591))),MAX(0,0*Q591-(R608-MIN(MAX(R608,0),Q591)))))</f>
        <v>49533.261475973362</v>
      </c>
      <c r="R609" s="18">
        <f>IF($A609&gt;30,R608,(R608-Q591+Q609)*(1+$B$7))</f>
        <v>0</v>
      </c>
      <c r="S609" s="18">
        <f t="shared" si="65"/>
        <v>576317.28479853505</v>
      </c>
    </row>
    <row r="610" spans="1:19">
      <c r="A610" s="10">
        <f>17</f>
        <v>17</v>
      </c>
      <c r="B610" s="18">
        <f>IF($A610&gt;30,0,(B591-MIN(MAX(C609,0),B591))+MIN(MAX(0,D609-(B591-MIN(MAX(C609,0),B591))),MAX(0,0*B591-(C609-MIN(MAX(C609,0),B591)))))</f>
        <v>30000</v>
      </c>
      <c r="C610" s="18">
        <f>IF($A610&gt;30,C609,(C609-B591+B610)*(1+$B$7))</f>
        <v>0</v>
      </c>
      <c r="D610" s="18">
        <f t="shared" si="60"/>
        <v>980414.57103184774</v>
      </c>
      <c r="E610" s="18">
        <f>IF($A610&gt;30,0,(E591-MIN(MAX(F609,0),E591))+MIN(MAX(0,G609-(E591-MIN(MAX(F609,0),E591))),MAX(0,0*E591-(F609-MIN(MAX(F609,0),E591)))))</f>
        <v>75000</v>
      </c>
      <c r="F610" s="18">
        <f>IF($A610&gt;30,F609,(F609-E591+E610)*(1+$B$7))</f>
        <v>0</v>
      </c>
      <c r="G610" s="18">
        <f t="shared" si="61"/>
        <v>-28235.020828007848</v>
      </c>
      <c r="H610" s="18">
        <f>IF($A610&gt;30,0,(H591-MIN(MAX(I609,0),H591))+MIN(MAX(0,J609-(H591-MIN(MAX(I609,0),H591))),MAX(0,0*H591-(I609-MIN(MAX(I609,0),H591)))))</f>
        <v>49533.261475973391</v>
      </c>
      <c r="I610" s="18">
        <f>IF($A610&gt;30,I609,(I609-H591+H610)*(1+$B$7))</f>
        <v>0</v>
      </c>
      <c r="J610" s="18">
        <f t="shared" si="62"/>
        <v>542587.54402223846</v>
      </c>
      <c r="K610" s="18">
        <f>IF($A610&gt;30,0,(K591-MIN(MAX(L609,0),K591))+MIN(MAX(0,M609-(K591-MIN(MAX(L609,0),K591))),MAX(0,0*K591-(L609-MIN(MAX(L609,0),K591)))))</f>
        <v>49533.261475973377</v>
      </c>
      <c r="L610" s="18">
        <f>IF($A610&gt;30,L609,(L609-K591+K610)*(1+$B$7))</f>
        <v>0</v>
      </c>
      <c r="M610" s="18">
        <f t="shared" si="63"/>
        <v>542587.54402223846</v>
      </c>
      <c r="N610" s="18">
        <f>IF($A610&gt;30,0,(N591-MIN(MAX(O609,0),N591))+MIN(MAX(0,P609-(N591-MIN(MAX(O609,0),N591))),MAX(0,0*N591-(O609-MIN(MAX(O609,0),N591)))))</f>
        <v>49533.26147597337</v>
      </c>
      <c r="O610" s="18">
        <f>IF($A610&gt;30,O609,(O609-N591+N610)*(1+$B$7))</f>
        <v>0</v>
      </c>
      <c r="P610" s="18">
        <f t="shared" si="64"/>
        <v>542587.54402223846</v>
      </c>
      <c r="Q610" s="18">
        <f>IF($A610&gt;30,0,(Q591-MIN(MAX(R609,0),Q591))+MIN(MAX(0,S609-(Q591-MIN(MAX(R609,0),Q591))),MAX(0,0*Q591-(R609-MIN(MAX(R609,0),Q591)))))</f>
        <v>49533.261475973362</v>
      </c>
      <c r="R610" s="18">
        <f>IF($A610&gt;30,R609,(R609-Q591+Q610)*(1+$B$7))</f>
        <v>0</v>
      </c>
      <c r="S610" s="18">
        <f t="shared" si="65"/>
        <v>542587.54402223846</v>
      </c>
    </row>
    <row r="611" spans="1:19">
      <c r="A611" s="10">
        <f>18</f>
        <v>18</v>
      </c>
      <c r="B611" s="18">
        <f>IF($A611&gt;30,0,(B591-MIN(MAX(C610,0),B591))+MIN(MAX(0,D610-(B591-MIN(MAX(C610,0),B591))),MAX(0,0*B591-(C610-MIN(MAX(C610,0),B591)))))</f>
        <v>30000</v>
      </c>
      <c r="C611" s="18">
        <f>IF($A611&gt;30,C610,(C610-B591+B611)*(1+$B$7))</f>
        <v>0</v>
      </c>
      <c r="D611" s="18">
        <f t="shared" si="60"/>
        <v>978927.00816280325</v>
      </c>
      <c r="E611" s="18">
        <f>IF($A611&gt;30,0,(E591-MIN(MAX(F610,0),E591))+MIN(MAX(0,G610-(E591-MIN(MAX(F610,0),E591))),MAX(0,0*E591-(F610-MIN(MAX(F610,0),E591)))))</f>
        <v>75000</v>
      </c>
      <c r="F611" s="18">
        <f>IF($A611&gt;30,F610,(F610-E591+E611)*(1+$B$7))</f>
        <v>0</v>
      </c>
      <c r="G611" s="18">
        <f t="shared" si="61"/>
        <v>-106332.07145284809</v>
      </c>
      <c r="H611" s="18">
        <f>IF($A611&gt;30,0,(H591-MIN(MAX(I610,0),H591))+MIN(MAX(0,J610-(H591-MIN(MAX(I610,0),H591))),MAX(0,0*H591-(I610-MIN(MAX(I610,0),H591)))))</f>
        <v>49533.261475973391</v>
      </c>
      <c r="I611" s="18">
        <f>IF($A611&gt;30,I610,(I610-H591+H611)*(1+$B$7))</f>
        <v>0</v>
      </c>
      <c r="J611" s="18">
        <f t="shared" si="62"/>
        <v>507845.91102265299</v>
      </c>
      <c r="K611" s="18">
        <f>IF($A611&gt;30,0,(K591-MIN(MAX(L610,0),K591))+MIN(MAX(0,M610-(K591-MIN(MAX(L610,0),K591))),MAX(0,0*K591-(L610-MIN(MAX(L610,0),K591)))))</f>
        <v>49533.261475973377</v>
      </c>
      <c r="L611" s="18">
        <f>IF($A611&gt;30,L610,(L610-K591+K611)*(1+$B$7))</f>
        <v>0</v>
      </c>
      <c r="M611" s="18">
        <f t="shared" si="63"/>
        <v>507845.91102265305</v>
      </c>
      <c r="N611" s="18">
        <f>IF($A611&gt;30,0,(N591-MIN(MAX(O610,0),N591))+MIN(MAX(0,P610-(N591-MIN(MAX(O610,0),N591))),MAX(0,0*N591-(O610-MIN(MAX(O610,0),N591)))))</f>
        <v>49533.26147597337</v>
      </c>
      <c r="O611" s="18">
        <f>IF($A611&gt;30,O610,(O610-N591+N611)*(1+$B$7))</f>
        <v>0</v>
      </c>
      <c r="P611" s="18">
        <f t="shared" si="64"/>
        <v>507845.91102265305</v>
      </c>
      <c r="Q611" s="18">
        <f>IF($A611&gt;30,0,(Q591-MIN(MAX(R610,0),Q591))+MIN(MAX(0,S610-(Q591-MIN(MAX(R610,0),Q591))),MAX(0,0*Q591-(R610-MIN(MAX(R610,0),Q591)))))</f>
        <v>49533.261475973362</v>
      </c>
      <c r="R611" s="18">
        <f>IF($A611&gt;30,R610,(R610-Q591+Q611)*(1+$B$7))</f>
        <v>0</v>
      </c>
      <c r="S611" s="18">
        <f t="shared" si="65"/>
        <v>507845.91102265305</v>
      </c>
    </row>
    <row r="612" spans="1:19">
      <c r="A612" s="10">
        <f>19</f>
        <v>19</v>
      </c>
      <c r="B612" s="18">
        <f>IF($A612&gt;30,0,(B591-MIN(MAX(C611,0),B591))+MIN(MAX(0,D611-(B591-MIN(MAX(C611,0),B591))),MAX(0,0*B591-(C611-MIN(MAX(C611,0),B591)))))</f>
        <v>30000</v>
      </c>
      <c r="C612" s="18">
        <f>IF($A612&gt;30,C611,(C611-B591+B612)*(1+$B$7))</f>
        <v>0</v>
      </c>
      <c r="D612" s="18">
        <f t="shared" si="60"/>
        <v>977394.81840768736</v>
      </c>
      <c r="E612" s="18">
        <f>IF($A612&gt;30,0,(E591-MIN(MAX(F611,0),E591))+MIN(MAX(0,G611-(E591-MIN(MAX(F611,0),E591))),MAX(0,0*E591-(F611-MIN(MAX(F611,0),E591)))))</f>
        <v>75000</v>
      </c>
      <c r="F612" s="18">
        <f>IF($A612&gt;30,F611,(F611-E591+E612)*(1+$B$7))</f>
        <v>0</v>
      </c>
      <c r="G612" s="18">
        <f t="shared" si="61"/>
        <v>-186772.03359643352</v>
      </c>
      <c r="H612" s="18">
        <f>IF($A612&gt;30,0,(H591-MIN(MAX(I611,0),H591))+MIN(MAX(0,J611-(H591-MIN(MAX(I611,0),H591))),MAX(0,0*H591-(I611-MIN(MAX(I611,0),H591)))))</f>
        <v>49533.261475973391</v>
      </c>
      <c r="I612" s="18">
        <f>IF($A612&gt;30,I611,(I611-H591+H612)*(1+$B$7))</f>
        <v>0</v>
      </c>
      <c r="J612" s="18">
        <f t="shared" si="62"/>
        <v>472062.02903307998</v>
      </c>
      <c r="K612" s="18">
        <f>IF($A612&gt;30,0,(K591-MIN(MAX(L611,0),K591))+MIN(MAX(0,M611-(K591-MIN(MAX(L611,0),K591))),MAX(0,0*K591-(L611-MIN(MAX(L611,0),K591)))))</f>
        <v>49533.261475973377</v>
      </c>
      <c r="L612" s="18">
        <f>IF($A612&gt;30,L611,(L611-K591+K612)*(1+$B$7))</f>
        <v>0</v>
      </c>
      <c r="M612" s="18">
        <f t="shared" si="63"/>
        <v>472062.02903308009</v>
      </c>
      <c r="N612" s="18">
        <f>IF($A612&gt;30,0,(N591-MIN(MAX(O611,0),N591))+MIN(MAX(0,P611-(N591-MIN(MAX(O611,0),N591))),MAX(0,0*N591-(O611-MIN(MAX(O611,0),N591)))))</f>
        <v>49533.26147597337</v>
      </c>
      <c r="O612" s="18">
        <f>IF($A612&gt;30,O611,(O611-N591+N612)*(1+$B$7))</f>
        <v>0</v>
      </c>
      <c r="P612" s="18">
        <f t="shared" si="64"/>
        <v>472062.02903308009</v>
      </c>
      <c r="Q612" s="18">
        <f>IF($A612&gt;30,0,(Q591-MIN(MAX(R611,0),Q591))+MIN(MAX(0,S611-(Q591-MIN(MAX(R611,0),Q591))),MAX(0,0*Q591-(R611-MIN(MAX(R611,0),Q591)))))</f>
        <v>49533.261475973362</v>
      </c>
      <c r="R612" s="18">
        <f>IF($A612&gt;30,R611,(R611-Q591+Q612)*(1+$B$7))</f>
        <v>0</v>
      </c>
      <c r="S612" s="18">
        <f t="shared" si="65"/>
        <v>472062.02903308009</v>
      </c>
    </row>
    <row r="613" spans="1:19">
      <c r="A613" s="10">
        <f>20</f>
        <v>20</v>
      </c>
      <c r="B613" s="18">
        <f>IF($A613&gt;30,0,(B591-MIN(MAX(C612,0),B591))+MIN(MAX(0,D612-(B591-MIN(MAX(C612,0),B591))),MAX(0,0*B591-(C612-MIN(MAX(C612,0),B591)))))</f>
        <v>30000</v>
      </c>
      <c r="C613" s="18">
        <f>IF($A613&gt;30,C612,(C612-B591+B613)*(1+$B$7))</f>
        <v>0</v>
      </c>
      <c r="D613" s="18">
        <f t="shared" si="60"/>
        <v>975816.66295991803</v>
      </c>
      <c r="E613" s="18">
        <f>IF($A613&gt;30,0,(E591-MIN(MAX(F612,0),E591))+MIN(MAX(0,G612-(E591-MIN(MAX(F612,0),E591))),MAX(0,0*E591-(F612-MIN(MAX(F612,0),E591)))))</f>
        <v>75000</v>
      </c>
      <c r="F613" s="18">
        <f>IF($A613&gt;30,F612,(F612-E591+E613)*(1+$B$7))</f>
        <v>0</v>
      </c>
      <c r="G613" s="18">
        <f t="shared" si="61"/>
        <v>-269625.19460432656</v>
      </c>
      <c r="H613" s="18">
        <f>IF($A613&gt;30,0,(H591-MIN(MAX(I612,0),H591))+MIN(MAX(0,J612-(H591-MIN(MAX(I612,0),H591))),MAX(0,0*H591-(I612-MIN(MAX(I612,0),H591)))))</f>
        <v>49533.261475973391</v>
      </c>
      <c r="I613" s="18">
        <f>IF($A613&gt;30,I612,(I612-H591+H613)*(1+$B$7))</f>
        <v>0</v>
      </c>
      <c r="J613" s="18">
        <f t="shared" si="62"/>
        <v>435204.63058381976</v>
      </c>
      <c r="K613" s="18">
        <f>IF($A613&gt;30,0,(K591-MIN(MAX(L612,0),K591))+MIN(MAX(0,M612-(K591-MIN(MAX(L612,0),K591))),MAX(0,0*K591-(L612-MIN(MAX(L612,0),K591)))))</f>
        <v>49533.261475973377</v>
      </c>
      <c r="L613" s="18">
        <f>IF($A613&gt;30,L612,(L612-K591+K613)*(1+$B$7))</f>
        <v>0</v>
      </c>
      <c r="M613" s="18">
        <f t="shared" si="63"/>
        <v>435204.63058381993</v>
      </c>
      <c r="N613" s="18">
        <f>IF($A613&gt;30,0,(N591-MIN(MAX(O612,0),N591))+MIN(MAX(0,P612-(N591-MIN(MAX(O612,0),N591))),MAX(0,0*N591-(O612-MIN(MAX(O612,0),N591)))))</f>
        <v>49533.26147597337</v>
      </c>
      <c r="O613" s="18">
        <f>IF($A613&gt;30,O612,(O612-N591+N613)*(1+$B$7))</f>
        <v>0</v>
      </c>
      <c r="P613" s="18">
        <f t="shared" si="64"/>
        <v>435204.63058381993</v>
      </c>
      <c r="Q613" s="18">
        <f>IF($A613&gt;30,0,(Q591-MIN(MAX(R612,0),Q591))+MIN(MAX(0,S612-(Q591-MIN(MAX(R612,0),Q591))),MAX(0,0*Q591-(R612-MIN(MAX(R612,0),Q591)))))</f>
        <v>49533.261475973362</v>
      </c>
      <c r="R613" s="18">
        <f>IF($A613&gt;30,R612,(R612-Q591+Q613)*(1+$B$7))</f>
        <v>0</v>
      </c>
      <c r="S613" s="18">
        <f t="shared" si="65"/>
        <v>435204.63058381993</v>
      </c>
    </row>
    <row r="614" spans="1:19">
      <c r="A614" s="10">
        <f>21</f>
        <v>21</v>
      </c>
      <c r="B614" s="18">
        <f>IF($A614&gt;30,0,(B591-MIN(MAX(C613,0),B591))+MIN(MAX(0,D613-(B591-MIN(MAX(C613,0),B591))),MAX(0,0*B591-(C613-MIN(MAX(C613,0),B591)))))</f>
        <v>30000</v>
      </c>
      <c r="C614" s="18">
        <f>IF($A614&gt;30,C613,(C613-B591+B614)*(1+$B$7))</f>
        <v>0</v>
      </c>
      <c r="D614" s="18">
        <f t="shared" si="60"/>
        <v>974191.16284871555</v>
      </c>
      <c r="E614" s="18">
        <f>IF($A614&gt;30,0,(E591-MIN(MAX(F613,0),E591))+MIN(MAX(0,G613-(E591-MIN(MAX(F613,0),E591))),MAX(0,0*E591-(F613-MIN(MAX(F613,0),E591)))))</f>
        <v>75000</v>
      </c>
      <c r="F614" s="18">
        <f>IF($A614&gt;30,F613,(F613-E591+E614)*(1+$B$7))</f>
        <v>0</v>
      </c>
      <c r="G614" s="18">
        <f t="shared" si="61"/>
        <v>-354963.95044245635</v>
      </c>
      <c r="H614" s="18">
        <f>IF($A614&gt;30,0,(H591-MIN(MAX(I613,0),H591))+MIN(MAX(0,J613-(H591-MIN(MAX(I613,0),H591))),MAX(0,0*H591-(I613-MIN(MAX(I613,0),H591)))))</f>
        <v>49533.261475973391</v>
      </c>
      <c r="I614" s="18">
        <f>IF($A614&gt;30,I613,(I613-H591+H614)*(1+$B$7))</f>
        <v>0</v>
      </c>
      <c r="J614" s="18">
        <f t="shared" si="62"/>
        <v>397241.51018108177</v>
      </c>
      <c r="K614" s="18">
        <f>IF($A614&gt;30,0,(K591-MIN(MAX(L613,0),K591))+MIN(MAX(0,M613-(K591-MIN(MAX(L613,0),K591))),MAX(0,0*K591-(L613-MIN(MAX(L613,0),K591)))))</f>
        <v>49533.261475973377</v>
      </c>
      <c r="L614" s="18">
        <f>IF($A614&gt;30,L613,(L613-K591+K614)*(1+$B$7))</f>
        <v>0</v>
      </c>
      <c r="M614" s="18">
        <f t="shared" si="63"/>
        <v>397241.51018108201</v>
      </c>
      <c r="N614" s="18">
        <f>IF($A614&gt;30,0,(N591-MIN(MAX(O613,0),N591))+MIN(MAX(0,P613-(N591-MIN(MAX(O613,0),N591))),MAX(0,0*N591-(O613-MIN(MAX(O613,0),N591)))))</f>
        <v>49533.26147597337</v>
      </c>
      <c r="O614" s="18">
        <f>IF($A614&gt;30,O613,(O613-N591+N614)*(1+$B$7))</f>
        <v>0</v>
      </c>
      <c r="P614" s="18">
        <f t="shared" si="64"/>
        <v>397241.51018108201</v>
      </c>
      <c r="Q614" s="18">
        <f>IF($A614&gt;30,0,(Q591-MIN(MAX(R613,0),Q591))+MIN(MAX(0,S613-(Q591-MIN(MAX(R613,0),Q591))),MAX(0,0*Q591-(R613-MIN(MAX(R613,0),Q591)))))</f>
        <v>49533.261475973362</v>
      </c>
      <c r="R614" s="18">
        <f>IF($A614&gt;30,R613,(R613-Q591+Q614)*(1+$B$7))</f>
        <v>0</v>
      </c>
      <c r="S614" s="18">
        <f t="shared" si="65"/>
        <v>397241.51018108201</v>
      </c>
    </row>
    <row r="615" spans="1:19">
      <c r="A615" s="10">
        <f>22</f>
        <v>22</v>
      </c>
      <c r="B615" s="18">
        <f>IF($A615&gt;30,0,(B591-MIN(MAX(C614,0),B591))+MIN(MAX(0,D614-(B591-MIN(MAX(C614,0),B591))),MAX(0,0*B591-(C614-MIN(MAX(C614,0),B591)))))</f>
        <v>30000</v>
      </c>
      <c r="C615" s="18">
        <f>IF($A615&gt;30,C614,(C614-B591+B615)*(1+$B$7))</f>
        <v>0</v>
      </c>
      <c r="D615" s="18">
        <f t="shared" si="60"/>
        <v>972516.89773417707</v>
      </c>
      <c r="E615" s="18">
        <f>IF($A615&gt;30,0,(E591-MIN(MAX(F614,0),E591))+MIN(MAX(0,G614-(E591-MIN(MAX(F614,0),E591))),MAX(0,0*E591-(F614-MIN(MAX(F614,0),E591)))))</f>
        <v>75000</v>
      </c>
      <c r="F615" s="18">
        <f>IF($A615&gt;30,F614,(F614-E591+E615)*(1+$B$7))</f>
        <v>0</v>
      </c>
      <c r="G615" s="18">
        <f t="shared" si="61"/>
        <v>-442862.86895573005</v>
      </c>
      <c r="H615" s="18">
        <f>IF($A615&gt;30,0,(H591-MIN(MAX(I614,0),H591))+MIN(MAX(0,J614-(H591-MIN(MAX(I614,0),H591))),MAX(0,0*H591-(I614-MIN(MAX(I614,0),H591)))))</f>
        <v>49533.261475973391</v>
      </c>
      <c r="I615" s="18">
        <f>IF($A615&gt;30,I614,(I614-H591+H615)*(1+$B$7))</f>
        <v>0</v>
      </c>
      <c r="J615" s="18">
        <f t="shared" si="62"/>
        <v>358139.49616626161</v>
      </c>
      <c r="K615" s="18">
        <f>IF($A615&gt;30,0,(K591-MIN(MAX(L614,0),K591))+MIN(MAX(0,M614-(K591-MIN(MAX(L614,0),K591))),MAX(0,0*K591-(L614-MIN(MAX(L614,0),K591)))))</f>
        <v>49533.261475973377</v>
      </c>
      <c r="L615" s="18">
        <f>IF($A615&gt;30,L614,(L614-K591+K615)*(1+$B$7))</f>
        <v>0</v>
      </c>
      <c r="M615" s="18">
        <f t="shared" si="63"/>
        <v>358139.4961662619</v>
      </c>
      <c r="N615" s="18">
        <f>IF($A615&gt;30,0,(N591-MIN(MAX(O614,0),N591))+MIN(MAX(0,P614-(N591-MIN(MAX(O614,0),N591))),MAX(0,0*N591-(O614-MIN(MAX(O614,0),N591)))))</f>
        <v>49533.26147597337</v>
      </c>
      <c r="O615" s="18">
        <f>IF($A615&gt;30,O614,(O614-N591+N615)*(1+$B$7))</f>
        <v>0</v>
      </c>
      <c r="P615" s="18">
        <f t="shared" si="64"/>
        <v>358139.4961662619</v>
      </c>
      <c r="Q615" s="18">
        <f>IF($A615&gt;30,0,(Q591-MIN(MAX(R614,0),Q591))+MIN(MAX(0,S614-(Q591-MIN(MAX(R614,0),Q591))),MAX(0,0*Q591-(R614-MIN(MAX(R614,0),Q591)))))</f>
        <v>49533.261475973362</v>
      </c>
      <c r="R615" s="18">
        <f>IF($A615&gt;30,R614,(R614-Q591+Q615)*(1+$B$7))</f>
        <v>0</v>
      </c>
      <c r="S615" s="18">
        <f t="shared" si="65"/>
        <v>358139.4961662619</v>
      </c>
    </row>
    <row r="616" spans="1:19">
      <c r="A616" s="10">
        <f>23</f>
        <v>23</v>
      </c>
      <c r="B616" s="18">
        <f>IF($A616&gt;30,0,(B591-MIN(MAX(C615,0),B591))+MIN(MAX(0,D615-(B591-MIN(MAX(C615,0),B591))),MAX(0,0*B591-(C615-MIN(MAX(C615,0),B591)))))</f>
        <v>30000</v>
      </c>
      <c r="C616" s="18">
        <f>IF($A616&gt;30,C615,(C615-B591+B616)*(1+$B$7))</f>
        <v>0</v>
      </c>
      <c r="D616" s="18">
        <f t="shared" si="60"/>
        <v>970792.40466620238</v>
      </c>
      <c r="E616" s="18">
        <f>IF($A616&gt;30,0,(E591-MIN(MAX(F615,0),E591))+MIN(MAX(0,G615-(E591-MIN(MAX(F615,0),E591))),MAX(0,0*E591-(F615-MIN(MAX(F615,0),E591)))))</f>
        <v>75000</v>
      </c>
      <c r="F616" s="18">
        <f>IF($A616&gt;30,F615,(F615-E591+E616)*(1+$B$7))</f>
        <v>0</v>
      </c>
      <c r="G616" s="18">
        <f t="shared" si="61"/>
        <v>-533398.75502440194</v>
      </c>
      <c r="H616" s="18">
        <f>IF($A616&gt;30,0,(H591-MIN(MAX(I615,0),H591))+MIN(MAX(0,J615-(H591-MIN(MAX(I615,0),H591))),MAX(0,0*H591-(I615-MIN(MAX(I615,0),H591)))))</f>
        <v>49533.261475973391</v>
      </c>
      <c r="I616" s="18">
        <f>IF($A616&gt;30,I615,(I615-H591+H616)*(1+$B$7))</f>
        <v>0</v>
      </c>
      <c r="J616" s="18">
        <f t="shared" si="62"/>
        <v>317864.42173099687</v>
      </c>
      <c r="K616" s="18">
        <f>IF($A616&gt;30,0,(K591-MIN(MAX(L615,0),K591))+MIN(MAX(0,M615-(K591-MIN(MAX(L615,0),K591))),MAX(0,0*K591-(L615-MIN(MAX(L615,0),K591)))))</f>
        <v>49533.261475973377</v>
      </c>
      <c r="L616" s="18">
        <f>IF($A616&gt;30,L615,(L615-K591+K616)*(1+$B$7))</f>
        <v>0</v>
      </c>
      <c r="M616" s="18">
        <f t="shared" si="63"/>
        <v>317864.42173099722</v>
      </c>
      <c r="N616" s="18">
        <f>IF($A616&gt;30,0,(N591-MIN(MAX(O615,0),N591))+MIN(MAX(0,P615-(N591-MIN(MAX(O615,0),N591))),MAX(0,0*N591-(O615-MIN(MAX(O615,0),N591)))))</f>
        <v>49533.26147597337</v>
      </c>
      <c r="O616" s="18">
        <f>IF($A616&gt;30,O615,(O615-N591+N616)*(1+$B$7))</f>
        <v>0</v>
      </c>
      <c r="P616" s="18">
        <f t="shared" si="64"/>
        <v>317864.42173099722</v>
      </c>
      <c r="Q616" s="18">
        <f>IF($A616&gt;30,0,(Q591-MIN(MAX(R615,0),Q591))+MIN(MAX(0,S615-(Q591-MIN(MAX(R615,0),Q591))),MAX(0,0*Q591-(R615-MIN(MAX(R615,0),Q591)))))</f>
        <v>49533.261475973362</v>
      </c>
      <c r="R616" s="18">
        <f>IF($A616&gt;30,R615,(R615-Q591+Q616)*(1+$B$7))</f>
        <v>0</v>
      </c>
      <c r="S616" s="18">
        <f t="shared" si="65"/>
        <v>317864.42173099722</v>
      </c>
    </row>
    <row r="617" spans="1:19">
      <c r="A617" s="10">
        <f>24</f>
        <v>24</v>
      </c>
      <c r="B617" s="18">
        <f>IF($A617&gt;30,0,(B591-MIN(MAX(C616,0),B591))+MIN(MAX(0,D616-(B591-MIN(MAX(C616,0),B591))),MAX(0,0*B591-(C616-MIN(MAX(C616,0),B591)))))</f>
        <v>30000</v>
      </c>
      <c r="C617" s="18">
        <f>IF($A617&gt;30,C616,(C616-B591+B617)*(1+$B$7))</f>
        <v>0</v>
      </c>
      <c r="D617" s="18">
        <f t="shared" si="60"/>
        <v>969016.17680618842</v>
      </c>
      <c r="E617" s="18">
        <f>IF($A617&gt;30,0,(E591-MIN(MAX(F616,0),E591))+MIN(MAX(0,G616-(E591-MIN(MAX(F616,0),E591))),MAX(0,0*E591-(F616-MIN(MAX(F616,0),E591)))))</f>
        <v>75000</v>
      </c>
      <c r="F617" s="18">
        <f>IF($A617&gt;30,F616,(F616-E591+E617)*(1+$B$7))</f>
        <v>0</v>
      </c>
      <c r="G617" s="18">
        <f t="shared" si="61"/>
        <v>-626650.71767513396</v>
      </c>
      <c r="H617" s="18">
        <f>IF($A617&gt;30,0,(H591-MIN(MAX(I616,0),H591))+MIN(MAX(0,J616-(H591-MIN(MAX(I616,0),H591))),MAX(0,0*H591-(I616-MIN(MAX(I616,0),H591)))))</f>
        <v>49533.261475973391</v>
      </c>
      <c r="I617" s="18">
        <f>IF($A617&gt;30,I616,(I616-H591+H617)*(1+$B$7))</f>
        <v>0</v>
      </c>
      <c r="J617" s="18">
        <f t="shared" si="62"/>
        <v>276381.09506267414</v>
      </c>
      <c r="K617" s="18">
        <f>IF($A617&gt;30,0,(K591-MIN(MAX(L616,0),K591))+MIN(MAX(0,M616-(K591-MIN(MAX(L616,0),K591))),MAX(0,0*K591-(L616-MIN(MAX(L616,0),K591)))))</f>
        <v>49533.261475973377</v>
      </c>
      <c r="L617" s="18">
        <f>IF($A617&gt;30,L616,(L616-K591+K617)*(1+$B$7))</f>
        <v>0</v>
      </c>
      <c r="M617" s="18">
        <f t="shared" si="63"/>
        <v>276381.09506267461</v>
      </c>
      <c r="N617" s="18">
        <f>IF($A617&gt;30,0,(N591-MIN(MAX(O616,0),N591))+MIN(MAX(0,P616-(N591-MIN(MAX(O616,0),N591))),MAX(0,0*N591-(O616-MIN(MAX(O616,0),N591)))))</f>
        <v>49533.26147597337</v>
      </c>
      <c r="O617" s="18">
        <f>IF($A617&gt;30,O616,(O616-N591+N617)*(1+$B$7))</f>
        <v>0</v>
      </c>
      <c r="P617" s="18">
        <f t="shared" si="64"/>
        <v>276381.09506267461</v>
      </c>
      <c r="Q617" s="18">
        <f>IF($A617&gt;30,0,(Q591-MIN(MAX(R616,0),Q591))+MIN(MAX(0,S616-(Q591-MIN(MAX(R616,0),Q591))),MAX(0,0*Q591-(R616-MIN(MAX(R616,0),Q591)))))</f>
        <v>49533.261475973362</v>
      </c>
      <c r="R617" s="18">
        <f>IF($A617&gt;30,R616,(R616-Q591+Q617)*(1+$B$7))</f>
        <v>0</v>
      </c>
      <c r="S617" s="18">
        <f t="shared" si="65"/>
        <v>276381.09506267461</v>
      </c>
    </row>
    <row r="618" spans="1:19">
      <c r="A618" s="10">
        <f>25</f>
        <v>25</v>
      </c>
      <c r="B618" s="18">
        <f>IF($A618&gt;30,0,(B591-MIN(MAX(C617,0),B591))+MIN(MAX(0,D617-(B591-MIN(MAX(C617,0),B591))),MAX(0,0*B591-(C617-MIN(MAX(C617,0),B591)))))</f>
        <v>30000</v>
      </c>
      <c r="C618" s="18">
        <f>IF($A618&gt;30,C617,(C617-B591+B618)*(1+$B$7))</f>
        <v>0</v>
      </c>
      <c r="D618" s="18">
        <f t="shared" si="60"/>
        <v>967186.66211037408</v>
      </c>
      <c r="E618" s="18">
        <f>IF($A618&gt;30,0,(E591-MIN(MAX(F617,0),E591))+MIN(MAX(0,G617-(E591-MIN(MAX(F617,0),E591))),MAX(0,0*E591-(F617-MIN(MAX(F617,0),E591)))))</f>
        <v>75000</v>
      </c>
      <c r="F618" s="18">
        <f>IF($A618&gt;30,F617,(F617-E591+E618)*(1+$B$7))</f>
        <v>0</v>
      </c>
      <c r="G618" s="18">
        <f t="shared" si="61"/>
        <v>-722700.239205388</v>
      </c>
      <c r="H618" s="18">
        <f>IF($A618&gt;30,0,(H591-MIN(MAX(I617,0),H591))+MIN(MAX(0,J617-(H591-MIN(MAX(I617,0),H591))),MAX(0,0*H591-(I617-MIN(MAX(I617,0),H591)))))</f>
        <v>49533.261475973391</v>
      </c>
      <c r="I618" s="18">
        <f>IF($A618&gt;30,I617,(I617-H591+H618)*(1+$B$7))</f>
        <v>0</v>
      </c>
      <c r="J618" s="18">
        <f t="shared" si="62"/>
        <v>233653.26859430177</v>
      </c>
      <c r="K618" s="18">
        <f>IF($A618&gt;30,0,(K591-MIN(MAX(L617,0),K591))+MIN(MAX(0,M617-(K591-MIN(MAX(L617,0),K591))),MAX(0,0*K591-(L617-MIN(MAX(L617,0),K591)))))</f>
        <v>49533.261475973377</v>
      </c>
      <c r="L618" s="18">
        <f>IF($A618&gt;30,L617,(L617-K591+K618)*(1+$B$7))</f>
        <v>0</v>
      </c>
      <c r="M618" s="18">
        <f t="shared" si="63"/>
        <v>233653.26859430227</v>
      </c>
      <c r="N618" s="18">
        <f>IF($A618&gt;30,0,(N591-MIN(MAX(O617,0),N591))+MIN(MAX(0,P617-(N591-MIN(MAX(O617,0),N591))),MAX(0,0*N591-(O617-MIN(MAX(O617,0),N591)))))</f>
        <v>49533.26147597337</v>
      </c>
      <c r="O618" s="18">
        <f>IF($A618&gt;30,O617,(O617-N591+N618)*(1+$B$7))</f>
        <v>0</v>
      </c>
      <c r="P618" s="18">
        <f t="shared" si="64"/>
        <v>233653.2685943023</v>
      </c>
      <c r="Q618" s="18">
        <f>IF($A618&gt;30,0,(Q591-MIN(MAX(R617,0),Q591))+MIN(MAX(0,S617-(Q591-MIN(MAX(R617,0),Q591))),MAX(0,0*Q591-(R617-MIN(MAX(R617,0),Q591)))))</f>
        <v>49533.261475973362</v>
      </c>
      <c r="R618" s="18">
        <f>IF($A618&gt;30,R617,(R617-Q591+Q618)*(1+$B$7))</f>
        <v>0</v>
      </c>
      <c r="S618" s="18">
        <f t="shared" si="65"/>
        <v>233653.2685943023</v>
      </c>
    </row>
    <row r="619" spans="1:19">
      <c r="A619" s="10">
        <f>26</f>
        <v>26</v>
      </c>
      <c r="B619" s="18">
        <f>IF($A619&gt;30,0,(B591-MIN(MAX(C618,0),B591))+MIN(MAX(0,D618-(B591-MIN(MAX(C618,0),B591))),MAX(0,0*B591-(C618-MIN(MAX(C618,0),B591)))))</f>
        <v>30000</v>
      </c>
      <c r="C619" s="18">
        <f>IF($A619&gt;30,C618,(C618-B591+B619)*(1+$B$7))</f>
        <v>0</v>
      </c>
      <c r="D619" s="18">
        <f t="shared" si="60"/>
        <v>965302.26197368535</v>
      </c>
      <c r="E619" s="18">
        <f>IF($A619&gt;30,0,(E591-MIN(MAX(F618,0),E591))+MIN(MAX(0,G618-(E591-MIN(MAX(F618,0),E591))),MAX(0,0*E591-(F618-MIN(MAX(F618,0),E591)))))</f>
        <v>75000</v>
      </c>
      <c r="F619" s="18">
        <f>IF($A619&gt;30,F618,(F618-E591+E619)*(1+$B$7))</f>
        <v>0</v>
      </c>
      <c r="G619" s="18">
        <f t="shared" si="61"/>
        <v>-821631.24638154963</v>
      </c>
      <c r="H619" s="18">
        <f>IF($A619&gt;30,0,(H591-MIN(MAX(I618,0),H591))+MIN(MAX(0,J618-(H591-MIN(MAX(I618,0),H591))),MAX(0,0*H591-(I618-MIN(MAX(I618,0),H591)))))</f>
        <v>49533.261475973391</v>
      </c>
      <c r="I619" s="18">
        <f>IF($A619&gt;30,I618,(I618-H591+H619)*(1+$B$7))</f>
        <v>0</v>
      </c>
      <c r="J619" s="18">
        <f t="shared" si="62"/>
        <v>189643.60733187824</v>
      </c>
      <c r="K619" s="18">
        <f>IF($A619&gt;30,0,(K591-MIN(MAX(L618,0),K591))+MIN(MAX(0,M618-(K591-MIN(MAX(L618,0),K591))),MAX(0,0*K591-(L618-MIN(MAX(L618,0),K591)))))</f>
        <v>49533.261475973377</v>
      </c>
      <c r="L619" s="18">
        <f>IF($A619&gt;30,L618,(L618-K591+K619)*(1+$B$7))</f>
        <v>0</v>
      </c>
      <c r="M619" s="18">
        <f t="shared" si="63"/>
        <v>189643.60733187877</v>
      </c>
      <c r="N619" s="18">
        <f>IF($A619&gt;30,0,(N591-MIN(MAX(O618,0),N591))+MIN(MAX(0,P618-(N591-MIN(MAX(O618,0),N591))),MAX(0,0*N591-(O618-MIN(MAX(O618,0),N591)))))</f>
        <v>49533.26147597337</v>
      </c>
      <c r="O619" s="18">
        <f>IF($A619&gt;30,O618,(O618-N591+N619)*(1+$B$7))</f>
        <v>0</v>
      </c>
      <c r="P619" s="18">
        <f t="shared" si="64"/>
        <v>189643.60733187883</v>
      </c>
      <c r="Q619" s="18">
        <f>IF($A619&gt;30,0,(Q591-MIN(MAX(R618,0),Q591))+MIN(MAX(0,S618-(Q591-MIN(MAX(R618,0),Q591))),MAX(0,0*Q591-(R618-MIN(MAX(R618,0),Q591)))))</f>
        <v>49533.261475973362</v>
      </c>
      <c r="R619" s="18">
        <f>IF($A619&gt;30,R618,(R618-Q591+Q619)*(1+$B$7))</f>
        <v>0</v>
      </c>
      <c r="S619" s="18">
        <f t="shared" si="65"/>
        <v>189643.60733187883</v>
      </c>
    </row>
    <row r="620" spans="1:19">
      <c r="A620" s="10">
        <f>27</f>
        <v>27</v>
      </c>
      <c r="B620" s="18">
        <f>IF($A620&gt;30,0,(B591-MIN(MAX(C619,0),B591))+MIN(MAX(0,D619-(B591-MIN(MAX(C619,0),B591))),MAX(0,0*B591-(C619-MIN(MAX(C619,0),B591)))))</f>
        <v>30000</v>
      </c>
      <c r="C620" s="18">
        <f>IF($A620&gt;30,C619,(C619-B591+B620)*(1+$B$7))</f>
        <v>0</v>
      </c>
      <c r="D620" s="18">
        <f t="shared" si="60"/>
        <v>963361.32983289589</v>
      </c>
      <c r="E620" s="18">
        <f>IF($A620&gt;30,0,(E591-MIN(MAX(F619,0),E591))+MIN(MAX(0,G619-(E591-MIN(MAX(F619,0),E591))),MAX(0,0*E591-(F619-MIN(MAX(F619,0),E591)))))</f>
        <v>75000</v>
      </c>
      <c r="F620" s="18">
        <f>IF($A620&gt;30,F619,(F619-E591+E620)*(1+$B$7))</f>
        <v>0</v>
      </c>
      <c r="G620" s="18">
        <f t="shared" si="61"/>
        <v>-923530.18377299618</v>
      </c>
      <c r="H620" s="18">
        <f>IF($A620&gt;30,0,(H591-MIN(MAX(I619,0),H591))+MIN(MAX(0,J619-(H591-MIN(MAX(I619,0),H591))),MAX(0,0*H591-(I619-MIN(MAX(I619,0),H591)))))</f>
        <v>49533.261475973391</v>
      </c>
      <c r="I620" s="18">
        <f>IF($A620&gt;30,I619,(I619-H591+H620)*(1+$B$7))</f>
        <v>0</v>
      </c>
      <c r="J620" s="18">
        <f t="shared" si="62"/>
        <v>144313.65623158202</v>
      </c>
      <c r="K620" s="18">
        <f>IF($A620&gt;30,0,(K591-MIN(MAX(L619,0),K591))+MIN(MAX(0,M619-(K591-MIN(MAX(L619,0),K591))),MAX(0,0*K591-(L619-MIN(MAX(L619,0),K591)))))</f>
        <v>49533.261475973377</v>
      </c>
      <c r="L620" s="18">
        <f>IF($A620&gt;30,L619,(L619-K591+K620)*(1+$B$7))</f>
        <v>0</v>
      </c>
      <c r="M620" s="18">
        <f t="shared" si="63"/>
        <v>144313.65623158254</v>
      </c>
      <c r="N620" s="18">
        <f>IF($A620&gt;30,0,(N591-MIN(MAX(O619,0),N591))+MIN(MAX(0,P619-(N591-MIN(MAX(O619,0),N591))),MAX(0,0*N591-(O619-MIN(MAX(O619,0),N591)))))</f>
        <v>49533.26147597337</v>
      </c>
      <c r="O620" s="18">
        <f>IF($A620&gt;30,O619,(O619-N591+N620)*(1+$B$7))</f>
        <v>0</v>
      </c>
      <c r="P620" s="18">
        <f t="shared" si="64"/>
        <v>144313.6562315826</v>
      </c>
      <c r="Q620" s="18">
        <f>IF($A620&gt;30,0,(Q591-MIN(MAX(R619,0),Q591))+MIN(MAX(0,S619-(Q591-MIN(MAX(R619,0),Q591))),MAX(0,0*Q591-(R619-MIN(MAX(R619,0),Q591)))))</f>
        <v>49533.261475973362</v>
      </c>
      <c r="R620" s="18">
        <f>IF($A620&gt;30,R619,(R619-Q591+Q620)*(1+$B$7))</f>
        <v>0</v>
      </c>
      <c r="S620" s="18">
        <f t="shared" si="65"/>
        <v>144313.65623158263</v>
      </c>
    </row>
    <row r="621" spans="1:19">
      <c r="A621" s="10">
        <f>28</f>
        <v>28</v>
      </c>
      <c r="B621" s="18">
        <f>IF($A621&gt;30,0,(B591-MIN(MAX(C620,0),B591))+MIN(MAX(0,D620-(B591-MIN(MAX(C620,0),B591))),MAX(0,0*B591-(C620-MIN(MAX(C620,0),B591)))))</f>
        <v>30000</v>
      </c>
      <c r="C621" s="18">
        <f>IF($A621&gt;30,C620,(C620-B591+B621)*(1+$B$7))</f>
        <v>0</v>
      </c>
      <c r="D621" s="18">
        <f t="shared" si="60"/>
        <v>961362.16972788284</v>
      </c>
      <c r="E621" s="18">
        <f>IF($A621&gt;30,0,(E591-MIN(MAX(F620,0),E591))+MIN(MAX(0,G620-(E591-MIN(MAX(F620,0),E591))),MAX(0,0*E591-(F620-MIN(MAX(F620,0),E591)))))</f>
        <v>75000</v>
      </c>
      <c r="F621" s="18">
        <f>IF($A621&gt;30,F620,(F620-E591+E621)*(1+$B$7))</f>
        <v>0</v>
      </c>
      <c r="G621" s="18">
        <f t="shared" si="61"/>
        <v>-1028486.0892861862</v>
      </c>
      <c r="H621" s="18">
        <f>IF($A621&gt;30,0,(H591-MIN(MAX(I620,0),H591))+MIN(MAX(0,J620-(H591-MIN(MAX(I620,0),H591))),MAX(0,0*H591-(I620-MIN(MAX(I620,0),H591)))))</f>
        <v>49533.261475973391</v>
      </c>
      <c r="I621" s="18">
        <f>IF($A621&gt;30,I620,(I620-H591+H621)*(1+$B$7))</f>
        <v>0</v>
      </c>
      <c r="J621" s="18">
        <f t="shared" si="62"/>
        <v>97623.806598276889</v>
      </c>
      <c r="K621" s="18">
        <f>IF($A621&gt;30,0,(K591-MIN(MAX(L620,0),K591))+MIN(MAX(0,M620-(K591-MIN(MAX(L620,0),K591))),MAX(0,0*K591-(L620-MIN(MAX(L620,0),K591)))))</f>
        <v>49533.261475973377</v>
      </c>
      <c r="L621" s="18">
        <f>IF($A621&gt;30,L620,(L620-K591+K621)*(1+$B$7))</f>
        <v>0</v>
      </c>
      <c r="M621" s="18">
        <f t="shared" si="63"/>
        <v>97623.806598277442</v>
      </c>
      <c r="N621" s="18">
        <f>IF($A621&gt;30,0,(N591-MIN(MAX(O620,0),N591))+MIN(MAX(0,P620-(N591-MIN(MAX(O620,0),N591))),MAX(0,0*N591-(O620-MIN(MAX(O620,0),N591)))))</f>
        <v>49533.26147597337</v>
      </c>
      <c r="O621" s="18">
        <f>IF($A621&gt;30,O620,(O620-N591+N621)*(1+$B$7))</f>
        <v>0</v>
      </c>
      <c r="P621" s="18">
        <f t="shared" si="64"/>
        <v>97623.806598277515</v>
      </c>
      <c r="Q621" s="18">
        <f>IF($A621&gt;30,0,(Q591-MIN(MAX(R620,0),Q591))+MIN(MAX(0,S620-(Q591-MIN(MAX(R620,0),Q591))),MAX(0,0*Q591-(R620-MIN(MAX(R620,0),Q591)))))</f>
        <v>49533.261475973362</v>
      </c>
      <c r="R621" s="18">
        <f>IF($A621&gt;30,R620,(R620-Q591+Q621)*(1+$B$7))</f>
        <v>0</v>
      </c>
      <c r="S621" s="18">
        <f t="shared" si="65"/>
        <v>97623.806598277559</v>
      </c>
    </row>
    <row r="622" spans="1:19">
      <c r="A622" s="10">
        <f>29</f>
        <v>29</v>
      </c>
      <c r="B622" s="18">
        <f>IF($A622&gt;30,0,(B591-MIN(MAX(C621,0),B591))+MIN(MAX(0,D621-(B591-MIN(MAX(C621,0),B591))),MAX(0,0*B591-(C621-MIN(MAX(C621,0),B591)))))</f>
        <v>30000</v>
      </c>
      <c r="C622" s="18">
        <f>IF($A622&gt;30,C621,(C621-B591+B622)*(1+$B$7))</f>
        <v>0</v>
      </c>
      <c r="D622" s="18">
        <f t="shared" si="60"/>
        <v>959303.03481971938</v>
      </c>
      <c r="E622" s="18">
        <f>IF($A622&gt;30,0,(E591-MIN(MAX(F621,0),E591))+MIN(MAX(0,G621-(E591-MIN(MAX(F621,0),E591))),MAX(0,0*E591-(F621-MIN(MAX(F621,0),E591)))))</f>
        <v>75000</v>
      </c>
      <c r="F622" s="18">
        <f>IF($A622&gt;30,F621,(F621-E591+E622)*(1+$B$7))</f>
        <v>0</v>
      </c>
      <c r="G622" s="18">
        <f t="shared" si="61"/>
        <v>-1136590.6719647718</v>
      </c>
      <c r="H622" s="18">
        <f>IF($A622&gt;30,0,(H591-MIN(MAX(I621,0),H591))+MIN(MAX(0,J621-(H591-MIN(MAX(I621,0),H591))),MAX(0,0*H591-(I621-MIN(MAX(I621,0),H591)))))</f>
        <v>49533.261475973391</v>
      </c>
      <c r="I622" s="18">
        <f>IF($A622&gt;30,I621,(I621-H591+H622)*(1+$B$7))</f>
        <v>0</v>
      </c>
      <c r="J622" s="18">
        <f t="shared" si="62"/>
        <v>49533.261475972606</v>
      </c>
      <c r="K622" s="18">
        <f>IF($A622&gt;30,0,(K591-MIN(MAX(L621,0),K591))+MIN(MAX(0,M621-(K591-MIN(MAX(L621,0),K591))),MAX(0,0*K591-(L621-MIN(MAX(L621,0),K591)))))</f>
        <v>49533.261475973377</v>
      </c>
      <c r="L622" s="18">
        <f>IF($A622&gt;30,L621,(L621-K591+K622)*(1+$B$7))</f>
        <v>0</v>
      </c>
      <c r="M622" s="18">
        <f t="shared" si="63"/>
        <v>49533.261475973188</v>
      </c>
      <c r="N622" s="18">
        <f>IF($A622&gt;30,0,(N591-MIN(MAX(O621,0),N591))+MIN(MAX(0,P621-(N591-MIN(MAX(O621,0),N591))),MAX(0,0*N591-(O621-MIN(MAX(O621,0),N591)))))</f>
        <v>49533.26147597337</v>
      </c>
      <c r="O622" s="18">
        <f>IF($A622&gt;30,O621,(O621-N591+N622)*(1+$B$7))</f>
        <v>0</v>
      </c>
      <c r="P622" s="18">
        <f t="shared" si="64"/>
        <v>49533.261475973268</v>
      </c>
      <c r="Q622" s="18">
        <f>IF($A622&gt;30,0,(Q591-MIN(MAX(R621,0),Q591))+MIN(MAX(0,S621-(Q591-MIN(MAX(R621,0),Q591))),MAX(0,0*Q591-(R621-MIN(MAX(R621,0),Q591)))))</f>
        <v>49533.261475973362</v>
      </c>
      <c r="R622" s="18">
        <f>IF($A622&gt;30,R621,(R621-Q591+Q622)*(1+$B$7))</f>
        <v>0</v>
      </c>
      <c r="S622" s="18">
        <f t="shared" si="65"/>
        <v>49533.261475973326</v>
      </c>
    </row>
    <row r="623" spans="1:19">
      <c r="A623" s="10">
        <f>30</f>
        <v>30</v>
      </c>
      <c r="B623" s="18">
        <f>IF($A623&gt;30,0,(B591-MIN(MAX(C622,0),B591))+MIN(MAX(0,D622-(B591-MIN(MAX(C622,0),B591))),MAX(0,0*B591-(C622-MIN(MAX(C622,0),B591)))))</f>
        <v>30000</v>
      </c>
      <c r="C623" s="18">
        <f>IF($A623&gt;30,C622,(C622-B591+B623)*(1+$B$7))</f>
        <v>0</v>
      </c>
      <c r="D623" s="18">
        <f t="shared" si="60"/>
        <v>957182.125864311</v>
      </c>
      <c r="E623" s="18">
        <f>IF($A623&gt;30,0,(E591-MIN(MAX(F622,0),E591))+MIN(MAX(0,G622-(E591-MIN(MAX(F622,0),E591))),MAX(0,0*E591-(F622-MIN(MAX(F622,0),E591)))))</f>
        <v>75000</v>
      </c>
      <c r="F623" s="18">
        <f>IF($A623&gt;30,F622,(F622-E591+E623)*(1+$B$7))</f>
        <v>0</v>
      </c>
      <c r="G623" s="18">
        <f t="shared" si="61"/>
        <v>-1247938.392123715</v>
      </c>
      <c r="H623" s="18">
        <f>IF($A623&gt;30,0,(H591-MIN(MAX(I622,0),H591))+MIN(MAX(0,J622-(H591-MIN(MAX(I622,0),H591))),MAX(0,0*H591-(I622-MIN(MAX(I622,0),H591)))))</f>
        <v>49533.261475973391</v>
      </c>
      <c r="I623" s="18">
        <f>IF($A623&gt;30,I622,(I622-H591+H623)*(1+$B$7))</f>
        <v>0</v>
      </c>
      <c r="J623" s="18">
        <f t="shared" si="62"/>
        <v>-8.0937752500176436E-10</v>
      </c>
      <c r="K623" s="18">
        <f>IF($A623&gt;30,0,(K591-MIN(MAX(L622,0),K591))+MIN(MAX(0,M622-(K591-MIN(MAX(L622,0),K591))),MAX(0,0*K591-(L622-MIN(MAX(L622,0),K591)))))</f>
        <v>49533.261475973377</v>
      </c>
      <c r="L623" s="18">
        <f>IF($A623&gt;30,L622,(L622-K591+K623)*(1+$B$7))</f>
        <v>0</v>
      </c>
      <c r="M623" s="18">
        <f t="shared" si="63"/>
        <v>-1.9485014490783215E-10</v>
      </c>
      <c r="N623" s="18">
        <f>IF($A623&gt;30,0,(N591-MIN(MAX(O622,0),N591))+MIN(MAX(0,P622-(N591-MIN(MAX(O622,0),N591))),MAX(0,0*N591-(O622-MIN(MAX(O622,0),N591)))))</f>
        <v>49533.26147597337</v>
      </c>
      <c r="O623" s="18">
        <f>IF($A623&gt;30,O622,(O622-N591+N623)*(1+$B$7))</f>
        <v>0</v>
      </c>
      <c r="P623" s="18">
        <f t="shared" si="64"/>
        <v>-1.04919308796525E-10</v>
      </c>
      <c r="Q623" s="18">
        <f>IF($A623&gt;30,0,(Q591-MIN(MAX(R622,0),Q591))+MIN(MAX(0,S622-(Q591-MIN(MAX(R622,0),Q591))),MAX(0,0*Q591-(R622-MIN(MAX(R622,0),Q591)))))</f>
        <v>49533.261475973362</v>
      </c>
      <c r="R623" s="18">
        <f>IF($A623&gt;30,R622,(R622-Q591+Q623)*(1+$B$7))</f>
        <v>0</v>
      </c>
      <c r="S623" s="18">
        <f t="shared" si="65"/>
        <v>-3.7471181713044646E-11</v>
      </c>
    </row>
    <row r="624" spans="1:19">
      <c r="A624" s="10">
        <f>31</f>
        <v>31</v>
      </c>
      <c r="B624" s="18">
        <f>IF($A624&gt;30,0,(B591-MIN(MAX(C623,0),B591))+MIN(MAX(0,D623-(B591-MIN(MAX(C623,0),B591))),MAX(0,0*B591-(C623-MIN(MAX(C623,0),B591)))))</f>
        <v>0</v>
      </c>
      <c r="C624" s="18">
        <f>IF($A624&gt;30,C623,(C623-B591+B624)*(1+$B$7))</f>
        <v>0</v>
      </c>
      <c r="D624" s="18">
        <f t="shared" si="60"/>
        <v>957182.125864311</v>
      </c>
      <c r="E624" s="18">
        <f>IF($A624&gt;30,0,(E591-MIN(MAX(F623,0),E591))+MIN(MAX(0,G623-(E591-MIN(MAX(F623,0),E591))),MAX(0,0*E591-(F623-MIN(MAX(F623,0),E591)))))</f>
        <v>0</v>
      </c>
      <c r="F624" s="18">
        <f>IF($A624&gt;30,F623,(F623-E591+E624)*(1+$B$7))</f>
        <v>0</v>
      </c>
      <c r="G624" s="18">
        <f t="shared" si="61"/>
        <v>-1247938.392123715</v>
      </c>
      <c r="H624" s="18">
        <f>IF($A624&gt;30,0,(H591-MIN(MAX(I623,0),H591))+MIN(MAX(0,J623-(H591-MIN(MAX(I623,0),H591))),MAX(0,0*H591-(I623-MIN(MAX(I623,0),H591)))))</f>
        <v>0</v>
      </c>
      <c r="I624" s="18">
        <f>IF($A624&gt;30,I623,(I623-H591+H624)*(1+$B$7))</f>
        <v>0</v>
      </c>
      <c r="J624" s="18">
        <f t="shared" si="62"/>
        <v>-8.0937752500176436E-10</v>
      </c>
      <c r="K624" s="18">
        <f>IF($A624&gt;30,0,(K591-MIN(MAX(L623,0),K591))+MIN(MAX(0,M623-(K591-MIN(MAX(L623,0),K591))),MAX(0,0*K591-(L623-MIN(MAX(L623,0),K591)))))</f>
        <v>0</v>
      </c>
      <c r="L624" s="18">
        <f>IF($A624&gt;30,L623,(L623-K591+K624)*(1+$B$7))</f>
        <v>0</v>
      </c>
      <c r="M624" s="18">
        <f t="shared" si="63"/>
        <v>-1.9485014490783215E-10</v>
      </c>
      <c r="N624" s="18">
        <f>IF($A624&gt;30,0,(N591-MIN(MAX(O623,0),N591))+MIN(MAX(0,P623-(N591-MIN(MAX(O623,0),N591))),MAX(0,0*N591-(O623-MIN(MAX(O623,0),N591)))))</f>
        <v>0</v>
      </c>
      <c r="O624" s="18">
        <f>IF($A624&gt;30,O623,(O623-N591+N624)*(1+$B$7))</f>
        <v>0</v>
      </c>
      <c r="P624" s="18">
        <f t="shared" si="64"/>
        <v>-1.04919308796525E-10</v>
      </c>
      <c r="Q624" s="18">
        <f>IF($A624&gt;30,0,(Q591-MIN(MAX(R623,0),Q591))+MIN(MAX(0,S623-(Q591-MIN(MAX(R623,0),Q591))),MAX(0,0*Q591-(R623-MIN(MAX(R623,0),Q591)))))</f>
        <v>0</v>
      </c>
      <c r="R624" s="18">
        <f>IF($A624&gt;30,R623,(R623-Q591+Q624)*(1+$B$7))</f>
        <v>0</v>
      </c>
      <c r="S624" s="18">
        <f t="shared" si="65"/>
        <v>-3.7471181713044646E-11</v>
      </c>
    </row>
    <row r="625" spans="1:19">
      <c r="A625" s="10">
        <f>32</f>
        <v>32</v>
      </c>
      <c r="B625" s="18">
        <f>IF($A625&gt;30,0,(B591-MIN(MAX(C624,0),B591))+MIN(MAX(0,D624-(B591-MIN(MAX(C624,0),B591))),MAX(0,0*B591-(C624-MIN(MAX(C624,0),B591)))))</f>
        <v>0</v>
      </c>
      <c r="C625" s="18">
        <f>IF($A625&gt;30,C624,(C624-B591+B625)*(1+$B$7))</f>
        <v>0</v>
      </c>
      <c r="D625" s="18">
        <f t="shared" si="60"/>
        <v>957182.125864311</v>
      </c>
      <c r="E625" s="18">
        <f>IF($A625&gt;30,0,(E591-MIN(MAX(F624,0),E591))+MIN(MAX(0,G624-(E591-MIN(MAX(F624,0),E591))),MAX(0,0*E591-(F624-MIN(MAX(F624,0),E591)))))</f>
        <v>0</v>
      </c>
      <c r="F625" s="18">
        <f>IF($A625&gt;30,F624,(F624-E591+E625)*(1+$B$7))</f>
        <v>0</v>
      </c>
      <c r="G625" s="18">
        <f t="shared" si="61"/>
        <v>-1247938.392123715</v>
      </c>
      <c r="H625" s="18">
        <f>IF($A625&gt;30,0,(H591-MIN(MAX(I624,0),H591))+MIN(MAX(0,J624-(H591-MIN(MAX(I624,0),H591))),MAX(0,0*H591-(I624-MIN(MAX(I624,0),H591)))))</f>
        <v>0</v>
      </c>
      <c r="I625" s="18">
        <f>IF($A625&gt;30,I624,(I624-H591+H625)*(1+$B$7))</f>
        <v>0</v>
      </c>
      <c r="J625" s="18">
        <f t="shared" si="62"/>
        <v>-8.0937752500176436E-10</v>
      </c>
      <c r="K625" s="18">
        <f>IF($A625&gt;30,0,(K591-MIN(MAX(L624,0),K591))+MIN(MAX(0,M624-(K591-MIN(MAX(L624,0),K591))),MAX(0,0*K591-(L624-MIN(MAX(L624,0),K591)))))</f>
        <v>0</v>
      </c>
      <c r="L625" s="18">
        <f>IF($A625&gt;30,L624,(L624-K591+K625)*(1+$B$7))</f>
        <v>0</v>
      </c>
      <c r="M625" s="18">
        <f t="shared" si="63"/>
        <v>-1.9485014490783215E-10</v>
      </c>
      <c r="N625" s="18">
        <f>IF($A625&gt;30,0,(N591-MIN(MAX(O624,0),N591))+MIN(MAX(0,P624-(N591-MIN(MAX(O624,0),N591))),MAX(0,0*N591-(O624-MIN(MAX(O624,0),N591)))))</f>
        <v>0</v>
      </c>
      <c r="O625" s="18">
        <f>IF($A625&gt;30,O624,(O624-N591+N625)*(1+$B$7))</f>
        <v>0</v>
      </c>
      <c r="P625" s="18">
        <f t="shared" si="64"/>
        <v>-1.04919308796525E-10</v>
      </c>
      <c r="Q625" s="18">
        <f>IF($A625&gt;30,0,(Q591-MIN(MAX(R624,0),Q591))+MIN(MAX(0,S624-(Q591-MIN(MAX(R624,0),Q591))),MAX(0,0*Q591-(R624-MIN(MAX(R624,0),Q591)))))</f>
        <v>0</v>
      </c>
      <c r="R625" s="18">
        <f>IF($A625&gt;30,R624,(R624-Q591+Q625)*(1+$B$7))</f>
        <v>0</v>
      </c>
      <c r="S625" s="18">
        <f t="shared" si="65"/>
        <v>-3.7471181713044646E-11</v>
      </c>
    </row>
    <row r="626" spans="1:19">
      <c r="A626" s="10">
        <f>33</f>
        <v>33</v>
      </c>
      <c r="B626" s="18">
        <f>IF($A626&gt;30,0,(B591-MIN(MAX(C625,0),B591))+MIN(MAX(0,D625-(B591-MIN(MAX(C625,0),B591))),MAX(0,0*B591-(C625-MIN(MAX(C625,0),B591)))))</f>
        <v>0</v>
      </c>
      <c r="C626" s="18">
        <f>IF($A626&gt;30,C625,(C625-B591+B626)*(1+$B$7))</f>
        <v>0</v>
      </c>
      <c r="D626" s="18">
        <f t="shared" si="60"/>
        <v>957182.125864311</v>
      </c>
      <c r="E626" s="18">
        <f>IF($A626&gt;30,0,(E591-MIN(MAX(F625,0),E591))+MIN(MAX(0,G625-(E591-MIN(MAX(F625,0),E591))),MAX(0,0*E591-(F625-MIN(MAX(F625,0),E591)))))</f>
        <v>0</v>
      </c>
      <c r="F626" s="18">
        <f>IF($A626&gt;30,F625,(F625-E591+E626)*(1+$B$7))</f>
        <v>0</v>
      </c>
      <c r="G626" s="18">
        <f t="shared" si="61"/>
        <v>-1247938.392123715</v>
      </c>
      <c r="H626" s="18">
        <f>IF($A626&gt;30,0,(H591-MIN(MAX(I625,0),H591))+MIN(MAX(0,J625-(H591-MIN(MAX(I625,0),H591))),MAX(0,0*H591-(I625-MIN(MAX(I625,0),H591)))))</f>
        <v>0</v>
      </c>
      <c r="I626" s="18">
        <f>IF($A626&gt;30,I625,(I625-H591+H626)*(1+$B$7))</f>
        <v>0</v>
      </c>
      <c r="J626" s="18">
        <f t="shared" si="62"/>
        <v>-8.0937752500176436E-10</v>
      </c>
      <c r="K626" s="18">
        <f>IF($A626&gt;30,0,(K591-MIN(MAX(L625,0),K591))+MIN(MAX(0,M625-(K591-MIN(MAX(L625,0),K591))),MAX(0,0*K591-(L625-MIN(MAX(L625,0),K591)))))</f>
        <v>0</v>
      </c>
      <c r="L626" s="18">
        <f>IF($A626&gt;30,L625,(L625-K591+K626)*(1+$B$7))</f>
        <v>0</v>
      </c>
      <c r="M626" s="18">
        <f t="shared" si="63"/>
        <v>-1.9485014490783215E-10</v>
      </c>
      <c r="N626" s="18">
        <f>IF($A626&gt;30,0,(N591-MIN(MAX(O625,0),N591))+MIN(MAX(0,P625-(N591-MIN(MAX(O625,0),N591))),MAX(0,0*N591-(O625-MIN(MAX(O625,0),N591)))))</f>
        <v>0</v>
      </c>
      <c r="O626" s="18">
        <f>IF($A626&gt;30,O625,(O625-N591+N626)*(1+$B$7))</f>
        <v>0</v>
      </c>
      <c r="P626" s="18">
        <f t="shared" si="64"/>
        <v>-1.04919308796525E-10</v>
      </c>
      <c r="Q626" s="18">
        <f>IF($A626&gt;30,0,(Q591-MIN(MAX(R625,0),Q591))+MIN(MAX(0,S625-(Q591-MIN(MAX(R625,0),Q591))),MAX(0,0*Q591-(R625-MIN(MAX(R625,0),Q591)))))</f>
        <v>0</v>
      </c>
      <c r="R626" s="18">
        <f>IF($A626&gt;30,R625,(R625-Q591+Q626)*(1+$B$7))</f>
        <v>0</v>
      </c>
      <c r="S626" s="18">
        <f t="shared" si="65"/>
        <v>-3.7471181713044646E-11</v>
      </c>
    </row>
    <row r="627" spans="1:19">
      <c r="A627" s="10">
        <f>34</f>
        <v>34</v>
      </c>
      <c r="B627" s="18">
        <f>IF($A627&gt;30,0,(B591-MIN(MAX(C626,0),B591))+MIN(MAX(0,D626-(B591-MIN(MAX(C626,0),B591))),MAX(0,0*B591-(C626-MIN(MAX(C626,0),B591)))))</f>
        <v>0</v>
      </c>
      <c r="C627" s="18">
        <f>IF($A627&gt;30,C626,(C626-B591+B627)*(1+$B$7))</f>
        <v>0</v>
      </c>
      <c r="D627" s="18">
        <f t="shared" si="60"/>
        <v>957182.125864311</v>
      </c>
      <c r="E627" s="18">
        <f>IF($A627&gt;30,0,(E591-MIN(MAX(F626,0),E591))+MIN(MAX(0,G626-(E591-MIN(MAX(F626,0),E591))),MAX(0,0*E591-(F626-MIN(MAX(F626,0),E591)))))</f>
        <v>0</v>
      </c>
      <c r="F627" s="18">
        <f>IF($A627&gt;30,F626,(F626-E591+E627)*(1+$B$7))</f>
        <v>0</v>
      </c>
      <c r="G627" s="18">
        <f t="shared" si="61"/>
        <v>-1247938.392123715</v>
      </c>
      <c r="H627" s="18">
        <f>IF($A627&gt;30,0,(H591-MIN(MAX(I626,0),H591))+MIN(MAX(0,J626-(H591-MIN(MAX(I626,0),H591))),MAX(0,0*H591-(I626-MIN(MAX(I626,0),H591)))))</f>
        <v>0</v>
      </c>
      <c r="I627" s="18">
        <f>IF($A627&gt;30,I626,(I626-H591+H627)*(1+$B$7))</f>
        <v>0</v>
      </c>
      <c r="J627" s="18">
        <f t="shared" si="62"/>
        <v>-8.0937752500176436E-10</v>
      </c>
      <c r="K627" s="18">
        <f>IF($A627&gt;30,0,(K591-MIN(MAX(L626,0),K591))+MIN(MAX(0,M626-(K591-MIN(MAX(L626,0),K591))),MAX(0,0*K591-(L626-MIN(MAX(L626,0),K591)))))</f>
        <v>0</v>
      </c>
      <c r="L627" s="18">
        <f>IF($A627&gt;30,L626,(L626-K591+K627)*(1+$B$7))</f>
        <v>0</v>
      </c>
      <c r="M627" s="18">
        <f t="shared" si="63"/>
        <v>-1.9485014490783215E-10</v>
      </c>
      <c r="N627" s="18">
        <f>IF($A627&gt;30,0,(N591-MIN(MAX(O626,0),N591))+MIN(MAX(0,P626-(N591-MIN(MAX(O626,0),N591))),MAX(0,0*N591-(O626-MIN(MAX(O626,0),N591)))))</f>
        <v>0</v>
      </c>
      <c r="O627" s="18">
        <f>IF($A627&gt;30,O626,(O626-N591+N627)*(1+$B$7))</f>
        <v>0</v>
      </c>
      <c r="P627" s="18">
        <f t="shared" si="64"/>
        <v>-1.04919308796525E-10</v>
      </c>
      <c r="Q627" s="18">
        <f>IF($A627&gt;30,0,(Q591-MIN(MAX(R626,0),Q591))+MIN(MAX(0,S626-(Q591-MIN(MAX(R626,0),Q591))),MAX(0,0*Q591-(R626-MIN(MAX(R626,0),Q591)))))</f>
        <v>0</v>
      </c>
      <c r="R627" s="18">
        <f>IF($A627&gt;30,R626,(R626-Q591+Q627)*(1+$B$7))</f>
        <v>0</v>
      </c>
      <c r="S627" s="18">
        <f t="shared" si="65"/>
        <v>-3.7471181713044646E-11</v>
      </c>
    </row>
    <row r="628" spans="1:19">
      <c r="A628" s="10">
        <f>35</f>
        <v>35</v>
      </c>
      <c r="B628" s="18">
        <f>IF($A628&gt;30,0,(B591-MIN(MAX(C627,0),B591))+MIN(MAX(0,D627-(B591-MIN(MAX(C627,0),B591))),MAX(0,0*B591-(C627-MIN(MAX(C627,0),B591)))))</f>
        <v>0</v>
      </c>
      <c r="C628" s="18">
        <f>IF($A628&gt;30,C627,(C627-B591+B628)*(1+$B$7))</f>
        <v>0</v>
      </c>
      <c r="D628" s="18">
        <f t="shared" si="60"/>
        <v>957182.125864311</v>
      </c>
      <c r="E628" s="18">
        <f>IF($A628&gt;30,0,(E591-MIN(MAX(F627,0),E591))+MIN(MAX(0,G627-(E591-MIN(MAX(F627,0),E591))),MAX(0,0*E591-(F627-MIN(MAX(F627,0),E591)))))</f>
        <v>0</v>
      </c>
      <c r="F628" s="18">
        <f>IF($A628&gt;30,F627,(F627-E591+E628)*(1+$B$7))</f>
        <v>0</v>
      </c>
      <c r="G628" s="18">
        <f t="shared" si="61"/>
        <v>-1247938.392123715</v>
      </c>
      <c r="H628" s="18">
        <f>IF($A628&gt;30,0,(H591-MIN(MAX(I627,0),H591))+MIN(MAX(0,J627-(H591-MIN(MAX(I627,0),H591))),MAX(0,0*H591-(I627-MIN(MAX(I627,0),H591)))))</f>
        <v>0</v>
      </c>
      <c r="I628" s="18">
        <f>IF($A628&gt;30,I627,(I627-H591+H628)*(1+$B$7))</f>
        <v>0</v>
      </c>
      <c r="J628" s="18">
        <f t="shared" si="62"/>
        <v>-8.0937752500176436E-10</v>
      </c>
      <c r="K628" s="18">
        <f>IF($A628&gt;30,0,(K591-MIN(MAX(L627,0),K591))+MIN(MAX(0,M627-(K591-MIN(MAX(L627,0),K591))),MAX(0,0*K591-(L627-MIN(MAX(L627,0),K591)))))</f>
        <v>0</v>
      </c>
      <c r="L628" s="18">
        <f>IF($A628&gt;30,L627,(L627-K591+K628)*(1+$B$7))</f>
        <v>0</v>
      </c>
      <c r="M628" s="18">
        <f t="shared" si="63"/>
        <v>-1.9485014490783215E-10</v>
      </c>
      <c r="N628" s="18">
        <f>IF($A628&gt;30,0,(N591-MIN(MAX(O627,0),N591))+MIN(MAX(0,P627-(N591-MIN(MAX(O627,0),N591))),MAX(0,0*N591-(O627-MIN(MAX(O627,0),N591)))))</f>
        <v>0</v>
      </c>
      <c r="O628" s="18">
        <f>IF($A628&gt;30,O627,(O627-N591+N628)*(1+$B$7))</f>
        <v>0</v>
      </c>
      <c r="P628" s="18">
        <f t="shared" si="64"/>
        <v>-1.04919308796525E-10</v>
      </c>
      <c r="Q628" s="18">
        <f>IF($A628&gt;30,0,(Q591-MIN(MAX(R627,0),Q591))+MIN(MAX(0,S627-(Q591-MIN(MAX(R627,0),Q591))),MAX(0,0*Q591-(R627-MIN(MAX(R627,0),Q591)))))</f>
        <v>0</v>
      </c>
      <c r="R628" s="18">
        <f>IF($A628&gt;30,R627,(R627-Q591+Q628)*(1+$B$7))</f>
        <v>0</v>
      </c>
      <c r="S628" s="18">
        <f t="shared" si="65"/>
        <v>-3.7471181713044646E-11</v>
      </c>
    </row>
    <row r="629" spans="1:19">
      <c r="A629" s="10">
        <f>36</f>
        <v>36</v>
      </c>
      <c r="B629" s="18">
        <f>IF($A629&gt;30,0,(B591-MIN(MAX(C628,0),B591))+MIN(MAX(0,D628-(B591-MIN(MAX(C628,0),B591))),MAX(0,0*B591-(C628-MIN(MAX(C628,0),B591)))))</f>
        <v>0</v>
      </c>
      <c r="C629" s="18">
        <f>IF($A629&gt;30,C628,(C628-B591+B629)*(1+$B$7))</f>
        <v>0</v>
      </c>
      <c r="D629" s="18">
        <f t="shared" si="60"/>
        <v>957182.125864311</v>
      </c>
      <c r="E629" s="18">
        <f>IF($A629&gt;30,0,(E591-MIN(MAX(F628,0),E591))+MIN(MAX(0,G628-(E591-MIN(MAX(F628,0),E591))),MAX(0,0*E591-(F628-MIN(MAX(F628,0),E591)))))</f>
        <v>0</v>
      </c>
      <c r="F629" s="18">
        <f>IF($A629&gt;30,F628,(F628-E591+E629)*(1+$B$7))</f>
        <v>0</v>
      </c>
      <c r="G629" s="18">
        <f t="shared" si="61"/>
        <v>-1247938.392123715</v>
      </c>
      <c r="H629" s="18">
        <f>IF($A629&gt;30,0,(H591-MIN(MAX(I628,0),H591))+MIN(MAX(0,J628-(H591-MIN(MAX(I628,0),H591))),MAX(0,0*H591-(I628-MIN(MAX(I628,0),H591)))))</f>
        <v>0</v>
      </c>
      <c r="I629" s="18">
        <f>IF($A629&gt;30,I628,(I628-H591+H629)*(1+$B$7))</f>
        <v>0</v>
      </c>
      <c r="J629" s="18">
        <f t="shared" si="62"/>
        <v>-8.0937752500176436E-10</v>
      </c>
      <c r="K629" s="18">
        <f>IF($A629&gt;30,0,(K591-MIN(MAX(L628,0),K591))+MIN(MAX(0,M628-(K591-MIN(MAX(L628,0),K591))),MAX(0,0*K591-(L628-MIN(MAX(L628,0),K591)))))</f>
        <v>0</v>
      </c>
      <c r="L629" s="18">
        <f>IF($A629&gt;30,L628,(L628-K591+K629)*(1+$B$7))</f>
        <v>0</v>
      </c>
      <c r="M629" s="18">
        <f t="shared" si="63"/>
        <v>-1.9485014490783215E-10</v>
      </c>
      <c r="N629" s="18">
        <f>IF($A629&gt;30,0,(N591-MIN(MAX(O628,0),N591))+MIN(MAX(0,P628-(N591-MIN(MAX(O628,0),N591))),MAX(0,0*N591-(O628-MIN(MAX(O628,0),N591)))))</f>
        <v>0</v>
      </c>
      <c r="O629" s="18">
        <f>IF($A629&gt;30,O628,(O628-N591+N629)*(1+$B$7))</f>
        <v>0</v>
      </c>
      <c r="P629" s="18">
        <f t="shared" si="64"/>
        <v>-1.04919308796525E-10</v>
      </c>
      <c r="Q629" s="18">
        <f>IF($A629&gt;30,0,(Q591-MIN(MAX(R628,0),Q591))+MIN(MAX(0,S628-(Q591-MIN(MAX(R628,0),Q591))),MAX(0,0*Q591-(R628-MIN(MAX(R628,0),Q591)))))</f>
        <v>0</v>
      </c>
      <c r="R629" s="18">
        <f>IF($A629&gt;30,R628,(R628-Q591+Q629)*(1+$B$7))</f>
        <v>0</v>
      </c>
      <c r="S629" s="18">
        <f t="shared" si="65"/>
        <v>-3.7471181713044646E-11</v>
      </c>
    </row>
    <row r="630" spans="1:19">
      <c r="A630" s="10">
        <f>37</f>
        <v>37</v>
      </c>
      <c r="B630" s="18">
        <f>IF($A630&gt;30,0,(B591-MIN(MAX(C629,0),B591))+MIN(MAX(0,D629-(B591-MIN(MAX(C629,0),B591))),MAX(0,0*B591-(C629-MIN(MAX(C629,0),B591)))))</f>
        <v>0</v>
      </c>
      <c r="C630" s="18">
        <f>IF($A630&gt;30,C629,(C629-B591+B630)*(1+$B$7))</f>
        <v>0</v>
      </c>
      <c r="D630" s="18">
        <f t="shared" si="60"/>
        <v>957182.125864311</v>
      </c>
      <c r="E630" s="18">
        <f>IF($A630&gt;30,0,(E591-MIN(MAX(F629,0),E591))+MIN(MAX(0,G629-(E591-MIN(MAX(F629,0),E591))),MAX(0,0*E591-(F629-MIN(MAX(F629,0),E591)))))</f>
        <v>0</v>
      </c>
      <c r="F630" s="18">
        <f>IF($A630&gt;30,F629,(F629-E591+E630)*(1+$B$7))</f>
        <v>0</v>
      </c>
      <c r="G630" s="18">
        <f t="shared" si="61"/>
        <v>-1247938.392123715</v>
      </c>
      <c r="H630" s="18">
        <f>IF($A630&gt;30,0,(H591-MIN(MAX(I629,0),H591))+MIN(MAX(0,J629-(H591-MIN(MAX(I629,0),H591))),MAX(0,0*H591-(I629-MIN(MAX(I629,0),H591)))))</f>
        <v>0</v>
      </c>
      <c r="I630" s="18">
        <f>IF($A630&gt;30,I629,(I629-H591+H630)*(1+$B$7))</f>
        <v>0</v>
      </c>
      <c r="J630" s="18">
        <f t="shared" si="62"/>
        <v>-8.0937752500176436E-10</v>
      </c>
      <c r="K630" s="18">
        <f>IF($A630&gt;30,0,(K591-MIN(MAX(L629,0),K591))+MIN(MAX(0,M629-(K591-MIN(MAX(L629,0),K591))),MAX(0,0*K591-(L629-MIN(MAX(L629,0),K591)))))</f>
        <v>0</v>
      </c>
      <c r="L630" s="18">
        <f>IF($A630&gt;30,L629,(L629-K591+K630)*(1+$B$7))</f>
        <v>0</v>
      </c>
      <c r="M630" s="18">
        <f t="shared" si="63"/>
        <v>-1.9485014490783215E-10</v>
      </c>
      <c r="N630" s="18">
        <f>IF($A630&gt;30,0,(N591-MIN(MAX(O629,0),N591))+MIN(MAX(0,P629-(N591-MIN(MAX(O629,0),N591))),MAX(0,0*N591-(O629-MIN(MAX(O629,0),N591)))))</f>
        <v>0</v>
      </c>
      <c r="O630" s="18">
        <f>IF($A630&gt;30,O629,(O629-N591+N630)*(1+$B$7))</f>
        <v>0</v>
      </c>
      <c r="P630" s="18">
        <f t="shared" si="64"/>
        <v>-1.04919308796525E-10</v>
      </c>
      <c r="Q630" s="18">
        <f>IF($A630&gt;30,0,(Q591-MIN(MAX(R629,0),Q591))+MIN(MAX(0,S629-(Q591-MIN(MAX(R629,0),Q591))),MAX(0,0*Q591-(R629-MIN(MAX(R629,0),Q591)))))</f>
        <v>0</v>
      </c>
      <c r="R630" s="18">
        <f>IF($A630&gt;30,R629,(R629-Q591+Q630)*(1+$B$7))</f>
        <v>0</v>
      </c>
      <c r="S630" s="18">
        <f t="shared" si="65"/>
        <v>-3.7471181713044646E-11</v>
      </c>
    </row>
    <row r="631" spans="1:19">
      <c r="A631" s="10">
        <f>38</f>
        <v>38</v>
      </c>
      <c r="B631" s="18">
        <f>IF($A631&gt;30,0,(B591-MIN(MAX(C630,0),B591))+MIN(MAX(0,D630-(B591-MIN(MAX(C630,0),B591))),MAX(0,0*B591-(C630-MIN(MAX(C630,0),B591)))))</f>
        <v>0</v>
      </c>
      <c r="C631" s="18">
        <f>IF($A631&gt;30,C630,(C630-B591+B631)*(1+$B$7))</f>
        <v>0</v>
      </c>
      <c r="D631" s="18">
        <f t="shared" si="60"/>
        <v>957182.125864311</v>
      </c>
      <c r="E631" s="18">
        <f>IF($A631&gt;30,0,(E591-MIN(MAX(F630,0),E591))+MIN(MAX(0,G630-(E591-MIN(MAX(F630,0),E591))),MAX(0,0*E591-(F630-MIN(MAX(F630,0),E591)))))</f>
        <v>0</v>
      </c>
      <c r="F631" s="18">
        <f>IF($A631&gt;30,F630,(F630-E591+E631)*(1+$B$7))</f>
        <v>0</v>
      </c>
      <c r="G631" s="18">
        <f t="shared" si="61"/>
        <v>-1247938.392123715</v>
      </c>
      <c r="H631" s="18">
        <f>IF($A631&gt;30,0,(H591-MIN(MAX(I630,0),H591))+MIN(MAX(0,J630-(H591-MIN(MAX(I630,0),H591))),MAX(0,0*H591-(I630-MIN(MAX(I630,0),H591)))))</f>
        <v>0</v>
      </c>
      <c r="I631" s="18">
        <f>IF($A631&gt;30,I630,(I630-H591+H631)*(1+$B$7))</f>
        <v>0</v>
      </c>
      <c r="J631" s="18">
        <f t="shared" si="62"/>
        <v>-8.0937752500176436E-10</v>
      </c>
      <c r="K631" s="18">
        <f>IF($A631&gt;30,0,(K591-MIN(MAX(L630,0),K591))+MIN(MAX(0,M630-(K591-MIN(MAX(L630,0),K591))),MAX(0,0*K591-(L630-MIN(MAX(L630,0),K591)))))</f>
        <v>0</v>
      </c>
      <c r="L631" s="18">
        <f>IF($A631&gt;30,L630,(L630-K591+K631)*(1+$B$7))</f>
        <v>0</v>
      </c>
      <c r="M631" s="18">
        <f t="shared" si="63"/>
        <v>-1.9485014490783215E-10</v>
      </c>
      <c r="N631" s="18">
        <f>IF($A631&gt;30,0,(N591-MIN(MAX(O630,0),N591))+MIN(MAX(0,P630-(N591-MIN(MAX(O630,0),N591))),MAX(0,0*N591-(O630-MIN(MAX(O630,0),N591)))))</f>
        <v>0</v>
      </c>
      <c r="O631" s="18">
        <f>IF($A631&gt;30,O630,(O630-N591+N631)*(1+$B$7))</f>
        <v>0</v>
      </c>
      <c r="P631" s="18">
        <f t="shared" si="64"/>
        <v>-1.04919308796525E-10</v>
      </c>
      <c r="Q631" s="18">
        <f>IF($A631&gt;30,0,(Q591-MIN(MAX(R630,0),Q591))+MIN(MAX(0,S630-(Q591-MIN(MAX(R630,0),Q591))),MAX(0,0*Q591-(R630-MIN(MAX(R630,0),Q591)))))</f>
        <v>0</v>
      </c>
      <c r="R631" s="18">
        <f>IF($A631&gt;30,R630,(R630-Q591+Q631)*(1+$B$7))</f>
        <v>0</v>
      </c>
      <c r="S631" s="18">
        <f t="shared" si="65"/>
        <v>-3.7471181713044646E-11</v>
      </c>
    </row>
    <row r="632" spans="1:19">
      <c r="A632" s="10">
        <f>39</f>
        <v>39</v>
      </c>
      <c r="B632" s="18">
        <f>IF($A632&gt;30,0,(B591-MIN(MAX(C631,0),B591))+MIN(MAX(0,D631-(B591-MIN(MAX(C631,0),B591))),MAX(0,0*B591-(C631-MIN(MAX(C631,0),B591)))))</f>
        <v>0</v>
      </c>
      <c r="C632" s="18">
        <f>IF($A632&gt;30,C631,(C631-B591+B632)*(1+$B$7))</f>
        <v>0</v>
      </c>
      <c r="D632" s="18">
        <f t="shared" si="60"/>
        <v>957182.125864311</v>
      </c>
      <c r="E632" s="18">
        <f>IF($A632&gt;30,0,(E591-MIN(MAX(F631,0),E591))+MIN(MAX(0,G631-(E591-MIN(MAX(F631,0),E591))),MAX(0,0*E591-(F631-MIN(MAX(F631,0),E591)))))</f>
        <v>0</v>
      </c>
      <c r="F632" s="18">
        <f>IF($A632&gt;30,F631,(F631-E591+E632)*(1+$B$7))</f>
        <v>0</v>
      </c>
      <c r="G632" s="18">
        <f t="shared" si="61"/>
        <v>-1247938.392123715</v>
      </c>
      <c r="H632" s="18">
        <f>IF($A632&gt;30,0,(H591-MIN(MAX(I631,0),H591))+MIN(MAX(0,J631-(H591-MIN(MAX(I631,0),H591))),MAX(0,0*H591-(I631-MIN(MAX(I631,0),H591)))))</f>
        <v>0</v>
      </c>
      <c r="I632" s="18">
        <f>IF($A632&gt;30,I631,(I631-H591+H632)*(1+$B$7))</f>
        <v>0</v>
      </c>
      <c r="J632" s="18">
        <f t="shared" si="62"/>
        <v>-8.0937752500176436E-10</v>
      </c>
      <c r="K632" s="18">
        <f>IF($A632&gt;30,0,(K591-MIN(MAX(L631,0),K591))+MIN(MAX(0,M631-(K591-MIN(MAX(L631,0),K591))),MAX(0,0*K591-(L631-MIN(MAX(L631,0),K591)))))</f>
        <v>0</v>
      </c>
      <c r="L632" s="18">
        <f>IF($A632&gt;30,L631,(L631-K591+K632)*(1+$B$7))</f>
        <v>0</v>
      </c>
      <c r="M632" s="18">
        <f t="shared" si="63"/>
        <v>-1.9485014490783215E-10</v>
      </c>
      <c r="N632" s="18">
        <f>IF($A632&gt;30,0,(N591-MIN(MAX(O631,0),N591))+MIN(MAX(0,P631-(N591-MIN(MAX(O631,0),N591))),MAX(0,0*N591-(O631-MIN(MAX(O631,0),N591)))))</f>
        <v>0</v>
      </c>
      <c r="O632" s="18">
        <f>IF($A632&gt;30,O631,(O631-N591+N632)*(1+$B$7))</f>
        <v>0</v>
      </c>
      <c r="P632" s="18">
        <f t="shared" si="64"/>
        <v>-1.04919308796525E-10</v>
      </c>
      <c r="Q632" s="18">
        <f>IF($A632&gt;30,0,(Q591-MIN(MAX(R631,0),Q591))+MIN(MAX(0,S631-(Q591-MIN(MAX(R631,0),Q591))),MAX(0,0*Q591-(R631-MIN(MAX(R631,0),Q591)))))</f>
        <v>0</v>
      </c>
      <c r="R632" s="18">
        <f>IF($A632&gt;30,R631,(R631-Q591+Q632)*(1+$B$7))</f>
        <v>0</v>
      </c>
      <c r="S632" s="18">
        <f t="shared" si="65"/>
        <v>-3.7471181713044646E-11</v>
      </c>
    </row>
    <row r="633" spans="1:19">
      <c r="A633" s="10">
        <f>40</f>
        <v>40</v>
      </c>
      <c r="B633" s="18">
        <f>IF($A633&gt;30,0,(B591-MIN(MAX(C632,0),B591))+MIN(MAX(0,D632-(B591-MIN(MAX(C632,0),B591))),MAX(0,0*B591-(C632-MIN(MAX(C632,0),B591)))))</f>
        <v>0</v>
      </c>
      <c r="C633" s="18">
        <f>IF($A633&gt;30,C632,(C632-B591+B633)*(1+$B$7))</f>
        <v>0</v>
      </c>
      <c r="D633" s="18">
        <f t="shared" si="60"/>
        <v>957182.125864311</v>
      </c>
      <c r="E633" s="18">
        <f>IF($A633&gt;30,0,(E591-MIN(MAX(F632,0),E591))+MIN(MAX(0,G632-(E591-MIN(MAX(F632,0),E591))),MAX(0,0*E591-(F632-MIN(MAX(F632,0),E591)))))</f>
        <v>0</v>
      </c>
      <c r="F633" s="18">
        <f>IF($A633&gt;30,F632,(F632-E591+E633)*(1+$B$7))</f>
        <v>0</v>
      </c>
      <c r="G633" s="18">
        <f t="shared" si="61"/>
        <v>-1247938.392123715</v>
      </c>
      <c r="H633" s="18">
        <f>IF($A633&gt;30,0,(H591-MIN(MAX(I632,0),H591))+MIN(MAX(0,J632-(H591-MIN(MAX(I632,0),H591))),MAX(0,0*H591-(I632-MIN(MAX(I632,0),H591)))))</f>
        <v>0</v>
      </c>
      <c r="I633" s="18">
        <f>IF($A633&gt;30,I632,(I632-H591+H633)*(1+$B$7))</f>
        <v>0</v>
      </c>
      <c r="J633" s="18">
        <f t="shared" si="62"/>
        <v>-8.0937752500176436E-10</v>
      </c>
      <c r="K633" s="18">
        <f>IF($A633&gt;30,0,(K591-MIN(MAX(L632,0),K591))+MIN(MAX(0,M632-(K591-MIN(MAX(L632,0),K591))),MAX(0,0*K591-(L632-MIN(MAX(L632,0),K591)))))</f>
        <v>0</v>
      </c>
      <c r="L633" s="18">
        <f>IF($A633&gt;30,L632,(L632-K591+K633)*(1+$B$7))</f>
        <v>0</v>
      </c>
      <c r="M633" s="18">
        <f t="shared" si="63"/>
        <v>-1.9485014490783215E-10</v>
      </c>
      <c r="N633" s="18">
        <f>IF($A633&gt;30,0,(N591-MIN(MAX(O632,0),N591))+MIN(MAX(0,P632-(N591-MIN(MAX(O632,0),N591))),MAX(0,0*N591-(O632-MIN(MAX(O632,0),N591)))))</f>
        <v>0</v>
      </c>
      <c r="O633" s="18">
        <f>IF($A633&gt;30,O632,(O632-N591+N633)*(1+$B$7))</f>
        <v>0</v>
      </c>
      <c r="P633" s="18">
        <f t="shared" si="64"/>
        <v>-1.04919308796525E-10</v>
      </c>
      <c r="Q633" s="18">
        <f>IF($A633&gt;30,0,(Q591-MIN(MAX(R632,0),Q591))+MIN(MAX(0,S632-(Q591-MIN(MAX(R632,0),Q591))),MAX(0,0*Q591-(R632-MIN(MAX(R632,0),Q591)))))</f>
        <v>0</v>
      </c>
      <c r="R633" s="18">
        <f>IF($A633&gt;30,R632,(R632-Q591+Q633)*(1+$B$7))</f>
        <v>0</v>
      </c>
      <c r="S633" s="18">
        <f t="shared" si="65"/>
        <v>-3.7471181713044646E-11</v>
      </c>
    </row>
    <row r="634" spans="1:19">
      <c r="B634" s="18">
        <f>C633+D633</f>
        <v>957182.125864311</v>
      </c>
      <c r="E634" s="18">
        <f>F633+G633</f>
        <v>-1247938.392123715</v>
      </c>
      <c r="H634" s="18">
        <f>I633+J633</f>
        <v>-8.0937752500176436E-10</v>
      </c>
      <c r="K634" s="18">
        <f>L633+M633</f>
        <v>-1.9485014490783215E-10</v>
      </c>
      <c r="N634" s="18">
        <f>O633+P633</f>
        <v>-1.04919308796525E-10</v>
      </c>
      <c r="Q634" s="18">
        <f>R633+S633</f>
        <v>-3.7471181713044646E-11</v>
      </c>
    </row>
    <row r="635" spans="1:19">
      <c r="A635" s="5" t="s">
        <v>266</v>
      </c>
      <c r="B635" s="18">
        <f>IFERROR(Q591-Q634*(Q591-N591)/(Q634-N634),Q591)</f>
        <v>49533.261475973355</v>
      </c>
    </row>
    <row r="637" spans="1:19">
      <c r="A637" s="2" t="s">
        <v>277</v>
      </c>
    </row>
    <row r="638" spans="1:19">
      <c r="B638" s="9">
        <f>0.03*$B$5</f>
        <v>30000</v>
      </c>
      <c r="E638" s="9">
        <f>0.075*$B$5</f>
        <v>75000</v>
      </c>
      <c r="H638" s="18">
        <f>IFERROR(E638-E681*(E638-B638)/(E681-B681),E638)</f>
        <v>48346.254079100778</v>
      </c>
      <c r="K638" s="18">
        <f>IFERROR(H638-H681*(H638-E638)/(H681-E681),H638)</f>
        <v>48000.261604548694</v>
      </c>
      <c r="N638" s="18">
        <f>IFERROR(K638-K681*(K638-H638)/(K681-H681),K638)</f>
        <v>48000.337901754887</v>
      </c>
      <c r="Q638" s="18">
        <f>IFERROR(N638-N681*(N638-K638)/(N681-K681),N638)</f>
        <v>48000.337928116824</v>
      </c>
    </row>
    <row r="639" spans="1:19">
      <c r="A639" s="25" t="s">
        <v>262</v>
      </c>
      <c r="B639" s="25" t="s">
        <v>263</v>
      </c>
      <c r="C639" s="25" t="s">
        <v>264</v>
      </c>
      <c r="D639" s="25" t="s">
        <v>265</v>
      </c>
      <c r="E639" s="25" t="s">
        <v>263</v>
      </c>
      <c r="F639" s="25" t="s">
        <v>264</v>
      </c>
      <c r="G639" s="25" t="s">
        <v>265</v>
      </c>
      <c r="H639" s="25" t="s">
        <v>263</v>
      </c>
      <c r="I639" s="25" t="s">
        <v>264</v>
      </c>
      <c r="J639" s="25" t="s">
        <v>265</v>
      </c>
      <c r="K639" s="25" t="s">
        <v>263</v>
      </c>
      <c r="L639" s="25" t="s">
        <v>264</v>
      </c>
      <c r="M639" s="25" t="s">
        <v>265</v>
      </c>
      <c r="N639" s="25" t="s">
        <v>263</v>
      </c>
      <c r="O639" s="25" t="s">
        <v>264</v>
      </c>
      <c r="P639" s="25" t="s">
        <v>265</v>
      </c>
      <c r="Q639" s="25" t="s">
        <v>263</v>
      </c>
      <c r="R639" s="25" t="s">
        <v>264</v>
      </c>
      <c r="S639" s="25" t="s">
        <v>265</v>
      </c>
    </row>
    <row r="640" spans="1:19">
      <c r="A640" s="3">
        <v>0</v>
      </c>
      <c r="C640" s="18">
        <f>MIN(1*B638,$B$5)</f>
        <v>30000</v>
      </c>
      <c r="D640" s="18">
        <f>$B$5-C640</f>
        <v>970000</v>
      </c>
      <c r="F640" s="18">
        <f>MIN(1*E638,$B$5)</f>
        <v>75000</v>
      </c>
      <c r="G640" s="18">
        <f>$B$5-F640</f>
        <v>925000</v>
      </c>
      <c r="I640" s="18">
        <f>MIN(1*H638,$B$5)</f>
        <v>48346.254079100778</v>
      </c>
      <c r="J640" s="18">
        <f>$B$5-I640</f>
        <v>951653.74592089921</v>
      </c>
      <c r="L640" s="18">
        <f>MIN(1*K638,$B$5)</f>
        <v>48000.261604548694</v>
      </c>
      <c r="M640" s="18">
        <f>$B$5-L640</f>
        <v>951999.73839545134</v>
      </c>
      <c r="O640" s="18">
        <f>MIN(1*N638,$B$5)</f>
        <v>48000.337901754887</v>
      </c>
      <c r="P640" s="18">
        <f>$B$5-O640</f>
        <v>951999.66209824511</v>
      </c>
      <c r="R640" s="18">
        <f>MIN(1*Q638,$B$5)</f>
        <v>48000.337928116824</v>
      </c>
      <c r="S640" s="18">
        <f>$B$5-R640</f>
        <v>951999.66207188321</v>
      </c>
    </row>
    <row r="641" spans="1:19">
      <c r="A641" s="10">
        <f>1</f>
        <v>1</v>
      </c>
      <c r="B641" s="18">
        <f>IF($A641&gt;30,0,(B638-MIN(MAX(C640,0),B638))+MIN(MAX(0,D640-(B638-MIN(MAX(C640,0),B638))),MAX(0,1*B638-(C640-MIN(MAX(C640,0),B638)))))</f>
        <v>30000</v>
      </c>
      <c r="C641" s="18">
        <f>IF($A641&gt;30,C640,(C640-B638+B641)*(1+$B$7))</f>
        <v>29892</v>
      </c>
      <c r="D641" s="18">
        <f t="shared" ref="D641:D680" si="66">IF($A641&gt;30,D640,(D640-B641)*(1+$B$6))</f>
        <v>968200</v>
      </c>
      <c r="E641" s="18">
        <f>IF($A641&gt;30,0,(E638-MIN(MAX(F640,0),E638))+MIN(MAX(0,G640-(E638-MIN(MAX(F640,0),E638))),MAX(0,1*E638-(F640-MIN(MAX(F640,0),E638)))))</f>
        <v>75000</v>
      </c>
      <c r="F641" s="18">
        <f>IF($A641&gt;30,F640,(F640-E638+E641)*(1+$B$7))</f>
        <v>74730</v>
      </c>
      <c r="G641" s="18">
        <f t="shared" ref="G641:G680" si="67">IF($A641&gt;30,G640,(G640-E641)*(1+$B$6))</f>
        <v>875500</v>
      </c>
      <c r="H641" s="18">
        <f>IF($A641&gt;30,0,(H638-MIN(MAX(I640,0),H638))+MIN(MAX(0,J640-(H638-MIN(MAX(I640,0),H638))),MAX(0,1*H638-(I640-MIN(MAX(I640,0),H638)))))</f>
        <v>48346.254079100778</v>
      </c>
      <c r="I641" s="18">
        <f>IF($A641&gt;30,I640,(I640-H638+H641)*(1+$B$7))</f>
        <v>48172.207564416014</v>
      </c>
      <c r="J641" s="18">
        <f t="shared" ref="J641:J680" si="68">IF($A641&gt;30,J640,(J640-H641)*(1+$B$6))</f>
        <v>930406.71659705241</v>
      </c>
      <c r="K641" s="18">
        <f>IF($A641&gt;30,0,(K638-MIN(MAX(L640,0),K638))+MIN(MAX(0,M640-(K638-MIN(MAX(L640,0),K638))),MAX(0,1*K638-(L640-MIN(MAX(L640,0),K638)))))</f>
        <v>48000.261604548694</v>
      </c>
      <c r="L641" s="18">
        <f>IF($A641&gt;30,L640,(L640-K638+K641)*(1+$B$7))</f>
        <v>47827.460662772319</v>
      </c>
      <c r="M641" s="18">
        <f t="shared" ref="M641:M680" si="69">IF($A641&gt;30,M640,(M640-K641)*(1+$B$6))</f>
        <v>931119.46109462972</v>
      </c>
      <c r="N641" s="18">
        <f>IF($A641&gt;30,0,(N638-MIN(MAX(O640,0),N638))+MIN(MAX(0,P640-(N638-MIN(MAX(O640,0),N638))),MAX(0,1*N638-(O640-MIN(MAX(O640,0),N638)))))</f>
        <v>48000.337901754887</v>
      </c>
      <c r="O641" s="18">
        <f>IF($A641&gt;30,O640,(O640-N638+N641)*(1+$B$7))</f>
        <v>47827.536685308565</v>
      </c>
      <c r="P641" s="18">
        <f t="shared" ref="P641:P680" si="70">IF($A641&gt;30,P640,(P640-N641)*(1+$B$6))</f>
        <v>931119.30392238498</v>
      </c>
      <c r="Q641" s="18">
        <f>IF($A641&gt;30,0,(Q638-MIN(MAX(R640,0),Q638))+MIN(MAX(0,S640-(Q638-MIN(MAX(R640,0),Q638))),MAX(0,1*Q638-(R640-MIN(MAX(R640,0),Q638)))))</f>
        <v>48000.337928116824</v>
      </c>
      <c r="R641" s="18">
        <f>IF($A641&gt;30,R640,(R640-Q638+Q641)*(1+$B$7))</f>
        <v>47827.536711575602</v>
      </c>
      <c r="S641" s="18">
        <f t="shared" ref="S641:S680" si="71">IF($A641&gt;30,S640,(S640-Q641)*(1+$B$6))</f>
        <v>931119.30386807944</v>
      </c>
    </row>
    <row r="642" spans="1:19">
      <c r="A642" s="10">
        <f>2</f>
        <v>2</v>
      </c>
      <c r="B642" s="18">
        <f>IF($A642&gt;30,0,(B638-MIN(MAX(C641,0),B638))+MIN(MAX(0,D641-(B638-MIN(MAX(C641,0),B638))),MAX(0,1*B638-(C641-MIN(MAX(C641,0),B638)))))</f>
        <v>30108</v>
      </c>
      <c r="C642" s="18">
        <f>IF($A642&gt;30,C641,(C641-B638+B642)*(1+$B$7))</f>
        <v>29892</v>
      </c>
      <c r="D642" s="18">
        <f t="shared" si="66"/>
        <v>966234.76</v>
      </c>
      <c r="E642" s="18">
        <f>IF($A642&gt;30,0,(E638-MIN(MAX(F641,0),E638))+MIN(MAX(0,G641-(E638-MIN(MAX(F641,0),E638))),MAX(0,1*E638-(F641-MIN(MAX(F641,0),E638)))))</f>
        <v>75270</v>
      </c>
      <c r="F642" s="18">
        <f>IF($A642&gt;30,F641,(F641-E638+E642)*(1+$B$7))</f>
        <v>74730</v>
      </c>
      <c r="G642" s="18">
        <f t="shared" si="67"/>
        <v>824236.9</v>
      </c>
      <c r="H642" s="18">
        <f>IF($A642&gt;30,0,(H638-MIN(MAX(I641,0),H638))+MIN(MAX(0,J641-(H638-MIN(MAX(I641,0),H638))),MAX(0,1*H638-(I641-MIN(MAX(I641,0),H638)))))</f>
        <v>48520.300593785541</v>
      </c>
      <c r="I642" s="18">
        <f>IF($A642&gt;30,I641,(I641-H638+H642)*(1+$B$7))</f>
        <v>48172.207564416014</v>
      </c>
      <c r="J642" s="18">
        <f t="shared" si="68"/>
        <v>908343.00848336483</v>
      </c>
      <c r="K642" s="18">
        <f>IF($A642&gt;30,0,(K638-MIN(MAX(L641,0),K638))+MIN(MAX(0,M641-(K638-MIN(MAX(L641,0),K638))),MAX(0,1*K638-(L641-MIN(MAX(L641,0),K638)))))</f>
        <v>48173.062546325069</v>
      </c>
      <c r="L642" s="18">
        <f>IF($A642&gt;30,L641,(L641-K638+K642)*(1+$B$7))</f>
        <v>47827.460662772319</v>
      </c>
      <c r="M642" s="18">
        <f t="shared" si="69"/>
        <v>909434.79050475382</v>
      </c>
      <c r="N642" s="18">
        <f>IF($A642&gt;30,0,(N638-MIN(MAX(O641,0),N638))+MIN(MAX(0,P641-(N638-MIN(MAX(O641,0),N638))),MAX(0,1*N638-(O641-MIN(MAX(O641,0),N638)))))</f>
        <v>48173.139118201208</v>
      </c>
      <c r="O642" s="18">
        <f>IF($A642&gt;30,O641,(O641-N638+N642)*(1+$B$7))</f>
        <v>47827.536685308565</v>
      </c>
      <c r="P642" s="18">
        <f t="shared" si="70"/>
        <v>909434.54974830931</v>
      </c>
      <c r="Q642" s="18">
        <f>IF($A642&gt;30,0,(Q638-MIN(MAX(R641,0),Q638))+MIN(MAX(0,S641-(Q638-MIN(MAX(R641,0),Q638))),MAX(0,1*Q638-(R641-MIN(MAX(R641,0),Q638)))))</f>
        <v>48173.139144658046</v>
      </c>
      <c r="R642" s="18">
        <f>IF($A642&gt;30,R641,(R641-Q638+Q642)*(1+$B$7))</f>
        <v>47827.536711575602</v>
      </c>
      <c r="S642" s="18">
        <f t="shared" si="71"/>
        <v>909434.54966512416</v>
      </c>
    </row>
    <row r="643" spans="1:19">
      <c r="A643" s="10">
        <f>3</f>
        <v>3</v>
      </c>
      <c r="B643" s="18">
        <f>IF($A643&gt;30,0,(B638-MIN(MAX(C642,0),B638))+MIN(MAX(0,D642-(B638-MIN(MAX(C642,0),B638))),MAX(0,1*B638-(C642-MIN(MAX(C642,0),B638)))))</f>
        <v>30108</v>
      </c>
      <c r="C643" s="18">
        <f>IF($A643&gt;30,C642,(C642-B638+B643)*(1+$B$7))</f>
        <v>29892</v>
      </c>
      <c r="D643" s="18">
        <f t="shared" si="66"/>
        <v>964210.56280000007</v>
      </c>
      <c r="E643" s="18">
        <f>IF($A643&gt;30,0,(E638-MIN(MAX(F642,0),E638))+MIN(MAX(0,G642-(E638-MIN(MAX(F642,0),E638))),MAX(0,1*E638-(F642-MIN(MAX(F642,0),E638)))))</f>
        <v>75270</v>
      </c>
      <c r="F643" s="18">
        <f>IF($A643&gt;30,F642,(F642-E638+E643)*(1+$B$7))</f>
        <v>74730</v>
      </c>
      <c r="G643" s="18">
        <f t="shared" si="67"/>
        <v>771435.90700000001</v>
      </c>
      <c r="H643" s="18">
        <f>IF($A643&gt;30,0,(H638-MIN(MAX(I642,0),H638))+MIN(MAX(0,J642-(H638-MIN(MAX(I642,0),H638))),MAX(0,1*H638-(I642-MIN(MAX(I642,0),H638)))))</f>
        <v>48520.300593785541</v>
      </c>
      <c r="I643" s="18">
        <f>IF($A643&gt;30,I642,(I642-H638+H643)*(1+$B$7))</f>
        <v>48172.207564416014</v>
      </c>
      <c r="J643" s="18">
        <f t="shared" si="68"/>
        <v>885617.38912626659</v>
      </c>
      <c r="K643" s="18">
        <f>IF($A643&gt;30,0,(K638-MIN(MAX(L642,0),K638))+MIN(MAX(0,M642-(K638-MIN(MAX(L642,0),K638))),MAX(0,1*K638-(L642-MIN(MAX(L642,0),K638)))))</f>
        <v>48173.062546325069</v>
      </c>
      <c r="L643" s="18">
        <f>IF($A643&gt;30,L642,(L642-K638+K643)*(1+$B$7))</f>
        <v>47827.460662772319</v>
      </c>
      <c r="M643" s="18">
        <f t="shared" si="69"/>
        <v>887099.57979718165</v>
      </c>
      <c r="N643" s="18">
        <f>IF($A643&gt;30,0,(N638-MIN(MAX(O642,0),N638))+MIN(MAX(0,P642-(N638-MIN(MAX(O642,0),N638))),MAX(0,1*N638-(O642-MIN(MAX(O642,0),N638)))))</f>
        <v>48173.139118201208</v>
      </c>
      <c r="O643" s="18">
        <f>IF($A643&gt;30,O642,(O642-N638+N643)*(1+$B$7))</f>
        <v>47827.536685308565</v>
      </c>
      <c r="P643" s="18">
        <f t="shared" si="70"/>
        <v>887099.2529490114</v>
      </c>
      <c r="Q643" s="18">
        <f>IF($A643&gt;30,0,(Q638-MIN(MAX(R642,0),Q638))+MIN(MAX(0,S642-(Q638-MIN(MAX(R642,0),Q638))),MAX(0,1*Q638-(R642-MIN(MAX(R642,0),Q638)))))</f>
        <v>48173.139144658046</v>
      </c>
      <c r="R643" s="18">
        <f>IF($A643&gt;30,R642,(R642-Q638+Q643)*(1+$B$7))</f>
        <v>47827.536711575602</v>
      </c>
      <c r="S643" s="18">
        <f t="shared" si="71"/>
        <v>887099.25283608015</v>
      </c>
    </row>
    <row r="644" spans="1:19">
      <c r="A644" s="10">
        <f>4</f>
        <v>4</v>
      </c>
      <c r="B644" s="18">
        <f>IF($A644&gt;30,0,(B638-MIN(MAX(C643,0),B638))+MIN(MAX(0,D643-(B638-MIN(MAX(C643,0),B638))),MAX(0,1*B638-(C643-MIN(MAX(C643,0),B638)))))</f>
        <v>30108</v>
      </c>
      <c r="C644" s="18">
        <f>IF($A644&gt;30,C643,(C643-B638+B644)*(1+$B$7))</f>
        <v>29892</v>
      </c>
      <c r="D644" s="18">
        <f t="shared" si="66"/>
        <v>962125.63968400005</v>
      </c>
      <c r="E644" s="18">
        <f>IF($A644&gt;30,0,(E638-MIN(MAX(F643,0),E638))+MIN(MAX(0,G643-(E638-MIN(MAX(F643,0),E638))),MAX(0,1*E638-(F643-MIN(MAX(F643,0),E638)))))</f>
        <v>75270</v>
      </c>
      <c r="F644" s="18">
        <f>IF($A644&gt;30,F643,(F643-E638+E644)*(1+$B$7))</f>
        <v>74730</v>
      </c>
      <c r="G644" s="18">
        <f t="shared" si="67"/>
        <v>717050.88421000005</v>
      </c>
      <c r="H644" s="18">
        <f>IF($A644&gt;30,0,(H638-MIN(MAX(I643,0),H638))+MIN(MAX(0,J643-(H638-MIN(MAX(I643,0),H638))),MAX(0,1*H638-(I643-MIN(MAX(I643,0),H638)))))</f>
        <v>48520.300593785541</v>
      </c>
      <c r="I644" s="18">
        <f>IF($A644&gt;30,I643,(I643-H638+H644)*(1+$B$7))</f>
        <v>48172.207564416014</v>
      </c>
      <c r="J644" s="18">
        <f t="shared" si="68"/>
        <v>862210.0011884555</v>
      </c>
      <c r="K644" s="18">
        <f>IF($A644&gt;30,0,(K638-MIN(MAX(L643,0),K638))+MIN(MAX(0,M643-(K638-MIN(MAX(L643,0),K638))),MAX(0,1*K638-(L643-MIN(MAX(L643,0),K638)))))</f>
        <v>48173.062546325069</v>
      </c>
      <c r="L644" s="18">
        <f>IF($A644&gt;30,L643,(L643-K638+K644)*(1+$B$7))</f>
        <v>47827.460662772319</v>
      </c>
      <c r="M644" s="18">
        <f t="shared" si="69"/>
        <v>864094.31276838237</v>
      </c>
      <c r="N644" s="18">
        <f>IF($A644&gt;30,0,(N638-MIN(MAX(O643,0),N638))+MIN(MAX(0,P643-(N638-MIN(MAX(O643,0),N638))),MAX(0,1*N638-(O643-MIN(MAX(O643,0),N638)))))</f>
        <v>48173.139118201208</v>
      </c>
      <c r="O644" s="18">
        <f>IF($A644&gt;30,O643,(O643-N638+N644)*(1+$B$7))</f>
        <v>47827.536685308565</v>
      </c>
      <c r="P644" s="18">
        <f t="shared" si="70"/>
        <v>864093.89724573446</v>
      </c>
      <c r="Q644" s="18">
        <f>IF($A644&gt;30,0,(Q638-MIN(MAX(R643,0),Q638))+MIN(MAX(0,S643-(Q638-MIN(MAX(R643,0),Q638))),MAX(0,1*Q638-(R643-MIN(MAX(R643,0),Q638)))))</f>
        <v>48173.139144658046</v>
      </c>
      <c r="R644" s="18">
        <f>IF($A644&gt;30,R643,(R643-Q638+Q644)*(1+$B$7))</f>
        <v>47827.536711575602</v>
      </c>
      <c r="S644" s="18">
        <f t="shared" si="71"/>
        <v>864093.8971021648</v>
      </c>
    </row>
    <row r="645" spans="1:19">
      <c r="A645" s="10">
        <f>5</f>
        <v>5</v>
      </c>
      <c r="B645" s="18">
        <f>IF($A645&gt;30,0,(B638-MIN(MAX(C644,0),B638))+MIN(MAX(0,D644-(B638-MIN(MAX(C644,0),B638))),MAX(0,1*B638-(C644-MIN(MAX(C644,0),B638)))))</f>
        <v>30108</v>
      </c>
      <c r="C645" s="18">
        <f>IF($A645&gt;30,C644,(C644-B638+B645)*(1+$B$7))</f>
        <v>29892</v>
      </c>
      <c r="D645" s="18">
        <f t="shared" si="66"/>
        <v>959978.16887452011</v>
      </c>
      <c r="E645" s="18">
        <f>IF($A645&gt;30,0,(E638-MIN(MAX(F644,0),E638))+MIN(MAX(0,G644-(E638-MIN(MAX(F644,0),E638))),MAX(0,1*E638-(F644-MIN(MAX(F644,0),E638)))))</f>
        <v>75270</v>
      </c>
      <c r="F645" s="18">
        <f>IF($A645&gt;30,F644,(F644-E638+E645)*(1+$B$7))</f>
        <v>74730</v>
      </c>
      <c r="G645" s="18">
        <f t="shared" si="67"/>
        <v>661034.31073630007</v>
      </c>
      <c r="H645" s="18">
        <f>IF($A645&gt;30,0,(H638-MIN(MAX(I644,0),H638))+MIN(MAX(0,J644-(H638-MIN(MAX(I644,0),H638))),MAX(0,1*H638-(I644-MIN(MAX(I644,0),H638)))))</f>
        <v>48520.300593785541</v>
      </c>
      <c r="I645" s="18">
        <f>IF($A645&gt;30,I644,(I644-H638+H645)*(1+$B$7))</f>
        <v>48172.207564416014</v>
      </c>
      <c r="J645" s="18">
        <f t="shared" si="68"/>
        <v>838100.39161251008</v>
      </c>
      <c r="K645" s="18">
        <f>IF($A645&gt;30,0,(K638-MIN(MAX(L644,0),K638))+MIN(MAX(0,M644-(K638-MIN(MAX(L644,0),K638))),MAX(0,1*K638-(L644-MIN(MAX(L644,0),K638)))))</f>
        <v>48173.062546325069</v>
      </c>
      <c r="L645" s="18">
        <f>IF($A645&gt;30,L644,(L644-K638+K645)*(1+$B$7))</f>
        <v>47827.460662772319</v>
      </c>
      <c r="M645" s="18">
        <f t="shared" si="69"/>
        <v>840398.88772871904</v>
      </c>
      <c r="N645" s="18">
        <f>IF($A645&gt;30,0,(N638-MIN(MAX(O644,0),N638))+MIN(MAX(0,P644-(N638-MIN(MAX(O644,0),N638))),MAX(0,1*N638-(O644-MIN(MAX(O644,0),N638)))))</f>
        <v>48173.139118201208</v>
      </c>
      <c r="O645" s="18">
        <f>IF($A645&gt;30,O644,(O644-N638+N645)*(1+$B$7))</f>
        <v>47827.536685308565</v>
      </c>
      <c r="P645" s="18">
        <f t="shared" si="70"/>
        <v>840398.38087135926</v>
      </c>
      <c r="Q645" s="18">
        <f>IF($A645&gt;30,0,(Q638-MIN(MAX(R644,0),Q638))+MIN(MAX(0,S644-(Q638-MIN(MAX(R644,0),Q638))),MAX(0,1*Q638-(R644-MIN(MAX(R644,0),Q638)))))</f>
        <v>48173.139144658046</v>
      </c>
      <c r="R645" s="18">
        <f>IF($A645&gt;30,R644,(R644-Q638+Q645)*(1+$B$7))</f>
        <v>47827.536711575602</v>
      </c>
      <c r="S645" s="18">
        <f t="shared" si="71"/>
        <v>840398.38069623208</v>
      </c>
    </row>
    <row r="646" spans="1:19">
      <c r="A646" s="10">
        <f>6</f>
        <v>6</v>
      </c>
      <c r="B646" s="18">
        <f>IF($A646&gt;30,0,(B638-MIN(MAX(C645,0),B638))+MIN(MAX(0,D645-(B638-MIN(MAX(C645,0),B638))),MAX(0,1*B638-(C645-MIN(MAX(C645,0),B638)))))</f>
        <v>30108</v>
      </c>
      <c r="C646" s="18">
        <f>IF($A646&gt;30,C645,(C645-B638+B646)*(1+$B$7))</f>
        <v>29892</v>
      </c>
      <c r="D646" s="18">
        <f t="shared" si="66"/>
        <v>957766.27394075575</v>
      </c>
      <c r="E646" s="18">
        <f>IF($A646&gt;30,0,(E638-MIN(MAX(F645,0),E638))+MIN(MAX(0,G645-(E638-MIN(MAX(F645,0),E638))),MAX(0,1*E638-(F645-MIN(MAX(F645,0),E638)))))</f>
        <v>75270</v>
      </c>
      <c r="F646" s="18">
        <f>IF($A646&gt;30,F645,(F645-E638+E646)*(1+$B$7))</f>
        <v>74730</v>
      </c>
      <c r="G646" s="18">
        <f t="shared" si="67"/>
        <v>603337.24005838914</v>
      </c>
      <c r="H646" s="18">
        <f>IF($A646&gt;30,0,(H638-MIN(MAX(I645,0),H638))+MIN(MAX(0,J645-(H638-MIN(MAX(I645,0),H638))),MAX(0,1*H638-(I645-MIN(MAX(I645,0),H638)))))</f>
        <v>48520.300593785541</v>
      </c>
      <c r="I646" s="18">
        <f>IF($A646&gt;30,I645,(I645-H638+H646)*(1+$B$7))</f>
        <v>48172.207564416014</v>
      </c>
      <c r="J646" s="18">
        <f t="shared" si="68"/>
        <v>813267.49374928628</v>
      </c>
      <c r="K646" s="18">
        <f>IF($A646&gt;30,0,(K638-MIN(MAX(L645,0),K638))+MIN(MAX(0,M645-(K638-MIN(MAX(L645,0),K638))),MAX(0,1*K638-(L645-MIN(MAX(L645,0),K638)))))</f>
        <v>48173.062546325069</v>
      </c>
      <c r="L646" s="18">
        <f>IF($A646&gt;30,L645,(L645-K638+K646)*(1+$B$7))</f>
        <v>47827.460662772319</v>
      </c>
      <c r="M646" s="18">
        <f t="shared" si="69"/>
        <v>815992.59993786586</v>
      </c>
      <c r="N646" s="18">
        <f>IF($A646&gt;30,0,(N638-MIN(MAX(O645,0),N638))+MIN(MAX(0,P645-(N638-MIN(MAX(O645,0),N638))),MAX(0,1*N638-(O645-MIN(MAX(O645,0),N638)))))</f>
        <v>48173.139118201208</v>
      </c>
      <c r="O646" s="18">
        <f>IF($A646&gt;30,O645,(O645-N638+N646)*(1+$B$7))</f>
        <v>47827.536685308565</v>
      </c>
      <c r="P646" s="18">
        <f t="shared" si="70"/>
        <v>815991.99900575285</v>
      </c>
      <c r="Q646" s="18">
        <f>IF($A646&gt;30,0,(Q638-MIN(MAX(R645,0),Q638))+MIN(MAX(0,S645-(Q638-MIN(MAX(R645,0),Q638))),MAX(0,1*Q638-(R645-MIN(MAX(R645,0),Q638)))))</f>
        <v>48173.139144658046</v>
      </c>
      <c r="R646" s="18">
        <f>IF($A646&gt;30,R645,(R645-Q638+Q646)*(1+$B$7))</f>
        <v>47827.536711575602</v>
      </c>
      <c r="S646" s="18">
        <f t="shared" si="71"/>
        <v>815991.99879812135</v>
      </c>
    </row>
    <row r="647" spans="1:19">
      <c r="A647" s="10">
        <f>7</f>
        <v>7</v>
      </c>
      <c r="B647" s="18">
        <f>IF($A647&gt;30,0,(B638-MIN(MAX(C646,0),B638))+MIN(MAX(0,D646-(B638-MIN(MAX(C646,0),B638))),MAX(0,1*B638-(C646-MIN(MAX(C646,0),B638)))))</f>
        <v>30108</v>
      </c>
      <c r="C647" s="18">
        <f>IF($A647&gt;30,C646,(C646-B638+B647)*(1+$B$7))</f>
        <v>29892</v>
      </c>
      <c r="D647" s="18">
        <f t="shared" si="66"/>
        <v>955488.02215897851</v>
      </c>
      <c r="E647" s="18">
        <f>IF($A647&gt;30,0,(E638-MIN(MAX(F646,0),E638))+MIN(MAX(0,G646-(E638-MIN(MAX(F646,0),E638))),MAX(0,1*E638-(F646-MIN(MAX(F646,0),E638)))))</f>
        <v>75270</v>
      </c>
      <c r="F647" s="18">
        <f>IF($A647&gt;30,F646,(F646-E638+E647)*(1+$B$7))</f>
        <v>74730</v>
      </c>
      <c r="G647" s="18">
        <f t="shared" si="67"/>
        <v>543909.25726014085</v>
      </c>
      <c r="H647" s="18">
        <f>IF($A647&gt;30,0,(H638-MIN(MAX(I646,0),H638))+MIN(MAX(0,J646-(H638-MIN(MAX(I646,0),H638))),MAX(0,1*H638-(I646-MIN(MAX(I646,0),H638)))))</f>
        <v>48520.300593785541</v>
      </c>
      <c r="I647" s="18">
        <f>IF($A647&gt;30,I646,(I646-H638+H647)*(1+$B$7))</f>
        <v>48172.207564416014</v>
      </c>
      <c r="J647" s="18">
        <f t="shared" si="68"/>
        <v>787689.60895016568</v>
      </c>
      <c r="K647" s="18">
        <f>IF($A647&gt;30,0,(K638-MIN(MAX(L646,0),K638))+MIN(MAX(0,M646-(K638-MIN(MAX(L646,0),K638))),MAX(0,1*K638-(L646-MIN(MAX(L646,0),K638)))))</f>
        <v>48173.062546325069</v>
      </c>
      <c r="L647" s="18">
        <f>IF($A647&gt;30,L646,(L646-K638+K647)*(1+$B$7))</f>
        <v>47827.460662772319</v>
      </c>
      <c r="M647" s="18">
        <f t="shared" si="69"/>
        <v>790854.12351328705</v>
      </c>
      <c r="N647" s="18">
        <f>IF($A647&gt;30,0,(N638-MIN(MAX(O646,0),N638))+MIN(MAX(0,P646-(N638-MIN(MAX(O646,0),N638))),MAX(0,1*N638-(O646-MIN(MAX(O646,0),N638)))))</f>
        <v>48173.139118201208</v>
      </c>
      <c r="O647" s="18">
        <f>IF($A647&gt;30,O646,(O646-N638+N647)*(1+$B$7))</f>
        <v>47827.536685308565</v>
      </c>
      <c r="P647" s="18">
        <f t="shared" si="70"/>
        <v>790853.42568417825</v>
      </c>
      <c r="Q647" s="18">
        <f>IF($A647&gt;30,0,(Q638-MIN(MAX(R646,0),Q638))+MIN(MAX(0,S646-(Q638-MIN(MAX(R646,0),Q638))),MAX(0,1*Q638-(R646-MIN(MAX(R646,0),Q638)))))</f>
        <v>48173.139144658046</v>
      </c>
      <c r="R647" s="18">
        <f>IF($A647&gt;30,R646,(R646-Q638+Q647)*(1+$B$7))</f>
        <v>47827.536711575602</v>
      </c>
      <c r="S647" s="18">
        <f t="shared" si="71"/>
        <v>790853.42544306733</v>
      </c>
    </row>
    <row r="648" spans="1:19">
      <c r="A648" s="10">
        <f>8</f>
        <v>8</v>
      </c>
      <c r="B648" s="18">
        <f>IF($A648&gt;30,0,(B638-MIN(MAX(C647,0),B638))+MIN(MAX(0,D647-(B638-MIN(MAX(C647,0),B638))),MAX(0,1*B638-(C647-MIN(MAX(C647,0),B638)))))</f>
        <v>30108</v>
      </c>
      <c r="C648" s="18">
        <f>IF($A648&gt;30,C647,(C647-B638+B648)*(1+$B$7))</f>
        <v>29892</v>
      </c>
      <c r="D648" s="18">
        <f t="shared" si="66"/>
        <v>953141.42282374785</v>
      </c>
      <c r="E648" s="18">
        <f>IF($A648&gt;30,0,(E638-MIN(MAX(F647,0),E638))+MIN(MAX(0,G647-(E638-MIN(MAX(F647,0),E638))),MAX(0,1*E638-(F647-MIN(MAX(F647,0),E638)))))</f>
        <v>75270</v>
      </c>
      <c r="F648" s="18">
        <f>IF($A648&gt;30,F647,(F647-E638+E648)*(1+$B$7))</f>
        <v>74730</v>
      </c>
      <c r="G648" s="18">
        <f t="shared" si="67"/>
        <v>482698.43497794506</v>
      </c>
      <c r="H648" s="18">
        <f>IF($A648&gt;30,0,(H638-MIN(MAX(I647,0),H638))+MIN(MAX(0,J647-(H638-MIN(MAX(I647,0),H638))),MAX(0,1*H638-(I647-MIN(MAX(I647,0),H638)))))</f>
        <v>48520.300593785541</v>
      </c>
      <c r="I648" s="18">
        <f>IF($A648&gt;30,I647,(I647-H638+H648)*(1+$B$7))</f>
        <v>48172.207564416014</v>
      </c>
      <c r="J648" s="18">
        <f t="shared" si="68"/>
        <v>761344.38760707155</v>
      </c>
      <c r="K648" s="18">
        <f>IF($A648&gt;30,0,(K638-MIN(MAX(L647,0),K638))+MIN(MAX(0,M647-(K638-MIN(MAX(L647,0),K638))),MAX(0,1*K638-(L647-MIN(MAX(L647,0),K638)))))</f>
        <v>48173.062546325069</v>
      </c>
      <c r="L648" s="18">
        <f>IF($A648&gt;30,L647,(L647-K638+K648)*(1+$B$7))</f>
        <v>47827.460662772319</v>
      </c>
      <c r="M648" s="18">
        <f t="shared" si="69"/>
        <v>764961.49279597087</v>
      </c>
      <c r="N648" s="18">
        <f>IF($A648&gt;30,0,(N638-MIN(MAX(O647,0),N638))+MIN(MAX(0,P647-(N638-MIN(MAX(O647,0),N638))),MAX(0,1*N638-(O647-MIN(MAX(O647,0),N638)))))</f>
        <v>48173.139118201208</v>
      </c>
      <c r="O648" s="18">
        <f>IF($A648&gt;30,O647,(O647-N638+N648)*(1+$B$7))</f>
        <v>47827.536685308565</v>
      </c>
      <c r="P648" s="18">
        <f t="shared" si="70"/>
        <v>764960.69516295637</v>
      </c>
      <c r="Q648" s="18">
        <f>IF($A648&gt;30,0,(Q638-MIN(MAX(R647,0),Q638))+MIN(MAX(0,S647-(Q638-MIN(MAX(R647,0),Q638))),MAX(0,1*Q638-(R647-MIN(MAX(R647,0),Q638)))))</f>
        <v>48173.139144658046</v>
      </c>
      <c r="R648" s="18">
        <f>IF($A648&gt;30,R647,(R647-Q638+Q648)*(1+$B$7))</f>
        <v>47827.536711575602</v>
      </c>
      <c r="S648" s="18">
        <f t="shared" si="71"/>
        <v>764960.69488736161</v>
      </c>
    </row>
    <row r="649" spans="1:19">
      <c r="A649" s="10">
        <f>9</f>
        <v>9</v>
      </c>
      <c r="B649" s="18">
        <f>IF($A649&gt;30,0,(B638-MIN(MAX(C648,0),B638))+MIN(MAX(0,D648-(B638-MIN(MAX(C648,0),B638))),MAX(0,1*B638-(C648-MIN(MAX(C648,0),B638)))))</f>
        <v>30108</v>
      </c>
      <c r="C649" s="18">
        <f>IF($A649&gt;30,C648,(C648-B638+B649)*(1+$B$7))</f>
        <v>29892</v>
      </c>
      <c r="D649" s="18">
        <f t="shared" si="66"/>
        <v>950724.42550846026</v>
      </c>
      <c r="E649" s="18">
        <f>IF($A649&gt;30,0,(E638-MIN(MAX(F648,0),E638))+MIN(MAX(0,G648-(E638-MIN(MAX(F648,0),E638))),MAX(0,1*E638-(F648-MIN(MAX(F648,0),E638)))))</f>
        <v>75270</v>
      </c>
      <c r="F649" s="18">
        <f>IF($A649&gt;30,F648,(F648-E638+E649)*(1+$B$7))</f>
        <v>74730</v>
      </c>
      <c r="G649" s="18">
        <f t="shared" si="67"/>
        <v>419651.28802728344</v>
      </c>
      <c r="H649" s="18">
        <f>IF($A649&gt;30,0,(H638-MIN(MAX(I648,0),H638))+MIN(MAX(0,J648-(H638-MIN(MAX(I648,0),H638))),MAX(0,1*H638-(I648-MIN(MAX(I648,0),H638)))))</f>
        <v>48520.300593785541</v>
      </c>
      <c r="I649" s="18">
        <f>IF($A649&gt;30,I648,(I648-H638+H649)*(1+$B$7))</f>
        <v>48172.207564416014</v>
      </c>
      <c r="J649" s="18">
        <f t="shared" si="68"/>
        <v>734208.8096236845</v>
      </c>
      <c r="K649" s="18">
        <f>IF($A649&gt;30,0,(K638-MIN(MAX(L648,0),K638))+MIN(MAX(0,M648-(K638-MIN(MAX(L648,0),K638))),MAX(0,1*K638-(L648-MIN(MAX(L648,0),K638)))))</f>
        <v>48173.062546325069</v>
      </c>
      <c r="L649" s="18">
        <f>IF($A649&gt;30,L648,(L648-K638+K649)*(1+$B$7))</f>
        <v>47827.460662772319</v>
      </c>
      <c r="M649" s="18">
        <f t="shared" si="69"/>
        <v>738292.08315713529</v>
      </c>
      <c r="N649" s="18">
        <f>IF($A649&gt;30,0,(N638-MIN(MAX(O648,0),N638))+MIN(MAX(0,P648-(N638-MIN(MAX(O648,0),N638))),MAX(0,1*N638-(O648-MIN(MAX(O648,0),N638)))))</f>
        <v>48173.139118201208</v>
      </c>
      <c r="O649" s="18">
        <f>IF($A649&gt;30,O648,(O648-N638+N649)*(1+$B$7))</f>
        <v>47827.536685308565</v>
      </c>
      <c r="P649" s="18">
        <f t="shared" si="70"/>
        <v>738291.18272609788</v>
      </c>
      <c r="Q649" s="18">
        <f>IF($A649&gt;30,0,(Q638-MIN(MAX(R648,0),Q638))+MIN(MAX(0,S648-(Q638-MIN(MAX(R648,0),Q638))),MAX(0,1*Q638-(R648-MIN(MAX(R648,0),Q638)))))</f>
        <v>48173.139144658046</v>
      </c>
      <c r="R649" s="18">
        <f>IF($A649&gt;30,R648,(R648-Q638+Q649)*(1+$B$7))</f>
        <v>47827.536711575602</v>
      </c>
      <c r="S649" s="18">
        <f t="shared" si="71"/>
        <v>738291.1824149848</v>
      </c>
    </row>
    <row r="650" spans="1:19">
      <c r="A650" s="10">
        <f>10</f>
        <v>10</v>
      </c>
      <c r="B650" s="18">
        <f>IF($A650&gt;30,0,(B638-MIN(MAX(C649,0),B638))+MIN(MAX(0,D649-(B638-MIN(MAX(C649,0),B638))),MAX(0,1*B638-(C649-MIN(MAX(C649,0),B638)))))</f>
        <v>30108</v>
      </c>
      <c r="C650" s="18">
        <f>IF($A650&gt;30,C649,(C649-B638+B650)*(1+$B$7))</f>
        <v>29892</v>
      </c>
      <c r="D650" s="18">
        <f t="shared" si="66"/>
        <v>948234.91827371414</v>
      </c>
      <c r="E650" s="18">
        <f>IF($A650&gt;30,0,(E638-MIN(MAX(F649,0),E638))+MIN(MAX(0,G649-(E638-MIN(MAX(F649,0),E638))),MAX(0,1*E638-(F649-MIN(MAX(F649,0),E638)))))</f>
        <v>75270</v>
      </c>
      <c r="F650" s="18">
        <f>IF($A650&gt;30,F649,(F649-E638+E650)*(1+$B$7))</f>
        <v>74730</v>
      </c>
      <c r="G650" s="18">
        <f t="shared" si="67"/>
        <v>354712.72666810197</v>
      </c>
      <c r="H650" s="18">
        <f>IF($A650&gt;30,0,(H638-MIN(MAX(I649,0),H638))+MIN(MAX(0,J649-(H638-MIN(MAX(I649,0),H638))),MAX(0,1*H638-(I649-MIN(MAX(I649,0),H638)))))</f>
        <v>48520.300593785541</v>
      </c>
      <c r="I650" s="18">
        <f>IF($A650&gt;30,I649,(I649-H638+H650)*(1+$B$7))</f>
        <v>48172.207564416014</v>
      </c>
      <c r="J650" s="18">
        <f t="shared" si="68"/>
        <v>706259.16430079588</v>
      </c>
      <c r="K650" s="18">
        <f>IF($A650&gt;30,0,(K638-MIN(MAX(L649,0),K638))+MIN(MAX(0,M649-(K638-MIN(MAX(L649,0),K638))),MAX(0,1*K638-(L649-MIN(MAX(L649,0),K638)))))</f>
        <v>48173.062546325069</v>
      </c>
      <c r="L650" s="18">
        <f>IF($A650&gt;30,L649,(L649-K638+K650)*(1+$B$7))</f>
        <v>47827.460662772319</v>
      </c>
      <c r="M650" s="18">
        <f t="shared" si="69"/>
        <v>710822.59122913459</v>
      </c>
      <c r="N650" s="18">
        <f>IF($A650&gt;30,0,(N638-MIN(MAX(O649,0),N638))+MIN(MAX(0,P649-(N638-MIN(MAX(O649,0),N638))),MAX(0,1*N638-(O649-MIN(MAX(O649,0),N638)))))</f>
        <v>48173.139118201208</v>
      </c>
      <c r="O650" s="18">
        <f>IF($A650&gt;30,O649,(O649-N638+N650)*(1+$B$7))</f>
        <v>47827.536685308565</v>
      </c>
      <c r="P650" s="18">
        <f t="shared" si="70"/>
        <v>710821.58491613355</v>
      </c>
      <c r="Q650" s="18">
        <f>IF($A650&gt;30,0,(Q638-MIN(MAX(R649,0),Q638))+MIN(MAX(0,S649-(Q638-MIN(MAX(R649,0),Q638))),MAX(0,1*Q638-(R649-MIN(MAX(R649,0),Q638)))))</f>
        <v>48173.139144658046</v>
      </c>
      <c r="R650" s="18">
        <f>IF($A650&gt;30,R649,(R649-Q638+Q650)*(1+$B$7))</f>
        <v>47827.536711575602</v>
      </c>
      <c r="S650" s="18">
        <f t="shared" si="71"/>
        <v>710821.58456843661</v>
      </c>
    </row>
    <row r="651" spans="1:19">
      <c r="A651" s="10">
        <f>11</f>
        <v>11</v>
      </c>
      <c r="B651" s="18">
        <f>IF($A651&gt;30,0,(B638-MIN(MAX(C650,0),B638))+MIN(MAX(0,D650-(B638-MIN(MAX(C650,0),B638))),MAX(0,1*B638-(C650-MIN(MAX(C650,0),B638)))))</f>
        <v>30108</v>
      </c>
      <c r="C651" s="18">
        <f>IF($A651&gt;30,C650,(C650-B638+B651)*(1+$B$7))</f>
        <v>29892</v>
      </c>
      <c r="D651" s="18">
        <f t="shared" si="66"/>
        <v>945670.72582192556</v>
      </c>
      <c r="E651" s="18">
        <f>IF($A651&gt;30,0,(E638-MIN(MAX(F650,0),E638))+MIN(MAX(0,G650-(E638-MIN(MAX(F650,0),E638))),MAX(0,1*E638-(F650-MIN(MAX(F650,0),E638)))))</f>
        <v>75270</v>
      </c>
      <c r="F651" s="18">
        <f>IF($A651&gt;30,F650,(F650-E638+E651)*(1+$B$7))</f>
        <v>74730</v>
      </c>
      <c r="G651" s="18">
        <f t="shared" si="67"/>
        <v>287826.00846814504</v>
      </c>
      <c r="H651" s="18">
        <f>IF($A651&gt;30,0,(H638-MIN(MAX(I650,0),H638))+MIN(MAX(0,J650-(H638-MIN(MAX(I650,0),H638))),MAX(0,1*H638-(I650-MIN(MAX(I650,0),H638)))))</f>
        <v>48520.300593785541</v>
      </c>
      <c r="I651" s="18">
        <f>IF($A651&gt;30,I650,(I650-H638+H651)*(1+$B$7))</f>
        <v>48172.207564416014</v>
      </c>
      <c r="J651" s="18">
        <f t="shared" si="68"/>
        <v>677471.02961822064</v>
      </c>
      <c r="K651" s="18">
        <f>IF($A651&gt;30,0,(K638-MIN(MAX(L650,0),K638))+MIN(MAX(0,M650-(K638-MIN(MAX(L650,0),K638))),MAX(0,1*K638-(L650-MIN(MAX(L650,0),K638)))))</f>
        <v>48173.062546325069</v>
      </c>
      <c r="L651" s="18">
        <f>IF($A651&gt;30,L650,(L650-K638+K651)*(1+$B$7))</f>
        <v>47827.460662772319</v>
      </c>
      <c r="M651" s="18">
        <f t="shared" si="69"/>
        <v>682529.01454329386</v>
      </c>
      <c r="N651" s="18">
        <f>IF($A651&gt;30,0,(N638-MIN(MAX(O650,0),N638))+MIN(MAX(0,P650-(N638-MIN(MAX(O650,0),N638))),MAX(0,1*N638-(O650-MIN(MAX(O650,0),N638)))))</f>
        <v>48173.139118201208</v>
      </c>
      <c r="O651" s="18">
        <f>IF($A651&gt;30,O650,(O650-N638+N651)*(1+$B$7))</f>
        <v>47827.536685308565</v>
      </c>
      <c r="P651" s="18">
        <f t="shared" si="70"/>
        <v>682527.89917187032</v>
      </c>
      <c r="Q651" s="18">
        <f>IF($A651&gt;30,0,(Q638-MIN(MAX(R650,0),Q638))+MIN(MAX(0,S650-(Q638-MIN(MAX(R650,0),Q638))),MAX(0,1*Q638-(R650-MIN(MAX(R650,0),Q638)))))</f>
        <v>48173.139144658046</v>
      </c>
      <c r="R651" s="18">
        <f>IF($A651&gt;30,R650,(R650-Q638+Q651)*(1+$B$7))</f>
        <v>47827.536711575602</v>
      </c>
      <c r="S651" s="18">
        <f t="shared" si="71"/>
        <v>682527.89878649195</v>
      </c>
    </row>
    <row r="652" spans="1:19">
      <c r="A652" s="10">
        <f>12</f>
        <v>12</v>
      </c>
      <c r="B652" s="18">
        <f>IF($A652&gt;30,0,(B638-MIN(MAX(C651,0),B638))+MIN(MAX(0,D651-(B638-MIN(MAX(C651,0),B638))),MAX(0,1*B638-(C651-MIN(MAX(C651,0),B638)))))</f>
        <v>30108</v>
      </c>
      <c r="C652" s="18">
        <f>IF($A652&gt;30,C651,(C651-B638+B652)*(1+$B$7))</f>
        <v>29892</v>
      </c>
      <c r="D652" s="18">
        <f t="shared" si="66"/>
        <v>943029.60759658332</v>
      </c>
      <c r="E652" s="18">
        <f>IF($A652&gt;30,0,(E638-MIN(MAX(F651,0),E638))+MIN(MAX(0,G651-(E638-MIN(MAX(F651,0),E638))),MAX(0,1*E638-(F651-MIN(MAX(F651,0),E638)))))</f>
        <v>75270</v>
      </c>
      <c r="F652" s="18">
        <f>IF($A652&gt;30,F651,(F651-E638+E652)*(1+$B$7))</f>
        <v>74730</v>
      </c>
      <c r="G652" s="18">
        <f t="shared" si="67"/>
        <v>218932.6887221894</v>
      </c>
      <c r="H652" s="18">
        <f>IF($A652&gt;30,0,(H638-MIN(MAX(I651,0),H638))+MIN(MAX(0,J651-(H638-MIN(MAX(I651,0),H638))),MAX(0,1*H638-(I651-MIN(MAX(I651,0),H638)))))</f>
        <v>48520.300593785541</v>
      </c>
      <c r="I652" s="18">
        <f>IF($A652&gt;30,I651,(I651-H638+H652)*(1+$B$7))</f>
        <v>48172.207564416014</v>
      </c>
      <c r="J652" s="18">
        <f t="shared" si="68"/>
        <v>647819.25089516817</v>
      </c>
      <c r="K652" s="18">
        <f>IF($A652&gt;30,0,(K638-MIN(MAX(L651,0),K638))+MIN(MAX(0,M651-(K638-MIN(MAX(L651,0),K638))),MAX(0,1*K638-(L651-MIN(MAX(L651,0),K638)))))</f>
        <v>48173.062546325069</v>
      </c>
      <c r="L652" s="18">
        <f>IF($A652&gt;30,L651,(L651-K638+K652)*(1+$B$7))</f>
        <v>47827.460662772319</v>
      </c>
      <c r="M652" s="18">
        <f t="shared" si="69"/>
        <v>653386.63055687794</v>
      </c>
      <c r="N652" s="18">
        <f>IF($A652&gt;30,0,(N638-MIN(MAX(O651,0),N638))+MIN(MAX(0,P651-(N638-MIN(MAX(O651,0),N638))),MAX(0,1*N638-(O651-MIN(MAX(O651,0),N638)))))</f>
        <v>48173.139118201208</v>
      </c>
      <c r="O652" s="18">
        <f>IF($A652&gt;30,O651,(O651-N638+N652)*(1+$B$7))</f>
        <v>47827.536685308565</v>
      </c>
      <c r="P652" s="18">
        <f t="shared" si="70"/>
        <v>653385.40285527916</v>
      </c>
      <c r="Q652" s="18">
        <f>IF($A652&gt;30,0,(Q638-MIN(MAX(R651,0),Q638))+MIN(MAX(0,S651-(Q638-MIN(MAX(R651,0),Q638))),MAX(0,1*Q638-(R651-MIN(MAX(R651,0),Q638)))))</f>
        <v>48173.139144658046</v>
      </c>
      <c r="R652" s="18">
        <f>IF($A652&gt;30,R651,(R651-Q638+Q652)*(1+$B$7))</f>
        <v>47827.536711575602</v>
      </c>
      <c r="S652" s="18">
        <f t="shared" si="71"/>
        <v>653385.40243108897</v>
      </c>
    </row>
    <row r="653" spans="1:19">
      <c r="A653" s="10">
        <f>13</f>
        <v>13</v>
      </c>
      <c r="B653" s="18">
        <f>IF($A653&gt;30,0,(B638-MIN(MAX(C652,0),B638))+MIN(MAX(0,D652-(B638-MIN(MAX(C652,0),B638))),MAX(0,1*B638-(C652-MIN(MAX(C652,0),B638)))))</f>
        <v>30108</v>
      </c>
      <c r="C653" s="18">
        <f>IF($A653&gt;30,C652,(C652-B638+B653)*(1+$B$7))</f>
        <v>29892</v>
      </c>
      <c r="D653" s="18">
        <f t="shared" si="66"/>
        <v>940309.25582448079</v>
      </c>
      <c r="E653" s="18">
        <f>IF($A653&gt;30,0,(E638-MIN(MAX(F652,0),E638))+MIN(MAX(0,G652-(E638-MIN(MAX(F652,0),E638))),MAX(0,1*E638-(F652-MIN(MAX(F652,0),E638)))))</f>
        <v>75270</v>
      </c>
      <c r="F653" s="18">
        <f>IF($A653&gt;30,F652,(F652-E638+E653)*(1+$B$7))</f>
        <v>74730</v>
      </c>
      <c r="G653" s="18">
        <f t="shared" si="67"/>
        <v>147972.56938385509</v>
      </c>
      <c r="H653" s="18">
        <f>IF($A653&gt;30,0,(H638-MIN(MAX(I652,0),H638))+MIN(MAX(0,J652-(H638-MIN(MAX(I652,0),H638))),MAX(0,1*H638-(I652-MIN(MAX(I652,0),H638)))))</f>
        <v>48520.300593785541</v>
      </c>
      <c r="I653" s="18">
        <f>IF($A653&gt;30,I652,(I652-H638+H653)*(1+$B$7))</f>
        <v>48172.207564416014</v>
      </c>
      <c r="J653" s="18">
        <f t="shared" si="68"/>
        <v>617277.91881042405</v>
      </c>
      <c r="K653" s="18">
        <f>IF($A653&gt;30,0,(K638-MIN(MAX(L652,0),K638))+MIN(MAX(0,M652-(K638-MIN(MAX(L652,0),K638))),MAX(0,1*K638-(L652-MIN(MAX(L652,0),K638)))))</f>
        <v>48173.062546325069</v>
      </c>
      <c r="L653" s="18">
        <f>IF($A653&gt;30,L652,(L652-K638+K653)*(1+$B$7))</f>
        <v>47827.460662772319</v>
      </c>
      <c r="M653" s="18">
        <f t="shared" si="69"/>
        <v>623369.97505086951</v>
      </c>
      <c r="N653" s="18">
        <f>IF($A653&gt;30,0,(N638-MIN(MAX(O652,0),N638))+MIN(MAX(0,P652-(N638-MIN(MAX(O652,0),N638))),MAX(0,1*N638-(O652-MIN(MAX(O652,0),N638)))))</f>
        <v>48173.139118201208</v>
      </c>
      <c r="O653" s="18">
        <f>IF($A653&gt;30,O652,(O652-N638+N653)*(1+$B$7))</f>
        <v>47827.536685308565</v>
      </c>
      <c r="P653" s="18">
        <f t="shared" si="70"/>
        <v>623368.63164919033</v>
      </c>
      <c r="Q653" s="18">
        <f>IF($A653&gt;30,0,(Q638-MIN(MAX(R652,0),Q638))+MIN(MAX(0,S652-(Q638-MIN(MAX(R652,0),Q638))),MAX(0,1*Q638-(R652-MIN(MAX(R652,0),Q638)))))</f>
        <v>48173.139144658046</v>
      </c>
      <c r="R653" s="18">
        <f>IF($A653&gt;30,R652,(R652-Q638+Q653)*(1+$B$7))</f>
        <v>47827.536711575602</v>
      </c>
      <c r="S653" s="18">
        <f t="shared" si="71"/>
        <v>623368.63118502393</v>
      </c>
    </row>
    <row r="654" spans="1:19">
      <c r="A654" s="10">
        <f>14</f>
        <v>14</v>
      </c>
      <c r="B654" s="18">
        <f>IF($A654&gt;30,0,(B638-MIN(MAX(C653,0),B638))+MIN(MAX(0,D653-(B638-MIN(MAX(C653,0),B638))),MAX(0,1*B638-(C653-MIN(MAX(C653,0),B638)))))</f>
        <v>30108</v>
      </c>
      <c r="C654" s="18">
        <f>IF($A654&gt;30,C653,(C653-B638+B654)*(1+$B$7))</f>
        <v>29892</v>
      </c>
      <c r="D654" s="18">
        <f t="shared" si="66"/>
        <v>937507.29349921527</v>
      </c>
      <c r="E654" s="18">
        <f>IF($A654&gt;30,0,(E638-MIN(MAX(F653,0),E638))+MIN(MAX(0,G653-(E638-MIN(MAX(F653,0),E638))),MAX(0,1*E638-(F653-MIN(MAX(F653,0),E638)))))</f>
        <v>75270</v>
      </c>
      <c r="F654" s="18">
        <f>IF($A654&gt;30,F653,(F653-E638+E654)*(1+$B$7))</f>
        <v>74730</v>
      </c>
      <c r="G654" s="18">
        <f t="shared" si="67"/>
        <v>74883.646465370752</v>
      </c>
      <c r="H654" s="18">
        <f>IF($A654&gt;30,0,(H638-MIN(MAX(I653,0),H638))+MIN(MAX(0,J653-(H638-MIN(MAX(I653,0),H638))),MAX(0,1*H638-(I653-MIN(MAX(I653,0),H638)))))</f>
        <v>48520.300593785541</v>
      </c>
      <c r="I654" s="18">
        <f>IF($A654&gt;30,I653,(I653-H638+H654)*(1+$B$7))</f>
        <v>48172.207564416014</v>
      </c>
      <c r="J654" s="18">
        <f t="shared" si="68"/>
        <v>585820.34676313761</v>
      </c>
      <c r="K654" s="18">
        <f>IF($A654&gt;30,0,(K638-MIN(MAX(L653,0),K638))+MIN(MAX(0,M653-(K638-MIN(MAX(L653,0),K638))),MAX(0,1*K638-(L653-MIN(MAX(L653,0),K638)))))</f>
        <v>48173.062546325069</v>
      </c>
      <c r="L654" s="18">
        <f>IF($A654&gt;30,L653,(L653-K638+K654)*(1+$B$7))</f>
        <v>47827.460662772319</v>
      </c>
      <c r="M654" s="18">
        <f t="shared" si="69"/>
        <v>592452.81987968087</v>
      </c>
      <c r="N654" s="18">
        <f>IF($A654&gt;30,0,(N638-MIN(MAX(O653,0),N638))+MIN(MAX(0,P653-(N638-MIN(MAX(O653,0),N638))),MAX(0,1*N638-(O653-MIN(MAX(O653,0),N638)))))</f>
        <v>48173.139118201208</v>
      </c>
      <c r="O654" s="18">
        <f>IF($A654&gt;30,O653,(O653-N638+N654)*(1+$B$7))</f>
        <v>47827.536685308565</v>
      </c>
      <c r="P654" s="18">
        <f t="shared" si="70"/>
        <v>592451.35730691883</v>
      </c>
      <c r="Q654" s="18">
        <f>IF($A654&gt;30,0,(Q638-MIN(MAX(R653,0),Q638))+MIN(MAX(0,S653-(Q638-MIN(MAX(R653,0),Q638))),MAX(0,1*Q638-(R653-MIN(MAX(R653,0),Q638)))))</f>
        <v>48173.139144658046</v>
      </c>
      <c r="R654" s="18">
        <f>IF($A654&gt;30,R653,(R653-Q638+Q654)*(1+$B$7))</f>
        <v>47827.536711575602</v>
      </c>
      <c r="S654" s="18">
        <f t="shared" si="71"/>
        <v>592451.35680157691</v>
      </c>
    </row>
    <row r="655" spans="1:19">
      <c r="A655" s="10">
        <f>15</f>
        <v>15</v>
      </c>
      <c r="B655" s="18">
        <f>IF($A655&gt;30,0,(B638-MIN(MAX(C654,0),B638))+MIN(MAX(0,D654-(B638-MIN(MAX(C654,0),B638))),MAX(0,1*B638-(C654-MIN(MAX(C654,0),B638)))))</f>
        <v>30108</v>
      </c>
      <c r="C655" s="18">
        <f>IF($A655&gt;30,C654,(C654-B638+B655)*(1+$B$7))</f>
        <v>29892</v>
      </c>
      <c r="D655" s="18">
        <f t="shared" si="66"/>
        <v>934621.27230419172</v>
      </c>
      <c r="E655" s="18">
        <f>IF($A655&gt;30,0,(E638-MIN(MAX(F654,0),E638))+MIN(MAX(0,G654-(E638-MIN(MAX(F654,0),E638))),MAX(0,1*E638-(F654-MIN(MAX(F654,0),E638)))))</f>
        <v>74883.646465370752</v>
      </c>
      <c r="F655" s="18">
        <f>IF($A655&gt;30,F654,(F654-E638+E655)*(1+$B$7))</f>
        <v>74345.037338095412</v>
      </c>
      <c r="G655" s="18">
        <f t="shared" si="67"/>
        <v>0</v>
      </c>
      <c r="H655" s="18">
        <f>IF($A655&gt;30,0,(H638-MIN(MAX(I654,0),H638))+MIN(MAX(0,J654-(H638-MIN(MAX(I654,0),H638))),MAX(0,1*H638-(I654-MIN(MAX(I654,0),H638)))))</f>
        <v>48520.300593785541</v>
      </c>
      <c r="I655" s="18">
        <f>IF($A655&gt;30,I654,(I654-H638+H655)*(1+$B$7))</f>
        <v>48172.207564416014</v>
      </c>
      <c r="J655" s="18">
        <f t="shared" si="68"/>
        <v>553419.04755443265</v>
      </c>
      <c r="K655" s="18">
        <f>IF($A655&gt;30,0,(K638-MIN(MAX(L654,0),K638))+MIN(MAX(0,M654-(K638-MIN(MAX(L654,0),K638))),MAX(0,1*K638-(L654-MIN(MAX(L654,0),K638)))))</f>
        <v>48173.062546325069</v>
      </c>
      <c r="L655" s="18">
        <f>IF($A655&gt;30,L654,(L654-K638+K655)*(1+$B$7))</f>
        <v>47827.460662772319</v>
      </c>
      <c r="M655" s="18">
        <f t="shared" si="69"/>
        <v>560608.15005335654</v>
      </c>
      <c r="N655" s="18">
        <f>IF($A655&gt;30,0,(N638-MIN(MAX(O654,0),N638))+MIN(MAX(0,P654-(N638-MIN(MAX(O654,0),N638))),MAX(0,1*N638-(O654-MIN(MAX(O654,0),N638)))))</f>
        <v>48173.139118201208</v>
      </c>
      <c r="O655" s="18">
        <f>IF($A655&gt;30,O654,(O654-N638+N655)*(1+$B$7))</f>
        <v>47827.536685308565</v>
      </c>
      <c r="P655" s="18">
        <f t="shared" si="70"/>
        <v>560606.56473437918</v>
      </c>
      <c r="Q655" s="18">
        <f>IF($A655&gt;30,0,(Q638-MIN(MAX(R654,0),Q638))+MIN(MAX(0,S654-(Q638-MIN(MAX(R654,0),Q638))),MAX(0,1*Q638-(R654-MIN(MAX(R654,0),Q638)))))</f>
        <v>48173.139144658046</v>
      </c>
      <c r="R655" s="18">
        <f>IF($A655&gt;30,R654,(R654-Q638+Q655)*(1+$B$7))</f>
        <v>47827.536711575602</v>
      </c>
      <c r="S655" s="18">
        <f t="shared" si="71"/>
        <v>560606.56418662646</v>
      </c>
    </row>
    <row r="656" spans="1:19">
      <c r="A656" s="10">
        <f>16</f>
        <v>16</v>
      </c>
      <c r="B656" s="18">
        <f>IF($A656&gt;30,0,(B638-MIN(MAX(C655,0),B638))+MIN(MAX(0,D655-(B638-MIN(MAX(C655,0),B638))),MAX(0,1*B638-(C655-MIN(MAX(C655,0),B638)))))</f>
        <v>30108</v>
      </c>
      <c r="C656" s="18">
        <f>IF($A656&gt;30,C655,(C655-B638+B656)*(1+$B$7))</f>
        <v>29892</v>
      </c>
      <c r="D656" s="18">
        <f t="shared" si="66"/>
        <v>931648.6704733175</v>
      </c>
      <c r="E656" s="18">
        <f>IF($A656&gt;30,0,(E638-MIN(MAX(F655,0),E638))+MIN(MAX(0,G655-(E638-MIN(MAX(F655,0),E638))),MAX(0,1*E638-(F655-MIN(MAX(F655,0),E638)))))</f>
        <v>654.96266190458846</v>
      </c>
      <c r="F656" s="18">
        <f>IF($A656&gt;30,F655,(F655-E638+E656)*(1+$B$7))</f>
        <v>0</v>
      </c>
      <c r="G656" s="18">
        <f t="shared" si="67"/>
        <v>-674.61154176172613</v>
      </c>
      <c r="H656" s="18">
        <f>IF($A656&gt;30,0,(H638-MIN(MAX(I655,0),H638))+MIN(MAX(0,J655-(H638-MIN(MAX(I655,0),H638))),MAX(0,1*H638-(I655-MIN(MAX(I655,0),H638)))))</f>
        <v>48520.300593785541</v>
      </c>
      <c r="I656" s="18">
        <f>IF($A656&gt;30,I655,(I655-H638+H656)*(1+$B$7))</f>
        <v>48172.207564416014</v>
      </c>
      <c r="J656" s="18">
        <f t="shared" si="68"/>
        <v>520045.70936946652</v>
      </c>
      <c r="K656" s="18">
        <f>IF($A656&gt;30,0,(K638-MIN(MAX(L655,0),K638))+MIN(MAX(0,M655-(K638-MIN(MAX(L655,0),K638))),MAX(0,1*K638-(L655-MIN(MAX(L655,0),K638)))))</f>
        <v>48173.062546325069</v>
      </c>
      <c r="L656" s="18">
        <f>IF($A656&gt;30,L655,(L655-K638+K656)*(1+$B$7))</f>
        <v>47827.460662772319</v>
      </c>
      <c r="M656" s="18">
        <f t="shared" si="69"/>
        <v>527808.14013224246</v>
      </c>
      <c r="N656" s="18">
        <f>IF($A656&gt;30,0,(N638-MIN(MAX(O655,0),N638))+MIN(MAX(0,P655-(N638-MIN(MAX(O655,0),N638))),MAX(0,1*N638-(O655-MIN(MAX(O655,0),N638)))))</f>
        <v>48173.139118201208</v>
      </c>
      <c r="O656" s="18">
        <f>IF($A656&gt;30,O655,(O655-N638+N656)*(1+$B$7))</f>
        <v>47827.536685308565</v>
      </c>
      <c r="P656" s="18">
        <f t="shared" si="70"/>
        <v>527806.4283846633</v>
      </c>
      <c r="Q656" s="18">
        <f>IF($A656&gt;30,0,(Q638-MIN(MAX(R655,0),Q638))+MIN(MAX(0,S655-(Q638-MIN(MAX(R655,0),Q638))),MAX(0,1*Q638-(R655-MIN(MAX(R655,0),Q638)))))</f>
        <v>48173.139144658046</v>
      </c>
      <c r="R656" s="18">
        <f>IF($A656&gt;30,R655,(R655-Q638+Q656)*(1+$B$7))</f>
        <v>47827.536711575602</v>
      </c>
      <c r="S656" s="18">
        <f t="shared" si="71"/>
        <v>527806.42779322749</v>
      </c>
    </row>
    <row r="657" spans="1:19">
      <c r="A657" s="10">
        <f>17</f>
        <v>17</v>
      </c>
      <c r="B657" s="18">
        <f>IF($A657&gt;30,0,(B638-MIN(MAX(C656,0),B638))+MIN(MAX(0,D656-(B638-MIN(MAX(C656,0),B638))),MAX(0,1*B638-(C656-MIN(MAX(C656,0),B638)))))</f>
        <v>30108</v>
      </c>
      <c r="C657" s="18">
        <f>IF($A657&gt;30,C656,(C656-B638+B657)*(1+$B$7))</f>
        <v>29892</v>
      </c>
      <c r="D657" s="18">
        <f t="shared" si="66"/>
        <v>928586.89058751706</v>
      </c>
      <c r="E657" s="18">
        <f>IF($A657&gt;30,0,(E638-MIN(MAX(F656,0),E638))+MIN(MAX(0,G656-(E638-MIN(MAX(F656,0),E638))),MAX(0,1*E638-(F656-MIN(MAX(F656,0),E638)))))</f>
        <v>75000</v>
      </c>
      <c r="F657" s="18">
        <f>IF($A657&gt;30,F656,(F656-E638+E657)*(1+$B$7))</f>
        <v>0</v>
      </c>
      <c r="G657" s="18">
        <f t="shared" si="67"/>
        <v>-77944.849888014578</v>
      </c>
      <c r="H657" s="18">
        <f>IF($A657&gt;30,0,(H638-MIN(MAX(I656,0),H638))+MIN(MAX(0,J656-(H638-MIN(MAX(I656,0),H638))),MAX(0,1*H638-(I656-MIN(MAX(I656,0),H638)))))</f>
        <v>48520.300593785541</v>
      </c>
      <c r="I657" s="18">
        <f>IF($A657&gt;30,I656,(I656-H638+H657)*(1+$B$7))</f>
        <v>48172.207564416014</v>
      </c>
      <c r="J657" s="18">
        <f t="shared" si="68"/>
        <v>485671.17103895143</v>
      </c>
      <c r="K657" s="18">
        <f>IF($A657&gt;30,0,(K638-MIN(MAX(L656,0),K638))+MIN(MAX(0,M656-(K638-MIN(MAX(L656,0),K638))),MAX(0,1*K638-(L656-MIN(MAX(L656,0),K638)))))</f>
        <v>48173.062546325069</v>
      </c>
      <c r="L657" s="18">
        <f>IF($A657&gt;30,L656,(L656-K638+K657)*(1+$B$7))</f>
        <v>47827.460662772319</v>
      </c>
      <c r="M657" s="18">
        <f t="shared" si="69"/>
        <v>494024.12991349492</v>
      </c>
      <c r="N657" s="18">
        <f>IF($A657&gt;30,0,(N638-MIN(MAX(O656,0),N638))+MIN(MAX(0,P656-(N638-MIN(MAX(O656,0),N638))),MAX(0,1*N638-(O656-MIN(MAX(O656,0),N638)))))</f>
        <v>48173.139118201208</v>
      </c>
      <c r="O657" s="18">
        <f>IF($A657&gt;30,O656,(O656-N638+N657)*(1+$B$7))</f>
        <v>47827.536685308565</v>
      </c>
      <c r="P657" s="18">
        <f t="shared" si="70"/>
        <v>494022.28794445598</v>
      </c>
      <c r="Q657" s="18">
        <f>IF($A657&gt;30,0,(Q638-MIN(MAX(R656,0),Q638))+MIN(MAX(0,S656-(Q638-MIN(MAX(R656,0),Q638))),MAX(0,1*Q638-(R656-MIN(MAX(R656,0),Q638)))))</f>
        <v>48173.139144658046</v>
      </c>
      <c r="R657" s="18">
        <f>IF($A657&gt;30,R656,(R656-Q638+Q657)*(1+$B$7))</f>
        <v>47827.536711575602</v>
      </c>
      <c r="S657" s="18">
        <f t="shared" si="71"/>
        <v>494022.28730802651</v>
      </c>
    </row>
    <row r="658" spans="1:19">
      <c r="A658" s="10">
        <f>18</f>
        <v>18</v>
      </c>
      <c r="B658" s="18">
        <f>IF($A658&gt;30,0,(B638-MIN(MAX(C657,0),B638))+MIN(MAX(0,D657-(B638-MIN(MAX(C657,0),B638))),MAX(0,1*B638-(C657-MIN(MAX(C657,0),B638)))))</f>
        <v>30108</v>
      </c>
      <c r="C658" s="18">
        <f>IF($A658&gt;30,C657,(C657-B638+B658)*(1+$B$7))</f>
        <v>29892</v>
      </c>
      <c r="D658" s="18">
        <f t="shared" si="66"/>
        <v>925433.25730514259</v>
      </c>
      <c r="E658" s="18">
        <f>IF($A658&gt;30,0,(E638-MIN(MAX(F657,0),E638))+MIN(MAX(0,G657-(E638-MIN(MAX(F657,0),E638))),MAX(0,1*E638-(F657-MIN(MAX(F657,0),E638)))))</f>
        <v>75000</v>
      </c>
      <c r="F658" s="18">
        <f>IF($A658&gt;30,F657,(F657-E638+E658)*(1+$B$7))</f>
        <v>0</v>
      </c>
      <c r="G658" s="18">
        <f t="shared" si="67"/>
        <v>-157533.19538465503</v>
      </c>
      <c r="H658" s="18">
        <f>IF($A658&gt;30,0,(H638-MIN(MAX(I657,0),H638))+MIN(MAX(0,J657-(H638-MIN(MAX(I657,0),H638))),MAX(0,1*H638-(I657-MIN(MAX(I657,0),H638)))))</f>
        <v>48520.300593785541</v>
      </c>
      <c r="I658" s="18">
        <f>IF($A658&gt;30,I657,(I657-H638+H658)*(1+$B$7))</f>
        <v>48172.207564416014</v>
      </c>
      <c r="J658" s="18">
        <f t="shared" si="68"/>
        <v>450265.39655852091</v>
      </c>
      <c r="K658" s="18">
        <f>IF($A658&gt;30,0,(K638-MIN(MAX(L657,0),K638))+MIN(MAX(0,M657-(K638-MIN(MAX(L657,0),K638))),MAX(0,1*K638-(L657-MIN(MAX(L657,0),K638)))))</f>
        <v>48173.062546325069</v>
      </c>
      <c r="L658" s="18">
        <f>IF($A658&gt;30,L657,(L657-K638+K658)*(1+$B$7))</f>
        <v>47827.460662772319</v>
      </c>
      <c r="M658" s="18">
        <f t="shared" si="69"/>
        <v>459226.59938818496</v>
      </c>
      <c r="N658" s="18">
        <f>IF($A658&gt;30,0,(N638-MIN(MAX(O657,0),N638))+MIN(MAX(0,P657-(N638-MIN(MAX(O657,0),N638))),MAX(0,1*N638-(O657-MIN(MAX(O657,0),N638)))))</f>
        <v>48173.139118201208</v>
      </c>
      <c r="O658" s="18">
        <f>IF($A658&gt;30,O657,(O657-N638+N658)*(1+$B$7))</f>
        <v>47827.536685308565</v>
      </c>
      <c r="P658" s="18">
        <f t="shared" si="70"/>
        <v>459224.6232910424</v>
      </c>
      <c r="Q658" s="18">
        <f>IF($A658&gt;30,0,(Q638-MIN(MAX(R657,0),Q638))+MIN(MAX(0,S657-(Q638-MIN(MAX(R657,0),Q638))),MAX(0,1*Q638-(R657-MIN(MAX(R657,0),Q638)))))</f>
        <v>48173.139144658046</v>
      </c>
      <c r="R658" s="18">
        <f>IF($A658&gt;30,R657,(R657-Q638+Q658)*(1+$B$7))</f>
        <v>47827.536711575602</v>
      </c>
      <c r="S658" s="18">
        <f t="shared" si="71"/>
        <v>459224.62260826951</v>
      </c>
    </row>
    <row r="659" spans="1:19">
      <c r="A659" s="10">
        <f>19</f>
        <v>19</v>
      </c>
      <c r="B659" s="18">
        <f>IF($A659&gt;30,0,(B638-MIN(MAX(C658,0),B638))+MIN(MAX(0,D658-(B638-MIN(MAX(C658,0),B638))),MAX(0,1*B638-(C658-MIN(MAX(C658,0),B638)))))</f>
        <v>30108</v>
      </c>
      <c r="C659" s="18">
        <f>IF($A659&gt;30,C658,(C658-B638+B659)*(1+$B$7))</f>
        <v>29892</v>
      </c>
      <c r="D659" s="18">
        <f t="shared" si="66"/>
        <v>922185.01502429694</v>
      </c>
      <c r="E659" s="18">
        <f>IF($A659&gt;30,0,(E638-MIN(MAX(F658,0),E638))+MIN(MAX(0,G658-(E638-MIN(MAX(F658,0),E638))),MAX(0,1*E638-(F658-MIN(MAX(F658,0),E638)))))</f>
        <v>75000</v>
      </c>
      <c r="F659" s="18">
        <f>IF($A659&gt;30,F658,(F658-E638+E659)*(1+$B$7))</f>
        <v>0</v>
      </c>
      <c r="G659" s="18">
        <f t="shared" si="67"/>
        <v>-239509.19124619468</v>
      </c>
      <c r="H659" s="18">
        <f>IF($A659&gt;30,0,(H638-MIN(MAX(I658,0),H638))+MIN(MAX(0,J658-(H638-MIN(MAX(I658,0),H638))),MAX(0,1*H638-(I658-MIN(MAX(I658,0),H638)))))</f>
        <v>48520.300593785541</v>
      </c>
      <c r="I659" s="18">
        <f>IF($A659&gt;30,I658,(I658-H638+H659)*(1+$B$7))</f>
        <v>48172.207564416014</v>
      </c>
      <c r="J659" s="18">
        <f t="shared" si="68"/>
        <v>413797.44884367747</v>
      </c>
      <c r="K659" s="18">
        <f>IF($A659&gt;30,0,(K638-MIN(MAX(L658,0),K638))+MIN(MAX(0,M658-(K638-MIN(MAX(L658,0),K638))),MAX(0,1*K638-(L658-MIN(MAX(L658,0),K638)))))</f>
        <v>48173.062546325069</v>
      </c>
      <c r="L659" s="18">
        <f>IF($A659&gt;30,L658,(L658-K638+K659)*(1+$B$7))</f>
        <v>47827.460662772319</v>
      </c>
      <c r="M659" s="18">
        <f t="shared" si="69"/>
        <v>423385.14294711564</v>
      </c>
      <c r="N659" s="18">
        <f>IF($A659&gt;30,0,(N638-MIN(MAX(O658,0),N638))+MIN(MAX(0,P658-(N638-MIN(MAX(O658,0),N638))),MAX(0,1*N638-(O658-MIN(MAX(O658,0),N638)))))</f>
        <v>48173.139118201208</v>
      </c>
      <c r="O659" s="18">
        <f>IF($A659&gt;30,O658,(O658-N638+N659)*(1+$B$7))</f>
        <v>47827.536685308565</v>
      </c>
      <c r="P659" s="18">
        <f t="shared" si="70"/>
        <v>423383.02869802644</v>
      </c>
      <c r="Q659" s="18">
        <f>IF($A659&gt;30,0,(Q638-MIN(MAX(R658,0),Q638))+MIN(MAX(0,S658-(Q638-MIN(MAX(R658,0),Q638))),MAX(0,1*Q638-(R658-MIN(MAX(R658,0),Q638)))))</f>
        <v>48173.139144658046</v>
      </c>
      <c r="R659" s="18">
        <f>IF($A659&gt;30,R658,(R658-Q638+Q659)*(1+$B$7))</f>
        <v>47827.536711575602</v>
      </c>
      <c r="S659" s="18">
        <f t="shared" si="71"/>
        <v>423383.02796751983</v>
      </c>
    </row>
    <row r="660" spans="1:19">
      <c r="A660" s="10">
        <f>20</f>
        <v>20</v>
      </c>
      <c r="B660" s="18">
        <f>IF($A660&gt;30,0,(B638-MIN(MAX(C659,0),B638))+MIN(MAX(0,D659-(B638-MIN(MAX(C659,0),B638))),MAX(0,1*B638-(C659-MIN(MAX(C659,0),B638)))))</f>
        <v>30108</v>
      </c>
      <c r="C660" s="18">
        <f>IF($A660&gt;30,C659,(C659-B638+B660)*(1+$B$7))</f>
        <v>29892</v>
      </c>
      <c r="D660" s="18">
        <f t="shared" si="66"/>
        <v>918839.32547502592</v>
      </c>
      <c r="E660" s="18">
        <f>IF($A660&gt;30,0,(E638-MIN(MAX(F659,0),E638))+MIN(MAX(0,G659-(E638-MIN(MAX(F659,0),E638))),MAX(0,1*E638-(F659-MIN(MAX(F659,0),E638)))))</f>
        <v>75000</v>
      </c>
      <c r="F660" s="18">
        <f>IF($A660&gt;30,F659,(F659-E638+E660)*(1+$B$7))</f>
        <v>0</v>
      </c>
      <c r="G660" s="18">
        <f t="shared" si="67"/>
        <v>-323944.4669835805</v>
      </c>
      <c r="H660" s="18">
        <f>IF($A660&gt;30,0,(H638-MIN(MAX(I659,0),H638))+MIN(MAX(0,J659-(H638-MIN(MAX(I659,0),H638))),MAX(0,1*H638-(I659-MIN(MAX(I659,0),H638)))))</f>
        <v>48520.300593785541</v>
      </c>
      <c r="I660" s="18">
        <f>IF($A660&gt;30,I659,(I659-H638+H660)*(1+$B$7))</f>
        <v>48172.207564416014</v>
      </c>
      <c r="J660" s="18">
        <f t="shared" si="68"/>
        <v>376235.46269738872</v>
      </c>
      <c r="K660" s="18">
        <f>IF($A660&gt;30,0,(K638-MIN(MAX(L659,0),K638))+MIN(MAX(0,M659-(K638-MIN(MAX(L659,0),K638))),MAX(0,1*K638-(L659-MIN(MAX(L659,0),K638)))))</f>
        <v>48173.062546325069</v>
      </c>
      <c r="L660" s="18">
        <f>IF($A660&gt;30,L659,(L659-K638+K660)*(1+$B$7))</f>
        <v>47827.460662772319</v>
      </c>
      <c r="M660" s="18">
        <f t="shared" si="69"/>
        <v>386468.44281281426</v>
      </c>
      <c r="N660" s="18">
        <f>IF($A660&gt;30,0,(N638-MIN(MAX(O659,0),N638))+MIN(MAX(0,P659-(N638-MIN(MAX(O659,0),N638))),MAX(0,1*N638-(O659-MIN(MAX(O659,0),N638)))))</f>
        <v>48173.139118201208</v>
      </c>
      <c r="O660" s="18">
        <f>IF($A660&gt;30,O659,(O659-N638+N660)*(1+$B$7))</f>
        <v>47827.536685308565</v>
      </c>
      <c r="P660" s="18">
        <f t="shared" si="70"/>
        <v>386466.18626722001</v>
      </c>
      <c r="Q660" s="18">
        <f>IF($A660&gt;30,0,(Q638-MIN(MAX(R659,0),Q638))+MIN(MAX(0,S659-(Q638-MIN(MAX(R659,0),Q638))),MAX(0,1*Q638-(R659-MIN(MAX(R659,0),Q638)))))</f>
        <v>48173.139144658046</v>
      </c>
      <c r="R660" s="18">
        <f>IF($A660&gt;30,R659,(R659-Q638+Q660)*(1+$B$7))</f>
        <v>47827.536711575602</v>
      </c>
      <c r="S660" s="18">
        <f t="shared" si="71"/>
        <v>386466.18548754766</v>
      </c>
    </row>
    <row r="661" spans="1:19">
      <c r="A661" s="10">
        <f>21</f>
        <v>21</v>
      </c>
      <c r="B661" s="18">
        <f>IF($A661&gt;30,0,(B638-MIN(MAX(C660,0),B638))+MIN(MAX(0,D660-(B638-MIN(MAX(C660,0),B638))),MAX(0,1*B638-(C660-MIN(MAX(C660,0),B638)))))</f>
        <v>30108</v>
      </c>
      <c r="C661" s="18">
        <f>IF($A661&gt;30,C660,(C660-B638+B661)*(1+$B$7))</f>
        <v>29892</v>
      </c>
      <c r="D661" s="18">
        <f t="shared" si="66"/>
        <v>915393.26523927669</v>
      </c>
      <c r="E661" s="18">
        <f>IF($A661&gt;30,0,(E638-MIN(MAX(F660,0),E638))+MIN(MAX(0,G660-(E638-MIN(MAX(F660,0),E638))),MAX(0,1*E638-(F660-MIN(MAX(F660,0),E638)))))</f>
        <v>75000</v>
      </c>
      <c r="F661" s="18">
        <f>IF($A661&gt;30,F660,(F660-E638+E661)*(1+$B$7))</f>
        <v>0</v>
      </c>
      <c r="G661" s="18">
        <f t="shared" si="67"/>
        <v>-410912.80099308793</v>
      </c>
      <c r="H661" s="18">
        <f>IF($A661&gt;30,0,(H638-MIN(MAX(I660,0),H638))+MIN(MAX(0,J660-(H638-MIN(MAX(I660,0),H638))),MAX(0,1*H638-(I660-MIN(MAX(I660,0),H638)))))</f>
        <v>48520.300593785541</v>
      </c>
      <c r="I661" s="18">
        <f>IF($A661&gt;30,I660,(I660-H638+H661)*(1+$B$7))</f>
        <v>48172.207564416014</v>
      </c>
      <c r="J661" s="18">
        <f t="shared" si="68"/>
        <v>337546.6169667113</v>
      </c>
      <c r="K661" s="18">
        <f>IF($A661&gt;30,0,(K638-MIN(MAX(L660,0),K638))+MIN(MAX(0,M660-(K638-MIN(MAX(L660,0),K638))),MAX(0,1*K638-(L660-MIN(MAX(L660,0),K638)))))</f>
        <v>48173.062546325069</v>
      </c>
      <c r="L661" s="18">
        <f>IF($A661&gt;30,L660,(L660-K638+K661)*(1+$B$7))</f>
        <v>47827.460662772319</v>
      </c>
      <c r="M661" s="18">
        <f t="shared" si="69"/>
        <v>348444.24167448387</v>
      </c>
      <c r="N661" s="18">
        <f>IF($A661&gt;30,0,(N638-MIN(MAX(O660,0),N638))+MIN(MAX(0,P660-(N638-MIN(MAX(O660,0),N638))),MAX(0,1*N638-(O660-MIN(MAX(O660,0),N638)))))</f>
        <v>48173.139118201208</v>
      </c>
      <c r="O661" s="18">
        <f>IF($A661&gt;30,O660,(O660-N638+N661)*(1+$B$7))</f>
        <v>47827.536685308565</v>
      </c>
      <c r="P661" s="18">
        <f t="shared" si="70"/>
        <v>348441.83856348938</v>
      </c>
      <c r="Q661" s="18">
        <f>IF($A661&gt;30,0,(Q638-MIN(MAX(R660,0),Q638))+MIN(MAX(0,S660-(Q638-MIN(MAX(R660,0),Q638))),MAX(0,1*Q638-(R660-MIN(MAX(R660,0),Q638)))))</f>
        <v>48173.139144658046</v>
      </c>
      <c r="R661" s="18">
        <f>IF($A661&gt;30,R660,(R660-Q638+Q661)*(1+$B$7))</f>
        <v>47827.536711575602</v>
      </c>
      <c r="S661" s="18">
        <f t="shared" si="71"/>
        <v>348441.8377331763</v>
      </c>
    </row>
    <row r="662" spans="1:19">
      <c r="A662" s="10">
        <f>22</f>
        <v>22</v>
      </c>
      <c r="B662" s="18">
        <f>IF($A662&gt;30,0,(B638-MIN(MAX(C661,0),B638))+MIN(MAX(0,D661-(B638-MIN(MAX(C661,0),B638))),MAX(0,1*B638-(C661-MIN(MAX(C661,0),B638)))))</f>
        <v>30108</v>
      </c>
      <c r="C662" s="18">
        <f>IF($A662&gt;30,C661,(C661-B638+B662)*(1+$B$7))</f>
        <v>29892</v>
      </c>
      <c r="D662" s="18">
        <f t="shared" si="66"/>
        <v>911843.82319645502</v>
      </c>
      <c r="E662" s="18">
        <f>IF($A662&gt;30,0,(E638-MIN(MAX(F661,0),E638))+MIN(MAX(0,G661-(E638-MIN(MAX(F661,0),E638))),MAX(0,1*E638-(F661-MIN(MAX(F661,0),E638)))))</f>
        <v>75000</v>
      </c>
      <c r="F662" s="18">
        <f>IF($A662&gt;30,F661,(F661-E638+E662)*(1+$B$7))</f>
        <v>0</v>
      </c>
      <c r="G662" s="18">
        <f t="shared" si="67"/>
        <v>-500490.18502288061</v>
      </c>
      <c r="H662" s="18">
        <f>IF($A662&gt;30,0,(H638-MIN(MAX(I661,0),H638))+MIN(MAX(0,J661-(H638-MIN(MAX(I661,0),H638))),MAX(0,1*H638-(I661-MIN(MAX(I661,0),H638)))))</f>
        <v>48520.300593785541</v>
      </c>
      <c r="I662" s="18">
        <f>IF($A662&gt;30,I661,(I661-H638+H662)*(1+$B$7))</f>
        <v>48172.207564416014</v>
      </c>
      <c r="J662" s="18">
        <f t="shared" si="68"/>
        <v>297697.10586411355</v>
      </c>
      <c r="K662" s="18">
        <f>IF($A662&gt;30,0,(K638-MIN(MAX(L661,0),K638))+MIN(MAX(0,M661-(K638-MIN(MAX(L661,0),K638))),MAX(0,1*K638-(L661-MIN(MAX(L661,0),K638)))))</f>
        <v>48173.062546325069</v>
      </c>
      <c r="L662" s="18">
        <f>IF($A662&gt;30,L661,(L661-K638+K662)*(1+$B$7))</f>
        <v>47827.460662772319</v>
      </c>
      <c r="M662" s="18">
        <f t="shared" si="69"/>
        <v>309279.31450200354</v>
      </c>
      <c r="N662" s="18">
        <f>IF($A662&gt;30,0,(N638-MIN(MAX(O661,0),N638))+MIN(MAX(0,P661-(N638-MIN(MAX(O661,0),N638))),MAX(0,1*N638-(O661-MIN(MAX(O661,0),N638)))))</f>
        <v>48173.139118201208</v>
      </c>
      <c r="O662" s="18">
        <f>IF($A662&gt;30,O661,(O661-N638+N662)*(1+$B$7))</f>
        <v>47827.536685308565</v>
      </c>
      <c r="P662" s="18">
        <f t="shared" si="70"/>
        <v>309276.76042864681</v>
      </c>
      <c r="Q662" s="18">
        <f>IF($A662&gt;30,0,(Q638-MIN(MAX(R661,0),Q638))+MIN(MAX(0,S661-(Q638-MIN(MAX(R661,0),Q638))),MAX(0,1*Q638-(R661-MIN(MAX(R661,0),Q638)))))</f>
        <v>48173.139144658046</v>
      </c>
      <c r="R662" s="18">
        <f>IF($A662&gt;30,R661,(R661-Q638+Q662)*(1+$B$7))</f>
        <v>47827.536711575602</v>
      </c>
      <c r="S662" s="18">
        <f t="shared" si="71"/>
        <v>309276.75954617379</v>
      </c>
    </row>
    <row r="663" spans="1:19">
      <c r="A663" s="10">
        <f>23</f>
        <v>23</v>
      </c>
      <c r="B663" s="18">
        <f>IF($A663&gt;30,0,(B638-MIN(MAX(C662,0),B638))+MIN(MAX(0,D662-(B638-MIN(MAX(C662,0),B638))),MAX(0,1*B638-(C662-MIN(MAX(C662,0),B638)))))</f>
        <v>30108</v>
      </c>
      <c r="C663" s="18">
        <f>IF($A663&gt;30,C662,(C662-B638+B663)*(1+$B$7))</f>
        <v>29892</v>
      </c>
      <c r="D663" s="18">
        <f t="shared" si="66"/>
        <v>908187.8978923487</v>
      </c>
      <c r="E663" s="18">
        <f>IF($A663&gt;30,0,(E638-MIN(MAX(F662,0),E638))+MIN(MAX(0,G662-(E638-MIN(MAX(F662,0),E638))),MAX(0,1*E638-(F662-MIN(MAX(F662,0),E638)))))</f>
        <v>75000</v>
      </c>
      <c r="F663" s="18">
        <f>IF($A663&gt;30,F662,(F662-E638+E663)*(1+$B$7))</f>
        <v>0</v>
      </c>
      <c r="G663" s="18">
        <f t="shared" si="67"/>
        <v>-592754.89057356701</v>
      </c>
      <c r="H663" s="18">
        <f>IF($A663&gt;30,0,(H638-MIN(MAX(I662,0),H638))+MIN(MAX(0,J662-(H638-MIN(MAX(I662,0),H638))),MAX(0,1*H638-(I662-MIN(MAX(I662,0),H638)))))</f>
        <v>48520.300593785541</v>
      </c>
      <c r="I663" s="18">
        <f>IF($A663&gt;30,I662,(I662-H638+H663)*(1+$B$7))</f>
        <v>48172.207564416014</v>
      </c>
      <c r="J663" s="18">
        <f t="shared" si="68"/>
        <v>256652.10942843786</v>
      </c>
      <c r="K663" s="18">
        <f>IF($A663&gt;30,0,(K638-MIN(MAX(L662,0),K638))+MIN(MAX(0,M662-(K638-MIN(MAX(L662,0),K638))),MAX(0,1*K638-(L662-MIN(MAX(L662,0),K638)))))</f>
        <v>48173.062546325069</v>
      </c>
      <c r="L663" s="18">
        <f>IF($A663&gt;30,L662,(L662-K638+K663)*(1+$B$7))</f>
        <v>47827.460662772319</v>
      </c>
      <c r="M663" s="18">
        <f t="shared" si="69"/>
        <v>268939.43951434887</v>
      </c>
      <c r="N663" s="18">
        <f>IF($A663&gt;30,0,(N638-MIN(MAX(O662,0),N638))+MIN(MAX(0,P662-(N638-MIN(MAX(O662,0),N638))),MAX(0,1*N638-(O662-MIN(MAX(O662,0),N638)))))</f>
        <v>48173.139118201208</v>
      </c>
      <c r="O663" s="18">
        <f>IF($A663&gt;30,O662,(O662-N638+N663)*(1+$B$7))</f>
        <v>47827.536685308565</v>
      </c>
      <c r="P663" s="18">
        <f t="shared" si="70"/>
        <v>268936.72994975897</v>
      </c>
      <c r="Q663" s="18">
        <f>IF($A663&gt;30,0,(Q638-MIN(MAX(R662,0),Q638))+MIN(MAX(0,S662-(Q638-MIN(MAX(R662,0),Q638))),MAX(0,1*Q638-(R662-MIN(MAX(R662,0),Q638)))))</f>
        <v>48173.139144658046</v>
      </c>
      <c r="R663" s="18">
        <f>IF($A663&gt;30,R662,(R662-Q638+Q663)*(1+$B$7))</f>
        <v>47827.536711575602</v>
      </c>
      <c r="S663" s="18">
        <f t="shared" si="71"/>
        <v>268936.72901356121</v>
      </c>
    </row>
    <row r="664" spans="1:19">
      <c r="A664" s="10">
        <f>24</f>
        <v>24</v>
      </c>
      <c r="B664" s="18">
        <f>IF($A664&gt;30,0,(B638-MIN(MAX(C663,0),B638))+MIN(MAX(0,D663-(B638-MIN(MAX(C663,0),B638))),MAX(0,1*B638-(C663-MIN(MAX(C663,0),B638)))))</f>
        <v>30108</v>
      </c>
      <c r="C664" s="18">
        <f>IF($A664&gt;30,C663,(C663-B638+B664)*(1+$B$7))</f>
        <v>29892</v>
      </c>
      <c r="D664" s="18">
        <f t="shared" si="66"/>
        <v>904422.29482911923</v>
      </c>
      <c r="E664" s="18">
        <f>IF($A664&gt;30,0,(E638-MIN(MAX(F663,0),E638))+MIN(MAX(0,G663-(E638-MIN(MAX(F663,0),E638))),MAX(0,1*E638-(F663-MIN(MAX(F663,0),E638)))))</f>
        <v>75000</v>
      </c>
      <c r="F664" s="18">
        <f>IF($A664&gt;30,F663,(F663-E638+E664)*(1+$B$7))</f>
        <v>0</v>
      </c>
      <c r="G664" s="18">
        <f t="shared" si="67"/>
        <v>-687787.53729077405</v>
      </c>
      <c r="H664" s="18">
        <f>IF($A664&gt;30,0,(H638-MIN(MAX(I663,0),H638))+MIN(MAX(0,J663-(H638-MIN(MAX(I663,0),H638))),MAX(0,1*H638-(I663-MIN(MAX(I663,0),H638)))))</f>
        <v>48520.300593785541</v>
      </c>
      <c r="I664" s="18">
        <f>IF($A664&gt;30,I663,(I663-H638+H664)*(1+$B$7))</f>
        <v>48172.207564416014</v>
      </c>
      <c r="J664" s="18">
        <f t="shared" si="68"/>
        <v>214375.76309969192</v>
      </c>
      <c r="K664" s="18">
        <f>IF($A664&gt;30,0,(K638-MIN(MAX(L663,0),K638))+MIN(MAX(0,M663-(K638-MIN(MAX(L663,0),K638))),MAX(0,1*K638-(L663-MIN(MAX(L663,0),K638)))))</f>
        <v>48173.062546325069</v>
      </c>
      <c r="L664" s="18">
        <f>IF($A664&gt;30,L663,(L663-K638+K664)*(1+$B$7))</f>
        <v>47827.460662772319</v>
      </c>
      <c r="M664" s="18">
        <f t="shared" si="69"/>
        <v>227389.36827706452</v>
      </c>
      <c r="N664" s="18">
        <f>IF($A664&gt;30,0,(N638-MIN(MAX(O663,0),N638))+MIN(MAX(0,P663-(N638-MIN(MAX(O663,0),N638))),MAX(0,1*N638-(O663-MIN(MAX(O663,0),N638)))))</f>
        <v>48173.139118201208</v>
      </c>
      <c r="O664" s="18">
        <f>IF($A664&gt;30,O663,(O663-N638+N664)*(1+$B$7))</f>
        <v>47827.536685308565</v>
      </c>
      <c r="P664" s="18">
        <f t="shared" si="70"/>
        <v>227386.49855650449</v>
      </c>
      <c r="Q664" s="18">
        <f>IF($A664&gt;30,0,(Q638-MIN(MAX(R663,0),Q638))+MIN(MAX(0,S663-(Q638-MIN(MAX(R663,0),Q638))),MAX(0,1*Q638-(R663-MIN(MAX(R663,0),Q638)))))</f>
        <v>48173.139144658046</v>
      </c>
      <c r="R664" s="18">
        <f>IF($A664&gt;30,R663,(R663-Q638+Q664)*(1+$B$7))</f>
        <v>47827.536711575602</v>
      </c>
      <c r="S664" s="18">
        <f t="shared" si="71"/>
        <v>227386.49756497025</v>
      </c>
    </row>
    <row r="665" spans="1:19">
      <c r="A665" s="10">
        <f>25</f>
        <v>25</v>
      </c>
      <c r="B665" s="18">
        <f>IF($A665&gt;30,0,(B638-MIN(MAX(C664,0),B638))+MIN(MAX(0,D664-(B638-MIN(MAX(C664,0),B638))),MAX(0,1*B638-(C664-MIN(MAX(C664,0),B638)))))</f>
        <v>30108</v>
      </c>
      <c r="C665" s="18">
        <f>IF($A665&gt;30,C664,(C664-B638+B665)*(1+$B$7))</f>
        <v>29892</v>
      </c>
      <c r="D665" s="18">
        <f t="shared" si="66"/>
        <v>900543.72367399279</v>
      </c>
      <c r="E665" s="18">
        <f>IF($A665&gt;30,0,(E638-MIN(MAX(F664,0),E638))+MIN(MAX(0,G664-(E638-MIN(MAX(F664,0),E638))),MAX(0,1*E638-(F664-MIN(MAX(F664,0),E638)))))</f>
        <v>75000</v>
      </c>
      <c r="F665" s="18">
        <f>IF($A665&gt;30,F664,(F664-E638+E665)*(1+$B$7))</f>
        <v>0</v>
      </c>
      <c r="G665" s="18">
        <f t="shared" si="67"/>
        <v>-785671.16340949724</v>
      </c>
      <c r="H665" s="18">
        <f>IF($A665&gt;30,0,(H638-MIN(MAX(I664,0),H638))+MIN(MAX(0,J664-(H638-MIN(MAX(I664,0),H638))),MAX(0,1*H638-(I664-MIN(MAX(I664,0),H638)))))</f>
        <v>48520.300593785541</v>
      </c>
      <c r="I665" s="18">
        <f>IF($A665&gt;30,I664,(I664-H638+H665)*(1+$B$7))</f>
        <v>48172.207564416014</v>
      </c>
      <c r="J665" s="18">
        <f t="shared" si="68"/>
        <v>170831.12638108357</v>
      </c>
      <c r="K665" s="18">
        <f>IF($A665&gt;30,0,(K638-MIN(MAX(L664,0),K638))+MIN(MAX(0,M664-(K638-MIN(MAX(L664,0),K638))),MAX(0,1*K638-(L664-MIN(MAX(L664,0),K638)))))</f>
        <v>48173.062546325069</v>
      </c>
      <c r="L665" s="18">
        <f>IF($A665&gt;30,L664,(L664-K638+K665)*(1+$B$7))</f>
        <v>47827.460662772319</v>
      </c>
      <c r="M665" s="18">
        <f t="shared" si="69"/>
        <v>184592.79490266164</v>
      </c>
      <c r="N665" s="18">
        <f>IF($A665&gt;30,0,(N638-MIN(MAX(O664,0),N638))+MIN(MAX(0,P664-(N638-MIN(MAX(O664,0),N638))),MAX(0,1*N638-(O664-MIN(MAX(O664,0),N638)))))</f>
        <v>48173.139118201208</v>
      </c>
      <c r="O665" s="18">
        <f>IF($A665&gt;30,O664,(O664-N638+N665)*(1+$B$7))</f>
        <v>47827.536685308565</v>
      </c>
      <c r="P665" s="18">
        <f t="shared" si="70"/>
        <v>184589.76022145236</v>
      </c>
      <c r="Q665" s="18">
        <f>IF($A665&gt;30,0,(Q638-MIN(MAX(R664,0),Q638))+MIN(MAX(0,S664-(Q638-MIN(MAX(R664,0),Q638))),MAX(0,1*Q638-(R664-MIN(MAX(R664,0),Q638)))))</f>
        <v>48173.139144658046</v>
      </c>
      <c r="R665" s="18">
        <f>IF($A665&gt;30,R664,(R664-Q638+Q665)*(1+$B$7))</f>
        <v>47827.536711575602</v>
      </c>
      <c r="S665" s="18">
        <f t="shared" si="71"/>
        <v>184589.75917292156</v>
      </c>
    </row>
    <row r="666" spans="1:19">
      <c r="A666" s="10">
        <f>26</f>
        <v>26</v>
      </c>
      <c r="B666" s="18">
        <f>IF($A666&gt;30,0,(B638-MIN(MAX(C665,0),B638))+MIN(MAX(0,D665-(B638-MIN(MAX(C665,0),B638))),MAX(0,1*B638-(C665-MIN(MAX(C665,0),B638)))))</f>
        <v>30108</v>
      </c>
      <c r="C666" s="18">
        <f>IF($A666&gt;30,C665,(C665-B638+B666)*(1+$B$7))</f>
        <v>29892</v>
      </c>
      <c r="D666" s="18">
        <f t="shared" si="66"/>
        <v>896548.79538421263</v>
      </c>
      <c r="E666" s="18">
        <f>IF($A666&gt;30,0,(E638-MIN(MAX(F665,0),E638))+MIN(MAX(0,G665-(E638-MIN(MAX(F665,0),E638))),MAX(0,1*E638-(F665-MIN(MAX(F665,0),E638)))))</f>
        <v>75000</v>
      </c>
      <c r="F666" s="18">
        <f>IF($A666&gt;30,F665,(F665-E638+E666)*(1+$B$7))</f>
        <v>0</v>
      </c>
      <c r="G666" s="18">
        <f t="shared" si="67"/>
        <v>-886491.29831178219</v>
      </c>
      <c r="H666" s="18">
        <f>IF($A666&gt;30,0,(H638-MIN(MAX(I665,0),H638))+MIN(MAX(0,J665-(H638-MIN(MAX(I665,0),H638))),MAX(0,1*H638-(I665-MIN(MAX(I665,0),H638)))))</f>
        <v>48520.300593785541</v>
      </c>
      <c r="I666" s="18">
        <f>IF($A666&gt;30,I665,(I665-H638+H666)*(1+$B$7))</f>
        <v>48172.207564416014</v>
      </c>
      <c r="J666" s="18">
        <f t="shared" si="68"/>
        <v>125980.15056091698</v>
      </c>
      <c r="K666" s="18">
        <f>IF($A666&gt;30,0,(K638-MIN(MAX(L665,0),K638))+MIN(MAX(0,M665-(K638-MIN(MAX(L665,0),K638))),MAX(0,1*K638-(L665-MIN(MAX(L665,0),K638)))))</f>
        <v>48173.062546325069</v>
      </c>
      <c r="L666" s="18">
        <f>IF($A666&gt;30,L665,(L665-K638+K666)*(1+$B$7))</f>
        <v>47827.460662772319</v>
      </c>
      <c r="M666" s="18">
        <f t="shared" si="69"/>
        <v>140512.32432702667</v>
      </c>
      <c r="N666" s="18">
        <f>IF($A666&gt;30,0,(N638-MIN(MAX(O665,0),N638))+MIN(MAX(0,P665-(N638-MIN(MAX(O665,0),N638))),MAX(0,1*N638-(O665-MIN(MAX(O665,0),N638)))))</f>
        <v>48173.139118201208</v>
      </c>
      <c r="O666" s="18">
        <f>IF($A666&gt;30,O665,(O665-N638+N666)*(1+$B$7))</f>
        <v>47827.536685308565</v>
      </c>
      <c r="P666" s="18">
        <f t="shared" si="70"/>
        <v>140509.11973634869</v>
      </c>
      <c r="Q666" s="18">
        <f>IF($A666&gt;30,0,(Q638-MIN(MAX(R665,0),Q638))+MIN(MAX(0,S665-(Q638-MIN(MAX(R665,0),Q638))),MAX(0,1*Q638-(R665-MIN(MAX(R665,0),Q638)))))</f>
        <v>48173.139144658046</v>
      </c>
      <c r="R666" s="18">
        <f>IF($A666&gt;30,R665,(R665-Q638+Q666)*(1+$B$7))</f>
        <v>47827.536711575602</v>
      </c>
      <c r="S666" s="18">
        <f t="shared" si="71"/>
        <v>140509.11862911141</v>
      </c>
    </row>
    <row r="667" spans="1:19">
      <c r="A667" s="10">
        <f>27</f>
        <v>27</v>
      </c>
      <c r="B667" s="18">
        <f>IF($A667&gt;30,0,(B638-MIN(MAX(C666,0),B638))+MIN(MAX(0,D666-(B638-MIN(MAX(C666,0),B638))),MAX(0,1*B638-(C666-MIN(MAX(C666,0),B638)))))</f>
        <v>30108</v>
      </c>
      <c r="C667" s="18">
        <f>IF($A667&gt;30,C666,(C666-B638+B667)*(1+$B$7))</f>
        <v>29892</v>
      </c>
      <c r="D667" s="18">
        <f t="shared" si="66"/>
        <v>892434.01924573898</v>
      </c>
      <c r="E667" s="18">
        <f>IF($A667&gt;30,0,(E638-MIN(MAX(F666,0),E638))+MIN(MAX(0,G666-(E638-MIN(MAX(F666,0),E638))),MAX(0,1*E638-(F666-MIN(MAX(F666,0),E638)))))</f>
        <v>75000</v>
      </c>
      <c r="F667" s="18">
        <f>IF($A667&gt;30,F666,(F666-E638+E667)*(1+$B$7))</f>
        <v>0</v>
      </c>
      <c r="G667" s="18">
        <f t="shared" si="67"/>
        <v>-990336.03726113564</v>
      </c>
      <c r="H667" s="18">
        <f>IF($A667&gt;30,0,(H638-MIN(MAX(I666,0),H638))+MIN(MAX(0,J666-(H638-MIN(MAX(I666,0),H638))),MAX(0,1*H638-(I666-MIN(MAX(I666,0),H638)))))</f>
        <v>48520.300593785541</v>
      </c>
      <c r="I667" s="18">
        <f>IF($A667&gt;30,I666,(I666-H638+H667)*(1+$B$7))</f>
        <v>48172.207564416014</v>
      </c>
      <c r="J667" s="18">
        <f t="shared" si="68"/>
        <v>79783.64546614539</v>
      </c>
      <c r="K667" s="18">
        <f>IF($A667&gt;30,0,(K638-MIN(MAX(L666,0),K638))+MIN(MAX(0,M666-(K638-MIN(MAX(L666,0),K638))),MAX(0,1*K638-(L666-MIN(MAX(L666,0),K638)))))</f>
        <v>48173.062546325069</v>
      </c>
      <c r="L667" s="18">
        <f>IF($A667&gt;30,L666,(L666-K638+K667)*(1+$B$7))</f>
        <v>47827.460662772319</v>
      </c>
      <c r="M667" s="18">
        <f t="shared" si="69"/>
        <v>95109.439634122653</v>
      </c>
      <c r="N667" s="18">
        <f>IF($A667&gt;30,0,(N638-MIN(MAX(O666,0),N638))+MIN(MAX(0,P666-(N638-MIN(MAX(O666,0),N638))),MAX(0,1*N638-(O666-MIN(MAX(O666,0),N638)))))</f>
        <v>48173.139118201208</v>
      </c>
      <c r="O667" s="18">
        <f>IF($A667&gt;30,O666,(O666-N638+N667)*(1+$B$7))</f>
        <v>47827.536685308565</v>
      </c>
      <c r="P667" s="18">
        <f t="shared" si="70"/>
        <v>95106.060036691895</v>
      </c>
      <c r="Q667" s="18">
        <f>IF($A667&gt;30,0,(Q638-MIN(MAX(R666,0),Q638))+MIN(MAX(0,S666-(Q638-MIN(MAX(R666,0),Q638))),MAX(0,1*Q638-(R666-MIN(MAX(R666,0),Q638)))))</f>
        <v>48173.139144658046</v>
      </c>
      <c r="R667" s="18">
        <f>IF($A667&gt;30,R666,(R666-Q638+Q667)*(1+$B$7))</f>
        <v>47827.536711575602</v>
      </c>
      <c r="S667" s="18">
        <f t="shared" si="71"/>
        <v>95106.058868986962</v>
      </c>
    </row>
    <row r="668" spans="1:19">
      <c r="A668" s="10">
        <f>28</f>
        <v>28</v>
      </c>
      <c r="B668" s="18">
        <f>IF($A668&gt;30,0,(B638-MIN(MAX(C667,0),B638))+MIN(MAX(0,D667-(B638-MIN(MAX(C667,0),B638))),MAX(0,1*B638-(C667-MIN(MAX(C667,0),B638)))))</f>
        <v>30108</v>
      </c>
      <c r="C668" s="18">
        <f>IF($A668&gt;30,C667,(C667-B638+B668)*(1+$B$7))</f>
        <v>29892</v>
      </c>
      <c r="D668" s="18">
        <f t="shared" si="66"/>
        <v>888195.79982311116</v>
      </c>
      <c r="E668" s="18">
        <f>IF($A668&gt;30,0,(E638-MIN(MAX(F667,0),E638))+MIN(MAX(0,G667-(E638-MIN(MAX(F667,0),E638))),MAX(0,1*E638-(F667-MIN(MAX(F667,0),E638)))))</f>
        <v>75000</v>
      </c>
      <c r="F668" s="18">
        <f>IF($A668&gt;30,F667,(F667-E638+E668)*(1+$B$7))</f>
        <v>0</v>
      </c>
      <c r="G668" s="18">
        <f t="shared" si="67"/>
        <v>-1097296.1183789698</v>
      </c>
      <c r="H668" s="18">
        <f>IF($A668&gt;30,0,(H638-MIN(MAX(I667,0),H638))+MIN(MAX(0,J667-(H638-MIN(MAX(I667,0),H638))),MAX(0,1*H638-(I667-MIN(MAX(I667,0),H638)))))</f>
        <v>48520.300593785541</v>
      </c>
      <c r="I668" s="18">
        <f>IF($A668&gt;30,I667,(I667-H638+H668)*(1+$B$7))</f>
        <v>48172.207564416014</v>
      </c>
      <c r="J668" s="18">
        <f t="shared" si="68"/>
        <v>32201.245218530647</v>
      </c>
      <c r="K668" s="18">
        <f>IF($A668&gt;30,0,(K638-MIN(MAX(L667,0),K638))+MIN(MAX(0,M667-(K638-MIN(MAX(L667,0),K638))),MAX(0,1*K638-(L667-MIN(MAX(L667,0),K638)))))</f>
        <v>48173.062546325069</v>
      </c>
      <c r="L668" s="18">
        <f>IF($A668&gt;30,L667,(L667-K638+K668)*(1+$B$7))</f>
        <v>47827.460662772319</v>
      </c>
      <c r="M668" s="18">
        <f t="shared" si="69"/>
        <v>48344.468400431513</v>
      </c>
      <c r="N668" s="18">
        <f>IF($A668&gt;30,0,(N638-MIN(MAX(O667,0),N638))+MIN(MAX(0,P667-(N638-MIN(MAX(O667,0),N638))),MAX(0,1*N638-(O667-MIN(MAX(O667,0),N638)))))</f>
        <v>48173.139118201208</v>
      </c>
      <c r="O668" s="18">
        <f>IF($A668&gt;30,O667,(O667-N638+N668)*(1+$B$7))</f>
        <v>47827.536685308565</v>
      </c>
      <c r="P668" s="18">
        <f t="shared" si="70"/>
        <v>48340.908546045408</v>
      </c>
      <c r="Q668" s="18">
        <f>IF($A668&gt;30,0,(Q638-MIN(MAX(R667,0),Q638))+MIN(MAX(0,S667-(Q638-MIN(MAX(R667,0),Q638))),MAX(0,1*Q638-(R667-MIN(MAX(R667,0),Q638)))))</f>
        <v>48173.139144658046</v>
      </c>
      <c r="R668" s="18">
        <f>IF($A668&gt;30,R667,(R667-Q638+Q668)*(1+$B$7))</f>
        <v>47827.536711575602</v>
      </c>
      <c r="S668" s="18">
        <f t="shared" si="71"/>
        <v>48340.907316058787</v>
      </c>
    </row>
    <row r="669" spans="1:19">
      <c r="A669" s="10">
        <f>29</f>
        <v>29</v>
      </c>
      <c r="B669" s="18">
        <f>IF($A669&gt;30,0,(B638-MIN(MAX(C668,0),B638))+MIN(MAX(0,D668-(B638-MIN(MAX(C668,0),B638))),MAX(0,1*B638-(C668-MIN(MAX(C668,0),B638)))))</f>
        <v>30108</v>
      </c>
      <c r="C669" s="18">
        <f>IF($A669&gt;30,C668,(C668-B638+B669)*(1+$B$7))</f>
        <v>29892</v>
      </c>
      <c r="D669" s="18">
        <f t="shared" si="66"/>
        <v>883830.43381780456</v>
      </c>
      <c r="E669" s="18">
        <f>IF($A669&gt;30,0,(E638-MIN(MAX(F668,0),E638))+MIN(MAX(0,G668-(E638-MIN(MAX(F668,0),E638))),MAX(0,1*E638-(F668-MIN(MAX(F668,0),E638)))))</f>
        <v>75000</v>
      </c>
      <c r="F669" s="18">
        <f>IF($A669&gt;30,F668,(F668-E638+E669)*(1+$B$7))</f>
        <v>0</v>
      </c>
      <c r="G669" s="18">
        <f t="shared" si="67"/>
        <v>-1207465.001930339</v>
      </c>
      <c r="H669" s="18">
        <f>IF($A669&gt;30,0,(H638-MIN(MAX(I668,0),H638))+MIN(MAX(0,J668-(H638-MIN(MAX(I668,0),H638))),MAX(0,1*H638-(I668-MIN(MAX(I668,0),H638)))))</f>
        <v>32201.245218530647</v>
      </c>
      <c r="I669" s="18">
        <f>IF($A669&gt;30,I668,(I668-H638+H669)*(1+$B$7))</f>
        <v>31911.900788512037</v>
      </c>
      <c r="J669" s="18">
        <f t="shared" si="68"/>
        <v>0</v>
      </c>
      <c r="K669" s="18">
        <f>IF($A669&gt;30,0,(K638-MIN(MAX(L668,0),K638))+MIN(MAX(0,M668-(K638-MIN(MAX(L668,0),K638))),MAX(0,1*K638-(L668-MIN(MAX(L668,0),K638)))))</f>
        <v>48173.062546325069</v>
      </c>
      <c r="L669" s="18">
        <f>IF($A669&gt;30,L668,(L668-K638+K669)*(1+$B$7))</f>
        <v>47827.460662772319</v>
      </c>
      <c r="M669" s="18">
        <f t="shared" si="69"/>
        <v>176.54802972963751</v>
      </c>
      <c r="N669" s="18">
        <f>IF($A669&gt;30,0,(N638-MIN(MAX(O668,0),N638))+MIN(MAX(0,P668-(N638-MIN(MAX(O668,0),N638))),MAX(0,1*N638-(O668-MIN(MAX(O668,0),N638)))))</f>
        <v>48173.139118201208</v>
      </c>
      <c r="O669" s="18">
        <f>IF($A669&gt;30,O668,(O668-N638+N669)*(1+$B$7))</f>
        <v>47827.536685308565</v>
      </c>
      <c r="P669" s="18">
        <f t="shared" si="70"/>
        <v>172.80251067952551</v>
      </c>
      <c r="Q669" s="18">
        <f>IF($A669&gt;30,0,(Q638-MIN(MAX(R668,0),Q638))+MIN(MAX(0,S668-(Q638-MIN(MAX(R668,0),Q638))),MAX(0,1*Q638-(R668-MIN(MAX(R668,0),Q638)))))</f>
        <v>48173.139144658046</v>
      </c>
      <c r="R669" s="18">
        <f>IF($A669&gt;30,R668,(R668-Q638+Q669)*(1+$B$7))</f>
        <v>47827.536711575602</v>
      </c>
      <c r="S669" s="18">
        <f t="shared" si="71"/>
        <v>172.80121654276351</v>
      </c>
    </row>
    <row r="670" spans="1:19">
      <c r="A670" s="10">
        <f>30</f>
        <v>30</v>
      </c>
      <c r="B670" s="18">
        <f>IF($A670&gt;30,0,(B638-MIN(MAX(C669,0),B638))+MIN(MAX(0,D669-(B638-MIN(MAX(C669,0),B638))),MAX(0,1*B638-(C669-MIN(MAX(C669,0),B638)))))</f>
        <v>30108</v>
      </c>
      <c r="C670" s="18">
        <f>IF($A670&gt;30,C669,(C669-B638+B670)*(1+$B$7))</f>
        <v>29892</v>
      </c>
      <c r="D670" s="18">
        <f t="shared" si="66"/>
        <v>879334.10683233873</v>
      </c>
      <c r="E670" s="18">
        <f>IF($A670&gt;30,0,(E638-MIN(MAX(F669,0),E638))+MIN(MAX(0,G669-(E638-MIN(MAX(F669,0),E638))),MAX(0,1*E638-(F669-MIN(MAX(F669,0),E638)))))</f>
        <v>75000</v>
      </c>
      <c r="F670" s="18">
        <f>IF($A670&gt;30,F669,(F669-E638+E670)*(1+$B$7))</f>
        <v>0</v>
      </c>
      <c r="G670" s="18">
        <f t="shared" si="67"/>
        <v>-1320938.9519882493</v>
      </c>
      <c r="H670" s="18">
        <f>IF($A670&gt;30,0,(H638-MIN(MAX(I669,0),H638))+MIN(MAX(0,J669-(H638-MIN(MAX(I669,0),H638))),MAX(0,1*H638-(I669-MIN(MAX(I669,0),H638)))))</f>
        <v>16434.35329058874</v>
      </c>
      <c r="I670" s="18">
        <f>IF($A670&gt;30,I669,(I669-H638+H670)*(1+$B$7))</f>
        <v>0</v>
      </c>
      <c r="J670" s="18">
        <f t="shared" si="68"/>
        <v>-16927.383889306402</v>
      </c>
      <c r="K670" s="18">
        <f>IF($A670&gt;30,0,(K638-MIN(MAX(L669,0),K638))+MIN(MAX(0,M669-(K638-MIN(MAX(L669,0),K638))),MAX(0,1*K638-(L669-MIN(MAX(L669,0),K638)))))</f>
        <v>176.54802972963751</v>
      </c>
      <c r="L670" s="18">
        <f>IF($A670&gt;30,L669,(L669-K638+K670)*(1+$B$7))</f>
        <v>3.7335984366306492</v>
      </c>
      <c r="M670" s="18">
        <f t="shared" si="69"/>
        <v>0</v>
      </c>
      <c r="N670" s="18">
        <f>IF($A670&gt;30,0,(N638-MIN(MAX(O669,0),N638))+MIN(MAX(0,P669-(N638-MIN(MAX(O669,0),N638))),MAX(0,1*N638-(O669-MIN(MAX(O669,0),N638)))))</f>
        <v>172.80251067952551</v>
      </c>
      <c r="O670" s="18">
        <f>IF($A670&gt;30,O669,(O669-N638+N670)*(1+$B$7))</f>
        <v>1.2895739643450383E-3</v>
      </c>
      <c r="P670" s="18">
        <f t="shared" si="70"/>
        <v>0</v>
      </c>
      <c r="Q670" s="18">
        <f>IF($A670&gt;30,0,(Q638-MIN(MAX(R669,0),Q638))+MIN(MAX(0,S669-(Q638-MIN(MAX(R669,0),Q638))),MAX(0,1*Q638-(R669-MIN(MAX(R669,0),Q638)))))</f>
        <v>172.80121654276351</v>
      </c>
      <c r="R670" s="18">
        <f>IF($A670&gt;30,R669,(R669-Q638+Q670)*(1+$B$7))</f>
        <v>1.5360154634436185E-9</v>
      </c>
      <c r="S670" s="18">
        <f t="shared" si="71"/>
        <v>0</v>
      </c>
    </row>
    <row r="671" spans="1:19">
      <c r="A671" s="10">
        <f>31</f>
        <v>31</v>
      </c>
      <c r="B671" s="18">
        <f>IF($A671&gt;30,0,(B638-MIN(MAX(C670,0),B638))+MIN(MAX(0,D670-(B638-MIN(MAX(C670,0),B638))),MAX(0,1*B638-(C670-MIN(MAX(C670,0),B638)))))</f>
        <v>0</v>
      </c>
      <c r="C671" s="18">
        <f>IF($A671&gt;30,C670,(C670-B638+B671)*(1+$B$7))</f>
        <v>29892</v>
      </c>
      <c r="D671" s="18">
        <f t="shared" si="66"/>
        <v>879334.10683233873</v>
      </c>
      <c r="E671" s="18">
        <f>IF($A671&gt;30,0,(E638-MIN(MAX(F670,0),E638))+MIN(MAX(0,G670-(E638-MIN(MAX(F670,0),E638))),MAX(0,1*E638-(F670-MIN(MAX(F670,0),E638)))))</f>
        <v>0</v>
      </c>
      <c r="F671" s="18">
        <f>IF($A671&gt;30,F670,(F670-E638+E671)*(1+$B$7))</f>
        <v>0</v>
      </c>
      <c r="G671" s="18">
        <f t="shared" si="67"/>
        <v>-1320938.9519882493</v>
      </c>
      <c r="H671" s="18">
        <f>IF($A671&gt;30,0,(H638-MIN(MAX(I670,0),H638))+MIN(MAX(0,J670-(H638-MIN(MAX(I670,0),H638))),MAX(0,1*H638-(I670-MIN(MAX(I670,0),H638)))))</f>
        <v>0</v>
      </c>
      <c r="I671" s="18">
        <f>IF($A671&gt;30,I670,(I670-H638+H671)*(1+$B$7))</f>
        <v>0</v>
      </c>
      <c r="J671" s="18">
        <f t="shared" si="68"/>
        <v>-16927.383889306402</v>
      </c>
      <c r="K671" s="18">
        <f>IF($A671&gt;30,0,(K638-MIN(MAX(L670,0),K638))+MIN(MAX(0,M670-(K638-MIN(MAX(L670,0),K638))),MAX(0,1*K638-(L670-MIN(MAX(L670,0),K638)))))</f>
        <v>0</v>
      </c>
      <c r="L671" s="18">
        <f>IF($A671&gt;30,L670,(L670-K638+K671)*(1+$B$7))</f>
        <v>3.7335984366306492</v>
      </c>
      <c r="M671" s="18">
        <f t="shared" si="69"/>
        <v>0</v>
      </c>
      <c r="N671" s="18">
        <f>IF($A671&gt;30,0,(N638-MIN(MAX(O670,0),N638))+MIN(MAX(0,P670-(N638-MIN(MAX(O670,0),N638))),MAX(0,1*N638-(O670-MIN(MAX(O670,0),N638)))))</f>
        <v>0</v>
      </c>
      <c r="O671" s="18">
        <f>IF($A671&gt;30,O670,(O670-N638+N671)*(1+$B$7))</f>
        <v>1.2895739643450383E-3</v>
      </c>
      <c r="P671" s="18">
        <f t="shared" si="70"/>
        <v>0</v>
      </c>
      <c r="Q671" s="18">
        <f>IF($A671&gt;30,0,(Q638-MIN(MAX(R670,0),Q638))+MIN(MAX(0,S670-(Q638-MIN(MAX(R670,0),Q638))),MAX(0,1*Q638-(R670-MIN(MAX(R670,0),Q638)))))</f>
        <v>0</v>
      </c>
      <c r="R671" s="18">
        <f>IF($A671&gt;30,R670,(R670-Q638+Q671)*(1+$B$7))</f>
        <v>1.5360154634436185E-9</v>
      </c>
      <c r="S671" s="18">
        <f t="shared" si="71"/>
        <v>0</v>
      </c>
    </row>
    <row r="672" spans="1:19">
      <c r="A672" s="10">
        <f>32</f>
        <v>32</v>
      </c>
      <c r="B672" s="18">
        <f>IF($A672&gt;30,0,(B638-MIN(MAX(C671,0),B638))+MIN(MAX(0,D671-(B638-MIN(MAX(C671,0),B638))),MAX(0,1*B638-(C671-MIN(MAX(C671,0),B638)))))</f>
        <v>0</v>
      </c>
      <c r="C672" s="18">
        <f>IF($A672&gt;30,C671,(C671-B638+B672)*(1+$B$7))</f>
        <v>29892</v>
      </c>
      <c r="D672" s="18">
        <f t="shared" si="66"/>
        <v>879334.10683233873</v>
      </c>
      <c r="E672" s="18">
        <f>IF($A672&gt;30,0,(E638-MIN(MAX(F671,0),E638))+MIN(MAX(0,G671-(E638-MIN(MAX(F671,0),E638))),MAX(0,1*E638-(F671-MIN(MAX(F671,0),E638)))))</f>
        <v>0</v>
      </c>
      <c r="F672" s="18">
        <f>IF($A672&gt;30,F671,(F671-E638+E672)*(1+$B$7))</f>
        <v>0</v>
      </c>
      <c r="G672" s="18">
        <f t="shared" si="67"/>
        <v>-1320938.9519882493</v>
      </c>
      <c r="H672" s="18">
        <f>IF($A672&gt;30,0,(H638-MIN(MAX(I671,0),H638))+MIN(MAX(0,J671-(H638-MIN(MAX(I671,0),H638))),MAX(0,1*H638-(I671-MIN(MAX(I671,0),H638)))))</f>
        <v>0</v>
      </c>
      <c r="I672" s="18">
        <f>IF($A672&gt;30,I671,(I671-H638+H672)*(1+$B$7))</f>
        <v>0</v>
      </c>
      <c r="J672" s="18">
        <f t="shared" si="68"/>
        <v>-16927.383889306402</v>
      </c>
      <c r="K672" s="18">
        <f>IF($A672&gt;30,0,(K638-MIN(MAX(L671,0),K638))+MIN(MAX(0,M671-(K638-MIN(MAX(L671,0),K638))),MAX(0,1*K638-(L671-MIN(MAX(L671,0),K638)))))</f>
        <v>0</v>
      </c>
      <c r="L672" s="18">
        <f>IF($A672&gt;30,L671,(L671-K638+K672)*(1+$B$7))</f>
        <v>3.7335984366306492</v>
      </c>
      <c r="M672" s="18">
        <f t="shared" si="69"/>
        <v>0</v>
      </c>
      <c r="N672" s="18">
        <f>IF($A672&gt;30,0,(N638-MIN(MAX(O671,0),N638))+MIN(MAX(0,P671-(N638-MIN(MAX(O671,0),N638))),MAX(0,1*N638-(O671-MIN(MAX(O671,0),N638)))))</f>
        <v>0</v>
      </c>
      <c r="O672" s="18">
        <f>IF($A672&gt;30,O671,(O671-N638+N672)*(1+$B$7))</f>
        <v>1.2895739643450383E-3</v>
      </c>
      <c r="P672" s="18">
        <f t="shared" si="70"/>
        <v>0</v>
      </c>
      <c r="Q672" s="18">
        <f>IF($A672&gt;30,0,(Q638-MIN(MAX(R671,0),Q638))+MIN(MAX(0,S671-(Q638-MIN(MAX(R671,0),Q638))),MAX(0,1*Q638-(R671-MIN(MAX(R671,0),Q638)))))</f>
        <v>0</v>
      </c>
      <c r="R672" s="18">
        <f>IF($A672&gt;30,R671,(R671-Q638+Q672)*(1+$B$7))</f>
        <v>1.5360154634436185E-9</v>
      </c>
      <c r="S672" s="18">
        <f t="shared" si="71"/>
        <v>0</v>
      </c>
    </row>
    <row r="673" spans="1:19">
      <c r="A673" s="10">
        <f>33</f>
        <v>33</v>
      </c>
      <c r="B673" s="18">
        <f>IF($A673&gt;30,0,(B638-MIN(MAX(C672,0),B638))+MIN(MAX(0,D672-(B638-MIN(MAX(C672,0),B638))),MAX(0,1*B638-(C672-MIN(MAX(C672,0),B638)))))</f>
        <v>0</v>
      </c>
      <c r="C673" s="18">
        <f>IF($A673&gt;30,C672,(C672-B638+B673)*(1+$B$7))</f>
        <v>29892</v>
      </c>
      <c r="D673" s="18">
        <f t="shared" si="66"/>
        <v>879334.10683233873</v>
      </c>
      <c r="E673" s="18">
        <f>IF($A673&gt;30,0,(E638-MIN(MAX(F672,0),E638))+MIN(MAX(0,G672-(E638-MIN(MAX(F672,0),E638))),MAX(0,1*E638-(F672-MIN(MAX(F672,0),E638)))))</f>
        <v>0</v>
      </c>
      <c r="F673" s="18">
        <f>IF($A673&gt;30,F672,(F672-E638+E673)*(1+$B$7))</f>
        <v>0</v>
      </c>
      <c r="G673" s="18">
        <f t="shared" si="67"/>
        <v>-1320938.9519882493</v>
      </c>
      <c r="H673" s="18">
        <f>IF($A673&gt;30,0,(H638-MIN(MAX(I672,0),H638))+MIN(MAX(0,J672-(H638-MIN(MAX(I672,0),H638))),MAX(0,1*H638-(I672-MIN(MAX(I672,0),H638)))))</f>
        <v>0</v>
      </c>
      <c r="I673" s="18">
        <f>IF($A673&gt;30,I672,(I672-H638+H673)*(1+$B$7))</f>
        <v>0</v>
      </c>
      <c r="J673" s="18">
        <f t="shared" si="68"/>
        <v>-16927.383889306402</v>
      </c>
      <c r="K673" s="18">
        <f>IF($A673&gt;30,0,(K638-MIN(MAX(L672,0),K638))+MIN(MAX(0,M672-(K638-MIN(MAX(L672,0),K638))),MAX(0,1*K638-(L672-MIN(MAX(L672,0),K638)))))</f>
        <v>0</v>
      </c>
      <c r="L673" s="18">
        <f>IF($A673&gt;30,L672,(L672-K638+K673)*(1+$B$7))</f>
        <v>3.7335984366306492</v>
      </c>
      <c r="M673" s="18">
        <f t="shared" si="69"/>
        <v>0</v>
      </c>
      <c r="N673" s="18">
        <f>IF($A673&gt;30,0,(N638-MIN(MAX(O672,0),N638))+MIN(MAX(0,P672-(N638-MIN(MAX(O672,0),N638))),MAX(0,1*N638-(O672-MIN(MAX(O672,0),N638)))))</f>
        <v>0</v>
      </c>
      <c r="O673" s="18">
        <f>IF($A673&gt;30,O672,(O672-N638+N673)*(1+$B$7))</f>
        <v>1.2895739643450383E-3</v>
      </c>
      <c r="P673" s="18">
        <f t="shared" si="70"/>
        <v>0</v>
      </c>
      <c r="Q673" s="18">
        <f>IF($A673&gt;30,0,(Q638-MIN(MAX(R672,0),Q638))+MIN(MAX(0,S672-(Q638-MIN(MAX(R672,0),Q638))),MAX(0,1*Q638-(R672-MIN(MAX(R672,0),Q638)))))</f>
        <v>0</v>
      </c>
      <c r="R673" s="18">
        <f>IF($A673&gt;30,R672,(R672-Q638+Q673)*(1+$B$7))</f>
        <v>1.5360154634436185E-9</v>
      </c>
      <c r="S673" s="18">
        <f t="shared" si="71"/>
        <v>0</v>
      </c>
    </row>
    <row r="674" spans="1:19">
      <c r="A674" s="10">
        <f>34</f>
        <v>34</v>
      </c>
      <c r="B674" s="18">
        <f>IF($A674&gt;30,0,(B638-MIN(MAX(C673,0),B638))+MIN(MAX(0,D673-(B638-MIN(MAX(C673,0),B638))),MAX(0,1*B638-(C673-MIN(MAX(C673,0),B638)))))</f>
        <v>0</v>
      </c>
      <c r="C674" s="18">
        <f>IF($A674&gt;30,C673,(C673-B638+B674)*(1+$B$7))</f>
        <v>29892</v>
      </c>
      <c r="D674" s="18">
        <f t="shared" si="66"/>
        <v>879334.10683233873</v>
      </c>
      <c r="E674" s="18">
        <f>IF($A674&gt;30,0,(E638-MIN(MAX(F673,0),E638))+MIN(MAX(0,G673-(E638-MIN(MAX(F673,0),E638))),MAX(0,1*E638-(F673-MIN(MAX(F673,0),E638)))))</f>
        <v>0</v>
      </c>
      <c r="F674" s="18">
        <f>IF($A674&gt;30,F673,(F673-E638+E674)*(1+$B$7))</f>
        <v>0</v>
      </c>
      <c r="G674" s="18">
        <f t="shared" si="67"/>
        <v>-1320938.9519882493</v>
      </c>
      <c r="H674" s="18">
        <f>IF($A674&gt;30,0,(H638-MIN(MAX(I673,0),H638))+MIN(MAX(0,J673-(H638-MIN(MAX(I673,0),H638))),MAX(0,1*H638-(I673-MIN(MAX(I673,0),H638)))))</f>
        <v>0</v>
      </c>
      <c r="I674" s="18">
        <f>IF($A674&gt;30,I673,(I673-H638+H674)*(1+$B$7))</f>
        <v>0</v>
      </c>
      <c r="J674" s="18">
        <f t="shared" si="68"/>
        <v>-16927.383889306402</v>
      </c>
      <c r="K674" s="18">
        <f>IF($A674&gt;30,0,(K638-MIN(MAX(L673,0),K638))+MIN(MAX(0,M673-(K638-MIN(MAX(L673,0),K638))),MAX(0,1*K638-(L673-MIN(MAX(L673,0),K638)))))</f>
        <v>0</v>
      </c>
      <c r="L674" s="18">
        <f>IF($A674&gt;30,L673,(L673-K638+K674)*(1+$B$7))</f>
        <v>3.7335984366306492</v>
      </c>
      <c r="M674" s="18">
        <f t="shared" si="69"/>
        <v>0</v>
      </c>
      <c r="N674" s="18">
        <f>IF($A674&gt;30,0,(N638-MIN(MAX(O673,0),N638))+MIN(MAX(0,P673-(N638-MIN(MAX(O673,0),N638))),MAX(0,1*N638-(O673-MIN(MAX(O673,0),N638)))))</f>
        <v>0</v>
      </c>
      <c r="O674" s="18">
        <f>IF($A674&gt;30,O673,(O673-N638+N674)*(1+$B$7))</f>
        <v>1.2895739643450383E-3</v>
      </c>
      <c r="P674" s="18">
        <f t="shared" si="70"/>
        <v>0</v>
      </c>
      <c r="Q674" s="18">
        <f>IF($A674&gt;30,0,(Q638-MIN(MAX(R673,0),Q638))+MIN(MAX(0,S673-(Q638-MIN(MAX(R673,0),Q638))),MAX(0,1*Q638-(R673-MIN(MAX(R673,0),Q638)))))</f>
        <v>0</v>
      </c>
      <c r="R674" s="18">
        <f>IF($A674&gt;30,R673,(R673-Q638+Q674)*(1+$B$7))</f>
        <v>1.5360154634436185E-9</v>
      </c>
      <c r="S674" s="18">
        <f t="shared" si="71"/>
        <v>0</v>
      </c>
    </row>
    <row r="675" spans="1:19">
      <c r="A675" s="10">
        <f>35</f>
        <v>35</v>
      </c>
      <c r="B675" s="18">
        <f>IF($A675&gt;30,0,(B638-MIN(MAX(C674,0),B638))+MIN(MAX(0,D674-(B638-MIN(MAX(C674,0),B638))),MAX(0,1*B638-(C674-MIN(MAX(C674,0),B638)))))</f>
        <v>0</v>
      </c>
      <c r="C675" s="18">
        <f>IF($A675&gt;30,C674,(C674-B638+B675)*(1+$B$7))</f>
        <v>29892</v>
      </c>
      <c r="D675" s="18">
        <f t="shared" si="66"/>
        <v>879334.10683233873</v>
      </c>
      <c r="E675" s="18">
        <f>IF($A675&gt;30,0,(E638-MIN(MAX(F674,0),E638))+MIN(MAX(0,G674-(E638-MIN(MAX(F674,0),E638))),MAX(0,1*E638-(F674-MIN(MAX(F674,0),E638)))))</f>
        <v>0</v>
      </c>
      <c r="F675" s="18">
        <f>IF($A675&gt;30,F674,(F674-E638+E675)*(1+$B$7))</f>
        <v>0</v>
      </c>
      <c r="G675" s="18">
        <f t="shared" si="67"/>
        <v>-1320938.9519882493</v>
      </c>
      <c r="H675" s="18">
        <f>IF($A675&gt;30,0,(H638-MIN(MAX(I674,0),H638))+MIN(MAX(0,J674-(H638-MIN(MAX(I674,0),H638))),MAX(0,1*H638-(I674-MIN(MAX(I674,0),H638)))))</f>
        <v>0</v>
      </c>
      <c r="I675" s="18">
        <f>IF($A675&gt;30,I674,(I674-H638+H675)*(1+$B$7))</f>
        <v>0</v>
      </c>
      <c r="J675" s="18">
        <f t="shared" si="68"/>
        <v>-16927.383889306402</v>
      </c>
      <c r="K675" s="18">
        <f>IF($A675&gt;30,0,(K638-MIN(MAX(L674,0),K638))+MIN(MAX(0,M674-(K638-MIN(MAX(L674,0),K638))),MAX(0,1*K638-(L674-MIN(MAX(L674,0),K638)))))</f>
        <v>0</v>
      </c>
      <c r="L675" s="18">
        <f>IF($A675&gt;30,L674,(L674-K638+K675)*(1+$B$7))</f>
        <v>3.7335984366306492</v>
      </c>
      <c r="M675" s="18">
        <f t="shared" si="69"/>
        <v>0</v>
      </c>
      <c r="N675" s="18">
        <f>IF($A675&gt;30,0,(N638-MIN(MAX(O674,0),N638))+MIN(MAX(0,P674-(N638-MIN(MAX(O674,0),N638))),MAX(0,1*N638-(O674-MIN(MAX(O674,0),N638)))))</f>
        <v>0</v>
      </c>
      <c r="O675" s="18">
        <f>IF($A675&gt;30,O674,(O674-N638+N675)*(1+$B$7))</f>
        <v>1.2895739643450383E-3</v>
      </c>
      <c r="P675" s="18">
        <f t="shared" si="70"/>
        <v>0</v>
      </c>
      <c r="Q675" s="18">
        <f>IF($A675&gt;30,0,(Q638-MIN(MAX(R674,0),Q638))+MIN(MAX(0,S674-(Q638-MIN(MAX(R674,0),Q638))),MAX(0,1*Q638-(R674-MIN(MAX(R674,0),Q638)))))</f>
        <v>0</v>
      </c>
      <c r="R675" s="18">
        <f>IF($A675&gt;30,R674,(R674-Q638+Q675)*(1+$B$7))</f>
        <v>1.5360154634436185E-9</v>
      </c>
      <c r="S675" s="18">
        <f t="shared" si="71"/>
        <v>0</v>
      </c>
    </row>
    <row r="676" spans="1:19">
      <c r="A676" s="10">
        <f>36</f>
        <v>36</v>
      </c>
      <c r="B676" s="18">
        <f>IF($A676&gt;30,0,(B638-MIN(MAX(C675,0),B638))+MIN(MAX(0,D675-(B638-MIN(MAX(C675,0),B638))),MAX(0,1*B638-(C675-MIN(MAX(C675,0),B638)))))</f>
        <v>0</v>
      </c>
      <c r="C676" s="18">
        <f>IF($A676&gt;30,C675,(C675-B638+B676)*(1+$B$7))</f>
        <v>29892</v>
      </c>
      <c r="D676" s="18">
        <f t="shared" si="66"/>
        <v>879334.10683233873</v>
      </c>
      <c r="E676" s="18">
        <f>IF($A676&gt;30,0,(E638-MIN(MAX(F675,0),E638))+MIN(MAX(0,G675-(E638-MIN(MAX(F675,0),E638))),MAX(0,1*E638-(F675-MIN(MAX(F675,0),E638)))))</f>
        <v>0</v>
      </c>
      <c r="F676" s="18">
        <f>IF($A676&gt;30,F675,(F675-E638+E676)*(1+$B$7))</f>
        <v>0</v>
      </c>
      <c r="G676" s="18">
        <f t="shared" si="67"/>
        <v>-1320938.9519882493</v>
      </c>
      <c r="H676" s="18">
        <f>IF($A676&gt;30,0,(H638-MIN(MAX(I675,0),H638))+MIN(MAX(0,J675-(H638-MIN(MAX(I675,0),H638))),MAX(0,1*H638-(I675-MIN(MAX(I675,0),H638)))))</f>
        <v>0</v>
      </c>
      <c r="I676" s="18">
        <f>IF($A676&gt;30,I675,(I675-H638+H676)*(1+$B$7))</f>
        <v>0</v>
      </c>
      <c r="J676" s="18">
        <f t="shared" si="68"/>
        <v>-16927.383889306402</v>
      </c>
      <c r="K676" s="18">
        <f>IF($A676&gt;30,0,(K638-MIN(MAX(L675,0),K638))+MIN(MAX(0,M675-(K638-MIN(MAX(L675,0),K638))),MAX(0,1*K638-(L675-MIN(MAX(L675,0),K638)))))</f>
        <v>0</v>
      </c>
      <c r="L676" s="18">
        <f>IF($A676&gt;30,L675,(L675-K638+K676)*(1+$B$7))</f>
        <v>3.7335984366306492</v>
      </c>
      <c r="M676" s="18">
        <f t="shared" si="69"/>
        <v>0</v>
      </c>
      <c r="N676" s="18">
        <f>IF($A676&gt;30,0,(N638-MIN(MAX(O675,0),N638))+MIN(MAX(0,P675-(N638-MIN(MAX(O675,0),N638))),MAX(0,1*N638-(O675-MIN(MAX(O675,0),N638)))))</f>
        <v>0</v>
      </c>
      <c r="O676" s="18">
        <f>IF($A676&gt;30,O675,(O675-N638+N676)*(1+$B$7))</f>
        <v>1.2895739643450383E-3</v>
      </c>
      <c r="P676" s="18">
        <f t="shared" si="70"/>
        <v>0</v>
      </c>
      <c r="Q676" s="18">
        <f>IF($A676&gt;30,0,(Q638-MIN(MAX(R675,0),Q638))+MIN(MAX(0,S675-(Q638-MIN(MAX(R675,0),Q638))),MAX(0,1*Q638-(R675-MIN(MAX(R675,0),Q638)))))</f>
        <v>0</v>
      </c>
      <c r="R676" s="18">
        <f>IF($A676&gt;30,R675,(R675-Q638+Q676)*(1+$B$7))</f>
        <v>1.5360154634436185E-9</v>
      </c>
      <c r="S676" s="18">
        <f t="shared" si="71"/>
        <v>0</v>
      </c>
    </row>
    <row r="677" spans="1:19">
      <c r="A677" s="10">
        <f>37</f>
        <v>37</v>
      </c>
      <c r="B677" s="18">
        <f>IF($A677&gt;30,0,(B638-MIN(MAX(C676,0),B638))+MIN(MAX(0,D676-(B638-MIN(MAX(C676,0),B638))),MAX(0,1*B638-(C676-MIN(MAX(C676,0),B638)))))</f>
        <v>0</v>
      </c>
      <c r="C677" s="18">
        <f>IF($A677&gt;30,C676,(C676-B638+B677)*(1+$B$7))</f>
        <v>29892</v>
      </c>
      <c r="D677" s="18">
        <f t="shared" si="66"/>
        <v>879334.10683233873</v>
      </c>
      <c r="E677" s="18">
        <f>IF($A677&gt;30,0,(E638-MIN(MAX(F676,0),E638))+MIN(MAX(0,G676-(E638-MIN(MAX(F676,0),E638))),MAX(0,1*E638-(F676-MIN(MAX(F676,0),E638)))))</f>
        <v>0</v>
      </c>
      <c r="F677" s="18">
        <f>IF($A677&gt;30,F676,(F676-E638+E677)*(1+$B$7))</f>
        <v>0</v>
      </c>
      <c r="G677" s="18">
        <f t="shared" si="67"/>
        <v>-1320938.9519882493</v>
      </c>
      <c r="H677" s="18">
        <f>IF($A677&gt;30,0,(H638-MIN(MAX(I676,0),H638))+MIN(MAX(0,J676-(H638-MIN(MAX(I676,0),H638))),MAX(0,1*H638-(I676-MIN(MAX(I676,0),H638)))))</f>
        <v>0</v>
      </c>
      <c r="I677" s="18">
        <f>IF($A677&gt;30,I676,(I676-H638+H677)*(1+$B$7))</f>
        <v>0</v>
      </c>
      <c r="J677" s="18">
        <f t="shared" si="68"/>
        <v>-16927.383889306402</v>
      </c>
      <c r="K677" s="18">
        <f>IF($A677&gt;30,0,(K638-MIN(MAX(L676,0),K638))+MIN(MAX(0,M676-(K638-MIN(MAX(L676,0),K638))),MAX(0,1*K638-(L676-MIN(MAX(L676,0),K638)))))</f>
        <v>0</v>
      </c>
      <c r="L677" s="18">
        <f>IF($A677&gt;30,L676,(L676-K638+K677)*(1+$B$7))</f>
        <v>3.7335984366306492</v>
      </c>
      <c r="M677" s="18">
        <f t="shared" si="69"/>
        <v>0</v>
      </c>
      <c r="N677" s="18">
        <f>IF($A677&gt;30,0,(N638-MIN(MAX(O676,0),N638))+MIN(MAX(0,P676-(N638-MIN(MAX(O676,0),N638))),MAX(0,1*N638-(O676-MIN(MAX(O676,0),N638)))))</f>
        <v>0</v>
      </c>
      <c r="O677" s="18">
        <f>IF($A677&gt;30,O676,(O676-N638+N677)*(1+$B$7))</f>
        <v>1.2895739643450383E-3</v>
      </c>
      <c r="P677" s="18">
        <f t="shared" si="70"/>
        <v>0</v>
      </c>
      <c r="Q677" s="18">
        <f>IF($A677&gt;30,0,(Q638-MIN(MAX(R676,0),Q638))+MIN(MAX(0,S676-(Q638-MIN(MAX(R676,0),Q638))),MAX(0,1*Q638-(R676-MIN(MAX(R676,0),Q638)))))</f>
        <v>0</v>
      </c>
      <c r="R677" s="18">
        <f>IF($A677&gt;30,R676,(R676-Q638+Q677)*(1+$B$7))</f>
        <v>1.5360154634436185E-9</v>
      </c>
      <c r="S677" s="18">
        <f t="shared" si="71"/>
        <v>0</v>
      </c>
    </row>
    <row r="678" spans="1:19">
      <c r="A678" s="10">
        <f>38</f>
        <v>38</v>
      </c>
      <c r="B678" s="18">
        <f>IF($A678&gt;30,0,(B638-MIN(MAX(C677,0),B638))+MIN(MAX(0,D677-(B638-MIN(MAX(C677,0),B638))),MAX(0,1*B638-(C677-MIN(MAX(C677,0),B638)))))</f>
        <v>0</v>
      </c>
      <c r="C678" s="18">
        <f>IF($A678&gt;30,C677,(C677-B638+B678)*(1+$B$7))</f>
        <v>29892</v>
      </c>
      <c r="D678" s="18">
        <f t="shared" si="66"/>
        <v>879334.10683233873</v>
      </c>
      <c r="E678" s="18">
        <f>IF($A678&gt;30,0,(E638-MIN(MAX(F677,0),E638))+MIN(MAX(0,G677-(E638-MIN(MAX(F677,0),E638))),MAX(0,1*E638-(F677-MIN(MAX(F677,0),E638)))))</f>
        <v>0</v>
      </c>
      <c r="F678" s="18">
        <f>IF($A678&gt;30,F677,(F677-E638+E678)*(1+$B$7))</f>
        <v>0</v>
      </c>
      <c r="G678" s="18">
        <f t="shared" si="67"/>
        <v>-1320938.9519882493</v>
      </c>
      <c r="H678" s="18">
        <f>IF($A678&gt;30,0,(H638-MIN(MAX(I677,0),H638))+MIN(MAX(0,J677-(H638-MIN(MAX(I677,0),H638))),MAX(0,1*H638-(I677-MIN(MAX(I677,0),H638)))))</f>
        <v>0</v>
      </c>
      <c r="I678" s="18">
        <f>IF($A678&gt;30,I677,(I677-H638+H678)*(1+$B$7))</f>
        <v>0</v>
      </c>
      <c r="J678" s="18">
        <f t="shared" si="68"/>
        <v>-16927.383889306402</v>
      </c>
      <c r="K678" s="18">
        <f>IF($A678&gt;30,0,(K638-MIN(MAX(L677,0),K638))+MIN(MAX(0,M677-(K638-MIN(MAX(L677,0),K638))),MAX(0,1*K638-(L677-MIN(MAX(L677,0),K638)))))</f>
        <v>0</v>
      </c>
      <c r="L678" s="18">
        <f>IF($A678&gt;30,L677,(L677-K638+K678)*(1+$B$7))</f>
        <v>3.7335984366306492</v>
      </c>
      <c r="M678" s="18">
        <f t="shared" si="69"/>
        <v>0</v>
      </c>
      <c r="N678" s="18">
        <f>IF($A678&gt;30,0,(N638-MIN(MAX(O677,0),N638))+MIN(MAX(0,P677-(N638-MIN(MAX(O677,0),N638))),MAX(0,1*N638-(O677-MIN(MAX(O677,0),N638)))))</f>
        <v>0</v>
      </c>
      <c r="O678" s="18">
        <f>IF($A678&gt;30,O677,(O677-N638+N678)*(1+$B$7))</f>
        <v>1.2895739643450383E-3</v>
      </c>
      <c r="P678" s="18">
        <f t="shared" si="70"/>
        <v>0</v>
      </c>
      <c r="Q678" s="18">
        <f>IF($A678&gt;30,0,(Q638-MIN(MAX(R677,0),Q638))+MIN(MAX(0,S677-(Q638-MIN(MAX(R677,0),Q638))),MAX(0,1*Q638-(R677-MIN(MAX(R677,0),Q638)))))</f>
        <v>0</v>
      </c>
      <c r="R678" s="18">
        <f>IF($A678&gt;30,R677,(R677-Q638+Q678)*(1+$B$7))</f>
        <v>1.5360154634436185E-9</v>
      </c>
      <c r="S678" s="18">
        <f t="shared" si="71"/>
        <v>0</v>
      </c>
    </row>
    <row r="679" spans="1:19">
      <c r="A679" s="10">
        <f>39</f>
        <v>39</v>
      </c>
      <c r="B679" s="18">
        <f>IF($A679&gt;30,0,(B638-MIN(MAX(C678,0),B638))+MIN(MAX(0,D678-(B638-MIN(MAX(C678,0),B638))),MAX(0,1*B638-(C678-MIN(MAX(C678,0),B638)))))</f>
        <v>0</v>
      </c>
      <c r="C679" s="18">
        <f>IF($A679&gt;30,C678,(C678-B638+B679)*(1+$B$7))</f>
        <v>29892</v>
      </c>
      <c r="D679" s="18">
        <f t="shared" si="66"/>
        <v>879334.10683233873</v>
      </c>
      <c r="E679" s="18">
        <f>IF($A679&gt;30,0,(E638-MIN(MAX(F678,0),E638))+MIN(MAX(0,G678-(E638-MIN(MAX(F678,0),E638))),MAX(0,1*E638-(F678-MIN(MAX(F678,0),E638)))))</f>
        <v>0</v>
      </c>
      <c r="F679" s="18">
        <f>IF($A679&gt;30,F678,(F678-E638+E679)*(1+$B$7))</f>
        <v>0</v>
      </c>
      <c r="G679" s="18">
        <f t="shared" si="67"/>
        <v>-1320938.9519882493</v>
      </c>
      <c r="H679" s="18">
        <f>IF($A679&gt;30,0,(H638-MIN(MAX(I678,0),H638))+MIN(MAX(0,J678-(H638-MIN(MAX(I678,0),H638))),MAX(0,1*H638-(I678-MIN(MAX(I678,0),H638)))))</f>
        <v>0</v>
      </c>
      <c r="I679" s="18">
        <f>IF($A679&gt;30,I678,(I678-H638+H679)*(1+$B$7))</f>
        <v>0</v>
      </c>
      <c r="J679" s="18">
        <f t="shared" si="68"/>
        <v>-16927.383889306402</v>
      </c>
      <c r="K679" s="18">
        <f>IF($A679&gt;30,0,(K638-MIN(MAX(L678,0),K638))+MIN(MAX(0,M678-(K638-MIN(MAX(L678,0),K638))),MAX(0,1*K638-(L678-MIN(MAX(L678,0),K638)))))</f>
        <v>0</v>
      </c>
      <c r="L679" s="18">
        <f>IF($A679&gt;30,L678,(L678-K638+K679)*(1+$B$7))</f>
        <v>3.7335984366306492</v>
      </c>
      <c r="M679" s="18">
        <f t="shared" si="69"/>
        <v>0</v>
      </c>
      <c r="N679" s="18">
        <f>IF($A679&gt;30,0,(N638-MIN(MAX(O678,0),N638))+MIN(MAX(0,P678-(N638-MIN(MAX(O678,0),N638))),MAX(0,1*N638-(O678-MIN(MAX(O678,0),N638)))))</f>
        <v>0</v>
      </c>
      <c r="O679" s="18">
        <f>IF($A679&gt;30,O678,(O678-N638+N679)*(1+$B$7))</f>
        <v>1.2895739643450383E-3</v>
      </c>
      <c r="P679" s="18">
        <f t="shared" si="70"/>
        <v>0</v>
      </c>
      <c r="Q679" s="18">
        <f>IF($A679&gt;30,0,(Q638-MIN(MAX(R678,0),Q638))+MIN(MAX(0,S678-(Q638-MIN(MAX(R678,0),Q638))),MAX(0,1*Q638-(R678-MIN(MAX(R678,0),Q638)))))</f>
        <v>0</v>
      </c>
      <c r="R679" s="18">
        <f>IF($A679&gt;30,R678,(R678-Q638+Q679)*(1+$B$7))</f>
        <v>1.5360154634436185E-9</v>
      </c>
      <c r="S679" s="18">
        <f t="shared" si="71"/>
        <v>0</v>
      </c>
    </row>
    <row r="680" spans="1:19">
      <c r="A680" s="10">
        <f>40</f>
        <v>40</v>
      </c>
      <c r="B680" s="18">
        <f>IF($A680&gt;30,0,(B638-MIN(MAX(C679,0),B638))+MIN(MAX(0,D679-(B638-MIN(MAX(C679,0),B638))),MAX(0,1*B638-(C679-MIN(MAX(C679,0),B638)))))</f>
        <v>0</v>
      </c>
      <c r="C680" s="18">
        <f>IF($A680&gt;30,C679,(C679-B638+B680)*(1+$B$7))</f>
        <v>29892</v>
      </c>
      <c r="D680" s="18">
        <f t="shared" si="66"/>
        <v>879334.10683233873</v>
      </c>
      <c r="E680" s="18">
        <f>IF($A680&gt;30,0,(E638-MIN(MAX(F679,0),E638))+MIN(MAX(0,G679-(E638-MIN(MAX(F679,0),E638))),MAX(0,1*E638-(F679-MIN(MAX(F679,0),E638)))))</f>
        <v>0</v>
      </c>
      <c r="F680" s="18">
        <f>IF($A680&gt;30,F679,(F679-E638+E680)*(1+$B$7))</f>
        <v>0</v>
      </c>
      <c r="G680" s="18">
        <f t="shared" si="67"/>
        <v>-1320938.9519882493</v>
      </c>
      <c r="H680" s="18">
        <f>IF($A680&gt;30,0,(H638-MIN(MAX(I679,0),H638))+MIN(MAX(0,J679-(H638-MIN(MAX(I679,0),H638))),MAX(0,1*H638-(I679-MIN(MAX(I679,0),H638)))))</f>
        <v>0</v>
      </c>
      <c r="I680" s="18">
        <f>IF($A680&gt;30,I679,(I679-H638+H680)*(1+$B$7))</f>
        <v>0</v>
      </c>
      <c r="J680" s="18">
        <f t="shared" si="68"/>
        <v>-16927.383889306402</v>
      </c>
      <c r="K680" s="18">
        <f>IF($A680&gt;30,0,(K638-MIN(MAX(L679,0),K638))+MIN(MAX(0,M679-(K638-MIN(MAX(L679,0),K638))),MAX(0,1*K638-(L679-MIN(MAX(L679,0),K638)))))</f>
        <v>0</v>
      </c>
      <c r="L680" s="18">
        <f>IF($A680&gt;30,L679,(L679-K638+K680)*(1+$B$7))</f>
        <v>3.7335984366306492</v>
      </c>
      <c r="M680" s="18">
        <f t="shared" si="69"/>
        <v>0</v>
      </c>
      <c r="N680" s="18">
        <f>IF($A680&gt;30,0,(N638-MIN(MAX(O679,0),N638))+MIN(MAX(0,P679-(N638-MIN(MAX(O679,0),N638))),MAX(0,1*N638-(O679-MIN(MAX(O679,0),N638)))))</f>
        <v>0</v>
      </c>
      <c r="O680" s="18">
        <f>IF($A680&gt;30,O679,(O679-N638+N680)*(1+$B$7))</f>
        <v>1.2895739643450383E-3</v>
      </c>
      <c r="P680" s="18">
        <f t="shared" si="70"/>
        <v>0</v>
      </c>
      <c r="Q680" s="18">
        <f>IF($A680&gt;30,0,(Q638-MIN(MAX(R679,0),Q638))+MIN(MAX(0,S679-(Q638-MIN(MAX(R679,0),Q638))),MAX(0,1*Q638-(R679-MIN(MAX(R679,0),Q638)))))</f>
        <v>0</v>
      </c>
      <c r="R680" s="18">
        <f>IF($A680&gt;30,R679,(R679-Q638+Q680)*(1+$B$7))</f>
        <v>1.5360154634436185E-9</v>
      </c>
      <c r="S680" s="18">
        <f t="shared" si="71"/>
        <v>0</v>
      </c>
    </row>
    <row r="681" spans="1:19">
      <c r="B681" s="18">
        <f>C680+D680</f>
        <v>909226.10683233873</v>
      </c>
      <c r="E681" s="18">
        <f>F680+G680</f>
        <v>-1320938.9519882493</v>
      </c>
      <c r="H681" s="18">
        <f>I680+J680</f>
        <v>-16927.383889306402</v>
      </c>
      <c r="K681" s="18">
        <f>L680+M680</f>
        <v>3.7335984366306492</v>
      </c>
      <c r="N681" s="18">
        <f>O680+P680</f>
        <v>1.2895739643450383E-3</v>
      </c>
      <c r="Q681" s="18">
        <f>R680+S680</f>
        <v>1.5360154634436185E-9</v>
      </c>
    </row>
    <row r="682" spans="1:19">
      <c r="A682" s="5" t="s">
        <v>266</v>
      </c>
      <c r="B682" s="18">
        <f>IFERROR(Q638-Q681*(Q638-N638)/(Q681-N681),Q638)</f>
        <v>48000.337928116853</v>
      </c>
    </row>
    <row r="684" spans="1:19">
      <c r="A684" s="2" t="s">
        <v>278</v>
      </c>
    </row>
    <row r="685" spans="1:19">
      <c r="B685" s="9">
        <f>0.03*$B$5</f>
        <v>30000</v>
      </c>
      <c r="E685" s="9">
        <f>0.075*$B$5</f>
        <v>75000</v>
      </c>
      <c r="H685" s="18">
        <f>IFERROR(E685-E728*(E685-B685)/(E728-B728),E685)</f>
        <v>47249.342862613034</v>
      </c>
      <c r="K685" s="18">
        <f>IFERROR(H685-H728*(H685-E685)/(H728-E728),H685)</f>
        <v>46590.150003111637</v>
      </c>
      <c r="N685" s="18">
        <f>IFERROR(K685-K728*(K685-H685)/(K728-H728),K685)</f>
        <v>46590.263077085401</v>
      </c>
      <c r="Q685" s="18">
        <f>IFERROR(N685-N728*(N685-K685)/(N728-K728),N685)</f>
        <v>46590.263137265254</v>
      </c>
    </row>
    <row r="686" spans="1:19">
      <c r="A686" s="25" t="s">
        <v>262</v>
      </c>
      <c r="B686" s="25" t="s">
        <v>263</v>
      </c>
      <c r="C686" s="25" t="s">
        <v>264</v>
      </c>
      <c r="D686" s="25" t="s">
        <v>265</v>
      </c>
      <c r="E686" s="25" t="s">
        <v>263</v>
      </c>
      <c r="F686" s="25" t="s">
        <v>264</v>
      </c>
      <c r="G686" s="25" t="s">
        <v>265</v>
      </c>
      <c r="H686" s="25" t="s">
        <v>263</v>
      </c>
      <c r="I686" s="25" t="s">
        <v>264</v>
      </c>
      <c r="J686" s="25" t="s">
        <v>265</v>
      </c>
      <c r="K686" s="25" t="s">
        <v>263</v>
      </c>
      <c r="L686" s="25" t="s">
        <v>264</v>
      </c>
      <c r="M686" s="25" t="s">
        <v>265</v>
      </c>
      <c r="N686" s="25" t="s">
        <v>263</v>
      </c>
      <c r="O686" s="25" t="s">
        <v>264</v>
      </c>
      <c r="P686" s="25" t="s">
        <v>265</v>
      </c>
      <c r="Q686" s="25" t="s">
        <v>263</v>
      </c>
      <c r="R686" s="25" t="s">
        <v>264</v>
      </c>
      <c r="S686" s="25" t="s">
        <v>265</v>
      </c>
    </row>
    <row r="687" spans="1:19">
      <c r="A687" s="3">
        <v>0</v>
      </c>
      <c r="C687" s="18">
        <f>MIN(2*B685,$B$5)</f>
        <v>60000</v>
      </c>
      <c r="D687" s="18">
        <f>$B$5-C687</f>
        <v>940000</v>
      </c>
      <c r="F687" s="18">
        <f>MIN(2*E685,$B$5)</f>
        <v>150000</v>
      </c>
      <c r="G687" s="18">
        <f>$B$5-F687</f>
        <v>850000</v>
      </c>
      <c r="I687" s="18">
        <f>MIN(2*H685,$B$5)</f>
        <v>94498.685725226067</v>
      </c>
      <c r="J687" s="18">
        <f>$B$5-I687</f>
        <v>905501.31427477393</v>
      </c>
      <c r="L687" s="18">
        <f>MIN(2*K685,$B$5)</f>
        <v>93180.300006223275</v>
      </c>
      <c r="M687" s="18">
        <f>$B$5-L687</f>
        <v>906819.69999377674</v>
      </c>
      <c r="O687" s="18">
        <f>MIN(2*N685,$B$5)</f>
        <v>93180.526154170802</v>
      </c>
      <c r="P687" s="18">
        <f>$B$5-O687</f>
        <v>906819.47384582926</v>
      </c>
      <c r="R687" s="18">
        <f>MIN(2*Q685,$B$5)</f>
        <v>93180.526274530508</v>
      </c>
      <c r="S687" s="18">
        <f>$B$5-R687</f>
        <v>906819.47372546955</v>
      </c>
    </row>
    <row r="688" spans="1:19">
      <c r="A688" s="10">
        <f>1</f>
        <v>1</v>
      </c>
      <c r="B688" s="18">
        <f>IF($A688&gt;30,0,(B685-MIN(MAX(C687,0),B685))+MIN(MAX(0,D687-(B685-MIN(MAX(C687,0),B685))),MAX(0,2*B685-(C687-MIN(MAX(C687,0),B685)))))</f>
        <v>30000</v>
      </c>
      <c r="C688" s="18">
        <f>IF($A688&gt;30,C687,(C687-B685+B688)*(1+$B$7))</f>
        <v>59784</v>
      </c>
      <c r="D688" s="18">
        <f t="shared" ref="D688:D727" si="72">IF($A688&gt;30,D687,(D687-B688)*(1+$B$6))</f>
        <v>937300</v>
      </c>
      <c r="E688" s="18">
        <f>IF($A688&gt;30,0,(E685-MIN(MAX(F687,0),E685))+MIN(MAX(0,G687-(E685-MIN(MAX(F687,0),E685))),MAX(0,2*E685-(F687-MIN(MAX(F687,0),E685)))))</f>
        <v>75000</v>
      </c>
      <c r="F688" s="18">
        <f>IF($A688&gt;30,F687,(F687-E685+E688)*(1+$B$7))</f>
        <v>149460</v>
      </c>
      <c r="G688" s="18">
        <f t="shared" ref="G688:G727" si="73">IF($A688&gt;30,G687,(G687-E688)*(1+$B$6))</f>
        <v>798250</v>
      </c>
      <c r="H688" s="18">
        <f>IF($A688&gt;30,0,(H685-MIN(MAX(I687,0),H685))+MIN(MAX(0,J687-(H685-MIN(MAX(I687,0),H685))),MAX(0,2*H685-(I687-MIN(MAX(I687,0),H685)))))</f>
        <v>47249.342862613034</v>
      </c>
      <c r="I688" s="18">
        <f>IF($A688&gt;30,I687,(I687-H685+H688)*(1+$B$7))</f>
        <v>94158.490456615255</v>
      </c>
      <c r="J688" s="18">
        <f t="shared" ref="J688:J727" si="74">IF($A688&gt;30,J687,(J687-H688)*(1+$B$6))</f>
        <v>883999.53055452579</v>
      </c>
      <c r="K688" s="18">
        <f>IF($A688&gt;30,0,(K685-MIN(MAX(L687,0),K685))+MIN(MAX(0,M687-(K685-MIN(MAX(L687,0),K685))),MAX(0,2*K685-(L687-MIN(MAX(L687,0),K685)))))</f>
        <v>46590.150003111637</v>
      </c>
      <c r="L688" s="18">
        <f>IF($A688&gt;30,L687,(L687-K685+K688)*(1+$B$7))</f>
        <v>92844.850926200874</v>
      </c>
      <c r="M688" s="18">
        <f t="shared" ref="M688:M727" si="75">IF($A688&gt;30,M687,(M687-K688)*(1+$B$6))</f>
        <v>886036.43649038498</v>
      </c>
      <c r="N688" s="18">
        <f>IF($A688&gt;30,0,(N685-MIN(MAX(O687,0),N685))+MIN(MAX(0,P687-(N685-MIN(MAX(O687,0),N685))),MAX(0,2*N685-(O687-MIN(MAX(O687,0),N685)))))</f>
        <v>46590.263077085401</v>
      </c>
      <c r="O688" s="18">
        <f>IF($A688&gt;30,O687,(O687-N685+N688)*(1+$B$7))</f>
        <v>92845.076260015776</v>
      </c>
      <c r="P688" s="18">
        <f t="shared" ref="P688:P727" si="76">IF($A688&gt;30,P687,(P687-N688)*(1+$B$6))</f>
        <v>886036.08709180623</v>
      </c>
      <c r="Q688" s="18">
        <f>IF($A688&gt;30,0,(Q685-MIN(MAX(R687,0),Q685))+MIN(MAX(0,S687-(Q685-MIN(MAX(R687,0),Q685))),MAX(0,2*Q685-(R687-MIN(MAX(R687,0),Q685)))))</f>
        <v>46590.263137265254</v>
      </c>
      <c r="R688" s="18">
        <f>IF($A688&gt;30,R687,(R687-Q685+Q688)*(1+$B$7))</f>
        <v>92845.076379942198</v>
      </c>
      <c r="S688" s="18">
        <f t="shared" ref="S688:S727" si="77">IF($A688&gt;30,S687,(S687-Q688)*(1+$B$6))</f>
        <v>886036.08690585045</v>
      </c>
    </row>
    <row r="689" spans="1:19">
      <c r="A689" s="10">
        <f>2</f>
        <v>2</v>
      </c>
      <c r="B689" s="18">
        <f>IF($A689&gt;30,0,(B685-MIN(MAX(C688,0),B685))+MIN(MAX(0,D688-(B685-MIN(MAX(C688,0),B685))),MAX(0,2*B685-(C688-MIN(MAX(C688,0),B685)))))</f>
        <v>30216</v>
      </c>
      <c r="C689" s="18">
        <f>IF($A689&gt;30,C688,(C688-B685+B689)*(1+$B$7))</f>
        <v>59784</v>
      </c>
      <c r="D689" s="18">
        <f t="shared" si="72"/>
        <v>934296.52</v>
      </c>
      <c r="E689" s="18">
        <f>IF($A689&gt;30,0,(E685-MIN(MAX(F688,0),E685))+MIN(MAX(0,G688-(E685-MIN(MAX(F688,0),E685))),MAX(0,2*E685-(F688-MIN(MAX(F688,0),E685)))))</f>
        <v>75540</v>
      </c>
      <c r="F689" s="18">
        <f>IF($A689&gt;30,F688,(F688-E685+E689)*(1+$B$7))</f>
        <v>149460</v>
      </c>
      <c r="G689" s="18">
        <f t="shared" si="73"/>
        <v>744391.3</v>
      </c>
      <c r="H689" s="18">
        <f>IF($A689&gt;30,0,(H685-MIN(MAX(I688,0),H685))+MIN(MAX(0,J688-(H685-MIN(MAX(I688,0),H685))),MAX(0,2*H685-(I688-MIN(MAX(I688,0),H685)))))</f>
        <v>47589.538131223846</v>
      </c>
      <c r="I689" s="18">
        <f>IF($A689&gt;30,I688,(I688-H685+H689)*(1+$B$7))</f>
        <v>94158.490456615255</v>
      </c>
      <c r="J689" s="18">
        <f t="shared" si="74"/>
        <v>861502.29219600104</v>
      </c>
      <c r="K689" s="18">
        <f>IF($A689&gt;30,0,(K685-MIN(MAX(L688,0),K685))+MIN(MAX(0,M688-(K685-MIN(MAX(L688,0),K685))),MAX(0,2*K685-(L688-MIN(MAX(L688,0),K685)))))</f>
        <v>46925.599083134039</v>
      </c>
      <c r="L689" s="18">
        <f>IF($A689&gt;30,L688,(L688-K685+K689)*(1+$B$7))</f>
        <v>92844.850926200874</v>
      </c>
      <c r="M689" s="18">
        <f t="shared" si="75"/>
        <v>864284.16252946842</v>
      </c>
      <c r="N689" s="18">
        <f>IF($A689&gt;30,0,(N685-MIN(MAX(O688,0),N685))+MIN(MAX(0,P688-(N685-MIN(MAX(O688,0),N685))),MAX(0,2*N685-(O688-MIN(MAX(O688,0),N685)))))</f>
        <v>46925.712971240428</v>
      </c>
      <c r="O689" s="18">
        <f>IF($A689&gt;30,O688,(O688-N685+N689)*(1+$B$7))</f>
        <v>92845.076260015776</v>
      </c>
      <c r="P689" s="18">
        <f t="shared" si="76"/>
        <v>864283.68534418277</v>
      </c>
      <c r="Q689" s="18">
        <f>IF($A689&gt;30,0,(Q685-MIN(MAX(R688,0),Q685))+MIN(MAX(0,S688-(Q685-MIN(MAX(R688,0),Q685))),MAX(0,2*Q685-(R688-MIN(MAX(R688,0),Q685)))))</f>
        <v>46925.713031853564</v>
      </c>
      <c r="R689" s="18">
        <f>IF($A689&gt;30,R688,(R688-Q685+Q689)*(1+$B$7))</f>
        <v>92845.076379942198</v>
      </c>
      <c r="S689" s="18">
        <f t="shared" si="77"/>
        <v>864283.68509021681</v>
      </c>
    </row>
    <row r="690" spans="1:19">
      <c r="A690" s="10">
        <f>3</f>
        <v>3</v>
      </c>
      <c r="B690" s="18">
        <f>IF($A690&gt;30,0,(B685-MIN(MAX(C689,0),B685))+MIN(MAX(0,D689-(B685-MIN(MAX(C689,0),B685))),MAX(0,2*B685-(C689-MIN(MAX(C689,0),B685)))))</f>
        <v>30216</v>
      </c>
      <c r="C690" s="18">
        <f>IF($A690&gt;30,C689,(C689-B685+B690)*(1+$B$7))</f>
        <v>59784</v>
      </c>
      <c r="D690" s="18">
        <f t="shared" si="72"/>
        <v>931202.93560000008</v>
      </c>
      <c r="E690" s="18">
        <f>IF($A690&gt;30,0,(E685-MIN(MAX(F689,0),E685))+MIN(MAX(0,G689-(E685-MIN(MAX(F689,0),E685))),MAX(0,2*E685-(F689-MIN(MAX(F689,0),E685)))))</f>
        <v>75540</v>
      </c>
      <c r="F690" s="18">
        <f>IF($A690&gt;30,F689,(F689-E685+E690)*(1+$B$7))</f>
        <v>149460</v>
      </c>
      <c r="G690" s="18">
        <f t="shared" si="73"/>
        <v>688916.83900000004</v>
      </c>
      <c r="H690" s="18">
        <f>IF($A690&gt;30,0,(H685-MIN(MAX(I689,0),H685))+MIN(MAX(0,J689-(H685-MIN(MAX(I689,0),H685))),MAX(0,2*H685-(I689-MIN(MAX(I689,0),H685)))))</f>
        <v>47589.538131223846</v>
      </c>
      <c r="I690" s="18">
        <f>IF($A690&gt;30,I689,(I689-H685+H690)*(1+$B$7))</f>
        <v>94158.490456615255</v>
      </c>
      <c r="J690" s="18">
        <f t="shared" si="74"/>
        <v>838330.13668672054</v>
      </c>
      <c r="K690" s="18">
        <f>IF($A690&gt;30,0,(K685-MIN(MAX(L689,0),K685))+MIN(MAX(0,M689-(K685-MIN(MAX(L689,0),K685))),MAX(0,2*K685-(L689-MIN(MAX(L689,0),K685)))))</f>
        <v>46925.599083134039</v>
      </c>
      <c r="L690" s="18">
        <f>IF($A690&gt;30,L689,(L689-K685+K690)*(1+$B$7))</f>
        <v>92844.850926200874</v>
      </c>
      <c r="M690" s="18">
        <f t="shared" si="75"/>
        <v>841879.32034972438</v>
      </c>
      <c r="N690" s="18">
        <f>IF($A690&gt;30,0,(N685-MIN(MAX(O689,0),N685))+MIN(MAX(0,P689-(N685-MIN(MAX(O689,0),N685))),MAX(0,2*N685-(O689-MIN(MAX(O689,0),N685)))))</f>
        <v>46925.712971240428</v>
      </c>
      <c r="O690" s="18">
        <f>IF($A690&gt;30,O689,(O689-N685+N690)*(1+$B$7))</f>
        <v>92845.076260015776</v>
      </c>
      <c r="P690" s="18">
        <f t="shared" si="76"/>
        <v>841878.7115441307</v>
      </c>
      <c r="Q690" s="18">
        <f>IF($A690&gt;30,0,(Q685-MIN(MAX(R689,0),Q685))+MIN(MAX(0,S689-(Q685-MIN(MAX(R689,0),Q685))),MAX(0,2*Q685-(R689-MIN(MAX(R689,0),Q685)))))</f>
        <v>46925.713031853564</v>
      </c>
      <c r="R690" s="18">
        <f>IF($A690&gt;30,R689,(R689-Q685+Q690)*(1+$B$7))</f>
        <v>92845.076379942198</v>
      </c>
      <c r="S690" s="18">
        <f t="shared" si="77"/>
        <v>841878.71122011414</v>
      </c>
    </row>
    <row r="691" spans="1:19">
      <c r="A691" s="10">
        <f>4</f>
        <v>4</v>
      </c>
      <c r="B691" s="18">
        <f>IF($A691&gt;30,0,(B685-MIN(MAX(C690,0),B685))+MIN(MAX(0,D690-(B685-MIN(MAX(C690,0),B685))),MAX(0,2*B685-(C690-MIN(MAX(C690,0),B685)))))</f>
        <v>30216</v>
      </c>
      <c r="C691" s="18">
        <f>IF($A691&gt;30,C690,(C690-B685+B691)*(1+$B$7))</f>
        <v>59784</v>
      </c>
      <c r="D691" s="18">
        <f t="shared" si="72"/>
        <v>928016.54366800014</v>
      </c>
      <c r="E691" s="18">
        <f>IF($A691&gt;30,0,(E685-MIN(MAX(F690,0),E685))+MIN(MAX(0,G690-(E685-MIN(MAX(F690,0),E685))),MAX(0,2*E685-(F690-MIN(MAX(F690,0),E685)))))</f>
        <v>75540</v>
      </c>
      <c r="F691" s="18">
        <f>IF($A691&gt;30,F690,(F690-E685+E691)*(1+$B$7))</f>
        <v>149460</v>
      </c>
      <c r="G691" s="18">
        <f t="shared" si="73"/>
        <v>631778.1441700001</v>
      </c>
      <c r="H691" s="18">
        <f>IF($A691&gt;30,0,(H685-MIN(MAX(I690,0),H685))+MIN(MAX(0,J690-(H685-MIN(MAX(I690,0),H685))),MAX(0,2*H685-(I690-MIN(MAX(I690,0),H685)))))</f>
        <v>47589.538131223846</v>
      </c>
      <c r="I691" s="18">
        <f>IF($A691&gt;30,I690,(I690-H685+H691)*(1+$B$7))</f>
        <v>94158.490456615255</v>
      </c>
      <c r="J691" s="18">
        <f t="shared" si="74"/>
        <v>814462.81651216163</v>
      </c>
      <c r="K691" s="18">
        <f>IF($A691&gt;30,0,(K685-MIN(MAX(L690,0),K685))+MIN(MAX(0,M690-(K685-MIN(MAX(L690,0),K685))),MAX(0,2*K685-(L690-MIN(MAX(L690,0),K685)))))</f>
        <v>46925.599083134039</v>
      </c>
      <c r="L691" s="18">
        <f>IF($A691&gt;30,L690,(L690-K685+K691)*(1+$B$7))</f>
        <v>92844.850926200874</v>
      </c>
      <c r="M691" s="18">
        <f t="shared" si="75"/>
        <v>818802.33290458797</v>
      </c>
      <c r="N691" s="18">
        <f>IF($A691&gt;30,0,(N685-MIN(MAX(O690,0),N685))+MIN(MAX(0,P690-(N685-MIN(MAX(O690,0),N685))),MAX(0,2*N685-(O690-MIN(MAX(O690,0),N685)))))</f>
        <v>46925.712971240428</v>
      </c>
      <c r="O691" s="18">
        <f>IF($A691&gt;30,O690,(O690-N685+N691)*(1+$B$7))</f>
        <v>92845.076260015776</v>
      </c>
      <c r="P691" s="18">
        <f t="shared" si="76"/>
        <v>818801.58853007702</v>
      </c>
      <c r="Q691" s="18">
        <f>IF($A691&gt;30,0,(Q685-MIN(MAX(R690,0),Q685))+MIN(MAX(0,S690-(Q685-MIN(MAX(R690,0),Q685))),MAX(0,2*Q685-(R690-MIN(MAX(R690,0),Q685)))))</f>
        <v>46925.713031853564</v>
      </c>
      <c r="R691" s="18">
        <f>IF($A691&gt;30,R690,(R690-Q685+Q691)*(1+$B$7))</f>
        <v>92845.076379942198</v>
      </c>
      <c r="S691" s="18">
        <f t="shared" si="77"/>
        <v>818801.58813390846</v>
      </c>
    </row>
    <row r="692" spans="1:19">
      <c r="A692" s="10">
        <f>5</f>
        <v>5</v>
      </c>
      <c r="B692" s="18">
        <f>IF($A692&gt;30,0,(B685-MIN(MAX(C691,0),B685))+MIN(MAX(0,D691-(B685-MIN(MAX(C691,0),B685))),MAX(0,2*B685-(C691-MIN(MAX(C691,0),B685)))))</f>
        <v>30216</v>
      </c>
      <c r="C692" s="18">
        <f>IF($A692&gt;30,C691,(C691-B685+B692)*(1+$B$7))</f>
        <v>59784</v>
      </c>
      <c r="D692" s="18">
        <f t="shared" si="72"/>
        <v>924734.55997804017</v>
      </c>
      <c r="E692" s="18">
        <f>IF($A692&gt;30,0,(E685-MIN(MAX(F691,0),E685))+MIN(MAX(0,G691-(E685-MIN(MAX(F691,0),E685))),MAX(0,2*E685-(F691-MIN(MAX(F691,0),E685)))))</f>
        <v>75540</v>
      </c>
      <c r="F692" s="18">
        <f>IF($A692&gt;30,F691,(F691-E685+E692)*(1+$B$7))</f>
        <v>149460</v>
      </c>
      <c r="G692" s="18">
        <f t="shared" si="73"/>
        <v>572925.2884951001</v>
      </c>
      <c r="H692" s="18">
        <f>IF($A692&gt;30,0,(H685-MIN(MAX(I691,0),H685))+MIN(MAX(0,J691-(H685-MIN(MAX(I691,0),H685))),MAX(0,2*H685-(I691-MIN(MAX(I691,0),H685)))))</f>
        <v>47589.538131223846</v>
      </c>
      <c r="I692" s="18">
        <f>IF($A692&gt;30,I691,(I691-H685+H692)*(1+$B$7))</f>
        <v>94158.490456615255</v>
      </c>
      <c r="J692" s="18">
        <f t="shared" si="74"/>
        <v>789879.4767323659</v>
      </c>
      <c r="K692" s="18">
        <f>IF($A692&gt;30,0,(K685-MIN(MAX(L691,0),K685))+MIN(MAX(0,M691-(K685-MIN(MAX(L691,0),K685))),MAX(0,2*K685-(L691-MIN(MAX(L691,0),K685)))))</f>
        <v>46925.599083134039</v>
      </c>
      <c r="L692" s="18">
        <f>IF($A692&gt;30,L691,(L691-K685+K692)*(1+$B$7))</f>
        <v>92844.850926200874</v>
      </c>
      <c r="M692" s="18">
        <f t="shared" si="75"/>
        <v>795033.03583609755</v>
      </c>
      <c r="N692" s="18">
        <f>IF($A692&gt;30,0,(N685-MIN(MAX(O691,0),N685))+MIN(MAX(0,P691-(N685-MIN(MAX(O691,0),N685))),MAX(0,2*N685-(O691-MIN(MAX(O691,0),N685)))))</f>
        <v>46925.712971240428</v>
      </c>
      <c r="O692" s="18">
        <f>IF($A692&gt;30,O691,(O691-N685+N692)*(1+$B$7))</f>
        <v>92845.076260015776</v>
      </c>
      <c r="P692" s="18">
        <f t="shared" si="76"/>
        <v>795032.1518256017</v>
      </c>
      <c r="Q692" s="18">
        <f>IF($A692&gt;30,0,(Q685-MIN(MAX(R691,0),Q685))+MIN(MAX(0,S691-(Q685-MIN(MAX(R691,0),Q685))),MAX(0,2*Q685-(R691-MIN(MAX(R691,0),Q685)))))</f>
        <v>46925.713031853564</v>
      </c>
      <c r="R692" s="18">
        <f>IF($A692&gt;30,R691,(R691-Q685+Q692)*(1+$B$7))</f>
        <v>92845.076379942198</v>
      </c>
      <c r="S692" s="18">
        <f t="shared" si="77"/>
        <v>795032.15135511663</v>
      </c>
    </row>
    <row r="693" spans="1:19">
      <c r="A693" s="10">
        <f>6</f>
        <v>6</v>
      </c>
      <c r="B693" s="18">
        <f>IF($A693&gt;30,0,(B685-MIN(MAX(C692,0),B685))+MIN(MAX(0,D692-(B685-MIN(MAX(C692,0),B685))),MAX(0,2*B685-(C692-MIN(MAX(C692,0),B685)))))</f>
        <v>30216</v>
      </c>
      <c r="C693" s="18">
        <f>IF($A693&gt;30,C692,(C692-B685+B693)*(1+$B$7))</f>
        <v>59784</v>
      </c>
      <c r="D693" s="18">
        <f t="shared" si="72"/>
        <v>921354.11677738139</v>
      </c>
      <c r="E693" s="18">
        <f>IF($A693&gt;30,0,(E685-MIN(MAX(F692,0),E685))+MIN(MAX(0,G692-(E685-MIN(MAX(F692,0),E685))),MAX(0,2*E685-(F692-MIN(MAX(F692,0),E685)))))</f>
        <v>75540</v>
      </c>
      <c r="F693" s="18">
        <f>IF($A693&gt;30,F692,(F692-E685+E693)*(1+$B$7))</f>
        <v>149460</v>
      </c>
      <c r="G693" s="18">
        <f t="shared" si="73"/>
        <v>512306.84714995313</v>
      </c>
      <c r="H693" s="18">
        <f>IF($A693&gt;30,0,(H685-MIN(MAX(I692,0),H685))+MIN(MAX(0,J692-(H685-MIN(MAX(I692,0),H685))),MAX(0,2*H685-(I692-MIN(MAX(I692,0),H685)))))</f>
        <v>47589.538131223846</v>
      </c>
      <c r="I693" s="18">
        <f>IF($A693&gt;30,I692,(I692-H685+H693)*(1+$B$7))</f>
        <v>94158.490456615255</v>
      </c>
      <c r="J693" s="18">
        <f t="shared" si="74"/>
        <v>764558.63675917627</v>
      </c>
      <c r="K693" s="18">
        <f>IF($A693&gt;30,0,(K685-MIN(MAX(L692,0),K685))+MIN(MAX(0,M692-(K685-MIN(MAX(L692,0),K685))),MAX(0,2*K685-(L692-MIN(MAX(L692,0),K685)))))</f>
        <v>46925.599083134039</v>
      </c>
      <c r="L693" s="18">
        <f>IF($A693&gt;30,L692,(L692-K685+K693)*(1+$B$7))</f>
        <v>92844.850926200874</v>
      </c>
      <c r="M693" s="18">
        <f t="shared" si="75"/>
        <v>770550.65985555237</v>
      </c>
      <c r="N693" s="18">
        <f>IF($A693&gt;30,0,(N685-MIN(MAX(O692,0),N685))+MIN(MAX(0,P692-(N685-MIN(MAX(O692,0),N685))),MAX(0,2*N685-(O692-MIN(MAX(O692,0),N685)))))</f>
        <v>46925.712971240428</v>
      </c>
      <c r="O693" s="18">
        <f>IF($A693&gt;30,O692,(O692-N685+N693)*(1+$B$7))</f>
        <v>92845.076260015776</v>
      </c>
      <c r="P693" s="18">
        <f t="shared" si="76"/>
        <v>770549.63201999222</v>
      </c>
      <c r="Q693" s="18">
        <f>IF($A693&gt;30,0,(Q685-MIN(MAX(R692,0),Q685))+MIN(MAX(0,S692-(Q685-MIN(MAX(R692,0),Q685))),MAX(0,2*Q685-(R692-MIN(MAX(R692,0),Q685)))))</f>
        <v>46925.713031853564</v>
      </c>
      <c r="R693" s="18">
        <f>IF($A693&gt;30,R692,(R692-Q685+Q693)*(1+$B$7))</f>
        <v>92845.076379942198</v>
      </c>
      <c r="S693" s="18">
        <f t="shared" si="77"/>
        <v>770549.63147296105</v>
      </c>
    </row>
    <row r="694" spans="1:19">
      <c r="A694" s="10">
        <f>7</f>
        <v>7</v>
      </c>
      <c r="B694" s="18">
        <f>IF($A694&gt;30,0,(B685-MIN(MAX(C693,0),B685))+MIN(MAX(0,D693-(B685-MIN(MAX(C693,0),B685))),MAX(0,2*B685-(C693-MIN(MAX(C693,0),B685)))))</f>
        <v>30216</v>
      </c>
      <c r="C694" s="18">
        <f>IF($A694&gt;30,C693,(C693-B685+B694)*(1+$B$7))</f>
        <v>59784</v>
      </c>
      <c r="D694" s="18">
        <f t="shared" si="72"/>
        <v>917872.26028070285</v>
      </c>
      <c r="E694" s="18">
        <f>IF($A694&gt;30,0,(E685-MIN(MAX(F693,0),E685))+MIN(MAX(0,G693-(E685-MIN(MAX(F693,0),E685))),MAX(0,2*E685-(F693-MIN(MAX(F693,0),E685)))))</f>
        <v>75540</v>
      </c>
      <c r="F694" s="18">
        <f>IF($A694&gt;30,F693,(F693-E685+E694)*(1+$B$7))</f>
        <v>149460</v>
      </c>
      <c r="G694" s="18">
        <f t="shared" si="73"/>
        <v>449869.85256445175</v>
      </c>
      <c r="H694" s="18">
        <f>IF($A694&gt;30,0,(H685-MIN(MAX(I693,0),H685))+MIN(MAX(0,J693-(H685-MIN(MAX(I693,0),H685))),MAX(0,2*H685-(I693-MIN(MAX(I693,0),H685)))))</f>
        <v>47589.538131223846</v>
      </c>
      <c r="I694" s="18">
        <f>IF($A694&gt;30,I693,(I693-H685+H694)*(1+$B$7))</f>
        <v>94158.490456615255</v>
      </c>
      <c r="J694" s="18">
        <f t="shared" si="74"/>
        <v>738478.17158679094</v>
      </c>
      <c r="K694" s="18">
        <f>IF($A694&gt;30,0,(K685-MIN(MAX(L693,0),K685))+MIN(MAX(0,M693-(K685-MIN(MAX(L693,0),K685))),MAX(0,2*K685-(L693-MIN(MAX(L693,0),K685)))))</f>
        <v>46925.599083134039</v>
      </c>
      <c r="L694" s="18">
        <f>IF($A694&gt;30,L693,(L693-K685+K694)*(1+$B$7))</f>
        <v>92844.850926200874</v>
      </c>
      <c r="M694" s="18">
        <f t="shared" si="75"/>
        <v>745333.81259559083</v>
      </c>
      <c r="N694" s="18">
        <f>IF($A694&gt;30,0,(N685-MIN(MAX(O693,0),N685))+MIN(MAX(0,P693-(N685-MIN(MAX(O693,0),N685))),MAX(0,2*N685-(O693-MIN(MAX(O693,0),N685)))))</f>
        <v>46925.712971240428</v>
      </c>
      <c r="O694" s="18">
        <f>IF($A694&gt;30,O693,(O693-N685+N694)*(1+$B$7))</f>
        <v>92845.076260015776</v>
      </c>
      <c r="P694" s="18">
        <f t="shared" si="76"/>
        <v>745332.63662021444</v>
      </c>
      <c r="Q694" s="18">
        <f>IF($A694&gt;30,0,(Q685-MIN(MAX(R693,0),Q685))+MIN(MAX(0,S693-(Q685-MIN(MAX(R693,0),Q685))),MAX(0,2*Q685-(R693-MIN(MAX(R693,0),Q685)))))</f>
        <v>46925.713031853564</v>
      </c>
      <c r="R694" s="18">
        <f>IF($A694&gt;30,R693,(R693-Q685+Q694)*(1+$B$7))</f>
        <v>92845.076379942198</v>
      </c>
      <c r="S694" s="18">
        <f t="shared" si="77"/>
        <v>745332.63599434076</v>
      </c>
    </row>
    <row r="695" spans="1:19">
      <c r="A695" s="10">
        <f>8</f>
        <v>8</v>
      </c>
      <c r="B695" s="18">
        <f>IF($A695&gt;30,0,(B685-MIN(MAX(C694,0),B685))+MIN(MAX(0,D694-(B685-MIN(MAX(C694,0),B685))),MAX(0,2*B685-(C694-MIN(MAX(C694,0),B685)))))</f>
        <v>30216</v>
      </c>
      <c r="C695" s="18">
        <f>IF($A695&gt;30,C694,(C694-B685+B695)*(1+$B$7))</f>
        <v>59784</v>
      </c>
      <c r="D695" s="18">
        <f t="shared" si="72"/>
        <v>914285.94808912394</v>
      </c>
      <c r="E695" s="18">
        <f>IF($A695&gt;30,0,(E685-MIN(MAX(F694,0),E685))+MIN(MAX(0,G694-(E685-MIN(MAX(F694,0),E685))),MAX(0,2*E685-(F694-MIN(MAX(F694,0),E685)))))</f>
        <v>75540</v>
      </c>
      <c r="F695" s="18">
        <f>IF($A695&gt;30,F694,(F694-E685+E695)*(1+$B$7))</f>
        <v>149460</v>
      </c>
      <c r="G695" s="18">
        <f t="shared" si="73"/>
        <v>385559.74814138532</v>
      </c>
      <c r="H695" s="18">
        <f>IF($A695&gt;30,0,(H685-MIN(MAX(I694,0),H685))+MIN(MAX(0,J694-(H685-MIN(MAX(I694,0),H685))),MAX(0,2*H685-(I694-MIN(MAX(I694,0),H685)))))</f>
        <v>47589.538131223846</v>
      </c>
      <c r="I695" s="18">
        <f>IF($A695&gt;30,I694,(I694-H685+H695)*(1+$B$7))</f>
        <v>94158.490456615255</v>
      </c>
      <c r="J695" s="18">
        <f t="shared" si="74"/>
        <v>711615.29245923413</v>
      </c>
      <c r="K695" s="18">
        <f>IF($A695&gt;30,0,(K685-MIN(MAX(L694,0),K685))+MIN(MAX(0,M694-(K685-MIN(MAX(L694,0),K685))),MAX(0,2*K685-(L694-MIN(MAX(L694,0),K685)))))</f>
        <v>46925.599083134039</v>
      </c>
      <c r="L695" s="18">
        <f>IF($A695&gt;30,L694,(L694-K685+K695)*(1+$B$7))</f>
        <v>92844.850926200874</v>
      </c>
      <c r="M695" s="18">
        <f t="shared" si="75"/>
        <v>719360.45991783042</v>
      </c>
      <c r="N695" s="18">
        <f>IF($A695&gt;30,0,(N685-MIN(MAX(O694,0),N685))+MIN(MAX(0,P694-(N685-MIN(MAX(O694,0),N685))),MAX(0,2*N685-(O694-MIN(MAX(O694,0),N685)))))</f>
        <v>46925.712971240428</v>
      </c>
      <c r="O695" s="18">
        <f>IF($A695&gt;30,O694,(O694-N685+N695)*(1+$B$7))</f>
        <v>92845.076260015776</v>
      </c>
      <c r="P695" s="18">
        <f t="shared" si="76"/>
        <v>719359.13135844329</v>
      </c>
      <c r="Q695" s="18">
        <f>IF($A695&gt;30,0,(Q685-MIN(MAX(R694,0),Q685))+MIN(MAX(0,S694-(Q685-MIN(MAX(R694,0),Q685))),MAX(0,2*Q685-(R694-MIN(MAX(R694,0),Q685)))))</f>
        <v>46925.713031853564</v>
      </c>
      <c r="R695" s="18">
        <f>IF($A695&gt;30,R694,(R694-Q685+Q695)*(1+$B$7))</f>
        <v>92845.076379942198</v>
      </c>
      <c r="S695" s="18">
        <f t="shared" si="77"/>
        <v>719359.13065136189</v>
      </c>
    </row>
    <row r="696" spans="1:19">
      <c r="A696" s="10">
        <f>9</f>
        <v>9</v>
      </c>
      <c r="B696" s="18">
        <f>IF($A696&gt;30,0,(B685-MIN(MAX(C695,0),B685))+MIN(MAX(0,D695-(B685-MIN(MAX(C695,0),B685))),MAX(0,2*B685-(C695-MIN(MAX(C695,0),B685)))))</f>
        <v>30216</v>
      </c>
      <c r="C696" s="18">
        <f>IF($A696&gt;30,C695,(C695-B685+B696)*(1+$B$7))</f>
        <v>59784</v>
      </c>
      <c r="D696" s="18">
        <f t="shared" si="72"/>
        <v>910592.04653179774</v>
      </c>
      <c r="E696" s="18">
        <f>IF($A696&gt;30,0,(E685-MIN(MAX(F695,0),E685))+MIN(MAX(0,G695-(E685-MIN(MAX(F695,0),E685))),MAX(0,2*E685-(F695-MIN(MAX(F695,0),E685)))))</f>
        <v>75540</v>
      </c>
      <c r="F696" s="18">
        <f>IF($A696&gt;30,F695,(F695-E685+E696)*(1+$B$7))</f>
        <v>149460</v>
      </c>
      <c r="G696" s="18">
        <f t="shared" si="73"/>
        <v>319320.34058562689</v>
      </c>
      <c r="H696" s="18">
        <f>IF($A696&gt;30,0,(H685-MIN(MAX(I695,0),H685))+MIN(MAX(0,J695-(H685-MIN(MAX(I695,0),H685))),MAX(0,2*H685-(I695-MIN(MAX(I695,0),H685)))))</f>
        <v>47589.538131223846</v>
      </c>
      <c r="I696" s="18">
        <f>IF($A696&gt;30,I695,(I695-H685+H696)*(1+$B$7))</f>
        <v>94158.490456615255</v>
      </c>
      <c r="J696" s="18">
        <f t="shared" si="74"/>
        <v>683946.52695785055</v>
      </c>
      <c r="K696" s="18">
        <f>IF($A696&gt;30,0,(K685-MIN(MAX(L695,0),K685))+MIN(MAX(0,M695-(K685-MIN(MAX(L695,0),K685))),MAX(0,2*K685-(L695-MIN(MAX(L695,0),K685)))))</f>
        <v>46925.599083134039</v>
      </c>
      <c r="L696" s="18">
        <f>IF($A696&gt;30,L695,(L695-K685+K696)*(1+$B$7))</f>
        <v>92844.850926200874</v>
      </c>
      <c r="M696" s="18">
        <f t="shared" si="75"/>
        <v>692607.90665973723</v>
      </c>
      <c r="N696" s="18">
        <f>IF($A696&gt;30,0,(N685-MIN(MAX(O695,0),N685))+MIN(MAX(0,P695-(N685-MIN(MAX(O695,0),N685))),MAX(0,2*N685-(O695-MIN(MAX(O695,0),N685)))))</f>
        <v>46925.712971240428</v>
      </c>
      <c r="O696" s="18">
        <f>IF($A696&gt;30,O695,(O695-N685+N696)*(1+$B$7))</f>
        <v>92845.076260015776</v>
      </c>
      <c r="P696" s="18">
        <f t="shared" si="76"/>
        <v>692606.42093881895</v>
      </c>
      <c r="Q696" s="18">
        <f>IF($A696&gt;30,0,(Q685-MIN(MAX(R695,0),Q685))+MIN(MAX(0,S695-(Q685-MIN(MAX(R695,0),Q685))),MAX(0,2*Q685-(R695-MIN(MAX(R695,0),Q685)))))</f>
        <v>46925.713031853564</v>
      </c>
      <c r="R696" s="18">
        <f>IF($A696&gt;30,R695,(R695-Q685+Q696)*(1+$B$7))</f>
        <v>92845.076379942198</v>
      </c>
      <c r="S696" s="18">
        <f t="shared" si="77"/>
        <v>692606.4201480936</v>
      </c>
    </row>
    <row r="697" spans="1:19">
      <c r="A697" s="10">
        <f>10</f>
        <v>10</v>
      </c>
      <c r="B697" s="18">
        <f>IF($A697&gt;30,0,(B685-MIN(MAX(C696,0),B685))+MIN(MAX(0,D696-(B685-MIN(MAX(C696,0),B685))),MAX(0,2*B685-(C696-MIN(MAX(C696,0),B685)))))</f>
        <v>30216</v>
      </c>
      <c r="C697" s="18">
        <f>IF($A697&gt;30,C696,(C696-B685+B697)*(1+$B$7))</f>
        <v>59784</v>
      </c>
      <c r="D697" s="18">
        <f t="shared" si="72"/>
        <v>906787.3279277517</v>
      </c>
      <c r="E697" s="18">
        <f>IF($A697&gt;30,0,(E685-MIN(MAX(F696,0),E685))+MIN(MAX(0,G696-(E685-MIN(MAX(F696,0),E685))),MAX(0,2*E685-(F696-MIN(MAX(F696,0),E685)))))</f>
        <v>75540</v>
      </c>
      <c r="F697" s="18">
        <f>IF($A697&gt;30,F696,(F696-E685+E697)*(1+$B$7))</f>
        <v>149460</v>
      </c>
      <c r="G697" s="18">
        <f t="shared" si="73"/>
        <v>251093.7508031957</v>
      </c>
      <c r="H697" s="18">
        <f>IF($A697&gt;30,0,(H685-MIN(MAX(I696,0),H685))+MIN(MAX(0,J696-(H685-MIN(MAX(I696,0),H685))),MAX(0,2*H685-(I696-MIN(MAX(I696,0),H685)))))</f>
        <v>47589.538131223846</v>
      </c>
      <c r="I697" s="18">
        <f>IF($A697&gt;30,I696,(I696-H685+H697)*(1+$B$7))</f>
        <v>94158.490456615255</v>
      </c>
      <c r="J697" s="18">
        <f t="shared" si="74"/>
        <v>655447.69849142549</v>
      </c>
      <c r="K697" s="18">
        <f>IF($A697&gt;30,0,(K685-MIN(MAX(L696,0),K685))+MIN(MAX(0,M696-(K685-MIN(MAX(L696,0),K685))),MAX(0,2*K685-(L696-MIN(MAX(L696,0),K685)))))</f>
        <v>46925.599083134039</v>
      </c>
      <c r="L697" s="18">
        <f>IF($A697&gt;30,L696,(L696-K685+K697)*(1+$B$7))</f>
        <v>92844.850926200874</v>
      </c>
      <c r="M697" s="18">
        <f t="shared" si="75"/>
        <v>665052.7768039013</v>
      </c>
      <c r="N697" s="18">
        <f>IF($A697&gt;30,0,(N685-MIN(MAX(O696,0),N685))+MIN(MAX(0,P696-(N685-MIN(MAX(O696,0),N685))),MAX(0,2*N685-(O696-MIN(MAX(O696,0),N685)))))</f>
        <v>46925.712971240428</v>
      </c>
      <c r="O697" s="18">
        <f>IF($A697&gt;30,O696,(O696-N685+N697)*(1+$B$7))</f>
        <v>92845.076260015776</v>
      </c>
      <c r="P697" s="18">
        <f t="shared" si="76"/>
        <v>665051.12920660595</v>
      </c>
      <c r="Q697" s="18">
        <f>IF($A697&gt;30,0,(Q685-MIN(MAX(R696,0),Q685))+MIN(MAX(0,S696-(Q685-MIN(MAX(R696,0),Q685))),MAX(0,2*Q685-(R696-MIN(MAX(R696,0),Q685)))))</f>
        <v>46925.713031853564</v>
      </c>
      <c r="R697" s="18">
        <f>IF($A697&gt;30,R696,(R696-Q685+Q697)*(1+$B$7))</f>
        <v>92845.076379942198</v>
      </c>
      <c r="S697" s="18">
        <f t="shared" si="77"/>
        <v>665051.12832972722</v>
      </c>
    </row>
    <row r="698" spans="1:19">
      <c r="A698" s="10">
        <f>11</f>
        <v>11</v>
      </c>
      <c r="B698" s="18">
        <f>IF($A698&gt;30,0,(B685-MIN(MAX(C697,0),B685))+MIN(MAX(0,D697-(B685-MIN(MAX(C697,0),B685))),MAX(0,2*B685-(C697-MIN(MAX(C697,0),B685)))))</f>
        <v>30216</v>
      </c>
      <c r="C698" s="18">
        <f>IF($A698&gt;30,C697,(C697-B685+B698)*(1+$B$7))</f>
        <v>59784</v>
      </c>
      <c r="D698" s="18">
        <f t="shared" si="72"/>
        <v>902868.46776558424</v>
      </c>
      <c r="E698" s="18">
        <f>IF($A698&gt;30,0,(E685-MIN(MAX(F697,0),E685))+MIN(MAX(0,G697-(E685-MIN(MAX(F697,0),E685))),MAX(0,2*E685-(F697-MIN(MAX(F697,0),E685)))))</f>
        <v>75540</v>
      </c>
      <c r="F698" s="18">
        <f>IF($A698&gt;30,F697,(F697-E685+E698)*(1+$B$7))</f>
        <v>149460</v>
      </c>
      <c r="G698" s="18">
        <f t="shared" si="73"/>
        <v>180820.36332729156</v>
      </c>
      <c r="H698" s="18">
        <f>IF($A698&gt;30,0,(H685-MIN(MAX(I697,0),H685))+MIN(MAX(0,J697-(H685-MIN(MAX(I697,0),H685))),MAX(0,2*H685-(I697-MIN(MAX(I697,0),H685)))))</f>
        <v>47589.538131223846</v>
      </c>
      <c r="I698" s="18">
        <f>IF($A698&gt;30,I697,(I697-H685+H698)*(1+$B$7))</f>
        <v>94158.490456615255</v>
      </c>
      <c r="J698" s="18">
        <f t="shared" si="74"/>
        <v>626093.90517100773</v>
      </c>
      <c r="K698" s="18">
        <f>IF($A698&gt;30,0,(K685-MIN(MAX(L697,0),K685))+MIN(MAX(0,M697-(K685-MIN(MAX(L697,0),K685))),MAX(0,2*K685-(L697-MIN(MAX(L697,0),K685)))))</f>
        <v>46925.599083134039</v>
      </c>
      <c r="L698" s="18">
        <f>IF($A698&gt;30,L697,(L697-K685+K698)*(1+$B$7))</f>
        <v>92844.850926200874</v>
      </c>
      <c r="M698" s="18">
        <f t="shared" si="75"/>
        <v>636670.99305239029</v>
      </c>
      <c r="N698" s="18">
        <f>IF($A698&gt;30,0,(N685-MIN(MAX(O697,0),N685))+MIN(MAX(0,P697-(N685-MIN(MAX(O697,0),N685))),MAX(0,2*N685-(O697-MIN(MAX(O697,0),N685)))))</f>
        <v>46925.712971240428</v>
      </c>
      <c r="O698" s="18">
        <f>IF($A698&gt;30,O697,(O697-N685+N698)*(1+$B$7))</f>
        <v>92845.076260015776</v>
      </c>
      <c r="P698" s="18">
        <f t="shared" si="76"/>
        <v>636669.17872242653</v>
      </c>
      <c r="Q698" s="18">
        <f>IF($A698&gt;30,0,(Q685-MIN(MAX(R697,0),Q685))+MIN(MAX(0,S697-(Q685-MIN(MAX(R697,0),Q685))),MAX(0,2*Q685-(R697-MIN(MAX(R697,0),Q685)))))</f>
        <v>46925.713031853564</v>
      </c>
      <c r="R698" s="18">
        <f>IF($A698&gt;30,R697,(R697-Q685+Q698)*(1+$B$7))</f>
        <v>92845.076379942198</v>
      </c>
      <c r="S698" s="18">
        <f t="shared" si="77"/>
        <v>636669.17775680986</v>
      </c>
    </row>
    <row r="699" spans="1:19">
      <c r="A699" s="10">
        <f>12</f>
        <v>12</v>
      </c>
      <c r="B699" s="18">
        <f>IF($A699&gt;30,0,(B685-MIN(MAX(C698,0),B685))+MIN(MAX(0,D698-(B685-MIN(MAX(C698,0),B685))),MAX(0,2*B685-(C698-MIN(MAX(C698,0),B685)))))</f>
        <v>30216</v>
      </c>
      <c r="C699" s="18">
        <f>IF($A699&gt;30,C698,(C698-B685+B699)*(1+$B$7))</f>
        <v>59784</v>
      </c>
      <c r="D699" s="18">
        <f t="shared" si="72"/>
        <v>898832.0417985518</v>
      </c>
      <c r="E699" s="18">
        <f>IF($A699&gt;30,0,(E685-MIN(MAX(F698,0),E685))+MIN(MAX(0,G698-(E685-MIN(MAX(F698,0),E685))),MAX(0,2*E685-(F698-MIN(MAX(F698,0),E685)))))</f>
        <v>75540</v>
      </c>
      <c r="F699" s="18">
        <f>IF($A699&gt;30,F698,(F698-E685+E699)*(1+$B$7))</f>
        <v>149460</v>
      </c>
      <c r="G699" s="18">
        <f t="shared" si="73"/>
        <v>108438.77422711031</v>
      </c>
      <c r="H699" s="18">
        <f>IF($A699&gt;30,0,(H685-MIN(MAX(I698,0),H685))+MIN(MAX(0,J698-(H685-MIN(MAX(I698,0),H685))),MAX(0,2*H685-(I698-MIN(MAX(I698,0),H685)))))</f>
        <v>47589.538131223846</v>
      </c>
      <c r="I699" s="18">
        <f>IF($A699&gt;30,I698,(I698-H685+H699)*(1+$B$7))</f>
        <v>94158.490456615255</v>
      </c>
      <c r="J699" s="18">
        <f t="shared" si="74"/>
        <v>595859.49805097736</v>
      </c>
      <c r="K699" s="18">
        <f>IF($A699&gt;30,0,(K685-MIN(MAX(L698,0),K685))+MIN(MAX(0,M698-(K685-MIN(MAX(L698,0),K685))),MAX(0,2*K685-(L698-MIN(MAX(L698,0),K685)))))</f>
        <v>46925.599083134039</v>
      </c>
      <c r="L699" s="18">
        <f>IF($A699&gt;30,L698,(L698-K685+K699)*(1+$B$7))</f>
        <v>92844.850926200874</v>
      </c>
      <c r="M699" s="18">
        <f t="shared" si="75"/>
        <v>607437.75578833395</v>
      </c>
      <c r="N699" s="18">
        <f>IF($A699&gt;30,0,(N685-MIN(MAX(O698,0),N685))+MIN(MAX(0,P698-(N685-MIN(MAX(O698,0),N685))),MAX(0,2*N685-(O698-MIN(MAX(O698,0),N685)))))</f>
        <v>46925.712971240428</v>
      </c>
      <c r="O699" s="18">
        <f>IF($A699&gt;30,O698,(O698-N685+N699)*(1+$B$7))</f>
        <v>92845.076260015776</v>
      </c>
      <c r="P699" s="18">
        <f t="shared" si="76"/>
        <v>607435.76972372178</v>
      </c>
      <c r="Q699" s="18">
        <f>IF($A699&gt;30,0,(Q685-MIN(MAX(R698,0),Q685))+MIN(MAX(0,S698-(Q685-MIN(MAX(R698,0),Q685))),MAX(0,2*Q685-(R698-MIN(MAX(R698,0),Q685)))))</f>
        <v>46925.713031853564</v>
      </c>
      <c r="R699" s="18">
        <f>IF($A699&gt;30,R698,(R698-Q685+Q699)*(1+$B$7))</f>
        <v>92845.076379942198</v>
      </c>
      <c r="S699" s="18">
        <f t="shared" si="77"/>
        <v>607435.768666705</v>
      </c>
    </row>
    <row r="700" spans="1:19">
      <c r="A700" s="10">
        <f>13</f>
        <v>13</v>
      </c>
      <c r="B700" s="18">
        <f>IF($A700&gt;30,0,(B685-MIN(MAX(C699,0),B685))+MIN(MAX(0,D699-(B685-MIN(MAX(C699,0),B685))),MAX(0,2*B685-(C699-MIN(MAX(C699,0),B685)))))</f>
        <v>30216</v>
      </c>
      <c r="C700" s="18">
        <f>IF($A700&gt;30,C699,(C699-B685+B700)*(1+$B$7))</f>
        <v>59784</v>
      </c>
      <c r="D700" s="18">
        <f t="shared" si="72"/>
        <v>894674.52305250836</v>
      </c>
      <c r="E700" s="18">
        <f>IF($A700&gt;30,0,(E685-MIN(MAX(F699,0),E685))+MIN(MAX(0,G699-(E685-MIN(MAX(F699,0),E685))),MAX(0,2*E685-(F699-MIN(MAX(F699,0),E685)))))</f>
        <v>75540</v>
      </c>
      <c r="F700" s="18">
        <f>IF($A700&gt;30,F699,(F699-E685+E700)*(1+$B$7))</f>
        <v>149460</v>
      </c>
      <c r="G700" s="18">
        <f t="shared" si="73"/>
        <v>33885.737453923619</v>
      </c>
      <c r="H700" s="18">
        <f>IF($A700&gt;30,0,(H685-MIN(MAX(I699,0),H685))+MIN(MAX(0,J699-(H685-MIN(MAX(I699,0),H685))),MAX(0,2*H685-(I699-MIN(MAX(I699,0),H685)))))</f>
        <v>47589.538131223846</v>
      </c>
      <c r="I700" s="18">
        <f>IF($A700&gt;30,I699,(I699-H685+H700)*(1+$B$7))</f>
        <v>94158.490456615255</v>
      </c>
      <c r="J700" s="18">
        <f t="shared" si="74"/>
        <v>564718.05871734605</v>
      </c>
      <c r="K700" s="18">
        <f>IF($A700&gt;30,0,(K685-MIN(MAX(L699,0),K685))+MIN(MAX(0,M699-(K685-MIN(MAX(L699,0),K685))),MAX(0,2*K685-(L699-MIN(MAX(L699,0),K685)))))</f>
        <v>46925.599083134039</v>
      </c>
      <c r="L700" s="18">
        <f>IF($A700&gt;30,L699,(L699-K685+K700)*(1+$B$7))</f>
        <v>92844.850926200874</v>
      </c>
      <c r="M700" s="18">
        <f t="shared" si="75"/>
        <v>577327.5214063559</v>
      </c>
      <c r="N700" s="18">
        <f>IF($A700&gt;30,0,(N685-MIN(MAX(O699,0),N685))+MIN(MAX(0,P699-(N685-MIN(MAX(O699,0),N685))),MAX(0,2*N685-(O699-MIN(MAX(O699,0),N685)))))</f>
        <v>46925.712971240428</v>
      </c>
      <c r="O700" s="18">
        <f>IF($A700&gt;30,O699,(O699-N685+N700)*(1+$B$7))</f>
        <v>92845.076260015776</v>
      </c>
      <c r="P700" s="18">
        <f t="shared" si="76"/>
        <v>577325.35845505586</v>
      </c>
      <c r="Q700" s="18">
        <f>IF($A700&gt;30,0,(Q685-MIN(MAX(R699,0),Q685))+MIN(MAX(0,S699-(Q685-MIN(MAX(R699,0),Q685))),MAX(0,2*Q685-(R699-MIN(MAX(R699,0),Q685)))))</f>
        <v>46925.713031853564</v>
      </c>
      <c r="R700" s="18">
        <f>IF($A700&gt;30,R699,(R699-Q685+Q700)*(1+$B$7))</f>
        <v>92845.076379942198</v>
      </c>
      <c r="S700" s="18">
        <f t="shared" si="77"/>
        <v>577325.35730389704</v>
      </c>
    </row>
    <row r="701" spans="1:19">
      <c r="A701" s="10">
        <f>14</f>
        <v>14</v>
      </c>
      <c r="B701" s="18">
        <f>IF($A701&gt;30,0,(B685-MIN(MAX(C700,0),B685))+MIN(MAX(0,D700-(B685-MIN(MAX(C700,0),B685))),MAX(0,2*B685-(C700-MIN(MAX(C700,0),B685)))))</f>
        <v>30216</v>
      </c>
      <c r="C701" s="18">
        <f>IF($A701&gt;30,C700,(C700-B685+B701)*(1+$B$7))</f>
        <v>59784</v>
      </c>
      <c r="D701" s="18">
        <f t="shared" si="72"/>
        <v>890392.2787440836</v>
      </c>
      <c r="E701" s="18">
        <f>IF($A701&gt;30,0,(E685-MIN(MAX(F700,0),E685))+MIN(MAX(0,G700-(E685-MIN(MAX(F700,0),E685))),MAX(0,2*E685-(F700-MIN(MAX(F700,0),E685)))))</f>
        <v>33885.737453923619</v>
      </c>
      <c r="F701" s="18">
        <f>IF($A701&gt;30,F700,(F700-E685+E701)*(1+$B$7))</f>
        <v>107955.69279908949</v>
      </c>
      <c r="G701" s="18">
        <f t="shared" si="73"/>
        <v>0</v>
      </c>
      <c r="H701" s="18">
        <f>IF($A701&gt;30,0,(H685-MIN(MAX(I700,0),H685))+MIN(MAX(0,J700-(H685-MIN(MAX(I700,0),H685))),MAX(0,2*H685-(I700-MIN(MAX(I700,0),H685)))))</f>
        <v>47589.538131223846</v>
      </c>
      <c r="I701" s="18">
        <f>IF($A701&gt;30,I700,(I700-H685+H701)*(1+$B$7))</f>
        <v>94158.490456615255</v>
      </c>
      <c r="J701" s="18">
        <f t="shared" si="74"/>
        <v>532642.37620370591</v>
      </c>
      <c r="K701" s="18">
        <f>IF($A701&gt;30,0,(K685-MIN(MAX(L700,0),K685))+MIN(MAX(0,M700-(K685-MIN(MAX(L700,0),K685))),MAX(0,2*K685-(L700-MIN(MAX(L700,0),K685)))))</f>
        <v>46925.599083134039</v>
      </c>
      <c r="L701" s="18">
        <f>IF($A701&gt;30,L700,(L700-K685+K701)*(1+$B$7))</f>
        <v>92844.850926200874</v>
      </c>
      <c r="M701" s="18">
        <f t="shared" si="75"/>
        <v>546313.97999291844</v>
      </c>
      <c r="N701" s="18">
        <f>IF($A701&gt;30,0,(N685-MIN(MAX(O700,0),N685))+MIN(MAX(0,P700-(N685-MIN(MAX(O700,0),N685))),MAX(0,2*N685-(O700-MIN(MAX(O700,0),N685)))))</f>
        <v>46925.712971240428</v>
      </c>
      <c r="O701" s="18">
        <f>IF($A701&gt;30,O700,(O700-N685+N701)*(1+$B$7))</f>
        <v>92845.076260015776</v>
      </c>
      <c r="P701" s="18">
        <f t="shared" si="76"/>
        <v>546311.63484832994</v>
      </c>
      <c r="Q701" s="18">
        <f>IF($A701&gt;30,0,(Q685-MIN(MAX(R700,0),Q685))+MIN(MAX(0,S700-(Q685-MIN(MAX(R700,0),Q685))),MAX(0,2*Q685-(R700-MIN(MAX(R700,0),Q685)))))</f>
        <v>46925.713031853564</v>
      </c>
      <c r="R701" s="18">
        <f>IF($A701&gt;30,R700,(R700-Q685+Q701)*(1+$B$7))</f>
        <v>92845.076379942198</v>
      </c>
      <c r="S701" s="18">
        <f t="shared" si="77"/>
        <v>546311.63360020483</v>
      </c>
    </row>
    <row r="702" spans="1:19">
      <c r="A702" s="10">
        <f>15</f>
        <v>15</v>
      </c>
      <c r="B702" s="18">
        <f>IF($A702&gt;30,0,(B685-MIN(MAX(C701,0),B685))+MIN(MAX(0,D701-(B685-MIN(MAX(C701,0),B685))),MAX(0,2*B685-(C701-MIN(MAX(C701,0),B685)))))</f>
        <v>30216</v>
      </c>
      <c r="C702" s="18">
        <f>IF($A702&gt;30,C701,(C701-B685+B702)*(1+$B$7))</f>
        <v>59784</v>
      </c>
      <c r="D702" s="18">
        <f t="shared" si="72"/>
        <v>885981.56710640609</v>
      </c>
      <c r="E702" s="18">
        <f>IF($A702&gt;30,0,(E685-MIN(MAX(F701,0),E685))+MIN(MAX(0,G701-(E685-MIN(MAX(F701,0),E685))),MAX(0,2*E685-(F701-MIN(MAX(F701,0),E685)))))</f>
        <v>0</v>
      </c>
      <c r="F702" s="18">
        <f>IF($A702&gt;30,F701,(F701-E685+E702)*(1+$B$7))</f>
        <v>32837.052305012767</v>
      </c>
      <c r="G702" s="18">
        <f t="shared" si="73"/>
        <v>0</v>
      </c>
      <c r="H702" s="18">
        <f>IF($A702&gt;30,0,(H685-MIN(MAX(I701,0),H685))+MIN(MAX(0,J701-(H685-MIN(MAX(I701,0),H685))),MAX(0,2*H685-(I701-MIN(MAX(I701,0),H685)))))</f>
        <v>47589.538131223846</v>
      </c>
      <c r="I702" s="18">
        <f>IF($A702&gt;30,I701,(I701-H685+H702)*(1+$B$7))</f>
        <v>94158.490456615255</v>
      </c>
      <c r="J702" s="18">
        <f t="shared" si="74"/>
        <v>499604.42321465653</v>
      </c>
      <c r="K702" s="18">
        <f>IF($A702&gt;30,0,(K685-MIN(MAX(L701,0),K685))+MIN(MAX(0,M701-(K685-MIN(MAX(L701,0),K685))),MAX(0,2*K685-(L701-MIN(MAX(L701,0),K685)))))</f>
        <v>46925.599083134039</v>
      </c>
      <c r="L702" s="18">
        <f>IF($A702&gt;30,L701,(L701-K685+K702)*(1+$B$7))</f>
        <v>92844.850926200874</v>
      </c>
      <c r="M702" s="18">
        <f t="shared" si="75"/>
        <v>514370.03233707795</v>
      </c>
      <c r="N702" s="18">
        <f>IF($A702&gt;30,0,(N685-MIN(MAX(O701,0),N685))+MIN(MAX(0,P701-(N685-MIN(MAX(O701,0),N685))),MAX(0,2*N685-(O701-MIN(MAX(O701,0),N685)))))</f>
        <v>46925.712971240428</v>
      </c>
      <c r="O702" s="18">
        <f>IF($A702&gt;30,O701,(O701-N685+N702)*(1+$B$7))</f>
        <v>92845.076260015776</v>
      </c>
      <c r="P702" s="18">
        <f t="shared" si="76"/>
        <v>514367.49953340221</v>
      </c>
      <c r="Q702" s="18">
        <f>IF($A702&gt;30,0,(Q685-MIN(MAX(R701,0),Q685))+MIN(MAX(0,S701-(Q685-MIN(MAX(R701,0),Q685))),MAX(0,2*Q685-(R701-MIN(MAX(R701,0),Q685)))))</f>
        <v>46925.713031853564</v>
      </c>
      <c r="R702" s="18">
        <f>IF($A702&gt;30,R701,(R701-Q685+Q702)*(1+$B$7))</f>
        <v>92845.076379942198</v>
      </c>
      <c r="S702" s="18">
        <f t="shared" si="77"/>
        <v>514367.49818540184</v>
      </c>
    </row>
    <row r="703" spans="1:19">
      <c r="A703" s="10">
        <f>16</f>
        <v>16</v>
      </c>
      <c r="B703" s="18">
        <f>IF($A703&gt;30,0,(B685-MIN(MAX(C702,0),B685))+MIN(MAX(0,D702-(B685-MIN(MAX(C702,0),B685))),MAX(0,2*B685-(C702-MIN(MAX(C702,0),B685)))))</f>
        <v>30216</v>
      </c>
      <c r="C703" s="18">
        <f>IF($A703&gt;30,C702,(C702-B685+B703)*(1+$B$7))</f>
        <v>59784</v>
      </c>
      <c r="D703" s="18">
        <f t="shared" si="72"/>
        <v>881438.53411959833</v>
      </c>
      <c r="E703" s="18">
        <f>IF($A703&gt;30,0,(E685-MIN(MAX(F702,0),E685))+MIN(MAX(0,G702-(E685-MIN(MAX(F702,0),E685))),MAX(0,2*E685-(F702-MIN(MAX(F702,0),E685)))))</f>
        <v>42162.947694987233</v>
      </c>
      <c r="F703" s="18">
        <f>IF($A703&gt;30,F702,(F702-E685+E703)*(1+$B$7))</f>
        <v>0</v>
      </c>
      <c r="G703" s="18">
        <f t="shared" si="73"/>
        <v>-43427.836125836853</v>
      </c>
      <c r="H703" s="18">
        <f>IF($A703&gt;30,0,(H685-MIN(MAX(I702,0),H685))+MIN(MAX(0,J702-(H685-MIN(MAX(I702,0),H685))),MAX(0,2*H685-(I702-MIN(MAX(I702,0),H685)))))</f>
        <v>47589.538131223846</v>
      </c>
      <c r="I703" s="18">
        <f>IF($A703&gt;30,I702,(I702-H685+H703)*(1+$B$7))</f>
        <v>94158.490456615255</v>
      </c>
      <c r="J703" s="18">
        <f t="shared" si="74"/>
        <v>465575.33163593564</v>
      </c>
      <c r="K703" s="18">
        <f>IF($A703&gt;30,0,(K685-MIN(MAX(L702,0),K685))+MIN(MAX(0,M702-(K685-MIN(MAX(L702,0),K685))),MAX(0,2*K685-(L702-MIN(MAX(L702,0),K685)))))</f>
        <v>46925.599083134039</v>
      </c>
      <c r="L703" s="18">
        <f>IF($A703&gt;30,L702,(L702-K685+K703)*(1+$B$7))</f>
        <v>92844.850926200874</v>
      </c>
      <c r="M703" s="18">
        <f t="shared" si="75"/>
        <v>481467.76625156222</v>
      </c>
      <c r="N703" s="18">
        <f>IF($A703&gt;30,0,(N685-MIN(MAX(O702,0),N685))+MIN(MAX(0,P702-(N685-MIN(MAX(O702,0),N685))),MAX(0,2*N685-(O702-MIN(MAX(O702,0),N685)))))</f>
        <v>46925.712971240428</v>
      </c>
      <c r="O703" s="18">
        <f>IF($A703&gt;30,O702,(O702-N685+N703)*(1+$B$7))</f>
        <v>92845.076260015776</v>
      </c>
      <c r="P703" s="18">
        <f t="shared" si="76"/>
        <v>481465.04015902663</v>
      </c>
      <c r="Q703" s="18">
        <f>IF($A703&gt;30,0,(Q685-MIN(MAX(R702,0),Q685))+MIN(MAX(0,S702-(Q685-MIN(MAX(R702,0),Q685))),MAX(0,2*Q685-(R702-MIN(MAX(R702,0),Q685)))))</f>
        <v>46925.713031853564</v>
      </c>
      <c r="R703" s="18">
        <f>IF($A703&gt;30,R702,(R702-Q685+Q703)*(1+$B$7))</f>
        <v>92845.076379942198</v>
      </c>
      <c r="S703" s="18">
        <f t="shared" si="77"/>
        <v>481465.03870815475</v>
      </c>
    </row>
    <row r="704" spans="1:19">
      <c r="A704" s="10">
        <f>17</f>
        <v>17</v>
      </c>
      <c r="B704" s="18">
        <f>IF($A704&gt;30,0,(B685-MIN(MAX(C703,0),B685))+MIN(MAX(0,D703-(B685-MIN(MAX(C703,0),B685))),MAX(0,2*B685-(C703-MIN(MAX(C703,0),B685)))))</f>
        <v>30216</v>
      </c>
      <c r="C704" s="18">
        <f>IF($A704&gt;30,C703,(C703-B685+B704)*(1+$B$7))</f>
        <v>59784</v>
      </c>
      <c r="D704" s="18">
        <f t="shared" si="72"/>
        <v>876759.21014318627</v>
      </c>
      <c r="E704" s="18">
        <f>IF($A704&gt;30,0,(E685-MIN(MAX(F703,0),E685))+MIN(MAX(0,G703-(E685-MIN(MAX(F703,0),E685))),MAX(0,2*E685-(F703-MIN(MAX(F703,0),E685)))))</f>
        <v>75000</v>
      </c>
      <c r="F704" s="18">
        <f>IF($A704&gt;30,F703,(F703-E685+E704)*(1+$B$7))</f>
        <v>0</v>
      </c>
      <c r="G704" s="18">
        <f t="shared" si="73"/>
        <v>-121980.67120961196</v>
      </c>
      <c r="H704" s="18">
        <f>IF($A704&gt;30,0,(H685-MIN(MAX(I703,0),H685))+MIN(MAX(0,J703-(H685-MIN(MAX(I703,0),H685))),MAX(0,2*H685-(I703-MIN(MAX(I703,0),H685)))))</f>
        <v>47589.538131223846</v>
      </c>
      <c r="I704" s="18">
        <f>IF($A704&gt;30,I703,(I703-H685+H704)*(1+$B$7))</f>
        <v>94158.490456615255</v>
      </c>
      <c r="J704" s="18">
        <f t="shared" si="74"/>
        <v>430525.3673098532</v>
      </c>
      <c r="K704" s="18">
        <f>IF($A704&gt;30,0,(K685-MIN(MAX(L703,0),K685))+MIN(MAX(0,M703-(K685-MIN(MAX(L703,0),K685))),MAX(0,2*K685-(L703-MIN(MAX(L703,0),K685)))))</f>
        <v>46925.599083134039</v>
      </c>
      <c r="L704" s="18">
        <f>IF($A704&gt;30,L703,(L703-K685+K704)*(1+$B$7))</f>
        <v>92844.850926200874</v>
      </c>
      <c r="M704" s="18">
        <f t="shared" si="75"/>
        <v>447578.43218348105</v>
      </c>
      <c r="N704" s="18">
        <f>IF($A704&gt;30,0,(N685-MIN(MAX(O703,0),N685))+MIN(MAX(0,P703-(N685-MIN(MAX(O703,0),N685))),MAX(0,2*N685-(O703-MIN(MAX(O703,0),N685)))))</f>
        <v>46925.712971240428</v>
      </c>
      <c r="O704" s="18">
        <f>IF($A704&gt;30,O703,(O703-N685+N704)*(1+$B$7))</f>
        <v>92845.076260015776</v>
      </c>
      <c r="P704" s="18">
        <f t="shared" si="76"/>
        <v>447575.5070034198</v>
      </c>
      <c r="Q704" s="18">
        <f>IF($A704&gt;30,0,(Q685-MIN(MAX(R703,0),Q685))+MIN(MAX(0,S703-(Q685-MIN(MAX(R703,0),Q685))),MAX(0,2*Q685-(R703-MIN(MAX(R703,0),Q685)))))</f>
        <v>46925.713031853564</v>
      </c>
      <c r="R704" s="18">
        <f>IF($A704&gt;30,R703,(R703-Q685+Q704)*(1+$B$7))</f>
        <v>92845.076379942198</v>
      </c>
      <c r="S704" s="18">
        <f t="shared" si="77"/>
        <v>447575.50544659025</v>
      </c>
    </row>
    <row r="705" spans="1:19">
      <c r="A705" s="10">
        <f>18</f>
        <v>18</v>
      </c>
      <c r="B705" s="18">
        <f>IF($A705&gt;30,0,(B685-MIN(MAX(C704,0),B685))+MIN(MAX(0,D704-(B685-MIN(MAX(C704,0),B685))),MAX(0,2*B685-(C704-MIN(MAX(C704,0),B685)))))</f>
        <v>30216</v>
      </c>
      <c r="C705" s="18">
        <f>IF($A705&gt;30,C704,(C704-B685+B705)*(1+$B$7))</f>
        <v>59784</v>
      </c>
      <c r="D705" s="18">
        <f t="shared" si="72"/>
        <v>871939.50644748192</v>
      </c>
      <c r="E705" s="18">
        <f>IF($A705&gt;30,0,(E685-MIN(MAX(F704,0),E685))+MIN(MAX(0,G704-(E685-MIN(MAX(F704,0),E685))),MAX(0,2*E685-(F704-MIN(MAX(F704,0),E685)))))</f>
        <v>75000</v>
      </c>
      <c r="F705" s="18">
        <f>IF($A705&gt;30,F704,(F704-E685+E705)*(1+$B$7))</f>
        <v>0</v>
      </c>
      <c r="G705" s="18">
        <f t="shared" si="73"/>
        <v>-202890.09134590032</v>
      </c>
      <c r="H705" s="18">
        <f>IF($A705&gt;30,0,(H685-MIN(MAX(I704,0),H685))+MIN(MAX(0,J704-(H685-MIN(MAX(I704,0),H685))),MAX(0,2*H685-(I704-MIN(MAX(I704,0),H685)))))</f>
        <v>47589.538131223846</v>
      </c>
      <c r="I705" s="18">
        <f>IF($A705&gt;30,I704,(I704-H685+H705)*(1+$B$7))</f>
        <v>94158.490456615255</v>
      </c>
      <c r="J705" s="18">
        <f t="shared" si="74"/>
        <v>394423.90405398823</v>
      </c>
      <c r="K705" s="18">
        <f>IF($A705&gt;30,0,(K685-MIN(MAX(L704,0),K685))+MIN(MAX(0,M704-(K685-MIN(MAX(L704,0),K685))),MAX(0,2*K685-(L704-MIN(MAX(L704,0),K685)))))</f>
        <v>46925.599083134039</v>
      </c>
      <c r="L705" s="18">
        <f>IF($A705&gt;30,L704,(L704-K685+K705)*(1+$B$7))</f>
        <v>92844.850926200874</v>
      </c>
      <c r="M705" s="18">
        <f t="shared" si="75"/>
        <v>412672.41809335747</v>
      </c>
      <c r="N705" s="18">
        <f>IF($A705&gt;30,0,(N685-MIN(MAX(O704,0),N685))+MIN(MAX(0,P704-(N685-MIN(MAX(O704,0),N685))),MAX(0,2*N685-(O704-MIN(MAX(O704,0),N685)))))</f>
        <v>46925.712971240428</v>
      </c>
      <c r="O705" s="18">
        <f>IF($A705&gt;30,O704,(O704-N685+N705)*(1+$B$7))</f>
        <v>92845.076260015776</v>
      </c>
      <c r="P705" s="18">
        <f t="shared" si="76"/>
        <v>412669.28785314481</v>
      </c>
      <c r="Q705" s="18">
        <f>IF($A705&gt;30,0,(Q685-MIN(MAX(R704,0),Q685))+MIN(MAX(0,S704-(Q685-MIN(MAX(R704,0),Q685))),MAX(0,2*Q685-(R704-MIN(MAX(R704,0),Q685)))))</f>
        <v>46925.713031853564</v>
      </c>
      <c r="R705" s="18">
        <f>IF($A705&gt;30,R704,(R704-Q685+Q705)*(1+$B$7))</f>
        <v>92845.076379942198</v>
      </c>
      <c r="S705" s="18">
        <f t="shared" si="77"/>
        <v>412669.2861871788</v>
      </c>
    </row>
    <row r="706" spans="1:19">
      <c r="A706" s="10">
        <f>19</f>
        <v>19</v>
      </c>
      <c r="B706" s="18">
        <f>IF($A706&gt;30,0,(B685-MIN(MAX(C705,0),B685))+MIN(MAX(0,D705-(B685-MIN(MAX(C705,0),B685))),MAX(0,2*B685-(C705-MIN(MAX(C705,0),B685)))))</f>
        <v>30216</v>
      </c>
      <c r="C706" s="18">
        <f>IF($A706&gt;30,C705,(C705-B685+B706)*(1+$B$7))</f>
        <v>59784</v>
      </c>
      <c r="D706" s="18">
        <f t="shared" si="72"/>
        <v>866975.2116409064</v>
      </c>
      <c r="E706" s="18">
        <f>IF($A706&gt;30,0,(E685-MIN(MAX(F705,0),E685))+MIN(MAX(0,G705-(E685-MIN(MAX(F705,0),E685))),MAX(0,2*E685-(F705-MIN(MAX(F705,0),E685)))))</f>
        <v>75000</v>
      </c>
      <c r="F706" s="18">
        <f>IF($A706&gt;30,F705,(F705-E685+E706)*(1+$B$7))</f>
        <v>0</v>
      </c>
      <c r="G706" s="18">
        <f t="shared" si="73"/>
        <v>-286226.79408627731</v>
      </c>
      <c r="H706" s="18">
        <f>IF($A706&gt;30,0,(H685-MIN(MAX(I705,0),H685))+MIN(MAX(0,J705-(H685-MIN(MAX(I705,0),H685))),MAX(0,2*H685-(I705-MIN(MAX(I705,0),H685)))))</f>
        <v>47589.538131223846</v>
      </c>
      <c r="I706" s="18">
        <f>IF($A706&gt;30,I705,(I705-H685+H706)*(1+$B$7))</f>
        <v>94158.490456615255</v>
      </c>
      <c r="J706" s="18">
        <f t="shared" si="74"/>
        <v>357239.39690044738</v>
      </c>
      <c r="K706" s="18">
        <f>IF($A706&gt;30,0,(K685-MIN(MAX(L705,0),K685))+MIN(MAX(0,M705-(K685-MIN(MAX(L705,0),K685))),MAX(0,2*K685-(L705-MIN(MAX(L705,0),K685)))))</f>
        <v>46925.599083134039</v>
      </c>
      <c r="L706" s="18">
        <f>IF($A706&gt;30,L705,(L705-K685+K706)*(1+$B$7))</f>
        <v>92844.850926200874</v>
      </c>
      <c r="M706" s="18">
        <f t="shared" si="75"/>
        <v>376719.22358053015</v>
      </c>
      <c r="N706" s="18">
        <f>IF($A706&gt;30,0,(N685-MIN(MAX(O705,0),N685))+MIN(MAX(0,P705-(N685-MIN(MAX(O705,0),N685))),MAX(0,2*N685-(O705-MIN(MAX(O705,0),N685)))))</f>
        <v>46925.712971240428</v>
      </c>
      <c r="O706" s="18">
        <f>IF($A706&gt;30,O705,(O705-N685+N706)*(1+$B$7))</f>
        <v>92845.076260015776</v>
      </c>
      <c r="P706" s="18">
        <f t="shared" si="76"/>
        <v>376715.88212836155</v>
      </c>
      <c r="Q706" s="18">
        <f>IF($A706&gt;30,0,(Q685-MIN(MAX(R705,0),Q685))+MIN(MAX(0,S705-(Q685-MIN(MAX(R705,0),Q685))),MAX(0,2*Q685-(R705-MIN(MAX(R705,0),Q685)))))</f>
        <v>46925.713031853564</v>
      </c>
      <c r="R706" s="18">
        <f>IF($A706&gt;30,R705,(R705-Q685+Q706)*(1+$B$7))</f>
        <v>92845.076379942198</v>
      </c>
      <c r="S706" s="18">
        <f t="shared" si="77"/>
        <v>376715.88034998503</v>
      </c>
    </row>
    <row r="707" spans="1:19">
      <c r="A707" s="10">
        <f>20</f>
        <v>20</v>
      </c>
      <c r="B707" s="18">
        <f>IF($A707&gt;30,0,(B685-MIN(MAX(C706,0),B685))+MIN(MAX(0,D706-(B685-MIN(MAX(C706,0),B685))),MAX(0,2*B685-(C706-MIN(MAX(C706,0),B685)))))</f>
        <v>30216</v>
      </c>
      <c r="C707" s="18">
        <f>IF($A707&gt;30,C706,(C706-B685+B707)*(1+$B$7))</f>
        <v>59784</v>
      </c>
      <c r="D707" s="18">
        <f t="shared" si="72"/>
        <v>861861.98799013358</v>
      </c>
      <c r="E707" s="18">
        <f>IF($A707&gt;30,0,(E685-MIN(MAX(F706,0),E685))+MIN(MAX(0,G706-(E685-MIN(MAX(F706,0),E685))),MAX(0,2*E685-(F706-MIN(MAX(F706,0),E685)))))</f>
        <v>75000</v>
      </c>
      <c r="F707" s="18">
        <f>IF($A707&gt;30,F706,(F706-E685+E707)*(1+$B$7))</f>
        <v>0</v>
      </c>
      <c r="G707" s="18">
        <f t="shared" si="73"/>
        <v>-372063.59790886566</v>
      </c>
      <c r="H707" s="18">
        <f>IF($A707&gt;30,0,(H685-MIN(MAX(I706,0),H685))+MIN(MAX(0,J706-(H685-MIN(MAX(I706,0),H685))),MAX(0,2*H685-(I706-MIN(MAX(I706,0),H685)))))</f>
        <v>47589.538131223846</v>
      </c>
      <c r="I707" s="18">
        <f>IF($A707&gt;30,I706,(I706-H685+H707)*(1+$B$7))</f>
        <v>94158.490456615255</v>
      </c>
      <c r="J707" s="18">
        <f t="shared" si="74"/>
        <v>318939.35453230026</v>
      </c>
      <c r="K707" s="18">
        <f>IF($A707&gt;30,0,(K685-MIN(MAX(L706,0),K685))+MIN(MAX(0,M706-(K685-MIN(MAX(L706,0),K685))),MAX(0,2*K685-(L706-MIN(MAX(L706,0),K685)))))</f>
        <v>46925.599083134039</v>
      </c>
      <c r="L707" s="18">
        <f>IF($A707&gt;30,L706,(L706-K685+K707)*(1+$B$7))</f>
        <v>92844.850926200874</v>
      </c>
      <c r="M707" s="18">
        <f t="shared" si="75"/>
        <v>339687.43323231803</v>
      </c>
      <c r="N707" s="18">
        <f>IF($A707&gt;30,0,(N685-MIN(MAX(O706,0),N685))+MIN(MAX(0,P706-(N685-MIN(MAX(O706,0),N685))),MAX(0,2*N685-(O706-MIN(MAX(O706,0),N685)))))</f>
        <v>46925.712971240428</v>
      </c>
      <c r="O707" s="18">
        <f>IF($A707&gt;30,O706,(O706-N685+N707)*(1+$B$7))</f>
        <v>92845.076260015776</v>
      </c>
      <c r="P707" s="18">
        <f t="shared" si="76"/>
        <v>339683.87423183472</v>
      </c>
      <c r="Q707" s="18">
        <f>IF($A707&gt;30,0,(Q685-MIN(MAX(R706,0),Q685))+MIN(MAX(0,S706-(Q685-MIN(MAX(R706,0),Q685))),MAX(0,2*Q685-(R706-MIN(MAX(R706,0),Q685)))))</f>
        <v>46925.713031853564</v>
      </c>
      <c r="R707" s="18">
        <f>IF($A707&gt;30,R706,(R706-Q685+Q707)*(1+$B$7))</f>
        <v>92845.076379942198</v>
      </c>
      <c r="S707" s="18">
        <f t="shared" si="77"/>
        <v>339683.87233767542</v>
      </c>
    </row>
    <row r="708" spans="1:19">
      <c r="A708" s="10">
        <f>21</f>
        <v>21</v>
      </c>
      <c r="B708" s="18">
        <f>IF($A708&gt;30,0,(B685-MIN(MAX(C707,0),B685))+MIN(MAX(0,D707-(B685-MIN(MAX(C707,0),B685))),MAX(0,2*B685-(C707-MIN(MAX(C707,0),B685)))))</f>
        <v>30216</v>
      </c>
      <c r="C708" s="18">
        <f>IF($A708&gt;30,C707,(C707-B685+B708)*(1+$B$7))</f>
        <v>59784</v>
      </c>
      <c r="D708" s="18">
        <f t="shared" si="72"/>
        <v>856595.36762983759</v>
      </c>
      <c r="E708" s="18">
        <f>IF($A708&gt;30,0,(E685-MIN(MAX(F707,0),E685))+MIN(MAX(0,G707-(E685-MIN(MAX(F707,0),E685))),MAX(0,2*E685-(F707-MIN(MAX(F707,0),E685)))))</f>
        <v>75000</v>
      </c>
      <c r="F708" s="18">
        <f>IF($A708&gt;30,F707,(F707-E685+E708)*(1+$B$7))</f>
        <v>0</v>
      </c>
      <c r="G708" s="18">
        <f t="shared" si="73"/>
        <v>-460475.50584613165</v>
      </c>
      <c r="H708" s="18">
        <f>IF($A708&gt;30,0,(H685-MIN(MAX(I707,0),H685))+MIN(MAX(0,J707-(H685-MIN(MAX(I707,0),H685))),MAX(0,2*H685-(I707-MIN(MAX(I707,0),H685)))))</f>
        <v>47589.538131223846</v>
      </c>
      <c r="I708" s="18">
        <f>IF($A708&gt;30,I707,(I707-H685+H708)*(1+$B$7))</f>
        <v>94158.490456615255</v>
      </c>
      <c r="J708" s="18">
        <f t="shared" si="74"/>
        <v>279490.31089310866</v>
      </c>
      <c r="K708" s="18">
        <f>IF($A708&gt;30,0,(K685-MIN(MAX(L707,0),K685))+MIN(MAX(0,M707-(K685-MIN(MAX(L707,0),K685))),MAX(0,2*K685-(L707-MIN(MAX(L707,0),K685)))))</f>
        <v>46925.599083134039</v>
      </c>
      <c r="L708" s="18">
        <f>IF($A708&gt;30,L707,(L707-K685+K708)*(1+$B$7))</f>
        <v>92844.850926200874</v>
      </c>
      <c r="M708" s="18">
        <f t="shared" si="75"/>
        <v>301544.68917365954</v>
      </c>
      <c r="N708" s="18">
        <f>IF($A708&gt;30,0,(N685-MIN(MAX(O707,0),N685))+MIN(MAX(0,P707-(N685-MIN(MAX(O707,0),N685))),MAX(0,2*N685-(O707-MIN(MAX(O707,0),N685)))))</f>
        <v>46925.712971240428</v>
      </c>
      <c r="O708" s="18">
        <f>IF($A708&gt;30,O707,(O707-N685+N708)*(1+$B$7))</f>
        <v>92845.076260015776</v>
      </c>
      <c r="P708" s="18">
        <f t="shared" si="76"/>
        <v>301540.90609841212</v>
      </c>
      <c r="Q708" s="18">
        <f>IF($A708&gt;30,0,(Q685-MIN(MAX(R707,0),Q685))+MIN(MAX(0,S707-(Q685-MIN(MAX(R707,0),Q685))),MAX(0,2*Q685-(R707-MIN(MAX(R707,0),Q685)))))</f>
        <v>46925.713031853564</v>
      </c>
      <c r="R708" s="18">
        <f>IF($A708&gt;30,R707,(R707-Q685+Q708)*(1+$B$7))</f>
        <v>92845.076379942198</v>
      </c>
      <c r="S708" s="18">
        <f t="shared" si="77"/>
        <v>301540.90408499655</v>
      </c>
    </row>
    <row r="709" spans="1:19">
      <c r="A709" s="10">
        <f>22</f>
        <v>22</v>
      </c>
      <c r="B709" s="18">
        <f>IF($A709&gt;30,0,(B685-MIN(MAX(C708,0),B685))+MIN(MAX(0,D708-(B685-MIN(MAX(C708,0),B685))),MAX(0,2*B685-(C708-MIN(MAX(C708,0),B685)))))</f>
        <v>30216</v>
      </c>
      <c r="C709" s="18">
        <f>IF($A709&gt;30,C708,(C708-B685+B709)*(1+$B$7))</f>
        <v>59784</v>
      </c>
      <c r="D709" s="18">
        <f t="shared" si="72"/>
        <v>851170.74865873274</v>
      </c>
      <c r="E709" s="18">
        <f>IF($A709&gt;30,0,(E685-MIN(MAX(F708,0),E685))+MIN(MAX(0,G708-(E685-MIN(MAX(F708,0),E685))),MAX(0,2*E685-(F708-MIN(MAX(F708,0),E685)))))</f>
        <v>75000</v>
      </c>
      <c r="F709" s="18">
        <f>IF($A709&gt;30,F708,(F708-E685+E709)*(1+$B$7))</f>
        <v>0</v>
      </c>
      <c r="G709" s="18">
        <f t="shared" si="73"/>
        <v>-551539.7710215156</v>
      </c>
      <c r="H709" s="18">
        <f>IF($A709&gt;30,0,(H685-MIN(MAX(I708,0),H685))+MIN(MAX(0,J708-(H685-MIN(MAX(I708,0),H685))),MAX(0,2*H685-(I708-MIN(MAX(I708,0),H685)))))</f>
        <v>47589.538131223846</v>
      </c>
      <c r="I709" s="18">
        <f>IF($A709&gt;30,I708,(I708-H685+H709)*(1+$B$7))</f>
        <v>94158.490456615255</v>
      </c>
      <c r="J709" s="18">
        <f t="shared" si="74"/>
        <v>238857.79594474137</v>
      </c>
      <c r="K709" s="18">
        <f>IF($A709&gt;30,0,(K685-MIN(MAX(L708,0),K685))+MIN(MAX(0,M708-(K685-MIN(MAX(L708,0),K685))),MAX(0,2*K685-(L708-MIN(MAX(L708,0),K685)))))</f>
        <v>46925.599083134039</v>
      </c>
      <c r="L709" s="18">
        <f>IF($A709&gt;30,L708,(L708-K685+K709)*(1+$B$7))</f>
        <v>92844.850926200874</v>
      </c>
      <c r="M709" s="18">
        <f t="shared" si="75"/>
        <v>262257.66279324127</v>
      </c>
      <c r="N709" s="18">
        <f>IF($A709&gt;30,0,(N685-MIN(MAX(O708,0),N685))+MIN(MAX(0,P708-(N685-MIN(MAX(O708,0),N685))),MAX(0,2*N685-(O708-MIN(MAX(O708,0),N685)))))</f>
        <v>46925.712971240428</v>
      </c>
      <c r="O709" s="18">
        <f>IF($A709&gt;30,O708,(O708-N685+N709)*(1+$B$7))</f>
        <v>92845.076260015776</v>
      </c>
      <c r="P709" s="18">
        <f t="shared" si="76"/>
        <v>262253.64892098686</v>
      </c>
      <c r="Q709" s="18">
        <f>IF($A709&gt;30,0,(Q685-MIN(MAX(R708,0),Q685))+MIN(MAX(0,S708-(Q685-MIN(MAX(R708,0),Q685))),MAX(0,2*Q685-(R708-MIN(MAX(R708,0),Q685)))))</f>
        <v>46925.713031853564</v>
      </c>
      <c r="R709" s="18">
        <f>IF($A709&gt;30,R708,(R708-Q685+Q709)*(1+$B$7))</f>
        <v>92845.076379942198</v>
      </c>
      <c r="S709" s="18">
        <f t="shared" si="77"/>
        <v>262253.6467847373</v>
      </c>
    </row>
    <row r="710" spans="1:19">
      <c r="A710" s="10">
        <f>23</f>
        <v>23</v>
      </c>
      <c r="B710" s="18">
        <f>IF($A710&gt;30,0,(B685-MIN(MAX(C709,0),B685))+MIN(MAX(0,D709-(B685-MIN(MAX(C709,0),B685))),MAX(0,2*B685-(C709-MIN(MAX(C709,0),B685)))))</f>
        <v>30216</v>
      </c>
      <c r="C710" s="18">
        <f>IF($A710&gt;30,C709,(C709-B685+B710)*(1+$B$7))</f>
        <v>59784</v>
      </c>
      <c r="D710" s="18">
        <f t="shared" si="72"/>
        <v>845583.39111849479</v>
      </c>
      <c r="E710" s="18">
        <f>IF($A710&gt;30,0,(E685-MIN(MAX(F709,0),E685))+MIN(MAX(0,G709-(E685-MIN(MAX(F709,0),E685))),MAX(0,2*E685-(F709-MIN(MAX(F709,0),E685)))))</f>
        <v>75000</v>
      </c>
      <c r="F710" s="18">
        <f>IF($A710&gt;30,F709,(F709-E685+E710)*(1+$B$7))</f>
        <v>0</v>
      </c>
      <c r="G710" s="18">
        <f t="shared" si="73"/>
        <v>-645335.96415216103</v>
      </c>
      <c r="H710" s="18">
        <f>IF($A710&gt;30,0,(H685-MIN(MAX(I709,0),H685))+MIN(MAX(0,J709-(H685-MIN(MAX(I709,0),H685))),MAX(0,2*H685-(I709-MIN(MAX(I709,0),H685)))))</f>
        <v>47589.538131223846</v>
      </c>
      <c r="I710" s="18">
        <f>IF($A710&gt;30,I709,(I709-H685+H710)*(1+$B$7))</f>
        <v>94158.490456615255</v>
      </c>
      <c r="J710" s="18">
        <f t="shared" si="74"/>
        <v>197006.30554792305</v>
      </c>
      <c r="K710" s="18">
        <f>IF($A710&gt;30,0,(K685-MIN(MAX(L709,0),K685))+MIN(MAX(0,M709-(K685-MIN(MAX(L709,0),K685))),MAX(0,2*K685-(L709-MIN(MAX(L709,0),K685)))))</f>
        <v>46925.599083134039</v>
      </c>
      <c r="L710" s="18">
        <f>IF($A710&gt;30,L709,(L709-K685+K710)*(1+$B$7))</f>
        <v>92844.850926200874</v>
      </c>
      <c r="M710" s="18">
        <f t="shared" si="75"/>
        <v>221792.02562141046</v>
      </c>
      <c r="N710" s="18">
        <f>IF($A710&gt;30,0,(N685-MIN(MAX(O709,0),N685))+MIN(MAX(0,P709-(N685-MIN(MAX(O709,0),N685))),MAX(0,2*N685-(O709-MIN(MAX(O709,0),N685)))))</f>
        <v>46925.712971240428</v>
      </c>
      <c r="O710" s="18">
        <f>IF($A710&gt;30,O709,(O709-N685+N710)*(1+$B$7))</f>
        <v>92845.076260015776</v>
      </c>
      <c r="P710" s="18">
        <f t="shared" si="76"/>
        <v>221787.77402823884</v>
      </c>
      <c r="Q710" s="18">
        <f>IF($A710&gt;30,0,(Q685-MIN(MAX(R709,0),Q685))+MIN(MAX(0,S709-(Q685-MIN(MAX(R709,0),Q685))),MAX(0,2*Q685-(R709-MIN(MAX(R709,0),Q685)))))</f>
        <v>46925.713031853564</v>
      </c>
      <c r="R710" s="18">
        <f>IF($A710&gt;30,R709,(R709-Q685+Q710)*(1+$B$7))</f>
        <v>92845.076379942198</v>
      </c>
      <c r="S710" s="18">
        <f t="shared" si="77"/>
        <v>221787.77176547027</v>
      </c>
    </row>
    <row r="711" spans="1:19">
      <c r="A711" s="10">
        <f>24</f>
        <v>24</v>
      </c>
      <c r="B711" s="18">
        <f>IF($A711&gt;30,0,(B685-MIN(MAX(C710,0),B685))+MIN(MAX(0,D710-(B685-MIN(MAX(C710,0),B685))),MAX(0,2*B685-(C710-MIN(MAX(C710,0),B685)))))</f>
        <v>30216</v>
      </c>
      <c r="C711" s="18">
        <f>IF($A711&gt;30,C710,(C710-B685+B711)*(1+$B$7))</f>
        <v>59784</v>
      </c>
      <c r="D711" s="18">
        <f t="shared" si="72"/>
        <v>839828.41285204969</v>
      </c>
      <c r="E711" s="18">
        <f>IF($A711&gt;30,0,(E685-MIN(MAX(F710,0),E685))+MIN(MAX(0,G710-(E685-MIN(MAX(F710,0),E685))),MAX(0,2*E685-(F710-MIN(MAX(F710,0),E685)))))</f>
        <v>75000</v>
      </c>
      <c r="F711" s="18">
        <f>IF($A711&gt;30,F710,(F710-E685+E711)*(1+$B$7))</f>
        <v>0</v>
      </c>
      <c r="G711" s="18">
        <f t="shared" si="73"/>
        <v>-741946.04307672591</v>
      </c>
      <c r="H711" s="18">
        <f>IF($A711&gt;30,0,(H685-MIN(MAX(I710,0),H685))+MIN(MAX(0,J710-(H685-MIN(MAX(I710,0),H685))),MAX(0,2*H685-(I710-MIN(MAX(I710,0),H685)))))</f>
        <v>47589.538131223846</v>
      </c>
      <c r="I711" s="18">
        <f>IF($A711&gt;30,I710,(I710-H685+H711)*(1+$B$7))</f>
        <v>94158.490456615255</v>
      </c>
      <c r="J711" s="18">
        <f t="shared" si="74"/>
        <v>153899.27043920019</v>
      </c>
      <c r="K711" s="18">
        <f>IF($A711&gt;30,0,(K685-MIN(MAX(L710,0),K685))+MIN(MAX(0,M710-(K685-MIN(MAX(L710,0),K685))),MAX(0,2*K685-(L710-MIN(MAX(L710,0),K685)))))</f>
        <v>46925.599083134039</v>
      </c>
      <c r="L711" s="18">
        <f>IF($A711&gt;30,L710,(L710-K685+K711)*(1+$B$7))</f>
        <v>92844.850926200874</v>
      </c>
      <c r="M711" s="18">
        <f t="shared" si="75"/>
        <v>180112.41933442472</v>
      </c>
      <c r="N711" s="18">
        <f>IF($A711&gt;30,0,(N685-MIN(MAX(O710,0),N685))+MIN(MAX(0,P710-(N685-MIN(MAX(O710,0),N685))),MAX(0,2*N685-(O710-MIN(MAX(O710,0),N685)))))</f>
        <v>46925.712971240428</v>
      </c>
      <c r="O711" s="18">
        <f>IF($A711&gt;30,O710,(O710-N685+N711)*(1+$B$7))</f>
        <v>92845.076260015776</v>
      </c>
      <c r="P711" s="18">
        <f t="shared" si="76"/>
        <v>180107.92288870836</v>
      </c>
      <c r="Q711" s="18">
        <f>IF($A711&gt;30,0,(Q685-MIN(MAX(R710,0),Q685))+MIN(MAX(0,S710-(Q685-MIN(MAX(R710,0),Q685))),MAX(0,2*Q685-(R710-MIN(MAX(R710,0),Q685)))))</f>
        <v>46925.713031853564</v>
      </c>
      <c r="R711" s="18">
        <f>IF($A711&gt;30,R710,(R710-Q685+Q711)*(1+$B$7))</f>
        <v>92845.076379942198</v>
      </c>
      <c r="S711" s="18">
        <f t="shared" si="77"/>
        <v>180107.92049562524</v>
      </c>
    </row>
    <row r="712" spans="1:19">
      <c r="A712" s="10">
        <f>25</f>
        <v>25</v>
      </c>
      <c r="B712" s="18">
        <f>IF($A712&gt;30,0,(B685-MIN(MAX(C711,0),B685))+MIN(MAX(0,D711-(B685-MIN(MAX(C711,0),B685))),MAX(0,2*B685-(C711-MIN(MAX(C711,0),B685)))))</f>
        <v>30216</v>
      </c>
      <c r="C712" s="18">
        <f>IF($A712&gt;30,C711,(C711-B685+B712)*(1+$B$7))</f>
        <v>59784</v>
      </c>
      <c r="D712" s="18">
        <f t="shared" si="72"/>
        <v>833900.78523761116</v>
      </c>
      <c r="E712" s="18">
        <f>IF($A712&gt;30,0,(E685-MIN(MAX(F711,0),E685))+MIN(MAX(0,G711-(E685-MIN(MAX(F711,0),E685))),MAX(0,2*E685-(F711-MIN(MAX(F711,0),E685)))))</f>
        <v>75000</v>
      </c>
      <c r="F712" s="18">
        <f>IF($A712&gt;30,F711,(F711-E685+E712)*(1+$B$7))</f>
        <v>0</v>
      </c>
      <c r="G712" s="18">
        <f t="shared" si="73"/>
        <v>-841454.42436902772</v>
      </c>
      <c r="H712" s="18">
        <f>IF($A712&gt;30,0,(H685-MIN(MAX(I711,0),H685))+MIN(MAX(0,J711-(H685-MIN(MAX(I711,0),H685))),MAX(0,2*H685-(I711-MIN(MAX(I711,0),H685)))))</f>
        <v>47589.538131223846</v>
      </c>
      <c r="I712" s="18">
        <f>IF($A712&gt;30,I711,(I711-H685+H712)*(1+$B$7))</f>
        <v>94158.490456615255</v>
      </c>
      <c r="J712" s="18">
        <f t="shared" si="74"/>
        <v>109499.02427721563</v>
      </c>
      <c r="K712" s="18">
        <f>IF($A712&gt;30,0,(K685-MIN(MAX(L711,0),K685))+MIN(MAX(0,M711-(K685-MIN(MAX(L711,0),K685))),MAX(0,2*K685-(L711-MIN(MAX(L711,0),K685)))))</f>
        <v>46925.599083134039</v>
      </c>
      <c r="L712" s="18">
        <f>IF($A712&gt;30,L711,(L711-K685+K712)*(1+$B$7))</f>
        <v>92844.850926200874</v>
      </c>
      <c r="M712" s="18">
        <f t="shared" si="75"/>
        <v>137182.42485882941</v>
      </c>
      <c r="N712" s="18">
        <f>IF($A712&gt;30,0,(N685-MIN(MAX(O711,0),N685))+MIN(MAX(0,P711-(N685-MIN(MAX(O711,0),N685))),MAX(0,2*N685-(O711-MIN(MAX(O711,0),N685)))))</f>
        <v>46925.712971240428</v>
      </c>
      <c r="O712" s="18">
        <f>IF($A712&gt;30,O711,(O711-N685+N712)*(1+$B$7))</f>
        <v>92845.076260015776</v>
      </c>
      <c r="P712" s="18">
        <f t="shared" si="76"/>
        <v>137177.67621499198</v>
      </c>
      <c r="Q712" s="18">
        <f>IF($A712&gt;30,0,(Q685-MIN(MAX(R711,0),Q685))+MIN(MAX(0,S711-(Q685-MIN(MAX(R711,0),Q685))),MAX(0,2*Q685-(R711-MIN(MAX(R711,0),Q685)))))</f>
        <v>46925.713031853564</v>
      </c>
      <c r="R712" s="18">
        <f>IF($A712&gt;30,R711,(R711-Q685+Q712)*(1+$B$7))</f>
        <v>92845.076379942198</v>
      </c>
      <c r="S712" s="18">
        <f t="shared" si="77"/>
        <v>137177.67368768484</v>
      </c>
    </row>
    <row r="713" spans="1:19">
      <c r="A713" s="10">
        <f>26</f>
        <v>26</v>
      </c>
      <c r="B713" s="18">
        <f>IF($A713&gt;30,0,(B685-MIN(MAX(C712,0),B685))+MIN(MAX(0,D712-(B685-MIN(MAX(C712,0),B685))),MAX(0,2*B685-(C712-MIN(MAX(C712,0),B685)))))</f>
        <v>30216</v>
      </c>
      <c r="C713" s="18">
        <f>IF($A713&gt;30,C712,(C712-B685+B713)*(1+$B$7))</f>
        <v>59784</v>
      </c>
      <c r="D713" s="18">
        <f t="shared" si="72"/>
        <v>827795.32879473956</v>
      </c>
      <c r="E713" s="18">
        <f>IF($A713&gt;30,0,(E685-MIN(MAX(F712,0),E685))+MIN(MAX(0,G712-(E685-MIN(MAX(F712,0),E685))),MAX(0,2*E685-(F712-MIN(MAX(F712,0),E685)))))</f>
        <v>75000</v>
      </c>
      <c r="F713" s="18">
        <f>IF($A713&gt;30,F712,(F712-E685+E713)*(1+$B$7))</f>
        <v>0</v>
      </c>
      <c r="G713" s="18">
        <f t="shared" si="73"/>
        <v>-943948.05710009858</v>
      </c>
      <c r="H713" s="18">
        <f>IF($A713&gt;30,0,(H685-MIN(MAX(I712,0),H685))+MIN(MAX(0,J712-(H685-MIN(MAX(I712,0),H685))),MAX(0,2*H685-(I712-MIN(MAX(I712,0),H685)))))</f>
        <v>47589.538131223846</v>
      </c>
      <c r="I713" s="18">
        <f>IF($A713&gt;30,I712,(I712-H685+H713)*(1+$B$7))</f>
        <v>94158.490456615255</v>
      </c>
      <c r="J713" s="18">
        <f t="shared" si="74"/>
        <v>63766.770730371543</v>
      </c>
      <c r="K713" s="18">
        <f>IF($A713&gt;30,0,(K685-MIN(MAX(L712,0),K685))+MIN(MAX(0,M712-(K685-MIN(MAX(L712,0),K685))),MAX(0,2*K685-(L712-MIN(MAX(L712,0),K685)))))</f>
        <v>46925.599083134039</v>
      </c>
      <c r="L713" s="18">
        <f>IF($A713&gt;30,L712,(L712-K685+K713)*(1+$B$7))</f>
        <v>92844.850926200874</v>
      </c>
      <c r="M713" s="18">
        <f t="shared" si="75"/>
        <v>92964.530548966242</v>
      </c>
      <c r="N713" s="18">
        <f>IF($A713&gt;30,0,(N685-MIN(MAX(O712,0),N685))+MIN(MAX(0,P712-(N685-MIN(MAX(O712,0),N685))),MAX(0,2*N685-(O712-MIN(MAX(O712,0),N685)))))</f>
        <v>46925.712971240428</v>
      </c>
      <c r="O713" s="18">
        <f>IF($A713&gt;30,O712,(O712-N685+N713)*(1+$B$7))</f>
        <v>92845.076260015776</v>
      </c>
      <c r="P713" s="18">
        <f t="shared" si="76"/>
        <v>92959.52214106411</v>
      </c>
      <c r="Q713" s="18">
        <f>IF($A713&gt;30,0,(Q685-MIN(MAX(R712,0),Q685))+MIN(MAX(0,S712-(Q685-MIN(MAX(R712,0),Q685))),MAX(0,2*Q685-(R712-MIN(MAX(R712,0),Q685)))))</f>
        <v>46925.713031853564</v>
      </c>
      <c r="R713" s="18">
        <f>IF($A713&gt;30,R712,(R712-Q685+Q713)*(1+$B$7))</f>
        <v>92845.076379942198</v>
      </c>
      <c r="S713" s="18">
        <f t="shared" si="77"/>
        <v>92959.519475506226</v>
      </c>
    </row>
    <row r="714" spans="1:19">
      <c r="A714" s="10">
        <f>27</f>
        <v>27</v>
      </c>
      <c r="B714" s="18">
        <f>IF($A714&gt;30,0,(B685-MIN(MAX(C713,0),B685))+MIN(MAX(0,D713-(B685-MIN(MAX(C713,0),B685))),MAX(0,2*B685-(C713-MIN(MAX(C713,0),B685)))))</f>
        <v>30216</v>
      </c>
      <c r="C714" s="18">
        <f>IF($A714&gt;30,C713,(C713-B685+B714)*(1+$B$7))</f>
        <v>59784</v>
      </c>
      <c r="D714" s="18">
        <f t="shared" si="72"/>
        <v>821506.70865858172</v>
      </c>
      <c r="E714" s="18">
        <f>IF($A714&gt;30,0,(E685-MIN(MAX(F713,0),E685))+MIN(MAX(0,G713-(E685-MIN(MAX(F713,0),E685))),MAX(0,2*E685-(F713-MIN(MAX(F713,0),E685)))))</f>
        <v>75000</v>
      </c>
      <c r="F714" s="18">
        <f>IF($A714&gt;30,F713,(F713-E685+E714)*(1+$B$7))</f>
        <v>0</v>
      </c>
      <c r="G714" s="18">
        <f t="shared" si="73"/>
        <v>-1049516.4988131016</v>
      </c>
      <c r="H714" s="18">
        <f>IF($A714&gt;30,0,(H685-MIN(MAX(I713,0),H685))+MIN(MAX(0,J713-(H685-MIN(MAX(I713,0),H685))),MAX(0,2*H685-(I713-MIN(MAX(I713,0),H685)))))</f>
        <v>47589.538131223846</v>
      </c>
      <c r="I714" s="18">
        <f>IF($A714&gt;30,I713,(I713-H685+H714)*(1+$B$7))</f>
        <v>94158.490456615255</v>
      </c>
      <c r="J714" s="18">
        <f t="shared" si="74"/>
        <v>16662.549577122129</v>
      </c>
      <c r="K714" s="18">
        <f>IF($A714&gt;30,0,(K685-MIN(MAX(L713,0),K685))+MIN(MAX(0,M713-(K685-MIN(MAX(L713,0),K685))),MAX(0,2*K685-(L713-MIN(MAX(L713,0),K685)))))</f>
        <v>46925.599083134039</v>
      </c>
      <c r="L714" s="18">
        <f>IF($A714&gt;30,L713,(L713-K685+K714)*(1+$B$7))</f>
        <v>92844.850926200874</v>
      </c>
      <c r="M714" s="18">
        <f t="shared" si="75"/>
        <v>47420.099409807168</v>
      </c>
      <c r="N714" s="18">
        <f>IF($A714&gt;30,0,(N685-MIN(MAX(O713,0),N685))+MIN(MAX(0,P713-(N685-MIN(MAX(O713,0),N685))),MAX(0,2*N685-(O713-MIN(MAX(O713,0),N685)))))</f>
        <v>46925.712971240428</v>
      </c>
      <c r="O714" s="18">
        <f>IF($A714&gt;30,O713,(O713-N685+N714)*(1+$B$7))</f>
        <v>92845.076260015776</v>
      </c>
      <c r="P714" s="18">
        <f t="shared" si="76"/>
        <v>47414.823444918395</v>
      </c>
      <c r="Q714" s="18">
        <f>IF($A714&gt;30,0,(Q685-MIN(MAX(R713,0),Q685))+MIN(MAX(0,S713-(Q685-MIN(MAX(R713,0),Q685))),MAX(0,2*Q685-(R713-MIN(MAX(R713,0),Q685)))))</f>
        <v>46925.713031853564</v>
      </c>
      <c r="R714" s="18">
        <f>IF($A714&gt;30,R713,(R713-Q685+Q714)*(1+$B$7))</f>
        <v>92845.076379942198</v>
      </c>
      <c r="S714" s="18">
        <f t="shared" si="77"/>
        <v>47414.820636962242</v>
      </c>
    </row>
    <row r="715" spans="1:19">
      <c r="A715" s="10">
        <f>28</f>
        <v>28</v>
      </c>
      <c r="B715" s="18">
        <f>IF($A715&gt;30,0,(B685-MIN(MAX(C714,0),B685))+MIN(MAX(0,D714-(B685-MIN(MAX(C714,0),B685))),MAX(0,2*B685-(C714-MIN(MAX(C714,0),B685)))))</f>
        <v>30216</v>
      </c>
      <c r="C715" s="18">
        <f>IF($A715&gt;30,C714,(C714-B685+B715)*(1+$B$7))</f>
        <v>59784</v>
      </c>
      <c r="D715" s="18">
        <f t="shared" si="72"/>
        <v>815029.42991833924</v>
      </c>
      <c r="E715" s="18">
        <f>IF($A715&gt;30,0,(E685-MIN(MAX(F714,0),E685))+MIN(MAX(0,G714-(E685-MIN(MAX(F714,0),E685))),MAX(0,2*E685-(F714-MIN(MAX(F714,0),E685)))))</f>
        <v>75000</v>
      </c>
      <c r="F715" s="18">
        <f>IF($A715&gt;30,F714,(F714-E685+E715)*(1+$B$7))</f>
        <v>0</v>
      </c>
      <c r="G715" s="18">
        <f t="shared" si="73"/>
        <v>-1158251.9937774946</v>
      </c>
      <c r="H715" s="18">
        <f>IF($A715&gt;30,0,(H685-MIN(MAX(I714,0),H685))+MIN(MAX(0,J714-(H685-MIN(MAX(I714,0),H685))),MAX(0,2*H685-(I714-MIN(MAX(I714,0),H685)))))</f>
        <v>16662.549577122129</v>
      </c>
      <c r="I715" s="18">
        <f>IF($A715&gt;30,I714,(I714-H685+H715)*(1+$B$7))</f>
        <v>63342.839061308303</v>
      </c>
      <c r="J715" s="18">
        <f t="shared" si="74"/>
        <v>0</v>
      </c>
      <c r="K715" s="18">
        <f>IF($A715&gt;30,0,(K685-MIN(MAX(L714,0),K685))+MIN(MAX(0,M714-(K685-MIN(MAX(L714,0),K685))),MAX(0,2*K685-(L714-MIN(MAX(L714,0),K685)))))</f>
        <v>46925.599083134039</v>
      </c>
      <c r="L715" s="18">
        <f>IF($A715&gt;30,L714,(L714-K685+K715)*(1+$B$7))</f>
        <v>92844.850926200874</v>
      </c>
      <c r="M715" s="18">
        <f t="shared" si="75"/>
        <v>509.33533647332308</v>
      </c>
      <c r="N715" s="18">
        <f>IF($A715&gt;30,0,(N685-MIN(MAX(O714,0),N685))+MIN(MAX(0,P714-(N685-MIN(MAX(O714,0),N685))),MAX(0,2*N685-(O714-MIN(MAX(O714,0),N685)))))</f>
        <v>46925.712971240428</v>
      </c>
      <c r="O715" s="18">
        <f>IF($A715&gt;30,O714,(O714-N685+N715)*(1+$B$7))</f>
        <v>92845.076260015776</v>
      </c>
      <c r="P715" s="18">
        <f t="shared" si="76"/>
        <v>503.78378788830611</v>
      </c>
      <c r="Q715" s="18">
        <f>IF($A715&gt;30,0,(Q685-MIN(MAX(R714,0),Q685))+MIN(MAX(0,S714-(Q685-MIN(MAX(R714,0),Q685))),MAX(0,2*Q685-(R714-MIN(MAX(R714,0),Q685)))))</f>
        <v>46925.713031853564</v>
      </c>
      <c r="R715" s="18">
        <f>IF($A715&gt;30,R714,(R714-Q685+Q715)*(1+$B$7))</f>
        <v>92845.076379942198</v>
      </c>
      <c r="S715" s="18">
        <f t="shared" si="77"/>
        <v>503.78083326193877</v>
      </c>
    </row>
    <row r="716" spans="1:19">
      <c r="A716" s="10">
        <f>29</f>
        <v>29</v>
      </c>
      <c r="B716" s="18">
        <f>IF($A716&gt;30,0,(B685-MIN(MAX(C715,0),B685))+MIN(MAX(0,D715-(B685-MIN(MAX(C715,0),B685))),MAX(0,2*B685-(C715-MIN(MAX(C715,0),B685)))))</f>
        <v>30216</v>
      </c>
      <c r="C716" s="18">
        <f>IF($A716&gt;30,C715,(C715-B685+B716)*(1+$B$7))</f>
        <v>59784</v>
      </c>
      <c r="D716" s="18">
        <f t="shared" si="72"/>
        <v>808357.83281588939</v>
      </c>
      <c r="E716" s="18">
        <f>IF($A716&gt;30,0,(E685-MIN(MAX(F715,0),E685))+MIN(MAX(0,G715-(E685-MIN(MAX(F715,0),E685))),MAX(0,2*E685-(F715-MIN(MAX(F715,0),E685)))))</f>
        <v>75000</v>
      </c>
      <c r="F716" s="18">
        <f>IF($A716&gt;30,F715,(F715-E685+E716)*(1+$B$7))</f>
        <v>0</v>
      </c>
      <c r="G716" s="18">
        <f t="shared" si="73"/>
        <v>-1270249.5535908195</v>
      </c>
      <c r="H716" s="18">
        <f>IF($A716&gt;30,0,(H685-MIN(MAX(I715,0),H685))+MIN(MAX(0,J715-(H685-MIN(MAX(I715,0),H685))),MAX(0,2*H685-(I715-MIN(MAX(I715,0),H685)))))</f>
        <v>0</v>
      </c>
      <c r="I716" s="18">
        <f>IF($A716&gt;30,I715,(I715-H685+H716)*(1+$B$7))</f>
        <v>16035.559612379966</v>
      </c>
      <c r="J716" s="18">
        <f t="shared" si="74"/>
        <v>0</v>
      </c>
      <c r="K716" s="18">
        <f>IF($A716&gt;30,0,(K685-MIN(MAX(L715,0),K685))+MIN(MAX(0,M715-(K685-MIN(MAX(L715,0),K685))),MAX(0,2*K685-(L715-MIN(MAX(L715,0),K685)))))</f>
        <v>509.33533647332308</v>
      </c>
      <c r="L716" s="18">
        <f>IF($A716&gt;30,L715,(L715-K685+K716)*(1+$B$7))</f>
        <v>46595.685729028133</v>
      </c>
      <c r="M716" s="18">
        <f t="shared" si="75"/>
        <v>0</v>
      </c>
      <c r="N716" s="18">
        <f>IF($A716&gt;30,0,(N685-MIN(MAX(O715,0),N685))+MIN(MAX(0,P715-(N685-MIN(MAX(O715,0),N685))),MAX(0,2*N685-(O715-MIN(MAX(O715,0),N685)))))</f>
        <v>503.78378788830611</v>
      </c>
      <c r="O716" s="18">
        <f>IF($A716&gt;30,O715,(O715-N685+N716)*(1+$B$7))</f>
        <v>46590.266021723735</v>
      </c>
      <c r="P716" s="18">
        <f t="shared" si="76"/>
        <v>0</v>
      </c>
      <c r="Q716" s="18">
        <f>IF($A716&gt;30,0,(Q685-MIN(MAX(R715,0),Q685))+MIN(MAX(0,S715-(Q685-MIN(MAX(R715,0),Q685))),MAX(0,2*Q685-(R715-MIN(MAX(R715,0),Q685)))))</f>
        <v>503.78083326193877</v>
      </c>
      <c r="R716" s="18">
        <f>IF($A716&gt;30,R715,(R715-Q685+Q716)*(1+$B$7))</f>
        <v>46590.263137265501</v>
      </c>
      <c r="S716" s="18">
        <f t="shared" si="77"/>
        <v>0</v>
      </c>
    </row>
    <row r="717" spans="1:19">
      <c r="A717" s="10">
        <f>30</f>
        <v>30</v>
      </c>
      <c r="B717" s="18">
        <f>IF($A717&gt;30,0,(B685-MIN(MAX(C716,0),B685))+MIN(MAX(0,D716-(B685-MIN(MAX(C716,0),B685))),MAX(0,2*B685-(C716-MIN(MAX(C716,0),B685)))))</f>
        <v>30216</v>
      </c>
      <c r="C717" s="18">
        <f>IF($A717&gt;30,C716,(C716-B685+B717)*(1+$B$7))</f>
        <v>59784</v>
      </c>
      <c r="D717" s="18">
        <f t="shared" si="72"/>
        <v>801486.08780036611</v>
      </c>
      <c r="E717" s="18">
        <f>IF($A717&gt;30,0,(E685-MIN(MAX(F716,0),E685))+MIN(MAX(0,G716-(E685-MIN(MAX(F716,0),E685))),MAX(0,2*E685-(F716-MIN(MAX(F716,0),E685)))))</f>
        <v>75000</v>
      </c>
      <c r="F717" s="18">
        <f>IF($A717&gt;30,F716,(F716-E685+E717)*(1+$B$7))</f>
        <v>0</v>
      </c>
      <c r="G717" s="18">
        <f t="shared" si="73"/>
        <v>-1385607.040198544</v>
      </c>
      <c r="H717" s="18">
        <f>IF($A717&gt;30,0,(H685-MIN(MAX(I716,0),H685))+MIN(MAX(0,J716-(H685-MIN(MAX(I716,0),H685))),MAX(0,2*H685-(I716-MIN(MAX(I716,0),H685)))))</f>
        <v>31213.783250233068</v>
      </c>
      <c r="I717" s="18">
        <f>IF($A717&gt;30,I716,(I716-H685+H717)*(1+$B$7))</f>
        <v>0</v>
      </c>
      <c r="J717" s="18">
        <f t="shared" si="74"/>
        <v>-32150.196747740061</v>
      </c>
      <c r="K717" s="18">
        <f>IF($A717&gt;30,0,(K685-MIN(MAX(L716,0),K685))+MIN(MAX(0,M716-(K685-MIN(MAX(L716,0),K685))),MAX(0,2*K685-(L716-MIN(MAX(L716,0),K685)))))</f>
        <v>0</v>
      </c>
      <c r="L717" s="18">
        <f>IF($A717&gt;30,L716,(L716-K685+K717)*(1+$B$7))</f>
        <v>5.5157973031963365</v>
      </c>
      <c r="M717" s="18">
        <f t="shared" si="75"/>
        <v>0</v>
      </c>
      <c r="N717" s="18">
        <f>IF($A717&gt;30,0,(N685-MIN(MAX(O716,0),N685))+MIN(MAX(0,P716-(N685-MIN(MAX(O716,0),N685))),MAX(0,2*N685-(O716-MIN(MAX(O716,0),N685)))))</f>
        <v>0</v>
      </c>
      <c r="O717" s="18">
        <f>IF($A717&gt;30,O716,(O716-N685+N717)*(1+$B$7))</f>
        <v>2.9340376361535162E-3</v>
      </c>
      <c r="P717" s="18">
        <f t="shared" si="76"/>
        <v>0</v>
      </c>
      <c r="Q717" s="18">
        <f>IF($A717&gt;30,0,(Q685-MIN(MAX(R716,0),Q685))+MIN(MAX(0,S716-(Q685-MIN(MAX(R716,0),Q685))),MAX(0,2*Q685-(R716-MIN(MAX(R716,0),Q685)))))</f>
        <v>0</v>
      </c>
      <c r="R717" s="18">
        <f>IF($A717&gt;30,R716,(R716-Q685+Q717)*(1+$B$7))</f>
        <v>2.4649198167026044E-10</v>
      </c>
      <c r="S717" s="18">
        <f t="shared" si="77"/>
        <v>0</v>
      </c>
    </row>
    <row r="718" spans="1:19">
      <c r="A718" s="10">
        <f>31</f>
        <v>31</v>
      </c>
      <c r="B718" s="18">
        <f>IF($A718&gt;30,0,(B685-MIN(MAX(C717,0),B685))+MIN(MAX(0,D717-(B685-MIN(MAX(C717,0),B685))),MAX(0,2*B685-(C717-MIN(MAX(C717,0),B685)))))</f>
        <v>0</v>
      </c>
      <c r="C718" s="18">
        <f>IF($A718&gt;30,C717,(C717-B685+B718)*(1+$B$7))</f>
        <v>59784</v>
      </c>
      <c r="D718" s="18">
        <f t="shared" si="72"/>
        <v>801486.08780036611</v>
      </c>
      <c r="E718" s="18">
        <f>IF($A718&gt;30,0,(E685-MIN(MAX(F717,0),E685))+MIN(MAX(0,G717-(E685-MIN(MAX(F717,0),E685))),MAX(0,2*E685-(F717-MIN(MAX(F717,0),E685)))))</f>
        <v>0</v>
      </c>
      <c r="F718" s="18">
        <f>IF($A718&gt;30,F717,(F717-E685+E718)*(1+$B$7))</f>
        <v>0</v>
      </c>
      <c r="G718" s="18">
        <f t="shared" si="73"/>
        <v>-1385607.040198544</v>
      </c>
      <c r="H718" s="18">
        <f>IF($A718&gt;30,0,(H685-MIN(MAX(I717,0),H685))+MIN(MAX(0,J717-(H685-MIN(MAX(I717,0),H685))),MAX(0,2*H685-(I717-MIN(MAX(I717,0),H685)))))</f>
        <v>0</v>
      </c>
      <c r="I718" s="18">
        <f>IF($A718&gt;30,I717,(I717-H685+H718)*(1+$B$7))</f>
        <v>0</v>
      </c>
      <c r="J718" s="18">
        <f t="shared" si="74"/>
        <v>-32150.196747740061</v>
      </c>
      <c r="K718" s="18">
        <f>IF($A718&gt;30,0,(K685-MIN(MAX(L717,0),K685))+MIN(MAX(0,M717-(K685-MIN(MAX(L717,0),K685))),MAX(0,2*K685-(L717-MIN(MAX(L717,0),K685)))))</f>
        <v>0</v>
      </c>
      <c r="L718" s="18">
        <f>IF($A718&gt;30,L717,(L717-K685+K718)*(1+$B$7))</f>
        <v>5.5157973031963365</v>
      </c>
      <c r="M718" s="18">
        <f t="shared" si="75"/>
        <v>0</v>
      </c>
      <c r="N718" s="18">
        <f>IF($A718&gt;30,0,(N685-MIN(MAX(O717,0),N685))+MIN(MAX(0,P717-(N685-MIN(MAX(O717,0),N685))),MAX(0,2*N685-(O717-MIN(MAX(O717,0),N685)))))</f>
        <v>0</v>
      </c>
      <c r="O718" s="18">
        <f>IF($A718&gt;30,O717,(O717-N685+N718)*(1+$B$7))</f>
        <v>2.9340376361535162E-3</v>
      </c>
      <c r="P718" s="18">
        <f t="shared" si="76"/>
        <v>0</v>
      </c>
      <c r="Q718" s="18">
        <f>IF($A718&gt;30,0,(Q685-MIN(MAX(R717,0),Q685))+MIN(MAX(0,S717-(Q685-MIN(MAX(R717,0),Q685))),MAX(0,2*Q685-(R717-MIN(MAX(R717,0),Q685)))))</f>
        <v>0</v>
      </c>
      <c r="R718" s="18">
        <f>IF($A718&gt;30,R717,(R717-Q685+Q718)*(1+$B$7))</f>
        <v>2.4649198167026044E-10</v>
      </c>
      <c r="S718" s="18">
        <f t="shared" si="77"/>
        <v>0</v>
      </c>
    </row>
    <row r="719" spans="1:19">
      <c r="A719" s="10">
        <f>32</f>
        <v>32</v>
      </c>
      <c r="B719" s="18">
        <f>IF($A719&gt;30,0,(B685-MIN(MAX(C718,0),B685))+MIN(MAX(0,D718-(B685-MIN(MAX(C718,0),B685))),MAX(0,2*B685-(C718-MIN(MAX(C718,0),B685)))))</f>
        <v>0</v>
      </c>
      <c r="C719" s="18">
        <f>IF($A719&gt;30,C718,(C718-B685+B719)*(1+$B$7))</f>
        <v>59784</v>
      </c>
      <c r="D719" s="18">
        <f t="shared" si="72"/>
        <v>801486.08780036611</v>
      </c>
      <c r="E719" s="18">
        <f>IF($A719&gt;30,0,(E685-MIN(MAX(F718,0),E685))+MIN(MAX(0,G718-(E685-MIN(MAX(F718,0),E685))),MAX(0,2*E685-(F718-MIN(MAX(F718,0),E685)))))</f>
        <v>0</v>
      </c>
      <c r="F719" s="18">
        <f>IF($A719&gt;30,F718,(F718-E685+E719)*(1+$B$7))</f>
        <v>0</v>
      </c>
      <c r="G719" s="18">
        <f t="shared" si="73"/>
        <v>-1385607.040198544</v>
      </c>
      <c r="H719" s="18">
        <f>IF($A719&gt;30,0,(H685-MIN(MAX(I718,0),H685))+MIN(MAX(0,J718-(H685-MIN(MAX(I718,0),H685))),MAX(0,2*H685-(I718-MIN(MAX(I718,0),H685)))))</f>
        <v>0</v>
      </c>
      <c r="I719" s="18">
        <f>IF($A719&gt;30,I718,(I718-H685+H719)*(1+$B$7))</f>
        <v>0</v>
      </c>
      <c r="J719" s="18">
        <f t="shared" si="74"/>
        <v>-32150.196747740061</v>
      </c>
      <c r="K719" s="18">
        <f>IF($A719&gt;30,0,(K685-MIN(MAX(L718,0),K685))+MIN(MAX(0,M718-(K685-MIN(MAX(L718,0),K685))),MAX(0,2*K685-(L718-MIN(MAX(L718,0),K685)))))</f>
        <v>0</v>
      </c>
      <c r="L719" s="18">
        <f>IF($A719&gt;30,L718,(L718-K685+K719)*(1+$B$7))</f>
        <v>5.5157973031963365</v>
      </c>
      <c r="M719" s="18">
        <f t="shared" si="75"/>
        <v>0</v>
      </c>
      <c r="N719" s="18">
        <f>IF($A719&gt;30,0,(N685-MIN(MAX(O718,0),N685))+MIN(MAX(0,P718-(N685-MIN(MAX(O718,0),N685))),MAX(0,2*N685-(O718-MIN(MAX(O718,0),N685)))))</f>
        <v>0</v>
      </c>
      <c r="O719" s="18">
        <f>IF($A719&gt;30,O718,(O718-N685+N719)*(1+$B$7))</f>
        <v>2.9340376361535162E-3</v>
      </c>
      <c r="P719" s="18">
        <f t="shared" si="76"/>
        <v>0</v>
      </c>
      <c r="Q719" s="18">
        <f>IF($A719&gt;30,0,(Q685-MIN(MAX(R718,0),Q685))+MIN(MAX(0,S718-(Q685-MIN(MAX(R718,0),Q685))),MAX(0,2*Q685-(R718-MIN(MAX(R718,0),Q685)))))</f>
        <v>0</v>
      </c>
      <c r="R719" s="18">
        <f>IF($A719&gt;30,R718,(R718-Q685+Q719)*(1+$B$7))</f>
        <v>2.4649198167026044E-10</v>
      </c>
      <c r="S719" s="18">
        <f t="shared" si="77"/>
        <v>0</v>
      </c>
    </row>
    <row r="720" spans="1:19">
      <c r="A720" s="10">
        <f>33</f>
        <v>33</v>
      </c>
      <c r="B720" s="18">
        <f>IF($A720&gt;30,0,(B685-MIN(MAX(C719,0),B685))+MIN(MAX(0,D719-(B685-MIN(MAX(C719,0),B685))),MAX(0,2*B685-(C719-MIN(MAX(C719,0),B685)))))</f>
        <v>0</v>
      </c>
      <c r="C720" s="18">
        <f>IF($A720&gt;30,C719,(C719-B685+B720)*(1+$B$7))</f>
        <v>59784</v>
      </c>
      <c r="D720" s="18">
        <f t="shared" si="72"/>
        <v>801486.08780036611</v>
      </c>
      <c r="E720" s="18">
        <f>IF($A720&gt;30,0,(E685-MIN(MAX(F719,0),E685))+MIN(MAX(0,G719-(E685-MIN(MAX(F719,0),E685))),MAX(0,2*E685-(F719-MIN(MAX(F719,0),E685)))))</f>
        <v>0</v>
      </c>
      <c r="F720" s="18">
        <f>IF($A720&gt;30,F719,(F719-E685+E720)*(1+$B$7))</f>
        <v>0</v>
      </c>
      <c r="G720" s="18">
        <f t="shared" si="73"/>
        <v>-1385607.040198544</v>
      </c>
      <c r="H720" s="18">
        <f>IF($A720&gt;30,0,(H685-MIN(MAX(I719,0),H685))+MIN(MAX(0,J719-(H685-MIN(MAX(I719,0),H685))),MAX(0,2*H685-(I719-MIN(MAX(I719,0),H685)))))</f>
        <v>0</v>
      </c>
      <c r="I720" s="18">
        <f>IF($A720&gt;30,I719,(I719-H685+H720)*(1+$B$7))</f>
        <v>0</v>
      </c>
      <c r="J720" s="18">
        <f t="shared" si="74"/>
        <v>-32150.196747740061</v>
      </c>
      <c r="K720" s="18">
        <f>IF($A720&gt;30,0,(K685-MIN(MAX(L719,0),K685))+MIN(MAX(0,M719-(K685-MIN(MAX(L719,0),K685))),MAX(0,2*K685-(L719-MIN(MAX(L719,0),K685)))))</f>
        <v>0</v>
      </c>
      <c r="L720" s="18">
        <f>IF($A720&gt;30,L719,(L719-K685+K720)*(1+$B$7))</f>
        <v>5.5157973031963365</v>
      </c>
      <c r="M720" s="18">
        <f t="shared" si="75"/>
        <v>0</v>
      </c>
      <c r="N720" s="18">
        <f>IF($A720&gt;30,0,(N685-MIN(MAX(O719,0),N685))+MIN(MAX(0,P719-(N685-MIN(MAX(O719,0),N685))),MAX(0,2*N685-(O719-MIN(MAX(O719,0),N685)))))</f>
        <v>0</v>
      </c>
      <c r="O720" s="18">
        <f>IF($A720&gt;30,O719,(O719-N685+N720)*(1+$B$7))</f>
        <v>2.9340376361535162E-3</v>
      </c>
      <c r="P720" s="18">
        <f t="shared" si="76"/>
        <v>0</v>
      </c>
      <c r="Q720" s="18">
        <f>IF($A720&gt;30,0,(Q685-MIN(MAX(R719,0),Q685))+MIN(MAX(0,S719-(Q685-MIN(MAX(R719,0),Q685))),MAX(0,2*Q685-(R719-MIN(MAX(R719,0),Q685)))))</f>
        <v>0</v>
      </c>
      <c r="R720" s="18">
        <f>IF($A720&gt;30,R719,(R719-Q685+Q720)*(1+$B$7))</f>
        <v>2.4649198167026044E-10</v>
      </c>
      <c r="S720" s="18">
        <f t="shared" si="77"/>
        <v>0</v>
      </c>
    </row>
    <row r="721" spans="1:19">
      <c r="A721" s="10">
        <f>34</f>
        <v>34</v>
      </c>
      <c r="B721" s="18">
        <f>IF($A721&gt;30,0,(B685-MIN(MAX(C720,0),B685))+MIN(MAX(0,D720-(B685-MIN(MAX(C720,0),B685))),MAX(0,2*B685-(C720-MIN(MAX(C720,0),B685)))))</f>
        <v>0</v>
      </c>
      <c r="C721" s="18">
        <f>IF($A721&gt;30,C720,(C720-B685+B721)*(1+$B$7))</f>
        <v>59784</v>
      </c>
      <c r="D721" s="18">
        <f t="shared" si="72"/>
        <v>801486.08780036611</v>
      </c>
      <c r="E721" s="18">
        <f>IF($A721&gt;30,0,(E685-MIN(MAX(F720,0),E685))+MIN(MAX(0,G720-(E685-MIN(MAX(F720,0),E685))),MAX(0,2*E685-(F720-MIN(MAX(F720,0),E685)))))</f>
        <v>0</v>
      </c>
      <c r="F721" s="18">
        <f>IF($A721&gt;30,F720,(F720-E685+E721)*(1+$B$7))</f>
        <v>0</v>
      </c>
      <c r="G721" s="18">
        <f t="shared" si="73"/>
        <v>-1385607.040198544</v>
      </c>
      <c r="H721" s="18">
        <f>IF($A721&gt;30,0,(H685-MIN(MAX(I720,0),H685))+MIN(MAX(0,J720-(H685-MIN(MAX(I720,0),H685))),MAX(0,2*H685-(I720-MIN(MAX(I720,0),H685)))))</f>
        <v>0</v>
      </c>
      <c r="I721" s="18">
        <f>IF($A721&gt;30,I720,(I720-H685+H721)*(1+$B$7))</f>
        <v>0</v>
      </c>
      <c r="J721" s="18">
        <f t="shared" si="74"/>
        <v>-32150.196747740061</v>
      </c>
      <c r="K721" s="18">
        <f>IF($A721&gt;30,0,(K685-MIN(MAX(L720,0),K685))+MIN(MAX(0,M720-(K685-MIN(MAX(L720,0),K685))),MAX(0,2*K685-(L720-MIN(MAX(L720,0),K685)))))</f>
        <v>0</v>
      </c>
      <c r="L721" s="18">
        <f>IF($A721&gt;30,L720,(L720-K685+K721)*(1+$B$7))</f>
        <v>5.5157973031963365</v>
      </c>
      <c r="M721" s="18">
        <f t="shared" si="75"/>
        <v>0</v>
      </c>
      <c r="N721" s="18">
        <f>IF($A721&gt;30,0,(N685-MIN(MAX(O720,0),N685))+MIN(MAX(0,P720-(N685-MIN(MAX(O720,0),N685))),MAX(0,2*N685-(O720-MIN(MAX(O720,0),N685)))))</f>
        <v>0</v>
      </c>
      <c r="O721" s="18">
        <f>IF($A721&gt;30,O720,(O720-N685+N721)*(1+$B$7))</f>
        <v>2.9340376361535162E-3</v>
      </c>
      <c r="P721" s="18">
        <f t="shared" si="76"/>
        <v>0</v>
      </c>
      <c r="Q721" s="18">
        <f>IF($A721&gt;30,0,(Q685-MIN(MAX(R720,0),Q685))+MIN(MAX(0,S720-(Q685-MIN(MAX(R720,0),Q685))),MAX(0,2*Q685-(R720-MIN(MAX(R720,0),Q685)))))</f>
        <v>0</v>
      </c>
      <c r="R721" s="18">
        <f>IF($A721&gt;30,R720,(R720-Q685+Q721)*(1+$B$7))</f>
        <v>2.4649198167026044E-10</v>
      </c>
      <c r="S721" s="18">
        <f t="shared" si="77"/>
        <v>0</v>
      </c>
    </row>
    <row r="722" spans="1:19">
      <c r="A722" s="10">
        <f>35</f>
        <v>35</v>
      </c>
      <c r="B722" s="18">
        <f>IF($A722&gt;30,0,(B685-MIN(MAX(C721,0),B685))+MIN(MAX(0,D721-(B685-MIN(MAX(C721,0),B685))),MAX(0,2*B685-(C721-MIN(MAX(C721,0),B685)))))</f>
        <v>0</v>
      </c>
      <c r="C722" s="18">
        <f>IF($A722&gt;30,C721,(C721-B685+B722)*(1+$B$7))</f>
        <v>59784</v>
      </c>
      <c r="D722" s="18">
        <f t="shared" si="72"/>
        <v>801486.08780036611</v>
      </c>
      <c r="E722" s="18">
        <f>IF($A722&gt;30,0,(E685-MIN(MAX(F721,0),E685))+MIN(MAX(0,G721-(E685-MIN(MAX(F721,0),E685))),MAX(0,2*E685-(F721-MIN(MAX(F721,0),E685)))))</f>
        <v>0</v>
      </c>
      <c r="F722" s="18">
        <f>IF($A722&gt;30,F721,(F721-E685+E722)*(1+$B$7))</f>
        <v>0</v>
      </c>
      <c r="G722" s="18">
        <f t="shared" si="73"/>
        <v>-1385607.040198544</v>
      </c>
      <c r="H722" s="18">
        <f>IF($A722&gt;30,0,(H685-MIN(MAX(I721,0),H685))+MIN(MAX(0,J721-(H685-MIN(MAX(I721,0),H685))),MAX(0,2*H685-(I721-MIN(MAX(I721,0),H685)))))</f>
        <v>0</v>
      </c>
      <c r="I722" s="18">
        <f>IF($A722&gt;30,I721,(I721-H685+H722)*(1+$B$7))</f>
        <v>0</v>
      </c>
      <c r="J722" s="18">
        <f t="shared" si="74"/>
        <v>-32150.196747740061</v>
      </c>
      <c r="K722" s="18">
        <f>IF($A722&gt;30,0,(K685-MIN(MAX(L721,0),K685))+MIN(MAX(0,M721-(K685-MIN(MAX(L721,0),K685))),MAX(0,2*K685-(L721-MIN(MAX(L721,0),K685)))))</f>
        <v>0</v>
      </c>
      <c r="L722" s="18">
        <f>IF($A722&gt;30,L721,(L721-K685+K722)*(1+$B$7))</f>
        <v>5.5157973031963365</v>
      </c>
      <c r="M722" s="18">
        <f t="shared" si="75"/>
        <v>0</v>
      </c>
      <c r="N722" s="18">
        <f>IF($A722&gt;30,0,(N685-MIN(MAX(O721,0),N685))+MIN(MAX(0,P721-(N685-MIN(MAX(O721,0),N685))),MAX(0,2*N685-(O721-MIN(MAX(O721,0),N685)))))</f>
        <v>0</v>
      </c>
      <c r="O722" s="18">
        <f>IF($A722&gt;30,O721,(O721-N685+N722)*(1+$B$7))</f>
        <v>2.9340376361535162E-3</v>
      </c>
      <c r="P722" s="18">
        <f t="shared" si="76"/>
        <v>0</v>
      </c>
      <c r="Q722" s="18">
        <f>IF($A722&gt;30,0,(Q685-MIN(MAX(R721,0),Q685))+MIN(MAX(0,S721-(Q685-MIN(MAX(R721,0),Q685))),MAX(0,2*Q685-(R721-MIN(MAX(R721,0),Q685)))))</f>
        <v>0</v>
      </c>
      <c r="R722" s="18">
        <f>IF($A722&gt;30,R721,(R721-Q685+Q722)*(1+$B$7))</f>
        <v>2.4649198167026044E-10</v>
      </c>
      <c r="S722" s="18">
        <f t="shared" si="77"/>
        <v>0</v>
      </c>
    </row>
    <row r="723" spans="1:19">
      <c r="A723" s="10">
        <f>36</f>
        <v>36</v>
      </c>
      <c r="B723" s="18">
        <f>IF($A723&gt;30,0,(B685-MIN(MAX(C722,0),B685))+MIN(MAX(0,D722-(B685-MIN(MAX(C722,0),B685))),MAX(0,2*B685-(C722-MIN(MAX(C722,0),B685)))))</f>
        <v>0</v>
      </c>
      <c r="C723" s="18">
        <f>IF($A723&gt;30,C722,(C722-B685+B723)*(1+$B$7))</f>
        <v>59784</v>
      </c>
      <c r="D723" s="18">
        <f t="shared" si="72"/>
        <v>801486.08780036611</v>
      </c>
      <c r="E723" s="18">
        <f>IF($A723&gt;30,0,(E685-MIN(MAX(F722,0),E685))+MIN(MAX(0,G722-(E685-MIN(MAX(F722,0),E685))),MAX(0,2*E685-(F722-MIN(MAX(F722,0),E685)))))</f>
        <v>0</v>
      </c>
      <c r="F723" s="18">
        <f>IF($A723&gt;30,F722,(F722-E685+E723)*(1+$B$7))</f>
        <v>0</v>
      </c>
      <c r="G723" s="18">
        <f t="shared" si="73"/>
        <v>-1385607.040198544</v>
      </c>
      <c r="H723" s="18">
        <f>IF($A723&gt;30,0,(H685-MIN(MAX(I722,0),H685))+MIN(MAX(0,J722-(H685-MIN(MAX(I722,0),H685))),MAX(0,2*H685-(I722-MIN(MAX(I722,0),H685)))))</f>
        <v>0</v>
      </c>
      <c r="I723" s="18">
        <f>IF($A723&gt;30,I722,(I722-H685+H723)*(1+$B$7))</f>
        <v>0</v>
      </c>
      <c r="J723" s="18">
        <f t="shared" si="74"/>
        <v>-32150.196747740061</v>
      </c>
      <c r="K723" s="18">
        <f>IF($A723&gt;30,0,(K685-MIN(MAX(L722,0),K685))+MIN(MAX(0,M722-(K685-MIN(MAX(L722,0),K685))),MAX(0,2*K685-(L722-MIN(MAX(L722,0),K685)))))</f>
        <v>0</v>
      </c>
      <c r="L723" s="18">
        <f>IF($A723&gt;30,L722,(L722-K685+K723)*(1+$B$7))</f>
        <v>5.5157973031963365</v>
      </c>
      <c r="M723" s="18">
        <f t="shared" si="75"/>
        <v>0</v>
      </c>
      <c r="N723" s="18">
        <f>IF($A723&gt;30,0,(N685-MIN(MAX(O722,0),N685))+MIN(MAX(0,P722-(N685-MIN(MAX(O722,0),N685))),MAX(0,2*N685-(O722-MIN(MAX(O722,0),N685)))))</f>
        <v>0</v>
      </c>
      <c r="O723" s="18">
        <f>IF($A723&gt;30,O722,(O722-N685+N723)*(1+$B$7))</f>
        <v>2.9340376361535162E-3</v>
      </c>
      <c r="P723" s="18">
        <f t="shared" si="76"/>
        <v>0</v>
      </c>
      <c r="Q723" s="18">
        <f>IF($A723&gt;30,0,(Q685-MIN(MAX(R722,0),Q685))+MIN(MAX(0,S722-(Q685-MIN(MAX(R722,0),Q685))),MAX(0,2*Q685-(R722-MIN(MAX(R722,0),Q685)))))</f>
        <v>0</v>
      </c>
      <c r="R723" s="18">
        <f>IF($A723&gt;30,R722,(R722-Q685+Q723)*(1+$B$7))</f>
        <v>2.4649198167026044E-10</v>
      </c>
      <c r="S723" s="18">
        <f t="shared" si="77"/>
        <v>0</v>
      </c>
    </row>
    <row r="724" spans="1:19">
      <c r="A724" s="10">
        <f>37</f>
        <v>37</v>
      </c>
      <c r="B724" s="18">
        <f>IF($A724&gt;30,0,(B685-MIN(MAX(C723,0),B685))+MIN(MAX(0,D723-(B685-MIN(MAX(C723,0),B685))),MAX(0,2*B685-(C723-MIN(MAX(C723,0),B685)))))</f>
        <v>0</v>
      </c>
      <c r="C724" s="18">
        <f>IF($A724&gt;30,C723,(C723-B685+B724)*(1+$B$7))</f>
        <v>59784</v>
      </c>
      <c r="D724" s="18">
        <f t="shared" si="72"/>
        <v>801486.08780036611</v>
      </c>
      <c r="E724" s="18">
        <f>IF($A724&gt;30,0,(E685-MIN(MAX(F723,0),E685))+MIN(MAX(0,G723-(E685-MIN(MAX(F723,0),E685))),MAX(0,2*E685-(F723-MIN(MAX(F723,0),E685)))))</f>
        <v>0</v>
      </c>
      <c r="F724" s="18">
        <f>IF($A724&gt;30,F723,(F723-E685+E724)*(1+$B$7))</f>
        <v>0</v>
      </c>
      <c r="G724" s="18">
        <f t="shared" si="73"/>
        <v>-1385607.040198544</v>
      </c>
      <c r="H724" s="18">
        <f>IF($A724&gt;30,0,(H685-MIN(MAX(I723,0),H685))+MIN(MAX(0,J723-(H685-MIN(MAX(I723,0),H685))),MAX(0,2*H685-(I723-MIN(MAX(I723,0),H685)))))</f>
        <v>0</v>
      </c>
      <c r="I724" s="18">
        <f>IF($A724&gt;30,I723,(I723-H685+H724)*(1+$B$7))</f>
        <v>0</v>
      </c>
      <c r="J724" s="18">
        <f t="shared" si="74"/>
        <v>-32150.196747740061</v>
      </c>
      <c r="K724" s="18">
        <f>IF($A724&gt;30,0,(K685-MIN(MAX(L723,0),K685))+MIN(MAX(0,M723-(K685-MIN(MAX(L723,0),K685))),MAX(0,2*K685-(L723-MIN(MAX(L723,0),K685)))))</f>
        <v>0</v>
      </c>
      <c r="L724" s="18">
        <f>IF($A724&gt;30,L723,(L723-K685+K724)*(1+$B$7))</f>
        <v>5.5157973031963365</v>
      </c>
      <c r="M724" s="18">
        <f t="shared" si="75"/>
        <v>0</v>
      </c>
      <c r="N724" s="18">
        <f>IF($A724&gt;30,0,(N685-MIN(MAX(O723,0),N685))+MIN(MAX(0,P723-(N685-MIN(MAX(O723,0),N685))),MAX(0,2*N685-(O723-MIN(MAX(O723,0),N685)))))</f>
        <v>0</v>
      </c>
      <c r="O724" s="18">
        <f>IF($A724&gt;30,O723,(O723-N685+N724)*(1+$B$7))</f>
        <v>2.9340376361535162E-3</v>
      </c>
      <c r="P724" s="18">
        <f t="shared" si="76"/>
        <v>0</v>
      </c>
      <c r="Q724" s="18">
        <f>IF($A724&gt;30,0,(Q685-MIN(MAX(R723,0),Q685))+MIN(MAX(0,S723-(Q685-MIN(MAX(R723,0),Q685))),MAX(0,2*Q685-(R723-MIN(MAX(R723,0),Q685)))))</f>
        <v>0</v>
      </c>
      <c r="R724" s="18">
        <f>IF($A724&gt;30,R723,(R723-Q685+Q724)*(1+$B$7))</f>
        <v>2.4649198167026044E-10</v>
      </c>
      <c r="S724" s="18">
        <f t="shared" si="77"/>
        <v>0</v>
      </c>
    </row>
    <row r="725" spans="1:19">
      <c r="A725" s="10">
        <f>38</f>
        <v>38</v>
      </c>
      <c r="B725" s="18">
        <f>IF($A725&gt;30,0,(B685-MIN(MAX(C724,0),B685))+MIN(MAX(0,D724-(B685-MIN(MAX(C724,0),B685))),MAX(0,2*B685-(C724-MIN(MAX(C724,0),B685)))))</f>
        <v>0</v>
      </c>
      <c r="C725" s="18">
        <f>IF($A725&gt;30,C724,(C724-B685+B725)*(1+$B$7))</f>
        <v>59784</v>
      </c>
      <c r="D725" s="18">
        <f t="shared" si="72"/>
        <v>801486.08780036611</v>
      </c>
      <c r="E725" s="18">
        <f>IF($A725&gt;30,0,(E685-MIN(MAX(F724,0),E685))+MIN(MAX(0,G724-(E685-MIN(MAX(F724,0),E685))),MAX(0,2*E685-(F724-MIN(MAX(F724,0),E685)))))</f>
        <v>0</v>
      </c>
      <c r="F725" s="18">
        <f>IF($A725&gt;30,F724,(F724-E685+E725)*(1+$B$7))</f>
        <v>0</v>
      </c>
      <c r="G725" s="18">
        <f t="shared" si="73"/>
        <v>-1385607.040198544</v>
      </c>
      <c r="H725" s="18">
        <f>IF($A725&gt;30,0,(H685-MIN(MAX(I724,0),H685))+MIN(MAX(0,J724-(H685-MIN(MAX(I724,0),H685))),MAX(0,2*H685-(I724-MIN(MAX(I724,0),H685)))))</f>
        <v>0</v>
      </c>
      <c r="I725" s="18">
        <f>IF($A725&gt;30,I724,(I724-H685+H725)*(1+$B$7))</f>
        <v>0</v>
      </c>
      <c r="J725" s="18">
        <f t="shared" si="74"/>
        <v>-32150.196747740061</v>
      </c>
      <c r="K725" s="18">
        <f>IF($A725&gt;30,0,(K685-MIN(MAX(L724,0),K685))+MIN(MAX(0,M724-(K685-MIN(MAX(L724,0),K685))),MAX(0,2*K685-(L724-MIN(MAX(L724,0),K685)))))</f>
        <v>0</v>
      </c>
      <c r="L725" s="18">
        <f>IF($A725&gt;30,L724,(L724-K685+K725)*(1+$B$7))</f>
        <v>5.5157973031963365</v>
      </c>
      <c r="M725" s="18">
        <f t="shared" si="75"/>
        <v>0</v>
      </c>
      <c r="N725" s="18">
        <f>IF($A725&gt;30,0,(N685-MIN(MAX(O724,0),N685))+MIN(MAX(0,P724-(N685-MIN(MAX(O724,0),N685))),MAX(0,2*N685-(O724-MIN(MAX(O724,0),N685)))))</f>
        <v>0</v>
      </c>
      <c r="O725" s="18">
        <f>IF($A725&gt;30,O724,(O724-N685+N725)*(1+$B$7))</f>
        <v>2.9340376361535162E-3</v>
      </c>
      <c r="P725" s="18">
        <f t="shared" si="76"/>
        <v>0</v>
      </c>
      <c r="Q725" s="18">
        <f>IF($A725&gt;30,0,(Q685-MIN(MAX(R724,0),Q685))+MIN(MAX(0,S724-(Q685-MIN(MAX(R724,0),Q685))),MAX(0,2*Q685-(R724-MIN(MAX(R724,0),Q685)))))</f>
        <v>0</v>
      </c>
      <c r="R725" s="18">
        <f>IF($A725&gt;30,R724,(R724-Q685+Q725)*(1+$B$7))</f>
        <v>2.4649198167026044E-10</v>
      </c>
      <c r="S725" s="18">
        <f t="shared" si="77"/>
        <v>0</v>
      </c>
    </row>
    <row r="726" spans="1:19">
      <c r="A726" s="10">
        <f>39</f>
        <v>39</v>
      </c>
      <c r="B726" s="18">
        <f>IF($A726&gt;30,0,(B685-MIN(MAX(C725,0),B685))+MIN(MAX(0,D725-(B685-MIN(MAX(C725,0),B685))),MAX(0,2*B685-(C725-MIN(MAX(C725,0),B685)))))</f>
        <v>0</v>
      </c>
      <c r="C726" s="18">
        <f>IF($A726&gt;30,C725,(C725-B685+B726)*(1+$B$7))</f>
        <v>59784</v>
      </c>
      <c r="D726" s="18">
        <f t="shared" si="72"/>
        <v>801486.08780036611</v>
      </c>
      <c r="E726" s="18">
        <f>IF($A726&gt;30,0,(E685-MIN(MAX(F725,0),E685))+MIN(MAX(0,G725-(E685-MIN(MAX(F725,0),E685))),MAX(0,2*E685-(F725-MIN(MAX(F725,0),E685)))))</f>
        <v>0</v>
      </c>
      <c r="F726" s="18">
        <f>IF($A726&gt;30,F725,(F725-E685+E726)*(1+$B$7))</f>
        <v>0</v>
      </c>
      <c r="G726" s="18">
        <f t="shared" si="73"/>
        <v>-1385607.040198544</v>
      </c>
      <c r="H726" s="18">
        <f>IF($A726&gt;30,0,(H685-MIN(MAX(I725,0),H685))+MIN(MAX(0,J725-(H685-MIN(MAX(I725,0),H685))),MAX(0,2*H685-(I725-MIN(MAX(I725,0),H685)))))</f>
        <v>0</v>
      </c>
      <c r="I726" s="18">
        <f>IF($A726&gt;30,I725,(I725-H685+H726)*(1+$B$7))</f>
        <v>0</v>
      </c>
      <c r="J726" s="18">
        <f t="shared" si="74"/>
        <v>-32150.196747740061</v>
      </c>
      <c r="K726" s="18">
        <f>IF($A726&gt;30,0,(K685-MIN(MAX(L725,0),K685))+MIN(MAX(0,M725-(K685-MIN(MAX(L725,0),K685))),MAX(0,2*K685-(L725-MIN(MAX(L725,0),K685)))))</f>
        <v>0</v>
      </c>
      <c r="L726" s="18">
        <f>IF($A726&gt;30,L725,(L725-K685+K726)*(1+$B$7))</f>
        <v>5.5157973031963365</v>
      </c>
      <c r="M726" s="18">
        <f t="shared" si="75"/>
        <v>0</v>
      </c>
      <c r="N726" s="18">
        <f>IF($A726&gt;30,0,(N685-MIN(MAX(O725,0),N685))+MIN(MAX(0,P725-(N685-MIN(MAX(O725,0),N685))),MAX(0,2*N685-(O725-MIN(MAX(O725,0),N685)))))</f>
        <v>0</v>
      </c>
      <c r="O726" s="18">
        <f>IF($A726&gt;30,O725,(O725-N685+N726)*(1+$B$7))</f>
        <v>2.9340376361535162E-3</v>
      </c>
      <c r="P726" s="18">
        <f t="shared" si="76"/>
        <v>0</v>
      </c>
      <c r="Q726" s="18">
        <f>IF($A726&gt;30,0,(Q685-MIN(MAX(R725,0),Q685))+MIN(MAX(0,S725-(Q685-MIN(MAX(R725,0),Q685))),MAX(0,2*Q685-(R725-MIN(MAX(R725,0),Q685)))))</f>
        <v>0</v>
      </c>
      <c r="R726" s="18">
        <f>IF($A726&gt;30,R725,(R725-Q685+Q726)*(1+$B$7))</f>
        <v>2.4649198167026044E-10</v>
      </c>
      <c r="S726" s="18">
        <f t="shared" si="77"/>
        <v>0</v>
      </c>
    </row>
    <row r="727" spans="1:19">
      <c r="A727" s="10">
        <f>40</f>
        <v>40</v>
      </c>
      <c r="B727" s="18">
        <f>IF($A727&gt;30,0,(B685-MIN(MAX(C726,0),B685))+MIN(MAX(0,D726-(B685-MIN(MAX(C726,0),B685))),MAX(0,2*B685-(C726-MIN(MAX(C726,0),B685)))))</f>
        <v>0</v>
      </c>
      <c r="C727" s="18">
        <f>IF($A727&gt;30,C726,(C726-B685+B727)*(1+$B$7))</f>
        <v>59784</v>
      </c>
      <c r="D727" s="18">
        <f t="shared" si="72"/>
        <v>801486.08780036611</v>
      </c>
      <c r="E727" s="18">
        <f>IF($A727&gt;30,0,(E685-MIN(MAX(F726,0),E685))+MIN(MAX(0,G726-(E685-MIN(MAX(F726,0),E685))),MAX(0,2*E685-(F726-MIN(MAX(F726,0),E685)))))</f>
        <v>0</v>
      </c>
      <c r="F727" s="18">
        <f>IF($A727&gt;30,F726,(F726-E685+E727)*(1+$B$7))</f>
        <v>0</v>
      </c>
      <c r="G727" s="18">
        <f t="shared" si="73"/>
        <v>-1385607.040198544</v>
      </c>
      <c r="H727" s="18">
        <f>IF($A727&gt;30,0,(H685-MIN(MAX(I726,0),H685))+MIN(MAX(0,J726-(H685-MIN(MAX(I726,0),H685))),MAX(0,2*H685-(I726-MIN(MAX(I726,0),H685)))))</f>
        <v>0</v>
      </c>
      <c r="I727" s="18">
        <f>IF($A727&gt;30,I726,(I726-H685+H727)*(1+$B$7))</f>
        <v>0</v>
      </c>
      <c r="J727" s="18">
        <f t="shared" si="74"/>
        <v>-32150.196747740061</v>
      </c>
      <c r="K727" s="18">
        <f>IF($A727&gt;30,0,(K685-MIN(MAX(L726,0),K685))+MIN(MAX(0,M726-(K685-MIN(MAX(L726,0),K685))),MAX(0,2*K685-(L726-MIN(MAX(L726,0),K685)))))</f>
        <v>0</v>
      </c>
      <c r="L727" s="18">
        <f>IF($A727&gt;30,L726,(L726-K685+K727)*(1+$B$7))</f>
        <v>5.5157973031963365</v>
      </c>
      <c r="M727" s="18">
        <f t="shared" si="75"/>
        <v>0</v>
      </c>
      <c r="N727" s="18">
        <f>IF($A727&gt;30,0,(N685-MIN(MAX(O726,0),N685))+MIN(MAX(0,P726-(N685-MIN(MAX(O726,0),N685))),MAX(0,2*N685-(O726-MIN(MAX(O726,0),N685)))))</f>
        <v>0</v>
      </c>
      <c r="O727" s="18">
        <f>IF($A727&gt;30,O726,(O726-N685+N727)*(1+$B$7))</f>
        <v>2.9340376361535162E-3</v>
      </c>
      <c r="P727" s="18">
        <f t="shared" si="76"/>
        <v>0</v>
      </c>
      <c r="Q727" s="18">
        <f>IF($A727&gt;30,0,(Q685-MIN(MAX(R726,0),Q685))+MIN(MAX(0,S726-(Q685-MIN(MAX(R726,0),Q685))),MAX(0,2*Q685-(R726-MIN(MAX(R726,0),Q685)))))</f>
        <v>0</v>
      </c>
      <c r="R727" s="18">
        <f>IF($A727&gt;30,R726,(R726-Q685+Q727)*(1+$B$7))</f>
        <v>2.4649198167026044E-10</v>
      </c>
      <c r="S727" s="18">
        <f t="shared" si="77"/>
        <v>0</v>
      </c>
    </row>
    <row r="728" spans="1:19">
      <c r="B728" s="18">
        <f>C727+D727</f>
        <v>861270.08780036611</v>
      </c>
      <c r="E728" s="18">
        <f>F727+G727</f>
        <v>-1385607.040198544</v>
      </c>
      <c r="H728" s="18">
        <f>I727+J727</f>
        <v>-32150.196747740061</v>
      </c>
      <c r="K728" s="18">
        <f>L727+M727</f>
        <v>5.5157973031963365</v>
      </c>
      <c r="N728" s="18">
        <f>O727+P727</f>
        <v>2.9340376361535162E-3</v>
      </c>
      <c r="Q728" s="18">
        <f>R727+S727</f>
        <v>2.4649198167026044E-10</v>
      </c>
    </row>
    <row r="729" spans="1:19">
      <c r="A729" s="5" t="s">
        <v>266</v>
      </c>
      <c r="B729" s="18">
        <f>IFERROR(Q685-Q728*(Q685-N685)/(Q728-N728),Q685)</f>
        <v>46590.263137265261</v>
      </c>
    </row>
    <row r="731" spans="1:19">
      <c r="A731" s="2" t="s">
        <v>279</v>
      </c>
    </row>
    <row r="732" spans="1:19">
      <c r="B732" s="9">
        <f>0.03*$B$5</f>
        <v>30000</v>
      </c>
      <c r="E732" s="9">
        <f>0.075*$B$5</f>
        <v>75000</v>
      </c>
      <c r="H732" s="18">
        <f>IFERROR(E732-E775*(E732-B732)/(E775-B775),E732)</f>
        <v>46224.208644890467</v>
      </c>
      <c r="K732" s="18">
        <f>IFERROR(H732-H775*(H732-E732)/(H775-E775),H732)</f>
        <v>45290.572535845946</v>
      </c>
      <c r="N732" s="18">
        <f>IFERROR(K732-K775*(K732-H732)/(K775-H775),K732)</f>
        <v>45290.552151454991</v>
      </c>
      <c r="Q732" s="18">
        <f>IFERROR(N732-N775*(N732-K732)/(N775-K775),N732)</f>
        <v>45290.55278133852</v>
      </c>
    </row>
    <row r="733" spans="1:19">
      <c r="A733" s="25" t="s">
        <v>262</v>
      </c>
      <c r="B733" s="25" t="s">
        <v>263</v>
      </c>
      <c r="C733" s="25" t="s">
        <v>264</v>
      </c>
      <c r="D733" s="25" t="s">
        <v>265</v>
      </c>
      <c r="E733" s="25" t="s">
        <v>263</v>
      </c>
      <c r="F733" s="25" t="s">
        <v>264</v>
      </c>
      <c r="G733" s="25" t="s">
        <v>265</v>
      </c>
      <c r="H733" s="25" t="s">
        <v>263</v>
      </c>
      <c r="I733" s="25" t="s">
        <v>264</v>
      </c>
      <c r="J733" s="25" t="s">
        <v>265</v>
      </c>
      <c r="K733" s="25" t="s">
        <v>263</v>
      </c>
      <c r="L733" s="25" t="s">
        <v>264</v>
      </c>
      <c r="M733" s="25" t="s">
        <v>265</v>
      </c>
      <c r="N733" s="25" t="s">
        <v>263</v>
      </c>
      <c r="O733" s="25" t="s">
        <v>264</v>
      </c>
      <c r="P733" s="25" t="s">
        <v>265</v>
      </c>
      <c r="Q733" s="25" t="s">
        <v>263</v>
      </c>
      <c r="R733" s="25" t="s">
        <v>264</v>
      </c>
      <c r="S733" s="25" t="s">
        <v>265</v>
      </c>
    </row>
    <row r="734" spans="1:19">
      <c r="A734" s="3">
        <v>0</v>
      </c>
      <c r="C734" s="18">
        <f>MIN(3*B732,$B$5)</f>
        <v>90000</v>
      </c>
      <c r="D734" s="18">
        <f>$B$5-C734</f>
        <v>910000</v>
      </c>
      <c r="F734" s="18">
        <f>MIN(3*E732,$B$5)</f>
        <v>225000</v>
      </c>
      <c r="G734" s="18">
        <f>$B$5-F734</f>
        <v>775000</v>
      </c>
      <c r="I734" s="18">
        <f>MIN(3*H732,$B$5)</f>
        <v>138672.62593467141</v>
      </c>
      <c r="J734" s="18">
        <f>$B$5-I734</f>
        <v>861327.37406532862</v>
      </c>
      <c r="L734" s="18">
        <f>MIN(3*K732,$B$5)</f>
        <v>135871.71760753784</v>
      </c>
      <c r="M734" s="18">
        <f>$B$5-L734</f>
        <v>864128.28239246213</v>
      </c>
      <c r="O734" s="18">
        <f>MIN(3*N732,$B$5)</f>
        <v>135871.65645436497</v>
      </c>
      <c r="P734" s="18">
        <f>$B$5-O734</f>
        <v>864128.343545635</v>
      </c>
      <c r="R734" s="18">
        <f>MIN(3*Q732,$B$5)</f>
        <v>135871.65834401557</v>
      </c>
      <c r="S734" s="18">
        <f>$B$5-R734</f>
        <v>864128.3416559844</v>
      </c>
    </row>
    <row r="735" spans="1:19">
      <c r="A735" s="10">
        <f>1</f>
        <v>1</v>
      </c>
      <c r="B735" s="18">
        <f>IF($A735&gt;30,0,(B732-MIN(MAX(C734,0),B732))+MIN(MAX(0,D734-(B732-MIN(MAX(C734,0),B732))),MAX(0,3*B732-(C734-MIN(MAX(C734,0),B732)))))</f>
        <v>30000</v>
      </c>
      <c r="C735" s="18">
        <f>IF($A735&gt;30,C734,(C734-B732+B735)*(1+$B$7))</f>
        <v>89676</v>
      </c>
      <c r="D735" s="18">
        <f t="shared" ref="D735:D774" si="78">IF($A735&gt;30,D734,(D734-B735)*(1+$B$6))</f>
        <v>906400</v>
      </c>
      <c r="E735" s="18">
        <f>IF($A735&gt;30,0,(E732-MIN(MAX(F734,0),E732))+MIN(MAX(0,G734-(E732-MIN(MAX(F734,0),E732))),MAX(0,3*E732-(F734-MIN(MAX(F734,0),E732)))))</f>
        <v>75000</v>
      </c>
      <c r="F735" s="18">
        <f>IF($A735&gt;30,F734,(F734-E732+E735)*(1+$B$7))</f>
        <v>224190</v>
      </c>
      <c r="G735" s="18">
        <f t="shared" ref="G735:G774" si="79">IF($A735&gt;30,G734,(G734-E735)*(1+$B$6))</f>
        <v>721000</v>
      </c>
      <c r="H735" s="18">
        <f>IF($A735&gt;30,0,(H732-MIN(MAX(I734,0),H732))+MIN(MAX(0,J734-(H732-MIN(MAX(I734,0),H732))),MAX(0,3*H732-(I734-MIN(MAX(I734,0),H732)))))</f>
        <v>46224.208644890459</v>
      </c>
      <c r="I735" s="18">
        <f>IF($A735&gt;30,I734,(I734-H732+H735)*(1+$B$7))</f>
        <v>138173.40448130658</v>
      </c>
      <c r="J735" s="18">
        <f t="shared" ref="J735:J774" si="80">IF($A735&gt;30,J734,(J734-H735)*(1+$B$6))</f>
        <v>839556.26038305135</v>
      </c>
      <c r="K735" s="18">
        <f>IF($A735&gt;30,0,(K732-MIN(MAX(L734,0),K732))+MIN(MAX(0,M734-(K732-MIN(MAX(L734,0),K732))),MAX(0,3*K732-(L734-MIN(MAX(L734,0),K732)))))</f>
        <v>45290.572535845946</v>
      </c>
      <c r="L735" s="18">
        <f>IF($A735&gt;30,L734,(L734-K732+K735)*(1+$B$7))</f>
        <v>135382.5794241507</v>
      </c>
      <c r="M735" s="18">
        <f t="shared" ref="M735:M774" si="81">IF($A735&gt;30,M734,(M734-K735)*(1+$B$6))</f>
        <v>843402.84115231468</v>
      </c>
      <c r="N735" s="18">
        <f>IF($A735&gt;30,0,(N732-MIN(MAX(O734,0),N732))+MIN(MAX(0,P734-(N732-MIN(MAX(O734,0),N732))),MAX(0,3*N732-(O734-MIN(MAX(O734,0),N732)))))</f>
        <v>45290.552151454991</v>
      </c>
      <c r="O735" s="18">
        <f>IF($A735&gt;30,O734,(O734-N732+N735)*(1+$B$7))</f>
        <v>135382.51849112925</v>
      </c>
      <c r="P735" s="18">
        <f t="shared" ref="P735:P774" si="82">IF($A735&gt;30,P734,(P734-N735)*(1+$B$6))</f>
        <v>843402.92513600551</v>
      </c>
      <c r="Q735" s="18">
        <f>IF($A735&gt;30,0,(Q732-MIN(MAX(R734,0),Q732))+MIN(MAX(0,S734-(Q732-MIN(MAX(R734,0),Q732))),MAX(0,3*Q732-(R734-MIN(MAX(R734,0),Q732)))))</f>
        <v>45290.552781338512</v>
      </c>
      <c r="R735" s="18">
        <f>IF($A735&gt;30,R734,(R734-Q732+Q735)*(1+$B$7))</f>
        <v>135382.52037397711</v>
      </c>
      <c r="S735" s="18">
        <f t="shared" ref="S735:S774" si="83">IF($A735&gt;30,S734,(S734-Q735)*(1+$B$6))</f>
        <v>843402.9225408854</v>
      </c>
    </row>
    <row r="736" spans="1:19">
      <c r="A736" s="10">
        <f>2</f>
        <v>2</v>
      </c>
      <c r="B736" s="18">
        <f>IF($A736&gt;30,0,(B732-MIN(MAX(C735,0),B732))+MIN(MAX(0,D735-(B732-MIN(MAX(C735,0),B732))),MAX(0,3*B732-(C735-MIN(MAX(C735,0),B732)))))</f>
        <v>30324</v>
      </c>
      <c r="C736" s="18">
        <f>IF($A736&gt;30,C735,(C735-B732+B736)*(1+$B$7))</f>
        <v>89676</v>
      </c>
      <c r="D736" s="18">
        <f t="shared" si="78"/>
        <v>902358.28</v>
      </c>
      <c r="E736" s="18">
        <f>IF($A736&gt;30,0,(E732-MIN(MAX(F735,0),E732))+MIN(MAX(0,G735-(E732-MIN(MAX(F735,0),E732))),MAX(0,3*E732-(F735-MIN(MAX(F735,0),E732)))))</f>
        <v>75810</v>
      </c>
      <c r="F736" s="18">
        <f>IF($A736&gt;30,F735,(F735-E732+E736)*(1+$B$7))</f>
        <v>224190</v>
      </c>
      <c r="G736" s="18">
        <f t="shared" si="79"/>
        <v>664545.70000000007</v>
      </c>
      <c r="H736" s="18">
        <f>IF($A736&gt;30,0,(H732-MIN(MAX(I735,0),H732))+MIN(MAX(0,J735-(H732-MIN(MAX(I735,0),H732))),MAX(0,3*H732-(I735-MIN(MAX(I735,0),H732)))))</f>
        <v>46723.430098255281</v>
      </c>
      <c r="I736" s="18">
        <f>IF($A736&gt;30,I735,(I735-H732+H736)*(1+$B$7))</f>
        <v>138173.40448130658</v>
      </c>
      <c r="J736" s="18">
        <f t="shared" si="80"/>
        <v>816617.81519333995</v>
      </c>
      <c r="K736" s="18">
        <f>IF($A736&gt;30,0,(K732-MIN(MAX(L735,0),K732))+MIN(MAX(0,M735-(K732-MIN(MAX(L735,0),K732))),MAX(0,3*K732-(L735-MIN(MAX(L735,0),K732)))))</f>
        <v>45779.710719233088</v>
      </c>
      <c r="L736" s="18">
        <f>IF($A736&gt;30,L735,(L735-K732+K736)*(1+$B$7))</f>
        <v>135382.5794241507</v>
      </c>
      <c r="M736" s="18">
        <f t="shared" si="81"/>
        <v>821551.82434607414</v>
      </c>
      <c r="N736" s="18">
        <f>IF($A736&gt;30,0,(N732-MIN(MAX(O735,0),N732))+MIN(MAX(0,P735-(N732-MIN(MAX(O735,0),N732))),MAX(0,3*N732-(O735-MIN(MAX(O735,0),N732)))))</f>
        <v>45779.690114690718</v>
      </c>
      <c r="O736" s="18">
        <f>IF($A736&gt;30,O735,(O735-N732+N736)*(1+$B$7))</f>
        <v>135382.51849112925</v>
      </c>
      <c r="P736" s="18">
        <f t="shared" si="82"/>
        <v>821551.93207195424</v>
      </c>
      <c r="Q736" s="18">
        <f>IF($A736&gt;30,0,(Q732-MIN(MAX(R735,0),Q732))+MIN(MAX(0,S735-(Q732-MIN(MAX(R735,0),Q732))),MAX(0,3*Q732-(R735-MIN(MAX(R735,0),Q732)))))</f>
        <v>45779.690751376969</v>
      </c>
      <c r="R736" s="18">
        <f>IF($A736&gt;30,R735,(R735-Q732+Q736)*(1+$B$7))</f>
        <v>135382.52037397711</v>
      </c>
      <c r="S736" s="18">
        <f t="shared" si="83"/>
        <v>821551.92874319362</v>
      </c>
    </row>
    <row r="737" spans="1:19">
      <c r="A737" s="10">
        <f>3</f>
        <v>3</v>
      </c>
      <c r="B737" s="18">
        <f>IF($A737&gt;30,0,(B732-MIN(MAX(C736,0),B732))+MIN(MAX(0,D736-(B732-MIN(MAX(C736,0),B732))),MAX(0,3*B732-(C736-MIN(MAX(C736,0),B732)))))</f>
        <v>30324</v>
      </c>
      <c r="C737" s="18">
        <f>IF($A737&gt;30,C736,(C736-B732+B737)*(1+$B$7))</f>
        <v>89676</v>
      </c>
      <c r="D737" s="18">
        <f t="shared" si="78"/>
        <v>898195.3084000001</v>
      </c>
      <c r="E737" s="18">
        <f>IF($A737&gt;30,0,(E732-MIN(MAX(F736,0),E732))+MIN(MAX(0,G736-(E732-MIN(MAX(F736,0),E732))),MAX(0,3*E732-(F736-MIN(MAX(F736,0),E732)))))</f>
        <v>75810</v>
      </c>
      <c r="F737" s="18">
        <f>IF($A737&gt;30,F736,(F736-E732+E737)*(1+$B$7))</f>
        <v>224190</v>
      </c>
      <c r="G737" s="18">
        <f t="shared" si="79"/>
        <v>606397.77100000007</v>
      </c>
      <c r="H737" s="18">
        <f>IF($A737&gt;30,0,(H732-MIN(MAX(I736,0),H732))+MIN(MAX(0,J736-(H732-MIN(MAX(I736,0),H732))),MAX(0,3*H732-(I736-MIN(MAX(I736,0),H732)))))</f>
        <v>46723.430098255281</v>
      </c>
      <c r="I737" s="18">
        <f>IF($A737&gt;30,I736,(I736-H732+H737)*(1+$B$7))</f>
        <v>138173.40448130658</v>
      </c>
      <c r="J737" s="18">
        <f t="shared" si="80"/>
        <v>792991.2166479372</v>
      </c>
      <c r="K737" s="18">
        <f>IF($A737&gt;30,0,(K732-MIN(MAX(L736,0),K732))+MIN(MAX(0,M736-(K732-MIN(MAX(L736,0),K732))),MAX(0,3*K732-(L736-MIN(MAX(L736,0),K732)))))</f>
        <v>45779.710719233088</v>
      </c>
      <c r="L737" s="18">
        <f>IF($A737&gt;30,L736,(L736-K732+K737)*(1+$B$7))</f>
        <v>135382.5794241507</v>
      </c>
      <c r="M737" s="18">
        <f t="shared" si="81"/>
        <v>799045.27703564626</v>
      </c>
      <c r="N737" s="18">
        <f>IF($A737&gt;30,0,(N732-MIN(MAX(O736,0),N732))+MIN(MAX(0,P736-(N732-MIN(MAX(O736,0),N732))),MAX(0,3*N732-(O736-MIN(MAX(O736,0),N732)))))</f>
        <v>45779.690114690718</v>
      </c>
      <c r="O737" s="18">
        <f>IF($A737&gt;30,O736,(O736-N732+N737)*(1+$B$7))</f>
        <v>135382.51849112925</v>
      </c>
      <c r="P737" s="18">
        <f t="shared" si="82"/>
        <v>799045.40921598149</v>
      </c>
      <c r="Q737" s="18">
        <f>IF($A737&gt;30,0,(Q732-MIN(MAX(R736,0),Q732))+MIN(MAX(0,S736-(Q732-MIN(MAX(R736,0),Q732))),MAX(0,3*Q732-(R736-MIN(MAX(R736,0),Q732)))))</f>
        <v>45779.690751376969</v>
      </c>
      <c r="R737" s="18">
        <f>IF($A737&gt;30,R736,(R736-Q732+Q737)*(1+$B$7))</f>
        <v>135382.52037397711</v>
      </c>
      <c r="S737" s="18">
        <f t="shared" si="83"/>
        <v>799045.40513157111</v>
      </c>
    </row>
    <row r="738" spans="1:19">
      <c r="A738" s="10">
        <f>4</f>
        <v>4</v>
      </c>
      <c r="B738" s="18">
        <f>IF($A738&gt;30,0,(B732-MIN(MAX(C737,0),B732))+MIN(MAX(0,D737-(B732-MIN(MAX(C737,0),B732))),MAX(0,3*B732-(C737-MIN(MAX(C737,0),B732)))))</f>
        <v>30324</v>
      </c>
      <c r="C738" s="18">
        <f>IF($A738&gt;30,C737,(C737-B732+B738)*(1+$B$7))</f>
        <v>89676</v>
      </c>
      <c r="D738" s="18">
        <f t="shared" si="78"/>
        <v>893907.44765200012</v>
      </c>
      <c r="E738" s="18">
        <f>IF($A738&gt;30,0,(E732-MIN(MAX(F737,0),E732))+MIN(MAX(0,G737-(E732-MIN(MAX(F737,0),E732))),MAX(0,3*E732-(F737-MIN(MAX(F737,0),E732)))))</f>
        <v>75810</v>
      </c>
      <c r="F738" s="18">
        <f>IF($A738&gt;30,F737,(F737-E732+E738)*(1+$B$7))</f>
        <v>224190</v>
      </c>
      <c r="G738" s="18">
        <f t="shared" si="79"/>
        <v>546505.40413000004</v>
      </c>
      <c r="H738" s="18">
        <f>IF($A738&gt;30,0,(H732-MIN(MAX(I737,0),H732))+MIN(MAX(0,J737-(H732-MIN(MAX(I737,0),H732))),MAX(0,3*H732-(I737-MIN(MAX(I737,0),H732)))))</f>
        <v>46723.430098255281</v>
      </c>
      <c r="I738" s="18">
        <f>IF($A738&gt;30,I737,(I737-H732+H738)*(1+$B$7))</f>
        <v>138173.40448130658</v>
      </c>
      <c r="J738" s="18">
        <f t="shared" si="80"/>
        <v>768655.82014617242</v>
      </c>
      <c r="K738" s="18">
        <f>IF($A738&gt;30,0,(K732-MIN(MAX(L737,0),K732))+MIN(MAX(0,M737-(K732-MIN(MAX(L737,0),K732))),MAX(0,3*K732-(L737-MIN(MAX(L737,0),K732)))))</f>
        <v>45779.710719233088</v>
      </c>
      <c r="L738" s="18">
        <f>IF($A738&gt;30,L737,(L737-K732+K738)*(1+$B$7))</f>
        <v>135382.5794241507</v>
      </c>
      <c r="M738" s="18">
        <f t="shared" si="81"/>
        <v>775863.53330590564</v>
      </c>
      <c r="N738" s="18">
        <f>IF($A738&gt;30,0,(N732-MIN(MAX(O737,0),N732))+MIN(MAX(0,P737-(N732-MIN(MAX(O737,0),N732))),MAX(0,3*N732-(O737-MIN(MAX(O737,0),N732)))))</f>
        <v>45779.690114690718</v>
      </c>
      <c r="O738" s="18">
        <f>IF($A738&gt;30,O737,(O737-N732+N738)*(1+$B$7))</f>
        <v>135382.51849112925</v>
      </c>
      <c r="P738" s="18">
        <f t="shared" si="82"/>
        <v>775863.69067432953</v>
      </c>
      <c r="Q738" s="18">
        <f>IF($A738&gt;30,0,(Q732-MIN(MAX(R737,0),Q732))+MIN(MAX(0,S737-(Q732-MIN(MAX(R737,0),Q732))),MAX(0,3*Q732-(R737-MIN(MAX(R737,0),Q732)))))</f>
        <v>45779.690751376969</v>
      </c>
      <c r="R738" s="18">
        <f>IF($A738&gt;30,R737,(R737-Q732+Q738)*(1+$B$7))</f>
        <v>135382.52037397711</v>
      </c>
      <c r="S738" s="18">
        <f t="shared" si="83"/>
        <v>775863.68581160007</v>
      </c>
    </row>
    <row r="739" spans="1:19">
      <c r="A739" s="10">
        <f>5</f>
        <v>5</v>
      </c>
      <c r="B739" s="18">
        <f>IF($A739&gt;30,0,(B732-MIN(MAX(C738,0),B732))+MIN(MAX(0,D738-(B732-MIN(MAX(C738,0),B732))),MAX(0,3*B732-(C738-MIN(MAX(C738,0),B732)))))</f>
        <v>30324</v>
      </c>
      <c r="C739" s="18">
        <f>IF($A739&gt;30,C738,(C738-B732+B739)*(1+$B$7))</f>
        <v>89676</v>
      </c>
      <c r="D739" s="18">
        <f t="shared" si="78"/>
        <v>889490.95108156011</v>
      </c>
      <c r="E739" s="18">
        <f>IF($A739&gt;30,0,(E732-MIN(MAX(F738,0),E732))+MIN(MAX(0,G738-(E732-MIN(MAX(F738,0),E732))),MAX(0,3*E732-(F738-MIN(MAX(F738,0),E732)))))</f>
        <v>75810</v>
      </c>
      <c r="F739" s="18">
        <f>IF($A739&gt;30,F738,(F738-E732+E739)*(1+$B$7))</f>
        <v>224190</v>
      </c>
      <c r="G739" s="18">
        <f t="shared" si="79"/>
        <v>484816.26625390007</v>
      </c>
      <c r="H739" s="18">
        <f>IF($A739&gt;30,0,(H732-MIN(MAX(I738,0),H732))+MIN(MAX(0,J738-(H732-MIN(MAX(I738,0),H732))),MAX(0,3*H732-(I738-MIN(MAX(I738,0),H732)))))</f>
        <v>46723.430098255281</v>
      </c>
      <c r="I739" s="18">
        <f>IF($A739&gt;30,I738,(I738-H732+H739)*(1+$B$7))</f>
        <v>138173.40448130658</v>
      </c>
      <c r="J739" s="18">
        <f t="shared" si="80"/>
        <v>743590.36174935463</v>
      </c>
      <c r="K739" s="18">
        <f>IF($A739&gt;30,0,(K732-MIN(MAX(L738,0),K732))+MIN(MAX(0,M738-(K732-MIN(MAX(L738,0),K732))),MAX(0,3*K732-(L738-MIN(MAX(L738,0),K732)))))</f>
        <v>45779.710719233088</v>
      </c>
      <c r="L739" s="18">
        <f>IF($A739&gt;30,L738,(L738-K732+K739)*(1+$B$7))</f>
        <v>135382.5794241507</v>
      </c>
      <c r="M739" s="18">
        <f t="shared" si="81"/>
        <v>751986.33726427285</v>
      </c>
      <c r="N739" s="18">
        <f>IF($A739&gt;30,0,(N732-MIN(MAX(O738,0),N732))+MIN(MAX(0,P738-(N732-MIN(MAX(O738,0),N732))),MAX(0,3*N732-(O738-MIN(MAX(O738,0),N732)))))</f>
        <v>45779.690114690718</v>
      </c>
      <c r="O739" s="18">
        <f>IF($A739&gt;30,O738,(O738-N732+N739)*(1+$B$7))</f>
        <v>135382.51849112925</v>
      </c>
      <c r="P739" s="18">
        <f t="shared" si="82"/>
        <v>751986.52057642804</v>
      </c>
      <c r="Q739" s="18">
        <f>IF($A739&gt;30,0,(Q732-MIN(MAX(R738,0),Q732))+MIN(MAX(0,S738-(Q732-MIN(MAX(R738,0),Q732))),MAX(0,3*Q732-(R738-MIN(MAX(R738,0),Q732)))))</f>
        <v>45779.690751376969</v>
      </c>
      <c r="R739" s="18">
        <f>IF($A739&gt;30,R738,(R738-Q732+Q739)*(1+$B$7))</f>
        <v>135382.52037397711</v>
      </c>
      <c r="S739" s="18">
        <f t="shared" si="83"/>
        <v>751986.51491202984</v>
      </c>
    </row>
    <row r="740" spans="1:19">
      <c r="A740" s="10">
        <f>6</f>
        <v>6</v>
      </c>
      <c r="B740" s="18">
        <f>IF($A740&gt;30,0,(B732-MIN(MAX(C739,0),B732))+MIN(MAX(0,D739-(B732-MIN(MAX(C739,0),B732))),MAX(0,3*B732-(C739-MIN(MAX(C739,0),B732)))))</f>
        <v>30324</v>
      </c>
      <c r="C740" s="18">
        <f>IF($A740&gt;30,C739,(C739-B732+B740)*(1+$B$7))</f>
        <v>89676</v>
      </c>
      <c r="D740" s="18">
        <f t="shared" si="78"/>
        <v>884941.95961400692</v>
      </c>
      <c r="E740" s="18">
        <f>IF($A740&gt;30,0,(E732-MIN(MAX(F739,0),E732))+MIN(MAX(0,G739-(E732-MIN(MAX(F739,0),E732))),MAX(0,3*E732-(F739-MIN(MAX(F739,0),E732)))))</f>
        <v>75810</v>
      </c>
      <c r="F740" s="18">
        <f>IF($A740&gt;30,F739,(F739-E732+E740)*(1+$B$7))</f>
        <v>224190</v>
      </c>
      <c r="G740" s="18">
        <f t="shared" si="79"/>
        <v>421276.45424151706</v>
      </c>
      <c r="H740" s="18">
        <f>IF($A740&gt;30,0,(H732-MIN(MAX(I739,0),H732))+MIN(MAX(0,J739-(H732-MIN(MAX(I739,0),H732))),MAX(0,3*H732-(I739-MIN(MAX(I739,0),H732)))))</f>
        <v>46723.430098255281</v>
      </c>
      <c r="I740" s="18">
        <f>IF($A740&gt;30,I739,(I739-H732+H740)*(1+$B$7))</f>
        <v>138173.40448130658</v>
      </c>
      <c r="J740" s="18">
        <f t="shared" si="80"/>
        <v>717772.93960063229</v>
      </c>
      <c r="K740" s="18">
        <f>IF($A740&gt;30,0,(K732-MIN(MAX(L739,0),K732))+MIN(MAX(0,M739-(K732-MIN(MAX(L739,0),K732))),MAX(0,3*K732-(L739-MIN(MAX(L739,0),K732)))))</f>
        <v>45779.710719233088</v>
      </c>
      <c r="L740" s="18">
        <f>IF($A740&gt;30,L739,(L739-K732+K740)*(1+$B$7))</f>
        <v>135382.5794241507</v>
      </c>
      <c r="M740" s="18">
        <f t="shared" si="81"/>
        <v>727392.82534139091</v>
      </c>
      <c r="N740" s="18">
        <f>IF($A740&gt;30,0,(N732-MIN(MAX(O739,0),N732))+MIN(MAX(0,P739-(N732-MIN(MAX(O739,0),N732))),MAX(0,3*N732-(O739-MIN(MAX(O739,0),N732)))))</f>
        <v>45779.690114690718</v>
      </c>
      <c r="O740" s="18">
        <f>IF($A740&gt;30,O739,(O739-N732+N740)*(1+$B$7))</f>
        <v>135382.51849112925</v>
      </c>
      <c r="P740" s="18">
        <f t="shared" si="82"/>
        <v>727393.0353755895</v>
      </c>
      <c r="Q740" s="18">
        <f>IF($A740&gt;30,0,(Q732-MIN(MAX(R739,0),Q732))+MIN(MAX(0,S739-(Q732-MIN(MAX(R739,0),Q732))),MAX(0,3*Q732-(R739-MIN(MAX(R739,0),Q732)))))</f>
        <v>45779.690751376969</v>
      </c>
      <c r="R740" s="18">
        <f>IF($A740&gt;30,R739,(R739-Q732+Q740)*(1+$B$7))</f>
        <v>135382.52037397711</v>
      </c>
      <c r="S740" s="18">
        <f t="shared" si="83"/>
        <v>727393.02888547257</v>
      </c>
    </row>
    <row r="741" spans="1:19">
      <c r="A741" s="10">
        <f>7</f>
        <v>7</v>
      </c>
      <c r="B741" s="18">
        <f>IF($A741&gt;30,0,(B732-MIN(MAX(C740,0),B732))+MIN(MAX(0,D740-(B732-MIN(MAX(C740,0),B732))),MAX(0,3*B732-(C740-MIN(MAX(C740,0),B732)))))</f>
        <v>30324</v>
      </c>
      <c r="C741" s="18">
        <f>IF($A741&gt;30,C740,(C740-B732+B741)*(1+$B$7))</f>
        <v>89676</v>
      </c>
      <c r="D741" s="18">
        <f t="shared" si="78"/>
        <v>880256.49840242718</v>
      </c>
      <c r="E741" s="18">
        <f>IF($A741&gt;30,0,(E732-MIN(MAX(F740,0),E732))+MIN(MAX(0,G740-(E732-MIN(MAX(F740,0),E732))),MAX(0,3*E732-(F740-MIN(MAX(F740,0),E732)))))</f>
        <v>75810</v>
      </c>
      <c r="F741" s="18">
        <f>IF($A741&gt;30,F740,(F740-E732+E741)*(1+$B$7))</f>
        <v>224190</v>
      </c>
      <c r="G741" s="18">
        <f t="shared" si="79"/>
        <v>355830.4478687626</v>
      </c>
      <c r="H741" s="18">
        <f>IF($A741&gt;30,0,(H732-MIN(MAX(I740,0),H732))+MIN(MAX(0,J740-(H732-MIN(MAX(I740,0),H732))),MAX(0,3*H732-(I740-MIN(MAX(I740,0),H732)))))</f>
        <v>46723.430098255281</v>
      </c>
      <c r="I741" s="18">
        <f>IF($A741&gt;30,I740,(I740-H732+H741)*(1+$B$7))</f>
        <v>138173.40448130658</v>
      </c>
      <c r="J741" s="18">
        <f t="shared" si="80"/>
        <v>691180.99478744832</v>
      </c>
      <c r="K741" s="18">
        <f>IF($A741&gt;30,0,(K732-MIN(MAX(L740,0),K732))+MIN(MAX(0,M740-(K732-MIN(MAX(L740,0),K732))),MAX(0,3*K732-(L740-MIN(MAX(L740,0),K732)))))</f>
        <v>45779.710719233088</v>
      </c>
      <c r="L741" s="18">
        <f>IF($A741&gt;30,L740,(L740-K732+K741)*(1+$B$7))</f>
        <v>135382.5794241507</v>
      </c>
      <c r="M741" s="18">
        <f t="shared" si="81"/>
        <v>702061.5080608225</v>
      </c>
      <c r="N741" s="18">
        <f>IF($A741&gt;30,0,(N732-MIN(MAX(O740,0),N732))+MIN(MAX(0,P740-(N732-MIN(MAX(O740,0),N732))),MAX(0,3*N732-(O740-MIN(MAX(O740,0),N732)))))</f>
        <v>45779.690114690718</v>
      </c>
      <c r="O741" s="18">
        <f>IF($A741&gt;30,O740,(O740-N732+N741)*(1+$B$7))</f>
        <v>135382.51849112925</v>
      </c>
      <c r="P741" s="18">
        <f t="shared" si="82"/>
        <v>702061.74561872578</v>
      </c>
      <c r="Q741" s="18">
        <f>IF($A741&gt;30,0,(Q732-MIN(MAX(R740,0),Q732))+MIN(MAX(0,S740-(Q732-MIN(MAX(R740,0),Q732))),MAX(0,3*Q732-(R740-MIN(MAX(R740,0),Q732)))))</f>
        <v>45779.690751376969</v>
      </c>
      <c r="R741" s="18">
        <f>IF($A741&gt;30,R740,(R740-Q732+Q741)*(1+$B$7))</f>
        <v>135382.52037397711</v>
      </c>
      <c r="S741" s="18">
        <f t="shared" si="83"/>
        <v>702061.73827811843</v>
      </c>
    </row>
    <row r="742" spans="1:19">
      <c r="A742" s="10">
        <f>8</f>
        <v>8</v>
      </c>
      <c r="B742" s="18">
        <f>IF($A742&gt;30,0,(B732-MIN(MAX(C741,0),B732))+MIN(MAX(0,D741-(B732-MIN(MAX(C741,0),B732))),MAX(0,3*B732-(C741-MIN(MAX(C741,0),B732)))))</f>
        <v>30324</v>
      </c>
      <c r="C742" s="18">
        <f>IF($A742&gt;30,C741,(C741-B732+B742)*(1+$B$7))</f>
        <v>89676</v>
      </c>
      <c r="D742" s="18">
        <f t="shared" si="78"/>
        <v>875430.47335450002</v>
      </c>
      <c r="E742" s="18">
        <f>IF($A742&gt;30,0,(E732-MIN(MAX(F741,0),E732))+MIN(MAX(0,G741-(E732-MIN(MAX(F741,0),E732))),MAX(0,3*E732-(F741-MIN(MAX(F741,0),E732)))))</f>
        <v>75810</v>
      </c>
      <c r="F742" s="18">
        <f>IF($A742&gt;30,F741,(F741-E732+E742)*(1+$B$7))</f>
        <v>224190</v>
      </c>
      <c r="G742" s="18">
        <f t="shared" si="79"/>
        <v>288421.06130482547</v>
      </c>
      <c r="H742" s="18">
        <f>IF($A742&gt;30,0,(H732-MIN(MAX(I741,0),H732))+MIN(MAX(0,J741-(H732-MIN(MAX(I741,0),H732))),MAX(0,3*H732-(I741-MIN(MAX(I741,0),H732)))))</f>
        <v>46723.430098255281</v>
      </c>
      <c r="I742" s="18">
        <f>IF($A742&gt;30,I741,(I741-H732+H742)*(1+$B$7))</f>
        <v>138173.40448130658</v>
      </c>
      <c r="J742" s="18">
        <f t="shared" si="80"/>
        <v>663791.29162986879</v>
      </c>
      <c r="K742" s="18">
        <f>IF($A742&gt;30,0,(K732-MIN(MAX(L741,0),K732))+MIN(MAX(0,M741-(K732-MIN(MAX(L741,0),K732))),MAX(0,3*K732-(L741-MIN(MAX(L741,0),K732)))))</f>
        <v>45779.710719233088</v>
      </c>
      <c r="L742" s="18">
        <f>IF($A742&gt;30,L741,(L741-K732+K742)*(1+$B$7))</f>
        <v>135382.5794241507</v>
      </c>
      <c r="M742" s="18">
        <f t="shared" si="81"/>
        <v>675970.25126183708</v>
      </c>
      <c r="N742" s="18">
        <f>IF($A742&gt;30,0,(N732-MIN(MAX(O741,0),N732))+MIN(MAX(0,P741-(N732-MIN(MAX(O741,0),N732))),MAX(0,3*N732-(O741-MIN(MAX(O741,0),N732)))))</f>
        <v>45779.690114690718</v>
      </c>
      <c r="O742" s="18">
        <f>IF($A742&gt;30,O741,(O741-N732+N742)*(1+$B$7))</f>
        <v>135382.51849112925</v>
      </c>
      <c r="P742" s="18">
        <f t="shared" si="82"/>
        <v>675970.51716915611</v>
      </c>
      <c r="Q742" s="18">
        <f>IF($A742&gt;30,0,(Q732-MIN(MAX(R741,0),Q732))+MIN(MAX(0,S741-(Q732-MIN(MAX(R741,0),Q732))),MAX(0,3*Q732-(R741-MIN(MAX(R741,0),Q732)))))</f>
        <v>45779.690751376969</v>
      </c>
      <c r="R742" s="18">
        <f>IF($A742&gt;30,R741,(R741-Q732+Q742)*(1+$B$7))</f>
        <v>135382.52037397711</v>
      </c>
      <c r="S742" s="18">
        <f t="shared" si="83"/>
        <v>675970.50895254361</v>
      </c>
    </row>
    <row r="743" spans="1:19">
      <c r="A743" s="10">
        <f>9</f>
        <v>9</v>
      </c>
      <c r="B743" s="18">
        <f>IF($A743&gt;30,0,(B732-MIN(MAX(C742,0),B732))+MIN(MAX(0,D742-(B732-MIN(MAX(C742,0),B732))),MAX(0,3*B732-(C742-MIN(MAX(C742,0),B732)))))</f>
        <v>30324</v>
      </c>
      <c r="C743" s="18">
        <f>IF($A743&gt;30,C742,(C742-B732+B743)*(1+$B$7))</f>
        <v>89676</v>
      </c>
      <c r="D743" s="18">
        <f t="shared" si="78"/>
        <v>870459.66755513509</v>
      </c>
      <c r="E743" s="18">
        <f>IF($A743&gt;30,0,(E732-MIN(MAX(F742,0),E732))+MIN(MAX(0,G742-(E732-MIN(MAX(F742,0),E732))),MAX(0,3*E732-(F742-MIN(MAX(F742,0),E732)))))</f>
        <v>75810</v>
      </c>
      <c r="F743" s="18">
        <f>IF($A743&gt;30,F742,(F742-E732+E743)*(1+$B$7))</f>
        <v>224190</v>
      </c>
      <c r="G743" s="18">
        <f t="shared" si="79"/>
        <v>218989.39314397026</v>
      </c>
      <c r="H743" s="18">
        <f>IF($A743&gt;30,0,(H732-MIN(MAX(I742,0),H732))+MIN(MAX(0,J742-(H732-MIN(MAX(I742,0),H732))),MAX(0,3*H732-(I742-MIN(MAX(I742,0),H732)))))</f>
        <v>46723.430098255281</v>
      </c>
      <c r="I743" s="18">
        <f>IF($A743&gt;30,I742,(I742-H732+H743)*(1+$B$7))</f>
        <v>138173.40448130658</v>
      </c>
      <c r="J743" s="18">
        <f t="shared" si="80"/>
        <v>635579.89737756189</v>
      </c>
      <c r="K743" s="18">
        <f>IF($A743&gt;30,0,(K732-MIN(MAX(L742,0),K732))+MIN(MAX(0,M742-(K732-MIN(MAX(L742,0),K732))),MAX(0,3*K732-(L742-MIN(MAX(L742,0),K732)))))</f>
        <v>45779.710719233088</v>
      </c>
      <c r="L743" s="18">
        <f>IF($A743&gt;30,L742,(L742-K732+K743)*(1+$B$7))</f>
        <v>135382.5794241507</v>
      </c>
      <c r="M743" s="18">
        <f t="shared" si="81"/>
        <v>649096.25675888208</v>
      </c>
      <c r="N743" s="18">
        <f>IF($A743&gt;30,0,(N732-MIN(MAX(O742,0),N732))+MIN(MAX(0,P742-(N732-MIN(MAX(O742,0),N732))),MAX(0,3*N732-(O742-MIN(MAX(O742,0),N732)))))</f>
        <v>45779.690114690718</v>
      </c>
      <c r="O743" s="18">
        <f>IF($A743&gt;30,O742,(O742-N732+N743)*(1+$B$7))</f>
        <v>135382.51849112925</v>
      </c>
      <c r="P743" s="18">
        <f t="shared" si="82"/>
        <v>649096.55186609935</v>
      </c>
      <c r="Q743" s="18">
        <f>IF($A743&gt;30,0,(Q732-MIN(MAX(R742,0),Q732))+MIN(MAX(0,S742-(Q732-MIN(MAX(R742,0),Q732))),MAX(0,3*Q732-(R742-MIN(MAX(R742,0),Q732)))))</f>
        <v>45779.690751376969</v>
      </c>
      <c r="R743" s="18">
        <f>IF($A743&gt;30,R742,(R742-Q732+Q743)*(1+$B$7))</f>
        <v>135382.52037397711</v>
      </c>
      <c r="S743" s="18">
        <f t="shared" si="83"/>
        <v>649096.54274720163</v>
      </c>
    </row>
    <row r="744" spans="1:19">
      <c r="A744" s="10">
        <f>10</f>
        <v>10</v>
      </c>
      <c r="B744" s="18">
        <f>IF($A744&gt;30,0,(B732-MIN(MAX(C743,0),B732))+MIN(MAX(0,D743-(B732-MIN(MAX(C743,0),B732))),MAX(0,3*B732-(C743-MIN(MAX(C743,0),B732)))))</f>
        <v>30324</v>
      </c>
      <c r="C744" s="18">
        <f>IF($A744&gt;30,C743,(C743-B732+B744)*(1+$B$7))</f>
        <v>89676</v>
      </c>
      <c r="D744" s="18">
        <f t="shared" si="78"/>
        <v>865339.73758178914</v>
      </c>
      <c r="E744" s="18">
        <f>IF($A744&gt;30,0,(E732-MIN(MAX(F743,0),E732))+MIN(MAX(0,G743-(E732-MIN(MAX(F743,0),E732))),MAX(0,3*E732-(F743-MIN(MAX(F743,0),E732)))))</f>
        <v>75810</v>
      </c>
      <c r="F744" s="18">
        <f>IF($A744&gt;30,F743,(F743-E732+E744)*(1+$B$7))</f>
        <v>224190</v>
      </c>
      <c r="G744" s="18">
        <f t="shared" si="79"/>
        <v>147474.77493828937</v>
      </c>
      <c r="H744" s="18">
        <f>IF($A744&gt;30,0,(H732-MIN(MAX(I743,0),H732))+MIN(MAX(0,J743-(H732-MIN(MAX(I743,0),H732))),MAX(0,3*H732-(I743-MIN(MAX(I743,0),H732)))))</f>
        <v>46723.430098255281</v>
      </c>
      <c r="I744" s="18">
        <f>IF($A744&gt;30,I743,(I743-H732+H744)*(1+$B$7))</f>
        <v>138173.40448130658</v>
      </c>
      <c r="J744" s="18">
        <f t="shared" si="80"/>
        <v>606522.16129768582</v>
      </c>
      <c r="K744" s="18">
        <f>IF($A744&gt;30,0,(K732-MIN(MAX(L743,0),K732))+MIN(MAX(0,M743-(K732-MIN(MAX(L743,0),K732))),MAX(0,3*K732-(L743-MIN(MAX(L743,0),K732)))))</f>
        <v>45779.710719233088</v>
      </c>
      <c r="L744" s="18">
        <f>IF($A744&gt;30,L743,(L743-K732+K744)*(1+$B$7))</f>
        <v>135382.5794241507</v>
      </c>
      <c r="M744" s="18">
        <f t="shared" si="81"/>
        <v>621416.04242083849</v>
      </c>
      <c r="N744" s="18">
        <f>IF($A744&gt;30,0,(N732-MIN(MAX(O743,0),N732))+MIN(MAX(0,P743-(N732-MIN(MAX(O743,0),N732))),MAX(0,3*N732-(O743-MIN(MAX(O743,0),N732)))))</f>
        <v>45779.690114690718</v>
      </c>
      <c r="O744" s="18">
        <f>IF($A744&gt;30,O743,(O743-N732+N744)*(1+$B$7))</f>
        <v>135382.51849112925</v>
      </c>
      <c r="P744" s="18">
        <f t="shared" si="82"/>
        <v>621416.3676039509</v>
      </c>
      <c r="Q744" s="18">
        <f>IF($A744&gt;30,0,(Q732-MIN(MAX(R743,0),Q732))+MIN(MAX(0,S743-(Q732-MIN(MAX(R743,0),Q732))),MAX(0,3*Q732-(R743-MIN(MAX(R743,0),Q732)))))</f>
        <v>45779.690751376969</v>
      </c>
      <c r="R744" s="18">
        <f>IF($A744&gt;30,R743,(R743-Q732+Q744)*(1+$B$7))</f>
        <v>135382.52037397711</v>
      </c>
      <c r="S744" s="18">
        <f t="shared" si="83"/>
        <v>621416.3575556993</v>
      </c>
    </row>
    <row r="745" spans="1:19">
      <c r="A745" s="10">
        <f>11</f>
        <v>11</v>
      </c>
      <c r="B745" s="18">
        <f>IF($A745&gt;30,0,(B732-MIN(MAX(C744,0),B732))+MIN(MAX(0,D744-(B732-MIN(MAX(C744,0),B732))),MAX(0,3*B732-(C744-MIN(MAX(C744,0),B732)))))</f>
        <v>30324</v>
      </c>
      <c r="C745" s="18">
        <f>IF($A745&gt;30,C744,(C744-B732+B745)*(1+$B$7))</f>
        <v>89676</v>
      </c>
      <c r="D745" s="18">
        <f t="shared" si="78"/>
        <v>860066.2097092428</v>
      </c>
      <c r="E745" s="18">
        <f>IF($A745&gt;30,0,(E732-MIN(MAX(F744,0),E732))+MIN(MAX(0,G744-(E732-MIN(MAX(F744,0),E732))),MAX(0,3*E732-(F744-MIN(MAX(F744,0),E732)))))</f>
        <v>75810</v>
      </c>
      <c r="F745" s="18">
        <f>IF($A745&gt;30,F744,(F744-E732+E745)*(1+$B$7))</f>
        <v>224190</v>
      </c>
      <c r="G745" s="18">
        <f t="shared" si="79"/>
        <v>73814.718186438055</v>
      </c>
      <c r="H745" s="18">
        <f>IF($A745&gt;30,0,(H732-MIN(MAX(I744,0),H732))+MIN(MAX(0,J744-(H732-MIN(MAX(I744,0),H732))),MAX(0,3*H732-(I744-MIN(MAX(I744,0),H732)))))</f>
        <v>46723.430098255281</v>
      </c>
      <c r="I745" s="18">
        <f>IF($A745&gt;30,I744,(I744-H732+H745)*(1+$B$7))</f>
        <v>138173.40448130658</v>
      </c>
      <c r="J745" s="18">
        <f t="shared" si="80"/>
        <v>576592.69313541346</v>
      </c>
      <c r="K745" s="18">
        <f>IF($A745&gt;30,0,(K732-MIN(MAX(L744,0),K732))+MIN(MAX(0,M744-(K732-MIN(MAX(L744,0),K732))),MAX(0,3*K732-(L744-MIN(MAX(L744,0),K732)))))</f>
        <v>45779.710719233088</v>
      </c>
      <c r="L745" s="18">
        <f>IF($A745&gt;30,L744,(L744-K732+K745)*(1+$B$7))</f>
        <v>135382.5794241507</v>
      </c>
      <c r="M745" s="18">
        <f t="shared" si="81"/>
        <v>592905.42165265349</v>
      </c>
      <c r="N745" s="18">
        <f>IF($A745&gt;30,0,(N732-MIN(MAX(O744,0),N732))+MIN(MAX(0,P744-(N732-MIN(MAX(O744,0),N732))),MAX(0,3*N732-(O744-MIN(MAX(O744,0),N732)))))</f>
        <v>45779.690114690718</v>
      </c>
      <c r="O745" s="18">
        <f>IF($A745&gt;30,O744,(O744-N732+N745)*(1+$B$7))</f>
        <v>135382.51849112925</v>
      </c>
      <c r="P745" s="18">
        <f t="shared" si="82"/>
        <v>592905.77781393798</v>
      </c>
      <c r="Q745" s="18">
        <f>IF($A745&gt;30,0,(Q732-MIN(MAX(R744,0),Q732))+MIN(MAX(0,S744-(Q732-MIN(MAX(R744,0),Q732))),MAX(0,3*Q732-(R744-MIN(MAX(R744,0),Q732)))))</f>
        <v>45779.690751376969</v>
      </c>
      <c r="R745" s="18">
        <f>IF($A745&gt;30,R744,(R744-Q732+Q745)*(1+$B$7))</f>
        <v>135382.52037397711</v>
      </c>
      <c r="S745" s="18">
        <f t="shared" si="83"/>
        <v>592905.76680845197</v>
      </c>
    </row>
    <row r="746" spans="1:19">
      <c r="A746" s="10">
        <f>12</f>
        <v>12</v>
      </c>
      <c r="B746" s="18">
        <f>IF($A746&gt;30,0,(B732-MIN(MAX(C745,0),B732))+MIN(MAX(0,D745-(B732-MIN(MAX(C745,0),B732))),MAX(0,3*B732-(C745-MIN(MAX(C745,0),B732)))))</f>
        <v>30324</v>
      </c>
      <c r="C746" s="18">
        <f>IF($A746&gt;30,C745,(C745-B732+B746)*(1+$B$7))</f>
        <v>89676</v>
      </c>
      <c r="D746" s="18">
        <f t="shared" si="78"/>
        <v>854634.47600052005</v>
      </c>
      <c r="E746" s="18">
        <f>IF($A746&gt;30,0,(E732-MIN(MAX(F745,0),E732))+MIN(MAX(0,G745-(E732-MIN(MAX(F745,0),E732))),MAX(0,3*E732-(F745-MIN(MAX(F745,0),E732)))))</f>
        <v>73814.718186438055</v>
      </c>
      <c r="F746" s="18">
        <f>IF($A746&gt;30,F745,(F745-E732+E746)*(1+$B$7))</f>
        <v>222201.90120096688</v>
      </c>
      <c r="G746" s="18">
        <f t="shared" si="79"/>
        <v>0</v>
      </c>
      <c r="H746" s="18">
        <f>IF($A746&gt;30,0,(H732-MIN(MAX(I745,0),H732))+MIN(MAX(0,J745-(H732-MIN(MAX(I745,0),H732))),MAX(0,3*H732-(I745-MIN(MAX(I745,0),H732)))))</f>
        <v>46723.430098255281</v>
      </c>
      <c r="I746" s="18">
        <f>IF($A746&gt;30,I745,(I745-H732+H746)*(1+$B$7))</f>
        <v>138173.40448130658</v>
      </c>
      <c r="J746" s="18">
        <f t="shared" si="80"/>
        <v>545765.34092827293</v>
      </c>
      <c r="K746" s="18">
        <f>IF($A746&gt;30,0,(K732-MIN(MAX(L745,0),K732))+MIN(MAX(0,M745-(K732-MIN(MAX(L745,0),K732))),MAX(0,3*K732-(L745-MIN(MAX(L745,0),K732)))))</f>
        <v>45779.710719233088</v>
      </c>
      <c r="L746" s="18">
        <f>IF($A746&gt;30,L745,(L745-K732+K746)*(1+$B$7))</f>
        <v>135382.5794241507</v>
      </c>
      <c r="M746" s="18">
        <f t="shared" si="81"/>
        <v>563539.48226142302</v>
      </c>
      <c r="N746" s="18">
        <f>IF($A746&gt;30,0,(N732-MIN(MAX(O745,0),N732))+MIN(MAX(0,P745-(N732-MIN(MAX(O745,0),N732))),MAX(0,3*N732-(O745-MIN(MAX(O745,0),N732)))))</f>
        <v>45779.690114690718</v>
      </c>
      <c r="O746" s="18">
        <f>IF($A746&gt;30,O745,(O745-N732+N746)*(1+$B$7))</f>
        <v>135382.51849112925</v>
      </c>
      <c r="P746" s="18">
        <f t="shared" si="82"/>
        <v>563539.87033022474</v>
      </c>
      <c r="Q746" s="18">
        <f>IF($A746&gt;30,0,(Q732-MIN(MAX(R745,0),Q732))+MIN(MAX(0,S745-(Q732-MIN(MAX(R745,0),Q732))),MAX(0,3*Q732-(R745-MIN(MAX(R745,0),Q732)))))</f>
        <v>45779.690751376969</v>
      </c>
      <c r="R746" s="18">
        <f>IF($A746&gt;30,R745,(R745-Q732+Q746)*(1+$B$7))</f>
        <v>135382.52037397711</v>
      </c>
      <c r="S746" s="18">
        <f t="shared" si="83"/>
        <v>563539.85833878734</v>
      </c>
    </row>
    <row r="747" spans="1:19">
      <c r="A747" s="10">
        <f>13</f>
        <v>13</v>
      </c>
      <c r="B747" s="18">
        <f>IF($A747&gt;30,0,(B732-MIN(MAX(C746,0),B732))+MIN(MAX(0,D746-(B732-MIN(MAX(C746,0),B732))),MAX(0,3*B732-(C746-MIN(MAX(C746,0),B732)))))</f>
        <v>30324</v>
      </c>
      <c r="C747" s="18">
        <f>IF($A747&gt;30,C746,(C746-B732+B747)*(1+$B$7))</f>
        <v>89676</v>
      </c>
      <c r="D747" s="18">
        <f t="shared" si="78"/>
        <v>849039.7902805357</v>
      </c>
      <c r="E747" s="18">
        <f>IF($A747&gt;30,0,(E732-MIN(MAX(F746,0),E732))+MIN(MAX(0,G746-(E732-MIN(MAX(F746,0),E732))),MAX(0,3*E732-(F746-MIN(MAX(F746,0),E732)))))</f>
        <v>0</v>
      </c>
      <c r="F747" s="18">
        <f>IF($A747&gt;30,F746,(F746-E732+E747)*(1+$B$7))</f>
        <v>146671.97435664339</v>
      </c>
      <c r="G747" s="18">
        <f t="shared" si="79"/>
        <v>0</v>
      </c>
      <c r="H747" s="18">
        <f>IF($A747&gt;30,0,(H732-MIN(MAX(I746,0),H732))+MIN(MAX(0,J746-(H732-MIN(MAX(I746,0),H732))),MAX(0,3*H732-(I746-MIN(MAX(I746,0),H732)))))</f>
        <v>46723.430098255281</v>
      </c>
      <c r="I747" s="18">
        <f>IF($A747&gt;30,I746,(I746-H732+H747)*(1+$B$7))</f>
        <v>138173.40448130658</v>
      </c>
      <c r="J747" s="18">
        <f t="shared" si="80"/>
        <v>514013.16815491818</v>
      </c>
      <c r="K747" s="18">
        <f>IF($A747&gt;30,0,(K732-MIN(MAX(L746,0),K732))+MIN(MAX(0,M746-(K732-MIN(MAX(L746,0),K732))),MAX(0,3*K732-(L746-MIN(MAX(L746,0),K732)))))</f>
        <v>45779.710719233088</v>
      </c>
      <c r="L747" s="18">
        <f>IF($A747&gt;30,L746,(L746-K732+K747)*(1+$B$7))</f>
        <v>135382.5794241507</v>
      </c>
      <c r="M747" s="18">
        <f t="shared" si="81"/>
        <v>533292.56468845566</v>
      </c>
      <c r="N747" s="18">
        <f>IF($A747&gt;30,0,(N732-MIN(MAX(O746,0),N732))+MIN(MAX(0,P746-(N732-MIN(MAX(O746,0),N732))),MAX(0,3*N732-(O746-MIN(MAX(O746,0),N732)))))</f>
        <v>45779.690114690718</v>
      </c>
      <c r="O747" s="18">
        <f>IF($A747&gt;30,O746,(O746-N732+N747)*(1+$B$7))</f>
        <v>135382.51849112925</v>
      </c>
      <c r="P747" s="18">
        <f t="shared" si="82"/>
        <v>533292.98562200007</v>
      </c>
      <c r="Q747" s="18">
        <f>IF($A747&gt;30,0,(Q732-MIN(MAX(R746,0),Q732))+MIN(MAX(0,S746-(Q732-MIN(MAX(R746,0),Q732))),MAX(0,3*Q732-(R746-MIN(MAX(R746,0),Q732)))))</f>
        <v>45779.690751376969</v>
      </c>
      <c r="R747" s="18">
        <f>IF($A747&gt;30,R746,(R746-Q732+Q747)*(1+$B$7))</f>
        <v>135382.52037397711</v>
      </c>
      <c r="S747" s="18">
        <f t="shared" si="83"/>
        <v>533292.97261503269</v>
      </c>
    </row>
    <row r="748" spans="1:19">
      <c r="A748" s="10">
        <f>14</f>
        <v>14</v>
      </c>
      <c r="B748" s="18">
        <f>IF($A748&gt;30,0,(B732-MIN(MAX(C747,0),B732))+MIN(MAX(0,D747-(B732-MIN(MAX(C747,0),B732))),MAX(0,3*B732-(C747-MIN(MAX(C747,0),B732)))))</f>
        <v>30324</v>
      </c>
      <c r="C748" s="18">
        <f>IF($A748&gt;30,C747,(C747-B732+B748)*(1+$B$7))</f>
        <v>89676</v>
      </c>
      <c r="D748" s="18">
        <f t="shared" si="78"/>
        <v>843277.2639889518</v>
      </c>
      <c r="E748" s="18">
        <f>IF($A748&gt;30,0,(E732-MIN(MAX(F747,0),E732))+MIN(MAX(0,G747-(E732-MIN(MAX(F747,0),E732))),MAX(0,3*E732-(F747-MIN(MAX(F747,0),E732)))))</f>
        <v>0</v>
      </c>
      <c r="F748" s="18">
        <f>IF($A748&gt;30,F747,(F747-E732+E748)*(1+$B$7))</f>
        <v>71413.955248959464</v>
      </c>
      <c r="G748" s="18">
        <f t="shared" si="79"/>
        <v>0</v>
      </c>
      <c r="H748" s="18">
        <f>IF($A748&gt;30,0,(H732-MIN(MAX(I747,0),H732))+MIN(MAX(0,J747-(H732-MIN(MAX(I747,0),H732))),MAX(0,3*H732-(I747-MIN(MAX(I747,0),H732)))))</f>
        <v>46723.430098255281</v>
      </c>
      <c r="I748" s="18">
        <f>IF($A748&gt;30,I747,(I747-H732+H748)*(1+$B$7))</f>
        <v>138173.40448130658</v>
      </c>
      <c r="J748" s="18">
        <f t="shared" si="80"/>
        <v>481308.4301983628</v>
      </c>
      <c r="K748" s="18">
        <f>IF($A748&gt;30,0,(K732-MIN(MAX(L747,0),K732))+MIN(MAX(0,M747-(K732-MIN(MAX(L747,0),K732))),MAX(0,3*K732-(L747-MIN(MAX(L747,0),K732)))))</f>
        <v>45779.710719233088</v>
      </c>
      <c r="L748" s="18">
        <f>IF($A748&gt;30,L747,(L747-K732+K748)*(1+$B$7))</f>
        <v>135382.5794241507</v>
      </c>
      <c r="M748" s="18">
        <f t="shared" si="81"/>
        <v>502138.23958829924</v>
      </c>
      <c r="N748" s="18">
        <f>IF($A748&gt;30,0,(N732-MIN(MAX(O747,0),N732))+MIN(MAX(0,P747-(N732-MIN(MAX(O747,0),N732))),MAX(0,3*N732-(O747-MIN(MAX(O747,0),N732)))))</f>
        <v>45779.690114690718</v>
      </c>
      <c r="O748" s="18">
        <f>IF($A748&gt;30,O747,(O747-N732+N748)*(1+$B$7))</f>
        <v>135382.51849112925</v>
      </c>
      <c r="P748" s="18">
        <f t="shared" si="82"/>
        <v>502138.6943725287</v>
      </c>
      <c r="Q748" s="18">
        <f>IF($A748&gt;30,0,(Q732-MIN(MAX(R747,0),Q732))+MIN(MAX(0,S747-(Q732-MIN(MAX(R747,0),Q732))),MAX(0,3*Q732-(R747-MIN(MAX(R747,0),Q732)))))</f>
        <v>45779.690751376969</v>
      </c>
      <c r="R748" s="18">
        <f>IF($A748&gt;30,R747,(R747-Q732+Q748)*(1+$B$7))</f>
        <v>135382.52037397711</v>
      </c>
      <c r="S748" s="18">
        <f t="shared" si="83"/>
        <v>502138.68031956541</v>
      </c>
    </row>
    <row r="749" spans="1:19">
      <c r="A749" s="10">
        <f>15</f>
        <v>15</v>
      </c>
      <c r="B749" s="18">
        <f>IF($A749&gt;30,0,(B732-MIN(MAX(C748,0),B732))+MIN(MAX(0,D748-(B732-MIN(MAX(C748,0),B732))),MAX(0,3*B732-(C748-MIN(MAX(C748,0),B732)))))</f>
        <v>30324</v>
      </c>
      <c r="C749" s="18">
        <f>IF($A749&gt;30,C748,(C748-B732+B749)*(1+$B$7))</f>
        <v>89676</v>
      </c>
      <c r="D749" s="18">
        <f t="shared" si="78"/>
        <v>837341.86190862034</v>
      </c>
      <c r="E749" s="18">
        <f>IF($A749&gt;30,0,(E732-MIN(MAX(F748,0),E732))+MIN(MAX(0,G748-(E732-MIN(MAX(F748,0),E732))),MAX(0,3*E732-(F748-MIN(MAX(F748,0),E732)))))</f>
        <v>3586.0447510405356</v>
      </c>
      <c r="F749" s="18">
        <f>IF($A749&gt;30,F748,(F748-E732+E749)*(1+$B$7))</f>
        <v>0</v>
      </c>
      <c r="G749" s="18">
        <f t="shared" si="79"/>
        <v>-3693.6260935717519</v>
      </c>
      <c r="H749" s="18">
        <f>IF($A749&gt;30,0,(H732-MIN(MAX(I748,0),H732))+MIN(MAX(0,J748-(H732-MIN(MAX(I748,0),H732))),MAX(0,3*H732-(I748-MIN(MAX(I748,0),H732)))))</f>
        <v>46723.430098255281</v>
      </c>
      <c r="I749" s="18">
        <f>IF($A749&gt;30,I748,(I748-H732+H749)*(1+$B$7))</f>
        <v>138173.40448130658</v>
      </c>
      <c r="J749" s="18">
        <f t="shared" si="80"/>
        <v>447622.55010311073</v>
      </c>
      <c r="K749" s="18">
        <f>IF($A749&gt;30,0,(K732-MIN(MAX(L748,0),K732))+MIN(MAX(0,M748-(K732-MIN(MAX(L748,0),K732))),MAX(0,3*K732-(L748-MIN(MAX(L748,0),K732)))))</f>
        <v>45779.710719233088</v>
      </c>
      <c r="L749" s="18">
        <f>IF($A749&gt;30,L748,(L748-K732+K749)*(1+$B$7))</f>
        <v>135382.5794241507</v>
      </c>
      <c r="M749" s="18">
        <f t="shared" si="81"/>
        <v>470049.28473513818</v>
      </c>
      <c r="N749" s="18">
        <f>IF($A749&gt;30,0,(N732-MIN(MAX(O748,0),N732))+MIN(MAX(0,P748-(N732-MIN(MAX(O748,0),N732))),MAX(0,3*N732-(O748-MIN(MAX(O748,0),N732)))))</f>
        <v>45779.690114690718</v>
      </c>
      <c r="O749" s="18">
        <f>IF($A749&gt;30,O748,(O748-N732+N749)*(1+$B$7))</f>
        <v>135382.51849112925</v>
      </c>
      <c r="P749" s="18">
        <f t="shared" si="82"/>
        <v>470049.77438557317</v>
      </c>
      <c r="Q749" s="18">
        <f>IF($A749&gt;30,0,(Q732-MIN(MAX(R748,0),Q732))+MIN(MAX(0,S748-(Q732-MIN(MAX(R748,0),Q732))),MAX(0,3*Q732-(R748-MIN(MAX(R748,0),Q732)))))</f>
        <v>45779.690751376969</v>
      </c>
      <c r="R749" s="18">
        <f>IF($A749&gt;30,R748,(R748-Q732+Q749)*(1+$B$7))</f>
        <v>135382.52037397711</v>
      </c>
      <c r="S749" s="18">
        <f t="shared" si="83"/>
        <v>470049.75925523409</v>
      </c>
    </row>
    <row r="750" spans="1:19">
      <c r="A750" s="10">
        <f>16</f>
        <v>16</v>
      </c>
      <c r="B750" s="18">
        <f>IF($A750&gt;30,0,(B732-MIN(MAX(C749,0),B732))+MIN(MAX(0,D749-(B732-MIN(MAX(C749,0),B732))),MAX(0,3*B732-(C749-MIN(MAX(C749,0),B732)))))</f>
        <v>30324</v>
      </c>
      <c r="C750" s="18">
        <f>IF($A750&gt;30,C749,(C749-B732+B750)*(1+$B$7))</f>
        <v>89676</v>
      </c>
      <c r="D750" s="18">
        <f t="shared" si="78"/>
        <v>831228.39776587894</v>
      </c>
      <c r="E750" s="18">
        <f>IF($A750&gt;30,0,(E732-MIN(MAX(F749,0),E732))+MIN(MAX(0,G749-(E732-MIN(MAX(F749,0),E732))),MAX(0,3*E732-(F749-MIN(MAX(F749,0),E732)))))</f>
        <v>75000</v>
      </c>
      <c r="F750" s="18">
        <f>IF($A750&gt;30,F749,(F749-E732+E750)*(1+$B$7))</f>
        <v>0</v>
      </c>
      <c r="G750" s="18">
        <f t="shared" si="79"/>
        <v>-81054.434876378917</v>
      </c>
      <c r="H750" s="18">
        <f>IF($A750&gt;30,0,(H732-MIN(MAX(I749,0),H732))+MIN(MAX(0,J749-(H732-MIN(MAX(I749,0),H732))),MAX(0,3*H732-(I749-MIN(MAX(I749,0),H732)))))</f>
        <v>46723.430098255281</v>
      </c>
      <c r="I750" s="18">
        <f>IF($A750&gt;30,I749,(I749-H732+H750)*(1+$B$7))</f>
        <v>138173.40448130658</v>
      </c>
      <c r="J750" s="18">
        <f t="shared" si="80"/>
        <v>412926.09360500111</v>
      </c>
      <c r="K750" s="18">
        <f>IF($A750&gt;30,0,(K732-MIN(MAX(L749,0),K732))+MIN(MAX(0,M749-(K732-MIN(MAX(L749,0),K732))),MAX(0,3*K732-(L749-MIN(MAX(L749,0),K732)))))</f>
        <v>45779.710719233088</v>
      </c>
      <c r="L750" s="18">
        <f>IF($A750&gt;30,L749,(L749-K732+K750)*(1+$B$7))</f>
        <v>135382.5794241507</v>
      </c>
      <c r="M750" s="18">
        <f t="shared" si="81"/>
        <v>436997.66123638226</v>
      </c>
      <c r="N750" s="18">
        <f>IF($A750&gt;30,0,(N732-MIN(MAX(O749,0),N732))+MIN(MAX(0,P749-(N732-MIN(MAX(O749,0),N732))),MAX(0,3*N732-(O749-MIN(MAX(O749,0),N732)))))</f>
        <v>45779.690114690718</v>
      </c>
      <c r="O750" s="18">
        <f>IF($A750&gt;30,O749,(O749-N732+N750)*(1+$B$7))</f>
        <v>135382.51849112925</v>
      </c>
      <c r="P750" s="18">
        <f t="shared" si="82"/>
        <v>436998.18679900892</v>
      </c>
      <c r="Q750" s="18">
        <f>IF($A750&gt;30,0,(Q732-MIN(MAX(R749,0),Q732))+MIN(MAX(0,S749-(Q732-MIN(MAX(R749,0),Q732))),MAX(0,3*Q732-(R749-MIN(MAX(R749,0),Q732)))))</f>
        <v>45779.690751376969</v>
      </c>
      <c r="R750" s="18">
        <f>IF($A750&gt;30,R749,(R749-Q732+Q750)*(1+$B$7))</f>
        <v>135382.52037397711</v>
      </c>
      <c r="S750" s="18">
        <f t="shared" si="83"/>
        <v>436998.17055897287</v>
      </c>
    </row>
    <row r="751" spans="1:19">
      <c r="A751" s="10">
        <f>17</f>
        <v>17</v>
      </c>
      <c r="B751" s="18">
        <f>IF($A751&gt;30,0,(B732-MIN(MAX(C750,0),B732))+MIN(MAX(0,D750-(B732-MIN(MAX(C750,0),B732))),MAX(0,3*B732-(C750-MIN(MAX(C750,0),B732)))))</f>
        <v>30324</v>
      </c>
      <c r="C751" s="18">
        <f>IF($A751&gt;30,C750,(C750-B732+B751)*(1+$B$7))</f>
        <v>89676</v>
      </c>
      <c r="D751" s="18">
        <f t="shared" si="78"/>
        <v>824931.52969885536</v>
      </c>
      <c r="E751" s="18">
        <f>IF($A751&gt;30,0,(E732-MIN(MAX(F750,0),E732))+MIN(MAX(0,G750-(E732-MIN(MAX(F750,0),E732))),MAX(0,3*E732-(F750-MIN(MAX(F750,0),E732)))))</f>
        <v>75000</v>
      </c>
      <c r="F751" s="18">
        <f>IF($A751&gt;30,F750,(F750-E732+E751)*(1+$B$7))</f>
        <v>0</v>
      </c>
      <c r="G751" s="18">
        <f t="shared" si="79"/>
        <v>-160736.06792267028</v>
      </c>
      <c r="H751" s="18">
        <f>IF($A751&gt;30,0,(H732-MIN(MAX(I750,0),H732))+MIN(MAX(0,J750-(H732-MIN(MAX(I750,0),H732))),MAX(0,3*H732-(I750-MIN(MAX(I750,0),H732)))))</f>
        <v>46723.430098255281</v>
      </c>
      <c r="I751" s="18">
        <f>IF($A751&gt;30,I750,(I750-H732+H751)*(1+$B$7))</f>
        <v>138173.40448130658</v>
      </c>
      <c r="J751" s="18">
        <f t="shared" si="80"/>
        <v>377188.74341194821</v>
      </c>
      <c r="K751" s="18">
        <f>IF($A751&gt;30,0,(K732-MIN(MAX(L750,0),K732))+MIN(MAX(0,M750-(K732-MIN(MAX(L750,0),K732))),MAX(0,3*K732-(L750-MIN(MAX(L750,0),K732)))))</f>
        <v>45779.710719233088</v>
      </c>
      <c r="L751" s="18">
        <f>IF($A751&gt;30,L750,(L750-K732+K751)*(1+$B$7))</f>
        <v>135382.5794241507</v>
      </c>
      <c r="M751" s="18">
        <f t="shared" si="81"/>
        <v>402954.48903266364</v>
      </c>
      <c r="N751" s="18">
        <f>IF($A751&gt;30,0,(N732-MIN(MAX(O750,0),N732))+MIN(MAX(0,P750-(N732-MIN(MAX(O750,0),N732))),MAX(0,3*N732-(O750-MIN(MAX(O750,0),N732)))))</f>
        <v>45779.690114690718</v>
      </c>
      <c r="O751" s="18">
        <f>IF($A751&gt;30,O750,(O750-N732+N751)*(1+$B$7))</f>
        <v>135382.51849112925</v>
      </c>
      <c r="P751" s="18">
        <f t="shared" si="82"/>
        <v>402955.05158484774</v>
      </c>
      <c r="Q751" s="18">
        <f>IF($A751&gt;30,0,(Q732-MIN(MAX(R750,0),Q732))+MIN(MAX(0,S750-(Q732-MIN(MAX(R750,0),Q732))),MAX(0,3*Q732-(R750-MIN(MAX(R750,0),Q732)))))</f>
        <v>45779.690751376969</v>
      </c>
      <c r="R751" s="18">
        <f>IF($A751&gt;30,R750,(R750-Q732+Q751)*(1+$B$7))</f>
        <v>135382.52037397711</v>
      </c>
      <c r="S751" s="18">
        <f t="shared" si="83"/>
        <v>402955.03420182376</v>
      </c>
    </row>
    <row r="752" spans="1:19">
      <c r="A752" s="10">
        <f>18</f>
        <v>18</v>
      </c>
      <c r="B752" s="18">
        <f>IF($A752&gt;30,0,(B732-MIN(MAX(C751,0),B732))+MIN(MAX(0,D751-(B732-MIN(MAX(C751,0),B732))),MAX(0,3*B732-(C751-MIN(MAX(C751,0),B732)))))</f>
        <v>30324</v>
      </c>
      <c r="C752" s="18">
        <f>IF($A752&gt;30,C751,(C751-B732+B752)*(1+$B$7))</f>
        <v>89676</v>
      </c>
      <c r="D752" s="18">
        <f t="shared" si="78"/>
        <v>818445.75558982103</v>
      </c>
      <c r="E752" s="18">
        <f>IF($A752&gt;30,0,(E732-MIN(MAX(F751,0),E732))+MIN(MAX(0,G751-(E732-MIN(MAX(F751,0),E732))),MAX(0,3*E732-(F751-MIN(MAX(F751,0),E732)))))</f>
        <v>75000</v>
      </c>
      <c r="F752" s="18">
        <f>IF($A752&gt;30,F751,(F751-E732+E752)*(1+$B$7))</f>
        <v>0</v>
      </c>
      <c r="G752" s="18">
        <f t="shared" si="79"/>
        <v>-242808.14996035039</v>
      </c>
      <c r="H752" s="18">
        <f>IF($A752&gt;30,0,(H732-MIN(MAX(I751,0),H732))+MIN(MAX(0,J751-(H732-MIN(MAX(I751,0),H732))),MAX(0,3*H732-(I751-MIN(MAX(I751,0),H732)))))</f>
        <v>46723.430098255281</v>
      </c>
      <c r="I752" s="18">
        <f>IF($A752&gt;30,I751,(I751-H732+H752)*(1+$B$7))</f>
        <v>138173.40448130658</v>
      </c>
      <c r="J752" s="18">
        <f t="shared" si="80"/>
        <v>340379.27271310374</v>
      </c>
      <c r="K752" s="18">
        <f>IF($A752&gt;30,0,(K732-MIN(MAX(L751,0),K732))+MIN(MAX(0,M751-(K732-MIN(MAX(L751,0),K732))),MAX(0,3*K732-(L751-MIN(MAX(L751,0),K732)))))</f>
        <v>45779.710719233088</v>
      </c>
      <c r="L752" s="18">
        <f>IF($A752&gt;30,L751,(L751-K732+K752)*(1+$B$7))</f>
        <v>135382.5794241507</v>
      </c>
      <c r="M752" s="18">
        <f t="shared" si="81"/>
        <v>367890.02166283346</v>
      </c>
      <c r="N752" s="18">
        <f>IF($A752&gt;30,0,(N732-MIN(MAX(O751,0),N732))+MIN(MAX(0,P751-(N732-MIN(MAX(O751,0),N732))),MAX(0,3*N732-(O751-MIN(MAX(O751,0),N732)))))</f>
        <v>45779.690114690718</v>
      </c>
      <c r="O752" s="18">
        <f>IF($A752&gt;30,O751,(O751-N732+N752)*(1+$B$7))</f>
        <v>135382.51849112925</v>
      </c>
      <c r="P752" s="18">
        <f t="shared" si="82"/>
        <v>367890.6223142618</v>
      </c>
      <c r="Q752" s="18">
        <f>IF($A752&gt;30,0,(Q732-MIN(MAX(R751,0),Q732))+MIN(MAX(0,S751-(Q732-MIN(MAX(R751,0),Q732))),MAX(0,3*Q732-(R751-MIN(MAX(R751,0),Q732)))))</f>
        <v>45779.690751376969</v>
      </c>
      <c r="R752" s="18">
        <f>IF($A752&gt;30,R751,(R751-Q732+Q752)*(1+$B$7))</f>
        <v>135382.52037397711</v>
      </c>
      <c r="S752" s="18">
        <f t="shared" si="83"/>
        <v>367890.60375396023</v>
      </c>
    </row>
    <row r="753" spans="1:19">
      <c r="A753" s="10">
        <f>19</f>
        <v>19</v>
      </c>
      <c r="B753" s="18">
        <f>IF($A753&gt;30,0,(B732-MIN(MAX(C752,0),B732))+MIN(MAX(0,D752-(B732-MIN(MAX(C752,0),B732))),MAX(0,3*B732-(C752-MIN(MAX(C752,0),B732)))))</f>
        <v>30324</v>
      </c>
      <c r="C753" s="18">
        <f>IF($A753&gt;30,C752,(C752-B732+B753)*(1+$B$7))</f>
        <v>89676</v>
      </c>
      <c r="D753" s="18">
        <f t="shared" si="78"/>
        <v>811765.40825751564</v>
      </c>
      <c r="E753" s="18">
        <f>IF($A753&gt;30,0,(E732-MIN(MAX(F752,0),E732))+MIN(MAX(0,G752-(E732-MIN(MAX(F752,0),E732))),MAX(0,3*E732-(F752-MIN(MAX(F752,0),E732)))))</f>
        <v>75000</v>
      </c>
      <c r="F753" s="18">
        <f>IF($A753&gt;30,F752,(F752-E732+E753)*(1+$B$7))</f>
        <v>0</v>
      </c>
      <c r="G753" s="18">
        <f t="shared" si="79"/>
        <v>-327342.39445916086</v>
      </c>
      <c r="H753" s="18">
        <f>IF($A753&gt;30,0,(H732-MIN(MAX(I752,0),H732))+MIN(MAX(0,J752-(H732-MIN(MAX(I752,0),H732))),MAX(0,3*H732-(I752-MIN(MAX(I752,0),H732)))))</f>
        <v>46723.430098255281</v>
      </c>
      <c r="I753" s="18">
        <f>IF($A753&gt;30,I752,(I752-H732+H753)*(1+$B$7))</f>
        <v>138173.40448130658</v>
      </c>
      <c r="J753" s="18">
        <f t="shared" si="80"/>
        <v>302465.51789329393</v>
      </c>
      <c r="K753" s="18">
        <f>IF($A753&gt;30,0,(K732-MIN(MAX(L752,0),K732))+MIN(MAX(0,M752-(K732-MIN(MAX(L752,0),K732))),MAX(0,3*K732-(L752-MIN(MAX(L752,0),K732)))))</f>
        <v>45779.710719233088</v>
      </c>
      <c r="L753" s="18">
        <f>IF($A753&gt;30,L752,(L752-K732+K753)*(1+$B$7))</f>
        <v>135382.5794241507</v>
      </c>
      <c r="M753" s="18">
        <f t="shared" si="81"/>
        <v>331773.62027190841</v>
      </c>
      <c r="N753" s="18">
        <f>IF($A753&gt;30,0,(N732-MIN(MAX(O752,0),N732))+MIN(MAX(0,P752-(N732-MIN(MAX(O752,0),N732))),MAX(0,3*N732-(O752-MIN(MAX(O752,0),N732)))))</f>
        <v>45779.690114690718</v>
      </c>
      <c r="O753" s="18">
        <f>IF($A753&gt;30,O752,(O752-N732+N753)*(1+$B$7))</f>
        <v>135382.51849112925</v>
      </c>
      <c r="P753" s="18">
        <f t="shared" si="82"/>
        <v>331774.2601655582</v>
      </c>
      <c r="Q753" s="18">
        <f>IF($A753&gt;30,0,(Q732-MIN(MAX(R752,0),Q732))+MIN(MAX(0,S752-(Q732-MIN(MAX(R752,0),Q732))),MAX(0,3*Q732-(R752-MIN(MAX(R752,0),Q732)))))</f>
        <v>45779.690751376969</v>
      </c>
      <c r="R753" s="18">
        <f>IF($A753&gt;30,R752,(R752-Q732+Q753)*(1+$B$7))</f>
        <v>135382.52037397711</v>
      </c>
      <c r="S753" s="18">
        <f t="shared" si="83"/>
        <v>331774.24039266078</v>
      </c>
    </row>
    <row r="754" spans="1:19">
      <c r="A754" s="10">
        <f>20</f>
        <v>20</v>
      </c>
      <c r="B754" s="18">
        <f>IF($A754&gt;30,0,(B732-MIN(MAX(C753,0),B732))+MIN(MAX(0,D753-(B732-MIN(MAX(C753,0),B732))),MAX(0,3*B732-(C753-MIN(MAX(C753,0),B732)))))</f>
        <v>30324</v>
      </c>
      <c r="C754" s="18">
        <f>IF($A754&gt;30,C753,(C753-B732+B754)*(1+$B$7))</f>
        <v>89676</v>
      </c>
      <c r="D754" s="18">
        <f t="shared" si="78"/>
        <v>804884.65050524112</v>
      </c>
      <c r="E754" s="18">
        <f>IF($A754&gt;30,0,(E732-MIN(MAX(F753,0),E732))+MIN(MAX(0,G753-(E732-MIN(MAX(F753,0),E732))),MAX(0,3*E732-(F753-MIN(MAX(F753,0),E732)))))</f>
        <v>75000</v>
      </c>
      <c r="F754" s="18">
        <f>IF($A754&gt;30,F753,(F753-E732+E754)*(1+$B$7))</f>
        <v>0</v>
      </c>
      <c r="G754" s="18">
        <f t="shared" si="79"/>
        <v>-414412.66629293567</v>
      </c>
      <c r="H754" s="18">
        <f>IF($A754&gt;30,0,(H732-MIN(MAX(I753,0),H732))+MIN(MAX(0,J753-(H732-MIN(MAX(I753,0),H732))),MAX(0,3*H732-(I753-MIN(MAX(I753,0),H732)))))</f>
        <v>46723.430098255281</v>
      </c>
      <c r="I754" s="18">
        <f>IF($A754&gt;30,I753,(I753-H732+H754)*(1+$B$7))</f>
        <v>138173.40448130658</v>
      </c>
      <c r="J754" s="18">
        <f t="shared" si="80"/>
        <v>263414.3504288898</v>
      </c>
      <c r="K754" s="18">
        <f>IF($A754&gt;30,0,(K732-MIN(MAX(L753,0),K732))+MIN(MAX(0,M753-(K732-MIN(MAX(L753,0),K732))),MAX(0,3*K732-(L753-MIN(MAX(L753,0),K732)))))</f>
        <v>45779.710719233088</v>
      </c>
      <c r="L754" s="18">
        <f>IF($A754&gt;30,L753,(L753-K732+K754)*(1+$B$7))</f>
        <v>135382.5794241507</v>
      </c>
      <c r="M754" s="18">
        <f t="shared" si="81"/>
        <v>294573.7268392556</v>
      </c>
      <c r="N754" s="18">
        <f>IF($A754&gt;30,0,(N732-MIN(MAX(O753,0),N732))+MIN(MAX(0,P753-(N732-MIN(MAX(O753,0),N732))),MAX(0,3*N732-(O753-MIN(MAX(O753,0),N732)))))</f>
        <v>45779.690114690718</v>
      </c>
      <c r="O754" s="18">
        <f>IF($A754&gt;30,O753,(O753-N732+N754)*(1+$B$7))</f>
        <v>135382.51849112925</v>
      </c>
      <c r="P754" s="18">
        <f t="shared" si="82"/>
        <v>294574.40715239354</v>
      </c>
      <c r="Q754" s="18">
        <f>IF($A754&gt;30,0,(Q732-MIN(MAX(R753,0),Q732))+MIN(MAX(0,S753-(Q732-MIN(MAX(R753,0),Q732))),MAX(0,3*Q732-(R753-MIN(MAX(R753,0),Q732)))))</f>
        <v>45779.690751376969</v>
      </c>
      <c r="R754" s="18">
        <f>IF($A754&gt;30,R753,(R753-Q732+Q754)*(1+$B$7))</f>
        <v>135382.52037397711</v>
      </c>
      <c r="S754" s="18">
        <f t="shared" si="83"/>
        <v>294574.38613052235</v>
      </c>
    </row>
    <row r="755" spans="1:19">
      <c r="A755" s="10">
        <f>21</f>
        <v>21</v>
      </c>
      <c r="B755" s="18">
        <f>IF($A755&gt;30,0,(B732-MIN(MAX(C754,0),B732))+MIN(MAX(0,D754-(B732-MIN(MAX(C754,0),B732))),MAX(0,3*B732-(C754-MIN(MAX(C754,0),B732)))))</f>
        <v>30324</v>
      </c>
      <c r="C755" s="18">
        <f>IF($A755&gt;30,C754,(C754-B732+B755)*(1+$B$7))</f>
        <v>89676</v>
      </c>
      <c r="D755" s="18">
        <f t="shared" si="78"/>
        <v>797797.47002039838</v>
      </c>
      <c r="E755" s="18">
        <f>IF($A755&gt;30,0,(E732-MIN(MAX(F754,0),E732))+MIN(MAX(0,G754-(E732-MIN(MAX(F754,0),E732))),MAX(0,3*E732-(F754-MIN(MAX(F754,0),E732)))))</f>
        <v>75000</v>
      </c>
      <c r="F755" s="18">
        <f>IF($A755&gt;30,F754,(F754-E732+E755)*(1+$B$7))</f>
        <v>0</v>
      </c>
      <c r="G755" s="18">
        <f t="shared" si="79"/>
        <v>-504095.04628172377</v>
      </c>
      <c r="H755" s="18">
        <f>IF($A755&gt;30,0,(H732-MIN(MAX(I754,0),H732))+MIN(MAX(0,J754-(H732-MIN(MAX(I754,0),H732))),MAX(0,3*H732-(I754-MIN(MAX(I754,0),H732)))))</f>
        <v>46723.430098255281</v>
      </c>
      <c r="I755" s="18">
        <f>IF($A755&gt;30,I754,(I754-H732+H755)*(1+$B$7))</f>
        <v>138173.40448130658</v>
      </c>
      <c r="J755" s="18">
        <f t="shared" si="80"/>
        <v>223191.64794055355</v>
      </c>
      <c r="K755" s="18">
        <f>IF($A755&gt;30,0,(K732-MIN(MAX(L754,0),K732))+MIN(MAX(0,M754-(K732-MIN(MAX(L754,0),K732))),MAX(0,3*K732-(L754-MIN(MAX(L754,0),K732)))))</f>
        <v>45779.710719233088</v>
      </c>
      <c r="L755" s="18">
        <f>IF($A755&gt;30,L754,(L754-K732+K755)*(1+$B$7))</f>
        <v>135382.5794241507</v>
      </c>
      <c r="M755" s="18">
        <f t="shared" si="81"/>
        <v>256257.8366036232</v>
      </c>
      <c r="N755" s="18">
        <f>IF($A755&gt;30,0,(N732-MIN(MAX(O754,0),N732))+MIN(MAX(0,P754-(N732-MIN(MAX(O754,0),N732))),MAX(0,3*N732-(O754-MIN(MAX(O754,0),N732)))))</f>
        <v>45779.690114690718</v>
      </c>
      <c r="O755" s="18">
        <f>IF($A755&gt;30,O754,(O754-N732+N755)*(1+$B$7))</f>
        <v>135382.51849112925</v>
      </c>
      <c r="P755" s="18">
        <f t="shared" si="82"/>
        <v>256258.55854883391</v>
      </c>
      <c r="Q755" s="18">
        <f>IF($A755&gt;30,0,(Q732-MIN(MAX(R754,0),Q732))+MIN(MAX(0,S754-(Q732-MIN(MAX(R754,0),Q732))),MAX(0,3*Q732-(R754-MIN(MAX(R754,0),Q732)))))</f>
        <v>45779.690751376969</v>
      </c>
      <c r="R755" s="18">
        <f>IF($A755&gt;30,R754,(R754-Q732+Q755)*(1+$B$7))</f>
        <v>135382.52037397711</v>
      </c>
      <c r="S755" s="18">
        <f t="shared" si="83"/>
        <v>256258.53624051975</v>
      </c>
    </row>
    <row r="756" spans="1:19">
      <c r="A756" s="10">
        <f>22</f>
        <v>22</v>
      </c>
      <c r="B756" s="18">
        <f>IF($A756&gt;30,0,(B732-MIN(MAX(C755,0),B732))+MIN(MAX(0,D755-(B732-MIN(MAX(C755,0),B732))),MAX(0,3*B732-(C755-MIN(MAX(C755,0),B732)))))</f>
        <v>30324</v>
      </c>
      <c r="C756" s="18">
        <f>IF($A756&gt;30,C755,(C755-B732+B756)*(1+$B$7))</f>
        <v>89676</v>
      </c>
      <c r="D756" s="18">
        <f t="shared" si="78"/>
        <v>790497.67412101035</v>
      </c>
      <c r="E756" s="18">
        <f>IF($A756&gt;30,0,(E732-MIN(MAX(F755,0),E732))+MIN(MAX(0,G755-(E732-MIN(MAX(F755,0),E732))),MAX(0,3*E732-(F755-MIN(MAX(F755,0),E732)))))</f>
        <v>75000</v>
      </c>
      <c r="F756" s="18">
        <f>IF($A756&gt;30,F755,(F755-E732+E756)*(1+$B$7))</f>
        <v>0</v>
      </c>
      <c r="G756" s="18">
        <f t="shared" si="79"/>
        <v>-596467.89767017553</v>
      </c>
      <c r="H756" s="18">
        <f>IF($A756&gt;30,0,(H732-MIN(MAX(I755,0),H732))+MIN(MAX(0,J755-(H732-MIN(MAX(I755,0),H732))),MAX(0,3*H732-(I755-MIN(MAX(I755,0),H732)))))</f>
        <v>46723.430098255281</v>
      </c>
      <c r="I756" s="18">
        <f>IF($A756&gt;30,I755,(I755-H732+H756)*(1+$B$7))</f>
        <v>138173.40448130658</v>
      </c>
      <c r="J756" s="18">
        <f t="shared" si="80"/>
        <v>181762.26437756722</v>
      </c>
      <c r="K756" s="18">
        <f>IF($A756&gt;30,0,(K732-MIN(MAX(L755,0),K732))+MIN(MAX(0,M755-(K732-MIN(MAX(L755,0),K732))),MAX(0,3*K732-(L755-MIN(MAX(L755,0),K732)))))</f>
        <v>45779.710719233088</v>
      </c>
      <c r="L756" s="18">
        <f>IF($A756&gt;30,L755,(L755-K732+K756)*(1+$B$7))</f>
        <v>135382.5794241507</v>
      </c>
      <c r="M756" s="18">
        <f t="shared" si="81"/>
        <v>216792.46966092184</v>
      </c>
      <c r="N756" s="18">
        <f>IF($A756&gt;30,0,(N732-MIN(MAX(O755,0),N732))+MIN(MAX(0,P755-(N732-MIN(MAX(O755,0),N732))),MAX(0,3*N732-(O755-MIN(MAX(O755,0),N732)))))</f>
        <v>45779.690114690718</v>
      </c>
      <c r="O756" s="18">
        <f>IF($A756&gt;30,O755,(O755-N732+N756)*(1+$B$7))</f>
        <v>135382.51849112925</v>
      </c>
      <c r="P756" s="18">
        <f t="shared" si="82"/>
        <v>216793.2344871675</v>
      </c>
      <c r="Q756" s="18">
        <f>IF($A756&gt;30,0,(Q732-MIN(MAX(R755,0),Q732))+MIN(MAX(0,S755-(Q732-MIN(MAX(R755,0),Q732))),MAX(0,3*Q732-(R755-MIN(MAX(R755,0),Q732)))))</f>
        <v>45779.690751376969</v>
      </c>
      <c r="R756" s="18">
        <f>IF($A756&gt;30,R755,(R755-Q732+Q756)*(1+$B$7))</f>
        <v>135382.52037397711</v>
      </c>
      <c r="S756" s="18">
        <f t="shared" si="83"/>
        <v>216793.21085381706</v>
      </c>
    </row>
    <row r="757" spans="1:19">
      <c r="A757" s="10">
        <f>23</f>
        <v>23</v>
      </c>
      <c r="B757" s="18">
        <f>IF($A757&gt;30,0,(B732-MIN(MAX(C756,0),B732))+MIN(MAX(0,D756-(B732-MIN(MAX(C756,0),B732))),MAX(0,3*B732-(C756-MIN(MAX(C756,0),B732)))))</f>
        <v>30324</v>
      </c>
      <c r="C757" s="18">
        <f>IF($A757&gt;30,C756,(C756-B732+B757)*(1+$B$7))</f>
        <v>89676</v>
      </c>
      <c r="D757" s="18">
        <f t="shared" si="78"/>
        <v>782978.88434464065</v>
      </c>
      <c r="E757" s="18">
        <f>IF($A757&gt;30,0,(E732-MIN(MAX(F756,0),E732))+MIN(MAX(0,G756-(E732-MIN(MAX(F756,0),E732))),MAX(0,3*E732-(F756-MIN(MAX(F756,0),E732)))))</f>
        <v>75000</v>
      </c>
      <c r="F757" s="18">
        <f>IF($A757&gt;30,F756,(F756-E732+E757)*(1+$B$7))</f>
        <v>0</v>
      </c>
      <c r="G757" s="18">
        <f t="shared" si="79"/>
        <v>-691611.93460028083</v>
      </c>
      <c r="H757" s="18">
        <f>IF($A757&gt;30,0,(H732-MIN(MAX(I756,0),H732))+MIN(MAX(0,J756-(H732-MIN(MAX(I756,0),H732))),MAX(0,3*H732-(I756-MIN(MAX(I756,0),H732)))))</f>
        <v>46723.430098255281</v>
      </c>
      <c r="I757" s="18">
        <f>IF($A757&gt;30,I756,(I756-H732+H757)*(1+$B$7))</f>
        <v>138173.40448130658</v>
      </c>
      <c r="J757" s="18">
        <f t="shared" si="80"/>
        <v>139089.99930769129</v>
      </c>
      <c r="K757" s="18">
        <f>IF($A757&gt;30,0,(K732-MIN(MAX(L756,0),K732))+MIN(MAX(0,M756-(K732-MIN(MAX(L756,0),K732))),MAX(0,3*K732-(L756-MIN(MAX(L756,0),K732)))))</f>
        <v>45779.710719233088</v>
      </c>
      <c r="L757" s="18">
        <f>IF($A757&gt;30,L756,(L756-K732+K757)*(1+$B$7))</f>
        <v>135382.5794241507</v>
      </c>
      <c r="M757" s="18">
        <f t="shared" si="81"/>
        <v>176143.1417099394</v>
      </c>
      <c r="N757" s="18">
        <f>IF($A757&gt;30,0,(N732-MIN(MAX(O756,0),N732))+MIN(MAX(0,P756-(N732-MIN(MAX(O756,0),N732))),MAX(0,3*N732-(O756-MIN(MAX(O756,0),N732)))))</f>
        <v>45779.690114690718</v>
      </c>
      <c r="O757" s="18">
        <f>IF($A757&gt;30,O756,(O756-N732+N757)*(1+$B$7))</f>
        <v>135382.51849112925</v>
      </c>
      <c r="P757" s="18">
        <f t="shared" si="82"/>
        <v>176143.95070365109</v>
      </c>
      <c r="Q757" s="18">
        <f>IF($A757&gt;30,0,(Q732-MIN(MAX(R756,0),Q732))+MIN(MAX(0,S756-(Q732-MIN(MAX(R756,0),Q732))),MAX(0,3*Q732-(R756-MIN(MAX(R756,0),Q732)))))</f>
        <v>45779.690751376969</v>
      </c>
      <c r="R757" s="18">
        <f>IF($A757&gt;30,R756,(R756-Q732+Q757)*(1+$B$7))</f>
        <v>135382.52037397711</v>
      </c>
      <c r="S757" s="18">
        <f t="shared" si="83"/>
        <v>176143.92570551331</v>
      </c>
    </row>
    <row r="758" spans="1:19">
      <c r="A758" s="10">
        <f>24</f>
        <v>24</v>
      </c>
      <c r="B758" s="18">
        <f>IF($A758&gt;30,0,(B732-MIN(MAX(C757,0),B732))+MIN(MAX(0,D757-(B732-MIN(MAX(C757,0),B732))),MAX(0,3*B732-(C757-MIN(MAX(C757,0),B732)))))</f>
        <v>30324</v>
      </c>
      <c r="C758" s="18">
        <f>IF($A758&gt;30,C757,(C757-B732+B758)*(1+$B$7))</f>
        <v>89676</v>
      </c>
      <c r="D758" s="18">
        <f t="shared" si="78"/>
        <v>775234.53087497992</v>
      </c>
      <c r="E758" s="18">
        <f>IF($A758&gt;30,0,(E732-MIN(MAX(F757,0),E732))+MIN(MAX(0,G757-(E732-MIN(MAX(F757,0),E732))),MAX(0,3*E732-(F757-MIN(MAX(F757,0),E732)))))</f>
        <v>75000</v>
      </c>
      <c r="F758" s="18">
        <f>IF($A758&gt;30,F757,(F757-E732+E758)*(1+$B$7))</f>
        <v>0</v>
      </c>
      <c r="G758" s="18">
        <f t="shared" si="79"/>
        <v>-789610.29263828928</v>
      </c>
      <c r="H758" s="18">
        <f>IF($A758&gt;30,0,(H732-MIN(MAX(I757,0),H732))+MIN(MAX(0,J757-(H732-MIN(MAX(I757,0),H732))),MAX(0,3*H732-(I757-MIN(MAX(I757,0),H732)))))</f>
        <v>46723.430098255281</v>
      </c>
      <c r="I758" s="18">
        <f>IF($A758&gt;30,I757,(I757-H732+H758)*(1+$B$7))</f>
        <v>138173.40448130658</v>
      </c>
      <c r="J758" s="18">
        <f t="shared" si="80"/>
        <v>95137.566285719091</v>
      </c>
      <c r="K758" s="18">
        <f>IF($A758&gt;30,0,(K732-MIN(MAX(L757,0),K732))+MIN(MAX(0,M757-(K732-MIN(MAX(L757,0),K732))),MAX(0,3*K732-(L757-MIN(MAX(L757,0),K732)))))</f>
        <v>45779.710719233088</v>
      </c>
      <c r="L758" s="18">
        <f>IF($A758&gt;30,L757,(L757-K732+K758)*(1+$B$7))</f>
        <v>135382.5794241507</v>
      </c>
      <c r="M758" s="18">
        <f t="shared" si="81"/>
        <v>134274.33392042751</v>
      </c>
      <c r="N758" s="18">
        <f>IF($A758&gt;30,0,(N732-MIN(MAX(O757,0),N732))+MIN(MAX(0,P757-(N732-MIN(MAX(O757,0),N732))),MAX(0,3*N732-(O757-MIN(MAX(O757,0),N732)))))</f>
        <v>45779.690114690718</v>
      </c>
      <c r="O758" s="18">
        <f>IF($A758&gt;30,O757,(O757-N732+N758)*(1+$B$7))</f>
        <v>135382.51849112925</v>
      </c>
      <c r="P758" s="18">
        <f t="shared" si="82"/>
        <v>134275.1884066292</v>
      </c>
      <c r="Q758" s="18">
        <f>IF($A758&gt;30,0,(Q732-MIN(MAX(R757,0),Q732))+MIN(MAX(0,S757-(Q732-MIN(MAX(R757,0),Q732))),MAX(0,3*Q732-(R757-MIN(MAX(R757,0),Q732)))))</f>
        <v>45779.690751376969</v>
      </c>
      <c r="R758" s="18">
        <f>IF($A758&gt;30,R757,(R757-Q732+Q758)*(1+$B$7))</f>
        <v>135382.52037397711</v>
      </c>
      <c r="S758" s="18">
        <f t="shared" si="83"/>
        <v>134275.16200276042</v>
      </c>
    </row>
    <row r="759" spans="1:19">
      <c r="A759" s="10">
        <f>25</f>
        <v>25</v>
      </c>
      <c r="B759" s="18">
        <f>IF($A759&gt;30,0,(B732-MIN(MAX(C758,0),B732))+MIN(MAX(0,D758-(B732-MIN(MAX(C758,0),B732))),MAX(0,3*B732-(C758-MIN(MAX(C758,0),B732)))))</f>
        <v>30324</v>
      </c>
      <c r="C759" s="18">
        <f>IF($A759&gt;30,C758,(C758-B732+B759)*(1+$B$7))</f>
        <v>89676</v>
      </c>
      <c r="D759" s="18">
        <f t="shared" si="78"/>
        <v>767257.84680122929</v>
      </c>
      <c r="E759" s="18">
        <f>IF($A759&gt;30,0,(E732-MIN(MAX(F758,0),E732))+MIN(MAX(0,G758-(E732-MIN(MAX(F758,0),E732))),MAX(0,3*E732-(F758-MIN(MAX(F758,0),E732)))))</f>
        <v>75000</v>
      </c>
      <c r="F759" s="18">
        <f>IF($A759&gt;30,F758,(F758-E732+E759)*(1+$B$7))</f>
        <v>0</v>
      </c>
      <c r="G759" s="18">
        <f t="shared" si="79"/>
        <v>-890548.60141743801</v>
      </c>
      <c r="H759" s="18">
        <f>IF($A759&gt;30,0,(H732-MIN(MAX(I758,0),H732))+MIN(MAX(0,J758-(H732-MIN(MAX(I758,0),H732))),MAX(0,3*H732-(I758-MIN(MAX(I758,0),H732)))))</f>
        <v>46723.430098255281</v>
      </c>
      <c r="I759" s="18">
        <f>IF($A759&gt;30,I758,(I758-H732+H759)*(1+$B$7))</f>
        <v>138173.40448130658</v>
      </c>
      <c r="J759" s="18">
        <f t="shared" si="80"/>
        <v>49866.560273087722</v>
      </c>
      <c r="K759" s="18">
        <f>IF($A759&gt;30,0,(K732-MIN(MAX(L758,0),K732))+MIN(MAX(0,M758-(K732-MIN(MAX(L758,0),K732))),MAX(0,3*K732-(L758-MIN(MAX(L758,0),K732)))))</f>
        <v>45779.710719233088</v>
      </c>
      <c r="L759" s="18">
        <f>IF($A759&gt;30,L758,(L758-K732+K759)*(1+$B$7))</f>
        <v>135382.5794241507</v>
      </c>
      <c r="M759" s="18">
        <f t="shared" si="81"/>
        <v>91149.461897230256</v>
      </c>
      <c r="N759" s="18">
        <f>IF($A759&gt;30,0,(N732-MIN(MAX(O758,0),N732))+MIN(MAX(0,P758-(N732-MIN(MAX(O758,0),N732))),MAX(0,3*N732-(O758-MIN(MAX(O758,0),N732)))))</f>
        <v>45779.690114690718</v>
      </c>
      <c r="O759" s="18">
        <f>IF($A759&gt;30,O758,(O758-N732+N759)*(1+$B$7))</f>
        <v>135382.51849112925</v>
      </c>
      <c r="P759" s="18">
        <f t="shared" si="82"/>
        <v>91150.363240696635</v>
      </c>
      <c r="Q759" s="18">
        <f>IF($A759&gt;30,0,(Q732-MIN(MAX(R758,0),Q732))+MIN(MAX(0,S758-(Q732-MIN(MAX(R758,0),Q732))),MAX(0,3*Q732-(R758-MIN(MAX(R758,0),Q732)))))</f>
        <v>45779.690751376969</v>
      </c>
      <c r="R759" s="18">
        <f>IF($A759&gt;30,R758,(R758-Q732+Q759)*(1+$B$7))</f>
        <v>135382.52037397711</v>
      </c>
      <c r="S759" s="18">
        <f t="shared" si="83"/>
        <v>91150.335388924956</v>
      </c>
    </row>
    <row r="760" spans="1:19">
      <c r="A760" s="10">
        <f>26</f>
        <v>26</v>
      </c>
      <c r="B760" s="18">
        <f>IF($A760&gt;30,0,(B732-MIN(MAX(C759,0),B732))+MIN(MAX(0,D759-(B732-MIN(MAX(C759,0),B732))),MAX(0,3*B732-(C759-MIN(MAX(C759,0),B732)))))</f>
        <v>30324</v>
      </c>
      <c r="C760" s="18">
        <f>IF($A760&gt;30,C759,(C759-B732+B760)*(1+$B$7))</f>
        <v>89676</v>
      </c>
      <c r="D760" s="18">
        <f t="shared" si="78"/>
        <v>759041.86220526614</v>
      </c>
      <c r="E760" s="18">
        <f>IF($A760&gt;30,0,(E732-MIN(MAX(F759,0),E732))+MIN(MAX(0,G759-(E732-MIN(MAX(F759,0),E732))),MAX(0,3*E732-(F759-MIN(MAX(F759,0),E732)))))</f>
        <v>75000</v>
      </c>
      <c r="F760" s="18">
        <f>IF($A760&gt;30,F759,(F759-E732+E760)*(1+$B$7))</f>
        <v>0</v>
      </c>
      <c r="G760" s="18">
        <f t="shared" si="79"/>
        <v>-994515.05945996114</v>
      </c>
      <c r="H760" s="18">
        <f>IF($A760&gt;30,0,(H732-MIN(MAX(I759,0),H732))+MIN(MAX(0,J759-(H732-MIN(MAX(I759,0),H732))),MAX(0,3*H732-(I759-MIN(MAX(I759,0),H732)))))</f>
        <v>46723.430098255281</v>
      </c>
      <c r="I760" s="18">
        <f>IF($A760&gt;30,I759,(I759-H732+H760)*(1+$B$7))</f>
        <v>138173.40448130658</v>
      </c>
      <c r="J760" s="18">
        <f t="shared" si="80"/>
        <v>3237.4240800774137</v>
      </c>
      <c r="K760" s="18">
        <f>IF($A760&gt;30,0,(K732-MIN(MAX(L759,0),K732))+MIN(MAX(0,M759-(K732-MIN(MAX(L759,0),K732))),MAX(0,3*K732-(L759-MIN(MAX(L759,0),K732)))))</f>
        <v>45779.710719233088</v>
      </c>
      <c r="L760" s="18">
        <f>IF($A760&gt;30,L759,(L759-K732+K760)*(1+$B$7))</f>
        <v>135382.5794241507</v>
      </c>
      <c r="M760" s="18">
        <f t="shared" si="81"/>
        <v>46730.843713337083</v>
      </c>
      <c r="N760" s="18">
        <f>IF($A760&gt;30,0,(N732-MIN(MAX(O759,0),N732))+MIN(MAX(0,P759-(N732-MIN(MAX(O759,0),N732))),MAX(0,3*N732-(O759-MIN(MAX(O759,0),N732)))))</f>
        <v>45779.690114690718</v>
      </c>
      <c r="O760" s="18">
        <f>IF($A760&gt;30,O759,(O759-N732+N760)*(1+$B$7))</f>
        <v>135382.51849112925</v>
      </c>
      <c r="P760" s="18">
        <f t="shared" si="82"/>
        <v>46731.793319786098</v>
      </c>
      <c r="Q760" s="18">
        <f>IF($A760&gt;30,0,(Q732-MIN(MAX(R759,0),Q732))+MIN(MAX(0,S759-(Q732-MIN(MAX(R759,0),Q732))),MAX(0,3*Q732-(R759-MIN(MAX(R759,0),Q732)))))</f>
        <v>45779.690751376969</v>
      </c>
      <c r="R760" s="18">
        <f>IF($A760&gt;30,R759,(R759-Q732+Q760)*(1+$B$7))</f>
        <v>135382.52037397711</v>
      </c>
      <c r="S760" s="18">
        <f t="shared" si="83"/>
        <v>46731.763976674425</v>
      </c>
    </row>
    <row r="761" spans="1:19">
      <c r="A761" s="10">
        <f>27</f>
        <v>27</v>
      </c>
      <c r="B761" s="18">
        <f>IF($A761&gt;30,0,(B732-MIN(MAX(C760,0),B732))+MIN(MAX(0,D760-(B732-MIN(MAX(C760,0),B732))),MAX(0,3*B732-(C760-MIN(MAX(C760,0),B732)))))</f>
        <v>30324</v>
      </c>
      <c r="C761" s="18">
        <f>IF($A761&gt;30,C760,(C760-B732+B761)*(1+$B$7))</f>
        <v>89676</v>
      </c>
      <c r="D761" s="18">
        <f t="shared" si="78"/>
        <v>750579.3980714241</v>
      </c>
      <c r="E761" s="18">
        <f>IF($A761&gt;30,0,(E732-MIN(MAX(F760,0),E732))+MIN(MAX(0,G760-(E732-MIN(MAX(F760,0),E732))),MAX(0,3*E732-(F760-MIN(MAX(F760,0),E732)))))</f>
        <v>75000</v>
      </c>
      <c r="F761" s="18">
        <f>IF($A761&gt;30,F760,(F760-E732+E761)*(1+$B$7))</f>
        <v>0</v>
      </c>
      <c r="G761" s="18">
        <f t="shared" si="79"/>
        <v>-1101600.5112437599</v>
      </c>
      <c r="H761" s="18">
        <f>IF($A761&gt;30,0,(H732-MIN(MAX(I760,0),H732))+MIN(MAX(0,J760-(H732-MIN(MAX(I760,0),H732))),MAX(0,3*H732-(I760-MIN(MAX(I760,0),H732)))))</f>
        <v>3237.4240800774137</v>
      </c>
      <c r="I761" s="18">
        <f>IF($A761&gt;30,I760,(I760-H732+H761)*(1+$B$7))</f>
        <v>94843.94808479416</v>
      </c>
      <c r="J761" s="18">
        <f t="shared" si="80"/>
        <v>0</v>
      </c>
      <c r="K761" s="18">
        <f>IF($A761&gt;30,0,(K732-MIN(MAX(L760,0),K732))+MIN(MAX(0,M760-(K732-MIN(MAX(L760,0),K732))),MAX(0,3*K732-(L760-MIN(MAX(L760,0),K732)))))</f>
        <v>45779.710719233088</v>
      </c>
      <c r="L761" s="18">
        <f>IF($A761&gt;30,L760,(L760-K732+K761)*(1+$B$7))</f>
        <v>135382.5794241507</v>
      </c>
      <c r="M761" s="18">
        <f t="shared" si="81"/>
        <v>979.66698392711476</v>
      </c>
      <c r="N761" s="18">
        <f>IF($A761&gt;30,0,(N732-MIN(MAX(O760,0),N732))+MIN(MAX(0,P760-(N732-MIN(MAX(O760,0),N732))),MAX(0,3*N732-(O760-MIN(MAX(O760,0),N732)))))</f>
        <v>45779.690114690718</v>
      </c>
      <c r="O761" s="18">
        <f>IF($A761&gt;30,O760,(O760-N732+N761)*(1+$B$7))</f>
        <v>135382.51849112925</v>
      </c>
      <c r="P761" s="18">
        <f t="shared" si="82"/>
        <v>980.66630124824144</v>
      </c>
      <c r="Q761" s="18">
        <f>IF($A761&gt;30,0,(Q732-MIN(MAX(R760,0),Q732))+MIN(MAX(0,S760-(Q732-MIN(MAX(R760,0),Q732))),MAX(0,3*Q732-(R760-MIN(MAX(R760,0),Q732)))))</f>
        <v>45779.690751376969</v>
      </c>
      <c r="R761" s="18">
        <f>IF($A761&gt;30,R760,(R760-Q732+Q761)*(1+$B$7))</f>
        <v>135382.52037397711</v>
      </c>
      <c r="S761" s="18">
        <f t="shared" si="83"/>
        <v>980.63542205637953</v>
      </c>
    </row>
    <row r="762" spans="1:19">
      <c r="A762" s="10">
        <f>28</f>
        <v>28</v>
      </c>
      <c r="B762" s="18">
        <f>IF($A762&gt;30,0,(B732-MIN(MAX(C761,0),B732))+MIN(MAX(0,D761-(B732-MIN(MAX(C761,0),B732))),MAX(0,3*B732-(C761-MIN(MAX(C761,0),B732)))))</f>
        <v>30324</v>
      </c>
      <c r="C762" s="18">
        <f>IF($A762&gt;30,C761,(C761-B732+B762)*(1+$B$7))</f>
        <v>89676</v>
      </c>
      <c r="D762" s="18">
        <f t="shared" si="78"/>
        <v>741863.06001356686</v>
      </c>
      <c r="E762" s="18">
        <f>IF($A762&gt;30,0,(E732-MIN(MAX(F761,0),E732))+MIN(MAX(0,G761-(E732-MIN(MAX(F761,0),E732))),MAX(0,3*E732-(F761-MIN(MAX(F761,0),E732)))))</f>
        <v>75000</v>
      </c>
      <c r="F762" s="18">
        <f>IF($A762&gt;30,F761,(F761-E732+E762)*(1+$B$7))</f>
        <v>0</v>
      </c>
      <c r="G762" s="18">
        <f t="shared" si="79"/>
        <v>-1211898.5265810727</v>
      </c>
      <c r="H762" s="18">
        <f>IF($A762&gt;30,0,(H732-MIN(MAX(I761,0),H732))+MIN(MAX(0,J761-(H732-MIN(MAX(I761,0),H732))),MAX(0,3*H732-(I761-MIN(MAX(I761,0),H732)))))</f>
        <v>0</v>
      </c>
      <c r="I762" s="18">
        <f>IF($A762&gt;30,I761,(I761-H732+H762)*(1+$B$7))</f>
        <v>48444.70837792004</v>
      </c>
      <c r="J762" s="18">
        <f t="shared" si="80"/>
        <v>0</v>
      </c>
      <c r="K762" s="18">
        <f>IF($A762&gt;30,0,(K732-MIN(MAX(L761,0),K732))+MIN(MAX(0,M761-(K732-MIN(MAX(L761,0),K732))),MAX(0,3*K732-(L761-MIN(MAX(L761,0),K732)))))</f>
        <v>979.66698392711476</v>
      </c>
      <c r="L762" s="18">
        <f>IF($A762&gt;30,L761,(L761-K732+K762)*(1+$B$7))</f>
        <v>90743.815846291836</v>
      </c>
      <c r="M762" s="18">
        <f t="shared" si="81"/>
        <v>0</v>
      </c>
      <c r="N762" s="18">
        <f>IF($A762&gt;30,0,(N732-MIN(MAX(O761,0),N732))+MIN(MAX(0,P761-(N732-MIN(MAX(O761,0),N732))),MAX(0,3*N732-(O761-MIN(MAX(O761,0),N732)))))</f>
        <v>980.66630124824144</v>
      </c>
      <c r="O762" s="18">
        <f>IF($A762&gt;30,O761,(O761-N732+N762)*(1+$B$7))</f>
        <v>90744.771163415178</v>
      </c>
      <c r="P762" s="18">
        <f t="shared" si="82"/>
        <v>0</v>
      </c>
      <c r="Q762" s="18">
        <f>IF($A762&gt;30,0,(Q732-MIN(MAX(R761,0),Q732))+MIN(MAX(0,S761-(Q732-MIN(MAX(R761,0),Q732))),MAX(0,3*Q732-(R761-MIN(MAX(R761,0),Q732)))))</f>
        <v>980.63542205637953</v>
      </c>
      <c r="R762" s="18">
        <f>IF($A762&gt;30,R761,(R761-Q732+Q762)*(1+$B$7))</f>
        <v>90744.741643842077</v>
      </c>
      <c r="S762" s="18">
        <f t="shared" si="83"/>
        <v>0</v>
      </c>
    </row>
    <row r="763" spans="1:19">
      <c r="A763" s="10">
        <f>29</f>
        <v>29</v>
      </c>
      <c r="B763" s="18">
        <f>IF($A763&gt;30,0,(B732-MIN(MAX(C762,0),B732))+MIN(MAX(0,D762-(B732-MIN(MAX(C762,0),B732))),MAX(0,3*B732-(C762-MIN(MAX(C762,0),B732)))))</f>
        <v>30324</v>
      </c>
      <c r="C763" s="18">
        <f>IF($A763&gt;30,C762,(C762-B732+B763)*(1+$B$7))</f>
        <v>89676</v>
      </c>
      <c r="D763" s="18">
        <f t="shared" si="78"/>
        <v>732885.23181397386</v>
      </c>
      <c r="E763" s="18">
        <f>IF($A763&gt;30,0,(E732-MIN(MAX(F762,0),E732))+MIN(MAX(0,G762-(E732-MIN(MAX(F762,0),E732))),MAX(0,3*E732-(F762-MIN(MAX(F762,0),E732)))))</f>
        <v>75000</v>
      </c>
      <c r="F763" s="18">
        <f>IF($A763&gt;30,F762,(F762-E732+E763)*(1+$B$7))</f>
        <v>0</v>
      </c>
      <c r="G763" s="18">
        <f t="shared" si="79"/>
        <v>-1325505.4823785049</v>
      </c>
      <c r="H763" s="18">
        <f>IF($A763&gt;30,0,(H732-MIN(MAX(I762,0),H732))+MIN(MAX(0,J762-(H732-MIN(MAX(I762,0),H732))),MAX(0,3*H732-(I762-MIN(MAX(I762,0),H732)))))</f>
        <v>0</v>
      </c>
      <c r="I763" s="18">
        <f>IF($A763&gt;30,I762,(I762-H732+H763)*(1+$B$7))</f>
        <v>2212.505933990667</v>
      </c>
      <c r="J763" s="18">
        <f t="shared" si="80"/>
        <v>0</v>
      </c>
      <c r="K763" s="18">
        <f>IF($A763&gt;30,0,(K732-MIN(MAX(L762,0),K732))+MIN(MAX(0,M762-(K732-MIN(MAX(L762,0),K732))),MAX(0,3*K732-(L762-MIN(MAX(L762,0),K732)))))</f>
        <v>0</v>
      </c>
      <c r="L763" s="18">
        <f>IF($A763&gt;30,L762,(L762-K732+K763)*(1+$B$7))</f>
        <v>45289.611634528286</v>
      </c>
      <c r="M763" s="18">
        <f t="shared" si="81"/>
        <v>0</v>
      </c>
      <c r="N763" s="18">
        <f>IF($A763&gt;30,0,(N732-MIN(MAX(O762,0),N732))+MIN(MAX(0,P762-(N732-MIN(MAX(O762,0),N732))),MAX(0,3*N732-(O762-MIN(MAX(O762,0),N732)))))</f>
        <v>0</v>
      </c>
      <c r="O763" s="18">
        <f>IF($A763&gt;30,O762,(O762-N732+N763)*(1+$B$7))</f>
        <v>45290.583823517125</v>
      </c>
      <c r="P763" s="18">
        <f t="shared" si="82"/>
        <v>0</v>
      </c>
      <c r="Q763" s="18">
        <f>IF($A763&gt;30,0,(Q732-MIN(MAX(R762,0),Q732))+MIN(MAX(0,S762-(Q732-MIN(MAX(R762,0),Q732))),MAX(0,3*Q732-(R762-MIN(MAX(R762,0),Q732)))))</f>
        <v>0</v>
      </c>
      <c r="R763" s="18">
        <f>IF($A763&gt;30,R762,(R762-Q732+Q763)*(1+$B$7))</f>
        <v>45290.553782598545</v>
      </c>
      <c r="S763" s="18">
        <f t="shared" si="83"/>
        <v>0</v>
      </c>
    </row>
    <row r="764" spans="1:19">
      <c r="A764" s="10">
        <f>30</f>
        <v>30</v>
      </c>
      <c r="B764" s="18">
        <f>IF($A764&gt;30,0,(B732-MIN(MAX(C763,0),B732))+MIN(MAX(0,D763-(B732-MIN(MAX(C763,0),B732))),MAX(0,3*B732-(C763-MIN(MAX(C763,0),B732)))))</f>
        <v>30324</v>
      </c>
      <c r="C764" s="18">
        <f>IF($A764&gt;30,C763,(C763-B732+B764)*(1+$B$7))</f>
        <v>89676</v>
      </c>
      <c r="D764" s="18">
        <f t="shared" si="78"/>
        <v>723638.06876839313</v>
      </c>
      <c r="E764" s="18">
        <f>IF($A764&gt;30,0,(E732-MIN(MAX(F763,0),E732))+MIN(MAX(0,G763-(E732-MIN(MAX(F763,0),E732))),MAX(0,3*E732-(F763-MIN(MAX(F763,0),E732)))))</f>
        <v>75000</v>
      </c>
      <c r="F764" s="18">
        <f>IF($A764&gt;30,F763,(F763-E732+E764)*(1+$B$7))</f>
        <v>0</v>
      </c>
      <c r="G764" s="18">
        <f t="shared" si="79"/>
        <v>-1442520.6468498602</v>
      </c>
      <c r="H764" s="18">
        <f>IF($A764&gt;30,0,(H732-MIN(MAX(I763,0),H732))+MIN(MAX(0,J763-(H732-MIN(MAX(I763,0),H732))),MAX(0,3*H732-(I763-MIN(MAX(I763,0),H732)))))</f>
        <v>44011.702710899801</v>
      </c>
      <c r="I764" s="18">
        <f>IF($A764&gt;30,I763,(I763-H732+H764)*(1+$B$7))</f>
        <v>0</v>
      </c>
      <c r="J764" s="18">
        <f t="shared" si="80"/>
        <v>-45332.053792226798</v>
      </c>
      <c r="K764" s="18">
        <f>IF($A764&gt;30,0,(K732-MIN(MAX(L763,0),K732))+MIN(MAX(0,M763-(K732-MIN(MAX(L763,0),K732))),MAX(0,3*K732-(L763-MIN(MAX(L763,0),K732)))))</f>
        <v>0.96090131765959086</v>
      </c>
      <c r="L764" s="18">
        <f>IF($A764&gt;30,L763,(L763-K732+K764)*(1+$B$7))</f>
        <v>0</v>
      </c>
      <c r="M764" s="18">
        <f t="shared" si="81"/>
        <v>-0.98972835718937857</v>
      </c>
      <c r="N764" s="18">
        <f>IF($A764&gt;30,0,(N732-MIN(MAX(O763,0),N732))+MIN(MAX(0,P763-(N732-MIN(MAX(O763,0),N732))),MAX(0,3*N732-(O763-MIN(MAX(O763,0),N732)))))</f>
        <v>0</v>
      </c>
      <c r="O764" s="18">
        <f>IF($A764&gt;30,O763,(O763-N732+N764)*(1+$B$7))</f>
        <v>3.1558042710338484E-2</v>
      </c>
      <c r="P764" s="18">
        <f t="shared" si="82"/>
        <v>0</v>
      </c>
      <c r="Q764" s="18">
        <f>IF($A764&gt;30,0,(Q732-MIN(MAX(R763,0),Q732))+MIN(MAX(0,S763-(Q732-MIN(MAX(R763,0),Q732))),MAX(0,3*Q732-(R763-MIN(MAX(R763,0),Q732)))))</f>
        <v>0</v>
      </c>
      <c r="R764" s="18">
        <f>IF($A764&gt;30,R763,(R763-Q732+Q764)*(1+$B$7))</f>
        <v>9.9765548898722036E-4</v>
      </c>
      <c r="S764" s="18">
        <f t="shared" si="83"/>
        <v>0</v>
      </c>
    </row>
    <row r="765" spans="1:19">
      <c r="A765" s="10">
        <f>31</f>
        <v>31</v>
      </c>
      <c r="B765" s="18">
        <f>IF($A765&gt;30,0,(B732-MIN(MAX(C764,0),B732))+MIN(MAX(0,D764-(B732-MIN(MAX(C764,0),B732))),MAX(0,3*B732-(C764-MIN(MAX(C764,0),B732)))))</f>
        <v>0</v>
      </c>
      <c r="C765" s="18">
        <f>IF($A765&gt;30,C764,(C764-B732+B765)*(1+$B$7))</f>
        <v>89676</v>
      </c>
      <c r="D765" s="18">
        <f t="shared" si="78"/>
        <v>723638.06876839313</v>
      </c>
      <c r="E765" s="18">
        <f>IF($A765&gt;30,0,(E732-MIN(MAX(F764,0),E732))+MIN(MAX(0,G764-(E732-MIN(MAX(F764,0),E732))),MAX(0,3*E732-(F764-MIN(MAX(F764,0),E732)))))</f>
        <v>0</v>
      </c>
      <c r="F765" s="18">
        <f>IF($A765&gt;30,F764,(F764-E732+E765)*(1+$B$7))</f>
        <v>0</v>
      </c>
      <c r="G765" s="18">
        <f t="shared" si="79"/>
        <v>-1442520.6468498602</v>
      </c>
      <c r="H765" s="18">
        <f>IF($A765&gt;30,0,(H732-MIN(MAX(I764,0),H732))+MIN(MAX(0,J764-(H732-MIN(MAX(I764,0),H732))),MAX(0,3*H732-(I764-MIN(MAX(I764,0),H732)))))</f>
        <v>0</v>
      </c>
      <c r="I765" s="18">
        <f>IF($A765&gt;30,I764,(I764-H732+H765)*(1+$B$7))</f>
        <v>0</v>
      </c>
      <c r="J765" s="18">
        <f t="shared" si="80"/>
        <v>-45332.053792226798</v>
      </c>
      <c r="K765" s="18">
        <f>IF($A765&gt;30,0,(K732-MIN(MAX(L764,0),K732))+MIN(MAX(0,M764-(K732-MIN(MAX(L764,0),K732))),MAX(0,3*K732-(L764-MIN(MAX(L764,0),K732)))))</f>
        <v>0</v>
      </c>
      <c r="L765" s="18">
        <f>IF($A765&gt;30,L764,(L764-K732+K765)*(1+$B$7))</f>
        <v>0</v>
      </c>
      <c r="M765" s="18">
        <f t="shared" si="81"/>
        <v>-0.98972835718937857</v>
      </c>
      <c r="N765" s="18">
        <f>IF($A765&gt;30,0,(N732-MIN(MAX(O764,0),N732))+MIN(MAX(0,P764-(N732-MIN(MAX(O764,0),N732))),MAX(0,3*N732-(O764-MIN(MAX(O764,0),N732)))))</f>
        <v>0</v>
      </c>
      <c r="O765" s="18">
        <f>IF($A765&gt;30,O764,(O764-N732+N765)*(1+$B$7))</f>
        <v>3.1558042710338484E-2</v>
      </c>
      <c r="P765" s="18">
        <f t="shared" si="82"/>
        <v>0</v>
      </c>
      <c r="Q765" s="18">
        <f>IF($A765&gt;30,0,(Q732-MIN(MAX(R764,0),Q732))+MIN(MAX(0,S764-(Q732-MIN(MAX(R764,0),Q732))),MAX(0,3*Q732-(R764-MIN(MAX(R764,0),Q732)))))</f>
        <v>0</v>
      </c>
      <c r="R765" s="18">
        <f>IF($A765&gt;30,R764,(R764-Q732+Q765)*(1+$B$7))</f>
        <v>9.9765548898722036E-4</v>
      </c>
      <c r="S765" s="18">
        <f t="shared" si="83"/>
        <v>0</v>
      </c>
    </row>
    <row r="766" spans="1:19">
      <c r="A766" s="10">
        <f>32</f>
        <v>32</v>
      </c>
      <c r="B766" s="18">
        <f>IF($A766&gt;30,0,(B732-MIN(MAX(C765,0),B732))+MIN(MAX(0,D765-(B732-MIN(MAX(C765,0),B732))),MAX(0,3*B732-(C765-MIN(MAX(C765,0),B732)))))</f>
        <v>0</v>
      </c>
      <c r="C766" s="18">
        <f>IF($A766&gt;30,C765,(C765-B732+B766)*(1+$B$7))</f>
        <v>89676</v>
      </c>
      <c r="D766" s="18">
        <f t="shared" si="78"/>
        <v>723638.06876839313</v>
      </c>
      <c r="E766" s="18">
        <f>IF($A766&gt;30,0,(E732-MIN(MAX(F765,0),E732))+MIN(MAX(0,G765-(E732-MIN(MAX(F765,0),E732))),MAX(0,3*E732-(F765-MIN(MAX(F765,0),E732)))))</f>
        <v>0</v>
      </c>
      <c r="F766" s="18">
        <f>IF($A766&gt;30,F765,(F765-E732+E766)*(1+$B$7))</f>
        <v>0</v>
      </c>
      <c r="G766" s="18">
        <f t="shared" si="79"/>
        <v>-1442520.6468498602</v>
      </c>
      <c r="H766" s="18">
        <f>IF($A766&gt;30,0,(H732-MIN(MAX(I765,0),H732))+MIN(MAX(0,J765-(H732-MIN(MAX(I765,0),H732))),MAX(0,3*H732-(I765-MIN(MAX(I765,0),H732)))))</f>
        <v>0</v>
      </c>
      <c r="I766" s="18">
        <f>IF($A766&gt;30,I765,(I765-H732+H766)*(1+$B$7))</f>
        <v>0</v>
      </c>
      <c r="J766" s="18">
        <f t="shared" si="80"/>
        <v>-45332.053792226798</v>
      </c>
      <c r="K766" s="18">
        <f>IF($A766&gt;30,0,(K732-MIN(MAX(L765,0),K732))+MIN(MAX(0,M765-(K732-MIN(MAX(L765,0),K732))),MAX(0,3*K732-(L765-MIN(MAX(L765,0),K732)))))</f>
        <v>0</v>
      </c>
      <c r="L766" s="18">
        <f>IF($A766&gt;30,L765,(L765-K732+K766)*(1+$B$7))</f>
        <v>0</v>
      </c>
      <c r="M766" s="18">
        <f t="shared" si="81"/>
        <v>-0.98972835718937857</v>
      </c>
      <c r="N766" s="18">
        <f>IF($A766&gt;30,0,(N732-MIN(MAX(O765,0),N732))+MIN(MAX(0,P765-(N732-MIN(MAX(O765,0),N732))),MAX(0,3*N732-(O765-MIN(MAX(O765,0),N732)))))</f>
        <v>0</v>
      </c>
      <c r="O766" s="18">
        <f>IF($A766&gt;30,O765,(O765-N732+N766)*(1+$B$7))</f>
        <v>3.1558042710338484E-2</v>
      </c>
      <c r="P766" s="18">
        <f t="shared" si="82"/>
        <v>0</v>
      </c>
      <c r="Q766" s="18">
        <f>IF($A766&gt;30,0,(Q732-MIN(MAX(R765,0),Q732))+MIN(MAX(0,S765-(Q732-MIN(MAX(R765,0),Q732))),MAX(0,3*Q732-(R765-MIN(MAX(R765,0),Q732)))))</f>
        <v>0</v>
      </c>
      <c r="R766" s="18">
        <f>IF($A766&gt;30,R765,(R765-Q732+Q766)*(1+$B$7))</f>
        <v>9.9765548898722036E-4</v>
      </c>
      <c r="S766" s="18">
        <f t="shared" si="83"/>
        <v>0</v>
      </c>
    </row>
    <row r="767" spans="1:19">
      <c r="A767" s="10">
        <f>33</f>
        <v>33</v>
      </c>
      <c r="B767" s="18">
        <f>IF($A767&gt;30,0,(B732-MIN(MAX(C766,0),B732))+MIN(MAX(0,D766-(B732-MIN(MAX(C766,0),B732))),MAX(0,3*B732-(C766-MIN(MAX(C766,0),B732)))))</f>
        <v>0</v>
      </c>
      <c r="C767" s="18">
        <f>IF($A767&gt;30,C766,(C766-B732+B767)*(1+$B$7))</f>
        <v>89676</v>
      </c>
      <c r="D767" s="18">
        <f t="shared" si="78"/>
        <v>723638.06876839313</v>
      </c>
      <c r="E767" s="18">
        <f>IF($A767&gt;30,0,(E732-MIN(MAX(F766,0),E732))+MIN(MAX(0,G766-(E732-MIN(MAX(F766,0),E732))),MAX(0,3*E732-(F766-MIN(MAX(F766,0),E732)))))</f>
        <v>0</v>
      </c>
      <c r="F767" s="18">
        <f>IF($A767&gt;30,F766,(F766-E732+E767)*(1+$B$7))</f>
        <v>0</v>
      </c>
      <c r="G767" s="18">
        <f t="shared" si="79"/>
        <v>-1442520.6468498602</v>
      </c>
      <c r="H767" s="18">
        <f>IF($A767&gt;30,0,(H732-MIN(MAX(I766,0),H732))+MIN(MAX(0,J766-(H732-MIN(MAX(I766,0),H732))),MAX(0,3*H732-(I766-MIN(MAX(I766,0),H732)))))</f>
        <v>0</v>
      </c>
      <c r="I767" s="18">
        <f>IF($A767&gt;30,I766,(I766-H732+H767)*(1+$B$7))</f>
        <v>0</v>
      </c>
      <c r="J767" s="18">
        <f t="shared" si="80"/>
        <v>-45332.053792226798</v>
      </c>
      <c r="K767" s="18">
        <f>IF($A767&gt;30,0,(K732-MIN(MAX(L766,0),K732))+MIN(MAX(0,M766-(K732-MIN(MAX(L766,0),K732))),MAX(0,3*K732-(L766-MIN(MAX(L766,0),K732)))))</f>
        <v>0</v>
      </c>
      <c r="L767" s="18">
        <f>IF($A767&gt;30,L766,(L766-K732+K767)*(1+$B$7))</f>
        <v>0</v>
      </c>
      <c r="M767" s="18">
        <f t="shared" si="81"/>
        <v>-0.98972835718937857</v>
      </c>
      <c r="N767" s="18">
        <f>IF($A767&gt;30,0,(N732-MIN(MAX(O766,0),N732))+MIN(MAX(0,P766-(N732-MIN(MAX(O766,0),N732))),MAX(0,3*N732-(O766-MIN(MAX(O766,0),N732)))))</f>
        <v>0</v>
      </c>
      <c r="O767" s="18">
        <f>IF($A767&gt;30,O766,(O766-N732+N767)*(1+$B$7))</f>
        <v>3.1558042710338484E-2</v>
      </c>
      <c r="P767" s="18">
        <f t="shared" si="82"/>
        <v>0</v>
      </c>
      <c r="Q767" s="18">
        <f>IF($A767&gt;30,0,(Q732-MIN(MAX(R766,0),Q732))+MIN(MAX(0,S766-(Q732-MIN(MAX(R766,0),Q732))),MAX(0,3*Q732-(R766-MIN(MAX(R766,0),Q732)))))</f>
        <v>0</v>
      </c>
      <c r="R767" s="18">
        <f>IF($A767&gt;30,R766,(R766-Q732+Q767)*(1+$B$7))</f>
        <v>9.9765548898722036E-4</v>
      </c>
      <c r="S767" s="18">
        <f t="shared" si="83"/>
        <v>0</v>
      </c>
    </row>
    <row r="768" spans="1:19">
      <c r="A768" s="10">
        <f>34</f>
        <v>34</v>
      </c>
      <c r="B768" s="18">
        <f>IF($A768&gt;30,0,(B732-MIN(MAX(C767,0),B732))+MIN(MAX(0,D767-(B732-MIN(MAX(C767,0),B732))),MAX(0,3*B732-(C767-MIN(MAX(C767,0),B732)))))</f>
        <v>0</v>
      </c>
      <c r="C768" s="18">
        <f>IF($A768&gt;30,C767,(C767-B732+B768)*(1+$B$7))</f>
        <v>89676</v>
      </c>
      <c r="D768" s="18">
        <f t="shared" si="78"/>
        <v>723638.06876839313</v>
      </c>
      <c r="E768" s="18">
        <f>IF($A768&gt;30,0,(E732-MIN(MAX(F767,0),E732))+MIN(MAX(0,G767-(E732-MIN(MAX(F767,0),E732))),MAX(0,3*E732-(F767-MIN(MAX(F767,0),E732)))))</f>
        <v>0</v>
      </c>
      <c r="F768" s="18">
        <f>IF($A768&gt;30,F767,(F767-E732+E768)*(1+$B$7))</f>
        <v>0</v>
      </c>
      <c r="G768" s="18">
        <f t="shared" si="79"/>
        <v>-1442520.6468498602</v>
      </c>
      <c r="H768" s="18">
        <f>IF($A768&gt;30,0,(H732-MIN(MAX(I767,0),H732))+MIN(MAX(0,J767-(H732-MIN(MAX(I767,0),H732))),MAX(0,3*H732-(I767-MIN(MAX(I767,0),H732)))))</f>
        <v>0</v>
      </c>
      <c r="I768" s="18">
        <f>IF($A768&gt;30,I767,(I767-H732+H768)*(1+$B$7))</f>
        <v>0</v>
      </c>
      <c r="J768" s="18">
        <f t="shared" si="80"/>
        <v>-45332.053792226798</v>
      </c>
      <c r="K768" s="18">
        <f>IF($A768&gt;30,0,(K732-MIN(MAX(L767,0),K732))+MIN(MAX(0,M767-(K732-MIN(MAX(L767,0),K732))),MAX(0,3*K732-(L767-MIN(MAX(L767,0),K732)))))</f>
        <v>0</v>
      </c>
      <c r="L768" s="18">
        <f>IF($A768&gt;30,L767,(L767-K732+K768)*(1+$B$7))</f>
        <v>0</v>
      </c>
      <c r="M768" s="18">
        <f t="shared" si="81"/>
        <v>-0.98972835718937857</v>
      </c>
      <c r="N768" s="18">
        <f>IF($A768&gt;30,0,(N732-MIN(MAX(O767,0),N732))+MIN(MAX(0,P767-(N732-MIN(MAX(O767,0),N732))),MAX(0,3*N732-(O767-MIN(MAX(O767,0),N732)))))</f>
        <v>0</v>
      </c>
      <c r="O768" s="18">
        <f>IF($A768&gt;30,O767,(O767-N732+N768)*(1+$B$7))</f>
        <v>3.1558042710338484E-2</v>
      </c>
      <c r="P768" s="18">
        <f t="shared" si="82"/>
        <v>0</v>
      </c>
      <c r="Q768" s="18">
        <f>IF($A768&gt;30,0,(Q732-MIN(MAX(R767,0),Q732))+MIN(MAX(0,S767-(Q732-MIN(MAX(R767,0),Q732))),MAX(0,3*Q732-(R767-MIN(MAX(R767,0),Q732)))))</f>
        <v>0</v>
      </c>
      <c r="R768" s="18">
        <f>IF($A768&gt;30,R767,(R767-Q732+Q768)*(1+$B$7))</f>
        <v>9.9765548898722036E-4</v>
      </c>
      <c r="S768" s="18">
        <f t="shared" si="83"/>
        <v>0</v>
      </c>
    </row>
    <row r="769" spans="1:19">
      <c r="A769" s="10">
        <f>35</f>
        <v>35</v>
      </c>
      <c r="B769" s="18">
        <f>IF($A769&gt;30,0,(B732-MIN(MAX(C768,0),B732))+MIN(MAX(0,D768-(B732-MIN(MAX(C768,0),B732))),MAX(0,3*B732-(C768-MIN(MAX(C768,0),B732)))))</f>
        <v>0</v>
      </c>
      <c r="C769" s="18">
        <f>IF($A769&gt;30,C768,(C768-B732+B769)*(1+$B$7))</f>
        <v>89676</v>
      </c>
      <c r="D769" s="18">
        <f t="shared" si="78"/>
        <v>723638.06876839313</v>
      </c>
      <c r="E769" s="18">
        <f>IF($A769&gt;30,0,(E732-MIN(MAX(F768,0),E732))+MIN(MAX(0,G768-(E732-MIN(MAX(F768,0),E732))),MAX(0,3*E732-(F768-MIN(MAX(F768,0),E732)))))</f>
        <v>0</v>
      </c>
      <c r="F769" s="18">
        <f>IF($A769&gt;30,F768,(F768-E732+E769)*(1+$B$7))</f>
        <v>0</v>
      </c>
      <c r="G769" s="18">
        <f t="shared" si="79"/>
        <v>-1442520.6468498602</v>
      </c>
      <c r="H769" s="18">
        <f>IF($A769&gt;30,0,(H732-MIN(MAX(I768,0),H732))+MIN(MAX(0,J768-(H732-MIN(MAX(I768,0),H732))),MAX(0,3*H732-(I768-MIN(MAX(I768,0),H732)))))</f>
        <v>0</v>
      </c>
      <c r="I769" s="18">
        <f>IF($A769&gt;30,I768,(I768-H732+H769)*(1+$B$7))</f>
        <v>0</v>
      </c>
      <c r="J769" s="18">
        <f t="shared" si="80"/>
        <v>-45332.053792226798</v>
      </c>
      <c r="K769" s="18">
        <f>IF($A769&gt;30,0,(K732-MIN(MAX(L768,0),K732))+MIN(MAX(0,M768-(K732-MIN(MAX(L768,0),K732))),MAX(0,3*K732-(L768-MIN(MAX(L768,0),K732)))))</f>
        <v>0</v>
      </c>
      <c r="L769" s="18">
        <f>IF($A769&gt;30,L768,(L768-K732+K769)*(1+$B$7))</f>
        <v>0</v>
      </c>
      <c r="M769" s="18">
        <f t="shared" si="81"/>
        <v>-0.98972835718937857</v>
      </c>
      <c r="N769" s="18">
        <f>IF($A769&gt;30,0,(N732-MIN(MAX(O768,0),N732))+MIN(MAX(0,P768-(N732-MIN(MAX(O768,0),N732))),MAX(0,3*N732-(O768-MIN(MAX(O768,0),N732)))))</f>
        <v>0</v>
      </c>
      <c r="O769" s="18">
        <f>IF($A769&gt;30,O768,(O768-N732+N769)*(1+$B$7))</f>
        <v>3.1558042710338484E-2</v>
      </c>
      <c r="P769" s="18">
        <f t="shared" si="82"/>
        <v>0</v>
      </c>
      <c r="Q769" s="18">
        <f>IF($A769&gt;30,0,(Q732-MIN(MAX(R768,0),Q732))+MIN(MAX(0,S768-(Q732-MIN(MAX(R768,0),Q732))),MAX(0,3*Q732-(R768-MIN(MAX(R768,0),Q732)))))</f>
        <v>0</v>
      </c>
      <c r="R769" s="18">
        <f>IF($A769&gt;30,R768,(R768-Q732+Q769)*(1+$B$7))</f>
        <v>9.9765548898722036E-4</v>
      </c>
      <c r="S769" s="18">
        <f t="shared" si="83"/>
        <v>0</v>
      </c>
    </row>
    <row r="770" spans="1:19">
      <c r="A770" s="10">
        <f>36</f>
        <v>36</v>
      </c>
      <c r="B770" s="18">
        <f>IF($A770&gt;30,0,(B732-MIN(MAX(C769,0),B732))+MIN(MAX(0,D769-(B732-MIN(MAX(C769,0),B732))),MAX(0,3*B732-(C769-MIN(MAX(C769,0),B732)))))</f>
        <v>0</v>
      </c>
      <c r="C770" s="18">
        <f>IF($A770&gt;30,C769,(C769-B732+B770)*(1+$B$7))</f>
        <v>89676</v>
      </c>
      <c r="D770" s="18">
        <f t="shared" si="78"/>
        <v>723638.06876839313</v>
      </c>
      <c r="E770" s="18">
        <f>IF($A770&gt;30,0,(E732-MIN(MAX(F769,0),E732))+MIN(MAX(0,G769-(E732-MIN(MAX(F769,0),E732))),MAX(0,3*E732-(F769-MIN(MAX(F769,0),E732)))))</f>
        <v>0</v>
      </c>
      <c r="F770" s="18">
        <f>IF($A770&gt;30,F769,(F769-E732+E770)*(1+$B$7))</f>
        <v>0</v>
      </c>
      <c r="G770" s="18">
        <f t="shared" si="79"/>
        <v>-1442520.6468498602</v>
      </c>
      <c r="H770" s="18">
        <f>IF($A770&gt;30,0,(H732-MIN(MAX(I769,0),H732))+MIN(MAX(0,J769-(H732-MIN(MAX(I769,0),H732))),MAX(0,3*H732-(I769-MIN(MAX(I769,0),H732)))))</f>
        <v>0</v>
      </c>
      <c r="I770" s="18">
        <f>IF($A770&gt;30,I769,(I769-H732+H770)*(1+$B$7))</f>
        <v>0</v>
      </c>
      <c r="J770" s="18">
        <f t="shared" si="80"/>
        <v>-45332.053792226798</v>
      </c>
      <c r="K770" s="18">
        <f>IF($A770&gt;30,0,(K732-MIN(MAX(L769,0),K732))+MIN(MAX(0,M769-(K732-MIN(MAX(L769,0),K732))),MAX(0,3*K732-(L769-MIN(MAX(L769,0),K732)))))</f>
        <v>0</v>
      </c>
      <c r="L770" s="18">
        <f>IF($A770&gt;30,L769,(L769-K732+K770)*(1+$B$7))</f>
        <v>0</v>
      </c>
      <c r="M770" s="18">
        <f t="shared" si="81"/>
        <v>-0.98972835718937857</v>
      </c>
      <c r="N770" s="18">
        <f>IF($A770&gt;30,0,(N732-MIN(MAX(O769,0),N732))+MIN(MAX(0,P769-(N732-MIN(MAX(O769,0),N732))),MAX(0,3*N732-(O769-MIN(MAX(O769,0),N732)))))</f>
        <v>0</v>
      </c>
      <c r="O770" s="18">
        <f>IF($A770&gt;30,O769,(O769-N732+N770)*(1+$B$7))</f>
        <v>3.1558042710338484E-2</v>
      </c>
      <c r="P770" s="18">
        <f t="shared" si="82"/>
        <v>0</v>
      </c>
      <c r="Q770" s="18">
        <f>IF($A770&gt;30,0,(Q732-MIN(MAX(R769,0),Q732))+MIN(MAX(0,S769-(Q732-MIN(MAX(R769,0),Q732))),MAX(0,3*Q732-(R769-MIN(MAX(R769,0),Q732)))))</f>
        <v>0</v>
      </c>
      <c r="R770" s="18">
        <f>IF($A770&gt;30,R769,(R769-Q732+Q770)*(1+$B$7))</f>
        <v>9.9765548898722036E-4</v>
      </c>
      <c r="S770" s="18">
        <f t="shared" si="83"/>
        <v>0</v>
      </c>
    </row>
    <row r="771" spans="1:19">
      <c r="A771" s="10">
        <f>37</f>
        <v>37</v>
      </c>
      <c r="B771" s="18">
        <f>IF($A771&gt;30,0,(B732-MIN(MAX(C770,0),B732))+MIN(MAX(0,D770-(B732-MIN(MAX(C770,0),B732))),MAX(0,3*B732-(C770-MIN(MAX(C770,0),B732)))))</f>
        <v>0</v>
      </c>
      <c r="C771" s="18">
        <f>IF($A771&gt;30,C770,(C770-B732+B771)*(1+$B$7))</f>
        <v>89676</v>
      </c>
      <c r="D771" s="18">
        <f t="shared" si="78"/>
        <v>723638.06876839313</v>
      </c>
      <c r="E771" s="18">
        <f>IF($A771&gt;30,0,(E732-MIN(MAX(F770,0),E732))+MIN(MAX(0,G770-(E732-MIN(MAX(F770,0),E732))),MAX(0,3*E732-(F770-MIN(MAX(F770,0),E732)))))</f>
        <v>0</v>
      </c>
      <c r="F771" s="18">
        <f>IF($A771&gt;30,F770,(F770-E732+E771)*(1+$B$7))</f>
        <v>0</v>
      </c>
      <c r="G771" s="18">
        <f t="shared" si="79"/>
        <v>-1442520.6468498602</v>
      </c>
      <c r="H771" s="18">
        <f>IF($A771&gt;30,0,(H732-MIN(MAX(I770,0),H732))+MIN(MAX(0,J770-(H732-MIN(MAX(I770,0),H732))),MAX(0,3*H732-(I770-MIN(MAX(I770,0),H732)))))</f>
        <v>0</v>
      </c>
      <c r="I771" s="18">
        <f>IF($A771&gt;30,I770,(I770-H732+H771)*(1+$B$7))</f>
        <v>0</v>
      </c>
      <c r="J771" s="18">
        <f t="shared" si="80"/>
        <v>-45332.053792226798</v>
      </c>
      <c r="K771" s="18">
        <f>IF($A771&gt;30,0,(K732-MIN(MAX(L770,0),K732))+MIN(MAX(0,M770-(K732-MIN(MAX(L770,0),K732))),MAX(0,3*K732-(L770-MIN(MAX(L770,0),K732)))))</f>
        <v>0</v>
      </c>
      <c r="L771" s="18">
        <f>IF($A771&gt;30,L770,(L770-K732+K771)*(1+$B$7))</f>
        <v>0</v>
      </c>
      <c r="M771" s="18">
        <f t="shared" si="81"/>
        <v>-0.98972835718937857</v>
      </c>
      <c r="N771" s="18">
        <f>IF($A771&gt;30,0,(N732-MIN(MAX(O770,0),N732))+MIN(MAX(0,P770-(N732-MIN(MAX(O770,0),N732))),MAX(0,3*N732-(O770-MIN(MAX(O770,0),N732)))))</f>
        <v>0</v>
      </c>
      <c r="O771" s="18">
        <f>IF($A771&gt;30,O770,(O770-N732+N771)*(1+$B$7))</f>
        <v>3.1558042710338484E-2</v>
      </c>
      <c r="P771" s="18">
        <f t="shared" si="82"/>
        <v>0</v>
      </c>
      <c r="Q771" s="18">
        <f>IF($A771&gt;30,0,(Q732-MIN(MAX(R770,0),Q732))+MIN(MAX(0,S770-(Q732-MIN(MAX(R770,0),Q732))),MAX(0,3*Q732-(R770-MIN(MAX(R770,0),Q732)))))</f>
        <v>0</v>
      </c>
      <c r="R771" s="18">
        <f>IF($A771&gt;30,R770,(R770-Q732+Q771)*(1+$B$7))</f>
        <v>9.9765548898722036E-4</v>
      </c>
      <c r="S771" s="18">
        <f t="shared" si="83"/>
        <v>0</v>
      </c>
    </row>
    <row r="772" spans="1:19">
      <c r="A772" s="10">
        <f>38</f>
        <v>38</v>
      </c>
      <c r="B772" s="18">
        <f>IF($A772&gt;30,0,(B732-MIN(MAX(C771,0),B732))+MIN(MAX(0,D771-(B732-MIN(MAX(C771,0),B732))),MAX(0,3*B732-(C771-MIN(MAX(C771,0),B732)))))</f>
        <v>0</v>
      </c>
      <c r="C772" s="18">
        <f>IF($A772&gt;30,C771,(C771-B732+B772)*(1+$B$7))</f>
        <v>89676</v>
      </c>
      <c r="D772" s="18">
        <f t="shared" si="78"/>
        <v>723638.06876839313</v>
      </c>
      <c r="E772" s="18">
        <f>IF($A772&gt;30,0,(E732-MIN(MAX(F771,0),E732))+MIN(MAX(0,G771-(E732-MIN(MAX(F771,0),E732))),MAX(0,3*E732-(F771-MIN(MAX(F771,0),E732)))))</f>
        <v>0</v>
      </c>
      <c r="F772" s="18">
        <f>IF($A772&gt;30,F771,(F771-E732+E772)*(1+$B$7))</f>
        <v>0</v>
      </c>
      <c r="G772" s="18">
        <f t="shared" si="79"/>
        <v>-1442520.6468498602</v>
      </c>
      <c r="H772" s="18">
        <f>IF($A772&gt;30,0,(H732-MIN(MAX(I771,0),H732))+MIN(MAX(0,J771-(H732-MIN(MAX(I771,0),H732))),MAX(0,3*H732-(I771-MIN(MAX(I771,0),H732)))))</f>
        <v>0</v>
      </c>
      <c r="I772" s="18">
        <f>IF($A772&gt;30,I771,(I771-H732+H772)*(1+$B$7))</f>
        <v>0</v>
      </c>
      <c r="J772" s="18">
        <f t="shared" si="80"/>
        <v>-45332.053792226798</v>
      </c>
      <c r="K772" s="18">
        <f>IF($A772&gt;30,0,(K732-MIN(MAX(L771,0),K732))+MIN(MAX(0,M771-(K732-MIN(MAX(L771,0),K732))),MAX(0,3*K732-(L771-MIN(MAX(L771,0),K732)))))</f>
        <v>0</v>
      </c>
      <c r="L772" s="18">
        <f>IF($A772&gt;30,L771,(L771-K732+K772)*(1+$B$7))</f>
        <v>0</v>
      </c>
      <c r="M772" s="18">
        <f t="shared" si="81"/>
        <v>-0.98972835718937857</v>
      </c>
      <c r="N772" s="18">
        <f>IF($A772&gt;30,0,(N732-MIN(MAX(O771,0),N732))+MIN(MAX(0,P771-(N732-MIN(MAX(O771,0),N732))),MAX(0,3*N732-(O771-MIN(MAX(O771,0),N732)))))</f>
        <v>0</v>
      </c>
      <c r="O772" s="18">
        <f>IF($A772&gt;30,O771,(O771-N732+N772)*(1+$B$7))</f>
        <v>3.1558042710338484E-2</v>
      </c>
      <c r="P772" s="18">
        <f t="shared" si="82"/>
        <v>0</v>
      </c>
      <c r="Q772" s="18">
        <f>IF($A772&gt;30,0,(Q732-MIN(MAX(R771,0),Q732))+MIN(MAX(0,S771-(Q732-MIN(MAX(R771,0),Q732))),MAX(0,3*Q732-(R771-MIN(MAX(R771,0),Q732)))))</f>
        <v>0</v>
      </c>
      <c r="R772" s="18">
        <f>IF($A772&gt;30,R771,(R771-Q732+Q772)*(1+$B$7))</f>
        <v>9.9765548898722036E-4</v>
      </c>
      <c r="S772" s="18">
        <f t="shared" si="83"/>
        <v>0</v>
      </c>
    </row>
    <row r="773" spans="1:19">
      <c r="A773" s="10">
        <f>39</f>
        <v>39</v>
      </c>
      <c r="B773" s="18">
        <f>IF($A773&gt;30,0,(B732-MIN(MAX(C772,0),B732))+MIN(MAX(0,D772-(B732-MIN(MAX(C772,0),B732))),MAX(0,3*B732-(C772-MIN(MAX(C772,0),B732)))))</f>
        <v>0</v>
      </c>
      <c r="C773" s="18">
        <f>IF($A773&gt;30,C772,(C772-B732+B773)*(1+$B$7))</f>
        <v>89676</v>
      </c>
      <c r="D773" s="18">
        <f t="shared" si="78"/>
        <v>723638.06876839313</v>
      </c>
      <c r="E773" s="18">
        <f>IF($A773&gt;30,0,(E732-MIN(MAX(F772,0),E732))+MIN(MAX(0,G772-(E732-MIN(MAX(F772,0),E732))),MAX(0,3*E732-(F772-MIN(MAX(F772,0),E732)))))</f>
        <v>0</v>
      </c>
      <c r="F773" s="18">
        <f>IF($A773&gt;30,F772,(F772-E732+E773)*(1+$B$7))</f>
        <v>0</v>
      </c>
      <c r="G773" s="18">
        <f t="shared" si="79"/>
        <v>-1442520.6468498602</v>
      </c>
      <c r="H773" s="18">
        <f>IF($A773&gt;30,0,(H732-MIN(MAX(I772,0),H732))+MIN(MAX(0,J772-(H732-MIN(MAX(I772,0),H732))),MAX(0,3*H732-(I772-MIN(MAX(I772,0),H732)))))</f>
        <v>0</v>
      </c>
      <c r="I773" s="18">
        <f>IF($A773&gt;30,I772,(I772-H732+H773)*(1+$B$7))</f>
        <v>0</v>
      </c>
      <c r="J773" s="18">
        <f t="shared" si="80"/>
        <v>-45332.053792226798</v>
      </c>
      <c r="K773" s="18">
        <f>IF($A773&gt;30,0,(K732-MIN(MAX(L772,0),K732))+MIN(MAX(0,M772-(K732-MIN(MAX(L772,0),K732))),MAX(0,3*K732-(L772-MIN(MAX(L772,0),K732)))))</f>
        <v>0</v>
      </c>
      <c r="L773" s="18">
        <f>IF($A773&gt;30,L772,(L772-K732+K773)*(1+$B$7))</f>
        <v>0</v>
      </c>
      <c r="M773" s="18">
        <f t="shared" si="81"/>
        <v>-0.98972835718937857</v>
      </c>
      <c r="N773" s="18">
        <f>IF($A773&gt;30,0,(N732-MIN(MAX(O772,0),N732))+MIN(MAX(0,P772-(N732-MIN(MAX(O772,0),N732))),MAX(0,3*N732-(O772-MIN(MAX(O772,0),N732)))))</f>
        <v>0</v>
      </c>
      <c r="O773" s="18">
        <f>IF($A773&gt;30,O772,(O772-N732+N773)*(1+$B$7))</f>
        <v>3.1558042710338484E-2</v>
      </c>
      <c r="P773" s="18">
        <f t="shared" si="82"/>
        <v>0</v>
      </c>
      <c r="Q773" s="18">
        <f>IF($A773&gt;30,0,(Q732-MIN(MAX(R772,0),Q732))+MIN(MAX(0,S772-(Q732-MIN(MAX(R772,0),Q732))),MAX(0,3*Q732-(R772-MIN(MAX(R772,0),Q732)))))</f>
        <v>0</v>
      </c>
      <c r="R773" s="18">
        <f>IF($A773&gt;30,R772,(R772-Q732+Q773)*(1+$B$7))</f>
        <v>9.9765548898722036E-4</v>
      </c>
      <c r="S773" s="18">
        <f t="shared" si="83"/>
        <v>0</v>
      </c>
    </row>
    <row r="774" spans="1:19">
      <c r="A774" s="10">
        <f>40</f>
        <v>40</v>
      </c>
      <c r="B774" s="18">
        <f>IF($A774&gt;30,0,(B732-MIN(MAX(C773,0),B732))+MIN(MAX(0,D773-(B732-MIN(MAX(C773,0),B732))),MAX(0,3*B732-(C773-MIN(MAX(C773,0),B732)))))</f>
        <v>0</v>
      </c>
      <c r="C774" s="18">
        <f>IF($A774&gt;30,C773,(C773-B732+B774)*(1+$B$7))</f>
        <v>89676</v>
      </c>
      <c r="D774" s="18">
        <f t="shared" si="78"/>
        <v>723638.06876839313</v>
      </c>
      <c r="E774" s="18">
        <f>IF($A774&gt;30,0,(E732-MIN(MAX(F773,0),E732))+MIN(MAX(0,G773-(E732-MIN(MAX(F773,0),E732))),MAX(0,3*E732-(F773-MIN(MAX(F773,0),E732)))))</f>
        <v>0</v>
      </c>
      <c r="F774" s="18">
        <f>IF($A774&gt;30,F773,(F773-E732+E774)*(1+$B$7))</f>
        <v>0</v>
      </c>
      <c r="G774" s="18">
        <f t="shared" si="79"/>
        <v>-1442520.6468498602</v>
      </c>
      <c r="H774" s="18">
        <f>IF($A774&gt;30,0,(H732-MIN(MAX(I773,0),H732))+MIN(MAX(0,J773-(H732-MIN(MAX(I773,0),H732))),MAX(0,3*H732-(I773-MIN(MAX(I773,0),H732)))))</f>
        <v>0</v>
      </c>
      <c r="I774" s="18">
        <f>IF($A774&gt;30,I773,(I773-H732+H774)*(1+$B$7))</f>
        <v>0</v>
      </c>
      <c r="J774" s="18">
        <f t="shared" si="80"/>
        <v>-45332.053792226798</v>
      </c>
      <c r="K774" s="18">
        <f>IF($A774&gt;30,0,(K732-MIN(MAX(L773,0),K732))+MIN(MAX(0,M773-(K732-MIN(MAX(L773,0),K732))),MAX(0,3*K732-(L773-MIN(MAX(L773,0),K732)))))</f>
        <v>0</v>
      </c>
      <c r="L774" s="18">
        <f>IF($A774&gt;30,L773,(L773-K732+K774)*(1+$B$7))</f>
        <v>0</v>
      </c>
      <c r="M774" s="18">
        <f t="shared" si="81"/>
        <v>-0.98972835718937857</v>
      </c>
      <c r="N774" s="18">
        <f>IF($A774&gt;30,0,(N732-MIN(MAX(O773,0),N732))+MIN(MAX(0,P773-(N732-MIN(MAX(O773,0),N732))),MAX(0,3*N732-(O773-MIN(MAX(O773,0),N732)))))</f>
        <v>0</v>
      </c>
      <c r="O774" s="18">
        <f>IF($A774&gt;30,O773,(O773-N732+N774)*(1+$B$7))</f>
        <v>3.1558042710338484E-2</v>
      </c>
      <c r="P774" s="18">
        <f t="shared" si="82"/>
        <v>0</v>
      </c>
      <c r="Q774" s="18">
        <f>IF($A774&gt;30,0,(Q732-MIN(MAX(R773,0),Q732))+MIN(MAX(0,S773-(Q732-MIN(MAX(R773,0),Q732))),MAX(0,3*Q732-(R773-MIN(MAX(R773,0),Q732)))))</f>
        <v>0</v>
      </c>
      <c r="R774" s="18">
        <f>IF($A774&gt;30,R773,(R773-Q732+Q774)*(1+$B$7))</f>
        <v>9.9765548898722036E-4</v>
      </c>
      <c r="S774" s="18">
        <f t="shared" si="83"/>
        <v>0</v>
      </c>
    </row>
    <row r="775" spans="1:19">
      <c r="B775" s="18">
        <f>C774+D774</f>
        <v>813314.06876839313</v>
      </c>
      <c r="E775" s="18">
        <f>F774+G774</f>
        <v>-1442520.6468498602</v>
      </c>
      <c r="H775" s="18">
        <f>I774+J774</f>
        <v>-45332.053792226798</v>
      </c>
      <c r="K775" s="18">
        <f>L774+M774</f>
        <v>-0.98972835718937857</v>
      </c>
      <c r="N775" s="18">
        <f>O774+P774</f>
        <v>3.1558042710338484E-2</v>
      </c>
      <c r="Q775" s="18">
        <f>R774+S774</f>
        <v>9.9765548898722036E-4</v>
      </c>
    </row>
    <row r="776" spans="1:19">
      <c r="A776" s="5" t="s">
        <v>266</v>
      </c>
      <c r="B776" s="18">
        <f>IFERROR(Q732-Q775*(Q732-N732)/(Q775-N775),Q732)</f>
        <v>45290.552801901307</v>
      </c>
    </row>
    <row r="778" spans="1:19">
      <c r="A778" s="2" t="s">
        <v>280</v>
      </c>
    </row>
    <row r="779" spans="1:19">
      <c r="B779" s="9">
        <f>0.03*$B$5</f>
        <v>30000</v>
      </c>
      <c r="E779" s="9">
        <f>0.075*$B$5</f>
        <v>75000</v>
      </c>
      <c r="H779" s="18">
        <f>IFERROR(E779-E822*(E779-B779)/(E822-B822),E779)</f>
        <v>44334.978626217839</v>
      </c>
      <c r="K779" s="18">
        <f>IFERROR(H779-H822*(H779-E779)/(H822-E822),H779)</f>
        <v>42979.605175117751</v>
      </c>
      <c r="N779" s="18">
        <f>IFERROR(K779-K822*(K779-H779)/(K822-H822),K779)</f>
        <v>42980.622745533765</v>
      </c>
      <c r="Q779" s="18">
        <f>IFERROR(N779-N822*(N779-K779)/(N822-K822),N779)</f>
        <v>42980.625283478978</v>
      </c>
    </row>
    <row r="780" spans="1:19">
      <c r="A780" s="25" t="s">
        <v>262</v>
      </c>
      <c r="B780" s="25" t="s">
        <v>263</v>
      </c>
      <c r="C780" s="25" t="s">
        <v>264</v>
      </c>
      <c r="D780" s="25" t="s">
        <v>265</v>
      </c>
      <c r="E780" s="25" t="s">
        <v>263</v>
      </c>
      <c r="F780" s="25" t="s">
        <v>264</v>
      </c>
      <c r="G780" s="25" t="s">
        <v>265</v>
      </c>
      <c r="H780" s="25" t="s">
        <v>263</v>
      </c>
      <c r="I780" s="25" t="s">
        <v>264</v>
      </c>
      <c r="J780" s="25" t="s">
        <v>265</v>
      </c>
      <c r="K780" s="25" t="s">
        <v>263</v>
      </c>
      <c r="L780" s="25" t="s">
        <v>264</v>
      </c>
      <c r="M780" s="25" t="s">
        <v>265</v>
      </c>
      <c r="N780" s="25" t="s">
        <v>263</v>
      </c>
      <c r="O780" s="25" t="s">
        <v>264</v>
      </c>
      <c r="P780" s="25" t="s">
        <v>265</v>
      </c>
      <c r="Q780" s="25" t="s">
        <v>263</v>
      </c>
      <c r="R780" s="25" t="s">
        <v>264</v>
      </c>
      <c r="S780" s="25" t="s">
        <v>265</v>
      </c>
    </row>
    <row r="781" spans="1:19">
      <c r="A781" s="3">
        <v>0</v>
      </c>
      <c r="C781" s="18">
        <f>MIN(5*B779,$B$5)</f>
        <v>150000</v>
      </c>
      <c r="D781" s="18">
        <f>$B$5-C781</f>
        <v>850000</v>
      </c>
      <c r="F781" s="18">
        <f>MIN(5*E779,$B$5)</f>
        <v>375000</v>
      </c>
      <c r="G781" s="18">
        <f>$B$5-F781</f>
        <v>625000</v>
      </c>
      <c r="I781" s="18">
        <f>MIN(5*H779,$B$5)</f>
        <v>221674.89313108919</v>
      </c>
      <c r="J781" s="18">
        <f>$B$5-I781</f>
        <v>778325.10686891084</v>
      </c>
      <c r="L781" s="18">
        <f>MIN(5*K779,$B$5)</f>
        <v>214898.02587558876</v>
      </c>
      <c r="M781" s="18">
        <f>$B$5-L781</f>
        <v>785101.97412441124</v>
      </c>
      <c r="O781" s="18">
        <f>MIN(5*N779,$B$5)</f>
        <v>214903.11372766882</v>
      </c>
      <c r="P781" s="18">
        <f>$B$5-O781</f>
        <v>785096.88627233123</v>
      </c>
      <c r="R781" s="18">
        <f>MIN(5*Q779,$B$5)</f>
        <v>214903.1264173949</v>
      </c>
      <c r="S781" s="18">
        <f>$B$5-R781</f>
        <v>785096.87358260504</v>
      </c>
    </row>
    <row r="782" spans="1:19">
      <c r="A782" s="10">
        <f>1</f>
        <v>1</v>
      </c>
      <c r="B782" s="18">
        <f>IF($A782&gt;30,0,(B779-MIN(MAX(C781,0),B779))+MIN(MAX(0,D781-(B779-MIN(MAX(C781,0),B779))),MAX(0,5*B779-(C781-MIN(MAX(C781,0),B779)))))</f>
        <v>30000</v>
      </c>
      <c r="C782" s="18">
        <f>IF($A782&gt;30,C781,(C781-B779+B782)*(1+$B$7))</f>
        <v>149460</v>
      </c>
      <c r="D782" s="18">
        <f t="shared" ref="D782:D821" si="84">IF($A782&gt;30,D781,(D781-B782)*(1+$B$6))</f>
        <v>844600</v>
      </c>
      <c r="E782" s="18">
        <f>IF($A782&gt;30,0,(E779-MIN(MAX(F781,0),E779))+MIN(MAX(0,G781-(E779-MIN(MAX(F781,0),E779))),MAX(0,5*E779-(F781-MIN(MAX(F781,0),E779)))))</f>
        <v>75000</v>
      </c>
      <c r="F782" s="18">
        <f>IF($A782&gt;30,F781,(F781-E779+E782)*(1+$B$7))</f>
        <v>373650</v>
      </c>
      <c r="G782" s="18">
        <f t="shared" ref="G782:G821" si="85">IF($A782&gt;30,G781,(G781-E782)*(1+$B$6))</f>
        <v>566500</v>
      </c>
      <c r="H782" s="18">
        <f>IF($A782&gt;30,0,(H779-MIN(MAX(I781,0),H779))+MIN(MAX(0,J781-(H779-MIN(MAX(I781,0),H779))),MAX(0,5*H779-(I781-MIN(MAX(I781,0),H779)))))</f>
        <v>44334.978626217839</v>
      </c>
      <c r="I782" s="18">
        <f>IF($A782&gt;30,I781,(I781-H779+H782)*(1+$B$7))</f>
        <v>220876.86351581727</v>
      </c>
      <c r="J782" s="18">
        <f t="shared" ref="J782:J821" si="86">IF($A782&gt;30,J781,(J781-H782)*(1+$B$6))</f>
        <v>756009.83208997385</v>
      </c>
      <c r="K782" s="18">
        <f>IF($A782&gt;30,0,(K779-MIN(MAX(L781,0),K779))+MIN(MAX(0,M781-(K779-MIN(MAX(L781,0),K779))),MAX(0,5*K779-(L781-MIN(MAX(L781,0),K779)))))</f>
        <v>42979.605175117758</v>
      </c>
      <c r="L782" s="18">
        <f>IF($A782&gt;30,L781,(L781-K779+K782)*(1+$B$7))</f>
        <v>214124.39298243664</v>
      </c>
      <c r="M782" s="18">
        <f t="shared" ref="M782:M821" si="87">IF($A782&gt;30,M781,(M781-K782)*(1+$B$6))</f>
        <v>764386.04001777235</v>
      </c>
      <c r="N782" s="18">
        <f>IF($A782&gt;30,0,(N779-MIN(MAX(O781,0),N779))+MIN(MAX(0,P781-(N779-MIN(MAX(O781,0),N779))),MAX(0,5*N779-(O781-MIN(MAX(O781,0),N779)))))</f>
        <v>42980.622745533765</v>
      </c>
      <c r="O782" s="18">
        <f>IF($A782&gt;30,O781,(O781-N779+N782)*(1+$B$7))</f>
        <v>214129.4625182492</v>
      </c>
      <c r="P782" s="18">
        <f t="shared" ref="P782:P821" si="88">IF($A782&gt;30,P781,(P781-N782)*(1+$B$6))</f>
        <v>764379.75143260148</v>
      </c>
      <c r="Q782" s="18">
        <f>IF($A782&gt;30,0,(Q779-MIN(MAX(R781,0),Q779))+MIN(MAX(0,S781-(Q779-MIN(MAX(R781,0),Q779))),MAX(0,5*Q779-(R781-MIN(MAX(R781,0),Q779)))))</f>
        <v>42980.625283478992</v>
      </c>
      <c r="R782" s="18">
        <f>IF($A782&gt;30,R781,(R781-Q779+Q782)*(1+$B$7))</f>
        <v>214129.47516229228</v>
      </c>
      <c r="S782" s="18">
        <f t="shared" ref="S782:S821" si="89">IF($A782&gt;30,S781,(S781-Q782)*(1+$B$6))</f>
        <v>764379.73574809986</v>
      </c>
    </row>
    <row r="783" spans="1:19">
      <c r="A783" s="10">
        <f>2</f>
        <v>2</v>
      </c>
      <c r="B783" s="18">
        <f>IF($A783&gt;30,0,(B779-MIN(MAX(C782,0),B779))+MIN(MAX(0,D782-(B779-MIN(MAX(C782,0),B779))),MAX(0,5*B779-(C782-MIN(MAX(C782,0),B779)))))</f>
        <v>30540</v>
      </c>
      <c r="C783" s="18">
        <f>IF($A783&gt;30,C782,(C782-B779+B783)*(1+$B$7))</f>
        <v>149460</v>
      </c>
      <c r="D783" s="18">
        <f t="shared" si="84"/>
        <v>838481.8</v>
      </c>
      <c r="E783" s="18">
        <f>IF($A783&gt;30,0,(E779-MIN(MAX(F782,0),E779))+MIN(MAX(0,G782-(E779-MIN(MAX(F782,0),E779))),MAX(0,5*E779-(F782-MIN(MAX(F782,0),E779)))))</f>
        <v>76350</v>
      </c>
      <c r="F783" s="18">
        <f>IF($A783&gt;30,F782,(F782-E779+E783)*(1+$B$7))</f>
        <v>373650</v>
      </c>
      <c r="G783" s="18">
        <f t="shared" si="85"/>
        <v>504854.5</v>
      </c>
      <c r="H783" s="18">
        <f>IF($A783&gt;30,0,(H779-MIN(MAX(I782,0),H779))+MIN(MAX(0,J782-(H779-MIN(MAX(I782,0),H779))),MAX(0,5*H779-(I782-MIN(MAX(I782,0),H779)))))</f>
        <v>45133.008241489762</v>
      </c>
      <c r="I783" s="18">
        <f>IF($A783&gt;30,I782,(I782-H779+H783)*(1+$B$7))</f>
        <v>220876.86351581727</v>
      </c>
      <c r="J783" s="18">
        <f t="shared" si="86"/>
        <v>732203.12856393866</v>
      </c>
      <c r="K783" s="18">
        <f>IF($A783&gt;30,0,(K779-MIN(MAX(L782,0),K779))+MIN(MAX(0,M782-(K779-MIN(MAX(L782,0),K779))),MAX(0,5*K779-(L782-MIN(MAX(L782,0),K779)))))</f>
        <v>43753.238068269886</v>
      </c>
      <c r="L783" s="18">
        <f>IF($A783&gt;30,L782,(L782-K779+K783)*(1+$B$7))</f>
        <v>214124.39298243664</v>
      </c>
      <c r="M783" s="18">
        <f t="shared" si="87"/>
        <v>742251.78600798757</v>
      </c>
      <c r="N783" s="18">
        <f>IF($A783&gt;30,0,(N779-MIN(MAX(O782,0),N779))+MIN(MAX(0,P782-(N779-MIN(MAX(O782,0),N779))),MAX(0,5*N779-(O782-MIN(MAX(O782,0),N779)))))</f>
        <v>43754.273954953387</v>
      </c>
      <c r="O783" s="18">
        <f>IF($A783&gt;30,O782,(O782-N779+N783)*(1+$B$7))</f>
        <v>214129.4625182492</v>
      </c>
      <c r="P783" s="18">
        <f t="shared" si="88"/>
        <v>742244.24180197751</v>
      </c>
      <c r="Q783" s="18">
        <f>IF($A783&gt;30,0,(Q779-MIN(MAX(R782,0),Q779))+MIN(MAX(0,S782-(Q779-MIN(MAX(R782,0),Q779))),MAX(0,5*Q779-(R782-MIN(MAX(R782,0),Q779)))))</f>
        <v>43754.276538581587</v>
      </c>
      <c r="R783" s="18">
        <f>IF($A783&gt;30,R782,(R782-Q779+Q783)*(1+$B$7))</f>
        <v>214129.47516229228</v>
      </c>
      <c r="S783" s="18">
        <f t="shared" si="89"/>
        <v>742244.22298580385</v>
      </c>
    </row>
    <row r="784" spans="1:19">
      <c r="A784" s="10">
        <f>3</f>
        <v>3</v>
      </c>
      <c r="B784" s="18">
        <f>IF($A784&gt;30,0,(B779-MIN(MAX(C783,0),B779))+MIN(MAX(0,D783-(B779-MIN(MAX(C783,0),B779))),MAX(0,5*B779-(C783-MIN(MAX(C783,0),B779)))))</f>
        <v>30540</v>
      </c>
      <c r="C784" s="18">
        <f>IF($A784&gt;30,C783,(C783-B779+B784)*(1+$B$7))</f>
        <v>149460</v>
      </c>
      <c r="D784" s="18">
        <f t="shared" si="84"/>
        <v>832180.05400000012</v>
      </c>
      <c r="E784" s="18">
        <f>IF($A784&gt;30,0,(E779-MIN(MAX(F783,0),E779))+MIN(MAX(0,G783-(E779-MIN(MAX(F783,0),E779))),MAX(0,5*E779-(F783-MIN(MAX(F783,0),E779)))))</f>
        <v>76350</v>
      </c>
      <c r="F784" s="18">
        <f>IF($A784&gt;30,F783,(F783-E779+E784)*(1+$B$7))</f>
        <v>373650</v>
      </c>
      <c r="G784" s="18">
        <f t="shared" si="85"/>
        <v>441359.63500000001</v>
      </c>
      <c r="H784" s="18">
        <f>IF($A784&gt;30,0,(H779-MIN(MAX(I783,0),H779))+MIN(MAX(0,J783-(H779-MIN(MAX(I783,0),H779))),MAX(0,5*H779-(I783-MIN(MAX(I783,0),H779)))))</f>
        <v>45133.008241489762</v>
      </c>
      <c r="I784" s="18">
        <f>IF($A784&gt;30,I783,(I783-H779+H784)*(1+$B$7))</f>
        <v>220876.86351581727</v>
      </c>
      <c r="J784" s="18">
        <f t="shared" si="86"/>
        <v>707682.22393212235</v>
      </c>
      <c r="K784" s="18">
        <f>IF($A784&gt;30,0,(K779-MIN(MAX(L783,0),K779))+MIN(MAX(0,M783-(K779-MIN(MAX(L783,0),K779))),MAX(0,5*K779-(L783-MIN(MAX(L783,0),K779)))))</f>
        <v>43753.238068269886</v>
      </c>
      <c r="L784" s="18">
        <f>IF($A784&gt;30,L783,(L783-K779+K784)*(1+$B$7))</f>
        <v>214124.39298243664</v>
      </c>
      <c r="M784" s="18">
        <f t="shared" si="87"/>
        <v>719453.50437790924</v>
      </c>
      <c r="N784" s="18">
        <f>IF($A784&gt;30,0,(N779-MIN(MAX(O783,0),N779))+MIN(MAX(0,P783-(N779-MIN(MAX(O783,0),N779))),MAX(0,5*N779-(O783-MIN(MAX(O783,0),N779)))))</f>
        <v>43754.273954953387</v>
      </c>
      <c r="O784" s="18">
        <f>IF($A784&gt;30,O783,(O783-N779+N784)*(1+$B$7))</f>
        <v>214129.4625182492</v>
      </c>
      <c r="P784" s="18">
        <f t="shared" si="88"/>
        <v>719444.66688243486</v>
      </c>
      <c r="Q784" s="18">
        <f>IF($A784&gt;30,0,(Q779-MIN(MAX(R783,0),Q779))+MIN(MAX(0,S783-(Q779-MIN(MAX(R783,0),Q779))),MAX(0,5*Q779-(R783-MIN(MAX(R783,0),Q779)))))</f>
        <v>43754.276538581587</v>
      </c>
      <c r="R784" s="18">
        <f>IF($A784&gt;30,R783,(R783-Q779+Q784)*(1+$B$7))</f>
        <v>214129.47516229228</v>
      </c>
      <c r="S784" s="18">
        <f t="shared" si="89"/>
        <v>719444.64484063897</v>
      </c>
    </row>
    <row r="785" spans="1:19">
      <c r="A785" s="10">
        <f>4</f>
        <v>4</v>
      </c>
      <c r="B785" s="18">
        <f>IF($A785&gt;30,0,(B779-MIN(MAX(C784,0),B779))+MIN(MAX(0,D784-(B779-MIN(MAX(C784,0),B779))),MAX(0,5*B779-(C784-MIN(MAX(C784,0),B779)))))</f>
        <v>30540</v>
      </c>
      <c r="C785" s="18">
        <f>IF($A785&gt;30,C784,(C784-B779+B785)*(1+$B$7))</f>
        <v>149460</v>
      </c>
      <c r="D785" s="18">
        <f t="shared" si="84"/>
        <v>825689.25562000019</v>
      </c>
      <c r="E785" s="18">
        <f>IF($A785&gt;30,0,(E779-MIN(MAX(F784,0),E779))+MIN(MAX(0,G784-(E779-MIN(MAX(F784,0),E779))),MAX(0,5*E779-(F784-MIN(MAX(F784,0),E779)))))</f>
        <v>76350</v>
      </c>
      <c r="F785" s="18">
        <f>IF($A785&gt;30,F784,(F784-E779+E785)*(1+$B$7))</f>
        <v>373650</v>
      </c>
      <c r="G785" s="18">
        <f t="shared" si="85"/>
        <v>375959.92405000003</v>
      </c>
      <c r="H785" s="18">
        <f>IF($A785&gt;30,0,(H779-MIN(MAX(I784,0),H779))+MIN(MAX(0,J784-(H779-MIN(MAX(I784,0),H779))),MAX(0,5*H779-(I784-MIN(MAX(I784,0),H779)))))</f>
        <v>45133.008241489762</v>
      </c>
      <c r="I785" s="18">
        <f>IF($A785&gt;30,I784,(I784-H779+H785)*(1+$B$7))</f>
        <v>220876.86351581727</v>
      </c>
      <c r="J785" s="18">
        <f t="shared" si="86"/>
        <v>682425.69216135156</v>
      </c>
      <c r="K785" s="18">
        <f>IF($A785&gt;30,0,(K779-MIN(MAX(L784,0),K779))+MIN(MAX(0,M784-(K779-MIN(MAX(L784,0),K779))),MAX(0,5*K779-(L784-MIN(MAX(L784,0),K779)))))</f>
        <v>43753.238068269886</v>
      </c>
      <c r="L785" s="18">
        <f>IF($A785&gt;30,L784,(L784-K779+K785)*(1+$B$7))</f>
        <v>214124.39298243664</v>
      </c>
      <c r="M785" s="18">
        <f t="shared" si="87"/>
        <v>695971.27429892856</v>
      </c>
      <c r="N785" s="18">
        <f>IF($A785&gt;30,0,(N779-MIN(MAX(O784,0),N779))+MIN(MAX(0,P784-(N779-MIN(MAX(O784,0),N779))),MAX(0,5*N779-(O784-MIN(MAX(O784,0),N779)))))</f>
        <v>43754.273954953387</v>
      </c>
      <c r="O785" s="18">
        <f>IF($A785&gt;30,O784,(O784-N779+N785)*(1+$B$7))</f>
        <v>214129.4625182492</v>
      </c>
      <c r="P785" s="18">
        <f t="shared" si="88"/>
        <v>695961.10471530596</v>
      </c>
      <c r="Q785" s="18">
        <f>IF($A785&gt;30,0,(Q779-MIN(MAX(R784,0),Q779))+MIN(MAX(0,S784-(Q779-MIN(MAX(R784,0),Q779))),MAX(0,5*Q779-(R784-MIN(MAX(R784,0),Q779)))))</f>
        <v>43754.276538581587</v>
      </c>
      <c r="R785" s="18">
        <f>IF($A785&gt;30,R784,(R784-Q779+Q785)*(1+$B$7))</f>
        <v>214129.47516229228</v>
      </c>
      <c r="S785" s="18">
        <f t="shared" si="89"/>
        <v>695961.07935111912</v>
      </c>
    </row>
    <row r="786" spans="1:19">
      <c r="A786" s="10">
        <f>5</f>
        <v>5</v>
      </c>
      <c r="B786" s="18">
        <f>IF($A786&gt;30,0,(B779-MIN(MAX(C785,0),B779))+MIN(MAX(0,D785-(B779-MIN(MAX(C785,0),B779))),MAX(0,5*B779-(C785-MIN(MAX(C785,0),B779)))))</f>
        <v>30540</v>
      </c>
      <c r="C786" s="18">
        <f>IF($A786&gt;30,C785,(C785-B779+B786)*(1+$B$7))</f>
        <v>149460</v>
      </c>
      <c r="D786" s="18">
        <f t="shared" si="84"/>
        <v>819003.73328860023</v>
      </c>
      <c r="E786" s="18">
        <f>IF($A786&gt;30,0,(E779-MIN(MAX(F785,0),E779))+MIN(MAX(0,G785-(E779-MIN(MAX(F785,0),E779))),MAX(0,5*E779-(F785-MIN(MAX(F785,0),E779)))))</f>
        <v>76350</v>
      </c>
      <c r="F786" s="18">
        <f>IF($A786&gt;30,F785,(F785-E779+E786)*(1+$B$7))</f>
        <v>373650</v>
      </c>
      <c r="G786" s="18">
        <f t="shared" si="85"/>
        <v>308598.22177150002</v>
      </c>
      <c r="H786" s="18">
        <f>IF($A786&gt;30,0,(H779-MIN(MAX(I785,0),H779))+MIN(MAX(0,J785-(H779-MIN(MAX(I785,0),H779))),MAX(0,5*H779-(I785-MIN(MAX(I785,0),H779)))))</f>
        <v>45133.008241489762</v>
      </c>
      <c r="I786" s="18">
        <f>IF($A786&gt;30,I785,(I785-H779+H786)*(1+$B$7))</f>
        <v>220876.86351581727</v>
      </c>
      <c r="J786" s="18">
        <f t="shared" si="86"/>
        <v>656411.46443745762</v>
      </c>
      <c r="K786" s="18">
        <f>IF($A786&gt;30,0,(K779-MIN(MAX(L785,0),K779))+MIN(MAX(0,M785-(K779-MIN(MAX(L785,0),K779))),MAX(0,5*K779-(L785-MIN(MAX(L785,0),K779)))))</f>
        <v>43753.238068269886</v>
      </c>
      <c r="L786" s="18">
        <f>IF($A786&gt;30,L785,(L785-K779+K786)*(1+$B$7))</f>
        <v>214124.39298243664</v>
      </c>
      <c r="M786" s="18">
        <f t="shared" si="87"/>
        <v>671784.57731757837</v>
      </c>
      <c r="N786" s="18">
        <f>IF($A786&gt;30,0,(N779-MIN(MAX(O785,0),N779))+MIN(MAX(0,P785-(N779-MIN(MAX(O785,0),N779))),MAX(0,5*N779-(O785-MIN(MAX(O785,0),N779)))))</f>
        <v>43754.273954953387</v>
      </c>
      <c r="O786" s="18">
        <f>IF($A786&gt;30,O785,(O785-N779+N786)*(1+$B$7))</f>
        <v>214129.4625182492</v>
      </c>
      <c r="P786" s="18">
        <f t="shared" si="88"/>
        <v>671773.03568316309</v>
      </c>
      <c r="Q786" s="18">
        <f>IF($A786&gt;30,0,(Q779-MIN(MAX(R785,0),Q779))+MIN(MAX(0,S785-(Q779-MIN(MAX(R785,0),Q779))),MAX(0,5*Q779-(R785-MIN(MAX(R785,0),Q779)))))</f>
        <v>43754.276538581587</v>
      </c>
      <c r="R786" s="18">
        <f>IF($A786&gt;30,R785,(R785-Q779+Q786)*(1+$B$7))</f>
        <v>214129.47516229228</v>
      </c>
      <c r="S786" s="18">
        <f t="shared" si="89"/>
        <v>671773.00689691363</v>
      </c>
    </row>
    <row r="787" spans="1:19">
      <c r="A787" s="10">
        <f>6</f>
        <v>6</v>
      </c>
      <c r="B787" s="18">
        <f>IF($A787&gt;30,0,(B779-MIN(MAX(C786,0),B779))+MIN(MAX(0,D786-(B779-MIN(MAX(C786,0),B779))),MAX(0,5*B779-(C786-MIN(MAX(C786,0),B779)))))</f>
        <v>30540</v>
      </c>
      <c r="C787" s="18">
        <f>IF($A787&gt;30,C786,(C786-B779+B787)*(1+$B$7))</f>
        <v>149460</v>
      </c>
      <c r="D787" s="18">
        <f t="shared" si="84"/>
        <v>812117.6452872582</v>
      </c>
      <c r="E787" s="18">
        <f>IF($A787&gt;30,0,(E779-MIN(MAX(F786,0),E779))+MIN(MAX(0,G786-(E779-MIN(MAX(F786,0),E779))),MAX(0,5*E779-(F786-MIN(MAX(F786,0),E779)))))</f>
        <v>76350</v>
      </c>
      <c r="F787" s="18">
        <f>IF($A787&gt;30,F786,(F786-E779+E787)*(1+$B$7))</f>
        <v>373650</v>
      </c>
      <c r="G787" s="18">
        <f t="shared" si="85"/>
        <v>239215.66842464503</v>
      </c>
      <c r="H787" s="18">
        <f>IF($A787&gt;30,0,(H779-MIN(MAX(I786,0),H779))+MIN(MAX(0,J786-(H779-MIN(MAX(I786,0),H779))),MAX(0,5*H779-(I786-MIN(MAX(I786,0),H779)))))</f>
        <v>45133.008241489762</v>
      </c>
      <c r="I787" s="18">
        <f>IF($A787&gt;30,I786,(I786-H779+H787)*(1+$B$7))</f>
        <v>220876.86351581727</v>
      </c>
      <c r="J787" s="18">
        <f t="shared" si="86"/>
        <v>629616.80988184689</v>
      </c>
      <c r="K787" s="18">
        <f>IF($A787&gt;30,0,(K779-MIN(MAX(L786,0),K779))+MIN(MAX(0,M786-(K779-MIN(MAX(L786,0),K779))),MAX(0,5*K779-(L786-MIN(MAX(L786,0),K779)))))</f>
        <v>43753.238068269886</v>
      </c>
      <c r="L787" s="18">
        <f>IF($A787&gt;30,L786,(L786-K779+K787)*(1+$B$7))</f>
        <v>214124.39298243664</v>
      </c>
      <c r="M787" s="18">
        <f t="shared" si="87"/>
        <v>646872.27942678775</v>
      </c>
      <c r="N787" s="18">
        <f>IF($A787&gt;30,0,(N779-MIN(MAX(O786,0),N779))+MIN(MAX(0,P786-(N779-MIN(MAX(O786,0),N779))),MAX(0,5*N779-(O786-MIN(MAX(O786,0),N779)))))</f>
        <v>43754.273954953387</v>
      </c>
      <c r="O787" s="18">
        <f>IF($A787&gt;30,O786,(O786-N779+N787)*(1+$B$7))</f>
        <v>214129.4625182492</v>
      </c>
      <c r="P787" s="18">
        <f t="shared" si="88"/>
        <v>646859.32458005601</v>
      </c>
      <c r="Q787" s="18">
        <f>IF($A787&gt;30,0,(Q779-MIN(MAX(R786,0),Q779))+MIN(MAX(0,S786-(Q779-MIN(MAX(R786,0),Q779))),MAX(0,5*Q779-(R786-MIN(MAX(R786,0),Q779)))))</f>
        <v>43754.276538581587</v>
      </c>
      <c r="R787" s="18">
        <f>IF($A787&gt;30,R786,(R786-Q779+Q787)*(1+$B$7))</f>
        <v>214129.47516229228</v>
      </c>
      <c r="S787" s="18">
        <f t="shared" si="89"/>
        <v>646859.29226908204</v>
      </c>
    </row>
    <row r="788" spans="1:19">
      <c r="A788" s="10">
        <f>7</f>
        <v>7</v>
      </c>
      <c r="B788" s="18">
        <f>IF($A788&gt;30,0,(B779-MIN(MAX(C787,0),B779))+MIN(MAX(0,D787-(B779-MIN(MAX(C787,0),B779))),MAX(0,5*B779-(C787-MIN(MAX(C787,0),B779)))))</f>
        <v>30540</v>
      </c>
      <c r="C788" s="18">
        <f>IF($A788&gt;30,C787,(C787-B779+B788)*(1+$B$7))</f>
        <v>149460</v>
      </c>
      <c r="D788" s="18">
        <f t="shared" si="84"/>
        <v>805024.97464587598</v>
      </c>
      <c r="E788" s="18">
        <f>IF($A788&gt;30,0,(E779-MIN(MAX(F787,0),E779))+MIN(MAX(0,G787-(E779-MIN(MAX(F787,0),E779))),MAX(0,5*E779-(F787-MIN(MAX(F787,0),E779)))))</f>
        <v>76350</v>
      </c>
      <c r="F788" s="18">
        <f>IF($A788&gt;30,F787,(F787-E779+E788)*(1+$B$7))</f>
        <v>373650</v>
      </c>
      <c r="G788" s="18">
        <f t="shared" si="85"/>
        <v>167751.63847738437</v>
      </c>
      <c r="H788" s="18">
        <f>IF($A788&gt;30,0,(H779-MIN(MAX(I787,0),H779))+MIN(MAX(0,J787-(H779-MIN(MAX(I787,0),H779))),MAX(0,5*H779-(I787-MIN(MAX(I787,0),H779)))))</f>
        <v>45133.008241489762</v>
      </c>
      <c r="I788" s="18">
        <f>IF($A788&gt;30,I787,(I787-H779+H788)*(1+$B$7))</f>
        <v>220876.86351581727</v>
      </c>
      <c r="J788" s="18">
        <f t="shared" si="86"/>
        <v>602018.31568956783</v>
      </c>
      <c r="K788" s="18">
        <f>IF($A788&gt;30,0,(K779-MIN(MAX(L787,0),K779))+MIN(MAX(0,M787-(K779-MIN(MAX(L787,0),K779))),MAX(0,5*K779-(L787-MIN(MAX(L787,0),K779)))))</f>
        <v>43753.238068269886</v>
      </c>
      <c r="L788" s="18">
        <f>IF($A788&gt;30,L787,(L787-K779+K788)*(1+$B$7))</f>
        <v>214124.39298243664</v>
      </c>
      <c r="M788" s="18">
        <f t="shared" si="87"/>
        <v>621212.61259927333</v>
      </c>
      <c r="N788" s="18">
        <f>IF($A788&gt;30,0,(N779-MIN(MAX(O787,0),N779))+MIN(MAX(0,P787-(N779-MIN(MAX(O787,0),N779))),MAX(0,5*N779-(O787-MIN(MAX(O787,0),N779)))))</f>
        <v>43754.273954953387</v>
      </c>
      <c r="O788" s="18">
        <f>IF($A788&gt;30,O787,(O787-N779+N788)*(1+$B$7))</f>
        <v>214129.4625182492</v>
      </c>
      <c r="P788" s="18">
        <f t="shared" si="88"/>
        <v>621198.20214385574</v>
      </c>
      <c r="Q788" s="18">
        <f>IF($A788&gt;30,0,(Q779-MIN(MAX(R787,0),Q779))+MIN(MAX(0,S787-(Q779-MIN(MAX(R787,0),Q779))),MAX(0,5*Q779-(R787-MIN(MAX(R787,0),Q779)))))</f>
        <v>43754.276538581587</v>
      </c>
      <c r="R788" s="18">
        <f>IF($A788&gt;30,R787,(R787-Q779+Q788)*(1+$B$7))</f>
        <v>214129.47516229228</v>
      </c>
      <c r="S788" s="18">
        <f t="shared" si="89"/>
        <v>621198.16620241548</v>
      </c>
    </row>
    <row r="789" spans="1:19">
      <c r="A789" s="10">
        <f>8</f>
        <v>8</v>
      </c>
      <c r="B789" s="18">
        <f>IF($A789&gt;30,0,(B779-MIN(MAX(C788,0),B779))+MIN(MAX(0,D788-(B779-MIN(MAX(C788,0),B779))),MAX(0,5*B779-(C788-MIN(MAX(C788,0),B779)))))</f>
        <v>30540</v>
      </c>
      <c r="C789" s="18">
        <f>IF($A789&gt;30,C788,(C788-B779+B789)*(1+$B$7))</f>
        <v>149460</v>
      </c>
      <c r="D789" s="18">
        <f t="shared" si="84"/>
        <v>797719.5238852523</v>
      </c>
      <c r="E789" s="18">
        <f>IF($A789&gt;30,0,(E779-MIN(MAX(F788,0),E779))+MIN(MAX(0,G788-(E779-MIN(MAX(F788,0),E779))),MAX(0,5*E779-(F788-MIN(MAX(F788,0),E779)))))</f>
        <v>76350</v>
      </c>
      <c r="F789" s="18">
        <f>IF($A789&gt;30,F788,(F788-E779+E789)*(1+$B$7))</f>
        <v>373650</v>
      </c>
      <c r="G789" s="18">
        <f t="shared" si="85"/>
        <v>94143.687631705907</v>
      </c>
      <c r="H789" s="18">
        <f>IF($A789&gt;30,0,(H779-MIN(MAX(I788,0),H779))+MIN(MAX(0,J788-(H779-MIN(MAX(I788,0),H779))),MAX(0,5*H779-(I788-MIN(MAX(I788,0),H779)))))</f>
        <v>45133.008241489762</v>
      </c>
      <c r="I789" s="18">
        <f>IF($A789&gt;30,I788,(I788-H779+H789)*(1+$B$7))</f>
        <v>220876.86351581727</v>
      </c>
      <c r="J789" s="18">
        <f t="shared" si="86"/>
        <v>573591.8666715204</v>
      </c>
      <c r="K789" s="18">
        <f>IF($A789&gt;30,0,(K779-MIN(MAX(L788,0),K779))+MIN(MAX(0,M788-(K779-MIN(MAX(L788,0),K779))),MAX(0,5*K779-(L788-MIN(MAX(L788,0),K779)))))</f>
        <v>43753.238068269886</v>
      </c>
      <c r="L789" s="18">
        <f>IF($A789&gt;30,L788,(L788-K779+K789)*(1+$B$7))</f>
        <v>214124.39298243664</v>
      </c>
      <c r="M789" s="18">
        <f t="shared" si="87"/>
        <v>594783.15576693357</v>
      </c>
      <c r="N789" s="18">
        <f>IF($A789&gt;30,0,(N779-MIN(MAX(O788,0),N779))+MIN(MAX(0,P788-(N779-MIN(MAX(O788,0),N779))),MAX(0,5*N779-(O788-MIN(MAX(O788,0),N779)))))</f>
        <v>43754.273954953387</v>
      </c>
      <c r="O789" s="18">
        <f>IF($A789&gt;30,O788,(O788-N779+N789)*(1+$B$7))</f>
        <v>214129.4625182492</v>
      </c>
      <c r="P789" s="18">
        <f t="shared" si="88"/>
        <v>594767.24603456946</v>
      </c>
      <c r="Q789" s="18">
        <f>IF($A789&gt;30,0,(Q779-MIN(MAX(R788,0),Q779))+MIN(MAX(0,S788-(Q779-MIN(MAX(R788,0),Q779))),MAX(0,5*Q779-(R788-MIN(MAX(R788,0),Q779)))))</f>
        <v>43754.276538581587</v>
      </c>
      <c r="R789" s="18">
        <f>IF($A789&gt;30,R788,(R788-Q779+Q789)*(1+$B$7))</f>
        <v>214129.47516229228</v>
      </c>
      <c r="S789" s="18">
        <f t="shared" si="89"/>
        <v>594767.20635374892</v>
      </c>
    </row>
    <row r="790" spans="1:19">
      <c r="A790" s="10">
        <f>9</f>
        <v>9</v>
      </c>
      <c r="B790" s="18">
        <f>IF($A790&gt;30,0,(B779-MIN(MAX(C789,0),B779))+MIN(MAX(0,D789-(B779-MIN(MAX(C789,0),B779))),MAX(0,5*B779-(C789-MIN(MAX(C789,0),B779)))))</f>
        <v>30540</v>
      </c>
      <c r="C790" s="18">
        <f>IF($A790&gt;30,C789,(C789-B779+B790)*(1+$B$7))</f>
        <v>149460</v>
      </c>
      <c r="D790" s="18">
        <f t="shared" si="84"/>
        <v>790194.90960180992</v>
      </c>
      <c r="E790" s="18">
        <f>IF($A790&gt;30,0,(E779-MIN(MAX(F789,0),E779))+MIN(MAX(0,G789-(E779-MIN(MAX(F789,0),E779))),MAX(0,5*E779-(F789-MIN(MAX(F789,0),E779)))))</f>
        <v>76350</v>
      </c>
      <c r="F790" s="18">
        <f>IF($A790&gt;30,F789,(F789-E779+E790)*(1+$B$7))</f>
        <v>373650</v>
      </c>
      <c r="G790" s="18">
        <f t="shared" si="85"/>
        <v>18327.498260657085</v>
      </c>
      <c r="H790" s="18">
        <f>IF($A790&gt;30,0,(H779-MIN(MAX(I789,0),H779))+MIN(MAX(0,J789-(H779-MIN(MAX(I789,0),H779))),MAX(0,5*H779-(I789-MIN(MAX(I789,0),H779)))))</f>
        <v>45133.008241489762</v>
      </c>
      <c r="I790" s="18">
        <f>IF($A790&gt;30,I789,(I789-H779+H790)*(1+$B$7))</f>
        <v>220876.86351581727</v>
      </c>
      <c r="J790" s="18">
        <f t="shared" si="86"/>
        <v>544312.62418293161</v>
      </c>
      <c r="K790" s="18">
        <f>IF($A790&gt;30,0,(K779-MIN(MAX(L789,0),K779))+MIN(MAX(0,M789-(K779-MIN(MAX(L789,0),K779))),MAX(0,5*K779-(L789-MIN(MAX(L789,0),K779)))))</f>
        <v>43753.238068269886</v>
      </c>
      <c r="L790" s="18">
        <f>IF($A790&gt;30,L789,(L789-K779+K790)*(1+$B$7))</f>
        <v>214124.39298243664</v>
      </c>
      <c r="M790" s="18">
        <f t="shared" si="87"/>
        <v>567560.81522962358</v>
      </c>
      <c r="N790" s="18">
        <f>IF($A790&gt;30,0,(N779-MIN(MAX(O789,0),N779))+MIN(MAX(0,P789-(N779-MIN(MAX(O789,0),N779))),MAX(0,5*N779-(O789-MIN(MAX(O789,0),N779)))))</f>
        <v>43754.273954953387</v>
      </c>
      <c r="O790" s="18">
        <f>IF($A790&gt;30,O789,(O789-N779+N790)*(1+$B$7))</f>
        <v>214129.4625182492</v>
      </c>
      <c r="P790" s="18">
        <f t="shared" si="88"/>
        <v>567543.36124200455</v>
      </c>
      <c r="Q790" s="18">
        <f>IF($A790&gt;30,0,(Q779-MIN(MAX(R789,0),Q779))+MIN(MAX(0,S789-(Q779-MIN(MAX(R789,0),Q779))),MAX(0,5*Q779-(R789-MIN(MAX(R789,0),Q779)))))</f>
        <v>43754.276538581587</v>
      </c>
      <c r="R790" s="18">
        <f>IF($A790&gt;30,R789,(R789-Q779+Q790)*(1+$B$7))</f>
        <v>214129.47516229228</v>
      </c>
      <c r="S790" s="18">
        <f t="shared" si="89"/>
        <v>567543.31770962232</v>
      </c>
    </row>
    <row r="791" spans="1:19">
      <c r="A791" s="10">
        <f>10</f>
        <v>10</v>
      </c>
      <c r="B791" s="18">
        <f>IF($A791&gt;30,0,(B779-MIN(MAX(C790,0),B779))+MIN(MAX(0,D790-(B779-MIN(MAX(C790,0),B779))),MAX(0,5*B779-(C790-MIN(MAX(C790,0),B779)))))</f>
        <v>30540</v>
      </c>
      <c r="C791" s="18">
        <f>IF($A791&gt;30,C790,(C790-B779+B791)*(1+$B$7))</f>
        <v>149460</v>
      </c>
      <c r="D791" s="18">
        <f t="shared" si="84"/>
        <v>782444.55688986427</v>
      </c>
      <c r="E791" s="18">
        <f>IF($A791&gt;30,0,(E779-MIN(MAX(F790,0),E779))+MIN(MAX(0,G790-(E779-MIN(MAX(F790,0),E779))),MAX(0,5*E779-(F790-MIN(MAX(F790,0),E779)))))</f>
        <v>18327.498260657085</v>
      </c>
      <c r="F791" s="18">
        <f>IF($A791&gt;30,F790,(F790-E779+E791)*(1+$B$7))</f>
        <v>315836.3792669187</v>
      </c>
      <c r="G791" s="18">
        <f t="shared" si="85"/>
        <v>0</v>
      </c>
      <c r="H791" s="18">
        <f>IF($A791&gt;30,0,(H779-MIN(MAX(I790,0),H779))+MIN(MAX(0,J790-(H779-MIN(MAX(I790,0),H779))),MAX(0,5*H779-(I790-MIN(MAX(I790,0),H779)))))</f>
        <v>45133.008241489762</v>
      </c>
      <c r="I791" s="18">
        <f>IF($A791&gt;30,I790,(I790-H779+H791)*(1+$B$7))</f>
        <v>220876.86351581727</v>
      </c>
      <c r="J791" s="18">
        <f t="shared" si="86"/>
        <v>514155.00441968511</v>
      </c>
      <c r="K791" s="18">
        <f>IF($A791&gt;30,0,(K779-MIN(MAX(L790,0),K779))+MIN(MAX(0,M790-(K779-MIN(MAX(L790,0),K779))),MAX(0,5*K779-(L790-MIN(MAX(L790,0),K779)))))</f>
        <v>43753.238068269886</v>
      </c>
      <c r="L791" s="18">
        <f>IF($A791&gt;30,L790,(L790-K779+K791)*(1+$B$7))</f>
        <v>214124.39298243664</v>
      </c>
      <c r="M791" s="18">
        <f t="shared" si="87"/>
        <v>539521.80447619432</v>
      </c>
      <c r="N791" s="18">
        <f>IF($A791&gt;30,0,(N779-MIN(MAX(O790,0),N779))+MIN(MAX(0,P790-(N779-MIN(MAX(O790,0),N779))),MAX(0,5*N779-(O790-MIN(MAX(O790,0),N779)))))</f>
        <v>43754.273954953387</v>
      </c>
      <c r="O791" s="18">
        <f>IF($A791&gt;30,O790,(O790-N779+N791)*(1+$B$7))</f>
        <v>214129.4625182492</v>
      </c>
      <c r="P791" s="18">
        <f t="shared" si="88"/>
        <v>539502.75990566274</v>
      </c>
      <c r="Q791" s="18">
        <f>IF($A791&gt;30,0,(Q779-MIN(MAX(R790,0),Q779))+MIN(MAX(0,S790-(Q779-MIN(MAX(R790,0),Q779))),MAX(0,5*Q779-(R790-MIN(MAX(R790,0),Q779)))))</f>
        <v>43754.276538581587</v>
      </c>
      <c r="R791" s="18">
        <f>IF($A791&gt;30,R790,(R790-Q779+Q791)*(1+$B$7))</f>
        <v>214129.47516229228</v>
      </c>
      <c r="S791" s="18">
        <f t="shared" si="89"/>
        <v>539502.71240617195</v>
      </c>
    </row>
    <row r="792" spans="1:19">
      <c r="A792" s="10">
        <f>11</f>
        <v>11</v>
      </c>
      <c r="B792" s="18">
        <f>IF($A792&gt;30,0,(B779-MIN(MAX(C791,0),B779))+MIN(MAX(0,D791-(B779-MIN(MAX(C791,0),B779))),MAX(0,5*B779-(C791-MIN(MAX(C791,0),B779)))))</f>
        <v>30540</v>
      </c>
      <c r="C792" s="18">
        <f>IF($A792&gt;30,C791,(C791-B779+B792)*(1+$B$7))</f>
        <v>149460</v>
      </c>
      <c r="D792" s="18">
        <f t="shared" si="84"/>
        <v>774461.69359656016</v>
      </c>
      <c r="E792" s="18">
        <f>IF($A792&gt;30,0,(E779-MIN(MAX(F791,0),E779))+MIN(MAX(0,G791-(E779-MIN(MAX(F791,0),E779))),MAX(0,5*E779-(F791-MIN(MAX(F791,0),E779)))))</f>
        <v>0</v>
      </c>
      <c r="F792" s="18">
        <f>IF($A792&gt;30,F791,(F791-E779+E792)*(1+$B$7))</f>
        <v>239969.36830155778</v>
      </c>
      <c r="G792" s="18">
        <f t="shared" si="85"/>
        <v>0</v>
      </c>
      <c r="H792" s="18">
        <f>IF($A792&gt;30,0,(H779-MIN(MAX(I791,0),H779))+MIN(MAX(0,J791-(H779-MIN(MAX(I791,0),H779))),MAX(0,5*H779-(I791-MIN(MAX(I791,0),H779)))))</f>
        <v>45133.008241489762</v>
      </c>
      <c r="I792" s="18">
        <f>IF($A792&gt;30,I791,(I791-H779+H792)*(1+$B$7))</f>
        <v>220876.86351581727</v>
      </c>
      <c r="J792" s="18">
        <f t="shared" si="86"/>
        <v>483092.65606354125</v>
      </c>
      <c r="K792" s="18">
        <f>IF($A792&gt;30,0,(K779-MIN(MAX(L791,0),K779))+MIN(MAX(0,M791-(K779-MIN(MAX(L791,0),K779))),MAX(0,5*K779-(L791-MIN(MAX(L791,0),K779)))))</f>
        <v>43753.238068269886</v>
      </c>
      <c r="L792" s="18">
        <f>IF($A792&gt;30,L791,(L791-K779+K792)*(1+$B$7))</f>
        <v>214124.39298243664</v>
      </c>
      <c r="M792" s="18">
        <f t="shared" si="87"/>
        <v>510641.62340016215</v>
      </c>
      <c r="N792" s="18">
        <f>IF($A792&gt;30,0,(N779-MIN(MAX(O791,0),N779))+MIN(MAX(0,P791-(N779-MIN(MAX(O791,0),N779))),MAX(0,5*N779-(O791-MIN(MAX(O791,0),N779)))))</f>
        <v>43754.273954953387</v>
      </c>
      <c r="O792" s="18">
        <f>IF($A792&gt;30,O791,(O791-N779+N792)*(1+$B$7))</f>
        <v>214129.4625182492</v>
      </c>
      <c r="P792" s="18">
        <f t="shared" si="88"/>
        <v>510620.94052923063</v>
      </c>
      <c r="Q792" s="18">
        <f>IF($A792&gt;30,0,(Q779-MIN(MAX(R791,0),Q779))+MIN(MAX(0,S791-(Q779-MIN(MAX(R791,0),Q779))),MAX(0,5*Q779-(R791-MIN(MAX(R791,0),Q779)))))</f>
        <v>43754.276538581587</v>
      </c>
      <c r="R792" s="18">
        <f>IF($A792&gt;30,R791,(R791-Q779+Q792)*(1+$B$7))</f>
        <v>214129.47516229228</v>
      </c>
      <c r="S792" s="18">
        <f t="shared" si="89"/>
        <v>510620.88894361811</v>
      </c>
    </row>
    <row r="793" spans="1:19">
      <c r="A793" s="10">
        <f>12</f>
        <v>12</v>
      </c>
      <c r="B793" s="18">
        <f>IF($A793&gt;30,0,(B779-MIN(MAX(C792,0),B779))+MIN(MAX(0,D792-(B779-MIN(MAX(C792,0),B779))),MAX(0,5*B779-(C792-MIN(MAX(C792,0),B779)))))</f>
        <v>30540</v>
      </c>
      <c r="C793" s="18">
        <f>IF($A793&gt;30,C792,(C792-B779+B793)*(1+$B$7))</f>
        <v>149460</v>
      </c>
      <c r="D793" s="18">
        <f t="shared" si="84"/>
        <v>766239.34440445702</v>
      </c>
      <c r="E793" s="18">
        <f>IF($A793&gt;30,0,(E779-MIN(MAX(F792,0),E779))+MIN(MAX(0,G792-(E779-MIN(MAX(F792,0),E779))),MAX(0,5*E779-(F792-MIN(MAX(F792,0),E779)))))</f>
        <v>0</v>
      </c>
      <c r="F793" s="18">
        <f>IF($A793&gt;30,F792,(F792-E779+E793)*(1+$B$7))</f>
        <v>164375.47857567217</v>
      </c>
      <c r="G793" s="18">
        <f t="shared" si="85"/>
        <v>0</v>
      </c>
      <c r="H793" s="18">
        <f>IF($A793&gt;30,0,(H779-MIN(MAX(I792,0),H779))+MIN(MAX(0,J792-(H779-MIN(MAX(I792,0),H779))),MAX(0,5*H779-(I792-MIN(MAX(I792,0),H779)))))</f>
        <v>45133.008241489762</v>
      </c>
      <c r="I793" s="18">
        <f>IF($A793&gt;30,I792,(I792-H779+H793)*(1+$B$7))</f>
        <v>220876.86351581727</v>
      </c>
      <c r="J793" s="18">
        <f t="shared" si="86"/>
        <v>451098.43725671305</v>
      </c>
      <c r="K793" s="18">
        <f>IF($A793&gt;30,0,(K779-MIN(MAX(L792,0),K779))+MIN(MAX(0,M792-(K779-MIN(MAX(L792,0),K779))),MAX(0,5*K779-(L792-MIN(MAX(L792,0),K779)))))</f>
        <v>43753.238068269886</v>
      </c>
      <c r="L793" s="18">
        <f>IF($A793&gt;30,L792,(L792-K779+K793)*(1+$B$7))</f>
        <v>214124.39298243664</v>
      </c>
      <c r="M793" s="18">
        <f t="shared" si="87"/>
        <v>480895.03689184907</v>
      </c>
      <c r="N793" s="18">
        <f>IF($A793&gt;30,0,(N779-MIN(MAX(O792,0),N779))+MIN(MAX(0,P792-(N779-MIN(MAX(O792,0),N779))),MAX(0,5*N779-(O792-MIN(MAX(O792,0),N779)))))</f>
        <v>43754.273954953387</v>
      </c>
      <c r="O793" s="18">
        <f>IF($A793&gt;30,O792,(O792-N779+N793)*(1+$B$7))</f>
        <v>214129.4625182492</v>
      </c>
      <c r="P793" s="18">
        <f t="shared" si="88"/>
        <v>480872.66657150554</v>
      </c>
      <c r="Q793" s="18">
        <f>IF($A793&gt;30,0,(Q779-MIN(MAX(R792,0),Q779))+MIN(MAX(0,S792-(Q779-MIN(MAX(R792,0),Q779))),MAX(0,5*Q779-(R792-MIN(MAX(R792,0),Q779)))))</f>
        <v>43754.276538581587</v>
      </c>
      <c r="R793" s="18">
        <f>IF($A793&gt;30,R792,(R792-Q779+Q793)*(1+$B$7))</f>
        <v>214129.47516229228</v>
      </c>
      <c r="S793" s="18">
        <f t="shared" si="89"/>
        <v>480872.61077718763</v>
      </c>
    </row>
    <row r="794" spans="1:19">
      <c r="A794" s="10">
        <f>13</f>
        <v>13</v>
      </c>
      <c r="B794" s="18">
        <f>IF($A794&gt;30,0,(B779-MIN(MAX(C793,0),B779))+MIN(MAX(0,D793-(B779-MIN(MAX(C793,0),B779))),MAX(0,5*B779-(C793-MIN(MAX(C793,0),B779)))))</f>
        <v>30540</v>
      </c>
      <c r="C794" s="18">
        <f>IF($A794&gt;30,C793,(C793-B779+B794)*(1+$B$7))</f>
        <v>149460</v>
      </c>
      <c r="D794" s="18">
        <f t="shared" si="84"/>
        <v>757770.32473659073</v>
      </c>
      <c r="E794" s="18">
        <f>IF($A794&gt;30,0,(E779-MIN(MAX(F793,0),E779))+MIN(MAX(0,G793-(E779-MIN(MAX(F793,0),E779))),MAX(0,5*E779-(F793-MIN(MAX(F793,0),E779)))))</f>
        <v>0</v>
      </c>
      <c r="F794" s="18">
        <f>IF($A794&gt;30,F793,(F793-E779+E794)*(1+$B$7))</f>
        <v>89053.726852799751</v>
      </c>
      <c r="G794" s="18">
        <f t="shared" si="85"/>
        <v>0</v>
      </c>
      <c r="H794" s="18">
        <f>IF($A794&gt;30,0,(H779-MIN(MAX(I793,0),H779))+MIN(MAX(0,J793-(H779-MIN(MAX(I793,0),H779))),MAX(0,5*H779-(I793-MIN(MAX(I793,0),H779)))))</f>
        <v>45133.008241489762</v>
      </c>
      <c r="I794" s="18">
        <f>IF($A794&gt;30,I793,(I793-H779+H794)*(1+$B$7))</f>
        <v>220876.86351581727</v>
      </c>
      <c r="J794" s="18">
        <f t="shared" si="86"/>
        <v>418144.39188567997</v>
      </c>
      <c r="K794" s="18">
        <f>IF($A794&gt;30,0,(K779-MIN(MAX(L793,0),K779))+MIN(MAX(0,M793-(K779-MIN(MAX(L793,0),K779))),MAX(0,5*K779-(L793-MIN(MAX(L793,0),K779)))))</f>
        <v>43753.238068269886</v>
      </c>
      <c r="L794" s="18">
        <f>IF($A794&gt;30,L793,(L793-K779+K794)*(1+$B$7))</f>
        <v>214124.39298243664</v>
      </c>
      <c r="M794" s="18">
        <f t="shared" si="87"/>
        <v>450256.05278828659</v>
      </c>
      <c r="N794" s="18">
        <f>IF($A794&gt;30,0,(N779-MIN(MAX(O793,0),N779))+MIN(MAX(0,P793-(N779-MIN(MAX(O793,0),N779))),MAX(0,5*N779-(O793-MIN(MAX(O793,0),N779)))))</f>
        <v>43754.273954953387</v>
      </c>
      <c r="O794" s="18">
        <f>IF($A794&gt;30,O793,(O793-N779+N794)*(1+$B$7))</f>
        <v>214129.4625182492</v>
      </c>
      <c r="P794" s="18">
        <f t="shared" si="88"/>
        <v>450231.94439504878</v>
      </c>
      <c r="Q794" s="18">
        <f>IF($A794&gt;30,0,(Q779-MIN(MAX(R793,0),Q779))+MIN(MAX(0,S793-(Q779-MIN(MAX(R793,0),Q779))),MAX(0,5*Q779-(R793-MIN(MAX(R793,0),Q779)))))</f>
        <v>43754.276538581587</v>
      </c>
      <c r="R794" s="18">
        <f>IF($A794&gt;30,R793,(R793-Q779+Q794)*(1+$B$7))</f>
        <v>214129.47516229228</v>
      </c>
      <c r="S794" s="18">
        <f t="shared" si="89"/>
        <v>450231.88426576421</v>
      </c>
    </row>
    <row r="795" spans="1:19">
      <c r="A795" s="10">
        <f>14</f>
        <v>14</v>
      </c>
      <c r="B795" s="18">
        <f>IF($A795&gt;30,0,(B779-MIN(MAX(C794,0),B779))+MIN(MAX(0,D794-(B779-MIN(MAX(C794,0),B779))),MAX(0,5*B779-(C794-MIN(MAX(C794,0),B779)))))</f>
        <v>30540</v>
      </c>
      <c r="C795" s="18">
        <f>IF($A795&gt;30,C794,(C794-B779+B795)*(1+$B$7))</f>
        <v>149460</v>
      </c>
      <c r="D795" s="18">
        <f t="shared" si="84"/>
        <v>749047.23447868845</v>
      </c>
      <c r="E795" s="18">
        <f>IF($A795&gt;30,0,(E779-MIN(MAX(F794,0),E779))+MIN(MAX(0,G794-(E779-MIN(MAX(F794,0),E779))),MAX(0,5*E779-(F794-MIN(MAX(F794,0),E779)))))</f>
        <v>0</v>
      </c>
      <c r="F795" s="18">
        <f>IF($A795&gt;30,F794,(F794-E779+E795)*(1+$B$7))</f>
        <v>14003.133436129672</v>
      </c>
      <c r="G795" s="18">
        <f t="shared" si="85"/>
        <v>0</v>
      </c>
      <c r="H795" s="18">
        <f>IF($A795&gt;30,0,(H779-MIN(MAX(I794,0),H779))+MIN(MAX(0,J794-(H779-MIN(MAX(I794,0),H779))),MAX(0,5*H779-(I794-MIN(MAX(I794,0),H779)))))</f>
        <v>45133.008241489762</v>
      </c>
      <c r="I795" s="18">
        <f>IF($A795&gt;30,I794,(I794-H779+H795)*(1+$B$7))</f>
        <v>220876.86351581727</v>
      </c>
      <c r="J795" s="18">
        <f t="shared" si="86"/>
        <v>384201.72515351593</v>
      </c>
      <c r="K795" s="18">
        <f>IF($A795&gt;30,0,(K779-MIN(MAX(L794,0),K779))+MIN(MAX(0,M794-(K779-MIN(MAX(L794,0),K779))),MAX(0,5*K779-(L794-MIN(MAX(L794,0),K779)))))</f>
        <v>43753.238068269886</v>
      </c>
      <c r="L795" s="18">
        <f>IF($A795&gt;30,L794,(L794-K779+K795)*(1+$B$7))</f>
        <v>214124.39298243664</v>
      </c>
      <c r="M795" s="18">
        <f t="shared" si="87"/>
        <v>418697.89916161716</v>
      </c>
      <c r="N795" s="18">
        <f>IF($A795&gt;30,0,(N779-MIN(MAX(O794,0),N779))+MIN(MAX(0,P794-(N779-MIN(MAX(O794,0),N779))),MAX(0,5*N779-(O794-MIN(MAX(O794,0),N779)))))</f>
        <v>43754.273954953387</v>
      </c>
      <c r="O795" s="18">
        <f>IF($A795&gt;30,O794,(O794-N779+N795)*(1+$B$7))</f>
        <v>214129.4625182492</v>
      </c>
      <c r="P795" s="18">
        <f t="shared" si="88"/>
        <v>418672.00055329822</v>
      </c>
      <c r="Q795" s="18">
        <f>IF($A795&gt;30,0,(Q779-MIN(MAX(R794,0),Q779))+MIN(MAX(0,S794-(Q779-MIN(MAX(R794,0),Q779))),MAX(0,5*Q779-(R794-MIN(MAX(R794,0),Q779)))))</f>
        <v>43754.276538581587</v>
      </c>
      <c r="R795" s="18">
        <f>IF($A795&gt;30,R794,(R794-Q779+Q795)*(1+$B$7))</f>
        <v>214129.47516229228</v>
      </c>
      <c r="S795" s="18">
        <f t="shared" si="89"/>
        <v>418671.9359589981</v>
      </c>
    </row>
    <row r="796" spans="1:19">
      <c r="A796" s="10">
        <f>15</f>
        <v>15</v>
      </c>
      <c r="B796" s="18">
        <f>IF($A796&gt;30,0,(B779-MIN(MAX(C795,0),B779))+MIN(MAX(0,D795-(B779-MIN(MAX(C795,0),B779))),MAX(0,5*B779-(C795-MIN(MAX(C795,0),B779)))))</f>
        <v>30540</v>
      </c>
      <c r="C796" s="18">
        <f>IF($A796&gt;30,C795,(C795-B779+B796)*(1+$B$7))</f>
        <v>149460</v>
      </c>
      <c r="D796" s="18">
        <f t="shared" si="84"/>
        <v>740062.45151304908</v>
      </c>
      <c r="E796" s="18">
        <f>IF($A796&gt;30,0,(E779-MIN(MAX(F795,0),E779))+MIN(MAX(0,G795-(E779-MIN(MAX(F795,0),E779))),MAX(0,5*E779-(F795-MIN(MAX(F795,0),E779)))))</f>
        <v>60996.866563870324</v>
      </c>
      <c r="F796" s="18">
        <f>IF($A796&gt;30,F795,(F795-E779+E796)*(1+$B$7))</f>
        <v>0</v>
      </c>
      <c r="G796" s="18">
        <f t="shared" si="85"/>
        <v>-62826.772560786434</v>
      </c>
      <c r="H796" s="18">
        <f>IF($A796&gt;30,0,(H779-MIN(MAX(I795,0),H779))+MIN(MAX(0,J795-(H779-MIN(MAX(I795,0),H779))),MAX(0,5*H779-(I795-MIN(MAX(I795,0),H779)))))</f>
        <v>45133.008241489762</v>
      </c>
      <c r="I796" s="18">
        <f>IF($A796&gt;30,I795,(I795-H779+H796)*(1+$B$7))</f>
        <v>220876.86351581727</v>
      </c>
      <c r="J796" s="18">
        <f t="shared" si="86"/>
        <v>349240.77841938694</v>
      </c>
      <c r="K796" s="18">
        <f>IF($A796&gt;30,0,(K779-MIN(MAX(L795,0),K779))+MIN(MAX(0,M795-(K779-MIN(MAX(L795,0),K779))),MAX(0,5*K779-(L795-MIN(MAX(L795,0),K779)))))</f>
        <v>43753.238068269886</v>
      </c>
      <c r="L796" s="18">
        <f>IF($A796&gt;30,L795,(L795-K779+K796)*(1+$B$7))</f>
        <v>214124.39298243664</v>
      </c>
      <c r="M796" s="18">
        <f t="shared" si="87"/>
        <v>386193.00092614768</v>
      </c>
      <c r="N796" s="18">
        <f>IF($A796&gt;30,0,(N779-MIN(MAX(O795,0),N779))+MIN(MAX(0,P795-(N779-MIN(MAX(O795,0),N779))),MAX(0,5*N779-(O795-MIN(MAX(O795,0),N779)))))</f>
        <v>43754.273954953387</v>
      </c>
      <c r="O796" s="18">
        <f>IF($A796&gt;30,O795,(O795-N779+N796)*(1+$B$7))</f>
        <v>214129.4625182492</v>
      </c>
      <c r="P796" s="18">
        <f t="shared" si="88"/>
        <v>386165.25839629519</v>
      </c>
      <c r="Q796" s="18">
        <f>IF($A796&gt;30,0,(Q779-MIN(MAX(R795,0),Q779))+MIN(MAX(0,S795-(Q779-MIN(MAX(R795,0),Q779))),MAX(0,5*Q779-(R795-MIN(MAX(R795,0),Q779)))))</f>
        <v>43754.276538581587</v>
      </c>
      <c r="R796" s="18">
        <f>IF($A796&gt;30,R795,(R795-Q779+Q796)*(1+$B$7))</f>
        <v>214129.47516229228</v>
      </c>
      <c r="S796" s="18">
        <f t="shared" si="89"/>
        <v>386165.18920302903</v>
      </c>
    </row>
    <row r="797" spans="1:19">
      <c r="A797" s="10">
        <f>16</f>
        <v>16</v>
      </c>
      <c r="B797" s="18">
        <f>IF($A797&gt;30,0,(B779-MIN(MAX(C796,0),B779))+MIN(MAX(0,D796-(B779-MIN(MAX(C796,0),B779))),MAX(0,5*B779-(C796-MIN(MAX(C796,0),B779)))))</f>
        <v>30540</v>
      </c>
      <c r="C797" s="18">
        <f>IF($A797&gt;30,C796,(C796-B779+B797)*(1+$B$7))</f>
        <v>149460</v>
      </c>
      <c r="D797" s="18">
        <f t="shared" si="84"/>
        <v>730808.12505844061</v>
      </c>
      <c r="E797" s="18">
        <f>IF($A797&gt;30,0,(E779-MIN(MAX(F796,0),E779))+MIN(MAX(0,G796-(E779-MIN(MAX(F796,0),E779))),MAX(0,5*E779-(F796-MIN(MAX(F796,0),E779)))))</f>
        <v>75000</v>
      </c>
      <c r="F797" s="18">
        <f>IF($A797&gt;30,F796,(F796-E779+E797)*(1+$B$7))</f>
        <v>0</v>
      </c>
      <c r="G797" s="18">
        <f t="shared" si="85"/>
        <v>-141961.57573761002</v>
      </c>
      <c r="H797" s="18">
        <f>IF($A797&gt;30,0,(H779-MIN(MAX(I796,0),H779))+MIN(MAX(0,J796-(H779-MIN(MAX(I796,0),H779))),MAX(0,5*H779-(I796-MIN(MAX(I796,0),H779)))))</f>
        <v>45133.008241489762</v>
      </c>
      <c r="I797" s="18">
        <f>IF($A797&gt;30,I796,(I796-H779+H797)*(1+$B$7))</f>
        <v>220876.86351581727</v>
      </c>
      <c r="J797" s="18">
        <f t="shared" si="86"/>
        <v>313231.00328323408</v>
      </c>
      <c r="K797" s="18">
        <f>IF($A797&gt;30,0,(K779-MIN(MAX(L796,0),K779))+MIN(MAX(0,M796-(K779-MIN(MAX(L796,0),K779))),MAX(0,5*K779-(L796-MIN(MAX(L796,0),K779)))))</f>
        <v>43753.238068269886</v>
      </c>
      <c r="L797" s="18">
        <f>IF($A797&gt;30,L796,(L796-K779+K797)*(1+$B$7))</f>
        <v>214124.39298243664</v>
      </c>
      <c r="M797" s="18">
        <f t="shared" si="87"/>
        <v>352712.95574361412</v>
      </c>
      <c r="N797" s="18">
        <f>IF($A797&gt;30,0,(N779-MIN(MAX(O796,0),N779))+MIN(MAX(0,P796-(N779-MIN(MAX(O796,0),N779))),MAX(0,5*N779-(O796-MIN(MAX(O796,0),N779)))))</f>
        <v>43754.273954953387</v>
      </c>
      <c r="O797" s="18">
        <f>IF($A797&gt;30,O796,(O796-N779+N797)*(1+$B$7))</f>
        <v>214129.4625182492</v>
      </c>
      <c r="P797" s="18">
        <f t="shared" si="88"/>
        <v>352683.31397458212</v>
      </c>
      <c r="Q797" s="18">
        <f>IF($A797&gt;30,0,(Q779-MIN(MAX(R796,0),Q779))+MIN(MAX(0,S796-(Q779-MIN(MAX(R796,0),Q779))),MAX(0,5*Q779-(R796-MIN(MAX(R796,0),Q779)))))</f>
        <v>43754.276538581587</v>
      </c>
      <c r="R797" s="18">
        <f>IF($A797&gt;30,R796,(R796-Q779+Q797)*(1+$B$7))</f>
        <v>214129.47516229228</v>
      </c>
      <c r="S797" s="18">
        <f t="shared" si="89"/>
        <v>352683.24004438089</v>
      </c>
    </row>
    <row r="798" spans="1:19">
      <c r="A798" s="10">
        <f>17</f>
        <v>17</v>
      </c>
      <c r="B798" s="18">
        <f>IF($A798&gt;30,0,(B779-MIN(MAX(C797,0),B779))+MIN(MAX(0,D797-(B779-MIN(MAX(C797,0),B779))),MAX(0,5*B779-(C797-MIN(MAX(C797,0),B779)))))</f>
        <v>30540</v>
      </c>
      <c r="C798" s="18">
        <f>IF($A798&gt;30,C797,(C797-B779+B798)*(1+$B$7))</f>
        <v>149460</v>
      </c>
      <c r="D798" s="18">
        <f t="shared" si="84"/>
        <v>721276.16881019389</v>
      </c>
      <c r="E798" s="18">
        <f>IF($A798&gt;30,0,(E779-MIN(MAX(F797,0),E779))+MIN(MAX(0,G797-(E779-MIN(MAX(F797,0),E779))),MAX(0,5*E779-(F797-MIN(MAX(F797,0),E779)))))</f>
        <v>75000</v>
      </c>
      <c r="F798" s="18">
        <f>IF($A798&gt;30,F797,(F797-E779+E798)*(1+$B$7))</f>
        <v>0</v>
      </c>
      <c r="G798" s="18">
        <f t="shared" si="85"/>
        <v>-223470.42300973833</v>
      </c>
      <c r="H798" s="18">
        <f>IF($A798&gt;30,0,(H779-MIN(MAX(I797,0),H779))+MIN(MAX(0,J797-(H779-MIN(MAX(I797,0),H779))),MAX(0,5*H779-(I797-MIN(MAX(I797,0),H779)))))</f>
        <v>45133.008241489762</v>
      </c>
      <c r="I798" s="18">
        <f>IF($A798&gt;30,I797,(I797-H779+H798)*(1+$B$7))</f>
        <v>220876.86351581727</v>
      </c>
      <c r="J798" s="18">
        <f t="shared" si="86"/>
        <v>276140.93489299668</v>
      </c>
      <c r="K798" s="18">
        <f>IF($A798&gt;30,0,(K779-MIN(MAX(L797,0),K779))+MIN(MAX(0,M797-(K779-MIN(MAX(L797,0),K779))),MAX(0,5*K779-(L797-MIN(MAX(L797,0),K779)))))</f>
        <v>43753.238068269886</v>
      </c>
      <c r="L798" s="18">
        <f>IF($A798&gt;30,L797,(L797-K779+K798)*(1+$B$7))</f>
        <v>214124.39298243664</v>
      </c>
      <c r="M798" s="18">
        <f t="shared" si="87"/>
        <v>318228.50920560455</v>
      </c>
      <c r="N798" s="18">
        <f>IF($A798&gt;30,0,(N779-MIN(MAX(O797,0),N779))+MIN(MAX(0,P797-(N779-MIN(MAX(O797,0),N779))),MAX(0,5*N779-(O797-MIN(MAX(O797,0),N779)))))</f>
        <v>43754.273954953387</v>
      </c>
      <c r="O798" s="18">
        <f>IF($A798&gt;30,O797,(O797-N779+N798)*(1+$B$7))</f>
        <v>214129.4625182492</v>
      </c>
      <c r="P798" s="18">
        <f t="shared" si="88"/>
        <v>318196.91122021759</v>
      </c>
      <c r="Q798" s="18">
        <f>IF($A798&gt;30,0,(Q779-MIN(MAX(R797,0),Q779))+MIN(MAX(0,S797-(Q779-MIN(MAX(R797,0),Q779))),MAX(0,5*Q779-(R797-MIN(MAX(R797,0),Q779)))))</f>
        <v>43754.276538581587</v>
      </c>
      <c r="R798" s="18">
        <f>IF($A798&gt;30,R797,(R797-Q779+Q798)*(1+$B$7))</f>
        <v>214129.47516229228</v>
      </c>
      <c r="S798" s="18">
        <f t="shared" si="89"/>
        <v>318196.83241097326</v>
      </c>
    </row>
    <row r="799" spans="1:19">
      <c r="A799" s="10">
        <f>18</f>
        <v>18</v>
      </c>
      <c r="B799" s="18">
        <f>IF($A799&gt;30,0,(B779-MIN(MAX(C798,0),B779))+MIN(MAX(0,D798-(B779-MIN(MAX(C798,0),B779))),MAX(0,5*B779-(C798-MIN(MAX(C798,0),B779)))))</f>
        <v>30540</v>
      </c>
      <c r="C799" s="18">
        <f>IF($A799&gt;30,C798,(C798-B779+B799)*(1+$B$7))</f>
        <v>149460</v>
      </c>
      <c r="D799" s="18">
        <f t="shared" si="84"/>
        <v>711458.2538744997</v>
      </c>
      <c r="E799" s="18">
        <f>IF($A799&gt;30,0,(E779-MIN(MAX(F798,0),E779))+MIN(MAX(0,G798-(E779-MIN(MAX(F798,0),E779))),MAX(0,5*E779-(F798-MIN(MAX(F798,0),E779)))))</f>
        <v>75000</v>
      </c>
      <c r="F799" s="18">
        <f>IF($A799&gt;30,F798,(F798-E779+E799)*(1+$B$7))</f>
        <v>0</v>
      </c>
      <c r="G799" s="18">
        <f t="shared" si="85"/>
        <v>-307424.53570003051</v>
      </c>
      <c r="H799" s="18">
        <f>IF($A799&gt;30,0,(H779-MIN(MAX(I798,0),H779))+MIN(MAX(0,J798-(H779-MIN(MAX(I798,0),H779))),MAX(0,5*H779-(I798-MIN(MAX(I798,0),H779)))))</f>
        <v>45133.008241489762</v>
      </c>
      <c r="I799" s="18">
        <f>IF($A799&gt;30,I798,(I798-H779+H799)*(1+$B$7))</f>
        <v>220876.86351581727</v>
      </c>
      <c r="J799" s="18">
        <f t="shared" si="86"/>
        <v>237938.16445105214</v>
      </c>
      <c r="K799" s="18">
        <f>IF($A799&gt;30,0,(K779-MIN(MAX(L798,0),K779))+MIN(MAX(0,M798-(K779-MIN(MAX(L798,0),K779))),MAX(0,5*K779-(L798-MIN(MAX(L798,0),K779)))))</f>
        <v>43753.238068269886</v>
      </c>
      <c r="L799" s="18">
        <f>IF($A799&gt;30,L798,(L798-K779+K799)*(1+$B$7))</f>
        <v>214124.39298243664</v>
      </c>
      <c r="M799" s="18">
        <f t="shared" si="87"/>
        <v>282709.52927145467</v>
      </c>
      <c r="N799" s="18">
        <f>IF($A799&gt;30,0,(N779-MIN(MAX(O798,0),N779))+MIN(MAX(0,P798-(N779-MIN(MAX(O798,0),N779))),MAX(0,5*N779-(O798-MIN(MAX(O798,0),N779)))))</f>
        <v>43754.273954953387</v>
      </c>
      <c r="O799" s="18">
        <f>IF($A799&gt;30,O798,(O798-N779+N799)*(1+$B$7))</f>
        <v>214129.4625182492</v>
      </c>
      <c r="P799" s="18">
        <f t="shared" si="88"/>
        <v>282675.91638322209</v>
      </c>
      <c r="Q799" s="18">
        <f>IF($A799&gt;30,0,(Q779-MIN(MAX(R798,0),Q779))+MIN(MAX(0,S798-(Q779-MIN(MAX(R798,0),Q779))),MAX(0,5*Q779-(R798-MIN(MAX(R798,0),Q779)))))</f>
        <v>43754.276538581587</v>
      </c>
      <c r="R799" s="18">
        <f>IF($A799&gt;30,R798,(R798-Q779+Q799)*(1+$B$7))</f>
        <v>214129.47516229228</v>
      </c>
      <c r="S799" s="18">
        <f t="shared" si="89"/>
        <v>282675.83254856343</v>
      </c>
    </row>
    <row r="800" spans="1:19">
      <c r="A800" s="10">
        <f>19</f>
        <v>19</v>
      </c>
      <c r="B800" s="18">
        <f>IF($A800&gt;30,0,(B779-MIN(MAX(C799,0),B779))+MIN(MAX(0,D799-(B779-MIN(MAX(C799,0),B779))),MAX(0,5*B779-(C799-MIN(MAX(C799,0),B779)))))</f>
        <v>30540</v>
      </c>
      <c r="C800" s="18">
        <f>IF($A800&gt;30,C799,(C799-B779+B800)*(1+$B$7))</f>
        <v>149460</v>
      </c>
      <c r="D800" s="18">
        <f t="shared" si="84"/>
        <v>701345.80149073468</v>
      </c>
      <c r="E800" s="18">
        <f>IF($A800&gt;30,0,(E779-MIN(MAX(F799,0),E779))+MIN(MAX(0,G799-(E779-MIN(MAX(F799,0),E779))),MAX(0,5*E779-(F799-MIN(MAX(F799,0),E779)))))</f>
        <v>75000</v>
      </c>
      <c r="F800" s="18">
        <f>IF($A800&gt;30,F799,(F799-E779+E800)*(1+$B$7))</f>
        <v>0</v>
      </c>
      <c r="G800" s="18">
        <f t="shared" si="85"/>
        <v>-393897.27177103143</v>
      </c>
      <c r="H800" s="18">
        <f>IF($A800&gt;30,0,(H779-MIN(MAX(I799,0),H779))+MIN(MAX(0,J799-(H779-MIN(MAX(I799,0),H779))),MAX(0,5*H779-(I799-MIN(MAX(I799,0),H779)))))</f>
        <v>45133.008241489762</v>
      </c>
      <c r="I800" s="18">
        <f>IF($A800&gt;30,I799,(I799-H779+H800)*(1+$B$7))</f>
        <v>220876.86351581727</v>
      </c>
      <c r="J800" s="18">
        <f t="shared" si="86"/>
        <v>198589.31089584925</v>
      </c>
      <c r="K800" s="18">
        <f>IF($A800&gt;30,0,(K779-MIN(MAX(L799,0),K779))+MIN(MAX(0,M799-(K779-MIN(MAX(L799,0),K779))),MAX(0,5*K779-(L799-MIN(MAX(L799,0),K779)))))</f>
        <v>43753.238068269886</v>
      </c>
      <c r="L800" s="18">
        <f>IF($A800&gt;30,L799,(L799-K779+K800)*(1+$B$7))</f>
        <v>214124.39298243664</v>
      </c>
      <c r="M800" s="18">
        <f t="shared" si="87"/>
        <v>246124.97993928034</v>
      </c>
      <c r="N800" s="18">
        <f>IF($A800&gt;30,0,(N779-MIN(MAX(O799,0),N779))+MIN(MAX(0,P799-(N779-MIN(MAX(O799,0),N779))),MAX(0,5*N779-(O799-MIN(MAX(O799,0),N779)))))</f>
        <v>43754.273954953387</v>
      </c>
      <c r="O800" s="18">
        <f>IF($A800&gt;30,O799,(O799-N779+N800)*(1+$B$7))</f>
        <v>214129.4625182492</v>
      </c>
      <c r="P800" s="18">
        <f t="shared" si="88"/>
        <v>246089.29170111677</v>
      </c>
      <c r="Q800" s="18">
        <f>IF($A800&gt;30,0,(Q779-MIN(MAX(R799,0),Q779))+MIN(MAX(0,S799-(Q779-MIN(MAX(R799,0),Q779))),MAX(0,5*Q779-(R799-MIN(MAX(R799,0),Q779)))))</f>
        <v>43754.276538581587</v>
      </c>
      <c r="R800" s="18">
        <f>IF($A800&gt;30,R799,(R799-Q779+Q800)*(1+$B$7))</f>
        <v>214129.47516229228</v>
      </c>
      <c r="S800" s="18">
        <f t="shared" si="89"/>
        <v>246089.20269028129</v>
      </c>
    </row>
    <row r="801" spans="1:19">
      <c r="A801" s="10">
        <f>20</f>
        <v>20</v>
      </c>
      <c r="B801" s="18">
        <f>IF($A801&gt;30,0,(B779-MIN(MAX(C800,0),B779))+MIN(MAX(0,D800-(B779-MIN(MAX(C800,0),B779))),MAX(0,5*B779-(C800-MIN(MAX(C800,0),B779)))))</f>
        <v>30540</v>
      </c>
      <c r="C801" s="18">
        <f>IF($A801&gt;30,C800,(C800-B779+B801)*(1+$B$7))</f>
        <v>149460</v>
      </c>
      <c r="D801" s="18">
        <f t="shared" si="84"/>
        <v>690929.97553545679</v>
      </c>
      <c r="E801" s="18">
        <f>IF($A801&gt;30,0,(E779-MIN(MAX(F800,0),E779))+MIN(MAX(0,G800-(E779-MIN(MAX(F800,0),E779))),MAX(0,5*E779-(F800-MIN(MAX(F800,0),E779)))))</f>
        <v>75000</v>
      </c>
      <c r="F801" s="18">
        <f>IF($A801&gt;30,F800,(F800-E779+E801)*(1+$B$7))</f>
        <v>0</v>
      </c>
      <c r="G801" s="18">
        <f t="shared" si="85"/>
        <v>-482964.18992416241</v>
      </c>
      <c r="H801" s="18">
        <f>IF($A801&gt;30,0,(H779-MIN(MAX(I800,0),H779))+MIN(MAX(0,J800-(H779-MIN(MAX(I800,0),H779))),MAX(0,5*H779-(I800-MIN(MAX(I800,0),H779)))))</f>
        <v>45133.008241489762</v>
      </c>
      <c r="I801" s="18">
        <f>IF($A801&gt;30,I800,(I800-H779+H801)*(1+$B$7))</f>
        <v>220876.86351581727</v>
      </c>
      <c r="J801" s="18">
        <f t="shared" si="86"/>
        <v>158059.99173399029</v>
      </c>
      <c r="K801" s="18">
        <f>IF($A801&gt;30,0,(K779-MIN(MAX(L800,0),K779))+MIN(MAX(0,M800-(K779-MIN(MAX(L800,0),K779))),MAX(0,5*K779-(L800-MIN(MAX(L800,0),K779)))))</f>
        <v>43753.238068269886</v>
      </c>
      <c r="L801" s="18">
        <f>IF($A801&gt;30,L800,(L800-K779+K801)*(1+$B$7))</f>
        <v>214124.39298243664</v>
      </c>
      <c r="M801" s="18">
        <f t="shared" si="87"/>
        <v>208442.89412714078</v>
      </c>
      <c r="N801" s="18">
        <f>IF($A801&gt;30,0,(N779-MIN(MAX(O800,0),N779))+MIN(MAX(0,P800-(N779-MIN(MAX(O800,0),N779))),MAX(0,5*N779-(O800-MIN(MAX(O800,0),N779)))))</f>
        <v>43754.273954953387</v>
      </c>
      <c r="O801" s="18">
        <f>IF($A801&gt;30,O800,(O800-N779+N801)*(1+$B$7))</f>
        <v>214129.4625182492</v>
      </c>
      <c r="P801" s="18">
        <f t="shared" si="88"/>
        <v>208405.06827854831</v>
      </c>
      <c r="Q801" s="18">
        <f>IF($A801&gt;30,0,(Q779-MIN(MAX(R800,0),Q779))+MIN(MAX(0,S800-(Q779-MIN(MAX(R800,0),Q779))),MAX(0,5*Q779-(R800-MIN(MAX(R800,0),Q779)))))</f>
        <v>43754.276538581587</v>
      </c>
      <c r="R801" s="18">
        <f>IF($A801&gt;30,R800,(R800-Q779+Q801)*(1+$B$7))</f>
        <v>214129.47516229228</v>
      </c>
      <c r="S801" s="18">
        <f t="shared" si="89"/>
        <v>208404.9739362507</v>
      </c>
    </row>
    <row r="802" spans="1:19">
      <c r="A802" s="10">
        <f>21</f>
        <v>21</v>
      </c>
      <c r="B802" s="18">
        <f>IF($A802&gt;30,0,(B779-MIN(MAX(C801,0),B779))+MIN(MAX(0,D801-(B779-MIN(MAX(C801,0),B779))),MAX(0,5*B779-(C801-MIN(MAX(C801,0),B779)))))</f>
        <v>30540</v>
      </c>
      <c r="C802" s="18">
        <f>IF($A802&gt;30,C801,(C801-B779+B802)*(1+$B$7))</f>
        <v>149460</v>
      </c>
      <c r="D802" s="18">
        <f t="shared" si="84"/>
        <v>680201.67480152054</v>
      </c>
      <c r="E802" s="18">
        <f>IF($A802&gt;30,0,(E779-MIN(MAX(F801,0),E779))+MIN(MAX(0,G801-(E779-MIN(MAX(F801,0),E779))),MAX(0,5*E779-(F801-MIN(MAX(F801,0),E779)))))</f>
        <v>75000</v>
      </c>
      <c r="F802" s="18">
        <f>IF($A802&gt;30,F801,(F801-E779+E802)*(1+$B$7))</f>
        <v>0</v>
      </c>
      <c r="G802" s="18">
        <f t="shared" si="85"/>
        <v>-574703.11562188726</v>
      </c>
      <c r="H802" s="18">
        <f>IF($A802&gt;30,0,(H779-MIN(MAX(I801,0),H779))+MIN(MAX(0,J801-(H779-MIN(MAX(I801,0),H779))),MAX(0,5*H779-(I801-MIN(MAX(I801,0),H779)))))</f>
        <v>45133.008241489762</v>
      </c>
      <c r="I802" s="18">
        <f>IF($A802&gt;30,I801,(I801-H779+H802)*(1+$B$7))</f>
        <v>220876.86351581727</v>
      </c>
      <c r="J802" s="18">
        <f t="shared" si="86"/>
        <v>116314.79299727555</v>
      </c>
      <c r="K802" s="18">
        <f>IF($A802&gt;30,0,(K779-MIN(MAX(L801,0),K779))+MIN(MAX(0,M801-(K779-MIN(MAX(L801,0),K779))),MAX(0,5*K779-(L801-MIN(MAX(L801,0),K779)))))</f>
        <v>43753.238068269886</v>
      </c>
      <c r="L802" s="18">
        <f>IF($A802&gt;30,L801,(L801-K779+K802)*(1+$B$7))</f>
        <v>214124.39298243664</v>
      </c>
      <c r="M802" s="18">
        <f t="shared" si="87"/>
        <v>169630.34574063701</v>
      </c>
      <c r="N802" s="18">
        <f>IF($A802&gt;30,0,(N779-MIN(MAX(O801,0),N779))+MIN(MAX(0,P801-(N779-MIN(MAX(O801,0),N779))),MAX(0,5*N779-(O801-MIN(MAX(O801,0),N779)))))</f>
        <v>43754.273954953387</v>
      </c>
      <c r="O802" s="18">
        <f>IF($A802&gt;30,O801,(O801-N779+N802)*(1+$B$7))</f>
        <v>214129.4625182492</v>
      </c>
      <c r="P802" s="18">
        <f t="shared" si="88"/>
        <v>169590.31815330277</v>
      </c>
      <c r="Q802" s="18">
        <f>IF($A802&gt;30,0,(Q779-MIN(MAX(R801,0),Q779))+MIN(MAX(0,S801-(Q779-MIN(MAX(R801,0),Q779))),MAX(0,5*Q779-(R801-MIN(MAX(R801,0),Q779)))))</f>
        <v>43754.276538581587</v>
      </c>
      <c r="R802" s="18">
        <f>IF($A802&gt;30,R801,(R801-Q779+Q802)*(1+$B$7))</f>
        <v>214129.47516229228</v>
      </c>
      <c r="S802" s="18">
        <f t="shared" si="89"/>
        <v>169590.2183195992</v>
      </c>
    </row>
    <row r="803" spans="1:19">
      <c r="A803" s="10">
        <f>22</f>
        <v>22</v>
      </c>
      <c r="B803" s="18">
        <f>IF($A803&gt;30,0,(B779-MIN(MAX(C802,0),B779))+MIN(MAX(0,D802-(B779-MIN(MAX(C802,0),B779))),MAX(0,5*B779-(C802-MIN(MAX(C802,0),B779)))))</f>
        <v>30540</v>
      </c>
      <c r="C803" s="18">
        <f>IF($A803&gt;30,C802,(C802-B779+B803)*(1+$B$7))</f>
        <v>149460</v>
      </c>
      <c r="D803" s="18">
        <f t="shared" si="84"/>
        <v>669151.52504556614</v>
      </c>
      <c r="E803" s="18">
        <f>IF($A803&gt;30,0,(E779-MIN(MAX(F802,0),E779))+MIN(MAX(0,G802-(E779-MIN(MAX(F802,0),E779))),MAX(0,5*E779-(F802-MIN(MAX(F802,0),E779)))))</f>
        <v>75000</v>
      </c>
      <c r="F803" s="18">
        <f>IF($A803&gt;30,F802,(F802-E779+E803)*(1+$B$7))</f>
        <v>0</v>
      </c>
      <c r="G803" s="18">
        <f t="shared" si="85"/>
        <v>-669194.20909054391</v>
      </c>
      <c r="H803" s="18">
        <f>IF($A803&gt;30,0,(H779-MIN(MAX(I802,0),H779))+MIN(MAX(0,J802-(H779-MIN(MAX(I802,0),H779))),MAX(0,5*H779-(I802-MIN(MAX(I802,0),H779)))))</f>
        <v>45133.008241489762</v>
      </c>
      <c r="I803" s="18">
        <f>IF($A803&gt;30,I802,(I802-H779+H803)*(1+$B$7))</f>
        <v>220876.86351581727</v>
      </c>
      <c r="J803" s="18">
        <f t="shared" si="86"/>
        <v>73317.238298459371</v>
      </c>
      <c r="K803" s="18">
        <f>IF($A803&gt;30,0,(K779-MIN(MAX(L802,0),K779))+MIN(MAX(0,M802-(K779-MIN(MAX(L802,0),K779))),MAX(0,5*K779-(L802-MIN(MAX(L802,0),K779)))))</f>
        <v>43753.238068269886</v>
      </c>
      <c r="L803" s="18">
        <f>IF($A803&gt;30,L802,(L802-K779+K803)*(1+$B$7))</f>
        <v>214124.39298243664</v>
      </c>
      <c r="M803" s="18">
        <f t="shared" si="87"/>
        <v>129653.42090253814</v>
      </c>
      <c r="N803" s="18">
        <f>IF($A803&gt;30,0,(N779-MIN(MAX(O802,0),N779))+MIN(MAX(0,P802-(N779-MIN(MAX(O802,0),N779))),MAX(0,5*N779-(O802-MIN(MAX(O802,0),N779)))))</f>
        <v>43754.273954953387</v>
      </c>
      <c r="O803" s="18">
        <f>IF($A803&gt;30,O802,(O802-N779+N803)*(1+$B$7))</f>
        <v>214129.4625182492</v>
      </c>
      <c r="P803" s="18">
        <f t="shared" si="88"/>
        <v>129611.12552429986</v>
      </c>
      <c r="Q803" s="18">
        <f>IF($A803&gt;30,0,(Q779-MIN(MAX(R802,0),Q779))+MIN(MAX(0,S802-(Q779-MIN(MAX(R802,0),Q779))),MAX(0,5*Q779-(R802-MIN(MAX(R802,0),Q779)))))</f>
        <v>43754.276538581587</v>
      </c>
      <c r="R803" s="18">
        <f>IF($A803&gt;30,R802,(R802-Q779+Q803)*(1+$B$7))</f>
        <v>214129.47516229228</v>
      </c>
      <c r="S803" s="18">
        <f t="shared" si="89"/>
        <v>129611.02003444814</v>
      </c>
    </row>
    <row r="804" spans="1:19">
      <c r="A804" s="10">
        <f>23</f>
        <v>23</v>
      </c>
      <c r="B804" s="18">
        <f>IF($A804&gt;30,0,(B779-MIN(MAX(C803,0),B779))+MIN(MAX(0,D803-(B779-MIN(MAX(C803,0),B779))),MAX(0,5*B779-(C803-MIN(MAX(C803,0),B779)))))</f>
        <v>30540</v>
      </c>
      <c r="C804" s="18">
        <f>IF($A804&gt;30,C803,(C803-B779+B804)*(1+$B$7))</f>
        <v>149460</v>
      </c>
      <c r="D804" s="18">
        <f t="shared" si="84"/>
        <v>657769.87079693319</v>
      </c>
      <c r="E804" s="18">
        <f>IF($A804&gt;30,0,(E779-MIN(MAX(F803,0),E779))+MIN(MAX(0,G803-(E779-MIN(MAX(F803,0),E779))),MAX(0,5*E779-(F803-MIN(MAX(F803,0),E779)))))</f>
        <v>75000</v>
      </c>
      <c r="F804" s="18">
        <f>IF($A804&gt;30,F803,(F803-E779+E804)*(1+$B$7))</f>
        <v>0</v>
      </c>
      <c r="G804" s="18">
        <f t="shared" si="85"/>
        <v>-766520.03536326019</v>
      </c>
      <c r="H804" s="18">
        <f>IF($A804&gt;30,0,(H779-MIN(MAX(I803,0),H779))+MIN(MAX(0,J803-(H779-MIN(MAX(I803,0),H779))),MAX(0,5*H779-(I803-MIN(MAX(I803,0),H779)))))</f>
        <v>45133.008241489762</v>
      </c>
      <c r="I804" s="18">
        <f>IF($A804&gt;30,I803,(I803-H779+H804)*(1+$B$7))</f>
        <v>220876.86351581727</v>
      </c>
      <c r="J804" s="18">
        <f t="shared" si="86"/>
        <v>29029.756958678699</v>
      </c>
      <c r="K804" s="18">
        <f>IF($A804&gt;30,0,(K779-MIN(MAX(L803,0),K779))+MIN(MAX(0,M803-(K779-MIN(MAX(L803,0),K779))),MAX(0,5*K779-(L803-MIN(MAX(L803,0),K779)))))</f>
        <v>43753.238068269886</v>
      </c>
      <c r="L804" s="18">
        <f>IF($A804&gt;30,L803,(L803-K779+K804)*(1+$B$7))</f>
        <v>214124.39298243664</v>
      </c>
      <c r="M804" s="18">
        <f t="shared" si="87"/>
        <v>88477.1883192963</v>
      </c>
      <c r="N804" s="18">
        <f>IF($A804&gt;30,0,(N779-MIN(MAX(O803,0),N779))+MIN(MAX(0,P803-(N779-MIN(MAX(O803,0),N779))),MAX(0,5*N779-(O803-MIN(MAX(O803,0),N779)))))</f>
        <v>43754.273954953387</v>
      </c>
      <c r="O804" s="18">
        <f>IF($A804&gt;30,O803,(O803-N779+N804)*(1+$B$7))</f>
        <v>214129.4625182492</v>
      </c>
      <c r="P804" s="18">
        <f t="shared" si="88"/>
        <v>88432.557116426862</v>
      </c>
      <c r="Q804" s="18">
        <f>IF($A804&gt;30,0,(Q779-MIN(MAX(R803,0),Q779))+MIN(MAX(0,S803-(Q779-MIN(MAX(R803,0),Q779))),MAX(0,5*Q779-(R803-MIN(MAX(R803,0),Q779)))))</f>
        <v>43754.276538581587</v>
      </c>
      <c r="R804" s="18">
        <f>IF($A804&gt;30,R803,(R803-Q779+Q804)*(1+$B$7))</f>
        <v>214129.47516229228</v>
      </c>
      <c r="S804" s="18">
        <f t="shared" si="89"/>
        <v>88432.445800742556</v>
      </c>
    </row>
    <row r="805" spans="1:19">
      <c r="A805" s="10">
        <f>24</f>
        <v>24</v>
      </c>
      <c r="B805" s="18">
        <f>IF($A805&gt;30,0,(B779-MIN(MAX(C804,0),B779))+MIN(MAX(0,D804-(B779-MIN(MAX(C804,0),B779))),MAX(0,5*B779-(C804-MIN(MAX(C804,0),B779)))))</f>
        <v>30540</v>
      </c>
      <c r="C805" s="18">
        <f>IF($A805&gt;30,C804,(C804-B779+B805)*(1+$B$7))</f>
        <v>149460</v>
      </c>
      <c r="D805" s="18">
        <f t="shared" si="84"/>
        <v>646046.76692084118</v>
      </c>
      <c r="E805" s="18">
        <f>IF($A805&gt;30,0,(E779-MIN(MAX(F804,0),E779))+MIN(MAX(0,G804-(E779-MIN(MAX(F804,0),E779))),MAX(0,5*E779-(F804-MIN(MAX(F804,0),E779)))))</f>
        <v>75000</v>
      </c>
      <c r="F805" s="18">
        <f>IF($A805&gt;30,F804,(F804-E779+E805)*(1+$B$7))</f>
        <v>0</v>
      </c>
      <c r="G805" s="18">
        <f t="shared" si="85"/>
        <v>-866765.636424158</v>
      </c>
      <c r="H805" s="18">
        <f>IF($A805&gt;30,0,(H779-MIN(MAX(I804,0),H779))+MIN(MAX(0,J804-(H779-MIN(MAX(I804,0),H779))),MAX(0,5*H779-(I804-MIN(MAX(I804,0),H779)))))</f>
        <v>29029.756958678699</v>
      </c>
      <c r="I805" s="18">
        <f>IF($A805&gt;30,I804,(I804-H779+H805)*(1+$B$7))</f>
        <v>204831.58393762429</v>
      </c>
      <c r="J805" s="18">
        <f t="shared" si="86"/>
        <v>0</v>
      </c>
      <c r="K805" s="18">
        <f>IF($A805&gt;30,0,(K779-MIN(MAX(L804,0),K779))+MIN(MAX(0,M804-(K779-MIN(MAX(L804,0),K779))),MAX(0,5*K779-(L804-MIN(MAX(L804,0),K779)))))</f>
        <v>43753.238068269886</v>
      </c>
      <c r="L805" s="18">
        <f>IF($A805&gt;30,L804,(L804-K779+K805)*(1+$B$7))</f>
        <v>214124.39298243664</v>
      </c>
      <c r="M805" s="18">
        <f t="shared" si="87"/>
        <v>46065.668758557207</v>
      </c>
      <c r="N805" s="18">
        <f>IF($A805&gt;30,0,(N779-MIN(MAX(O804,0),N779))+MIN(MAX(0,P804-(N779-MIN(MAX(O804,0),N779))),MAX(0,5*N779-(O804-MIN(MAX(O804,0),N779)))))</f>
        <v>43754.273954953387</v>
      </c>
      <c r="O805" s="18">
        <f>IF($A805&gt;30,O804,(O804-N779+N805)*(1+$B$7))</f>
        <v>214129.4625182492</v>
      </c>
      <c r="P805" s="18">
        <f t="shared" si="88"/>
        <v>46018.631656317681</v>
      </c>
      <c r="Q805" s="18">
        <f>IF($A805&gt;30,0,(Q779-MIN(MAX(R804,0),Q779))+MIN(MAX(0,S804-(Q779-MIN(MAX(R804,0),Q779))),MAX(0,5*Q779-(R804-MIN(MAX(R804,0),Q779)))))</f>
        <v>43754.276538581587</v>
      </c>
      <c r="R805" s="18">
        <f>IF($A805&gt;30,R804,(R804-Q779+Q805)*(1+$B$7))</f>
        <v>214129.47516229228</v>
      </c>
      <c r="S805" s="18">
        <f t="shared" si="89"/>
        <v>46018.514340025802</v>
      </c>
    </row>
    <row r="806" spans="1:19">
      <c r="A806" s="10">
        <f>25</f>
        <v>25</v>
      </c>
      <c r="B806" s="18">
        <f>IF($A806&gt;30,0,(B779-MIN(MAX(C805,0),B779))+MIN(MAX(0,D805-(B779-MIN(MAX(C805,0),B779))),MAX(0,5*B779-(C805-MIN(MAX(C805,0),B779)))))</f>
        <v>30540</v>
      </c>
      <c r="C806" s="18">
        <f>IF($A806&gt;30,C805,(C805-B779+B806)*(1+$B$7))</f>
        <v>149460</v>
      </c>
      <c r="D806" s="18">
        <f t="shared" si="84"/>
        <v>633971.96992846648</v>
      </c>
      <c r="E806" s="18">
        <f>IF($A806&gt;30,0,(E779-MIN(MAX(F805,0),E779))+MIN(MAX(0,G805-(E779-MIN(MAX(F805,0),E779))),MAX(0,5*E779-(F805-MIN(MAX(F805,0),E779)))))</f>
        <v>75000</v>
      </c>
      <c r="F806" s="18">
        <f>IF($A806&gt;30,F805,(F805-E779+E806)*(1+$B$7))</f>
        <v>0</v>
      </c>
      <c r="G806" s="18">
        <f t="shared" si="85"/>
        <v>-970018.60551688273</v>
      </c>
      <c r="H806" s="18">
        <f>IF($A806&gt;30,0,(H779-MIN(MAX(I805,0),H779))+MIN(MAX(0,J805-(H779-MIN(MAX(I805,0),H779))),MAX(0,5*H779-(I805-MIN(MAX(I805,0),H779)))))</f>
        <v>0</v>
      </c>
      <c r="I806" s="18">
        <f>IF($A806&gt;30,I805,(I805-H779+H806)*(1+$B$7))</f>
        <v>159918.81753228538</v>
      </c>
      <c r="J806" s="18">
        <f t="shared" si="86"/>
        <v>0</v>
      </c>
      <c r="K806" s="18">
        <f>IF($A806&gt;30,0,(K779-MIN(MAX(L805,0),K779))+MIN(MAX(0,M805-(K779-MIN(MAX(L805,0),K779))),MAX(0,5*K779-(L805-MIN(MAX(L805,0),K779)))))</f>
        <v>43753.238068269886</v>
      </c>
      <c r="L806" s="18">
        <f>IF($A806&gt;30,L805,(L805-K779+K806)*(1+$B$7))</f>
        <v>214124.39298243664</v>
      </c>
      <c r="M806" s="18">
        <f t="shared" si="87"/>
        <v>2381.8036109959412</v>
      </c>
      <c r="N806" s="18">
        <f>IF($A806&gt;30,0,(N779-MIN(MAX(O805,0),N779))+MIN(MAX(0,P805-(N779-MIN(MAX(O805,0),N779))),MAX(0,5*N779-(O805-MIN(MAX(O805,0),N779)))))</f>
        <v>43754.273954953387</v>
      </c>
      <c r="O806" s="18">
        <f>IF($A806&gt;30,O805,(O805-N779+N806)*(1+$B$7))</f>
        <v>214129.4625182492</v>
      </c>
      <c r="P806" s="18">
        <f t="shared" si="88"/>
        <v>2332.2884324052225</v>
      </c>
      <c r="Q806" s="18">
        <f>IF($A806&gt;30,0,(Q779-MIN(MAX(R805,0),Q779))+MIN(MAX(0,S805-(Q779-MIN(MAX(R805,0),Q779))),MAX(0,5*Q779-(R805-MIN(MAX(R805,0),Q779)))))</f>
        <v>43754.276538581587</v>
      </c>
      <c r="R806" s="18">
        <f>IF($A806&gt;30,R805,(R805-Q779+Q806)*(1+$B$7))</f>
        <v>214129.47516229228</v>
      </c>
      <c r="S806" s="18">
        <f t="shared" si="89"/>
        <v>2332.1649354875412</v>
      </c>
    </row>
    <row r="807" spans="1:19">
      <c r="A807" s="10">
        <f>26</f>
        <v>26</v>
      </c>
      <c r="B807" s="18">
        <f>IF($A807&gt;30,0,(B779-MIN(MAX(C806,0),B779))+MIN(MAX(0,D806-(B779-MIN(MAX(C806,0),B779))),MAX(0,5*B779-(C806-MIN(MAX(C806,0),B779)))))</f>
        <v>30540</v>
      </c>
      <c r="C807" s="18">
        <f>IF($A807&gt;30,C806,(C806-B779+B807)*(1+$B$7))</f>
        <v>149460</v>
      </c>
      <c r="D807" s="18">
        <f t="shared" si="84"/>
        <v>621534.92902632046</v>
      </c>
      <c r="E807" s="18">
        <f>IF($A807&gt;30,0,(E779-MIN(MAX(F806,0),E779))+MIN(MAX(0,G806-(E779-MIN(MAX(F806,0),E779))),MAX(0,5*E779-(F806-MIN(MAX(F806,0),E779)))))</f>
        <v>75000</v>
      </c>
      <c r="F807" s="18">
        <f>IF($A807&gt;30,F806,(F806-E779+E807)*(1+$B$7))</f>
        <v>0</v>
      </c>
      <c r="G807" s="18">
        <f t="shared" si="85"/>
        <v>-1076369.1636823893</v>
      </c>
      <c r="H807" s="18">
        <f>IF($A807&gt;30,0,(H779-MIN(MAX(I806,0),H779))+MIN(MAX(0,J806-(H779-MIN(MAX(I806,0),H779))),MAX(0,5*H779-(I806-MIN(MAX(I806,0),H779)))))</f>
        <v>0</v>
      </c>
      <c r="I807" s="18">
        <f>IF($A807&gt;30,I806,(I806-H779+H807)*(1+$B$7))</f>
        <v>115167.7370860057</v>
      </c>
      <c r="J807" s="18">
        <f t="shared" si="86"/>
        <v>0</v>
      </c>
      <c r="K807" s="18">
        <f>IF($A807&gt;30,0,(K779-MIN(MAX(L806,0),K779))+MIN(MAX(0,M806-(K779-MIN(MAX(L806,0),K779))),MAX(0,5*K779-(L806-MIN(MAX(L806,0),K779)))))</f>
        <v>2381.8036109959412</v>
      </c>
      <c r="L807" s="18">
        <f>IF($A807&gt;30,L806,(L806-K779+K807)*(1+$B$7))</f>
        <v>172901.89568920888</v>
      </c>
      <c r="M807" s="18">
        <f t="shared" si="87"/>
        <v>0</v>
      </c>
      <c r="N807" s="18">
        <f>IF($A807&gt;30,0,(N779-MIN(MAX(O806,0),N779))+MIN(MAX(0,P806-(N779-MIN(MAX(O806,0),N779))),MAX(0,5*N779-(O806-MIN(MAX(O806,0),N779)))))</f>
        <v>2332.2884324052225</v>
      </c>
      <c r="O807" s="18">
        <f>IF($A807&gt;30,O806,(O806-N779+N807)*(1+$B$7))</f>
        <v>172856.5961435822</v>
      </c>
      <c r="P807" s="18">
        <f t="shared" si="88"/>
        <v>0</v>
      </c>
      <c r="Q807" s="18">
        <f>IF($A807&gt;30,0,(Q779-MIN(MAX(R806,0),Q779))+MIN(MAX(0,S806-(Q779-MIN(MAX(R806,0),Q779))),MAX(0,5*Q779-(R806-MIN(MAX(R806,0),Q779)))))</f>
        <v>2332.1649354875412</v>
      </c>
      <c r="R807" s="18">
        <f>IF($A807&gt;30,R806,(R806-Q779+Q807)*(1+$B$7))</f>
        <v>172856.48316096936</v>
      </c>
      <c r="S807" s="18">
        <f t="shared" si="89"/>
        <v>0</v>
      </c>
    </row>
    <row r="808" spans="1:19">
      <c r="A808" s="10">
        <f>27</f>
        <v>27</v>
      </c>
      <c r="B808" s="18">
        <f>IF($A808&gt;30,0,(B779-MIN(MAX(C807,0),B779))+MIN(MAX(0,D807-(B779-MIN(MAX(C807,0),B779))),MAX(0,5*B779-(C807-MIN(MAX(C807,0),B779)))))</f>
        <v>30540</v>
      </c>
      <c r="C808" s="18">
        <f>IF($A808&gt;30,C807,(C807-B779+B808)*(1+$B$7))</f>
        <v>149460</v>
      </c>
      <c r="D808" s="18">
        <f t="shared" si="84"/>
        <v>608724.77689711004</v>
      </c>
      <c r="E808" s="18">
        <f>IF($A808&gt;30,0,(E779-MIN(MAX(F807,0),E779))+MIN(MAX(0,G807-(E779-MIN(MAX(F807,0),E779))),MAX(0,5*E779-(F807-MIN(MAX(F807,0),E779)))))</f>
        <v>75000</v>
      </c>
      <c r="F808" s="18">
        <f>IF($A808&gt;30,F807,(F807-E779+E808)*(1+$B$7))</f>
        <v>0</v>
      </c>
      <c r="G808" s="18">
        <f t="shared" si="85"/>
        <v>-1185910.238592861</v>
      </c>
      <c r="H808" s="18">
        <f>IF($A808&gt;30,0,(H779-MIN(MAX(I807,0),H779))+MIN(MAX(0,J807-(H779-MIN(MAX(I807,0),H779))),MAX(0,5*H779-(I807-MIN(MAX(I807,0),H779)))))</f>
        <v>0</v>
      </c>
      <c r="I808" s="18">
        <f>IF($A808&gt;30,I807,(I807-H779+H808)*(1+$B$7))</f>
        <v>70577.76052933262</v>
      </c>
      <c r="J808" s="18">
        <f t="shared" si="86"/>
        <v>0</v>
      </c>
      <c r="K808" s="18">
        <f>IF($A808&gt;30,0,(K779-MIN(MAX(L807,0),K779))+MIN(MAX(0,M807-(K779-MIN(MAX(L807,0),K779))),MAX(0,5*K779-(L807-MIN(MAX(L807,0),K779)))))</f>
        <v>0</v>
      </c>
      <c r="L808" s="18">
        <f>IF($A808&gt;30,L807,(L807-K779+K808)*(1+$B$7))</f>
        <v>129454.57026824038</v>
      </c>
      <c r="M808" s="18">
        <f t="shared" si="87"/>
        <v>0</v>
      </c>
      <c r="N808" s="18">
        <f>IF($A808&gt;30,0,(N779-MIN(MAX(O807,0),N779))+MIN(MAX(0,P807-(N779-MIN(MAX(O807,0),N779))),MAX(0,5*N779-(O807-MIN(MAX(O807,0),N779)))))</f>
        <v>0</v>
      </c>
      <c r="O808" s="18">
        <f>IF($A808&gt;30,O807,(O807-N779+N808)*(1+$B$7))</f>
        <v>129408.41989381544</v>
      </c>
      <c r="P808" s="18">
        <f t="shared" si="88"/>
        <v>0</v>
      </c>
      <c r="Q808" s="18">
        <f>IF($A808&gt;30,0,(Q779-MIN(MAX(R807,0),Q779))+MIN(MAX(0,S807-(Q779-MIN(MAX(R807,0),Q779))),MAX(0,5*Q779-(R807-MIN(MAX(R807,0),Q779)))))</f>
        <v>0</v>
      </c>
      <c r="R808" s="18">
        <f>IF($A808&gt;30,R807,(R807-Q779+Q808)*(1+$B$7))</f>
        <v>129408.30478913142</v>
      </c>
      <c r="S808" s="18">
        <f t="shared" si="89"/>
        <v>0</v>
      </c>
    </row>
    <row r="809" spans="1:19">
      <c r="A809" s="10">
        <f>28</f>
        <v>28</v>
      </c>
      <c r="B809" s="18">
        <f>IF($A809&gt;30,0,(B779-MIN(MAX(C808,0),B779))+MIN(MAX(0,D808-(B779-MIN(MAX(C808,0),B779))),MAX(0,5*B779-(C808-MIN(MAX(C808,0),B779)))))</f>
        <v>30540</v>
      </c>
      <c r="C809" s="18">
        <f>IF($A809&gt;30,C808,(C808-B779+B809)*(1+$B$7))</f>
        <v>149460</v>
      </c>
      <c r="D809" s="18">
        <f t="shared" si="84"/>
        <v>595530.32020402339</v>
      </c>
      <c r="E809" s="18">
        <f>IF($A809&gt;30,0,(E779-MIN(MAX(F808,0),E779))+MIN(MAX(0,G808-(E779-MIN(MAX(F808,0),E779))),MAX(0,5*E779-(F808-MIN(MAX(F808,0),E779)))))</f>
        <v>75000</v>
      </c>
      <c r="F809" s="18">
        <f>IF($A809&gt;30,F808,(F808-E779+E809)*(1+$B$7))</f>
        <v>0</v>
      </c>
      <c r="G809" s="18">
        <f t="shared" si="85"/>
        <v>-1298737.5457506469</v>
      </c>
      <c r="H809" s="18">
        <f>IF($A809&gt;30,0,(H779-MIN(MAX(I808,0),H779))+MIN(MAX(0,J808-(H779-MIN(MAX(I808,0),H779))),MAX(0,5*H779-(I808-MIN(MAX(I808,0),H779)))))</f>
        <v>0</v>
      </c>
      <c r="I809" s="18">
        <f>IF($A809&gt;30,I808,(I808-H779+H809)*(1+$B$7))</f>
        <v>26148.307888263567</v>
      </c>
      <c r="J809" s="18">
        <f t="shared" si="86"/>
        <v>0</v>
      </c>
      <c r="K809" s="18">
        <f>IF($A809&gt;30,0,(K779-MIN(MAX(L808,0),K779))+MIN(MAX(0,M808-(K779-MIN(MAX(L808,0),K779))),MAX(0,5*K779-(L808-MIN(MAX(L808,0),K779)))))</f>
        <v>0</v>
      </c>
      <c r="L809" s="18">
        <f>IF($A809&gt;30,L808,(L808-K779+K809)*(1+$B$7))</f>
        <v>86163.655218787375</v>
      </c>
      <c r="M809" s="18">
        <f t="shared" si="87"/>
        <v>0</v>
      </c>
      <c r="N809" s="18">
        <f>IF($A809&gt;30,0,(N779-MIN(MAX(O808,0),N779))+MIN(MAX(0,P808-(N779-MIN(MAX(O808,0),N779))),MAX(0,5*N779-(O808-MIN(MAX(O808,0),N779)))))</f>
        <v>0</v>
      </c>
      <c r="O809" s="18">
        <f>IF($A809&gt;30,O808,(O808-N779+N809)*(1+$B$7))</f>
        <v>86116.657078547854</v>
      </c>
      <c r="P809" s="18">
        <f t="shared" si="88"/>
        <v>0</v>
      </c>
      <c r="Q809" s="18">
        <f>IF($A809&gt;30,0,(Q779-MIN(MAX(R808,0),Q779))+MIN(MAX(0,S808-(Q779-MIN(MAX(R808,0),Q779))),MAX(0,5*Q779-(R808-MIN(MAX(R808,0),Q779)))))</f>
        <v>0</v>
      </c>
      <c r="R809" s="18">
        <f>IF($A809&gt;30,R808,(R808-Q779+Q809)*(1+$B$7))</f>
        <v>86116.539859432087</v>
      </c>
      <c r="S809" s="18">
        <f t="shared" si="89"/>
        <v>0</v>
      </c>
    </row>
    <row r="810" spans="1:19">
      <c r="A810" s="10">
        <f>29</f>
        <v>29</v>
      </c>
      <c r="B810" s="18">
        <f>IF($A810&gt;30,0,(B779-MIN(MAX(C809,0),B779))+MIN(MAX(0,D809-(B779-MIN(MAX(C809,0),B779))),MAX(0,5*B779-(C809-MIN(MAX(C809,0),B779)))))</f>
        <v>30540</v>
      </c>
      <c r="C810" s="18">
        <f>IF($A810&gt;30,C809,(C809-B779+B810)*(1+$B$7))</f>
        <v>149460</v>
      </c>
      <c r="D810" s="18">
        <f t="shared" si="84"/>
        <v>581940.0298101441</v>
      </c>
      <c r="E810" s="18">
        <f>IF($A810&gt;30,0,(E779-MIN(MAX(F809,0),E779))+MIN(MAX(0,G809-(E779-MIN(MAX(F809,0),E779))),MAX(0,5*E779-(F809-MIN(MAX(F809,0),E779)))))</f>
        <v>75000</v>
      </c>
      <c r="F810" s="18">
        <f>IF($A810&gt;30,F809,(F809-E779+E810)*(1+$B$7))</f>
        <v>0</v>
      </c>
      <c r="G810" s="18">
        <f t="shared" si="85"/>
        <v>-1414949.6721231663</v>
      </c>
      <c r="H810" s="18">
        <f>IF($A810&gt;30,0,(H779-MIN(MAX(I809,0),H779))+MIN(MAX(0,J809-(H779-MIN(MAX(I809,0),H779))),MAX(0,5*H779-(I809-MIN(MAX(I809,0),H779)))))</f>
        <v>18186.670737954271</v>
      </c>
      <c r="I810" s="18">
        <f>IF($A810&gt;30,I809,(I809-H779+H810)*(1+$B$7))</f>
        <v>0</v>
      </c>
      <c r="J810" s="18">
        <f t="shared" si="86"/>
        <v>-18732.2708600929</v>
      </c>
      <c r="K810" s="18">
        <f>IF($A810&gt;30,0,(K779-MIN(MAX(L809,0),K779))+MIN(MAX(0,M809-(K779-MIN(MAX(L809,0),K779))),MAX(0,5*K779-(L809-MIN(MAX(L809,0),K779)))))</f>
        <v>0</v>
      </c>
      <c r="L810" s="18">
        <f>IF($A810&gt;30,L809,(L809-K779+K810)*(1+$B$7))</f>
        <v>43028.587463512413</v>
      </c>
      <c r="M810" s="18">
        <f t="shared" si="87"/>
        <v>0</v>
      </c>
      <c r="N810" s="18">
        <f>IF($A810&gt;30,0,(N779-MIN(MAX(O809,0),N779))+MIN(MAX(0,P809-(N779-MIN(MAX(O809,0),N779))),MAX(0,5*N779-(O809-MIN(MAX(O809,0),N779)))))</f>
        <v>0</v>
      </c>
      <c r="O810" s="18">
        <f>IF($A810&gt;30,O809,(O809-N779+N810)*(1+$B$7))</f>
        <v>42980.74460941524</v>
      </c>
      <c r="P810" s="18">
        <f t="shared" si="88"/>
        <v>0</v>
      </c>
      <c r="Q810" s="18">
        <f>IF($A810&gt;30,0,(Q779-MIN(MAX(R809,0),Q779))+MIN(MAX(0,S809-(Q779-MIN(MAX(R809,0),Q779))),MAX(0,5*Q779-(R809-MIN(MAX(R809,0),Q779)))))</f>
        <v>0</v>
      </c>
      <c r="R810" s="18">
        <f>IF($A810&gt;30,R809,(R809-Q779+Q810)*(1+$B$7))</f>
        <v>42980.625283479676</v>
      </c>
      <c r="S810" s="18">
        <f t="shared" si="89"/>
        <v>0</v>
      </c>
    </row>
    <row r="811" spans="1:19">
      <c r="A811" s="10">
        <f>30</f>
        <v>30</v>
      </c>
      <c r="B811" s="18">
        <f>IF($A811&gt;30,0,(B779-MIN(MAX(C810,0),B779))+MIN(MAX(0,D810-(B779-MIN(MAX(C810,0),B779))),MAX(0,5*B779-(C810-MIN(MAX(C810,0),B779)))))</f>
        <v>30540</v>
      </c>
      <c r="C811" s="18">
        <f>IF($A811&gt;30,C810,(C810-B779+B811)*(1+$B$7))</f>
        <v>149460</v>
      </c>
      <c r="D811" s="18">
        <f t="shared" si="84"/>
        <v>567942.03070444847</v>
      </c>
      <c r="E811" s="18">
        <f>IF($A811&gt;30,0,(E779-MIN(MAX(F810,0),E779))+MIN(MAX(0,G810-(E779-MIN(MAX(F810,0),E779))),MAX(0,5*E779-(F810-MIN(MAX(F810,0),E779)))))</f>
        <v>75000</v>
      </c>
      <c r="F811" s="18">
        <f>IF($A811&gt;30,F810,(F810-E779+E811)*(1+$B$7))</f>
        <v>0</v>
      </c>
      <c r="G811" s="18">
        <f t="shared" si="85"/>
        <v>-1534648.1622868613</v>
      </c>
      <c r="H811" s="18">
        <f>IF($A811&gt;30,0,(H779-MIN(MAX(I810,0),H779))+MIN(MAX(0,J810-(H779-MIN(MAX(I810,0),H779))),MAX(0,5*H779-(I810-MIN(MAX(I810,0),H779)))))</f>
        <v>44334.978626217839</v>
      </c>
      <c r="I811" s="18">
        <f>IF($A811&gt;30,I810,(I810-H779+H811)*(1+$B$7))</f>
        <v>0</v>
      </c>
      <c r="J811" s="18">
        <f t="shared" si="86"/>
        <v>-64959.266970900069</v>
      </c>
      <c r="K811" s="18">
        <f>IF($A811&gt;30,0,(K779-MIN(MAX(L810,0),K779))+MIN(MAX(0,M810-(K779-MIN(MAX(L810,0),K779))),MAX(0,5*K779-(L810-MIN(MAX(L810,0),K779)))))</f>
        <v>0</v>
      </c>
      <c r="L811" s="18">
        <f>IF($A811&gt;30,L810,(L810-K779+K811)*(1+$B$7))</f>
        <v>48.805952156440952</v>
      </c>
      <c r="M811" s="18">
        <f t="shared" si="87"/>
        <v>0</v>
      </c>
      <c r="N811" s="18">
        <f>IF($A811&gt;30,0,(N779-MIN(MAX(O810,0),N779))+MIN(MAX(0,P810-(N779-MIN(MAX(O810,0),N779))),MAX(0,5*N779-(O810-MIN(MAX(O810,0),N779)))))</f>
        <v>0</v>
      </c>
      <c r="O811" s="18">
        <f>IF($A811&gt;30,O810,(O810-N779+N811)*(1+$B$7))</f>
        <v>0.12142517150198109</v>
      </c>
      <c r="P811" s="18">
        <f t="shared" si="88"/>
        <v>0</v>
      </c>
      <c r="Q811" s="18">
        <f>IF($A811&gt;30,0,(Q779-MIN(MAX(R810,0),Q779))+MIN(MAX(0,S810-(Q779-MIN(MAX(R810,0),Q779))),MAX(0,5*Q779-(R810-MIN(MAX(R810,0),Q779)))))</f>
        <v>0</v>
      </c>
      <c r="R811" s="18">
        <f>IF($A811&gt;30,R810,(R810-Q779+Q811)*(1+$B$7))</f>
        <v>6.9597736001014706E-10</v>
      </c>
      <c r="S811" s="18">
        <f t="shared" si="89"/>
        <v>0</v>
      </c>
    </row>
    <row r="812" spans="1:19">
      <c r="A812" s="10">
        <f>31</f>
        <v>31</v>
      </c>
      <c r="B812" s="18">
        <f>IF($A812&gt;30,0,(B779-MIN(MAX(C811,0),B779))+MIN(MAX(0,D811-(B779-MIN(MAX(C811,0),B779))),MAX(0,5*B779-(C811-MIN(MAX(C811,0),B779)))))</f>
        <v>0</v>
      </c>
      <c r="C812" s="18">
        <f>IF($A812&gt;30,C811,(C811-B779+B812)*(1+$B$7))</f>
        <v>149460</v>
      </c>
      <c r="D812" s="18">
        <f t="shared" si="84"/>
        <v>567942.03070444847</v>
      </c>
      <c r="E812" s="18">
        <f>IF($A812&gt;30,0,(E779-MIN(MAX(F811,0),E779))+MIN(MAX(0,G811-(E779-MIN(MAX(F811,0),E779))),MAX(0,5*E779-(F811-MIN(MAX(F811,0),E779)))))</f>
        <v>0</v>
      </c>
      <c r="F812" s="18">
        <f>IF($A812&gt;30,F811,(F811-E779+E812)*(1+$B$7))</f>
        <v>0</v>
      </c>
      <c r="G812" s="18">
        <f t="shared" si="85"/>
        <v>-1534648.1622868613</v>
      </c>
      <c r="H812" s="18">
        <f>IF($A812&gt;30,0,(H779-MIN(MAX(I811,0),H779))+MIN(MAX(0,J811-(H779-MIN(MAX(I811,0),H779))),MAX(0,5*H779-(I811-MIN(MAX(I811,0),H779)))))</f>
        <v>0</v>
      </c>
      <c r="I812" s="18">
        <f>IF($A812&gt;30,I811,(I811-H779+H812)*(1+$B$7))</f>
        <v>0</v>
      </c>
      <c r="J812" s="18">
        <f t="shared" si="86"/>
        <v>-64959.266970900069</v>
      </c>
      <c r="K812" s="18">
        <f>IF($A812&gt;30,0,(K779-MIN(MAX(L811,0),K779))+MIN(MAX(0,M811-(K779-MIN(MAX(L811,0),K779))),MAX(0,5*K779-(L811-MIN(MAX(L811,0),K779)))))</f>
        <v>0</v>
      </c>
      <c r="L812" s="18">
        <f>IF($A812&gt;30,L811,(L811-K779+K812)*(1+$B$7))</f>
        <v>48.805952156440952</v>
      </c>
      <c r="M812" s="18">
        <f t="shared" si="87"/>
        <v>0</v>
      </c>
      <c r="N812" s="18">
        <f>IF($A812&gt;30,0,(N779-MIN(MAX(O811,0),N779))+MIN(MAX(0,P811-(N779-MIN(MAX(O811,0),N779))),MAX(0,5*N779-(O811-MIN(MAX(O811,0),N779)))))</f>
        <v>0</v>
      </c>
      <c r="O812" s="18">
        <f>IF($A812&gt;30,O811,(O811-N779+N812)*(1+$B$7))</f>
        <v>0.12142517150198109</v>
      </c>
      <c r="P812" s="18">
        <f t="shared" si="88"/>
        <v>0</v>
      </c>
      <c r="Q812" s="18">
        <f>IF($A812&gt;30,0,(Q779-MIN(MAX(R811,0),Q779))+MIN(MAX(0,S811-(Q779-MIN(MAX(R811,0),Q779))),MAX(0,5*Q779-(R811-MIN(MAX(R811,0),Q779)))))</f>
        <v>0</v>
      </c>
      <c r="R812" s="18">
        <f>IF($A812&gt;30,R811,(R811-Q779+Q812)*(1+$B$7))</f>
        <v>6.9597736001014706E-10</v>
      </c>
      <c r="S812" s="18">
        <f t="shared" si="89"/>
        <v>0</v>
      </c>
    </row>
    <row r="813" spans="1:19">
      <c r="A813" s="10">
        <f>32</f>
        <v>32</v>
      </c>
      <c r="B813" s="18">
        <f>IF($A813&gt;30,0,(B779-MIN(MAX(C812,0),B779))+MIN(MAX(0,D812-(B779-MIN(MAX(C812,0),B779))),MAX(0,5*B779-(C812-MIN(MAX(C812,0),B779)))))</f>
        <v>0</v>
      </c>
      <c r="C813" s="18">
        <f>IF($A813&gt;30,C812,(C812-B779+B813)*(1+$B$7))</f>
        <v>149460</v>
      </c>
      <c r="D813" s="18">
        <f t="shared" si="84"/>
        <v>567942.03070444847</v>
      </c>
      <c r="E813" s="18">
        <f>IF($A813&gt;30,0,(E779-MIN(MAX(F812,0),E779))+MIN(MAX(0,G812-(E779-MIN(MAX(F812,0),E779))),MAX(0,5*E779-(F812-MIN(MAX(F812,0),E779)))))</f>
        <v>0</v>
      </c>
      <c r="F813" s="18">
        <f>IF($A813&gt;30,F812,(F812-E779+E813)*(1+$B$7))</f>
        <v>0</v>
      </c>
      <c r="G813" s="18">
        <f t="shared" si="85"/>
        <v>-1534648.1622868613</v>
      </c>
      <c r="H813" s="18">
        <f>IF($A813&gt;30,0,(H779-MIN(MAX(I812,0),H779))+MIN(MAX(0,J812-(H779-MIN(MAX(I812,0),H779))),MAX(0,5*H779-(I812-MIN(MAX(I812,0),H779)))))</f>
        <v>0</v>
      </c>
      <c r="I813" s="18">
        <f>IF($A813&gt;30,I812,(I812-H779+H813)*(1+$B$7))</f>
        <v>0</v>
      </c>
      <c r="J813" s="18">
        <f t="shared" si="86"/>
        <v>-64959.266970900069</v>
      </c>
      <c r="K813" s="18">
        <f>IF($A813&gt;30,0,(K779-MIN(MAX(L812,0),K779))+MIN(MAX(0,M812-(K779-MIN(MAX(L812,0),K779))),MAX(0,5*K779-(L812-MIN(MAX(L812,0),K779)))))</f>
        <v>0</v>
      </c>
      <c r="L813" s="18">
        <f>IF($A813&gt;30,L812,(L812-K779+K813)*(1+$B$7))</f>
        <v>48.805952156440952</v>
      </c>
      <c r="M813" s="18">
        <f t="shared" si="87"/>
        <v>0</v>
      </c>
      <c r="N813" s="18">
        <f>IF($A813&gt;30,0,(N779-MIN(MAX(O812,0),N779))+MIN(MAX(0,P812-(N779-MIN(MAX(O812,0),N779))),MAX(0,5*N779-(O812-MIN(MAX(O812,0),N779)))))</f>
        <v>0</v>
      </c>
      <c r="O813" s="18">
        <f>IF($A813&gt;30,O812,(O812-N779+N813)*(1+$B$7))</f>
        <v>0.12142517150198109</v>
      </c>
      <c r="P813" s="18">
        <f t="shared" si="88"/>
        <v>0</v>
      </c>
      <c r="Q813" s="18">
        <f>IF($A813&gt;30,0,(Q779-MIN(MAX(R812,0),Q779))+MIN(MAX(0,S812-(Q779-MIN(MAX(R812,0),Q779))),MAX(0,5*Q779-(R812-MIN(MAX(R812,0),Q779)))))</f>
        <v>0</v>
      </c>
      <c r="R813" s="18">
        <f>IF($A813&gt;30,R812,(R812-Q779+Q813)*(1+$B$7))</f>
        <v>6.9597736001014706E-10</v>
      </c>
      <c r="S813" s="18">
        <f t="shared" si="89"/>
        <v>0</v>
      </c>
    </row>
    <row r="814" spans="1:19">
      <c r="A814" s="10">
        <f>33</f>
        <v>33</v>
      </c>
      <c r="B814" s="18">
        <f>IF($A814&gt;30,0,(B779-MIN(MAX(C813,0),B779))+MIN(MAX(0,D813-(B779-MIN(MAX(C813,0),B779))),MAX(0,5*B779-(C813-MIN(MAX(C813,0),B779)))))</f>
        <v>0</v>
      </c>
      <c r="C814" s="18">
        <f>IF($A814&gt;30,C813,(C813-B779+B814)*(1+$B$7))</f>
        <v>149460</v>
      </c>
      <c r="D814" s="18">
        <f t="shared" si="84"/>
        <v>567942.03070444847</v>
      </c>
      <c r="E814" s="18">
        <f>IF($A814&gt;30,0,(E779-MIN(MAX(F813,0),E779))+MIN(MAX(0,G813-(E779-MIN(MAX(F813,0),E779))),MAX(0,5*E779-(F813-MIN(MAX(F813,0),E779)))))</f>
        <v>0</v>
      </c>
      <c r="F814" s="18">
        <f>IF($A814&gt;30,F813,(F813-E779+E814)*(1+$B$7))</f>
        <v>0</v>
      </c>
      <c r="G814" s="18">
        <f t="shared" si="85"/>
        <v>-1534648.1622868613</v>
      </c>
      <c r="H814" s="18">
        <f>IF($A814&gt;30,0,(H779-MIN(MAX(I813,0),H779))+MIN(MAX(0,J813-(H779-MIN(MAX(I813,0),H779))),MAX(0,5*H779-(I813-MIN(MAX(I813,0),H779)))))</f>
        <v>0</v>
      </c>
      <c r="I814" s="18">
        <f>IF($A814&gt;30,I813,(I813-H779+H814)*(1+$B$7))</f>
        <v>0</v>
      </c>
      <c r="J814" s="18">
        <f t="shared" si="86"/>
        <v>-64959.266970900069</v>
      </c>
      <c r="K814" s="18">
        <f>IF($A814&gt;30,0,(K779-MIN(MAX(L813,0),K779))+MIN(MAX(0,M813-(K779-MIN(MAX(L813,0),K779))),MAX(0,5*K779-(L813-MIN(MAX(L813,0),K779)))))</f>
        <v>0</v>
      </c>
      <c r="L814" s="18">
        <f>IF($A814&gt;30,L813,(L813-K779+K814)*(1+$B$7))</f>
        <v>48.805952156440952</v>
      </c>
      <c r="M814" s="18">
        <f t="shared" si="87"/>
        <v>0</v>
      </c>
      <c r="N814" s="18">
        <f>IF($A814&gt;30,0,(N779-MIN(MAX(O813,0),N779))+MIN(MAX(0,P813-(N779-MIN(MAX(O813,0),N779))),MAX(0,5*N779-(O813-MIN(MAX(O813,0),N779)))))</f>
        <v>0</v>
      </c>
      <c r="O814" s="18">
        <f>IF($A814&gt;30,O813,(O813-N779+N814)*(1+$B$7))</f>
        <v>0.12142517150198109</v>
      </c>
      <c r="P814" s="18">
        <f t="shared" si="88"/>
        <v>0</v>
      </c>
      <c r="Q814" s="18">
        <f>IF($A814&gt;30,0,(Q779-MIN(MAX(R813,0),Q779))+MIN(MAX(0,S813-(Q779-MIN(MAX(R813,0),Q779))),MAX(0,5*Q779-(R813-MIN(MAX(R813,0),Q779)))))</f>
        <v>0</v>
      </c>
      <c r="R814" s="18">
        <f>IF($A814&gt;30,R813,(R813-Q779+Q814)*(1+$B$7))</f>
        <v>6.9597736001014706E-10</v>
      </c>
      <c r="S814" s="18">
        <f t="shared" si="89"/>
        <v>0</v>
      </c>
    </row>
    <row r="815" spans="1:19">
      <c r="A815" s="10">
        <f>34</f>
        <v>34</v>
      </c>
      <c r="B815" s="18">
        <f>IF($A815&gt;30,0,(B779-MIN(MAX(C814,0),B779))+MIN(MAX(0,D814-(B779-MIN(MAX(C814,0),B779))),MAX(0,5*B779-(C814-MIN(MAX(C814,0),B779)))))</f>
        <v>0</v>
      </c>
      <c r="C815" s="18">
        <f>IF($A815&gt;30,C814,(C814-B779+B815)*(1+$B$7))</f>
        <v>149460</v>
      </c>
      <c r="D815" s="18">
        <f t="shared" si="84"/>
        <v>567942.03070444847</v>
      </c>
      <c r="E815" s="18">
        <f>IF($A815&gt;30,0,(E779-MIN(MAX(F814,0),E779))+MIN(MAX(0,G814-(E779-MIN(MAX(F814,0),E779))),MAX(0,5*E779-(F814-MIN(MAX(F814,0),E779)))))</f>
        <v>0</v>
      </c>
      <c r="F815" s="18">
        <f>IF($A815&gt;30,F814,(F814-E779+E815)*(1+$B$7))</f>
        <v>0</v>
      </c>
      <c r="G815" s="18">
        <f t="shared" si="85"/>
        <v>-1534648.1622868613</v>
      </c>
      <c r="H815" s="18">
        <f>IF($A815&gt;30,0,(H779-MIN(MAX(I814,0),H779))+MIN(MAX(0,J814-(H779-MIN(MAX(I814,0),H779))),MAX(0,5*H779-(I814-MIN(MAX(I814,0),H779)))))</f>
        <v>0</v>
      </c>
      <c r="I815" s="18">
        <f>IF($A815&gt;30,I814,(I814-H779+H815)*(1+$B$7))</f>
        <v>0</v>
      </c>
      <c r="J815" s="18">
        <f t="shared" si="86"/>
        <v>-64959.266970900069</v>
      </c>
      <c r="K815" s="18">
        <f>IF($A815&gt;30,0,(K779-MIN(MAX(L814,0),K779))+MIN(MAX(0,M814-(K779-MIN(MAX(L814,0),K779))),MAX(0,5*K779-(L814-MIN(MAX(L814,0),K779)))))</f>
        <v>0</v>
      </c>
      <c r="L815" s="18">
        <f>IF($A815&gt;30,L814,(L814-K779+K815)*(1+$B$7))</f>
        <v>48.805952156440952</v>
      </c>
      <c r="M815" s="18">
        <f t="shared" si="87"/>
        <v>0</v>
      </c>
      <c r="N815" s="18">
        <f>IF($A815&gt;30,0,(N779-MIN(MAX(O814,0),N779))+MIN(MAX(0,P814-(N779-MIN(MAX(O814,0),N779))),MAX(0,5*N779-(O814-MIN(MAX(O814,0),N779)))))</f>
        <v>0</v>
      </c>
      <c r="O815" s="18">
        <f>IF($A815&gt;30,O814,(O814-N779+N815)*(1+$B$7))</f>
        <v>0.12142517150198109</v>
      </c>
      <c r="P815" s="18">
        <f t="shared" si="88"/>
        <v>0</v>
      </c>
      <c r="Q815" s="18">
        <f>IF($A815&gt;30,0,(Q779-MIN(MAX(R814,0),Q779))+MIN(MAX(0,S814-(Q779-MIN(MAX(R814,0),Q779))),MAX(0,5*Q779-(R814-MIN(MAX(R814,0),Q779)))))</f>
        <v>0</v>
      </c>
      <c r="R815" s="18">
        <f>IF($A815&gt;30,R814,(R814-Q779+Q815)*(1+$B$7))</f>
        <v>6.9597736001014706E-10</v>
      </c>
      <c r="S815" s="18">
        <f t="shared" si="89"/>
        <v>0</v>
      </c>
    </row>
    <row r="816" spans="1:19">
      <c r="A816" s="10">
        <f>35</f>
        <v>35</v>
      </c>
      <c r="B816" s="18">
        <f>IF($A816&gt;30,0,(B779-MIN(MAX(C815,0),B779))+MIN(MAX(0,D815-(B779-MIN(MAX(C815,0),B779))),MAX(0,5*B779-(C815-MIN(MAX(C815,0),B779)))))</f>
        <v>0</v>
      </c>
      <c r="C816" s="18">
        <f>IF($A816&gt;30,C815,(C815-B779+B816)*(1+$B$7))</f>
        <v>149460</v>
      </c>
      <c r="D816" s="18">
        <f t="shared" si="84"/>
        <v>567942.03070444847</v>
      </c>
      <c r="E816" s="18">
        <f>IF($A816&gt;30,0,(E779-MIN(MAX(F815,0),E779))+MIN(MAX(0,G815-(E779-MIN(MAX(F815,0),E779))),MAX(0,5*E779-(F815-MIN(MAX(F815,0),E779)))))</f>
        <v>0</v>
      </c>
      <c r="F816" s="18">
        <f>IF($A816&gt;30,F815,(F815-E779+E816)*(1+$B$7))</f>
        <v>0</v>
      </c>
      <c r="G816" s="18">
        <f t="shared" si="85"/>
        <v>-1534648.1622868613</v>
      </c>
      <c r="H816" s="18">
        <f>IF($A816&gt;30,0,(H779-MIN(MAX(I815,0),H779))+MIN(MAX(0,J815-(H779-MIN(MAX(I815,0),H779))),MAX(0,5*H779-(I815-MIN(MAX(I815,0),H779)))))</f>
        <v>0</v>
      </c>
      <c r="I816" s="18">
        <f>IF($A816&gt;30,I815,(I815-H779+H816)*(1+$B$7))</f>
        <v>0</v>
      </c>
      <c r="J816" s="18">
        <f t="shared" si="86"/>
        <v>-64959.266970900069</v>
      </c>
      <c r="K816" s="18">
        <f>IF($A816&gt;30,0,(K779-MIN(MAX(L815,0),K779))+MIN(MAX(0,M815-(K779-MIN(MAX(L815,0),K779))),MAX(0,5*K779-(L815-MIN(MAX(L815,0),K779)))))</f>
        <v>0</v>
      </c>
      <c r="L816" s="18">
        <f>IF($A816&gt;30,L815,(L815-K779+K816)*(1+$B$7))</f>
        <v>48.805952156440952</v>
      </c>
      <c r="M816" s="18">
        <f t="shared" si="87"/>
        <v>0</v>
      </c>
      <c r="N816" s="18">
        <f>IF($A816&gt;30,0,(N779-MIN(MAX(O815,0),N779))+MIN(MAX(0,P815-(N779-MIN(MAX(O815,0),N779))),MAX(0,5*N779-(O815-MIN(MAX(O815,0),N779)))))</f>
        <v>0</v>
      </c>
      <c r="O816" s="18">
        <f>IF($A816&gt;30,O815,(O815-N779+N816)*(1+$B$7))</f>
        <v>0.12142517150198109</v>
      </c>
      <c r="P816" s="18">
        <f t="shared" si="88"/>
        <v>0</v>
      </c>
      <c r="Q816" s="18">
        <f>IF($A816&gt;30,0,(Q779-MIN(MAX(R815,0),Q779))+MIN(MAX(0,S815-(Q779-MIN(MAX(R815,0),Q779))),MAX(0,5*Q779-(R815-MIN(MAX(R815,0),Q779)))))</f>
        <v>0</v>
      </c>
      <c r="R816" s="18">
        <f>IF($A816&gt;30,R815,(R815-Q779+Q816)*(1+$B$7))</f>
        <v>6.9597736001014706E-10</v>
      </c>
      <c r="S816" s="18">
        <f t="shared" si="89"/>
        <v>0</v>
      </c>
    </row>
    <row r="817" spans="1:19">
      <c r="A817" s="10">
        <f>36</f>
        <v>36</v>
      </c>
      <c r="B817" s="18">
        <f>IF($A817&gt;30,0,(B779-MIN(MAX(C816,0),B779))+MIN(MAX(0,D816-(B779-MIN(MAX(C816,0),B779))),MAX(0,5*B779-(C816-MIN(MAX(C816,0),B779)))))</f>
        <v>0</v>
      </c>
      <c r="C817" s="18">
        <f>IF($A817&gt;30,C816,(C816-B779+B817)*(1+$B$7))</f>
        <v>149460</v>
      </c>
      <c r="D817" s="18">
        <f t="shared" si="84"/>
        <v>567942.03070444847</v>
      </c>
      <c r="E817" s="18">
        <f>IF($A817&gt;30,0,(E779-MIN(MAX(F816,0),E779))+MIN(MAX(0,G816-(E779-MIN(MAX(F816,0),E779))),MAX(0,5*E779-(F816-MIN(MAX(F816,0),E779)))))</f>
        <v>0</v>
      </c>
      <c r="F817" s="18">
        <f>IF($A817&gt;30,F816,(F816-E779+E817)*(1+$B$7))</f>
        <v>0</v>
      </c>
      <c r="G817" s="18">
        <f t="shared" si="85"/>
        <v>-1534648.1622868613</v>
      </c>
      <c r="H817" s="18">
        <f>IF($A817&gt;30,0,(H779-MIN(MAX(I816,0),H779))+MIN(MAX(0,J816-(H779-MIN(MAX(I816,0),H779))),MAX(0,5*H779-(I816-MIN(MAX(I816,0),H779)))))</f>
        <v>0</v>
      </c>
      <c r="I817" s="18">
        <f>IF($A817&gt;30,I816,(I816-H779+H817)*(1+$B$7))</f>
        <v>0</v>
      </c>
      <c r="J817" s="18">
        <f t="shared" si="86"/>
        <v>-64959.266970900069</v>
      </c>
      <c r="K817" s="18">
        <f>IF($A817&gt;30,0,(K779-MIN(MAX(L816,0),K779))+MIN(MAX(0,M816-(K779-MIN(MAX(L816,0),K779))),MAX(0,5*K779-(L816-MIN(MAX(L816,0),K779)))))</f>
        <v>0</v>
      </c>
      <c r="L817" s="18">
        <f>IF($A817&gt;30,L816,(L816-K779+K817)*(1+$B$7))</f>
        <v>48.805952156440952</v>
      </c>
      <c r="M817" s="18">
        <f t="shared" si="87"/>
        <v>0</v>
      </c>
      <c r="N817" s="18">
        <f>IF($A817&gt;30,0,(N779-MIN(MAX(O816,0),N779))+MIN(MAX(0,P816-(N779-MIN(MAX(O816,0),N779))),MAX(0,5*N779-(O816-MIN(MAX(O816,0),N779)))))</f>
        <v>0</v>
      </c>
      <c r="O817" s="18">
        <f>IF($A817&gt;30,O816,(O816-N779+N817)*(1+$B$7))</f>
        <v>0.12142517150198109</v>
      </c>
      <c r="P817" s="18">
        <f t="shared" si="88"/>
        <v>0</v>
      </c>
      <c r="Q817" s="18">
        <f>IF($A817&gt;30,0,(Q779-MIN(MAX(R816,0),Q779))+MIN(MAX(0,S816-(Q779-MIN(MAX(R816,0),Q779))),MAX(0,5*Q779-(R816-MIN(MAX(R816,0),Q779)))))</f>
        <v>0</v>
      </c>
      <c r="R817" s="18">
        <f>IF($A817&gt;30,R816,(R816-Q779+Q817)*(1+$B$7))</f>
        <v>6.9597736001014706E-10</v>
      </c>
      <c r="S817" s="18">
        <f t="shared" si="89"/>
        <v>0</v>
      </c>
    </row>
    <row r="818" spans="1:19">
      <c r="A818" s="10">
        <f>37</f>
        <v>37</v>
      </c>
      <c r="B818" s="18">
        <f>IF($A818&gt;30,0,(B779-MIN(MAX(C817,0),B779))+MIN(MAX(0,D817-(B779-MIN(MAX(C817,0),B779))),MAX(0,5*B779-(C817-MIN(MAX(C817,0),B779)))))</f>
        <v>0</v>
      </c>
      <c r="C818" s="18">
        <f>IF($A818&gt;30,C817,(C817-B779+B818)*(1+$B$7))</f>
        <v>149460</v>
      </c>
      <c r="D818" s="18">
        <f t="shared" si="84"/>
        <v>567942.03070444847</v>
      </c>
      <c r="E818" s="18">
        <f>IF($A818&gt;30,0,(E779-MIN(MAX(F817,0),E779))+MIN(MAX(0,G817-(E779-MIN(MAX(F817,0),E779))),MAX(0,5*E779-(F817-MIN(MAX(F817,0),E779)))))</f>
        <v>0</v>
      </c>
      <c r="F818" s="18">
        <f>IF($A818&gt;30,F817,(F817-E779+E818)*(1+$B$7))</f>
        <v>0</v>
      </c>
      <c r="G818" s="18">
        <f t="shared" si="85"/>
        <v>-1534648.1622868613</v>
      </c>
      <c r="H818" s="18">
        <f>IF($A818&gt;30,0,(H779-MIN(MAX(I817,0),H779))+MIN(MAX(0,J817-(H779-MIN(MAX(I817,0),H779))),MAX(0,5*H779-(I817-MIN(MAX(I817,0),H779)))))</f>
        <v>0</v>
      </c>
      <c r="I818" s="18">
        <f>IF($A818&gt;30,I817,(I817-H779+H818)*(1+$B$7))</f>
        <v>0</v>
      </c>
      <c r="J818" s="18">
        <f t="shared" si="86"/>
        <v>-64959.266970900069</v>
      </c>
      <c r="K818" s="18">
        <f>IF($A818&gt;30,0,(K779-MIN(MAX(L817,0),K779))+MIN(MAX(0,M817-(K779-MIN(MAX(L817,0),K779))),MAX(0,5*K779-(L817-MIN(MAX(L817,0),K779)))))</f>
        <v>0</v>
      </c>
      <c r="L818" s="18">
        <f>IF($A818&gt;30,L817,(L817-K779+K818)*(1+$B$7))</f>
        <v>48.805952156440952</v>
      </c>
      <c r="M818" s="18">
        <f t="shared" si="87"/>
        <v>0</v>
      </c>
      <c r="N818" s="18">
        <f>IF($A818&gt;30,0,(N779-MIN(MAX(O817,0),N779))+MIN(MAX(0,P817-(N779-MIN(MAX(O817,0),N779))),MAX(0,5*N779-(O817-MIN(MAX(O817,0),N779)))))</f>
        <v>0</v>
      </c>
      <c r="O818" s="18">
        <f>IF($A818&gt;30,O817,(O817-N779+N818)*(1+$B$7))</f>
        <v>0.12142517150198109</v>
      </c>
      <c r="P818" s="18">
        <f t="shared" si="88"/>
        <v>0</v>
      </c>
      <c r="Q818" s="18">
        <f>IF($A818&gt;30,0,(Q779-MIN(MAX(R817,0),Q779))+MIN(MAX(0,S817-(Q779-MIN(MAX(R817,0),Q779))),MAX(0,5*Q779-(R817-MIN(MAX(R817,0),Q779)))))</f>
        <v>0</v>
      </c>
      <c r="R818" s="18">
        <f>IF($A818&gt;30,R817,(R817-Q779+Q818)*(1+$B$7))</f>
        <v>6.9597736001014706E-10</v>
      </c>
      <c r="S818" s="18">
        <f t="shared" si="89"/>
        <v>0</v>
      </c>
    </row>
    <row r="819" spans="1:19">
      <c r="A819" s="10">
        <f>38</f>
        <v>38</v>
      </c>
      <c r="B819" s="18">
        <f>IF($A819&gt;30,0,(B779-MIN(MAX(C818,0),B779))+MIN(MAX(0,D818-(B779-MIN(MAX(C818,0),B779))),MAX(0,5*B779-(C818-MIN(MAX(C818,0),B779)))))</f>
        <v>0</v>
      </c>
      <c r="C819" s="18">
        <f>IF($A819&gt;30,C818,(C818-B779+B819)*(1+$B$7))</f>
        <v>149460</v>
      </c>
      <c r="D819" s="18">
        <f t="shared" si="84"/>
        <v>567942.03070444847</v>
      </c>
      <c r="E819" s="18">
        <f>IF($A819&gt;30,0,(E779-MIN(MAX(F818,0),E779))+MIN(MAX(0,G818-(E779-MIN(MAX(F818,0),E779))),MAX(0,5*E779-(F818-MIN(MAX(F818,0),E779)))))</f>
        <v>0</v>
      </c>
      <c r="F819" s="18">
        <f>IF($A819&gt;30,F818,(F818-E779+E819)*(1+$B$7))</f>
        <v>0</v>
      </c>
      <c r="G819" s="18">
        <f t="shared" si="85"/>
        <v>-1534648.1622868613</v>
      </c>
      <c r="H819" s="18">
        <f>IF($A819&gt;30,0,(H779-MIN(MAX(I818,0),H779))+MIN(MAX(0,J818-(H779-MIN(MAX(I818,0),H779))),MAX(0,5*H779-(I818-MIN(MAX(I818,0),H779)))))</f>
        <v>0</v>
      </c>
      <c r="I819" s="18">
        <f>IF($A819&gt;30,I818,(I818-H779+H819)*(1+$B$7))</f>
        <v>0</v>
      </c>
      <c r="J819" s="18">
        <f t="shared" si="86"/>
        <v>-64959.266970900069</v>
      </c>
      <c r="K819" s="18">
        <f>IF($A819&gt;30,0,(K779-MIN(MAX(L818,0),K779))+MIN(MAX(0,M818-(K779-MIN(MAX(L818,0),K779))),MAX(0,5*K779-(L818-MIN(MAX(L818,0),K779)))))</f>
        <v>0</v>
      </c>
      <c r="L819" s="18">
        <f>IF($A819&gt;30,L818,(L818-K779+K819)*(1+$B$7))</f>
        <v>48.805952156440952</v>
      </c>
      <c r="M819" s="18">
        <f t="shared" si="87"/>
        <v>0</v>
      </c>
      <c r="N819" s="18">
        <f>IF($A819&gt;30,0,(N779-MIN(MAX(O818,0),N779))+MIN(MAX(0,P818-(N779-MIN(MAX(O818,0),N779))),MAX(0,5*N779-(O818-MIN(MAX(O818,0),N779)))))</f>
        <v>0</v>
      </c>
      <c r="O819" s="18">
        <f>IF($A819&gt;30,O818,(O818-N779+N819)*(1+$B$7))</f>
        <v>0.12142517150198109</v>
      </c>
      <c r="P819" s="18">
        <f t="shared" si="88"/>
        <v>0</v>
      </c>
      <c r="Q819" s="18">
        <f>IF($A819&gt;30,0,(Q779-MIN(MAX(R818,0),Q779))+MIN(MAX(0,S818-(Q779-MIN(MAX(R818,0),Q779))),MAX(0,5*Q779-(R818-MIN(MAX(R818,0),Q779)))))</f>
        <v>0</v>
      </c>
      <c r="R819" s="18">
        <f>IF($A819&gt;30,R818,(R818-Q779+Q819)*(1+$B$7))</f>
        <v>6.9597736001014706E-10</v>
      </c>
      <c r="S819" s="18">
        <f t="shared" si="89"/>
        <v>0</v>
      </c>
    </row>
    <row r="820" spans="1:19">
      <c r="A820" s="10">
        <f>39</f>
        <v>39</v>
      </c>
      <c r="B820" s="18">
        <f>IF($A820&gt;30,0,(B779-MIN(MAX(C819,0),B779))+MIN(MAX(0,D819-(B779-MIN(MAX(C819,0),B779))),MAX(0,5*B779-(C819-MIN(MAX(C819,0),B779)))))</f>
        <v>0</v>
      </c>
      <c r="C820" s="18">
        <f>IF($A820&gt;30,C819,(C819-B779+B820)*(1+$B$7))</f>
        <v>149460</v>
      </c>
      <c r="D820" s="18">
        <f t="shared" si="84"/>
        <v>567942.03070444847</v>
      </c>
      <c r="E820" s="18">
        <f>IF($A820&gt;30,0,(E779-MIN(MAX(F819,0),E779))+MIN(MAX(0,G819-(E779-MIN(MAX(F819,0),E779))),MAX(0,5*E779-(F819-MIN(MAX(F819,0),E779)))))</f>
        <v>0</v>
      </c>
      <c r="F820" s="18">
        <f>IF($A820&gt;30,F819,(F819-E779+E820)*(1+$B$7))</f>
        <v>0</v>
      </c>
      <c r="G820" s="18">
        <f t="shared" si="85"/>
        <v>-1534648.1622868613</v>
      </c>
      <c r="H820" s="18">
        <f>IF($A820&gt;30,0,(H779-MIN(MAX(I819,0),H779))+MIN(MAX(0,J819-(H779-MIN(MAX(I819,0),H779))),MAX(0,5*H779-(I819-MIN(MAX(I819,0),H779)))))</f>
        <v>0</v>
      </c>
      <c r="I820" s="18">
        <f>IF($A820&gt;30,I819,(I819-H779+H820)*(1+$B$7))</f>
        <v>0</v>
      </c>
      <c r="J820" s="18">
        <f t="shared" si="86"/>
        <v>-64959.266970900069</v>
      </c>
      <c r="K820" s="18">
        <f>IF($A820&gt;30,0,(K779-MIN(MAX(L819,0),K779))+MIN(MAX(0,M819-(K779-MIN(MAX(L819,0),K779))),MAX(0,5*K779-(L819-MIN(MAX(L819,0),K779)))))</f>
        <v>0</v>
      </c>
      <c r="L820" s="18">
        <f>IF($A820&gt;30,L819,(L819-K779+K820)*(1+$B$7))</f>
        <v>48.805952156440952</v>
      </c>
      <c r="M820" s="18">
        <f t="shared" si="87"/>
        <v>0</v>
      </c>
      <c r="N820" s="18">
        <f>IF($A820&gt;30,0,(N779-MIN(MAX(O819,0),N779))+MIN(MAX(0,P819-(N779-MIN(MAX(O819,0),N779))),MAX(0,5*N779-(O819-MIN(MAX(O819,0),N779)))))</f>
        <v>0</v>
      </c>
      <c r="O820" s="18">
        <f>IF($A820&gt;30,O819,(O819-N779+N820)*(1+$B$7))</f>
        <v>0.12142517150198109</v>
      </c>
      <c r="P820" s="18">
        <f t="shared" si="88"/>
        <v>0</v>
      </c>
      <c r="Q820" s="18">
        <f>IF($A820&gt;30,0,(Q779-MIN(MAX(R819,0),Q779))+MIN(MAX(0,S819-(Q779-MIN(MAX(R819,0),Q779))),MAX(0,5*Q779-(R819-MIN(MAX(R819,0),Q779)))))</f>
        <v>0</v>
      </c>
      <c r="R820" s="18">
        <f>IF($A820&gt;30,R819,(R819-Q779+Q820)*(1+$B$7))</f>
        <v>6.9597736001014706E-10</v>
      </c>
      <c r="S820" s="18">
        <f t="shared" si="89"/>
        <v>0</v>
      </c>
    </row>
    <row r="821" spans="1:19">
      <c r="A821" s="10">
        <f>40</f>
        <v>40</v>
      </c>
      <c r="B821" s="18">
        <f>IF($A821&gt;30,0,(B779-MIN(MAX(C820,0),B779))+MIN(MAX(0,D820-(B779-MIN(MAX(C820,0),B779))),MAX(0,5*B779-(C820-MIN(MAX(C820,0),B779)))))</f>
        <v>0</v>
      </c>
      <c r="C821" s="18">
        <f>IF($A821&gt;30,C820,(C820-B779+B821)*(1+$B$7))</f>
        <v>149460</v>
      </c>
      <c r="D821" s="18">
        <f t="shared" si="84"/>
        <v>567942.03070444847</v>
      </c>
      <c r="E821" s="18">
        <f>IF($A821&gt;30,0,(E779-MIN(MAX(F820,0),E779))+MIN(MAX(0,G820-(E779-MIN(MAX(F820,0),E779))),MAX(0,5*E779-(F820-MIN(MAX(F820,0),E779)))))</f>
        <v>0</v>
      </c>
      <c r="F821" s="18">
        <f>IF($A821&gt;30,F820,(F820-E779+E821)*(1+$B$7))</f>
        <v>0</v>
      </c>
      <c r="G821" s="18">
        <f t="shared" si="85"/>
        <v>-1534648.1622868613</v>
      </c>
      <c r="H821" s="18">
        <f>IF($A821&gt;30,0,(H779-MIN(MAX(I820,0),H779))+MIN(MAX(0,J820-(H779-MIN(MAX(I820,0),H779))),MAX(0,5*H779-(I820-MIN(MAX(I820,0),H779)))))</f>
        <v>0</v>
      </c>
      <c r="I821" s="18">
        <f>IF($A821&gt;30,I820,(I820-H779+H821)*(1+$B$7))</f>
        <v>0</v>
      </c>
      <c r="J821" s="18">
        <f t="shared" si="86"/>
        <v>-64959.266970900069</v>
      </c>
      <c r="K821" s="18">
        <f>IF($A821&gt;30,0,(K779-MIN(MAX(L820,0),K779))+MIN(MAX(0,M820-(K779-MIN(MAX(L820,0),K779))),MAX(0,5*K779-(L820-MIN(MAX(L820,0),K779)))))</f>
        <v>0</v>
      </c>
      <c r="L821" s="18">
        <f>IF($A821&gt;30,L820,(L820-K779+K821)*(1+$B$7))</f>
        <v>48.805952156440952</v>
      </c>
      <c r="M821" s="18">
        <f t="shared" si="87"/>
        <v>0</v>
      </c>
      <c r="N821" s="18">
        <f>IF($A821&gt;30,0,(N779-MIN(MAX(O820,0),N779))+MIN(MAX(0,P820-(N779-MIN(MAX(O820,0),N779))),MAX(0,5*N779-(O820-MIN(MAX(O820,0),N779)))))</f>
        <v>0</v>
      </c>
      <c r="O821" s="18">
        <f>IF($A821&gt;30,O820,(O820-N779+N821)*(1+$B$7))</f>
        <v>0.12142517150198109</v>
      </c>
      <c r="P821" s="18">
        <f t="shared" si="88"/>
        <v>0</v>
      </c>
      <c r="Q821" s="18">
        <f>IF($A821&gt;30,0,(Q779-MIN(MAX(R820,0),Q779))+MIN(MAX(0,S820-(Q779-MIN(MAX(R820,0),Q779))),MAX(0,5*Q779-(R820-MIN(MAX(R820,0),Q779)))))</f>
        <v>0</v>
      </c>
      <c r="R821" s="18">
        <f>IF($A821&gt;30,R820,(R820-Q779+Q821)*(1+$B$7))</f>
        <v>6.9597736001014706E-10</v>
      </c>
      <c r="S821" s="18">
        <f t="shared" si="89"/>
        <v>0</v>
      </c>
    </row>
    <row r="822" spans="1:19">
      <c r="B822" s="18">
        <f>C821+D821</f>
        <v>717402.03070444847</v>
      </c>
      <c r="E822" s="18">
        <f>F821+G821</f>
        <v>-1534648.1622868613</v>
      </c>
      <c r="H822" s="18">
        <f>I821+J821</f>
        <v>-64959.266970900069</v>
      </c>
      <c r="K822" s="18">
        <f>L821+M821</f>
        <v>48.805952156440952</v>
      </c>
      <c r="N822" s="18">
        <f>O821+P821</f>
        <v>0.12142517150198109</v>
      </c>
      <c r="Q822" s="18">
        <f>R821+S821</f>
        <v>6.9597736001014706E-10</v>
      </c>
    </row>
    <row r="823" spans="1:19">
      <c r="A823" s="5" t="s">
        <v>266</v>
      </c>
      <c r="B823" s="18">
        <f>IFERROR(Q779-Q822*(Q779-N779)/(Q822-N822),Q779)</f>
        <v>42980.625283478992</v>
      </c>
    </row>
    <row r="825" spans="1:19">
      <c r="A825" s="2" t="s">
        <v>281</v>
      </c>
    </row>
    <row r="826" spans="1:19">
      <c r="B826" s="9">
        <f>0.03*$B$5</f>
        <v>30000</v>
      </c>
      <c r="E826" s="9">
        <f>0.075*$B$5</f>
        <v>75000</v>
      </c>
      <c r="H826" s="18">
        <f>IFERROR(E826-E869*(E826-B826)/(E869-B869),E826)</f>
        <v>49533.261475973391</v>
      </c>
      <c r="K826" s="18">
        <f>IFERROR(H826-H869*(H826-E826)/(H869-E869),H826)</f>
        <v>49533.261475973377</v>
      </c>
      <c r="N826" s="18">
        <f>IFERROR(K826-K869*(K826-H826)/(K869-H869),K826)</f>
        <v>49533.26147597337</v>
      </c>
      <c r="Q826" s="18">
        <f>IFERROR(N826-N869*(N826-K826)/(N869-K869),N826)</f>
        <v>49533.261475973362</v>
      </c>
    </row>
    <row r="827" spans="1:19">
      <c r="A827" s="25" t="s">
        <v>262</v>
      </c>
      <c r="B827" s="25" t="s">
        <v>263</v>
      </c>
      <c r="C827" s="25" t="s">
        <v>264</v>
      </c>
      <c r="D827" s="25" t="s">
        <v>265</v>
      </c>
      <c r="E827" s="25" t="s">
        <v>263</v>
      </c>
      <c r="F827" s="25" t="s">
        <v>264</v>
      </c>
      <c r="G827" s="25" t="s">
        <v>265</v>
      </c>
      <c r="H827" s="25" t="s">
        <v>263</v>
      </c>
      <c r="I827" s="25" t="s">
        <v>264</v>
      </c>
      <c r="J827" s="25" t="s">
        <v>265</v>
      </c>
      <c r="K827" s="25" t="s">
        <v>263</v>
      </c>
      <c r="L827" s="25" t="s">
        <v>264</v>
      </c>
      <c r="M827" s="25" t="s">
        <v>265</v>
      </c>
      <c r="N827" s="25" t="s">
        <v>263</v>
      </c>
      <c r="O827" s="25" t="s">
        <v>264</v>
      </c>
      <c r="P827" s="25" t="s">
        <v>265</v>
      </c>
      <c r="Q827" s="25" t="s">
        <v>263</v>
      </c>
      <c r="R827" s="25" t="s">
        <v>264</v>
      </c>
      <c r="S827" s="25" t="s">
        <v>265</v>
      </c>
    </row>
    <row r="828" spans="1:19">
      <c r="A828" s="3">
        <v>0</v>
      </c>
      <c r="C828" s="18">
        <f>MIN(0*B826,$B$5)</f>
        <v>0</v>
      </c>
      <c r="D828" s="18">
        <f>$B$5-C828</f>
        <v>1000000</v>
      </c>
      <c r="F828" s="18">
        <f>MIN(0*E826,$B$5)</f>
        <v>0</v>
      </c>
      <c r="G828" s="18">
        <f>$B$5-F828</f>
        <v>1000000</v>
      </c>
      <c r="I828" s="18">
        <f>MIN(0*H826,$B$5)</f>
        <v>0</v>
      </c>
      <c r="J828" s="18">
        <f>$B$5-I828</f>
        <v>1000000</v>
      </c>
      <c r="L828" s="18">
        <f>MIN(0*K826,$B$5)</f>
        <v>0</v>
      </c>
      <c r="M828" s="18">
        <f>$B$5-L828</f>
        <v>1000000</v>
      </c>
      <c r="O828" s="18">
        <f>MIN(0*N826,$B$5)</f>
        <v>0</v>
      </c>
      <c r="P828" s="18">
        <f>$B$5-O828</f>
        <v>1000000</v>
      </c>
      <c r="R828" s="18">
        <f>MIN(0*Q826,$B$5)</f>
        <v>0</v>
      </c>
      <c r="S828" s="18">
        <f>$B$5-R828</f>
        <v>1000000</v>
      </c>
    </row>
    <row r="829" spans="1:19">
      <c r="A829" s="10">
        <f>1</f>
        <v>1</v>
      </c>
      <c r="B829" s="18">
        <f>IF($A829&gt;30,0,(B826-MIN(MAX(C828,0),B826))+MIN(MAX(0,D828-(B826-MIN(MAX(C828,0),B826))),MAX(0,0*B826-(C828-MIN(MAX(C828,0),B826)))))</f>
        <v>30000</v>
      </c>
      <c r="C829" s="18">
        <f>IF($A829&gt;30,C828,(C828-B826+B829)*(1+$C$7))</f>
        <v>0</v>
      </c>
      <c r="D829" s="18">
        <f t="shared" ref="D829:D868" si="90">IF($A829&gt;30,D828,(D828-B829)*(1+$B$6))</f>
        <v>999100</v>
      </c>
      <c r="E829" s="18">
        <f>IF($A829&gt;30,0,(E826-MIN(MAX(F828,0),E826))+MIN(MAX(0,G828-(E826-MIN(MAX(F828,0),E826))),MAX(0,0*E826-(F828-MIN(MAX(F828,0),E826)))))</f>
        <v>75000</v>
      </c>
      <c r="F829" s="18">
        <f>IF($A829&gt;30,F828,(F828-E826+E829)*(1+$C$7))</f>
        <v>0</v>
      </c>
      <c r="G829" s="18">
        <f t="shared" ref="G829:G868" si="91">IF($A829&gt;30,G828,(G828-E829)*(1+$B$6))</f>
        <v>952750</v>
      </c>
      <c r="H829" s="18">
        <f>IF($A829&gt;30,0,(H826-MIN(MAX(I828,0),H826))+MIN(MAX(0,J828-(H826-MIN(MAX(I828,0),H826))),MAX(0,0*H826-(I828-MIN(MAX(I828,0),H826)))))</f>
        <v>49533.261475973391</v>
      </c>
      <c r="I829" s="18">
        <f>IF($A829&gt;30,I828,(I828-H826+H829)*(1+$C$7))</f>
        <v>0</v>
      </c>
      <c r="J829" s="18">
        <f t="shared" ref="J829:J868" si="92">IF($A829&gt;30,J828,(J828-H829)*(1+$B$6))</f>
        <v>978980.74067974743</v>
      </c>
      <c r="K829" s="18">
        <f>IF($A829&gt;30,0,(K826-MIN(MAX(L828,0),K826))+MIN(MAX(0,M828-(K826-MIN(MAX(L828,0),K826))),MAX(0,0*K826-(L828-MIN(MAX(L828,0),K826)))))</f>
        <v>49533.261475973377</v>
      </c>
      <c r="L829" s="18">
        <f>IF($A829&gt;30,L828,(L828-K826+K829)*(1+$C$7))</f>
        <v>0</v>
      </c>
      <c r="M829" s="18">
        <f t="shared" ref="M829:M868" si="93">IF($A829&gt;30,M828,(M828-K829)*(1+$B$6))</f>
        <v>978980.74067974743</v>
      </c>
      <c r="N829" s="18">
        <f>IF($A829&gt;30,0,(N826-MIN(MAX(O828,0),N826))+MIN(MAX(0,P828-(N826-MIN(MAX(O828,0),N826))),MAX(0,0*N826-(O828-MIN(MAX(O828,0),N826)))))</f>
        <v>49533.26147597337</v>
      </c>
      <c r="O829" s="18">
        <f>IF($A829&gt;30,O828,(O828-N826+N829)*(1+$C$7))</f>
        <v>0</v>
      </c>
      <c r="P829" s="18">
        <f t="shared" ref="P829:P868" si="94">IF($A829&gt;30,P828,(P828-N829)*(1+$B$6))</f>
        <v>978980.74067974743</v>
      </c>
      <c r="Q829" s="18">
        <f>IF($A829&gt;30,0,(Q826-MIN(MAX(R828,0),Q826))+MIN(MAX(0,S828-(Q826-MIN(MAX(R828,0),Q826))),MAX(0,0*Q826-(R828-MIN(MAX(R828,0),Q826)))))</f>
        <v>49533.261475973362</v>
      </c>
      <c r="R829" s="18">
        <f>IF($A829&gt;30,R828,(R828-Q826+Q829)*(1+$C$7))</f>
        <v>0</v>
      </c>
      <c r="S829" s="18">
        <f t="shared" ref="S829:S868" si="95">IF($A829&gt;30,S828,(S828-Q829)*(1+$B$6))</f>
        <v>978980.74067974743</v>
      </c>
    </row>
    <row r="830" spans="1:19">
      <c r="A830" s="10">
        <f>2</f>
        <v>2</v>
      </c>
      <c r="B830" s="18">
        <f>IF($A830&gt;30,0,(B826-MIN(MAX(C829,0),B826))+MIN(MAX(0,D829-(B826-MIN(MAX(C829,0),B826))),MAX(0,0*B826-(C829-MIN(MAX(C829,0),B826)))))</f>
        <v>30000</v>
      </c>
      <c r="C830" s="18">
        <f>IF($A830&gt;30,C829,(C829-B826+B830)*(1+$C$7))</f>
        <v>0</v>
      </c>
      <c r="D830" s="18">
        <f t="shared" si="90"/>
        <v>998173</v>
      </c>
      <c r="E830" s="18">
        <f>IF($A830&gt;30,0,(E826-MIN(MAX(F829,0),E826))+MIN(MAX(0,G829-(E826-MIN(MAX(F829,0),E826))),MAX(0,0*E826-(F829-MIN(MAX(F829,0),E826)))))</f>
        <v>75000</v>
      </c>
      <c r="F830" s="18">
        <f>IF($A830&gt;30,F829,(F829-E826+E830)*(1+$C$7))</f>
        <v>0</v>
      </c>
      <c r="G830" s="18">
        <f t="shared" si="91"/>
        <v>904082.5</v>
      </c>
      <c r="H830" s="18">
        <f>IF($A830&gt;30,0,(H826-MIN(MAX(I829,0),H826))+MIN(MAX(0,J829-(H826-MIN(MAX(I829,0),H826))),MAX(0,0*H826-(I829-MIN(MAX(I829,0),H826)))))</f>
        <v>49533.261475973391</v>
      </c>
      <c r="I830" s="18">
        <f>IF($A830&gt;30,I829,(I829-H826+H830)*(1+$C$7))</f>
        <v>0</v>
      </c>
      <c r="J830" s="18">
        <f t="shared" si="92"/>
        <v>957330.90357988724</v>
      </c>
      <c r="K830" s="18">
        <f>IF($A830&gt;30,0,(K826-MIN(MAX(L829,0),K826))+MIN(MAX(0,M829-(K826-MIN(MAX(L829,0),K826))),MAX(0,0*K826-(L829-MIN(MAX(L829,0),K826)))))</f>
        <v>49533.261475973377</v>
      </c>
      <c r="L830" s="18">
        <f>IF($A830&gt;30,L829,(L829-K826+K830)*(1+$C$7))</f>
        <v>0</v>
      </c>
      <c r="M830" s="18">
        <f t="shared" si="93"/>
        <v>957330.90357988724</v>
      </c>
      <c r="N830" s="18">
        <f>IF($A830&gt;30,0,(N826-MIN(MAX(O829,0),N826))+MIN(MAX(0,P829-(N826-MIN(MAX(O829,0),N826))),MAX(0,0*N826-(O829-MIN(MAX(O829,0),N826)))))</f>
        <v>49533.26147597337</v>
      </c>
      <c r="O830" s="18">
        <f>IF($A830&gt;30,O829,(O829-N826+N830)*(1+$C$7))</f>
        <v>0</v>
      </c>
      <c r="P830" s="18">
        <f t="shared" si="94"/>
        <v>957330.90357988724</v>
      </c>
      <c r="Q830" s="18">
        <f>IF($A830&gt;30,0,(Q826-MIN(MAX(R829,0),Q826))+MIN(MAX(0,S829-(Q826-MIN(MAX(R829,0),Q826))),MAX(0,0*Q826-(R829-MIN(MAX(R829,0),Q826)))))</f>
        <v>49533.261475973362</v>
      </c>
      <c r="R830" s="18">
        <f>IF($A830&gt;30,R829,(R829-Q826+Q830)*(1+$C$7))</f>
        <v>0</v>
      </c>
      <c r="S830" s="18">
        <f t="shared" si="95"/>
        <v>957330.90357988724</v>
      </c>
    </row>
    <row r="831" spans="1:19">
      <c r="A831" s="10">
        <f>3</f>
        <v>3</v>
      </c>
      <c r="B831" s="18">
        <f>IF($A831&gt;30,0,(B826-MIN(MAX(C830,0),B826))+MIN(MAX(0,D830-(B826-MIN(MAX(C830,0),B826))),MAX(0,0*B826-(C830-MIN(MAX(C830,0),B826)))))</f>
        <v>30000</v>
      </c>
      <c r="C831" s="18">
        <f>IF($A831&gt;30,C830,(C830-B826+B831)*(1+$C$7))</f>
        <v>0</v>
      </c>
      <c r="D831" s="18">
        <f t="shared" si="90"/>
        <v>997218.19000000006</v>
      </c>
      <c r="E831" s="18">
        <f>IF($A831&gt;30,0,(E826-MIN(MAX(F830,0),E826))+MIN(MAX(0,G830-(E826-MIN(MAX(F830,0),E826))),MAX(0,0*E826-(F830-MIN(MAX(F830,0),E826)))))</f>
        <v>75000</v>
      </c>
      <c r="F831" s="18">
        <f>IF($A831&gt;30,F830,(F830-E826+E831)*(1+$C$7))</f>
        <v>0</v>
      </c>
      <c r="G831" s="18">
        <f t="shared" si="91"/>
        <v>853954.97499999998</v>
      </c>
      <c r="H831" s="18">
        <f>IF($A831&gt;30,0,(H826-MIN(MAX(I830,0),H826))+MIN(MAX(0,J830-(H826-MIN(MAX(I830,0),H826))),MAX(0,0*H826-(I830-MIN(MAX(I830,0),H826)))))</f>
        <v>49533.261475973391</v>
      </c>
      <c r="I831" s="18">
        <f>IF($A831&gt;30,I830,(I830-H826+H831)*(1+$C$7))</f>
        <v>0</v>
      </c>
      <c r="J831" s="18">
        <f t="shared" si="92"/>
        <v>935031.57136703131</v>
      </c>
      <c r="K831" s="18">
        <f>IF($A831&gt;30,0,(K826-MIN(MAX(L830,0),K826))+MIN(MAX(0,M830-(K826-MIN(MAX(L830,0),K826))),MAX(0,0*K826-(L830-MIN(MAX(L830,0),K826)))))</f>
        <v>49533.261475973377</v>
      </c>
      <c r="L831" s="18">
        <f>IF($A831&gt;30,L830,(L830-K826+K831)*(1+$C$7))</f>
        <v>0</v>
      </c>
      <c r="M831" s="18">
        <f t="shared" si="93"/>
        <v>935031.57136703131</v>
      </c>
      <c r="N831" s="18">
        <f>IF($A831&gt;30,0,(N826-MIN(MAX(O830,0),N826))+MIN(MAX(0,P830-(N826-MIN(MAX(O830,0),N826))),MAX(0,0*N826-(O830-MIN(MAX(O830,0),N826)))))</f>
        <v>49533.26147597337</v>
      </c>
      <c r="O831" s="18">
        <f>IF($A831&gt;30,O830,(O830-N826+N831)*(1+$C$7))</f>
        <v>0</v>
      </c>
      <c r="P831" s="18">
        <f t="shared" si="94"/>
        <v>935031.57136703131</v>
      </c>
      <c r="Q831" s="18">
        <f>IF($A831&gt;30,0,(Q826-MIN(MAX(R830,0),Q826))+MIN(MAX(0,S830-(Q826-MIN(MAX(R830,0),Q826))),MAX(0,0*Q826-(R830-MIN(MAX(R830,0),Q826)))))</f>
        <v>49533.261475973362</v>
      </c>
      <c r="R831" s="18">
        <f>IF($A831&gt;30,R830,(R830-Q826+Q831)*(1+$C$7))</f>
        <v>0</v>
      </c>
      <c r="S831" s="18">
        <f t="shared" si="95"/>
        <v>935031.57136703131</v>
      </c>
    </row>
    <row r="832" spans="1:19">
      <c r="A832" s="10">
        <f>4</f>
        <v>4</v>
      </c>
      <c r="B832" s="18">
        <f>IF($A832&gt;30,0,(B826-MIN(MAX(C831,0),B826))+MIN(MAX(0,D831-(B826-MIN(MAX(C831,0),B826))),MAX(0,0*B826-(C831-MIN(MAX(C831,0),B826)))))</f>
        <v>30000</v>
      </c>
      <c r="C832" s="18">
        <f>IF($A832&gt;30,C831,(C831-B826+B832)*(1+$C$7))</f>
        <v>0</v>
      </c>
      <c r="D832" s="18">
        <f t="shared" si="90"/>
        <v>996234.73570000008</v>
      </c>
      <c r="E832" s="18">
        <f>IF($A832&gt;30,0,(E826-MIN(MAX(F831,0),E826))+MIN(MAX(0,G831-(E826-MIN(MAX(F831,0),E826))),MAX(0,0*E826-(F831-MIN(MAX(F831,0),E826)))))</f>
        <v>75000</v>
      </c>
      <c r="F832" s="18">
        <f>IF($A832&gt;30,F831,(F831-E826+E832)*(1+$C$7))</f>
        <v>0</v>
      </c>
      <c r="G832" s="18">
        <f t="shared" si="91"/>
        <v>802323.62424999999</v>
      </c>
      <c r="H832" s="18">
        <f>IF($A832&gt;30,0,(H826-MIN(MAX(I831,0),H826))+MIN(MAX(0,J831-(H826-MIN(MAX(I831,0),H826))),MAX(0,0*H826-(I831-MIN(MAX(I831,0),H826)))))</f>
        <v>49533.261475973391</v>
      </c>
      <c r="I832" s="18">
        <f>IF($A832&gt;30,I831,(I831-H826+H832)*(1+$C$7))</f>
        <v>0</v>
      </c>
      <c r="J832" s="18">
        <f t="shared" si="92"/>
        <v>912063.25918778963</v>
      </c>
      <c r="K832" s="18">
        <f>IF($A832&gt;30,0,(K826-MIN(MAX(L831,0),K826))+MIN(MAX(0,M831-(K826-MIN(MAX(L831,0),K826))),MAX(0,0*K826-(L831-MIN(MAX(L831,0),K826)))))</f>
        <v>49533.261475973377</v>
      </c>
      <c r="L832" s="18">
        <f>IF($A832&gt;30,L831,(L831-K826+K832)*(1+$C$7))</f>
        <v>0</v>
      </c>
      <c r="M832" s="18">
        <f t="shared" si="93"/>
        <v>912063.25918778963</v>
      </c>
      <c r="N832" s="18">
        <f>IF($A832&gt;30,0,(N826-MIN(MAX(O831,0),N826))+MIN(MAX(0,P831-(N826-MIN(MAX(O831,0),N826))),MAX(0,0*N826-(O831-MIN(MAX(O831,0),N826)))))</f>
        <v>49533.26147597337</v>
      </c>
      <c r="O832" s="18">
        <f>IF($A832&gt;30,O831,(O831-N826+N832)*(1+$C$7))</f>
        <v>0</v>
      </c>
      <c r="P832" s="18">
        <f t="shared" si="94"/>
        <v>912063.25918778963</v>
      </c>
      <c r="Q832" s="18">
        <f>IF($A832&gt;30,0,(Q826-MIN(MAX(R831,0),Q826))+MIN(MAX(0,S831-(Q826-MIN(MAX(R831,0),Q826))),MAX(0,0*Q826-(R831-MIN(MAX(R831,0),Q826)))))</f>
        <v>49533.261475973362</v>
      </c>
      <c r="R832" s="18">
        <f>IF($A832&gt;30,R831,(R831-Q826+Q832)*(1+$C$7))</f>
        <v>0</v>
      </c>
      <c r="S832" s="18">
        <f t="shared" si="95"/>
        <v>912063.25918778963</v>
      </c>
    </row>
    <row r="833" spans="1:19">
      <c r="A833" s="10">
        <f>5</f>
        <v>5</v>
      </c>
      <c r="B833" s="18">
        <f>IF($A833&gt;30,0,(B826-MIN(MAX(C832,0),B826))+MIN(MAX(0,D832-(B826-MIN(MAX(C832,0),B826))),MAX(0,0*B826-(C832-MIN(MAX(C832,0),B826)))))</f>
        <v>30000</v>
      </c>
      <c r="C833" s="18">
        <f>IF($A833&gt;30,C832,(C832-B826+B833)*(1+$C$7))</f>
        <v>0</v>
      </c>
      <c r="D833" s="18">
        <f t="shared" si="90"/>
        <v>995221.77777100005</v>
      </c>
      <c r="E833" s="18">
        <f>IF($A833&gt;30,0,(E826-MIN(MAX(F832,0),E826))+MIN(MAX(0,G832-(E826-MIN(MAX(F832,0),E826))),MAX(0,0*E826-(F832-MIN(MAX(F832,0),E826)))))</f>
        <v>75000</v>
      </c>
      <c r="F833" s="18">
        <f>IF($A833&gt;30,F832,(F832-E826+E833)*(1+$C$7))</f>
        <v>0</v>
      </c>
      <c r="G833" s="18">
        <f t="shared" si="91"/>
        <v>749143.33297750005</v>
      </c>
      <c r="H833" s="18">
        <f>IF($A833&gt;30,0,(H826-MIN(MAX(I832,0),H826))+MIN(MAX(0,J832-(H826-MIN(MAX(I832,0),H826))),MAX(0,0*H826-(I832-MIN(MAX(I832,0),H826)))))</f>
        <v>49533.261475973391</v>
      </c>
      <c r="I833" s="18">
        <f>IF($A833&gt;30,I832,(I832-H826+H833)*(1+$C$7))</f>
        <v>0</v>
      </c>
      <c r="J833" s="18">
        <f t="shared" si="92"/>
        <v>888405.89764317079</v>
      </c>
      <c r="K833" s="18">
        <f>IF($A833&gt;30,0,(K826-MIN(MAX(L832,0),K826))+MIN(MAX(0,M832-(K826-MIN(MAX(L832,0),K826))),MAX(0,0*K826-(L832-MIN(MAX(L832,0),K826)))))</f>
        <v>49533.261475973377</v>
      </c>
      <c r="L833" s="18">
        <f>IF($A833&gt;30,L832,(L832-K826+K833)*(1+$C$7))</f>
        <v>0</v>
      </c>
      <c r="M833" s="18">
        <f t="shared" si="93"/>
        <v>888405.89764317079</v>
      </c>
      <c r="N833" s="18">
        <f>IF($A833&gt;30,0,(N826-MIN(MAX(O832,0),N826))+MIN(MAX(0,P832-(N826-MIN(MAX(O832,0),N826))),MAX(0,0*N826-(O832-MIN(MAX(O832,0),N826)))))</f>
        <v>49533.26147597337</v>
      </c>
      <c r="O833" s="18">
        <f>IF($A833&gt;30,O832,(O832-N826+N833)*(1+$C$7))</f>
        <v>0</v>
      </c>
      <c r="P833" s="18">
        <f t="shared" si="94"/>
        <v>888405.89764317079</v>
      </c>
      <c r="Q833" s="18">
        <f>IF($A833&gt;30,0,(Q826-MIN(MAX(R832,0),Q826))+MIN(MAX(0,S832-(Q826-MIN(MAX(R832,0),Q826))),MAX(0,0*Q826-(R832-MIN(MAX(R832,0),Q826)))))</f>
        <v>49533.261475973362</v>
      </c>
      <c r="R833" s="18">
        <f>IF($A833&gt;30,R832,(R832-Q826+Q833)*(1+$C$7))</f>
        <v>0</v>
      </c>
      <c r="S833" s="18">
        <f t="shared" si="95"/>
        <v>888405.89764317079</v>
      </c>
    </row>
    <row r="834" spans="1:19">
      <c r="A834" s="10">
        <f>6</f>
        <v>6</v>
      </c>
      <c r="B834" s="18">
        <f>IF($A834&gt;30,0,(B826-MIN(MAX(C833,0),B826))+MIN(MAX(0,D833-(B826-MIN(MAX(C833,0),B826))),MAX(0,0*B826-(C833-MIN(MAX(C833,0),B826)))))</f>
        <v>30000</v>
      </c>
      <c r="C834" s="18">
        <f>IF($A834&gt;30,C833,(C833-B826+B834)*(1+$C$7))</f>
        <v>0</v>
      </c>
      <c r="D834" s="18">
        <f t="shared" si="90"/>
        <v>994178.43110413011</v>
      </c>
      <c r="E834" s="18">
        <f>IF($A834&gt;30,0,(E826-MIN(MAX(F833,0),E826))+MIN(MAX(0,G833-(E826-MIN(MAX(F833,0),E826))),MAX(0,0*E826-(F833-MIN(MAX(F833,0),E826)))))</f>
        <v>75000</v>
      </c>
      <c r="F834" s="18">
        <f>IF($A834&gt;30,F833,(F833-E826+E834)*(1+$C$7))</f>
        <v>0</v>
      </c>
      <c r="G834" s="18">
        <f t="shared" si="91"/>
        <v>694367.63296682504</v>
      </c>
      <c r="H834" s="18">
        <f>IF($A834&gt;30,0,(H826-MIN(MAX(I833,0),H826))+MIN(MAX(0,J833-(H826-MIN(MAX(I833,0),H826))),MAX(0,0*H826-(I833-MIN(MAX(I833,0),H826)))))</f>
        <v>49533.261475973391</v>
      </c>
      <c r="I834" s="18">
        <f>IF($A834&gt;30,I833,(I833-H826+H834)*(1+$C$7))</f>
        <v>0</v>
      </c>
      <c r="J834" s="18">
        <f t="shared" si="92"/>
        <v>864038.81525221327</v>
      </c>
      <c r="K834" s="18">
        <f>IF($A834&gt;30,0,(K826-MIN(MAX(L833,0),K826))+MIN(MAX(0,M833-(K826-MIN(MAX(L833,0),K826))),MAX(0,0*K826-(L833-MIN(MAX(L833,0),K826)))))</f>
        <v>49533.261475973377</v>
      </c>
      <c r="L834" s="18">
        <f>IF($A834&gt;30,L833,(L833-K826+K834)*(1+$C$7))</f>
        <v>0</v>
      </c>
      <c r="M834" s="18">
        <f t="shared" si="93"/>
        <v>864038.81525221327</v>
      </c>
      <c r="N834" s="18">
        <f>IF($A834&gt;30,0,(N826-MIN(MAX(O833,0),N826))+MIN(MAX(0,P833-(N826-MIN(MAX(O833,0),N826))),MAX(0,0*N826-(O833-MIN(MAX(O833,0),N826)))))</f>
        <v>49533.26147597337</v>
      </c>
      <c r="O834" s="18">
        <f>IF($A834&gt;30,O833,(O833-N826+N834)*(1+$C$7))</f>
        <v>0</v>
      </c>
      <c r="P834" s="18">
        <f t="shared" si="94"/>
        <v>864038.81525221327</v>
      </c>
      <c r="Q834" s="18">
        <f>IF($A834&gt;30,0,(Q826-MIN(MAX(R833,0),Q826))+MIN(MAX(0,S833-(Q826-MIN(MAX(R833,0),Q826))),MAX(0,0*Q826-(R833-MIN(MAX(R833,0),Q826)))))</f>
        <v>49533.261475973362</v>
      </c>
      <c r="R834" s="18">
        <f>IF($A834&gt;30,R833,(R833-Q826+Q834)*(1+$C$7))</f>
        <v>0</v>
      </c>
      <c r="S834" s="18">
        <f t="shared" si="95"/>
        <v>864038.81525221327</v>
      </c>
    </row>
    <row r="835" spans="1:19">
      <c r="A835" s="10">
        <f>7</f>
        <v>7</v>
      </c>
      <c r="B835" s="18">
        <f>IF($A835&gt;30,0,(B826-MIN(MAX(C834,0),B826))+MIN(MAX(0,D834-(B826-MIN(MAX(C834,0),B826))),MAX(0,0*B826-(C834-MIN(MAX(C834,0),B826)))))</f>
        <v>30000</v>
      </c>
      <c r="C835" s="18">
        <f>IF($A835&gt;30,C834,(C834-B826+B835)*(1+$C$7))</f>
        <v>0</v>
      </c>
      <c r="D835" s="18">
        <f t="shared" si="90"/>
        <v>993103.78403725405</v>
      </c>
      <c r="E835" s="18">
        <f>IF($A835&gt;30,0,(E826-MIN(MAX(F834,0),E826))+MIN(MAX(0,G834-(E826-MIN(MAX(F834,0),E826))),MAX(0,0*E826-(F834-MIN(MAX(F834,0),E826)))))</f>
        <v>75000</v>
      </c>
      <c r="F835" s="18">
        <f>IF($A835&gt;30,F834,(F834-E826+E835)*(1+$C$7))</f>
        <v>0</v>
      </c>
      <c r="G835" s="18">
        <f t="shared" si="91"/>
        <v>637948.66195582983</v>
      </c>
      <c r="H835" s="18">
        <f>IF($A835&gt;30,0,(H826-MIN(MAX(I834,0),H826))+MIN(MAX(0,J834-(H826-MIN(MAX(I834,0),H826))),MAX(0,0*H826-(I834-MIN(MAX(I834,0),H826)))))</f>
        <v>49533.261475973391</v>
      </c>
      <c r="I835" s="18">
        <f>IF($A835&gt;30,I834,(I834-H826+H835)*(1+$C$7))</f>
        <v>0</v>
      </c>
      <c r="J835" s="18">
        <f t="shared" si="92"/>
        <v>838940.72038952704</v>
      </c>
      <c r="K835" s="18">
        <f>IF($A835&gt;30,0,(K826-MIN(MAX(L834,0),K826))+MIN(MAX(0,M834-(K826-MIN(MAX(L834,0),K826))),MAX(0,0*K826-(L834-MIN(MAX(L834,0),K826)))))</f>
        <v>49533.261475973377</v>
      </c>
      <c r="L835" s="18">
        <f>IF($A835&gt;30,L834,(L834-K826+K835)*(1+$C$7))</f>
        <v>0</v>
      </c>
      <c r="M835" s="18">
        <f t="shared" si="93"/>
        <v>838940.72038952704</v>
      </c>
      <c r="N835" s="18">
        <f>IF($A835&gt;30,0,(N826-MIN(MAX(O834,0),N826))+MIN(MAX(0,P834-(N826-MIN(MAX(O834,0),N826))),MAX(0,0*N826-(O834-MIN(MAX(O834,0),N826)))))</f>
        <v>49533.26147597337</v>
      </c>
      <c r="O835" s="18">
        <f>IF($A835&gt;30,O834,(O834-N826+N835)*(1+$C$7))</f>
        <v>0</v>
      </c>
      <c r="P835" s="18">
        <f t="shared" si="94"/>
        <v>838940.72038952704</v>
      </c>
      <c r="Q835" s="18">
        <f>IF($A835&gt;30,0,(Q826-MIN(MAX(R834,0),Q826))+MIN(MAX(0,S834-(Q826-MIN(MAX(R834,0),Q826))),MAX(0,0*Q826-(R834-MIN(MAX(R834,0),Q826)))))</f>
        <v>49533.261475973362</v>
      </c>
      <c r="R835" s="18">
        <f>IF($A835&gt;30,R834,(R834-Q826+Q835)*(1+$C$7))</f>
        <v>0</v>
      </c>
      <c r="S835" s="18">
        <f t="shared" si="95"/>
        <v>838940.72038952704</v>
      </c>
    </row>
    <row r="836" spans="1:19">
      <c r="A836" s="10">
        <f>8</f>
        <v>8</v>
      </c>
      <c r="B836" s="18">
        <f>IF($A836&gt;30,0,(B826-MIN(MAX(C835,0),B826))+MIN(MAX(0,D835-(B826-MIN(MAX(C835,0),B826))),MAX(0,0*B826-(C835-MIN(MAX(C835,0),B826)))))</f>
        <v>30000</v>
      </c>
      <c r="C836" s="18">
        <f>IF($A836&gt;30,C835,(C835-B826+B836)*(1+$C$7))</f>
        <v>0</v>
      </c>
      <c r="D836" s="18">
        <f t="shared" si="90"/>
        <v>991996.89755837165</v>
      </c>
      <c r="E836" s="18">
        <f>IF($A836&gt;30,0,(E826-MIN(MAX(F835,0),E826))+MIN(MAX(0,G835-(E826-MIN(MAX(F835,0),E826))),MAX(0,0*E826-(F835-MIN(MAX(F835,0),E826)))))</f>
        <v>75000</v>
      </c>
      <c r="F836" s="18">
        <f>IF($A836&gt;30,F835,(F835-E826+E836)*(1+$C$7))</f>
        <v>0</v>
      </c>
      <c r="G836" s="18">
        <f t="shared" si="91"/>
        <v>579837.12181450473</v>
      </c>
      <c r="H836" s="18">
        <f>IF($A836&gt;30,0,(H826-MIN(MAX(I835,0),H826))+MIN(MAX(0,J835-(H826-MIN(MAX(I835,0),H826))),MAX(0,0*H826-(I835-MIN(MAX(I835,0),H826)))))</f>
        <v>49533.261475973391</v>
      </c>
      <c r="I836" s="18">
        <f>IF($A836&gt;30,I835,(I835-H826+H836)*(1+$C$7))</f>
        <v>0</v>
      </c>
      <c r="J836" s="18">
        <f t="shared" si="92"/>
        <v>813089.68268096028</v>
      </c>
      <c r="K836" s="18">
        <f>IF($A836&gt;30,0,(K826-MIN(MAX(L835,0),K826))+MIN(MAX(0,M835-(K826-MIN(MAX(L835,0),K826))),MAX(0,0*K826-(L835-MIN(MAX(L835,0),K826)))))</f>
        <v>49533.261475973377</v>
      </c>
      <c r="L836" s="18">
        <f>IF($A836&gt;30,L835,(L835-K826+K836)*(1+$C$7))</f>
        <v>0</v>
      </c>
      <c r="M836" s="18">
        <f t="shared" si="93"/>
        <v>813089.68268096028</v>
      </c>
      <c r="N836" s="18">
        <f>IF($A836&gt;30,0,(N826-MIN(MAX(O835,0),N826))+MIN(MAX(0,P835-(N826-MIN(MAX(O835,0),N826))),MAX(0,0*N826-(O835-MIN(MAX(O835,0),N826)))))</f>
        <v>49533.26147597337</v>
      </c>
      <c r="O836" s="18">
        <f>IF($A836&gt;30,O835,(O835-N826+N836)*(1+$C$7))</f>
        <v>0</v>
      </c>
      <c r="P836" s="18">
        <f t="shared" si="94"/>
        <v>813089.68268096028</v>
      </c>
      <c r="Q836" s="18">
        <f>IF($A836&gt;30,0,(Q826-MIN(MAX(R835,0),Q826))+MIN(MAX(0,S835-(Q826-MIN(MAX(R835,0),Q826))),MAX(0,0*Q826-(R835-MIN(MAX(R835,0),Q826)))))</f>
        <v>49533.261475973362</v>
      </c>
      <c r="R836" s="18">
        <f>IF($A836&gt;30,R835,(R835-Q826+Q836)*(1+$C$7))</f>
        <v>0</v>
      </c>
      <c r="S836" s="18">
        <f t="shared" si="95"/>
        <v>813089.68268096028</v>
      </c>
    </row>
    <row r="837" spans="1:19">
      <c r="A837" s="10">
        <f>9</f>
        <v>9</v>
      </c>
      <c r="B837" s="18">
        <f>IF($A837&gt;30,0,(B826-MIN(MAX(C836,0),B826))+MIN(MAX(0,D836-(B826-MIN(MAX(C836,0),B826))),MAX(0,0*B826-(C836-MIN(MAX(C836,0),B826)))))</f>
        <v>30000</v>
      </c>
      <c r="C837" s="18">
        <f>IF($A837&gt;30,C836,(C836-B826+B837)*(1+$C$7))</f>
        <v>0</v>
      </c>
      <c r="D837" s="18">
        <f t="shared" si="90"/>
        <v>990856.80448512279</v>
      </c>
      <c r="E837" s="18">
        <f>IF($A837&gt;30,0,(E826-MIN(MAX(F836,0),E826))+MIN(MAX(0,G836-(E826-MIN(MAX(F836,0),E826))),MAX(0,0*E826-(F836-MIN(MAX(F836,0),E826)))))</f>
        <v>75000</v>
      </c>
      <c r="F837" s="18">
        <f>IF($A837&gt;30,F836,(F836-E826+E837)*(1+$C$7))</f>
        <v>0</v>
      </c>
      <c r="G837" s="18">
        <f t="shared" si="91"/>
        <v>519982.23546893988</v>
      </c>
      <c r="H837" s="18">
        <f>IF($A837&gt;30,0,(H826-MIN(MAX(I836,0),H826))+MIN(MAX(0,J836-(H826-MIN(MAX(I836,0),H826))),MAX(0,0*H826-(I836-MIN(MAX(I836,0),H826)))))</f>
        <v>49533.261475973391</v>
      </c>
      <c r="I837" s="18">
        <f>IF($A837&gt;30,I836,(I836-H826+H837)*(1+$C$7))</f>
        <v>0</v>
      </c>
      <c r="J837" s="18">
        <f t="shared" si="92"/>
        <v>786463.11384113645</v>
      </c>
      <c r="K837" s="18">
        <f>IF($A837&gt;30,0,(K826-MIN(MAX(L836,0),K826))+MIN(MAX(0,M836-(K826-MIN(MAX(L836,0),K826))),MAX(0,0*K826-(L836-MIN(MAX(L836,0),K826)))))</f>
        <v>49533.261475973377</v>
      </c>
      <c r="L837" s="18">
        <f>IF($A837&gt;30,L836,(L836-K826+K837)*(1+$C$7))</f>
        <v>0</v>
      </c>
      <c r="M837" s="18">
        <f t="shared" si="93"/>
        <v>786463.11384113645</v>
      </c>
      <c r="N837" s="18">
        <f>IF($A837&gt;30,0,(N826-MIN(MAX(O836,0),N826))+MIN(MAX(0,P836-(N826-MIN(MAX(O836,0),N826))),MAX(0,0*N826-(O836-MIN(MAX(O836,0),N826)))))</f>
        <v>49533.26147597337</v>
      </c>
      <c r="O837" s="18">
        <f>IF($A837&gt;30,O836,(O836-N826+N837)*(1+$C$7))</f>
        <v>0</v>
      </c>
      <c r="P837" s="18">
        <f t="shared" si="94"/>
        <v>786463.11384113645</v>
      </c>
      <c r="Q837" s="18">
        <f>IF($A837&gt;30,0,(Q826-MIN(MAX(R836,0),Q826))+MIN(MAX(0,S836-(Q826-MIN(MAX(R836,0),Q826))),MAX(0,0*Q826-(R836-MIN(MAX(R836,0),Q826)))))</f>
        <v>49533.261475973362</v>
      </c>
      <c r="R837" s="18">
        <f>IF($A837&gt;30,R836,(R836-Q826+Q837)*(1+$C$7))</f>
        <v>0</v>
      </c>
      <c r="S837" s="18">
        <f t="shared" si="95"/>
        <v>786463.11384113645</v>
      </c>
    </row>
    <row r="838" spans="1:19">
      <c r="A838" s="10">
        <f>10</f>
        <v>10</v>
      </c>
      <c r="B838" s="18">
        <f>IF($A838&gt;30,0,(B826-MIN(MAX(C837,0),B826))+MIN(MAX(0,D837-(B826-MIN(MAX(C837,0),B826))),MAX(0,0*B826-(C837-MIN(MAX(C837,0),B826)))))</f>
        <v>30000</v>
      </c>
      <c r="C838" s="18">
        <f>IF($A838&gt;30,C837,(C837-B826+B838)*(1+$C$7))</f>
        <v>0</v>
      </c>
      <c r="D838" s="18">
        <f t="shared" si="90"/>
        <v>989682.50861967646</v>
      </c>
      <c r="E838" s="18">
        <f>IF($A838&gt;30,0,(E826-MIN(MAX(F837,0),E826))+MIN(MAX(0,G837-(E826-MIN(MAX(F837,0),E826))),MAX(0,0*E826-(F837-MIN(MAX(F837,0),E826)))))</f>
        <v>75000</v>
      </c>
      <c r="F838" s="18">
        <f>IF($A838&gt;30,F837,(F837-E826+E838)*(1+$C$7))</f>
        <v>0</v>
      </c>
      <c r="G838" s="18">
        <f t="shared" si="91"/>
        <v>458331.70253300807</v>
      </c>
      <c r="H838" s="18">
        <f>IF($A838&gt;30,0,(H826-MIN(MAX(I837,0),H826))+MIN(MAX(0,J837-(H826-MIN(MAX(I837,0),H826))),MAX(0,0*H826-(I837-MIN(MAX(I837,0),H826)))))</f>
        <v>49533.261475973391</v>
      </c>
      <c r="I838" s="18">
        <f>IF($A838&gt;30,I837,(I837-H826+H838)*(1+$C$7))</f>
        <v>0</v>
      </c>
      <c r="J838" s="18">
        <f t="shared" si="92"/>
        <v>759037.74793611793</v>
      </c>
      <c r="K838" s="18">
        <f>IF($A838&gt;30,0,(K826-MIN(MAX(L837,0),K826))+MIN(MAX(0,M837-(K826-MIN(MAX(L837,0),K826))),MAX(0,0*K826-(L837-MIN(MAX(L837,0),K826)))))</f>
        <v>49533.261475973377</v>
      </c>
      <c r="L838" s="18">
        <f>IF($A838&gt;30,L837,(L837-K826+K838)*(1+$C$7))</f>
        <v>0</v>
      </c>
      <c r="M838" s="18">
        <f t="shared" si="93"/>
        <v>759037.74793611793</v>
      </c>
      <c r="N838" s="18">
        <f>IF($A838&gt;30,0,(N826-MIN(MAX(O837,0),N826))+MIN(MAX(0,P837-(N826-MIN(MAX(O837,0),N826))),MAX(0,0*N826-(O837-MIN(MAX(O837,0),N826)))))</f>
        <v>49533.26147597337</v>
      </c>
      <c r="O838" s="18">
        <f>IF($A838&gt;30,O837,(O837-N826+N838)*(1+$C$7))</f>
        <v>0</v>
      </c>
      <c r="P838" s="18">
        <f t="shared" si="94"/>
        <v>759037.74793611793</v>
      </c>
      <c r="Q838" s="18">
        <f>IF($A838&gt;30,0,(Q826-MIN(MAX(R837,0),Q826))+MIN(MAX(0,S837-(Q826-MIN(MAX(R837,0),Q826))),MAX(0,0*Q826-(R837-MIN(MAX(R837,0),Q826)))))</f>
        <v>49533.261475973362</v>
      </c>
      <c r="R838" s="18">
        <f>IF($A838&gt;30,R837,(R837-Q826+Q838)*(1+$C$7))</f>
        <v>0</v>
      </c>
      <c r="S838" s="18">
        <f t="shared" si="95"/>
        <v>759037.74793611793</v>
      </c>
    </row>
    <row r="839" spans="1:19">
      <c r="A839" s="10">
        <f>11</f>
        <v>11</v>
      </c>
      <c r="B839" s="18">
        <f>IF($A839&gt;30,0,(B826-MIN(MAX(C838,0),B826))+MIN(MAX(0,D838-(B826-MIN(MAX(C838,0),B826))),MAX(0,0*B826-(C838-MIN(MAX(C838,0),B826)))))</f>
        <v>30000</v>
      </c>
      <c r="C839" s="18">
        <f>IF($A839&gt;30,C838,(C838-B826+B839)*(1+$C$7))</f>
        <v>0</v>
      </c>
      <c r="D839" s="18">
        <f t="shared" si="90"/>
        <v>988472.98387826676</v>
      </c>
      <c r="E839" s="18">
        <f>IF($A839&gt;30,0,(E826-MIN(MAX(F838,0),E826))+MIN(MAX(0,G838-(E826-MIN(MAX(F838,0),E826))),MAX(0,0*E826-(F838-MIN(MAX(F838,0),E826)))))</f>
        <v>75000</v>
      </c>
      <c r="F839" s="18">
        <f>IF($A839&gt;30,F838,(F838-E826+E839)*(1+$C$7))</f>
        <v>0</v>
      </c>
      <c r="G839" s="18">
        <f t="shared" si="91"/>
        <v>394831.65360899834</v>
      </c>
      <c r="H839" s="18">
        <f>IF($A839&gt;30,0,(H826-MIN(MAX(I838,0),H826))+MIN(MAX(0,J838-(H826-MIN(MAX(I838,0),H826))),MAX(0,0*H826-(I838-MIN(MAX(I838,0),H826)))))</f>
        <v>49533.261475973391</v>
      </c>
      <c r="I839" s="18">
        <f>IF($A839&gt;30,I838,(I838-H826+H839)*(1+$C$7))</f>
        <v>0</v>
      </c>
      <c r="J839" s="18">
        <f t="shared" si="92"/>
        <v>730789.62105394888</v>
      </c>
      <c r="K839" s="18">
        <f>IF($A839&gt;30,0,(K826-MIN(MAX(L838,0),K826))+MIN(MAX(0,M838-(K826-MIN(MAX(L838,0),K826))),MAX(0,0*K826-(L838-MIN(MAX(L838,0),K826)))))</f>
        <v>49533.261475973377</v>
      </c>
      <c r="L839" s="18">
        <f>IF($A839&gt;30,L838,(L838-K826+K839)*(1+$C$7))</f>
        <v>0</v>
      </c>
      <c r="M839" s="18">
        <f t="shared" si="93"/>
        <v>730789.62105394888</v>
      </c>
      <c r="N839" s="18">
        <f>IF($A839&gt;30,0,(N826-MIN(MAX(O838,0),N826))+MIN(MAX(0,P838-(N826-MIN(MAX(O838,0),N826))),MAX(0,0*N826-(O838-MIN(MAX(O838,0),N826)))))</f>
        <v>49533.26147597337</v>
      </c>
      <c r="O839" s="18">
        <f>IF($A839&gt;30,O838,(O838-N826+N839)*(1+$C$7))</f>
        <v>0</v>
      </c>
      <c r="P839" s="18">
        <f t="shared" si="94"/>
        <v>730789.62105394888</v>
      </c>
      <c r="Q839" s="18">
        <f>IF($A839&gt;30,0,(Q826-MIN(MAX(R838,0),Q826))+MIN(MAX(0,S838-(Q826-MIN(MAX(R838,0),Q826))),MAX(0,0*Q826-(R838-MIN(MAX(R838,0),Q826)))))</f>
        <v>49533.261475973362</v>
      </c>
      <c r="R839" s="18">
        <f>IF($A839&gt;30,R838,(R838-Q826+Q839)*(1+$C$7))</f>
        <v>0</v>
      </c>
      <c r="S839" s="18">
        <f t="shared" si="95"/>
        <v>730789.62105394888</v>
      </c>
    </row>
    <row r="840" spans="1:19">
      <c r="A840" s="10">
        <f>12</f>
        <v>12</v>
      </c>
      <c r="B840" s="18">
        <f>IF($A840&gt;30,0,(B826-MIN(MAX(C839,0),B826))+MIN(MAX(0,D839-(B826-MIN(MAX(C839,0),B826))),MAX(0,0*B826-(C839-MIN(MAX(C839,0),B826)))))</f>
        <v>30000</v>
      </c>
      <c r="C840" s="18">
        <f>IF($A840&gt;30,C839,(C839-B826+B840)*(1+$C$7))</f>
        <v>0</v>
      </c>
      <c r="D840" s="18">
        <f t="shared" si="90"/>
        <v>987227.17339461483</v>
      </c>
      <c r="E840" s="18">
        <f>IF($A840&gt;30,0,(E826-MIN(MAX(F839,0),E826))+MIN(MAX(0,G839-(E826-MIN(MAX(F839,0),E826))),MAX(0,0*E826-(F839-MIN(MAX(F839,0),E826)))))</f>
        <v>75000</v>
      </c>
      <c r="F840" s="18">
        <f>IF($A840&gt;30,F839,(F839-E826+E840)*(1+$C$7))</f>
        <v>0</v>
      </c>
      <c r="G840" s="18">
        <f t="shared" si="91"/>
        <v>329426.6032172683</v>
      </c>
      <c r="H840" s="18">
        <f>IF($A840&gt;30,0,(H826-MIN(MAX(I839,0),H826))+MIN(MAX(0,J839-(H826-MIN(MAX(I839,0),H826))),MAX(0,0*H826-(I839-MIN(MAX(I839,0),H826)))))</f>
        <v>49533.261475973391</v>
      </c>
      <c r="I840" s="18">
        <f>IF($A840&gt;30,I839,(I839-H826+H840)*(1+$C$7))</f>
        <v>0</v>
      </c>
      <c r="J840" s="18">
        <f t="shared" si="92"/>
        <v>701694.0503653147</v>
      </c>
      <c r="K840" s="18">
        <f>IF($A840&gt;30,0,(K826-MIN(MAX(L839,0),K826))+MIN(MAX(0,M839-(K826-MIN(MAX(L839,0),K826))),MAX(0,0*K826-(L839-MIN(MAX(L839,0),K826)))))</f>
        <v>49533.261475973377</v>
      </c>
      <c r="L840" s="18">
        <f>IF($A840&gt;30,L839,(L839-K826+K840)*(1+$C$7))</f>
        <v>0</v>
      </c>
      <c r="M840" s="18">
        <f t="shared" si="93"/>
        <v>701694.0503653147</v>
      </c>
      <c r="N840" s="18">
        <f>IF($A840&gt;30,0,(N826-MIN(MAX(O839,0),N826))+MIN(MAX(0,P839-(N826-MIN(MAX(O839,0),N826))),MAX(0,0*N826-(O839-MIN(MAX(O839,0),N826)))))</f>
        <v>49533.26147597337</v>
      </c>
      <c r="O840" s="18">
        <f>IF($A840&gt;30,O839,(O839-N826+N840)*(1+$C$7))</f>
        <v>0</v>
      </c>
      <c r="P840" s="18">
        <f t="shared" si="94"/>
        <v>701694.0503653147</v>
      </c>
      <c r="Q840" s="18">
        <f>IF($A840&gt;30,0,(Q826-MIN(MAX(R839,0),Q826))+MIN(MAX(0,S839-(Q826-MIN(MAX(R839,0),Q826))),MAX(0,0*Q826-(R839-MIN(MAX(R839,0),Q826)))))</f>
        <v>49533.261475973362</v>
      </c>
      <c r="R840" s="18">
        <f>IF($A840&gt;30,R839,(R839-Q826+Q840)*(1+$C$7))</f>
        <v>0</v>
      </c>
      <c r="S840" s="18">
        <f t="shared" si="95"/>
        <v>701694.0503653147</v>
      </c>
    </row>
    <row r="841" spans="1:19">
      <c r="A841" s="10">
        <f>13</f>
        <v>13</v>
      </c>
      <c r="B841" s="18">
        <f>IF($A841&gt;30,0,(B826-MIN(MAX(C840,0),B826))+MIN(MAX(0,D840-(B826-MIN(MAX(C840,0),B826))),MAX(0,0*B826-(C840-MIN(MAX(C840,0),B826)))))</f>
        <v>30000</v>
      </c>
      <c r="C841" s="18">
        <f>IF($A841&gt;30,C840,(C840-B826+B841)*(1+$C$7))</f>
        <v>0</v>
      </c>
      <c r="D841" s="18">
        <f t="shared" si="90"/>
        <v>985943.98859645333</v>
      </c>
      <c r="E841" s="18">
        <f>IF($A841&gt;30,0,(E826-MIN(MAX(F840,0),E826))+MIN(MAX(0,G840-(E826-MIN(MAX(F840,0),E826))),MAX(0,0*E826-(F840-MIN(MAX(F840,0),E826)))))</f>
        <v>75000</v>
      </c>
      <c r="F841" s="18">
        <f>IF($A841&gt;30,F840,(F840-E826+E841)*(1+$C$7))</f>
        <v>0</v>
      </c>
      <c r="G841" s="18">
        <f t="shared" si="91"/>
        <v>262059.40131378637</v>
      </c>
      <c r="H841" s="18">
        <f>IF($A841&gt;30,0,(H826-MIN(MAX(I840,0),H826))+MIN(MAX(0,J840-(H826-MIN(MAX(I840,0),H826))),MAX(0,0*H826-(I840-MIN(MAX(I840,0),H826)))))</f>
        <v>49533.261475973391</v>
      </c>
      <c r="I841" s="18">
        <f>IF($A841&gt;30,I840,(I840-H826+H841)*(1+$C$7))</f>
        <v>0</v>
      </c>
      <c r="J841" s="18">
        <f t="shared" si="92"/>
        <v>671725.61255602154</v>
      </c>
      <c r="K841" s="18">
        <f>IF($A841&gt;30,0,(K826-MIN(MAX(L840,0),K826))+MIN(MAX(0,M840-(K826-MIN(MAX(L840,0),K826))),MAX(0,0*K826-(L840-MIN(MAX(L840,0),K826)))))</f>
        <v>49533.261475973377</v>
      </c>
      <c r="L841" s="18">
        <f>IF($A841&gt;30,L840,(L840-K826+K841)*(1+$C$7))</f>
        <v>0</v>
      </c>
      <c r="M841" s="18">
        <f t="shared" si="93"/>
        <v>671725.61255602154</v>
      </c>
      <c r="N841" s="18">
        <f>IF($A841&gt;30,0,(N826-MIN(MAX(O840,0),N826))+MIN(MAX(0,P840-(N826-MIN(MAX(O840,0),N826))),MAX(0,0*N826-(O840-MIN(MAX(O840,0),N826)))))</f>
        <v>49533.26147597337</v>
      </c>
      <c r="O841" s="18">
        <f>IF($A841&gt;30,O840,(O840-N826+N841)*(1+$C$7))</f>
        <v>0</v>
      </c>
      <c r="P841" s="18">
        <f t="shared" si="94"/>
        <v>671725.61255602154</v>
      </c>
      <c r="Q841" s="18">
        <f>IF($A841&gt;30,0,(Q826-MIN(MAX(R840,0),Q826))+MIN(MAX(0,S840-(Q826-MIN(MAX(R840,0),Q826))),MAX(0,0*Q826-(R840-MIN(MAX(R840,0),Q826)))))</f>
        <v>49533.261475973362</v>
      </c>
      <c r="R841" s="18">
        <f>IF($A841&gt;30,R840,(R840-Q826+Q841)*(1+$C$7))</f>
        <v>0</v>
      </c>
      <c r="S841" s="18">
        <f t="shared" si="95"/>
        <v>671725.61255602154</v>
      </c>
    </row>
    <row r="842" spans="1:19">
      <c r="A842" s="10">
        <f>14</f>
        <v>14</v>
      </c>
      <c r="B842" s="18">
        <f>IF($A842&gt;30,0,(B826-MIN(MAX(C841,0),B826))+MIN(MAX(0,D841-(B826-MIN(MAX(C841,0),B826))),MAX(0,0*B826-(C841-MIN(MAX(C841,0),B826)))))</f>
        <v>30000</v>
      </c>
      <c r="C842" s="18">
        <f>IF($A842&gt;30,C841,(C841-B826+B842)*(1+$C$7))</f>
        <v>0</v>
      </c>
      <c r="D842" s="18">
        <f t="shared" si="90"/>
        <v>984622.30825434695</v>
      </c>
      <c r="E842" s="18">
        <f>IF($A842&gt;30,0,(E826-MIN(MAX(F841,0),E826))+MIN(MAX(0,G841-(E826-MIN(MAX(F841,0),E826))),MAX(0,0*E826-(F841-MIN(MAX(F841,0),E826)))))</f>
        <v>75000</v>
      </c>
      <c r="F842" s="18">
        <f>IF($A842&gt;30,F841,(F841-E826+E842)*(1+$C$7))</f>
        <v>0</v>
      </c>
      <c r="G842" s="18">
        <f t="shared" si="91"/>
        <v>192671.18335319997</v>
      </c>
      <c r="H842" s="18">
        <f>IF($A842&gt;30,0,(H826-MIN(MAX(I841,0),H826))+MIN(MAX(0,J841-(H826-MIN(MAX(I841,0),H826))),MAX(0,0*H826-(I841-MIN(MAX(I841,0),H826)))))</f>
        <v>49533.261475973391</v>
      </c>
      <c r="I842" s="18">
        <f>IF($A842&gt;30,I841,(I841-H826+H842)*(1+$C$7))</f>
        <v>0</v>
      </c>
      <c r="J842" s="18">
        <f t="shared" si="92"/>
        <v>640858.12161244964</v>
      </c>
      <c r="K842" s="18">
        <f>IF($A842&gt;30,0,(K826-MIN(MAX(L841,0),K826))+MIN(MAX(0,M841-(K826-MIN(MAX(L841,0),K826))),MAX(0,0*K826-(L841-MIN(MAX(L841,0),K826)))))</f>
        <v>49533.261475973377</v>
      </c>
      <c r="L842" s="18">
        <f>IF($A842&gt;30,L841,(L841-K826+K842)*(1+$C$7))</f>
        <v>0</v>
      </c>
      <c r="M842" s="18">
        <f t="shared" si="93"/>
        <v>640858.12161244964</v>
      </c>
      <c r="N842" s="18">
        <f>IF($A842&gt;30,0,(N826-MIN(MAX(O841,0),N826))+MIN(MAX(0,P841-(N826-MIN(MAX(O841,0),N826))),MAX(0,0*N826-(O841-MIN(MAX(O841,0),N826)))))</f>
        <v>49533.26147597337</v>
      </c>
      <c r="O842" s="18">
        <f>IF($A842&gt;30,O841,(O841-N826+N842)*(1+$C$7))</f>
        <v>0</v>
      </c>
      <c r="P842" s="18">
        <f t="shared" si="94"/>
        <v>640858.12161244964</v>
      </c>
      <c r="Q842" s="18">
        <f>IF($A842&gt;30,0,(Q826-MIN(MAX(R841,0),Q826))+MIN(MAX(0,S841-(Q826-MIN(MAX(R841,0),Q826))),MAX(0,0*Q826-(R841-MIN(MAX(R841,0),Q826)))))</f>
        <v>49533.261475973362</v>
      </c>
      <c r="R842" s="18">
        <f>IF($A842&gt;30,R841,(R841-Q826+Q842)*(1+$C$7))</f>
        <v>0</v>
      </c>
      <c r="S842" s="18">
        <f t="shared" si="95"/>
        <v>640858.12161244964</v>
      </c>
    </row>
    <row r="843" spans="1:19">
      <c r="A843" s="10">
        <f>15</f>
        <v>15</v>
      </c>
      <c r="B843" s="18">
        <f>IF($A843&gt;30,0,(B826-MIN(MAX(C842,0),B826))+MIN(MAX(0,D842-(B826-MIN(MAX(C842,0),B826))),MAX(0,0*B826-(C842-MIN(MAX(C842,0),B826)))))</f>
        <v>30000</v>
      </c>
      <c r="C843" s="18">
        <f>IF($A843&gt;30,C842,(C842-B826+B843)*(1+$C$7))</f>
        <v>0</v>
      </c>
      <c r="D843" s="18">
        <f t="shared" si="90"/>
        <v>983260.97750197735</v>
      </c>
      <c r="E843" s="18">
        <f>IF($A843&gt;30,0,(E826-MIN(MAX(F842,0),E826))+MIN(MAX(0,G842-(E826-MIN(MAX(F842,0),E826))),MAX(0,0*E826-(F842-MIN(MAX(F842,0),E826)))))</f>
        <v>75000</v>
      </c>
      <c r="F843" s="18">
        <f>IF($A843&gt;30,F842,(F842-E826+E843)*(1+$C$7))</f>
        <v>0</v>
      </c>
      <c r="G843" s="18">
        <f t="shared" si="91"/>
        <v>121201.31885379598</v>
      </c>
      <c r="H843" s="18">
        <f>IF($A843&gt;30,0,(H826-MIN(MAX(I842,0),H826))+MIN(MAX(0,J842-(H826-MIN(MAX(I842,0),H826))),MAX(0,0*H826-(I842-MIN(MAX(I842,0),H826)))))</f>
        <v>49533.261475973391</v>
      </c>
      <c r="I843" s="18">
        <f>IF($A843&gt;30,I842,(I842-H826+H843)*(1+$C$7))</f>
        <v>0</v>
      </c>
      <c r="J843" s="18">
        <f t="shared" si="92"/>
        <v>609064.60594057059</v>
      </c>
      <c r="K843" s="18">
        <f>IF($A843&gt;30,0,(K826-MIN(MAX(L842,0),K826))+MIN(MAX(0,M842-(K826-MIN(MAX(L842,0),K826))),MAX(0,0*K826-(L842-MIN(MAX(L842,0),K826)))))</f>
        <v>49533.261475973377</v>
      </c>
      <c r="L843" s="18">
        <f>IF($A843&gt;30,L842,(L842-K826+K843)*(1+$C$7))</f>
        <v>0</v>
      </c>
      <c r="M843" s="18">
        <f t="shared" si="93"/>
        <v>609064.60594057059</v>
      </c>
      <c r="N843" s="18">
        <f>IF($A843&gt;30,0,(N826-MIN(MAX(O842,0),N826))+MIN(MAX(0,P842-(N826-MIN(MAX(O842,0),N826))),MAX(0,0*N826-(O842-MIN(MAX(O842,0),N826)))))</f>
        <v>49533.26147597337</v>
      </c>
      <c r="O843" s="18">
        <f>IF($A843&gt;30,O842,(O842-N826+N843)*(1+$C$7))</f>
        <v>0</v>
      </c>
      <c r="P843" s="18">
        <f t="shared" si="94"/>
        <v>609064.60594057059</v>
      </c>
      <c r="Q843" s="18">
        <f>IF($A843&gt;30,0,(Q826-MIN(MAX(R842,0),Q826))+MIN(MAX(0,S842-(Q826-MIN(MAX(R842,0),Q826))),MAX(0,0*Q826-(R842-MIN(MAX(R842,0),Q826)))))</f>
        <v>49533.261475973362</v>
      </c>
      <c r="R843" s="18">
        <f>IF($A843&gt;30,R842,(R842-Q826+Q843)*(1+$C$7))</f>
        <v>0</v>
      </c>
      <c r="S843" s="18">
        <f t="shared" si="95"/>
        <v>609064.60594057059</v>
      </c>
    </row>
    <row r="844" spans="1:19">
      <c r="A844" s="10">
        <f>16</f>
        <v>16</v>
      </c>
      <c r="B844" s="18">
        <f>IF($A844&gt;30,0,(B826-MIN(MAX(C843,0),B826))+MIN(MAX(0,D843-(B826-MIN(MAX(C843,0),B826))),MAX(0,0*B826-(C843-MIN(MAX(C843,0),B826)))))</f>
        <v>30000</v>
      </c>
      <c r="C844" s="18">
        <f>IF($A844&gt;30,C843,(C843-B826+B844)*(1+$C$7))</f>
        <v>0</v>
      </c>
      <c r="D844" s="18">
        <f t="shared" si="90"/>
        <v>981858.80682703666</v>
      </c>
      <c r="E844" s="18">
        <f>IF($A844&gt;30,0,(E826-MIN(MAX(F843,0),E826))+MIN(MAX(0,G843-(E826-MIN(MAX(F843,0),E826))),MAX(0,0*E826-(F843-MIN(MAX(F843,0),E826)))))</f>
        <v>75000</v>
      </c>
      <c r="F844" s="18">
        <f>IF($A844&gt;30,F843,(F843-E826+E844)*(1+$C$7))</f>
        <v>0</v>
      </c>
      <c r="G844" s="18">
        <f t="shared" si="91"/>
        <v>47587.358419409858</v>
      </c>
      <c r="H844" s="18">
        <f>IF($A844&gt;30,0,(H826-MIN(MAX(I843,0),H826))+MIN(MAX(0,J843-(H826-MIN(MAX(I843,0),H826))),MAX(0,0*H826-(I843-MIN(MAX(I843,0),H826)))))</f>
        <v>49533.261475973391</v>
      </c>
      <c r="I844" s="18">
        <f>IF($A844&gt;30,I843,(I843-H826+H844)*(1+$C$7))</f>
        <v>0</v>
      </c>
      <c r="J844" s="18">
        <f t="shared" si="92"/>
        <v>576317.28479853505</v>
      </c>
      <c r="K844" s="18">
        <f>IF($A844&gt;30,0,(K826-MIN(MAX(L843,0),K826))+MIN(MAX(0,M843-(K826-MIN(MAX(L843,0),K826))),MAX(0,0*K826-(L843-MIN(MAX(L843,0),K826)))))</f>
        <v>49533.261475973377</v>
      </c>
      <c r="L844" s="18">
        <f>IF($A844&gt;30,L843,(L843-K826+K844)*(1+$C$7))</f>
        <v>0</v>
      </c>
      <c r="M844" s="18">
        <f t="shared" si="93"/>
        <v>576317.28479853505</v>
      </c>
      <c r="N844" s="18">
        <f>IF($A844&gt;30,0,(N826-MIN(MAX(O843,0),N826))+MIN(MAX(0,P843-(N826-MIN(MAX(O843,0),N826))),MAX(0,0*N826-(O843-MIN(MAX(O843,0),N826)))))</f>
        <v>49533.26147597337</v>
      </c>
      <c r="O844" s="18">
        <f>IF($A844&gt;30,O843,(O843-N826+N844)*(1+$C$7))</f>
        <v>0</v>
      </c>
      <c r="P844" s="18">
        <f t="shared" si="94"/>
        <v>576317.28479853505</v>
      </c>
      <c r="Q844" s="18">
        <f>IF($A844&gt;30,0,(Q826-MIN(MAX(R843,0),Q826))+MIN(MAX(0,S843-(Q826-MIN(MAX(R843,0),Q826))),MAX(0,0*Q826-(R843-MIN(MAX(R843,0),Q826)))))</f>
        <v>49533.261475973362</v>
      </c>
      <c r="R844" s="18">
        <f>IF($A844&gt;30,R843,(R843-Q826+Q844)*(1+$C$7))</f>
        <v>0</v>
      </c>
      <c r="S844" s="18">
        <f t="shared" si="95"/>
        <v>576317.28479853505</v>
      </c>
    </row>
    <row r="845" spans="1:19">
      <c r="A845" s="10">
        <f>17</f>
        <v>17</v>
      </c>
      <c r="B845" s="18">
        <f>IF($A845&gt;30,0,(B826-MIN(MAX(C844,0),B826))+MIN(MAX(0,D844-(B826-MIN(MAX(C844,0),B826))),MAX(0,0*B826-(C844-MIN(MAX(C844,0),B826)))))</f>
        <v>30000</v>
      </c>
      <c r="C845" s="18">
        <f>IF($A845&gt;30,C844,(C844-B826+B845)*(1+$C$7))</f>
        <v>0</v>
      </c>
      <c r="D845" s="18">
        <f t="shared" si="90"/>
        <v>980414.57103184774</v>
      </c>
      <c r="E845" s="18">
        <f>IF($A845&gt;30,0,(E826-MIN(MAX(F844,0),E826))+MIN(MAX(0,G844-(E826-MIN(MAX(F844,0),E826))),MAX(0,0*E826-(F844-MIN(MAX(F844,0),E826)))))</f>
        <v>75000</v>
      </c>
      <c r="F845" s="18">
        <f>IF($A845&gt;30,F844,(F844-E826+E845)*(1+$C$7))</f>
        <v>0</v>
      </c>
      <c r="G845" s="18">
        <f t="shared" si="91"/>
        <v>-28235.020828007848</v>
      </c>
      <c r="H845" s="18">
        <f>IF($A845&gt;30,0,(H826-MIN(MAX(I844,0),H826))+MIN(MAX(0,J844-(H826-MIN(MAX(I844,0),H826))),MAX(0,0*H826-(I844-MIN(MAX(I844,0),H826)))))</f>
        <v>49533.261475973391</v>
      </c>
      <c r="I845" s="18">
        <f>IF($A845&gt;30,I844,(I844-H826+H845)*(1+$C$7))</f>
        <v>0</v>
      </c>
      <c r="J845" s="18">
        <f t="shared" si="92"/>
        <v>542587.54402223846</v>
      </c>
      <c r="K845" s="18">
        <f>IF($A845&gt;30,0,(K826-MIN(MAX(L844,0),K826))+MIN(MAX(0,M844-(K826-MIN(MAX(L844,0),K826))),MAX(0,0*K826-(L844-MIN(MAX(L844,0),K826)))))</f>
        <v>49533.261475973377</v>
      </c>
      <c r="L845" s="18">
        <f>IF($A845&gt;30,L844,(L844-K826+K845)*(1+$C$7))</f>
        <v>0</v>
      </c>
      <c r="M845" s="18">
        <f t="shared" si="93"/>
        <v>542587.54402223846</v>
      </c>
      <c r="N845" s="18">
        <f>IF($A845&gt;30,0,(N826-MIN(MAX(O844,0),N826))+MIN(MAX(0,P844-(N826-MIN(MAX(O844,0),N826))),MAX(0,0*N826-(O844-MIN(MAX(O844,0),N826)))))</f>
        <v>49533.26147597337</v>
      </c>
      <c r="O845" s="18">
        <f>IF($A845&gt;30,O844,(O844-N826+N845)*(1+$C$7))</f>
        <v>0</v>
      </c>
      <c r="P845" s="18">
        <f t="shared" si="94"/>
        <v>542587.54402223846</v>
      </c>
      <c r="Q845" s="18">
        <f>IF($A845&gt;30,0,(Q826-MIN(MAX(R844,0),Q826))+MIN(MAX(0,S844-(Q826-MIN(MAX(R844,0),Q826))),MAX(0,0*Q826-(R844-MIN(MAX(R844,0),Q826)))))</f>
        <v>49533.261475973362</v>
      </c>
      <c r="R845" s="18">
        <f>IF($A845&gt;30,R844,(R844-Q826+Q845)*(1+$C$7))</f>
        <v>0</v>
      </c>
      <c r="S845" s="18">
        <f t="shared" si="95"/>
        <v>542587.54402223846</v>
      </c>
    </row>
    <row r="846" spans="1:19">
      <c r="A846" s="10">
        <f>18</f>
        <v>18</v>
      </c>
      <c r="B846" s="18">
        <f>IF($A846&gt;30,0,(B826-MIN(MAX(C845,0),B826))+MIN(MAX(0,D845-(B826-MIN(MAX(C845,0),B826))),MAX(0,0*B826-(C845-MIN(MAX(C845,0),B826)))))</f>
        <v>30000</v>
      </c>
      <c r="C846" s="18">
        <f>IF($A846&gt;30,C845,(C845-B826+B846)*(1+$C$7))</f>
        <v>0</v>
      </c>
      <c r="D846" s="18">
        <f t="shared" si="90"/>
        <v>978927.00816280325</v>
      </c>
      <c r="E846" s="18">
        <f>IF($A846&gt;30,0,(E826-MIN(MAX(F845,0),E826))+MIN(MAX(0,G845-(E826-MIN(MAX(F845,0),E826))),MAX(0,0*E826-(F845-MIN(MAX(F845,0),E826)))))</f>
        <v>75000</v>
      </c>
      <c r="F846" s="18">
        <f>IF($A846&gt;30,F845,(F845-E826+E846)*(1+$C$7))</f>
        <v>0</v>
      </c>
      <c r="G846" s="18">
        <f t="shared" si="91"/>
        <v>-106332.07145284809</v>
      </c>
      <c r="H846" s="18">
        <f>IF($A846&gt;30,0,(H826-MIN(MAX(I845,0),H826))+MIN(MAX(0,J845-(H826-MIN(MAX(I845,0),H826))),MAX(0,0*H826-(I845-MIN(MAX(I845,0),H826)))))</f>
        <v>49533.261475973391</v>
      </c>
      <c r="I846" s="18">
        <f>IF($A846&gt;30,I845,(I845-H826+H846)*(1+$C$7))</f>
        <v>0</v>
      </c>
      <c r="J846" s="18">
        <f t="shared" si="92"/>
        <v>507845.91102265299</v>
      </c>
      <c r="K846" s="18">
        <f>IF($A846&gt;30,0,(K826-MIN(MAX(L845,0),K826))+MIN(MAX(0,M845-(K826-MIN(MAX(L845,0),K826))),MAX(0,0*K826-(L845-MIN(MAX(L845,0),K826)))))</f>
        <v>49533.261475973377</v>
      </c>
      <c r="L846" s="18">
        <f>IF($A846&gt;30,L845,(L845-K826+K846)*(1+$C$7))</f>
        <v>0</v>
      </c>
      <c r="M846" s="18">
        <f t="shared" si="93"/>
        <v>507845.91102265305</v>
      </c>
      <c r="N846" s="18">
        <f>IF($A846&gt;30,0,(N826-MIN(MAX(O845,0),N826))+MIN(MAX(0,P845-(N826-MIN(MAX(O845,0),N826))),MAX(0,0*N826-(O845-MIN(MAX(O845,0),N826)))))</f>
        <v>49533.26147597337</v>
      </c>
      <c r="O846" s="18">
        <f>IF($A846&gt;30,O845,(O845-N826+N846)*(1+$C$7))</f>
        <v>0</v>
      </c>
      <c r="P846" s="18">
        <f t="shared" si="94"/>
        <v>507845.91102265305</v>
      </c>
      <c r="Q846" s="18">
        <f>IF($A846&gt;30,0,(Q826-MIN(MAX(R845,0),Q826))+MIN(MAX(0,S845-(Q826-MIN(MAX(R845,0),Q826))),MAX(0,0*Q826-(R845-MIN(MAX(R845,0),Q826)))))</f>
        <v>49533.261475973362</v>
      </c>
      <c r="R846" s="18">
        <f>IF($A846&gt;30,R845,(R845-Q826+Q846)*(1+$C$7))</f>
        <v>0</v>
      </c>
      <c r="S846" s="18">
        <f t="shared" si="95"/>
        <v>507845.91102265305</v>
      </c>
    </row>
    <row r="847" spans="1:19">
      <c r="A847" s="10">
        <f>19</f>
        <v>19</v>
      </c>
      <c r="B847" s="18">
        <f>IF($A847&gt;30,0,(B826-MIN(MAX(C846,0),B826))+MIN(MAX(0,D846-(B826-MIN(MAX(C846,0),B826))),MAX(0,0*B826-(C846-MIN(MAX(C846,0),B826)))))</f>
        <v>30000</v>
      </c>
      <c r="C847" s="18">
        <f>IF($A847&gt;30,C846,(C846-B826+B847)*(1+$C$7))</f>
        <v>0</v>
      </c>
      <c r="D847" s="18">
        <f t="shared" si="90"/>
        <v>977394.81840768736</v>
      </c>
      <c r="E847" s="18">
        <f>IF($A847&gt;30,0,(E826-MIN(MAX(F846,0),E826))+MIN(MAX(0,G846-(E826-MIN(MAX(F846,0),E826))),MAX(0,0*E826-(F846-MIN(MAX(F846,0),E826)))))</f>
        <v>75000</v>
      </c>
      <c r="F847" s="18">
        <f>IF($A847&gt;30,F846,(F846-E826+E847)*(1+$C$7))</f>
        <v>0</v>
      </c>
      <c r="G847" s="18">
        <f t="shared" si="91"/>
        <v>-186772.03359643352</v>
      </c>
      <c r="H847" s="18">
        <f>IF($A847&gt;30,0,(H826-MIN(MAX(I846,0),H826))+MIN(MAX(0,J846-(H826-MIN(MAX(I846,0),H826))),MAX(0,0*H826-(I846-MIN(MAX(I846,0),H826)))))</f>
        <v>49533.261475973391</v>
      </c>
      <c r="I847" s="18">
        <f>IF($A847&gt;30,I846,(I846-H826+H847)*(1+$C$7))</f>
        <v>0</v>
      </c>
      <c r="J847" s="18">
        <f t="shared" si="92"/>
        <v>472062.02903307998</v>
      </c>
      <c r="K847" s="18">
        <f>IF($A847&gt;30,0,(K826-MIN(MAX(L846,0),K826))+MIN(MAX(0,M846-(K826-MIN(MAX(L846,0),K826))),MAX(0,0*K826-(L846-MIN(MAX(L846,0),K826)))))</f>
        <v>49533.261475973377</v>
      </c>
      <c r="L847" s="18">
        <f>IF($A847&gt;30,L846,(L846-K826+K847)*(1+$C$7))</f>
        <v>0</v>
      </c>
      <c r="M847" s="18">
        <f t="shared" si="93"/>
        <v>472062.02903308009</v>
      </c>
      <c r="N847" s="18">
        <f>IF($A847&gt;30,0,(N826-MIN(MAX(O846,0),N826))+MIN(MAX(0,P846-(N826-MIN(MAX(O846,0),N826))),MAX(0,0*N826-(O846-MIN(MAX(O846,0),N826)))))</f>
        <v>49533.26147597337</v>
      </c>
      <c r="O847" s="18">
        <f>IF($A847&gt;30,O846,(O846-N826+N847)*(1+$C$7))</f>
        <v>0</v>
      </c>
      <c r="P847" s="18">
        <f t="shared" si="94"/>
        <v>472062.02903308009</v>
      </c>
      <c r="Q847" s="18">
        <f>IF($A847&gt;30,0,(Q826-MIN(MAX(R846,0),Q826))+MIN(MAX(0,S846-(Q826-MIN(MAX(R846,0),Q826))),MAX(0,0*Q826-(R846-MIN(MAX(R846,0),Q826)))))</f>
        <v>49533.261475973362</v>
      </c>
      <c r="R847" s="18">
        <f>IF($A847&gt;30,R846,(R846-Q826+Q847)*(1+$C$7))</f>
        <v>0</v>
      </c>
      <c r="S847" s="18">
        <f t="shared" si="95"/>
        <v>472062.02903308009</v>
      </c>
    </row>
    <row r="848" spans="1:19">
      <c r="A848" s="10">
        <f>20</f>
        <v>20</v>
      </c>
      <c r="B848" s="18">
        <f>IF($A848&gt;30,0,(B826-MIN(MAX(C847,0),B826))+MIN(MAX(0,D847-(B826-MIN(MAX(C847,0),B826))),MAX(0,0*B826-(C847-MIN(MAX(C847,0),B826)))))</f>
        <v>30000</v>
      </c>
      <c r="C848" s="18">
        <f>IF($A848&gt;30,C847,(C847-B826+B848)*(1+$C$7))</f>
        <v>0</v>
      </c>
      <c r="D848" s="18">
        <f t="shared" si="90"/>
        <v>975816.66295991803</v>
      </c>
      <c r="E848" s="18">
        <f>IF($A848&gt;30,0,(E826-MIN(MAX(F847,0),E826))+MIN(MAX(0,G847-(E826-MIN(MAX(F847,0),E826))),MAX(0,0*E826-(F847-MIN(MAX(F847,0),E826)))))</f>
        <v>75000</v>
      </c>
      <c r="F848" s="18">
        <f>IF($A848&gt;30,F847,(F847-E826+E848)*(1+$C$7))</f>
        <v>0</v>
      </c>
      <c r="G848" s="18">
        <f t="shared" si="91"/>
        <v>-269625.19460432656</v>
      </c>
      <c r="H848" s="18">
        <f>IF($A848&gt;30,0,(H826-MIN(MAX(I847,0),H826))+MIN(MAX(0,J847-(H826-MIN(MAX(I847,0),H826))),MAX(0,0*H826-(I847-MIN(MAX(I847,0),H826)))))</f>
        <v>49533.261475973391</v>
      </c>
      <c r="I848" s="18">
        <f>IF($A848&gt;30,I847,(I847-H826+H848)*(1+$C$7))</f>
        <v>0</v>
      </c>
      <c r="J848" s="18">
        <f t="shared" si="92"/>
        <v>435204.63058381976</v>
      </c>
      <c r="K848" s="18">
        <f>IF($A848&gt;30,0,(K826-MIN(MAX(L847,0),K826))+MIN(MAX(0,M847-(K826-MIN(MAX(L847,0),K826))),MAX(0,0*K826-(L847-MIN(MAX(L847,0),K826)))))</f>
        <v>49533.261475973377</v>
      </c>
      <c r="L848" s="18">
        <f>IF($A848&gt;30,L847,(L847-K826+K848)*(1+$C$7))</f>
        <v>0</v>
      </c>
      <c r="M848" s="18">
        <f t="shared" si="93"/>
        <v>435204.63058381993</v>
      </c>
      <c r="N848" s="18">
        <f>IF($A848&gt;30,0,(N826-MIN(MAX(O847,0),N826))+MIN(MAX(0,P847-(N826-MIN(MAX(O847,0),N826))),MAX(0,0*N826-(O847-MIN(MAX(O847,0),N826)))))</f>
        <v>49533.26147597337</v>
      </c>
      <c r="O848" s="18">
        <f>IF($A848&gt;30,O847,(O847-N826+N848)*(1+$C$7))</f>
        <v>0</v>
      </c>
      <c r="P848" s="18">
        <f t="shared" si="94"/>
        <v>435204.63058381993</v>
      </c>
      <c r="Q848" s="18">
        <f>IF($A848&gt;30,0,(Q826-MIN(MAX(R847,0),Q826))+MIN(MAX(0,S847-(Q826-MIN(MAX(R847,0),Q826))),MAX(0,0*Q826-(R847-MIN(MAX(R847,0),Q826)))))</f>
        <v>49533.261475973362</v>
      </c>
      <c r="R848" s="18">
        <f>IF($A848&gt;30,R847,(R847-Q826+Q848)*(1+$C$7))</f>
        <v>0</v>
      </c>
      <c r="S848" s="18">
        <f t="shared" si="95"/>
        <v>435204.63058381993</v>
      </c>
    </row>
    <row r="849" spans="1:19">
      <c r="A849" s="10">
        <f>21</f>
        <v>21</v>
      </c>
      <c r="B849" s="18">
        <f>IF($A849&gt;30,0,(B826-MIN(MAX(C848,0),B826))+MIN(MAX(0,D848-(B826-MIN(MAX(C848,0),B826))),MAX(0,0*B826-(C848-MIN(MAX(C848,0),B826)))))</f>
        <v>30000</v>
      </c>
      <c r="C849" s="18">
        <f>IF($A849&gt;30,C848,(C848-B826+B849)*(1+$C$7))</f>
        <v>0</v>
      </c>
      <c r="D849" s="18">
        <f t="shared" si="90"/>
        <v>974191.16284871555</v>
      </c>
      <c r="E849" s="18">
        <f>IF($A849&gt;30,0,(E826-MIN(MAX(F848,0),E826))+MIN(MAX(0,G848-(E826-MIN(MAX(F848,0),E826))),MAX(0,0*E826-(F848-MIN(MAX(F848,0),E826)))))</f>
        <v>75000</v>
      </c>
      <c r="F849" s="18">
        <f>IF($A849&gt;30,F848,(F848-E826+E849)*(1+$C$7))</f>
        <v>0</v>
      </c>
      <c r="G849" s="18">
        <f t="shared" si="91"/>
        <v>-354963.95044245635</v>
      </c>
      <c r="H849" s="18">
        <f>IF($A849&gt;30,0,(H826-MIN(MAX(I848,0),H826))+MIN(MAX(0,J848-(H826-MIN(MAX(I848,0),H826))),MAX(0,0*H826-(I848-MIN(MAX(I848,0),H826)))))</f>
        <v>49533.261475973391</v>
      </c>
      <c r="I849" s="18">
        <f>IF($A849&gt;30,I848,(I848-H826+H849)*(1+$C$7))</f>
        <v>0</v>
      </c>
      <c r="J849" s="18">
        <f t="shared" si="92"/>
        <v>397241.51018108177</v>
      </c>
      <c r="K849" s="18">
        <f>IF($A849&gt;30,0,(K826-MIN(MAX(L848,0),K826))+MIN(MAX(0,M848-(K826-MIN(MAX(L848,0),K826))),MAX(0,0*K826-(L848-MIN(MAX(L848,0),K826)))))</f>
        <v>49533.261475973377</v>
      </c>
      <c r="L849" s="18">
        <f>IF($A849&gt;30,L848,(L848-K826+K849)*(1+$C$7))</f>
        <v>0</v>
      </c>
      <c r="M849" s="18">
        <f t="shared" si="93"/>
        <v>397241.51018108201</v>
      </c>
      <c r="N849" s="18">
        <f>IF($A849&gt;30,0,(N826-MIN(MAX(O848,0),N826))+MIN(MAX(0,P848-(N826-MIN(MAX(O848,0),N826))),MAX(0,0*N826-(O848-MIN(MAX(O848,0),N826)))))</f>
        <v>49533.26147597337</v>
      </c>
      <c r="O849" s="18">
        <f>IF($A849&gt;30,O848,(O848-N826+N849)*(1+$C$7))</f>
        <v>0</v>
      </c>
      <c r="P849" s="18">
        <f t="shared" si="94"/>
        <v>397241.51018108201</v>
      </c>
      <c r="Q849" s="18">
        <f>IF($A849&gt;30,0,(Q826-MIN(MAX(R848,0),Q826))+MIN(MAX(0,S848-(Q826-MIN(MAX(R848,0),Q826))),MAX(0,0*Q826-(R848-MIN(MAX(R848,0),Q826)))))</f>
        <v>49533.261475973362</v>
      </c>
      <c r="R849" s="18">
        <f>IF($A849&gt;30,R848,(R848-Q826+Q849)*(1+$C$7))</f>
        <v>0</v>
      </c>
      <c r="S849" s="18">
        <f t="shared" si="95"/>
        <v>397241.51018108201</v>
      </c>
    </row>
    <row r="850" spans="1:19">
      <c r="A850" s="10">
        <f>22</f>
        <v>22</v>
      </c>
      <c r="B850" s="18">
        <f>IF($A850&gt;30,0,(B826-MIN(MAX(C849,0),B826))+MIN(MAX(0,D849-(B826-MIN(MAX(C849,0),B826))),MAX(0,0*B826-(C849-MIN(MAX(C849,0),B826)))))</f>
        <v>30000</v>
      </c>
      <c r="C850" s="18">
        <f>IF($A850&gt;30,C849,(C849-B826+B850)*(1+$C$7))</f>
        <v>0</v>
      </c>
      <c r="D850" s="18">
        <f t="shared" si="90"/>
        <v>972516.89773417707</v>
      </c>
      <c r="E850" s="18">
        <f>IF($A850&gt;30,0,(E826-MIN(MAX(F849,0),E826))+MIN(MAX(0,G849-(E826-MIN(MAX(F849,0),E826))),MAX(0,0*E826-(F849-MIN(MAX(F849,0),E826)))))</f>
        <v>75000</v>
      </c>
      <c r="F850" s="18">
        <f>IF($A850&gt;30,F849,(F849-E826+E850)*(1+$C$7))</f>
        <v>0</v>
      </c>
      <c r="G850" s="18">
        <f t="shared" si="91"/>
        <v>-442862.86895573005</v>
      </c>
      <c r="H850" s="18">
        <f>IF($A850&gt;30,0,(H826-MIN(MAX(I849,0),H826))+MIN(MAX(0,J849-(H826-MIN(MAX(I849,0),H826))),MAX(0,0*H826-(I849-MIN(MAX(I849,0),H826)))))</f>
        <v>49533.261475973391</v>
      </c>
      <c r="I850" s="18">
        <f>IF($A850&gt;30,I849,(I849-H826+H850)*(1+$C$7))</f>
        <v>0</v>
      </c>
      <c r="J850" s="18">
        <f t="shared" si="92"/>
        <v>358139.49616626161</v>
      </c>
      <c r="K850" s="18">
        <f>IF($A850&gt;30,0,(K826-MIN(MAX(L849,0),K826))+MIN(MAX(0,M849-(K826-MIN(MAX(L849,0),K826))),MAX(0,0*K826-(L849-MIN(MAX(L849,0),K826)))))</f>
        <v>49533.261475973377</v>
      </c>
      <c r="L850" s="18">
        <f>IF($A850&gt;30,L849,(L849-K826+K850)*(1+$C$7))</f>
        <v>0</v>
      </c>
      <c r="M850" s="18">
        <f t="shared" si="93"/>
        <v>358139.4961662619</v>
      </c>
      <c r="N850" s="18">
        <f>IF($A850&gt;30,0,(N826-MIN(MAX(O849,0),N826))+MIN(MAX(0,P849-(N826-MIN(MAX(O849,0),N826))),MAX(0,0*N826-(O849-MIN(MAX(O849,0),N826)))))</f>
        <v>49533.26147597337</v>
      </c>
      <c r="O850" s="18">
        <f>IF($A850&gt;30,O849,(O849-N826+N850)*(1+$C$7))</f>
        <v>0</v>
      </c>
      <c r="P850" s="18">
        <f t="shared" si="94"/>
        <v>358139.4961662619</v>
      </c>
      <c r="Q850" s="18">
        <f>IF($A850&gt;30,0,(Q826-MIN(MAX(R849,0),Q826))+MIN(MAX(0,S849-(Q826-MIN(MAX(R849,0),Q826))),MAX(0,0*Q826-(R849-MIN(MAX(R849,0),Q826)))))</f>
        <v>49533.261475973362</v>
      </c>
      <c r="R850" s="18">
        <f>IF($A850&gt;30,R849,(R849-Q826+Q850)*(1+$C$7))</f>
        <v>0</v>
      </c>
      <c r="S850" s="18">
        <f t="shared" si="95"/>
        <v>358139.4961662619</v>
      </c>
    </row>
    <row r="851" spans="1:19">
      <c r="A851" s="10">
        <f>23</f>
        <v>23</v>
      </c>
      <c r="B851" s="18">
        <f>IF($A851&gt;30,0,(B826-MIN(MAX(C850,0),B826))+MIN(MAX(0,D850-(B826-MIN(MAX(C850,0),B826))),MAX(0,0*B826-(C850-MIN(MAX(C850,0),B826)))))</f>
        <v>30000</v>
      </c>
      <c r="C851" s="18">
        <f>IF($A851&gt;30,C850,(C850-B826+B851)*(1+$C$7))</f>
        <v>0</v>
      </c>
      <c r="D851" s="18">
        <f t="shared" si="90"/>
        <v>970792.40466620238</v>
      </c>
      <c r="E851" s="18">
        <f>IF($A851&gt;30,0,(E826-MIN(MAX(F850,0),E826))+MIN(MAX(0,G850-(E826-MIN(MAX(F850,0),E826))),MAX(0,0*E826-(F850-MIN(MAX(F850,0),E826)))))</f>
        <v>75000</v>
      </c>
      <c r="F851" s="18">
        <f>IF($A851&gt;30,F850,(F850-E826+E851)*(1+$C$7))</f>
        <v>0</v>
      </c>
      <c r="G851" s="18">
        <f t="shared" si="91"/>
        <v>-533398.75502440194</v>
      </c>
      <c r="H851" s="18">
        <f>IF($A851&gt;30,0,(H826-MIN(MAX(I850,0),H826))+MIN(MAX(0,J850-(H826-MIN(MAX(I850,0),H826))),MAX(0,0*H826-(I850-MIN(MAX(I850,0),H826)))))</f>
        <v>49533.261475973391</v>
      </c>
      <c r="I851" s="18">
        <f>IF($A851&gt;30,I850,(I850-H826+H851)*(1+$C$7))</f>
        <v>0</v>
      </c>
      <c r="J851" s="18">
        <f t="shared" si="92"/>
        <v>317864.42173099687</v>
      </c>
      <c r="K851" s="18">
        <f>IF($A851&gt;30,0,(K826-MIN(MAX(L850,0),K826))+MIN(MAX(0,M850-(K826-MIN(MAX(L850,0),K826))),MAX(0,0*K826-(L850-MIN(MAX(L850,0),K826)))))</f>
        <v>49533.261475973377</v>
      </c>
      <c r="L851" s="18">
        <f>IF($A851&gt;30,L850,(L850-K826+K851)*(1+$C$7))</f>
        <v>0</v>
      </c>
      <c r="M851" s="18">
        <f t="shared" si="93"/>
        <v>317864.42173099722</v>
      </c>
      <c r="N851" s="18">
        <f>IF($A851&gt;30,0,(N826-MIN(MAX(O850,0),N826))+MIN(MAX(0,P850-(N826-MIN(MAX(O850,0),N826))),MAX(0,0*N826-(O850-MIN(MAX(O850,0),N826)))))</f>
        <v>49533.26147597337</v>
      </c>
      <c r="O851" s="18">
        <f>IF($A851&gt;30,O850,(O850-N826+N851)*(1+$C$7))</f>
        <v>0</v>
      </c>
      <c r="P851" s="18">
        <f t="shared" si="94"/>
        <v>317864.42173099722</v>
      </c>
      <c r="Q851" s="18">
        <f>IF($A851&gt;30,0,(Q826-MIN(MAX(R850,0),Q826))+MIN(MAX(0,S850-(Q826-MIN(MAX(R850,0),Q826))),MAX(0,0*Q826-(R850-MIN(MAX(R850,0),Q826)))))</f>
        <v>49533.261475973362</v>
      </c>
      <c r="R851" s="18">
        <f>IF($A851&gt;30,R850,(R850-Q826+Q851)*(1+$C$7))</f>
        <v>0</v>
      </c>
      <c r="S851" s="18">
        <f t="shared" si="95"/>
        <v>317864.42173099722</v>
      </c>
    </row>
    <row r="852" spans="1:19">
      <c r="A852" s="10">
        <f>24</f>
        <v>24</v>
      </c>
      <c r="B852" s="18">
        <f>IF($A852&gt;30,0,(B826-MIN(MAX(C851,0),B826))+MIN(MAX(0,D851-(B826-MIN(MAX(C851,0),B826))),MAX(0,0*B826-(C851-MIN(MAX(C851,0),B826)))))</f>
        <v>30000</v>
      </c>
      <c r="C852" s="18">
        <f>IF($A852&gt;30,C851,(C851-B826+B852)*(1+$C$7))</f>
        <v>0</v>
      </c>
      <c r="D852" s="18">
        <f t="shared" si="90"/>
        <v>969016.17680618842</v>
      </c>
      <c r="E852" s="18">
        <f>IF($A852&gt;30,0,(E826-MIN(MAX(F851,0),E826))+MIN(MAX(0,G851-(E826-MIN(MAX(F851,0),E826))),MAX(0,0*E826-(F851-MIN(MAX(F851,0),E826)))))</f>
        <v>75000</v>
      </c>
      <c r="F852" s="18">
        <f>IF($A852&gt;30,F851,(F851-E826+E852)*(1+$C$7))</f>
        <v>0</v>
      </c>
      <c r="G852" s="18">
        <f t="shared" si="91"/>
        <v>-626650.71767513396</v>
      </c>
      <c r="H852" s="18">
        <f>IF($A852&gt;30,0,(H826-MIN(MAX(I851,0),H826))+MIN(MAX(0,J851-(H826-MIN(MAX(I851,0),H826))),MAX(0,0*H826-(I851-MIN(MAX(I851,0),H826)))))</f>
        <v>49533.261475973391</v>
      </c>
      <c r="I852" s="18">
        <f>IF($A852&gt;30,I851,(I851-H826+H852)*(1+$C$7))</f>
        <v>0</v>
      </c>
      <c r="J852" s="18">
        <f t="shared" si="92"/>
        <v>276381.09506267414</v>
      </c>
      <c r="K852" s="18">
        <f>IF($A852&gt;30,0,(K826-MIN(MAX(L851,0),K826))+MIN(MAX(0,M851-(K826-MIN(MAX(L851,0),K826))),MAX(0,0*K826-(L851-MIN(MAX(L851,0),K826)))))</f>
        <v>49533.261475973377</v>
      </c>
      <c r="L852" s="18">
        <f>IF($A852&gt;30,L851,(L851-K826+K852)*(1+$C$7))</f>
        <v>0</v>
      </c>
      <c r="M852" s="18">
        <f t="shared" si="93"/>
        <v>276381.09506267461</v>
      </c>
      <c r="N852" s="18">
        <f>IF($A852&gt;30,0,(N826-MIN(MAX(O851,0),N826))+MIN(MAX(0,P851-(N826-MIN(MAX(O851,0),N826))),MAX(0,0*N826-(O851-MIN(MAX(O851,0),N826)))))</f>
        <v>49533.26147597337</v>
      </c>
      <c r="O852" s="18">
        <f>IF($A852&gt;30,O851,(O851-N826+N852)*(1+$C$7))</f>
        <v>0</v>
      </c>
      <c r="P852" s="18">
        <f t="shared" si="94"/>
        <v>276381.09506267461</v>
      </c>
      <c r="Q852" s="18">
        <f>IF($A852&gt;30,0,(Q826-MIN(MAX(R851,0),Q826))+MIN(MAX(0,S851-(Q826-MIN(MAX(R851,0),Q826))),MAX(0,0*Q826-(R851-MIN(MAX(R851,0),Q826)))))</f>
        <v>49533.261475973362</v>
      </c>
      <c r="R852" s="18">
        <f>IF($A852&gt;30,R851,(R851-Q826+Q852)*(1+$C$7))</f>
        <v>0</v>
      </c>
      <c r="S852" s="18">
        <f t="shared" si="95"/>
        <v>276381.09506267461</v>
      </c>
    </row>
    <row r="853" spans="1:19">
      <c r="A853" s="10">
        <f>25</f>
        <v>25</v>
      </c>
      <c r="B853" s="18">
        <f>IF($A853&gt;30,0,(B826-MIN(MAX(C852,0),B826))+MIN(MAX(0,D852-(B826-MIN(MAX(C852,0),B826))),MAX(0,0*B826-(C852-MIN(MAX(C852,0),B826)))))</f>
        <v>30000</v>
      </c>
      <c r="C853" s="18">
        <f>IF($A853&gt;30,C852,(C852-B826+B853)*(1+$C$7))</f>
        <v>0</v>
      </c>
      <c r="D853" s="18">
        <f t="shared" si="90"/>
        <v>967186.66211037408</v>
      </c>
      <c r="E853" s="18">
        <f>IF($A853&gt;30,0,(E826-MIN(MAX(F852,0),E826))+MIN(MAX(0,G852-(E826-MIN(MAX(F852,0),E826))),MAX(0,0*E826-(F852-MIN(MAX(F852,0),E826)))))</f>
        <v>75000</v>
      </c>
      <c r="F853" s="18">
        <f>IF($A853&gt;30,F852,(F852-E826+E853)*(1+$C$7))</f>
        <v>0</v>
      </c>
      <c r="G853" s="18">
        <f t="shared" si="91"/>
        <v>-722700.239205388</v>
      </c>
      <c r="H853" s="18">
        <f>IF($A853&gt;30,0,(H826-MIN(MAX(I852,0),H826))+MIN(MAX(0,J852-(H826-MIN(MAX(I852,0),H826))),MAX(0,0*H826-(I852-MIN(MAX(I852,0),H826)))))</f>
        <v>49533.261475973391</v>
      </c>
      <c r="I853" s="18">
        <f>IF($A853&gt;30,I852,(I852-H826+H853)*(1+$C$7))</f>
        <v>0</v>
      </c>
      <c r="J853" s="18">
        <f t="shared" si="92"/>
        <v>233653.26859430177</v>
      </c>
      <c r="K853" s="18">
        <f>IF($A853&gt;30,0,(K826-MIN(MAX(L852,0),K826))+MIN(MAX(0,M852-(K826-MIN(MAX(L852,0),K826))),MAX(0,0*K826-(L852-MIN(MAX(L852,0),K826)))))</f>
        <v>49533.261475973377</v>
      </c>
      <c r="L853" s="18">
        <f>IF($A853&gt;30,L852,(L852-K826+K853)*(1+$C$7))</f>
        <v>0</v>
      </c>
      <c r="M853" s="18">
        <f t="shared" si="93"/>
        <v>233653.26859430227</v>
      </c>
      <c r="N853" s="18">
        <f>IF($A853&gt;30,0,(N826-MIN(MAX(O852,0),N826))+MIN(MAX(0,P852-(N826-MIN(MAX(O852,0),N826))),MAX(0,0*N826-(O852-MIN(MAX(O852,0),N826)))))</f>
        <v>49533.26147597337</v>
      </c>
      <c r="O853" s="18">
        <f>IF($A853&gt;30,O852,(O852-N826+N853)*(1+$C$7))</f>
        <v>0</v>
      </c>
      <c r="P853" s="18">
        <f t="shared" si="94"/>
        <v>233653.2685943023</v>
      </c>
      <c r="Q853" s="18">
        <f>IF($A853&gt;30,0,(Q826-MIN(MAX(R852,0),Q826))+MIN(MAX(0,S852-(Q826-MIN(MAX(R852,0),Q826))),MAX(0,0*Q826-(R852-MIN(MAX(R852,0),Q826)))))</f>
        <v>49533.261475973362</v>
      </c>
      <c r="R853" s="18">
        <f>IF($A853&gt;30,R852,(R852-Q826+Q853)*(1+$C$7))</f>
        <v>0</v>
      </c>
      <c r="S853" s="18">
        <f t="shared" si="95"/>
        <v>233653.2685943023</v>
      </c>
    </row>
    <row r="854" spans="1:19">
      <c r="A854" s="10">
        <f>26</f>
        <v>26</v>
      </c>
      <c r="B854" s="18">
        <f>IF($A854&gt;30,0,(B826-MIN(MAX(C853,0),B826))+MIN(MAX(0,D853-(B826-MIN(MAX(C853,0),B826))),MAX(0,0*B826-(C853-MIN(MAX(C853,0),B826)))))</f>
        <v>30000</v>
      </c>
      <c r="C854" s="18">
        <f>IF($A854&gt;30,C853,(C853-B826+B854)*(1+$C$7))</f>
        <v>0</v>
      </c>
      <c r="D854" s="18">
        <f t="shared" si="90"/>
        <v>965302.26197368535</v>
      </c>
      <c r="E854" s="18">
        <f>IF($A854&gt;30,0,(E826-MIN(MAX(F853,0),E826))+MIN(MAX(0,G853-(E826-MIN(MAX(F853,0),E826))),MAX(0,0*E826-(F853-MIN(MAX(F853,0),E826)))))</f>
        <v>75000</v>
      </c>
      <c r="F854" s="18">
        <f>IF($A854&gt;30,F853,(F853-E826+E854)*(1+$C$7))</f>
        <v>0</v>
      </c>
      <c r="G854" s="18">
        <f t="shared" si="91"/>
        <v>-821631.24638154963</v>
      </c>
      <c r="H854" s="18">
        <f>IF($A854&gt;30,0,(H826-MIN(MAX(I853,0),H826))+MIN(MAX(0,J853-(H826-MIN(MAX(I853,0),H826))),MAX(0,0*H826-(I853-MIN(MAX(I853,0),H826)))))</f>
        <v>49533.261475973391</v>
      </c>
      <c r="I854" s="18">
        <f>IF($A854&gt;30,I853,(I853-H826+H854)*(1+$C$7))</f>
        <v>0</v>
      </c>
      <c r="J854" s="18">
        <f t="shared" si="92"/>
        <v>189643.60733187824</v>
      </c>
      <c r="K854" s="18">
        <f>IF($A854&gt;30,0,(K826-MIN(MAX(L853,0),K826))+MIN(MAX(0,M853-(K826-MIN(MAX(L853,0),K826))),MAX(0,0*K826-(L853-MIN(MAX(L853,0),K826)))))</f>
        <v>49533.261475973377</v>
      </c>
      <c r="L854" s="18">
        <f>IF($A854&gt;30,L853,(L853-K826+K854)*(1+$C$7))</f>
        <v>0</v>
      </c>
      <c r="M854" s="18">
        <f t="shared" si="93"/>
        <v>189643.60733187877</v>
      </c>
      <c r="N854" s="18">
        <f>IF($A854&gt;30,0,(N826-MIN(MAX(O853,0),N826))+MIN(MAX(0,P853-(N826-MIN(MAX(O853,0),N826))),MAX(0,0*N826-(O853-MIN(MAX(O853,0),N826)))))</f>
        <v>49533.26147597337</v>
      </c>
      <c r="O854" s="18">
        <f>IF($A854&gt;30,O853,(O853-N826+N854)*(1+$C$7))</f>
        <v>0</v>
      </c>
      <c r="P854" s="18">
        <f t="shared" si="94"/>
        <v>189643.60733187883</v>
      </c>
      <c r="Q854" s="18">
        <f>IF($A854&gt;30,0,(Q826-MIN(MAX(R853,0),Q826))+MIN(MAX(0,S853-(Q826-MIN(MAX(R853,0),Q826))),MAX(0,0*Q826-(R853-MIN(MAX(R853,0),Q826)))))</f>
        <v>49533.261475973362</v>
      </c>
      <c r="R854" s="18">
        <f>IF($A854&gt;30,R853,(R853-Q826+Q854)*(1+$C$7))</f>
        <v>0</v>
      </c>
      <c r="S854" s="18">
        <f t="shared" si="95"/>
        <v>189643.60733187883</v>
      </c>
    </row>
    <row r="855" spans="1:19">
      <c r="A855" s="10">
        <f>27</f>
        <v>27</v>
      </c>
      <c r="B855" s="18">
        <f>IF($A855&gt;30,0,(B826-MIN(MAX(C854,0),B826))+MIN(MAX(0,D854-(B826-MIN(MAX(C854,0),B826))),MAX(0,0*B826-(C854-MIN(MAX(C854,0),B826)))))</f>
        <v>30000</v>
      </c>
      <c r="C855" s="18">
        <f>IF($A855&gt;30,C854,(C854-B826+B855)*(1+$C$7))</f>
        <v>0</v>
      </c>
      <c r="D855" s="18">
        <f t="shared" si="90"/>
        <v>963361.32983289589</v>
      </c>
      <c r="E855" s="18">
        <f>IF($A855&gt;30,0,(E826-MIN(MAX(F854,0),E826))+MIN(MAX(0,G854-(E826-MIN(MAX(F854,0),E826))),MAX(0,0*E826-(F854-MIN(MAX(F854,0),E826)))))</f>
        <v>75000</v>
      </c>
      <c r="F855" s="18">
        <f>IF($A855&gt;30,F854,(F854-E826+E855)*(1+$C$7))</f>
        <v>0</v>
      </c>
      <c r="G855" s="18">
        <f t="shared" si="91"/>
        <v>-923530.18377299618</v>
      </c>
      <c r="H855" s="18">
        <f>IF($A855&gt;30,0,(H826-MIN(MAX(I854,0),H826))+MIN(MAX(0,J854-(H826-MIN(MAX(I854,0),H826))),MAX(0,0*H826-(I854-MIN(MAX(I854,0),H826)))))</f>
        <v>49533.261475973391</v>
      </c>
      <c r="I855" s="18">
        <f>IF($A855&gt;30,I854,(I854-H826+H855)*(1+$C$7))</f>
        <v>0</v>
      </c>
      <c r="J855" s="18">
        <f t="shared" si="92"/>
        <v>144313.65623158202</v>
      </c>
      <c r="K855" s="18">
        <f>IF($A855&gt;30,0,(K826-MIN(MAX(L854,0),K826))+MIN(MAX(0,M854-(K826-MIN(MAX(L854,0),K826))),MAX(0,0*K826-(L854-MIN(MAX(L854,0),K826)))))</f>
        <v>49533.261475973377</v>
      </c>
      <c r="L855" s="18">
        <f>IF($A855&gt;30,L854,(L854-K826+K855)*(1+$C$7))</f>
        <v>0</v>
      </c>
      <c r="M855" s="18">
        <f t="shared" si="93"/>
        <v>144313.65623158254</v>
      </c>
      <c r="N855" s="18">
        <f>IF($A855&gt;30,0,(N826-MIN(MAX(O854,0),N826))+MIN(MAX(0,P854-(N826-MIN(MAX(O854,0),N826))),MAX(0,0*N826-(O854-MIN(MAX(O854,0),N826)))))</f>
        <v>49533.26147597337</v>
      </c>
      <c r="O855" s="18">
        <f>IF($A855&gt;30,O854,(O854-N826+N855)*(1+$C$7))</f>
        <v>0</v>
      </c>
      <c r="P855" s="18">
        <f t="shared" si="94"/>
        <v>144313.6562315826</v>
      </c>
      <c r="Q855" s="18">
        <f>IF($A855&gt;30,0,(Q826-MIN(MAX(R854,0),Q826))+MIN(MAX(0,S854-(Q826-MIN(MAX(R854,0),Q826))),MAX(0,0*Q826-(R854-MIN(MAX(R854,0),Q826)))))</f>
        <v>49533.261475973362</v>
      </c>
      <c r="R855" s="18">
        <f>IF($A855&gt;30,R854,(R854-Q826+Q855)*(1+$C$7))</f>
        <v>0</v>
      </c>
      <c r="S855" s="18">
        <f t="shared" si="95"/>
        <v>144313.65623158263</v>
      </c>
    </row>
    <row r="856" spans="1:19">
      <c r="A856" s="10">
        <f>28</f>
        <v>28</v>
      </c>
      <c r="B856" s="18">
        <f>IF($A856&gt;30,0,(B826-MIN(MAX(C855,0),B826))+MIN(MAX(0,D855-(B826-MIN(MAX(C855,0),B826))),MAX(0,0*B826-(C855-MIN(MAX(C855,0),B826)))))</f>
        <v>30000</v>
      </c>
      <c r="C856" s="18">
        <f>IF($A856&gt;30,C855,(C855-B826+B856)*(1+$C$7))</f>
        <v>0</v>
      </c>
      <c r="D856" s="18">
        <f t="shared" si="90"/>
        <v>961362.16972788284</v>
      </c>
      <c r="E856" s="18">
        <f>IF($A856&gt;30,0,(E826-MIN(MAX(F855,0),E826))+MIN(MAX(0,G855-(E826-MIN(MAX(F855,0),E826))),MAX(0,0*E826-(F855-MIN(MAX(F855,0),E826)))))</f>
        <v>75000</v>
      </c>
      <c r="F856" s="18">
        <f>IF($A856&gt;30,F855,(F855-E826+E856)*(1+$C$7))</f>
        <v>0</v>
      </c>
      <c r="G856" s="18">
        <f t="shared" si="91"/>
        <v>-1028486.0892861862</v>
      </c>
      <c r="H856" s="18">
        <f>IF($A856&gt;30,0,(H826-MIN(MAX(I855,0),H826))+MIN(MAX(0,J855-(H826-MIN(MAX(I855,0),H826))),MAX(0,0*H826-(I855-MIN(MAX(I855,0),H826)))))</f>
        <v>49533.261475973391</v>
      </c>
      <c r="I856" s="18">
        <f>IF($A856&gt;30,I855,(I855-H826+H856)*(1+$C$7))</f>
        <v>0</v>
      </c>
      <c r="J856" s="18">
        <f t="shared" si="92"/>
        <v>97623.806598276889</v>
      </c>
      <c r="K856" s="18">
        <f>IF($A856&gt;30,0,(K826-MIN(MAX(L855,0),K826))+MIN(MAX(0,M855-(K826-MIN(MAX(L855,0),K826))),MAX(0,0*K826-(L855-MIN(MAX(L855,0),K826)))))</f>
        <v>49533.261475973377</v>
      </c>
      <c r="L856" s="18">
        <f>IF($A856&gt;30,L855,(L855-K826+K856)*(1+$C$7))</f>
        <v>0</v>
      </c>
      <c r="M856" s="18">
        <f t="shared" si="93"/>
        <v>97623.806598277442</v>
      </c>
      <c r="N856" s="18">
        <f>IF($A856&gt;30,0,(N826-MIN(MAX(O855,0),N826))+MIN(MAX(0,P855-(N826-MIN(MAX(O855,0),N826))),MAX(0,0*N826-(O855-MIN(MAX(O855,0),N826)))))</f>
        <v>49533.26147597337</v>
      </c>
      <c r="O856" s="18">
        <f>IF($A856&gt;30,O855,(O855-N826+N856)*(1+$C$7))</f>
        <v>0</v>
      </c>
      <c r="P856" s="18">
        <f t="shared" si="94"/>
        <v>97623.806598277515</v>
      </c>
      <c r="Q856" s="18">
        <f>IF($A856&gt;30,0,(Q826-MIN(MAX(R855,0),Q826))+MIN(MAX(0,S855-(Q826-MIN(MAX(R855,0),Q826))),MAX(0,0*Q826-(R855-MIN(MAX(R855,0),Q826)))))</f>
        <v>49533.261475973362</v>
      </c>
      <c r="R856" s="18">
        <f>IF($A856&gt;30,R855,(R855-Q826+Q856)*(1+$C$7))</f>
        <v>0</v>
      </c>
      <c r="S856" s="18">
        <f t="shared" si="95"/>
        <v>97623.806598277559</v>
      </c>
    </row>
    <row r="857" spans="1:19">
      <c r="A857" s="10">
        <f>29</f>
        <v>29</v>
      </c>
      <c r="B857" s="18">
        <f>IF($A857&gt;30,0,(B826-MIN(MAX(C856,0),B826))+MIN(MAX(0,D856-(B826-MIN(MAX(C856,0),B826))),MAX(0,0*B826-(C856-MIN(MAX(C856,0),B826)))))</f>
        <v>30000</v>
      </c>
      <c r="C857" s="18">
        <f>IF($A857&gt;30,C856,(C856-B826+B857)*(1+$C$7))</f>
        <v>0</v>
      </c>
      <c r="D857" s="18">
        <f t="shared" si="90"/>
        <v>959303.03481971938</v>
      </c>
      <c r="E857" s="18">
        <f>IF($A857&gt;30,0,(E826-MIN(MAX(F856,0),E826))+MIN(MAX(0,G856-(E826-MIN(MAX(F856,0),E826))),MAX(0,0*E826-(F856-MIN(MAX(F856,0),E826)))))</f>
        <v>75000</v>
      </c>
      <c r="F857" s="18">
        <f>IF($A857&gt;30,F856,(F856-E826+E857)*(1+$C$7))</f>
        <v>0</v>
      </c>
      <c r="G857" s="18">
        <f t="shared" si="91"/>
        <v>-1136590.6719647718</v>
      </c>
      <c r="H857" s="18">
        <f>IF($A857&gt;30,0,(H826-MIN(MAX(I856,0),H826))+MIN(MAX(0,J856-(H826-MIN(MAX(I856,0),H826))),MAX(0,0*H826-(I856-MIN(MAX(I856,0),H826)))))</f>
        <v>49533.261475973391</v>
      </c>
      <c r="I857" s="18">
        <f>IF($A857&gt;30,I856,(I856-H826+H857)*(1+$C$7))</f>
        <v>0</v>
      </c>
      <c r="J857" s="18">
        <f t="shared" si="92"/>
        <v>49533.261475972606</v>
      </c>
      <c r="K857" s="18">
        <f>IF($A857&gt;30,0,(K826-MIN(MAX(L856,0),K826))+MIN(MAX(0,M856-(K826-MIN(MAX(L856,0),K826))),MAX(0,0*K826-(L856-MIN(MAX(L856,0),K826)))))</f>
        <v>49533.261475973377</v>
      </c>
      <c r="L857" s="18">
        <f>IF($A857&gt;30,L856,(L856-K826+K857)*(1+$C$7))</f>
        <v>0</v>
      </c>
      <c r="M857" s="18">
        <f t="shared" si="93"/>
        <v>49533.261475973188</v>
      </c>
      <c r="N857" s="18">
        <f>IF($A857&gt;30,0,(N826-MIN(MAX(O856,0),N826))+MIN(MAX(0,P856-(N826-MIN(MAX(O856,0),N826))),MAX(0,0*N826-(O856-MIN(MAX(O856,0),N826)))))</f>
        <v>49533.26147597337</v>
      </c>
      <c r="O857" s="18">
        <f>IF($A857&gt;30,O856,(O856-N826+N857)*(1+$C$7))</f>
        <v>0</v>
      </c>
      <c r="P857" s="18">
        <f t="shared" si="94"/>
        <v>49533.261475973268</v>
      </c>
      <c r="Q857" s="18">
        <f>IF($A857&gt;30,0,(Q826-MIN(MAX(R856,0),Q826))+MIN(MAX(0,S856-(Q826-MIN(MAX(R856,0),Q826))),MAX(0,0*Q826-(R856-MIN(MAX(R856,0),Q826)))))</f>
        <v>49533.261475973362</v>
      </c>
      <c r="R857" s="18">
        <f>IF($A857&gt;30,R856,(R856-Q826+Q857)*(1+$C$7))</f>
        <v>0</v>
      </c>
      <c r="S857" s="18">
        <f t="shared" si="95"/>
        <v>49533.261475973326</v>
      </c>
    </row>
    <row r="858" spans="1:19">
      <c r="A858" s="10">
        <f>30</f>
        <v>30</v>
      </c>
      <c r="B858" s="18">
        <f>IF($A858&gt;30,0,(B826-MIN(MAX(C857,0),B826))+MIN(MAX(0,D857-(B826-MIN(MAX(C857,0),B826))),MAX(0,0*B826-(C857-MIN(MAX(C857,0),B826)))))</f>
        <v>30000</v>
      </c>
      <c r="C858" s="18">
        <f>IF($A858&gt;30,C857,(C857-B826+B858)*(1+$C$7))</f>
        <v>0</v>
      </c>
      <c r="D858" s="18">
        <f t="shared" si="90"/>
        <v>957182.125864311</v>
      </c>
      <c r="E858" s="18">
        <f>IF($A858&gt;30,0,(E826-MIN(MAX(F857,0),E826))+MIN(MAX(0,G857-(E826-MIN(MAX(F857,0),E826))),MAX(0,0*E826-(F857-MIN(MAX(F857,0),E826)))))</f>
        <v>75000</v>
      </c>
      <c r="F858" s="18">
        <f>IF($A858&gt;30,F857,(F857-E826+E858)*(1+$C$7))</f>
        <v>0</v>
      </c>
      <c r="G858" s="18">
        <f t="shared" si="91"/>
        <v>-1247938.392123715</v>
      </c>
      <c r="H858" s="18">
        <f>IF($A858&gt;30,0,(H826-MIN(MAX(I857,0),H826))+MIN(MAX(0,J857-(H826-MIN(MAX(I857,0),H826))),MAX(0,0*H826-(I857-MIN(MAX(I857,0),H826)))))</f>
        <v>49533.261475973391</v>
      </c>
      <c r="I858" s="18">
        <f>IF($A858&gt;30,I857,(I857-H826+H858)*(1+$C$7))</f>
        <v>0</v>
      </c>
      <c r="J858" s="18">
        <f t="shared" si="92"/>
        <v>-8.0937752500176436E-10</v>
      </c>
      <c r="K858" s="18">
        <f>IF($A858&gt;30,0,(K826-MIN(MAX(L857,0),K826))+MIN(MAX(0,M857-(K826-MIN(MAX(L857,0),K826))),MAX(0,0*K826-(L857-MIN(MAX(L857,0),K826)))))</f>
        <v>49533.261475973377</v>
      </c>
      <c r="L858" s="18">
        <f>IF($A858&gt;30,L857,(L857-K826+K858)*(1+$C$7))</f>
        <v>0</v>
      </c>
      <c r="M858" s="18">
        <f t="shared" si="93"/>
        <v>-1.9485014490783215E-10</v>
      </c>
      <c r="N858" s="18">
        <f>IF($A858&gt;30,0,(N826-MIN(MAX(O857,0),N826))+MIN(MAX(0,P857-(N826-MIN(MAX(O857,0),N826))),MAX(0,0*N826-(O857-MIN(MAX(O857,0),N826)))))</f>
        <v>49533.26147597337</v>
      </c>
      <c r="O858" s="18">
        <f>IF($A858&gt;30,O857,(O857-N826+N858)*(1+$C$7))</f>
        <v>0</v>
      </c>
      <c r="P858" s="18">
        <f t="shared" si="94"/>
        <v>-1.04919308796525E-10</v>
      </c>
      <c r="Q858" s="18">
        <f>IF($A858&gt;30,0,(Q826-MIN(MAX(R857,0),Q826))+MIN(MAX(0,S857-(Q826-MIN(MAX(R857,0),Q826))),MAX(0,0*Q826-(R857-MIN(MAX(R857,0),Q826)))))</f>
        <v>49533.261475973362</v>
      </c>
      <c r="R858" s="18">
        <f>IF($A858&gt;30,R857,(R857-Q826+Q858)*(1+$C$7))</f>
        <v>0</v>
      </c>
      <c r="S858" s="18">
        <f t="shared" si="95"/>
        <v>-3.7471181713044646E-11</v>
      </c>
    </row>
    <row r="859" spans="1:19">
      <c r="A859" s="10">
        <f>31</f>
        <v>31</v>
      </c>
      <c r="B859" s="18">
        <f>IF($A859&gt;30,0,(B826-MIN(MAX(C858,0),B826))+MIN(MAX(0,D858-(B826-MIN(MAX(C858,0),B826))),MAX(0,0*B826-(C858-MIN(MAX(C858,0),B826)))))</f>
        <v>0</v>
      </c>
      <c r="C859" s="18">
        <f>IF($A859&gt;30,C858,(C858-B826+B859)*(1+$C$7))</f>
        <v>0</v>
      </c>
      <c r="D859" s="18">
        <f t="shared" si="90"/>
        <v>957182.125864311</v>
      </c>
      <c r="E859" s="18">
        <f>IF($A859&gt;30,0,(E826-MIN(MAX(F858,0),E826))+MIN(MAX(0,G858-(E826-MIN(MAX(F858,0),E826))),MAX(0,0*E826-(F858-MIN(MAX(F858,0),E826)))))</f>
        <v>0</v>
      </c>
      <c r="F859" s="18">
        <f>IF($A859&gt;30,F858,(F858-E826+E859)*(1+$C$7))</f>
        <v>0</v>
      </c>
      <c r="G859" s="18">
        <f t="shared" si="91"/>
        <v>-1247938.392123715</v>
      </c>
      <c r="H859" s="18">
        <f>IF($A859&gt;30,0,(H826-MIN(MAX(I858,0),H826))+MIN(MAX(0,J858-(H826-MIN(MAX(I858,0),H826))),MAX(0,0*H826-(I858-MIN(MAX(I858,0),H826)))))</f>
        <v>0</v>
      </c>
      <c r="I859" s="18">
        <f>IF($A859&gt;30,I858,(I858-H826+H859)*(1+$C$7))</f>
        <v>0</v>
      </c>
      <c r="J859" s="18">
        <f t="shared" si="92"/>
        <v>-8.0937752500176436E-10</v>
      </c>
      <c r="K859" s="18">
        <f>IF($A859&gt;30,0,(K826-MIN(MAX(L858,0),K826))+MIN(MAX(0,M858-(K826-MIN(MAX(L858,0),K826))),MAX(0,0*K826-(L858-MIN(MAX(L858,0),K826)))))</f>
        <v>0</v>
      </c>
      <c r="L859" s="18">
        <f>IF($A859&gt;30,L858,(L858-K826+K859)*(1+$C$7))</f>
        <v>0</v>
      </c>
      <c r="M859" s="18">
        <f t="shared" si="93"/>
        <v>-1.9485014490783215E-10</v>
      </c>
      <c r="N859" s="18">
        <f>IF($A859&gt;30,0,(N826-MIN(MAX(O858,0),N826))+MIN(MAX(0,P858-(N826-MIN(MAX(O858,0),N826))),MAX(0,0*N826-(O858-MIN(MAX(O858,0),N826)))))</f>
        <v>0</v>
      </c>
      <c r="O859" s="18">
        <f>IF($A859&gt;30,O858,(O858-N826+N859)*(1+$C$7))</f>
        <v>0</v>
      </c>
      <c r="P859" s="18">
        <f t="shared" si="94"/>
        <v>-1.04919308796525E-10</v>
      </c>
      <c r="Q859" s="18">
        <f>IF($A859&gt;30,0,(Q826-MIN(MAX(R858,0),Q826))+MIN(MAX(0,S858-(Q826-MIN(MAX(R858,0),Q826))),MAX(0,0*Q826-(R858-MIN(MAX(R858,0),Q826)))))</f>
        <v>0</v>
      </c>
      <c r="R859" s="18">
        <f>IF($A859&gt;30,R858,(R858-Q826+Q859)*(1+$C$7))</f>
        <v>0</v>
      </c>
      <c r="S859" s="18">
        <f t="shared" si="95"/>
        <v>-3.7471181713044646E-11</v>
      </c>
    </row>
    <row r="860" spans="1:19">
      <c r="A860" s="10">
        <f>32</f>
        <v>32</v>
      </c>
      <c r="B860" s="18">
        <f>IF($A860&gt;30,0,(B826-MIN(MAX(C859,0),B826))+MIN(MAX(0,D859-(B826-MIN(MAX(C859,0),B826))),MAX(0,0*B826-(C859-MIN(MAX(C859,0),B826)))))</f>
        <v>0</v>
      </c>
      <c r="C860" s="18">
        <f>IF($A860&gt;30,C859,(C859-B826+B860)*(1+$C$7))</f>
        <v>0</v>
      </c>
      <c r="D860" s="18">
        <f t="shared" si="90"/>
        <v>957182.125864311</v>
      </c>
      <c r="E860" s="18">
        <f>IF($A860&gt;30,0,(E826-MIN(MAX(F859,0),E826))+MIN(MAX(0,G859-(E826-MIN(MAX(F859,0),E826))),MAX(0,0*E826-(F859-MIN(MAX(F859,0),E826)))))</f>
        <v>0</v>
      </c>
      <c r="F860" s="18">
        <f>IF($A860&gt;30,F859,(F859-E826+E860)*(1+$C$7))</f>
        <v>0</v>
      </c>
      <c r="G860" s="18">
        <f t="shared" si="91"/>
        <v>-1247938.392123715</v>
      </c>
      <c r="H860" s="18">
        <f>IF($A860&gt;30,0,(H826-MIN(MAX(I859,0),H826))+MIN(MAX(0,J859-(H826-MIN(MAX(I859,0),H826))),MAX(0,0*H826-(I859-MIN(MAX(I859,0),H826)))))</f>
        <v>0</v>
      </c>
      <c r="I860" s="18">
        <f>IF($A860&gt;30,I859,(I859-H826+H860)*(1+$C$7))</f>
        <v>0</v>
      </c>
      <c r="J860" s="18">
        <f t="shared" si="92"/>
        <v>-8.0937752500176436E-10</v>
      </c>
      <c r="K860" s="18">
        <f>IF($A860&gt;30,0,(K826-MIN(MAX(L859,0),K826))+MIN(MAX(0,M859-(K826-MIN(MAX(L859,0),K826))),MAX(0,0*K826-(L859-MIN(MAX(L859,0),K826)))))</f>
        <v>0</v>
      </c>
      <c r="L860" s="18">
        <f>IF($A860&gt;30,L859,(L859-K826+K860)*(1+$C$7))</f>
        <v>0</v>
      </c>
      <c r="M860" s="18">
        <f t="shared" si="93"/>
        <v>-1.9485014490783215E-10</v>
      </c>
      <c r="N860" s="18">
        <f>IF($A860&gt;30,0,(N826-MIN(MAX(O859,0),N826))+MIN(MAX(0,P859-(N826-MIN(MAX(O859,0),N826))),MAX(0,0*N826-(O859-MIN(MAX(O859,0),N826)))))</f>
        <v>0</v>
      </c>
      <c r="O860" s="18">
        <f>IF($A860&gt;30,O859,(O859-N826+N860)*(1+$C$7))</f>
        <v>0</v>
      </c>
      <c r="P860" s="18">
        <f t="shared" si="94"/>
        <v>-1.04919308796525E-10</v>
      </c>
      <c r="Q860" s="18">
        <f>IF($A860&gt;30,0,(Q826-MIN(MAX(R859,0),Q826))+MIN(MAX(0,S859-(Q826-MIN(MAX(R859,0),Q826))),MAX(0,0*Q826-(R859-MIN(MAX(R859,0),Q826)))))</f>
        <v>0</v>
      </c>
      <c r="R860" s="18">
        <f>IF($A860&gt;30,R859,(R859-Q826+Q860)*(1+$C$7))</f>
        <v>0</v>
      </c>
      <c r="S860" s="18">
        <f t="shared" si="95"/>
        <v>-3.7471181713044646E-11</v>
      </c>
    </row>
    <row r="861" spans="1:19">
      <c r="A861" s="10">
        <f>33</f>
        <v>33</v>
      </c>
      <c r="B861" s="18">
        <f>IF($A861&gt;30,0,(B826-MIN(MAX(C860,0),B826))+MIN(MAX(0,D860-(B826-MIN(MAX(C860,0),B826))),MAX(0,0*B826-(C860-MIN(MAX(C860,0),B826)))))</f>
        <v>0</v>
      </c>
      <c r="C861" s="18">
        <f>IF($A861&gt;30,C860,(C860-B826+B861)*(1+$C$7))</f>
        <v>0</v>
      </c>
      <c r="D861" s="18">
        <f t="shared" si="90"/>
        <v>957182.125864311</v>
      </c>
      <c r="E861" s="18">
        <f>IF($A861&gt;30,0,(E826-MIN(MAX(F860,0),E826))+MIN(MAX(0,G860-(E826-MIN(MAX(F860,0),E826))),MAX(0,0*E826-(F860-MIN(MAX(F860,0),E826)))))</f>
        <v>0</v>
      </c>
      <c r="F861" s="18">
        <f>IF($A861&gt;30,F860,(F860-E826+E861)*(1+$C$7))</f>
        <v>0</v>
      </c>
      <c r="G861" s="18">
        <f t="shared" si="91"/>
        <v>-1247938.392123715</v>
      </c>
      <c r="H861" s="18">
        <f>IF($A861&gt;30,0,(H826-MIN(MAX(I860,0),H826))+MIN(MAX(0,J860-(H826-MIN(MAX(I860,0),H826))),MAX(0,0*H826-(I860-MIN(MAX(I860,0),H826)))))</f>
        <v>0</v>
      </c>
      <c r="I861" s="18">
        <f>IF($A861&gt;30,I860,(I860-H826+H861)*(1+$C$7))</f>
        <v>0</v>
      </c>
      <c r="J861" s="18">
        <f t="shared" si="92"/>
        <v>-8.0937752500176436E-10</v>
      </c>
      <c r="K861" s="18">
        <f>IF($A861&gt;30,0,(K826-MIN(MAX(L860,0),K826))+MIN(MAX(0,M860-(K826-MIN(MAX(L860,0),K826))),MAX(0,0*K826-(L860-MIN(MAX(L860,0),K826)))))</f>
        <v>0</v>
      </c>
      <c r="L861" s="18">
        <f>IF($A861&gt;30,L860,(L860-K826+K861)*(1+$C$7))</f>
        <v>0</v>
      </c>
      <c r="M861" s="18">
        <f t="shared" si="93"/>
        <v>-1.9485014490783215E-10</v>
      </c>
      <c r="N861" s="18">
        <f>IF($A861&gt;30,0,(N826-MIN(MAX(O860,0),N826))+MIN(MAX(0,P860-(N826-MIN(MAX(O860,0),N826))),MAX(0,0*N826-(O860-MIN(MAX(O860,0),N826)))))</f>
        <v>0</v>
      </c>
      <c r="O861" s="18">
        <f>IF($A861&gt;30,O860,(O860-N826+N861)*(1+$C$7))</f>
        <v>0</v>
      </c>
      <c r="P861" s="18">
        <f t="shared" si="94"/>
        <v>-1.04919308796525E-10</v>
      </c>
      <c r="Q861" s="18">
        <f>IF($A861&gt;30,0,(Q826-MIN(MAX(R860,0),Q826))+MIN(MAX(0,S860-(Q826-MIN(MAX(R860,0),Q826))),MAX(0,0*Q826-(R860-MIN(MAX(R860,0),Q826)))))</f>
        <v>0</v>
      </c>
      <c r="R861" s="18">
        <f>IF($A861&gt;30,R860,(R860-Q826+Q861)*(1+$C$7))</f>
        <v>0</v>
      </c>
      <c r="S861" s="18">
        <f t="shared" si="95"/>
        <v>-3.7471181713044646E-11</v>
      </c>
    </row>
    <row r="862" spans="1:19">
      <c r="A862" s="10">
        <f>34</f>
        <v>34</v>
      </c>
      <c r="B862" s="18">
        <f>IF($A862&gt;30,0,(B826-MIN(MAX(C861,0),B826))+MIN(MAX(0,D861-(B826-MIN(MAX(C861,0),B826))),MAX(0,0*B826-(C861-MIN(MAX(C861,0),B826)))))</f>
        <v>0</v>
      </c>
      <c r="C862" s="18">
        <f>IF($A862&gt;30,C861,(C861-B826+B862)*(1+$C$7))</f>
        <v>0</v>
      </c>
      <c r="D862" s="18">
        <f t="shared" si="90"/>
        <v>957182.125864311</v>
      </c>
      <c r="E862" s="18">
        <f>IF($A862&gt;30,0,(E826-MIN(MAX(F861,0),E826))+MIN(MAX(0,G861-(E826-MIN(MAX(F861,0),E826))),MAX(0,0*E826-(F861-MIN(MAX(F861,0),E826)))))</f>
        <v>0</v>
      </c>
      <c r="F862" s="18">
        <f>IF($A862&gt;30,F861,(F861-E826+E862)*(1+$C$7))</f>
        <v>0</v>
      </c>
      <c r="G862" s="18">
        <f t="shared" si="91"/>
        <v>-1247938.392123715</v>
      </c>
      <c r="H862" s="18">
        <f>IF($A862&gt;30,0,(H826-MIN(MAX(I861,0),H826))+MIN(MAX(0,J861-(H826-MIN(MAX(I861,0),H826))),MAX(0,0*H826-(I861-MIN(MAX(I861,0),H826)))))</f>
        <v>0</v>
      </c>
      <c r="I862" s="18">
        <f>IF($A862&gt;30,I861,(I861-H826+H862)*(1+$C$7))</f>
        <v>0</v>
      </c>
      <c r="J862" s="18">
        <f t="shared" si="92"/>
        <v>-8.0937752500176436E-10</v>
      </c>
      <c r="K862" s="18">
        <f>IF($A862&gt;30,0,(K826-MIN(MAX(L861,0),K826))+MIN(MAX(0,M861-(K826-MIN(MAX(L861,0),K826))),MAX(0,0*K826-(L861-MIN(MAX(L861,0),K826)))))</f>
        <v>0</v>
      </c>
      <c r="L862" s="18">
        <f>IF($A862&gt;30,L861,(L861-K826+K862)*(1+$C$7))</f>
        <v>0</v>
      </c>
      <c r="M862" s="18">
        <f t="shared" si="93"/>
        <v>-1.9485014490783215E-10</v>
      </c>
      <c r="N862" s="18">
        <f>IF($A862&gt;30,0,(N826-MIN(MAX(O861,0),N826))+MIN(MAX(0,P861-(N826-MIN(MAX(O861,0),N826))),MAX(0,0*N826-(O861-MIN(MAX(O861,0),N826)))))</f>
        <v>0</v>
      </c>
      <c r="O862" s="18">
        <f>IF($A862&gt;30,O861,(O861-N826+N862)*(1+$C$7))</f>
        <v>0</v>
      </c>
      <c r="P862" s="18">
        <f t="shared" si="94"/>
        <v>-1.04919308796525E-10</v>
      </c>
      <c r="Q862" s="18">
        <f>IF($A862&gt;30,0,(Q826-MIN(MAX(R861,0),Q826))+MIN(MAX(0,S861-(Q826-MIN(MAX(R861,0),Q826))),MAX(0,0*Q826-(R861-MIN(MAX(R861,0),Q826)))))</f>
        <v>0</v>
      </c>
      <c r="R862" s="18">
        <f>IF($A862&gt;30,R861,(R861-Q826+Q862)*(1+$C$7))</f>
        <v>0</v>
      </c>
      <c r="S862" s="18">
        <f t="shared" si="95"/>
        <v>-3.7471181713044646E-11</v>
      </c>
    </row>
    <row r="863" spans="1:19">
      <c r="A863" s="10">
        <f>35</f>
        <v>35</v>
      </c>
      <c r="B863" s="18">
        <f>IF($A863&gt;30,0,(B826-MIN(MAX(C862,0),B826))+MIN(MAX(0,D862-(B826-MIN(MAX(C862,0),B826))),MAX(0,0*B826-(C862-MIN(MAX(C862,0),B826)))))</f>
        <v>0</v>
      </c>
      <c r="C863" s="18">
        <f>IF($A863&gt;30,C862,(C862-B826+B863)*(1+$C$7))</f>
        <v>0</v>
      </c>
      <c r="D863" s="18">
        <f t="shared" si="90"/>
        <v>957182.125864311</v>
      </c>
      <c r="E863" s="18">
        <f>IF($A863&gt;30,0,(E826-MIN(MAX(F862,0),E826))+MIN(MAX(0,G862-(E826-MIN(MAX(F862,0),E826))),MAX(0,0*E826-(F862-MIN(MAX(F862,0),E826)))))</f>
        <v>0</v>
      </c>
      <c r="F863" s="18">
        <f>IF($A863&gt;30,F862,(F862-E826+E863)*(1+$C$7))</f>
        <v>0</v>
      </c>
      <c r="G863" s="18">
        <f t="shared" si="91"/>
        <v>-1247938.392123715</v>
      </c>
      <c r="H863" s="18">
        <f>IF($A863&gt;30,0,(H826-MIN(MAX(I862,0),H826))+MIN(MAX(0,J862-(H826-MIN(MAX(I862,0),H826))),MAX(0,0*H826-(I862-MIN(MAX(I862,0),H826)))))</f>
        <v>0</v>
      </c>
      <c r="I863" s="18">
        <f>IF($A863&gt;30,I862,(I862-H826+H863)*(1+$C$7))</f>
        <v>0</v>
      </c>
      <c r="J863" s="18">
        <f t="shared" si="92"/>
        <v>-8.0937752500176436E-10</v>
      </c>
      <c r="K863" s="18">
        <f>IF($A863&gt;30,0,(K826-MIN(MAX(L862,0),K826))+MIN(MAX(0,M862-(K826-MIN(MAX(L862,0),K826))),MAX(0,0*K826-(L862-MIN(MAX(L862,0),K826)))))</f>
        <v>0</v>
      </c>
      <c r="L863" s="18">
        <f>IF($A863&gt;30,L862,(L862-K826+K863)*(1+$C$7))</f>
        <v>0</v>
      </c>
      <c r="M863" s="18">
        <f t="shared" si="93"/>
        <v>-1.9485014490783215E-10</v>
      </c>
      <c r="N863" s="18">
        <f>IF($A863&gt;30,0,(N826-MIN(MAX(O862,0),N826))+MIN(MAX(0,P862-(N826-MIN(MAX(O862,0),N826))),MAX(0,0*N826-(O862-MIN(MAX(O862,0),N826)))))</f>
        <v>0</v>
      </c>
      <c r="O863" s="18">
        <f>IF($A863&gt;30,O862,(O862-N826+N863)*(1+$C$7))</f>
        <v>0</v>
      </c>
      <c r="P863" s="18">
        <f t="shared" si="94"/>
        <v>-1.04919308796525E-10</v>
      </c>
      <c r="Q863" s="18">
        <f>IF($A863&gt;30,0,(Q826-MIN(MAX(R862,0),Q826))+MIN(MAX(0,S862-(Q826-MIN(MAX(R862,0),Q826))),MAX(0,0*Q826-(R862-MIN(MAX(R862,0),Q826)))))</f>
        <v>0</v>
      </c>
      <c r="R863" s="18">
        <f>IF($A863&gt;30,R862,(R862-Q826+Q863)*(1+$C$7))</f>
        <v>0</v>
      </c>
      <c r="S863" s="18">
        <f t="shared" si="95"/>
        <v>-3.7471181713044646E-11</v>
      </c>
    </row>
    <row r="864" spans="1:19">
      <c r="A864" s="10">
        <f>36</f>
        <v>36</v>
      </c>
      <c r="B864" s="18">
        <f>IF($A864&gt;30,0,(B826-MIN(MAX(C863,0),B826))+MIN(MAX(0,D863-(B826-MIN(MAX(C863,0),B826))),MAX(0,0*B826-(C863-MIN(MAX(C863,0),B826)))))</f>
        <v>0</v>
      </c>
      <c r="C864" s="18">
        <f>IF($A864&gt;30,C863,(C863-B826+B864)*(1+$C$7))</f>
        <v>0</v>
      </c>
      <c r="D864" s="18">
        <f t="shared" si="90"/>
        <v>957182.125864311</v>
      </c>
      <c r="E864" s="18">
        <f>IF($A864&gt;30,0,(E826-MIN(MAX(F863,0),E826))+MIN(MAX(0,G863-(E826-MIN(MAX(F863,0),E826))),MAX(0,0*E826-(F863-MIN(MAX(F863,0),E826)))))</f>
        <v>0</v>
      </c>
      <c r="F864" s="18">
        <f>IF($A864&gt;30,F863,(F863-E826+E864)*(1+$C$7))</f>
        <v>0</v>
      </c>
      <c r="G864" s="18">
        <f t="shared" si="91"/>
        <v>-1247938.392123715</v>
      </c>
      <c r="H864" s="18">
        <f>IF($A864&gt;30,0,(H826-MIN(MAX(I863,0),H826))+MIN(MAX(0,J863-(H826-MIN(MAX(I863,0),H826))),MAX(0,0*H826-(I863-MIN(MAX(I863,0),H826)))))</f>
        <v>0</v>
      </c>
      <c r="I864" s="18">
        <f>IF($A864&gt;30,I863,(I863-H826+H864)*(1+$C$7))</f>
        <v>0</v>
      </c>
      <c r="J864" s="18">
        <f t="shared" si="92"/>
        <v>-8.0937752500176436E-10</v>
      </c>
      <c r="K864" s="18">
        <f>IF($A864&gt;30,0,(K826-MIN(MAX(L863,0),K826))+MIN(MAX(0,M863-(K826-MIN(MAX(L863,0),K826))),MAX(0,0*K826-(L863-MIN(MAX(L863,0),K826)))))</f>
        <v>0</v>
      </c>
      <c r="L864" s="18">
        <f>IF($A864&gt;30,L863,(L863-K826+K864)*(1+$C$7))</f>
        <v>0</v>
      </c>
      <c r="M864" s="18">
        <f t="shared" si="93"/>
        <v>-1.9485014490783215E-10</v>
      </c>
      <c r="N864" s="18">
        <f>IF($A864&gt;30,0,(N826-MIN(MAX(O863,0),N826))+MIN(MAX(0,P863-(N826-MIN(MAX(O863,0),N826))),MAX(0,0*N826-(O863-MIN(MAX(O863,0),N826)))))</f>
        <v>0</v>
      </c>
      <c r="O864" s="18">
        <f>IF($A864&gt;30,O863,(O863-N826+N864)*(1+$C$7))</f>
        <v>0</v>
      </c>
      <c r="P864" s="18">
        <f t="shared" si="94"/>
        <v>-1.04919308796525E-10</v>
      </c>
      <c r="Q864" s="18">
        <f>IF($A864&gt;30,0,(Q826-MIN(MAX(R863,0),Q826))+MIN(MAX(0,S863-(Q826-MIN(MAX(R863,0),Q826))),MAX(0,0*Q826-(R863-MIN(MAX(R863,0),Q826)))))</f>
        <v>0</v>
      </c>
      <c r="R864" s="18">
        <f>IF($A864&gt;30,R863,(R863-Q826+Q864)*(1+$C$7))</f>
        <v>0</v>
      </c>
      <c r="S864" s="18">
        <f t="shared" si="95"/>
        <v>-3.7471181713044646E-11</v>
      </c>
    </row>
    <row r="865" spans="1:19">
      <c r="A865" s="10">
        <f>37</f>
        <v>37</v>
      </c>
      <c r="B865" s="18">
        <f>IF($A865&gt;30,0,(B826-MIN(MAX(C864,0),B826))+MIN(MAX(0,D864-(B826-MIN(MAX(C864,0),B826))),MAX(0,0*B826-(C864-MIN(MAX(C864,0),B826)))))</f>
        <v>0</v>
      </c>
      <c r="C865" s="18">
        <f>IF($A865&gt;30,C864,(C864-B826+B865)*(1+$C$7))</f>
        <v>0</v>
      </c>
      <c r="D865" s="18">
        <f t="shared" si="90"/>
        <v>957182.125864311</v>
      </c>
      <c r="E865" s="18">
        <f>IF($A865&gt;30,0,(E826-MIN(MAX(F864,0),E826))+MIN(MAX(0,G864-(E826-MIN(MAX(F864,0),E826))),MAX(0,0*E826-(F864-MIN(MAX(F864,0),E826)))))</f>
        <v>0</v>
      </c>
      <c r="F865" s="18">
        <f>IF($A865&gt;30,F864,(F864-E826+E865)*(1+$C$7))</f>
        <v>0</v>
      </c>
      <c r="G865" s="18">
        <f t="shared" si="91"/>
        <v>-1247938.392123715</v>
      </c>
      <c r="H865" s="18">
        <f>IF($A865&gt;30,0,(H826-MIN(MAX(I864,0),H826))+MIN(MAX(0,J864-(H826-MIN(MAX(I864,0),H826))),MAX(0,0*H826-(I864-MIN(MAX(I864,0),H826)))))</f>
        <v>0</v>
      </c>
      <c r="I865" s="18">
        <f>IF($A865&gt;30,I864,(I864-H826+H865)*(1+$C$7))</f>
        <v>0</v>
      </c>
      <c r="J865" s="18">
        <f t="shared" si="92"/>
        <v>-8.0937752500176436E-10</v>
      </c>
      <c r="K865" s="18">
        <f>IF($A865&gt;30,0,(K826-MIN(MAX(L864,0),K826))+MIN(MAX(0,M864-(K826-MIN(MAX(L864,0),K826))),MAX(0,0*K826-(L864-MIN(MAX(L864,0),K826)))))</f>
        <v>0</v>
      </c>
      <c r="L865" s="18">
        <f>IF($A865&gt;30,L864,(L864-K826+K865)*(1+$C$7))</f>
        <v>0</v>
      </c>
      <c r="M865" s="18">
        <f t="shared" si="93"/>
        <v>-1.9485014490783215E-10</v>
      </c>
      <c r="N865" s="18">
        <f>IF($A865&gt;30,0,(N826-MIN(MAX(O864,0),N826))+MIN(MAX(0,P864-(N826-MIN(MAX(O864,0),N826))),MAX(0,0*N826-(O864-MIN(MAX(O864,0),N826)))))</f>
        <v>0</v>
      </c>
      <c r="O865" s="18">
        <f>IF($A865&gt;30,O864,(O864-N826+N865)*(1+$C$7))</f>
        <v>0</v>
      </c>
      <c r="P865" s="18">
        <f t="shared" si="94"/>
        <v>-1.04919308796525E-10</v>
      </c>
      <c r="Q865" s="18">
        <f>IF($A865&gt;30,0,(Q826-MIN(MAX(R864,0),Q826))+MIN(MAX(0,S864-(Q826-MIN(MAX(R864,0),Q826))),MAX(0,0*Q826-(R864-MIN(MAX(R864,0),Q826)))))</f>
        <v>0</v>
      </c>
      <c r="R865" s="18">
        <f>IF($A865&gt;30,R864,(R864-Q826+Q865)*(1+$C$7))</f>
        <v>0</v>
      </c>
      <c r="S865" s="18">
        <f t="shared" si="95"/>
        <v>-3.7471181713044646E-11</v>
      </c>
    </row>
    <row r="866" spans="1:19">
      <c r="A866" s="10">
        <f>38</f>
        <v>38</v>
      </c>
      <c r="B866" s="18">
        <f>IF($A866&gt;30,0,(B826-MIN(MAX(C865,0),B826))+MIN(MAX(0,D865-(B826-MIN(MAX(C865,0),B826))),MAX(0,0*B826-(C865-MIN(MAX(C865,0),B826)))))</f>
        <v>0</v>
      </c>
      <c r="C866" s="18">
        <f>IF($A866&gt;30,C865,(C865-B826+B866)*(1+$C$7))</f>
        <v>0</v>
      </c>
      <c r="D866" s="18">
        <f t="shared" si="90"/>
        <v>957182.125864311</v>
      </c>
      <c r="E866" s="18">
        <f>IF($A866&gt;30,0,(E826-MIN(MAX(F865,0),E826))+MIN(MAX(0,G865-(E826-MIN(MAX(F865,0),E826))),MAX(0,0*E826-(F865-MIN(MAX(F865,0),E826)))))</f>
        <v>0</v>
      </c>
      <c r="F866" s="18">
        <f>IF($A866&gt;30,F865,(F865-E826+E866)*(1+$C$7))</f>
        <v>0</v>
      </c>
      <c r="G866" s="18">
        <f t="shared" si="91"/>
        <v>-1247938.392123715</v>
      </c>
      <c r="H866" s="18">
        <f>IF($A866&gt;30,0,(H826-MIN(MAX(I865,0),H826))+MIN(MAX(0,J865-(H826-MIN(MAX(I865,0),H826))),MAX(0,0*H826-(I865-MIN(MAX(I865,0),H826)))))</f>
        <v>0</v>
      </c>
      <c r="I866" s="18">
        <f>IF($A866&gt;30,I865,(I865-H826+H866)*(1+$C$7))</f>
        <v>0</v>
      </c>
      <c r="J866" s="18">
        <f t="shared" si="92"/>
        <v>-8.0937752500176436E-10</v>
      </c>
      <c r="K866" s="18">
        <f>IF($A866&gt;30,0,(K826-MIN(MAX(L865,0),K826))+MIN(MAX(0,M865-(K826-MIN(MAX(L865,0),K826))),MAX(0,0*K826-(L865-MIN(MAX(L865,0),K826)))))</f>
        <v>0</v>
      </c>
      <c r="L866" s="18">
        <f>IF($A866&gt;30,L865,(L865-K826+K866)*(1+$C$7))</f>
        <v>0</v>
      </c>
      <c r="M866" s="18">
        <f t="shared" si="93"/>
        <v>-1.9485014490783215E-10</v>
      </c>
      <c r="N866" s="18">
        <f>IF($A866&gt;30,0,(N826-MIN(MAX(O865,0),N826))+MIN(MAX(0,P865-(N826-MIN(MAX(O865,0),N826))),MAX(0,0*N826-(O865-MIN(MAX(O865,0),N826)))))</f>
        <v>0</v>
      </c>
      <c r="O866" s="18">
        <f>IF($A866&gt;30,O865,(O865-N826+N866)*(1+$C$7))</f>
        <v>0</v>
      </c>
      <c r="P866" s="18">
        <f t="shared" si="94"/>
        <v>-1.04919308796525E-10</v>
      </c>
      <c r="Q866" s="18">
        <f>IF($A866&gt;30,0,(Q826-MIN(MAX(R865,0),Q826))+MIN(MAX(0,S865-(Q826-MIN(MAX(R865,0),Q826))),MAX(0,0*Q826-(R865-MIN(MAX(R865,0),Q826)))))</f>
        <v>0</v>
      </c>
      <c r="R866" s="18">
        <f>IF($A866&gt;30,R865,(R865-Q826+Q866)*(1+$C$7))</f>
        <v>0</v>
      </c>
      <c r="S866" s="18">
        <f t="shared" si="95"/>
        <v>-3.7471181713044646E-11</v>
      </c>
    </row>
    <row r="867" spans="1:19">
      <c r="A867" s="10">
        <f>39</f>
        <v>39</v>
      </c>
      <c r="B867" s="18">
        <f>IF($A867&gt;30,0,(B826-MIN(MAX(C866,0),B826))+MIN(MAX(0,D866-(B826-MIN(MAX(C866,0),B826))),MAX(0,0*B826-(C866-MIN(MAX(C866,0),B826)))))</f>
        <v>0</v>
      </c>
      <c r="C867" s="18">
        <f>IF($A867&gt;30,C866,(C866-B826+B867)*(1+$C$7))</f>
        <v>0</v>
      </c>
      <c r="D867" s="18">
        <f t="shared" si="90"/>
        <v>957182.125864311</v>
      </c>
      <c r="E867" s="18">
        <f>IF($A867&gt;30,0,(E826-MIN(MAX(F866,0),E826))+MIN(MAX(0,G866-(E826-MIN(MAX(F866,0),E826))),MAX(0,0*E826-(F866-MIN(MAX(F866,0),E826)))))</f>
        <v>0</v>
      </c>
      <c r="F867" s="18">
        <f>IF($A867&gt;30,F866,(F866-E826+E867)*(1+$C$7))</f>
        <v>0</v>
      </c>
      <c r="G867" s="18">
        <f t="shared" si="91"/>
        <v>-1247938.392123715</v>
      </c>
      <c r="H867" s="18">
        <f>IF($A867&gt;30,0,(H826-MIN(MAX(I866,0),H826))+MIN(MAX(0,J866-(H826-MIN(MAX(I866,0),H826))),MAX(0,0*H826-(I866-MIN(MAX(I866,0),H826)))))</f>
        <v>0</v>
      </c>
      <c r="I867" s="18">
        <f>IF($A867&gt;30,I866,(I866-H826+H867)*(1+$C$7))</f>
        <v>0</v>
      </c>
      <c r="J867" s="18">
        <f t="shared" si="92"/>
        <v>-8.0937752500176436E-10</v>
      </c>
      <c r="K867" s="18">
        <f>IF($A867&gt;30,0,(K826-MIN(MAX(L866,0),K826))+MIN(MAX(0,M866-(K826-MIN(MAX(L866,0),K826))),MAX(0,0*K826-(L866-MIN(MAX(L866,0),K826)))))</f>
        <v>0</v>
      </c>
      <c r="L867" s="18">
        <f>IF($A867&gt;30,L866,(L866-K826+K867)*(1+$C$7))</f>
        <v>0</v>
      </c>
      <c r="M867" s="18">
        <f t="shared" si="93"/>
        <v>-1.9485014490783215E-10</v>
      </c>
      <c r="N867" s="18">
        <f>IF($A867&gt;30,0,(N826-MIN(MAX(O866,0),N826))+MIN(MAX(0,P866-(N826-MIN(MAX(O866,0),N826))),MAX(0,0*N826-(O866-MIN(MAX(O866,0),N826)))))</f>
        <v>0</v>
      </c>
      <c r="O867" s="18">
        <f>IF($A867&gt;30,O866,(O866-N826+N867)*(1+$C$7))</f>
        <v>0</v>
      </c>
      <c r="P867" s="18">
        <f t="shared" si="94"/>
        <v>-1.04919308796525E-10</v>
      </c>
      <c r="Q867" s="18">
        <f>IF($A867&gt;30,0,(Q826-MIN(MAX(R866,0),Q826))+MIN(MAX(0,S866-(Q826-MIN(MAX(R866,0),Q826))),MAX(0,0*Q826-(R866-MIN(MAX(R866,0),Q826)))))</f>
        <v>0</v>
      </c>
      <c r="R867" s="18">
        <f>IF($A867&gt;30,R866,(R866-Q826+Q867)*(1+$C$7))</f>
        <v>0</v>
      </c>
      <c r="S867" s="18">
        <f t="shared" si="95"/>
        <v>-3.7471181713044646E-11</v>
      </c>
    </row>
    <row r="868" spans="1:19">
      <c r="A868" s="10">
        <f>40</f>
        <v>40</v>
      </c>
      <c r="B868" s="18">
        <f>IF($A868&gt;30,0,(B826-MIN(MAX(C867,0),B826))+MIN(MAX(0,D867-(B826-MIN(MAX(C867,0),B826))),MAX(0,0*B826-(C867-MIN(MAX(C867,0),B826)))))</f>
        <v>0</v>
      </c>
      <c r="C868" s="18">
        <f>IF($A868&gt;30,C867,(C867-B826+B868)*(1+$C$7))</f>
        <v>0</v>
      </c>
      <c r="D868" s="18">
        <f t="shared" si="90"/>
        <v>957182.125864311</v>
      </c>
      <c r="E868" s="18">
        <f>IF($A868&gt;30,0,(E826-MIN(MAX(F867,0),E826))+MIN(MAX(0,G867-(E826-MIN(MAX(F867,0),E826))),MAX(0,0*E826-(F867-MIN(MAX(F867,0),E826)))))</f>
        <v>0</v>
      </c>
      <c r="F868" s="18">
        <f>IF($A868&gt;30,F867,(F867-E826+E868)*(1+$C$7))</f>
        <v>0</v>
      </c>
      <c r="G868" s="18">
        <f t="shared" si="91"/>
        <v>-1247938.392123715</v>
      </c>
      <c r="H868" s="18">
        <f>IF($A868&gt;30,0,(H826-MIN(MAX(I867,0),H826))+MIN(MAX(0,J867-(H826-MIN(MAX(I867,0),H826))),MAX(0,0*H826-(I867-MIN(MAX(I867,0),H826)))))</f>
        <v>0</v>
      </c>
      <c r="I868" s="18">
        <f>IF($A868&gt;30,I867,(I867-H826+H868)*(1+$C$7))</f>
        <v>0</v>
      </c>
      <c r="J868" s="18">
        <f t="shared" si="92"/>
        <v>-8.0937752500176436E-10</v>
      </c>
      <c r="K868" s="18">
        <f>IF($A868&gt;30,0,(K826-MIN(MAX(L867,0),K826))+MIN(MAX(0,M867-(K826-MIN(MAX(L867,0),K826))),MAX(0,0*K826-(L867-MIN(MAX(L867,0),K826)))))</f>
        <v>0</v>
      </c>
      <c r="L868" s="18">
        <f>IF($A868&gt;30,L867,(L867-K826+K868)*(1+$C$7))</f>
        <v>0</v>
      </c>
      <c r="M868" s="18">
        <f t="shared" si="93"/>
        <v>-1.9485014490783215E-10</v>
      </c>
      <c r="N868" s="18">
        <f>IF($A868&gt;30,0,(N826-MIN(MAX(O867,0),N826))+MIN(MAX(0,P867-(N826-MIN(MAX(O867,0),N826))),MAX(0,0*N826-(O867-MIN(MAX(O867,0),N826)))))</f>
        <v>0</v>
      </c>
      <c r="O868" s="18">
        <f>IF($A868&gt;30,O867,(O867-N826+N868)*(1+$C$7))</f>
        <v>0</v>
      </c>
      <c r="P868" s="18">
        <f t="shared" si="94"/>
        <v>-1.04919308796525E-10</v>
      </c>
      <c r="Q868" s="18">
        <f>IF($A868&gt;30,0,(Q826-MIN(MAX(R867,0),Q826))+MIN(MAX(0,S867-(Q826-MIN(MAX(R867,0),Q826))),MAX(0,0*Q826-(R867-MIN(MAX(R867,0),Q826)))))</f>
        <v>0</v>
      </c>
      <c r="R868" s="18">
        <f>IF($A868&gt;30,R867,(R867-Q826+Q868)*(1+$C$7))</f>
        <v>0</v>
      </c>
      <c r="S868" s="18">
        <f t="shared" si="95"/>
        <v>-3.7471181713044646E-11</v>
      </c>
    </row>
    <row r="869" spans="1:19">
      <c r="B869" s="18">
        <f>C868+D868</f>
        <v>957182.125864311</v>
      </c>
      <c r="E869" s="18">
        <f>F868+G868</f>
        <v>-1247938.392123715</v>
      </c>
      <c r="H869" s="18">
        <f>I868+J868</f>
        <v>-8.0937752500176436E-10</v>
      </c>
      <c r="K869" s="18">
        <f>L868+M868</f>
        <v>-1.9485014490783215E-10</v>
      </c>
      <c r="N869" s="18">
        <f>O868+P868</f>
        <v>-1.04919308796525E-10</v>
      </c>
      <c r="Q869" s="18">
        <f>R868+S868</f>
        <v>-3.7471181713044646E-11</v>
      </c>
    </row>
    <row r="870" spans="1:19">
      <c r="A870" s="5" t="s">
        <v>266</v>
      </c>
      <c r="B870" s="18">
        <f>IFERROR(Q826-Q869*(Q826-N826)/(Q869-N869),Q826)</f>
        <v>49533.261475973355</v>
      </c>
    </row>
    <row r="872" spans="1:19">
      <c r="A872" s="2" t="s">
        <v>282</v>
      </c>
    </row>
    <row r="873" spans="1:19">
      <c r="B873" s="9">
        <f>0.03*$B$5</f>
        <v>30000</v>
      </c>
      <c r="E873" s="9">
        <f>0.075*$B$5</f>
        <v>75000</v>
      </c>
      <c r="H873" s="18">
        <f>IFERROR(E873-E916*(E873-B873)/(E916-B916),E873)</f>
        <v>48689.136752548962</v>
      </c>
      <c r="K873" s="18">
        <f>IFERROR(H873-H916*(H873-E873)/(H916-E916),H873)</f>
        <v>48442.166014787508</v>
      </c>
      <c r="N873" s="18">
        <f>IFERROR(K873-K916*(K873-H873)/(K916-H916),K873)</f>
        <v>48442.199761066775</v>
      </c>
      <c r="Q873" s="18">
        <f>IFERROR(N873-N916*(N873-K873)/(N916-K916),N873)</f>
        <v>48442.200555735319</v>
      </c>
    </row>
    <row r="874" spans="1:19">
      <c r="A874" s="25" t="s">
        <v>262</v>
      </c>
      <c r="B874" s="25" t="s">
        <v>263</v>
      </c>
      <c r="C874" s="25" t="s">
        <v>264</v>
      </c>
      <c r="D874" s="25" t="s">
        <v>265</v>
      </c>
      <c r="E874" s="25" t="s">
        <v>263</v>
      </c>
      <c r="F874" s="25" t="s">
        <v>264</v>
      </c>
      <c r="G874" s="25" t="s">
        <v>265</v>
      </c>
      <c r="H874" s="25" t="s">
        <v>263</v>
      </c>
      <c r="I874" s="25" t="s">
        <v>264</v>
      </c>
      <c r="J874" s="25" t="s">
        <v>265</v>
      </c>
      <c r="K874" s="25" t="s">
        <v>263</v>
      </c>
      <c r="L874" s="25" t="s">
        <v>264</v>
      </c>
      <c r="M874" s="25" t="s">
        <v>265</v>
      </c>
      <c r="N874" s="25" t="s">
        <v>263</v>
      </c>
      <c r="O874" s="25" t="s">
        <v>264</v>
      </c>
      <c r="P874" s="25" t="s">
        <v>265</v>
      </c>
      <c r="Q874" s="25" t="s">
        <v>263</v>
      </c>
      <c r="R874" s="25" t="s">
        <v>264</v>
      </c>
      <c r="S874" s="25" t="s">
        <v>265</v>
      </c>
    </row>
    <row r="875" spans="1:19">
      <c r="A875" s="3">
        <v>0</v>
      </c>
      <c r="C875" s="18">
        <f>MIN(1*B873,$B$5)</f>
        <v>30000</v>
      </c>
      <c r="D875" s="18">
        <f>$B$5-C875</f>
        <v>970000</v>
      </c>
      <c r="F875" s="18">
        <f>MIN(1*E873,$B$5)</f>
        <v>75000</v>
      </c>
      <c r="G875" s="18">
        <f>$B$5-F875</f>
        <v>925000</v>
      </c>
      <c r="I875" s="18">
        <f>MIN(1*H873,$B$5)</f>
        <v>48689.136752548962</v>
      </c>
      <c r="J875" s="18">
        <f>$B$5-I875</f>
        <v>951310.86324745102</v>
      </c>
      <c r="L875" s="18">
        <f>MIN(1*K873,$B$5)</f>
        <v>48442.166014787508</v>
      </c>
      <c r="M875" s="18">
        <f>$B$5-L875</f>
        <v>951557.83398521249</v>
      </c>
      <c r="O875" s="18">
        <f>MIN(1*N873,$B$5)</f>
        <v>48442.199761066775</v>
      </c>
      <c r="P875" s="18">
        <f>$B$5-O875</f>
        <v>951557.80023893318</v>
      </c>
      <c r="R875" s="18">
        <f>MIN(1*Q873,$B$5)</f>
        <v>48442.200555735319</v>
      </c>
      <c r="S875" s="18">
        <f>$B$5-R875</f>
        <v>951557.79944426473</v>
      </c>
    </row>
    <row r="876" spans="1:19">
      <c r="A876" s="10">
        <f>1</f>
        <v>1</v>
      </c>
      <c r="B876" s="18">
        <f>IF($A876&gt;30,0,(B873-MIN(MAX(C875,0),B873))+MIN(MAX(0,D875-(B873-MIN(MAX(C875,0),B873))),MAX(0,1*B873-(C875-MIN(MAX(C875,0),B873)))))</f>
        <v>30000</v>
      </c>
      <c r="C876" s="18">
        <f>IF($A876&gt;30,C875,(C875-B873+B876)*(1+$C$7))</f>
        <v>30189</v>
      </c>
      <c r="D876" s="18">
        <f t="shared" ref="D876:D915" si="96">IF($A876&gt;30,D875,(D875-B876)*(1+$B$6))</f>
        <v>968200</v>
      </c>
      <c r="E876" s="18">
        <f>IF($A876&gt;30,0,(E873-MIN(MAX(F875,0),E873))+MIN(MAX(0,G875-(E873-MIN(MAX(F875,0),E873))),MAX(0,1*E873-(F875-MIN(MAX(F875,0),E873)))))</f>
        <v>75000</v>
      </c>
      <c r="F876" s="18">
        <f>IF($A876&gt;30,F875,(F875-E873+E876)*(1+$C$7))</f>
        <v>75472.5</v>
      </c>
      <c r="G876" s="18">
        <f t="shared" ref="G876:G915" si="97">IF($A876&gt;30,G875,(G875-E876)*(1+$B$6))</f>
        <v>875500</v>
      </c>
      <c r="H876" s="18">
        <f>IF($A876&gt;30,0,(H873-MIN(MAX(I875,0),H873))+MIN(MAX(0,J875-(H873-MIN(MAX(I875,0),H873))),MAX(0,1*H873-(I875-MIN(MAX(I875,0),H873)))))</f>
        <v>48689.136752548962</v>
      </c>
      <c r="I876" s="18">
        <f>IF($A876&gt;30,I875,(I875-H873+H876)*(1+$C$7))</f>
        <v>48995.87831409002</v>
      </c>
      <c r="J876" s="18">
        <f t="shared" ref="J876:J915" si="98">IF($A876&gt;30,J875,(J875-H876)*(1+$B$6))</f>
        <v>929700.37828974915</v>
      </c>
      <c r="K876" s="18">
        <f>IF($A876&gt;30,0,(K873-MIN(MAX(L875,0),K873))+MIN(MAX(0,M875-(K873-MIN(MAX(L875,0),K873))),MAX(0,1*K873-(L875-MIN(MAX(L875,0),K873)))))</f>
        <v>48442.166014787508</v>
      </c>
      <c r="L876" s="18">
        <f>IF($A876&gt;30,L875,(L875-K873+K876)*(1+$C$7))</f>
        <v>48747.351660680666</v>
      </c>
      <c r="M876" s="18">
        <f t="shared" ref="M876:M915" si="99">IF($A876&gt;30,M875,(M875-K876)*(1+$B$6))</f>
        <v>930209.13800953771</v>
      </c>
      <c r="N876" s="18">
        <f>IF($A876&gt;30,0,(N873-MIN(MAX(O875,0),N873))+MIN(MAX(0,P875-(N873-MIN(MAX(O875,0),N873))),MAX(0,1*N873-(O875-MIN(MAX(O875,0),N873)))))</f>
        <v>48442.199761066775</v>
      </c>
      <c r="O876" s="18">
        <f>IF($A876&gt;30,O875,(O875-N873+N876)*(1+$C$7))</f>
        <v>48747.385619561494</v>
      </c>
      <c r="P876" s="18">
        <f t="shared" ref="P876:P915" si="100">IF($A876&gt;30,P875,(P875-N876)*(1+$B$6))</f>
        <v>930209.06849220232</v>
      </c>
      <c r="Q876" s="18">
        <f>IF($A876&gt;30,0,(Q873-MIN(MAX(R875,0),Q873))+MIN(MAX(0,S875-(Q873-MIN(MAX(R875,0),Q873))),MAX(0,1*Q873-(R875-MIN(MAX(R875,0),Q873)))))</f>
        <v>48442.200555735319</v>
      </c>
      <c r="R876" s="18">
        <f>IF($A876&gt;30,R875,(R875-Q873+Q876)*(1+$C$7))</f>
        <v>48747.386419236449</v>
      </c>
      <c r="S876" s="18">
        <f t="shared" ref="S876:S915" si="101">IF($A876&gt;30,S875,(S875-Q876)*(1+$B$6))</f>
        <v>930209.06685518532</v>
      </c>
    </row>
    <row r="877" spans="1:19">
      <c r="A877" s="10">
        <f>2</f>
        <v>2</v>
      </c>
      <c r="B877" s="18">
        <f>IF($A877&gt;30,0,(B873-MIN(MAX(C876,0),B873))+MIN(MAX(0,D876-(B873-MIN(MAX(C876,0),B873))),MAX(0,1*B873-(C876-MIN(MAX(C876,0),B873)))))</f>
        <v>29811</v>
      </c>
      <c r="C877" s="18">
        <f>IF($A877&gt;30,C876,(C876-B873+B877)*(1+$C$7))</f>
        <v>30189</v>
      </c>
      <c r="D877" s="18">
        <f t="shared" si="96"/>
        <v>966540.67</v>
      </c>
      <c r="E877" s="18">
        <f>IF($A877&gt;30,0,(E873-MIN(MAX(F876,0),E873))+MIN(MAX(0,G876-(E873-MIN(MAX(F876,0),E873))),MAX(0,1*E873-(F876-MIN(MAX(F876,0),E873)))))</f>
        <v>74527.5</v>
      </c>
      <c r="F877" s="18">
        <f>IF($A877&gt;30,F876,(F876-E873+E877)*(1+$C$7))</f>
        <v>75472.5</v>
      </c>
      <c r="G877" s="18">
        <f t="shared" si="97"/>
        <v>825001.67500000005</v>
      </c>
      <c r="H877" s="18">
        <f>IF($A877&gt;30,0,(H873-MIN(MAX(I876,0),H873))+MIN(MAX(0,J876-(H873-MIN(MAX(I876,0),H873))),MAX(0,1*H873-(I876-MIN(MAX(I876,0),H873)))))</f>
        <v>48382.395191007905</v>
      </c>
      <c r="I877" s="18">
        <f>IF($A877&gt;30,I876,(I876-H873+H877)*(1+$C$7))</f>
        <v>48995.87831409002</v>
      </c>
      <c r="J877" s="18">
        <f t="shared" si="98"/>
        <v>907757.52259170357</v>
      </c>
      <c r="K877" s="18">
        <f>IF($A877&gt;30,0,(K873-MIN(MAX(L876,0),K873))+MIN(MAX(0,M876-(K873-MIN(MAX(L876,0),K873))),MAX(0,1*K873-(L876-MIN(MAX(L876,0),K873)))))</f>
        <v>48136.98036889435</v>
      </c>
      <c r="L877" s="18">
        <f>IF($A877&gt;30,L876,(L876-K873+K877)*(1+$C$7))</f>
        <v>48747.351660680666</v>
      </c>
      <c r="M877" s="18">
        <f t="shared" si="99"/>
        <v>908534.3223698627</v>
      </c>
      <c r="N877" s="18">
        <f>IF($A877&gt;30,0,(N873-MIN(MAX(O876,0),N873))+MIN(MAX(0,P876-(N873-MIN(MAX(O876,0),N873))),MAX(0,1*N873-(O876-MIN(MAX(O876,0),N873)))))</f>
        <v>48137.013902572056</v>
      </c>
      <c r="O877" s="18">
        <f>IF($A877&gt;30,O876,(O876-N873+N877)*(1+$C$7))</f>
        <v>48747.385619561494</v>
      </c>
      <c r="P877" s="18">
        <f t="shared" si="100"/>
        <v>908534.21622731921</v>
      </c>
      <c r="Q877" s="18">
        <f>IF($A877&gt;30,0,(Q873-MIN(MAX(R876,0),Q873))+MIN(MAX(0,S876-(Q873-MIN(MAX(R876,0),Q873))),MAX(0,1*Q873-(R876-MIN(MAX(R876,0),Q873)))))</f>
        <v>48137.014692234188</v>
      </c>
      <c r="R877" s="18">
        <f>IF($A877&gt;30,R876,(R876-Q873+Q877)*(1+$C$7))</f>
        <v>48747.386419236449</v>
      </c>
      <c r="S877" s="18">
        <f t="shared" si="101"/>
        <v>908534.21372783964</v>
      </c>
    </row>
    <row r="878" spans="1:19">
      <c r="A878" s="10">
        <f>3</f>
        <v>3</v>
      </c>
      <c r="B878" s="18">
        <f>IF($A878&gt;30,0,(B873-MIN(MAX(C877,0),B873))+MIN(MAX(0,D877-(B873-MIN(MAX(C877,0),B873))),MAX(0,1*B873-(C877-MIN(MAX(C877,0),B873)))))</f>
        <v>29811</v>
      </c>
      <c r="C878" s="18">
        <f>IF($A878&gt;30,C877,(C877-B873+B878)*(1+$C$7))</f>
        <v>30189</v>
      </c>
      <c r="D878" s="18">
        <f t="shared" si="96"/>
        <v>964831.56010000012</v>
      </c>
      <c r="E878" s="18">
        <f>IF($A878&gt;30,0,(E873-MIN(MAX(F877,0),E873))+MIN(MAX(0,G877-(E873-MIN(MAX(F877,0),E873))),MAX(0,1*E873-(F877-MIN(MAX(F877,0),E873)))))</f>
        <v>74527.5</v>
      </c>
      <c r="F878" s="18">
        <f>IF($A878&gt;30,F877,(F877-E873+E878)*(1+$C$7))</f>
        <v>75472.5</v>
      </c>
      <c r="G878" s="18">
        <f t="shared" si="97"/>
        <v>772988.40025000006</v>
      </c>
      <c r="H878" s="18">
        <f>IF($A878&gt;30,0,(H873-MIN(MAX(I877,0),H873))+MIN(MAX(0,J877-(H873-MIN(MAX(I877,0),H873))),MAX(0,1*H873-(I877-MIN(MAX(I877,0),H873)))))</f>
        <v>48382.395191007905</v>
      </c>
      <c r="I878" s="18">
        <f>IF($A878&gt;30,I877,(I877-H873+H878)*(1+$C$7))</f>
        <v>48995.87831409002</v>
      </c>
      <c r="J878" s="18">
        <f t="shared" si="98"/>
        <v>885156.38122271653</v>
      </c>
      <c r="K878" s="18">
        <f>IF($A878&gt;30,0,(K873-MIN(MAX(L877,0),K873))+MIN(MAX(0,M877-(K873-MIN(MAX(L877,0),K873))),MAX(0,1*K873-(L877-MIN(MAX(L877,0),K873)))))</f>
        <v>48136.98036889435</v>
      </c>
      <c r="L878" s="18">
        <f>IF($A878&gt;30,L877,(L877-K873+K878)*(1+$C$7))</f>
        <v>48747.351660680666</v>
      </c>
      <c r="M878" s="18">
        <f t="shared" si="99"/>
        <v>886209.26226099732</v>
      </c>
      <c r="N878" s="18">
        <f>IF($A878&gt;30,0,(N873-MIN(MAX(O877,0),N873))+MIN(MAX(0,P877-(N873-MIN(MAX(O877,0),N873))),MAX(0,1*N873-(O877-MIN(MAX(O877,0),N873)))))</f>
        <v>48137.013902572056</v>
      </c>
      <c r="O878" s="18">
        <f>IF($A878&gt;30,O877,(O877-N873+N878)*(1+$C$7))</f>
        <v>48747.385619561494</v>
      </c>
      <c r="P878" s="18">
        <f t="shared" si="100"/>
        <v>886209.11839448952</v>
      </c>
      <c r="Q878" s="18">
        <f>IF($A878&gt;30,0,(Q873-MIN(MAX(R877,0),Q873))+MIN(MAX(0,S877-(Q873-MIN(MAX(R877,0),Q873))),MAX(0,1*Q873-(R877-MIN(MAX(R877,0),Q873)))))</f>
        <v>48137.014692234188</v>
      </c>
      <c r="R878" s="18">
        <f>IF($A878&gt;30,R877,(R877-Q873+Q878)*(1+$C$7))</f>
        <v>48747.386419236449</v>
      </c>
      <c r="S878" s="18">
        <f t="shared" si="101"/>
        <v>886209.11500667362</v>
      </c>
    </row>
    <row r="879" spans="1:19">
      <c r="A879" s="10">
        <f>4</f>
        <v>4</v>
      </c>
      <c r="B879" s="18">
        <f>IF($A879&gt;30,0,(B873-MIN(MAX(C878,0),B873))+MIN(MAX(0,D878-(B873-MIN(MAX(C878,0),B873))),MAX(0,1*B873-(C878-MIN(MAX(C878,0),B873)))))</f>
        <v>29811</v>
      </c>
      <c r="C879" s="18">
        <f>IF($A879&gt;30,C878,(C878-B873+B879)*(1+$C$7))</f>
        <v>30189</v>
      </c>
      <c r="D879" s="18">
        <f t="shared" si="96"/>
        <v>963071.1769030001</v>
      </c>
      <c r="E879" s="18">
        <f>IF($A879&gt;30,0,(E873-MIN(MAX(F878,0),E873))+MIN(MAX(0,G878-(E873-MIN(MAX(F878,0),E873))),MAX(0,1*E873-(F878-MIN(MAX(F878,0),E873)))))</f>
        <v>74527.5</v>
      </c>
      <c r="F879" s="18">
        <f>IF($A879&gt;30,F878,(F878-E873+E879)*(1+$C$7))</f>
        <v>75472.5</v>
      </c>
      <c r="G879" s="18">
        <f t="shared" si="97"/>
        <v>719414.72725750005</v>
      </c>
      <c r="H879" s="18">
        <f>IF($A879&gt;30,0,(H873-MIN(MAX(I878,0),H873))+MIN(MAX(0,J878-(H873-MIN(MAX(I878,0),H873))),MAX(0,1*H873-(I878-MIN(MAX(I878,0),H873)))))</f>
        <v>48382.395191007905</v>
      </c>
      <c r="I879" s="18">
        <f>IF($A879&gt;30,I878,(I878-H873+H879)*(1+$C$7))</f>
        <v>48995.87831409002</v>
      </c>
      <c r="J879" s="18">
        <f t="shared" si="98"/>
        <v>861877.20561265992</v>
      </c>
      <c r="K879" s="18">
        <f>IF($A879&gt;30,0,(K873-MIN(MAX(L878,0),K873))+MIN(MAX(0,M878-(K873-MIN(MAX(L878,0),K873))),MAX(0,1*K873-(L878-MIN(MAX(L878,0),K873)))))</f>
        <v>48136.98036889435</v>
      </c>
      <c r="L879" s="18">
        <f>IF($A879&gt;30,L878,(L878-K873+K879)*(1+$C$7))</f>
        <v>48747.351660680666</v>
      </c>
      <c r="M879" s="18">
        <f t="shared" si="99"/>
        <v>863214.45034886606</v>
      </c>
      <c r="N879" s="18">
        <f>IF($A879&gt;30,0,(N873-MIN(MAX(O878,0),N873))+MIN(MAX(0,P878-(N873-MIN(MAX(O878,0),N873))),MAX(0,1*N873-(O878-MIN(MAX(O878,0),N873)))))</f>
        <v>48137.013902572056</v>
      </c>
      <c r="O879" s="18">
        <f>IF($A879&gt;30,O878,(O878-N873+N879)*(1+$C$7))</f>
        <v>48747.385619561494</v>
      </c>
      <c r="P879" s="18">
        <f t="shared" si="100"/>
        <v>863214.26762667496</v>
      </c>
      <c r="Q879" s="18">
        <f>IF($A879&gt;30,0,(Q873-MIN(MAX(R878,0),Q873))+MIN(MAX(0,S878-(Q873-MIN(MAX(R878,0),Q873))),MAX(0,1*Q873-(R878-MIN(MAX(R878,0),Q873)))))</f>
        <v>48137.014692234188</v>
      </c>
      <c r="R879" s="18">
        <f>IF($A879&gt;30,R878,(R878-Q873+Q879)*(1+$C$7))</f>
        <v>48747.386419236449</v>
      </c>
      <c r="S879" s="18">
        <f t="shared" si="101"/>
        <v>863214.26332387258</v>
      </c>
    </row>
    <row r="880" spans="1:19">
      <c r="A880" s="10">
        <f>5</f>
        <v>5</v>
      </c>
      <c r="B880" s="18">
        <f>IF($A880&gt;30,0,(B873-MIN(MAX(C879,0),B873))+MIN(MAX(0,D879-(B873-MIN(MAX(C879,0),B873))),MAX(0,1*B873-(C879-MIN(MAX(C879,0),B873)))))</f>
        <v>29811</v>
      </c>
      <c r="C880" s="18">
        <f>IF($A880&gt;30,C879,(C879-B873+B880)*(1+$C$7))</f>
        <v>30189</v>
      </c>
      <c r="D880" s="18">
        <f t="shared" si="96"/>
        <v>961257.98221009015</v>
      </c>
      <c r="E880" s="18">
        <f>IF($A880&gt;30,0,(E873-MIN(MAX(F879,0),E873))+MIN(MAX(0,G879-(E873-MIN(MAX(F879,0),E873))),MAX(0,1*E873-(F879-MIN(MAX(F879,0),E873)))))</f>
        <v>74527.5</v>
      </c>
      <c r="F880" s="18">
        <f>IF($A880&gt;30,F879,(F879-E873+E880)*(1+$C$7))</f>
        <v>75472.5</v>
      </c>
      <c r="G880" s="18">
        <f t="shared" si="97"/>
        <v>664233.84407522506</v>
      </c>
      <c r="H880" s="18">
        <f>IF($A880&gt;30,0,(H873-MIN(MAX(I879,0),H873))+MIN(MAX(0,J879-(H873-MIN(MAX(I879,0),H873))),MAX(0,1*H873-(I879-MIN(MAX(I879,0),H873)))))</f>
        <v>48382.395191007905</v>
      </c>
      <c r="I880" s="18">
        <f>IF($A880&gt;30,I879,(I879-H873+H880)*(1+$C$7))</f>
        <v>48995.87831409002</v>
      </c>
      <c r="J880" s="18">
        <f t="shared" si="98"/>
        <v>837899.65473430161</v>
      </c>
      <c r="K880" s="18">
        <f>IF($A880&gt;30,0,(K873-MIN(MAX(L879,0),K873))+MIN(MAX(0,M879-(K873-MIN(MAX(L879,0),K873))),MAX(0,1*K873-(L879-MIN(MAX(L879,0),K873)))))</f>
        <v>48136.98036889435</v>
      </c>
      <c r="L880" s="18">
        <f>IF($A880&gt;30,L879,(L879-K873+K880)*(1+$C$7))</f>
        <v>48747.351660680666</v>
      </c>
      <c r="M880" s="18">
        <f t="shared" si="99"/>
        <v>839529.7940793708</v>
      </c>
      <c r="N880" s="18">
        <f>IF($A880&gt;30,0,(N873-MIN(MAX(O879,0),N873))+MIN(MAX(0,P879-(N873-MIN(MAX(O879,0),N873))),MAX(0,1*N873-(O879-MIN(MAX(O879,0),N873)))))</f>
        <v>48137.013902572056</v>
      </c>
      <c r="O880" s="18">
        <f>IF($A880&gt;30,O879,(O879-N873+N880)*(1+$C$7))</f>
        <v>48747.385619561494</v>
      </c>
      <c r="P880" s="18">
        <f t="shared" si="100"/>
        <v>839529.57133582595</v>
      </c>
      <c r="Q880" s="18">
        <f>IF($A880&gt;30,0,(Q873-MIN(MAX(R879,0),Q873))+MIN(MAX(0,S879-(Q873-MIN(MAX(R879,0),Q873))),MAX(0,1*Q873-(R879-MIN(MAX(R879,0),Q873)))))</f>
        <v>48137.014692234188</v>
      </c>
      <c r="R880" s="18">
        <f>IF($A880&gt;30,R879,(R879-Q873+Q880)*(1+$C$7))</f>
        <v>48747.386419236449</v>
      </c>
      <c r="S880" s="18">
        <f t="shared" si="101"/>
        <v>839529.56609058753</v>
      </c>
    </row>
    <row r="881" spans="1:19">
      <c r="A881" s="10">
        <f>6</f>
        <v>6</v>
      </c>
      <c r="B881" s="18">
        <f>IF($A881&gt;30,0,(B873-MIN(MAX(C880,0),B873))+MIN(MAX(0,D880-(B873-MIN(MAX(C880,0),B873))),MAX(0,1*B873-(C880-MIN(MAX(C880,0),B873)))))</f>
        <v>29811</v>
      </c>
      <c r="C881" s="18">
        <f>IF($A881&gt;30,C880,(C880-B873+B881)*(1+$C$7))</f>
        <v>30189</v>
      </c>
      <c r="D881" s="18">
        <f t="shared" si="96"/>
        <v>959390.39167639287</v>
      </c>
      <c r="E881" s="18">
        <f>IF($A881&gt;30,0,(E873-MIN(MAX(F880,0),E873))+MIN(MAX(0,G880-(E873-MIN(MAX(F880,0),E873))),MAX(0,1*E873-(F880-MIN(MAX(F880,0),E873)))))</f>
        <v>74527.5</v>
      </c>
      <c r="F881" s="18">
        <f>IF($A881&gt;30,F880,(F880-E873+E881)*(1+$C$7))</f>
        <v>75472.5</v>
      </c>
      <c r="G881" s="18">
        <f t="shared" si="97"/>
        <v>607397.53439748182</v>
      </c>
      <c r="H881" s="18">
        <f>IF($A881&gt;30,0,(H873-MIN(MAX(I880,0),H873))+MIN(MAX(0,J880-(H873-MIN(MAX(I880,0),H873))),MAX(0,1*H873-(I880-MIN(MAX(I880,0),H873)))))</f>
        <v>48382.395191007905</v>
      </c>
      <c r="I881" s="18">
        <f>IF($A881&gt;30,I880,(I880-H873+H881)*(1+$C$7))</f>
        <v>48995.87831409002</v>
      </c>
      <c r="J881" s="18">
        <f t="shared" si="98"/>
        <v>813202.77732959262</v>
      </c>
      <c r="K881" s="18">
        <f>IF($A881&gt;30,0,(K873-MIN(MAX(L880,0),K873))+MIN(MAX(0,M880-(K873-MIN(MAX(L880,0),K873))),MAX(0,1*K873-(L880-MIN(MAX(L880,0),K873)))))</f>
        <v>48136.98036889435</v>
      </c>
      <c r="L881" s="18">
        <f>IF($A881&gt;30,L880,(L880-K873+K881)*(1+$C$7))</f>
        <v>48747.351660680666</v>
      </c>
      <c r="M881" s="18">
        <f t="shared" si="99"/>
        <v>815134.5981217908</v>
      </c>
      <c r="N881" s="18">
        <f>IF($A881&gt;30,0,(N873-MIN(MAX(O880,0),N873))+MIN(MAX(0,P880-(N873-MIN(MAX(O880,0),N873))),MAX(0,1*N873-(O880-MIN(MAX(O880,0),N873)))))</f>
        <v>48137.013902572056</v>
      </c>
      <c r="O881" s="18">
        <f>IF($A881&gt;30,O880,(O880-N873+N881)*(1+$C$7))</f>
        <v>48747.385619561494</v>
      </c>
      <c r="P881" s="18">
        <f t="shared" si="100"/>
        <v>815134.33415625151</v>
      </c>
      <c r="Q881" s="18">
        <f>IF($A881&gt;30,0,(Q873-MIN(MAX(R880,0),Q873))+MIN(MAX(0,S880-(Q873-MIN(MAX(R880,0),Q873))),MAX(0,1*Q873-(R880-MIN(MAX(R880,0),Q873)))))</f>
        <v>48137.014692234188</v>
      </c>
      <c r="R881" s="18">
        <f>IF($A881&gt;30,R880,(R880-Q873+Q881)*(1+$C$7))</f>
        <v>48747.386419236449</v>
      </c>
      <c r="S881" s="18">
        <f t="shared" si="101"/>
        <v>815134.32794030395</v>
      </c>
    </row>
    <row r="882" spans="1:19">
      <c r="A882" s="10">
        <f>7</f>
        <v>7</v>
      </c>
      <c r="B882" s="18">
        <f>IF($A882&gt;30,0,(B873-MIN(MAX(C881,0),B873))+MIN(MAX(0,D881-(B873-MIN(MAX(C881,0),B873))),MAX(0,1*B873-(C881-MIN(MAX(C881,0),B873)))))</f>
        <v>29811</v>
      </c>
      <c r="C882" s="18">
        <f>IF($A882&gt;30,C881,(C881-B873+B882)*(1+$C$7))</f>
        <v>30189</v>
      </c>
      <c r="D882" s="18">
        <f t="shared" si="96"/>
        <v>957466.77342668467</v>
      </c>
      <c r="E882" s="18">
        <f>IF($A882&gt;30,0,(E873-MIN(MAX(F881,0),E873))+MIN(MAX(0,G881-(E873-MIN(MAX(F881,0),E873))),MAX(0,1*E873-(F881-MIN(MAX(F881,0),E873)))))</f>
        <v>74527.5</v>
      </c>
      <c r="F882" s="18">
        <f>IF($A882&gt;30,F881,(F881-E873+E882)*(1+$C$7))</f>
        <v>75472.5</v>
      </c>
      <c r="G882" s="18">
        <f t="shared" si="97"/>
        <v>548856.13542940631</v>
      </c>
      <c r="H882" s="18">
        <f>IF($A882&gt;30,0,(H873-MIN(MAX(I881,0),H873))+MIN(MAX(0,J881-(H873-MIN(MAX(I881,0),H873))),MAX(0,1*H873-(I881-MIN(MAX(I881,0),H873)))))</f>
        <v>48382.395191007905</v>
      </c>
      <c r="I882" s="18">
        <f>IF($A882&gt;30,I881,(I881-H873+H882)*(1+$C$7))</f>
        <v>48995.87831409002</v>
      </c>
      <c r="J882" s="18">
        <f t="shared" si="98"/>
        <v>787764.99360274232</v>
      </c>
      <c r="K882" s="18">
        <f>IF($A882&gt;30,0,(K873-MIN(MAX(L881,0),K873))+MIN(MAX(0,M881-(K873-MIN(MAX(L881,0),K873))),MAX(0,1*K873-(L881-MIN(MAX(L881,0),K873)))))</f>
        <v>48136.98036889435</v>
      </c>
      <c r="L882" s="18">
        <f>IF($A882&gt;30,L881,(L881-K873+K882)*(1+$C$7))</f>
        <v>48747.351660680666</v>
      </c>
      <c r="M882" s="18">
        <f t="shared" si="99"/>
        <v>790007.54628548329</v>
      </c>
      <c r="N882" s="18">
        <f>IF($A882&gt;30,0,(N873-MIN(MAX(O881,0),N873))+MIN(MAX(0,P881-(N873-MIN(MAX(O881,0),N873))),MAX(0,1*N873-(O881-MIN(MAX(O881,0),N873)))))</f>
        <v>48137.013902572056</v>
      </c>
      <c r="O882" s="18">
        <f>IF($A882&gt;30,O881,(O881-N873+N882)*(1+$C$7))</f>
        <v>48747.385619561494</v>
      </c>
      <c r="P882" s="18">
        <f t="shared" si="100"/>
        <v>790007.23986128985</v>
      </c>
      <c r="Q882" s="18">
        <f>IF($A882&gt;30,0,(Q873-MIN(MAX(R881,0),Q873))+MIN(MAX(0,S881-(Q873-MIN(MAX(R881,0),Q873))),MAX(0,1*Q873-(R881-MIN(MAX(R881,0),Q873)))))</f>
        <v>48137.014692234188</v>
      </c>
      <c r="R882" s="18">
        <f>IF($A882&gt;30,R881,(R881-Q873+Q882)*(1+$C$7))</f>
        <v>48747.386419236449</v>
      </c>
      <c r="S882" s="18">
        <f t="shared" si="101"/>
        <v>790007.23264551186</v>
      </c>
    </row>
    <row r="883" spans="1:19">
      <c r="A883" s="10">
        <f>8</f>
        <v>8</v>
      </c>
      <c r="B883" s="18">
        <f>IF($A883&gt;30,0,(B873-MIN(MAX(C882,0),B873))+MIN(MAX(0,D882-(B873-MIN(MAX(C882,0),B873))),MAX(0,1*B873-(C882-MIN(MAX(C882,0),B873)))))</f>
        <v>29811</v>
      </c>
      <c r="C883" s="18">
        <f>IF($A883&gt;30,C882,(C882-B873+B883)*(1+$C$7))</f>
        <v>30189</v>
      </c>
      <c r="D883" s="18">
        <f t="shared" si="96"/>
        <v>955485.44662948523</v>
      </c>
      <c r="E883" s="18">
        <f>IF($A883&gt;30,0,(E873-MIN(MAX(F882,0),E873))+MIN(MAX(0,G882-(E873-MIN(MAX(F882,0),E873))),MAX(0,1*E873-(F882-MIN(MAX(F882,0),E873)))))</f>
        <v>74527.5</v>
      </c>
      <c r="F883" s="18">
        <f>IF($A883&gt;30,F882,(F882-E873+E883)*(1+$C$7))</f>
        <v>75472.5</v>
      </c>
      <c r="G883" s="18">
        <f t="shared" si="97"/>
        <v>488558.4944922885</v>
      </c>
      <c r="H883" s="18">
        <f>IF($A883&gt;30,0,(H873-MIN(MAX(I882,0),H873))+MIN(MAX(0,J882-(H873-MIN(MAX(I882,0),H873))),MAX(0,1*H873-(I882-MIN(MAX(I882,0),H873)))))</f>
        <v>48382.395191007905</v>
      </c>
      <c r="I883" s="18">
        <f>IF($A883&gt;30,I882,(I882-H873+H883)*(1+$C$7))</f>
        <v>48995.87831409002</v>
      </c>
      <c r="J883" s="18">
        <f t="shared" si="98"/>
        <v>761564.07636408648</v>
      </c>
      <c r="K883" s="18">
        <f>IF($A883&gt;30,0,(K873-MIN(MAX(L882,0),K873))+MIN(MAX(0,M882-(K873-MIN(MAX(L882,0),K873))),MAX(0,1*K873-(L882-MIN(MAX(L882,0),K873)))))</f>
        <v>48136.98036889435</v>
      </c>
      <c r="L883" s="18">
        <f>IF($A883&gt;30,L882,(L882-K873+K883)*(1+$C$7))</f>
        <v>48747.351660680666</v>
      </c>
      <c r="M883" s="18">
        <f t="shared" si="99"/>
        <v>764126.6828940867</v>
      </c>
      <c r="N883" s="18">
        <f>IF($A883&gt;30,0,(N873-MIN(MAX(O882,0),N873))+MIN(MAX(0,P882-(N873-MIN(MAX(O882,0),N873))),MAX(0,1*N873-(O882-MIN(MAX(O882,0),N873)))))</f>
        <v>48137.013902572056</v>
      </c>
      <c r="O883" s="18">
        <f>IF($A883&gt;30,O882,(O882-N873+N883)*(1+$C$7))</f>
        <v>48747.385619561494</v>
      </c>
      <c r="P883" s="18">
        <f t="shared" si="100"/>
        <v>764126.33273747936</v>
      </c>
      <c r="Q883" s="18">
        <f>IF($A883&gt;30,0,(Q873-MIN(MAX(R882,0),Q873))+MIN(MAX(0,S882-(Q873-MIN(MAX(R882,0),Q873))),MAX(0,1*Q873-(R882-MIN(MAX(R882,0),Q873)))))</f>
        <v>48137.014692234188</v>
      </c>
      <c r="R883" s="18">
        <f>IF($A883&gt;30,R882,(R882-Q873+Q883)*(1+$C$7))</f>
        <v>48747.386419236449</v>
      </c>
      <c r="S883" s="18">
        <f t="shared" si="101"/>
        <v>764126.32449187594</v>
      </c>
    </row>
    <row r="884" spans="1:19">
      <c r="A884" s="10">
        <f>9</f>
        <v>9</v>
      </c>
      <c r="B884" s="18">
        <f>IF($A884&gt;30,0,(B873-MIN(MAX(C883,0),B873))+MIN(MAX(0,D883-(B873-MIN(MAX(C883,0),B873))),MAX(0,1*B873-(C883-MIN(MAX(C883,0),B873)))))</f>
        <v>29811</v>
      </c>
      <c r="C884" s="18">
        <f>IF($A884&gt;30,C883,(C883-B873+B884)*(1+$C$7))</f>
        <v>30189</v>
      </c>
      <c r="D884" s="18">
        <f t="shared" si="96"/>
        <v>953444.68002836977</v>
      </c>
      <c r="E884" s="18">
        <f>IF($A884&gt;30,0,(E873-MIN(MAX(F883,0),E873))+MIN(MAX(0,G883-(E873-MIN(MAX(F883,0),E873))),MAX(0,1*E873-(F883-MIN(MAX(F883,0),E873)))))</f>
        <v>74527.5</v>
      </c>
      <c r="F884" s="18">
        <f>IF($A884&gt;30,F883,(F883-E873+E884)*(1+$C$7))</f>
        <v>75472.5</v>
      </c>
      <c r="G884" s="18">
        <f t="shared" si="97"/>
        <v>426451.92432705715</v>
      </c>
      <c r="H884" s="18">
        <f>IF($A884&gt;30,0,(H873-MIN(MAX(I883,0),H873))+MIN(MAX(0,J883-(H873-MIN(MAX(I883,0),H873))),MAX(0,1*H873-(I883-MIN(MAX(I883,0),H873)))))</f>
        <v>48382.395191007905</v>
      </c>
      <c r="I884" s="18">
        <f>IF($A884&gt;30,I883,(I883-H873+H884)*(1+$C$7))</f>
        <v>48995.87831409002</v>
      </c>
      <c r="J884" s="18">
        <f t="shared" si="98"/>
        <v>734577.13160827092</v>
      </c>
      <c r="K884" s="18">
        <f>IF($A884&gt;30,0,(K873-MIN(MAX(L883,0),K873))+MIN(MAX(0,M883-(K873-MIN(MAX(L883,0),K873))),MAX(0,1*K873-(L883-MIN(MAX(L883,0),K873)))))</f>
        <v>48136.98036889435</v>
      </c>
      <c r="L884" s="18">
        <f>IF($A884&gt;30,L883,(L883-K873+K884)*(1+$C$7))</f>
        <v>48747.351660680666</v>
      </c>
      <c r="M884" s="18">
        <f t="shared" si="99"/>
        <v>737469.39360094815</v>
      </c>
      <c r="N884" s="18">
        <f>IF($A884&gt;30,0,(N873-MIN(MAX(O883,0),N873))+MIN(MAX(0,P883-(N873-MIN(MAX(O883,0),N873))),MAX(0,1*N873-(O883-MIN(MAX(O883,0),N873)))))</f>
        <v>48137.013902572056</v>
      </c>
      <c r="O884" s="18">
        <f>IF($A884&gt;30,O883,(O883-N873+N884)*(1+$C$7))</f>
        <v>48747.385619561494</v>
      </c>
      <c r="P884" s="18">
        <f t="shared" si="100"/>
        <v>737468.99839995452</v>
      </c>
      <c r="Q884" s="18">
        <f>IF($A884&gt;30,0,(Q873-MIN(MAX(R883,0),Q873))+MIN(MAX(0,S883-(Q873-MIN(MAX(R883,0),Q873))),MAX(0,1*Q873-(R883-MIN(MAX(R883,0),Q873)))))</f>
        <v>48137.014692234188</v>
      </c>
      <c r="R884" s="18">
        <f>IF($A884&gt;30,R883,(R883-Q873+Q884)*(1+$C$7))</f>
        <v>48747.386419236449</v>
      </c>
      <c r="S884" s="18">
        <f t="shared" si="101"/>
        <v>737468.98909363104</v>
      </c>
    </row>
    <row r="885" spans="1:19">
      <c r="A885" s="10">
        <f>10</f>
        <v>10</v>
      </c>
      <c r="B885" s="18">
        <f>IF($A885&gt;30,0,(B873-MIN(MAX(C884,0),B873))+MIN(MAX(0,D884-(B873-MIN(MAX(C884,0),B873))),MAX(0,1*B873-(C884-MIN(MAX(C884,0),B873)))))</f>
        <v>29811</v>
      </c>
      <c r="C885" s="18">
        <f>IF($A885&gt;30,C884,(C884-B873+B885)*(1+$C$7))</f>
        <v>30189</v>
      </c>
      <c r="D885" s="18">
        <f t="shared" si="96"/>
        <v>951342.69042922091</v>
      </c>
      <c r="E885" s="18">
        <f>IF($A885&gt;30,0,(E873-MIN(MAX(F884,0),E873))+MIN(MAX(0,G884-(E873-MIN(MAX(F884,0),E873))),MAX(0,1*E873-(F884-MIN(MAX(F884,0),E873)))))</f>
        <v>74527.5</v>
      </c>
      <c r="F885" s="18">
        <f>IF($A885&gt;30,F884,(F884-E873+E885)*(1+$C$7))</f>
        <v>75472.5</v>
      </c>
      <c r="G885" s="18">
        <f t="shared" si="97"/>
        <v>362482.15705686889</v>
      </c>
      <c r="H885" s="18">
        <f>IF($A885&gt;30,0,(H873-MIN(MAX(I884,0),H873))+MIN(MAX(0,J884-(H873-MIN(MAX(I884,0),H873))),MAX(0,1*H873-(I884-MIN(MAX(I884,0),H873)))))</f>
        <v>48382.395191007905</v>
      </c>
      <c r="I885" s="18">
        <f>IF($A885&gt;30,I884,(I884-H873+H885)*(1+$C$7))</f>
        <v>48995.87831409002</v>
      </c>
      <c r="J885" s="18">
        <f t="shared" si="98"/>
        <v>706780.57850978093</v>
      </c>
      <c r="K885" s="18">
        <f>IF($A885&gt;30,0,(K873-MIN(MAX(L884,0),K873))+MIN(MAX(0,M884-(K873-MIN(MAX(L884,0),K873))),MAX(0,1*K873-(L884-MIN(MAX(L884,0),K873)))))</f>
        <v>48136.98036889435</v>
      </c>
      <c r="L885" s="18">
        <f>IF($A885&gt;30,L884,(L884-K873+K885)*(1+$C$7))</f>
        <v>48747.351660680666</v>
      </c>
      <c r="M885" s="18">
        <f t="shared" si="99"/>
        <v>710012.38562901551</v>
      </c>
      <c r="N885" s="18">
        <f>IF($A885&gt;30,0,(N873-MIN(MAX(O884,0),N873))+MIN(MAX(0,P884-(N873-MIN(MAX(O884,0),N873))),MAX(0,1*N873-(O884-MIN(MAX(O884,0),N873)))))</f>
        <v>48137.013902572056</v>
      </c>
      <c r="O885" s="18">
        <f>IF($A885&gt;30,O884,(O884-N873+N885)*(1+$C$7))</f>
        <v>48747.385619561494</v>
      </c>
      <c r="P885" s="18">
        <f t="shared" si="100"/>
        <v>710011.94403230387</v>
      </c>
      <c r="Q885" s="18">
        <f>IF($A885&gt;30,0,(Q873-MIN(MAX(R884,0),Q873))+MIN(MAX(0,S884-(Q873-MIN(MAX(R884,0),Q873))),MAX(0,1*Q873-(R884-MIN(MAX(R884,0),Q873)))))</f>
        <v>48137.014692234188</v>
      </c>
      <c r="R885" s="18">
        <f>IF($A885&gt;30,R884,(R884-Q873+Q885)*(1+$C$7))</f>
        <v>48747.386419236449</v>
      </c>
      <c r="S885" s="18">
        <f t="shared" si="101"/>
        <v>710011.93363343878</v>
      </c>
    </row>
    <row r="886" spans="1:19">
      <c r="A886" s="10">
        <f>11</f>
        <v>11</v>
      </c>
      <c r="B886" s="18">
        <f>IF($A886&gt;30,0,(B873-MIN(MAX(C885,0),B873))+MIN(MAX(0,D885-(B873-MIN(MAX(C885,0),B873))),MAX(0,1*B873-(C885-MIN(MAX(C885,0),B873)))))</f>
        <v>29811</v>
      </c>
      <c r="C886" s="18">
        <f>IF($A886&gt;30,C885,(C885-B873+B886)*(1+$C$7))</f>
        <v>30189</v>
      </c>
      <c r="D886" s="18">
        <f t="shared" si="96"/>
        <v>949177.64114209753</v>
      </c>
      <c r="E886" s="18">
        <f>IF($A886&gt;30,0,(E873-MIN(MAX(F885,0),E873))+MIN(MAX(0,G885-(E873-MIN(MAX(F885,0),E873))),MAX(0,1*E873-(F885-MIN(MAX(F885,0),E873)))))</f>
        <v>74527.5</v>
      </c>
      <c r="F886" s="18">
        <f>IF($A886&gt;30,F885,(F885-E873+E886)*(1+$C$7))</f>
        <v>75472.5</v>
      </c>
      <c r="G886" s="18">
        <f t="shared" si="97"/>
        <v>296593.29676857498</v>
      </c>
      <c r="H886" s="18">
        <f>IF($A886&gt;30,0,(H873-MIN(MAX(I885,0),H873))+MIN(MAX(0,J885-(H873-MIN(MAX(I885,0),H873))),MAX(0,1*H873-(I885-MIN(MAX(I885,0),H873)))))</f>
        <v>48382.395191007905</v>
      </c>
      <c r="I886" s="18">
        <f>IF($A886&gt;30,I885,(I885-H873+H886)*(1+$C$7))</f>
        <v>48995.87831409002</v>
      </c>
      <c r="J886" s="18">
        <f t="shared" si="98"/>
        <v>678150.12881833629</v>
      </c>
      <c r="K886" s="18">
        <f>IF($A886&gt;30,0,(K873-MIN(MAX(L885,0),K873))+MIN(MAX(0,M885-(K873-MIN(MAX(L885,0),K873))),MAX(0,1*K873-(L885-MIN(MAX(L885,0),K873)))))</f>
        <v>48136.98036889435</v>
      </c>
      <c r="L886" s="18">
        <f>IF($A886&gt;30,L885,(L885-K873+K886)*(1+$C$7))</f>
        <v>48747.351660680666</v>
      </c>
      <c r="M886" s="18">
        <f t="shared" si="99"/>
        <v>681731.66741792485</v>
      </c>
      <c r="N886" s="18">
        <f>IF($A886&gt;30,0,(N873-MIN(MAX(O885,0),N873))+MIN(MAX(0,P885-(N873-MIN(MAX(O885,0),N873))),MAX(0,1*N873-(O885-MIN(MAX(O885,0),N873)))))</f>
        <v>48137.013902572056</v>
      </c>
      <c r="O886" s="18">
        <f>IF($A886&gt;30,O885,(O885-N873+N886)*(1+$C$7))</f>
        <v>48747.385619561494</v>
      </c>
      <c r="P886" s="18">
        <f t="shared" si="100"/>
        <v>681731.17803362373</v>
      </c>
      <c r="Q886" s="18">
        <f>IF($A886&gt;30,0,(Q873-MIN(MAX(R885,0),Q873))+MIN(MAX(0,S885-(Q873-MIN(MAX(R885,0),Q873))),MAX(0,1*Q873-(R885-MIN(MAX(R885,0),Q873)))))</f>
        <v>48137.014692234188</v>
      </c>
      <c r="R886" s="18">
        <f>IF($A886&gt;30,R885,(R885-Q873+Q886)*(1+$C$7))</f>
        <v>48747.386419236449</v>
      </c>
      <c r="S886" s="18">
        <f t="shared" si="101"/>
        <v>681731.16650944075</v>
      </c>
    </row>
    <row r="887" spans="1:19">
      <c r="A887" s="10">
        <f>12</f>
        <v>12</v>
      </c>
      <c r="B887" s="18">
        <f>IF($A887&gt;30,0,(B873-MIN(MAX(C886,0),B873))+MIN(MAX(0,D886-(B873-MIN(MAX(C886,0),B873))),MAX(0,1*B873-(C886-MIN(MAX(C886,0),B873)))))</f>
        <v>29811</v>
      </c>
      <c r="C887" s="18">
        <f>IF($A887&gt;30,C886,(C886-B873+B887)*(1+$C$7))</f>
        <v>30189</v>
      </c>
      <c r="D887" s="18">
        <f t="shared" si="96"/>
        <v>946947.6403763605</v>
      </c>
      <c r="E887" s="18">
        <f>IF($A887&gt;30,0,(E873-MIN(MAX(F886,0),E873))+MIN(MAX(0,G886-(E873-MIN(MAX(F886,0),E873))),MAX(0,1*E873-(F886-MIN(MAX(F886,0),E873)))))</f>
        <v>74527.5</v>
      </c>
      <c r="F887" s="18">
        <f>IF($A887&gt;30,F886,(F886-E873+E887)*(1+$C$7))</f>
        <v>75472.5</v>
      </c>
      <c r="G887" s="18">
        <f t="shared" si="97"/>
        <v>228727.77067163223</v>
      </c>
      <c r="H887" s="18">
        <f>IF($A887&gt;30,0,(H873-MIN(MAX(I886,0),H873))+MIN(MAX(0,J886-(H873-MIN(MAX(I886,0),H873))),MAX(0,1*H873-(I886-MIN(MAX(I886,0),H873)))))</f>
        <v>48382.395191007905</v>
      </c>
      <c r="I887" s="18">
        <f>IF($A887&gt;30,I886,(I886-H873+H887)*(1+$C$7))</f>
        <v>48995.87831409002</v>
      </c>
      <c r="J887" s="18">
        <f t="shared" si="98"/>
        <v>648660.76563614828</v>
      </c>
      <c r="K887" s="18">
        <f>IF($A887&gt;30,0,(K873-MIN(MAX(L886,0),K873))+MIN(MAX(0,M886-(K873-MIN(MAX(L886,0),K873))),MAX(0,1*K873-(L886-MIN(MAX(L886,0),K873)))))</f>
        <v>48136.98036889435</v>
      </c>
      <c r="L887" s="18">
        <f>IF($A887&gt;30,L886,(L886-K873+K887)*(1+$C$7))</f>
        <v>48747.351660680666</v>
      </c>
      <c r="M887" s="18">
        <f t="shared" si="99"/>
        <v>652602.52766050154</v>
      </c>
      <c r="N887" s="18">
        <f>IF($A887&gt;30,0,(N873-MIN(MAX(O886,0),N873))+MIN(MAX(0,P886-(N873-MIN(MAX(O886,0),N873))),MAX(0,1*N873-(O886-MIN(MAX(O886,0),N873)))))</f>
        <v>48137.013902572056</v>
      </c>
      <c r="O887" s="18">
        <f>IF($A887&gt;30,O886,(O886-N873+N887)*(1+$C$7))</f>
        <v>48747.385619561494</v>
      </c>
      <c r="P887" s="18">
        <f t="shared" si="100"/>
        <v>652601.98905498325</v>
      </c>
      <c r="Q887" s="18">
        <f>IF($A887&gt;30,0,(Q873-MIN(MAX(R886,0),Q873))+MIN(MAX(0,S886-(Q873-MIN(MAX(R886,0),Q873))),MAX(0,1*Q873-(R886-MIN(MAX(R886,0),Q873)))))</f>
        <v>48137.014692234188</v>
      </c>
      <c r="R887" s="18">
        <f>IF($A887&gt;30,R886,(R886-Q873+Q887)*(1+$C$7))</f>
        <v>48747.386419236449</v>
      </c>
      <c r="S887" s="18">
        <f t="shared" si="101"/>
        <v>652601.97637172276</v>
      </c>
    </row>
    <row r="888" spans="1:19">
      <c r="A888" s="10">
        <f>13</f>
        <v>13</v>
      </c>
      <c r="B888" s="18">
        <f>IF($A888&gt;30,0,(B873-MIN(MAX(C887,0),B873))+MIN(MAX(0,D887-(B873-MIN(MAX(C887,0),B873))),MAX(0,1*B873-(C887-MIN(MAX(C887,0),B873)))))</f>
        <v>29811</v>
      </c>
      <c r="C888" s="18">
        <f>IF($A888&gt;30,C887,(C887-B873+B888)*(1+$C$7))</f>
        <v>30189</v>
      </c>
      <c r="D888" s="18">
        <f t="shared" si="96"/>
        <v>944650.73958765133</v>
      </c>
      <c r="E888" s="18">
        <f>IF($A888&gt;30,0,(E873-MIN(MAX(F887,0),E873))+MIN(MAX(0,G887-(E873-MIN(MAX(F887,0),E873))),MAX(0,1*E873-(F887-MIN(MAX(F887,0),E873)))))</f>
        <v>74527.5</v>
      </c>
      <c r="F888" s="18">
        <f>IF($A888&gt;30,F887,(F887-E873+E888)*(1+$C$7))</f>
        <v>75472.5</v>
      </c>
      <c r="G888" s="18">
        <f t="shared" si="97"/>
        <v>158826.27879178119</v>
      </c>
      <c r="H888" s="18">
        <f>IF($A888&gt;30,0,(H873-MIN(MAX(I887,0),H873))+MIN(MAX(0,J887-(H873-MIN(MAX(I887,0),H873))),MAX(0,1*H873-(I887-MIN(MAX(I887,0),H873)))))</f>
        <v>48382.395191007905</v>
      </c>
      <c r="I888" s="18">
        <f>IF($A888&gt;30,I887,(I887-H873+H888)*(1+$C$7))</f>
        <v>48995.87831409002</v>
      </c>
      <c r="J888" s="18">
        <f t="shared" si="98"/>
        <v>618286.72155849461</v>
      </c>
      <c r="K888" s="18">
        <f>IF($A888&gt;30,0,(K873-MIN(MAX(L887,0),K873))+MIN(MAX(0,M887-(K873-MIN(MAX(L887,0),K873))),MAX(0,1*K873-(L887-MIN(MAX(L887,0),K873)))))</f>
        <v>48136.98036889435</v>
      </c>
      <c r="L888" s="18">
        <f>IF($A888&gt;30,L887,(L887-K873+K888)*(1+$C$7))</f>
        <v>48747.351660680666</v>
      </c>
      <c r="M888" s="18">
        <f t="shared" si="99"/>
        <v>622599.51371035539</v>
      </c>
      <c r="N888" s="18">
        <f>IF($A888&gt;30,0,(N873-MIN(MAX(O887,0),N873))+MIN(MAX(0,P887-(N873-MIN(MAX(O887,0),N873))),MAX(0,1*N873-(O887-MIN(MAX(O887,0),N873)))))</f>
        <v>48137.013902572056</v>
      </c>
      <c r="O888" s="18">
        <f>IF($A888&gt;30,O887,(O887-N873+N888)*(1+$C$7))</f>
        <v>48747.385619561494</v>
      </c>
      <c r="P888" s="18">
        <f t="shared" si="100"/>
        <v>622598.92440698354</v>
      </c>
      <c r="Q888" s="18">
        <f>IF($A888&gt;30,0,(Q873-MIN(MAX(R887,0),Q873))+MIN(MAX(0,S887-(Q873-MIN(MAX(R887,0),Q873))),MAX(0,1*Q873-(R887-MIN(MAX(R887,0),Q873)))))</f>
        <v>48137.014692234188</v>
      </c>
      <c r="R888" s="18">
        <f>IF($A888&gt;30,R887,(R887-Q873+Q888)*(1+$C$7))</f>
        <v>48747.386419236449</v>
      </c>
      <c r="S888" s="18">
        <f t="shared" si="101"/>
        <v>622598.91052987322</v>
      </c>
    </row>
    <row r="889" spans="1:19">
      <c r="A889" s="10">
        <f>14</f>
        <v>14</v>
      </c>
      <c r="B889" s="18">
        <f>IF($A889&gt;30,0,(B873-MIN(MAX(C888,0),B873))+MIN(MAX(0,D888-(B873-MIN(MAX(C888,0),B873))),MAX(0,1*B873-(C888-MIN(MAX(C888,0),B873)))))</f>
        <v>29811</v>
      </c>
      <c r="C889" s="18">
        <f>IF($A889&gt;30,C888,(C888-B873+B889)*(1+$C$7))</f>
        <v>30189</v>
      </c>
      <c r="D889" s="18">
        <f t="shared" si="96"/>
        <v>942284.93177528086</v>
      </c>
      <c r="E889" s="18">
        <f>IF($A889&gt;30,0,(E873-MIN(MAX(F888,0),E873))+MIN(MAX(0,G888-(E873-MIN(MAX(F888,0),E873))),MAX(0,1*E873-(F888-MIN(MAX(F888,0),E873)))))</f>
        <v>74527.5</v>
      </c>
      <c r="F889" s="18">
        <f>IF($A889&gt;30,F888,(F888-E873+E889)*(1+$C$7))</f>
        <v>75472.5</v>
      </c>
      <c r="G889" s="18">
        <f t="shared" si="97"/>
        <v>86827.742155534637</v>
      </c>
      <c r="H889" s="18">
        <f>IF($A889&gt;30,0,(H873-MIN(MAX(I888,0),H873))+MIN(MAX(0,J888-(H873-MIN(MAX(I888,0),H873))),MAX(0,1*H873-(I888-MIN(MAX(I888,0),H873)))))</f>
        <v>48382.395191007905</v>
      </c>
      <c r="I889" s="18">
        <f>IF($A889&gt;30,I888,(I888-H873+H889)*(1+$C$7))</f>
        <v>48995.87831409002</v>
      </c>
      <c r="J889" s="18">
        <f t="shared" si="98"/>
        <v>587001.45615851134</v>
      </c>
      <c r="K889" s="18">
        <f>IF($A889&gt;30,0,(K873-MIN(MAX(L888,0),K873))+MIN(MAX(0,M888-(K873-MIN(MAX(L888,0),K873))),MAX(0,1*K873-(L888-MIN(MAX(L888,0),K873)))))</f>
        <v>48136.98036889435</v>
      </c>
      <c r="L889" s="18">
        <f>IF($A889&gt;30,L888,(L888-K873+K889)*(1+$C$7))</f>
        <v>48747.351660680666</v>
      </c>
      <c r="M889" s="18">
        <f t="shared" si="99"/>
        <v>591696.40934170492</v>
      </c>
      <c r="N889" s="18">
        <f>IF($A889&gt;30,0,(N873-MIN(MAX(O888,0),N873))+MIN(MAX(0,P888-(N873-MIN(MAX(O888,0),N873))),MAX(0,1*N873-(O888-MIN(MAX(O888,0),N873)))))</f>
        <v>48137.013902572056</v>
      </c>
      <c r="O889" s="18">
        <f>IF($A889&gt;30,O888,(O888-N873+N889)*(1+$C$7))</f>
        <v>48747.385619561494</v>
      </c>
      <c r="P889" s="18">
        <f t="shared" si="100"/>
        <v>591695.76781954383</v>
      </c>
      <c r="Q889" s="18">
        <f>IF($A889&gt;30,0,(Q873-MIN(MAX(R888,0),Q873))+MIN(MAX(0,S888-(Q873-MIN(MAX(R888,0),Q873))),MAX(0,1*Q873-(R888-MIN(MAX(R888,0),Q873)))))</f>
        <v>48137.014692234188</v>
      </c>
      <c r="R889" s="18">
        <f>IF($A889&gt;30,R888,(R888-Q873+Q889)*(1+$C$7))</f>
        <v>48747.386419236449</v>
      </c>
      <c r="S889" s="18">
        <f t="shared" si="101"/>
        <v>591695.75271276815</v>
      </c>
    </row>
    <row r="890" spans="1:19">
      <c r="A890" s="10">
        <f>15</f>
        <v>15</v>
      </c>
      <c r="B890" s="18">
        <f>IF($A890&gt;30,0,(B873-MIN(MAX(C889,0),B873))+MIN(MAX(0,D889-(B873-MIN(MAX(C889,0),B873))),MAX(0,1*B873-(C889-MIN(MAX(C889,0),B873)))))</f>
        <v>29811</v>
      </c>
      <c r="C890" s="18">
        <f>IF($A890&gt;30,C889,(C889-B873+B890)*(1+$C$7))</f>
        <v>30189</v>
      </c>
      <c r="D890" s="18">
        <f t="shared" si="96"/>
        <v>939848.14972853928</v>
      </c>
      <c r="E890" s="18">
        <f>IF($A890&gt;30,0,(E873-MIN(MAX(F889,0),E873))+MIN(MAX(0,G889-(E873-MIN(MAX(F889,0),E873))),MAX(0,1*E873-(F889-MIN(MAX(F889,0),E873)))))</f>
        <v>74527.5</v>
      </c>
      <c r="F890" s="18">
        <f>IF($A890&gt;30,F889,(F889-E873+E890)*(1+$C$7))</f>
        <v>75472.5</v>
      </c>
      <c r="G890" s="18">
        <f t="shared" si="97"/>
        <v>12669.249420200676</v>
      </c>
      <c r="H890" s="18">
        <f>IF($A890&gt;30,0,(H873-MIN(MAX(I889,0),H873))+MIN(MAX(0,J889-(H873-MIN(MAX(I889,0),H873))),MAX(0,1*H873-(I889-MIN(MAX(I889,0),H873)))))</f>
        <v>48382.395191007905</v>
      </c>
      <c r="I890" s="18">
        <f>IF($A890&gt;30,I889,(I889-H873+H890)*(1+$C$7))</f>
        <v>48995.87831409002</v>
      </c>
      <c r="J890" s="18">
        <f t="shared" si="98"/>
        <v>554777.63279652863</v>
      </c>
      <c r="K890" s="18">
        <f>IF($A890&gt;30,0,(K873-MIN(MAX(L889,0),K873))+MIN(MAX(0,M889-(K873-MIN(MAX(L889,0),K873))),MAX(0,1*K873-(L889-MIN(MAX(L889,0),K873)))))</f>
        <v>48136.98036889435</v>
      </c>
      <c r="L890" s="18">
        <f>IF($A890&gt;30,L889,(L889-K873+K890)*(1+$C$7))</f>
        <v>48747.351660680666</v>
      </c>
      <c r="M890" s="18">
        <f t="shared" si="99"/>
        <v>559866.21184199478</v>
      </c>
      <c r="N890" s="18">
        <f>IF($A890&gt;30,0,(N873-MIN(MAX(O889,0),N873))+MIN(MAX(0,P889-(N873-MIN(MAX(O889,0),N873))),MAX(0,1*N873-(O889-MIN(MAX(O889,0),N873)))))</f>
        <v>48137.013902572056</v>
      </c>
      <c r="O890" s="18">
        <f>IF($A890&gt;30,O889,(O889-N873+N890)*(1+$C$7))</f>
        <v>48747.385619561494</v>
      </c>
      <c r="P890" s="18">
        <f t="shared" si="100"/>
        <v>559865.51653448085</v>
      </c>
      <c r="Q890" s="18">
        <f>IF($A890&gt;30,0,(Q873-MIN(MAX(R889,0),Q873))+MIN(MAX(0,S889-(Q873-MIN(MAX(R889,0),Q873))),MAX(0,1*Q873-(R889-MIN(MAX(R889,0),Q873)))))</f>
        <v>48137.014692234188</v>
      </c>
      <c r="R890" s="18">
        <f>IF($A890&gt;30,R889,(R889-Q873+Q890)*(1+$C$7))</f>
        <v>48747.386419236449</v>
      </c>
      <c r="S890" s="18">
        <f t="shared" si="101"/>
        <v>559865.50016115</v>
      </c>
    </row>
    <row r="891" spans="1:19">
      <c r="A891" s="10">
        <f>16</f>
        <v>16</v>
      </c>
      <c r="B891" s="18">
        <f>IF($A891&gt;30,0,(B873-MIN(MAX(C890,0),B873))+MIN(MAX(0,D890-(B873-MIN(MAX(C890,0),B873))),MAX(0,1*B873-(C890-MIN(MAX(C890,0),B873)))))</f>
        <v>29811</v>
      </c>
      <c r="C891" s="18">
        <f>IF($A891&gt;30,C890,(C890-B873+B891)*(1+$C$7))</f>
        <v>30189</v>
      </c>
      <c r="D891" s="18">
        <f t="shared" si="96"/>
        <v>937338.26422039547</v>
      </c>
      <c r="E891" s="18">
        <f>IF($A891&gt;30,0,(E873-MIN(MAX(F890,0),E873))+MIN(MAX(0,G890-(E873-MIN(MAX(F890,0),E873))),MAX(0,1*E873-(F890-MIN(MAX(F890,0),E873)))))</f>
        <v>12669.249420200676</v>
      </c>
      <c r="F891" s="18">
        <f>IF($A891&gt;30,F890,(F890-E873+E891)*(1+$C$7))</f>
        <v>13224.542441547941</v>
      </c>
      <c r="G891" s="18">
        <f t="shared" si="97"/>
        <v>0</v>
      </c>
      <c r="H891" s="18">
        <f>IF($A891&gt;30,0,(H873-MIN(MAX(I890,0),H873))+MIN(MAX(0,J890-(H873-MIN(MAX(I890,0),H873))),MAX(0,1*H873-(I890-MIN(MAX(I890,0),H873)))))</f>
        <v>48382.395191007905</v>
      </c>
      <c r="I891" s="18">
        <f>IF($A891&gt;30,I890,(I890-H873+H891)*(1+$C$7))</f>
        <v>48995.87831409002</v>
      </c>
      <c r="J891" s="18">
        <f t="shared" si="98"/>
        <v>521587.09473368642</v>
      </c>
      <c r="K891" s="18">
        <f>IF($A891&gt;30,0,(K873-MIN(MAX(L890,0),K873))+MIN(MAX(0,M890-(K873-MIN(MAX(L890,0),K873))),MAX(0,1*K873-(L890-MIN(MAX(L890,0),K873)))))</f>
        <v>48136.98036889435</v>
      </c>
      <c r="L891" s="18">
        <f>IF($A891&gt;30,L890,(L890-K873+K891)*(1+$C$7))</f>
        <v>48747.351660680666</v>
      </c>
      <c r="M891" s="18">
        <f t="shared" si="99"/>
        <v>527081.10841729341</v>
      </c>
      <c r="N891" s="18">
        <f>IF($A891&gt;30,0,(N873-MIN(MAX(O890,0),N873))+MIN(MAX(0,P890-(N873-MIN(MAX(O890,0),N873))),MAX(0,1*N873-(O890-MIN(MAX(O890,0),N873)))))</f>
        <v>48137.013902572056</v>
      </c>
      <c r="O891" s="18">
        <f>IF($A891&gt;30,O890,(O890-N873+N891)*(1+$C$7))</f>
        <v>48747.385619561494</v>
      </c>
      <c r="P891" s="18">
        <f t="shared" si="100"/>
        <v>527080.35771086614</v>
      </c>
      <c r="Q891" s="18">
        <f>IF($A891&gt;30,0,(Q873-MIN(MAX(R890,0),Q873))+MIN(MAX(0,S890-(Q873-MIN(MAX(R890,0),Q873))),MAX(0,1*Q873-(R890-MIN(MAX(R890,0),Q873)))))</f>
        <v>48137.014692234188</v>
      </c>
      <c r="R891" s="18">
        <f>IF($A891&gt;30,R890,(R890-Q873+Q891)*(1+$C$7))</f>
        <v>48747.386419236449</v>
      </c>
      <c r="S891" s="18">
        <f t="shared" si="101"/>
        <v>527080.34003298334</v>
      </c>
    </row>
    <row r="892" spans="1:19">
      <c r="A892" s="10">
        <f>17</f>
        <v>17</v>
      </c>
      <c r="B892" s="18">
        <f>IF($A892&gt;30,0,(B873-MIN(MAX(C891,0),B873))+MIN(MAX(0,D891-(B873-MIN(MAX(C891,0),B873))),MAX(0,1*B873-(C891-MIN(MAX(C891,0),B873)))))</f>
        <v>29811</v>
      </c>
      <c r="C892" s="18">
        <f>IF($A892&gt;30,C891,(C891-B873+B892)*(1+$C$7))</f>
        <v>30189</v>
      </c>
      <c r="D892" s="18">
        <f t="shared" si="96"/>
        <v>934753.08214700734</v>
      </c>
      <c r="E892" s="18">
        <f>IF($A892&gt;30,0,(E873-MIN(MAX(F891,0),E873))+MIN(MAX(0,G891-(E873-MIN(MAX(F891,0),E873))),MAX(0,1*E873-(F891-MIN(MAX(F891,0),E873)))))</f>
        <v>61775.457558452057</v>
      </c>
      <c r="F892" s="18">
        <f>IF($A892&gt;30,F891,(F891-E873+E892)*(1+$C$7))</f>
        <v>0</v>
      </c>
      <c r="G892" s="18">
        <f t="shared" si="97"/>
        <v>-63628.721285205618</v>
      </c>
      <c r="H892" s="18">
        <f>IF($A892&gt;30,0,(H873-MIN(MAX(I891,0),H873))+MIN(MAX(0,J891-(H873-MIN(MAX(I891,0),H873))),MAX(0,1*H873-(I891-MIN(MAX(I891,0),H873)))))</f>
        <v>48382.395191007905</v>
      </c>
      <c r="I892" s="18">
        <f>IF($A892&gt;30,I891,(I891-H873+H892)*(1+$C$7))</f>
        <v>48995.87831409002</v>
      </c>
      <c r="J892" s="18">
        <f t="shared" si="98"/>
        <v>487400.84052895888</v>
      </c>
      <c r="K892" s="18">
        <f>IF($A892&gt;30,0,(K873-MIN(MAX(L891,0),K873))+MIN(MAX(0,M891-(K873-MIN(MAX(L891,0),K873))),MAX(0,1*K873-(L891-MIN(MAX(L891,0),K873)))))</f>
        <v>48136.98036889435</v>
      </c>
      <c r="L892" s="18">
        <f>IF($A892&gt;30,L891,(L891-K873+K892)*(1+$C$7))</f>
        <v>48747.351660680666</v>
      </c>
      <c r="M892" s="18">
        <f t="shared" si="99"/>
        <v>493312.45188985101</v>
      </c>
      <c r="N892" s="18">
        <f>IF($A892&gt;30,0,(N873-MIN(MAX(O891,0),N873))+MIN(MAX(0,P891-(N873-MIN(MAX(O891,0),N873))),MAX(0,1*N873-(O891-MIN(MAX(O891,0),N873)))))</f>
        <v>48137.013902572056</v>
      </c>
      <c r="O892" s="18">
        <f>IF($A892&gt;30,O891,(O891-N873+N892)*(1+$C$7))</f>
        <v>48747.385619561494</v>
      </c>
      <c r="P892" s="18">
        <f t="shared" si="100"/>
        <v>493311.64412254293</v>
      </c>
      <c r="Q892" s="18">
        <f>IF($A892&gt;30,0,(Q873-MIN(MAX(R891,0),Q873))+MIN(MAX(0,S891-(Q873-MIN(MAX(R891,0),Q873))),MAX(0,1*Q873-(R891-MIN(MAX(R891,0),Q873)))))</f>
        <v>48137.014692234188</v>
      </c>
      <c r="R892" s="18">
        <f>IF($A892&gt;30,R891,(R891-Q873+Q892)*(1+$C$7))</f>
        <v>48747.386419236449</v>
      </c>
      <c r="S892" s="18">
        <f t="shared" si="101"/>
        <v>493311.62510097167</v>
      </c>
    </row>
    <row r="893" spans="1:19">
      <c r="A893" s="10">
        <f>18</f>
        <v>18</v>
      </c>
      <c r="B893" s="18">
        <f>IF($A893&gt;30,0,(B873-MIN(MAX(C892,0),B873))+MIN(MAX(0,D892-(B873-MIN(MAX(C892,0),B873))),MAX(0,1*B873-(C892-MIN(MAX(C892,0),B873)))))</f>
        <v>29811</v>
      </c>
      <c r="C893" s="18">
        <f>IF($A893&gt;30,C892,(C892-B873+B893)*(1+$C$7))</f>
        <v>30189</v>
      </c>
      <c r="D893" s="18">
        <f t="shared" si="96"/>
        <v>932090.34461141762</v>
      </c>
      <c r="E893" s="18">
        <f>IF($A893&gt;30,0,(E873-MIN(MAX(F892,0),E873))+MIN(MAX(0,G892-(E873-MIN(MAX(F892,0),E873))),MAX(0,1*E873-(F892-MIN(MAX(F892,0),E873)))))</f>
        <v>75000</v>
      </c>
      <c r="F893" s="18">
        <f>IF($A893&gt;30,F892,(F892-E873+E893)*(1+$C$7))</f>
        <v>0</v>
      </c>
      <c r="G893" s="18">
        <f t="shared" si="97"/>
        <v>-142787.5829237618</v>
      </c>
      <c r="H893" s="18">
        <f>IF($A893&gt;30,0,(H873-MIN(MAX(I892,0),H873))+MIN(MAX(0,J892-(H873-MIN(MAX(I892,0),H873))),MAX(0,1*H873-(I892-MIN(MAX(I892,0),H873)))))</f>
        <v>48382.395191007905</v>
      </c>
      <c r="I893" s="18">
        <f>IF($A893&gt;30,I892,(I892-H873+H893)*(1+$C$7))</f>
        <v>48995.87831409002</v>
      </c>
      <c r="J893" s="18">
        <f t="shared" si="98"/>
        <v>452188.9986980895</v>
      </c>
      <c r="K893" s="18">
        <f>IF($A893&gt;30,0,(K873-MIN(MAX(L892,0),K873))+MIN(MAX(0,M892-(K873-MIN(MAX(L892,0),K873))),MAX(0,1*K873-(L892-MIN(MAX(L892,0),K873)))))</f>
        <v>48136.98036889435</v>
      </c>
      <c r="L893" s="18">
        <f>IF($A893&gt;30,L892,(L892-K873+K893)*(1+$C$7))</f>
        <v>48747.351660680666</v>
      </c>
      <c r="M893" s="18">
        <f t="shared" si="99"/>
        <v>458530.73566658539</v>
      </c>
      <c r="N893" s="18">
        <f>IF($A893&gt;30,0,(N873-MIN(MAX(O892,0),N873))+MIN(MAX(0,P892-(N873-MIN(MAX(O892,0),N873))),MAX(0,1*N873-(O892-MIN(MAX(O892,0),N873)))))</f>
        <v>48137.013902572056</v>
      </c>
      <c r="O893" s="18">
        <f>IF($A893&gt;30,O892,(O892-N873+N893)*(1+$C$7))</f>
        <v>48747.385619561494</v>
      </c>
      <c r="P893" s="18">
        <f t="shared" si="100"/>
        <v>458529.86912657</v>
      </c>
      <c r="Q893" s="18">
        <f>IF($A893&gt;30,0,(Q873-MIN(MAX(R892,0),Q873))+MIN(MAX(0,S892-(Q873-MIN(MAX(R892,0),Q873))),MAX(0,1*Q873-(R892-MIN(MAX(R892,0),Q873)))))</f>
        <v>48137.014692234188</v>
      </c>
      <c r="R893" s="18">
        <f>IF($A893&gt;30,R892,(R892-Q873+Q893)*(1+$C$7))</f>
        <v>48747.386419236449</v>
      </c>
      <c r="S893" s="18">
        <f t="shared" si="101"/>
        <v>458529.84872099961</v>
      </c>
    </row>
    <row r="894" spans="1:19">
      <c r="A894" s="10">
        <f>19</f>
        <v>19</v>
      </c>
      <c r="B894" s="18">
        <f>IF($A894&gt;30,0,(B873-MIN(MAX(C893,0),B873))+MIN(MAX(0,D893-(B873-MIN(MAX(C893,0),B873))),MAX(0,1*B873-(C893-MIN(MAX(C893,0),B873)))))</f>
        <v>29811</v>
      </c>
      <c r="C894" s="18">
        <f>IF($A894&gt;30,C893,(C893-B873+B894)*(1+$C$7))</f>
        <v>30189</v>
      </c>
      <c r="D894" s="18">
        <f t="shared" si="96"/>
        <v>929347.72494976013</v>
      </c>
      <c r="E894" s="18">
        <f>IF($A894&gt;30,0,(E873-MIN(MAX(F893,0),E873))+MIN(MAX(0,G893-(E873-MIN(MAX(F893,0),E873))),MAX(0,1*E873-(F893-MIN(MAX(F893,0),E873)))))</f>
        <v>75000</v>
      </c>
      <c r="F894" s="18">
        <f>IF($A894&gt;30,F893,(F893-E873+E894)*(1+$C$7))</f>
        <v>0</v>
      </c>
      <c r="G894" s="18">
        <f t="shared" si="97"/>
        <v>-224321.21041147466</v>
      </c>
      <c r="H894" s="18">
        <f>IF($A894&gt;30,0,(H873-MIN(MAX(I893,0),H873))+MIN(MAX(0,J893-(H873-MIN(MAX(I893,0),H873))),MAX(0,1*H873-(I893-MIN(MAX(I893,0),H873)))))</f>
        <v>48382.395191007905</v>
      </c>
      <c r="I894" s="18">
        <f>IF($A894&gt;30,I893,(I893-H873+H894)*(1+$C$7))</f>
        <v>48995.87831409002</v>
      </c>
      <c r="J894" s="18">
        <f t="shared" si="98"/>
        <v>415920.8016122941</v>
      </c>
      <c r="K894" s="18">
        <f>IF($A894&gt;30,0,(K873-MIN(MAX(L893,0),K873))+MIN(MAX(0,M893-(K873-MIN(MAX(L893,0),K873))),MAX(0,1*K873-(L893-MIN(MAX(L893,0),K873)))))</f>
        <v>48136.98036889435</v>
      </c>
      <c r="L894" s="18">
        <f>IF($A894&gt;30,L893,(L893-K873+K894)*(1+$C$7))</f>
        <v>48747.351660680666</v>
      </c>
      <c r="M894" s="18">
        <f t="shared" si="99"/>
        <v>422705.56795662176</v>
      </c>
      <c r="N894" s="18">
        <f>IF($A894&gt;30,0,(N873-MIN(MAX(O893,0),N873))+MIN(MAX(0,P893-(N873-MIN(MAX(O893,0),N873))),MAX(0,1*N873-(O893-MIN(MAX(O893,0),N873)))))</f>
        <v>48137.013902572056</v>
      </c>
      <c r="O894" s="18">
        <f>IF($A894&gt;30,O893,(O893-N873+N894)*(1+$C$7))</f>
        <v>48747.385619561494</v>
      </c>
      <c r="P894" s="18">
        <f t="shared" si="100"/>
        <v>422704.6408807179</v>
      </c>
      <c r="Q894" s="18">
        <f>IF($A894&gt;30,0,(Q873-MIN(MAX(R893,0),Q873))+MIN(MAX(0,S893-(Q873-MIN(MAX(R893,0),Q873))),MAX(0,1*Q873-(R893-MIN(MAX(R893,0),Q873)))))</f>
        <v>48137.014692234188</v>
      </c>
      <c r="R894" s="18">
        <f>IF($A894&gt;30,R893,(R893-Q873+Q894)*(1+$C$7))</f>
        <v>48747.386419236449</v>
      </c>
      <c r="S894" s="18">
        <f t="shared" si="101"/>
        <v>422704.61904962844</v>
      </c>
    </row>
    <row r="895" spans="1:19">
      <c r="A895" s="10">
        <f>20</f>
        <v>20</v>
      </c>
      <c r="B895" s="18">
        <f>IF($A895&gt;30,0,(B873-MIN(MAX(C894,0),B873))+MIN(MAX(0,D894-(B873-MIN(MAX(C894,0),B873))),MAX(0,1*B873-(C894-MIN(MAX(C894,0),B873)))))</f>
        <v>29811</v>
      </c>
      <c r="C895" s="18">
        <f>IF($A895&gt;30,C894,(C894-B873+B895)*(1+$C$7))</f>
        <v>30189</v>
      </c>
      <c r="D895" s="18">
        <f t="shared" si="96"/>
        <v>926522.82669825293</v>
      </c>
      <c r="E895" s="18">
        <f>IF($A895&gt;30,0,(E873-MIN(MAX(F894,0),E873))+MIN(MAX(0,G894-(E873-MIN(MAX(F894,0),E873))),MAX(0,1*E873-(F894-MIN(MAX(F894,0),E873)))))</f>
        <v>75000</v>
      </c>
      <c r="F895" s="18">
        <f>IF($A895&gt;30,F894,(F894-E873+E895)*(1+$C$7))</f>
        <v>0</v>
      </c>
      <c r="G895" s="18">
        <f t="shared" si="97"/>
        <v>-308300.84672381892</v>
      </c>
      <c r="H895" s="18">
        <f>IF($A895&gt;30,0,(H873-MIN(MAX(I894,0),H873))+MIN(MAX(0,J894-(H873-MIN(MAX(I894,0),H873))),MAX(0,1*H873-(I894-MIN(MAX(I894,0),H873)))))</f>
        <v>48382.395191007905</v>
      </c>
      <c r="I895" s="18">
        <f>IF($A895&gt;30,I894,(I894-H873+H895)*(1+$C$7))</f>
        <v>48995.87831409002</v>
      </c>
      <c r="J895" s="18">
        <f t="shared" si="98"/>
        <v>378564.55861392478</v>
      </c>
      <c r="K895" s="18">
        <f>IF($A895&gt;30,0,(K873-MIN(MAX(L894,0),K873))+MIN(MAX(0,M894-(K873-MIN(MAX(L894,0),K873))),MAX(0,1*K873-(L894-MIN(MAX(L894,0),K873)))))</f>
        <v>48136.98036889435</v>
      </c>
      <c r="L895" s="18">
        <f>IF($A895&gt;30,L894,(L894-K873+K895)*(1+$C$7))</f>
        <v>48747.351660680666</v>
      </c>
      <c r="M895" s="18">
        <f t="shared" si="99"/>
        <v>385805.64521535923</v>
      </c>
      <c r="N895" s="18">
        <f>IF($A895&gt;30,0,(N873-MIN(MAX(O894,0),N873))+MIN(MAX(0,P894-(N873-MIN(MAX(O894,0),N873))),MAX(0,1*N873-(O894-MIN(MAX(O894,0),N873)))))</f>
        <v>48137.013902572056</v>
      </c>
      <c r="O895" s="18">
        <f>IF($A895&gt;30,O894,(O894-N873+N895)*(1+$C$7))</f>
        <v>48747.385619561494</v>
      </c>
      <c r="P895" s="18">
        <f t="shared" si="100"/>
        <v>385804.65578749025</v>
      </c>
      <c r="Q895" s="18">
        <f>IF($A895&gt;30,0,(Q873-MIN(MAX(R894,0),Q873))+MIN(MAX(0,S894-(Q873-MIN(MAX(R894,0),Q873))),MAX(0,1*Q873-(R894-MIN(MAX(R894,0),Q873)))))</f>
        <v>48137.014692234188</v>
      </c>
      <c r="R895" s="18">
        <f>IF($A895&gt;30,R894,(R894-Q873+Q895)*(1+$C$7))</f>
        <v>48747.386419236449</v>
      </c>
      <c r="S895" s="18">
        <f t="shared" si="101"/>
        <v>385804.6324881161</v>
      </c>
    </row>
    <row r="896" spans="1:19">
      <c r="A896" s="10">
        <f>21</f>
        <v>21</v>
      </c>
      <c r="B896" s="18">
        <f>IF($A896&gt;30,0,(B873-MIN(MAX(C895,0),B873))+MIN(MAX(0,D895-(B873-MIN(MAX(C895,0),B873))),MAX(0,1*B873-(C895-MIN(MAX(C895,0),B873)))))</f>
        <v>29811</v>
      </c>
      <c r="C896" s="18">
        <f>IF($A896&gt;30,C895,(C895-B873+B896)*(1+$C$7))</f>
        <v>30189</v>
      </c>
      <c r="D896" s="18">
        <f t="shared" si="96"/>
        <v>923613.18149920052</v>
      </c>
      <c r="E896" s="18">
        <f>IF($A896&gt;30,0,(E873-MIN(MAX(F895,0),E873))+MIN(MAX(0,G895-(E873-MIN(MAX(F895,0),E873))),MAX(0,1*E873-(F895-MIN(MAX(F895,0),E873)))))</f>
        <v>75000</v>
      </c>
      <c r="F896" s="18">
        <f>IF($A896&gt;30,F895,(F895-E873+E896)*(1+$C$7))</f>
        <v>0</v>
      </c>
      <c r="G896" s="18">
        <f t="shared" si="97"/>
        <v>-394799.87212553347</v>
      </c>
      <c r="H896" s="18">
        <f>IF($A896&gt;30,0,(H873-MIN(MAX(I895,0),H873))+MIN(MAX(0,J895-(H873-MIN(MAX(I895,0),H873))),MAX(0,1*H873-(I895-MIN(MAX(I895,0),H873)))))</f>
        <v>48382.395191007905</v>
      </c>
      <c r="I896" s="18">
        <f>IF($A896&gt;30,I895,(I895-H873+H896)*(1+$C$7))</f>
        <v>48995.87831409002</v>
      </c>
      <c r="J896" s="18">
        <f t="shared" si="98"/>
        <v>340087.62832560443</v>
      </c>
      <c r="K896" s="18">
        <f>IF($A896&gt;30,0,(K873-MIN(MAX(L895,0),K873))+MIN(MAX(0,M895-(K873-MIN(MAX(L895,0),K873))),MAX(0,1*K873-(L895-MIN(MAX(L895,0),K873)))))</f>
        <v>48136.98036889435</v>
      </c>
      <c r="L896" s="18">
        <f>IF($A896&gt;30,L895,(L895-K873+K896)*(1+$C$7))</f>
        <v>48747.351660680666</v>
      </c>
      <c r="M896" s="18">
        <f t="shared" si="99"/>
        <v>347798.72479185881</v>
      </c>
      <c r="N896" s="18">
        <f>IF($A896&gt;30,0,(N873-MIN(MAX(O895,0),N873))+MIN(MAX(0,P895-(N873-MIN(MAX(O895,0),N873))),MAX(0,1*N873-(O895-MIN(MAX(O895,0),N873)))))</f>
        <v>48137.013902572056</v>
      </c>
      <c r="O896" s="18">
        <f>IF($A896&gt;30,O895,(O895-N873+N896)*(1+$C$7))</f>
        <v>48747.385619561494</v>
      </c>
      <c r="P896" s="18">
        <f t="shared" si="100"/>
        <v>347797.67114146578</v>
      </c>
      <c r="Q896" s="18">
        <f>IF($A896&gt;30,0,(Q873-MIN(MAX(R895,0),Q873))+MIN(MAX(0,S895-(Q873-MIN(MAX(R895,0),Q873))),MAX(0,1*Q873-(R895-MIN(MAX(R895,0),Q873)))))</f>
        <v>48137.014692234188</v>
      </c>
      <c r="R896" s="18">
        <f>IF($A896&gt;30,R895,(R895-Q873+Q896)*(1+$C$7))</f>
        <v>48747.386419236449</v>
      </c>
      <c r="S896" s="18">
        <f t="shared" si="101"/>
        <v>347797.6463297584</v>
      </c>
    </row>
    <row r="897" spans="1:19">
      <c r="A897" s="10">
        <f>22</f>
        <v>22</v>
      </c>
      <c r="B897" s="18">
        <f>IF($A897&gt;30,0,(B873-MIN(MAX(C896,0),B873))+MIN(MAX(0,D896-(B873-MIN(MAX(C896,0),B873))),MAX(0,1*B873-(C896-MIN(MAX(C896,0),B873)))))</f>
        <v>29811</v>
      </c>
      <c r="C897" s="18">
        <f>IF($A897&gt;30,C896,(C896-B873+B897)*(1+$C$7))</f>
        <v>30189</v>
      </c>
      <c r="D897" s="18">
        <f t="shared" si="96"/>
        <v>920616.24694417662</v>
      </c>
      <c r="E897" s="18">
        <f>IF($A897&gt;30,0,(E873-MIN(MAX(F896,0),E873))+MIN(MAX(0,G896-(E873-MIN(MAX(F896,0),E873))),MAX(0,1*E873-(F896-MIN(MAX(F896,0),E873)))))</f>
        <v>75000</v>
      </c>
      <c r="F897" s="18">
        <f>IF($A897&gt;30,F896,(F896-E873+E897)*(1+$C$7))</f>
        <v>0</v>
      </c>
      <c r="G897" s="18">
        <f t="shared" si="97"/>
        <v>-483893.86828929948</v>
      </c>
      <c r="H897" s="18">
        <f>IF($A897&gt;30,0,(H873-MIN(MAX(I896,0),H873))+MIN(MAX(0,J896-(H873-MIN(MAX(I896,0),H873))),MAX(0,1*H873-(I896-MIN(MAX(I896,0),H873)))))</f>
        <v>48382.395191007905</v>
      </c>
      <c r="I897" s="18">
        <f>IF($A897&gt;30,I896,(I896-H873+H897)*(1+$C$7))</f>
        <v>48995.87831409002</v>
      </c>
      <c r="J897" s="18">
        <f t="shared" si="98"/>
        <v>300456.3901286344</v>
      </c>
      <c r="K897" s="18">
        <f>IF($A897&gt;30,0,(K873-MIN(MAX(L896,0),K873))+MIN(MAX(0,M896-(K873-MIN(MAX(L896,0),K873))),MAX(0,1*K873-(L896-MIN(MAX(L896,0),K873)))))</f>
        <v>48136.98036889435</v>
      </c>
      <c r="L897" s="18">
        <f>IF($A897&gt;30,L896,(L896-K873+K897)*(1+$C$7))</f>
        <v>48747.351660680666</v>
      </c>
      <c r="M897" s="18">
        <f t="shared" si="99"/>
        <v>308651.59675565339</v>
      </c>
      <c r="N897" s="18">
        <f>IF($A897&gt;30,0,(N873-MIN(MAX(O896,0),N873))+MIN(MAX(0,P896-(N873-MIN(MAX(O896,0),N873))),MAX(0,1*N873-(O896-MIN(MAX(O896,0),N873)))))</f>
        <v>48137.013902572056</v>
      </c>
      <c r="O897" s="18">
        <f>IF($A897&gt;30,O896,(O896-N873+N897)*(1+$C$7))</f>
        <v>48747.385619561494</v>
      </c>
      <c r="P897" s="18">
        <f t="shared" si="100"/>
        <v>308650.47695606056</v>
      </c>
      <c r="Q897" s="18">
        <f>IF($A897&gt;30,0,(Q873-MIN(MAX(R896,0),Q873))+MIN(MAX(0,S896-(Q873-MIN(MAX(R896,0),Q873))),MAX(0,1*Q873-(R896-MIN(MAX(R896,0),Q873)))))</f>
        <v>48137.014692234188</v>
      </c>
      <c r="R897" s="18">
        <f>IF($A897&gt;30,R896,(R896-Q873+Q897)*(1+$C$7))</f>
        <v>48747.386419236449</v>
      </c>
      <c r="S897" s="18">
        <f t="shared" si="101"/>
        <v>308650.45058664994</v>
      </c>
    </row>
    <row r="898" spans="1:19">
      <c r="A898" s="10">
        <f>23</f>
        <v>23</v>
      </c>
      <c r="B898" s="18">
        <f>IF($A898&gt;30,0,(B873-MIN(MAX(C897,0),B873))+MIN(MAX(0,D897-(B873-MIN(MAX(C897,0),B873))),MAX(0,1*B873-(C897-MIN(MAX(C897,0),B873)))))</f>
        <v>29811</v>
      </c>
      <c r="C898" s="18">
        <f>IF($A898&gt;30,C897,(C897-B873+B898)*(1+$C$7))</f>
        <v>30189</v>
      </c>
      <c r="D898" s="18">
        <f t="shared" si="96"/>
        <v>917529.40435250197</v>
      </c>
      <c r="E898" s="18">
        <f>IF($A898&gt;30,0,(E873-MIN(MAX(F897,0),E873))+MIN(MAX(0,G897-(E873-MIN(MAX(F897,0),E873))),MAX(0,1*E873-(F897-MIN(MAX(F897,0),E873)))))</f>
        <v>75000</v>
      </c>
      <c r="F898" s="18">
        <f>IF($A898&gt;30,F897,(F897-E873+E898)*(1+$C$7))</f>
        <v>0</v>
      </c>
      <c r="G898" s="18">
        <f t="shared" si="97"/>
        <v>-575660.6843379786</v>
      </c>
      <c r="H898" s="18">
        <f>IF($A898&gt;30,0,(H873-MIN(MAX(I897,0),H873))+MIN(MAX(0,J897-(H873-MIN(MAX(I897,0),H873))),MAX(0,1*H873-(I897-MIN(MAX(I897,0),H873)))))</f>
        <v>48382.395191007905</v>
      </c>
      <c r="I898" s="18">
        <f>IF($A898&gt;30,I897,(I897-H873+H898)*(1+$C$7))</f>
        <v>48995.87831409002</v>
      </c>
      <c r="J898" s="18">
        <f t="shared" si="98"/>
        <v>259636.21478575529</v>
      </c>
      <c r="K898" s="18">
        <f>IF($A898&gt;30,0,(K873-MIN(MAX(L897,0),K873))+MIN(MAX(0,M897-(K873-MIN(MAX(L897,0),K873))),MAX(0,1*K873-(L897-MIN(MAX(L897,0),K873)))))</f>
        <v>48136.98036889435</v>
      </c>
      <c r="L898" s="18">
        <f>IF($A898&gt;30,L897,(L897-K873+K898)*(1+$C$7))</f>
        <v>48747.351660680666</v>
      </c>
      <c r="M898" s="18">
        <f t="shared" si="99"/>
        <v>268330.05487836181</v>
      </c>
      <c r="N898" s="18">
        <f>IF($A898&gt;30,0,(N873-MIN(MAX(O897,0),N873))+MIN(MAX(0,P897-(N873-MIN(MAX(O897,0),N873))),MAX(0,1*N873-(O897-MIN(MAX(O897,0),N873)))))</f>
        <v>48137.013902572056</v>
      </c>
      <c r="O898" s="18">
        <f>IF($A898&gt;30,O897,(O897-N873+N898)*(1+$C$7))</f>
        <v>48747.385619561494</v>
      </c>
      <c r="P898" s="18">
        <f t="shared" si="100"/>
        <v>268328.86694509321</v>
      </c>
      <c r="Q898" s="18">
        <f>IF($A898&gt;30,0,(Q873-MIN(MAX(R897,0),Q873))+MIN(MAX(0,S897-(Q873-MIN(MAX(R897,0),Q873))),MAX(0,1*Q873-(R897-MIN(MAX(R897,0),Q873)))))</f>
        <v>48137.014692234188</v>
      </c>
      <c r="R898" s="18">
        <f>IF($A898&gt;30,R897,(R897-Q873+Q898)*(1+$C$7))</f>
        <v>48747.386419236449</v>
      </c>
      <c r="S898" s="18">
        <f t="shared" si="101"/>
        <v>268328.83897124825</v>
      </c>
    </row>
    <row r="899" spans="1:19">
      <c r="A899" s="10">
        <f>24</f>
        <v>24</v>
      </c>
      <c r="B899" s="18">
        <f>IF($A899&gt;30,0,(B873-MIN(MAX(C898,0),B873))+MIN(MAX(0,D898-(B873-MIN(MAX(C898,0),B873))),MAX(0,1*B873-(C898-MIN(MAX(C898,0),B873)))))</f>
        <v>29811</v>
      </c>
      <c r="C899" s="18">
        <f>IF($A899&gt;30,C898,(C898-B873+B899)*(1+$C$7))</f>
        <v>30189</v>
      </c>
      <c r="D899" s="18">
        <f t="shared" si="96"/>
        <v>914349.95648307703</v>
      </c>
      <c r="E899" s="18">
        <f>IF($A899&gt;30,0,(E873-MIN(MAX(F898,0),E873))+MIN(MAX(0,G898-(E873-MIN(MAX(F898,0),E873))),MAX(0,1*E873-(F898-MIN(MAX(F898,0),E873)))))</f>
        <v>75000</v>
      </c>
      <c r="F899" s="18">
        <f>IF($A899&gt;30,F898,(F898-E873+E899)*(1+$C$7))</f>
        <v>0</v>
      </c>
      <c r="G899" s="18">
        <f t="shared" si="97"/>
        <v>-670180.50486811798</v>
      </c>
      <c r="H899" s="18">
        <f>IF($A899&gt;30,0,(H873-MIN(MAX(I898,0),H873))+MIN(MAX(0,J898-(H873-MIN(MAX(I898,0),H873))),MAX(0,1*H873-(I898-MIN(MAX(I898,0),H873)))))</f>
        <v>48382.395191007905</v>
      </c>
      <c r="I899" s="18">
        <f>IF($A899&gt;30,I898,(I898-H873+H899)*(1+$C$7))</f>
        <v>48995.87831409002</v>
      </c>
      <c r="J899" s="18">
        <f t="shared" si="98"/>
        <v>217591.43418258982</v>
      </c>
      <c r="K899" s="18">
        <f>IF($A899&gt;30,0,(K873-MIN(MAX(L898,0),K873))+MIN(MAX(0,M898-(K873-MIN(MAX(L898,0),K873))),MAX(0,1*K873-(L898-MIN(MAX(L898,0),K873)))))</f>
        <v>48136.98036889435</v>
      </c>
      <c r="L899" s="18">
        <f>IF($A899&gt;30,L898,(L898-K873+K899)*(1+$C$7))</f>
        <v>48747.351660680666</v>
      </c>
      <c r="M899" s="18">
        <f t="shared" si="99"/>
        <v>226798.86674475149</v>
      </c>
      <c r="N899" s="18">
        <f>IF($A899&gt;30,0,(N873-MIN(MAX(O898,0),N873))+MIN(MAX(0,P898-(N873-MIN(MAX(O898,0),N873))),MAX(0,1*N873-(O898-MIN(MAX(O898,0),N873)))))</f>
        <v>48137.013902572056</v>
      </c>
      <c r="O899" s="18">
        <f>IF($A899&gt;30,O898,(O898-N873+N899)*(1+$C$7))</f>
        <v>48747.385619561494</v>
      </c>
      <c r="P899" s="18">
        <f t="shared" si="100"/>
        <v>226797.6086337968</v>
      </c>
      <c r="Q899" s="18">
        <f>IF($A899&gt;30,0,(Q873-MIN(MAX(R898,0),Q873))+MIN(MAX(0,S898-(Q873-MIN(MAX(R898,0),Q873))),MAX(0,1*Q873-(R898-MIN(MAX(R898,0),Q873)))))</f>
        <v>48137.014692234188</v>
      </c>
      <c r="R899" s="18">
        <f>IF($A899&gt;30,R898,(R898-Q873+Q899)*(1+$C$7))</f>
        <v>48747.386419236449</v>
      </c>
      <c r="S899" s="18">
        <f t="shared" si="101"/>
        <v>226797.57900738448</v>
      </c>
    </row>
    <row r="900" spans="1:19">
      <c r="A900" s="10">
        <f>25</f>
        <v>25</v>
      </c>
      <c r="B900" s="18">
        <f>IF($A900&gt;30,0,(B873-MIN(MAX(C899,0),B873))+MIN(MAX(0,D899-(B873-MIN(MAX(C899,0),B873))),MAX(0,1*B873-(C899-MIN(MAX(C899,0),B873)))))</f>
        <v>29811</v>
      </c>
      <c r="C900" s="18">
        <f>IF($A900&gt;30,C899,(C899-B873+B900)*(1+$C$7))</f>
        <v>30189</v>
      </c>
      <c r="D900" s="18">
        <f t="shared" si="96"/>
        <v>911075.12517756934</v>
      </c>
      <c r="E900" s="18">
        <f>IF($A900&gt;30,0,(E873-MIN(MAX(F899,0),E873))+MIN(MAX(0,G899-(E873-MIN(MAX(F899,0),E873))),MAX(0,1*E873-(F899-MIN(MAX(F899,0),E873)))))</f>
        <v>75000</v>
      </c>
      <c r="F900" s="18">
        <f>IF($A900&gt;30,F899,(F899-E873+E900)*(1+$C$7))</f>
        <v>0</v>
      </c>
      <c r="G900" s="18">
        <f t="shared" si="97"/>
        <v>-767535.9200141615</v>
      </c>
      <c r="H900" s="18">
        <f>IF($A900&gt;30,0,(H873-MIN(MAX(I899,0),H873))+MIN(MAX(0,J899-(H873-MIN(MAX(I899,0),H873))),MAX(0,1*H873-(I899-MIN(MAX(I899,0),H873)))))</f>
        <v>48382.395191007905</v>
      </c>
      <c r="I900" s="18">
        <f>IF($A900&gt;30,I899,(I899-H873+H900)*(1+$C$7))</f>
        <v>48995.87831409002</v>
      </c>
      <c r="J900" s="18">
        <f t="shared" si="98"/>
        <v>174285.31016132937</v>
      </c>
      <c r="K900" s="18">
        <f>IF($A900&gt;30,0,(K873-MIN(MAX(L899,0),K873))+MIN(MAX(0,M899-(K873-MIN(MAX(L899,0),K873))),MAX(0,1*K873-(L899-MIN(MAX(L899,0),K873)))))</f>
        <v>48136.98036889435</v>
      </c>
      <c r="L900" s="18">
        <f>IF($A900&gt;30,L899,(L899-K873+K900)*(1+$C$7))</f>
        <v>48747.351660680666</v>
      </c>
      <c r="M900" s="18">
        <f t="shared" si="99"/>
        <v>184021.74296713286</v>
      </c>
      <c r="N900" s="18">
        <f>IF($A900&gt;30,0,(N873-MIN(MAX(O899,0),N873))+MIN(MAX(0,P899-(N873-MIN(MAX(O899,0),N873))),MAX(0,1*N873-(O899-MIN(MAX(O899,0),N873)))))</f>
        <v>48137.013902572056</v>
      </c>
      <c r="O900" s="18">
        <f>IF($A900&gt;30,O899,(O899-N873+N900)*(1+$C$7))</f>
        <v>48747.385619561494</v>
      </c>
      <c r="P900" s="18">
        <f t="shared" si="100"/>
        <v>184020.41257316151</v>
      </c>
      <c r="Q900" s="18">
        <f>IF($A900&gt;30,0,(Q873-MIN(MAX(R899,0),Q873))+MIN(MAX(0,S899-(Q873-MIN(MAX(R899,0),Q873))),MAX(0,1*Q873-(R899-MIN(MAX(R899,0),Q873)))))</f>
        <v>48137.014692234188</v>
      </c>
      <c r="R900" s="18">
        <f>IF($A900&gt;30,R899,(R899-Q873+Q900)*(1+$C$7))</f>
        <v>48747.386419236449</v>
      </c>
      <c r="S900" s="18">
        <f t="shared" si="101"/>
        <v>184020.3812446048</v>
      </c>
    </row>
    <row r="901" spans="1:19">
      <c r="A901" s="10">
        <f>26</f>
        <v>26</v>
      </c>
      <c r="B901" s="18">
        <f>IF($A901&gt;30,0,(B873-MIN(MAX(C900,0),B873))+MIN(MAX(0,D900-(B873-MIN(MAX(C900,0),B873))),MAX(0,1*B873-(C900-MIN(MAX(C900,0),B873)))))</f>
        <v>29811</v>
      </c>
      <c r="C901" s="18">
        <f>IF($A901&gt;30,C900,(C900-B873+B901)*(1+$C$7))</f>
        <v>30189</v>
      </c>
      <c r="D901" s="18">
        <f t="shared" si="96"/>
        <v>907702.04893289646</v>
      </c>
      <c r="E901" s="18">
        <f>IF($A901&gt;30,0,(E873-MIN(MAX(F900,0),E873))+MIN(MAX(0,G900-(E873-MIN(MAX(F900,0),E873))),MAX(0,1*E873-(F900-MIN(MAX(F900,0),E873)))))</f>
        <v>75000</v>
      </c>
      <c r="F901" s="18">
        <f>IF($A901&gt;30,F900,(F900-E873+E901)*(1+$C$7))</f>
        <v>0</v>
      </c>
      <c r="G901" s="18">
        <f t="shared" si="97"/>
        <v>-867811.99761458638</v>
      </c>
      <c r="H901" s="18">
        <f>IF($A901&gt;30,0,(H873-MIN(MAX(I900,0),H873))+MIN(MAX(0,J900-(H873-MIN(MAX(I900,0),H873))),MAX(0,1*H873-(I900-MIN(MAX(I900,0),H873)))))</f>
        <v>48382.395191007905</v>
      </c>
      <c r="I901" s="18">
        <f>IF($A901&gt;30,I900,(I900-H873+H901)*(1+$C$7))</f>
        <v>48995.87831409002</v>
      </c>
      <c r="J901" s="18">
        <f t="shared" si="98"/>
        <v>129680.00241943111</v>
      </c>
      <c r="K901" s="18">
        <f>IF($A901&gt;30,0,(K873-MIN(MAX(L900,0),K873))+MIN(MAX(0,M900-(K873-MIN(MAX(L900,0),K873))),MAX(0,1*K873-(L900-MIN(MAX(L900,0),K873)))))</f>
        <v>48136.98036889435</v>
      </c>
      <c r="L901" s="18">
        <f>IF($A901&gt;30,L900,(L900-K873+K901)*(1+$C$7))</f>
        <v>48747.351660680666</v>
      </c>
      <c r="M901" s="18">
        <f t="shared" si="99"/>
        <v>139961.30547618566</v>
      </c>
      <c r="N901" s="18">
        <f>IF($A901&gt;30,0,(N873-MIN(MAX(O900,0),N873))+MIN(MAX(0,P900-(N873-MIN(MAX(O900,0),N873))),MAX(0,1*N873-(O900-MIN(MAX(O900,0),N873)))))</f>
        <v>48137.013902572056</v>
      </c>
      <c r="O901" s="18">
        <f>IF($A901&gt;30,O900,(O900-N873+N901)*(1+$C$7))</f>
        <v>48747.385619561494</v>
      </c>
      <c r="P901" s="18">
        <f t="shared" si="100"/>
        <v>139959.90063070712</v>
      </c>
      <c r="Q901" s="18">
        <f>IF($A901&gt;30,0,(Q873-MIN(MAX(R900,0),Q873))+MIN(MAX(0,S900-(Q873-MIN(MAX(R900,0),Q873))),MAX(0,1*Q873-(R900-MIN(MAX(R900,0),Q873)))))</f>
        <v>48137.014692234188</v>
      </c>
      <c r="R901" s="18">
        <f>IF($A901&gt;30,R900,(R900-Q873+Q901)*(1+$C$7))</f>
        <v>48747.386419236449</v>
      </c>
      <c r="S901" s="18">
        <f t="shared" si="101"/>
        <v>139959.86754894172</v>
      </c>
    </row>
    <row r="902" spans="1:19">
      <c r="A902" s="10">
        <f>27</f>
        <v>27</v>
      </c>
      <c r="B902" s="18">
        <f>IF($A902&gt;30,0,(B873-MIN(MAX(C901,0),B873))+MIN(MAX(0,D901-(B873-MIN(MAX(C901,0),B873))),MAX(0,1*B873-(C901-MIN(MAX(C901,0),B873)))))</f>
        <v>29811</v>
      </c>
      <c r="C902" s="18">
        <f>IF($A902&gt;30,C901,(C901-B873+B902)*(1+$C$7))</f>
        <v>30189</v>
      </c>
      <c r="D902" s="18">
        <f t="shared" si="96"/>
        <v>904227.78040088341</v>
      </c>
      <c r="E902" s="18">
        <f>IF($A902&gt;30,0,(E873-MIN(MAX(F901,0),E873))+MIN(MAX(0,G901-(E873-MIN(MAX(F901,0),E873))),MAX(0,1*E873-(F901-MIN(MAX(F901,0),E873)))))</f>
        <v>75000</v>
      </c>
      <c r="F902" s="18">
        <f>IF($A902&gt;30,F901,(F901-E873+E902)*(1+$C$7))</f>
        <v>0</v>
      </c>
      <c r="G902" s="18">
        <f t="shared" si="97"/>
        <v>-971096.357543024</v>
      </c>
      <c r="H902" s="18">
        <f>IF($A902&gt;30,0,(H873-MIN(MAX(I901,0),H873))+MIN(MAX(0,J901-(H873-MIN(MAX(I901,0),H873))),MAX(0,1*H873-(I901-MIN(MAX(I901,0),H873)))))</f>
        <v>48382.395191007905</v>
      </c>
      <c r="I902" s="18">
        <f>IF($A902&gt;30,I901,(I901-H873+H902)*(1+$C$7))</f>
        <v>48995.87831409002</v>
      </c>
      <c r="J902" s="18">
        <f t="shared" si="98"/>
        <v>83736.535445275906</v>
      </c>
      <c r="K902" s="18">
        <f>IF($A902&gt;30,0,(K873-MIN(MAX(L901,0),K873))+MIN(MAX(0,M901-(K873-MIN(MAX(L901,0),K873))),MAX(0,1*K873-(L901-MIN(MAX(L901,0),K873)))))</f>
        <v>48136.98036889435</v>
      </c>
      <c r="L902" s="18">
        <f>IF($A902&gt;30,L901,(L901-K873+K902)*(1+$C$7))</f>
        <v>48747.351660680666</v>
      </c>
      <c r="M902" s="18">
        <f t="shared" si="99"/>
        <v>94579.054860510048</v>
      </c>
      <c r="N902" s="18">
        <f>IF($A902&gt;30,0,(N873-MIN(MAX(O901,0),N873))+MIN(MAX(0,P901-(N873-MIN(MAX(O901,0),N873))),MAX(0,1*N873-(O901-MIN(MAX(O901,0),N873)))))</f>
        <v>48137.013902572056</v>
      </c>
      <c r="O902" s="18">
        <f>IF($A902&gt;30,O901,(O901-N873+N902)*(1+$C$7))</f>
        <v>48747.385619561494</v>
      </c>
      <c r="P902" s="18">
        <f t="shared" si="100"/>
        <v>94577.573329979117</v>
      </c>
      <c r="Q902" s="18">
        <f>IF($A902&gt;30,0,(Q873-MIN(MAX(R901,0),Q873))+MIN(MAX(0,S901-(Q873-MIN(MAX(R901,0),Q873))),MAX(0,1*Q873-(R901-MIN(MAX(R901,0),Q873)))))</f>
        <v>48137.014692234188</v>
      </c>
      <c r="R902" s="18">
        <f>IF($A902&gt;30,R901,(R901-Q873+Q902)*(1+$C$7))</f>
        <v>48747.386419236449</v>
      </c>
      <c r="S902" s="18">
        <f t="shared" si="101"/>
        <v>94577.538442408753</v>
      </c>
    </row>
    <row r="903" spans="1:19">
      <c r="A903" s="10">
        <f>28</f>
        <v>28</v>
      </c>
      <c r="B903" s="18">
        <f>IF($A903&gt;30,0,(B873-MIN(MAX(C902,0),B873))+MIN(MAX(0,D902-(B873-MIN(MAX(C902,0),B873))),MAX(0,1*B873-(C902-MIN(MAX(C902,0),B873)))))</f>
        <v>29811</v>
      </c>
      <c r="C903" s="18">
        <f>IF($A903&gt;30,C902,(C902-B873+B903)*(1+$C$7))</f>
        <v>30189</v>
      </c>
      <c r="D903" s="18">
        <f t="shared" si="96"/>
        <v>900649.28381290997</v>
      </c>
      <c r="E903" s="18">
        <f>IF($A903&gt;30,0,(E873-MIN(MAX(F902,0),E873))+MIN(MAX(0,G902-(E873-MIN(MAX(F902,0),E873))),MAX(0,1*E873-(F902-MIN(MAX(F902,0),E873)))))</f>
        <v>75000</v>
      </c>
      <c r="F903" s="18">
        <f>IF($A903&gt;30,F902,(F902-E873+E903)*(1+$C$7))</f>
        <v>0</v>
      </c>
      <c r="G903" s="18">
        <f t="shared" si="97"/>
        <v>-1077479.2482693146</v>
      </c>
      <c r="H903" s="18">
        <f>IF($A903&gt;30,0,(H873-MIN(MAX(I902,0),H873))+MIN(MAX(0,J902-(H873-MIN(MAX(I902,0),H873))),MAX(0,1*H873-(I902-MIN(MAX(I902,0),H873)))))</f>
        <v>48382.395191007905</v>
      </c>
      <c r="I903" s="18">
        <f>IF($A903&gt;30,I902,(I902-H873+H903)*(1+$C$7))</f>
        <v>48995.87831409002</v>
      </c>
      <c r="J903" s="18">
        <f t="shared" si="98"/>
        <v>36414.76446189604</v>
      </c>
      <c r="K903" s="18">
        <f>IF($A903&gt;30,0,(K873-MIN(MAX(L902,0),K873))+MIN(MAX(0,M902-(K873-MIN(MAX(L902,0),K873))),MAX(0,1*K873-(L902-MIN(MAX(L902,0),K873)))))</f>
        <v>48136.98036889435</v>
      </c>
      <c r="L903" s="18">
        <f>IF($A903&gt;30,L902,(L902-K873+K903)*(1+$C$7))</f>
        <v>48747.351660680666</v>
      </c>
      <c r="M903" s="18">
        <f t="shared" si="99"/>
        <v>47835.33672636417</v>
      </c>
      <c r="N903" s="18">
        <f>IF($A903&gt;30,0,(N873-MIN(MAX(O902,0),N873))+MIN(MAX(0,P902-(N873-MIN(MAX(O902,0),N873))),MAX(0,1*N873-(O902-MIN(MAX(O902,0),N873)))))</f>
        <v>48137.013902572056</v>
      </c>
      <c r="O903" s="18">
        <f>IF($A903&gt;30,O902,(O902-N873+N903)*(1+$C$7))</f>
        <v>48747.385619561494</v>
      </c>
      <c r="P903" s="18">
        <f t="shared" si="100"/>
        <v>47833.776210229276</v>
      </c>
      <c r="Q903" s="18">
        <f>IF($A903&gt;30,0,(Q873-MIN(MAX(R902,0),Q873))+MIN(MAX(0,S902-(Q873-MIN(MAX(R902,0),Q873))),MAX(0,1*Q873-(R902-MIN(MAX(R902,0),Q873)))))</f>
        <v>48137.014692234188</v>
      </c>
      <c r="R903" s="18">
        <f>IF($A903&gt;30,R902,(R902-Q873+Q903)*(1+$C$7))</f>
        <v>48747.386419236449</v>
      </c>
      <c r="S903" s="18">
        <f t="shared" si="101"/>
        <v>47833.739462679805</v>
      </c>
    </row>
    <row r="904" spans="1:19">
      <c r="A904" s="10">
        <f>29</f>
        <v>29</v>
      </c>
      <c r="B904" s="18">
        <f>IF($A904&gt;30,0,(B873-MIN(MAX(C903,0),B873))+MIN(MAX(0,D903-(B873-MIN(MAX(C903,0),B873))),MAX(0,1*B873-(C903-MIN(MAX(C903,0),B873)))))</f>
        <v>29811</v>
      </c>
      <c r="C904" s="18">
        <f>IF($A904&gt;30,C903,(C903-B873+B904)*(1+$C$7))</f>
        <v>30189</v>
      </c>
      <c r="D904" s="18">
        <f t="shared" si="96"/>
        <v>896963.43232729728</v>
      </c>
      <c r="E904" s="18">
        <f>IF($A904&gt;30,0,(E873-MIN(MAX(F903,0),E873))+MIN(MAX(0,G903-(E873-MIN(MAX(F903,0),E873))),MAX(0,1*E873-(F903-MIN(MAX(F903,0),E873)))))</f>
        <v>75000</v>
      </c>
      <c r="F904" s="18">
        <f>IF($A904&gt;30,F903,(F903-E873+E904)*(1+$C$7))</f>
        <v>0</v>
      </c>
      <c r="G904" s="18">
        <f t="shared" si="97"/>
        <v>-1187053.6257173941</v>
      </c>
      <c r="H904" s="18">
        <f>IF($A904&gt;30,0,(H873-MIN(MAX(I903,0),H873))+MIN(MAX(0,J903-(H873-MIN(MAX(I903,0),H873))),MAX(0,1*H873-(I903-MIN(MAX(I903,0),H873)))))</f>
        <v>36414.76446189604</v>
      </c>
      <c r="I904" s="18">
        <f>IF($A904&gt;30,I903,(I903-H873+H904)*(1+$C$7))</f>
        <v>36952.851511384753</v>
      </c>
      <c r="J904" s="18">
        <f t="shared" si="98"/>
        <v>0</v>
      </c>
      <c r="K904" s="18">
        <f>IF($A904&gt;30,0,(K873-MIN(MAX(L903,0),K873))+MIN(MAX(0,M903-(K873-MIN(MAX(L903,0),K873))),MAX(0,1*K873-(L903-MIN(MAX(L903,0),K873)))))</f>
        <v>47835.33672636417</v>
      </c>
      <c r="L904" s="18">
        <f>IF($A904&gt;30,L903,(L903-K873+K904)*(1+$C$7))</f>
        <v>48443.807663202548</v>
      </c>
      <c r="M904" s="18">
        <f t="shared" si="99"/>
        <v>0</v>
      </c>
      <c r="N904" s="18">
        <f>IF($A904&gt;30,0,(N873-MIN(MAX(O903,0),N873))+MIN(MAX(0,P903-(N873-MIN(MAX(O903,0),N873))),MAX(0,1*N873-(O903-MIN(MAX(O903,0),N873)))))</f>
        <v>47833.776210229276</v>
      </c>
      <c r="O904" s="18">
        <f>IF($A904&gt;30,O903,(O903-N873+N904)*(1+$C$7))</f>
        <v>48442.237529756952</v>
      </c>
      <c r="P904" s="18">
        <f t="shared" si="100"/>
        <v>0</v>
      </c>
      <c r="Q904" s="18">
        <f>IF($A904&gt;30,0,(Q873-MIN(MAX(R903,0),Q873))+MIN(MAX(0,S903-(Q873-MIN(MAX(R903,0),Q873))),MAX(0,1*Q873-(R903-MIN(MAX(R903,0),Q873)))))</f>
        <v>47833.739462679805</v>
      </c>
      <c r="R904" s="18">
        <f>IF($A904&gt;30,R903,(R903-Q873+Q904)*(1+$C$7))</f>
        <v>48442.200555735872</v>
      </c>
      <c r="S904" s="18">
        <f t="shared" si="101"/>
        <v>0</v>
      </c>
    </row>
    <row r="905" spans="1:19">
      <c r="A905" s="10">
        <f>30</f>
        <v>30</v>
      </c>
      <c r="B905" s="18">
        <f>IF($A905&gt;30,0,(B873-MIN(MAX(C904,0),B873))+MIN(MAX(0,D904-(B873-MIN(MAX(C904,0),B873))),MAX(0,1*B873-(C904-MIN(MAX(C904,0),B873)))))</f>
        <v>29811</v>
      </c>
      <c r="C905" s="18">
        <f>IF($A905&gt;30,C904,(C904-B873+B905)*(1+$C$7))</f>
        <v>30189</v>
      </c>
      <c r="D905" s="18">
        <f t="shared" si="96"/>
        <v>893167.00529711624</v>
      </c>
      <c r="E905" s="18">
        <f>IF($A905&gt;30,0,(E873-MIN(MAX(F904,0),E873))+MIN(MAX(0,G904-(E873-MIN(MAX(F904,0),E873))),MAX(0,1*E873-(F904-MIN(MAX(F904,0),E873)))))</f>
        <v>75000</v>
      </c>
      <c r="F905" s="18">
        <f>IF($A905&gt;30,F904,(F904-E873+E905)*(1+$C$7))</f>
        <v>0</v>
      </c>
      <c r="G905" s="18">
        <f t="shared" si="97"/>
        <v>-1299915.2344889159</v>
      </c>
      <c r="H905" s="18">
        <f>IF($A905&gt;30,0,(H873-MIN(MAX(I904,0),H873))+MIN(MAX(0,J904-(H873-MIN(MAX(I904,0),H873))),MAX(0,1*H873-(I904-MIN(MAX(I904,0),H873)))))</f>
        <v>11736.285241164209</v>
      </c>
      <c r="I905" s="18">
        <f>IF($A905&gt;30,I904,(I904-H873+H905)*(1+$C$7))</f>
        <v>0</v>
      </c>
      <c r="J905" s="18">
        <f t="shared" si="98"/>
        <v>-12088.373798399136</v>
      </c>
      <c r="K905" s="18">
        <f>IF($A905&gt;30,0,(K873-MIN(MAX(L904,0),K873))+MIN(MAX(0,M904-(K873-MIN(MAX(L904,0),K873))),MAX(0,1*K873-(L904-MIN(MAX(L904,0),K873)))))</f>
        <v>0</v>
      </c>
      <c r="L905" s="18">
        <f>IF($A905&gt;30,L904,(L904-K873+K905)*(1+$C$7))</f>
        <v>1.6519908000542753</v>
      </c>
      <c r="M905" s="18">
        <f t="shared" si="99"/>
        <v>0</v>
      </c>
      <c r="N905" s="18">
        <f>IF($A905&gt;30,0,(N873-MIN(MAX(O904,0),N873))+MIN(MAX(0,P904-(N873-MIN(MAX(O904,0),N873))),MAX(0,1*N873-(O904-MIN(MAX(O904,0),N873)))))</f>
        <v>0</v>
      </c>
      <c r="O905" s="18">
        <f>IF($A905&gt;30,O904,(O904-N873+N905)*(1+$C$7))</f>
        <v>3.8006632925590381E-2</v>
      </c>
      <c r="P905" s="18">
        <f t="shared" si="100"/>
        <v>0</v>
      </c>
      <c r="Q905" s="18">
        <f>IF($A905&gt;30,0,(Q873-MIN(MAX(R904,0),Q873))+MIN(MAX(0,S904-(Q873-MIN(MAX(R904,0),Q873))),MAX(0,1*Q873-(R904-MIN(MAX(R904,0),Q873)))))</f>
        <v>0</v>
      </c>
      <c r="R905" s="18">
        <f>IF($A905&gt;30,R904,(R904-Q873+Q905)*(1+$C$7))</f>
        <v>5.5645650718361134E-10</v>
      </c>
      <c r="S905" s="18">
        <f t="shared" si="101"/>
        <v>0</v>
      </c>
    </row>
    <row r="906" spans="1:19">
      <c r="A906" s="10">
        <f>31</f>
        <v>31</v>
      </c>
      <c r="B906" s="18">
        <f>IF($A906&gt;30,0,(B873-MIN(MAX(C905,0),B873))+MIN(MAX(0,D905-(B873-MIN(MAX(C905,0),B873))),MAX(0,1*B873-(C905-MIN(MAX(C905,0),B873)))))</f>
        <v>0</v>
      </c>
      <c r="C906" s="18">
        <f>IF($A906&gt;30,C905,(C905-B873+B906)*(1+$C$7))</f>
        <v>30189</v>
      </c>
      <c r="D906" s="18">
        <f t="shared" si="96"/>
        <v>893167.00529711624</v>
      </c>
      <c r="E906" s="18">
        <f>IF($A906&gt;30,0,(E873-MIN(MAX(F905,0),E873))+MIN(MAX(0,G905-(E873-MIN(MAX(F905,0),E873))),MAX(0,1*E873-(F905-MIN(MAX(F905,0),E873)))))</f>
        <v>0</v>
      </c>
      <c r="F906" s="18">
        <f>IF($A906&gt;30,F905,(F905-E873+E906)*(1+$C$7))</f>
        <v>0</v>
      </c>
      <c r="G906" s="18">
        <f t="shared" si="97"/>
        <v>-1299915.2344889159</v>
      </c>
      <c r="H906" s="18">
        <f>IF($A906&gt;30,0,(H873-MIN(MAX(I905,0),H873))+MIN(MAX(0,J905-(H873-MIN(MAX(I905,0),H873))),MAX(0,1*H873-(I905-MIN(MAX(I905,0),H873)))))</f>
        <v>0</v>
      </c>
      <c r="I906" s="18">
        <f>IF($A906&gt;30,I905,(I905-H873+H906)*(1+$C$7))</f>
        <v>0</v>
      </c>
      <c r="J906" s="18">
        <f t="shared" si="98"/>
        <v>-12088.373798399136</v>
      </c>
      <c r="K906" s="18">
        <f>IF($A906&gt;30,0,(K873-MIN(MAX(L905,0),K873))+MIN(MAX(0,M905-(K873-MIN(MAX(L905,0),K873))),MAX(0,1*K873-(L905-MIN(MAX(L905,0),K873)))))</f>
        <v>0</v>
      </c>
      <c r="L906" s="18">
        <f>IF($A906&gt;30,L905,(L905-K873+K906)*(1+$C$7))</f>
        <v>1.6519908000542753</v>
      </c>
      <c r="M906" s="18">
        <f t="shared" si="99"/>
        <v>0</v>
      </c>
      <c r="N906" s="18">
        <f>IF($A906&gt;30,0,(N873-MIN(MAX(O905,0),N873))+MIN(MAX(0,P905-(N873-MIN(MAX(O905,0),N873))),MAX(0,1*N873-(O905-MIN(MAX(O905,0),N873)))))</f>
        <v>0</v>
      </c>
      <c r="O906" s="18">
        <f>IF($A906&gt;30,O905,(O905-N873+N906)*(1+$C$7))</f>
        <v>3.8006632925590381E-2</v>
      </c>
      <c r="P906" s="18">
        <f t="shared" si="100"/>
        <v>0</v>
      </c>
      <c r="Q906" s="18">
        <f>IF($A906&gt;30,0,(Q873-MIN(MAX(R905,0),Q873))+MIN(MAX(0,S905-(Q873-MIN(MAX(R905,0),Q873))),MAX(0,1*Q873-(R905-MIN(MAX(R905,0),Q873)))))</f>
        <v>0</v>
      </c>
      <c r="R906" s="18">
        <f>IF($A906&gt;30,R905,(R905-Q873+Q906)*(1+$C$7))</f>
        <v>5.5645650718361134E-10</v>
      </c>
      <c r="S906" s="18">
        <f t="shared" si="101"/>
        <v>0</v>
      </c>
    </row>
    <row r="907" spans="1:19">
      <c r="A907" s="10">
        <f>32</f>
        <v>32</v>
      </c>
      <c r="B907" s="18">
        <f>IF($A907&gt;30,0,(B873-MIN(MAX(C906,0),B873))+MIN(MAX(0,D906-(B873-MIN(MAX(C906,0),B873))),MAX(0,1*B873-(C906-MIN(MAX(C906,0),B873)))))</f>
        <v>0</v>
      </c>
      <c r="C907" s="18">
        <f>IF($A907&gt;30,C906,(C906-B873+B907)*(1+$C$7))</f>
        <v>30189</v>
      </c>
      <c r="D907" s="18">
        <f t="shared" si="96"/>
        <v>893167.00529711624</v>
      </c>
      <c r="E907" s="18">
        <f>IF($A907&gt;30,0,(E873-MIN(MAX(F906,0),E873))+MIN(MAX(0,G906-(E873-MIN(MAX(F906,0),E873))),MAX(0,1*E873-(F906-MIN(MAX(F906,0),E873)))))</f>
        <v>0</v>
      </c>
      <c r="F907" s="18">
        <f>IF($A907&gt;30,F906,(F906-E873+E907)*(1+$C$7))</f>
        <v>0</v>
      </c>
      <c r="G907" s="18">
        <f t="shared" si="97"/>
        <v>-1299915.2344889159</v>
      </c>
      <c r="H907" s="18">
        <f>IF($A907&gt;30,0,(H873-MIN(MAX(I906,0),H873))+MIN(MAX(0,J906-(H873-MIN(MAX(I906,0),H873))),MAX(0,1*H873-(I906-MIN(MAX(I906,0),H873)))))</f>
        <v>0</v>
      </c>
      <c r="I907" s="18">
        <f>IF($A907&gt;30,I906,(I906-H873+H907)*(1+$C$7))</f>
        <v>0</v>
      </c>
      <c r="J907" s="18">
        <f t="shared" si="98"/>
        <v>-12088.373798399136</v>
      </c>
      <c r="K907" s="18">
        <f>IF($A907&gt;30,0,(K873-MIN(MAX(L906,0),K873))+MIN(MAX(0,M906-(K873-MIN(MAX(L906,0),K873))),MAX(0,1*K873-(L906-MIN(MAX(L906,0),K873)))))</f>
        <v>0</v>
      </c>
      <c r="L907" s="18">
        <f>IF($A907&gt;30,L906,(L906-K873+K907)*(1+$C$7))</f>
        <v>1.6519908000542753</v>
      </c>
      <c r="M907" s="18">
        <f t="shared" si="99"/>
        <v>0</v>
      </c>
      <c r="N907" s="18">
        <f>IF($A907&gt;30,0,(N873-MIN(MAX(O906,0),N873))+MIN(MAX(0,P906-(N873-MIN(MAX(O906,0),N873))),MAX(0,1*N873-(O906-MIN(MAX(O906,0),N873)))))</f>
        <v>0</v>
      </c>
      <c r="O907" s="18">
        <f>IF($A907&gt;30,O906,(O906-N873+N907)*(1+$C$7))</f>
        <v>3.8006632925590381E-2</v>
      </c>
      <c r="P907" s="18">
        <f t="shared" si="100"/>
        <v>0</v>
      </c>
      <c r="Q907" s="18">
        <f>IF($A907&gt;30,0,(Q873-MIN(MAX(R906,0),Q873))+MIN(MAX(0,S906-(Q873-MIN(MAX(R906,0),Q873))),MAX(0,1*Q873-(R906-MIN(MAX(R906,0),Q873)))))</f>
        <v>0</v>
      </c>
      <c r="R907" s="18">
        <f>IF($A907&gt;30,R906,(R906-Q873+Q907)*(1+$C$7))</f>
        <v>5.5645650718361134E-10</v>
      </c>
      <c r="S907" s="18">
        <f t="shared" si="101"/>
        <v>0</v>
      </c>
    </row>
    <row r="908" spans="1:19">
      <c r="A908" s="10">
        <f>33</f>
        <v>33</v>
      </c>
      <c r="B908" s="18">
        <f>IF($A908&gt;30,0,(B873-MIN(MAX(C907,0),B873))+MIN(MAX(0,D907-(B873-MIN(MAX(C907,0),B873))),MAX(0,1*B873-(C907-MIN(MAX(C907,0),B873)))))</f>
        <v>0</v>
      </c>
      <c r="C908" s="18">
        <f>IF($A908&gt;30,C907,(C907-B873+B908)*(1+$C$7))</f>
        <v>30189</v>
      </c>
      <c r="D908" s="18">
        <f t="shared" si="96"/>
        <v>893167.00529711624</v>
      </c>
      <c r="E908" s="18">
        <f>IF($A908&gt;30,0,(E873-MIN(MAX(F907,0),E873))+MIN(MAX(0,G907-(E873-MIN(MAX(F907,0),E873))),MAX(0,1*E873-(F907-MIN(MAX(F907,0),E873)))))</f>
        <v>0</v>
      </c>
      <c r="F908" s="18">
        <f>IF($A908&gt;30,F907,(F907-E873+E908)*(1+$C$7))</f>
        <v>0</v>
      </c>
      <c r="G908" s="18">
        <f t="shared" si="97"/>
        <v>-1299915.2344889159</v>
      </c>
      <c r="H908" s="18">
        <f>IF($A908&gt;30,0,(H873-MIN(MAX(I907,0),H873))+MIN(MAX(0,J907-(H873-MIN(MAX(I907,0),H873))),MAX(0,1*H873-(I907-MIN(MAX(I907,0),H873)))))</f>
        <v>0</v>
      </c>
      <c r="I908" s="18">
        <f>IF($A908&gt;30,I907,(I907-H873+H908)*(1+$C$7))</f>
        <v>0</v>
      </c>
      <c r="J908" s="18">
        <f t="shared" si="98"/>
        <v>-12088.373798399136</v>
      </c>
      <c r="K908" s="18">
        <f>IF($A908&gt;30,0,(K873-MIN(MAX(L907,0),K873))+MIN(MAX(0,M907-(K873-MIN(MAX(L907,0),K873))),MAX(0,1*K873-(L907-MIN(MAX(L907,0),K873)))))</f>
        <v>0</v>
      </c>
      <c r="L908" s="18">
        <f>IF($A908&gt;30,L907,(L907-K873+K908)*(1+$C$7))</f>
        <v>1.6519908000542753</v>
      </c>
      <c r="M908" s="18">
        <f t="shared" si="99"/>
        <v>0</v>
      </c>
      <c r="N908" s="18">
        <f>IF($A908&gt;30,0,(N873-MIN(MAX(O907,0),N873))+MIN(MAX(0,P907-(N873-MIN(MAX(O907,0),N873))),MAX(0,1*N873-(O907-MIN(MAX(O907,0),N873)))))</f>
        <v>0</v>
      </c>
      <c r="O908" s="18">
        <f>IF($A908&gt;30,O907,(O907-N873+N908)*(1+$C$7))</f>
        <v>3.8006632925590381E-2</v>
      </c>
      <c r="P908" s="18">
        <f t="shared" si="100"/>
        <v>0</v>
      </c>
      <c r="Q908" s="18">
        <f>IF($A908&gt;30,0,(Q873-MIN(MAX(R907,0),Q873))+MIN(MAX(0,S907-(Q873-MIN(MAX(R907,0),Q873))),MAX(0,1*Q873-(R907-MIN(MAX(R907,0),Q873)))))</f>
        <v>0</v>
      </c>
      <c r="R908" s="18">
        <f>IF($A908&gt;30,R907,(R907-Q873+Q908)*(1+$C$7))</f>
        <v>5.5645650718361134E-10</v>
      </c>
      <c r="S908" s="18">
        <f t="shared" si="101"/>
        <v>0</v>
      </c>
    </row>
    <row r="909" spans="1:19">
      <c r="A909" s="10">
        <f>34</f>
        <v>34</v>
      </c>
      <c r="B909" s="18">
        <f>IF($A909&gt;30,0,(B873-MIN(MAX(C908,0),B873))+MIN(MAX(0,D908-(B873-MIN(MAX(C908,0),B873))),MAX(0,1*B873-(C908-MIN(MAX(C908,0),B873)))))</f>
        <v>0</v>
      </c>
      <c r="C909" s="18">
        <f>IF($A909&gt;30,C908,(C908-B873+B909)*(1+$C$7))</f>
        <v>30189</v>
      </c>
      <c r="D909" s="18">
        <f t="shared" si="96"/>
        <v>893167.00529711624</v>
      </c>
      <c r="E909" s="18">
        <f>IF($A909&gt;30,0,(E873-MIN(MAX(F908,0),E873))+MIN(MAX(0,G908-(E873-MIN(MAX(F908,0),E873))),MAX(0,1*E873-(F908-MIN(MAX(F908,0),E873)))))</f>
        <v>0</v>
      </c>
      <c r="F909" s="18">
        <f>IF($A909&gt;30,F908,(F908-E873+E909)*(1+$C$7))</f>
        <v>0</v>
      </c>
      <c r="G909" s="18">
        <f t="shared" si="97"/>
        <v>-1299915.2344889159</v>
      </c>
      <c r="H909" s="18">
        <f>IF($A909&gt;30,0,(H873-MIN(MAX(I908,0),H873))+MIN(MAX(0,J908-(H873-MIN(MAX(I908,0),H873))),MAX(0,1*H873-(I908-MIN(MAX(I908,0),H873)))))</f>
        <v>0</v>
      </c>
      <c r="I909" s="18">
        <f>IF($A909&gt;30,I908,(I908-H873+H909)*(1+$C$7))</f>
        <v>0</v>
      </c>
      <c r="J909" s="18">
        <f t="shared" si="98"/>
        <v>-12088.373798399136</v>
      </c>
      <c r="K909" s="18">
        <f>IF($A909&gt;30,0,(K873-MIN(MAX(L908,0),K873))+MIN(MAX(0,M908-(K873-MIN(MAX(L908,0),K873))),MAX(0,1*K873-(L908-MIN(MAX(L908,0),K873)))))</f>
        <v>0</v>
      </c>
      <c r="L909" s="18">
        <f>IF($A909&gt;30,L908,(L908-K873+K909)*(1+$C$7))</f>
        <v>1.6519908000542753</v>
      </c>
      <c r="M909" s="18">
        <f t="shared" si="99"/>
        <v>0</v>
      </c>
      <c r="N909" s="18">
        <f>IF($A909&gt;30,0,(N873-MIN(MAX(O908,0),N873))+MIN(MAX(0,P908-(N873-MIN(MAX(O908,0),N873))),MAX(0,1*N873-(O908-MIN(MAX(O908,0),N873)))))</f>
        <v>0</v>
      </c>
      <c r="O909" s="18">
        <f>IF($A909&gt;30,O908,(O908-N873+N909)*(1+$C$7))</f>
        <v>3.8006632925590381E-2</v>
      </c>
      <c r="P909" s="18">
        <f t="shared" si="100"/>
        <v>0</v>
      </c>
      <c r="Q909" s="18">
        <f>IF($A909&gt;30,0,(Q873-MIN(MAX(R908,0),Q873))+MIN(MAX(0,S908-(Q873-MIN(MAX(R908,0),Q873))),MAX(0,1*Q873-(R908-MIN(MAX(R908,0),Q873)))))</f>
        <v>0</v>
      </c>
      <c r="R909" s="18">
        <f>IF($A909&gt;30,R908,(R908-Q873+Q909)*(1+$C$7))</f>
        <v>5.5645650718361134E-10</v>
      </c>
      <c r="S909" s="18">
        <f t="shared" si="101"/>
        <v>0</v>
      </c>
    </row>
    <row r="910" spans="1:19">
      <c r="A910" s="10">
        <f>35</f>
        <v>35</v>
      </c>
      <c r="B910" s="18">
        <f>IF($A910&gt;30,0,(B873-MIN(MAX(C909,0),B873))+MIN(MAX(0,D909-(B873-MIN(MAX(C909,0),B873))),MAX(0,1*B873-(C909-MIN(MAX(C909,0),B873)))))</f>
        <v>0</v>
      </c>
      <c r="C910" s="18">
        <f>IF($A910&gt;30,C909,(C909-B873+B910)*(1+$C$7))</f>
        <v>30189</v>
      </c>
      <c r="D910" s="18">
        <f t="shared" si="96"/>
        <v>893167.00529711624</v>
      </c>
      <c r="E910" s="18">
        <f>IF($A910&gt;30,0,(E873-MIN(MAX(F909,0),E873))+MIN(MAX(0,G909-(E873-MIN(MAX(F909,0),E873))),MAX(0,1*E873-(F909-MIN(MAX(F909,0),E873)))))</f>
        <v>0</v>
      </c>
      <c r="F910" s="18">
        <f>IF($A910&gt;30,F909,(F909-E873+E910)*(1+$C$7))</f>
        <v>0</v>
      </c>
      <c r="G910" s="18">
        <f t="shared" si="97"/>
        <v>-1299915.2344889159</v>
      </c>
      <c r="H910" s="18">
        <f>IF($A910&gt;30,0,(H873-MIN(MAX(I909,0),H873))+MIN(MAX(0,J909-(H873-MIN(MAX(I909,0),H873))),MAX(0,1*H873-(I909-MIN(MAX(I909,0),H873)))))</f>
        <v>0</v>
      </c>
      <c r="I910" s="18">
        <f>IF($A910&gt;30,I909,(I909-H873+H910)*(1+$C$7))</f>
        <v>0</v>
      </c>
      <c r="J910" s="18">
        <f t="shared" si="98"/>
        <v>-12088.373798399136</v>
      </c>
      <c r="K910" s="18">
        <f>IF($A910&gt;30,0,(K873-MIN(MAX(L909,0),K873))+MIN(MAX(0,M909-(K873-MIN(MAX(L909,0),K873))),MAX(0,1*K873-(L909-MIN(MAX(L909,0),K873)))))</f>
        <v>0</v>
      </c>
      <c r="L910" s="18">
        <f>IF($A910&gt;30,L909,(L909-K873+K910)*(1+$C$7))</f>
        <v>1.6519908000542753</v>
      </c>
      <c r="M910" s="18">
        <f t="shared" si="99"/>
        <v>0</v>
      </c>
      <c r="N910" s="18">
        <f>IF($A910&gt;30,0,(N873-MIN(MAX(O909,0),N873))+MIN(MAX(0,P909-(N873-MIN(MAX(O909,0),N873))),MAX(0,1*N873-(O909-MIN(MAX(O909,0),N873)))))</f>
        <v>0</v>
      </c>
      <c r="O910" s="18">
        <f>IF($A910&gt;30,O909,(O909-N873+N910)*(1+$C$7))</f>
        <v>3.8006632925590381E-2</v>
      </c>
      <c r="P910" s="18">
        <f t="shared" si="100"/>
        <v>0</v>
      </c>
      <c r="Q910" s="18">
        <f>IF($A910&gt;30,0,(Q873-MIN(MAX(R909,0),Q873))+MIN(MAX(0,S909-(Q873-MIN(MAX(R909,0),Q873))),MAX(0,1*Q873-(R909-MIN(MAX(R909,0),Q873)))))</f>
        <v>0</v>
      </c>
      <c r="R910" s="18">
        <f>IF($A910&gt;30,R909,(R909-Q873+Q910)*(1+$C$7))</f>
        <v>5.5645650718361134E-10</v>
      </c>
      <c r="S910" s="18">
        <f t="shared" si="101"/>
        <v>0</v>
      </c>
    </row>
    <row r="911" spans="1:19">
      <c r="A911" s="10">
        <f>36</f>
        <v>36</v>
      </c>
      <c r="B911" s="18">
        <f>IF($A911&gt;30,0,(B873-MIN(MAX(C910,0),B873))+MIN(MAX(0,D910-(B873-MIN(MAX(C910,0),B873))),MAX(0,1*B873-(C910-MIN(MAX(C910,0),B873)))))</f>
        <v>0</v>
      </c>
      <c r="C911" s="18">
        <f>IF($A911&gt;30,C910,(C910-B873+B911)*(1+$C$7))</f>
        <v>30189</v>
      </c>
      <c r="D911" s="18">
        <f t="shared" si="96"/>
        <v>893167.00529711624</v>
      </c>
      <c r="E911" s="18">
        <f>IF($A911&gt;30,0,(E873-MIN(MAX(F910,0),E873))+MIN(MAX(0,G910-(E873-MIN(MAX(F910,0),E873))),MAX(0,1*E873-(F910-MIN(MAX(F910,0),E873)))))</f>
        <v>0</v>
      </c>
      <c r="F911" s="18">
        <f>IF($A911&gt;30,F910,(F910-E873+E911)*(1+$C$7))</f>
        <v>0</v>
      </c>
      <c r="G911" s="18">
        <f t="shared" si="97"/>
        <v>-1299915.2344889159</v>
      </c>
      <c r="H911" s="18">
        <f>IF($A911&gt;30,0,(H873-MIN(MAX(I910,0),H873))+MIN(MAX(0,J910-(H873-MIN(MAX(I910,0),H873))),MAX(0,1*H873-(I910-MIN(MAX(I910,0),H873)))))</f>
        <v>0</v>
      </c>
      <c r="I911" s="18">
        <f>IF($A911&gt;30,I910,(I910-H873+H911)*(1+$C$7))</f>
        <v>0</v>
      </c>
      <c r="J911" s="18">
        <f t="shared" si="98"/>
        <v>-12088.373798399136</v>
      </c>
      <c r="K911" s="18">
        <f>IF($A911&gt;30,0,(K873-MIN(MAX(L910,0),K873))+MIN(MAX(0,M910-(K873-MIN(MAX(L910,0),K873))),MAX(0,1*K873-(L910-MIN(MAX(L910,0),K873)))))</f>
        <v>0</v>
      </c>
      <c r="L911" s="18">
        <f>IF($A911&gt;30,L910,(L910-K873+K911)*(1+$C$7))</f>
        <v>1.6519908000542753</v>
      </c>
      <c r="M911" s="18">
        <f t="shared" si="99"/>
        <v>0</v>
      </c>
      <c r="N911" s="18">
        <f>IF($A911&gt;30,0,(N873-MIN(MAX(O910,0),N873))+MIN(MAX(0,P910-(N873-MIN(MAX(O910,0),N873))),MAX(0,1*N873-(O910-MIN(MAX(O910,0),N873)))))</f>
        <v>0</v>
      </c>
      <c r="O911" s="18">
        <f>IF($A911&gt;30,O910,(O910-N873+N911)*(1+$C$7))</f>
        <v>3.8006632925590381E-2</v>
      </c>
      <c r="P911" s="18">
        <f t="shared" si="100"/>
        <v>0</v>
      </c>
      <c r="Q911" s="18">
        <f>IF($A911&gt;30,0,(Q873-MIN(MAX(R910,0),Q873))+MIN(MAX(0,S910-(Q873-MIN(MAX(R910,0),Q873))),MAX(0,1*Q873-(R910-MIN(MAX(R910,0),Q873)))))</f>
        <v>0</v>
      </c>
      <c r="R911" s="18">
        <f>IF($A911&gt;30,R910,(R910-Q873+Q911)*(1+$C$7))</f>
        <v>5.5645650718361134E-10</v>
      </c>
      <c r="S911" s="18">
        <f t="shared" si="101"/>
        <v>0</v>
      </c>
    </row>
    <row r="912" spans="1:19">
      <c r="A912" s="10">
        <f>37</f>
        <v>37</v>
      </c>
      <c r="B912" s="18">
        <f>IF($A912&gt;30,0,(B873-MIN(MAX(C911,0),B873))+MIN(MAX(0,D911-(B873-MIN(MAX(C911,0),B873))),MAX(0,1*B873-(C911-MIN(MAX(C911,0),B873)))))</f>
        <v>0</v>
      </c>
      <c r="C912" s="18">
        <f>IF($A912&gt;30,C911,(C911-B873+B912)*(1+$C$7))</f>
        <v>30189</v>
      </c>
      <c r="D912" s="18">
        <f t="shared" si="96"/>
        <v>893167.00529711624</v>
      </c>
      <c r="E912" s="18">
        <f>IF($A912&gt;30,0,(E873-MIN(MAX(F911,0),E873))+MIN(MAX(0,G911-(E873-MIN(MAX(F911,0),E873))),MAX(0,1*E873-(F911-MIN(MAX(F911,0),E873)))))</f>
        <v>0</v>
      </c>
      <c r="F912" s="18">
        <f>IF($A912&gt;30,F911,(F911-E873+E912)*(1+$C$7))</f>
        <v>0</v>
      </c>
      <c r="G912" s="18">
        <f t="shared" si="97"/>
        <v>-1299915.2344889159</v>
      </c>
      <c r="H912" s="18">
        <f>IF($A912&gt;30,0,(H873-MIN(MAX(I911,0),H873))+MIN(MAX(0,J911-(H873-MIN(MAX(I911,0),H873))),MAX(0,1*H873-(I911-MIN(MAX(I911,0),H873)))))</f>
        <v>0</v>
      </c>
      <c r="I912" s="18">
        <f>IF($A912&gt;30,I911,(I911-H873+H912)*(1+$C$7))</f>
        <v>0</v>
      </c>
      <c r="J912" s="18">
        <f t="shared" si="98"/>
        <v>-12088.373798399136</v>
      </c>
      <c r="K912" s="18">
        <f>IF($A912&gt;30,0,(K873-MIN(MAX(L911,0),K873))+MIN(MAX(0,M911-(K873-MIN(MAX(L911,0),K873))),MAX(0,1*K873-(L911-MIN(MAX(L911,0),K873)))))</f>
        <v>0</v>
      </c>
      <c r="L912" s="18">
        <f>IF($A912&gt;30,L911,(L911-K873+K912)*(1+$C$7))</f>
        <v>1.6519908000542753</v>
      </c>
      <c r="M912" s="18">
        <f t="shared" si="99"/>
        <v>0</v>
      </c>
      <c r="N912" s="18">
        <f>IF($A912&gt;30,0,(N873-MIN(MAX(O911,0),N873))+MIN(MAX(0,P911-(N873-MIN(MAX(O911,0),N873))),MAX(0,1*N873-(O911-MIN(MAX(O911,0),N873)))))</f>
        <v>0</v>
      </c>
      <c r="O912" s="18">
        <f>IF($A912&gt;30,O911,(O911-N873+N912)*(1+$C$7))</f>
        <v>3.8006632925590381E-2</v>
      </c>
      <c r="P912" s="18">
        <f t="shared" si="100"/>
        <v>0</v>
      </c>
      <c r="Q912" s="18">
        <f>IF($A912&gt;30,0,(Q873-MIN(MAX(R911,0),Q873))+MIN(MAX(0,S911-(Q873-MIN(MAX(R911,0),Q873))),MAX(0,1*Q873-(R911-MIN(MAX(R911,0),Q873)))))</f>
        <v>0</v>
      </c>
      <c r="R912" s="18">
        <f>IF($A912&gt;30,R911,(R911-Q873+Q912)*(1+$C$7))</f>
        <v>5.5645650718361134E-10</v>
      </c>
      <c r="S912" s="18">
        <f t="shared" si="101"/>
        <v>0</v>
      </c>
    </row>
    <row r="913" spans="1:19">
      <c r="A913" s="10">
        <f>38</f>
        <v>38</v>
      </c>
      <c r="B913" s="18">
        <f>IF($A913&gt;30,0,(B873-MIN(MAX(C912,0),B873))+MIN(MAX(0,D912-(B873-MIN(MAX(C912,0),B873))),MAX(0,1*B873-(C912-MIN(MAX(C912,0),B873)))))</f>
        <v>0</v>
      </c>
      <c r="C913" s="18">
        <f>IF($A913&gt;30,C912,(C912-B873+B913)*(1+$C$7))</f>
        <v>30189</v>
      </c>
      <c r="D913" s="18">
        <f t="shared" si="96"/>
        <v>893167.00529711624</v>
      </c>
      <c r="E913" s="18">
        <f>IF($A913&gt;30,0,(E873-MIN(MAX(F912,0),E873))+MIN(MAX(0,G912-(E873-MIN(MAX(F912,0),E873))),MAX(0,1*E873-(F912-MIN(MAX(F912,0),E873)))))</f>
        <v>0</v>
      </c>
      <c r="F913" s="18">
        <f>IF($A913&gt;30,F912,(F912-E873+E913)*(1+$C$7))</f>
        <v>0</v>
      </c>
      <c r="G913" s="18">
        <f t="shared" si="97"/>
        <v>-1299915.2344889159</v>
      </c>
      <c r="H913" s="18">
        <f>IF($A913&gt;30,0,(H873-MIN(MAX(I912,0),H873))+MIN(MAX(0,J912-(H873-MIN(MAX(I912,0),H873))),MAX(0,1*H873-(I912-MIN(MAX(I912,0),H873)))))</f>
        <v>0</v>
      </c>
      <c r="I913" s="18">
        <f>IF($A913&gt;30,I912,(I912-H873+H913)*(1+$C$7))</f>
        <v>0</v>
      </c>
      <c r="J913" s="18">
        <f t="shared" si="98"/>
        <v>-12088.373798399136</v>
      </c>
      <c r="K913" s="18">
        <f>IF($A913&gt;30,0,(K873-MIN(MAX(L912,0),K873))+MIN(MAX(0,M912-(K873-MIN(MAX(L912,0),K873))),MAX(0,1*K873-(L912-MIN(MAX(L912,0),K873)))))</f>
        <v>0</v>
      </c>
      <c r="L913" s="18">
        <f>IF($A913&gt;30,L912,(L912-K873+K913)*(1+$C$7))</f>
        <v>1.6519908000542753</v>
      </c>
      <c r="M913" s="18">
        <f t="shared" si="99"/>
        <v>0</v>
      </c>
      <c r="N913" s="18">
        <f>IF($A913&gt;30,0,(N873-MIN(MAX(O912,0),N873))+MIN(MAX(0,P912-(N873-MIN(MAX(O912,0),N873))),MAX(0,1*N873-(O912-MIN(MAX(O912,0),N873)))))</f>
        <v>0</v>
      </c>
      <c r="O913" s="18">
        <f>IF($A913&gt;30,O912,(O912-N873+N913)*(1+$C$7))</f>
        <v>3.8006632925590381E-2</v>
      </c>
      <c r="P913" s="18">
        <f t="shared" si="100"/>
        <v>0</v>
      </c>
      <c r="Q913" s="18">
        <f>IF($A913&gt;30,0,(Q873-MIN(MAX(R912,0),Q873))+MIN(MAX(0,S912-(Q873-MIN(MAX(R912,0),Q873))),MAX(0,1*Q873-(R912-MIN(MAX(R912,0),Q873)))))</f>
        <v>0</v>
      </c>
      <c r="R913" s="18">
        <f>IF($A913&gt;30,R912,(R912-Q873+Q913)*(1+$C$7))</f>
        <v>5.5645650718361134E-10</v>
      </c>
      <c r="S913" s="18">
        <f t="shared" si="101"/>
        <v>0</v>
      </c>
    </row>
    <row r="914" spans="1:19">
      <c r="A914" s="10">
        <f>39</f>
        <v>39</v>
      </c>
      <c r="B914" s="18">
        <f>IF($A914&gt;30,0,(B873-MIN(MAX(C913,0),B873))+MIN(MAX(0,D913-(B873-MIN(MAX(C913,0),B873))),MAX(0,1*B873-(C913-MIN(MAX(C913,0),B873)))))</f>
        <v>0</v>
      </c>
      <c r="C914" s="18">
        <f>IF($A914&gt;30,C913,(C913-B873+B914)*(1+$C$7))</f>
        <v>30189</v>
      </c>
      <c r="D914" s="18">
        <f t="shared" si="96"/>
        <v>893167.00529711624</v>
      </c>
      <c r="E914" s="18">
        <f>IF($A914&gt;30,0,(E873-MIN(MAX(F913,0),E873))+MIN(MAX(0,G913-(E873-MIN(MAX(F913,0),E873))),MAX(0,1*E873-(F913-MIN(MAX(F913,0),E873)))))</f>
        <v>0</v>
      </c>
      <c r="F914" s="18">
        <f>IF($A914&gt;30,F913,(F913-E873+E914)*(1+$C$7))</f>
        <v>0</v>
      </c>
      <c r="G914" s="18">
        <f t="shared" si="97"/>
        <v>-1299915.2344889159</v>
      </c>
      <c r="H914" s="18">
        <f>IF($A914&gt;30,0,(H873-MIN(MAX(I913,0),H873))+MIN(MAX(0,J913-(H873-MIN(MAX(I913,0),H873))),MAX(0,1*H873-(I913-MIN(MAX(I913,0),H873)))))</f>
        <v>0</v>
      </c>
      <c r="I914" s="18">
        <f>IF($A914&gt;30,I913,(I913-H873+H914)*(1+$C$7))</f>
        <v>0</v>
      </c>
      <c r="J914" s="18">
        <f t="shared" si="98"/>
        <v>-12088.373798399136</v>
      </c>
      <c r="K914" s="18">
        <f>IF($A914&gt;30,0,(K873-MIN(MAX(L913,0),K873))+MIN(MAX(0,M913-(K873-MIN(MAX(L913,0),K873))),MAX(0,1*K873-(L913-MIN(MAX(L913,0),K873)))))</f>
        <v>0</v>
      </c>
      <c r="L914" s="18">
        <f>IF($A914&gt;30,L913,(L913-K873+K914)*(1+$C$7))</f>
        <v>1.6519908000542753</v>
      </c>
      <c r="M914" s="18">
        <f t="shared" si="99"/>
        <v>0</v>
      </c>
      <c r="N914" s="18">
        <f>IF($A914&gt;30,0,(N873-MIN(MAX(O913,0),N873))+MIN(MAX(0,P913-(N873-MIN(MAX(O913,0),N873))),MAX(0,1*N873-(O913-MIN(MAX(O913,0),N873)))))</f>
        <v>0</v>
      </c>
      <c r="O914" s="18">
        <f>IF($A914&gt;30,O913,(O913-N873+N914)*(1+$C$7))</f>
        <v>3.8006632925590381E-2</v>
      </c>
      <c r="P914" s="18">
        <f t="shared" si="100"/>
        <v>0</v>
      </c>
      <c r="Q914" s="18">
        <f>IF($A914&gt;30,0,(Q873-MIN(MAX(R913,0),Q873))+MIN(MAX(0,S913-(Q873-MIN(MAX(R913,0),Q873))),MAX(0,1*Q873-(R913-MIN(MAX(R913,0),Q873)))))</f>
        <v>0</v>
      </c>
      <c r="R914" s="18">
        <f>IF($A914&gt;30,R913,(R913-Q873+Q914)*(1+$C$7))</f>
        <v>5.5645650718361134E-10</v>
      </c>
      <c r="S914" s="18">
        <f t="shared" si="101"/>
        <v>0</v>
      </c>
    </row>
    <row r="915" spans="1:19">
      <c r="A915" s="10">
        <f>40</f>
        <v>40</v>
      </c>
      <c r="B915" s="18">
        <f>IF($A915&gt;30,0,(B873-MIN(MAX(C914,0),B873))+MIN(MAX(0,D914-(B873-MIN(MAX(C914,0),B873))),MAX(0,1*B873-(C914-MIN(MAX(C914,0),B873)))))</f>
        <v>0</v>
      </c>
      <c r="C915" s="18">
        <f>IF($A915&gt;30,C914,(C914-B873+B915)*(1+$C$7))</f>
        <v>30189</v>
      </c>
      <c r="D915" s="18">
        <f t="shared" si="96"/>
        <v>893167.00529711624</v>
      </c>
      <c r="E915" s="18">
        <f>IF($A915&gt;30,0,(E873-MIN(MAX(F914,0),E873))+MIN(MAX(0,G914-(E873-MIN(MAX(F914,0),E873))),MAX(0,1*E873-(F914-MIN(MAX(F914,0),E873)))))</f>
        <v>0</v>
      </c>
      <c r="F915" s="18">
        <f>IF($A915&gt;30,F914,(F914-E873+E915)*(1+$C$7))</f>
        <v>0</v>
      </c>
      <c r="G915" s="18">
        <f t="shared" si="97"/>
        <v>-1299915.2344889159</v>
      </c>
      <c r="H915" s="18">
        <f>IF($A915&gt;30,0,(H873-MIN(MAX(I914,0),H873))+MIN(MAX(0,J914-(H873-MIN(MAX(I914,0),H873))),MAX(0,1*H873-(I914-MIN(MAX(I914,0),H873)))))</f>
        <v>0</v>
      </c>
      <c r="I915" s="18">
        <f>IF($A915&gt;30,I914,(I914-H873+H915)*(1+$C$7))</f>
        <v>0</v>
      </c>
      <c r="J915" s="18">
        <f t="shared" si="98"/>
        <v>-12088.373798399136</v>
      </c>
      <c r="K915" s="18">
        <f>IF($A915&gt;30,0,(K873-MIN(MAX(L914,0),K873))+MIN(MAX(0,M914-(K873-MIN(MAX(L914,0),K873))),MAX(0,1*K873-(L914-MIN(MAX(L914,0),K873)))))</f>
        <v>0</v>
      </c>
      <c r="L915" s="18">
        <f>IF($A915&gt;30,L914,(L914-K873+K915)*(1+$C$7))</f>
        <v>1.6519908000542753</v>
      </c>
      <c r="M915" s="18">
        <f t="shared" si="99"/>
        <v>0</v>
      </c>
      <c r="N915" s="18">
        <f>IF($A915&gt;30,0,(N873-MIN(MAX(O914,0),N873))+MIN(MAX(0,P914-(N873-MIN(MAX(O914,0),N873))),MAX(0,1*N873-(O914-MIN(MAX(O914,0),N873)))))</f>
        <v>0</v>
      </c>
      <c r="O915" s="18">
        <f>IF($A915&gt;30,O914,(O914-N873+N915)*(1+$C$7))</f>
        <v>3.8006632925590381E-2</v>
      </c>
      <c r="P915" s="18">
        <f t="shared" si="100"/>
        <v>0</v>
      </c>
      <c r="Q915" s="18">
        <f>IF($A915&gt;30,0,(Q873-MIN(MAX(R914,0),Q873))+MIN(MAX(0,S914-(Q873-MIN(MAX(R914,0),Q873))),MAX(0,1*Q873-(R914-MIN(MAX(R914,0),Q873)))))</f>
        <v>0</v>
      </c>
      <c r="R915" s="18">
        <f>IF($A915&gt;30,R914,(R914-Q873+Q915)*(1+$C$7))</f>
        <v>5.5645650718361134E-10</v>
      </c>
      <c r="S915" s="18">
        <f t="shared" si="101"/>
        <v>0</v>
      </c>
    </row>
    <row r="916" spans="1:19">
      <c r="B916" s="18">
        <f>C915+D915</f>
        <v>923356.00529711624</v>
      </c>
      <c r="E916" s="18">
        <f>F915+G915</f>
        <v>-1299915.2344889159</v>
      </c>
      <c r="H916" s="18">
        <f>I915+J915</f>
        <v>-12088.373798399136</v>
      </c>
      <c r="K916" s="18">
        <f>L915+M915</f>
        <v>1.6519908000542753</v>
      </c>
      <c r="N916" s="18">
        <f>O915+P915</f>
        <v>3.8006632925590381E-2</v>
      </c>
      <c r="Q916" s="18">
        <f>R915+S915</f>
        <v>5.5645650718361134E-10</v>
      </c>
    </row>
    <row r="917" spans="1:19">
      <c r="A917" s="5" t="s">
        <v>266</v>
      </c>
      <c r="B917" s="18">
        <f>IFERROR(Q873-Q916*(Q873-N873)/(Q916-N916),Q873)</f>
        <v>48442.200555735333</v>
      </c>
    </row>
    <row r="919" spans="1:19">
      <c r="A919" s="2" t="s">
        <v>283</v>
      </c>
    </row>
    <row r="920" spans="1:19">
      <c r="B920" s="9">
        <f>0.03*$B$5</f>
        <v>30000</v>
      </c>
      <c r="E920" s="9">
        <f>0.075*$B$5</f>
        <v>75000</v>
      </c>
      <c r="H920" s="18">
        <f>IFERROR(E920-E963*(E920-B920)/(E963-B963),E920)</f>
        <v>47899.128160652741</v>
      </c>
      <c r="K920" s="18">
        <f>IFERROR(H920-H963*(H920-E920)/(H963-E963),H920)</f>
        <v>47420.854221608563</v>
      </c>
      <c r="N920" s="18">
        <f>IFERROR(K920-K963*(K920-H920)/(K963-H963),K920)</f>
        <v>47421.06374850501</v>
      </c>
      <c r="Q920" s="18">
        <f>IFERROR(N920-N963*(N920-K920)/(N963-K963),N920)</f>
        <v>47421.068680991128</v>
      </c>
    </row>
    <row r="921" spans="1:19">
      <c r="A921" s="25" t="s">
        <v>262</v>
      </c>
      <c r="B921" s="25" t="s">
        <v>263</v>
      </c>
      <c r="C921" s="25" t="s">
        <v>264</v>
      </c>
      <c r="D921" s="25" t="s">
        <v>265</v>
      </c>
      <c r="E921" s="25" t="s">
        <v>263</v>
      </c>
      <c r="F921" s="25" t="s">
        <v>264</v>
      </c>
      <c r="G921" s="25" t="s">
        <v>265</v>
      </c>
      <c r="H921" s="25" t="s">
        <v>263</v>
      </c>
      <c r="I921" s="25" t="s">
        <v>264</v>
      </c>
      <c r="J921" s="25" t="s">
        <v>265</v>
      </c>
      <c r="K921" s="25" t="s">
        <v>263</v>
      </c>
      <c r="L921" s="25" t="s">
        <v>264</v>
      </c>
      <c r="M921" s="25" t="s">
        <v>265</v>
      </c>
      <c r="N921" s="25" t="s">
        <v>263</v>
      </c>
      <c r="O921" s="25" t="s">
        <v>264</v>
      </c>
      <c r="P921" s="25" t="s">
        <v>265</v>
      </c>
      <c r="Q921" s="25" t="s">
        <v>263</v>
      </c>
      <c r="R921" s="25" t="s">
        <v>264</v>
      </c>
      <c r="S921" s="25" t="s">
        <v>265</v>
      </c>
    </row>
    <row r="922" spans="1:19">
      <c r="A922" s="3">
        <v>0</v>
      </c>
      <c r="C922" s="18">
        <f>MIN(2*B920,$B$5)</f>
        <v>60000</v>
      </c>
      <c r="D922" s="18">
        <f>$B$5-C922</f>
        <v>940000</v>
      </c>
      <c r="F922" s="18">
        <f>MIN(2*E920,$B$5)</f>
        <v>150000</v>
      </c>
      <c r="G922" s="18">
        <f>$B$5-F922</f>
        <v>850000</v>
      </c>
      <c r="I922" s="18">
        <f>MIN(2*H920,$B$5)</f>
        <v>95798.256321305482</v>
      </c>
      <c r="J922" s="18">
        <f>$B$5-I922</f>
        <v>904201.74367869447</v>
      </c>
      <c r="L922" s="18">
        <f>MIN(2*K920,$B$5)</f>
        <v>94841.708443217125</v>
      </c>
      <c r="M922" s="18">
        <f>$B$5-L922</f>
        <v>905158.2915567829</v>
      </c>
      <c r="O922" s="18">
        <f>MIN(2*N920,$B$5)</f>
        <v>94842.12749701002</v>
      </c>
      <c r="P922" s="18">
        <f>$B$5-O922</f>
        <v>905157.87250298995</v>
      </c>
      <c r="R922" s="18">
        <f>MIN(2*Q920,$B$5)</f>
        <v>94842.137361982255</v>
      </c>
      <c r="S922" s="18">
        <f>$B$5-R922</f>
        <v>905157.86263801774</v>
      </c>
    </row>
    <row r="923" spans="1:19">
      <c r="A923" s="10">
        <f>1</f>
        <v>1</v>
      </c>
      <c r="B923" s="18">
        <f>IF($A923&gt;30,0,(B920-MIN(MAX(C922,0),B920))+MIN(MAX(0,D922-(B920-MIN(MAX(C922,0),B920))),MAX(0,2*B920-(C922-MIN(MAX(C922,0),B920)))))</f>
        <v>30000</v>
      </c>
      <c r="C923" s="18">
        <f>IF($A923&gt;30,C922,(C922-B920+B923)*(1+$C$7))</f>
        <v>60378</v>
      </c>
      <c r="D923" s="18">
        <f t="shared" ref="D923:D962" si="102">IF($A923&gt;30,D922,(D922-B923)*(1+$B$6))</f>
        <v>937300</v>
      </c>
      <c r="E923" s="18">
        <f>IF($A923&gt;30,0,(E920-MIN(MAX(F922,0),E920))+MIN(MAX(0,G922-(E920-MIN(MAX(F922,0),E920))),MAX(0,2*E920-(F922-MIN(MAX(F922,0),E920)))))</f>
        <v>75000</v>
      </c>
      <c r="F923" s="18">
        <f>IF($A923&gt;30,F922,(F922-E920+E923)*(1+$C$7))</f>
        <v>150945</v>
      </c>
      <c r="G923" s="18">
        <f t="shared" ref="G923:G962" si="103">IF($A923&gt;30,G922,(G922-E923)*(1+$B$6))</f>
        <v>798250</v>
      </c>
      <c r="H923" s="18">
        <f>IF($A923&gt;30,0,(H920-MIN(MAX(I922,0),H920))+MIN(MAX(0,J922-(H920-MIN(MAX(I922,0),H920))),MAX(0,2*H920-(I922-MIN(MAX(I922,0),H920)))))</f>
        <v>47899.128160652741</v>
      </c>
      <c r="I923" s="18">
        <f>IF($A923&gt;30,I922,(I922-H920+H923)*(1+$C$7))</f>
        <v>96401.785336129702</v>
      </c>
      <c r="J923" s="18">
        <f t="shared" ref="J923:J962" si="104">IF($A923&gt;30,J922,(J922-H923)*(1+$B$6))</f>
        <v>881991.69398358301</v>
      </c>
      <c r="K923" s="18">
        <f>IF($A923&gt;30,0,(K920-MIN(MAX(L922,0),K920))+MIN(MAX(0,M922-(K920-MIN(MAX(L922,0),K920))),MAX(0,2*K920-(L922-MIN(MAX(L922,0),K920)))))</f>
        <v>47420.854221608563</v>
      </c>
      <c r="L923" s="18">
        <f>IF($A923&gt;30,L922,(L922-K920+K923)*(1+$C$7))</f>
        <v>95439.211206409396</v>
      </c>
      <c r="M923" s="18">
        <f t="shared" ref="M923:M962" si="105">IF($A923&gt;30,M922,(M922-K923)*(1+$B$6))</f>
        <v>883469.5604552296</v>
      </c>
      <c r="N923" s="18">
        <f>IF($A923&gt;30,0,(N920-MIN(MAX(O922,0),N920))+MIN(MAX(0,P922-(N920-MIN(MAX(O922,0),N920))),MAX(0,2*N920-(O922-MIN(MAX(O922,0),N920)))))</f>
        <v>47421.06374850501</v>
      </c>
      <c r="O923" s="18">
        <f>IF($A923&gt;30,O922,(O922-N920+N923)*(1+$C$7))</f>
        <v>95439.63290024118</v>
      </c>
      <c r="P923" s="18">
        <f t="shared" ref="P923:P962" si="106">IF($A923&gt;30,P922,(P922-N923)*(1+$B$6))</f>
        <v>883468.91301711951</v>
      </c>
      <c r="Q923" s="18">
        <f>IF($A923&gt;30,0,(Q920-MIN(MAX(R922,0),Q920))+MIN(MAX(0,S922-(Q920-MIN(MAX(R922,0),Q920))),MAX(0,2*Q920-(R922-MIN(MAX(R922,0),Q920)))))</f>
        <v>47421.068680991128</v>
      </c>
      <c r="R923" s="18">
        <f>IF($A923&gt;30,R922,(R922-Q920+Q923)*(1+$C$7))</f>
        <v>95439.642827362739</v>
      </c>
      <c r="S923" s="18">
        <f t="shared" ref="S923:S962" si="107">IF($A923&gt;30,S922,(S922-Q923)*(1+$B$6))</f>
        <v>883468.89777573745</v>
      </c>
    </row>
    <row r="924" spans="1:19">
      <c r="A924" s="10">
        <f>2</f>
        <v>2</v>
      </c>
      <c r="B924" s="18">
        <f>IF($A924&gt;30,0,(B920-MIN(MAX(C923,0),B920))+MIN(MAX(0,D923-(B920-MIN(MAX(C923,0),B920))),MAX(0,2*B920-(C923-MIN(MAX(C923,0),B920)))))</f>
        <v>29622</v>
      </c>
      <c r="C924" s="18">
        <f>IF($A924&gt;30,C923,(C923-B920+B924)*(1+$C$7))</f>
        <v>60378</v>
      </c>
      <c r="D924" s="18">
        <f t="shared" si="102"/>
        <v>934908.34</v>
      </c>
      <c r="E924" s="18">
        <f>IF($A924&gt;30,0,(E920-MIN(MAX(F923,0),E920))+MIN(MAX(0,G923-(E920-MIN(MAX(F923,0),E920))),MAX(0,2*E920-(F923-MIN(MAX(F923,0),E920)))))</f>
        <v>74055</v>
      </c>
      <c r="F924" s="18">
        <f>IF($A924&gt;30,F923,(F923-E920+E924)*(1+$C$7))</f>
        <v>150945</v>
      </c>
      <c r="G924" s="18">
        <f t="shared" si="103"/>
        <v>745920.85</v>
      </c>
      <c r="H924" s="18">
        <f>IF($A924&gt;30,0,(H920-MIN(MAX(I923,0),H920))+MIN(MAX(0,J923-(H920-MIN(MAX(I923,0),H920))),MAX(0,2*H920-(I923-MIN(MAX(I923,0),H920)))))</f>
        <v>47295.599145828521</v>
      </c>
      <c r="I924" s="18">
        <f>IF($A924&gt;30,I923,(I923-H920+H924)*(1+$C$7))</f>
        <v>96401.785336129702</v>
      </c>
      <c r="J924" s="18">
        <f t="shared" si="104"/>
        <v>859736.97768288711</v>
      </c>
      <c r="K924" s="18">
        <f>IF($A924&gt;30,0,(K920-MIN(MAX(L923,0),K920))+MIN(MAX(0,M923-(K920-MIN(MAX(L923,0),K920))),MAX(0,2*K920-(L923-MIN(MAX(L923,0),K920)))))</f>
        <v>46823.351458416291</v>
      </c>
      <c r="L924" s="18">
        <f>IF($A924&gt;30,L923,(L923-K920+K924)*(1+$C$7))</f>
        <v>95439.211206409396</v>
      </c>
      <c r="M924" s="18">
        <f t="shared" si="105"/>
        <v>861745.59526671772</v>
      </c>
      <c r="N924" s="18">
        <f>IF($A924&gt;30,0,(N920-MIN(MAX(O923,0),N920))+MIN(MAX(0,P923-(N920-MIN(MAX(O923,0),N920))),MAX(0,2*N920-(O923-MIN(MAX(O923,0),N920)))))</f>
        <v>46823.55834527385</v>
      </c>
      <c r="O924" s="18">
        <f>IF($A924&gt;30,O923,(O923-N920+N924)*(1+$C$7))</f>
        <v>95439.63290024118</v>
      </c>
      <c r="P924" s="18">
        <f t="shared" si="106"/>
        <v>861744.71531200106</v>
      </c>
      <c r="Q924" s="18">
        <f>IF($A924&gt;30,0,(Q920-MIN(MAX(R923,0),Q920))+MIN(MAX(0,S923-(Q920-MIN(MAX(R923,0),Q920))),MAX(0,2*Q920-(R923-MIN(MAX(R923,0),Q920)))))</f>
        <v>46823.563215610644</v>
      </c>
      <c r="R924" s="18">
        <f>IF($A924&gt;30,R923,(R923-Q920+Q924)*(1+$C$7))</f>
        <v>95439.642827362739</v>
      </c>
      <c r="S924" s="18">
        <f t="shared" si="107"/>
        <v>861744.69459693064</v>
      </c>
    </row>
    <row r="925" spans="1:19">
      <c r="A925" s="10">
        <f>3</f>
        <v>3</v>
      </c>
      <c r="B925" s="18">
        <f>IF($A925&gt;30,0,(B920-MIN(MAX(C924,0),B920))+MIN(MAX(0,D924-(B920-MIN(MAX(C924,0),B920))),MAX(0,2*B920-(C924-MIN(MAX(C924,0),B920)))))</f>
        <v>29622</v>
      </c>
      <c r="C925" s="18">
        <f>IF($A925&gt;30,C924,(C924-B920+B925)*(1+$C$7))</f>
        <v>60378</v>
      </c>
      <c r="D925" s="18">
        <f t="shared" si="102"/>
        <v>932444.93019999994</v>
      </c>
      <c r="E925" s="18">
        <f>IF($A925&gt;30,0,(E920-MIN(MAX(F924,0),E920))+MIN(MAX(0,G924-(E920-MIN(MAX(F924,0),E920))),MAX(0,2*E920-(F924-MIN(MAX(F924,0),E920)))))</f>
        <v>74055</v>
      </c>
      <c r="F925" s="18">
        <f>IF($A925&gt;30,F924,(F924-E920+E925)*(1+$C$7))</f>
        <v>150945</v>
      </c>
      <c r="G925" s="18">
        <f t="shared" si="103"/>
        <v>692021.82550000004</v>
      </c>
      <c r="H925" s="18">
        <f>IF($A925&gt;30,0,(H920-MIN(MAX(I924,0),H920))+MIN(MAX(0,J924-(H920-MIN(MAX(I924,0),H920))),MAX(0,2*H920-(I924-MIN(MAX(I924,0),H920)))))</f>
        <v>47295.599145828521</v>
      </c>
      <c r="I925" s="18">
        <f>IF($A925&gt;30,I924,(I924-H920+H925)*(1+$C$7))</f>
        <v>96401.785336129702</v>
      </c>
      <c r="J925" s="18">
        <f t="shared" si="104"/>
        <v>836814.61989317043</v>
      </c>
      <c r="K925" s="18">
        <f>IF($A925&gt;30,0,(K920-MIN(MAX(L924,0),K920))+MIN(MAX(0,M924-(K920-MIN(MAX(L924,0),K920))),MAX(0,2*K920-(L924-MIN(MAX(L924,0),K920)))))</f>
        <v>46823.351458416291</v>
      </c>
      <c r="L925" s="18">
        <f>IF($A925&gt;30,L924,(L924-K920+K925)*(1+$C$7))</f>
        <v>95439.211206409396</v>
      </c>
      <c r="M925" s="18">
        <f t="shared" si="105"/>
        <v>839369.91112255049</v>
      </c>
      <c r="N925" s="18">
        <f>IF($A925&gt;30,0,(N920-MIN(MAX(O924,0),N920))+MIN(MAX(0,P924-(N920-MIN(MAX(O924,0),N920))),MAX(0,2*N920-(O924-MIN(MAX(O924,0),N920)))))</f>
        <v>46823.55834527385</v>
      </c>
      <c r="O925" s="18">
        <f>IF($A925&gt;30,O924,(O924-N920+N925)*(1+$C$7))</f>
        <v>95439.63290024118</v>
      </c>
      <c r="P925" s="18">
        <f t="shared" si="106"/>
        <v>839368.7916757291</v>
      </c>
      <c r="Q925" s="18">
        <f>IF($A925&gt;30,0,(Q920-MIN(MAX(R924,0),Q920))+MIN(MAX(0,S924-(Q920-MIN(MAX(R924,0),Q920))),MAX(0,2*Q920-(R924-MIN(MAX(R924,0),Q920)))))</f>
        <v>46823.563215610644</v>
      </c>
      <c r="R925" s="18">
        <f>IF($A925&gt;30,R924,(R924-Q920+Q925)*(1+$C$7))</f>
        <v>95439.642827362739</v>
      </c>
      <c r="S925" s="18">
        <f t="shared" si="107"/>
        <v>839368.76532275951</v>
      </c>
    </row>
    <row r="926" spans="1:19">
      <c r="A926" s="10">
        <f>4</f>
        <v>4</v>
      </c>
      <c r="B926" s="18">
        <f>IF($A926&gt;30,0,(B920-MIN(MAX(C925,0),B920))+MIN(MAX(0,D925-(B920-MIN(MAX(C925,0),B920))),MAX(0,2*B920-(C925-MIN(MAX(C925,0),B920)))))</f>
        <v>29622</v>
      </c>
      <c r="C926" s="18">
        <f>IF($A926&gt;30,C925,(C925-B920+B926)*(1+$C$7))</f>
        <v>60378</v>
      </c>
      <c r="D926" s="18">
        <f t="shared" si="102"/>
        <v>929907.61810600001</v>
      </c>
      <c r="E926" s="18">
        <f>IF($A926&gt;30,0,(E920-MIN(MAX(F925,0),E920))+MIN(MAX(0,G925-(E920-MIN(MAX(F925,0),E920))),MAX(0,2*E920-(F925-MIN(MAX(F925,0),E920)))))</f>
        <v>74055</v>
      </c>
      <c r="F926" s="18">
        <f>IF($A926&gt;30,F925,(F925-E920+E926)*(1+$C$7))</f>
        <v>150945</v>
      </c>
      <c r="G926" s="18">
        <f t="shared" si="103"/>
        <v>636505.830265</v>
      </c>
      <c r="H926" s="18">
        <f>IF($A926&gt;30,0,(H920-MIN(MAX(I925,0),H920))+MIN(MAX(0,J925-(H920-MIN(MAX(I925,0),H920))),MAX(0,2*H920-(I925-MIN(MAX(I925,0),H920)))))</f>
        <v>47295.599145828521</v>
      </c>
      <c r="I926" s="18">
        <f>IF($A926&gt;30,I925,(I925-H920+H926)*(1+$C$7))</f>
        <v>96401.785336129702</v>
      </c>
      <c r="J926" s="18">
        <f t="shared" si="104"/>
        <v>813204.5913697622</v>
      </c>
      <c r="K926" s="18">
        <f>IF($A926&gt;30,0,(K920-MIN(MAX(L925,0),K920))+MIN(MAX(0,M925-(K920-MIN(MAX(L925,0),K920))),MAX(0,2*K920-(L925-MIN(MAX(L925,0),K920)))))</f>
        <v>46823.351458416291</v>
      </c>
      <c r="L926" s="18">
        <f>IF($A926&gt;30,L925,(L925-K920+K926)*(1+$C$7))</f>
        <v>95439.211206409396</v>
      </c>
      <c r="M926" s="18">
        <f t="shared" si="105"/>
        <v>816322.95645405818</v>
      </c>
      <c r="N926" s="18">
        <f>IF($A926&gt;30,0,(N920-MIN(MAX(O925,0),N920))+MIN(MAX(0,P925-(N920-MIN(MAX(O925,0),N920))),MAX(0,2*N920-(O925-MIN(MAX(O925,0),N920)))))</f>
        <v>46823.55834527385</v>
      </c>
      <c r="O926" s="18">
        <f>IF($A926&gt;30,O925,(O925-N920+N926)*(1+$C$7))</f>
        <v>95439.63290024118</v>
      </c>
      <c r="P926" s="18">
        <f t="shared" si="106"/>
        <v>816321.59033036896</v>
      </c>
      <c r="Q926" s="18">
        <f>IF($A926&gt;30,0,(Q920-MIN(MAX(R925,0),Q920))+MIN(MAX(0,S925-(Q920-MIN(MAX(R925,0),Q920))),MAX(0,2*Q920-(R925-MIN(MAX(R925,0),Q920)))))</f>
        <v>46823.563215610644</v>
      </c>
      <c r="R926" s="18">
        <f>IF($A926&gt;30,R925,(R925-Q920+Q926)*(1+$C$7))</f>
        <v>95439.642827362739</v>
      </c>
      <c r="S926" s="18">
        <f t="shared" si="107"/>
        <v>816321.55817036331</v>
      </c>
    </row>
    <row r="927" spans="1:19">
      <c r="A927" s="10">
        <f>5</f>
        <v>5</v>
      </c>
      <c r="B927" s="18">
        <f>IF($A927&gt;30,0,(B920-MIN(MAX(C926,0),B920))+MIN(MAX(0,D926-(B920-MIN(MAX(C926,0),B920))),MAX(0,2*B920-(C926-MIN(MAX(C926,0),B920)))))</f>
        <v>29622</v>
      </c>
      <c r="C927" s="18">
        <f>IF($A927&gt;30,C926,(C926-B920+B927)*(1+$C$7))</f>
        <v>60378</v>
      </c>
      <c r="D927" s="18">
        <f t="shared" si="102"/>
        <v>927294.18664918002</v>
      </c>
      <c r="E927" s="18">
        <f>IF($A927&gt;30,0,(E920-MIN(MAX(F926,0),E920))+MIN(MAX(0,G926-(E920-MIN(MAX(F926,0),E920))),MAX(0,2*E920-(F926-MIN(MAX(F926,0),E920)))))</f>
        <v>74055</v>
      </c>
      <c r="F927" s="18">
        <f>IF($A927&gt;30,F926,(F926-E920+E927)*(1+$C$7))</f>
        <v>150945</v>
      </c>
      <c r="G927" s="18">
        <f t="shared" si="103"/>
        <v>579324.35517294996</v>
      </c>
      <c r="H927" s="18">
        <f>IF($A927&gt;30,0,(H920-MIN(MAX(I926,0),H920))+MIN(MAX(0,J926-(H920-MIN(MAX(I926,0),H920))),MAX(0,2*H920-(I926-MIN(MAX(I926,0),H920)))))</f>
        <v>47295.599145828521</v>
      </c>
      <c r="I927" s="18">
        <f>IF($A927&gt;30,I926,(I926-H920+H927)*(1+$C$7))</f>
        <v>96401.785336129702</v>
      </c>
      <c r="J927" s="18">
        <f t="shared" si="104"/>
        <v>788886.26199065172</v>
      </c>
      <c r="K927" s="18">
        <f>IF($A927&gt;30,0,(K920-MIN(MAX(L926,0),K920))+MIN(MAX(0,M926-(K920-MIN(MAX(L926,0),K920))),MAX(0,2*K920-(L926-MIN(MAX(L926,0),K920)))))</f>
        <v>46823.351458416291</v>
      </c>
      <c r="L927" s="18">
        <f>IF($A927&gt;30,L926,(L926-K920+K927)*(1+$C$7))</f>
        <v>95439.211206409396</v>
      </c>
      <c r="M927" s="18">
        <f t="shared" si="105"/>
        <v>792584.59314551111</v>
      </c>
      <c r="N927" s="18">
        <f>IF($A927&gt;30,0,(N920-MIN(MAX(O926,0),N920))+MIN(MAX(0,P926-(N920-MIN(MAX(O926,0),N920))),MAX(0,2*N920-(O926-MIN(MAX(O926,0),N920)))))</f>
        <v>46823.55834527385</v>
      </c>
      <c r="O927" s="18">
        <f>IF($A927&gt;30,O926,(O926-N920+N927)*(1+$C$7))</f>
        <v>95439.63290024118</v>
      </c>
      <c r="P927" s="18">
        <f t="shared" si="106"/>
        <v>792582.97294464801</v>
      </c>
      <c r="Q927" s="18">
        <f>IF($A927&gt;30,0,(Q920-MIN(MAX(R926,0),Q920))+MIN(MAX(0,S926-(Q920-MIN(MAX(R926,0),Q920))),MAX(0,2*Q920-(R926-MIN(MAX(R926,0),Q920)))))</f>
        <v>46823.563215610644</v>
      </c>
      <c r="R927" s="18">
        <f>IF($A927&gt;30,R926,(R926-Q920+Q927)*(1+$C$7))</f>
        <v>95439.642827362739</v>
      </c>
      <c r="S927" s="18">
        <f t="shared" si="107"/>
        <v>792582.93480339518</v>
      </c>
    </row>
    <row r="928" spans="1:19">
      <c r="A928" s="10">
        <f>6</f>
        <v>6</v>
      </c>
      <c r="B928" s="18">
        <f>IF($A928&gt;30,0,(B920-MIN(MAX(C927,0),B920))+MIN(MAX(0,D927-(B920-MIN(MAX(C927,0),B920))),MAX(0,2*B920-(C927-MIN(MAX(C927,0),B920)))))</f>
        <v>29622</v>
      </c>
      <c r="C928" s="18">
        <f>IF($A928&gt;30,C927,(C927-B920+B928)*(1+$C$7))</f>
        <v>60378</v>
      </c>
      <c r="D928" s="18">
        <f t="shared" si="102"/>
        <v>924602.3522486554</v>
      </c>
      <c r="E928" s="18">
        <f>IF($A928&gt;30,0,(E920-MIN(MAX(F927,0),E920))+MIN(MAX(0,G927-(E920-MIN(MAX(F927,0),E920))),MAX(0,2*E920-(F927-MIN(MAX(F927,0),E920)))))</f>
        <v>74055</v>
      </c>
      <c r="F928" s="18">
        <f>IF($A928&gt;30,F927,(F927-E920+E928)*(1+$C$7))</f>
        <v>150945</v>
      </c>
      <c r="G928" s="18">
        <f t="shared" si="103"/>
        <v>520427.43582813849</v>
      </c>
      <c r="H928" s="18">
        <f>IF($A928&gt;30,0,(H920-MIN(MAX(I927,0),H920))+MIN(MAX(0,J927-(H920-MIN(MAX(I927,0),H920))),MAX(0,2*H920-(I927-MIN(MAX(I927,0),H920)))))</f>
        <v>47295.599145828521</v>
      </c>
      <c r="I928" s="18">
        <f>IF($A928&gt;30,I927,(I927-H920+H928)*(1+$C$7))</f>
        <v>96401.785336129702</v>
      </c>
      <c r="J928" s="18">
        <f t="shared" si="104"/>
        <v>763838.38273016794</v>
      </c>
      <c r="K928" s="18">
        <f>IF($A928&gt;30,0,(K920-MIN(MAX(L927,0),K920))+MIN(MAX(0,M927-(K920-MIN(MAX(L927,0),K920))),MAX(0,2*K920-(L927-MIN(MAX(L927,0),K920)))))</f>
        <v>46823.351458416291</v>
      </c>
      <c r="L928" s="18">
        <f>IF($A928&gt;30,L927,(L927-K920+K928)*(1+$C$7))</f>
        <v>95439.211206409396</v>
      </c>
      <c r="M928" s="18">
        <f t="shared" si="105"/>
        <v>768134.0789377077</v>
      </c>
      <c r="N928" s="18">
        <f>IF($A928&gt;30,0,(N920-MIN(MAX(O927,0),N920))+MIN(MAX(0,P927-(N920-MIN(MAX(O927,0),N920))),MAX(0,2*N920-(O927-MIN(MAX(O927,0),N920)))))</f>
        <v>46823.55834527385</v>
      </c>
      <c r="O928" s="18">
        <f>IF($A928&gt;30,O927,(O927-N920+N928)*(1+$C$7))</f>
        <v>95439.63290024118</v>
      </c>
      <c r="P928" s="18">
        <f t="shared" si="106"/>
        <v>768132.19703735539</v>
      </c>
      <c r="Q928" s="18">
        <f>IF($A928&gt;30,0,(Q920-MIN(MAX(R927,0),Q920))+MIN(MAX(0,S927-(Q920-MIN(MAX(R927,0),Q920))),MAX(0,2*Q920-(R927-MIN(MAX(R927,0),Q920)))))</f>
        <v>46823.563215610644</v>
      </c>
      <c r="R928" s="18">
        <f>IF($A928&gt;30,R927,(R927-Q920+Q928)*(1+$C$7))</f>
        <v>95439.642827362739</v>
      </c>
      <c r="S928" s="18">
        <f t="shared" si="107"/>
        <v>768132.15273541806</v>
      </c>
    </row>
    <row r="929" spans="1:19">
      <c r="A929" s="10">
        <f>7</f>
        <v>7</v>
      </c>
      <c r="B929" s="18">
        <f>IF($A929&gt;30,0,(B920-MIN(MAX(C928,0),B920))+MIN(MAX(0,D928-(B920-MIN(MAX(C928,0),B920))),MAX(0,2*B920-(C928-MIN(MAX(C928,0),B920)))))</f>
        <v>29622</v>
      </c>
      <c r="C929" s="18">
        <f>IF($A929&gt;30,C928,(C928-B920+B929)*(1+$C$7))</f>
        <v>60378</v>
      </c>
      <c r="D929" s="18">
        <f t="shared" si="102"/>
        <v>921829.76281611505</v>
      </c>
      <c r="E929" s="18">
        <f>IF($A929&gt;30,0,(E920-MIN(MAX(F928,0),E920))+MIN(MAX(0,G928-(E920-MIN(MAX(F928,0),E920))),MAX(0,2*E920-(F928-MIN(MAX(F928,0),E920)))))</f>
        <v>74055</v>
      </c>
      <c r="F929" s="18">
        <f>IF($A929&gt;30,F928,(F928-E920+E929)*(1+$C$7))</f>
        <v>150945</v>
      </c>
      <c r="G929" s="18">
        <f t="shared" si="103"/>
        <v>459763.60890298267</v>
      </c>
      <c r="H929" s="18">
        <f>IF($A929&gt;30,0,(H920-MIN(MAX(I928,0),H920))+MIN(MAX(0,J928-(H920-MIN(MAX(I928,0),H920))),MAX(0,2*H920-(I928-MIN(MAX(I928,0),H920)))))</f>
        <v>47295.599145828521</v>
      </c>
      <c r="I929" s="18">
        <f>IF($A929&gt;30,I928,(I928-H920+H929)*(1+$C$7))</f>
        <v>96401.785336129702</v>
      </c>
      <c r="J929" s="18">
        <f t="shared" si="104"/>
        <v>738039.06709186966</v>
      </c>
      <c r="K929" s="18">
        <f>IF($A929&gt;30,0,(K920-MIN(MAX(L928,0),K920))+MIN(MAX(0,M928-(K920-MIN(MAX(L928,0),K920))),MAX(0,2*K920-(L928-MIN(MAX(L928,0),K920)))))</f>
        <v>46823.351458416291</v>
      </c>
      <c r="L929" s="18">
        <f>IF($A929&gt;30,L928,(L928-K920+K929)*(1+$C$7))</f>
        <v>95439.211206409396</v>
      </c>
      <c r="M929" s="18">
        <f t="shared" si="105"/>
        <v>742950.04930367018</v>
      </c>
      <c r="N929" s="18">
        <f>IF($A929&gt;30,0,(N920-MIN(MAX(O928,0),N920))+MIN(MAX(0,P928-(N920-MIN(MAX(O928,0),N920))),MAX(0,2*N920-(O928-MIN(MAX(O928,0),N920)))))</f>
        <v>46823.55834527385</v>
      </c>
      <c r="O929" s="18">
        <f>IF($A929&gt;30,O928,(O928-N920+N929)*(1+$C$7))</f>
        <v>95439.63290024118</v>
      </c>
      <c r="P929" s="18">
        <f t="shared" si="106"/>
        <v>742947.89785284398</v>
      </c>
      <c r="Q929" s="18">
        <f>IF($A929&gt;30,0,(Q920-MIN(MAX(R928,0),Q920))+MIN(MAX(0,S928-(Q920-MIN(MAX(R928,0),Q920))),MAX(0,2*Q920-(R928-MIN(MAX(R928,0),Q920)))))</f>
        <v>46823.563215610644</v>
      </c>
      <c r="R929" s="18">
        <f>IF($A929&gt;30,R928,(R928-Q920+Q929)*(1+$C$7))</f>
        <v>95439.642827362739</v>
      </c>
      <c r="S929" s="18">
        <f t="shared" si="107"/>
        <v>742947.84720540163</v>
      </c>
    </row>
    <row r="930" spans="1:19">
      <c r="A930" s="10">
        <f>8</f>
        <v>8</v>
      </c>
      <c r="B930" s="18">
        <f>IF($A930&gt;30,0,(B920-MIN(MAX(C929,0),B920))+MIN(MAX(0,D929-(B920-MIN(MAX(C929,0),B920))),MAX(0,2*B920-(C929-MIN(MAX(C929,0),B920)))))</f>
        <v>29622</v>
      </c>
      <c r="C930" s="18">
        <f>IF($A930&gt;30,C929,(C929-B920+B930)*(1+$C$7))</f>
        <v>60378</v>
      </c>
      <c r="D930" s="18">
        <f t="shared" si="102"/>
        <v>918973.99570059858</v>
      </c>
      <c r="E930" s="18">
        <f>IF($A930&gt;30,0,(E920-MIN(MAX(F929,0),E920))+MIN(MAX(0,G929-(E920-MIN(MAX(F929,0),E920))),MAX(0,2*E920-(F929-MIN(MAX(F929,0),E920)))))</f>
        <v>74055</v>
      </c>
      <c r="F930" s="18">
        <f>IF($A930&gt;30,F929,(F929-E920+E930)*(1+$C$7))</f>
        <v>150945</v>
      </c>
      <c r="G930" s="18">
        <f t="shared" si="103"/>
        <v>397279.86717007216</v>
      </c>
      <c r="H930" s="18">
        <f>IF($A930&gt;30,0,(H920-MIN(MAX(I929,0),H920))+MIN(MAX(0,J929-(H920-MIN(MAX(I929,0),H920))),MAX(0,2*H920-(I929-MIN(MAX(I929,0),H920)))))</f>
        <v>47295.599145828521</v>
      </c>
      <c r="I930" s="18">
        <f>IF($A930&gt;30,I929,(I929-H920+H930)*(1+$C$7))</f>
        <v>96401.785336129702</v>
      </c>
      <c r="J930" s="18">
        <f t="shared" si="104"/>
        <v>711465.77198442235</v>
      </c>
      <c r="K930" s="18">
        <f>IF($A930&gt;30,0,(K920-MIN(MAX(L929,0),K920))+MIN(MAX(0,M929-(K920-MIN(MAX(L929,0),K920))),MAX(0,2*K920-(L929-MIN(MAX(L929,0),K920)))))</f>
        <v>46823.351458416291</v>
      </c>
      <c r="L930" s="18">
        <f>IF($A930&gt;30,L929,(L929-K920+K930)*(1+$C$7))</f>
        <v>95439.211206409396</v>
      </c>
      <c r="M930" s="18">
        <f t="shared" si="105"/>
        <v>717010.49878061144</v>
      </c>
      <c r="N930" s="18">
        <f>IF($A930&gt;30,0,(N920-MIN(MAX(O929,0),N920))+MIN(MAX(0,P929-(N920-MIN(MAX(O929,0),N920))),MAX(0,2*N920-(O929-MIN(MAX(O929,0),N920)))))</f>
        <v>46823.55834527385</v>
      </c>
      <c r="O930" s="18">
        <f>IF($A930&gt;30,O929,(O929-N920+N930)*(1+$C$7))</f>
        <v>95439.63290024118</v>
      </c>
      <c r="P930" s="18">
        <f t="shared" si="106"/>
        <v>717008.06969279726</v>
      </c>
      <c r="Q930" s="18">
        <f>IF($A930&gt;30,0,(Q920-MIN(MAX(R929,0),Q920))+MIN(MAX(0,S929-(Q920-MIN(MAX(R929,0),Q920))),MAX(0,2*Q920-(R929-MIN(MAX(R929,0),Q920)))))</f>
        <v>46823.563215610644</v>
      </c>
      <c r="R930" s="18">
        <f>IF($A930&gt;30,R929,(R929-Q920+Q930)*(1+$C$7))</f>
        <v>95439.642827362739</v>
      </c>
      <c r="S930" s="18">
        <f t="shared" si="107"/>
        <v>717008.01250948466</v>
      </c>
    </row>
    <row r="931" spans="1:19">
      <c r="A931" s="10">
        <f>9</f>
        <v>9</v>
      </c>
      <c r="B931" s="18">
        <f>IF($A931&gt;30,0,(B920-MIN(MAX(C930,0),B920))+MIN(MAX(0,D930-(B920-MIN(MAX(C930,0),B920))),MAX(0,2*B920-(C930-MIN(MAX(C930,0),B920)))))</f>
        <v>29622</v>
      </c>
      <c r="C931" s="18">
        <f>IF($A931&gt;30,C930,(C930-B920+B931)*(1+$C$7))</f>
        <v>60378</v>
      </c>
      <c r="D931" s="18">
        <f t="shared" si="102"/>
        <v>916032.55557161651</v>
      </c>
      <c r="E931" s="18">
        <f>IF($A931&gt;30,0,(E920-MIN(MAX(F930,0),E920))+MIN(MAX(0,G930-(E920-MIN(MAX(F930,0),E920))),MAX(0,2*E920-(F930-MIN(MAX(F930,0),E920)))))</f>
        <v>74055</v>
      </c>
      <c r="F931" s="18">
        <f>IF($A931&gt;30,F930,(F930-E920+E931)*(1+$C$7))</f>
        <v>150945</v>
      </c>
      <c r="G931" s="18">
        <f t="shared" si="103"/>
        <v>332921.61318517436</v>
      </c>
      <c r="H931" s="18">
        <f>IF($A931&gt;30,0,(H920-MIN(MAX(I930,0),H920))+MIN(MAX(0,J930-(H920-MIN(MAX(I930,0),H920))),MAX(0,2*H920-(I930-MIN(MAX(I930,0),H920)))))</f>
        <v>47295.599145828521</v>
      </c>
      <c r="I931" s="18">
        <f>IF($A931&gt;30,I930,(I930-H920+H931)*(1+$C$7))</f>
        <v>96401.785336129702</v>
      </c>
      <c r="J931" s="18">
        <f t="shared" si="104"/>
        <v>684095.27802375169</v>
      </c>
      <c r="K931" s="18">
        <f>IF($A931&gt;30,0,(K920-MIN(MAX(L930,0),K920))+MIN(MAX(0,M930-(K920-MIN(MAX(L930,0),K920))),MAX(0,2*K920-(L930-MIN(MAX(L930,0),K920)))))</f>
        <v>46823.351458416291</v>
      </c>
      <c r="L931" s="18">
        <f>IF($A931&gt;30,L930,(L930-K920+K931)*(1+$C$7))</f>
        <v>95439.211206409396</v>
      </c>
      <c r="M931" s="18">
        <f t="shared" si="105"/>
        <v>690292.761741861</v>
      </c>
      <c r="N931" s="18">
        <f>IF($A931&gt;30,0,(N920-MIN(MAX(O930,0),N920))+MIN(MAX(0,P930-(N920-MIN(MAX(O930,0),N920))),MAX(0,2*N920-(O930-MIN(MAX(O930,0),N920)))))</f>
        <v>46823.55834527385</v>
      </c>
      <c r="O931" s="18">
        <f>IF($A931&gt;30,O930,(O930-N920+N931)*(1+$C$7))</f>
        <v>95439.63290024118</v>
      </c>
      <c r="P931" s="18">
        <f t="shared" si="106"/>
        <v>690290.0466879491</v>
      </c>
      <c r="Q931" s="18">
        <f>IF($A931&gt;30,0,(Q920-MIN(MAX(R930,0),Q920))+MIN(MAX(0,S930-(Q920-MIN(MAX(R930,0),Q920))),MAX(0,2*Q920-(R930-MIN(MAX(R930,0),Q920)))))</f>
        <v>46823.563215610644</v>
      </c>
      <c r="R931" s="18">
        <f>IF($A931&gt;30,R930,(R930-Q920+Q931)*(1+$C$7))</f>
        <v>95439.642827362739</v>
      </c>
      <c r="S931" s="18">
        <f t="shared" si="107"/>
        <v>690289.98277269024</v>
      </c>
    </row>
    <row r="932" spans="1:19">
      <c r="A932" s="10">
        <f>10</f>
        <v>10</v>
      </c>
      <c r="B932" s="18">
        <f>IF($A932&gt;30,0,(B920-MIN(MAX(C931,0),B920))+MIN(MAX(0,D931-(B920-MIN(MAX(C931,0),B920))),MAX(0,2*B920-(C931-MIN(MAX(C931,0),B920)))))</f>
        <v>29622</v>
      </c>
      <c r="C932" s="18">
        <f>IF($A932&gt;30,C931,(C931-B920+B932)*(1+$C$7))</f>
        <v>60378</v>
      </c>
      <c r="D932" s="18">
        <f t="shared" si="102"/>
        <v>913002.87223876501</v>
      </c>
      <c r="E932" s="18">
        <f>IF($A932&gt;30,0,(E920-MIN(MAX(F931,0),E920))+MIN(MAX(0,G931-(E920-MIN(MAX(F931,0),E920))),MAX(0,2*E920-(F931-MIN(MAX(F931,0),E920)))))</f>
        <v>74055</v>
      </c>
      <c r="F932" s="18">
        <f>IF($A932&gt;30,F931,(F931-E920+E932)*(1+$C$7))</f>
        <v>150945</v>
      </c>
      <c r="G932" s="18">
        <f t="shared" si="103"/>
        <v>266632.6115807296</v>
      </c>
      <c r="H932" s="18">
        <f>IF($A932&gt;30,0,(H920-MIN(MAX(I931,0),H920))+MIN(MAX(0,J931-(H920-MIN(MAX(I931,0),H920))),MAX(0,2*H920-(I931-MIN(MAX(I931,0),H920)))))</f>
        <v>47295.599145828521</v>
      </c>
      <c r="I932" s="18">
        <f>IF($A932&gt;30,I931,(I931-H920+H932)*(1+$C$7))</f>
        <v>96401.785336129702</v>
      </c>
      <c r="J932" s="18">
        <f t="shared" si="104"/>
        <v>655903.66924426088</v>
      </c>
      <c r="K932" s="18">
        <f>IF($A932&gt;30,0,(K920-MIN(MAX(L931,0),K920))+MIN(MAX(0,M931-(K920-MIN(MAX(L931,0),K920))),MAX(0,2*K920-(L931-MIN(MAX(L931,0),K920)))))</f>
        <v>46823.351458416291</v>
      </c>
      <c r="L932" s="18">
        <f>IF($A932&gt;30,L931,(L931-K920+K932)*(1+$C$7))</f>
        <v>95439.211206409396</v>
      </c>
      <c r="M932" s="18">
        <f t="shared" si="105"/>
        <v>662773.49259194802</v>
      </c>
      <c r="N932" s="18">
        <f>IF($A932&gt;30,0,(N920-MIN(MAX(O931,0),N920))+MIN(MAX(0,P931-(N920-MIN(MAX(O931,0),N920))),MAX(0,2*N920-(O931-MIN(MAX(O931,0),N920)))))</f>
        <v>46823.55834527385</v>
      </c>
      <c r="O932" s="18">
        <f>IF($A932&gt;30,O931,(O931-N920+N932)*(1+$C$7))</f>
        <v>95439.63290024118</v>
      </c>
      <c r="P932" s="18">
        <f t="shared" si="106"/>
        <v>662770.48299295548</v>
      </c>
      <c r="Q932" s="18">
        <f>IF($A932&gt;30,0,(Q920-MIN(MAX(R931,0),Q920))+MIN(MAX(0,S931-(Q920-MIN(MAX(R931,0),Q920))),MAX(0,2*Q920-(R931-MIN(MAX(R931,0),Q920)))))</f>
        <v>46823.563215610644</v>
      </c>
      <c r="R932" s="18">
        <f>IF($A932&gt;30,R931,(R931-Q920+Q932)*(1+$C$7))</f>
        <v>95439.642827362739</v>
      </c>
      <c r="S932" s="18">
        <f t="shared" si="107"/>
        <v>662770.41214379191</v>
      </c>
    </row>
    <row r="933" spans="1:19">
      <c r="A933" s="10">
        <f>11</f>
        <v>11</v>
      </c>
      <c r="B933" s="18">
        <f>IF($A933&gt;30,0,(B920-MIN(MAX(C932,0),B920))+MIN(MAX(0,D932-(B920-MIN(MAX(C932,0),B920))),MAX(0,2*B920-(C932-MIN(MAX(C932,0),B920)))))</f>
        <v>29622</v>
      </c>
      <c r="C933" s="18">
        <f>IF($A933&gt;30,C932,(C932-B920+B933)*(1+$C$7))</f>
        <v>60378</v>
      </c>
      <c r="D933" s="18">
        <f t="shared" si="102"/>
        <v>909882.29840592796</v>
      </c>
      <c r="E933" s="18">
        <f>IF($A933&gt;30,0,(E920-MIN(MAX(F932,0),E920))+MIN(MAX(0,G932-(E920-MIN(MAX(F932,0),E920))),MAX(0,2*E920-(F932-MIN(MAX(F932,0),E920)))))</f>
        <v>74055</v>
      </c>
      <c r="F933" s="18">
        <f>IF($A933&gt;30,F932,(F932-E920+E933)*(1+$C$7))</f>
        <v>150945</v>
      </c>
      <c r="G933" s="18">
        <f t="shared" si="103"/>
        <v>198354.93992815149</v>
      </c>
      <c r="H933" s="18">
        <f>IF($A933&gt;30,0,(H920-MIN(MAX(I932,0),H920))+MIN(MAX(0,J932-(H920-MIN(MAX(I932,0),H920))),MAX(0,2*H920-(I932-MIN(MAX(I932,0),H920)))))</f>
        <v>47295.599145828521</v>
      </c>
      <c r="I933" s="18">
        <f>IF($A933&gt;30,I932,(I932-H920+H933)*(1+$C$7))</f>
        <v>96401.785336129702</v>
      </c>
      <c r="J933" s="18">
        <f t="shared" si="104"/>
        <v>626866.31220138539</v>
      </c>
      <c r="K933" s="18">
        <f>IF($A933&gt;30,0,(K920-MIN(MAX(L932,0),K920))+MIN(MAX(0,M932-(K920-MIN(MAX(L932,0),K920))),MAX(0,2*K920-(L932-MIN(MAX(L932,0),K920)))))</f>
        <v>46823.351458416291</v>
      </c>
      <c r="L933" s="18">
        <f>IF($A933&gt;30,L932,(L932-K920+K933)*(1+$C$7))</f>
        <v>95439.211206409396</v>
      </c>
      <c r="M933" s="18">
        <f t="shared" si="105"/>
        <v>634428.64536753763</v>
      </c>
      <c r="N933" s="18">
        <f>IF($A933&gt;30,0,(N920-MIN(MAX(O932,0),N920))+MIN(MAX(0,P932-(N920-MIN(MAX(O932,0),N920))),MAX(0,2*N920-(O932-MIN(MAX(O932,0),N920)))))</f>
        <v>46823.55834527385</v>
      </c>
      <c r="O933" s="18">
        <f>IF($A933&gt;30,O932,(O932-N920+N933)*(1+$C$7))</f>
        <v>95439.63290024118</v>
      </c>
      <c r="P933" s="18">
        <f t="shared" si="106"/>
        <v>634425.33238711208</v>
      </c>
      <c r="Q933" s="18">
        <f>IF($A933&gt;30,0,(Q920-MIN(MAX(R932,0),Q920))+MIN(MAX(0,S932-(Q920-MIN(MAX(R932,0),Q920))),MAX(0,2*Q920-(R932-MIN(MAX(R932,0),Q920)))))</f>
        <v>46823.563215610644</v>
      </c>
      <c r="R933" s="18">
        <f>IF($A933&gt;30,R932,(R932-Q920+Q933)*(1+$C$7))</f>
        <v>95439.642827362739</v>
      </c>
      <c r="S933" s="18">
        <f t="shared" si="107"/>
        <v>634425.25439602672</v>
      </c>
    </row>
    <row r="934" spans="1:19">
      <c r="A934" s="10">
        <f>12</f>
        <v>12</v>
      </c>
      <c r="B934" s="18">
        <f>IF($A934&gt;30,0,(B920-MIN(MAX(C933,0),B920))+MIN(MAX(0,D933-(B920-MIN(MAX(C933,0),B920))),MAX(0,2*B920-(C933-MIN(MAX(C933,0),B920)))))</f>
        <v>29622</v>
      </c>
      <c r="C934" s="18">
        <f>IF($A934&gt;30,C933,(C933-B920+B934)*(1+$C$7))</f>
        <v>60378</v>
      </c>
      <c r="D934" s="18">
        <f t="shared" si="102"/>
        <v>906668.10735810583</v>
      </c>
      <c r="E934" s="18">
        <f>IF($A934&gt;30,0,(E920-MIN(MAX(F933,0),E920))+MIN(MAX(0,G933-(E920-MIN(MAX(F933,0),E920))),MAX(0,2*E920-(F933-MIN(MAX(F933,0),E920)))))</f>
        <v>74055</v>
      </c>
      <c r="F934" s="18">
        <f>IF($A934&gt;30,F933,(F933-E920+E934)*(1+$C$7))</f>
        <v>150945</v>
      </c>
      <c r="G934" s="18">
        <f t="shared" si="103"/>
        <v>128028.93812599604</v>
      </c>
      <c r="H934" s="18">
        <f>IF($A934&gt;30,0,(H920-MIN(MAX(I933,0),H920))+MIN(MAX(0,J933-(H920-MIN(MAX(I933,0),H920))),MAX(0,2*H920-(I933-MIN(MAX(I933,0),H920)))))</f>
        <v>47295.599145828521</v>
      </c>
      <c r="I934" s="18">
        <f>IF($A934&gt;30,I933,(I933-H920+H934)*(1+$C$7))</f>
        <v>96401.785336129702</v>
      </c>
      <c r="J934" s="18">
        <f t="shared" si="104"/>
        <v>596957.83444722358</v>
      </c>
      <c r="K934" s="18">
        <f>IF($A934&gt;30,0,(K920-MIN(MAX(L933,0),K920))+MIN(MAX(0,M933-(K920-MIN(MAX(L933,0),K920))),MAX(0,2*K920-(L933-MIN(MAX(L933,0),K920)))))</f>
        <v>46823.351458416291</v>
      </c>
      <c r="L934" s="18">
        <f>IF($A934&gt;30,L933,(L933-K920+K934)*(1+$C$7))</f>
        <v>95439.211206409396</v>
      </c>
      <c r="M934" s="18">
        <f t="shared" si="105"/>
        <v>605233.45272639499</v>
      </c>
      <c r="N934" s="18">
        <f>IF($A934&gt;30,0,(N920-MIN(MAX(O933,0),N920))+MIN(MAX(0,P933-(N920-MIN(MAX(O933,0),N920))),MAX(0,2*N920-(O933-MIN(MAX(O933,0),N920)))))</f>
        <v>46823.55834527385</v>
      </c>
      <c r="O934" s="18">
        <f>IF($A934&gt;30,O933,(O933-N920+N934)*(1+$C$7))</f>
        <v>95439.63290024118</v>
      </c>
      <c r="P934" s="18">
        <f t="shared" si="106"/>
        <v>605229.82726309344</v>
      </c>
      <c r="Q934" s="18">
        <f>IF($A934&gt;30,0,(Q920-MIN(MAX(R933,0),Q920))+MIN(MAX(0,S933-(Q920-MIN(MAX(R933,0),Q920))),MAX(0,2*Q920-(R933-MIN(MAX(R933,0),Q920)))))</f>
        <v>46823.563215610644</v>
      </c>
      <c r="R934" s="18">
        <f>IF($A934&gt;30,R933,(R933-Q920+Q934)*(1+$C$7))</f>
        <v>95439.642827362739</v>
      </c>
      <c r="S934" s="18">
        <f t="shared" si="107"/>
        <v>605229.74191582855</v>
      </c>
    </row>
    <row r="935" spans="1:19">
      <c r="A935" s="10">
        <f>13</f>
        <v>13</v>
      </c>
      <c r="B935" s="18">
        <f>IF($A935&gt;30,0,(B920-MIN(MAX(C934,0),B920))+MIN(MAX(0,D934-(B920-MIN(MAX(C934,0),B920))),MAX(0,2*B920-(C934-MIN(MAX(C934,0),B920)))))</f>
        <v>29622</v>
      </c>
      <c r="C935" s="18">
        <f>IF($A935&gt;30,C934,(C934-B920+B935)*(1+$C$7))</f>
        <v>60378</v>
      </c>
      <c r="D935" s="18">
        <f t="shared" si="102"/>
        <v>903357.49057884899</v>
      </c>
      <c r="E935" s="18">
        <f>IF($A935&gt;30,0,(E920-MIN(MAX(F934,0),E920))+MIN(MAX(0,G934-(E920-MIN(MAX(F934,0),E920))),MAX(0,2*E920-(F934-MIN(MAX(F934,0),E920)))))</f>
        <v>74055</v>
      </c>
      <c r="F935" s="18">
        <f>IF($A935&gt;30,F934,(F934-E920+E935)*(1+$C$7))</f>
        <v>150945</v>
      </c>
      <c r="G935" s="18">
        <f t="shared" si="103"/>
        <v>55593.156269775915</v>
      </c>
      <c r="H935" s="18">
        <f>IF($A935&gt;30,0,(H920-MIN(MAX(I934,0),H920))+MIN(MAX(0,J934-(H920-MIN(MAX(I934,0),H920))),MAX(0,2*H920-(I934-MIN(MAX(I934,0),H920)))))</f>
        <v>47295.599145828521</v>
      </c>
      <c r="I935" s="18">
        <f>IF($A935&gt;30,I934,(I934-H920+H935)*(1+$C$7))</f>
        <v>96401.785336129702</v>
      </c>
      <c r="J935" s="18">
        <f t="shared" si="104"/>
        <v>566152.10236043693</v>
      </c>
      <c r="K935" s="18">
        <f>IF($A935&gt;30,0,(K920-MIN(MAX(L934,0),K920))+MIN(MAX(0,M934-(K920-MIN(MAX(L934,0),K920))),MAX(0,2*K920-(L934-MIN(MAX(L934,0),K920)))))</f>
        <v>46823.351458416291</v>
      </c>
      <c r="L935" s="18">
        <f>IF($A935&gt;30,L934,(L934-K920+K935)*(1+$C$7))</f>
        <v>95439.211206409396</v>
      </c>
      <c r="M935" s="18">
        <f t="shared" si="105"/>
        <v>575162.40430601803</v>
      </c>
      <c r="N935" s="18">
        <f>IF($A935&gt;30,0,(N920-MIN(MAX(O934,0),N920))+MIN(MAX(0,P934-(N920-MIN(MAX(O934,0),N920))),MAX(0,2*N920-(O934-MIN(MAX(O934,0),N920)))))</f>
        <v>46823.55834527385</v>
      </c>
      <c r="O935" s="18">
        <f>IF($A935&gt;30,O934,(O934-N920+N935)*(1+$C$7))</f>
        <v>95439.63290024118</v>
      </c>
      <c r="P935" s="18">
        <f t="shared" si="106"/>
        <v>575158.45698535419</v>
      </c>
      <c r="Q935" s="18">
        <f>IF($A935&gt;30,0,(Q920-MIN(MAX(R934,0),Q920))+MIN(MAX(0,S934-(Q920-MIN(MAX(R934,0),Q920))),MAX(0,2*Q920-(R934-MIN(MAX(R934,0),Q920)))))</f>
        <v>46823.563215610644</v>
      </c>
      <c r="R935" s="18">
        <f>IF($A935&gt;30,R934,(R934-Q920+Q935)*(1+$C$7))</f>
        <v>95439.642827362739</v>
      </c>
      <c r="S935" s="18">
        <f t="shared" si="107"/>
        <v>575158.36406122439</v>
      </c>
    </row>
    <row r="936" spans="1:19">
      <c r="A936" s="10">
        <f>14</f>
        <v>14</v>
      </c>
      <c r="B936" s="18">
        <f>IF($A936&gt;30,0,(B920-MIN(MAX(C935,0),B920))+MIN(MAX(0,D935-(B920-MIN(MAX(C935,0),B920))),MAX(0,2*B920-(C935-MIN(MAX(C935,0),B920)))))</f>
        <v>29622</v>
      </c>
      <c r="C936" s="18">
        <f>IF($A936&gt;30,C935,(C935-B920+B936)*(1+$C$7))</f>
        <v>60378</v>
      </c>
      <c r="D936" s="18">
        <f t="shared" si="102"/>
        <v>899947.55529621453</v>
      </c>
      <c r="E936" s="18">
        <f>IF($A936&gt;30,0,(E920-MIN(MAX(F935,0),E920))+MIN(MAX(0,G935-(E920-MIN(MAX(F935,0),E920))),MAX(0,2*E920-(F935-MIN(MAX(F935,0),E920)))))</f>
        <v>55593.156269775915</v>
      </c>
      <c r="F936" s="18">
        <f>IF($A936&gt;30,F935,(F935-E920+E936)*(1+$C$7))</f>
        <v>132366.84665427549</v>
      </c>
      <c r="G936" s="18">
        <f t="shared" si="103"/>
        <v>0</v>
      </c>
      <c r="H936" s="18">
        <f>IF($A936&gt;30,0,(H920-MIN(MAX(I935,0),H920))+MIN(MAX(0,J935-(H920-MIN(MAX(I935,0),H920))),MAX(0,2*H920-(I935-MIN(MAX(I935,0),H920)))))</f>
        <v>47295.599145828521</v>
      </c>
      <c r="I936" s="18">
        <f>IF($A936&gt;30,I935,(I935-H920+H936)*(1+$C$7))</f>
        <v>96401.785336129702</v>
      </c>
      <c r="J936" s="18">
        <f t="shared" si="104"/>
        <v>534422.1983110467</v>
      </c>
      <c r="K936" s="18">
        <f>IF($A936&gt;30,0,(K920-MIN(MAX(L935,0),K920))+MIN(MAX(0,M935-(K920-MIN(MAX(L935,0),K920))),MAX(0,2*K920-(L935-MIN(MAX(L935,0),K920)))))</f>
        <v>46823.351458416291</v>
      </c>
      <c r="L936" s="18">
        <f>IF($A936&gt;30,L935,(L935-K920+K936)*(1+$C$7))</f>
        <v>95439.211206409396</v>
      </c>
      <c r="M936" s="18">
        <f t="shared" si="105"/>
        <v>544189.22443302977</v>
      </c>
      <c r="N936" s="18">
        <f>IF($A936&gt;30,0,(N920-MIN(MAX(O935,0),N920))+MIN(MAX(0,P935-(N920-MIN(MAX(O935,0),N920))),MAX(0,2*N920-(O935-MIN(MAX(O935,0),N920)))))</f>
        <v>46823.55834527385</v>
      </c>
      <c r="O936" s="18">
        <f>IF($A936&gt;30,O935,(O935-N920+N936)*(1+$C$7))</f>
        <v>95439.63290024118</v>
      </c>
      <c r="P936" s="18">
        <f t="shared" si="106"/>
        <v>544184.94559928274</v>
      </c>
      <c r="Q936" s="18">
        <f>IF($A936&gt;30,0,(Q920-MIN(MAX(R935,0),Q920))+MIN(MAX(0,S935-(Q920-MIN(MAX(R935,0),Q920))),MAX(0,2*Q920-(R935-MIN(MAX(R935,0),Q920)))))</f>
        <v>46823.563215610644</v>
      </c>
      <c r="R936" s="18">
        <f>IF($A936&gt;30,R935,(R935-Q920+Q936)*(1+$C$7))</f>
        <v>95439.642827362739</v>
      </c>
      <c r="S936" s="18">
        <f t="shared" si="107"/>
        <v>544184.84487098211</v>
      </c>
    </row>
    <row r="937" spans="1:19">
      <c r="A937" s="10">
        <f>15</f>
        <v>15</v>
      </c>
      <c r="B937" s="18">
        <f>IF($A937&gt;30,0,(B920-MIN(MAX(C936,0),B920))+MIN(MAX(0,D936-(B920-MIN(MAX(C936,0),B920))),MAX(0,2*B920-(C936-MIN(MAX(C936,0),B920)))))</f>
        <v>29622</v>
      </c>
      <c r="C937" s="18">
        <f>IF($A937&gt;30,C936,(C936-B920+B937)*(1+$C$7))</f>
        <v>60378</v>
      </c>
      <c r="D937" s="18">
        <f t="shared" si="102"/>
        <v>896435.32195510098</v>
      </c>
      <c r="E937" s="18">
        <f>IF($A937&gt;30,0,(E920-MIN(MAX(F936,0),E920))+MIN(MAX(0,G936-(E920-MIN(MAX(F936,0),E920))),MAX(0,2*E920-(F936-MIN(MAX(F936,0),E920)))))</f>
        <v>0</v>
      </c>
      <c r="F937" s="18">
        <f>IF($A937&gt;30,F936,(F936-E920+E937)*(1+$C$7))</f>
        <v>57728.257788197421</v>
      </c>
      <c r="G937" s="18">
        <f t="shared" si="103"/>
        <v>0</v>
      </c>
      <c r="H937" s="18">
        <f>IF($A937&gt;30,0,(H920-MIN(MAX(I936,0),H920))+MIN(MAX(0,J936-(H920-MIN(MAX(I936,0),H920))),MAX(0,2*H920-(I936-MIN(MAX(I936,0),H920)))))</f>
        <v>47295.599145828521</v>
      </c>
      <c r="I937" s="18">
        <f>IF($A937&gt;30,I936,(I936-H920+H937)*(1+$C$7))</f>
        <v>96401.785336129702</v>
      </c>
      <c r="J937" s="18">
        <f t="shared" si="104"/>
        <v>501740.39714017475</v>
      </c>
      <c r="K937" s="18">
        <f>IF($A937&gt;30,0,(K920-MIN(MAX(L936,0),K920))+MIN(MAX(0,M936-(K920-MIN(MAX(L936,0),K920))),MAX(0,2*K920-(L936-MIN(MAX(L936,0),K920)))))</f>
        <v>46823.351458416291</v>
      </c>
      <c r="L937" s="18">
        <f>IF($A937&gt;30,L936,(L936-K920+K937)*(1+$C$7))</f>
        <v>95439.211206409396</v>
      </c>
      <c r="M937" s="18">
        <f t="shared" si="105"/>
        <v>512286.84916385188</v>
      </c>
      <c r="N937" s="18">
        <f>IF($A937&gt;30,0,(N920-MIN(MAX(O936,0),N920))+MIN(MAX(0,P936-(N920-MIN(MAX(O936,0),N920))),MAX(0,2*N920-(O936-MIN(MAX(O936,0),N920)))))</f>
        <v>46823.55834527385</v>
      </c>
      <c r="O937" s="18">
        <f>IF($A937&gt;30,O936,(O936-N920+N937)*(1+$C$7))</f>
        <v>95439.63290024118</v>
      </c>
      <c r="P937" s="18">
        <f t="shared" si="106"/>
        <v>512282.22887162917</v>
      </c>
      <c r="Q937" s="18">
        <f>IF($A937&gt;30,0,(Q920-MIN(MAX(R936,0),Q920))+MIN(MAX(0,S936-(Q920-MIN(MAX(R936,0),Q920))),MAX(0,2*Q920-(R936-MIN(MAX(R936,0),Q920)))))</f>
        <v>46823.563215610644</v>
      </c>
      <c r="R937" s="18">
        <f>IF($A937&gt;30,R936,(R936-Q920+Q937)*(1+$C$7))</f>
        <v>95439.642827362739</v>
      </c>
      <c r="S937" s="18">
        <f t="shared" si="107"/>
        <v>512282.12010503263</v>
      </c>
    </row>
    <row r="938" spans="1:19">
      <c r="A938" s="10">
        <f>16</f>
        <v>16</v>
      </c>
      <c r="B938" s="18">
        <f>IF($A938&gt;30,0,(B920-MIN(MAX(C937,0),B920))+MIN(MAX(0,D937-(B920-MIN(MAX(C937,0),B920))),MAX(0,2*B920-(C937-MIN(MAX(C937,0),B920)))))</f>
        <v>29622</v>
      </c>
      <c r="C938" s="18">
        <f>IF($A938&gt;30,C937,(C937-B920+B938)*(1+$C$7))</f>
        <v>60378</v>
      </c>
      <c r="D938" s="18">
        <f t="shared" si="102"/>
        <v>892817.72161375405</v>
      </c>
      <c r="E938" s="18">
        <f>IF($A938&gt;30,0,(E920-MIN(MAX(F937,0),E920))+MIN(MAX(0,G937-(E920-MIN(MAX(F937,0),E920))),MAX(0,2*E920-(F937-MIN(MAX(F937,0),E920)))))</f>
        <v>17271.742211802579</v>
      </c>
      <c r="F938" s="18">
        <f>IF($A938&gt;30,F937,(F937-E920+E938)*(1+$C$7))</f>
        <v>0</v>
      </c>
      <c r="G938" s="18">
        <f t="shared" si="103"/>
        <v>-17789.894478156657</v>
      </c>
      <c r="H938" s="18">
        <f>IF($A938&gt;30,0,(H920-MIN(MAX(I937,0),H920))+MIN(MAX(0,J937-(H920-MIN(MAX(I937,0),H920))),MAX(0,2*H920-(I937-MIN(MAX(I937,0),H920)))))</f>
        <v>47295.599145828521</v>
      </c>
      <c r="I938" s="18">
        <f>IF($A938&gt;30,I937,(I937-H920+H938)*(1+$C$7))</f>
        <v>96401.785336129702</v>
      </c>
      <c r="J938" s="18">
        <f t="shared" si="104"/>
        <v>468078.14193417662</v>
      </c>
      <c r="K938" s="18">
        <f>IF($A938&gt;30,0,(K920-MIN(MAX(L937,0),K920))+MIN(MAX(0,M937-(K920-MIN(MAX(L937,0),K920))),MAX(0,2*K920-(L937-MIN(MAX(L937,0),K920)))))</f>
        <v>46823.351458416291</v>
      </c>
      <c r="L938" s="18">
        <f>IF($A938&gt;30,L937,(L937-K920+K938)*(1+$C$7))</f>
        <v>95439.211206409396</v>
      </c>
      <c r="M938" s="18">
        <f t="shared" si="105"/>
        <v>479427.40263659868</v>
      </c>
      <c r="N938" s="18">
        <f>IF($A938&gt;30,0,(N920-MIN(MAX(O937,0),N920))+MIN(MAX(0,P937-(N920-MIN(MAX(O937,0),N920))),MAX(0,2*N920-(O937-MIN(MAX(O937,0),N920)))))</f>
        <v>46823.55834527385</v>
      </c>
      <c r="O938" s="18">
        <f>IF($A938&gt;30,O937,(O937-N920+N938)*(1+$C$7))</f>
        <v>95439.63290024118</v>
      </c>
      <c r="P938" s="18">
        <f t="shared" si="106"/>
        <v>479422.43064214598</v>
      </c>
      <c r="Q938" s="18">
        <f>IF($A938&gt;30,0,(Q920-MIN(MAX(R937,0),Q920))+MIN(MAX(0,S937-(Q920-MIN(MAX(R937,0),Q920))),MAX(0,2*Q920-(R937-MIN(MAX(R937,0),Q920)))))</f>
        <v>46823.563215610644</v>
      </c>
      <c r="R938" s="18">
        <f>IF($A938&gt;30,R937,(R937-Q920+Q938)*(1+$C$7))</f>
        <v>95439.642827362739</v>
      </c>
      <c r="S938" s="18">
        <f t="shared" si="107"/>
        <v>479422.31359610468</v>
      </c>
    </row>
    <row r="939" spans="1:19">
      <c r="A939" s="10">
        <f>17</f>
        <v>17</v>
      </c>
      <c r="B939" s="18">
        <f>IF($A939&gt;30,0,(B920-MIN(MAX(C938,0),B920))+MIN(MAX(0,D938-(B920-MIN(MAX(C938,0),B920))),MAX(0,2*B920-(C938-MIN(MAX(C938,0),B920)))))</f>
        <v>29622</v>
      </c>
      <c r="C939" s="18">
        <f>IF($A939&gt;30,C938,(C938-B920+B939)*(1+$C$7))</f>
        <v>60378</v>
      </c>
      <c r="D939" s="18">
        <f t="shared" si="102"/>
        <v>889091.59326216672</v>
      </c>
      <c r="E939" s="18">
        <f>IF($A939&gt;30,0,(E920-MIN(MAX(F938,0),E920))+MIN(MAX(0,G938-(E920-MIN(MAX(F938,0),E920))),MAX(0,2*E920-(F938-MIN(MAX(F938,0),E920)))))</f>
        <v>75000</v>
      </c>
      <c r="F939" s="18">
        <f>IF($A939&gt;30,F938,(F938-E920+E939)*(1+$C$7))</f>
        <v>0</v>
      </c>
      <c r="G939" s="18">
        <f t="shared" si="103"/>
        <v>-95573.591312501361</v>
      </c>
      <c r="H939" s="18">
        <f>IF($A939&gt;30,0,(H920-MIN(MAX(I938,0),H920))+MIN(MAX(0,J938-(H920-MIN(MAX(I938,0),H920))),MAX(0,2*H920-(I938-MIN(MAX(I938,0),H920)))))</f>
        <v>47295.599145828521</v>
      </c>
      <c r="I939" s="18">
        <f>IF($A939&gt;30,I938,(I938-H920+H939)*(1+$C$7))</f>
        <v>96401.785336129702</v>
      </c>
      <c r="J939" s="18">
        <f t="shared" si="104"/>
        <v>433406.01907199854</v>
      </c>
      <c r="K939" s="18">
        <f>IF($A939&gt;30,0,(K920-MIN(MAX(L938,0),K920))+MIN(MAX(0,M938-(K920-MIN(MAX(L938,0),K920))),MAX(0,2*K920-(L938-MIN(MAX(L938,0),K920)))))</f>
        <v>46823.351458416291</v>
      </c>
      <c r="L939" s="18">
        <f>IF($A939&gt;30,L938,(L938-K920+K939)*(1+$C$7))</f>
        <v>95439.211206409396</v>
      </c>
      <c r="M939" s="18">
        <f t="shared" si="105"/>
        <v>445582.17271352786</v>
      </c>
      <c r="N939" s="18">
        <f>IF($A939&gt;30,0,(N920-MIN(MAX(O938,0),N920))+MIN(MAX(0,P938-(N920-MIN(MAX(O938,0),N920))),MAX(0,2*N920-(O938-MIN(MAX(O938,0),N920)))))</f>
        <v>46823.55834527385</v>
      </c>
      <c r="O939" s="18">
        <f>IF($A939&gt;30,O938,(O938-N920+N939)*(1+$C$7))</f>
        <v>95439.63290024118</v>
      </c>
      <c r="P939" s="18">
        <f t="shared" si="106"/>
        <v>445576.83846577833</v>
      </c>
      <c r="Q939" s="18">
        <f>IF($A939&gt;30,0,(Q920-MIN(MAX(R938,0),Q920))+MIN(MAX(0,S938-(Q920-MIN(MAX(R938,0),Q920))),MAX(0,2*Q920-(R938-MIN(MAX(R938,0),Q920)))))</f>
        <v>46823.563215610644</v>
      </c>
      <c r="R939" s="18">
        <f>IF($A939&gt;30,R938,(R938-Q920+Q939)*(1+$C$7))</f>
        <v>95439.642827362739</v>
      </c>
      <c r="S939" s="18">
        <f t="shared" si="107"/>
        <v>445576.71289190889</v>
      </c>
    </row>
    <row r="940" spans="1:19">
      <c r="A940" s="10">
        <f>18</f>
        <v>18</v>
      </c>
      <c r="B940" s="18">
        <f>IF($A940&gt;30,0,(B920-MIN(MAX(C939,0),B920))+MIN(MAX(0,D939-(B920-MIN(MAX(C939,0),B920))),MAX(0,2*B920-(C939-MIN(MAX(C939,0),B920)))))</f>
        <v>29622</v>
      </c>
      <c r="C940" s="18">
        <f>IF($A940&gt;30,C939,(C939-B920+B940)*(1+$C$7))</f>
        <v>60378</v>
      </c>
      <c r="D940" s="18">
        <f t="shared" si="102"/>
        <v>885253.68106003175</v>
      </c>
      <c r="E940" s="18">
        <f>IF($A940&gt;30,0,(E920-MIN(MAX(F939,0),E920))+MIN(MAX(0,G939-(E920-MIN(MAX(F939,0),E920))),MAX(0,2*E920-(F939-MIN(MAX(F939,0),E920)))))</f>
        <v>75000</v>
      </c>
      <c r="F940" s="18">
        <f>IF($A940&gt;30,F939,(F939-E920+E940)*(1+$C$7))</f>
        <v>0</v>
      </c>
      <c r="G940" s="18">
        <f t="shared" si="103"/>
        <v>-175690.79905187638</v>
      </c>
      <c r="H940" s="18">
        <f>IF($A940&gt;30,0,(H920-MIN(MAX(I939,0),H920))+MIN(MAX(0,J939-(H920-MIN(MAX(I939,0),H920))),MAX(0,2*H920-(I939-MIN(MAX(I939,0),H920)))))</f>
        <v>47295.599145828521</v>
      </c>
      <c r="I940" s="18">
        <f>IF($A940&gt;30,I939,(I939-H920+H940)*(1+$C$7))</f>
        <v>96401.785336129702</v>
      </c>
      <c r="J940" s="18">
        <f t="shared" si="104"/>
        <v>397693.73252395511</v>
      </c>
      <c r="K940" s="18">
        <f>IF($A940&gt;30,0,(K920-MIN(MAX(L939,0),K920))+MIN(MAX(0,M939-(K920-MIN(MAX(L939,0),K920))),MAX(0,2*K920-(L939-MIN(MAX(L939,0),K920)))))</f>
        <v>46823.351458416291</v>
      </c>
      <c r="L940" s="18">
        <f>IF($A940&gt;30,L939,(L939-K920+K940)*(1+$C$7))</f>
        <v>95439.211206409396</v>
      </c>
      <c r="M940" s="18">
        <f t="shared" si="105"/>
        <v>410721.58589276497</v>
      </c>
      <c r="N940" s="18">
        <f>IF($A940&gt;30,0,(N920-MIN(MAX(O939,0),N920))+MIN(MAX(0,P939-(N920-MIN(MAX(O939,0),N920))),MAX(0,2*N920-(O939-MIN(MAX(O939,0),N920)))))</f>
        <v>46823.55834527385</v>
      </c>
      <c r="O940" s="18">
        <f>IF($A940&gt;30,O939,(O939-N920+N940)*(1+$C$7))</f>
        <v>95439.63290024118</v>
      </c>
      <c r="P940" s="18">
        <f t="shared" si="106"/>
        <v>410715.87852411962</v>
      </c>
      <c r="Q940" s="18">
        <f>IF($A940&gt;30,0,(Q920-MIN(MAX(R939,0),Q920))+MIN(MAX(0,S939-(Q920-MIN(MAX(R939,0),Q920))),MAX(0,2*Q920-(R939-MIN(MAX(R939,0),Q920)))))</f>
        <v>46823.563215610644</v>
      </c>
      <c r="R940" s="18">
        <f>IF($A940&gt;30,R939,(R939-Q920+Q940)*(1+$C$7))</f>
        <v>95439.642827362739</v>
      </c>
      <c r="S940" s="18">
        <f t="shared" si="107"/>
        <v>410715.74416658719</v>
      </c>
    </row>
    <row r="941" spans="1:19">
      <c r="A941" s="10">
        <f>19</f>
        <v>19</v>
      </c>
      <c r="B941" s="18">
        <f>IF($A941&gt;30,0,(B920-MIN(MAX(C940,0),B920))+MIN(MAX(0,D940-(B920-MIN(MAX(C940,0),B920))),MAX(0,2*B920-(C940-MIN(MAX(C940,0),B920)))))</f>
        <v>29622</v>
      </c>
      <c r="C941" s="18">
        <f>IF($A941&gt;30,C940,(C940-B920+B941)*(1+$C$7))</f>
        <v>60378</v>
      </c>
      <c r="D941" s="18">
        <f t="shared" si="102"/>
        <v>881300.63149183278</v>
      </c>
      <c r="E941" s="18">
        <f>IF($A941&gt;30,0,(E920-MIN(MAX(F940,0),E920))+MIN(MAX(0,G940-(E920-MIN(MAX(F940,0),E920))),MAX(0,2*E920-(F940-MIN(MAX(F940,0),E920)))))</f>
        <v>75000</v>
      </c>
      <c r="F941" s="18">
        <f>IF($A941&gt;30,F940,(F940-E920+E941)*(1+$C$7))</f>
        <v>0</v>
      </c>
      <c r="G941" s="18">
        <f t="shared" si="103"/>
        <v>-258211.52302343267</v>
      </c>
      <c r="H941" s="18">
        <f>IF($A941&gt;30,0,(H920-MIN(MAX(I940,0),H920))+MIN(MAX(0,J940-(H920-MIN(MAX(I940,0),H920))),MAX(0,2*H920-(I940-MIN(MAX(I940,0),H920)))))</f>
        <v>47295.599145828521</v>
      </c>
      <c r="I941" s="18">
        <f>IF($A941&gt;30,I940,(I940-H920+H941)*(1+$C$7))</f>
        <v>96401.785336129702</v>
      </c>
      <c r="J941" s="18">
        <f t="shared" si="104"/>
        <v>360910.0773794704</v>
      </c>
      <c r="K941" s="18">
        <f>IF($A941&gt;30,0,(K920-MIN(MAX(L940,0),K920))+MIN(MAX(0,M940-(K920-MIN(MAX(L940,0),K920))),MAX(0,2*K920-(L940-MIN(MAX(L940,0),K920)))))</f>
        <v>46823.351458416291</v>
      </c>
      <c r="L941" s="18">
        <f>IF($A941&gt;30,L940,(L940-K920+K941)*(1+$C$7))</f>
        <v>95439.211206409396</v>
      </c>
      <c r="M941" s="18">
        <f t="shared" si="105"/>
        <v>374815.18146737909</v>
      </c>
      <c r="N941" s="18">
        <f>IF($A941&gt;30,0,(N920-MIN(MAX(O940,0),N920))+MIN(MAX(0,P940-(N920-MIN(MAX(O940,0),N920))),MAX(0,2*N920-(O940-MIN(MAX(O940,0),N920)))))</f>
        <v>46823.55834527385</v>
      </c>
      <c r="O941" s="18">
        <f>IF($A941&gt;30,O940,(O940-N920+N941)*(1+$C$7))</f>
        <v>95439.63290024118</v>
      </c>
      <c r="P941" s="18">
        <f t="shared" si="106"/>
        <v>374809.08978421119</v>
      </c>
      <c r="Q941" s="18">
        <f>IF($A941&gt;30,0,(Q920-MIN(MAX(R940,0),Q920))+MIN(MAX(0,S940-(Q920-MIN(MAX(R940,0),Q920))),MAX(0,2*Q920-(R940-MIN(MAX(R940,0),Q920)))))</f>
        <v>46823.563215610644</v>
      </c>
      <c r="R941" s="18">
        <f>IF($A941&gt;30,R940,(R940-Q920+Q941)*(1+$C$7))</f>
        <v>95439.642827362739</v>
      </c>
      <c r="S941" s="18">
        <f t="shared" si="107"/>
        <v>374808.94637950585</v>
      </c>
    </row>
    <row r="942" spans="1:19">
      <c r="A942" s="10">
        <f>20</f>
        <v>20</v>
      </c>
      <c r="B942" s="18">
        <f>IF($A942&gt;30,0,(B920-MIN(MAX(C941,0),B920))+MIN(MAX(0,D941-(B920-MIN(MAX(C941,0),B920))),MAX(0,2*B920-(C941-MIN(MAX(C941,0),B920)))))</f>
        <v>29622</v>
      </c>
      <c r="C942" s="18">
        <f>IF($A942&gt;30,C941,(C941-B920+B942)*(1+$C$7))</f>
        <v>60378</v>
      </c>
      <c r="D942" s="18">
        <f t="shared" si="102"/>
        <v>877228.99043658783</v>
      </c>
      <c r="E942" s="18">
        <f>IF($A942&gt;30,0,(E920-MIN(MAX(F941,0),E920))+MIN(MAX(0,G941-(E920-MIN(MAX(F941,0),E920))),MAX(0,2*E920-(F941-MIN(MAX(F941,0),E920)))))</f>
        <v>75000</v>
      </c>
      <c r="F942" s="18">
        <f>IF($A942&gt;30,F941,(F941-E920+E942)*(1+$C$7))</f>
        <v>0</v>
      </c>
      <c r="G942" s="18">
        <f t="shared" si="103"/>
        <v>-343207.86871413566</v>
      </c>
      <c r="H942" s="18">
        <f>IF($A942&gt;30,0,(H920-MIN(MAX(I941,0),H920))+MIN(MAX(0,J941-(H920-MIN(MAX(I941,0),H920))),MAX(0,2*H920-(I941-MIN(MAX(I941,0),H920)))))</f>
        <v>47295.599145828521</v>
      </c>
      <c r="I942" s="18">
        <f>IF($A942&gt;30,I941,(I941-H920+H942)*(1+$C$7))</f>
        <v>96401.785336129702</v>
      </c>
      <c r="J942" s="18">
        <f t="shared" si="104"/>
        <v>323022.91258065117</v>
      </c>
      <c r="K942" s="18">
        <f>IF($A942&gt;30,0,(K920-MIN(MAX(L941,0),K920))+MIN(MAX(0,M941-(K920-MIN(MAX(L941,0),K920))),MAX(0,2*K920-(L941-MIN(MAX(L941,0),K920)))))</f>
        <v>46823.351458416291</v>
      </c>
      <c r="L942" s="18">
        <f>IF($A942&gt;30,L941,(L941-K920+K942)*(1+$C$7))</f>
        <v>95439.211206409396</v>
      </c>
      <c r="M942" s="18">
        <f t="shared" si="105"/>
        <v>337831.58490923169</v>
      </c>
      <c r="N942" s="18">
        <f>IF($A942&gt;30,0,(N920-MIN(MAX(O941,0),N920))+MIN(MAX(0,P941-(N920-MIN(MAX(O941,0),N920))),MAX(0,2*N920-(O941-MIN(MAX(O941,0),N920)))))</f>
        <v>46823.55834527385</v>
      </c>
      <c r="O942" s="18">
        <f>IF($A942&gt;30,O941,(O941-N920+N942)*(1+$C$7))</f>
        <v>95439.63290024118</v>
      </c>
      <c r="P942" s="18">
        <f t="shared" si="106"/>
        <v>337825.09738210548</v>
      </c>
      <c r="Q942" s="18">
        <f>IF($A942&gt;30,0,(Q920-MIN(MAX(R941,0),Q920))+MIN(MAX(0,S941-(Q920-MIN(MAX(R941,0),Q920))),MAX(0,2*Q920-(R941-MIN(MAX(R941,0),Q920)))))</f>
        <v>46823.563215610644</v>
      </c>
      <c r="R942" s="18">
        <f>IF($A942&gt;30,R941,(R941-Q920+Q942)*(1+$C$7))</f>
        <v>95439.642827362739</v>
      </c>
      <c r="S942" s="18">
        <f t="shared" si="107"/>
        <v>337824.94465881208</v>
      </c>
    </row>
    <row r="943" spans="1:19">
      <c r="A943" s="10">
        <f>21</f>
        <v>21</v>
      </c>
      <c r="B943" s="18">
        <f>IF($A943&gt;30,0,(B920-MIN(MAX(C942,0),B920))+MIN(MAX(0,D942-(B920-MIN(MAX(C942,0),B920))),MAX(0,2*B920-(C942-MIN(MAX(C942,0),B920)))))</f>
        <v>29622</v>
      </c>
      <c r="C943" s="18">
        <f>IF($A943&gt;30,C942,(C942-B920+B943)*(1+$C$7))</f>
        <v>60378</v>
      </c>
      <c r="D943" s="18">
        <f t="shared" si="102"/>
        <v>873035.20014968549</v>
      </c>
      <c r="E943" s="18">
        <f>IF($A943&gt;30,0,(E920-MIN(MAX(F942,0),E920))+MIN(MAX(0,G942-(E920-MIN(MAX(F942,0),E920))),MAX(0,2*E920-(F942-MIN(MAX(F942,0),E920)))))</f>
        <v>75000</v>
      </c>
      <c r="F943" s="18">
        <f>IF($A943&gt;30,F942,(F942-E920+E943)*(1+$C$7))</f>
        <v>0</v>
      </c>
      <c r="G943" s="18">
        <f t="shared" si="103"/>
        <v>-430754.10477555974</v>
      </c>
      <c r="H943" s="18">
        <f>IF($A943&gt;30,0,(H920-MIN(MAX(I942,0),H920))+MIN(MAX(0,J942-(H920-MIN(MAX(I942,0),H920))),MAX(0,2*H920-(I942-MIN(MAX(I942,0),H920)))))</f>
        <v>47295.599145828521</v>
      </c>
      <c r="I943" s="18">
        <f>IF($A943&gt;30,I942,(I942-H920+H943)*(1+$C$7))</f>
        <v>96401.785336129702</v>
      </c>
      <c r="J943" s="18">
        <f t="shared" si="104"/>
        <v>283999.13283786736</v>
      </c>
      <c r="K943" s="18">
        <f>IF($A943&gt;30,0,(K920-MIN(MAX(L942,0),K920))+MIN(MAX(0,M942-(K920-MIN(MAX(L942,0),K920))),MAX(0,2*K920-(L942-MIN(MAX(L942,0),K920)))))</f>
        <v>46823.351458416291</v>
      </c>
      <c r="L943" s="18">
        <f>IF($A943&gt;30,L942,(L942-K920+K943)*(1+$C$7))</f>
        <v>95439.211206409396</v>
      </c>
      <c r="M943" s="18">
        <f t="shared" si="105"/>
        <v>299738.48045433988</v>
      </c>
      <c r="N943" s="18">
        <f>IF($A943&gt;30,0,(N920-MIN(MAX(O942,0),N920))+MIN(MAX(0,P942-(N920-MIN(MAX(O942,0),N920))),MAX(0,2*N920-(O942-MIN(MAX(O942,0),N920)))))</f>
        <v>46823.55834527385</v>
      </c>
      <c r="O943" s="18">
        <f>IF($A943&gt;30,O942,(O942-N920+N943)*(1+$C$7))</f>
        <v>95439.63290024118</v>
      </c>
      <c r="P943" s="18">
        <f t="shared" si="106"/>
        <v>299731.58520793659</v>
      </c>
      <c r="Q943" s="18">
        <f>IF($A943&gt;30,0,(Q920-MIN(MAX(R942,0),Q920))+MIN(MAX(0,S942-(Q920-MIN(MAX(R942,0),Q920))),MAX(0,2*Q920-(R942-MIN(MAX(R942,0),Q920)))))</f>
        <v>46823.563215610644</v>
      </c>
      <c r="R943" s="18">
        <f>IF($A943&gt;30,R942,(R942-Q920+Q943)*(1+$C$7))</f>
        <v>95439.642827362739</v>
      </c>
      <c r="S943" s="18">
        <f t="shared" si="107"/>
        <v>299731.42288649752</v>
      </c>
    </row>
    <row r="944" spans="1:19">
      <c r="A944" s="10">
        <f>22</f>
        <v>22</v>
      </c>
      <c r="B944" s="18">
        <f>IF($A944&gt;30,0,(B920-MIN(MAX(C943,0),B920))+MIN(MAX(0,D943-(B920-MIN(MAX(C943,0),B920))),MAX(0,2*B920-(C943-MIN(MAX(C943,0),B920)))))</f>
        <v>29622</v>
      </c>
      <c r="C944" s="18">
        <f>IF($A944&gt;30,C943,(C943-B920+B944)*(1+$C$7))</f>
        <v>60378</v>
      </c>
      <c r="D944" s="18">
        <f t="shared" si="102"/>
        <v>868715.59615417605</v>
      </c>
      <c r="E944" s="18">
        <f>IF($A944&gt;30,0,(E920-MIN(MAX(F943,0),E920))+MIN(MAX(0,G943-(E920-MIN(MAX(F943,0),E920))),MAX(0,2*E920-(F943-MIN(MAX(F943,0),E920)))))</f>
        <v>75000</v>
      </c>
      <c r="F944" s="18">
        <f>IF($A944&gt;30,F943,(F943-E920+E944)*(1+$C$7))</f>
        <v>0</v>
      </c>
      <c r="G944" s="18">
        <f t="shared" si="103"/>
        <v>-520926.72791882657</v>
      </c>
      <c r="H944" s="18">
        <f>IF($A944&gt;30,0,(H920-MIN(MAX(I943,0),H920))+MIN(MAX(0,J943-(H920-MIN(MAX(I943,0),H920))),MAX(0,2*H920-(I943-MIN(MAX(I943,0),H920)))))</f>
        <v>47295.599145828521</v>
      </c>
      <c r="I944" s="18">
        <f>IF($A944&gt;30,I943,(I943-H920+H944)*(1+$C$7))</f>
        <v>96401.785336129702</v>
      </c>
      <c r="J944" s="18">
        <f t="shared" si="104"/>
        <v>243804.63970280002</v>
      </c>
      <c r="K944" s="18">
        <f>IF($A944&gt;30,0,(K920-MIN(MAX(L943,0),K920))+MIN(MAX(0,M943-(K920-MIN(MAX(L943,0),K920))),MAX(0,2*K920-(L943-MIN(MAX(L943,0),K920)))))</f>
        <v>46823.351458416291</v>
      </c>
      <c r="L944" s="18">
        <f>IF($A944&gt;30,L943,(L943-K920+K944)*(1+$C$7))</f>
        <v>95439.211206409396</v>
      </c>
      <c r="M944" s="18">
        <f t="shared" si="105"/>
        <v>260502.58286580129</v>
      </c>
      <c r="N944" s="18">
        <f>IF($A944&gt;30,0,(N920-MIN(MAX(O943,0),N920))+MIN(MAX(0,P943-(N920-MIN(MAX(O943,0),N920))),MAX(0,2*N920-(O943-MIN(MAX(O943,0),N920)))))</f>
        <v>46823.55834527385</v>
      </c>
      <c r="O944" s="18">
        <f>IF($A944&gt;30,O943,(O943-N920+N944)*(1+$C$7))</f>
        <v>95439.63290024118</v>
      </c>
      <c r="P944" s="18">
        <f t="shared" si="106"/>
        <v>260495.26766854263</v>
      </c>
      <c r="Q944" s="18">
        <f>IF($A944&gt;30,0,(Q920-MIN(MAX(R943,0),Q920))+MIN(MAX(0,S943-(Q920-MIN(MAX(R943,0),Q920))),MAX(0,2*Q920-(R943-MIN(MAX(R943,0),Q920)))))</f>
        <v>46823.563215610644</v>
      </c>
      <c r="R944" s="18">
        <f>IF($A944&gt;30,R943,(R943-Q920+Q944)*(1+$C$7))</f>
        <v>95439.642827362739</v>
      </c>
      <c r="S944" s="18">
        <f t="shared" si="107"/>
        <v>260495.09546101349</v>
      </c>
    </row>
    <row r="945" spans="1:19">
      <c r="A945" s="10">
        <f>23</f>
        <v>23</v>
      </c>
      <c r="B945" s="18">
        <f>IF($A945&gt;30,0,(B920-MIN(MAX(C944,0),B920))+MIN(MAX(0,D944-(B920-MIN(MAX(C944,0),B920))),MAX(0,2*B920-(C944-MIN(MAX(C944,0),B920)))))</f>
        <v>29622</v>
      </c>
      <c r="C945" s="18">
        <f>IF($A945&gt;30,C944,(C944-B920+B945)*(1+$C$7))</f>
        <v>60378</v>
      </c>
      <c r="D945" s="18">
        <f t="shared" si="102"/>
        <v>864266.40403880132</v>
      </c>
      <c r="E945" s="18">
        <f>IF($A945&gt;30,0,(E920-MIN(MAX(F944,0),E920))+MIN(MAX(0,G944-(E920-MIN(MAX(F944,0),E920))),MAX(0,2*E920-(F944-MIN(MAX(F944,0),E920)))))</f>
        <v>75000</v>
      </c>
      <c r="F945" s="18">
        <f>IF($A945&gt;30,F944,(F944-E920+E945)*(1+$C$7))</f>
        <v>0</v>
      </c>
      <c r="G945" s="18">
        <f t="shared" si="103"/>
        <v>-613804.5297563913</v>
      </c>
      <c r="H945" s="18">
        <f>IF($A945&gt;30,0,(H920-MIN(MAX(I944,0),H920))+MIN(MAX(0,J944-(H920-MIN(MAX(I944,0),H920))),MAX(0,2*H920-(I944-MIN(MAX(I944,0),H920)))))</f>
        <v>47295.599145828521</v>
      </c>
      <c r="I945" s="18">
        <f>IF($A945&gt;30,I944,(I944-H920+H945)*(1+$C$7))</f>
        <v>96401.785336129702</v>
      </c>
      <c r="J945" s="18">
        <f t="shared" si="104"/>
        <v>202404.31177368065</v>
      </c>
      <c r="K945" s="18">
        <f>IF($A945&gt;30,0,(K920-MIN(MAX(L944,0),K920))+MIN(MAX(0,M944-(K920-MIN(MAX(L944,0),K920))),MAX(0,2*K920-(L944-MIN(MAX(L944,0),K920)))))</f>
        <v>46823.351458416291</v>
      </c>
      <c r="L945" s="18">
        <f>IF($A945&gt;30,L944,(L944-K920+K945)*(1+$C$7))</f>
        <v>95439.211206409396</v>
      </c>
      <c r="M945" s="18">
        <f t="shared" si="105"/>
        <v>220089.60834960657</v>
      </c>
      <c r="N945" s="18">
        <f>IF($A945&gt;30,0,(N920-MIN(MAX(O944,0),N920))+MIN(MAX(0,P944-(N920-MIN(MAX(O944,0),N920))),MAX(0,2*N920-(O944-MIN(MAX(O944,0),N920)))))</f>
        <v>46823.55834527385</v>
      </c>
      <c r="O945" s="18">
        <f>IF($A945&gt;30,O944,(O944-N920+N945)*(1+$C$7))</f>
        <v>95439.63290024118</v>
      </c>
      <c r="P945" s="18">
        <f t="shared" si="106"/>
        <v>220081.86060296686</v>
      </c>
      <c r="Q945" s="18">
        <f>IF($A945&gt;30,0,(Q920-MIN(MAX(R944,0),Q920))+MIN(MAX(0,S944-(Q920-MIN(MAX(R944,0),Q920))),MAX(0,2*Q920-(R944-MIN(MAX(R944,0),Q920)))))</f>
        <v>46823.563215610644</v>
      </c>
      <c r="R945" s="18">
        <f>IF($A945&gt;30,R944,(R944-Q920+Q945)*(1+$C$7))</f>
        <v>95439.642827362739</v>
      </c>
      <c r="S945" s="18">
        <f t="shared" si="107"/>
        <v>220081.67821276496</v>
      </c>
    </row>
    <row r="946" spans="1:19">
      <c r="A946" s="10">
        <f>24</f>
        <v>24</v>
      </c>
      <c r="B946" s="18">
        <f>IF($A946&gt;30,0,(B920-MIN(MAX(C945,0),B920))+MIN(MAX(0,D945-(B920-MIN(MAX(C945,0),B920))),MAX(0,2*B920-(C945-MIN(MAX(C945,0),B920)))))</f>
        <v>29622</v>
      </c>
      <c r="C946" s="18">
        <f>IF($A946&gt;30,C945,(C945-B920+B946)*(1+$C$7))</f>
        <v>60378</v>
      </c>
      <c r="D946" s="18">
        <f t="shared" si="102"/>
        <v>859683.7361599654</v>
      </c>
      <c r="E946" s="18">
        <f>IF($A946&gt;30,0,(E920-MIN(MAX(F945,0),E920))+MIN(MAX(0,G945-(E920-MIN(MAX(F945,0),E920))),MAX(0,2*E920-(F945-MIN(MAX(F945,0),E920)))))</f>
        <v>75000</v>
      </c>
      <c r="F946" s="18">
        <f>IF($A946&gt;30,F945,(F945-E920+E946)*(1+$C$7))</f>
        <v>0</v>
      </c>
      <c r="G946" s="18">
        <f t="shared" si="103"/>
        <v>-709468.66564908309</v>
      </c>
      <c r="H946" s="18">
        <f>IF($A946&gt;30,0,(H920-MIN(MAX(I945,0),H920))+MIN(MAX(0,J945-(H920-MIN(MAX(I945,0),H920))),MAX(0,2*H920-(I945-MIN(MAX(I945,0),H920)))))</f>
        <v>47295.599145828521</v>
      </c>
      <c r="I946" s="18">
        <f>IF($A946&gt;30,I945,(I945-H920+H946)*(1+$C$7))</f>
        <v>96401.785336129702</v>
      </c>
      <c r="J946" s="18">
        <f t="shared" si="104"/>
        <v>159761.9740066877</v>
      </c>
      <c r="K946" s="18">
        <f>IF($A946&gt;30,0,(K920-MIN(MAX(L945,0),K920))+MIN(MAX(0,M945-(K920-MIN(MAX(L945,0),K920))),MAX(0,2*K920-(L945-MIN(MAX(L945,0),K920)))))</f>
        <v>46823.351458416291</v>
      </c>
      <c r="L946" s="18">
        <f>IF($A946&gt;30,L945,(L945-K920+K946)*(1+$C$7))</f>
        <v>95439.211206409396</v>
      </c>
      <c r="M946" s="18">
        <f t="shared" si="105"/>
        <v>178464.24459792598</v>
      </c>
      <c r="N946" s="18">
        <f>IF($A946&gt;30,0,(N920-MIN(MAX(O945,0),N920))+MIN(MAX(0,P945-(N920-MIN(MAX(O945,0),N920))),MAX(0,2*N920-(O945-MIN(MAX(O945,0),N920)))))</f>
        <v>46823.55834527385</v>
      </c>
      <c r="O946" s="18">
        <f>IF($A946&gt;30,O945,(O945-N920+N946)*(1+$C$7))</f>
        <v>95439.63290024118</v>
      </c>
      <c r="P946" s="18">
        <f t="shared" si="106"/>
        <v>178456.05132542382</v>
      </c>
      <c r="Q946" s="18">
        <f>IF($A946&gt;30,0,(Q920-MIN(MAX(R945,0),Q920))+MIN(MAX(0,S945-(Q920-MIN(MAX(R945,0),Q920))),MAX(0,2*Q920-(R945-MIN(MAX(R945,0),Q920)))))</f>
        <v>46823.563215610644</v>
      </c>
      <c r="R946" s="18">
        <f>IF($A946&gt;30,R945,(R945-Q920+Q946)*(1+$C$7))</f>
        <v>95439.642827362739</v>
      </c>
      <c r="S946" s="18">
        <f t="shared" si="107"/>
        <v>178455.85844706898</v>
      </c>
    </row>
    <row r="947" spans="1:19">
      <c r="A947" s="10">
        <f>25</f>
        <v>25</v>
      </c>
      <c r="B947" s="18">
        <f>IF($A947&gt;30,0,(B920-MIN(MAX(C946,0),B920))+MIN(MAX(0,D946-(B920-MIN(MAX(C946,0),B920))),MAX(0,2*B920-(C946-MIN(MAX(C946,0),B920)))))</f>
        <v>29622</v>
      </c>
      <c r="C947" s="18">
        <f>IF($A947&gt;30,C946,(C946-B920+B947)*(1+$C$7))</f>
        <v>60378</v>
      </c>
      <c r="D947" s="18">
        <f t="shared" si="102"/>
        <v>854963.58824476437</v>
      </c>
      <c r="E947" s="18">
        <f>IF($A947&gt;30,0,(E920-MIN(MAX(F946,0),E920))+MIN(MAX(0,G946-(E920-MIN(MAX(F946,0),E920))),MAX(0,2*E920-(F946-MIN(MAX(F946,0),E920)))))</f>
        <v>75000</v>
      </c>
      <c r="F947" s="18">
        <f>IF($A947&gt;30,F946,(F946-E920+E947)*(1+$C$7))</f>
        <v>0</v>
      </c>
      <c r="G947" s="18">
        <f t="shared" si="103"/>
        <v>-808002.72561855556</v>
      </c>
      <c r="H947" s="18">
        <f>IF($A947&gt;30,0,(H920-MIN(MAX(I946,0),H920))+MIN(MAX(0,J946-(H920-MIN(MAX(I946,0),H920))),MAX(0,2*H920-(I946-MIN(MAX(I946,0),H920)))))</f>
        <v>47295.599145828521</v>
      </c>
      <c r="I947" s="18">
        <f>IF($A947&gt;30,I946,(I946-H920+H947)*(1+$C$7))</f>
        <v>96401.785336129702</v>
      </c>
      <c r="J947" s="18">
        <f t="shared" si="104"/>
        <v>115840.36610668496</v>
      </c>
      <c r="K947" s="18">
        <f>IF($A947&gt;30,0,(K920-MIN(MAX(L946,0),K920))+MIN(MAX(0,M946-(K920-MIN(MAX(L946,0),K920))),MAX(0,2*K920-(L946-MIN(MAX(L946,0),K920)))))</f>
        <v>46823.351458416291</v>
      </c>
      <c r="L947" s="18">
        <f>IF($A947&gt;30,L946,(L946-K920+K947)*(1+$C$7))</f>
        <v>95439.211206409396</v>
      </c>
      <c r="M947" s="18">
        <f t="shared" si="105"/>
        <v>135590.11993369498</v>
      </c>
      <c r="N947" s="18">
        <f>IF($A947&gt;30,0,(N920-MIN(MAX(O946,0),N920))+MIN(MAX(0,P946-(N920-MIN(MAX(O946,0),N920))),MAX(0,2*N920-(O946-MIN(MAX(O946,0),N920)))))</f>
        <v>46823.55834527385</v>
      </c>
      <c r="O947" s="18">
        <f>IF($A947&gt;30,O946,(O946-N920+N947)*(1+$C$7))</f>
        <v>95439.63290024118</v>
      </c>
      <c r="P947" s="18">
        <f t="shared" si="106"/>
        <v>135581.4677695545</v>
      </c>
      <c r="Q947" s="18">
        <f>IF($A947&gt;30,0,(Q920-MIN(MAX(R946,0),Q920))+MIN(MAX(0,S946-(Q920-MIN(MAX(R946,0),Q920))),MAX(0,2*Q920-(R946-MIN(MAX(R946,0),Q920)))))</f>
        <v>46823.563215610644</v>
      </c>
      <c r="R947" s="18">
        <f>IF($A947&gt;30,R946,(R946-Q920+Q947)*(1+$C$7))</f>
        <v>95439.642827362739</v>
      </c>
      <c r="S947" s="18">
        <f t="shared" si="107"/>
        <v>135581.26408840207</v>
      </c>
    </row>
    <row r="948" spans="1:19">
      <c r="A948" s="10">
        <f>26</f>
        <v>26</v>
      </c>
      <c r="B948" s="18">
        <f>IF($A948&gt;30,0,(B920-MIN(MAX(C947,0),B920))+MIN(MAX(0,D947-(B920-MIN(MAX(C947,0),B920))),MAX(0,2*B920-(C947-MIN(MAX(C947,0),B920)))))</f>
        <v>29622</v>
      </c>
      <c r="C948" s="18">
        <f>IF($A948&gt;30,C947,(C947-B920+B948)*(1+$C$7))</f>
        <v>60378</v>
      </c>
      <c r="D948" s="18">
        <f t="shared" si="102"/>
        <v>850101.83589210734</v>
      </c>
      <c r="E948" s="18">
        <f>IF($A948&gt;30,0,(E920-MIN(MAX(F947,0),E920))+MIN(MAX(0,G947-(E920-MIN(MAX(F947,0),E920))),MAX(0,2*E920-(F947-MIN(MAX(F947,0),E920)))))</f>
        <v>75000</v>
      </c>
      <c r="F948" s="18">
        <f>IF($A948&gt;30,F947,(F947-E920+E948)*(1+$C$7))</f>
        <v>0</v>
      </c>
      <c r="G948" s="18">
        <f t="shared" si="103"/>
        <v>-909492.80738711229</v>
      </c>
      <c r="H948" s="18">
        <f>IF($A948&gt;30,0,(H920-MIN(MAX(I947,0),H920))+MIN(MAX(0,J947-(H920-MIN(MAX(I947,0),H920))),MAX(0,2*H920-(I947-MIN(MAX(I947,0),H920)))))</f>
        <v>47295.599145828521</v>
      </c>
      <c r="I948" s="18">
        <f>IF($A948&gt;30,I947,(I947-H920+H948)*(1+$C$7))</f>
        <v>96401.785336129702</v>
      </c>
      <c r="J948" s="18">
        <f t="shared" si="104"/>
        <v>70601.109969682147</v>
      </c>
      <c r="K948" s="18">
        <f>IF($A948&gt;30,0,(K920-MIN(MAX(L947,0),K920))+MIN(MAX(0,M947-(K920-MIN(MAX(L947,0),K920))),MAX(0,2*K920-(L947-MIN(MAX(L947,0),K920)))))</f>
        <v>46823.351458416291</v>
      </c>
      <c r="L948" s="18">
        <f>IF($A948&gt;30,L947,(L947-K920+K948)*(1+$C$7))</f>
        <v>95439.211206409396</v>
      </c>
      <c r="M948" s="18">
        <f t="shared" si="105"/>
        <v>91429.771529537058</v>
      </c>
      <c r="N948" s="18">
        <f>IF($A948&gt;30,0,(N920-MIN(MAX(O947,0),N920))+MIN(MAX(0,P947-(N920-MIN(MAX(O947,0),N920))),MAX(0,2*N920-(O947-MIN(MAX(O947,0),N920)))))</f>
        <v>46823.55834527385</v>
      </c>
      <c r="O948" s="18">
        <f>IF($A948&gt;30,O947,(O947-N920+N948)*(1+$C$7))</f>
        <v>95439.63290024118</v>
      </c>
      <c r="P948" s="18">
        <f t="shared" si="106"/>
        <v>91420.646707009073</v>
      </c>
      <c r="Q948" s="18">
        <f>IF($A948&gt;30,0,(Q920-MIN(MAX(R947,0),Q920))+MIN(MAX(0,S947-(Q920-MIN(MAX(R947,0),Q920))),MAX(0,2*Q920-(R947-MIN(MAX(R947,0),Q920)))))</f>
        <v>46823.563215610644</v>
      </c>
      <c r="R948" s="18">
        <f>IF($A948&gt;30,R947,(R947-Q920+Q948)*(1+$C$7))</f>
        <v>95439.642827362739</v>
      </c>
      <c r="S948" s="18">
        <f t="shared" si="107"/>
        <v>91420.431898975163</v>
      </c>
    </row>
    <row r="949" spans="1:19">
      <c r="A949" s="10">
        <f>27</f>
        <v>27</v>
      </c>
      <c r="B949" s="18">
        <f>IF($A949&gt;30,0,(B920-MIN(MAX(C948,0),B920))+MIN(MAX(0,D948-(B920-MIN(MAX(C948,0),B920))),MAX(0,2*B920-(C948-MIN(MAX(C948,0),B920)))))</f>
        <v>29622</v>
      </c>
      <c r="C949" s="18">
        <f>IF($A949&gt;30,C948,(C948-B920+B949)*(1+$C$7))</f>
        <v>60378</v>
      </c>
      <c r="D949" s="18">
        <f t="shared" si="102"/>
        <v>845094.23096887057</v>
      </c>
      <c r="E949" s="18">
        <f>IF($A949&gt;30,0,(E920-MIN(MAX(F948,0),E920))+MIN(MAX(0,G948-(E920-MIN(MAX(F948,0),E920))),MAX(0,2*E920-(F948-MIN(MAX(F948,0),E920)))))</f>
        <v>75000</v>
      </c>
      <c r="F949" s="18">
        <f>IF($A949&gt;30,F948,(F948-E920+E949)*(1+$C$7))</f>
        <v>0</v>
      </c>
      <c r="G949" s="18">
        <f t="shared" si="103"/>
        <v>-1014027.5916087257</v>
      </c>
      <c r="H949" s="18">
        <f>IF($A949&gt;30,0,(H920-MIN(MAX(I948,0),H920))+MIN(MAX(0,J948-(H920-MIN(MAX(I948,0),H920))),MAX(0,2*H920-(I948-MIN(MAX(I948,0),H920)))))</f>
        <v>47295.599145828521</v>
      </c>
      <c r="I949" s="18">
        <f>IF($A949&gt;30,I948,(I948-H920+H949)*(1+$C$7))</f>
        <v>96401.785336129702</v>
      </c>
      <c r="J949" s="18">
        <f t="shared" si="104"/>
        <v>24004.676148569237</v>
      </c>
      <c r="K949" s="18">
        <f>IF($A949&gt;30,0,(K920-MIN(MAX(L948,0),K920))+MIN(MAX(0,M948-(K920-MIN(MAX(L948,0),K920))),MAX(0,2*K920-(L948-MIN(MAX(L948,0),K920)))))</f>
        <v>46823.351458416291</v>
      </c>
      <c r="L949" s="18">
        <f>IF($A949&gt;30,L948,(L948-K920+K949)*(1+$C$7))</f>
        <v>95439.211206409396</v>
      </c>
      <c r="M949" s="18">
        <f t="shared" si="105"/>
        <v>45944.612673254393</v>
      </c>
      <c r="N949" s="18">
        <f>IF($A949&gt;30,0,(N920-MIN(MAX(O948,0),N920))+MIN(MAX(0,P948-(N920-MIN(MAX(O948,0),N920))),MAX(0,2*N920-(O948-MIN(MAX(O948,0),N920)))))</f>
        <v>46823.55834527385</v>
      </c>
      <c r="O949" s="18">
        <f>IF($A949&gt;30,O948,(O948-N920+N949)*(1+$C$7))</f>
        <v>95439.63290024118</v>
      </c>
      <c r="P949" s="18">
        <f t="shared" si="106"/>
        <v>45935.00101258728</v>
      </c>
      <c r="Q949" s="18">
        <f>IF($A949&gt;30,0,(Q920-MIN(MAX(R948,0),Q920))+MIN(MAX(0,S948-(Q920-MIN(MAX(R948,0),Q920))),MAX(0,2*Q920-(R948-MIN(MAX(R948,0),Q920)))))</f>
        <v>46823.563215610644</v>
      </c>
      <c r="R949" s="18">
        <f>IF($A949&gt;30,R948,(R948-Q920+Q949)*(1+$C$7))</f>
        <v>95439.642827362739</v>
      </c>
      <c r="S949" s="18">
        <f t="shared" si="107"/>
        <v>45934.774743865455</v>
      </c>
    </row>
    <row r="950" spans="1:19">
      <c r="A950" s="10">
        <f>28</f>
        <v>28</v>
      </c>
      <c r="B950" s="18">
        <f>IF($A950&gt;30,0,(B920-MIN(MAX(C949,0),B920))+MIN(MAX(0,D949-(B920-MIN(MAX(C949,0),B920))),MAX(0,2*B920-(C949-MIN(MAX(C949,0),B920)))))</f>
        <v>29622</v>
      </c>
      <c r="C950" s="18">
        <f>IF($A950&gt;30,C949,(C949-B920+B950)*(1+$C$7))</f>
        <v>60378</v>
      </c>
      <c r="D950" s="18">
        <f t="shared" si="102"/>
        <v>839936.39789793675</v>
      </c>
      <c r="E950" s="18">
        <f>IF($A950&gt;30,0,(E920-MIN(MAX(F949,0),E920))+MIN(MAX(0,G949-(E920-MIN(MAX(F949,0),E920))),MAX(0,2*E920-(F949-MIN(MAX(F949,0),E920)))))</f>
        <v>75000</v>
      </c>
      <c r="F950" s="18">
        <f>IF($A950&gt;30,F949,(F949-E920+E950)*(1+$C$7))</f>
        <v>0</v>
      </c>
      <c r="G950" s="18">
        <f t="shared" si="103"/>
        <v>-1121698.4193569876</v>
      </c>
      <c r="H950" s="18">
        <f>IF($A950&gt;30,0,(H920-MIN(MAX(I949,0),H920))+MIN(MAX(0,J949-(H920-MIN(MAX(I949,0),H920))),MAX(0,2*H920-(I949-MIN(MAX(I949,0),H920)))))</f>
        <v>24004.676148569237</v>
      </c>
      <c r="I950" s="18">
        <f>IF($A950&gt;30,I949,(I949-H920+H950)*(1+$C$7))</f>
        <v>72964.129523987678</v>
      </c>
      <c r="J950" s="18">
        <f t="shared" si="104"/>
        <v>0</v>
      </c>
      <c r="K950" s="18">
        <f>IF($A950&gt;30,0,(K920-MIN(MAX(L949,0),K920))+MIN(MAX(0,M949-(K920-MIN(MAX(L949,0),K920))),MAX(0,2*K920-(L949-MIN(MAX(L949,0),K920)))))</f>
        <v>45944.612673254393</v>
      </c>
      <c r="L950" s="18">
        <f>IF($A950&gt;30,L949,(L949-K920+K950)*(1+$C$7))</f>
        <v>94554.936366900976</v>
      </c>
      <c r="M950" s="18">
        <f t="shared" si="105"/>
        <v>0</v>
      </c>
      <c r="N950" s="18">
        <f>IF($A950&gt;30,0,(N920-MIN(MAX(O949,0),N920))+MIN(MAX(0,P949-(N920-MIN(MAX(O949,0),N920))),MAX(0,2*N920-(O949-MIN(MAX(O949,0),N920)))))</f>
        <v>45935.00101258728</v>
      </c>
      <c r="O950" s="18">
        <f>IF($A950&gt;30,O949,(O949-N920+N950)*(1+$C$7))</f>
        <v>94545.477656358678</v>
      </c>
      <c r="P950" s="18">
        <f t="shared" si="106"/>
        <v>0</v>
      </c>
      <c r="Q950" s="18">
        <f>IF($A950&gt;30,0,(Q920-MIN(MAX(R949,0),Q920))+MIN(MAX(0,S949-(Q920-MIN(MAX(R949,0),Q920))),MAX(0,2*Q920-(R949-MIN(MAX(R949,0),Q920)))))</f>
        <v>45934.774743865455</v>
      </c>
      <c r="R950" s="18">
        <f>IF($A950&gt;30,R949,(R949-Q920+Q950)*(1+$C$7))</f>
        <v>94545.254988245564</v>
      </c>
      <c r="S950" s="18">
        <f t="shared" si="107"/>
        <v>0</v>
      </c>
    </row>
    <row r="951" spans="1:19">
      <c r="A951" s="10">
        <f>29</f>
        <v>29</v>
      </c>
      <c r="B951" s="18">
        <f>IF($A951&gt;30,0,(B920-MIN(MAX(C950,0),B920))+MIN(MAX(0,D950-(B920-MIN(MAX(C950,0),B920))),MAX(0,2*B920-(C950-MIN(MAX(C950,0),B920)))))</f>
        <v>29622</v>
      </c>
      <c r="C951" s="18">
        <f>IF($A951&gt;30,C950,(C950-B920+B951)*(1+$C$7))</f>
        <v>60378</v>
      </c>
      <c r="D951" s="18">
        <f t="shared" si="102"/>
        <v>834623.82983487484</v>
      </c>
      <c r="E951" s="18">
        <f>IF($A951&gt;30,0,(E920-MIN(MAX(F950,0),E920))+MIN(MAX(0,G950-(E920-MIN(MAX(F950,0),E920))),MAX(0,2*E920-(F950-MIN(MAX(F950,0),E920)))))</f>
        <v>75000</v>
      </c>
      <c r="F951" s="18">
        <f>IF($A951&gt;30,F950,(F950-E920+E951)*(1+$C$7))</f>
        <v>0</v>
      </c>
      <c r="G951" s="18">
        <f t="shared" si="103"/>
        <v>-1232599.3719376973</v>
      </c>
      <c r="H951" s="18">
        <f>IF($A951&gt;30,0,(H920-MIN(MAX(I950,0),H920))+MIN(MAX(0,J950-(H920-MIN(MAX(I950,0),H920))),MAX(0,2*H920-(I950-MIN(MAX(I950,0),H920)))))</f>
        <v>0</v>
      </c>
      <c r="I951" s="18">
        <f>IF($A951&gt;30,I950,(I950-H920+H951)*(1+$C$7))</f>
        <v>25222.910871923945</v>
      </c>
      <c r="J951" s="18">
        <f t="shared" si="104"/>
        <v>0</v>
      </c>
      <c r="K951" s="18">
        <f>IF($A951&gt;30,0,(K920-MIN(MAX(L950,0),K920))+MIN(MAX(0,M950-(K920-MIN(MAX(L950,0),K920))),MAX(0,2*K920-(L950-MIN(MAX(L950,0),K920)))))</f>
        <v>0</v>
      </c>
      <c r="L951" s="18">
        <f>IF($A951&gt;30,L950,(L950-K920+K951)*(1+$C$7))</f>
        <v>47431.026862807754</v>
      </c>
      <c r="M951" s="18">
        <f t="shared" si="105"/>
        <v>0</v>
      </c>
      <c r="N951" s="18">
        <f>IF($A951&gt;30,0,(N920-MIN(MAX(O950,0),N920))+MIN(MAX(0,P950-(N920-MIN(MAX(O950,0),N920))),MAX(0,2*N920-(O950-MIN(MAX(O950,0),N920)))))</f>
        <v>0</v>
      </c>
      <c r="O951" s="18">
        <f>IF($A951&gt;30,O950,(O950-N920+N951)*(1+$C$7))</f>
        <v>47421.297715473142</v>
      </c>
      <c r="P951" s="18">
        <f t="shared" si="106"/>
        <v>0</v>
      </c>
      <c r="Q951" s="18">
        <f>IF($A951&gt;30,0,(Q920-MIN(MAX(R950,0),Q920))+MIN(MAX(0,S950-(Q920-MIN(MAX(R950,0),Q920))),MAX(0,2*Q920-(R950-MIN(MAX(R950,0),Q920)))))</f>
        <v>0</v>
      </c>
      <c r="R951" s="18">
        <f>IF($A951&gt;30,R950,(R950-Q920+Q951)*(1+$C$7))</f>
        <v>47421.068680990138</v>
      </c>
      <c r="S951" s="18">
        <f t="shared" si="107"/>
        <v>0</v>
      </c>
    </row>
    <row r="952" spans="1:19">
      <c r="A952" s="10">
        <f>30</f>
        <v>30</v>
      </c>
      <c r="B952" s="18">
        <f>IF($A952&gt;30,0,(B920-MIN(MAX(C951,0),B920))+MIN(MAX(0,D951-(B920-MIN(MAX(C951,0),B920))),MAX(0,2*B920-(C951-MIN(MAX(C951,0),B920)))))</f>
        <v>29622</v>
      </c>
      <c r="C952" s="18">
        <f>IF($A952&gt;30,C951,(C951-B920+B952)*(1+$C$7))</f>
        <v>60378</v>
      </c>
      <c r="D952" s="18">
        <f t="shared" si="102"/>
        <v>829151.88472992112</v>
      </c>
      <c r="E952" s="18">
        <f>IF($A952&gt;30,0,(E920-MIN(MAX(F951,0),E920))+MIN(MAX(0,G951-(E920-MIN(MAX(F951,0),E920))),MAX(0,2*E920-(F951-MIN(MAX(F951,0),E920)))))</f>
        <v>75000</v>
      </c>
      <c r="F952" s="18">
        <f>IF($A952&gt;30,F951,(F951-E920+E952)*(1+$C$7))</f>
        <v>0</v>
      </c>
      <c r="G952" s="18">
        <f t="shared" si="103"/>
        <v>-1346827.3530958283</v>
      </c>
      <c r="H952" s="18">
        <f>IF($A952&gt;30,0,(H920-MIN(MAX(I951,0),H920))+MIN(MAX(0,J951-(H920-MIN(MAX(I951,0),H920))),MAX(0,2*H920-(I951-MIN(MAX(I951,0),H920)))))</f>
        <v>22676.217288728796</v>
      </c>
      <c r="I952" s="18">
        <f>IF($A952&gt;30,I951,(I951-H920+H952)*(1+$C$7))</f>
        <v>0</v>
      </c>
      <c r="J952" s="18">
        <f t="shared" si="104"/>
        <v>-23356.503807390662</v>
      </c>
      <c r="K952" s="18">
        <f>IF($A952&gt;30,0,(K920-MIN(MAX(L951,0),K920))+MIN(MAX(0,M951-(K920-MIN(MAX(L951,0),K920))),MAX(0,2*K920-(L951-MIN(MAX(L951,0),K920)))))</f>
        <v>0</v>
      </c>
      <c r="L952" s="18">
        <f>IF($A952&gt;30,L951,(L951-K920+K952)*(1+$C$7))</f>
        <v>10.236728838746179</v>
      </c>
      <c r="M952" s="18">
        <f t="shared" si="105"/>
        <v>0</v>
      </c>
      <c r="N952" s="18">
        <f>IF($A952&gt;30,0,(N920-MIN(MAX(O951,0),N920))+MIN(MAX(0,P951-(N920-MIN(MAX(O951,0),N920))),MAX(0,2*N920-(O951-MIN(MAX(O951,0),N920)))))</f>
        <v>0</v>
      </c>
      <c r="O952" s="18">
        <f>IF($A952&gt;30,O951,(O951-N920+N952)*(1+$C$7))</f>
        <v>0.23544096003065423</v>
      </c>
      <c r="P952" s="18">
        <f t="shared" si="106"/>
        <v>0</v>
      </c>
      <c r="Q952" s="18">
        <f>IF($A952&gt;30,0,(Q920-MIN(MAX(R951,0),Q920))+MIN(MAX(0,S951-(Q920-MIN(MAX(R951,0),Q920))),MAX(0,2*Q920-(R951-MIN(MAX(R951,0),Q920)))))</f>
        <v>9.8953023552894592E-10</v>
      </c>
      <c r="R952" s="18">
        <f>IF($A952&gt;30,R951,(R951-Q920+Q952)*(1+$C$7))</f>
        <v>0</v>
      </c>
      <c r="S952" s="18">
        <f t="shared" si="107"/>
        <v>-1.0192161425948144E-9</v>
      </c>
    </row>
    <row r="953" spans="1:19">
      <c r="A953" s="10">
        <f>31</f>
        <v>31</v>
      </c>
      <c r="B953" s="18">
        <f>IF($A953&gt;30,0,(B920-MIN(MAX(C952,0),B920))+MIN(MAX(0,D952-(B920-MIN(MAX(C952,0),B920))),MAX(0,2*B920-(C952-MIN(MAX(C952,0),B920)))))</f>
        <v>0</v>
      </c>
      <c r="C953" s="18">
        <f>IF($A953&gt;30,C952,(C952-B920+B953)*(1+$C$7))</f>
        <v>60378</v>
      </c>
      <c r="D953" s="18">
        <f t="shared" si="102"/>
        <v>829151.88472992112</v>
      </c>
      <c r="E953" s="18">
        <f>IF($A953&gt;30,0,(E920-MIN(MAX(F952,0),E920))+MIN(MAX(0,G952-(E920-MIN(MAX(F952,0),E920))),MAX(0,2*E920-(F952-MIN(MAX(F952,0),E920)))))</f>
        <v>0</v>
      </c>
      <c r="F953" s="18">
        <f>IF($A953&gt;30,F952,(F952-E920+E953)*(1+$C$7))</f>
        <v>0</v>
      </c>
      <c r="G953" s="18">
        <f t="shared" si="103"/>
        <v>-1346827.3530958283</v>
      </c>
      <c r="H953" s="18">
        <f>IF($A953&gt;30,0,(H920-MIN(MAX(I952,0),H920))+MIN(MAX(0,J952-(H920-MIN(MAX(I952,0),H920))),MAX(0,2*H920-(I952-MIN(MAX(I952,0),H920)))))</f>
        <v>0</v>
      </c>
      <c r="I953" s="18">
        <f>IF($A953&gt;30,I952,(I952-H920+H953)*(1+$C$7))</f>
        <v>0</v>
      </c>
      <c r="J953" s="18">
        <f t="shared" si="104"/>
        <v>-23356.503807390662</v>
      </c>
      <c r="K953" s="18">
        <f>IF($A953&gt;30,0,(K920-MIN(MAX(L952,0),K920))+MIN(MAX(0,M952-(K920-MIN(MAX(L952,0),K920))),MAX(0,2*K920-(L952-MIN(MAX(L952,0),K920)))))</f>
        <v>0</v>
      </c>
      <c r="L953" s="18">
        <f>IF($A953&gt;30,L952,(L952-K920+K953)*(1+$C$7))</f>
        <v>10.236728838746179</v>
      </c>
      <c r="M953" s="18">
        <f t="shared" si="105"/>
        <v>0</v>
      </c>
      <c r="N953" s="18">
        <f>IF($A953&gt;30,0,(N920-MIN(MAX(O952,0),N920))+MIN(MAX(0,P952-(N920-MIN(MAX(O952,0),N920))),MAX(0,2*N920-(O952-MIN(MAX(O952,0),N920)))))</f>
        <v>0</v>
      </c>
      <c r="O953" s="18">
        <f>IF($A953&gt;30,O952,(O952-N920+N953)*(1+$C$7))</f>
        <v>0.23544096003065423</v>
      </c>
      <c r="P953" s="18">
        <f t="shared" si="106"/>
        <v>0</v>
      </c>
      <c r="Q953" s="18">
        <f>IF($A953&gt;30,0,(Q920-MIN(MAX(R952,0),Q920))+MIN(MAX(0,S952-(Q920-MIN(MAX(R952,0),Q920))),MAX(0,2*Q920-(R952-MIN(MAX(R952,0),Q920)))))</f>
        <v>0</v>
      </c>
      <c r="R953" s="18">
        <f>IF($A953&gt;30,R952,(R952-Q920+Q953)*(1+$C$7))</f>
        <v>0</v>
      </c>
      <c r="S953" s="18">
        <f t="shared" si="107"/>
        <v>-1.0192161425948144E-9</v>
      </c>
    </row>
    <row r="954" spans="1:19">
      <c r="A954" s="10">
        <f>32</f>
        <v>32</v>
      </c>
      <c r="B954" s="18">
        <f>IF($A954&gt;30,0,(B920-MIN(MAX(C953,0),B920))+MIN(MAX(0,D953-(B920-MIN(MAX(C953,0),B920))),MAX(0,2*B920-(C953-MIN(MAX(C953,0),B920)))))</f>
        <v>0</v>
      </c>
      <c r="C954" s="18">
        <f>IF($A954&gt;30,C953,(C953-B920+B954)*(1+$C$7))</f>
        <v>60378</v>
      </c>
      <c r="D954" s="18">
        <f t="shared" si="102"/>
        <v>829151.88472992112</v>
      </c>
      <c r="E954" s="18">
        <f>IF($A954&gt;30,0,(E920-MIN(MAX(F953,0),E920))+MIN(MAX(0,G953-(E920-MIN(MAX(F953,0),E920))),MAX(0,2*E920-(F953-MIN(MAX(F953,0),E920)))))</f>
        <v>0</v>
      </c>
      <c r="F954" s="18">
        <f>IF($A954&gt;30,F953,(F953-E920+E954)*(1+$C$7))</f>
        <v>0</v>
      </c>
      <c r="G954" s="18">
        <f t="shared" si="103"/>
        <v>-1346827.3530958283</v>
      </c>
      <c r="H954" s="18">
        <f>IF($A954&gt;30,0,(H920-MIN(MAX(I953,0),H920))+MIN(MAX(0,J953-(H920-MIN(MAX(I953,0),H920))),MAX(0,2*H920-(I953-MIN(MAX(I953,0),H920)))))</f>
        <v>0</v>
      </c>
      <c r="I954" s="18">
        <f>IF($A954&gt;30,I953,(I953-H920+H954)*(1+$C$7))</f>
        <v>0</v>
      </c>
      <c r="J954" s="18">
        <f t="shared" si="104"/>
        <v>-23356.503807390662</v>
      </c>
      <c r="K954" s="18">
        <f>IF($A954&gt;30,0,(K920-MIN(MAX(L953,0),K920))+MIN(MAX(0,M953-(K920-MIN(MAX(L953,0),K920))),MAX(0,2*K920-(L953-MIN(MAX(L953,0),K920)))))</f>
        <v>0</v>
      </c>
      <c r="L954" s="18">
        <f>IF($A954&gt;30,L953,(L953-K920+K954)*(1+$C$7))</f>
        <v>10.236728838746179</v>
      </c>
      <c r="M954" s="18">
        <f t="shared" si="105"/>
        <v>0</v>
      </c>
      <c r="N954" s="18">
        <f>IF($A954&gt;30,0,(N920-MIN(MAX(O953,0),N920))+MIN(MAX(0,P953-(N920-MIN(MAX(O953,0),N920))),MAX(0,2*N920-(O953-MIN(MAX(O953,0),N920)))))</f>
        <v>0</v>
      </c>
      <c r="O954" s="18">
        <f>IF($A954&gt;30,O953,(O953-N920+N954)*(1+$C$7))</f>
        <v>0.23544096003065423</v>
      </c>
      <c r="P954" s="18">
        <f t="shared" si="106"/>
        <v>0</v>
      </c>
      <c r="Q954" s="18">
        <f>IF($A954&gt;30,0,(Q920-MIN(MAX(R953,0),Q920))+MIN(MAX(0,S953-(Q920-MIN(MAX(R953,0),Q920))),MAX(0,2*Q920-(R953-MIN(MAX(R953,0),Q920)))))</f>
        <v>0</v>
      </c>
      <c r="R954" s="18">
        <f>IF($A954&gt;30,R953,(R953-Q920+Q954)*(1+$C$7))</f>
        <v>0</v>
      </c>
      <c r="S954" s="18">
        <f t="shared" si="107"/>
        <v>-1.0192161425948144E-9</v>
      </c>
    </row>
    <row r="955" spans="1:19">
      <c r="A955" s="10">
        <f>33</f>
        <v>33</v>
      </c>
      <c r="B955" s="18">
        <f>IF($A955&gt;30,0,(B920-MIN(MAX(C954,0),B920))+MIN(MAX(0,D954-(B920-MIN(MAX(C954,0),B920))),MAX(0,2*B920-(C954-MIN(MAX(C954,0),B920)))))</f>
        <v>0</v>
      </c>
      <c r="C955" s="18">
        <f>IF($A955&gt;30,C954,(C954-B920+B955)*(1+$C$7))</f>
        <v>60378</v>
      </c>
      <c r="D955" s="18">
        <f t="shared" si="102"/>
        <v>829151.88472992112</v>
      </c>
      <c r="E955" s="18">
        <f>IF($A955&gt;30,0,(E920-MIN(MAX(F954,0),E920))+MIN(MAX(0,G954-(E920-MIN(MAX(F954,0),E920))),MAX(0,2*E920-(F954-MIN(MAX(F954,0),E920)))))</f>
        <v>0</v>
      </c>
      <c r="F955" s="18">
        <f>IF($A955&gt;30,F954,(F954-E920+E955)*(1+$C$7))</f>
        <v>0</v>
      </c>
      <c r="G955" s="18">
        <f t="shared" si="103"/>
        <v>-1346827.3530958283</v>
      </c>
      <c r="H955" s="18">
        <f>IF($A955&gt;30,0,(H920-MIN(MAX(I954,0),H920))+MIN(MAX(0,J954-(H920-MIN(MAX(I954,0),H920))),MAX(0,2*H920-(I954-MIN(MAX(I954,0),H920)))))</f>
        <v>0</v>
      </c>
      <c r="I955" s="18">
        <f>IF($A955&gt;30,I954,(I954-H920+H955)*(1+$C$7))</f>
        <v>0</v>
      </c>
      <c r="J955" s="18">
        <f t="shared" si="104"/>
        <v>-23356.503807390662</v>
      </c>
      <c r="K955" s="18">
        <f>IF($A955&gt;30,0,(K920-MIN(MAX(L954,0),K920))+MIN(MAX(0,M954-(K920-MIN(MAX(L954,0),K920))),MAX(0,2*K920-(L954-MIN(MAX(L954,0),K920)))))</f>
        <v>0</v>
      </c>
      <c r="L955" s="18">
        <f>IF($A955&gt;30,L954,(L954-K920+K955)*(1+$C$7))</f>
        <v>10.236728838746179</v>
      </c>
      <c r="M955" s="18">
        <f t="shared" si="105"/>
        <v>0</v>
      </c>
      <c r="N955" s="18">
        <f>IF($A955&gt;30,0,(N920-MIN(MAX(O954,0),N920))+MIN(MAX(0,P954-(N920-MIN(MAX(O954,0),N920))),MAX(0,2*N920-(O954-MIN(MAX(O954,0),N920)))))</f>
        <v>0</v>
      </c>
      <c r="O955" s="18">
        <f>IF($A955&gt;30,O954,(O954-N920+N955)*(1+$C$7))</f>
        <v>0.23544096003065423</v>
      </c>
      <c r="P955" s="18">
        <f t="shared" si="106"/>
        <v>0</v>
      </c>
      <c r="Q955" s="18">
        <f>IF($A955&gt;30,0,(Q920-MIN(MAX(R954,0),Q920))+MIN(MAX(0,S954-(Q920-MIN(MAX(R954,0),Q920))),MAX(0,2*Q920-(R954-MIN(MAX(R954,0),Q920)))))</f>
        <v>0</v>
      </c>
      <c r="R955" s="18">
        <f>IF($A955&gt;30,R954,(R954-Q920+Q955)*(1+$C$7))</f>
        <v>0</v>
      </c>
      <c r="S955" s="18">
        <f t="shared" si="107"/>
        <v>-1.0192161425948144E-9</v>
      </c>
    </row>
    <row r="956" spans="1:19">
      <c r="A956" s="10">
        <f>34</f>
        <v>34</v>
      </c>
      <c r="B956" s="18">
        <f>IF($A956&gt;30,0,(B920-MIN(MAX(C955,0),B920))+MIN(MAX(0,D955-(B920-MIN(MAX(C955,0),B920))),MAX(0,2*B920-(C955-MIN(MAX(C955,0),B920)))))</f>
        <v>0</v>
      </c>
      <c r="C956" s="18">
        <f>IF($A956&gt;30,C955,(C955-B920+B956)*(1+$C$7))</f>
        <v>60378</v>
      </c>
      <c r="D956" s="18">
        <f t="shared" si="102"/>
        <v>829151.88472992112</v>
      </c>
      <c r="E956" s="18">
        <f>IF($A956&gt;30,0,(E920-MIN(MAX(F955,0),E920))+MIN(MAX(0,G955-(E920-MIN(MAX(F955,0),E920))),MAX(0,2*E920-(F955-MIN(MAX(F955,0),E920)))))</f>
        <v>0</v>
      </c>
      <c r="F956" s="18">
        <f>IF($A956&gt;30,F955,(F955-E920+E956)*(1+$C$7))</f>
        <v>0</v>
      </c>
      <c r="G956" s="18">
        <f t="shared" si="103"/>
        <v>-1346827.3530958283</v>
      </c>
      <c r="H956" s="18">
        <f>IF($A956&gt;30,0,(H920-MIN(MAX(I955,0),H920))+MIN(MAX(0,J955-(H920-MIN(MAX(I955,0),H920))),MAX(0,2*H920-(I955-MIN(MAX(I955,0),H920)))))</f>
        <v>0</v>
      </c>
      <c r="I956" s="18">
        <f>IF($A956&gt;30,I955,(I955-H920+H956)*(1+$C$7))</f>
        <v>0</v>
      </c>
      <c r="J956" s="18">
        <f t="shared" si="104"/>
        <v>-23356.503807390662</v>
      </c>
      <c r="K956" s="18">
        <f>IF($A956&gt;30,0,(K920-MIN(MAX(L955,0),K920))+MIN(MAX(0,M955-(K920-MIN(MAX(L955,0),K920))),MAX(0,2*K920-(L955-MIN(MAX(L955,0),K920)))))</f>
        <v>0</v>
      </c>
      <c r="L956" s="18">
        <f>IF($A956&gt;30,L955,(L955-K920+K956)*(1+$C$7))</f>
        <v>10.236728838746179</v>
      </c>
      <c r="M956" s="18">
        <f t="shared" si="105"/>
        <v>0</v>
      </c>
      <c r="N956" s="18">
        <f>IF($A956&gt;30,0,(N920-MIN(MAX(O955,0),N920))+MIN(MAX(0,P955-(N920-MIN(MAX(O955,0),N920))),MAX(0,2*N920-(O955-MIN(MAX(O955,0),N920)))))</f>
        <v>0</v>
      </c>
      <c r="O956" s="18">
        <f>IF($A956&gt;30,O955,(O955-N920+N956)*(1+$C$7))</f>
        <v>0.23544096003065423</v>
      </c>
      <c r="P956" s="18">
        <f t="shared" si="106"/>
        <v>0</v>
      </c>
      <c r="Q956" s="18">
        <f>IF($A956&gt;30,0,(Q920-MIN(MAX(R955,0),Q920))+MIN(MAX(0,S955-(Q920-MIN(MAX(R955,0),Q920))),MAX(0,2*Q920-(R955-MIN(MAX(R955,0),Q920)))))</f>
        <v>0</v>
      </c>
      <c r="R956" s="18">
        <f>IF($A956&gt;30,R955,(R955-Q920+Q956)*(1+$C$7))</f>
        <v>0</v>
      </c>
      <c r="S956" s="18">
        <f t="shared" si="107"/>
        <v>-1.0192161425948144E-9</v>
      </c>
    </row>
    <row r="957" spans="1:19">
      <c r="A957" s="10">
        <f>35</f>
        <v>35</v>
      </c>
      <c r="B957" s="18">
        <f>IF($A957&gt;30,0,(B920-MIN(MAX(C956,0),B920))+MIN(MAX(0,D956-(B920-MIN(MAX(C956,0),B920))),MAX(0,2*B920-(C956-MIN(MAX(C956,0),B920)))))</f>
        <v>0</v>
      </c>
      <c r="C957" s="18">
        <f>IF($A957&gt;30,C956,(C956-B920+B957)*(1+$C$7))</f>
        <v>60378</v>
      </c>
      <c r="D957" s="18">
        <f t="shared" si="102"/>
        <v>829151.88472992112</v>
      </c>
      <c r="E957" s="18">
        <f>IF($A957&gt;30,0,(E920-MIN(MAX(F956,0),E920))+MIN(MAX(0,G956-(E920-MIN(MAX(F956,0),E920))),MAX(0,2*E920-(F956-MIN(MAX(F956,0),E920)))))</f>
        <v>0</v>
      </c>
      <c r="F957" s="18">
        <f>IF($A957&gt;30,F956,(F956-E920+E957)*(1+$C$7))</f>
        <v>0</v>
      </c>
      <c r="G957" s="18">
        <f t="shared" si="103"/>
        <v>-1346827.3530958283</v>
      </c>
      <c r="H957" s="18">
        <f>IF($A957&gt;30,0,(H920-MIN(MAX(I956,0),H920))+MIN(MAX(0,J956-(H920-MIN(MAX(I956,0),H920))),MAX(0,2*H920-(I956-MIN(MAX(I956,0),H920)))))</f>
        <v>0</v>
      </c>
      <c r="I957" s="18">
        <f>IF($A957&gt;30,I956,(I956-H920+H957)*(1+$C$7))</f>
        <v>0</v>
      </c>
      <c r="J957" s="18">
        <f t="shared" si="104"/>
        <v>-23356.503807390662</v>
      </c>
      <c r="K957" s="18">
        <f>IF($A957&gt;30,0,(K920-MIN(MAX(L956,0),K920))+MIN(MAX(0,M956-(K920-MIN(MAX(L956,0),K920))),MAX(0,2*K920-(L956-MIN(MAX(L956,0),K920)))))</f>
        <v>0</v>
      </c>
      <c r="L957" s="18">
        <f>IF($A957&gt;30,L956,(L956-K920+K957)*(1+$C$7))</f>
        <v>10.236728838746179</v>
      </c>
      <c r="M957" s="18">
        <f t="shared" si="105"/>
        <v>0</v>
      </c>
      <c r="N957" s="18">
        <f>IF($A957&gt;30,0,(N920-MIN(MAX(O956,0),N920))+MIN(MAX(0,P956-(N920-MIN(MAX(O956,0),N920))),MAX(0,2*N920-(O956-MIN(MAX(O956,0),N920)))))</f>
        <v>0</v>
      </c>
      <c r="O957" s="18">
        <f>IF($A957&gt;30,O956,(O956-N920+N957)*(1+$C$7))</f>
        <v>0.23544096003065423</v>
      </c>
      <c r="P957" s="18">
        <f t="shared" si="106"/>
        <v>0</v>
      </c>
      <c r="Q957" s="18">
        <f>IF($A957&gt;30,0,(Q920-MIN(MAX(R956,0),Q920))+MIN(MAX(0,S956-(Q920-MIN(MAX(R956,0),Q920))),MAX(0,2*Q920-(R956-MIN(MAX(R956,0),Q920)))))</f>
        <v>0</v>
      </c>
      <c r="R957" s="18">
        <f>IF($A957&gt;30,R956,(R956-Q920+Q957)*(1+$C$7))</f>
        <v>0</v>
      </c>
      <c r="S957" s="18">
        <f t="shared" si="107"/>
        <v>-1.0192161425948144E-9</v>
      </c>
    </row>
    <row r="958" spans="1:19">
      <c r="A958" s="10">
        <f>36</f>
        <v>36</v>
      </c>
      <c r="B958" s="18">
        <f>IF($A958&gt;30,0,(B920-MIN(MAX(C957,0),B920))+MIN(MAX(0,D957-(B920-MIN(MAX(C957,0),B920))),MAX(0,2*B920-(C957-MIN(MAX(C957,0),B920)))))</f>
        <v>0</v>
      </c>
      <c r="C958" s="18">
        <f>IF($A958&gt;30,C957,(C957-B920+B958)*(1+$C$7))</f>
        <v>60378</v>
      </c>
      <c r="D958" s="18">
        <f t="shared" si="102"/>
        <v>829151.88472992112</v>
      </c>
      <c r="E958" s="18">
        <f>IF($A958&gt;30,0,(E920-MIN(MAX(F957,0),E920))+MIN(MAX(0,G957-(E920-MIN(MAX(F957,0),E920))),MAX(0,2*E920-(F957-MIN(MAX(F957,0),E920)))))</f>
        <v>0</v>
      </c>
      <c r="F958" s="18">
        <f>IF($A958&gt;30,F957,(F957-E920+E958)*(1+$C$7))</f>
        <v>0</v>
      </c>
      <c r="G958" s="18">
        <f t="shared" si="103"/>
        <v>-1346827.3530958283</v>
      </c>
      <c r="H958" s="18">
        <f>IF($A958&gt;30,0,(H920-MIN(MAX(I957,0),H920))+MIN(MAX(0,J957-(H920-MIN(MAX(I957,0),H920))),MAX(0,2*H920-(I957-MIN(MAX(I957,0),H920)))))</f>
        <v>0</v>
      </c>
      <c r="I958" s="18">
        <f>IF($A958&gt;30,I957,(I957-H920+H958)*(1+$C$7))</f>
        <v>0</v>
      </c>
      <c r="J958" s="18">
        <f t="shared" si="104"/>
        <v>-23356.503807390662</v>
      </c>
      <c r="K958" s="18">
        <f>IF($A958&gt;30,0,(K920-MIN(MAX(L957,0),K920))+MIN(MAX(0,M957-(K920-MIN(MAX(L957,0),K920))),MAX(0,2*K920-(L957-MIN(MAX(L957,0),K920)))))</f>
        <v>0</v>
      </c>
      <c r="L958" s="18">
        <f>IF($A958&gt;30,L957,(L957-K920+K958)*(1+$C$7))</f>
        <v>10.236728838746179</v>
      </c>
      <c r="M958" s="18">
        <f t="shared" si="105"/>
        <v>0</v>
      </c>
      <c r="N958" s="18">
        <f>IF($A958&gt;30,0,(N920-MIN(MAX(O957,0),N920))+MIN(MAX(0,P957-(N920-MIN(MAX(O957,0),N920))),MAX(0,2*N920-(O957-MIN(MAX(O957,0),N920)))))</f>
        <v>0</v>
      </c>
      <c r="O958" s="18">
        <f>IF($A958&gt;30,O957,(O957-N920+N958)*(1+$C$7))</f>
        <v>0.23544096003065423</v>
      </c>
      <c r="P958" s="18">
        <f t="shared" si="106"/>
        <v>0</v>
      </c>
      <c r="Q958" s="18">
        <f>IF($A958&gt;30,0,(Q920-MIN(MAX(R957,0),Q920))+MIN(MAX(0,S957-(Q920-MIN(MAX(R957,0),Q920))),MAX(0,2*Q920-(R957-MIN(MAX(R957,0),Q920)))))</f>
        <v>0</v>
      </c>
      <c r="R958" s="18">
        <f>IF($A958&gt;30,R957,(R957-Q920+Q958)*(1+$C$7))</f>
        <v>0</v>
      </c>
      <c r="S958" s="18">
        <f t="shared" si="107"/>
        <v>-1.0192161425948144E-9</v>
      </c>
    </row>
    <row r="959" spans="1:19">
      <c r="A959" s="10">
        <f>37</f>
        <v>37</v>
      </c>
      <c r="B959" s="18">
        <f>IF($A959&gt;30,0,(B920-MIN(MAX(C958,0),B920))+MIN(MAX(0,D958-(B920-MIN(MAX(C958,0),B920))),MAX(0,2*B920-(C958-MIN(MAX(C958,0),B920)))))</f>
        <v>0</v>
      </c>
      <c r="C959" s="18">
        <f>IF($A959&gt;30,C958,(C958-B920+B959)*(1+$C$7))</f>
        <v>60378</v>
      </c>
      <c r="D959" s="18">
        <f t="shared" si="102"/>
        <v>829151.88472992112</v>
      </c>
      <c r="E959" s="18">
        <f>IF($A959&gt;30,0,(E920-MIN(MAX(F958,0),E920))+MIN(MAX(0,G958-(E920-MIN(MAX(F958,0),E920))),MAX(0,2*E920-(F958-MIN(MAX(F958,0),E920)))))</f>
        <v>0</v>
      </c>
      <c r="F959" s="18">
        <f>IF($A959&gt;30,F958,(F958-E920+E959)*(1+$C$7))</f>
        <v>0</v>
      </c>
      <c r="G959" s="18">
        <f t="shared" si="103"/>
        <v>-1346827.3530958283</v>
      </c>
      <c r="H959" s="18">
        <f>IF($A959&gt;30,0,(H920-MIN(MAX(I958,0),H920))+MIN(MAX(0,J958-(H920-MIN(MAX(I958,0),H920))),MAX(0,2*H920-(I958-MIN(MAX(I958,0),H920)))))</f>
        <v>0</v>
      </c>
      <c r="I959" s="18">
        <f>IF($A959&gt;30,I958,(I958-H920+H959)*(1+$C$7))</f>
        <v>0</v>
      </c>
      <c r="J959" s="18">
        <f t="shared" si="104"/>
        <v>-23356.503807390662</v>
      </c>
      <c r="K959" s="18">
        <f>IF($A959&gt;30,0,(K920-MIN(MAX(L958,0),K920))+MIN(MAX(0,M958-(K920-MIN(MAX(L958,0),K920))),MAX(0,2*K920-(L958-MIN(MAX(L958,0),K920)))))</f>
        <v>0</v>
      </c>
      <c r="L959" s="18">
        <f>IF($A959&gt;30,L958,(L958-K920+K959)*(1+$C$7))</f>
        <v>10.236728838746179</v>
      </c>
      <c r="M959" s="18">
        <f t="shared" si="105"/>
        <v>0</v>
      </c>
      <c r="N959" s="18">
        <f>IF($A959&gt;30,0,(N920-MIN(MAX(O958,0),N920))+MIN(MAX(0,P958-(N920-MIN(MAX(O958,0),N920))),MAX(0,2*N920-(O958-MIN(MAX(O958,0),N920)))))</f>
        <v>0</v>
      </c>
      <c r="O959" s="18">
        <f>IF($A959&gt;30,O958,(O958-N920+N959)*(1+$C$7))</f>
        <v>0.23544096003065423</v>
      </c>
      <c r="P959" s="18">
        <f t="shared" si="106"/>
        <v>0</v>
      </c>
      <c r="Q959" s="18">
        <f>IF($A959&gt;30,0,(Q920-MIN(MAX(R958,0),Q920))+MIN(MAX(0,S958-(Q920-MIN(MAX(R958,0),Q920))),MAX(0,2*Q920-(R958-MIN(MAX(R958,0),Q920)))))</f>
        <v>0</v>
      </c>
      <c r="R959" s="18">
        <f>IF($A959&gt;30,R958,(R958-Q920+Q959)*(1+$C$7))</f>
        <v>0</v>
      </c>
      <c r="S959" s="18">
        <f t="shared" si="107"/>
        <v>-1.0192161425948144E-9</v>
      </c>
    </row>
    <row r="960" spans="1:19">
      <c r="A960" s="10">
        <f>38</f>
        <v>38</v>
      </c>
      <c r="B960" s="18">
        <f>IF($A960&gt;30,0,(B920-MIN(MAX(C959,0),B920))+MIN(MAX(0,D959-(B920-MIN(MAX(C959,0),B920))),MAX(0,2*B920-(C959-MIN(MAX(C959,0),B920)))))</f>
        <v>0</v>
      </c>
      <c r="C960" s="18">
        <f>IF($A960&gt;30,C959,(C959-B920+B960)*(1+$C$7))</f>
        <v>60378</v>
      </c>
      <c r="D960" s="18">
        <f t="shared" si="102"/>
        <v>829151.88472992112</v>
      </c>
      <c r="E960" s="18">
        <f>IF($A960&gt;30,0,(E920-MIN(MAX(F959,0),E920))+MIN(MAX(0,G959-(E920-MIN(MAX(F959,0),E920))),MAX(0,2*E920-(F959-MIN(MAX(F959,0),E920)))))</f>
        <v>0</v>
      </c>
      <c r="F960" s="18">
        <f>IF($A960&gt;30,F959,(F959-E920+E960)*(1+$C$7))</f>
        <v>0</v>
      </c>
      <c r="G960" s="18">
        <f t="shared" si="103"/>
        <v>-1346827.3530958283</v>
      </c>
      <c r="H960" s="18">
        <f>IF($A960&gt;30,0,(H920-MIN(MAX(I959,0),H920))+MIN(MAX(0,J959-(H920-MIN(MAX(I959,0),H920))),MAX(0,2*H920-(I959-MIN(MAX(I959,0),H920)))))</f>
        <v>0</v>
      </c>
      <c r="I960" s="18">
        <f>IF($A960&gt;30,I959,(I959-H920+H960)*(1+$C$7))</f>
        <v>0</v>
      </c>
      <c r="J960" s="18">
        <f t="shared" si="104"/>
        <v>-23356.503807390662</v>
      </c>
      <c r="K960" s="18">
        <f>IF($A960&gt;30,0,(K920-MIN(MAX(L959,0),K920))+MIN(MAX(0,M959-(K920-MIN(MAX(L959,0),K920))),MAX(0,2*K920-(L959-MIN(MAX(L959,0),K920)))))</f>
        <v>0</v>
      </c>
      <c r="L960" s="18">
        <f>IF($A960&gt;30,L959,(L959-K920+K960)*(1+$C$7))</f>
        <v>10.236728838746179</v>
      </c>
      <c r="M960" s="18">
        <f t="shared" si="105"/>
        <v>0</v>
      </c>
      <c r="N960" s="18">
        <f>IF($A960&gt;30,0,(N920-MIN(MAX(O959,0),N920))+MIN(MAX(0,P959-(N920-MIN(MAX(O959,0),N920))),MAX(0,2*N920-(O959-MIN(MAX(O959,0),N920)))))</f>
        <v>0</v>
      </c>
      <c r="O960" s="18">
        <f>IF($A960&gt;30,O959,(O959-N920+N960)*(1+$C$7))</f>
        <v>0.23544096003065423</v>
      </c>
      <c r="P960" s="18">
        <f t="shared" si="106"/>
        <v>0</v>
      </c>
      <c r="Q960" s="18">
        <f>IF($A960&gt;30,0,(Q920-MIN(MAX(R959,0),Q920))+MIN(MAX(0,S959-(Q920-MIN(MAX(R959,0),Q920))),MAX(0,2*Q920-(R959-MIN(MAX(R959,0),Q920)))))</f>
        <v>0</v>
      </c>
      <c r="R960" s="18">
        <f>IF($A960&gt;30,R959,(R959-Q920+Q960)*(1+$C$7))</f>
        <v>0</v>
      </c>
      <c r="S960" s="18">
        <f t="shared" si="107"/>
        <v>-1.0192161425948144E-9</v>
      </c>
    </row>
    <row r="961" spans="1:19">
      <c r="A961" s="10">
        <f>39</f>
        <v>39</v>
      </c>
      <c r="B961" s="18">
        <f>IF($A961&gt;30,0,(B920-MIN(MAX(C960,0),B920))+MIN(MAX(0,D960-(B920-MIN(MAX(C960,0),B920))),MAX(0,2*B920-(C960-MIN(MAX(C960,0),B920)))))</f>
        <v>0</v>
      </c>
      <c r="C961" s="18">
        <f>IF($A961&gt;30,C960,(C960-B920+B961)*(1+$C$7))</f>
        <v>60378</v>
      </c>
      <c r="D961" s="18">
        <f t="shared" si="102"/>
        <v>829151.88472992112</v>
      </c>
      <c r="E961" s="18">
        <f>IF($A961&gt;30,0,(E920-MIN(MAX(F960,0),E920))+MIN(MAX(0,G960-(E920-MIN(MAX(F960,0),E920))),MAX(0,2*E920-(F960-MIN(MAX(F960,0),E920)))))</f>
        <v>0</v>
      </c>
      <c r="F961" s="18">
        <f>IF($A961&gt;30,F960,(F960-E920+E961)*(1+$C$7))</f>
        <v>0</v>
      </c>
      <c r="G961" s="18">
        <f t="shared" si="103"/>
        <v>-1346827.3530958283</v>
      </c>
      <c r="H961" s="18">
        <f>IF($A961&gt;30,0,(H920-MIN(MAX(I960,0),H920))+MIN(MAX(0,J960-(H920-MIN(MAX(I960,0),H920))),MAX(0,2*H920-(I960-MIN(MAX(I960,0),H920)))))</f>
        <v>0</v>
      </c>
      <c r="I961" s="18">
        <f>IF($A961&gt;30,I960,(I960-H920+H961)*(1+$C$7))</f>
        <v>0</v>
      </c>
      <c r="J961" s="18">
        <f t="shared" si="104"/>
        <v>-23356.503807390662</v>
      </c>
      <c r="K961" s="18">
        <f>IF($A961&gt;30,0,(K920-MIN(MAX(L960,0),K920))+MIN(MAX(0,M960-(K920-MIN(MAX(L960,0),K920))),MAX(0,2*K920-(L960-MIN(MAX(L960,0),K920)))))</f>
        <v>0</v>
      </c>
      <c r="L961" s="18">
        <f>IF($A961&gt;30,L960,(L960-K920+K961)*(1+$C$7))</f>
        <v>10.236728838746179</v>
      </c>
      <c r="M961" s="18">
        <f t="shared" si="105"/>
        <v>0</v>
      </c>
      <c r="N961" s="18">
        <f>IF($A961&gt;30,0,(N920-MIN(MAX(O960,0),N920))+MIN(MAX(0,P960-(N920-MIN(MAX(O960,0),N920))),MAX(0,2*N920-(O960-MIN(MAX(O960,0),N920)))))</f>
        <v>0</v>
      </c>
      <c r="O961" s="18">
        <f>IF($A961&gt;30,O960,(O960-N920+N961)*(1+$C$7))</f>
        <v>0.23544096003065423</v>
      </c>
      <c r="P961" s="18">
        <f t="shared" si="106"/>
        <v>0</v>
      </c>
      <c r="Q961" s="18">
        <f>IF($A961&gt;30,0,(Q920-MIN(MAX(R960,0),Q920))+MIN(MAX(0,S960-(Q920-MIN(MAX(R960,0),Q920))),MAX(0,2*Q920-(R960-MIN(MAX(R960,0),Q920)))))</f>
        <v>0</v>
      </c>
      <c r="R961" s="18">
        <f>IF($A961&gt;30,R960,(R960-Q920+Q961)*(1+$C$7))</f>
        <v>0</v>
      </c>
      <c r="S961" s="18">
        <f t="shared" si="107"/>
        <v>-1.0192161425948144E-9</v>
      </c>
    </row>
    <row r="962" spans="1:19">
      <c r="A962" s="10">
        <f>40</f>
        <v>40</v>
      </c>
      <c r="B962" s="18">
        <f>IF($A962&gt;30,0,(B920-MIN(MAX(C961,0),B920))+MIN(MAX(0,D961-(B920-MIN(MAX(C961,0),B920))),MAX(0,2*B920-(C961-MIN(MAX(C961,0),B920)))))</f>
        <v>0</v>
      </c>
      <c r="C962" s="18">
        <f>IF($A962&gt;30,C961,(C961-B920+B962)*(1+$C$7))</f>
        <v>60378</v>
      </c>
      <c r="D962" s="18">
        <f t="shared" si="102"/>
        <v>829151.88472992112</v>
      </c>
      <c r="E962" s="18">
        <f>IF($A962&gt;30,0,(E920-MIN(MAX(F961,0),E920))+MIN(MAX(0,G961-(E920-MIN(MAX(F961,0),E920))),MAX(0,2*E920-(F961-MIN(MAX(F961,0),E920)))))</f>
        <v>0</v>
      </c>
      <c r="F962" s="18">
        <f>IF($A962&gt;30,F961,(F961-E920+E962)*(1+$C$7))</f>
        <v>0</v>
      </c>
      <c r="G962" s="18">
        <f t="shared" si="103"/>
        <v>-1346827.3530958283</v>
      </c>
      <c r="H962" s="18">
        <f>IF($A962&gt;30,0,(H920-MIN(MAX(I961,0),H920))+MIN(MAX(0,J961-(H920-MIN(MAX(I961,0),H920))),MAX(0,2*H920-(I961-MIN(MAX(I961,0),H920)))))</f>
        <v>0</v>
      </c>
      <c r="I962" s="18">
        <f>IF($A962&gt;30,I961,(I961-H920+H962)*(1+$C$7))</f>
        <v>0</v>
      </c>
      <c r="J962" s="18">
        <f t="shared" si="104"/>
        <v>-23356.503807390662</v>
      </c>
      <c r="K962" s="18">
        <f>IF($A962&gt;30,0,(K920-MIN(MAX(L961,0),K920))+MIN(MAX(0,M961-(K920-MIN(MAX(L961,0),K920))),MAX(0,2*K920-(L961-MIN(MAX(L961,0),K920)))))</f>
        <v>0</v>
      </c>
      <c r="L962" s="18">
        <f>IF($A962&gt;30,L961,(L961-K920+K962)*(1+$C$7))</f>
        <v>10.236728838746179</v>
      </c>
      <c r="M962" s="18">
        <f t="shared" si="105"/>
        <v>0</v>
      </c>
      <c r="N962" s="18">
        <f>IF($A962&gt;30,0,(N920-MIN(MAX(O961,0),N920))+MIN(MAX(0,P961-(N920-MIN(MAX(O961,0),N920))),MAX(0,2*N920-(O961-MIN(MAX(O961,0),N920)))))</f>
        <v>0</v>
      </c>
      <c r="O962" s="18">
        <f>IF($A962&gt;30,O961,(O961-N920+N962)*(1+$C$7))</f>
        <v>0.23544096003065423</v>
      </c>
      <c r="P962" s="18">
        <f t="shared" si="106"/>
        <v>0</v>
      </c>
      <c r="Q962" s="18">
        <f>IF($A962&gt;30,0,(Q920-MIN(MAX(R961,0),Q920))+MIN(MAX(0,S961-(Q920-MIN(MAX(R961,0),Q920))),MAX(0,2*Q920-(R961-MIN(MAX(R961,0),Q920)))))</f>
        <v>0</v>
      </c>
      <c r="R962" s="18">
        <f>IF($A962&gt;30,R961,(R961-Q920+Q962)*(1+$C$7))</f>
        <v>0</v>
      </c>
      <c r="S962" s="18">
        <f t="shared" si="107"/>
        <v>-1.0192161425948144E-9</v>
      </c>
    </row>
    <row r="963" spans="1:19">
      <c r="B963" s="18">
        <f>C962+D962</f>
        <v>889529.88472992112</v>
      </c>
      <c r="E963" s="18">
        <f>F962+G962</f>
        <v>-1346827.3530958283</v>
      </c>
      <c r="H963" s="18">
        <f>I962+J962</f>
        <v>-23356.503807390662</v>
      </c>
      <c r="K963" s="18">
        <f>L962+M962</f>
        <v>10.236728838746179</v>
      </c>
      <c r="N963" s="18">
        <f>O962+P962</f>
        <v>0.23544096003065423</v>
      </c>
      <c r="Q963" s="18">
        <f>R962+S962</f>
        <v>-1.0192161425948144E-9</v>
      </c>
    </row>
    <row r="964" spans="1:19">
      <c r="A964" s="5" t="s">
        <v>266</v>
      </c>
      <c r="B964" s="18">
        <f>IFERROR(Q920-Q963*(Q920-N920)/(Q963-N963),Q920)</f>
        <v>47421.068680991106</v>
      </c>
    </row>
    <row r="966" spans="1:19">
      <c r="A966" s="2" t="s">
        <v>284</v>
      </c>
    </row>
    <row r="967" spans="1:19">
      <c r="B967" s="9">
        <f>0.03*$B$5</f>
        <v>30000</v>
      </c>
      <c r="E967" s="9">
        <f>0.075*$B$5</f>
        <v>75000</v>
      </c>
      <c r="H967" s="18">
        <f>IFERROR(E967-E1010*(E967-B967)/(E1010-B1010),E967)</f>
        <v>47155.259118283546</v>
      </c>
      <c r="K967" s="18">
        <f>IFERROR(H967-H1010*(H967-E967)/(H1010-E1010),H967)</f>
        <v>46464.285990122524</v>
      </c>
      <c r="N967" s="18">
        <f>IFERROR(K967-K1010*(K967-H967)/(K1010-H1010),K967)</f>
        <v>46464.879438749114</v>
      </c>
      <c r="Q967" s="18">
        <f>IFERROR(N967-N1010*(N967-K967)/(N1010-K1010),N967)</f>
        <v>46464.89340314205</v>
      </c>
    </row>
    <row r="968" spans="1:19">
      <c r="A968" s="25" t="s">
        <v>262</v>
      </c>
      <c r="B968" s="25" t="s">
        <v>263</v>
      </c>
      <c r="C968" s="25" t="s">
        <v>264</v>
      </c>
      <c r="D968" s="25" t="s">
        <v>265</v>
      </c>
      <c r="E968" s="25" t="s">
        <v>263</v>
      </c>
      <c r="F968" s="25" t="s">
        <v>264</v>
      </c>
      <c r="G968" s="25" t="s">
        <v>265</v>
      </c>
      <c r="H968" s="25" t="s">
        <v>263</v>
      </c>
      <c r="I968" s="25" t="s">
        <v>264</v>
      </c>
      <c r="J968" s="25" t="s">
        <v>265</v>
      </c>
      <c r="K968" s="25" t="s">
        <v>263</v>
      </c>
      <c r="L968" s="25" t="s">
        <v>264</v>
      </c>
      <c r="M968" s="25" t="s">
        <v>265</v>
      </c>
      <c r="N968" s="25" t="s">
        <v>263</v>
      </c>
      <c r="O968" s="25" t="s">
        <v>264</v>
      </c>
      <c r="P968" s="25" t="s">
        <v>265</v>
      </c>
      <c r="Q968" s="25" t="s">
        <v>263</v>
      </c>
      <c r="R968" s="25" t="s">
        <v>264</v>
      </c>
      <c r="S968" s="25" t="s">
        <v>265</v>
      </c>
    </row>
    <row r="969" spans="1:19">
      <c r="A969" s="3">
        <v>0</v>
      </c>
      <c r="C969" s="18">
        <f>MIN(3*B967,$B$5)</f>
        <v>90000</v>
      </c>
      <c r="D969" s="18">
        <f>$B$5-C969</f>
        <v>910000</v>
      </c>
      <c r="F969" s="18">
        <f>MIN(3*E967,$B$5)</f>
        <v>225000</v>
      </c>
      <c r="G969" s="18">
        <f>$B$5-F969</f>
        <v>775000</v>
      </c>
      <c r="I969" s="18">
        <f>MIN(3*H967,$B$5)</f>
        <v>141465.77735485064</v>
      </c>
      <c r="J969" s="18">
        <f>$B$5-I969</f>
        <v>858534.22264514933</v>
      </c>
      <c r="L969" s="18">
        <f>MIN(3*K967,$B$5)</f>
        <v>139392.85797036756</v>
      </c>
      <c r="M969" s="18">
        <f>$B$5-L969</f>
        <v>860607.14202963246</v>
      </c>
      <c r="O969" s="18">
        <f>MIN(3*N967,$B$5)</f>
        <v>139394.63831624735</v>
      </c>
      <c r="P969" s="18">
        <f>$B$5-O969</f>
        <v>860605.36168375262</v>
      </c>
      <c r="R969" s="18">
        <f>MIN(3*Q967,$B$5)</f>
        <v>139394.68020942615</v>
      </c>
      <c r="S969" s="18">
        <f>$B$5-R969</f>
        <v>860605.31979057379</v>
      </c>
    </row>
    <row r="970" spans="1:19">
      <c r="A970" s="10">
        <f>1</f>
        <v>1</v>
      </c>
      <c r="B970" s="18">
        <f>IF($A970&gt;30,0,(B967-MIN(MAX(C969,0),B967))+MIN(MAX(0,D969-(B967-MIN(MAX(C969,0),B967))),MAX(0,3*B967-(C969-MIN(MAX(C969,0),B967)))))</f>
        <v>30000</v>
      </c>
      <c r="C970" s="18">
        <f>IF($A970&gt;30,C969,(C969-B967+B970)*(1+$C$7))</f>
        <v>90567</v>
      </c>
      <c r="D970" s="18">
        <f t="shared" ref="D970:D1009" si="108">IF($A970&gt;30,D969,(D969-B970)*(1+$B$6))</f>
        <v>906400</v>
      </c>
      <c r="E970" s="18">
        <f>IF($A970&gt;30,0,(E967-MIN(MAX(F969,0),E967))+MIN(MAX(0,G969-(E967-MIN(MAX(F969,0),E967))),MAX(0,3*E967-(F969-MIN(MAX(F969,0),E967)))))</f>
        <v>75000</v>
      </c>
      <c r="F970" s="18">
        <f>IF($A970&gt;30,F969,(F969-E967+E970)*(1+$C$7))</f>
        <v>226417.5</v>
      </c>
      <c r="G970" s="18">
        <f t="shared" ref="G970:G1009" si="109">IF($A970&gt;30,G969,(G969-E970)*(1+$B$6))</f>
        <v>721000</v>
      </c>
      <c r="H970" s="18">
        <f>IF($A970&gt;30,0,(H967-MIN(MAX(I969,0),H967))+MIN(MAX(0,J969-(H967-MIN(MAX(I969,0),H967))),MAX(0,3*H967-(I969-MIN(MAX(I969,0),H967)))))</f>
        <v>47155.259118283546</v>
      </c>
      <c r="I970" s="18">
        <f>IF($A970&gt;30,I969,(I969-H967+H970)*(1+$C$7))</f>
        <v>142357.0117521862</v>
      </c>
      <c r="J970" s="18">
        <f t="shared" ref="J970:J1009" si="110">IF($A970&gt;30,J969,(J969-H970)*(1+$B$6))</f>
        <v>835720.3324326718</v>
      </c>
      <c r="K970" s="18">
        <f>IF($A970&gt;30,0,(K967-MIN(MAX(L969,0),K967))+MIN(MAX(0,M969-(K967-MIN(MAX(L969,0),K967))),MAX(0,3*K967-(L969-MIN(MAX(L969,0),K967)))))</f>
        <v>46464.285990122531</v>
      </c>
      <c r="L970" s="18">
        <f>IF($A970&gt;30,L969,(L969-K967+K970)*(1+$C$7))</f>
        <v>140271.03297558086</v>
      </c>
      <c r="M970" s="18">
        <f t="shared" ref="M970:M1009" si="111">IF($A970&gt;30,M969,(M969-K970)*(1+$B$6))</f>
        <v>838567.14172069519</v>
      </c>
      <c r="N970" s="18">
        <f>IF($A970&gt;30,0,(N967-MIN(MAX(O969,0),N967))+MIN(MAX(0,P969-(N967-MIN(MAX(O969,0),N967))),MAX(0,3*N967-(O969-MIN(MAX(O969,0),N967)))))</f>
        <v>46464.879438749107</v>
      </c>
      <c r="O970" s="18">
        <f>IF($A970&gt;30,O969,(O969-N967+N970)*(1+$C$7))</f>
        <v>140272.82453763971</v>
      </c>
      <c r="P970" s="18">
        <f t="shared" ref="P970:P1009" si="112">IF($A970&gt;30,P969,(P969-N970)*(1+$B$6))</f>
        <v>838564.69671235373</v>
      </c>
      <c r="Q970" s="18">
        <f>IF($A970&gt;30,0,(Q967-MIN(MAX(R969,0),Q967))+MIN(MAX(0,S969-(Q967-MIN(MAX(R969,0),Q967))),MAX(0,3*Q967-(R969-MIN(MAX(R969,0),Q967)))))</f>
        <v>46464.89340314205</v>
      </c>
      <c r="R970" s="18">
        <f>IF($A970&gt;30,R969,(R969-Q967+Q970)*(1+$C$7))</f>
        <v>140272.86669474552</v>
      </c>
      <c r="S970" s="18">
        <f t="shared" ref="S970:S1009" si="113">IF($A970&gt;30,S969,(S969-Q970)*(1+$B$6))</f>
        <v>838564.63917905476</v>
      </c>
    </row>
    <row r="971" spans="1:19">
      <c r="A971" s="10">
        <f>2</f>
        <v>2</v>
      </c>
      <c r="B971" s="18">
        <f>IF($A971&gt;30,0,(B967-MIN(MAX(C970,0),B967))+MIN(MAX(0,D970-(B967-MIN(MAX(C970,0),B967))),MAX(0,3*B967-(C970-MIN(MAX(C970,0),B967)))))</f>
        <v>29433</v>
      </c>
      <c r="C971" s="18">
        <f>IF($A971&gt;30,C970,(C970-B967+B971)*(1+$C$7))</f>
        <v>90567</v>
      </c>
      <c r="D971" s="18">
        <f t="shared" si="108"/>
        <v>903276.01</v>
      </c>
      <c r="E971" s="18">
        <f>IF($A971&gt;30,0,(E967-MIN(MAX(F970,0),E967))+MIN(MAX(0,G970-(E967-MIN(MAX(F970,0),E967))),MAX(0,3*E967-(F970-MIN(MAX(F970,0),E967)))))</f>
        <v>73582.5</v>
      </c>
      <c r="F971" s="18">
        <f>IF($A971&gt;30,F970,(F970-E967+E971)*(1+$C$7))</f>
        <v>226417.5</v>
      </c>
      <c r="G971" s="18">
        <f t="shared" si="109"/>
        <v>666840.02500000002</v>
      </c>
      <c r="H971" s="18">
        <f>IF($A971&gt;30,0,(H967-MIN(MAX(I970,0),H967))+MIN(MAX(0,J970-(H967-MIN(MAX(I970,0),H967))),MAX(0,3*H967-(I970-MIN(MAX(I970,0),H967)))))</f>
        <v>46264.024720947986</v>
      </c>
      <c r="I971" s="18">
        <f>IF($A971&gt;30,I970,(I970-H967+H971)*(1+$C$7))</f>
        <v>142357.0117521862</v>
      </c>
      <c r="J971" s="18">
        <f t="shared" si="110"/>
        <v>813139.99694307556</v>
      </c>
      <c r="K971" s="18">
        <f>IF($A971&gt;30,0,(K967-MIN(MAX(L970,0),K967))+MIN(MAX(0,M970-(K967-MIN(MAX(L970,0),K967))),MAX(0,3*K967-(L970-MIN(MAX(L970,0),K967)))))</f>
        <v>45586.110984909232</v>
      </c>
      <c r="L971" s="18">
        <f>IF($A971&gt;30,L970,(L970-K967+K971)*(1+$C$7))</f>
        <v>140271.03297558086</v>
      </c>
      <c r="M971" s="18">
        <f t="shared" si="111"/>
        <v>816770.4616578595</v>
      </c>
      <c r="N971" s="18">
        <f>IF($A971&gt;30,0,(N967-MIN(MAX(O970,0),N967))+MIN(MAX(0,P970-(N967-MIN(MAX(O970,0),N967))),MAX(0,3*N967-(O970-MIN(MAX(O970,0),N967)))))</f>
        <v>45586.693217356747</v>
      </c>
      <c r="O971" s="18">
        <f>IF($A971&gt;30,O970,(O970-N967+N971)*(1+$C$7))</f>
        <v>140272.82453763971</v>
      </c>
      <c r="P971" s="18">
        <f t="shared" si="112"/>
        <v>816767.34359984694</v>
      </c>
      <c r="Q971" s="18">
        <f>IF($A971&gt;30,0,(Q967-MIN(MAX(R970,0),Q967))+MIN(MAX(0,S970-(Q967-MIN(MAX(R970,0),Q967))),MAX(0,3*Q967-(R970-MIN(MAX(R970,0),Q967)))))</f>
        <v>45586.706917822681</v>
      </c>
      <c r="R971" s="18">
        <f>IF($A971&gt;30,R970,(R970-Q967+Q971)*(1+$C$7))</f>
        <v>140272.86669474552</v>
      </c>
      <c r="S971" s="18">
        <f t="shared" si="113"/>
        <v>816767.27022906905</v>
      </c>
    </row>
    <row r="972" spans="1:19">
      <c r="A972" s="10">
        <f>3</f>
        <v>3</v>
      </c>
      <c r="B972" s="18">
        <f>IF($A972&gt;30,0,(B967-MIN(MAX(C971,0),B967))+MIN(MAX(0,D971-(B967-MIN(MAX(C971,0),B967))),MAX(0,3*B967-(C971-MIN(MAX(C971,0),B967)))))</f>
        <v>29433</v>
      </c>
      <c r="C972" s="18">
        <f>IF($A972&gt;30,C971,(C971-B967+B972)*(1+$C$7))</f>
        <v>90567</v>
      </c>
      <c r="D972" s="18">
        <f t="shared" si="108"/>
        <v>900058.3003</v>
      </c>
      <c r="E972" s="18">
        <f>IF($A972&gt;30,0,(E967-MIN(MAX(F971,0),E967))+MIN(MAX(0,G971-(E967-MIN(MAX(F971,0),E967))),MAX(0,3*E967-(F971-MIN(MAX(F971,0),E967)))))</f>
        <v>73582.5</v>
      </c>
      <c r="F972" s="18">
        <f>IF($A972&gt;30,F971,(F971-E967+E972)*(1+$C$7))</f>
        <v>226417.5</v>
      </c>
      <c r="G972" s="18">
        <f t="shared" si="109"/>
        <v>611055.25075000001</v>
      </c>
      <c r="H972" s="18">
        <f>IF($A972&gt;30,0,(H967-MIN(MAX(I971,0),H967))+MIN(MAX(0,J971-(H967-MIN(MAX(I971,0),H967))),MAX(0,3*H967-(I971-MIN(MAX(I971,0),H967)))))</f>
        <v>46264.024720947986</v>
      </c>
      <c r="I972" s="18">
        <f>IF($A972&gt;30,I971,(I971-H967+H972)*(1+$C$7))</f>
        <v>142357.0117521862</v>
      </c>
      <c r="J972" s="18">
        <f t="shared" si="110"/>
        <v>789882.25138879148</v>
      </c>
      <c r="K972" s="18">
        <f>IF($A972&gt;30,0,(K967-MIN(MAX(L971,0),K967))+MIN(MAX(0,M971-(K967-MIN(MAX(L971,0),K967))),MAX(0,3*K967-(L971-MIN(MAX(L971,0),K967)))))</f>
        <v>45586.110984909232</v>
      </c>
      <c r="L972" s="18">
        <f>IF($A972&gt;30,L971,(L971-K967+K972)*(1+$C$7))</f>
        <v>140271.03297558086</v>
      </c>
      <c r="M972" s="18">
        <f t="shared" si="111"/>
        <v>794319.88119313878</v>
      </c>
      <c r="N972" s="18">
        <f>IF($A972&gt;30,0,(N967-MIN(MAX(O971,0),N967))+MIN(MAX(0,P971-(N967-MIN(MAX(O971,0),N967))),MAX(0,3*N967-(O971-MIN(MAX(O971,0),N967)))))</f>
        <v>45586.693217356747</v>
      </c>
      <c r="O972" s="18">
        <f>IF($A972&gt;30,O971,(O971-N967+N972)*(1+$C$7))</f>
        <v>140272.82453763971</v>
      </c>
      <c r="P972" s="18">
        <f t="shared" si="112"/>
        <v>794316.0698939648</v>
      </c>
      <c r="Q972" s="18">
        <f>IF($A972&gt;30,0,(Q967-MIN(MAX(R971,0),Q967))+MIN(MAX(0,S971-(Q967-MIN(MAX(R971,0),Q967))),MAX(0,3*Q967-(R971-MIN(MAX(R971,0),Q967)))))</f>
        <v>45586.706917822681</v>
      </c>
      <c r="R972" s="18">
        <f>IF($A972&gt;30,R971,(R971-Q967+Q972)*(1+$C$7))</f>
        <v>140272.86669474552</v>
      </c>
      <c r="S972" s="18">
        <f t="shared" si="113"/>
        <v>794315.98021058377</v>
      </c>
    </row>
    <row r="973" spans="1:19">
      <c r="A973" s="10">
        <f>4</f>
        <v>4</v>
      </c>
      <c r="B973" s="18">
        <f>IF($A973&gt;30,0,(B967-MIN(MAX(C972,0),B967))+MIN(MAX(0,D972-(B967-MIN(MAX(C972,0),B967))),MAX(0,3*B967-(C972-MIN(MAX(C972,0),B967)))))</f>
        <v>29433</v>
      </c>
      <c r="C973" s="18">
        <f>IF($A973&gt;30,C972,(C972-B967+B973)*(1+$C$7))</f>
        <v>90567</v>
      </c>
      <c r="D973" s="18">
        <f t="shared" si="108"/>
        <v>896744.05930900003</v>
      </c>
      <c r="E973" s="18">
        <f>IF($A973&gt;30,0,(E967-MIN(MAX(F972,0),E967))+MIN(MAX(0,G972-(E967-MIN(MAX(F972,0),E967))),MAX(0,3*E967-(F972-MIN(MAX(F972,0),E967)))))</f>
        <v>73582.5</v>
      </c>
      <c r="F973" s="18">
        <f>IF($A973&gt;30,F972,(F972-E967+E973)*(1+$C$7))</f>
        <v>226417.5</v>
      </c>
      <c r="G973" s="18">
        <f t="shared" si="109"/>
        <v>553596.93327250006</v>
      </c>
      <c r="H973" s="18">
        <f>IF($A973&gt;30,0,(H967-MIN(MAX(I972,0),H967))+MIN(MAX(0,J972-(H967-MIN(MAX(I972,0),H967))),MAX(0,3*H967-(I972-MIN(MAX(I972,0),H967)))))</f>
        <v>46264.024720947986</v>
      </c>
      <c r="I973" s="18">
        <f>IF($A973&gt;30,I972,(I972-H967+H973)*(1+$C$7))</f>
        <v>142357.0117521862</v>
      </c>
      <c r="J973" s="18">
        <f t="shared" si="110"/>
        <v>765926.77346787881</v>
      </c>
      <c r="K973" s="18">
        <f>IF($A973&gt;30,0,(K967-MIN(MAX(L972,0),K967))+MIN(MAX(0,M972-(K967-MIN(MAX(L972,0),K967))),MAX(0,3*K967-(L972-MIN(MAX(L972,0),K967)))))</f>
        <v>45586.110984909232</v>
      </c>
      <c r="L973" s="18">
        <f>IF($A973&gt;30,L972,(L972-K967+K973)*(1+$C$7))</f>
        <v>140271.03297558086</v>
      </c>
      <c r="M973" s="18">
        <f t="shared" si="111"/>
        <v>771195.78331447649</v>
      </c>
      <c r="N973" s="18">
        <f>IF($A973&gt;30,0,(N967-MIN(MAX(O972,0),N967))+MIN(MAX(0,P972-(N967-MIN(MAX(O972,0),N967))),MAX(0,3*N967-(O972-MIN(MAX(O972,0),N967)))))</f>
        <v>45586.693217356747</v>
      </c>
      <c r="O973" s="18">
        <f>IF($A973&gt;30,O972,(O972-N967+N973)*(1+$C$7))</f>
        <v>140272.82453763971</v>
      </c>
      <c r="P973" s="18">
        <f t="shared" si="112"/>
        <v>771191.25797690637</v>
      </c>
      <c r="Q973" s="18">
        <f>IF($A973&gt;30,0,(Q967-MIN(MAX(R972,0),Q967))+MIN(MAX(0,S972-(Q967-MIN(MAX(R972,0),Q967))),MAX(0,3*Q967-(R972-MIN(MAX(R972,0),Q967)))))</f>
        <v>45586.706917822681</v>
      </c>
      <c r="R973" s="18">
        <f>IF($A973&gt;30,R972,(R972-Q967+Q973)*(1+$C$7))</f>
        <v>140272.86669474552</v>
      </c>
      <c r="S973" s="18">
        <f t="shared" si="113"/>
        <v>771191.15149154386</v>
      </c>
    </row>
    <row r="974" spans="1:19">
      <c r="A974" s="10">
        <f>5</f>
        <v>5</v>
      </c>
      <c r="B974" s="18">
        <f>IF($A974&gt;30,0,(B967-MIN(MAX(C973,0),B967))+MIN(MAX(0,D973-(B967-MIN(MAX(C973,0),B967))),MAX(0,3*B967-(C973-MIN(MAX(C973,0),B967)))))</f>
        <v>29433</v>
      </c>
      <c r="C974" s="18">
        <f>IF($A974&gt;30,C973,(C973-B967+B974)*(1+$C$7))</f>
        <v>90567</v>
      </c>
      <c r="D974" s="18">
        <f t="shared" si="108"/>
        <v>893330.39108827</v>
      </c>
      <c r="E974" s="18">
        <f>IF($A974&gt;30,0,(E967-MIN(MAX(F973,0),E967))+MIN(MAX(0,G973-(E967-MIN(MAX(F973,0),E967))),MAX(0,3*E967-(F973-MIN(MAX(F973,0),E967)))))</f>
        <v>73582.5</v>
      </c>
      <c r="F974" s="18">
        <f>IF($A974&gt;30,F973,(F973-E967+E974)*(1+$C$7))</f>
        <v>226417.5</v>
      </c>
      <c r="G974" s="18">
        <f t="shared" si="109"/>
        <v>494414.86627067509</v>
      </c>
      <c r="H974" s="18">
        <f>IF($A974&gt;30,0,(H967-MIN(MAX(I973,0),H967))+MIN(MAX(0,J973-(H967-MIN(MAX(I973,0),H967))),MAX(0,3*H967-(I973-MIN(MAX(I973,0),H967)))))</f>
        <v>46264.024720947986</v>
      </c>
      <c r="I974" s="18">
        <f>IF($A974&gt;30,I973,(I973-H967+H974)*(1+$C$7))</f>
        <v>142357.0117521862</v>
      </c>
      <c r="J974" s="18">
        <f t="shared" si="110"/>
        <v>741252.63120933878</v>
      </c>
      <c r="K974" s="18">
        <f>IF($A974&gt;30,0,(K967-MIN(MAX(L973,0),K967))+MIN(MAX(0,M973-(K967-MIN(MAX(L973,0),K967))),MAX(0,3*K967-(L973-MIN(MAX(L973,0),K967)))))</f>
        <v>45586.110984909232</v>
      </c>
      <c r="L974" s="18">
        <f>IF($A974&gt;30,L973,(L973-K967+K974)*(1+$C$7))</f>
        <v>140271.03297558086</v>
      </c>
      <c r="M974" s="18">
        <f t="shared" si="111"/>
        <v>747377.96249945427</v>
      </c>
      <c r="N974" s="18">
        <f>IF($A974&gt;30,0,(N967-MIN(MAX(O973,0),N967))+MIN(MAX(0,P973-(N967-MIN(MAX(O973,0),N967))),MAX(0,3*N967-(O973-MIN(MAX(O973,0),N967)))))</f>
        <v>45586.693217356747</v>
      </c>
      <c r="O974" s="18">
        <f>IF($A974&gt;30,O973,(O973-N967+N974)*(1+$C$7))</f>
        <v>140272.82453763971</v>
      </c>
      <c r="P974" s="18">
        <f t="shared" si="112"/>
        <v>747372.7017023362</v>
      </c>
      <c r="Q974" s="18">
        <f>IF($A974&gt;30,0,(Q967-MIN(MAX(R973,0),Q967))+MIN(MAX(0,S973-(Q967-MIN(MAX(R973,0),Q967))),MAX(0,3*Q967-(R973-MIN(MAX(R973,0),Q967)))))</f>
        <v>45586.706917822681</v>
      </c>
      <c r="R974" s="18">
        <f>IF($A974&gt;30,R973,(R973-Q967+Q974)*(1+$C$7))</f>
        <v>140272.86669474552</v>
      </c>
      <c r="S974" s="18">
        <f t="shared" si="113"/>
        <v>747372.57791093283</v>
      </c>
    </row>
    <row r="975" spans="1:19">
      <c r="A975" s="10">
        <f>6</f>
        <v>6</v>
      </c>
      <c r="B975" s="18">
        <f>IF($A975&gt;30,0,(B967-MIN(MAX(C974,0),B967))+MIN(MAX(0,D974-(B967-MIN(MAX(C974,0),B967))),MAX(0,3*B967-(C974-MIN(MAX(C974,0),B967)))))</f>
        <v>29433</v>
      </c>
      <c r="C975" s="18">
        <f>IF($A975&gt;30,C974,(C974-B967+B975)*(1+$C$7))</f>
        <v>90567</v>
      </c>
      <c r="D975" s="18">
        <f t="shared" si="108"/>
        <v>889814.31282091816</v>
      </c>
      <c r="E975" s="18">
        <f>IF($A975&gt;30,0,(E967-MIN(MAX(F974,0),E967))+MIN(MAX(0,G974-(E967-MIN(MAX(F974,0),E967))),MAX(0,3*E967-(F974-MIN(MAX(F974,0),E967)))))</f>
        <v>73582.5</v>
      </c>
      <c r="F975" s="18">
        <f>IF($A975&gt;30,F974,(F974-E967+E975)*(1+$C$7))</f>
        <v>226417.5</v>
      </c>
      <c r="G975" s="18">
        <f t="shared" si="109"/>
        <v>433457.33725879533</v>
      </c>
      <c r="H975" s="18">
        <f>IF($A975&gt;30,0,(H967-MIN(MAX(I974,0),H967))+MIN(MAX(0,J974-(H967-MIN(MAX(I974,0),H967))),MAX(0,3*H967-(I974-MIN(MAX(I974,0),H967)))))</f>
        <v>46264.024720947986</v>
      </c>
      <c r="I975" s="18">
        <f>IF($A975&gt;30,I974,(I974-H967+H975)*(1+$C$7))</f>
        <v>142357.0117521862</v>
      </c>
      <c r="J975" s="18">
        <f t="shared" si="110"/>
        <v>715838.26468304254</v>
      </c>
      <c r="K975" s="18">
        <f>IF($A975&gt;30,0,(K967-MIN(MAX(L974,0),K967))+MIN(MAX(0,M974-(K967-MIN(MAX(L974,0),K967))),MAX(0,3*K967-(L974-MIN(MAX(L974,0),K967)))))</f>
        <v>45586.110984909232</v>
      </c>
      <c r="L975" s="18">
        <f>IF($A975&gt;30,L974,(L974-K967+K975)*(1+$C$7))</f>
        <v>140271.03297558086</v>
      </c>
      <c r="M975" s="18">
        <f t="shared" si="111"/>
        <v>722845.60705998144</v>
      </c>
      <c r="N975" s="18">
        <f>IF($A975&gt;30,0,(N967-MIN(MAX(O974,0),N967))+MIN(MAX(0,P974-(N967-MIN(MAX(O974,0),N967))),MAX(0,3*N967-(O974-MIN(MAX(O974,0),N967)))))</f>
        <v>45586.693217356747</v>
      </c>
      <c r="O975" s="18">
        <f>IF($A975&gt;30,O974,(O974-N967+N975)*(1+$C$7))</f>
        <v>140272.82453763971</v>
      </c>
      <c r="P975" s="18">
        <f t="shared" si="112"/>
        <v>722839.58873952879</v>
      </c>
      <c r="Q975" s="18">
        <f>IF($A975&gt;30,0,(Q967-MIN(MAX(R974,0),Q967))+MIN(MAX(0,S974-(Q967-MIN(MAX(R974,0),Q967))),MAX(0,3*Q967-(R974-MIN(MAX(R974,0),Q967)))))</f>
        <v>45586.706917822681</v>
      </c>
      <c r="R975" s="18">
        <f>IF($A975&gt;30,R974,(R974-Q967+Q975)*(1+$C$7))</f>
        <v>140272.86669474552</v>
      </c>
      <c r="S975" s="18">
        <f t="shared" si="113"/>
        <v>722839.44712290342</v>
      </c>
    </row>
    <row r="976" spans="1:19">
      <c r="A976" s="10">
        <f>7</f>
        <v>7</v>
      </c>
      <c r="B976" s="18">
        <f>IF($A976&gt;30,0,(B967-MIN(MAX(C975,0),B967))+MIN(MAX(0,D975-(B967-MIN(MAX(C975,0),B967))),MAX(0,3*B967-(C975-MIN(MAX(C975,0),B967)))))</f>
        <v>29433</v>
      </c>
      <c r="C976" s="18">
        <f>IF($A976&gt;30,C975,(C975-B967+B976)*(1+$C$7))</f>
        <v>90567</v>
      </c>
      <c r="D976" s="18">
        <f t="shared" si="108"/>
        <v>886192.75220554578</v>
      </c>
      <c r="E976" s="18">
        <f>IF($A976&gt;30,0,(E967-MIN(MAX(F975,0),E967))+MIN(MAX(0,G975-(E967-MIN(MAX(F975,0),E967))),MAX(0,3*E967-(F975-MIN(MAX(F975,0),E967)))))</f>
        <v>73582.5</v>
      </c>
      <c r="F976" s="18">
        <f>IF($A976&gt;30,F975,(F975-E967+E976)*(1+$C$7))</f>
        <v>226417.5</v>
      </c>
      <c r="G976" s="18">
        <f t="shared" si="109"/>
        <v>370671.08237655921</v>
      </c>
      <c r="H976" s="18">
        <f>IF($A976&gt;30,0,(H967-MIN(MAX(I975,0),H967))+MIN(MAX(0,J975-(H967-MIN(MAX(I975,0),H967))),MAX(0,3*H967-(I975-MIN(MAX(I975,0),H967)))))</f>
        <v>46264.024720947986</v>
      </c>
      <c r="I976" s="18">
        <f>IF($A976&gt;30,I975,(I975-H967+H976)*(1+$C$7))</f>
        <v>142357.0117521862</v>
      </c>
      <c r="J976" s="18">
        <f t="shared" si="110"/>
        <v>689661.4671609574</v>
      </c>
      <c r="K976" s="18">
        <f>IF($A976&gt;30,0,(K967-MIN(MAX(L975,0),K967))+MIN(MAX(0,M975-(K967-MIN(MAX(L975,0),K967))),MAX(0,3*K967-(L975-MIN(MAX(L975,0),K967)))))</f>
        <v>45586.110984909232</v>
      </c>
      <c r="L976" s="18">
        <f>IF($A976&gt;30,L975,(L975-K967+K976)*(1+$C$7))</f>
        <v>140271.03297558086</v>
      </c>
      <c r="M976" s="18">
        <f t="shared" si="111"/>
        <v>697577.28095732443</v>
      </c>
      <c r="N976" s="18">
        <f>IF($A976&gt;30,0,(N967-MIN(MAX(O975,0),N967))+MIN(MAX(0,P975-(N967-MIN(MAX(O975,0),N967))),MAX(0,3*N967-(O975-MIN(MAX(O975,0),N967)))))</f>
        <v>45586.693217356747</v>
      </c>
      <c r="O976" s="18">
        <f>IF($A976&gt;30,O975,(O975-N967+N976)*(1+$C$7))</f>
        <v>140272.82453763971</v>
      </c>
      <c r="P976" s="18">
        <f t="shared" si="112"/>
        <v>697570.48238783726</v>
      </c>
      <c r="Q976" s="18">
        <f>IF($A976&gt;30,0,(Q967-MIN(MAX(R975,0),Q967))+MIN(MAX(0,S975-(Q967-MIN(MAX(R975,0),Q967))),MAX(0,3*Q967-(R975-MIN(MAX(R975,0),Q967)))))</f>
        <v>45586.706917822681</v>
      </c>
      <c r="R976" s="18">
        <f>IF($A976&gt;30,R975,(R975-Q967+Q976)*(1+$C$7))</f>
        <v>140272.86669474552</v>
      </c>
      <c r="S976" s="18">
        <f t="shared" si="113"/>
        <v>697570.32241123321</v>
      </c>
    </row>
    <row r="977" spans="1:19">
      <c r="A977" s="10">
        <f>8</f>
        <v>8</v>
      </c>
      <c r="B977" s="18">
        <f>IF($A977&gt;30,0,(B967-MIN(MAX(C976,0),B967))+MIN(MAX(0,D976-(B967-MIN(MAX(C976,0),B967))),MAX(0,3*B967-(C976-MIN(MAX(C976,0),B967)))))</f>
        <v>29433</v>
      </c>
      <c r="C977" s="18">
        <f>IF($A977&gt;30,C976,(C976-B967+B977)*(1+$C$7))</f>
        <v>90567</v>
      </c>
      <c r="D977" s="18">
        <f t="shared" si="108"/>
        <v>882462.54477171216</v>
      </c>
      <c r="E977" s="18">
        <f>IF($A977&gt;30,0,(E967-MIN(MAX(F976,0),E967))+MIN(MAX(0,G976-(E967-MIN(MAX(F976,0),E967))),MAX(0,3*E967-(F976-MIN(MAX(F976,0),E967)))))</f>
        <v>73582.5</v>
      </c>
      <c r="F977" s="18">
        <f>IF($A977&gt;30,F976,(F976-E967+E977)*(1+$C$7))</f>
        <v>226417.5</v>
      </c>
      <c r="G977" s="18">
        <f t="shared" si="109"/>
        <v>306001.23984785599</v>
      </c>
      <c r="H977" s="18">
        <f>IF($A977&gt;30,0,(H967-MIN(MAX(I976,0),H967))+MIN(MAX(0,J976-(H967-MIN(MAX(I976,0),H967))),MAX(0,3*H967-(I976-MIN(MAX(I976,0),H967)))))</f>
        <v>46264.024720947986</v>
      </c>
      <c r="I977" s="18">
        <f>IF($A977&gt;30,I976,(I976-H967+H977)*(1+$C$7))</f>
        <v>142357.0117521862</v>
      </c>
      <c r="J977" s="18">
        <f t="shared" si="110"/>
        <v>662699.36571320973</v>
      </c>
      <c r="K977" s="18">
        <f>IF($A977&gt;30,0,(K967-MIN(MAX(L976,0),K967))+MIN(MAX(0,M976-(K967-MIN(MAX(L976,0),K967))),MAX(0,3*K967-(L976-MIN(MAX(L976,0),K967)))))</f>
        <v>45586.110984909232</v>
      </c>
      <c r="L977" s="18">
        <f>IF($A977&gt;30,L976,(L976-K967+K977)*(1+$C$7))</f>
        <v>140271.03297558086</v>
      </c>
      <c r="M977" s="18">
        <f t="shared" si="111"/>
        <v>671550.90507158765</v>
      </c>
      <c r="N977" s="18">
        <f>IF($A977&gt;30,0,(N967-MIN(MAX(O976,0),N967))+MIN(MAX(0,P976-(N967-MIN(MAX(O976,0),N967))),MAX(0,3*N967-(O976-MIN(MAX(O976,0),N967)))))</f>
        <v>45586.693217356747</v>
      </c>
      <c r="O977" s="18">
        <f>IF($A977&gt;30,O976,(O976-N967+N977)*(1+$C$7))</f>
        <v>140272.82453763971</v>
      </c>
      <c r="P977" s="18">
        <f t="shared" si="112"/>
        <v>671543.30284559506</v>
      </c>
      <c r="Q977" s="18">
        <f>IF($A977&gt;30,0,(Q967-MIN(MAX(R976,0),Q967))+MIN(MAX(0,S976-(Q967-MIN(MAX(R976,0),Q967))),MAX(0,3*Q967-(R976-MIN(MAX(R976,0),Q967)))))</f>
        <v>45586.706917822681</v>
      </c>
      <c r="R977" s="18">
        <f>IF($A977&gt;30,R976,(R976-Q967+Q977)*(1+$C$7))</f>
        <v>140272.86669474552</v>
      </c>
      <c r="S977" s="18">
        <f t="shared" si="113"/>
        <v>671543.12395821279</v>
      </c>
    </row>
    <row r="978" spans="1:19">
      <c r="A978" s="10">
        <f>9</f>
        <v>9</v>
      </c>
      <c r="B978" s="18">
        <f>IF($A978&gt;30,0,(B967-MIN(MAX(C977,0),B967))+MIN(MAX(0,D977-(B967-MIN(MAX(C977,0),B967))),MAX(0,3*B967-(C977-MIN(MAX(C977,0),B967)))))</f>
        <v>29433</v>
      </c>
      <c r="C978" s="18">
        <f>IF($A978&gt;30,C977,(C977-B967+B978)*(1+$C$7))</f>
        <v>90567</v>
      </c>
      <c r="D978" s="18">
        <f t="shared" si="108"/>
        <v>878620.43111486349</v>
      </c>
      <c r="E978" s="18">
        <f>IF($A978&gt;30,0,(E967-MIN(MAX(F977,0),E967))+MIN(MAX(0,G977-(E967-MIN(MAX(F977,0),E967))),MAX(0,3*E967-(F977-MIN(MAX(F977,0),E967)))))</f>
        <v>73582.5</v>
      </c>
      <c r="F978" s="18">
        <f>IF($A978&gt;30,F977,(F977-E967+E978)*(1+$C$7))</f>
        <v>226417.5</v>
      </c>
      <c r="G978" s="18">
        <f t="shared" si="109"/>
        <v>239391.30204329168</v>
      </c>
      <c r="H978" s="18">
        <f>IF($A978&gt;30,0,(H967-MIN(MAX(I977,0),H967))+MIN(MAX(0,J977-(H967-MIN(MAX(I977,0),H967))),MAX(0,3*H967-(I977-MIN(MAX(I977,0),H967)))))</f>
        <v>46264.024720947986</v>
      </c>
      <c r="I978" s="18">
        <f>IF($A978&gt;30,I977,(I977-H967+H978)*(1+$C$7))</f>
        <v>142357.0117521862</v>
      </c>
      <c r="J978" s="18">
        <f t="shared" si="110"/>
        <v>634928.40122202958</v>
      </c>
      <c r="K978" s="18">
        <f>IF($A978&gt;30,0,(K967-MIN(MAX(L977,0),K967))+MIN(MAX(0,M977-(K967-MIN(MAX(L977,0),K967))),MAX(0,3*K967-(L977-MIN(MAX(L977,0),K967)))))</f>
        <v>45586.110984909232</v>
      </c>
      <c r="L978" s="18">
        <f>IF($A978&gt;30,L977,(L977-K967+K978)*(1+$C$7))</f>
        <v>140271.03297558086</v>
      </c>
      <c r="M978" s="18">
        <f t="shared" si="111"/>
        <v>644743.73790927883</v>
      </c>
      <c r="N978" s="18">
        <f>IF($A978&gt;30,0,(N967-MIN(MAX(O977,0),N967))+MIN(MAX(0,P977-(N967-MIN(MAX(O977,0),N967))),MAX(0,3*N967-(O977-MIN(MAX(O977,0),N967)))))</f>
        <v>45586.693217356747</v>
      </c>
      <c r="O978" s="18">
        <f>IF($A978&gt;30,O977,(O977-N967+N978)*(1+$C$7))</f>
        <v>140272.82453763971</v>
      </c>
      <c r="P978" s="18">
        <f t="shared" si="112"/>
        <v>644735.30791708536</v>
      </c>
      <c r="Q978" s="18">
        <f>IF($A978&gt;30,0,(Q967-MIN(MAX(R977,0),Q967))+MIN(MAX(0,S977-(Q967-MIN(MAX(R977,0),Q967))),MAX(0,3*Q967-(R977-MIN(MAX(R977,0),Q967)))))</f>
        <v>45586.706917822681</v>
      </c>
      <c r="R978" s="18">
        <f>IF($A978&gt;30,R977,(R977-Q967+Q978)*(1+$C$7))</f>
        <v>140272.86669474552</v>
      </c>
      <c r="S978" s="18">
        <f t="shared" si="113"/>
        <v>644735.10955160181</v>
      </c>
    </row>
    <row r="979" spans="1:19">
      <c r="A979" s="10">
        <f>10</f>
        <v>10</v>
      </c>
      <c r="B979" s="18">
        <f>IF($A979&gt;30,0,(B967-MIN(MAX(C978,0),B967))+MIN(MAX(0,D978-(B967-MIN(MAX(C978,0),B967))),MAX(0,3*B967-(C978-MIN(MAX(C978,0),B967)))))</f>
        <v>29433</v>
      </c>
      <c r="C979" s="18">
        <f>IF($A979&gt;30,C978,(C978-B967+B979)*(1+$C$7))</f>
        <v>90567</v>
      </c>
      <c r="D979" s="18">
        <f t="shared" si="108"/>
        <v>874663.05404830945</v>
      </c>
      <c r="E979" s="18">
        <f>IF($A979&gt;30,0,(E967-MIN(MAX(F978,0),E967))+MIN(MAX(0,G978-(E967-MIN(MAX(F978,0),E967))),MAX(0,3*E967-(F978-MIN(MAX(F978,0),E967)))))</f>
        <v>73582.5</v>
      </c>
      <c r="F979" s="18">
        <f>IF($A979&gt;30,F978,(F978-E967+E979)*(1+$C$7))</f>
        <v>226417.5</v>
      </c>
      <c r="G979" s="18">
        <f t="shared" si="109"/>
        <v>170783.06610459043</v>
      </c>
      <c r="H979" s="18">
        <f>IF($A979&gt;30,0,(H967-MIN(MAX(I978,0),H967))+MIN(MAX(0,J978-(H967-MIN(MAX(I978,0),H967))),MAX(0,3*H967-(I978-MIN(MAX(I978,0),H967)))))</f>
        <v>46264.024720947986</v>
      </c>
      <c r="I979" s="18">
        <f>IF($A979&gt;30,I978,(I978-H967+H979)*(1+$C$7))</f>
        <v>142357.0117521862</v>
      </c>
      <c r="J979" s="18">
        <f t="shared" si="110"/>
        <v>606324.30779611412</v>
      </c>
      <c r="K979" s="18">
        <f>IF($A979&gt;30,0,(K967-MIN(MAX(L978,0),K967))+MIN(MAX(0,M978-(K967-MIN(MAX(L978,0),K967))),MAX(0,3*K967-(L978-MIN(MAX(L978,0),K967)))))</f>
        <v>45586.110984909232</v>
      </c>
      <c r="L979" s="18">
        <f>IF($A979&gt;30,L978,(L978-K967+K979)*(1+$C$7))</f>
        <v>140271.03297558086</v>
      </c>
      <c r="M979" s="18">
        <f t="shared" si="111"/>
        <v>617132.35573210067</v>
      </c>
      <c r="N979" s="18">
        <f>IF($A979&gt;30,0,(N967-MIN(MAX(O978,0),N967))+MIN(MAX(0,P978-(N967-MIN(MAX(O978,0),N967))),MAX(0,3*N967-(O978-MIN(MAX(O978,0),N967)))))</f>
        <v>45586.693217356747</v>
      </c>
      <c r="O979" s="18">
        <f>IF($A979&gt;30,O978,(O978-N967+N979)*(1+$C$7))</f>
        <v>140272.82453763971</v>
      </c>
      <c r="P979" s="18">
        <f t="shared" si="112"/>
        <v>617123.07314072037</v>
      </c>
      <c r="Q979" s="18">
        <f>IF($A979&gt;30,0,(Q967-MIN(MAX(R978,0),Q967))+MIN(MAX(0,S978-(Q967-MIN(MAX(R978,0),Q967))),MAX(0,3*Q967-(R978-MIN(MAX(R978,0),Q967)))))</f>
        <v>45586.706917822681</v>
      </c>
      <c r="R979" s="18">
        <f>IF($A979&gt;30,R978,(R978-Q967+Q979)*(1+$C$7))</f>
        <v>140272.86669474552</v>
      </c>
      <c r="S979" s="18">
        <f t="shared" si="113"/>
        <v>617122.85471279244</v>
      </c>
    </row>
    <row r="980" spans="1:19">
      <c r="A980" s="10">
        <f>11</f>
        <v>11</v>
      </c>
      <c r="B980" s="18">
        <f>IF($A980&gt;30,0,(B967-MIN(MAX(C979,0),B967))+MIN(MAX(0,D979-(B967-MIN(MAX(C979,0),B967))),MAX(0,3*B967-(C979-MIN(MAX(C979,0),B967)))))</f>
        <v>29433</v>
      </c>
      <c r="C980" s="18">
        <f>IF($A980&gt;30,C979,(C979-B967+B980)*(1+$C$7))</f>
        <v>90567</v>
      </c>
      <c r="D980" s="18">
        <f t="shared" si="108"/>
        <v>870586.95566975872</v>
      </c>
      <c r="E980" s="18">
        <f>IF($A980&gt;30,0,(E967-MIN(MAX(F979,0),E967))+MIN(MAX(0,G979-(E967-MIN(MAX(F979,0),E967))),MAX(0,3*E967-(F979-MIN(MAX(F979,0),E967)))))</f>
        <v>73582.5</v>
      </c>
      <c r="F980" s="18">
        <f>IF($A980&gt;30,F979,(F979-E967+E980)*(1+$C$7))</f>
        <v>226417.5</v>
      </c>
      <c r="G980" s="18">
        <f t="shared" si="109"/>
        <v>100116.58308772814</v>
      </c>
      <c r="H980" s="18">
        <f>IF($A980&gt;30,0,(H967-MIN(MAX(I979,0),H967))+MIN(MAX(0,J979-(H967-MIN(MAX(I979,0),H967))),MAX(0,3*H967-(I979-MIN(MAX(I979,0),H967)))))</f>
        <v>46264.024720947986</v>
      </c>
      <c r="I980" s="18">
        <f>IF($A980&gt;30,I979,(I979-H967+H980)*(1+$C$7))</f>
        <v>142357.0117521862</v>
      </c>
      <c r="J980" s="18">
        <f t="shared" si="110"/>
        <v>576862.09156742122</v>
      </c>
      <c r="K980" s="18">
        <f>IF($A980&gt;30,0,(K967-MIN(MAX(L979,0),K967))+MIN(MAX(0,M979-(K967-MIN(MAX(L979,0),K967))),MAX(0,3*K967-(L979-MIN(MAX(L979,0),K967)))))</f>
        <v>45586.110984909232</v>
      </c>
      <c r="L980" s="18">
        <f>IF($A980&gt;30,L979,(L979-K967+K980)*(1+$C$7))</f>
        <v>140271.03297558086</v>
      </c>
      <c r="M980" s="18">
        <f t="shared" si="111"/>
        <v>588692.63208960718</v>
      </c>
      <c r="N980" s="18">
        <f>IF($A980&gt;30,0,(N967-MIN(MAX(O979,0),N967))+MIN(MAX(0,P979-(N967-MIN(MAX(O979,0),N967))),MAX(0,3*N967-(O979-MIN(MAX(O979,0),N967)))))</f>
        <v>45586.693217356747</v>
      </c>
      <c r="O980" s="18">
        <f>IF($A980&gt;30,O979,(O979-N967+N980)*(1+$C$7))</f>
        <v>140272.82453763971</v>
      </c>
      <c r="P980" s="18">
        <f t="shared" si="112"/>
        <v>588682.47132106463</v>
      </c>
      <c r="Q980" s="18">
        <f>IF($A980&gt;30,0,(Q967-MIN(MAX(R979,0),Q967))+MIN(MAX(0,S979-(Q967-MIN(MAX(R979,0),Q967))),MAX(0,3*Q967-(R979-MIN(MAX(R979,0),Q967)))))</f>
        <v>45586.706917822681</v>
      </c>
      <c r="R980" s="18">
        <f>IF($A980&gt;30,R979,(R979-Q967+Q980)*(1+$C$7))</f>
        <v>140272.86669474552</v>
      </c>
      <c r="S980" s="18">
        <f t="shared" si="113"/>
        <v>588682.23222881882</v>
      </c>
    </row>
    <row r="981" spans="1:19">
      <c r="A981" s="10">
        <f>12</f>
        <v>12</v>
      </c>
      <c r="B981" s="18">
        <f>IF($A981&gt;30,0,(B967-MIN(MAX(C980,0),B967))+MIN(MAX(0,D980-(B967-MIN(MAX(C980,0),B967))),MAX(0,3*B967-(C980-MIN(MAX(C980,0),B967)))))</f>
        <v>29433</v>
      </c>
      <c r="C981" s="18">
        <f>IF($A981&gt;30,C980,(C980-B967+B981)*(1+$C$7))</f>
        <v>90567</v>
      </c>
      <c r="D981" s="18">
        <f t="shared" si="108"/>
        <v>866388.5743398515</v>
      </c>
      <c r="E981" s="18">
        <f>IF($A981&gt;30,0,(E967-MIN(MAX(F980,0),E967))+MIN(MAX(0,G980-(E967-MIN(MAX(F980,0),E967))),MAX(0,3*E967-(F980-MIN(MAX(F980,0),E967)))))</f>
        <v>73582.5</v>
      </c>
      <c r="F981" s="18">
        <f>IF($A981&gt;30,F980,(F980-E967+E981)*(1+$C$7))</f>
        <v>226417.5</v>
      </c>
      <c r="G981" s="18">
        <f t="shared" si="109"/>
        <v>27330.105580359985</v>
      </c>
      <c r="H981" s="18">
        <f>IF($A981&gt;30,0,(H967-MIN(MAX(I980,0),H967))+MIN(MAX(0,J980-(H967-MIN(MAX(I980,0),H967))),MAX(0,3*H967-(I980-MIN(MAX(I980,0),H967)))))</f>
        <v>46264.024720947986</v>
      </c>
      <c r="I981" s="18">
        <f>IF($A981&gt;30,I980,(I980-H967+H981)*(1+$C$7))</f>
        <v>142357.0117521862</v>
      </c>
      <c r="J981" s="18">
        <f t="shared" si="110"/>
        <v>546516.00885186752</v>
      </c>
      <c r="K981" s="18">
        <f>IF($A981&gt;30,0,(K967-MIN(MAX(L980,0),K967))+MIN(MAX(0,M980-(K967-MIN(MAX(L980,0),K967))),MAX(0,3*K967-(L980-MIN(MAX(L980,0),K967)))))</f>
        <v>45586.110984909232</v>
      </c>
      <c r="L981" s="18">
        <f>IF($A981&gt;30,L980,(L980-K967+K981)*(1+$C$7))</f>
        <v>140271.03297558086</v>
      </c>
      <c r="M981" s="18">
        <f t="shared" si="111"/>
        <v>559399.71673783893</v>
      </c>
      <c r="N981" s="18">
        <f>IF($A981&gt;30,0,(N967-MIN(MAX(O980,0),N967))+MIN(MAX(0,P980-(N967-MIN(MAX(O980,0),N967))),MAX(0,3*N967-(O980-MIN(MAX(O980,0),N967)))))</f>
        <v>45586.693217356747</v>
      </c>
      <c r="O981" s="18">
        <f>IF($A981&gt;30,O980,(O980-N967+N981)*(1+$C$7))</f>
        <v>140272.82453763971</v>
      </c>
      <c r="P981" s="18">
        <f t="shared" si="112"/>
        <v>559388.65144681907</v>
      </c>
      <c r="Q981" s="18">
        <f>IF($A981&gt;30,0,(Q967-MIN(MAX(R980,0),Q967))+MIN(MAX(0,S980-(Q967-MIN(MAX(R980,0),Q967))),MAX(0,3*Q967-(R980-MIN(MAX(R980,0),Q967)))))</f>
        <v>45586.706917822681</v>
      </c>
      <c r="R981" s="18">
        <f>IF($A981&gt;30,R980,(R980-Q967+Q981)*(1+$C$7))</f>
        <v>140272.86669474552</v>
      </c>
      <c r="S981" s="18">
        <f t="shared" si="113"/>
        <v>559388.39107032598</v>
      </c>
    </row>
    <row r="982" spans="1:19">
      <c r="A982" s="10">
        <f>13</f>
        <v>13</v>
      </c>
      <c r="B982" s="18">
        <f>IF($A982&gt;30,0,(B967-MIN(MAX(C981,0),B967))+MIN(MAX(0,D981-(B967-MIN(MAX(C981,0),B967))),MAX(0,3*B967-(C981-MIN(MAX(C981,0),B967)))))</f>
        <v>29433</v>
      </c>
      <c r="C982" s="18">
        <f>IF($A982&gt;30,C981,(C981-B967+B982)*(1+$C$7))</f>
        <v>90567</v>
      </c>
      <c r="D982" s="18">
        <f t="shared" si="108"/>
        <v>862064.2415700471</v>
      </c>
      <c r="E982" s="18">
        <f>IF($A982&gt;30,0,(E967-MIN(MAX(F981,0),E967))+MIN(MAX(0,G981-(E967-MIN(MAX(F981,0),E967))),MAX(0,3*E967-(F981-MIN(MAX(F981,0),E967)))))</f>
        <v>27330.105580359985</v>
      </c>
      <c r="F982" s="18">
        <f>IF($A982&gt;30,F981,(F981-E967+E982)*(1+$C$7))</f>
        <v>179873.71549551626</v>
      </c>
      <c r="G982" s="18">
        <f t="shared" si="109"/>
        <v>0</v>
      </c>
      <c r="H982" s="18">
        <f>IF($A982&gt;30,0,(H967-MIN(MAX(I981,0),H967))+MIN(MAX(0,J981-(H967-MIN(MAX(I981,0),H967))),MAX(0,3*H967-(I981-MIN(MAX(I981,0),H967)))))</f>
        <v>46264.024720947986</v>
      </c>
      <c r="I982" s="18">
        <f>IF($A982&gt;30,I981,(I981-H967+H982)*(1+$C$7))</f>
        <v>142357.0117521862</v>
      </c>
      <c r="J982" s="18">
        <f t="shared" si="110"/>
        <v>515259.54365484713</v>
      </c>
      <c r="K982" s="18">
        <f>IF($A982&gt;30,0,(K967-MIN(MAX(L981,0),K967))+MIN(MAX(0,M981-(K967-MIN(MAX(L981,0),K967))),MAX(0,3*K967-(L981-MIN(MAX(L981,0),K967)))))</f>
        <v>45586.110984909232</v>
      </c>
      <c r="L982" s="18">
        <f>IF($A982&gt;30,L981,(L981-K967+K982)*(1+$C$7))</f>
        <v>140271.03297558086</v>
      </c>
      <c r="M982" s="18">
        <f t="shared" si="111"/>
        <v>529228.01392551756</v>
      </c>
      <c r="N982" s="18">
        <f>IF($A982&gt;30,0,(N967-MIN(MAX(O981,0),N967))+MIN(MAX(0,P981-(N967-MIN(MAX(O981,0),N967))),MAX(0,3*N967-(O981-MIN(MAX(O981,0),N967)))))</f>
        <v>45586.693217356747</v>
      </c>
      <c r="O982" s="18">
        <f>IF($A982&gt;30,O981,(O981-N967+N982)*(1+$C$7))</f>
        <v>140272.82453763971</v>
      </c>
      <c r="P982" s="18">
        <f t="shared" si="112"/>
        <v>529216.01697634626</v>
      </c>
      <c r="Q982" s="18">
        <f>IF($A982&gt;30,0,(Q967-MIN(MAX(R981,0),Q967))+MIN(MAX(0,S981-(Q967-MIN(MAX(R981,0),Q967))),MAX(0,3*Q967-(R981-MIN(MAX(R981,0),Q967)))))</f>
        <v>45586.706917822681</v>
      </c>
      <c r="R982" s="18">
        <f>IF($A982&gt;30,R981,(R981-Q967+Q982)*(1+$C$7))</f>
        <v>140272.86669474552</v>
      </c>
      <c r="S982" s="18">
        <f t="shared" si="113"/>
        <v>529215.73467707832</v>
      </c>
    </row>
    <row r="983" spans="1:19">
      <c r="A983" s="10">
        <f>14</f>
        <v>14</v>
      </c>
      <c r="B983" s="18">
        <f>IF($A983&gt;30,0,(B967-MIN(MAX(C982,0),B967))+MIN(MAX(0,D982-(B967-MIN(MAX(C982,0),B967))),MAX(0,3*B967-(C982-MIN(MAX(C982,0),B967)))))</f>
        <v>29433</v>
      </c>
      <c r="C983" s="18">
        <f>IF($A983&gt;30,C982,(C982-B967+B983)*(1+$C$7))</f>
        <v>90567</v>
      </c>
      <c r="D983" s="18">
        <f t="shared" si="108"/>
        <v>857610.17881714855</v>
      </c>
      <c r="E983" s="18">
        <f>IF($A983&gt;30,0,(E967-MIN(MAX(F982,0),E967))+MIN(MAX(0,G982-(E967-MIN(MAX(F982,0),E967))),MAX(0,3*E967-(F982-MIN(MAX(F982,0),E967)))))</f>
        <v>0</v>
      </c>
      <c r="F983" s="18">
        <f>IF($A983&gt;30,F982,(F982-E967+E983)*(1+$C$7))</f>
        <v>105534.419903138</v>
      </c>
      <c r="G983" s="18">
        <f t="shared" si="109"/>
        <v>0</v>
      </c>
      <c r="H983" s="18">
        <f>IF($A983&gt;30,0,(H967-MIN(MAX(I982,0),H967))+MIN(MAX(0,J982-(H967-MIN(MAX(I982,0),H967))),MAX(0,3*H967-(I982-MIN(MAX(I982,0),H967)))))</f>
        <v>46264.024720947986</v>
      </c>
      <c r="I983" s="18">
        <f>IF($A983&gt;30,I982,(I982-H967+H983)*(1+$C$7))</f>
        <v>142357.0117521862</v>
      </c>
      <c r="J983" s="18">
        <f t="shared" si="110"/>
        <v>483065.38450191612</v>
      </c>
      <c r="K983" s="18">
        <f>IF($A983&gt;30,0,(K967-MIN(MAX(L982,0),K967))+MIN(MAX(0,M982-(K967-MIN(MAX(L982,0),K967))),MAX(0,3*K967-(L982-MIN(MAX(L982,0),K967)))))</f>
        <v>45586.110984909232</v>
      </c>
      <c r="L983" s="18">
        <f>IF($A983&gt;30,L982,(L982-K967+K983)*(1+$C$7))</f>
        <v>140271.03297558086</v>
      </c>
      <c r="M983" s="18">
        <f t="shared" si="111"/>
        <v>498151.16002882662</v>
      </c>
      <c r="N983" s="18">
        <f>IF($A983&gt;30,0,(N967-MIN(MAX(O982,0),N967))+MIN(MAX(0,P982-(N967-MIN(MAX(O982,0),N967))),MAX(0,3*N967-(O982-MIN(MAX(O982,0),N967)))))</f>
        <v>45586.693217356747</v>
      </c>
      <c r="O983" s="18">
        <f>IF($A983&gt;30,O982,(O982-N967+N983)*(1+$C$7))</f>
        <v>140272.82453763971</v>
      </c>
      <c r="P983" s="18">
        <f t="shared" si="112"/>
        <v>498138.20347175922</v>
      </c>
      <c r="Q983" s="18">
        <f>IF($A983&gt;30,0,(Q967-MIN(MAX(R982,0),Q967))+MIN(MAX(0,S982-(Q967-MIN(MAX(R982,0),Q967))),MAX(0,3*Q967-(R982-MIN(MAX(R982,0),Q967)))))</f>
        <v>45586.706917822681</v>
      </c>
      <c r="R983" s="18">
        <f>IF($A983&gt;30,R982,(R982-Q967+Q983)*(1+$C$7))</f>
        <v>140272.86669474552</v>
      </c>
      <c r="S983" s="18">
        <f t="shared" si="113"/>
        <v>498137.89859203331</v>
      </c>
    </row>
    <row r="984" spans="1:19">
      <c r="A984" s="10">
        <f>15</f>
        <v>15</v>
      </c>
      <c r="B984" s="18">
        <f>IF($A984&gt;30,0,(B967-MIN(MAX(C983,0),B967))+MIN(MAX(0,D983-(B967-MIN(MAX(C983,0),B967))),MAX(0,3*B967-(C983-MIN(MAX(C983,0),B967)))))</f>
        <v>29433</v>
      </c>
      <c r="C984" s="18">
        <f>IF($A984&gt;30,C983,(C983-B967+B984)*(1+$C$7))</f>
        <v>90567</v>
      </c>
      <c r="D984" s="18">
        <f t="shared" si="108"/>
        <v>853022.49418166303</v>
      </c>
      <c r="E984" s="18">
        <f>IF($A984&gt;30,0,(E967-MIN(MAX(F983,0),E967))+MIN(MAX(0,G983-(E967-MIN(MAX(F983,0),E967))),MAX(0,3*E967-(F983-MIN(MAX(F983,0),E967)))))</f>
        <v>0</v>
      </c>
      <c r="F984" s="18">
        <f>IF($A984&gt;30,F983,(F983-E967+E984)*(1+$C$7))</f>
        <v>30726.786748527767</v>
      </c>
      <c r="G984" s="18">
        <f t="shared" si="109"/>
        <v>0</v>
      </c>
      <c r="H984" s="18">
        <f>IF($A984&gt;30,0,(H967-MIN(MAX(I983,0),H967))+MIN(MAX(0,J983-(H967-MIN(MAX(I983,0),H967))),MAX(0,3*H967-(I983-MIN(MAX(I983,0),H967)))))</f>
        <v>46264.024720947986</v>
      </c>
      <c r="I984" s="18">
        <f>IF($A984&gt;30,I983,(I983-H967+H984)*(1+$C$7))</f>
        <v>142357.0117521862</v>
      </c>
      <c r="J984" s="18">
        <f t="shared" si="110"/>
        <v>449905.40057439724</v>
      </c>
      <c r="K984" s="18">
        <f>IF($A984&gt;30,0,(K967-MIN(MAX(L983,0),K967))+MIN(MAX(0,M983-(K967-MIN(MAX(L983,0),K967))),MAX(0,3*K967-(L983-MIN(MAX(L983,0),K967)))))</f>
        <v>45586.110984909232</v>
      </c>
      <c r="L984" s="18">
        <f>IF($A984&gt;30,L983,(L983-K967+K984)*(1+$C$7))</f>
        <v>140271.03297558086</v>
      </c>
      <c r="M984" s="18">
        <f t="shared" si="111"/>
        <v>466142.00051523495</v>
      </c>
      <c r="N984" s="18">
        <f>IF($A984&gt;30,0,(N967-MIN(MAX(O983,0),N967))+MIN(MAX(0,P983-(N967-MIN(MAX(O983,0),N967))),MAX(0,3*N967-(O983-MIN(MAX(O983,0),N967)))))</f>
        <v>45586.693217356747</v>
      </c>
      <c r="O984" s="18">
        <f>IF($A984&gt;30,O983,(O983-N967+N984)*(1+$C$7))</f>
        <v>140272.82453763971</v>
      </c>
      <c r="P984" s="18">
        <f t="shared" si="112"/>
        <v>466128.05556203454</v>
      </c>
      <c r="Q984" s="18">
        <f>IF($A984&gt;30,0,(Q967-MIN(MAX(R983,0),Q967))+MIN(MAX(0,S983-(Q967-MIN(MAX(R983,0),Q967))),MAX(0,3*Q967-(R983-MIN(MAX(R983,0),Q967)))))</f>
        <v>45586.706917822681</v>
      </c>
      <c r="R984" s="18">
        <f>IF($A984&gt;30,R983,(R983-Q967+Q984)*(1+$C$7))</f>
        <v>140272.86669474552</v>
      </c>
      <c r="S984" s="18">
        <f t="shared" si="113"/>
        <v>466127.72742443695</v>
      </c>
    </row>
    <row r="985" spans="1:19">
      <c r="A985" s="10">
        <f>16</f>
        <v>16</v>
      </c>
      <c r="B985" s="18">
        <f>IF($A985&gt;30,0,(B967-MIN(MAX(C984,0),B967))+MIN(MAX(0,D984-(B967-MIN(MAX(C984,0),B967))),MAX(0,3*B967-(C984-MIN(MAX(C984,0),B967)))))</f>
        <v>29433</v>
      </c>
      <c r="C985" s="18">
        <f>IF($A985&gt;30,C984,(C984-B967+B985)*(1+$C$7))</f>
        <v>90567</v>
      </c>
      <c r="D985" s="18">
        <f t="shared" si="108"/>
        <v>848297.17900711298</v>
      </c>
      <c r="E985" s="18">
        <f>IF($A985&gt;30,0,(E967-MIN(MAX(F984,0),E967))+MIN(MAX(0,G984-(E967-MIN(MAX(F984,0),E967))),MAX(0,3*E967-(F984-MIN(MAX(F984,0),E967)))))</f>
        <v>44273.213251472233</v>
      </c>
      <c r="F985" s="18">
        <f>IF($A985&gt;30,F984,(F984-E967+E985)*(1+$C$7))</f>
        <v>0</v>
      </c>
      <c r="G985" s="18">
        <f t="shared" si="109"/>
        <v>-45601.409649016401</v>
      </c>
      <c r="H985" s="18">
        <f>IF($A985&gt;30,0,(H967-MIN(MAX(I984,0),H967))+MIN(MAX(0,J984-(H967-MIN(MAX(I984,0),H967))),MAX(0,3*H967-(I984-MIN(MAX(I984,0),H967)))))</f>
        <v>46264.024720947986</v>
      </c>
      <c r="I985" s="18">
        <f>IF($A985&gt;30,I984,(I984-H967+H985)*(1+$C$7))</f>
        <v>142357.0117521862</v>
      </c>
      <c r="J985" s="18">
        <f t="shared" si="110"/>
        <v>415750.6171290527</v>
      </c>
      <c r="K985" s="18">
        <f>IF($A985&gt;30,0,(K967-MIN(MAX(L984,0),K967))+MIN(MAX(0,M984-(K967-MIN(MAX(L984,0),K967))),MAX(0,3*K967-(L984-MIN(MAX(L984,0),K967)))))</f>
        <v>45586.110984909232</v>
      </c>
      <c r="L985" s="18">
        <f>IF($A985&gt;30,L984,(L984-K967+K985)*(1+$C$7))</f>
        <v>140271.03297558086</v>
      </c>
      <c r="M985" s="18">
        <f t="shared" si="111"/>
        <v>433172.56621623551</v>
      </c>
      <c r="N985" s="18">
        <f>IF($A985&gt;30,0,(N967-MIN(MAX(O984,0),N967))+MIN(MAX(0,P984-(N967-MIN(MAX(O984,0),N967))),MAX(0,3*N967-(O984-MIN(MAX(O984,0),N967)))))</f>
        <v>45586.693217356747</v>
      </c>
      <c r="O985" s="18">
        <f>IF($A985&gt;30,O984,(O984-N967+N985)*(1+$C$7))</f>
        <v>140272.82453763971</v>
      </c>
      <c r="P985" s="18">
        <f t="shared" si="112"/>
        <v>433157.60321501811</v>
      </c>
      <c r="Q985" s="18">
        <f>IF($A985&gt;30,0,(Q967-MIN(MAX(R984,0),Q967))+MIN(MAX(0,S984-(Q967-MIN(MAX(R984,0),Q967))),MAX(0,3*Q967-(R984-MIN(MAX(R984,0),Q967)))))</f>
        <v>45586.706917822681</v>
      </c>
      <c r="R985" s="18">
        <f>IF($A985&gt;30,R984,(R984-Q967+Q985)*(1+$C$7))</f>
        <v>140272.86669474552</v>
      </c>
      <c r="S985" s="18">
        <f t="shared" si="113"/>
        <v>433157.25112181267</v>
      </c>
    </row>
    <row r="986" spans="1:19">
      <c r="A986" s="10">
        <f>17</f>
        <v>17</v>
      </c>
      <c r="B986" s="18">
        <f>IF($A986&gt;30,0,(B967-MIN(MAX(C985,0),B967))+MIN(MAX(0,D985-(B967-MIN(MAX(C985,0),B967))),MAX(0,3*B967-(C985-MIN(MAX(C985,0),B967)))))</f>
        <v>29433</v>
      </c>
      <c r="C986" s="18">
        <f>IF($A986&gt;30,C985,(C985-B967+B986)*(1+$C$7))</f>
        <v>90567</v>
      </c>
      <c r="D986" s="18">
        <f t="shared" si="108"/>
        <v>843430.10437732644</v>
      </c>
      <c r="E986" s="18">
        <f>IF($A986&gt;30,0,(E967-MIN(MAX(F985,0),E967))+MIN(MAX(0,G985-(E967-MIN(MAX(F985,0),E967))),MAX(0,3*E967-(F985-MIN(MAX(F985,0),E967)))))</f>
        <v>75000</v>
      </c>
      <c r="F986" s="18">
        <f>IF($A986&gt;30,F985,(F985-E967+E986)*(1+$C$7))</f>
        <v>0</v>
      </c>
      <c r="G986" s="18">
        <f t="shared" si="109"/>
        <v>-124219.45193848689</v>
      </c>
      <c r="H986" s="18">
        <f>IF($A986&gt;30,0,(H967-MIN(MAX(I985,0),H967))+MIN(MAX(0,J985-(H967-MIN(MAX(I985,0),H967))),MAX(0,3*H967-(I985-MIN(MAX(I985,0),H967)))))</f>
        <v>46264.024720947986</v>
      </c>
      <c r="I986" s="18">
        <f>IF($A986&gt;30,I985,(I985-H967+H986)*(1+$C$7))</f>
        <v>142357.0117521862</v>
      </c>
      <c r="J986" s="18">
        <f t="shared" si="110"/>
        <v>380571.19018034782</v>
      </c>
      <c r="K986" s="18">
        <f>IF($A986&gt;30,0,(K967-MIN(MAX(L985,0),K967))+MIN(MAX(0,M985-(K967-MIN(MAX(L985,0),K967))),MAX(0,3*K967-(L985-MIN(MAX(L985,0),K967)))))</f>
        <v>45586.110984909232</v>
      </c>
      <c r="L986" s="18">
        <f>IF($A986&gt;30,L985,(L985-K967+K986)*(1+$C$7))</f>
        <v>140271.03297558086</v>
      </c>
      <c r="M986" s="18">
        <f t="shared" si="111"/>
        <v>399214.04888826609</v>
      </c>
      <c r="N986" s="18">
        <f>IF($A986&gt;30,0,(N967-MIN(MAX(O985,0),N967))+MIN(MAX(0,P985-(N967-MIN(MAX(O985,0),N967))),MAX(0,3*N967-(O985-MIN(MAX(O985,0),N967)))))</f>
        <v>45586.693217356747</v>
      </c>
      <c r="O986" s="18">
        <f>IF($A986&gt;30,O985,(O985-N967+N986)*(1+$C$7))</f>
        <v>140272.82453763971</v>
      </c>
      <c r="P986" s="18">
        <f t="shared" si="112"/>
        <v>399198.03729759122</v>
      </c>
      <c r="Q986" s="18">
        <f>IF($A986&gt;30,0,(Q967-MIN(MAX(R985,0),Q967))+MIN(MAX(0,S985-(Q967-MIN(MAX(R985,0),Q967))),MAX(0,3*Q967-(R985-MIN(MAX(R985,0),Q967)))))</f>
        <v>45586.706917822681</v>
      </c>
      <c r="R986" s="18">
        <f>IF($A986&gt;30,R985,(R985-Q967+Q986)*(1+$C$7))</f>
        <v>140272.86669474552</v>
      </c>
      <c r="S986" s="18">
        <f t="shared" si="113"/>
        <v>399197.66053010972</v>
      </c>
    </row>
    <row r="987" spans="1:19">
      <c r="A987" s="10">
        <f>18</f>
        <v>18</v>
      </c>
      <c r="B987" s="18">
        <f>IF($A987&gt;30,0,(B967-MIN(MAX(C986,0),B967))+MIN(MAX(0,D986-(B967-MIN(MAX(C986,0),B967))),MAX(0,3*B967-(C986-MIN(MAX(C986,0),B967)))))</f>
        <v>29433</v>
      </c>
      <c r="C987" s="18">
        <f>IF($A987&gt;30,C986,(C986-B967+B987)*(1+$C$7))</f>
        <v>90567</v>
      </c>
      <c r="D987" s="18">
        <f t="shared" si="108"/>
        <v>838417.01750864624</v>
      </c>
      <c r="E987" s="18">
        <f>IF($A987&gt;30,0,(E967-MIN(MAX(F986,0),E967))+MIN(MAX(0,G986-(E967-MIN(MAX(F986,0),E967))),MAX(0,3*E967-(F986-MIN(MAX(F986,0),E967)))))</f>
        <v>75000</v>
      </c>
      <c r="F987" s="18">
        <f>IF($A987&gt;30,F986,(F986-E967+E987)*(1+$C$7))</f>
        <v>0</v>
      </c>
      <c r="G987" s="18">
        <f t="shared" si="109"/>
        <v>-205196.0354966415</v>
      </c>
      <c r="H987" s="18">
        <f>IF($A987&gt;30,0,(H967-MIN(MAX(I986,0),H967))+MIN(MAX(0,J986-(H967-MIN(MAX(I986,0),H967))),MAX(0,3*H967-(I986-MIN(MAX(I986,0),H967)))))</f>
        <v>46264.024720947986</v>
      </c>
      <c r="I987" s="18">
        <f>IF($A987&gt;30,I986,(I986-H967+H987)*(1+$C$7))</f>
        <v>142357.0117521862</v>
      </c>
      <c r="J987" s="18">
        <f t="shared" si="110"/>
        <v>344336.38042318181</v>
      </c>
      <c r="K987" s="18">
        <f>IF($A987&gt;30,0,(K967-MIN(MAX(L986,0),K967))+MIN(MAX(0,M986-(K967-MIN(MAX(L986,0),K967))),MAX(0,3*K967-(L986-MIN(MAX(L986,0),K967)))))</f>
        <v>45586.110984909232</v>
      </c>
      <c r="L987" s="18">
        <f>IF($A987&gt;30,L986,(L986-K967+K987)*(1+$C$7))</f>
        <v>140271.03297558086</v>
      </c>
      <c r="M987" s="18">
        <f t="shared" si="111"/>
        <v>364236.7760404576</v>
      </c>
      <c r="N987" s="18">
        <f>IF($A987&gt;30,0,(N967-MIN(MAX(O986,0),N967))+MIN(MAX(0,P986-(N967-MIN(MAX(O986,0),N967))),MAX(0,3*N967-(O986-MIN(MAX(O986,0),N967)))))</f>
        <v>45586.693217356747</v>
      </c>
      <c r="O987" s="18">
        <f>IF($A987&gt;30,O986,(O986-N967+N987)*(1+$C$7))</f>
        <v>140272.82453763971</v>
      </c>
      <c r="P987" s="18">
        <f t="shared" si="112"/>
        <v>364219.68440264149</v>
      </c>
      <c r="Q987" s="18">
        <f>IF($A987&gt;30,0,(Q967-MIN(MAX(R986,0),Q967))+MIN(MAX(0,S986-(Q967-MIN(MAX(R986,0),Q967))),MAX(0,3*Q967-(R986-MIN(MAX(R986,0),Q967)))))</f>
        <v>45586.706917822681</v>
      </c>
      <c r="R987" s="18">
        <f>IF($A987&gt;30,R986,(R986-Q967+Q987)*(1+$C$7))</f>
        <v>140272.86669474552</v>
      </c>
      <c r="S987" s="18">
        <f t="shared" si="113"/>
        <v>364219.2822206557</v>
      </c>
    </row>
    <row r="988" spans="1:19">
      <c r="A988" s="10">
        <f>19</f>
        <v>19</v>
      </c>
      <c r="B988" s="18">
        <f>IF($A988&gt;30,0,(B967-MIN(MAX(C987,0),B967))+MIN(MAX(0,D987-(B967-MIN(MAX(C987,0),B967))),MAX(0,3*B967-(C987-MIN(MAX(C987,0),B967)))))</f>
        <v>29433</v>
      </c>
      <c r="C988" s="18">
        <f>IF($A988&gt;30,C987,(C987-B967+B988)*(1+$C$7))</f>
        <v>90567</v>
      </c>
      <c r="D988" s="18">
        <f t="shared" si="108"/>
        <v>833253.53803390567</v>
      </c>
      <c r="E988" s="18">
        <f>IF($A988&gt;30,0,(E967-MIN(MAX(F987,0),E967))+MIN(MAX(0,G987-(E967-MIN(MAX(F987,0),E967))),MAX(0,3*E967-(F987-MIN(MAX(F987,0),E967)))))</f>
        <v>75000</v>
      </c>
      <c r="F988" s="18">
        <f>IF($A988&gt;30,F987,(F987-E967+E988)*(1+$C$7))</f>
        <v>0</v>
      </c>
      <c r="G988" s="18">
        <f t="shared" si="109"/>
        <v>-288601.9165615408</v>
      </c>
      <c r="H988" s="18">
        <f>IF($A988&gt;30,0,(H967-MIN(MAX(I987,0),H967))+MIN(MAX(0,J987-(H967-MIN(MAX(I987,0),H967))),MAX(0,3*H967-(I987-MIN(MAX(I987,0),H967)))))</f>
        <v>46264.024720947986</v>
      </c>
      <c r="I988" s="18">
        <f>IF($A988&gt;30,I987,(I987-H967+H988)*(1+$C$7))</f>
        <v>142357.0117521862</v>
      </c>
      <c r="J988" s="18">
        <f t="shared" si="110"/>
        <v>307014.52637330088</v>
      </c>
      <c r="K988" s="18">
        <f>IF($A988&gt;30,0,(K967-MIN(MAX(L987,0),K967))+MIN(MAX(0,M987-(K967-MIN(MAX(L987,0),K967))),MAX(0,3*K967-(L987-MIN(MAX(L987,0),K967)))))</f>
        <v>45586.110984909232</v>
      </c>
      <c r="L988" s="18">
        <f>IF($A988&gt;30,L987,(L987-K967+K988)*(1+$C$7))</f>
        <v>140271.03297558086</v>
      </c>
      <c r="M988" s="18">
        <f t="shared" si="111"/>
        <v>328210.18500721484</v>
      </c>
      <c r="N988" s="18">
        <f>IF($A988&gt;30,0,(N967-MIN(MAX(O987,0),N967))+MIN(MAX(0,P987-(N967-MIN(MAX(O987,0),N967))),MAX(0,3*N967-(O987-MIN(MAX(O987,0),N967)))))</f>
        <v>45586.693217356747</v>
      </c>
      <c r="O988" s="18">
        <f>IF($A988&gt;30,O987,(O987-N967+N988)*(1+$C$7))</f>
        <v>140272.82453763971</v>
      </c>
      <c r="P988" s="18">
        <f t="shared" si="112"/>
        <v>328191.98092084331</v>
      </c>
      <c r="Q988" s="18">
        <f>IF($A988&gt;30,0,(Q967-MIN(MAX(R987,0),Q967))+MIN(MAX(0,S987-(Q967-MIN(MAX(R987,0),Q967))),MAX(0,3*Q967-(R987-MIN(MAX(R987,0),Q967)))))</f>
        <v>45586.706917822681</v>
      </c>
      <c r="R988" s="18">
        <f>IF($A988&gt;30,R987,(R987-Q967+Q988)*(1+$C$7))</f>
        <v>140272.86669474552</v>
      </c>
      <c r="S988" s="18">
        <f t="shared" si="113"/>
        <v>328191.55256191798</v>
      </c>
    </row>
    <row r="989" spans="1:19">
      <c r="A989" s="10">
        <f>20</f>
        <v>20</v>
      </c>
      <c r="B989" s="18">
        <f>IF($A989&gt;30,0,(B967-MIN(MAX(C988,0),B967))+MIN(MAX(0,D988-(B967-MIN(MAX(C988,0),B967))),MAX(0,3*B967-(C988-MIN(MAX(C988,0),B967)))))</f>
        <v>29433</v>
      </c>
      <c r="C989" s="18">
        <f>IF($A989&gt;30,C988,(C988-B967+B989)*(1+$C$7))</f>
        <v>90567</v>
      </c>
      <c r="D989" s="18">
        <f t="shared" si="108"/>
        <v>827935.15417492285</v>
      </c>
      <c r="E989" s="18">
        <f>IF($A989&gt;30,0,(E967-MIN(MAX(F988,0),E967))+MIN(MAX(0,G988-(E967-MIN(MAX(F988,0),E967))),MAX(0,3*E967-(F988-MIN(MAX(F988,0),E967)))))</f>
        <v>75000</v>
      </c>
      <c r="F989" s="18">
        <f>IF($A989&gt;30,F988,(F988-E967+E989)*(1+$C$7))</f>
        <v>0</v>
      </c>
      <c r="G989" s="18">
        <f t="shared" si="109"/>
        <v>-374509.97405838704</v>
      </c>
      <c r="H989" s="18">
        <f>IF($A989&gt;30,0,(H967-MIN(MAX(I988,0),H967))+MIN(MAX(0,J988-(H967-MIN(MAX(I988,0),H967))),MAX(0,3*H967-(I988-MIN(MAX(I988,0),H967)))))</f>
        <v>46264.024720947986</v>
      </c>
      <c r="I989" s="18">
        <f>IF($A989&gt;30,I988,(I988-H967+H989)*(1+$C$7))</f>
        <v>142357.0117521862</v>
      </c>
      <c r="J989" s="18">
        <f t="shared" si="110"/>
        <v>268573.01670192351</v>
      </c>
      <c r="K989" s="18">
        <f>IF($A989&gt;30,0,(K967-MIN(MAX(L988,0),K967))+MIN(MAX(0,M988-(K967-MIN(MAX(L988,0),K967))),MAX(0,3*K967-(L988-MIN(MAX(L988,0),K967)))))</f>
        <v>45586.110984909232</v>
      </c>
      <c r="L989" s="18">
        <f>IF($A989&gt;30,L988,(L988-K967+K989)*(1+$C$7))</f>
        <v>140271.03297558086</v>
      </c>
      <c r="M989" s="18">
        <f t="shared" si="111"/>
        <v>291102.79624297476</v>
      </c>
      <c r="N989" s="18">
        <f>IF($A989&gt;30,0,(N967-MIN(MAX(O988,0),N967))+MIN(MAX(0,P988-(N967-MIN(MAX(O988,0),N967))),MAX(0,3*N967-(O988-MIN(MAX(O988,0),N967)))))</f>
        <v>45586.693217356747</v>
      </c>
      <c r="O989" s="18">
        <f>IF($A989&gt;30,O988,(O988-N967+N989)*(1+$C$7))</f>
        <v>140272.82453763971</v>
      </c>
      <c r="P989" s="18">
        <f t="shared" si="112"/>
        <v>291083.44633459119</v>
      </c>
      <c r="Q989" s="18">
        <f>IF($A989&gt;30,0,(Q967-MIN(MAX(R988,0),Q967))+MIN(MAX(0,S988-(Q967-MIN(MAX(R988,0),Q967))),MAX(0,3*Q967-(R988-MIN(MAX(R988,0),Q967)))))</f>
        <v>45586.706917822681</v>
      </c>
      <c r="R989" s="18">
        <f>IF($A989&gt;30,R988,(R988-Q967+Q989)*(1+$C$7))</f>
        <v>140272.86669474552</v>
      </c>
      <c r="S989" s="18">
        <f t="shared" si="113"/>
        <v>291082.99101341818</v>
      </c>
    </row>
    <row r="990" spans="1:19">
      <c r="A990" s="10">
        <f>21</f>
        <v>21</v>
      </c>
      <c r="B990" s="18">
        <f>IF($A990&gt;30,0,(B967-MIN(MAX(C989,0),B967))+MIN(MAX(0,D989-(B967-MIN(MAX(C989,0),B967))),MAX(0,3*B967-(C989-MIN(MAX(C989,0),B967)))))</f>
        <v>29433</v>
      </c>
      <c r="C990" s="18">
        <f>IF($A990&gt;30,C989,(C989-B967+B990)*(1+$C$7))</f>
        <v>90567</v>
      </c>
      <c r="D990" s="18">
        <f t="shared" si="108"/>
        <v>822457.21880017058</v>
      </c>
      <c r="E990" s="18">
        <f>IF($A990&gt;30,0,(E967-MIN(MAX(F989,0),E967))+MIN(MAX(0,G989-(E967-MIN(MAX(F989,0),E967))),MAX(0,3*E967-(F989-MIN(MAX(F989,0),E967)))))</f>
        <v>75000</v>
      </c>
      <c r="F990" s="18">
        <f>IF($A990&gt;30,F989,(F989-E967+E990)*(1+$C$7))</f>
        <v>0</v>
      </c>
      <c r="G990" s="18">
        <f t="shared" si="109"/>
        <v>-462995.27328013867</v>
      </c>
      <c r="H990" s="18">
        <f>IF($A990&gt;30,0,(H967-MIN(MAX(I989,0),H967))+MIN(MAX(0,J989-(H967-MIN(MAX(I989,0),H967))),MAX(0,3*H967-(I989-MIN(MAX(I989,0),H967)))))</f>
        <v>46264.024720947986</v>
      </c>
      <c r="I990" s="18">
        <f>IF($A990&gt;30,I989,(I989-H967+H990)*(1+$C$7))</f>
        <v>142357.0117521862</v>
      </c>
      <c r="J990" s="18">
        <f t="shared" si="110"/>
        <v>228978.26174040479</v>
      </c>
      <c r="K990" s="18">
        <f>IF($A990&gt;30,0,(K967-MIN(MAX(L989,0),K967))+MIN(MAX(0,M989-(K967-MIN(MAX(L989,0),K967))),MAX(0,3*K967-(L989-MIN(MAX(L989,0),K967)))))</f>
        <v>45586.110984909232</v>
      </c>
      <c r="L990" s="18">
        <f>IF($A990&gt;30,L989,(L989-K967+K990)*(1+$C$7))</f>
        <v>140271.03297558086</v>
      </c>
      <c r="M990" s="18">
        <f t="shared" si="111"/>
        <v>252882.18581580749</v>
      </c>
      <c r="N990" s="18">
        <f>IF($A990&gt;30,0,(N967-MIN(MAX(O989,0),N967))+MIN(MAX(0,P989-(N967-MIN(MAX(O989,0),N967))),MAX(0,3*N967-(O989-MIN(MAX(O989,0),N967)))))</f>
        <v>45586.693217356747</v>
      </c>
      <c r="O990" s="18">
        <f>IF($A990&gt;30,O989,(O989-N967+N990)*(1+$C$7))</f>
        <v>140272.82453763971</v>
      </c>
      <c r="P990" s="18">
        <f t="shared" si="112"/>
        <v>252861.65571075148</v>
      </c>
      <c r="Q990" s="18">
        <f>IF($A990&gt;30,0,(Q967-MIN(MAX(R989,0),Q967))+MIN(MAX(0,S989-(Q967-MIN(MAX(R989,0),Q967))),MAX(0,3*Q967-(R989-MIN(MAX(R989,0),Q967)))))</f>
        <v>45586.706917822681</v>
      </c>
      <c r="R990" s="18">
        <f>IF($A990&gt;30,R989,(R989-Q967+Q990)*(1+$C$7))</f>
        <v>140272.86669474552</v>
      </c>
      <c r="S990" s="18">
        <f t="shared" si="113"/>
        <v>252861.17261846337</v>
      </c>
    </row>
    <row r="991" spans="1:19">
      <c r="A991" s="10">
        <f>22</f>
        <v>22</v>
      </c>
      <c r="B991" s="18">
        <f>IF($A991&gt;30,0,(B967-MIN(MAX(C990,0),B967))+MIN(MAX(0,D990-(B967-MIN(MAX(C990,0),B967))),MAX(0,3*B967-(C990-MIN(MAX(C990,0),B967)))))</f>
        <v>29433</v>
      </c>
      <c r="C991" s="18">
        <f>IF($A991&gt;30,C990,(C990-B967+B991)*(1+$C$7))</f>
        <v>90567</v>
      </c>
      <c r="D991" s="18">
        <f t="shared" si="108"/>
        <v>816814.94536417571</v>
      </c>
      <c r="E991" s="18">
        <f>IF($A991&gt;30,0,(E967-MIN(MAX(F990,0),E967))+MIN(MAX(0,G990-(E967-MIN(MAX(F990,0),E967))),MAX(0,3*E967-(F990-MIN(MAX(F990,0),E967)))))</f>
        <v>75000</v>
      </c>
      <c r="F991" s="18">
        <f>IF($A991&gt;30,F990,(F990-E967+E991)*(1+$C$7))</f>
        <v>0</v>
      </c>
      <c r="G991" s="18">
        <f t="shared" si="109"/>
        <v>-554135.13147854281</v>
      </c>
      <c r="H991" s="18">
        <f>IF($A991&gt;30,0,(H967-MIN(MAX(I990,0),H967))+MIN(MAX(0,J990-(H967-MIN(MAX(I990,0),H967))),MAX(0,3*H967-(I990-MIN(MAX(I990,0),H967)))))</f>
        <v>46264.024720947986</v>
      </c>
      <c r="I991" s="18">
        <f>IF($A991&gt;30,I990,(I990-H967+H991)*(1+$C$7))</f>
        <v>142357.0117521862</v>
      </c>
      <c r="J991" s="18">
        <f t="shared" si="110"/>
        <v>188195.6641300405</v>
      </c>
      <c r="K991" s="18">
        <f>IF($A991&gt;30,0,(K967-MIN(MAX(L990,0),K967))+MIN(MAX(0,M990-(K967-MIN(MAX(L990,0),K967))),MAX(0,3*K967-(L990-MIN(MAX(L990,0),K967)))))</f>
        <v>45586.110984909232</v>
      </c>
      <c r="L991" s="18">
        <f>IF($A991&gt;30,L990,(L990-K967+K991)*(1+$C$7))</f>
        <v>140271.03297558086</v>
      </c>
      <c r="M991" s="18">
        <f t="shared" si="111"/>
        <v>213514.95707582522</v>
      </c>
      <c r="N991" s="18">
        <f>IF($A991&gt;30,0,(N967-MIN(MAX(O990,0),N967))+MIN(MAX(0,P990-(N967-MIN(MAX(O990,0),N967))),MAX(0,3*N967-(O990-MIN(MAX(O990,0),N967)))))</f>
        <v>45586.693217356747</v>
      </c>
      <c r="O991" s="18">
        <f>IF($A991&gt;30,O990,(O990-N967+N991)*(1+$C$7))</f>
        <v>140272.82453763971</v>
      </c>
      <c r="P991" s="18">
        <f t="shared" si="112"/>
        <v>213493.21136819659</v>
      </c>
      <c r="Q991" s="18">
        <f>IF($A991&gt;30,0,(Q967-MIN(MAX(R990,0),Q967))+MIN(MAX(0,S990-(Q967-MIN(MAX(R990,0),Q967))),MAX(0,3*Q967-(R990-MIN(MAX(R990,0),Q967)))))</f>
        <v>45586.706917822681</v>
      </c>
      <c r="R991" s="18">
        <f>IF($A991&gt;30,R990,(R990-Q967+Q991)*(1+$C$7))</f>
        <v>140272.86669474552</v>
      </c>
      <c r="S991" s="18">
        <f t="shared" si="113"/>
        <v>213492.69967165991</v>
      </c>
    </row>
    <row r="992" spans="1:19">
      <c r="A992" s="10">
        <f>23</f>
        <v>23</v>
      </c>
      <c r="B992" s="18">
        <f>IF($A992&gt;30,0,(B967-MIN(MAX(C991,0),B967))+MIN(MAX(0,D991-(B967-MIN(MAX(C991,0),B967))),MAX(0,3*B967-(C991-MIN(MAX(C991,0),B967)))))</f>
        <v>29433</v>
      </c>
      <c r="C992" s="18">
        <f>IF($A992&gt;30,C991,(C991-B967+B992)*(1+$C$7))</f>
        <v>90567</v>
      </c>
      <c r="D992" s="18">
        <f t="shared" si="108"/>
        <v>811003.40372510103</v>
      </c>
      <c r="E992" s="18">
        <f>IF($A992&gt;30,0,(E967-MIN(MAX(F991,0),E967))+MIN(MAX(0,G991-(E967-MIN(MAX(F991,0),E967))),MAX(0,3*E967-(F991-MIN(MAX(F991,0),E967)))))</f>
        <v>75000</v>
      </c>
      <c r="F992" s="18">
        <f>IF($A992&gt;30,F991,(F991-E967+E992)*(1+$C$7))</f>
        <v>0</v>
      </c>
      <c r="G992" s="18">
        <f t="shared" si="109"/>
        <v>-648009.18542289909</v>
      </c>
      <c r="H992" s="18">
        <f>IF($A992&gt;30,0,(H967-MIN(MAX(I991,0),H967))+MIN(MAX(0,J991-(H967-MIN(MAX(I991,0),H967))),MAX(0,3*H967-(I991-MIN(MAX(I991,0),H967)))))</f>
        <v>46264.024720947986</v>
      </c>
      <c r="I992" s="18">
        <f>IF($A992&gt;30,I991,(I991-H967+H992)*(1+$C$7))</f>
        <v>142357.0117521862</v>
      </c>
      <c r="J992" s="18">
        <f t="shared" si="110"/>
        <v>146189.58859136529</v>
      </c>
      <c r="K992" s="18">
        <f>IF($A992&gt;30,0,(K967-MIN(MAX(L991,0),K967))+MIN(MAX(0,M991-(K967-MIN(MAX(L991,0),K967))),MAX(0,3*K967-(L991-MIN(MAX(L991,0),K967)))))</f>
        <v>45586.110984909232</v>
      </c>
      <c r="L992" s="18">
        <f>IF($A992&gt;30,L991,(L991-K967+K992)*(1+$C$7))</f>
        <v>140271.03297558086</v>
      </c>
      <c r="M992" s="18">
        <f t="shared" si="111"/>
        <v>172966.71147364349</v>
      </c>
      <c r="N992" s="18">
        <f>IF($A992&gt;30,0,(N967-MIN(MAX(O991,0),N967))+MIN(MAX(0,P991-(N967-MIN(MAX(O991,0),N967))),MAX(0,3*N967-(O991-MIN(MAX(O991,0),N967)))))</f>
        <v>45586.693217356747</v>
      </c>
      <c r="O992" s="18">
        <f>IF($A992&gt;30,O991,(O991-N967+N992)*(1+$C$7))</f>
        <v>140272.82453763971</v>
      </c>
      <c r="P992" s="18">
        <f t="shared" si="112"/>
        <v>172943.71369536503</v>
      </c>
      <c r="Q992" s="18">
        <f>IF($A992&gt;30,0,(Q967-MIN(MAX(R991,0),Q967))+MIN(MAX(0,S991-(Q967-MIN(MAX(R991,0),Q967))),MAX(0,3*Q967-(R991-MIN(MAX(R991,0),Q967)))))</f>
        <v>45586.706917822681</v>
      </c>
      <c r="R992" s="18">
        <f>IF($A992&gt;30,R991,(R991-Q967+Q992)*(1+$C$7))</f>
        <v>140272.86669474552</v>
      </c>
      <c r="S992" s="18">
        <f t="shared" si="113"/>
        <v>172943.17253645236</v>
      </c>
    </row>
    <row r="993" spans="1:19">
      <c r="A993" s="10">
        <f>24</f>
        <v>24</v>
      </c>
      <c r="B993" s="18">
        <f>IF($A993&gt;30,0,(B967-MIN(MAX(C992,0),B967))+MIN(MAX(0,D992-(B967-MIN(MAX(C992,0),B967))),MAX(0,3*B967-(C992-MIN(MAX(C992,0),B967)))))</f>
        <v>29433</v>
      </c>
      <c r="C993" s="18">
        <f>IF($A993&gt;30,C992,(C992-B967+B993)*(1+$C$7))</f>
        <v>90567</v>
      </c>
      <c r="D993" s="18">
        <f t="shared" si="108"/>
        <v>805017.51583685412</v>
      </c>
      <c r="E993" s="18">
        <f>IF($A993&gt;30,0,(E967-MIN(MAX(F992,0),E967))+MIN(MAX(0,G992-(E967-MIN(MAX(F992,0),E967))),MAX(0,3*E967-(F992-MIN(MAX(F992,0),E967)))))</f>
        <v>75000</v>
      </c>
      <c r="F993" s="18">
        <f>IF($A993&gt;30,F992,(F992-E967+E993)*(1+$C$7))</f>
        <v>0</v>
      </c>
      <c r="G993" s="18">
        <f t="shared" si="109"/>
        <v>-744699.46098558605</v>
      </c>
      <c r="H993" s="18">
        <f>IF($A993&gt;30,0,(H967-MIN(MAX(I992,0),H967))+MIN(MAX(0,J992-(H967-MIN(MAX(I992,0),H967))),MAX(0,3*H967-(I992-MIN(MAX(I992,0),H967)))))</f>
        <v>46264.024720947986</v>
      </c>
      <c r="I993" s="18">
        <f>IF($A993&gt;30,I992,(I992-H967+H993)*(1+$C$7))</f>
        <v>142357.0117521862</v>
      </c>
      <c r="J993" s="18">
        <f t="shared" si="110"/>
        <v>102923.33078652983</v>
      </c>
      <c r="K993" s="18">
        <f>IF($A993&gt;30,0,(K967-MIN(MAX(L992,0),K967))+MIN(MAX(0,M992-(K967-MIN(MAX(L992,0),K967))),MAX(0,3*K967-(L992-MIN(MAX(L992,0),K967)))))</f>
        <v>45586.110984909232</v>
      </c>
      <c r="L993" s="18">
        <f>IF($A993&gt;30,L992,(L992-K967+K993)*(1+$C$7))</f>
        <v>140271.03297558086</v>
      </c>
      <c r="M993" s="18">
        <f t="shared" si="111"/>
        <v>131202.01850339628</v>
      </c>
      <c r="N993" s="18">
        <f>IF($A993&gt;30,0,(N967-MIN(MAX(O992,0),N967))+MIN(MAX(0,P992-(N967-MIN(MAX(O992,0),N967))),MAX(0,3*N967-(O992-MIN(MAX(O992,0),N967)))))</f>
        <v>45586.693217356747</v>
      </c>
      <c r="O993" s="18">
        <f>IF($A993&gt;30,O992,(O992-N967+N993)*(1+$C$7))</f>
        <v>140272.82453763971</v>
      </c>
      <c r="P993" s="18">
        <f t="shared" si="112"/>
        <v>131177.73109234855</v>
      </c>
      <c r="Q993" s="18">
        <f>IF($A993&gt;30,0,(Q967-MIN(MAX(R992,0),Q967))+MIN(MAX(0,S992-(Q967-MIN(MAX(R992,0),Q967))),MAX(0,3*Q967-(R992-MIN(MAX(R992,0),Q967)))))</f>
        <v>45586.706917822681</v>
      </c>
      <c r="R993" s="18">
        <f>IF($A993&gt;30,R992,(R992-Q967+Q993)*(1+$C$7))</f>
        <v>140272.86669474552</v>
      </c>
      <c r="S993" s="18">
        <f t="shared" si="113"/>
        <v>131177.15958718857</v>
      </c>
    </row>
    <row r="994" spans="1:19">
      <c r="A994" s="10">
        <f>25</f>
        <v>25</v>
      </c>
      <c r="B994" s="18">
        <f>IF($A994&gt;30,0,(B967-MIN(MAX(C993,0),B967))+MIN(MAX(0,D993-(B967-MIN(MAX(C993,0),B967))),MAX(0,3*B967-(C993-MIN(MAX(C993,0),B967)))))</f>
        <v>29433</v>
      </c>
      <c r="C994" s="18">
        <f>IF($A994&gt;30,C993,(C993-B967+B994)*(1+$C$7))</f>
        <v>90567</v>
      </c>
      <c r="D994" s="18">
        <f t="shared" si="108"/>
        <v>798852.05131195975</v>
      </c>
      <c r="E994" s="18">
        <f>IF($A994&gt;30,0,(E967-MIN(MAX(F993,0),E967))+MIN(MAX(0,G993-(E967-MIN(MAX(F993,0),E967))),MAX(0,3*E967-(F993-MIN(MAX(F993,0),E967)))))</f>
        <v>75000</v>
      </c>
      <c r="F994" s="18">
        <f>IF($A994&gt;30,F993,(F993-E967+E994)*(1+$C$7))</f>
        <v>0</v>
      </c>
      <c r="G994" s="18">
        <f t="shared" si="109"/>
        <v>-844290.44481515361</v>
      </c>
      <c r="H994" s="18">
        <f>IF($A994&gt;30,0,(H967-MIN(MAX(I993,0),H967))+MIN(MAX(0,J993-(H967-MIN(MAX(I993,0),H967))),MAX(0,3*H967-(I993-MIN(MAX(I993,0),H967)))))</f>
        <v>46264.024720947986</v>
      </c>
      <c r="I994" s="18">
        <f>IF($A994&gt;30,I993,(I993-H967+H994)*(1+$C$7))</f>
        <v>142357.0117521862</v>
      </c>
      <c r="J994" s="18">
        <f t="shared" si="110"/>
        <v>58359.085247549301</v>
      </c>
      <c r="K994" s="18">
        <f>IF($A994&gt;30,0,(K967-MIN(MAX(L993,0),K967))+MIN(MAX(0,M993-(K967-MIN(MAX(L993,0),K967))),MAX(0,3*K967-(L993-MIN(MAX(L993,0),K967)))))</f>
        <v>45586.110984909232</v>
      </c>
      <c r="L994" s="18">
        <f>IF($A994&gt;30,L993,(L993-K967+K994)*(1+$C$7))</f>
        <v>140271.03297558086</v>
      </c>
      <c r="M994" s="18">
        <f t="shared" si="111"/>
        <v>88184.384744041658</v>
      </c>
      <c r="N994" s="18">
        <f>IF($A994&gt;30,0,(N967-MIN(MAX(O993,0),N967))+MIN(MAX(0,P993-(N967-MIN(MAX(O993,0),N967))),MAX(0,3*N967-(O993-MIN(MAX(O993,0),N967)))))</f>
        <v>45586.693217356747</v>
      </c>
      <c r="O994" s="18">
        <f>IF($A994&gt;30,O993,(O993-N967+N994)*(1+$C$7))</f>
        <v>140272.82453763971</v>
      </c>
      <c r="P994" s="18">
        <f t="shared" si="112"/>
        <v>88158.769011241558</v>
      </c>
      <c r="Q994" s="18">
        <f>IF($A994&gt;30,0,(Q967-MIN(MAX(R993,0),Q967))+MIN(MAX(0,S993-(Q967-MIN(MAX(R993,0),Q967))),MAX(0,3*Q967-(R993-MIN(MAX(R993,0),Q967)))))</f>
        <v>45586.706917822681</v>
      </c>
      <c r="R994" s="18">
        <f>IF($A994&gt;30,R993,(R993-Q967+Q994)*(1+$C$7))</f>
        <v>140272.86669474552</v>
      </c>
      <c r="S994" s="18">
        <f t="shared" si="113"/>
        <v>88158.166249446862</v>
      </c>
    </row>
    <row r="995" spans="1:19">
      <c r="A995" s="10">
        <f>26</f>
        <v>26</v>
      </c>
      <c r="B995" s="18">
        <f>IF($A995&gt;30,0,(B967-MIN(MAX(C994,0),B967))+MIN(MAX(0,D994-(B967-MIN(MAX(C994,0),B967))),MAX(0,3*B967-(C994-MIN(MAX(C994,0),B967)))))</f>
        <v>29433</v>
      </c>
      <c r="C995" s="18">
        <f>IF($A995&gt;30,C994,(C994-B967+B995)*(1+$C$7))</f>
        <v>90567</v>
      </c>
      <c r="D995" s="18">
        <f t="shared" si="108"/>
        <v>792501.62285131856</v>
      </c>
      <c r="E995" s="18">
        <f>IF($A995&gt;30,0,(E967-MIN(MAX(F994,0),E967))+MIN(MAX(0,G994-(E967-MIN(MAX(F994,0),E967))),MAX(0,3*E967-(F994-MIN(MAX(F994,0),E967)))))</f>
        <v>75000</v>
      </c>
      <c r="F995" s="18">
        <f>IF($A995&gt;30,F994,(F994-E967+E995)*(1+$C$7))</f>
        <v>0</v>
      </c>
      <c r="G995" s="18">
        <f t="shared" si="109"/>
        <v>-946869.15815960825</v>
      </c>
      <c r="H995" s="18">
        <f>IF($A995&gt;30,0,(H967-MIN(MAX(I994,0),H967))+MIN(MAX(0,J994-(H967-MIN(MAX(I994,0),H967))),MAX(0,3*H967-(I994-MIN(MAX(I994,0),H967)))))</f>
        <v>46264.024720947986</v>
      </c>
      <c r="I995" s="18">
        <f>IF($A995&gt;30,I994,(I994-H967+H995)*(1+$C$7))</f>
        <v>142357.0117521862</v>
      </c>
      <c r="J995" s="18">
        <f t="shared" si="110"/>
        <v>12457.912342399355</v>
      </c>
      <c r="K995" s="18">
        <f>IF($A995&gt;30,0,(K967-MIN(MAX(L994,0),K967))+MIN(MAX(0,M994-(K967-MIN(MAX(L994,0),K967))),MAX(0,3*K967-(L994-MIN(MAX(L994,0),K967)))))</f>
        <v>45586.110984909232</v>
      </c>
      <c r="L995" s="18">
        <f>IF($A995&gt;30,L994,(L994-K967+K995)*(1+$C$7))</f>
        <v>140271.03297558086</v>
      </c>
      <c r="M995" s="18">
        <f t="shared" si="111"/>
        <v>43876.221971906401</v>
      </c>
      <c r="N995" s="18">
        <f>IF($A995&gt;30,0,(N967-MIN(MAX(O994,0),N967))+MIN(MAX(0,P994-(N967-MIN(MAX(O994,0),N967))),MAX(0,3*N967-(O994-MIN(MAX(O994,0),N967)))))</f>
        <v>45586.693217356747</v>
      </c>
      <c r="O995" s="18">
        <f>IF($A995&gt;30,O994,(O994-N967+N995)*(1+$C$7))</f>
        <v>140272.82453763971</v>
      </c>
      <c r="P995" s="18">
        <f t="shared" si="112"/>
        <v>43849.238067701357</v>
      </c>
      <c r="Q995" s="18">
        <f>IF($A995&gt;30,0,(Q967-MIN(MAX(R994,0),Q967))+MIN(MAX(0,S994-(Q967-MIN(MAX(R994,0),Q967))),MAX(0,3*Q967-(R994-MIN(MAX(R994,0),Q967)))))</f>
        <v>45586.706917822681</v>
      </c>
      <c r="R995" s="18">
        <f>IF($A995&gt;30,R994,(R994-Q967+Q995)*(1+$C$7))</f>
        <v>140272.86669474552</v>
      </c>
      <c r="S995" s="18">
        <f t="shared" si="113"/>
        <v>43848.603111572906</v>
      </c>
    </row>
    <row r="996" spans="1:19">
      <c r="A996" s="10">
        <f>27</f>
        <v>27</v>
      </c>
      <c r="B996" s="18">
        <f>IF($A996&gt;30,0,(B967-MIN(MAX(C995,0),B967))+MIN(MAX(0,D995-(B967-MIN(MAX(C995,0),B967))),MAX(0,3*B967-(C995-MIN(MAX(C995,0),B967)))))</f>
        <v>29433</v>
      </c>
      <c r="C996" s="18">
        <f>IF($A996&gt;30,C995,(C995-B967+B996)*(1+$C$7))</f>
        <v>90567</v>
      </c>
      <c r="D996" s="18">
        <f t="shared" si="108"/>
        <v>785960.68153685809</v>
      </c>
      <c r="E996" s="18">
        <f>IF($A996&gt;30,0,(E967-MIN(MAX(F995,0),E967))+MIN(MAX(0,G995-(E967-MIN(MAX(F995,0),E967))),MAX(0,3*E967-(F995-MIN(MAX(F995,0),E967)))))</f>
        <v>75000</v>
      </c>
      <c r="F996" s="18">
        <f>IF($A996&gt;30,F995,(F995-E967+E996)*(1+$C$7))</f>
        <v>0</v>
      </c>
      <c r="G996" s="18">
        <f t="shared" si="109"/>
        <v>-1052525.2329043965</v>
      </c>
      <c r="H996" s="18">
        <f>IF($A996&gt;30,0,(H967-MIN(MAX(I995,0),H967))+MIN(MAX(0,J995-(H967-MIN(MAX(I995,0),H967))),MAX(0,3*H967-(I995-MIN(MAX(I995,0),H967)))))</f>
        <v>12457.912342399355</v>
      </c>
      <c r="I996" s="18">
        <f>IF($A996&gt;30,I995,(I995-H967+H996)*(1+$C$7))</f>
        <v>108337.9208656527</v>
      </c>
      <c r="J996" s="18">
        <f t="shared" si="110"/>
        <v>0</v>
      </c>
      <c r="K996" s="18">
        <f>IF($A996&gt;30,0,(K967-MIN(MAX(L995,0),K967))+MIN(MAX(0,M995-(K967-MIN(MAX(L995,0),K967))),MAX(0,3*K967-(L995-MIN(MAX(L995,0),K967)))))</f>
        <v>43876.221971906401</v>
      </c>
      <c r="L996" s="18">
        <f>IF($A996&gt;30,L995,(L995-K967+K996)*(1+$C$7))</f>
        <v>138550.37166179612</v>
      </c>
      <c r="M996" s="18">
        <f t="shared" si="111"/>
        <v>0</v>
      </c>
      <c r="N996" s="18">
        <f>IF($A996&gt;30,0,(N967-MIN(MAX(O995,0),N967))+MIN(MAX(0,P995-(N967-MIN(MAX(O995,0),N967))),MAX(0,3*N967-(O995-MIN(MAX(O995,0),N967)))))</f>
        <v>43849.238067701357</v>
      </c>
      <c r="O996" s="18">
        <f>IF($A996&gt;30,O995,(O995-N967+N996)*(1+$C$7))</f>
        <v>138524.42342054151</v>
      </c>
      <c r="P996" s="18">
        <f t="shared" si="112"/>
        <v>0</v>
      </c>
      <c r="Q996" s="18">
        <f>IF($A996&gt;30,0,(Q967-MIN(MAX(R995,0),Q967))+MIN(MAX(0,S995-(Q967-MIN(MAX(R995,0),Q967))),MAX(0,3*Q967-(R995-MIN(MAX(R995,0),Q967)))))</f>
        <v>43848.603111572906</v>
      </c>
      <c r="R996" s="18">
        <f>IF($A996&gt;30,R995,(R995-Q967+Q996)*(1+$C$7))</f>
        <v>138523.8128345164</v>
      </c>
      <c r="S996" s="18">
        <f t="shared" si="113"/>
        <v>0</v>
      </c>
    </row>
    <row r="997" spans="1:19">
      <c r="A997" s="10">
        <f>28</f>
        <v>28</v>
      </c>
      <c r="B997" s="18">
        <f>IF($A997&gt;30,0,(B967-MIN(MAX(C996,0),B967))+MIN(MAX(0,D996-(B967-MIN(MAX(C996,0),B967))),MAX(0,3*B967-(C996-MIN(MAX(C996,0),B967)))))</f>
        <v>29433</v>
      </c>
      <c r="C997" s="18">
        <f>IF($A997&gt;30,C996,(C996-B967+B997)*(1+$C$7))</f>
        <v>90567</v>
      </c>
      <c r="D997" s="18">
        <f t="shared" si="108"/>
        <v>779223.51198296389</v>
      </c>
      <c r="E997" s="18">
        <f>IF($A997&gt;30,0,(E967-MIN(MAX(F996,0),E967))+MIN(MAX(0,G996-(E967-MIN(MAX(F996,0),E967))),MAX(0,3*E967-(F996-MIN(MAX(F996,0),E967)))))</f>
        <v>75000</v>
      </c>
      <c r="F997" s="18">
        <f>IF($A997&gt;30,F996,(F996-E967+E997)*(1+$C$7))</f>
        <v>0</v>
      </c>
      <c r="G997" s="18">
        <f t="shared" si="109"/>
        <v>-1161350.9898915284</v>
      </c>
      <c r="H997" s="18">
        <f>IF($A997&gt;30,0,(H967-MIN(MAX(I996,0),H967))+MIN(MAX(0,J996-(H967-MIN(MAX(I996,0),H967))),MAX(0,3*H967-(I996-MIN(MAX(I996,0),H967)))))</f>
        <v>0</v>
      </c>
      <c r="I997" s="18">
        <f>IF($A997&gt;30,I996,(I996-H967+H997)*(1+$C$7))</f>
        <v>61568.11251637758</v>
      </c>
      <c r="J997" s="18">
        <f t="shared" si="110"/>
        <v>0</v>
      </c>
      <c r="K997" s="18">
        <f>IF($A997&gt;30,0,(K967-MIN(MAX(L996,0),K967))+MIN(MAX(0,M996-(K967-MIN(MAX(L996,0),K967))),MAX(0,3*K967-(L996-MIN(MAX(L996,0),K967)))))</f>
        <v>0</v>
      </c>
      <c r="L997" s="18">
        <f>IF($A997&gt;30,L996,(L996-K967+K997)*(1+$C$7))</f>
        <v>92666.228011405125</v>
      </c>
      <c r="M997" s="18">
        <f t="shared" si="111"/>
        <v>0</v>
      </c>
      <c r="N997" s="18">
        <f>IF($A997&gt;30,0,(N967-MIN(MAX(O996,0),N967))+MIN(MAX(0,P996-(N967-MIN(MAX(O996,0),N967))),MAX(0,3*N967-(O996-MIN(MAX(O996,0),N967)))))</f>
        <v>0</v>
      </c>
      <c r="O997" s="18">
        <f>IF($A997&gt;30,O996,(O996-N967+N997)*(1+$C$7))</f>
        <v>92639.519108877692</v>
      </c>
      <c r="P997" s="18">
        <f t="shared" si="112"/>
        <v>0</v>
      </c>
      <c r="Q997" s="18">
        <f>IF($A997&gt;30,0,(Q967-MIN(MAX(R996,0),Q967))+MIN(MAX(0,S996-(Q967-MIN(MAX(R996,0),Q967))),MAX(0,3*Q967-(R996-MIN(MAX(R996,0),Q967)))))</f>
        <v>0</v>
      </c>
      <c r="R997" s="18">
        <f>IF($A997&gt;30,R996,(R996-Q967+Q997)*(1+$C$7))</f>
        <v>92638.890623792002</v>
      </c>
      <c r="S997" s="18">
        <f t="shared" si="113"/>
        <v>0</v>
      </c>
    </row>
    <row r="998" spans="1:19">
      <c r="A998" s="10">
        <f>29</f>
        <v>29</v>
      </c>
      <c r="B998" s="18">
        <f>IF($A998&gt;30,0,(B967-MIN(MAX(C997,0),B967))+MIN(MAX(0,D997-(B967-MIN(MAX(C997,0),B967))),MAX(0,3*B967-(C997-MIN(MAX(C997,0),B967)))))</f>
        <v>29433</v>
      </c>
      <c r="C998" s="18">
        <f>IF($A998&gt;30,C997,(C997-B967+B998)*(1+$C$7))</f>
        <v>90567</v>
      </c>
      <c r="D998" s="18">
        <f t="shared" si="108"/>
        <v>772284.22734245285</v>
      </c>
      <c r="E998" s="18">
        <f>IF($A998&gt;30,0,(E967-MIN(MAX(F997,0),E967))+MIN(MAX(0,G997-(E967-MIN(MAX(F997,0),E967))),MAX(0,3*E967-(F997-MIN(MAX(F997,0),E967)))))</f>
        <v>75000</v>
      </c>
      <c r="F998" s="18">
        <f>IF($A998&gt;30,F997,(F997-E967+E998)*(1+$C$7))</f>
        <v>0</v>
      </c>
      <c r="G998" s="18">
        <f t="shared" si="109"/>
        <v>-1273441.5195882742</v>
      </c>
      <c r="H998" s="18">
        <f>IF($A998&gt;30,0,(H967-MIN(MAX(I997,0),H967))+MIN(MAX(0,J997-(H967-MIN(MAX(I997,0),H967))),MAX(0,3*H967-(I997-MIN(MAX(I997,0),H967)))))</f>
        <v>0</v>
      </c>
      <c r="I998" s="18">
        <f>IF($A998&gt;30,I997,(I997-H967+H998)*(1+$C$7))</f>
        <v>14503.654374502026</v>
      </c>
      <c r="J998" s="18">
        <f t="shared" si="110"/>
        <v>0</v>
      </c>
      <c r="K998" s="18">
        <f>IF($A998&gt;30,0,(K967-MIN(MAX(L997,0),K967))+MIN(MAX(0,M997-(K967-MIN(MAX(L997,0),K967))),MAX(0,3*K967-(L997-MIN(MAX(L997,0),K967)))))</f>
        <v>0</v>
      </c>
      <c r="L998" s="18">
        <f>IF($A998&gt;30,L997,(L997-K967+K998)*(1+$C$7))</f>
        <v>46493.014256016679</v>
      </c>
      <c r="M998" s="18">
        <f t="shared" si="111"/>
        <v>0</v>
      </c>
      <c r="N998" s="18">
        <f>IF($A998&gt;30,0,(N967-MIN(MAX(O997,0),N967))+MIN(MAX(0,P997-(N967-MIN(MAX(O997,0),N967))),MAX(0,3*N967-(O997-MIN(MAX(O997,0),N967)))))</f>
        <v>0</v>
      </c>
      <c r="O998" s="18">
        <f>IF($A998&gt;30,O997,(O997-N967+N998)*(1+$C$7))</f>
        <v>46465.539900050389</v>
      </c>
      <c r="P998" s="18">
        <f t="shared" si="112"/>
        <v>0</v>
      </c>
      <c r="Q998" s="18">
        <f>IF($A998&gt;30,0,(Q967-MIN(MAX(R997,0),Q967))+MIN(MAX(0,S997-(Q967-MIN(MAX(R997,0),Q967))),MAX(0,3*Q967-(R997-MIN(MAX(R997,0),Q967)))))</f>
        <v>0</v>
      </c>
      <c r="R998" s="18">
        <f>IF($A998&gt;30,R997,(R997-Q967+Q998)*(1+$C$7))</f>
        <v>46464.893403140042</v>
      </c>
      <c r="S998" s="18">
        <f t="shared" si="113"/>
        <v>0</v>
      </c>
    </row>
    <row r="999" spans="1:19">
      <c r="A999" s="10">
        <f>30</f>
        <v>30</v>
      </c>
      <c r="B999" s="18">
        <f>IF($A999&gt;30,0,(B967-MIN(MAX(C998,0),B967))+MIN(MAX(0,D998-(B967-MIN(MAX(C998,0),B967))),MAX(0,3*B967-(C998-MIN(MAX(C998,0),B967)))))</f>
        <v>29433</v>
      </c>
      <c r="C999" s="18">
        <f>IF($A999&gt;30,C998,(C998-B967+B999)*(1+$C$7))</f>
        <v>90567</v>
      </c>
      <c r="D999" s="18">
        <f t="shared" si="108"/>
        <v>765136.76416272647</v>
      </c>
      <c r="E999" s="18">
        <f>IF($A999&gt;30,0,(E967-MIN(MAX(F998,0),E967))+MIN(MAX(0,G998-(E967-MIN(MAX(F998,0),E967))),MAX(0,3*E967-(F998-MIN(MAX(F998,0),E967)))))</f>
        <v>75000</v>
      </c>
      <c r="F999" s="18">
        <f>IF($A999&gt;30,F998,(F998-E967+E999)*(1+$C$7))</f>
        <v>0</v>
      </c>
      <c r="G999" s="18">
        <f t="shared" si="109"/>
        <v>-1388894.7651759225</v>
      </c>
      <c r="H999" s="18">
        <f>IF($A999&gt;30,0,(H967-MIN(MAX(I998,0),H967))+MIN(MAX(0,J998-(H967-MIN(MAX(I998,0),H967))),MAX(0,3*H967-(I998-MIN(MAX(I998,0),H967)))))</f>
        <v>32651.604743781521</v>
      </c>
      <c r="I999" s="18">
        <f>IF($A999&gt;30,I998,(I998-H967+H999)*(1+$C$7))</f>
        <v>0</v>
      </c>
      <c r="J999" s="18">
        <f t="shared" si="110"/>
        <v>-33631.152886094969</v>
      </c>
      <c r="K999" s="18">
        <f>IF($A999&gt;30,0,(K967-MIN(MAX(L998,0),K967))+MIN(MAX(0,M998-(K967-MIN(MAX(L998,0),K967))),MAX(0,3*K967-(L998-MIN(MAX(L998,0),K967)))))</f>
        <v>0</v>
      </c>
      <c r="L999" s="18">
        <f>IF($A999&gt;30,L998,(L998-K967+K999)*(1+$C$7))</f>
        <v>28.909253969288077</v>
      </c>
      <c r="M999" s="18">
        <f t="shared" si="111"/>
        <v>0</v>
      </c>
      <c r="N999" s="18">
        <f>IF($A999&gt;30,0,(N967-MIN(MAX(O998,0),N967))+MIN(MAX(0,P998-(N967-MIN(MAX(O998,0),N967))),MAX(0,3*N967-(O998-MIN(MAX(O998,0),N967)))))</f>
        <v>0</v>
      </c>
      <c r="O999" s="18">
        <f>IF($A999&gt;30,O998,(O998-N967+N999)*(1+$C$7))</f>
        <v>0.66462220747309619</v>
      </c>
      <c r="P999" s="18">
        <f t="shared" si="112"/>
        <v>0</v>
      </c>
      <c r="Q999" s="18">
        <f>IF($A999&gt;30,0,(Q967-MIN(MAX(R998,0),Q967))+MIN(MAX(0,S998-(Q967-MIN(MAX(R998,0),Q967))),MAX(0,3*Q967-(R998-MIN(MAX(R998,0),Q967)))))</f>
        <v>2.0081643015146255E-9</v>
      </c>
      <c r="R999" s="18">
        <f>IF($A999&gt;30,R998,(R998-Q967+Q999)*(1+$C$7))</f>
        <v>0</v>
      </c>
      <c r="S999" s="18">
        <f t="shared" si="113"/>
        <v>-2.0684092305600645E-9</v>
      </c>
    </row>
    <row r="1000" spans="1:19">
      <c r="A1000" s="10">
        <f>31</f>
        <v>31</v>
      </c>
      <c r="B1000" s="18">
        <f>IF($A1000&gt;30,0,(B967-MIN(MAX(C999,0),B967))+MIN(MAX(0,D999-(B967-MIN(MAX(C999,0),B967))),MAX(0,3*B967-(C999-MIN(MAX(C999,0),B967)))))</f>
        <v>0</v>
      </c>
      <c r="C1000" s="18">
        <f>IF($A1000&gt;30,C999,(C999-B967+B1000)*(1+$C$7))</f>
        <v>90567</v>
      </c>
      <c r="D1000" s="18">
        <f t="shared" si="108"/>
        <v>765136.76416272647</v>
      </c>
      <c r="E1000" s="18">
        <f>IF($A1000&gt;30,0,(E967-MIN(MAX(F999,0),E967))+MIN(MAX(0,G999-(E967-MIN(MAX(F999,0),E967))),MAX(0,3*E967-(F999-MIN(MAX(F999,0),E967)))))</f>
        <v>0</v>
      </c>
      <c r="F1000" s="18">
        <f>IF($A1000&gt;30,F999,(F999-E967+E1000)*(1+$C$7))</f>
        <v>0</v>
      </c>
      <c r="G1000" s="18">
        <f t="shared" si="109"/>
        <v>-1388894.7651759225</v>
      </c>
      <c r="H1000" s="18">
        <f>IF($A1000&gt;30,0,(H967-MIN(MAX(I999,0),H967))+MIN(MAX(0,J999-(H967-MIN(MAX(I999,0),H967))),MAX(0,3*H967-(I999-MIN(MAX(I999,0),H967)))))</f>
        <v>0</v>
      </c>
      <c r="I1000" s="18">
        <f>IF($A1000&gt;30,I999,(I999-H967+H1000)*(1+$C$7))</f>
        <v>0</v>
      </c>
      <c r="J1000" s="18">
        <f t="shared" si="110"/>
        <v>-33631.152886094969</v>
      </c>
      <c r="K1000" s="18">
        <f>IF($A1000&gt;30,0,(K967-MIN(MAX(L999,0),K967))+MIN(MAX(0,M999-(K967-MIN(MAX(L999,0),K967))),MAX(0,3*K967-(L999-MIN(MAX(L999,0),K967)))))</f>
        <v>0</v>
      </c>
      <c r="L1000" s="18">
        <f>IF($A1000&gt;30,L999,(L999-K967+K1000)*(1+$C$7))</f>
        <v>28.909253969288077</v>
      </c>
      <c r="M1000" s="18">
        <f t="shared" si="111"/>
        <v>0</v>
      </c>
      <c r="N1000" s="18">
        <f>IF($A1000&gt;30,0,(N967-MIN(MAX(O999,0),N967))+MIN(MAX(0,P999-(N967-MIN(MAX(O999,0),N967))),MAX(0,3*N967-(O999-MIN(MAX(O999,0),N967)))))</f>
        <v>0</v>
      </c>
      <c r="O1000" s="18">
        <f>IF($A1000&gt;30,O999,(O999-N967+N1000)*(1+$C$7))</f>
        <v>0.66462220747309619</v>
      </c>
      <c r="P1000" s="18">
        <f t="shared" si="112"/>
        <v>0</v>
      </c>
      <c r="Q1000" s="18">
        <f>IF($A1000&gt;30,0,(Q967-MIN(MAX(R999,0),Q967))+MIN(MAX(0,S999-(Q967-MIN(MAX(R999,0),Q967))),MAX(0,3*Q967-(R999-MIN(MAX(R999,0),Q967)))))</f>
        <v>0</v>
      </c>
      <c r="R1000" s="18">
        <f>IF($A1000&gt;30,R999,(R999-Q967+Q1000)*(1+$C$7))</f>
        <v>0</v>
      </c>
      <c r="S1000" s="18">
        <f t="shared" si="113"/>
        <v>-2.0684092305600645E-9</v>
      </c>
    </row>
    <row r="1001" spans="1:19">
      <c r="A1001" s="10">
        <f>32</f>
        <v>32</v>
      </c>
      <c r="B1001" s="18">
        <f>IF($A1001&gt;30,0,(B967-MIN(MAX(C1000,0),B967))+MIN(MAX(0,D1000-(B967-MIN(MAX(C1000,0),B967))),MAX(0,3*B967-(C1000-MIN(MAX(C1000,0),B967)))))</f>
        <v>0</v>
      </c>
      <c r="C1001" s="18">
        <f>IF($A1001&gt;30,C1000,(C1000-B967+B1001)*(1+$C$7))</f>
        <v>90567</v>
      </c>
      <c r="D1001" s="18">
        <f t="shared" si="108"/>
        <v>765136.76416272647</v>
      </c>
      <c r="E1001" s="18">
        <f>IF($A1001&gt;30,0,(E967-MIN(MAX(F1000,0),E967))+MIN(MAX(0,G1000-(E967-MIN(MAX(F1000,0),E967))),MAX(0,3*E967-(F1000-MIN(MAX(F1000,0),E967)))))</f>
        <v>0</v>
      </c>
      <c r="F1001" s="18">
        <f>IF($A1001&gt;30,F1000,(F1000-E967+E1001)*(1+$C$7))</f>
        <v>0</v>
      </c>
      <c r="G1001" s="18">
        <f t="shared" si="109"/>
        <v>-1388894.7651759225</v>
      </c>
      <c r="H1001" s="18">
        <f>IF($A1001&gt;30,0,(H967-MIN(MAX(I1000,0),H967))+MIN(MAX(0,J1000-(H967-MIN(MAX(I1000,0),H967))),MAX(0,3*H967-(I1000-MIN(MAX(I1000,0),H967)))))</f>
        <v>0</v>
      </c>
      <c r="I1001" s="18">
        <f>IF($A1001&gt;30,I1000,(I1000-H967+H1001)*(1+$C$7))</f>
        <v>0</v>
      </c>
      <c r="J1001" s="18">
        <f t="shared" si="110"/>
        <v>-33631.152886094969</v>
      </c>
      <c r="K1001" s="18">
        <f>IF($A1001&gt;30,0,(K967-MIN(MAX(L1000,0),K967))+MIN(MAX(0,M1000-(K967-MIN(MAX(L1000,0),K967))),MAX(0,3*K967-(L1000-MIN(MAX(L1000,0),K967)))))</f>
        <v>0</v>
      </c>
      <c r="L1001" s="18">
        <f>IF($A1001&gt;30,L1000,(L1000-K967+K1001)*(1+$C$7))</f>
        <v>28.909253969288077</v>
      </c>
      <c r="M1001" s="18">
        <f t="shared" si="111"/>
        <v>0</v>
      </c>
      <c r="N1001" s="18">
        <f>IF($A1001&gt;30,0,(N967-MIN(MAX(O1000,0),N967))+MIN(MAX(0,P1000-(N967-MIN(MAX(O1000,0),N967))),MAX(0,3*N967-(O1000-MIN(MAX(O1000,0),N967)))))</f>
        <v>0</v>
      </c>
      <c r="O1001" s="18">
        <f>IF($A1001&gt;30,O1000,(O1000-N967+N1001)*(1+$C$7))</f>
        <v>0.66462220747309619</v>
      </c>
      <c r="P1001" s="18">
        <f t="shared" si="112"/>
        <v>0</v>
      </c>
      <c r="Q1001" s="18">
        <f>IF($A1001&gt;30,0,(Q967-MIN(MAX(R1000,0),Q967))+MIN(MAX(0,S1000-(Q967-MIN(MAX(R1000,0),Q967))),MAX(0,3*Q967-(R1000-MIN(MAX(R1000,0),Q967)))))</f>
        <v>0</v>
      </c>
      <c r="R1001" s="18">
        <f>IF($A1001&gt;30,R1000,(R1000-Q967+Q1001)*(1+$C$7))</f>
        <v>0</v>
      </c>
      <c r="S1001" s="18">
        <f t="shared" si="113"/>
        <v>-2.0684092305600645E-9</v>
      </c>
    </row>
    <row r="1002" spans="1:19">
      <c r="A1002" s="10">
        <f>33</f>
        <v>33</v>
      </c>
      <c r="B1002" s="18">
        <f>IF($A1002&gt;30,0,(B967-MIN(MAX(C1001,0),B967))+MIN(MAX(0,D1001-(B967-MIN(MAX(C1001,0),B967))),MAX(0,3*B967-(C1001-MIN(MAX(C1001,0),B967)))))</f>
        <v>0</v>
      </c>
      <c r="C1002" s="18">
        <f>IF($A1002&gt;30,C1001,(C1001-B967+B1002)*(1+$C$7))</f>
        <v>90567</v>
      </c>
      <c r="D1002" s="18">
        <f t="shared" si="108"/>
        <v>765136.76416272647</v>
      </c>
      <c r="E1002" s="18">
        <f>IF($A1002&gt;30,0,(E967-MIN(MAX(F1001,0),E967))+MIN(MAX(0,G1001-(E967-MIN(MAX(F1001,0),E967))),MAX(0,3*E967-(F1001-MIN(MAX(F1001,0),E967)))))</f>
        <v>0</v>
      </c>
      <c r="F1002" s="18">
        <f>IF($A1002&gt;30,F1001,(F1001-E967+E1002)*(1+$C$7))</f>
        <v>0</v>
      </c>
      <c r="G1002" s="18">
        <f t="shared" si="109"/>
        <v>-1388894.7651759225</v>
      </c>
      <c r="H1002" s="18">
        <f>IF($A1002&gt;30,0,(H967-MIN(MAX(I1001,0),H967))+MIN(MAX(0,J1001-(H967-MIN(MAX(I1001,0),H967))),MAX(0,3*H967-(I1001-MIN(MAX(I1001,0),H967)))))</f>
        <v>0</v>
      </c>
      <c r="I1002" s="18">
        <f>IF($A1002&gt;30,I1001,(I1001-H967+H1002)*(1+$C$7))</f>
        <v>0</v>
      </c>
      <c r="J1002" s="18">
        <f t="shared" si="110"/>
        <v>-33631.152886094969</v>
      </c>
      <c r="K1002" s="18">
        <f>IF($A1002&gt;30,0,(K967-MIN(MAX(L1001,0),K967))+MIN(MAX(0,M1001-(K967-MIN(MAX(L1001,0),K967))),MAX(0,3*K967-(L1001-MIN(MAX(L1001,0),K967)))))</f>
        <v>0</v>
      </c>
      <c r="L1002" s="18">
        <f>IF($A1002&gt;30,L1001,(L1001-K967+K1002)*(1+$C$7))</f>
        <v>28.909253969288077</v>
      </c>
      <c r="M1002" s="18">
        <f t="shared" si="111"/>
        <v>0</v>
      </c>
      <c r="N1002" s="18">
        <f>IF($A1002&gt;30,0,(N967-MIN(MAX(O1001,0),N967))+MIN(MAX(0,P1001-(N967-MIN(MAX(O1001,0),N967))),MAX(0,3*N967-(O1001-MIN(MAX(O1001,0),N967)))))</f>
        <v>0</v>
      </c>
      <c r="O1002" s="18">
        <f>IF($A1002&gt;30,O1001,(O1001-N967+N1002)*(1+$C$7))</f>
        <v>0.66462220747309619</v>
      </c>
      <c r="P1002" s="18">
        <f t="shared" si="112"/>
        <v>0</v>
      </c>
      <c r="Q1002" s="18">
        <f>IF($A1002&gt;30,0,(Q967-MIN(MAX(R1001,0),Q967))+MIN(MAX(0,S1001-(Q967-MIN(MAX(R1001,0),Q967))),MAX(0,3*Q967-(R1001-MIN(MAX(R1001,0),Q967)))))</f>
        <v>0</v>
      </c>
      <c r="R1002" s="18">
        <f>IF($A1002&gt;30,R1001,(R1001-Q967+Q1002)*(1+$C$7))</f>
        <v>0</v>
      </c>
      <c r="S1002" s="18">
        <f t="shared" si="113"/>
        <v>-2.0684092305600645E-9</v>
      </c>
    </row>
    <row r="1003" spans="1:19">
      <c r="A1003" s="10">
        <f>34</f>
        <v>34</v>
      </c>
      <c r="B1003" s="18">
        <f>IF($A1003&gt;30,0,(B967-MIN(MAX(C1002,0),B967))+MIN(MAX(0,D1002-(B967-MIN(MAX(C1002,0),B967))),MAX(0,3*B967-(C1002-MIN(MAX(C1002,0),B967)))))</f>
        <v>0</v>
      </c>
      <c r="C1003" s="18">
        <f>IF($A1003&gt;30,C1002,(C1002-B967+B1003)*(1+$C$7))</f>
        <v>90567</v>
      </c>
      <c r="D1003" s="18">
        <f t="shared" si="108"/>
        <v>765136.76416272647</v>
      </c>
      <c r="E1003" s="18">
        <f>IF($A1003&gt;30,0,(E967-MIN(MAX(F1002,0),E967))+MIN(MAX(0,G1002-(E967-MIN(MAX(F1002,0),E967))),MAX(0,3*E967-(F1002-MIN(MAX(F1002,0),E967)))))</f>
        <v>0</v>
      </c>
      <c r="F1003" s="18">
        <f>IF($A1003&gt;30,F1002,(F1002-E967+E1003)*(1+$C$7))</f>
        <v>0</v>
      </c>
      <c r="G1003" s="18">
        <f t="shared" si="109"/>
        <v>-1388894.7651759225</v>
      </c>
      <c r="H1003" s="18">
        <f>IF($A1003&gt;30,0,(H967-MIN(MAX(I1002,0),H967))+MIN(MAX(0,J1002-(H967-MIN(MAX(I1002,0),H967))),MAX(0,3*H967-(I1002-MIN(MAX(I1002,0),H967)))))</f>
        <v>0</v>
      </c>
      <c r="I1003" s="18">
        <f>IF($A1003&gt;30,I1002,(I1002-H967+H1003)*(1+$C$7))</f>
        <v>0</v>
      </c>
      <c r="J1003" s="18">
        <f t="shared" si="110"/>
        <v>-33631.152886094969</v>
      </c>
      <c r="K1003" s="18">
        <f>IF($A1003&gt;30,0,(K967-MIN(MAX(L1002,0),K967))+MIN(MAX(0,M1002-(K967-MIN(MAX(L1002,0),K967))),MAX(0,3*K967-(L1002-MIN(MAX(L1002,0),K967)))))</f>
        <v>0</v>
      </c>
      <c r="L1003" s="18">
        <f>IF($A1003&gt;30,L1002,(L1002-K967+K1003)*(1+$C$7))</f>
        <v>28.909253969288077</v>
      </c>
      <c r="M1003" s="18">
        <f t="shared" si="111"/>
        <v>0</v>
      </c>
      <c r="N1003" s="18">
        <f>IF($A1003&gt;30,0,(N967-MIN(MAX(O1002,0),N967))+MIN(MAX(0,P1002-(N967-MIN(MAX(O1002,0),N967))),MAX(0,3*N967-(O1002-MIN(MAX(O1002,0),N967)))))</f>
        <v>0</v>
      </c>
      <c r="O1003" s="18">
        <f>IF($A1003&gt;30,O1002,(O1002-N967+N1003)*(1+$C$7))</f>
        <v>0.66462220747309619</v>
      </c>
      <c r="P1003" s="18">
        <f t="shared" si="112"/>
        <v>0</v>
      </c>
      <c r="Q1003" s="18">
        <f>IF($A1003&gt;30,0,(Q967-MIN(MAX(R1002,0),Q967))+MIN(MAX(0,S1002-(Q967-MIN(MAX(R1002,0),Q967))),MAX(0,3*Q967-(R1002-MIN(MAX(R1002,0),Q967)))))</f>
        <v>0</v>
      </c>
      <c r="R1003" s="18">
        <f>IF($A1003&gt;30,R1002,(R1002-Q967+Q1003)*(1+$C$7))</f>
        <v>0</v>
      </c>
      <c r="S1003" s="18">
        <f t="shared" si="113"/>
        <v>-2.0684092305600645E-9</v>
      </c>
    </row>
    <row r="1004" spans="1:19">
      <c r="A1004" s="10">
        <f>35</f>
        <v>35</v>
      </c>
      <c r="B1004" s="18">
        <f>IF($A1004&gt;30,0,(B967-MIN(MAX(C1003,0),B967))+MIN(MAX(0,D1003-(B967-MIN(MAX(C1003,0),B967))),MAX(0,3*B967-(C1003-MIN(MAX(C1003,0),B967)))))</f>
        <v>0</v>
      </c>
      <c r="C1004" s="18">
        <f>IF($A1004&gt;30,C1003,(C1003-B967+B1004)*(1+$C$7))</f>
        <v>90567</v>
      </c>
      <c r="D1004" s="18">
        <f t="shared" si="108"/>
        <v>765136.76416272647</v>
      </c>
      <c r="E1004" s="18">
        <f>IF($A1004&gt;30,0,(E967-MIN(MAX(F1003,0),E967))+MIN(MAX(0,G1003-(E967-MIN(MAX(F1003,0),E967))),MAX(0,3*E967-(F1003-MIN(MAX(F1003,0),E967)))))</f>
        <v>0</v>
      </c>
      <c r="F1004" s="18">
        <f>IF($A1004&gt;30,F1003,(F1003-E967+E1004)*(1+$C$7))</f>
        <v>0</v>
      </c>
      <c r="G1004" s="18">
        <f t="shared" si="109"/>
        <v>-1388894.7651759225</v>
      </c>
      <c r="H1004" s="18">
        <f>IF($A1004&gt;30,0,(H967-MIN(MAX(I1003,0),H967))+MIN(MAX(0,J1003-(H967-MIN(MAX(I1003,0),H967))),MAX(0,3*H967-(I1003-MIN(MAX(I1003,0),H967)))))</f>
        <v>0</v>
      </c>
      <c r="I1004" s="18">
        <f>IF($A1004&gt;30,I1003,(I1003-H967+H1004)*(1+$C$7))</f>
        <v>0</v>
      </c>
      <c r="J1004" s="18">
        <f t="shared" si="110"/>
        <v>-33631.152886094969</v>
      </c>
      <c r="K1004" s="18">
        <f>IF($A1004&gt;30,0,(K967-MIN(MAX(L1003,0),K967))+MIN(MAX(0,M1003-(K967-MIN(MAX(L1003,0),K967))),MAX(0,3*K967-(L1003-MIN(MAX(L1003,0),K967)))))</f>
        <v>0</v>
      </c>
      <c r="L1004" s="18">
        <f>IF($A1004&gt;30,L1003,(L1003-K967+K1004)*(1+$C$7))</f>
        <v>28.909253969288077</v>
      </c>
      <c r="M1004" s="18">
        <f t="shared" si="111"/>
        <v>0</v>
      </c>
      <c r="N1004" s="18">
        <f>IF($A1004&gt;30,0,(N967-MIN(MAX(O1003,0),N967))+MIN(MAX(0,P1003-(N967-MIN(MAX(O1003,0),N967))),MAX(0,3*N967-(O1003-MIN(MAX(O1003,0),N967)))))</f>
        <v>0</v>
      </c>
      <c r="O1004" s="18">
        <f>IF($A1004&gt;30,O1003,(O1003-N967+N1004)*(1+$C$7))</f>
        <v>0.66462220747309619</v>
      </c>
      <c r="P1004" s="18">
        <f t="shared" si="112"/>
        <v>0</v>
      </c>
      <c r="Q1004" s="18">
        <f>IF($A1004&gt;30,0,(Q967-MIN(MAX(R1003,0),Q967))+MIN(MAX(0,S1003-(Q967-MIN(MAX(R1003,0),Q967))),MAX(0,3*Q967-(R1003-MIN(MAX(R1003,0),Q967)))))</f>
        <v>0</v>
      </c>
      <c r="R1004" s="18">
        <f>IF($A1004&gt;30,R1003,(R1003-Q967+Q1004)*(1+$C$7))</f>
        <v>0</v>
      </c>
      <c r="S1004" s="18">
        <f t="shared" si="113"/>
        <v>-2.0684092305600645E-9</v>
      </c>
    </row>
    <row r="1005" spans="1:19">
      <c r="A1005" s="10">
        <f>36</f>
        <v>36</v>
      </c>
      <c r="B1005" s="18">
        <f>IF($A1005&gt;30,0,(B967-MIN(MAX(C1004,0),B967))+MIN(MAX(0,D1004-(B967-MIN(MAX(C1004,0),B967))),MAX(0,3*B967-(C1004-MIN(MAX(C1004,0),B967)))))</f>
        <v>0</v>
      </c>
      <c r="C1005" s="18">
        <f>IF($A1005&gt;30,C1004,(C1004-B967+B1005)*(1+$C$7))</f>
        <v>90567</v>
      </c>
      <c r="D1005" s="18">
        <f t="shared" si="108"/>
        <v>765136.76416272647</v>
      </c>
      <c r="E1005" s="18">
        <f>IF($A1005&gt;30,0,(E967-MIN(MAX(F1004,0),E967))+MIN(MAX(0,G1004-(E967-MIN(MAX(F1004,0),E967))),MAX(0,3*E967-(F1004-MIN(MAX(F1004,0),E967)))))</f>
        <v>0</v>
      </c>
      <c r="F1005" s="18">
        <f>IF($A1005&gt;30,F1004,(F1004-E967+E1005)*(1+$C$7))</f>
        <v>0</v>
      </c>
      <c r="G1005" s="18">
        <f t="shared" si="109"/>
        <v>-1388894.7651759225</v>
      </c>
      <c r="H1005" s="18">
        <f>IF($A1005&gt;30,0,(H967-MIN(MAX(I1004,0),H967))+MIN(MAX(0,J1004-(H967-MIN(MAX(I1004,0),H967))),MAX(0,3*H967-(I1004-MIN(MAX(I1004,0),H967)))))</f>
        <v>0</v>
      </c>
      <c r="I1005" s="18">
        <f>IF($A1005&gt;30,I1004,(I1004-H967+H1005)*(1+$C$7))</f>
        <v>0</v>
      </c>
      <c r="J1005" s="18">
        <f t="shared" si="110"/>
        <v>-33631.152886094969</v>
      </c>
      <c r="K1005" s="18">
        <f>IF($A1005&gt;30,0,(K967-MIN(MAX(L1004,0),K967))+MIN(MAX(0,M1004-(K967-MIN(MAX(L1004,0),K967))),MAX(0,3*K967-(L1004-MIN(MAX(L1004,0),K967)))))</f>
        <v>0</v>
      </c>
      <c r="L1005" s="18">
        <f>IF($A1005&gt;30,L1004,(L1004-K967+K1005)*(1+$C$7))</f>
        <v>28.909253969288077</v>
      </c>
      <c r="M1005" s="18">
        <f t="shared" si="111"/>
        <v>0</v>
      </c>
      <c r="N1005" s="18">
        <f>IF($A1005&gt;30,0,(N967-MIN(MAX(O1004,0),N967))+MIN(MAX(0,P1004-(N967-MIN(MAX(O1004,0),N967))),MAX(0,3*N967-(O1004-MIN(MAX(O1004,0),N967)))))</f>
        <v>0</v>
      </c>
      <c r="O1005" s="18">
        <f>IF($A1005&gt;30,O1004,(O1004-N967+N1005)*(1+$C$7))</f>
        <v>0.66462220747309619</v>
      </c>
      <c r="P1005" s="18">
        <f t="shared" si="112"/>
        <v>0</v>
      </c>
      <c r="Q1005" s="18">
        <f>IF($A1005&gt;30,0,(Q967-MIN(MAX(R1004,0),Q967))+MIN(MAX(0,S1004-(Q967-MIN(MAX(R1004,0),Q967))),MAX(0,3*Q967-(R1004-MIN(MAX(R1004,0),Q967)))))</f>
        <v>0</v>
      </c>
      <c r="R1005" s="18">
        <f>IF($A1005&gt;30,R1004,(R1004-Q967+Q1005)*(1+$C$7))</f>
        <v>0</v>
      </c>
      <c r="S1005" s="18">
        <f t="shared" si="113"/>
        <v>-2.0684092305600645E-9</v>
      </c>
    </row>
    <row r="1006" spans="1:19">
      <c r="A1006" s="10">
        <f>37</f>
        <v>37</v>
      </c>
      <c r="B1006" s="18">
        <f>IF($A1006&gt;30,0,(B967-MIN(MAX(C1005,0),B967))+MIN(MAX(0,D1005-(B967-MIN(MAX(C1005,0),B967))),MAX(0,3*B967-(C1005-MIN(MAX(C1005,0),B967)))))</f>
        <v>0</v>
      </c>
      <c r="C1006" s="18">
        <f>IF($A1006&gt;30,C1005,(C1005-B967+B1006)*(1+$C$7))</f>
        <v>90567</v>
      </c>
      <c r="D1006" s="18">
        <f t="shared" si="108"/>
        <v>765136.76416272647</v>
      </c>
      <c r="E1006" s="18">
        <f>IF($A1006&gt;30,0,(E967-MIN(MAX(F1005,0),E967))+MIN(MAX(0,G1005-(E967-MIN(MAX(F1005,0),E967))),MAX(0,3*E967-(F1005-MIN(MAX(F1005,0),E967)))))</f>
        <v>0</v>
      </c>
      <c r="F1006" s="18">
        <f>IF($A1006&gt;30,F1005,(F1005-E967+E1006)*(1+$C$7))</f>
        <v>0</v>
      </c>
      <c r="G1006" s="18">
        <f t="shared" si="109"/>
        <v>-1388894.7651759225</v>
      </c>
      <c r="H1006" s="18">
        <f>IF($A1006&gt;30,0,(H967-MIN(MAX(I1005,0),H967))+MIN(MAX(0,J1005-(H967-MIN(MAX(I1005,0),H967))),MAX(0,3*H967-(I1005-MIN(MAX(I1005,0),H967)))))</f>
        <v>0</v>
      </c>
      <c r="I1006" s="18">
        <f>IF($A1006&gt;30,I1005,(I1005-H967+H1006)*(1+$C$7))</f>
        <v>0</v>
      </c>
      <c r="J1006" s="18">
        <f t="shared" si="110"/>
        <v>-33631.152886094969</v>
      </c>
      <c r="K1006" s="18">
        <f>IF($A1006&gt;30,0,(K967-MIN(MAX(L1005,0),K967))+MIN(MAX(0,M1005-(K967-MIN(MAX(L1005,0),K967))),MAX(0,3*K967-(L1005-MIN(MAX(L1005,0),K967)))))</f>
        <v>0</v>
      </c>
      <c r="L1006" s="18">
        <f>IF($A1006&gt;30,L1005,(L1005-K967+K1006)*(1+$C$7))</f>
        <v>28.909253969288077</v>
      </c>
      <c r="M1006" s="18">
        <f t="shared" si="111"/>
        <v>0</v>
      </c>
      <c r="N1006" s="18">
        <f>IF($A1006&gt;30,0,(N967-MIN(MAX(O1005,0),N967))+MIN(MAX(0,P1005-(N967-MIN(MAX(O1005,0),N967))),MAX(0,3*N967-(O1005-MIN(MAX(O1005,0),N967)))))</f>
        <v>0</v>
      </c>
      <c r="O1006" s="18">
        <f>IF($A1006&gt;30,O1005,(O1005-N967+N1006)*(1+$C$7))</f>
        <v>0.66462220747309619</v>
      </c>
      <c r="P1006" s="18">
        <f t="shared" si="112"/>
        <v>0</v>
      </c>
      <c r="Q1006" s="18">
        <f>IF($A1006&gt;30,0,(Q967-MIN(MAX(R1005,0),Q967))+MIN(MAX(0,S1005-(Q967-MIN(MAX(R1005,0),Q967))),MAX(0,3*Q967-(R1005-MIN(MAX(R1005,0),Q967)))))</f>
        <v>0</v>
      </c>
      <c r="R1006" s="18">
        <f>IF($A1006&gt;30,R1005,(R1005-Q967+Q1006)*(1+$C$7))</f>
        <v>0</v>
      </c>
      <c r="S1006" s="18">
        <f t="shared" si="113"/>
        <v>-2.0684092305600645E-9</v>
      </c>
    </row>
    <row r="1007" spans="1:19">
      <c r="A1007" s="10">
        <f>38</f>
        <v>38</v>
      </c>
      <c r="B1007" s="18">
        <f>IF($A1007&gt;30,0,(B967-MIN(MAX(C1006,0),B967))+MIN(MAX(0,D1006-(B967-MIN(MAX(C1006,0),B967))),MAX(0,3*B967-(C1006-MIN(MAX(C1006,0),B967)))))</f>
        <v>0</v>
      </c>
      <c r="C1007" s="18">
        <f>IF($A1007&gt;30,C1006,(C1006-B967+B1007)*(1+$C$7))</f>
        <v>90567</v>
      </c>
      <c r="D1007" s="18">
        <f t="shared" si="108"/>
        <v>765136.76416272647</v>
      </c>
      <c r="E1007" s="18">
        <f>IF($A1007&gt;30,0,(E967-MIN(MAX(F1006,0),E967))+MIN(MAX(0,G1006-(E967-MIN(MAX(F1006,0),E967))),MAX(0,3*E967-(F1006-MIN(MAX(F1006,0),E967)))))</f>
        <v>0</v>
      </c>
      <c r="F1007" s="18">
        <f>IF($A1007&gt;30,F1006,(F1006-E967+E1007)*(1+$C$7))</f>
        <v>0</v>
      </c>
      <c r="G1007" s="18">
        <f t="shared" si="109"/>
        <v>-1388894.7651759225</v>
      </c>
      <c r="H1007" s="18">
        <f>IF($A1007&gt;30,0,(H967-MIN(MAX(I1006,0),H967))+MIN(MAX(0,J1006-(H967-MIN(MAX(I1006,0),H967))),MAX(0,3*H967-(I1006-MIN(MAX(I1006,0),H967)))))</f>
        <v>0</v>
      </c>
      <c r="I1007" s="18">
        <f>IF($A1007&gt;30,I1006,(I1006-H967+H1007)*(1+$C$7))</f>
        <v>0</v>
      </c>
      <c r="J1007" s="18">
        <f t="shared" si="110"/>
        <v>-33631.152886094969</v>
      </c>
      <c r="K1007" s="18">
        <f>IF($A1007&gt;30,0,(K967-MIN(MAX(L1006,0),K967))+MIN(MAX(0,M1006-(K967-MIN(MAX(L1006,0),K967))),MAX(0,3*K967-(L1006-MIN(MAX(L1006,0),K967)))))</f>
        <v>0</v>
      </c>
      <c r="L1007" s="18">
        <f>IF($A1007&gt;30,L1006,(L1006-K967+K1007)*(1+$C$7))</f>
        <v>28.909253969288077</v>
      </c>
      <c r="M1007" s="18">
        <f t="shared" si="111"/>
        <v>0</v>
      </c>
      <c r="N1007" s="18">
        <f>IF($A1007&gt;30,0,(N967-MIN(MAX(O1006,0),N967))+MIN(MAX(0,P1006-(N967-MIN(MAX(O1006,0),N967))),MAX(0,3*N967-(O1006-MIN(MAX(O1006,0),N967)))))</f>
        <v>0</v>
      </c>
      <c r="O1007" s="18">
        <f>IF($A1007&gt;30,O1006,(O1006-N967+N1007)*(1+$C$7))</f>
        <v>0.66462220747309619</v>
      </c>
      <c r="P1007" s="18">
        <f t="shared" si="112"/>
        <v>0</v>
      </c>
      <c r="Q1007" s="18">
        <f>IF($A1007&gt;30,0,(Q967-MIN(MAX(R1006,0),Q967))+MIN(MAX(0,S1006-(Q967-MIN(MAX(R1006,0),Q967))),MAX(0,3*Q967-(R1006-MIN(MAX(R1006,0),Q967)))))</f>
        <v>0</v>
      </c>
      <c r="R1007" s="18">
        <f>IF($A1007&gt;30,R1006,(R1006-Q967+Q1007)*(1+$C$7))</f>
        <v>0</v>
      </c>
      <c r="S1007" s="18">
        <f t="shared" si="113"/>
        <v>-2.0684092305600645E-9</v>
      </c>
    </row>
    <row r="1008" spans="1:19">
      <c r="A1008" s="10">
        <f>39</f>
        <v>39</v>
      </c>
      <c r="B1008" s="18">
        <f>IF($A1008&gt;30,0,(B967-MIN(MAX(C1007,0),B967))+MIN(MAX(0,D1007-(B967-MIN(MAX(C1007,0),B967))),MAX(0,3*B967-(C1007-MIN(MAX(C1007,0),B967)))))</f>
        <v>0</v>
      </c>
      <c r="C1008" s="18">
        <f>IF($A1008&gt;30,C1007,(C1007-B967+B1008)*(1+$C$7))</f>
        <v>90567</v>
      </c>
      <c r="D1008" s="18">
        <f t="shared" si="108"/>
        <v>765136.76416272647</v>
      </c>
      <c r="E1008" s="18">
        <f>IF($A1008&gt;30,0,(E967-MIN(MAX(F1007,0),E967))+MIN(MAX(0,G1007-(E967-MIN(MAX(F1007,0),E967))),MAX(0,3*E967-(F1007-MIN(MAX(F1007,0),E967)))))</f>
        <v>0</v>
      </c>
      <c r="F1008" s="18">
        <f>IF($A1008&gt;30,F1007,(F1007-E967+E1008)*(1+$C$7))</f>
        <v>0</v>
      </c>
      <c r="G1008" s="18">
        <f t="shared" si="109"/>
        <v>-1388894.7651759225</v>
      </c>
      <c r="H1008" s="18">
        <f>IF($A1008&gt;30,0,(H967-MIN(MAX(I1007,0),H967))+MIN(MAX(0,J1007-(H967-MIN(MAX(I1007,0),H967))),MAX(0,3*H967-(I1007-MIN(MAX(I1007,0),H967)))))</f>
        <v>0</v>
      </c>
      <c r="I1008" s="18">
        <f>IF($A1008&gt;30,I1007,(I1007-H967+H1008)*(1+$C$7))</f>
        <v>0</v>
      </c>
      <c r="J1008" s="18">
        <f t="shared" si="110"/>
        <v>-33631.152886094969</v>
      </c>
      <c r="K1008" s="18">
        <f>IF($A1008&gt;30,0,(K967-MIN(MAX(L1007,0),K967))+MIN(MAX(0,M1007-(K967-MIN(MAX(L1007,0),K967))),MAX(0,3*K967-(L1007-MIN(MAX(L1007,0),K967)))))</f>
        <v>0</v>
      </c>
      <c r="L1008" s="18">
        <f>IF($A1008&gt;30,L1007,(L1007-K967+K1008)*(1+$C$7))</f>
        <v>28.909253969288077</v>
      </c>
      <c r="M1008" s="18">
        <f t="shared" si="111"/>
        <v>0</v>
      </c>
      <c r="N1008" s="18">
        <f>IF($A1008&gt;30,0,(N967-MIN(MAX(O1007,0),N967))+MIN(MAX(0,P1007-(N967-MIN(MAX(O1007,0),N967))),MAX(0,3*N967-(O1007-MIN(MAX(O1007,0),N967)))))</f>
        <v>0</v>
      </c>
      <c r="O1008" s="18">
        <f>IF($A1008&gt;30,O1007,(O1007-N967+N1008)*(1+$C$7))</f>
        <v>0.66462220747309619</v>
      </c>
      <c r="P1008" s="18">
        <f t="shared" si="112"/>
        <v>0</v>
      </c>
      <c r="Q1008" s="18">
        <f>IF($A1008&gt;30,0,(Q967-MIN(MAX(R1007,0),Q967))+MIN(MAX(0,S1007-(Q967-MIN(MAX(R1007,0),Q967))),MAX(0,3*Q967-(R1007-MIN(MAX(R1007,0),Q967)))))</f>
        <v>0</v>
      </c>
      <c r="R1008" s="18">
        <f>IF($A1008&gt;30,R1007,(R1007-Q967+Q1008)*(1+$C$7))</f>
        <v>0</v>
      </c>
      <c r="S1008" s="18">
        <f t="shared" si="113"/>
        <v>-2.0684092305600645E-9</v>
      </c>
    </row>
    <row r="1009" spans="1:19">
      <c r="A1009" s="10">
        <f>40</f>
        <v>40</v>
      </c>
      <c r="B1009" s="18">
        <f>IF($A1009&gt;30,0,(B967-MIN(MAX(C1008,0),B967))+MIN(MAX(0,D1008-(B967-MIN(MAX(C1008,0),B967))),MAX(0,3*B967-(C1008-MIN(MAX(C1008,0),B967)))))</f>
        <v>0</v>
      </c>
      <c r="C1009" s="18">
        <f>IF($A1009&gt;30,C1008,(C1008-B967+B1009)*(1+$C$7))</f>
        <v>90567</v>
      </c>
      <c r="D1009" s="18">
        <f t="shared" si="108"/>
        <v>765136.76416272647</v>
      </c>
      <c r="E1009" s="18">
        <f>IF($A1009&gt;30,0,(E967-MIN(MAX(F1008,0),E967))+MIN(MAX(0,G1008-(E967-MIN(MAX(F1008,0),E967))),MAX(0,3*E967-(F1008-MIN(MAX(F1008,0),E967)))))</f>
        <v>0</v>
      </c>
      <c r="F1009" s="18">
        <f>IF($A1009&gt;30,F1008,(F1008-E967+E1009)*(1+$C$7))</f>
        <v>0</v>
      </c>
      <c r="G1009" s="18">
        <f t="shared" si="109"/>
        <v>-1388894.7651759225</v>
      </c>
      <c r="H1009" s="18">
        <f>IF($A1009&gt;30,0,(H967-MIN(MAX(I1008,0),H967))+MIN(MAX(0,J1008-(H967-MIN(MAX(I1008,0),H967))),MAX(0,3*H967-(I1008-MIN(MAX(I1008,0),H967)))))</f>
        <v>0</v>
      </c>
      <c r="I1009" s="18">
        <f>IF($A1009&gt;30,I1008,(I1008-H967+H1009)*(1+$C$7))</f>
        <v>0</v>
      </c>
      <c r="J1009" s="18">
        <f t="shared" si="110"/>
        <v>-33631.152886094969</v>
      </c>
      <c r="K1009" s="18">
        <f>IF($A1009&gt;30,0,(K967-MIN(MAX(L1008,0),K967))+MIN(MAX(0,M1008-(K967-MIN(MAX(L1008,0),K967))),MAX(0,3*K967-(L1008-MIN(MAX(L1008,0),K967)))))</f>
        <v>0</v>
      </c>
      <c r="L1009" s="18">
        <f>IF($A1009&gt;30,L1008,(L1008-K967+K1009)*(1+$C$7))</f>
        <v>28.909253969288077</v>
      </c>
      <c r="M1009" s="18">
        <f t="shared" si="111"/>
        <v>0</v>
      </c>
      <c r="N1009" s="18">
        <f>IF($A1009&gt;30,0,(N967-MIN(MAX(O1008,0),N967))+MIN(MAX(0,P1008-(N967-MIN(MAX(O1008,0),N967))),MAX(0,3*N967-(O1008-MIN(MAX(O1008,0),N967)))))</f>
        <v>0</v>
      </c>
      <c r="O1009" s="18">
        <f>IF($A1009&gt;30,O1008,(O1008-N967+N1009)*(1+$C$7))</f>
        <v>0.66462220747309619</v>
      </c>
      <c r="P1009" s="18">
        <f t="shared" si="112"/>
        <v>0</v>
      </c>
      <c r="Q1009" s="18">
        <f>IF($A1009&gt;30,0,(Q967-MIN(MAX(R1008,0),Q967))+MIN(MAX(0,S1008-(Q967-MIN(MAX(R1008,0),Q967))),MAX(0,3*Q967-(R1008-MIN(MAX(R1008,0),Q967)))))</f>
        <v>0</v>
      </c>
      <c r="R1009" s="18">
        <f>IF($A1009&gt;30,R1008,(R1008-Q967+Q1009)*(1+$C$7))</f>
        <v>0</v>
      </c>
      <c r="S1009" s="18">
        <f t="shared" si="113"/>
        <v>-2.0684092305600645E-9</v>
      </c>
    </row>
    <row r="1010" spans="1:19">
      <c r="B1010" s="18">
        <f>C1009+D1009</f>
        <v>855703.76416272647</v>
      </c>
      <c r="E1010" s="18">
        <f>F1009+G1009</f>
        <v>-1388894.7651759225</v>
      </c>
      <c r="H1010" s="18">
        <f>I1009+J1009</f>
        <v>-33631.152886094969</v>
      </c>
      <c r="K1010" s="18">
        <f>L1009+M1009</f>
        <v>28.909253969288077</v>
      </c>
      <c r="N1010" s="18">
        <f>O1009+P1009</f>
        <v>0.66462220747309619</v>
      </c>
      <c r="Q1010" s="18">
        <f>R1009+S1009</f>
        <v>-2.0684092305600645E-9</v>
      </c>
    </row>
    <row r="1011" spans="1:19">
      <c r="A1011" s="5" t="s">
        <v>266</v>
      </c>
      <c r="B1011" s="18">
        <f>IFERROR(Q967-Q1010*(Q967-N967)/(Q1010-N1010),Q967)</f>
        <v>46464.893403142007</v>
      </c>
    </row>
    <row r="1013" spans="1:19">
      <c r="A1013" s="2" t="s">
        <v>285</v>
      </c>
    </row>
    <row r="1014" spans="1:19">
      <c r="B1014" s="9">
        <f>0.03*$B$5</f>
        <v>30000</v>
      </c>
      <c r="E1014" s="9">
        <f>0.075*$B$5</f>
        <v>75000</v>
      </c>
      <c r="H1014" s="18">
        <f>IFERROR(E1014-E1057*(E1014-B1014)/(E1057-B1057),E1014)</f>
        <v>45782.931505131914</v>
      </c>
      <c r="K1014" s="18">
        <f>IFERROR(H1014-H1057*(H1014-E1014)/(H1057-E1057),H1014)</f>
        <v>44730.063856044129</v>
      </c>
      <c r="N1014" s="18">
        <f>IFERROR(K1014-K1057*(K1014-H1014)/(K1057-H1057),K1014)</f>
        <v>44730.198639200738</v>
      </c>
      <c r="Q1014" s="18">
        <f>IFERROR(N1014-N1057*(N1014-K1014)/(N1057-K1057),N1014)</f>
        <v>44730.201521800052</v>
      </c>
    </row>
    <row r="1015" spans="1:19">
      <c r="A1015" s="25" t="s">
        <v>262</v>
      </c>
      <c r="B1015" s="25" t="s">
        <v>263</v>
      </c>
      <c r="C1015" s="25" t="s">
        <v>264</v>
      </c>
      <c r="D1015" s="25" t="s">
        <v>265</v>
      </c>
      <c r="E1015" s="25" t="s">
        <v>263</v>
      </c>
      <c r="F1015" s="25" t="s">
        <v>264</v>
      </c>
      <c r="G1015" s="25" t="s">
        <v>265</v>
      </c>
      <c r="H1015" s="25" t="s">
        <v>263</v>
      </c>
      <c r="I1015" s="25" t="s">
        <v>264</v>
      </c>
      <c r="J1015" s="25" t="s">
        <v>265</v>
      </c>
      <c r="K1015" s="25" t="s">
        <v>263</v>
      </c>
      <c r="L1015" s="25" t="s">
        <v>264</v>
      </c>
      <c r="M1015" s="25" t="s">
        <v>265</v>
      </c>
      <c r="N1015" s="25" t="s">
        <v>263</v>
      </c>
      <c r="O1015" s="25" t="s">
        <v>264</v>
      </c>
      <c r="P1015" s="25" t="s">
        <v>265</v>
      </c>
      <c r="Q1015" s="25" t="s">
        <v>263</v>
      </c>
      <c r="R1015" s="25" t="s">
        <v>264</v>
      </c>
      <c r="S1015" s="25" t="s">
        <v>265</v>
      </c>
    </row>
    <row r="1016" spans="1:19">
      <c r="A1016" s="3">
        <v>0</v>
      </c>
      <c r="C1016" s="18">
        <f>MIN(5*B1014,$B$5)</f>
        <v>150000</v>
      </c>
      <c r="D1016" s="18">
        <f>$B$5-C1016</f>
        <v>850000</v>
      </c>
      <c r="F1016" s="18">
        <f>MIN(5*E1014,$B$5)</f>
        <v>375000</v>
      </c>
      <c r="G1016" s="18">
        <f>$B$5-F1016</f>
        <v>625000</v>
      </c>
      <c r="I1016" s="18">
        <f>MIN(5*H1014,$B$5)</f>
        <v>228914.65752565957</v>
      </c>
      <c r="J1016" s="18">
        <f>$B$5-I1016</f>
        <v>771085.34247434046</v>
      </c>
      <c r="L1016" s="18">
        <f>MIN(5*K1014,$B$5)</f>
        <v>223650.31928022066</v>
      </c>
      <c r="M1016" s="18">
        <f>$B$5-L1016</f>
        <v>776349.68071977934</v>
      </c>
      <c r="O1016" s="18">
        <f>MIN(5*N1014,$B$5)</f>
        <v>223650.99319600369</v>
      </c>
      <c r="P1016" s="18">
        <f>$B$5-O1016</f>
        <v>776349.00680399628</v>
      </c>
      <c r="R1016" s="18">
        <f>MIN(5*Q1014,$B$5)</f>
        <v>223651.00760900025</v>
      </c>
      <c r="S1016" s="18">
        <f>$B$5-R1016</f>
        <v>776348.9923909998</v>
      </c>
    </row>
    <row r="1017" spans="1:19">
      <c r="A1017" s="10">
        <f>1</f>
        <v>1</v>
      </c>
      <c r="B1017" s="18">
        <f>IF($A1017&gt;30,0,(B1014-MIN(MAX(C1016,0),B1014))+MIN(MAX(0,D1016-(B1014-MIN(MAX(C1016,0),B1014))),MAX(0,5*B1014-(C1016-MIN(MAX(C1016,0),B1014)))))</f>
        <v>30000</v>
      </c>
      <c r="C1017" s="18">
        <f>IF($A1017&gt;30,C1016,(C1016-B1014+B1017)*(1+$C$7))</f>
        <v>150945</v>
      </c>
      <c r="D1017" s="18">
        <f t="shared" ref="D1017:D1056" si="114">IF($A1017&gt;30,D1016,(D1016-B1017)*(1+$B$6))</f>
        <v>844600</v>
      </c>
      <c r="E1017" s="18">
        <f>IF($A1017&gt;30,0,(E1014-MIN(MAX(F1016,0),E1014))+MIN(MAX(0,G1016-(E1014-MIN(MAX(F1016,0),E1014))),MAX(0,5*E1014-(F1016-MIN(MAX(F1016,0),E1014)))))</f>
        <v>75000</v>
      </c>
      <c r="F1017" s="18">
        <f>IF($A1017&gt;30,F1016,(F1016-E1014+E1017)*(1+$C$7))</f>
        <v>377362.5</v>
      </c>
      <c r="G1017" s="18">
        <f t="shared" ref="G1017:G1056" si="115">IF($A1017&gt;30,G1016,(G1016-E1017)*(1+$B$6))</f>
        <v>566500</v>
      </c>
      <c r="H1017" s="18">
        <f>IF($A1017&gt;30,0,(H1014-MIN(MAX(I1016,0),H1014))+MIN(MAX(0,J1016-(H1014-MIN(MAX(I1016,0),H1014))),MAX(0,5*H1014-(I1016-MIN(MAX(I1016,0),H1014)))))</f>
        <v>45782.931505131914</v>
      </c>
      <c r="I1017" s="18">
        <f>IF($A1017&gt;30,I1016,(I1016-H1014+H1017)*(1+$C$7))</f>
        <v>230356.81986807121</v>
      </c>
      <c r="J1017" s="18">
        <f t="shared" ref="J1017:J1056" si="116">IF($A1017&gt;30,J1016,(J1016-H1017)*(1+$B$6))</f>
        <v>747061.48329828482</v>
      </c>
      <c r="K1017" s="18">
        <f>IF($A1017&gt;30,0,(K1014-MIN(MAX(L1016,0),K1014))+MIN(MAX(0,M1016-(K1014-MIN(MAX(L1016,0),K1014))),MAX(0,5*K1014-(L1016-MIN(MAX(L1016,0),K1014)))))</f>
        <v>44730.063856044144</v>
      </c>
      <c r="L1017" s="18">
        <f>IF($A1017&gt;30,L1016,(L1016-K1014+K1017)*(1+$C$7))</f>
        <v>225059.31629168603</v>
      </c>
      <c r="M1017" s="18">
        <f t="shared" ref="M1017:M1056" si="117">IF($A1017&gt;30,M1016,(M1016-K1017)*(1+$B$6))</f>
        <v>753568.20536964736</v>
      </c>
      <c r="N1017" s="18">
        <f>IF($A1017&gt;30,0,(N1014-MIN(MAX(O1016,0),N1014))+MIN(MAX(0,P1016-(N1014-MIN(MAX(O1016,0),N1014))),MAX(0,5*N1014-(O1016-MIN(MAX(O1016,0),N1014)))))</f>
        <v>44730.198639200738</v>
      </c>
      <c r="O1017" s="18">
        <f>IF($A1017&gt;30,O1016,(O1016-N1014+N1017)*(1+$C$7))</f>
        <v>225059.9944531385</v>
      </c>
      <c r="P1017" s="18">
        <f t="shared" ref="P1017:P1056" si="118">IF($A1017&gt;30,P1016,(P1016-N1017)*(1+$B$6))</f>
        <v>753567.37240973942</v>
      </c>
      <c r="Q1017" s="18">
        <f>IF($A1017&gt;30,0,(Q1014-MIN(MAX(R1016,0),Q1014))+MIN(MAX(0,S1016-(Q1014-MIN(MAX(R1016,0),Q1014))),MAX(0,5*Q1014-(R1016-MIN(MAX(R1016,0),Q1014)))))</f>
        <v>44730.201521800045</v>
      </c>
      <c r="R1017" s="18">
        <f>IF($A1017&gt;30,R1016,(R1016-Q1014+Q1017)*(1+$C$7))</f>
        <v>225060.00895693694</v>
      </c>
      <c r="S1017" s="18">
        <f t="shared" ref="S1017:S1056" si="119">IF($A1017&gt;30,S1016,(S1016-Q1017)*(1+$B$6))</f>
        <v>753567.35459527583</v>
      </c>
    </row>
    <row r="1018" spans="1:19">
      <c r="A1018" s="10">
        <f>2</f>
        <v>2</v>
      </c>
      <c r="B1018" s="18">
        <f>IF($A1018&gt;30,0,(B1014-MIN(MAX(C1017,0),B1014))+MIN(MAX(0,D1017-(B1014-MIN(MAX(C1017,0),B1014))),MAX(0,5*B1014-(C1017-MIN(MAX(C1017,0),B1014)))))</f>
        <v>29055</v>
      </c>
      <c r="C1018" s="18">
        <f>IF($A1018&gt;30,C1017,(C1017-B1014+B1018)*(1+$C$7))</f>
        <v>150945</v>
      </c>
      <c r="D1018" s="18">
        <f t="shared" si="114"/>
        <v>840011.35</v>
      </c>
      <c r="E1018" s="18">
        <f>IF($A1018&gt;30,0,(E1014-MIN(MAX(F1017,0),E1014))+MIN(MAX(0,G1017-(E1014-MIN(MAX(F1017,0),E1014))),MAX(0,5*E1014-(F1017-MIN(MAX(F1017,0),E1014)))))</f>
        <v>72637.5</v>
      </c>
      <c r="F1018" s="18">
        <f>IF($A1018&gt;30,F1017,(F1017-E1014+E1018)*(1+$C$7))</f>
        <v>377362.5</v>
      </c>
      <c r="G1018" s="18">
        <f t="shared" si="115"/>
        <v>508678.375</v>
      </c>
      <c r="H1018" s="18">
        <f>IF($A1018&gt;30,0,(H1014-MIN(MAX(I1017,0),H1014))+MIN(MAX(0,J1017-(H1014-MIN(MAX(I1017,0),H1014))),MAX(0,5*H1014-(I1017-MIN(MAX(I1017,0),H1014)))))</f>
        <v>44340.769162720273</v>
      </c>
      <c r="I1018" s="18">
        <f>IF($A1018&gt;30,I1017,(I1017-H1014+H1018)*(1+$C$7))</f>
        <v>230356.81986807121</v>
      </c>
      <c r="J1018" s="18">
        <f t="shared" si="116"/>
        <v>723802.33555963147</v>
      </c>
      <c r="K1018" s="18">
        <f>IF($A1018&gt;30,0,(K1014-MIN(MAX(L1017,0),K1014))+MIN(MAX(0,M1017-(K1014-MIN(MAX(L1017,0),K1014))),MAX(0,5*K1014-(L1017-MIN(MAX(L1017,0),K1014)))))</f>
        <v>43321.066844578774</v>
      </c>
      <c r="L1018" s="18">
        <f>IF($A1018&gt;30,L1017,(L1017-K1014+K1018)*(1+$C$7))</f>
        <v>225059.31629168603</v>
      </c>
      <c r="M1018" s="18">
        <f t="shared" si="117"/>
        <v>731554.55268082058</v>
      </c>
      <c r="N1018" s="18">
        <f>IF($A1018&gt;30,0,(N1014-MIN(MAX(O1017,0),N1014))+MIN(MAX(0,P1017-(N1014-MIN(MAX(O1017,0),N1014))),MAX(0,5*N1014-(O1017-MIN(MAX(O1017,0),N1014)))))</f>
        <v>43321.197382065933</v>
      </c>
      <c r="O1018" s="18">
        <f>IF($A1018&gt;30,O1017,(O1017-N1014+N1018)*(1+$C$7))</f>
        <v>225059.9944531385</v>
      </c>
      <c r="P1018" s="18">
        <f t="shared" si="118"/>
        <v>731553.56027850369</v>
      </c>
      <c r="Q1018" s="18">
        <f>IF($A1018&gt;30,0,(Q1014-MIN(MAX(R1017,0),Q1014))+MIN(MAX(0,S1017-(Q1014-MIN(MAX(R1017,0),Q1014))),MAX(0,5*Q1014-(R1017-MIN(MAX(R1017,0),Q1014)))))</f>
        <v>43321.200173863355</v>
      </c>
      <c r="R1018" s="18">
        <f>IF($A1018&gt;30,R1017,(R1017-Q1014+Q1018)*(1+$C$7))</f>
        <v>225060.00895693694</v>
      </c>
      <c r="S1018" s="18">
        <f t="shared" si="119"/>
        <v>731553.53905405488</v>
      </c>
    </row>
    <row r="1019" spans="1:19">
      <c r="A1019" s="10">
        <f>3</f>
        <v>3</v>
      </c>
      <c r="B1019" s="18">
        <f>IF($A1019&gt;30,0,(B1014-MIN(MAX(C1018,0),B1014))+MIN(MAX(0,D1018-(B1014-MIN(MAX(C1018,0),B1014))),MAX(0,5*B1014-(C1018-MIN(MAX(C1018,0),B1014)))))</f>
        <v>29055</v>
      </c>
      <c r="C1019" s="18">
        <f>IF($A1019&gt;30,C1018,(C1018-B1014+B1019)*(1+$C$7))</f>
        <v>150945</v>
      </c>
      <c r="D1019" s="18">
        <f t="shared" si="114"/>
        <v>835285.0405</v>
      </c>
      <c r="E1019" s="18">
        <f>IF($A1019&gt;30,0,(E1014-MIN(MAX(F1018,0),E1014))+MIN(MAX(0,G1018-(E1014-MIN(MAX(F1018,0),E1014))),MAX(0,5*E1014-(F1018-MIN(MAX(F1018,0),E1014)))))</f>
        <v>72637.5</v>
      </c>
      <c r="F1019" s="18">
        <f>IF($A1019&gt;30,F1018,(F1018-E1014+E1019)*(1+$C$7))</f>
        <v>377362.5</v>
      </c>
      <c r="G1019" s="18">
        <f t="shared" si="115"/>
        <v>449122.10125000001</v>
      </c>
      <c r="H1019" s="18">
        <f>IF($A1019&gt;30,0,(H1014-MIN(MAX(I1018,0),H1014))+MIN(MAX(0,J1018-(H1014-MIN(MAX(I1018,0),H1014))),MAX(0,5*H1014-(I1018-MIN(MAX(I1018,0),H1014)))))</f>
        <v>44340.769162720273</v>
      </c>
      <c r="I1019" s="18">
        <f>IF($A1019&gt;30,I1018,(I1018-H1014+H1019)*(1+$C$7))</f>
        <v>230356.81986807121</v>
      </c>
      <c r="J1019" s="18">
        <f t="shared" si="116"/>
        <v>699845.4133888185</v>
      </c>
      <c r="K1019" s="18">
        <f>IF($A1019&gt;30,0,(K1014-MIN(MAX(L1018,0),K1014))+MIN(MAX(0,M1018-(K1014-MIN(MAX(L1018,0),K1014))),MAX(0,5*K1014-(L1018-MIN(MAX(L1018,0),K1014)))))</f>
        <v>43321.066844578774</v>
      </c>
      <c r="L1019" s="18">
        <f>IF($A1019&gt;30,L1018,(L1018-K1014+K1019)*(1+$C$7))</f>
        <v>225059.31629168603</v>
      </c>
      <c r="M1019" s="18">
        <f t="shared" si="117"/>
        <v>708880.49041132908</v>
      </c>
      <c r="N1019" s="18">
        <f>IF($A1019&gt;30,0,(N1014-MIN(MAX(O1018,0),N1014))+MIN(MAX(0,P1018-(N1014-MIN(MAX(O1018,0),N1014))),MAX(0,5*N1014-(O1018-MIN(MAX(O1018,0),N1014)))))</f>
        <v>43321.197382065933</v>
      </c>
      <c r="O1019" s="18">
        <f>IF($A1019&gt;30,O1018,(O1018-N1014+N1019)*(1+$C$7))</f>
        <v>225059.9944531385</v>
      </c>
      <c r="P1019" s="18">
        <f t="shared" si="118"/>
        <v>708879.33378333086</v>
      </c>
      <c r="Q1019" s="18">
        <f>IF($A1019&gt;30,0,(Q1014-MIN(MAX(R1018,0),Q1014))+MIN(MAX(0,S1018-(Q1014-MIN(MAX(R1018,0),Q1014))),MAX(0,5*Q1014-(R1018-MIN(MAX(R1018,0),Q1014)))))</f>
        <v>43321.200173863355</v>
      </c>
      <c r="R1019" s="18">
        <f>IF($A1019&gt;30,R1018,(R1018-Q1014+Q1019)*(1+$C$7))</f>
        <v>225060.00895693694</v>
      </c>
      <c r="S1019" s="18">
        <f t="shared" si="119"/>
        <v>708879.30904659734</v>
      </c>
    </row>
    <row r="1020" spans="1:19">
      <c r="A1020" s="10">
        <f>4</f>
        <v>4</v>
      </c>
      <c r="B1020" s="18">
        <f>IF($A1020&gt;30,0,(B1014-MIN(MAX(C1019,0),B1014))+MIN(MAX(0,D1019-(B1014-MIN(MAX(C1019,0),B1014))),MAX(0,5*B1014-(C1019-MIN(MAX(C1019,0),B1014)))))</f>
        <v>29055</v>
      </c>
      <c r="C1020" s="18">
        <f>IF($A1020&gt;30,C1019,(C1019-B1014+B1020)*(1+$C$7))</f>
        <v>150945</v>
      </c>
      <c r="D1020" s="18">
        <f t="shared" si="114"/>
        <v>830416.94171500008</v>
      </c>
      <c r="E1020" s="18">
        <f>IF($A1020&gt;30,0,(E1014-MIN(MAX(F1019,0),E1014))+MIN(MAX(0,G1019-(E1014-MIN(MAX(F1019,0),E1014))),MAX(0,5*E1014-(F1019-MIN(MAX(F1019,0),E1014)))))</f>
        <v>72637.5</v>
      </c>
      <c r="F1020" s="18">
        <f>IF($A1020&gt;30,F1019,(F1019-E1014+E1020)*(1+$C$7))</f>
        <v>377362.5</v>
      </c>
      <c r="G1020" s="18">
        <f t="shared" si="115"/>
        <v>387779.1392875</v>
      </c>
      <c r="H1020" s="18">
        <f>IF($A1020&gt;30,0,(H1014-MIN(MAX(I1019,0),H1014))+MIN(MAX(0,J1019-(H1014-MIN(MAX(I1019,0),H1014))),MAX(0,5*H1014-(I1019-MIN(MAX(I1019,0),H1014)))))</f>
        <v>44340.769162720273</v>
      </c>
      <c r="I1020" s="18">
        <f>IF($A1020&gt;30,I1019,(I1019-H1014+H1020)*(1+$C$7))</f>
        <v>230356.81986807121</v>
      </c>
      <c r="J1020" s="18">
        <f t="shared" si="116"/>
        <v>675169.78355288121</v>
      </c>
      <c r="K1020" s="18">
        <f>IF($A1020&gt;30,0,(K1014-MIN(MAX(L1019,0),K1014))+MIN(MAX(0,M1019-(K1014-MIN(MAX(L1019,0),K1014))),MAX(0,5*K1014-(L1019-MIN(MAX(L1019,0),K1014)))))</f>
        <v>43321.066844578774</v>
      </c>
      <c r="L1020" s="18">
        <f>IF($A1020&gt;30,L1019,(L1019-K1014+K1020)*(1+$C$7))</f>
        <v>225059.31629168603</v>
      </c>
      <c r="M1020" s="18">
        <f t="shared" si="117"/>
        <v>685526.20627375273</v>
      </c>
      <c r="N1020" s="18">
        <f>IF($A1020&gt;30,0,(N1014-MIN(MAX(O1019,0),N1014))+MIN(MAX(0,P1019-(N1014-MIN(MAX(O1019,0),N1014))),MAX(0,5*N1014-(O1019-MIN(MAX(O1019,0),N1014)))))</f>
        <v>43321.197382065933</v>
      </c>
      <c r="O1020" s="18">
        <f>IF($A1020&gt;30,O1019,(O1019-N1014+N1020)*(1+$C$7))</f>
        <v>225059.9944531385</v>
      </c>
      <c r="P1020" s="18">
        <f t="shared" si="118"/>
        <v>685524.88049330295</v>
      </c>
      <c r="Q1020" s="18">
        <f>IF($A1020&gt;30,0,(Q1014-MIN(MAX(R1019,0),Q1014))+MIN(MAX(0,S1019-(Q1014-MIN(MAX(R1019,0),Q1014))),MAX(0,5*Q1014-(R1019-MIN(MAX(R1019,0),Q1014)))))</f>
        <v>43321.200173863355</v>
      </c>
      <c r="R1020" s="18">
        <f>IF($A1020&gt;30,R1019,(R1019-Q1014+Q1020)*(1+$C$7))</f>
        <v>225060.00895693694</v>
      </c>
      <c r="S1020" s="18">
        <f t="shared" si="119"/>
        <v>685524.85213891603</v>
      </c>
    </row>
    <row r="1021" spans="1:19">
      <c r="A1021" s="10">
        <f>5</f>
        <v>5</v>
      </c>
      <c r="B1021" s="18">
        <f>IF($A1021&gt;30,0,(B1014-MIN(MAX(C1020,0),B1014))+MIN(MAX(0,D1020-(B1014-MIN(MAX(C1020,0),B1014))),MAX(0,5*B1014-(C1020-MIN(MAX(C1020,0),B1014)))))</f>
        <v>29055</v>
      </c>
      <c r="C1021" s="18">
        <f>IF($A1021&gt;30,C1020,(C1020-B1014+B1021)*(1+$C$7))</f>
        <v>150945</v>
      </c>
      <c r="D1021" s="18">
        <f t="shared" si="114"/>
        <v>825402.79996645008</v>
      </c>
      <c r="E1021" s="18">
        <f>IF($A1021&gt;30,0,(E1014-MIN(MAX(F1020,0),E1014))+MIN(MAX(0,G1020-(E1014-MIN(MAX(F1020,0),E1014))),MAX(0,5*E1014-(F1020-MIN(MAX(F1020,0),E1014)))))</f>
        <v>72637.5</v>
      </c>
      <c r="F1021" s="18">
        <f>IF($A1021&gt;30,F1020,(F1020-E1014+E1021)*(1+$C$7))</f>
        <v>377362.5</v>
      </c>
      <c r="G1021" s="18">
        <f t="shared" si="115"/>
        <v>324595.888466125</v>
      </c>
      <c r="H1021" s="18">
        <f>IF($A1021&gt;30,0,(H1014-MIN(MAX(I1020,0),H1014))+MIN(MAX(0,J1020-(H1014-MIN(MAX(I1020,0),H1014))),MAX(0,5*H1014-(I1020-MIN(MAX(I1020,0),H1014)))))</f>
        <v>44340.769162720273</v>
      </c>
      <c r="I1021" s="18">
        <f>IF($A1021&gt;30,I1020,(I1020-H1014+H1021)*(1+$C$7))</f>
        <v>230356.81986807121</v>
      </c>
      <c r="J1021" s="18">
        <f t="shared" si="116"/>
        <v>649753.88482186571</v>
      </c>
      <c r="K1021" s="18">
        <f>IF($A1021&gt;30,0,(K1014-MIN(MAX(L1020,0),K1014))+MIN(MAX(0,M1020-(K1014-MIN(MAX(L1020,0),K1014))),MAX(0,5*K1014-(L1020-MIN(MAX(L1020,0),K1014)))))</f>
        <v>43321.066844578774</v>
      </c>
      <c r="L1021" s="18">
        <f>IF($A1021&gt;30,L1020,(L1020-K1014+K1021)*(1+$C$7))</f>
        <v>225059.31629168603</v>
      </c>
      <c r="M1021" s="18">
        <f t="shared" si="117"/>
        <v>661471.29361204908</v>
      </c>
      <c r="N1021" s="18">
        <f>IF($A1021&gt;30,0,(N1014-MIN(MAX(O1020,0),N1014))+MIN(MAX(0,P1020-(N1014-MIN(MAX(O1020,0),N1014))),MAX(0,5*N1014-(O1020-MIN(MAX(O1020,0),N1014)))))</f>
        <v>43321.197382065933</v>
      </c>
      <c r="O1021" s="18">
        <f>IF($A1021&gt;30,O1020,(O1020-N1014+N1021)*(1+$C$7))</f>
        <v>225059.9944531385</v>
      </c>
      <c r="P1021" s="18">
        <f t="shared" si="118"/>
        <v>661469.79360457417</v>
      </c>
      <c r="Q1021" s="18">
        <f>IF($A1021&gt;30,0,(Q1014-MIN(MAX(R1020,0),Q1014))+MIN(MAX(0,S1020-(Q1014-MIN(MAX(R1020,0),Q1014))),MAX(0,5*Q1014-(R1020-MIN(MAX(R1020,0),Q1014)))))</f>
        <v>43321.200173863355</v>
      </c>
      <c r="R1021" s="18">
        <f>IF($A1021&gt;30,R1020,(R1020-Q1014+Q1021)*(1+$C$7))</f>
        <v>225060.00895693694</v>
      </c>
      <c r="S1021" s="18">
        <f t="shared" si="119"/>
        <v>661469.76152400428</v>
      </c>
    </row>
    <row r="1022" spans="1:19">
      <c r="A1022" s="10">
        <f>6</f>
        <v>6</v>
      </c>
      <c r="B1022" s="18">
        <f>IF($A1022&gt;30,0,(B1014-MIN(MAX(C1021,0),B1014))+MIN(MAX(0,D1021-(B1014-MIN(MAX(C1021,0),B1014))),MAX(0,5*B1014-(C1021-MIN(MAX(C1021,0),B1014)))))</f>
        <v>29055</v>
      </c>
      <c r="C1022" s="18">
        <f>IF($A1022&gt;30,C1021,(C1021-B1014+B1022)*(1+$C$7))</f>
        <v>150945</v>
      </c>
      <c r="D1022" s="18">
        <f t="shared" si="114"/>
        <v>820238.23396544356</v>
      </c>
      <c r="E1022" s="18">
        <f>IF($A1022&gt;30,0,(E1014-MIN(MAX(F1021,0),E1014))+MIN(MAX(0,G1021-(E1014-MIN(MAX(F1021,0),E1014))),MAX(0,5*E1014-(F1021-MIN(MAX(F1021,0),E1014)))))</f>
        <v>72637.5</v>
      </c>
      <c r="F1022" s="18">
        <f>IF($A1022&gt;30,F1021,(F1021-E1014+E1022)*(1+$C$7))</f>
        <v>377362.5</v>
      </c>
      <c r="G1022" s="18">
        <f t="shared" si="115"/>
        <v>259517.14012010876</v>
      </c>
      <c r="H1022" s="18">
        <f>IF($A1022&gt;30,0,(H1014-MIN(MAX(I1021,0),H1014))+MIN(MAX(0,J1021-(H1014-MIN(MAX(I1021,0),H1014))),MAX(0,5*H1014-(I1021-MIN(MAX(I1021,0),H1014)))))</f>
        <v>44340.769162720273</v>
      </c>
      <c r="I1022" s="18">
        <f>IF($A1022&gt;30,I1021,(I1021-H1014+H1022)*(1+$C$7))</f>
        <v>230356.81986807121</v>
      </c>
      <c r="J1022" s="18">
        <f t="shared" si="116"/>
        <v>623575.5091289198</v>
      </c>
      <c r="K1022" s="18">
        <f>IF($A1022&gt;30,0,(K1014-MIN(MAX(L1021,0),K1014))+MIN(MAX(0,M1021-(K1014-MIN(MAX(L1021,0),K1014))),MAX(0,5*K1014-(L1021-MIN(MAX(L1021,0),K1014)))))</f>
        <v>43321.066844578774</v>
      </c>
      <c r="L1022" s="18">
        <f>IF($A1022&gt;30,L1021,(L1021-K1014+K1022)*(1+$C$7))</f>
        <v>225059.31629168603</v>
      </c>
      <c r="M1022" s="18">
        <f t="shared" si="117"/>
        <v>636694.73357049446</v>
      </c>
      <c r="N1022" s="18">
        <f>IF($A1022&gt;30,0,(N1014-MIN(MAX(O1021,0),N1014))+MIN(MAX(0,P1021-(N1014-MIN(MAX(O1021,0),N1014))),MAX(0,5*N1014-(O1021-MIN(MAX(O1021,0),N1014)))))</f>
        <v>43321.197382065933</v>
      </c>
      <c r="O1022" s="18">
        <f>IF($A1022&gt;30,O1021,(O1021-N1014+N1022)*(1+$C$7))</f>
        <v>225059.9944531385</v>
      </c>
      <c r="P1022" s="18">
        <f t="shared" si="118"/>
        <v>636693.05410918349</v>
      </c>
      <c r="Q1022" s="18">
        <f>IF($A1022&gt;30,0,(Q1014-MIN(MAX(R1021,0),Q1014))+MIN(MAX(0,S1021-(Q1014-MIN(MAX(R1021,0),Q1014))),MAX(0,5*Q1014-(R1021-MIN(MAX(R1021,0),Q1014)))))</f>
        <v>43321.200173863355</v>
      </c>
      <c r="R1022" s="18">
        <f>IF($A1022&gt;30,R1021,(R1021-Q1014+Q1022)*(1+$C$7))</f>
        <v>225060.00895693694</v>
      </c>
      <c r="S1022" s="18">
        <f t="shared" si="119"/>
        <v>636693.01819064515</v>
      </c>
    </row>
    <row r="1023" spans="1:19">
      <c r="A1023" s="10">
        <f>7</f>
        <v>7</v>
      </c>
      <c r="B1023" s="18">
        <f>IF($A1023&gt;30,0,(B1014-MIN(MAX(C1022,0),B1014))+MIN(MAX(0,D1022-(B1014-MIN(MAX(C1022,0),B1014))),MAX(0,5*B1014-(C1022-MIN(MAX(C1022,0),B1014)))))</f>
        <v>29055</v>
      </c>
      <c r="C1023" s="18">
        <f>IF($A1023&gt;30,C1022,(C1022-B1014+B1023)*(1+$C$7))</f>
        <v>150945</v>
      </c>
      <c r="D1023" s="18">
        <f t="shared" si="114"/>
        <v>814918.7309844069</v>
      </c>
      <c r="E1023" s="18">
        <f>IF($A1023&gt;30,0,(E1014-MIN(MAX(F1022,0),E1014))+MIN(MAX(0,G1022-(E1014-MIN(MAX(F1022,0),E1014))),MAX(0,5*E1014-(F1022-MIN(MAX(F1022,0),E1014)))))</f>
        <v>72637.5</v>
      </c>
      <c r="F1023" s="18">
        <f>IF($A1023&gt;30,F1022,(F1022-E1014+E1023)*(1+$C$7))</f>
        <v>377362.5</v>
      </c>
      <c r="G1023" s="18">
        <f t="shared" si="115"/>
        <v>192486.02932371202</v>
      </c>
      <c r="H1023" s="18">
        <f>IF($A1023&gt;30,0,(H1014-MIN(MAX(I1022,0),H1014))+MIN(MAX(0,J1022-(H1014-MIN(MAX(I1022,0),H1014))),MAX(0,5*H1014-(I1022-MIN(MAX(I1022,0),H1014)))))</f>
        <v>44340.769162720273</v>
      </c>
      <c r="I1023" s="18">
        <f>IF($A1023&gt;30,I1022,(I1022-H1014+H1023)*(1+$C$7))</f>
        <v>230356.81986807121</v>
      </c>
      <c r="J1023" s="18">
        <f t="shared" si="116"/>
        <v>596611.78216518555</v>
      </c>
      <c r="K1023" s="18">
        <f>IF($A1023&gt;30,0,(K1014-MIN(MAX(L1022,0),K1014))+MIN(MAX(0,M1022-(K1014-MIN(MAX(L1022,0),K1014))),MAX(0,5*K1014-(L1022-MIN(MAX(L1022,0),K1014)))))</f>
        <v>43321.066844578774</v>
      </c>
      <c r="L1023" s="18">
        <f>IF($A1023&gt;30,L1022,(L1022-K1014+K1023)*(1+$C$7))</f>
        <v>225059.31629168603</v>
      </c>
      <c r="M1023" s="18">
        <f t="shared" si="117"/>
        <v>611174.87672769313</v>
      </c>
      <c r="N1023" s="18">
        <f>IF($A1023&gt;30,0,(N1014-MIN(MAX(O1022,0),N1014))+MIN(MAX(0,P1022-(N1014-MIN(MAX(O1022,0),N1014))),MAX(0,5*N1014-(O1022-MIN(MAX(O1022,0),N1014)))))</f>
        <v>43321.197382065933</v>
      </c>
      <c r="O1023" s="18">
        <f>IF($A1023&gt;30,O1022,(O1022-N1014+N1023)*(1+$C$7))</f>
        <v>225059.9944531385</v>
      </c>
      <c r="P1023" s="18">
        <f t="shared" si="118"/>
        <v>611173.01242893108</v>
      </c>
      <c r="Q1023" s="18">
        <f>IF($A1023&gt;30,0,(Q1014-MIN(MAX(R1022,0),Q1014))+MIN(MAX(0,S1022-(Q1014-MIN(MAX(R1022,0),Q1014))),MAX(0,5*Q1014-(R1022-MIN(MAX(R1022,0),Q1014)))))</f>
        <v>43321.200173863355</v>
      </c>
      <c r="R1023" s="18">
        <f>IF($A1023&gt;30,R1022,(R1022-Q1014+Q1023)*(1+$C$7))</f>
        <v>225060.00895693694</v>
      </c>
      <c r="S1023" s="18">
        <f t="shared" si="119"/>
        <v>611172.97255728533</v>
      </c>
    </row>
    <row r="1024" spans="1:19">
      <c r="A1024" s="10">
        <f>8</f>
        <v>8</v>
      </c>
      <c r="B1024" s="18">
        <f>IF($A1024&gt;30,0,(B1014-MIN(MAX(C1023,0),B1014))+MIN(MAX(0,D1023-(B1014-MIN(MAX(C1023,0),B1014))),MAX(0,5*B1014-(C1023-MIN(MAX(C1023,0),B1014)))))</f>
        <v>29055</v>
      </c>
      <c r="C1024" s="18">
        <f>IF($A1024&gt;30,C1023,(C1023-B1014+B1024)*(1+$C$7))</f>
        <v>150945</v>
      </c>
      <c r="D1024" s="18">
        <f t="shared" si="114"/>
        <v>809439.64291393908</v>
      </c>
      <c r="E1024" s="18">
        <f>IF($A1024&gt;30,0,(E1014-MIN(MAX(F1023,0),E1014))+MIN(MAX(0,G1023-(E1014-MIN(MAX(F1023,0),E1014))),MAX(0,5*E1014-(F1023-MIN(MAX(F1023,0),E1014)))))</f>
        <v>72637.5</v>
      </c>
      <c r="F1024" s="18">
        <f>IF($A1024&gt;30,F1023,(F1023-E1014+E1024)*(1+$C$7))</f>
        <v>377362.5</v>
      </c>
      <c r="G1024" s="18">
        <f t="shared" si="115"/>
        <v>123443.98520342338</v>
      </c>
      <c r="H1024" s="18">
        <f>IF($A1024&gt;30,0,(H1014-MIN(MAX(I1023,0),H1014))+MIN(MAX(0,J1023-(H1014-MIN(MAX(I1023,0),H1014))),MAX(0,5*H1014-(I1023-MIN(MAX(I1023,0),H1014)))))</f>
        <v>44340.769162720273</v>
      </c>
      <c r="I1024" s="18">
        <f>IF($A1024&gt;30,I1023,(I1023-H1014+H1024)*(1+$C$7))</f>
        <v>230356.81986807121</v>
      </c>
      <c r="J1024" s="18">
        <f t="shared" si="116"/>
        <v>568839.14339253923</v>
      </c>
      <c r="K1024" s="18">
        <f>IF($A1024&gt;30,0,(K1014-MIN(MAX(L1023,0),K1014))+MIN(MAX(0,M1023-(K1014-MIN(MAX(L1023,0),K1014))),MAX(0,5*K1014-(L1023-MIN(MAX(L1023,0),K1014)))))</f>
        <v>43321.066844578774</v>
      </c>
      <c r="L1024" s="18">
        <f>IF($A1024&gt;30,L1023,(L1023-K1014+K1024)*(1+$C$7))</f>
        <v>225059.31629168603</v>
      </c>
      <c r="M1024" s="18">
        <f t="shared" si="117"/>
        <v>584889.42417960789</v>
      </c>
      <c r="N1024" s="18">
        <f>IF($A1024&gt;30,0,(N1014-MIN(MAX(O1023,0),N1014))+MIN(MAX(0,P1023-(N1014-MIN(MAX(O1023,0),N1014))),MAX(0,5*N1014-(O1023-MIN(MAX(O1023,0),N1014)))))</f>
        <v>43321.197382065933</v>
      </c>
      <c r="O1024" s="18">
        <f>IF($A1024&gt;30,O1023,(O1023-N1014+N1024)*(1+$C$7))</f>
        <v>225059.9944531385</v>
      </c>
      <c r="P1024" s="18">
        <f t="shared" si="118"/>
        <v>584887.36949827115</v>
      </c>
      <c r="Q1024" s="18">
        <f>IF($A1024&gt;30,0,(Q1014-MIN(MAX(R1023,0),Q1014))+MIN(MAX(0,S1023-(Q1014-MIN(MAX(R1023,0),Q1014))),MAX(0,5*Q1014-(R1023-MIN(MAX(R1023,0),Q1014)))))</f>
        <v>43321.200173863355</v>
      </c>
      <c r="R1024" s="18">
        <f>IF($A1024&gt;30,R1023,(R1023-Q1014+Q1024)*(1+$C$7))</f>
        <v>225060.00895693694</v>
      </c>
      <c r="S1024" s="18">
        <f t="shared" si="119"/>
        <v>584887.32555492467</v>
      </c>
    </row>
    <row r="1025" spans="1:19">
      <c r="A1025" s="10">
        <f>9</f>
        <v>9</v>
      </c>
      <c r="B1025" s="18">
        <f>IF($A1025&gt;30,0,(B1014-MIN(MAX(C1024,0),B1014))+MIN(MAX(0,D1024-(B1014-MIN(MAX(C1024,0),B1014))),MAX(0,5*B1014-(C1024-MIN(MAX(C1024,0),B1014)))))</f>
        <v>29055</v>
      </c>
      <c r="C1025" s="18">
        <f>IF($A1025&gt;30,C1024,(C1024-B1014+B1025)*(1+$C$7))</f>
        <v>150945</v>
      </c>
      <c r="D1025" s="18">
        <f t="shared" si="114"/>
        <v>803796.18220135733</v>
      </c>
      <c r="E1025" s="18">
        <f>IF($A1025&gt;30,0,(E1014-MIN(MAX(F1024,0),E1014))+MIN(MAX(0,G1024-(E1014-MIN(MAX(F1024,0),E1014))),MAX(0,5*E1014-(F1024-MIN(MAX(F1024,0),E1014)))))</f>
        <v>72637.5</v>
      </c>
      <c r="F1025" s="18">
        <f>IF($A1025&gt;30,F1024,(F1024-E1014+E1025)*(1+$C$7))</f>
        <v>377362.5</v>
      </c>
      <c r="G1025" s="18">
        <f t="shared" si="115"/>
        <v>52330.67975952608</v>
      </c>
      <c r="H1025" s="18">
        <f>IF($A1025&gt;30,0,(H1014-MIN(MAX(I1024,0),H1014))+MIN(MAX(0,J1024-(H1014-MIN(MAX(I1024,0),H1014))),MAX(0,5*H1014-(I1024-MIN(MAX(I1024,0),H1014)))))</f>
        <v>44340.769162720273</v>
      </c>
      <c r="I1025" s="18">
        <f>IF($A1025&gt;30,I1024,(I1024-H1014+H1025)*(1+$C$7))</f>
        <v>230356.81986807121</v>
      </c>
      <c r="J1025" s="18">
        <f t="shared" si="116"/>
        <v>540233.32545671356</v>
      </c>
      <c r="K1025" s="18">
        <f>IF($A1025&gt;30,0,(K1014-MIN(MAX(L1024,0),K1014))+MIN(MAX(0,M1024-(K1014-MIN(MAX(L1024,0),K1014))),MAX(0,5*K1014-(L1024-MIN(MAX(L1024,0),K1014)))))</f>
        <v>43321.066844578774</v>
      </c>
      <c r="L1025" s="18">
        <f>IF($A1025&gt;30,L1024,(L1024-K1014+K1025)*(1+$C$7))</f>
        <v>225059.31629168603</v>
      </c>
      <c r="M1025" s="18">
        <f t="shared" si="117"/>
        <v>557815.4080550801</v>
      </c>
      <c r="N1025" s="18">
        <f>IF($A1025&gt;30,0,(N1014-MIN(MAX(O1024,0),N1014))+MIN(MAX(0,P1024-(N1014-MIN(MAX(O1024,0),N1014))),MAX(0,5*N1014-(O1024-MIN(MAX(O1024,0),N1014)))))</f>
        <v>43321.197382065933</v>
      </c>
      <c r="O1025" s="18">
        <f>IF($A1025&gt;30,O1024,(O1024-N1014+N1025)*(1+$C$7))</f>
        <v>225059.9944531385</v>
      </c>
      <c r="P1025" s="18">
        <f t="shared" si="118"/>
        <v>557813.15727969143</v>
      </c>
      <c r="Q1025" s="18">
        <f>IF($A1025&gt;30,0,(Q1014-MIN(MAX(R1024,0),Q1014))+MIN(MAX(0,S1024-(Q1014-MIN(MAX(R1024,0),Q1014))),MAX(0,5*Q1014-(R1024-MIN(MAX(R1024,0),Q1014)))))</f>
        <v>43321.200173863355</v>
      </c>
      <c r="R1025" s="18">
        <f>IF($A1025&gt;30,R1024,(R1024-Q1014+Q1025)*(1+$C$7))</f>
        <v>225060.00895693694</v>
      </c>
      <c r="S1025" s="18">
        <f t="shared" si="119"/>
        <v>557813.10914249322</v>
      </c>
    </row>
    <row r="1026" spans="1:19">
      <c r="A1026" s="10">
        <f>10</f>
        <v>10</v>
      </c>
      <c r="B1026" s="18">
        <f>IF($A1026&gt;30,0,(B1014-MIN(MAX(C1025,0),B1014))+MIN(MAX(0,D1025-(B1014-MIN(MAX(C1025,0),B1014))),MAX(0,5*B1014-(C1025-MIN(MAX(C1025,0),B1014)))))</f>
        <v>29055</v>
      </c>
      <c r="C1026" s="18">
        <f>IF($A1026&gt;30,C1025,(C1025-B1014+B1026)*(1+$C$7))</f>
        <v>150945</v>
      </c>
      <c r="D1026" s="18">
        <f t="shared" si="114"/>
        <v>797983.41766739811</v>
      </c>
      <c r="E1026" s="18">
        <f>IF($A1026&gt;30,0,(E1014-MIN(MAX(F1025,0),E1014))+MIN(MAX(0,G1025-(E1014-MIN(MAX(F1025,0),E1014))),MAX(0,5*E1014-(F1025-MIN(MAX(F1025,0),E1014)))))</f>
        <v>52330.67975952608</v>
      </c>
      <c r="F1026" s="18">
        <f>IF($A1026&gt;30,F1025,(F1025-E1014+E1026)*(1+$C$7))</f>
        <v>356927.74679201108</v>
      </c>
      <c r="G1026" s="18">
        <f t="shared" si="115"/>
        <v>0</v>
      </c>
      <c r="H1026" s="18">
        <f>IF($A1026&gt;30,0,(H1014-MIN(MAX(I1025,0),H1014))+MIN(MAX(0,J1025-(H1014-MIN(MAX(I1025,0),H1014))),MAX(0,5*H1014-(I1025-MIN(MAX(I1025,0),H1014)))))</f>
        <v>44340.769162720273</v>
      </c>
      <c r="I1026" s="18">
        <f>IF($A1026&gt;30,I1025,(I1025-H1014+H1026)*(1+$C$7))</f>
        <v>230356.81986807121</v>
      </c>
      <c r="J1026" s="18">
        <f t="shared" si="116"/>
        <v>510769.33298281307</v>
      </c>
      <c r="K1026" s="18">
        <f>IF($A1026&gt;30,0,(K1014-MIN(MAX(L1025,0),K1014))+MIN(MAX(0,M1025-(K1014-MIN(MAX(L1025,0),K1014))),MAX(0,5*K1014-(L1025-MIN(MAX(L1025,0),K1014)))))</f>
        <v>43321.066844578774</v>
      </c>
      <c r="L1026" s="18">
        <f>IF($A1026&gt;30,L1025,(L1025-K1014+K1026)*(1+$C$7))</f>
        <v>225059.31629168603</v>
      </c>
      <c r="M1026" s="18">
        <f t="shared" si="117"/>
        <v>529929.17144681641</v>
      </c>
      <c r="N1026" s="18">
        <f>IF($A1026&gt;30,0,(N1014-MIN(MAX(O1025,0),N1014))+MIN(MAX(0,P1025-(N1014-MIN(MAX(O1025,0),N1014))),MAX(0,5*N1014-(O1025-MIN(MAX(O1025,0),N1014)))))</f>
        <v>43321.197382065933</v>
      </c>
      <c r="O1026" s="18">
        <f>IF($A1026&gt;30,O1025,(O1025-N1014+N1026)*(1+$C$7))</f>
        <v>225059.9944531385</v>
      </c>
      <c r="P1026" s="18">
        <f t="shared" si="118"/>
        <v>529926.71869455429</v>
      </c>
      <c r="Q1026" s="18">
        <f>IF($A1026&gt;30,0,(Q1014-MIN(MAX(R1025,0),Q1014))+MIN(MAX(0,S1025-(Q1014-MIN(MAX(R1025,0),Q1014))),MAX(0,5*Q1014-(R1025-MIN(MAX(R1025,0),Q1014)))))</f>
        <v>43321.200173863355</v>
      </c>
      <c r="R1026" s="18">
        <f>IF($A1026&gt;30,R1025,(R1025-Q1014+Q1026)*(1+$C$7))</f>
        <v>225060.00895693694</v>
      </c>
      <c r="S1026" s="18">
        <f t="shared" si="119"/>
        <v>529926.66623768886</v>
      </c>
    </row>
    <row r="1027" spans="1:19">
      <c r="A1027" s="10">
        <f>11</f>
        <v>11</v>
      </c>
      <c r="B1027" s="18">
        <f>IF($A1027&gt;30,0,(B1014-MIN(MAX(C1026,0),B1014))+MIN(MAX(0,D1026-(B1014-MIN(MAX(C1026,0),B1014))),MAX(0,5*B1014-(C1026-MIN(MAX(C1026,0),B1014)))))</f>
        <v>29055</v>
      </c>
      <c r="C1027" s="18">
        <f>IF($A1027&gt;30,C1026,(C1026-B1014+B1027)*(1+$C$7))</f>
        <v>150945</v>
      </c>
      <c r="D1027" s="18">
        <f t="shared" si="114"/>
        <v>791996.27019742003</v>
      </c>
      <c r="E1027" s="18">
        <f>IF($A1027&gt;30,0,(E1014-MIN(MAX(F1026,0),E1014))+MIN(MAX(0,G1026-(E1014-MIN(MAX(F1026,0),E1014))),MAX(0,5*E1014-(F1026-MIN(MAX(F1026,0),E1014)))))</f>
        <v>0</v>
      </c>
      <c r="F1027" s="18">
        <f>IF($A1027&gt;30,F1026,(F1026-E1014+E1027)*(1+$C$7))</f>
        <v>283703.89159680076</v>
      </c>
      <c r="G1027" s="18">
        <f t="shared" si="115"/>
        <v>0</v>
      </c>
      <c r="H1027" s="18">
        <f>IF($A1027&gt;30,0,(H1014-MIN(MAX(I1026,0),H1014))+MIN(MAX(0,J1026-(H1014-MIN(MAX(I1026,0),H1014))),MAX(0,5*H1014-(I1026-MIN(MAX(I1026,0),H1014)))))</f>
        <v>44340.769162720273</v>
      </c>
      <c r="I1027" s="18">
        <f>IF($A1027&gt;30,I1026,(I1026-H1014+H1027)*(1+$C$7))</f>
        <v>230356.81986807121</v>
      </c>
      <c r="J1027" s="18">
        <f t="shared" si="116"/>
        <v>480421.42073469562</v>
      </c>
      <c r="K1027" s="18">
        <f>IF($A1027&gt;30,0,(K1014-MIN(MAX(L1026,0),K1014))+MIN(MAX(0,M1026-(K1014-MIN(MAX(L1026,0),K1014))),MAX(0,5*K1014-(L1026-MIN(MAX(L1026,0),K1014)))))</f>
        <v>43321.066844578774</v>
      </c>
      <c r="L1027" s="18">
        <f>IF($A1027&gt;30,L1026,(L1026-K1014+K1027)*(1+$C$7))</f>
        <v>225059.31629168603</v>
      </c>
      <c r="M1027" s="18">
        <f t="shared" si="117"/>
        <v>501206.34774030477</v>
      </c>
      <c r="N1027" s="18">
        <f>IF($A1027&gt;30,0,(N1014-MIN(MAX(O1026,0),N1014))+MIN(MAX(0,P1026-(N1014-MIN(MAX(O1026,0),N1014))),MAX(0,5*N1014-(O1026-MIN(MAX(O1026,0),N1014)))))</f>
        <v>43321.197382065933</v>
      </c>
      <c r="O1027" s="18">
        <f>IF($A1027&gt;30,O1026,(O1026-N1014+N1027)*(1+$C$7))</f>
        <v>225059.9944531385</v>
      </c>
      <c r="P1027" s="18">
        <f t="shared" si="118"/>
        <v>501203.686951863</v>
      </c>
      <c r="Q1027" s="18">
        <f>IF($A1027&gt;30,0,(Q1014-MIN(MAX(R1026,0),Q1014))+MIN(MAX(0,S1026-(Q1014-MIN(MAX(R1026,0),Q1014))),MAX(0,5*Q1014-(R1026-MIN(MAX(R1026,0),Q1014)))))</f>
        <v>43321.200173863355</v>
      </c>
      <c r="R1027" s="18">
        <f>IF($A1027&gt;30,R1026,(R1026-Q1014+Q1027)*(1+$C$7))</f>
        <v>225060.00895693694</v>
      </c>
      <c r="S1027" s="18">
        <f t="shared" si="119"/>
        <v>501203.63004574028</v>
      </c>
    </row>
    <row r="1028" spans="1:19">
      <c r="A1028" s="10">
        <f>12</f>
        <v>12</v>
      </c>
      <c r="B1028" s="18">
        <f>IF($A1028&gt;30,0,(B1014-MIN(MAX(C1027,0),B1014))+MIN(MAX(0,D1027-(B1014-MIN(MAX(C1027,0),B1014))),MAX(0,5*B1014-(C1027-MIN(MAX(C1027,0),B1014)))))</f>
        <v>29055</v>
      </c>
      <c r="C1028" s="18">
        <f>IF($A1028&gt;30,C1027,(C1027-B1014+B1028)*(1+$C$7))</f>
        <v>150945</v>
      </c>
      <c r="D1028" s="18">
        <f t="shared" si="114"/>
        <v>785829.50830334262</v>
      </c>
      <c r="E1028" s="18">
        <f>IF($A1028&gt;30,0,(E1014-MIN(MAX(F1027,0),E1014))+MIN(MAX(0,G1027-(E1014-MIN(MAX(F1027,0),E1014))),MAX(0,5*E1014-(F1027-MIN(MAX(F1027,0),E1014)))))</f>
        <v>0</v>
      </c>
      <c r="F1028" s="18">
        <f>IF($A1028&gt;30,F1027,(F1027-E1014+E1028)*(1+$C$7))</f>
        <v>210018.72611386061</v>
      </c>
      <c r="G1028" s="18">
        <f t="shared" si="115"/>
        <v>0</v>
      </c>
      <c r="H1028" s="18">
        <f>IF($A1028&gt;30,0,(H1014-MIN(MAX(I1027,0),H1014))+MIN(MAX(0,J1027-(H1014-MIN(MAX(I1027,0),H1014))),MAX(0,5*H1014-(I1027-MIN(MAX(I1027,0),H1014)))))</f>
        <v>44340.769162720273</v>
      </c>
      <c r="I1028" s="18">
        <f>IF($A1028&gt;30,I1027,(I1027-H1014+H1028)*(1+$C$7))</f>
        <v>230356.81986807121</v>
      </c>
      <c r="J1028" s="18">
        <f t="shared" si="116"/>
        <v>449163.07111913461</v>
      </c>
      <c r="K1028" s="18">
        <f>IF($A1028&gt;30,0,(K1014-MIN(MAX(L1027,0),K1014))+MIN(MAX(0,M1027-(K1014-MIN(MAX(L1027,0),K1014))),MAX(0,5*K1014-(L1027-MIN(MAX(L1027,0),K1014)))))</f>
        <v>43321.066844578774</v>
      </c>
      <c r="L1028" s="18">
        <f>IF($A1028&gt;30,L1027,(L1027-K1014+K1028)*(1+$C$7))</f>
        <v>225059.31629168603</v>
      </c>
      <c r="M1028" s="18">
        <f t="shared" si="117"/>
        <v>471621.83932259778</v>
      </c>
      <c r="N1028" s="18">
        <f>IF($A1028&gt;30,0,(N1014-MIN(MAX(O1027,0),N1014))+MIN(MAX(0,P1027-(N1014-MIN(MAX(O1027,0),N1014))),MAX(0,5*N1014-(O1027-MIN(MAX(O1027,0),N1014)))))</f>
        <v>43321.197382065933</v>
      </c>
      <c r="O1028" s="18">
        <f>IF($A1028&gt;30,O1027,(O1027-N1014+N1028)*(1+$C$7))</f>
        <v>225059.9944531385</v>
      </c>
      <c r="P1028" s="18">
        <f t="shared" si="118"/>
        <v>471618.96425689099</v>
      </c>
      <c r="Q1028" s="18">
        <f>IF($A1028&gt;30,0,(Q1014-MIN(MAX(R1027,0),Q1014))+MIN(MAX(0,S1027-(Q1014-MIN(MAX(R1027,0),Q1014))),MAX(0,5*Q1014-(R1027-MIN(MAX(R1027,0),Q1014)))))</f>
        <v>43321.200173863355</v>
      </c>
      <c r="R1028" s="18">
        <f>IF($A1028&gt;30,R1027,(R1027-Q1014+Q1028)*(1+$C$7))</f>
        <v>225060.00895693694</v>
      </c>
      <c r="S1028" s="18">
        <f t="shared" si="119"/>
        <v>471618.90276803327</v>
      </c>
    </row>
    <row r="1029" spans="1:19">
      <c r="A1029" s="10">
        <f>13</f>
        <v>13</v>
      </c>
      <c r="B1029" s="18">
        <f>IF($A1029&gt;30,0,(B1014-MIN(MAX(C1028,0),B1014))+MIN(MAX(0,D1028-(B1014-MIN(MAX(C1028,0),B1014))),MAX(0,5*B1014-(C1028-MIN(MAX(C1028,0),B1014)))))</f>
        <v>29055</v>
      </c>
      <c r="C1029" s="18">
        <f>IF($A1029&gt;30,C1028,(C1028-B1014+B1029)*(1+$C$7))</f>
        <v>150945</v>
      </c>
      <c r="D1029" s="18">
        <f t="shared" si="114"/>
        <v>779477.74355244287</v>
      </c>
      <c r="E1029" s="18">
        <f>IF($A1029&gt;30,0,(E1014-MIN(MAX(F1028,0),E1014))+MIN(MAX(0,G1028-(E1014-MIN(MAX(F1028,0),E1014))),MAX(0,5*E1014-(F1028-MIN(MAX(F1028,0),E1014)))))</f>
        <v>0</v>
      </c>
      <c r="F1029" s="18">
        <f>IF($A1029&gt;30,F1028,(F1028-E1014+E1029)*(1+$C$7))</f>
        <v>135869.34408837793</v>
      </c>
      <c r="G1029" s="18">
        <f t="shared" si="115"/>
        <v>0</v>
      </c>
      <c r="H1029" s="18">
        <f>IF($A1029&gt;30,0,(H1014-MIN(MAX(I1028,0),H1014))+MIN(MAX(0,J1028-(H1014-MIN(MAX(I1028,0),H1014))),MAX(0,5*H1014-(I1028-MIN(MAX(I1028,0),H1014)))))</f>
        <v>44340.769162720273</v>
      </c>
      <c r="I1029" s="18">
        <f>IF($A1029&gt;30,I1028,(I1028-H1014+H1029)*(1+$C$7))</f>
        <v>230356.81986807121</v>
      </c>
      <c r="J1029" s="18">
        <f t="shared" si="116"/>
        <v>416966.97101510683</v>
      </c>
      <c r="K1029" s="18">
        <f>IF($A1029&gt;30,0,(K1014-MIN(MAX(L1028,0),K1014))+MIN(MAX(0,M1028-(K1014-MIN(MAX(L1028,0),K1014))),MAX(0,5*K1014-(L1028-MIN(MAX(L1028,0),K1014)))))</f>
        <v>43321.066844578774</v>
      </c>
      <c r="L1029" s="18">
        <f>IF($A1029&gt;30,L1028,(L1028-K1014+K1029)*(1+$C$7))</f>
        <v>225059.31629168603</v>
      </c>
      <c r="M1029" s="18">
        <f t="shared" si="117"/>
        <v>441149.79565235961</v>
      </c>
      <c r="N1029" s="18">
        <f>IF($A1029&gt;30,0,(N1014-MIN(MAX(O1028,0),N1014))+MIN(MAX(0,P1028-(N1014-MIN(MAX(O1028,0),N1014))),MAX(0,5*N1014-(O1028-MIN(MAX(O1028,0),N1014)))))</f>
        <v>43321.197382065933</v>
      </c>
      <c r="O1029" s="18">
        <f>IF($A1029&gt;30,O1028,(O1028-N1014+N1029)*(1+$C$7))</f>
        <v>225059.9944531385</v>
      </c>
      <c r="P1029" s="18">
        <f t="shared" si="118"/>
        <v>441146.69988106983</v>
      </c>
      <c r="Q1029" s="18">
        <f>IF($A1029&gt;30,0,(Q1014-MIN(MAX(R1028,0),Q1014))+MIN(MAX(0,S1028-(Q1014-MIN(MAX(R1028,0),Q1014))),MAX(0,5*Q1014-(R1028-MIN(MAX(R1028,0),Q1014)))))</f>
        <v>43321.200173863355</v>
      </c>
      <c r="R1029" s="18">
        <f>IF($A1029&gt;30,R1028,(R1028-Q1014+Q1029)*(1+$C$7))</f>
        <v>225060.00895693694</v>
      </c>
      <c r="S1029" s="18">
        <f t="shared" si="119"/>
        <v>441146.63367199496</v>
      </c>
    </row>
    <row r="1030" spans="1:19">
      <c r="A1030" s="10">
        <f>14</f>
        <v>14</v>
      </c>
      <c r="B1030" s="18">
        <f>IF($A1030&gt;30,0,(B1014-MIN(MAX(C1029,0),B1014))+MIN(MAX(0,D1029-(B1014-MIN(MAX(C1029,0),B1014))),MAX(0,5*B1014-(C1029-MIN(MAX(C1029,0),B1014)))))</f>
        <v>29055</v>
      </c>
      <c r="C1030" s="18">
        <f>IF($A1030&gt;30,C1029,(C1029-B1014+B1030)*(1+$C$7))</f>
        <v>150945</v>
      </c>
      <c r="D1030" s="18">
        <f t="shared" si="114"/>
        <v>772935.42585901613</v>
      </c>
      <c r="E1030" s="18">
        <f>IF($A1030&gt;30,0,(E1014-MIN(MAX(F1029,0),E1014))+MIN(MAX(0,G1029-(E1014-MIN(MAX(F1029,0),E1014))),MAX(0,5*E1014-(F1029-MIN(MAX(F1029,0),E1014)))))</f>
        <v>0</v>
      </c>
      <c r="F1030" s="18">
        <f>IF($A1030&gt;30,F1029,(F1029-E1014+E1030)*(1+$C$7))</f>
        <v>61252.820956134703</v>
      </c>
      <c r="G1030" s="18">
        <f t="shared" si="115"/>
        <v>0</v>
      </c>
      <c r="H1030" s="18">
        <f>IF($A1030&gt;30,0,(H1014-MIN(MAX(I1029,0),H1014))+MIN(MAX(0,J1029-(H1014-MIN(MAX(I1029,0),H1014))),MAX(0,5*H1014-(I1029-MIN(MAX(I1029,0),H1014)))))</f>
        <v>44340.769162720273</v>
      </c>
      <c r="I1030" s="18">
        <f>IF($A1030&gt;30,I1029,(I1029-H1014+H1030)*(1+$C$7))</f>
        <v>230356.81986807121</v>
      </c>
      <c r="J1030" s="18">
        <f t="shared" si="116"/>
        <v>383804.98790795822</v>
      </c>
      <c r="K1030" s="18">
        <f>IF($A1030&gt;30,0,(K1014-MIN(MAX(L1029,0),K1014))+MIN(MAX(0,M1029-(K1014-MIN(MAX(L1029,0),K1014))),MAX(0,5*K1014-(L1029-MIN(MAX(L1029,0),K1014)))))</f>
        <v>43321.066844578774</v>
      </c>
      <c r="L1030" s="18">
        <f>IF($A1030&gt;30,L1029,(L1029-K1014+K1030)*(1+$C$7))</f>
        <v>225059.31629168603</v>
      </c>
      <c r="M1030" s="18">
        <f t="shared" si="117"/>
        <v>409763.59067201428</v>
      </c>
      <c r="N1030" s="18">
        <f>IF($A1030&gt;30,0,(N1014-MIN(MAX(O1029,0),N1014))+MIN(MAX(0,P1029-(N1014-MIN(MAX(O1029,0),N1014))),MAX(0,5*N1014-(O1029-MIN(MAX(O1029,0),N1014)))))</f>
        <v>43321.197382065933</v>
      </c>
      <c r="O1030" s="18">
        <f>IF($A1030&gt;30,O1029,(O1029-N1014+N1030)*(1+$C$7))</f>
        <v>225059.9944531385</v>
      </c>
      <c r="P1030" s="18">
        <f t="shared" si="118"/>
        <v>409760.26757397404</v>
      </c>
      <c r="Q1030" s="18">
        <f>IF($A1030&gt;30,0,(Q1014-MIN(MAX(R1029,0),Q1014))+MIN(MAX(0,S1029-(Q1014-MIN(MAX(R1029,0),Q1014))),MAX(0,5*Q1014-(R1029-MIN(MAX(R1029,0),Q1014)))))</f>
        <v>43321.200173863355</v>
      </c>
      <c r="R1030" s="18">
        <f>IF($A1030&gt;30,R1029,(R1029-Q1014+Q1030)*(1+$C$7))</f>
        <v>225060.00895693694</v>
      </c>
      <c r="S1030" s="18">
        <f t="shared" si="119"/>
        <v>409760.19650307554</v>
      </c>
    </row>
    <row r="1031" spans="1:19">
      <c r="A1031" s="10">
        <f>15</f>
        <v>15</v>
      </c>
      <c r="B1031" s="18">
        <f>IF($A1031&gt;30,0,(B1014-MIN(MAX(C1030,0),B1014))+MIN(MAX(0,D1030-(B1014-MIN(MAX(C1030,0),B1014))),MAX(0,5*B1014-(C1030-MIN(MAX(C1030,0),B1014)))))</f>
        <v>29055</v>
      </c>
      <c r="C1031" s="18">
        <f>IF($A1031&gt;30,C1030,(C1030-B1014+B1031)*(1+$C$7))</f>
        <v>150945</v>
      </c>
      <c r="D1031" s="18">
        <f t="shared" si="114"/>
        <v>766196.83863478666</v>
      </c>
      <c r="E1031" s="18">
        <f>IF($A1031&gt;30,0,(E1014-MIN(MAX(F1030,0),E1014))+MIN(MAX(0,G1030-(E1014-MIN(MAX(F1030,0),E1014))),MAX(0,5*E1014-(F1030-MIN(MAX(F1030,0),E1014)))))</f>
        <v>13747.179043865297</v>
      </c>
      <c r="F1031" s="18">
        <f>IF($A1031&gt;30,F1030,(F1030-E1014+E1031)*(1+$C$7))</f>
        <v>0</v>
      </c>
      <c r="G1031" s="18">
        <f t="shared" si="115"/>
        <v>-14159.594415181256</v>
      </c>
      <c r="H1031" s="18">
        <f>IF($A1031&gt;30,0,(H1014-MIN(MAX(I1030,0),H1014))+MIN(MAX(0,J1030-(H1014-MIN(MAX(I1030,0),H1014))),MAX(0,5*H1014-(I1030-MIN(MAX(I1030,0),H1014)))))</f>
        <v>44340.769162720273</v>
      </c>
      <c r="I1031" s="18">
        <f>IF($A1031&gt;30,I1030,(I1030-H1014+H1031)*(1+$C$7))</f>
        <v>230356.81986807121</v>
      </c>
      <c r="J1031" s="18">
        <f t="shared" si="116"/>
        <v>349648.14530759508</v>
      </c>
      <c r="K1031" s="18">
        <f>IF($A1031&gt;30,0,(K1014-MIN(MAX(L1030,0),K1014))+MIN(MAX(0,M1030-(K1014-MIN(MAX(L1030,0),K1014))),MAX(0,5*K1014-(L1030-MIN(MAX(L1030,0),K1014)))))</f>
        <v>43321.066844578774</v>
      </c>
      <c r="L1031" s="18">
        <f>IF($A1031&gt;30,L1030,(L1030-K1014+K1031)*(1+$C$7))</f>
        <v>225059.31629168603</v>
      </c>
      <c r="M1031" s="18">
        <f t="shared" si="117"/>
        <v>377435.79954225861</v>
      </c>
      <c r="N1031" s="18">
        <f>IF($A1031&gt;30,0,(N1014-MIN(MAX(O1030,0),N1014))+MIN(MAX(0,P1030-(N1014-MIN(MAX(O1030,0),N1014))),MAX(0,5*N1014-(O1030-MIN(MAX(O1030,0),N1014)))))</f>
        <v>43321.197382065933</v>
      </c>
      <c r="O1031" s="18">
        <f>IF($A1031&gt;30,O1030,(O1030-N1014+N1031)*(1+$C$7))</f>
        <v>225059.9944531385</v>
      </c>
      <c r="P1031" s="18">
        <f t="shared" si="118"/>
        <v>377432.24229766533</v>
      </c>
      <c r="Q1031" s="18">
        <f>IF($A1031&gt;30,0,(Q1014-MIN(MAX(R1030,0),Q1014))+MIN(MAX(0,S1030-(Q1014-MIN(MAX(R1030,0),Q1014))),MAX(0,5*Q1014-(R1030-MIN(MAX(R1030,0),Q1014)))))</f>
        <v>43321.200173863355</v>
      </c>
      <c r="R1031" s="18">
        <f>IF($A1031&gt;30,R1030,(R1030-Q1014+Q1031)*(1+$C$7))</f>
        <v>225060.00895693694</v>
      </c>
      <c r="S1031" s="18">
        <f t="shared" si="119"/>
        <v>377432.1662190886</v>
      </c>
    </row>
    <row r="1032" spans="1:19">
      <c r="A1032" s="10">
        <f>16</f>
        <v>16</v>
      </c>
      <c r="B1032" s="18">
        <f>IF($A1032&gt;30,0,(B1014-MIN(MAX(C1031,0),B1014))+MIN(MAX(0,D1031-(B1014-MIN(MAX(C1031,0),B1014))),MAX(0,5*B1014-(C1031-MIN(MAX(C1031,0),B1014)))))</f>
        <v>29055</v>
      </c>
      <c r="C1032" s="18">
        <f>IF($A1032&gt;30,C1031,(C1031-B1014+B1032)*(1+$C$7))</f>
        <v>150945</v>
      </c>
      <c r="D1032" s="18">
        <f t="shared" si="114"/>
        <v>759256.09379383025</v>
      </c>
      <c r="E1032" s="18">
        <f>IF($A1032&gt;30,0,(E1014-MIN(MAX(F1031,0),E1014))+MIN(MAX(0,G1031-(E1014-MIN(MAX(F1031,0),E1014))),MAX(0,5*E1014-(F1031-MIN(MAX(F1031,0),E1014)))))</f>
        <v>75000</v>
      </c>
      <c r="F1032" s="18">
        <f>IF($A1032&gt;30,F1031,(F1031-E1014+E1032)*(1+$C$7))</f>
        <v>0</v>
      </c>
      <c r="G1032" s="18">
        <f t="shared" si="115"/>
        <v>-91834.382247636691</v>
      </c>
      <c r="H1032" s="18">
        <f>IF($A1032&gt;30,0,(H1014-MIN(MAX(I1031,0),H1014))+MIN(MAX(0,J1031-(H1014-MIN(MAX(I1031,0),H1014))),MAX(0,5*H1014-(I1031-MIN(MAX(I1031,0),H1014)))))</f>
        <v>44340.769162720273</v>
      </c>
      <c r="I1032" s="18">
        <f>IF($A1032&gt;30,I1031,(I1031-H1014+H1032)*(1+$C$7))</f>
        <v>230356.81986807121</v>
      </c>
      <c r="J1032" s="18">
        <f t="shared" si="116"/>
        <v>314466.59742922109</v>
      </c>
      <c r="K1032" s="18">
        <f>IF($A1032&gt;30,0,(K1014-MIN(MAX(L1031,0),K1014))+MIN(MAX(0,M1031-(K1014-MIN(MAX(L1031,0),K1014))),MAX(0,5*K1014-(L1031-MIN(MAX(L1031,0),K1014)))))</f>
        <v>43321.066844578774</v>
      </c>
      <c r="L1032" s="18">
        <f>IF($A1032&gt;30,L1031,(L1031-K1014+K1032)*(1+$C$7))</f>
        <v>225059.31629168603</v>
      </c>
      <c r="M1032" s="18">
        <f t="shared" si="117"/>
        <v>344138.17467861023</v>
      </c>
      <c r="N1032" s="18">
        <f>IF($A1032&gt;30,0,(N1014-MIN(MAX(O1031,0),N1014))+MIN(MAX(0,P1031-(N1014-MIN(MAX(O1031,0),N1014))),MAX(0,5*N1014-(O1031-MIN(MAX(O1031,0),N1014)))))</f>
        <v>43321.197382065933</v>
      </c>
      <c r="O1032" s="18">
        <f>IF($A1032&gt;30,O1031,(O1031-N1014+N1032)*(1+$C$7))</f>
        <v>225059.9944531385</v>
      </c>
      <c r="P1032" s="18">
        <f t="shared" si="118"/>
        <v>344134.37626306742</v>
      </c>
      <c r="Q1032" s="18">
        <f>IF($A1032&gt;30,0,(Q1014-MIN(MAX(R1031,0),Q1014))+MIN(MAX(0,S1031-(Q1014-MIN(MAX(R1031,0),Q1014))),MAX(0,5*Q1014-(R1031-MIN(MAX(R1031,0),Q1014)))))</f>
        <v>43321.200173863355</v>
      </c>
      <c r="R1032" s="18">
        <f>IF($A1032&gt;30,R1031,(R1031-Q1014+Q1032)*(1+$C$7))</f>
        <v>225060.00895693694</v>
      </c>
      <c r="S1032" s="18">
        <f t="shared" si="119"/>
        <v>344134.29502658203</v>
      </c>
    </row>
    <row r="1033" spans="1:19">
      <c r="A1033" s="10">
        <f>17</f>
        <v>17</v>
      </c>
      <c r="B1033" s="18">
        <f>IF($A1033&gt;30,0,(B1014-MIN(MAX(C1032,0),B1014))+MIN(MAX(0,D1032-(B1014-MIN(MAX(C1032,0),B1014))),MAX(0,5*B1014-(C1032-MIN(MAX(C1032,0),B1014)))))</f>
        <v>29055</v>
      </c>
      <c r="C1033" s="18">
        <f>IF($A1033&gt;30,C1032,(C1032-B1014+B1033)*(1+$C$7))</f>
        <v>150945</v>
      </c>
      <c r="D1033" s="18">
        <f t="shared" si="114"/>
        <v>752107.12660764519</v>
      </c>
      <c r="E1033" s="18">
        <f>IF($A1033&gt;30,0,(E1014-MIN(MAX(F1032,0),E1014))+MIN(MAX(0,G1032-(E1014-MIN(MAX(F1032,0),E1014))),MAX(0,5*E1014-(F1032-MIN(MAX(F1032,0),E1014)))))</f>
        <v>75000</v>
      </c>
      <c r="F1033" s="18">
        <f>IF($A1033&gt;30,F1032,(F1032-E1014+E1033)*(1+$C$7))</f>
        <v>0</v>
      </c>
      <c r="G1033" s="18">
        <f t="shared" si="115"/>
        <v>-171839.41371506578</v>
      </c>
      <c r="H1033" s="18">
        <f>IF($A1033&gt;30,0,(H1014-MIN(MAX(I1032,0),H1014))+MIN(MAX(0,J1032-(H1014-MIN(MAX(I1032,0),H1014))),MAX(0,5*H1014-(I1032-MIN(MAX(I1032,0),H1014)))))</f>
        <v>44340.769162720273</v>
      </c>
      <c r="I1033" s="18">
        <f>IF($A1033&gt;30,I1032,(I1032-H1014+H1033)*(1+$C$7))</f>
        <v>230356.81986807121</v>
      </c>
      <c r="J1033" s="18">
        <f t="shared" si="116"/>
        <v>278229.60311449587</v>
      </c>
      <c r="K1033" s="18">
        <f>IF($A1033&gt;30,0,(K1014-MIN(MAX(L1032,0),K1014))+MIN(MAX(0,M1032-(K1014-MIN(MAX(L1032,0),K1014))),MAX(0,5*K1014-(L1032-MIN(MAX(L1032,0),K1014)))))</f>
        <v>43321.066844578774</v>
      </c>
      <c r="L1033" s="18">
        <f>IF($A1033&gt;30,L1032,(L1032-K1014+K1033)*(1+$C$7))</f>
        <v>225059.31629168603</v>
      </c>
      <c r="M1033" s="18">
        <f t="shared" si="117"/>
        <v>309841.62106905243</v>
      </c>
      <c r="N1033" s="18">
        <f>IF($A1033&gt;30,0,(N1014-MIN(MAX(O1032,0),N1014))+MIN(MAX(0,P1032-(N1014-MIN(MAX(O1032,0),N1014))),MAX(0,5*N1014-(O1032-MIN(MAX(O1032,0),N1014)))))</f>
        <v>43321.197382065933</v>
      </c>
      <c r="O1033" s="18">
        <f>IF($A1033&gt;30,O1032,(O1032-N1014+N1033)*(1+$C$7))</f>
        <v>225059.9944531385</v>
      </c>
      <c r="P1033" s="18">
        <f t="shared" si="118"/>
        <v>309837.57424743153</v>
      </c>
      <c r="Q1033" s="18">
        <f>IF($A1033&gt;30,0,(Q1014-MIN(MAX(R1032,0),Q1014))+MIN(MAX(0,S1032-(Q1014-MIN(MAX(R1032,0),Q1014))),MAX(0,5*Q1014-(R1032-MIN(MAX(R1032,0),Q1014)))))</f>
        <v>43321.200173863355</v>
      </c>
      <c r="R1033" s="18">
        <f>IF($A1033&gt;30,R1032,(R1032-Q1014+Q1033)*(1+$C$7))</f>
        <v>225060.00895693694</v>
      </c>
      <c r="S1033" s="18">
        <f t="shared" si="119"/>
        <v>309837.48769830022</v>
      </c>
    </row>
    <row r="1034" spans="1:19">
      <c r="A1034" s="10">
        <f>18</f>
        <v>18</v>
      </c>
      <c r="B1034" s="18">
        <f>IF($A1034&gt;30,0,(B1014-MIN(MAX(C1033,0),B1014))+MIN(MAX(0,D1033-(B1014-MIN(MAX(C1033,0),B1014))),MAX(0,5*B1014-(C1033-MIN(MAX(C1033,0),B1014)))))</f>
        <v>29055</v>
      </c>
      <c r="C1034" s="18">
        <f>IF($A1034&gt;30,C1033,(C1033-B1014+B1034)*(1+$C$7))</f>
        <v>150945</v>
      </c>
      <c r="D1034" s="18">
        <f t="shared" si="114"/>
        <v>744743.69040587451</v>
      </c>
      <c r="E1034" s="18">
        <f>IF($A1034&gt;30,0,(E1014-MIN(MAX(F1033,0),E1014))+MIN(MAX(0,G1033-(E1014-MIN(MAX(F1033,0),E1014))),MAX(0,5*E1014-(F1033-MIN(MAX(F1033,0),E1014)))))</f>
        <v>75000</v>
      </c>
      <c r="F1034" s="18">
        <f>IF($A1034&gt;30,F1033,(F1033-E1014+E1034)*(1+$C$7))</f>
        <v>0</v>
      </c>
      <c r="G1034" s="18">
        <f t="shared" si="115"/>
        <v>-254244.59612651775</v>
      </c>
      <c r="H1034" s="18">
        <f>IF($A1034&gt;30,0,(H1014-MIN(MAX(I1033,0),H1014))+MIN(MAX(0,J1033-(H1014-MIN(MAX(I1033,0),H1014))),MAX(0,5*H1014-(I1033-MIN(MAX(I1033,0),H1014)))))</f>
        <v>44340.769162720273</v>
      </c>
      <c r="I1034" s="18">
        <f>IF($A1034&gt;30,I1033,(I1033-H1014+H1034)*(1+$C$7))</f>
        <v>230356.81986807121</v>
      </c>
      <c r="J1034" s="18">
        <f t="shared" si="116"/>
        <v>240905.49897032886</v>
      </c>
      <c r="K1034" s="18">
        <f>IF($A1034&gt;30,0,(K1014-MIN(MAX(L1033,0),K1014))+MIN(MAX(0,M1033-(K1014-MIN(MAX(L1033,0),K1014))),MAX(0,5*K1014-(L1033-MIN(MAX(L1033,0),K1014)))))</f>
        <v>43321.066844578774</v>
      </c>
      <c r="L1034" s="18">
        <f>IF($A1034&gt;30,L1033,(L1033-K1014+K1034)*(1+$C$7))</f>
        <v>225059.31629168603</v>
      </c>
      <c r="M1034" s="18">
        <f t="shared" si="117"/>
        <v>274516.17085120786</v>
      </c>
      <c r="N1034" s="18">
        <f>IF($A1034&gt;30,0,(N1014-MIN(MAX(O1033,0),N1014))+MIN(MAX(0,P1033-(N1014-MIN(MAX(O1033,0),N1014))),MAX(0,5*N1014-(O1033-MIN(MAX(O1033,0),N1014)))))</f>
        <v>43321.197382065933</v>
      </c>
      <c r="O1034" s="18">
        <f>IF($A1034&gt;30,O1033,(O1033-N1014+N1034)*(1+$C$7))</f>
        <v>225059.9944531385</v>
      </c>
      <c r="P1034" s="18">
        <f t="shared" si="118"/>
        <v>274511.86817132658</v>
      </c>
      <c r="Q1034" s="18">
        <f>IF($A1034&gt;30,0,(Q1014-MIN(MAX(R1033,0),Q1014))+MIN(MAX(0,S1033-(Q1014-MIN(MAX(R1033,0),Q1014))),MAX(0,5*Q1014-(R1033-MIN(MAX(R1033,0),Q1014)))))</f>
        <v>43321.200173863355</v>
      </c>
      <c r="R1034" s="18">
        <f>IF($A1034&gt;30,R1033,(R1033-Q1014+Q1034)*(1+$C$7))</f>
        <v>225060.00895693694</v>
      </c>
      <c r="S1034" s="18">
        <f t="shared" si="119"/>
        <v>274511.77615016996</v>
      </c>
    </row>
    <row r="1035" spans="1:19">
      <c r="A1035" s="10">
        <f>19</f>
        <v>19</v>
      </c>
      <c r="B1035" s="18">
        <f>IF($A1035&gt;30,0,(B1014-MIN(MAX(C1034,0),B1014))+MIN(MAX(0,D1034-(B1014-MIN(MAX(C1034,0),B1014))),MAX(0,5*B1014-(C1034-MIN(MAX(C1034,0),B1014)))))</f>
        <v>29055</v>
      </c>
      <c r="C1035" s="18">
        <f>IF($A1035&gt;30,C1034,(C1034-B1014+B1035)*(1+$C$7))</f>
        <v>150945</v>
      </c>
      <c r="D1035" s="18">
        <f t="shared" si="114"/>
        <v>737159.35111805075</v>
      </c>
      <c r="E1035" s="18">
        <f>IF($A1035&gt;30,0,(E1014-MIN(MAX(F1034,0),E1014))+MIN(MAX(0,G1034-(E1014-MIN(MAX(F1034,0),E1014))),MAX(0,5*E1014-(F1034-MIN(MAX(F1034,0),E1014)))))</f>
        <v>75000</v>
      </c>
      <c r="F1035" s="18">
        <f>IF($A1035&gt;30,F1034,(F1034-E1014+E1035)*(1+$C$7))</f>
        <v>0</v>
      </c>
      <c r="G1035" s="18">
        <f t="shared" si="115"/>
        <v>-339121.9340103133</v>
      </c>
      <c r="H1035" s="18">
        <f>IF($A1035&gt;30,0,(H1014-MIN(MAX(I1034,0),H1014))+MIN(MAX(0,J1034-(H1014-MIN(MAX(I1034,0),H1014))),MAX(0,5*H1014-(I1034-MIN(MAX(I1034,0),H1014)))))</f>
        <v>44340.769162720273</v>
      </c>
      <c r="I1035" s="18">
        <f>IF($A1035&gt;30,I1034,(I1034-H1014+H1035)*(1+$C$7))</f>
        <v>230356.81986807121</v>
      </c>
      <c r="J1035" s="18">
        <f t="shared" si="116"/>
        <v>202461.67170183684</v>
      </c>
      <c r="K1035" s="18">
        <f>IF($A1035&gt;30,0,(K1014-MIN(MAX(L1034,0),K1014))+MIN(MAX(0,M1034-(K1014-MIN(MAX(L1034,0),K1014))),MAX(0,5*K1014-(L1034-MIN(MAX(L1034,0),K1014)))))</f>
        <v>43321.066844578774</v>
      </c>
      <c r="L1035" s="18">
        <f>IF($A1035&gt;30,L1034,(L1034-K1014+K1035)*(1+$C$7))</f>
        <v>225059.31629168603</v>
      </c>
      <c r="M1035" s="18">
        <f t="shared" si="117"/>
        <v>238130.95712682797</v>
      </c>
      <c r="N1035" s="18">
        <f>IF($A1035&gt;30,0,(N1014-MIN(MAX(O1034,0),N1014))+MIN(MAX(0,P1034-(N1014-MIN(MAX(O1034,0),N1014))),MAX(0,5*N1014-(O1034-MIN(MAX(O1034,0),N1014)))))</f>
        <v>43321.197382065933</v>
      </c>
      <c r="O1035" s="18">
        <f>IF($A1035&gt;30,O1034,(O1034-N1014+N1035)*(1+$C$7))</f>
        <v>225059.9944531385</v>
      </c>
      <c r="P1035" s="18">
        <f t="shared" si="118"/>
        <v>238126.39091293848</v>
      </c>
      <c r="Q1035" s="18">
        <f>IF($A1035&gt;30,0,(Q1014-MIN(MAX(R1034,0),Q1014))+MIN(MAX(0,S1034-(Q1014-MIN(MAX(R1034,0),Q1014))),MAX(0,5*Q1014-(R1034-MIN(MAX(R1034,0),Q1014)))))</f>
        <v>43321.200173863355</v>
      </c>
      <c r="R1035" s="18">
        <f>IF($A1035&gt;30,R1034,(R1034-Q1014+Q1035)*(1+$C$7))</f>
        <v>225060.00895693694</v>
      </c>
      <c r="S1035" s="18">
        <f t="shared" si="119"/>
        <v>238126.29325559581</v>
      </c>
    </row>
    <row r="1036" spans="1:19">
      <c r="A1036" s="10">
        <f>20</f>
        <v>20</v>
      </c>
      <c r="B1036" s="18">
        <f>IF($A1036&gt;30,0,(B1014-MIN(MAX(C1035,0),B1014))+MIN(MAX(0,D1035-(B1014-MIN(MAX(C1035,0),B1014))),MAX(0,5*B1014-(C1035-MIN(MAX(C1035,0),B1014)))))</f>
        <v>29055</v>
      </c>
      <c r="C1036" s="18">
        <f>IF($A1036&gt;30,C1035,(C1035-B1014+B1036)*(1+$C$7))</f>
        <v>150945</v>
      </c>
      <c r="D1036" s="18">
        <f t="shared" si="114"/>
        <v>729347.4816515923</v>
      </c>
      <c r="E1036" s="18">
        <f>IF($A1036&gt;30,0,(E1014-MIN(MAX(F1035,0),E1014))+MIN(MAX(0,G1035-(E1014-MIN(MAX(F1035,0),E1014))),MAX(0,5*E1014-(F1035-MIN(MAX(F1035,0),E1014)))))</f>
        <v>75000</v>
      </c>
      <c r="F1036" s="18">
        <f>IF($A1036&gt;30,F1035,(F1035-E1014+E1036)*(1+$C$7))</f>
        <v>0</v>
      </c>
      <c r="G1036" s="18">
        <f t="shared" si="115"/>
        <v>-426545.59203062271</v>
      </c>
      <c r="H1036" s="18">
        <f>IF($A1036&gt;30,0,(H1014-MIN(MAX(I1035,0),H1014))+MIN(MAX(0,J1035-(H1014-MIN(MAX(I1035,0),H1014))),MAX(0,5*H1014-(I1035-MIN(MAX(I1035,0),H1014)))))</f>
        <v>44340.769162720273</v>
      </c>
      <c r="I1036" s="18">
        <f>IF($A1036&gt;30,I1035,(I1035-H1014+H1036)*(1+$C$7))</f>
        <v>230356.81986807121</v>
      </c>
      <c r="J1036" s="18">
        <f t="shared" si="116"/>
        <v>162864.52961529006</v>
      </c>
      <c r="K1036" s="18">
        <f>IF($A1036&gt;30,0,(K1014-MIN(MAX(L1035,0),K1014))+MIN(MAX(0,M1035-(K1014-MIN(MAX(L1035,0),K1014))),MAX(0,5*K1014-(L1035-MIN(MAX(L1035,0),K1014)))))</f>
        <v>43321.066844578774</v>
      </c>
      <c r="L1036" s="18">
        <f>IF($A1036&gt;30,L1035,(L1035-K1014+K1036)*(1+$C$7))</f>
        <v>225059.31629168603</v>
      </c>
      <c r="M1036" s="18">
        <f t="shared" si="117"/>
        <v>200654.18699071667</v>
      </c>
      <c r="N1036" s="18">
        <f>IF($A1036&gt;30,0,(N1014-MIN(MAX(O1035,0),N1014))+MIN(MAX(0,P1035-(N1014-MIN(MAX(O1035,0),N1014))),MAX(0,5*N1014-(O1035-MIN(MAX(O1035,0),N1014)))))</f>
        <v>43321.197382065933</v>
      </c>
      <c r="O1036" s="18">
        <f>IF($A1036&gt;30,O1035,(O1035-N1014+N1036)*(1+$C$7))</f>
        <v>225059.9944531385</v>
      </c>
      <c r="P1036" s="18">
        <f t="shared" si="118"/>
        <v>200649.34933679874</v>
      </c>
      <c r="Q1036" s="18">
        <f>IF($A1036&gt;30,0,(Q1014-MIN(MAX(R1035,0),Q1014))+MIN(MAX(0,S1035-(Q1014-MIN(MAX(R1035,0),Q1014))),MAX(0,5*Q1014-(R1035-MIN(MAX(R1035,0),Q1014)))))</f>
        <v>43321.200173863355</v>
      </c>
      <c r="R1036" s="18">
        <f>IF($A1036&gt;30,R1035,(R1035-Q1014+Q1036)*(1+$C$7))</f>
        <v>225060.00895693694</v>
      </c>
      <c r="S1036" s="18">
        <f t="shared" si="119"/>
        <v>200649.24587418445</v>
      </c>
    </row>
    <row r="1037" spans="1:19">
      <c r="A1037" s="10">
        <f>21</f>
        <v>21</v>
      </c>
      <c r="B1037" s="18">
        <f>IF($A1037&gt;30,0,(B1014-MIN(MAX(C1036,0),B1014))+MIN(MAX(0,D1036-(B1014-MIN(MAX(C1036,0),B1014))),MAX(0,5*B1014-(C1036-MIN(MAX(C1036,0),B1014)))))</f>
        <v>29055</v>
      </c>
      <c r="C1037" s="18">
        <f>IF($A1037&gt;30,C1036,(C1036-B1014+B1037)*(1+$C$7))</f>
        <v>150945</v>
      </c>
      <c r="D1037" s="18">
        <f t="shared" si="114"/>
        <v>721301.25610114005</v>
      </c>
      <c r="E1037" s="18">
        <f>IF($A1037&gt;30,0,(E1014-MIN(MAX(F1036,0),E1014))+MIN(MAX(0,G1036-(E1014-MIN(MAX(F1036,0),E1014))),MAX(0,5*E1014-(F1036-MIN(MAX(F1036,0),E1014)))))</f>
        <v>75000</v>
      </c>
      <c r="F1037" s="18">
        <f>IF($A1037&gt;30,F1036,(F1036-E1014+E1037)*(1+$C$7))</f>
        <v>0</v>
      </c>
      <c r="G1037" s="18">
        <f t="shared" si="115"/>
        <v>-516591.95979154139</v>
      </c>
      <c r="H1037" s="18">
        <f>IF($A1037&gt;30,0,(H1014-MIN(MAX(I1036,0),H1014))+MIN(MAX(0,J1036-(H1014-MIN(MAX(I1036,0),H1014))),MAX(0,5*H1014-(I1036-MIN(MAX(I1036,0),H1014)))))</f>
        <v>44340.769162720273</v>
      </c>
      <c r="I1037" s="18">
        <f>IF($A1037&gt;30,I1036,(I1036-H1014+H1037)*(1+$C$7))</f>
        <v>230356.81986807121</v>
      </c>
      <c r="J1037" s="18">
        <f t="shared" si="116"/>
        <v>122079.47326614687</v>
      </c>
      <c r="K1037" s="18">
        <f>IF($A1037&gt;30,0,(K1014-MIN(MAX(L1036,0),K1014))+MIN(MAX(0,M1036-(K1014-MIN(MAX(L1036,0),K1014))),MAX(0,5*K1014-(L1036-MIN(MAX(L1036,0),K1014)))))</f>
        <v>43321.066844578774</v>
      </c>
      <c r="L1037" s="18">
        <f>IF($A1037&gt;30,L1036,(L1036-K1014+K1037)*(1+$C$7))</f>
        <v>225059.31629168603</v>
      </c>
      <c r="M1037" s="18">
        <f t="shared" si="117"/>
        <v>162053.11375052202</v>
      </c>
      <c r="N1037" s="18">
        <f>IF($A1037&gt;30,0,(N1014-MIN(MAX(O1036,0),N1014))+MIN(MAX(0,P1036-(N1014-MIN(MAX(O1036,0),N1014))),MAX(0,5*N1014-(O1036-MIN(MAX(O1036,0),N1014)))))</f>
        <v>43321.197382065933</v>
      </c>
      <c r="O1037" s="18">
        <f>IF($A1037&gt;30,O1036,(O1036-N1014+N1037)*(1+$C$7))</f>
        <v>225059.9944531385</v>
      </c>
      <c r="P1037" s="18">
        <f t="shared" si="118"/>
        <v>162047.99651337479</v>
      </c>
      <c r="Q1037" s="18">
        <f>IF($A1037&gt;30,0,(Q1014-MIN(MAX(R1036,0),Q1014))+MIN(MAX(0,S1036-(Q1014-MIN(MAX(R1036,0),Q1014))),MAX(0,5*Q1014-(R1036-MIN(MAX(R1036,0),Q1014)))))</f>
        <v>43321.200173863355</v>
      </c>
      <c r="R1037" s="18">
        <f>IF($A1037&gt;30,R1036,(R1036-Q1014+Q1037)*(1+$C$7))</f>
        <v>225060.00895693694</v>
      </c>
      <c r="S1037" s="18">
        <f t="shared" si="119"/>
        <v>162047.88707133074</v>
      </c>
    </row>
    <row r="1038" spans="1:19">
      <c r="A1038" s="10">
        <f>22</f>
        <v>22</v>
      </c>
      <c r="B1038" s="18">
        <f>IF($A1038&gt;30,0,(B1014-MIN(MAX(C1037,0),B1014))+MIN(MAX(0,D1037-(B1014-MIN(MAX(C1037,0),B1014))),MAX(0,5*B1014-(C1037-MIN(MAX(C1037,0),B1014)))))</f>
        <v>29055</v>
      </c>
      <c r="C1038" s="18">
        <f>IF($A1038&gt;30,C1037,(C1037-B1014+B1038)*(1+$C$7))</f>
        <v>150945</v>
      </c>
      <c r="D1038" s="18">
        <f t="shared" si="114"/>
        <v>713013.64378417423</v>
      </c>
      <c r="E1038" s="18">
        <f>IF($A1038&gt;30,0,(E1014-MIN(MAX(F1037,0),E1014))+MIN(MAX(0,G1037-(E1014-MIN(MAX(F1037,0),E1014))),MAX(0,5*E1014-(F1037-MIN(MAX(F1037,0),E1014)))))</f>
        <v>75000</v>
      </c>
      <c r="F1038" s="18">
        <f>IF($A1038&gt;30,F1037,(F1037-E1014+E1038)*(1+$C$7))</f>
        <v>0</v>
      </c>
      <c r="G1038" s="18">
        <f t="shared" si="115"/>
        <v>-609339.71858528757</v>
      </c>
      <c r="H1038" s="18">
        <f>IF($A1038&gt;30,0,(H1014-MIN(MAX(I1037,0),H1014))+MIN(MAX(0,J1037-(H1014-MIN(MAX(I1037,0),H1014))),MAX(0,5*H1014-(I1037-MIN(MAX(I1037,0),H1014)))))</f>
        <v>44340.769162720273</v>
      </c>
      <c r="I1038" s="18">
        <f>IF($A1038&gt;30,I1037,(I1037-H1014+H1038)*(1+$C$7))</f>
        <v>230356.81986807121</v>
      </c>
      <c r="J1038" s="18">
        <f t="shared" si="116"/>
        <v>80070.865226529408</v>
      </c>
      <c r="K1038" s="18">
        <f>IF($A1038&gt;30,0,(K1014-MIN(MAX(L1037,0),K1014))+MIN(MAX(0,M1037-(K1014-MIN(MAX(L1037,0),K1014))),MAX(0,5*K1014-(L1037-MIN(MAX(L1037,0),K1014)))))</f>
        <v>43321.066844578774</v>
      </c>
      <c r="L1038" s="18">
        <f>IF($A1038&gt;30,L1037,(L1037-K1014+K1038)*(1+$C$7))</f>
        <v>225059.31629168603</v>
      </c>
      <c r="M1038" s="18">
        <f t="shared" si="117"/>
        <v>122294.00831312155</v>
      </c>
      <c r="N1038" s="18">
        <f>IF($A1038&gt;30,0,(N1014-MIN(MAX(O1037,0),N1014))+MIN(MAX(0,P1037-(N1014-MIN(MAX(O1037,0),N1014))),MAX(0,5*N1014-(O1037-MIN(MAX(O1037,0),N1014)))))</f>
        <v>43321.197382065933</v>
      </c>
      <c r="O1038" s="18">
        <f>IF($A1038&gt;30,O1037,(O1037-N1014+N1038)*(1+$C$7))</f>
        <v>225059.9944531385</v>
      </c>
      <c r="P1038" s="18">
        <f t="shared" si="118"/>
        <v>122288.60310524813</v>
      </c>
      <c r="Q1038" s="18">
        <f>IF($A1038&gt;30,0,(Q1014-MIN(MAX(R1037,0),Q1014))+MIN(MAX(0,S1037-(Q1014-MIN(MAX(R1037,0),Q1014))),MAX(0,5*Q1014-(R1037-MIN(MAX(R1037,0),Q1014)))))</f>
        <v>43321.200173863355</v>
      </c>
      <c r="R1038" s="18">
        <f>IF($A1038&gt;30,R1037,(R1037-Q1014+Q1038)*(1+$C$7))</f>
        <v>225060.00895693694</v>
      </c>
      <c r="S1038" s="18">
        <f t="shared" si="119"/>
        <v>122288.48750439141</v>
      </c>
    </row>
    <row r="1039" spans="1:19">
      <c r="A1039" s="10">
        <f>23</f>
        <v>23</v>
      </c>
      <c r="B1039" s="18">
        <f>IF($A1039&gt;30,0,(B1014-MIN(MAX(C1038,0),B1014))+MIN(MAX(0,D1038-(B1014-MIN(MAX(C1038,0),B1014))),MAX(0,5*B1014-(C1038-MIN(MAX(C1038,0),B1014)))))</f>
        <v>29055</v>
      </c>
      <c r="C1039" s="18">
        <f>IF($A1039&gt;30,C1038,(C1038-B1014+B1039)*(1+$C$7))</f>
        <v>150945</v>
      </c>
      <c r="D1039" s="18">
        <f t="shared" si="114"/>
        <v>704477.40309769951</v>
      </c>
      <c r="E1039" s="18">
        <f>IF($A1039&gt;30,0,(E1014-MIN(MAX(F1038,0),E1014))+MIN(MAX(0,G1038-(E1014-MIN(MAX(F1038,0),E1014))),MAX(0,5*E1014-(F1038-MIN(MAX(F1038,0),E1014)))))</f>
        <v>75000</v>
      </c>
      <c r="F1039" s="18">
        <f>IF($A1039&gt;30,F1038,(F1038-E1014+E1039)*(1+$C$7))</f>
        <v>0</v>
      </c>
      <c r="G1039" s="18">
        <f t="shared" si="115"/>
        <v>-704869.91014284617</v>
      </c>
      <c r="H1039" s="18">
        <f>IF($A1039&gt;30,0,(H1014-MIN(MAX(I1038,0),H1014))+MIN(MAX(0,J1038-(H1014-MIN(MAX(I1038,0),H1014))),MAX(0,5*H1014-(I1038-MIN(MAX(I1038,0),H1014)))))</f>
        <v>44340.769162720273</v>
      </c>
      <c r="I1039" s="18">
        <f>IF($A1039&gt;30,I1038,(I1038-H1014+H1039)*(1+$C$7))</f>
        <v>230356.81986807121</v>
      </c>
      <c r="J1039" s="18">
        <f t="shared" si="116"/>
        <v>36801.998945723411</v>
      </c>
      <c r="K1039" s="18">
        <f>IF($A1039&gt;30,0,(K1014-MIN(MAX(L1038,0),K1014))+MIN(MAX(0,M1038-(K1014-MIN(MAX(L1038,0),K1014))),MAX(0,5*K1014-(L1038-MIN(MAX(L1038,0),K1014)))))</f>
        <v>43321.066844578774</v>
      </c>
      <c r="L1039" s="18">
        <f>IF($A1039&gt;30,L1038,(L1038-K1014+K1039)*(1+$C$7))</f>
        <v>225059.31629168603</v>
      </c>
      <c r="M1039" s="18">
        <f t="shared" si="117"/>
        <v>81342.129712599068</v>
      </c>
      <c r="N1039" s="18">
        <f>IF($A1039&gt;30,0,(N1014-MIN(MAX(O1038,0),N1014))+MIN(MAX(0,P1038-(N1014-MIN(MAX(O1038,0),N1014))),MAX(0,5*N1014-(O1038-MIN(MAX(O1038,0),N1014)))))</f>
        <v>43321.197382065933</v>
      </c>
      <c r="O1039" s="18">
        <f>IF($A1039&gt;30,O1038,(O1038-N1014+N1039)*(1+$C$7))</f>
        <v>225059.9944531385</v>
      </c>
      <c r="P1039" s="18">
        <f t="shared" si="118"/>
        <v>81336.427894877663</v>
      </c>
      <c r="Q1039" s="18">
        <f>IF($A1039&gt;30,0,(Q1014-MIN(MAX(R1038,0),Q1014))+MIN(MAX(0,S1038-(Q1014-MIN(MAX(R1038,0),Q1014))),MAX(0,5*Q1014-(R1038-MIN(MAX(R1038,0),Q1014)))))</f>
        <v>43321.200173863355</v>
      </c>
      <c r="R1039" s="18">
        <f>IF($A1039&gt;30,R1038,(R1038-Q1014+Q1039)*(1+$C$7))</f>
        <v>225060.00895693694</v>
      </c>
      <c r="S1039" s="18">
        <f t="shared" si="119"/>
        <v>81336.305950443901</v>
      </c>
    </row>
    <row r="1040" spans="1:19">
      <c r="A1040" s="10">
        <f>24</f>
        <v>24</v>
      </c>
      <c r="B1040" s="18">
        <f>IF($A1040&gt;30,0,(B1014-MIN(MAX(C1039,0),B1014))+MIN(MAX(0,D1039-(B1014-MIN(MAX(C1039,0),B1014))),MAX(0,5*B1014-(C1039-MIN(MAX(C1039,0),B1014)))))</f>
        <v>29055</v>
      </c>
      <c r="C1040" s="18">
        <f>IF($A1040&gt;30,C1039,(C1039-B1014+B1040)*(1+$C$7))</f>
        <v>150945</v>
      </c>
      <c r="D1040" s="18">
        <f t="shared" si="114"/>
        <v>695685.07519063051</v>
      </c>
      <c r="E1040" s="18">
        <f>IF($A1040&gt;30,0,(E1014-MIN(MAX(F1039,0),E1014))+MIN(MAX(0,G1039-(E1014-MIN(MAX(F1039,0),E1014))),MAX(0,5*E1014-(F1039-MIN(MAX(F1039,0),E1014)))))</f>
        <v>75000</v>
      </c>
      <c r="F1040" s="18">
        <f>IF($A1040&gt;30,F1039,(F1039-E1014+E1040)*(1+$C$7))</f>
        <v>0</v>
      </c>
      <c r="G1040" s="18">
        <f t="shared" si="115"/>
        <v>-803266.00744713156</v>
      </c>
      <c r="H1040" s="18">
        <f>IF($A1040&gt;30,0,(H1014-MIN(MAX(I1039,0),H1014))+MIN(MAX(0,J1039-(H1014-MIN(MAX(I1039,0),H1014))),MAX(0,5*H1014-(I1039-MIN(MAX(I1039,0),H1014)))))</f>
        <v>36801.998945723411</v>
      </c>
      <c r="I1040" s="18">
        <f>IF($A1040&gt;30,I1039,(I1039-H1014+H1040)*(1+$C$7))</f>
        <v>222770.55539870728</v>
      </c>
      <c r="J1040" s="18">
        <f t="shared" si="116"/>
        <v>0</v>
      </c>
      <c r="K1040" s="18">
        <f>IF($A1040&gt;30,0,(K1014-MIN(MAX(L1039,0),K1014))+MIN(MAX(0,M1039-(K1014-MIN(MAX(L1039,0),K1014))),MAX(0,5*K1014-(L1039-MIN(MAX(L1039,0),K1014)))))</f>
        <v>43321.066844578774</v>
      </c>
      <c r="L1040" s="18">
        <f>IF($A1040&gt;30,L1039,(L1039-K1014+K1040)*(1+$C$7))</f>
        <v>225059.31629168603</v>
      </c>
      <c r="M1040" s="18">
        <f t="shared" si="117"/>
        <v>39161.694754060904</v>
      </c>
      <c r="N1040" s="18">
        <f>IF($A1040&gt;30,0,(N1014-MIN(MAX(O1039,0),N1014))+MIN(MAX(0,P1039-(N1014-MIN(MAX(O1039,0),N1014))),MAX(0,5*N1014-(O1039-MIN(MAX(O1039,0),N1014)))))</f>
        <v>43321.197382065933</v>
      </c>
      <c r="O1040" s="18">
        <f>IF($A1040&gt;30,O1039,(O1039-N1014+N1040)*(1+$C$7))</f>
        <v>225059.9944531385</v>
      </c>
      <c r="P1040" s="18">
        <f t="shared" si="118"/>
        <v>39155.687428196085</v>
      </c>
      <c r="Q1040" s="18">
        <f>IF($A1040&gt;30,0,(Q1014-MIN(MAX(R1039,0),Q1014))+MIN(MAX(0,S1039-(Q1014-MIN(MAX(R1039,0),Q1014))),MAX(0,5*Q1014-(R1039-MIN(MAX(R1039,0),Q1014)))))</f>
        <v>43321.200173863355</v>
      </c>
      <c r="R1040" s="18">
        <f>IF($A1040&gt;30,R1039,(R1039-Q1014+Q1040)*(1+$C$7))</f>
        <v>225060.00895693694</v>
      </c>
      <c r="S1040" s="18">
        <f t="shared" si="119"/>
        <v>39155.558949877959</v>
      </c>
    </row>
    <row r="1041" spans="1:19">
      <c r="A1041" s="10">
        <f>25</f>
        <v>25</v>
      </c>
      <c r="B1041" s="18">
        <f>IF($A1041&gt;30,0,(B1014-MIN(MAX(C1040,0),B1014))+MIN(MAX(0,D1040-(B1014-MIN(MAX(C1040,0),B1014))),MAX(0,5*B1014-(C1040-MIN(MAX(C1040,0),B1014)))))</f>
        <v>29055</v>
      </c>
      <c r="C1041" s="18">
        <f>IF($A1041&gt;30,C1040,(C1040-B1014+B1041)*(1+$C$7))</f>
        <v>150945</v>
      </c>
      <c r="D1041" s="18">
        <f t="shared" si="114"/>
        <v>686628.97744634945</v>
      </c>
      <c r="E1041" s="18">
        <f>IF($A1041&gt;30,0,(E1014-MIN(MAX(F1040,0),E1014))+MIN(MAX(0,G1040-(E1014-MIN(MAX(F1040,0),E1014))),MAX(0,5*E1014-(F1040-MIN(MAX(F1040,0),E1014)))))</f>
        <v>75000</v>
      </c>
      <c r="F1041" s="18">
        <f>IF($A1041&gt;30,F1040,(F1040-E1014+E1041)*(1+$C$7))</f>
        <v>0</v>
      </c>
      <c r="G1041" s="18">
        <f t="shared" si="115"/>
        <v>-904613.98767054558</v>
      </c>
      <c r="H1041" s="18">
        <f>IF($A1041&gt;30,0,(H1014-MIN(MAX(I1040,0),H1014))+MIN(MAX(0,J1040-(H1014-MIN(MAX(I1040,0),H1014))),MAX(0,5*H1014-(I1040-MIN(MAX(I1040,0),H1014)))))</f>
        <v>0</v>
      </c>
      <c r="I1041" s="18">
        <f>IF($A1041&gt;30,I1040,(I1040-H1014+H1041)*(1+$C$7))</f>
        <v>178102.64592410487</v>
      </c>
      <c r="J1041" s="18">
        <f t="shared" si="116"/>
        <v>0</v>
      </c>
      <c r="K1041" s="18">
        <f>IF($A1041&gt;30,0,(K1014-MIN(MAX(L1040,0),K1014))+MIN(MAX(0,M1040-(K1014-MIN(MAX(L1040,0),K1014))),MAX(0,5*K1014-(L1040-MIN(MAX(L1040,0),K1014)))))</f>
        <v>39161.694754060904</v>
      </c>
      <c r="L1041" s="18">
        <f>IF($A1041&gt;30,L1040,(L1040-K1014+K1041)*(1+$C$7))</f>
        <v>220873.74015699793</v>
      </c>
      <c r="M1041" s="18">
        <f t="shared" si="117"/>
        <v>0</v>
      </c>
      <c r="N1041" s="18">
        <f>IF($A1041&gt;30,0,(N1014-MIN(MAX(O1040,0),N1014))+MIN(MAX(0,P1040-(N1014-MIN(MAX(O1040,0),N1014))),MAX(0,5*N1014-(O1040-MIN(MAX(O1040,0),N1014)))))</f>
        <v>39155.687428196085</v>
      </c>
      <c r="O1041" s="18">
        <f>IF($A1041&gt;30,O1040,(O1040-N1014+N1041)*(1+$C$7))</f>
        <v>220868.24178655929</v>
      </c>
      <c r="P1041" s="18">
        <f t="shared" si="118"/>
        <v>0</v>
      </c>
      <c r="Q1041" s="18">
        <f>IF($A1041&gt;30,0,(Q1014-MIN(MAX(R1040,0),Q1014))+MIN(MAX(0,S1040-(Q1014-MIN(MAX(R1040,0),Q1014))),MAX(0,5*Q1014-(R1040-MIN(MAX(R1040,0),Q1014)))))</f>
        <v>39155.558949877959</v>
      </c>
      <c r="R1041" s="18">
        <f>IF($A1041&gt;30,R1040,(R1040-Q1014+Q1041)*(1+$C$7))</f>
        <v>220868.12419324042</v>
      </c>
      <c r="S1041" s="18">
        <f t="shared" si="119"/>
        <v>0</v>
      </c>
    </row>
    <row r="1042" spans="1:19">
      <c r="A1042" s="10">
        <f>26</f>
        <v>26</v>
      </c>
      <c r="B1042" s="18">
        <f>IF($A1042&gt;30,0,(B1014-MIN(MAX(C1041,0),B1014))+MIN(MAX(0,D1041-(B1014-MIN(MAX(C1041,0),B1014))),MAX(0,5*B1014-(C1041-MIN(MAX(C1041,0),B1014)))))</f>
        <v>29055</v>
      </c>
      <c r="C1042" s="18">
        <f>IF($A1042&gt;30,C1041,(C1041-B1014+B1042)*(1+$C$7))</f>
        <v>150945</v>
      </c>
      <c r="D1042" s="18">
        <f t="shared" si="114"/>
        <v>677301.19676973997</v>
      </c>
      <c r="E1042" s="18">
        <f>IF($A1042&gt;30,0,(E1014-MIN(MAX(F1041,0),E1014))+MIN(MAX(0,G1041-(E1014-MIN(MAX(F1041,0),E1014))),MAX(0,5*E1014-(F1041-MIN(MAX(F1041,0),E1014)))))</f>
        <v>75000</v>
      </c>
      <c r="F1042" s="18">
        <f>IF($A1042&gt;30,F1041,(F1041-E1014+E1042)*(1+$C$7))</f>
        <v>0</v>
      </c>
      <c r="G1042" s="18">
        <f t="shared" si="115"/>
        <v>-1009002.407300662</v>
      </c>
      <c r="H1042" s="18">
        <f>IF($A1042&gt;30,0,(H1014-MIN(MAX(I1041,0),H1014))+MIN(MAX(0,J1041-(H1014-MIN(MAX(I1041,0),H1014))),MAX(0,5*H1014-(I1041-MIN(MAX(I1041,0),H1014)))))</f>
        <v>0</v>
      </c>
      <c r="I1042" s="18">
        <f>IF($A1042&gt;30,I1041,(I1041-H1014+H1042)*(1+$C$7))</f>
        <v>133153.3286198125</v>
      </c>
      <c r="J1042" s="18">
        <f t="shared" si="116"/>
        <v>0</v>
      </c>
      <c r="K1042" s="18">
        <f>IF($A1042&gt;30,0,(K1014-MIN(MAX(L1041,0),K1014))+MIN(MAX(0,M1041-(K1014-MIN(MAX(L1041,0),K1014))),MAX(0,5*K1014-(L1041-MIN(MAX(L1041,0),K1014)))))</f>
        <v>0</v>
      </c>
      <c r="L1042" s="18">
        <f>IF($A1042&gt;30,L1041,(L1041-K1014+K1042)*(1+$C$7))</f>
        <v>177253.38146164978</v>
      </c>
      <c r="M1042" s="18">
        <f t="shared" si="117"/>
        <v>0</v>
      </c>
      <c r="N1042" s="18">
        <f>IF($A1042&gt;30,0,(N1014-MIN(MAX(O1041,0),N1014))+MIN(MAX(0,P1041-(N1014-MIN(MAX(O1041,0),N1014))),MAX(0,5*N1014-(O1041-MIN(MAX(O1041,0),N1014)))))</f>
        <v>0</v>
      </c>
      <c r="O1042" s="18">
        <f>IF($A1042&gt;30,O1041,(O1041-N1014+N1042)*(1+$C$7))</f>
        <v>177247.71281918691</v>
      </c>
      <c r="P1042" s="18">
        <f t="shared" si="118"/>
        <v>0</v>
      </c>
      <c r="Q1042" s="18">
        <f>IF($A1042&gt;30,0,(Q1014-MIN(MAX(R1041,0),Q1014))+MIN(MAX(0,S1041-(Q1014-MIN(MAX(R1041,0),Q1014))),MAX(0,5*Q1014-(R1041-MIN(MAX(R1041,0),Q1014)))))</f>
        <v>0</v>
      </c>
      <c r="R1042" s="18">
        <f>IF($A1042&gt;30,R1041,(R1041-Q1014+Q1042)*(1+$C$7))</f>
        <v>177247.59158427044</v>
      </c>
      <c r="S1042" s="18">
        <f t="shared" si="119"/>
        <v>0</v>
      </c>
    </row>
    <row r="1043" spans="1:19">
      <c r="A1043" s="10">
        <f>27</f>
        <v>27</v>
      </c>
      <c r="B1043" s="18">
        <f>IF($A1043&gt;30,0,(B1014-MIN(MAX(C1042,0),B1014))+MIN(MAX(0,D1042-(B1014-MIN(MAX(C1042,0),B1014))),MAX(0,5*B1014-(C1042-MIN(MAX(C1042,0),B1014)))))</f>
        <v>29055</v>
      </c>
      <c r="C1043" s="18">
        <f>IF($A1043&gt;30,C1042,(C1042-B1014+B1043)*(1+$C$7))</f>
        <v>150945</v>
      </c>
      <c r="D1043" s="18">
        <f t="shared" si="114"/>
        <v>667693.58267283218</v>
      </c>
      <c r="E1043" s="18">
        <f>IF($A1043&gt;30,0,(E1014-MIN(MAX(F1042,0),E1014))+MIN(MAX(0,G1042-(E1014-MIN(MAX(F1042,0),E1014))),MAX(0,5*E1014-(F1042-MIN(MAX(F1042,0),E1014)))))</f>
        <v>75000</v>
      </c>
      <c r="F1043" s="18">
        <f>IF($A1043&gt;30,F1042,(F1042-E1014+E1043)*(1+$C$7))</f>
        <v>0</v>
      </c>
      <c r="G1043" s="18">
        <f t="shared" si="115"/>
        <v>-1116522.479519682</v>
      </c>
      <c r="H1043" s="18">
        <f>IF($A1043&gt;30,0,(H1014-MIN(MAX(I1042,0),H1014))+MIN(MAX(0,J1042-(H1014-MIN(MAX(I1042,0),H1014))),MAX(0,5*H1014-(I1042-MIN(MAX(I1042,0),H1014)))))</f>
        <v>0</v>
      </c>
      <c r="I1043" s="18">
        <f>IF($A1043&gt;30,I1042,(I1042-H1014+H1043)*(1+$C$7))</f>
        <v>87920.830616503066</v>
      </c>
      <c r="J1043" s="18">
        <f t="shared" si="116"/>
        <v>0</v>
      </c>
      <c r="K1043" s="18">
        <f>IF($A1043&gt;30,0,(K1014-MIN(MAX(L1042,0),K1014))+MIN(MAX(0,M1042-(K1014-MIN(MAX(L1042,0),K1014))),MAX(0,5*K1014-(L1042-MIN(MAX(L1042,0),K1014)))))</f>
        <v>0</v>
      </c>
      <c r="L1043" s="18">
        <f>IF($A1043&gt;30,L1042,(L1042-K1014+K1043)*(1+$C$7))</f>
        <v>133358.21450652095</v>
      </c>
      <c r="M1043" s="18">
        <f t="shared" si="117"/>
        <v>0</v>
      </c>
      <c r="N1043" s="18">
        <f>IF($A1043&gt;30,0,(N1014-MIN(MAX(O1042,0),N1014))+MIN(MAX(0,P1042-(N1014-MIN(MAX(O1042,0),N1014))),MAX(0,5*N1014-(O1042-MIN(MAX(O1042,0),N1014)))))</f>
        <v>0</v>
      </c>
      <c r="O1043" s="18">
        <f>IF($A1043&gt;30,O1042,(O1042-N1014+N1043)*(1+$C$7))</f>
        <v>133352.37451932009</v>
      </c>
      <c r="P1043" s="18">
        <f t="shared" si="118"/>
        <v>0</v>
      </c>
      <c r="Q1043" s="18">
        <f>IF($A1043&gt;30,0,(Q1014-MIN(MAX(R1042,0),Q1014))+MIN(MAX(0,S1042-(Q1014-MIN(MAX(R1042,0),Q1014))),MAX(0,5*Q1014-(R1042-MIN(MAX(R1042,0),Q1014)))))</f>
        <v>0</v>
      </c>
      <c r="R1043" s="18">
        <f>IF($A1043&gt;30,R1042,(R1042-Q1014+Q1043)*(1+$C$7))</f>
        <v>133352.24961986396</v>
      </c>
      <c r="S1043" s="18">
        <f t="shared" si="119"/>
        <v>0</v>
      </c>
    </row>
    <row r="1044" spans="1:19">
      <c r="A1044" s="10">
        <f>28</f>
        <v>28</v>
      </c>
      <c r="B1044" s="18">
        <f>IF($A1044&gt;30,0,(B1014-MIN(MAX(C1043,0),B1014))+MIN(MAX(0,D1043-(B1014-MIN(MAX(C1043,0),B1014))),MAX(0,5*B1014-(C1043-MIN(MAX(C1043,0),B1014)))))</f>
        <v>29055</v>
      </c>
      <c r="C1044" s="18">
        <f>IF($A1044&gt;30,C1043,(C1043-B1014+B1044)*(1+$C$7))</f>
        <v>150945</v>
      </c>
      <c r="D1044" s="18">
        <f t="shared" si="114"/>
        <v>657797.74015301722</v>
      </c>
      <c r="E1044" s="18">
        <f>IF($A1044&gt;30,0,(E1014-MIN(MAX(F1043,0),E1014))+MIN(MAX(0,G1043-(E1014-MIN(MAX(F1043,0),E1014))),MAX(0,5*E1014-(F1043-MIN(MAX(F1043,0),E1014)))))</f>
        <v>75000</v>
      </c>
      <c r="F1044" s="18">
        <f>IF($A1044&gt;30,F1043,(F1043-E1014+E1044)*(1+$C$7))</f>
        <v>0</v>
      </c>
      <c r="G1044" s="18">
        <f t="shared" si="115"/>
        <v>-1227268.1539052725</v>
      </c>
      <c r="H1044" s="18">
        <f>IF($A1044&gt;30,0,(H1014-MIN(MAX(I1043,0),H1014))+MIN(MAX(0,J1043-(H1014-MIN(MAX(I1043,0),H1014))),MAX(0,5*H1014-(I1043-MIN(MAX(I1043,0),H1014)))))</f>
        <v>0</v>
      </c>
      <c r="I1044" s="18">
        <f>IF($A1044&gt;30,I1043,(I1043-H1014+H1044)*(1+$C$7))</f>
        <v>42403.36787577279</v>
      </c>
      <c r="J1044" s="18">
        <f t="shared" si="116"/>
        <v>0</v>
      </c>
      <c r="K1044" s="18">
        <f>IF($A1044&gt;30,0,(K1014-MIN(MAX(L1043,0),K1014))+MIN(MAX(0,M1043-(K1014-MIN(MAX(L1043,0),K1014))),MAX(0,5*K1014-(L1043-MIN(MAX(L1043,0),K1014)))))</f>
        <v>0</v>
      </c>
      <c r="L1044" s="18">
        <f>IF($A1044&gt;30,L1043,(L1043-K1014+K1044)*(1+$C$7))</f>
        <v>89186.507999574824</v>
      </c>
      <c r="M1044" s="18">
        <f t="shared" si="117"/>
        <v>0</v>
      </c>
      <c r="N1044" s="18">
        <f>IF($A1044&gt;30,0,(N1014-MIN(MAX(O1043,0),N1014))+MIN(MAX(0,P1043-(N1014-MIN(MAX(O1043,0),N1014))),MAX(0,5*N1014-(O1043-MIN(MAX(O1043,0),N1014)))))</f>
        <v>0</v>
      </c>
      <c r="O1044" s="18">
        <f>IF($A1044&gt;30,O1043,(O1043-N1014+N1044)*(1+$C$7))</f>
        <v>89180.495588164093</v>
      </c>
      <c r="P1044" s="18">
        <f t="shared" si="118"/>
        <v>0</v>
      </c>
      <c r="Q1044" s="18">
        <f>IF($A1044&gt;30,0,(Q1014-MIN(MAX(R1043,0),Q1014))+MIN(MAX(0,S1043-(Q1014-MIN(MAX(R1043,0),Q1014))),MAX(0,5*Q1014-(R1043-MIN(MAX(R1043,0),Q1014)))))</f>
        <v>0</v>
      </c>
      <c r="R1044" s="18">
        <f>IF($A1044&gt;30,R1043,(R1043-Q1014+Q1044)*(1+$C$7))</f>
        <v>89180.367001081715</v>
      </c>
      <c r="S1044" s="18">
        <f t="shared" si="119"/>
        <v>0</v>
      </c>
    </row>
    <row r="1045" spans="1:19">
      <c r="A1045" s="10">
        <f>29</f>
        <v>29</v>
      </c>
      <c r="B1045" s="18">
        <f>IF($A1045&gt;30,0,(B1014-MIN(MAX(C1044,0),B1014))+MIN(MAX(0,D1044-(B1014-MIN(MAX(C1044,0),B1014))),MAX(0,5*B1014-(C1044-MIN(MAX(C1044,0),B1014)))))</f>
        <v>29055</v>
      </c>
      <c r="C1045" s="18">
        <f>IF($A1045&gt;30,C1044,(C1044-B1014+B1045)*(1+$C$7))</f>
        <v>150945</v>
      </c>
      <c r="D1045" s="18">
        <f t="shared" si="114"/>
        <v>647605.02235760773</v>
      </c>
      <c r="E1045" s="18">
        <f>IF($A1045&gt;30,0,(E1014-MIN(MAX(F1044,0),E1014))+MIN(MAX(0,G1044-(E1014-MIN(MAX(F1044,0),E1014))),MAX(0,5*E1014-(F1044-MIN(MAX(F1044,0),E1014)))))</f>
        <v>75000</v>
      </c>
      <c r="F1045" s="18">
        <f>IF($A1045&gt;30,F1044,(F1044-E1014+E1045)*(1+$C$7))</f>
        <v>0</v>
      </c>
      <c r="G1045" s="18">
        <f t="shared" si="115"/>
        <v>-1341336.1985224306</v>
      </c>
      <c r="H1045" s="18">
        <f>IF($A1045&gt;30,0,(H1014-MIN(MAX(I1044,0),H1014))+MIN(MAX(0,J1044-(H1014-MIN(MAX(I1044,0),H1014))),MAX(0,5*H1014-(I1044-MIN(MAX(I1044,0),H1014)))))</f>
        <v>3379.5636293591233</v>
      </c>
      <c r="I1045" s="18">
        <f>IF($A1045&gt;30,I1044,(I1044-H1014+H1045)*(1+$C$7))</f>
        <v>0</v>
      </c>
      <c r="J1045" s="18">
        <f t="shared" si="116"/>
        <v>-3480.950538239897</v>
      </c>
      <c r="K1045" s="18">
        <f>IF($A1045&gt;30,0,(K1014-MIN(MAX(L1044,0),K1014))+MIN(MAX(0,M1044-(K1014-MIN(MAX(L1044,0),K1014))),MAX(0,5*K1014-(L1044-MIN(MAX(L1044,0),K1014)))))</f>
        <v>0</v>
      </c>
      <c r="L1045" s="18">
        <f>IF($A1045&gt;30,L1044,(L1044-K1014+K1045)*(1+$C$7))</f>
        <v>44736.51974163494</v>
      </c>
      <c r="M1045" s="18">
        <f t="shared" si="117"/>
        <v>0</v>
      </c>
      <c r="N1045" s="18">
        <f>IF($A1045&gt;30,0,(N1014-MIN(MAX(O1044,0),N1014))+MIN(MAX(0,P1044-(N1014-MIN(MAX(O1044,0),N1014))),MAX(0,5*N1014-(O1044-MIN(MAX(O1044,0),N1014)))))</f>
        <v>0</v>
      </c>
      <c r="O1045" s="18">
        <f>IF($A1045&gt;30,O1044,(O1044-N1014+N1045)*(1+$C$7))</f>
        <v>44730.33381974182</v>
      </c>
      <c r="P1045" s="18">
        <f t="shared" si="118"/>
        <v>0</v>
      </c>
      <c r="Q1045" s="18">
        <f>IF($A1045&gt;30,0,(Q1014-MIN(MAX(R1044,0),Q1014))+MIN(MAX(0,S1044-(Q1014-MIN(MAX(R1044,0),Q1014))),MAX(0,5*Q1014-(R1044-MIN(MAX(R1044,0),Q1014)))))</f>
        <v>0</v>
      </c>
      <c r="R1045" s="18">
        <f>IF($A1045&gt;30,R1044,(R1044-Q1014+Q1045)*(1+$C$7))</f>
        <v>44730.201521801137</v>
      </c>
      <c r="S1045" s="18">
        <f t="shared" si="119"/>
        <v>0</v>
      </c>
    </row>
    <row r="1046" spans="1:19">
      <c r="A1046" s="10">
        <f>30</f>
        <v>30</v>
      </c>
      <c r="B1046" s="18">
        <f>IF($A1046&gt;30,0,(B1014-MIN(MAX(C1045,0),B1014))+MIN(MAX(0,D1045-(B1014-MIN(MAX(C1045,0),B1014))),MAX(0,5*B1014-(C1045-MIN(MAX(C1045,0),B1014)))))</f>
        <v>29055</v>
      </c>
      <c r="C1046" s="18">
        <f>IF($A1046&gt;30,C1045,(C1045-B1014+B1046)*(1+$C$7))</f>
        <v>150945</v>
      </c>
      <c r="D1046" s="18">
        <f t="shared" si="114"/>
        <v>637106.523028336</v>
      </c>
      <c r="E1046" s="18">
        <f>IF($A1046&gt;30,0,(E1014-MIN(MAX(F1045,0),E1014))+MIN(MAX(0,G1045-(E1014-MIN(MAX(F1045,0),E1014))),MAX(0,5*E1014-(F1045-MIN(MAX(F1045,0),E1014)))))</f>
        <v>75000</v>
      </c>
      <c r="F1046" s="18">
        <f>IF($A1046&gt;30,F1045,(F1045-E1014+E1046)*(1+$C$7))</f>
        <v>0</v>
      </c>
      <c r="G1046" s="18">
        <f t="shared" si="115"/>
        <v>-1458826.2844781035</v>
      </c>
      <c r="H1046" s="18">
        <f>IF($A1046&gt;30,0,(H1014-MIN(MAX(I1045,0),H1014))+MIN(MAX(0,J1045-(H1014-MIN(MAX(I1045,0),H1014))),MAX(0,5*H1014-(I1045-MIN(MAX(I1045,0),H1014)))))</f>
        <v>45782.931505131914</v>
      </c>
      <c r="I1046" s="18">
        <f>IF($A1046&gt;30,I1045,(I1045-H1014+H1046)*(1+$C$7))</f>
        <v>0</v>
      </c>
      <c r="J1046" s="18">
        <f t="shared" si="116"/>
        <v>-50741.798504672966</v>
      </c>
      <c r="K1046" s="18">
        <f>IF($A1046&gt;30,0,(K1014-MIN(MAX(L1045,0),K1014))+MIN(MAX(0,M1045-(K1014-MIN(MAX(L1045,0),K1014))),MAX(0,5*K1014-(L1045-MIN(MAX(L1045,0),K1014)))))</f>
        <v>0</v>
      </c>
      <c r="L1046" s="18">
        <f>IF($A1046&gt;30,L1045,(L1045-K1014+K1046)*(1+$C$7))</f>
        <v>6.4965576700329022</v>
      </c>
      <c r="M1046" s="18">
        <f t="shared" si="117"/>
        <v>0</v>
      </c>
      <c r="N1046" s="18">
        <f>IF($A1046&gt;30,0,(N1014-MIN(MAX(O1045,0),N1014))+MIN(MAX(0,P1045-(N1014-MIN(MAX(O1045,0),N1014))),MAX(0,5*N1014-(O1045-MIN(MAX(O1045,0),N1014)))))</f>
        <v>0</v>
      </c>
      <c r="O1046" s="18">
        <f>IF($A1046&gt;30,O1045,(O1045-N1014+N1046)*(1+$C$7))</f>
        <v>0.13603217849016655</v>
      </c>
      <c r="P1046" s="18">
        <f t="shared" si="118"/>
        <v>0</v>
      </c>
      <c r="Q1046" s="18">
        <f>IF($A1046&gt;30,0,(Q1014-MIN(MAX(R1045,0),Q1014))+MIN(MAX(0,S1045-(Q1014-MIN(MAX(R1045,0),Q1014))),MAX(0,5*Q1014-(R1045-MIN(MAX(R1045,0),Q1014)))))</f>
        <v>0</v>
      </c>
      <c r="R1046" s="18">
        <f>IF($A1046&gt;30,R1045,(R1045-Q1014+Q1046)*(1+$C$7))</f>
        <v>1.0909476259257643E-9</v>
      </c>
      <c r="S1046" s="18">
        <f t="shared" si="119"/>
        <v>0</v>
      </c>
    </row>
    <row r="1047" spans="1:19">
      <c r="A1047" s="10">
        <f>31</f>
        <v>31</v>
      </c>
      <c r="B1047" s="18">
        <f>IF($A1047&gt;30,0,(B1014-MIN(MAX(C1046,0),B1014))+MIN(MAX(0,D1046-(B1014-MIN(MAX(C1046,0),B1014))),MAX(0,5*B1014-(C1046-MIN(MAX(C1046,0),B1014)))))</f>
        <v>0</v>
      </c>
      <c r="C1047" s="18">
        <f>IF($A1047&gt;30,C1046,(C1046-B1014+B1047)*(1+$C$7))</f>
        <v>150945</v>
      </c>
      <c r="D1047" s="18">
        <f t="shared" si="114"/>
        <v>637106.523028336</v>
      </c>
      <c r="E1047" s="18">
        <f>IF($A1047&gt;30,0,(E1014-MIN(MAX(F1046,0),E1014))+MIN(MAX(0,G1046-(E1014-MIN(MAX(F1046,0),E1014))),MAX(0,5*E1014-(F1046-MIN(MAX(F1046,0),E1014)))))</f>
        <v>0</v>
      </c>
      <c r="F1047" s="18">
        <f>IF($A1047&gt;30,F1046,(F1046-E1014+E1047)*(1+$C$7))</f>
        <v>0</v>
      </c>
      <c r="G1047" s="18">
        <f t="shared" si="115"/>
        <v>-1458826.2844781035</v>
      </c>
      <c r="H1047" s="18">
        <f>IF($A1047&gt;30,0,(H1014-MIN(MAX(I1046,0),H1014))+MIN(MAX(0,J1046-(H1014-MIN(MAX(I1046,0),H1014))),MAX(0,5*H1014-(I1046-MIN(MAX(I1046,0),H1014)))))</f>
        <v>0</v>
      </c>
      <c r="I1047" s="18">
        <f>IF($A1047&gt;30,I1046,(I1046-H1014+H1047)*(1+$C$7))</f>
        <v>0</v>
      </c>
      <c r="J1047" s="18">
        <f t="shared" si="116"/>
        <v>-50741.798504672966</v>
      </c>
      <c r="K1047" s="18">
        <f>IF($A1047&gt;30,0,(K1014-MIN(MAX(L1046,0),K1014))+MIN(MAX(0,M1046-(K1014-MIN(MAX(L1046,0),K1014))),MAX(0,5*K1014-(L1046-MIN(MAX(L1046,0),K1014)))))</f>
        <v>0</v>
      </c>
      <c r="L1047" s="18">
        <f>IF($A1047&gt;30,L1046,(L1046-K1014+K1047)*(1+$C$7))</f>
        <v>6.4965576700329022</v>
      </c>
      <c r="M1047" s="18">
        <f t="shared" si="117"/>
        <v>0</v>
      </c>
      <c r="N1047" s="18">
        <f>IF($A1047&gt;30,0,(N1014-MIN(MAX(O1046,0),N1014))+MIN(MAX(0,P1046-(N1014-MIN(MAX(O1046,0),N1014))),MAX(0,5*N1014-(O1046-MIN(MAX(O1046,0),N1014)))))</f>
        <v>0</v>
      </c>
      <c r="O1047" s="18">
        <f>IF($A1047&gt;30,O1046,(O1046-N1014+N1047)*(1+$C$7))</f>
        <v>0.13603217849016655</v>
      </c>
      <c r="P1047" s="18">
        <f t="shared" si="118"/>
        <v>0</v>
      </c>
      <c r="Q1047" s="18">
        <f>IF($A1047&gt;30,0,(Q1014-MIN(MAX(R1046,0),Q1014))+MIN(MAX(0,S1046-(Q1014-MIN(MAX(R1046,0),Q1014))),MAX(0,5*Q1014-(R1046-MIN(MAX(R1046,0),Q1014)))))</f>
        <v>0</v>
      </c>
      <c r="R1047" s="18">
        <f>IF($A1047&gt;30,R1046,(R1046-Q1014+Q1047)*(1+$C$7))</f>
        <v>1.0909476259257643E-9</v>
      </c>
      <c r="S1047" s="18">
        <f t="shared" si="119"/>
        <v>0</v>
      </c>
    </row>
    <row r="1048" spans="1:19">
      <c r="A1048" s="10">
        <f>32</f>
        <v>32</v>
      </c>
      <c r="B1048" s="18">
        <f>IF($A1048&gt;30,0,(B1014-MIN(MAX(C1047,0),B1014))+MIN(MAX(0,D1047-(B1014-MIN(MAX(C1047,0),B1014))),MAX(0,5*B1014-(C1047-MIN(MAX(C1047,0),B1014)))))</f>
        <v>0</v>
      </c>
      <c r="C1048" s="18">
        <f>IF($A1048&gt;30,C1047,(C1047-B1014+B1048)*(1+$C$7))</f>
        <v>150945</v>
      </c>
      <c r="D1048" s="18">
        <f t="shared" si="114"/>
        <v>637106.523028336</v>
      </c>
      <c r="E1048" s="18">
        <f>IF($A1048&gt;30,0,(E1014-MIN(MAX(F1047,0),E1014))+MIN(MAX(0,G1047-(E1014-MIN(MAX(F1047,0),E1014))),MAX(0,5*E1014-(F1047-MIN(MAX(F1047,0),E1014)))))</f>
        <v>0</v>
      </c>
      <c r="F1048" s="18">
        <f>IF($A1048&gt;30,F1047,(F1047-E1014+E1048)*(1+$C$7))</f>
        <v>0</v>
      </c>
      <c r="G1048" s="18">
        <f t="shared" si="115"/>
        <v>-1458826.2844781035</v>
      </c>
      <c r="H1048" s="18">
        <f>IF($A1048&gt;30,0,(H1014-MIN(MAX(I1047,0),H1014))+MIN(MAX(0,J1047-(H1014-MIN(MAX(I1047,0),H1014))),MAX(0,5*H1014-(I1047-MIN(MAX(I1047,0),H1014)))))</f>
        <v>0</v>
      </c>
      <c r="I1048" s="18">
        <f>IF($A1048&gt;30,I1047,(I1047-H1014+H1048)*(1+$C$7))</f>
        <v>0</v>
      </c>
      <c r="J1048" s="18">
        <f t="shared" si="116"/>
        <v>-50741.798504672966</v>
      </c>
      <c r="K1048" s="18">
        <f>IF($A1048&gt;30,0,(K1014-MIN(MAX(L1047,0),K1014))+MIN(MAX(0,M1047-(K1014-MIN(MAX(L1047,0),K1014))),MAX(0,5*K1014-(L1047-MIN(MAX(L1047,0),K1014)))))</f>
        <v>0</v>
      </c>
      <c r="L1048" s="18">
        <f>IF($A1048&gt;30,L1047,(L1047-K1014+K1048)*(1+$C$7))</f>
        <v>6.4965576700329022</v>
      </c>
      <c r="M1048" s="18">
        <f t="shared" si="117"/>
        <v>0</v>
      </c>
      <c r="N1048" s="18">
        <f>IF($A1048&gt;30,0,(N1014-MIN(MAX(O1047,0),N1014))+MIN(MAX(0,P1047-(N1014-MIN(MAX(O1047,0),N1014))),MAX(0,5*N1014-(O1047-MIN(MAX(O1047,0),N1014)))))</f>
        <v>0</v>
      </c>
      <c r="O1048" s="18">
        <f>IF($A1048&gt;30,O1047,(O1047-N1014+N1048)*(1+$C$7))</f>
        <v>0.13603217849016655</v>
      </c>
      <c r="P1048" s="18">
        <f t="shared" si="118"/>
        <v>0</v>
      </c>
      <c r="Q1048" s="18">
        <f>IF($A1048&gt;30,0,(Q1014-MIN(MAX(R1047,0),Q1014))+MIN(MAX(0,S1047-(Q1014-MIN(MAX(R1047,0),Q1014))),MAX(0,5*Q1014-(R1047-MIN(MAX(R1047,0),Q1014)))))</f>
        <v>0</v>
      </c>
      <c r="R1048" s="18">
        <f>IF($A1048&gt;30,R1047,(R1047-Q1014+Q1048)*(1+$C$7))</f>
        <v>1.0909476259257643E-9</v>
      </c>
      <c r="S1048" s="18">
        <f t="shared" si="119"/>
        <v>0</v>
      </c>
    </row>
    <row r="1049" spans="1:19">
      <c r="A1049" s="10">
        <f>33</f>
        <v>33</v>
      </c>
      <c r="B1049" s="18">
        <f>IF($A1049&gt;30,0,(B1014-MIN(MAX(C1048,0),B1014))+MIN(MAX(0,D1048-(B1014-MIN(MAX(C1048,0),B1014))),MAX(0,5*B1014-(C1048-MIN(MAX(C1048,0),B1014)))))</f>
        <v>0</v>
      </c>
      <c r="C1049" s="18">
        <f>IF($A1049&gt;30,C1048,(C1048-B1014+B1049)*(1+$C$7))</f>
        <v>150945</v>
      </c>
      <c r="D1049" s="18">
        <f t="shared" si="114"/>
        <v>637106.523028336</v>
      </c>
      <c r="E1049" s="18">
        <f>IF($A1049&gt;30,0,(E1014-MIN(MAX(F1048,0),E1014))+MIN(MAX(0,G1048-(E1014-MIN(MAX(F1048,0),E1014))),MAX(0,5*E1014-(F1048-MIN(MAX(F1048,0),E1014)))))</f>
        <v>0</v>
      </c>
      <c r="F1049" s="18">
        <f>IF($A1049&gt;30,F1048,(F1048-E1014+E1049)*(1+$C$7))</f>
        <v>0</v>
      </c>
      <c r="G1049" s="18">
        <f t="shared" si="115"/>
        <v>-1458826.2844781035</v>
      </c>
      <c r="H1049" s="18">
        <f>IF($A1049&gt;30,0,(H1014-MIN(MAX(I1048,0),H1014))+MIN(MAX(0,J1048-(H1014-MIN(MAX(I1048,0),H1014))),MAX(0,5*H1014-(I1048-MIN(MAX(I1048,0),H1014)))))</f>
        <v>0</v>
      </c>
      <c r="I1049" s="18">
        <f>IF($A1049&gt;30,I1048,(I1048-H1014+H1049)*(1+$C$7))</f>
        <v>0</v>
      </c>
      <c r="J1049" s="18">
        <f t="shared" si="116"/>
        <v>-50741.798504672966</v>
      </c>
      <c r="K1049" s="18">
        <f>IF($A1049&gt;30,0,(K1014-MIN(MAX(L1048,0),K1014))+MIN(MAX(0,M1048-(K1014-MIN(MAX(L1048,0),K1014))),MAX(0,5*K1014-(L1048-MIN(MAX(L1048,0),K1014)))))</f>
        <v>0</v>
      </c>
      <c r="L1049" s="18">
        <f>IF($A1049&gt;30,L1048,(L1048-K1014+K1049)*(1+$C$7))</f>
        <v>6.4965576700329022</v>
      </c>
      <c r="M1049" s="18">
        <f t="shared" si="117"/>
        <v>0</v>
      </c>
      <c r="N1049" s="18">
        <f>IF($A1049&gt;30,0,(N1014-MIN(MAX(O1048,0),N1014))+MIN(MAX(0,P1048-(N1014-MIN(MAX(O1048,0),N1014))),MAX(0,5*N1014-(O1048-MIN(MAX(O1048,0),N1014)))))</f>
        <v>0</v>
      </c>
      <c r="O1049" s="18">
        <f>IF($A1049&gt;30,O1048,(O1048-N1014+N1049)*(1+$C$7))</f>
        <v>0.13603217849016655</v>
      </c>
      <c r="P1049" s="18">
        <f t="shared" si="118"/>
        <v>0</v>
      </c>
      <c r="Q1049" s="18">
        <f>IF($A1049&gt;30,0,(Q1014-MIN(MAX(R1048,0),Q1014))+MIN(MAX(0,S1048-(Q1014-MIN(MAX(R1048,0),Q1014))),MAX(0,5*Q1014-(R1048-MIN(MAX(R1048,0),Q1014)))))</f>
        <v>0</v>
      </c>
      <c r="R1049" s="18">
        <f>IF($A1049&gt;30,R1048,(R1048-Q1014+Q1049)*(1+$C$7))</f>
        <v>1.0909476259257643E-9</v>
      </c>
      <c r="S1049" s="18">
        <f t="shared" si="119"/>
        <v>0</v>
      </c>
    </row>
    <row r="1050" spans="1:19">
      <c r="A1050" s="10">
        <f>34</f>
        <v>34</v>
      </c>
      <c r="B1050" s="18">
        <f>IF($A1050&gt;30,0,(B1014-MIN(MAX(C1049,0),B1014))+MIN(MAX(0,D1049-(B1014-MIN(MAX(C1049,0),B1014))),MAX(0,5*B1014-(C1049-MIN(MAX(C1049,0),B1014)))))</f>
        <v>0</v>
      </c>
      <c r="C1050" s="18">
        <f>IF($A1050&gt;30,C1049,(C1049-B1014+B1050)*(1+$C$7))</f>
        <v>150945</v>
      </c>
      <c r="D1050" s="18">
        <f t="shared" si="114"/>
        <v>637106.523028336</v>
      </c>
      <c r="E1050" s="18">
        <f>IF($A1050&gt;30,0,(E1014-MIN(MAX(F1049,0),E1014))+MIN(MAX(0,G1049-(E1014-MIN(MAX(F1049,0),E1014))),MAX(0,5*E1014-(F1049-MIN(MAX(F1049,0),E1014)))))</f>
        <v>0</v>
      </c>
      <c r="F1050" s="18">
        <f>IF($A1050&gt;30,F1049,(F1049-E1014+E1050)*(1+$C$7))</f>
        <v>0</v>
      </c>
      <c r="G1050" s="18">
        <f t="shared" si="115"/>
        <v>-1458826.2844781035</v>
      </c>
      <c r="H1050" s="18">
        <f>IF($A1050&gt;30,0,(H1014-MIN(MAX(I1049,0),H1014))+MIN(MAX(0,J1049-(H1014-MIN(MAX(I1049,0),H1014))),MAX(0,5*H1014-(I1049-MIN(MAX(I1049,0),H1014)))))</f>
        <v>0</v>
      </c>
      <c r="I1050" s="18">
        <f>IF($A1050&gt;30,I1049,(I1049-H1014+H1050)*(1+$C$7))</f>
        <v>0</v>
      </c>
      <c r="J1050" s="18">
        <f t="shared" si="116"/>
        <v>-50741.798504672966</v>
      </c>
      <c r="K1050" s="18">
        <f>IF($A1050&gt;30,0,(K1014-MIN(MAX(L1049,0),K1014))+MIN(MAX(0,M1049-(K1014-MIN(MAX(L1049,0),K1014))),MAX(0,5*K1014-(L1049-MIN(MAX(L1049,0),K1014)))))</f>
        <v>0</v>
      </c>
      <c r="L1050" s="18">
        <f>IF($A1050&gt;30,L1049,(L1049-K1014+K1050)*(1+$C$7))</f>
        <v>6.4965576700329022</v>
      </c>
      <c r="M1050" s="18">
        <f t="shared" si="117"/>
        <v>0</v>
      </c>
      <c r="N1050" s="18">
        <f>IF($A1050&gt;30,0,(N1014-MIN(MAX(O1049,0),N1014))+MIN(MAX(0,P1049-(N1014-MIN(MAX(O1049,0),N1014))),MAX(0,5*N1014-(O1049-MIN(MAX(O1049,0),N1014)))))</f>
        <v>0</v>
      </c>
      <c r="O1050" s="18">
        <f>IF($A1050&gt;30,O1049,(O1049-N1014+N1050)*(1+$C$7))</f>
        <v>0.13603217849016655</v>
      </c>
      <c r="P1050" s="18">
        <f t="shared" si="118"/>
        <v>0</v>
      </c>
      <c r="Q1050" s="18">
        <f>IF($A1050&gt;30,0,(Q1014-MIN(MAX(R1049,0),Q1014))+MIN(MAX(0,S1049-(Q1014-MIN(MAX(R1049,0),Q1014))),MAX(0,5*Q1014-(R1049-MIN(MAX(R1049,0),Q1014)))))</f>
        <v>0</v>
      </c>
      <c r="R1050" s="18">
        <f>IF($A1050&gt;30,R1049,(R1049-Q1014+Q1050)*(1+$C$7))</f>
        <v>1.0909476259257643E-9</v>
      </c>
      <c r="S1050" s="18">
        <f t="shared" si="119"/>
        <v>0</v>
      </c>
    </row>
    <row r="1051" spans="1:19">
      <c r="A1051" s="10">
        <f>35</f>
        <v>35</v>
      </c>
      <c r="B1051" s="18">
        <f>IF($A1051&gt;30,0,(B1014-MIN(MAX(C1050,0),B1014))+MIN(MAX(0,D1050-(B1014-MIN(MAX(C1050,0),B1014))),MAX(0,5*B1014-(C1050-MIN(MAX(C1050,0),B1014)))))</f>
        <v>0</v>
      </c>
      <c r="C1051" s="18">
        <f>IF($A1051&gt;30,C1050,(C1050-B1014+B1051)*(1+$C$7))</f>
        <v>150945</v>
      </c>
      <c r="D1051" s="18">
        <f t="shared" si="114"/>
        <v>637106.523028336</v>
      </c>
      <c r="E1051" s="18">
        <f>IF($A1051&gt;30,0,(E1014-MIN(MAX(F1050,0),E1014))+MIN(MAX(0,G1050-(E1014-MIN(MAX(F1050,0),E1014))),MAX(0,5*E1014-(F1050-MIN(MAX(F1050,0),E1014)))))</f>
        <v>0</v>
      </c>
      <c r="F1051" s="18">
        <f>IF($A1051&gt;30,F1050,(F1050-E1014+E1051)*(1+$C$7))</f>
        <v>0</v>
      </c>
      <c r="G1051" s="18">
        <f t="shared" si="115"/>
        <v>-1458826.2844781035</v>
      </c>
      <c r="H1051" s="18">
        <f>IF($A1051&gt;30,0,(H1014-MIN(MAX(I1050,0),H1014))+MIN(MAX(0,J1050-(H1014-MIN(MAX(I1050,0),H1014))),MAX(0,5*H1014-(I1050-MIN(MAX(I1050,0),H1014)))))</f>
        <v>0</v>
      </c>
      <c r="I1051" s="18">
        <f>IF($A1051&gt;30,I1050,(I1050-H1014+H1051)*(1+$C$7))</f>
        <v>0</v>
      </c>
      <c r="J1051" s="18">
        <f t="shared" si="116"/>
        <v>-50741.798504672966</v>
      </c>
      <c r="K1051" s="18">
        <f>IF($A1051&gt;30,0,(K1014-MIN(MAX(L1050,0),K1014))+MIN(MAX(0,M1050-(K1014-MIN(MAX(L1050,0),K1014))),MAX(0,5*K1014-(L1050-MIN(MAX(L1050,0),K1014)))))</f>
        <v>0</v>
      </c>
      <c r="L1051" s="18">
        <f>IF($A1051&gt;30,L1050,(L1050-K1014+K1051)*(1+$C$7))</f>
        <v>6.4965576700329022</v>
      </c>
      <c r="M1051" s="18">
        <f t="shared" si="117"/>
        <v>0</v>
      </c>
      <c r="N1051" s="18">
        <f>IF($A1051&gt;30,0,(N1014-MIN(MAX(O1050,0),N1014))+MIN(MAX(0,P1050-(N1014-MIN(MAX(O1050,0),N1014))),MAX(0,5*N1014-(O1050-MIN(MAX(O1050,0),N1014)))))</f>
        <v>0</v>
      </c>
      <c r="O1051" s="18">
        <f>IF($A1051&gt;30,O1050,(O1050-N1014+N1051)*(1+$C$7))</f>
        <v>0.13603217849016655</v>
      </c>
      <c r="P1051" s="18">
        <f t="shared" si="118"/>
        <v>0</v>
      </c>
      <c r="Q1051" s="18">
        <f>IF($A1051&gt;30,0,(Q1014-MIN(MAX(R1050,0),Q1014))+MIN(MAX(0,S1050-(Q1014-MIN(MAX(R1050,0),Q1014))),MAX(0,5*Q1014-(R1050-MIN(MAX(R1050,0),Q1014)))))</f>
        <v>0</v>
      </c>
      <c r="R1051" s="18">
        <f>IF($A1051&gt;30,R1050,(R1050-Q1014+Q1051)*(1+$C$7))</f>
        <v>1.0909476259257643E-9</v>
      </c>
      <c r="S1051" s="18">
        <f t="shared" si="119"/>
        <v>0</v>
      </c>
    </row>
    <row r="1052" spans="1:19">
      <c r="A1052" s="10">
        <f>36</f>
        <v>36</v>
      </c>
      <c r="B1052" s="18">
        <f>IF($A1052&gt;30,0,(B1014-MIN(MAX(C1051,0),B1014))+MIN(MAX(0,D1051-(B1014-MIN(MAX(C1051,0),B1014))),MAX(0,5*B1014-(C1051-MIN(MAX(C1051,0),B1014)))))</f>
        <v>0</v>
      </c>
      <c r="C1052" s="18">
        <f>IF($A1052&gt;30,C1051,(C1051-B1014+B1052)*(1+$C$7))</f>
        <v>150945</v>
      </c>
      <c r="D1052" s="18">
        <f t="shared" si="114"/>
        <v>637106.523028336</v>
      </c>
      <c r="E1052" s="18">
        <f>IF($A1052&gt;30,0,(E1014-MIN(MAX(F1051,0),E1014))+MIN(MAX(0,G1051-(E1014-MIN(MAX(F1051,0),E1014))),MAX(0,5*E1014-(F1051-MIN(MAX(F1051,0),E1014)))))</f>
        <v>0</v>
      </c>
      <c r="F1052" s="18">
        <f>IF($A1052&gt;30,F1051,(F1051-E1014+E1052)*(1+$C$7))</f>
        <v>0</v>
      </c>
      <c r="G1052" s="18">
        <f t="shared" si="115"/>
        <v>-1458826.2844781035</v>
      </c>
      <c r="H1052" s="18">
        <f>IF($A1052&gt;30,0,(H1014-MIN(MAX(I1051,0),H1014))+MIN(MAX(0,J1051-(H1014-MIN(MAX(I1051,0),H1014))),MAX(0,5*H1014-(I1051-MIN(MAX(I1051,0),H1014)))))</f>
        <v>0</v>
      </c>
      <c r="I1052" s="18">
        <f>IF($A1052&gt;30,I1051,(I1051-H1014+H1052)*(1+$C$7))</f>
        <v>0</v>
      </c>
      <c r="J1052" s="18">
        <f t="shared" si="116"/>
        <v>-50741.798504672966</v>
      </c>
      <c r="K1052" s="18">
        <f>IF($A1052&gt;30,0,(K1014-MIN(MAX(L1051,0),K1014))+MIN(MAX(0,M1051-(K1014-MIN(MAX(L1051,0),K1014))),MAX(0,5*K1014-(L1051-MIN(MAX(L1051,0),K1014)))))</f>
        <v>0</v>
      </c>
      <c r="L1052" s="18">
        <f>IF($A1052&gt;30,L1051,(L1051-K1014+K1052)*(1+$C$7))</f>
        <v>6.4965576700329022</v>
      </c>
      <c r="M1052" s="18">
        <f t="shared" si="117"/>
        <v>0</v>
      </c>
      <c r="N1052" s="18">
        <f>IF($A1052&gt;30,0,(N1014-MIN(MAX(O1051,0),N1014))+MIN(MAX(0,P1051-(N1014-MIN(MAX(O1051,0),N1014))),MAX(0,5*N1014-(O1051-MIN(MAX(O1051,0),N1014)))))</f>
        <v>0</v>
      </c>
      <c r="O1052" s="18">
        <f>IF($A1052&gt;30,O1051,(O1051-N1014+N1052)*(1+$C$7))</f>
        <v>0.13603217849016655</v>
      </c>
      <c r="P1052" s="18">
        <f t="shared" si="118"/>
        <v>0</v>
      </c>
      <c r="Q1052" s="18">
        <f>IF($A1052&gt;30,0,(Q1014-MIN(MAX(R1051,0),Q1014))+MIN(MAX(0,S1051-(Q1014-MIN(MAX(R1051,0),Q1014))),MAX(0,5*Q1014-(R1051-MIN(MAX(R1051,0),Q1014)))))</f>
        <v>0</v>
      </c>
      <c r="R1052" s="18">
        <f>IF($A1052&gt;30,R1051,(R1051-Q1014+Q1052)*(1+$C$7))</f>
        <v>1.0909476259257643E-9</v>
      </c>
      <c r="S1052" s="18">
        <f t="shared" si="119"/>
        <v>0</v>
      </c>
    </row>
    <row r="1053" spans="1:19">
      <c r="A1053" s="10">
        <f>37</f>
        <v>37</v>
      </c>
      <c r="B1053" s="18">
        <f>IF($A1053&gt;30,0,(B1014-MIN(MAX(C1052,0),B1014))+MIN(MAX(0,D1052-(B1014-MIN(MAX(C1052,0),B1014))),MAX(0,5*B1014-(C1052-MIN(MAX(C1052,0),B1014)))))</f>
        <v>0</v>
      </c>
      <c r="C1053" s="18">
        <f>IF($A1053&gt;30,C1052,(C1052-B1014+B1053)*(1+$C$7))</f>
        <v>150945</v>
      </c>
      <c r="D1053" s="18">
        <f t="shared" si="114"/>
        <v>637106.523028336</v>
      </c>
      <c r="E1053" s="18">
        <f>IF($A1053&gt;30,0,(E1014-MIN(MAX(F1052,0),E1014))+MIN(MAX(0,G1052-(E1014-MIN(MAX(F1052,0),E1014))),MAX(0,5*E1014-(F1052-MIN(MAX(F1052,0),E1014)))))</f>
        <v>0</v>
      </c>
      <c r="F1053" s="18">
        <f>IF($A1053&gt;30,F1052,(F1052-E1014+E1053)*(1+$C$7))</f>
        <v>0</v>
      </c>
      <c r="G1053" s="18">
        <f t="shared" si="115"/>
        <v>-1458826.2844781035</v>
      </c>
      <c r="H1053" s="18">
        <f>IF($A1053&gt;30,0,(H1014-MIN(MAX(I1052,0),H1014))+MIN(MAX(0,J1052-(H1014-MIN(MAX(I1052,0),H1014))),MAX(0,5*H1014-(I1052-MIN(MAX(I1052,0),H1014)))))</f>
        <v>0</v>
      </c>
      <c r="I1053" s="18">
        <f>IF($A1053&gt;30,I1052,(I1052-H1014+H1053)*(1+$C$7))</f>
        <v>0</v>
      </c>
      <c r="J1053" s="18">
        <f t="shared" si="116"/>
        <v>-50741.798504672966</v>
      </c>
      <c r="K1053" s="18">
        <f>IF($A1053&gt;30,0,(K1014-MIN(MAX(L1052,0),K1014))+MIN(MAX(0,M1052-(K1014-MIN(MAX(L1052,0),K1014))),MAX(0,5*K1014-(L1052-MIN(MAX(L1052,0),K1014)))))</f>
        <v>0</v>
      </c>
      <c r="L1053" s="18">
        <f>IF($A1053&gt;30,L1052,(L1052-K1014+K1053)*(1+$C$7))</f>
        <v>6.4965576700329022</v>
      </c>
      <c r="M1053" s="18">
        <f t="shared" si="117"/>
        <v>0</v>
      </c>
      <c r="N1053" s="18">
        <f>IF($A1053&gt;30,0,(N1014-MIN(MAX(O1052,0),N1014))+MIN(MAX(0,P1052-(N1014-MIN(MAX(O1052,0),N1014))),MAX(0,5*N1014-(O1052-MIN(MAX(O1052,0),N1014)))))</f>
        <v>0</v>
      </c>
      <c r="O1053" s="18">
        <f>IF($A1053&gt;30,O1052,(O1052-N1014+N1053)*(1+$C$7))</f>
        <v>0.13603217849016655</v>
      </c>
      <c r="P1053" s="18">
        <f t="shared" si="118"/>
        <v>0</v>
      </c>
      <c r="Q1053" s="18">
        <f>IF($A1053&gt;30,0,(Q1014-MIN(MAX(R1052,0),Q1014))+MIN(MAX(0,S1052-(Q1014-MIN(MAX(R1052,0),Q1014))),MAX(0,5*Q1014-(R1052-MIN(MAX(R1052,0),Q1014)))))</f>
        <v>0</v>
      </c>
      <c r="R1053" s="18">
        <f>IF($A1053&gt;30,R1052,(R1052-Q1014+Q1053)*(1+$C$7))</f>
        <v>1.0909476259257643E-9</v>
      </c>
      <c r="S1053" s="18">
        <f t="shared" si="119"/>
        <v>0</v>
      </c>
    </row>
    <row r="1054" spans="1:19">
      <c r="A1054" s="10">
        <f>38</f>
        <v>38</v>
      </c>
      <c r="B1054" s="18">
        <f>IF($A1054&gt;30,0,(B1014-MIN(MAX(C1053,0),B1014))+MIN(MAX(0,D1053-(B1014-MIN(MAX(C1053,0),B1014))),MAX(0,5*B1014-(C1053-MIN(MAX(C1053,0),B1014)))))</f>
        <v>0</v>
      </c>
      <c r="C1054" s="18">
        <f>IF($A1054&gt;30,C1053,(C1053-B1014+B1054)*(1+$C$7))</f>
        <v>150945</v>
      </c>
      <c r="D1054" s="18">
        <f t="shared" si="114"/>
        <v>637106.523028336</v>
      </c>
      <c r="E1054" s="18">
        <f>IF($A1054&gt;30,0,(E1014-MIN(MAX(F1053,0),E1014))+MIN(MAX(0,G1053-(E1014-MIN(MAX(F1053,0),E1014))),MAX(0,5*E1014-(F1053-MIN(MAX(F1053,0),E1014)))))</f>
        <v>0</v>
      </c>
      <c r="F1054" s="18">
        <f>IF($A1054&gt;30,F1053,(F1053-E1014+E1054)*(1+$C$7))</f>
        <v>0</v>
      </c>
      <c r="G1054" s="18">
        <f t="shared" si="115"/>
        <v>-1458826.2844781035</v>
      </c>
      <c r="H1054" s="18">
        <f>IF($A1054&gt;30,0,(H1014-MIN(MAX(I1053,0),H1014))+MIN(MAX(0,J1053-(H1014-MIN(MAX(I1053,0),H1014))),MAX(0,5*H1014-(I1053-MIN(MAX(I1053,0),H1014)))))</f>
        <v>0</v>
      </c>
      <c r="I1054" s="18">
        <f>IF($A1054&gt;30,I1053,(I1053-H1014+H1054)*(1+$C$7))</f>
        <v>0</v>
      </c>
      <c r="J1054" s="18">
        <f t="shared" si="116"/>
        <v>-50741.798504672966</v>
      </c>
      <c r="K1054" s="18">
        <f>IF($A1054&gt;30,0,(K1014-MIN(MAX(L1053,0),K1014))+MIN(MAX(0,M1053-(K1014-MIN(MAX(L1053,0),K1014))),MAX(0,5*K1014-(L1053-MIN(MAX(L1053,0),K1014)))))</f>
        <v>0</v>
      </c>
      <c r="L1054" s="18">
        <f>IF($A1054&gt;30,L1053,(L1053-K1014+K1054)*(1+$C$7))</f>
        <v>6.4965576700329022</v>
      </c>
      <c r="M1054" s="18">
        <f t="shared" si="117"/>
        <v>0</v>
      </c>
      <c r="N1054" s="18">
        <f>IF($A1054&gt;30,0,(N1014-MIN(MAX(O1053,0),N1014))+MIN(MAX(0,P1053-(N1014-MIN(MAX(O1053,0),N1014))),MAX(0,5*N1014-(O1053-MIN(MAX(O1053,0),N1014)))))</f>
        <v>0</v>
      </c>
      <c r="O1054" s="18">
        <f>IF($A1054&gt;30,O1053,(O1053-N1014+N1054)*(1+$C$7))</f>
        <v>0.13603217849016655</v>
      </c>
      <c r="P1054" s="18">
        <f t="shared" si="118"/>
        <v>0</v>
      </c>
      <c r="Q1054" s="18">
        <f>IF($A1054&gt;30,0,(Q1014-MIN(MAX(R1053,0),Q1014))+MIN(MAX(0,S1053-(Q1014-MIN(MAX(R1053,0),Q1014))),MAX(0,5*Q1014-(R1053-MIN(MAX(R1053,0),Q1014)))))</f>
        <v>0</v>
      </c>
      <c r="R1054" s="18">
        <f>IF($A1054&gt;30,R1053,(R1053-Q1014+Q1054)*(1+$C$7))</f>
        <v>1.0909476259257643E-9</v>
      </c>
      <c r="S1054" s="18">
        <f t="shared" si="119"/>
        <v>0</v>
      </c>
    </row>
    <row r="1055" spans="1:19">
      <c r="A1055" s="10">
        <f>39</f>
        <v>39</v>
      </c>
      <c r="B1055" s="18">
        <f>IF($A1055&gt;30,0,(B1014-MIN(MAX(C1054,0),B1014))+MIN(MAX(0,D1054-(B1014-MIN(MAX(C1054,0),B1014))),MAX(0,5*B1014-(C1054-MIN(MAX(C1054,0),B1014)))))</f>
        <v>0</v>
      </c>
      <c r="C1055" s="18">
        <f>IF($A1055&gt;30,C1054,(C1054-B1014+B1055)*(1+$C$7))</f>
        <v>150945</v>
      </c>
      <c r="D1055" s="18">
        <f t="shared" si="114"/>
        <v>637106.523028336</v>
      </c>
      <c r="E1055" s="18">
        <f>IF($A1055&gt;30,0,(E1014-MIN(MAX(F1054,0),E1014))+MIN(MAX(0,G1054-(E1014-MIN(MAX(F1054,0),E1014))),MAX(0,5*E1014-(F1054-MIN(MAX(F1054,0),E1014)))))</f>
        <v>0</v>
      </c>
      <c r="F1055" s="18">
        <f>IF($A1055&gt;30,F1054,(F1054-E1014+E1055)*(1+$C$7))</f>
        <v>0</v>
      </c>
      <c r="G1055" s="18">
        <f t="shared" si="115"/>
        <v>-1458826.2844781035</v>
      </c>
      <c r="H1055" s="18">
        <f>IF($A1055&gt;30,0,(H1014-MIN(MAX(I1054,0),H1014))+MIN(MAX(0,J1054-(H1014-MIN(MAX(I1054,0),H1014))),MAX(0,5*H1014-(I1054-MIN(MAX(I1054,0),H1014)))))</f>
        <v>0</v>
      </c>
      <c r="I1055" s="18">
        <f>IF($A1055&gt;30,I1054,(I1054-H1014+H1055)*(1+$C$7))</f>
        <v>0</v>
      </c>
      <c r="J1055" s="18">
        <f t="shared" si="116"/>
        <v>-50741.798504672966</v>
      </c>
      <c r="K1055" s="18">
        <f>IF($A1055&gt;30,0,(K1014-MIN(MAX(L1054,0),K1014))+MIN(MAX(0,M1054-(K1014-MIN(MAX(L1054,0),K1014))),MAX(0,5*K1014-(L1054-MIN(MAX(L1054,0),K1014)))))</f>
        <v>0</v>
      </c>
      <c r="L1055" s="18">
        <f>IF($A1055&gt;30,L1054,(L1054-K1014+K1055)*(1+$C$7))</f>
        <v>6.4965576700329022</v>
      </c>
      <c r="M1055" s="18">
        <f t="shared" si="117"/>
        <v>0</v>
      </c>
      <c r="N1055" s="18">
        <f>IF($A1055&gt;30,0,(N1014-MIN(MAX(O1054,0),N1014))+MIN(MAX(0,P1054-(N1014-MIN(MAX(O1054,0),N1014))),MAX(0,5*N1014-(O1054-MIN(MAX(O1054,0),N1014)))))</f>
        <v>0</v>
      </c>
      <c r="O1055" s="18">
        <f>IF($A1055&gt;30,O1054,(O1054-N1014+N1055)*(1+$C$7))</f>
        <v>0.13603217849016655</v>
      </c>
      <c r="P1055" s="18">
        <f t="shared" si="118"/>
        <v>0</v>
      </c>
      <c r="Q1055" s="18">
        <f>IF($A1055&gt;30,0,(Q1014-MIN(MAX(R1054,0),Q1014))+MIN(MAX(0,S1054-(Q1014-MIN(MAX(R1054,0),Q1014))),MAX(0,5*Q1014-(R1054-MIN(MAX(R1054,0),Q1014)))))</f>
        <v>0</v>
      </c>
      <c r="R1055" s="18">
        <f>IF($A1055&gt;30,R1054,(R1054-Q1014+Q1055)*(1+$C$7))</f>
        <v>1.0909476259257643E-9</v>
      </c>
      <c r="S1055" s="18">
        <f t="shared" si="119"/>
        <v>0</v>
      </c>
    </row>
    <row r="1056" spans="1:19">
      <c r="A1056" s="10">
        <f>40</f>
        <v>40</v>
      </c>
      <c r="B1056" s="18">
        <f>IF($A1056&gt;30,0,(B1014-MIN(MAX(C1055,0),B1014))+MIN(MAX(0,D1055-(B1014-MIN(MAX(C1055,0),B1014))),MAX(0,5*B1014-(C1055-MIN(MAX(C1055,0),B1014)))))</f>
        <v>0</v>
      </c>
      <c r="C1056" s="18">
        <f>IF($A1056&gt;30,C1055,(C1055-B1014+B1056)*(1+$C$7))</f>
        <v>150945</v>
      </c>
      <c r="D1056" s="18">
        <f t="shared" si="114"/>
        <v>637106.523028336</v>
      </c>
      <c r="E1056" s="18">
        <f>IF($A1056&gt;30,0,(E1014-MIN(MAX(F1055,0),E1014))+MIN(MAX(0,G1055-(E1014-MIN(MAX(F1055,0),E1014))),MAX(0,5*E1014-(F1055-MIN(MAX(F1055,0),E1014)))))</f>
        <v>0</v>
      </c>
      <c r="F1056" s="18">
        <f>IF($A1056&gt;30,F1055,(F1055-E1014+E1056)*(1+$C$7))</f>
        <v>0</v>
      </c>
      <c r="G1056" s="18">
        <f t="shared" si="115"/>
        <v>-1458826.2844781035</v>
      </c>
      <c r="H1056" s="18">
        <f>IF($A1056&gt;30,0,(H1014-MIN(MAX(I1055,0),H1014))+MIN(MAX(0,J1055-(H1014-MIN(MAX(I1055,0),H1014))),MAX(0,5*H1014-(I1055-MIN(MAX(I1055,0),H1014)))))</f>
        <v>0</v>
      </c>
      <c r="I1056" s="18">
        <f>IF($A1056&gt;30,I1055,(I1055-H1014+H1056)*(1+$C$7))</f>
        <v>0</v>
      </c>
      <c r="J1056" s="18">
        <f t="shared" si="116"/>
        <v>-50741.798504672966</v>
      </c>
      <c r="K1056" s="18">
        <f>IF($A1056&gt;30,0,(K1014-MIN(MAX(L1055,0),K1014))+MIN(MAX(0,M1055-(K1014-MIN(MAX(L1055,0),K1014))),MAX(0,5*K1014-(L1055-MIN(MAX(L1055,0),K1014)))))</f>
        <v>0</v>
      </c>
      <c r="L1056" s="18">
        <f>IF($A1056&gt;30,L1055,(L1055-K1014+K1056)*(1+$C$7))</f>
        <v>6.4965576700329022</v>
      </c>
      <c r="M1056" s="18">
        <f t="shared" si="117"/>
        <v>0</v>
      </c>
      <c r="N1056" s="18">
        <f>IF($A1056&gt;30,0,(N1014-MIN(MAX(O1055,0),N1014))+MIN(MAX(0,P1055-(N1014-MIN(MAX(O1055,0),N1014))),MAX(0,5*N1014-(O1055-MIN(MAX(O1055,0),N1014)))))</f>
        <v>0</v>
      </c>
      <c r="O1056" s="18">
        <f>IF($A1056&gt;30,O1055,(O1055-N1014+N1056)*(1+$C$7))</f>
        <v>0.13603217849016655</v>
      </c>
      <c r="P1056" s="18">
        <f t="shared" si="118"/>
        <v>0</v>
      </c>
      <c r="Q1056" s="18">
        <f>IF($A1056&gt;30,0,(Q1014-MIN(MAX(R1055,0),Q1014))+MIN(MAX(0,S1055-(Q1014-MIN(MAX(R1055,0),Q1014))),MAX(0,5*Q1014-(R1055-MIN(MAX(R1055,0),Q1014)))))</f>
        <v>0</v>
      </c>
      <c r="R1056" s="18">
        <f>IF($A1056&gt;30,R1055,(R1055-Q1014+Q1056)*(1+$C$7))</f>
        <v>1.0909476259257643E-9</v>
      </c>
      <c r="S1056" s="18">
        <f t="shared" si="119"/>
        <v>0</v>
      </c>
    </row>
    <row r="1057" spans="1:19">
      <c r="B1057" s="18">
        <f>C1056+D1056</f>
        <v>788051.523028336</v>
      </c>
      <c r="E1057" s="18">
        <f>F1056+G1056</f>
        <v>-1458826.2844781035</v>
      </c>
      <c r="H1057" s="18">
        <f>I1056+J1056</f>
        <v>-50741.798504672966</v>
      </c>
      <c r="K1057" s="18">
        <f>L1056+M1056</f>
        <v>6.4965576700329022</v>
      </c>
      <c r="N1057" s="18">
        <f>O1056+P1056</f>
        <v>0.13603217849016655</v>
      </c>
      <c r="Q1057" s="18">
        <f>R1056+S1056</f>
        <v>1.0909476259257643E-9</v>
      </c>
    </row>
    <row r="1058" spans="1:19">
      <c r="A1058" s="5" t="s">
        <v>266</v>
      </c>
      <c r="B1058" s="18">
        <f>IFERROR(Q1014-Q1057*(Q1014-N1014)/(Q1057-N1057),Q1014)</f>
        <v>44730.201521800074</v>
      </c>
    </row>
    <row r="1060" spans="1:19">
      <c r="A1060" s="2" t="s">
        <v>286</v>
      </c>
    </row>
    <row r="1061" spans="1:19">
      <c r="B1061" s="9">
        <f>0.03*$B$5</f>
        <v>30000</v>
      </c>
      <c r="E1061" s="9">
        <f>0.075*$B$5</f>
        <v>75000</v>
      </c>
      <c r="H1061" s="18">
        <f>IFERROR(E1061-E1104*(E1061-B1061)/(E1104-B1104),E1061)</f>
        <v>42002.308631517371</v>
      </c>
      <c r="K1061" s="18">
        <f>IFERROR(H1061-H1104*(H1061-E1061)/(H1104-E1104),H1061)</f>
        <v>42002.3086315174</v>
      </c>
      <c r="N1061" s="18">
        <f>IFERROR(K1061-K1104*(K1061-H1061)/(K1104-H1104),K1061)</f>
        <v>42002.308631517386</v>
      </c>
      <c r="Q1061" s="18">
        <f>IFERROR(N1061-N1104*(N1061-K1061)/(N1104-K1104),N1061)</f>
        <v>42002.308631517393</v>
      </c>
    </row>
    <row r="1062" spans="1:19">
      <c r="A1062" s="25" t="s">
        <v>262</v>
      </c>
      <c r="B1062" s="25" t="s">
        <v>263</v>
      </c>
      <c r="C1062" s="25" t="s">
        <v>264</v>
      </c>
      <c r="D1062" s="25" t="s">
        <v>265</v>
      </c>
      <c r="E1062" s="25" t="s">
        <v>263</v>
      </c>
      <c r="F1062" s="25" t="s">
        <v>264</v>
      </c>
      <c r="G1062" s="25" t="s">
        <v>265</v>
      </c>
      <c r="H1062" s="25" t="s">
        <v>263</v>
      </c>
      <c r="I1062" s="25" t="s">
        <v>264</v>
      </c>
      <c r="J1062" s="25" t="s">
        <v>265</v>
      </c>
      <c r="K1062" s="25" t="s">
        <v>263</v>
      </c>
      <c r="L1062" s="25" t="s">
        <v>264</v>
      </c>
      <c r="M1062" s="25" t="s">
        <v>265</v>
      </c>
      <c r="N1062" s="25" t="s">
        <v>263</v>
      </c>
      <c r="O1062" s="25" t="s">
        <v>264</v>
      </c>
      <c r="P1062" s="25" t="s">
        <v>265</v>
      </c>
      <c r="Q1062" s="25" t="s">
        <v>263</v>
      </c>
      <c r="R1062" s="25" t="s">
        <v>264</v>
      </c>
      <c r="S1062" s="25" t="s">
        <v>265</v>
      </c>
    </row>
    <row r="1063" spans="1:19">
      <c r="A1063" s="3">
        <v>0</v>
      </c>
      <c r="C1063" s="18">
        <f>MIN(0*B1061,$B$5)</f>
        <v>0</v>
      </c>
      <c r="D1063" s="18">
        <f>$B$5-C1063</f>
        <v>1000000</v>
      </c>
      <c r="F1063" s="18">
        <f>MIN(0*E1061,$B$5)</f>
        <v>0</v>
      </c>
      <c r="G1063" s="18">
        <f>$B$5-F1063</f>
        <v>1000000</v>
      </c>
      <c r="I1063" s="18">
        <f>MIN(0*H1061,$B$5)</f>
        <v>0</v>
      </c>
      <c r="J1063" s="18">
        <f>$B$5-I1063</f>
        <v>1000000</v>
      </c>
      <c r="L1063" s="18">
        <f>MIN(0*K1061,$B$5)</f>
        <v>0</v>
      </c>
      <c r="M1063" s="18">
        <f>$B$5-L1063</f>
        <v>1000000</v>
      </c>
      <c r="O1063" s="18">
        <f>MIN(0*N1061,$B$5)</f>
        <v>0</v>
      </c>
      <c r="P1063" s="18">
        <f>$B$5-O1063</f>
        <v>1000000</v>
      </c>
      <c r="R1063" s="18">
        <f>MIN(0*Q1061,$B$5)</f>
        <v>0</v>
      </c>
      <c r="S1063" s="18">
        <f>$B$5-R1063</f>
        <v>1000000</v>
      </c>
    </row>
    <row r="1064" spans="1:19">
      <c r="A1064" s="10">
        <f>1</f>
        <v>1</v>
      </c>
      <c r="B1064" s="18">
        <f>IF($A1064&gt;40,0,(B1061-MIN(MAX(C1063,0),B1061))+MIN(MAX(0,D1063-(B1061-MIN(MAX(C1063,0),B1061))),MAX(0,0*B1061-(C1063-MIN(MAX(C1063,0),B1061)))))</f>
        <v>30000</v>
      </c>
      <c r="C1064" s="18">
        <f>IF($A1064&gt;40,C1063,(C1063-B1061+B1064)*(1+$B$7))</f>
        <v>0</v>
      </c>
      <c r="D1064" s="18">
        <f t="shared" ref="D1064:D1103" si="120">IF($A1064&gt;40,D1063,(D1063-B1064)*(1+$B$6))</f>
        <v>999100</v>
      </c>
      <c r="E1064" s="18">
        <f>IF($A1064&gt;40,0,(E1061-MIN(MAX(F1063,0),E1061))+MIN(MAX(0,G1063-(E1061-MIN(MAX(F1063,0),E1061))),MAX(0,0*E1061-(F1063-MIN(MAX(F1063,0),E1061)))))</f>
        <v>75000</v>
      </c>
      <c r="F1064" s="18">
        <f>IF($A1064&gt;40,F1063,(F1063-E1061+E1064)*(1+$B$7))</f>
        <v>0</v>
      </c>
      <c r="G1064" s="18">
        <f t="shared" ref="G1064:G1103" si="121">IF($A1064&gt;40,G1063,(G1063-E1064)*(1+$B$6))</f>
        <v>952750</v>
      </c>
      <c r="H1064" s="18">
        <f>IF($A1064&gt;40,0,(H1061-MIN(MAX(I1063,0),H1061))+MIN(MAX(0,J1063-(H1061-MIN(MAX(I1063,0),H1061))),MAX(0,0*H1061-(I1063-MIN(MAX(I1063,0),H1061)))))</f>
        <v>42002.308631517371</v>
      </c>
      <c r="I1064" s="18">
        <f>IF($A1064&gt;40,I1063,(I1063-H1061+H1064)*(1+$B$7))</f>
        <v>0</v>
      </c>
      <c r="J1064" s="18">
        <f t="shared" ref="J1064:J1103" si="122">IF($A1064&gt;40,J1063,(J1063-H1064)*(1+$B$6))</f>
        <v>986737.62210953713</v>
      </c>
      <c r="K1064" s="18">
        <f>IF($A1064&gt;40,0,(K1061-MIN(MAX(L1063,0),K1061))+MIN(MAX(0,M1063-(K1061-MIN(MAX(L1063,0),K1061))),MAX(0,0*K1061-(L1063-MIN(MAX(L1063,0),K1061)))))</f>
        <v>42002.3086315174</v>
      </c>
      <c r="L1064" s="18">
        <f>IF($A1064&gt;40,L1063,(L1063-K1061+K1064)*(1+$B$7))</f>
        <v>0</v>
      </c>
      <c r="M1064" s="18">
        <f t="shared" ref="M1064:M1103" si="123">IF($A1064&gt;40,M1063,(M1063-K1064)*(1+$B$6))</f>
        <v>986737.62210953701</v>
      </c>
      <c r="N1064" s="18">
        <f>IF($A1064&gt;40,0,(N1061-MIN(MAX(O1063,0),N1061))+MIN(MAX(0,P1063-(N1061-MIN(MAX(O1063,0),N1061))),MAX(0,0*N1061-(O1063-MIN(MAX(O1063,0),N1061)))))</f>
        <v>42002.308631517386</v>
      </c>
      <c r="O1064" s="18">
        <f>IF($A1064&gt;40,O1063,(O1063-N1061+N1064)*(1+$B$7))</f>
        <v>0</v>
      </c>
      <c r="P1064" s="18">
        <f t="shared" ref="P1064:P1103" si="124">IF($A1064&gt;40,P1063,(P1063-N1064)*(1+$B$6))</f>
        <v>986737.62210953713</v>
      </c>
      <c r="Q1064" s="18">
        <f>IF($A1064&gt;40,0,(Q1061-MIN(MAX(R1063,0),Q1061))+MIN(MAX(0,S1063-(Q1061-MIN(MAX(R1063,0),Q1061))),MAX(0,0*Q1061-(R1063-MIN(MAX(R1063,0),Q1061)))))</f>
        <v>42002.308631517393</v>
      </c>
      <c r="R1064" s="18">
        <f>IF($A1064&gt;40,R1063,(R1063-Q1061+Q1064)*(1+$B$7))</f>
        <v>0</v>
      </c>
      <c r="S1064" s="18">
        <f t="shared" ref="S1064:S1103" si="125">IF($A1064&gt;40,S1063,(S1063-Q1064)*(1+$B$6))</f>
        <v>986737.62210953713</v>
      </c>
    </row>
    <row r="1065" spans="1:19">
      <c r="A1065" s="10">
        <f>2</f>
        <v>2</v>
      </c>
      <c r="B1065" s="18">
        <f>IF($A1065&gt;40,0,(B1061-MIN(MAX(C1064,0),B1061))+MIN(MAX(0,D1064-(B1061-MIN(MAX(C1064,0),B1061))),MAX(0,0*B1061-(C1064-MIN(MAX(C1064,0),B1061)))))</f>
        <v>30000</v>
      </c>
      <c r="C1065" s="18">
        <f>IF($A1065&gt;40,C1064,(C1064-B1061+B1065)*(1+$B$7))</f>
        <v>0</v>
      </c>
      <c r="D1065" s="18">
        <f t="shared" si="120"/>
        <v>998173</v>
      </c>
      <c r="E1065" s="18">
        <f>IF($A1065&gt;40,0,(E1061-MIN(MAX(F1064,0),E1061))+MIN(MAX(0,G1064-(E1061-MIN(MAX(F1064,0),E1061))),MAX(0,0*E1061-(F1064-MIN(MAX(F1064,0),E1061)))))</f>
        <v>75000</v>
      </c>
      <c r="F1065" s="18">
        <f>IF($A1065&gt;40,F1064,(F1064-E1061+E1065)*(1+$B$7))</f>
        <v>0</v>
      </c>
      <c r="G1065" s="18">
        <f t="shared" si="121"/>
        <v>904082.5</v>
      </c>
      <c r="H1065" s="18">
        <f>IF($A1065&gt;40,0,(H1061-MIN(MAX(I1064,0),H1061))+MIN(MAX(0,J1064-(H1061-MIN(MAX(I1064,0),H1061))),MAX(0,0*H1061-(I1064-MIN(MAX(I1064,0),H1061)))))</f>
        <v>42002.308631517371</v>
      </c>
      <c r="I1065" s="18">
        <f>IF($A1065&gt;40,I1064,(I1064-H1061+H1065)*(1+$B$7))</f>
        <v>0</v>
      </c>
      <c r="J1065" s="18">
        <f t="shared" si="122"/>
        <v>973077.37288236036</v>
      </c>
      <c r="K1065" s="18">
        <f>IF($A1065&gt;40,0,(K1061-MIN(MAX(L1064,0),K1061))+MIN(MAX(0,M1064-(K1061-MIN(MAX(L1064,0),K1061))),MAX(0,0*K1061-(L1064-MIN(MAX(L1064,0),K1061)))))</f>
        <v>42002.3086315174</v>
      </c>
      <c r="L1065" s="18">
        <f>IF($A1065&gt;40,L1064,(L1064-K1061+K1065)*(1+$B$7))</f>
        <v>0</v>
      </c>
      <c r="M1065" s="18">
        <f t="shared" si="123"/>
        <v>973077.37288236013</v>
      </c>
      <c r="N1065" s="18">
        <f>IF($A1065&gt;40,0,(N1061-MIN(MAX(O1064,0),N1061))+MIN(MAX(0,P1064-(N1061-MIN(MAX(O1064,0),N1061))),MAX(0,0*N1061-(O1064-MIN(MAX(O1064,0),N1061)))))</f>
        <v>42002.308631517386</v>
      </c>
      <c r="O1065" s="18">
        <f>IF($A1065&gt;40,O1064,(O1064-N1061+N1065)*(1+$B$7))</f>
        <v>0</v>
      </c>
      <c r="P1065" s="18">
        <f t="shared" si="124"/>
        <v>973077.37288236036</v>
      </c>
      <c r="Q1065" s="18">
        <f>IF($A1065&gt;40,0,(Q1061-MIN(MAX(R1064,0),Q1061))+MIN(MAX(0,S1064-(Q1061-MIN(MAX(R1064,0),Q1061))),MAX(0,0*Q1061-(R1064-MIN(MAX(R1064,0),Q1061)))))</f>
        <v>42002.308631517393</v>
      </c>
      <c r="R1065" s="18">
        <f>IF($A1065&gt;40,R1064,(R1064-Q1061+Q1065)*(1+$B$7))</f>
        <v>0</v>
      </c>
      <c r="S1065" s="18">
        <f t="shared" si="125"/>
        <v>973077.37288236036</v>
      </c>
    </row>
    <row r="1066" spans="1:19">
      <c r="A1066" s="10">
        <f>3</f>
        <v>3</v>
      </c>
      <c r="B1066" s="18">
        <f>IF($A1066&gt;40,0,(B1061-MIN(MAX(C1065,0),B1061))+MIN(MAX(0,D1065-(B1061-MIN(MAX(C1065,0),B1061))),MAX(0,0*B1061-(C1065-MIN(MAX(C1065,0),B1061)))))</f>
        <v>30000</v>
      </c>
      <c r="C1066" s="18">
        <f>IF($A1066&gt;40,C1065,(C1065-B1061+B1066)*(1+$B$7))</f>
        <v>0</v>
      </c>
      <c r="D1066" s="18">
        <f t="shared" si="120"/>
        <v>997218.19000000006</v>
      </c>
      <c r="E1066" s="18">
        <f>IF($A1066&gt;40,0,(E1061-MIN(MAX(F1065,0),E1061))+MIN(MAX(0,G1065-(E1061-MIN(MAX(F1065,0),E1061))),MAX(0,0*E1061-(F1065-MIN(MAX(F1065,0),E1061)))))</f>
        <v>75000</v>
      </c>
      <c r="F1066" s="18">
        <f>IF($A1066&gt;40,F1065,(F1065-E1061+E1066)*(1+$B$7))</f>
        <v>0</v>
      </c>
      <c r="G1066" s="18">
        <f t="shared" si="121"/>
        <v>853954.97499999998</v>
      </c>
      <c r="H1066" s="18">
        <f>IF($A1066&gt;40,0,(H1061-MIN(MAX(I1065,0),H1061))+MIN(MAX(0,J1065-(H1061-MIN(MAX(I1065,0),H1061))),MAX(0,0*H1061-(I1065-MIN(MAX(I1065,0),H1061)))))</f>
        <v>42002.308631517371</v>
      </c>
      <c r="I1066" s="18">
        <f>IF($A1066&gt;40,I1065,(I1065-H1061+H1066)*(1+$B$7))</f>
        <v>0</v>
      </c>
      <c r="J1066" s="18">
        <f t="shared" si="122"/>
        <v>959007.31617836829</v>
      </c>
      <c r="K1066" s="18">
        <f>IF($A1066&gt;40,0,(K1061-MIN(MAX(L1065,0),K1061))+MIN(MAX(0,M1065-(K1061-MIN(MAX(L1065,0),K1061))),MAX(0,0*K1061-(L1065-MIN(MAX(L1065,0),K1061)))))</f>
        <v>42002.3086315174</v>
      </c>
      <c r="L1066" s="18">
        <f>IF($A1066&gt;40,L1065,(L1065-K1061+K1066)*(1+$B$7))</f>
        <v>0</v>
      </c>
      <c r="M1066" s="18">
        <f t="shared" si="123"/>
        <v>959007.31617836794</v>
      </c>
      <c r="N1066" s="18">
        <f>IF($A1066&gt;40,0,(N1061-MIN(MAX(O1065,0),N1061))+MIN(MAX(0,P1065-(N1061-MIN(MAX(O1065,0),N1061))),MAX(0,0*N1061-(O1065-MIN(MAX(O1065,0),N1061)))))</f>
        <v>42002.308631517386</v>
      </c>
      <c r="O1066" s="18">
        <f>IF($A1066&gt;40,O1065,(O1065-N1061+N1066)*(1+$B$7))</f>
        <v>0</v>
      </c>
      <c r="P1066" s="18">
        <f t="shared" si="124"/>
        <v>959007.31617836829</v>
      </c>
      <c r="Q1066" s="18">
        <f>IF($A1066&gt;40,0,(Q1061-MIN(MAX(R1065,0),Q1061))+MIN(MAX(0,S1065-(Q1061-MIN(MAX(R1065,0),Q1061))),MAX(0,0*Q1061-(R1065-MIN(MAX(R1065,0),Q1061)))))</f>
        <v>42002.308631517393</v>
      </c>
      <c r="R1066" s="18">
        <f>IF($A1066&gt;40,R1065,(R1065-Q1061+Q1066)*(1+$B$7))</f>
        <v>0</v>
      </c>
      <c r="S1066" s="18">
        <f t="shared" si="125"/>
        <v>959007.31617836829</v>
      </c>
    </row>
    <row r="1067" spans="1:19">
      <c r="A1067" s="10">
        <f>4</f>
        <v>4</v>
      </c>
      <c r="B1067" s="18">
        <f>IF($A1067&gt;40,0,(B1061-MIN(MAX(C1066,0),B1061))+MIN(MAX(0,D1066-(B1061-MIN(MAX(C1066,0),B1061))),MAX(0,0*B1061-(C1066-MIN(MAX(C1066,0),B1061)))))</f>
        <v>30000</v>
      </c>
      <c r="C1067" s="18">
        <f>IF($A1067&gt;40,C1066,(C1066-B1061+B1067)*(1+$B$7))</f>
        <v>0</v>
      </c>
      <c r="D1067" s="18">
        <f t="shared" si="120"/>
        <v>996234.73570000008</v>
      </c>
      <c r="E1067" s="18">
        <f>IF($A1067&gt;40,0,(E1061-MIN(MAX(F1066,0),E1061))+MIN(MAX(0,G1066-(E1061-MIN(MAX(F1066,0),E1061))),MAX(0,0*E1061-(F1066-MIN(MAX(F1066,0),E1061)))))</f>
        <v>75000</v>
      </c>
      <c r="F1067" s="18">
        <f>IF($A1067&gt;40,F1066,(F1066-E1061+E1067)*(1+$B$7))</f>
        <v>0</v>
      </c>
      <c r="G1067" s="18">
        <f t="shared" si="121"/>
        <v>802323.62424999999</v>
      </c>
      <c r="H1067" s="18">
        <f>IF($A1067&gt;40,0,(H1061-MIN(MAX(I1066,0),H1061))+MIN(MAX(0,J1066-(H1061-MIN(MAX(I1066,0),H1061))),MAX(0,0*H1061-(I1066-MIN(MAX(I1066,0),H1061)))))</f>
        <v>42002.308631517371</v>
      </c>
      <c r="I1067" s="18">
        <f>IF($A1067&gt;40,I1066,(I1066-H1061+H1067)*(1+$B$7))</f>
        <v>0</v>
      </c>
      <c r="J1067" s="18">
        <f t="shared" si="122"/>
        <v>944515.15777325653</v>
      </c>
      <c r="K1067" s="18">
        <f>IF($A1067&gt;40,0,(K1061-MIN(MAX(L1066,0),K1061))+MIN(MAX(0,M1066-(K1061-MIN(MAX(L1066,0),K1061))),MAX(0,0*K1061-(L1066-MIN(MAX(L1066,0),K1061)))))</f>
        <v>42002.3086315174</v>
      </c>
      <c r="L1067" s="18">
        <f>IF($A1067&gt;40,L1066,(L1066-K1061+K1067)*(1+$B$7))</f>
        <v>0</v>
      </c>
      <c r="M1067" s="18">
        <f t="shared" si="123"/>
        <v>944515.15777325607</v>
      </c>
      <c r="N1067" s="18">
        <f>IF($A1067&gt;40,0,(N1061-MIN(MAX(O1066,0),N1061))+MIN(MAX(0,P1066-(N1061-MIN(MAX(O1066,0),N1061))),MAX(0,0*N1061-(O1066-MIN(MAX(O1066,0),N1061)))))</f>
        <v>42002.308631517386</v>
      </c>
      <c r="O1067" s="18">
        <f>IF($A1067&gt;40,O1066,(O1066-N1061+N1067)*(1+$B$7))</f>
        <v>0</v>
      </c>
      <c r="P1067" s="18">
        <f t="shared" si="124"/>
        <v>944515.15777325653</v>
      </c>
      <c r="Q1067" s="18">
        <f>IF($A1067&gt;40,0,(Q1061-MIN(MAX(R1066,0),Q1061))+MIN(MAX(0,S1066-(Q1061-MIN(MAX(R1066,0),Q1061))),MAX(0,0*Q1061-(R1066-MIN(MAX(R1066,0),Q1061)))))</f>
        <v>42002.308631517393</v>
      </c>
      <c r="R1067" s="18">
        <f>IF($A1067&gt;40,R1066,(R1066-Q1061+Q1067)*(1+$B$7))</f>
        <v>0</v>
      </c>
      <c r="S1067" s="18">
        <f t="shared" si="125"/>
        <v>944515.15777325653</v>
      </c>
    </row>
    <row r="1068" spans="1:19">
      <c r="A1068" s="10">
        <f>5</f>
        <v>5</v>
      </c>
      <c r="B1068" s="18">
        <f>IF($A1068&gt;40,0,(B1061-MIN(MAX(C1067,0),B1061))+MIN(MAX(0,D1067-(B1061-MIN(MAX(C1067,0),B1061))),MAX(0,0*B1061-(C1067-MIN(MAX(C1067,0),B1061)))))</f>
        <v>30000</v>
      </c>
      <c r="C1068" s="18">
        <f>IF($A1068&gt;40,C1067,(C1067-B1061+B1068)*(1+$B$7))</f>
        <v>0</v>
      </c>
      <c r="D1068" s="18">
        <f t="shared" si="120"/>
        <v>995221.77777100005</v>
      </c>
      <c r="E1068" s="18">
        <f>IF($A1068&gt;40,0,(E1061-MIN(MAX(F1067,0),E1061))+MIN(MAX(0,G1067-(E1061-MIN(MAX(F1067,0),E1061))),MAX(0,0*E1061-(F1067-MIN(MAX(F1067,0),E1061)))))</f>
        <v>75000</v>
      </c>
      <c r="F1068" s="18">
        <f>IF($A1068&gt;40,F1067,(F1067-E1061+E1068)*(1+$B$7))</f>
        <v>0</v>
      </c>
      <c r="G1068" s="18">
        <f t="shared" si="121"/>
        <v>749143.33297750005</v>
      </c>
      <c r="H1068" s="18">
        <f>IF($A1068&gt;40,0,(H1061-MIN(MAX(I1067,0),H1061))+MIN(MAX(0,J1067-(H1061-MIN(MAX(I1067,0),H1061))),MAX(0,0*H1061-(I1067-MIN(MAX(I1067,0),H1061)))))</f>
        <v>42002.308631517371</v>
      </c>
      <c r="I1068" s="18">
        <f>IF($A1068&gt;40,I1067,(I1067-H1061+H1068)*(1+$B$7))</f>
        <v>0</v>
      </c>
      <c r="J1068" s="18">
        <f t="shared" si="122"/>
        <v>929588.23461599136</v>
      </c>
      <c r="K1068" s="18">
        <f>IF($A1068&gt;40,0,(K1061-MIN(MAX(L1067,0),K1061))+MIN(MAX(0,M1067-(K1061-MIN(MAX(L1067,0),K1061))),MAX(0,0*K1061-(L1067-MIN(MAX(L1067,0),K1061)))))</f>
        <v>42002.3086315174</v>
      </c>
      <c r="L1068" s="18">
        <f>IF($A1068&gt;40,L1067,(L1067-K1061+K1068)*(1+$B$7))</f>
        <v>0</v>
      </c>
      <c r="M1068" s="18">
        <f t="shared" si="123"/>
        <v>929588.23461599078</v>
      </c>
      <c r="N1068" s="18">
        <f>IF($A1068&gt;40,0,(N1061-MIN(MAX(O1067,0),N1061))+MIN(MAX(0,P1067-(N1061-MIN(MAX(O1067,0),N1061))),MAX(0,0*N1061-(O1067-MIN(MAX(O1067,0),N1061)))))</f>
        <v>42002.308631517386</v>
      </c>
      <c r="O1068" s="18">
        <f>IF($A1068&gt;40,O1067,(O1067-N1061+N1068)*(1+$B$7))</f>
        <v>0</v>
      </c>
      <c r="P1068" s="18">
        <f t="shared" si="124"/>
        <v>929588.23461599136</v>
      </c>
      <c r="Q1068" s="18">
        <f>IF($A1068&gt;40,0,(Q1061-MIN(MAX(R1067,0),Q1061))+MIN(MAX(0,S1067-(Q1061-MIN(MAX(R1067,0),Q1061))),MAX(0,0*Q1061-(R1067-MIN(MAX(R1067,0),Q1061)))))</f>
        <v>42002.308631517393</v>
      </c>
      <c r="R1068" s="18">
        <f>IF($A1068&gt;40,R1067,(R1067-Q1061+Q1068)*(1+$B$7))</f>
        <v>0</v>
      </c>
      <c r="S1068" s="18">
        <f t="shared" si="125"/>
        <v>929588.23461599136</v>
      </c>
    </row>
    <row r="1069" spans="1:19">
      <c r="A1069" s="10">
        <f>6</f>
        <v>6</v>
      </c>
      <c r="B1069" s="18">
        <f>IF($A1069&gt;40,0,(B1061-MIN(MAX(C1068,0),B1061))+MIN(MAX(0,D1068-(B1061-MIN(MAX(C1068,0),B1061))),MAX(0,0*B1061-(C1068-MIN(MAX(C1068,0),B1061)))))</f>
        <v>30000</v>
      </c>
      <c r="C1069" s="18">
        <f>IF($A1069&gt;40,C1068,(C1068-B1061+B1069)*(1+$B$7))</f>
        <v>0</v>
      </c>
      <c r="D1069" s="18">
        <f t="shared" si="120"/>
        <v>994178.43110413011</v>
      </c>
      <c r="E1069" s="18">
        <f>IF($A1069&gt;40,0,(E1061-MIN(MAX(F1068,0),E1061))+MIN(MAX(0,G1068-(E1061-MIN(MAX(F1068,0),E1061))),MAX(0,0*E1061-(F1068-MIN(MAX(F1068,0),E1061)))))</f>
        <v>75000</v>
      </c>
      <c r="F1069" s="18">
        <f>IF($A1069&gt;40,F1068,(F1068-E1061+E1069)*(1+$B$7))</f>
        <v>0</v>
      </c>
      <c r="G1069" s="18">
        <f t="shared" si="121"/>
        <v>694367.63296682504</v>
      </c>
      <c r="H1069" s="18">
        <f>IF($A1069&gt;40,0,(H1061-MIN(MAX(I1068,0),H1061))+MIN(MAX(0,J1068-(H1061-MIN(MAX(I1068,0),H1061))),MAX(0,0*H1061-(I1068-MIN(MAX(I1068,0),H1061)))))</f>
        <v>42002.308631517371</v>
      </c>
      <c r="I1069" s="18">
        <f>IF($A1069&gt;40,I1068,(I1068-H1061+H1069)*(1+$B$7))</f>
        <v>0</v>
      </c>
      <c r="J1069" s="18">
        <f t="shared" si="122"/>
        <v>914213.50376400829</v>
      </c>
      <c r="K1069" s="18">
        <f>IF($A1069&gt;40,0,(K1061-MIN(MAX(L1068,0),K1061))+MIN(MAX(0,M1068-(K1061-MIN(MAX(L1068,0),K1061))),MAX(0,0*K1061-(L1068-MIN(MAX(L1068,0),K1061)))))</f>
        <v>42002.3086315174</v>
      </c>
      <c r="L1069" s="18">
        <f>IF($A1069&gt;40,L1068,(L1068-K1061+K1069)*(1+$B$7))</f>
        <v>0</v>
      </c>
      <c r="M1069" s="18">
        <f t="shared" si="123"/>
        <v>914213.50376400771</v>
      </c>
      <c r="N1069" s="18">
        <f>IF($A1069&gt;40,0,(N1061-MIN(MAX(O1068,0),N1061))+MIN(MAX(0,P1068-(N1061-MIN(MAX(O1068,0),N1061))),MAX(0,0*N1061-(O1068-MIN(MAX(O1068,0),N1061)))))</f>
        <v>42002.308631517386</v>
      </c>
      <c r="O1069" s="18">
        <f>IF($A1069&gt;40,O1068,(O1068-N1061+N1069)*(1+$B$7))</f>
        <v>0</v>
      </c>
      <c r="P1069" s="18">
        <f t="shared" si="124"/>
        <v>914213.50376400829</v>
      </c>
      <c r="Q1069" s="18">
        <f>IF($A1069&gt;40,0,(Q1061-MIN(MAX(R1068,0),Q1061))+MIN(MAX(0,S1068-(Q1061-MIN(MAX(R1068,0),Q1061))),MAX(0,0*Q1061-(R1068-MIN(MAX(R1068,0),Q1061)))))</f>
        <v>42002.308631517393</v>
      </c>
      <c r="R1069" s="18">
        <f>IF($A1069&gt;40,R1068,(R1068-Q1061+Q1069)*(1+$B$7))</f>
        <v>0</v>
      </c>
      <c r="S1069" s="18">
        <f t="shared" si="125"/>
        <v>914213.50376400829</v>
      </c>
    </row>
    <row r="1070" spans="1:19">
      <c r="A1070" s="10">
        <f>7</f>
        <v>7</v>
      </c>
      <c r="B1070" s="18">
        <f>IF($A1070&gt;40,0,(B1061-MIN(MAX(C1069,0),B1061))+MIN(MAX(0,D1069-(B1061-MIN(MAX(C1069,0),B1061))),MAX(0,0*B1061-(C1069-MIN(MAX(C1069,0),B1061)))))</f>
        <v>30000</v>
      </c>
      <c r="C1070" s="18">
        <f>IF($A1070&gt;40,C1069,(C1069-B1061+B1070)*(1+$B$7))</f>
        <v>0</v>
      </c>
      <c r="D1070" s="18">
        <f t="shared" si="120"/>
        <v>993103.78403725405</v>
      </c>
      <c r="E1070" s="18">
        <f>IF($A1070&gt;40,0,(E1061-MIN(MAX(F1069,0),E1061))+MIN(MAX(0,G1069-(E1061-MIN(MAX(F1069,0),E1061))),MAX(0,0*E1061-(F1069-MIN(MAX(F1069,0),E1061)))))</f>
        <v>75000</v>
      </c>
      <c r="F1070" s="18">
        <f>IF($A1070&gt;40,F1069,(F1069-E1061+E1070)*(1+$B$7))</f>
        <v>0</v>
      </c>
      <c r="G1070" s="18">
        <f t="shared" si="121"/>
        <v>637948.66195582983</v>
      </c>
      <c r="H1070" s="18">
        <f>IF($A1070&gt;40,0,(H1061-MIN(MAX(I1069,0),H1061))+MIN(MAX(0,J1069-(H1061-MIN(MAX(I1069,0),H1061))),MAX(0,0*H1061-(I1069-MIN(MAX(I1069,0),H1061)))))</f>
        <v>42002.308631517371</v>
      </c>
      <c r="I1070" s="18">
        <f>IF($A1070&gt;40,I1069,(I1069-H1061+H1070)*(1+$B$7))</f>
        <v>0</v>
      </c>
      <c r="J1070" s="18">
        <f t="shared" si="122"/>
        <v>898377.53098646575</v>
      </c>
      <c r="K1070" s="18">
        <f>IF($A1070&gt;40,0,(K1061-MIN(MAX(L1069,0),K1061))+MIN(MAX(0,M1069-(K1061-MIN(MAX(L1069,0),K1061))),MAX(0,0*K1061-(L1069-MIN(MAX(L1069,0),K1061)))))</f>
        <v>42002.3086315174</v>
      </c>
      <c r="L1070" s="18">
        <f>IF($A1070&gt;40,L1069,(L1069-K1061+K1070)*(1+$B$7))</f>
        <v>0</v>
      </c>
      <c r="M1070" s="18">
        <f t="shared" si="123"/>
        <v>898377.53098646493</v>
      </c>
      <c r="N1070" s="18">
        <f>IF($A1070&gt;40,0,(N1061-MIN(MAX(O1069,0),N1061))+MIN(MAX(0,P1069-(N1061-MIN(MAX(O1069,0),N1061))),MAX(0,0*N1061-(O1069-MIN(MAX(O1069,0),N1061)))))</f>
        <v>42002.308631517386</v>
      </c>
      <c r="O1070" s="18">
        <f>IF($A1070&gt;40,O1069,(O1069-N1061+N1070)*(1+$B$7))</f>
        <v>0</v>
      </c>
      <c r="P1070" s="18">
        <f t="shared" si="124"/>
        <v>898377.53098646575</v>
      </c>
      <c r="Q1070" s="18">
        <f>IF($A1070&gt;40,0,(Q1061-MIN(MAX(R1069,0),Q1061))+MIN(MAX(0,S1069-(Q1061-MIN(MAX(R1069,0),Q1061))),MAX(0,0*Q1061-(R1069-MIN(MAX(R1069,0),Q1061)))))</f>
        <v>42002.308631517393</v>
      </c>
      <c r="R1070" s="18">
        <f>IF($A1070&gt;40,R1069,(R1069-Q1061+Q1070)*(1+$B$7))</f>
        <v>0</v>
      </c>
      <c r="S1070" s="18">
        <f t="shared" si="125"/>
        <v>898377.53098646575</v>
      </c>
    </row>
    <row r="1071" spans="1:19">
      <c r="A1071" s="10">
        <f>8</f>
        <v>8</v>
      </c>
      <c r="B1071" s="18">
        <f>IF($A1071&gt;40,0,(B1061-MIN(MAX(C1070,0),B1061))+MIN(MAX(0,D1070-(B1061-MIN(MAX(C1070,0),B1061))),MAX(0,0*B1061-(C1070-MIN(MAX(C1070,0),B1061)))))</f>
        <v>30000</v>
      </c>
      <c r="C1071" s="18">
        <f>IF($A1071&gt;40,C1070,(C1070-B1061+B1071)*(1+$B$7))</f>
        <v>0</v>
      </c>
      <c r="D1071" s="18">
        <f t="shared" si="120"/>
        <v>991996.89755837165</v>
      </c>
      <c r="E1071" s="18">
        <f>IF($A1071&gt;40,0,(E1061-MIN(MAX(F1070,0),E1061))+MIN(MAX(0,G1070-(E1061-MIN(MAX(F1070,0),E1061))),MAX(0,0*E1061-(F1070-MIN(MAX(F1070,0),E1061)))))</f>
        <v>75000</v>
      </c>
      <c r="F1071" s="18">
        <f>IF($A1071&gt;40,F1070,(F1070-E1061+E1071)*(1+$B$7))</f>
        <v>0</v>
      </c>
      <c r="G1071" s="18">
        <f t="shared" si="121"/>
        <v>579837.12181450473</v>
      </c>
      <c r="H1071" s="18">
        <f>IF($A1071&gt;40,0,(H1061-MIN(MAX(I1070,0),H1061))+MIN(MAX(0,J1070-(H1061-MIN(MAX(I1070,0),H1061))),MAX(0,0*H1061-(I1070-MIN(MAX(I1070,0),H1061)))))</f>
        <v>42002.308631517371</v>
      </c>
      <c r="I1071" s="18">
        <f>IF($A1071&gt;40,I1070,(I1070-H1061+H1071)*(1+$B$7))</f>
        <v>0</v>
      </c>
      <c r="J1071" s="18">
        <f t="shared" si="122"/>
        <v>882066.47902559687</v>
      </c>
      <c r="K1071" s="18">
        <f>IF($A1071&gt;40,0,(K1061-MIN(MAX(L1070,0),K1061))+MIN(MAX(0,M1070-(K1061-MIN(MAX(L1070,0),K1061))),MAX(0,0*K1061-(L1070-MIN(MAX(L1070,0),K1061)))))</f>
        <v>42002.3086315174</v>
      </c>
      <c r="L1071" s="18">
        <f>IF($A1071&gt;40,L1070,(L1070-K1061+K1071)*(1+$B$7))</f>
        <v>0</v>
      </c>
      <c r="M1071" s="18">
        <f t="shared" si="123"/>
        <v>882066.47902559605</v>
      </c>
      <c r="N1071" s="18">
        <f>IF($A1071&gt;40,0,(N1061-MIN(MAX(O1070,0),N1061))+MIN(MAX(0,P1070-(N1061-MIN(MAX(O1070,0),N1061))),MAX(0,0*N1061-(O1070-MIN(MAX(O1070,0),N1061)))))</f>
        <v>42002.308631517386</v>
      </c>
      <c r="O1071" s="18">
        <f>IF($A1071&gt;40,O1070,(O1070-N1061+N1071)*(1+$B$7))</f>
        <v>0</v>
      </c>
      <c r="P1071" s="18">
        <f t="shared" si="124"/>
        <v>882066.47902559687</v>
      </c>
      <c r="Q1071" s="18">
        <f>IF($A1071&gt;40,0,(Q1061-MIN(MAX(R1070,0),Q1061))+MIN(MAX(0,S1070-(Q1061-MIN(MAX(R1070,0),Q1061))),MAX(0,0*Q1061-(R1070-MIN(MAX(R1070,0),Q1061)))))</f>
        <v>42002.308631517393</v>
      </c>
      <c r="R1071" s="18">
        <f>IF($A1071&gt;40,R1070,(R1070-Q1061+Q1071)*(1+$B$7))</f>
        <v>0</v>
      </c>
      <c r="S1071" s="18">
        <f t="shared" si="125"/>
        <v>882066.47902559687</v>
      </c>
    </row>
    <row r="1072" spans="1:19">
      <c r="A1072" s="10">
        <f>9</f>
        <v>9</v>
      </c>
      <c r="B1072" s="18">
        <f>IF($A1072&gt;40,0,(B1061-MIN(MAX(C1071,0),B1061))+MIN(MAX(0,D1071-(B1061-MIN(MAX(C1071,0),B1061))),MAX(0,0*B1061-(C1071-MIN(MAX(C1071,0),B1061)))))</f>
        <v>30000</v>
      </c>
      <c r="C1072" s="18">
        <f>IF($A1072&gt;40,C1071,(C1071-B1061+B1072)*(1+$B$7))</f>
        <v>0</v>
      </c>
      <c r="D1072" s="18">
        <f t="shared" si="120"/>
        <v>990856.80448512279</v>
      </c>
      <c r="E1072" s="18">
        <f>IF($A1072&gt;40,0,(E1061-MIN(MAX(F1071,0),E1061))+MIN(MAX(0,G1071-(E1061-MIN(MAX(F1071,0),E1061))),MAX(0,0*E1061-(F1071-MIN(MAX(F1071,0),E1061)))))</f>
        <v>75000</v>
      </c>
      <c r="F1072" s="18">
        <f>IF($A1072&gt;40,F1071,(F1071-E1061+E1072)*(1+$B$7))</f>
        <v>0</v>
      </c>
      <c r="G1072" s="18">
        <f t="shared" si="121"/>
        <v>519982.23546893988</v>
      </c>
      <c r="H1072" s="18">
        <f>IF($A1072&gt;40,0,(H1061-MIN(MAX(I1071,0),H1061))+MIN(MAX(0,J1071-(H1061-MIN(MAX(I1071,0),H1061))),MAX(0,0*H1061-(I1071-MIN(MAX(I1071,0),H1061)))))</f>
        <v>42002.308631517371</v>
      </c>
      <c r="I1072" s="18">
        <f>IF($A1072&gt;40,I1071,(I1071-H1061+H1072)*(1+$B$7))</f>
        <v>0</v>
      </c>
      <c r="J1072" s="18">
        <f t="shared" si="122"/>
        <v>865266.09550590196</v>
      </c>
      <c r="K1072" s="18">
        <f>IF($A1072&gt;40,0,(K1061-MIN(MAX(L1071,0),K1061))+MIN(MAX(0,M1071-(K1061-MIN(MAX(L1071,0),K1061))),MAX(0,0*K1061-(L1071-MIN(MAX(L1071,0),K1061)))))</f>
        <v>42002.3086315174</v>
      </c>
      <c r="L1072" s="18">
        <f>IF($A1072&gt;40,L1071,(L1071-K1061+K1072)*(1+$B$7))</f>
        <v>0</v>
      </c>
      <c r="M1072" s="18">
        <f t="shared" si="123"/>
        <v>865266.09550590103</v>
      </c>
      <c r="N1072" s="18">
        <f>IF($A1072&gt;40,0,(N1061-MIN(MAX(O1071,0),N1061))+MIN(MAX(0,P1071-(N1061-MIN(MAX(O1071,0),N1061))),MAX(0,0*N1061-(O1071-MIN(MAX(O1071,0),N1061)))))</f>
        <v>42002.308631517386</v>
      </c>
      <c r="O1072" s="18">
        <f>IF($A1072&gt;40,O1071,(O1071-N1061+N1072)*(1+$B$7))</f>
        <v>0</v>
      </c>
      <c r="P1072" s="18">
        <f t="shared" si="124"/>
        <v>865266.09550590196</v>
      </c>
      <c r="Q1072" s="18">
        <f>IF($A1072&gt;40,0,(Q1061-MIN(MAX(R1071,0),Q1061))+MIN(MAX(0,S1071-(Q1061-MIN(MAX(R1071,0),Q1061))),MAX(0,0*Q1061-(R1071-MIN(MAX(R1071,0),Q1061)))))</f>
        <v>42002.308631517393</v>
      </c>
      <c r="R1072" s="18">
        <f>IF($A1072&gt;40,R1071,(R1071-Q1061+Q1072)*(1+$B$7))</f>
        <v>0</v>
      </c>
      <c r="S1072" s="18">
        <f t="shared" si="125"/>
        <v>865266.09550590196</v>
      </c>
    </row>
    <row r="1073" spans="1:19">
      <c r="A1073" s="10">
        <f>10</f>
        <v>10</v>
      </c>
      <c r="B1073" s="18">
        <f>IF($A1073&gt;40,0,(B1061-MIN(MAX(C1072,0),B1061))+MIN(MAX(0,D1072-(B1061-MIN(MAX(C1072,0),B1061))),MAX(0,0*B1061-(C1072-MIN(MAX(C1072,0),B1061)))))</f>
        <v>30000</v>
      </c>
      <c r="C1073" s="18">
        <f>IF($A1073&gt;40,C1072,(C1072-B1061+B1073)*(1+$B$7))</f>
        <v>0</v>
      </c>
      <c r="D1073" s="18">
        <f t="shared" si="120"/>
        <v>989682.50861967646</v>
      </c>
      <c r="E1073" s="18">
        <f>IF($A1073&gt;40,0,(E1061-MIN(MAX(F1072,0),E1061))+MIN(MAX(0,G1072-(E1061-MIN(MAX(F1072,0),E1061))),MAX(0,0*E1061-(F1072-MIN(MAX(F1072,0),E1061)))))</f>
        <v>75000</v>
      </c>
      <c r="F1073" s="18">
        <f>IF($A1073&gt;40,F1072,(F1072-E1061+E1073)*(1+$B$7))</f>
        <v>0</v>
      </c>
      <c r="G1073" s="18">
        <f t="shared" si="121"/>
        <v>458331.70253300807</v>
      </c>
      <c r="H1073" s="18">
        <f>IF($A1073&gt;40,0,(H1061-MIN(MAX(I1072,0),H1061))+MIN(MAX(0,J1072-(H1061-MIN(MAX(I1072,0),H1061))),MAX(0,0*H1061-(I1072-MIN(MAX(I1072,0),H1061)))))</f>
        <v>42002.308631517371</v>
      </c>
      <c r="I1073" s="18">
        <f>IF($A1073&gt;40,I1072,(I1072-H1061+H1073)*(1+$B$7))</f>
        <v>0</v>
      </c>
      <c r="J1073" s="18">
        <f t="shared" si="122"/>
        <v>847961.70048061619</v>
      </c>
      <c r="K1073" s="18">
        <f>IF($A1073&gt;40,0,(K1061-MIN(MAX(L1072,0),K1061))+MIN(MAX(0,M1072-(K1061-MIN(MAX(L1072,0),K1061))),MAX(0,0*K1061-(L1072-MIN(MAX(L1072,0),K1061)))))</f>
        <v>42002.3086315174</v>
      </c>
      <c r="L1073" s="18">
        <f>IF($A1073&gt;40,L1072,(L1072-K1061+K1073)*(1+$B$7))</f>
        <v>0</v>
      </c>
      <c r="M1073" s="18">
        <f t="shared" si="123"/>
        <v>847961.70048061525</v>
      </c>
      <c r="N1073" s="18">
        <f>IF($A1073&gt;40,0,(N1061-MIN(MAX(O1072,0),N1061))+MIN(MAX(0,P1072-(N1061-MIN(MAX(O1072,0),N1061))),MAX(0,0*N1061-(O1072-MIN(MAX(O1072,0),N1061)))))</f>
        <v>42002.308631517386</v>
      </c>
      <c r="O1073" s="18">
        <f>IF($A1073&gt;40,O1072,(O1072-N1061+N1073)*(1+$B$7))</f>
        <v>0</v>
      </c>
      <c r="P1073" s="18">
        <f t="shared" si="124"/>
        <v>847961.70048061619</v>
      </c>
      <c r="Q1073" s="18">
        <f>IF($A1073&gt;40,0,(Q1061-MIN(MAX(R1072,0),Q1061))+MIN(MAX(0,S1072-(Q1061-MIN(MAX(R1072,0),Q1061))),MAX(0,0*Q1061-(R1072-MIN(MAX(R1072,0),Q1061)))))</f>
        <v>42002.308631517393</v>
      </c>
      <c r="R1073" s="18">
        <f>IF($A1073&gt;40,R1072,(R1072-Q1061+Q1073)*(1+$B$7))</f>
        <v>0</v>
      </c>
      <c r="S1073" s="18">
        <f t="shared" si="125"/>
        <v>847961.70048061619</v>
      </c>
    </row>
    <row r="1074" spans="1:19">
      <c r="A1074" s="10">
        <f>11</f>
        <v>11</v>
      </c>
      <c r="B1074" s="18">
        <f>IF($A1074&gt;40,0,(B1061-MIN(MAX(C1073,0),B1061))+MIN(MAX(0,D1073-(B1061-MIN(MAX(C1073,0),B1061))),MAX(0,0*B1061-(C1073-MIN(MAX(C1073,0),B1061)))))</f>
        <v>30000</v>
      </c>
      <c r="C1074" s="18">
        <f>IF($A1074&gt;40,C1073,(C1073-B1061+B1074)*(1+$B$7))</f>
        <v>0</v>
      </c>
      <c r="D1074" s="18">
        <f t="shared" si="120"/>
        <v>988472.98387826676</v>
      </c>
      <c r="E1074" s="18">
        <f>IF($A1074&gt;40,0,(E1061-MIN(MAX(F1073,0),E1061))+MIN(MAX(0,G1073-(E1061-MIN(MAX(F1073,0),E1061))),MAX(0,0*E1061-(F1073-MIN(MAX(F1073,0),E1061)))))</f>
        <v>75000</v>
      </c>
      <c r="F1074" s="18">
        <f>IF($A1074&gt;40,F1073,(F1073-E1061+E1074)*(1+$B$7))</f>
        <v>0</v>
      </c>
      <c r="G1074" s="18">
        <f t="shared" si="121"/>
        <v>394831.65360899834</v>
      </c>
      <c r="H1074" s="18">
        <f>IF($A1074&gt;40,0,(H1061-MIN(MAX(I1073,0),H1061))+MIN(MAX(0,J1073-(H1061-MIN(MAX(I1073,0),H1061))),MAX(0,0*H1061-(I1073-MIN(MAX(I1073,0),H1061)))))</f>
        <v>42002.308631517371</v>
      </c>
      <c r="I1074" s="18">
        <f>IF($A1074&gt;40,I1073,(I1073-H1061+H1074)*(1+$B$7))</f>
        <v>0</v>
      </c>
      <c r="J1074" s="18">
        <f t="shared" si="122"/>
        <v>830138.17360457184</v>
      </c>
      <c r="K1074" s="18">
        <f>IF($A1074&gt;40,0,(K1061-MIN(MAX(L1073,0),K1061))+MIN(MAX(0,M1073-(K1061-MIN(MAX(L1073,0),K1061))),MAX(0,0*K1061-(L1073-MIN(MAX(L1073,0),K1061)))))</f>
        <v>42002.3086315174</v>
      </c>
      <c r="L1074" s="18">
        <f>IF($A1074&gt;40,L1073,(L1073-K1061+K1074)*(1+$B$7))</f>
        <v>0</v>
      </c>
      <c r="M1074" s="18">
        <f t="shared" si="123"/>
        <v>830138.17360457079</v>
      </c>
      <c r="N1074" s="18">
        <f>IF($A1074&gt;40,0,(N1061-MIN(MAX(O1073,0),N1061))+MIN(MAX(0,P1073-(N1061-MIN(MAX(O1073,0),N1061))),MAX(0,0*N1061-(O1073-MIN(MAX(O1073,0),N1061)))))</f>
        <v>42002.308631517386</v>
      </c>
      <c r="O1074" s="18">
        <f>IF($A1074&gt;40,O1073,(O1073-N1061+N1074)*(1+$B$7))</f>
        <v>0</v>
      </c>
      <c r="P1074" s="18">
        <f t="shared" si="124"/>
        <v>830138.17360457184</v>
      </c>
      <c r="Q1074" s="18">
        <f>IF($A1074&gt;40,0,(Q1061-MIN(MAX(R1073,0),Q1061))+MIN(MAX(0,S1073-(Q1061-MIN(MAX(R1073,0),Q1061))),MAX(0,0*Q1061-(R1073-MIN(MAX(R1073,0),Q1061)))))</f>
        <v>42002.308631517393</v>
      </c>
      <c r="R1074" s="18">
        <f>IF($A1074&gt;40,R1073,(R1073-Q1061+Q1074)*(1+$B$7))</f>
        <v>0</v>
      </c>
      <c r="S1074" s="18">
        <f t="shared" si="125"/>
        <v>830138.17360457184</v>
      </c>
    </row>
    <row r="1075" spans="1:19">
      <c r="A1075" s="10">
        <f>12</f>
        <v>12</v>
      </c>
      <c r="B1075" s="18">
        <f>IF($A1075&gt;40,0,(B1061-MIN(MAX(C1074,0),B1061))+MIN(MAX(0,D1074-(B1061-MIN(MAX(C1074,0),B1061))),MAX(0,0*B1061-(C1074-MIN(MAX(C1074,0),B1061)))))</f>
        <v>30000</v>
      </c>
      <c r="C1075" s="18">
        <f>IF($A1075&gt;40,C1074,(C1074-B1061+B1075)*(1+$B$7))</f>
        <v>0</v>
      </c>
      <c r="D1075" s="18">
        <f t="shared" si="120"/>
        <v>987227.17339461483</v>
      </c>
      <c r="E1075" s="18">
        <f>IF($A1075&gt;40,0,(E1061-MIN(MAX(F1074,0),E1061))+MIN(MAX(0,G1074-(E1061-MIN(MAX(F1074,0),E1061))),MAX(0,0*E1061-(F1074-MIN(MAX(F1074,0),E1061)))))</f>
        <v>75000</v>
      </c>
      <c r="F1075" s="18">
        <f>IF($A1075&gt;40,F1074,(F1074-E1061+E1075)*(1+$B$7))</f>
        <v>0</v>
      </c>
      <c r="G1075" s="18">
        <f t="shared" si="121"/>
        <v>329426.6032172683</v>
      </c>
      <c r="H1075" s="18">
        <f>IF($A1075&gt;40,0,(H1061-MIN(MAX(I1074,0),H1061))+MIN(MAX(0,J1074-(H1061-MIN(MAX(I1074,0),H1061))),MAX(0,0*H1061-(I1074-MIN(MAX(I1074,0),H1061)))))</f>
        <v>42002.308631517371</v>
      </c>
      <c r="I1075" s="18">
        <f>IF($A1075&gt;40,I1074,(I1074-H1061+H1075)*(1+$B$7))</f>
        <v>0</v>
      </c>
      <c r="J1075" s="18">
        <f t="shared" si="122"/>
        <v>811779.9409222462</v>
      </c>
      <c r="K1075" s="18">
        <f>IF($A1075&gt;40,0,(K1061-MIN(MAX(L1074,0),K1061))+MIN(MAX(0,M1074-(K1061-MIN(MAX(L1074,0),K1061))),MAX(0,0*K1061-(L1074-MIN(MAX(L1074,0),K1061)))))</f>
        <v>42002.3086315174</v>
      </c>
      <c r="L1075" s="18">
        <f>IF($A1075&gt;40,L1074,(L1074-K1061+K1075)*(1+$B$7))</f>
        <v>0</v>
      </c>
      <c r="M1075" s="18">
        <f t="shared" si="123"/>
        <v>811779.94092224492</v>
      </c>
      <c r="N1075" s="18">
        <f>IF($A1075&gt;40,0,(N1061-MIN(MAX(O1074,0),N1061))+MIN(MAX(0,P1074-(N1061-MIN(MAX(O1074,0),N1061))),MAX(0,0*N1061-(O1074-MIN(MAX(O1074,0),N1061)))))</f>
        <v>42002.308631517386</v>
      </c>
      <c r="O1075" s="18">
        <f>IF($A1075&gt;40,O1074,(O1074-N1061+N1075)*(1+$B$7))</f>
        <v>0</v>
      </c>
      <c r="P1075" s="18">
        <f t="shared" si="124"/>
        <v>811779.9409222462</v>
      </c>
      <c r="Q1075" s="18">
        <f>IF($A1075&gt;40,0,(Q1061-MIN(MAX(R1074,0),Q1061))+MIN(MAX(0,S1074-(Q1061-MIN(MAX(R1074,0),Q1061))),MAX(0,0*Q1061-(R1074-MIN(MAX(R1074,0),Q1061)))))</f>
        <v>42002.308631517393</v>
      </c>
      <c r="R1075" s="18">
        <f>IF($A1075&gt;40,R1074,(R1074-Q1061+Q1075)*(1+$B$7))</f>
        <v>0</v>
      </c>
      <c r="S1075" s="18">
        <f t="shared" si="125"/>
        <v>811779.9409222462</v>
      </c>
    </row>
    <row r="1076" spans="1:19">
      <c r="A1076" s="10">
        <f>13</f>
        <v>13</v>
      </c>
      <c r="B1076" s="18">
        <f>IF($A1076&gt;40,0,(B1061-MIN(MAX(C1075,0),B1061))+MIN(MAX(0,D1075-(B1061-MIN(MAX(C1075,0),B1061))),MAX(0,0*B1061-(C1075-MIN(MAX(C1075,0),B1061)))))</f>
        <v>30000</v>
      </c>
      <c r="C1076" s="18">
        <f>IF($A1076&gt;40,C1075,(C1075-B1061+B1076)*(1+$B$7))</f>
        <v>0</v>
      </c>
      <c r="D1076" s="18">
        <f t="shared" si="120"/>
        <v>985943.98859645333</v>
      </c>
      <c r="E1076" s="18">
        <f>IF($A1076&gt;40,0,(E1061-MIN(MAX(F1075,0),E1061))+MIN(MAX(0,G1075-(E1061-MIN(MAX(F1075,0),E1061))),MAX(0,0*E1061-(F1075-MIN(MAX(F1075,0),E1061)))))</f>
        <v>75000</v>
      </c>
      <c r="F1076" s="18">
        <f>IF($A1076&gt;40,F1075,(F1075-E1061+E1076)*(1+$B$7))</f>
        <v>0</v>
      </c>
      <c r="G1076" s="18">
        <f t="shared" si="121"/>
        <v>262059.40131378637</v>
      </c>
      <c r="H1076" s="18">
        <f>IF($A1076&gt;40,0,(H1061-MIN(MAX(I1075,0),H1061))+MIN(MAX(0,J1075-(H1061-MIN(MAX(I1075,0),H1061))),MAX(0,0*H1061-(I1075-MIN(MAX(I1075,0),H1061)))))</f>
        <v>42002.308631517371</v>
      </c>
      <c r="I1076" s="18">
        <f>IF($A1076&gt;40,I1075,(I1075-H1061+H1076)*(1+$B$7))</f>
        <v>0</v>
      </c>
      <c r="J1076" s="18">
        <f t="shared" si="122"/>
        <v>792870.96125945076</v>
      </c>
      <c r="K1076" s="18">
        <f>IF($A1076&gt;40,0,(K1061-MIN(MAX(L1075,0),K1061))+MIN(MAX(0,M1075-(K1061-MIN(MAX(L1075,0),K1061))),MAX(0,0*K1061-(L1075-MIN(MAX(L1075,0),K1061)))))</f>
        <v>42002.3086315174</v>
      </c>
      <c r="L1076" s="18">
        <f>IF($A1076&gt;40,L1075,(L1075-K1061+K1076)*(1+$B$7))</f>
        <v>0</v>
      </c>
      <c r="M1076" s="18">
        <f t="shared" si="123"/>
        <v>792870.96125944925</v>
      </c>
      <c r="N1076" s="18">
        <f>IF($A1076&gt;40,0,(N1061-MIN(MAX(O1075,0),N1061))+MIN(MAX(0,P1075-(N1061-MIN(MAX(O1075,0),N1061))),MAX(0,0*N1061-(O1075-MIN(MAX(O1075,0),N1061)))))</f>
        <v>42002.308631517386</v>
      </c>
      <c r="O1076" s="18">
        <f>IF($A1076&gt;40,O1075,(O1075-N1061+N1076)*(1+$B$7))</f>
        <v>0</v>
      </c>
      <c r="P1076" s="18">
        <f t="shared" si="124"/>
        <v>792870.96125945076</v>
      </c>
      <c r="Q1076" s="18">
        <f>IF($A1076&gt;40,0,(Q1061-MIN(MAX(R1075,0),Q1061))+MIN(MAX(0,S1075-(Q1061-MIN(MAX(R1075,0),Q1061))),MAX(0,0*Q1061-(R1075-MIN(MAX(R1075,0),Q1061)))))</f>
        <v>42002.308631517393</v>
      </c>
      <c r="R1076" s="18">
        <f>IF($A1076&gt;40,R1075,(R1075-Q1061+Q1076)*(1+$B$7))</f>
        <v>0</v>
      </c>
      <c r="S1076" s="18">
        <f t="shared" si="125"/>
        <v>792870.96125945076</v>
      </c>
    </row>
    <row r="1077" spans="1:19">
      <c r="A1077" s="10">
        <f>14</f>
        <v>14</v>
      </c>
      <c r="B1077" s="18">
        <f>IF($A1077&gt;40,0,(B1061-MIN(MAX(C1076,0),B1061))+MIN(MAX(0,D1076-(B1061-MIN(MAX(C1076,0),B1061))),MAX(0,0*B1061-(C1076-MIN(MAX(C1076,0),B1061)))))</f>
        <v>30000</v>
      </c>
      <c r="C1077" s="18">
        <f>IF($A1077&gt;40,C1076,(C1076-B1061+B1077)*(1+$B$7))</f>
        <v>0</v>
      </c>
      <c r="D1077" s="18">
        <f t="shared" si="120"/>
        <v>984622.30825434695</v>
      </c>
      <c r="E1077" s="18">
        <f>IF($A1077&gt;40,0,(E1061-MIN(MAX(F1076,0),E1061))+MIN(MAX(0,G1076-(E1061-MIN(MAX(F1076,0),E1061))),MAX(0,0*E1061-(F1076-MIN(MAX(F1076,0),E1061)))))</f>
        <v>75000</v>
      </c>
      <c r="F1077" s="18">
        <f>IF($A1077&gt;40,F1076,(F1076-E1061+E1077)*(1+$B$7))</f>
        <v>0</v>
      </c>
      <c r="G1077" s="18">
        <f t="shared" si="121"/>
        <v>192671.18335319997</v>
      </c>
      <c r="H1077" s="18">
        <f>IF($A1077&gt;40,0,(H1061-MIN(MAX(I1076,0),H1061))+MIN(MAX(0,J1076-(H1061-MIN(MAX(I1076,0),H1061))),MAX(0,0*H1061-(I1076-MIN(MAX(I1076,0),H1061)))))</f>
        <v>42002.308631517371</v>
      </c>
      <c r="I1077" s="18">
        <f>IF($A1077&gt;40,I1076,(I1076-H1061+H1077)*(1+$B$7))</f>
        <v>0</v>
      </c>
      <c r="J1077" s="18">
        <f t="shared" si="122"/>
        <v>773394.71220677148</v>
      </c>
      <c r="K1077" s="18">
        <f>IF($A1077&gt;40,0,(K1061-MIN(MAX(L1076,0),K1061))+MIN(MAX(0,M1076-(K1061-MIN(MAX(L1076,0),K1061))),MAX(0,0*K1061-(L1076-MIN(MAX(L1076,0),K1061)))))</f>
        <v>42002.3086315174</v>
      </c>
      <c r="L1077" s="18">
        <f>IF($A1077&gt;40,L1076,(L1076-K1061+K1077)*(1+$B$7))</f>
        <v>0</v>
      </c>
      <c r="M1077" s="18">
        <f t="shared" si="123"/>
        <v>773394.71220676985</v>
      </c>
      <c r="N1077" s="18">
        <f>IF($A1077&gt;40,0,(N1061-MIN(MAX(O1076,0),N1061))+MIN(MAX(0,P1076-(N1061-MIN(MAX(O1076,0),N1061))),MAX(0,0*N1061-(O1076-MIN(MAX(O1076,0),N1061)))))</f>
        <v>42002.308631517386</v>
      </c>
      <c r="O1077" s="18">
        <f>IF($A1077&gt;40,O1076,(O1076-N1061+N1077)*(1+$B$7))</f>
        <v>0</v>
      </c>
      <c r="P1077" s="18">
        <f t="shared" si="124"/>
        <v>773394.71220677148</v>
      </c>
      <c r="Q1077" s="18">
        <f>IF($A1077&gt;40,0,(Q1061-MIN(MAX(R1076,0),Q1061))+MIN(MAX(0,S1076-(Q1061-MIN(MAX(R1076,0),Q1061))),MAX(0,0*Q1061-(R1076-MIN(MAX(R1076,0),Q1061)))))</f>
        <v>42002.308631517393</v>
      </c>
      <c r="R1077" s="18">
        <f>IF($A1077&gt;40,R1076,(R1076-Q1061+Q1077)*(1+$B$7))</f>
        <v>0</v>
      </c>
      <c r="S1077" s="18">
        <f t="shared" si="125"/>
        <v>773394.71220677148</v>
      </c>
    </row>
    <row r="1078" spans="1:19">
      <c r="A1078" s="10">
        <f>15</f>
        <v>15</v>
      </c>
      <c r="B1078" s="18">
        <f>IF($A1078&gt;40,0,(B1061-MIN(MAX(C1077,0),B1061))+MIN(MAX(0,D1077-(B1061-MIN(MAX(C1077,0),B1061))),MAX(0,0*B1061-(C1077-MIN(MAX(C1077,0),B1061)))))</f>
        <v>30000</v>
      </c>
      <c r="C1078" s="18">
        <f>IF($A1078&gt;40,C1077,(C1077-B1061+B1078)*(1+$B$7))</f>
        <v>0</v>
      </c>
      <c r="D1078" s="18">
        <f t="shared" si="120"/>
        <v>983260.97750197735</v>
      </c>
      <c r="E1078" s="18">
        <f>IF($A1078&gt;40,0,(E1061-MIN(MAX(F1077,0),E1061))+MIN(MAX(0,G1077-(E1061-MIN(MAX(F1077,0),E1061))),MAX(0,0*E1061-(F1077-MIN(MAX(F1077,0),E1061)))))</f>
        <v>75000</v>
      </c>
      <c r="F1078" s="18">
        <f>IF($A1078&gt;40,F1077,(F1077-E1061+E1078)*(1+$B$7))</f>
        <v>0</v>
      </c>
      <c r="G1078" s="18">
        <f t="shared" si="121"/>
        <v>121201.31885379598</v>
      </c>
      <c r="H1078" s="18">
        <f>IF($A1078&gt;40,0,(H1061-MIN(MAX(I1077,0),H1061))+MIN(MAX(0,J1077-(H1061-MIN(MAX(I1077,0),H1061))),MAX(0,0*H1061-(I1077-MIN(MAX(I1077,0),H1061)))))</f>
        <v>42002.308631517371</v>
      </c>
      <c r="I1078" s="18">
        <f>IF($A1078&gt;40,I1077,(I1077-H1061+H1078)*(1+$B$7))</f>
        <v>0</v>
      </c>
      <c r="J1078" s="18">
        <f t="shared" si="122"/>
        <v>753334.17568251176</v>
      </c>
      <c r="K1078" s="18">
        <f>IF($A1078&gt;40,0,(K1061-MIN(MAX(L1077,0),K1061))+MIN(MAX(0,M1077-(K1061-MIN(MAX(L1077,0),K1061))),MAX(0,0*K1061-(L1077-MIN(MAX(L1077,0),K1061)))))</f>
        <v>42002.3086315174</v>
      </c>
      <c r="L1078" s="18">
        <f>IF($A1078&gt;40,L1077,(L1077-K1061+K1078)*(1+$B$7))</f>
        <v>0</v>
      </c>
      <c r="M1078" s="18">
        <f t="shared" si="123"/>
        <v>753334.17568251013</v>
      </c>
      <c r="N1078" s="18">
        <f>IF($A1078&gt;40,0,(N1061-MIN(MAX(O1077,0),N1061))+MIN(MAX(0,P1077-(N1061-MIN(MAX(O1077,0),N1061))),MAX(0,0*N1061-(O1077-MIN(MAX(O1077,0),N1061)))))</f>
        <v>42002.308631517386</v>
      </c>
      <c r="O1078" s="18">
        <f>IF($A1078&gt;40,O1077,(O1077-N1061+N1078)*(1+$B$7))</f>
        <v>0</v>
      </c>
      <c r="P1078" s="18">
        <f t="shared" si="124"/>
        <v>753334.17568251176</v>
      </c>
      <c r="Q1078" s="18">
        <f>IF($A1078&gt;40,0,(Q1061-MIN(MAX(R1077,0),Q1061))+MIN(MAX(0,S1077-(Q1061-MIN(MAX(R1077,0),Q1061))),MAX(0,0*Q1061-(R1077-MIN(MAX(R1077,0),Q1061)))))</f>
        <v>42002.308631517393</v>
      </c>
      <c r="R1078" s="18">
        <f>IF($A1078&gt;40,R1077,(R1077-Q1061+Q1078)*(1+$B$7))</f>
        <v>0</v>
      </c>
      <c r="S1078" s="18">
        <f t="shared" si="125"/>
        <v>753334.17568251176</v>
      </c>
    </row>
    <row r="1079" spans="1:19">
      <c r="A1079" s="10">
        <f>16</f>
        <v>16</v>
      </c>
      <c r="B1079" s="18">
        <f>IF($A1079&gt;40,0,(B1061-MIN(MAX(C1078,0),B1061))+MIN(MAX(0,D1078-(B1061-MIN(MAX(C1078,0),B1061))),MAX(0,0*B1061-(C1078-MIN(MAX(C1078,0),B1061)))))</f>
        <v>30000</v>
      </c>
      <c r="C1079" s="18">
        <f>IF($A1079&gt;40,C1078,(C1078-B1061+B1079)*(1+$B$7))</f>
        <v>0</v>
      </c>
      <c r="D1079" s="18">
        <f t="shared" si="120"/>
        <v>981858.80682703666</v>
      </c>
      <c r="E1079" s="18">
        <f>IF($A1079&gt;40,0,(E1061-MIN(MAX(F1078,0),E1061))+MIN(MAX(0,G1078-(E1061-MIN(MAX(F1078,0),E1061))),MAX(0,0*E1061-(F1078-MIN(MAX(F1078,0),E1061)))))</f>
        <v>75000</v>
      </c>
      <c r="F1079" s="18">
        <f>IF($A1079&gt;40,F1078,(F1078-E1061+E1079)*(1+$B$7))</f>
        <v>0</v>
      </c>
      <c r="G1079" s="18">
        <f t="shared" si="121"/>
        <v>47587.358419409858</v>
      </c>
      <c r="H1079" s="18">
        <f>IF($A1079&gt;40,0,(H1061-MIN(MAX(I1078,0),H1061))+MIN(MAX(0,J1078-(H1061-MIN(MAX(I1078,0),H1061))),MAX(0,0*H1061-(I1078-MIN(MAX(I1078,0),H1061)))))</f>
        <v>42002.308631517371</v>
      </c>
      <c r="I1079" s="18">
        <f>IF($A1079&gt;40,I1078,(I1078-H1061+H1079)*(1+$B$7))</f>
        <v>0</v>
      </c>
      <c r="J1079" s="18">
        <f t="shared" si="122"/>
        <v>732671.82306252432</v>
      </c>
      <c r="K1079" s="18">
        <f>IF($A1079&gt;40,0,(K1061-MIN(MAX(L1078,0),K1061))+MIN(MAX(0,M1078-(K1061-MIN(MAX(L1078,0),K1061))),MAX(0,0*K1061-(L1078-MIN(MAX(L1078,0),K1061)))))</f>
        <v>42002.3086315174</v>
      </c>
      <c r="L1079" s="18">
        <f>IF($A1079&gt;40,L1078,(L1078-K1061+K1079)*(1+$B$7))</f>
        <v>0</v>
      </c>
      <c r="M1079" s="18">
        <f t="shared" si="123"/>
        <v>732671.82306252257</v>
      </c>
      <c r="N1079" s="18">
        <f>IF($A1079&gt;40,0,(N1061-MIN(MAX(O1078,0),N1061))+MIN(MAX(0,P1078-(N1061-MIN(MAX(O1078,0),N1061))),MAX(0,0*N1061-(O1078-MIN(MAX(O1078,0),N1061)))))</f>
        <v>42002.308631517386</v>
      </c>
      <c r="O1079" s="18">
        <f>IF($A1079&gt;40,O1078,(O1078-N1061+N1079)*(1+$B$7))</f>
        <v>0</v>
      </c>
      <c r="P1079" s="18">
        <f t="shared" si="124"/>
        <v>732671.82306252432</v>
      </c>
      <c r="Q1079" s="18">
        <f>IF($A1079&gt;40,0,(Q1061-MIN(MAX(R1078,0),Q1061))+MIN(MAX(0,S1078-(Q1061-MIN(MAX(R1078,0),Q1061))),MAX(0,0*Q1061-(R1078-MIN(MAX(R1078,0),Q1061)))))</f>
        <v>42002.308631517393</v>
      </c>
      <c r="R1079" s="18">
        <f>IF($A1079&gt;40,R1078,(R1078-Q1061+Q1079)*(1+$B$7))</f>
        <v>0</v>
      </c>
      <c r="S1079" s="18">
        <f t="shared" si="125"/>
        <v>732671.82306252432</v>
      </c>
    </row>
    <row r="1080" spans="1:19">
      <c r="A1080" s="10">
        <f>17</f>
        <v>17</v>
      </c>
      <c r="B1080" s="18">
        <f>IF($A1080&gt;40,0,(B1061-MIN(MAX(C1079,0),B1061))+MIN(MAX(0,D1079-(B1061-MIN(MAX(C1079,0),B1061))),MAX(0,0*B1061-(C1079-MIN(MAX(C1079,0),B1061)))))</f>
        <v>30000</v>
      </c>
      <c r="C1080" s="18">
        <f>IF($A1080&gt;40,C1079,(C1079-B1061+B1080)*(1+$B$7))</f>
        <v>0</v>
      </c>
      <c r="D1080" s="18">
        <f t="shared" si="120"/>
        <v>980414.57103184774</v>
      </c>
      <c r="E1080" s="18">
        <f>IF($A1080&gt;40,0,(E1061-MIN(MAX(F1079,0),E1061))+MIN(MAX(0,G1079-(E1061-MIN(MAX(F1079,0),E1061))),MAX(0,0*E1061-(F1079-MIN(MAX(F1079,0),E1061)))))</f>
        <v>75000</v>
      </c>
      <c r="F1080" s="18">
        <f>IF($A1080&gt;40,F1079,(F1079-E1061+E1080)*(1+$B$7))</f>
        <v>0</v>
      </c>
      <c r="G1080" s="18">
        <f t="shared" si="121"/>
        <v>-28235.020828007848</v>
      </c>
      <c r="H1080" s="18">
        <f>IF($A1080&gt;40,0,(H1061-MIN(MAX(I1079,0),H1061))+MIN(MAX(0,J1079-(H1061-MIN(MAX(I1079,0),H1061))),MAX(0,0*H1061-(I1079-MIN(MAX(I1079,0),H1061)))))</f>
        <v>42002.308631517371</v>
      </c>
      <c r="I1080" s="18">
        <f>IF($A1080&gt;40,I1079,(I1079-H1061+H1080)*(1+$B$7))</f>
        <v>0</v>
      </c>
      <c r="J1080" s="18">
        <f t="shared" si="122"/>
        <v>711389.59986393724</v>
      </c>
      <c r="K1080" s="18">
        <f>IF($A1080&gt;40,0,(K1061-MIN(MAX(L1079,0),K1061))+MIN(MAX(0,M1079-(K1061-MIN(MAX(L1079,0),K1061))),MAX(0,0*K1061-(L1079-MIN(MAX(L1079,0),K1061)))))</f>
        <v>42002.3086315174</v>
      </c>
      <c r="L1080" s="18">
        <f>IF($A1080&gt;40,L1079,(L1079-K1061+K1080)*(1+$B$7))</f>
        <v>0</v>
      </c>
      <c r="M1080" s="18">
        <f t="shared" si="123"/>
        <v>711389.59986393526</v>
      </c>
      <c r="N1080" s="18">
        <f>IF($A1080&gt;40,0,(N1061-MIN(MAX(O1079,0),N1061))+MIN(MAX(0,P1079-(N1061-MIN(MAX(O1079,0),N1061))),MAX(0,0*N1061-(O1079-MIN(MAX(O1079,0),N1061)))))</f>
        <v>42002.308631517386</v>
      </c>
      <c r="O1080" s="18">
        <f>IF($A1080&gt;40,O1079,(O1079-N1061+N1080)*(1+$B$7))</f>
        <v>0</v>
      </c>
      <c r="P1080" s="18">
        <f t="shared" si="124"/>
        <v>711389.59986393724</v>
      </c>
      <c r="Q1080" s="18">
        <f>IF($A1080&gt;40,0,(Q1061-MIN(MAX(R1079,0),Q1061))+MIN(MAX(0,S1079-(Q1061-MIN(MAX(R1079,0),Q1061))),MAX(0,0*Q1061-(R1079-MIN(MAX(R1079,0),Q1061)))))</f>
        <v>42002.308631517393</v>
      </c>
      <c r="R1080" s="18">
        <f>IF($A1080&gt;40,R1079,(R1079-Q1061+Q1080)*(1+$B$7))</f>
        <v>0</v>
      </c>
      <c r="S1080" s="18">
        <f t="shared" si="125"/>
        <v>711389.59986393724</v>
      </c>
    </row>
    <row r="1081" spans="1:19">
      <c r="A1081" s="10">
        <f>18</f>
        <v>18</v>
      </c>
      <c r="B1081" s="18">
        <f>IF($A1081&gt;40,0,(B1061-MIN(MAX(C1080,0),B1061))+MIN(MAX(0,D1080-(B1061-MIN(MAX(C1080,0),B1061))),MAX(0,0*B1061-(C1080-MIN(MAX(C1080,0),B1061)))))</f>
        <v>30000</v>
      </c>
      <c r="C1081" s="18">
        <f>IF($A1081&gt;40,C1080,(C1080-B1061+B1081)*(1+$B$7))</f>
        <v>0</v>
      </c>
      <c r="D1081" s="18">
        <f t="shared" si="120"/>
        <v>978927.00816280325</v>
      </c>
      <c r="E1081" s="18">
        <f>IF($A1081&gt;40,0,(E1061-MIN(MAX(F1080,0),E1061))+MIN(MAX(0,G1080-(E1061-MIN(MAX(F1080,0),E1061))),MAX(0,0*E1061-(F1080-MIN(MAX(F1080,0),E1061)))))</f>
        <v>75000</v>
      </c>
      <c r="F1081" s="18">
        <f>IF($A1081&gt;40,F1080,(F1080-E1061+E1081)*(1+$B$7))</f>
        <v>0</v>
      </c>
      <c r="G1081" s="18">
        <f t="shared" si="121"/>
        <v>-106332.07145284809</v>
      </c>
      <c r="H1081" s="18">
        <f>IF($A1081&gt;40,0,(H1061-MIN(MAX(I1080,0),H1061))+MIN(MAX(0,J1080-(H1061-MIN(MAX(I1080,0),H1061))),MAX(0,0*H1061-(I1080-MIN(MAX(I1080,0),H1061)))))</f>
        <v>42002.308631517371</v>
      </c>
      <c r="I1081" s="18">
        <f>IF($A1081&gt;40,I1080,(I1080-H1061+H1081)*(1+$B$7))</f>
        <v>0</v>
      </c>
      <c r="J1081" s="18">
        <f t="shared" si="122"/>
        <v>689468.90996939247</v>
      </c>
      <c r="K1081" s="18">
        <f>IF($A1081&gt;40,0,(K1061-MIN(MAX(L1080,0),K1061))+MIN(MAX(0,M1080-(K1061-MIN(MAX(L1080,0),K1061))),MAX(0,0*K1061-(L1080-MIN(MAX(L1080,0),K1061)))))</f>
        <v>42002.3086315174</v>
      </c>
      <c r="L1081" s="18">
        <f>IF($A1081&gt;40,L1080,(L1080-K1061+K1081)*(1+$B$7))</f>
        <v>0</v>
      </c>
      <c r="M1081" s="18">
        <f t="shared" si="123"/>
        <v>689468.90996939037</v>
      </c>
      <c r="N1081" s="18">
        <f>IF($A1081&gt;40,0,(N1061-MIN(MAX(O1080,0),N1061))+MIN(MAX(0,P1080-(N1061-MIN(MAX(O1080,0),N1061))),MAX(0,0*N1061-(O1080-MIN(MAX(O1080,0),N1061)))))</f>
        <v>42002.308631517386</v>
      </c>
      <c r="O1081" s="18">
        <f>IF($A1081&gt;40,O1080,(O1080-N1061+N1081)*(1+$B$7))</f>
        <v>0</v>
      </c>
      <c r="P1081" s="18">
        <f t="shared" si="124"/>
        <v>689468.90996939247</v>
      </c>
      <c r="Q1081" s="18">
        <f>IF($A1081&gt;40,0,(Q1061-MIN(MAX(R1080,0),Q1061))+MIN(MAX(0,S1080-(Q1061-MIN(MAX(R1080,0),Q1061))),MAX(0,0*Q1061-(R1080-MIN(MAX(R1080,0),Q1061)))))</f>
        <v>42002.308631517393</v>
      </c>
      <c r="R1081" s="18">
        <f>IF($A1081&gt;40,R1080,(R1080-Q1061+Q1081)*(1+$B$7))</f>
        <v>0</v>
      </c>
      <c r="S1081" s="18">
        <f t="shared" si="125"/>
        <v>689468.90996939247</v>
      </c>
    </row>
    <row r="1082" spans="1:19">
      <c r="A1082" s="10">
        <f>19</f>
        <v>19</v>
      </c>
      <c r="B1082" s="18">
        <f>IF($A1082&gt;40,0,(B1061-MIN(MAX(C1081,0),B1061))+MIN(MAX(0,D1081-(B1061-MIN(MAX(C1081,0),B1061))),MAX(0,0*B1061-(C1081-MIN(MAX(C1081,0),B1061)))))</f>
        <v>30000</v>
      </c>
      <c r="C1082" s="18">
        <f>IF($A1082&gt;40,C1081,(C1081-B1061+B1082)*(1+$B$7))</f>
        <v>0</v>
      </c>
      <c r="D1082" s="18">
        <f t="shared" si="120"/>
        <v>977394.81840768736</v>
      </c>
      <c r="E1082" s="18">
        <f>IF($A1082&gt;40,0,(E1061-MIN(MAX(F1081,0),E1061))+MIN(MAX(0,G1081-(E1061-MIN(MAX(F1081,0),E1061))),MAX(0,0*E1061-(F1081-MIN(MAX(F1081,0),E1061)))))</f>
        <v>75000</v>
      </c>
      <c r="F1082" s="18">
        <f>IF($A1082&gt;40,F1081,(F1081-E1061+E1082)*(1+$B$7))</f>
        <v>0</v>
      </c>
      <c r="G1082" s="18">
        <f t="shared" si="121"/>
        <v>-186772.03359643352</v>
      </c>
      <c r="H1082" s="18">
        <f>IF($A1082&gt;40,0,(H1061-MIN(MAX(I1081,0),H1061))+MIN(MAX(0,J1081-(H1061-MIN(MAX(I1081,0),H1061))),MAX(0,0*H1061-(I1081-MIN(MAX(I1081,0),H1061)))))</f>
        <v>42002.308631517371</v>
      </c>
      <c r="I1082" s="18">
        <f>IF($A1082&gt;40,I1081,(I1081-H1061+H1082)*(1+$B$7))</f>
        <v>0</v>
      </c>
      <c r="J1082" s="18">
        <f t="shared" si="122"/>
        <v>666890.59937801142</v>
      </c>
      <c r="K1082" s="18">
        <f>IF($A1082&gt;40,0,(K1061-MIN(MAX(L1081,0),K1061))+MIN(MAX(0,M1081-(K1061-MIN(MAX(L1081,0),K1061))),MAX(0,0*K1061-(L1081-MIN(MAX(L1081,0),K1061)))))</f>
        <v>42002.3086315174</v>
      </c>
      <c r="L1082" s="18">
        <f>IF($A1082&gt;40,L1081,(L1081-K1061+K1082)*(1+$B$7))</f>
        <v>0</v>
      </c>
      <c r="M1082" s="18">
        <f t="shared" si="123"/>
        <v>666890.59937800909</v>
      </c>
      <c r="N1082" s="18">
        <f>IF($A1082&gt;40,0,(N1061-MIN(MAX(O1081,0),N1061))+MIN(MAX(0,P1081-(N1061-MIN(MAX(O1081,0),N1061))),MAX(0,0*N1061-(O1081-MIN(MAX(O1081,0),N1061)))))</f>
        <v>42002.308631517386</v>
      </c>
      <c r="O1082" s="18">
        <f>IF($A1082&gt;40,O1081,(O1081-N1061+N1082)*(1+$B$7))</f>
        <v>0</v>
      </c>
      <c r="P1082" s="18">
        <f t="shared" si="124"/>
        <v>666890.59937801142</v>
      </c>
      <c r="Q1082" s="18">
        <f>IF($A1082&gt;40,0,(Q1061-MIN(MAX(R1081,0),Q1061))+MIN(MAX(0,S1081-(Q1061-MIN(MAX(R1081,0),Q1061))),MAX(0,0*Q1061-(R1081-MIN(MAX(R1081,0),Q1061)))))</f>
        <v>42002.308631517393</v>
      </c>
      <c r="R1082" s="18">
        <f>IF($A1082&gt;40,R1081,(R1081-Q1061+Q1082)*(1+$B$7))</f>
        <v>0</v>
      </c>
      <c r="S1082" s="18">
        <f t="shared" si="125"/>
        <v>666890.59937801142</v>
      </c>
    </row>
    <row r="1083" spans="1:19">
      <c r="A1083" s="10">
        <f>20</f>
        <v>20</v>
      </c>
      <c r="B1083" s="18">
        <f>IF($A1083&gt;40,0,(B1061-MIN(MAX(C1082,0),B1061))+MIN(MAX(0,D1082-(B1061-MIN(MAX(C1082,0),B1061))),MAX(0,0*B1061-(C1082-MIN(MAX(C1082,0),B1061)))))</f>
        <v>30000</v>
      </c>
      <c r="C1083" s="18">
        <f>IF($A1083&gt;40,C1082,(C1082-B1061+B1083)*(1+$B$7))</f>
        <v>0</v>
      </c>
      <c r="D1083" s="18">
        <f t="shared" si="120"/>
        <v>975816.66295991803</v>
      </c>
      <c r="E1083" s="18">
        <f>IF($A1083&gt;40,0,(E1061-MIN(MAX(F1082,0),E1061))+MIN(MAX(0,G1082-(E1061-MIN(MAX(F1082,0),E1061))),MAX(0,0*E1061-(F1082-MIN(MAX(F1082,0),E1061)))))</f>
        <v>75000</v>
      </c>
      <c r="F1083" s="18">
        <f>IF($A1083&gt;40,F1082,(F1082-E1061+E1083)*(1+$B$7))</f>
        <v>0</v>
      </c>
      <c r="G1083" s="18">
        <f t="shared" si="121"/>
        <v>-269625.19460432656</v>
      </c>
      <c r="H1083" s="18">
        <f>IF($A1083&gt;40,0,(H1061-MIN(MAX(I1082,0),H1061))+MIN(MAX(0,J1082-(H1061-MIN(MAX(I1082,0),H1061))),MAX(0,0*H1061-(I1082-MIN(MAX(I1082,0),H1061)))))</f>
        <v>42002.308631517371</v>
      </c>
      <c r="I1083" s="18">
        <f>IF($A1083&gt;40,I1082,(I1082-H1061+H1083)*(1+$B$7))</f>
        <v>0</v>
      </c>
      <c r="J1083" s="18">
        <f t="shared" si="122"/>
        <v>643634.93946888892</v>
      </c>
      <c r="K1083" s="18">
        <f>IF($A1083&gt;40,0,(K1061-MIN(MAX(L1082,0),K1061))+MIN(MAX(0,M1082-(K1061-MIN(MAX(L1082,0),K1061))),MAX(0,0*K1061-(L1082-MIN(MAX(L1082,0),K1061)))))</f>
        <v>42002.3086315174</v>
      </c>
      <c r="L1083" s="18">
        <f>IF($A1083&gt;40,L1082,(L1082-K1061+K1083)*(1+$B$7))</f>
        <v>0</v>
      </c>
      <c r="M1083" s="18">
        <f t="shared" si="123"/>
        <v>643634.93946888635</v>
      </c>
      <c r="N1083" s="18">
        <f>IF($A1083&gt;40,0,(N1061-MIN(MAX(O1082,0),N1061))+MIN(MAX(0,P1082-(N1061-MIN(MAX(O1082,0),N1061))),MAX(0,0*N1061-(O1082-MIN(MAX(O1082,0),N1061)))))</f>
        <v>42002.308631517386</v>
      </c>
      <c r="O1083" s="18">
        <f>IF($A1083&gt;40,O1082,(O1082-N1061+N1083)*(1+$B$7))</f>
        <v>0</v>
      </c>
      <c r="P1083" s="18">
        <f t="shared" si="124"/>
        <v>643634.93946888892</v>
      </c>
      <c r="Q1083" s="18">
        <f>IF($A1083&gt;40,0,(Q1061-MIN(MAX(R1082,0),Q1061))+MIN(MAX(0,S1082-(Q1061-MIN(MAX(R1082,0),Q1061))),MAX(0,0*Q1061-(R1082-MIN(MAX(R1082,0),Q1061)))))</f>
        <v>42002.308631517393</v>
      </c>
      <c r="R1083" s="18">
        <f>IF($A1083&gt;40,R1082,(R1082-Q1061+Q1083)*(1+$B$7))</f>
        <v>0</v>
      </c>
      <c r="S1083" s="18">
        <f t="shared" si="125"/>
        <v>643634.93946888892</v>
      </c>
    </row>
    <row r="1084" spans="1:19">
      <c r="A1084" s="10">
        <f>21</f>
        <v>21</v>
      </c>
      <c r="B1084" s="18">
        <f>IF($A1084&gt;40,0,(B1061-MIN(MAX(C1083,0),B1061))+MIN(MAX(0,D1083-(B1061-MIN(MAX(C1083,0),B1061))),MAX(0,0*B1061-(C1083-MIN(MAX(C1083,0),B1061)))))</f>
        <v>30000</v>
      </c>
      <c r="C1084" s="18">
        <f>IF($A1084&gt;40,C1083,(C1083-B1061+B1084)*(1+$B$7))</f>
        <v>0</v>
      </c>
      <c r="D1084" s="18">
        <f t="shared" si="120"/>
        <v>974191.16284871555</v>
      </c>
      <c r="E1084" s="18">
        <f>IF($A1084&gt;40,0,(E1061-MIN(MAX(F1083,0),E1061))+MIN(MAX(0,G1083-(E1061-MIN(MAX(F1083,0),E1061))),MAX(0,0*E1061-(F1083-MIN(MAX(F1083,0),E1061)))))</f>
        <v>75000</v>
      </c>
      <c r="F1084" s="18">
        <f>IF($A1084&gt;40,F1083,(F1083-E1061+E1084)*(1+$B$7))</f>
        <v>0</v>
      </c>
      <c r="G1084" s="18">
        <f t="shared" si="121"/>
        <v>-354963.95044245635</v>
      </c>
      <c r="H1084" s="18">
        <f>IF($A1084&gt;40,0,(H1061-MIN(MAX(I1083,0),H1061))+MIN(MAX(0,J1083-(H1061-MIN(MAX(I1083,0),H1061))),MAX(0,0*H1061-(I1083-MIN(MAX(I1083,0),H1061)))))</f>
        <v>42002.308631517371</v>
      </c>
      <c r="I1084" s="18">
        <f>IF($A1084&gt;40,I1083,(I1083-H1061+H1084)*(1+$B$7))</f>
        <v>0</v>
      </c>
      <c r="J1084" s="18">
        <f t="shared" si="122"/>
        <v>619681.60976249271</v>
      </c>
      <c r="K1084" s="18">
        <f>IF($A1084&gt;40,0,(K1061-MIN(MAX(L1083,0),K1061))+MIN(MAX(0,M1083-(K1061-MIN(MAX(L1083,0),K1061))),MAX(0,0*K1061-(L1083-MIN(MAX(L1083,0),K1061)))))</f>
        <v>42002.3086315174</v>
      </c>
      <c r="L1084" s="18">
        <f>IF($A1084&gt;40,L1083,(L1083-K1061+K1084)*(1+$B$7))</f>
        <v>0</v>
      </c>
      <c r="M1084" s="18">
        <f t="shared" si="123"/>
        <v>619681.60976249014</v>
      </c>
      <c r="N1084" s="18">
        <f>IF($A1084&gt;40,0,(N1061-MIN(MAX(O1083,0),N1061))+MIN(MAX(0,P1083-(N1061-MIN(MAX(O1083,0),N1061))),MAX(0,0*N1061-(O1083-MIN(MAX(O1083,0),N1061)))))</f>
        <v>42002.308631517386</v>
      </c>
      <c r="O1084" s="18">
        <f>IF($A1084&gt;40,O1083,(O1083-N1061+N1084)*(1+$B$7))</f>
        <v>0</v>
      </c>
      <c r="P1084" s="18">
        <f t="shared" si="124"/>
        <v>619681.60976249271</v>
      </c>
      <c r="Q1084" s="18">
        <f>IF($A1084&gt;40,0,(Q1061-MIN(MAX(R1083,0),Q1061))+MIN(MAX(0,S1083-(Q1061-MIN(MAX(R1083,0),Q1061))),MAX(0,0*Q1061-(R1083-MIN(MAX(R1083,0),Q1061)))))</f>
        <v>42002.308631517393</v>
      </c>
      <c r="R1084" s="18">
        <f>IF($A1084&gt;40,R1083,(R1083-Q1061+Q1084)*(1+$B$7))</f>
        <v>0</v>
      </c>
      <c r="S1084" s="18">
        <f t="shared" si="125"/>
        <v>619681.60976249271</v>
      </c>
    </row>
    <row r="1085" spans="1:19">
      <c r="A1085" s="10">
        <f>22</f>
        <v>22</v>
      </c>
      <c r="B1085" s="18">
        <f>IF($A1085&gt;40,0,(B1061-MIN(MAX(C1084,0),B1061))+MIN(MAX(0,D1084-(B1061-MIN(MAX(C1084,0),B1061))),MAX(0,0*B1061-(C1084-MIN(MAX(C1084,0),B1061)))))</f>
        <v>30000</v>
      </c>
      <c r="C1085" s="18">
        <f>IF($A1085&gt;40,C1084,(C1084-B1061+B1085)*(1+$B$7))</f>
        <v>0</v>
      </c>
      <c r="D1085" s="18">
        <f t="shared" si="120"/>
        <v>972516.89773417707</v>
      </c>
      <c r="E1085" s="18">
        <f>IF($A1085&gt;40,0,(E1061-MIN(MAX(F1084,0),E1061))+MIN(MAX(0,G1084-(E1061-MIN(MAX(F1084,0),E1061))),MAX(0,0*E1061-(F1084-MIN(MAX(F1084,0),E1061)))))</f>
        <v>75000</v>
      </c>
      <c r="F1085" s="18">
        <f>IF($A1085&gt;40,F1084,(F1084-E1061+E1085)*(1+$B$7))</f>
        <v>0</v>
      </c>
      <c r="G1085" s="18">
        <f t="shared" si="121"/>
        <v>-442862.86895573005</v>
      </c>
      <c r="H1085" s="18">
        <f>IF($A1085&gt;40,0,(H1061-MIN(MAX(I1084,0),H1061))+MIN(MAX(0,J1084-(H1061-MIN(MAX(I1084,0),H1061))),MAX(0,0*H1061-(I1084-MIN(MAX(I1084,0),H1061)))))</f>
        <v>42002.308631517371</v>
      </c>
      <c r="I1085" s="18">
        <f>IF($A1085&gt;40,I1084,(I1084-H1061+H1085)*(1+$B$7))</f>
        <v>0</v>
      </c>
      <c r="J1085" s="18">
        <f t="shared" si="122"/>
        <v>595009.68016490468</v>
      </c>
      <c r="K1085" s="18">
        <f>IF($A1085&gt;40,0,(K1061-MIN(MAX(L1084,0),K1061))+MIN(MAX(0,M1084-(K1061-MIN(MAX(L1084,0),K1061))),MAX(0,0*K1061-(L1084-MIN(MAX(L1084,0),K1061)))))</f>
        <v>42002.3086315174</v>
      </c>
      <c r="L1085" s="18">
        <f>IF($A1085&gt;40,L1084,(L1084-K1061+K1085)*(1+$B$7))</f>
        <v>0</v>
      </c>
      <c r="M1085" s="18">
        <f t="shared" si="123"/>
        <v>595009.68016490201</v>
      </c>
      <c r="N1085" s="18">
        <f>IF($A1085&gt;40,0,(N1061-MIN(MAX(O1084,0),N1061))+MIN(MAX(0,P1084-(N1061-MIN(MAX(O1084,0),N1061))),MAX(0,0*N1061-(O1084-MIN(MAX(O1084,0),N1061)))))</f>
        <v>42002.308631517386</v>
      </c>
      <c r="O1085" s="18">
        <f>IF($A1085&gt;40,O1084,(O1084-N1061+N1085)*(1+$B$7))</f>
        <v>0</v>
      </c>
      <c r="P1085" s="18">
        <f t="shared" si="124"/>
        <v>595009.68016490468</v>
      </c>
      <c r="Q1085" s="18">
        <f>IF($A1085&gt;40,0,(Q1061-MIN(MAX(R1084,0),Q1061))+MIN(MAX(0,S1084-(Q1061-MIN(MAX(R1084,0),Q1061))),MAX(0,0*Q1061-(R1084-MIN(MAX(R1084,0),Q1061)))))</f>
        <v>42002.308631517393</v>
      </c>
      <c r="R1085" s="18">
        <f>IF($A1085&gt;40,R1084,(R1084-Q1061+Q1085)*(1+$B$7))</f>
        <v>0</v>
      </c>
      <c r="S1085" s="18">
        <f t="shared" si="125"/>
        <v>595009.68016490468</v>
      </c>
    </row>
    <row r="1086" spans="1:19">
      <c r="A1086" s="10">
        <f>23</f>
        <v>23</v>
      </c>
      <c r="B1086" s="18">
        <f>IF($A1086&gt;40,0,(B1061-MIN(MAX(C1085,0),B1061))+MIN(MAX(0,D1085-(B1061-MIN(MAX(C1085,0),B1061))),MAX(0,0*B1061-(C1085-MIN(MAX(C1085,0),B1061)))))</f>
        <v>30000</v>
      </c>
      <c r="C1086" s="18">
        <f>IF($A1086&gt;40,C1085,(C1085-B1061+B1086)*(1+$B$7))</f>
        <v>0</v>
      </c>
      <c r="D1086" s="18">
        <f t="shared" si="120"/>
        <v>970792.40466620238</v>
      </c>
      <c r="E1086" s="18">
        <f>IF($A1086&gt;40,0,(E1061-MIN(MAX(F1085,0),E1061))+MIN(MAX(0,G1085-(E1061-MIN(MAX(F1085,0),E1061))),MAX(0,0*E1061-(F1085-MIN(MAX(F1085,0),E1061)))))</f>
        <v>75000</v>
      </c>
      <c r="F1086" s="18">
        <f>IF($A1086&gt;40,F1085,(F1085-E1061+E1086)*(1+$B$7))</f>
        <v>0</v>
      </c>
      <c r="G1086" s="18">
        <f t="shared" si="121"/>
        <v>-533398.75502440194</v>
      </c>
      <c r="H1086" s="18">
        <f>IF($A1086&gt;40,0,(H1061-MIN(MAX(I1085,0),H1061))+MIN(MAX(0,J1085-(H1061-MIN(MAX(I1085,0),H1061))),MAX(0,0*H1061-(I1085-MIN(MAX(I1085,0),H1061)))))</f>
        <v>42002.308631517371</v>
      </c>
      <c r="I1086" s="18">
        <f>IF($A1086&gt;40,I1085,(I1085-H1061+H1086)*(1+$B$7))</f>
        <v>0</v>
      </c>
      <c r="J1086" s="18">
        <f t="shared" si="122"/>
        <v>569597.59267938894</v>
      </c>
      <c r="K1086" s="18">
        <f>IF($A1086&gt;40,0,(K1061-MIN(MAX(L1085,0),K1061))+MIN(MAX(0,M1085-(K1061-MIN(MAX(L1085,0),K1061))),MAX(0,0*K1061-(L1085-MIN(MAX(L1085,0),K1061)))))</f>
        <v>42002.3086315174</v>
      </c>
      <c r="L1086" s="18">
        <f>IF($A1086&gt;40,L1085,(L1085-K1061+K1086)*(1+$B$7))</f>
        <v>0</v>
      </c>
      <c r="M1086" s="18">
        <f t="shared" si="123"/>
        <v>569597.59267938614</v>
      </c>
      <c r="N1086" s="18">
        <f>IF($A1086&gt;40,0,(N1061-MIN(MAX(O1085,0),N1061))+MIN(MAX(0,P1085-(N1061-MIN(MAX(O1085,0),N1061))),MAX(0,0*N1061-(O1085-MIN(MAX(O1085,0),N1061)))))</f>
        <v>42002.308631517386</v>
      </c>
      <c r="O1086" s="18">
        <f>IF($A1086&gt;40,O1085,(O1085-N1061+N1086)*(1+$B$7))</f>
        <v>0</v>
      </c>
      <c r="P1086" s="18">
        <f t="shared" si="124"/>
        <v>569597.59267938894</v>
      </c>
      <c r="Q1086" s="18">
        <f>IF($A1086&gt;40,0,(Q1061-MIN(MAX(R1085,0),Q1061))+MIN(MAX(0,S1085-(Q1061-MIN(MAX(R1085,0),Q1061))),MAX(0,0*Q1061-(R1085-MIN(MAX(R1085,0),Q1061)))))</f>
        <v>42002.308631517393</v>
      </c>
      <c r="R1086" s="18">
        <f>IF($A1086&gt;40,R1085,(R1085-Q1061+Q1086)*(1+$B$7))</f>
        <v>0</v>
      </c>
      <c r="S1086" s="18">
        <f t="shared" si="125"/>
        <v>569597.59267938894</v>
      </c>
    </row>
    <row r="1087" spans="1:19">
      <c r="A1087" s="10">
        <f>24</f>
        <v>24</v>
      </c>
      <c r="B1087" s="18">
        <f>IF($A1087&gt;40,0,(B1061-MIN(MAX(C1086,0),B1061))+MIN(MAX(0,D1086-(B1061-MIN(MAX(C1086,0),B1061))),MAX(0,0*B1061-(C1086-MIN(MAX(C1086,0),B1061)))))</f>
        <v>30000</v>
      </c>
      <c r="C1087" s="18">
        <f>IF($A1087&gt;40,C1086,(C1086-B1061+B1087)*(1+$B$7))</f>
        <v>0</v>
      </c>
      <c r="D1087" s="18">
        <f t="shared" si="120"/>
        <v>969016.17680618842</v>
      </c>
      <c r="E1087" s="18">
        <f>IF($A1087&gt;40,0,(E1061-MIN(MAX(F1086,0),E1061))+MIN(MAX(0,G1086-(E1061-MIN(MAX(F1086,0),E1061))),MAX(0,0*E1061-(F1086-MIN(MAX(F1086,0),E1061)))))</f>
        <v>75000</v>
      </c>
      <c r="F1087" s="18">
        <f>IF($A1087&gt;40,F1086,(F1086-E1061+E1087)*(1+$B$7))</f>
        <v>0</v>
      </c>
      <c r="G1087" s="18">
        <f t="shared" si="121"/>
        <v>-626650.71767513396</v>
      </c>
      <c r="H1087" s="18">
        <f>IF($A1087&gt;40,0,(H1061-MIN(MAX(I1086,0),H1061))+MIN(MAX(0,J1086-(H1061-MIN(MAX(I1086,0),H1061))),MAX(0,0*H1061-(I1086-MIN(MAX(I1086,0),H1061)))))</f>
        <v>42002.308631517371</v>
      </c>
      <c r="I1087" s="18">
        <f>IF($A1087&gt;40,I1086,(I1086-H1061+H1087)*(1+$B$7))</f>
        <v>0</v>
      </c>
      <c r="J1087" s="18">
        <f t="shared" si="122"/>
        <v>543423.1425693077</v>
      </c>
      <c r="K1087" s="18">
        <f>IF($A1087&gt;40,0,(K1061-MIN(MAX(L1086,0),K1061))+MIN(MAX(0,M1086-(K1061-MIN(MAX(L1086,0),K1061))),MAX(0,0*K1061-(L1086-MIN(MAX(L1086,0),K1061)))))</f>
        <v>42002.3086315174</v>
      </c>
      <c r="L1087" s="18">
        <f>IF($A1087&gt;40,L1086,(L1086-K1061+K1087)*(1+$B$7))</f>
        <v>0</v>
      </c>
      <c r="M1087" s="18">
        <f t="shared" si="123"/>
        <v>543423.14256930491</v>
      </c>
      <c r="N1087" s="18">
        <f>IF($A1087&gt;40,0,(N1061-MIN(MAX(O1086,0),N1061))+MIN(MAX(0,P1086-(N1061-MIN(MAX(O1086,0),N1061))),MAX(0,0*N1061-(O1086-MIN(MAX(O1086,0),N1061)))))</f>
        <v>42002.308631517386</v>
      </c>
      <c r="O1087" s="18">
        <f>IF($A1087&gt;40,O1086,(O1086-N1061+N1087)*(1+$B$7))</f>
        <v>0</v>
      </c>
      <c r="P1087" s="18">
        <f t="shared" si="124"/>
        <v>543423.1425693077</v>
      </c>
      <c r="Q1087" s="18">
        <f>IF($A1087&gt;40,0,(Q1061-MIN(MAX(R1086,0),Q1061))+MIN(MAX(0,S1086-(Q1061-MIN(MAX(R1086,0),Q1061))),MAX(0,0*Q1061-(R1086-MIN(MAX(R1086,0),Q1061)))))</f>
        <v>42002.308631517393</v>
      </c>
      <c r="R1087" s="18">
        <f>IF($A1087&gt;40,R1086,(R1086-Q1061+Q1087)*(1+$B$7))</f>
        <v>0</v>
      </c>
      <c r="S1087" s="18">
        <f t="shared" si="125"/>
        <v>543423.1425693077</v>
      </c>
    </row>
    <row r="1088" spans="1:19">
      <c r="A1088" s="10">
        <f>25</f>
        <v>25</v>
      </c>
      <c r="B1088" s="18">
        <f>IF($A1088&gt;40,0,(B1061-MIN(MAX(C1087,0),B1061))+MIN(MAX(0,D1087-(B1061-MIN(MAX(C1087,0),B1061))),MAX(0,0*B1061-(C1087-MIN(MAX(C1087,0),B1061)))))</f>
        <v>30000</v>
      </c>
      <c r="C1088" s="18">
        <f>IF($A1088&gt;40,C1087,(C1087-B1061+B1088)*(1+$B$7))</f>
        <v>0</v>
      </c>
      <c r="D1088" s="18">
        <f t="shared" si="120"/>
        <v>967186.66211037408</v>
      </c>
      <c r="E1088" s="18">
        <f>IF($A1088&gt;40,0,(E1061-MIN(MAX(F1087,0),E1061))+MIN(MAX(0,G1087-(E1061-MIN(MAX(F1087,0),E1061))),MAX(0,0*E1061-(F1087-MIN(MAX(F1087,0),E1061)))))</f>
        <v>75000</v>
      </c>
      <c r="F1088" s="18">
        <f>IF($A1088&gt;40,F1087,(F1087-E1061+E1088)*(1+$B$7))</f>
        <v>0</v>
      </c>
      <c r="G1088" s="18">
        <f t="shared" si="121"/>
        <v>-722700.239205388</v>
      </c>
      <c r="H1088" s="18">
        <f>IF($A1088&gt;40,0,(H1061-MIN(MAX(I1087,0),H1061))+MIN(MAX(0,J1087-(H1061-MIN(MAX(I1087,0),H1061))),MAX(0,0*H1061-(I1087-MIN(MAX(I1087,0),H1061)))))</f>
        <v>42002.308631517371</v>
      </c>
      <c r="I1088" s="18">
        <f>IF($A1088&gt;40,I1087,(I1087-H1061+H1088)*(1+$B$7))</f>
        <v>0</v>
      </c>
      <c r="J1088" s="18">
        <f t="shared" si="122"/>
        <v>516463.45895592408</v>
      </c>
      <c r="K1088" s="18">
        <f>IF($A1088&gt;40,0,(K1061-MIN(MAX(L1087,0),K1061))+MIN(MAX(0,M1087-(K1061-MIN(MAX(L1087,0),K1061))),MAX(0,0*K1061-(L1087-MIN(MAX(L1087,0),K1061)))))</f>
        <v>42002.3086315174</v>
      </c>
      <c r="L1088" s="18">
        <f>IF($A1088&gt;40,L1087,(L1087-K1061+K1088)*(1+$B$7))</f>
        <v>0</v>
      </c>
      <c r="M1088" s="18">
        <f t="shared" si="123"/>
        <v>516463.45895592117</v>
      </c>
      <c r="N1088" s="18">
        <f>IF($A1088&gt;40,0,(N1061-MIN(MAX(O1087,0),N1061))+MIN(MAX(0,P1087-(N1061-MIN(MAX(O1087,0),N1061))),MAX(0,0*N1061-(O1087-MIN(MAX(O1087,0),N1061)))))</f>
        <v>42002.308631517386</v>
      </c>
      <c r="O1088" s="18">
        <f>IF($A1088&gt;40,O1087,(O1087-N1061+N1088)*(1+$B$7))</f>
        <v>0</v>
      </c>
      <c r="P1088" s="18">
        <f t="shared" si="124"/>
        <v>516463.45895592403</v>
      </c>
      <c r="Q1088" s="18">
        <f>IF($A1088&gt;40,0,(Q1061-MIN(MAX(R1087,0),Q1061))+MIN(MAX(0,S1087-(Q1061-MIN(MAX(R1087,0),Q1061))),MAX(0,0*Q1061-(R1087-MIN(MAX(R1087,0),Q1061)))))</f>
        <v>42002.308631517393</v>
      </c>
      <c r="R1088" s="18">
        <f>IF($A1088&gt;40,R1087,(R1087-Q1061+Q1088)*(1+$B$7))</f>
        <v>0</v>
      </c>
      <c r="S1088" s="18">
        <f t="shared" si="125"/>
        <v>516463.45895592403</v>
      </c>
    </row>
    <row r="1089" spans="1:19">
      <c r="A1089" s="10">
        <f>26</f>
        <v>26</v>
      </c>
      <c r="B1089" s="18">
        <f>IF($A1089&gt;40,0,(B1061-MIN(MAX(C1088,0),B1061))+MIN(MAX(0,D1088-(B1061-MIN(MAX(C1088,0),B1061))),MAX(0,0*B1061-(C1088-MIN(MAX(C1088,0),B1061)))))</f>
        <v>30000</v>
      </c>
      <c r="C1089" s="18">
        <f>IF($A1089&gt;40,C1088,(C1088-B1061+B1089)*(1+$B$7))</f>
        <v>0</v>
      </c>
      <c r="D1089" s="18">
        <f t="shared" si="120"/>
        <v>965302.26197368535</v>
      </c>
      <c r="E1089" s="18">
        <f>IF($A1089&gt;40,0,(E1061-MIN(MAX(F1088,0),E1061))+MIN(MAX(0,G1088-(E1061-MIN(MAX(F1088,0),E1061))),MAX(0,0*E1061-(F1088-MIN(MAX(F1088,0),E1061)))))</f>
        <v>75000</v>
      </c>
      <c r="F1089" s="18">
        <f>IF($A1089&gt;40,F1088,(F1088-E1061+E1089)*(1+$B$7))</f>
        <v>0</v>
      </c>
      <c r="G1089" s="18">
        <f t="shared" si="121"/>
        <v>-821631.24638154963</v>
      </c>
      <c r="H1089" s="18">
        <f>IF($A1089&gt;40,0,(H1061-MIN(MAX(I1088,0),H1061))+MIN(MAX(0,J1088-(H1061-MIN(MAX(I1088,0),H1061))),MAX(0,0*H1061-(I1088-MIN(MAX(I1088,0),H1061)))))</f>
        <v>42002.308631517371</v>
      </c>
      <c r="I1089" s="18">
        <f>IF($A1089&gt;40,I1088,(I1088-H1061+H1089)*(1+$B$7))</f>
        <v>0</v>
      </c>
      <c r="J1089" s="18">
        <f t="shared" si="122"/>
        <v>488694.98483413889</v>
      </c>
      <c r="K1089" s="18">
        <f>IF($A1089&gt;40,0,(K1061-MIN(MAX(L1088,0),K1061))+MIN(MAX(0,M1088-(K1061-MIN(MAX(L1088,0),K1061))),MAX(0,0*K1061-(L1088-MIN(MAX(L1088,0),K1061)))))</f>
        <v>42002.3086315174</v>
      </c>
      <c r="L1089" s="18">
        <f>IF($A1089&gt;40,L1088,(L1088-K1061+K1089)*(1+$B$7))</f>
        <v>0</v>
      </c>
      <c r="M1089" s="18">
        <f t="shared" si="123"/>
        <v>488694.98483413592</v>
      </c>
      <c r="N1089" s="18">
        <f>IF($A1089&gt;40,0,(N1061-MIN(MAX(O1088,0),N1061))+MIN(MAX(0,P1088-(N1061-MIN(MAX(O1088,0),N1061))),MAX(0,0*N1061-(O1088-MIN(MAX(O1088,0),N1061)))))</f>
        <v>42002.308631517386</v>
      </c>
      <c r="O1089" s="18">
        <f>IF($A1089&gt;40,O1088,(O1088-N1061+N1089)*(1+$B$7))</f>
        <v>0</v>
      </c>
      <c r="P1089" s="18">
        <f t="shared" si="124"/>
        <v>488694.98483413883</v>
      </c>
      <c r="Q1089" s="18">
        <f>IF($A1089&gt;40,0,(Q1061-MIN(MAX(R1088,0),Q1061))+MIN(MAX(0,S1088-(Q1061-MIN(MAX(R1088,0),Q1061))),MAX(0,0*Q1061-(R1088-MIN(MAX(R1088,0),Q1061)))))</f>
        <v>42002.308631517393</v>
      </c>
      <c r="R1089" s="18">
        <f>IF($A1089&gt;40,R1088,(R1088-Q1061+Q1089)*(1+$B$7))</f>
        <v>0</v>
      </c>
      <c r="S1089" s="18">
        <f t="shared" si="125"/>
        <v>488694.98483413883</v>
      </c>
    </row>
    <row r="1090" spans="1:19">
      <c r="A1090" s="10">
        <f>27</f>
        <v>27</v>
      </c>
      <c r="B1090" s="18">
        <f>IF($A1090&gt;40,0,(B1061-MIN(MAX(C1089,0),B1061))+MIN(MAX(0,D1089-(B1061-MIN(MAX(C1089,0),B1061))),MAX(0,0*B1061-(C1089-MIN(MAX(C1089,0),B1061)))))</f>
        <v>30000</v>
      </c>
      <c r="C1090" s="18">
        <f>IF($A1090&gt;40,C1089,(C1089-B1061+B1090)*(1+$B$7))</f>
        <v>0</v>
      </c>
      <c r="D1090" s="18">
        <f t="shared" si="120"/>
        <v>963361.32983289589</v>
      </c>
      <c r="E1090" s="18">
        <f>IF($A1090&gt;40,0,(E1061-MIN(MAX(F1089,0),E1061))+MIN(MAX(0,G1089-(E1061-MIN(MAX(F1089,0),E1061))),MAX(0,0*E1061-(F1089-MIN(MAX(F1089,0),E1061)))))</f>
        <v>75000</v>
      </c>
      <c r="F1090" s="18">
        <f>IF($A1090&gt;40,F1089,(F1089-E1061+E1090)*(1+$B$7))</f>
        <v>0</v>
      </c>
      <c r="G1090" s="18">
        <f t="shared" si="121"/>
        <v>-923530.18377299618</v>
      </c>
      <c r="H1090" s="18">
        <f>IF($A1090&gt;40,0,(H1061-MIN(MAX(I1089,0),H1061))+MIN(MAX(0,J1089-(H1061-MIN(MAX(I1089,0),H1061))),MAX(0,0*H1061-(I1089-MIN(MAX(I1089,0),H1061)))))</f>
        <v>42002.308631517371</v>
      </c>
      <c r="I1090" s="18">
        <f>IF($A1090&gt;40,I1089,(I1089-H1061+H1090)*(1+$B$7))</f>
        <v>0</v>
      </c>
      <c r="J1090" s="18">
        <f t="shared" si="122"/>
        <v>460093.45648870018</v>
      </c>
      <c r="K1090" s="18">
        <f>IF($A1090&gt;40,0,(K1061-MIN(MAX(L1089,0),K1061))+MIN(MAX(0,M1089-(K1061-MIN(MAX(L1089,0),K1061))),MAX(0,0*K1061-(L1089-MIN(MAX(L1089,0),K1061)))))</f>
        <v>42002.3086315174</v>
      </c>
      <c r="L1090" s="18">
        <f>IF($A1090&gt;40,L1089,(L1089-K1061+K1090)*(1+$B$7))</f>
        <v>0</v>
      </c>
      <c r="M1090" s="18">
        <f t="shared" si="123"/>
        <v>460093.45648869709</v>
      </c>
      <c r="N1090" s="18">
        <f>IF($A1090&gt;40,0,(N1061-MIN(MAX(O1089,0),N1061))+MIN(MAX(0,P1089-(N1061-MIN(MAX(O1089,0),N1061))),MAX(0,0*N1061-(O1089-MIN(MAX(O1089,0),N1061)))))</f>
        <v>42002.308631517386</v>
      </c>
      <c r="O1090" s="18">
        <f>IF($A1090&gt;40,O1089,(O1089-N1061+N1090)*(1+$B$7))</f>
        <v>0</v>
      </c>
      <c r="P1090" s="18">
        <f t="shared" si="124"/>
        <v>460093.45648870006</v>
      </c>
      <c r="Q1090" s="18">
        <f>IF($A1090&gt;40,0,(Q1061-MIN(MAX(R1089,0),Q1061))+MIN(MAX(0,S1089-(Q1061-MIN(MAX(R1089,0),Q1061))),MAX(0,0*Q1061-(R1089-MIN(MAX(R1089,0),Q1061)))))</f>
        <v>42002.308631517393</v>
      </c>
      <c r="R1090" s="18">
        <f>IF($A1090&gt;40,R1089,(R1089-Q1061+Q1090)*(1+$B$7))</f>
        <v>0</v>
      </c>
      <c r="S1090" s="18">
        <f t="shared" si="125"/>
        <v>460093.45648870006</v>
      </c>
    </row>
    <row r="1091" spans="1:19">
      <c r="A1091" s="10">
        <f>28</f>
        <v>28</v>
      </c>
      <c r="B1091" s="18">
        <f>IF($A1091&gt;40,0,(B1061-MIN(MAX(C1090,0),B1061))+MIN(MAX(0,D1090-(B1061-MIN(MAX(C1090,0),B1061))),MAX(0,0*B1061-(C1090-MIN(MAX(C1090,0),B1061)))))</f>
        <v>30000</v>
      </c>
      <c r="C1091" s="18">
        <f>IF($A1091&gt;40,C1090,(C1090-B1061+B1091)*(1+$B$7))</f>
        <v>0</v>
      </c>
      <c r="D1091" s="18">
        <f t="shared" si="120"/>
        <v>961362.16972788284</v>
      </c>
      <c r="E1091" s="18">
        <f>IF($A1091&gt;40,0,(E1061-MIN(MAX(F1090,0),E1061))+MIN(MAX(0,G1090-(E1061-MIN(MAX(F1090,0),E1061))),MAX(0,0*E1061-(F1090-MIN(MAX(F1090,0),E1061)))))</f>
        <v>75000</v>
      </c>
      <c r="F1091" s="18">
        <f>IF($A1091&gt;40,F1090,(F1090-E1061+E1091)*(1+$B$7))</f>
        <v>0</v>
      </c>
      <c r="G1091" s="18">
        <f t="shared" si="121"/>
        <v>-1028486.0892861862</v>
      </c>
      <c r="H1091" s="18">
        <f>IF($A1091&gt;40,0,(H1061-MIN(MAX(I1090,0),H1061))+MIN(MAX(0,J1090-(H1061-MIN(MAX(I1090,0),H1061))),MAX(0,0*H1061-(I1090-MIN(MAX(I1090,0),H1061)))))</f>
        <v>42002.308631517371</v>
      </c>
      <c r="I1091" s="18">
        <f>IF($A1091&gt;40,I1090,(I1090-H1061+H1091)*(1+$B$7))</f>
        <v>0</v>
      </c>
      <c r="J1091" s="18">
        <f t="shared" si="122"/>
        <v>430633.88229289826</v>
      </c>
      <c r="K1091" s="18">
        <f>IF($A1091&gt;40,0,(K1061-MIN(MAX(L1090,0),K1061))+MIN(MAX(0,M1090-(K1061-MIN(MAX(L1090,0),K1061))),MAX(0,0*K1061-(L1090-MIN(MAX(L1090,0),K1061)))))</f>
        <v>42002.3086315174</v>
      </c>
      <c r="L1091" s="18">
        <f>IF($A1091&gt;40,L1090,(L1090-K1061+K1091)*(1+$B$7))</f>
        <v>0</v>
      </c>
      <c r="M1091" s="18">
        <f t="shared" si="123"/>
        <v>430633.88229289511</v>
      </c>
      <c r="N1091" s="18">
        <f>IF($A1091&gt;40,0,(N1061-MIN(MAX(O1090,0),N1061))+MIN(MAX(0,P1090-(N1061-MIN(MAX(O1090,0),N1061))),MAX(0,0*N1061-(O1090-MIN(MAX(O1090,0),N1061)))))</f>
        <v>42002.308631517386</v>
      </c>
      <c r="O1091" s="18">
        <f>IF($A1091&gt;40,O1090,(O1090-N1061+N1091)*(1+$B$7))</f>
        <v>0</v>
      </c>
      <c r="P1091" s="18">
        <f t="shared" si="124"/>
        <v>430633.88229289814</v>
      </c>
      <c r="Q1091" s="18">
        <f>IF($A1091&gt;40,0,(Q1061-MIN(MAX(R1090,0),Q1061))+MIN(MAX(0,S1090-(Q1061-MIN(MAX(R1090,0),Q1061))),MAX(0,0*Q1061-(R1090-MIN(MAX(R1090,0),Q1061)))))</f>
        <v>42002.308631517393</v>
      </c>
      <c r="R1091" s="18">
        <f>IF($A1091&gt;40,R1090,(R1090-Q1061+Q1091)*(1+$B$7))</f>
        <v>0</v>
      </c>
      <c r="S1091" s="18">
        <f t="shared" si="125"/>
        <v>430633.88229289814</v>
      </c>
    </row>
    <row r="1092" spans="1:19">
      <c r="A1092" s="10">
        <f>29</f>
        <v>29</v>
      </c>
      <c r="B1092" s="18">
        <f>IF($A1092&gt;40,0,(B1061-MIN(MAX(C1091,0),B1061))+MIN(MAX(0,D1091-(B1061-MIN(MAX(C1091,0),B1061))),MAX(0,0*B1061-(C1091-MIN(MAX(C1091,0),B1061)))))</f>
        <v>30000</v>
      </c>
      <c r="C1092" s="18">
        <f>IF($A1092&gt;40,C1091,(C1091-B1061+B1092)*(1+$B$7))</f>
        <v>0</v>
      </c>
      <c r="D1092" s="18">
        <f t="shared" si="120"/>
        <v>959303.03481971938</v>
      </c>
      <c r="E1092" s="18">
        <f>IF($A1092&gt;40,0,(E1061-MIN(MAX(F1091,0),E1061))+MIN(MAX(0,G1091-(E1061-MIN(MAX(F1091,0),E1061))),MAX(0,0*E1061-(F1091-MIN(MAX(F1091,0),E1061)))))</f>
        <v>75000</v>
      </c>
      <c r="F1092" s="18">
        <f>IF($A1092&gt;40,F1091,(F1091-E1061+E1092)*(1+$B$7))</f>
        <v>0</v>
      </c>
      <c r="G1092" s="18">
        <f t="shared" si="121"/>
        <v>-1136590.6719647718</v>
      </c>
      <c r="H1092" s="18">
        <f>IF($A1092&gt;40,0,(H1061-MIN(MAX(I1091,0),H1061))+MIN(MAX(0,J1091-(H1061-MIN(MAX(I1091,0),H1061))),MAX(0,0*H1061-(I1091-MIN(MAX(I1091,0),H1061)))))</f>
        <v>42002.308631517371</v>
      </c>
      <c r="I1092" s="18">
        <f>IF($A1092&gt;40,I1091,(I1091-H1061+H1092)*(1+$B$7))</f>
        <v>0</v>
      </c>
      <c r="J1092" s="18">
        <f t="shared" si="122"/>
        <v>400290.52087122237</v>
      </c>
      <c r="K1092" s="18">
        <f>IF($A1092&gt;40,0,(K1061-MIN(MAX(L1091,0),K1061))+MIN(MAX(0,M1091-(K1061-MIN(MAX(L1091,0),K1061))),MAX(0,0*K1061-(L1091-MIN(MAX(L1091,0),K1061)))))</f>
        <v>42002.3086315174</v>
      </c>
      <c r="L1092" s="18">
        <f>IF($A1092&gt;40,L1091,(L1091-K1061+K1092)*(1+$B$7))</f>
        <v>0</v>
      </c>
      <c r="M1092" s="18">
        <f t="shared" si="123"/>
        <v>400290.52087121905</v>
      </c>
      <c r="N1092" s="18">
        <f>IF($A1092&gt;40,0,(N1061-MIN(MAX(O1091,0),N1061))+MIN(MAX(0,P1091-(N1061-MIN(MAX(O1091,0),N1061))),MAX(0,0*N1061-(O1091-MIN(MAX(O1091,0),N1061)))))</f>
        <v>42002.308631517386</v>
      </c>
      <c r="O1092" s="18">
        <f>IF($A1092&gt;40,O1091,(O1091-N1061+N1092)*(1+$B$7))</f>
        <v>0</v>
      </c>
      <c r="P1092" s="18">
        <f t="shared" si="124"/>
        <v>400290.52087122219</v>
      </c>
      <c r="Q1092" s="18">
        <f>IF($A1092&gt;40,0,(Q1061-MIN(MAX(R1091,0),Q1061))+MIN(MAX(0,S1091-(Q1061-MIN(MAX(R1091,0),Q1061))),MAX(0,0*Q1061-(R1091-MIN(MAX(R1091,0),Q1061)))))</f>
        <v>42002.308631517393</v>
      </c>
      <c r="R1092" s="18">
        <f>IF($A1092&gt;40,R1091,(R1091-Q1061+Q1092)*(1+$B$7))</f>
        <v>0</v>
      </c>
      <c r="S1092" s="18">
        <f t="shared" si="125"/>
        <v>400290.52087122219</v>
      </c>
    </row>
    <row r="1093" spans="1:19">
      <c r="A1093" s="10">
        <f>30</f>
        <v>30</v>
      </c>
      <c r="B1093" s="18">
        <f>IF($A1093&gt;40,0,(B1061-MIN(MAX(C1092,0),B1061))+MIN(MAX(0,D1092-(B1061-MIN(MAX(C1092,0),B1061))),MAX(0,0*B1061-(C1092-MIN(MAX(C1092,0),B1061)))))</f>
        <v>30000</v>
      </c>
      <c r="C1093" s="18">
        <f>IF($A1093&gt;40,C1092,(C1092-B1061+B1093)*(1+$B$7))</f>
        <v>0</v>
      </c>
      <c r="D1093" s="18">
        <f t="shared" si="120"/>
        <v>957182.125864311</v>
      </c>
      <c r="E1093" s="18">
        <f>IF($A1093&gt;40,0,(E1061-MIN(MAX(F1092,0),E1061))+MIN(MAX(0,G1092-(E1061-MIN(MAX(F1092,0),E1061))),MAX(0,0*E1061-(F1092-MIN(MAX(F1092,0),E1061)))))</f>
        <v>75000</v>
      </c>
      <c r="F1093" s="18">
        <f>IF($A1093&gt;40,F1092,(F1092-E1061+E1093)*(1+$B$7))</f>
        <v>0</v>
      </c>
      <c r="G1093" s="18">
        <f t="shared" si="121"/>
        <v>-1247938.392123715</v>
      </c>
      <c r="H1093" s="18">
        <f>IF($A1093&gt;40,0,(H1061-MIN(MAX(I1092,0),H1061))+MIN(MAX(0,J1092-(H1061-MIN(MAX(I1092,0),H1061))),MAX(0,0*H1061-(I1092-MIN(MAX(I1092,0),H1061)))))</f>
        <v>42002.308631517371</v>
      </c>
      <c r="I1093" s="18">
        <f>IF($A1093&gt;40,I1092,(I1092-H1061+H1093)*(1+$B$7))</f>
        <v>0</v>
      </c>
      <c r="J1093" s="18">
        <f t="shared" si="122"/>
        <v>369036.85860689619</v>
      </c>
      <c r="K1093" s="18">
        <f>IF($A1093&gt;40,0,(K1061-MIN(MAX(L1092,0),K1061))+MIN(MAX(0,M1092-(K1061-MIN(MAX(L1092,0),K1061))),MAX(0,0*K1061-(L1092-MIN(MAX(L1092,0),K1061)))))</f>
        <v>42002.3086315174</v>
      </c>
      <c r="L1093" s="18">
        <f>IF($A1093&gt;40,L1092,(L1092-K1061+K1093)*(1+$B$7))</f>
        <v>0</v>
      </c>
      <c r="M1093" s="18">
        <f t="shared" si="123"/>
        <v>369036.8586068927</v>
      </c>
      <c r="N1093" s="18">
        <f>IF($A1093&gt;40,0,(N1061-MIN(MAX(O1092,0),N1061))+MIN(MAX(0,P1092-(N1061-MIN(MAX(O1092,0),N1061))),MAX(0,0*N1061-(O1092-MIN(MAX(O1092,0),N1061)))))</f>
        <v>42002.308631517386</v>
      </c>
      <c r="O1093" s="18">
        <f>IF($A1093&gt;40,O1092,(O1092-N1061+N1093)*(1+$B$7))</f>
        <v>0</v>
      </c>
      <c r="P1093" s="18">
        <f t="shared" si="124"/>
        <v>369036.85860689596</v>
      </c>
      <c r="Q1093" s="18">
        <f>IF($A1093&gt;40,0,(Q1061-MIN(MAX(R1092,0),Q1061))+MIN(MAX(0,S1092-(Q1061-MIN(MAX(R1092,0),Q1061))),MAX(0,0*Q1061-(R1092-MIN(MAX(R1092,0),Q1061)))))</f>
        <v>42002.308631517393</v>
      </c>
      <c r="R1093" s="18">
        <f>IF($A1093&gt;40,R1092,(R1092-Q1061+Q1093)*(1+$B$7))</f>
        <v>0</v>
      </c>
      <c r="S1093" s="18">
        <f t="shared" si="125"/>
        <v>369036.85860689596</v>
      </c>
    </row>
    <row r="1094" spans="1:19">
      <c r="A1094" s="10">
        <f>31</f>
        <v>31</v>
      </c>
      <c r="B1094" s="18">
        <f>IF($A1094&gt;40,0,(B1061-MIN(MAX(C1093,0),B1061))+MIN(MAX(0,D1093-(B1061-MIN(MAX(C1093,0),B1061))),MAX(0,0*B1061-(C1093-MIN(MAX(C1093,0),B1061)))))</f>
        <v>30000</v>
      </c>
      <c r="C1094" s="18">
        <f>IF($A1094&gt;40,C1093,(C1093-B1061+B1094)*(1+$B$7))</f>
        <v>0</v>
      </c>
      <c r="D1094" s="18">
        <f t="shared" si="120"/>
        <v>954997.58964024042</v>
      </c>
      <c r="E1094" s="18">
        <f>IF($A1094&gt;40,0,(E1061-MIN(MAX(F1093,0),E1061))+MIN(MAX(0,G1093-(E1061-MIN(MAX(F1093,0),E1061))),MAX(0,0*E1061-(F1093-MIN(MAX(F1093,0),E1061)))))</f>
        <v>75000</v>
      </c>
      <c r="F1094" s="18">
        <f>IF($A1094&gt;40,F1093,(F1093-E1061+E1094)*(1+$B$7))</f>
        <v>0</v>
      </c>
      <c r="G1094" s="18">
        <f t="shared" si="121"/>
        <v>-1362626.5438874266</v>
      </c>
      <c r="H1094" s="18">
        <f>IF($A1094&gt;40,0,(H1061-MIN(MAX(I1093,0),H1061))+MIN(MAX(0,J1093-(H1061-MIN(MAX(I1093,0),H1061))),MAX(0,0*H1061-(I1093-MIN(MAX(I1093,0),H1061)))))</f>
        <v>42002.308631517371</v>
      </c>
      <c r="I1094" s="18">
        <f>IF($A1094&gt;40,I1093,(I1093-H1061+H1094)*(1+$B$7))</f>
        <v>0</v>
      </c>
      <c r="J1094" s="18">
        <f t="shared" si="122"/>
        <v>336845.58647464018</v>
      </c>
      <c r="K1094" s="18">
        <f>IF($A1094&gt;40,0,(K1061-MIN(MAX(L1093,0),K1061))+MIN(MAX(0,M1093-(K1061-MIN(MAX(L1093,0),K1061))),MAX(0,0*K1061-(L1093-MIN(MAX(L1093,0),K1061)))))</f>
        <v>42002.3086315174</v>
      </c>
      <c r="L1094" s="18">
        <f>IF($A1094&gt;40,L1093,(L1093-K1061+K1094)*(1+$B$7))</f>
        <v>0</v>
      </c>
      <c r="M1094" s="18">
        <f t="shared" si="123"/>
        <v>336845.58647463657</v>
      </c>
      <c r="N1094" s="18">
        <f>IF($A1094&gt;40,0,(N1061-MIN(MAX(O1093,0),N1061))+MIN(MAX(0,P1093-(N1061-MIN(MAX(O1093,0),N1061))),MAX(0,0*N1061-(O1093-MIN(MAX(O1093,0),N1061)))))</f>
        <v>42002.308631517386</v>
      </c>
      <c r="O1094" s="18">
        <f>IF($A1094&gt;40,O1093,(O1093-N1061+N1094)*(1+$B$7))</f>
        <v>0</v>
      </c>
      <c r="P1094" s="18">
        <f t="shared" si="124"/>
        <v>336845.58647463995</v>
      </c>
      <c r="Q1094" s="18">
        <f>IF($A1094&gt;40,0,(Q1061-MIN(MAX(R1093,0),Q1061))+MIN(MAX(0,S1093-(Q1061-MIN(MAX(R1093,0),Q1061))),MAX(0,0*Q1061-(R1093-MIN(MAX(R1093,0),Q1061)))))</f>
        <v>42002.308631517393</v>
      </c>
      <c r="R1094" s="18">
        <f>IF($A1094&gt;40,R1093,(R1093-Q1061+Q1094)*(1+$B$7))</f>
        <v>0</v>
      </c>
      <c r="S1094" s="18">
        <f t="shared" si="125"/>
        <v>336845.58647463995</v>
      </c>
    </row>
    <row r="1095" spans="1:19">
      <c r="A1095" s="10">
        <f>32</f>
        <v>32</v>
      </c>
      <c r="B1095" s="18">
        <f>IF($A1095&gt;40,0,(B1061-MIN(MAX(C1094,0),B1061))+MIN(MAX(0,D1094-(B1061-MIN(MAX(C1094,0),B1061))),MAX(0,0*B1061-(C1094-MIN(MAX(C1094,0),B1061)))))</f>
        <v>30000</v>
      </c>
      <c r="C1095" s="18">
        <f>IF($A1095&gt;40,C1094,(C1094-B1061+B1095)*(1+$B$7))</f>
        <v>0</v>
      </c>
      <c r="D1095" s="18">
        <f t="shared" si="120"/>
        <v>952747.51732944767</v>
      </c>
      <c r="E1095" s="18">
        <f>IF($A1095&gt;40,0,(E1061-MIN(MAX(F1094,0),E1061))+MIN(MAX(0,G1094-(E1061-MIN(MAX(F1094,0),E1061))),MAX(0,0*E1061-(F1094-MIN(MAX(F1094,0),E1061)))))</f>
        <v>75000</v>
      </c>
      <c r="F1095" s="18">
        <f>IF($A1095&gt;40,F1094,(F1094-E1061+E1095)*(1+$B$7))</f>
        <v>0</v>
      </c>
      <c r="G1095" s="18">
        <f t="shared" si="121"/>
        <v>-1480755.3402040494</v>
      </c>
      <c r="H1095" s="18">
        <f>IF($A1095&gt;40,0,(H1061-MIN(MAX(I1094,0),H1061))+MIN(MAX(0,J1094-(H1061-MIN(MAX(I1094,0),H1061))),MAX(0,0*H1061-(I1094-MIN(MAX(I1094,0),H1061)))))</f>
        <v>42002.308631517371</v>
      </c>
      <c r="I1095" s="18">
        <f>IF($A1095&gt;40,I1094,(I1094-H1061+H1095)*(1+$B$7))</f>
        <v>0</v>
      </c>
      <c r="J1095" s="18">
        <f t="shared" si="122"/>
        <v>303688.57617841655</v>
      </c>
      <c r="K1095" s="18">
        <f>IF($A1095&gt;40,0,(K1061-MIN(MAX(L1094,0),K1061))+MIN(MAX(0,M1094-(K1061-MIN(MAX(L1094,0),K1061))),MAX(0,0*K1061-(L1094-MIN(MAX(L1094,0),K1061)))))</f>
        <v>42002.3086315174</v>
      </c>
      <c r="L1095" s="18">
        <f>IF($A1095&gt;40,L1094,(L1094-K1061+K1095)*(1+$B$7))</f>
        <v>0</v>
      </c>
      <c r="M1095" s="18">
        <f t="shared" si="123"/>
        <v>303688.57617841277</v>
      </c>
      <c r="N1095" s="18">
        <f>IF($A1095&gt;40,0,(N1061-MIN(MAX(O1094,0),N1061))+MIN(MAX(0,P1094-(N1061-MIN(MAX(O1094,0),N1061))),MAX(0,0*N1061-(O1094-MIN(MAX(O1094,0),N1061)))))</f>
        <v>42002.308631517386</v>
      </c>
      <c r="O1095" s="18">
        <f>IF($A1095&gt;40,O1094,(O1094-N1061+N1095)*(1+$B$7))</f>
        <v>0</v>
      </c>
      <c r="P1095" s="18">
        <f t="shared" si="124"/>
        <v>303688.5761784162</v>
      </c>
      <c r="Q1095" s="18">
        <f>IF($A1095&gt;40,0,(Q1061-MIN(MAX(R1094,0),Q1061))+MIN(MAX(0,S1094-(Q1061-MIN(MAX(R1094,0),Q1061))),MAX(0,0*Q1061-(R1094-MIN(MAX(R1094,0),Q1061)))))</f>
        <v>42002.308631517393</v>
      </c>
      <c r="R1095" s="18">
        <f>IF($A1095&gt;40,R1094,(R1094-Q1061+Q1095)*(1+$B$7))</f>
        <v>0</v>
      </c>
      <c r="S1095" s="18">
        <f t="shared" si="125"/>
        <v>303688.5761784162</v>
      </c>
    </row>
    <row r="1096" spans="1:19">
      <c r="A1096" s="10">
        <f>33</f>
        <v>33</v>
      </c>
      <c r="B1096" s="18">
        <f>IF($A1096&gt;40,0,(B1061-MIN(MAX(C1095,0),B1061))+MIN(MAX(0,D1095-(B1061-MIN(MAX(C1095,0),B1061))),MAX(0,0*B1061-(C1095-MIN(MAX(C1095,0),B1061)))))</f>
        <v>30000</v>
      </c>
      <c r="C1096" s="18">
        <f>IF($A1096&gt;40,C1095,(C1095-B1061+B1096)*(1+$B$7))</f>
        <v>0</v>
      </c>
      <c r="D1096" s="18">
        <f t="shared" si="120"/>
        <v>950429.94284933107</v>
      </c>
      <c r="E1096" s="18">
        <f>IF($A1096&gt;40,0,(E1061-MIN(MAX(F1095,0),E1061))+MIN(MAX(0,G1095-(E1061-MIN(MAX(F1095,0),E1061))),MAX(0,0*E1061-(F1095-MIN(MAX(F1095,0),E1061)))))</f>
        <v>75000</v>
      </c>
      <c r="F1096" s="18">
        <f>IF($A1096&gt;40,F1095,(F1095-E1061+E1096)*(1+$B$7))</f>
        <v>0</v>
      </c>
      <c r="G1096" s="18">
        <f t="shared" si="121"/>
        <v>-1602428.000410171</v>
      </c>
      <c r="H1096" s="18">
        <f>IF($A1096&gt;40,0,(H1061-MIN(MAX(I1095,0),H1061))+MIN(MAX(0,J1095-(H1061-MIN(MAX(I1095,0),H1061))),MAX(0,0*H1061-(I1095-MIN(MAX(I1095,0),H1061)))))</f>
        <v>42002.308631517371</v>
      </c>
      <c r="I1096" s="18">
        <f>IF($A1096&gt;40,I1095,(I1095-H1061+H1096)*(1+$B$7))</f>
        <v>0</v>
      </c>
      <c r="J1096" s="18">
        <f t="shared" si="122"/>
        <v>269536.85557330615</v>
      </c>
      <c r="K1096" s="18">
        <f>IF($A1096&gt;40,0,(K1061-MIN(MAX(L1095,0),K1061))+MIN(MAX(0,M1095-(K1061-MIN(MAX(L1095,0),K1061))),MAX(0,0*K1061-(L1095-MIN(MAX(L1095,0),K1061)))))</f>
        <v>42002.3086315174</v>
      </c>
      <c r="L1096" s="18">
        <f>IF($A1096&gt;40,L1095,(L1095-K1061+K1096)*(1+$B$7))</f>
        <v>0</v>
      </c>
      <c r="M1096" s="18">
        <f t="shared" si="123"/>
        <v>269536.85557330225</v>
      </c>
      <c r="N1096" s="18">
        <f>IF($A1096&gt;40,0,(N1061-MIN(MAX(O1095,0),N1061))+MIN(MAX(0,P1095-(N1061-MIN(MAX(O1095,0),N1061))),MAX(0,0*N1061-(O1095-MIN(MAX(O1095,0),N1061)))))</f>
        <v>42002.308631517386</v>
      </c>
      <c r="O1096" s="18">
        <f>IF($A1096&gt;40,O1095,(O1095-N1061+N1096)*(1+$B$7))</f>
        <v>0</v>
      </c>
      <c r="P1096" s="18">
        <f t="shared" si="124"/>
        <v>269536.85557330574</v>
      </c>
      <c r="Q1096" s="18">
        <f>IF($A1096&gt;40,0,(Q1061-MIN(MAX(R1095,0),Q1061))+MIN(MAX(0,S1095-(Q1061-MIN(MAX(R1095,0),Q1061))),MAX(0,0*Q1061-(R1095-MIN(MAX(R1095,0),Q1061)))))</f>
        <v>42002.308631517393</v>
      </c>
      <c r="R1096" s="18">
        <f>IF($A1096&gt;40,R1095,(R1095-Q1061+Q1096)*(1+$B$7))</f>
        <v>0</v>
      </c>
      <c r="S1096" s="18">
        <f t="shared" si="125"/>
        <v>269536.85557330574</v>
      </c>
    </row>
    <row r="1097" spans="1:19">
      <c r="A1097" s="10">
        <f>34</f>
        <v>34</v>
      </c>
      <c r="B1097" s="18">
        <f>IF($A1097&gt;40,0,(B1061-MIN(MAX(C1096,0),B1061))+MIN(MAX(0,D1096-(B1061-MIN(MAX(C1096,0),B1061))),MAX(0,0*B1061-(C1096-MIN(MAX(C1096,0),B1061)))))</f>
        <v>30000</v>
      </c>
      <c r="C1097" s="18">
        <f>IF($A1097&gt;40,C1096,(C1096-B1061+B1097)*(1+$B$7))</f>
        <v>0</v>
      </c>
      <c r="D1097" s="18">
        <f t="shared" si="120"/>
        <v>948042.84113481105</v>
      </c>
      <c r="E1097" s="18">
        <f>IF($A1097&gt;40,0,(E1061-MIN(MAX(F1096,0),E1061))+MIN(MAX(0,G1096-(E1061-MIN(MAX(F1096,0),E1061))),MAX(0,0*E1061-(F1096-MIN(MAX(F1096,0),E1061)))))</f>
        <v>75000</v>
      </c>
      <c r="F1097" s="18">
        <f>IF($A1097&gt;40,F1096,(F1096-E1061+E1097)*(1+$B$7))</f>
        <v>0</v>
      </c>
      <c r="G1097" s="18">
        <f t="shared" si="121"/>
        <v>-1727750.8404224762</v>
      </c>
      <c r="H1097" s="18">
        <f>IF($A1097&gt;40,0,(H1061-MIN(MAX(I1096,0),H1061))+MIN(MAX(0,J1096-(H1061-MIN(MAX(I1096,0),H1061))),MAX(0,0*H1061-(I1096-MIN(MAX(I1096,0),H1061)))))</f>
        <v>42002.308631517371</v>
      </c>
      <c r="I1097" s="18">
        <f>IF($A1097&gt;40,I1096,(I1096-H1061+H1097)*(1+$B$7))</f>
        <v>0</v>
      </c>
      <c r="J1097" s="18">
        <f t="shared" si="122"/>
        <v>234360.58335004246</v>
      </c>
      <c r="K1097" s="18">
        <f>IF($A1097&gt;40,0,(K1061-MIN(MAX(L1096,0),K1061))+MIN(MAX(0,M1096-(K1061-MIN(MAX(L1096,0),K1061))),MAX(0,0*K1061-(L1096-MIN(MAX(L1096,0),K1061)))))</f>
        <v>42002.3086315174</v>
      </c>
      <c r="L1097" s="18">
        <f>IF($A1097&gt;40,L1096,(L1096-K1061+K1097)*(1+$B$7))</f>
        <v>0</v>
      </c>
      <c r="M1097" s="18">
        <f t="shared" si="123"/>
        <v>234360.58335003839</v>
      </c>
      <c r="N1097" s="18">
        <f>IF($A1097&gt;40,0,(N1061-MIN(MAX(O1096,0),N1061))+MIN(MAX(0,P1096-(N1061-MIN(MAX(O1096,0),N1061))),MAX(0,0*N1061-(O1096-MIN(MAX(O1096,0),N1061)))))</f>
        <v>42002.308631517386</v>
      </c>
      <c r="O1097" s="18">
        <f>IF($A1097&gt;40,O1096,(O1096-N1061+N1097)*(1+$B$7))</f>
        <v>0</v>
      </c>
      <c r="P1097" s="18">
        <f t="shared" si="124"/>
        <v>234360.583350042</v>
      </c>
      <c r="Q1097" s="18">
        <f>IF($A1097&gt;40,0,(Q1061-MIN(MAX(R1096,0),Q1061))+MIN(MAX(0,S1096-(Q1061-MIN(MAX(R1096,0),Q1061))),MAX(0,0*Q1061-(R1096-MIN(MAX(R1096,0),Q1061)))))</f>
        <v>42002.308631517393</v>
      </c>
      <c r="R1097" s="18">
        <f>IF($A1097&gt;40,R1096,(R1096-Q1061+Q1097)*(1+$B$7))</f>
        <v>0</v>
      </c>
      <c r="S1097" s="18">
        <f t="shared" si="125"/>
        <v>234360.583350042</v>
      </c>
    </row>
    <row r="1098" spans="1:19">
      <c r="A1098" s="10">
        <f>35</f>
        <v>35</v>
      </c>
      <c r="B1098" s="18">
        <f>IF($A1098&gt;40,0,(B1061-MIN(MAX(C1097,0),B1061))+MIN(MAX(0,D1097-(B1061-MIN(MAX(C1097,0),B1061))),MAX(0,0*B1061-(C1097-MIN(MAX(C1097,0),B1061)))))</f>
        <v>30000</v>
      </c>
      <c r="C1098" s="18">
        <f>IF($A1098&gt;40,C1097,(C1097-B1061+B1098)*(1+$B$7))</f>
        <v>0</v>
      </c>
      <c r="D1098" s="18">
        <f t="shared" si="120"/>
        <v>945584.12636885536</v>
      </c>
      <c r="E1098" s="18">
        <f>IF($A1098&gt;40,0,(E1061-MIN(MAX(F1097,0),E1061))+MIN(MAX(0,G1097-(E1061-MIN(MAX(F1097,0),E1061))),MAX(0,0*E1061-(F1097-MIN(MAX(F1097,0),E1061)))))</f>
        <v>75000</v>
      </c>
      <c r="F1098" s="18">
        <f>IF($A1098&gt;40,F1097,(F1097-E1061+E1098)*(1+$B$7))</f>
        <v>0</v>
      </c>
      <c r="G1098" s="18">
        <f t="shared" si="121"/>
        <v>-1856833.3656351506</v>
      </c>
      <c r="H1098" s="18">
        <f>IF($A1098&gt;40,0,(H1061-MIN(MAX(I1097,0),H1061))+MIN(MAX(0,J1097-(H1061-MIN(MAX(I1097,0),H1061))),MAX(0,0*H1061-(I1097-MIN(MAX(I1097,0),H1061)))))</f>
        <v>42002.308631517371</v>
      </c>
      <c r="I1098" s="18">
        <f>IF($A1098&gt;40,I1097,(I1097-H1061+H1098)*(1+$B$7))</f>
        <v>0</v>
      </c>
      <c r="J1098" s="18">
        <f t="shared" si="122"/>
        <v>198129.02296008085</v>
      </c>
      <c r="K1098" s="18">
        <f>IF($A1098&gt;40,0,(K1061-MIN(MAX(L1097,0),K1061))+MIN(MAX(0,M1097-(K1061-MIN(MAX(L1097,0),K1061))),MAX(0,0*K1061-(L1097-MIN(MAX(L1097,0),K1061)))))</f>
        <v>42002.3086315174</v>
      </c>
      <c r="L1098" s="18">
        <f>IF($A1098&gt;40,L1097,(L1097-K1061+K1098)*(1+$B$7))</f>
        <v>0</v>
      </c>
      <c r="M1098" s="18">
        <f t="shared" si="123"/>
        <v>198129.02296007663</v>
      </c>
      <c r="N1098" s="18">
        <f>IF($A1098&gt;40,0,(N1061-MIN(MAX(O1097,0),N1061))+MIN(MAX(0,P1097-(N1061-MIN(MAX(O1097,0),N1061))),MAX(0,0*N1061-(O1097-MIN(MAX(O1097,0),N1061)))))</f>
        <v>42002.308631517386</v>
      </c>
      <c r="O1098" s="18">
        <f>IF($A1098&gt;40,O1097,(O1097-N1061+N1098)*(1+$B$7))</f>
        <v>0</v>
      </c>
      <c r="P1098" s="18">
        <f t="shared" si="124"/>
        <v>198129.02296008033</v>
      </c>
      <c r="Q1098" s="18">
        <f>IF($A1098&gt;40,0,(Q1061-MIN(MAX(R1097,0),Q1061))+MIN(MAX(0,S1097-(Q1061-MIN(MAX(R1097,0),Q1061))),MAX(0,0*Q1061-(R1097-MIN(MAX(R1097,0),Q1061)))))</f>
        <v>42002.308631517393</v>
      </c>
      <c r="R1098" s="18">
        <f>IF($A1098&gt;40,R1097,(R1097-Q1061+Q1098)*(1+$B$7))</f>
        <v>0</v>
      </c>
      <c r="S1098" s="18">
        <f t="shared" si="125"/>
        <v>198129.02296008033</v>
      </c>
    </row>
    <row r="1099" spans="1:19">
      <c r="A1099" s="10">
        <f>36</f>
        <v>36</v>
      </c>
      <c r="B1099" s="18">
        <f>IF($A1099&gt;40,0,(B1061-MIN(MAX(C1098,0),B1061))+MIN(MAX(0,D1098-(B1061-MIN(MAX(C1098,0),B1061))),MAX(0,0*B1061-(C1098-MIN(MAX(C1098,0),B1061)))))</f>
        <v>30000</v>
      </c>
      <c r="C1099" s="18">
        <f>IF($A1099&gt;40,C1098,(C1098-B1061+B1099)*(1+$B$7))</f>
        <v>0</v>
      </c>
      <c r="D1099" s="18">
        <f t="shared" si="120"/>
        <v>943051.65015992103</v>
      </c>
      <c r="E1099" s="18">
        <f>IF($A1099&gt;40,0,(E1061-MIN(MAX(F1098,0),E1061))+MIN(MAX(0,G1098-(E1061-MIN(MAX(F1098,0),E1061))),MAX(0,0*E1061-(F1098-MIN(MAX(F1098,0),E1061)))))</f>
        <v>75000</v>
      </c>
      <c r="F1099" s="18">
        <f>IF($A1099&gt;40,F1098,(F1098-E1061+E1099)*(1+$B$7))</f>
        <v>0</v>
      </c>
      <c r="G1099" s="18">
        <f t="shared" si="121"/>
        <v>-1989788.3666042052</v>
      </c>
      <c r="H1099" s="18">
        <f>IF($A1099&gt;40,0,(H1061-MIN(MAX(I1098,0),H1061))+MIN(MAX(0,J1098-(H1061-MIN(MAX(I1098,0),H1061))),MAX(0,0*H1061-(I1098-MIN(MAX(I1098,0),H1061)))))</f>
        <v>42002.308631517371</v>
      </c>
      <c r="I1099" s="18">
        <f>IF($A1099&gt;40,I1098,(I1098-H1061+H1099)*(1+$B$7))</f>
        <v>0</v>
      </c>
      <c r="J1099" s="18">
        <f t="shared" si="122"/>
        <v>160810.5157584204</v>
      </c>
      <c r="K1099" s="18">
        <f>IF($A1099&gt;40,0,(K1061-MIN(MAX(L1098,0),K1061))+MIN(MAX(0,M1098-(K1061-MIN(MAX(L1098,0),K1061))),MAX(0,0*K1061-(L1098-MIN(MAX(L1098,0),K1061)))))</f>
        <v>42002.3086315174</v>
      </c>
      <c r="L1099" s="18">
        <f>IF($A1099&gt;40,L1098,(L1098-K1061+K1099)*(1+$B$7))</f>
        <v>0</v>
      </c>
      <c r="M1099" s="18">
        <f t="shared" si="123"/>
        <v>160810.515758416</v>
      </c>
      <c r="N1099" s="18">
        <f>IF($A1099&gt;40,0,(N1061-MIN(MAX(O1098,0),N1061))+MIN(MAX(0,P1098-(N1061-MIN(MAX(O1098,0),N1061))),MAX(0,0*N1061-(O1098-MIN(MAX(O1098,0),N1061)))))</f>
        <v>42002.308631517386</v>
      </c>
      <c r="O1099" s="18">
        <f>IF($A1099&gt;40,O1098,(O1098-N1061+N1099)*(1+$B$7))</f>
        <v>0</v>
      </c>
      <c r="P1099" s="18">
        <f t="shared" si="124"/>
        <v>160810.51575841985</v>
      </c>
      <c r="Q1099" s="18">
        <f>IF($A1099&gt;40,0,(Q1061-MIN(MAX(R1098,0),Q1061))+MIN(MAX(0,S1098-(Q1061-MIN(MAX(R1098,0),Q1061))),MAX(0,0*Q1061-(R1098-MIN(MAX(R1098,0),Q1061)))))</f>
        <v>42002.308631517393</v>
      </c>
      <c r="R1099" s="18">
        <f>IF($A1099&gt;40,R1098,(R1098-Q1061+Q1099)*(1+$B$7))</f>
        <v>0</v>
      </c>
      <c r="S1099" s="18">
        <f t="shared" si="125"/>
        <v>160810.51575841982</v>
      </c>
    </row>
    <row r="1100" spans="1:19">
      <c r="A1100" s="10">
        <f>37</f>
        <v>37</v>
      </c>
      <c r="B1100" s="18">
        <f>IF($A1100&gt;40,0,(B1061-MIN(MAX(C1099,0),B1061))+MIN(MAX(0,D1099-(B1061-MIN(MAX(C1099,0),B1061))),MAX(0,0*B1061-(C1099-MIN(MAX(C1099,0),B1061)))))</f>
        <v>30000</v>
      </c>
      <c r="C1100" s="18">
        <f>IF($A1100&gt;40,C1099,(C1099-B1061+B1100)*(1+$B$7))</f>
        <v>0</v>
      </c>
      <c r="D1100" s="18">
        <f t="shared" si="120"/>
        <v>940443.1996647187</v>
      </c>
      <c r="E1100" s="18">
        <f>IF($A1100&gt;40,0,(E1061-MIN(MAX(F1099,0),E1061))+MIN(MAX(0,G1099-(E1061-MIN(MAX(F1099,0),E1061))),MAX(0,0*E1061-(F1099-MIN(MAX(F1099,0),E1061)))))</f>
        <v>75000</v>
      </c>
      <c r="F1100" s="18">
        <f>IF($A1100&gt;40,F1099,(F1099-E1061+E1100)*(1+$B$7))</f>
        <v>0</v>
      </c>
      <c r="G1100" s="18">
        <f t="shared" si="121"/>
        <v>-2126732.0176023315</v>
      </c>
      <c r="H1100" s="18">
        <f>IF($A1100&gt;40,0,(H1061-MIN(MAX(I1099,0),H1061))+MIN(MAX(0,J1099-(H1061-MIN(MAX(I1099,0),H1061))),MAX(0,0*H1061-(I1099-MIN(MAX(I1099,0),H1061)))))</f>
        <v>42002.308631517371</v>
      </c>
      <c r="I1100" s="18">
        <f>IF($A1100&gt;40,I1099,(I1099-H1061+H1100)*(1+$B$7))</f>
        <v>0</v>
      </c>
      <c r="J1100" s="18">
        <f t="shared" si="122"/>
        <v>122372.45334071013</v>
      </c>
      <c r="K1100" s="18">
        <f>IF($A1100&gt;40,0,(K1061-MIN(MAX(L1099,0),K1061))+MIN(MAX(0,M1099-(K1061-MIN(MAX(L1099,0),K1061))),MAX(0,0*K1061-(L1099-MIN(MAX(L1099,0),K1061)))))</f>
        <v>42002.3086315174</v>
      </c>
      <c r="L1100" s="18">
        <f>IF($A1100&gt;40,L1099,(L1099-K1061+K1100)*(1+$B$7))</f>
        <v>0</v>
      </c>
      <c r="M1100" s="18">
        <f t="shared" si="123"/>
        <v>122372.45334070557</v>
      </c>
      <c r="N1100" s="18">
        <f>IF($A1100&gt;40,0,(N1061-MIN(MAX(O1099,0),N1061))+MIN(MAX(0,P1099-(N1061-MIN(MAX(O1099,0),N1061))),MAX(0,0*N1061-(O1099-MIN(MAX(O1099,0),N1061)))))</f>
        <v>42002.308631517386</v>
      </c>
      <c r="O1100" s="18">
        <f>IF($A1100&gt;40,O1099,(O1099-N1061+N1100)*(1+$B$7))</f>
        <v>0</v>
      </c>
      <c r="P1100" s="18">
        <f t="shared" si="124"/>
        <v>122372.45334070954</v>
      </c>
      <c r="Q1100" s="18">
        <f>IF($A1100&gt;40,0,(Q1061-MIN(MAX(R1099,0),Q1061))+MIN(MAX(0,S1099-(Q1061-MIN(MAX(R1099,0),Q1061))),MAX(0,0*Q1061-(R1099-MIN(MAX(R1099,0),Q1061)))))</f>
        <v>42002.308631517393</v>
      </c>
      <c r="R1100" s="18">
        <f>IF($A1100&gt;40,R1099,(R1099-Q1061+Q1100)*(1+$B$7))</f>
        <v>0</v>
      </c>
      <c r="S1100" s="18">
        <f t="shared" si="125"/>
        <v>122372.45334070949</v>
      </c>
    </row>
    <row r="1101" spans="1:19">
      <c r="A1101" s="10">
        <f>38</f>
        <v>38</v>
      </c>
      <c r="B1101" s="18">
        <f>IF($A1101&gt;40,0,(B1061-MIN(MAX(C1100,0),B1061))+MIN(MAX(0,D1100-(B1061-MIN(MAX(C1100,0),B1061))),MAX(0,0*B1061-(C1100-MIN(MAX(C1100,0),B1061)))))</f>
        <v>30000</v>
      </c>
      <c r="C1101" s="18">
        <f>IF($A1101&gt;40,C1100,(C1100-B1061+B1101)*(1+$B$7))</f>
        <v>0</v>
      </c>
      <c r="D1101" s="18">
        <f t="shared" si="120"/>
        <v>937756.49565466028</v>
      </c>
      <c r="E1101" s="18">
        <f>IF($A1101&gt;40,0,(E1061-MIN(MAX(F1100,0),E1061))+MIN(MAX(0,G1100-(E1061-MIN(MAX(F1100,0),E1061))),MAX(0,0*E1061-(F1100-MIN(MAX(F1100,0),E1061)))))</f>
        <v>75000</v>
      </c>
      <c r="F1101" s="18">
        <f>IF($A1101&gt;40,F1100,(F1100-E1061+E1101)*(1+$B$7))</f>
        <v>0</v>
      </c>
      <c r="G1101" s="18">
        <f t="shared" si="121"/>
        <v>-2267783.9781304016</v>
      </c>
      <c r="H1101" s="18">
        <f>IF($A1101&gt;40,0,(H1061-MIN(MAX(I1100,0),H1061))+MIN(MAX(0,J1100-(H1061-MIN(MAX(I1100,0),H1061))),MAX(0,0*H1061-(I1100-MIN(MAX(I1100,0),H1061)))))</f>
        <v>42002.308631517371</v>
      </c>
      <c r="I1101" s="18">
        <f>IF($A1101&gt;40,I1100,(I1100-H1061+H1101)*(1+$B$7))</f>
        <v>0</v>
      </c>
      <c r="J1101" s="18">
        <f t="shared" si="122"/>
        <v>82781.249050468541</v>
      </c>
      <c r="K1101" s="18">
        <f>IF($A1101&gt;40,0,(K1061-MIN(MAX(L1100,0),K1061))+MIN(MAX(0,M1100-(K1061-MIN(MAX(L1100,0),K1061))),MAX(0,0*K1061-(L1100-MIN(MAX(L1100,0),K1061)))))</f>
        <v>42002.3086315174</v>
      </c>
      <c r="L1101" s="18">
        <f>IF($A1101&gt;40,L1100,(L1100-K1061+K1101)*(1+$B$7))</f>
        <v>0</v>
      </c>
      <c r="M1101" s="18">
        <f t="shared" si="123"/>
        <v>82781.249050463812</v>
      </c>
      <c r="N1101" s="18">
        <f>IF($A1101&gt;40,0,(N1061-MIN(MAX(O1100,0),N1061))+MIN(MAX(0,P1100-(N1061-MIN(MAX(O1100,0),N1061))),MAX(0,0*N1061-(O1100-MIN(MAX(O1100,0),N1061)))))</f>
        <v>42002.308631517386</v>
      </c>
      <c r="O1101" s="18">
        <f>IF($A1101&gt;40,O1100,(O1100-N1061+N1101)*(1+$B$7))</f>
        <v>0</v>
      </c>
      <c r="P1101" s="18">
        <f t="shared" si="124"/>
        <v>82781.24905046793</v>
      </c>
      <c r="Q1101" s="18">
        <f>IF($A1101&gt;40,0,(Q1061-MIN(MAX(R1100,0),Q1061))+MIN(MAX(0,S1100-(Q1061-MIN(MAX(R1100,0),Q1061))),MAX(0,0*Q1061-(R1100-MIN(MAX(R1100,0),Q1061)))))</f>
        <v>42002.308631517393</v>
      </c>
      <c r="R1101" s="18">
        <f>IF($A1101&gt;40,R1100,(R1100-Q1061+Q1101)*(1+$B$7))</f>
        <v>0</v>
      </c>
      <c r="S1101" s="18">
        <f t="shared" si="125"/>
        <v>82781.249050467872</v>
      </c>
    </row>
    <row r="1102" spans="1:19">
      <c r="A1102" s="10">
        <f>39</f>
        <v>39</v>
      </c>
      <c r="B1102" s="18">
        <f>IF($A1102&gt;40,0,(B1061-MIN(MAX(C1101,0),B1061))+MIN(MAX(0,D1101-(B1061-MIN(MAX(C1101,0),B1061))),MAX(0,0*B1061-(C1101-MIN(MAX(C1101,0),B1061)))))</f>
        <v>30000</v>
      </c>
      <c r="C1102" s="18">
        <f>IF($A1102&gt;40,C1101,(C1101-B1061+B1102)*(1+$B$7))</f>
        <v>0</v>
      </c>
      <c r="D1102" s="18">
        <f t="shared" si="120"/>
        <v>934989.19052430009</v>
      </c>
      <c r="E1102" s="18">
        <f>IF($A1102&gt;40,0,(E1061-MIN(MAX(F1101,0),E1061))+MIN(MAX(0,G1101-(E1061-MIN(MAX(F1101,0),E1061))),MAX(0,0*E1061-(F1101-MIN(MAX(F1101,0),E1061)))))</f>
        <v>75000</v>
      </c>
      <c r="F1102" s="18">
        <f>IF($A1102&gt;40,F1101,(F1101-E1061+E1102)*(1+$B$7))</f>
        <v>0</v>
      </c>
      <c r="G1102" s="18">
        <f t="shared" si="121"/>
        <v>-2413067.4974743137</v>
      </c>
      <c r="H1102" s="18">
        <f>IF($A1102&gt;40,0,(H1061-MIN(MAX(I1101,0),H1061))+MIN(MAX(0,J1101-(H1061-MIN(MAX(I1101,0),H1061))),MAX(0,0*H1061-(I1101-MIN(MAX(I1101,0),H1061)))))</f>
        <v>42002.308631517371</v>
      </c>
      <c r="I1102" s="18">
        <f>IF($A1102&gt;40,I1101,(I1101-H1061+H1102)*(1+$B$7))</f>
        <v>0</v>
      </c>
      <c r="J1102" s="18">
        <f t="shared" si="122"/>
        <v>42002.308631519707</v>
      </c>
      <c r="K1102" s="18">
        <f>IF($A1102&gt;40,0,(K1061-MIN(MAX(L1101,0),K1061))+MIN(MAX(0,M1101-(K1061-MIN(MAX(L1101,0),K1061))),MAX(0,0*K1061-(L1101-MIN(MAX(L1101,0),K1061)))))</f>
        <v>42002.3086315174</v>
      </c>
      <c r="L1102" s="18">
        <f>IF($A1102&gt;40,L1101,(L1101-K1061+K1102)*(1+$B$7))</f>
        <v>0</v>
      </c>
      <c r="M1102" s="18">
        <f t="shared" si="123"/>
        <v>42002.308631514803</v>
      </c>
      <c r="N1102" s="18">
        <f>IF($A1102&gt;40,0,(N1061-MIN(MAX(O1101,0),N1061))+MIN(MAX(0,P1101-(N1061-MIN(MAX(O1101,0),N1061))),MAX(0,0*N1061-(O1101-MIN(MAX(O1101,0),N1061)))))</f>
        <v>42002.308631517386</v>
      </c>
      <c r="O1102" s="18">
        <f>IF($A1102&gt;40,O1101,(O1101-N1061+N1102)*(1+$B$7))</f>
        <v>0</v>
      </c>
      <c r="P1102" s="18">
        <f t="shared" si="124"/>
        <v>42002.308631519059</v>
      </c>
      <c r="Q1102" s="18">
        <f>IF($A1102&gt;40,0,(Q1061-MIN(MAX(R1101,0),Q1061))+MIN(MAX(0,S1101-(Q1061-MIN(MAX(R1101,0),Q1061))),MAX(0,0*Q1061-(R1101-MIN(MAX(R1101,0),Q1061)))))</f>
        <v>42002.308631517393</v>
      </c>
      <c r="R1102" s="18">
        <f>IF($A1102&gt;40,R1101,(R1101-Q1061+Q1102)*(1+$B$7))</f>
        <v>0</v>
      </c>
      <c r="S1102" s="18">
        <f t="shared" si="125"/>
        <v>42002.308631518994</v>
      </c>
    </row>
    <row r="1103" spans="1:19">
      <c r="A1103" s="10">
        <f>40</f>
        <v>40</v>
      </c>
      <c r="B1103" s="18">
        <f>IF($A1103&gt;40,0,(B1061-MIN(MAX(C1102,0),B1061))+MIN(MAX(0,D1102-(B1061-MIN(MAX(C1102,0),B1061))),MAX(0,0*B1061-(C1102-MIN(MAX(C1102,0),B1061)))))</f>
        <v>30000</v>
      </c>
      <c r="C1103" s="18">
        <f>IF($A1103&gt;40,C1102,(C1102-B1061+B1103)*(1+$B$7))</f>
        <v>0</v>
      </c>
      <c r="D1103" s="18">
        <f t="shared" si="120"/>
        <v>932138.86624002911</v>
      </c>
      <c r="E1103" s="18">
        <f>IF($A1103&gt;40,0,(E1061-MIN(MAX(F1102,0),E1061))+MIN(MAX(0,G1102-(E1061-MIN(MAX(F1102,0),E1061))),MAX(0,0*E1061-(F1102-MIN(MAX(F1102,0),E1061)))))</f>
        <v>75000</v>
      </c>
      <c r="F1103" s="18">
        <f>IF($A1103&gt;40,F1102,(F1102-E1061+E1103)*(1+$B$7))</f>
        <v>0</v>
      </c>
      <c r="G1103" s="18">
        <f t="shared" si="121"/>
        <v>-2562709.5223985431</v>
      </c>
      <c r="H1103" s="18">
        <f>IF($A1103&gt;40,0,(H1061-MIN(MAX(I1102,0),H1061))+MIN(MAX(0,J1102-(H1061-MIN(MAX(I1102,0),H1061))),MAX(0,0*H1061-(I1102-MIN(MAX(I1102,0),H1061)))))</f>
        <v>42002.308631517371</v>
      </c>
      <c r="I1103" s="18">
        <f>IF($A1103&gt;40,I1102,(I1102-H1061+H1103)*(1+$B$7))</f>
        <v>0</v>
      </c>
      <c r="J1103" s="18">
        <f t="shared" si="122"/>
        <v>2.4056498659774661E-9</v>
      </c>
      <c r="K1103" s="18">
        <f>IF($A1103&gt;40,0,(K1061-MIN(MAX(L1102,0),K1061))+MIN(MAX(0,M1102-(K1061-MIN(MAX(L1102,0),K1061))),MAX(0,0*K1061-(L1102-MIN(MAX(L1102,0),K1061)))))</f>
        <v>42002.3086315174</v>
      </c>
      <c r="L1103" s="18">
        <f>IF($A1103&gt;40,L1102,(L1102-K1061+K1103)*(1+$B$7))</f>
        <v>0</v>
      </c>
      <c r="M1103" s="18">
        <f t="shared" si="123"/>
        <v>-2.6754423743113878E-9</v>
      </c>
      <c r="N1103" s="18">
        <f>IF($A1103&gt;40,0,(N1061-MIN(MAX(O1102,0),N1061))+MIN(MAX(0,P1102-(N1061-MIN(MAX(O1102,0),N1061))),MAX(0,0*N1061-(O1102-MIN(MAX(O1102,0),N1061)))))</f>
        <v>42002.308631517386</v>
      </c>
      <c r="O1103" s="18">
        <f>IF($A1103&gt;40,O1102,(O1102-N1061+N1103)*(1+$B$7))</f>
        <v>0</v>
      </c>
      <c r="P1103" s="18">
        <f t="shared" si="124"/>
        <v>1.7236743588000536E-9</v>
      </c>
      <c r="Q1103" s="18">
        <f>IF($A1103&gt;40,0,(Q1061-MIN(MAX(R1102,0),Q1061))+MIN(MAX(0,S1102-(Q1061-MIN(MAX(R1102,0),Q1061))),MAX(0,0*Q1061-(R1102-MIN(MAX(R1102,0),Q1061)))))</f>
        <v>42002.308631517393</v>
      </c>
      <c r="R1103" s="18">
        <f>IF($A1103&gt;40,R1102,(R1102-Q1061+Q1103)*(1+$B$7))</f>
        <v>0</v>
      </c>
      <c r="S1103" s="18">
        <f t="shared" si="125"/>
        <v>1.6487319953739643E-9</v>
      </c>
    </row>
    <row r="1104" spans="1:19">
      <c r="B1104" s="18">
        <f>C1103+D1103</f>
        <v>932138.86624002911</v>
      </c>
      <c r="E1104" s="18">
        <f>F1103+G1103</f>
        <v>-2562709.5223985431</v>
      </c>
      <c r="H1104" s="18">
        <f>I1103+J1103</f>
        <v>2.4056498659774661E-9</v>
      </c>
      <c r="K1104" s="18">
        <f>L1103+M1103</f>
        <v>-2.6754423743113878E-9</v>
      </c>
      <c r="N1104" s="18">
        <f>O1103+P1103</f>
        <v>1.7236743588000536E-9</v>
      </c>
      <c r="Q1104" s="18">
        <f>R1103+S1103</f>
        <v>1.6487319953739643E-9</v>
      </c>
    </row>
    <row r="1105" spans="1:19">
      <c r="A1105" s="5" t="s">
        <v>266</v>
      </c>
      <c r="B1105" s="18">
        <f>IFERROR(Q1061-Q1104*(Q1061-N1061)/(Q1104-N1104),Q1061)</f>
        <v>42002.308631517553</v>
      </c>
    </row>
    <row r="1107" spans="1:19">
      <c r="A1107" s="2" t="s">
        <v>287</v>
      </c>
    </row>
    <row r="1108" spans="1:19">
      <c r="B1108" s="9">
        <f>0.03*$B$5</f>
        <v>30000</v>
      </c>
      <c r="E1108" s="9">
        <f>0.075*$B$5</f>
        <v>75000</v>
      </c>
      <c r="H1108" s="18">
        <f>IFERROR(E1108-E1151*(E1108-B1108)/(E1151-B1151),E1108)</f>
        <v>40954.389919936148</v>
      </c>
      <c r="K1108" s="18">
        <f>IFERROR(H1108-H1151*(H1108-E1108)/(H1151-E1151),H1108)</f>
        <v>40692.438454044954</v>
      </c>
      <c r="N1108" s="18">
        <f>IFERROR(K1108-K1151*(K1108-H1108)/(K1151-H1151),K1108)</f>
        <v>40692.470001701266</v>
      </c>
      <c r="Q1108" s="18">
        <f>IFERROR(N1108-N1151*(N1108-K1108)/(N1151-K1151),N1108)</f>
        <v>40692.470009394616</v>
      </c>
    </row>
    <row r="1109" spans="1:19">
      <c r="A1109" s="25" t="s">
        <v>262</v>
      </c>
      <c r="B1109" s="25" t="s">
        <v>263</v>
      </c>
      <c r="C1109" s="25" t="s">
        <v>264</v>
      </c>
      <c r="D1109" s="25" t="s">
        <v>265</v>
      </c>
      <c r="E1109" s="25" t="s">
        <v>263</v>
      </c>
      <c r="F1109" s="25" t="s">
        <v>264</v>
      </c>
      <c r="G1109" s="25" t="s">
        <v>265</v>
      </c>
      <c r="H1109" s="25" t="s">
        <v>263</v>
      </c>
      <c r="I1109" s="25" t="s">
        <v>264</v>
      </c>
      <c r="J1109" s="25" t="s">
        <v>265</v>
      </c>
      <c r="K1109" s="25" t="s">
        <v>263</v>
      </c>
      <c r="L1109" s="25" t="s">
        <v>264</v>
      </c>
      <c r="M1109" s="25" t="s">
        <v>265</v>
      </c>
      <c r="N1109" s="25" t="s">
        <v>263</v>
      </c>
      <c r="O1109" s="25" t="s">
        <v>264</v>
      </c>
      <c r="P1109" s="25" t="s">
        <v>265</v>
      </c>
      <c r="Q1109" s="25" t="s">
        <v>263</v>
      </c>
      <c r="R1109" s="25" t="s">
        <v>264</v>
      </c>
      <c r="S1109" s="25" t="s">
        <v>265</v>
      </c>
    </row>
    <row r="1110" spans="1:19">
      <c r="A1110" s="3">
        <v>0</v>
      </c>
      <c r="C1110" s="18">
        <f>MIN(1*B1108,$B$5)</f>
        <v>30000</v>
      </c>
      <c r="D1110" s="18">
        <f>$B$5-C1110</f>
        <v>970000</v>
      </c>
      <c r="F1110" s="18">
        <f>MIN(1*E1108,$B$5)</f>
        <v>75000</v>
      </c>
      <c r="G1110" s="18">
        <f>$B$5-F1110</f>
        <v>925000</v>
      </c>
      <c r="I1110" s="18">
        <f>MIN(1*H1108,$B$5)</f>
        <v>40954.389919936148</v>
      </c>
      <c r="J1110" s="18">
        <f>$B$5-I1110</f>
        <v>959045.61008006381</v>
      </c>
      <c r="L1110" s="18">
        <f>MIN(1*K1108,$B$5)</f>
        <v>40692.438454044954</v>
      </c>
      <c r="M1110" s="18">
        <f>$B$5-L1110</f>
        <v>959307.56154595502</v>
      </c>
      <c r="O1110" s="18">
        <f>MIN(1*N1108,$B$5)</f>
        <v>40692.470001701266</v>
      </c>
      <c r="P1110" s="18">
        <f>$B$5-O1110</f>
        <v>959307.52999829873</v>
      </c>
      <c r="R1110" s="18">
        <f>MIN(1*Q1108,$B$5)</f>
        <v>40692.470009394616</v>
      </c>
      <c r="S1110" s="18">
        <f>$B$5-R1110</f>
        <v>959307.52999060543</v>
      </c>
    </row>
    <row r="1111" spans="1:19">
      <c r="A1111" s="10">
        <f>1</f>
        <v>1</v>
      </c>
      <c r="B1111" s="18">
        <f>IF($A1111&gt;40,0,(B1108-MIN(MAX(C1110,0),B1108))+MIN(MAX(0,D1110-(B1108-MIN(MAX(C1110,0),B1108))),MAX(0,1*B1108-(C1110-MIN(MAX(C1110,0),B1108)))))</f>
        <v>30000</v>
      </c>
      <c r="C1111" s="18">
        <f>IF($A1111&gt;40,C1110,(C1110-B1108+B1111)*(1+$B$7))</f>
        <v>29892</v>
      </c>
      <c r="D1111" s="18">
        <f t="shared" ref="D1111:D1150" si="126">IF($A1111&gt;40,D1110,(D1110-B1111)*(1+$B$6))</f>
        <v>968200</v>
      </c>
      <c r="E1111" s="18">
        <f>IF($A1111&gt;40,0,(E1108-MIN(MAX(F1110,0),E1108))+MIN(MAX(0,G1110-(E1108-MIN(MAX(F1110,0),E1108))),MAX(0,1*E1108-(F1110-MIN(MAX(F1110,0),E1108)))))</f>
        <v>75000</v>
      </c>
      <c r="F1111" s="18">
        <f>IF($A1111&gt;40,F1110,(F1110-E1108+E1111)*(1+$B$7))</f>
        <v>74730</v>
      </c>
      <c r="G1111" s="18">
        <f t="shared" ref="G1111:G1150" si="127">IF($A1111&gt;40,G1110,(G1110-E1111)*(1+$B$6))</f>
        <v>875500</v>
      </c>
      <c r="H1111" s="18">
        <f>IF($A1111&gt;40,0,(H1108-MIN(MAX(I1110,0),H1108))+MIN(MAX(0,J1110-(H1108-MIN(MAX(I1110,0),H1108))),MAX(0,1*H1108-(I1110-MIN(MAX(I1110,0),H1108)))))</f>
        <v>40954.389919936148</v>
      </c>
      <c r="I1111" s="18">
        <f>IF($A1111&gt;40,I1110,(I1110-H1108+H1111)*(1+$B$7))</f>
        <v>40806.954116224377</v>
      </c>
      <c r="J1111" s="18">
        <f t="shared" ref="J1111:J1150" si="128">IF($A1111&gt;40,J1110,(J1110-H1111)*(1+$B$6))</f>
        <v>945633.95676493144</v>
      </c>
      <c r="K1111" s="18">
        <f>IF($A1111&gt;40,0,(K1108-MIN(MAX(L1110,0),K1108))+MIN(MAX(0,M1110-(K1108-MIN(MAX(L1110,0),K1108))),MAX(0,1*K1108-(L1110-MIN(MAX(L1110,0),K1108)))))</f>
        <v>40692.438454044954</v>
      </c>
      <c r="L1111" s="18">
        <f>IF($A1111&gt;40,L1110,(L1110-K1108+K1111)*(1+$B$7))</f>
        <v>40545.94567561039</v>
      </c>
      <c r="M1111" s="18">
        <f t="shared" ref="M1111:M1150" si="129">IF($A1111&gt;40,M1110,(M1110-K1111)*(1+$B$6))</f>
        <v>946173.57678466733</v>
      </c>
      <c r="N1111" s="18">
        <f>IF($A1111&gt;40,0,(N1108-MIN(MAX(O1110,0),N1108))+MIN(MAX(0,P1110-(N1108-MIN(MAX(O1110,0),N1108))),MAX(0,1*N1108-(O1110-MIN(MAX(O1110,0),N1108)))))</f>
        <v>40692.470001701266</v>
      </c>
      <c r="O1111" s="18">
        <f>IF($A1111&gt;40,O1110,(O1110-N1108+N1111)*(1+$B$7))</f>
        <v>40545.977109695137</v>
      </c>
      <c r="P1111" s="18">
        <f t="shared" ref="P1111:P1150" si="130">IF($A1111&gt;40,P1110,(P1110-N1111)*(1+$B$6))</f>
        <v>946173.51179649541</v>
      </c>
      <c r="Q1111" s="18">
        <f>IF($A1111&gt;40,0,(Q1108-MIN(MAX(R1110,0),Q1108))+MIN(MAX(0,S1110-(Q1108-MIN(MAX(R1110,0),Q1108))),MAX(0,1*Q1108-(R1110-MIN(MAX(R1110,0),Q1108)))))</f>
        <v>40692.470009394616</v>
      </c>
      <c r="R1111" s="18">
        <f>IF($A1111&gt;40,R1110,(R1110-Q1108+Q1111)*(1+$B$7))</f>
        <v>40545.977117360795</v>
      </c>
      <c r="S1111" s="18">
        <f t="shared" ref="S1111:S1150" si="131">IF($A1111&gt;40,S1110,(S1110-Q1111)*(1+$B$6))</f>
        <v>946173.51178064721</v>
      </c>
    </row>
    <row r="1112" spans="1:19">
      <c r="A1112" s="10">
        <f>2</f>
        <v>2</v>
      </c>
      <c r="B1112" s="18">
        <f>IF($A1112&gt;40,0,(B1108-MIN(MAX(C1111,0),B1108))+MIN(MAX(0,D1111-(B1108-MIN(MAX(C1111,0),B1108))),MAX(0,1*B1108-(C1111-MIN(MAX(C1111,0),B1108)))))</f>
        <v>30108</v>
      </c>
      <c r="C1112" s="18">
        <f>IF($A1112&gt;40,C1111,(C1111-B1108+B1112)*(1+$B$7))</f>
        <v>29892</v>
      </c>
      <c r="D1112" s="18">
        <f t="shared" si="126"/>
        <v>966234.76</v>
      </c>
      <c r="E1112" s="18">
        <f>IF($A1112&gt;40,0,(E1108-MIN(MAX(F1111,0),E1108))+MIN(MAX(0,G1111-(E1108-MIN(MAX(F1111,0),E1108))),MAX(0,1*E1108-(F1111-MIN(MAX(F1111,0),E1108)))))</f>
        <v>75270</v>
      </c>
      <c r="F1112" s="18">
        <f>IF($A1112&gt;40,F1111,(F1111-E1108+E1112)*(1+$B$7))</f>
        <v>74730</v>
      </c>
      <c r="G1112" s="18">
        <f t="shared" si="127"/>
        <v>824236.9</v>
      </c>
      <c r="H1112" s="18">
        <f>IF($A1112&gt;40,0,(H1108-MIN(MAX(I1111,0),H1108))+MIN(MAX(0,J1111-(H1108-MIN(MAX(I1111,0),H1108))),MAX(0,1*H1108-(I1111-MIN(MAX(I1111,0),H1108)))))</f>
        <v>41101.825723647918</v>
      </c>
      <c r="I1112" s="18">
        <f>IF($A1112&gt;40,I1111,(I1111-H1108+H1112)*(1+$B$7))</f>
        <v>40806.954116224377</v>
      </c>
      <c r="J1112" s="18">
        <f t="shared" si="128"/>
        <v>931668.094972522</v>
      </c>
      <c r="K1112" s="18">
        <f>IF($A1112&gt;40,0,(K1108-MIN(MAX(L1111,0),K1108))+MIN(MAX(0,M1111-(K1108-MIN(MAX(L1111,0),K1108))),MAX(0,1*K1108-(L1111-MIN(MAX(L1111,0),K1108)))))</f>
        <v>40838.931232479517</v>
      </c>
      <c r="L1112" s="18">
        <f>IF($A1112&gt;40,L1111,(L1111-K1108+K1112)*(1+$B$7))</f>
        <v>40545.94567561039</v>
      </c>
      <c r="M1112" s="18">
        <f t="shared" si="129"/>
        <v>932494.68491875345</v>
      </c>
      <c r="N1112" s="18">
        <f>IF($A1112&gt;40,0,(N1108-MIN(MAX(O1111,0),N1108))+MIN(MAX(0,P1111-(N1108-MIN(MAX(O1111,0),N1108))),MAX(0,1*N1108-(O1111-MIN(MAX(O1111,0),N1108)))))</f>
        <v>40838.962893707394</v>
      </c>
      <c r="O1112" s="18">
        <f>IF($A1112&gt;40,O1111,(O1111-N1108+N1112)*(1+$B$7))</f>
        <v>40545.977109695137</v>
      </c>
      <c r="P1112" s="18">
        <f t="shared" si="130"/>
        <v>932494.58536987158</v>
      </c>
      <c r="Q1112" s="18">
        <f>IF($A1112&gt;40,0,(Q1108-MIN(MAX(R1111,0),Q1108))+MIN(MAX(0,S1111-(Q1108-MIN(MAX(R1111,0),Q1108))),MAX(0,1*Q1108-(R1111-MIN(MAX(R1111,0),Q1108)))))</f>
        <v>40838.962901428436</v>
      </c>
      <c r="R1112" s="18">
        <f>IF($A1112&gt;40,R1111,(R1111-Q1108+Q1112)*(1+$B$7))</f>
        <v>40545.977117360795</v>
      </c>
      <c r="S1112" s="18">
        <f t="shared" si="131"/>
        <v>932494.58534559538</v>
      </c>
    </row>
    <row r="1113" spans="1:19">
      <c r="A1113" s="10">
        <f>3</f>
        <v>3</v>
      </c>
      <c r="B1113" s="18">
        <f>IF($A1113&gt;40,0,(B1108-MIN(MAX(C1112,0),B1108))+MIN(MAX(0,D1112-(B1108-MIN(MAX(C1112,0),B1108))),MAX(0,1*B1108-(C1112-MIN(MAX(C1112,0),B1108)))))</f>
        <v>30108</v>
      </c>
      <c r="C1113" s="18">
        <f>IF($A1113&gt;40,C1112,(C1112-B1108+B1113)*(1+$B$7))</f>
        <v>29892</v>
      </c>
      <c r="D1113" s="18">
        <f t="shared" si="126"/>
        <v>964210.56280000007</v>
      </c>
      <c r="E1113" s="18">
        <f>IF($A1113&gt;40,0,(E1108-MIN(MAX(F1112,0),E1108))+MIN(MAX(0,G1112-(E1108-MIN(MAX(F1112,0),E1108))),MAX(0,1*E1108-(F1112-MIN(MAX(F1112,0),E1108)))))</f>
        <v>75270</v>
      </c>
      <c r="F1113" s="18">
        <f>IF($A1113&gt;40,F1112,(F1112-E1108+E1113)*(1+$B$7))</f>
        <v>74730</v>
      </c>
      <c r="G1113" s="18">
        <f t="shared" si="127"/>
        <v>771435.90700000001</v>
      </c>
      <c r="H1113" s="18">
        <f>IF($A1113&gt;40,0,(H1108-MIN(MAX(I1112,0),H1108))+MIN(MAX(0,J1112-(H1108-MIN(MAX(I1112,0),H1108))),MAX(0,1*H1108-(I1112-MIN(MAX(I1112,0),H1108)))))</f>
        <v>41101.825723647918</v>
      </c>
      <c r="I1113" s="18">
        <f>IF($A1113&gt;40,I1112,(I1112-H1108+H1113)*(1+$B$7))</f>
        <v>40806.954116224377</v>
      </c>
      <c r="J1113" s="18">
        <f t="shared" si="128"/>
        <v>917283.2573263403</v>
      </c>
      <c r="K1113" s="18">
        <f>IF($A1113&gt;40,0,(K1108-MIN(MAX(L1112,0),K1108))+MIN(MAX(0,M1112-(K1108-MIN(MAX(L1112,0),K1108))),MAX(0,1*K1108-(L1112-MIN(MAX(L1112,0),K1108)))))</f>
        <v>40838.931232479517</v>
      </c>
      <c r="L1113" s="18">
        <f>IF($A1113&gt;40,L1112,(L1112-K1108+K1113)*(1+$B$7))</f>
        <v>40545.94567561039</v>
      </c>
      <c r="M1113" s="18">
        <f t="shared" si="129"/>
        <v>918405.42629686219</v>
      </c>
      <c r="N1113" s="18">
        <f>IF($A1113&gt;40,0,(N1108-MIN(MAX(O1112,0),N1108))+MIN(MAX(0,P1112-(N1108-MIN(MAX(O1112,0),N1108))),MAX(0,1*N1108-(O1112-MIN(MAX(O1112,0),N1108)))))</f>
        <v>40838.962893707394</v>
      </c>
      <c r="O1113" s="18">
        <f>IF($A1113&gt;40,O1112,(O1112-N1108+N1113)*(1+$B$7))</f>
        <v>40545.977109695137</v>
      </c>
      <c r="P1113" s="18">
        <f t="shared" si="130"/>
        <v>918405.29115044908</v>
      </c>
      <c r="Q1113" s="18">
        <f>IF($A1113&gt;40,0,(Q1108-MIN(MAX(R1112,0),Q1108))+MIN(MAX(0,S1112-(Q1108-MIN(MAX(R1112,0),Q1108))),MAX(0,1*Q1108-(R1112-MIN(MAX(R1112,0),Q1108)))))</f>
        <v>40838.962901428436</v>
      </c>
      <c r="R1113" s="18">
        <f>IF($A1113&gt;40,R1112,(R1112-Q1108+Q1113)*(1+$B$7))</f>
        <v>40545.977117360795</v>
      </c>
      <c r="S1113" s="18">
        <f t="shared" si="131"/>
        <v>918405.2911174919</v>
      </c>
    </row>
    <row r="1114" spans="1:19">
      <c r="A1114" s="10">
        <f>4</f>
        <v>4</v>
      </c>
      <c r="B1114" s="18">
        <f>IF($A1114&gt;40,0,(B1108-MIN(MAX(C1113,0),B1108))+MIN(MAX(0,D1113-(B1108-MIN(MAX(C1113,0),B1108))),MAX(0,1*B1108-(C1113-MIN(MAX(C1113,0),B1108)))))</f>
        <v>30108</v>
      </c>
      <c r="C1114" s="18">
        <f>IF($A1114&gt;40,C1113,(C1113-B1108+B1114)*(1+$B$7))</f>
        <v>29892</v>
      </c>
      <c r="D1114" s="18">
        <f t="shared" si="126"/>
        <v>962125.63968400005</v>
      </c>
      <c r="E1114" s="18">
        <f>IF($A1114&gt;40,0,(E1108-MIN(MAX(F1113,0),E1108))+MIN(MAX(0,G1113-(E1108-MIN(MAX(F1113,0),E1108))),MAX(0,1*E1108-(F1113-MIN(MAX(F1113,0),E1108)))))</f>
        <v>75270</v>
      </c>
      <c r="F1114" s="18">
        <f>IF($A1114&gt;40,F1113,(F1113-E1108+E1114)*(1+$B$7))</f>
        <v>74730</v>
      </c>
      <c r="G1114" s="18">
        <f t="shared" si="127"/>
        <v>717050.88421000005</v>
      </c>
      <c r="H1114" s="18">
        <f>IF($A1114&gt;40,0,(H1108-MIN(MAX(I1113,0),H1108))+MIN(MAX(0,J1113-(H1108-MIN(MAX(I1113,0),H1108))),MAX(0,1*H1108-(I1113-MIN(MAX(I1113,0),H1108)))))</f>
        <v>41101.825723647918</v>
      </c>
      <c r="I1114" s="18">
        <f>IF($A1114&gt;40,I1113,(I1113-H1108+H1114)*(1+$B$7))</f>
        <v>40806.954116224377</v>
      </c>
      <c r="J1114" s="18">
        <f t="shared" si="128"/>
        <v>902466.87455077318</v>
      </c>
      <c r="K1114" s="18">
        <f>IF($A1114&gt;40,0,(K1108-MIN(MAX(L1113,0),K1108))+MIN(MAX(0,M1113-(K1108-MIN(MAX(L1113,0),K1108))),MAX(0,1*K1108-(L1113-MIN(MAX(L1113,0),K1108)))))</f>
        <v>40838.931232479517</v>
      </c>
      <c r="L1114" s="18">
        <f>IF($A1114&gt;40,L1113,(L1113-K1108+K1114)*(1+$B$7))</f>
        <v>40545.94567561039</v>
      </c>
      <c r="M1114" s="18">
        <f t="shared" si="129"/>
        <v>903893.48991631414</v>
      </c>
      <c r="N1114" s="18">
        <f>IF($A1114&gt;40,0,(N1108-MIN(MAX(O1113,0),N1108))+MIN(MAX(0,P1113-(N1108-MIN(MAX(O1113,0),N1108))),MAX(0,1*N1108-(O1113-MIN(MAX(O1113,0),N1108)))))</f>
        <v>40838.962893707394</v>
      </c>
      <c r="O1114" s="18">
        <f>IF($A1114&gt;40,O1113,(O1113-N1108+N1114)*(1+$B$7))</f>
        <v>40545.977109695137</v>
      </c>
      <c r="P1114" s="18">
        <f t="shared" si="130"/>
        <v>903893.31810444396</v>
      </c>
      <c r="Q1114" s="18">
        <f>IF($A1114&gt;40,0,(Q1108-MIN(MAX(R1113,0),Q1108))+MIN(MAX(0,S1113-(Q1108-MIN(MAX(R1113,0),Q1108))),MAX(0,1*Q1108-(R1113-MIN(MAX(R1113,0),Q1108)))))</f>
        <v>40838.962901428436</v>
      </c>
      <c r="R1114" s="18">
        <f>IF($A1114&gt;40,R1113,(R1113-Q1108+Q1114)*(1+$B$7))</f>
        <v>40545.977117360795</v>
      </c>
      <c r="S1114" s="18">
        <f t="shared" si="131"/>
        <v>903893.31806254538</v>
      </c>
    </row>
    <row r="1115" spans="1:19">
      <c r="A1115" s="10">
        <f>5</f>
        <v>5</v>
      </c>
      <c r="B1115" s="18">
        <f>IF($A1115&gt;40,0,(B1108-MIN(MAX(C1114,0),B1108))+MIN(MAX(0,D1114-(B1108-MIN(MAX(C1114,0),B1108))),MAX(0,1*B1108-(C1114-MIN(MAX(C1114,0),B1108)))))</f>
        <v>30108</v>
      </c>
      <c r="C1115" s="18">
        <f>IF($A1115&gt;40,C1114,(C1114-B1108+B1115)*(1+$B$7))</f>
        <v>29892</v>
      </c>
      <c r="D1115" s="18">
        <f t="shared" si="126"/>
        <v>959978.16887452011</v>
      </c>
      <c r="E1115" s="18">
        <f>IF($A1115&gt;40,0,(E1108-MIN(MAX(F1114,0),E1108))+MIN(MAX(0,G1114-(E1108-MIN(MAX(F1114,0),E1108))),MAX(0,1*E1108-(F1114-MIN(MAX(F1114,0),E1108)))))</f>
        <v>75270</v>
      </c>
      <c r="F1115" s="18">
        <f>IF($A1115&gt;40,F1114,(F1114-E1108+E1115)*(1+$B$7))</f>
        <v>74730</v>
      </c>
      <c r="G1115" s="18">
        <f t="shared" si="127"/>
        <v>661034.31073630007</v>
      </c>
      <c r="H1115" s="18">
        <f>IF($A1115&gt;40,0,(H1108-MIN(MAX(I1114,0),H1108))+MIN(MAX(0,J1114-(H1108-MIN(MAX(I1114,0),H1108))),MAX(0,1*H1108-(I1114-MIN(MAX(I1114,0),H1108)))))</f>
        <v>41101.825723647918</v>
      </c>
      <c r="I1115" s="18">
        <f>IF($A1115&gt;40,I1114,(I1114-H1108+H1115)*(1+$B$7))</f>
        <v>40806.954116224377</v>
      </c>
      <c r="J1115" s="18">
        <f t="shared" si="128"/>
        <v>887206.00029193901</v>
      </c>
      <c r="K1115" s="18">
        <f>IF($A1115&gt;40,0,(K1108-MIN(MAX(L1114,0),K1108))+MIN(MAX(0,M1114-(K1108-MIN(MAX(L1114,0),K1108))),MAX(0,1*K1108-(L1114-MIN(MAX(L1114,0),K1108)))))</f>
        <v>40838.931232479517</v>
      </c>
      <c r="L1115" s="18">
        <f>IF($A1115&gt;40,L1114,(L1114-K1108+K1115)*(1+$B$7))</f>
        <v>40545.94567561039</v>
      </c>
      <c r="M1115" s="18">
        <f t="shared" si="129"/>
        <v>888946.19544434967</v>
      </c>
      <c r="N1115" s="18">
        <f>IF($A1115&gt;40,0,(N1108-MIN(MAX(O1114,0),N1108))+MIN(MAX(0,P1114-(N1108-MIN(MAX(O1114,0),N1108))),MAX(0,1*N1108-(O1114-MIN(MAX(O1114,0),N1108)))))</f>
        <v>40838.962893707394</v>
      </c>
      <c r="O1115" s="18">
        <f>IF($A1115&gt;40,O1114,(O1114-N1108+N1115)*(1+$B$7))</f>
        <v>40545.977109695137</v>
      </c>
      <c r="P1115" s="18">
        <f t="shared" si="130"/>
        <v>888945.98586705863</v>
      </c>
      <c r="Q1115" s="18">
        <f>IF($A1115&gt;40,0,(Q1108-MIN(MAX(R1114,0),Q1108))+MIN(MAX(0,S1114-(Q1108-MIN(MAX(R1114,0),Q1108))),MAX(0,1*Q1108-(R1114-MIN(MAX(R1114,0),Q1108)))))</f>
        <v>40838.962901428436</v>
      </c>
      <c r="R1115" s="18">
        <f>IF($A1115&gt;40,R1114,(R1114-Q1108+Q1115)*(1+$B$7))</f>
        <v>40545.977117360795</v>
      </c>
      <c r="S1115" s="18">
        <f t="shared" si="131"/>
        <v>888945.98581595044</v>
      </c>
    </row>
    <row r="1116" spans="1:19">
      <c r="A1116" s="10">
        <f>6</f>
        <v>6</v>
      </c>
      <c r="B1116" s="18">
        <f>IF($A1116&gt;40,0,(B1108-MIN(MAX(C1115,0),B1108))+MIN(MAX(0,D1115-(B1108-MIN(MAX(C1115,0),B1108))),MAX(0,1*B1108-(C1115-MIN(MAX(C1115,0),B1108)))))</f>
        <v>30108</v>
      </c>
      <c r="C1116" s="18">
        <f>IF($A1116&gt;40,C1115,(C1115-B1108+B1116)*(1+$B$7))</f>
        <v>29892</v>
      </c>
      <c r="D1116" s="18">
        <f t="shared" si="126"/>
        <v>957766.27394075575</v>
      </c>
      <c r="E1116" s="18">
        <f>IF($A1116&gt;40,0,(E1108-MIN(MAX(F1115,0),E1108))+MIN(MAX(0,G1115-(E1108-MIN(MAX(F1115,0),E1108))),MAX(0,1*E1108-(F1115-MIN(MAX(F1115,0),E1108)))))</f>
        <v>75270</v>
      </c>
      <c r="F1116" s="18">
        <f>IF($A1116&gt;40,F1115,(F1115-E1108+E1116)*(1+$B$7))</f>
        <v>74730</v>
      </c>
      <c r="G1116" s="18">
        <f t="shared" si="127"/>
        <v>603337.24005838914</v>
      </c>
      <c r="H1116" s="18">
        <f>IF($A1116&gt;40,0,(H1108-MIN(MAX(I1115,0),H1108))+MIN(MAX(0,J1115-(H1108-MIN(MAX(I1115,0),H1108))),MAX(0,1*H1108-(I1115-MIN(MAX(I1115,0),H1108)))))</f>
        <v>41101.825723647918</v>
      </c>
      <c r="I1116" s="18">
        <f>IF($A1116&gt;40,I1115,(I1115-H1108+H1116)*(1+$B$7))</f>
        <v>40806.954116224377</v>
      </c>
      <c r="J1116" s="18">
        <f t="shared" si="128"/>
        <v>871487.29980533978</v>
      </c>
      <c r="K1116" s="18">
        <f>IF($A1116&gt;40,0,(K1108-MIN(MAX(L1115,0),K1108))+MIN(MAX(0,M1115-(K1108-MIN(MAX(L1115,0),K1108))),MAX(0,1*K1108-(L1115-MIN(MAX(L1115,0),K1108)))))</f>
        <v>40838.931232479517</v>
      </c>
      <c r="L1116" s="18">
        <f>IF($A1116&gt;40,L1115,(L1115-K1108+K1116)*(1+$B$7))</f>
        <v>40545.94567561039</v>
      </c>
      <c r="M1116" s="18">
        <f t="shared" si="129"/>
        <v>873550.48213822627</v>
      </c>
      <c r="N1116" s="18">
        <f>IF($A1116&gt;40,0,(N1108-MIN(MAX(O1115,0),N1108))+MIN(MAX(0,P1115-(N1108-MIN(MAX(O1115,0),N1108))),MAX(0,1*N1108-(O1115-MIN(MAX(O1115,0),N1108)))))</f>
        <v>40838.962893707394</v>
      </c>
      <c r="O1116" s="18">
        <f>IF($A1116&gt;40,O1115,(O1115-N1108+N1116)*(1+$B$7))</f>
        <v>40545.977109695137</v>
      </c>
      <c r="P1116" s="18">
        <f t="shared" si="130"/>
        <v>873550.23366255173</v>
      </c>
      <c r="Q1116" s="18">
        <f>IF($A1116&gt;40,0,(Q1108-MIN(MAX(R1115,0),Q1108))+MIN(MAX(0,S1115-(Q1108-MIN(MAX(R1115,0),Q1108))),MAX(0,1*Q1108-(R1115-MIN(MAX(R1115,0),Q1108)))))</f>
        <v>40838.962901428436</v>
      </c>
      <c r="R1116" s="18">
        <f>IF($A1116&gt;40,R1115,(R1115-Q1108+Q1116)*(1+$B$7))</f>
        <v>40545.977117360795</v>
      </c>
      <c r="S1116" s="18">
        <f t="shared" si="131"/>
        <v>873550.23360195768</v>
      </c>
    </row>
    <row r="1117" spans="1:19">
      <c r="A1117" s="10">
        <f>7</f>
        <v>7</v>
      </c>
      <c r="B1117" s="18">
        <f>IF($A1117&gt;40,0,(B1108-MIN(MAX(C1116,0),B1108))+MIN(MAX(0,D1116-(B1108-MIN(MAX(C1116,0),B1108))),MAX(0,1*B1108-(C1116-MIN(MAX(C1116,0),B1108)))))</f>
        <v>30108</v>
      </c>
      <c r="C1117" s="18">
        <f>IF($A1117&gt;40,C1116,(C1116-B1108+B1117)*(1+$B$7))</f>
        <v>29892</v>
      </c>
      <c r="D1117" s="18">
        <f t="shared" si="126"/>
        <v>955488.02215897851</v>
      </c>
      <c r="E1117" s="18">
        <f>IF($A1117&gt;40,0,(E1108-MIN(MAX(F1116,0),E1108))+MIN(MAX(0,G1116-(E1108-MIN(MAX(F1116,0),E1108))),MAX(0,1*E1108-(F1116-MIN(MAX(F1116,0),E1108)))))</f>
        <v>75270</v>
      </c>
      <c r="F1117" s="18">
        <f>IF($A1117&gt;40,F1116,(F1116-E1108+E1117)*(1+$B$7))</f>
        <v>74730</v>
      </c>
      <c r="G1117" s="18">
        <f t="shared" si="127"/>
        <v>543909.25726014085</v>
      </c>
      <c r="H1117" s="18">
        <f>IF($A1117&gt;40,0,(H1108-MIN(MAX(I1116,0),H1108))+MIN(MAX(0,J1116-(H1108-MIN(MAX(I1116,0),H1108))),MAX(0,1*H1108-(I1116-MIN(MAX(I1116,0),H1108)))))</f>
        <v>41101.825723647918</v>
      </c>
      <c r="I1117" s="18">
        <f>IF($A1117&gt;40,I1116,(I1116-H1108+H1117)*(1+$B$7))</f>
        <v>40806.954116224377</v>
      </c>
      <c r="J1117" s="18">
        <f t="shared" si="128"/>
        <v>855297.03830414265</v>
      </c>
      <c r="K1117" s="18">
        <f>IF($A1117&gt;40,0,(K1108-MIN(MAX(L1116,0),K1108))+MIN(MAX(0,M1116-(K1108-MIN(MAX(L1116,0),K1108))),MAX(0,1*K1108-(L1116-MIN(MAX(L1116,0),K1108)))))</f>
        <v>40838.931232479517</v>
      </c>
      <c r="L1117" s="18">
        <f>IF($A1117&gt;40,L1116,(L1116-K1108+K1117)*(1+$B$7))</f>
        <v>40545.94567561039</v>
      </c>
      <c r="M1117" s="18">
        <f t="shared" si="129"/>
        <v>857692.89743291913</v>
      </c>
      <c r="N1117" s="18">
        <f>IF($A1117&gt;40,0,(N1108-MIN(MAX(O1116,0),N1108))+MIN(MAX(0,P1116-(N1108-MIN(MAX(O1116,0),N1108))),MAX(0,1*N1108-(O1116-MIN(MAX(O1116,0),N1108)))))</f>
        <v>40838.962893707394</v>
      </c>
      <c r="O1117" s="18">
        <f>IF($A1117&gt;40,O1116,(O1116-N1108+N1117)*(1+$B$7))</f>
        <v>40545.977109695137</v>
      </c>
      <c r="P1117" s="18">
        <f t="shared" si="130"/>
        <v>857692.60889190959</v>
      </c>
      <c r="Q1117" s="18">
        <f>IF($A1117&gt;40,0,(Q1108-MIN(MAX(R1116,0),Q1108))+MIN(MAX(0,S1116-(Q1108-MIN(MAX(R1116,0),Q1108))),MAX(0,1*Q1108-(R1116-MIN(MAX(R1116,0),Q1108)))))</f>
        <v>40838.962901428436</v>
      </c>
      <c r="R1117" s="18">
        <f>IF($A1117&gt;40,R1116,(R1116-Q1108+Q1117)*(1+$B$7))</f>
        <v>40545.977117360795</v>
      </c>
      <c r="S1117" s="18">
        <f t="shared" si="131"/>
        <v>857692.60882154515</v>
      </c>
    </row>
    <row r="1118" spans="1:19">
      <c r="A1118" s="10">
        <f>8</f>
        <v>8</v>
      </c>
      <c r="B1118" s="18">
        <f>IF($A1118&gt;40,0,(B1108-MIN(MAX(C1117,0),B1108))+MIN(MAX(0,D1117-(B1108-MIN(MAX(C1117,0),B1108))),MAX(0,1*B1108-(C1117-MIN(MAX(C1117,0),B1108)))))</f>
        <v>30108</v>
      </c>
      <c r="C1118" s="18">
        <f>IF($A1118&gt;40,C1117,(C1117-B1108+B1118)*(1+$B$7))</f>
        <v>29892</v>
      </c>
      <c r="D1118" s="18">
        <f t="shared" si="126"/>
        <v>953141.42282374785</v>
      </c>
      <c r="E1118" s="18">
        <f>IF($A1118&gt;40,0,(E1108-MIN(MAX(F1117,0),E1108))+MIN(MAX(0,G1117-(E1108-MIN(MAX(F1117,0),E1108))),MAX(0,1*E1108-(F1117-MIN(MAX(F1117,0),E1108)))))</f>
        <v>75270</v>
      </c>
      <c r="F1118" s="18">
        <f>IF($A1118&gt;40,F1117,(F1117-E1108+E1118)*(1+$B$7))</f>
        <v>74730</v>
      </c>
      <c r="G1118" s="18">
        <f t="shared" si="127"/>
        <v>482698.43497794506</v>
      </c>
      <c r="H1118" s="18">
        <f>IF($A1118&gt;40,0,(H1108-MIN(MAX(I1117,0),H1108))+MIN(MAX(0,J1117-(H1108-MIN(MAX(I1117,0),H1108))),MAX(0,1*H1108-(I1117-MIN(MAX(I1117,0),H1108)))))</f>
        <v>41101.825723647918</v>
      </c>
      <c r="I1118" s="18">
        <f>IF($A1118&gt;40,I1117,(I1117-H1108+H1118)*(1+$B$7))</f>
        <v>40806.954116224377</v>
      </c>
      <c r="J1118" s="18">
        <f t="shared" si="128"/>
        <v>838621.06895790959</v>
      </c>
      <c r="K1118" s="18">
        <f>IF($A1118&gt;40,0,(K1108-MIN(MAX(L1117,0),K1108))+MIN(MAX(0,M1117-(K1108-MIN(MAX(L1117,0),K1108))),MAX(0,1*K1108-(L1117-MIN(MAX(L1117,0),K1108)))))</f>
        <v>40838.931232479517</v>
      </c>
      <c r="L1118" s="18">
        <f>IF($A1118&gt;40,L1117,(L1117-K1108+K1118)*(1+$B$7))</f>
        <v>40545.94567561039</v>
      </c>
      <c r="M1118" s="18">
        <f t="shared" si="129"/>
        <v>841359.58518645284</v>
      </c>
      <c r="N1118" s="18">
        <f>IF($A1118&gt;40,0,(N1108-MIN(MAX(O1117,0),N1108))+MIN(MAX(0,P1117-(N1108-MIN(MAX(O1117,0),N1108))),MAX(0,1*N1108-(O1117-MIN(MAX(O1117,0),N1108)))))</f>
        <v>40838.962893707394</v>
      </c>
      <c r="O1118" s="18">
        <f>IF($A1118&gt;40,O1117,(O1117-N1108+N1118)*(1+$B$7))</f>
        <v>40545.977109695137</v>
      </c>
      <c r="P1118" s="18">
        <f t="shared" si="130"/>
        <v>841359.25537814829</v>
      </c>
      <c r="Q1118" s="18">
        <f>IF($A1118&gt;40,0,(Q1108-MIN(MAX(R1117,0),Q1108))+MIN(MAX(0,S1117-(Q1108-MIN(MAX(R1117,0),Q1108))),MAX(0,1*Q1108-(R1117-MIN(MAX(R1117,0),Q1108)))))</f>
        <v>40838.962901428436</v>
      </c>
      <c r="R1118" s="18">
        <f>IF($A1118&gt;40,R1117,(R1117-Q1108+Q1118)*(1+$B$7))</f>
        <v>40545.977117360795</v>
      </c>
      <c r="S1118" s="18">
        <f t="shared" si="131"/>
        <v>841359.2552977202</v>
      </c>
    </row>
    <row r="1119" spans="1:19">
      <c r="A1119" s="10">
        <f>9</f>
        <v>9</v>
      </c>
      <c r="B1119" s="18">
        <f>IF($A1119&gt;40,0,(B1108-MIN(MAX(C1118,0),B1108))+MIN(MAX(0,D1118-(B1108-MIN(MAX(C1118,0),B1108))),MAX(0,1*B1108-(C1118-MIN(MAX(C1118,0),B1108)))))</f>
        <v>30108</v>
      </c>
      <c r="C1119" s="18">
        <f>IF($A1119&gt;40,C1118,(C1118-B1108+B1119)*(1+$B$7))</f>
        <v>29892</v>
      </c>
      <c r="D1119" s="18">
        <f t="shared" si="126"/>
        <v>950724.42550846026</v>
      </c>
      <c r="E1119" s="18">
        <f>IF($A1119&gt;40,0,(E1108-MIN(MAX(F1118,0),E1108))+MIN(MAX(0,G1118-(E1108-MIN(MAX(F1118,0),E1108))),MAX(0,1*E1108-(F1118-MIN(MAX(F1118,0),E1108)))))</f>
        <v>75270</v>
      </c>
      <c r="F1119" s="18">
        <f>IF($A1119&gt;40,F1118,(F1118-E1108+E1119)*(1+$B$7))</f>
        <v>74730</v>
      </c>
      <c r="G1119" s="18">
        <f t="shared" si="127"/>
        <v>419651.28802728344</v>
      </c>
      <c r="H1119" s="18">
        <f>IF($A1119&gt;40,0,(H1108-MIN(MAX(I1118,0),H1108))+MIN(MAX(0,J1118-(H1108-MIN(MAX(I1118,0),H1108))),MAX(0,1*H1108-(I1118-MIN(MAX(I1118,0),H1108)))))</f>
        <v>41101.825723647918</v>
      </c>
      <c r="I1119" s="18">
        <f>IF($A1119&gt;40,I1118,(I1118-H1108+H1119)*(1+$B$7))</f>
        <v>40806.954116224377</v>
      </c>
      <c r="J1119" s="18">
        <f t="shared" si="128"/>
        <v>821444.82053128956</v>
      </c>
      <c r="K1119" s="18">
        <f>IF($A1119&gt;40,0,(K1108-MIN(MAX(L1118,0),K1108))+MIN(MAX(0,M1118-(K1108-MIN(MAX(L1118,0),K1108))),MAX(0,1*K1108-(L1118-MIN(MAX(L1118,0),K1108)))))</f>
        <v>40838.931232479517</v>
      </c>
      <c r="L1119" s="18">
        <f>IF($A1119&gt;40,L1118,(L1118-K1108+K1119)*(1+$B$7))</f>
        <v>40545.94567561039</v>
      </c>
      <c r="M1119" s="18">
        <f t="shared" si="129"/>
        <v>824536.27357259253</v>
      </c>
      <c r="N1119" s="18">
        <f>IF($A1119&gt;40,0,(N1108-MIN(MAX(O1118,0),N1108))+MIN(MAX(0,P1118-(N1108-MIN(MAX(O1118,0),N1108))),MAX(0,1*N1108-(O1118-MIN(MAX(O1118,0),N1108)))))</f>
        <v>40838.962893707394</v>
      </c>
      <c r="O1119" s="18">
        <f>IF($A1119&gt;40,O1118,(O1118-N1108+N1119)*(1+$B$7))</f>
        <v>40545.977109695137</v>
      </c>
      <c r="P1119" s="18">
        <f t="shared" si="130"/>
        <v>824535.9012589741</v>
      </c>
      <c r="Q1119" s="18">
        <f>IF($A1119&gt;40,0,(Q1108-MIN(MAX(R1118,0),Q1108))+MIN(MAX(0,S1118-(Q1108-MIN(MAX(R1118,0),Q1108))),MAX(0,1*Q1108-(R1118-MIN(MAX(R1118,0),Q1108)))))</f>
        <v>40838.962901428436</v>
      </c>
      <c r="R1119" s="18">
        <f>IF($A1119&gt;40,R1118,(R1118-Q1108+Q1119)*(1+$B$7))</f>
        <v>40545.977117360795</v>
      </c>
      <c r="S1119" s="18">
        <f t="shared" si="131"/>
        <v>824535.90116818051</v>
      </c>
    </row>
    <row r="1120" spans="1:19">
      <c r="A1120" s="10">
        <f>10</f>
        <v>10</v>
      </c>
      <c r="B1120" s="18">
        <f>IF($A1120&gt;40,0,(B1108-MIN(MAX(C1119,0),B1108))+MIN(MAX(0,D1119-(B1108-MIN(MAX(C1119,0),B1108))),MAX(0,1*B1108-(C1119-MIN(MAX(C1119,0),B1108)))))</f>
        <v>30108</v>
      </c>
      <c r="C1120" s="18">
        <f>IF($A1120&gt;40,C1119,(C1119-B1108+B1120)*(1+$B$7))</f>
        <v>29892</v>
      </c>
      <c r="D1120" s="18">
        <f t="shared" si="126"/>
        <v>948234.91827371414</v>
      </c>
      <c r="E1120" s="18">
        <f>IF($A1120&gt;40,0,(E1108-MIN(MAX(F1119,0),E1108))+MIN(MAX(0,G1119-(E1108-MIN(MAX(F1119,0),E1108))),MAX(0,1*E1108-(F1119-MIN(MAX(F1119,0),E1108)))))</f>
        <v>75270</v>
      </c>
      <c r="F1120" s="18">
        <f>IF($A1120&gt;40,F1119,(F1119-E1108+E1120)*(1+$B$7))</f>
        <v>74730</v>
      </c>
      <c r="G1120" s="18">
        <f t="shared" si="127"/>
        <v>354712.72666810197</v>
      </c>
      <c r="H1120" s="18">
        <f>IF($A1120&gt;40,0,(H1108-MIN(MAX(I1119,0),H1108))+MIN(MAX(0,J1119-(H1108-MIN(MAX(I1119,0),H1108))),MAX(0,1*H1108-(I1119-MIN(MAX(I1119,0),H1108)))))</f>
        <v>41101.825723647918</v>
      </c>
      <c r="I1120" s="18">
        <f>IF($A1120&gt;40,I1119,(I1119-H1108+H1120)*(1+$B$7))</f>
        <v>40806.954116224377</v>
      </c>
      <c r="J1120" s="18">
        <f t="shared" si="128"/>
        <v>803753.28465187084</v>
      </c>
      <c r="K1120" s="18">
        <f>IF($A1120&gt;40,0,(K1108-MIN(MAX(L1119,0),K1108))+MIN(MAX(0,M1119-(K1108-MIN(MAX(L1119,0),K1108))),MAX(0,1*K1108-(L1119-MIN(MAX(L1119,0),K1108)))))</f>
        <v>40838.931232479517</v>
      </c>
      <c r="L1120" s="18">
        <f>IF($A1120&gt;40,L1119,(L1119-K1108+K1120)*(1+$B$7))</f>
        <v>40545.94567561039</v>
      </c>
      <c r="M1120" s="18">
        <f t="shared" si="129"/>
        <v>807208.26261031639</v>
      </c>
      <c r="N1120" s="18">
        <f>IF($A1120&gt;40,0,(N1108-MIN(MAX(O1119,0),N1108))+MIN(MAX(0,P1119-(N1108-MIN(MAX(O1119,0),N1108))),MAX(0,1*N1108-(O1119-MIN(MAX(O1119,0),N1108)))))</f>
        <v>40838.962893707394</v>
      </c>
      <c r="O1120" s="18">
        <f>IF($A1120&gt;40,O1119,(O1119-N1108+N1120)*(1+$B$7))</f>
        <v>40545.977109695137</v>
      </c>
      <c r="P1120" s="18">
        <f t="shared" si="130"/>
        <v>807207.84651622467</v>
      </c>
      <c r="Q1120" s="18">
        <f>IF($A1120&gt;40,0,(Q1108-MIN(MAX(R1119,0),Q1108))+MIN(MAX(0,S1119-(Q1108-MIN(MAX(R1119,0),Q1108))),MAX(0,1*Q1108-(R1119-MIN(MAX(R1119,0),Q1108)))))</f>
        <v>40838.962901428436</v>
      </c>
      <c r="R1120" s="18">
        <f>IF($A1120&gt;40,R1119,(R1119-Q1108+Q1120)*(1+$B$7))</f>
        <v>40545.977117360795</v>
      </c>
      <c r="S1120" s="18">
        <f t="shared" si="131"/>
        <v>807207.84641475463</v>
      </c>
    </row>
    <row r="1121" spans="1:19">
      <c r="A1121" s="10">
        <f>11</f>
        <v>11</v>
      </c>
      <c r="B1121" s="18">
        <f>IF($A1121&gt;40,0,(B1108-MIN(MAX(C1120,0),B1108))+MIN(MAX(0,D1120-(B1108-MIN(MAX(C1120,0),B1108))),MAX(0,1*B1108-(C1120-MIN(MAX(C1120,0),B1108)))))</f>
        <v>30108</v>
      </c>
      <c r="C1121" s="18">
        <f>IF($A1121&gt;40,C1120,(C1120-B1108+B1121)*(1+$B$7))</f>
        <v>29892</v>
      </c>
      <c r="D1121" s="18">
        <f t="shared" si="126"/>
        <v>945670.72582192556</v>
      </c>
      <c r="E1121" s="18">
        <f>IF($A1121&gt;40,0,(E1108-MIN(MAX(F1120,0),E1108))+MIN(MAX(0,G1120-(E1108-MIN(MAX(F1120,0),E1108))),MAX(0,1*E1108-(F1120-MIN(MAX(F1120,0),E1108)))))</f>
        <v>75270</v>
      </c>
      <c r="F1121" s="18">
        <f>IF($A1121&gt;40,F1120,(F1120-E1108+E1121)*(1+$B$7))</f>
        <v>74730</v>
      </c>
      <c r="G1121" s="18">
        <f t="shared" si="127"/>
        <v>287826.00846814504</v>
      </c>
      <c r="H1121" s="18">
        <f>IF($A1121&gt;40,0,(H1108-MIN(MAX(I1120,0),H1108))+MIN(MAX(0,J1120-(H1108-MIN(MAX(I1120,0),H1108))),MAX(0,1*H1108-(I1120-MIN(MAX(I1120,0),H1108)))))</f>
        <v>41101.825723647918</v>
      </c>
      <c r="I1121" s="18">
        <f>IF($A1121&gt;40,I1120,(I1120-H1108+H1121)*(1+$B$7))</f>
        <v>40806.954116224377</v>
      </c>
      <c r="J1121" s="18">
        <f t="shared" si="128"/>
        <v>785531.00269606954</v>
      </c>
      <c r="K1121" s="18">
        <f>IF($A1121&gt;40,0,(K1108-MIN(MAX(L1120,0),K1108))+MIN(MAX(0,M1120-(K1108-MIN(MAX(L1120,0),K1108))),MAX(0,1*K1108-(L1120-MIN(MAX(L1120,0),K1108)))))</f>
        <v>40838.931232479517</v>
      </c>
      <c r="L1121" s="18">
        <f>IF($A1121&gt;40,L1120,(L1120-K1108+K1121)*(1+$B$7))</f>
        <v>40545.94567561039</v>
      </c>
      <c r="M1121" s="18">
        <f t="shared" si="129"/>
        <v>789360.41131917201</v>
      </c>
      <c r="N1121" s="18">
        <f>IF($A1121&gt;40,0,(N1108-MIN(MAX(O1120,0),N1108))+MIN(MAX(0,P1120-(N1108-MIN(MAX(O1120,0),N1108))),MAX(0,1*N1108-(O1120-MIN(MAX(O1120,0),N1108)))))</f>
        <v>40838.962893707394</v>
      </c>
      <c r="O1121" s="18">
        <f>IF($A1121&gt;40,O1120,(O1120-N1108+N1121)*(1+$B$7))</f>
        <v>40545.977109695137</v>
      </c>
      <c r="P1121" s="18">
        <f t="shared" si="130"/>
        <v>789359.9501311928</v>
      </c>
      <c r="Q1121" s="18">
        <f>IF($A1121&gt;40,0,(Q1108-MIN(MAX(R1120,0),Q1108))+MIN(MAX(0,S1120-(Q1108-MIN(MAX(R1120,0),Q1108))),MAX(0,1*Q1108-(R1120-MIN(MAX(R1120,0),Q1108)))))</f>
        <v>40838.962901428436</v>
      </c>
      <c r="R1121" s="18">
        <f>IF($A1121&gt;40,R1120,(R1120-Q1108+Q1121)*(1+$B$7))</f>
        <v>40545.977117360795</v>
      </c>
      <c r="S1121" s="18">
        <f t="shared" si="131"/>
        <v>789359.95001872594</v>
      </c>
    </row>
    <row r="1122" spans="1:19">
      <c r="A1122" s="10">
        <f>12</f>
        <v>12</v>
      </c>
      <c r="B1122" s="18">
        <f>IF($A1122&gt;40,0,(B1108-MIN(MAX(C1121,0),B1108))+MIN(MAX(0,D1121-(B1108-MIN(MAX(C1121,0),B1108))),MAX(0,1*B1108-(C1121-MIN(MAX(C1121,0),B1108)))))</f>
        <v>30108</v>
      </c>
      <c r="C1122" s="18">
        <f>IF($A1122&gt;40,C1121,(C1121-B1108+B1122)*(1+$B$7))</f>
        <v>29892</v>
      </c>
      <c r="D1122" s="18">
        <f t="shared" si="126"/>
        <v>943029.60759658332</v>
      </c>
      <c r="E1122" s="18">
        <f>IF($A1122&gt;40,0,(E1108-MIN(MAX(F1121,0),E1108))+MIN(MAX(0,G1121-(E1108-MIN(MAX(F1121,0),E1108))),MAX(0,1*E1108-(F1121-MIN(MAX(F1121,0),E1108)))))</f>
        <v>75270</v>
      </c>
      <c r="F1122" s="18">
        <f>IF($A1122&gt;40,F1121,(F1121-E1108+E1122)*(1+$B$7))</f>
        <v>74730</v>
      </c>
      <c r="G1122" s="18">
        <f t="shared" si="127"/>
        <v>218932.6887221894</v>
      </c>
      <c r="H1122" s="18">
        <f>IF($A1122&gt;40,0,(H1108-MIN(MAX(I1121,0),H1108))+MIN(MAX(0,J1121-(H1108-MIN(MAX(I1121,0),H1108))),MAX(0,1*H1108-(I1121-MIN(MAX(I1121,0),H1108)))))</f>
        <v>41101.825723647918</v>
      </c>
      <c r="I1122" s="18">
        <f>IF($A1122&gt;40,I1121,(I1121-H1108+H1122)*(1+$B$7))</f>
        <v>40806.954116224377</v>
      </c>
      <c r="J1122" s="18">
        <f t="shared" si="128"/>
        <v>766762.05228159425</v>
      </c>
      <c r="K1122" s="18">
        <f>IF($A1122&gt;40,0,(K1108-MIN(MAX(L1121,0),K1108))+MIN(MAX(0,M1121-(K1108-MIN(MAX(L1121,0),K1108))),MAX(0,1*K1108-(L1121-MIN(MAX(L1121,0),K1108)))))</f>
        <v>40838.931232479517</v>
      </c>
      <c r="L1122" s="18">
        <f>IF($A1122&gt;40,L1121,(L1121-K1108+K1122)*(1+$B$7))</f>
        <v>40545.94567561039</v>
      </c>
      <c r="M1122" s="18">
        <f t="shared" si="129"/>
        <v>770977.12448929332</v>
      </c>
      <c r="N1122" s="18">
        <f>IF($A1122&gt;40,0,(N1108-MIN(MAX(O1121,0),N1108))+MIN(MAX(0,P1121-(N1108-MIN(MAX(O1121,0),N1108))),MAX(0,1*N1108-(O1121-MIN(MAX(O1121,0),N1108)))))</f>
        <v>40838.962893707394</v>
      </c>
      <c r="O1122" s="18">
        <f>IF($A1122&gt;40,O1121,(O1121-N1108+N1122)*(1+$B$7))</f>
        <v>40545.977109695137</v>
      </c>
      <c r="P1122" s="18">
        <f t="shared" si="130"/>
        <v>770976.61685460992</v>
      </c>
      <c r="Q1122" s="18">
        <f>IF($A1122&gt;40,0,(Q1108-MIN(MAX(R1121,0),Q1108))+MIN(MAX(0,S1121-(Q1108-MIN(MAX(R1121,0),Q1108))),MAX(0,1*Q1108-(R1121-MIN(MAX(R1121,0),Q1108)))))</f>
        <v>40838.962901428436</v>
      </c>
      <c r="R1122" s="18">
        <f>IF($A1122&gt;40,R1121,(R1121-Q1108+Q1122)*(1+$B$7))</f>
        <v>40545.977117360795</v>
      </c>
      <c r="S1122" s="18">
        <f t="shared" si="131"/>
        <v>770976.61673081643</v>
      </c>
    </row>
    <row r="1123" spans="1:19">
      <c r="A1123" s="10">
        <f>13</f>
        <v>13</v>
      </c>
      <c r="B1123" s="18">
        <f>IF($A1123&gt;40,0,(B1108-MIN(MAX(C1122,0),B1108))+MIN(MAX(0,D1122-(B1108-MIN(MAX(C1122,0),B1108))),MAX(0,1*B1108-(C1122-MIN(MAX(C1122,0),B1108)))))</f>
        <v>30108</v>
      </c>
      <c r="C1123" s="18">
        <f>IF($A1123&gt;40,C1122,(C1122-B1108+B1123)*(1+$B$7))</f>
        <v>29892</v>
      </c>
      <c r="D1123" s="18">
        <f t="shared" si="126"/>
        <v>940309.25582448079</v>
      </c>
      <c r="E1123" s="18">
        <f>IF($A1123&gt;40,0,(E1108-MIN(MAX(F1122,0),E1108))+MIN(MAX(0,G1122-(E1108-MIN(MAX(F1122,0),E1108))),MAX(0,1*E1108-(F1122-MIN(MAX(F1122,0),E1108)))))</f>
        <v>75270</v>
      </c>
      <c r="F1123" s="18">
        <f>IF($A1123&gt;40,F1122,(F1122-E1108+E1123)*(1+$B$7))</f>
        <v>74730</v>
      </c>
      <c r="G1123" s="18">
        <f t="shared" si="127"/>
        <v>147972.56938385509</v>
      </c>
      <c r="H1123" s="18">
        <f>IF($A1123&gt;40,0,(H1108-MIN(MAX(I1122,0),H1108))+MIN(MAX(0,J1122-(H1108-MIN(MAX(I1122,0),H1108))),MAX(0,1*H1108-(I1122-MIN(MAX(I1122,0),H1108)))))</f>
        <v>41101.825723647918</v>
      </c>
      <c r="I1123" s="18">
        <f>IF($A1123&gt;40,I1122,(I1122-H1108+H1123)*(1+$B$7))</f>
        <v>40806.954116224377</v>
      </c>
      <c r="J1123" s="18">
        <f t="shared" si="128"/>
        <v>747430.03335468471</v>
      </c>
      <c r="K1123" s="18">
        <f>IF($A1123&gt;40,0,(K1108-MIN(MAX(L1122,0),K1108))+MIN(MAX(0,M1122-(K1108-MIN(MAX(L1122,0),K1108))),MAX(0,1*K1108-(L1122-MIN(MAX(L1122,0),K1108)))))</f>
        <v>40838.931232479517</v>
      </c>
      <c r="L1123" s="18">
        <f>IF($A1123&gt;40,L1122,(L1122-K1108+K1123)*(1+$B$7))</f>
        <v>40545.94567561039</v>
      </c>
      <c r="M1123" s="18">
        <f t="shared" si="129"/>
        <v>752042.33905451826</v>
      </c>
      <c r="N1123" s="18">
        <f>IF($A1123&gt;40,0,(N1108-MIN(MAX(O1122,0),N1108))+MIN(MAX(0,P1122-(N1108-MIN(MAX(O1122,0),N1108))),MAX(0,1*N1108-(O1122-MIN(MAX(O1122,0),N1108)))))</f>
        <v>40838.962893707394</v>
      </c>
      <c r="O1123" s="18">
        <f>IF($A1123&gt;40,O1122,(O1122-N1108+N1123)*(1+$B$7))</f>
        <v>40545.977109695137</v>
      </c>
      <c r="P1123" s="18">
        <f t="shared" si="130"/>
        <v>752041.78357972961</v>
      </c>
      <c r="Q1123" s="18">
        <f>IF($A1123&gt;40,0,(Q1108-MIN(MAX(R1122,0),Q1108))+MIN(MAX(0,S1122-(Q1108-MIN(MAX(R1122,0),Q1108))),MAX(0,1*Q1108-(R1122-MIN(MAX(R1122,0),Q1108)))))</f>
        <v>40838.962901428436</v>
      </c>
      <c r="R1123" s="18">
        <f>IF($A1123&gt;40,R1122,(R1122-Q1108+Q1123)*(1+$B$7))</f>
        <v>40545.977117360795</v>
      </c>
      <c r="S1123" s="18">
        <f t="shared" si="131"/>
        <v>752041.78344426968</v>
      </c>
    </row>
    <row r="1124" spans="1:19">
      <c r="A1124" s="10">
        <f>14</f>
        <v>14</v>
      </c>
      <c r="B1124" s="18">
        <f>IF($A1124&gt;40,0,(B1108-MIN(MAX(C1123,0),B1108))+MIN(MAX(0,D1123-(B1108-MIN(MAX(C1123,0),B1108))),MAX(0,1*B1108-(C1123-MIN(MAX(C1123,0),B1108)))))</f>
        <v>30108</v>
      </c>
      <c r="C1124" s="18">
        <f>IF($A1124&gt;40,C1123,(C1123-B1108+B1124)*(1+$B$7))</f>
        <v>29892</v>
      </c>
      <c r="D1124" s="18">
        <f t="shared" si="126"/>
        <v>937507.29349921527</v>
      </c>
      <c r="E1124" s="18">
        <f>IF($A1124&gt;40,0,(E1108-MIN(MAX(F1123,0),E1108))+MIN(MAX(0,G1123-(E1108-MIN(MAX(F1123,0),E1108))),MAX(0,1*E1108-(F1123-MIN(MAX(F1123,0),E1108)))))</f>
        <v>75270</v>
      </c>
      <c r="F1124" s="18">
        <f>IF($A1124&gt;40,F1123,(F1123-E1108+E1124)*(1+$B$7))</f>
        <v>74730</v>
      </c>
      <c r="G1124" s="18">
        <f t="shared" si="127"/>
        <v>74883.646465370752</v>
      </c>
      <c r="H1124" s="18">
        <f>IF($A1124&gt;40,0,(H1108-MIN(MAX(I1123,0),H1108))+MIN(MAX(0,J1123-(H1108-MIN(MAX(I1123,0),H1108))),MAX(0,1*H1108-(I1123-MIN(MAX(I1123,0),H1108)))))</f>
        <v>41101.825723647918</v>
      </c>
      <c r="I1124" s="18">
        <f>IF($A1124&gt;40,I1123,(I1123-H1108+H1124)*(1+$B$7))</f>
        <v>40806.954116224377</v>
      </c>
      <c r="J1124" s="18">
        <f t="shared" si="128"/>
        <v>727518.05385996785</v>
      </c>
      <c r="K1124" s="18">
        <f>IF($A1124&gt;40,0,(K1108-MIN(MAX(L1123,0),K1108))+MIN(MAX(0,M1123-(K1108-MIN(MAX(L1123,0),K1108))),MAX(0,1*K1108-(L1123-MIN(MAX(L1123,0),K1108)))))</f>
        <v>40838.931232479517</v>
      </c>
      <c r="L1124" s="18">
        <f>IF($A1124&gt;40,L1123,(L1123-K1108+K1124)*(1+$B$7))</f>
        <v>40545.94567561039</v>
      </c>
      <c r="M1124" s="18">
        <f t="shared" si="129"/>
        <v>732539.51005669998</v>
      </c>
      <c r="N1124" s="18">
        <f>IF($A1124&gt;40,0,(N1108-MIN(MAX(O1123,0),N1108))+MIN(MAX(0,P1123-(N1108-MIN(MAX(O1123,0),N1108))),MAX(0,1*N1108-(O1123-MIN(MAX(O1123,0),N1108)))))</f>
        <v>40838.962893707394</v>
      </c>
      <c r="O1124" s="18">
        <f>IF($A1124&gt;40,O1123,(O1123-N1108+N1124)*(1+$B$7))</f>
        <v>40545.977109695137</v>
      </c>
      <c r="P1124" s="18">
        <f t="shared" si="130"/>
        <v>732538.90530660283</v>
      </c>
      <c r="Q1124" s="18">
        <f>IF($A1124&gt;40,0,(Q1108-MIN(MAX(R1123,0),Q1108))+MIN(MAX(0,S1123-(Q1108-MIN(MAX(R1123,0),Q1108))),MAX(0,1*Q1108-(R1123-MIN(MAX(R1123,0),Q1108)))))</f>
        <v>40838.962901428436</v>
      </c>
      <c r="R1124" s="18">
        <f>IF($A1124&gt;40,R1123,(R1123-Q1108+Q1124)*(1+$B$7))</f>
        <v>40545.977117360795</v>
      </c>
      <c r="S1124" s="18">
        <f t="shared" si="131"/>
        <v>732538.9051591265</v>
      </c>
    </row>
    <row r="1125" spans="1:19">
      <c r="A1125" s="10">
        <f>15</f>
        <v>15</v>
      </c>
      <c r="B1125" s="18">
        <f>IF($A1125&gt;40,0,(B1108-MIN(MAX(C1124,0),B1108))+MIN(MAX(0,D1124-(B1108-MIN(MAX(C1124,0),B1108))),MAX(0,1*B1108-(C1124-MIN(MAX(C1124,0),B1108)))))</f>
        <v>30108</v>
      </c>
      <c r="C1125" s="18">
        <f>IF($A1125&gt;40,C1124,(C1124-B1108+B1125)*(1+$B$7))</f>
        <v>29892</v>
      </c>
      <c r="D1125" s="18">
        <f t="shared" si="126"/>
        <v>934621.27230419172</v>
      </c>
      <c r="E1125" s="18">
        <f>IF($A1125&gt;40,0,(E1108-MIN(MAX(F1124,0),E1108))+MIN(MAX(0,G1124-(E1108-MIN(MAX(F1124,0),E1108))),MAX(0,1*E1108-(F1124-MIN(MAX(F1124,0),E1108)))))</f>
        <v>74883.646465370752</v>
      </c>
      <c r="F1125" s="18">
        <f>IF($A1125&gt;40,F1124,(F1124-E1108+E1125)*(1+$B$7))</f>
        <v>74345.037338095412</v>
      </c>
      <c r="G1125" s="18">
        <f t="shared" si="127"/>
        <v>0</v>
      </c>
      <c r="H1125" s="18">
        <f>IF($A1125&gt;40,0,(H1108-MIN(MAX(I1124,0),H1108))+MIN(MAX(0,J1124-(H1108-MIN(MAX(I1124,0),H1108))),MAX(0,1*H1108-(I1124-MIN(MAX(I1124,0),H1108)))))</f>
        <v>41101.825723647918</v>
      </c>
      <c r="I1125" s="18">
        <f>IF($A1125&gt;40,I1124,(I1124-H1108+H1125)*(1+$B$7))</f>
        <v>40806.954116224377</v>
      </c>
      <c r="J1125" s="18">
        <f t="shared" si="128"/>
        <v>707008.71498040948</v>
      </c>
      <c r="K1125" s="18">
        <f>IF($A1125&gt;40,0,(K1108-MIN(MAX(L1124,0),K1108))+MIN(MAX(0,M1124-(K1108-MIN(MAX(L1124,0),K1108))),MAX(0,1*K1108-(L1124-MIN(MAX(L1124,0),K1108)))))</f>
        <v>40838.931232479517</v>
      </c>
      <c r="L1125" s="18">
        <f>IF($A1125&gt;40,L1124,(L1124-K1108+K1125)*(1+$B$7))</f>
        <v>40545.94567561039</v>
      </c>
      <c r="M1125" s="18">
        <f t="shared" si="129"/>
        <v>712451.59618894709</v>
      </c>
      <c r="N1125" s="18">
        <f>IF($A1125&gt;40,0,(N1108-MIN(MAX(O1124,0),N1108))+MIN(MAX(0,P1124-(N1108-MIN(MAX(O1124,0),N1108))),MAX(0,1*N1108-(O1124-MIN(MAX(O1124,0),N1108)))))</f>
        <v>40838.962893707394</v>
      </c>
      <c r="O1125" s="18">
        <f>IF($A1125&gt;40,O1124,(O1124-N1108+N1125)*(1+$B$7))</f>
        <v>40545.977109695137</v>
      </c>
      <c r="P1125" s="18">
        <f t="shared" si="130"/>
        <v>712450.94068528223</v>
      </c>
      <c r="Q1125" s="18">
        <f>IF($A1125&gt;40,0,(Q1108-MIN(MAX(R1124,0),Q1108))+MIN(MAX(0,S1124-(Q1108-MIN(MAX(R1124,0),Q1108))),MAX(0,1*Q1108-(R1124-MIN(MAX(R1124,0),Q1108)))))</f>
        <v>40838.962901428436</v>
      </c>
      <c r="R1125" s="18">
        <f>IF($A1125&gt;40,R1124,(R1124-Q1108+Q1125)*(1+$B$7))</f>
        <v>40545.977117360795</v>
      </c>
      <c r="S1125" s="18">
        <f t="shared" si="131"/>
        <v>712450.94052542897</v>
      </c>
    </row>
    <row r="1126" spans="1:19">
      <c r="A1126" s="10">
        <f>16</f>
        <v>16</v>
      </c>
      <c r="B1126" s="18">
        <f>IF($A1126&gt;40,0,(B1108-MIN(MAX(C1125,0),B1108))+MIN(MAX(0,D1125-(B1108-MIN(MAX(C1125,0),B1108))),MAX(0,1*B1108-(C1125-MIN(MAX(C1125,0),B1108)))))</f>
        <v>30108</v>
      </c>
      <c r="C1126" s="18">
        <f>IF($A1126&gt;40,C1125,(C1125-B1108+B1126)*(1+$B$7))</f>
        <v>29892</v>
      </c>
      <c r="D1126" s="18">
        <f t="shared" si="126"/>
        <v>931648.6704733175</v>
      </c>
      <c r="E1126" s="18">
        <f>IF($A1126&gt;40,0,(E1108-MIN(MAX(F1125,0),E1108))+MIN(MAX(0,G1125-(E1108-MIN(MAX(F1125,0),E1108))),MAX(0,1*E1108-(F1125-MIN(MAX(F1125,0),E1108)))))</f>
        <v>654.96266190458846</v>
      </c>
      <c r="F1126" s="18">
        <f>IF($A1126&gt;40,F1125,(F1125-E1108+E1126)*(1+$B$7))</f>
        <v>0</v>
      </c>
      <c r="G1126" s="18">
        <f t="shared" si="127"/>
        <v>-674.61154176172613</v>
      </c>
      <c r="H1126" s="18">
        <f>IF($A1126&gt;40,0,(H1108-MIN(MAX(I1125,0),H1108))+MIN(MAX(0,J1125-(H1108-MIN(MAX(I1125,0),H1108))),MAX(0,1*H1108-(I1125-MIN(MAX(I1125,0),H1108)))))</f>
        <v>41101.825723647918</v>
      </c>
      <c r="I1126" s="18">
        <f>IF($A1126&gt;40,I1125,(I1125-H1108+H1126)*(1+$B$7))</f>
        <v>40806.954116224377</v>
      </c>
      <c r="J1126" s="18">
        <f t="shared" si="128"/>
        <v>685884.09593446436</v>
      </c>
      <c r="K1126" s="18">
        <f>IF($A1126&gt;40,0,(K1108-MIN(MAX(L1125,0),K1108))+MIN(MAX(0,M1125-(K1108-MIN(MAX(L1125,0),K1108))),MAX(0,1*K1108-(L1125-MIN(MAX(L1125,0),K1108)))))</f>
        <v>40838.931232479517</v>
      </c>
      <c r="L1126" s="18">
        <f>IF($A1126&gt;40,L1125,(L1125-K1108+K1126)*(1+$B$7))</f>
        <v>40545.94567561039</v>
      </c>
      <c r="M1126" s="18">
        <f t="shared" si="129"/>
        <v>691761.0449051616</v>
      </c>
      <c r="N1126" s="18">
        <f>IF($A1126&gt;40,0,(N1108-MIN(MAX(O1125,0),N1108))+MIN(MAX(0,P1125-(N1108-MIN(MAX(O1125,0),N1108))),MAX(0,1*N1108-(O1125-MIN(MAX(O1125,0),N1108)))))</f>
        <v>40838.962893707394</v>
      </c>
      <c r="O1126" s="18">
        <f>IF($A1126&gt;40,O1125,(O1125-N1108+N1126)*(1+$B$7))</f>
        <v>40545.977109695137</v>
      </c>
      <c r="P1126" s="18">
        <f t="shared" si="130"/>
        <v>691760.33712532208</v>
      </c>
      <c r="Q1126" s="18">
        <f>IF($A1126&gt;40,0,(Q1108-MIN(MAX(R1125,0),Q1108))+MIN(MAX(0,S1125-(Q1108-MIN(MAX(R1125,0),Q1108))),MAX(0,1*Q1108-(R1125-MIN(MAX(R1125,0),Q1108)))))</f>
        <v>40838.962901428436</v>
      </c>
      <c r="R1126" s="18">
        <f>IF($A1126&gt;40,R1125,(R1125-Q1108+Q1126)*(1+$B$7))</f>
        <v>40545.977117360795</v>
      </c>
      <c r="S1126" s="18">
        <f t="shared" si="131"/>
        <v>691760.33695272054</v>
      </c>
    </row>
    <row r="1127" spans="1:19">
      <c r="A1127" s="10">
        <f>17</f>
        <v>17</v>
      </c>
      <c r="B1127" s="18">
        <f>IF($A1127&gt;40,0,(B1108-MIN(MAX(C1126,0),B1108))+MIN(MAX(0,D1126-(B1108-MIN(MAX(C1126,0),B1108))),MAX(0,1*B1108-(C1126-MIN(MAX(C1126,0),B1108)))))</f>
        <v>30108</v>
      </c>
      <c r="C1127" s="18">
        <f>IF($A1127&gt;40,C1126,(C1126-B1108+B1127)*(1+$B$7))</f>
        <v>29892</v>
      </c>
      <c r="D1127" s="18">
        <f t="shared" si="126"/>
        <v>928586.89058751706</v>
      </c>
      <c r="E1127" s="18">
        <f>IF($A1127&gt;40,0,(E1108-MIN(MAX(F1126,0),E1108))+MIN(MAX(0,G1126-(E1108-MIN(MAX(F1126,0),E1108))),MAX(0,1*E1108-(F1126-MIN(MAX(F1126,0),E1108)))))</f>
        <v>75000</v>
      </c>
      <c r="F1127" s="18">
        <f>IF($A1127&gt;40,F1126,(F1126-E1108+E1127)*(1+$B$7))</f>
        <v>0</v>
      </c>
      <c r="G1127" s="18">
        <f t="shared" si="127"/>
        <v>-77944.849888014578</v>
      </c>
      <c r="H1127" s="18">
        <f>IF($A1127&gt;40,0,(H1108-MIN(MAX(I1126,0),H1108))+MIN(MAX(0,J1126-(H1108-MIN(MAX(I1126,0),H1108))),MAX(0,1*H1108-(I1126-MIN(MAX(I1126,0),H1108)))))</f>
        <v>41101.825723647918</v>
      </c>
      <c r="I1127" s="18">
        <f>IF($A1127&gt;40,I1126,(I1126-H1108+H1127)*(1+$B$7))</f>
        <v>40806.954116224377</v>
      </c>
      <c r="J1127" s="18">
        <f t="shared" si="128"/>
        <v>664125.73831714096</v>
      </c>
      <c r="K1127" s="18">
        <f>IF($A1127&gt;40,0,(K1108-MIN(MAX(L1126,0),K1108))+MIN(MAX(0,M1126-(K1108-MIN(MAX(L1126,0),K1108))),MAX(0,1*K1108-(L1126-MIN(MAX(L1126,0),K1108)))))</f>
        <v>40838.931232479517</v>
      </c>
      <c r="L1127" s="18">
        <f>IF($A1127&gt;40,L1126,(L1126-K1108+K1127)*(1+$B$7))</f>
        <v>40545.94567561039</v>
      </c>
      <c r="M1127" s="18">
        <f t="shared" si="129"/>
        <v>670449.77708286257</v>
      </c>
      <c r="N1127" s="18">
        <f>IF($A1127&gt;40,0,(N1108-MIN(MAX(O1126,0),N1108))+MIN(MAX(0,P1126-(N1108-MIN(MAX(O1126,0),N1108))),MAX(0,1*N1108-(O1126-MIN(MAX(O1126,0),N1108)))))</f>
        <v>40838.962893707394</v>
      </c>
      <c r="O1127" s="18">
        <f>IF($A1127&gt;40,O1126,(O1126-N1108+N1127)*(1+$B$7))</f>
        <v>40545.977109695137</v>
      </c>
      <c r="P1127" s="18">
        <f t="shared" si="130"/>
        <v>670449.01545856311</v>
      </c>
      <c r="Q1127" s="18">
        <f>IF($A1127&gt;40,0,(Q1108-MIN(MAX(R1126,0),Q1108))+MIN(MAX(0,S1126-(Q1108-MIN(MAX(R1126,0),Q1108))),MAX(0,1*Q1108-(R1126-MIN(MAX(R1126,0),Q1108)))))</f>
        <v>40838.962901428436</v>
      </c>
      <c r="R1127" s="18">
        <f>IF($A1127&gt;40,R1126,(R1126-Q1108+Q1127)*(1+$B$7))</f>
        <v>40545.977117360795</v>
      </c>
      <c r="S1127" s="18">
        <f t="shared" si="131"/>
        <v>670449.01527283085</v>
      </c>
    </row>
    <row r="1128" spans="1:19">
      <c r="A1128" s="10">
        <f>18</f>
        <v>18</v>
      </c>
      <c r="B1128" s="18">
        <f>IF($A1128&gt;40,0,(B1108-MIN(MAX(C1127,0),B1108))+MIN(MAX(0,D1127-(B1108-MIN(MAX(C1127,0),B1108))),MAX(0,1*B1108-(C1127-MIN(MAX(C1127,0),B1108)))))</f>
        <v>30108</v>
      </c>
      <c r="C1128" s="18">
        <f>IF($A1128&gt;40,C1127,(C1127-B1108+B1128)*(1+$B$7))</f>
        <v>29892</v>
      </c>
      <c r="D1128" s="18">
        <f t="shared" si="126"/>
        <v>925433.25730514259</v>
      </c>
      <c r="E1128" s="18">
        <f>IF($A1128&gt;40,0,(E1108-MIN(MAX(F1127,0),E1108))+MIN(MAX(0,G1127-(E1108-MIN(MAX(F1127,0),E1108))),MAX(0,1*E1108-(F1127-MIN(MAX(F1127,0),E1108)))))</f>
        <v>75000</v>
      </c>
      <c r="F1128" s="18">
        <f>IF($A1128&gt;40,F1127,(F1127-E1108+E1128)*(1+$B$7))</f>
        <v>0</v>
      </c>
      <c r="G1128" s="18">
        <f t="shared" si="127"/>
        <v>-157533.19538465503</v>
      </c>
      <c r="H1128" s="18">
        <f>IF($A1128&gt;40,0,(H1108-MIN(MAX(I1127,0),H1108))+MIN(MAX(0,J1127-(H1108-MIN(MAX(I1127,0),H1108))),MAX(0,1*H1108-(I1127-MIN(MAX(I1127,0),H1108)))))</f>
        <v>41101.825723647918</v>
      </c>
      <c r="I1128" s="18">
        <f>IF($A1128&gt;40,I1127,(I1127-H1108+H1128)*(1+$B$7))</f>
        <v>40806.954116224377</v>
      </c>
      <c r="J1128" s="18">
        <f t="shared" si="128"/>
        <v>641714.62997129781</v>
      </c>
      <c r="K1128" s="18">
        <f>IF($A1128&gt;40,0,(K1108-MIN(MAX(L1127,0),K1108))+MIN(MAX(0,M1127-(K1108-MIN(MAX(L1127,0),K1108))),MAX(0,1*K1108-(L1127-MIN(MAX(L1127,0),K1108)))))</f>
        <v>40838.931232479517</v>
      </c>
      <c r="L1128" s="18">
        <f>IF($A1128&gt;40,L1127,(L1127-K1108+K1128)*(1+$B$7))</f>
        <v>40545.94567561039</v>
      </c>
      <c r="M1128" s="18">
        <f t="shared" si="129"/>
        <v>648499.17122589459</v>
      </c>
      <c r="N1128" s="18">
        <f>IF($A1128&gt;40,0,(N1108-MIN(MAX(O1127,0),N1108))+MIN(MAX(0,P1127-(N1108-MIN(MAX(O1127,0),N1108))),MAX(0,1*N1108-(O1127-MIN(MAX(O1127,0),N1108)))))</f>
        <v>40838.962893707394</v>
      </c>
      <c r="O1128" s="18">
        <f>IF($A1128&gt;40,O1127,(O1127-N1108+N1128)*(1+$B$7))</f>
        <v>40545.977109695137</v>
      </c>
      <c r="P1128" s="18">
        <f t="shared" si="130"/>
        <v>648498.35414180136</v>
      </c>
      <c r="Q1128" s="18">
        <f>IF($A1128&gt;40,0,(Q1108-MIN(MAX(R1127,0),Q1108))+MIN(MAX(0,S1127-(Q1108-MIN(MAX(R1127,0),Q1108))),MAX(0,1*Q1108-(R1127-MIN(MAX(R1127,0),Q1108)))))</f>
        <v>40838.962901428436</v>
      </c>
      <c r="R1128" s="18">
        <f>IF($A1128&gt;40,R1127,(R1127-Q1108+Q1128)*(1+$B$7))</f>
        <v>40545.977117360795</v>
      </c>
      <c r="S1128" s="18">
        <f t="shared" si="131"/>
        <v>648498.35394254443</v>
      </c>
    </row>
    <row r="1129" spans="1:19">
      <c r="A1129" s="10">
        <f>19</f>
        <v>19</v>
      </c>
      <c r="B1129" s="18">
        <f>IF($A1129&gt;40,0,(B1108-MIN(MAX(C1128,0),B1108))+MIN(MAX(0,D1128-(B1108-MIN(MAX(C1128,0),B1108))),MAX(0,1*B1108-(C1128-MIN(MAX(C1128,0),B1108)))))</f>
        <v>30108</v>
      </c>
      <c r="C1129" s="18">
        <f>IF($A1129&gt;40,C1128,(C1128-B1108+B1129)*(1+$B$7))</f>
        <v>29892</v>
      </c>
      <c r="D1129" s="18">
        <f t="shared" si="126"/>
        <v>922185.01502429694</v>
      </c>
      <c r="E1129" s="18">
        <f>IF($A1129&gt;40,0,(E1108-MIN(MAX(F1128,0),E1108))+MIN(MAX(0,G1128-(E1108-MIN(MAX(F1128,0),E1108))),MAX(0,1*E1108-(F1128-MIN(MAX(F1128,0),E1108)))))</f>
        <v>75000</v>
      </c>
      <c r="F1129" s="18">
        <f>IF($A1129&gt;40,F1128,(F1128-E1108+E1129)*(1+$B$7))</f>
        <v>0</v>
      </c>
      <c r="G1129" s="18">
        <f t="shared" si="127"/>
        <v>-239509.19124619468</v>
      </c>
      <c r="H1129" s="18">
        <f>IF($A1129&gt;40,0,(H1108-MIN(MAX(I1128,0),H1108))+MIN(MAX(0,J1128-(H1108-MIN(MAX(I1128,0),H1108))),MAX(0,1*H1108-(I1128-MIN(MAX(I1128,0),H1108)))))</f>
        <v>41101.825723647918</v>
      </c>
      <c r="I1129" s="18">
        <f>IF($A1129&gt;40,I1128,(I1128-H1108+H1129)*(1+$B$7))</f>
        <v>40806.954116224377</v>
      </c>
      <c r="J1129" s="18">
        <f t="shared" si="128"/>
        <v>618631.18837507931</v>
      </c>
      <c r="K1129" s="18">
        <f>IF($A1129&gt;40,0,(K1108-MIN(MAX(L1128,0),K1108))+MIN(MAX(0,M1128-(K1108-MIN(MAX(L1128,0),K1108))),MAX(0,1*K1108-(L1128-MIN(MAX(L1128,0),K1108)))))</f>
        <v>40838.931232479517</v>
      </c>
      <c r="L1129" s="18">
        <f>IF($A1129&gt;40,L1128,(L1128-K1108+K1129)*(1+$B$7))</f>
        <v>40545.94567561039</v>
      </c>
      <c r="M1129" s="18">
        <f t="shared" si="129"/>
        <v>625890.04719321756</v>
      </c>
      <c r="N1129" s="18">
        <f>IF($A1129&gt;40,0,(N1108-MIN(MAX(O1128,0),N1108))+MIN(MAX(0,P1128-(N1108-MIN(MAX(O1128,0),N1108))),MAX(0,1*N1108-(O1128-MIN(MAX(O1128,0),N1108)))))</f>
        <v>40838.962893707394</v>
      </c>
      <c r="O1129" s="18">
        <f>IF($A1129&gt;40,O1128,(O1128-N1108+N1129)*(1+$B$7))</f>
        <v>40545.977109695137</v>
      </c>
      <c r="P1129" s="18">
        <f t="shared" si="130"/>
        <v>625889.17298553674</v>
      </c>
      <c r="Q1129" s="18">
        <f>IF($A1129&gt;40,0,(Q1108-MIN(MAX(R1128,0),Q1108))+MIN(MAX(0,S1128-(Q1108-MIN(MAX(R1128,0),Q1108))),MAX(0,1*Q1108-(R1128-MIN(MAX(R1128,0),Q1108)))))</f>
        <v>40838.962901428436</v>
      </c>
      <c r="R1129" s="18">
        <f>IF($A1129&gt;40,R1128,(R1128-Q1108+Q1129)*(1+$B$7))</f>
        <v>40545.977117360795</v>
      </c>
      <c r="S1129" s="18">
        <f t="shared" si="131"/>
        <v>625889.17277234944</v>
      </c>
    </row>
    <row r="1130" spans="1:19">
      <c r="A1130" s="10">
        <f>20</f>
        <v>20</v>
      </c>
      <c r="B1130" s="18">
        <f>IF($A1130&gt;40,0,(B1108-MIN(MAX(C1129,0),B1108))+MIN(MAX(0,D1129-(B1108-MIN(MAX(C1129,0),B1108))),MAX(0,1*B1108-(C1129-MIN(MAX(C1129,0),B1108)))))</f>
        <v>30108</v>
      </c>
      <c r="C1130" s="18">
        <f>IF($A1130&gt;40,C1129,(C1129-B1108+B1130)*(1+$B$7))</f>
        <v>29892</v>
      </c>
      <c r="D1130" s="18">
        <f t="shared" si="126"/>
        <v>918839.32547502592</v>
      </c>
      <c r="E1130" s="18">
        <f>IF($A1130&gt;40,0,(E1108-MIN(MAX(F1129,0),E1108))+MIN(MAX(0,G1129-(E1108-MIN(MAX(F1129,0),E1108))),MAX(0,1*E1108-(F1129-MIN(MAX(F1129,0),E1108)))))</f>
        <v>75000</v>
      </c>
      <c r="F1130" s="18">
        <f>IF($A1130&gt;40,F1129,(F1129-E1108+E1130)*(1+$B$7))</f>
        <v>0</v>
      </c>
      <c r="G1130" s="18">
        <f t="shared" si="127"/>
        <v>-323944.4669835805</v>
      </c>
      <c r="H1130" s="18">
        <f>IF($A1130&gt;40,0,(H1108-MIN(MAX(I1129,0),H1108))+MIN(MAX(0,J1129-(H1108-MIN(MAX(I1129,0),H1108))),MAX(0,1*H1108-(I1129-MIN(MAX(I1129,0),H1108)))))</f>
        <v>41101.825723647918</v>
      </c>
      <c r="I1130" s="18">
        <f>IF($A1130&gt;40,I1129,(I1129-H1108+H1130)*(1+$B$7))</f>
        <v>40806.954116224377</v>
      </c>
      <c r="J1130" s="18">
        <f t="shared" si="128"/>
        <v>594855.24353097426</v>
      </c>
      <c r="K1130" s="18">
        <f>IF($A1130&gt;40,0,(K1108-MIN(MAX(L1129,0),K1108))+MIN(MAX(0,M1129-(K1108-MIN(MAX(L1129,0),K1108))),MAX(0,1*K1108-(L1129-MIN(MAX(L1129,0),K1108)))))</f>
        <v>40838.931232479517</v>
      </c>
      <c r="L1130" s="18">
        <f>IF($A1130&gt;40,L1129,(L1129-K1108+K1130)*(1+$B$7))</f>
        <v>40545.94567561039</v>
      </c>
      <c r="M1130" s="18">
        <f t="shared" si="129"/>
        <v>602602.64943956025</v>
      </c>
      <c r="N1130" s="18">
        <f>IF($A1130&gt;40,0,(N1108-MIN(MAX(O1129,0),N1108))+MIN(MAX(0,P1129-(N1108-MIN(MAX(O1129,0),N1108))),MAX(0,1*N1108-(O1129-MIN(MAX(O1129,0),N1108)))))</f>
        <v>40838.962893707394</v>
      </c>
      <c r="O1130" s="18">
        <f>IF($A1130&gt;40,O1129,(O1129-N1108+N1130)*(1+$B$7))</f>
        <v>40545.977109695137</v>
      </c>
      <c r="P1130" s="18">
        <f t="shared" si="130"/>
        <v>602601.71639458416</v>
      </c>
      <c r="Q1130" s="18">
        <f>IF($A1130&gt;40,0,(Q1108-MIN(MAX(R1129,0),Q1108))+MIN(MAX(0,S1129-(Q1108-MIN(MAX(R1129,0),Q1108))),MAX(0,1*Q1108-(R1129-MIN(MAX(R1129,0),Q1108)))))</f>
        <v>40838.962901428436</v>
      </c>
      <c r="R1130" s="18">
        <f>IF($A1130&gt;40,R1129,(R1129-Q1108+Q1130)*(1+$B$7))</f>
        <v>40545.977117360795</v>
      </c>
      <c r="S1130" s="18">
        <f t="shared" si="131"/>
        <v>602601.71616704867</v>
      </c>
    </row>
    <row r="1131" spans="1:19">
      <c r="A1131" s="10">
        <f>21</f>
        <v>21</v>
      </c>
      <c r="B1131" s="18">
        <f>IF($A1131&gt;40,0,(B1108-MIN(MAX(C1130,0),B1108))+MIN(MAX(0,D1130-(B1108-MIN(MAX(C1130,0),B1108))),MAX(0,1*B1108-(C1130-MIN(MAX(C1130,0),B1108)))))</f>
        <v>30108</v>
      </c>
      <c r="C1131" s="18">
        <f>IF($A1131&gt;40,C1130,(C1130-B1108+B1131)*(1+$B$7))</f>
        <v>29892</v>
      </c>
      <c r="D1131" s="18">
        <f t="shared" si="126"/>
        <v>915393.26523927669</v>
      </c>
      <c r="E1131" s="18">
        <f>IF($A1131&gt;40,0,(E1108-MIN(MAX(F1130,0),E1108))+MIN(MAX(0,G1130-(E1108-MIN(MAX(F1130,0),E1108))),MAX(0,1*E1108-(F1130-MIN(MAX(F1130,0),E1108)))))</f>
        <v>75000</v>
      </c>
      <c r="F1131" s="18">
        <f>IF($A1131&gt;40,F1130,(F1130-E1108+E1131)*(1+$B$7))</f>
        <v>0</v>
      </c>
      <c r="G1131" s="18">
        <f t="shared" si="127"/>
        <v>-410912.80099308793</v>
      </c>
      <c r="H1131" s="18">
        <f>IF($A1131&gt;40,0,(H1108-MIN(MAX(I1130,0),H1108))+MIN(MAX(0,J1130-(H1108-MIN(MAX(I1130,0),H1108))),MAX(0,1*H1108-(I1130-MIN(MAX(I1130,0),H1108)))))</f>
        <v>41101.825723647918</v>
      </c>
      <c r="I1131" s="18">
        <f>IF($A1131&gt;40,I1130,(I1130-H1108+H1131)*(1+$B$7))</f>
        <v>40806.954116224377</v>
      </c>
      <c r="J1131" s="18">
        <f t="shared" si="128"/>
        <v>570366.02034154616</v>
      </c>
      <c r="K1131" s="18">
        <f>IF($A1131&gt;40,0,(K1108-MIN(MAX(L1130,0),K1108))+MIN(MAX(0,M1130-(K1108-MIN(MAX(L1130,0),K1108))),MAX(0,1*K1108-(L1130-MIN(MAX(L1130,0),K1108)))))</f>
        <v>40838.931232479517</v>
      </c>
      <c r="L1131" s="18">
        <f>IF($A1131&gt;40,L1130,(L1130-K1108+K1131)*(1+$B$7))</f>
        <v>40545.94567561039</v>
      </c>
      <c r="M1131" s="18">
        <f t="shared" si="129"/>
        <v>578616.62975329312</v>
      </c>
      <c r="N1131" s="18">
        <f>IF($A1131&gt;40,0,(N1108-MIN(MAX(O1130,0),N1108))+MIN(MAX(0,P1130-(N1108-MIN(MAX(O1130,0),N1108))),MAX(0,1*N1108-(O1130-MIN(MAX(O1130,0),N1108)))))</f>
        <v>40838.962893707394</v>
      </c>
      <c r="O1131" s="18">
        <f>IF($A1131&gt;40,O1130,(O1130-N1108+N1131)*(1+$B$7))</f>
        <v>40545.977109695137</v>
      </c>
      <c r="P1131" s="18">
        <f t="shared" si="130"/>
        <v>578615.63610590308</v>
      </c>
      <c r="Q1131" s="18">
        <f>IF($A1131&gt;40,0,(Q1108-MIN(MAX(R1130,0),Q1108))+MIN(MAX(0,S1130-(Q1108-MIN(MAX(R1130,0),Q1108))),MAX(0,1*Q1108-(R1130-MIN(MAX(R1130,0),Q1108)))))</f>
        <v>40838.962901428436</v>
      </c>
      <c r="R1131" s="18">
        <f>IF($A1131&gt;40,R1130,(R1130-Q1108+Q1131)*(1+$B$7))</f>
        <v>40545.977117360795</v>
      </c>
      <c r="S1131" s="18">
        <f t="shared" si="131"/>
        <v>578615.63586358877</v>
      </c>
    </row>
    <row r="1132" spans="1:19">
      <c r="A1132" s="10">
        <f>22</f>
        <v>22</v>
      </c>
      <c r="B1132" s="18">
        <f>IF($A1132&gt;40,0,(B1108-MIN(MAX(C1131,0),B1108))+MIN(MAX(0,D1131-(B1108-MIN(MAX(C1131,0),B1108))),MAX(0,1*B1108-(C1131-MIN(MAX(C1131,0),B1108)))))</f>
        <v>30108</v>
      </c>
      <c r="C1132" s="18">
        <f>IF($A1132&gt;40,C1131,(C1131-B1108+B1132)*(1+$B$7))</f>
        <v>29892</v>
      </c>
      <c r="D1132" s="18">
        <f t="shared" si="126"/>
        <v>911843.82319645502</v>
      </c>
      <c r="E1132" s="18">
        <f>IF($A1132&gt;40,0,(E1108-MIN(MAX(F1131,0),E1108))+MIN(MAX(0,G1131-(E1108-MIN(MAX(F1131,0),E1108))),MAX(0,1*E1108-(F1131-MIN(MAX(F1131,0),E1108)))))</f>
        <v>75000</v>
      </c>
      <c r="F1132" s="18">
        <f>IF($A1132&gt;40,F1131,(F1131-E1108+E1132)*(1+$B$7))</f>
        <v>0</v>
      </c>
      <c r="G1132" s="18">
        <f t="shared" si="127"/>
        <v>-500490.18502288061</v>
      </c>
      <c r="H1132" s="18">
        <f>IF($A1132&gt;40,0,(H1108-MIN(MAX(I1131,0),H1108))+MIN(MAX(0,J1131-(H1108-MIN(MAX(I1131,0),H1108))),MAX(0,1*H1108-(I1131-MIN(MAX(I1131,0),H1108)))))</f>
        <v>41101.825723647918</v>
      </c>
      <c r="I1132" s="18">
        <f>IF($A1132&gt;40,I1131,(I1131-H1108+H1132)*(1+$B$7))</f>
        <v>40806.954116224377</v>
      </c>
      <c r="J1132" s="18">
        <f t="shared" si="128"/>
        <v>545142.12045643514</v>
      </c>
      <c r="K1132" s="18">
        <f>IF($A1132&gt;40,0,(K1108-MIN(MAX(L1131,0),K1108))+MIN(MAX(0,M1131-(K1108-MIN(MAX(L1131,0),K1108))),MAX(0,1*K1108-(L1131-MIN(MAX(L1131,0),K1108)))))</f>
        <v>40838.931232479517</v>
      </c>
      <c r="L1132" s="18">
        <f>IF($A1132&gt;40,L1131,(L1131-K1108+K1132)*(1+$B$7))</f>
        <v>40545.94567561039</v>
      </c>
      <c r="M1132" s="18">
        <f t="shared" si="129"/>
        <v>553911.02947643807</v>
      </c>
      <c r="N1132" s="18">
        <f>IF($A1132&gt;40,0,(N1108-MIN(MAX(O1131,0),N1108))+MIN(MAX(0,P1131-(N1108-MIN(MAX(O1131,0),N1108))),MAX(0,1*N1108-(O1131-MIN(MAX(O1131,0),N1108)))))</f>
        <v>40838.962893707394</v>
      </c>
      <c r="O1132" s="18">
        <f>IF($A1132&gt;40,O1131,(O1131-N1108+N1132)*(1+$B$7))</f>
        <v>40545.977109695137</v>
      </c>
      <c r="P1132" s="18">
        <f t="shared" si="130"/>
        <v>553909.97340856155</v>
      </c>
      <c r="Q1132" s="18">
        <f>IF($A1132&gt;40,0,(Q1108-MIN(MAX(R1131,0),Q1108))+MIN(MAX(0,S1131-(Q1108-MIN(MAX(R1131,0),Q1108))),MAX(0,1*Q1108-(R1131-MIN(MAX(R1131,0),Q1108)))))</f>
        <v>40838.962901428436</v>
      </c>
      <c r="R1132" s="18">
        <f>IF($A1132&gt;40,R1131,(R1131-Q1108+Q1132)*(1+$B$7))</f>
        <v>40545.977117360795</v>
      </c>
      <c r="S1132" s="18">
        <f t="shared" si="131"/>
        <v>553909.97315102513</v>
      </c>
    </row>
    <row r="1133" spans="1:19">
      <c r="A1133" s="10">
        <f>23</f>
        <v>23</v>
      </c>
      <c r="B1133" s="18">
        <f>IF($A1133&gt;40,0,(B1108-MIN(MAX(C1132,0),B1108))+MIN(MAX(0,D1132-(B1108-MIN(MAX(C1132,0),B1108))),MAX(0,1*B1108-(C1132-MIN(MAX(C1132,0),B1108)))))</f>
        <v>30108</v>
      </c>
      <c r="C1133" s="18">
        <f>IF($A1133&gt;40,C1132,(C1132-B1108+B1133)*(1+$B$7))</f>
        <v>29892</v>
      </c>
      <c r="D1133" s="18">
        <f t="shared" si="126"/>
        <v>908187.8978923487</v>
      </c>
      <c r="E1133" s="18">
        <f>IF($A1133&gt;40,0,(E1108-MIN(MAX(F1132,0),E1108))+MIN(MAX(0,G1132-(E1108-MIN(MAX(F1132,0),E1108))),MAX(0,1*E1108-(F1132-MIN(MAX(F1132,0),E1108)))))</f>
        <v>75000</v>
      </c>
      <c r="F1133" s="18">
        <f>IF($A1133&gt;40,F1132,(F1132-E1108+E1133)*(1+$B$7))</f>
        <v>0</v>
      </c>
      <c r="G1133" s="18">
        <f t="shared" si="127"/>
        <v>-592754.89057356701</v>
      </c>
      <c r="H1133" s="18">
        <f>IF($A1133&gt;40,0,(H1108-MIN(MAX(I1132,0),H1108))+MIN(MAX(0,J1132-(H1108-MIN(MAX(I1132,0),H1108))),MAX(0,1*H1108-(I1132-MIN(MAX(I1132,0),H1108)))))</f>
        <v>41101.825723647918</v>
      </c>
      <c r="I1133" s="18">
        <f>IF($A1133&gt;40,I1132,(I1132-H1108+H1133)*(1+$B$7))</f>
        <v>40806.954116224377</v>
      </c>
      <c r="J1133" s="18">
        <f t="shared" si="128"/>
        <v>519161.50357477088</v>
      </c>
      <c r="K1133" s="18">
        <f>IF($A1133&gt;40,0,(K1108-MIN(MAX(L1132,0),K1108))+MIN(MAX(0,M1132-(K1108-MIN(MAX(L1132,0),K1108))),MAX(0,1*K1108-(L1132-MIN(MAX(L1132,0),K1108)))))</f>
        <v>40838.931232479517</v>
      </c>
      <c r="L1133" s="18">
        <f>IF($A1133&gt;40,L1132,(L1132-K1108+K1133)*(1+$B$7))</f>
        <v>40545.94567561039</v>
      </c>
      <c r="M1133" s="18">
        <f t="shared" si="129"/>
        <v>528464.2611912773</v>
      </c>
      <c r="N1133" s="18">
        <f>IF($A1133&gt;40,0,(N1108-MIN(MAX(O1132,0),N1108))+MIN(MAX(0,P1132-(N1108-MIN(MAX(O1132,0),N1108))),MAX(0,1*N1108-(O1132-MIN(MAX(O1132,0),N1108)))))</f>
        <v>40838.962893707394</v>
      </c>
      <c r="O1133" s="18">
        <f>IF($A1133&gt;40,O1132,(O1132-N1108+N1133)*(1+$B$7))</f>
        <v>40545.977109695137</v>
      </c>
      <c r="P1133" s="18">
        <f t="shared" si="130"/>
        <v>528463.14083029982</v>
      </c>
      <c r="Q1133" s="18">
        <f>IF($A1133&gt;40,0,(Q1108-MIN(MAX(R1132,0),Q1108))+MIN(MAX(0,S1132-(Q1108-MIN(MAX(R1132,0),Q1108))),MAX(0,1*Q1108-(R1132-MIN(MAX(R1132,0),Q1108)))))</f>
        <v>40838.962901428436</v>
      </c>
      <c r="R1133" s="18">
        <f>IF($A1133&gt;40,R1132,(R1132-Q1108+Q1133)*(1+$B$7))</f>
        <v>40545.977117360795</v>
      </c>
      <c r="S1133" s="18">
        <f t="shared" si="131"/>
        <v>528463.14055708458</v>
      </c>
    </row>
    <row r="1134" spans="1:19">
      <c r="A1134" s="10">
        <f>24</f>
        <v>24</v>
      </c>
      <c r="B1134" s="18">
        <f>IF($A1134&gt;40,0,(B1108-MIN(MAX(C1133,0),B1108))+MIN(MAX(0,D1133-(B1108-MIN(MAX(C1133,0),B1108))),MAX(0,1*B1108-(C1133-MIN(MAX(C1133,0),B1108)))))</f>
        <v>30108</v>
      </c>
      <c r="C1134" s="18">
        <f>IF($A1134&gt;40,C1133,(C1133-B1108+B1134)*(1+$B$7))</f>
        <v>29892</v>
      </c>
      <c r="D1134" s="18">
        <f t="shared" si="126"/>
        <v>904422.29482911923</v>
      </c>
      <c r="E1134" s="18">
        <f>IF($A1134&gt;40,0,(E1108-MIN(MAX(F1133,0),E1108))+MIN(MAX(0,G1133-(E1108-MIN(MAX(F1133,0),E1108))),MAX(0,1*E1108-(F1133-MIN(MAX(F1133,0),E1108)))))</f>
        <v>75000</v>
      </c>
      <c r="F1134" s="18">
        <f>IF($A1134&gt;40,F1133,(F1133-E1108+E1134)*(1+$B$7))</f>
        <v>0</v>
      </c>
      <c r="G1134" s="18">
        <f t="shared" si="127"/>
        <v>-687787.53729077405</v>
      </c>
      <c r="H1134" s="18">
        <f>IF($A1134&gt;40,0,(H1108-MIN(MAX(I1133,0),H1108))+MIN(MAX(0,J1133-(H1108-MIN(MAX(I1133,0),H1108))),MAX(0,1*H1108-(I1133-MIN(MAX(I1133,0),H1108)))))</f>
        <v>41101.825723647918</v>
      </c>
      <c r="I1134" s="18">
        <f>IF($A1134&gt;40,I1133,(I1133-H1108+H1134)*(1+$B$7))</f>
        <v>40806.954116224377</v>
      </c>
      <c r="J1134" s="18">
        <f t="shared" si="128"/>
        <v>492401.46818665665</v>
      </c>
      <c r="K1134" s="18">
        <f>IF($A1134&gt;40,0,(K1108-MIN(MAX(L1133,0),K1108))+MIN(MAX(0,M1133-(K1108-MIN(MAX(L1133,0),K1108))),MAX(0,1*K1108-(L1133-MIN(MAX(L1133,0),K1108)))))</f>
        <v>40838.931232479517</v>
      </c>
      <c r="L1134" s="18">
        <f>IF($A1134&gt;40,L1133,(L1133-K1108+K1134)*(1+$B$7))</f>
        <v>40545.94567561039</v>
      </c>
      <c r="M1134" s="18">
        <f t="shared" si="129"/>
        <v>502254.08985756175</v>
      </c>
      <c r="N1134" s="18">
        <f>IF($A1134&gt;40,0,(N1108-MIN(MAX(O1133,0),N1108))+MIN(MAX(0,P1133-(N1108-MIN(MAX(O1133,0),N1108))),MAX(0,1*N1108-(O1133-MIN(MAX(O1133,0),N1108)))))</f>
        <v>40838.962893707394</v>
      </c>
      <c r="O1134" s="18">
        <f>IF($A1134&gt;40,O1133,(O1133-N1108+N1134)*(1+$B$7))</f>
        <v>40545.977109695137</v>
      </c>
      <c r="P1134" s="18">
        <f t="shared" si="130"/>
        <v>502252.90327469021</v>
      </c>
      <c r="Q1134" s="18">
        <f>IF($A1134&gt;40,0,(Q1108-MIN(MAX(R1133,0),Q1108))+MIN(MAX(0,S1133-(Q1108-MIN(MAX(R1133,0),Q1108))),MAX(0,1*Q1108-(R1133-MIN(MAX(R1133,0),Q1108)))))</f>
        <v>40838.962901428436</v>
      </c>
      <c r="R1134" s="18">
        <f>IF($A1134&gt;40,R1133,(R1133-Q1108+Q1134)*(1+$B$7))</f>
        <v>40545.977117360795</v>
      </c>
      <c r="S1134" s="18">
        <f t="shared" si="131"/>
        <v>502252.90298532584</v>
      </c>
    </row>
    <row r="1135" spans="1:19">
      <c r="A1135" s="10">
        <f>25</f>
        <v>25</v>
      </c>
      <c r="B1135" s="18">
        <f>IF($A1135&gt;40,0,(B1108-MIN(MAX(C1134,0),B1108))+MIN(MAX(0,D1134-(B1108-MIN(MAX(C1134,0),B1108))),MAX(0,1*B1108-(C1134-MIN(MAX(C1134,0),B1108)))))</f>
        <v>30108</v>
      </c>
      <c r="C1135" s="18">
        <f>IF($A1135&gt;40,C1134,(C1134-B1108+B1135)*(1+$B$7))</f>
        <v>29892</v>
      </c>
      <c r="D1135" s="18">
        <f t="shared" si="126"/>
        <v>900543.72367399279</v>
      </c>
      <c r="E1135" s="18">
        <f>IF($A1135&gt;40,0,(E1108-MIN(MAX(F1134,0),E1108))+MIN(MAX(0,G1134-(E1108-MIN(MAX(F1134,0),E1108))),MAX(0,1*E1108-(F1134-MIN(MAX(F1134,0),E1108)))))</f>
        <v>75000</v>
      </c>
      <c r="F1135" s="18">
        <f>IF($A1135&gt;40,F1134,(F1134-E1108+E1135)*(1+$B$7))</f>
        <v>0</v>
      </c>
      <c r="G1135" s="18">
        <f t="shared" si="127"/>
        <v>-785671.16340949724</v>
      </c>
      <c r="H1135" s="18">
        <f>IF($A1135&gt;40,0,(H1108-MIN(MAX(I1134,0),H1108))+MIN(MAX(0,J1134-(H1108-MIN(MAX(I1134,0),H1108))),MAX(0,1*H1108-(I1134-MIN(MAX(I1134,0),H1108)))))</f>
        <v>41101.825723647918</v>
      </c>
      <c r="I1135" s="18">
        <f>IF($A1135&gt;40,I1134,(I1134-H1108+H1135)*(1+$B$7))</f>
        <v>40806.954116224377</v>
      </c>
      <c r="J1135" s="18">
        <f t="shared" si="128"/>
        <v>464838.63173689903</v>
      </c>
      <c r="K1135" s="18">
        <f>IF($A1135&gt;40,0,(K1108-MIN(MAX(L1134,0),K1108))+MIN(MAX(0,M1134-(K1108-MIN(MAX(L1134,0),K1108))),MAX(0,1*K1108-(L1134-MIN(MAX(L1134,0),K1108)))))</f>
        <v>40838.931232479517</v>
      </c>
      <c r="L1135" s="18">
        <f>IF($A1135&gt;40,L1134,(L1134-K1108+K1135)*(1+$B$7))</f>
        <v>40545.94567561039</v>
      </c>
      <c r="M1135" s="18">
        <f t="shared" si="129"/>
        <v>475257.61338383472</v>
      </c>
      <c r="N1135" s="18">
        <f>IF($A1135&gt;40,0,(N1108-MIN(MAX(O1134,0),N1108))+MIN(MAX(0,P1134-(N1108-MIN(MAX(O1134,0),N1108))),MAX(0,1*N1108-(O1134-MIN(MAX(O1134,0),N1108)))))</f>
        <v>40838.962893707394</v>
      </c>
      <c r="O1135" s="18">
        <f>IF($A1135&gt;40,O1134,(O1134-N1108+N1135)*(1+$B$7))</f>
        <v>40545.977109695137</v>
      </c>
      <c r="P1135" s="18">
        <f t="shared" si="130"/>
        <v>475256.35859241232</v>
      </c>
      <c r="Q1135" s="18">
        <f>IF($A1135&gt;40,0,(Q1108-MIN(MAX(R1134,0),Q1108))+MIN(MAX(0,S1134-(Q1108-MIN(MAX(R1134,0),Q1108))),MAX(0,1*Q1108-(R1134-MIN(MAX(R1134,0),Q1108)))))</f>
        <v>40838.962901428436</v>
      </c>
      <c r="R1135" s="18">
        <f>IF($A1135&gt;40,R1134,(R1134-Q1108+Q1135)*(1+$B$7))</f>
        <v>40545.977117360795</v>
      </c>
      <c r="S1135" s="18">
        <f t="shared" si="131"/>
        <v>475256.3582864143</v>
      </c>
    </row>
    <row r="1136" spans="1:19">
      <c r="A1136" s="10">
        <f>26</f>
        <v>26</v>
      </c>
      <c r="B1136" s="18">
        <f>IF($A1136&gt;40,0,(B1108-MIN(MAX(C1135,0),B1108))+MIN(MAX(0,D1135-(B1108-MIN(MAX(C1135,0),B1108))),MAX(0,1*B1108-(C1135-MIN(MAX(C1135,0),B1108)))))</f>
        <v>30108</v>
      </c>
      <c r="C1136" s="18">
        <f>IF($A1136&gt;40,C1135,(C1135-B1108+B1136)*(1+$B$7))</f>
        <v>29892</v>
      </c>
      <c r="D1136" s="18">
        <f t="shared" si="126"/>
        <v>896548.79538421263</v>
      </c>
      <c r="E1136" s="18">
        <f>IF($A1136&gt;40,0,(E1108-MIN(MAX(F1135,0),E1108))+MIN(MAX(0,G1135-(E1108-MIN(MAX(F1135,0),E1108))),MAX(0,1*E1108-(F1135-MIN(MAX(F1135,0),E1108)))))</f>
        <v>75000</v>
      </c>
      <c r="F1136" s="18">
        <f>IF($A1136&gt;40,F1135,(F1135-E1108+E1136)*(1+$B$7))</f>
        <v>0</v>
      </c>
      <c r="G1136" s="18">
        <f t="shared" si="127"/>
        <v>-886491.29831178219</v>
      </c>
      <c r="H1136" s="18">
        <f>IF($A1136&gt;40,0,(H1108-MIN(MAX(I1135,0),H1108))+MIN(MAX(0,J1135-(H1108-MIN(MAX(I1135,0),H1108))),MAX(0,1*H1108-(I1135-MIN(MAX(I1135,0),H1108)))))</f>
        <v>41101.825723647918</v>
      </c>
      <c r="I1136" s="18">
        <f>IF($A1136&gt;40,I1135,(I1135-H1108+H1136)*(1+$B$7))</f>
        <v>40806.954116224377</v>
      </c>
      <c r="J1136" s="18">
        <f t="shared" si="128"/>
        <v>436448.91019364865</v>
      </c>
      <c r="K1136" s="18">
        <f>IF($A1136&gt;40,0,(K1108-MIN(MAX(L1135,0),K1108))+MIN(MAX(0,M1135-(K1108-MIN(MAX(L1135,0),K1108))),MAX(0,1*K1108-(L1135-MIN(MAX(L1135,0),K1108)))))</f>
        <v>40838.931232479517</v>
      </c>
      <c r="L1136" s="18">
        <f>IF($A1136&gt;40,L1135,(L1135-K1108+K1136)*(1+$B$7))</f>
        <v>40545.94567561039</v>
      </c>
      <c r="M1136" s="18">
        <f t="shared" si="129"/>
        <v>447451.24261589587</v>
      </c>
      <c r="N1136" s="18">
        <f>IF($A1136&gt;40,0,(N1108-MIN(MAX(O1135,0),N1108))+MIN(MAX(0,P1135-(N1108-MIN(MAX(O1135,0),N1108))),MAX(0,1*N1108-(O1135-MIN(MAX(O1135,0),N1108)))))</f>
        <v>40838.962893707394</v>
      </c>
      <c r="O1136" s="18">
        <f>IF($A1136&gt;40,O1135,(O1135-N1108+N1136)*(1+$B$7))</f>
        <v>40545.977109695137</v>
      </c>
      <c r="P1136" s="18">
        <f t="shared" si="130"/>
        <v>447449.91756966611</v>
      </c>
      <c r="Q1136" s="18">
        <f>IF($A1136&gt;40,0,(Q1108-MIN(MAX(R1135,0),Q1108))+MIN(MAX(0,S1135-(Q1108-MIN(MAX(R1135,0),Q1108))),MAX(0,1*Q1108-(R1135-MIN(MAX(R1135,0),Q1108)))))</f>
        <v>40838.962901428436</v>
      </c>
      <c r="R1136" s="18">
        <f>IF($A1136&gt;40,R1135,(R1135-Q1108+Q1136)*(1+$B$7))</f>
        <v>40545.977117360795</v>
      </c>
      <c r="S1136" s="18">
        <f t="shared" si="131"/>
        <v>447449.91724653542</v>
      </c>
    </row>
    <row r="1137" spans="1:19">
      <c r="A1137" s="10">
        <f>27</f>
        <v>27</v>
      </c>
      <c r="B1137" s="18">
        <f>IF($A1137&gt;40,0,(B1108-MIN(MAX(C1136,0),B1108))+MIN(MAX(0,D1136-(B1108-MIN(MAX(C1136,0),B1108))),MAX(0,1*B1108-(C1136-MIN(MAX(C1136,0),B1108)))))</f>
        <v>30108</v>
      </c>
      <c r="C1137" s="18">
        <f>IF($A1137&gt;40,C1136,(C1136-B1108+B1137)*(1+$B$7))</f>
        <v>29892</v>
      </c>
      <c r="D1137" s="18">
        <f t="shared" si="126"/>
        <v>892434.01924573898</v>
      </c>
      <c r="E1137" s="18">
        <f>IF($A1137&gt;40,0,(E1108-MIN(MAX(F1136,0),E1108))+MIN(MAX(0,G1136-(E1108-MIN(MAX(F1136,0),E1108))),MAX(0,1*E1108-(F1136-MIN(MAX(F1136,0),E1108)))))</f>
        <v>75000</v>
      </c>
      <c r="F1137" s="18">
        <f>IF($A1137&gt;40,F1136,(F1136-E1108+E1137)*(1+$B$7))</f>
        <v>0</v>
      </c>
      <c r="G1137" s="18">
        <f t="shared" si="127"/>
        <v>-990336.03726113564</v>
      </c>
      <c r="H1137" s="18">
        <f>IF($A1137&gt;40,0,(H1108-MIN(MAX(I1136,0),H1108))+MIN(MAX(0,J1136-(H1108-MIN(MAX(I1136,0),H1108))),MAX(0,1*H1108-(I1136-MIN(MAX(I1136,0),H1108)))))</f>
        <v>41101.825723647918</v>
      </c>
      <c r="I1137" s="18">
        <f>IF($A1137&gt;40,I1136,(I1136-H1108+H1137)*(1+$B$7))</f>
        <v>40806.954116224377</v>
      </c>
      <c r="J1137" s="18">
        <f t="shared" si="128"/>
        <v>407207.49700410082</v>
      </c>
      <c r="K1137" s="18">
        <f>IF($A1137&gt;40,0,(K1108-MIN(MAX(L1136,0),K1108))+MIN(MAX(0,M1136-(K1108-MIN(MAX(L1136,0),K1108))),MAX(0,1*K1108-(L1136-MIN(MAX(L1136,0),K1108)))))</f>
        <v>40838.931232479517</v>
      </c>
      <c r="L1137" s="18">
        <f>IF($A1137&gt;40,L1136,(L1136-K1108+K1137)*(1+$B$7))</f>
        <v>40545.94567561039</v>
      </c>
      <c r="M1137" s="18">
        <f t="shared" si="129"/>
        <v>418810.68072491884</v>
      </c>
      <c r="N1137" s="18">
        <f>IF($A1137&gt;40,0,(N1108-MIN(MAX(O1136,0),N1108))+MIN(MAX(0,P1136-(N1108-MIN(MAX(O1136,0),N1108))),MAX(0,1*N1108-(O1136-MIN(MAX(O1136,0),N1108)))))</f>
        <v>40838.962893707394</v>
      </c>
      <c r="O1137" s="18">
        <f>IF($A1137&gt;40,O1136,(O1136-N1108+N1137)*(1+$B$7))</f>
        <v>40545.977109695137</v>
      </c>
      <c r="P1137" s="18">
        <f t="shared" si="130"/>
        <v>418809.2833162375</v>
      </c>
      <c r="Q1137" s="18">
        <f>IF($A1137&gt;40,0,(Q1108-MIN(MAX(R1136,0),Q1108))+MIN(MAX(0,S1136-(Q1108-MIN(MAX(R1136,0),Q1108))),MAX(0,1*Q1108-(R1136-MIN(MAX(R1136,0),Q1108)))))</f>
        <v>40838.962901428436</v>
      </c>
      <c r="R1137" s="18">
        <f>IF($A1137&gt;40,R1136,(R1136-Q1108+Q1137)*(1+$B$7))</f>
        <v>40545.977117360795</v>
      </c>
      <c r="S1137" s="18">
        <f t="shared" si="131"/>
        <v>418809.28297546017</v>
      </c>
    </row>
    <row r="1138" spans="1:19">
      <c r="A1138" s="10">
        <f>28</f>
        <v>28</v>
      </c>
      <c r="B1138" s="18">
        <f>IF($A1138&gt;40,0,(B1108-MIN(MAX(C1137,0),B1108))+MIN(MAX(0,D1137-(B1108-MIN(MAX(C1137,0),B1108))),MAX(0,1*B1108-(C1137-MIN(MAX(C1137,0),B1108)))))</f>
        <v>30108</v>
      </c>
      <c r="C1138" s="18">
        <f>IF($A1138&gt;40,C1137,(C1137-B1108+B1138)*(1+$B$7))</f>
        <v>29892</v>
      </c>
      <c r="D1138" s="18">
        <f t="shared" si="126"/>
        <v>888195.79982311116</v>
      </c>
      <c r="E1138" s="18">
        <f>IF($A1138&gt;40,0,(E1108-MIN(MAX(F1137,0),E1108))+MIN(MAX(0,G1137-(E1108-MIN(MAX(F1137,0),E1108))),MAX(0,1*E1108-(F1137-MIN(MAX(F1137,0),E1108)))))</f>
        <v>75000</v>
      </c>
      <c r="F1138" s="18">
        <f>IF($A1138&gt;40,F1137,(F1137-E1108+E1138)*(1+$B$7))</f>
        <v>0</v>
      </c>
      <c r="G1138" s="18">
        <f t="shared" si="127"/>
        <v>-1097296.1183789698</v>
      </c>
      <c r="H1138" s="18">
        <f>IF($A1138&gt;40,0,(H1108-MIN(MAX(I1137,0),H1108))+MIN(MAX(0,J1137-(H1108-MIN(MAX(I1137,0),H1108))),MAX(0,1*H1108-(I1137-MIN(MAX(I1137,0),H1108)))))</f>
        <v>41101.825723647918</v>
      </c>
      <c r="I1138" s="18">
        <f>IF($A1138&gt;40,I1137,(I1137-H1108+H1138)*(1+$B$7))</f>
        <v>40806.954116224377</v>
      </c>
      <c r="J1138" s="18">
        <f t="shared" si="128"/>
        <v>377088.84141886653</v>
      </c>
      <c r="K1138" s="18">
        <f>IF($A1138&gt;40,0,(K1108-MIN(MAX(L1137,0),K1108))+MIN(MAX(0,M1137-(K1108-MIN(MAX(L1137,0),K1108))),MAX(0,1*K1108-(L1137-MIN(MAX(L1137,0),K1108)))))</f>
        <v>40838.931232479517</v>
      </c>
      <c r="L1138" s="18">
        <f>IF($A1138&gt;40,L1137,(L1137-K1108+K1138)*(1+$B$7))</f>
        <v>40545.94567561039</v>
      </c>
      <c r="M1138" s="18">
        <f t="shared" si="129"/>
        <v>389310.90197721252</v>
      </c>
      <c r="N1138" s="18">
        <f>IF($A1138&gt;40,0,(N1108-MIN(MAX(O1137,0),N1108))+MIN(MAX(0,P1137-(N1108-MIN(MAX(O1137,0),N1108))),MAX(0,1*N1108-(O1137-MIN(MAX(O1137,0),N1108)))))</f>
        <v>40838.962893707394</v>
      </c>
      <c r="O1138" s="18">
        <f>IF($A1138&gt;40,O1137,(O1137-N1108+N1138)*(1+$B$7))</f>
        <v>40545.977109695137</v>
      </c>
      <c r="P1138" s="18">
        <f t="shared" si="130"/>
        <v>389309.43003520602</v>
      </c>
      <c r="Q1138" s="18">
        <f>IF($A1138&gt;40,0,(Q1108-MIN(MAX(R1137,0),Q1108))+MIN(MAX(0,S1137-(Q1108-MIN(MAX(R1137,0),Q1108))),MAX(0,1*Q1108-(R1137-MIN(MAX(R1137,0),Q1108)))))</f>
        <v>40838.962901428436</v>
      </c>
      <c r="R1138" s="18">
        <f>IF($A1138&gt;40,R1137,(R1137-Q1108+Q1138)*(1+$B$7))</f>
        <v>40545.977117360795</v>
      </c>
      <c r="S1138" s="18">
        <f t="shared" si="131"/>
        <v>389309.42967625265</v>
      </c>
    </row>
    <row r="1139" spans="1:19">
      <c r="A1139" s="10">
        <f>29</f>
        <v>29</v>
      </c>
      <c r="B1139" s="18">
        <f>IF($A1139&gt;40,0,(B1108-MIN(MAX(C1138,0),B1108))+MIN(MAX(0,D1138-(B1108-MIN(MAX(C1138,0),B1108))),MAX(0,1*B1108-(C1138-MIN(MAX(C1138,0),B1108)))))</f>
        <v>30108</v>
      </c>
      <c r="C1139" s="18">
        <f>IF($A1139&gt;40,C1138,(C1138-B1108+B1139)*(1+$B$7))</f>
        <v>29892</v>
      </c>
      <c r="D1139" s="18">
        <f t="shared" si="126"/>
        <v>883830.43381780456</v>
      </c>
      <c r="E1139" s="18">
        <f>IF($A1139&gt;40,0,(E1108-MIN(MAX(F1138,0),E1108))+MIN(MAX(0,G1138-(E1108-MIN(MAX(F1138,0),E1108))),MAX(0,1*E1108-(F1138-MIN(MAX(F1138,0),E1108)))))</f>
        <v>75000</v>
      </c>
      <c r="F1139" s="18">
        <f>IF($A1139&gt;40,F1138,(F1138-E1108+E1139)*(1+$B$7))</f>
        <v>0</v>
      </c>
      <c r="G1139" s="18">
        <f t="shared" si="127"/>
        <v>-1207465.001930339</v>
      </c>
      <c r="H1139" s="18">
        <f>IF($A1139&gt;40,0,(H1108-MIN(MAX(I1138,0),H1108))+MIN(MAX(0,J1138-(H1108-MIN(MAX(I1138,0),H1108))),MAX(0,1*H1108-(I1138-MIN(MAX(I1138,0),H1108)))))</f>
        <v>41101.825723647918</v>
      </c>
      <c r="I1139" s="18">
        <f>IF($A1139&gt;40,I1138,(I1138-H1108+H1139)*(1+$B$7))</f>
        <v>40806.954116224377</v>
      </c>
      <c r="J1139" s="18">
        <f t="shared" si="128"/>
        <v>346066.62616607518</v>
      </c>
      <c r="K1139" s="18">
        <f>IF($A1139&gt;40,0,(K1108-MIN(MAX(L1138,0),K1108))+MIN(MAX(0,M1138-(K1108-MIN(MAX(L1138,0),K1108))),MAX(0,1*K1108-(L1138-MIN(MAX(L1138,0),K1108)))))</f>
        <v>40838.931232479517</v>
      </c>
      <c r="L1139" s="18">
        <f>IF($A1139&gt;40,L1138,(L1138-K1108+K1139)*(1+$B$7))</f>
        <v>40545.94567561039</v>
      </c>
      <c r="M1139" s="18">
        <f t="shared" si="129"/>
        <v>358926.12986707501</v>
      </c>
      <c r="N1139" s="18">
        <f>IF($A1139&gt;40,0,(N1108-MIN(MAX(O1138,0),N1108))+MIN(MAX(0,P1138-(N1108-MIN(MAX(O1138,0),N1108))),MAX(0,1*N1108-(O1138-MIN(MAX(O1138,0),N1108)))))</f>
        <v>40838.962893707394</v>
      </c>
      <c r="O1139" s="18">
        <f>IF($A1139&gt;40,O1138,(O1138-N1108+N1139)*(1+$B$7))</f>
        <v>40545.977109695137</v>
      </c>
      <c r="P1139" s="18">
        <f t="shared" si="130"/>
        <v>358924.58115574362</v>
      </c>
      <c r="Q1139" s="18">
        <f>IF($A1139&gt;40,0,(Q1108-MIN(MAX(R1138,0),Q1108))+MIN(MAX(0,S1138-(Q1108-MIN(MAX(R1138,0),Q1108))),MAX(0,1*Q1108-(R1138-MIN(MAX(R1138,0),Q1108)))))</f>
        <v>40838.962901428436</v>
      </c>
      <c r="R1139" s="18">
        <f>IF($A1139&gt;40,R1138,(R1138-Q1108+Q1139)*(1+$B$7))</f>
        <v>40545.977117360795</v>
      </c>
      <c r="S1139" s="18">
        <f t="shared" si="131"/>
        <v>358924.58077806892</v>
      </c>
    </row>
    <row r="1140" spans="1:19">
      <c r="A1140" s="10">
        <f>30</f>
        <v>30</v>
      </c>
      <c r="B1140" s="18">
        <f>IF($A1140&gt;40,0,(B1108-MIN(MAX(C1139,0),B1108))+MIN(MAX(0,D1139-(B1108-MIN(MAX(C1139,0),B1108))),MAX(0,1*B1108-(C1139-MIN(MAX(C1139,0),B1108)))))</f>
        <v>30108</v>
      </c>
      <c r="C1140" s="18">
        <f>IF($A1140&gt;40,C1139,(C1139-B1108+B1140)*(1+$B$7))</f>
        <v>29892</v>
      </c>
      <c r="D1140" s="18">
        <f t="shared" si="126"/>
        <v>879334.10683233873</v>
      </c>
      <c r="E1140" s="18">
        <f>IF($A1140&gt;40,0,(E1108-MIN(MAX(F1139,0),E1108))+MIN(MAX(0,G1139-(E1108-MIN(MAX(F1139,0),E1108))),MAX(0,1*E1108-(F1139-MIN(MAX(F1139,0),E1108)))))</f>
        <v>75000</v>
      </c>
      <c r="F1140" s="18">
        <f>IF($A1140&gt;40,F1139,(F1139-E1108+E1140)*(1+$B$7))</f>
        <v>0</v>
      </c>
      <c r="G1140" s="18">
        <f t="shared" si="127"/>
        <v>-1320938.9519882493</v>
      </c>
      <c r="H1140" s="18">
        <f>IF($A1140&gt;40,0,(H1108-MIN(MAX(I1139,0),H1108))+MIN(MAX(0,J1139-(H1108-MIN(MAX(I1139,0),H1108))),MAX(0,1*H1108-(I1139-MIN(MAX(I1139,0),H1108)))))</f>
        <v>41101.825723647918</v>
      </c>
      <c r="I1140" s="18">
        <f>IF($A1140&gt;40,I1139,(I1139-H1108+H1140)*(1+$B$7))</f>
        <v>40806.954116224377</v>
      </c>
      <c r="J1140" s="18">
        <f t="shared" si="128"/>
        <v>314113.7444557001</v>
      </c>
      <c r="K1140" s="18">
        <f>IF($A1140&gt;40,0,(K1108-MIN(MAX(L1139,0),K1108))+MIN(MAX(0,M1139-(K1108-MIN(MAX(L1139,0),K1108))),MAX(0,1*K1108-(L1139-MIN(MAX(L1139,0),K1108)))))</f>
        <v>40838.931232479517</v>
      </c>
      <c r="L1140" s="18">
        <f>IF($A1140&gt;40,L1139,(L1139-K1108+K1140)*(1+$B$7))</f>
        <v>40545.94567561039</v>
      </c>
      <c r="M1140" s="18">
        <f t="shared" si="129"/>
        <v>327629.81459363335</v>
      </c>
      <c r="N1140" s="18">
        <f>IF($A1140&gt;40,0,(N1108-MIN(MAX(O1139,0),N1108))+MIN(MAX(0,P1139-(N1108-MIN(MAX(O1139,0),N1108))),MAX(0,1*N1108-(O1139-MIN(MAX(O1139,0),N1108)))))</f>
        <v>40838.962893707394</v>
      </c>
      <c r="O1140" s="18">
        <f>IF($A1140&gt;40,O1139,(O1139-N1108+N1140)*(1+$B$7))</f>
        <v>40545.977109695137</v>
      </c>
      <c r="P1140" s="18">
        <f t="shared" si="130"/>
        <v>327628.18680989731</v>
      </c>
      <c r="Q1140" s="18">
        <f>IF($A1140&gt;40,0,(Q1108-MIN(MAX(R1139,0),Q1108))+MIN(MAX(0,S1139-(Q1108-MIN(MAX(R1139,0),Q1108))),MAX(0,1*Q1108-(R1139-MIN(MAX(R1139,0),Q1108)))))</f>
        <v>40838.962901428436</v>
      </c>
      <c r="R1140" s="18">
        <f>IF($A1140&gt;40,R1139,(R1139-Q1108+Q1140)*(1+$B$7))</f>
        <v>40545.977117360795</v>
      </c>
      <c r="S1140" s="18">
        <f t="shared" si="131"/>
        <v>327628.18641293969</v>
      </c>
    </row>
    <row r="1141" spans="1:19">
      <c r="A1141" s="10">
        <f>31</f>
        <v>31</v>
      </c>
      <c r="B1141" s="18">
        <f>IF($A1141&gt;40,0,(B1108-MIN(MAX(C1140,0),B1108))+MIN(MAX(0,D1140-(B1108-MIN(MAX(C1140,0),B1108))),MAX(0,1*B1108-(C1140-MIN(MAX(C1140,0),B1108)))))</f>
        <v>30108</v>
      </c>
      <c r="C1141" s="18">
        <f>IF($A1141&gt;40,C1140,(C1140-B1108+B1141)*(1+$B$7))</f>
        <v>29892</v>
      </c>
      <c r="D1141" s="18">
        <f t="shared" si="126"/>
        <v>874702.89003730891</v>
      </c>
      <c r="E1141" s="18">
        <f>IF($A1141&gt;40,0,(E1108-MIN(MAX(F1140,0),E1108))+MIN(MAX(0,G1140-(E1108-MIN(MAX(F1140,0),E1108))),MAX(0,1*E1108-(F1140-MIN(MAX(F1140,0),E1108)))))</f>
        <v>75000</v>
      </c>
      <c r="F1141" s="18">
        <f>IF($A1141&gt;40,F1140,(F1140-E1108+E1141)*(1+$B$7))</f>
        <v>0</v>
      </c>
      <c r="G1141" s="18">
        <f t="shared" si="127"/>
        <v>-1437817.1205478969</v>
      </c>
      <c r="H1141" s="18">
        <f>IF($A1141&gt;40,0,(H1108-MIN(MAX(I1140,0),H1108))+MIN(MAX(0,J1140-(H1108-MIN(MAX(I1140,0),H1108))),MAX(0,1*H1108-(I1140-MIN(MAX(I1140,0),H1108)))))</f>
        <v>41101.825723647918</v>
      </c>
      <c r="I1141" s="18">
        <f>IF($A1141&gt;40,I1140,(I1140-H1108+H1141)*(1+$B$7))</f>
        <v>40806.954116224377</v>
      </c>
      <c r="J1141" s="18">
        <f t="shared" si="128"/>
        <v>281202.27629401378</v>
      </c>
      <c r="K1141" s="18">
        <f>IF($A1141&gt;40,0,(K1108-MIN(MAX(L1140,0),K1108))+MIN(MAX(0,M1140-(K1108-MIN(MAX(L1140,0),K1108))),MAX(0,1*K1108-(L1140-MIN(MAX(L1140,0),K1108)))))</f>
        <v>40838.931232479517</v>
      </c>
      <c r="L1141" s="18">
        <f>IF($A1141&gt;40,L1140,(L1140-K1108+K1141)*(1+$B$7))</f>
        <v>40545.94567561039</v>
      </c>
      <c r="M1141" s="18">
        <f t="shared" si="129"/>
        <v>295394.60986198846</v>
      </c>
      <c r="N1141" s="18">
        <f>IF($A1141&gt;40,0,(N1108-MIN(MAX(O1140,0),N1108))+MIN(MAX(0,P1140-(N1108-MIN(MAX(O1140,0),N1108))),MAX(0,1*N1108-(O1140-MIN(MAX(O1140,0),N1108)))))</f>
        <v>40838.962893707394</v>
      </c>
      <c r="O1141" s="18">
        <f>IF($A1141&gt;40,O1140,(O1140-N1108+N1141)*(1+$B$7))</f>
        <v>40545.977109695137</v>
      </c>
      <c r="P1141" s="18">
        <f t="shared" si="130"/>
        <v>295392.90063367563</v>
      </c>
      <c r="Q1141" s="18">
        <f>IF($A1141&gt;40,0,(Q1108-MIN(MAX(R1140,0),Q1108))+MIN(MAX(0,S1140-(Q1108-MIN(MAX(R1140,0),Q1108))),MAX(0,1*Q1108-(R1140-MIN(MAX(R1140,0),Q1108)))))</f>
        <v>40838.962901428436</v>
      </c>
      <c r="R1141" s="18">
        <f>IF($A1141&gt;40,R1140,(R1140-Q1108+Q1141)*(1+$B$7))</f>
        <v>40545.977117360795</v>
      </c>
      <c r="S1141" s="18">
        <f t="shared" si="131"/>
        <v>295392.90021685656</v>
      </c>
    </row>
    <row r="1142" spans="1:19">
      <c r="A1142" s="10">
        <f>32</f>
        <v>32</v>
      </c>
      <c r="B1142" s="18">
        <f>IF($A1142&gt;40,0,(B1108-MIN(MAX(C1141,0),B1108))+MIN(MAX(0,D1141-(B1108-MIN(MAX(C1141,0),B1108))),MAX(0,1*B1108-(C1141-MIN(MAX(C1141,0),B1108)))))</f>
        <v>30108</v>
      </c>
      <c r="C1142" s="18">
        <f>IF($A1142&gt;40,C1141,(C1141-B1108+B1142)*(1+$B$7))</f>
        <v>29892</v>
      </c>
      <c r="D1142" s="18">
        <f t="shared" si="126"/>
        <v>869932.73673842824</v>
      </c>
      <c r="E1142" s="18">
        <f>IF($A1142&gt;40,0,(E1108-MIN(MAX(F1141,0),E1108))+MIN(MAX(0,G1141-(E1108-MIN(MAX(F1141,0),E1108))),MAX(0,1*E1108-(F1141-MIN(MAX(F1141,0),E1108)))))</f>
        <v>75000</v>
      </c>
      <c r="F1142" s="18">
        <f>IF($A1142&gt;40,F1141,(F1141-E1108+E1142)*(1+$B$7))</f>
        <v>0</v>
      </c>
      <c r="G1142" s="18">
        <f t="shared" si="127"/>
        <v>-1558201.6341643338</v>
      </c>
      <c r="H1142" s="18">
        <f>IF($A1142&gt;40,0,(H1108-MIN(MAX(I1141,0),H1108))+MIN(MAX(0,J1141-(H1108-MIN(MAX(I1141,0),H1108))),MAX(0,1*H1108-(I1141-MIN(MAX(I1141,0),H1108)))))</f>
        <v>41101.825723647918</v>
      </c>
      <c r="I1142" s="18">
        <f>IF($A1142&gt;40,I1141,(I1141-H1108+H1142)*(1+$B$7))</f>
        <v>40806.954116224377</v>
      </c>
      <c r="J1142" s="18">
        <f t="shared" si="128"/>
        <v>247303.46408747684</v>
      </c>
      <c r="K1142" s="18">
        <f>IF($A1142&gt;40,0,(K1108-MIN(MAX(L1141,0),K1108))+MIN(MAX(0,M1141-(K1108-MIN(MAX(L1141,0),K1108))),MAX(0,1*K1108-(L1141-MIN(MAX(L1141,0),K1108)))))</f>
        <v>40838.931232479517</v>
      </c>
      <c r="L1142" s="18">
        <f>IF($A1142&gt;40,L1141,(L1141-K1108+K1142)*(1+$B$7))</f>
        <v>40545.94567561039</v>
      </c>
      <c r="M1142" s="18">
        <f t="shared" si="129"/>
        <v>262192.34898839419</v>
      </c>
      <c r="N1142" s="18">
        <f>IF($A1142&gt;40,0,(N1108-MIN(MAX(O1141,0),N1108))+MIN(MAX(0,P1141-(N1108-MIN(MAX(O1141,0),N1108))),MAX(0,1*N1108-(O1141-MIN(MAX(O1141,0),N1108)))))</f>
        <v>40838.962893707394</v>
      </c>
      <c r="O1142" s="18">
        <f>IF($A1142&gt;40,O1141,(O1141-N1108+N1142)*(1+$B$7))</f>
        <v>40545.977109695137</v>
      </c>
      <c r="P1142" s="18">
        <f t="shared" si="130"/>
        <v>262190.55587216729</v>
      </c>
      <c r="Q1142" s="18">
        <f>IF($A1142&gt;40,0,(Q1108-MIN(MAX(R1141,0),Q1108))+MIN(MAX(0,S1141-(Q1108-MIN(MAX(R1141,0),Q1108))),MAX(0,1*Q1108-(R1141-MIN(MAX(R1141,0),Q1108)))))</f>
        <v>40838.962901428436</v>
      </c>
      <c r="R1142" s="18">
        <f>IF($A1142&gt;40,R1141,(R1141-Q1108+Q1142)*(1+$B$7))</f>
        <v>40545.977117360795</v>
      </c>
      <c r="S1142" s="18">
        <f t="shared" si="131"/>
        <v>262190.55543489096</v>
      </c>
    </row>
    <row r="1143" spans="1:19">
      <c r="A1143" s="10">
        <f>33</f>
        <v>33</v>
      </c>
      <c r="B1143" s="18">
        <f>IF($A1143&gt;40,0,(B1108-MIN(MAX(C1142,0),B1108))+MIN(MAX(0,D1142-(B1108-MIN(MAX(C1142,0),B1108))),MAX(0,1*B1108-(C1142-MIN(MAX(C1142,0),B1108)))))</f>
        <v>30108</v>
      </c>
      <c r="C1143" s="18">
        <f>IF($A1143&gt;40,C1142,(C1142-B1108+B1143)*(1+$B$7))</f>
        <v>29892</v>
      </c>
      <c r="D1143" s="18">
        <f t="shared" si="126"/>
        <v>865019.47884058114</v>
      </c>
      <c r="E1143" s="18">
        <f>IF($A1143&gt;40,0,(E1108-MIN(MAX(F1142,0),E1108))+MIN(MAX(0,G1142-(E1108-MIN(MAX(F1142,0),E1108))),MAX(0,1*E1108-(F1142-MIN(MAX(F1142,0),E1108)))))</f>
        <v>75000</v>
      </c>
      <c r="F1143" s="18">
        <f>IF($A1143&gt;40,F1142,(F1142-E1108+E1143)*(1+$B$7))</f>
        <v>0</v>
      </c>
      <c r="G1143" s="18">
        <f t="shared" si="127"/>
        <v>-1682197.6831892638</v>
      </c>
      <c r="H1143" s="18">
        <f>IF($A1143&gt;40,0,(H1108-MIN(MAX(I1142,0),H1108))+MIN(MAX(0,J1142-(H1108-MIN(MAX(I1142,0),H1108))),MAX(0,1*H1108-(I1142-MIN(MAX(I1142,0),H1108)))))</f>
        <v>41101.825723647918</v>
      </c>
      <c r="I1143" s="18">
        <f>IF($A1143&gt;40,I1142,(I1142-H1108+H1143)*(1+$B$7))</f>
        <v>40806.954116224377</v>
      </c>
      <c r="J1143" s="18">
        <f t="shared" si="128"/>
        <v>212387.6875147438</v>
      </c>
      <c r="K1143" s="18">
        <f>IF($A1143&gt;40,0,(K1108-MIN(MAX(L1142,0),K1108))+MIN(MAX(0,M1142-(K1108-MIN(MAX(L1142,0),K1108))),MAX(0,1*K1108-(L1142-MIN(MAX(L1142,0),K1108)))))</f>
        <v>40838.931232479517</v>
      </c>
      <c r="L1143" s="18">
        <f>IF($A1143&gt;40,L1142,(L1142-K1108+K1143)*(1+$B$7))</f>
        <v>40545.94567561039</v>
      </c>
      <c r="M1143" s="18">
        <f t="shared" si="129"/>
        <v>227994.02028859212</v>
      </c>
      <c r="N1143" s="18">
        <f>IF($A1143&gt;40,0,(N1108-MIN(MAX(O1142,0),N1108))+MIN(MAX(0,P1142-(N1108-MIN(MAX(O1142,0),N1108))),MAX(0,1*N1108-(O1142-MIN(MAX(O1142,0),N1108)))))</f>
        <v>40838.962893707394</v>
      </c>
      <c r="O1143" s="18">
        <f>IF($A1143&gt;40,O1142,(O1142-N1108+N1143)*(1+$B$7))</f>
        <v>40545.977109695137</v>
      </c>
      <c r="P1143" s="18">
        <f t="shared" si="130"/>
        <v>227992.14076781369</v>
      </c>
      <c r="Q1143" s="18">
        <f>IF($A1143&gt;40,0,(Q1108-MIN(MAX(R1142,0),Q1108))+MIN(MAX(0,S1142-(Q1108-MIN(MAX(R1142,0),Q1108))),MAX(0,1*Q1108-(R1142-MIN(MAX(R1142,0),Q1108)))))</f>
        <v>40838.962901428436</v>
      </c>
      <c r="R1143" s="18">
        <f>IF($A1143&gt;40,R1142,(R1142-Q1108+Q1143)*(1+$B$7))</f>
        <v>40545.977117360795</v>
      </c>
      <c r="S1143" s="18">
        <f t="shared" si="131"/>
        <v>227992.14030946643</v>
      </c>
    </row>
    <row r="1144" spans="1:19">
      <c r="A1144" s="10">
        <f>34</f>
        <v>34</v>
      </c>
      <c r="B1144" s="18">
        <f>IF($A1144&gt;40,0,(B1108-MIN(MAX(C1143,0),B1108))+MIN(MAX(0,D1143-(B1108-MIN(MAX(C1143,0),B1108))),MAX(0,1*B1108-(C1143-MIN(MAX(C1143,0),B1108)))))</f>
        <v>30108</v>
      </c>
      <c r="C1144" s="18">
        <f>IF($A1144&gt;40,C1143,(C1143-B1108+B1144)*(1+$B$7))</f>
        <v>29892</v>
      </c>
      <c r="D1144" s="18">
        <f t="shared" si="126"/>
        <v>859958.82320579863</v>
      </c>
      <c r="E1144" s="18">
        <f>IF($A1144&gt;40,0,(E1108-MIN(MAX(F1143,0),E1108))+MIN(MAX(0,G1143-(E1108-MIN(MAX(F1143,0),E1108))),MAX(0,1*E1108-(F1143-MIN(MAX(F1143,0),E1108)))))</f>
        <v>75000</v>
      </c>
      <c r="F1144" s="18">
        <f>IF($A1144&gt;40,F1143,(F1143-E1108+E1144)*(1+$B$7))</f>
        <v>0</v>
      </c>
      <c r="G1144" s="18">
        <f t="shared" si="127"/>
        <v>-1809913.6136849418</v>
      </c>
      <c r="H1144" s="18">
        <f>IF($A1144&gt;40,0,(H1108-MIN(MAX(I1143,0),H1108))+MIN(MAX(0,J1143-(H1108-MIN(MAX(I1143,0),H1108))),MAX(0,1*H1108-(I1143-MIN(MAX(I1143,0),H1108)))))</f>
        <v>41101.825723647918</v>
      </c>
      <c r="I1144" s="18">
        <f>IF($A1144&gt;40,I1143,(I1143-H1108+H1144)*(1+$B$7))</f>
        <v>40806.954116224377</v>
      </c>
      <c r="J1144" s="18">
        <f t="shared" si="128"/>
        <v>176424.43764482875</v>
      </c>
      <c r="K1144" s="18">
        <f>IF($A1144&gt;40,0,(K1108-MIN(MAX(L1143,0),K1108))+MIN(MAX(0,M1143-(K1108-MIN(MAX(L1143,0),K1108))),MAX(0,1*K1108-(L1143-MIN(MAX(L1143,0),K1108)))))</f>
        <v>40838.931232479517</v>
      </c>
      <c r="L1144" s="18">
        <f>IF($A1144&gt;40,L1143,(L1143-K1108+K1144)*(1+$B$7))</f>
        <v>40545.94567561039</v>
      </c>
      <c r="M1144" s="18">
        <f t="shared" si="129"/>
        <v>192769.74172779598</v>
      </c>
      <c r="N1144" s="18">
        <f>IF($A1144&gt;40,0,(N1108-MIN(MAX(O1143,0),N1108))+MIN(MAX(0,P1143-(N1108-MIN(MAX(O1143,0),N1108))),MAX(0,1*N1108-(O1143-MIN(MAX(O1143,0),N1108)))))</f>
        <v>40838.962893707394</v>
      </c>
      <c r="O1144" s="18">
        <f>IF($A1144&gt;40,O1143,(O1143-N1108+N1144)*(1+$B$7))</f>
        <v>40545.977109695137</v>
      </c>
      <c r="P1144" s="18">
        <f t="shared" si="130"/>
        <v>192767.7732103295</v>
      </c>
      <c r="Q1144" s="18">
        <f>IF($A1144&gt;40,0,(Q1108-MIN(MAX(R1143,0),Q1108))+MIN(MAX(0,S1143-(Q1108-MIN(MAX(R1143,0),Q1108))),MAX(0,1*Q1108-(R1143-MIN(MAX(R1143,0),Q1108)))))</f>
        <v>40838.962901428436</v>
      </c>
      <c r="R1144" s="18">
        <f>IF($A1144&gt;40,R1143,(R1143-Q1108+Q1144)*(1+$B$7))</f>
        <v>40545.977117360795</v>
      </c>
      <c r="S1144" s="18">
        <f t="shared" si="131"/>
        <v>192767.77273027913</v>
      </c>
    </row>
    <row r="1145" spans="1:19">
      <c r="A1145" s="10">
        <f>35</f>
        <v>35</v>
      </c>
      <c r="B1145" s="18">
        <f>IF($A1145&gt;40,0,(B1108-MIN(MAX(C1144,0),B1108))+MIN(MAX(0,D1144-(B1108-MIN(MAX(C1144,0),B1108))),MAX(0,1*B1108-(C1144-MIN(MAX(C1144,0),B1108)))))</f>
        <v>30108</v>
      </c>
      <c r="C1145" s="18">
        <f>IF($A1145&gt;40,C1144,(C1144-B1108+B1145)*(1+$B$7))</f>
        <v>29892</v>
      </c>
      <c r="D1145" s="18">
        <f t="shared" si="126"/>
        <v>854746.34790197259</v>
      </c>
      <c r="E1145" s="18">
        <f>IF($A1145&gt;40,0,(E1108-MIN(MAX(F1144,0),E1108))+MIN(MAX(0,G1144-(E1108-MIN(MAX(F1144,0),E1108))),MAX(0,1*E1108-(F1144-MIN(MAX(F1144,0),E1108)))))</f>
        <v>75000</v>
      </c>
      <c r="F1145" s="18">
        <f>IF($A1145&gt;40,F1144,(F1144-E1108+E1145)*(1+$B$7))</f>
        <v>0</v>
      </c>
      <c r="G1145" s="18">
        <f t="shared" si="127"/>
        <v>-1941461.02209549</v>
      </c>
      <c r="H1145" s="18">
        <f>IF($A1145&gt;40,0,(H1108-MIN(MAX(I1144,0),H1108))+MIN(MAX(0,J1144-(H1108-MIN(MAX(I1144,0),H1108))),MAX(0,1*H1108-(I1144-MIN(MAX(I1144,0),H1108)))))</f>
        <v>41101.825723647918</v>
      </c>
      <c r="I1145" s="18">
        <f>IF($A1145&gt;40,I1144,(I1144-H1108+H1145)*(1+$B$7))</f>
        <v>40806.954116224377</v>
      </c>
      <c r="J1145" s="18">
        <f t="shared" si="128"/>
        <v>139382.29027881625</v>
      </c>
      <c r="K1145" s="18">
        <f>IF($A1145&gt;40,0,(K1108-MIN(MAX(L1144,0),K1108))+MIN(MAX(0,M1144-(K1108-MIN(MAX(L1144,0),K1108))),MAX(0,1*K1108-(L1144-MIN(MAX(L1144,0),K1108)))))</f>
        <v>40838.931232479517</v>
      </c>
      <c r="L1145" s="18">
        <f>IF($A1145&gt;40,L1144,(L1144-K1108+K1145)*(1+$B$7))</f>
        <v>40545.94567561039</v>
      </c>
      <c r="M1145" s="18">
        <f t="shared" si="129"/>
        <v>156488.73481017596</v>
      </c>
      <c r="N1145" s="18">
        <f>IF($A1145&gt;40,0,(N1108-MIN(MAX(O1144,0),N1108))+MIN(MAX(0,P1144-(N1108-MIN(MAX(O1144,0),N1108))),MAX(0,1*N1108-(O1144-MIN(MAX(O1144,0),N1108)))))</f>
        <v>40838.962893707394</v>
      </c>
      <c r="O1145" s="18">
        <f>IF($A1145&gt;40,O1144,(O1144-N1108+N1145)*(1+$B$7))</f>
        <v>40545.977109695137</v>
      </c>
      <c r="P1145" s="18">
        <f t="shared" si="130"/>
        <v>156486.67462612077</v>
      </c>
      <c r="Q1145" s="18">
        <f>IF($A1145&gt;40,0,(Q1108-MIN(MAX(R1144,0),Q1108))+MIN(MAX(0,S1144-(Q1108-MIN(MAX(R1144,0),Q1108))),MAX(0,1*Q1108-(R1144-MIN(MAX(R1144,0),Q1108)))))</f>
        <v>40838.962901428436</v>
      </c>
      <c r="R1145" s="18">
        <f>IF($A1145&gt;40,R1144,(R1144-Q1108+Q1145)*(1+$B$7))</f>
        <v>40545.977117360795</v>
      </c>
      <c r="S1145" s="18">
        <f t="shared" si="131"/>
        <v>156486.67412371622</v>
      </c>
    </row>
    <row r="1146" spans="1:19">
      <c r="A1146" s="10">
        <f>36</f>
        <v>36</v>
      </c>
      <c r="B1146" s="18">
        <f>IF($A1146&gt;40,0,(B1108-MIN(MAX(C1145,0),B1108))+MIN(MAX(0,D1145-(B1108-MIN(MAX(C1145,0),B1108))),MAX(0,1*B1108-(C1145-MIN(MAX(C1145,0),B1108)))))</f>
        <v>30108</v>
      </c>
      <c r="C1146" s="18">
        <f>IF($A1146&gt;40,C1145,(C1145-B1108+B1146)*(1+$B$7))</f>
        <v>29892</v>
      </c>
      <c r="D1146" s="18">
        <f t="shared" si="126"/>
        <v>849377.49833903182</v>
      </c>
      <c r="E1146" s="18">
        <f>IF($A1146&gt;40,0,(E1108-MIN(MAX(F1145,0),E1108))+MIN(MAX(0,G1145-(E1108-MIN(MAX(F1145,0),E1108))),MAX(0,1*E1108-(F1145-MIN(MAX(F1145,0),E1108)))))</f>
        <v>75000</v>
      </c>
      <c r="F1146" s="18">
        <f>IF($A1146&gt;40,F1145,(F1145-E1108+E1146)*(1+$B$7))</f>
        <v>0</v>
      </c>
      <c r="G1146" s="18">
        <f t="shared" si="127"/>
        <v>-2076954.8527583547</v>
      </c>
      <c r="H1146" s="18">
        <f>IF($A1146&gt;40,0,(H1108-MIN(MAX(I1145,0),H1108))+MIN(MAX(0,J1145-(H1108-MIN(MAX(I1145,0),H1108))),MAX(0,1*H1108-(I1145-MIN(MAX(I1145,0),H1108)))))</f>
        <v>41101.825723647918</v>
      </c>
      <c r="I1146" s="18">
        <f>IF($A1146&gt;40,I1145,(I1145-H1108+H1146)*(1+$B$7))</f>
        <v>40806.954116224377</v>
      </c>
      <c r="J1146" s="18">
        <f t="shared" si="128"/>
        <v>101228.87849182337</v>
      </c>
      <c r="K1146" s="18">
        <f>IF($A1146&gt;40,0,(K1108-MIN(MAX(L1145,0),K1108))+MIN(MAX(0,M1145-(K1108-MIN(MAX(L1145,0),K1108))),MAX(0,1*K1108-(L1145-MIN(MAX(L1145,0),K1108)))))</f>
        <v>40838.931232479517</v>
      </c>
      <c r="L1146" s="18">
        <f>IF($A1146&gt;40,L1145,(L1145-K1108+K1146)*(1+$B$7))</f>
        <v>40545.94567561039</v>
      </c>
      <c r="M1146" s="18">
        <f t="shared" si="129"/>
        <v>119119.29768502734</v>
      </c>
      <c r="N1146" s="18">
        <f>IF($A1146&gt;40,0,(N1108-MIN(MAX(O1145,0),N1108))+MIN(MAX(0,P1145-(N1108-MIN(MAX(O1145,0),N1108))),MAX(0,1*N1108-(O1145-MIN(MAX(O1145,0),N1108)))))</f>
        <v>40838.962893707394</v>
      </c>
      <c r="O1146" s="18">
        <f>IF($A1146&gt;40,O1145,(O1145-N1108+N1146)*(1+$B$7))</f>
        <v>40545.977109695137</v>
      </c>
      <c r="P1146" s="18">
        <f t="shared" si="130"/>
        <v>119117.1430843858</v>
      </c>
      <c r="Q1146" s="18">
        <f>IF($A1146&gt;40,0,(Q1108-MIN(MAX(R1145,0),Q1108))+MIN(MAX(0,S1145-(Q1108-MIN(MAX(R1145,0),Q1108))),MAX(0,1*Q1108-(R1145-MIN(MAX(R1145,0),Q1108)))))</f>
        <v>40838.962901428436</v>
      </c>
      <c r="R1146" s="18">
        <f>IF($A1146&gt;40,R1145,(R1145-Q1108+Q1146)*(1+$B$7))</f>
        <v>40545.977117360795</v>
      </c>
      <c r="S1146" s="18">
        <f t="shared" si="131"/>
        <v>119117.14255895643</v>
      </c>
    </row>
    <row r="1147" spans="1:19">
      <c r="A1147" s="10">
        <f>37</f>
        <v>37</v>
      </c>
      <c r="B1147" s="18">
        <f>IF($A1147&gt;40,0,(B1108-MIN(MAX(C1146,0),B1108))+MIN(MAX(0,D1146-(B1108-MIN(MAX(C1146,0),B1108))),MAX(0,1*B1108-(C1146-MIN(MAX(C1146,0),B1108)))))</f>
        <v>30108</v>
      </c>
      <c r="C1147" s="18">
        <f>IF($A1147&gt;40,C1146,(C1146-B1108+B1147)*(1+$B$7))</f>
        <v>29892</v>
      </c>
      <c r="D1147" s="18">
        <f t="shared" si="126"/>
        <v>843847.58328920277</v>
      </c>
      <c r="E1147" s="18">
        <f>IF($A1147&gt;40,0,(E1108-MIN(MAX(F1146,0),E1108))+MIN(MAX(0,G1146-(E1108-MIN(MAX(F1146,0),E1108))),MAX(0,1*E1108-(F1146-MIN(MAX(F1146,0),E1108)))))</f>
        <v>75000</v>
      </c>
      <c r="F1147" s="18">
        <f>IF($A1147&gt;40,F1146,(F1146-E1108+E1147)*(1+$B$7))</f>
        <v>0</v>
      </c>
      <c r="G1147" s="18">
        <f t="shared" si="127"/>
        <v>-2216513.4983411054</v>
      </c>
      <c r="H1147" s="18">
        <f>IF($A1147&gt;40,0,(H1108-MIN(MAX(I1146,0),H1108))+MIN(MAX(0,J1146-(H1108-MIN(MAX(I1146,0),H1108))),MAX(0,1*H1108-(I1146-MIN(MAX(I1146,0),H1108)))))</f>
        <v>41101.825723647918</v>
      </c>
      <c r="I1147" s="18">
        <f>IF($A1147&gt;40,I1146,(I1146-H1108+H1147)*(1+$B$7))</f>
        <v>40806.954116224377</v>
      </c>
      <c r="J1147" s="18">
        <f t="shared" si="128"/>
        <v>61930.86435122072</v>
      </c>
      <c r="K1147" s="18">
        <f>IF($A1147&gt;40,0,(K1108-MIN(MAX(L1146,0),K1108))+MIN(MAX(0,M1146-(K1108-MIN(MAX(L1146,0),K1108))),MAX(0,1*K1108-(L1146-MIN(MAX(L1146,0),K1108)))))</f>
        <v>40838.931232479517</v>
      </c>
      <c r="L1147" s="18">
        <f>IF($A1147&gt;40,L1146,(L1146-K1108+K1147)*(1+$B$7))</f>
        <v>40545.94567561039</v>
      </c>
      <c r="M1147" s="18">
        <f t="shared" si="129"/>
        <v>80628.777446124266</v>
      </c>
      <c r="N1147" s="18">
        <f>IF($A1147&gt;40,0,(N1108-MIN(MAX(O1146,0),N1108))+MIN(MAX(0,P1146-(N1108-MIN(MAX(O1146,0),N1108))),MAX(0,1*N1108-(O1146-MIN(MAX(O1146,0),N1108)))))</f>
        <v>40838.962893707394</v>
      </c>
      <c r="O1147" s="18">
        <f>IF($A1147&gt;40,O1146,(O1146-N1108+N1147)*(1+$B$7))</f>
        <v>40545.977109695137</v>
      </c>
      <c r="P1147" s="18">
        <f t="shared" si="130"/>
        <v>80626.525596398744</v>
      </c>
      <c r="Q1147" s="18">
        <f>IF($A1147&gt;40,0,(Q1108-MIN(MAX(R1146,0),Q1108))+MIN(MAX(0,S1146-(Q1108-MIN(MAX(R1146,0),Q1108))),MAX(0,1*Q1108-(R1146-MIN(MAX(R1146,0),Q1108)))))</f>
        <v>40838.962901428436</v>
      </c>
      <c r="R1147" s="18">
        <f>IF($A1147&gt;40,R1146,(R1146-Q1108+Q1147)*(1+$B$7))</f>
        <v>40545.977117360795</v>
      </c>
      <c r="S1147" s="18">
        <f t="shared" si="131"/>
        <v>80626.525047253846</v>
      </c>
    </row>
    <row r="1148" spans="1:19">
      <c r="A1148" s="10">
        <f>38</f>
        <v>38</v>
      </c>
      <c r="B1148" s="18">
        <f>IF($A1148&gt;40,0,(B1108-MIN(MAX(C1147,0),B1108))+MIN(MAX(0,D1147-(B1108-MIN(MAX(C1147,0),B1108))),MAX(0,1*B1108-(C1147-MIN(MAX(C1147,0),B1108)))))</f>
        <v>30108</v>
      </c>
      <c r="C1148" s="18">
        <f>IF($A1148&gt;40,C1147,(C1147-B1108+B1148)*(1+$B$7))</f>
        <v>29892</v>
      </c>
      <c r="D1148" s="18">
        <f t="shared" si="126"/>
        <v>838151.77078787889</v>
      </c>
      <c r="E1148" s="18">
        <f>IF($A1148&gt;40,0,(E1108-MIN(MAX(F1147,0),E1108))+MIN(MAX(0,G1147-(E1108-MIN(MAX(F1147,0),E1108))),MAX(0,1*E1108-(F1147-MIN(MAX(F1147,0),E1108)))))</f>
        <v>75000</v>
      </c>
      <c r="F1148" s="18">
        <f>IF($A1148&gt;40,F1147,(F1147-E1108+E1148)*(1+$B$7))</f>
        <v>0</v>
      </c>
      <c r="G1148" s="18">
        <f t="shared" si="127"/>
        <v>-2360258.9032913386</v>
      </c>
      <c r="H1148" s="18">
        <f>IF($A1148&gt;40,0,(H1108-MIN(MAX(I1147,0),H1108))+MIN(MAX(0,J1147-(H1108-MIN(MAX(I1147,0),H1108))),MAX(0,1*H1108-(I1147-MIN(MAX(I1147,0),H1108)))))</f>
        <v>41101.825723647918</v>
      </c>
      <c r="I1148" s="18">
        <f>IF($A1148&gt;40,I1147,(I1147-H1108+H1148)*(1+$B$7))</f>
        <v>40806.954116224377</v>
      </c>
      <c r="J1148" s="18">
        <f t="shared" si="128"/>
        <v>21453.909786399985</v>
      </c>
      <c r="K1148" s="18">
        <f>IF($A1148&gt;40,0,(K1108-MIN(MAX(L1147,0),K1108))+MIN(MAX(0,M1147-(K1108-MIN(MAX(L1147,0),K1108))),MAX(0,1*K1108-(L1147-MIN(MAX(L1147,0),K1108)))))</f>
        <v>40838.931232479517</v>
      </c>
      <c r="L1148" s="18">
        <f>IF($A1148&gt;40,L1147,(L1147-K1108+K1148)*(1+$B$7))</f>
        <v>40545.94567561039</v>
      </c>
      <c r="M1148" s="18">
        <f t="shared" si="129"/>
        <v>40983.541600054094</v>
      </c>
      <c r="N1148" s="18">
        <f>IF($A1148&gt;40,0,(N1108-MIN(MAX(O1147,0),N1108))+MIN(MAX(0,P1147-(N1108-MIN(MAX(O1147,0),N1108))),MAX(0,1*N1108-(O1147-MIN(MAX(O1147,0),N1108)))))</f>
        <v>40838.962893707394</v>
      </c>
      <c r="O1148" s="18">
        <f>IF($A1148&gt;40,O1147,(O1147-N1108+N1148)*(1+$B$7))</f>
        <v>40545.977109695137</v>
      </c>
      <c r="P1148" s="18">
        <f t="shared" si="130"/>
        <v>40981.189583772095</v>
      </c>
      <c r="Q1148" s="18">
        <f>IF($A1148&gt;40,0,(Q1108-MIN(MAX(R1147,0),Q1108))+MIN(MAX(0,S1147-(Q1108-MIN(MAX(R1147,0),Q1108))),MAX(0,1*Q1108-(R1147-MIN(MAX(R1147,0),Q1108)))))</f>
        <v>40838.962901428436</v>
      </c>
      <c r="R1148" s="18">
        <f>IF($A1148&gt;40,R1147,(R1147-Q1108+Q1148)*(1+$B$7))</f>
        <v>40545.977117360795</v>
      </c>
      <c r="S1148" s="18">
        <f t="shared" si="131"/>
        <v>40981.189010200171</v>
      </c>
    </row>
    <row r="1149" spans="1:19">
      <c r="A1149" s="10">
        <f>39</f>
        <v>39</v>
      </c>
      <c r="B1149" s="18">
        <f>IF($A1149&gt;40,0,(B1108-MIN(MAX(C1148,0),B1108))+MIN(MAX(0,D1148-(B1108-MIN(MAX(C1148,0),B1108))),MAX(0,1*B1108-(C1148-MIN(MAX(C1148,0),B1108)))))</f>
        <v>30108</v>
      </c>
      <c r="C1149" s="18">
        <f>IF($A1149&gt;40,C1148,(C1148-B1108+B1149)*(1+$B$7))</f>
        <v>29892</v>
      </c>
      <c r="D1149" s="18">
        <f t="shared" si="126"/>
        <v>832285.08391151531</v>
      </c>
      <c r="E1149" s="18">
        <f>IF($A1149&gt;40,0,(E1108-MIN(MAX(F1148,0),E1108))+MIN(MAX(0,G1148-(E1108-MIN(MAX(F1148,0),E1108))),MAX(0,1*E1108-(F1148-MIN(MAX(F1148,0),E1108)))))</f>
        <v>75000</v>
      </c>
      <c r="F1149" s="18">
        <f>IF($A1149&gt;40,F1148,(F1148-E1108+E1149)*(1+$B$7))</f>
        <v>0</v>
      </c>
      <c r="G1149" s="18">
        <f t="shared" si="127"/>
        <v>-2508316.6703900788</v>
      </c>
      <c r="H1149" s="18">
        <f>IF($A1149&gt;40,0,(H1108-MIN(MAX(I1148,0),H1108))+MIN(MAX(0,J1148-(H1108-MIN(MAX(I1148,0),H1108))),MAX(0,1*H1108-(I1148-MIN(MAX(I1148,0),H1108)))))</f>
        <v>21453.909786399985</v>
      </c>
      <c r="I1149" s="18">
        <f>IF($A1149&gt;40,I1148,(I1148-H1108+H1149)*(1+$B$7))</f>
        <v>21229.770676350534</v>
      </c>
      <c r="J1149" s="18">
        <f t="shared" si="128"/>
        <v>0</v>
      </c>
      <c r="K1149" s="18">
        <f>IF($A1149&gt;40,0,(K1108-MIN(MAX(L1148,0),K1108))+MIN(MAX(0,M1148-(K1108-MIN(MAX(L1148,0),K1108))),MAX(0,1*K1108-(L1148-MIN(MAX(L1148,0),K1108)))))</f>
        <v>40838.931232479517</v>
      </c>
      <c r="L1149" s="18">
        <f>IF($A1149&gt;40,L1148,(L1148-K1108+K1149)*(1+$B$7))</f>
        <v>40545.94567561039</v>
      </c>
      <c r="M1149" s="18">
        <f t="shared" si="129"/>
        <v>148.94867860181353</v>
      </c>
      <c r="N1149" s="18">
        <f>IF($A1149&gt;40,0,(N1108-MIN(MAX(O1148,0),N1108))+MIN(MAX(0,P1148-(N1108-MIN(MAX(O1148,0),N1108))),MAX(0,1*N1108-(O1148-MIN(MAX(O1148,0),N1108)))))</f>
        <v>40838.962893707394</v>
      </c>
      <c r="O1149" s="18">
        <f>IF($A1149&gt;40,O1148,(O1148-N1108+N1149)*(1+$B$7))</f>
        <v>40545.977109695137</v>
      </c>
      <c r="P1149" s="18">
        <f t="shared" si="130"/>
        <v>146.493490766642</v>
      </c>
      <c r="Q1149" s="18">
        <f>IF($A1149&gt;40,0,(Q1108-MIN(MAX(R1148,0),Q1108))+MIN(MAX(0,S1148-(Q1108-MIN(MAX(R1148,0),Q1108))),MAX(0,1*Q1108-(R1148-MIN(MAX(R1148,0),Q1108)))))</f>
        <v>40838.962901428436</v>
      </c>
      <c r="R1149" s="18">
        <f>IF($A1149&gt;40,R1148,(R1148-Q1108+Q1149)*(1+$B$7))</f>
        <v>40545.977117360795</v>
      </c>
      <c r="S1149" s="18">
        <f t="shared" si="131"/>
        <v>146.49289203488632</v>
      </c>
    </row>
    <row r="1150" spans="1:19">
      <c r="A1150" s="10">
        <f>40</f>
        <v>40</v>
      </c>
      <c r="B1150" s="18">
        <f>IF($A1150&gt;40,0,(B1108-MIN(MAX(C1149,0),B1108))+MIN(MAX(0,D1149-(B1108-MIN(MAX(C1149,0),B1108))),MAX(0,1*B1108-(C1149-MIN(MAX(C1149,0),B1108)))))</f>
        <v>30108</v>
      </c>
      <c r="C1150" s="18">
        <f>IF($A1150&gt;40,C1149,(C1149-B1108+B1150)*(1+$B$7))</f>
        <v>29892</v>
      </c>
      <c r="D1150" s="18">
        <f t="shared" si="126"/>
        <v>826242.39642886084</v>
      </c>
      <c r="E1150" s="18">
        <f>IF($A1150&gt;40,0,(E1108-MIN(MAX(F1149,0),E1108))+MIN(MAX(0,G1149-(E1108-MIN(MAX(F1149,0),E1108))),MAX(0,1*E1108-(F1149-MIN(MAX(F1149,0),E1108)))))</f>
        <v>75000</v>
      </c>
      <c r="F1150" s="18">
        <f>IF($A1150&gt;40,F1149,(F1149-E1108+E1150)*(1+$B$7))</f>
        <v>0</v>
      </c>
      <c r="G1150" s="18">
        <f t="shared" si="127"/>
        <v>-2660816.1705017812</v>
      </c>
      <c r="H1150" s="18">
        <f>IF($A1150&gt;40,0,(H1108-MIN(MAX(I1149,0),H1108))+MIN(MAX(0,J1149-(H1108-MIN(MAX(I1149,0),H1108))),MAX(0,1*H1108-(I1149-MIN(MAX(I1149,0),H1108)))))</f>
        <v>19724.619243585614</v>
      </c>
      <c r="I1150" s="18">
        <f>IF($A1150&gt;40,I1149,(I1149-H1108+H1150)*(1+$B$7))</f>
        <v>0</v>
      </c>
      <c r="J1150" s="18">
        <f t="shared" si="128"/>
        <v>-20316.357820893183</v>
      </c>
      <c r="K1150" s="18">
        <f>IF($A1150&gt;40,0,(K1108-MIN(MAX(L1149,0),K1108))+MIN(MAX(0,M1149-(K1108-MIN(MAX(L1149,0),K1108))),MAX(0,1*K1108-(L1149-MIN(MAX(L1149,0),K1108)))))</f>
        <v>148.94867860181353</v>
      </c>
      <c r="L1150" s="18">
        <f>IF($A1150&gt;40,L1149,(L1149-K1108+K1150)*(1+$B$7))</f>
        <v>2.4470589266477658</v>
      </c>
      <c r="M1150" s="18">
        <f t="shared" si="129"/>
        <v>0</v>
      </c>
      <c r="N1150" s="18">
        <f>IF($A1150&gt;40,0,(N1108-MIN(MAX(O1149,0),N1108))+MIN(MAX(0,P1149-(N1108-MIN(MAX(O1149,0),N1108))),MAX(0,1*N1108-(O1149-MIN(MAX(O1149,0),N1108)))))</f>
        <v>146.493490766642</v>
      </c>
      <c r="O1150" s="18">
        <f>IF($A1150&gt;40,O1149,(O1149-N1108+N1150)*(1+$B$7))</f>
        <v>5.9660497576229544E-4</v>
      </c>
      <c r="P1150" s="18">
        <f t="shared" si="130"/>
        <v>0</v>
      </c>
      <c r="Q1150" s="18">
        <f>IF($A1150&gt;40,0,(Q1108-MIN(MAX(R1149,0),Q1108))+MIN(MAX(0,S1149-(Q1108-MIN(MAX(R1149,0),Q1108))),MAX(0,1*Q1108-(R1149-MIN(MAX(R1149,0),Q1108)))))</f>
        <v>146.49289203488632</v>
      </c>
      <c r="R1150" s="18">
        <f>IF($A1150&gt;40,R1149,(R1149-Q1108+Q1150)*(1+$B$7))</f>
        <v>1.061807256519387E-9</v>
      </c>
      <c r="S1150" s="18">
        <f t="shared" si="131"/>
        <v>0</v>
      </c>
    </row>
    <row r="1151" spans="1:19">
      <c r="B1151" s="18">
        <f>C1150+D1150</f>
        <v>856134.39642886084</v>
      </c>
      <c r="E1151" s="18">
        <f>F1150+G1150</f>
        <v>-2660816.1705017812</v>
      </c>
      <c r="H1151" s="18">
        <f>I1150+J1150</f>
        <v>-20316.357820893183</v>
      </c>
      <c r="K1151" s="18">
        <f>L1150+M1150</f>
        <v>2.4470589266477658</v>
      </c>
      <c r="N1151" s="18">
        <f>O1150+P1150</f>
        <v>5.9660497576229544E-4</v>
      </c>
      <c r="Q1151" s="18">
        <f>R1150+S1150</f>
        <v>1.061807256519387E-9</v>
      </c>
    </row>
    <row r="1152" spans="1:19">
      <c r="A1152" s="5" t="s">
        <v>266</v>
      </c>
      <c r="B1152" s="18">
        <f>IFERROR(Q1108-Q1151*(Q1108-N1108)/(Q1151-N1151),Q1108)</f>
        <v>40692.47000939463</v>
      </c>
    </row>
    <row r="1154" spans="1:19">
      <c r="A1154" s="2" t="s">
        <v>288</v>
      </c>
    </row>
    <row r="1155" spans="1:19">
      <c r="B1155" s="9">
        <f>0.03*$B$5</f>
        <v>30000</v>
      </c>
      <c r="E1155" s="9">
        <f>0.075*$B$5</f>
        <v>75000</v>
      </c>
      <c r="H1155" s="18">
        <f>IFERROR(E1155-E1198*(E1155-B1155)/(E1198-B1198),E1155)</f>
        <v>39951.046932869271</v>
      </c>
      <c r="K1155" s="18">
        <f>IFERROR(H1155-H1198*(H1155-E1155)/(H1198-E1198),H1155)</f>
        <v>39478.306746443355</v>
      </c>
      <c r="N1155" s="18">
        <f>IFERROR(K1155-K1198*(K1155-H1155)/(K1198-H1198),K1155)</f>
        <v>39478.323629748527</v>
      </c>
      <c r="Q1155" s="18">
        <f>IFERROR(N1155-N1198*(N1155-K1155)/(N1198-K1198),N1155)</f>
        <v>39478.323636428249</v>
      </c>
    </row>
    <row r="1156" spans="1:19">
      <c r="A1156" s="25" t="s">
        <v>262</v>
      </c>
      <c r="B1156" s="25" t="s">
        <v>263</v>
      </c>
      <c r="C1156" s="25" t="s">
        <v>264</v>
      </c>
      <c r="D1156" s="25" t="s">
        <v>265</v>
      </c>
      <c r="E1156" s="25" t="s">
        <v>263</v>
      </c>
      <c r="F1156" s="25" t="s">
        <v>264</v>
      </c>
      <c r="G1156" s="25" t="s">
        <v>265</v>
      </c>
      <c r="H1156" s="25" t="s">
        <v>263</v>
      </c>
      <c r="I1156" s="25" t="s">
        <v>264</v>
      </c>
      <c r="J1156" s="25" t="s">
        <v>265</v>
      </c>
      <c r="K1156" s="25" t="s">
        <v>263</v>
      </c>
      <c r="L1156" s="25" t="s">
        <v>264</v>
      </c>
      <c r="M1156" s="25" t="s">
        <v>265</v>
      </c>
      <c r="N1156" s="25" t="s">
        <v>263</v>
      </c>
      <c r="O1156" s="25" t="s">
        <v>264</v>
      </c>
      <c r="P1156" s="25" t="s">
        <v>265</v>
      </c>
      <c r="Q1156" s="25" t="s">
        <v>263</v>
      </c>
      <c r="R1156" s="25" t="s">
        <v>264</v>
      </c>
      <c r="S1156" s="25" t="s">
        <v>265</v>
      </c>
    </row>
    <row r="1157" spans="1:19">
      <c r="A1157" s="3">
        <v>0</v>
      </c>
      <c r="C1157" s="18">
        <f>MIN(2*B1155,$B$5)</f>
        <v>60000</v>
      </c>
      <c r="D1157" s="18">
        <f>$B$5-C1157</f>
        <v>940000</v>
      </c>
      <c r="F1157" s="18">
        <f>MIN(2*E1155,$B$5)</f>
        <v>150000</v>
      </c>
      <c r="G1157" s="18">
        <f>$B$5-F1157</f>
        <v>850000</v>
      </c>
      <c r="I1157" s="18">
        <f>MIN(2*H1155,$B$5)</f>
        <v>79902.093865738541</v>
      </c>
      <c r="J1157" s="18">
        <f>$B$5-I1157</f>
        <v>920097.90613426152</v>
      </c>
      <c r="L1157" s="18">
        <f>MIN(2*K1155,$B$5)</f>
        <v>78956.61349288671</v>
      </c>
      <c r="M1157" s="18">
        <f>$B$5-L1157</f>
        <v>921043.38650711323</v>
      </c>
      <c r="O1157" s="18">
        <f>MIN(2*N1155,$B$5)</f>
        <v>78956.647259497055</v>
      </c>
      <c r="P1157" s="18">
        <f>$B$5-O1157</f>
        <v>921043.35274050292</v>
      </c>
      <c r="R1157" s="18">
        <f>MIN(2*Q1155,$B$5)</f>
        <v>78956.647272856499</v>
      </c>
      <c r="S1157" s="18">
        <f>$B$5-R1157</f>
        <v>921043.35272714356</v>
      </c>
    </row>
    <row r="1158" spans="1:19">
      <c r="A1158" s="10">
        <f>1</f>
        <v>1</v>
      </c>
      <c r="B1158" s="18">
        <f>IF($A1158&gt;40,0,(B1155-MIN(MAX(C1157,0),B1155))+MIN(MAX(0,D1157-(B1155-MIN(MAX(C1157,0),B1155))),MAX(0,2*B1155-(C1157-MIN(MAX(C1157,0),B1155)))))</f>
        <v>30000</v>
      </c>
      <c r="C1158" s="18">
        <f>IF($A1158&gt;40,C1157,(C1157-B1155+B1158)*(1+$B$7))</f>
        <v>59784</v>
      </c>
      <c r="D1158" s="18">
        <f t="shared" ref="D1158:D1197" si="132">IF($A1158&gt;40,D1157,(D1157-B1158)*(1+$B$6))</f>
        <v>937300</v>
      </c>
      <c r="E1158" s="18">
        <f>IF($A1158&gt;40,0,(E1155-MIN(MAX(F1157,0),E1155))+MIN(MAX(0,G1157-(E1155-MIN(MAX(F1157,0),E1155))),MAX(0,2*E1155-(F1157-MIN(MAX(F1157,0),E1155)))))</f>
        <v>75000</v>
      </c>
      <c r="F1158" s="18">
        <f>IF($A1158&gt;40,F1157,(F1157-E1155+E1158)*(1+$B$7))</f>
        <v>149460</v>
      </c>
      <c r="G1158" s="18">
        <f t="shared" ref="G1158:G1197" si="133">IF($A1158&gt;40,G1157,(G1157-E1158)*(1+$B$6))</f>
        <v>798250</v>
      </c>
      <c r="H1158" s="18">
        <f>IF($A1158&gt;40,0,(H1155-MIN(MAX(I1157,0),H1155))+MIN(MAX(0,J1157-(H1155-MIN(MAX(I1157,0),H1155))),MAX(0,2*H1155-(I1157-MIN(MAX(I1157,0),H1155)))))</f>
        <v>39951.046932869271</v>
      </c>
      <c r="I1158" s="18">
        <f>IF($A1158&gt;40,I1157,(I1157-H1155+H1158)*(1+$B$7))</f>
        <v>79614.446327821875</v>
      </c>
      <c r="J1158" s="18">
        <f t="shared" ref="J1158:J1197" si="134">IF($A1158&gt;40,J1157,(J1157-H1158)*(1+$B$6))</f>
        <v>906551.26497743407</v>
      </c>
      <c r="K1158" s="18">
        <f>IF($A1158&gt;40,0,(K1155-MIN(MAX(L1157,0),K1155))+MIN(MAX(0,M1157-(K1155-MIN(MAX(L1157,0),K1155))),MAX(0,2*K1155-(L1157-MIN(MAX(L1157,0),K1155)))))</f>
        <v>39478.306746443355</v>
      </c>
      <c r="L1158" s="18">
        <f>IF($A1158&gt;40,L1157,(L1157-K1155+K1158)*(1+$B$7))</f>
        <v>78672.369684312318</v>
      </c>
      <c r="M1158" s="18">
        <f t="shared" ref="M1158:M1197" si="135">IF($A1158&gt;40,M1157,(M1157-K1158)*(1+$B$6))</f>
        <v>908012.03215349</v>
      </c>
      <c r="N1158" s="18">
        <f>IF($A1158&gt;40,0,(N1155-MIN(MAX(O1157,0),N1155))+MIN(MAX(0,P1157-(N1155-MIN(MAX(O1157,0),N1155))),MAX(0,2*N1155-(O1157-MIN(MAX(O1157,0),N1155)))))</f>
        <v>39478.323629748527</v>
      </c>
      <c r="O1158" s="18">
        <f>IF($A1158&gt;40,O1157,(O1157-N1155+N1158)*(1+$B$7))</f>
        <v>78672.40332936286</v>
      </c>
      <c r="P1158" s="18">
        <f t="shared" ref="P1158:P1197" si="136">IF($A1158&gt;40,P1157,(P1157-N1158)*(1+$B$6))</f>
        <v>908011.97998407704</v>
      </c>
      <c r="Q1158" s="18">
        <f>IF($A1158&gt;40,0,(Q1155-MIN(MAX(R1157,0),Q1155))+MIN(MAX(0,S1157-(Q1155-MIN(MAX(R1157,0),Q1155))),MAX(0,2*Q1155-(R1157-MIN(MAX(R1157,0),Q1155)))))</f>
        <v>39478.323636428249</v>
      </c>
      <c r="R1158" s="18">
        <f>IF($A1158&gt;40,R1157,(R1157-Q1155+Q1158)*(1+$B$7))</f>
        <v>78672.40334267421</v>
      </c>
      <c r="S1158" s="18">
        <f t="shared" ref="S1158:S1197" si="137">IF($A1158&gt;40,S1157,(S1157-Q1158)*(1+$B$6))</f>
        <v>908011.97996343684</v>
      </c>
    </row>
    <row r="1159" spans="1:19">
      <c r="A1159" s="10">
        <f>2</f>
        <v>2</v>
      </c>
      <c r="B1159" s="18">
        <f>IF($A1159&gt;40,0,(B1155-MIN(MAX(C1158,0),B1155))+MIN(MAX(0,D1158-(B1155-MIN(MAX(C1158,0),B1155))),MAX(0,2*B1155-(C1158-MIN(MAX(C1158,0),B1155)))))</f>
        <v>30216</v>
      </c>
      <c r="C1159" s="18">
        <f>IF($A1159&gt;40,C1158,(C1158-B1155+B1159)*(1+$B$7))</f>
        <v>59784</v>
      </c>
      <c r="D1159" s="18">
        <f t="shared" si="132"/>
        <v>934296.52</v>
      </c>
      <c r="E1159" s="18">
        <f>IF($A1159&gt;40,0,(E1155-MIN(MAX(F1158,0),E1155))+MIN(MAX(0,G1158-(E1155-MIN(MAX(F1158,0),E1155))),MAX(0,2*E1155-(F1158-MIN(MAX(F1158,0),E1155)))))</f>
        <v>75540</v>
      </c>
      <c r="F1159" s="18">
        <f>IF($A1159&gt;40,F1158,(F1158-E1155+E1159)*(1+$B$7))</f>
        <v>149460</v>
      </c>
      <c r="G1159" s="18">
        <f t="shared" si="133"/>
        <v>744391.3</v>
      </c>
      <c r="H1159" s="18">
        <f>IF($A1159&gt;40,0,(H1155-MIN(MAX(I1158,0),H1155))+MIN(MAX(0,J1158-(H1155-MIN(MAX(I1158,0),H1155))),MAX(0,2*H1155-(I1158-MIN(MAX(I1158,0),H1155)))))</f>
        <v>40238.694470785937</v>
      </c>
      <c r="I1159" s="18">
        <f>IF($A1159&gt;40,I1158,(I1158-H1155+H1159)*(1+$B$7))</f>
        <v>79614.446327821875</v>
      </c>
      <c r="J1159" s="18">
        <f t="shared" si="134"/>
        <v>892301.94762184762</v>
      </c>
      <c r="K1159" s="18">
        <f>IF($A1159&gt;40,0,(K1155-MIN(MAX(L1158,0),K1155))+MIN(MAX(0,M1158-(K1155-MIN(MAX(L1158,0),K1155))),MAX(0,2*K1155-(L1158-MIN(MAX(L1158,0),K1155)))))</f>
        <v>39762.550555017748</v>
      </c>
      <c r="L1159" s="18">
        <f>IF($A1159&gt;40,L1158,(L1158-K1155+K1159)*(1+$B$7))</f>
        <v>78672.369684312318</v>
      </c>
      <c r="M1159" s="18">
        <f t="shared" si="135"/>
        <v>894296.96604642645</v>
      </c>
      <c r="N1159" s="18">
        <f>IF($A1159&gt;40,0,(N1155-MIN(MAX(O1158,0),N1155))+MIN(MAX(0,P1158-(N1155-MIN(MAX(O1158,0),N1155))),MAX(0,2*N1155-(O1158-MIN(MAX(O1158,0),N1155)))))</f>
        <v>39762.567559882722</v>
      </c>
      <c r="O1159" s="18">
        <f>IF($A1159&gt;40,O1158,(O1158-N1155+N1159)*(1+$B$7))</f>
        <v>78672.40332936286</v>
      </c>
      <c r="P1159" s="18">
        <f t="shared" si="136"/>
        <v>894296.89479692013</v>
      </c>
      <c r="Q1159" s="18">
        <f>IF($A1159&gt;40,0,(Q1155-MIN(MAX(R1158,0),Q1155))+MIN(MAX(0,S1158-(Q1155-MIN(MAX(R1158,0),Q1155))),MAX(0,2*Q1155-(R1158-MIN(MAX(R1158,0),Q1155)))))</f>
        <v>39762.567566610538</v>
      </c>
      <c r="R1159" s="18">
        <f>IF($A1159&gt;40,R1158,(R1158-Q1155+Q1159)*(1+$B$7))</f>
        <v>78672.40334267421</v>
      </c>
      <c r="S1159" s="18">
        <f t="shared" si="137"/>
        <v>894296.89476873109</v>
      </c>
    </row>
    <row r="1160" spans="1:19">
      <c r="A1160" s="10">
        <f>3</f>
        <v>3</v>
      </c>
      <c r="B1160" s="18">
        <f>IF($A1160&gt;40,0,(B1155-MIN(MAX(C1159,0),B1155))+MIN(MAX(0,D1159-(B1155-MIN(MAX(C1159,0),B1155))),MAX(0,2*B1155-(C1159-MIN(MAX(C1159,0),B1155)))))</f>
        <v>30216</v>
      </c>
      <c r="C1160" s="18">
        <f>IF($A1160&gt;40,C1159,(C1159-B1155+B1160)*(1+$B$7))</f>
        <v>59784</v>
      </c>
      <c r="D1160" s="18">
        <f t="shared" si="132"/>
        <v>931202.93560000008</v>
      </c>
      <c r="E1160" s="18">
        <f>IF($A1160&gt;40,0,(E1155-MIN(MAX(F1159,0),E1155))+MIN(MAX(0,G1159-(E1155-MIN(MAX(F1159,0),E1155))),MAX(0,2*E1155-(F1159-MIN(MAX(F1159,0),E1155)))))</f>
        <v>75540</v>
      </c>
      <c r="F1160" s="18">
        <f>IF($A1160&gt;40,F1159,(F1159-E1155+E1160)*(1+$B$7))</f>
        <v>149460</v>
      </c>
      <c r="G1160" s="18">
        <f t="shared" si="133"/>
        <v>688916.83900000004</v>
      </c>
      <c r="H1160" s="18">
        <f>IF($A1160&gt;40,0,(H1155-MIN(MAX(I1159,0),H1155))+MIN(MAX(0,J1159-(H1155-MIN(MAX(I1159,0),H1155))),MAX(0,2*H1155-(I1159-MIN(MAX(I1159,0),H1155)))))</f>
        <v>40238.694470785937</v>
      </c>
      <c r="I1160" s="18">
        <f>IF($A1160&gt;40,I1159,(I1159-H1155+H1160)*(1+$B$7))</f>
        <v>79614.446327821875</v>
      </c>
      <c r="J1160" s="18">
        <f t="shared" si="134"/>
        <v>877625.15074559359</v>
      </c>
      <c r="K1160" s="18">
        <f>IF($A1160&gt;40,0,(K1155-MIN(MAX(L1159,0),K1155))+MIN(MAX(0,M1159-(K1155-MIN(MAX(L1159,0),K1155))),MAX(0,2*K1155-(L1159-MIN(MAX(L1159,0),K1155)))))</f>
        <v>39762.550555017748</v>
      </c>
      <c r="L1160" s="18">
        <f>IF($A1160&gt;40,L1159,(L1159-K1155+K1160)*(1+$B$7))</f>
        <v>78672.369684312318</v>
      </c>
      <c r="M1160" s="18">
        <f t="shared" si="135"/>
        <v>880170.44795615098</v>
      </c>
      <c r="N1160" s="18">
        <f>IF($A1160&gt;40,0,(N1155-MIN(MAX(O1159,0),N1155))+MIN(MAX(0,P1159-(N1155-MIN(MAX(O1159,0),N1155))),MAX(0,2*N1155-(O1159-MIN(MAX(O1159,0),N1155)))))</f>
        <v>39762.567559882722</v>
      </c>
      <c r="O1160" s="18">
        <f>IF($A1160&gt;40,O1159,(O1159-N1155+N1160)*(1+$B$7))</f>
        <v>78672.40332936286</v>
      </c>
      <c r="P1160" s="18">
        <f t="shared" si="136"/>
        <v>880170.35705414845</v>
      </c>
      <c r="Q1160" s="18">
        <f>IF($A1160&gt;40,0,(Q1155-MIN(MAX(R1159,0),Q1155))+MIN(MAX(0,S1159-(Q1155-MIN(MAX(R1159,0),Q1155))),MAX(0,2*Q1155-(R1159-MIN(MAX(R1159,0),Q1155)))))</f>
        <v>39762.567566610538</v>
      </c>
      <c r="R1160" s="18">
        <f>IF($A1160&gt;40,R1159,(R1159-Q1155+Q1160)*(1+$B$7))</f>
        <v>78672.40334267421</v>
      </c>
      <c r="S1160" s="18">
        <f t="shared" si="137"/>
        <v>880170.35701818415</v>
      </c>
    </row>
    <row r="1161" spans="1:19">
      <c r="A1161" s="10">
        <f>4</f>
        <v>4</v>
      </c>
      <c r="B1161" s="18">
        <f>IF($A1161&gt;40,0,(B1155-MIN(MAX(C1160,0),B1155))+MIN(MAX(0,D1160-(B1155-MIN(MAX(C1160,0),B1155))),MAX(0,2*B1155-(C1160-MIN(MAX(C1160,0),B1155)))))</f>
        <v>30216</v>
      </c>
      <c r="C1161" s="18">
        <f>IF($A1161&gt;40,C1160,(C1160-B1155+B1161)*(1+$B$7))</f>
        <v>59784</v>
      </c>
      <c r="D1161" s="18">
        <f t="shared" si="132"/>
        <v>928016.54366800014</v>
      </c>
      <c r="E1161" s="18">
        <f>IF($A1161&gt;40,0,(E1155-MIN(MAX(F1160,0),E1155))+MIN(MAX(0,G1160-(E1155-MIN(MAX(F1160,0),E1155))),MAX(0,2*E1155-(F1160-MIN(MAX(F1160,0),E1155)))))</f>
        <v>75540</v>
      </c>
      <c r="F1161" s="18">
        <f>IF($A1161&gt;40,F1160,(F1160-E1155+E1161)*(1+$B$7))</f>
        <v>149460</v>
      </c>
      <c r="G1161" s="18">
        <f t="shared" si="133"/>
        <v>631778.1441700001</v>
      </c>
      <c r="H1161" s="18">
        <f>IF($A1161&gt;40,0,(H1155-MIN(MAX(I1160,0),H1155))+MIN(MAX(0,J1160-(H1155-MIN(MAX(I1160,0),H1155))),MAX(0,2*H1155-(I1160-MIN(MAX(I1160,0),H1155)))))</f>
        <v>40238.694470785937</v>
      </c>
      <c r="I1161" s="18">
        <f>IF($A1161&gt;40,I1160,(I1160-H1155+H1161)*(1+$B$7))</f>
        <v>79614.446327821875</v>
      </c>
      <c r="J1161" s="18">
        <f t="shared" si="134"/>
        <v>862508.04996305192</v>
      </c>
      <c r="K1161" s="18">
        <f>IF($A1161&gt;40,0,(K1155-MIN(MAX(L1160,0),K1155))+MIN(MAX(0,M1160-(K1155-MIN(MAX(L1160,0),K1155))),MAX(0,2*K1155-(L1160-MIN(MAX(L1160,0),K1155)))))</f>
        <v>39762.550555017748</v>
      </c>
      <c r="L1161" s="18">
        <f>IF($A1161&gt;40,L1160,(L1160-K1155+K1161)*(1+$B$7))</f>
        <v>78672.369684312318</v>
      </c>
      <c r="M1161" s="18">
        <f t="shared" si="135"/>
        <v>865620.13432316727</v>
      </c>
      <c r="N1161" s="18">
        <f>IF($A1161&gt;40,0,(N1155-MIN(MAX(O1160,0),N1155))+MIN(MAX(0,P1160-(N1155-MIN(MAX(O1160,0),N1155))),MAX(0,2*N1155-(O1160-MIN(MAX(O1160,0),N1155)))))</f>
        <v>39762.567559882722</v>
      </c>
      <c r="O1161" s="18">
        <f>IF($A1161&gt;40,O1160,(O1160-N1155+N1161)*(1+$B$7))</f>
        <v>78672.40332936286</v>
      </c>
      <c r="P1161" s="18">
        <f t="shared" si="136"/>
        <v>865620.02317909373</v>
      </c>
      <c r="Q1161" s="18">
        <f>IF($A1161&gt;40,0,(Q1155-MIN(MAX(R1160,0),Q1155))+MIN(MAX(0,S1160-(Q1155-MIN(MAX(R1160,0),Q1155))),MAX(0,2*Q1155-(R1160-MIN(MAX(R1160,0),Q1155)))))</f>
        <v>39762.567566610538</v>
      </c>
      <c r="R1161" s="18">
        <f>IF($A1161&gt;40,R1160,(R1160-Q1155+Q1161)*(1+$B$7))</f>
        <v>78672.40334267421</v>
      </c>
      <c r="S1161" s="18">
        <f t="shared" si="137"/>
        <v>865620.02313512086</v>
      </c>
    </row>
    <row r="1162" spans="1:19">
      <c r="A1162" s="10">
        <f>5</f>
        <v>5</v>
      </c>
      <c r="B1162" s="18">
        <f>IF($A1162&gt;40,0,(B1155-MIN(MAX(C1161,0),B1155))+MIN(MAX(0,D1161-(B1155-MIN(MAX(C1161,0),B1155))),MAX(0,2*B1155-(C1161-MIN(MAX(C1161,0),B1155)))))</f>
        <v>30216</v>
      </c>
      <c r="C1162" s="18">
        <f>IF($A1162&gt;40,C1161,(C1161-B1155+B1162)*(1+$B$7))</f>
        <v>59784</v>
      </c>
      <c r="D1162" s="18">
        <f t="shared" si="132"/>
        <v>924734.55997804017</v>
      </c>
      <c r="E1162" s="18">
        <f>IF($A1162&gt;40,0,(E1155-MIN(MAX(F1161,0),E1155))+MIN(MAX(0,G1161-(E1155-MIN(MAX(F1161,0),E1155))),MAX(0,2*E1155-(F1161-MIN(MAX(F1161,0),E1155)))))</f>
        <v>75540</v>
      </c>
      <c r="F1162" s="18">
        <f>IF($A1162&gt;40,F1161,(F1161-E1155+E1162)*(1+$B$7))</f>
        <v>149460</v>
      </c>
      <c r="G1162" s="18">
        <f t="shared" si="133"/>
        <v>572925.2884951001</v>
      </c>
      <c r="H1162" s="18">
        <f>IF($A1162&gt;40,0,(H1155-MIN(MAX(I1161,0),H1155))+MIN(MAX(0,J1161-(H1155-MIN(MAX(I1161,0),H1155))),MAX(0,2*H1155-(I1161-MIN(MAX(I1161,0),H1155)))))</f>
        <v>40238.694470785937</v>
      </c>
      <c r="I1162" s="18">
        <f>IF($A1162&gt;40,I1161,(I1161-H1155+H1162)*(1+$B$7))</f>
        <v>79614.446327821875</v>
      </c>
      <c r="J1162" s="18">
        <f t="shared" si="134"/>
        <v>846937.43615703401</v>
      </c>
      <c r="K1162" s="18">
        <f>IF($A1162&gt;40,0,(K1155-MIN(MAX(L1161,0),K1155))+MIN(MAX(0,M1161-(K1155-MIN(MAX(L1161,0),K1155))),MAX(0,2*K1155-(L1161-MIN(MAX(L1161,0),K1155)))))</f>
        <v>39762.550555017748</v>
      </c>
      <c r="L1162" s="18">
        <f>IF($A1162&gt;40,L1161,(L1161-K1155+K1162)*(1+$B$7))</f>
        <v>78672.369684312318</v>
      </c>
      <c r="M1162" s="18">
        <f t="shared" si="135"/>
        <v>850633.31128119398</v>
      </c>
      <c r="N1162" s="18">
        <f>IF($A1162&gt;40,0,(N1155-MIN(MAX(O1161,0),N1155))+MIN(MAX(0,P1161-(N1155-MIN(MAX(O1161,0),N1155))),MAX(0,2*N1155-(O1161-MIN(MAX(O1161,0),N1155)))))</f>
        <v>39762.567559882722</v>
      </c>
      <c r="O1162" s="18">
        <f>IF($A1162&gt;40,O1161,(O1161-N1155+N1162)*(1+$B$7))</f>
        <v>78672.40332936286</v>
      </c>
      <c r="P1162" s="18">
        <f t="shared" si="136"/>
        <v>850633.17928778729</v>
      </c>
      <c r="Q1162" s="18">
        <f>IF($A1162&gt;40,0,(Q1155-MIN(MAX(R1161,0),Q1155))+MIN(MAX(0,S1161-(Q1155-MIN(MAX(R1161,0),Q1155))),MAX(0,2*Q1155-(R1161-MIN(MAX(R1161,0),Q1155)))))</f>
        <v>39762.567566610538</v>
      </c>
      <c r="R1162" s="18">
        <f>IF($A1162&gt;40,R1161,(R1161-Q1155+Q1162)*(1+$B$7))</f>
        <v>78672.40334267421</v>
      </c>
      <c r="S1162" s="18">
        <f t="shared" si="137"/>
        <v>850633.17923556571</v>
      </c>
    </row>
    <row r="1163" spans="1:19">
      <c r="A1163" s="10">
        <f>6</f>
        <v>6</v>
      </c>
      <c r="B1163" s="18">
        <f>IF($A1163&gt;40,0,(B1155-MIN(MAX(C1162,0),B1155))+MIN(MAX(0,D1162-(B1155-MIN(MAX(C1162,0),B1155))),MAX(0,2*B1155-(C1162-MIN(MAX(C1162,0),B1155)))))</f>
        <v>30216</v>
      </c>
      <c r="C1163" s="18">
        <f>IF($A1163&gt;40,C1162,(C1162-B1155+B1163)*(1+$B$7))</f>
        <v>59784</v>
      </c>
      <c r="D1163" s="18">
        <f t="shared" si="132"/>
        <v>921354.11677738139</v>
      </c>
      <c r="E1163" s="18">
        <f>IF($A1163&gt;40,0,(E1155-MIN(MAX(F1162,0),E1155))+MIN(MAX(0,G1162-(E1155-MIN(MAX(F1162,0),E1155))),MAX(0,2*E1155-(F1162-MIN(MAX(F1162,0),E1155)))))</f>
        <v>75540</v>
      </c>
      <c r="F1163" s="18">
        <f>IF($A1163&gt;40,F1162,(F1162-E1155+E1163)*(1+$B$7))</f>
        <v>149460</v>
      </c>
      <c r="G1163" s="18">
        <f t="shared" si="133"/>
        <v>512306.84714995313</v>
      </c>
      <c r="H1163" s="18">
        <f>IF($A1163&gt;40,0,(H1155-MIN(MAX(I1162,0),H1155))+MIN(MAX(0,J1162-(H1155-MIN(MAX(I1162,0),H1155))),MAX(0,2*H1155-(I1162-MIN(MAX(I1162,0),H1155)))))</f>
        <v>40238.694470785937</v>
      </c>
      <c r="I1163" s="18">
        <f>IF($A1163&gt;40,I1162,(I1162-H1155+H1163)*(1+$B$7))</f>
        <v>79614.446327821875</v>
      </c>
      <c r="J1163" s="18">
        <f t="shared" si="134"/>
        <v>830899.70393683552</v>
      </c>
      <c r="K1163" s="18">
        <f>IF($A1163&gt;40,0,(K1155-MIN(MAX(L1162,0),K1155))+MIN(MAX(0,M1162-(K1155-MIN(MAX(L1162,0),K1155))),MAX(0,2*K1155-(L1162-MIN(MAX(L1162,0),K1155)))))</f>
        <v>39762.550555017748</v>
      </c>
      <c r="L1163" s="18">
        <f>IF($A1163&gt;40,L1162,(L1162-K1155+K1163)*(1+$B$7))</f>
        <v>78672.369684312318</v>
      </c>
      <c r="M1163" s="18">
        <f t="shared" si="135"/>
        <v>835196.88354796148</v>
      </c>
      <c r="N1163" s="18">
        <f>IF($A1163&gt;40,0,(N1155-MIN(MAX(O1162,0),N1155))+MIN(MAX(0,P1162-(N1155-MIN(MAX(O1162,0),N1155))),MAX(0,2*N1155-(O1162-MIN(MAX(O1162,0),N1155)))))</f>
        <v>39762.567559882722</v>
      </c>
      <c r="O1163" s="18">
        <f>IF($A1163&gt;40,O1162,(O1162-N1155+N1163)*(1+$B$7))</f>
        <v>78672.40332936286</v>
      </c>
      <c r="P1163" s="18">
        <f t="shared" si="136"/>
        <v>835196.73007974168</v>
      </c>
      <c r="Q1163" s="18">
        <f>IF($A1163&gt;40,0,(Q1155-MIN(MAX(R1162,0),Q1155))+MIN(MAX(0,S1162-(Q1155-MIN(MAX(R1162,0),Q1155))),MAX(0,2*Q1155-(R1162-MIN(MAX(R1162,0),Q1155)))))</f>
        <v>39762.567566610538</v>
      </c>
      <c r="R1163" s="18">
        <f>IF($A1163&gt;40,R1162,(R1162-Q1155+Q1163)*(1+$B$7))</f>
        <v>78672.40334267421</v>
      </c>
      <c r="S1163" s="18">
        <f t="shared" si="137"/>
        <v>835196.73001902387</v>
      </c>
    </row>
    <row r="1164" spans="1:19">
      <c r="A1164" s="10">
        <f>7</f>
        <v>7</v>
      </c>
      <c r="B1164" s="18">
        <f>IF($A1164&gt;40,0,(B1155-MIN(MAX(C1163,0),B1155))+MIN(MAX(0,D1163-(B1155-MIN(MAX(C1163,0),B1155))),MAX(0,2*B1155-(C1163-MIN(MAX(C1163,0),B1155)))))</f>
        <v>30216</v>
      </c>
      <c r="C1164" s="18">
        <f>IF($A1164&gt;40,C1163,(C1163-B1155+B1164)*(1+$B$7))</f>
        <v>59784</v>
      </c>
      <c r="D1164" s="18">
        <f t="shared" si="132"/>
        <v>917872.26028070285</v>
      </c>
      <c r="E1164" s="18">
        <f>IF($A1164&gt;40,0,(E1155-MIN(MAX(F1163,0),E1155))+MIN(MAX(0,G1163-(E1155-MIN(MAX(F1163,0),E1155))),MAX(0,2*E1155-(F1163-MIN(MAX(F1163,0),E1155)))))</f>
        <v>75540</v>
      </c>
      <c r="F1164" s="18">
        <f>IF($A1164&gt;40,F1163,(F1163-E1155+E1164)*(1+$B$7))</f>
        <v>149460</v>
      </c>
      <c r="G1164" s="18">
        <f t="shared" si="133"/>
        <v>449869.85256445175</v>
      </c>
      <c r="H1164" s="18">
        <f>IF($A1164&gt;40,0,(H1155-MIN(MAX(I1163,0),H1155))+MIN(MAX(0,J1163-(H1155-MIN(MAX(I1163,0),H1155))),MAX(0,2*H1155-(I1163-MIN(MAX(I1163,0),H1155)))))</f>
        <v>40238.694470785937</v>
      </c>
      <c r="I1164" s="18">
        <f>IF($A1164&gt;40,I1163,(I1163-H1155+H1164)*(1+$B$7))</f>
        <v>79614.446327821875</v>
      </c>
      <c r="J1164" s="18">
        <f t="shared" si="134"/>
        <v>814380.83975003113</v>
      </c>
      <c r="K1164" s="18">
        <f>IF($A1164&gt;40,0,(K1155-MIN(MAX(L1163,0),K1155))+MIN(MAX(0,M1163-(K1155-MIN(MAX(L1163,0),K1155))),MAX(0,2*K1155-(L1163-MIN(MAX(L1163,0),K1155)))))</f>
        <v>39762.550555017748</v>
      </c>
      <c r="L1164" s="18">
        <f>IF($A1164&gt;40,L1163,(L1163-K1155+K1164)*(1+$B$7))</f>
        <v>78672.369684312318</v>
      </c>
      <c r="M1164" s="18">
        <f t="shared" si="135"/>
        <v>819297.36298273201</v>
      </c>
      <c r="N1164" s="18">
        <f>IF($A1164&gt;40,0,(N1155-MIN(MAX(O1163,0),N1155))+MIN(MAX(0,P1163-(N1155-MIN(MAX(O1163,0),N1155))),MAX(0,2*N1155-(O1163-MIN(MAX(O1163,0),N1155)))))</f>
        <v>39762.567559882722</v>
      </c>
      <c r="O1164" s="18">
        <f>IF($A1164&gt;40,O1163,(O1163-N1155+N1164)*(1+$B$7))</f>
        <v>78672.40332936286</v>
      </c>
      <c r="P1164" s="18">
        <f t="shared" si="136"/>
        <v>819297.18739545473</v>
      </c>
      <c r="Q1164" s="18">
        <f>IF($A1164&gt;40,0,(Q1155-MIN(MAX(R1163,0),Q1155))+MIN(MAX(0,S1163-(Q1155-MIN(MAX(R1163,0),Q1155))),MAX(0,2*Q1155-(R1163-MIN(MAX(R1163,0),Q1155)))))</f>
        <v>39762.567566610538</v>
      </c>
      <c r="R1164" s="18">
        <f>IF($A1164&gt;40,R1163,(R1163-Q1155+Q1164)*(1+$B$7))</f>
        <v>78672.40334267421</v>
      </c>
      <c r="S1164" s="18">
        <f t="shared" si="137"/>
        <v>819297.18732598575</v>
      </c>
    </row>
    <row r="1165" spans="1:19">
      <c r="A1165" s="10">
        <f>8</f>
        <v>8</v>
      </c>
      <c r="B1165" s="18">
        <f>IF($A1165&gt;40,0,(B1155-MIN(MAX(C1164,0),B1155))+MIN(MAX(0,D1164-(B1155-MIN(MAX(C1164,0),B1155))),MAX(0,2*B1155-(C1164-MIN(MAX(C1164,0),B1155)))))</f>
        <v>30216</v>
      </c>
      <c r="C1165" s="18">
        <f>IF($A1165&gt;40,C1164,(C1164-B1155+B1165)*(1+$B$7))</f>
        <v>59784</v>
      </c>
      <c r="D1165" s="18">
        <f t="shared" si="132"/>
        <v>914285.94808912394</v>
      </c>
      <c r="E1165" s="18">
        <f>IF($A1165&gt;40,0,(E1155-MIN(MAX(F1164,0),E1155))+MIN(MAX(0,G1164-(E1155-MIN(MAX(F1164,0),E1155))),MAX(0,2*E1155-(F1164-MIN(MAX(F1164,0),E1155)))))</f>
        <v>75540</v>
      </c>
      <c r="F1165" s="18">
        <f>IF($A1165&gt;40,F1164,(F1164-E1155+E1165)*(1+$B$7))</f>
        <v>149460</v>
      </c>
      <c r="G1165" s="18">
        <f t="shared" si="133"/>
        <v>385559.74814138532</v>
      </c>
      <c r="H1165" s="18">
        <f>IF($A1165&gt;40,0,(H1155-MIN(MAX(I1164,0),H1155))+MIN(MAX(0,J1164-(H1155-MIN(MAX(I1164,0),H1155))),MAX(0,2*H1155-(I1164-MIN(MAX(I1164,0),H1155)))))</f>
        <v>40238.694470785937</v>
      </c>
      <c r="I1165" s="18">
        <f>IF($A1165&gt;40,I1164,(I1164-H1155+H1165)*(1+$B$7))</f>
        <v>79614.446327821875</v>
      </c>
      <c r="J1165" s="18">
        <f t="shared" si="134"/>
        <v>797366.40963762265</v>
      </c>
      <c r="K1165" s="18">
        <f>IF($A1165&gt;40,0,(K1155-MIN(MAX(L1164,0),K1155))+MIN(MAX(0,M1164-(K1155-MIN(MAX(L1164,0),K1155))),MAX(0,2*K1155-(L1164-MIN(MAX(L1164,0),K1155)))))</f>
        <v>39762.550555017748</v>
      </c>
      <c r="L1165" s="18">
        <f>IF($A1165&gt;40,L1164,(L1164-K1155+K1165)*(1+$B$7))</f>
        <v>78672.369684312318</v>
      </c>
      <c r="M1165" s="18">
        <f t="shared" si="135"/>
        <v>802920.85680054571</v>
      </c>
      <c r="N1165" s="18">
        <f>IF($A1165&gt;40,0,(N1155-MIN(MAX(O1164,0),N1155))+MIN(MAX(0,P1164-(N1155-MIN(MAX(O1164,0),N1155))),MAX(0,2*N1155-(O1164-MIN(MAX(O1164,0),N1155)))))</f>
        <v>39762.567559882722</v>
      </c>
      <c r="O1165" s="18">
        <f>IF($A1165&gt;40,O1164,(O1164-N1155+N1165)*(1+$B$7))</f>
        <v>78672.40332936286</v>
      </c>
      <c r="P1165" s="18">
        <f t="shared" si="136"/>
        <v>802920.65843063919</v>
      </c>
      <c r="Q1165" s="18">
        <f>IF($A1165&gt;40,0,(Q1155-MIN(MAX(R1164,0),Q1155))+MIN(MAX(0,S1164-(Q1155-MIN(MAX(R1164,0),Q1155))),MAX(0,2*Q1155-(R1164-MIN(MAX(R1164,0),Q1155)))))</f>
        <v>39762.567566610538</v>
      </c>
      <c r="R1165" s="18">
        <f>IF($A1165&gt;40,R1164,(R1164-Q1155+Q1165)*(1+$B$7))</f>
        <v>78672.40334267421</v>
      </c>
      <c r="S1165" s="18">
        <f t="shared" si="137"/>
        <v>802920.65835215652</v>
      </c>
    </row>
    <row r="1166" spans="1:19">
      <c r="A1166" s="10">
        <f>9</f>
        <v>9</v>
      </c>
      <c r="B1166" s="18">
        <f>IF($A1166&gt;40,0,(B1155-MIN(MAX(C1165,0),B1155))+MIN(MAX(0,D1165-(B1155-MIN(MAX(C1165,0),B1155))),MAX(0,2*B1155-(C1165-MIN(MAX(C1165,0),B1155)))))</f>
        <v>30216</v>
      </c>
      <c r="C1166" s="18">
        <f>IF($A1166&gt;40,C1165,(C1165-B1155+B1166)*(1+$B$7))</f>
        <v>59784</v>
      </c>
      <c r="D1166" s="18">
        <f t="shared" si="132"/>
        <v>910592.04653179774</v>
      </c>
      <c r="E1166" s="18">
        <f>IF($A1166&gt;40,0,(E1155-MIN(MAX(F1165,0),E1155))+MIN(MAX(0,G1165-(E1155-MIN(MAX(F1165,0),E1155))),MAX(0,2*E1155-(F1165-MIN(MAX(F1165,0),E1155)))))</f>
        <v>75540</v>
      </c>
      <c r="F1166" s="18">
        <f>IF($A1166&gt;40,F1165,(F1165-E1155+E1166)*(1+$B$7))</f>
        <v>149460</v>
      </c>
      <c r="G1166" s="18">
        <f t="shared" si="133"/>
        <v>319320.34058562689</v>
      </c>
      <c r="H1166" s="18">
        <f>IF($A1166&gt;40,0,(H1155-MIN(MAX(I1165,0),H1155))+MIN(MAX(0,J1165-(H1155-MIN(MAX(I1165,0),H1155))),MAX(0,2*H1155-(I1165-MIN(MAX(I1165,0),H1155)))))</f>
        <v>40238.694470785937</v>
      </c>
      <c r="I1166" s="18">
        <f>IF($A1166&gt;40,I1165,(I1165-H1155+H1166)*(1+$B$7))</f>
        <v>79614.446327821875</v>
      </c>
      <c r="J1166" s="18">
        <f t="shared" si="134"/>
        <v>779841.54662184184</v>
      </c>
      <c r="K1166" s="18">
        <f>IF($A1166&gt;40,0,(K1155-MIN(MAX(L1165,0),K1155))+MIN(MAX(0,M1165-(K1155-MIN(MAX(L1165,0),K1155))),MAX(0,2*K1155-(L1165-MIN(MAX(L1165,0),K1155)))))</f>
        <v>39762.550555017748</v>
      </c>
      <c r="L1166" s="18">
        <f>IF($A1166&gt;40,L1165,(L1165-K1155+K1166)*(1+$B$7))</f>
        <v>78672.369684312318</v>
      </c>
      <c r="M1166" s="18">
        <f t="shared" si="135"/>
        <v>786053.0554328938</v>
      </c>
      <c r="N1166" s="18">
        <f>IF($A1166&gt;40,0,(N1155-MIN(MAX(O1165,0),N1155))+MIN(MAX(0,P1165-(N1155-MIN(MAX(O1165,0),N1155))),MAX(0,2*N1155-(O1165-MIN(MAX(O1165,0),N1155)))))</f>
        <v>39762.567559882722</v>
      </c>
      <c r="O1166" s="18">
        <f>IF($A1166&gt;40,O1165,(O1165-N1155+N1166)*(1+$B$7))</f>
        <v>78672.40332936286</v>
      </c>
      <c r="P1166" s="18">
        <f t="shared" si="136"/>
        <v>786052.83359687915</v>
      </c>
      <c r="Q1166" s="18">
        <f>IF($A1166&gt;40,0,(Q1155-MIN(MAX(R1165,0),Q1155))+MIN(MAX(0,S1165-(Q1155-MIN(MAX(R1165,0),Q1155))),MAX(0,2*Q1155-(R1165-MIN(MAX(R1165,0),Q1155)))))</f>
        <v>39762.567566610538</v>
      </c>
      <c r="R1166" s="18">
        <f>IF($A1166&gt;40,R1165,(R1165-Q1155+Q1166)*(1+$B$7))</f>
        <v>78672.40334267421</v>
      </c>
      <c r="S1166" s="18">
        <f t="shared" si="137"/>
        <v>786052.83350911236</v>
      </c>
    </row>
    <row r="1167" spans="1:19">
      <c r="A1167" s="10">
        <f>10</f>
        <v>10</v>
      </c>
      <c r="B1167" s="18">
        <f>IF($A1167&gt;40,0,(B1155-MIN(MAX(C1166,0),B1155))+MIN(MAX(0,D1166-(B1155-MIN(MAX(C1166,0),B1155))),MAX(0,2*B1155-(C1166-MIN(MAX(C1166,0),B1155)))))</f>
        <v>30216</v>
      </c>
      <c r="C1167" s="18">
        <f>IF($A1167&gt;40,C1166,(C1166-B1155+B1167)*(1+$B$7))</f>
        <v>59784</v>
      </c>
      <c r="D1167" s="18">
        <f t="shared" si="132"/>
        <v>906787.3279277517</v>
      </c>
      <c r="E1167" s="18">
        <f>IF($A1167&gt;40,0,(E1155-MIN(MAX(F1166,0),E1155))+MIN(MAX(0,G1166-(E1155-MIN(MAX(F1166,0),E1155))),MAX(0,2*E1155-(F1166-MIN(MAX(F1166,0),E1155)))))</f>
        <v>75540</v>
      </c>
      <c r="F1167" s="18">
        <f>IF($A1167&gt;40,F1166,(F1166-E1155+E1167)*(1+$B$7))</f>
        <v>149460</v>
      </c>
      <c r="G1167" s="18">
        <f t="shared" si="133"/>
        <v>251093.7508031957</v>
      </c>
      <c r="H1167" s="18">
        <f>IF($A1167&gt;40,0,(H1155-MIN(MAX(I1166,0),H1155))+MIN(MAX(0,J1166-(H1155-MIN(MAX(I1166,0),H1155))),MAX(0,2*H1155-(I1166-MIN(MAX(I1166,0),H1155)))))</f>
        <v>40238.694470785937</v>
      </c>
      <c r="I1167" s="18">
        <f>IF($A1167&gt;40,I1166,(I1166-H1155+H1167)*(1+$B$7))</f>
        <v>79614.446327821875</v>
      </c>
      <c r="J1167" s="18">
        <f t="shared" si="134"/>
        <v>761790.93771558767</v>
      </c>
      <c r="K1167" s="18">
        <f>IF($A1167&gt;40,0,(K1155-MIN(MAX(L1166,0),K1155))+MIN(MAX(0,M1166-(K1155-MIN(MAX(L1166,0),K1155))),MAX(0,2*K1155-(L1166-MIN(MAX(L1166,0),K1155)))))</f>
        <v>39762.550555017748</v>
      </c>
      <c r="L1167" s="18">
        <f>IF($A1167&gt;40,L1166,(L1166-K1155+K1167)*(1+$B$7))</f>
        <v>78672.369684312318</v>
      </c>
      <c r="M1167" s="18">
        <f t="shared" si="135"/>
        <v>768679.22002421238</v>
      </c>
      <c r="N1167" s="18">
        <f>IF($A1167&gt;40,0,(N1155-MIN(MAX(O1166,0),N1155))+MIN(MAX(0,P1166-(N1155-MIN(MAX(O1166,0),N1155))),MAX(0,2*N1155-(O1166-MIN(MAX(O1166,0),N1155)))))</f>
        <v>39762.567559882722</v>
      </c>
      <c r="O1167" s="18">
        <f>IF($A1167&gt;40,O1166,(O1166-N1155+N1167)*(1+$B$7))</f>
        <v>78672.40332936286</v>
      </c>
      <c r="P1167" s="18">
        <f t="shared" si="136"/>
        <v>768678.97401810635</v>
      </c>
      <c r="Q1167" s="18">
        <f>IF($A1167&gt;40,0,(Q1155-MIN(MAX(R1166,0),Q1155))+MIN(MAX(0,S1166-(Q1155-MIN(MAX(R1166,0),Q1155))),MAX(0,2*Q1155-(R1166-MIN(MAX(R1166,0),Q1155)))))</f>
        <v>39762.567566610538</v>
      </c>
      <c r="R1167" s="18">
        <f>IF($A1167&gt;40,R1166,(R1166-Q1155+Q1167)*(1+$B$7))</f>
        <v>78672.40334267421</v>
      </c>
      <c r="S1167" s="18">
        <f t="shared" si="137"/>
        <v>768678.97392077686</v>
      </c>
    </row>
    <row r="1168" spans="1:19">
      <c r="A1168" s="10">
        <f>11</f>
        <v>11</v>
      </c>
      <c r="B1168" s="18">
        <f>IF($A1168&gt;40,0,(B1155-MIN(MAX(C1167,0),B1155))+MIN(MAX(0,D1167-(B1155-MIN(MAX(C1167,0),B1155))),MAX(0,2*B1155-(C1167-MIN(MAX(C1167,0),B1155)))))</f>
        <v>30216</v>
      </c>
      <c r="C1168" s="18">
        <f>IF($A1168&gt;40,C1167,(C1167-B1155+B1168)*(1+$B$7))</f>
        <v>59784</v>
      </c>
      <c r="D1168" s="18">
        <f t="shared" si="132"/>
        <v>902868.46776558424</v>
      </c>
      <c r="E1168" s="18">
        <f>IF($A1168&gt;40,0,(E1155-MIN(MAX(F1167,0),E1155))+MIN(MAX(0,G1167-(E1155-MIN(MAX(F1167,0),E1155))),MAX(0,2*E1155-(F1167-MIN(MAX(F1167,0),E1155)))))</f>
        <v>75540</v>
      </c>
      <c r="F1168" s="18">
        <f>IF($A1168&gt;40,F1167,(F1167-E1155+E1168)*(1+$B$7))</f>
        <v>149460</v>
      </c>
      <c r="G1168" s="18">
        <f t="shared" si="133"/>
        <v>180820.36332729156</v>
      </c>
      <c r="H1168" s="18">
        <f>IF($A1168&gt;40,0,(H1155-MIN(MAX(I1167,0),H1155))+MIN(MAX(0,J1167-(H1155-MIN(MAX(I1167,0),H1155))),MAX(0,2*H1155-(I1167-MIN(MAX(I1167,0),H1155)))))</f>
        <v>40238.694470785937</v>
      </c>
      <c r="I1168" s="18">
        <f>IF($A1168&gt;40,I1167,(I1167-H1155+H1168)*(1+$B$7))</f>
        <v>79614.446327821875</v>
      </c>
      <c r="J1168" s="18">
        <f t="shared" si="134"/>
        <v>743198.81054214586</v>
      </c>
      <c r="K1168" s="18">
        <f>IF($A1168&gt;40,0,(K1155-MIN(MAX(L1167,0),K1155))+MIN(MAX(0,M1167-(K1155-MIN(MAX(L1167,0),K1155))),MAX(0,2*K1155-(L1167-MIN(MAX(L1167,0),K1155)))))</f>
        <v>39762.550555017748</v>
      </c>
      <c r="L1168" s="18">
        <f>IF($A1168&gt;40,L1167,(L1167-K1155+K1168)*(1+$B$7))</f>
        <v>78672.369684312318</v>
      </c>
      <c r="M1168" s="18">
        <f t="shared" si="135"/>
        <v>750784.16955327045</v>
      </c>
      <c r="N1168" s="18">
        <f>IF($A1168&gt;40,0,(N1155-MIN(MAX(O1167,0),N1155))+MIN(MAX(0,P1167-(N1155-MIN(MAX(O1167,0),N1155))),MAX(0,2*N1155-(O1167-MIN(MAX(O1167,0),N1155)))))</f>
        <v>39762.567559882722</v>
      </c>
      <c r="O1168" s="18">
        <f>IF($A1168&gt;40,O1167,(O1167-N1155+N1168)*(1+$B$7))</f>
        <v>78672.40332936286</v>
      </c>
      <c r="P1168" s="18">
        <f t="shared" si="136"/>
        <v>750783.89865197032</v>
      </c>
      <c r="Q1168" s="18">
        <f>IF($A1168&gt;40,0,(Q1155-MIN(MAX(R1167,0),Q1155))+MIN(MAX(0,S1167-(Q1155-MIN(MAX(R1167,0),Q1155))),MAX(0,2*Q1155-(R1167-MIN(MAX(R1167,0),Q1155)))))</f>
        <v>39762.567566610538</v>
      </c>
      <c r="R1168" s="18">
        <f>IF($A1168&gt;40,R1167,(R1167-Q1155+Q1168)*(1+$B$7))</f>
        <v>78672.40334267421</v>
      </c>
      <c r="S1168" s="18">
        <f t="shared" si="137"/>
        <v>750783.89854479139</v>
      </c>
    </row>
    <row r="1169" spans="1:19">
      <c r="A1169" s="10">
        <f>12</f>
        <v>12</v>
      </c>
      <c r="B1169" s="18">
        <f>IF($A1169&gt;40,0,(B1155-MIN(MAX(C1168,0),B1155))+MIN(MAX(0,D1168-(B1155-MIN(MAX(C1168,0),B1155))),MAX(0,2*B1155-(C1168-MIN(MAX(C1168,0),B1155)))))</f>
        <v>30216</v>
      </c>
      <c r="C1169" s="18">
        <f>IF($A1169&gt;40,C1168,(C1168-B1155+B1169)*(1+$B$7))</f>
        <v>59784</v>
      </c>
      <c r="D1169" s="18">
        <f t="shared" si="132"/>
        <v>898832.0417985518</v>
      </c>
      <c r="E1169" s="18">
        <f>IF($A1169&gt;40,0,(E1155-MIN(MAX(F1168,0),E1155))+MIN(MAX(0,G1168-(E1155-MIN(MAX(F1168,0),E1155))),MAX(0,2*E1155-(F1168-MIN(MAX(F1168,0),E1155)))))</f>
        <v>75540</v>
      </c>
      <c r="F1169" s="18">
        <f>IF($A1169&gt;40,F1168,(F1168-E1155+E1169)*(1+$B$7))</f>
        <v>149460</v>
      </c>
      <c r="G1169" s="18">
        <f t="shared" si="133"/>
        <v>108438.77422711031</v>
      </c>
      <c r="H1169" s="18">
        <f>IF($A1169&gt;40,0,(H1155-MIN(MAX(I1168,0),H1155))+MIN(MAX(0,J1168-(H1155-MIN(MAX(I1168,0),H1155))),MAX(0,2*H1155-(I1168-MIN(MAX(I1168,0),H1155)))))</f>
        <v>40238.694470785937</v>
      </c>
      <c r="I1169" s="18">
        <f>IF($A1169&gt;40,I1168,(I1168-H1155+H1169)*(1+$B$7))</f>
        <v>79614.446327821875</v>
      </c>
      <c r="J1169" s="18">
        <f t="shared" si="134"/>
        <v>724048.91955350072</v>
      </c>
      <c r="K1169" s="18">
        <f>IF($A1169&gt;40,0,(K1155-MIN(MAX(L1168,0),K1155))+MIN(MAX(0,M1168-(K1155-MIN(MAX(L1168,0),K1155))),MAX(0,2*K1155-(L1168-MIN(MAX(L1168,0),K1155)))))</f>
        <v>39762.550555017748</v>
      </c>
      <c r="L1169" s="18">
        <f>IF($A1169&gt;40,L1168,(L1168-K1155+K1169)*(1+$B$7))</f>
        <v>78672.369684312318</v>
      </c>
      <c r="M1169" s="18">
        <f t="shared" si="135"/>
        <v>732352.26756820024</v>
      </c>
      <c r="N1169" s="18">
        <f>IF($A1169&gt;40,0,(N1155-MIN(MAX(O1168,0),N1155))+MIN(MAX(0,P1168-(N1155-MIN(MAX(O1168,0),N1155))),MAX(0,2*N1155-(O1168-MIN(MAX(O1168,0),N1155)))))</f>
        <v>39762.567559882722</v>
      </c>
      <c r="O1169" s="18">
        <f>IF($A1169&gt;40,O1168,(O1168-N1155+N1169)*(1+$B$7))</f>
        <v>78672.40332936286</v>
      </c>
      <c r="P1169" s="18">
        <f t="shared" si="136"/>
        <v>732351.97102485015</v>
      </c>
      <c r="Q1169" s="18">
        <f>IF($A1169&gt;40,0,(Q1155-MIN(MAX(R1168,0),Q1155))+MIN(MAX(0,S1168-(Q1155-MIN(MAX(R1168,0),Q1155))),MAX(0,2*Q1155-(R1168-MIN(MAX(R1168,0),Q1155)))))</f>
        <v>39762.567566610538</v>
      </c>
      <c r="R1169" s="18">
        <f>IF($A1169&gt;40,R1168,(R1168-Q1155+Q1169)*(1+$B$7))</f>
        <v>78672.40334267421</v>
      </c>
      <c r="S1169" s="18">
        <f t="shared" si="137"/>
        <v>732351.97090752632</v>
      </c>
    </row>
    <row r="1170" spans="1:19">
      <c r="A1170" s="10">
        <f>13</f>
        <v>13</v>
      </c>
      <c r="B1170" s="18">
        <f>IF($A1170&gt;40,0,(B1155-MIN(MAX(C1169,0),B1155))+MIN(MAX(0,D1169-(B1155-MIN(MAX(C1169,0),B1155))),MAX(0,2*B1155-(C1169-MIN(MAX(C1169,0),B1155)))))</f>
        <v>30216</v>
      </c>
      <c r="C1170" s="18">
        <f>IF($A1170&gt;40,C1169,(C1169-B1155+B1170)*(1+$B$7))</f>
        <v>59784</v>
      </c>
      <c r="D1170" s="18">
        <f t="shared" si="132"/>
        <v>894674.52305250836</v>
      </c>
      <c r="E1170" s="18">
        <f>IF($A1170&gt;40,0,(E1155-MIN(MAX(F1169,0),E1155))+MIN(MAX(0,G1169-(E1155-MIN(MAX(F1169,0),E1155))),MAX(0,2*E1155-(F1169-MIN(MAX(F1169,0),E1155)))))</f>
        <v>75540</v>
      </c>
      <c r="F1170" s="18">
        <f>IF($A1170&gt;40,F1169,(F1169-E1155+E1170)*(1+$B$7))</f>
        <v>149460</v>
      </c>
      <c r="G1170" s="18">
        <f t="shared" si="133"/>
        <v>33885.737453923619</v>
      </c>
      <c r="H1170" s="18">
        <f>IF($A1170&gt;40,0,(H1155-MIN(MAX(I1169,0),H1155))+MIN(MAX(0,J1169-(H1155-MIN(MAX(I1169,0),H1155))),MAX(0,2*H1155-(I1169-MIN(MAX(I1169,0),H1155)))))</f>
        <v>40238.694470785937</v>
      </c>
      <c r="I1170" s="18">
        <f>IF($A1170&gt;40,I1169,(I1169-H1155+H1170)*(1+$B$7))</f>
        <v>79614.446327821875</v>
      </c>
      <c r="J1170" s="18">
        <f t="shared" si="134"/>
        <v>704324.53183519631</v>
      </c>
      <c r="K1170" s="18">
        <f>IF($A1170&gt;40,0,(K1155-MIN(MAX(L1169,0),K1155))+MIN(MAX(0,M1169-(K1155-MIN(MAX(L1169,0),K1155))),MAX(0,2*K1155-(L1169-MIN(MAX(L1169,0),K1155)))))</f>
        <v>39762.550555017748</v>
      </c>
      <c r="L1170" s="18">
        <f>IF($A1170&gt;40,L1169,(L1169-K1155+K1170)*(1+$B$7))</f>
        <v>78672.369684312318</v>
      </c>
      <c r="M1170" s="18">
        <f t="shared" si="135"/>
        <v>713367.40852357796</v>
      </c>
      <c r="N1170" s="18">
        <f>IF($A1170&gt;40,0,(N1155-MIN(MAX(O1169,0),N1155))+MIN(MAX(0,P1169-(N1155-MIN(MAX(O1169,0),N1155))),MAX(0,2*N1155-(O1169-MIN(MAX(O1169,0),N1155)))))</f>
        <v>39762.567559882722</v>
      </c>
      <c r="O1170" s="18">
        <f>IF($A1170&gt;40,O1169,(O1169-N1155+N1170)*(1+$B$7))</f>
        <v>78672.40332936286</v>
      </c>
      <c r="P1170" s="18">
        <f t="shared" si="136"/>
        <v>713367.0855689164</v>
      </c>
      <c r="Q1170" s="18">
        <f>IF($A1170&gt;40,0,(Q1155-MIN(MAX(R1169,0),Q1155))+MIN(MAX(0,S1169-(Q1155-MIN(MAX(R1169,0),Q1155))),MAX(0,2*Q1155-(R1169-MIN(MAX(R1169,0),Q1155)))))</f>
        <v>39762.567566610538</v>
      </c>
      <c r="R1170" s="18">
        <f>IF($A1170&gt;40,R1169,(R1169-Q1155+Q1170)*(1+$B$7))</f>
        <v>78672.40334267421</v>
      </c>
      <c r="S1170" s="18">
        <f t="shared" si="137"/>
        <v>713367.08544114325</v>
      </c>
    </row>
    <row r="1171" spans="1:19">
      <c r="A1171" s="10">
        <f>14</f>
        <v>14</v>
      </c>
      <c r="B1171" s="18">
        <f>IF($A1171&gt;40,0,(B1155-MIN(MAX(C1170,0),B1155))+MIN(MAX(0,D1170-(B1155-MIN(MAX(C1170,0),B1155))),MAX(0,2*B1155-(C1170-MIN(MAX(C1170,0),B1155)))))</f>
        <v>30216</v>
      </c>
      <c r="C1171" s="18">
        <f>IF($A1171&gt;40,C1170,(C1170-B1155+B1171)*(1+$B$7))</f>
        <v>59784</v>
      </c>
      <c r="D1171" s="18">
        <f t="shared" si="132"/>
        <v>890392.2787440836</v>
      </c>
      <c r="E1171" s="18">
        <f>IF($A1171&gt;40,0,(E1155-MIN(MAX(F1170,0),E1155))+MIN(MAX(0,G1170-(E1155-MIN(MAX(F1170,0),E1155))),MAX(0,2*E1155-(F1170-MIN(MAX(F1170,0),E1155)))))</f>
        <v>33885.737453923619</v>
      </c>
      <c r="F1171" s="18">
        <f>IF($A1171&gt;40,F1170,(F1170-E1155+E1171)*(1+$B$7))</f>
        <v>107955.69279908949</v>
      </c>
      <c r="G1171" s="18">
        <f t="shared" si="133"/>
        <v>0</v>
      </c>
      <c r="H1171" s="18">
        <f>IF($A1171&gt;40,0,(H1155-MIN(MAX(I1170,0),H1155))+MIN(MAX(0,J1170-(H1155-MIN(MAX(I1170,0),H1155))),MAX(0,2*H1155-(I1170-MIN(MAX(I1170,0),H1155)))))</f>
        <v>40238.694470785937</v>
      </c>
      <c r="I1171" s="18">
        <f>IF($A1171&gt;40,I1170,(I1170-H1155+H1171)*(1+$B$7))</f>
        <v>79614.446327821875</v>
      </c>
      <c r="J1171" s="18">
        <f t="shared" si="134"/>
        <v>684008.41248534271</v>
      </c>
      <c r="K1171" s="18">
        <f>IF($A1171&gt;40,0,(K1155-MIN(MAX(L1170,0),K1155))+MIN(MAX(0,M1170-(K1155-MIN(MAX(L1170,0),K1155))),MAX(0,2*K1155-(L1170-MIN(MAX(L1170,0),K1155)))))</f>
        <v>39762.550555017748</v>
      </c>
      <c r="L1171" s="18">
        <f>IF($A1171&gt;40,L1170,(L1170-K1155+K1171)*(1+$B$7))</f>
        <v>78672.369684312318</v>
      </c>
      <c r="M1171" s="18">
        <f t="shared" si="135"/>
        <v>693813.00370761706</v>
      </c>
      <c r="N1171" s="18">
        <f>IF($A1171&gt;40,0,(N1155-MIN(MAX(O1170,0),N1155))+MIN(MAX(0,P1170-(N1155-MIN(MAX(O1170,0),N1155))),MAX(0,2*N1155-(O1170-MIN(MAX(O1170,0),N1155)))))</f>
        <v>39762.567559882722</v>
      </c>
      <c r="O1171" s="18">
        <f>IF($A1171&gt;40,O1170,(O1170-N1155+N1171)*(1+$B$7))</f>
        <v>78672.40332936286</v>
      </c>
      <c r="P1171" s="18">
        <f t="shared" si="136"/>
        <v>693812.6535493047</v>
      </c>
      <c r="Q1171" s="18">
        <f>IF($A1171&gt;40,0,(Q1155-MIN(MAX(R1170,0),Q1155))+MIN(MAX(0,S1170-(Q1155-MIN(MAX(R1170,0),Q1155))),MAX(0,2*Q1155-(R1170-MIN(MAX(R1170,0),Q1155)))))</f>
        <v>39762.567566610538</v>
      </c>
      <c r="R1171" s="18">
        <f>IF($A1171&gt;40,R1170,(R1170-Q1155+Q1171)*(1+$B$7))</f>
        <v>78672.40334267421</v>
      </c>
      <c r="S1171" s="18">
        <f t="shared" si="137"/>
        <v>693812.65341076872</v>
      </c>
    </row>
    <row r="1172" spans="1:19">
      <c r="A1172" s="10">
        <f>15</f>
        <v>15</v>
      </c>
      <c r="B1172" s="18">
        <f>IF($A1172&gt;40,0,(B1155-MIN(MAX(C1171,0),B1155))+MIN(MAX(0,D1171-(B1155-MIN(MAX(C1171,0),B1155))),MAX(0,2*B1155-(C1171-MIN(MAX(C1171,0),B1155)))))</f>
        <v>30216</v>
      </c>
      <c r="C1172" s="18">
        <f>IF($A1172&gt;40,C1171,(C1171-B1155+B1172)*(1+$B$7))</f>
        <v>59784</v>
      </c>
      <c r="D1172" s="18">
        <f t="shared" si="132"/>
        <v>885981.56710640609</v>
      </c>
      <c r="E1172" s="18">
        <f>IF($A1172&gt;40,0,(E1155-MIN(MAX(F1171,0),E1155))+MIN(MAX(0,G1171-(E1155-MIN(MAX(F1171,0),E1155))),MAX(0,2*E1155-(F1171-MIN(MAX(F1171,0),E1155)))))</f>
        <v>0</v>
      </c>
      <c r="F1172" s="18">
        <f>IF($A1172&gt;40,F1171,(F1171-E1155+E1172)*(1+$B$7))</f>
        <v>32837.052305012767</v>
      </c>
      <c r="G1172" s="18">
        <f t="shared" si="133"/>
        <v>0</v>
      </c>
      <c r="H1172" s="18">
        <f>IF($A1172&gt;40,0,(H1155-MIN(MAX(I1171,0),H1155))+MIN(MAX(0,J1171-(H1155-MIN(MAX(I1171,0),H1155))),MAX(0,2*H1155-(I1171-MIN(MAX(I1171,0),H1155)))))</f>
        <v>40238.694470785937</v>
      </c>
      <c r="I1172" s="18">
        <f>IF($A1172&gt;40,I1171,(I1171-H1155+H1172)*(1+$B$7))</f>
        <v>79614.446327821875</v>
      </c>
      <c r="J1172" s="18">
        <f t="shared" si="134"/>
        <v>663082.80955499352</v>
      </c>
      <c r="K1172" s="18">
        <f>IF($A1172&gt;40,0,(K1155-MIN(MAX(L1171,0),K1155))+MIN(MAX(0,M1171-(K1155-MIN(MAX(L1171,0),K1155))),MAX(0,2*K1155-(L1171-MIN(MAX(L1171,0),K1155)))))</f>
        <v>39762.550555017748</v>
      </c>
      <c r="L1172" s="18">
        <f>IF($A1172&gt;40,L1171,(L1171-K1155+K1172)*(1+$B$7))</f>
        <v>78672.369684312318</v>
      </c>
      <c r="M1172" s="18">
        <f t="shared" si="135"/>
        <v>673671.9667471773</v>
      </c>
      <c r="N1172" s="18">
        <f>IF($A1172&gt;40,0,(N1155-MIN(MAX(O1171,0),N1155))+MIN(MAX(0,P1171-(N1155-MIN(MAX(O1171,0),N1155))),MAX(0,2*N1155-(O1171-MIN(MAX(O1171,0),N1155)))))</f>
        <v>39762.567559882722</v>
      </c>
      <c r="O1172" s="18">
        <f>IF($A1172&gt;40,O1171,(O1171-N1155+N1172)*(1+$B$7))</f>
        <v>78672.40332936286</v>
      </c>
      <c r="P1172" s="18">
        <f t="shared" si="136"/>
        <v>673671.58856910456</v>
      </c>
      <c r="Q1172" s="18">
        <f>IF($A1172&gt;40,0,(Q1155-MIN(MAX(R1171,0),Q1155))+MIN(MAX(0,S1171-(Q1155-MIN(MAX(R1171,0),Q1155))),MAX(0,2*Q1155-(R1171-MIN(MAX(R1171,0),Q1155)))))</f>
        <v>39762.567566610538</v>
      </c>
      <c r="R1172" s="18">
        <f>IF($A1172&gt;40,R1171,(R1171-Q1155+Q1172)*(1+$B$7))</f>
        <v>78672.40334267421</v>
      </c>
      <c r="S1172" s="18">
        <f t="shared" si="137"/>
        <v>673671.58841948293</v>
      </c>
    </row>
    <row r="1173" spans="1:19">
      <c r="A1173" s="10">
        <f>16</f>
        <v>16</v>
      </c>
      <c r="B1173" s="18">
        <f>IF($A1173&gt;40,0,(B1155-MIN(MAX(C1172,0),B1155))+MIN(MAX(0,D1172-(B1155-MIN(MAX(C1172,0),B1155))),MAX(0,2*B1155-(C1172-MIN(MAX(C1172,0),B1155)))))</f>
        <v>30216</v>
      </c>
      <c r="C1173" s="18">
        <f>IF($A1173&gt;40,C1172,(C1172-B1155+B1173)*(1+$B$7))</f>
        <v>59784</v>
      </c>
      <c r="D1173" s="18">
        <f t="shared" si="132"/>
        <v>881438.53411959833</v>
      </c>
      <c r="E1173" s="18">
        <f>IF($A1173&gt;40,0,(E1155-MIN(MAX(F1172,0),E1155))+MIN(MAX(0,G1172-(E1155-MIN(MAX(F1172,0),E1155))),MAX(0,2*E1155-(F1172-MIN(MAX(F1172,0),E1155)))))</f>
        <v>42162.947694987233</v>
      </c>
      <c r="F1173" s="18">
        <f>IF($A1173&gt;40,F1172,(F1172-E1155+E1173)*(1+$B$7))</f>
        <v>0</v>
      </c>
      <c r="G1173" s="18">
        <f t="shared" si="133"/>
        <v>-43427.836125836853</v>
      </c>
      <c r="H1173" s="18">
        <f>IF($A1173&gt;40,0,(H1155-MIN(MAX(I1172,0),H1155))+MIN(MAX(0,J1172-(H1155-MIN(MAX(I1172,0),H1155))),MAX(0,2*H1155-(I1172-MIN(MAX(I1172,0),H1155)))))</f>
        <v>40238.694470785937</v>
      </c>
      <c r="I1173" s="18">
        <f>IF($A1173&gt;40,I1172,(I1172-H1155+H1173)*(1+$B$7))</f>
        <v>79614.446327821875</v>
      </c>
      <c r="J1173" s="18">
        <f t="shared" si="134"/>
        <v>641529.43853673385</v>
      </c>
      <c r="K1173" s="18">
        <f>IF($A1173&gt;40,0,(K1155-MIN(MAX(L1172,0),K1155))+MIN(MAX(0,M1172-(K1155-MIN(MAX(L1172,0),K1155))),MAX(0,2*K1155-(L1172-MIN(MAX(L1172,0),K1155)))))</f>
        <v>39762.550555017748</v>
      </c>
      <c r="L1173" s="18">
        <f>IF($A1173&gt;40,L1172,(L1172-K1155+K1173)*(1+$B$7))</f>
        <v>78672.369684312318</v>
      </c>
      <c r="M1173" s="18">
        <f t="shared" si="135"/>
        <v>652926.69867792435</v>
      </c>
      <c r="N1173" s="18">
        <f>IF($A1173&gt;40,0,(N1155-MIN(MAX(O1172,0),N1155))+MIN(MAX(0,P1172-(N1155-MIN(MAX(O1172,0),N1155))),MAX(0,2*N1155-(O1172-MIN(MAX(O1172,0),N1155)))))</f>
        <v>39762.567559882722</v>
      </c>
      <c r="O1173" s="18">
        <f>IF($A1173&gt;40,O1172,(O1172-N1155+N1173)*(1+$B$7))</f>
        <v>78672.40332936286</v>
      </c>
      <c r="P1173" s="18">
        <f t="shared" si="136"/>
        <v>652926.29163949843</v>
      </c>
      <c r="Q1173" s="18">
        <f>IF($A1173&gt;40,0,(Q1155-MIN(MAX(R1172,0),Q1155))+MIN(MAX(0,S1172-(Q1155-MIN(MAX(R1172,0),Q1155))),MAX(0,2*Q1155-(R1172-MIN(MAX(R1172,0),Q1155)))))</f>
        <v>39762.567566610538</v>
      </c>
      <c r="R1173" s="18">
        <f>IF($A1173&gt;40,R1172,(R1172-Q1155+Q1173)*(1+$B$7))</f>
        <v>78672.40334267421</v>
      </c>
      <c r="S1173" s="18">
        <f t="shared" si="137"/>
        <v>652926.29147845856</v>
      </c>
    </row>
    <row r="1174" spans="1:19">
      <c r="A1174" s="10">
        <f>17</f>
        <v>17</v>
      </c>
      <c r="B1174" s="18">
        <f>IF($A1174&gt;40,0,(B1155-MIN(MAX(C1173,0),B1155))+MIN(MAX(0,D1173-(B1155-MIN(MAX(C1173,0),B1155))),MAX(0,2*B1155-(C1173-MIN(MAX(C1173,0),B1155)))))</f>
        <v>30216</v>
      </c>
      <c r="C1174" s="18">
        <f>IF($A1174&gt;40,C1173,(C1173-B1155+B1174)*(1+$B$7))</f>
        <v>59784</v>
      </c>
      <c r="D1174" s="18">
        <f t="shared" si="132"/>
        <v>876759.21014318627</v>
      </c>
      <c r="E1174" s="18">
        <f>IF($A1174&gt;40,0,(E1155-MIN(MAX(F1173,0),E1155))+MIN(MAX(0,G1173-(E1155-MIN(MAX(F1173,0),E1155))),MAX(0,2*E1155-(F1173-MIN(MAX(F1173,0),E1155)))))</f>
        <v>75000</v>
      </c>
      <c r="F1174" s="18">
        <f>IF($A1174&gt;40,F1173,(F1173-E1155+E1174)*(1+$B$7))</f>
        <v>0</v>
      </c>
      <c r="G1174" s="18">
        <f t="shared" si="133"/>
        <v>-121980.67120961196</v>
      </c>
      <c r="H1174" s="18">
        <f>IF($A1174&gt;40,0,(H1155-MIN(MAX(I1173,0),H1155))+MIN(MAX(0,J1173-(H1155-MIN(MAX(I1173,0),H1155))),MAX(0,2*H1155-(I1173-MIN(MAX(I1173,0),H1155)))))</f>
        <v>40238.694470785937</v>
      </c>
      <c r="I1174" s="18">
        <f>IF($A1174&gt;40,I1173,(I1173-H1155+H1174)*(1+$B$7))</f>
        <v>79614.446327821875</v>
      </c>
      <c r="J1174" s="18">
        <f t="shared" si="134"/>
        <v>619329.46638792637</v>
      </c>
      <c r="K1174" s="18">
        <f>IF($A1174&gt;40,0,(K1155-MIN(MAX(L1173,0),K1155))+MIN(MAX(0,M1173-(K1155-MIN(MAX(L1173,0),K1155))),MAX(0,2*K1155-(L1173-MIN(MAX(L1173,0),K1155)))))</f>
        <v>39762.550555017748</v>
      </c>
      <c r="L1174" s="18">
        <f>IF($A1174&gt;40,L1173,(L1173-K1155+K1174)*(1+$B$7))</f>
        <v>78672.369684312318</v>
      </c>
      <c r="M1174" s="18">
        <f t="shared" si="135"/>
        <v>631559.07256659376</v>
      </c>
      <c r="N1174" s="18">
        <f>IF($A1174&gt;40,0,(N1155-MIN(MAX(O1173,0),N1155))+MIN(MAX(0,P1173-(N1155-MIN(MAX(O1173,0),N1155))),MAX(0,2*N1155-(O1173-MIN(MAX(O1173,0),N1155)))))</f>
        <v>39762.567559882722</v>
      </c>
      <c r="O1174" s="18">
        <f>IF($A1174&gt;40,O1173,(O1173-N1155+N1174)*(1+$B$7))</f>
        <v>78672.40332936286</v>
      </c>
      <c r="P1174" s="18">
        <f t="shared" si="136"/>
        <v>631558.63580200414</v>
      </c>
      <c r="Q1174" s="18">
        <f>IF($A1174&gt;40,0,(Q1155-MIN(MAX(R1173,0),Q1155))+MIN(MAX(0,S1173-(Q1155-MIN(MAX(R1173,0),Q1155))),MAX(0,2*Q1155-(R1173-MIN(MAX(R1173,0),Q1155)))))</f>
        <v>39762.567566610538</v>
      </c>
      <c r="R1174" s="18">
        <f>IF($A1174&gt;40,R1173,(R1173-Q1155+Q1174)*(1+$B$7))</f>
        <v>78672.40334267421</v>
      </c>
      <c r="S1174" s="18">
        <f t="shared" si="137"/>
        <v>631558.63562920352</v>
      </c>
    </row>
    <row r="1175" spans="1:19">
      <c r="A1175" s="10">
        <f>18</f>
        <v>18</v>
      </c>
      <c r="B1175" s="18">
        <f>IF($A1175&gt;40,0,(B1155-MIN(MAX(C1174,0),B1155))+MIN(MAX(0,D1174-(B1155-MIN(MAX(C1174,0),B1155))),MAX(0,2*B1155-(C1174-MIN(MAX(C1174,0),B1155)))))</f>
        <v>30216</v>
      </c>
      <c r="C1175" s="18">
        <f>IF($A1175&gt;40,C1174,(C1174-B1155+B1175)*(1+$B$7))</f>
        <v>59784</v>
      </c>
      <c r="D1175" s="18">
        <f t="shared" si="132"/>
        <v>871939.50644748192</v>
      </c>
      <c r="E1175" s="18">
        <f>IF($A1175&gt;40,0,(E1155-MIN(MAX(F1174,0),E1155))+MIN(MAX(0,G1174-(E1155-MIN(MAX(F1174,0),E1155))),MAX(0,2*E1155-(F1174-MIN(MAX(F1174,0),E1155)))))</f>
        <v>75000</v>
      </c>
      <c r="F1175" s="18">
        <f>IF($A1175&gt;40,F1174,(F1174-E1155+E1175)*(1+$B$7))</f>
        <v>0</v>
      </c>
      <c r="G1175" s="18">
        <f t="shared" si="133"/>
        <v>-202890.09134590032</v>
      </c>
      <c r="H1175" s="18">
        <f>IF($A1175&gt;40,0,(H1155-MIN(MAX(I1174,0),H1155))+MIN(MAX(0,J1174-(H1155-MIN(MAX(I1174,0),H1155))),MAX(0,2*H1155-(I1174-MIN(MAX(I1174,0),H1155)))))</f>
        <v>40238.694470785937</v>
      </c>
      <c r="I1175" s="18">
        <f>IF($A1175&gt;40,I1174,(I1174-H1155+H1175)*(1+$B$7))</f>
        <v>79614.446327821875</v>
      </c>
      <c r="J1175" s="18">
        <f t="shared" si="134"/>
        <v>596463.4950746547</v>
      </c>
      <c r="K1175" s="18">
        <f>IF($A1175&gt;40,0,(K1155-MIN(MAX(L1174,0),K1155))+MIN(MAX(0,M1174-(K1155-MIN(MAX(L1174,0),K1155))),MAX(0,2*K1155-(L1174-MIN(MAX(L1174,0),K1155)))))</f>
        <v>39762.550555017748</v>
      </c>
      <c r="L1175" s="18">
        <f>IF($A1175&gt;40,L1174,(L1174-K1155+K1175)*(1+$B$7))</f>
        <v>78672.369684312318</v>
      </c>
      <c r="M1175" s="18">
        <f t="shared" si="135"/>
        <v>609550.41767192329</v>
      </c>
      <c r="N1175" s="18">
        <f>IF($A1175&gt;40,0,(N1155-MIN(MAX(O1174,0),N1155))+MIN(MAX(0,P1174-(N1155-MIN(MAX(O1174,0),N1155))),MAX(0,2*N1155-(O1174-MIN(MAX(O1174,0),N1155)))))</f>
        <v>39762.567559882722</v>
      </c>
      <c r="O1175" s="18">
        <f>IF($A1175&gt;40,O1174,(O1174-N1155+N1175)*(1+$B$7))</f>
        <v>78672.40332936286</v>
      </c>
      <c r="P1175" s="18">
        <f t="shared" si="136"/>
        <v>609549.95028938504</v>
      </c>
      <c r="Q1175" s="18">
        <f>IF($A1175&gt;40,0,(Q1155-MIN(MAX(R1174,0),Q1155))+MIN(MAX(0,S1174-(Q1155-MIN(MAX(R1174,0),Q1155))),MAX(0,2*Q1155-(R1174-MIN(MAX(R1174,0),Q1155)))))</f>
        <v>39762.567566610538</v>
      </c>
      <c r="R1175" s="18">
        <f>IF($A1175&gt;40,R1174,(R1174-Q1155+Q1175)*(1+$B$7))</f>
        <v>78672.40334267421</v>
      </c>
      <c r="S1175" s="18">
        <f t="shared" si="137"/>
        <v>609549.95010447083</v>
      </c>
    </row>
    <row r="1176" spans="1:19">
      <c r="A1176" s="10">
        <f>19</f>
        <v>19</v>
      </c>
      <c r="B1176" s="18">
        <f>IF($A1176&gt;40,0,(B1155-MIN(MAX(C1175,0),B1155))+MIN(MAX(0,D1175-(B1155-MIN(MAX(C1175,0),B1155))),MAX(0,2*B1155-(C1175-MIN(MAX(C1175,0),B1155)))))</f>
        <v>30216</v>
      </c>
      <c r="C1176" s="18">
        <f>IF($A1176&gt;40,C1175,(C1175-B1155+B1176)*(1+$B$7))</f>
        <v>59784</v>
      </c>
      <c r="D1176" s="18">
        <f t="shared" si="132"/>
        <v>866975.2116409064</v>
      </c>
      <c r="E1176" s="18">
        <f>IF($A1176&gt;40,0,(E1155-MIN(MAX(F1175,0),E1155))+MIN(MAX(0,G1175-(E1155-MIN(MAX(F1175,0),E1155))),MAX(0,2*E1155-(F1175-MIN(MAX(F1175,0),E1155)))))</f>
        <v>75000</v>
      </c>
      <c r="F1176" s="18">
        <f>IF($A1176&gt;40,F1175,(F1175-E1155+E1176)*(1+$B$7))</f>
        <v>0</v>
      </c>
      <c r="G1176" s="18">
        <f t="shared" si="133"/>
        <v>-286226.79408627731</v>
      </c>
      <c r="H1176" s="18">
        <f>IF($A1176&gt;40,0,(H1155-MIN(MAX(I1175,0),H1155))+MIN(MAX(0,J1175-(H1155-MIN(MAX(I1175,0),H1155))),MAX(0,2*H1155-(I1175-MIN(MAX(I1175,0),H1155)))))</f>
        <v>40238.694470785937</v>
      </c>
      <c r="I1176" s="18">
        <f>IF($A1176&gt;40,I1175,(I1175-H1155+H1176)*(1+$B$7))</f>
        <v>79614.446327821875</v>
      </c>
      <c r="J1176" s="18">
        <f t="shared" si="134"/>
        <v>572911.54462198482</v>
      </c>
      <c r="K1176" s="18">
        <f>IF($A1176&gt;40,0,(K1155-MIN(MAX(L1175,0),K1155))+MIN(MAX(0,M1175-(K1155-MIN(MAX(L1175,0),K1155))),MAX(0,2*K1155-(L1175-MIN(MAX(L1175,0),K1155)))))</f>
        <v>39762.550555017748</v>
      </c>
      <c r="L1176" s="18">
        <f>IF($A1176&gt;40,L1175,(L1175-K1155+K1176)*(1+$B$7))</f>
        <v>78672.369684312318</v>
      </c>
      <c r="M1176" s="18">
        <f t="shared" si="135"/>
        <v>586881.50313041266</v>
      </c>
      <c r="N1176" s="18">
        <f>IF($A1176&gt;40,0,(N1155-MIN(MAX(O1175,0),N1155))+MIN(MAX(0,P1175-(N1155-MIN(MAX(O1175,0),N1155))),MAX(0,2*N1155-(O1175-MIN(MAX(O1175,0),N1155)))))</f>
        <v>39762.567559882722</v>
      </c>
      <c r="O1176" s="18">
        <f>IF($A1176&gt;40,O1175,(O1175-N1155+N1176)*(1+$B$7))</f>
        <v>78672.40332936286</v>
      </c>
      <c r="P1176" s="18">
        <f t="shared" si="136"/>
        <v>586881.00421138736</v>
      </c>
      <c r="Q1176" s="18">
        <f>IF($A1176&gt;40,0,(Q1155-MIN(MAX(R1175,0),Q1155))+MIN(MAX(0,S1175-(Q1155-MIN(MAX(R1175,0),Q1155))),MAX(0,2*Q1155-(R1175-MIN(MAX(R1175,0),Q1155)))))</f>
        <v>39762.567566610538</v>
      </c>
      <c r="R1176" s="18">
        <f>IF($A1176&gt;40,R1175,(R1175-Q1155+Q1176)*(1+$B$7))</f>
        <v>78672.40334267421</v>
      </c>
      <c r="S1176" s="18">
        <f t="shared" si="137"/>
        <v>586881.00401399611</v>
      </c>
    </row>
    <row r="1177" spans="1:19">
      <c r="A1177" s="10">
        <f>20</f>
        <v>20</v>
      </c>
      <c r="B1177" s="18">
        <f>IF($A1177&gt;40,0,(B1155-MIN(MAX(C1176,0),B1155))+MIN(MAX(0,D1176-(B1155-MIN(MAX(C1176,0),B1155))),MAX(0,2*B1155-(C1176-MIN(MAX(C1176,0),B1155)))))</f>
        <v>30216</v>
      </c>
      <c r="C1177" s="18">
        <f>IF($A1177&gt;40,C1176,(C1176-B1155+B1177)*(1+$B$7))</f>
        <v>59784</v>
      </c>
      <c r="D1177" s="18">
        <f t="shared" si="132"/>
        <v>861861.98799013358</v>
      </c>
      <c r="E1177" s="18">
        <f>IF($A1177&gt;40,0,(E1155-MIN(MAX(F1176,0),E1155))+MIN(MAX(0,G1176-(E1155-MIN(MAX(F1176,0),E1155))),MAX(0,2*E1155-(F1176-MIN(MAX(F1176,0),E1155)))))</f>
        <v>75000</v>
      </c>
      <c r="F1177" s="18">
        <f>IF($A1177&gt;40,F1176,(F1176-E1155+E1177)*(1+$B$7))</f>
        <v>0</v>
      </c>
      <c r="G1177" s="18">
        <f t="shared" si="133"/>
        <v>-372063.59790886566</v>
      </c>
      <c r="H1177" s="18">
        <f>IF($A1177&gt;40,0,(H1155-MIN(MAX(I1176,0),H1155))+MIN(MAX(0,J1176-(H1155-MIN(MAX(I1176,0),H1155))),MAX(0,2*H1155-(I1176-MIN(MAX(I1176,0),H1155)))))</f>
        <v>40238.694470785937</v>
      </c>
      <c r="I1177" s="18">
        <f>IF($A1177&gt;40,I1176,(I1176-H1155+H1177)*(1+$B$7))</f>
        <v>79614.446327821875</v>
      </c>
      <c r="J1177" s="18">
        <f t="shared" si="134"/>
        <v>548653.03565573494</v>
      </c>
      <c r="K1177" s="18">
        <f>IF($A1177&gt;40,0,(K1155-MIN(MAX(L1176,0),K1155))+MIN(MAX(0,M1176-(K1155-MIN(MAX(L1176,0),K1155))),MAX(0,2*K1155-(L1176-MIN(MAX(L1176,0),K1155)))))</f>
        <v>39762.550555017748</v>
      </c>
      <c r="L1177" s="18">
        <f>IF($A1177&gt;40,L1176,(L1176-K1155+K1177)*(1+$B$7))</f>
        <v>78672.369684312318</v>
      </c>
      <c r="M1177" s="18">
        <f t="shared" si="135"/>
        <v>563532.52115265676</v>
      </c>
      <c r="N1177" s="18">
        <f>IF($A1177&gt;40,0,(N1155-MIN(MAX(O1176,0),N1155))+MIN(MAX(0,P1176-(N1155-MIN(MAX(O1176,0),N1155))),MAX(0,2*N1155-(O1176-MIN(MAX(O1176,0),N1155)))))</f>
        <v>39762.567559882722</v>
      </c>
      <c r="O1177" s="18">
        <f>IF($A1177&gt;40,O1176,(O1176-N1155+N1177)*(1+$B$7))</f>
        <v>78672.40332936286</v>
      </c>
      <c r="P1177" s="18">
        <f t="shared" si="136"/>
        <v>563531.98975104978</v>
      </c>
      <c r="Q1177" s="18">
        <f>IF($A1177&gt;40,0,(Q1155-MIN(MAX(R1176,0),Q1155))+MIN(MAX(0,S1176-(Q1155-MIN(MAX(R1176,0),Q1155))),MAX(0,2*Q1155-(R1176-MIN(MAX(R1176,0),Q1155)))))</f>
        <v>39762.567566610538</v>
      </c>
      <c r="R1177" s="18">
        <f>IF($A1177&gt;40,R1176,(R1176-Q1155+Q1177)*(1+$B$7))</f>
        <v>78672.40334267421</v>
      </c>
      <c r="S1177" s="18">
        <f t="shared" si="137"/>
        <v>563531.9895408072</v>
      </c>
    </row>
    <row r="1178" spans="1:19">
      <c r="A1178" s="10">
        <f>21</f>
        <v>21</v>
      </c>
      <c r="B1178" s="18">
        <f>IF($A1178&gt;40,0,(B1155-MIN(MAX(C1177,0),B1155))+MIN(MAX(0,D1177-(B1155-MIN(MAX(C1177,0),B1155))),MAX(0,2*B1155-(C1177-MIN(MAX(C1177,0),B1155)))))</f>
        <v>30216</v>
      </c>
      <c r="C1178" s="18">
        <f>IF($A1178&gt;40,C1177,(C1177-B1155+B1178)*(1+$B$7))</f>
        <v>59784</v>
      </c>
      <c r="D1178" s="18">
        <f t="shared" si="132"/>
        <v>856595.36762983759</v>
      </c>
      <c r="E1178" s="18">
        <f>IF($A1178&gt;40,0,(E1155-MIN(MAX(F1177,0),E1155))+MIN(MAX(0,G1177-(E1155-MIN(MAX(F1177,0),E1155))),MAX(0,2*E1155-(F1177-MIN(MAX(F1177,0),E1155)))))</f>
        <v>75000</v>
      </c>
      <c r="F1178" s="18">
        <f>IF($A1178&gt;40,F1177,(F1177-E1155+E1178)*(1+$B$7))</f>
        <v>0</v>
      </c>
      <c r="G1178" s="18">
        <f t="shared" si="133"/>
        <v>-460475.50584613165</v>
      </c>
      <c r="H1178" s="18">
        <f>IF($A1178&gt;40,0,(H1155-MIN(MAX(I1177,0),H1155))+MIN(MAX(0,J1177-(H1155-MIN(MAX(I1177,0),H1155))),MAX(0,2*H1155-(I1177-MIN(MAX(I1177,0),H1155)))))</f>
        <v>40238.694470785937</v>
      </c>
      <c r="I1178" s="18">
        <f>IF($A1178&gt;40,I1177,(I1177-H1155+H1178)*(1+$B$7))</f>
        <v>79614.446327821875</v>
      </c>
      <c r="J1178" s="18">
        <f t="shared" si="134"/>
        <v>523666.77142049751</v>
      </c>
      <c r="K1178" s="18">
        <f>IF($A1178&gt;40,0,(K1155-MIN(MAX(L1177,0),K1155))+MIN(MAX(0,M1177-(K1155-MIN(MAX(L1177,0),K1155))),MAX(0,2*K1155-(L1177-MIN(MAX(L1177,0),K1155)))))</f>
        <v>39762.550555017748</v>
      </c>
      <c r="L1178" s="18">
        <f>IF($A1178&gt;40,L1177,(L1177-K1155+K1178)*(1+$B$7))</f>
        <v>78672.369684312318</v>
      </c>
      <c r="M1178" s="18">
        <f t="shared" si="135"/>
        <v>539483.06971556821</v>
      </c>
      <c r="N1178" s="18">
        <f>IF($A1178&gt;40,0,(N1155-MIN(MAX(O1177,0),N1155))+MIN(MAX(0,P1177-(N1155-MIN(MAX(O1177,0),N1155))),MAX(0,2*N1155-(O1177-MIN(MAX(O1177,0),N1155)))))</f>
        <v>39762.567559882722</v>
      </c>
      <c r="O1178" s="18">
        <f>IF($A1178&gt;40,O1177,(O1177-N1155+N1178)*(1+$B$7))</f>
        <v>78672.40332936286</v>
      </c>
      <c r="P1178" s="18">
        <f t="shared" si="136"/>
        <v>539482.50485690206</v>
      </c>
      <c r="Q1178" s="18">
        <f>IF($A1178&gt;40,0,(Q1155-MIN(MAX(R1177,0),Q1155))+MIN(MAX(0,S1177-(Q1155-MIN(MAX(R1177,0),Q1155))),MAX(0,2*Q1155-(R1177-MIN(MAX(R1177,0),Q1155)))))</f>
        <v>39762.567566610538</v>
      </c>
      <c r="R1178" s="18">
        <f>IF($A1178&gt;40,R1177,(R1177-Q1155+Q1178)*(1+$B$7))</f>
        <v>78672.40334267421</v>
      </c>
      <c r="S1178" s="18">
        <f t="shared" si="137"/>
        <v>539482.50463342259</v>
      </c>
    </row>
    <row r="1179" spans="1:19">
      <c r="A1179" s="10">
        <f>22</f>
        <v>22</v>
      </c>
      <c r="B1179" s="18">
        <f>IF($A1179&gt;40,0,(B1155-MIN(MAX(C1178,0),B1155))+MIN(MAX(0,D1178-(B1155-MIN(MAX(C1178,0),B1155))),MAX(0,2*B1155-(C1178-MIN(MAX(C1178,0),B1155)))))</f>
        <v>30216</v>
      </c>
      <c r="C1179" s="18">
        <f>IF($A1179&gt;40,C1178,(C1178-B1155+B1179)*(1+$B$7))</f>
        <v>59784</v>
      </c>
      <c r="D1179" s="18">
        <f t="shared" si="132"/>
        <v>851170.74865873274</v>
      </c>
      <c r="E1179" s="18">
        <f>IF($A1179&gt;40,0,(E1155-MIN(MAX(F1178,0),E1155))+MIN(MAX(0,G1178-(E1155-MIN(MAX(F1178,0),E1155))),MAX(0,2*E1155-(F1178-MIN(MAX(F1178,0),E1155)))))</f>
        <v>75000</v>
      </c>
      <c r="F1179" s="18">
        <f>IF($A1179&gt;40,F1178,(F1178-E1155+E1179)*(1+$B$7))</f>
        <v>0</v>
      </c>
      <c r="G1179" s="18">
        <f t="shared" si="133"/>
        <v>-551539.7710215156</v>
      </c>
      <c r="H1179" s="18">
        <f>IF($A1179&gt;40,0,(H1155-MIN(MAX(I1178,0),H1155))+MIN(MAX(0,J1178-(H1155-MIN(MAX(I1178,0),H1155))),MAX(0,2*H1155-(I1178-MIN(MAX(I1178,0),H1155)))))</f>
        <v>40238.694470785937</v>
      </c>
      <c r="I1179" s="18">
        <f>IF($A1179&gt;40,I1178,(I1178-H1155+H1179)*(1+$B$7))</f>
        <v>79614.446327821875</v>
      </c>
      <c r="J1179" s="18">
        <f t="shared" si="134"/>
        <v>497930.91925820289</v>
      </c>
      <c r="K1179" s="18">
        <f>IF($A1179&gt;40,0,(K1155-MIN(MAX(L1178,0),K1155))+MIN(MAX(0,M1178-(K1155-MIN(MAX(L1178,0),K1155))),MAX(0,2*K1155-(L1178-MIN(MAX(L1178,0),K1155)))))</f>
        <v>39762.550555017748</v>
      </c>
      <c r="L1179" s="18">
        <f>IF($A1179&gt;40,L1178,(L1178-K1155+K1179)*(1+$B$7))</f>
        <v>78672.369684312318</v>
      </c>
      <c r="M1179" s="18">
        <f t="shared" si="135"/>
        <v>514712.13473536697</v>
      </c>
      <c r="N1179" s="18">
        <f>IF($A1179&gt;40,0,(N1155-MIN(MAX(O1178,0),N1155))+MIN(MAX(0,P1178-(N1155-MIN(MAX(O1178,0),N1155))),MAX(0,2*N1155-(O1178-MIN(MAX(O1178,0),N1155)))))</f>
        <v>39762.567559882722</v>
      </c>
      <c r="O1179" s="18">
        <f>IF($A1179&gt;40,O1178,(O1178-N1155+N1179)*(1+$B$7))</f>
        <v>78672.40332936286</v>
      </c>
      <c r="P1179" s="18">
        <f t="shared" si="136"/>
        <v>514711.53541592992</v>
      </c>
      <c r="Q1179" s="18">
        <f>IF($A1179&gt;40,0,(Q1155-MIN(MAX(R1178,0),Q1155))+MIN(MAX(0,S1178-(Q1155-MIN(MAX(R1178,0),Q1155))),MAX(0,2*Q1155-(R1178-MIN(MAX(R1178,0),Q1155)))))</f>
        <v>39762.567566610538</v>
      </c>
      <c r="R1179" s="18">
        <f>IF($A1179&gt;40,R1178,(R1178-Q1155+Q1179)*(1+$B$7))</f>
        <v>78672.40334267421</v>
      </c>
      <c r="S1179" s="18">
        <f t="shared" si="137"/>
        <v>514711.53517881647</v>
      </c>
    </row>
    <row r="1180" spans="1:19">
      <c r="A1180" s="10">
        <f>23</f>
        <v>23</v>
      </c>
      <c r="B1180" s="18">
        <f>IF($A1180&gt;40,0,(B1155-MIN(MAX(C1179,0),B1155))+MIN(MAX(0,D1179-(B1155-MIN(MAX(C1179,0),B1155))),MAX(0,2*B1155-(C1179-MIN(MAX(C1179,0),B1155)))))</f>
        <v>30216</v>
      </c>
      <c r="C1180" s="18">
        <f>IF($A1180&gt;40,C1179,(C1179-B1155+B1180)*(1+$B$7))</f>
        <v>59784</v>
      </c>
      <c r="D1180" s="18">
        <f t="shared" si="132"/>
        <v>845583.39111849479</v>
      </c>
      <c r="E1180" s="18">
        <f>IF($A1180&gt;40,0,(E1155-MIN(MAX(F1179,0),E1155))+MIN(MAX(0,G1179-(E1155-MIN(MAX(F1179,0),E1155))),MAX(0,2*E1155-(F1179-MIN(MAX(F1179,0),E1155)))))</f>
        <v>75000</v>
      </c>
      <c r="F1180" s="18">
        <f>IF($A1180&gt;40,F1179,(F1179-E1155+E1180)*(1+$B$7))</f>
        <v>0</v>
      </c>
      <c r="G1180" s="18">
        <f t="shared" si="133"/>
        <v>-645335.96415216103</v>
      </c>
      <c r="H1180" s="18">
        <f>IF($A1180&gt;40,0,(H1155-MIN(MAX(I1179,0),H1155))+MIN(MAX(0,J1179-(H1155-MIN(MAX(I1179,0),H1155))),MAX(0,2*H1155-(I1179-MIN(MAX(I1179,0),H1155)))))</f>
        <v>40238.694470785937</v>
      </c>
      <c r="I1180" s="18">
        <f>IF($A1180&gt;40,I1179,(I1179-H1155+H1180)*(1+$B$7))</f>
        <v>79614.446327821875</v>
      </c>
      <c r="J1180" s="18">
        <f t="shared" si="134"/>
        <v>471422.99153103953</v>
      </c>
      <c r="K1180" s="18">
        <f>IF($A1180&gt;40,0,(K1155-MIN(MAX(L1179,0),K1155))+MIN(MAX(0,M1179-(K1155-MIN(MAX(L1179,0),K1155))),MAX(0,2*K1155-(L1179-MIN(MAX(L1179,0),K1155)))))</f>
        <v>39762.550555017748</v>
      </c>
      <c r="L1180" s="18">
        <f>IF($A1180&gt;40,L1179,(L1179-K1155+K1180)*(1+$B$7))</f>
        <v>78672.369684312318</v>
      </c>
      <c r="M1180" s="18">
        <f t="shared" si="135"/>
        <v>489198.07170575974</v>
      </c>
      <c r="N1180" s="18">
        <f>IF($A1180&gt;40,0,(N1155-MIN(MAX(O1179,0),N1155))+MIN(MAX(0,P1179-(N1155-MIN(MAX(O1179,0),N1155))),MAX(0,2*N1155-(O1179-MIN(MAX(O1179,0),N1155)))))</f>
        <v>39762.567559882722</v>
      </c>
      <c r="O1180" s="18">
        <f>IF($A1180&gt;40,O1179,(O1179-N1155+N1180)*(1+$B$7))</f>
        <v>78672.40332936286</v>
      </c>
      <c r="P1180" s="18">
        <f t="shared" si="136"/>
        <v>489197.43689172866</v>
      </c>
      <c r="Q1180" s="18">
        <f>IF($A1180&gt;40,0,(Q1155-MIN(MAX(R1179,0),Q1155))+MIN(MAX(0,S1179-(Q1155-MIN(MAX(R1179,0),Q1155))),MAX(0,2*Q1155-(R1179-MIN(MAX(R1179,0),Q1155)))))</f>
        <v>39762.567566610538</v>
      </c>
      <c r="R1180" s="18">
        <f>IF($A1180&gt;40,R1179,(R1179-Q1155+Q1180)*(1+$B$7))</f>
        <v>78672.40334267421</v>
      </c>
      <c r="S1180" s="18">
        <f t="shared" si="137"/>
        <v>489197.43664057215</v>
      </c>
    </row>
    <row r="1181" spans="1:19">
      <c r="A1181" s="10">
        <f>24</f>
        <v>24</v>
      </c>
      <c r="B1181" s="18">
        <f>IF($A1181&gt;40,0,(B1155-MIN(MAX(C1180,0),B1155))+MIN(MAX(0,D1180-(B1155-MIN(MAX(C1180,0),B1155))),MAX(0,2*B1155-(C1180-MIN(MAX(C1180,0),B1155)))))</f>
        <v>30216</v>
      </c>
      <c r="C1181" s="18">
        <f>IF($A1181&gt;40,C1180,(C1180-B1155+B1181)*(1+$B$7))</f>
        <v>59784</v>
      </c>
      <c r="D1181" s="18">
        <f t="shared" si="132"/>
        <v>839828.41285204969</v>
      </c>
      <c r="E1181" s="18">
        <f>IF($A1181&gt;40,0,(E1155-MIN(MAX(F1180,0),E1155))+MIN(MAX(0,G1180-(E1155-MIN(MAX(F1180,0),E1155))),MAX(0,2*E1155-(F1180-MIN(MAX(F1180,0),E1155)))))</f>
        <v>75000</v>
      </c>
      <c r="F1181" s="18">
        <f>IF($A1181&gt;40,F1180,(F1180-E1155+E1181)*(1+$B$7))</f>
        <v>0</v>
      </c>
      <c r="G1181" s="18">
        <f t="shared" si="133"/>
        <v>-741946.04307672591</v>
      </c>
      <c r="H1181" s="18">
        <f>IF($A1181&gt;40,0,(H1155-MIN(MAX(I1180,0),H1155))+MIN(MAX(0,J1180-(H1155-MIN(MAX(I1180,0),H1155))),MAX(0,2*H1155-(I1180-MIN(MAX(I1180,0),H1155)))))</f>
        <v>40238.694470785937</v>
      </c>
      <c r="I1181" s="18">
        <f>IF($A1181&gt;40,I1180,(I1180-H1155+H1181)*(1+$B$7))</f>
        <v>79614.446327821875</v>
      </c>
      <c r="J1181" s="18">
        <f t="shared" si="134"/>
        <v>444119.8259720612</v>
      </c>
      <c r="K1181" s="18">
        <f>IF($A1181&gt;40,0,(K1155-MIN(MAX(L1180,0),K1155))+MIN(MAX(0,M1180-(K1155-MIN(MAX(L1180,0),K1155))),MAX(0,2*K1155-(L1180-MIN(MAX(L1180,0),K1155)))))</f>
        <v>39762.550555017748</v>
      </c>
      <c r="L1181" s="18">
        <f>IF($A1181&gt;40,L1180,(L1180-K1155+K1181)*(1+$B$7))</f>
        <v>78672.369684312318</v>
      </c>
      <c r="M1181" s="18">
        <f t="shared" si="135"/>
        <v>462918.58678526426</v>
      </c>
      <c r="N1181" s="18">
        <f>IF($A1181&gt;40,0,(N1155-MIN(MAX(O1180,0),N1155))+MIN(MAX(0,P1180-(N1155-MIN(MAX(O1180,0),N1155))),MAX(0,2*N1155-(O1180-MIN(MAX(O1180,0),N1155)))))</f>
        <v>39762.567559882722</v>
      </c>
      <c r="O1181" s="18">
        <f>IF($A1181&gt;40,O1180,(O1180-N1155+N1181)*(1+$B$7))</f>
        <v>78672.40332936286</v>
      </c>
      <c r="P1181" s="18">
        <f t="shared" si="136"/>
        <v>462917.91541180137</v>
      </c>
      <c r="Q1181" s="18">
        <f>IF($A1181&gt;40,0,(Q1155-MIN(MAX(R1180,0),Q1155))+MIN(MAX(0,S1180-(Q1155-MIN(MAX(R1180,0),Q1155))),MAX(0,2*Q1155-(R1180-MIN(MAX(R1180,0),Q1155)))))</f>
        <v>39762.567566610538</v>
      </c>
      <c r="R1181" s="18">
        <f>IF($A1181&gt;40,R1180,(R1180-Q1155+Q1181)*(1+$B$7))</f>
        <v>78672.40334267421</v>
      </c>
      <c r="S1181" s="18">
        <f t="shared" si="137"/>
        <v>462917.91514618049</v>
      </c>
    </row>
    <row r="1182" spans="1:19">
      <c r="A1182" s="10">
        <f>25</f>
        <v>25</v>
      </c>
      <c r="B1182" s="18">
        <f>IF($A1182&gt;40,0,(B1155-MIN(MAX(C1181,0),B1155))+MIN(MAX(0,D1181-(B1155-MIN(MAX(C1181,0),B1155))),MAX(0,2*B1155-(C1181-MIN(MAX(C1181,0),B1155)))))</f>
        <v>30216</v>
      </c>
      <c r="C1182" s="18">
        <f>IF($A1182&gt;40,C1181,(C1181-B1155+B1182)*(1+$B$7))</f>
        <v>59784</v>
      </c>
      <c r="D1182" s="18">
        <f t="shared" si="132"/>
        <v>833900.78523761116</v>
      </c>
      <c r="E1182" s="18">
        <f>IF($A1182&gt;40,0,(E1155-MIN(MAX(F1181,0),E1155))+MIN(MAX(0,G1181-(E1155-MIN(MAX(F1181,0),E1155))),MAX(0,2*E1155-(F1181-MIN(MAX(F1181,0),E1155)))))</f>
        <v>75000</v>
      </c>
      <c r="F1182" s="18">
        <f>IF($A1182&gt;40,F1181,(F1181-E1155+E1182)*(1+$B$7))</f>
        <v>0</v>
      </c>
      <c r="G1182" s="18">
        <f t="shared" si="133"/>
        <v>-841454.42436902772</v>
      </c>
      <c r="H1182" s="18">
        <f>IF($A1182&gt;40,0,(H1155-MIN(MAX(I1181,0),H1155))+MIN(MAX(0,J1181-(H1155-MIN(MAX(I1181,0),H1155))),MAX(0,2*H1155-(I1181-MIN(MAX(I1181,0),H1155)))))</f>
        <v>40238.694470785937</v>
      </c>
      <c r="I1182" s="18">
        <f>IF($A1182&gt;40,I1181,(I1181-H1155+H1182)*(1+$B$7))</f>
        <v>79614.446327821875</v>
      </c>
      <c r="J1182" s="18">
        <f t="shared" si="134"/>
        <v>415997.56544631347</v>
      </c>
      <c r="K1182" s="18">
        <f>IF($A1182&gt;40,0,(K1155-MIN(MAX(L1181,0),K1155))+MIN(MAX(0,M1181-(K1155-MIN(MAX(L1181,0),K1155))),MAX(0,2*K1155-(L1181-MIN(MAX(L1181,0),K1155)))))</f>
        <v>39762.550555017748</v>
      </c>
      <c r="L1182" s="18">
        <f>IF($A1182&gt;40,L1181,(L1181-K1155+K1182)*(1+$B$7))</f>
        <v>78672.369684312318</v>
      </c>
      <c r="M1182" s="18">
        <f t="shared" si="135"/>
        <v>435850.71731715393</v>
      </c>
      <c r="N1182" s="18">
        <f>IF($A1182&gt;40,0,(N1155-MIN(MAX(O1181,0),N1155))+MIN(MAX(0,P1181-(N1155-MIN(MAX(O1181,0),N1155))),MAX(0,2*N1155-(O1181-MIN(MAX(O1181,0),N1155)))))</f>
        <v>39762.567559882722</v>
      </c>
      <c r="O1182" s="18">
        <f>IF($A1182&gt;40,O1181,(O1181-N1155+N1182)*(1+$B$7))</f>
        <v>78672.40332936286</v>
      </c>
      <c r="P1182" s="18">
        <f t="shared" si="136"/>
        <v>435850.00828747626</v>
      </c>
      <c r="Q1182" s="18">
        <f>IF($A1182&gt;40,0,(Q1155-MIN(MAX(R1181,0),Q1155))+MIN(MAX(0,S1181-(Q1155-MIN(MAX(R1181,0),Q1155))),MAX(0,2*Q1155-(R1181-MIN(MAX(R1181,0),Q1155)))))</f>
        <v>39762.567566610538</v>
      </c>
      <c r="R1182" s="18">
        <f>IF($A1182&gt;40,R1181,(R1181-Q1155+Q1182)*(1+$B$7))</f>
        <v>78672.40334267421</v>
      </c>
      <c r="S1182" s="18">
        <f t="shared" si="137"/>
        <v>435850.00800695707</v>
      </c>
    </row>
    <row r="1183" spans="1:19">
      <c r="A1183" s="10">
        <f>26</f>
        <v>26</v>
      </c>
      <c r="B1183" s="18">
        <f>IF($A1183&gt;40,0,(B1155-MIN(MAX(C1182,0),B1155))+MIN(MAX(0,D1182-(B1155-MIN(MAX(C1182,0),B1155))),MAX(0,2*B1155-(C1182-MIN(MAX(C1182,0),B1155)))))</f>
        <v>30216</v>
      </c>
      <c r="C1183" s="18">
        <f>IF($A1183&gt;40,C1182,(C1182-B1155+B1183)*(1+$B$7))</f>
        <v>59784</v>
      </c>
      <c r="D1183" s="18">
        <f t="shared" si="132"/>
        <v>827795.32879473956</v>
      </c>
      <c r="E1183" s="18">
        <f>IF($A1183&gt;40,0,(E1155-MIN(MAX(F1182,0),E1155))+MIN(MAX(0,G1182-(E1155-MIN(MAX(F1182,0),E1155))),MAX(0,2*E1155-(F1182-MIN(MAX(F1182,0),E1155)))))</f>
        <v>75000</v>
      </c>
      <c r="F1183" s="18">
        <f>IF($A1183&gt;40,F1182,(F1182-E1155+E1183)*(1+$B$7))</f>
        <v>0</v>
      </c>
      <c r="G1183" s="18">
        <f t="shared" si="133"/>
        <v>-943948.05710009858</v>
      </c>
      <c r="H1183" s="18">
        <f>IF($A1183&gt;40,0,(H1155-MIN(MAX(I1182,0),H1155))+MIN(MAX(0,J1182-(H1155-MIN(MAX(I1182,0),H1155))),MAX(0,2*H1155-(I1182-MIN(MAX(I1182,0),H1155)))))</f>
        <v>40238.694470785937</v>
      </c>
      <c r="I1183" s="18">
        <f>IF($A1183&gt;40,I1182,(I1182-H1155+H1183)*(1+$B$7))</f>
        <v>79614.446327821875</v>
      </c>
      <c r="J1183" s="18">
        <f t="shared" si="134"/>
        <v>387031.63710479339</v>
      </c>
      <c r="K1183" s="18">
        <f>IF($A1183&gt;40,0,(K1155-MIN(MAX(L1182,0),K1155))+MIN(MAX(0,M1182-(K1155-MIN(MAX(L1182,0),K1155))),MAX(0,2*K1155-(L1182-MIN(MAX(L1182,0),K1155)))))</f>
        <v>39762.550555017748</v>
      </c>
      <c r="L1183" s="18">
        <f>IF($A1183&gt;40,L1182,(L1182-K1155+K1183)*(1+$B$7))</f>
        <v>78672.369684312318</v>
      </c>
      <c r="M1183" s="18">
        <f t="shared" si="135"/>
        <v>407970.81176500022</v>
      </c>
      <c r="N1183" s="18">
        <f>IF($A1183&gt;40,0,(N1155-MIN(MAX(O1182,0),N1155))+MIN(MAX(0,P1182-(N1155-MIN(MAX(O1182,0),N1155))),MAX(0,2*N1155-(O1182-MIN(MAX(O1182,0),N1155)))))</f>
        <v>39762.567559882722</v>
      </c>
      <c r="O1183" s="18">
        <f>IF($A1183&gt;40,O1182,(O1182-N1155+N1183)*(1+$B$7))</f>
        <v>78672.40332936286</v>
      </c>
      <c r="P1183" s="18">
        <f t="shared" si="136"/>
        <v>407970.0639494214</v>
      </c>
      <c r="Q1183" s="18">
        <f>IF($A1183&gt;40,0,(Q1155-MIN(MAX(R1182,0),Q1155))+MIN(MAX(0,S1182-(Q1155-MIN(MAX(R1182,0),Q1155))),MAX(0,2*Q1155-(R1182-MIN(MAX(R1182,0),Q1155)))))</f>
        <v>39762.567566610538</v>
      </c>
      <c r="R1183" s="18">
        <f>IF($A1183&gt;40,R1182,(R1182-Q1155+Q1183)*(1+$B$7))</f>
        <v>78672.40334267421</v>
      </c>
      <c r="S1183" s="18">
        <f t="shared" si="137"/>
        <v>407970.06365355698</v>
      </c>
    </row>
    <row r="1184" spans="1:19">
      <c r="A1184" s="10">
        <f>27</f>
        <v>27</v>
      </c>
      <c r="B1184" s="18">
        <f>IF($A1184&gt;40,0,(B1155-MIN(MAX(C1183,0),B1155))+MIN(MAX(0,D1183-(B1155-MIN(MAX(C1183,0),B1155))),MAX(0,2*B1155-(C1183-MIN(MAX(C1183,0),B1155)))))</f>
        <v>30216</v>
      </c>
      <c r="C1184" s="18">
        <f>IF($A1184&gt;40,C1183,(C1183-B1155+B1184)*(1+$B$7))</f>
        <v>59784</v>
      </c>
      <c r="D1184" s="18">
        <f t="shared" si="132"/>
        <v>821506.70865858172</v>
      </c>
      <c r="E1184" s="18">
        <f>IF($A1184&gt;40,0,(E1155-MIN(MAX(F1183,0),E1155))+MIN(MAX(0,G1183-(E1155-MIN(MAX(F1183,0),E1155))),MAX(0,2*E1155-(F1183-MIN(MAX(F1183,0),E1155)))))</f>
        <v>75000</v>
      </c>
      <c r="F1184" s="18">
        <f>IF($A1184&gt;40,F1183,(F1183-E1155+E1184)*(1+$B$7))</f>
        <v>0</v>
      </c>
      <c r="G1184" s="18">
        <f t="shared" si="133"/>
        <v>-1049516.4988131016</v>
      </c>
      <c r="H1184" s="18">
        <f>IF($A1184&gt;40,0,(H1155-MIN(MAX(I1183,0),H1155))+MIN(MAX(0,J1183-(H1155-MIN(MAX(I1183,0),H1155))),MAX(0,2*H1155-(I1183-MIN(MAX(I1183,0),H1155)))))</f>
        <v>40238.694470785937</v>
      </c>
      <c r="I1184" s="18">
        <f>IF($A1184&gt;40,I1183,(I1183-H1155+H1184)*(1+$B$7))</f>
        <v>79614.446327821875</v>
      </c>
      <c r="J1184" s="18">
        <f t="shared" si="134"/>
        <v>357196.73091302766</v>
      </c>
      <c r="K1184" s="18">
        <f>IF($A1184&gt;40,0,(K1155-MIN(MAX(L1183,0),K1155))+MIN(MAX(0,M1183-(K1155-MIN(MAX(L1183,0),K1155))),MAX(0,2*K1155-(L1183-MIN(MAX(L1183,0),K1155)))))</f>
        <v>39762.550555017748</v>
      </c>
      <c r="L1184" s="18">
        <f>IF($A1184&gt;40,L1183,(L1183-K1155+K1184)*(1+$B$7))</f>
        <v>78672.369684312318</v>
      </c>
      <c r="M1184" s="18">
        <f t="shared" si="135"/>
        <v>379254.50904628192</v>
      </c>
      <c r="N1184" s="18">
        <f>IF($A1184&gt;40,0,(N1155-MIN(MAX(O1183,0),N1155))+MIN(MAX(0,P1183-(N1155-MIN(MAX(O1183,0),N1155))),MAX(0,2*N1155-(O1183-MIN(MAX(O1183,0),N1155)))))</f>
        <v>39762.567559882722</v>
      </c>
      <c r="O1184" s="18">
        <f>IF($A1184&gt;40,O1183,(O1183-N1155+N1184)*(1+$B$7))</f>
        <v>78672.40332936286</v>
      </c>
      <c r="P1184" s="18">
        <f t="shared" si="136"/>
        <v>379253.72128122486</v>
      </c>
      <c r="Q1184" s="18">
        <f>IF($A1184&gt;40,0,(Q1155-MIN(MAX(R1183,0),Q1155))+MIN(MAX(0,S1183-(Q1155-MIN(MAX(R1183,0),Q1155))),MAX(0,2*Q1155-(R1183-MIN(MAX(R1183,0),Q1155)))))</f>
        <v>39762.567566610538</v>
      </c>
      <c r="R1184" s="18">
        <f>IF($A1184&gt;40,R1183,(R1183-Q1155+Q1184)*(1+$B$7))</f>
        <v>78672.40334267421</v>
      </c>
      <c r="S1184" s="18">
        <f t="shared" si="137"/>
        <v>379253.72096955485</v>
      </c>
    </row>
    <row r="1185" spans="1:19">
      <c r="A1185" s="10">
        <f>28</f>
        <v>28</v>
      </c>
      <c r="B1185" s="18">
        <f>IF($A1185&gt;40,0,(B1155-MIN(MAX(C1184,0),B1155))+MIN(MAX(0,D1184-(B1155-MIN(MAX(C1184,0),B1155))),MAX(0,2*B1155-(C1184-MIN(MAX(C1184,0),B1155)))))</f>
        <v>30216</v>
      </c>
      <c r="C1185" s="18">
        <f>IF($A1185&gt;40,C1184,(C1184-B1155+B1185)*(1+$B$7))</f>
        <v>59784</v>
      </c>
      <c r="D1185" s="18">
        <f t="shared" si="132"/>
        <v>815029.42991833924</v>
      </c>
      <c r="E1185" s="18">
        <f>IF($A1185&gt;40,0,(E1155-MIN(MAX(F1184,0),E1155))+MIN(MAX(0,G1184-(E1155-MIN(MAX(F1184,0),E1155))),MAX(0,2*E1155-(F1184-MIN(MAX(F1184,0),E1155)))))</f>
        <v>75000</v>
      </c>
      <c r="F1185" s="18">
        <f>IF($A1185&gt;40,F1184,(F1184-E1155+E1185)*(1+$B$7))</f>
        <v>0</v>
      </c>
      <c r="G1185" s="18">
        <f t="shared" si="133"/>
        <v>-1158251.9937774946</v>
      </c>
      <c r="H1185" s="18">
        <f>IF($A1185&gt;40,0,(H1155-MIN(MAX(I1184,0),H1155))+MIN(MAX(0,J1184-(H1155-MIN(MAX(I1184,0),H1155))),MAX(0,2*H1155-(I1184-MIN(MAX(I1184,0),H1155)))))</f>
        <v>40238.694470785937</v>
      </c>
      <c r="I1185" s="18">
        <f>IF($A1185&gt;40,I1184,(I1184-H1155+H1185)*(1+$B$7))</f>
        <v>79614.446327821875</v>
      </c>
      <c r="J1185" s="18">
        <f t="shared" si="134"/>
        <v>326466.77753550903</v>
      </c>
      <c r="K1185" s="18">
        <f>IF($A1185&gt;40,0,(K1155-MIN(MAX(L1184,0),K1155))+MIN(MAX(0,M1184-(K1155-MIN(MAX(L1184,0),K1155))),MAX(0,2*K1155-(L1184-MIN(MAX(L1184,0),K1155)))))</f>
        <v>39762.550555017748</v>
      </c>
      <c r="L1185" s="18">
        <f>IF($A1185&gt;40,L1184,(L1184-K1155+K1185)*(1+$B$7))</f>
        <v>78672.369684312318</v>
      </c>
      <c r="M1185" s="18">
        <f t="shared" si="135"/>
        <v>349676.71724600205</v>
      </c>
      <c r="N1185" s="18">
        <f>IF($A1185&gt;40,0,(N1155-MIN(MAX(O1184,0),N1155))+MIN(MAX(0,P1184-(N1155-MIN(MAX(O1184,0),N1155))),MAX(0,2*N1155-(O1184-MIN(MAX(O1184,0),N1155)))))</f>
        <v>39762.567559882722</v>
      </c>
      <c r="O1185" s="18">
        <f>IF($A1185&gt;40,O1184,(O1184-N1155+N1185)*(1+$B$7))</f>
        <v>78672.40332936286</v>
      </c>
      <c r="P1185" s="18">
        <f t="shared" si="136"/>
        <v>349675.88833298243</v>
      </c>
      <c r="Q1185" s="18">
        <f>IF($A1185&gt;40,0,(Q1155-MIN(MAX(R1184,0),Q1155))+MIN(MAX(0,S1184-(Q1155-MIN(MAX(R1184,0),Q1155))),MAX(0,2*Q1155-(R1184-MIN(MAX(R1184,0),Q1155)))))</f>
        <v>39762.567566610538</v>
      </c>
      <c r="R1185" s="18">
        <f>IF($A1185&gt;40,R1184,(R1184-Q1155+Q1185)*(1+$B$7))</f>
        <v>78672.40334267421</v>
      </c>
      <c r="S1185" s="18">
        <f t="shared" si="137"/>
        <v>349675.88800503267</v>
      </c>
    </row>
    <row r="1186" spans="1:19">
      <c r="A1186" s="10">
        <f>29</f>
        <v>29</v>
      </c>
      <c r="B1186" s="18">
        <f>IF($A1186&gt;40,0,(B1155-MIN(MAX(C1185,0),B1155))+MIN(MAX(0,D1185-(B1155-MIN(MAX(C1185,0),B1155))),MAX(0,2*B1155-(C1185-MIN(MAX(C1185,0),B1155)))))</f>
        <v>30216</v>
      </c>
      <c r="C1186" s="18">
        <f>IF($A1186&gt;40,C1185,(C1185-B1155+B1186)*(1+$B$7))</f>
        <v>59784</v>
      </c>
      <c r="D1186" s="18">
        <f t="shared" si="132"/>
        <v>808357.83281588939</v>
      </c>
      <c r="E1186" s="18">
        <f>IF($A1186&gt;40,0,(E1155-MIN(MAX(F1185,0),E1155))+MIN(MAX(0,G1185-(E1155-MIN(MAX(F1185,0),E1155))),MAX(0,2*E1155-(F1185-MIN(MAX(F1185,0),E1155)))))</f>
        <v>75000</v>
      </c>
      <c r="F1186" s="18">
        <f>IF($A1186&gt;40,F1185,(F1185-E1155+E1186)*(1+$B$7))</f>
        <v>0</v>
      </c>
      <c r="G1186" s="18">
        <f t="shared" si="133"/>
        <v>-1270249.5535908195</v>
      </c>
      <c r="H1186" s="18">
        <f>IF($A1186&gt;40,0,(H1155-MIN(MAX(I1185,0),H1155))+MIN(MAX(0,J1185-(H1155-MIN(MAX(I1185,0),H1155))),MAX(0,2*H1155-(I1185-MIN(MAX(I1185,0),H1155)))))</f>
        <v>40238.694470785937</v>
      </c>
      <c r="I1186" s="18">
        <f>IF($A1186&gt;40,I1185,(I1185-H1155+H1186)*(1+$B$7))</f>
        <v>79614.446327821875</v>
      </c>
      <c r="J1186" s="18">
        <f t="shared" si="134"/>
        <v>294814.92555666476</v>
      </c>
      <c r="K1186" s="18">
        <f>IF($A1186&gt;40,0,(K1155-MIN(MAX(L1185,0),K1155))+MIN(MAX(0,M1185-(K1155-MIN(MAX(L1185,0),K1155))),MAX(0,2*K1155-(L1185-MIN(MAX(L1185,0),K1155)))))</f>
        <v>39762.550555017748</v>
      </c>
      <c r="L1186" s="18">
        <f>IF($A1186&gt;40,L1185,(L1185-K1155+K1186)*(1+$B$7))</f>
        <v>78672.369684312318</v>
      </c>
      <c r="M1186" s="18">
        <f t="shared" si="135"/>
        <v>319211.59169171384</v>
      </c>
      <c r="N1186" s="18">
        <f>IF($A1186&gt;40,0,(N1155-MIN(MAX(O1185,0),N1155))+MIN(MAX(0,P1185-(N1155-MIN(MAX(O1185,0),N1155))),MAX(0,2*N1155-(O1185-MIN(MAX(O1185,0),N1155)))))</f>
        <v>39762.567559882722</v>
      </c>
      <c r="O1186" s="18">
        <f>IF($A1186&gt;40,O1185,(O1185-N1155+N1186)*(1+$B$7))</f>
        <v>78672.40332936286</v>
      </c>
      <c r="P1186" s="18">
        <f t="shared" si="136"/>
        <v>319210.72039629275</v>
      </c>
      <c r="Q1186" s="18">
        <f>IF($A1186&gt;40,0,(Q1155-MIN(MAX(R1185,0),Q1155))+MIN(MAX(0,S1185-(Q1155-MIN(MAX(R1185,0),Q1155))),MAX(0,2*Q1155-(R1185-MIN(MAX(R1185,0),Q1155)))))</f>
        <v>39762.567566610538</v>
      </c>
      <c r="R1186" s="18">
        <f>IF($A1186&gt;40,R1185,(R1185-Q1155+Q1186)*(1+$B$7))</f>
        <v>78672.40334267421</v>
      </c>
      <c r="S1186" s="18">
        <f t="shared" si="137"/>
        <v>319210.72005157481</v>
      </c>
    </row>
    <row r="1187" spans="1:19">
      <c r="A1187" s="10">
        <f>30</f>
        <v>30</v>
      </c>
      <c r="B1187" s="18">
        <f>IF($A1187&gt;40,0,(B1155-MIN(MAX(C1186,0),B1155))+MIN(MAX(0,D1186-(B1155-MIN(MAX(C1186,0),B1155))),MAX(0,2*B1155-(C1186-MIN(MAX(C1186,0),B1155)))))</f>
        <v>30216</v>
      </c>
      <c r="C1187" s="18">
        <f>IF($A1187&gt;40,C1186,(C1186-B1155+B1187)*(1+$B$7))</f>
        <v>59784</v>
      </c>
      <c r="D1187" s="18">
        <f t="shared" si="132"/>
        <v>801486.08780036611</v>
      </c>
      <c r="E1187" s="18">
        <f>IF($A1187&gt;40,0,(E1155-MIN(MAX(F1186,0),E1155))+MIN(MAX(0,G1186-(E1155-MIN(MAX(F1186,0),E1155))),MAX(0,2*E1155-(F1186-MIN(MAX(F1186,0),E1155)))))</f>
        <v>75000</v>
      </c>
      <c r="F1187" s="18">
        <f>IF($A1187&gt;40,F1186,(F1186-E1155+E1187)*(1+$B$7))</f>
        <v>0</v>
      </c>
      <c r="G1187" s="18">
        <f t="shared" si="133"/>
        <v>-1385607.040198544</v>
      </c>
      <c r="H1187" s="18">
        <f>IF($A1187&gt;40,0,(H1155-MIN(MAX(I1186,0),H1155))+MIN(MAX(0,J1186-(H1155-MIN(MAX(I1186,0),H1155))),MAX(0,2*H1155-(I1186-MIN(MAX(I1186,0),H1155)))))</f>
        <v>40238.694470785937</v>
      </c>
      <c r="I1187" s="18">
        <f>IF($A1187&gt;40,I1186,(I1186-H1155+H1187)*(1+$B$7))</f>
        <v>79614.446327821875</v>
      </c>
      <c r="J1187" s="18">
        <f t="shared" si="134"/>
        <v>262213.51801845519</v>
      </c>
      <c r="K1187" s="18">
        <f>IF($A1187&gt;40,0,(K1155-MIN(MAX(L1186,0),K1155))+MIN(MAX(0,M1186-(K1155-MIN(MAX(L1186,0),K1155))),MAX(0,2*K1155-(L1186-MIN(MAX(L1186,0),K1155)))))</f>
        <v>39762.550555017748</v>
      </c>
      <c r="L1187" s="18">
        <f>IF($A1187&gt;40,L1186,(L1186-K1155+K1187)*(1+$B$7))</f>
        <v>78672.369684312318</v>
      </c>
      <c r="M1187" s="18">
        <f t="shared" si="135"/>
        <v>287832.51237079699</v>
      </c>
      <c r="N1187" s="18">
        <f>IF($A1187&gt;40,0,(N1155-MIN(MAX(O1186,0),N1155))+MIN(MAX(0,P1186-(N1155-MIN(MAX(O1186,0),N1155))),MAX(0,2*N1155-(O1186-MIN(MAX(O1186,0),N1155)))))</f>
        <v>39762.567559882722</v>
      </c>
      <c r="O1187" s="18">
        <f>IF($A1187&gt;40,O1186,(O1186-N1155+N1187)*(1+$B$7))</f>
        <v>78672.40332936286</v>
      </c>
      <c r="P1187" s="18">
        <f t="shared" si="136"/>
        <v>287831.59742150235</v>
      </c>
      <c r="Q1187" s="18">
        <f>IF($A1187&gt;40,0,(Q1155-MIN(MAX(R1186,0),Q1155))+MIN(MAX(0,S1186-(Q1155-MIN(MAX(R1186,0),Q1155))),MAX(0,2*Q1155-(R1186-MIN(MAX(R1186,0),Q1155)))))</f>
        <v>39762.567566610538</v>
      </c>
      <c r="R1187" s="18">
        <f>IF($A1187&gt;40,R1186,(R1186-Q1155+Q1187)*(1+$B$7))</f>
        <v>78672.40334267421</v>
      </c>
      <c r="S1187" s="18">
        <f t="shared" si="137"/>
        <v>287831.59705951321</v>
      </c>
    </row>
    <row r="1188" spans="1:19">
      <c r="A1188" s="10">
        <f>31</f>
        <v>31</v>
      </c>
      <c r="B1188" s="18">
        <f>IF($A1188&gt;40,0,(B1155-MIN(MAX(C1187,0),B1155))+MIN(MAX(0,D1187-(B1155-MIN(MAX(C1187,0),B1155))),MAX(0,2*B1155-(C1187-MIN(MAX(C1187,0),B1155)))))</f>
        <v>30216</v>
      </c>
      <c r="C1188" s="18">
        <f>IF($A1188&gt;40,C1187,(C1187-B1155+B1188)*(1+$B$7))</f>
        <v>59784</v>
      </c>
      <c r="D1188" s="18">
        <f t="shared" si="132"/>
        <v>794408.19043437706</v>
      </c>
      <c r="E1188" s="18">
        <f>IF($A1188&gt;40,0,(E1155-MIN(MAX(F1187,0),E1155))+MIN(MAX(0,G1187-(E1155-MIN(MAX(F1187,0),E1155))),MAX(0,2*E1155-(F1187-MIN(MAX(F1187,0),E1155)))))</f>
        <v>75000</v>
      </c>
      <c r="F1188" s="18">
        <f>IF($A1188&gt;40,F1187,(F1187-E1155+E1188)*(1+$B$7))</f>
        <v>0</v>
      </c>
      <c r="G1188" s="18">
        <f t="shared" si="133"/>
        <v>-1504425.2514045003</v>
      </c>
      <c r="H1188" s="18">
        <f>IF($A1188&gt;40,0,(H1155-MIN(MAX(I1187,0),H1155))+MIN(MAX(0,J1187-(H1155-MIN(MAX(I1187,0),H1155))),MAX(0,2*H1155-(I1187-MIN(MAX(I1187,0),H1155)))))</f>
        <v>40238.694470785937</v>
      </c>
      <c r="I1188" s="18">
        <f>IF($A1188&gt;40,I1187,(I1187-H1155+H1188)*(1+$B$7))</f>
        <v>79614.446327821875</v>
      </c>
      <c r="J1188" s="18">
        <f t="shared" si="134"/>
        <v>228634.06825409934</v>
      </c>
      <c r="K1188" s="18">
        <f>IF($A1188&gt;40,0,(K1155-MIN(MAX(L1187,0),K1155))+MIN(MAX(0,M1187-(K1155-MIN(MAX(L1187,0),K1155))),MAX(0,2*K1155-(L1187-MIN(MAX(L1187,0),K1155)))))</f>
        <v>39762.550555017748</v>
      </c>
      <c r="L1188" s="18">
        <f>IF($A1188&gt;40,L1187,(L1187-K1155+K1188)*(1+$B$7))</f>
        <v>78672.369684312318</v>
      </c>
      <c r="M1188" s="18">
        <f t="shared" si="135"/>
        <v>255512.06067025263</v>
      </c>
      <c r="N1188" s="18">
        <f>IF($A1188&gt;40,0,(N1155-MIN(MAX(O1187,0),N1155))+MIN(MAX(0,P1187-(N1155-MIN(MAX(O1187,0),N1155))),MAX(0,2*N1155-(O1187-MIN(MAX(O1187,0),N1155)))))</f>
        <v>39762.567559882722</v>
      </c>
      <c r="O1188" s="18">
        <f>IF($A1188&gt;40,O1187,(O1187-N1155+N1188)*(1+$B$7))</f>
        <v>78672.40332936286</v>
      </c>
      <c r="P1188" s="18">
        <f t="shared" si="136"/>
        <v>255511.10075746823</v>
      </c>
      <c r="Q1188" s="18">
        <f>IF($A1188&gt;40,0,(Q1155-MIN(MAX(R1187,0),Q1155))+MIN(MAX(0,S1187-(Q1155-MIN(MAX(R1187,0),Q1155))),MAX(0,2*Q1155-(R1187-MIN(MAX(R1187,0),Q1155)))))</f>
        <v>39762.567566610538</v>
      </c>
      <c r="R1188" s="18">
        <f>IF($A1188&gt;40,R1187,(R1187-Q1155+Q1188)*(1+$B$7))</f>
        <v>78672.40334267421</v>
      </c>
      <c r="S1188" s="18">
        <f t="shared" si="137"/>
        <v>255511.10037768979</v>
      </c>
    </row>
    <row r="1189" spans="1:19">
      <c r="A1189" s="10">
        <f>32</f>
        <v>32</v>
      </c>
      <c r="B1189" s="18">
        <f>IF($A1189&gt;40,0,(B1155-MIN(MAX(C1188,0),B1155))+MIN(MAX(0,D1188-(B1155-MIN(MAX(C1188,0),B1155))),MAX(0,2*B1155-(C1188-MIN(MAX(C1188,0),B1155)))))</f>
        <v>30216</v>
      </c>
      <c r="C1189" s="18">
        <f>IF($A1189&gt;40,C1188,(C1188-B1155+B1189)*(1+$B$7))</f>
        <v>59784</v>
      </c>
      <c r="D1189" s="18">
        <f t="shared" si="132"/>
        <v>787117.95614740835</v>
      </c>
      <c r="E1189" s="18">
        <f>IF($A1189&gt;40,0,(E1155-MIN(MAX(F1188,0),E1155))+MIN(MAX(0,G1188-(E1155-MIN(MAX(F1188,0),E1155))),MAX(0,2*E1155-(F1188-MIN(MAX(F1188,0),E1155)))))</f>
        <v>75000</v>
      </c>
      <c r="F1189" s="18">
        <f>IF($A1189&gt;40,F1188,(F1188-E1155+E1189)*(1+$B$7))</f>
        <v>0</v>
      </c>
      <c r="G1189" s="18">
        <f t="shared" si="133"/>
        <v>-1626808.0089466353</v>
      </c>
      <c r="H1189" s="18">
        <f>IF($A1189&gt;40,0,(H1155-MIN(MAX(I1188,0),H1155))+MIN(MAX(0,J1188-(H1155-MIN(MAX(I1188,0),H1155))),MAX(0,2*H1155-(I1188-MIN(MAX(I1188,0),H1155)))))</f>
        <v>40238.694470785937</v>
      </c>
      <c r="I1189" s="18">
        <f>IF($A1189&gt;40,I1188,(I1188-H1155+H1189)*(1+$B$7))</f>
        <v>79614.446327821875</v>
      </c>
      <c r="J1189" s="18">
        <f t="shared" si="134"/>
        <v>194047.23499681283</v>
      </c>
      <c r="K1189" s="18">
        <f>IF($A1189&gt;40,0,(K1155-MIN(MAX(L1188,0),K1155))+MIN(MAX(0,M1188-(K1155-MIN(MAX(L1188,0),K1155))),MAX(0,2*K1155-(L1188-MIN(MAX(L1188,0),K1155)))))</f>
        <v>39762.550555017748</v>
      </c>
      <c r="L1189" s="18">
        <f>IF($A1189&gt;40,L1188,(L1188-K1155+K1189)*(1+$B$7))</f>
        <v>78672.369684312318</v>
      </c>
      <c r="M1189" s="18">
        <f t="shared" si="135"/>
        <v>222221.99541869192</v>
      </c>
      <c r="N1189" s="18">
        <f>IF($A1189&gt;40,0,(N1155-MIN(MAX(O1188,0),N1155))+MIN(MAX(0,P1188-(N1155-MIN(MAX(O1188,0),N1155))),MAX(0,2*N1155-(O1188-MIN(MAX(O1188,0),N1155)))))</f>
        <v>39762.567559882722</v>
      </c>
      <c r="O1189" s="18">
        <f>IF($A1189&gt;40,O1188,(O1188-N1155+N1189)*(1+$B$7))</f>
        <v>78672.40332936286</v>
      </c>
      <c r="P1189" s="18">
        <f t="shared" si="136"/>
        <v>222220.98919351306</v>
      </c>
      <c r="Q1189" s="18">
        <f>IF($A1189&gt;40,0,(Q1155-MIN(MAX(R1188,0),Q1155))+MIN(MAX(0,S1188-(Q1155-MIN(MAX(R1188,0),Q1155))),MAX(0,2*Q1155-(R1188-MIN(MAX(R1188,0),Q1155)))))</f>
        <v>39762.567566610538</v>
      </c>
      <c r="R1189" s="18">
        <f>IF($A1189&gt;40,R1188,(R1188-Q1155+Q1189)*(1+$B$7))</f>
        <v>78672.40334267421</v>
      </c>
      <c r="S1189" s="18">
        <f t="shared" si="137"/>
        <v>222220.98879541163</v>
      </c>
    </row>
    <row r="1190" spans="1:19">
      <c r="A1190" s="10">
        <f>33</f>
        <v>33</v>
      </c>
      <c r="B1190" s="18">
        <f>IF($A1190&gt;40,0,(B1155-MIN(MAX(C1189,0),B1155))+MIN(MAX(0,D1189-(B1155-MIN(MAX(C1189,0),B1155))),MAX(0,2*B1155-(C1189-MIN(MAX(C1189,0),B1155)))))</f>
        <v>30216</v>
      </c>
      <c r="C1190" s="18">
        <f>IF($A1190&gt;40,C1189,(C1189-B1155+B1190)*(1+$B$7))</f>
        <v>59784</v>
      </c>
      <c r="D1190" s="18">
        <f t="shared" si="132"/>
        <v>779609.01483183063</v>
      </c>
      <c r="E1190" s="18">
        <f>IF($A1190&gt;40,0,(E1155-MIN(MAX(F1189,0),E1155))+MIN(MAX(0,G1189-(E1155-MIN(MAX(F1189,0),E1155))),MAX(0,2*E1155-(F1189-MIN(MAX(F1189,0),E1155)))))</f>
        <v>75000</v>
      </c>
      <c r="F1190" s="18">
        <f>IF($A1190&gt;40,F1189,(F1189-E1155+E1190)*(1+$B$7))</f>
        <v>0</v>
      </c>
      <c r="G1190" s="18">
        <f t="shared" si="133"/>
        <v>-1752862.2492150343</v>
      </c>
      <c r="H1190" s="18">
        <f>IF($A1190&gt;40,0,(H1155-MIN(MAX(I1189,0),H1155))+MIN(MAX(0,J1189-(H1155-MIN(MAX(I1189,0),H1155))),MAX(0,2*H1155-(I1189-MIN(MAX(I1189,0),H1155)))))</f>
        <v>40238.694470785937</v>
      </c>
      <c r="I1190" s="18">
        <f>IF($A1190&gt;40,I1189,(I1189-H1155+H1190)*(1+$B$7))</f>
        <v>79614.446327821875</v>
      </c>
      <c r="J1190" s="18">
        <f t="shared" si="134"/>
        <v>158422.79674180769</v>
      </c>
      <c r="K1190" s="18">
        <f>IF($A1190&gt;40,0,(K1155-MIN(MAX(L1189,0),K1155))+MIN(MAX(0,M1189-(K1155-MIN(MAX(L1189,0),K1155))),MAX(0,2*K1155-(L1189-MIN(MAX(L1189,0),K1155)))))</f>
        <v>39762.550555017748</v>
      </c>
      <c r="L1190" s="18">
        <f>IF($A1190&gt;40,L1189,(L1189-K1155+K1190)*(1+$B$7))</f>
        <v>78672.369684312318</v>
      </c>
      <c r="M1190" s="18">
        <f t="shared" si="135"/>
        <v>187933.2282095844</v>
      </c>
      <c r="N1190" s="18">
        <f>IF($A1190&gt;40,0,(N1155-MIN(MAX(O1189,0),N1155))+MIN(MAX(0,P1189-(N1155-MIN(MAX(O1189,0),N1155))),MAX(0,2*N1155-(O1189-MIN(MAX(O1189,0),N1155)))))</f>
        <v>39762.567559882722</v>
      </c>
      <c r="O1190" s="18">
        <f>IF($A1190&gt;40,O1189,(O1189-N1155+N1190)*(1+$B$7))</f>
        <v>78672.40332936286</v>
      </c>
      <c r="P1190" s="18">
        <f t="shared" si="136"/>
        <v>187932.17428263926</v>
      </c>
      <c r="Q1190" s="18">
        <f>IF($A1190&gt;40,0,(Q1155-MIN(MAX(R1189,0),Q1155))+MIN(MAX(0,S1189-(Q1155-MIN(MAX(R1189,0),Q1155))),MAX(0,2*Q1155-(R1189-MIN(MAX(R1189,0),Q1155)))))</f>
        <v>39762.567566610538</v>
      </c>
      <c r="R1190" s="18">
        <f>IF($A1190&gt;40,R1189,(R1189-Q1155+Q1190)*(1+$B$7))</f>
        <v>78672.40334267421</v>
      </c>
      <c r="S1190" s="18">
        <f t="shared" si="137"/>
        <v>187932.1738656651</v>
      </c>
    </row>
    <row r="1191" spans="1:19">
      <c r="A1191" s="10">
        <f>34</f>
        <v>34</v>
      </c>
      <c r="B1191" s="18">
        <f>IF($A1191&gt;40,0,(B1155-MIN(MAX(C1190,0),B1155))+MIN(MAX(0,D1190-(B1155-MIN(MAX(C1190,0),B1155))),MAX(0,2*B1155-(C1190-MIN(MAX(C1190,0),B1155)))))</f>
        <v>30216</v>
      </c>
      <c r="C1191" s="18">
        <f>IF($A1191&gt;40,C1190,(C1190-B1155+B1191)*(1+$B$7))</f>
        <v>59784</v>
      </c>
      <c r="D1191" s="18">
        <f t="shared" si="132"/>
        <v>771874.80527678563</v>
      </c>
      <c r="E1191" s="18">
        <f>IF($A1191&gt;40,0,(E1155-MIN(MAX(F1190,0),E1155))+MIN(MAX(0,G1190-(E1155-MIN(MAX(F1190,0),E1155))),MAX(0,2*E1155-(F1190-MIN(MAX(F1190,0),E1155)))))</f>
        <v>75000</v>
      </c>
      <c r="F1191" s="18">
        <f>IF($A1191&gt;40,F1190,(F1190-E1155+E1191)*(1+$B$7))</f>
        <v>0</v>
      </c>
      <c r="G1191" s="18">
        <f t="shared" si="133"/>
        <v>-1882698.1166914853</v>
      </c>
      <c r="H1191" s="18">
        <f>IF($A1191&gt;40,0,(H1155-MIN(MAX(I1190,0),H1155))+MIN(MAX(0,J1190-(H1155-MIN(MAX(I1190,0),H1155))),MAX(0,2*H1155-(I1190-MIN(MAX(I1190,0),H1155)))))</f>
        <v>40238.694470785937</v>
      </c>
      <c r="I1191" s="18">
        <f>IF($A1191&gt;40,I1190,(I1190-H1155+H1191)*(1+$B$7))</f>
        <v>79614.446327821875</v>
      </c>
      <c r="J1191" s="18">
        <f t="shared" si="134"/>
        <v>121729.62533915241</v>
      </c>
      <c r="K1191" s="18">
        <f>IF($A1191&gt;40,0,(K1155-MIN(MAX(L1190,0),K1155))+MIN(MAX(0,M1190-(K1155-MIN(MAX(L1190,0),K1155))),MAX(0,2*K1155-(L1190-MIN(MAX(L1190,0),K1155)))))</f>
        <v>39762.550555017748</v>
      </c>
      <c r="L1191" s="18">
        <f>IF($A1191&gt;40,L1190,(L1190-K1155+K1191)*(1+$B$7))</f>
        <v>78672.369684312318</v>
      </c>
      <c r="M1191" s="18">
        <f t="shared" si="135"/>
        <v>152615.79798420364</v>
      </c>
      <c r="N1191" s="18">
        <f>IF($A1191&gt;40,0,(N1155-MIN(MAX(O1190,0),N1155))+MIN(MAX(0,P1190-(N1155-MIN(MAX(O1190,0),N1155))),MAX(0,2*N1155-(O1190-MIN(MAX(O1190,0),N1155)))))</f>
        <v>39762.567559882722</v>
      </c>
      <c r="O1191" s="18">
        <f>IF($A1191&gt;40,O1190,(O1190-N1155+N1191)*(1+$B$7))</f>
        <v>78672.40332936286</v>
      </c>
      <c r="P1191" s="18">
        <f t="shared" si="136"/>
        <v>152614.69492443922</v>
      </c>
      <c r="Q1191" s="18">
        <f>IF($A1191&gt;40,0,(Q1155-MIN(MAX(R1190,0),Q1155))+MIN(MAX(0,S1190-(Q1155-MIN(MAX(R1190,0),Q1155))),MAX(0,2*Q1155-(R1190-MIN(MAX(R1190,0),Q1155)))))</f>
        <v>39762.567566610538</v>
      </c>
      <c r="R1191" s="18">
        <f>IF($A1191&gt;40,R1190,(R1190-Q1155+Q1191)*(1+$B$7))</f>
        <v>78672.40334267421</v>
      </c>
      <c r="S1191" s="18">
        <f t="shared" si="137"/>
        <v>152614.69448802623</v>
      </c>
    </row>
    <row r="1192" spans="1:19">
      <c r="A1192" s="10">
        <f>35</f>
        <v>35</v>
      </c>
      <c r="B1192" s="18">
        <f>IF($A1192&gt;40,0,(B1155-MIN(MAX(C1191,0),B1155))+MIN(MAX(0,D1191-(B1155-MIN(MAX(C1191,0),B1155))),MAX(0,2*B1155-(C1191-MIN(MAX(C1191,0),B1155)))))</f>
        <v>30216</v>
      </c>
      <c r="C1192" s="18">
        <f>IF($A1192&gt;40,C1191,(C1191-B1155+B1192)*(1+$B$7))</f>
        <v>59784</v>
      </c>
      <c r="D1192" s="18">
        <f t="shared" si="132"/>
        <v>763908.56943508924</v>
      </c>
      <c r="E1192" s="18">
        <f>IF($A1192&gt;40,0,(E1155-MIN(MAX(F1191,0),E1155))+MIN(MAX(0,G1191-(E1155-MIN(MAX(F1191,0),E1155))),MAX(0,2*E1155-(F1191-MIN(MAX(F1191,0),E1155)))))</f>
        <v>75000</v>
      </c>
      <c r="F1192" s="18">
        <f>IF($A1192&gt;40,F1191,(F1191-E1155+E1192)*(1+$B$7))</f>
        <v>0</v>
      </c>
      <c r="G1192" s="18">
        <f t="shared" si="133"/>
        <v>-2016429.0601922299</v>
      </c>
      <c r="H1192" s="18">
        <f>IF($A1192&gt;40,0,(H1155-MIN(MAX(I1191,0),H1155))+MIN(MAX(0,J1191-(H1155-MIN(MAX(I1191,0),H1155))),MAX(0,2*H1155-(I1191-MIN(MAX(I1191,0),H1155)))))</f>
        <v>40238.694470785937</v>
      </c>
      <c r="I1192" s="18">
        <f>IF($A1192&gt;40,I1191,(I1191-H1155+H1192)*(1+$B$7))</f>
        <v>79614.446327821875</v>
      </c>
      <c r="J1192" s="18">
        <f t="shared" si="134"/>
        <v>83935.658794417468</v>
      </c>
      <c r="K1192" s="18">
        <f>IF($A1192&gt;40,0,(K1155-MIN(MAX(L1191,0),K1155))+MIN(MAX(0,M1191-(K1155-MIN(MAX(L1191,0),K1155))),MAX(0,2*K1155-(L1191-MIN(MAX(L1191,0),K1155)))))</f>
        <v>39762.550555017748</v>
      </c>
      <c r="L1192" s="18">
        <f>IF($A1192&gt;40,L1191,(L1191-K1155+K1192)*(1+$B$7))</f>
        <v>78672.369684312318</v>
      </c>
      <c r="M1192" s="18">
        <f t="shared" si="135"/>
        <v>116238.84485206148</v>
      </c>
      <c r="N1192" s="18">
        <f>IF($A1192&gt;40,0,(N1155-MIN(MAX(O1191,0),N1155))+MIN(MAX(0,P1191-(N1155-MIN(MAX(O1191,0),N1155))),MAX(0,2*N1155-(O1191-MIN(MAX(O1191,0),N1155)))))</f>
        <v>39762.567559882722</v>
      </c>
      <c r="O1192" s="18">
        <f>IF($A1192&gt;40,O1191,(O1191-N1155+N1192)*(1+$B$7))</f>
        <v>78672.40332936286</v>
      </c>
      <c r="P1192" s="18">
        <f t="shared" si="136"/>
        <v>116237.6911854932</v>
      </c>
      <c r="Q1192" s="18">
        <f>IF($A1192&gt;40,0,(Q1155-MIN(MAX(R1191,0),Q1155))+MIN(MAX(0,S1191-(Q1155-MIN(MAX(R1191,0),Q1155))),MAX(0,2*Q1155-(R1191-MIN(MAX(R1191,0),Q1155)))))</f>
        <v>39762.567566610538</v>
      </c>
      <c r="R1192" s="18">
        <f>IF($A1192&gt;40,R1191,(R1191-Q1155+Q1192)*(1+$B$7))</f>
        <v>78672.40334267421</v>
      </c>
      <c r="S1192" s="18">
        <f t="shared" si="137"/>
        <v>116237.69072905817</v>
      </c>
    </row>
    <row r="1193" spans="1:19">
      <c r="A1193" s="10">
        <f>36</f>
        <v>36</v>
      </c>
      <c r="B1193" s="18">
        <f>IF($A1193&gt;40,0,(B1155-MIN(MAX(C1192,0),B1155))+MIN(MAX(0,D1192-(B1155-MIN(MAX(C1192,0),B1155))),MAX(0,2*B1155-(C1192-MIN(MAX(C1192,0),B1155)))))</f>
        <v>30216</v>
      </c>
      <c r="C1193" s="18">
        <f>IF($A1193&gt;40,C1192,(C1192-B1155+B1193)*(1+$B$7))</f>
        <v>59784</v>
      </c>
      <c r="D1193" s="18">
        <f t="shared" si="132"/>
        <v>755703.34651814192</v>
      </c>
      <c r="E1193" s="18">
        <f>IF($A1193&gt;40,0,(E1155-MIN(MAX(F1192,0),E1155))+MIN(MAX(0,G1192-(E1155-MIN(MAX(F1192,0),E1155))),MAX(0,2*E1155-(F1192-MIN(MAX(F1192,0),E1155)))))</f>
        <v>75000</v>
      </c>
      <c r="F1193" s="18">
        <f>IF($A1193&gt;40,F1192,(F1192-E1155+E1193)*(1+$B$7))</f>
        <v>0</v>
      </c>
      <c r="G1193" s="18">
        <f t="shared" si="133"/>
        <v>-2154171.9319979968</v>
      </c>
      <c r="H1193" s="18">
        <f>IF($A1193&gt;40,0,(H1155-MIN(MAX(I1192,0),H1155))+MIN(MAX(0,J1192-(H1155-MIN(MAX(I1192,0),H1155))),MAX(0,2*H1155-(I1192-MIN(MAX(I1192,0),H1155)))))</f>
        <v>40238.694470785937</v>
      </c>
      <c r="I1193" s="18">
        <f>IF($A1193&gt;40,I1192,(I1192-H1155+H1193)*(1+$B$7))</f>
        <v>79614.446327821875</v>
      </c>
      <c r="J1193" s="18">
        <f t="shared" si="134"/>
        <v>45007.873253340476</v>
      </c>
      <c r="K1193" s="18">
        <f>IF($A1193&gt;40,0,(K1155-MIN(MAX(L1192,0),K1155))+MIN(MAX(0,M1192-(K1155-MIN(MAX(L1192,0),K1155))),MAX(0,2*K1155-(L1192-MIN(MAX(L1192,0),K1155)))))</f>
        <v>39762.550555017748</v>
      </c>
      <c r="L1193" s="18">
        <f>IF($A1193&gt;40,L1192,(L1192-K1155+K1193)*(1+$B$7))</f>
        <v>78672.369684312318</v>
      </c>
      <c r="M1193" s="18">
        <f t="shared" si="135"/>
        <v>78770.583125955047</v>
      </c>
      <c r="N1193" s="18">
        <f>IF($A1193&gt;40,0,(N1155-MIN(MAX(O1192,0),N1155))+MIN(MAX(0,P1192-(N1155-MIN(MAX(O1192,0),N1155))),MAX(0,2*N1155-(O1192-MIN(MAX(O1192,0),N1155)))))</f>
        <v>39762.567559882722</v>
      </c>
      <c r="O1193" s="18">
        <f>IF($A1193&gt;40,O1192,(O1192-N1155+N1193)*(1+$B$7))</f>
        <v>78672.40332936286</v>
      </c>
      <c r="P1193" s="18">
        <f t="shared" si="136"/>
        <v>78769.377334378791</v>
      </c>
      <c r="Q1193" s="18">
        <f>IF($A1193&gt;40,0,(Q1155-MIN(MAX(R1192,0),Q1155))+MIN(MAX(0,S1192-(Q1155-MIN(MAX(R1192,0),Q1155))),MAX(0,2*Q1155-(R1192-MIN(MAX(R1192,0),Q1155)))))</f>
        <v>39762.567566610538</v>
      </c>
      <c r="R1193" s="18">
        <f>IF($A1193&gt;40,R1192,(R1192-Q1155+Q1193)*(1+$B$7))</f>
        <v>78672.40334267421</v>
      </c>
      <c r="S1193" s="18">
        <f t="shared" si="137"/>
        <v>78769.376857321069</v>
      </c>
    </row>
    <row r="1194" spans="1:19">
      <c r="A1194" s="10">
        <f>37</f>
        <v>37</v>
      </c>
      <c r="B1194" s="18">
        <f>IF($A1194&gt;40,0,(B1155-MIN(MAX(C1193,0),B1155))+MIN(MAX(0,D1193-(B1155-MIN(MAX(C1193,0),B1155))),MAX(0,2*B1155-(C1193-MIN(MAX(C1193,0),B1155)))))</f>
        <v>30216</v>
      </c>
      <c r="C1194" s="18">
        <f>IF($A1194&gt;40,C1193,(C1193-B1155+B1194)*(1+$B$7))</f>
        <v>59784</v>
      </c>
      <c r="D1194" s="18">
        <f t="shared" si="132"/>
        <v>747251.96691368625</v>
      </c>
      <c r="E1194" s="18">
        <f>IF($A1194&gt;40,0,(E1155-MIN(MAX(F1193,0),E1155))+MIN(MAX(0,G1193-(E1155-MIN(MAX(F1193,0),E1155))),MAX(0,2*E1155-(F1193-MIN(MAX(F1193,0),E1155)))))</f>
        <v>75000</v>
      </c>
      <c r="F1194" s="18">
        <f>IF($A1194&gt;40,F1193,(F1193-E1155+E1194)*(1+$B$7))</f>
        <v>0</v>
      </c>
      <c r="G1194" s="18">
        <f t="shared" si="133"/>
        <v>-2296047.0899579367</v>
      </c>
      <c r="H1194" s="18">
        <f>IF($A1194&gt;40,0,(H1155-MIN(MAX(I1193,0),H1155))+MIN(MAX(0,J1193-(H1155-MIN(MAX(I1193,0),H1155))),MAX(0,2*H1155-(I1193-MIN(MAX(I1193,0),H1155)))))</f>
        <v>40238.694470785937</v>
      </c>
      <c r="I1194" s="18">
        <f>IF($A1194&gt;40,I1193,(I1193-H1155+H1194)*(1+$B$7))</f>
        <v>79614.446327821875</v>
      </c>
      <c r="J1194" s="18">
        <f t="shared" si="134"/>
        <v>4912.2541460311759</v>
      </c>
      <c r="K1194" s="18">
        <f>IF($A1194&gt;40,0,(K1155-MIN(MAX(L1193,0),K1155))+MIN(MAX(0,M1193-(K1155-MIN(MAX(L1193,0),K1155))),MAX(0,2*K1155-(L1193-MIN(MAX(L1193,0),K1155)))))</f>
        <v>39762.550555017748</v>
      </c>
      <c r="L1194" s="18">
        <f>IF($A1194&gt;40,L1193,(L1193-K1155+K1194)*(1+$B$7))</f>
        <v>78672.369684312318</v>
      </c>
      <c r="M1194" s="18">
        <f t="shared" si="135"/>
        <v>40178.273548065423</v>
      </c>
      <c r="N1194" s="18">
        <f>IF($A1194&gt;40,0,(N1155-MIN(MAX(O1193,0),N1155))+MIN(MAX(0,P1193-(N1155-MIN(MAX(O1193,0),N1155))),MAX(0,2*N1155-(O1193-MIN(MAX(O1193,0),N1155)))))</f>
        <v>39762.567559882722</v>
      </c>
      <c r="O1194" s="18">
        <f>IF($A1194&gt;40,O1193,(O1193-N1155+N1194)*(1+$B$7))</f>
        <v>78672.40332936286</v>
      </c>
      <c r="P1194" s="18">
        <f t="shared" si="136"/>
        <v>40177.014067730954</v>
      </c>
      <c r="Q1194" s="18">
        <f>IF($A1194&gt;40,0,(Q1155-MIN(MAX(R1193,0),Q1155))+MIN(MAX(0,S1193-(Q1155-MIN(MAX(R1193,0),Q1155))),MAX(0,2*Q1155-(R1193-MIN(MAX(R1193,0),Q1155)))))</f>
        <v>39762.567566610538</v>
      </c>
      <c r="R1194" s="18">
        <f>IF($A1194&gt;40,R1193,(R1193-Q1155+Q1194)*(1+$B$7))</f>
        <v>78672.40334267421</v>
      </c>
      <c r="S1194" s="18">
        <f t="shared" si="137"/>
        <v>40177.013569431845</v>
      </c>
    </row>
    <row r="1195" spans="1:19">
      <c r="A1195" s="10">
        <f>38</f>
        <v>38</v>
      </c>
      <c r="B1195" s="18">
        <f>IF($A1195&gt;40,0,(B1155-MIN(MAX(C1194,0),B1155))+MIN(MAX(0,D1194-(B1155-MIN(MAX(C1194,0),B1155))),MAX(0,2*B1155-(C1194-MIN(MAX(C1194,0),B1155)))))</f>
        <v>30216</v>
      </c>
      <c r="C1195" s="18">
        <f>IF($A1195&gt;40,C1194,(C1194-B1155+B1195)*(1+$B$7))</f>
        <v>59784</v>
      </c>
      <c r="D1195" s="18">
        <f t="shared" si="132"/>
        <v>738547.04592109681</v>
      </c>
      <c r="E1195" s="18">
        <f>IF($A1195&gt;40,0,(E1155-MIN(MAX(F1194,0),E1155))+MIN(MAX(0,G1194-(E1155-MIN(MAX(F1194,0),E1155))),MAX(0,2*E1155-(F1194-MIN(MAX(F1194,0),E1155)))))</f>
        <v>75000</v>
      </c>
      <c r="F1195" s="18">
        <f>IF($A1195&gt;40,F1194,(F1194-E1155+E1195)*(1+$B$7))</f>
        <v>0</v>
      </c>
      <c r="G1195" s="18">
        <f t="shared" si="133"/>
        <v>-2442178.5026566749</v>
      </c>
      <c r="H1195" s="18">
        <f>IF($A1195&gt;40,0,(H1155-MIN(MAX(I1194,0),H1155))+MIN(MAX(0,J1194-(H1155-MIN(MAX(I1194,0),H1155))),MAX(0,2*H1155-(I1194-MIN(MAX(I1194,0),H1155)))))</f>
        <v>4912.2541460311759</v>
      </c>
      <c r="I1195" s="18">
        <f>IF($A1195&gt;40,I1194,(I1194-H1155+H1195)*(1+$B$7))</f>
        <v>44415.181188236238</v>
      </c>
      <c r="J1195" s="18">
        <f t="shared" si="134"/>
        <v>0</v>
      </c>
      <c r="K1195" s="18">
        <f>IF($A1195&gt;40,0,(K1155-MIN(MAX(L1194,0),K1155))+MIN(MAX(0,M1194-(K1155-MIN(MAX(L1194,0),K1155))),MAX(0,2*K1155-(L1194-MIN(MAX(L1194,0),K1155)))))</f>
        <v>39762.550555017748</v>
      </c>
      <c r="L1195" s="18">
        <f>IF($A1195&gt;40,L1194,(L1194-K1155+K1195)*(1+$B$7))</f>
        <v>78672.369684312318</v>
      </c>
      <c r="M1195" s="18">
        <f t="shared" si="135"/>
        <v>428.19468283910538</v>
      </c>
      <c r="N1195" s="18">
        <f>IF($A1195&gt;40,0,(N1155-MIN(MAX(O1194,0),N1155))+MIN(MAX(0,P1194-(N1155-MIN(MAX(O1194,0),N1155))),MAX(0,2*N1155-(O1194-MIN(MAX(O1194,0),N1155)))))</f>
        <v>39762.567559882722</v>
      </c>
      <c r="O1195" s="18">
        <f>IF($A1195&gt;40,O1194,(O1194-N1155+N1195)*(1+$B$7))</f>
        <v>78672.40332936286</v>
      </c>
      <c r="P1195" s="18">
        <f t="shared" si="136"/>
        <v>426.87990308367864</v>
      </c>
      <c r="Q1195" s="18">
        <f>IF($A1195&gt;40,0,(Q1155-MIN(MAX(R1194,0),Q1155))+MIN(MAX(0,S1194-(Q1155-MIN(MAX(R1194,0),Q1155))),MAX(0,2*Q1155-(R1194-MIN(MAX(R1194,0),Q1155)))))</f>
        <v>39762.567566610538</v>
      </c>
      <c r="R1195" s="18">
        <f>IF($A1195&gt;40,R1194,(R1194-Q1155+Q1195)*(1+$B$7))</f>
        <v>78672.40334267421</v>
      </c>
      <c r="S1195" s="18">
        <f t="shared" si="137"/>
        <v>426.87938290594627</v>
      </c>
    </row>
    <row r="1196" spans="1:19">
      <c r="A1196" s="10">
        <f>39</f>
        <v>39</v>
      </c>
      <c r="B1196" s="18">
        <f>IF($A1196&gt;40,0,(B1155-MIN(MAX(C1195,0),B1155))+MIN(MAX(0,D1195-(B1155-MIN(MAX(C1195,0),B1155))),MAX(0,2*B1155-(C1195-MIN(MAX(C1195,0),B1155)))))</f>
        <v>30216</v>
      </c>
      <c r="C1196" s="18">
        <f>IF($A1196&gt;40,C1195,(C1195-B1155+B1196)*(1+$B$7))</f>
        <v>59784</v>
      </c>
      <c r="D1196" s="18">
        <f t="shared" si="132"/>
        <v>729580.9772987297</v>
      </c>
      <c r="E1196" s="18">
        <f>IF($A1196&gt;40,0,(E1155-MIN(MAX(F1195,0),E1155))+MIN(MAX(0,G1195-(E1155-MIN(MAX(F1195,0),E1155))),MAX(0,2*E1155-(F1195-MIN(MAX(F1195,0),E1155)))))</f>
        <v>75000</v>
      </c>
      <c r="F1196" s="18">
        <f>IF($A1196&gt;40,F1195,(F1195-E1155+E1196)*(1+$B$7))</f>
        <v>0</v>
      </c>
      <c r="G1196" s="18">
        <f t="shared" si="133"/>
        <v>-2592693.8577363752</v>
      </c>
      <c r="H1196" s="18">
        <f>IF($A1196&gt;40,0,(H1155-MIN(MAX(I1195,0),H1155))+MIN(MAX(0,J1195-(H1155-MIN(MAX(I1195,0),H1155))),MAX(0,2*H1155-(I1195-MIN(MAX(I1195,0),H1155)))))</f>
        <v>0</v>
      </c>
      <c r="I1196" s="18">
        <f>IF($A1196&gt;40,I1195,(I1195-H1155+H1196)*(1+$B$7))</f>
        <v>4448.0633720476462</v>
      </c>
      <c r="J1196" s="18">
        <f t="shared" si="134"/>
        <v>0</v>
      </c>
      <c r="K1196" s="18">
        <f>IF($A1196&gt;40,0,(K1155-MIN(MAX(L1195,0),K1155))+MIN(MAX(0,M1195-(K1155-MIN(MAX(L1195,0),K1155))),MAX(0,2*K1155-(L1195-MIN(MAX(L1195,0),K1155)))))</f>
        <v>428.19468283910538</v>
      </c>
      <c r="L1196" s="18">
        <f>IF($A1196&gt;40,L1195,(L1195-K1155+K1196)*(1+$B$7))</f>
        <v>39479.617493273523</v>
      </c>
      <c r="M1196" s="18">
        <f t="shared" si="135"/>
        <v>0</v>
      </c>
      <c r="N1196" s="18">
        <f>IF($A1196&gt;40,0,(N1155-MIN(MAX(O1195,0),N1155))+MIN(MAX(0,P1195-(N1155-MIN(MAX(O1195,0),N1155))),MAX(0,2*N1155-(O1195-MIN(MAX(O1195,0),N1155)))))</f>
        <v>426.87990308367864</v>
      </c>
      <c r="O1196" s="18">
        <f>IF($A1196&gt;40,O1195,(O1195-N1155+N1196)*(1+$B$7))</f>
        <v>39478.324148128297</v>
      </c>
      <c r="P1196" s="18">
        <f t="shared" si="136"/>
        <v>0</v>
      </c>
      <c r="Q1196" s="18">
        <f>IF($A1196&gt;40,0,(Q1155-MIN(MAX(R1195,0),Q1155))+MIN(MAX(0,S1195-(Q1155-MIN(MAX(R1195,0),Q1155))),MAX(0,2*Q1155-(R1195-MIN(MAX(R1195,0),Q1155)))))</f>
        <v>426.87938290594627</v>
      </c>
      <c r="R1196" s="18">
        <f>IF($A1196&gt;40,R1195,(R1195-Q1155+Q1196)*(1+$B$7))</f>
        <v>39478.323636430956</v>
      </c>
      <c r="S1196" s="18">
        <f t="shared" si="137"/>
        <v>0</v>
      </c>
    </row>
    <row r="1197" spans="1:19">
      <c r="A1197" s="10">
        <f>40</f>
        <v>40</v>
      </c>
      <c r="B1197" s="18">
        <f>IF($A1197&gt;40,0,(B1155-MIN(MAX(C1196,0),B1155))+MIN(MAX(0,D1196-(B1155-MIN(MAX(C1196,0),B1155))),MAX(0,2*B1155-(C1196-MIN(MAX(C1196,0),B1155)))))</f>
        <v>30216</v>
      </c>
      <c r="C1197" s="18">
        <f>IF($A1197&gt;40,C1196,(C1196-B1155+B1197)*(1+$B$7))</f>
        <v>59784</v>
      </c>
      <c r="D1197" s="18">
        <f t="shared" si="132"/>
        <v>720345.92661769164</v>
      </c>
      <c r="E1197" s="18">
        <f>IF($A1197&gt;40,0,(E1155-MIN(MAX(F1196,0),E1155))+MIN(MAX(0,G1196-(E1155-MIN(MAX(F1196,0),E1155))),MAX(0,2*E1155-(F1196-MIN(MAX(F1196,0),E1155)))))</f>
        <v>75000</v>
      </c>
      <c r="F1197" s="18">
        <f>IF($A1197&gt;40,F1196,(F1196-E1155+E1197)*(1+$B$7))</f>
        <v>0</v>
      </c>
      <c r="G1197" s="18">
        <f t="shared" si="133"/>
        <v>-2747724.6734684664</v>
      </c>
      <c r="H1197" s="18">
        <f>IF($A1197&gt;40,0,(H1155-MIN(MAX(I1196,0),H1155))+MIN(MAX(0,J1196-(H1155-MIN(MAX(I1196,0),H1155))),MAX(0,2*H1155-(I1196-MIN(MAX(I1196,0),H1155)))))</f>
        <v>35502.983560821624</v>
      </c>
      <c r="I1197" s="18">
        <f>IF($A1197&gt;40,I1196,(I1196-H1155+H1197)*(1+$B$7))</f>
        <v>0</v>
      </c>
      <c r="J1197" s="18">
        <f t="shared" si="134"/>
        <v>-36568.07306764627</v>
      </c>
      <c r="K1197" s="18">
        <f>IF($A1197&gt;40,0,(K1155-MIN(MAX(L1196,0),K1155))+MIN(MAX(0,M1196-(K1155-MIN(MAX(L1196,0),K1155))),MAX(0,2*K1155-(L1196-MIN(MAX(L1196,0),K1155)))))</f>
        <v>0</v>
      </c>
      <c r="L1197" s="18">
        <f>IF($A1197&gt;40,L1196,(L1196-K1155+K1197)*(1+$B$7))</f>
        <v>1.3060281415791686</v>
      </c>
      <c r="M1197" s="18">
        <f t="shared" si="135"/>
        <v>0</v>
      </c>
      <c r="N1197" s="18">
        <f>IF($A1197&gt;40,0,(N1155-MIN(MAX(O1196,0),N1155))+MIN(MAX(0,P1196-(N1155-MIN(MAX(O1196,0),N1155))),MAX(0,2*N1155-(O1196-MIN(MAX(O1196,0),N1155)))))</f>
        <v>0</v>
      </c>
      <c r="O1197" s="18">
        <f>IF($A1197&gt;40,O1196,(O1196-N1155+N1197)*(1+$B$7))</f>
        <v>5.1651360217656471E-4</v>
      </c>
      <c r="P1197" s="18">
        <f t="shared" si="136"/>
        <v>0</v>
      </c>
      <c r="Q1197" s="18">
        <f>IF($A1197&gt;40,0,(Q1155-MIN(MAX(R1196,0),Q1155))+MIN(MAX(0,S1196-(Q1155-MIN(MAX(R1196,0),Q1155))),MAX(0,2*Q1155-(R1196-MIN(MAX(R1196,0),Q1155)))))</f>
        <v>0</v>
      </c>
      <c r="R1197" s="18">
        <f>IF($A1197&gt;40,R1196,(R1196-Q1155+Q1197)*(1+$B$7))</f>
        <v>2.69691227003932E-9</v>
      </c>
      <c r="S1197" s="18">
        <f t="shared" si="137"/>
        <v>0</v>
      </c>
    </row>
    <row r="1198" spans="1:19">
      <c r="B1198" s="18">
        <f>C1197+D1197</f>
        <v>780129.92661769164</v>
      </c>
      <c r="E1198" s="18">
        <f>F1197+G1197</f>
        <v>-2747724.6734684664</v>
      </c>
      <c r="H1198" s="18">
        <f>I1197+J1197</f>
        <v>-36568.07306764627</v>
      </c>
      <c r="K1198" s="18">
        <f>L1197+M1197</f>
        <v>1.3060281415791686</v>
      </c>
      <c r="N1198" s="18">
        <f>O1197+P1197</f>
        <v>5.1651360217656471E-4</v>
      </c>
      <c r="Q1198" s="18">
        <f>R1197+S1197</f>
        <v>2.69691227003932E-9</v>
      </c>
    </row>
    <row r="1199" spans="1:19">
      <c r="A1199" s="5" t="s">
        <v>266</v>
      </c>
      <c r="B1199" s="18">
        <f>IFERROR(Q1155-Q1198*(Q1155-N1155)/(Q1198-N1198),Q1155)</f>
        <v>39478.323636428286</v>
      </c>
    </row>
    <row r="1201" spans="1:19">
      <c r="A1201" s="2" t="s">
        <v>289</v>
      </c>
    </row>
    <row r="1202" spans="1:19">
      <c r="B1202" s="9">
        <f>0.03*$B$5</f>
        <v>30000</v>
      </c>
      <c r="E1202" s="9">
        <f>0.075*$B$5</f>
        <v>75000</v>
      </c>
      <c r="H1202" s="18">
        <f>IFERROR(E1202-E1245*(E1202-B1202)/(E1245-B1245),E1202)</f>
        <v>38980.333577893871</v>
      </c>
      <c r="K1202" s="18">
        <f>IFERROR(H1202-H1245*(H1202-E1202)/(H1245-E1245),H1202)</f>
        <v>38350.1978293106</v>
      </c>
      <c r="N1202" s="18">
        <f>IFERROR(K1202-K1245*(K1202-H1202)/(K1245-H1245),K1202)</f>
        <v>38350.478242057325</v>
      </c>
      <c r="Q1202" s="18">
        <f>IFERROR(N1202-N1245*(N1202-K1202)/(N1245-K1245),N1202)</f>
        <v>38350.478572353655</v>
      </c>
    </row>
    <row r="1203" spans="1:19">
      <c r="A1203" s="25" t="s">
        <v>262</v>
      </c>
      <c r="B1203" s="25" t="s">
        <v>263</v>
      </c>
      <c r="C1203" s="25" t="s">
        <v>264</v>
      </c>
      <c r="D1203" s="25" t="s">
        <v>265</v>
      </c>
      <c r="E1203" s="25" t="s">
        <v>263</v>
      </c>
      <c r="F1203" s="25" t="s">
        <v>264</v>
      </c>
      <c r="G1203" s="25" t="s">
        <v>265</v>
      </c>
      <c r="H1203" s="25" t="s">
        <v>263</v>
      </c>
      <c r="I1203" s="25" t="s">
        <v>264</v>
      </c>
      <c r="J1203" s="25" t="s">
        <v>265</v>
      </c>
      <c r="K1203" s="25" t="s">
        <v>263</v>
      </c>
      <c r="L1203" s="25" t="s">
        <v>264</v>
      </c>
      <c r="M1203" s="25" t="s">
        <v>265</v>
      </c>
      <c r="N1203" s="25" t="s">
        <v>263</v>
      </c>
      <c r="O1203" s="25" t="s">
        <v>264</v>
      </c>
      <c r="P1203" s="25" t="s">
        <v>265</v>
      </c>
      <c r="Q1203" s="25" t="s">
        <v>263</v>
      </c>
      <c r="R1203" s="25" t="s">
        <v>264</v>
      </c>
      <c r="S1203" s="25" t="s">
        <v>265</v>
      </c>
    </row>
    <row r="1204" spans="1:19">
      <c r="A1204" s="3">
        <v>0</v>
      </c>
      <c r="C1204" s="18">
        <f>MIN(3*B1202,$B$5)</f>
        <v>90000</v>
      </c>
      <c r="D1204" s="18">
        <f>$B$5-C1204</f>
        <v>910000</v>
      </c>
      <c r="F1204" s="18">
        <f>MIN(3*E1202,$B$5)</f>
        <v>225000</v>
      </c>
      <c r="G1204" s="18">
        <f>$B$5-F1204</f>
        <v>775000</v>
      </c>
      <c r="I1204" s="18">
        <f>MIN(3*H1202,$B$5)</f>
        <v>116941.00073368161</v>
      </c>
      <c r="J1204" s="18">
        <f>$B$5-I1204</f>
        <v>883058.99926631839</v>
      </c>
      <c r="L1204" s="18">
        <f>MIN(3*K1202,$B$5)</f>
        <v>115050.59348793179</v>
      </c>
      <c r="M1204" s="18">
        <f>$B$5-L1204</f>
        <v>884949.40651206824</v>
      </c>
      <c r="O1204" s="18">
        <f>MIN(3*N1202,$B$5)</f>
        <v>115051.43472617198</v>
      </c>
      <c r="P1204" s="18">
        <f>$B$5-O1204</f>
        <v>884948.56527382799</v>
      </c>
      <c r="R1204" s="18">
        <f>MIN(3*Q1202,$B$5)</f>
        <v>115051.43571706096</v>
      </c>
      <c r="S1204" s="18">
        <f>$B$5-R1204</f>
        <v>884948.56428293907</v>
      </c>
    </row>
    <row r="1205" spans="1:19">
      <c r="A1205" s="10">
        <f>1</f>
        <v>1</v>
      </c>
      <c r="B1205" s="18">
        <f>IF($A1205&gt;40,0,(B1202-MIN(MAX(C1204,0),B1202))+MIN(MAX(0,D1204-(B1202-MIN(MAX(C1204,0),B1202))),MAX(0,3*B1202-(C1204-MIN(MAX(C1204,0),B1202)))))</f>
        <v>30000</v>
      </c>
      <c r="C1205" s="18">
        <f>IF($A1205&gt;40,C1204,(C1204-B1202+B1205)*(1+$B$7))</f>
        <v>89676</v>
      </c>
      <c r="D1205" s="18">
        <f t="shared" ref="D1205:D1244" si="138">IF($A1205&gt;40,D1204,(D1204-B1205)*(1+$B$6))</f>
        <v>906400</v>
      </c>
      <c r="E1205" s="18">
        <f>IF($A1205&gt;40,0,(E1202-MIN(MAX(F1204,0),E1202))+MIN(MAX(0,G1204-(E1202-MIN(MAX(F1204,0),E1202))),MAX(0,3*E1202-(F1204-MIN(MAX(F1204,0),E1202)))))</f>
        <v>75000</v>
      </c>
      <c r="F1205" s="18">
        <f>IF($A1205&gt;40,F1204,(F1204-E1202+E1205)*(1+$B$7))</f>
        <v>224190</v>
      </c>
      <c r="G1205" s="18">
        <f t="shared" ref="G1205:G1244" si="139">IF($A1205&gt;40,G1204,(G1204-E1205)*(1+$B$6))</f>
        <v>721000</v>
      </c>
      <c r="H1205" s="18">
        <f>IF($A1205&gt;40,0,(H1202-MIN(MAX(I1204,0),H1202))+MIN(MAX(0,J1204-(H1202-MIN(MAX(I1204,0),H1202))),MAX(0,3*H1202-(I1204-MIN(MAX(I1204,0),H1202)))))</f>
        <v>38980.333577893878</v>
      </c>
      <c r="I1205" s="18">
        <f>IF($A1205&gt;40,I1204,(I1204-H1202+H1205)*(1+$B$7))</f>
        <v>116520.01313104035</v>
      </c>
      <c r="J1205" s="18">
        <f t="shared" ref="J1205:J1244" si="140">IF($A1205&gt;40,J1204,(J1204-H1205)*(1+$B$6))</f>
        <v>869401.02565907722</v>
      </c>
      <c r="K1205" s="18">
        <f>IF($A1205&gt;40,0,(K1202-MIN(MAX(L1204,0),K1202))+MIN(MAX(0,M1204-(K1202-MIN(MAX(L1204,0),K1202))),MAX(0,3*K1202-(L1204-MIN(MAX(L1204,0),K1202)))))</f>
        <v>38350.197829310608</v>
      </c>
      <c r="L1205" s="18">
        <f>IF($A1205&gt;40,L1204,(L1204-K1202+K1205)*(1+$B$7))</f>
        <v>114636.41135137524</v>
      </c>
      <c r="M1205" s="18">
        <f t="shared" ref="M1205:M1244" si="141">IF($A1205&gt;40,M1204,(M1204-K1205)*(1+$B$6))</f>
        <v>871997.18494324037</v>
      </c>
      <c r="N1205" s="18">
        <f>IF($A1205&gt;40,0,(N1202-MIN(MAX(O1204,0),N1202))+MIN(MAX(0,P1204-(N1202-MIN(MAX(O1204,0),N1202))),MAX(0,3*N1202-(O1204-MIN(MAX(O1204,0),N1202)))))</f>
        <v>38350.478242057317</v>
      </c>
      <c r="O1205" s="18">
        <f>IF($A1205&gt;40,O1204,(O1204-N1202+N1205)*(1+$B$7))</f>
        <v>114637.24956115776</v>
      </c>
      <c r="P1205" s="18">
        <f t="shared" ref="P1205:P1244" si="142">IF($A1205&gt;40,P1204,(P1204-N1205)*(1+$B$6))</f>
        <v>871996.02964272385</v>
      </c>
      <c r="Q1205" s="18">
        <f>IF($A1205&gt;40,0,(Q1202-MIN(MAX(R1204,0),Q1202))+MIN(MAX(0,S1204-(Q1202-MIN(MAX(R1204,0),Q1202))),MAX(0,3*Q1202-(R1204-MIN(MAX(R1204,0),Q1202)))))</f>
        <v>38350.478572353662</v>
      </c>
      <c r="R1205" s="18">
        <f>IF($A1205&gt;40,R1204,(R1204-Q1202+Q1205)*(1+$B$7))</f>
        <v>114637.25054847954</v>
      </c>
      <c r="S1205" s="18">
        <f t="shared" ref="S1205:S1244" si="143">IF($A1205&gt;40,S1204,(S1204-Q1205)*(1+$B$6))</f>
        <v>871996.02828190289</v>
      </c>
    </row>
    <row r="1206" spans="1:19">
      <c r="A1206" s="10">
        <f>2</f>
        <v>2</v>
      </c>
      <c r="B1206" s="18">
        <f>IF($A1206&gt;40,0,(B1202-MIN(MAX(C1205,0),B1202))+MIN(MAX(0,D1205-(B1202-MIN(MAX(C1205,0),B1202))),MAX(0,3*B1202-(C1205-MIN(MAX(C1205,0),B1202)))))</f>
        <v>30324</v>
      </c>
      <c r="C1206" s="18">
        <f>IF($A1206&gt;40,C1205,(C1205-B1202+B1206)*(1+$B$7))</f>
        <v>89676</v>
      </c>
      <c r="D1206" s="18">
        <f t="shared" si="138"/>
        <v>902358.28</v>
      </c>
      <c r="E1206" s="18">
        <f>IF($A1206&gt;40,0,(E1202-MIN(MAX(F1205,0),E1202))+MIN(MAX(0,G1205-(E1202-MIN(MAX(F1205,0),E1202))),MAX(0,3*E1202-(F1205-MIN(MAX(F1205,0),E1202)))))</f>
        <v>75810</v>
      </c>
      <c r="F1206" s="18">
        <f>IF($A1206&gt;40,F1205,(F1205-E1202+E1206)*(1+$B$7))</f>
        <v>224190</v>
      </c>
      <c r="G1206" s="18">
        <f t="shared" si="139"/>
        <v>664545.70000000007</v>
      </c>
      <c r="H1206" s="18">
        <f>IF($A1206&gt;40,0,(H1202-MIN(MAX(I1205,0),H1202))+MIN(MAX(0,J1205-(H1202-MIN(MAX(I1205,0),H1202))),MAX(0,3*H1202-(I1205-MIN(MAX(I1205,0),H1202)))))</f>
        <v>39401.321180535131</v>
      </c>
      <c r="I1206" s="18">
        <f>IF($A1206&gt;40,I1205,(I1205-H1202+H1206)*(1+$B$7))</f>
        <v>116520.01313104035</v>
      </c>
      <c r="J1206" s="18">
        <f t="shared" si="140"/>
        <v>854899.69561289833</v>
      </c>
      <c r="K1206" s="18">
        <f>IF($A1206&gt;40,0,(K1202-MIN(MAX(L1205,0),K1202))+MIN(MAX(0,M1205-(K1202-MIN(MAX(L1205,0),K1202))),MAX(0,3*K1202-(L1205-MIN(MAX(L1205,0),K1202)))))</f>
        <v>38764.379965867149</v>
      </c>
      <c r="L1206" s="18">
        <f>IF($A1206&gt;40,L1205,(L1205-K1202+K1206)*(1+$B$7))</f>
        <v>114636.41135137524</v>
      </c>
      <c r="M1206" s="18">
        <f t="shared" si="141"/>
        <v>858229.78912669444</v>
      </c>
      <c r="N1206" s="18">
        <f>IF($A1206&gt;40,0,(N1202-MIN(MAX(O1205,0),N1202))+MIN(MAX(0,P1205-(N1202-MIN(MAX(O1205,0),N1202))),MAX(0,3*N1202-(O1205-MIN(MAX(O1205,0),N1202)))))</f>
        <v>38764.663407071552</v>
      </c>
      <c r="O1206" s="18">
        <f>IF($A1206&gt;40,O1205,(O1205-N1202+N1206)*(1+$B$7))</f>
        <v>114637.24956115776</v>
      </c>
      <c r="P1206" s="18">
        <f t="shared" si="142"/>
        <v>858228.30722272187</v>
      </c>
      <c r="Q1206" s="18">
        <f>IF($A1206&gt;40,0,(Q1202-MIN(MAX(R1205,0),Q1202))+MIN(MAX(0,S1205-(Q1202-MIN(MAX(R1205,0),Q1202))),MAX(0,3*Q1202-(R1205-MIN(MAX(R1205,0),Q1202)))))</f>
        <v>38764.663740935066</v>
      </c>
      <c r="R1206" s="18">
        <f>IF($A1206&gt;40,R1205,(R1205-Q1202+Q1206)*(1+$B$7))</f>
        <v>114637.25054847954</v>
      </c>
      <c r="S1206" s="18">
        <f t="shared" si="143"/>
        <v>858228.30547719693</v>
      </c>
    </row>
    <row r="1207" spans="1:19">
      <c r="A1207" s="10">
        <f>3</f>
        <v>3</v>
      </c>
      <c r="B1207" s="18">
        <f>IF($A1207&gt;40,0,(B1202-MIN(MAX(C1206,0),B1202))+MIN(MAX(0,D1206-(B1202-MIN(MAX(C1206,0),B1202))),MAX(0,3*B1202-(C1206-MIN(MAX(C1206,0),B1202)))))</f>
        <v>30324</v>
      </c>
      <c r="C1207" s="18">
        <f>IF($A1207&gt;40,C1206,(C1206-B1202+B1207)*(1+$B$7))</f>
        <v>89676</v>
      </c>
      <c r="D1207" s="18">
        <f t="shared" si="138"/>
        <v>898195.3084000001</v>
      </c>
      <c r="E1207" s="18">
        <f>IF($A1207&gt;40,0,(E1202-MIN(MAX(F1206,0),E1202))+MIN(MAX(0,G1206-(E1202-MIN(MAX(F1206,0),E1202))),MAX(0,3*E1202-(F1206-MIN(MAX(F1206,0),E1202)))))</f>
        <v>75810</v>
      </c>
      <c r="F1207" s="18">
        <f>IF($A1207&gt;40,F1206,(F1206-E1202+E1207)*(1+$B$7))</f>
        <v>224190</v>
      </c>
      <c r="G1207" s="18">
        <f t="shared" si="139"/>
        <v>606397.77100000007</v>
      </c>
      <c r="H1207" s="18">
        <f>IF($A1207&gt;40,0,(H1202-MIN(MAX(I1206,0),H1202))+MIN(MAX(0,J1206-(H1202-MIN(MAX(I1206,0),H1202))),MAX(0,3*H1202-(I1206-MIN(MAX(I1206,0),H1202)))))</f>
        <v>39401.321180535131</v>
      </c>
      <c r="I1207" s="18">
        <f>IF($A1207&gt;40,I1206,(I1206-H1202+H1207)*(1+$B$7))</f>
        <v>116520.01313104035</v>
      </c>
      <c r="J1207" s="18">
        <f t="shared" si="140"/>
        <v>839963.32566533412</v>
      </c>
      <c r="K1207" s="18">
        <f>IF($A1207&gt;40,0,(K1202-MIN(MAX(L1206,0),K1202))+MIN(MAX(0,M1206-(K1202-MIN(MAX(L1206,0),K1202))),MAX(0,3*K1202-(L1206-MIN(MAX(L1206,0),K1202)))))</f>
        <v>38764.379965867149</v>
      </c>
      <c r="L1207" s="18">
        <f>IF($A1207&gt;40,L1206,(L1206-K1202+K1207)*(1+$B$7))</f>
        <v>114636.41135137524</v>
      </c>
      <c r="M1207" s="18">
        <f t="shared" si="141"/>
        <v>844049.37143565214</v>
      </c>
      <c r="N1207" s="18">
        <f>IF($A1207&gt;40,0,(N1202-MIN(MAX(O1206,0),N1202))+MIN(MAX(0,P1206-(N1202-MIN(MAX(O1206,0),N1202))),MAX(0,3*N1202-(O1206-MIN(MAX(O1206,0),N1202)))))</f>
        <v>38764.663407071552</v>
      </c>
      <c r="O1207" s="18">
        <f>IF($A1207&gt;40,O1206,(O1206-N1202+N1207)*(1+$B$7))</f>
        <v>114637.24956115776</v>
      </c>
      <c r="P1207" s="18">
        <f t="shared" si="142"/>
        <v>844047.55313011992</v>
      </c>
      <c r="Q1207" s="18">
        <f>IF($A1207&gt;40,0,(Q1202-MIN(MAX(R1206,0),Q1202))+MIN(MAX(0,S1206-(Q1202-MIN(MAX(R1206,0),Q1202))),MAX(0,3*Q1202-(R1206-MIN(MAX(R1206,0),Q1202)))))</f>
        <v>38764.663740935066</v>
      </c>
      <c r="R1207" s="18">
        <f>IF($A1207&gt;40,R1206,(R1206-Q1202+Q1207)*(1+$B$7))</f>
        <v>114637.25054847954</v>
      </c>
      <c r="S1207" s="18">
        <f t="shared" si="143"/>
        <v>844047.55098834983</v>
      </c>
    </row>
    <row r="1208" spans="1:19">
      <c r="A1208" s="10">
        <f>4</f>
        <v>4</v>
      </c>
      <c r="B1208" s="18">
        <f>IF($A1208&gt;40,0,(B1202-MIN(MAX(C1207,0),B1202))+MIN(MAX(0,D1207-(B1202-MIN(MAX(C1207,0),B1202))),MAX(0,3*B1202-(C1207-MIN(MAX(C1207,0),B1202)))))</f>
        <v>30324</v>
      </c>
      <c r="C1208" s="18">
        <f>IF($A1208&gt;40,C1207,(C1207-B1202+B1208)*(1+$B$7))</f>
        <v>89676</v>
      </c>
      <c r="D1208" s="18">
        <f t="shared" si="138"/>
        <v>893907.44765200012</v>
      </c>
      <c r="E1208" s="18">
        <f>IF($A1208&gt;40,0,(E1202-MIN(MAX(F1207,0),E1202))+MIN(MAX(0,G1207-(E1202-MIN(MAX(F1207,0),E1202))),MAX(0,3*E1202-(F1207-MIN(MAX(F1207,0),E1202)))))</f>
        <v>75810</v>
      </c>
      <c r="F1208" s="18">
        <f>IF($A1208&gt;40,F1207,(F1207-E1202+E1208)*(1+$B$7))</f>
        <v>224190</v>
      </c>
      <c r="G1208" s="18">
        <f t="shared" si="139"/>
        <v>546505.40413000004</v>
      </c>
      <c r="H1208" s="18">
        <f>IF($A1208&gt;40,0,(H1202-MIN(MAX(I1207,0),H1202))+MIN(MAX(0,J1207-(H1202-MIN(MAX(I1207,0),H1202))),MAX(0,3*H1202-(I1207-MIN(MAX(I1207,0),H1202)))))</f>
        <v>39401.321180535131</v>
      </c>
      <c r="I1208" s="18">
        <f>IF($A1208&gt;40,I1207,(I1207-H1202+H1208)*(1+$B$7))</f>
        <v>116520.01313104035</v>
      </c>
      <c r="J1208" s="18">
        <f t="shared" si="140"/>
        <v>824578.86461934296</v>
      </c>
      <c r="K1208" s="18">
        <f>IF($A1208&gt;40,0,(K1202-MIN(MAX(L1207,0),K1202))+MIN(MAX(0,M1207-(K1202-MIN(MAX(L1207,0),K1202))),MAX(0,3*K1202-(L1207-MIN(MAX(L1207,0),K1202)))))</f>
        <v>38764.379965867149</v>
      </c>
      <c r="L1208" s="18">
        <f>IF($A1208&gt;40,L1207,(L1207-K1202+K1208)*(1+$B$7))</f>
        <v>114636.41135137524</v>
      </c>
      <c r="M1208" s="18">
        <f t="shared" si="141"/>
        <v>829443.54121387855</v>
      </c>
      <c r="N1208" s="18">
        <f>IF($A1208&gt;40,0,(N1202-MIN(MAX(O1207,0),N1202))+MIN(MAX(0,P1207-(N1202-MIN(MAX(O1207,0),N1202))),MAX(0,3*N1202-(O1207-MIN(MAX(O1207,0),N1202)))))</f>
        <v>38764.663407071552</v>
      </c>
      <c r="O1208" s="18">
        <f>IF($A1208&gt;40,O1207,(O1207-N1202+N1208)*(1+$B$7))</f>
        <v>114637.24956115776</v>
      </c>
      <c r="P1208" s="18">
        <f t="shared" si="142"/>
        <v>829441.37641473976</v>
      </c>
      <c r="Q1208" s="18">
        <f>IF($A1208&gt;40,0,(Q1202-MIN(MAX(R1207,0),Q1202))+MIN(MAX(0,S1207-(Q1202-MIN(MAX(R1207,0),Q1202))),MAX(0,3*Q1202-(R1207-MIN(MAX(R1207,0),Q1202)))))</f>
        <v>38764.663740935066</v>
      </c>
      <c r="R1208" s="18">
        <f>IF($A1208&gt;40,R1207,(R1207-Q1202+Q1208)*(1+$B$7))</f>
        <v>114637.25054847954</v>
      </c>
      <c r="S1208" s="18">
        <f t="shared" si="143"/>
        <v>829441.37386483722</v>
      </c>
    </row>
    <row r="1209" spans="1:19">
      <c r="A1209" s="10">
        <f>5</f>
        <v>5</v>
      </c>
      <c r="B1209" s="18">
        <f>IF($A1209&gt;40,0,(B1202-MIN(MAX(C1208,0),B1202))+MIN(MAX(0,D1208-(B1202-MIN(MAX(C1208,0),B1202))),MAX(0,3*B1202-(C1208-MIN(MAX(C1208,0),B1202)))))</f>
        <v>30324</v>
      </c>
      <c r="C1209" s="18">
        <f>IF($A1209&gt;40,C1208,(C1208-B1202+B1209)*(1+$B$7))</f>
        <v>89676</v>
      </c>
      <c r="D1209" s="18">
        <f t="shared" si="138"/>
        <v>889490.95108156011</v>
      </c>
      <c r="E1209" s="18">
        <f>IF($A1209&gt;40,0,(E1202-MIN(MAX(F1208,0),E1202))+MIN(MAX(0,G1208-(E1202-MIN(MAX(F1208,0),E1202))),MAX(0,3*E1202-(F1208-MIN(MAX(F1208,0),E1202)))))</f>
        <v>75810</v>
      </c>
      <c r="F1209" s="18">
        <f>IF($A1209&gt;40,F1208,(F1208-E1202+E1209)*(1+$B$7))</f>
        <v>224190</v>
      </c>
      <c r="G1209" s="18">
        <f t="shared" si="139"/>
        <v>484816.26625390007</v>
      </c>
      <c r="H1209" s="18">
        <f>IF($A1209&gt;40,0,(H1202-MIN(MAX(I1208,0),H1202))+MIN(MAX(0,J1208-(H1202-MIN(MAX(I1208,0),H1202))),MAX(0,3*H1202-(I1208-MIN(MAX(I1208,0),H1202)))))</f>
        <v>39401.321180535131</v>
      </c>
      <c r="I1209" s="18">
        <f>IF($A1209&gt;40,I1208,(I1208-H1202+H1209)*(1+$B$7))</f>
        <v>116520.01313104035</v>
      </c>
      <c r="J1209" s="18">
        <f t="shared" si="140"/>
        <v>808732.86974197207</v>
      </c>
      <c r="K1209" s="18">
        <f>IF($A1209&gt;40,0,(K1202-MIN(MAX(L1208,0),K1202))+MIN(MAX(0,M1208-(K1202-MIN(MAX(L1208,0),K1202))),MAX(0,3*K1202-(L1208-MIN(MAX(L1208,0),K1202)))))</f>
        <v>38764.379965867149</v>
      </c>
      <c r="L1209" s="18">
        <f>IF($A1209&gt;40,L1208,(L1208-K1202+K1209)*(1+$B$7))</f>
        <v>114636.41135137524</v>
      </c>
      <c r="M1209" s="18">
        <f t="shared" si="141"/>
        <v>814399.53608545172</v>
      </c>
      <c r="N1209" s="18">
        <f>IF($A1209&gt;40,0,(N1202-MIN(MAX(O1208,0),N1202))+MIN(MAX(0,P1208-(N1202-MIN(MAX(O1208,0),N1202))),MAX(0,3*N1202-(O1208-MIN(MAX(O1208,0),N1202)))))</f>
        <v>38764.663407071552</v>
      </c>
      <c r="O1209" s="18">
        <f>IF($A1209&gt;40,O1208,(O1208-N1202+N1209)*(1+$B$7))</f>
        <v>114637.24956115776</v>
      </c>
      <c r="P1209" s="18">
        <f t="shared" si="142"/>
        <v>814397.01439789834</v>
      </c>
      <c r="Q1209" s="18">
        <f>IF($A1209&gt;40,0,(Q1202-MIN(MAX(R1208,0),Q1202))+MIN(MAX(0,S1208-(Q1202-MIN(MAX(R1208,0),Q1202))),MAX(0,3*Q1202-(R1208-MIN(MAX(R1208,0),Q1202)))))</f>
        <v>38764.663740935066</v>
      </c>
      <c r="R1209" s="18">
        <f>IF($A1209&gt;40,R1208,(R1208-Q1202+Q1209)*(1+$B$7))</f>
        <v>114637.25054847954</v>
      </c>
      <c r="S1209" s="18">
        <f t="shared" si="143"/>
        <v>814397.01142761926</v>
      </c>
    </row>
    <row r="1210" spans="1:19">
      <c r="A1210" s="10">
        <f>6</f>
        <v>6</v>
      </c>
      <c r="B1210" s="18">
        <f>IF($A1210&gt;40,0,(B1202-MIN(MAX(C1209,0),B1202))+MIN(MAX(0,D1209-(B1202-MIN(MAX(C1209,0),B1202))),MAX(0,3*B1202-(C1209-MIN(MAX(C1209,0),B1202)))))</f>
        <v>30324</v>
      </c>
      <c r="C1210" s="18">
        <f>IF($A1210&gt;40,C1209,(C1209-B1202+B1210)*(1+$B$7))</f>
        <v>89676</v>
      </c>
      <c r="D1210" s="18">
        <f t="shared" si="138"/>
        <v>884941.95961400692</v>
      </c>
      <c r="E1210" s="18">
        <f>IF($A1210&gt;40,0,(E1202-MIN(MAX(F1209,0),E1202))+MIN(MAX(0,G1209-(E1202-MIN(MAX(F1209,0),E1202))),MAX(0,3*E1202-(F1209-MIN(MAX(F1209,0),E1202)))))</f>
        <v>75810</v>
      </c>
      <c r="F1210" s="18">
        <f>IF($A1210&gt;40,F1209,(F1209-E1202+E1210)*(1+$B$7))</f>
        <v>224190</v>
      </c>
      <c r="G1210" s="18">
        <f t="shared" si="139"/>
        <v>421276.45424151706</v>
      </c>
      <c r="H1210" s="18">
        <f>IF($A1210&gt;40,0,(H1202-MIN(MAX(I1209,0),H1202))+MIN(MAX(0,J1209-(H1202-MIN(MAX(I1209,0),H1202))),MAX(0,3*H1202-(I1209-MIN(MAX(I1209,0),H1202)))))</f>
        <v>39401.321180535131</v>
      </c>
      <c r="I1210" s="18">
        <f>IF($A1210&gt;40,I1209,(I1209-H1202+H1210)*(1+$B$7))</f>
        <v>116520.01313104035</v>
      </c>
      <c r="J1210" s="18">
        <f t="shared" si="140"/>
        <v>792411.49501828011</v>
      </c>
      <c r="K1210" s="18">
        <f>IF($A1210&gt;40,0,(K1202-MIN(MAX(L1209,0),K1202))+MIN(MAX(0,M1209-(K1202-MIN(MAX(L1209,0),K1202))),MAX(0,3*K1202-(L1209-MIN(MAX(L1209,0),K1202)))))</f>
        <v>38764.379965867149</v>
      </c>
      <c r="L1210" s="18">
        <f>IF($A1210&gt;40,L1209,(L1209-K1202+K1210)*(1+$B$7))</f>
        <v>114636.41135137524</v>
      </c>
      <c r="M1210" s="18">
        <f t="shared" si="141"/>
        <v>798904.21080317209</v>
      </c>
      <c r="N1210" s="18">
        <f>IF($A1210&gt;40,0,(N1202-MIN(MAX(O1209,0),N1202))+MIN(MAX(0,P1209-(N1202-MIN(MAX(O1209,0),N1202))),MAX(0,3*N1202-(O1209-MIN(MAX(O1209,0),N1202)))))</f>
        <v>38764.663407071552</v>
      </c>
      <c r="O1210" s="18">
        <f>IF($A1210&gt;40,O1209,(O1209-N1202+N1210)*(1+$B$7))</f>
        <v>114637.24956115776</v>
      </c>
      <c r="P1210" s="18">
        <f t="shared" si="142"/>
        <v>798901.32152055157</v>
      </c>
      <c r="Q1210" s="18">
        <f>IF($A1210&gt;40,0,(Q1202-MIN(MAX(R1209,0),Q1202))+MIN(MAX(0,S1209-(Q1202-MIN(MAX(R1209,0),Q1202))),MAX(0,3*Q1202-(R1209-MIN(MAX(R1209,0),Q1202)))))</f>
        <v>38764.663740935066</v>
      </c>
      <c r="R1210" s="18">
        <f>IF($A1210&gt;40,R1209,(R1209-Q1202+Q1210)*(1+$B$7))</f>
        <v>114637.25054847954</v>
      </c>
      <c r="S1210" s="18">
        <f t="shared" si="143"/>
        <v>798901.3181172848</v>
      </c>
    </row>
    <row r="1211" spans="1:19">
      <c r="A1211" s="10">
        <f>7</f>
        <v>7</v>
      </c>
      <c r="B1211" s="18">
        <f>IF($A1211&gt;40,0,(B1202-MIN(MAX(C1210,0),B1202))+MIN(MAX(0,D1210-(B1202-MIN(MAX(C1210,0),B1202))),MAX(0,3*B1202-(C1210-MIN(MAX(C1210,0),B1202)))))</f>
        <v>30324</v>
      </c>
      <c r="C1211" s="18">
        <f>IF($A1211&gt;40,C1210,(C1210-B1202+B1211)*(1+$B$7))</f>
        <v>89676</v>
      </c>
      <c r="D1211" s="18">
        <f t="shared" si="138"/>
        <v>880256.49840242718</v>
      </c>
      <c r="E1211" s="18">
        <f>IF($A1211&gt;40,0,(E1202-MIN(MAX(F1210,0),E1202))+MIN(MAX(0,G1210-(E1202-MIN(MAX(F1210,0),E1202))),MAX(0,3*E1202-(F1210-MIN(MAX(F1210,0),E1202)))))</f>
        <v>75810</v>
      </c>
      <c r="F1211" s="18">
        <f>IF($A1211&gt;40,F1210,(F1210-E1202+E1211)*(1+$B$7))</f>
        <v>224190</v>
      </c>
      <c r="G1211" s="18">
        <f t="shared" si="139"/>
        <v>355830.4478687626</v>
      </c>
      <c r="H1211" s="18">
        <f>IF($A1211&gt;40,0,(H1202-MIN(MAX(I1210,0),H1202))+MIN(MAX(0,J1210-(H1202-MIN(MAX(I1210,0),H1202))),MAX(0,3*H1202-(I1210-MIN(MAX(I1210,0),H1202)))))</f>
        <v>39401.321180535131</v>
      </c>
      <c r="I1211" s="18">
        <f>IF($A1211&gt;40,I1210,(I1210-H1202+H1211)*(1+$B$7))</f>
        <v>116520.01313104035</v>
      </c>
      <c r="J1211" s="18">
        <f t="shared" si="140"/>
        <v>775600.4790528774</v>
      </c>
      <c r="K1211" s="18">
        <f>IF($A1211&gt;40,0,(K1202-MIN(MAX(L1210,0),K1202))+MIN(MAX(0,M1210-(K1202-MIN(MAX(L1210,0),K1202))),MAX(0,3*K1202-(L1210-MIN(MAX(L1210,0),K1202)))))</f>
        <v>38764.379965867149</v>
      </c>
      <c r="L1211" s="18">
        <f>IF($A1211&gt;40,L1210,(L1210-K1202+K1211)*(1+$B$7))</f>
        <v>114636.41135137524</v>
      </c>
      <c r="M1211" s="18">
        <f t="shared" si="141"/>
        <v>782944.02576242411</v>
      </c>
      <c r="N1211" s="18">
        <f>IF($A1211&gt;40,0,(N1202-MIN(MAX(O1210,0),N1202))+MIN(MAX(0,P1210-(N1202-MIN(MAX(O1210,0),N1202))),MAX(0,3*N1202-(O1210-MIN(MAX(O1210,0),N1202)))))</f>
        <v>38764.663407071552</v>
      </c>
      <c r="O1211" s="18">
        <f>IF($A1211&gt;40,O1210,(O1210-N1202+N1211)*(1+$B$7))</f>
        <v>114637.24956115776</v>
      </c>
      <c r="P1211" s="18">
        <f t="shared" si="142"/>
        <v>782940.75785688451</v>
      </c>
      <c r="Q1211" s="18">
        <f>IF($A1211&gt;40,0,(Q1202-MIN(MAX(R1210,0),Q1202))+MIN(MAX(0,S1210-(Q1202-MIN(MAX(R1210,0),Q1202))),MAX(0,3*Q1202-(R1210-MIN(MAX(R1210,0),Q1202)))))</f>
        <v>38764.663740935066</v>
      </c>
      <c r="R1211" s="18">
        <f>IF($A1211&gt;40,R1210,(R1210-Q1202+Q1211)*(1+$B$7))</f>
        <v>114637.25054847954</v>
      </c>
      <c r="S1211" s="18">
        <f t="shared" si="143"/>
        <v>782940.75400764029</v>
      </c>
    </row>
    <row r="1212" spans="1:19">
      <c r="A1212" s="10">
        <f>8</f>
        <v>8</v>
      </c>
      <c r="B1212" s="18">
        <f>IF($A1212&gt;40,0,(B1202-MIN(MAX(C1211,0),B1202))+MIN(MAX(0,D1211-(B1202-MIN(MAX(C1211,0),B1202))),MAX(0,3*B1202-(C1211-MIN(MAX(C1211,0),B1202)))))</f>
        <v>30324</v>
      </c>
      <c r="C1212" s="18">
        <f>IF($A1212&gt;40,C1211,(C1211-B1202+B1212)*(1+$B$7))</f>
        <v>89676</v>
      </c>
      <c r="D1212" s="18">
        <f t="shared" si="138"/>
        <v>875430.47335450002</v>
      </c>
      <c r="E1212" s="18">
        <f>IF($A1212&gt;40,0,(E1202-MIN(MAX(F1211,0),E1202))+MIN(MAX(0,G1211-(E1202-MIN(MAX(F1211,0),E1202))),MAX(0,3*E1202-(F1211-MIN(MAX(F1211,0),E1202)))))</f>
        <v>75810</v>
      </c>
      <c r="F1212" s="18">
        <f>IF($A1212&gt;40,F1211,(F1211-E1202+E1212)*(1+$B$7))</f>
        <v>224190</v>
      </c>
      <c r="G1212" s="18">
        <f t="shared" si="139"/>
        <v>288421.06130482547</v>
      </c>
      <c r="H1212" s="18">
        <f>IF($A1212&gt;40,0,(H1202-MIN(MAX(I1211,0),H1202))+MIN(MAX(0,J1211-(H1202-MIN(MAX(I1211,0),H1202))),MAX(0,3*H1202-(I1211-MIN(MAX(I1211,0),H1202)))))</f>
        <v>39401.321180535131</v>
      </c>
      <c r="I1212" s="18">
        <f>IF($A1212&gt;40,I1211,(I1211-H1202+H1212)*(1+$B$7))</f>
        <v>116520.01313104035</v>
      </c>
      <c r="J1212" s="18">
        <f t="shared" si="140"/>
        <v>758285.13260851253</v>
      </c>
      <c r="K1212" s="18">
        <f>IF($A1212&gt;40,0,(K1202-MIN(MAX(L1211,0),K1202))+MIN(MAX(0,M1211-(K1202-MIN(MAX(L1211,0),K1202))),MAX(0,3*K1202-(L1211-MIN(MAX(L1211,0),K1202)))))</f>
        <v>38764.379965867149</v>
      </c>
      <c r="L1212" s="18">
        <f>IF($A1212&gt;40,L1211,(L1211-K1202+K1212)*(1+$B$7))</f>
        <v>114636.41135137524</v>
      </c>
      <c r="M1212" s="18">
        <f t="shared" si="141"/>
        <v>766505.03517045372</v>
      </c>
      <c r="N1212" s="18">
        <f>IF($A1212&gt;40,0,(N1202-MIN(MAX(O1211,0),N1202))+MIN(MAX(0,P1211-(N1202-MIN(MAX(O1211,0),N1202))),MAX(0,3*N1202-(O1211-MIN(MAX(O1211,0),N1202)))))</f>
        <v>38764.663407071552</v>
      </c>
      <c r="O1212" s="18">
        <f>IF($A1212&gt;40,O1211,(O1211-N1202+N1212)*(1+$B$7))</f>
        <v>114637.24956115776</v>
      </c>
      <c r="P1212" s="18">
        <f t="shared" si="142"/>
        <v>766501.37728330737</v>
      </c>
      <c r="Q1212" s="18">
        <f>IF($A1212&gt;40,0,(Q1202-MIN(MAX(R1211,0),Q1202))+MIN(MAX(0,S1211-(Q1202-MIN(MAX(R1211,0),Q1202))),MAX(0,3*Q1202-(R1211-MIN(MAX(R1211,0),Q1202)))))</f>
        <v>38764.663740935066</v>
      </c>
      <c r="R1212" s="18">
        <f>IF($A1212&gt;40,R1211,(R1211-Q1202+Q1212)*(1+$B$7))</f>
        <v>114637.25054847954</v>
      </c>
      <c r="S1212" s="18">
        <f t="shared" si="143"/>
        <v>766501.37297470646</v>
      </c>
    </row>
    <row r="1213" spans="1:19">
      <c r="A1213" s="10">
        <f>9</f>
        <v>9</v>
      </c>
      <c r="B1213" s="18">
        <f>IF($A1213&gt;40,0,(B1202-MIN(MAX(C1212,0),B1202))+MIN(MAX(0,D1212-(B1202-MIN(MAX(C1212,0),B1202))),MAX(0,3*B1202-(C1212-MIN(MAX(C1212,0),B1202)))))</f>
        <v>30324</v>
      </c>
      <c r="C1213" s="18">
        <f>IF($A1213&gt;40,C1212,(C1212-B1202+B1213)*(1+$B$7))</f>
        <v>89676</v>
      </c>
      <c r="D1213" s="18">
        <f t="shared" si="138"/>
        <v>870459.66755513509</v>
      </c>
      <c r="E1213" s="18">
        <f>IF($A1213&gt;40,0,(E1202-MIN(MAX(F1212,0),E1202))+MIN(MAX(0,G1212-(E1202-MIN(MAX(F1212,0),E1202))),MAX(0,3*E1202-(F1212-MIN(MAX(F1212,0),E1202)))))</f>
        <v>75810</v>
      </c>
      <c r="F1213" s="18">
        <f>IF($A1213&gt;40,F1212,(F1212-E1202+E1213)*(1+$B$7))</f>
        <v>224190</v>
      </c>
      <c r="G1213" s="18">
        <f t="shared" si="139"/>
        <v>218989.39314397026</v>
      </c>
      <c r="H1213" s="18">
        <f>IF($A1213&gt;40,0,(H1202-MIN(MAX(I1212,0),H1202))+MIN(MAX(0,J1212-(H1202-MIN(MAX(I1212,0),H1202))),MAX(0,3*H1202-(I1212-MIN(MAX(I1212,0),H1202)))))</f>
        <v>39401.321180535131</v>
      </c>
      <c r="I1213" s="18">
        <f>IF($A1213&gt;40,I1212,(I1212-H1202+H1213)*(1+$B$7))</f>
        <v>116520.01313104035</v>
      </c>
      <c r="J1213" s="18">
        <f t="shared" si="140"/>
        <v>740450.32577081677</v>
      </c>
      <c r="K1213" s="18">
        <f>IF($A1213&gt;40,0,(K1202-MIN(MAX(L1212,0),K1202))+MIN(MAX(0,M1212-(K1202-MIN(MAX(L1212,0),K1202))),MAX(0,3*K1202-(L1212-MIN(MAX(L1212,0),K1202)))))</f>
        <v>38764.379965867149</v>
      </c>
      <c r="L1213" s="18">
        <f>IF($A1213&gt;40,L1212,(L1212-K1202+K1213)*(1+$B$7))</f>
        <v>114636.41135137524</v>
      </c>
      <c r="M1213" s="18">
        <f t="shared" si="141"/>
        <v>749572.8748607242</v>
      </c>
      <c r="N1213" s="18">
        <f>IF($A1213&gt;40,0,(N1202-MIN(MAX(O1212,0),N1202))+MIN(MAX(0,P1212-(N1202-MIN(MAX(O1212,0),N1202))),MAX(0,3*N1202-(O1212-MIN(MAX(O1212,0),N1202)))))</f>
        <v>38764.663407071552</v>
      </c>
      <c r="O1213" s="18">
        <f>IF($A1213&gt;40,O1212,(O1212-N1202+N1213)*(1+$B$7))</f>
        <v>114637.24956115776</v>
      </c>
      <c r="P1213" s="18">
        <f t="shared" si="142"/>
        <v>749568.81529252289</v>
      </c>
      <c r="Q1213" s="18">
        <f>IF($A1213&gt;40,0,(Q1202-MIN(MAX(R1212,0),Q1202))+MIN(MAX(0,S1212-(Q1202-MIN(MAX(R1212,0),Q1202))),MAX(0,3*Q1202-(R1212-MIN(MAX(R1212,0),Q1202)))))</f>
        <v>38764.663740935066</v>
      </c>
      <c r="R1213" s="18">
        <f>IF($A1213&gt;40,R1212,(R1212-Q1202+Q1213)*(1+$B$7))</f>
        <v>114637.25054847954</v>
      </c>
      <c r="S1213" s="18">
        <f t="shared" si="143"/>
        <v>749568.81051078462</v>
      </c>
    </row>
    <row r="1214" spans="1:19">
      <c r="A1214" s="10">
        <f>10</f>
        <v>10</v>
      </c>
      <c r="B1214" s="18">
        <f>IF($A1214&gt;40,0,(B1202-MIN(MAX(C1213,0),B1202))+MIN(MAX(0,D1213-(B1202-MIN(MAX(C1213,0),B1202))),MAX(0,3*B1202-(C1213-MIN(MAX(C1213,0),B1202)))))</f>
        <v>30324</v>
      </c>
      <c r="C1214" s="18">
        <f>IF($A1214&gt;40,C1213,(C1213-B1202+B1214)*(1+$B$7))</f>
        <v>89676</v>
      </c>
      <c r="D1214" s="18">
        <f t="shared" si="138"/>
        <v>865339.73758178914</v>
      </c>
      <c r="E1214" s="18">
        <f>IF($A1214&gt;40,0,(E1202-MIN(MAX(F1213,0),E1202))+MIN(MAX(0,G1213-(E1202-MIN(MAX(F1213,0),E1202))),MAX(0,3*E1202-(F1213-MIN(MAX(F1213,0),E1202)))))</f>
        <v>75810</v>
      </c>
      <c r="F1214" s="18">
        <f>IF($A1214&gt;40,F1213,(F1213-E1202+E1214)*(1+$B$7))</f>
        <v>224190</v>
      </c>
      <c r="G1214" s="18">
        <f t="shared" si="139"/>
        <v>147474.77493828937</v>
      </c>
      <c r="H1214" s="18">
        <f>IF($A1214&gt;40,0,(H1202-MIN(MAX(I1213,0),H1202))+MIN(MAX(0,J1213-(H1202-MIN(MAX(I1213,0),H1202))),MAX(0,3*H1202-(I1213-MIN(MAX(I1213,0),H1202)))))</f>
        <v>39401.321180535131</v>
      </c>
      <c r="I1214" s="18">
        <f>IF($A1214&gt;40,I1213,(I1213-H1202+H1214)*(1+$B$7))</f>
        <v>116520.01313104035</v>
      </c>
      <c r="J1214" s="18">
        <f t="shared" si="140"/>
        <v>722080.47472799011</v>
      </c>
      <c r="K1214" s="18">
        <f>IF($A1214&gt;40,0,(K1202-MIN(MAX(L1213,0),K1202))+MIN(MAX(0,M1213-(K1202-MIN(MAX(L1213,0),K1202))),MAX(0,3*K1202-(L1213-MIN(MAX(L1213,0),K1202)))))</f>
        <v>38764.379965867149</v>
      </c>
      <c r="L1214" s="18">
        <f>IF($A1214&gt;40,L1213,(L1213-K1202+K1214)*(1+$B$7))</f>
        <v>114636.41135137524</v>
      </c>
      <c r="M1214" s="18">
        <f t="shared" si="141"/>
        <v>732132.74974170281</v>
      </c>
      <c r="N1214" s="18">
        <f>IF($A1214&gt;40,0,(N1202-MIN(MAX(O1213,0),N1202))+MIN(MAX(0,P1213-(N1202-MIN(MAX(O1213,0),N1202))),MAX(0,3*N1202-(O1213-MIN(MAX(O1213,0),N1202)))))</f>
        <v>38764.663407071552</v>
      </c>
      <c r="O1214" s="18">
        <f>IF($A1214&gt;40,O1213,(O1213-N1202+N1214)*(1+$B$7))</f>
        <v>114637.24956115776</v>
      </c>
      <c r="P1214" s="18">
        <f t="shared" si="142"/>
        <v>732128.27644201485</v>
      </c>
      <c r="Q1214" s="18">
        <f>IF($A1214&gt;40,0,(Q1202-MIN(MAX(R1213,0),Q1202))+MIN(MAX(0,S1213-(Q1202-MIN(MAX(R1213,0),Q1202))),MAX(0,3*Q1202-(R1213-MIN(MAX(R1213,0),Q1202)))))</f>
        <v>38764.663740935066</v>
      </c>
      <c r="R1214" s="18">
        <f>IF($A1214&gt;40,R1213,(R1213-Q1202+Q1214)*(1+$B$7))</f>
        <v>114637.25054847954</v>
      </c>
      <c r="S1214" s="18">
        <f t="shared" si="143"/>
        <v>732128.27117294504</v>
      </c>
    </row>
    <row r="1215" spans="1:19">
      <c r="A1215" s="10">
        <f>11</f>
        <v>11</v>
      </c>
      <c r="B1215" s="18">
        <f>IF($A1215&gt;40,0,(B1202-MIN(MAX(C1214,0),B1202))+MIN(MAX(0,D1214-(B1202-MIN(MAX(C1214,0),B1202))),MAX(0,3*B1202-(C1214-MIN(MAX(C1214,0),B1202)))))</f>
        <v>30324</v>
      </c>
      <c r="C1215" s="18">
        <f>IF($A1215&gt;40,C1214,(C1214-B1202+B1215)*(1+$B$7))</f>
        <v>89676</v>
      </c>
      <c r="D1215" s="18">
        <f t="shared" si="138"/>
        <v>860066.2097092428</v>
      </c>
      <c r="E1215" s="18">
        <f>IF($A1215&gt;40,0,(E1202-MIN(MAX(F1214,0),E1202))+MIN(MAX(0,G1214-(E1202-MIN(MAX(F1214,0),E1202))),MAX(0,3*E1202-(F1214-MIN(MAX(F1214,0),E1202)))))</f>
        <v>75810</v>
      </c>
      <c r="F1215" s="18">
        <f>IF($A1215&gt;40,F1214,(F1214-E1202+E1215)*(1+$B$7))</f>
        <v>224190</v>
      </c>
      <c r="G1215" s="18">
        <f t="shared" si="139"/>
        <v>73814.718186438055</v>
      </c>
      <c r="H1215" s="18">
        <f>IF($A1215&gt;40,0,(H1202-MIN(MAX(I1214,0),H1202))+MIN(MAX(0,J1214-(H1202-MIN(MAX(I1214,0),H1202))),MAX(0,3*H1202-(I1214-MIN(MAX(I1214,0),H1202)))))</f>
        <v>39401.321180535131</v>
      </c>
      <c r="I1215" s="18">
        <f>IF($A1215&gt;40,I1214,(I1214-H1202+H1215)*(1+$B$7))</f>
        <v>116520.01313104035</v>
      </c>
      <c r="J1215" s="18">
        <f t="shared" si="140"/>
        <v>703159.52815387864</v>
      </c>
      <c r="K1215" s="18">
        <f>IF($A1215&gt;40,0,(K1202-MIN(MAX(L1214,0),K1202))+MIN(MAX(0,M1214-(K1202-MIN(MAX(L1214,0),K1202))),MAX(0,3*K1202-(L1214-MIN(MAX(L1214,0),K1202)))))</f>
        <v>38764.379965867149</v>
      </c>
      <c r="L1215" s="18">
        <f>IF($A1215&gt;40,L1214,(L1214-K1202+K1215)*(1+$B$7))</f>
        <v>114636.41135137524</v>
      </c>
      <c r="M1215" s="18">
        <f t="shared" si="141"/>
        <v>714169.42086911073</v>
      </c>
      <c r="N1215" s="18">
        <f>IF($A1215&gt;40,0,(N1202-MIN(MAX(O1214,0),N1202))+MIN(MAX(0,P1214-(N1202-MIN(MAX(O1214,0),N1202))),MAX(0,3*N1202-(O1214-MIN(MAX(O1214,0),N1202)))))</f>
        <v>38764.663407071552</v>
      </c>
      <c r="O1215" s="18">
        <f>IF($A1215&gt;40,O1214,(O1214-N1202+N1215)*(1+$B$7))</f>
        <v>114637.24956115776</v>
      </c>
      <c r="P1215" s="18">
        <f t="shared" si="142"/>
        <v>714164.52142599167</v>
      </c>
      <c r="Q1215" s="18">
        <f>IF($A1215&gt;40,0,(Q1202-MIN(MAX(R1214,0),Q1202))+MIN(MAX(0,S1214-(Q1202-MIN(MAX(R1214,0),Q1202))),MAX(0,3*Q1202-(R1214-MIN(MAX(R1214,0),Q1202)))))</f>
        <v>38764.663740935066</v>
      </c>
      <c r="R1215" s="18">
        <f>IF($A1215&gt;40,R1214,(R1214-Q1202+Q1215)*(1+$B$7))</f>
        <v>114637.25054847954</v>
      </c>
      <c r="S1215" s="18">
        <f t="shared" si="143"/>
        <v>714164.51565497031</v>
      </c>
    </row>
    <row r="1216" spans="1:19">
      <c r="A1216" s="10">
        <f>12</f>
        <v>12</v>
      </c>
      <c r="B1216" s="18">
        <f>IF($A1216&gt;40,0,(B1202-MIN(MAX(C1215,0),B1202))+MIN(MAX(0,D1215-(B1202-MIN(MAX(C1215,0),B1202))),MAX(0,3*B1202-(C1215-MIN(MAX(C1215,0),B1202)))))</f>
        <v>30324</v>
      </c>
      <c r="C1216" s="18">
        <f>IF($A1216&gt;40,C1215,(C1215-B1202+B1216)*(1+$B$7))</f>
        <v>89676</v>
      </c>
      <c r="D1216" s="18">
        <f t="shared" si="138"/>
        <v>854634.47600052005</v>
      </c>
      <c r="E1216" s="18">
        <f>IF($A1216&gt;40,0,(E1202-MIN(MAX(F1215,0),E1202))+MIN(MAX(0,G1215-(E1202-MIN(MAX(F1215,0),E1202))),MAX(0,3*E1202-(F1215-MIN(MAX(F1215,0),E1202)))))</f>
        <v>73814.718186438055</v>
      </c>
      <c r="F1216" s="18">
        <f>IF($A1216&gt;40,F1215,(F1215-E1202+E1216)*(1+$B$7))</f>
        <v>222201.90120096688</v>
      </c>
      <c r="G1216" s="18">
        <f t="shared" si="139"/>
        <v>0</v>
      </c>
      <c r="H1216" s="18">
        <f>IF($A1216&gt;40,0,(H1202-MIN(MAX(I1215,0),H1202))+MIN(MAX(0,J1215-(H1202-MIN(MAX(I1215,0),H1202))),MAX(0,3*H1202-(I1215-MIN(MAX(I1215,0),H1202)))))</f>
        <v>39401.321180535131</v>
      </c>
      <c r="I1216" s="18">
        <f>IF($A1216&gt;40,I1215,(I1215-H1202+H1216)*(1+$B$7))</f>
        <v>116520.01313104035</v>
      </c>
      <c r="J1216" s="18">
        <f t="shared" si="140"/>
        <v>683670.95318254386</v>
      </c>
      <c r="K1216" s="18">
        <f>IF($A1216&gt;40,0,(K1202-MIN(MAX(L1215,0),K1202))+MIN(MAX(0,M1215-(K1202-MIN(MAX(L1215,0),K1202))),MAX(0,3*K1202-(L1215-MIN(MAX(L1215,0),K1202)))))</f>
        <v>38764.379965867149</v>
      </c>
      <c r="L1216" s="18">
        <f>IF($A1216&gt;40,L1215,(L1215-K1202+K1216)*(1+$B$7))</f>
        <v>114636.41135137524</v>
      </c>
      <c r="M1216" s="18">
        <f t="shared" si="141"/>
        <v>695667.19213034096</v>
      </c>
      <c r="N1216" s="18">
        <f>IF($A1216&gt;40,0,(N1202-MIN(MAX(O1215,0),N1202))+MIN(MAX(0,P1215-(N1202-MIN(MAX(O1215,0),N1202))),MAX(0,3*N1202-(O1215-MIN(MAX(O1215,0),N1202)))))</f>
        <v>38764.663407071552</v>
      </c>
      <c r="O1216" s="18">
        <f>IF($A1216&gt;40,O1215,(O1215-N1202+N1216)*(1+$B$7))</f>
        <v>114637.24956115776</v>
      </c>
      <c r="P1216" s="18">
        <f t="shared" si="142"/>
        <v>695661.85375948763</v>
      </c>
      <c r="Q1216" s="18">
        <f>IF($A1216&gt;40,0,(Q1202-MIN(MAX(R1215,0),Q1202))+MIN(MAX(0,S1215-(Q1202-MIN(MAX(R1215,0),Q1202))),MAX(0,3*Q1202-(R1215-MIN(MAX(R1215,0),Q1202)))))</f>
        <v>38764.663740935066</v>
      </c>
      <c r="R1216" s="18">
        <f>IF($A1216&gt;40,R1215,(R1215-Q1202+Q1216)*(1+$B$7))</f>
        <v>114637.25054847954</v>
      </c>
      <c r="S1216" s="18">
        <f t="shared" si="143"/>
        <v>695661.84747145639</v>
      </c>
    </row>
    <row r="1217" spans="1:19">
      <c r="A1217" s="10">
        <f>13</f>
        <v>13</v>
      </c>
      <c r="B1217" s="18">
        <f>IF($A1217&gt;40,0,(B1202-MIN(MAX(C1216,0),B1202))+MIN(MAX(0,D1216-(B1202-MIN(MAX(C1216,0),B1202))),MAX(0,3*B1202-(C1216-MIN(MAX(C1216,0),B1202)))))</f>
        <v>30324</v>
      </c>
      <c r="C1217" s="18">
        <f>IF($A1217&gt;40,C1216,(C1216-B1202+B1217)*(1+$B$7))</f>
        <v>89676</v>
      </c>
      <c r="D1217" s="18">
        <f t="shared" si="138"/>
        <v>849039.7902805357</v>
      </c>
      <c r="E1217" s="18">
        <f>IF($A1217&gt;40,0,(E1202-MIN(MAX(F1216,0),E1202))+MIN(MAX(0,G1216-(E1202-MIN(MAX(F1216,0),E1202))),MAX(0,3*E1202-(F1216-MIN(MAX(F1216,0),E1202)))))</f>
        <v>0</v>
      </c>
      <c r="F1217" s="18">
        <f>IF($A1217&gt;40,F1216,(F1216-E1202+E1217)*(1+$B$7))</f>
        <v>146671.97435664339</v>
      </c>
      <c r="G1217" s="18">
        <f t="shared" si="139"/>
        <v>0</v>
      </c>
      <c r="H1217" s="18">
        <f>IF($A1217&gt;40,0,(H1202-MIN(MAX(I1216,0),H1202))+MIN(MAX(0,J1216-(H1202-MIN(MAX(I1216,0),H1202))),MAX(0,3*H1202-(I1216-MIN(MAX(I1216,0),H1202)))))</f>
        <v>39401.321180535131</v>
      </c>
      <c r="I1217" s="18">
        <f>IF($A1217&gt;40,I1216,(I1216-H1202+H1217)*(1+$B$7))</f>
        <v>116520.01313104035</v>
      </c>
      <c r="J1217" s="18">
        <f t="shared" si="140"/>
        <v>663597.720962069</v>
      </c>
      <c r="K1217" s="18">
        <f>IF($A1217&gt;40,0,(K1202-MIN(MAX(L1216,0),K1202))+MIN(MAX(0,M1216-(K1202-MIN(MAX(L1216,0),K1202))),MAX(0,3*K1202-(L1216-MIN(MAX(L1216,0),K1202)))))</f>
        <v>38764.379965867149</v>
      </c>
      <c r="L1217" s="18">
        <f>IF($A1217&gt;40,L1216,(L1216-K1202+K1217)*(1+$B$7))</f>
        <v>114636.41135137524</v>
      </c>
      <c r="M1217" s="18">
        <f t="shared" si="141"/>
        <v>676609.89652940806</v>
      </c>
      <c r="N1217" s="18">
        <f>IF($A1217&gt;40,0,(N1202-MIN(MAX(O1216,0),N1202))+MIN(MAX(0,P1216-(N1202-MIN(MAX(O1216,0),N1202))),MAX(0,3*N1202-(O1216-MIN(MAX(O1216,0),N1202)))))</f>
        <v>38764.663407071552</v>
      </c>
      <c r="O1217" s="18">
        <f>IF($A1217&gt;40,O1216,(O1216-N1202+N1217)*(1+$B$7))</f>
        <v>114637.24956115776</v>
      </c>
      <c r="P1217" s="18">
        <f t="shared" si="142"/>
        <v>676604.10606298863</v>
      </c>
      <c r="Q1217" s="18">
        <f>IF($A1217&gt;40,0,(Q1202-MIN(MAX(R1216,0),Q1202))+MIN(MAX(0,S1216-(Q1202-MIN(MAX(R1216,0),Q1202))),MAX(0,3*Q1202-(R1216-MIN(MAX(R1216,0),Q1202)))))</f>
        <v>38764.663740935066</v>
      </c>
      <c r="R1217" s="18">
        <f>IF($A1217&gt;40,R1216,(R1216-Q1202+Q1217)*(1+$B$7))</f>
        <v>114637.25054847954</v>
      </c>
      <c r="S1217" s="18">
        <f t="shared" si="143"/>
        <v>676604.09924243705</v>
      </c>
    </row>
    <row r="1218" spans="1:19">
      <c r="A1218" s="10">
        <f>14</f>
        <v>14</v>
      </c>
      <c r="B1218" s="18">
        <f>IF($A1218&gt;40,0,(B1202-MIN(MAX(C1217,0),B1202))+MIN(MAX(0,D1217-(B1202-MIN(MAX(C1217,0),B1202))),MAX(0,3*B1202-(C1217-MIN(MAX(C1217,0),B1202)))))</f>
        <v>30324</v>
      </c>
      <c r="C1218" s="18">
        <f>IF($A1218&gt;40,C1217,(C1217-B1202+B1218)*(1+$B$7))</f>
        <v>89676</v>
      </c>
      <c r="D1218" s="18">
        <f t="shared" si="138"/>
        <v>843277.2639889518</v>
      </c>
      <c r="E1218" s="18">
        <f>IF($A1218&gt;40,0,(E1202-MIN(MAX(F1217,0),E1202))+MIN(MAX(0,G1217-(E1202-MIN(MAX(F1217,0),E1202))),MAX(0,3*E1202-(F1217-MIN(MAX(F1217,0),E1202)))))</f>
        <v>0</v>
      </c>
      <c r="F1218" s="18">
        <f>IF($A1218&gt;40,F1217,(F1217-E1202+E1218)*(1+$B$7))</f>
        <v>71413.955248959464</v>
      </c>
      <c r="G1218" s="18">
        <f t="shared" si="139"/>
        <v>0</v>
      </c>
      <c r="H1218" s="18">
        <f>IF($A1218&gt;40,0,(H1202-MIN(MAX(I1217,0),H1202))+MIN(MAX(0,J1217-(H1202-MIN(MAX(I1217,0),H1202))),MAX(0,3*H1202-(I1217-MIN(MAX(I1217,0),H1202)))))</f>
        <v>39401.321180535131</v>
      </c>
      <c r="I1218" s="18">
        <f>IF($A1218&gt;40,I1217,(I1217-H1202+H1218)*(1+$B$7))</f>
        <v>116520.01313104035</v>
      </c>
      <c r="J1218" s="18">
        <f t="shared" si="140"/>
        <v>642922.29177497991</v>
      </c>
      <c r="K1218" s="18">
        <f>IF($A1218&gt;40,0,(K1202-MIN(MAX(L1217,0),K1202))+MIN(MAX(0,M1217-(K1202-MIN(MAX(L1217,0),K1202))),MAX(0,3*K1202-(L1217-MIN(MAX(L1217,0),K1202)))))</f>
        <v>38764.379965867149</v>
      </c>
      <c r="L1218" s="18">
        <f>IF($A1218&gt;40,L1217,(L1217-K1202+K1218)*(1+$B$7))</f>
        <v>114636.41135137524</v>
      </c>
      <c r="M1218" s="18">
        <f t="shared" si="141"/>
        <v>656980.88206044713</v>
      </c>
      <c r="N1218" s="18">
        <f>IF($A1218&gt;40,0,(N1202-MIN(MAX(O1217,0),N1202))+MIN(MAX(0,P1217-(N1202-MIN(MAX(O1217,0),N1202))),MAX(0,3*N1202-(O1217-MIN(MAX(O1217,0),N1202)))))</f>
        <v>38764.663407071552</v>
      </c>
      <c r="O1218" s="18">
        <f>IF($A1218&gt;40,O1217,(O1217-N1202+N1218)*(1+$B$7))</f>
        <v>114637.24956115776</v>
      </c>
      <c r="P1218" s="18">
        <f t="shared" si="142"/>
        <v>656974.62593559455</v>
      </c>
      <c r="Q1218" s="18">
        <f>IF($A1218&gt;40,0,(Q1202-MIN(MAX(R1217,0),Q1202))+MIN(MAX(0,S1217-(Q1202-MIN(MAX(R1217,0),Q1202))),MAX(0,3*Q1202-(R1217-MIN(MAX(R1217,0),Q1202)))))</f>
        <v>38764.663740935066</v>
      </c>
      <c r="R1218" s="18">
        <f>IF($A1218&gt;40,R1217,(R1217-Q1202+Q1218)*(1+$B$7))</f>
        <v>114637.25054847954</v>
      </c>
      <c r="S1218" s="18">
        <f t="shared" si="143"/>
        <v>656974.61856654705</v>
      </c>
    </row>
    <row r="1219" spans="1:19">
      <c r="A1219" s="10">
        <f>15</f>
        <v>15</v>
      </c>
      <c r="B1219" s="18">
        <f>IF($A1219&gt;40,0,(B1202-MIN(MAX(C1218,0),B1202))+MIN(MAX(0,D1218-(B1202-MIN(MAX(C1218,0),B1202))),MAX(0,3*B1202-(C1218-MIN(MAX(C1218,0),B1202)))))</f>
        <v>30324</v>
      </c>
      <c r="C1219" s="18">
        <f>IF($A1219&gt;40,C1218,(C1218-B1202+B1219)*(1+$B$7))</f>
        <v>89676</v>
      </c>
      <c r="D1219" s="18">
        <f t="shared" si="138"/>
        <v>837341.86190862034</v>
      </c>
      <c r="E1219" s="18">
        <f>IF($A1219&gt;40,0,(E1202-MIN(MAX(F1218,0),E1202))+MIN(MAX(0,G1218-(E1202-MIN(MAX(F1218,0),E1202))),MAX(0,3*E1202-(F1218-MIN(MAX(F1218,0),E1202)))))</f>
        <v>3586.0447510405356</v>
      </c>
      <c r="F1219" s="18">
        <f>IF($A1219&gt;40,F1218,(F1218-E1202+E1219)*(1+$B$7))</f>
        <v>0</v>
      </c>
      <c r="G1219" s="18">
        <f t="shared" si="139"/>
        <v>-3693.6260935717519</v>
      </c>
      <c r="H1219" s="18">
        <f>IF($A1219&gt;40,0,(H1202-MIN(MAX(I1218,0),H1202))+MIN(MAX(0,J1218-(H1202-MIN(MAX(I1218,0),H1202))),MAX(0,3*H1202-(I1218-MIN(MAX(I1218,0),H1202)))))</f>
        <v>39401.321180535131</v>
      </c>
      <c r="I1219" s="18">
        <f>IF($A1219&gt;40,I1218,(I1218-H1202+H1219)*(1+$B$7))</f>
        <v>116520.01313104035</v>
      </c>
      <c r="J1219" s="18">
        <f t="shared" si="140"/>
        <v>621626.59971227811</v>
      </c>
      <c r="K1219" s="18">
        <f>IF($A1219&gt;40,0,(K1202-MIN(MAX(L1218,0),K1202))+MIN(MAX(0,M1218-(K1202-MIN(MAX(L1218,0),K1202))),MAX(0,3*K1202-(L1218-MIN(MAX(L1218,0),K1202)))))</f>
        <v>38764.379965867149</v>
      </c>
      <c r="L1219" s="18">
        <f>IF($A1219&gt;40,L1218,(L1218-K1202+K1219)*(1+$B$7))</f>
        <v>114636.41135137524</v>
      </c>
      <c r="M1219" s="18">
        <f t="shared" si="141"/>
        <v>636762.99715741735</v>
      </c>
      <c r="N1219" s="18">
        <f>IF($A1219&gt;40,0,(N1202-MIN(MAX(O1218,0),N1202))+MIN(MAX(0,P1218-(N1202-MIN(MAX(O1218,0),N1202))),MAX(0,3*N1202-(O1218-MIN(MAX(O1218,0),N1202)))))</f>
        <v>38764.663407071552</v>
      </c>
      <c r="O1219" s="18">
        <f>IF($A1219&gt;40,O1218,(O1218-N1202+N1219)*(1+$B$7))</f>
        <v>114637.24956115776</v>
      </c>
      <c r="P1219" s="18">
        <f t="shared" si="142"/>
        <v>636756.26140437881</v>
      </c>
      <c r="Q1219" s="18">
        <f>IF($A1219&gt;40,0,(Q1202-MIN(MAX(R1218,0),Q1202))+MIN(MAX(0,S1218-(Q1202-MIN(MAX(R1218,0),Q1202))),MAX(0,3*Q1202-(R1218-MIN(MAX(R1218,0),Q1202)))))</f>
        <v>38764.663740935066</v>
      </c>
      <c r="R1219" s="18">
        <f>IF($A1219&gt;40,R1218,(R1218-Q1202+Q1219)*(1+$B$7))</f>
        <v>114637.25054847954</v>
      </c>
      <c r="S1219" s="18">
        <f t="shared" si="143"/>
        <v>636756.25347038044</v>
      </c>
    </row>
    <row r="1220" spans="1:19">
      <c r="A1220" s="10">
        <f>16</f>
        <v>16</v>
      </c>
      <c r="B1220" s="18">
        <f>IF($A1220&gt;40,0,(B1202-MIN(MAX(C1219,0),B1202))+MIN(MAX(0,D1219-(B1202-MIN(MAX(C1219,0),B1202))),MAX(0,3*B1202-(C1219-MIN(MAX(C1219,0),B1202)))))</f>
        <v>30324</v>
      </c>
      <c r="C1220" s="18">
        <f>IF($A1220&gt;40,C1219,(C1219-B1202+B1220)*(1+$B$7))</f>
        <v>89676</v>
      </c>
      <c r="D1220" s="18">
        <f t="shared" si="138"/>
        <v>831228.39776587894</v>
      </c>
      <c r="E1220" s="18">
        <f>IF($A1220&gt;40,0,(E1202-MIN(MAX(F1219,0),E1202))+MIN(MAX(0,G1219-(E1202-MIN(MAX(F1219,0),E1202))),MAX(0,3*E1202-(F1219-MIN(MAX(F1219,0),E1202)))))</f>
        <v>75000</v>
      </c>
      <c r="F1220" s="18">
        <f>IF($A1220&gt;40,F1219,(F1219-E1202+E1220)*(1+$B$7))</f>
        <v>0</v>
      </c>
      <c r="G1220" s="18">
        <f t="shared" si="139"/>
        <v>-81054.434876378917</v>
      </c>
      <c r="H1220" s="18">
        <f>IF($A1220&gt;40,0,(H1202-MIN(MAX(I1219,0),H1202))+MIN(MAX(0,J1219-(H1202-MIN(MAX(I1219,0),H1202))),MAX(0,3*H1202-(I1219-MIN(MAX(I1219,0),H1202)))))</f>
        <v>39401.321180535131</v>
      </c>
      <c r="I1220" s="18">
        <f>IF($A1220&gt;40,I1219,(I1219-H1202+H1220)*(1+$B$7))</f>
        <v>116520.01313104035</v>
      </c>
      <c r="J1220" s="18">
        <f t="shared" si="140"/>
        <v>599692.03688769531</v>
      </c>
      <c r="K1220" s="18">
        <f>IF($A1220&gt;40,0,(K1202-MIN(MAX(L1219,0),K1202))+MIN(MAX(0,M1219-(K1202-MIN(MAX(L1219,0),K1202))),MAX(0,3*K1202-(L1219-MIN(MAX(L1219,0),K1202)))))</f>
        <v>38764.379965867149</v>
      </c>
      <c r="L1220" s="18">
        <f>IF($A1220&gt;40,L1219,(L1219-K1202+K1220)*(1+$B$7))</f>
        <v>114636.41135137524</v>
      </c>
      <c r="M1220" s="18">
        <f t="shared" si="141"/>
        <v>615938.57570729672</v>
      </c>
      <c r="N1220" s="18">
        <f>IF($A1220&gt;40,0,(N1202-MIN(MAX(O1219,0),N1202))+MIN(MAX(0,P1219-(N1202-MIN(MAX(O1219,0),N1202))),MAX(0,3*N1202-(O1219-MIN(MAX(O1219,0),N1202)))))</f>
        <v>38764.663407071552</v>
      </c>
      <c r="O1220" s="18">
        <f>IF($A1220&gt;40,O1219,(O1219-N1202+N1220)*(1+$B$7))</f>
        <v>114637.24956115776</v>
      </c>
      <c r="P1220" s="18">
        <f t="shared" si="142"/>
        <v>615931.34593722655</v>
      </c>
      <c r="Q1220" s="18">
        <f>IF($A1220&gt;40,0,(Q1202-MIN(MAX(R1219,0),Q1202))+MIN(MAX(0,S1219-(Q1202-MIN(MAX(R1219,0),Q1202))),MAX(0,3*Q1202-(R1219-MIN(MAX(R1219,0),Q1202)))))</f>
        <v>38764.663740935066</v>
      </c>
      <c r="R1220" s="18">
        <f>IF($A1220&gt;40,R1219,(R1219-Q1202+Q1220)*(1+$B$7))</f>
        <v>114637.25054847954</v>
      </c>
      <c r="S1220" s="18">
        <f t="shared" si="143"/>
        <v>615931.33742132876</v>
      </c>
    </row>
    <row r="1221" spans="1:19">
      <c r="A1221" s="10">
        <f>17</f>
        <v>17</v>
      </c>
      <c r="B1221" s="18">
        <f>IF($A1221&gt;40,0,(B1202-MIN(MAX(C1220,0),B1202))+MIN(MAX(0,D1220-(B1202-MIN(MAX(C1220,0),B1202))),MAX(0,3*B1202-(C1220-MIN(MAX(C1220,0),B1202)))))</f>
        <v>30324</v>
      </c>
      <c r="C1221" s="18">
        <f>IF($A1221&gt;40,C1220,(C1220-B1202+B1221)*(1+$B$7))</f>
        <v>89676</v>
      </c>
      <c r="D1221" s="18">
        <f t="shared" si="138"/>
        <v>824931.52969885536</v>
      </c>
      <c r="E1221" s="18">
        <f>IF($A1221&gt;40,0,(E1202-MIN(MAX(F1220,0),E1202))+MIN(MAX(0,G1220-(E1202-MIN(MAX(F1220,0),E1202))),MAX(0,3*E1202-(F1220-MIN(MAX(F1220,0),E1202)))))</f>
        <v>75000</v>
      </c>
      <c r="F1221" s="18">
        <f>IF($A1221&gt;40,F1220,(F1220-E1202+E1221)*(1+$B$7))</f>
        <v>0</v>
      </c>
      <c r="G1221" s="18">
        <f t="shared" si="139"/>
        <v>-160736.06792267028</v>
      </c>
      <c r="H1221" s="18">
        <f>IF($A1221&gt;40,0,(H1202-MIN(MAX(I1220,0),H1202))+MIN(MAX(0,J1220-(H1202-MIN(MAX(I1220,0),H1202))),MAX(0,3*H1202-(I1220-MIN(MAX(I1220,0),H1202)))))</f>
        <v>39401.321180535131</v>
      </c>
      <c r="I1221" s="18">
        <f>IF($A1221&gt;40,I1220,(I1220-H1202+H1221)*(1+$B$7))</f>
        <v>116520.01313104035</v>
      </c>
      <c r="J1221" s="18">
        <f t="shared" si="140"/>
        <v>577099.43717837497</v>
      </c>
      <c r="K1221" s="18">
        <f>IF($A1221&gt;40,0,(K1202-MIN(MAX(L1220,0),K1202))+MIN(MAX(0,M1220-(K1202-MIN(MAX(L1220,0),K1202))),MAX(0,3*K1202-(L1220-MIN(MAX(L1220,0),K1202)))))</f>
        <v>38764.379965867149</v>
      </c>
      <c r="L1221" s="18">
        <f>IF($A1221&gt;40,L1220,(L1220-K1202+K1221)*(1+$B$7))</f>
        <v>114636.41135137524</v>
      </c>
      <c r="M1221" s="18">
        <f t="shared" si="141"/>
        <v>594489.42161367252</v>
      </c>
      <c r="N1221" s="18">
        <f>IF($A1221&gt;40,0,(N1202-MIN(MAX(O1220,0),N1202))+MIN(MAX(0,P1220-(N1202-MIN(MAX(O1220,0),N1202))),MAX(0,3*N1202-(O1220-MIN(MAX(O1220,0),N1202)))))</f>
        <v>38764.663407071552</v>
      </c>
      <c r="O1221" s="18">
        <f>IF($A1221&gt;40,O1220,(O1220-N1202+N1221)*(1+$B$7))</f>
        <v>114637.24956115776</v>
      </c>
      <c r="P1221" s="18">
        <f t="shared" si="142"/>
        <v>594481.68300605961</v>
      </c>
      <c r="Q1221" s="18">
        <f>IF($A1221&gt;40,0,(Q1202-MIN(MAX(R1220,0),Q1202))+MIN(MAX(0,S1220-(Q1202-MIN(MAX(R1220,0),Q1202))),MAX(0,3*Q1202-(R1220-MIN(MAX(R1220,0),Q1202)))))</f>
        <v>38764.663740935066</v>
      </c>
      <c r="R1221" s="18">
        <f>IF($A1221&gt;40,R1220,(R1220-Q1202+Q1221)*(1+$B$7))</f>
        <v>114637.25054847954</v>
      </c>
      <c r="S1221" s="18">
        <f t="shared" si="143"/>
        <v>594481.67389080557</v>
      </c>
    </row>
    <row r="1222" spans="1:19">
      <c r="A1222" s="10">
        <f>18</f>
        <v>18</v>
      </c>
      <c r="B1222" s="18">
        <f>IF($A1222&gt;40,0,(B1202-MIN(MAX(C1221,0),B1202))+MIN(MAX(0,D1221-(B1202-MIN(MAX(C1221,0),B1202))),MAX(0,3*B1202-(C1221-MIN(MAX(C1221,0),B1202)))))</f>
        <v>30324</v>
      </c>
      <c r="C1222" s="18">
        <f>IF($A1222&gt;40,C1221,(C1221-B1202+B1222)*(1+$B$7))</f>
        <v>89676</v>
      </c>
      <c r="D1222" s="18">
        <f t="shared" si="138"/>
        <v>818445.75558982103</v>
      </c>
      <c r="E1222" s="18">
        <f>IF($A1222&gt;40,0,(E1202-MIN(MAX(F1221,0),E1202))+MIN(MAX(0,G1221-(E1202-MIN(MAX(F1221,0),E1202))),MAX(0,3*E1202-(F1221-MIN(MAX(F1221,0),E1202)))))</f>
        <v>75000</v>
      </c>
      <c r="F1222" s="18">
        <f>IF($A1222&gt;40,F1221,(F1221-E1202+E1222)*(1+$B$7))</f>
        <v>0</v>
      </c>
      <c r="G1222" s="18">
        <f t="shared" si="139"/>
        <v>-242808.14996035039</v>
      </c>
      <c r="H1222" s="18">
        <f>IF($A1222&gt;40,0,(H1202-MIN(MAX(I1221,0),H1202))+MIN(MAX(0,J1221-(H1202-MIN(MAX(I1221,0),H1202))),MAX(0,3*H1202-(I1221-MIN(MAX(I1221,0),H1202)))))</f>
        <v>39401.321180535131</v>
      </c>
      <c r="I1222" s="18">
        <f>IF($A1222&gt;40,I1221,(I1221-H1202+H1222)*(1+$B$7))</f>
        <v>116520.01313104035</v>
      </c>
      <c r="J1222" s="18">
        <f t="shared" si="140"/>
        <v>553829.05947777501</v>
      </c>
      <c r="K1222" s="18">
        <f>IF($A1222&gt;40,0,(K1202-MIN(MAX(L1221,0),K1202))+MIN(MAX(0,M1221-(K1202-MIN(MAX(L1221,0),K1202))),MAX(0,3*K1202-(L1221-MIN(MAX(L1221,0),K1202)))))</f>
        <v>38764.379965867149</v>
      </c>
      <c r="L1222" s="18">
        <f>IF($A1222&gt;40,L1221,(L1221-K1202+K1222)*(1+$B$7))</f>
        <v>114636.41135137524</v>
      </c>
      <c r="M1222" s="18">
        <f t="shared" si="141"/>
        <v>572396.79289723956</v>
      </c>
      <c r="N1222" s="18">
        <f>IF($A1222&gt;40,0,(N1202-MIN(MAX(O1221,0),N1202))+MIN(MAX(0,P1221-(N1202-MIN(MAX(O1221,0),N1202))),MAX(0,3*N1202-(O1221-MIN(MAX(O1221,0),N1202)))))</f>
        <v>38764.663407071552</v>
      </c>
      <c r="O1222" s="18">
        <f>IF($A1222&gt;40,O1221,(O1221-N1202+N1222)*(1+$B$7))</f>
        <v>114637.24956115776</v>
      </c>
      <c r="P1222" s="18">
        <f t="shared" si="142"/>
        <v>572388.5301869578</v>
      </c>
      <c r="Q1222" s="18">
        <f>IF($A1222&gt;40,0,(Q1202-MIN(MAX(R1221,0),Q1202))+MIN(MAX(0,S1221-(Q1202-MIN(MAX(R1221,0),Q1202))),MAX(0,3*Q1202-(R1221-MIN(MAX(R1221,0),Q1202)))))</f>
        <v>38764.663740935066</v>
      </c>
      <c r="R1222" s="18">
        <f>IF($A1222&gt;40,R1221,(R1221-Q1202+Q1222)*(1+$B$7))</f>
        <v>114637.25054847954</v>
      </c>
      <c r="S1222" s="18">
        <f t="shared" si="143"/>
        <v>572388.52045436669</v>
      </c>
    </row>
    <row r="1223" spans="1:19">
      <c r="A1223" s="10">
        <f>19</f>
        <v>19</v>
      </c>
      <c r="B1223" s="18">
        <f>IF($A1223&gt;40,0,(B1202-MIN(MAX(C1222,0),B1202))+MIN(MAX(0,D1222-(B1202-MIN(MAX(C1222,0),B1202))),MAX(0,3*B1202-(C1222-MIN(MAX(C1222,0),B1202)))))</f>
        <v>30324</v>
      </c>
      <c r="C1223" s="18">
        <f>IF($A1223&gt;40,C1222,(C1222-B1202+B1223)*(1+$B$7))</f>
        <v>89676</v>
      </c>
      <c r="D1223" s="18">
        <f t="shared" si="138"/>
        <v>811765.40825751564</v>
      </c>
      <c r="E1223" s="18">
        <f>IF($A1223&gt;40,0,(E1202-MIN(MAX(F1222,0),E1202))+MIN(MAX(0,G1222-(E1202-MIN(MAX(F1222,0),E1202))),MAX(0,3*E1202-(F1222-MIN(MAX(F1222,0),E1202)))))</f>
        <v>75000</v>
      </c>
      <c r="F1223" s="18">
        <f>IF($A1223&gt;40,F1222,(F1222-E1202+E1223)*(1+$B$7))</f>
        <v>0</v>
      </c>
      <c r="G1223" s="18">
        <f t="shared" si="139"/>
        <v>-327342.39445916086</v>
      </c>
      <c r="H1223" s="18">
        <f>IF($A1223&gt;40,0,(H1202-MIN(MAX(I1222,0),H1202))+MIN(MAX(0,J1222-(H1202-MIN(MAX(I1222,0),H1202))),MAX(0,3*H1202-(I1222-MIN(MAX(I1222,0),H1202)))))</f>
        <v>39401.321180535131</v>
      </c>
      <c r="I1223" s="18">
        <f>IF($A1223&gt;40,I1222,(I1222-H1202+H1223)*(1+$B$7))</f>
        <v>116520.01313104035</v>
      </c>
      <c r="J1223" s="18">
        <f t="shared" si="140"/>
        <v>529860.57044615713</v>
      </c>
      <c r="K1223" s="18">
        <f>IF($A1223&gt;40,0,(K1202-MIN(MAX(L1222,0),K1202))+MIN(MAX(0,M1222-(K1202-MIN(MAX(L1222,0),K1202))),MAX(0,3*K1202-(L1222-MIN(MAX(L1222,0),K1202)))))</f>
        <v>38764.379965867149</v>
      </c>
      <c r="L1223" s="18">
        <f>IF($A1223&gt;40,L1222,(L1222-K1202+K1223)*(1+$B$7))</f>
        <v>114636.41135137524</v>
      </c>
      <c r="M1223" s="18">
        <f t="shared" si="141"/>
        <v>549641.38531931362</v>
      </c>
      <c r="N1223" s="18">
        <f>IF($A1223&gt;40,0,(N1202-MIN(MAX(O1222,0),N1202))+MIN(MAX(0,P1222-(N1202-MIN(MAX(O1222,0),N1202))),MAX(0,3*N1202-(O1222-MIN(MAX(O1222,0),N1202)))))</f>
        <v>38764.663407071552</v>
      </c>
      <c r="O1223" s="18">
        <f>IF($A1223&gt;40,O1222,(O1222-N1202+N1223)*(1+$B$7))</f>
        <v>114637.24956115776</v>
      </c>
      <c r="P1223" s="18">
        <f t="shared" si="142"/>
        <v>549632.58278328273</v>
      </c>
      <c r="Q1223" s="18">
        <f>IF($A1223&gt;40,0,(Q1202-MIN(MAX(R1222,0),Q1202))+MIN(MAX(0,S1222-(Q1202-MIN(MAX(R1222,0),Q1202))),MAX(0,3*Q1202-(R1222-MIN(MAX(R1222,0),Q1202)))))</f>
        <v>38764.663740935066</v>
      </c>
      <c r="R1223" s="18">
        <f>IF($A1223&gt;40,R1222,(R1222-Q1202+Q1223)*(1+$B$7))</f>
        <v>114637.25054847954</v>
      </c>
      <c r="S1223" s="18">
        <f t="shared" si="143"/>
        <v>549632.57241483463</v>
      </c>
    </row>
    <row r="1224" spans="1:19">
      <c r="A1224" s="10">
        <f>20</f>
        <v>20</v>
      </c>
      <c r="B1224" s="18">
        <f>IF($A1224&gt;40,0,(B1202-MIN(MAX(C1223,0),B1202))+MIN(MAX(0,D1223-(B1202-MIN(MAX(C1223,0),B1202))),MAX(0,3*B1202-(C1223-MIN(MAX(C1223,0),B1202)))))</f>
        <v>30324</v>
      </c>
      <c r="C1224" s="18">
        <f>IF($A1224&gt;40,C1223,(C1223-B1202+B1224)*(1+$B$7))</f>
        <v>89676</v>
      </c>
      <c r="D1224" s="18">
        <f t="shared" si="138"/>
        <v>804884.65050524112</v>
      </c>
      <c r="E1224" s="18">
        <f>IF($A1224&gt;40,0,(E1202-MIN(MAX(F1223,0),E1202))+MIN(MAX(0,G1223-(E1202-MIN(MAX(F1223,0),E1202))),MAX(0,3*E1202-(F1223-MIN(MAX(F1223,0),E1202)))))</f>
        <v>75000</v>
      </c>
      <c r="F1224" s="18">
        <f>IF($A1224&gt;40,F1223,(F1223-E1202+E1224)*(1+$B$7))</f>
        <v>0</v>
      </c>
      <c r="G1224" s="18">
        <f t="shared" si="139"/>
        <v>-414412.66629293567</v>
      </c>
      <c r="H1224" s="18">
        <f>IF($A1224&gt;40,0,(H1202-MIN(MAX(I1223,0),H1202))+MIN(MAX(0,J1223-(H1202-MIN(MAX(I1223,0),H1202))),MAX(0,3*H1202-(I1223-MIN(MAX(I1223,0),H1202)))))</f>
        <v>39401.321180535131</v>
      </c>
      <c r="I1224" s="18">
        <f>IF($A1224&gt;40,I1223,(I1223-H1202+H1224)*(1+$B$7))</f>
        <v>116520.01313104035</v>
      </c>
      <c r="J1224" s="18">
        <f t="shared" si="140"/>
        <v>505173.02674359066</v>
      </c>
      <c r="K1224" s="18">
        <f>IF($A1224&gt;40,0,(K1202-MIN(MAX(L1223,0),K1202))+MIN(MAX(0,M1223-(K1202-MIN(MAX(L1223,0),K1202))),MAX(0,3*K1202-(L1223-MIN(MAX(L1223,0),K1202)))))</f>
        <v>38764.379965867149</v>
      </c>
      <c r="L1224" s="18">
        <f>IF($A1224&gt;40,L1223,(L1223-K1202+K1224)*(1+$B$7))</f>
        <v>114636.41135137524</v>
      </c>
      <c r="M1224" s="18">
        <f t="shared" si="141"/>
        <v>526203.31551404984</v>
      </c>
      <c r="N1224" s="18">
        <f>IF($A1224&gt;40,0,(N1202-MIN(MAX(O1223,0),N1202))+MIN(MAX(0,P1223-(N1202-MIN(MAX(O1223,0),N1202))),MAX(0,3*N1202-(O1223-MIN(MAX(O1223,0),N1202)))))</f>
        <v>38764.663407071552</v>
      </c>
      <c r="O1224" s="18">
        <f>IF($A1224&gt;40,O1223,(O1223-N1202+N1224)*(1+$B$7))</f>
        <v>114637.24956115776</v>
      </c>
      <c r="P1224" s="18">
        <f t="shared" si="142"/>
        <v>526193.95695749752</v>
      </c>
      <c r="Q1224" s="18">
        <f>IF($A1224&gt;40,0,(Q1202-MIN(MAX(R1223,0),Q1202))+MIN(MAX(0,S1223-(Q1202-MIN(MAX(R1223,0),Q1202))),MAX(0,3*Q1202-(R1223-MIN(MAX(R1223,0),Q1202)))))</f>
        <v>38764.663740935066</v>
      </c>
      <c r="R1224" s="18">
        <f>IF($A1224&gt;40,R1223,(R1223-Q1202+Q1224)*(1+$B$7))</f>
        <v>114637.25054847954</v>
      </c>
      <c r="S1224" s="18">
        <f t="shared" si="143"/>
        <v>526193.94593411661</v>
      </c>
    </row>
    <row r="1225" spans="1:19">
      <c r="A1225" s="10">
        <f>21</f>
        <v>21</v>
      </c>
      <c r="B1225" s="18">
        <f>IF($A1225&gt;40,0,(B1202-MIN(MAX(C1224,0),B1202))+MIN(MAX(0,D1224-(B1202-MIN(MAX(C1224,0),B1202))),MAX(0,3*B1202-(C1224-MIN(MAX(C1224,0),B1202)))))</f>
        <v>30324</v>
      </c>
      <c r="C1225" s="18">
        <f>IF($A1225&gt;40,C1224,(C1224-B1202+B1225)*(1+$B$7))</f>
        <v>89676</v>
      </c>
      <c r="D1225" s="18">
        <f t="shared" si="138"/>
        <v>797797.47002039838</v>
      </c>
      <c r="E1225" s="18">
        <f>IF($A1225&gt;40,0,(E1202-MIN(MAX(F1224,0),E1202))+MIN(MAX(0,G1224-(E1202-MIN(MAX(F1224,0),E1202))),MAX(0,3*E1202-(F1224-MIN(MAX(F1224,0),E1202)))))</f>
        <v>75000</v>
      </c>
      <c r="F1225" s="18">
        <f>IF($A1225&gt;40,F1224,(F1224-E1202+E1225)*(1+$B$7))</f>
        <v>0</v>
      </c>
      <c r="G1225" s="18">
        <f t="shared" si="139"/>
        <v>-504095.04628172377</v>
      </c>
      <c r="H1225" s="18">
        <f>IF($A1225&gt;40,0,(H1202-MIN(MAX(I1224,0),H1202))+MIN(MAX(0,J1224-(H1202-MIN(MAX(I1224,0),H1202))),MAX(0,3*H1202-(I1224-MIN(MAX(I1224,0),H1202)))))</f>
        <v>39401.321180535131</v>
      </c>
      <c r="I1225" s="18">
        <f>IF($A1225&gt;40,I1224,(I1224-H1202+H1225)*(1+$B$7))</f>
        <v>116520.01313104035</v>
      </c>
      <c r="J1225" s="18">
        <f t="shared" si="140"/>
        <v>479744.85672994721</v>
      </c>
      <c r="K1225" s="18">
        <f>IF($A1225&gt;40,0,(K1202-MIN(MAX(L1224,0),K1202))+MIN(MAX(0,M1224-(K1202-MIN(MAX(L1224,0),K1202))),MAX(0,3*K1202-(L1224-MIN(MAX(L1224,0),K1202)))))</f>
        <v>38764.379965867149</v>
      </c>
      <c r="L1225" s="18">
        <f>IF($A1225&gt;40,L1224,(L1224-K1202+K1225)*(1+$B$7))</f>
        <v>114636.41135137524</v>
      </c>
      <c r="M1225" s="18">
        <f t="shared" si="141"/>
        <v>502062.1036146282</v>
      </c>
      <c r="N1225" s="18">
        <f>IF($A1225&gt;40,0,(N1202-MIN(MAX(O1224,0),N1202))+MIN(MAX(0,P1224-(N1202-MIN(MAX(O1224,0),N1202))),MAX(0,3*N1202-(O1224-MIN(MAX(O1224,0),N1202)))))</f>
        <v>38764.663407071552</v>
      </c>
      <c r="O1225" s="18">
        <f>IF($A1225&gt;40,O1224,(O1224-N1202+N1225)*(1+$B$7))</f>
        <v>114637.24956115776</v>
      </c>
      <c r="P1225" s="18">
        <f t="shared" si="142"/>
        <v>502052.17235693877</v>
      </c>
      <c r="Q1225" s="18">
        <f>IF($A1225&gt;40,0,(Q1202-MIN(MAX(R1224,0),Q1202))+MIN(MAX(0,S1224-(Q1202-MIN(MAX(R1224,0),Q1202))),MAX(0,3*Q1202-(R1224-MIN(MAX(R1224,0),Q1202)))))</f>
        <v>38764.663740935066</v>
      </c>
      <c r="R1225" s="18">
        <f>IF($A1225&gt;40,R1224,(R1224-Q1202+Q1225)*(1+$B$7))</f>
        <v>114637.25054847954</v>
      </c>
      <c r="S1225" s="18">
        <f t="shared" si="143"/>
        <v>502052.16065897705</v>
      </c>
    </row>
    <row r="1226" spans="1:19">
      <c r="A1226" s="10">
        <f>22</f>
        <v>22</v>
      </c>
      <c r="B1226" s="18">
        <f>IF($A1226&gt;40,0,(B1202-MIN(MAX(C1225,0),B1202))+MIN(MAX(0,D1225-(B1202-MIN(MAX(C1225,0),B1202))),MAX(0,3*B1202-(C1225-MIN(MAX(C1225,0),B1202)))))</f>
        <v>30324</v>
      </c>
      <c r="C1226" s="18">
        <f>IF($A1226&gt;40,C1225,(C1225-B1202+B1226)*(1+$B$7))</f>
        <v>89676</v>
      </c>
      <c r="D1226" s="18">
        <f t="shared" si="138"/>
        <v>790497.67412101035</v>
      </c>
      <c r="E1226" s="18">
        <f>IF($A1226&gt;40,0,(E1202-MIN(MAX(F1225,0),E1202))+MIN(MAX(0,G1225-(E1202-MIN(MAX(F1225,0),E1202))),MAX(0,3*E1202-(F1225-MIN(MAX(F1225,0),E1202)))))</f>
        <v>75000</v>
      </c>
      <c r="F1226" s="18">
        <f>IF($A1226&gt;40,F1225,(F1225-E1202+E1226)*(1+$B$7))</f>
        <v>0</v>
      </c>
      <c r="G1226" s="18">
        <f t="shared" si="139"/>
        <v>-596467.89767017553</v>
      </c>
      <c r="H1226" s="18">
        <f>IF($A1226&gt;40,0,(H1202-MIN(MAX(I1225,0),H1202))+MIN(MAX(0,J1225-(H1202-MIN(MAX(I1225,0),H1202))),MAX(0,3*H1202-(I1225-MIN(MAX(I1225,0),H1202)))))</f>
        <v>39401.321180535131</v>
      </c>
      <c r="I1226" s="18">
        <f>IF($A1226&gt;40,I1225,(I1225-H1202+H1226)*(1+$B$7))</f>
        <v>116520.01313104035</v>
      </c>
      <c r="J1226" s="18">
        <f t="shared" si="140"/>
        <v>453553.84161589446</v>
      </c>
      <c r="K1226" s="18">
        <f>IF($A1226&gt;40,0,(K1202-MIN(MAX(L1225,0),K1202))+MIN(MAX(0,M1225-(K1202-MIN(MAX(L1225,0),K1202))),MAX(0,3*K1202-(L1225-MIN(MAX(L1225,0),K1202)))))</f>
        <v>38764.379965867149</v>
      </c>
      <c r="L1226" s="18">
        <f>IF($A1226&gt;40,L1225,(L1225-K1202+K1226)*(1+$B$7))</f>
        <v>114636.41135137524</v>
      </c>
      <c r="M1226" s="18">
        <f t="shared" si="141"/>
        <v>477196.65535822388</v>
      </c>
      <c r="N1226" s="18">
        <f>IF($A1226&gt;40,0,(N1202-MIN(MAX(O1225,0),N1202))+MIN(MAX(0,P1225-(N1202-MIN(MAX(O1225,0),N1202))),MAX(0,3*N1202-(O1225-MIN(MAX(O1225,0),N1202)))))</f>
        <v>38764.663407071552</v>
      </c>
      <c r="O1226" s="18">
        <f>IF($A1226&gt;40,O1225,(O1225-N1202+N1226)*(1+$B$7))</f>
        <v>114637.24956115776</v>
      </c>
      <c r="P1226" s="18">
        <f t="shared" si="142"/>
        <v>477186.13421836327</v>
      </c>
      <c r="Q1226" s="18">
        <f>IF($A1226&gt;40,0,(Q1202-MIN(MAX(R1225,0),Q1202))+MIN(MAX(0,S1225-(Q1202-MIN(MAX(R1225,0),Q1202))),MAX(0,3*Q1202-(R1225-MIN(MAX(R1225,0),Q1202)))))</f>
        <v>38764.663740935066</v>
      </c>
      <c r="R1226" s="18">
        <f>IF($A1226&gt;40,R1225,(R1225-Q1202+Q1226)*(1+$B$7))</f>
        <v>114637.25054847954</v>
      </c>
      <c r="S1226" s="18">
        <f t="shared" si="143"/>
        <v>477186.12182558322</v>
      </c>
    </row>
    <row r="1227" spans="1:19">
      <c r="A1227" s="10">
        <f>23</f>
        <v>23</v>
      </c>
      <c r="B1227" s="18">
        <f>IF($A1227&gt;40,0,(B1202-MIN(MAX(C1226,0),B1202))+MIN(MAX(0,D1226-(B1202-MIN(MAX(C1226,0),B1202))),MAX(0,3*B1202-(C1226-MIN(MAX(C1226,0),B1202)))))</f>
        <v>30324</v>
      </c>
      <c r="C1227" s="18">
        <f>IF($A1227&gt;40,C1226,(C1226-B1202+B1227)*(1+$B$7))</f>
        <v>89676</v>
      </c>
      <c r="D1227" s="18">
        <f t="shared" si="138"/>
        <v>782978.88434464065</v>
      </c>
      <c r="E1227" s="18">
        <f>IF($A1227&gt;40,0,(E1202-MIN(MAX(F1226,0),E1202))+MIN(MAX(0,G1226-(E1202-MIN(MAX(F1226,0),E1202))),MAX(0,3*E1202-(F1226-MIN(MAX(F1226,0),E1202)))))</f>
        <v>75000</v>
      </c>
      <c r="F1227" s="18">
        <f>IF($A1227&gt;40,F1226,(F1226-E1202+E1227)*(1+$B$7))</f>
        <v>0</v>
      </c>
      <c r="G1227" s="18">
        <f t="shared" si="139"/>
        <v>-691611.93460028083</v>
      </c>
      <c r="H1227" s="18">
        <f>IF($A1227&gt;40,0,(H1202-MIN(MAX(I1226,0),H1202))+MIN(MAX(0,J1226-(H1202-MIN(MAX(I1226,0),H1202))),MAX(0,3*H1202-(I1226-MIN(MAX(I1226,0),H1202)))))</f>
        <v>39401.321180535131</v>
      </c>
      <c r="I1227" s="18">
        <f>IF($A1227&gt;40,I1226,(I1226-H1202+H1227)*(1+$B$7))</f>
        <v>116520.01313104035</v>
      </c>
      <c r="J1227" s="18">
        <f t="shared" si="140"/>
        <v>426577.09604842012</v>
      </c>
      <c r="K1227" s="18">
        <f>IF($A1227&gt;40,0,(K1202-MIN(MAX(L1226,0),K1202))+MIN(MAX(0,M1226-(K1202-MIN(MAX(L1226,0),K1202))),MAX(0,3*K1202-(L1226-MIN(MAX(L1226,0),K1202)))))</f>
        <v>38764.379965867149</v>
      </c>
      <c r="L1227" s="18">
        <f>IF($A1227&gt;40,L1226,(L1226-K1202+K1227)*(1+$B$7))</f>
        <v>114636.41135137524</v>
      </c>
      <c r="M1227" s="18">
        <f t="shared" si="141"/>
        <v>451585.24365412747</v>
      </c>
      <c r="N1227" s="18">
        <f>IF($A1227&gt;40,0,(N1202-MIN(MAX(O1226,0),N1202))+MIN(MAX(0,P1226-(N1202-MIN(MAX(O1226,0),N1202))),MAX(0,3*N1202-(O1226-MIN(MAX(O1226,0),N1202)))))</f>
        <v>38764.663407071552</v>
      </c>
      <c r="O1227" s="18">
        <f>IF($A1227&gt;40,O1226,(O1226-N1202+N1227)*(1+$B$7))</f>
        <v>114637.24956115776</v>
      </c>
      <c r="P1227" s="18">
        <f t="shared" si="142"/>
        <v>451574.11493563047</v>
      </c>
      <c r="Q1227" s="18">
        <f>IF($A1227&gt;40,0,(Q1202-MIN(MAX(R1226,0),Q1202))+MIN(MAX(0,S1226-(Q1202-MIN(MAX(R1226,0),Q1202))),MAX(0,3*Q1202-(R1226-MIN(MAX(R1226,0),Q1202)))))</f>
        <v>38764.663740935066</v>
      </c>
      <c r="R1227" s="18">
        <f>IF($A1227&gt;40,R1226,(R1226-Q1202+Q1227)*(1+$B$7))</f>
        <v>114637.25054847954</v>
      </c>
      <c r="S1227" s="18">
        <f t="shared" si="143"/>
        <v>451574.10182718758</v>
      </c>
    </row>
    <row r="1228" spans="1:19">
      <c r="A1228" s="10">
        <f>24</f>
        <v>24</v>
      </c>
      <c r="B1228" s="18">
        <f>IF($A1228&gt;40,0,(B1202-MIN(MAX(C1227,0),B1202))+MIN(MAX(0,D1227-(B1202-MIN(MAX(C1227,0),B1202))),MAX(0,3*B1202-(C1227-MIN(MAX(C1227,0),B1202)))))</f>
        <v>30324</v>
      </c>
      <c r="C1228" s="18">
        <f>IF($A1228&gt;40,C1227,(C1227-B1202+B1228)*(1+$B$7))</f>
        <v>89676</v>
      </c>
      <c r="D1228" s="18">
        <f t="shared" si="138"/>
        <v>775234.53087497992</v>
      </c>
      <c r="E1228" s="18">
        <f>IF($A1228&gt;40,0,(E1202-MIN(MAX(F1227,0),E1202))+MIN(MAX(0,G1227-(E1202-MIN(MAX(F1227,0),E1202))),MAX(0,3*E1202-(F1227-MIN(MAX(F1227,0),E1202)))))</f>
        <v>75000</v>
      </c>
      <c r="F1228" s="18">
        <f>IF($A1228&gt;40,F1227,(F1227-E1202+E1228)*(1+$B$7))</f>
        <v>0</v>
      </c>
      <c r="G1228" s="18">
        <f t="shared" si="139"/>
        <v>-789610.29263828928</v>
      </c>
      <c r="H1228" s="18">
        <f>IF($A1228&gt;40,0,(H1202-MIN(MAX(I1227,0),H1202))+MIN(MAX(0,J1227-(H1202-MIN(MAX(I1227,0),H1202))),MAX(0,3*H1202-(I1227-MIN(MAX(I1227,0),H1202)))))</f>
        <v>39401.321180535131</v>
      </c>
      <c r="I1228" s="18">
        <f>IF($A1228&gt;40,I1227,(I1227-H1202+H1228)*(1+$B$7))</f>
        <v>116520.01313104035</v>
      </c>
      <c r="J1228" s="18">
        <f t="shared" si="140"/>
        <v>398791.04811392154</v>
      </c>
      <c r="K1228" s="18">
        <f>IF($A1228&gt;40,0,(K1202-MIN(MAX(L1227,0),K1202))+MIN(MAX(0,M1227-(K1202-MIN(MAX(L1227,0),K1202))),MAX(0,3*K1202-(L1227-MIN(MAX(L1227,0),K1202)))))</f>
        <v>38764.379965867149</v>
      </c>
      <c r="L1228" s="18">
        <f>IF($A1228&gt;40,L1227,(L1227-K1202+K1228)*(1+$B$7))</f>
        <v>114636.41135137524</v>
      </c>
      <c r="M1228" s="18">
        <f t="shared" si="141"/>
        <v>425205.48959890811</v>
      </c>
      <c r="N1228" s="18">
        <f>IF($A1228&gt;40,0,(N1202-MIN(MAX(O1227,0),N1202))+MIN(MAX(0,P1227-(N1202-MIN(MAX(O1227,0),N1202))),MAX(0,3*N1202-(O1227-MIN(MAX(O1227,0),N1202)))))</f>
        <v>38764.663407071552</v>
      </c>
      <c r="O1228" s="18">
        <f>IF($A1228&gt;40,O1227,(O1227-N1202+N1228)*(1+$B$7))</f>
        <v>114637.24956115776</v>
      </c>
      <c r="P1228" s="18">
        <f t="shared" si="142"/>
        <v>425193.73507441569</v>
      </c>
      <c r="Q1228" s="18">
        <f>IF($A1228&gt;40,0,(Q1202-MIN(MAX(R1227,0),Q1202))+MIN(MAX(0,S1227-(Q1202-MIN(MAX(R1227,0),Q1202))),MAX(0,3*Q1202-(R1227-MIN(MAX(R1227,0),Q1202)))))</f>
        <v>38764.663740935066</v>
      </c>
      <c r="R1228" s="18">
        <f>IF($A1228&gt;40,R1227,(R1227-Q1202+Q1228)*(1+$B$7))</f>
        <v>114637.25054847954</v>
      </c>
      <c r="S1228" s="18">
        <f t="shared" si="143"/>
        <v>425193.72122884012</v>
      </c>
    </row>
    <row r="1229" spans="1:19">
      <c r="A1229" s="10">
        <f>25</f>
        <v>25</v>
      </c>
      <c r="B1229" s="18">
        <f>IF($A1229&gt;40,0,(B1202-MIN(MAX(C1228,0),B1202))+MIN(MAX(0,D1228-(B1202-MIN(MAX(C1228,0),B1202))),MAX(0,3*B1202-(C1228-MIN(MAX(C1228,0),B1202)))))</f>
        <v>30324</v>
      </c>
      <c r="C1229" s="18">
        <f>IF($A1229&gt;40,C1228,(C1228-B1202+B1229)*(1+$B$7))</f>
        <v>89676</v>
      </c>
      <c r="D1229" s="18">
        <f t="shared" si="138"/>
        <v>767257.84680122929</v>
      </c>
      <c r="E1229" s="18">
        <f>IF($A1229&gt;40,0,(E1202-MIN(MAX(F1228,0),E1202))+MIN(MAX(0,G1228-(E1202-MIN(MAX(F1228,0),E1202))),MAX(0,3*E1202-(F1228-MIN(MAX(F1228,0),E1202)))))</f>
        <v>75000</v>
      </c>
      <c r="F1229" s="18">
        <f>IF($A1229&gt;40,F1228,(F1228-E1202+E1229)*(1+$B$7))</f>
        <v>0</v>
      </c>
      <c r="G1229" s="18">
        <f t="shared" si="139"/>
        <v>-890548.60141743801</v>
      </c>
      <c r="H1229" s="18">
        <f>IF($A1229&gt;40,0,(H1202-MIN(MAX(I1228,0),H1202))+MIN(MAX(0,J1228-(H1202-MIN(MAX(I1228,0),H1202))),MAX(0,3*H1202-(I1228-MIN(MAX(I1228,0),H1202)))))</f>
        <v>39401.321180535131</v>
      </c>
      <c r="I1229" s="18">
        <f>IF($A1229&gt;40,I1228,(I1228-H1202+H1229)*(1+$B$7))</f>
        <v>116520.01313104035</v>
      </c>
      <c r="J1229" s="18">
        <f t="shared" si="140"/>
        <v>370171.41874138801</v>
      </c>
      <c r="K1229" s="18">
        <f>IF($A1229&gt;40,0,(K1202-MIN(MAX(L1228,0),K1202))+MIN(MAX(0,M1228-(K1202-MIN(MAX(L1228,0),K1202))),MAX(0,3*K1202-(L1228-MIN(MAX(L1228,0),K1202)))))</f>
        <v>38764.379965867149</v>
      </c>
      <c r="L1229" s="18">
        <f>IF($A1229&gt;40,L1228,(L1228-K1202+K1229)*(1+$B$7))</f>
        <v>114636.41135137524</v>
      </c>
      <c r="M1229" s="18">
        <f t="shared" si="141"/>
        <v>398034.34292203223</v>
      </c>
      <c r="N1229" s="18">
        <f>IF($A1229&gt;40,0,(N1202-MIN(MAX(O1228,0),N1202))+MIN(MAX(0,P1228-(N1202-MIN(MAX(O1228,0),N1202))),MAX(0,3*N1202-(O1228-MIN(MAX(O1228,0),N1202)))))</f>
        <v>38764.663407071552</v>
      </c>
      <c r="O1229" s="18">
        <f>IF($A1229&gt;40,O1228,(O1228-N1202+N1229)*(1+$B$7))</f>
        <v>114637.24956115776</v>
      </c>
      <c r="P1229" s="18">
        <f t="shared" si="142"/>
        <v>398021.94381736446</v>
      </c>
      <c r="Q1229" s="18">
        <f>IF($A1229&gt;40,0,(Q1202-MIN(MAX(R1228,0),Q1202))+MIN(MAX(0,S1228-(Q1202-MIN(MAX(R1228,0),Q1202))),MAX(0,3*Q1202-(R1228-MIN(MAX(R1228,0),Q1202)))))</f>
        <v>38764.663740935066</v>
      </c>
      <c r="R1229" s="18">
        <f>IF($A1229&gt;40,R1228,(R1228-Q1202+Q1229)*(1+$B$7))</f>
        <v>114637.25054847954</v>
      </c>
      <c r="S1229" s="18">
        <f t="shared" si="143"/>
        <v>398021.92921254219</v>
      </c>
    </row>
    <row r="1230" spans="1:19">
      <c r="A1230" s="10">
        <f>26</f>
        <v>26</v>
      </c>
      <c r="B1230" s="18">
        <f>IF($A1230&gt;40,0,(B1202-MIN(MAX(C1229,0),B1202))+MIN(MAX(0,D1229-(B1202-MIN(MAX(C1229,0),B1202))),MAX(0,3*B1202-(C1229-MIN(MAX(C1229,0),B1202)))))</f>
        <v>30324</v>
      </c>
      <c r="C1230" s="18">
        <f>IF($A1230&gt;40,C1229,(C1229-B1202+B1230)*(1+$B$7))</f>
        <v>89676</v>
      </c>
      <c r="D1230" s="18">
        <f t="shared" si="138"/>
        <v>759041.86220526614</v>
      </c>
      <c r="E1230" s="18">
        <f>IF($A1230&gt;40,0,(E1202-MIN(MAX(F1229,0),E1202))+MIN(MAX(0,G1229-(E1202-MIN(MAX(F1229,0),E1202))),MAX(0,3*E1202-(F1229-MIN(MAX(F1229,0),E1202)))))</f>
        <v>75000</v>
      </c>
      <c r="F1230" s="18">
        <f>IF($A1230&gt;40,F1229,(F1229-E1202+E1230)*(1+$B$7))</f>
        <v>0</v>
      </c>
      <c r="G1230" s="18">
        <f t="shared" si="139"/>
        <v>-994515.05945996114</v>
      </c>
      <c r="H1230" s="18">
        <f>IF($A1230&gt;40,0,(H1202-MIN(MAX(I1229,0),H1202))+MIN(MAX(0,J1229-(H1202-MIN(MAX(I1229,0),H1202))),MAX(0,3*H1202-(I1229-MIN(MAX(I1229,0),H1202)))))</f>
        <v>39401.321180535131</v>
      </c>
      <c r="I1230" s="18">
        <f>IF($A1230&gt;40,I1229,(I1229-H1202+H1230)*(1+$B$7))</f>
        <v>116520.01313104035</v>
      </c>
      <c r="J1230" s="18">
        <f t="shared" si="140"/>
        <v>340693.20048767846</v>
      </c>
      <c r="K1230" s="18">
        <f>IF($A1230&gt;40,0,(K1202-MIN(MAX(L1229,0),K1202))+MIN(MAX(0,M1229-(K1202-MIN(MAX(L1229,0),K1202))),MAX(0,3*K1202-(L1229-MIN(MAX(L1229,0),K1202)))))</f>
        <v>38764.379965867149</v>
      </c>
      <c r="L1230" s="18">
        <f>IF($A1230&gt;40,L1229,(L1229-K1202+K1230)*(1+$B$7))</f>
        <v>114636.41135137524</v>
      </c>
      <c r="M1230" s="18">
        <f t="shared" si="141"/>
        <v>370048.06184485002</v>
      </c>
      <c r="N1230" s="18">
        <f>IF($A1230&gt;40,0,(N1202-MIN(MAX(O1229,0),N1202))+MIN(MAX(0,P1229-(N1202-MIN(MAX(O1229,0),N1202))),MAX(0,3*N1202-(O1229-MIN(MAX(O1229,0),N1202)))))</f>
        <v>38764.663407071552</v>
      </c>
      <c r="O1230" s="18">
        <f>IF($A1230&gt;40,O1229,(O1229-N1202+N1230)*(1+$B$7))</f>
        <v>114637.24956115776</v>
      </c>
      <c r="P1230" s="18">
        <f t="shared" si="142"/>
        <v>370034.99882260169</v>
      </c>
      <c r="Q1230" s="18">
        <f>IF($A1230&gt;40,0,(Q1202-MIN(MAX(R1229,0),Q1202))+MIN(MAX(0,S1229-(Q1202-MIN(MAX(R1229,0),Q1202))),MAX(0,3*Q1202-(R1229-MIN(MAX(R1229,0),Q1202)))))</f>
        <v>38764.663740935066</v>
      </c>
      <c r="R1230" s="18">
        <f>IF($A1230&gt;40,R1229,(R1229-Q1202+Q1230)*(1+$B$7))</f>
        <v>114637.25054847954</v>
      </c>
      <c r="S1230" s="18">
        <f t="shared" si="143"/>
        <v>370034.9834357553</v>
      </c>
    </row>
    <row r="1231" spans="1:19">
      <c r="A1231" s="10">
        <f>27</f>
        <v>27</v>
      </c>
      <c r="B1231" s="18">
        <f>IF($A1231&gt;40,0,(B1202-MIN(MAX(C1230,0),B1202))+MIN(MAX(0,D1230-(B1202-MIN(MAX(C1230,0),B1202))),MAX(0,3*B1202-(C1230-MIN(MAX(C1230,0),B1202)))))</f>
        <v>30324</v>
      </c>
      <c r="C1231" s="18">
        <f>IF($A1231&gt;40,C1230,(C1230-B1202+B1231)*(1+$B$7))</f>
        <v>89676</v>
      </c>
      <c r="D1231" s="18">
        <f t="shared" si="138"/>
        <v>750579.3980714241</v>
      </c>
      <c r="E1231" s="18">
        <f>IF($A1231&gt;40,0,(E1202-MIN(MAX(F1230,0),E1202))+MIN(MAX(0,G1230-(E1202-MIN(MAX(F1230,0),E1202))),MAX(0,3*E1202-(F1230-MIN(MAX(F1230,0),E1202)))))</f>
        <v>75000</v>
      </c>
      <c r="F1231" s="18">
        <f>IF($A1231&gt;40,F1230,(F1230-E1202+E1231)*(1+$B$7))</f>
        <v>0</v>
      </c>
      <c r="G1231" s="18">
        <f t="shared" si="139"/>
        <v>-1101600.5112437599</v>
      </c>
      <c r="H1231" s="18">
        <f>IF($A1231&gt;40,0,(H1202-MIN(MAX(I1230,0),H1202))+MIN(MAX(0,J1230-(H1202-MIN(MAX(I1230,0),H1202))),MAX(0,3*H1202-(I1230-MIN(MAX(I1230,0),H1202)))))</f>
        <v>39401.321180535131</v>
      </c>
      <c r="I1231" s="18">
        <f>IF($A1231&gt;40,I1230,(I1230-H1202+H1231)*(1+$B$7))</f>
        <v>116520.01313104035</v>
      </c>
      <c r="J1231" s="18">
        <f t="shared" si="140"/>
        <v>310330.63568635762</v>
      </c>
      <c r="K1231" s="18">
        <f>IF($A1231&gt;40,0,(K1202-MIN(MAX(L1230,0),K1202))+MIN(MAX(0,M1230-(K1202-MIN(MAX(L1230,0),K1202))),MAX(0,3*K1202-(L1230-MIN(MAX(L1230,0),K1202)))))</f>
        <v>38764.379965867149</v>
      </c>
      <c r="L1231" s="18">
        <f>IF($A1231&gt;40,L1230,(L1230-K1202+K1231)*(1+$B$7))</f>
        <v>114636.41135137524</v>
      </c>
      <c r="M1231" s="18">
        <f t="shared" si="141"/>
        <v>341222.19233535236</v>
      </c>
      <c r="N1231" s="18">
        <f>IF($A1231&gt;40,0,(N1202-MIN(MAX(O1230,0),N1202))+MIN(MAX(0,P1230-(N1202-MIN(MAX(O1230,0),N1202))),MAX(0,3*N1202-(O1230-MIN(MAX(O1230,0),N1202)))))</f>
        <v>38764.663407071552</v>
      </c>
      <c r="O1231" s="18">
        <f>IF($A1231&gt;40,O1230,(O1230-N1202+N1231)*(1+$B$7))</f>
        <v>114637.24956115776</v>
      </c>
      <c r="P1231" s="18">
        <f t="shared" si="142"/>
        <v>341208.44547799602</v>
      </c>
      <c r="Q1231" s="18">
        <f>IF($A1231&gt;40,0,(Q1202-MIN(MAX(R1230,0),Q1202))+MIN(MAX(0,S1230-(Q1202-MIN(MAX(R1230,0),Q1202))),MAX(0,3*Q1202-(R1230-MIN(MAX(R1230,0),Q1202)))))</f>
        <v>38764.663740935066</v>
      </c>
      <c r="R1231" s="18">
        <f>IF($A1231&gt;40,R1230,(R1230-Q1202+Q1231)*(1+$B$7))</f>
        <v>114637.25054847954</v>
      </c>
      <c r="S1231" s="18">
        <f t="shared" si="143"/>
        <v>341208.42928566481</v>
      </c>
    </row>
    <row r="1232" spans="1:19">
      <c r="A1232" s="10">
        <f>28</f>
        <v>28</v>
      </c>
      <c r="B1232" s="18">
        <f>IF($A1232&gt;40,0,(B1202-MIN(MAX(C1231,0),B1202))+MIN(MAX(0,D1231-(B1202-MIN(MAX(C1231,0),B1202))),MAX(0,3*B1202-(C1231-MIN(MAX(C1231,0),B1202)))))</f>
        <v>30324</v>
      </c>
      <c r="C1232" s="18">
        <f>IF($A1232&gt;40,C1231,(C1231-B1202+B1232)*(1+$B$7))</f>
        <v>89676</v>
      </c>
      <c r="D1232" s="18">
        <f t="shared" si="138"/>
        <v>741863.06001356686</v>
      </c>
      <c r="E1232" s="18">
        <f>IF($A1232&gt;40,0,(E1202-MIN(MAX(F1231,0),E1202))+MIN(MAX(0,G1231-(E1202-MIN(MAX(F1231,0),E1202))),MAX(0,3*E1202-(F1231-MIN(MAX(F1231,0),E1202)))))</f>
        <v>75000</v>
      </c>
      <c r="F1232" s="18">
        <f>IF($A1232&gt;40,F1231,(F1231-E1202+E1232)*(1+$B$7))</f>
        <v>0</v>
      </c>
      <c r="G1232" s="18">
        <f t="shared" si="139"/>
        <v>-1211898.5265810727</v>
      </c>
      <c r="H1232" s="18">
        <f>IF($A1232&gt;40,0,(H1202-MIN(MAX(I1231,0),H1202))+MIN(MAX(0,J1231-(H1202-MIN(MAX(I1231,0),H1202))),MAX(0,3*H1202-(I1231-MIN(MAX(I1231,0),H1202)))))</f>
        <v>39401.321180535131</v>
      </c>
      <c r="I1232" s="18">
        <f>IF($A1232&gt;40,I1231,(I1231-H1202+H1232)*(1+$B$7))</f>
        <v>116520.01313104035</v>
      </c>
      <c r="J1232" s="18">
        <f t="shared" si="140"/>
        <v>279057.19394099718</v>
      </c>
      <c r="K1232" s="18">
        <f>IF($A1232&gt;40,0,(K1202-MIN(MAX(L1231,0),K1202))+MIN(MAX(0,M1231-(K1202-MIN(MAX(L1231,0),K1202))),MAX(0,3*K1202-(L1231-MIN(MAX(L1231,0),K1202)))))</f>
        <v>38764.379965867149</v>
      </c>
      <c r="L1232" s="18">
        <f>IF($A1232&gt;40,L1231,(L1231-K1202+K1232)*(1+$B$7))</f>
        <v>114636.41135137524</v>
      </c>
      <c r="M1232" s="18">
        <f t="shared" si="141"/>
        <v>311531.54674056976</v>
      </c>
      <c r="N1232" s="18">
        <f>IF($A1232&gt;40,0,(N1202-MIN(MAX(O1231,0),N1202))+MIN(MAX(0,P1231-(N1202-MIN(MAX(O1231,0),N1202))),MAX(0,3*N1202-(O1231-MIN(MAX(O1231,0),N1202)))))</f>
        <v>38764.663407071552</v>
      </c>
      <c r="O1232" s="18">
        <f>IF($A1232&gt;40,O1231,(O1231-N1202+N1232)*(1+$B$7))</f>
        <v>114637.24956115776</v>
      </c>
      <c r="P1232" s="18">
        <f t="shared" si="142"/>
        <v>311517.09553305223</v>
      </c>
      <c r="Q1232" s="18">
        <f>IF($A1232&gt;40,0,(Q1202-MIN(MAX(R1231,0),Q1202))+MIN(MAX(0,S1231-(Q1202-MIN(MAX(R1231,0),Q1202))),MAX(0,3*Q1202-(R1231-MIN(MAX(R1231,0),Q1202)))))</f>
        <v>38764.663740935066</v>
      </c>
      <c r="R1232" s="18">
        <f>IF($A1232&gt;40,R1231,(R1231-Q1202+Q1232)*(1+$B$7))</f>
        <v>114637.25054847954</v>
      </c>
      <c r="S1232" s="18">
        <f t="shared" si="143"/>
        <v>311517.07851107168</v>
      </c>
    </row>
    <row r="1233" spans="1:19">
      <c r="A1233" s="10">
        <f>29</f>
        <v>29</v>
      </c>
      <c r="B1233" s="18">
        <f>IF($A1233&gt;40,0,(B1202-MIN(MAX(C1232,0),B1202))+MIN(MAX(0,D1232-(B1202-MIN(MAX(C1232,0),B1202))),MAX(0,3*B1202-(C1232-MIN(MAX(C1232,0),B1202)))))</f>
        <v>30324</v>
      </c>
      <c r="C1233" s="18">
        <f>IF($A1233&gt;40,C1232,(C1232-B1202+B1233)*(1+$B$7))</f>
        <v>89676</v>
      </c>
      <c r="D1233" s="18">
        <f t="shared" si="138"/>
        <v>732885.23181397386</v>
      </c>
      <c r="E1233" s="18">
        <f>IF($A1233&gt;40,0,(E1202-MIN(MAX(F1232,0),E1202))+MIN(MAX(0,G1232-(E1202-MIN(MAX(F1232,0),E1202))),MAX(0,3*E1202-(F1232-MIN(MAX(F1232,0),E1202)))))</f>
        <v>75000</v>
      </c>
      <c r="F1233" s="18">
        <f>IF($A1233&gt;40,F1232,(F1232-E1202+E1233)*(1+$B$7))</f>
        <v>0</v>
      </c>
      <c r="G1233" s="18">
        <f t="shared" si="139"/>
        <v>-1325505.4823785049</v>
      </c>
      <c r="H1233" s="18">
        <f>IF($A1233&gt;40,0,(H1202-MIN(MAX(I1232,0),H1202))+MIN(MAX(0,J1232-(H1202-MIN(MAX(I1232,0),H1202))),MAX(0,3*H1202-(I1232-MIN(MAX(I1232,0),H1202)))))</f>
        <v>39401.321180535131</v>
      </c>
      <c r="I1233" s="18">
        <f>IF($A1233&gt;40,I1232,(I1232-H1202+H1233)*(1+$B$7))</f>
        <v>116520.01313104035</v>
      </c>
      <c r="J1233" s="18">
        <f t="shared" si="140"/>
        <v>246845.54894327591</v>
      </c>
      <c r="K1233" s="18">
        <f>IF($A1233&gt;40,0,(K1202-MIN(MAX(L1232,0),K1202))+MIN(MAX(0,M1232-(K1202-MIN(MAX(L1232,0),K1202))),MAX(0,3*K1202-(L1232-MIN(MAX(L1232,0),K1202)))))</f>
        <v>38764.379965867149</v>
      </c>
      <c r="L1233" s="18">
        <f>IF($A1233&gt;40,L1232,(L1232-K1202+K1233)*(1+$B$7))</f>
        <v>114636.41135137524</v>
      </c>
      <c r="M1233" s="18">
        <f t="shared" si="141"/>
        <v>280950.18177794368</v>
      </c>
      <c r="N1233" s="18">
        <f>IF($A1233&gt;40,0,(N1202-MIN(MAX(O1232,0),N1202))+MIN(MAX(0,P1232-(N1202-MIN(MAX(O1232,0),N1202))),MAX(0,3*N1202-(O1232-MIN(MAX(O1232,0),N1202)))))</f>
        <v>38764.663407071552</v>
      </c>
      <c r="O1233" s="18">
        <f>IF($A1233&gt;40,O1232,(O1232-N1202+N1233)*(1+$B$7))</f>
        <v>114637.24956115776</v>
      </c>
      <c r="P1233" s="18">
        <f t="shared" si="142"/>
        <v>280935.00508976012</v>
      </c>
      <c r="Q1233" s="18">
        <f>IF($A1233&gt;40,0,(Q1202-MIN(MAX(R1232,0),Q1202))+MIN(MAX(0,S1232-(Q1202-MIN(MAX(R1232,0),Q1202))),MAX(0,3*Q1202-(R1232-MIN(MAX(R1232,0),Q1202)))))</f>
        <v>38764.663740935066</v>
      </c>
      <c r="R1233" s="18">
        <f>IF($A1233&gt;40,R1232,(R1232-Q1202+Q1233)*(1+$B$7))</f>
        <v>114637.25054847954</v>
      </c>
      <c r="S1233" s="18">
        <f t="shared" si="143"/>
        <v>280934.9872132407</v>
      </c>
    </row>
    <row r="1234" spans="1:19">
      <c r="A1234" s="10">
        <f>30</f>
        <v>30</v>
      </c>
      <c r="B1234" s="18">
        <f>IF($A1234&gt;40,0,(B1202-MIN(MAX(C1233,0),B1202))+MIN(MAX(0,D1233-(B1202-MIN(MAX(C1233,0),B1202))),MAX(0,3*B1202-(C1233-MIN(MAX(C1233,0),B1202)))))</f>
        <v>30324</v>
      </c>
      <c r="C1234" s="18">
        <f>IF($A1234&gt;40,C1233,(C1233-B1202+B1234)*(1+$B$7))</f>
        <v>89676</v>
      </c>
      <c r="D1234" s="18">
        <f t="shared" si="138"/>
        <v>723638.06876839313</v>
      </c>
      <c r="E1234" s="18">
        <f>IF($A1234&gt;40,0,(E1202-MIN(MAX(F1233,0),E1202))+MIN(MAX(0,G1233-(E1202-MIN(MAX(F1233,0),E1202))),MAX(0,3*E1202-(F1233-MIN(MAX(F1233,0),E1202)))))</f>
        <v>75000</v>
      </c>
      <c r="F1234" s="18">
        <f>IF($A1234&gt;40,F1233,(F1233-E1202+E1234)*(1+$B$7))</f>
        <v>0</v>
      </c>
      <c r="G1234" s="18">
        <f t="shared" si="139"/>
        <v>-1442520.6468498602</v>
      </c>
      <c r="H1234" s="18">
        <f>IF($A1234&gt;40,0,(H1202-MIN(MAX(I1233,0),H1202))+MIN(MAX(0,J1233-(H1202-MIN(MAX(I1233,0),H1202))),MAX(0,3*H1202-(I1233-MIN(MAX(I1233,0),H1202)))))</f>
        <v>39401.321180535131</v>
      </c>
      <c r="I1234" s="18">
        <f>IF($A1234&gt;40,I1233,(I1233-H1202+H1234)*(1+$B$7))</f>
        <v>116520.01313104035</v>
      </c>
      <c r="J1234" s="18">
        <f t="shared" si="140"/>
        <v>213667.55459562299</v>
      </c>
      <c r="K1234" s="18">
        <f>IF($A1234&gt;40,0,(K1202-MIN(MAX(L1233,0),K1202))+MIN(MAX(0,M1233-(K1202-MIN(MAX(L1233,0),K1202))),MAX(0,3*K1202-(L1233-MIN(MAX(L1233,0),K1202)))))</f>
        <v>38764.379965867149</v>
      </c>
      <c r="L1234" s="18">
        <f>IF($A1234&gt;40,L1233,(L1233-K1202+K1234)*(1+$B$7))</f>
        <v>114636.41135137524</v>
      </c>
      <c r="M1234" s="18">
        <f t="shared" si="141"/>
        <v>249451.37586643884</v>
      </c>
      <c r="N1234" s="18">
        <f>IF($A1234&gt;40,0,(N1202-MIN(MAX(O1233,0),N1202))+MIN(MAX(0,P1233-(N1202-MIN(MAX(O1233,0),N1202))),MAX(0,3*N1202-(O1233-MIN(MAX(O1233,0),N1202)))))</f>
        <v>38764.663407071552</v>
      </c>
      <c r="O1234" s="18">
        <f>IF($A1234&gt;40,O1233,(O1233-N1202+N1234)*(1+$B$7))</f>
        <v>114637.24956115776</v>
      </c>
      <c r="P1234" s="18">
        <f t="shared" si="142"/>
        <v>249435.45193316924</v>
      </c>
      <c r="Q1234" s="18">
        <f>IF($A1234&gt;40,0,(Q1202-MIN(MAX(R1233,0),Q1202))+MIN(MAX(0,S1233-(Q1202-MIN(MAX(R1233,0),Q1202))),MAX(0,3*Q1202-(R1233-MIN(MAX(R1233,0),Q1202)))))</f>
        <v>38764.663740935066</v>
      </c>
      <c r="R1234" s="18">
        <f>IF($A1234&gt;40,R1233,(R1233-Q1202+Q1234)*(1+$B$7))</f>
        <v>114637.25054847954</v>
      </c>
      <c r="S1234" s="18">
        <f t="shared" si="143"/>
        <v>249435.43317647482</v>
      </c>
    </row>
    <row r="1235" spans="1:19">
      <c r="A1235" s="10">
        <f>31</f>
        <v>31</v>
      </c>
      <c r="B1235" s="18">
        <f>IF($A1235&gt;40,0,(B1202-MIN(MAX(C1234,0),B1202))+MIN(MAX(0,D1234-(B1202-MIN(MAX(C1234,0),B1202))),MAX(0,3*B1202-(C1234-MIN(MAX(C1234,0),B1202)))))</f>
        <v>30324</v>
      </c>
      <c r="C1235" s="18">
        <f>IF($A1235&gt;40,C1234,(C1234-B1202+B1235)*(1+$B$7))</f>
        <v>89676</v>
      </c>
      <c r="D1235" s="18">
        <f t="shared" si="138"/>
        <v>714113.49083144497</v>
      </c>
      <c r="E1235" s="18">
        <f>IF($A1235&gt;40,0,(E1202-MIN(MAX(F1234,0),E1202))+MIN(MAX(0,G1234-(E1202-MIN(MAX(F1234,0),E1202))),MAX(0,3*E1202-(F1234-MIN(MAX(F1234,0),E1202)))))</f>
        <v>75000</v>
      </c>
      <c r="F1235" s="18">
        <f>IF($A1235&gt;40,F1234,(F1234-E1202+E1235)*(1+$B$7))</f>
        <v>0</v>
      </c>
      <c r="G1235" s="18">
        <f t="shared" si="139"/>
        <v>-1563046.2662553561</v>
      </c>
      <c r="H1235" s="18">
        <f>IF($A1235&gt;40,0,(H1202-MIN(MAX(I1234,0),H1202))+MIN(MAX(0,J1234-(H1202-MIN(MAX(I1234,0),H1202))),MAX(0,3*H1202-(I1234-MIN(MAX(I1234,0),H1202)))))</f>
        <v>39401.321180535131</v>
      </c>
      <c r="I1235" s="18">
        <f>IF($A1235&gt;40,I1234,(I1234-H1202+H1235)*(1+$B$7))</f>
        <v>116520.01313104035</v>
      </c>
      <c r="J1235" s="18">
        <f t="shared" si="140"/>
        <v>179494.22041754049</v>
      </c>
      <c r="K1235" s="18">
        <f>IF($A1235&gt;40,0,(K1202-MIN(MAX(L1234,0),K1202))+MIN(MAX(0,M1234-(K1202-MIN(MAX(L1234,0),K1202))),MAX(0,3*K1202-(L1234-MIN(MAX(L1234,0),K1202)))))</f>
        <v>38764.379965867149</v>
      </c>
      <c r="L1235" s="18">
        <f>IF($A1235&gt;40,L1234,(L1234-K1202+K1235)*(1+$B$7))</f>
        <v>114636.41135137524</v>
      </c>
      <c r="M1235" s="18">
        <f t="shared" si="141"/>
        <v>217007.60577758885</v>
      </c>
      <c r="N1235" s="18">
        <f>IF($A1235&gt;40,0,(N1202-MIN(MAX(O1234,0),N1202))+MIN(MAX(0,P1234-(N1202-MIN(MAX(O1234,0),N1202))),MAX(0,3*N1202-(O1234-MIN(MAX(O1234,0),N1202)))))</f>
        <v>38764.663407071552</v>
      </c>
      <c r="O1235" s="18">
        <f>IF($A1235&gt;40,O1234,(O1234-N1202+N1235)*(1+$B$7))</f>
        <v>114637.24956115776</v>
      </c>
      <c r="P1235" s="18">
        <f t="shared" si="142"/>
        <v>216990.91218188062</v>
      </c>
      <c r="Q1235" s="18">
        <f>IF($A1235&gt;40,0,(Q1202-MIN(MAX(R1234,0),Q1202))+MIN(MAX(0,S1234-(Q1202-MIN(MAX(R1234,0),Q1202))),MAX(0,3*Q1202-(R1234-MIN(MAX(R1234,0),Q1202)))))</f>
        <v>38764.663740935066</v>
      </c>
      <c r="R1235" s="18">
        <f>IF($A1235&gt;40,R1234,(R1234-Q1202+Q1235)*(1+$B$7))</f>
        <v>114637.25054847954</v>
      </c>
      <c r="S1235" s="18">
        <f t="shared" si="143"/>
        <v>216990.89251860595</v>
      </c>
    </row>
    <row r="1236" spans="1:19">
      <c r="A1236" s="10">
        <f>32</f>
        <v>32</v>
      </c>
      <c r="B1236" s="18">
        <f>IF($A1236&gt;40,0,(B1202-MIN(MAX(C1235,0),B1202))+MIN(MAX(0,D1235-(B1202-MIN(MAX(C1235,0),B1202))),MAX(0,3*B1202-(C1235-MIN(MAX(C1235,0),B1202)))))</f>
        <v>30324</v>
      </c>
      <c r="C1236" s="18">
        <f>IF($A1236&gt;40,C1235,(C1235-B1202+B1236)*(1+$B$7))</f>
        <v>89676</v>
      </c>
      <c r="D1236" s="18">
        <f t="shared" si="138"/>
        <v>704303.17555638833</v>
      </c>
      <c r="E1236" s="18">
        <f>IF($A1236&gt;40,0,(E1202-MIN(MAX(F1235,0),E1202))+MIN(MAX(0,G1235-(E1202-MIN(MAX(F1235,0),E1202))),MAX(0,3*E1202-(F1235-MIN(MAX(F1235,0),E1202)))))</f>
        <v>75000</v>
      </c>
      <c r="F1236" s="18">
        <f>IF($A1236&gt;40,F1235,(F1235-E1202+E1236)*(1+$B$7))</f>
        <v>0</v>
      </c>
      <c r="G1236" s="18">
        <f t="shared" si="139"/>
        <v>-1687187.6542430168</v>
      </c>
      <c r="H1236" s="18">
        <f>IF($A1236&gt;40,0,(H1202-MIN(MAX(I1235,0),H1202))+MIN(MAX(0,J1235-(H1202-MIN(MAX(I1235,0),H1202))),MAX(0,3*H1202-(I1235-MIN(MAX(I1235,0),H1202)))))</f>
        <v>39401.321180535131</v>
      </c>
      <c r="I1236" s="18">
        <f>IF($A1236&gt;40,I1235,(I1235-H1202+H1236)*(1+$B$7))</f>
        <v>116520.01313104035</v>
      </c>
      <c r="J1236" s="18">
        <f t="shared" si="140"/>
        <v>144295.68621411553</v>
      </c>
      <c r="K1236" s="18">
        <f>IF($A1236&gt;40,0,(K1202-MIN(MAX(L1235,0),K1202))+MIN(MAX(0,M1235-(K1202-MIN(MAX(L1235,0),K1202))),MAX(0,3*K1202-(L1235-MIN(MAX(L1235,0),K1202)))))</f>
        <v>38764.379965867149</v>
      </c>
      <c r="L1236" s="18">
        <f>IF($A1236&gt;40,L1235,(L1235-K1202+K1236)*(1+$B$7))</f>
        <v>114636.41135137524</v>
      </c>
      <c r="M1236" s="18">
        <f t="shared" si="141"/>
        <v>183590.52258607335</v>
      </c>
      <c r="N1236" s="18">
        <f>IF($A1236&gt;40,0,(N1202-MIN(MAX(O1235,0),N1202))+MIN(MAX(0,P1235-(N1202-MIN(MAX(O1235,0),N1202))),MAX(0,3*N1202-(O1235-MIN(MAX(O1235,0),N1202)))))</f>
        <v>38764.663407071552</v>
      </c>
      <c r="O1236" s="18">
        <f>IF($A1236&gt;40,O1235,(O1235-N1202+N1236)*(1+$B$7))</f>
        <v>114637.24956115776</v>
      </c>
      <c r="P1236" s="18">
        <f t="shared" si="142"/>
        <v>183573.03623805335</v>
      </c>
      <c r="Q1236" s="18">
        <f>IF($A1236&gt;40,0,(Q1202-MIN(MAX(R1235,0),Q1202))+MIN(MAX(0,S1235-(Q1202-MIN(MAX(R1235,0),Q1202))),MAX(0,3*Q1202-(R1235-MIN(MAX(R1235,0),Q1202)))))</f>
        <v>38764.663740935066</v>
      </c>
      <c r="R1236" s="18">
        <f>IF($A1236&gt;40,R1235,(R1235-Q1202+Q1236)*(1+$B$7))</f>
        <v>114637.25054847954</v>
      </c>
      <c r="S1236" s="18">
        <f t="shared" si="143"/>
        <v>183573.01564100102</v>
      </c>
    </row>
    <row r="1237" spans="1:19">
      <c r="A1237" s="10">
        <f>33</f>
        <v>33</v>
      </c>
      <c r="B1237" s="18">
        <f>IF($A1237&gt;40,0,(B1202-MIN(MAX(C1236,0),B1202))+MIN(MAX(0,D1236-(B1202-MIN(MAX(C1236,0),B1202))),MAX(0,3*B1202-(C1236-MIN(MAX(C1236,0),B1202)))))</f>
        <v>30324</v>
      </c>
      <c r="C1237" s="18">
        <f>IF($A1237&gt;40,C1236,(C1236-B1202+B1237)*(1+$B$7))</f>
        <v>89676</v>
      </c>
      <c r="D1237" s="18">
        <f t="shared" si="138"/>
        <v>694198.55082308</v>
      </c>
      <c r="E1237" s="18">
        <f>IF($A1237&gt;40,0,(E1202-MIN(MAX(F1236,0),E1202))+MIN(MAX(0,G1236-(E1202-MIN(MAX(F1236,0),E1202))),MAX(0,3*E1202-(F1236-MIN(MAX(F1236,0),E1202)))))</f>
        <v>75000</v>
      </c>
      <c r="F1237" s="18">
        <f>IF($A1237&gt;40,F1236,(F1236-E1202+E1237)*(1+$B$7))</f>
        <v>0</v>
      </c>
      <c r="G1237" s="18">
        <f t="shared" si="139"/>
        <v>-1815053.2838703075</v>
      </c>
      <c r="H1237" s="18">
        <f>IF($A1237&gt;40,0,(H1202-MIN(MAX(I1236,0),H1202))+MIN(MAX(0,J1236-(H1202-MIN(MAX(I1236,0),H1202))),MAX(0,3*H1202-(I1236-MIN(MAX(I1236,0),H1202)))))</f>
        <v>39401.321180535131</v>
      </c>
      <c r="I1237" s="18">
        <f>IF($A1237&gt;40,I1236,(I1236-H1202+H1237)*(1+$B$7))</f>
        <v>116520.01313104035</v>
      </c>
      <c r="J1237" s="18">
        <f t="shared" si="140"/>
        <v>108041.19598458782</v>
      </c>
      <c r="K1237" s="18">
        <f>IF($A1237&gt;40,0,(K1202-MIN(MAX(L1236,0),K1202))+MIN(MAX(0,M1236-(K1202-MIN(MAX(L1236,0),K1202))),MAX(0,3*K1202-(L1236-MIN(MAX(L1236,0),K1202)))))</f>
        <v>38764.379965867149</v>
      </c>
      <c r="L1237" s="18">
        <f>IF($A1237&gt;40,L1236,(L1236-K1202+K1237)*(1+$B$7))</f>
        <v>114636.41135137524</v>
      </c>
      <c r="M1237" s="18">
        <f t="shared" si="141"/>
        <v>149170.92689881238</v>
      </c>
      <c r="N1237" s="18">
        <f>IF($A1237&gt;40,0,(N1202-MIN(MAX(O1236,0),N1202))+MIN(MAX(0,P1236-(N1202-MIN(MAX(O1236,0),N1202))),MAX(0,3*N1202-(O1236-MIN(MAX(O1236,0),N1202)))))</f>
        <v>38764.663407071552</v>
      </c>
      <c r="O1237" s="18">
        <f>IF($A1237&gt;40,O1236,(O1236-N1202+N1237)*(1+$B$7))</f>
        <v>114637.24956115776</v>
      </c>
      <c r="P1237" s="18">
        <f t="shared" si="142"/>
        <v>149152.62401591125</v>
      </c>
      <c r="Q1237" s="18">
        <f>IF($A1237&gt;40,0,(Q1202-MIN(MAX(R1236,0),Q1202))+MIN(MAX(0,S1236-(Q1202-MIN(MAX(R1236,0),Q1202))),MAX(0,3*Q1202-(R1236-MIN(MAX(R1236,0),Q1202)))))</f>
        <v>38764.663740935066</v>
      </c>
      <c r="R1237" s="18">
        <f>IF($A1237&gt;40,R1236,(R1236-Q1202+Q1237)*(1+$B$7))</f>
        <v>114637.25054847954</v>
      </c>
      <c r="S1237" s="18">
        <f t="shared" si="143"/>
        <v>149152.60245706793</v>
      </c>
    </row>
    <row r="1238" spans="1:19">
      <c r="A1238" s="10">
        <f>34</f>
        <v>34</v>
      </c>
      <c r="B1238" s="18">
        <f>IF($A1238&gt;40,0,(B1202-MIN(MAX(C1237,0),B1202))+MIN(MAX(0,D1237-(B1202-MIN(MAX(C1237,0),B1202))),MAX(0,3*B1202-(C1237-MIN(MAX(C1237,0),B1202)))))</f>
        <v>30324</v>
      </c>
      <c r="C1238" s="18">
        <f>IF($A1238&gt;40,C1237,(C1237-B1202+B1238)*(1+$B$7))</f>
        <v>89676</v>
      </c>
      <c r="D1238" s="18">
        <f t="shared" si="138"/>
        <v>683790.78734777239</v>
      </c>
      <c r="E1238" s="18">
        <f>IF($A1238&gt;40,0,(E1202-MIN(MAX(F1237,0),E1202))+MIN(MAX(0,G1237-(E1202-MIN(MAX(F1237,0),E1202))),MAX(0,3*E1202-(F1237-MIN(MAX(F1237,0),E1202)))))</f>
        <v>75000</v>
      </c>
      <c r="F1238" s="18">
        <f>IF($A1238&gt;40,F1237,(F1237-E1202+E1238)*(1+$B$7))</f>
        <v>0</v>
      </c>
      <c r="G1238" s="18">
        <f t="shared" si="139"/>
        <v>-1946754.8823864167</v>
      </c>
      <c r="H1238" s="18">
        <f>IF($A1238&gt;40,0,(H1202-MIN(MAX(I1237,0),H1202))+MIN(MAX(0,J1237-(H1202-MIN(MAX(I1237,0),H1202))),MAX(0,3*H1202-(I1237-MIN(MAX(I1237,0),H1202)))))</f>
        <v>39401.321180535131</v>
      </c>
      <c r="I1238" s="18">
        <f>IF($A1238&gt;40,I1237,(I1237-H1202+H1238)*(1+$B$7))</f>
        <v>116520.01313104035</v>
      </c>
      <c r="J1238" s="18">
        <f t="shared" si="140"/>
        <v>70699.071048174272</v>
      </c>
      <c r="K1238" s="18">
        <f>IF($A1238&gt;40,0,(K1202-MIN(MAX(L1237,0),K1202))+MIN(MAX(0,M1237-(K1202-MIN(MAX(L1237,0),K1202))),MAX(0,3*K1202-(L1237-MIN(MAX(L1237,0),K1202)))))</f>
        <v>38764.379965867149</v>
      </c>
      <c r="L1238" s="18">
        <f>IF($A1238&gt;40,L1237,(L1237-K1202+K1238)*(1+$B$7))</f>
        <v>114636.41135137524</v>
      </c>
      <c r="M1238" s="18">
        <f t="shared" si="141"/>
        <v>113718.74334093359</v>
      </c>
      <c r="N1238" s="18">
        <f>IF($A1238&gt;40,0,(N1202-MIN(MAX(O1237,0),N1202))+MIN(MAX(0,P1237-(N1202-MIN(MAX(O1237,0),N1202))),MAX(0,3*N1202-(O1237-MIN(MAX(O1237,0),N1202)))))</f>
        <v>38764.663407071552</v>
      </c>
      <c r="O1238" s="18">
        <f>IF($A1238&gt;40,O1237,(O1237-N1202+N1238)*(1+$B$7))</f>
        <v>114637.24956115776</v>
      </c>
      <c r="P1238" s="18">
        <f t="shared" si="142"/>
        <v>113699.5994271049</v>
      </c>
      <c r="Q1238" s="18">
        <f>IF($A1238&gt;40,0,(Q1202-MIN(MAX(R1237,0),Q1202))+MIN(MAX(0,S1237-(Q1202-MIN(MAX(R1237,0),Q1202))),MAX(0,3*Q1202-(R1237-MIN(MAX(R1237,0),Q1202)))))</f>
        <v>38764.663740935066</v>
      </c>
      <c r="R1238" s="18">
        <f>IF($A1238&gt;40,R1237,(R1237-Q1202+Q1238)*(1+$B$7))</f>
        <v>114637.25054847954</v>
      </c>
      <c r="S1238" s="18">
        <f t="shared" si="143"/>
        <v>113699.57687761686</v>
      </c>
    </row>
    <row r="1239" spans="1:19">
      <c r="A1239" s="10">
        <f>35</f>
        <v>35</v>
      </c>
      <c r="B1239" s="18">
        <f>IF($A1239&gt;40,0,(B1202-MIN(MAX(C1238,0),B1202))+MIN(MAX(0,D1238-(B1202-MIN(MAX(C1238,0),B1202))),MAX(0,3*B1202-(C1238-MIN(MAX(C1238,0),B1202)))))</f>
        <v>30324</v>
      </c>
      <c r="C1239" s="18">
        <f>IF($A1239&gt;40,C1238,(C1238-B1202+B1239)*(1+$B$7))</f>
        <v>89676</v>
      </c>
      <c r="D1239" s="18">
        <f t="shared" si="138"/>
        <v>673070.79096820555</v>
      </c>
      <c r="E1239" s="18">
        <f>IF($A1239&gt;40,0,(E1202-MIN(MAX(F1238,0),E1202))+MIN(MAX(0,G1238-(E1202-MIN(MAX(F1238,0),E1202))),MAX(0,3*E1202-(F1238-MIN(MAX(F1238,0),E1202)))))</f>
        <v>75000</v>
      </c>
      <c r="F1239" s="18">
        <f>IF($A1239&gt;40,F1238,(F1238-E1202+E1239)*(1+$B$7))</f>
        <v>0</v>
      </c>
      <c r="G1239" s="18">
        <f t="shared" si="139"/>
        <v>-2082407.5288580093</v>
      </c>
      <c r="H1239" s="18">
        <f>IF($A1239&gt;40,0,(H1202-MIN(MAX(I1238,0),H1202))+MIN(MAX(0,J1238-(H1202-MIN(MAX(I1238,0),H1202))),MAX(0,3*H1202-(I1238-MIN(MAX(I1238,0),H1202)))))</f>
        <v>39401.321180535131</v>
      </c>
      <c r="I1239" s="18">
        <f>IF($A1239&gt;40,I1238,(I1238-H1202+H1239)*(1+$B$7))</f>
        <v>116520.01313104035</v>
      </c>
      <c r="J1239" s="18">
        <f t="shared" si="140"/>
        <v>32236.682363668315</v>
      </c>
      <c r="K1239" s="18">
        <f>IF($A1239&gt;40,0,(K1202-MIN(MAX(L1238,0),K1202))+MIN(MAX(0,M1238-(K1202-MIN(MAX(L1238,0),K1202))),MAX(0,3*K1202-(L1238-MIN(MAX(L1238,0),K1202)))))</f>
        <v>38764.379965867149</v>
      </c>
      <c r="L1239" s="18">
        <f>IF($A1239&gt;40,L1238,(L1238-K1202+K1239)*(1+$B$7))</f>
        <v>114636.41135137524</v>
      </c>
      <c r="M1239" s="18">
        <f t="shared" si="141"/>
        <v>77202.994276318437</v>
      </c>
      <c r="N1239" s="18">
        <f>IF($A1239&gt;40,0,(N1202-MIN(MAX(O1238,0),N1202))+MIN(MAX(0,P1238-(N1202-MIN(MAX(O1238,0),N1202))),MAX(0,3*N1202-(O1238-MIN(MAX(O1238,0),N1202)))))</f>
        <v>38764.663407071552</v>
      </c>
      <c r="O1239" s="18">
        <f>IF($A1239&gt;40,O1238,(O1238-N1202+N1239)*(1+$B$7))</f>
        <v>114637.24956115776</v>
      </c>
      <c r="P1239" s="18">
        <f t="shared" si="142"/>
        <v>77182.984100634349</v>
      </c>
      <c r="Q1239" s="18">
        <f>IF($A1239&gt;40,0,(Q1202-MIN(MAX(R1238,0),Q1202))+MIN(MAX(0,S1238-(Q1202-MIN(MAX(R1238,0),Q1202))),MAX(0,3*Q1202-(R1238-MIN(MAX(R1238,0),Q1202)))))</f>
        <v>38764.663740935066</v>
      </c>
      <c r="R1239" s="18">
        <f>IF($A1239&gt;40,R1238,(R1238-Q1202+Q1239)*(1+$B$7))</f>
        <v>114637.25054847954</v>
      </c>
      <c r="S1239" s="18">
        <f t="shared" si="143"/>
        <v>77182.960530782249</v>
      </c>
    </row>
    <row r="1240" spans="1:19">
      <c r="A1240" s="10">
        <f>36</f>
        <v>36</v>
      </c>
      <c r="B1240" s="18">
        <f>IF($A1240&gt;40,0,(B1202-MIN(MAX(C1239,0),B1202))+MIN(MAX(0,D1239-(B1202-MIN(MAX(C1239,0),B1202))),MAX(0,3*B1202-(C1239-MIN(MAX(C1239,0),B1202)))))</f>
        <v>30324</v>
      </c>
      <c r="C1240" s="18">
        <f>IF($A1240&gt;40,C1239,(C1239-B1202+B1240)*(1+$B$7))</f>
        <v>89676</v>
      </c>
      <c r="D1240" s="18">
        <f t="shared" si="138"/>
        <v>662029.19469725178</v>
      </c>
      <c r="E1240" s="18">
        <f>IF($A1240&gt;40,0,(E1202-MIN(MAX(F1239,0),E1202))+MIN(MAX(0,G1239-(E1202-MIN(MAX(F1239,0),E1202))),MAX(0,3*E1202-(F1239-MIN(MAX(F1239,0),E1202)))))</f>
        <v>75000</v>
      </c>
      <c r="F1240" s="18">
        <f>IF($A1240&gt;40,F1239,(F1239-E1202+E1240)*(1+$B$7))</f>
        <v>0</v>
      </c>
      <c r="G1240" s="18">
        <f t="shared" si="139"/>
        <v>-2222129.7547237496</v>
      </c>
      <c r="H1240" s="18">
        <f>IF($A1240&gt;40,0,(H1202-MIN(MAX(I1239,0),H1202))+MIN(MAX(0,J1239-(H1202-MIN(MAX(I1239,0),H1202))),MAX(0,3*H1202-(I1239-MIN(MAX(I1239,0),H1202)))))</f>
        <v>32236.682363668315</v>
      </c>
      <c r="I1240" s="18">
        <f>IF($A1240&gt;40,I1239,(I1239-H1202+H1240)*(1+$B$7))</f>
        <v>109381.16701391425</v>
      </c>
      <c r="J1240" s="18">
        <f t="shared" si="140"/>
        <v>0</v>
      </c>
      <c r="K1240" s="18">
        <f>IF($A1240&gt;40,0,(K1202-MIN(MAX(L1239,0),K1202))+MIN(MAX(0,M1239-(K1202-MIN(MAX(L1239,0),K1202))),MAX(0,3*K1202-(L1239-MIN(MAX(L1239,0),K1202)))))</f>
        <v>38764.379965867149</v>
      </c>
      <c r="L1240" s="18">
        <f>IF($A1240&gt;40,L1239,(L1239-K1202+K1240)*(1+$B$7))</f>
        <v>114636.41135137524</v>
      </c>
      <c r="M1240" s="18">
        <f t="shared" si="141"/>
        <v>39591.772739764827</v>
      </c>
      <c r="N1240" s="18">
        <f>IF($A1240&gt;40,0,(N1202-MIN(MAX(O1239,0),N1202))+MIN(MAX(0,P1239-(N1202-MIN(MAX(O1239,0),N1202))),MAX(0,3*N1202-(O1239-MIN(MAX(O1239,0),N1202)))))</f>
        <v>38764.663407071552</v>
      </c>
      <c r="O1240" s="18">
        <f>IF($A1240&gt;40,O1239,(O1239-N1202+N1240)*(1+$B$7))</f>
        <v>114637.24956115776</v>
      </c>
      <c r="P1240" s="18">
        <f t="shared" si="142"/>
        <v>39570.870314369684</v>
      </c>
      <c r="Q1240" s="18">
        <f>IF($A1240&gt;40,0,(Q1202-MIN(MAX(R1239,0),Q1202))+MIN(MAX(0,S1239-(Q1202-MIN(MAX(R1239,0),Q1202))),MAX(0,3*Q1202-(R1239-MIN(MAX(R1239,0),Q1202)))))</f>
        <v>38764.663740935066</v>
      </c>
      <c r="R1240" s="18">
        <f>IF($A1240&gt;40,R1239,(R1239-Q1202+Q1240)*(1+$B$7))</f>
        <v>114637.25054847954</v>
      </c>
      <c r="S1240" s="18">
        <f t="shared" si="143"/>
        <v>39570.8456935426</v>
      </c>
    </row>
    <row r="1241" spans="1:19">
      <c r="A1241" s="10">
        <f>37</f>
        <v>37</v>
      </c>
      <c r="B1241" s="18">
        <f>IF($A1241&gt;40,0,(B1202-MIN(MAX(C1240,0),B1202))+MIN(MAX(0,D1240-(B1202-MIN(MAX(C1240,0),B1202))),MAX(0,3*B1202-(C1240-MIN(MAX(C1240,0),B1202)))))</f>
        <v>30324</v>
      </c>
      <c r="C1241" s="18">
        <f>IF($A1241&gt;40,C1240,(C1240-B1202+B1241)*(1+$B$7))</f>
        <v>89676</v>
      </c>
      <c r="D1241" s="18">
        <f t="shared" si="138"/>
        <v>650656.35053816938</v>
      </c>
      <c r="E1241" s="18">
        <f>IF($A1241&gt;40,0,(E1202-MIN(MAX(F1240,0),E1202))+MIN(MAX(0,G1240-(E1202-MIN(MAX(F1240,0),E1202))),MAX(0,3*E1202-(F1240-MIN(MAX(F1240,0),E1202)))))</f>
        <v>75000</v>
      </c>
      <c r="F1241" s="18">
        <f>IF($A1241&gt;40,F1240,(F1240-E1202+E1241)*(1+$B$7))</f>
        <v>0</v>
      </c>
      <c r="G1241" s="18">
        <f t="shared" si="139"/>
        <v>-2366043.647365462</v>
      </c>
      <c r="H1241" s="18">
        <f>IF($A1241&gt;40,0,(H1202-MIN(MAX(I1240,0),H1202))+MIN(MAX(0,J1240-(H1202-MIN(MAX(I1240,0),H1202))),MAX(0,3*H1202-(I1240-MIN(MAX(I1240,0),H1202)))))</f>
        <v>0</v>
      </c>
      <c r="I1241" s="18">
        <f>IF($A1241&gt;40,I1240,(I1240-H1202+H1241)*(1+$B$7))</f>
        <v>70147.390435650712</v>
      </c>
      <c r="J1241" s="18">
        <f t="shared" si="140"/>
        <v>0</v>
      </c>
      <c r="K1241" s="18">
        <f>IF($A1241&gt;40,0,(K1202-MIN(MAX(L1240,0),K1202))+MIN(MAX(0,M1240-(K1202-MIN(MAX(L1240,0),K1202))),MAX(0,3*K1202-(L1240-MIN(MAX(L1240,0),K1202)))))</f>
        <v>38764.379965867149</v>
      </c>
      <c r="L1241" s="18">
        <f>IF($A1241&gt;40,L1240,(L1240-K1202+K1241)*(1+$B$7))</f>
        <v>114636.41135137524</v>
      </c>
      <c r="M1241" s="18">
        <f t="shared" si="141"/>
        <v>852.21455711460851</v>
      </c>
      <c r="N1241" s="18">
        <f>IF($A1241&gt;40,0,(N1202-MIN(MAX(O1240,0),N1202))+MIN(MAX(0,P1240-(N1202-MIN(MAX(O1240,0),N1202))),MAX(0,3*N1202-(O1240-MIN(MAX(O1240,0),N1202)))))</f>
        <v>38764.663407071552</v>
      </c>
      <c r="O1241" s="18">
        <f>IF($A1241&gt;40,O1240,(O1240-N1202+N1241)*(1+$B$7))</f>
        <v>114637.24956115776</v>
      </c>
      <c r="P1241" s="18">
        <f t="shared" si="142"/>
        <v>830.39311451707613</v>
      </c>
      <c r="Q1241" s="18">
        <f>IF($A1241&gt;40,0,(Q1202-MIN(MAX(R1240,0),Q1202))+MIN(MAX(0,S1240-(Q1202-MIN(MAX(R1240,0),Q1202))),MAX(0,3*Q1202-(R1240-MIN(MAX(R1240,0),Q1202)))))</f>
        <v>38764.663740935066</v>
      </c>
      <c r="R1241" s="18">
        <f>IF($A1241&gt;40,R1240,(R1240-Q1202+Q1241)*(1+$B$7))</f>
        <v>114637.25054847954</v>
      </c>
      <c r="S1241" s="18">
        <f t="shared" si="143"/>
        <v>830.36741118576026</v>
      </c>
    </row>
    <row r="1242" spans="1:19">
      <c r="A1242" s="10">
        <f>38</f>
        <v>38</v>
      </c>
      <c r="B1242" s="18">
        <f>IF($A1242&gt;40,0,(B1202-MIN(MAX(C1241,0),B1202))+MIN(MAX(0,D1241-(B1202-MIN(MAX(C1241,0),B1202))),MAX(0,3*B1202-(C1241-MIN(MAX(C1241,0),B1202)))))</f>
        <v>30324</v>
      </c>
      <c r="C1242" s="18">
        <f>IF($A1242&gt;40,C1241,(C1241-B1202+B1242)*(1+$B$7))</f>
        <v>89676</v>
      </c>
      <c r="D1242" s="18">
        <f t="shared" si="138"/>
        <v>638942.3210543145</v>
      </c>
      <c r="E1242" s="18">
        <f>IF($A1242&gt;40,0,(E1202-MIN(MAX(F1241,0),E1202))+MIN(MAX(0,G1241-(E1202-MIN(MAX(F1241,0),E1202))),MAX(0,3*E1202-(F1241-MIN(MAX(F1241,0),E1202)))))</f>
        <v>75000</v>
      </c>
      <c r="F1242" s="18">
        <f>IF($A1242&gt;40,F1241,(F1241-E1202+E1242)*(1+$B$7))</f>
        <v>0</v>
      </c>
      <c r="G1242" s="18">
        <f t="shared" si="139"/>
        <v>-2514274.9567864258</v>
      </c>
      <c r="H1242" s="18">
        <f>IF($A1242&gt;40,0,(H1202-MIN(MAX(I1241,0),H1202))+MIN(MAX(0,J1241-(H1202-MIN(MAX(I1241,0),H1202))),MAX(0,3*H1202-(I1241-MIN(MAX(I1241,0),H1202)))))</f>
        <v>0</v>
      </c>
      <c r="I1242" s="18">
        <f>IF($A1242&gt;40,I1241,(I1241-H1202+H1242)*(1+$B$7))</f>
        <v>31054.855453068914</v>
      </c>
      <c r="J1242" s="18">
        <f t="shared" si="140"/>
        <v>0</v>
      </c>
      <c r="K1242" s="18">
        <f>IF($A1242&gt;40,0,(K1202-MIN(MAX(L1241,0),K1202))+MIN(MAX(0,M1241-(K1202-MIN(MAX(L1241,0),K1202))),MAX(0,3*K1202-(L1241-MIN(MAX(L1241,0),K1202)))))</f>
        <v>852.21455711460851</v>
      </c>
      <c r="L1242" s="18">
        <f>IF($A1242&gt;40,L1241,(L1241-K1202+K1242)*(1+$B$7))</f>
        <v>76860.729738094204</v>
      </c>
      <c r="M1242" s="18">
        <f t="shared" si="141"/>
        <v>0</v>
      </c>
      <c r="N1242" s="18">
        <f>IF($A1242&gt;40,0,(N1202-MIN(MAX(O1241,0),N1202))+MIN(MAX(0,P1241-(N1202-MIN(MAX(O1241,0),N1202))),MAX(0,3*N1202-(O1241-MIN(MAX(O1241,0),N1202)))))</f>
        <v>830.39311451707613</v>
      </c>
      <c r="O1242" s="18">
        <f>IF($A1242&gt;40,O1241,(O1241-N1202+N1242)*(1+$B$7))</f>
        <v>76839.542641656488</v>
      </c>
      <c r="P1242" s="18">
        <f t="shared" si="142"/>
        <v>0</v>
      </c>
      <c r="Q1242" s="18">
        <f>IF($A1242&gt;40,0,(Q1202-MIN(MAX(R1241,0),Q1202))+MIN(MAX(0,S1241-(Q1202-MIN(MAX(R1241,0),Q1202))),MAX(0,3*Q1202-(R1241-MIN(MAX(R1241,0),Q1202)))))</f>
        <v>830.36741118576026</v>
      </c>
      <c r="R1242" s="18">
        <f>IF($A1242&gt;40,R1241,(R1241-Q1202+Q1242)*(1+$B$7))</f>
        <v>76839.517685517319</v>
      </c>
      <c r="S1242" s="18">
        <f t="shared" si="143"/>
        <v>0</v>
      </c>
    </row>
    <row r="1243" spans="1:19">
      <c r="A1243" s="10">
        <f>39</f>
        <v>39</v>
      </c>
      <c r="B1243" s="18">
        <f>IF($A1243&gt;40,0,(B1202-MIN(MAX(C1242,0),B1202))+MIN(MAX(0,D1242-(B1202-MIN(MAX(C1242,0),B1202))),MAX(0,3*B1202-(C1242-MIN(MAX(C1242,0),B1202)))))</f>
        <v>30324</v>
      </c>
      <c r="C1243" s="18">
        <f>IF($A1243&gt;40,C1242,(C1242-B1202+B1243)*(1+$B$7))</f>
        <v>89676</v>
      </c>
      <c r="D1243" s="18">
        <f t="shared" si="138"/>
        <v>626876.87068594398</v>
      </c>
      <c r="E1243" s="18">
        <f>IF($A1243&gt;40,0,(E1202-MIN(MAX(F1242,0),E1202))+MIN(MAX(0,G1242-(E1202-MIN(MAX(F1242,0),E1202))),MAX(0,3*E1202-(F1242-MIN(MAX(F1242,0),E1202)))))</f>
        <v>75000</v>
      </c>
      <c r="F1243" s="18">
        <f>IF($A1243&gt;40,F1242,(F1242-E1202+E1243)*(1+$B$7))</f>
        <v>0</v>
      </c>
      <c r="G1243" s="18">
        <f t="shared" si="139"/>
        <v>-2666953.2054900187</v>
      </c>
      <c r="H1243" s="18">
        <f>IF($A1243&gt;40,0,(H1202-MIN(MAX(I1242,0),H1202))+MIN(MAX(0,J1242-(H1202-MIN(MAX(I1242,0),H1202))),MAX(0,3*H1202-(I1242-MIN(MAX(I1242,0),H1202)))))</f>
        <v>7925.4781248249565</v>
      </c>
      <c r="I1243" s="18">
        <f>IF($A1243&gt;40,I1242,(I1242-H1202+H1243)*(1+$B$7))</f>
        <v>0</v>
      </c>
      <c r="J1243" s="18">
        <f t="shared" si="140"/>
        <v>-8163.2424685697051</v>
      </c>
      <c r="K1243" s="18">
        <f>IF($A1243&gt;40,0,(K1202-MIN(MAX(L1242,0),K1202))+MIN(MAX(0,M1242-(K1202-MIN(MAX(L1242,0),K1202))),MAX(0,3*K1202-(L1242-MIN(MAX(L1242,0),K1202)))))</f>
        <v>0</v>
      </c>
      <c r="L1243" s="18">
        <f>IF($A1243&gt;40,L1242,(L1242-K1202+K1243)*(1+$B$7))</f>
        <v>38371.893993911981</v>
      </c>
      <c r="M1243" s="18">
        <f t="shared" si="141"/>
        <v>0</v>
      </c>
      <c r="N1243" s="18">
        <f>IF($A1243&gt;40,0,(N1202-MIN(MAX(O1242,0),N1202))+MIN(MAX(0,P1242-(N1202-MIN(MAX(O1242,0),N1202))),MAX(0,3*N1202-(O1242-MIN(MAX(O1242,0),N1202)))))</f>
        <v>0</v>
      </c>
      <c r="O1243" s="18">
        <f>IF($A1243&gt;40,O1242,(O1242-N1202+N1243)*(1+$B$7))</f>
        <v>38350.503767760601</v>
      </c>
      <c r="P1243" s="18">
        <f t="shared" si="142"/>
        <v>0</v>
      </c>
      <c r="Q1243" s="18">
        <f>IF($A1243&gt;40,0,(Q1202-MIN(MAX(R1242,0),Q1202))+MIN(MAX(0,S1242-(Q1202-MIN(MAX(R1242,0),Q1202))),MAX(0,3*Q1202-(R1242-MIN(MAX(R1242,0),Q1202)))))</f>
        <v>0</v>
      </c>
      <c r="R1243" s="18">
        <f>IF($A1243&gt;40,R1242,(R1242-Q1202+Q1243)*(1+$B$7))</f>
        <v>38350.478572356275</v>
      </c>
      <c r="S1243" s="18">
        <f t="shared" si="143"/>
        <v>0</v>
      </c>
    </row>
    <row r="1244" spans="1:19">
      <c r="A1244" s="10">
        <f>40</f>
        <v>40</v>
      </c>
      <c r="B1244" s="18">
        <f>IF($A1244&gt;40,0,(B1202-MIN(MAX(C1243,0),B1202))+MIN(MAX(0,D1243-(B1202-MIN(MAX(C1243,0),B1202))),MAX(0,3*B1202-(C1243-MIN(MAX(C1243,0),B1202)))))</f>
        <v>30324</v>
      </c>
      <c r="C1244" s="18">
        <f>IF($A1244&gt;40,C1243,(C1243-B1202+B1244)*(1+$B$7))</f>
        <v>89676</v>
      </c>
      <c r="D1244" s="18">
        <f t="shared" si="138"/>
        <v>614449.45680652233</v>
      </c>
      <c r="E1244" s="18">
        <f>IF($A1244&gt;40,0,(E1202-MIN(MAX(F1243,0),E1202))+MIN(MAX(0,G1243-(E1202-MIN(MAX(F1243,0),E1202))),MAX(0,3*E1202-(F1243-MIN(MAX(F1243,0),E1202)))))</f>
        <v>75000</v>
      </c>
      <c r="F1244" s="18">
        <f>IF($A1244&gt;40,F1243,(F1243-E1202+E1244)*(1+$B$7))</f>
        <v>0</v>
      </c>
      <c r="G1244" s="18">
        <f t="shared" si="139"/>
        <v>-2824211.8016547193</v>
      </c>
      <c r="H1244" s="18">
        <f>IF($A1244&gt;40,0,(H1202-MIN(MAX(I1243,0),H1202))+MIN(MAX(0,J1243-(H1202-MIN(MAX(I1243,0),H1202))),MAX(0,3*H1202-(I1243-MIN(MAX(I1243,0),H1202)))))</f>
        <v>38980.333577893871</v>
      </c>
      <c r="I1244" s="18">
        <f>IF($A1244&gt;40,I1243,(I1243-H1202+H1244)*(1+$B$7))</f>
        <v>0</v>
      </c>
      <c r="J1244" s="18">
        <f t="shared" si="140"/>
        <v>-48557.883327857482</v>
      </c>
      <c r="K1244" s="18">
        <f>IF($A1244&gt;40,0,(K1202-MIN(MAX(L1243,0),K1202))+MIN(MAX(0,M1243-(K1202-MIN(MAX(L1243,0),K1202))),MAX(0,3*K1202-(L1243-MIN(MAX(L1243,0),K1202)))))</f>
        <v>0</v>
      </c>
      <c r="L1244" s="18">
        <f>IF($A1244&gt;40,L1243,(L1243-K1202+K1244)*(1+$B$7))</f>
        <v>21.618058408815617</v>
      </c>
      <c r="M1244" s="18">
        <f t="shared" si="141"/>
        <v>0</v>
      </c>
      <c r="N1244" s="18">
        <f>IF($A1244&gt;40,0,(N1202-MIN(MAX(O1243,0),N1202))+MIN(MAX(0,P1243-(N1202-MIN(MAX(O1243,0),N1202))),MAX(0,3*N1202-(O1243-MIN(MAX(O1243,0),N1202)))))</f>
        <v>0</v>
      </c>
      <c r="O1244" s="18">
        <f>IF($A1244&gt;40,O1243,(O1243-N1202+N1244)*(1+$B$7))</f>
        <v>2.543381074500212E-2</v>
      </c>
      <c r="P1244" s="18">
        <f t="shared" si="142"/>
        <v>0</v>
      </c>
      <c r="Q1244" s="18">
        <f>IF($A1244&gt;40,0,(Q1202-MIN(MAX(R1243,0),Q1202))+MIN(MAX(0,S1243-(Q1202-MIN(MAX(R1243,0),Q1202))),MAX(0,3*Q1202-(R1243-MIN(MAX(R1243,0),Q1202)))))</f>
        <v>0</v>
      </c>
      <c r="R1244" s="18">
        <f>IF($A1244&gt;40,R1243,(R1243-Q1202+Q1244)*(1+$B$7))</f>
        <v>2.6099151000380517E-9</v>
      </c>
      <c r="S1244" s="18">
        <f t="shared" si="143"/>
        <v>0</v>
      </c>
    </row>
    <row r="1245" spans="1:19">
      <c r="B1245" s="18">
        <f>C1244+D1244</f>
        <v>704125.45680652233</v>
      </c>
      <c r="E1245" s="18">
        <f>F1244+G1244</f>
        <v>-2824211.8016547193</v>
      </c>
      <c r="H1245" s="18">
        <f>I1244+J1244</f>
        <v>-48557.883327857482</v>
      </c>
      <c r="K1245" s="18">
        <f>L1244+M1244</f>
        <v>21.618058408815617</v>
      </c>
      <c r="N1245" s="18">
        <f>O1244+P1244</f>
        <v>2.543381074500212E-2</v>
      </c>
      <c r="Q1245" s="18">
        <f>R1244+S1244</f>
        <v>2.6099151000380517E-9</v>
      </c>
    </row>
    <row r="1246" spans="1:19">
      <c r="A1246" s="5" t="s">
        <v>266</v>
      </c>
      <c r="B1246" s="18">
        <f>IFERROR(Q1202-Q1245*(Q1202-N1202)/(Q1245-N1245),Q1202)</f>
        <v>38350.478572353692</v>
      </c>
    </row>
    <row r="1248" spans="1:19">
      <c r="A1248" s="2" t="s">
        <v>290</v>
      </c>
    </row>
    <row r="1249" spans="1:19">
      <c r="B1249" s="9">
        <f>0.03*$B$5</f>
        <v>30000</v>
      </c>
      <c r="E1249" s="9">
        <f>0.075*$B$5</f>
        <v>75000</v>
      </c>
      <c r="H1249" s="18">
        <f>IFERROR(E1249-E1292*(E1249-B1249)/(E1292-B1292),E1249)</f>
        <v>37098.357009416301</v>
      </c>
      <c r="K1249" s="18">
        <f>IFERROR(H1249-H1292*(H1249-E1249)/(H1292-E1292),H1249)</f>
        <v>36321.624562327626</v>
      </c>
      <c r="N1249" s="18">
        <f>IFERROR(K1249-K1292*(K1249-H1249)/(K1292-H1292),K1249)</f>
        <v>36322.039231422656</v>
      </c>
      <c r="Q1249" s="18">
        <f>IFERROR(N1249-N1292*(N1249-K1249)/(N1292-K1292),N1249)</f>
        <v>36322.040181021985</v>
      </c>
    </row>
    <row r="1250" spans="1:19">
      <c r="A1250" s="25" t="s">
        <v>262</v>
      </c>
      <c r="B1250" s="25" t="s">
        <v>263</v>
      </c>
      <c r="C1250" s="25" t="s">
        <v>264</v>
      </c>
      <c r="D1250" s="25" t="s">
        <v>265</v>
      </c>
      <c r="E1250" s="25" t="s">
        <v>263</v>
      </c>
      <c r="F1250" s="25" t="s">
        <v>264</v>
      </c>
      <c r="G1250" s="25" t="s">
        <v>265</v>
      </c>
      <c r="H1250" s="25" t="s">
        <v>263</v>
      </c>
      <c r="I1250" s="25" t="s">
        <v>264</v>
      </c>
      <c r="J1250" s="25" t="s">
        <v>265</v>
      </c>
      <c r="K1250" s="25" t="s">
        <v>263</v>
      </c>
      <c r="L1250" s="25" t="s">
        <v>264</v>
      </c>
      <c r="M1250" s="25" t="s">
        <v>265</v>
      </c>
      <c r="N1250" s="25" t="s">
        <v>263</v>
      </c>
      <c r="O1250" s="25" t="s">
        <v>264</v>
      </c>
      <c r="P1250" s="25" t="s">
        <v>265</v>
      </c>
      <c r="Q1250" s="25" t="s">
        <v>263</v>
      </c>
      <c r="R1250" s="25" t="s">
        <v>264</v>
      </c>
      <c r="S1250" s="25" t="s">
        <v>265</v>
      </c>
    </row>
    <row r="1251" spans="1:19">
      <c r="A1251" s="3">
        <v>0</v>
      </c>
      <c r="C1251" s="18">
        <f>MIN(5*B1249,$B$5)</f>
        <v>150000</v>
      </c>
      <c r="D1251" s="18">
        <f>$B$5-C1251</f>
        <v>850000</v>
      </c>
      <c r="F1251" s="18">
        <f>MIN(5*E1249,$B$5)</f>
        <v>375000</v>
      </c>
      <c r="G1251" s="18">
        <f>$B$5-F1251</f>
        <v>625000</v>
      </c>
      <c r="I1251" s="18">
        <f>MIN(5*H1249,$B$5)</f>
        <v>185491.7850470815</v>
      </c>
      <c r="J1251" s="18">
        <f>$B$5-I1251</f>
        <v>814508.21495291847</v>
      </c>
      <c r="L1251" s="18">
        <f>MIN(5*K1249,$B$5)</f>
        <v>181608.12281163814</v>
      </c>
      <c r="M1251" s="18">
        <f>$B$5-L1251</f>
        <v>818391.87718836183</v>
      </c>
      <c r="O1251" s="18">
        <f>MIN(5*N1249,$B$5)</f>
        <v>181610.19615711327</v>
      </c>
      <c r="P1251" s="18">
        <f>$B$5-O1251</f>
        <v>818389.8038428867</v>
      </c>
      <c r="R1251" s="18">
        <f>MIN(5*Q1249,$B$5)</f>
        <v>181610.20090510993</v>
      </c>
      <c r="S1251" s="18">
        <f>$B$5-R1251</f>
        <v>818389.79909489001</v>
      </c>
    </row>
    <row r="1252" spans="1:19">
      <c r="A1252" s="10">
        <f>1</f>
        <v>1</v>
      </c>
      <c r="B1252" s="18">
        <f>IF($A1252&gt;40,0,(B1249-MIN(MAX(C1251,0),B1249))+MIN(MAX(0,D1251-(B1249-MIN(MAX(C1251,0),B1249))),MAX(0,5*B1249-(C1251-MIN(MAX(C1251,0),B1249)))))</f>
        <v>30000</v>
      </c>
      <c r="C1252" s="18">
        <f>IF($A1252&gt;40,C1251,(C1251-B1249+B1252)*(1+$B$7))</f>
        <v>149460</v>
      </c>
      <c r="D1252" s="18">
        <f t="shared" ref="D1252:D1291" si="144">IF($A1252&gt;40,D1251,(D1251-B1252)*(1+$B$6))</f>
        <v>844600</v>
      </c>
      <c r="E1252" s="18">
        <f>IF($A1252&gt;40,0,(E1249-MIN(MAX(F1251,0),E1249))+MIN(MAX(0,G1251-(E1249-MIN(MAX(F1251,0),E1249))),MAX(0,5*E1249-(F1251-MIN(MAX(F1251,0),E1249)))))</f>
        <v>75000</v>
      </c>
      <c r="F1252" s="18">
        <f>IF($A1252&gt;40,F1251,(F1251-E1249+E1252)*(1+$B$7))</f>
        <v>373650</v>
      </c>
      <c r="G1252" s="18">
        <f t="shared" ref="G1252:G1291" si="145">IF($A1252&gt;40,G1251,(G1251-E1252)*(1+$B$6))</f>
        <v>566500</v>
      </c>
      <c r="H1252" s="18">
        <f>IF($A1252&gt;40,0,(H1249-MIN(MAX(I1251,0),H1249))+MIN(MAX(0,J1251-(H1249-MIN(MAX(I1251,0),H1249))),MAX(0,5*H1249-(I1251-MIN(MAX(I1251,0),H1249)))))</f>
        <v>37098.357009416301</v>
      </c>
      <c r="I1252" s="18">
        <f>IF($A1252&gt;40,I1251,(I1251-H1249+H1252)*(1+$B$7))</f>
        <v>184824.014620912</v>
      </c>
      <c r="J1252" s="18">
        <f t="shared" ref="J1252:J1291" si="146">IF($A1252&gt;40,J1251,(J1251-H1252)*(1+$B$6))</f>
        <v>800732.15368180722</v>
      </c>
      <c r="K1252" s="18">
        <f>IF($A1252&gt;40,0,(K1249-MIN(MAX(L1251,0),K1249))+MIN(MAX(0,M1251-(K1249-MIN(MAX(L1251,0),K1249))),MAX(0,5*K1249-(L1251-MIN(MAX(L1251,0),K1249)))))</f>
        <v>36321.624562327634</v>
      </c>
      <c r="L1252" s="18">
        <f>IF($A1252&gt;40,L1251,(L1251-K1249+K1252)*(1+$B$7))</f>
        <v>180954.33356951622</v>
      </c>
      <c r="M1252" s="18">
        <f t="shared" ref="M1252:M1291" si="147">IF($A1252&gt;40,M1251,(M1251-K1252)*(1+$B$6))</f>
        <v>805532.36020481528</v>
      </c>
      <c r="N1252" s="18">
        <f>IF($A1252&gt;40,0,(N1249-MIN(MAX(O1251,0),N1249))+MIN(MAX(0,P1251-(N1249-MIN(MAX(O1251,0),N1249))),MAX(0,5*N1249-(O1251-MIN(MAX(O1251,0),N1249)))))</f>
        <v>36322.039231422648</v>
      </c>
      <c r="O1252" s="18">
        <f>IF($A1252&gt;40,O1251,(O1251-N1249+N1252)*(1+$B$7))</f>
        <v>180956.39945094765</v>
      </c>
      <c r="P1252" s="18">
        <f t="shared" ref="P1252:P1291" si="148">IF($A1252&gt;40,P1251,(P1251-N1252)*(1+$B$6))</f>
        <v>805529.79754980793</v>
      </c>
      <c r="Q1252" s="18">
        <f>IF($A1252&gt;40,0,(Q1249-MIN(MAX(R1251,0),Q1249))+MIN(MAX(0,S1251-(Q1249-MIN(MAX(R1251,0),Q1249))),MAX(0,5*Q1249-(R1251-MIN(MAX(R1251,0),Q1249)))))</f>
        <v>36322.040181021992</v>
      </c>
      <c r="R1252" s="18">
        <f>IF($A1252&gt;40,R1251,(R1251-Q1249+Q1252)*(1+$B$7))</f>
        <v>180956.40418185154</v>
      </c>
      <c r="S1252" s="18">
        <f t="shared" ref="S1252:S1291" si="149">IF($A1252&gt;40,S1251,(S1251-Q1252)*(1+$B$6))</f>
        <v>805529.79168128408</v>
      </c>
    </row>
    <row r="1253" spans="1:19">
      <c r="A1253" s="10">
        <f>2</f>
        <v>2</v>
      </c>
      <c r="B1253" s="18">
        <f>IF($A1253&gt;40,0,(B1249-MIN(MAX(C1252,0),B1249))+MIN(MAX(0,D1252-(B1249-MIN(MAX(C1252,0),B1249))),MAX(0,5*B1249-(C1252-MIN(MAX(C1252,0),B1249)))))</f>
        <v>30540</v>
      </c>
      <c r="C1253" s="18">
        <f>IF($A1253&gt;40,C1252,(C1252-B1249+B1253)*(1+$B$7))</f>
        <v>149460</v>
      </c>
      <c r="D1253" s="18">
        <f t="shared" si="144"/>
        <v>838481.8</v>
      </c>
      <c r="E1253" s="18">
        <f>IF($A1253&gt;40,0,(E1249-MIN(MAX(F1252,0),E1249))+MIN(MAX(0,G1252-(E1249-MIN(MAX(F1252,0),E1249))),MAX(0,5*E1249-(F1252-MIN(MAX(F1252,0),E1249)))))</f>
        <v>76350</v>
      </c>
      <c r="F1253" s="18">
        <f>IF($A1253&gt;40,F1252,(F1252-E1249+E1253)*(1+$B$7))</f>
        <v>373650</v>
      </c>
      <c r="G1253" s="18">
        <f t="shared" si="145"/>
        <v>504854.5</v>
      </c>
      <c r="H1253" s="18">
        <f>IF($A1253&gt;40,0,(H1249-MIN(MAX(I1252,0),H1249))+MIN(MAX(0,J1252-(H1249-MIN(MAX(I1252,0),H1249))),MAX(0,5*H1249-(I1252-MIN(MAX(I1252,0),H1249)))))</f>
        <v>37766.127435585804</v>
      </c>
      <c r="I1253" s="18">
        <f>IF($A1253&gt;40,I1252,(I1252-H1249+H1253)*(1+$B$7))</f>
        <v>184824.014620912</v>
      </c>
      <c r="J1253" s="18">
        <f t="shared" si="146"/>
        <v>785855.00703360804</v>
      </c>
      <c r="K1253" s="18">
        <f>IF($A1253&gt;40,0,(K1249-MIN(MAX(L1252,0),K1249))+MIN(MAX(0,M1252-(K1249-MIN(MAX(L1252,0),K1249))),MAX(0,5*K1249-(L1252-MIN(MAX(L1252,0),K1249)))))</f>
        <v>36975.413804449548</v>
      </c>
      <c r="L1253" s="18">
        <f>IF($A1253&gt;40,L1252,(L1252-K1249+K1253)*(1+$B$7))</f>
        <v>180954.33356951622</v>
      </c>
      <c r="M1253" s="18">
        <f t="shared" si="147"/>
        <v>791613.65479237679</v>
      </c>
      <c r="N1253" s="18">
        <f>IF($A1253&gt;40,0,(N1249-MIN(MAX(O1252,0),N1249))+MIN(MAX(0,P1252-(N1249-MIN(MAX(O1252,0),N1249))),MAX(0,5*N1249-(O1252-MIN(MAX(O1252,0),N1249)))))</f>
        <v>36975.835937588272</v>
      </c>
      <c r="O1253" s="18">
        <f>IF($A1253&gt;40,O1252,(O1252-N1249+N1253)*(1+$B$7))</f>
        <v>180956.39945094765</v>
      </c>
      <c r="P1253" s="18">
        <f t="shared" si="148"/>
        <v>791610.58046058635</v>
      </c>
      <c r="Q1253" s="18">
        <f>IF($A1253&gt;40,0,(Q1249-MIN(MAX(R1252,0),Q1249))+MIN(MAX(0,S1252-(Q1249-MIN(MAX(R1252,0),Q1249))),MAX(0,5*Q1249-(R1252-MIN(MAX(R1252,0),Q1249)))))</f>
        <v>36975.836904280382</v>
      </c>
      <c r="R1253" s="18">
        <f>IF($A1253&gt;40,R1252,(R1252-Q1249+Q1253)*(1+$B$7))</f>
        <v>180956.40418185154</v>
      </c>
      <c r="S1253" s="18">
        <f t="shared" si="149"/>
        <v>791610.57342031389</v>
      </c>
    </row>
    <row r="1254" spans="1:19">
      <c r="A1254" s="10">
        <f>3</f>
        <v>3</v>
      </c>
      <c r="B1254" s="18">
        <f>IF($A1254&gt;40,0,(B1249-MIN(MAX(C1253,0),B1249))+MIN(MAX(0,D1253-(B1249-MIN(MAX(C1253,0),B1249))),MAX(0,5*B1249-(C1253-MIN(MAX(C1253,0),B1249)))))</f>
        <v>30540</v>
      </c>
      <c r="C1254" s="18">
        <f>IF($A1254&gt;40,C1253,(C1253-B1249+B1254)*(1+$B$7))</f>
        <v>149460</v>
      </c>
      <c r="D1254" s="18">
        <f t="shared" si="144"/>
        <v>832180.05400000012</v>
      </c>
      <c r="E1254" s="18">
        <f>IF($A1254&gt;40,0,(E1249-MIN(MAX(F1253,0),E1249))+MIN(MAX(0,G1253-(E1249-MIN(MAX(F1253,0),E1249))),MAX(0,5*E1249-(F1253-MIN(MAX(F1253,0),E1249)))))</f>
        <v>76350</v>
      </c>
      <c r="F1254" s="18">
        <f>IF($A1254&gt;40,F1253,(F1253-E1249+E1254)*(1+$B$7))</f>
        <v>373650</v>
      </c>
      <c r="G1254" s="18">
        <f t="shared" si="145"/>
        <v>441359.63500000001</v>
      </c>
      <c r="H1254" s="18">
        <f>IF($A1254&gt;40,0,(H1249-MIN(MAX(I1253,0),H1249))+MIN(MAX(0,J1253-(H1249-MIN(MAX(I1253,0),H1249))),MAX(0,5*H1249-(I1253-MIN(MAX(I1253,0),H1249)))))</f>
        <v>37766.127435585804</v>
      </c>
      <c r="I1254" s="18">
        <f>IF($A1254&gt;40,I1253,(I1253-H1249+H1254)*(1+$B$7))</f>
        <v>184824.014620912</v>
      </c>
      <c r="J1254" s="18">
        <f t="shared" si="146"/>
        <v>770531.54598596285</v>
      </c>
      <c r="K1254" s="18">
        <f>IF($A1254&gt;40,0,(K1249-MIN(MAX(L1253,0),K1249))+MIN(MAX(0,M1253-(K1249-MIN(MAX(L1253,0),K1249))),MAX(0,5*K1249-(L1253-MIN(MAX(L1253,0),K1249)))))</f>
        <v>36975.413804449548</v>
      </c>
      <c r="L1254" s="18">
        <f>IF($A1254&gt;40,L1253,(L1253-K1249+K1254)*(1+$B$7))</f>
        <v>180954.33356951622</v>
      </c>
      <c r="M1254" s="18">
        <f t="shared" si="147"/>
        <v>777277.38821756502</v>
      </c>
      <c r="N1254" s="18">
        <f>IF($A1254&gt;40,0,(N1249-MIN(MAX(O1253,0),N1249))+MIN(MAX(0,P1253-(N1249-MIN(MAX(O1253,0),N1249))),MAX(0,5*N1249-(O1253-MIN(MAX(O1253,0),N1249)))))</f>
        <v>36975.835937588272</v>
      </c>
      <c r="O1254" s="18">
        <f>IF($A1254&gt;40,O1253,(O1253-N1249+N1254)*(1+$B$7))</f>
        <v>180956.39945094765</v>
      </c>
      <c r="P1254" s="18">
        <f t="shared" si="148"/>
        <v>777273.78685868811</v>
      </c>
      <c r="Q1254" s="18">
        <f>IF($A1254&gt;40,0,(Q1249-MIN(MAX(R1253,0),Q1249))+MIN(MAX(0,S1253-(Q1249-MIN(MAX(R1253,0),Q1249))),MAX(0,5*Q1249-(R1253-MIN(MAX(R1253,0),Q1249)))))</f>
        <v>36975.836904280382</v>
      </c>
      <c r="R1254" s="18">
        <f>IF($A1254&gt;40,R1253,(R1253-Q1249+Q1254)*(1+$B$7))</f>
        <v>180956.40418185154</v>
      </c>
      <c r="S1254" s="18">
        <f t="shared" si="149"/>
        <v>777273.7786115146</v>
      </c>
    </row>
    <row r="1255" spans="1:19">
      <c r="A1255" s="10">
        <f>4</f>
        <v>4</v>
      </c>
      <c r="B1255" s="18">
        <f>IF($A1255&gt;40,0,(B1249-MIN(MAX(C1254,0),B1249))+MIN(MAX(0,D1254-(B1249-MIN(MAX(C1254,0),B1249))),MAX(0,5*B1249-(C1254-MIN(MAX(C1254,0),B1249)))))</f>
        <v>30540</v>
      </c>
      <c r="C1255" s="18">
        <f>IF($A1255&gt;40,C1254,(C1254-B1249+B1255)*(1+$B$7))</f>
        <v>149460</v>
      </c>
      <c r="D1255" s="18">
        <f t="shared" si="144"/>
        <v>825689.25562000019</v>
      </c>
      <c r="E1255" s="18">
        <f>IF($A1255&gt;40,0,(E1249-MIN(MAX(F1254,0),E1249))+MIN(MAX(0,G1254-(E1249-MIN(MAX(F1254,0),E1249))),MAX(0,5*E1249-(F1254-MIN(MAX(F1254,0),E1249)))))</f>
        <v>76350</v>
      </c>
      <c r="F1255" s="18">
        <f>IF($A1255&gt;40,F1254,(F1254-E1249+E1255)*(1+$B$7))</f>
        <v>373650</v>
      </c>
      <c r="G1255" s="18">
        <f t="shared" si="145"/>
        <v>375959.92405000003</v>
      </c>
      <c r="H1255" s="18">
        <f>IF($A1255&gt;40,0,(H1249-MIN(MAX(I1254,0),H1249))+MIN(MAX(0,J1254-(H1249-MIN(MAX(I1254,0),H1249))),MAX(0,5*H1249-(I1254-MIN(MAX(I1254,0),H1249)))))</f>
        <v>37766.127435585804</v>
      </c>
      <c r="I1255" s="18">
        <f>IF($A1255&gt;40,I1254,(I1254-H1249+H1255)*(1+$B$7))</f>
        <v>184824.014620912</v>
      </c>
      <c r="J1255" s="18">
        <f t="shared" si="146"/>
        <v>754748.38110688829</v>
      </c>
      <c r="K1255" s="18">
        <f>IF($A1255&gt;40,0,(K1249-MIN(MAX(L1254,0),K1249))+MIN(MAX(0,M1254-(K1249-MIN(MAX(L1254,0),K1249))),MAX(0,5*K1249-(L1254-MIN(MAX(L1254,0),K1249)))))</f>
        <v>36975.413804449548</v>
      </c>
      <c r="L1255" s="18">
        <f>IF($A1255&gt;40,L1254,(L1254-K1249+K1255)*(1+$B$7))</f>
        <v>180954.33356951622</v>
      </c>
      <c r="M1255" s="18">
        <f t="shared" si="147"/>
        <v>762511.03364550904</v>
      </c>
      <c r="N1255" s="18">
        <f>IF($A1255&gt;40,0,(N1249-MIN(MAX(O1254,0),N1249))+MIN(MAX(0,P1254-(N1249-MIN(MAX(O1254,0),N1249))),MAX(0,5*N1249-(O1254-MIN(MAX(O1254,0),N1249)))))</f>
        <v>36975.835937588272</v>
      </c>
      <c r="O1255" s="18">
        <f>IF($A1255&gt;40,O1254,(O1254-N1249+N1255)*(1+$B$7))</f>
        <v>180956.39945094765</v>
      </c>
      <c r="P1255" s="18">
        <f t="shared" si="148"/>
        <v>762506.88944873284</v>
      </c>
      <c r="Q1255" s="18">
        <f>IF($A1255&gt;40,0,(Q1249-MIN(MAX(R1254,0),Q1249))+MIN(MAX(0,S1254-(Q1249-MIN(MAX(R1254,0),Q1249))),MAX(0,5*Q1249-(R1254-MIN(MAX(R1254,0),Q1249)))))</f>
        <v>36975.836904280382</v>
      </c>
      <c r="R1255" s="18">
        <f>IF($A1255&gt;40,R1254,(R1254-Q1249+Q1255)*(1+$B$7))</f>
        <v>180956.40418185154</v>
      </c>
      <c r="S1255" s="18">
        <f t="shared" si="149"/>
        <v>762506.87995845126</v>
      </c>
    </row>
    <row r="1256" spans="1:19">
      <c r="A1256" s="10">
        <f>5</f>
        <v>5</v>
      </c>
      <c r="B1256" s="18">
        <f>IF($A1256&gt;40,0,(B1249-MIN(MAX(C1255,0),B1249))+MIN(MAX(0,D1255-(B1249-MIN(MAX(C1255,0),B1249))),MAX(0,5*B1249-(C1255-MIN(MAX(C1255,0),B1249)))))</f>
        <v>30540</v>
      </c>
      <c r="C1256" s="18">
        <f>IF($A1256&gt;40,C1255,(C1255-B1249+B1256)*(1+$B$7))</f>
        <v>149460</v>
      </c>
      <c r="D1256" s="18">
        <f t="shared" si="144"/>
        <v>819003.73328860023</v>
      </c>
      <c r="E1256" s="18">
        <f>IF($A1256&gt;40,0,(E1249-MIN(MAX(F1255,0),E1249))+MIN(MAX(0,G1255-(E1249-MIN(MAX(F1255,0),E1249))),MAX(0,5*E1249-(F1255-MIN(MAX(F1255,0),E1249)))))</f>
        <v>76350</v>
      </c>
      <c r="F1256" s="18">
        <f>IF($A1256&gt;40,F1255,(F1255-E1249+E1256)*(1+$B$7))</f>
        <v>373650</v>
      </c>
      <c r="G1256" s="18">
        <f t="shared" si="145"/>
        <v>308598.22177150002</v>
      </c>
      <c r="H1256" s="18">
        <f>IF($A1256&gt;40,0,(H1249-MIN(MAX(I1255,0),H1249))+MIN(MAX(0,J1255-(H1249-MIN(MAX(I1255,0),H1249))),MAX(0,5*H1249-(I1255-MIN(MAX(I1255,0),H1249)))))</f>
        <v>37766.127435585804</v>
      </c>
      <c r="I1256" s="18">
        <f>IF($A1256&gt;40,I1255,(I1255-H1249+H1256)*(1+$B$7))</f>
        <v>184824.014620912</v>
      </c>
      <c r="J1256" s="18">
        <f t="shared" si="146"/>
        <v>738491.72128144151</v>
      </c>
      <c r="K1256" s="18">
        <f>IF($A1256&gt;40,0,(K1249-MIN(MAX(L1255,0),K1249))+MIN(MAX(0,M1255-(K1249-MIN(MAX(L1255,0),K1249))),MAX(0,5*K1249-(L1255-MIN(MAX(L1255,0),K1249)))))</f>
        <v>36975.413804449548</v>
      </c>
      <c r="L1256" s="18">
        <f>IF($A1256&gt;40,L1255,(L1255-K1249+K1256)*(1+$B$7))</f>
        <v>180954.33356951622</v>
      </c>
      <c r="M1256" s="18">
        <f t="shared" si="147"/>
        <v>747301.6884362913</v>
      </c>
      <c r="N1256" s="18">
        <f>IF($A1256&gt;40,0,(N1249-MIN(MAX(O1255,0),N1249))+MIN(MAX(0,P1255-(N1249-MIN(MAX(O1255,0),N1249))),MAX(0,5*N1249-(O1255-MIN(MAX(O1255,0),N1249)))))</f>
        <v>36975.835937588272</v>
      </c>
      <c r="O1256" s="18">
        <f>IF($A1256&gt;40,O1255,(O1255-N1249+N1256)*(1+$B$7))</f>
        <v>180956.39945094765</v>
      </c>
      <c r="P1256" s="18">
        <f t="shared" si="148"/>
        <v>747296.98511647899</v>
      </c>
      <c r="Q1256" s="18">
        <f>IF($A1256&gt;40,0,(Q1249-MIN(MAX(R1255,0),Q1249))+MIN(MAX(0,S1255-(Q1249-MIN(MAX(R1255,0),Q1249))),MAX(0,5*Q1249-(R1255-MIN(MAX(R1255,0),Q1249)))))</f>
        <v>36975.836904280382</v>
      </c>
      <c r="R1256" s="18">
        <f>IF($A1256&gt;40,R1255,(R1255-Q1249+Q1256)*(1+$B$7))</f>
        <v>180956.40418185154</v>
      </c>
      <c r="S1256" s="18">
        <f t="shared" si="149"/>
        <v>747296.97434579604</v>
      </c>
    </row>
    <row r="1257" spans="1:19">
      <c r="A1257" s="10">
        <f>6</f>
        <v>6</v>
      </c>
      <c r="B1257" s="18">
        <f>IF($A1257&gt;40,0,(B1249-MIN(MAX(C1256,0),B1249))+MIN(MAX(0,D1256-(B1249-MIN(MAX(C1256,0),B1249))),MAX(0,5*B1249-(C1256-MIN(MAX(C1256,0),B1249)))))</f>
        <v>30540</v>
      </c>
      <c r="C1257" s="18">
        <f>IF($A1257&gt;40,C1256,(C1256-B1249+B1257)*(1+$B$7))</f>
        <v>149460</v>
      </c>
      <c r="D1257" s="18">
        <f t="shared" si="144"/>
        <v>812117.6452872582</v>
      </c>
      <c r="E1257" s="18">
        <f>IF($A1257&gt;40,0,(E1249-MIN(MAX(F1256,0),E1249))+MIN(MAX(0,G1256-(E1249-MIN(MAX(F1256,0),E1249))),MAX(0,5*E1249-(F1256-MIN(MAX(F1256,0),E1249)))))</f>
        <v>76350</v>
      </c>
      <c r="F1257" s="18">
        <f>IF($A1257&gt;40,F1256,(F1256-E1249+E1257)*(1+$B$7))</f>
        <v>373650</v>
      </c>
      <c r="G1257" s="18">
        <f t="shared" si="145"/>
        <v>239215.66842464503</v>
      </c>
      <c r="H1257" s="18">
        <f>IF($A1257&gt;40,0,(H1249-MIN(MAX(I1256,0),H1249))+MIN(MAX(0,J1256-(H1249-MIN(MAX(I1256,0),H1249))),MAX(0,5*H1249-(I1256-MIN(MAX(I1256,0),H1249)))))</f>
        <v>37766.127435585804</v>
      </c>
      <c r="I1257" s="18">
        <f>IF($A1257&gt;40,I1256,(I1256-H1249+H1257)*(1+$B$7))</f>
        <v>184824.014620912</v>
      </c>
      <c r="J1257" s="18">
        <f t="shared" si="146"/>
        <v>721747.36166123138</v>
      </c>
      <c r="K1257" s="18">
        <f>IF($A1257&gt;40,0,(K1249-MIN(MAX(L1256,0),K1249))+MIN(MAX(0,M1256-(K1249-MIN(MAX(L1256,0),K1249))),MAX(0,5*K1249-(L1256-MIN(MAX(L1256,0),K1249)))))</f>
        <v>36975.413804449548</v>
      </c>
      <c r="L1257" s="18">
        <f>IF($A1257&gt;40,L1256,(L1256-K1249+K1257)*(1+$B$7))</f>
        <v>180954.33356951622</v>
      </c>
      <c r="M1257" s="18">
        <f t="shared" si="147"/>
        <v>731636.06287079712</v>
      </c>
      <c r="N1257" s="18">
        <f>IF($A1257&gt;40,0,(N1249-MIN(MAX(O1256,0),N1249))+MIN(MAX(0,P1256-(N1249-MIN(MAX(O1256,0),N1249))),MAX(0,5*N1249-(O1256-MIN(MAX(O1256,0),N1249)))))</f>
        <v>36975.835937588272</v>
      </c>
      <c r="O1257" s="18">
        <f>IF($A1257&gt;40,O1256,(O1256-N1249+N1257)*(1+$B$7))</f>
        <v>180956.39945094765</v>
      </c>
      <c r="P1257" s="18">
        <f t="shared" si="148"/>
        <v>731630.78365425754</v>
      </c>
      <c r="Q1257" s="18">
        <f>IF($A1257&gt;40,0,(Q1249-MIN(MAX(R1256,0),Q1249))+MIN(MAX(0,S1256-(Q1249-MIN(MAX(R1256,0),Q1249))),MAX(0,5*Q1249-(R1256-MIN(MAX(R1256,0),Q1249)))))</f>
        <v>36975.836904280382</v>
      </c>
      <c r="R1257" s="18">
        <f>IF($A1257&gt;40,R1256,(R1256-Q1249+Q1257)*(1+$B$7))</f>
        <v>180956.40418185154</v>
      </c>
      <c r="S1257" s="18">
        <f t="shared" si="149"/>
        <v>731630.77156476118</v>
      </c>
    </row>
    <row r="1258" spans="1:19">
      <c r="A1258" s="10">
        <f>7</f>
        <v>7</v>
      </c>
      <c r="B1258" s="18">
        <f>IF($A1258&gt;40,0,(B1249-MIN(MAX(C1257,0),B1249))+MIN(MAX(0,D1257-(B1249-MIN(MAX(C1257,0),B1249))),MAX(0,5*B1249-(C1257-MIN(MAX(C1257,0),B1249)))))</f>
        <v>30540</v>
      </c>
      <c r="C1258" s="18">
        <f>IF($A1258&gt;40,C1257,(C1257-B1249+B1258)*(1+$B$7))</f>
        <v>149460</v>
      </c>
      <c r="D1258" s="18">
        <f t="shared" si="144"/>
        <v>805024.97464587598</v>
      </c>
      <c r="E1258" s="18">
        <f>IF($A1258&gt;40,0,(E1249-MIN(MAX(F1257,0),E1249))+MIN(MAX(0,G1257-(E1249-MIN(MAX(F1257,0),E1249))),MAX(0,5*E1249-(F1257-MIN(MAX(F1257,0),E1249)))))</f>
        <v>76350</v>
      </c>
      <c r="F1258" s="18">
        <f>IF($A1258&gt;40,F1257,(F1257-E1249+E1258)*(1+$B$7))</f>
        <v>373650</v>
      </c>
      <c r="G1258" s="18">
        <f t="shared" si="145"/>
        <v>167751.63847738437</v>
      </c>
      <c r="H1258" s="18">
        <f>IF($A1258&gt;40,0,(H1249-MIN(MAX(I1257,0),H1249))+MIN(MAX(0,J1257-(H1249-MIN(MAX(I1257,0),H1249))),MAX(0,5*H1249-(I1257-MIN(MAX(I1257,0),H1249)))))</f>
        <v>37766.127435585804</v>
      </c>
      <c r="I1258" s="18">
        <f>IF($A1258&gt;40,I1257,(I1257-H1249+H1258)*(1+$B$7))</f>
        <v>184824.014620912</v>
      </c>
      <c r="J1258" s="18">
        <f t="shared" si="146"/>
        <v>704500.67125241493</v>
      </c>
      <c r="K1258" s="18">
        <f>IF($A1258&gt;40,0,(K1249-MIN(MAX(L1257,0),K1249))+MIN(MAX(0,M1257-(K1249-MIN(MAX(L1257,0),K1249))),MAX(0,5*K1249-(L1257-MIN(MAX(L1257,0),K1249)))))</f>
        <v>36975.413804449548</v>
      </c>
      <c r="L1258" s="18">
        <f>IF($A1258&gt;40,L1257,(L1257-K1249+K1258)*(1+$B$7))</f>
        <v>180954.33356951622</v>
      </c>
      <c r="M1258" s="18">
        <f t="shared" si="147"/>
        <v>715500.46853833809</v>
      </c>
      <c r="N1258" s="18">
        <f>IF($A1258&gt;40,0,(N1249-MIN(MAX(O1257,0),N1249))+MIN(MAX(0,P1257-(N1249-MIN(MAX(O1257,0),N1249))),MAX(0,5*N1249-(O1257-MIN(MAX(O1257,0),N1249)))))</f>
        <v>36975.835937588272</v>
      </c>
      <c r="O1258" s="18">
        <f>IF($A1258&gt;40,O1257,(O1257-N1249+N1258)*(1+$B$7))</f>
        <v>180956.39945094765</v>
      </c>
      <c r="P1258" s="18">
        <f t="shared" si="148"/>
        <v>715494.59614816937</v>
      </c>
      <c r="Q1258" s="18">
        <f>IF($A1258&gt;40,0,(Q1249-MIN(MAX(R1257,0),Q1249))+MIN(MAX(0,S1257-(Q1249-MIN(MAX(R1257,0),Q1249))),MAX(0,5*Q1249-(R1257-MIN(MAX(R1257,0),Q1249)))))</f>
        <v>36975.836904280382</v>
      </c>
      <c r="R1258" s="18">
        <f>IF($A1258&gt;40,R1257,(R1257-Q1249+Q1258)*(1+$B$7))</f>
        <v>180956.40418185154</v>
      </c>
      <c r="S1258" s="18">
        <f t="shared" si="149"/>
        <v>715494.58270029526</v>
      </c>
    </row>
    <row r="1259" spans="1:19">
      <c r="A1259" s="10">
        <f>8</f>
        <v>8</v>
      </c>
      <c r="B1259" s="18">
        <f>IF($A1259&gt;40,0,(B1249-MIN(MAX(C1258,0),B1249))+MIN(MAX(0,D1258-(B1249-MIN(MAX(C1258,0),B1249))),MAX(0,5*B1249-(C1258-MIN(MAX(C1258,0),B1249)))))</f>
        <v>30540</v>
      </c>
      <c r="C1259" s="18">
        <f>IF($A1259&gt;40,C1258,(C1258-B1249+B1259)*(1+$B$7))</f>
        <v>149460</v>
      </c>
      <c r="D1259" s="18">
        <f t="shared" si="144"/>
        <v>797719.5238852523</v>
      </c>
      <c r="E1259" s="18">
        <f>IF($A1259&gt;40,0,(E1249-MIN(MAX(F1258,0),E1249))+MIN(MAX(0,G1258-(E1249-MIN(MAX(F1258,0),E1249))),MAX(0,5*E1249-(F1258-MIN(MAX(F1258,0),E1249)))))</f>
        <v>76350</v>
      </c>
      <c r="F1259" s="18">
        <f>IF($A1259&gt;40,F1258,(F1258-E1249+E1259)*(1+$B$7))</f>
        <v>373650</v>
      </c>
      <c r="G1259" s="18">
        <f t="shared" si="145"/>
        <v>94143.687631705907</v>
      </c>
      <c r="H1259" s="18">
        <f>IF($A1259&gt;40,0,(H1249-MIN(MAX(I1258,0),H1249))+MIN(MAX(0,J1258-(H1249-MIN(MAX(I1258,0),H1249))),MAX(0,5*H1249-(I1258-MIN(MAX(I1258,0),H1249)))))</f>
        <v>37766.127435585804</v>
      </c>
      <c r="I1259" s="18">
        <f>IF($A1259&gt;40,I1258,(I1258-H1249+H1259)*(1+$B$7))</f>
        <v>184824.014620912</v>
      </c>
      <c r="J1259" s="18">
        <f t="shared" si="146"/>
        <v>686736.58013133402</v>
      </c>
      <c r="K1259" s="18">
        <f>IF($A1259&gt;40,0,(K1249-MIN(MAX(L1258,0),K1249))+MIN(MAX(0,M1258-(K1249-MIN(MAX(L1258,0),K1249))),MAX(0,5*K1249-(L1258-MIN(MAX(L1258,0),K1249)))))</f>
        <v>36975.413804449548</v>
      </c>
      <c r="L1259" s="18">
        <f>IF($A1259&gt;40,L1258,(L1258-K1249+K1259)*(1+$B$7))</f>
        <v>180954.33356951622</v>
      </c>
      <c r="M1259" s="18">
        <f t="shared" si="147"/>
        <v>698880.80637590517</v>
      </c>
      <c r="N1259" s="18">
        <f>IF($A1259&gt;40,0,(N1249-MIN(MAX(O1258,0),N1249))+MIN(MAX(0,P1258-(N1249-MIN(MAX(O1258,0),N1249))),MAX(0,5*N1249-(O1258-MIN(MAX(O1258,0),N1249)))))</f>
        <v>36975.835937588272</v>
      </c>
      <c r="O1259" s="18">
        <f>IF($A1259&gt;40,O1258,(O1258-N1249+N1259)*(1+$B$7))</f>
        <v>180956.39945094765</v>
      </c>
      <c r="P1259" s="18">
        <f t="shared" si="148"/>
        <v>698874.32301689859</v>
      </c>
      <c r="Q1259" s="18">
        <f>IF($A1259&gt;40,0,(Q1249-MIN(MAX(R1258,0),Q1249))+MIN(MAX(0,S1258-(Q1249-MIN(MAX(R1258,0),Q1249))),MAX(0,5*Q1249-(R1258-MIN(MAX(R1258,0),Q1249)))))</f>
        <v>36975.836904280382</v>
      </c>
      <c r="R1259" s="18">
        <f>IF($A1259&gt;40,R1258,(R1258-Q1249+Q1259)*(1+$B$7))</f>
        <v>180956.40418185154</v>
      </c>
      <c r="S1259" s="18">
        <f t="shared" si="149"/>
        <v>698874.30816989532</v>
      </c>
    </row>
    <row r="1260" spans="1:19">
      <c r="A1260" s="10">
        <f>9</f>
        <v>9</v>
      </c>
      <c r="B1260" s="18">
        <f>IF($A1260&gt;40,0,(B1249-MIN(MAX(C1259,0),B1249))+MIN(MAX(0,D1259-(B1249-MIN(MAX(C1259,0),B1249))),MAX(0,5*B1249-(C1259-MIN(MAX(C1259,0),B1249)))))</f>
        <v>30540</v>
      </c>
      <c r="C1260" s="18">
        <f>IF($A1260&gt;40,C1259,(C1259-B1249+B1260)*(1+$B$7))</f>
        <v>149460</v>
      </c>
      <c r="D1260" s="18">
        <f t="shared" si="144"/>
        <v>790194.90960180992</v>
      </c>
      <c r="E1260" s="18">
        <f>IF($A1260&gt;40,0,(E1249-MIN(MAX(F1259,0),E1249))+MIN(MAX(0,G1259-(E1249-MIN(MAX(F1259,0),E1249))),MAX(0,5*E1249-(F1259-MIN(MAX(F1259,0),E1249)))))</f>
        <v>76350</v>
      </c>
      <c r="F1260" s="18">
        <f>IF($A1260&gt;40,F1259,(F1259-E1249+E1260)*(1+$B$7))</f>
        <v>373650</v>
      </c>
      <c r="G1260" s="18">
        <f t="shared" si="145"/>
        <v>18327.498260657085</v>
      </c>
      <c r="H1260" s="18">
        <f>IF($A1260&gt;40,0,(H1249-MIN(MAX(I1259,0),H1249))+MIN(MAX(0,J1259-(H1249-MIN(MAX(I1259,0),H1249))),MAX(0,5*H1249-(I1259-MIN(MAX(I1259,0),H1249)))))</f>
        <v>37766.127435585804</v>
      </c>
      <c r="I1260" s="18">
        <f>IF($A1260&gt;40,I1259,(I1259-H1249+H1260)*(1+$B$7))</f>
        <v>184824.014620912</v>
      </c>
      <c r="J1260" s="18">
        <f t="shared" si="146"/>
        <v>668439.56627662061</v>
      </c>
      <c r="K1260" s="18">
        <f>IF($A1260&gt;40,0,(K1249-MIN(MAX(L1259,0),K1249))+MIN(MAX(0,M1259-(K1249-MIN(MAX(L1259,0),K1249))),MAX(0,5*K1249-(L1259-MIN(MAX(L1259,0),K1249)))))</f>
        <v>36975.413804449548</v>
      </c>
      <c r="L1260" s="18">
        <f>IF($A1260&gt;40,L1259,(L1259-K1249+K1260)*(1+$B$7))</f>
        <v>180954.33356951622</v>
      </c>
      <c r="M1260" s="18">
        <f t="shared" si="147"/>
        <v>681762.55434859928</v>
      </c>
      <c r="N1260" s="18">
        <f>IF($A1260&gt;40,0,(N1249-MIN(MAX(O1259,0),N1249))+MIN(MAX(0,P1259-(N1249-MIN(MAX(O1259,0),N1249))),MAX(0,5*N1249-(O1259-MIN(MAX(O1259,0),N1249)))))</f>
        <v>36975.835937588272</v>
      </c>
      <c r="O1260" s="18">
        <f>IF($A1260&gt;40,O1259,(O1259-N1249+N1260)*(1+$B$7))</f>
        <v>180956.39945094765</v>
      </c>
      <c r="P1260" s="18">
        <f t="shared" si="148"/>
        <v>681755.44169168966</v>
      </c>
      <c r="Q1260" s="18">
        <f>IF($A1260&gt;40,0,(Q1249-MIN(MAX(R1259,0),Q1249))+MIN(MAX(0,S1259-(Q1249-MIN(MAX(R1259,0),Q1249))),MAX(0,5*Q1249-(R1259-MIN(MAX(R1259,0),Q1249)))))</f>
        <v>36975.836904280382</v>
      </c>
      <c r="R1260" s="18">
        <f>IF($A1260&gt;40,R1259,(R1259-Q1249+Q1260)*(1+$B$7))</f>
        <v>180956.40418185154</v>
      </c>
      <c r="S1260" s="18">
        <f t="shared" si="149"/>
        <v>681755.42540358345</v>
      </c>
    </row>
    <row r="1261" spans="1:19">
      <c r="A1261" s="10">
        <f>10</f>
        <v>10</v>
      </c>
      <c r="B1261" s="18">
        <f>IF($A1261&gt;40,0,(B1249-MIN(MAX(C1260,0),B1249))+MIN(MAX(0,D1260-(B1249-MIN(MAX(C1260,0),B1249))),MAX(0,5*B1249-(C1260-MIN(MAX(C1260,0),B1249)))))</f>
        <v>30540</v>
      </c>
      <c r="C1261" s="18">
        <f>IF($A1261&gt;40,C1260,(C1260-B1249+B1261)*(1+$B$7))</f>
        <v>149460</v>
      </c>
      <c r="D1261" s="18">
        <f t="shared" si="144"/>
        <v>782444.55688986427</v>
      </c>
      <c r="E1261" s="18">
        <f>IF($A1261&gt;40,0,(E1249-MIN(MAX(F1260,0),E1249))+MIN(MAX(0,G1260-(E1249-MIN(MAX(F1260,0),E1249))),MAX(0,5*E1249-(F1260-MIN(MAX(F1260,0),E1249)))))</f>
        <v>18327.498260657085</v>
      </c>
      <c r="F1261" s="18">
        <f>IF($A1261&gt;40,F1260,(F1260-E1249+E1261)*(1+$B$7))</f>
        <v>315836.3792669187</v>
      </c>
      <c r="G1261" s="18">
        <f t="shared" si="145"/>
        <v>0</v>
      </c>
      <c r="H1261" s="18">
        <f>IF($A1261&gt;40,0,(H1249-MIN(MAX(I1260,0),H1249))+MIN(MAX(0,J1260-(H1249-MIN(MAX(I1260,0),H1249))),MAX(0,5*H1249-(I1260-MIN(MAX(I1260,0),H1249)))))</f>
        <v>37766.127435585804</v>
      </c>
      <c r="I1261" s="18">
        <f>IF($A1261&gt;40,I1260,(I1260-H1249+H1261)*(1+$B$7))</f>
        <v>184824.014620912</v>
      </c>
      <c r="J1261" s="18">
        <f t="shared" si="146"/>
        <v>649593.64200626581</v>
      </c>
      <c r="K1261" s="18">
        <f>IF($A1261&gt;40,0,(K1249-MIN(MAX(L1260,0),K1249))+MIN(MAX(0,M1260-(K1249-MIN(MAX(L1260,0),K1249))),MAX(0,5*K1249-(L1260-MIN(MAX(L1260,0),K1249)))))</f>
        <v>36975.413804449548</v>
      </c>
      <c r="L1261" s="18">
        <f>IF($A1261&gt;40,L1260,(L1260-K1249+K1261)*(1+$B$7))</f>
        <v>180954.33356951622</v>
      </c>
      <c r="M1261" s="18">
        <f t="shared" si="147"/>
        <v>664130.75476047432</v>
      </c>
      <c r="N1261" s="18">
        <f>IF($A1261&gt;40,0,(N1249-MIN(MAX(O1260,0),N1249))+MIN(MAX(0,P1260-(N1249-MIN(MAX(O1260,0),N1249))),MAX(0,5*N1249-(O1260-MIN(MAX(O1260,0),N1249)))))</f>
        <v>36975.835937588272</v>
      </c>
      <c r="O1261" s="18">
        <f>IF($A1261&gt;40,O1260,(O1260-N1249+N1261)*(1+$B$7))</f>
        <v>180956.39945094765</v>
      </c>
      <c r="P1261" s="18">
        <f t="shared" si="148"/>
        <v>664122.99392672442</v>
      </c>
      <c r="Q1261" s="18">
        <f>IF($A1261&gt;40,0,(Q1249-MIN(MAX(R1260,0),Q1249))+MIN(MAX(0,S1260-(Q1249-MIN(MAX(R1260,0),Q1249))),MAX(0,5*Q1249-(R1260-MIN(MAX(R1260,0),Q1249)))))</f>
        <v>36975.836904280382</v>
      </c>
      <c r="R1261" s="18">
        <f>IF($A1261&gt;40,R1260,(R1260-Q1249+Q1261)*(1+$B$7))</f>
        <v>180956.40418185154</v>
      </c>
      <c r="S1261" s="18">
        <f t="shared" si="149"/>
        <v>664122.97615428222</v>
      </c>
    </row>
    <row r="1262" spans="1:19">
      <c r="A1262" s="10">
        <f>11</f>
        <v>11</v>
      </c>
      <c r="B1262" s="18">
        <f>IF($A1262&gt;40,0,(B1249-MIN(MAX(C1261,0),B1249))+MIN(MAX(0,D1261-(B1249-MIN(MAX(C1261,0),B1249))),MAX(0,5*B1249-(C1261-MIN(MAX(C1261,0),B1249)))))</f>
        <v>30540</v>
      </c>
      <c r="C1262" s="18">
        <f>IF($A1262&gt;40,C1261,(C1261-B1249+B1262)*(1+$B$7))</f>
        <v>149460</v>
      </c>
      <c r="D1262" s="18">
        <f t="shared" si="144"/>
        <v>774461.69359656016</v>
      </c>
      <c r="E1262" s="18">
        <f>IF($A1262&gt;40,0,(E1249-MIN(MAX(F1261,0),E1249))+MIN(MAX(0,G1261-(E1249-MIN(MAX(F1261,0),E1249))),MAX(0,5*E1249-(F1261-MIN(MAX(F1261,0),E1249)))))</f>
        <v>0</v>
      </c>
      <c r="F1262" s="18">
        <f>IF($A1262&gt;40,F1261,(F1261-E1249+E1262)*(1+$B$7))</f>
        <v>239969.36830155778</v>
      </c>
      <c r="G1262" s="18">
        <f t="shared" si="145"/>
        <v>0</v>
      </c>
      <c r="H1262" s="18">
        <f>IF($A1262&gt;40,0,(H1249-MIN(MAX(I1261,0),H1249))+MIN(MAX(0,J1261-(H1249-MIN(MAX(I1261,0),H1249))),MAX(0,5*H1249-(I1261-MIN(MAX(I1261,0),H1249)))))</f>
        <v>37766.127435585804</v>
      </c>
      <c r="I1262" s="18">
        <f>IF($A1262&gt;40,I1261,(I1261-H1249+H1262)*(1+$B$7))</f>
        <v>184824.014620912</v>
      </c>
      <c r="J1262" s="18">
        <f t="shared" si="146"/>
        <v>630182.34000780038</v>
      </c>
      <c r="K1262" s="18">
        <f>IF($A1262&gt;40,0,(K1249-MIN(MAX(L1261,0),K1249))+MIN(MAX(0,M1261-(K1249-MIN(MAX(L1261,0),K1249))),MAX(0,5*K1249-(L1261-MIN(MAX(L1261,0),K1249)))))</f>
        <v>36975.413804449548</v>
      </c>
      <c r="L1262" s="18">
        <f>IF($A1262&gt;40,L1261,(L1261-K1249+K1262)*(1+$B$7))</f>
        <v>180954.33356951622</v>
      </c>
      <c r="M1262" s="18">
        <f t="shared" si="147"/>
        <v>645970.00118470564</v>
      </c>
      <c r="N1262" s="18">
        <f>IF($A1262&gt;40,0,(N1249-MIN(MAX(O1261,0),N1249))+MIN(MAX(0,P1261-(N1249-MIN(MAX(O1261,0),N1249))),MAX(0,5*N1249-(O1261-MIN(MAX(O1261,0),N1249)))))</f>
        <v>36975.835937588272</v>
      </c>
      <c r="O1262" s="18">
        <f>IF($A1262&gt;40,O1261,(O1261-N1249+N1262)*(1+$B$7))</f>
        <v>180956.39945094765</v>
      </c>
      <c r="P1262" s="18">
        <f t="shared" si="148"/>
        <v>645961.57272881025</v>
      </c>
      <c r="Q1262" s="18">
        <f>IF($A1262&gt;40,0,(Q1249-MIN(MAX(R1261,0),Q1249))+MIN(MAX(0,S1261-(Q1249-MIN(MAX(R1261,0),Q1249))),MAX(0,5*Q1249-(R1261-MIN(MAX(R1261,0),Q1249)))))</f>
        <v>36975.836904280382</v>
      </c>
      <c r="R1262" s="18">
        <f>IF($A1262&gt;40,R1261,(R1261-Q1249+Q1262)*(1+$B$7))</f>
        <v>180956.40418185154</v>
      </c>
      <c r="S1262" s="18">
        <f t="shared" si="149"/>
        <v>645961.55342750193</v>
      </c>
    </row>
    <row r="1263" spans="1:19">
      <c r="A1263" s="10">
        <f>12</f>
        <v>12</v>
      </c>
      <c r="B1263" s="18">
        <f>IF($A1263&gt;40,0,(B1249-MIN(MAX(C1262,0),B1249))+MIN(MAX(0,D1262-(B1249-MIN(MAX(C1262,0),B1249))),MAX(0,5*B1249-(C1262-MIN(MAX(C1262,0),B1249)))))</f>
        <v>30540</v>
      </c>
      <c r="C1263" s="18">
        <f>IF($A1263&gt;40,C1262,(C1262-B1249+B1263)*(1+$B$7))</f>
        <v>149460</v>
      </c>
      <c r="D1263" s="18">
        <f t="shared" si="144"/>
        <v>766239.34440445702</v>
      </c>
      <c r="E1263" s="18">
        <f>IF($A1263&gt;40,0,(E1249-MIN(MAX(F1262,0),E1249))+MIN(MAX(0,G1262-(E1249-MIN(MAX(F1262,0),E1249))),MAX(0,5*E1249-(F1262-MIN(MAX(F1262,0),E1249)))))</f>
        <v>0</v>
      </c>
      <c r="F1263" s="18">
        <f>IF($A1263&gt;40,F1262,(F1262-E1249+E1263)*(1+$B$7))</f>
        <v>164375.47857567217</v>
      </c>
      <c r="G1263" s="18">
        <f t="shared" si="145"/>
        <v>0</v>
      </c>
      <c r="H1263" s="18">
        <f>IF($A1263&gt;40,0,(H1249-MIN(MAX(I1262,0),H1249))+MIN(MAX(0,J1262-(H1249-MIN(MAX(I1262,0),H1249))),MAX(0,5*H1249-(I1262-MIN(MAX(I1262,0),H1249)))))</f>
        <v>37766.127435585804</v>
      </c>
      <c r="I1263" s="18">
        <f>IF($A1263&gt;40,I1262,(I1262-H1249+H1263)*(1+$B$7))</f>
        <v>184824.014620912</v>
      </c>
      <c r="J1263" s="18">
        <f t="shared" si="146"/>
        <v>610188.69894938101</v>
      </c>
      <c r="K1263" s="18">
        <f>IF($A1263&gt;40,0,(K1249-MIN(MAX(L1262,0),K1249))+MIN(MAX(0,M1262-(K1249-MIN(MAX(L1262,0),K1249))),MAX(0,5*K1249-(L1262-MIN(MAX(L1262,0),K1249)))))</f>
        <v>36975.413804449548</v>
      </c>
      <c r="L1263" s="18">
        <f>IF($A1263&gt;40,L1262,(L1262-K1249+K1263)*(1+$B$7))</f>
        <v>180954.33356951622</v>
      </c>
      <c r="M1263" s="18">
        <f t="shared" si="147"/>
        <v>627264.42500166374</v>
      </c>
      <c r="N1263" s="18">
        <f>IF($A1263&gt;40,0,(N1249-MIN(MAX(O1262,0),N1249))+MIN(MAX(0,P1262-(N1249-MIN(MAX(O1262,0),N1249))),MAX(0,5*N1249-(O1262-MIN(MAX(O1262,0),N1249)))))</f>
        <v>36975.835937588272</v>
      </c>
      <c r="O1263" s="18">
        <f>IF($A1263&gt;40,O1262,(O1262-N1249+N1263)*(1+$B$7))</f>
        <v>180956.39945094765</v>
      </c>
      <c r="P1263" s="18">
        <f t="shared" si="148"/>
        <v>627255.3088949587</v>
      </c>
      <c r="Q1263" s="18">
        <f>IF($A1263&gt;40,0,(Q1249-MIN(MAX(R1262,0),Q1249))+MIN(MAX(0,S1262-(Q1249-MIN(MAX(R1262,0),Q1249))),MAX(0,5*Q1249-(R1262-MIN(MAX(R1262,0),Q1249)))))</f>
        <v>36975.836904280382</v>
      </c>
      <c r="R1263" s="18">
        <f>IF($A1263&gt;40,R1262,(R1262-Q1249+Q1263)*(1+$B$7))</f>
        <v>180956.40418185154</v>
      </c>
      <c r="S1263" s="18">
        <f t="shared" si="149"/>
        <v>627255.28801891825</v>
      </c>
    </row>
    <row r="1264" spans="1:19">
      <c r="A1264" s="10">
        <f>13</f>
        <v>13</v>
      </c>
      <c r="B1264" s="18">
        <f>IF($A1264&gt;40,0,(B1249-MIN(MAX(C1263,0),B1249))+MIN(MAX(0,D1263-(B1249-MIN(MAX(C1263,0),B1249))),MAX(0,5*B1249-(C1263-MIN(MAX(C1263,0),B1249)))))</f>
        <v>30540</v>
      </c>
      <c r="C1264" s="18">
        <f>IF($A1264&gt;40,C1263,(C1263-B1249+B1264)*(1+$B$7))</f>
        <v>149460</v>
      </c>
      <c r="D1264" s="18">
        <f t="shared" si="144"/>
        <v>757770.32473659073</v>
      </c>
      <c r="E1264" s="18">
        <f>IF($A1264&gt;40,0,(E1249-MIN(MAX(F1263,0),E1249))+MIN(MAX(0,G1263-(E1249-MIN(MAX(F1263,0),E1249))),MAX(0,5*E1249-(F1263-MIN(MAX(F1263,0),E1249)))))</f>
        <v>0</v>
      </c>
      <c r="F1264" s="18">
        <f>IF($A1264&gt;40,F1263,(F1263-E1249+E1264)*(1+$B$7))</f>
        <v>89053.726852799751</v>
      </c>
      <c r="G1264" s="18">
        <f t="shared" si="145"/>
        <v>0</v>
      </c>
      <c r="H1264" s="18">
        <f>IF($A1264&gt;40,0,(H1249-MIN(MAX(I1263,0),H1249))+MIN(MAX(0,J1263-(H1249-MIN(MAX(I1263,0),H1249))),MAX(0,5*H1249-(I1263-MIN(MAX(I1263,0),H1249)))))</f>
        <v>37766.127435585804</v>
      </c>
      <c r="I1264" s="18">
        <f>IF($A1264&gt;40,I1263,(I1263-H1249+H1264)*(1+$B$7))</f>
        <v>184824.014620912</v>
      </c>
      <c r="J1264" s="18">
        <f t="shared" si="146"/>
        <v>589595.248659209</v>
      </c>
      <c r="K1264" s="18">
        <f>IF($A1264&gt;40,0,(K1249-MIN(MAX(L1263,0),K1249))+MIN(MAX(0,M1263-(K1249-MIN(MAX(L1263,0),K1249))),MAX(0,5*K1249-(L1263-MIN(MAX(L1263,0),K1249)))))</f>
        <v>36975.413804449548</v>
      </c>
      <c r="L1264" s="18">
        <f>IF($A1264&gt;40,L1263,(L1263-K1249+K1264)*(1+$B$7))</f>
        <v>180954.33356951622</v>
      </c>
      <c r="M1264" s="18">
        <f t="shared" si="147"/>
        <v>607997.6815331307</v>
      </c>
      <c r="N1264" s="18">
        <f>IF($A1264&gt;40,0,(N1249-MIN(MAX(O1263,0),N1249))+MIN(MAX(0,P1263-(N1249-MIN(MAX(O1263,0),N1249))),MAX(0,5*N1249-(O1263-MIN(MAX(O1263,0),N1249)))))</f>
        <v>36975.835937588272</v>
      </c>
      <c r="O1264" s="18">
        <f>IF($A1264&gt;40,O1263,(O1263-N1249+N1264)*(1+$B$7))</f>
        <v>180956.39945094765</v>
      </c>
      <c r="P1264" s="18">
        <f t="shared" si="148"/>
        <v>607987.85714609153</v>
      </c>
      <c r="Q1264" s="18">
        <f>IF($A1264&gt;40,0,(Q1249-MIN(MAX(R1263,0),Q1249))+MIN(MAX(0,S1263-(Q1249-MIN(MAX(R1263,0),Q1249))),MAX(0,5*Q1249-(R1263-MIN(MAX(R1263,0),Q1249)))))</f>
        <v>36975.836904280382</v>
      </c>
      <c r="R1264" s="18">
        <f>IF($A1264&gt;40,R1263,(R1263-Q1249+Q1264)*(1+$B$7))</f>
        <v>180956.40418185154</v>
      </c>
      <c r="S1264" s="18">
        <f t="shared" si="149"/>
        <v>607987.83464807703</v>
      </c>
    </row>
    <row r="1265" spans="1:19">
      <c r="A1265" s="10">
        <f>14</f>
        <v>14</v>
      </c>
      <c r="B1265" s="18">
        <f>IF($A1265&gt;40,0,(B1249-MIN(MAX(C1264,0),B1249))+MIN(MAX(0,D1264-(B1249-MIN(MAX(C1264,0),B1249))),MAX(0,5*B1249-(C1264-MIN(MAX(C1264,0),B1249)))))</f>
        <v>30540</v>
      </c>
      <c r="C1265" s="18">
        <f>IF($A1265&gt;40,C1264,(C1264-B1249+B1265)*(1+$B$7))</f>
        <v>149460</v>
      </c>
      <c r="D1265" s="18">
        <f t="shared" si="144"/>
        <v>749047.23447868845</v>
      </c>
      <c r="E1265" s="18">
        <f>IF($A1265&gt;40,0,(E1249-MIN(MAX(F1264,0),E1249))+MIN(MAX(0,G1264-(E1249-MIN(MAX(F1264,0),E1249))),MAX(0,5*E1249-(F1264-MIN(MAX(F1264,0),E1249)))))</f>
        <v>0</v>
      </c>
      <c r="F1265" s="18">
        <f>IF($A1265&gt;40,F1264,(F1264-E1249+E1265)*(1+$B$7))</f>
        <v>14003.133436129672</v>
      </c>
      <c r="G1265" s="18">
        <f t="shared" si="145"/>
        <v>0</v>
      </c>
      <c r="H1265" s="18">
        <f>IF($A1265&gt;40,0,(H1249-MIN(MAX(I1264,0),H1249))+MIN(MAX(0,J1264-(H1249-MIN(MAX(I1264,0),H1249))),MAX(0,5*H1249-(I1264-MIN(MAX(I1264,0),H1249)))))</f>
        <v>37766.127435585804</v>
      </c>
      <c r="I1265" s="18">
        <f>IF($A1265&gt;40,I1264,(I1264-H1249+H1265)*(1+$B$7))</f>
        <v>184824.014620912</v>
      </c>
      <c r="J1265" s="18">
        <f t="shared" si="146"/>
        <v>568383.99486033188</v>
      </c>
      <c r="K1265" s="18">
        <f>IF($A1265&gt;40,0,(K1249-MIN(MAX(L1264,0),K1249))+MIN(MAX(0,M1264-(K1249-MIN(MAX(L1264,0),K1249))),MAX(0,5*K1249-(L1264-MIN(MAX(L1264,0),K1249)))))</f>
        <v>36975.413804449548</v>
      </c>
      <c r="L1265" s="18">
        <f>IF($A1265&gt;40,L1264,(L1264-K1249+K1265)*(1+$B$7))</f>
        <v>180954.33356951622</v>
      </c>
      <c r="M1265" s="18">
        <f t="shared" si="147"/>
        <v>588152.9357605417</v>
      </c>
      <c r="N1265" s="18">
        <f>IF($A1265&gt;40,0,(N1249-MIN(MAX(O1264,0),N1249))+MIN(MAX(0,P1264-(N1249-MIN(MAX(O1264,0),N1249))),MAX(0,5*N1249-(O1264-MIN(MAX(O1264,0),N1249)))))</f>
        <v>36975.835937588272</v>
      </c>
      <c r="O1265" s="18">
        <f>IF($A1265&gt;40,O1264,(O1264-N1249+N1265)*(1+$B$7))</f>
        <v>180956.39945094765</v>
      </c>
      <c r="P1265" s="18">
        <f t="shared" si="148"/>
        <v>588142.38184475841</v>
      </c>
      <c r="Q1265" s="18">
        <f>IF($A1265&gt;40,0,(Q1249-MIN(MAX(R1264,0),Q1249))+MIN(MAX(0,S1264-(Q1249-MIN(MAX(R1264,0),Q1249))),MAX(0,5*Q1249-(R1264-MIN(MAX(R1264,0),Q1249)))))</f>
        <v>36975.836904280382</v>
      </c>
      <c r="R1265" s="18">
        <f>IF($A1265&gt;40,R1264,(R1264-Q1249+Q1265)*(1+$B$7))</f>
        <v>180956.40418185154</v>
      </c>
      <c r="S1265" s="18">
        <f t="shared" si="149"/>
        <v>588142.35767611058</v>
      </c>
    </row>
    <row r="1266" spans="1:19">
      <c r="A1266" s="10">
        <f>15</f>
        <v>15</v>
      </c>
      <c r="B1266" s="18">
        <f>IF($A1266&gt;40,0,(B1249-MIN(MAX(C1265,0),B1249))+MIN(MAX(0,D1265-(B1249-MIN(MAX(C1265,0),B1249))),MAX(0,5*B1249-(C1265-MIN(MAX(C1265,0),B1249)))))</f>
        <v>30540</v>
      </c>
      <c r="C1266" s="18">
        <f>IF($A1266&gt;40,C1265,(C1265-B1249+B1266)*(1+$B$7))</f>
        <v>149460</v>
      </c>
      <c r="D1266" s="18">
        <f t="shared" si="144"/>
        <v>740062.45151304908</v>
      </c>
      <c r="E1266" s="18">
        <f>IF($A1266&gt;40,0,(E1249-MIN(MAX(F1265,0),E1249))+MIN(MAX(0,G1265-(E1249-MIN(MAX(F1265,0),E1249))),MAX(0,5*E1249-(F1265-MIN(MAX(F1265,0),E1249)))))</f>
        <v>60996.866563870324</v>
      </c>
      <c r="F1266" s="18">
        <f>IF($A1266&gt;40,F1265,(F1265-E1249+E1266)*(1+$B$7))</f>
        <v>0</v>
      </c>
      <c r="G1266" s="18">
        <f t="shared" si="145"/>
        <v>-62826.772560786434</v>
      </c>
      <c r="H1266" s="18">
        <f>IF($A1266&gt;40,0,(H1249-MIN(MAX(I1265,0),H1249))+MIN(MAX(0,J1265-(H1249-MIN(MAX(I1265,0),H1249))),MAX(0,5*H1249-(I1265-MIN(MAX(I1265,0),H1249)))))</f>
        <v>37766.127435585804</v>
      </c>
      <c r="I1266" s="18">
        <f>IF($A1266&gt;40,I1265,(I1265-H1249+H1266)*(1+$B$7))</f>
        <v>184824.014620912</v>
      </c>
      <c r="J1266" s="18">
        <f t="shared" si="146"/>
        <v>546536.40344748844</v>
      </c>
      <c r="K1266" s="18">
        <f>IF($A1266&gt;40,0,(K1249-MIN(MAX(L1265,0),K1249))+MIN(MAX(0,M1265-(K1249-MIN(MAX(L1265,0),K1249))),MAX(0,5*K1249-(L1265-MIN(MAX(L1265,0),K1249)))))</f>
        <v>36975.413804449548</v>
      </c>
      <c r="L1266" s="18">
        <f>IF($A1266&gt;40,L1265,(L1265-K1249+K1266)*(1+$B$7))</f>
        <v>180954.33356951622</v>
      </c>
      <c r="M1266" s="18">
        <f t="shared" si="147"/>
        <v>567712.84761477495</v>
      </c>
      <c r="N1266" s="18">
        <f>IF($A1266&gt;40,0,(N1249-MIN(MAX(O1265,0),N1249))+MIN(MAX(0,P1265-(N1249-MIN(MAX(O1265,0),N1249))),MAX(0,5*N1249-(O1265-MIN(MAX(O1265,0),N1249)))))</f>
        <v>36975.835937588272</v>
      </c>
      <c r="O1266" s="18">
        <f>IF($A1266&gt;40,O1265,(O1265-N1249+N1266)*(1+$B$7))</f>
        <v>180956.39945094765</v>
      </c>
      <c r="P1266" s="18">
        <f t="shared" si="148"/>
        <v>567701.5422843853</v>
      </c>
      <c r="Q1266" s="18">
        <f>IF($A1266&gt;40,0,(Q1249-MIN(MAX(R1265,0),Q1249))+MIN(MAX(0,S1265-(Q1249-MIN(MAX(R1265,0),Q1249))),MAX(0,5*Q1249-(R1265-MIN(MAX(R1265,0),Q1249)))))</f>
        <v>36975.836904280382</v>
      </c>
      <c r="R1266" s="18">
        <f>IF($A1266&gt;40,R1265,(R1265-Q1249+Q1266)*(1+$B$7))</f>
        <v>180956.40418185154</v>
      </c>
      <c r="S1266" s="18">
        <f t="shared" si="149"/>
        <v>567701.51639498514</v>
      </c>
    </row>
    <row r="1267" spans="1:19">
      <c r="A1267" s="10">
        <f>16</f>
        <v>16</v>
      </c>
      <c r="B1267" s="18">
        <f>IF($A1267&gt;40,0,(B1249-MIN(MAX(C1266,0),B1249))+MIN(MAX(0,D1266-(B1249-MIN(MAX(C1266,0),B1249))),MAX(0,5*B1249-(C1266-MIN(MAX(C1266,0),B1249)))))</f>
        <v>30540</v>
      </c>
      <c r="C1267" s="18">
        <f>IF($A1267&gt;40,C1266,(C1266-B1249+B1267)*(1+$B$7))</f>
        <v>149460</v>
      </c>
      <c r="D1267" s="18">
        <f t="shared" si="144"/>
        <v>730808.12505844061</v>
      </c>
      <c r="E1267" s="18">
        <f>IF($A1267&gt;40,0,(E1249-MIN(MAX(F1266,0),E1249))+MIN(MAX(0,G1266-(E1249-MIN(MAX(F1266,0),E1249))),MAX(0,5*E1249-(F1266-MIN(MAX(F1266,0),E1249)))))</f>
        <v>75000</v>
      </c>
      <c r="F1267" s="18">
        <f>IF($A1267&gt;40,F1266,(F1266-E1249+E1267)*(1+$B$7))</f>
        <v>0</v>
      </c>
      <c r="G1267" s="18">
        <f t="shared" si="145"/>
        <v>-141961.57573761002</v>
      </c>
      <c r="H1267" s="18">
        <f>IF($A1267&gt;40,0,(H1249-MIN(MAX(I1266,0),H1249))+MIN(MAX(0,J1266-(H1249-MIN(MAX(I1266,0),H1249))),MAX(0,5*H1249-(I1266-MIN(MAX(I1266,0),H1249)))))</f>
        <v>37766.127435585804</v>
      </c>
      <c r="I1267" s="18">
        <f>IF($A1267&gt;40,I1266,(I1266-H1249+H1267)*(1+$B$7))</f>
        <v>184824.014620912</v>
      </c>
      <c r="J1267" s="18">
        <f t="shared" si="146"/>
        <v>524033.3842922597</v>
      </c>
      <c r="K1267" s="18">
        <f>IF($A1267&gt;40,0,(K1249-MIN(MAX(L1266,0),K1249))+MIN(MAX(0,M1266-(K1249-MIN(MAX(L1266,0),K1249))),MAX(0,5*K1249-(L1266-MIN(MAX(L1266,0),K1249)))))</f>
        <v>36975.413804449548</v>
      </c>
      <c r="L1267" s="18">
        <f>IF($A1267&gt;40,L1266,(L1266-K1249+K1267)*(1+$B$7))</f>
        <v>180954.33356951622</v>
      </c>
      <c r="M1267" s="18">
        <f t="shared" si="147"/>
        <v>546659.55682463513</v>
      </c>
      <c r="N1267" s="18">
        <f>IF($A1267&gt;40,0,(N1249-MIN(MAX(O1266,0),N1249))+MIN(MAX(0,P1266-(N1249-MIN(MAX(O1266,0),N1249))),MAX(0,5*N1249-(O1266-MIN(MAX(O1266,0),N1249)))))</f>
        <v>36975.835937588272</v>
      </c>
      <c r="O1267" s="18">
        <f>IF($A1267&gt;40,O1266,(O1266-N1249+N1267)*(1+$B$7))</f>
        <v>180956.39945094765</v>
      </c>
      <c r="P1267" s="18">
        <f t="shared" si="148"/>
        <v>546647.47753720102</v>
      </c>
      <c r="Q1267" s="18">
        <f>IF($A1267&gt;40,0,(Q1249-MIN(MAX(R1266,0),Q1249))+MIN(MAX(0,S1266-(Q1249-MIN(MAX(R1266,0),Q1249))),MAX(0,5*Q1249-(R1266-MIN(MAX(R1266,0),Q1249)))))</f>
        <v>36975.836904280382</v>
      </c>
      <c r="R1267" s="18">
        <f>IF($A1267&gt;40,R1266,(R1266-Q1249+Q1267)*(1+$B$7))</f>
        <v>180956.40418185154</v>
      </c>
      <c r="S1267" s="18">
        <f t="shared" si="149"/>
        <v>546647.4498754259</v>
      </c>
    </row>
    <row r="1268" spans="1:19">
      <c r="A1268" s="10">
        <f>17</f>
        <v>17</v>
      </c>
      <c r="B1268" s="18">
        <f>IF($A1268&gt;40,0,(B1249-MIN(MAX(C1267,0),B1249))+MIN(MAX(0,D1267-(B1249-MIN(MAX(C1267,0),B1249))),MAX(0,5*B1249-(C1267-MIN(MAX(C1267,0),B1249)))))</f>
        <v>30540</v>
      </c>
      <c r="C1268" s="18">
        <f>IF($A1268&gt;40,C1267,(C1267-B1249+B1268)*(1+$B$7))</f>
        <v>149460</v>
      </c>
      <c r="D1268" s="18">
        <f t="shared" si="144"/>
        <v>721276.16881019389</v>
      </c>
      <c r="E1268" s="18">
        <f>IF($A1268&gt;40,0,(E1249-MIN(MAX(F1267,0),E1249))+MIN(MAX(0,G1267-(E1249-MIN(MAX(F1267,0),E1249))),MAX(0,5*E1249-(F1267-MIN(MAX(F1267,0),E1249)))))</f>
        <v>75000</v>
      </c>
      <c r="F1268" s="18">
        <f>IF($A1268&gt;40,F1267,(F1267-E1249+E1268)*(1+$B$7))</f>
        <v>0</v>
      </c>
      <c r="G1268" s="18">
        <f t="shared" si="145"/>
        <v>-223470.42300973833</v>
      </c>
      <c r="H1268" s="18">
        <f>IF($A1268&gt;40,0,(H1249-MIN(MAX(I1267,0),H1249))+MIN(MAX(0,J1267-(H1249-MIN(MAX(I1267,0),H1249))),MAX(0,5*H1249-(I1267-MIN(MAX(I1267,0),H1249)))))</f>
        <v>37766.127435585804</v>
      </c>
      <c r="I1268" s="18">
        <f>IF($A1268&gt;40,I1267,(I1267-H1249+H1268)*(1+$B$7))</f>
        <v>184824.014620912</v>
      </c>
      <c r="J1268" s="18">
        <f t="shared" si="146"/>
        <v>500855.27456237411</v>
      </c>
      <c r="K1268" s="18">
        <f>IF($A1268&gt;40,0,(K1249-MIN(MAX(L1267,0),K1249))+MIN(MAX(0,M1267-(K1249-MIN(MAX(L1267,0),K1249))),MAX(0,5*K1249-(L1267-MIN(MAX(L1267,0),K1249)))))</f>
        <v>36975.413804449548</v>
      </c>
      <c r="L1268" s="18">
        <f>IF($A1268&gt;40,L1267,(L1267-K1249+K1268)*(1+$B$7))</f>
        <v>180954.33356951622</v>
      </c>
      <c r="M1268" s="18">
        <f t="shared" si="147"/>
        <v>524974.66731079121</v>
      </c>
      <c r="N1268" s="18">
        <f>IF($A1268&gt;40,0,(N1249-MIN(MAX(O1267,0),N1249))+MIN(MAX(0,P1267-(N1249-MIN(MAX(O1267,0),N1249))),MAX(0,5*N1249-(O1267-MIN(MAX(O1267,0),N1249)))))</f>
        <v>36975.835937588272</v>
      </c>
      <c r="O1268" s="18">
        <f>IF($A1268&gt;40,O1267,(O1267-N1249+N1268)*(1+$B$7))</f>
        <v>180956.39945094765</v>
      </c>
      <c r="P1268" s="18">
        <f t="shared" si="148"/>
        <v>524961.79084760114</v>
      </c>
      <c r="Q1268" s="18">
        <f>IF($A1268&gt;40,0,(Q1249-MIN(MAX(R1267,0),Q1249))+MIN(MAX(0,S1267-(Q1249-MIN(MAX(R1267,0),Q1249))),MAX(0,5*Q1249-(R1267-MIN(MAX(R1267,0),Q1249)))))</f>
        <v>36975.836904280382</v>
      </c>
      <c r="R1268" s="18">
        <f>IF($A1268&gt;40,R1267,(R1267-Q1249+Q1268)*(1+$B$7))</f>
        <v>180956.40418185154</v>
      </c>
      <c r="S1268" s="18">
        <f t="shared" si="149"/>
        <v>524961.76136027987</v>
      </c>
    </row>
    <row r="1269" spans="1:19">
      <c r="A1269" s="10">
        <f>18</f>
        <v>18</v>
      </c>
      <c r="B1269" s="18">
        <f>IF($A1269&gt;40,0,(B1249-MIN(MAX(C1268,0),B1249))+MIN(MAX(0,D1268-(B1249-MIN(MAX(C1268,0),B1249))),MAX(0,5*B1249-(C1268-MIN(MAX(C1268,0),B1249)))))</f>
        <v>30540</v>
      </c>
      <c r="C1269" s="18">
        <f>IF($A1269&gt;40,C1268,(C1268-B1249+B1269)*(1+$B$7))</f>
        <v>149460</v>
      </c>
      <c r="D1269" s="18">
        <f t="shared" si="144"/>
        <v>711458.2538744997</v>
      </c>
      <c r="E1269" s="18">
        <f>IF($A1269&gt;40,0,(E1249-MIN(MAX(F1268,0),E1249))+MIN(MAX(0,G1268-(E1249-MIN(MAX(F1268,0),E1249))),MAX(0,5*E1249-(F1268-MIN(MAX(F1268,0),E1249)))))</f>
        <v>75000</v>
      </c>
      <c r="F1269" s="18">
        <f>IF($A1269&gt;40,F1268,(F1268-E1249+E1269)*(1+$B$7))</f>
        <v>0</v>
      </c>
      <c r="G1269" s="18">
        <f t="shared" si="145"/>
        <v>-307424.53570003051</v>
      </c>
      <c r="H1269" s="18">
        <f>IF($A1269&gt;40,0,(H1249-MIN(MAX(I1268,0),H1249))+MIN(MAX(0,J1268-(H1249-MIN(MAX(I1268,0),H1249))),MAX(0,5*H1249-(I1268-MIN(MAX(I1268,0),H1249)))))</f>
        <v>37766.127435585804</v>
      </c>
      <c r="I1269" s="18">
        <f>IF($A1269&gt;40,I1268,(I1268-H1249+H1269)*(1+$B$7))</f>
        <v>184824.014620912</v>
      </c>
      <c r="J1269" s="18">
        <f t="shared" si="146"/>
        <v>476981.82154059195</v>
      </c>
      <c r="K1269" s="18">
        <f>IF($A1269&gt;40,0,(K1249-MIN(MAX(L1268,0),K1249))+MIN(MAX(0,M1268-(K1249-MIN(MAX(L1268,0),K1249))),MAX(0,5*K1249-(L1268-MIN(MAX(L1268,0),K1249)))))</f>
        <v>36975.413804449548</v>
      </c>
      <c r="L1269" s="18">
        <f>IF($A1269&gt;40,L1268,(L1268-K1249+K1269)*(1+$B$7))</f>
        <v>180954.33356951622</v>
      </c>
      <c r="M1269" s="18">
        <f t="shared" si="147"/>
        <v>502639.2311115319</v>
      </c>
      <c r="N1269" s="18">
        <f>IF($A1269&gt;40,0,(N1249-MIN(MAX(O1268,0),N1249))+MIN(MAX(0,P1268-(N1249-MIN(MAX(O1268,0),N1249))),MAX(0,5*N1249-(O1268-MIN(MAX(O1268,0),N1249)))))</f>
        <v>36975.835937588272</v>
      </c>
      <c r="O1269" s="18">
        <f>IF($A1269&gt;40,O1268,(O1268-N1249+N1269)*(1+$B$7))</f>
        <v>180956.39945094765</v>
      </c>
      <c r="P1269" s="18">
        <f t="shared" si="148"/>
        <v>502625.53355731332</v>
      </c>
      <c r="Q1269" s="18">
        <f>IF($A1269&gt;40,0,(Q1249-MIN(MAX(R1268,0),Q1249))+MIN(MAX(0,S1268-(Q1249-MIN(MAX(R1268,0),Q1249))),MAX(0,5*Q1249-(R1268-MIN(MAX(R1268,0),Q1249)))))</f>
        <v>36975.836904280382</v>
      </c>
      <c r="R1269" s="18">
        <f>IF($A1269&gt;40,R1268,(R1268-Q1249+Q1269)*(1+$B$7))</f>
        <v>180956.40418185154</v>
      </c>
      <c r="S1269" s="18">
        <f t="shared" si="149"/>
        <v>502625.50218967954</v>
      </c>
    </row>
    <row r="1270" spans="1:19">
      <c r="A1270" s="10">
        <f>19</f>
        <v>19</v>
      </c>
      <c r="B1270" s="18">
        <f>IF($A1270&gt;40,0,(B1249-MIN(MAX(C1269,0),B1249))+MIN(MAX(0,D1269-(B1249-MIN(MAX(C1269,0),B1249))),MAX(0,5*B1249-(C1269-MIN(MAX(C1269,0),B1249)))))</f>
        <v>30540</v>
      </c>
      <c r="C1270" s="18">
        <f>IF($A1270&gt;40,C1269,(C1269-B1249+B1270)*(1+$B$7))</f>
        <v>149460</v>
      </c>
      <c r="D1270" s="18">
        <f t="shared" si="144"/>
        <v>701345.80149073468</v>
      </c>
      <c r="E1270" s="18">
        <f>IF($A1270&gt;40,0,(E1249-MIN(MAX(F1269,0),E1249))+MIN(MAX(0,G1269-(E1249-MIN(MAX(F1269,0),E1249))),MAX(0,5*E1249-(F1269-MIN(MAX(F1269,0),E1249)))))</f>
        <v>75000</v>
      </c>
      <c r="F1270" s="18">
        <f>IF($A1270&gt;40,F1269,(F1269-E1249+E1270)*(1+$B$7))</f>
        <v>0</v>
      </c>
      <c r="G1270" s="18">
        <f t="shared" si="145"/>
        <v>-393897.27177103143</v>
      </c>
      <c r="H1270" s="18">
        <f>IF($A1270&gt;40,0,(H1249-MIN(MAX(I1269,0),H1249))+MIN(MAX(0,J1269-(H1249-MIN(MAX(I1269,0),H1249))),MAX(0,5*H1249-(I1269-MIN(MAX(I1269,0),H1249)))))</f>
        <v>37766.127435585804</v>
      </c>
      <c r="I1270" s="18">
        <f>IF($A1270&gt;40,I1269,(I1269-H1249+H1270)*(1+$B$7))</f>
        <v>184824.014620912</v>
      </c>
      <c r="J1270" s="18">
        <f t="shared" si="146"/>
        <v>452392.16492815636</v>
      </c>
      <c r="K1270" s="18">
        <f>IF($A1270&gt;40,0,(K1249-MIN(MAX(L1269,0),K1249))+MIN(MAX(0,M1269-(K1249-MIN(MAX(L1269,0),K1249))),MAX(0,5*K1249-(L1269-MIN(MAX(L1269,0),K1249)))))</f>
        <v>36975.413804449548</v>
      </c>
      <c r="L1270" s="18">
        <f>IF($A1270&gt;40,L1269,(L1269-K1249+K1270)*(1+$B$7))</f>
        <v>180954.33356951622</v>
      </c>
      <c r="M1270" s="18">
        <f t="shared" si="147"/>
        <v>479633.73182629485</v>
      </c>
      <c r="N1270" s="18">
        <f>IF($A1270&gt;40,0,(N1249-MIN(MAX(O1269,0),N1249))+MIN(MAX(0,P1269-(N1249-MIN(MAX(O1269,0),N1249))),MAX(0,5*N1249-(O1269-MIN(MAX(O1269,0),N1249)))))</f>
        <v>36975.835937588272</v>
      </c>
      <c r="O1270" s="18">
        <f>IF($A1270&gt;40,O1269,(O1269-N1249+N1270)*(1+$B$7))</f>
        <v>180956.39945094765</v>
      </c>
      <c r="P1270" s="18">
        <f t="shared" si="148"/>
        <v>479619.18854831677</v>
      </c>
      <c r="Q1270" s="18">
        <f>IF($A1270&gt;40,0,(Q1249-MIN(MAX(R1269,0),Q1249))+MIN(MAX(0,S1269-(Q1249-MIN(MAX(R1269,0),Q1249))),MAX(0,5*Q1249-(R1269-MIN(MAX(R1269,0),Q1249)))))</f>
        <v>36975.836904280382</v>
      </c>
      <c r="R1270" s="18">
        <f>IF($A1270&gt;40,R1269,(R1269-Q1249+Q1270)*(1+$B$7))</f>
        <v>180956.40418185154</v>
      </c>
      <c r="S1270" s="18">
        <f t="shared" si="149"/>
        <v>479619.1552439612</v>
      </c>
    </row>
    <row r="1271" spans="1:19">
      <c r="A1271" s="10">
        <f>20</f>
        <v>20</v>
      </c>
      <c r="B1271" s="18">
        <f>IF($A1271&gt;40,0,(B1249-MIN(MAX(C1270,0),B1249))+MIN(MAX(0,D1270-(B1249-MIN(MAX(C1270,0),B1249))),MAX(0,5*B1249-(C1270-MIN(MAX(C1270,0),B1249)))))</f>
        <v>30540</v>
      </c>
      <c r="C1271" s="18">
        <f>IF($A1271&gt;40,C1270,(C1270-B1249+B1271)*(1+$B$7))</f>
        <v>149460</v>
      </c>
      <c r="D1271" s="18">
        <f t="shared" si="144"/>
        <v>690929.97553545679</v>
      </c>
      <c r="E1271" s="18">
        <f>IF($A1271&gt;40,0,(E1249-MIN(MAX(F1270,0),E1249))+MIN(MAX(0,G1270-(E1249-MIN(MAX(F1270,0),E1249))),MAX(0,5*E1249-(F1270-MIN(MAX(F1270,0),E1249)))))</f>
        <v>75000</v>
      </c>
      <c r="F1271" s="18">
        <f>IF($A1271&gt;40,F1270,(F1270-E1249+E1271)*(1+$B$7))</f>
        <v>0</v>
      </c>
      <c r="G1271" s="18">
        <f t="shared" si="145"/>
        <v>-482964.18992416241</v>
      </c>
      <c r="H1271" s="18">
        <f>IF($A1271&gt;40,0,(H1249-MIN(MAX(I1270,0),H1249))+MIN(MAX(0,J1270-(H1249-MIN(MAX(I1270,0),H1249))),MAX(0,5*H1249-(I1270-MIN(MAX(I1270,0),H1249)))))</f>
        <v>37766.127435585804</v>
      </c>
      <c r="I1271" s="18">
        <f>IF($A1271&gt;40,I1270,(I1270-H1249+H1271)*(1+$B$7))</f>
        <v>184824.014620912</v>
      </c>
      <c r="J1271" s="18">
        <f t="shared" si="146"/>
        <v>427064.81861734769</v>
      </c>
      <c r="K1271" s="18">
        <f>IF($A1271&gt;40,0,(K1249-MIN(MAX(L1270,0),K1249))+MIN(MAX(0,M1270-(K1249-MIN(MAX(L1270,0),K1249))),MAX(0,5*K1249-(L1270-MIN(MAX(L1270,0),K1249)))))</f>
        <v>36975.413804449548</v>
      </c>
      <c r="L1271" s="18">
        <f>IF($A1271&gt;40,L1270,(L1270-K1249+K1271)*(1+$B$7))</f>
        <v>180954.33356951622</v>
      </c>
      <c r="M1271" s="18">
        <f t="shared" si="147"/>
        <v>455938.06756250066</v>
      </c>
      <c r="N1271" s="18">
        <f>IF($A1271&gt;40,0,(N1249-MIN(MAX(O1270,0),N1249))+MIN(MAX(0,P1270-(N1249-MIN(MAX(O1270,0),N1249))),MAX(0,5*N1249-(O1270-MIN(MAX(O1270,0),N1249)))))</f>
        <v>36975.835937588272</v>
      </c>
      <c r="O1271" s="18">
        <f>IF($A1271&gt;40,O1270,(O1270-N1249+N1271)*(1+$B$7))</f>
        <v>180956.39945094765</v>
      </c>
      <c r="P1271" s="18">
        <f t="shared" si="148"/>
        <v>455922.65318905032</v>
      </c>
      <c r="Q1271" s="18">
        <f>IF($A1271&gt;40,0,(Q1249-MIN(MAX(R1270,0),Q1249))+MIN(MAX(0,S1270-(Q1249-MIN(MAX(R1270,0),Q1249))),MAX(0,5*Q1249-(R1270-MIN(MAX(R1270,0),Q1249)))))</f>
        <v>36975.836904280382</v>
      </c>
      <c r="R1271" s="18">
        <f>IF($A1271&gt;40,R1270,(R1270-Q1249+Q1271)*(1+$B$7))</f>
        <v>180956.40418185154</v>
      </c>
      <c r="S1271" s="18">
        <f t="shared" si="149"/>
        <v>455922.61788987124</v>
      </c>
    </row>
    <row r="1272" spans="1:19">
      <c r="A1272" s="10">
        <f>21</f>
        <v>21</v>
      </c>
      <c r="B1272" s="18">
        <f>IF($A1272&gt;40,0,(B1249-MIN(MAX(C1271,0),B1249))+MIN(MAX(0,D1271-(B1249-MIN(MAX(C1271,0),B1249))),MAX(0,5*B1249-(C1271-MIN(MAX(C1271,0),B1249)))))</f>
        <v>30540</v>
      </c>
      <c r="C1272" s="18">
        <f>IF($A1272&gt;40,C1271,(C1271-B1249+B1272)*(1+$B$7))</f>
        <v>149460</v>
      </c>
      <c r="D1272" s="18">
        <f t="shared" si="144"/>
        <v>680201.67480152054</v>
      </c>
      <c r="E1272" s="18">
        <f>IF($A1272&gt;40,0,(E1249-MIN(MAX(F1271,0),E1249))+MIN(MAX(0,G1271-(E1249-MIN(MAX(F1271,0),E1249))),MAX(0,5*E1249-(F1271-MIN(MAX(F1271,0),E1249)))))</f>
        <v>75000</v>
      </c>
      <c r="F1272" s="18">
        <f>IF($A1272&gt;40,F1271,(F1271-E1249+E1272)*(1+$B$7))</f>
        <v>0</v>
      </c>
      <c r="G1272" s="18">
        <f t="shared" si="145"/>
        <v>-574703.11562188726</v>
      </c>
      <c r="H1272" s="18">
        <f>IF($A1272&gt;40,0,(H1249-MIN(MAX(I1271,0),H1249))+MIN(MAX(0,J1271-(H1249-MIN(MAX(I1271,0),H1249))),MAX(0,5*H1249-(I1271-MIN(MAX(I1271,0),H1249)))))</f>
        <v>37766.127435585804</v>
      </c>
      <c r="I1272" s="18">
        <f>IF($A1272&gt;40,I1271,(I1271-H1249+H1272)*(1+$B$7))</f>
        <v>184824.014620912</v>
      </c>
      <c r="J1272" s="18">
        <f t="shared" si="146"/>
        <v>400977.6519172148</v>
      </c>
      <c r="K1272" s="18">
        <f>IF($A1272&gt;40,0,(K1249-MIN(MAX(L1271,0),K1249))+MIN(MAX(0,M1271-(K1249-MIN(MAX(L1271,0),K1249))),MAX(0,5*K1249-(L1271-MIN(MAX(L1271,0),K1249)))))</f>
        <v>36975.413804449548</v>
      </c>
      <c r="L1272" s="18">
        <f>IF($A1272&gt;40,L1271,(L1271-K1249+K1272)*(1+$B$7))</f>
        <v>180954.33356951622</v>
      </c>
      <c r="M1272" s="18">
        <f t="shared" si="147"/>
        <v>431531.53337079263</v>
      </c>
      <c r="N1272" s="18">
        <f>IF($A1272&gt;40,0,(N1249-MIN(MAX(O1271,0),N1249))+MIN(MAX(0,P1271-(N1249-MIN(MAX(O1271,0),N1249))),MAX(0,5*N1249-(O1271-MIN(MAX(O1271,0),N1249)))))</f>
        <v>36975.835937588272</v>
      </c>
      <c r="O1272" s="18">
        <f>IF($A1272&gt;40,O1271,(O1271-N1249+N1272)*(1+$B$7))</f>
        <v>180956.39945094765</v>
      </c>
      <c r="P1272" s="18">
        <f t="shared" si="148"/>
        <v>431515.22176900588</v>
      </c>
      <c r="Q1272" s="18">
        <f>IF($A1272&gt;40,0,(Q1249-MIN(MAX(R1271,0),Q1249))+MIN(MAX(0,S1271-(Q1249-MIN(MAX(R1271,0),Q1249))),MAX(0,5*Q1249-(R1271-MIN(MAX(R1271,0),Q1249)))))</f>
        <v>36975.836904280382</v>
      </c>
      <c r="R1272" s="18">
        <f>IF($A1272&gt;40,R1271,(R1271-Q1249+Q1272)*(1+$B$7))</f>
        <v>180956.40418185154</v>
      </c>
      <c r="S1272" s="18">
        <f t="shared" si="149"/>
        <v>431515.18441515864</v>
      </c>
    </row>
    <row r="1273" spans="1:19">
      <c r="A1273" s="10">
        <f>22</f>
        <v>22</v>
      </c>
      <c r="B1273" s="18">
        <f>IF($A1273&gt;40,0,(B1249-MIN(MAX(C1272,0),B1249))+MIN(MAX(0,D1272-(B1249-MIN(MAX(C1272,0),B1249))),MAX(0,5*B1249-(C1272-MIN(MAX(C1272,0),B1249)))))</f>
        <v>30540</v>
      </c>
      <c r="C1273" s="18">
        <f>IF($A1273&gt;40,C1272,(C1272-B1249+B1273)*(1+$B$7))</f>
        <v>149460</v>
      </c>
      <c r="D1273" s="18">
        <f t="shared" si="144"/>
        <v>669151.52504556614</v>
      </c>
      <c r="E1273" s="18">
        <f>IF($A1273&gt;40,0,(E1249-MIN(MAX(F1272,0),E1249))+MIN(MAX(0,G1272-(E1249-MIN(MAX(F1272,0),E1249))),MAX(0,5*E1249-(F1272-MIN(MAX(F1272,0),E1249)))))</f>
        <v>75000</v>
      </c>
      <c r="F1273" s="18">
        <f>IF($A1273&gt;40,F1272,(F1272-E1249+E1273)*(1+$B$7))</f>
        <v>0</v>
      </c>
      <c r="G1273" s="18">
        <f t="shared" si="145"/>
        <v>-669194.20909054391</v>
      </c>
      <c r="H1273" s="18">
        <f>IF($A1273&gt;40,0,(H1249-MIN(MAX(I1272,0),H1249))+MIN(MAX(0,J1272-(H1249-MIN(MAX(I1272,0),H1249))),MAX(0,5*H1249-(I1272-MIN(MAX(I1272,0),H1249)))))</f>
        <v>37766.127435585804</v>
      </c>
      <c r="I1273" s="18">
        <f>IF($A1273&gt;40,I1272,(I1272-H1249+H1273)*(1+$B$7))</f>
        <v>184824.014620912</v>
      </c>
      <c r="J1273" s="18">
        <f t="shared" si="146"/>
        <v>374107.87021607789</v>
      </c>
      <c r="K1273" s="18">
        <f>IF($A1273&gt;40,0,(K1249-MIN(MAX(L1272,0),K1249))+MIN(MAX(0,M1272-(K1249-MIN(MAX(L1272,0),K1249))),MAX(0,5*K1249-(L1272-MIN(MAX(L1272,0),K1249)))))</f>
        <v>36975.413804449548</v>
      </c>
      <c r="L1273" s="18">
        <f>IF($A1273&gt;40,L1272,(L1272-K1249+K1273)*(1+$B$7))</f>
        <v>180954.33356951622</v>
      </c>
      <c r="M1273" s="18">
        <f t="shared" si="147"/>
        <v>406392.80315333337</v>
      </c>
      <c r="N1273" s="18">
        <f>IF($A1273&gt;40,0,(N1249-MIN(MAX(O1272,0),N1249))+MIN(MAX(0,P1272-(N1249-MIN(MAX(O1272,0),N1249))),MAX(0,5*N1249-(O1272-MIN(MAX(O1272,0),N1249)))))</f>
        <v>36975.835937588272</v>
      </c>
      <c r="O1273" s="18">
        <f>IF($A1273&gt;40,O1272,(O1272-N1249+N1273)*(1+$B$7))</f>
        <v>180956.39945094765</v>
      </c>
      <c r="P1273" s="18">
        <f t="shared" si="148"/>
        <v>406375.56740636018</v>
      </c>
      <c r="Q1273" s="18">
        <f>IF($A1273&gt;40,0,(Q1249-MIN(MAX(R1272,0),Q1249))+MIN(MAX(0,S1272-(Q1249-MIN(MAX(R1272,0),Q1249))),MAX(0,5*Q1249-(R1272-MIN(MAX(R1272,0),Q1249)))))</f>
        <v>36975.836904280382</v>
      </c>
      <c r="R1273" s="18">
        <f>IF($A1273&gt;40,R1272,(R1272-Q1249+Q1273)*(1+$B$7))</f>
        <v>180956.40418185154</v>
      </c>
      <c r="S1273" s="18">
        <f t="shared" si="149"/>
        <v>406375.52793620457</v>
      </c>
    </row>
    <row r="1274" spans="1:19">
      <c r="A1274" s="10">
        <f>23</f>
        <v>23</v>
      </c>
      <c r="B1274" s="18">
        <f>IF($A1274&gt;40,0,(B1249-MIN(MAX(C1273,0),B1249))+MIN(MAX(0,D1273-(B1249-MIN(MAX(C1273,0),B1249))),MAX(0,5*B1249-(C1273-MIN(MAX(C1273,0),B1249)))))</f>
        <v>30540</v>
      </c>
      <c r="C1274" s="18">
        <f>IF($A1274&gt;40,C1273,(C1273-B1249+B1274)*(1+$B$7))</f>
        <v>149460</v>
      </c>
      <c r="D1274" s="18">
        <f t="shared" si="144"/>
        <v>657769.87079693319</v>
      </c>
      <c r="E1274" s="18">
        <f>IF($A1274&gt;40,0,(E1249-MIN(MAX(F1273,0),E1249))+MIN(MAX(0,G1273-(E1249-MIN(MAX(F1273,0),E1249))),MAX(0,5*E1249-(F1273-MIN(MAX(F1273,0),E1249)))))</f>
        <v>75000</v>
      </c>
      <c r="F1274" s="18">
        <f>IF($A1274&gt;40,F1273,(F1273-E1249+E1274)*(1+$B$7))</f>
        <v>0</v>
      </c>
      <c r="G1274" s="18">
        <f t="shared" si="145"/>
        <v>-766520.03536326019</v>
      </c>
      <c r="H1274" s="18">
        <f>IF($A1274&gt;40,0,(H1249-MIN(MAX(I1273,0),H1249))+MIN(MAX(0,J1273-(H1249-MIN(MAX(I1273,0),H1249))),MAX(0,5*H1249-(I1273-MIN(MAX(I1273,0),H1249)))))</f>
        <v>37766.127435585804</v>
      </c>
      <c r="I1274" s="18">
        <f>IF($A1274&gt;40,I1273,(I1273-H1249+H1274)*(1+$B$7))</f>
        <v>184824.014620912</v>
      </c>
      <c r="J1274" s="18">
        <f t="shared" si="146"/>
        <v>346431.99506390683</v>
      </c>
      <c r="K1274" s="18">
        <f>IF($A1274&gt;40,0,(K1249-MIN(MAX(L1273,0),K1249))+MIN(MAX(0,M1273-(K1249-MIN(MAX(L1273,0),K1249))),MAX(0,5*K1249-(L1273-MIN(MAX(L1273,0),K1249)))))</f>
        <v>36975.413804449548</v>
      </c>
      <c r="L1274" s="18">
        <f>IF($A1274&gt;40,L1273,(L1273-K1249+K1274)*(1+$B$7))</f>
        <v>180954.33356951622</v>
      </c>
      <c r="M1274" s="18">
        <f t="shared" si="147"/>
        <v>380499.91102935036</v>
      </c>
      <c r="N1274" s="18">
        <f>IF($A1274&gt;40,0,(N1249-MIN(MAX(O1273,0),N1249))+MIN(MAX(0,P1273-(N1249-MIN(MAX(O1273,0),N1249))),MAX(0,5*N1249-(O1273-MIN(MAX(O1273,0),N1249)))))</f>
        <v>36975.835937588272</v>
      </c>
      <c r="O1274" s="18">
        <f>IF($A1274&gt;40,O1273,(O1273-N1249+N1274)*(1+$B$7))</f>
        <v>180956.39945094765</v>
      </c>
      <c r="P1274" s="18">
        <f t="shared" si="148"/>
        <v>380481.7234128351</v>
      </c>
      <c r="Q1274" s="18">
        <f>IF($A1274&gt;40,0,(Q1249-MIN(MAX(R1273,0),Q1249))+MIN(MAX(0,S1273-(Q1249-MIN(MAX(R1273,0),Q1249))),MAX(0,5*Q1249-(R1273-MIN(MAX(R1273,0),Q1249)))))</f>
        <v>36975.836904280382</v>
      </c>
      <c r="R1274" s="18">
        <f>IF($A1274&gt;40,R1273,(R1273-Q1249+Q1274)*(1+$B$7))</f>
        <v>180956.40418185154</v>
      </c>
      <c r="S1274" s="18">
        <f t="shared" si="149"/>
        <v>380481.68176288193</v>
      </c>
    </row>
    <row r="1275" spans="1:19">
      <c r="A1275" s="10">
        <f>24</f>
        <v>24</v>
      </c>
      <c r="B1275" s="18">
        <f>IF($A1275&gt;40,0,(B1249-MIN(MAX(C1274,0),B1249))+MIN(MAX(0,D1274-(B1249-MIN(MAX(C1274,0),B1249))),MAX(0,5*B1249-(C1274-MIN(MAX(C1274,0),B1249)))))</f>
        <v>30540</v>
      </c>
      <c r="C1275" s="18">
        <f>IF($A1275&gt;40,C1274,(C1274-B1249+B1275)*(1+$B$7))</f>
        <v>149460</v>
      </c>
      <c r="D1275" s="18">
        <f t="shared" si="144"/>
        <v>646046.76692084118</v>
      </c>
      <c r="E1275" s="18">
        <f>IF($A1275&gt;40,0,(E1249-MIN(MAX(F1274,0),E1249))+MIN(MAX(0,G1274-(E1249-MIN(MAX(F1274,0),E1249))),MAX(0,5*E1249-(F1274-MIN(MAX(F1274,0),E1249)))))</f>
        <v>75000</v>
      </c>
      <c r="F1275" s="18">
        <f>IF($A1275&gt;40,F1274,(F1274-E1249+E1275)*(1+$B$7))</f>
        <v>0</v>
      </c>
      <c r="G1275" s="18">
        <f t="shared" si="145"/>
        <v>-866765.636424158</v>
      </c>
      <c r="H1275" s="18">
        <f>IF($A1275&gt;40,0,(H1249-MIN(MAX(I1274,0),H1249))+MIN(MAX(0,J1274-(H1249-MIN(MAX(I1274,0),H1249))),MAX(0,5*H1249-(I1274-MIN(MAX(I1274,0),H1249)))))</f>
        <v>37766.127435585804</v>
      </c>
      <c r="I1275" s="18">
        <f>IF($A1275&gt;40,I1274,(I1274-H1249+H1275)*(1+$B$7))</f>
        <v>184824.014620912</v>
      </c>
      <c r="J1275" s="18">
        <f t="shared" si="146"/>
        <v>317925.84365717071</v>
      </c>
      <c r="K1275" s="18">
        <f>IF($A1275&gt;40,0,(K1249-MIN(MAX(L1274,0),K1249))+MIN(MAX(0,M1274-(K1249-MIN(MAX(L1274,0),K1249))),MAX(0,5*K1249-(L1274-MIN(MAX(L1274,0),K1249)))))</f>
        <v>36975.413804449548</v>
      </c>
      <c r="L1275" s="18">
        <f>IF($A1275&gt;40,L1274,(L1274-K1249+K1275)*(1+$B$7))</f>
        <v>180954.33356951622</v>
      </c>
      <c r="M1275" s="18">
        <f t="shared" si="147"/>
        <v>353830.23214164784</v>
      </c>
      <c r="N1275" s="18">
        <f>IF($A1275&gt;40,0,(N1249-MIN(MAX(O1274,0),N1249))+MIN(MAX(0,P1274-(N1249-MIN(MAX(O1274,0),N1249))),MAX(0,5*N1249-(O1274-MIN(MAX(O1274,0),N1249)))))</f>
        <v>36975.835937588272</v>
      </c>
      <c r="O1275" s="18">
        <f>IF($A1275&gt;40,O1274,(O1274-N1249+N1275)*(1+$B$7))</f>
        <v>180956.39945094765</v>
      </c>
      <c r="P1275" s="18">
        <f t="shared" si="148"/>
        <v>353811.0640995042</v>
      </c>
      <c r="Q1275" s="18">
        <f>IF($A1275&gt;40,0,(Q1249-MIN(MAX(R1274,0),Q1249))+MIN(MAX(0,S1274-(Q1249-MIN(MAX(R1274,0),Q1249))),MAX(0,5*Q1249-(R1274-MIN(MAX(R1274,0),Q1249)))))</f>
        <v>36975.836904280382</v>
      </c>
      <c r="R1275" s="18">
        <f>IF($A1275&gt;40,R1274,(R1274-Q1249+Q1275)*(1+$B$7))</f>
        <v>180956.40418185154</v>
      </c>
      <c r="S1275" s="18">
        <f t="shared" si="149"/>
        <v>353811.02020435961</v>
      </c>
    </row>
    <row r="1276" spans="1:19">
      <c r="A1276" s="10">
        <f>25</f>
        <v>25</v>
      </c>
      <c r="B1276" s="18">
        <f>IF($A1276&gt;40,0,(B1249-MIN(MAX(C1275,0),B1249))+MIN(MAX(0,D1275-(B1249-MIN(MAX(C1275,0),B1249))),MAX(0,5*B1249-(C1275-MIN(MAX(C1275,0),B1249)))))</f>
        <v>30540</v>
      </c>
      <c r="C1276" s="18">
        <f>IF($A1276&gt;40,C1275,(C1275-B1249+B1276)*(1+$B$7))</f>
        <v>149460</v>
      </c>
      <c r="D1276" s="18">
        <f t="shared" si="144"/>
        <v>633971.96992846648</v>
      </c>
      <c r="E1276" s="18">
        <f>IF($A1276&gt;40,0,(E1249-MIN(MAX(F1275,0),E1249))+MIN(MAX(0,G1275-(E1249-MIN(MAX(F1275,0),E1249))),MAX(0,5*E1249-(F1275-MIN(MAX(F1275,0),E1249)))))</f>
        <v>75000</v>
      </c>
      <c r="F1276" s="18">
        <f>IF($A1276&gt;40,F1275,(F1275-E1249+E1276)*(1+$B$7))</f>
        <v>0</v>
      </c>
      <c r="G1276" s="18">
        <f t="shared" si="145"/>
        <v>-970018.60551688273</v>
      </c>
      <c r="H1276" s="18">
        <f>IF($A1276&gt;40,0,(H1249-MIN(MAX(I1275,0),H1249))+MIN(MAX(0,J1275-(H1249-MIN(MAX(I1275,0),H1249))),MAX(0,5*H1249-(I1275-MIN(MAX(I1275,0),H1249)))))</f>
        <v>37766.127435585804</v>
      </c>
      <c r="I1276" s="18">
        <f>IF($A1276&gt;40,I1275,(I1275-H1249+H1276)*(1+$B$7))</f>
        <v>184824.014620912</v>
      </c>
      <c r="J1276" s="18">
        <f t="shared" si="146"/>
        <v>288564.5077082325</v>
      </c>
      <c r="K1276" s="18">
        <f>IF($A1276&gt;40,0,(K1249-MIN(MAX(L1275,0),K1249))+MIN(MAX(0,M1275-(K1249-MIN(MAX(L1275,0),K1249))),MAX(0,5*K1249-(L1275-MIN(MAX(L1275,0),K1249)))))</f>
        <v>36975.413804449548</v>
      </c>
      <c r="L1276" s="18">
        <f>IF($A1276&gt;40,L1275,(L1275-K1249+K1276)*(1+$B$7))</f>
        <v>180954.33356951622</v>
      </c>
      <c r="M1276" s="18">
        <f t="shared" si="147"/>
        <v>326360.46288731426</v>
      </c>
      <c r="N1276" s="18">
        <f>IF($A1276&gt;40,0,(N1249-MIN(MAX(O1275,0),N1249))+MIN(MAX(0,P1275-(N1249-MIN(MAX(O1275,0),N1249))),MAX(0,5*N1249-(O1275-MIN(MAX(O1275,0),N1249)))))</f>
        <v>36975.835937588272</v>
      </c>
      <c r="O1276" s="18">
        <f>IF($A1276&gt;40,O1275,(O1275-N1249+N1276)*(1+$B$7))</f>
        <v>180956.39945094765</v>
      </c>
      <c r="P1276" s="18">
        <f t="shared" si="148"/>
        <v>326340.28500677337</v>
      </c>
      <c r="Q1276" s="18">
        <f>IF($A1276&gt;40,0,(Q1249-MIN(MAX(R1275,0),Q1249))+MIN(MAX(0,S1275-(Q1249-MIN(MAX(R1275,0),Q1249))),MAX(0,5*Q1249-(R1275-MIN(MAX(R1275,0),Q1249)))))</f>
        <v>36975.836904280382</v>
      </c>
      <c r="R1276" s="18">
        <f>IF($A1276&gt;40,R1275,(R1275-Q1249+Q1276)*(1+$B$7))</f>
        <v>180956.40418185154</v>
      </c>
      <c r="S1276" s="18">
        <f t="shared" si="149"/>
        <v>326340.23879908159</v>
      </c>
    </row>
    <row r="1277" spans="1:19">
      <c r="A1277" s="10">
        <f>26</f>
        <v>26</v>
      </c>
      <c r="B1277" s="18">
        <f>IF($A1277&gt;40,0,(B1249-MIN(MAX(C1276,0),B1249))+MIN(MAX(0,D1276-(B1249-MIN(MAX(C1276,0),B1249))),MAX(0,5*B1249-(C1276-MIN(MAX(C1276,0),B1249)))))</f>
        <v>30540</v>
      </c>
      <c r="C1277" s="18">
        <f>IF($A1277&gt;40,C1276,(C1276-B1249+B1277)*(1+$B$7))</f>
        <v>149460</v>
      </c>
      <c r="D1277" s="18">
        <f t="shared" si="144"/>
        <v>621534.92902632046</v>
      </c>
      <c r="E1277" s="18">
        <f>IF($A1277&gt;40,0,(E1249-MIN(MAX(F1276,0),E1249))+MIN(MAX(0,G1276-(E1249-MIN(MAX(F1276,0),E1249))),MAX(0,5*E1249-(F1276-MIN(MAX(F1276,0),E1249)))))</f>
        <v>75000</v>
      </c>
      <c r="F1277" s="18">
        <f>IF($A1277&gt;40,F1276,(F1276-E1249+E1277)*(1+$B$7))</f>
        <v>0</v>
      </c>
      <c r="G1277" s="18">
        <f t="shared" si="145"/>
        <v>-1076369.1636823893</v>
      </c>
      <c r="H1277" s="18">
        <f>IF($A1277&gt;40,0,(H1249-MIN(MAX(I1276,0),H1249))+MIN(MAX(0,J1276-(H1249-MIN(MAX(I1276,0),H1249))),MAX(0,5*H1249-(I1276-MIN(MAX(I1276,0),H1249)))))</f>
        <v>37766.127435585804</v>
      </c>
      <c r="I1277" s="18">
        <f>IF($A1277&gt;40,I1276,(I1276-H1249+H1277)*(1+$B$7))</f>
        <v>184824.014620912</v>
      </c>
      <c r="J1277" s="18">
        <f t="shared" si="146"/>
        <v>258322.33168082612</v>
      </c>
      <c r="K1277" s="18">
        <f>IF($A1277&gt;40,0,(K1249-MIN(MAX(L1276,0),K1249))+MIN(MAX(0,M1276-(K1249-MIN(MAX(L1276,0),K1249))),MAX(0,5*K1249-(L1276-MIN(MAX(L1276,0),K1249)))))</f>
        <v>36975.413804449548</v>
      </c>
      <c r="L1277" s="18">
        <f>IF($A1277&gt;40,L1276,(L1276-K1249+K1277)*(1+$B$7))</f>
        <v>180954.33356951622</v>
      </c>
      <c r="M1277" s="18">
        <f t="shared" si="147"/>
        <v>298066.60055535065</v>
      </c>
      <c r="N1277" s="18">
        <f>IF($A1277&gt;40,0,(N1249-MIN(MAX(O1276,0),N1249))+MIN(MAX(0,P1276-(N1249-MIN(MAX(O1276,0),N1249))),MAX(0,5*N1249-(O1276-MIN(MAX(O1276,0),N1249)))))</f>
        <v>36975.835937588272</v>
      </c>
      <c r="O1277" s="18">
        <f>IF($A1277&gt;40,O1276,(O1276-N1249+N1277)*(1+$B$7))</f>
        <v>180956.39945094765</v>
      </c>
      <c r="P1277" s="18">
        <f t="shared" si="148"/>
        <v>298045.38254126062</v>
      </c>
      <c r="Q1277" s="18">
        <f>IF($A1277&gt;40,0,(Q1249-MIN(MAX(R1276,0),Q1249))+MIN(MAX(0,S1276-(Q1249-MIN(MAX(R1276,0),Q1249))),MAX(0,5*Q1249-(R1276-MIN(MAX(R1276,0),Q1249)))))</f>
        <v>36975.836904280382</v>
      </c>
      <c r="R1277" s="18">
        <f>IF($A1277&gt;40,R1276,(R1276-Q1249+Q1277)*(1+$B$7))</f>
        <v>180956.40418185154</v>
      </c>
      <c r="S1277" s="18">
        <f t="shared" si="149"/>
        <v>298045.33395164524</v>
      </c>
    </row>
    <row r="1278" spans="1:19">
      <c r="A1278" s="10">
        <f>27</f>
        <v>27</v>
      </c>
      <c r="B1278" s="18">
        <f>IF($A1278&gt;40,0,(B1249-MIN(MAX(C1277,0),B1249))+MIN(MAX(0,D1277-(B1249-MIN(MAX(C1277,0),B1249))),MAX(0,5*B1249-(C1277-MIN(MAX(C1277,0),B1249)))))</f>
        <v>30540</v>
      </c>
      <c r="C1278" s="18">
        <f>IF($A1278&gt;40,C1277,(C1277-B1249+B1278)*(1+$B$7))</f>
        <v>149460</v>
      </c>
      <c r="D1278" s="18">
        <f t="shared" si="144"/>
        <v>608724.77689711004</v>
      </c>
      <c r="E1278" s="18">
        <f>IF($A1278&gt;40,0,(E1249-MIN(MAX(F1277,0),E1249))+MIN(MAX(0,G1277-(E1249-MIN(MAX(F1277,0),E1249))),MAX(0,5*E1249-(F1277-MIN(MAX(F1277,0),E1249)))))</f>
        <v>75000</v>
      </c>
      <c r="F1278" s="18">
        <f>IF($A1278&gt;40,F1277,(F1277-E1249+E1278)*(1+$B$7))</f>
        <v>0</v>
      </c>
      <c r="G1278" s="18">
        <f t="shared" si="145"/>
        <v>-1185910.238592861</v>
      </c>
      <c r="H1278" s="18">
        <f>IF($A1278&gt;40,0,(H1249-MIN(MAX(I1277,0),H1249))+MIN(MAX(0,J1277-(H1249-MIN(MAX(I1277,0),H1249))),MAX(0,5*H1249-(I1277-MIN(MAX(I1277,0),H1249)))))</f>
        <v>37766.127435585804</v>
      </c>
      <c r="I1278" s="18">
        <f>IF($A1278&gt;40,I1277,(I1277-H1249+H1278)*(1+$B$7))</f>
        <v>184824.014620912</v>
      </c>
      <c r="J1278" s="18">
        <f t="shared" si="146"/>
        <v>227172.89037259753</v>
      </c>
      <c r="K1278" s="18">
        <f>IF($A1278&gt;40,0,(K1249-MIN(MAX(L1277,0),K1249))+MIN(MAX(0,M1277-(K1249-MIN(MAX(L1277,0),K1249))),MAX(0,5*K1249-(L1277-MIN(MAX(L1277,0),K1249)))))</f>
        <v>36975.413804449548</v>
      </c>
      <c r="L1278" s="18">
        <f>IF($A1278&gt;40,L1277,(L1277-K1249+K1278)*(1+$B$7))</f>
        <v>180954.33356951622</v>
      </c>
      <c r="M1278" s="18">
        <f t="shared" si="147"/>
        <v>268923.92235342815</v>
      </c>
      <c r="N1278" s="18">
        <f>IF($A1278&gt;40,0,(N1249-MIN(MAX(O1277,0),N1249))+MIN(MAX(0,P1277-(N1249-MIN(MAX(O1277,0),N1249))),MAX(0,5*N1249-(O1277-MIN(MAX(O1277,0),N1249)))))</f>
        <v>36975.835937588272</v>
      </c>
      <c r="O1278" s="18">
        <f>IF($A1278&gt;40,O1277,(O1277-N1249+N1278)*(1+$B$7))</f>
        <v>180956.39945094765</v>
      </c>
      <c r="P1278" s="18">
        <f t="shared" si="148"/>
        <v>268901.63300178252</v>
      </c>
      <c r="Q1278" s="18">
        <f>IF($A1278&gt;40,0,(Q1249-MIN(MAX(R1277,0),Q1249))+MIN(MAX(0,S1277-(Q1249-MIN(MAX(R1277,0),Q1249))),MAX(0,5*Q1249-(R1277-MIN(MAX(R1277,0),Q1249)))))</f>
        <v>36975.836904280382</v>
      </c>
      <c r="R1278" s="18">
        <f>IF($A1278&gt;40,R1277,(R1277-Q1249+Q1278)*(1+$B$7))</f>
        <v>180956.40418185154</v>
      </c>
      <c r="S1278" s="18">
        <f t="shared" si="149"/>
        <v>268901.58195878583</v>
      </c>
    </row>
    <row r="1279" spans="1:19">
      <c r="A1279" s="10">
        <f>28</f>
        <v>28</v>
      </c>
      <c r="B1279" s="18">
        <f>IF($A1279&gt;40,0,(B1249-MIN(MAX(C1278,0),B1249))+MIN(MAX(0,D1278-(B1249-MIN(MAX(C1278,0),B1249))),MAX(0,5*B1249-(C1278-MIN(MAX(C1278,0),B1249)))))</f>
        <v>30540</v>
      </c>
      <c r="C1279" s="18">
        <f>IF($A1279&gt;40,C1278,(C1278-B1249+B1279)*(1+$B$7))</f>
        <v>149460</v>
      </c>
      <c r="D1279" s="18">
        <f t="shared" si="144"/>
        <v>595530.32020402339</v>
      </c>
      <c r="E1279" s="18">
        <f>IF($A1279&gt;40,0,(E1249-MIN(MAX(F1278,0),E1249))+MIN(MAX(0,G1278-(E1249-MIN(MAX(F1278,0),E1249))),MAX(0,5*E1249-(F1278-MIN(MAX(F1278,0),E1249)))))</f>
        <v>75000</v>
      </c>
      <c r="F1279" s="18">
        <f>IF($A1279&gt;40,F1278,(F1278-E1249+E1279)*(1+$B$7))</f>
        <v>0</v>
      </c>
      <c r="G1279" s="18">
        <f t="shared" si="145"/>
        <v>-1298737.5457506469</v>
      </c>
      <c r="H1279" s="18">
        <f>IF($A1279&gt;40,0,(H1249-MIN(MAX(I1278,0),H1249))+MIN(MAX(0,J1278-(H1249-MIN(MAX(I1278,0),H1249))),MAX(0,5*H1249-(I1278-MIN(MAX(I1278,0),H1249)))))</f>
        <v>37766.127435585804</v>
      </c>
      <c r="I1279" s="18">
        <f>IF($A1279&gt;40,I1278,(I1278-H1249+H1279)*(1+$B$7))</f>
        <v>184824.014620912</v>
      </c>
      <c r="J1279" s="18">
        <f t="shared" si="146"/>
        <v>195088.96582512208</v>
      </c>
      <c r="K1279" s="18">
        <f>IF($A1279&gt;40,0,(K1249-MIN(MAX(L1278,0),K1249))+MIN(MAX(0,M1278-(K1249-MIN(MAX(L1278,0),K1249))),MAX(0,5*K1249-(L1278-MIN(MAX(L1278,0),K1249)))))</f>
        <v>36975.413804449548</v>
      </c>
      <c r="L1279" s="18">
        <f>IF($A1279&gt;40,L1278,(L1278-K1249+K1279)*(1+$B$7))</f>
        <v>180954.33356951622</v>
      </c>
      <c r="M1279" s="18">
        <f t="shared" si="147"/>
        <v>238906.96380544797</v>
      </c>
      <c r="N1279" s="18">
        <f>IF($A1279&gt;40,0,(N1249-MIN(MAX(O1278,0),N1249))+MIN(MAX(0,P1278-(N1249-MIN(MAX(O1278,0),N1249))),MAX(0,5*N1249-(O1278-MIN(MAX(O1278,0),N1249)))))</f>
        <v>36975.835937588272</v>
      </c>
      <c r="O1279" s="18">
        <f>IF($A1279&gt;40,O1278,(O1278-N1249+N1279)*(1+$B$7))</f>
        <v>180956.39945094765</v>
      </c>
      <c r="P1279" s="18">
        <f t="shared" si="148"/>
        <v>238883.5709761201</v>
      </c>
      <c r="Q1279" s="18">
        <f>IF($A1279&gt;40,0,(Q1249-MIN(MAX(R1278,0),Q1249))+MIN(MAX(0,S1278-(Q1249-MIN(MAX(R1278,0),Q1249))),MAX(0,5*Q1249-(R1278-MIN(MAX(R1278,0),Q1249)))))</f>
        <v>36975.836904280382</v>
      </c>
      <c r="R1279" s="18">
        <f>IF($A1279&gt;40,R1278,(R1278-Q1249+Q1279)*(1+$B$7))</f>
        <v>180956.40418185154</v>
      </c>
      <c r="S1279" s="18">
        <f t="shared" si="149"/>
        <v>238883.51740614063</v>
      </c>
    </row>
    <row r="1280" spans="1:19">
      <c r="A1280" s="10">
        <f>29</f>
        <v>29</v>
      </c>
      <c r="B1280" s="18">
        <f>IF($A1280&gt;40,0,(B1249-MIN(MAX(C1279,0),B1249))+MIN(MAX(0,D1279-(B1249-MIN(MAX(C1279,0),B1249))),MAX(0,5*B1249-(C1279-MIN(MAX(C1279,0),B1249)))))</f>
        <v>30540</v>
      </c>
      <c r="C1280" s="18">
        <f>IF($A1280&gt;40,C1279,(C1279-B1249+B1280)*(1+$B$7))</f>
        <v>149460</v>
      </c>
      <c r="D1280" s="18">
        <f t="shared" si="144"/>
        <v>581940.0298101441</v>
      </c>
      <c r="E1280" s="18">
        <f>IF($A1280&gt;40,0,(E1249-MIN(MAX(F1279,0),E1249))+MIN(MAX(0,G1279-(E1249-MIN(MAX(F1279,0),E1249))),MAX(0,5*E1249-(F1279-MIN(MAX(F1279,0),E1249)))))</f>
        <v>75000</v>
      </c>
      <c r="F1280" s="18">
        <f>IF($A1280&gt;40,F1279,(F1279-E1249+E1280)*(1+$B$7))</f>
        <v>0</v>
      </c>
      <c r="G1280" s="18">
        <f t="shared" si="145"/>
        <v>-1414949.6721231663</v>
      </c>
      <c r="H1280" s="18">
        <f>IF($A1280&gt;40,0,(H1249-MIN(MAX(I1279,0),H1249))+MIN(MAX(0,J1279-(H1249-MIN(MAX(I1279,0),H1249))),MAX(0,5*H1249-(I1279-MIN(MAX(I1279,0),H1249)))))</f>
        <v>37766.127435585804</v>
      </c>
      <c r="I1280" s="18">
        <f>IF($A1280&gt;40,I1279,(I1279-H1249+H1280)*(1+$B$7))</f>
        <v>184824.014620912</v>
      </c>
      <c r="J1280" s="18">
        <f t="shared" si="146"/>
        <v>162042.52354122238</v>
      </c>
      <c r="K1280" s="18">
        <f>IF($A1280&gt;40,0,(K1249-MIN(MAX(L1279,0),K1249))+MIN(MAX(0,M1279-(K1249-MIN(MAX(L1279,0),K1249))),MAX(0,5*K1249-(L1279-MIN(MAX(L1279,0),K1249)))))</f>
        <v>36975.413804449548</v>
      </c>
      <c r="L1280" s="18">
        <f>IF($A1280&gt;40,L1279,(L1279-K1249+K1280)*(1+$B$7))</f>
        <v>180954.33356951622</v>
      </c>
      <c r="M1280" s="18">
        <f t="shared" si="147"/>
        <v>207989.49650102839</v>
      </c>
      <c r="N1280" s="18">
        <f>IF($A1280&gt;40,0,(N1249-MIN(MAX(O1279,0),N1249))+MIN(MAX(0,P1279-(N1249-MIN(MAX(O1279,0),N1249))),MAX(0,5*N1249-(O1279-MIN(MAX(O1279,0),N1249)))))</f>
        <v>36975.835937588272</v>
      </c>
      <c r="O1280" s="18">
        <f>IF($A1280&gt;40,O1279,(O1279-N1249+N1280)*(1+$B$7))</f>
        <v>180956.39945094765</v>
      </c>
      <c r="P1280" s="18">
        <f t="shared" si="148"/>
        <v>207964.96708968779</v>
      </c>
      <c r="Q1280" s="18">
        <f>IF($A1280&gt;40,0,(Q1249-MIN(MAX(R1279,0),Q1249))+MIN(MAX(0,S1279-(Q1249-MIN(MAX(R1279,0),Q1249))),MAX(0,5*Q1249-(R1279-MIN(MAX(R1279,0),Q1249)))))</f>
        <v>36975.836904280382</v>
      </c>
      <c r="R1280" s="18">
        <f>IF($A1280&gt;40,R1279,(R1279-Q1249+Q1280)*(1+$B$7))</f>
        <v>180956.40418185154</v>
      </c>
      <c r="S1280" s="18">
        <f t="shared" si="149"/>
        <v>207964.91091691607</v>
      </c>
    </row>
    <row r="1281" spans="1:19">
      <c r="A1281" s="10">
        <f>30</f>
        <v>30</v>
      </c>
      <c r="B1281" s="18">
        <f>IF($A1281&gt;40,0,(B1249-MIN(MAX(C1280,0),B1249))+MIN(MAX(0,D1280-(B1249-MIN(MAX(C1280,0),B1249))),MAX(0,5*B1249-(C1280-MIN(MAX(C1280,0),B1249)))))</f>
        <v>30540</v>
      </c>
      <c r="C1281" s="18">
        <f>IF($A1281&gt;40,C1280,(C1280-B1249+B1281)*(1+$B$7))</f>
        <v>149460</v>
      </c>
      <c r="D1281" s="18">
        <f t="shared" si="144"/>
        <v>567942.03070444847</v>
      </c>
      <c r="E1281" s="18">
        <f>IF($A1281&gt;40,0,(E1249-MIN(MAX(F1280,0),E1249))+MIN(MAX(0,G1280-(E1249-MIN(MAX(F1280,0),E1249))),MAX(0,5*E1249-(F1280-MIN(MAX(F1280,0),E1249)))))</f>
        <v>75000</v>
      </c>
      <c r="F1281" s="18">
        <f>IF($A1281&gt;40,F1280,(F1280-E1249+E1281)*(1+$B$7))</f>
        <v>0</v>
      </c>
      <c r="G1281" s="18">
        <f t="shared" si="145"/>
        <v>-1534648.1622868613</v>
      </c>
      <c r="H1281" s="18">
        <f>IF($A1281&gt;40,0,(H1249-MIN(MAX(I1280,0),H1249))+MIN(MAX(0,J1280-(H1249-MIN(MAX(I1280,0),H1249))),MAX(0,5*H1249-(I1280-MIN(MAX(I1280,0),H1249)))))</f>
        <v>37766.127435585804</v>
      </c>
      <c r="I1281" s="18">
        <f>IF($A1281&gt;40,I1280,(I1280-H1249+H1281)*(1+$B$7))</f>
        <v>184824.014620912</v>
      </c>
      <c r="J1281" s="18">
        <f t="shared" si="146"/>
        <v>128004.68798880569</v>
      </c>
      <c r="K1281" s="18">
        <f>IF($A1281&gt;40,0,(K1249-MIN(MAX(L1280,0),K1249))+MIN(MAX(0,M1280-(K1249-MIN(MAX(L1280,0),K1249))),MAX(0,5*K1249-(L1280-MIN(MAX(L1280,0),K1249)))))</f>
        <v>36975.413804449548</v>
      </c>
      <c r="L1281" s="18">
        <f>IF($A1281&gt;40,L1280,(L1280-K1249+K1281)*(1+$B$7))</f>
        <v>180954.33356951622</v>
      </c>
      <c r="M1281" s="18">
        <f t="shared" si="147"/>
        <v>176144.50517747621</v>
      </c>
      <c r="N1281" s="18">
        <f>IF($A1281&gt;40,0,(N1249-MIN(MAX(O1280,0),N1249))+MIN(MAX(0,P1280-(N1249-MIN(MAX(O1280,0),N1249))),MAX(0,5*N1249-(O1280-MIN(MAX(O1280,0),N1249)))))</f>
        <v>36975.835937588272</v>
      </c>
      <c r="O1281" s="18">
        <f>IF($A1281&gt;40,O1280,(O1280-N1249+N1281)*(1+$B$7))</f>
        <v>180956.39945094765</v>
      </c>
      <c r="P1281" s="18">
        <f t="shared" si="148"/>
        <v>176118.8050866625</v>
      </c>
      <c r="Q1281" s="18">
        <f>IF($A1281&gt;40,0,(Q1249-MIN(MAX(R1280,0),Q1249))+MIN(MAX(0,S1280-(Q1249-MIN(MAX(R1280,0),Q1249))),MAX(0,5*Q1249-(R1280-MIN(MAX(R1280,0),Q1249)))))</f>
        <v>36975.836904280382</v>
      </c>
      <c r="R1281" s="18">
        <f>IF($A1281&gt;40,R1280,(R1280-Q1249+Q1281)*(1+$B$7))</f>
        <v>180956.40418185154</v>
      </c>
      <c r="S1281" s="18">
        <f t="shared" si="149"/>
        <v>176118.74623301477</v>
      </c>
    </row>
    <row r="1282" spans="1:19">
      <c r="A1282" s="10">
        <f>31</f>
        <v>31</v>
      </c>
      <c r="B1282" s="18">
        <f>IF($A1282&gt;40,0,(B1249-MIN(MAX(C1281,0),B1249))+MIN(MAX(0,D1281-(B1249-MIN(MAX(C1281,0),B1249))),MAX(0,5*B1249-(C1281-MIN(MAX(C1281,0),B1249)))))</f>
        <v>30540</v>
      </c>
      <c r="C1282" s="18">
        <f>IF($A1282&gt;40,C1281,(C1281-B1249+B1282)*(1+$B$7))</f>
        <v>149460</v>
      </c>
      <c r="D1282" s="18">
        <f t="shared" si="144"/>
        <v>553524.09162558196</v>
      </c>
      <c r="E1282" s="18">
        <f>IF($A1282&gt;40,0,(E1249-MIN(MAX(F1281,0),E1249))+MIN(MAX(0,G1281-(E1249-MIN(MAX(F1281,0),E1249))),MAX(0,5*E1249-(F1281-MIN(MAX(F1281,0),E1249)))))</f>
        <v>75000</v>
      </c>
      <c r="F1282" s="18">
        <f>IF($A1282&gt;40,F1281,(F1281-E1249+E1282)*(1+$B$7))</f>
        <v>0</v>
      </c>
      <c r="G1282" s="18">
        <f t="shared" si="145"/>
        <v>-1657937.6071554672</v>
      </c>
      <c r="H1282" s="18">
        <f>IF($A1282&gt;40,0,(H1249-MIN(MAX(I1281,0),H1249))+MIN(MAX(0,J1281-(H1249-MIN(MAX(I1281,0),H1249))),MAX(0,5*H1249-(I1281-MIN(MAX(I1281,0),H1249)))))</f>
        <v>37766.127435585804</v>
      </c>
      <c r="I1282" s="18">
        <f>IF($A1282&gt;40,I1281,(I1281-H1249+H1282)*(1+$B$7))</f>
        <v>184824.014620912</v>
      </c>
      <c r="J1282" s="18">
        <f t="shared" si="146"/>
        <v>92945.717369816484</v>
      </c>
      <c r="K1282" s="18">
        <f>IF($A1282&gt;40,0,(K1249-MIN(MAX(L1281,0),K1249))+MIN(MAX(0,M1281-(K1249-MIN(MAX(L1281,0),K1249))),MAX(0,5*K1249-(L1281-MIN(MAX(L1281,0),K1249)))))</f>
        <v>36975.413804449548</v>
      </c>
      <c r="L1282" s="18">
        <f>IF($A1282&gt;40,L1281,(L1281-K1249+K1282)*(1+$B$7))</f>
        <v>180954.33356951622</v>
      </c>
      <c r="M1282" s="18">
        <f t="shared" si="147"/>
        <v>143344.16411421748</v>
      </c>
      <c r="N1282" s="18">
        <f>IF($A1282&gt;40,0,(N1249-MIN(MAX(O1281,0),N1249))+MIN(MAX(0,P1281-(N1249-MIN(MAX(O1281,0),N1249))),MAX(0,5*N1249-(O1281-MIN(MAX(O1281,0),N1249)))))</f>
        <v>36975.835937588272</v>
      </c>
      <c r="O1282" s="18">
        <f>IF($A1282&gt;40,O1281,(O1281-N1249+N1282)*(1+$B$7))</f>
        <v>180956.39945094765</v>
      </c>
      <c r="P1282" s="18">
        <f t="shared" si="148"/>
        <v>143317.25822354647</v>
      </c>
      <c r="Q1282" s="18">
        <f>IF($A1282&gt;40,0,(Q1249-MIN(MAX(R1281,0),Q1249))+MIN(MAX(0,S1281-(Q1249-MIN(MAX(R1281,0),Q1249))),MAX(0,5*Q1249-(R1281-MIN(MAX(R1281,0),Q1249)))))</f>
        <v>36975.836904280382</v>
      </c>
      <c r="R1282" s="18">
        <f>IF($A1282&gt;40,R1281,(R1281-Q1249+Q1282)*(1+$B$7))</f>
        <v>180956.40418185154</v>
      </c>
      <c r="S1282" s="18">
        <f t="shared" si="149"/>
        <v>143317.19660859642</v>
      </c>
    </row>
    <row r="1283" spans="1:19">
      <c r="A1283" s="10">
        <f>32</f>
        <v>32</v>
      </c>
      <c r="B1283" s="18">
        <f>IF($A1283&gt;40,0,(B1249-MIN(MAX(C1282,0),B1249))+MIN(MAX(0,D1282-(B1249-MIN(MAX(C1282,0),B1249))),MAX(0,5*B1249-(C1282-MIN(MAX(C1282,0),B1249)))))</f>
        <v>30540</v>
      </c>
      <c r="C1283" s="18">
        <f>IF($A1283&gt;40,C1282,(C1282-B1249+B1283)*(1+$B$7))</f>
        <v>149460</v>
      </c>
      <c r="D1283" s="18">
        <f t="shared" si="144"/>
        <v>538673.61437434948</v>
      </c>
      <c r="E1283" s="18">
        <f>IF($A1283&gt;40,0,(E1249-MIN(MAX(F1282,0),E1249))+MIN(MAX(0,G1282-(E1249-MIN(MAX(F1282,0),E1249))),MAX(0,5*E1249-(F1282-MIN(MAX(F1282,0),E1249)))))</f>
        <v>75000</v>
      </c>
      <c r="F1283" s="18">
        <f>IF($A1283&gt;40,F1282,(F1282-E1249+E1283)*(1+$B$7))</f>
        <v>0</v>
      </c>
      <c r="G1283" s="18">
        <f t="shared" si="145"/>
        <v>-1784925.7353701312</v>
      </c>
      <c r="H1283" s="18">
        <f>IF($A1283&gt;40,0,(H1249-MIN(MAX(I1282,0),H1249))+MIN(MAX(0,J1282-(H1249-MIN(MAX(I1282,0),H1249))),MAX(0,5*H1249-(I1282-MIN(MAX(I1282,0),H1249)))))</f>
        <v>37766.127435585804</v>
      </c>
      <c r="I1283" s="18">
        <f>IF($A1283&gt;40,I1282,(I1282-H1249+H1283)*(1+$B$7))</f>
        <v>184824.014620912</v>
      </c>
      <c r="J1283" s="18">
        <f t="shared" si="146"/>
        <v>56834.9776322576</v>
      </c>
      <c r="K1283" s="18">
        <f>IF($A1283&gt;40,0,(K1249-MIN(MAX(L1282,0),K1249))+MIN(MAX(0,M1282-(K1249-MIN(MAX(L1282,0),K1249))),MAX(0,5*K1249-(L1282-MIN(MAX(L1282,0),K1249)))))</f>
        <v>36975.413804449548</v>
      </c>
      <c r="L1283" s="18">
        <f>IF($A1283&gt;40,L1282,(L1282-K1249+K1283)*(1+$B$7))</f>
        <v>180954.33356951622</v>
      </c>
      <c r="M1283" s="18">
        <f t="shared" si="147"/>
        <v>109559.81281906097</v>
      </c>
      <c r="N1283" s="18">
        <f>IF($A1283&gt;40,0,(N1249-MIN(MAX(O1282,0),N1249))+MIN(MAX(0,P1282-(N1249-MIN(MAX(O1282,0),N1249))),MAX(0,5*N1249-(O1282-MIN(MAX(O1282,0),N1249)))))</f>
        <v>36975.835937588272</v>
      </c>
      <c r="O1283" s="18">
        <f>IF($A1283&gt;40,O1282,(O1282-N1249+N1283)*(1+$B$7))</f>
        <v>180956.39945094765</v>
      </c>
      <c r="P1283" s="18">
        <f t="shared" si="148"/>
        <v>109531.66495453694</v>
      </c>
      <c r="Q1283" s="18">
        <f>IF($A1283&gt;40,0,(Q1249-MIN(MAX(R1282,0),Q1249))+MIN(MAX(0,S1282-(Q1249-MIN(MAX(R1282,0),Q1249))),MAX(0,5*Q1249-(R1282-MIN(MAX(R1282,0),Q1249)))))</f>
        <v>36975.836904280382</v>
      </c>
      <c r="R1283" s="18">
        <f>IF($A1283&gt;40,R1282,(R1282-Q1249+Q1283)*(1+$B$7))</f>
        <v>180956.40418185154</v>
      </c>
      <c r="S1283" s="18">
        <f t="shared" si="149"/>
        <v>109531.60049544553</v>
      </c>
    </row>
    <row r="1284" spans="1:19">
      <c r="A1284" s="10">
        <f>33</f>
        <v>33</v>
      </c>
      <c r="B1284" s="18">
        <f>IF($A1284&gt;40,0,(B1249-MIN(MAX(C1283,0),B1249))+MIN(MAX(0,D1283-(B1249-MIN(MAX(C1283,0),B1249))),MAX(0,5*B1249-(C1283-MIN(MAX(C1283,0),B1249)))))</f>
        <v>30540</v>
      </c>
      <c r="C1284" s="18">
        <f>IF($A1284&gt;40,C1283,(C1283-B1249+B1284)*(1+$B$7))</f>
        <v>149460</v>
      </c>
      <c r="D1284" s="18">
        <f t="shared" si="144"/>
        <v>523377.62280557997</v>
      </c>
      <c r="E1284" s="18">
        <f>IF($A1284&gt;40,0,(E1249-MIN(MAX(F1283,0),E1249))+MIN(MAX(0,G1283-(E1249-MIN(MAX(F1283,0),E1249))),MAX(0,5*E1249-(F1283-MIN(MAX(F1283,0),E1249)))))</f>
        <v>75000</v>
      </c>
      <c r="F1284" s="18">
        <f>IF($A1284&gt;40,F1283,(F1283-E1249+E1284)*(1+$B$7))</f>
        <v>0</v>
      </c>
      <c r="G1284" s="18">
        <f t="shared" si="145"/>
        <v>-1915723.5074312352</v>
      </c>
      <c r="H1284" s="18">
        <f>IF($A1284&gt;40,0,(H1249-MIN(MAX(I1283,0),H1249))+MIN(MAX(0,J1283-(H1249-MIN(MAX(I1283,0),H1249))),MAX(0,5*H1249-(I1283-MIN(MAX(I1283,0),H1249)))))</f>
        <v>37766.127435585804</v>
      </c>
      <c r="I1284" s="18">
        <f>IF($A1284&gt;40,I1283,(I1283-H1249+H1284)*(1+$B$7))</f>
        <v>184824.014620912</v>
      </c>
      <c r="J1284" s="18">
        <f t="shared" si="146"/>
        <v>19640.915702571951</v>
      </c>
      <c r="K1284" s="18">
        <f>IF($A1284&gt;40,0,(K1249-MIN(MAX(L1283,0),K1249))+MIN(MAX(0,M1283-(K1249-MIN(MAX(L1283,0),K1249))),MAX(0,5*K1249-(L1283-MIN(MAX(L1283,0),K1249)))))</f>
        <v>36975.413804449548</v>
      </c>
      <c r="L1284" s="18">
        <f>IF($A1284&gt;40,L1283,(L1283-K1249+K1284)*(1+$B$7))</f>
        <v>180954.33356951622</v>
      </c>
      <c r="M1284" s="18">
        <f t="shared" si="147"/>
        <v>74761.930985049767</v>
      </c>
      <c r="N1284" s="18">
        <f>IF($A1284&gt;40,0,(N1249-MIN(MAX(O1283,0),N1249))+MIN(MAX(0,P1283-(N1249-MIN(MAX(O1283,0),N1249))),MAX(0,5*N1249-(O1283-MIN(MAX(O1283,0),N1249)))))</f>
        <v>36975.835937588272</v>
      </c>
      <c r="O1284" s="18">
        <f>IF($A1284&gt;40,O1283,(O1283-N1249+N1284)*(1+$B$7))</f>
        <v>180956.39945094765</v>
      </c>
      <c r="P1284" s="18">
        <f t="shared" si="148"/>
        <v>74732.503887457133</v>
      </c>
      <c r="Q1284" s="18">
        <f>IF($A1284&gt;40,0,(Q1249-MIN(MAX(R1283,0),Q1249))+MIN(MAX(0,S1283-(Q1249-MIN(MAX(R1283,0),Q1249))),MAX(0,5*Q1249-(R1283-MIN(MAX(R1283,0),Q1249)))))</f>
        <v>36975.836904280382</v>
      </c>
      <c r="R1284" s="18">
        <f>IF($A1284&gt;40,R1283,(R1283-Q1249+Q1284)*(1+$B$7))</f>
        <v>180956.40418185154</v>
      </c>
      <c r="S1284" s="18">
        <f t="shared" si="149"/>
        <v>74732.436498900104</v>
      </c>
    </row>
    <row r="1285" spans="1:19">
      <c r="A1285" s="10">
        <f>34</f>
        <v>34</v>
      </c>
      <c r="B1285" s="18">
        <f>IF($A1285&gt;40,0,(B1249-MIN(MAX(C1284,0),B1249))+MIN(MAX(0,D1284-(B1249-MIN(MAX(C1284,0),B1249))),MAX(0,5*B1249-(C1284-MIN(MAX(C1284,0),B1249)))))</f>
        <v>30540</v>
      </c>
      <c r="C1285" s="18">
        <f>IF($A1285&gt;40,C1284,(C1284-B1249+B1285)*(1+$B$7))</f>
        <v>149460</v>
      </c>
      <c r="D1285" s="18">
        <f t="shared" si="144"/>
        <v>507622.75148974737</v>
      </c>
      <c r="E1285" s="18">
        <f>IF($A1285&gt;40,0,(E1249-MIN(MAX(F1284,0),E1249))+MIN(MAX(0,G1284-(E1249-MIN(MAX(F1284,0),E1249))),MAX(0,5*E1249-(F1284-MIN(MAX(F1284,0),E1249)))))</f>
        <v>75000</v>
      </c>
      <c r="F1285" s="18">
        <f>IF($A1285&gt;40,F1284,(F1284-E1249+E1285)*(1+$B$7))</f>
        <v>0</v>
      </c>
      <c r="G1285" s="18">
        <f t="shared" si="145"/>
        <v>-2050445.2126541722</v>
      </c>
      <c r="H1285" s="18">
        <f>IF($A1285&gt;40,0,(H1249-MIN(MAX(I1284,0),H1249))+MIN(MAX(0,J1284-(H1249-MIN(MAX(I1284,0),H1249))),MAX(0,5*H1249-(I1284-MIN(MAX(I1284,0),H1249)))))</f>
        <v>19640.915702571951</v>
      </c>
      <c r="I1285" s="18">
        <f>IF($A1285&gt;40,I1284,(I1284-H1249+H1285)*(1+$B$7))</f>
        <v>166764.05365013701</v>
      </c>
      <c r="J1285" s="18">
        <f t="shared" si="146"/>
        <v>0</v>
      </c>
      <c r="K1285" s="18">
        <f>IF($A1285&gt;40,0,(K1249-MIN(MAX(L1284,0),K1249))+MIN(MAX(0,M1284-(K1249-MIN(MAX(L1284,0),K1249))),MAX(0,5*K1249-(L1284-MIN(MAX(L1284,0),K1249)))))</f>
        <v>36975.413804449548</v>
      </c>
      <c r="L1285" s="18">
        <f>IF($A1285&gt;40,L1284,(L1284-K1249+K1285)*(1+$B$7))</f>
        <v>180954.33356951622</v>
      </c>
      <c r="M1285" s="18">
        <f t="shared" si="147"/>
        <v>38920.112696018223</v>
      </c>
      <c r="N1285" s="18">
        <f>IF($A1285&gt;40,0,(N1249-MIN(MAX(O1284,0),N1249))+MIN(MAX(0,P1284-(N1249-MIN(MAX(O1284,0),N1249))),MAX(0,5*N1249-(O1284-MIN(MAX(O1284,0),N1249)))))</f>
        <v>36975.835937588272</v>
      </c>
      <c r="O1285" s="18">
        <f>IF($A1285&gt;40,O1284,(O1284-N1249+N1285)*(1+$B$7))</f>
        <v>180956.39945094765</v>
      </c>
      <c r="P1285" s="18">
        <f t="shared" si="148"/>
        <v>38889.367988364931</v>
      </c>
      <c r="Q1285" s="18">
        <f>IF($A1285&gt;40,0,(Q1249-MIN(MAX(R1284,0),Q1249))+MIN(MAX(0,S1284-(Q1249-MIN(MAX(R1284,0),Q1249))),MAX(0,5*Q1249-(R1284-MIN(MAX(R1284,0),Q1249)))))</f>
        <v>36975.836904280382</v>
      </c>
      <c r="R1285" s="18">
        <f>IF($A1285&gt;40,R1284,(R1284-Q1249+Q1285)*(1+$B$7))</f>
        <v>180956.40418185154</v>
      </c>
      <c r="S1285" s="18">
        <f t="shared" si="149"/>
        <v>38889.297582458312</v>
      </c>
    </row>
    <row r="1286" spans="1:19">
      <c r="A1286" s="10">
        <f>35</f>
        <v>35</v>
      </c>
      <c r="B1286" s="18">
        <f>IF($A1286&gt;40,0,(B1249-MIN(MAX(C1285,0),B1249))+MIN(MAX(0,D1285-(B1249-MIN(MAX(C1285,0),B1249))),MAX(0,5*B1249-(C1285-MIN(MAX(C1285,0),B1249)))))</f>
        <v>30540</v>
      </c>
      <c r="C1286" s="18">
        <f>IF($A1286&gt;40,C1285,(C1285-B1249+B1286)*(1+$B$7))</f>
        <v>149460</v>
      </c>
      <c r="D1286" s="18">
        <f t="shared" si="144"/>
        <v>491395.23403443978</v>
      </c>
      <c r="E1286" s="18">
        <f>IF($A1286&gt;40,0,(E1249-MIN(MAX(F1285,0),E1249))+MIN(MAX(0,G1285-(E1249-MIN(MAX(F1285,0),E1249))),MAX(0,5*E1249-(F1285-MIN(MAX(F1285,0),E1249)))))</f>
        <v>75000</v>
      </c>
      <c r="F1286" s="18">
        <f>IF($A1286&gt;40,F1285,(F1285-E1249+E1286)*(1+$B$7))</f>
        <v>0</v>
      </c>
      <c r="G1286" s="18">
        <f t="shared" si="145"/>
        <v>-2189208.5690337978</v>
      </c>
      <c r="H1286" s="18">
        <f>IF($A1286&gt;40,0,(H1249-MIN(MAX(I1285,0),H1249))+MIN(MAX(0,J1285-(H1249-MIN(MAX(I1285,0),H1249))),MAX(0,5*H1249-(I1285-MIN(MAX(I1285,0),H1249)))))</f>
        <v>0</v>
      </c>
      <c r="I1286" s="18">
        <f>IF($A1286&gt;40,I1285,(I1285-H1249+H1286)*(1+$B$7))</f>
        <v>129198.9001328141</v>
      </c>
      <c r="J1286" s="18">
        <f t="shared" si="146"/>
        <v>0</v>
      </c>
      <c r="K1286" s="18">
        <f>IF($A1286&gt;40,0,(K1249-MIN(MAX(L1285,0),K1249))+MIN(MAX(0,M1285-(K1249-MIN(MAX(L1285,0),K1249))),MAX(0,5*K1249-(L1285-MIN(MAX(L1285,0),K1249)))))</f>
        <v>36975.413804449548</v>
      </c>
      <c r="L1286" s="18">
        <f>IF($A1286&gt;40,L1285,(L1285-K1249+K1286)*(1+$B$7))</f>
        <v>180954.33356951622</v>
      </c>
      <c r="M1286" s="18">
        <f t="shared" si="147"/>
        <v>2003.0398583157346</v>
      </c>
      <c r="N1286" s="18">
        <f>IF($A1286&gt;40,0,(N1249-MIN(MAX(O1285,0),N1249))+MIN(MAX(0,P1285-(N1249-MIN(MAX(O1285,0),N1249))),MAX(0,5*N1249-(O1285-MIN(MAX(O1285,0),N1249)))))</f>
        <v>36975.835937588272</v>
      </c>
      <c r="O1286" s="18">
        <f>IF($A1286&gt;40,O1285,(O1285-N1249+N1286)*(1+$B$7))</f>
        <v>180956.39945094765</v>
      </c>
      <c r="P1286" s="18">
        <f t="shared" si="148"/>
        <v>1970.9380122999589</v>
      </c>
      <c r="Q1286" s="18">
        <f>IF($A1286&gt;40,0,(Q1249-MIN(MAX(R1285,0),Q1249))+MIN(MAX(0,S1285-(Q1249-MIN(MAX(R1285,0),Q1249))),MAX(0,5*Q1249-(R1285-MIN(MAX(R1285,0),Q1249)))))</f>
        <v>36975.836904280382</v>
      </c>
      <c r="R1286" s="18">
        <f>IF($A1286&gt;40,R1285,(R1285-Q1249+Q1286)*(1+$B$7))</f>
        <v>180956.40418185154</v>
      </c>
      <c r="S1286" s="18">
        <f t="shared" si="149"/>
        <v>1970.8644985232672</v>
      </c>
    </row>
    <row r="1287" spans="1:19">
      <c r="A1287" s="10">
        <f>36</f>
        <v>36</v>
      </c>
      <c r="B1287" s="18">
        <f>IF($A1287&gt;40,0,(B1249-MIN(MAX(C1286,0),B1249))+MIN(MAX(0,D1286-(B1249-MIN(MAX(C1286,0),B1249))),MAX(0,5*B1249-(C1286-MIN(MAX(C1286,0),B1249)))))</f>
        <v>30540</v>
      </c>
      <c r="C1287" s="18">
        <f>IF($A1287&gt;40,C1286,(C1286-B1249+B1287)*(1+$B$7))</f>
        <v>149460</v>
      </c>
      <c r="D1287" s="18">
        <f t="shared" si="144"/>
        <v>474680.89105547301</v>
      </c>
      <c r="E1287" s="18">
        <f>IF($A1287&gt;40,0,(E1249-MIN(MAX(F1286,0),E1249))+MIN(MAX(0,G1286-(E1249-MIN(MAX(F1286,0),E1249))),MAX(0,5*E1249-(F1286-MIN(MAX(F1286,0),E1249)))))</f>
        <v>75000</v>
      </c>
      <c r="F1287" s="18">
        <f>IF($A1287&gt;40,F1286,(F1286-E1249+E1287)*(1+$B$7))</f>
        <v>0</v>
      </c>
      <c r="G1287" s="18">
        <f t="shared" si="145"/>
        <v>-2332134.8261048119</v>
      </c>
      <c r="H1287" s="18">
        <f>IF($A1287&gt;40,0,(H1249-MIN(MAX(I1286,0),H1249))+MIN(MAX(0,J1286-(H1249-MIN(MAX(I1286,0),H1249))),MAX(0,5*H1249-(I1286-MIN(MAX(I1286,0),H1249)))))</f>
        <v>0</v>
      </c>
      <c r="I1287" s="18">
        <f>IF($A1287&gt;40,I1286,(I1286-H1249+H1287)*(1+$B$7))</f>
        <v>91768.981168153565</v>
      </c>
      <c r="J1287" s="18">
        <f t="shared" si="146"/>
        <v>0</v>
      </c>
      <c r="K1287" s="18">
        <f>IF($A1287&gt;40,0,(K1249-MIN(MAX(L1286,0),K1249))+MIN(MAX(0,M1286-(K1249-MIN(MAX(L1286,0),K1249))),MAX(0,5*K1249-(L1286-MIN(MAX(L1286,0),K1249)))))</f>
        <v>2003.0398583157346</v>
      </c>
      <c r="L1287" s="18">
        <f>IF($A1287&gt;40,L1286,(L1286-K1249+K1287)*(1+$B$7))</f>
        <v>146107.8601695885</v>
      </c>
      <c r="M1287" s="18">
        <f t="shared" si="147"/>
        <v>0</v>
      </c>
      <c r="N1287" s="18">
        <f>IF($A1287&gt;40,0,(N1249-MIN(MAX(O1286,0),N1249))+MIN(MAX(0,P1286-(N1249-MIN(MAX(O1286,0),N1249))),MAX(0,5*N1249-(O1286-MIN(MAX(O1286,0),N1249)))))</f>
        <v>1970.9380122999589</v>
      </c>
      <c r="O1287" s="18">
        <f>IF($A1287&gt;40,O1286,(O1286-N1249+N1287)*(1+$B$7))</f>
        <v>146077.51915819041</v>
      </c>
      <c r="P1287" s="18">
        <f t="shared" si="148"/>
        <v>0</v>
      </c>
      <c r="Q1287" s="18">
        <f>IF($A1287&gt;40,0,(Q1249-MIN(MAX(R1286,0),Q1249))+MIN(MAX(0,S1286-(Q1249-MIN(MAX(R1286,0),Q1249))),MAX(0,5*Q1249-(R1286-MIN(MAX(R1286,0),Q1249)))))</f>
        <v>1970.8644985232672</v>
      </c>
      <c r="R1287" s="18">
        <f>IF($A1287&gt;40,R1286,(R1286-Q1249+Q1287)*(1+$B$7))</f>
        <v>146077.44967675515</v>
      </c>
      <c r="S1287" s="18">
        <f t="shared" si="149"/>
        <v>0</v>
      </c>
    </row>
    <row r="1288" spans="1:19">
      <c r="A1288" s="10">
        <f>37</f>
        <v>37</v>
      </c>
      <c r="B1288" s="18">
        <f>IF($A1288&gt;40,0,(B1249-MIN(MAX(C1287,0),B1249))+MIN(MAX(0,D1287-(B1249-MIN(MAX(C1287,0),B1249))),MAX(0,5*B1249-(C1287-MIN(MAX(C1287,0),B1249)))))</f>
        <v>30540</v>
      </c>
      <c r="C1288" s="18">
        <f>IF($A1288&gt;40,C1287,(C1287-B1249+B1288)*(1+$B$7))</f>
        <v>149460</v>
      </c>
      <c r="D1288" s="18">
        <f t="shared" si="144"/>
        <v>457465.11778713722</v>
      </c>
      <c r="E1288" s="18">
        <f>IF($A1288&gt;40,0,(E1249-MIN(MAX(F1287,0),E1249))+MIN(MAX(0,G1287-(E1249-MIN(MAX(F1287,0),E1249))),MAX(0,5*E1249-(F1287-MIN(MAX(F1287,0),E1249)))))</f>
        <v>75000</v>
      </c>
      <c r="F1288" s="18">
        <f>IF($A1288&gt;40,F1287,(F1287-E1249+E1288)*(1+$B$7))</f>
        <v>0</v>
      </c>
      <c r="G1288" s="18">
        <f t="shared" si="145"/>
        <v>-2479348.8708879561</v>
      </c>
      <c r="H1288" s="18">
        <f>IF($A1288&gt;40,0,(H1249-MIN(MAX(I1287,0),H1249))+MIN(MAX(0,J1287-(H1249-MIN(MAX(I1287,0),H1249))),MAX(0,5*H1249-(I1287-MIN(MAX(I1287,0),H1249)))))</f>
        <v>0</v>
      </c>
      <c r="I1288" s="18">
        <f>IF($A1288&gt;40,I1287,(I1287-H1249+H1288)*(1+$B$7))</f>
        <v>54473.809911765806</v>
      </c>
      <c r="J1288" s="18">
        <f t="shared" si="146"/>
        <v>0</v>
      </c>
      <c r="K1288" s="18">
        <f>IF($A1288&gt;40,0,(K1249-MIN(MAX(L1287,0),K1249))+MIN(MAX(0,M1287-(K1249-MIN(MAX(L1287,0),K1249))),MAX(0,5*K1249-(L1287-MIN(MAX(L1287,0),K1249)))))</f>
        <v>0</v>
      </c>
      <c r="L1288" s="18">
        <f>IF($A1288&gt;40,L1287,(L1287-K1249+K1288)*(1+$B$7))</f>
        <v>109391.00515907472</v>
      </c>
      <c r="M1288" s="18">
        <f t="shared" si="147"/>
        <v>0</v>
      </c>
      <c r="N1288" s="18">
        <f>IF($A1288&gt;40,0,(N1249-MIN(MAX(O1287,0),N1249))+MIN(MAX(0,P1287-(N1249-MIN(MAX(O1287,0),N1249))),MAX(0,5*N1249-(O1287-MIN(MAX(O1287,0),N1249)))))</f>
        <v>0</v>
      </c>
      <c r="O1288" s="18">
        <f>IF($A1288&gt;40,O1287,(O1287-N1249+N1288)*(1+$B$7))</f>
        <v>109360.36019903139</v>
      </c>
      <c r="P1288" s="18">
        <f t="shared" si="148"/>
        <v>0</v>
      </c>
      <c r="Q1288" s="18">
        <f>IF($A1288&gt;40,0,(Q1249-MIN(MAX(R1287,0),Q1249))+MIN(MAX(0,S1287-(Q1249-MIN(MAX(R1287,0),Q1249))),MAX(0,5*Q1249-(R1287-MIN(MAX(R1287,0),Q1249)))))</f>
        <v>0</v>
      </c>
      <c r="R1288" s="18">
        <f>IF($A1288&gt;40,R1287,(R1287-Q1249+Q1288)*(1+$B$7))</f>
        <v>109360.29002154851</v>
      </c>
      <c r="S1288" s="18">
        <f t="shared" si="149"/>
        <v>0</v>
      </c>
    </row>
    <row r="1289" spans="1:19">
      <c r="A1289" s="10">
        <f>38</f>
        <v>38</v>
      </c>
      <c r="B1289" s="18">
        <f>IF($A1289&gt;40,0,(B1249-MIN(MAX(C1288,0),B1249))+MIN(MAX(0,D1288-(B1249-MIN(MAX(C1288,0),B1249))),MAX(0,5*B1249-(C1288-MIN(MAX(C1288,0),B1249)))))</f>
        <v>30540</v>
      </c>
      <c r="C1289" s="18">
        <f>IF($A1289&gt;40,C1288,(C1288-B1249+B1289)*(1+$B$7))</f>
        <v>149460</v>
      </c>
      <c r="D1289" s="18">
        <f t="shared" si="144"/>
        <v>439732.87132075132</v>
      </c>
      <c r="E1289" s="18">
        <f>IF($A1289&gt;40,0,(E1249-MIN(MAX(F1288,0),E1249))+MIN(MAX(0,G1288-(E1249-MIN(MAX(F1288,0),E1249))),MAX(0,5*E1249-(F1288-MIN(MAX(F1288,0),E1249)))))</f>
        <v>75000</v>
      </c>
      <c r="F1289" s="18">
        <f>IF($A1289&gt;40,F1288,(F1288-E1249+E1289)*(1+$B$7))</f>
        <v>0</v>
      </c>
      <c r="G1289" s="18">
        <f t="shared" si="145"/>
        <v>-2630979.337014595</v>
      </c>
      <c r="H1289" s="18">
        <f>IF($A1289&gt;40,0,(H1249-MIN(MAX(I1288,0),H1249))+MIN(MAX(0,J1288-(H1249-MIN(MAX(I1288,0),H1249))),MAX(0,5*H1249-(I1288-MIN(MAX(I1288,0),H1249)))))</f>
        <v>0</v>
      </c>
      <c r="I1289" s="18">
        <f>IF($A1289&gt;40,I1288,(I1288-H1249+H1289)*(1+$B$7))</f>
        <v>17312.901271901046</v>
      </c>
      <c r="J1289" s="18">
        <f t="shared" si="146"/>
        <v>0</v>
      </c>
      <c r="K1289" s="18">
        <f>IF($A1289&gt;40,0,(K1249-MIN(MAX(L1288,0),K1249))+MIN(MAX(0,M1288-(K1249-MIN(MAX(L1288,0),K1249))),MAX(0,5*K1249-(L1288-MIN(MAX(L1288,0),K1249)))))</f>
        <v>0</v>
      </c>
      <c r="L1289" s="18">
        <f>IF($A1289&gt;40,L1288,(L1288-K1249+K1289)*(1+$B$7))</f>
        <v>72806.330826598802</v>
      </c>
      <c r="M1289" s="18">
        <f t="shared" si="147"/>
        <v>0</v>
      </c>
      <c r="N1289" s="18">
        <f>IF($A1289&gt;40,0,(N1249-MIN(MAX(O1288,0),N1249))+MIN(MAX(0,P1288-(N1249-MIN(MAX(O1288,0),N1249))),MAX(0,5*N1249-(O1288-MIN(MAX(O1288,0),N1249)))))</f>
        <v>0</v>
      </c>
      <c r="O1289" s="18">
        <f>IF($A1289&gt;40,O1288,(O1288-N1249+N1289)*(1+$B$7))</f>
        <v>72775.383012125341</v>
      </c>
      <c r="P1289" s="18">
        <f t="shared" si="148"/>
        <v>0</v>
      </c>
      <c r="Q1289" s="18">
        <f>IF($A1289&gt;40,0,(Q1249-MIN(MAX(R1288,0),Q1249))+MIN(MAX(0,S1288-(Q1249-MIN(MAX(R1288,0),Q1249))),MAX(0,5*Q1249-(R1288-MIN(MAX(R1288,0),Q1249)))))</f>
        <v>0</v>
      </c>
      <c r="R1289" s="18">
        <f>IF($A1289&gt;40,R1288,(R1288-Q1249+Q1289)*(1+$B$7))</f>
        <v>72775.312141100629</v>
      </c>
      <c r="S1289" s="18">
        <f t="shared" si="149"/>
        <v>0</v>
      </c>
    </row>
    <row r="1290" spans="1:19">
      <c r="A1290" s="10">
        <f>39</f>
        <v>39</v>
      </c>
      <c r="B1290" s="18">
        <f>IF($A1290&gt;40,0,(B1249-MIN(MAX(C1289,0),B1249))+MIN(MAX(0,D1289-(B1249-MIN(MAX(C1289,0),B1249))),MAX(0,5*B1249-(C1289-MIN(MAX(C1289,0),B1249)))))</f>
        <v>30540</v>
      </c>
      <c r="C1290" s="18">
        <f>IF($A1290&gt;40,C1289,(C1289-B1249+B1290)*(1+$B$7))</f>
        <v>149460</v>
      </c>
      <c r="D1290" s="18">
        <f t="shared" si="144"/>
        <v>421468.65746037388</v>
      </c>
      <c r="E1290" s="18">
        <f>IF($A1290&gt;40,0,(E1249-MIN(MAX(F1289,0),E1249))+MIN(MAX(0,G1289-(E1249-MIN(MAX(F1289,0),E1249))),MAX(0,5*E1249-(F1289-MIN(MAX(F1289,0),E1249)))))</f>
        <v>75000</v>
      </c>
      <c r="F1290" s="18">
        <f>IF($A1290&gt;40,F1289,(F1289-E1249+E1290)*(1+$B$7))</f>
        <v>0</v>
      </c>
      <c r="G1290" s="18">
        <f t="shared" si="145"/>
        <v>-2787158.717125033</v>
      </c>
      <c r="H1290" s="18">
        <f>IF($A1290&gt;40,0,(H1249-MIN(MAX(I1289,0),H1249))+MIN(MAX(0,J1289-(H1249-MIN(MAX(I1289,0),H1249))),MAX(0,5*H1249-(I1289-MIN(MAX(I1289,0),H1249)))))</f>
        <v>19785.455737515254</v>
      </c>
      <c r="I1290" s="18">
        <f>IF($A1290&gt;40,I1289,(I1289-H1249+H1290)*(1+$B$7))</f>
        <v>0</v>
      </c>
      <c r="J1290" s="18">
        <f t="shared" si="146"/>
        <v>-20379.019409640714</v>
      </c>
      <c r="K1290" s="18">
        <f>IF($A1290&gt;40,0,(K1249-MIN(MAX(L1289,0),K1249))+MIN(MAX(0,M1289-(K1249-MIN(MAX(L1289,0),K1249))),MAX(0,5*K1249-(L1289-MIN(MAX(L1289,0),K1249)))))</f>
        <v>0</v>
      </c>
      <c r="L1290" s="18">
        <f>IF($A1290&gt;40,L1289,(L1289-K1249+K1290)*(1+$B$7))</f>
        <v>36353.3613217198</v>
      </c>
      <c r="M1290" s="18">
        <f t="shared" si="147"/>
        <v>0</v>
      </c>
      <c r="N1290" s="18">
        <f>IF($A1290&gt;40,0,(N1249-MIN(MAX(O1289,0),N1249))+MIN(MAX(0,P1289-(N1249-MIN(MAX(O1289,0),N1249))),MAX(0,5*N1249-(O1289-MIN(MAX(O1289,0),N1249)))))</f>
        <v>0</v>
      </c>
      <c r="O1290" s="18">
        <f>IF($A1290&gt;40,O1289,(O1289-N1249+N1290)*(1+$B$7))</f>
        <v>36322.111743092151</v>
      </c>
      <c r="P1290" s="18">
        <f t="shared" si="148"/>
        <v>0</v>
      </c>
      <c r="Q1290" s="18">
        <f>IF($A1290&gt;40,0,(Q1249-MIN(MAX(R1289,0),Q1249))+MIN(MAX(0,S1289-(Q1249-MIN(MAX(R1289,0),Q1249))),MAX(0,5*Q1249-(R1289-MIN(MAX(R1289,0),Q1249)))))</f>
        <v>0</v>
      </c>
      <c r="R1290" s="18">
        <f>IF($A1290&gt;40,R1289,(R1289-Q1249+Q1290)*(1+$B$7))</f>
        <v>36322.040181022356</v>
      </c>
      <c r="S1290" s="18">
        <f t="shared" si="149"/>
        <v>0</v>
      </c>
    </row>
    <row r="1291" spans="1:19">
      <c r="A1291" s="10">
        <f>40</f>
        <v>40</v>
      </c>
      <c r="B1291" s="18">
        <f>IF($A1291&gt;40,0,(B1249-MIN(MAX(C1290,0),B1249))+MIN(MAX(0,D1290-(B1249-MIN(MAX(C1290,0),B1249))),MAX(0,5*B1249-(C1290-MIN(MAX(C1290,0),B1249)))))</f>
        <v>30540</v>
      </c>
      <c r="C1291" s="18">
        <f>IF($A1291&gt;40,C1290,(C1290-B1249+B1291)*(1+$B$7))</f>
        <v>149460</v>
      </c>
      <c r="D1291" s="18">
        <f t="shared" si="144"/>
        <v>402656.5171841851</v>
      </c>
      <c r="E1291" s="18">
        <f>IF($A1291&gt;40,0,(E1249-MIN(MAX(F1290,0),E1249))+MIN(MAX(0,G1290-(E1249-MIN(MAX(F1290,0),E1249))),MAX(0,5*E1249-(F1290-MIN(MAX(F1290,0),E1249)))))</f>
        <v>75000</v>
      </c>
      <c r="F1291" s="18">
        <f>IF($A1291&gt;40,F1290,(F1290-E1249+E1291)*(1+$B$7))</f>
        <v>0</v>
      </c>
      <c r="G1291" s="18">
        <f t="shared" si="145"/>
        <v>-2948023.478638784</v>
      </c>
      <c r="H1291" s="18">
        <f>IF($A1291&gt;40,0,(H1249-MIN(MAX(I1290,0),H1249))+MIN(MAX(0,J1290-(H1249-MIN(MAX(I1290,0),H1249))),MAX(0,5*H1249-(I1290-MIN(MAX(I1290,0),H1249)))))</f>
        <v>37098.357009416301</v>
      </c>
      <c r="I1291" s="18">
        <f>IF($A1291&gt;40,I1290,(I1290-H1249+H1291)*(1+$B$7))</f>
        <v>0</v>
      </c>
      <c r="J1291" s="18">
        <f t="shared" si="146"/>
        <v>-59201.697711628723</v>
      </c>
      <c r="K1291" s="18">
        <f>IF($A1291&gt;40,0,(K1249-MIN(MAX(L1290,0),K1249))+MIN(MAX(0,M1290-(K1249-MIN(MAX(L1290,0),K1249))),MAX(0,5*K1249-(L1290-MIN(MAX(L1290,0),K1249)))))</f>
        <v>0</v>
      </c>
      <c r="L1291" s="18">
        <f>IF($A1291&gt;40,L1290,(L1290-K1249+K1291)*(1+$B$7))</f>
        <v>31.622507058361727</v>
      </c>
      <c r="M1291" s="18">
        <f t="shared" si="147"/>
        <v>0</v>
      </c>
      <c r="N1291" s="18">
        <f>IF($A1291&gt;40,0,(N1249-MIN(MAX(O1290,0),N1249))+MIN(MAX(0,P1290-(N1249-MIN(MAX(O1290,0),N1249))),MAX(0,5*N1249-(O1290-MIN(MAX(O1290,0),N1249)))))</f>
        <v>0</v>
      </c>
      <c r="O1291" s="18">
        <f>IF($A1291&gt;40,O1290,(O1290-N1249+N1291)*(1+$B$7))</f>
        <v>7.2250627485540453E-2</v>
      </c>
      <c r="P1291" s="18">
        <f t="shared" si="148"/>
        <v>0</v>
      </c>
      <c r="Q1291" s="18">
        <f>IF($A1291&gt;40,0,(Q1249-MIN(MAX(R1290,0),Q1249))+MIN(MAX(0,S1290-(Q1249-MIN(MAX(R1290,0),Q1249))),MAX(0,5*Q1249-(R1290-MIN(MAX(R1290,0),Q1249)))))</f>
        <v>0</v>
      </c>
      <c r="R1291" s="18">
        <f>IF($A1291&gt;40,R1290,(R1290-Q1249+Q1291)*(1+$B$7))</f>
        <v>3.697379725053906E-10</v>
      </c>
      <c r="S1291" s="18">
        <f t="shared" si="149"/>
        <v>0</v>
      </c>
    </row>
    <row r="1292" spans="1:19">
      <c r="B1292" s="18">
        <f>C1291+D1291</f>
        <v>552116.5171841851</v>
      </c>
      <c r="E1292" s="18">
        <f>F1291+G1291</f>
        <v>-2948023.478638784</v>
      </c>
      <c r="H1292" s="18">
        <f>I1291+J1291</f>
        <v>-59201.697711628723</v>
      </c>
      <c r="K1292" s="18">
        <f>L1291+M1291</f>
        <v>31.622507058361727</v>
      </c>
      <c r="N1292" s="18">
        <f>O1291+P1291</f>
        <v>7.2250627485540453E-2</v>
      </c>
      <c r="Q1292" s="18">
        <f>R1291+S1291</f>
        <v>3.697379725053906E-10</v>
      </c>
    </row>
    <row r="1293" spans="1:19">
      <c r="A1293" s="5" t="s">
        <v>266</v>
      </c>
      <c r="B1293" s="18">
        <f>IFERROR(Q1249-Q1292*(Q1249-N1249)/(Q1292-N1292),Q1249)</f>
        <v>36322.040181021992</v>
      </c>
    </row>
    <row r="1295" spans="1:19">
      <c r="A1295" s="2" t="s">
        <v>291</v>
      </c>
    </row>
    <row r="1296" spans="1:19">
      <c r="B1296" s="9">
        <f>0.03*$B$5</f>
        <v>30000</v>
      </c>
      <c r="E1296" s="9">
        <f>0.075*$B$5</f>
        <v>75000</v>
      </c>
      <c r="H1296" s="18">
        <f>IFERROR(E1296-E1339*(E1296-B1296)/(E1339-B1339),E1296)</f>
        <v>42002.308631517371</v>
      </c>
      <c r="K1296" s="18">
        <f>IFERROR(H1296-H1339*(H1296-E1296)/(H1339-E1339),H1296)</f>
        <v>42002.3086315174</v>
      </c>
      <c r="N1296" s="18">
        <f>IFERROR(K1296-K1339*(K1296-H1296)/(K1339-H1339),K1296)</f>
        <v>42002.308631517386</v>
      </c>
      <c r="Q1296" s="18">
        <f>IFERROR(N1296-N1339*(N1296-K1296)/(N1339-K1339),N1296)</f>
        <v>42002.308631517393</v>
      </c>
    </row>
    <row r="1297" spans="1:19">
      <c r="A1297" s="25" t="s">
        <v>262</v>
      </c>
      <c r="B1297" s="25" t="s">
        <v>263</v>
      </c>
      <c r="C1297" s="25" t="s">
        <v>264</v>
      </c>
      <c r="D1297" s="25" t="s">
        <v>265</v>
      </c>
      <c r="E1297" s="25" t="s">
        <v>263</v>
      </c>
      <c r="F1297" s="25" t="s">
        <v>264</v>
      </c>
      <c r="G1297" s="25" t="s">
        <v>265</v>
      </c>
      <c r="H1297" s="25" t="s">
        <v>263</v>
      </c>
      <c r="I1297" s="25" t="s">
        <v>264</v>
      </c>
      <c r="J1297" s="25" t="s">
        <v>265</v>
      </c>
      <c r="K1297" s="25" t="s">
        <v>263</v>
      </c>
      <c r="L1297" s="25" t="s">
        <v>264</v>
      </c>
      <c r="M1297" s="25" t="s">
        <v>265</v>
      </c>
      <c r="N1297" s="25" t="s">
        <v>263</v>
      </c>
      <c r="O1297" s="25" t="s">
        <v>264</v>
      </c>
      <c r="P1297" s="25" t="s">
        <v>265</v>
      </c>
      <c r="Q1297" s="25" t="s">
        <v>263</v>
      </c>
      <c r="R1297" s="25" t="s">
        <v>264</v>
      </c>
      <c r="S1297" s="25" t="s">
        <v>265</v>
      </c>
    </row>
    <row r="1298" spans="1:19">
      <c r="A1298" s="3">
        <v>0</v>
      </c>
      <c r="C1298" s="18">
        <f>MIN(0*B1296,$B$5)</f>
        <v>0</v>
      </c>
      <c r="D1298" s="18">
        <f>$B$5-C1298</f>
        <v>1000000</v>
      </c>
      <c r="F1298" s="18">
        <f>MIN(0*E1296,$B$5)</f>
        <v>0</v>
      </c>
      <c r="G1298" s="18">
        <f>$B$5-F1298</f>
        <v>1000000</v>
      </c>
      <c r="I1298" s="18">
        <f>MIN(0*H1296,$B$5)</f>
        <v>0</v>
      </c>
      <c r="J1298" s="18">
        <f>$B$5-I1298</f>
        <v>1000000</v>
      </c>
      <c r="L1298" s="18">
        <f>MIN(0*K1296,$B$5)</f>
        <v>0</v>
      </c>
      <c r="M1298" s="18">
        <f>$B$5-L1298</f>
        <v>1000000</v>
      </c>
      <c r="O1298" s="18">
        <f>MIN(0*N1296,$B$5)</f>
        <v>0</v>
      </c>
      <c r="P1298" s="18">
        <f>$B$5-O1298</f>
        <v>1000000</v>
      </c>
      <c r="R1298" s="18">
        <f>MIN(0*Q1296,$B$5)</f>
        <v>0</v>
      </c>
      <c r="S1298" s="18">
        <f>$B$5-R1298</f>
        <v>1000000</v>
      </c>
    </row>
    <row r="1299" spans="1:19">
      <c r="A1299" s="10">
        <f>1</f>
        <v>1</v>
      </c>
      <c r="B1299" s="18">
        <f>IF($A1299&gt;40,0,(B1296-MIN(MAX(C1298,0),B1296))+MIN(MAX(0,D1298-(B1296-MIN(MAX(C1298,0),B1296))),MAX(0,0*B1296-(C1298-MIN(MAX(C1298,0),B1296)))))</f>
        <v>30000</v>
      </c>
      <c r="C1299" s="18">
        <f>IF($A1299&gt;40,C1298,(C1298-B1296+B1299)*(1+$C$7))</f>
        <v>0</v>
      </c>
      <c r="D1299" s="18">
        <f t="shared" ref="D1299:D1338" si="150">IF($A1299&gt;40,D1298,(D1298-B1299)*(1+$B$6))</f>
        <v>999100</v>
      </c>
      <c r="E1299" s="18">
        <f>IF($A1299&gt;40,0,(E1296-MIN(MAX(F1298,0),E1296))+MIN(MAX(0,G1298-(E1296-MIN(MAX(F1298,0),E1296))),MAX(0,0*E1296-(F1298-MIN(MAX(F1298,0),E1296)))))</f>
        <v>75000</v>
      </c>
      <c r="F1299" s="18">
        <f>IF($A1299&gt;40,F1298,(F1298-E1296+E1299)*(1+$C$7))</f>
        <v>0</v>
      </c>
      <c r="G1299" s="18">
        <f t="shared" ref="G1299:G1338" si="151">IF($A1299&gt;40,G1298,(G1298-E1299)*(1+$B$6))</f>
        <v>952750</v>
      </c>
      <c r="H1299" s="18">
        <f>IF($A1299&gt;40,0,(H1296-MIN(MAX(I1298,0),H1296))+MIN(MAX(0,J1298-(H1296-MIN(MAX(I1298,0),H1296))),MAX(0,0*H1296-(I1298-MIN(MAX(I1298,0),H1296)))))</f>
        <v>42002.308631517371</v>
      </c>
      <c r="I1299" s="18">
        <f>IF($A1299&gt;40,I1298,(I1298-H1296+H1299)*(1+$C$7))</f>
        <v>0</v>
      </c>
      <c r="J1299" s="18">
        <f t="shared" ref="J1299:J1338" si="152">IF($A1299&gt;40,J1298,(J1298-H1299)*(1+$B$6))</f>
        <v>986737.62210953713</v>
      </c>
      <c r="K1299" s="18">
        <f>IF($A1299&gt;40,0,(K1296-MIN(MAX(L1298,0),K1296))+MIN(MAX(0,M1298-(K1296-MIN(MAX(L1298,0),K1296))),MAX(0,0*K1296-(L1298-MIN(MAX(L1298,0),K1296)))))</f>
        <v>42002.3086315174</v>
      </c>
      <c r="L1299" s="18">
        <f>IF($A1299&gt;40,L1298,(L1298-K1296+K1299)*(1+$C$7))</f>
        <v>0</v>
      </c>
      <c r="M1299" s="18">
        <f t="shared" ref="M1299:M1338" si="153">IF($A1299&gt;40,M1298,(M1298-K1299)*(1+$B$6))</f>
        <v>986737.62210953701</v>
      </c>
      <c r="N1299" s="18">
        <f>IF($A1299&gt;40,0,(N1296-MIN(MAX(O1298,0),N1296))+MIN(MAX(0,P1298-(N1296-MIN(MAX(O1298,0),N1296))),MAX(0,0*N1296-(O1298-MIN(MAX(O1298,0),N1296)))))</f>
        <v>42002.308631517386</v>
      </c>
      <c r="O1299" s="18">
        <f>IF($A1299&gt;40,O1298,(O1298-N1296+N1299)*(1+$C$7))</f>
        <v>0</v>
      </c>
      <c r="P1299" s="18">
        <f t="shared" ref="P1299:P1338" si="154">IF($A1299&gt;40,P1298,(P1298-N1299)*(1+$B$6))</f>
        <v>986737.62210953713</v>
      </c>
      <c r="Q1299" s="18">
        <f>IF($A1299&gt;40,0,(Q1296-MIN(MAX(R1298,0),Q1296))+MIN(MAX(0,S1298-(Q1296-MIN(MAX(R1298,0),Q1296))),MAX(0,0*Q1296-(R1298-MIN(MAX(R1298,0),Q1296)))))</f>
        <v>42002.308631517393</v>
      </c>
      <c r="R1299" s="18">
        <f>IF($A1299&gt;40,R1298,(R1298-Q1296+Q1299)*(1+$C$7))</f>
        <v>0</v>
      </c>
      <c r="S1299" s="18">
        <f t="shared" ref="S1299:S1338" si="155">IF($A1299&gt;40,S1298,(S1298-Q1299)*(1+$B$6))</f>
        <v>986737.62210953713</v>
      </c>
    </row>
    <row r="1300" spans="1:19">
      <c r="A1300" s="10">
        <f>2</f>
        <v>2</v>
      </c>
      <c r="B1300" s="18">
        <f>IF($A1300&gt;40,0,(B1296-MIN(MAX(C1299,0),B1296))+MIN(MAX(0,D1299-(B1296-MIN(MAX(C1299,0),B1296))),MAX(0,0*B1296-(C1299-MIN(MAX(C1299,0),B1296)))))</f>
        <v>30000</v>
      </c>
      <c r="C1300" s="18">
        <f>IF($A1300&gt;40,C1299,(C1299-B1296+B1300)*(1+$C$7))</f>
        <v>0</v>
      </c>
      <c r="D1300" s="18">
        <f t="shared" si="150"/>
        <v>998173</v>
      </c>
      <c r="E1300" s="18">
        <f>IF($A1300&gt;40,0,(E1296-MIN(MAX(F1299,0),E1296))+MIN(MAX(0,G1299-(E1296-MIN(MAX(F1299,0),E1296))),MAX(0,0*E1296-(F1299-MIN(MAX(F1299,0),E1296)))))</f>
        <v>75000</v>
      </c>
      <c r="F1300" s="18">
        <f>IF($A1300&gt;40,F1299,(F1299-E1296+E1300)*(1+$C$7))</f>
        <v>0</v>
      </c>
      <c r="G1300" s="18">
        <f t="shared" si="151"/>
        <v>904082.5</v>
      </c>
      <c r="H1300" s="18">
        <f>IF($A1300&gt;40,0,(H1296-MIN(MAX(I1299,0),H1296))+MIN(MAX(0,J1299-(H1296-MIN(MAX(I1299,0),H1296))),MAX(0,0*H1296-(I1299-MIN(MAX(I1299,0),H1296)))))</f>
        <v>42002.308631517371</v>
      </c>
      <c r="I1300" s="18">
        <f>IF($A1300&gt;40,I1299,(I1299-H1296+H1300)*(1+$C$7))</f>
        <v>0</v>
      </c>
      <c r="J1300" s="18">
        <f t="shared" si="152"/>
        <v>973077.37288236036</v>
      </c>
      <c r="K1300" s="18">
        <f>IF($A1300&gt;40,0,(K1296-MIN(MAX(L1299,0),K1296))+MIN(MAX(0,M1299-(K1296-MIN(MAX(L1299,0),K1296))),MAX(0,0*K1296-(L1299-MIN(MAX(L1299,0),K1296)))))</f>
        <v>42002.3086315174</v>
      </c>
      <c r="L1300" s="18">
        <f>IF($A1300&gt;40,L1299,(L1299-K1296+K1300)*(1+$C$7))</f>
        <v>0</v>
      </c>
      <c r="M1300" s="18">
        <f t="shared" si="153"/>
        <v>973077.37288236013</v>
      </c>
      <c r="N1300" s="18">
        <f>IF($A1300&gt;40,0,(N1296-MIN(MAX(O1299,0),N1296))+MIN(MAX(0,P1299-(N1296-MIN(MAX(O1299,0),N1296))),MAX(0,0*N1296-(O1299-MIN(MAX(O1299,0),N1296)))))</f>
        <v>42002.308631517386</v>
      </c>
      <c r="O1300" s="18">
        <f>IF($A1300&gt;40,O1299,(O1299-N1296+N1300)*(1+$C$7))</f>
        <v>0</v>
      </c>
      <c r="P1300" s="18">
        <f t="shared" si="154"/>
        <v>973077.37288236036</v>
      </c>
      <c r="Q1300" s="18">
        <f>IF($A1300&gt;40,0,(Q1296-MIN(MAX(R1299,0),Q1296))+MIN(MAX(0,S1299-(Q1296-MIN(MAX(R1299,0),Q1296))),MAX(0,0*Q1296-(R1299-MIN(MAX(R1299,0),Q1296)))))</f>
        <v>42002.308631517393</v>
      </c>
      <c r="R1300" s="18">
        <f>IF($A1300&gt;40,R1299,(R1299-Q1296+Q1300)*(1+$C$7))</f>
        <v>0</v>
      </c>
      <c r="S1300" s="18">
        <f t="shared" si="155"/>
        <v>973077.37288236036</v>
      </c>
    </row>
    <row r="1301" spans="1:19">
      <c r="A1301" s="10">
        <f>3</f>
        <v>3</v>
      </c>
      <c r="B1301" s="18">
        <f>IF($A1301&gt;40,0,(B1296-MIN(MAX(C1300,0),B1296))+MIN(MAX(0,D1300-(B1296-MIN(MAX(C1300,0),B1296))),MAX(0,0*B1296-(C1300-MIN(MAX(C1300,0),B1296)))))</f>
        <v>30000</v>
      </c>
      <c r="C1301" s="18">
        <f>IF($A1301&gt;40,C1300,(C1300-B1296+B1301)*(1+$C$7))</f>
        <v>0</v>
      </c>
      <c r="D1301" s="18">
        <f t="shared" si="150"/>
        <v>997218.19000000006</v>
      </c>
      <c r="E1301" s="18">
        <f>IF($A1301&gt;40,0,(E1296-MIN(MAX(F1300,0),E1296))+MIN(MAX(0,G1300-(E1296-MIN(MAX(F1300,0),E1296))),MAX(0,0*E1296-(F1300-MIN(MAX(F1300,0),E1296)))))</f>
        <v>75000</v>
      </c>
      <c r="F1301" s="18">
        <f>IF($A1301&gt;40,F1300,(F1300-E1296+E1301)*(1+$C$7))</f>
        <v>0</v>
      </c>
      <c r="G1301" s="18">
        <f t="shared" si="151"/>
        <v>853954.97499999998</v>
      </c>
      <c r="H1301" s="18">
        <f>IF($A1301&gt;40,0,(H1296-MIN(MAX(I1300,0),H1296))+MIN(MAX(0,J1300-(H1296-MIN(MAX(I1300,0),H1296))),MAX(0,0*H1296-(I1300-MIN(MAX(I1300,0),H1296)))))</f>
        <v>42002.308631517371</v>
      </c>
      <c r="I1301" s="18">
        <f>IF($A1301&gt;40,I1300,(I1300-H1296+H1301)*(1+$C$7))</f>
        <v>0</v>
      </c>
      <c r="J1301" s="18">
        <f t="shared" si="152"/>
        <v>959007.31617836829</v>
      </c>
      <c r="K1301" s="18">
        <f>IF($A1301&gt;40,0,(K1296-MIN(MAX(L1300,0),K1296))+MIN(MAX(0,M1300-(K1296-MIN(MAX(L1300,0),K1296))),MAX(0,0*K1296-(L1300-MIN(MAX(L1300,0),K1296)))))</f>
        <v>42002.3086315174</v>
      </c>
      <c r="L1301" s="18">
        <f>IF($A1301&gt;40,L1300,(L1300-K1296+K1301)*(1+$C$7))</f>
        <v>0</v>
      </c>
      <c r="M1301" s="18">
        <f t="shared" si="153"/>
        <v>959007.31617836794</v>
      </c>
      <c r="N1301" s="18">
        <f>IF($A1301&gt;40,0,(N1296-MIN(MAX(O1300,0),N1296))+MIN(MAX(0,P1300-(N1296-MIN(MAX(O1300,0),N1296))),MAX(0,0*N1296-(O1300-MIN(MAX(O1300,0),N1296)))))</f>
        <v>42002.308631517386</v>
      </c>
      <c r="O1301" s="18">
        <f>IF($A1301&gt;40,O1300,(O1300-N1296+N1301)*(1+$C$7))</f>
        <v>0</v>
      </c>
      <c r="P1301" s="18">
        <f t="shared" si="154"/>
        <v>959007.31617836829</v>
      </c>
      <c r="Q1301" s="18">
        <f>IF($A1301&gt;40,0,(Q1296-MIN(MAX(R1300,0),Q1296))+MIN(MAX(0,S1300-(Q1296-MIN(MAX(R1300,0),Q1296))),MAX(0,0*Q1296-(R1300-MIN(MAX(R1300,0),Q1296)))))</f>
        <v>42002.308631517393</v>
      </c>
      <c r="R1301" s="18">
        <f>IF($A1301&gt;40,R1300,(R1300-Q1296+Q1301)*(1+$C$7))</f>
        <v>0</v>
      </c>
      <c r="S1301" s="18">
        <f t="shared" si="155"/>
        <v>959007.31617836829</v>
      </c>
    </row>
    <row r="1302" spans="1:19">
      <c r="A1302" s="10">
        <f>4</f>
        <v>4</v>
      </c>
      <c r="B1302" s="18">
        <f>IF($A1302&gt;40,0,(B1296-MIN(MAX(C1301,0),B1296))+MIN(MAX(0,D1301-(B1296-MIN(MAX(C1301,0),B1296))),MAX(0,0*B1296-(C1301-MIN(MAX(C1301,0),B1296)))))</f>
        <v>30000</v>
      </c>
      <c r="C1302" s="18">
        <f>IF($A1302&gt;40,C1301,(C1301-B1296+B1302)*(1+$C$7))</f>
        <v>0</v>
      </c>
      <c r="D1302" s="18">
        <f t="shared" si="150"/>
        <v>996234.73570000008</v>
      </c>
      <c r="E1302" s="18">
        <f>IF($A1302&gt;40,0,(E1296-MIN(MAX(F1301,0),E1296))+MIN(MAX(0,G1301-(E1296-MIN(MAX(F1301,0),E1296))),MAX(0,0*E1296-(F1301-MIN(MAX(F1301,0),E1296)))))</f>
        <v>75000</v>
      </c>
      <c r="F1302" s="18">
        <f>IF($A1302&gt;40,F1301,(F1301-E1296+E1302)*(1+$C$7))</f>
        <v>0</v>
      </c>
      <c r="G1302" s="18">
        <f t="shared" si="151"/>
        <v>802323.62424999999</v>
      </c>
      <c r="H1302" s="18">
        <f>IF($A1302&gt;40,0,(H1296-MIN(MAX(I1301,0),H1296))+MIN(MAX(0,J1301-(H1296-MIN(MAX(I1301,0),H1296))),MAX(0,0*H1296-(I1301-MIN(MAX(I1301,0),H1296)))))</f>
        <v>42002.308631517371</v>
      </c>
      <c r="I1302" s="18">
        <f>IF($A1302&gt;40,I1301,(I1301-H1296+H1302)*(1+$C$7))</f>
        <v>0</v>
      </c>
      <c r="J1302" s="18">
        <f t="shared" si="152"/>
        <v>944515.15777325653</v>
      </c>
      <c r="K1302" s="18">
        <f>IF($A1302&gt;40,0,(K1296-MIN(MAX(L1301,0),K1296))+MIN(MAX(0,M1301-(K1296-MIN(MAX(L1301,0),K1296))),MAX(0,0*K1296-(L1301-MIN(MAX(L1301,0),K1296)))))</f>
        <v>42002.3086315174</v>
      </c>
      <c r="L1302" s="18">
        <f>IF($A1302&gt;40,L1301,(L1301-K1296+K1302)*(1+$C$7))</f>
        <v>0</v>
      </c>
      <c r="M1302" s="18">
        <f t="shared" si="153"/>
        <v>944515.15777325607</v>
      </c>
      <c r="N1302" s="18">
        <f>IF($A1302&gt;40,0,(N1296-MIN(MAX(O1301,0),N1296))+MIN(MAX(0,P1301-(N1296-MIN(MAX(O1301,0),N1296))),MAX(0,0*N1296-(O1301-MIN(MAX(O1301,0),N1296)))))</f>
        <v>42002.308631517386</v>
      </c>
      <c r="O1302" s="18">
        <f>IF($A1302&gt;40,O1301,(O1301-N1296+N1302)*(1+$C$7))</f>
        <v>0</v>
      </c>
      <c r="P1302" s="18">
        <f t="shared" si="154"/>
        <v>944515.15777325653</v>
      </c>
      <c r="Q1302" s="18">
        <f>IF($A1302&gt;40,0,(Q1296-MIN(MAX(R1301,0),Q1296))+MIN(MAX(0,S1301-(Q1296-MIN(MAX(R1301,0),Q1296))),MAX(0,0*Q1296-(R1301-MIN(MAX(R1301,0),Q1296)))))</f>
        <v>42002.308631517393</v>
      </c>
      <c r="R1302" s="18">
        <f>IF($A1302&gt;40,R1301,(R1301-Q1296+Q1302)*(1+$C$7))</f>
        <v>0</v>
      </c>
      <c r="S1302" s="18">
        <f t="shared" si="155"/>
        <v>944515.15777325653</v>
      </c>
    </row>
    <row r="1303" spans="1:19">
      <c r="A1303" s="10">
        <f>5</f>
        <v>5</v>
      </c>
      <c r="B1303" s="18">
        <f>IF($A1303&gt;40,0,(B1296-MIN(MAX(C1302,0),B1296))+MIN(MAX(0,D1302-(B1296-MIN(MAX(C1302,0),B1296))),MAX(0,0*B1296-(C1302-MIN(MAX(C1302,0),B1296)))))</f>
        <v>30000</v>
      </c>
      <c r="C1303" s="18">
        <f>IF($A1303&gt;40,C1302,(C1302-B1296+B1303)*(1+$C$7))</f>
        <v>0</v>
      </c>
      <c r="D1303" s="18">
        <f t="shared" si="150"/>
        <v>995221.77777100005</v>
      </c>
      <c r="E1303" s="18">
        <f>IF($A1303&gt;40,0,(E1296-MIN(MAX(F1302,0),E1296))+MIN(MAX(0,G1302-(E1296-MIN(MAX(F1302,0),E1296))),MAX(0,0*E1296-(F1302-MIN(MAX(F1302,0),E1296)))))</f>
        <v>75000</v>
      </c>
      <c r="F1303" s="18">
        <f>IF($A1303&gt;40,F1302,(F1302-E1296+E1303)*(1+$C$7))</f>
        <v>0</v>
      </c>
      <c r="G1303" s="18">
        <f t="shared" si="151"/>
        <v>749143.33297750005</v>
      </c>
      <c r="H1303" s="18">
        <f>IF($A1303&gt;40,0,(H1296-MIN(MAX(I1302,0),H1296))+MIN(MAX(0,J1302-(H1296-MIN(MAX(I1302,0),H1296))),MAX(0,0*H1296-(I1302-MIN(MAX(I1302,0),H1296)))))</f>
        <v>42002.308631517371</v>
      </c>
      <c r="I1303" s="18">
        <f>IF($A1303&gt;40,I1302,(I1302-H1296+H1303)*(1+$C$7))</f>
        <v>0</v>
      </c>
      <c r="J1303" s="18">
        <f t="shared" si="152"/>
        <v>929588.23461599136</v>
      </c>
      <c r="K1303" s="18">
        <f>IF($A1303&gt;40,0,(K1296-MIN(MAX(L1302,0),K1296))+MIN(MAX(0,M1302-(K1296-MIN(MAX(L1302,0),K1296))),MAX(0,0*K1296-(L1302-MIN(MAX(L1302,0),K1296)))))</f>
        <v>42002.3086315174</v>
      </c>
      <c r="L1303" s="18">
        <f>IF($A1303&gt;40,L1302,(L1302-K1296+K1303)*(1+$C$7))</f>
        <v>0</v>
      </c>
      <c r="M1303" s="18">
        <f t="shared" si="153"/>
        <v>929588.23461599078</v>
      </c>
      <c r="N1303" s="18">
        <f>IF($A1303&gt;40,0,(N1296-MIN(MAX(O1302,0),N1296))+MIN(MAX(0,P1302-(N1296-MIN(MAX(O1302,0),N1296))),MAX(0,0*N1296-(O1302-MIN(MAX(O1302,0),N1296)))))</f>
        <v>42002.308631517386</v>
      </c>
      <c r="O1303" s="18">
        <f>IF($A1303&gt;40,O1302,(O1302-N1296+N1303)*(1+$C$7))</f>
        <v>0</v>
      </c>
      <c r="P1303" s="18">
        <f t="shared" si="154"/>
        <v>929588.23461599136</v>
      </c>
      <c r="Q1303" s="18">
        <f>IF($A1303&gt;40,0,(Q1296-MIN(MAX(R1302,0),Q1296))+MIN(MAX(0,S1302-(Q1296-MIN(MAX(R1302,0),Q1296))),MAX(0,0*Q1296-(R1302-MIN(MAX(R1302,0),Q1296)))))</f>
        <v>42002.308631517393</v>
      </c>
      <c r="R1303" s="18">
        <f>IF($A1303&gt;40,R1302,(R1302-Q1296+Q1303)*(1+$C$7))</f>
        <v>0</v>
      </c>
      <c r="S1303" s="18">
        <f t="shared" si="155"/>
        <v>929588.23461599136</v>
      </c>
    </row>
    <row r="1304" spans="1:19">
      <c r="A1304" s="10">
        <f>6</f>
        <v>6</v>
      </c>
      <c r="B1304" s="18">
        <f>IF($A1304&gt;40,0,(B1296-MIN(MAX(C1303,0),B1296))+MIN(MAX(0,D1303-(B1296-MIN(MAX(C1303,0),B1296))),MAX(0,0*B1296-(C1303-MIN(MAX(C1303,0),B1296)))))</f>
        <v>30000</v>
      </c>
      <c r="C1304" s="18">
        <f>IF($A1304&gt;40,C1303,(C1303-B1296+B1304)*(1+$C$7))</f>
        <v>0</v>
      </c>
      <c r="D1304" s="18">
        <f t="shared" si="150"/>
        <v>994178.43110413011</v>
      </c>
      <c r="E1304" s="18">
        <f>IF($A1304&gt;40,0,(E1296-MIN(MAX(F1303,0),E1296))+MIN(MAX(0,G1303-(E1296-MIN(MAX(F1303,0),E1296))),MAX(0,0*E1296-(F1303-MIN(MAX(F1303,0),E1296)))))</f>
        <v>75000</v>
      </c>
      <c r="F1304" s="18">
        <f>IF($A1304&gt;40,F1303,(F1303-E1296+E1304)*(1+$C$7))</f>
        <v>0</v>
      </c>
      <c r="G1304" s="18">
        <f t="shared" si="151"/>
        <v>694367.63296682504</v>
      </c>
      <c r="H1304" s="18">
        <f>IF($A1304&gt;40,0,(H1296-MIN(MAX(I1303,0),H1296))+MIN(MAX(0,J1303-(H1296-MIN(MAX(I1303,0),H1296))),MAX(0,0*H1296-(I1303-MIN(MAX(I1303,0),H1296)))))</f>
        <v>42002.308631517371</v>
      </c>
      <c r="I1304" s="18">
        <f>IF($A1304&gt;40,I1303,(I1303-H1296+H1304)*(1+$C$7))</f>
        <v>0</v>
      </c>
      <c r="J1304" s="18">
        <f t="shared" si="152"/>
        <v>914213.50376400829</v>
      </c>
      <c r="K1304" s="18">
        <f>IF($A1304&gt;40,0,(K1296-MIN(MAX(L1303,0),K1296))+MIN(MAX(0,M1303-(K1296-MIN(MAX(L1303,0),K1296))),MAX(0,0*K1296-(L1303-MIN(MAX(L1303,0),K1296)))))</f>
        <v>42002.3086315174</v>
      </c>
      <c r="L1304" s="18">
        <f>IF($A1304&gt;40,L1303,(L1303-K1296+K1304)*(1+$C$7))</f>
        <v>0</v>
      </c>
      <c r="M1304" s="18">
        <f t="shared" si="153"/>
        <v>914213.50376400771</v>
      </c>
      <c r="N1304" s="18">
        <f>IF($A1304&gt;40,0,(N1296-MIN(MAX(O1303,0),N1296))+MIN(MAX(0,P1303-(N1296-MIN(MAX(O1303,0),N1296))),MAX(0,0*N1296-(O1303-MIN(MAX(O1303,0),N1296)))))</f>
        <v>42002.308631517386</v>
      </c>
      <c r="O1304" s="18">
        <f>IF($A1304&gt;40,O1303,(O1303-N1296+N1304)*(1+$C$7))</f>
        <v>0</v>
      </c>
      <c r="P1304" s="18">
        <f t="shared" si="154"/>
        <v>914213.50376400829</v>
      </c>
      <c r="Q1304" s="18">
        <f>IF($A1304&gt;40,0,(Q1296-MIN(MAX(R1303,0),Q1296))+MIN(MAX(0,S1303-(Q1296-MIN(MAX(R1303,0),Q1296))),MAX(0,0*Q1296-(R1303-MIN(MAX(R1303,0),Q1296)))))</f>
        <v>42002.308631517393</v>
      </c>
      <c r="R1304" s="18">
        <f>IF($A1304&gt;40,R1303,(R1303-Q1296+Q1304)*(1+$C$7))</f>
        <v>0</v>
      </c>
      <c r="S1304" s="18">
        <f t="shared" si="155"/>
        <v>914213.50376400829</v>
      </c>
    </row>
    <row r="1305" spans="1:19">
      <c r="A1305" s="10">
        <f>7</f>
        <v>7</v>
      </c>
      <c r="B1305" s="18">
        <f>IF($A1305&gt;40,0,(B1296-MIN(MAX(C1304,0),B1296))+MIN(MAX(0,D1304-(B1296-MIN(MAX(C1304,0),B1296))),MAX(0,0*B1296-(C1304-MIN(MAX(C1304,0),B1296)))))</f>
        <v>30000</v>
      </c>
      <c r="C1305" s="18">
        <f>IF($A1305&gt;40,C1304,(C1304-B1296+B1305)*(1+$C$7))</f>
        <v>0</v>
      </c>
      <c r="D1305" s="18">
        <f t="shared" si="150"/>
        <v>993103.78403725405</v>
      </c>
      <c r="E1305" s="18">
        <f>IF($A1305&gt;40,0,(E1296-MIN(MAX(F1304,0),E1296))+MIN(MAX(0,G1304-(E1296-MIN(MAX(F1304,0),E1296))),MAX(0,0*E1296-(F1304-MIN(MAX(F1304,0),E1296)))))</f>
        <v>75000</v>
      </c>
      <c r="F1305" s="18">
        <f>IF($A1305&gt;40,F1304,(F1304-E1296+E1305)*(1+$C$7))</f>
        <v>0</v>
      </c>
      <c r="G1305" s="18">
        <f t="shared" si="151"/>
        <v>637948.66195582983</v>
      </c>
      <c r="H1305" s="18">
        <f>IF($A1305&gt;40,0,(H1296-MIN(MAX(I1304,0),H1296))+MIN(MAX(0,J1304-(H1296-MIN(MAX(I1304,0),H1296))),MAX(0,0*H1296-(I1304-MIN(MAX(I1304,0),H1296)))))</f>
        <v>42002.308631517371</v>
      </c>
      <c r="I1305" s="18">
        <f>IF($A1305&gt;40,I1304,(I1304-H1296+H1305)*(1+$C$7))</f>
        <v>0</v>
      </c>
      <c r="J1305" s="18">
        <f t="shared" si="152"/>
        <v>898377.53098646575</v>
      </c>
      <c r="K1305" s="18">
        <f>IF($A1305&gt;40,0,(K1296-MIN(MAX(L1304,0),K1296))+MIN(MAX(0,M1304-(K1296-MIN(MAX(L1304,0),K1296))),MAX(0,0*K1296-(L1304-MIN(MAX(L1304,0),K1296)))))</f>
        <v>42002.3086315174</v>
      </c>
      <c r="L1305" s="18">
        <f>IF($A1305&gt;40,L1304,(L1304-K1296+K1305)*(1+$C$7))</f>
        <v>0</v>
      </c>
      <c r="M1305" s="18">
        <f t="shared" si="153"/>
        <v>898377.53098646493</v>
      </c>
      <c r="N1305" s="18">
        <f>IF($A1305&gt;40,0,(N1296-MIN(MAX(O1304,0),N1296))+MIN(MAX(0,P1304-(N1296-MIN(MAX(O1304,0),N1296))),MAX(0,0*N1296-(O1304-MIN(MAX(O1304,0),N1296)))))</f>
        <v>42002.308631517386</v>
      </c>
      <c r="O1305" s="18">
        <f>IF($A1305&gt;40,O1304,(O1304-N1296+N1305)*(1+$C$7))</f>
        <v>0</v>
      </c>
      <c r="P1305" s="18">
        <f t="shared" si="154"/>
        <v>898377.53098646575</v>
      </c>
      <c r="Q1305" s="18">
        <f>IF($A1305&gt;40,0,(Q1296-MIN(MAX(R1304,0),Q1296))+MIN(MAX(0,S1304-(Q1296-MIN(MAX(R1304,0),Q1296))),MAX(0,0*Q1296-(R1304-MIN(MAX(R1304,0),Q1296)))))</f>
        <v>42002.308631517393</v>
      </c>
      <c r="R1305" s="18">
        <f>IF($A1305&gt;40,R1304,(R1304-Q1296+Q1305)*(1+$C$7))</f>
        <v>0</v>
      </c>
      <c r="S1305" s="18">
        <f t="shared" si="155"/>
        <v>898377.53098646575</v>
      </c>
    </row>
    <row r="1306" spans="1:19">
      <c r="A1306" s="10">
        <f>8</f>
        <v>8</v>
      </c>
      <c r="B1306" s="18">
        <f>IF($A1306&gt;40,0,(B1296-MIN(MAX(C1305,0),B1296))+MIN(MAX(0,D1305-(B1296-MIN(MAX(C1305,0),B1296))),MAX(0,0*B1296-(C1305-MIN(MAX(C1305,0),B1296)))))</f>
        <v>30000</v>
      </c>
      <c r="C1306" s="18">
        <f>IF($A1306&gt;40,C1305,(C1305-B1296+B1306)*(1+$C$7))</f>
        <v>0</v>
      </c>
      <c r="D1306" s="18">
        <f t="shared" si="150"/>
        <v>991996.89755837165</v>
      </c>
      <c r="E1306" s="18">
        <f>IF($A1306&gt;40,0,(E1296-MIN(MAX(F1305,0),E1296))+MIN(MAX(0,G1305-(E1296-MIN(MAX(F1305,0),E1296))),MAX(0,0*E1296-(F1305-MIN(MAX(F1305,0),E1296)))))</f>
        <v>75000</v>
      </c>
      <c r="F1306" s="18">
        <f>IF($A1306&gt;40,F1305,(F1305-E1296+E1306)*(1+$C$7))</f>
        <v>0</v>
      </c>
      <c r="G1306" s="18">
        <f t="shared" si="151"/>
        <v>579837.12181450473</v>
      </c>
      <c r="H1306" s="18">
        <f>IF($A1306&gt;40,0,(H1296-MIN(MAX(I1305,0),H1296))+MIN(MAX(0,J1305-(H1296-MIN(MAX(I1305,0),H1296))),MAX(0,0*H1296-(I1305-MIN(MAX(I1305,0),H1296)))))</f>
        <v>42002.308631517371</v>
      </c>
      <c r="I1306" s="18">
        <f>IF($A1306&gt;40,I1305,(I1305-H1296+H1306)*(1+$C$7))</f>
        <v>0</v>
      </c>
      <c r="J1306" s="18">
        <f t="shared" si="152"/>
        <v>882066.47902559687</v>
      </c>
      <c r="K1306" s="18">
        <f>IF($A1306&gt;40,0,(K1296-MIN(MAX(L1305,0),K1296))+MIN(MAX(0,M1305-(K1296-MIN(MAX(L1305,0),K1296))),MAX(0,0*K1296-(L1305-MIN(MAX(L1305,0),K1296)))))</f>
        <v>42002.3086315174</v>
      </c>
      <c r="L1306" s="18">
        <f>IF($A1306&gt;40,L1305,(L1305-K1296+K1306)*(1+$C$7))</f>
        <v>0</v>
      </c>
      <c r="M1306" s="18">
        <f t="shared" si="153"/>
        <v>882066.47902559605</v>
      </c>
      <c r="N1306" s="18">
        <f>IF($A1306&gt;40,0,(N1296-MIN(MAX(O1305,0),N1296))+MIN(MAX(0,P1305-(N1296-MIN(MAX(O1305,0),N1296))),MAX(0,0*N1296-(O1305-MIN(MAX(O1305,0),N1296)))))</f>
        <v>42002.308631517386</v>
      </c>
      <c r="O1306" s="18">
        <f>IF($A1306&gt;40,O1305,(O1305-N1296+N1306)*(1+$C$7))</f>
        <v>0</v>
      </c>
      <c r="P1306" s="18">
        <f t="shared" si="154"/>
        <v>882066.47902559687</v>
      </c>
      <c r="Q1306" s="18">
        <f>IF($A1306&gt;40,0,(Q1296-MIN(MAX(R1305,0),Q1296))+MIN(MAX(0,S1305-(Q1296-MIN(MAX(R1305,0),Q1296))),MAX(0,0*Q1296-(R1305-MIN(MAX(R1305,0),Q1296)))))</f>
        <v>42002.308631517393</v>
      </c>
      <c r="R1306" s="18">
        <f>IF($A1306&gt;40,R1305,(R1305-Q1296+Q1306)*(1+$C$7))</f>
        <v>0</v>
      </c>
      <c r="S1306" s="18">
        <f t="shared" si="155"/>
        <v>882066.47902559687</v>
      </c>
    </row>
    <row r="1307" spans="1:19">
      <c r="A1307" s="10">
        <f>9</f>
        <v>9</v>
      </c>
      <c r="B1307" s="18">
        <f>IF($A1307&gt;40,0,(B1296-MIN(MAX(C1306,0),B1296))+MIN(MAX(0,D1306-(B1296-MIN(MAX(C1306,0),B1296))),MAX(0,0*B1296-(C1306-MIN(MAX(C1306,0),B1296)))))</f>
        <v>30000</v>
      </c>
      <c r="C1307" s="18">
        <f>IF($A1307&gt;40,C1306,(C1306-B1296+B1307)*(1+$C$7))</f>
        <v>0</v>
      </c>
      <c r="D1307" s="18">
        <f t="shared" si="150"/>
        <v>990856.80448512279</v>
      </c>
      <c r="E1307" s="18">
        <f>IF($A1307&gt;40,0,(E1296-MIN(MAX(F1306,0),E1296))+MIN(MAX(0,G1306-(E1296-MIN(MAX(F1306,0),E1296))),MAX(0,0*E1296-(F1306-MIN(MAX(F1306,0),E1296)))))</f>
        <v>75000</v>
      </c>
      <c r="F1307" s="18">
        <f>IF($A1307&gt;40,F1306,(F1306-E1296+E1307)*(1+$C$7))</f>
        <v>0</v>
      </c>
      <c r="G1307" s="18">
        <f t="shared" si="151"/>
        <v>519982.23546893988</v>
      </c>
      <c r="H1307" s="18">
        <f>IF($A1307&gt;40,0,(H1296-MIN(MAX(I1306,0),H1296))+MIN(MAX(0,J1306-(H1296-MIN(MAX(I1306,0),H1296))),MAX(0,0*H1296-(I1306-MIN(MAX(I1306,0),H1296)))))</f>
        <v>42002.308631517371</v>
      </c>
      <c r="I1307" s="18">
        <f>IF($A1307&gt;40,I1306,(I1306-H1296+H1307)*(1+$C$7))</f>
        <v>0</v>
      </c>
      <c r="J1307" s="18">
        <f t="shared" si="152"/>
        <v>865266.09550590196</v>
      </c>
      <c r="K1307" s="18">
        <f>IF($A1307&gt;40,0,(K1296-MIN(MAX(L1306,0),K1296))+MIN(MAX(0,M1306-(K1296-MIN(MAX(L1306,0),K1296))),MAX(0,0*K1296-(L1306-MIN(MAX(L1306,0),K1296)))))</f>
        <v>42002.3086315174</v>
      </c>
      <c r="L1307" s="18">
        <f>IF($A1307&gt;40,L1306,(L1306-K1296+K1307)*(1+$C$7))</f>
        <v>0</v>
      </c>
      <c r="M1307" s="18">
        <f t="shared" si="153"/>
        <v>865266.09550590103</v>
      </c>
      <c r="N1307" s="18">
        <f>IF($A1307&gt;40,0,(N1296-MIN(MAX(O1306,0),N1296))+MIN(MAX(0,P1306-(N1296-MIN(MAX(O1306,0),N1296))),MAX(0,0*N1296-(O1306-MIN(MAX(O1306,0),N1296)))))</f>
        <v>42002.308631517386</v>
      </c>
      <c r="O1307" s="18">
        <f>IF($A1307&gt;40,O1306,(O1306-N1296+N1307)*(1+$C$7))</f>
        <v>0</v>
      </c>
      <c r="P1307" s="18">
        <f t="shared" si="154"/>
        <v>865266.09550590196</v>
      </c>
      <c r="Q1307" s="18">
        <f>IF($A1307&gt;40,0,(Q1296-MIN(MAX(R1306,0),Q1296))+MIN(MAX(0,S1306-(Q1296-MIN(MAX(R1306,0),Q1296))),MAX(0,0*Q1296-(R1306-MIN(MAX(R1306,0),Q1296)))))</f>
        <v>42002.308631517393</v>
      </c>
      <c r="R1307" s="18">
        <f>IF($A1307&gt;40,R1306,(R1306-Q1296+Q1307)*(1+$C$7))</f>
        <v>0</v>
      </c>
      <c r="S1307" s="18">
        <f t="shared" si="155"/>
        <v>865266.09550590196</v>
      </c>
    </row>
    <row r="1308" spans="1:19">
      <c r="A1308" s="10">
        <f>10</f>
        <v>10</v>
      </c>
      <c r="B1308" s="18">
        <f>IF($A1308&gt;40,0,(B1296-MIN(MAX(C1307,0),B1296))+MIN(MAX(0,D1307-(B1296-MIN(MAX(C1307,0),B1296))),MAX(0,0*B1296-(C1307-MIN(MAX(C1307,0),B1296)))))</f>
        <v>30000</v>
      </c>
      <c r="C1308" s="18">
        <f>IF($A1308&gt;40,C1307,(C1307-B1296+B1308)*(1+$C$7))</f>
        <v>0</v>
      </c>
      <c r="D1308" s="18">
        <f t="shared" si="150"/>
        <v>989682.50861967646</v>
      </c>
      <c r="E1308" s="18">
        <f>IF($A1308&gt;40,0,(E1296-MIN(MAX(F1307,0),E1296))+MIN(MAX(0,G1307-(E1296-MIN(MAX(F1307,0),E1296))),MAX(0,0*E1296-(F1307-MIN(MAX(F1307,0),E1296)))))</f>
        <v>75000</v>
      </c>
      <c r="F1308" s="18">
        <f>IF($A1308&gt;40,F1307,(F1307-E1296+E1308)*(1+$C$7))</f>
        <v>0</v>
      </c>
      <c r="G1308" s="18">
        <f t="shared" si="151"/>
        <v>458331.70253300807</v>
      </c>
      <c r="H1308" s="18">
        <f>IF($A1308&gt;40,0,(H1296-MIN(MAX(I1307,0),H1296))+MIN(MAX(0,J1307-(H1296-MIN(MAX(I1307,0),H1296))),MAX(0,0*H1296-(I1307-MIN(MAX(I1307,0),H1296)))))</f>
        <v>42002.308631517371</v>
      </c>
      <c r="I1308" s="18">
        <f>IF($A1308&gt;40,I1307,(I1307-H1296+H1308)*(1+$C$7))</f>
        <v>0</v>
      </c>
      <c r="J1308" s="18">
        <f t="shared" si="152"/>
        <v>847961.70048061619</v>
      </c>
      <c r="K1308" s="18">
        <f>IF($A1308&gt;40,0,(K1296-MIN(MAX(L1307,0),K1296))+MIN(MAX(0,M1307-(K1296-MIN(MAX(L1307,0),K1296))),MAX(0,0*K1296-(L1307-MIN(MAX(L1307,0),K1296)))))</f>
        <v>42002.3086315174</v>
      </c>
      <c r="L1308" s="18">
        <f>IF($A1308&gt;40,L1307,(L1307-K1296+K1308)*(1+$C$7))</f>
        <v>0</v>
      </c>
      <c r="M1308" s="18">
        <f t="shared" si="153"/>
        <v>847961.70048061525</v>
      </c>
      <c r="N1308" s="18">
        <f>IF($A1308&gt;40,0,(N1296-MIN(MAX(O1307,0),N1296))+MIN(MAX(0,P1307-(N1296-MIN(MAX(O1307,0),N1296))),MAX(0,0*N1296-(O1307-MIN(MAX(O1307,0),N1296)))))</f>
        <v>42002.308631517386</v>
      </c>
      <c r="O1308" s="18">
        <f>IF($A1308&gt;40,O1307,(O1307-N1296+N1308)*(1+$C$7))</f>
        <v>0</v>
      </c>
      <c r="P1308" s="18">
        <f t="shared" si="154"/>
        <v>847961.70048061619</v>
      </c>
      <c r="Q1308" s="18">
        <f>IF($A1308&gt;40,0,(Q1296-MIN(MAX(R1307,0),Q1296))+MIN(MAX(0,S1307-(Q1296-MIN(MAX(R1307,0),Q1296))),MAX(0,0*Q1296-(R1307-MIN(MAX(R1307,0),Q1296)))))</f>
        <v>42002.308631517393</v>
      </c>
      <c r="R1308" s="18">
        <f>IF($A1308&gt;40,R1307,(R1307-Q1296+Q1308)*(1+$C$7))</f>
        <v>0</v>
      </c>
      <c r="S1308" s="18">
        <f t="shared" si="155"/>
        <v>847961.70048061619</v>
      </c>
    </row>
    <row r="1309" spans="1:19">
      <c r="A1309" s="10">
        <f>11</f>
        <v>11</v>
      </c>
      <c r="B1309" s="18">
        <f>IF($A1309&gt;40,0,(B1296-MIN(MAX(C1308,0),B1296))+MIN(MAX(0,D1308-(B1296-MIN(MAX(C1308,0),B1296))),MAX(0,0*B1296-(C1308-MIN(MAX(C1308,0),B1296)))))</f>
        <v>30000</v>
      </c>
      <c r="C1309" s="18">
        <f>IF($A1309&gt;40,C1308,(C1308-B1296+B1309)*(1+$C$7))</f>
        <v>0</v>
      </c>
      <c r="D1309" s="18">
        <f t="shared" si="150"/>
        <v>988472.98387826676</v>
      </c>
      <c r="E1309" s="18">
        <f>IF($A1309&gt;40,0,(E1296-MIN(MAX(F1308,0),E1296))+MIN(MAX(0,G1308-(E1296-MIN(MAX(F1308,0),E1296))),MAX(0,0*E1296-(F1308-MIN(MAX(F1308,0),E1296)))))</f>
        <v>75000</v>
      </c>
      <c r="F1309" s="18">
        <f>IF($A1309&gt;40,F1308,(F1308-E1296+E1309)*(1+$C$7))</f>
        <v>0</v>
      </c>
      <c r="G1309" s="18">
        <f t="shared" si="151"/>
        <v>394831.65360899834</v>
      </c>
      <c r="H1309" s="18">
        <f>IF($A1309&gt;40,0,(H1296-MIN(MAX(I1308,0),H1296))+MIN(MAX(0,J1308-(H1296-MIN(MAX(I1308,0),H1296))),MAX(0,0*H1296-(I1308-MIN(MAX(I1308,0),H1296)))))</f>
        <v>42002.308631517371</v>
      </c>
      <c r="I1309" s="18">
        <f>IF($A1309&gt;40,I1308,(I1308-H1296+H1309)*(1+$C$7))</f>
        <v>0</v>
      </c>
      <c r="J1309" s="18">
        <f t="shared" si="152"/>
        <v>830138.17360457184</v>
      </c>
      <c r="K1309" s="18">
        <f>IF($A1309&gt;40,0,(K1296-MIN(MAX(L1308,0),K1296))+MIN(MAX(0,M1308-(K1296-MIN(MAX(L1308,0),K1296))),MAX(0,0*K1296-(L1308-MIN(MAX(L1308,0),K1296)))))</f>
        <v>42002.3086315174</v>
      </c>
      <c r="L1309" s="18">
        <f>IF($A1309&gt;40,L1308,(L1308-K1296+K1309)*(1+$C$7))</f>
        <v>0</v>
      </c>
      <c r="M1309" s="18">
        <f t="shared" si="153"/>
        <v>830138.17360457079</v>
      </c>
      <c r="N1309" s="18">
        <f>IF($A1309&gt;40,0,(N1296-MIN(MAX(O1308,0),N1296))+MIN(MAX(0,P1308-(N1296-MIN(MAX(O1308,0),N1296))),MAX(0,0*N1296-(O1308-MIN(MAX(O1308,0),N1296)))))</f>
        <v>42002.308631517386</v>
      </c>
      <c r="O1309" s="18">
        <f>IF($A1309&gt;40,O1308,(O1308-N1296+N1309)*(1+$C$7))</f>
        <v>0</v>
      </c>
      <c r="P1309" s="18">
        <f t="shared" si="154"/>
        <v>830138.17360457184</v>
      </c>
      <c r="Q1309" s="18">
        <f>IF($A1309&gt;40,0,(Q1296-MIN(MAX(R1308,0),Q1296))+MIN(MAX(0,S1308-(Q1296-MIN(MAX(R1308,0),Q1296))),MAX(0,0*Q1296-(R1308-MIN(MAX(R1308,0),Q1296)))))</f>
        <v>42002.308631517393</v>
      </c>
      <c r="R1309" s="18">
        <f>IF($A1309&gt;40,R1308,(R1308-Q1296+Q1309)*(1+$C$7))</f>
        <v>0</v>
      </c>
      <c r="S1309" s="18">
        <f t="shared" si="155"/>
        <v>830138.17360457184</v>
      </c>
    </row>
    <row r="1310" spans="1:19">
      <c r="A1310" s="10">
        <f>12</f>
        <v>12</v>
      </c>
      <c r="B1310" s="18">
        <f>IF($A1310&gt;40,0,(B1296-MIN(MAX(C1309,0),B1296))+MIN(MAX(0,D1309-(B1296-MIN(MAX(C1309,0),B1296))),MAX(0,0*B1296-(C1309-MIN(MAX(C1309,0),B1296)))))</f>
        <v>30000</v>
      </c>
      <c r="C1310" s="18">
        <f>IF($A1310&gt;40,C1309,(C1309-B1296+B1310)*(1+$C$7))</f>
        <v>0</v>
      </c>
      <c r="D1310" s="18">
        <f t="shared" si="150"/>
        <v>987227.17339461483</v>
      </c>
      <c r="E1310" s="18">
        <f>IF($A1310&gt;40,0,(E1296-MIN(MAX(F1309,0),E1296))+MIN(MAX(0,G1309-(E1296-MIN(MAX(F1309,0),E1296))),MAX(0,0*E1296-(F1309-MIN(MAX(F1309,0),E1296)))))</f>
        <v>75000</v>
      </c>
      <c r="F1310" s="18">
        <f>IF($A1310&gt;40,F1309,(F1309-E1296+E1310)*(1+$C$7))</f>
        <v>0</v>
      </c>
      <c r="G1310" s="18">
        <f t="shared" si="151"/>
        <v>329426.6032172683</v>
      </c>
      <c r="H1310" s="18">
        <f>IF($A1310&gt;40,0,(H1296-MIN(MAX(I1309,0),H1296))+MIN(MAX(0,J1309-(H1296-MIN(MAX(I1309,0),H1296))),MAX(0,0*H1296-(I1309-MIN(MAX(I1309,0),H1296)))))</f>
        <v>42002.308631517371</v>
      </c>
      <c r="I1310" s="18">
        <f>IF($A1310&gt;40,I1309,(I1309-H1296+H1310)*(1+$C$7))</f>
        <v>0</v>
      </c>
      <c r="J1310" s="18">
        <f t="shared" si="152"/>
        <v>811779.9409222462</v>
      </c>
      <c r="K1310" s="18">
        <f>IF($A1310&gt;40,0,(K1296-MIN(MAX(L1309,0),K1296))+MIN(MAX(0,M1309-(K1296-MIN(MAX(L1309,0),K1296))),MAX(0,0*K1296-(L1309-MIN(MAX(L1309,0),K1296)))))</f>
        <v>42002.3086315174</v>
      </c>
      <c r="L1310" s="18">
        <f>IF($A1310&gt;40,L1309,(L1309-K1296+K1310)*(1+$C$7))</f>
        <v>0</v>
      </c>
      <c r="M1310" s="18">
        <f t="shared" si="153"/>
        <v>811779.94092224492</v>
      </c>
      <c r="N1310" s="18">
        <f>IF($A1310&gt;40,0,(N1296-MIN(MAX(O1309,0),N1296))+MIN(MAX(0,P1309-(N1296-MIN(MAX(O1309,0),N1296))),MAX(0,0*N1296-(O1309-MIN(MAX(O1309,0),N1296)))))</f>
        <v>42002.308631517386</v>
      </c>
      <c r="O1310" s="18">
        <f>IF($A1310&gt;40,O1309,(O1309-N1296+N1310)*(1+$C$7))</f>
        <v>0</v>
      </c>
      <c r="P1310" s="18">
        <f t="shared" si="154"/>
        <v>811779.9409222462</v>
      </c>
      <c r="Q1310" s="18">
        <f>IF($A1310&gt;40,0,(Q1296-MIN(MAX(R1309,0),Q1296))+MIN(MAX(0,S1309-(Q1296-MIN(MAX(R1309,0),Q1296))),MAX(0,0*Q1296-(R1309-MIN(MAX(R1309,0),Q1296)))))</f>
        <v>42002.308631517393</v>
      </c>
      <c r="R1310" s="18">
        <f>IF($A1310&gt;40,R1309,(R1309-Q1296+Q1310)*(1+$C$7))</f>
        <v>0</v>
      </c>
      <c r="S1310" s="18">
        <f t="shared" si="155"/>
        <v>811779.9409222462</v>
      </c>
    </row>
    <row r="1311" spans="1:19">
      <c r="A1311" s="10">
        <f>13</f>
        <v>13</v>
      </c>
      <c r="B1311" s="18">
        <f>IF($A1311&gt;40,0,(B1296-MIN(MAX(C1310,0),B1296))+MIN(MAX(0,D1310-(B1296-MIN(MAX(C1310,0),B1296))),MAX(0,0*B1296-(C1310-MIN(MAX(C1310,0),B1296)))))</f>
        <v>30000</v>
      </c>
      <c r="C1311" s="18">
        <f>IF($A1311&gt;40,C1310,(C1310-B1296+B1311)*(1+$C$7))</f>
        <v>0</v>
      </c>
      <c r="D1311" s="18">
        <f t="shared" si="150"/>
        <v>985943.98859645333</v>
      </c>
      <c r="E1311" s="18">
        <f>IF($A1311&gt;40,0,(E1296-MIN(MAX(F1310,0),E1296))+MIN(MAX(0,G1310-(E1296-MIN(MAX(F1310,0),E1296))),MAX(0,0*E1296-(F1310-MIN(MAX(F1310,0),E1296)))))</f>
        <v>75000</v>
      </c>
      <c r="F1311" s="18">
        <f>IF($A1311&gt;40,F1310,(F1310-E1296+E1311)*(1+$C$7))</f>
        <v>0</v>
      </c>
      <c r="G1311" s="18">
        <f t="shared" si="151"/>
        <v>262059.40131378637</v>
      </c>
      <c r="H1311" s="18">
        <f>IF($A1311&gt;40,0,(H1296-MIN(MAX(I1310,0),H1296))+MIN(MAX(0,J1310-(H1296-MIN(MAX(I1310,0),H1296))),MAX(0,0*H1296-(I1310-MIN(MAX(I1310,0),H1296)))))</f>
        <v>42002.308631517371</v>
      </c>
      <c r="I1311" s="18">
        <f>IF($A1311&gt;40,I1310,(I1310-H1296+H1311)*(1+$C$7))</f>
        <v>0</v>
      </c>
      <c r="J1311" s="18">
        <f t="shared" si="152"/>
        <v>792870.96125945076</v>
      </c>
      <c r="K1311" s="18">
        <f>IF($A1311&gt;40,0,(K1296-MIN(MAX(L1310,0),K1296))+MIN(MAX(0,M1310-(K1296-MIN(MAX(L1310,0),K1296))),MAX(0,0*K1296-(L1310-MIN(MAX(L1310,0),K1296)))))</f>
        <v>42002.3086315174</v>
      </c>
      <c r="L1311" s="18">
        <f>IF($A1311&gt;40,L1310,(L1310-K1296+K1311)*(1+$C$7))</f>
        <v>0</v>
      </c>
      <c r="M1311" s="18">
        <f t="shared" si="153"/>
        <v>792870.96125944925</v>
      </c>
      <c r="N1311" s="18">
        <f>IF($A1311&gt;40,0,(N1296-MIN(MAX(O1310,0),N1296))+MIN(MAX(0,P1310-(N1296-MIN(MAX(O1310,0),N1296))),MAX(0,0*N1296-(O1310-MIN(MAX(O1310,0),N1296)))))</f>
        <v>42002.308631517386</v>
      </c>
      <c r="O1311" s="18">
        <f>IF($A1311&gt;40,O1310,(O1310-N1296+N1311)*(1+$C$7))</f>
        <v>0</v>
      </c>
      <c r="P1311" s="18">
        <f t="shared" si="154"/>
        <v>792870.96125945076</v>
      </c>
      <c r="Q1311" s="18">
        <f>IF($A1311&gt;40,0,(Q1296-MIN(MAX(R1310,0),Q1296))+MIN(MAX(0,S1310-(Q1296-MIN(MAX(R1310,0),Q1296))),MAX(0,0*Q1296-(R1310-MIN(MAX(R1310,0),Q1296)))))</f>
        <v>42002.308631517393</v>
      </c>
      <c r="R1311" s="18">
        <f>IF($A1311&gt;40,R1310,(R1310-Q1296+Q1311)*(1+$C$7))</f>
        <v>0</v>
      </c>
      <c r="S1311" s="18">
        <f t="shared" si="155"/>
        <v>792870.96125945076</v>
      </c>
    </row>
    <row r="1312" spans="1:19">
      <c r="A1312" s="10">
        <f>14</f>
        <v>14</v>
      </c>
      <c r="B1312" s="18">
        <f>IF($A1312&gt;40,0,(B1296-MIN(MAX(C1311,0),B1296))+MIN(MAX(0,D1311-(B1296-MIN(MAX(C1311,0),B1296))),MAX(0,0*B1296-(C1311-MIN(MAX(C1311,0),B1296)))))</f>
        <v>30000</v>
      </c>
      <c r="C1312" s="18">
        <f>IF($A1312&gt;40,C1311,(C1311-B1296+B1312)*(1+$C$7))</f>
        <v>0</v>
      </c>
      <c r="D1312" s="18">
        <f t="shared" si="150"/>
        <v>984622.30825434695</v>
      </c>
      <c r="E1312" s="18">
        <f>IF($A1312&gt;40,0,(E1296-MIN(MAX(F1311,0),E1296))+MIN(MAX(0,G1311-(E1296-MIN(MAX(F1311,0),E1296))),MAX(0,0*E1296-(F1311-MIN(MAX(F1311,0),E1296)))))</f>
        <v>75000</v>
      </c>
      <c r="F1312" s="18">
        <f>IF($A1312&gt;40,F1311,(F1311-E1296+E1312)*(1+$C$7))</f>
        <v>0</v>
      </c>
      <c r="G1312" s="18">
        <f t="shared" si="151"/>
        <v>192671.18335319997</v>
      </c>
      <c r="H1312" s="18">
        <f>IF($A1312&gt;40,0,(H1296-MIN(MAX(I1311,0),H1296))+MIN(MAX(0,J1311-(H1296-MIN(MAX(I1311,0),H1296))),MAX(0,0*H1296-(I1311-MIN(MAX(I1311,0),H1296)))))</f>
        <v>42002.308631517371</v>
      </c>
      <c r="I1312" s="18">
        <f>IF($A1312&gt;40,I1311,(I1311-H1296+H1312)*(1+$C$7))</f>
        <v>0</v>
      </c>
      <c r="J1312" s="18">
        <f t="shared" si="152"/>
        <v>773394.71220677148</v>
      </c>
      <c r="K1312" s="18">
        <f>IF($A1312&gt;40,0,(K1296-MIN(MAX(L1311,0),K1296))+MIN(MAX(0,M1311-(K1296-MIN(MAX(L1311,0),K1296))),MAX(0,0*K1296-(L1311-MIN(MAX(L1311,0),K1296)))))</f>
        <v>42002.3086315174</v>
      </c>
      <c r="L1312" s="18">
        <f>IF($A1312&gt;40,L1311,(L1311-K1296+K1312)*(1+$C$7))</f>
        <v>0</v>
      </c>
      <c r="M1312" s="18">
        <f t="shared" si="153"/>
        <v>773394.71220676985</v>
      </c>
      <c r="N1312" s="18">
        <f>IF($A1312&gt;40,0,(N1296-MIN(MAX(O1311,0),N1296))+MIN(MAX(0,P1311-(N1296-MIN(MAX(O1311,0),N1296))),MAX(0,0*N1296-(O1311-MIN(MAX(O1311,0),N1296)))))</f>
        <v>42002.308631517386</v>
      </c>
      <c r="O1312" s="18">
        <f>IF($A1312&gt;40,O1311,(O1311-N1296+N1312)*(1+$C$7))</f>
        <v>0</v>
      </c>
      <c r="P1312" s="18">
        <f t="shared" si="154"/>
        <v>773394.71220677148</v>
      </c>
      <c r="Q1312" s="18">
        <f>IF($A1312&gt;40,0,(Q1296-MIN(MAX(R1311,0),Q1296))+MIN(MAX(0,S1311-(Q1296-MIN(MAX(R1311,0),Q1296))),MAX(0,0*Q1296-(R1311-MIN(MAX(R1311,0),Q1296)))))</f>
        <v>42002.308631517393</v>
      </c>
      <c r="R1312" s="18">
        <f>IF($A1312&gt;40,R1311,(R1311-Q1296+Q1312)*(1+$C$7))</f>
        <v>0</v>
      </c>
      <c r="S1312" s="18">
        <f t="shared" si="155"/>
        <v>773394.71220677148</v>
      </c>
    </row>
    <row r="1313" spans="1:19">
      <c r="A1313" s="10">
        <f>15</f>
        <v>15</v>
      </c>
      <c r="B1313" s="18">
        <f>IF($A1313&gt;40,0,(B1296-MIN(MAX(C1312,0),B1296))+MIN(MAX(0,D1312-(B1296-MIN(MAX(C1312,0),B1296))),MAX(0,0*B1296-(C1312-MIN(MAX(C1312,0),B1296)))))</f>
        <v>30000</v>
      </c>
      <c r="C1313" s="18">
        <f>IF($A1313&gt;40,C1312,(C1312-B1296+B1313)*(1+$C$7))</f>
        <v>0</v>
      </c>
      <c r="D1313" s="18">
        <f t="shared" si="150"/>
        <v>983260.97750197735</v>
      </c>
      <c r="E1313" s="18">
        <f>IF($A1313&gt;40,0,(E1296-MIN(MAX(F1312,0),E1296))+MIN(MAX(0,G1312-(E1296-MIN(MAX(F1312,0),E1296))),MAX(0,0*E1296-(F1312-MIN(MAX(F1312,0),E1296)))))</f>
        <v>75000</v>
      </c>
      <c r="F1313" s="18">
        <f>IF($A1313&gt;40,F1312,(F1312-E1296+E1313)*(1+$C$7))</f>
        <v>0</v>
      </c>
      <c r="G1313" s="18">
        <f t="shared" si="151"/>
        <v>121201.31885379598</v>
      </c>
      <c r="H1313" s="18">
        <f>IF($A1313&gt;40,0,(H1296-MIN(MAX(I1312,0),H1296))+MIN(MAX(0,J1312-(H1296-MIN(MAX(I1312,0),H1296))),MAX(0,0*H1296-(I1312-MIN(MAX(I1312,0),H1296)))))</f>
        <v>42002.308631517371</v>
      </c>
      <c r="I1313" s="18">
        <f>IF($A1313&gt;40,I1312,(I1312-H1296+H1313)*(1+$C$7))</f>
        <v>0</v>
      </c>
      <c r="J1313" s="18">
        <f t="shared" si="152"/>
        <v>753334.17568251176</v>
      </c>
      <c r="K1313" s="18">
        <f>IF($A1313&gt;40,0,(K1296-MIN(MAX(L1312,0),K1296))+MIN(MAX(0,M1312-(K1296-MIN(MAX(L1312,0),K1296))),MAX(0,0*K1296-(L1312-MIN(MAX(L1312,0),K1296)))))</f>
        <v>42002.3086315174</v>
      </c>
      <c r="L1313" s="18">
        <f>IF($A1313&gt;40,L1312,(L1312-K1296+K1313)*(1+$C$7))</f>
        <v>0</v>
      </c>
      <c r="M1313" s="18">
        <f t="shared" si="153"/>
        <v>753334.17568251013</v>
      </c>
      <c r="N1313" s="18">
        <f>IF($A1313&gt;40,0,(N1296-MIN(MAX(O1312,0),N1296))+MIN(MAX(0,P1312-(N1296-MIN(MAX(O1312,0),N1296))),MAX(0,0*N1296-(O1312-MIN(MAX(O1312,0),N1296)))))</f>
        <v>42002.308631517386</v>
      </c>
      <c r="O1313" s="18">
        <f>IF($A1313&gt;40,O1312,(O1312-N1296+N1313)*(1+$C$7))</f>
        <v>0</v>
      </c>
      <c r="P1313" s="18">
        <f t="shared" si="154"/>
        <v>753334.17568251176</v>
      </c>
      <c r="Q1313" s="18">
        <f>IF($A1313&gt;40,0,(Q1296-MIN(MAX(R1312,0),Q1296))+MIN(MAX(0,S1312-(Q1296-MIN(MAX(R1312,0),Q1296))),MAX(0,0*Q1296-(R1312-MIN(MAX(R1312,0),Q1296)))))</f>
        <v>42002.308631517393</v>
      </c>
      <c r="R1313" s="18">
        <f>IF($A1313&gt;40,R1312,(R1312-Q1296+Q1313)*(1+$C$7))</f>
        <v>0</v>
      </c>
      <c r="S1313" s="18">
        <f t="shared" si="155"/>
        <v>753334.17568251176</v>
      </c>
    </row>
    <row r="1314" spans="1:19">
      <c r="A1314" s="10">
        <f>16</f>
        <v>16</v>
      </c>
      <c r="B1314" s="18">
        <f>IF($A1314&gt;40,0,(B1296-MIN(MAX(C1313,0),B1296))+MIN(MAX(0,D1313-(B1296-MIN(MAX(C1313,0),B1296))),MAX(0,0*B1296-(C1313-MIN(MAX(C1313,0),B1296)))))</f>
        <v>30000</v>
      </c>
      <c r="C1314" s="18">
        <f>IF($A1314&gt;40,C1313,(C1313-B1296+B1314)*(1+$C$7))</f>
        <v>0</v>
      </c>
      <c r="D1314" s="18">
        <f t="shared" si="150"/>
        <v>981858.80682703666</v>
      </c>
      <c r="E1314" s="18">
        <f>IF($A1314&gt;40,0,(E1296-MIN(MAX(F1313,0),E1296))+MIN(MAX(0,G1313-(E1296-MIN(MAX(F1313,0),E1296))),MAX(0,0*E1296-(F1313-MIN(MAX(F1313,0),E1296)))))</f>
        <v>75000</v>
      </c>
      <c r="F1314" s="18">
        <f>IF($A1314&gt;40,F1313,(F1313-E1296+E1314)*(1+$C$7))</f>
        <v>0</v>
      </c>
      <c r="G1314" s="18">
        <f t="shared" si="151"/>
        <v>47587.358419409858</v>
      </c>
      <c r="H1314" s="18">
        <f>IF($A1314&gt;40,0,(H1296-MIN(MAX(I1313,0),H1296))+MIN(MAX(0,J1313-(H1296-MIN(MAX(I1313,0),H1296))),MAX(0,0*H1296-(I1313-MIN(MAX(I1313,0),H1296)))))</f>
        <v>42002.308631517371</v>
      </c>
      <c r="I1314" s="18">
        <f>IF($A1314&gt;40,I1313,(I1313-H1296+H1314)*(1+$C$7))</f>
        <v>0</v>
      </c>
      <c r="J1314" s="18">
        <f t="shared" si="152"/>
        <v>732671.82306252432</v>
      </c>
      <c r="K1314" s="18">
        <f>IF($A1314&gt;40,0,(K1296-MIN(MAX(L1313,0),K1296))+MIN(MAX(0,M1313-(K1296-MIN(MAX(L1313,0),K1296))),MAX(0,0*K1296-(L1313-MIN(MAX(L1313,0),K1296)))))</f>
        <v>42002.3086315174</v>
      </c>
      <c r="L1314" s="18">
        <f>IF($A1314&gt;40,L1313,(L1313-K1296+K1314)*(1+$C$7))</f>
        <v>0</v>
      </c>
      <c r="M1314" s="18">
        <f t="shared" si="153"/>
        <v>732671.82306252257</v>
      </c>
      <c r="N1314" s="18">
        <f>IF($A1314&gt;40,0,(N1296-MIN(MAX(O1313,0),N1296))+MIN(MAX(0,P1313-(N1296-MIN(MAX(O1313,0),N1296))),MAX(0,0*N1296-(O1313-MIN(MAX(O1313,0),N1296)))))</f>
        <v>42002.308631517386</v>
      </c>
      <c r="O1314" s="18">
        <f>IF($A1314&gt;40,O1313,(O1313-N1296+N1314)*(1+$C$7))</f>
        <v>0</v>
      </c>
      <c r="P1314" s="18">
        <f t="shared" si="154"/>
        <v>732671.82306252432</v>
      </c>
      <c r="Q1314" s="18">
        <f>IF($A1314&gt;40,0,(Q1296-MIN(MAX(R1313,0),Q1296))+MIN(MAX(0,S1313-(Q1296-MIN(MAX(R1313,0),Q1296))),MAX(0,0*Q1296-(R1313-MIN(MAX(R1313,0),Q1296)))))</f>
        <v>42002.308631517393</v>
      </c>
      <c r="R1314" s="18">
        <f>IF($A1314&gt;40,R1313,(R1313-Q1296+Q1314)*(1+$C$7))</f>
        <v>0</v>
      </c>
      <c r="S1314" s="18">
        <f t="shared" si="155"/>
        <v>732671.82306252432</v>
      </c>
    </row>
    <row r="1315" spans="1:19">
      <c r="A1315" s="10">
        <f>17</f>
        <v>17</v>
      </c>
      <c r="B1315" s="18">
        <f>IF($A1315&gt;40,0,(B1296-MIN(MAX(C1314,0),B1296))+MIN(MAX(0,D1314-(B1296-MIN(MAX(C1314,0),B1296))),MAX(0,0*B1296-(C1314-MIN(MAX(C1314,0),B1296)))))</f>
        <v>30000</v>
      </c>
      <c r="C1315" s="18">
        <f>IF($A1315&gt;40,C1314,(C1314-B1296+B1315)*(1+$C$7))</f>
        <v>0</v>
      </c>
      <c r="D1315" s="18">
        <f t="shared" si="150"/>
        <v>980414.57103184774</v>
      </c>
      <c r="E1315" s="18">
        <f>IF($A1315&gt;40,0,(E1296-MIN(MAX(F1314,0),E1296))+MIN(MAX(0,G1314-(E1296-MIN(MAX(F1314,0),E1296))),MAX(0,0*E1296-(F1314-MIN(MAX(F1314,0),E1296)))))</f>
        <v>75000</v>
      </c>
      <c r="F1315" s="18">
        <f>IF($A1315&gt;40,F1314,(F1314-E1296+E1315)*(1+$C$7))</f>
        <v>0</v>
      </c>
      <c r="G1315" s="18">
        <f t="shared" si="151"/>
        <v>-28235.020828007848</v>
      </c>
      <c r="H1315" s="18">
        <f>IF($A1315&gt;40,0,(H1296-MIN(MAX(I1314,0),H1296))+MIN(MAX(0,J1314-(H1296-MIN(MAX(I1314,0),H1296))),MAX(0,0*H1296-(I1314-MIN(MAX(I1314,0),H1296)))))</f>
        <v>42002.308631517371</v>
      </c>
      <c r="I1315" s="18">
        <f>IF($A1315&gt;40,I1314,(I1314-H1296+H1315)*(1+$C$7))</f>
        <v>0</v>
      </c>
      <c r="J1315" s="18">
        <f t="shared" si="152"/>
        <v>711389.59986393724</v>
      </c>
      <c r="K1315" s="18">
        <f>IF($A1315&gt;40,0,(K1296-MIN(MAX(L1314,0),K1296))+MIN(MAX(0,M1314-(K1296-MIN(MAX(L1314,0),K1296))),MAX(0,0*K1296-(L1314-MIN(MAX(L1314,0),K1296)))))</f>
        <v>42002.3086315174</v>
      </c>
      <c r="L1315" s="18">
        <f>IF($A1315&gt;40,L1314,(L1314-K1296+K1315)*(1+$C$7))</f>
        <v>0</v>
      </c>
      <c r="M1315" s="18">
        <f t="shared" si="153"/>
        <v>711389.59986393526</v>
      </c>
      <c r="N1315" s="18">
        <f>IF($A1315&gt;40,0,(N1296-MIN(MAX(O1314,0),N1296))+MIN(MAX(0,P1314-(N1296-MIN(MAX(O1314,0),N1296))),MAX(0,0*N1296-(O1314-MIN(MAX(O1314,0),N1296)))))</f>
        <v>42002.308631517386</v>
      </c>
      <c r="O1315" s="18">
        <f>IF($A1315&gt;40,O1314,(O1314-N1296+N1315)*(1+$C$7))</f>
        <v>0</v>
      </c>
      <c r="P1315" s="18">
        <f t="shared" si="154"/>
        <v>711389.59986393724</v>
      </c>
      <c r="Q1315" s="18">
        <f>IF($A1315&gt;40,0,(Q1296-MIN(MAX(R1314,0),Q1296))+MIN(MAX(0,S1314-(Q1296-MIN(MAX(R1314,0),Q1296))),MAX(0,0*Q1296-(R1314-MIN(MAX(R1314,0),Q1296)))))</f>
        <v>42002.308631517393</v>
      </c>
      <c r="R1315" s="18">
        <f>IF($A1315&gt;40,R1314,(R1314-Q1296+Q1315)*(1+$C$7))</f>
        <v>0</v>
      </c>
      <c r="S1315" s="18">
        <f t="shared" si="155"/>
        <v>711389.59986393724</v>
      </c>
    </row>
    <row r="1316" spans="1:19">
      <c r="A1316" s="10">
        <f>18</f>
        <v>18</v>
      </c>
      <c r="B1316" s="18">
        <f>IF($A1316&gt;40,0,(B1296-MIN(MAX(C1315,0),B1296))+MIN(MAX(0,D1315-(B1296-MIN(MAX(C1315,0),B1296))),MAX(0,0*B1296-(C1315-MIN(MAX(C1315,0),B1296)))))</f>
        <v>30000</v>
      </c>
      <c r="C1316" s="18">
        <f>IF($A1316&gt;40,C1315,(C1315-B1296+B1316)*(1+$C$7))</f>
        <v>0</v>
      </c>
      <c r="D1316" s="18">
        <f t="shared" si="150"/>
        <v>978927.00816280325</v>
      </c>
      <c r="E1316" s="18">
        <f>IF($A1316&gt;40,0,(E1296-MIN(MAX(F1315,0),E1296))+MIN(MAX(0,G1315-(E1296-MIN(MAX(F1315,0),E1296))),MAX(0,0*E1296-(F1315-MIN(MAX(F1315,0),E1296)))))</f>
        <v>75000</v>
      </c>
      <c r="F1316" s="18">
        <f>IF($A1316&gt;40,F1315,(F1315-E1296+E1316)*(1+$C$7))</f>
        <v>0</v>
      </c>
      <c r="G1316" s="18">
        <f t="shared" si="151"/>
        <v>-106332.07145284809</v>
      </c>
      <c r="H1316" s="18">
        <f>IF($A1316&gt;40,0,(H1296-MIN(MAX(I1315,0),H1296))+MIN(MAX(0,J1315-(H1296-MIN(MAX(I1315,0),H1296))),MAX(0,0*H1296-(I1315-MIN(MAX(I1315,0),H1296)))))</f>
        <v>42002.308631517371</v>
      </c>
      <c r="I1316" s="18">
        <f>IF($A1316&gt;40,I1315,(I1315-H1296+H1316)*(1+$C$7))</f>
        <v>0</v>
      </c>
      <c r="J1316" s="18">
        <f t="shared" si="152"/>
        <v>689468.90996939247</v>
      </c>
      <c r="K1316" s="18">
        <f>IF($A1316&gt;40,0,(K1296-MIN(MAX(L1315,0),K1296))+MIN(MAX(0,M1315-(K1296-MIN(MAX(L1315,0),K1296))),MAX(0,0*K1296-(L1315-MIN(MAX(L1315,0),K1296)))))</f>
        <v>42002.3086315174</v>
      </c>
      <c r="L1316" s="18">
        <f>IF($A1316&gt;40,L1315,(L1315-K1296+K1316)*(1+$C$7))</f>
        <v>0</v>
      </c>
      <c r="M1316" s="18">
        <f t="shared" si="153"/>
        <v>689468.90996939037</v>
      </c>
      <c r="N1316" s="18">
        <f>IF($A1316&gt;40,0,(N1296-MIN(MAX(O1315,0),N1296))+MIN(MAX(0,P1315-(N1296-MIN(MAX(O1315,0),N1296))),MAX(0,0*N1296-(O1315-MIN(MAX(O1315,0),N1296)))))</f>
        <v>42002.308631517386</v>
      </c>
      <c r="O1316" s="18">
        <f>IF($A1316&gt;40,O1315,(O1315-N1296+N1316)*(1+$C$7))</f>
        <v>0</v>
      </c>
      <c r="P1316" s="18">
        <f t="shared" si="154"/>
        <v>689468.90996939247</v>
      </c>
      <c r="Q1316" s="18">
        <f>IF($A1316&gt;40,0,(Q1296-MIN(MAX(R1315,0),Q1296))+MIN(MAX(0,S1315-(Q1296-MIN(MAX(R1315,0),Q1296))),MAX(0,0*Q1296-(R1315-MIN(MAX(R1315,0),Q1296)))))</f>
        <v>42002.308631517393</v>
      </c>
      <c r="R1316" s="18">
        <f>IF($A1316&gt;40,R1315,(R1315-Q1296+Q1316)*(1+$C$7))</f>
        <v>0</v>
      </c>
      <c r="S1316" s="18">
        <f t="shared" si="155"/>
        <v>689468.90996939247</v>
      </c>
    </row>
    <row r="1317" spans="1:19">
      <c r="A1317" s="10">
        <f>19</f>
        <v>19</v>
      </c>
      <c r="B1317" s="18">
        <f>IF($A1317&gt;40,0,(B1296-MIN(MAX(C1316,0),B1296))+MIN(MAX(0,D1316-(B1296-MIN(MAX(C1316,0),B1296))),MAX(0,0*B1296-(C1316-MIN(MAX(C1316,0),B1296)))))</f>
        <v>30000</v>
      </c>
      <c r="C1317" s="18">
        <f>IF($A1317&gt;40,C1316,(C1316-B1296+B1317)*(1+$C$7))</f>
        <v>0</v>
      </c>
      <c r="D1317" s="18">
        <f t="shared" si="150"/>
        <v>977394.81840768736</v>
      </c>
      <c r="E1317" s="18">
        <f>IF($A1317&gt;40,0,(E1296-MIN(MAX(F1316,0),E1296))+MIN(MAX(0,G1316-(E1296-MIN(MAX(F1316,0),E1296))),MAX(0,0*E1296-(F1316-MIN(MAX(F1316,0),E1296)))))</f>
        <v>75000</v>
      </c>
      <c r="F1317" s="18">
        <f>IF($A1317&gt;40,F1316,(F1316-E1296+E1317)*(1+$C$7))</f>
        <v>0</v>
      </c>
      <c r="G1317" s="18">
        <f t="shared" si="151"/>
        <v>-186772.03359643352</v>
      </c>
      <c r="H1317" s="18">
        <f>IF($A1317&gt;40,0,(H1296-MIN(MAX(I1316,0),H1296))+MIN(MAX(0,J1316-(H1296-MIN(MAX(I1316,0),H1296))),MAX(0,0*H1296-(I1316-MIN(MAX(I1316,0),H1296)))))</f>
        <v>42002.308631517371</v>
      </c>
      <c r="I1317" s="18">
        <f>IF($A1317&gt;40,I1316,(I1316-H1296+H1317)*(1+$C$7))</f>
        <v>0</v>
      </c>
      <c r="J1317" s="18">
        <f t="shared" si="152"/>
        <v>666890.59937801142</v>
      </c>
      <c r="K1317" s="18">
        <f>IF($A1317&gt;40,0,(K1296-MIN(MAX(L1316,0),K1296))+MIN(MAX(0,M1316-(K1296-MIN(MAX(L1316,0),K1296))),MAX(0,0*K1296-(L1316-MIN(MAX(L1316,0),K1296)))))</f>
        <v>42002.3086315174</v>
      </c>
      <c r="L1317" s="18">
        <f>IF($A1317&gt;40,L1316,(L1316-K1296+K1317)*(1+$C$7))</f>
        <v>0</v>
      </c>
      <c r="M1317" s="18">
        <f t="shared" si="153"/>
        <v>666890.59937800909</v>
      </c>
      <c r="N1317" s="18">
        <f>IF($A1317&gt;40,0,(N1296-MIN(MAX(O1316,0),N1296))+MIN(MAX(0,P1316-(N1296-MIN(MAX(O1316,0),N1296))),MAX(0,0*N1296-(O1316-MIN(MAX(O1316,0),N1296)))))</f>
        <v>42002.308631517386</v>
      </c>
      <c r="O1317" s="18">
        <f>IF($A1317&gt;40,O1316,(O1316-N1296+N1317)*(1+$C$7))</f>
        <v>0</v>
      </c>
      <c r="P1317" s="18">
        <f t="shared" si="154"/>
        <v>666890.59937801142</v>
      </c>
      <c r="Q1317" s="18">
        <f>IF($A1317&gt;40,0,(Q1296-MIN(MAX(R1316,0),Q1296))+MIN(MAX(0,S1316-(Q1296-MIN(MAX(R1316,0),Q1296))),MAX(0,0*Q1296-(R1316-MIN(MAX(R1316,0),Q1296)))))</f>
        <v>42002.308631517393</v>
      </c>
      <c r="R1317" s="18">
        <f>IF($A1317&gt;40,R1316,(R1316-Q1296+Q1317)*(1+$C$7))</f>
        <v>0</v>
      </c>
      <c r="S1317" s="18">
        <f t="shared" si="155"/>
        <v>666890.59937801142</v>
      </c>
    </row>
    <row r="1318" spans="1:19">
      <c r="A1318" s="10">
        <f>20</f>
        <v>20</v>
      </c>
      <c r="B1318" s="18">
        <f>IF($A1318&gt;40,0,(B1296-MIN(MAX(C1317,0),B1296))+MIN(MAX(0,D1317-(B1296-MIN(MAX(C1317,0),B1296))),MAX(0,0*B1296-(C1317-MIN(MAX(C1317,0),B1296)))))</f>
        <v>30000</v>
      </c>
      <c r="C1318" s="18">
        <f>IF($A1318&gt;40,C1317,(C1317-B1296+B1318)*(1+$C$7))</f>
        <v>0</v>
      </c>
      <c r="D1318" s="18">
        <f t="shared" si="150"/>
        <v>975816.66295991803</v>
      </c>
      <c r="E1318" s="18">
        <f>IF($A1318&gt;40,0,(E1296-MIN(MAX(F1317,0),E1296))+MIN(MAX(0,G1317-(E1296-MIN(MAX(F1317,0),E1296))),MAX(0,0*E1296-(F1317-MIN(MAX(F1317,0),E1296)))))</f>
        <v>75000</v>
      </c>
      <c r="F1318" s="18">
        <f>IF($A1318&gt;40,F1317,(F1317-E1296+E1318)*(1+$C$7))</f>
        <v>0</v>
      </c>
      <c r="G1318" s="18">
        <f t="shared" si="151"/>
        <v>-269625.19460432656</v>
      </c>
      <c r="H1318" s="18">
        <f>IF($A1318&gt;40,0,(H1296-MIN(MAX(I1317,0),H1296))+MIN(MAX(0,J1317-(H1296-MIN(MAX(I1317,0),H1296))),MAX(0,0*H1296-(I1317-MIN(MAX(I1317,0),H1296)))))</f>
        <v>42002.308631517371</v>
      </c>
      <c r="I1318" s="18">
        <f>IF($A1318&gt;40,I1317,(I1317-H1296+H1318)*(1+$C$7))</f>
        <v>0</v>
      </c>
      <c r="J1318" s="18">
        <f t="shared" si="152"/>
        <v>643634.93946888892</v>
      </c>
      <c r="K1318" s="18">
        <f>IF($A1318&gt;40,0,(K1296-MIN(MAX(L1317,0),K1296))+MIN(MAX(0,M1317-(K1296-MIN(MAX(L1317,0),K1296))),MAX(0,0*K1296-(L1317-MIN(MAX(L1317,0),K1296)))))</f>
        <v>42002.3086315174</v>
      </c>
      <c r="L1318" s="18">
        <f>IF($A1318&gt;40,L1317,(L1317-K1296+K1318)*(1+$C$7))</f>
        <v>0</v>
      </c>
      <c r="M1318" s="18">
        <f t="shared" si="153"/>
        <v>643634.93946888635</v>
      </c>
      <c r="N1318" s="18">
        <f>IF($A1318&gt;40,0,(N1296-MIN(MAX(O1317,0),N1296))+MIN(MAX(0,P1317-(N1296-MIN(MAX(O1317,0),N1296))),MAX(0,0*N1296-(O1317-MIN(MAX(O1317,0),N1296)))))</f>
        <v>42002.308631517386</v>
      </c>
      <c r="O1318" s="18">
        <f>IF($A1318&gt;40,O1317,(O1317-N1296+N1318)*(1+$C$7))</f>
        <v>0</v>
      </c>
      <c r="P1318" s="18">
        <f t="shared" si="154"/>
        <v>643634.93946888892</v>
      </c>
      <c r="Q1318" s="18">
        <f>IF($A1318&gt;40,0,(Q1296-MIN(MAX(R1317,0),Q1296))+MIN(MAX(0,S1317-(Q1296-MIN(MAX(R1317,0),Q1296))),MAX(0,0*Q1296-(R1317-MIN(MAX(R1317,0),Q1296)))))</f>
        <v>42002.308631517393</v>
      </c>
      <c r="R1318" s="18">
        <f>IF($A1318&gt;40,R1317,(R1317-Q1296+Q1318)*(1+$C$7))</f>
        <v>0</v>
      </c>
      <c r="S1318" s="18">
        <f t="shared" si="155"/>
        <v>643634.93946888892</v>
      </c>
    </row>
    <row r="1319" spans="1:19">
      <c r="A1319" s="10">
        <f>21</f>
        <v>21</v>
      </c>
      <c r="B1319" s="18">
        <f>IF($A1319&gt;40,0,(B1296-MIN(MAX(C1318,0),B1296))+MIN(MAX(0,D1318-(B1296-MIN(MAX(C1318,0),B1296))),MAX(0,0*B1296-(C1318-MIN(MAX(C1318,0),B1296)))))</f>
        <v>30000</v>
      </c>
      <c r="C1319" s="18">
        <f>IF($A1319&gt;40,C1318,(C1318-B1296+B1319)*(1+$C$7))</f>
        <v>0</v>
      </c>
      <c r="D1319" s="18">
        <f t="shared" si="150"/>
        <v>974191.16284871555</v>
      </c>
      <c r="E1319" s="18">
        <f>IF($A1319&gt;40,0,(E1296-MIN(MAX(F1318,0),E1296))+MIN(MAX(0,G1318-(E1296-MIN(MAX(F1318,0),E1296))),MAX(0,0*E1296-(F1318-MIN(MAX(F1318,0),E1296)))))</f>
        <v>75000</v>
      </c>
      <c r="F1319" s="18">
        <f>IF($A1319&gt;40,F1318,(F1318-E1296+E1319)*(1+$C$7))</f>
        <v>0</v>
      </c>
      <c r="G1319" s="18">
        <f t="shared" si="151"/>
        <v>-354963.95044245635</v>
      </c>
      <c r="H1319" s="18">
        <f>IF($A1319&gt;40,0,(H1296-MIN(MAX(I1318,0),H1296))+MIN(MAX(0,J1318-(H1296-MIN(MAX(I1318,0),H1296))),MAX(0,0*H1296-(I1318-MIN(MAX(I1318,0),H1296)))))</f>
        <v>42002.308631517371</v>
      </c>
      <c r="I1319" s="18">
        <f>IF($A1319&gt;40,I1318,(I1318-H1296+H1319)*(1+$C$7))</f>
        <v>0</v>
      </c>
      <c r="J1319" s="18">
        <f t="shared" si="152"/>
        <v>619681.60976249271</v>
      </c>
      <c r="K1319" s="18">
        <f>IF($A1319&gt;40,0,(K1296-MIN(MAX(L1318,0),K1296))+MIN(MAX(0,M1318-(K1296-MIN(MAX(L1318,0),K1296))),MAX(0,0*K1296-(L1318-MIN(MAX(L1318,0),K1296)))))</f>
        <v>42002.3086315174</v>
      </c>
      <c r="L1319" s="18">
        <f>IF($A1319&gt;40,L1318,(L1318-K1296+K1319)*(1+$C$7))</f>
        <v>0</v>
      </c>
      <c r="M1319" s="18">
        <f t="shared" si="153"/>
        <v>619681.60976249014</v>
      </c>
      <c r="N1319" s="18">
        <f>IF($A1319&gt;40,0,(N1296-MIN(MAX(O1318,0),N1296))+MIN(MAX(0,P1318-(N1296-MIN(MAX(O1318,0),N1296))),MAX(0,0*N1296-(O1318-MIN(MAX(O1318,0),N1296)))))</f>
        <v>42002.308631517386</v>
      </c>
      <c r="O1319" s="18">
        <f>IF($A1319&gt;40,O1318,(O1318-N1296+N1319)*(1+$C$7))</f>
        <v>0</v>
      </c>
      <c r="P1319" s="18">
        <f t="shared" si="154"/>
        <v>619681.60976249271</v>
      </c>
      <c r="Q1319" s="18">
        <f>IF($A1319&gt;40,0,(Q1296-MIN(MAX(R1318,0),Q1296))+MIN(MAX(0,S1318-(Q1296-MIN(MAX(R1318,0),Q1296))),MAX(0,0*Q1296-(R1318-MIN(MAX(R1318,0),Q1296)))))</f>
        <v>42002.308631517393</v>
      </c>
      <c r="R1319" s="18">
        <f>IF($A1319&gt;40,R1318,(R1318-Q1296+Q1319)*(1+$C$7))</f>
        <v>0</v>
      </c>
      <c r="S1319" s="18">
        <f t="shared" si="155"/>
        <v>619681.60976249271</v>
      </c>
    </row>
    <row r="1320" spans="1:19">
      <c r="A1320" s="10">
        <f>22</f>
        <v>22</v>
      </c>
      <c r="B1320" s="18">
        <f>IF($A1320&gt;40,0,(B1296-MIN(MAX(C1319,0),B1296))+MIN(MAX(0,D1319-(B1296-MIN(MAX(C1319,0),B1296))),MAX(0,0*B1296-(C1319-MIN(MAX(C1319,0),B1296)))))</f>
        <v>30000</v>
      </c>
      <c r="C1320" s="18">
        <f>IF($A1320&gt;40,C1319,(C1319-B1296+B1320)*(1+$C$7))</f>
        <v>0</v>
      </c>
      <c r="D1320" s="18">
        <f t="shared" si="150"/>
        <v>972516.89773417707</v>
      </c>
      <c r="E1320" s="18">
        <f>IF($A1320&gt;40,0,(E1296-MIN(MAX(F1319,0),E1296))+MIN(MAX(0,G1319-(E1296-MIN(MAX(F1319,0),E1296))),MAX(0,0*E1296-(F1319-MIN(MAX(F1319,0),E1296)))))</f>
        <v>75000</v>
      </c>
      <c r="F1320" s="18">
        <f>IF($A1320&gt;40,F1319,(F1319-E1296+E1320)*(1+$C$7))</f>
        <v>0</v>
      </c>
      <c r="G1320" s="18">
        <f t="shared" si="151"/>
        <v>-442862.86895573005</v>
      </c>
      <c r="H1320" s="18">
        <f>IF($A1320&gt;40,0,(H1296-MIN(MAX(I1319,0),H1296))+MIN(MAX(0,J1319-(H1296-MIN(MAX(I1319,0),H1296))),MAX(0,0*H1296-(I1319-MIN(MAX(I1319,0),H1296)))))</f>
        <v>42002.308631517371</v>
      </c>
      <c r="I1320" s="18">
        <f>IF($A1320&gt;40,I1319,(I1319-H1296+H1320)*(1+$C$7))</f>
        <v>0</v>
      </c>
      <c r="J1320" s="18">
        <f t="shared" si="152"/>
        <v>595009.68016490468</v>
      </c>
      <c r="K1320" s="18">
        <f>IF($A1320&gt;40,0,(K1296-MIN(MAX(L1319,0),K1296))+MIN(MAX(0,M1319-(K1296-MIN(MAX(L1319,0),K1296))),MAX(0,0*K1296-(L1319-MIN(MAX(L1319,0),K1296)))))</f>
        <v>42002.3086315174</v>
      </c>
      <c r="L1320" s="18">
        <f>IF($A1320&gt;40,L1319,(L1319-K1296+K1320)*(1+$C$7))</f>
        <v>0</v>
      </c>
      <c r="M1320" s="18">
        <f t="shared" si="153"/>
        <v>595009.68016490201</v>
      </c>
      <c r="N1320" s="18">
        <f>IF($A1320&gt;40,0,(N1296-MIN(MAX(O1319,0),N1296))+MIN(MAX(0,P1319-(N1296-MIN(MAX(O1319,0),N1296))),MAX(0,0*N1296-(O1319-MIN(MAX(O1319,0),N1296)))))</f>
        <v>42002.308631517386</v>
      </c>
      <c r="O1320" s="18">
        <f>IF($A1320&gt;40,O1319,(O1319-N1296+N1320)*(1+$C$7))</f>
        <v>0</v>
      </c>
      <c r="P1320" s="18">
        <f t="shared" si="154"/>
        <v>595009.68016490468</v>
      </c>
      <c r="Q1320" s="18">
        <f>IF($A1320&gt;40,0,(Q1296-MIN(MAX(R1319,0),Q1296))+MIN(MAX(0,S1319-(Q1296-MIN(MAX(R1319,0),Q1296))),MAX(0,0*Q1296-(R1319-MIN(MAX(R1319,0),Q1296)))))</f>
        <v>42002.308631517393</v>
      </c>
      <c r="R1320" s="18">
        <f>IF($A1320&gt;40,R1319,(R1319-Q1296+Q1320)*(1+$C$7))</f>
        <v>0</v>
      </c>
      <c r="S1320" s="18">
        <f t="shared" si="155"/>
        <v>595009.68016490468</v>
      </c>
    </row>
    <row r="1321" spans="1:19">
      <c r="A1321" s="10">
        <f>23</f>
        <v>23</v>
      </c>
      <c r="B1321" s="18">
        <f>IF($A1321&gt;40,0,(B1296-MIN(MAX(C1320,0),B1296))+MIN(MAX(0,D1320-(B1296-MIN(MAX(C1320,0),B1296))),MAX(0,0*B1296-(C1320-MIN(MAX(C1320,0),B1296)))))</f>
        <v>30000</v>
      </c>
      <c r="C1321" s="18">
        <f>IF($A1321&gt;40,C1320,(C1320-B1296+B1321)*(1+$C$7))</f>
        <v>0</v>
      </c>
      <c r="D1321" s="18">
        <f t="shared" si="150"/>
        <v>970792.40466620238</v>
      </c>
      <c r="E1321" s="18">
        <f>IF($A1321&gt;40,0,(E1296-MIN(MAX(F1320,0),E1296))+MIN(MAX(0,G1320-(E1296-MIN(MAX(F1320,0),E1296))),MAX(0,0*E1296-(F1320-MIN(MAX(F1320,0),E1296)))))</f>
        <v>75000</v>
      </c>
      <c r="F1321" s="18">
        <f>IF($A1321&gt;40,F1320,(F1320-E1296+E1321)*(1+$C$7))</f>
        <v>0</v>
      </c>
      <c r="G1321" s="18">
        <f t="shared" si="151"/>
        <v>-533398.75502440194</v>
      </c>
      <c r="H1321" s="18">
        <f>IF($A1321&gt;40,0,(H1296-MIN(MAX(I1320,0),H1296))+MIN(MAX(0,J1320-(H1296-MIN(MAX(I1320,0),H1296))),MAX(0,0*H1296-(I1320-MIN(MAX(I1320,0),H1296)))))</f>
        <v>42002.308631517371</v>
      </c>
      <c r="I1321" s="18">
        <f>IF($A1321&gt;40,I1320,(I1320-H1296+H1321)*(1+$C$7))</f>
        <v>0</v>
      </c>
      <c r="J1321" s="18">
        <f t="shared" si="152"/>
        <v>569597.59267938894</v>
      </c>
      <c r="K1321" s="18">
        <f>IF($A1321&gt;40,0,(K1296-MIN(MAX(L1320,0),K1296))+MIN(MAX(0,M1320-(K1296-MIN(MAX(L1320,0),K1296))),MAX(0,0*K1296-(L1320-MIN(MAX(L1320,0),K1296)))))</f>
        <v>42002.3086315174</v>
      </c>
      <c r="L1321" s="18">
        <f>IF($A1321&gt;40,L1320,(L1320-K1296+K1321)*(1+$C$7))</f>
        <v>0</v>
      </c>
      <c r="M1321" s="18">
        <f t="shared" si="153"/>
        <v>569597.59267938614</v>
      </c>
      <c r="N1321" s="18">
        <f>IF($A1321&gt;40,0,(N1296-MIN(MAX(O1320,0),N1296))+MIN(MAX(0,P1320-(N1296-MIN(MAX(O1320,0),N1296))),MAX(0,0*N1296-(O1320-MIN(MAX(O1320,0),N1296)))))</f>
        <v>42002.308631517386</v>
      </c>
      <c r="O1321" s="18">
        <f>IF($A1321&gt;40,O1320,(O1320-N1296+N1321)*(1+$C$7))</f>
        <v>0</v>
      </c>
      <c r="P1321" s="18">
        <f t="shared" si="154"/>
        <v>569597.59267938894</v>
      </c>
      <c r="Q1321" s="18">
        <f>IF($A1321&gt;40,0,(Q1296-MIN(MAX(R1320,0),Q1296))+MIN(MAX(0,S1320-(Q1296-MIN(MAX(R1320,0),Q1296))),MAX(0,0*Q1296-(R1320-MIN(MAX(R1320,0),Q1296)))))</f>
        <v>42002.308631517393</v>
      </c>
      <c r="R1321" s="18">
        <f>IF($A1321&gt;40,R1320,(R1320-Q1296+Q1321)*(1+$C$7))</f>
        <v>0</v>
      </c>
      <c r="S1321" s="18">
        <f t="shared" si="155"/>
        <v>569597.59267938894</v>
      </c>
    </row>
    <row r="1322" spans="1:19">
      <c r="A1322" s="10">
        <f>24</f>
        <v>24</v>
      </c>
      <c r="B1322" s="18">
        <f>IF($A1322&gt;40,0,(B1296-MIN(MAX(C1321,0),B1296))+MIN(MAX(0,D1321-(B1296-MIN(MAX(C1321,0),B1296))),MAX(0,0*B1296-(C1321-MIN(MAX(C1321,0),B1296)))))</f>
        <v>30000</v>
      </c>
      <c r="C1322" s="18">
        <f>IF($A1322&gt;40,C1321,(C1321-B1296+B1322)*(1+$C$7))</f>
        <v>0</v>
      </c>
      <c r="D1322" s="18">
        <f t="shared" si="150"/>
        <v>969016.17680618842</v>
      </c>
      <c r="E1322" s="18">
        <f>IF($A1322&gt;40,0,(E1296-MIN(MAX(F1321,0),E1296))+MIN(MAX(0,G1321-(E1296-MIN(MAX(F1321,0),E1296))),MAX(0,0*E1296-(F1321-MIN(MAX(F1321,0),E1296)))))</f>
        <v>75000</v>
      </c>
      <c r="F1322" s="18">
        <f>IF($A1322&gt;40,F1321,(F1321-E1296+E1322)*(1+$C$7))</f>
        <v>0</v>
      </c>
      <c r="G1322" s="18">
        <f t="shared" si="151"/>
        <v>-626650.71767513396</v>
      </c>
      <c r="H1322" s="18">
        <f>IF($A1322&gt;40,0,(H1296-MIN(MAX(I1321,0),H1296))+MIN(MAX(0,J1321-(H1296-MIN(MAX(I1321,0),H1296))),MAX(0,0*H1296-(I1321-MIN(MAX(I1321,0),H1296)))))</f>
        <v>42002.308631517371</v>
      </c>
      <c r="I1322" s="18">
        <f>IF($A1322&gt;40,I1321,(I1321-H1296+H1322)*(1+$C$7))</f>
        <v>0</v>
      </c>
      <c r="J1322" s="18">
        <f t="shared" si="152"/>
        <v>543423.1425693077</v>
      </c>
      <c r="K1322" s="18">
        <f>IF($A1322&gt;40,0,(K1296-MIN(MAX(L1321,0),K1296))+MIN(MAX(0,M1321-(K1296-MIN(MAX(L1321,0),K1296))),MAX(0,0*K1296-(L1321-MIN(MAX(L1321,0),K1296)))))</f>
        <v>42002.3086315174</v>
      </c>
      <c r="L1322" s="18">
        <f>IF($A1322&gt;40,L1321,(L1321-K1296+K1322)*(1+$C$7))</f>
        <v>0</v>
      </c>
      <c r="M1322" s="18">
        <f t="shared" si="153"/>
        <v>543423.14256930491</v>
      </c>
      <c r="N1322" s="18">
        <f>IF($A1322&gt;40,0,(N1296-MIN(MAX(O1321,0),N1296))+MIN(MAX(0,P1321-(N1296-MIN(MAX(O1321,0),N1296))),MAX(0,0*N1296-(O1321-MIN(MAX(O1321,0),N1296)))))</f>
        <v>42002.308631517386</v>
      </c>
      <c r="O1322" s="18">
        <f>IF($A1322&gt;40,O1321,(O1321-N1296+N1322)*(1+$C$7))</f>
        <v>0</v>
      </c>
      <c r="P1322" s="18">
        <f t="shared" si="154"/>
        <v>543423.1425693077</v>
      </c>
      <c r="Q1322" s="18">
        <f>IF($A1322&gt;40,0,(Q1296-MIN(MAX(R1321,0),Q1296))+MIN(MAX(0,S1321-(Q1296-MIN(MAX(R1321,0),Q1296))),MAX(0,0*Q1296-(R1321-MIN(MAX(R1321,0),Q1296)))))</f>
        <v>42002.308631517393</v>
      </c>
      <c r="R1322" s="18">
        <f>IF($A1322&gt;40,R1321,(R1321-Q1296+Q1322)*(1+$C$7))</f>
        <v>0</v>
      </c>
      <c r="S1322" s="18">
        <f t="shared" si="155"/>
        <v>543423.1425693077</v>
      </c>
    </row>
    <row r="1323" spans="1:19">
      <c r="A1323" s="10">
        <f>25</f>
        <v>25</v>
      </c>
      <c r="B1323" s="18">
        <f>IF($A1323&gt;40,0,(B1296-MIN(MAX(C1322,0),B1296))+MIN(MAX(0,D1322-(B1296-MIN(MAX(C1322,0),B1296))),MAX(0,0*B1296-(C1322-MIN(MAX(C1322,0),B1296)))))</f>
        <v>30000</v>
      </c>
      <c r="C1323" s="18">
        <f>IF($A1323&gt;40,C1322,(C1322-B1296+B1323)*(1+$C$7))</f>
        <v>0</v>
      </c>
      <c r="D1323" s="18">
        <f t="shared" si="150"/>
        <v>967186.66211037408</v>
      </c>
      <c r="E1323" s="18">
        <f>IF($A1323&gt;40,0,(E1296-MIN(MAX(F1322,0),E1296))+MIN(MAX(0,G1322-(E1296-MIN(MAX(F1322,0),E1296))),MAX(0,0*E1296-(F1322-MIN(MAX(F1322,0),E1296)))))</f>
        <v>75000</v>
      </c>
      <c r="F1323" s="18">
        <f>IF($A1323&gt;40,F1322,(F1322-E1296+E1323)*(1+$C$7))</f>
        <v>0</v>
      </c>
      <c r="G1323" s="18">
        <f t="shared" si="151"/>
        <v>-722700.239205388</v>
      </c>
      <c r="H1323" s="18">
        <f>IF($A1323&gt;40,0,(H1296-MIN(MAX(I1322,0),H1296))+MIN(MAX(0,J1322-(H1296-MIN(MAX(I1322,0),H1296))),MAX(0,0*H1296-(I1322-MIN(MAX(I1322,0),H1296)))))</f>
        <v>42002.308631517371</v>
      </c>
      <c r="I1323" s="18">
        <f>IF($A1323&gt;40,I1322,(I1322-H1296+H1323)*(1+$C$7))</f>
        <v>0</v>
      </c>
      <c r="J1323" s="18">
        <f t="shared" si="152"/>
        <v>516463.45895592408</v>
      </c>
      <c r="K1323" s="18">
        <f>IF($A1323&gt;40,0,(K1296-MIN(MAX(L1322,0),K1296))+MIN(MAX(0,M1322-(K1296-MIN(MAX(L1322,0),K1296))),MAX(0,0*K1296-(L1322-MIN(MAX(L1322,0),K1296)))))</f>
        <v>42002.3086315174</v>
      </c>
      <c r="L1323" s="18">
        <f>IF($A1323&gt;40,L1322,(L1322-K1296+K1323)*(1+$C$7))</f>
        <v>0</v>
      </c>
      <c r="M1323" s="18">
        <f t="shared" si="153"/>
        <v>516463.45895592117</v>
      </c>
      <c r="N1323" s="18">
        <f>IF($A1323&gt;40,0,(N1296-MIN(MAX(O1322,0),N1296))+MIN(MAX(0,P1322-(N1296-MIN(MAX(O1322,0),N1296))),MAX(0,0*N1296-(O1322-MIN(MAX(O1322,0),N1296)))))</f>
        <v>42002.308631517386</v>
      </c>
      <c r="O1323" s="18">
        <f>IF($A1323&gt;40,O1322,(O1322-N1296+N1323)*(1+$C$7))</f>
        <v>0</v>
      </c>
      <c r="P1323" s="18">
        <f t="shared" si="154"/>
        <v>516463.45895592403</v>
      </c>
      <c r="Q1323" s="18">
        <f>IF($A1323&gt;40,0,(Q1296-MIN(MAX(R1322,0),Q1296))+MIN(MAX(0,S1322-(Q1296-MIN(MAX(R1322,0),Q1296))),MAX(0,0*Q1296-(R1322-MIN(MAX(R1322,0),Q1296)))))</f>
        <v>42002.308631517393</v>
      </c>
      <c r="R1323" s="18">
        <f>IF($A1323&gt;40,R1322,(R1322-Q1296+Q1323)*(1+$C$7))</f>
        <v>0</v>
      </c>
      <c r="S1323" s="18">
        <f t="shared" si="155"/>
        <v>516463.45895592403</v>
      </c>
    </row>
    <row r="1324" spans="1:19">
      <c r="A1324" s="10">
        <f>26</f>
        <v>26</v>
      </c>
      <c r="B1324" s="18">
        <f>IF($A1324&gt;40,0,(B1296-MIN(MAX(C1323,0),B1296))+MIN(MAX(0,D1323-(B1296-MIN(MAX(C1323,0),B1296))),MAX(0,0*B1296-(C1323-MIN(MAX(C1323,0),B1296)))))</f>
        <v>30000</v>
      </c>
      <c r="C1324" s="18">
        <f>IF($A1324&gt;40,C1323,(C1323-B1296+B1324)*(1+$C$7))</f>
        <v>0</v>
      </c>
      <c r="D1324" s="18">
        <f t="shared" si="150"/>
        <v>965302.26197368535</v>
      </c>
      <c r="E1324" s="18">
        <f>IF($A1324&gt;40,0,(E1296-MIN(MAX(F1323,0),E1296))+MIN(MAX(0,G1323-(E1296-MIN(MAX(F1323,0),E1296))),MAX(0,0*E1296-(F1323-MIN(MAX(F1323,0),E1296)))))</f>
        <v>75000</v>
      </c>
      <c r="F1324" s="18">
        <f>IF($A1324&gt;40,F1323,(F1323-E1296+E1324)*(1+$C$7))</f>
        <v>0</v>
      </c>
      <c r="G1324" s="18">
        <f t="shared" si="151"/>
        <v>-821631.24638154963</v>
      </c>
      <c r="H1324" s="18">
        <f>IF($A1324&gt;40,0,(H1296-MIN(MAX(I1323,0),H1296))+MIN(MAX(0,J1323-(H1296-MIN(MAX(I1323,0),H1296))),MAX(0,0*H1296-(I1323-MIN(MAX(I1323,0),H1296)))))</f>
        <v>42002.308631517371</v>
      </c>
      <c r="I1324" s="18">
        <f>IF($A1324&gt;40,I1323,(I1323-H1296+H1324)*(1+$C$7))</f>
        <v>0</v>
      </c>
      <c r="J1324" s="18">
        <f t="shared" si="152"/>
        <v>488694.98483413889</v>
      </c>
      <c r="K1324" s="18">
        <f>IF($A1324&gt;40,0,(K1296-MIN(MAX(L1323,0),K1296))+MIN(MAX(0,M1323-(K1296-MIN(MAX(L1323,0),K1296))),MAX(0,0*K1296-(L1323-MIN(MAX(L1323,0),K1296)))))</f>
        <v>42002.3086315174</v>
      </c>
      <c r="L1324" s="18">
        <f>IF($A1324&gt;40,L1323,(L1323-K1296+K1324)*(1+$C$7))</f>
        <v>0</v>
      </c>
      <c r="M1324" s="18">
        <f t="shared" si="153"/>
        <v>488694.98483413592</v>
      </c>
      <c r="N1324" s="18">
        <f>IF($A1324&gt;40,0,(N1296-MIN(MAX(O1323,0),N1296))+MIN(MAX(0,P1323-(N1296-MIN(MAX(O1323,0),N1296))),MAX(0,0*N1296-(O1323-MIN(MAX(O1323,0),N1296)))))</f>
        <v>42002.308631517386</v>
      </c>
      <c r="O1324" s="18">
        <f>IF($A1324&gt;40,O1323,(O1323-N1296+N1324)*(1+$C$7))</f>
        <v>0</v>
      </c>
      <c r="P1324" s="18">
        <f t="shared" si="154"/>
        <v>488694.98483413883</v>
      </c>
      <c r="Q1324" s="18">
        <f>IF($A1324&gt;40,0,(Q1296-MIN(MAX(R1323,0),Q1296))+MIN(MAX(0,S1323-(Q1296-MIN(MAX(R1323,0),Q1296))),MAX(0,0*Q1296-(R1323-MIN(MAX(R1323,0),Q1296)))))</f>
        <v>42002.308631517393</v>
      </c>
      <c r="R1324" s="18">
        <f>IF($A1324&gt;40,R1323,(R1323-Q1296+Q1324)*(1+$C$7))</f>
        <v>0</v>
      </c>
      <c r="S1324" s="18">
        <f t="shared" si="155"/>
        <v>488694.98483413883</v>
      </c>
    </row>
    <row r="1325" spans="1:19">
      <c r="A1325" s="10">
        <f>27</f>
        <v>27</v>
      </c>
      <c r="B1325" s="18">
        <f>IF($A1325&gt;40,0,(B1296-MIN(MAX(C1324,0),B1296))+MIN(MAX(0,D1324-(B1296-MIN(MAX(C1324,0),B1296))),MAX(0,0*B1296-(C1324-MIN(MAX(C1324,0),B1296)))))</f>
        <v>30000</v>
      </c>
      <c r="C1325" s="18">
        <f>IF($A1325&gt;40,C1324,(C1324-B1296+B1325)*(1+$C$7))</f>
        <v>0</v>
      </c>
      <c r="D1325" s="18">
        <f t="shared" si="150"/>
        <v>963361.32983289589</v>
      </c>
      <c r="E1325" s="18">
        <f>IF($A1325&gt;40,0,(E1296-MIN(MAX(F1324,0),E1296))+MIN(MAX(0,G1324-(E1296-MIN(MAX(F1324,0),E1296))),MAX(0,0*E1296-(F1324-MIN(MAX(F1324,0),E1296)))))</f>
        <v>75000</v>
      </c>
      <c r="F1325" s="18">
        <f>IF($A1325&gt;40,F1324,(F1324-E1296+E1325)*(1+$C$7))</f>
        <v>0</v>
      </c>
      <c r="G1325" s="18">
        <f t="shared" si="151"/>
        <v>-923530.18377299618</v>
      </c>
      <c r="H1325" s="18">
        <f>IF($A1325&gt;40,0,(H1296-MIN(MAX(I1324,0),H1296))+MIN(MAX(0,J1324-(H1296-MIN(MAX(I1324,0),H1296))),MAX(0,0*H1296-(I1324-MIN(MAX(I1324,0),H1296)))))</f>
        <v>42002.308631517371</v>
      </c>
      <c r="I1325" s="18">
        <f>IF($A1325&gt;40,I1324,(I1324-H1296+H1325)*(1+$C$7))</f>
        <v>0</v>
      </c>
      <c r="J1325" s="18">
        <f t="shared" si="152"/>
        <v>460093.45648870018</v>
      </c>
      <c r="K1325" s="18">
        <f>IF($A1325&gt;40,0,(K1296-MIN(MAX(L1324,0),K1296))+MIN(MAX(0,M1324-(K1296-MIN(MAX(L1324,0),K1296))),MAX(0,0*K1296-(L1324-MIN(MAX(L1324,0),K1296)))))</f>
        <v>42002.3086315174</v>
      </c>
      <c r="L1325" s="18">
        <f>IF($A1325&gt;40,L1324,(L1324-K1296+K1325)*(1+$C$7))</f>
        <v>0</v>
      </c>
      <c r="M1325" s="18">
        <f t="shared" si="153"/>
        <v>460093.45648869709</v>
      </c>
      <c r="N1325" s="18">
        <f>IF($A1325&gt;40,0,(N1296-MIN(MAX(O1324,0),N1296))+MIN(MAX(0,P1324-(N1296-MIN(MAX(O1324,0),N1296))),MAX(0,0*N1296-(O1324-MIN(MAX(O1324,0),N1296)))))</f>
        <v>42002.308631517386</v>
      </c>
      <c r="O1325" s="18">
        <f>IF($A1325&gt;40,O1324,(O1324-N1296+N1325)*(1+$C$7))</f>
        <v>0</v>
      </c>
      <c r="P1325" s="18">
        <f t="shared" si="154"/>
        <v>460093.45648870006</v>
      </c>
      <c r="Q1325" s="18">
        <f>IF($A1325&gt;40,0,(Q1296-MIN(MAX(R1324,0),Q1296))+MIN(MAX(0,S1324-(Q1296-MIN(MAX(R1324,0),Q1296))),MAX(0,0*Q1296-(R1324-MIN(MAX(R1324,0),Q1296)))))</f>
        <v>42002.308631517393</v>
      </c>
      <c r="R1325" s="18">
        <f>IF($A1325&gt;40,R1324,(R1324-Q1296+Q1325)*(1+$C$7))</f>
        <v>0</v>
      </c>
      <c r="S1325" s="18">
        <f t="shared" si="155"/>
        <v>460093.45648870006</v>
      </c>
    </row>
    <row r="1326" spans="1:19">
      <c r="A1326" s="10">
        <f>28</f>
        <v>28</v>
      </c>
      <c r="B1326" s="18">
        <f>IF($A1326&gt;40,0,(B1296-MIN(MAX(C1325,0),B1296))+MIN(MAX(0,D1325-(B1296-MIN(MAX(C1325,0),B1296))),MAX(0,0*B1296-(C1325-MIN(MAX(C1325,0),B1296)))))</f>
        <v>30000</v>
      </c>
      <c r="C1326" s="18">
        <f>IF($A1326&gt;40,C1325,(C1325-B1296+B1326)*(1+$C$7))</f>
        <v>0</v>
      </c>
      <c r="D1326" s="18">
        <f t="shared" si="150"/>
        <v>961362.16972788284</v>
      </c>
      <c r="E1326" s="18">
        <f>IF($A1326&gt;40,0,(E1296-MIN(MAX(F1325,0),E1296))+MIN(MAX(0,G1325-(E1296-MIN(MAX(F1325,0),E1296))),MAX(0,0*E1296-(F1325-MIN(MAX(F1325,0),E1296)))))</f>
        <v>75000</v>
      </c>
      <c r="F1326" s="18">
        <f>IF($A1326&gt;40,F1325,(F1325-E1296+E1326)*(1+$C$7))</f>
        <v>0</v>
      </c>
      <c r="G1326" s="18">
        <f t="shared" si="151"/>
        <v>-1028486.0892861862</v>
      </c>
      <c r="H1326" s="18">
        <f>IF($A1326&gt;40,0,(H1296-MIN(MAX(I1325,0),H1296))+MIN(MAX(0,J1325-(H1296-MIN(MAX(I1325,0),H1296))),MAX(0,0*H1296-(I1325-MIN(MAX(I1325,0),H1296)))))</f>
        <v>42002.308631517371</v>
      </c>
      <c r="I1326" s="18">
        <f>IF($A1326&gt;40,I1325,(I1325-H1296+H1326)*(1+$C$7))</f>
        <v>0</v>
      </c>
      <c r="J1326" s="18">
        <f t="shared" si="152"/>
        <v>430633.88229289826</v>
      </c>
      <c r="K1326" s="18">
        <f>IF($A1326&gt;40,0,(K1296-MIN(MAX(L1325,0),K1296))+MIN(MAX(0,M1325-(K1296-MIN(MAX(L1325,0),K1296))),MAX(0,0*K1296-(L1325-MIN(MAX(L1325,0),K1296)))))</f>
        <v>42002.3086315174</v>
      </c>
      <c r="L1326" s="18">
        <f>IF($A1326&gt;40,L1325,(L1325-K1296+K1326)*(1+$C$7))</f>
        <v>0</v>
      </c>
      <c r="M1326" s="18">
        <f t="shared" si="153"/>
        <v>430633.88229289511</v>
      </c>
      <c r="N1326" s="18">
        <f>IF($A1326&gt;40,0,(N1296-MIN(MAX(O1325,0),N1296))+MIN(MAX(0,P1325-(N1296-MIN(MAX(O1325,0),N1296))),MAX(0,0*N1296-(O1325-MIN(MAX(O1325,0),N1296)))))</f>
        <v>42002.308631517386</v>
      </c>
      <c r="O1326" s="18">
        <f>IF($A1326&gt;40,O1325,(O1325-N1296+N1326)*(1+$C$7))</f>
        <v>0</v>
      </c>
      <c r="P1326" s="18">
        <f t="shared" si="154"/>
        <v>430633.88229289814</v>
      </c>
      <c r="Q1326" s="18">
        <f>IF($A1326&gt;40,0,(Q1296-MIN(MAX(R1325,0),Q1296))+MIN(MAX(0,S1325-(Q1296-MIN(MAX(R1325,0),Q1296))),MAX(0,0*Q1296-(R1325-MIN(MAX(R1325,0),Q1296)))))</f>
        <v>42002.308631517393</v>
      </c>
      <c r="R1326" s="18">
        <f>IF($A1326&gt;40,R1325,(R1325-Q1296+Q1326)*(1+$C$7))</f>
        <v>0</v>
      </c>
      <c r="S1326" s="18">
        <f t="shared" si="155"/>
        <v>430633.88229289814</v>
      </c>
    </row>
    <row r="1327" spans="1:19">
      <c r="A1327" s="10">
        <f>29</f>
        <v>29</v>
      </c>
      <c r="B1327" s="18">
        <f>IF($A1327&gt;40,0,(B1296-MIN(MAX(C1326,0),B1296))+MIN(MAX(0,D1326-(B1296-MIN(MAX(C1326,0),B1296))),MAX(0,0*B1296-(C1326-MIN(MAX(C1326,0),B1296)))))</f>
        <v>30000</v>
      </c>
      <c r="C1327" s="18">
        <f>IF($A1327&gt;40,C1326,(C1326-B1296+B1327)*(1+$C$7))</f>
        <v>0</v>
      </c>
      <c r="D1327" s="18">
        <f t="shared" si="150"/>
        <v>959303.03481971938</v>
      </c>
      <c r="E1327" s="18">
        <f>IF($A1327&gt;40,0,(E1296-MIN(MAX(F1326,0),E1296))+MIN(MAX(0,G1326-(E1296-MIN(MAX(F1326,0),E1296))),MAX(0,0*E1296-(F1326-MIN(MAX(F1326,0),E1296)))))</f>
        <v>75000</v>
      </c>
      <c r="F1327" s="18">
        <f>IF($A1327&gt;40,F1326,(F1326-E1296+E1327)*(1+$C$7))</f>
        <v>0</v>
      </c>
      <c r="G1327" s="18">
        <f t="shared" si="151"/>
        <v>-1136590.6719647718</v>
      </c>
      <c r="H1327" s="18">
        <f>IF($A1327&gt;40,0,(H1296-MIN(MAX(I1326,0),H1296))+MIN(MAX(0,J1326-(H1296-MIN(MAX(I1326,0),H1296))),MAX(0,0*H1296-(I1326-MIN(MAX(I1326,0),H1296)))))</f>
        <v>42002.308631517371</v>
      </c>
      <c r="I1327" s="18">
        <f>IF($A1327&gt;40,I1326,(I1326-H1296+H1327)*(1+$C$7))</f>
        <v>0</v>
      </c>
      <c r="J1327" s="18">
        <f t="shared" si="152"/>
        <v>400290.52087122237</v>
      </c>
      <c r="K1327" s="18">
        <f>IF($A1327&gt;40,0,(K1296-MIN(MAX(L1326,0),K1296))+MIN(MAX(0,M1326-(K1296-MIN(MAX(L1326,0),K1296))),MAX(0,0*K1296-(L1326-MIN(MAX(L1326,0),K1296)))))</f>
        <v>42002.3086315174</v>
      </c>
      <c r="L1327" s="18">
        <f>IF($A1327&gt;40,L1326,(L1326-K1296+K1327)*(1+$C$7))</f>
        <v>0</v>
      </c>
      <c r="M1327" s="18">
        <f t="shared" si="153"/>
        <v>400290.52087121905</v>
      </c>
      <c r="N1327" s="18">
        <f>IF($A1327&gt;40,0,(N1296-MIN(MAX(O1326,0),N1296))+MIN(MAX(0,P1326-(N1296-MIN(MAX(O1326,0),N1296))),MAX(0,0*N1296-(O1326-MIN(MAX(O1326,0),N1296)))))</f>
        <v>42002.308631517386</v>
      </c>
      <c r="O1327" s="18">
        <f>IF($A1327&gt;40,O1326,(O1326-N1296+N1327)*(1+$C$7))</f>
        <v>0</v>
      </c>
      <c r="P1327" s="18">
        <f t="shared" si="154"/>
        <v>400290.52087122219</v>
      </c>
      <c r="Q1327" s="18">
        <f>IF($A1327&gt;40,0,(Q1296-MIN(MAX(R1326,0),Q1296))+MIN(MAX(0,S1326-(Q1296-MIN(MAX(R1326,0),Q1296))),MAX(0,0*Q1296-(R1326-MIN(MAX(R1326,0),Q1296)))))</f>
        <v>42002.308631517393</v>
      </c>
      <c r="R1327" s="18">
        <f>IF($A1327&gt;40,R1326,(R1326-Q1296+Q1327)*(1+$C$7))</f>
        <v>0</v>
      </c>
      <c r="S1327" s="18">
        <f t="shared" si="155"/>
        <v>400290.52087122219</v>
      </c>
    </row>
    <row r="1328" spans="1:19">
      <c r="A1328" s="10">
        <f>30</f>
        <v>30</v>
      </c>
      <c r="B1328" s="18">
        <f>IF($A1328&gt;40,0,(B1296-MIN(MAX(C1327,0),B1296))+MIN(MAX(0,D1327-(B1296-MIN(MAX(C1327,0),B1296))),MAX(0,0*B1296-(C1327-MIN(MAX(C1327,0),B1296)))))</f>
        <v>30000</v>
      </c>
      <c r="C1328" s="18">
        <f>IF($A1328&gt;40,C1327,(C1327-B1296+B1328)*(1+$C$7))</f>
        <v>0</v>
      </c>
      <c r="D1328" s="18">
        <f t="shared" si="150"/>
        <v>957182.125864311</v>
      </c>
      <c r="E1328" s="18">
        <f>IF($A1328&gt;40,0,(E1296-MIN(MAX(F1327,0),E1296))+MIN(MAX(0,G1327-(E1296-MIN(MAX(F1327,0),E1296))),MAX(0,0*E1296-(F1327-MIN(MAX(F1327,0),E1296)))))</f>
        <v>75000</v>
      </c>
      <c r="F1328" s="18">
        <f>IF($A1328&gt;40,F1327,(F1327-E1296+E1328)*(1+$C$7))</f>
        <v>0</v>
      </c>
      <c r="G1328" s="18">
        <f t="shared" si="151"/>
        <v>-1247938.392123715</v>
      </c>
      <c r="H1328" s="18">
        <f>IF($A1328&gt;40,0,(H1296-MIN(MAX(I1327,0),H1296))+MIN(MAX(0,J1327-(H1296-MIN(MAX(I1327,0),H1296))),MAX(0,0*H1296-(I1327-MIN(MAX(I1327,0),H1296)))))</f>
        <v>42002.308631517371</v>
      </c>
      <c r="I1328" s="18">
        <f>IF($A1328&gt;40,I1327,(I1327-H1296+H1328)*(1+$C$7))</f>
        <v>0</v>
      </c>
      <c r="J1328" s="18">
        <f t="shared" si="152"/>
        <v>369036.85860689619</v>
      </c>
      <c r="K1328" s="18">
        <f>IF($A1328&gt;40,0,(K1296-MIN(MAX(L1327,0),K1296))+MIN(MAX(0,M1327-(K1296-MIN(MAX(L1327,0),K1296))),MAX(0,0*K1296-(L1327-MIN(MAX(L1327,0),K1296)))))</f>
        <v>42002.3086315174</v>
      </c>
      <c r="L1328" s="18">
        <f>IF($A1328&gt;40,L1327,(L1327-K1296+K1328)*(1+$C$7))</f>
        <v>0</v>
      </c>
      <c r="M1328" s="18">
        <f t="shared" si="153"/>
        <v>369036.8586068927</v>
      </c>
      <c r="N1328" s="18">
        <f>IF($A1328&gt;40,0,(N1296-MIN(MAX(O1327,0),N1296))+MIN(MAX(0,P1327-(N1296-MIN(MAX(O1327,0),N1296))),MAX(0,0*N1296-(O1327-MIN(MAX(O1327,0),N1296)))))</f>
        <v>42002.308631517386</v>
      </c>
      <c r="O1328" s="18">
        <f>IF($A1328&gt;40,O1327,(O1327-N1296+N1328)*(1+$C$7))</f>
        <v>0</v>
      </c>
      <c r="P1328" s="18">
        <f t="shared" si="154"/>
        <v>369036.85860689596</v>
      </c>
      <c r="Q1328" s="18">
        <f>IF($A1328&gt;40,0,(Q1296-MIN(MAX(R1327,0),Q1296))+MIN(MAX(0,S1327-(Q1296-MIN(MAX(R1327,0),Q1296))),MAX(0,0*Q1296-(R1327-MIN(MAX(R1327,0),Q1296)))))</f>
        <v>42002.308631517393</v>
      </c>
      <c r="R1328" s="18">
        <f>IF($A1328&gt;40,R1327,(R1327-Q1296+Q1328)*(1+$C$7))</f>
        <v>0</v>
      </c>
      <c r="S1328" s="18">
        <f t="shared" si="155"/>
        <v>369036.85860689596</v>
      </c>
    </row>
    <row r="1329" spans="1:19">
      <c r="A1329" s="10">
        <f>31</f>
        <v>31</v>
      </c>
      <c r="B1329" s="18">
        <f>IF($A1329&gt;40,0,(B1296-MIN(MAX(C1328,0),B1296))+MIN(MAX(0,D1328-(B1296-MIN(MAX(C1328,0),B1296))),MAX(0,0*B1296-(C1328-MIN(MAX(C1328,0),B1296)))))</f>
        <v>30000</v>
      </c>
      <c r="C1329" s="18">
        <f>IF($A1329&gt;40,C1328,(C1328-B1296+B1329)*(1+$C$7))</f>
        <v>0</v>
      </c>
      <c r="D1329" s="18">
        <f t="shared" si="150"/>
        <v>954997.58964024042</v>
      </c>
      <c r="E1329" s="18">
        <f>IF($A1329&gt;40,0,(E1296-MIN(MAX(F1328,0),E1296))+MIN(MAX(0,G1328-(E1296-MIN(MAX(F1328,0),E1296))),MAX(0,0*E1296-(F1328-MIN(MAX(F1328,0),E1296)))))</f>
        <v>75000</v>
      </c>
      <c r="F1329" s="18">
        <f>IF($A1329&gt;40,F1328,(F1328-E1296+E1329)*(1+$C$7))</f>
        <v>0</v>
      </c>
      <c r="G1329" s="18">
        <f t="shared" si="151"/>
        <v>-1362626.5438874266</v>
      </c>
      <c r="H1329" s="18">
        <f>IF($A1329&gt;40,0,(H1296-MIN(MAX(I1328,0),H1296))+MIN(MAX(0,J1328-(H1296-MIN(MAX(I1328,0),H1296))),MAX(0,0*H1296-(I1328-MIN(MAX(I1328,0),H1296)))))</f>
        <v>42002.308631517371</v>
      </c>
      <c r="I1329" s="18">
        <f>IF($A1329&gt;40,I1328,(I1328-H1296+H1329)*(1+$C$7))</f>
        <v>0</v>
      </c>
      <c r="J1329" s="18">
        <f t="shared" si="152"/>
        <v>336845.58647464018</v>
      </c>
      <c r="K1329" s="18">
        <f>IF($A1329&gt;40,0,(K1296-MIN(MAX(L1328,0),K1296))+MIN(MAX(0,M1328-(K1296-MIN(MAX(L1328,0),K1296))),MAX(0,0*K1296-(L1328-MIN(MAX(L1328,0),K1296)))))</f>
        <v>42002.3086315174</v>
      </c>
      <c r="L1329" s="18">
        <f>IF($A1329&gt;40,L1328,(L1328-K1296+K1329)*(1+$C$7))</f>
        <v>0</v>
      </c>
      <c r="M1329" s="18">
        <f t="shared" si="153"/>
        <v>336845.58647463657</v>
      </c>
      <c r="N1329" s="18">
        <f>IF($A1329&gt;40,0,(N1296-MIN(MAX(O1328,0),N1296))+MIN(MAX(0,P1328-(N1296-MIN(MAX(O1328,0),N1296))),MAX(0,0*N1296-(O1328-MIN(MAX(O1328,0),N1296)))))</f>
        <v>42002.308631517386</v>
      </c>
      <c r="O1329" s="18">
        <f>IF($A1329&gt;40,O1328,(O1328-N1296+N1329)*(1+$C$7))</f>
        <v>0</v>
      </c>
      <c r="P1329" s="18">
        <f t="shared" si="154"/>
        <v>336845.58647463995</v>
      </c>
      <c r="Q1329" s="18">
        <f>IF($A1329&gt;40,0,(Q1296-MIN(MAX(R1328,0),Q1296))+MIN(MAX(0,S1328-(Q1296-MIN(MAX(R1328,0),Q1296))),MAX(0,0*Q1296-(R1328-MIN(MAX(R1328,0),Q1296)))))</f>
        <v>42002.308631517393</v>
      </c>
      <c r="R1329" s="18">
        <f>IF($A1329&gt;40,R1328,(R1328-Q1296+Q1329)*(1+$C$7))</f>
        <v>0</v>
      </c>
      <c r="S1329" s="18">
        <f t="shared" si="155"/>
        <v>336845.58647463995</v>
      </c>
    </row>
    <row r="1330" spans="1:19">
      <c r="A1330" s="10">
        <f>32</f>
        <v>32</v>
      </c>
      <c r="B1330" s="18">
        <f>IF($A1330&gt;40,0,(B1296-MIN(MAX(C1329,0),B1296))+MIN(MAX(0,D1329-(B1296-MIN(MAX(C1329,0),B1296))),MAX(0,0*B1296-(C1329-MIN(MAX(C1329,0),B1296)))))</f>
        <v>30000</v>
      </c>
      <c r="C1330" s="18">
        <f>IF($A1330&gt;40,C1329,(C1329-B1296+B1330)*(1+$C$7))</f>
        <v>0</v>
      </c>
      <c r="D1330" s="18">
        <f t="shared" si="150"/>
        <v>952747.51732944767</v>
      </c>
      <c r="E1330" s="18">
        <f>IF($A1330&gt;40,0,(E1296-MIN(MAX(F1329,0),E1296))+MIN(MAX(0,G1329-(E1296-MIN(MAX(F1329,0),E1296))),MAX(0,0*E1296-(F1329-MIN(MAX(F1329,0),E1296)))))</f>
        <v>75000</v>
      </c>
      <c r="F1330" s="18">
        <f>IF($A1330&gt;40,F1329,(F1329-E1296+E1330)*(1+$C$7))</f>
        <v>0</v>
      </c>
      <c r="G1330" s="18">
        <f t="shared" si="151"/>
        <v>-1480755.3402040494</v>
      </c>
      <c r="H1330" s="18">
        <f>IF($A1330&gt;40,0,(H1296-MIN(MAX(I1329,0),H1296))+MIN(MAX(0,J1329-(H1296-MIN(MAX(I1329,0),H1296))),MAX(0,0*H1296-(I1329-MIN(MAX(I1329,0),H1296)))))</f>
        <v>42002.308631517371</v>
      </c>
      <c r="I1330" s="18">
        <f>IF($A1330&gt;40,I1329,(I1329-H1296+H1330)*(1+$C$7))</f>
        <v>0</v>
      </c>
      <c r="J1330" s="18">
        <f t="shared" si="152"/>
        <v>303688.57617841655</v>
      </c>
      <c r="K1330" s="18">
        <f>IF($A1330&gt;40,0,(K1296-MIN(MAX(L1329,0),K1296))+MIN(MAX(0,M1329-(K1296-MIN(MAX(L1329,0),K1296))),MAX(0,0*K1296-(L1329-MIN(MAX(L1329,0),K1296)))))</f>
        <v>42002.3086315174</v>
      </c>
      <c r="L1330" s="18">
        <f>IF($A1330&gt;40,L1329,(L1329-K1296+K1330)*(1+$C$7))</f>
        <v>0</v>
      </c>
      <c r="M1330" s="18">
        <f t="shared" si="153"/>
        <v>303688.57617841277</v>
      </c>
      <c r="N1330" s="18">
        <f>IF($A1330&gt;40,0,(N1296-MIN(MAX(O1329,0),N1296))+MIN(MAX(0,P1329-(N1296-MIN(MAX(O1329,0),N1296))),MAX(0,0*N1296-(O1329-MIN(MAX(O1329,0),N1296)))))</f>
        <v>42002.308631517386</v>
      </c>
      <c r="O1330" s="18">
        <f>IF($A1330&gt;40,O1329,(O1329-N1296+N1330)*(1+$C$7))</f>
        <v>0</v>
      </c>
      <c r="P1330" s="18">
        <f t="shared" si="154"/>
        <v>303688.5761784162</v>
      </c>
      <c r="Q1330" s="18">
        <f>IF($A1330&gt;40,0,(Q1296-MIN(MAX(R1329,0),Q1296))+MIN(MAX(0,S1329-(Q1296-MIN(MAX(R1329,0),Q1296))),MAX(0,0*Q1296-(R1329-MIN(MAX(R1329,0),Q1296)))))</f>
        <v>42002.308631517393</v>
      </c>
      <c r="R1330" s="18">
        <f>IF($A1330&gt;40,R1329,(R1329-Q1296+Q1330)*(1+$C$7))</f>
        <v>0</v>
      </c>
      <c r="S1330" s="18">
        <f t="shared" si="155"/>
        <v>303688.5761784162</v>
      </c>
    </row>
    <row r="1331" spans="1:19">
      <c r="A1331" s="10">
        <f>33</f>
        <v>33</v>
      </c>
      <c r="B1331" s="18">
        <f>IF($A1331&gt;40,0,(B1296-MIN(MAX(C1330,0),B1296))+MIN(MAX(0,D1330-(B1296-MIN(MAX(C1330,0),B1296))),MAX(0,0*B1296-(C1330-MIN(MAX(C1330,0),B1296)))))</f>
        <v>30000</v>
      </c>
      <c r="C1331" s="18">
        <f>IF($A1331&gt;40,C1330,(C1330-B1296+B1331)*(1+$C$7))</f>
        <v>0</v>
      </c>
      <c r="D1331" s="18">
        <f t="shared" si="150"/>
        <v>950429.94284933107</v>
      </c>
      <c r="E1331" s="18">
        <f>IF($A1331&gt;40,0,(E1296-MIN(MAX(F1330,0),E1296))+MIN(MAX(0,G1330-(E1296-MIN(MAX(F1330,0),E1296))),MAX(0,0*E1296-(F1330-MIN(MAX(F1330,0),E1296)))))</f>
        <v>75000</v>
      </c>
      <c r="F1331" s="18">
        <f>IF($A1331&gt;40,F1330,(F1330-E1296+E1331)*(1+$C$7))</f>
        <v>0</v>
      </c>
      <c r="G1331" s="18">
        <f t="shared" si="151"/>
        <v>-1602428.000410171</v>
      </c>
      <c r="H1331" s="18">
        <f>IF($A1331&gt;40,0,(H1296-MIN(MAX(I1330,0),H1296))+MIN(MAX(0,J1330-(H1296-MIN(MAX(I1330,0),H1296))),MAX(0,0*H1296-(I1330-MIN(MAX(I1330,0),H1296)))))</f>
        <v>42002.308631517371</v>
      </c>
      <c r="I1331" s="18">
        <f>IF($A1331&gt;40,I1330,(I1330-H1296+H1331)*(1+$C$7))</f>
        <v>0</v>
      </c>
      <c r="J1331" s="18">
        <f t="shared" si="152"/>
        <v>269536.85557330615</v>
      </c>
      <c r="K1331" s="18">
        <f>IF($A1331&gt;40,0,(K1296-MIN(MAX(L1330,0),K1296))+MIN(MAX(0,M1330-(K1296-MIN(MAX(L1330,0),K1296))),MAX(0,0*K1296-(L1330-MIN(MAX(L1330,0),K1296)))))</f>
        <v>42002.3086315174</v>
      </c>
      <c r="L1331" s="18">
        <f>IF($A1331&gt;40,L1330,(L1330-K1296+K1331)*(1+$C$7))</f>
        <v>0</v>
      </c>
      <c r="M1331" s="18">
        <f t="shared" si="153"/>
        <v>269536.85557330225</v>
      </c>
      <c r="N1331" s="18">
        <f>IF($A1331&gt;40,0,(N1296-MIN(MAX(O1330,0),N1296))+MIN(MAX(0,P1330-(N1296-MIN(MAX(O1330,0),N1296))),MAX(0,0*N1296-(O1330-MIN(MAX(O1330,0),N1296)))))</f>
        <v>42002.308631517386</v>
      </c>
      <c r="O1331" s="18">
        <f>IF($A1331&gt;40,O1330,(O1330-N1296+N1331)*(1+$C$7))</f>
        <v>0</v>
      </c>
      <c r="P1331" s="18">
        <f t="shared" si="154"/>
        <v>269536.85557330574</v>
      </c>
      <c r="Q1331" s="18">
        <f>IF($A1331&gt;40,0,(Q1296-MIN(MAX(R1330,0),Q1296))+MIN(MAX(0,S1330-(Q1296-MIN(MAX(R1330,0),Q1296))),MAX(0,0*Q1296-(R1330-MIN(MAX(R1330,0),Q1296)))))</f>
        <v>42002.308631517393</v>
      </c>
      <c r="R1331" s="18">
        <f>IF($A1331&gt;40,R1330,(R1330-Q1296+Q1331)*(1+$C$7))</f>
        <v>0</v>
      </c>
      <c r="S1331" s="18">
        <f t="shared" si="155"/>
        <v>269536.85557330574</v>
      </c>
    </row>
    <row r="1332" spans="1:19">
      <c r="A1332" s="10">
        <f>34</f>
        <v>34</v>
      </c>
      <c r="B1332" s="18">
        <f>IF($A1332&gt;40,0,(B1296-MIN(MAX(C1331,0),B1296))+MIN(MAX(0,D1331-(B1296-MIN(MAX(C1331,0),B1296))),MAX(0,0*B1296-(C1331-MIN(MAX(C1331,0),B1296)))))</f>
        <v>30000</v>
      </c>
      <c r="C1332" s="18">
        <f>IF($A1332&gt;40,C1331,(C1331-B1296+B1332)*(1+$C$7))</f>
        <v>0</v>
      </c>
      <c r="D1332" s="18">
        <f t="shared" si="150"/>
        <v>948042.84113481105</v>
      </c>
      <c r="E1332" s="18">
        <f>IF($A1332&gt;40,0,(E1296-MIN(MAX(F1331,0),E1296))+MIN(MAX(0,G1331-(E1296-MIN(MAX(F1331,0),E1296))),MAX(0,0*E1296-(F1331-MIN(MAX(F1331,0),E1296)))))</f>
        <v>75000</v>
      </c>
      <c r="F1332" s="18">
        <f>IF($A1332&gt;40,F1331,(F1331-E1296+E1332)*(1+$C$7))</f>
        <v>0</v>
      </c>
      <c r="G1332" s="18">
        <f t="shared" si="151"/>
        <v>-1727750.8404224762</v>
      </c>
      <c r="H1332" s="18">
        <f>IF($A1332&gt;40,0,(H1296-MIN(MAX(I1331,0),H1296))+MIN(MAX(0,J1331-(H1296-MIN(MAX(I1331,0),H1296))),MAX(0,0*H1296-(I1331-MIN(MAX(I1331,0),H1296)))))</f>
        <v>42002.308631517371</v>
      </c>
      <c r="I1332" s="18">
        <f>IF($A1332&gt;40,I1331,(I1331-H1296+H1332)*(1+$C$7))</f>
        <v>0</v>
      </c>
      <c r="J1332" s="18">
        <f t="shared" si="152"/>
        <v>234360.58335004246</v>
      </c>
      <c r="K1332" s="18">
        <f>IF($A1332&gt;40,0,(K1296-MIN(MAX(L1331,0),K1296))+MIN(MAX(0,M1331-(K1296-MIN(MAX(L1331,0),K1296))),MAX(0,0*K1296-(L1331-MIN(MAX(L1331,0),K1296)))))</f>
        <v>42002.3086315174</v>
      </c>
      <c r="L1332" s="18">
        <f>IF($A1332&gt;40,L1331,(L1331-K1296+K1332)*(1+$C$7))</f>
        <v>0</v>
      </c>
      <c r="M1332" s="18">
        <f t="shared" si="153"/>
        <v>234360.58335003839</v>
      </c>
      <c r="N1332" s="18">
        <f>IF($A1332&gt;40,0,(N1296-MIN(MAX(O1331,0),N1296))+MIN(MAX(0,P1331-(N1296-MIN(MAX(O1331,0),N1296))),MAX(0,0*N1296-(O1331-MIN(MAX(O1331,0),N1296)))))</f>
        <v>42002.308631517386</v>
      </c>
      <c r="O1332" s="18">
        <f>IF($A1332&gt;40,O1331,(O1331-N1296+N1332)*(1+$C$7))</f>
        <v>0</v>
      </c>
      <c r="P1332" s="18">
        <f t="shared" si="154"/>
        <v>234360.583350042</v>
      </c>
      <c r="Q1332" s="18">
        <f>IF($A1332&gt;40,0,(Q1296-MIN(MAX(R1331,0),Q1296))+MIN(MAX(0,S1331-(Q1296-MIN(MAX(R1331,0),Q1296))),MAX(0,0*Q1296-(R1331-MIN(MAX(R1331,0),Q1296)))))</f>
        <v>42002.308631517393</v>
      </c>
      <c r="R1332" s="18">
        <f>IF($A1332&gt;40,R1331,(R1331-Q1296+Q1332)*(1+$C$7))</f>
        <v>0</v>
      </c>
      <c r="S1332" s="18">
        <f t="shared" si="155"/>
        <v>234360.583350042</v>
      </c>
    </row>
    <row r="1333" spans="1:19">
      <c r="A1333" s="10">
        <f>35</f>
        <v>35</v>
      </c>
      <c r="B1333" s="18">
        <f>IF($A1333&gt;40,0,(B1296-MIN(MAX(C1332,0),B1296))+MIN(MAX(0,D1332-(B1296-MIN(MAX(C1332,0),B1296))),MAX(0,0*B1296-(C1332-MIN(MAX(C1332,0),B1296)))))</f>
        <v>30000</v>
      </c>
      <c r="C1333" s="18">
        <f>IF($A1333&gt;40,C1332,(C1332-B1296+B1333)*(1+$C$7))</f>
        <v>0</v>
      </c>
      <c r="D1333" s="18">
        <f t="shared" si="150"/>
        <v>945584.12636885536</v>
      </c>
      <c r="E1333" s="18">
        <f>IF($A1333&gt;40,0,(E1296-MIN(MAX(F1332,0),E1296))+MIN(MAX(0,G1332-(E1296-MIN(MAX(F1332,0),E1296))),MAX(0,0*E1296-(F1332-MIN(MAX(F1332,0),E1296)))))</f>
        <v>75000</v>
      </c>
      <c r="F1333" s="18">
        <f>IF($A1333&gt;40,F1332,(F1332-E1296+E1333)*(1+$C$7))</f>
        <v>0</v>
      </c>
      <c r="G1333" s="18">
        <f t="shared" si="151"/>
        <v>-1856833.3656351506</v>
      </c>
      <c r="H1333" s="18">
        <f>IF($A1333&gt;40,0,(H1296-MIN(MAX(I1332,0),H1296))+MIN(MAX(0,J1332-(H1296-MIN(MAX(I1332,0),H1296))),MAX(0,0*H1296-(I1332-MIN(MAX(I1332,0),H1296)))))</f>
        <v>42002.308631517371</v>
      </c>
      <c r="I1333" s="18">
        <f>IF($A1333&gt;40,I1332,(I1332-H1296+H1333)*(1+$C$7))</f>
        <v>0</v>
      </c>
      <c r="J1333" s="18">
        <f t="shared" si="152"/>
        <v>198129.02296008085</v>
      </c>
      <c r="K1333" s="18">
        <f>IF($A1333&gt;40,0,(K1296-MIN(MAX(L1332,0),K1296))+MIN(MAX(0,M1332-(K1296-MIN(MAX(L1332,0),K1296))),MAX(0,0*K1296-(L1332-MIN(MAX(L1332,0),K1296)))))</f>
        <v>42002.3086315174</v>
      </c>
      <c r="L1333" s="18">
        <f>IF($A1333&gt;40,L1332,(L1332-K1296+K1333)*(1+$C$7))</f>
        <v>0</v>
      </c>
      <c r="M1333" s="18">
        <f t="shared" si="153"/>
        <v>198129.02296007663</v>
      </c>
      <c r="N1333" s="18">
        <f>IF($A1333&gt;40,0,(N1296-MIN(MAX(O1332,0),N1296))+MIN(MAX(0,P1332-(N1296-MIN(MAX(O1332,0),N1296))),MAX(0,0*N1296-(O1332-MIN(MAX(O1332,0),N1296)))))</f>
        <v>42002.308631517386</v>
      </c>
      <c r="O1333" s="18">
        <f>IF($A1333&gt;40,O1332,(O1332-N1296+N1333)*(1+$C$7))</f>
        <v>0</v>
      </c>
      <c r="P1333" s="18">
        <f t="shared" si="154"/>
        <v>198129.02296008033</v>
      </c>
      <c r="Q1333" s="18">
        <f>IF($A1333&gt;40,0,(Q1296-MIN(MAX(R1332,0),Q1296))+MIN(MAX(0,S1332-(Q1296-MIN(MAX(R1332,0),Q1296))),MAX(0,0*Q1296-(R1332-MIN(MAX(R1332,0),Q1296)))))</f>
        <v>42002.308631517393</v>
      </c>
      <c r="R1333" s="18">
        <f>IF($A1333&gt;40,R1332,(R1332-Q1296+Q1333)*(1+$C$7))</f>
        <v>0</v>
      </c>
      <c r="S1333" s="18">
        <f t="shared" si="155"/>
        <v>198129.02296008033</v>
      </c>
    </row>
    <row r="1334" spans="1:19">
      <c r="A1334" s="10">
        <f>36</f>
        <v>36</v>
      </c>
      <c r="B1334" s="18">
        <f>IF($A1334&gt;40,0,(B1296-MIN(MAX(C1333,0),B1296))+MIN(MAX(0,D1333-(B1296-MIN(MAX(C1333,0),B1296))),MAX(0,0*B1296-(C1333-MIN(MAX(C1333,0),B1296)))))</f>
        <v>30000</v>
      </c>
      <c r="C1334" s="18">
        <f>IF($A1334&gt;40,C1333,(C1333-B1296+B1334)*(1+$C$7))</f>
        <v>0</v>
      </c>
      <c r="D1334" s="18">
        <f t="shared" si="150"/>
        <v>943051.65015992103</v>
      </c>
      <c r="E1334" s="18">
        <f>IF($A1334&gt;40,0,(E1296-MIN(MAX(F1333,0),E1296))+MIN(MAX(0,G1333-(E1296-MIN(MAX(F1333,0),E1296))),MAX(0,0*E1296-(F1333-MIN(MAX(F1333,0),E1296)))))</f>
        <v>75000</v>
      </c>
      <c r="F1334" s="18">
        <f>IF($A1334&gt;40,F1333,(F1333-E1296+E1334)*(1+$C$7))</f>
        <v>0</v>
      </c>
      <c r="G1334" s="18">
        <f t="shared" si="151"/>
        <v>-1989788.3666042052</v>
      </c>
      <c r="H1334" s="18">
        <f>IF($A1334&gt;40,0,(H1296-MIN(MAX(I1333,0),H1296))+MIN(MAX(0,J1333-(H1296-MIN(MAX(I1333,0),H1296))),MAX(0,0*H1296-(I1333-MIN(MAX(I1333,0),H1296)))))</f>
        <v>42002.308631517371</v>
      </c>
      <c r="I1334" s="18">
        <f>IF($A1334&gt;40,I1333,(I1333-H1296+H1334)*(1+$C$7))</f>
        <v>0</v>
      </c>
      <c r="J1334" s="18">
        <f t="shared" si="152"/>
        <v>160810.5157584204</v>
      </c>
      <c r="K1334" s="18">
        <f>IF($A1334&gt;40,0,(K1296-MIN(MAX(L1333,0),K1296))+MIN(MAX(0,M1333-(K1296-MIN(MAX(L1333,0),K1296))),MAX(0,0*K1296-(L1333-MIN(MAX(L1333,0),K1296)))))</f>
        <v>42002.3086315174</v>
      </c>
      <c r="L1334" s="18">
        <f>IF($A1334&gt;40,L1333,(L1333-K1296+K1334)*(1+$C$7))</f>
        <v>0</v>
      </c>
      <c r="M1334" s="18">
        <f t="shared" si="153"/>
        <v>160810.515758416</v>
      </c>
      <c r="N1334" s="18">
        <f>IF($A1334&gt;40,0,(N1296-MIN(MAX(O1333,0),N1296))+MIN(MAX(0,P1333-(N1296-MIN(MAX(O1333,0),N1296))),MAX(0,0*N1296-(O1333-MIN(MAX(O1333,0),N1296)))))</f>
        <v>42002.308631517386</v>
      </c>
      <c r="O1334" s="18">
        <f>IF($A1334&gt;40,O1333,(O1333-N1296+N1334)*(1+$C$7))</f>
        <v>0</v>
      </c>
      <c r="P1334" s="18">
        <f t="shared" si="154"/>
        <v>160810.51575841985</v>
      </c>
      <c r="Q1334" s="18">
        <f>IF($A1334&gt;40,0,(Q1296-MIN(MAX(R1333,0),Q1296))+MIN(MAX(0,S1333-(Q1296-MIN(MAX(R1333,0),Q1296))),MAX(0,0*Q1296-(R1333-MIN(MAX(R1333,0),Q1296)))))</f>
        <v>42002.308631517393</v>
      </c>
      <c r="R1334" s="18">
        <f>IF($A1334&gt;40,R1333,(R1333-Q1296+Q1334)*(1+$C$7))</f>
        <v>0</v>
      </c>
      <c r="S1334" s="18">
        <f t="shared" si="155"/>
        <v>160810.51575841982</v>
      </c>
    </row>
    <row r="1335" spans="1:19">
      <c r="A1335" s="10">
        <f>37</f>
        <v>37</v>
      </c>
      <c r="B1335" s="18">
        <f>IF($A1335&gt;40,0,(B1296-MIN(MAX(C1334,0),B1296))+MIN(MAX(0,D1334-(B1296-MIN(MAX(C1334,0),B1296))),MAX(0,0*B1296-(C1334-MIN(MAX(C1334,0),B1296)))))</f>
        <v>30000</v>
      </c>
      <c r="C1335" s="18">
        <f>IF($A1335&gt;40,C1334,(C1334-B1296+B1335)*(1+$C$7))</f>
        <v>0</v>
      </c>
      <c r="D1335" s="18">
        <f t="shared" si="150"/>
        <v>940443.1996647187</v>
      </c>
      <c r="E1335" s="18">
        <f>IF($A1335&gt;40,0,(E1296-MIN(MAX(F1334,0),E1296))+MIN(MAX(0,G1334-(E1296-MIN(MAX(F1334,0),E1296))),MAX(0,0*E1296-(F1334-MIN(MAX(F1334,0),E1296)))))</f>
        <v>75000</v>
      </c>
      <c r="F1335" s="18">
        <f>IF($A1335&gt;40,F1334,(F1334-E1296+E1335)*(1+$C$7))</f>
        <v>0</v>
      </c>
      <c r="G1335" s="18">
        <f t="shared" si="151"/>
        <v>-2126732.0176023315</v>
      </c>
      <c r="H1335" s="18">
        <f>IF($A1335&gt;40,0,(H1296-MIN(MAX(I1334,0),H1296))+MIN(MAX(0,J1334-(H1296-MIN(MAX(I1334,0),H1296))),MAX(0,0*H1296-(I1334-MIN(MAX(I1334,0),H1296)))))</f>
        <v>42002.308631517371</v>
      </c>
      <c r="I1335" s="18">
        <f>IF($A1335&gt;40,I1334,(I1334-H1296+H1335)*(1+$C$7))</f>
        <v>0</v>
      </c>
      <c r="J1335" s="18">
        <f t="shared" si="152"/>
        <v>122372.45334071013</v>
      </c>
      <c r="K1335" s="18">
        <f>IF($A1335&gt;40,0,(K1296-MIN(MAX(L1334,0),K1296))+MIN(MAX(0,M1334-(K1296-MIN(MAX(L1334,0),K1296))),MAX(0,0*K1296-(L1334-MIN(MAX(L1334,0),K1296)))))</f>
        <v>42002.3086315174</v>
      </c>
      <c r="L1335" s="18">
        <f>IF($A1335&gt;40,L1334,(L1334-K1296+K1335)*(1+$C$7))</f>
        <v>0</v>
      </c>
      <c r="M1335" s="18">
        <f t="shared" si="153"/>
        <v>122372.45334070557</v>
      </c>
      <c r="N1335" s="18">
        <f>IF($A1335&gt;40,0,(N1296-MIN(MAX(O1334,0),N1296))+MIN(MAX(0,P1334-(N1296-MIN(MAX(O1334,0),N1296))),MAX(0,0*N1296-(O1334-MIN(MAX(O1334,0),N1296)))))</f>
        <v>42002.308631517386</v>
      </c>
      <c r="O1335" s="18">
        <f>IF($A1335&gt;40,O1334,(O1334-N1296+N1335)*(1+$C$7))</f>
        <v>0</v>
      </c>
      <c r="P1335" s="18">
        <f t="shared" si="154"/>
        <v>122372.45334070954</v>
      </c>
      <c r="Q1335" s="18">
        <f>IF($A1335&gt;40,0,(Q1296-MIN(MAX(R1334,0),Q1296))+MIN(MAX(0,S1334-(Q1296-MIN(MAX(R1334,0),Q1296))),MAX(0,0*Q1296-(R1334-MIN(MAX(R1334,0),Q1296)))))</f>
        <v>42002.308631517393</v>
      </c>
      <c r="R1335" s="18">
        <f>IF($A1335&gt;40,R1334,(R1334-Q1296+Q1335)*(1+$C$7))</f>
        <v>0</v>
      </c>
      <c r="S1335" s="18">
        <f t="shared" si="155"/>
        <v>122372.45334070949</v>
      </c>
    </row>
    <row r="1336" spans="1:19">
      <c r="A1336" s="10">
        <f>38</f>
        <v>38</v>
      </c>
      <c r="B1336" s="18">
        <f>IF($A1336&gt;40,0,(B1296-MIN(MAX(C1335,0),B1296))+MIN(MAX(0,D1335-(B1296-MIN(MAX(C1335,0),B1296))),MAX(0,0*B1296-(C1335-MIN(MAX(C1335,0),B1296)))))</f>
        <v>30000</v>
      </c>
      <c r="C1336" s="18">
        <f>IF($A1336&gt;40,C1335,(C1335-B1296+B1336)*(1+$C$7))</f>
        <v>0</v>
      </c>
      <c r="D1336" s="18">
        <f t="shared" si="150"/>
        <v>937756.49565466028</v>
      </c>
      <c r="E1336" s="18">
        <f>IF($A1336&gt;40,0,(E1296-MIN(MAX(F1335,0),E1296))+MIN(MAX(0,G1335-(E1296-MIN(MAX(F1335,0),E1296))),MAX(0,0*E1296-(F1335-MIN(MAX(F1335,0),E1296)))))</f>
        <v>75000</v>
      </c>
      <c r="F1336" s="18">
        <f>IF($A1336&gt;40,F1335,(F1335-E1296+E1336)*(1+$C$7))</f>
        <v>0</v>
      </c>
      <c r="G1336" s="18">
        <f t="shared" si="151"/>
        <v>-2267783.9781304016</v>
      </c>
      <c r="H1336" s="18">
        <f>IF($A1336&gt;40,0,(H1296-MIN(MAX(I1335,0),H1296))+MIN(MAX(0,J1335-(H1296-MIN(MAX(I1335,0),H1296))),MAX(0,0*H1296-(I1335-MIN(MAX(I1335,0),H1296)))))</f>
        <v>42002.308631517371</v>
      </c>
      <c r="I1336" s="18">
        <f>IF($A1336&gt;40,I1335,(I1335-H1296+H1336)*(1+$C$7))</f>
        <v>0</v>
      </c>
      <c r="J1336" s="18">
        <f t="shared" si="152"/>
        <v>82781.249050468541</v>
      </c>
      <c r="K1336" s="18">
        <f>IF($A1336&gt;40,0,(K1296-MIN(MAX(L1335,0),K1296))+MIN(MAX(0,M1335-(K1296-MIN(MAX(L1335,0),K1296))),MAX(0,0*K1296-(L1335-MIN(MAX(L1335,0),K1296)))))</f>
        <v>42002.3086315174</v>
      </c>
      <c r="L1336" s="18">
        <f>IF($A1336&gt;40,L1335,(L1335-K1296+K1336)*(1+$C$7))</f>
        <v>0</v>
      </c>
      <c r="M1336" s="18">
        <f t="shared" si="153"/>
        <v>82781.249050463812</v>
      </c>
      <c r="N1336" s="18">
        <f>IF($A1336&gt;40,0,(N1296-MIN(MAX(O1335,0),N1296))+MIN(MAX(0,P1335-(N1296-MIN(MAX(O1335,0),N1296))),MAX(0,0*N1296-(O1335-MIN(MAX(O1335,0),N1296)))))</f>
        <v>42002.308631517386</v>
      </c>
      <c r="O1336" s="18">
        <f>IF($A1336&gt;40,O1335,(O1335-N1296+N1336)*(1+$C$7))</f>
        <v>0</v>
      </c>
      <c r="P1336" s="18">
        <f t="shared" si="154"/>
        <v>82781.24905046793</v>
      </c>
      <c r="Q1336" s="18">
        <f>IF($A1336&gt;40,0,(Q1296-MIN(MAX(R1335,0),Q1296))+MIN(MAX(0,S1335-(Q1296-MIN(MAX(R1335,0),Q1296))),MAX(0,0*Q1296-(R1335-MIN(MAX(R1335,0),Q1296)))))</f>
        <v>42002.308631517393</v>
      </c>
      <c r="R1336" s="18">
        <f>IF($A1336&gt;40,R1335,(R1335-Q1296+Q1336)*(1+$C$7))</f>
        <v>0</v>
      </c>
      <c r="S1336" s="18">
        <f t="shared" si="155"/>
        <v>82781.249050467872</v>
      </c>
    </row>
    <row r="1337" spans="1:19">
      <c r="A1337" s="10">
        <f>39</f>
        <v>39</v>
      </c>
      <c r="B1337" s="18">
        <f>IF($A1337&gt;40,0,(B1296-MIN(MAX(C1336,0),B1296))+MIN(MAX(0,D1336-(B1296-MIN(MAX(C1336,0),B1296))),MAX(0,0*B1296-(C1336-MIN(MAX(C1336,0),B1296)))))</f>
        <v>30000</v>
      </c>
      <c r="C1337" s="18">
        <f>IF($A1337&gt;40,C1336,(C1336-B1296+B1337)*(1+$C$7))</f>
        <v>0</v>
      </c>
      <c r="D1337" s="18">
        <f t="shared" si="150"/>
        <v>934989.19052430009</v>
      </c>
      <c r="E1337" s="18">
        <f>IF($A1337&gt;40,0,(E1296-MIN(MAX(F1336,0),E1296))+MIN(MAX(0,G1336-(E1296-MIN(MAX(F1336,0),E1296))),MAX(0,0*E1296-(F1336-MIN(MAX(F1336,0),E1296)))))</f>
        <v>75000</v>
      </c>
      <c r="F1337" s="18">
        <f>IF($A1337&gt;40,F1336,(F1336-E1296+E1337)*(1+$C$7))</f>
        <v>0</v>
      </c>
      <c r="G1337" s="18">
        <f t="shared" si="151"/>
        <v>-2413067.4974743137</v>
      </c>
      <c r="H1337" s="18">
        <f>IF($A1337&gt;40,0,(H1296-MIN(MAX(I1336,0),H1296))+MIN(MAX(0,J1336-(H1296-MIN(MAX(I1336,0),H1296))),MAX(0,0*H1296-(I1336-MIN(MAX(I1336,0),H1296)))))</f>
        <v>42002.308631517371</v>
      </c>
      <c r="I1337" s="18">
        <f>IF($A1337&gt;40,I1336,(I1336-H1296+H1337)*(1+$C$7))</f>
        <v>0</v>
      </c>
      <c r="J1337" s="18">
        <f t="shared" si="152"/>
        <v>42002.308631519707</v>
      </c>
      <c r="K1337" s="18">
        <f>IF($A1337&gt;40,0,(K1296-MIN(MAX(L1336,0),K1296))+MIN(MAX(0,M1336-(K1296-MIN(MAX(L1336,0),K1296))),MAX(0,0*K1296-(L1336-MIN(MAX(L1336,0),K1296)))))</f>
        <v>42002.3086315174</v>
      </c>
      <c r="L1337" s="18">
        <f>IF($A1337&gt;40,L1336,(L1336-K1296+K1337)*(1+$C$7))</f>
        <v>0</v>
      </c>
      <c r="M1337" s="18">
        <f t="shared" si="153"/>
        <v>42002.308631514803</v>
      </c>
      <c r="N1337" s="18">
        <f>IF($A1337&gt;40,0,(N1296-MIN(MAX(O1336,0),N1296))+MIN(MAX(0,P1336-(N1296-MIN(MAX(O1336,0),N1296))),MAX(0,0*N1296-(O1336-MIN(MAX(O1336,0),N1296)))))</f>
        <v>42002.308631517386</v>
      </c>
      <c r="O1337" s="18">
        <f>IF($A1337&gt;40,O1336,(O1336-N1296+N1337)*(1+$C$7))</f>
        <v>0</v>
      </c>
      <c r="P1337" s="18">
        <f t="shared" si="154"/>
        <v>42002.308631519059</v>
      </c>
      <c r="Q1337" s="18">
        <f>IF($A1337&gt;40,0,(Q1296-MIN(MAX(R1336,0),Q1296))+MIN(MAX(0,S1336-(Q1296-MIN(MAX(R1336,0),Q1296))),MAX(0,0*Q1296-(R1336-MIN(MAX(R1336,0),Q1296)))))</f>
        <v>42002.308631517393</v>
      </c>
      <c r="R1337" s="18">
        <f>IF($A1337&gt;40,R1336,(R1336-Q1296+Q1337)*(1+$C$7))</f>
        <v>0</v>
      </c>
      <c r="S1337" s="18">
        <f t="shared" si="155"/>
        <v>42002.308631518994</v>
      </c>
    </row>
    <row r="1338" spans="1:19">
      <c r="A1338" s="10">
        <f>40</f>
        <v>40</v>
      </c>
      <c r="B1338" s="18">
        <f>IF($A1338&gt;40,0,(B1296-MIN(MAX(C1337,0),B1296))+MIN(MAX(0,D1337-(B1296-MIN(MAX(C1337,0),B1296))),MAX(0,0*B1296-(C1337-MIN(MAX(C1337,0),B1296)))))</f>
        <v>30000</v>
      </c>
      <c r="C1338" s="18">
        <f>IF($A1338&gt;40,C1337,(C1337-B1296+B1338)*(1+$C$7))</f>
        <v>0</v>
      </c>
      <c r="D1338" s="18">
        <f t="shared" si="150"/>
        <v>932138.86624002911</v>
      </c>
      <c r="E1338" s="18">
        <f>IF($A1338&gt;40,0,(E1296-MIN(MAX(F1337,0),E1296))+MIN(MAX(0,G1337-(E1296-MIN(MAX(F1337,0),E1296))),MAX(0,0*E1296-(F1337-MIN(MAX(F1337,0),E1296)))))</f>
        <v>75000</v>
      </c>
      <c r="F1338" s="18">
        <f>IF($A1338&gt;40,F1337,(F1337-E1296+E1338)*(1+$C$7))</f>
        <v>0</v>
      </c>
      <c r="G1338" s="18">
        <f t="shared" si="151"/>
        <v>-2562709.5223985431</v>
      </c>
      <c r="H1338" s="18">
        <f>IF($A1338&gt;40,0,(H1296-MIN(MAX(I1337,0),H1296))+MIN(MAX(0,J1337-(H1296-MIN(MAX(I1337,0),H1296))),MAX(0,0*H1296-(I1337-MIN(MAX(I1337,0),H1296)))))</f>
        <v>42002.308631517371</v>
      </c>
      <c r="I1338" s="18">
        <f>IF($A1338&gt;40,I1337,(I1337-H1296+H1338)*(1+$C$7))</f>
        <v>0</v>
      </c>
      <c r="J1338" s="18">
        <f t="shared" si="152"/>
        <v>2.4056498659774661E-9</v>
      </c>
      <c r="K1338" s="18">
        <f>IF($A1338&gt;40,0,(K1296-MIN(MAX(L1337,0),K1296))+MIN(MAX(0,M1337-(K1296-MIN(MAX(L1337,0),K1296))),MAX(0,0*K1296-(L1337-MIN(MAX(L1337,0),K1296)))))</f>
        <v>42002.3086315174</v>
      </c>
      <c r="L1338" s="18">
        <f>IF($A1338&gt;40,L1337,(L1337-K1296+K1338)*(1+$C$7))</f>
        <v>0</v>
      </c>
      <c r="M1338" s="18">
        <f t="shared" si="153"/>
        <v>-2.6754423743113878E-9</v>
      </c>
      <c r="N1338" s="18">
        <f>IF($A1338&gt;40,0,(N1296-MIN(MAX(O1337,0),N1296))+MIN(MAX(0,P1337-(N1296-MIN(MAX(O1337,0),N1296))),MAX(0,0*N1296-(O1337-MIN(MAX(O1337,0),N1296)))))</f>
        <v>42002.308631517386</v>
      </c>
      <c r="O1338" s="18">
        <f>IF($A1338&gt;40,O1337,(O1337-N1296+N1338)*(1+$C$7))</f>
        <v>0</v>
      </c>
      <c r="P1338" s="18">
        <f t="shared" si="154"/>
        <v>1.7236743588000536E-9</v>
      </c>
      <c r="Q1338" s="18">
        <f>IF($A1338&gt;40,0,(Q1296-MIN(MAX(R1337,0),Q1296))+MIN(MAX(0,S1337-(Q1296-MIN(MAX(R1337,0),Q1296))),MAX(0,0*Q1296-(R1337-MIN(MAX(R1337,0),Q1296)))))</f>
        <v>42002.308631517393</v>
      </c>
      <c r="R1338" s="18">
        <f>IF($A1338&gt;40,R1337,(R1337-Q1296+Q1338)*(1+$C$7))</f>
        <v>0</v>
      </c>
      <c r="S1338" s="18">
        <f t="shared" si="155"/>
        <v>1.6487319953739643E-9</v>
      </c>
    </row>
    <row r="1339" spans="1:19">
      <c r="B1339" s="18">
        <f>C1338+D1338</f>
        <v>932138.86624002911</v>
      </c>
      <c r="E1339" s="18">
        <f>F1338+G1338</f>
        <v>-2562709.5223985431</v>
      </c>
      <c r="H1339" s="18">
        <f>I1338+J1338</f>
        <v>2.4056498659774661E-9</v>
      </c>
      <c r="K1339" s="18">
        <f>L1338+M1338</f>
        <v>-2.6754423743113878E-9</v>
      </c>
      <c r="N1339" s="18">
        <f>O1338+P1338</f>
        <v>1.7236743588000536E-9</v>
      </c>
      <c r="Q1339" s="18">
        <f>R1338+S1338</f>
        <v>1.6487319953739643E-9</v>
      </c>
    </row>
    <row r="1340" spans="1:19">
      <c r="A1340" s="5" t="s">
        <v>266</v>
      </c>
      <c r="B1340" s="18">
        <f>IFERROR(Q1296-Q1339*(Q1296-N1296)/(Q1339-N1339),Q1296)</f>
        <v>42002.308631517553</v>
      </c>
    </row>
    <row r="1342" spans="1:19">
      <c r="A1342" s="2" t="s">
        <v>292</v>
      </c>
    </row>
    <row r="1343" spans="1:19">
      <c r="B1343" s="9">
        <f>0.03*$B$5</f>
        <v>30000</v>
      </c>
      <c r="E1343" s="9">
        <f>0.075*$B$5</f>
        <v>75000</v>
      </c>
      <c r="H1343" s="18">
        <f>IFERROR(E1343-E1386*(E1343-B1343)/(E1386-B1386),E1343)</f>
        <v>41259.688206068582</v>
      </c>
      <c r="K1343" s="18">
        <f>IFERROR(H1343-H1386*(H1343-E1343)/(H1386-E1386),H1343)</f>
        <v>41069.888553514058</v>
      </c>
      <c r="N1343" s="18">
        <f>IFERROR(K1343-K1386*(K1343-H1343)/(K1386-H1386),K1343)</f>
        <v>41069.915064339497</v>
      </c>
      <c r="Q1343" s="18">
        <f>IFERROR(N1343-N1386*(N1343-K1343)/(N1386-K1386),N1343)</f>
        <v>41069.915688623252</v>
      </c>
    </row>
    <row r="1344" spans="1:19">
      <c r="A1344" s="25" t="s">
        <v>262</v>
      </c>
      <c r="B1344" s="25" t="s">
        <v>263</v>
      </c>
      <c r="C1344" s="25" t="s">
        <v>264</v>
      </c>
      <c r="D1344" s="25" t="s">
        <v>265</v>
      </c>
      <c r="E1344" s="25" t="s">
        <v>263</v>
      </c>
      <c r="F1344" s="25" t="s">
        <v>264</v>
      </c>
      <c r="G1344" s="25" t="s">
        <v>265</v>
      </c>
      <c r="H1344" s="25" t="s">
        <v>263</v>
      </c>
      <c r="I1344" s="25" t="s">
        <v>264</v>
      </c>
      <c r="J1344" s="25" t="s">
        <v>265</v>
      </c>
      <c r="K1344" s="25" t="s">
        <v>263</v>
      </c>
      <c r="L1344" s="25" t="s">
        <v>264</v>
      </c>
      <c r="M1344" s="25" t="s">
        <v>265</v>
      </c>
      <c r="N1344" s="25" t="s">
        <v>263</v>
      </c>
      <c r="O1344" s="25" t="s">
        <v>264</v>
      </c>
      <c r="P1344" s="25" t="s">
        <v>265</v>
      </c>
      <c r="Q1344" s="25" t="s">
        <v>263</v>
      </c>
      <c r="R1344" s="25" t="s">
        <v>264</v>
      </c>
      <c r="S1344" s="25" t="s">
        <v>265</v>
      </c>
    </row>
    <row r="1345" spans="1:19">
      <c r="A1345" s="3">
        <v>0</v>
      </c>
      <c r="C1345" s="18">
        <f>MIN(1*B1343,$B$5)</f>
        <v>30000</v>
      </c>
      <c r="D1345" s="18">
        <f>$B$5-C1345</f>
        <v>970000</v>
      </c>
      <c r="F1345" s="18">
        <f>MIN(1*E1343,$B$5)</f>
        <v>75000</v>
      </c>
      <c r="G1345" s="18">
        <f>$B$5-F1345</f>
        <v>925000</v>
      </c>
      <c r="I1345" s="18">
        <f>MIN(1*H1343,$B$5)</f>
        <v>41259.688206068582</v>
      </c>
      <c r="J1345" s="18">
        <f>$B$5-I1345</f>
        <v>958740.31179393141</v>
      </c>
      <c r="L1345" s="18">
        <f>MIN(1*K1343,$B$5)</f>
        <v>41069.888553514058</v>
      </c>
      <c r="M1345" s="18">
        <f>$B$5-L1345</f>
        <v>958930.11144648597</v>
      </c>
      <c r="O1345" s="18">
        <f>MIN(1*N1343,$B$5)</f>
        <v>41069.915064339497</v>
      </c>
      <c r="P1345" s="18">
        <f>$B$5-O1345</f>
        <v>958930.08493566047</v>
      </c>
      <c r="R1345" s="18">
        <f>MIN(1*Q1343,$B$5)</f>
        <v>41069.915688623252</v>
      </c>
      <c r="S1345" s="18">
        <f>$B$5-R1345</f>
        <v>958930.08431137679</v>
      </c>
    </row>
    <row r="1346" spans="1:19">
      <c r="A1346" s="10">
        <f>1</f>
        <v>1</v>
      </c>
      <c r="B1346" s="18">
        <f>IF($A1346&gt;40,0,(B1343-MIN(MAX(C1345,0),B1343))+MIN(MAX(0,D1345-(B1343-MIN(MAX(C1345,0),B1343))),MAX(0,1*B1343-(C1345-MIN(MAX(C1345,0),B1343)))))</f>
        <v>30000</v>
      </c>
      <c r="C1346" s="18">
        <f>IF($A1346&gt;40,C1345,(C1345-B1343+B1346)*(1+$C$7))</f>
        <v>30189</v>
      </c>
      <c r="D1346" s="18">
        <f t="shared" ref="D1346:D1385" si="156">IF($A1346&gt;40,D1345,(D1345-B1346)*(1+$B$6))</f>
        <v>968200</v>
      </c>
      <c r="E1346" s="18">
        <f>IF($A1346&gt;40,0,(E1343-MIN(MAX(F1345,0),E1343))+MIN(MAX(0,G1345-(E1343-MIN(MAX(F1345,0),E1343))),MAX(0,1*E1343-(F1345-MIN(MAX(F1345,0),E1343)))))</f>
        <v>75000</v>
      </c>
      <c r="F1346" s="18">
        <f>IF($A1346&gt;40,F1345,(F1345-E1343+E1346)*(1+$C$7))</f>
        <v>75472.5</v>
      </c>
      <c r="G1346" s="18">
        <f t="shared" ref="G1346:G1385" si="157">IF($A1346&gt;40,G1345,(G1345-E1346)*(1+$B$6))</f>
        <v>875500</v>
      </c>
      <c r="H1346" s="18">
        <f>IF($A1346&gt;40,0,(H1343-MIN(MAX(I1345,0),H1343))+MIN(MAX(0,J1345-(H1343-MIN(MAX(I1345,0),H1343))),MAX(0,1*H1343-(I1345-MIN(MAX(I1345,0),H1343)))))</f>
        <v>41259.688206068582</v>
      </c>
      <c r="I1346" s="18">
        <f>IF($A1346&gt;40,I1345,(I1345-H1343+H1346)*(1+$C$7))</f>
        <v>41519.624241766811</v>
      </c>
      <c r="J1346" s="18">
        <f t="shared" ref="J1346:J1385" si="158">IF($A1346&gt;40,J1345,(J1345-H1346)*(1+$B$6))</f>
        <v>945005.04229549877</v>
      </c>
      <c r="K1346" s="18">
        <f>IF($A1346&gt;40,0,(K1343-MIN(MAX(L1345,0),K1343))+MIN(MAX(0,M1345-(K1343-MIN(MAX(L1345,0),K1343))),MAX(0,1*K1343-(L1345-MIN(MAX(L1345,0),K1343)))))</f>
        <v>41069.888553514058</v>
      </c>
      <c r="L1346" s="18">
        <f>IF($A1346&gt;40,L1345,(L1345-K1343+K1346)*(1+$C$7))</f>
        <v>41328.628851401198</v>
      </c>
      <c r="M1346" s="18">
        <f t="shared" ref="M1346:M1385" si="159">IF($A1346&gt;40,M1345,(M1345-K1346)*(1+$B$6))</f>
        <v>945396.02957976109</v>
      </c>
      <c r="N1346" s="18">
        <f>IF($A1346&gt;40,0,(N1343-MIN(MAX(O1345,0),N1343))+MIN(MAX(0,P1345-(N1343-MIN(MAX(O1345,0),N1343))),MAX(0,1*N1343-(O1345-MIN(MAX(O1345,0),N1343)))))</f>
        <v>41069.915064339497</v>
      </c>
      <c r="O1346" s="18">
        <f>IF($A1346&gt;40,O1345,(O1345-N1343+N1346)*(1+$C$7))</f>
        <v>41328.655529244832</v>
      </c>
      <c r="P1346" s="18">
        <f t="shared" ref="P1346:P1385" si="160">IF($A1346&gt;40,P1345,(P1345-N1346)*(1+$B$6))</f>
        <v>945395.97496746061</v>
      </c>
      <c r="Q1346" s="18">
        <f>IF($A1346&gt;40,0,(Q1343-MIN(MAX(R1345,0),Q1343))+MIN(MAX(0,S1345-(Q1343-MIN(MAX(R1345,0),Q1343))),MAX(0,1*Q1343-(R1345-MIN(MAX(R1345,0),Q1343)))))</f>
        <v>41069.915688623252</v>
      </c>
      <c r="R1346" s="18">
        <f>IF($A1346&gt;40,R1345,(R1345-Q1343+Q1346)*(1+$C$7))</f>
        <v>41328.656157461577</v>
      </c>
      <c r="S1346" s="18">
        <f t="shared" ref="S1346:S1385" si="161">IF($A1346&gt;40,S1345,(S1345-Q1346)*(1+$B$6))</f>
        <v>945395.97368143627</v>
      </c>
    </row>
    <row r="1347" spans="1:19">
      <c r="A1347" s="10">
        <f>2</f>
        <v>2</v>
      </c>
      <c r="B1347" s="18">
        <f>IF($A1347&gt;40,0,(B1343-MIN(MAX(C1346,0),B1343))+MIN(MAX(0,D1346-(B1343-MIN(MAX(C1346,0),B1343))),MAX(0,1*B1343-(C1346-MIN(MAX(C1346,0),B1343)))))</f>
        <v>29811</v>
      </c>
      <c r="C1347" s="18">
        <f>IF($A1347&gt;40,C1346,(C1346-B1343+B1347)*(1+$C$7))</f>
        <v>30189</v>
      </c>
      <c r="D1347" s="18">
        <f t="shared" si="156"/>
        <v>966540.67</v>
      </c>
      <c r="E1347" s="18">
        <f>IF($A1347&gt;40,0,(E1343-MIN(MAX(F1346,0),E1343))+MIN(MAX(0,G1346-(E1343-MIN(MAX(F1346,0),E1343))),MAX(0,1*E1343-(F1346-MIN(MAX(F1346,0),E1343)))))</f>
        <v>74527.5</v>
      </c>
      <c r="F1347" s="18">
        <f>IF($A1347&gt;40,F1346,(F1346-E1343+E1347)*(1+$C$7))</f>
        <v>75472.5</v>
      </c>
      <c r="G1347" s="18">
        <f t="shared" si="157"/>
        <v>825001.67500000005</v>
      </c>
      <c r="H1347" s="18">
        <f>IF($A1347&gt;40,0,(H1343-MIN(MAX(I1346,0),H1343))+MIN(MAX(0,J1346-(H1343-MIN(MAX(I1346,0),H1343))),MAX(0,1*H1343-(I1346-MIN(MAX(I1346,0),H1343)))))</f>
        <v>40999.752170370353</v>
      </c>
      <c r="I1347" s="18">
        <f>IF($A1347&gt;40,I1346,(I1346-H1343+H1347)*(1+$C$7))</f>
        <v>41519.624241766811</v>
      </c>
      <c r="J1347" s="18">
        <f t="shared" si="158"/>
        <v>931125.4488288823</v>
      </c>
      <c r="K1347" s="18">
        <f>IF($A1347&gt;40,0,(K1343-MIN(MAX(L1346,0),K1343))+MIN(MAX(0,M1346-(K1343-MIN(MAX(L1346,0),K1343))),MAX(0,1*K1343-(L1346-MIN(MAX(L1346,0),K1343)))))</f>
        <v>40811.148255626918</v>
      </c>
      <c r="L1347" s="18">
        <f>IF($A1347&gt;40,L1346,(L1346-K1343+K1347)*(1+$C$7))</f>
        <v>41328.628851401198</v>
      </c>
      <c r="M1347" s="18">
        <f t="shared" si="159"/>
        <v>931722.42776385823</v>
      </c>
      <c r="N1347" s="18">
        <f>IF($A1347&gt;40,0,(N1343-MIN(MAX(O1346,0),N1343))+MIN(MAX(0,P1346-(N1343-MIN(MAX(O1346,0),N1343))),MAX(0,1*N1343-(O1346-MIN(MAX(O1346,0),N1343)))))</f>
        <v>40811.174599434162</v>
      </c>
      <c r="O1347" s="18">
        <f>IF($A1347&gt;40,O1346,(O1346-N1343+N1347)*(1+$C$7))</f>
        <v>41328.655529244832</v>
      </c>
      <c r="P1347" s="18">
        <f t="shared" si="160"/>
        <v>931722.3443790673</v>
      </c>
      <c r="Q1347" s="18">
        <f>IF($A1347&gt;40,0,(Q1343-MIN(MAX(R1346,0),Q1343))+MIN(MAX(0,S1346-(Q1343-MIN(MAX(R1346,0),Q1343))),MAX(0,1*Q1343-(R1346-MIN(MAX(R1346,0),Q1343)))))</f>
        <v>40811.175219784927</v>
      </c>
      <c r="R1347" s="18">
        <f>IF($A1347&gt;40,R1346,(R1346-Q1343+Q1347)*(1+$C$7))</f>
        <v>41328.656157461577</v>
      </c>
      <c r="S1347" s="18">
        <f t="shared" si="161"/>
        <v>931722.3424155009</v>
      </c>
    </row>
    <row r="1348" spans="1:19">
      <c r="A1348" s="10">
        <f>3</f>
        <v>3</v>
      </c>
      <c r="B1348" s="18">
        <f>IF($A1348&gt;40,0,(B1343-MIN(MAX(C1347,0),B1343))+MIN(MAX(0,D1347-(B1343-MIN(MAX(C1347,0),B1343))),MAX(0,1*B1343-(C1347-MIN(MAX(C1347,0),B1343)))))</f>
        <v>29811</v>
      </c>
      <c r="C1348" s="18">
        <f>IF($A1348&gt;40,C1347,(C1347-B1343+B1348)*(1+$C$7))</f>
        <v>30189</v>
      </c>
      <c r="D1348" s="18">
        <f t="shared" si="156"/>
        <v>964831.56010000012</v>
      </c>
      <c r="E1348" s="18">
        <f>IF($A1348&gt;40,0,(E1343-MIN(MAX(F1347,0),E1343))+MIN(MAX(0,G1347-(E1343-MIN(MAX(F1347,0),E1343))),MAX(0,1*E1343-(F1347-MIN(MAX(F1347,0),E1343)))))</f>
        <v>74527.5</v>
      </c>
      <c r="F1348" s="18">
        <f>IF($A1348&gt;40,F1347,(F1347-E1343+E1348)*(1+$C$7))</f>
        <v>75472.5</v>
      </c>
      <c r="G1348" s="18">
        <f t="shared" si="157"/>
        <v>772988.40025000006</v>
      </c>
      <c r="H1348" s="18">
        <f>IF($A1348&gt;40,0,(H1343-MIN(MAX(I1347,0),H1343))+MIN(MAX(0,J1347-(H1343-MIN(MAX(I1347,0),H1343))),MAX(0,1*H1343-(I1347-MIN(MAX(I1347,0),H1343)))))</f>
        <v>40999.752170370353</v>
      </c>
      <c r="I1348" s="18">
        <f>IF($A1348&gt;40,I1347,(I1347-H1343+H1348)*(1+$C$7))</f>
        <v>41519.624241766811</v>
      </c>
      <c r="J1348" s="18">
        <f t="shared" si="158"/>
        <v>916829.46755826741</v>
      </c>
      <c r="K1348" s="18">
        <f>IF($A1348&gt;40,0,(K1343-MIN(MAX(L1347,0),K1343))+MIN(MAX(0,M1347-(K1343-MIN(MAX(L1347,0),K1343))),MAX(0,1*K1343-(L1347-MIN(MAX(L1347,0),K1343)))))</f>
        <v>40811.148255626918</v>
      </c>
      <c r="L1348" s="18">
        <f>IF($A1348&gt;40,L1347,(L1347-K1343+K1348)*(1+$C$7))</f>
        <v>41328.628851401198</v>
      </c>
      <c r="M1348" s="18">
        <f t="shared" si="159"/>
        <v>917638.61789347825</v>
      </c>
      <c r="N1348" s="18">
        <f>IF($A1348&gt;40,0,(N1343-MIN(MAX(O1347,0),N1343))+MIN(MAX(0,P1347-(N1343-MIN(MAX(O1347,0),N1343))),MAX(0,1*N1343-(O1347-MIN(MAX(O1347,0),N1343)))))</f>
        <v>40811.174599434162</v>
      </c>
      <c r="O1348" s="18">
        <f>IF($A1348&gt;40,O1347,(O1347-N1343+N1348)*(1+$C$7))</f>
        <v>41328.655529244832</v>
      </c>
      <c r="P1348" s="18">
        <f t="shared" si="160"/>
        <v>917638.5048730222</v>
      </c>
      <c r="Q1348" s="18">
        <f>IF($A1348&gt;40,0,(Q1343-MIN(MAX(R1347,0),Q1343))+MIN(MAX(0,S1347-(Q1343-MIN(MAX(R1347,0),Q1343))),MAX(0,1*Q1343-(R1347-MIN(MAX(R1347,0),Q1343)))))</f>
        <v>40811.175219784927</v>
      </c>
      <c r="R1348" s="18">
        <f>IF($A1348&gt;40,R1347,(R1347-Q1343+Q1348)*(1+$C$7))</f>
        <v>41328.656157461577</v>
      </c>
      <c r="S1348" s="18">
        <f t="shared" si="161"/>
        <v>917638.50221158739</v>
      </c>
    </row>
    <row r="1349" spans="1:19">
      <c r="A1349" s="10">
        <f>4</f>
        <v>4</v>
      </c>
      <c r="B1349" s="18">
        <f>IF($A1349&gt;40,0,(B1343-MIN(MAX(C1348,0),B1343))+MIN(MAX(0,D1348-(B1343-MIN(MAX(C1348,0),B1343))),MAX(0,1*B1343-(C1348-MIN(MAX(C1348,0),B1343)))))</f>
        <v>29811</v>
      </c>
      <c r="C1349" s="18">
        <f>IF($A1349&gt;40,C1348,(C1348-B1343+B1349)*(1+$C$7))</f>
        <v>30189</v>
      </c>
      <c r="D1349" s="18">
        <f t="shared" si="156"/>
        <v>963071.1769030001</v>
      </c>
      <c r="E1349" s="18">
        <f>IF($A1349&gt;40,0,(E1343-MIN(MAX(F1348,0),E1343))+MIN(MAX(0,G1348-(E1343-MIN(MAX(F1348,0),E1343))),MAX(0,1*E1343-(F1348-MIN(MAX(F1348,0),E1343)))))</f>
        <v>74527.5</v>
      </c>
      <c r="F1349" s="18">
        <f>IF($A1349&gt;40,F1348,(F1348-E1343+E1349)*(1+$C$7))</f>
        <v>75472.5</v>
      </c>
      <c r="G1349" s="18">
        <f t="shared" si="157"/>
        <v>719414.72725750005</v>
      </c>
      <c r="H1349" s="18">
        <f>IF($A1349&gt;40,0,(H1343-MIN(MAX(I1348,0),H1343))+MIN(MAX(0,J1348-(H1343-MIN(MAX(I1348,0),H1343))),MAX(0,1*H1343-(I1348-MIN(MAX(I1348,0),H1343)))))</f>
        <v>40999.752170370353</v>
      </c>
      <c r="I1349" s="18">
        <f>IF($A1349&gt;40,I1348,(I1348-H1343+H1349)*(1+$C$7))</f>
        <v>41519.624241766811</v>
      </c>
      <c r="J1349" s="18">
        <f t="shared" si="158"/>
        <v>902104.60684953409</v>
      </c>
      <c r="K1349" s="18">
        <f>IF($A1349&gt;40,0,(K1343-MIN(MAX(L1348,0),K1343))+MIN(MAX(0,M1348-(K1343-MIN(MAX(L1348,0),K1343))),MAX(0,1*K1343-(L1348-MIN(MAX(L1348,0),K1343)))))</f>
        <v>40811.148255626918</v>
      </c>
      <c r="L1349" s="18">
        <f>IF($A1349&gt;40,L1348,(L1348-K1343+K1349)*(1+$C$7))</f>
        <v>41328.628851401198</v>
      </c>
      <c r="M1349" s="18">
        <f t="shared" si="159"/>
        <v>903132.29372698686</v>
      </c>
      <c r="N1349" s="18">
        <f>IF($A1349&gt;40,0,(N1343-MIN(MAX(O1348,0),N1343))+MIN(MAX(0,P1348-(N1343-MIN(MAX(O1348,0),N1343))),MAX(0,1*N1343-(O1348-MIN(MAX(O1348,0),N1343)))))</f>
        <v>40811.174599434162</v>
      </c>
      <c r="O1349" s="18">
        <f>IF($A1349&gt;40,O1348,(O1348-N1343+N1349)*(1+$C$7))</f>
        <v>41328.655529244832</v>
      </c>
      <c r="P1349" s="18">
        <f t="shared" si="160"/>
        <v>903132.1501817957</v>
      </c>
      <c r="Q1349" s="18">
        <f>IF($A1349&gt;40,0,(Q1343-MIN(MAX(R1348,0),Q1343))+MIN(MAX(0,S1348-(Q1343-MIN(MAX(R1348,0),Q1343))),MAX(0,1*Q1343-(R1348-MIN(MAX(R1348,0),Q1343)))))</f>
        <v>40811.175219784927</v>
      </c>
      <c r="R1349" s="18">
        <f>IF($A1349&gt;40,R1348,(R1348-Q1343+Q1349)*(1+$C$7))</f>
        <v>41328.656157461577</v>
      </c>
      <c r="S1349" s="18">
        <f t="shared" si="161"/>
        <v>903132.14680155658</v>
      </c>
    </row>
    <row r="1350" spans="1:19">
      <c r="A1350" s="10">
        <f>5</f>
        <v>5</v>
      </c>
      <c r="B1350" s="18">
        <f>IF($A1350&gt;40,0,(B1343-MIN(MAX(C1349,0),B1343))+MIN(MAX(0,D1349-(B1343-MIN(MAX(C1349,0),B1343))),MAX(0,1*B1343-(C1349-MIN(MAX(C1349,0),B1343)))))</f>
        <v>29811</v>
      </c>
      <c r="C1350" s="18">
        <f>IF($A1350&gt;40,C1349,(C1349-B1343+B1350)*(1+$C$7))</f>
        <v>30189</v>
      </c>
      <c r="D1350" s="18">
        <f t="shared" si="156"/>
        <v>961257.98221009015</v>
      </c>
      <c r="E1350" s="18">
        <f>IF($A1350&gt;40,0,(E1343-MIN(MAX(F1349,0),E1343))+MIN(MAX(0,G1349-(E1343-MIN(MAX(F1349,0),E1343))),MAX(0,1*E1343-(F1349-MIN(MAX(F1349,0),E1343)))))</f>
        <v>74527.5</v>
      </c>
      <c r="F1350" s="18">
        <f>IF($A1350&gt;40,F1349,(F1349-E1343+E1350)*(1+$C$7))</f>
        <v>75472.5</v>
      </c>
      <c r="G1350" s="18">
        <f t="shared" si="157"/>
        <v>664233.84407522506</v>
      </c>
      <c r="H1350" s="18">
        <f>IF($A1350&gt;40,0,(H1343-MIN(MAX(I1349,0),H1343))+MIN(MAX(0,J1349-(H1343-MIN(MAX(I1349,0),H1343))),MAX(0,1*H1343-(I1349-MIN(MAX(I1349,0),H1343)))))</f>
        <v>40999.752170370353</v>
      </c>
      <c r="I1350" s="18">
        <f>IF($A1350&gt;40,I1349,(I1349-H1343+H1350)*(1+$C$7))</f>
        <v>41519.624241766811</v>
      </c>
      <c r="J1350" s="18">
        <f t="shared" si="158"/>
        <v>886938.00031953875</v>
      </c>
      <c r="K1350" s="18">
        <f>IF($A1350&gt;40,0,(K1343-MIN(MAX(L1349,0),K1343))+MIN(MAX(0,M1349-(K1343-MIN(MAX(L1349,0),K1343))),MAX(0,1*K1343-(L1349-MIN(MAX(L1349,0),K1343)))))</f>
        <v>40811.148255626918</v>
      </c>
      <c r="L1350" s="18">
        <f>IF($A1350&gt;40,L1349,(L1349-K1343+K1350)*(1+$C$7))</f>
        <v>41328.628851401198</v>
      </c>
      <c r="M1350" s="18">
        <f t="shared" si="159"/>
        <v>888190.77983550075</v>
      </c>
      <c r="N1350" s="18">
        <f>IF($A1350&gt;40,0,(N1343-MIN(MAX(O1349,0),N1343))+MIN(MAX(0,P1349-(N1343-MIN(MAX(O1349,0),N1343))),MAX(0,1*N1343-(O1349-MIN(MAX(O1349,0),N1343)))))</f>
        <v>40811.174599434162</v>
      </c>
      <c r="O1350" s="18">
        <f>IF($A1350&gt;40,O1349,(O1349-N1343+N1350)*(1+$C$7))</f>
        <v>41328.655529244832</v>
      </c>
      <c r="P1350" s="18">
        <f t="shared" si="160"/>
        <v>888190.60484983248</v>
      </c>
      <c r="Q1350" s="18">
        <f>IF($A1350&gt;40,0,(Q1343-MIN(MAX(R1349,0),Q1343))+MIN(MAX(0,S1349-(Q1343-MIN(MAX(R1349,0),Q1343))),MAX(0,1*Q1343-(R1349-MIN(MAX(R1349,0),Q1343)))))</f>
        <v>40811.175219784927</v>
      </c>
      <c r="R1350" s="18">
        <f>IF($A1350&gt;40,R1349,(R1349-Q1343+Q1350)*(1+$C$7))</f>
        <v>41328.656157461577</v>
      </c>
      <c r="S1350" s="18">
        <f t="shared" si="161"/>
        <v>888190.60072922474</v>
      </c>
    </row>
    <row r="1351" spans="1:19">
      <c r="A1351" s="10">
        <f>6</f>
        <v>6</v>
      </c>
      <c r="B1351" s="18">
        <f>IF($A1351&gt;40,0,(B1343-MIN(MAX(C1350,0),B1343))+MIN(MAX(0,D1350-(B1343-MIN(MAX(C1350,0),B1343))),MAX(0,1*B1343-(C1350-MIN(MAX(C1350,0),B1343)))))</f>
        <v>29811</v>
      </c>
      <c r="C1351" s="18">
        <f>IF($A1351&gt;40,C1350,(C1350-B1343+B1351)*(1+$C$7))</f>
        <v>30189</v>
      </c>
      <c r="D1351" s="18">
        <f t="shared" si="156"/>
        <v>959390.39167639287</v>
      </c>
      <c r="E1351" s="18">
        <f>IF($A1351&gt;40,0,(E1343-MIN(MAX(F1350,0),E1343))+MIN(MAX(0,G1350-(E1343-MIN(MAX(F1350,0),E1343))),MAX(0,1*E1343-(F1350-MIN(MAX(F1350,0),E1343)))))</f>
        <v>74527.5</v>
      </c>
      <c r="F1351" s="18">
        <f>IF($A1351&gt;40,F1350,(F1350-E1343+E1351)*(1+$C$7))</f>
        <v>75472.5</v>
      </c>
      <c r="G1351" s="18">
        <f t="shared" si="157"/>
        <v>607397.53439748182</v>
      </c>
      <c r="H1351" s="18">
        <f>IF($A1351&gt;40,0,(H1343-MIN(MAX(I1350,0),H1343))+MIN(MAX(0,J1350-(H1343-MIN(MAX(I1350,0),H1343))),MAX(0,1*H1343-(I1350-MIN(MAX(I1350,0),H1343)))))</f>
        <v>40999.752170370353</v>
      </c>
      <c r="I1351" s="18">
        <f>IF($A1351&gt;40,I1350,(I1350-H1343+H1351)*(1+$C$7))</f>
        <v>41519.624241766811</v>
      </c>
      <c r="J1351" s="18">
        <f t="shared" si="158"/>
        <v>871316.39559364354</v>
      </c>
      <c r="K1351" s="18">
        <f>IF($A1351&gt;40,0,(K1343-MIN(MAX(L1350,0),K1343))+MIN(MAX(0,M1350-(K1343-MIN(MAX(L1350,0),K1343))),MAX(0,1*K1343-(L1350-MIN(MAX(L1350,0),K1343)))))</f>
        <v>40811.148255626918</v>
      </c>
      <c r="L1351" s="18">
        <f>IF($A1351&gt;40,L1350,(L1350-K1343+K1351)*(1+$C$7))</f>
        <v>41328.628851401198</v>
      </c>
      <c r="M1351" s="18">
        <f t="shared" si="159"/>
        <v>872801.02052727004</v>
      </c>
      <c r="N1351" s="18">
        <f>IF($A1351&gt;40,0,(N1343-MIN(MAX(O1350,0),N1343))+MIN(MAX(0,P1350-(N1343-MIN(MAX(O1350,0),N1343))),MAX(0,1*N1343-(O1350-MIN(MAX(O1350,0),N1343)))))</f>
        <v>40811.174599434162</v>
      </c>
      <c r="O1351" s="18">
        <f>IF($A1351&gt;40,O1350,(O1350-N1343+N1351)*(1+$C$7))</f>
        <v>41328.655529244832</v>
      </c>
      <c r="P1351" s="18">
        <f t="shared" si="160"/>
        <v>872800.81315791036</v>
      </c>
      <c r="Q1351" s="18">
        <f>IF($A1351&gt;40,0,(Q1343-MIN(MAX(R1350,0),Q1343))+MIN(MAX(0,S1350-(Q1343-MIN(MAX(R1350,0),Q1343))),MAX(0,1*Q1343-(R1350-MIN(MAX(R1350,0),Q1343)))))</f>
        <v>40811.175219784927</v>
      </c>
      <c r="R1351" s="18">
        <f>IF($A1351&gt;40,R1350,(R1350-Q1343+Q1351)*(1+$C$7))</f>
        <v>41328.656157461577</v>
      </c>
      <c r="S1351" s="18">
        <f t="shared" si="161"/>
        <v>872800.80827472301</v>
      </c>
    </row>
    <row r="1352" spans="1:19">
      <c r="A1352" s="10">
        <f>7</f>
        <v>7</v>
      </c>
      <c r="B1352" s="18">
        <f>IF($A1352&gt;40,0,(B1343-MIN(MAX(C1351,0),B1343))+MIN(MAX(0,D1351-(B1343-MIN(MAX(C1351,0),B1343))),MAX(0,1*B1343-(C1351-MIN(MAX(C1351,0),B1343)))))</f>
        <v>29811</v>
      </c>
      <c r="C1352" s="18">
        <f>IF($A1352&gt;40,C1351,(C1351-B1343+B1352)*(1+$C$7))</f>
        <v>30189</v>
      </c>
      <c r="D1352" s="18">
        <f t="shared" si="156"/>
        <v>957466.77342668467</v>
      </c>
      <c r="E1352" s="18">
        <f>IF($A1352&gt;40,0,(E1343-MIN(MAX(F1351,0),E1343))+MIN(MAX(0,G1351-(E1343-MIN(MAX(F1351,0),E1343))),MAX(0,1*E1343-(F1351-MIN(MAX(F1351,0),E1343)))))</f>
        <v>74527.5</v>
      </c>
      <c r="F1352" s="18">
        <f>IF($A1352&gt;40,F1351,(F1351-E1343+E1352)*(1+$C$7))</f>
        <v>75472.5</v>
      </c>
      <c r="G1352" s="18">
        <f t="shared" si="157"/>
        <v>548856.13542940631</v>
      </c>
      <c r="H1352" s="18">
        <f>IF($A1352&gt;40,0,(H1343-MIN(MAX(I1351,0),H1343))+MIN(MAX(0,J1351-(H1343-MIN(MAX(I1351,0),H1343))),MAX(0,1*H1343-(I1351-MIN(MAX(I1351,0),H1343)))))</f>
        <v>40999.752170370353</v>
      </c>
      <c r="I1352" s="18">
        <f>IF($A1352&gt;40,I1351,(I1351-H1343+H1352)*(1+$C$7))</f>
        <v>41519.624241766811</v>
      </c>
      <c r="J1352" s="18">
        <f t="shared" si="158"/>
        <v>855226.14272597141</v>
      </c>
      <c r="K1352" s="18">
        <f>IF($A1352&gt;40,0,(K1343-MIN(MAX(L1351,0),K1343))+MIN(MAX(0,M1351-(K1343-MIN(MAX(L1351,0),K1343))),MAX(0,1*K1343-(L1351-MIN(MAX(L1351,0),K1343)))))</f>
        <v>40811.148255626918</v>
      </c>
      <c r="L1352" s="18">
        <f>IF($A1352&gt;40,L1351,(L1351-K1343+K1352)*(1+$C$7))</f>
        <v>41328.628851401198</v>
      </c>
      <c r="M1352" s="18">
        <f t="shared" si="159"/>
        <v>856949.56843979249</v>
      </c>
      <c r="N1352" s="18">
        <f>IF($A1352&gt;40,0,(N1343-MIN(MAX(O1351,0),N1343))+MIN(MAX(0,P1351-(N1343-MIN(MAX(O1351,0),N1343))),MAX(0,1*N1343-(O1351-MIN(MAX(O1351,0),N1343)))))</f>
        <v>40811.174599434162</v>
      </c>
      <c r="O1352" s="18">
        <f>IF($A1352&gt;40,O1351,(O1351-N1343+N1352)*(1+$C$7))</f>
        <v>41328.655529244832</v>
      </c>
      <c r="P1352" s="18">
        <f t="shared" si="160"/>
        <v>856949.32771523052</v>
      </c>
      <c r="Q1352" s="18">
        <f>IF($A1352&gt;40,0,(Q1343-MIN(MAX(R1351,0),Q1343))+MIN(MAX(0,S1351-(Q1343-MIN(MAX(R1351,0),Q1343))),MAX(0,1*Q1343-(R1351-MIN(MAX(R1351,0),Q1343)))))</f>
        <v>40811.175219784927</v>
      </c>
      <c r="R1352" s="18">
        <f>IF($A1352&gt;40,R1351,(R1351-Q1343+Q1352)*(1+$C$7))</f>
        <v>41328.656157461577</v>
      </c>
      <c r="S1352" s="18">
        <f t="shared" si="161"/>
        <v>856949.3220465862</v>
      </c>
    </row>
    <row r="1353" spans="1:19">
      <c r="A1353" s="10">
        <f>8</f>
        <v>8</v>
      </c>
      <c r="B1353" s="18">
        <f>IF($A1353&gt;40,0,(B1343-MIN(MAX(C1352,0),B1343))+MIN(MAX(0,D1352-(B1343-MIN(MAX(C1352,0),B1343))),MAX(0,1*B1343-(C1352-MIN(MAX(C1352,0),B1343)))))</f>
        <v>29811</v>
      </c>
      <c r="C1353" s="18">
        <f>IF($A1353&gt;40,C1352,(C1352-B1343+B1353)*(1+$C$7))</f>
        <v>30189</v>
      </c>
      <c r="D1353" s="18">
        <f t="shared" si="156"/>
        <v>955485.44662948523</v>
      </c>
      <c r="E1353" s="18">
        <f>IF($A1353&gt;40,0,(E1343-MIN(MAX(F1352,0),E1343))+MIN(MAX(0,G1352-(E1343-MIN(MAX(F1352,0),E1343))),MAX(0,1*E1343-(F1352-MIN(MAX(F1352,0),E1343)))))</f>
        <v>74527.5</v>
      </c>
      <c r="F1353" s="18">
        <f>IF($A1353&gt;40,F1352,(F1352-E1343+E1353)*(1+$C$7))</f>
        <v>75472.5</v>
      </c>
      <c r="G1353" s="18">
        <f t="shared" si="157"/>
        <v>488558.4944922885</v>
      </c>
      <c r="H1353" s="18">
        <f>IF($A1353&gt;40,0,(H1343-MIN(MAX(I1352,0),H1343))+MIN(MAX(0,J1352-(H1343-MIN(MAX(I1352,0),H1343))),MAX(0,1*H1343-(I1352-MIN(MAX(I1352,0),H1343)))))</f>
        <v>40999.752170370353</v>
      </c>
      <c r="I1353" s="18">
        <f>IF($A1353&gt;40,I1352,(I1352-H1343+H1353)*(1+$C$7))</f>
        <v>41519.624241766811</v>
      </c>
      <c r="J1353" s="18">
        <f t="shared" si="158"/>
        <v>838653.18227226916</v>
      </c>
      <c r="K1353" s="18">
        <f>IF($A1353&gt;40,0,(K1343-MIN(MAX(L1352,0),K1343))+MIN(MAX(0,M1352-(K1343-MIN(MAX(L1352,0),K1343))),MAX(0,1*K1343-(L1352-MIN(MAX(L1352,0),K1343)))))</f>
        <v>40811.148255626918</v>
      </c>
      <c r="L1353" s="18">
        <f>IF($A1353&gt;40,L1352,(L1352-K1343+K1353)*(1+$C$7))</f>
        <v>41328.628851401198</v>
      </c>
      <c r="M1353" s="18">
        <f t="shared" si="159"/>
        <v>840622.57278969057</v>
      </c>
      <c r="N1353" s="18">
        <f>IF($A1353&gt;40,0,(N1343-MIN(MAX(O1352,0),N1343))+MIN(MAX(0,P1352-(N1343-MIN(MAX(O1352,0),N1343))),MAX(0,1*N1343-(O1352-MIN(MAX(O1352,0),N1343)))))</f>
        <v>40811.174599434162</v>
      </c>
      <c r="O1353" s="18">
        <f>IF($A1353&gt;40,O1352,(O1352-N1343+N1353)*(1+$C$7))</f>
        <v>41328.655529244832</v>
      </c>
      <c r="P1353" s="18">
        <f t="shared" si="160"/>
        <v>840622.29770927026</v>
      </c>
      <c r="Q1353" s="18">
        <f>IF($A1353&gt;40,0,(Q1343-MIN(MAX(R1352,0),Q1343))+MIN(MAX(0,S1352-(Q1343-MIN(MAX(R1352,0),Q1343))),MAX(0,1*Q1343-(R1352-MIN(MAX(R1352,0),Q1343)))))</f>
        <v>40811.175219784927</v>
      </c>
      <c r="R1353" s="18">
        <f>IF($A1353&gt;40,R1352,(R1352-Q1343+Q1353)*(1+$C$7))</f>
        <v>41328.656157461577</v>
      </c>
      <c r="S1353" s="18">
        <f t="shared" si="161"/>
        <v>840622.29123160534</v>
      </c>
    </row>
    <row r="1354" spans="1:19">
      <c r="A1354" s="10">
        <f>9</f>
        <v>9</v>
      </c>
      <c r="B1354" s="18">
        <f>IF($A1354&gt;40,0,(B1343-MIN(MAX(C1353,0),B1343))+MIN(MAX(0,D1353-(B1343-MIN(MAX(C1353,0),B1343))),MAX(0,1*B1343-(C1353-MIN(MAX(C1353,0),B1343)))))</f>
        <v>29811</v>
      </c>
      <c r="C1354" s="18">
        <f>IF($A1354&gt;40,C1353,(C1353-B1343+B1354)*(1+$C$7))</f>
        <v>30189</v>
      </c>
      <c r="D1354" s="18">
        <f t="shared" si="156"/>
        <v>953444.68002836977</v>
      </c>
      <c r="E1354" s="18">
        <f>IF($A1354&gt;40,0,(E1343-MIN(MAX(F1353,0),E1343))+MIN(MAX(0,G1353-(E1343-MIN(MAX(F1353,0),E1343))),MAX(0,1*E1343-(F1353-MIN(MAX(F1353,0),E1343)))))</f>
        <v>74527.5</v>
      </c>
      <c r="F1354" s="18">
        <f>IF($A1354&gt;40,F1353,(F1353-E1343+E1354)*(1+$C$7))</f>
        <v>75472.5</v>
      </c>
      <c r="G1354" s="18">
        <f t="shared" si="157"/>
        <v>426451.92432705715</v>
      </c>
      <c r="H1354" s="18">
        <f>IF($A1354&gt;40,0,(H1343-MIN(MAX(I1353,0),H1343))+MIN(MAX(0,J1353-(H1343-MIN(MAX(I1353,0),H1343))),MAX(0,1*H1343-(I1353-MIN(MAX(I1353,0),H1343)))))</f>
        <v>40999.752170370353</v>
      </c>
      <c r="I1354" s="18">
        <f>IF($A1354&gt;40,I1353,(I1353-H1343+H1354)*(1+$C$7))</f>
        <v>41519.624241766811</v>
      </c>
      <c r="J1354" s="18">
        <f t="shared" si="158"/>
        <v>821583.03300495585</v>
      </c>
      <c r="K1354" s="18">
        <f>IF($A1354&gt;40,0,(K1343-MIN(MAX(L1353,0),K1343))+MIN(MAX(0,M1353-(K1343-MIN(MAX(L1353,0),K1343))),MAX(0,1*K1343-(L1353-MIN(MAX(L1353,0),K1343)))))</f>
        <v>40811.148255626918</v>
      </c>
      <c r="L1354" s="18">
        <f>IF($A1354&gt;40,L1353,(L1353-K1343+K1354)*(1+$C$7))</f>
        <v>41328.628851401198</v>
      </c>
      <c r="M1354" s="18">
        <f t="shared" si="159"/>
        <v>823805.76727008563</v>
      </c>
      <c r="N1354" s="18">
        <f>IF($A1354&gt;40,0,(N1343-MIN(MAX(O1353,0),N1343))+MIN(MAX(0,P1353-(N1343-MIN(MAX(O1353,0),N1343))),MAX(0,1*N1343-(O1353-MIN(MAX(O1353,0),N1343)))))</f>
        <v>40811.174599434162</v>
      </c>
      <c r="O1354" s="18">
        <f>IF($A1354&gt;40,O1353,(O1353-N1343+N1354)*(1+$C$7))</f>
        <v>41328.655529244832</v>
      </c>
      <c r="P1354" s="18">
        <f t="shared" si="160"/>
        <v>823805.45680313127</v>
      </c>
      <c r="Q1354" s="18">
        <f>IF($A1354&gt;40,0,(Q1343-MIN(MAX(R1353,0),Q1343))+MIN(MAX(0,S1353-(Q1343-MIN(MAX(R1353,0),Q1343))),MAX(0,1*Q1343-(R1353-MIN(MAX(R1353,0),Q1343)))))</f>
        <v>40811.175219784927</v>
      </c>
      <c r="R1354" s="18">
        <f>IF($A1354&gt;40,R1353,(R1353-Q1343+Q1354)*(1+$C$7))</f>
        <v>41328.656157461577</v>
      </c>
      <c r="S1354" s="18">
        <f t="shared" si="161"/>
        <v>823805.44949217502</v>
      </c>
    </row>
    <row r="1355" spans="1:19">
      <c r="A1355" s="10">
        <f>10</f>
        <v>10</v>
      </c>
      <c r="B1355" s="18">
        <f>IF($A1355&gt;40,0,(B1343-MIN(MAX(C1354,0),B1343))+MIN(MAX(0,D1354-(B1343-MIN(MAX(C1354,0),B1343))),MAX(0,1*B1343-(C1354-MIN(MAX(C1354,0),B1343)))))</f>
        <v>29811</v>
      </c>
      <c r="C1355" s="18">
        <f>IF($A1355&gt;40,C1354,(C1354-B1343+B1355)*(1+$C$7))</f>
        <v>30189</v>
      </c>
      <c r="D1355" s="18">
        <f t="shared" si="156"/>
        <v>951342.69042922091</v>
      </c>
      <c r="E1355" s="18">
        <f>IF($A1355&gt;40,0,(E1343-MIN(MAX(F1354,0),E1343))+MIN(MAX(0,G1354-(E1343-MIN(MAX(F1354,0),E1343))),MAX(0,1*E1343-(F1354-MIN(MAX(F1354,0),E1343)))))</f>
        <v>74527.5</v>
      </c>
      <c r="F1355" s="18">
        <f>IF($A1355&gt;40,F1354,(F1354-E1343+E1355)*(1+$C$7))</f>
        <v>75472.5</v>
      </c>
      <c r="G1355" s="18">
        <f t="shared" si="157"/>
        <v>362482.15705686889</v>
      </c>
      <c r="H1355" s="18">
        <f>IF($A1355&gt;40,0,(H1343-MIN(MAX(I1354,0),H1343))+MIN(MAX(0,J1354-(H1343-MIN(MAX(I1354,0),H1343))),MAX(0,1*H1343-(I1354-MIN(MAX(I1354,0),H1343)))))</f>
        <v>40999.752170370353</v>
      </c>
      <c r="I1355" s="18">
        <f>IF($A1355&gt;40,I1354,(I1354-H1343+H1355)*(1+$C$7))</f>
        <v>41519.624241766811</v>
      </c>
      <c r="J1355" s="18">
        <f t="shared" si="158"/>
        <v>804000.77925962314</v>
      </c>
      <c r="K1355" s="18">
        <f>IF($A1355&gt;40,0,(K1343-MIN(MAX(L1354,0),K1343))+MIN(MAX(0,M1354-(K1343-MIN(MAX(L1354,0),K1343))),MAX(0,1*K1343-(L1354-MIN(MAX(L1354,0),K1343)))))</f>
        <v>40811.148255626918</v>
      </c>
      <c r="L1355" s="18">
        <f>IF($A1355&gt;40,L1354,(L1354-K1343+K1355)*(1+$C$7))</f>
        <v>41328.628851401198</v>
      </c>
      <c r="M1355" s="18">
        <f t="shared" si="159"/>
        <v>806484.45758489252</v>
      </c>
      <c r="N1355" s="18">
        <f>IF($A1355&gt;40,0,(N1343-MIN(MAX(O1354,0),N1343))+MIN(MAX(0,P1354-(N1343-MIN(MAX(O1354,0),N1343))),MAX(0,1*N1343-(O1354-MIN(MAX(O1354,0),N1343)))))</f>
        <v>40811.174599434162</v>
      </c>
      <c r="O1355" s="18">
        <f>IF($A1355&gt;40,O1354,(O1354-N1343+N1355)*(1+$C$7))</f>
        <v>41328.655529244832</v>
      </c>
      <c r="P1355" s="18">
        <f t="shared" si="160"/>
        <v>806484.11066980811</v>
      </c>
      <c r="Q1355" s="18">
        <f>IF($A1355&gt;40,0,(Q1343-MIN(MAX(R1354,0),Q1343))+MIN(MAX(0,S1354-(Q1343-MIN(MAX(R1354,0),Q1343))),MAX(0,1*Q1343-(R1354-MIN(MAX(R1354,0),Q1343)))))</f>
        <v>40811.175219784927</v>
      </c>
      <c r="R1355" s="18">
        <f>IF($A1355&gt;40,R1354,(R1354-Q1343+Q1355)*(1+$C$7))</f>
        <v>41328.656157461577</v>
      </c>
      <c r="S1355" s="18">
        <f t="shared" si="161"/>
        <v>806484.10250056174</v>
      </c>
    </row>
    <row r="1356" spans="1:19">
      <c r="A1356" s="10">
        <f>11</f>
        <v>11</v>
      </c>
      <c r="B1356" s="18">
        <f>IF($A1356&gt;40,0,(B1343-MIN(MAX(C1355,0),B1343))+MIN(MAX(0,D1355-(B1343-MIN(MAX(C1355,0),B1343))),MAX(0,1*B1343-(C1355-MIN(MAX(C1355,0),B1343)))))</f>
        <v>29811</v>
      </c>
      <c r="C1356" s="18">
        <f>IF($A1356&gt;40,C1355,(C1355-B1343+B1356)*(1+$C$7))</f>
        <v>30189</v>
      </c>
      <c r="D1356" s="18">
        <f t="shared" si="156"/>
        <v>949177.64114209753</v>
      </c>
      <c r="E1356" s="18">
        <f>IF($A1356&gt;40,0,(E1343-MIN(MAX(F1355,0),E1343))+MIN(MAX(0,G1355-(E1343-MIN(MAX(F1355,0),E1343))),MAX(0,1*E1343-(F1355-MIN(MAX(F1355,0),E1343)))))</f>
        <v>74527.5</v>
      </c>
      <c r="F1356" s="18">
        <f>IF($A1356&gt;40,F1355,(F1355-E1343+E1356)*(1+$C$7))</f>
        <v>75472.5</v>
      </c>
      <c r="G1356" s="18">
        <f t="shared" si="157"/>
        <v>296593.29676857498</v>
      </c>
      <c r="H1356" s="18">
        <f>IF($A1356&gt;40,0,(H1343-MIN(MAX(I1355,0),H1343))+MIN(MAX(0,J1355-(H1343-MIN(MAX(I1355,0),H1343))),MAX(0,1*H1343-(I1355-MIN(MAX(I1355,0),H1343)))))</f>
        <v>40999.752170370353</v>
      </c>
      <c r="I1356" s="18">
        <f>IF($A1356&gt;40,I1355,(I1355-H1343+H1356)*(1+$C$7))</f>
        <v>41519.624241766811</v>
      </c>
      <c r="J1356" s="18">
        <f t="shared" si="158"/>
        <v>785891.05790193041</v>
      </c>
      <c r="K1356" s="18">
        <f>IF($A1356&gt;40,0,(K1343-MIN(MAX(L1355,0),K1343))+MIN(MAX(0,M1355-(K1343-MIN(MAX(L1355,0),K1343))),MAX(0,1*K1343-(L1355-MIN(MAX(L1355,0),K1343)))))</f>
        <v>40811.148255626918</v>
      </c>
      <c r="L1356" s="18">
        <f>IF($A1356&gt;40,L1355,(L1355-K1343+K1356)*(1+$C$7))</f>
        <v>41328.628851401198</v>
      </c>
      <c r="M1356" s="18">
        <f t="shared" si="159"/>
        <v>788643.50860914355</v>
      </c>
      <c r="N1356" s="18">
        <f>IF($A1356&gt;40,0,(N1343-MIN(MAX(O1355,0),N1343))+MIN(MAX(0,P1355-(N1343-MIN(MAX(O1355,0),N1343))),MAX(0,1*N1343-(O1355-MIN(MAX(O1355,0),N1343)))))</f>
        <v>40811.174599434162</v>
      </c>
      <c r="O1356" s="18">
        <f>IF($A1356&gt;40,O1355,(O1355-N1343+N1356)*(1+$C$7))</f>
        <v>41328.655529244832</v>
      </c>
      <c r="P1356" s="18">
        <f t="shared" si="160"/>
        <v>788643.12415248516</v>
      </c>
      <c r="Q1356" s="18">
        <f>IF($A1356&gt;40,0,(Q1343-MIN(MAX(R1355,0),Q1343))+MIN(MAX(0,S1355-(Q1343-MIN(MAX(R1355,0),Q1343))),MAX(0,1*Q1343-(R1355-MIN(MAX(R1355,0),Q1343)))))</f>
        <v>40811.175219784927</v>
      </c>
      <c r="R1356" s="18">
        <f>IF($A1356&gt;40,R1355,(R1355-Q1343+Q1356)*(1+$C$7))</f>
        <v>41328.656157461577</v>
      </c>
      <c r="S1356" s="18">
        <f t="shared" si="161"/>
        <v>788643.11509920016</v>
      </c>
    </row>
    <row r="1357" spans="1:19">
      <c r="A1357" s="10">
        <f>12</f>
        <v>12</v>
      </c>
      <c r="B1357" s="18">
        <f>IF($A1357&gt;40,0,(B1343-MIN(MAX(C1356,0),B1343))+MIN(MAX(0,D1356-(B1343-MIN(MAX(C1356,0),B1343))),MAX(0,1*B1343-(C1356-MIN(MAX(C1356,0),B1343)))))</f>
        <v>29811</v>
      </c>
      <c r="C1357" s="18">
        <f>IF($A1357&gt;40,C1356,(C1356-B1343+B1357)*(1+$C$7))</f>
        <v>30189</v>
      </c>
      <c r="D1357" s="18">
        <f t="shared" si="156"/>
        <v>946947.6403763605</v>
      </c>
      <c r="E1357" s="18">
        <f>IF($A1357&gt;40,0,(E1343-MIN(MAX(F1356,0),E1343))+MIN(MAX(0,G1356-(E1343-MIN(MAX(F1356,0),E1343))),MAX(0,1*E1343-(F1356-MIN(MAX(F1356,0),E1343)))))</f>
        <v>74527.5</v>
      </c>
      <c r="F1357" s="18">
        <f>IF($A1357&gt;40,F1356,(F1356-E1343+E1357)*(1+$C$7))</f>
        <v>75472.5</v>
      </c>
      <c r="G1357" s="18">
        <f t="shared" si="157"/>
        <v>228727.77067163223</v>
      </c>
      <c r="H1357" s="18">
        <f>IF($A1357&gt;40,0,(H1343-MIN(MAX(I1356,0),H1343))+MIN(MAX(0,J1356-(H1343-MIN(MAX(I1356,0),H1343))),MAX(0,1*H1343-(I1356-MIN(MAX(I1356,0),H1343)))))</f>
        <v>40999.752170370353</v>
      </c>
      <c r="I1357" s="18">
        <f>IF($A1357&gt;40,I1356,(I1356-H1343+H1357)*(1+$C$7))</f>
        <v>41519.624241766811</v>
      </c>
      <c r="J1357" s="18">
        <f t="shared" si="158"/>
        <v>767238.04490350687</v>
      </c>
      <c r="K1357" s="18">
        <f>IF($A1357&gt;40,0,(K1343-MIN(MAX(L1356,0),K1343))+MIN(MAX(0,M1356-(K1343-MIN(MAX(L1356,0),K1343))),MAX(0,1*K1343-(L1356-MIN(MAX(L1356,0),K1343)))))</f>
        <v>40811.148255626918</v>
      </c>
      <c r="L1357" s="18">
        <f>IF($A1357&gt;40,L1356,(L1356-K1343+K1357)*(1+$C$7))</f>
        <v>41328.628851401198</v>
      </c>
      <c r="M1357" s="18">
        <f t="shared" si="159"/>
        <v>770267.33116412221</v>
      </c>
      <c r="N1357" s="18">
        <f>IF($A1357&gt;40,0,(N1343-MIN(MAX(O1356,0),N1343))+MIN(MAX(0,P1356-(N1343-MIN(MAX(O1356,0),N1343))),MAX(0,1*N1343-(O1356-MIN(MAX(O1356,0),N1343)))))</f>
        <v>40811.174599434162</v>
      </c>
      <c r="O1357" s="18">
        <f>IF($A1357&gt;40,O1356,(O1356-N1343+N1357)*(1+$C$7))</f>
        <v>41328.655529244832</v>
      </c>
      <c r="P1357" s="18">
        <f t="shared" si="160"/>
        <v>770266.90803964261</v>
      </c>
      <c r="Q1357" s="18">
        <f>IF($A1357&gt;40,0,(Q1343-MIN(MAX(R1356,0),Q1343))+MIN(MAX(0,S1356-(Q1343-MIN(MAX(R1356,0),Q1343))),MAX(0,1*Q1343-(R1356-MIN(MAX(R1356,0),Q1343)))))</f>
        <v>40811.175219784927</v>
      </c>
      <c r="R1357" s="18">
        <f>IF($A1357&gt;40,R1356,(R1356-Q1343+Q1357)*(1+$C$7))</f>
        <v>41328.656157461577</v>
      </c>
      <c r="S1357" s="18">
        <f t="shared" si="161"/>
        <v>770266.89807579771</v>
      </c>
    </row>
    <row r="1358" spans="1:19">
      <c r="A1358" s="10">
        <f>13</f>
        <v>13</v>
      </c>
      <c r="B1358" s="18">
        <f>IF($A1358&gt;40,0,(B1343-MIN(MAX(C1357,0),B1343))+MIN(MAX(0,D1357-(B1343-MIN(MAX(C1357,0),B1343))),MAX(0,1*B1343-(C1357-MIN(MAX(C1357,0),B1343)))))</f>
        <v>29811</v>
      </c>
      <c r="C1358" s="18">
        <f>IF($A1358&gt;40,C1357,(C1357-B1343+B1358)*(1+$C$7))</f>
        <v>30189</v>
      </c>
      <c r="D1358" s="18">
        <f t="shared" si="156"/>
        <v>944650.73958765133</v>
      </c>
      <c r="E1358" s="18">
        <f>IF($A1358&gt;40,0,(E1343-MIN(MAX(F1357,0),E1343))+MIN(MAX(0,G1357-(E1343-MIN(MAX(F1357,0),E1343))),MAX(0,1*E1343-(F1357-MIN(MAX(F1357,0),E1343)))))</f>
        <v>74527.5</v>
      </c>
      <c r="F1358" s="18">
        <f>IF($A1358&gt;40,F1357,(F1357-E1343+E1358)*(1+$C$7))</f>
        <v>75472.5</v>
      </c>
      <c r="G1358" s="18">
        <f t="shared" si="157"/>
        <v>158826.27879178119</v>
      </c>
      <c r="H1358" s="18">
        <f>IF($A1358&gt;40,0,(H1343-MIN(MAX(I1357,0),H1343))+MIN(MAX(0,J1357-(H1343-MIN(MAX(I1357,0),H1343))),MAX(0,1*H1343-(I1357-MIN(MAX(I1357,0),H1343)))))</f>
        <v>40999.752170370353</v>
      </c>
      <c r="I1358" s="18">
        <f>IF($A1358&gt;40,I1357,(I1357-H1343+H1358)*(1+$C$7))</f>
        <v>41519.624241766811</v>
      </c>
      <c r="J1358" s="18">
        <f t="shared" si="158"/>
        <v>748025.44151513069</v>
      </c>
      <c r="K1358" s="18">
        <f>IF($A1358&gt;40,0,(K1343-MIN(MAX(L1357,0),K1343))+MIN(MAX(0,M1357-(K1343-MIN(MAX(L1357,0),K1343))),MAX(0,1*K1343-(L1357-MIN(MAX(L1357,0),K1343)))))</f>
        <v>40811.148255626918</v>
      </c>
      <c r="L1358" s="18">
        <f>IF($A1358&gt;40,L1357,(L1357-K1343+K1358)*(1+$C$7))</f>
        <v>41328.628851401198</v>
      </c>
      <c r="M1358" s="18">
        <f t="shared" si="159"/>
        <v>751339.86839575018</v>
      </c>
      <c r="N1358" s="18">
        <f>IF($A1358&gt;40,0,(N1343-MIN(MAX(O1357,0),N1343))+MIN(MAX(0,P1357-(N1343-MIN(MAX(O1357,0),N1343))),MAX(0,1*N1343-(O1357-MIN(MAX(O1357,0),N1343)))))</f>
        <v>40811.174599434162</v>
      </c>
      <c r="O1358" s="18">
        <f>IF($A1358&gt;40,O1357,(O1357-N1343+N1358)*(1+$C$7))</f>
        <v>41328.655529244832</v>
      </c>
      <c r="P1358" s="18">
        <f t="shared" si="160"/>
        <v>751339.40544341481</v>
      </c>
      <c r="Q1358" s="18">
        <f>IF($A1358&gt;40,0,(Q1343-MIN(MAX(R1357,0),Q1343))+MIN(MAX(0,S1357-(Q1343-MIN(MAX(R1357,0),Q1343))),MAX(0,1*Q1343-(R1357-MIN(MAX(R1357,0),Q1343)))))</f>
        <v>40811.175219784927</v>
      </c>
      <c r="R1358" s="18">
        <f>IF($A1358&gt;40,R1357,(R1357-Q1343+Q1358)*(1+$C$7))</f>
        <v>41328.656157461577</v>
      </c>
      <c r="S1358" s="18">
        <f t="shared" si="161"/>
        <v>751339.39454169315</v>
      </c>
    </row>
    <row r="1359" spans="1:19">
      <c r="A1359" s="10">
        <f>14</f>
        <v>14</v>
      </c>
      <c r="B1359" s="18">
        <f>IF($A1359&gt;40,0,(B1343-MIN(MAX(C1358,0),B1343))+MIN(MAX(0,D1358-(B1343-MIN(MAX(C1358,0),B1343))),MAX(0,1*B1343-(C1358-MIN(MAX(C1358,0),B1343)))))</f>
        <v>29811</v>
      </c>
      <c r="C1359" s="18">
        <f>IF($A1359&gt;40,C1358,(C1358-B1343+B1359)*(1+$C$7))</f>
        <v>30189</v>
      </c>
      <c r="D1359" s="18">
        <f t="shared" si="156"/>
        <v>942284.93177528086</v>
      </c>
      <c r="E1359" s="18">
        <f>IF($A1359&gt;40,0,(E1343-MIN(MAX(F1358,0),E1343))+MIN(MAX(0,G1358-(E1343-MIN(MAX(F1358,0),E1343))),MAX(0,1*E1343-(F1358-MIN(MAX(F1358,0),E1343)))))</f>
        <v>74527.5</v>
      </c>
      <c r="F1359" s="18">
        <f>IF($A1359&gt;40,F1358,(F1358-E1343+E1359)*(1+$C$7))</f>
        <v>75472.5</v>
      </c>
      <c r="G1359" s="18">
        <f t="shared" si="157"/>
        <v>86827.742155534637</v>
      </c>
      <c r="H1359" s="18">
        <f>IF($A1359&gt;40,0,(H1343-MIN(MAX(I1358,0),H1343))+MIN(MAX(0,J1358-(H1343-MIN(MAX(I1358,0),H1343))),MAX(0,1*H1343-(I1358-MIN(MAX(I1358,0),H1343)))))</f>
        <v>40999.752170370353</v>
      </c>
      <c r="I1359" s="18">
        <f>IF($A1359&gt;40,I1358,(I1358-H1343+H1359)*(1+$C$7))</f>
        <v>41519.624241766811</v>
      </c>
      <c r="J1359" s="18">
        <f t="shared" si="158"/>
        <v>728236.46002510318</v>
      </c>
      <c r="K1359" s="18">
        <f>IF($A1359&gt;40,0,(K1343-MIN(MAX(L1358,0),K1343))+MIN(MAX(0,M1358-(K1343-MIN(MAX(L1358,0),K1343))),MAX(0,1*K1343-(L1358-MIN(MAX(L1358,0),K1343)))))</f>
        <v>40811.148255626918</v>
      </c>
      <c r="L1359" s="18">
        <f>IF($A1359&gt;40,L1358,(L1358-K1343+K1359)*(1+$C$7))</f>
        <v>41328.628851401198</v>
      </c>
      <c r="M1359" s="18">
        <f t="shared" si="159"/>
        <v>731844.58174432698</v>
      </c>
      <c r="N1359" s="18">
        <f>IF($A1359&gt;40,0,(N1343-MIN(MAX(O1358,0),N1343))+MIN(MAX(0,P1358-(N1343-MIN(MAX(O1358,0),N1343))),MAX(0,1*N1343-(O1358-MIN(MAX(O1358,0),N1343)))))</f>
        <v>40811.174599434162</v>
      </c>
      <c r="O1359" s="18">
        <f>IF($A1359&gt;40,O1358,(O1358-N1343+N1359)*(1+$C$7))</f>
        <v>41328.655529244832</v>
      </c>
      <c r="P1359" s="18">
        <f t="shared" si="160"/>
        <v>731844.07776930009</v>
      </c>
      <c r="Q1359" s="18">
        <f>IF($A1359&gt;40,0,(Q1343-MIN(MAX(R1358,0),Q1343))+MIN(MAX(0,S1358-(Q1343-MIN(MAX(R1358,0),Q1343))),MAX(0,1*Q1343-(R1358-MIN(MAX(R1358,0),Q1343)))))</f>
        <v>40811.175219784927</v>
      </c>
      <c r="R1359" s="18">
        <f>IF($A1359&gt;40,R1358,(R1358-Q1343+Q1359)*(1+$C$7))</f>
        <v>41328.656157461577</v>
      </c>
      <c r="S1359" s="18">
        <f t="shared" si="161"/>
        <v>731844.06590156548</v>
      </c>
    </row>
    <row r="1360" spans="1:19">
      <c r="A1360" s="10">
        <f>15</f>
        <v>15</v>
      </c>
      <c r="B1360" s="18">
        <f>IF($A1360&gt;40,0,(B1343-MIN(MAX(C1359,0),B1343))+MIN(MAX(0,D1359-(B1343-MIN(MAX(C1359,0),B1343))),MAX(0,1*B1343-(C1359-MIN(MAX(C1359,0),B1343)))))</f>
        <v>29811</v>
      </c>
      <c r="C1360" s="18">
        <f>IF($A1360&gt;40,C1359,(C1359-B1343+B1360)*(1+$C$7))</f>
        <v>30189</v>
      </c>
      <c r="D1360" s="18">
        <f t="shared" si="156"/>
        <v>939848.14972853928</v>
      </c>
      <c r="E1360" s="18">
        <f>IF($A1360&gt;40,0,(E1343-MIN(MAX(F1359,0),E1343))+MIN(MAX(0,G1359-(E1343-MIN(MAX(F1359,0),E1343))),MAX(0,1*E1343-(F1359-MIN(MAX(F1359,0),E1343)))))</f>
        <v>74527.5</v>
      </c>
      <c r="F1360" s="18">
        <f>IF($A1360&gt;40,F1359,(F1359-E1343+E1360)*(1+$C$7))</f>
        <v>75472.5</v>
      </c>
      <c r="G1360" s="18">
        <f t="shared" si="157"/>
        <v>12669.249420200676</v>
      </c>
      <c r="H1360" s="18">
        <f>IF($A1360&gt;40,0,(H1343-MIN(MAX(I1359,0),H1343))+MIN(MAX(0,J1359-(H1343-MIN(MAX(I1359,0),H1343))),MAX(0,1*H1343-(I1359-MIN(MAX(I1359,0),H1343)))))</f>
        <v>40999.752170370353</v>
      </c>
      <c r="I1360" s="18">
        <f>IF($A1360&gt;40,I1359,(I1359-H1343+H1360)*(1+$C$7))</f>
        <v>41519.624241766811</v>
      </c>
      <c r="J1360" s="18">
        <f t="shared" si="158"/>
        <v>707853.80909037485</v>
      </c>
      <c r="K1360" s="18">
        <f>IF($A1360&gt;40,0,(K1343-MIN(MAX(L1359,0),K1343))+MIN(MAX(0,M1359-(K1343-MIN(MAX(L1359,0),K1343))),MAX(0,1*K1343-(L1359-MIN(MAX(L1359,0),K1343)))))</f>
        <v>40811.148255626918</v>
      </c>
      <c r="L1360" s="18">
        <f>IF($A1360&gt;40,L1359,(L1359-K1343+K1360)*(1+$C$7))</f>
        <v>41328.628851401198</v>
      </c>
      <c r="M1360" s="18">
        <f t="shared" si="159"/>
        <v>711764.43649336114</v>
      </c>
      <c r="N1360" s="18">
        <f>IF($A1360&gt;40,0,(N1343-MIN(MAX(O1359,0),N1343))+MIN(MAX(0,P1359-(N1343-MIN(MAX(O1359,0),N1343))),MAX(0,1*N1343-(O1359-MIN(MAX(O1359,0),N1343)))))</f>
        <v>40811.174599434162</v>
      </c>
      <c r="O1360" s="18">
        <f>IF($A1360&gt;40,O1359,(O1359-N1343+N1360)*(1+$C$7))</f>
        <v>41328.655529244832</v>
      </c>
      <c r="P1360" s="18">
        <f t="shared" si="160"/>
        <v>711763.89026496198</v>
      </c>
      <c r="Q1360" s="18">
        <f>IF($A1360&gt;40,0,(Q1343-MIN(MAX(R1359,0),Q1343))+MIN(MAX(0,S1359-(Q1343-MIN(MAX(R1359,0),Q1343))),MAX(0,1*Q1343-(R1359-MIN(MAX(R1359,0),Q1343)))))</f>
        <v>40811.175219784927</v>
      </c>
      <c r="R1360" s="18">
        <f>IF($A1360&gt;40,R1359,(R1359-Q1343+Q1360)*(1+$C$7))</f>
        <v>41328.656157461577</v>
      </c>
      <c r="S1360" s="18">
        <f t="shared" si="161"/>
        <v>711763.87740223401</v>
      </c>
    </row>
    <row r="1361" spans="1:19">
      <c r="A1361" s="10">
        <f>16</f>
        <v>16</v>
      </c>
      <c r="B1361" s="18">
        <f>IF($A1361&gt;40,0,(B1343-MIN(MAX(C1360,0),B1343))+MIN(MAX(0,D1360-(B1343-MIN(MAX(C1360,0),B1343))),MAX(0,1*B1343-(C1360-MIN(MAX(C1360,0),B1343)))))</f>
        <v>29811</v>
      </c>
      <c r="C1361" s="18">
        <f>IF($A1361&gt;40,C1360,(C1360-B1343+B1361)*(1+$C$7))</f>
        <v>30189</v>
      </c>
      <c r="D1361" s="18">
        <f t="shared" si="156"/>
        <v>937338.26422039547</v>
      </c>
      <c r="E1361" s="18">
        <f>IF($A1361&gt;40,0,(E1343-MIN(MAX(F1360,0),E1343))+MIN(MAX(0,G1360-(E1343-MIN(MAX(F1360,0),E1343))),MAX(0,1*E1343-(F1360-MIN(MAX(F1360,0),E1343)))))</f>
        <v>12669.249420200676</v>
      </c>
      <c r="F1361" s="18">
        <f>IF($A1361&gt;40,F1360,(F1360-E1343+E1361)*(1+$C$7))</f>
        <v>13224.542441547941</v>
      </c>
      <c r="G1361" s="18">
        <f t="shared" si="157"/>
        <v>0</v>
      </c>
      <c r="H1361" s="18">
        <f>IF($A1361&gt;40,0,(H1343-MIN(MAX(I1360,0),H1343))+MIN(MAX(0,J1360-(H1343-MIN(MAX(I1360,0),H1343))),MAX(0,1*H1343-(I1360-MIN(MAX(I1360,0),H1343)))))</f>
        <v>40999.752170370353</v>
      </c>
      <c r="I1361" s="18">
        <f>IF($A1361&gt;40,I1360,(I1360-H1343+H1361)*(1+$C$7))</f>
        <v>41519.624241766811</v>
      </c>
      <c r="J1361" s="18">
        <f t="shared" si="158"/>
        <v>686859.67862760474</v>
      </c>
      <c r="K1361" s="18">
        <f>IF($A1361&gt;40,0,(K1343-MIN(MAX(L1360,0),K1343))+MIN(MAX(0,M1360-(K1343-MIN(MAX(L1360,0),K1343))),MAX(0,1*K1343-(L1360-MIN(MAX(L1360,0),K1343)))))</f>
        <v>40811.148255626918</v>
      </c>
      <c r="L1361" s="18">
        <f>IF($A1361&gt;40,L1360,(L1360-K1343+K1361)*(1+$C$7))</f>
        <v>41328.628851401198</v>
      </c>
      <c r="M1361" s="18">
        <f t="shared" si="159"/>
        <v>691081.88688486628</v>
      </c>
      <c r="N1361" s="18">
        <f>IF($A1361&gt;40,0,(N1343-MIN(MAX(O1360,0),N1343))+MIN(MAX(0,P1360-(N1343-MIN(MAX(O1360,0),N1343))),MAX(0,1*N1343-(O1360-MIN(MAX(O1360,0),N1343)))))</f>
        <v>40811.174599434162</v>
      </c>
      <c r="O1361" s="18">
        <f>IF($A1361&gt;40,O1360,(O1360-N1343+N1361)*(1+$C$7))</f>
        <v>41328.655529244832</v>
      </c>
      <c r="P1361" s="18">
        <f t="shared" si="160"/>
        <v>691081.29713549372</v>
      </c>
      <c r="Q1361" s="18">
        <f>IF($A1361&gt;40,0,(Q1343-MIN(MAX(R1360,0),Q1343))+MIN(MAX(0,S1360-(Q1343-MIN(MAX(R1360,0),Q1343))),MAX(0,1*Q1343-(R1360-MIN(MAX(R1360,0),Q1343)))))</f>
        <v>40811.175219784927</v>
      </c>
      <c r="R1361" s="18">
        <f>IF($A1361&gt;40,R1360,(R1360-Q1343+Q1361)*(1+$C$7))</f>
        <v>41328.656157461577</v>
      </c>
      <c r="S1361" s="18">
        <f t="shared" si="161"/>
        <v>691081.28324792255</v>
      </c>
    </row>
    <row r="1362" spans="1:19">
      <c r="A1362" s="10">
        <f>17</f>
        <v>17</v>
      </c>
      <c r="B1362" s="18">
        <f>IF($A1362&gt;40,0,(B1343-MIN(MAX(C1361,0),B1343))+MIN(MAX(0,D1361-(B1343-MIN(MAX(C1361,0),B1343))),MAX(0,1*B1343-(C1361-MIN(MAX(C1361,0),B1343)))))</f>
        <v>29811</v>
      </c>
      <c r="C1362" s="18">
        <f>IF($A1362&gt;40,C1361,(C1361-B1343+B1362)*(1+$C$7))</f>
        <v>30189</v>
      </c>
      <c r="D1362" s="18">
        <f t="shared" si="156"/>
        <v>934753.08214700734</v>
      </c>
      <c r="E1362" s="18">
        <f>IF($A1362&gt;40,0,(E1343-MIN(MAX(F1361,0),E1343))+MIN(MAX(0,G1361-(E1343-MIN(MAX(F1361,0),E1343))),MAX(0,1*E1343-(F1361-MIN(MAX(F1361,0),E1343)))))</f>
        <v>61775.457558452057</v>
      </c>
      <c r="F1362" s="18">
        <f>IF($A1362&gt;40,F1361,(F1361-E1343+E1362)*(1+$C$7))</f>
        <v>0</v>
      </c>
      <c r="G1362" s="18">
        <f t="shared" si="157"/>
        <v>-63628.721285205618</v>
      </c>
      <c r="H1362" s="18">
        <f>IF($A1362&gt;40,0,(H1343-MIN(MAX(I1361,0),H1343))+MIN(MAX(0,J1361-(H1343-MIN(MAX(I1361,0),H1343))),MAX(0,1*H1343-(I1361-MIN(MAX(I1361,0),H1343)))))</f>
        <v>40999.752170370353</v>
      </c>
      <c r="I1362" s="18">
        <f>IF($A1362&gt;40,I1361,(I1361-H1343+H1362)*(1+$C$7))</f>
        <v>41519.624241766811</v>
      </c>
      <c r="J1362" s="18">
        <f t="shared" si="158"/>
        <v>665235.72425095143</v>
      </c>
      <c r="K1362" s="18">
        <f>IF($A1362&gt;40,0,(K1343-MIN(MAX(L1361,0),K1343))+MIN(MAX(0,M1361-(K1343-MIN(MAX(L1361,0),K1343))),MAX(0,1*K1343-(L1361-MIN(MAX(L1361,0),K1343)))))</f>
        <v>40811.148255626918</v>
      </c>
      <c r="L1362" s="18">
        <f>IF($A1362&gt;40,L1361,(L1361-K1343+K1362)*(1+$C$7))</f>
        <v>41328.628851401198</v>
      </c>
      <c r="M1362" s="18">
        <f t="shared" si="159"/>
        <v>669778.86078811658</v>
      </c>
      <c r="N1362" s="18">
        <f>IF($A1362&gt;40,0,(N1343-MIN(MAX(O1361,0),N1343))+MIN(MAX(0,P1361-(N1343-MIN(MAX(O1361,0),N1343))),MAX(0,1*N1343-(O1361-MIN(MAX(O1361,0),N1343)))))</f>
        <v>40811.174599434162</v>
      </c>
      <c r="O1362" s="18">
        <f>IF($A1362&gt;40,O1361,(O1361-N1343+N1362)*(1+$C$7))</f>
        <v>41328.655529244832</v>
      </c>
      <c r="P1362" s="18">
        <f t="shared" si="160"/>
        <v>669778.22621214134</v>
      </c>
      <c r="Q1362" s="18">
        <f>IF($A1362&gt;40,0,(Q1343-MIN(MAX(R1361,0),Q1343))+MIN(MAX(0,S1361-(Q1343-MIN(MAX(R1361,0),Q1343))),MAX(0,1*Q1343-(R1361-MIN(MAX(R1361,0),Q1343)))))</f>
        <v>40811.175219784927</v>
      </c>
      <c r="R1362" s="18">
        <f>IF($A1362&gt;40,R1361,(R1361-Q1343+Q1362)*(1+$C$7))</f>
        <v>41328.656157461577</v>
      </c>
      <c r="S1362" s="18">
        <f t="shared" si="161"/>
        <v>669778.21126898169</v>
      </c>
    </row>
    <row r="1363" spans="1:19">
      <c r="A1363" s="10">
        <f>18</f>
        <v>18</v>
      </c>
      <c r="B1363" s="18">
        <f>IF($A1363&gt;40,0,(B1343-MIN(MAX(C1362,0),B1343))+MIN(MAX(0,D1362-(B1343-MIN(MAX(C1362,0),B1343))),MAX(0,1*B1343-(C1362-MIN(MAX(C1362,0),B1343)))))</f>
        <v>29811</v>
      </c>
      <c r="C1363" s="18">
        <f>IF($A1363&gt;40,C1362,(C1362-B1343+B1363)*(1+$C$7))</f>
        <v>30189</v>
      </c>
      <c r="D1363" s="18">
        <f t="shared" si="156"/>
        <v>932090.34461141762</v>
      </c>
      <c r="E1363" s="18">
        <f>IF($A1363&gt;40,0,(E1343-MIN(MAX(F1362,0),E1343))+MIN(MAX(0,G1362-(E1343-MIN(MAX(F1362,0),E1343))),MAX(0,1*E1343-(F1362-MIN(MAX(F1362,0),E1343)))))</f>
        <v>75000</v>
      </c>
      <c r="F1363" s="18">
        <f>IF($A1363&gt;40,F1362,(F1362-E1343+E1363)*(1+$C$7))</f>
        <v>0</v>
      </c>
      <c r="G1363" s="18">
        <f t="shared" si="157"/>
        <v>-142787.5829237618</v>
      </c>
      <c r="H1363" s="18">
        <f>IF($A1363&gt;40,0,(H1343-MIN(MAX(I1362,0),H1343))+MIN(MAX(0,J1362-(H1343-MIN(MAX(I1362,0),H1343))),MAX(0,1*H1343-(I1362-MIN(MAX(I1362,0),H1343)))))</f>
        <v>40999.752170370353</v>
      </c>
      <c r="I1363" s="18">
        <f>IF($A1363&gt;40,I1362,(I1362-H1343+H1363)*(1+$C$7))</f>
        <v>41519.624241766811</v>
      </c>
      <c r="J1363" s="18">
        <f t="shared" si="158"/>
        <v>642963.05124299857</v>
      </c>
      <c r="K1363" s="18">
        <f>IF($A1363&gt;40,0,(K1343-MIN(MAX(L1362,0),K1343))+MIN(MAX(0,M1362-(K1343-MIN(MAX(L1362,0),K1343))),MAX(0,1*K1343-(L1362-MIN(MAX(L1362,0),K1343)))))</f>
        <v>40811.148255626918</v>
      </c>
      <c r="L1363" s="18">
        <f>IF($A1363&gt;40,L1362,(L1362-K1343+K1363)*(1+$C$7))</f>
        <v>41328.628851401198</v>
      </c>
      <c r="M1363" s="18">
        <f t="shared" si="159"/>
        <v>647836.74390846433</v>
      </c>
      <c r="N1363" s="18">
        <f>IF($A1363&gt;40,0,(N1343-MIN(MAX(O1362,0),N1343))+MIN(MAX(0,P1362-(N1343-MIN(MAX(O1362,0),N1343))),MAX(0,1*N1343-(O1362-MIN(MAX(O1362,0),N1343)))))</f>
        <v>40811.174599434162</v>
      </c>
      <c r="O1363" s="18">
        <f>IF($A1363&gt;40,O1362,(O1362-N1343+N1363)*(1+$C$7))</f>
        <v>41328.655529244832</v>
      </c>
      <c r="P1363" s="18">
        <f t="shared" si="160"/>
        <v>647836.06316108839</v>
      </c>
      <c r="Q1363" s="18">
        <f>IF($A1363&gt;40,0,(Q1343-MIN(MAX(R1362,0),Q1343))+MIN(MAX(0,S1362-(Q1343-MIN(MAX(R1362,0),Q1343))),MAX(0,1*Q1343-(R1362-MIN(MAX(R1362,0),Q1343)))))</f>
        <v>40811.175219784927</v>
      </c>
      <c r="R1363" s="18">
        <f>IF($A1363&gt;40,R1362,(R1362-Q1343+Q1363)*(1+$C$7))</f>
        <v>41328.656157461577</v>
      </c>
      <c r="S1363" s="18">
        <f t="shared" si="161"/>
        <v>647836.04713067261</v>
      </c>
    </row>
    <row r="1364" spans="1:19">
      <c r="A1364" s="10">
        <f>19</f>
        <v>19</v>
      </c>
      <c r="B1364" s="18">
        <f>IF($A1364&gt;40,0,(B1343-MIN(MAX(C1363,0),B1343))+MIN(MAX(0,D1363-(B1343-MIN(MAX(C1363,0),B1343))),MAX(0,1*B1343-(C1363-MIN(MAX(C1363,0),B1343)))))</f>
        <v>29811</v>
      </c>
      <c r="C1364" s="18">
        <f>IF($A1364&gt;40,C1363,(C1363-B1343+B1364)*(1+$C$7))</f>
        <v>30189</v>
      </c>
      <c r="D1364" s="18">
        <f t="shared" si="156"/>
        <v>929347.72494976013</v>
      </c>
      <c r="E1364" s="18">
        <f>IF($A1364&gt;40,0,(E1343-MIN(MAX(F1363,0),E1343))+MIN(MAX(0,G1363-(E1343-MIN(MAX(F1363,0),E1343))),MAX(0,1*E1343-(F1363-MIN(MAX(F1363,0),E1343)))))</f>
        <v>75000</v>
      </c>
      <c r="F1364" s="18">
        <f>IF($A1364&gt;40,F1363,(F1363-E1343+E1364)*(1+$C$7))</f>
        <v>0</v>
      </c>
      <c r="G1364" s="18">
        <f t="shared" si="157"/>
        <v>-224321.21041147466</v>
      </c>
      <c r="H1364" s="18">
        <f>IF($A1364&gt;40,0,(H1343-MIN(MAX(I1363,0),H1343))+MIN(MAX(0,J1363-(H1343-MIN(MAX(I1363,0),H1343))),MAX(0,1*H1343-(I1363-MIN(MAX(I1363,0),H1343)))))</f>
        <v>40999.752170370353</v>
      </c>
      <c r="I1364" s="18">
        <f>IF($A1364&gt;40,I1363,(I1363-H1343+H1364)*(1+$C$7))</f>
        <v>41519.624241766811</v>
      </c>
      <c r="J1364" s="18">
        <f t="shared" si="158"/>
        <v>620022.19804480707</v>
      </c>
      <c r="K1364" s="18">
        <f>IF($A1364&gt;40,0,(K1343-MIN(MAX(L1363,0),K1343))+MIN(MAX(0,M1363-(K1343-MIN(MAX(L1363,0),K1343))),MAX(0,1*K1343-(L1363-MIN(MAX(L1363,0),K1343)))))</f>
        <v>40811.148255626918</v>
      </c>
      <c r="L1364" s="18">
        <f>IF($A1364&gt;40,L1363,(L1363-K1343+K1364)*(1+$C$7))</f>
        <v>41328.628851401198</v>
      </c>
      <c r="M1364" s="18">
        <f t="shared" si="159"/>
        <v>625236.36352242262</v>
      </c>
      <c r="N1364" s="18">
        <f>IF($A1364&gt;40,0,(N1343-MIN(MAX(O1363,0),N1343))+MIN(MAX(0,P1363-(N1343-MIN(MAX(O1363,0),N1343))),MAX(0,1*N1343-(O1363-MIN(MAX(O1363,0),N1343)))))</f>
        <v>40811.174599434162</v>
      </c>
      <c r="O1364" s="18">
        <f>IF($A1364&gt;40,O1363,(O1363-N1343+N1364)*(1+$C$7))</f>
        <v>41328.655529244832</v>
      </c>
      <c r="P1364" s="18">
        <f t="shared" si="160"/>
        <v>625235.63521850388</v>
      </c>
      <c r="Q1364" s="18">
        <f>IF($A1364&gt;40,0,(Q1343-MIN(MAX(R1363,0),Q1343))+MIN(MAX(0,S1363-(Q1343-MIN(MAX(R1363,0),Q1343))),MAX(0,1*Q1343-(R1363-MIN(MAX(R1363,0),Q1343)))))</f>
        <v>40811.175219784927</v>
      </c>
      <c r="R1364" s="18">
        <f>IF($A1364&gt;40,R1363,(R1363-Q1343+Q1364)*(1+$C$7))</f>
        <v>41328.656157461577</v>
      </c>
      <c r="S1364" s="18">
        <f t="shared" si="161"/>
        <v>625235.61806821427</v>
      </c>
    </row>
    <row r="1365" spans="1:19">
      <c r="A1365" s="10">
        <f>20</f>
        <v>20</v>
      </c>
      <c r="B1365" s="18">
        <f>IF($A1365&gt;40,0,(B1343-MIN(MAX(C1364,0),B1343))+MIN(MAX(0,D1364-(B1343-MIN(MAX(C1364,0),B1343))),MAX(0,1*B1343-(C1364-MIN(MAX(C1364,0),B1343)))))</f>
        <v>29811</v>
      </c>
      <c r="C1365" s="18">
        <f>IF($A1365&gt;40,C1364,(C1364-B1343+B1365)*(1+$C$7))</f>
        <v>30189</v>
      </c>
      <c r="D1365" s="18">
        <f t="shared" si="156"/>
        <v>926522.82669825293</v>
      </c>
      <c r="E1365" s="18">
        <f>IF($A1365&gt;40,0,(E1343-MIN(MAX(F1364,0),E1343))+MIN(MAX(0,G1364-(E1343-MIN(MAX(F1364,0),E1343))),MAX(0,1*E1343-(F1364-MIN(MAX(F1364,0),E1343)))))</f>
        <v>75000</v>
      </c>
      <c r="F1365" s="18">
        <f>IF($A1365&gt;40,F1364,(F1364-E1343+E1365)*(1+$C$7))</f>
        <v>0</v>
      </c>
      <c r="G1365" s="18">
        <f t="shared" si="157"/>
        <v>-308300.84672381892</v>
      </c>
      <c r="H1365" s="18">
        <f>IF($A1365&gt;40,0,(H1343-MIN(MAX(I1364,0),H1343))+MIN(MAX(0,J1364-(H1343-MIN(MAX(I1364,0),H1343))),MAX(0,1*H1343-(I1364-MIN(MAX(I1364,0),H1343)))))</f>
        <v>40999.752170370353</v>
      </c>
      <c r="I1365" s="18">
        <f>IF($A1365&gt;40,I1364,(I1364-H1343+H1365)*(1+$C$7))</f>
        <v>41519.624241766811</v>
      </c>
      <c r="J1365" s="18">
        <f t="shared" si="158"/>
        <v>596393.11925066984</v>
      </c>
      <c r="K1365" s="18">
        <f>IF($A1365&gt;40,0,(K1343-MIN(MAX(L1364,0),K1343))+MIN(MAX(0,M1364-(K1343-MIN(MAX(L1364,0),K1343))),MAX(0,1*K1343-(L1364-MIN(MAX(L1364,0),K1343)))))</f>
        <v>40811.148255626918</v>
      </c>
      <c r="L1365" s="18">
        <f>IF($A1365&gt;40,L1364,(L1364-K1343+K1365)*(1+$C$7))</f>
        <v>41328.628851401198</v>
      </c>
      <c r="M1365" s="18">
        <f t="shared" si="159"/>
        <v>601957.9717247996</v>
      </c>
      <c r="N1365" s="18">
        <f>IF($A1365&gt;40,0,(N1343-MIN(MAX(O1364,0),N1343))+MIN(MAX(0,P1364-(N1343-MIN(MAX(O1364,0),N1343))),MAX(0,1*N1343-(O1364-MIN(MAX(O1364,0),N1343)))))</f>
        <v>40811.174599434162</v>
      </c>
      <c r="O1365" s="18">
        <f>IF($A1365&gt;40,O1364,(O1364-N1343+N1365)*(1+$C$7))</f>
        <v>41328.655529244832</v>
      </c>
      <c r="P1365" s="18">
        <f t="shared" si="160"/>
        <v>601957.19443764188</v>
      </c>
      <c r="Q1365" s="18">
        <f>IF($A1365&gt;40,0,(Q1343-MIN(MAX(R1364,0),Q1343))+MIN(MAX(0,S1364-(Q1343-MIN(MAX(R1364,0),Q1343))),MAX(0,1*Q1343-(R1364-MIN(MAX(R1364,0),Q1343)))))</f>
        <v>40811.175219784927</v>
      </c>
      <c r="R1365" s="18">
        <f>IF($A1365&gt;40,R1364,(R1364-Q1343+Q1365)*(1+$C$7))</f>
        <v>41328.656157461577</v>
      </c>
      <c r="S1365" s="18">
        <f t="shared" si="161"/>
        <v>601957.17613388225</v>
      </c>
    </row>
    <row r="1366" spans="1:19">
      <c r="A1366" s="10">
        <f>21</f>
        <v>21</v>
      </c>
      <c r="B1366" s="18">
        <f>IF($A1366&gt;40,0,(B1343-MIN(MAX(C1365,0),B1343))+MIN(MAX(0,D1365-(B1343-MIN(MAX(C1365,0),B1343))),MAX(0,1*B1343-(C1365-MIN(MAX(C1365,0),B1343)))))</f>
        <v>29811</v>
      </c>
      <c r="C1366" s="18">
        <f>IF($A1366&gt;40,C1365,(C1365-B1343+B1366)*(1+$C$7))</f>
        <v>30189</v>
      </c>
      <c r="D1366" s="18">
        <f t="shared" si="156"/>
        <v>923613.18149920052</v>
      </c>
      <c r="E1366" s="18">
        <f>IF($A1366&gt;40,0,(E1343-MIN(MAX(F1365,0),E1343))+MIN(MAX(0,G1365-(E1343-MIN(MAX(F1365,0),E1343))),MAX(0,1*E1343-(F1365-MIN(MAX(F1365,0),E1343)))))</f>
        <v>75000</v>
      </c>
      <c r="F1366" s="18">
        <f>IF($A1366&gt;40,F1365,(F1365-E1343+E1366)*(1+$C$7))</f>
        <v>0</v>
      </c>
      <c r="G1366" s="18">
        <f t="shared" si="157"/>
        <v>-394799.87212553347</v>
      </c>
      <c r="H1366" s="18">
        <f>IF($A1366&gt;40,0,(H1343-MIN(MAX(I1365,0),H1343))+MIN(MAX(0,J1365-(H1343-MIN(MAX(I1365,0),H1343))),MAX(0,1*H1343-(I1365-MIN(MAX(I1365,0),H1343)))))</f>
        <v>40999.752170370353</v>
      </c>
      <c r="I1366" s="18">
        <f>IF($A1366&gt;40,I1365,(I1365-H1343+H1366)*(1+$C$7))</f>
        <v>41519.624241766811</v>
      </c>
      <c r="J1366" s="18">
        <f t="shared" si="158"/>
        <v>572055.16809270857</v>
      </c>
      <c r="K1366" s="18">
        <f>IF($A1366&gt;40,0,(K1343-MIN(MAX(L1365,0),K1343))+MIN(MAX(0,M1365-(K1343-MIN(MAX(L1365,0),K1343))),MAX(0,1*K1343-(L1365-MIN(MAX(L1365,0),K1343)))))</f>
        <v>40811.148255626918</v>
      </c>
      <c r="L1366" s="18">
        <f>IF($A1366&gt;40,L1365,(L1365-K1343+K1366)*(1+$C$7))</f>
        <v>41328.628851401198</v>
      </c>
      <c r="M1366" s="18">
        <f t="shared" si="159"/>
        <v>577981.22817324789</v>
      </c>
      <c r="N1366" s="18">
        <f>IF($A1366&gt;40,0,(N1343-MIN(MAX(O1365,0),N1343))+MIN(MAX(0,P1365-(N1343-MIN(MAX(O1365,0),N1343))),MAX(0,1*N1343-(O1365-MIN(MAX(O1365,0),N1343)))))</f>
        <v>40811.174599434162</v>
      </c>
      <c r="O1366" s="18">
        <f>IF($A1366&gt;40,O1365,(O1365-N1343+N1366)*(1+$C$7))</f>
        <v>41328.655529244832</v>
      </c>
      <c r="P1366" s="18">
        <f t="shared" si="160"/>
        <v>577980.40043335396</v>
      </c>
      <c r="Q1366" s="18">
        <f>IF($A1366&gt;40,0,(Q1343-MIN(MAX(R1365,0),Q1343))+MIN(MAX(0,S1365-(Q1343-MIN(MAX(R1365,0),Q1343))),MAX(0,1*Q1343-(R1365-MIN(MAX(R1365,0),Q1343)))))</f>
        <v>40811.175219784927</v>
      </c>
      <c r="R1366" s="18">
        <f>IF($A1366&gt;40,R1365,(R1365-Q1343+Q1366)*(1+$C$7))</f>
        <v>41328.656157461577</v>
      </c>
      <c r="S1366" s="18">
        <f t="shared" si="161"/>
        <v>577980.38094152021</v>
      </c>
    </row>
    <row r="1367" spans="1:19">
      <c r="A1367" s="10">
        <f>22</f>
        <v>22</v>
      </c>
      <c r="B1367" s="18">
        <f>IF($A1367&gt;40,0,(B1343-MIN(MAX(C1366,0),B1343))+MIN(MAX(0,D1366-(B1343-MIN(MAX(C1366,0),B1343))),MAX(0,1*B1343-(C1366-MIN(MAX(C1366,0),B1343)))))</f>
        <v>29811</v>
      </c>
      <c r="C1367" s="18">
        <f>IF($A1367&gt;40,C1366,(C1366-B1343+B1367)*(1+$C$7))</f>
        <v>30189</v>
      </c>
      <c r="D1367" s="18">
        <f t="shared" si="156"/>
        <v>920616.24694417662</v>
      </c>
      <c r="E1367" s="18">
        <f>IF($A1367&gt;40,0,(E1343-MIN(MAX(F1366,0),E1343))+MIN(MAX(0,G1366-(E1343-MIN(MAX(F1366,0),E1343))),MAX(0,1*E1343-(F1366-MIN(MAX(F1366,0),E1343)))))</f>
        <v>75000</v>
      </c>
      <c r="F1367" s="18">
        <f>IF($A1367&gt;40,F1366,(F1366-E1343+E1367)*(1+$C$7))</f>
        <v>0</v>
      </c>
      <c r="G1367" s="18">
        <f t="shared" si="157"/>
        <v>-483893.86828929948</v>
      </c>
      <c r="H1367" s="18">
        <f>IF($A1367&gt;40,0,(H1343-MIN(MAX(I1366,0),H1343))+MIN(MAX(0,J1366-(H1343-MIN(MAX(I1366,0),H1343))),MAX(0,1*H1343-(I1366-MIN(MAX(I1366,0),H1343)))))</f>
        <v>40999.752170370353</v>
      </c>
      <c r="I1367" s="18">
        <f>IF($A1367&gt;40,I1366,(I1366-H1343+H1367)*(1+$C$7))</f>
        <v>41519.624241766811</v>
      </c>
      <c r="J1367" s="18">
        <f t="shared" si="158"/>
        <v>546987.07840000838</v>
      </c>
      <c r="K1367" s="18">
        <f>IF($A1367&gt;40,0,(K1343-MIN(MAX(L1366,0),K1343))+MIN(MAX(0,M1366-(K1343-MIN(MAX(L1366,0),K1343))),MAX(0,1*K1343-(L1366-MIN(MAX(L1366,0),K1343)))))</f>
        <v>40811.148255626918</v>
      </c>
      <c r="L1367" s="18">
        <f>IF($A1367&gt;40,L1366,(L1366-K1343+K1367)*(1+$C$7))</f>
        <v>41328.628851401198</v>
      </c>
      <c r="M1367" s="18">
        <f t="shared" si="159"/>
        <v>553285.18231514958</v>
      </c>
      <c r="N1367" s="18">
        <f>IF($A1367&gt;40,0,(N1343-MIN(MAX(O1366,0),N1343))+MIN(MAX(0,P1366-(N1343-MIN(MAX(O1366,0),N1343))),MAX(0,1*N1343-(O1366-MIN(MAX(O1366,0),N1343)))))</f>
        <v>40811.174599434162</v>
      </c>
      <c r="O1367" s="18">
        <f>IF($A1367&gt;40,O1366,(O1366-N1343+N1367)*(1+$C$7))</f>
        <v>41328.655529244832</v>
      </c>
      <c r="P1367" s="18">
        <f t="shared" si="160"/>
        <v>553284.30260893749</v>
      </c>
      <c r="Q1367" s="18">
        <f>IF($A1367&gt;40,0,(Q1343-MIN(MAX(R1366,0),Q1343))+MIN(MAX(0,S1366-(Q1343-MIN(MAX(R1366,0),Q1343))),MAX(0,1*Q1343-(R1366-MIN(MAX(R1366,0),Q1343)))))</f>
        <v>40811.175219784927</v>
      </c>
      <c r="R1367" s="18">
        <f>IF($A1367&gt;40,R1366,(R1366-Q1343+Q1367)*(1+$C$7))</f>
        <v>41328.656157461577</v>
      </c>
      <c r="S1367" s="18">
        <f t="shared" si="161"/>
        <v>553284.28189338732</v>
      </c>
    </row>
    <row r="1368" spans="1:19">
      <c r="A1368" s="10">
        <f>23</f>
        <v>23</v>
      </c>
      <c r="B1368" s="18">
        <f>IF($A1368&gt;40,0,(B1343-MIN(MAX(C1367,0),B1343))+MIN(MAX(0,D1367-(B1343-MIN(MAX(C1367,0),B1343))),MAX(0,1*B1343-(C1367-MIN(MAX(C1367,0),B1343)))))</f>
        <v>29811</v>
      </c>
      <c r="C1368" s="18">
        <f>IF($A1368&gt;40,C1367,(C1367-B1343+B1368)*(1+$C$7))</f>
        <v>30189</v>
      </c>
      <c r="D1368" s="18">
        <f t="shared" si="156"/>
        <v>917529.40435250197</v>
      </c>
      <c r="E1368" s="18">
        <f>IF($A1368&gt;40,0,(E1343-MIN(MAX(F1367,0),E1343))+MIN(MAX(0,G1367-(E1343-MIN(MAX(F1367,0),E1343))),MAX(0,1*E1343-(F1367-MIN(MAX(F1367,0),E1343)))))</f>
        <v>75000</v>
      </c>
      <c r="F1368" s="18">
        <f>IF($A1368&gt;40,F1367,(F1367-E1343+E1368)*(1+$C$7))</f>
        <v>0</v>
      </c>
      <c r="G1368" s="18">
        <f t="shared" si="157"/>
        <v>-575660.6843379786</v>
      </c>
      <c r="H1368" s="18">
        <f>IF($A1368&gt;40,0,(H1343-MIN(MAX(I1367,0),H1343))+MIN(MAX(0,J1367-(H1343-MIN(MAX(I1367,0),H1343))),MAX(0,1*H1343-(I1367-MIN(MAX(I1367,0),H1343)))))</f>
        <v>40999.752170370353</v>
      </c>
      <c r="I1368" s="18">
        <f>IF($A1368&gt;40,I1367,(I1367-H1343+H1368)*(1+$C$7))</f>
        <v>41519.624241766811</v>
      </c>
      <c r="J1368" s="18">
        <f t="shared" si="158"/>
        <v>521166.94601652719</v>
      </c>
      <c r="K1368" s="18">
        <f>IF($A1368&gt;40,0,(K1343-MIN(MAX(L1367,0),K1343))+MIN(MAX(0,M1367-(K1343-MIN(MAX(L1367,0),K1343))),MAX(0,1*K1343-(L1367-MIN(MAX(L1367,0),K1343)))))</f>
        <v>40811.148255626918</v>
      </c>
      <c r="L1368" s="18">
        <f>IF($A1368&gt;40,L1367,(L1367-K1343+K1368)*(1+$C$7))</f>
        <v>41328.628851401198</v>
      </c>
      <c r="M1368" s="18">
        <f t="shared" si="159"/>
        <v>527848.25508130842</v>
      </c>
      <c r="N1368" s="18">
        <f>IF($A1368&gt;40,0,(N1343-MIN(MAX(O1367,0),N1343))+MIN(MAX(0,P1367-(N1343-MIN(MAX(O1367,0),N1343))),MAX(0,1*N1343-(O1367-MIN(MAX(O1367,0),N1343)))))</f>
        <v>40811.174599434162</v>
      </c>
      <c r="O1368" s="18">
        <f>IF($A1368&gt;40,O1367,(O1367-N1343+N1368)*(1+$C$7))</f>
        <v>41328.655529244832</v>
      </c>
      <c r="P1368" s="18">
        <f t="shared" si="160"/>
        <v>527847.32184978842</v>
      </c>
      <c r="Q1368" s="18">
        <f>IF($A1368&gt;40,0,(Q1343-MIN(MAX(R1367,0),Q1343))+MIN(MAX(0,S1367-(Q1343-MIN(MAX(R1367,0),Q1343))),MAX(0,1*Q1343-(R1367-MIN(MAX(R1367,0),Q1343)))))</f>
        <v>40811.175219784927</v>
      </c>
      <c r="R1368" s="18">
        <f>IF($A1368&gt;40,R1367,(R1367-Q1343+Q1368)*(1+$C$7))</f>
        <v>41328.656157461577</v>
      </c>
      <c r="S1368" s="18">
        <f t="shared" si="161"/>
        <v>527847.29987381049</v>
      </c>
    </row>
    <row r="1369" spans="1:19">
      <c r="A1369" s="10">
        <f>24</f>
        <v>24</v>
      </c>
      <c r="B1369" s="18">
        <f>IF($A1369&gt;40,0,(B1343-MIN(MAX(C1368,0),B1343))+MIN(MAX(0,D1368-(B1343-MIN(MAX(C1368,0),B1343))),MAX(0,1*B1343-(C1368-MIN(MAX(C1368,0),B1343)))))</f>
        <v>29811</v>
      </c>
      <c r="C1369" s="18">
        <f>IF($A1369&gt;40,C1368,(C1368-B1343+B1369)*(1+$C$7))</f>
        <v>30189</v>
      </c>
      <c r="D1369" s="18">
        <f t="shared" si="156"/>
        <v>914349.95648307703</v>
      </c>
      <c r="E1369" s="18">
        <f>IF($A1369&gt;40,0,(E1343-MIN(MAX(F1368,0),E1343))+MIN(MAX(0,G1368-(E1343-MIN(MAX(F1368,0),E1343))),MAX(0,1*E1343-(F1368-MIN(MAX(F1368,0),E1343)))))</f>
        <v>75000</v>
      </c>
      <c r="F1369" s="18">
        <f>IF($A1369&gt;40,F1368,(F1368-E1343+E1369)*(1+$C$7))</f>
        <v>0</v>
      </c>
      <c r="G1369" s="18">
        <f t="shared" si="157"/>
        <v>-670180.50486811798</v>
      </c>
      <c r="H1369" s="18">
        <f>IF($A1369&gt;40,0,(H1343-MIN(MAX(I1368,0),H1343))+MIN(MAX(0,J1368-(H1343-MIN(MAX(I1368,0),H1343))),MAX(0,1*H1343-(I1368-MIN(MAX(I1368,0),H1343)))))</f>
        <v>40999.752170370353</v>
      </c>
      <c r="I1369" s="18">
        <f>IF($A1369&gt;40,I1368,(I1368-H1343+H1369)*(1+$C$7))</f>
        <v>41519.624241766811</v>
      </c>
      <c r="J1369" s="18">
        <f t="shared" si="158"/>
        <v>494572.20966154156</v>
      </c>
      <c r="K1369" s="18">
        <f>IF($A1369&gt;40,0,(K1343-MIN(MAX(L1368,0),K1343))+MIN(MAX(0,M1368-(K1343-MIN(MAX(L1368,0),K1343))),MAX(0,1*K1343-(L1368-MIN(MAX(L1368,0),K1343)))))</f>
        <v>40811.148255626918</v>
      </c>
      <c r="L1369" s="18">
        <f>IF($A1369&gt;40,L1368,(L1368-K1343+K1369)*(1+$C$7))</f>
        <v>41328.628851401198</v>
      </c>
      <c r="M1369" s="18">
        <f t="shared" si="159"/>
        <v>501648.22003045195</v>
      </c>
      <c r="N1369" s="18">
        <f>IF($A1369&gt;40,0,(N1343-MIN(MAX(O1368,0),N1343))+MIN(MAX(0,P1368-(N1343-MIN(MAX(O1368,0),N1343))),MAX(0,1*N1343-(O1368-MIN(MAX(O1368,0),N1343)))))</f>
        <v>40811.174599434162</v>
      </c>
      <c r="O1369" s="18">
        <f>IF($A1369&gt;40,O1368,(O1368-N1343+N1369)*(1+$C$7))</f>
        <v>41328.655529244832</v>
      </c>
      <c r="P1369" s="18">
        <f t="shared" si="160"/>
        <v>501647.23166786495</v>
      </c>
      <c r="Q1369" s="18">
        <f>IF($A1369&gt;40,0,(Q1343-MIN(MAX(R1368,0),Q1343))+MIN(MAX(0,S1368-(Q1343-MIN(MAX(R1368,0),Q1343))),MAX(0,1*Q1343-(R1368-MIN(MAX(R1368,0),Q1343)))))</f>
        <v>40811.175219784927</v>
      </c>
      <c r="R1369" s="18">
        <f>IF($A1369&gt;40,R1368,(R1368-Q1343+Q1369)*(1+$C$7))</f>
        <v>41328.656157461577</v>
      </c>
      <c r="S1369" s="18">
        <f t="shared" si="161"/>
        <v>501647.20839364635</v>
      </c>
    </row>
    <row r="1370" spans="1:19">
      <c r="A1370" s="10">
        <f>25</f>
        <v>25</v>
      </c>
      <c r="B1370" s="18">
        <f>IF($A1370&gt;40,0,(B1343-MIN(MAX(C1369,0),B1343))+MIN(MAX(0,D1369-(B1343-MIN(MAX(C1369,0),B1343))),MAX(0,1*B1343-(C1369-MIN(MAX(C1369,0),B1343)))))</f>
        <v>29811</v>
      </c>
      <c r="C1370" s="18">
        <f>IF($A1370&gt;40,C1369,(C1369-B1343+B1370)*(1+$C$7))</f>
        <v>30189</v>
      </c>
      <c r="D1370" s="18">
        <f t="shared" si="156"/>
        <v>911075.12517756934</v>
      </c>
      <c r="E1370" s="18">
        <f>IF($A1370&gt;40,0,(E1343-MIN(MAX(F1369,0),E1343))+MIN(MAX(0,G1369-(E1343-MIN(MAX(F1369,0),E1343))),MAX(0,1*E1343-(F1369-MIN(MAX(F1369,0),E1343)))))</f>
        <v>75000</v>
      </c>
      <c r="F1370" s="18">
        <f>IF($A1370&gt;40,F1369,(F1369-E1343+E1370)*(1+$C$7))</f>
        <v>0</v>
      </c>
      <c r="G1370" s="18">
        <f t="shared" si="157"/>
        <v>-767535.9200141615</v>
      </c>
      <c r="H1370" s="18">
        <f>IF($A1370&gt;40,0,(H1343-MIN(MAX(I1369,0),H1343))+MIN(MAX(0,J1369-(H1343-MIN(MAX(I1369,0),H1343))),MAX(0,1*H1343-(I1369-MIN(MAX(I1369,0),H1343)))))</f>
        <v>40999.752170370353</v>
      </c>
      <c r="I1370" s="18">
        <f>IF($A1370&gt;40,I1369,(I1369-H1343+H1370)*(1+$C$7))</f>
        <v>41519.624241766811</v>
      </c>
      <c r="J1370" s="18">
        <f t="shared" si="158"/>
        <v>467179.63121590635</v>
      </c>
      <c r="K1370" s="18">
        <f>IF($A1370&gt;40,0,(K1343-MIN(MAX(L1369,0),K1343))+MIN(MAX(0,M1369-(K1343-MIN(MAX(L1369,0),K1343))),MAX(0,1*K1343-(L1369-MIN(MAX(L1369,0),K1343)))))</f>
        <v>40811.148255626918</v>
      </c>
      <c r="L1370" s="18">
        <f>IF($A1370&gt;40,L1369,(L1369-K1343+K1370)*(1+$C$7))</f>
        <v>41328.628851401198</v>
      </c>
      <c r="M1370" s="18">
        <f t="shared" si="159"/>
        <v>474662.18392806983</v>
      </c>
      <c r="N1370" s="18">
        <f>IF($A1370&gt;40,0,(N1343-MIN(MAX(O1369,0),N1343))+MIN(MAX(0,P1369-(N1343-MIN(MAX(O1369,0),N1343))),MAX(0,1*N1343-(O1369-MIN(MAX(O1369,0),N1343)))))</f>
        <v>40811.174599434162</v>
      </c>
      <c r="O1370" s="18">
        <f>IF($A1370&gt;40,O1369,(O1369-N1343+N1370)*(1+$C$7))</f>
        <v>41328.655529244832</v>
      </c>
      <c r="P1370" s="18">
        <f t="shared" si="160"/>
        <v>474661.13878048374</v>
      </c>
      <c r="Q1370" s="18">
        <f>IF($A1370&gt;40,0,(Q1343-MIN(MAX(R1369,0),Q1343))+MIN(MAX(0,S1369-(Q1343-MIN(MAX(R1369,0),Q1343))),MAX(0,1*Q1343-(R1369-MIN(MAX(R1369,0),Q1343)))))</f>
        <v>40811.175219784927</v>
      </c>
      <c r="R1370" s="18">
        <f>IF($A1370&gt;40,R1369,(R1369-Q1343+Q1370)*(1+$C$7))</f>
        <v>41328.656157461577</v>
      </c>
      <c r="S1370" s="18">
        <f t="shared" si="161"/>
        <v>474661.11416907731</v>
      </c>
    </row>
    <row r="1371" spans="1:19">
      <c r="A1371" s="10">
        <f>26</f>
        <v>26</v>
      </c>
      <c r="B1371" s="18">
        <f>IF($A1371&gt;40,0,(B1343-MIN(MAX(C1370,0),B1343))+MIN(MAX(0,D1370-(B1343-MIN(MAX(C1370,0),B1343))),MAX(0,1*B1343-(C1370-MIN(MAX(C1370,0),B1343)))))</f>
        <v>29811</v>
      </c>
      <c r="C1371" s="18">
        <f>IF($A1371&gt;40,C1370,(C1370-B1343+B1371)*(1+$C$7))</f>
        <v>30189</v>
      </c>
      <c r="D1371" s="18">
        <f t="shared" si="156"/>
        <v>907702.04893289646</v>
      </c>
      <c r="E1371" s="18">
        <f>IF($A1371&gt;40,0,(E1343-MIN(MAX(F1370,0),E1343))+MIN(MAX(0,G1370-(E1343-MIN(MAX(F1370,0),E1343))),MAX(0,1*E1343-(F1370-MIN(MAX(F1370,0),E1343)))))</f>
        <v>75000</v>
      </c>
      <c r="F1371" s="18">
        <f>IF($A1371&gt;40,F1370,(F1370-E1343+E1371)*(1+$C$7))</f>
        <v>0</v>
      </c>
      <c r="G1371" s="18">
        <f t="shared" si="157"/>
        <v>-867811.99761458638</v>
      </c>
      <c r="H1371" s="18">
        <f>IF($A1371&gt;40,0,(H1343-MIN(MAX(I1370,0),H1343))+MIN(MAX(0,J1370-(H1343-MIN(MAX(I1370,0),H1343))),MAX(0,1*H1343-(I1370-MIN(MAX(I1370,0),H1343)))))</f>
        <v>40999.752170370353</v>
      </c>
      <c r="I1371" s="18">
        <f>IF($A1371&gt;40,I1370,(I1370-H1343+H1371)*(1+$C$7))</f>
        <v>41519.624241766811</v>
      </c>
      <c r="J1371" s="18">
        <f t="shared" si="158"/>
        <v>438965.27541690209</v>
      </c>
      <c r="K1371" s="18">
        <f>IF($A1371&gt;40,0,(K1343-MIN(MAX(L1370,0),K1343))+MIN(MAX(0,M1370-(K1343-MIN(MAX(L1370,0),K1343))),MAX(0,1*K1343-(L1370-MIN(MAX(L1370,0),K1343)))))</f>
        <v>40811.148255626918</v>
      </c>
      <c r="L1371" s="18">
        <f>IF($A1371&gt;40,L1370,(L1370-K1343+K1371)*(1+$C$7))</f>
        <v>41328.628851401198</v>
      </c>
      <c r="M1371" s="18">
        <f t="shared" si="159"/>
        <v>446866.56674261624</v>
      </c>
      <c r="N1371" s="18">
        <f>IF($A1371&gt;40,0,(N1343-MIN(MAX(O1370,0),N1343))+MIN(MAX(0,P1370-(N1343-MIN(MAX(O1370,0),N1343))),MAX(0,1*N1343-(O1370-MIN(MAX(O1370,0),N1343)))))</f>
        <v>40811.174599434162</v>
      </c>
      <c r="O1371" s="18">
        <f>IF($A1371&gt;40,O1370,(O1370-N1343+N1371)*(1+$C$7))</f>
        <v>41328.655529244832</v>
      </c>
      <c r="P1371" s="18">
        <f t="shared" si="160"/>
        <v>446865.46310648113</v>
      </c>
      <c r="Q1371" s="18">
        <f>IF($A1371&gt;40,0,(Q1343-MIN(MAX(R1370,0),Q1343))+MIN(MAX(0,S1370-(Q1343-MIN(MAX(R1370,0),Q1343))),MAX(0,1*Q1343-(R1370-MIN(MAX(R1370,0),Q1343)))))</f>
        <v>40811.175219784927</v>
      </c>
      <c r="R1371" s="18">
        <f>IF($A1371&gt;40,R1370,(R1370-Q1343+Q1371)*(1+$C$7))</f>
        <v>41328.656157461577</v>
      </c>
      <c r="S1371" s="18">
        <f t="shared" si="161"/>
        <v>446865.43711777119</v>
      </c>
    </row>
    <row r="1372" spans="1:19">
      <c r="A1372" s="10">
        <f>27</f>
        <v>27</v>
      </c>
      <c r="B1372" s="18">
        <f>IF($A1372&gt;40,0,(B1343-MIN(MAX(C1371,0),B1343))+MIN(MAX(0,D1371-(B1343-MIN(MAX(C1371,0),B1343))),MAX(0,1*B1343-(C1371-MIN(MAX(C1371,0),B1343)))))</f>
        <v>29811</v>
      </c>
      <c r="C1372" s="18">
        <f>IF($A1372&gt;40,C1371,(C1371-B1343+B1372)*(1+$C$7))</f>
        <v>30189</v>
      </c>
      <c r="D1372" s="18">
        <f t="shared" si="156"/>
        <v>904227.78040088341</v>
      </c>
      <c r="E1372" s="18">
        <f>IF($A1372&gt;40,0,(E1343-MIN(MAX(F1371,0),E1343))+MIN(MAX(0,G1371-(E1343-MIN(MAX(F1371,0),E1343))),MAX(0,1*E1343-(F1371-MIN(MAX(F1371,0),E1343)))))</f>
        <v>75000</v>
      </c>
      <c r="F1372" s="18">
        <f>IF($A1372&gt;40,F1371,(F1371-E1343+E1372)*(1+$C$7))</f>
        <v>0</v>
      </c>
      <c r="G1372" s="18">
        <f t="shared" si="157"/>
        <v>-971096.357543024</v>
      </c>
      <c r="H1372" s="18">
        <f>IF($A1372&gt;40,0,(H1343-MIN(MAX(I1371,0),H1343))+MIN(MAX(0,J1371-(H1343-MIN(MAX(I1371,0),H1343))),MAX(0,1*H1343-(I1371-MIN(MAX(I1371,0),H1343)))))</f>
        <v>40999.752170370353</v>
      </c>
      <c r="I1372" s="18">
        <f>IF($A1372&gt;40,I1371,(I1371-H1343+H1372)*(1+$C$7))</f>
        <v>41519.624241766811</v>
      </c>
      <c r="J1372" s="18">
        <f t="shared" si="158"/>
        <v>409904.48894392769</v>
      </c>
      <c r="K1372" s="18">
        <f>IF($A1372&gt;40,0,(K1343-MIN(MAX(L1371,0),K1343))+MIN(MAX(0,M1371-(K1343-MIN(MAX(L1371,0),K1343))),MAX(0,1*K1343-(L1371-MIN(MAX(L1371,0),K1343)))))</f>
        <v>40811.148255626918</v>
      </c>
      <c r="L1372" s="18">
        <f>IF($A1372&gt;40,L1371,(L1371-K1343+K1372)*(1+$C$7))</f>
        <v>41328.628851401198</v>
      </c>
      <c r="M1372" s="18">
        <f t="shared" si="159"/>
        <v>418237.08104159904</v>
      </c>
      <c r="N1372" s="18">
        <f>IF($A1372&gt;40,0,(N1343-MIN(MAX(O1371,0),N1343))+MIN(MAX(0,P1371-(N1343-MIN(MAX(O1371,0),N1343))),MAX(0,1*N1343-(O1371-MIN(MAX(O1371,0),N1343)))))</f>
        <v>40811.174599434162</v>
      </c>
      <c r="O1372" s="18">
        <f>IF($A1372&gt;40,O1371,(O1371-N1343+N1372)*(1+$C$7))</f>
        <v>41328.655529244832</v>
      </c>
      <c r="P1372" s="18">
        <f t="shared" si="160"/>
        <v>418235.91716225841</v>
      </c>
      <c r="Q1372" s="18">
        <f>IF($A1372&gt;40,0,(Q1343-MIN(MAX(R1371,0),Q1343))+MIN(MAX(0,S1371-(Q1343-MIN(MAX(R1371,0),Q1343))),MAX(0,1*Q1343-(R1371-MIN(MAX(R1371,0),Q1343)))))</f>
        <v>40811.175219784927</v>
      </c>
      <c r="R1372" s="18">
        <f>IF($A1372&gt;40,R1371,(R1371-Q1343+Q1372)*(1+$C$7))</f>
        <v>41328.656157461577</v>
      </c>
      <c r="S1372" s="18">
        <f t="shared" si="161"/>
        <v>418235.88975492591</v>
      </c>
    </row>
    <row r="1373" spans="1:19">
      <c r="A1373" s="10">
        <f>28</f>
        <v>28</v>
      </c>
      <c r="B1373" s="18">
        <f>IF($A1373&gt;40,0,(B1343-MIN(MAX(C1372,0),B1343))+MIN(MAX(0,D1372-(B1343-MIN(MAX(C1372,0),B1343))),MAX(0,1*B1343-(C1372-MIN(MAX(C1372,0),B1343)))))</f>
        <v>29811</v>
      </c>
      <c r="C1373" s="18">
        <f>IF($A1373&gt;40,C1372,(C1372-B1343+B1373)*(1+$C$7))</f>
        <v>30189</v>
      </c>
      <c r="D1373" s="18">
        <f t="shared" si="156"/>
        <v>900649.28381290997</v>
      </c>
      <c r="E1373" s="18">
        <f>IF($A1373&gt;40,0,(E1343-MIN(MAX(F1372,0),E1343))+MIN(MAX(0,G1372-(E1343-MIN(MAX(F1372,0),E1343))),MAX(0,1*E1343-(F1372-MIN(MAX(F1372,0),E1343)))))</f>
        <v>75000</v>
      </c>
      <c r="F1373" s="18">
        <f>IF($A1373&gt;40,F1372,(F1372-E1343+E1373)*(1+$C$7))</f>
        <v>0</v>
      </c>
      <c r="G1373" s="18">
        <f t="shared" si="157"/>
        <v>-1077479.2482693146</v>
      </c>
      <c r="H1373" s="18">
        <f>IF($A1373&gt;40,0,(H1343-MIN(MAX(I1372,0),H1343))+MIN(MAX(0,J1372-(H1343-MIN(MAX(I1372,0),H1343))),MAX(0,1*H1343-(I1372-MIN(MAX(I1372,0),H1343)))))</f>
        <v>40999.752170370353</v>
      </c>
      <c r="I1373" s="18">
        <f>IF($A1373&gt;40,I1372,(I1372-H1343+H1373)*(1+$C$7))</f>
        <v>41519.624241766811</v>
      </c>
      <c r="J1373" s="18">
        <f t="shared" si="158"/>
        <v>379971.87887676404</v>
      </c>
      <c r="K1373" s="18">
        <f>IF($A1373&gt;40,0,(K1343-MIN(MAX(L1372,0),K1343))+MIN(MAX(0,M1372-(K1343-MIN(MAX(L1372,0),K1343))),MAX(0,1*K1343-(L1372-MIN(MAX(L1372,0),K1343)))))</f>
        <v>40811.148255626918</v>
      </c>
      <c r="L1373" s="18">
        <f>IF($A1373&gt;40,L1372,(L1372-K1343+K1373)*(1+$C$7))</f>
        <v>41328.628851401198</v>
      </c>
      <c r="M1373" s="18">
        <f t="shared" si="159"/>
        <v>388748.71076955134</v>
      </c>
      <c r="N1373" s="18">
        <f>IF($A1373&gt;40,0,(N1343-MIN(MAX(O1372,0),N1343))+MIN(MAX(0,P1372-(N1343-MIN(MAX(O1372,0),N1343))),MAX(0,1*N1343-(O1372-MIN(MAX(O1372,0),N1343)))))</f>
        <v>40811.174599434162</v>
      </c>
      <c r="O1373" s="18">
        <f>IF($A1373&gt;40,O1372,(O1372-N1343+N1373)*(1+$C$7))</f>
        <v>41328.655529244832</v>
      </c>
      <c r="P1373" s="18">
        <f t="shared" si="160"/>
        <v>388747.48483970901</v>
      </c>
      <c r="Q1373" s="18">
        <f>IF($A1373&gt;40,0,(Q1343-MIN(MAX(R1372,0),Q1343))+MIN(MAX(0,S1372-(Q1343-MIN(MAX(R1372,0),Q1343))),MAX(0,1*Q1343-(R1372-MIN(MAX(R1372,0),Q1343)))))</f>
        <v>40811.175219784927</v>
      </c>
      <c r="R1373" s="18">
        <f>IF($A1373&gt;40,R1372,(R1372-Q1343+Q1373)*(1+$C$7))</f>
        <v>41328.656157461577</v>
      </c>
      <c r="S1373" s="18">
        <f t="shared" si="161"/>
        <v>388747.45597119525</v>
      </c>
    </row>
    <row r="1374" spans="1:19">
      <c r="A1374" s="10">
        <f>29</f>
        <v>29</v>
      </c>
      <c r="B1374" s="18">
        <f>IF($A1374&gt;40,0,(B1343-MIN(MAX(C1373,0),B1343))+MIN(MAX(0,D1373-(B1343-MIN(MAX(C1373,0),B1343))),MAX(0,1*B1343-(C1373-MIN(MAX(C1373,0),B1343)))))</f>
        <v>29811</v>
      </c>
      <c r="C1374" s="18">
        <f>IF($A1374&gt;40,C1373,(C1373-B1343+B1374)*(1+$C$7))</f>
        <v>30189</v>
      </c>
      <c r="D1374" s="18">
        <f t="shared" si="156"/>
        <v>896963.43232729728</v>
      </c>
      <c r="E1374" s="18">
        <f>IF($A1374&gt;40,0,(E1343-MIN(MAX(F1373,0),E1343))+MIN(MAX(0,G1373-(E1343-MIN(MAX(F1373,0),E1343))),MAX(0,1*E1343-(F1373-MIN(MAX(F1373,0),E1343)))))</f>
        <v>75000</v>
      </c>
      <c r="F1374" s="18">
        <f>IF($A1374&gt;40,F1373,(F1373-E1343+E1374)*(1+$C$7))</f>
        <v>0</v>
      </c>
      <c r="G1374" s="18">
        <f t="shared" si="157"/>
        <v>-1187053.6257173941</v>
      </c>
      <c r="H1374" s="18">
        <f>IF($A1374&gt;40,0,(H1343-MIN(MAX(I1373,0),H1343))+MIN(MAX(0,J1373-(H1343-MIN(MAX(I1373,0),H1343))),MAX(0,1*H1343-(I1373-MIN(MAX(I1373,0),H1343)))))</f>
        <v>40999.752170370353</v>
      </c>
      <c r="I1374" s="18">
        <f>IF($A1374&gt;40,I1373,(I1373-H1343+H1374)*(1+$C$7))</f>
        <v>41519.624241766811</v>
      </c>
      <c r="J1374" s="18">
        <f t="shared" si="158"/>
        <v>349141.29050758551</v>
      </c>
      <c r="K1374" s="18">
        <f>IF($A1374&gt;40,0,(K1343-MIN(MAX(L1373,0),K1343))+MIN(MAX(0,M1373-(K1343-MIN(MAX(L1373,0),K1343))),MAX(0,1*K1343-(L1373-MIN(MAX(L1373,0),K1343)))))</f>
        <v>40811.148255626918</v>
      </c>
      <c r="L1374" s="18">
        <f>IF($A1374&gt;40,L1373,(L1373-K1343+K1374)*(1+$C$7))</f>
        <v>41328.628851401198</v>
      </c>
      <c r="M1374" s="18">
        <f t="shared" si="159"/>
        <v>358375.68938934215</v>
      </c>
      <c r="N1374" s="18">
        <f>IF($A1374&gt;40,0,(N1343-MIN(MAX(O1373,0),N1343))+MIN(MAX(0,P1373-(N1343-MIN(MAX(O1373,0),N1343))),MAX(0,1*N1343-(O1373-MIN(MAX(O1373,0),N1343)))))</f>
        <v>40811.174599434162</v>
      </c>
      <c r="O1374" s="18">
        <f>IF($A1374&gt;40,O1373,(O1373-N1343+N1374)*(1+$C$7))</f>
        <v>41328.655529244832</v>
      </c>
      <c r="P1374" s="18">
        <f t="shared" si="160"/>
        <v>358374.39954748313</v>
      </c>
      <c r="Q1374" s="18">
        <f>IF($A1374&gt;40,0,(Q1343-MIN(MAX(R1373,0),Q1343))+MIN(MAX(0,S1373-(Q1343-MIN(MAX(R1373,0),Q1343))),MAX(0,1*Q1343-(R1373-MIN(MAX(R1373,0),Q1343)))))</f>
        <v>40811.175219784927</v>
      </c>
      <c r="R1374" s="18">
        <f>IF($A1374&gt;40,R1373,(R1373-Q1343+Q1374)*(1+$C$7))</f>
        <v>41328.656157461577</v>
      </c>
      <c r="S1374" s="18">
        <f t="shared" si="161"/>
        <v>358374.36917395261</v>
      </c>
    </row>
    <row r="1375" spans="1:19">
      <c r="A1375" s="10">
        <f>30</f>
        <v>30</v>
      </c>
      <c r="B1375" s="18">
        <f>IF($A1375&gt;40,0,(B1343-MIN(MAX(C1374,0),B1343))+MIN(MAX(0,D1374-(B1343-MIN(MAX(C1374,0),B1343))),MAX(0,1*B1343-(C1374-MIN(MAX(C1374,0),B1343)))))</f>
        <v>29811</v>
      </c>
      <c r="C1375" s="18">
        <f>IF($A1375&gt;40,C1374,(C1374-B1343+B1375)*(1+$C$7))</f>
        <v>30189</v>
      </c>
      <c r="D1375" s="18">
        <f t="shared" si="156"/>
        <v>893167.00529711624</v>
      </c>
      <c r="E1375" s="18">
        <f>IF($A1375&gt;40,0,(E1343-MIN(MAX(F1374,0),E1343))+MIN(MAX(0,G1374-(E1343-MIN(MAX(F1374,0),E1343))),MAX(0,1*E1343-(F1374-MIN(MAX(F1374,0),E1343)))))</f>
        <v>75000</v>
      </c>
      <c r="F1375" s="18">
        <f>IF($A1375&gt;40,F1374,(F1374-E1343+E1375)*(1+$C$7))</f>
        <v>0</v>
      </c>
      <c r="G1375" s="18">
        <f t="shared" si="157"/>
        <v>-1299915.2344889159</v>
      </c>
      <c r="H1375" s="18">
        <f>IF($A1375&gt;40,0,(H1343-MIN(MAX(I1374,0),H1343))+MIN(MAX(0,J1374-(H1343-MIN(MAX(I1374,0),H1343))),MAX(0,1*H1343-(I1374-MIN(MAX(I1374,0),H1343)))))</f>
        <v>40999.752170370353</v>
      </c>
      <c r="I1375" s="18">
        <f>IF($A1375&gt;40,I1374,(I1374-H1343+H1375)*(1+$C$7))</f>
        <v>41519.624241766811</v>
      </c>
      <c r="J1375" s="18">
        <f t="shared" si="158"/>
        <v>317385.78448733158</v>
      </c>
      <c r="K1375" s="18">
        <f>IF($A1375&gt;40,0,(K1343-MIN(MAX(L1374,0),K1343))+MIN(MAX(0,M1374-(K1343-MIN(MAX(L1374,0),K1343))),MAX(0,1*K1343-(L1374-MIN(MAX(L1374,0),K1343)))))</f>
        <v>40811.148255626918</v>
      </c>
      <c r="L1375" s="18">
        <f>IF($A1375&gt;40,L1374,(L1374-K1343+K1375)*(1+$C$7))</f>
        <v>41328.628851401198</v>
      </c>
      <c r="M1375" s="18">
        <f t="shared" si="159"/>
        <v>327091.47736772674</v>
      </c>
      <c r="N1375" s="18">
        <f>IF($A1375&gt;40,0,(N1343-MIN(MAX(O1374,0),N1343))+MIN(MAX(0,P1374-(N1343-MIN(MAX(O1374,0),N1343))),MAX(0,1*N1343-(O1374-MIN(MAX(O1374,0),N1343)))))</f>
        <v>40811.174599434162</v>
      </c>
      <c r="O1375" s="18">
        <f>IF($A1375&gt;40,O1374,(O1374-N1343+N1375)*(1+$C$7))</f>
        <v>41328.655529244832</v>
      </c>
      <c r="P1375" s="18">
        <f t="shared" si="160"/>
        <v>327090.12169649045</v>
      </c>
      <c r="Q1375" s="18">
        <f>IF($A1375&gt;40,0,(Q1343-MIN(MAX(R1374,0),Q1343))+MIN(MAX(0,S1374-(Q1343-MIN(MAX(R1374,0),Q1343))),MAX(0,1*Q1343-(R1374-MIN(MAX(R1374,0),Q1343)))))</f>
        <v>40811.175219784927</v>
      </c>
      <c r="R1375" s="18">
        <f>IF($A1375&gt;40,R1374,(R1374-Q1343+Q1375)*(1+$C$7))</f>
        <v>41328.656157461577</v>
      </c>
      <c r="S1375" s="18">
        <f t="shared" si="161"/>
        <v>327090.08977279271</v>
      </c>
    </row>
    <row r="1376" spans="1:19">
      <c r="A1376" s="10">
        <f>31</f>
        <v>31</v>
      </c>
      <c r="B1376" s="18">
        <f>IF($A1376&gt;40,0,(B1343-MIN(MAX(C1375,0),B1343))+MIN(MAX(0,D1375-(B1343-MIN(MAX(C1375,0),B1343))),MAX(0,1*B1343-(C1375-MIN(MAX(C1375,0),B1343)))))</f>
        <v>29811</v>
      </c>
      <c r="C1376" s="18">
        <f>IF($A1376&gt;40,C1375,(C1375-B1343+B1376)*(1+$C$7))</f>
        <v>30189</v>
      </c>
      <c r="D1376" s="18">
        <f t="shared" si="156"/>
        <v>889256.68545602972</v>
      </c>
      <c r="E1376" s="18">
        <f>IF($A1376&gt;40,0,(E1343-MIN(MAX(F1375,0),E1343))+MIN(MAX(0,G1375-(E1343-MIN(MAX(F1375,0),E1343))),MAX(0,1*E1343-(F1375-MIN(MAX(F1375,0),E1343)))))</f>
        <v>75000</v>
      </c>
      <c r="F1376" s="18">
        <f>IF($A1376&gt;40,F1375,(F1375-E1343+E1376)*(1+$C$7))</f>
        <v>0</v>
      </c>
      <c r="G1376" s="18">
        <f t="shared" si="157"/>
        <v>-1416162.6915235834</v>
      </c>
      <c r="H1376" s="18">
        <f>IF($A1376&gt;40,0,(H1343-MIN(MAX(I1375,0),H1343))+MIN(MAX(0,J1375-(H1343-MIN(MAX(I1375,0),H1343))),MAX(0,1*H1343-(I1375-MIN(MAX(I1375,0),H1343)))))</f>
        <v>40999.752170370353</v>
      </c>
      <c r="I1376" s="18">
        <f>IF($A1376&gt;40,I1375,(I1375-H1343+H1376)*(1+$C$7))</f>
        <v>41519.624241766811</v>
      </c>
      <c r="J1376" s="18">
        <f t="shared" si="158"/>
        <v>284677.61328647006</v>
      </c>
      <c r="K1376" s="18">
        <f>IF($A1376&gt;40,0,(K1343-MIN(MAX(L1375,0),K1343))+MIN(MAX(0,M1375-(K1343-MIN(MAX(L1375,0),K1343))),MAX(0,1*K1343-(L1375-MIN(MAX(L1375,0),K1343)))))</f>
        <v>40811.148255626918</v>
      </c>
      <c r="L1376" s="18">
        <f>IF($A1376&gt;40,L1375,(L1375-K1343+K1376)*(1+$C$7))</f>
        <v>41328.628851401198</v>
      </c>
      <c r="M1376" s="18">
        <f t="shared" si="159"/>
        <v>294868.73898546281</v>
      </c>
      <c r="N1376" s="18">
        <f>IF($A1376&gt;40,0,(N1343-MIN(MAX(O1375,0),N1343))+MIN(MAX(0,P1375-(N1343-MIN(MAX(O1375,0),N1343))),MAX(0,1*N1343-(O1375-MIN(MAX(O1375,0),N1343)))))</f>
        <v>40811.174599434162</v>
      </c>
      <c r="O1376" s="18">
        <f>IF($A1376&gt;40,O1375,(O1375-N1343+N1376)*(1+$C$7))</f>
        <v>41328.655529244832</v>
      </c>
      <c r="P1376" s="18">
        <f t="shared" si="160"/>
        <v>294867.31550996803</v>
      </c>
      <c r="Q1376" s="18">
        <f>IF($A1376&gt;40,0,(Q1343-MIN(MAX(R1375,0),Q1343))+MIN(MAX(0,S1375-(Q1343-MIN(MAX(R1375,0),Q1343))),MAX(0,1*Q1343-(R1375-MIN(MAX(R1375,0),Q1343)))))</f>
        <v>40811.175219784927</v>
      </c>
      <c r="R1376" s="18">
        <f>IF($A1376&gt;40,R1375,(R1375-Q1343+Q1376)*(1+$C$7))</f>
        <v>41328.656157461577</v>
      </c>
      <c r="S1376" s="18">
        <f t="shared" si="161"/>
        <v>294867.28198959806</v>
      </c>
    </row>
    <row r="1377" spans="1:19">
      <c r="A1377" s="10">
        <f>32</f>
        <v>32</v>
      </c>
      <c r="B1377" s="18">
        <f>IF($A1377&gt;40,0,(B1343-MIN(MAX(C1376,0),B1343))+MIN(MAX(0,D1376-(B1343-MIN(MAX(C1376,0),B1343))),MAX(0,1*B1343-(C1376-MIN(MAX(C1376,0),B1343)))))</f>
        <v>29811</v>
      </c>
      <c r="C1377" s="18">
        <f>IF($A1377&gt;40,C1376,(C1376-B1343+B1377)*(1+$C$7))</f>
        <v>30189</v>
      </c>
      <c r="D1377" s="18">
        <f t="shared" si="156"/>
        <v>885229.05601971061</v>
      </c>
      <c r="E1377" s="18">
        <f>IF($A1377&gt;40,0,(E1343-MIN(MAX(F1376,0),E1343))+MIN(MAX(0,G1376-(E1343-MIN(MAX(F1376,0),E1343))),MAX(0,1*E1343-(F1376-MIN(MAX(F1376,0),E1343)))))</f>
        <v>75000</v>
      </c>
      <c r="F1377" s="18">
        <f>IF($A1377&gt;40,F1376,(F1376-E1343+E1377)*(1+$C$7))</f>
        <v>0</v>
      </c>
      <c r="G1377" s="18">
        <f t="shared" si="157"/>
        <v>-1535897.5722692909</v>
      </c>
      <c r="H1377" s="18">
        <f>IF($A1377&gt;40,0,(H1343-MIN(MAX(I1376,0),H1343))+MIN(MAX(0,J1376-(H1343-MIN(MAX(I1376,0),H1343))),MAX(0,1*H1343-(I1376-MIN(MAX(I1376,0),H1343)))))</f>
        <v>40999.752170370353</v>
      </c>
      <c r="I1377" s="18">
        <f>IF($A1377&gt;40,I1376,(I1376-H1343+H1377)*(1+$C$7))</f>
        <v>41519.624241766811</v>
      </c>
      <c r="J1377" s="18">
        <f t="shared" si="158"/>
        <v>250988.19694958269</v>
      </c>
      <c r="K1377" s="18">
        <f>IF($A1377&gt;40,0,(K1343-MIN(MAX(L1376,0),K1343))+MIN(MAX(0,M1376-(K1343-MIN(MAX(L1376,0),K1343))),MAX(0,1*K1343-(L1376-MIN(MAX(L1376,0),K1343)))))</f>
        <v>40811.148255626918</v>
      </c>
      <c r="L1377" s="18">
        <f>IF($A1377&gt;40,L1376,(L1376-K1343+K1377)*(1+$C$7))</f>
        <v>41328.628851401198</v>
      </c>
      <c r="M1377" s="18">
        <f t="shared" si="159"/>
        <v>261679.318451731</v>
      </c>
      <c r="N1377" s="18">
        <f>IF($A1377&gt;40,0,(N1343-MIN(MAX(O1376,0),N1343))+MIN(MAX(0,P1376-(N1343-MIN(MAX(O1376,0),N1343))),MAX(0,1*N1343-(O1376-MIN(MAX(O1376,0),N1343)))))</f>
        <v>40811.174599434162</v>
      </c>
      <c r="O1377" s="18">
        <f>IF($A1377&gt;40,O1376,(O1376-N1343+N1377)*(1+$C$7))</f>
        <v>41328.655529244832</v>
      </c>
      <c r="P1377" s="18">
        <f t="shared" si="160"/>
        <v>261677.8251378499</v>
      </c>
      <c r="Q1377" s="18">
        <f>IF($A1377&gt;40,0,(Q1343-MIN(MAX(R1376,0),Q1343))+MIN(MAX(0,S1376-(Q1343-MIN(MAX(R1376,0),Q1343))),MAX(0,1*Q1343-(R1376-MIN(MAX(R1376,0),Q1343)))))</f>
        <v>40811.175219784927</v>
      </c>
      <c r="R1377" s="18">
        <f>IF($A1377&gt;40,R1376,(R1376-Q1343+Q1377)*(1+$C$7))</f>
        <v>41328.656157461577</v>
      </c>
      <c r="S1377" s="18">
        <f t="shared" si="161"/>
        <v>261677.78997290754</v>
      </c>
    </row>
    <row r="1378" spans="1:19">
      <c r="A1378" s="10">
        <f>33</f>
        <v>33</v>
      </c>
      <c r="B1378" s="18">
        <f>IF($A1378&gt;40,0,(B1343-MIN(MAX(C1377,0),B1343))+MIN(MAX(0,D1377-(B1343-MIN(MAX(C1377,0),B1343))),MAX(0,1*B1343-(C1377-MIN(MAX(C1377,0),B1343)))))</f>
        <v>29811</v>
      </c>
      <c r="C1378" s="18">
        <f>IF($A1378&gt;40,C1377,(C1377-B1343+B1378)*(1+$C$7))</f>
        <v>30189</v>
      </c>
      <c r="D1378" s="18">
        <f t="shared" si="156"/>
        <v>881080.59770030191</v>
      </c>
      <c r="E1378" s="18">
        <f>IF($A1378&gt;40,0,(E1343-MIN(MAX(F1377,0),E1343))+MIN(MAX(0,G1377-(E1343-MIN(MAX(F1377,0),E1343))),MAX(0,1*E1343-(F1377-MIN(MAX(F1377,0),E1343)))))</f>
        <v>75000</v>
      </c>
      <c r="F1378" s="18">
        <f>IF($A1378&gt;40,F1377,(F1377-E1343+E1378)*(1+$C$7))</f>
        <v>0</v>
      </c>
      <c r="G1378" s="18">
        <f t="shared" si="157"/>
        <v>-1659224.4994373696</v>
      </c>
      <c r="H1378" s="18">
        <f>IF($A1378&gt;40,0,(H1343-MIN(MAX(I1377,0),H1343))+MIN(MAX(0,J1377-(H1343-MIN(MAX(I1377,0),H1343))),MAX(0,1*H1343-(I1377-MIN(MAX(I1377,0),H1343)))))</f>
        <v>40999.752170370353</v>
      </c>
      <c r="I1378" s="18">
        <f>IF($A1378&gt;40,I1377,(I1377-H1343+H1378)*(1+$C$7))</f>
        <v>41519.624241766811</v>
      </c>
      <c r="J1378" s="18">
        <f t="shared" si="158"/>
        <v>216288.09812258874</v>
      </c>
      <c r="K1378" s="18">
        <f>IF($A1378&gt;40,0,(K1343-MIN(MAX(L1377,0),K1343))+MIN(MAX(0,M1377-(K1343-MIN(MAX(L1377,0),K1343))),MAX(0,1*K1343-(L1377-MIN(MAX(L1377,0),K1343)))))</f>
        <v>40811.148255626918</v>
      </c>
      <c r="L1378" s="18">
        <f>IF($A1378&gt;40,L1377,(L1377-K1343+K1378)*(1+$C$7))</f>
        <v>41328.628851401198</v>
      </c>
      <c r="M1378" s="18">
        <f t="shared" si="159"/>
        <v>227494.21530198722</v>
      </c>
      <c r="N1378" s="18">
        <f>IF($A1378&gt;40,0,(N1343-MIN(MAX(O1377,0),N1343))+MIN(MAX(0,P1377-(N1343-MIN(MAX(O1377,0),N1343))),MAX(0,1*N1343-(O1377-MIN(MAX(O1377,0),N1343)))))</f>
        <v>40811.174599434162</v>
      </c>
      <c r="O1378" s="18">
        <f>IF($A1378&gt;40,O1377,(O1377-N1343+N1378)*(1+$C$7))</f>
        <v>41328.655529244832</v>
      </c>
      <c r="P1378" s="18">
        <f t="shared" si="160"/>
        <v>227492.65005456822</v>
      </c>
      <c r="Q1378" s="18">
        <f>IF($A1378&gt;40,0,(Q1343-MIN(MAX(R1377,0),Q1343))+MIN(MAX(0,S1377-(Q1343-MIN(MAX(R1377,0),Q1343))),MAX(0,1*Q1343-(R1377-MIN(MAX(R1377,0),Q1343)))))</f>
        <v>40811.175219784927</v>
      </c>
      <c r="R1378" s="18">
        <f>IF($A1378&gt;40,R1377,(R1377-Q1343+Q1378)*(1+$C$7))</f>
        <v>41328.656157461577</v>
      </c>
      <c r="S1378" s="18">
        <f t="shared" si="161"/>
        <v>227492.61319571629</v>
      </c>
    </row>
    <row r="1379" spans="1:19">
      <c r="A1379" s="10">
        <f>34</f>
        <v>34</v>
      </c>
      <c r="B1379" s="18">
        <f>IF($A1379&gt;40,0,(B1343-MIN(MAX(C1378,0),B1343))+MIN(MAX(0,D1378-(B1343-MIN(MAX(C1378,0),B1343))),MAX(0,1*B1343-(C1378-MIN(MAX(C1378,0),B1343)))))</f>
        <v>29811</v>
      </c>
      <c r="C1379" s="18">
        <f>IF($A1379&gt;40,C1378,(C1378-B1343+B1379)*(1+$C$7))</f>
        <v>30189</v>
      </c>
      <c r="D1379" s="18">
        <f t="shared" si="156"/>
        <v>876807.68563131103</v>
      </c>
      <c r="E1379" s="18">
        <f>IF($A1379&gt;40,0,(E1343-MIN(MAX(F1378,0),E1343))+MIN(MAX(0,G1378-(E1343-MIN(MAX(F1378,0),E1343))),MAX(0,1*E1343-(F1378-MIN(MAX(F1378,0),E1343)))))</f>
        <v>75000</v>
      </c>
      <c r="F1379" s="18">
        <f>IF($A1379&gt;40,F1378,(F1378-E1343+E1379)*(1+$C$7))</f>
        <v>0</v>
      </c>
      <c r="G1379" s="18">
        <f t="shared" si="157"/>
        <v>-1786251.2344204907</v>
      </c>
      <c r="H1379" s="18">
        <f>IF($A1379&gt;40,0,(H1343-MIN(MAX(I1378,0),H1343))+MIN(MAX(0,J1378-(H1343-MIN(MAX(I1378,0),H1343))),MAX(0,1*H1343-(I1378-MIN(MAX(I1378,0),H1343)))))</f>
        <v>40999.752170370353</v>
      </c>
      <c r="I1379" s="18">
        <f>IF($A1379&gt;40,I1378,(I1378-H1343+H1379)*(1+$C$7))</f>
        <v>41519.624241766811</v>
      </c>
      <c r="J1379" s="18">
        <f t="shared" si="158"/>
        <v>180546.99633078495</v>
      </c>
      <c r="K1379" s="18">
        <f>IF($A1379&gt;40,0,(K1343-MIN(MAX(L1378,0),K1343))+MIN(MAX(0,M1378-(K1343-MIN(MAX(L1378,0),K1343))),MAX(0,1*K1343-(L1378-MIN(MAX(L1378,0),K1343)))))</f>
        <v>40811.148255626918</v>
      </c>
      <c r="L1379" s="18">
        <f>IF($A1379&gt;40,L1378,(L1378-K1343+K1379)*(1+$C$7))</f>
        <v>41328.628851401198</v>
      </c>
      <c r="M1379" s="18">
        <f t="shared" si="159"/>
        <v>192283.55905775109</v>
      </c>
      <c r="N1379" s="18">
        <f>IF($A1379&gt;40,0,(N1343-MIN(MAX(O1378,0),N1343))+MIN(MAX(0,P1378-(N1343-MIN(MAX(O1378,0),N1343))),MAX(0,1*N1343-(O1378-MIN(MAX(O1378,0),N1343)))))</f>
        <v>40811.174599434162</v>
      </c>
      <c r="O1379" s="18">
        <f>IF($A1379&gt;40,O1378,(O1378-N1343+N1379)*(1+$C$7))</f>
        <v>41328.655529244832</v>
      </c>
      <c r="P1379" s="18">
        <f t="shared" si="160"/>
        <v>192281.91971878809</v>
      </c>
      <c r="Q1379" s="18">
        <f>IF($A1379&gt;40,0,(Q1343-MIN(MAX(R1378,0),Q1343))+MIN(MAX(0,S1378-(Q1343-MIN(MAX(R1378,0),Q1343))),MAX(0,1*Q1343-(R1378-MIN(MAX(R1378,0),Q1343)))))</f>
        <v>40811.175219784927</v>
      </c>
      <c r="R1379" s="18">
        <f>IF($A1379&gt;40,R1378,(R1378-Q1343+Q1379)*(1+$C$7))</f>
        <v>41328.656157461577</v>
      </c>
      <c r="S1379" s="18">
        <f t="shared" si="161"/>
        <v>192281.88111520931</v>
      </c>
    </row>
    <row r="1380" spans="1:19">
      <c r="A1380" s="10">
        <f>35</f>
        <v>35</v>
      </c>
      <c r="B1380" s="18">
        <f>IF($A1380&gt;40,0,(B1343-MIN(MAX(C1379,0),B1343))+MIN(MAX(0,D1379-(B1343-MIN(MAX(C1379,0),B1343))),MAX(0,1*B1343-(C1379-MIN(MAX(C1379,0),B1343)))))</f>
        <v>29811</v>
      </c>
      <c r="C1380" s="18">
        <f>IF($A1380&gt;40,C1379,(C1379-B1343+B1380)*(1+$C$7))</f>
        <v>30189</v>
      </c>
      <c r="D1380" s="18">
        <f t="shared" si="156"/>
        <v>872406.58620025043</v>
      </c>
      <c r="E1380" s="18">
        <f>IF($A1380&gt;40,0,(E1343-MIN(MAX(F1379,0),E1343))+MIN(MAX(0,G1379-(E1343-MIN(MAX(F1379,0),E1343))),MAX(0,1*E1343-(F1379-MIN(MAX(F1379,0),E1343)))))</f>
        <v>75000</v>
      </c>
      <c r="F1380" s="18">
        <f>IF($A1380&gt;40,F1379,(F1379-E1343+E1380)*(1+$C$7))</f>
        <v>0</v>
      </c>
      <c r="G1380" s="18">
        <f t="shared" si="157"/>
        <v>-1917088.7714531054</v>
      </c>
      <c r="H1380" s="18">
        <f>IF($A1380&gt;40,0,(H1343-MIN(MAX(I1379,0),H1343))+MIN(MAX(0,J1379-(H1343-MIN(MAX(I1379,0),H1343))),MAX(0,1*H1343-(I1379-MIN(MAX(I1379,0),H1343)))))</f>
        <v>40999.752170370353</v>
      </c>
      <c r="I1380" s="18">
        <f>IF($A1380&gt;40,I1379,(I1379-H1343+H1380)*(1+$C$7))</f>
        <v>41519.624241766811</v>
      </c>
      <c r="J1380" s="18">
        <f t="shared" si="158"/>
        <v>143733.66148522706</v>
      </c>
      <c r="K1380" s="18">
        <f>IF($A1380&gt;40,0,(K1343-MIN(MAX(L1379,0),K1343))+MIN(MAX(0,M1379-(K1343-MIN(MAX(L1379,0),K1343))),MAX(0,1*K1343-(L1379-MIN(MAX(L1379,0),K1343)))))</f>
        <v>40811.148255626918</v>
      </c>
      <c r="L1380" s="18">
        <f>IF($A1380&gt;40,L1379,(L1379-K1343+K1380)*(1+$C$7))</f>
        <v>41328.628851401198</v>
      </c>
      <c r="M1380" s="18">
        <f t="shared" si="159"/>
        <v>156016.58312618791</v>
      </c>
      <c r="N1380" s="18">
        <f>IF($A1380&gt;40,0,(N1343-MIN(MAX(O1379,0),N1343))+MIN(MAX(0,P1379-(N1343-MIN(MAX(O1379,0),N1343))),MAX(0,1*N1343-(O1379-MIN(MAX(O1379,0),N1343)))))</f>
        <v>40811.174599434162</v>
      </c>
      <c r="O1380" s="18">
        <f>IF($A1380&gt;40,O1379,(O1379-N1343+N1380)*(1+$C$7))</f>
        <v>41328.655529244832</v>
      </c>
      <c r="P1380" s="18">
        <f t="shared" si="160"/>
        <v>156014.86747293457</v>
      </c>
      <c r="Q1380" s="18">
        <f>IF($A1380&gt;40,0,(Q1343-MIN(MAX(R1379,0),Q1343))+MIN(MAX(0,S1379-(Q1343-MIN(MAX(R1379,0),Q1343))),MAX(0,1*Q1343-(R1379-MIN(MAX(R1379,0),Q1343)))))</f>
        <v>40811.175219784927</v>
      </c>
      <c r="R1380" s="18">
        <f>IF($A1380&gt;40,R1379,(R1379-Q1343+Q1380)*(1+$C$7))</f>
        <v>41328.656157461577</v>
      </c>
      <c r="S1380" s="18">
        <f t="shared" si="161"/>
        <v>156014.82707228712</v>
      </c>
    </row>
    <row r="1381" spans="1:19">
      <c r="A1381" s="10">
        <f>36</f>
        <v>36</v>
      </c>
      <c r="B1381" s="18">
        <f>IF($A1381&gt;40,0,(B1343-MIN(MAX(C1380,0),B1343))+MIN(MAX(0,D1380-(B1343-MIN(MAX(C1380,0),B1343))),MAX(0,1*B1343-(C1380-MIN(MAX(C1380,0),B1343)))))</f>
        <v>29811</v>
      </c>
      <c r="C1381" s="18">
        <f>IF($A1381&gt;40,C1380,(C1380-B1343+B1381)*(1+$C$7))</f>
        <v>30189</v>
      </c>
      <c r="D1381" s="18">
        <f t="shared" si="156"/>
        <v>867873.453786258</v>
      </c>
      <c r="E1381" s="18">
        <f>IF($A1381&gt;40,0,(E1343-MIN(MAX(F1380,0),E1343))+MIN(MAX(0,G1380-(E1343-MIN(MAX(F1380,0),E1343))),MAX(0,1*E1343-(F1380-MIN(MAX(F1380,0),E1343)))))</f>
        <v>75000</v>
      </c>
      <c r="F1381" s="18">
        <f>IF($A1381&gt;40,F1380,(F1380-E1343+E1381)*(1+$C$7))</f>
        <v>0</v>
      </c>
      <c r="G1381" s="18">
        <f t="shared" si="157"/>
        <v>-2051851.4345966985</v>
      </c>
      <c r="H1381" s="18">
        <f>IF($A1381&gt;40,0,(H1343-MIN(MAX(I1380,0),H1343))+MIN(MAX(0,J1380-(H1343-MIN(MAX(I1380,0),H1343))),MAX(0,1*H1343-(I1380-MIN(MAX(I1380,0),H1343)))))</f>
        <v>40999.752170370353</v>
      </c>
      <c r="I1381" s="18">
        <f>IF($A1381&gt;40,I1380,(I1380-H1343+H1381)*(1+$C$7))</f>
        <v>41519.624241766811</v>
      </c>
      <c r="J1381" s="18">
        <f t="shared" si="158"/>
        <v>105815.92659430241</v>
      </c>
      <c r="K1381" s="18">
        <f>IF($A1381&gt;40,0,(K1343-MIN(MAX(L1380,0),K1343))+MIN(MAX(0,M1380-(K1343-MIN(MAX(L1380,0),K1343))),MAX(0,1*K1343-(L1380-MIN(MAX(L1380,0),K1343)))))</f>
        <v>40811.148255626918</v>
      </c>
      <c r="L1381" s="18">
        <f>IF($A1381&gt;40,L1380,(L1380-K1343+K1381)*(1+$C$7))</f>
        <v>41328.628851401198</v>
      </c>
      <c r="M1381" s="18">
        <f t="shared" si="159"/>
        <v>118661.59791667783</v>
      </c>
      <c r="N1381" s="18">
        <f>IF($A1381&gt;40,0,(N1343-MIN(MAX(O1380,0),N1343))+MIN(MAX(0,P1380-(N1343-MIN(MAX(O1380,0),N1343))),MAX(0,1*N1343-(O1380-MIN(MAX(O1380,0),N1343)))))</f>
        <v>40811.174599434162</v>
      </c>
      <c r="O1381" s="18">
        <f>IF($A1381&gt;40,O1380,(O1380-N1343+N1381)*(1+$C$7))</f>
        <v>41328.655529244832</v>
      </c>
      <c r="P1381" s="18">
        <f t="shared" si="160"/>
        <v>118659.80365970542</v>
      </c>
      <c r="Q1381" s="18">
        <f>IF($A1381&gt;40,0,(Q1343-MIN(MAX(R1380,0),Q1343))+MIN(MAX(0,S1380-(Q1343-MIN(MAX(R1380,0),Q1343))),MAX(0,1*Q1343-(R1380-MIN(MAX(R1380,0),Q1343)))))</f>
        <v>40811.175219784927</v>
      </c>
      <c r="R1381" s="18">
        <f>IF($A1381&gt;40,R1380,(R1380-Q1343+Q1381)*(1+$C$7))</f>
        <v>41328.656157461577</v>
      </c>
      <c r="S1381" s="18">
        <f t="shared" si="161"/>
        <v>118659.76140807726</v>
      </c>
    </row>
    <row r="1382" spans="1:19">
      <c r="A1382" s="10">
        <f>37</f>
        <v>37</v>
      </c>
      <c r="B1382" s="18">
        <f>IF($A1382&gt;40,0,(B1343-MIN(MAX(C1381,0),B1343))+MIN(MAX(0,D1381-(B1343-MIN(MAX(C1381,0),B1343))),MAX(0,1*B1343-(C1381-MIN(MAX(C1381,0),B1343)))))</f>
        <v>29811</v>
      </c>
      <c r="C1382" s="18">
        <f>IF($A1382&gt;40,C1381,(C1381-B1343+B1382)*(1+$C$7))</f>
        <v>30189</v>
      </c>
      <c r="D1382" s="18">
        <f t="shared" si="156"/>
        <v>863204.32739984582</v>
      </c>
      <c r="E1382" s="18">
        <f>IF($A1382&gt;40,0,(E1343-MIN(MAX(F1381,0),E1343))+MIN(MAX(0,G1381-(E1343-MIN(MAX(F1381,0),E1343))),MAX(0,1*E1343-(F1381-MIN(MAX(F1381,0),E1343)))))</f>
        <v>75000</v>
      </c>
      <c r="F1382" s="18">
        <f>IF($A1382&gt;40,F1381,(F1381-E1343+E1382)*(1+$C$7))</f>
        <v>0</v>
      </c>
      <c r="G1382" s="18">
        <f t="shared" si="157"/>
        <v>-2190656.9776345999</v>
      </c>
      <c r="H1382" s="18">
        <f>IF($A1382&gt;40,0,(H1343-MIN(MAX(I1381,0),H1343))+MIN(MAX(0,J1381-(H1343-MIN(MAX(I1381,0),H1343))),MAX(0,1*H1343-(I1381-MIN(MAX(I1381,0),H1343)))))</f>
        <v>40999.752170370353</v>
      </c>
      <c r="I1382" s="18">
        <f>IF($A1382&gt;40,I1381,(I1381-H1343+H1382)*(1+$C$7))</f>
        <v>41519.624241766811</v>
      </c>
      <c r="J1382" s="18">
        <f t="shared" si="158"/>
        <v>66760.659656650023</v>
      </c>
      <c r="K1382" s="18">
        <f>IF($A1382&gt;40,0,(K1343-MIN(MAX(L1381,0),K1343))+MIN(MAX(0,M1381-(K1343-MIN(MAX(L1381,0),K1343))),MAX(0,1*K1343-(L1381-MIN(MAX(L1381,0),K1343)))))</f>
        <v>40811.148255626918</v>
      </c>
      <c r="L1382" s="18">
        <f>IF($A1382&gt;40,L1381,(L1381-K1343+K1382)*(1+$C$7))</f>
        <v>41328.628851401198</v>
      </c>
      <c r="M1382" s="18">
        <f t="shared" si="159"/>
        <v>80185.963150882439</v>
      </c>
      <c r="N1382" s="18">
        <f>IF($A1382&gt;40,0,(N1343-MIN(MAX(O1381,0),N1343))+MIN(MAX(0,P1381-(N1343-MIN(MAX(O1381,0),N1343))),MAX(0,1*N1343-(O1381-MIN(MAX(O1381,0),N1343)))))</f>
        <v>40811.174599434162</v>
      </c>
      <c r="O1382" s="18">
        <f>IF($A1382&gt;40,O1381,(O1381-N1343+N1382)*(1+$C$7))</f>
        <v>41328.655529244832</v>
      </c>
      <c r="P1382" s="18">
        <f t="shared" si="160"/>
        <v>80184.08793207939</v>
      </c>
      <c r="Q1382" s="18">
        <f>IF($A1382&gt;40,0,(Q1343-MIN(MAX(R1381,0),Q1343))+MIN(MAX(0,S1381-(Q1343-MIN(MAX(R1381,0),Q1343))),MAX(0,1*Q1343-(R1381-MIN(MAX(R1381,0),Q1343)))))</f>
        <v>40811.175219784927</v>
      </c>
      <c r="R1382" s="18">
        <f>IF($A1382&gt;40,R1381,(R1381-Q1343+Q1382)*(1+$C$7))</f>
        <v>41328.656157461577</v>
      </c>
      <c r="S1382" s="18">
        <f t="shared" si="161"/>
        <v>80184.043773941114</v>
      </c>
    </row>
    <row r="1383" spans="1:19">
      <c r="A1383" s="10">
        <f>38</f>
        <v>38</v>
      </c>
      <c r="B1383" s="18">
        <f>IF($A1383&gt;40,0,(B1343-MIN(MAX(C1382,0),B1343))+MIN(MAX(0,D1382-(B1343-MIN(MAX(C1382,0),B1343))),MAX(0,1*B1343-(C1382-MIN(MAX(C1382,0),B1343)))))</f>
        <v>29811</v>
      </c>
      <c r="C1383" s="18">
        <f>IF($A1383&gt;40,C1382,(C1382-B1343+B1383)*(1+$C$7))</f>
        <v>30189</v>
      </c>
      <c r="D1383" s="18">
        <f t="shared" si="156"/>
        <v>858395.12722184125</v>
      </c>
      <c r="E1383" s="18">
        <f>IF($A1383&gt;40,0,(E1343-MIN(MAX(F1382,0),E1343))+MIN(MAX(0,G1382-(E1343-MIN(MAX(F1382,0),E1343))),MAX(0,1*E1343-(F1382-MIN(MAX(F1382,0),E1343)))))</f>
        <v>75000</v>
      </c>
      <c r="F1383" s="18">
        <f>IF($A1383&gt;40,F1382,(F1382-E1343+E1383)*(1+$C$7))</f>
        <v>0</v>
      </c>
      <c r="G1383" s="18">
        <f t="shared" si="157"/>
        <v>-2333626.6869636378</v>
      </c>
      <c r="H1383" s="18">
        <f>IF($A1383&gt;40,0,(H1343-MIN(MAX(I1382,0),H1343))+MIN(MAX(0,J1382-(H1343-MIN(MAX(I1382,0),H1343))),MAX(0,1*H1343-(I1382-MIN(MAX(I1382,0),H1343)))))</f>
        <v>40999.752170370353</v>
      </c>
      <c r="I1383" s="18">
        <f>IF($A1383&gt;40,I1382,(I1382-H1343+H1383)*(1+$C$7))</f>
        <v>41519.624241766811</v>
      </c>
      <c r="J1383" s="18">
        <f t="shared" si="158"/>
        <v>26533.734710868059</v>
      </c>
      <c r="K1383" s="18">
        <f>IF($A1383&gt;40,0,(K1343-MIN(MAX(L1382,0),K1343))+MIN(MAX(0,M1382-(K1343-MIN(MAX(L1382,0),K1343))),MAX(0,1*K1343-(L1382-MIN(MAX(L1382,0),K1343)))))</f>
        <v>40811.148255626918</v>
      </c>
      <c r="L1383" s="18">
        <f>IF($A1383&gt;40,L1382,(L1382-K1343+K1383)*(1+$C$7))</f>
        <v>41328.628851401198</v>
      </c>
      <c r="M1383" s="18">
        <f t="shared" si="159"/>
        <v>40556.059342113185</v>
      </c>
      <c r="N1383" s="18">
        <f>IF($A1383&gt;40,0,(N1343-MIN(MAX(O1382,0),N1343))+MIN(MAX(0,P1382-(N1343-MIN(MAX(O1382,0),N1343))),MAX(0,1*N1343-(O1382-MIN(MAX(O1382,0),N1343)))))</f>
        <v>40811.174599434162</v>
      </c>
      <c r="O1383" s="18">
        <f>IF($A1383&gt;40,O1382,(O1382-N1343+N1383)*(1+$C$7))</f>
        <v>41328.655529244832</v>
      </c>
      <c r="P1383" s="18">
        <f t="shared" si="160"/>
        <v>40554.100732624589</v>
      </c>
      <c r="Q1383" s="18">
        <f>IF($A1383&gt;40,0,(Q1343-MIN(MAX(R1382,0),Q1343))+MIN(MAX(0,S1382-(Q1343-MIN(MAX(R1382,0),Q1343))),MAX(0,1*Q1343-(R1382-MIN(MAX(R1382,0),Q1343)))))</f>
        <v>40811.175219784927</v>
      </c>
      <c r="R1383" s="18">
        <f>IF($A1383&gt;40,R1382,(R1382-Q1343+Q1383)*(1+$C$7))</f>
        <v>41328.656157461577</v>
      </c>
      <c r="S1383" s="18">
        <f t="shared" si="161"/>
        <v>40554.05461078087</v>
      </c>
    </row>
    <row r="1384" spans="1:19">
      <c r="A1384" s="10">
        <f>39</f>
        <v>39</v>
      </c>
      <c r="B1384" s="18">
        <f>IF($A1384&gt;40,0,(B1343-MIN(MAX(C1383,0),B1343))+MIN(MAX(0,D1383-(B1343-MIN(MAX(C1383,0),B1343))),MAX(0,1*B1343-(C1383-MIN(MAX(C1383,0),B1343)))))</f>
        <v>29811</v>
      </c>
      <c r="C1384" s="18">
        <f>IF($A1384&gt;40,C1383,(C1383-B1343+B1384)*(1+$C$7))</f>
        <v>30189</v>
      </c>
      <c r="D1384" s="18">
        <f t="shared" si="156"/>
        <v>853441.65103849652</v>
      </c>
      <c r="E1384" s="18">
        <f>IF($A1384&gt;40,0,(E1343-MIN(MAX(F1383,0),E1343))+MIN(MAX(0,G1383-(E1343-MIN(MAX(F1383,0),E1343))),MAX(0,1*E1343-(F1383-MIN(MAX(F1383,0),E1343)))))</f>
        <v>75000</v>
      </c>
      <c r="F1384" s="18">
        <f>IF($A1384&gt;40,F1383,(F1383-E1343+E1384)*(1+$C$7))</f>
        <v>0</v>
      </c>
      <c r="G1384" s="18">
        <f t="shared" si="157"/>
        <v>-2480885.487572547</v>
      </c>
      <c r="H1384" s="18">
        <f>IF($A1384&gt;40,0,(H1343-MIN(MAX(I1383,0),H1343))+MIN(MAX(0,J1383-(H1343-MIN(MAX(I1383,0),H1343))),MAX(0,1*H1343-(I1383-MIN(MAX(I1383,0),H1343)))))</f>
        <v>26533.734710868059</v>
      </c>
      <c r="I1384" s="18">
        <f>IF($A1384&gt;40,I1383,(I1383-H1343+H1384)*(1+$C$7))</f>
        <v>26962.470872269656</v>
      </c>
      <c r="J1384" s="18">
        <f t="shared" si="158"/>
        <v>0</v>
      </c>
      <c r="K1384" s="18">
        <f>IF($A1384&gt;40,0,(K1343-MIN(MAX(L1383,0),K1343))+MIN(MAX(0,M1383-(K1343-MIN(MAX(L1383,0),K1343))),MAX(0,1*K1343-(L1383-MIN(MAX(L1383,0),K1343)))))</f>
        <v>40556.059342113185</v>
      </c>
      <c r="L1384" s="18">
        <f>IF($A1384&gt;40,L1383,(L1383-K1343+K1384)*(1+$C$7))</f>
        <v>41071.932877732324</v>
      </c>
      <c r="M1384" s="18">
        <f t="shared" si="159"/>
        <v>0</v>
      </c>
      <c r="N1384" s="18">
        <f>IF($A1384&gt;40,0,(N1343-MIN(MAX(O1383,0),N1343))+MIN(MAX(0,P1383-(N1343-MIN(MAX(O1383,0),N1343))),MAX(0,1*N1343-(O1383-MIN(MAX(O1383,0),N1343)))))</f>
        <v>40554.100732624589</v>
      </c>
      <c r="O1384" s="18">
        <f>IF($A1384&gt;40,O1383,(O1383-N1343+N1384)*(1+$C$7))</f>
        <v>41069.962097074364</v>
      </c>
      <c r="P1384" s="18">
        <f t="shared" si="160"/>
        <v>0</v>
      </c>
      <c r="Q1384" s="18">
        <f>IF($A1384&gt;40,0,(Q1343-MIN(MAX(R1383,0),Q1343))+MIN(MAX(0,S1383-(Q1343-MIN(MAX(R1383,0),Q1343))),MAX(0,1*Q1343-(R1383-MIN(MAX(R1383,0),Q1343)))))</f>
        <v>40554.05461078087</v>
      </c>
      <c r="R1384" s="18">
        <f>IF($A1384&gt;40,R1383,(R1383-Q1343+Q1384)*(1+$C$7))</f>
        <v>41069.915688620793</v>
      </c>
      <c r="S1384" s="18">
        <f t="shared" si="161"/>
        <v>0</v>
      </c>
    </row>
    <row r="1385" spans="1:19">
      <c r="A1385" s="10">
        <f>40</f>
        <v>40</v>
      </c>
      <c r="B1385" s="18">
        <f>IF($A1385&gt;40,0,(B1343-MIN(MAX(C1384,0),B1343))+MIN(MAX(0,D1384-(B1343-MIN(MAX(C1384,0),B1343))),MAX(0,1*B1343-(C1384-MIN(MAX(C1384,0),B1343)))))</f>
        <v>29811</v>
      </c>
      <c r="C1385" s="18">
        <f>IF($A1385&gt;40,C1384,(C1384-B1343+B1385)*(1+$C$7))</f>
        <v>30189</v>
      </c>
      <c r="D1385" s="18">
        <f t="shared" si="156"/>
        <v>848339.57056965143</v>
      </c>
      <c r="E1385" s="18">
        <f>IF($A1385&gt;40,0,(E1343-MIN(MAX(F1384,0),E1343))+MIN(MAX(0,G1384-(E1343-MIN(MAX(F1384,0),E1343))),MAX(0,1*E1343-(F1384-MIN(MAX(F1384,0),E1343)))))</f>
        <v>75000</v>
      </c>
      <c r="F1385" s="18">
        <f>IF($A1385&gt;40,F1384,(F1384-E1343+E1385)*(1+$C$7))</f>
        <v>0</v>
      </c>
      <c r="G1385" s="18">
        <f t="shared" si="157"/>
        <v>-2632562.0521997237</v>
      </c>
      <c r="H1385" s="18">
        <f>IF($A1385&gt;40,0,(H1343-MIN(MAX(I1384,0),H1343))+MIN(MAX(0,J1384-(H1343-MIN(MAX(I1384,0),H1343))),MAX(0,1*H1343-(I1384-MIN(MAX(I1384,0),H1343)))))</f>
        <v>14297.217333798926</v>
      </c>
      <c r="I1385" s="18">
        <f>IF($A1385&gt;40,I1384,(I1384-H1343+H1385)*(1+$C$7))</f>
        <v>0</v>
      </c>
      <c r="J1385" s="18">
        <f t="shared" si="158"/>
        <v>-14726.133853812895</v>
      </c>
      <c r="K1385" s="18">
        <f>IF($A1385&gt;40,0,(K1343-MIN(MAX(L1384,0),K1343))+MIN(MAX(0,M1384-(K1343-MIN(MAX(L1384,0),K1343))),MAX(0,1*K1343-(L1384-MIN(MAX(L1384,0),K1343)))))</f>
        <v>0</v>
      </c>
      <c r="L1385" s="18">
        <f>IF($A1385&gt;40,L1384,(L1384-K1343+K1385)*(1+$C$7))</f>
        <v>2.0572034608414889</v>
      </c>
      <c r="M1385" s="18">
        <f t="shared" si="159"/>
        <v>0</v>
      </c>
      <c r="N1385" s="18">
        <f>IF($A1385&gt;40,0,(N1343-MIN(MAX(O1384,0),N1343))+MIN(MAX(0,P1384-(N1343-MIN(MAX(O1384,0),N1343))),MAX(0,1*N1343-(O1384-MIN(MAX(O1384,0),N1343)))))</f>
        <v>0</v>
      </c>
      <c r="O1385" s="18">
        <f>IF($A1385&gt;40,O1384,(O1384-N1343+N1385)*(1+$C$7))</f>
        <v>4.7329041096321453E-2</v>
      </c>
      <c r="P1385" s="18">
        <f t="shared" si="160"/>
        <v>0</v>
      </c>
      <c r="Q1385" s="18">
        <f>IF($A1385&gt;40,0,(Q1343-MIN(MAX(R1384,0),Q1343))+MIN(MAX(0,S1384-(Q1343-MIN(MAX(R1384,0),Q1343))),MAX(0,1*Q1343-(R1384-MIN(MAX(R1384,0),Q1343)))))</f>
        <v>2.459273673593998E-9</v>
      </c>
      <c r="R1385" s="18">
        <f>IF($A1385&gt;40,R1384,(R1384-Q1343+Q1385)*(1+$C$7))</f>
        <v>0</v>
      </c>
      <c r="S1385" s="18">
        <f t="shared" si="161"/>
        <v>-2.5330518838018178E-9</v>
      </c>
    </row>
    <row r="1386" spans="1:19">
      <c r="B1386" s="18">
        <f>C1385+D1385</f>
        <v>878528.57056965143</v>
      </c>
      <c r="E1386" s="18">
        <f>F1385+G1385</f>
        <v>-2632562.0521997237</v>
      </c>
      <c r="H1386" s="18">
        <f>I1385+J1385</f>
        <v>-14726.133853812895</v>
      </c>
      <c r="K1386" s="18">
        <f>L1385+M1385</f>
        <v>2.0572034608414889</v>
      </c>
      <c r="N1386" s="18">
        <f>O1385+P1385</f>
        <v>4.7329041096321453E-2</v>
      </c>
      <c r="Q1386" s="18">
        <f>R1385+S1385</f>
        <v>-2.5330518838018178E-9</v>
      </c>
    </row>
    <row r="1387" spans="1:19">
      <c r="A1387" s="5" t="s">
        <v>266</v>
      </c>
      <c r="B1387" s="18">
        <f>IFERROR(Q1343-Q1386*(Q1343-N1343)/(Q1386-N1386),Q1343)</f>
        <v>41069.915688623216</v>
      </c>
    </row>
    <row r="1389" spans="1:19">
      <c r="A1389" s="2" t="s">
        <v>293</v>
      </c>
    </row>
    <row r="1390" spans="1:19">
      <c r="B1390" s="9">
        <f>0.03*$B$5</f>
        <v>30000</v>
      </c>
      <c r="E1390" s="9">
        <f>0.075*$B$5</f>
        <v>75000</v>
      </c>
      <c r="H1390" s="18">
        <f>IFERROR(E1390-E1433*(E1390-B1390)/(E1433-B1433),E1390)</f>
        <v>40544.253698132401</v>
      </c>
      <c r="K1390" s="18">
        <f>IFERROR(H1390-H1433*(H1390-E1390)/(H1433-E1433),H1390)</f>
        <v>40190.102216164094</v>
      </c>
      <c r="N1390" s="18">
        <f>IFERROR(K1390-K1433*(K1390-H1390)/(K1433-H1433),K1390)</f>
        <v>40190.257274393909</v>
      </c>
      <c r="Q1390" s="18">
        <f>IFERROR(N1390-N1433*(N1390-K1390)/(N1433-K1433),N1390)</f>
        <v>40190.260924630646</v>
      </c>
    </row>
    <row r="1391" spans="1:19">
      <c r="A1391" s="25" t="s">
        <v>262</v>
      </c>
      <c r="B1391" s="25" t="s">
        <v>263</v>
      </c>
      <c r="C1391" s="25" t="s">
        <v>264</v>
      </c>
      <c r="D1391" s="25" t="s">
        <v>265</v>
      </c>
      <c r="E1391" s="25" t="s">
        <v>263</v>
      </c>
      <c r="F1391" s="25" t="s">
        <v>264</v>
      </c>
      <c r="G1391" s="25" t="s">
        <v>265</v>
      </c>
      <c r="H1391" s="25" t="s">
        <v>263</v>
      </c>
      <c r="I1391" s="25" t="s">
        <v>264</v>
      </c>
      <c r="J1391" s="25" t="s">
        <v>265</v>
      </c>
      <c r="K1391" s="25" t="s">
        <v>263</v>
      </c>
      <c r="L1391" s="25" t="s">
        <v>264</v>
      </c>
      <c r="M1391" s="25" t="s">
        <v>265</v>
      </c>
      <c r="N1391" s="25" t="s">
        <v>263</v>
      </c>
      <c r="O1391" s="25" t="s">
        <v>264</v>
      </c>
      <c r="P1391" s="25" t="s">
        <v>265</v>
      </c>
      <c r="Q1391" s="25" t="s">
        <v>263</v>
      </c>
      <c r="R1391" s="25" t="s">
        <v>264</v>
      </c>
      <c r="S1391" s="25" t="s">
        <v>265</v>
      </c>
    </row>
    <row r="1392" spans="1:19">
      <c r="A1392" s="3">
        <v>0</v>
      </c>
      <c r="C1392" s="18">
        <f>MIN(2*B1390,$B$5)</f>
        <v>60000</v>
      </c>
      <c r="D1392" s="18">
        <f>$B$5-C1392</f>
        <v>940000</v>
      </c>
      <c r="F1392" s="18">
        <f>MIN(2*E1390,$B$5)</f>
        <v>150000</v>
      </c>
      <c r="G1392" s="18">
        <f>$B$5-F1392</f>
        <v>850000</v>
      </c>
      <c r="I1392" s="18">
        <f>MIN(2*H1390,$B$5)</f>
        <v>81088.507396264802</v>
      </c>
      <c r="J1392" s="18">
        <f>$B$5-I1392</f>
        <v>918911.49260373518</v>
      </c>
      <c r="L1392" s="18">
        <f>MIN(2*K1390,$B$5)</f>
        <v>80380.204432328188</v>
      </c>
      <c r="M1392" s="18">
        <f>$B$5-L1392</f>
        <v>919619.79556767177</v>
      </c>
      <c r="O1392" s="18">
        <f>MIN(2*N1390,$B$5)</f>
        <v>80380.514548787818</v>
      </c>
      <c r="P1392" s="18">
        <f>$B$5-O1392</f>
        <v>919619.48545121215</v>
      </c>
      <c r="R1392" s="18">
        <f>MIN(2*Q1390,$B$5)</f>
        <v>80380.521849261291</v>
      </c>
      <c r="S1392" s="18">
        <f>$B$5-R1392</f>
        <v>919619.47815073875</v>
      </c>
    </row>
    <row r="1393" spans="1:19">
      <c r="A1393" s="10">
        <f>1</f>
        <v>1</v>
      </c>
      <c r="B1393" s="18">
        <f>IF($A1393&gt;40,0,(B1390-MIN(MAX(C1392,0),B1390))+MIN(MAX(0,D1392-(B1390-MIN(MAX(C1392,0),B1390))),MAX(0,2*B1390-(C1392-MIN(MAX(C1392,0),B1390)))))</f>
        <v>30000</v>
      </c>
      <c r="C1393" s="18">
        <f>IF($A1393&gt;40,C1392,(C1392-B1390+B1393)*(1+$C$7))</f>
        <v>60378</v>
      </c>
      <c r="D1393" s="18">
        <f t="shared" ref="D1393:D1432" si="162">IF($A1393&gt;40,D1392,(D1392-B1393)*(1+$B$6))</f>
        <v>937300</v>
      </c>
      <c r="E1393" s="18">
        <f>IF($A1393&gt;40,0,(E1390-MIN(MAX(F1392,0),E1390))+MIN(MAX(0,G1392-(E1390-MIN(MAX(F1392,0),E1390))),MAX(0,2*E1390-(F1392-MIN(MAX(F1392,0),E1390)))))</f>
        <v>75000</v>
      </c>
      <c r="F1393" s="18">
        <f>IF($A1393&gt;40,F1392,(F1392-E1390+E1393)*(1+$C$7))</f>
        <v>150945</v>
      </c>
      <c r="G1393" s="18">
        <f t="shared" ref="G1393:G1432" si="163">IF($A1393&gt;40,G1392,(G1392-E1393)*(1+$B$6))</f>
        <v>798250</v>
      </c>
      <c r="H1393" s="18">
        <f>IF($A1393&gt;40,0,(H1390-MIN(MAX(I1392,0),H1390))+MIN(MAX(0,J1392-(H1390-MIN(MAX(I1392,0),H1390))),MAX(0,2*H1390-(I1392-MIN(MAX(I1392,0),H1390)))))</f>
        <v>40544.253698132401</v>
      </c>
      <c r="I1393" s="18">
        <f>IF($A1393&gt;40,I1392,(I1392-H1390+H1393)*(1+$C$7))</f>
        <v>81599.364992861272</v>
      </c>
      <c r="J1393" s="18">
        <f t="shared" ref="J1393:J1432" si="164">IF($A1393&gt;40,J1392,(J1392-H1393)*(1+$B$6))</f>
        <v>904718.25607277092</v>
      </c>
      <c r="K1393" s="18">
        <f>IF($A1393&gt;40,0,(K1390-MIN(MAX(L1392,0),K1390))+MIN(MAX(0,M1392-(K1390-MIN(MAX(L1392,0),K1390))),MAX(0,2*K1390-(L1392-MIN(MAX(L1392,0),K1390)))))</f>
        <v>40190.102216164094</v>
      </c>
      <c r="L1393" s="18">
        <f>IF($A1393&gt;40,L1392,(L1392-K1390+K1393)*(1+$C$7))</f>
        <v>80886.599720251848</v>
      </c>
      <c r="M1393" s="18">
        <f t="shared" ref="M1393:M1432" si="165">IF($A1393&gt;40,M1392,(M1392-K1393)*(1+$B$6))</f>
        <v>905812.58415205288</v>
      </c>
      <c r="N1393" s="18">
        <f>IF($A1393&gt;40,0,(N1390-MIN(MAX(O1392,0),N1390))+MIN(MAX(0,P1392-(N1390-MIN(MAX(O1392,0),N1390))),MAX(0,2*N1390-(O1392-MIN(MAX(O1392,0),N1390)))))</f>
        <v>40190.257274393909</v>
      </c>
      <c r="O1393" s="18">
        <f>IF($A1393&gt;40,O1392,(O1392-N1390+N1393)*(1+$C$7))</f>
        <v>80886.911790445185</v>
      </c>
      <c r="P1393" s="18">
        <f t="shared" ref="P1393:P1432" si="166">IF($A1393&gt;40,P1392,(P1392-N1393)*(1+$B$6))</f>
        <v>905812.10502212285</v>
      </c>
      <c r="Q1393" s="18">
        <f>IF($A1393&gt;40,0,(Q1390-MIN(MAX(R1392,0),Q1390))+MIN(MAX(0,S1392-(Q1390-MIN(MAX(R1392,0),Q1390))),MAX(0,2*Q1390-(R1392-MIN(MAX(R1392,0),Q1390)))))</f>
        <v>40190.260924630646</v>
      </c>
      <c r="R1393" s="18">
        <f>IF($A1393&gt;40,R1392,(R1392-Q1390+Q1393)*(1+$C$7))</f>
        <v>80886.919136911631</v>
      </c>
      <c r="S1393" s="18">
        <f t="shared" ref="S1393:S1432" si="167">IF($A1393&gt;40,S1392,(S1392-Q1393)*(1+$B$6))</f>
        <v>905812.09374289133</v>
      </c>
    </row>
    <row r="1394" spans="1:19">
      <c r="A1394" s="10">
        <f>2</f>
        <v>2</v>
      </c>
      <c r="B1394" s="18">
        <f>IF($A1394&gt;40,0,(B1390-MIN(MAX(C1393,0),B1390))+MIN(MAX(0,D1393-(B1390-MIN(MAX(C1393,0),B1390))),MAX(0,2*B1390-(C1393-MIN(MAX(C1393,0),B1390)))))</f>
        <v>29622</v>
      </c>
      <c r="C1394" s="18">
        <f>IF($A1394&gt;40,C1393,(C1393-B1390+B1394)*(1+$C$7))</f>
        <v>60378</v>
      </c>
      <c r="D1394" s="18">
        <f t="shared" si="162"/>
        <v>934908.34</v>
      </c>
      <c r="E1394" s="18">
        <f>IF($A1394&gt;40,0,(E1390-MIN(MAX(F1393,0),E1390))+MIN(MAX(0,G1393-(E1390-MIN(MAX(F1393,0),E1390))),MAX(0,2*E1390-(F1393-MIN(MAX(F1393,0),E1390)))))</f>
        <v>74055</v>
      </c>
      <c r="F1394" s="18">
        <f>IF($A1394&gt;40,F1393,(F1393-E1390+E1394)*(1+$C$7))</f>
        <v>150945</v>
      </c>
      <c r="G1394" s="18">
        <f t="shared" si="163"/>
        <v>745920.85</v>
      </c>
      <c r="H1394" s="18">
        <f>IF($A1394&gt;40,0,(H1390-MIN(MAX(I1393,0),H1390))+MIN(MAX(0,J1393-(H1390-MIN(MAX(I1393,0),H1390))),MAX(0,2*H1390-(I1393-MIN(MAX(I1393,0),H1390)))))</f>
        <v>40033.396101535931</v>
      </c>
      <c r="I1394" s="18">
        <f>IF($A1394&gt;40,I1393,(I1393-H1390+H1394)*(1+$C$7))</f>
        <v>81599.364992861272</v>
      </c>
      <c r="J1394" s="18">
        <f t="shared" si="164"/>
        <v>890625.40577037213</v>
      </c>
      <c r="K1394" s="18">
        <f>IF($A1394&gt;40,0,(K1390-MIN(MAX(L1393,0),K1390))+MIN(MAX(0,M1393-(K1390-MIN(MAX(L1393,0),K1390))),MAX(0,2*K1390-(L1393-MIN(MAX(L1393,0),K1390)))))</f>
        <v>39683.706928240434</v>
      </c>
      <c r="L1394" s="18">
        <f>IF($A1394&gt;40,L1393,(L1393-K1390+K1394)*(1+$C$7))</f>
        <v>80886.599720251848</v>
      </c>
      <c r="M1394" s="18">
        <f t="shared" si="165"/>
        <v>892112.74354052683</v>
      </c>
      <c r="N1394" s="18">
        <f>IF($A1394&gt;40,0,(N1390-MIN(MAX(O1393,0),N1390))+MIN(MAX(0,P1393-(N1390-MIN(MAX(O1393,0),N1390))),MAX(0,2*N1390-(O1393-MIN(MAX(O1393,0),N1390)))))</f>
        <v>39683.860032736542</v>
      </c>
      <c r="O1394" s="18">
        <f>IF($A1394&gt;40,O1393,(O1393-N1390+N1394)*(1+$C$7))</f>
        <v>80886.911790445185</v>
      </c>
      <c r="P1394" s="18">
        <f t="shared" si="166"/>
        <v>892112.09233906795</v>
      </c>
      <c r="Q1394" s="18">
        <f>IF($A1394&gt;40,0,(Q1390-MIN(MAX(R1393,0),Q1390))+MIN(MAX(0,S1393-(Q1390-MIN(MAX(R1393,0),Q1390))),MAX(0,2*Q1390-(R1393-MIN(MAX(R1393,0),Q1390)))))</f>
        <v>39683.863636980306</v>
      </c>
      <c r="R1394" s="18">
        <f>IF($A1394&gt;40,R1393,(R1393-Q1390+Q1394)*(1+$C$7))</f>
        <v>80886.919136911631</v>
      </c>
      <c r="S1394" s="18">
        <f t="shared" si="167"/>
        <v>892112.07700908836</v>
      </c>
    </row>
    <row r="1395" spans="1:19">
      <c r="A1395" s="10">
        <f>3</f>
        <v>3</v>
      </c>
      <c r="B1395" s="18">
        <f>IF($A1395&gt;40,0,(B1390-MIN(MAX(C1394,0),B1390))+MIN(MAX(0,D1394-(B1390-MIN(MAX(C1394,0),B1390))),MAX(0,2*B1390-(C1394-MIN(MAX(C1394,0),B1390)))))</f>
        <v>29622</v>
      </c>
      <c r="C1395" s="18">
        <f>IF($A1395&gt;40,C1394,(C1394-B1390+B1395)*(1+$C$7))</f>
        <v>60378</v>
      </c>
      <c r="D1395" s="18">
        <f t="shared" si="162"/>
        <v>932444.93019999994</v>
      </c>
      <c r="E1395" s="18">
        <f>IF($A1395&gt;40,0,(E1390-MIN(MAX(F1394,0),E1390))+MIN(MAX(0,G1394-(E1390-MIN(MAX(F1394,0),E1390))),MAX(0,2*E1390-(F1394-MIN(MAX(F1394,0),E1390)))))</f>
        <v>74055</v>
      </c>
      <c r="F1395" s="18">
        <f>IF($A1395&gt;40,F1394,(F1394-E1390+E1395)*(1+$C$7))</f>
        <v>150945</v>
      </c>
      <c r="G1395" s="18">
        <f t="shared" si="163"/>
        <v>692021.82550000004</v>
      </c>
      <c r="H1395" s="18">
        <f>IF($A1395&gt;40,0,(H1390-MIN(MAX(I1394,0),H1390))+MIN(MAX(0,J1394-(H1390-MIN(MAX(I1394,0),H1390))),MAX(0,2*H1390-(I1394-MIN(MAX(I1394,0),H1390)))))</f>
        <v>40033.396101535931</v>
      </c>
      <c r="I1395" s="18">
        <f>IF($A1395&gt;40,I1394,(I1394-H1390+H1395)*(1+$C$7))</f>
        <v>81599.364992861272</v>
      </c>
      <c r="J1395" s="18">
        <f t="shared" si="164"/>
        <v>876109.76995890134</v>
      </c>
      <c r="K1395" s="18">
        <f>IF($A1395&gt;40,0,(K1390-MIN(MAX(L1394,0),K1390))+MIN(MAX(0,M1394-(K1390-MIN(MAX(L1394,0),K1390))),MAX(0,2*K1390-(L1394-MIN(MAX(L1394,0),K1390)))))</f>
        <v>39683.706928240434</v>
      </c>
      <c r="L1395" s="18">
        <f>IF($A1395&gt;40,L1394,(L1394-K1390+K1395)*(1+$C$7))</f>
        <v>80886.599720251848</v>
      </c>
      <c r="M1395" s="18">
        <f t="shared" si="165"/>
        <v>878001.90771065501</v>
      </c>
      <c r="N1395" s="18">
        <f>IF($A1395&gt;40,0,(N1390-MIN(MAX(O1394,0),N1390))+MIN(MAX(0,P1394-(N1390-MIN(MAX(O1394,0),N1390))),MAX(0,2*N1390-(O1394-MIN(MAX(O1394,0),N1390)))))</f>
        <v>39683.860032736542</v>
      </c>
      <c r="O1395" s="18">
        <f>IF($A1395&gt;40,O1394,(O1394-N1390+N1395)*(1+$C$7))</f>
        <v>80886.911790445185</v>
      </c>
      <c r="P1395" s="18">
        <f t="shared" si="166"/>
        <v>878001.07927552133</v>
      </c>
      <c r="Q1395" s="18">
        <f>IF($A1395&gt;40,0,(Q1390-MIN(MAX(R1394,0),Q1390))+MIN(MAX(0,S1394-(Q1390-MIN(MAX(R1394,0),Q1390))),MAX(0,2*Q1390-(R1394-MIN(MAX(R1394,0),Q1390)))))</f>
        <v>39683.863636980306</v>
      </c>
      <c r="R1395" s="18">
        <f>IF($A1395&gt;40,R1394,(R1394-Q1390+Q1395)*(1+$C$7))</f>
        <v>80886.919136911631</v>
      </c>
      <c r="S1395" s="18">
        <f t="shared" si="167"/>
        <v>878001.05977327132</v>
      </c>
    </row>
    <row r="1396" spans="1:19">
      <c r="A1396" s="10">
        <f>4</f>
        <v>4</v>
      </c>
      <c r="B1396" s="18">
        <f>IF($A1396&gt;40,0,(B1390-MIN(MAX(C1395,0),B1390))+MIN(MAX(0,D1395-(B1390-MIN(MAX(C1395,0),B1390))),MAX(0,2*B1390-(C1395-MIN(MAX(C1395,0),B1390)))))</f>
        <v>29622</v>
      </c>
      <c r="C1396" s="18">
        <f>IF($A1396&gt;40,C1395,(C1395-B1390+B1396)*(1+$C$7))</f>
        <v>60378</v>
      </c>
      <c r="D1396" s="18">
        <f t="shared" si="162"/>
        <v>929907.61810600001</v>
      </c>
      <c r="E1396" s="18">
        <f>IF($A1396&gt;40,0,(E1390-MIN(MAX(F1395,0),E1390))+MIN(MAX(0,G1395-(E1390-MIN(MAX(F1395,0),E1390))),MAX(0,2*E1390-(F1395-MIN(MAX(F1395,0),E1390)))))</f>
        <v>74055</v>
      </c>
      <c r="F1396" s="18">
        <f>IF($A1396&gt;40,F1395,(F1395-E1390+E1396)*(1+$C$7))</f>
        <v>150945</v>
      </c>
      <c r="G1396" s="18">
        <f t="shared" si="163"/>
        <v>636505.830265</v>
      </c>
      <c r="H1396" s="18">
        <f>IF($A1396&gt;40,0,(H1390-MIN(MAX(I1395,0),H1390))+MIN(MAX(0,J1395-(H1390-MIN(MAX(I1395,0),H1390))),MAX(0,2*H1390-(I1395-MIN(MAX(I1395,0),H1390)))))</f>
        <v>40033.396101535931</v>
      </c>
      <c r="I1396" s="18">
        <f>IF($A1396&gt;40,I1395,(I1395-H1390+H1396)*(1+$C$7))</f>
        <v>81599.364992861272</v>
      </c>
      <c r="J1396" s="18">
        <f t="shared" si="164"/>
        <v>861158.66507308639</v>
      </c>
      <c r="K1396" s="18">
        <f>IF($A1396&gt;40,0,(K1390-MIN(MAX(L1395,0),K1390))+MIN(MAX(0,M1395-(K1390-MIN(MAX(L1395,0),K1390))),MAX(0,2*K1390-(L1395-MIN(MAX(L1395,0),K1390)))))</f>
        <v>39683.706928240434</v>
      </c>
      <c r="L1396" s="18">
        <f>IF($A1396&gt;40,L1395,(L1395-K1390+K1396)*(1+$C$7))</f>
        <v>80886.599720251848</v>
      </c>
      <c r="M1396" s="18">
        <f t="shared" si="165"/>
        <v>863467.74680588697</v>
      </c>
      <c r="N1396" s="18">
        <f>IF($A1396&gt;40,0,(N1390-MIN(MAX(O1395,0),N1390))+MIN(MAX(0,P1395-(N1390-MIN(MAX(O1395,0),N1390))),MAX(0,2*N1390-(O1395-MIN(MAX(O1395,0),N1390)))))</f>
        <v>39683.860032736542</v>
      </c>
      <c r="O1396" s="18">
        <f>IF($A1396&gt;40,O1395,(O1395-N1390+N1396)*(1+$C$7))</f>
        <v>80886.911790445185</v>
      </c>
      <c r="P1396" s="18">
        <f t="shared" si="166"/>
        <v>863466.7358200684</v>
      </c>
      <c r="Q1396" s="18">
        <f>IF($A1396&gt;40,0,(Q1390-MIN(MAX(R1395,0),Q1390))+MIN(MAX(0,S1395-(Q1390-MIN(MAX(R1395,0),Q1390))),MAX(0,2*Q1390-(R1395-MIN(MAX(R1395,0),Q1390)))))</f>
        <v>39683.863636980306</v>
      </c>
      <c r="R1396" s="18">
        <f>IF($A1396&gt;40,R1395,(R1395-Q1390+Q1396)*(1+$C$7))</f>
        <v>80886.919136911631</v>
      </c>
      <c r="S1396" s="18">
        <f t="shared" si="167"/>
        <v>863466.71202037972</v>
      </c>
    </row>
    <row r="1397" spans="1:19">
      <c r="A1397" s="10">
        <f>5</f>
        <v>5</v>
      </c>
      <c r="B1397" s="18">
        <f>IF($A1397&gt;40,0,(B1390-MIN(MAX(C1396,0),B1390))+MIN(MAX(0,D1396-(B1390-MIN(MAX(C1396,0),B1390))),MAX(0,2*B1390-(C1396-MIN(MAX(C1396,0),B1390)))))</f>
        <v>29622</v>
      </c>
      <c r="C1397" s="18">
        <f>IF($A1397&gt;40,C1396,(C1396-B1390+B1397)*(1+$C$7))</f>
        <v>60378</v>
      </c>
      <c r="D1397" s="18">
        <f t="shared" si="162"/>
        <v>927294.18664918002</v>
      </c>
      <c r="E1397" s="18">
        <f>IF($A1397&gt;40,0,(E1390-MIN(MAX(F1396,0),E1390))+MIN(MAX(0,G1396-(E1390-MIN(MAX(F1396,0),E1390))),MAX(0,2*E1390-(F1396-MIN(MAX(F1396,0),E1390)))))</f>
        <v>74055</v>
      </c>
      <c r="F1397" s="18">
        <f>IF($A1397&gt;40,F1396,(F1396-E1390+E1397)*(1+$C$7))</f>
        <v>150945</v>
      </c>
      <c r="G1397" s="18">
        <f t="shared" si="163"/>
        <v>579324.35517294996</v>
      </c>
      <c r="H1397" s="18">
        <f>IF($A1397&gt;40,0,(H1390-MIN(MAX(I1396,0),H1390))+MIN(MAX(0,J1396-(H1390-MIN(MAX(I1396,0),H1390))),MAX(0,2*H1390-(I1396-MIN(MAX(I1396,0),H1390)))))</f>
        <v>40033.396101535931</v>
      </c>
      <c r="I1397" s="18">
        <f>IF($A1397&gt;40,I1396,(I1396-H1390+H1397)*(1+$C$7))</f>
        <v>81599.364992861272</v>
      </c>
      <c r="J1397" s="18">
        <f t="shared" si="164"/>
        <v>845759.02704069705</v>
      </c>
      <c r="K1397" s="18">
        <f>IF($A1397&gt;40,0,(K1390-MIN(MAX(L1396,0),K1390))+MIN(MAX(0,M1396-(K1390-MIN(MAX(L1396,0),K1390))),MAX(0,2*K1390-(L1396-MIN(MAX(L1396,0),K1390)))))</f>
        <v>39683.706928240434</v>
      </c>
      <c r="L1397" s="18">
        <f>IF($A1397&gt;40,L1396,(L1396-K1390+K1397)*(1+$C$7))</f>
        <v>80886.599720251848</v>
      </c>
      <c r="M1397" s="18">
        <f t="shared" si="165"/>
        <v>848497.56107397587</v>
      </c>
      <c r="N1397" s="18">
        <f>IF($A1397&gt;40,0,(N1390-MIN(MAX(O1396,0),N1390))+MIN(MAX(0,P1396-(N1390-MIN(MAX(O1396,0),N1390))),MAX(0,2*N1390-(O1396-MIN(MAX(O1396,0),N1390)))))</f>
        <v>39683.860032736542</v>
      </c>
      <c r="O1397" s="18">
        <f>IF($A1397&gt;40,O1396,(O1396-N1390+N1397)*(1+$C$7))</f>
        <v>80886.911790445185</v>
      </c>
      <c r="P1397" s="18">
        <f t="shared" si="166"/>
        <v>848496.36206095177</v>
      </c>
      <c r="Q1397" s="18">
        <f>IF($A1397&gt;40,0,(Q1390-MIN(MAX(R1396,0),Q1390))+MIN(MAX(0,S1396-(Q1390-MIN(MAX(R1396,0),Q1390))),MAX(0,2*Q1390-(R1396-MIN(MAX(R1396,0),Q1390)))))</f>
        <v>39683.863636980306</v>
      </c>
      <c r="R1397" s="18">
        <f>IF($A1397&gt;40,R1396,(R1396-Q1390+Q1397)*(1+$C$7))</f>
        <v>80886.919136911631</v>
      </c>
      <c r="S1397" s="18">
        <f t="shared" si="167"/>
        <v>848496.33383490145</v>
      </c>
    </row>
    <row r="1398" spans="1:19">
      <c r="A1398" s="10">
        <f>6</f>
        <v>6</v>
      </c>
      <c r="B1398" s="18">
        <f>IF($A1398&gt;40,0,(B1390-MIN(MAX(C1397,0),B1390))+MIN(MAX(0,D1397-(B1390-MIN(MAX(C1397,0),B1390))),MAX(0,2*B1390-(C1397-MIN(MAX(C1397,0),B1390)))))</f>
        <v>29622</v>
      </c>
      <c r="C1398" s="18">
        <f>IF($A1398&gt;40,C1397,(C1397-B1390+B1398)*(1+$C$7))</f>
        <v>60378</v>
      </c>
      <c r="D1398" s="18">
        <f t="shared" si="162"/>
        <v>924602.3522486554</v>
      </c>
      <c r="E1398" s="18">
        <f>IF($A1398&gt;40,0,(E1390-MIN(MAX(F1397,0),E1390))+MIN(MAX(0,G1397-(E1390-MIN(MAX(F1397,0),E1390))),MAX(0,2*E1390-(F1397-MIN(MAX(F1397,0),E1390)))))</f>
        <v>74055</v>
      </c>
      <c r="F1398" s="18">
        <f>IF($A1398&gt;40,F1397,(F1397-E1390+E1398)*(1+$C$7))</f>
        <v>150945</v>
      </c>
      <c r="G1398" s="18">
        <f t="shared" si="163"/>
        <v>520427.43582813849</v>
      </c>
      <c r="H1398" s="18">
        <f>IF($A1398&gt;40,0,(H1390-MIN(MAX(I1397,0),H1390))+MIN(MAX(0,J1397-(H1390-MIN(MAX(I1397,0),H1390))),MAX(0,2*H1390-(I1397-MIN(MAX(I1397,0),H1390)))))</f>
        <v>40033.396101535931</v>
      </c>
      <c r="I1398" s="18">
        <f>IF($A1398&gt;40,I1397,(I1397-H1390+H1398)*(1+$C$7))</f>
        <v>81599.364992861272</v>
      </c>
      <c r="J1398" s="18">
        <f t="shared" si="164"/>
        <v>829897.39986733603</v>
      </c>
      <c r="K1398" s="18">
        <f>IF($A1398&gt;40,0,(K1390-MIN(MAX(L1397,0),K1390))+MIN(MAX(0,M1397-(K1390-MIN(MAX(L1397,0),K1390))),MAX(0,2*K1390-(L1397-MIN(MAX(L1397,0),K1390)))))</f>
        <v>39683.706928240434</v>
      </c>
      <c r="L1398" s="18">
        <f>IF($A1398&gt;40,L1397,(L1397-K1390+K1398)*(1+$C$7))</f>
        <v>80886.599720251848</v>
      </c>
      <c r="M1398" s="18">
        <f t="shared" si="165"/>
        <v>833078.26977010746</v>
      </c>
      <c r="N1398" s="18">
        <f>IF($A1398&gt;40,0,(N1390-MIN(MAX(O1397,0),N1390))+MIN(MAX(0,P1397-(N1390-MIN(MAX(O1397,0),N1390))),MAX(0,2*N1390-(O1397-MIN(MAX(O1397,0),N1390)))))</f>
        <v>39683.860032736542</v>
      </c>
      <c r="O1398" s="18">
        <f>IF($A1398&gt;40,O1397,(O1397-N1390+N1398)*(1+$C$7))</f>
        <v>80886.911790445185</v>
      </c>
      <c r="P1398" s="18">
        <f t="shared" si="166"/>
        <v>833076.87708906166</v>
      </c>
      <c r="Q1398" s="18">
        <f>IF($A1398&gt;40,0,(Q1390-MIN(MAX(R1397,0),Q1390))+MIN(MAX(0,S1397-(Q1390-MIN(MAX(R1397,0),Q1390))),MAX(0,2*Q1390-(R1397-MIN(MAX(R1397,0),Q1390)))))</f>
        <v>39683.863636980306</v>
      </c>
      <c r="R1398" s="18">
        <f>IF($A1398&gt;40,R1397,(R1397-Q1390+Q1398)*(1+$C$7))</f>
        <v>80886.919136911631</v>
      </c>
      <c r="S1398" s="18">
        <f t="shared" si="167"/>
        <v>833076.84430385882</v>
      </c>
    </row>
    <row r="1399" spans="1:19">
      <c r="A1399" s="10">
        <f>7</f>
        <v>7</v>
      </c>
      <c r="B1399" s="18">
        <f>IF($A1399&gt;40,0,(B1390-MIN(MAX(C1398,0),B1390))+MIN(MAX(0,D1398-(B1390-MIN(MAX(C1398,0),B1390))),MAX(0,2*B1390-(C1398-MIN(MAX(C1398,0),B1390)))))</f>
        <v>29622</v>
      </c>
      <c r="C1399" s="18">
        <f>IF($A1399&gt;40,C1398,(C1398-B1390+B1399)*(1+$C$7))</f>
        <v>60378</v>
      </c>
      <c r="D1399" s="18">
        <f t="shared" si="162"/>
        <v>921829.76281611505</v>
      </c>
      <c r="E1399" s="18">
        <f>IF($A1399&gt;40,0,(E1390-MIN(MAX(F1398,0),E1390))+MIN(MAX(0,G1398-(E1390-MIN(MAX(F1398,0),E1390))),MAX(0,2*E1390-(F1398-MIN(MAX(F1398,0),E1390)))))</f>
        <v>74055</v>
      </c>
      <c r="F1399" s="18">
        <f>IF($A1399&gt;40,F1398,(F1398-E1390+E1399)*(1+$C$7))</f>
        <v>150945</v>
      </c>
      <c r="G1399" s="18">
        <f t="shared" si="163"/>
        <v>459763.60890298267</v>
      </c>
      <c r="H1399" s="18">
        <f>IF($A1399&gt;40,0,(H1390-MIN(MAX(I1398,0),H1390))+MIN(MAX(0,J1398-(H1390-MIN(MAX(I1398,0),H1390))),MAX(0,2*H1390-(I1398-MIN(MAX(I1398,0),H1390)))))</f>
        <v>40033.396101535931</v>
      </c>
      <c r="I1399" s="18">
        <f>IF($A1399&gt;40,I1398,(I1398-H1390+H1399)*(1+$C$7))</f>
        <v>81599.364992861272</v>
      </c>
      <c r="J1399" s="18">
        <f t="shared" si="164"/>
        <v>813559.92387877416</v>
      </c>
      <c r="K1399" s="18">
        <f>IF($A1399&gt;40,0,(K1390-MIN(MAX(L1398,0),K1390))+MIN(MAX(0,M1398-(K1390-MIN(MAX(L1398,0),K1390))),MAX(0,2*K1390-(L1398-MIN(MAX(L1398,0),K1390)))))</f>
        <v>39683.706928240434</v>
      </c>
      <c r="L1399" s="18">
        <f>IF($A1399&gt;40,L1398,(L1398-K1390+K1399)*(1+$C$7))</f>
        <v>80886.599720251848</v>
      </c>
      <c r="M1399" s="18">
        <f t="shared" si="165"/>
        <v>817196.39972712297</v>
      </c>
      <c r="N1399" s="18">
        <f>IF($A1399&gt;40,0,(N1390-MIN(MAX(O1398,0),N1390))+MIN(MAX(0,P1398-(N1390-MIN(MAX(O1398,0),N1390))),MAX(0,2*N1390-(O1398-MIN(MAX(O1398,0),N1390)))))</f>
        <v>39683.860032736542</v>
      </c>
      <c r="O1399" s="18">
        <f>IF($A1399&gt;40,O1398,(O1398-N1390+N1399)*(1+$C$7))</f>
        <v>80886.911790445185</v>
      </c>
      <c r="P1399" s="18">
        <f t="shared" si="166"/>
        <v>817194.80756801483</v>
      </c>
      <c r="Q1399" s="18">
        <f>IF($A1399&gt;40,0,(Q1390-MIN(MAX(R1398,0),Q1390))+MIN(MAX(0,S1398-(Q1390-MIN(MAX(R1398,0),Q1390))),MAX(0,2*Q1390-(R1398-MIN(MAX(R1398,0),Q1390)))))</f>
        <v>39683.863636980306</v>
      </c>
      <c r="R1399" s="18">
        <f>IF($A1399&gt;40,R1398,(R1398-Q1390+Q1399)*(1+$C$7))</f>
        <v>80886.919136911631</v>
      </c>
      <c r="S1399" s="18">
        <f t="shared" si="167"/>
        <v>817194.77008688485</v>
      </c>
    </row>
    <row r="1400" spans="1:19">
      <c r="A1400" s="10">
        <f>8</f>
        <v>8</v>
      </c>
      <c r="B1400" s="18">
        <f>IF($A1400&gt;40,0,(B1390-MIN(MAX(C1399,0),B1390))+MIN(MAX(0,D1399-(B1390-MIN(MAX(C1399,0),B1390))),MAX(0,2*B1390-(C1399-MIN(MAX(C1399,0),B1390)))))</f>
        <v>29622</v>
      </c>
      <c r="C1400" s="18">
        <f>IF($A1400&gt;40,C1399,(C1399-B1390+B1400)*(1+$C$7))</f>
        <v>60378</v>
      </c>
      <c r="D1400" s="18">
        <f t="shared" si="162"/>
        <v>918973.99570059858</v>
      </c>
      <c r="E1400" s="18">
        <f>IF($A1400&gt;40,0,(E1390-MIN(MAX(F1399,0),E1390))+MIN(MAX(0,G1399-(E1390-MIN(MAX(F1399,0),E1390))),MAX(0,2*E1390-(F1399-MIN(MAX(F1399,0),E1390)))))</f>
        <v>74055</v>
      </c>
      <c r="F1400" s="18">
        <f>IF($A1400&gt;40,F1399,(F1399-E1390+E1400)*(1+$C$7))</f>
        <v>150945</v>
      </c>
      <c r="G1400" s="18">
        <f t="shared" si="163"/>
        <v>397279.86717007216</v>
      </c>
      <c r="H1400" s="18">
        <f>IF($A1400&gt;40,0,(H1390-MIN(MAX(I1399,0),H1390))+MIN(MAX(0,J1399-(H1390-MIN(MAX(I1399,0),H1390))),MAX(0,2*H1390-(I1399-MIN(MAX(I1399,0),H1390)))))</f>
        <v>40033.396101535931</v>
      </c>
      <c r="I1400" s="18">
        <f>IF($A1400&gt;40,I1399,(I1399-H1390+H1400)*(1+$C$7))</f>
        <v>81599.364992861272</v>
      </c>
      <c r="J1400" s="18">
        <f t="shared" si="164"/>
        <v>796732.3236105555</v>
      </c>
      <c r="K1400" s="18">
        <f>IF($A1400&gt;40,0,(K1390-MIN(MAX(L1399,0),K1390))+MIN(MAX(0,M1399-(K1390-MIN(MAX(L1399,0),K1390))),MAX(0,2*K1390-(L1399-MIN(MAX(L1399,0),K1390)))))</f>
        <v>39683.706928240434</v>
      </c>
      <c r="L1400" s="18">
        <f>IF($A1400&gt;40,L1399,(L1399-K1390+K1400)*(1+$C$7))</f>
        <v>80886.599720251848</v>
      </c>
      <c r="M1400" s="18">
        <f t="shared" si="165"/>
        <v>800838.073582849</v>
      </c>
      <c r="N1400" s="18">
        <f>IF($A1400&gt;40,0,(N1390-MIN(MAX(O1399,0),N1390))+MIN(MAX(0,P1399-(N1390-MIN(MAX(O1399,0),N1390))),MAX(0,2*N1390-(O1399-MIN(MAX(O1399,0),N1390)))))</f>
        <v>39683.860032736542</v>
      </c>
      <c r="O1400" s="18">
        <f>IF($A1400&gt;40,O1399,(O1399-N1390+N1400)*(1+$C$7))</f>
        <v>80886.911790445185</v>
      </c>
      <c r="P1400" s="18">
        <f t="shared" si="166"/>
        <v>800836.27596133668</v>
      </c>
      <c r="Q1400" s="18">
        <f>IF($A1400&gt;40,0,(Q1390-MIN(MAX(R1399,0),Q1390))+MIN(MAX(0,S1399-(Q1390-MIN(MAX(R1399,0),Q1390))),MAX(0,2*Q1390-(R1399-MIN(MAX(R1399,0),Q1390)))))</f>
        <v>39683.863636980306</v>
      </c>
      <c r="R1400" s="18">
        <f>IF($A1400&gt;40,R1399,(R1399-Q1390+Q1400)*(1+$C$7))</f>
        <v>80886.919136911631</v>
      </c>
      <c r="S1400" s="18">
        <f t="shared" si="167"/>
        <v>800836.23364340176</v>
      </c>
    </row>
    <row r="1401" spans="1:19">
      <c r="A1401" s="10">
        <f>9</f>
        <v>9</v>
      </c>
      <c r="B1401" s="18">
        <f>IF($A1401&gt;40,0,(B1390-MIN(MAX(C1400,0),B1390))+MIN(MAX(0,D1400-(B1390-MIN(MAX(C1400,0),B1390))),MAX(0,2*B1390-(C1400-MIN(MAX(C1400,0),B1390)))))</f>
        <v>29622</v>
      </c>
      <c r="C1401" s="18">
        <f>IF($A1401&gt;40,C1400,(C1400-B1390+B1401)*(1+$C$7))</f>
        <v>60378</v>
      </c>
      <c r="D1401" s="18">
        <f t="shared" si="162"/>
        <v>916032.55557161651</v>
      </c>
      <c r="E1401" s="18">
        <f>IF($A1401&gt;40,0,(E1390-MIN(MAX(F1400,0),E1390))+MIN(MAX(0,G1400-(E1390-MIN(MAX(F1400,0),E1390))),MAX(0,2*E1390-(F1400-MIN(MAX(F1400,0),E1390)))))</f>
        <v>74055</v>
      </c>
      <c r="F1401" s="18">
        <f>IF($A1401&gt;40,F1400,(F1400-E1390+E1401)*(1+$C$7))</f>
        <v>150945</v>
      </c>
      <c r="G1401" s="18">
        <f t="shared" si="163"/>
        <v>332921.61318517436</v>
      </c>
      <c r="H1401" s="18">
        <f>IF($A1401&gt;40,0,(H1390-MIN(MAX(I1400,0),H1390))+MIN(MAX(0,J1400-(H1390-MIN(MAX(I1400,0),H1390))),MAX(0,2*H1390-(I1400-MIN(MAX(I1400,0),H1390)))))</f>
        <v>40033.396101535931</v>
      </c>
      <c r="I1401" s="18">
        <f>IF($A1401&gt;40,I1400,(I1400-H1390+H1401)*(1+$C$7))</f>
        <v>81599.364992861272</v>
      </c>
      <c r="J1401" s="18">
        <f t="shared" si="164"/>
        <v>779399.89533429022</v>
      </c>
      <c r="K1401" s="18">
        <f>IF($A1401&gt;40,0,(K1390-MIN(MAX(L1400,0),K1390))+MIN(MAX(0,M1400-(K1390-MIN(MAX(L1400,0),K1390))),MAX(0,2*K1390-(L1400-MIN(MAX(L1400,0),K1390)))))</f>
        <v>39683.706928240434</v>
      </c>
      <c r="L1401" s="18">
        <f>IF($A1401&gt;40,L1400,(L1400-K1390+K1401)*(1+$C$7))</f>
        <v>80886.599720251848</v>
      </c>
      <c r="M1401" s="18">
        <f t="shared" si="165"/>
        <v>783988.99765424675</v>
      </c>
      <c r="N1401" s="18">
        <f>IF($A1401&gt;40,0,(N1390-MIN(MAX(O1400,0),N1390))+MIN(MAX(0,P1400-(N1390-MIN(MAX(O1400,0),N1390))),MAX(0,2*N1390-(O1400-MIN(MAX(O1400,0),N1390)))))</f>
        <v>39683.860032736542</v>
      </c>
      <c r="O1401" s="18">
        <f>IF($A1401&gt;40,O1400,(O1400-N1390+N1401)*(1+$C$7))</f>
        <v>80886.911790445185</v>
      </c>
      <c r="P1401" s="18">
        <f t="shared" si="166"/>
        <v>783986.98840645817</v>
      </c>
      <c r="Q1401" s="18">
        <f>IF($A1401&gt;40,0,(Q1390-MIN(MAX(R1400,0),Q1390))+MIN(MAX(0,S1400-(Q1390-MIN(MAX(R1400,0),Q1390))),MAX(0,2*Q1390-(R1400-MIN(MAX(R1400,0),Q1390)))))</f>
        <v>39683.863636980306</v>
      </c>
      <c r="R1401" s="18">
        <f>IF($A1401&gt;40,R1400,(R1400-Q1390+Q1401)*(1+$C$7))</f>
        <v>80886.919136911631</v>
      </c>
      <c r="S1401" s="18">
        <f t="shared" si="167"/>
        <v>783986.94110661407</v>
      </c>
    </row>
    <row r="1402" spans="1:19">
      <c r="A1402" s="10">
        <f>10</f>
        <v>10</v>
      </c>
      <c r="B1402" s="18">
        <f>IF($A1402&gt;40,0,(B1390-MIN(MAX(C1401,0),B1390))+MIN(MAX(0,D1401-(B1390-MIN(MAX(C1401,0),B1390))),MAX(0,2*B1390-(C1401-MIN(MAX(C1401,0),B1390)))))</f>
        <v>29622</v>
      </c>
      <c r="C1402" s="18">
        <f>IF($A1402&gt;40,C1401,(C1401-B1390+B1402)*(1+$C$7))</f>
        <v>60378</v>
      </c>
      <c r="D1402" s="18">
        <f t="shared" si="162"/>
        <v>913002.87223876501</v>
      </c>
      <c r="E1402" s="18">
        <f>IF($A1402&gt;40,0,(E1390-MIN(MAX(F1401,0),E1390))+MIN(MAX(0,G1401-(E1390-MIN(MAX(F1401,0),E1390))),MAX(0,2*E1390-(F1401-MIN(MAX(F1401,0),E1390)))))</f>
        <v>74055</v>
      </c>
      <c r="F1402" s="18">
        <f>IF($A1402&gt;40,F1401,(F1401-E1390+E1402)*(1+$C$7))</f>
        <v>150945</v>
      </c>
      <c r="G1402" s="18">
        <f t="shared" si="163"/>
        <v>266632.6115807296</v>
      </c>
      <c r="H1402" s="18">
        <f>IF($A1402&gt;40,0,(H1390-MIN(MAX(I1401,0),H1390))+MIN(MAX(0,J1401-(H1390-MIN(MAX(I1401,0),H1390))),MAX(0,2*H1390-(I1401-MIN(MAX(I1401,0),H1390)))))</f>
        <v>40033.396101535931</v>
      </c>
      <c r="I1402" s="18">
        <f>IF($A1402&gt;40,I1401,(I1401-H1390+H1402)*(1+$C$7))</f>
        <v>81599.364992861272</v>
      </c>
      <c r="J1402" s="18">
        <f t="shared" si="164"/>
        <v>761547.49420973705</v>
      </c>
      <c r="K1402" s="18">
        <f>IF($A1402&gt;40,0,(K1390-MIN(MAX(L1401,0),K1390))+MIN(MAX(0,M1401-(K1390-MIN(MAX(L1401,0),K1390))),MAX(0,2*K1390-(L1401-MIN(MAX(L1401,0),K1390)))))</f>
        <v>39683.706928240434</v>
      </c>
      <c r="L1402" s="18">
        <f>IF($A1402&gt;40,L1401,(L1401-K1390+K1402)*(1+$C$7))</f>
        <v>80886.599720251848</v>
      </c>
      <c r="M1402" s="18">
        <f t="shared" si="165"/>
        <v>766634.44944778644</v>
      </c>
      <c r="N1402" s="18">
        <f>IF($A1402&gt;40,0,(N1390-MIN(MAX(O1401,0),N1390))+MIN(MAX(0,P1401-(N1390-MIN(MAX(O1401,0),N1390))),MAX(0,2*N1390-(O1401-MIN(MAX(O1401,0),N1390)))))</f>
        <v>39683.860032736542</v>
      </c>
      <c r="O1402" s="18">
        <f>IF($A1402&gt;40,O1401,(O1401-N1390+N1402)*(1+$C$7))</f>
        <v>80886.911790445185</v>
      </c>
      <c r="P1402" s="18">
        <f t="shared" si="166"/>
        <v>766632.22222493333</v>
      </c>
      <c r="Q1402" s="18">
        <f>IF($A1402&gt;40,0,(Q1390-MIN(MAX(R1401,0),Q1390))+MIN(MAX(0,S1401-(Q1390-MIN(MAX(R1401,0),Q1390))),MAX(0,2*Q1390-(R1401-MIN(MAX(R1401,0),Q1390)))))</f>
        <v>39683.863636980306</v>
      </c>
      <c r="R1402" s="18">
        <f>IF($A1402&gt;40,R1401,(R1401-Q1390+Q1402)*(1+$C$7))</f>
        <v>80886.919136911631</v>
      </c>
      <c r="S1402" s="18">
        <f t="shared" si="167"/>
        <v>766632.1697937228</v>
      </c>
    </row>
    <row r="1403" spans="1:19">
      <c r="A1403" s="10">
        <f>11</f>
        <v>11</v>
      </c>
      <c r="B1403" s="18">
        <f>IF($A1403&gt;40,0,(B1390-MIN(MAX(C1402,0),B1390))+MIN(MAX(0,D1402-(B1390-MIN(MAX(C1402,0),B1390))),MAX(0,2*B1390-(C1402-MIN(MAX(C1402,0),B1390)))))</f>
        <v>29622</v>
      </c>
      <c r="C1403" s="18">
        <f>IF($A1403&gt;40,C1402,(C1402-B1390+B1403)*(1+$C$7))</f>
        <v>60378</v>
      </c>
      <c r="D1403" s="18">
        <f t="shared" si="162"/>
        <v>909882.29840592796</v>
      </c>
      <c r="E1403" s="18">
        <f>IF($A1403&gt;40,0,(E1390-MIN(MAX(F1402,0),E1390))+MIN(MAX(0,G1402-(E1390-MIN(MAX(F1402,0),E1390))),MAX(0,2*E1390-(F1402-MIN(MAX(F1402,0),E1390)))))</f>
        <v>74055</v>
      </c>
      <c r="F1403" s="18">
        <f>IF($A1403&gt;40,F1402,(F1402-E1390+E1403)*(1+$C$7))</f>
        <v>150945</v>
      </c>
      <c r="G1403" s="18">
        <f t="shared" si="163"/>
        <v>198354.93992815149</v>
      </c>
      <c r="H1403" s="18">
        <f>IF($A1403&gt;40,0,(H1390-MIN(MAX(I1402,0),H1390))+MIN(MAX(0,J1402-(H1390-MIN(MAX(I1402,0),H1390))),MAX(0,2*H1390-(I1402-MIN(MAX(I1402,0),H1390)))))</f>
        <v>40033.396101535931</v>
      </c>
      <c r="I1403" s="18">
        <f>IF($A1403&gt;40,I1402,(I1402-H1390+H1403)*(1+$C$7))</f>
        <v>81599.364992861272</v>
      </c>
      <c r="J1403" s="18">
        <f t="shared" si="164"/>
        <v>743159.52105144726</v>
      </c>
      <c r="K1403" s="18">
        <f>IF($A1403&gt;40,0,(K1390-MIN(MAX(L1402,0),K1390))+MIN(MAX(0,M1402-(K1390-MIN(MAX(L1402,0),K1390))),MAX(0,2*K1390-(L1402-MIN(MAX(L1402,0),K1390)))))</f>
        <v>39683.706928240434</v>
      </c>
      <c r="L1403" s="18">
        <f>IF($A1403&gt;40,L1402,(L1402-K1390+K1403)*(1+$C$7))</f>
        <v>80886.599720251848</v>
      </c>
      <c r="M1403" s="18">
        <f t="shared" si="165"/>
        <v>748759.26479513233</v>
      </c>
      <c r="N1403" s="18">
        <f>IF($A1403&gt;40,0,(N1390-MIN(MAX(O1402,0),N1390))+MIN(MAX(0,P1402-(N1390-MIN(MAX(O1402,0),N1390))),MAX(0,2*N1390-(O1402-MIN(MAX(O1402,0),N1390)))))</f>
        <v>39683.860032736542</v>
      </c>
      <c r="O1403" s="18">
        <f>IF($A1403&gt;40,O1402,(O1402-N1390+N1403)*(1+$C$7))</f>
        <v>80886.911790445185</v>
      </c>
      <c r="P1403" s="18">
        <f t="shared" si="166"/>
        <v>748756.81305796269</v>
      </c>
      <c r="Q1403" s="18">
        <f>IF($A1403&gt;40,0,(Q1390-MIN(MAX(R1402,0),Q1390))+MIN(MAX(0,S1402-(Q1390-MIN(MAX(R1402,0),Q1390))),MAX(0,2*Q1390-(R1402-MIN(MAX(R1402,0),Q1390)))))</f>
        <v>39683.863636980306</v>
      </c>
      <c r="R1403" s="18">
        <f>IF($A1403&gt;40,R1402,(R1402-Q1390+Q1403)*(1+$C$7))</f>
        <v>80886.919136911631</v>
      </c>
      <c r="S1403" s="18">
        <f t="shared" si="167"/>
        <v>748756.75534144475</v>
      </c>
    </row>
    <row r="1404" spans="1:19">
      <c r="A1404" s="10">
        <f>12</f>
        <v>12</v>
      </c>
      <c r="B1404" s="18">
        <f>IF($A1404&gt;40,0,(B1390-MIN(MAX(C1403,0),B1390))+MIN(MAX(0,D1403-(B1390-MIN(MAX(C1403,0),B1390))),MAX(0,2*B1390-(C1403-MIN(MAX(C1403,0),B1390)))))</f>
        <v>29622</v>
      </c>
      <c r="C1404" s="18">
        <f>IF($A1404&gt;40,C1403,(C1403-B1390+B1404)*(1+$C$7))</f>
        <v>60378</v>
      </c>
      <c r="D1404" s="18">
        <f t="shared" si="162"/>
        <v>906668.10735810583</v>
      </c>
      <c r="E1404" s="18">
        <f>IF($A1404&gt;40,0,(E1390-MIN(MAX(F1403,0),E1390))+MIN(MAX(0,G1403-(E1390-MIN(MAX(F1403,0),E1390))),MAX(0,2*E1390-(F1403-MIN(MAX(F1403,0),E1390)))))</f>
        <v>74055</v>
      </c>
      <c r="F1404" s="18">
        <f>IF($A1404&gt;40,F1403,(F1403-E1390+E1404)*(1+$C$7))</f>
        <v>150945</v>
      </c>
      <c r="G1404" s="18">
        <f t="shared" si="163"/>
        <v>128028.93812599604</v>
      </c>
      <c r="H1404" s="18">
        <f>IF($A1404&gt;40,0,(H1390-MIN(MAX(I1403,0),H1390))+MIN(MAX(0,J1403-(H1390-MIN(MAX(I1403,0),H1390))),MAX(0,2*H1390-(I1403-MIN(MAX(I1403,0),H1390)))))</f>
        <v>40033.396101535931</v>
      </c>
      <c r="I1404" s="18">
        <f>IF($A1404&gt;40,I1403,(I1403-H1390+H1404)*(1+$C$7))</f>
        <v>81599.364992861272</v>
      </c>
      <c r="J1404" s="18">
        <f t="shared" si="164"/>
        <v>724219.90869840875</v>
      </c>
      <c r="K1404" s="18">
        <f>IF($A1404&gt;40,0,(K1390-MIN(MAX(L1403,0),K1390))+MIN(MAX(0,M1403-(K1390-MIN(MAX(L1403,0),K1390))),MAX(0,2*K1390-(L1403-MIN(MAX(L1403,0),K1390)))))</f>
        <v>39683.706928240434</v>
      </c>
      <c r="L1404" s="18">
        <f>IF($A1404&gt;40,L1403,(L1403-K1390+K1404)*(1+$C$7))</f>
        <v>80886.599720251848</v>
      </c>
      <c r="M1404" s="18">
        <f t="shared" si="165"/>
        <v>730347.82460289868</v>
      </c>
      <c r="N1404" s="18">
        <f>IF($A1404&gt;40,0,(N1390-MIN(MAX(O1403,0),N1390))+MIN(MAX(0,P1403-(N1390-MIN(MAX(O1403,0),N1390))),MAX(0,2*N1390-(O1403-MIN(MAX(O1403,0),N1390)))))</f>
        <v>39683.860032736542</v>
      </c>
      <c r="O1404" s="18">
        <f>IF($A1404&gt;40,O1403,(O1403-N1390+N1404)*(1+$C$7))</f>
        <v>80886.911790445185</v>
      </c>
      <c r="P1404" s="18">
        <f t="shared" si="166"/>
        <v>730345.14161598298</v>
      </c>
      <c r="Q1404" s="18">
        <f>IF($A1404&gt;40,0,(Q1390-MIN(MAX(R1403,0),Q1390))+MIN(MAX(0,S1403-(Q1390-MIN(MAX(R1403,0),Q1390))),MAX(0,2*Q1390-(R1403-MIN(MAX(R1403,0),Q1390)))))</f>
        <v>39683.863636980306</v>
      </c>
      <c r="R1404" s="18">
        <f>IF($A1404&gt;40,R1403,(R1403-Q1390+Q1404)*(1+$C$7))</f>
        <v>80886.919136911631</v>
      </c>
      <c r="S1404" s="18">
        <f t="shared" si="167"/>
        <v>730345.07845559844</v>
      </c>
    </row>
    <row r="1405" spans="1:19">
      <c r="A1405" s="10">
        <f>13</f>
        <v>13</v>
      </c>
      <c r="B1405" s="18">
        <f>IF($A1405&gt;40,0,(B1390-MIN(MAX(C1404,0),B1390))+MIN(MAX(0,D1404-(B1390-MIN(MAX(C1404,0),B1390))),MAX(0,2*B1390-(C1404-MIN(MAX(C1404,0),B1390)))))</f>
        <v>29622</v>
      </c>
      <c r="C1405" s="18">
        <f>IF($A1405&gt;40,C1404,(C1404-B1390+B1405)*(1+$C$7))</f>
        <v>60378</v>
      </c>
      <c r="D1405" s="18">
        <f t="shared" si="162"/>
        <v>903357.49057884899</v>
      </c>
      <c r="E1405" s="18">
        <f>IF($A1405&gt;40,0,(E1390-MIN(MAX(F1404,0),E1390))+MIN(MAX(0,G1404-(E1390-MIN(MAX(F1404,0),E1390))),MAX(0,2*E1390-(F1404-MIN(MAX(F1404,0),E1390)))))</f>
        <v>74055</v>
      </c>
      <c r="F1405" s="18">
        <f>IF($A1405&gt;40,F1404,(F1404-E1390+E1405)*(1+$C$7))</f>
        <v>150945</v>
      </c>
      <c r="G1405" s="18">
        <f t="shared" si="163"/>
        <v>55593.156269775915</v>
      </c>
      <c r="H1405" s="18">
        <f>IF($A1405&gt;40,0,(H1390-MIN(MAX(I1404,0),H1390))+MIN(MAX(0,J1404-(H1390-MIN(MAX(I1404,0),H1390))),MAX(0,2*H1390-(I1404-MIN(MAX(I1404,0),H1390)))))</f>
        <v>40033.396101535931</v>
      </c>
      <c r="I1405" s="18">
        <f>IF($A1405&gt;40,I1404,(I1404-H1390+H1405)*(1+$C$7))</f>
        <v>81599.364992861272</v>
      </c>
      <c r="J1405" s="18">
        <f t="shared" si="164"/>
        <v>704712.10797477909</v>
      </c>
      <c r="K1405" s="18">
        <f>IF($A1405&gt;40,0,(K1390-MIN(MAX(L1404,0),K1390))+MIN(MAX(0,M1404-(K1390-MIN(MAX(L1404,0),K1390))),MAX(0,2*K1390-(L1404-MIN(MAX(L1404,0),K1390)))))</f>
        <v>39683.706928240434</v>
      </c>
      <c r="L1405" s="18">
        <f>IF($A1405&gt;40,L1404,(L1404-K1390+K1405)*(1+$C$7))</f>
        <v>80886.599720251848</v>
      </c>
      <c r="M1405" s="18">
        <f t="shared" si="165"/>
        <v>711384.04120489792</v>
      </c>
      <c r="N1405" s="18">
        <f>IF($A1405&gt;40,0,(N1390-MIN(MAX(O1404,0),N1390))+MIN(MAX(0,P1404-(N1390-MIN(MAX(O1404,0),N1390))),MAX(0,2*N1390-(O1404-MIN(MAX(O1404,0),N1390)))))</f>
        <v>39683.860032736542</v>
      </c>
      <c r="O1405" s="18">
        <f>IF($A1405&gt;40,O1404,(O1404-N1390+N1405)*(1+$C$7))</f>
        <v>80886.911790445185</v>
      </c>
      <c r="P1405" s="18">
        <f t="shared" si="166"/>
        <v>711381.12003074388</v>
      </c>
      <c r="Q1405" s="18">
        <f>IF($A1405&gt;40,0,(Q1390-MIN(MAX(R1404,0),Q1390))+MIN(MAX(0,S1404-(Q1390-MIN(MAX(R1404,0),Q1390))),MAX(0,2*Q1390-(R1404-MIN(MAX(R1404,0),Q1390)))))</f>
        <v>39683.863636980306</v>
      </c>
      <c r="R1405" s="18">
        <f>IF($A1405&gt;40,R1404,(R1404-Q1390+Q1405)*(1+$C$7))</f>
        <v>80886.919136911631</v>
      </c>
      <c r="S1405" s="18">
        <f t="shared" si="167"/>
        <v>711381.05126317672</v>
      </c>
    </row>
    <row r="1406" spans="1:19">
      <c r="A1406" s="10">
        <f>14</f>
        <v>14</v>
      </c>
      <c r="B1406" s="18">
        <f>IF($A1406&gt;40,0,(B1390-MIN(MAX(C1405,0),B1390))+MIN(MAX(0,D1405-(B1390-MIN(MAX(C1405,0),B1390))),MAX(0,2*B1390-(C1405-MIN(MAX(C1405,0),B1390)))))</f>
        <v>29622</v>
      </c>
      <c r="C1406" s="18">
        <f>IF($A1406&gt;40,C1405,(C1405-B1390+B1406)*(1+$C$7))</f>
        <v>60378</v>
      </c>
      <c r="D1406" s="18">
        <f t="shared" si="162"/>
        <v>899947.55529621453</v>
      </c>
      <c r="E1406" s="18">
        <f>IF($A1406&gt;40,0,(E1390-MIN(MAX(F1405,0),E1390))+MIN(MAX(0,G1405-(E1390-MIN(MAX(F1405,0),E1390))),MAX(0,2*E1390-(F1405-MIN(MAX(F1405,0),E1390)))))</f>
        <v>55593.156269775915</v>
      </c>
      <c r="F1406" s="18">
        <f>IF($A1406&gt;40,F1405,(F1405-E1390+E1406)*(1+$C$7))</f>
        <v>132366.84665427549</v>
      </c>
      <c r="G1406" s="18">
        <f t="shared" si="163"/>
        <v>0</v>
      </c>
      <c r="H1406" s="18">
        <f>IF($A1406&gt;40,0,(H1390-MIN(MAX(I1405,0),H1390))+MIN(MAX(0,J1405-(H1390-MIN(MAX(I1405,0),H1390))),MAX(0,2*H1390-(I1405-MIN(MAX(I1405,0),H1390)))))</f>
        <v>40033.396101535931</v>
      </c>
      <c r="I1406" s="18">
        <f>IF($A1406&gt;40,I1405,(I1405-H1390+H1406)*(1+$C$7))</f>
        <v>81599.364992861272</v>
      </c>
      <c r="J1406" s="18">
        <f t="shared" si="164"/>
        <v>684619.07322944049</v>
      </c>
      <c r="K1406" s="18">
        <f>IF($A1406&gt;40,0,(K1390-MIN(MAX(L1405,0),K1390))+MIN(MAX(0,M1405-(K1390-MIN(MAX(L1405,0),K1390))),MAX(0,2*K1390-(L1405-MIN(MAX(L1405,0),K1390)))))</f>
        <v>39683.706928240434</v>
      </c>
      <c r="L1406" s="18">
        <f>IF($A1406&gt;40,L1405,(L1405-K1390+K1406)*(1+$C$7))</f>
        <v>80886.599720251848</v>
      </c>
      <c r="M1406" s="18">
        <f t="shared" si="165"/>
        <v>691851.34430495719</v>
      </c>
      <c r="N1406" s="18">
        <f>IF($A1406&gt;40,0,(N1390-MIN(MAX(O1405,0),N1390))+MIN(MAX(0,P1405-(N1390-MIN(MAX(O1405,0),N1390))),MAX(0,2*N1390-(O1405-MIN(MAX(O1405,0),N1390)))))</f>
        <v>39683.860032736542</v>
      </c>
      <c r="O1406" s="18">
        <f>IF($A1406&gt;40,O1405,(O1405-N1390+N1406)*(1+$C$7))</f>
        <v>80886.911790445185</v>
      </c>
      <c r="P1406" s="18">
        <f t="shared" si="166"/>
        <v>691848.17779794754</v>
      </c>
      <c r="Q1406" s="18">
        <f>IF($A1406&gt;40,0,(Q1390-MIN(MAX(R1405,0),Q1390))+MIN(MAX(0,S1405-(Q1390-MIN(MAX(R1405,0),Q1390))),MAX(0,2*Q1390-(R1405-MIN(MAX(R1405,0),Q1390)))))</f>
        <v>39683.863636980306</v>
      </c>
      <c r="R1406" s="18">
        <f>IF($A1406&gt;40,R1405,(R1405-Q1390+Q1406)*(1+$C$7))</f>
        <v>80886.919136911631</v>
      </c>
      <c r="S1406" s="18">
        <f t="shared" si="167"/>
        <v>691848.10325498239</v>
      </c>
    </row>
    <row r="1407" spans="1:19">
      <c r="A1407" s="10">
        <f>15</f>
        <v>15</v>
      </c>
      <c r="B1407" s="18">
        <f>IF($A1407&gt;40,0,(B1390-MIN(MAX(C1406,0),B1390))+MIN(MAX(0,D1406-(B1390-MIN(MAX(C1406,0),B1390))),MAX(0,2*B1390-(C1406-MIN(MAX(C1406,0),B1390)))))</f>
        <v>29622</v>
      </c>
      <c r="C1407" s="18">
        <f>IF($A1407&gt;40,C1406,(C1406-B1390+B1407)*(1+$C$7))</f>
        <v>60378</v>
      </c>
      <c r="D1407" s="18">
        <f t="shared" si="162"/>
        <v>896435.32195510098</v>
      </c>
      <c r="E1407" s="18">
        <f>IF($A1407&gt;40,0,(E1390-MIN(MAX(F1406,0),E1390))+MIN(MAX(0,G1406-(E1390-MIN(MAX(F1406,0),E1390))),MAX(0,2*E1390-(F1406-MIN(MAX(F1406,0),E1390)))))</f>
        <v>0</v>
      </c>
      <c r="F1407" s="18">
        <f>IF($A1407&gt;40,F1406,(F1406-E1390+E1407)*(1+$C$7))</f>
        <v>57728.257788197421</v>
      </c>
      <c r="G1407" s="18">
        <f t="shared" si="163"/>
        <v>0</v>
      </c>
      <c r="H1407" s="18">
        <f>IF($A1407&gt;40,0,(H1390-MIN(MAX(I1406,0),H1390))+MIN(MAX(0,J1406-(H1390-MIN(MAX(I1406,0),H1390))),MAX(0,2*H1390-(I1406-MIN(MAX(I1406,0),H1390)))))</f>
        <v>40033.396101535931</v>
      </c>
      <c r="I1407" s="18">
        <f>IF($A1407&gt;40,I1406,(I1406-H1390+H1407)*(1+$C$7))</f>
        <v>81599.364992861272</v>
      </c>
      <c r="J1407" s="18">
        <f t="shared" si="164"/>
        <v>663923.24744174175</v>
      </c>
      <c r="K1407" s="18">
        <f>IF($A1407&gt;40,0,(K1390-MIN(MAX(L1406,0),K1390))+MIN(MAX(0,M1406-(K1390-MIN(MAX(L1406,0),K1390))),MAX(0,2*K1390-(L1406-MIN(MAX(L1406,0),K1390)))))</f>
        <v>39683.706928240434</v>
      </c>
      <c r="L1407" s="18">
        <f>IF($A1407&gt;40,L1406,(L1406-K1390+K1407)*(1+$C$7))</f>
        <v>80886.599720251848</v>
      </c>
      <c r="M1407" s="18">
        <f t="shared" si="165"/>
        <v>671732.6664980182</v>
      </c>
      <c r="N1407" s="18">
        <f>IF($A1407&gt;40,0,(N1390-MIN(MAX(O1406,0),N1390))+MIN(MAX(0,P1406-(N1390-MIN(MAX(O1406,0),N1390))),MAX(0,2*N1390-(O1406-MIN(MAX(O1406,0),N1390)))))</f>
        <v>39683.860032736542</v>
      </c>
      <c r="O1407" s="18">
        <f>IF($A1407&gt;40,O1406,(O1406-N1390+N1407)*(1+$C$7))</f>
        <v>80886.911790445185</v>
      </c>
      <c r="P1407" s="18">
        <f t="shared" si="166"/>
        <v>671729.24729816732</v>
      </c>
      <c r="Q1407" s="18">
        <f>IF($A1407&gt;40,0,(Q1390-MIN(MAX(R1406,0),Q1390))+MIN(MAX(0,S1406-(Q1390-MIN(MAX(R1406,0),Q1390))),MAX(0,2*Q1390-(R1406-MIN(MAX(R1406,0),Q1390)))))</f>
        <v>39683.863636980306</v>
      </c>
      <c r="R1407" s="18">
        <f>IF($A1407&gt;40,R1406,(R1406-Q1390+Q1407)*(1+$C$7))</f>
        <v>80886.919136911631</v>
      </c>
      <c r="S1407" s="18">
        <f t="shared" si="167"/>
        <v>671729.1668065422</v>
      </c>
    </row>
    <row r="1408" spans="1:19">
      <c r="A1408" s="10">
        <f>16</f>
        <v>16</v>
      </c>
      <c r="B1408" s="18">
        <f>IF($A1408&gt;40,0,(B1390-MIN(MAX(C1407,0),B1390))+MIN(MAX(0,D1407-(B1390-MIN(MAX(C1407,0),B1390))),MAX(0,2*B1390-(C1407-MIN(MAX(C1407,0),B1390)))))</f>
        <v>29622</v>
      </c>
      <c r="C1408" s="18">
        <f>IF($A1408&gt;40,C1407,(C1407-B1390+B1408)*(1+$C$7))</f>
        <v>60378</v>
      </c>
      <c r="D1408" s="18">
        <f t="shared" si="162"/>
        <v>892817.72161375405</v>
      </c>
      <c r="E1408" s="18">
        <f>IF($A1408&gt;40,0,(E1390-MIN(MAX(F1407,0),E1390))+MIN(MAX(0,G1407-(E1390-MIN(MAX(F1407,0),E1390))),MAX(0,2*E1390-(F1407-MIN(MAX(F1407,0),E1390)))))</f>
        <v>17271.742211802579</v>
      </c>
      <c r="F1408" s="18">
        <f>IF($A1408&gt;40,F1407,(F1407-E1390+E1408)*(1+$C$7))</f>
        <v>0</v>
      </c>
      <c r="G1408" s="18">
        <f t="shared" si="163"/>
        <v>-17789.894478156657</v>
      </c>
      <c r="H1408" s="18">
        <f>IF($A1408&gt;40,0,(H1390-MIN(MAX(I1407,0),H1390))+MIN(MAX(0,J1407-(H1390-MIN(MAX(I1407,0),H1390))),MAX(0,2*H1390-(I1407-MIN(MAX(I1407,0),H1390)))))</f>
        <v>40033.396101535931</v>
      </c>
      <c r="I1408" s="18">
        <f>IF($A1408&gt;40,I1407,(I1407-H1390+H1408)*(1+$C$7))</f>
        <v>81599.364992861272</v>
      </c>
      <c r="J1408" s="18">
        <f t="shared" si="164"/>
        <v>642606.54688041203</v>
      </c>
      <c r="K1408" s="18">
        <f>IF($A1408&gt;40,0,(K1390-MIN(MAX(L1407,0),K1390))+MIN(MAX(0,M1407-(K1390-MIN(MAX(L1407,0),K1390))),MAX(0,2*K1390-(L1407-MIN(MAX(L1407,0),K1390)))))</f>
        <v>39683.706928240434</v>
      </c>
      <c r="L1408" s="18">
        <f>IF($A1408&gt;40,L1407,(L1407-K1390+K1408)*(1+$C$7))</f>
        <v>80886.599720251848</v>
      </c>
      <c r="M1408" s="18">
        <f t="shared" si="165"/>
        <v>651010.42835687101</v>
      </c>
      <c r="N1408" s="18">
        <f>IF($A1408&gt;40,0,(N1390-MIN(MAX(O1407,0),N1390))+MIN(MAX(0,P1407-(N1390-MIN(MAX(O1407,0),N1390))),MAX(0,2*N1390-(O1407-MIN(MAX(O1407,0),N1390)))))</f>
        <v>39683.860032736542</v>
      </c>
      <c r="O1408" s="18">
        <f>IF($A1408&gt;40,O1407,(O1407-N1390+N1408)*(1+$C$7))</f>
        <v>80886.911790445185</v>
      </c>
      <c r="P1408" s="18">
        <f t="shared" si="166"/>
        <v>651006.74888339371</v>
      </c>
      <c r="Q1408" s="18">
        <f>IF($A1408&gt;40,0,(Q1390-MIN(MAX(R1407,0),Q1390))+MIN(MAX(0,S1407-(Q1390-MIN(MAX(R1407,0),Q1390))),MAX(0,2*Q1390-(R1407-MIN(MAX(R1407,0),Q1390)))))</f>
        <v>39683.863636980306</v>
      </c>
      <c r="R1408" s="18">
        <f>IF($A1408&gt;40,R1407,(R1407-Q1390+Q1408)*(1+$C$7))</f>
        <v>80886.919136911631</v>
      </c>
      <c r="S1408" s="18">
        <f t="shared" si="167"/>
        <v>651006.66226464882</v>
      </c>
    </row>
    <row r="1409" spans="1:19">
      <c r="A1409" s="10">
        <f>17</f>
        <v>17</v>
      </c>
      <c r="B1409" s="18">
        <f>IF($A1409&gt;40,0,(B1390-MIN(MAX(C1408,0),B1390))+MIN(MAX(0,D1408-(B1390-MIN(MAX(C1408,0),B1390))),MAX(0,2*B1390-(C1408-MIN(MAX(C1408,0),B1390)))))</f>
        <v>29622</v>
      </c>
      <c r="C1409" s="18">
        <f>IF($A1409&gt;40,C1408,(C1408-B1390+B1409)*(1+$C$7))</f>
        <v>60378</v>
      </c>
      <c r="D1409" s="18">
        <f t="shared" si="162"/>
        <v>889091.59326216672</v>
      </c>
      <c r="E1409" s="18">
        <f>IF($A1409&gt;40,0,(E1390-MIN(MAX(F1408,0),E1390))+MIN(MAX(0,G1408-(E1390-MIN(MAX(F1408,0),E1390))),MAX(0,2*E1390-(F1408-MIN(MAX(F1408,0),E1390)))))</f>
        <v>75000</v>
      </c>
      <c r="F1409" s="18">
        <f>IF($A1409&gt;40,F1408,(F1408-E1390+E1409)*(1+$C$7))</f>
        <v>0</v>
      </c>
      <c r="G1409" s="18">
        <f t="shared" si="163"/>
        <v>-95573.591312501361</v>
      </c>
      <c r="H1409" s="18">
        <f>IF($A1409&gt;40,0,(H1390-MIN(MAX(I1408,0),H1390))+MIN(MAX(0,J1408-(H1390-MIN(MAX(I1408,0),H1390))),MAX(0,2*H1390-(I1408-MIN(MAX(I1408,0),H1390)))))</f>
        <v>40033.396101535931</v>
      </c>
      <c r="I1409" s="18">
        <f>IF($A1409&gt;40,I1408,(I1408-H1390+H1409)*(1+$C$7))</f>
        <v>81599.364992861272</v>
      </c>
      <c r="J1409" s="18">
        <f t="shared" si="164"/>
        <v>620650.34530224244</v>
      </c>
      <c r="K1409" s="18">
        <f>IF($A1409&gt;40,0,(K1390-MIN(MAX(L1408,0),K1390))+MIN(MAX(0,M1408-(K1390-MIN(MAX(L1408,0),K1390))),MAX(0,2*K1390-(L1408-MIN(MAX(L1408,0),K1390)))))</f>
        <v>39683.706928240434</v>
      </c>
      <c r="L1409" s="18">
        <f>IF($A1409&gt;40,L1408,(L1408-K1390+K1409)*(1+$C$7))</f>
        <v>80886.599720251848</v>
      </c>
      <c r="M1409" s="18">
        <f t="shared" si="165"/>
        <v>629666.52307148941</v>
      </c>
      <c r="N1409" s="18">
        <f>IF($A1409&gt;40,0,(N1390-MIN(MAX(O1408,0),N1390))+MIN(MAX(0,P1408-(N1390-MIN(MAX(O1408,0),N1390))),MAX(0,2*N1390-(O1408-MIN(MAX(O1408,0),N1390)))))</f>
        <v>39683.860032736542</v>
      </c>
      <c r="O1409" s="18">
        <f>IF($A1409&gt;40,O1408,(O1408-N1390+N1409)*(1+$C$7))</f>
        <v>80886.911790445185</v>
      </c>
      <c r="P1409" s="18">
        <f t="shared" si="166"/>
        <v>629662.57551617688</v>
      </c>
      <c r="Q1409" s="18">
        <f>IF($A1409&gt;40,0,(Q1390-MIN(MAX(R1408,0),Q1390))+MIN(MAX(0,S1408-(Q1390-MIN(MAX(R1408,0),Q1390))),MAX(0,2*Q1390-(R1408-MIN(MAX(R1408,0),Q1390)))))</f>
        <v>39683.863636980306</v>
      </c>
      <c r="R1409" s="18">
        <f>IF($A1409&gt;40,R1408,(R1408-Q1390+Q1409)*(1+$C$7))</f>
        <v>80886.919136911631</v>
      </c>
      <c r="S1409" s="18">
        <f t="shared" si="167"/>
        <v>629662.48258649861</v>
      </c>
    </row>
    <row r="1410" spans="1:19">
      <c r="A1410" s="10">
        <f>18</f>
        <v>18</v>
      </c>
      <c r="B1410" s="18">
        <f>IF($A1410&gt;40,0,(B1390-MIN(MAX(C1409,0),B1390))+MIN(MAX(0,D1409-(B1390-MIN(MAX(C1409,0),B1390))),MAX(0,2*B1390-(C1409-MIN(MAX(C1409,0),B1390)))))</f>
        <v>29622</v>
      </c>
      <c r="C1410" s="18">
        <f>IF($A1410&gt;40,C1409,(C1409-B1390+B1410)*(1+$C$7))</f>
        <v>60378</v>
      </c>
      <c r="D1410" s="18">
        <f t="shared" si="162"/>
        <v>885253.68106003175</v>
      </c>
      <c r="E1410" s="18">
        <f>IF($A1410&gt;40,0,(E1390-MIN(MAX(F1409,0),E1390))+MIN(MAX(0,G1409-(E1390-MIN(MAX(F1409,0),E1390))),MAX(0,2*E1390-(F1409-MIN(MAX(F1409,0),E1390)))))</f>
        <v>75000</v>
      </c>
      <c r="F1410" s="18">
        <f>IF($A1410&gt;40,F1409,(F1409-E1390+E1410)*(1+$C$7))</f>
        <v>0</v>
      </c>
      <c r="G1410" s="18">
        <f t="shared" si="163"/>
        <v>-175690.79905187638</v>
      </c>
      <c r="H1410" s="18">
        <f>IF($A1410&gt;40,0,(H1390-MIN(MAX(I1409,0),H1390))+MIN(MAX(0,J1409-(H1390-MIN(MAX(I1409,0),H1390))),MAX(0,2*H1390-(I1409-MIN(MAX(I1409,0),H1390)))))</f>
        <v>40033.396101535931</v>
      </c>
      <c r="I1410" s="18">
        <f>IF($A1410&gt;40,I1409,(I1409-H1390+H1410)*(1+$C$7))</f>
        <v>81599.364992861272</v>
      </c>
      <c r="J1410" s="18">
        <f t="shared" si="164"/>
        <v>598035.45767672779</v>
      </c>
      <c r="K1410" s="18">
        <f>IF($A1410&gt;40,0,(K1390-MIN(MAX(L1409,0),K1390))+MIN(MAX(0,M1409-(K1390-MIN(MAX(L1409,0),K1390))),MAX(0,2*K1390-(L1409-MIN(MAX(L1409,0),K1390)))))</f>
        <v>39683.706928240434</v>
      </c>
      <c r="L1410" s="18">
        <f>IF($A1410&gt;40,L1409,(L1409-K1390+K1410)*(1+$C$7))</f>
        <v>80886.599720251848</v>
      </c>
      <c r="M1410" s="18">
        <f t="shared" si="165"/>
        <v>607682.30062754638</v>
      </c>
      <c r="N1410" s="18">
        <f>IF($A1410&gt;40,0,(N1390-MIN(MAX(O1409,0),N1390))+MIN(MAX(0,P1409-(N1390-MIN(MAX(O1409,0),N1390))),MAX(0,2*N1390-(O1409-MIN(MAX(O1409,0),N1390)))))</f>
        <v>39683.860032736542</v>
      </c>
      <c r="O1410" s="18">
        <f>IF($A1410&gt;40,O1409,(O1409-N1390+N1410)*(1+$C$7))</f>
        <v>80886.911790445185</v>
      </c>
      <c r="P1410" s="18">
        <f t="shared" si="166"/>
        <v>607678.07694794354</v>
      </c>
      <c r="Q1410" s="18">
        <f>IF($A1410&gt;40,0,(Q1390-MIN(MAX(R1409,0),Q1390))+MIN(MAX(0,S1409-(Q1390-MIN(MAX(R1409,0),Q1390))),MAX(0,2*Q1390-(R1409-MIN(MAX(R1409,0),Q1390)))))</f>
        <v>39683.863636980306</v>
      </c>
      <c r="R1410" s="18">
        <f>IF($A1410&gt;40,R1409,(R1409-Q1390+Q1410)*(1+$C$7))</f>
        <v>80886.919136911631</v>
      </c>
      <c r="S1410" s="18">
        <f t="shared" si="167"/>
        <v>607677.9775180039</v>
      </c>
    </row>
    <row r="1411" spans="1:19">
      <c r="A1411" s="10">
        <f>19</f>
        <v>19</v>
      </c>
      <c r="B1411" s="18">
        <f>IF($A1411&gt;40,0,(B1390-MIN(MAX(C1410,0),B1390))+MIN(MAX(0,D1410-(B1390-MIN(MAX(C1410,0),B1390))),MAX(0,2*B1390-(C1410-MIN(MAX(C1410,0),B1390)))))</f>
        <v>29622</v>
      </c>
      <c r="C1411" s="18">
        <f>IF($A1411&gt;40,C1410,(C1410-B1390+B1411)*(1+$C$7))</f>
        <v>60378</v>
      </c>
      <c r="D1411" s="18">
        <f t="shared" si="162"/>
        <v>881300.63149183278</v>
      </c>
      <c r="E1411" s="18">
        <f>IF($A1411&gt;40,0,(E1390-MIN(MAX(F1410,0),E1390))+MIN(MAX(0,G1410-(E1390-MIN(MAX(F1410,0),E1390))),MAX(0,2*E1390-(F1410-MIN(MAX(F1410,0),E1390)))))</f>
        <v>75000</v>
      </c>
      <c r="F1411" s="18">
        <f>IF($A1411&gt;40,F1410,(F1410-E1390+E1411)*(1+$C$7))</f>
        <v>0</v>
      </c>
      <c r="G1411" s="18">
        <f t="shared" si="163"/>
        <v>-258211.52302343267</v>
      </c>
      <c r="H1411" s="18">
        <f>IF($A1411&gt;40,0,(H1390-MIN(MAX(I1410,0),H1390))+MIN(MAX(0,J1410-(H1390-MIN(MAX(I1410,0),H1390))),MAX(0,2*H1390-(I1410-MIN(MAX(I1410,0),H1390)))))</f>
        <v>40033.396101535931</v>
      </c>
      <c r="I1411" s="18">
        <f>IF($A1411&gt;40,I1410,(I1410-H1390+H1411)*(1+$C$7))</f>
        <v>81599.364992861272</v>
      </c>
      <c r="J1411" s="18">
        <f t="shared" si="164"/>
        <v>574742.12342244771</v>
      </c>
      <c r="K1411" s="18">
        <f>IF($A1411&gt;40,0,(K1390-MIN(MAX(L1410,0),K1390))+MIN(MAX(0,M1410-(K1390-MIN(MAX(L1410,0),K1390))),MAX(0,2*K1390-(L1410-MIN(MAX(L1410,0),K1390)))))</f>
        <v>39683.706928240434</v>
      </c>
      <c r="L1411" s="18">
        <f>IF($A1411&gt;40,L1410,(L1410-K1390+K1411)*(1+$C$7))</f>
        <v>80886.599720251848</v>
      </c>
      <c r="M1411" s="18">
        <f t="shared" si="165"/>
        <v>585038.55151028512</v>
      </c>
      <c r="N1411" s="18">
        <f>IF($A1411&gt;40,0,(N1390-MIN(MAX(O1410,0),N1390))+MIN(MAX(0,P1410-(N1390-MIN(MAX(O1410,0),N1390))),MAX(0,2*N1390-(O1410-MIN(MAX(O1410,0),N1390)))))</f>
        <v>39683.860032736542</v>
      </c>
      <c r="O1411" s="18">
        <f>IF($A1411&gt;40,O1410,(O1410-N1390+N1411)*(1+$C$7))</f>
        <v>80886.911790445185</v>
      </c>
      <c r="P1411" s="18">
        <f t="shared" si="166"/>
        <v>585034.04342266324</v>
      </c>
      <c r="Q1411" s="18">
        <f>IF($A1411&gt;40,0,(Q1390-MIN(MAX(R1410,0),Q1390))+MIN(MAX(0,S1410-(Q1390-MIN(MAX(R1410,0),Q1390))),MAX(0,2*Q1390-(R1410-MIN(MAX(R1410,0),Q1390)))))</f>
        <v>39683.863636980306</v>
      </c>
      <c r="R1411" s="18">
        <f>IF($A1411&gt;40,R1410,(R1410-Q1390+Q1411)*(1+$C$7))</f>
        <v>80886.919136911631</v>
      </c>
      <c r="S1411" s="18">
        <f t="shared" si="167"/>
        <v>585033.93729745434</v>
      </c>
    </row>
    <row r="1412" spans="1:19">
      <c r="A1412" s="10">
        <f>20</f>
        <v>20</v>
      </c>
      <c r="B1412" s="18">
        <f>IF($A1412&gt;40,0,(B1390-MIN(MAX(C1411,0),B1390))+MIN(MAX(0,D1411-(B1390-MIN(MAX(C1411,0),B1390))),MAX(0,2*B1390-(C1411-MIN(MAX(C1411,0),B1390)))))</f>
        <v>29622</v>
      </c>
      <c r="C1412" s="18">
        <f>IF($A1412&gt;40,C1411,(C1411-B1390+B1412)*(1+$C$7))</f>
        <v>60378</v>
      </c>
      <c r="D1412" s="18">
        <f t="shared" si="162"/>
        <v>877228.99043658783</v>
      </c>
      <c r="E1412" s="18">
        <f>IF($A1412&gt;40,0,(E1390-MIN(MAX(F1411,0),E1390))+MIN(MAX(0,G1411-(E1390-MIN(MAX(F1411,0),E1390))),MAX(0,2*E1390-(F1411-MIN(MAX(F1411,0),E1390)))))</f>
        <v>75000</v>
      </c>
      <c r="F1412" s="18">
        <f>IF($A1412&gt;40,F1411,(F1411-E1390+E1412)*(1+$C$7))</f>
        <v>0</v>
      </c>
      <c r="G1412" s="18">
        <f t="shared" si="163"/>
        <v>-343207.86871413566</v>
      </c>
      <c r="H1412" s="18">
        <f>IF($A1412&gt;40,0,(H1390-MIN(MAX(I1411,0),H1390))+MIN(MAX(0,J1411-(H1390-MIN(MAX(I1411,0),H1390))),MAX(0,2*H1390-(I1411-MIN(MAX(I1411,0),H1390)))))</f>
        <v>40033.396101535931</v>
      </c>
      <c r="I1412" s="18">
        <f>IF($A1412&gt;40,I1411,(I1411-H1390+H1412)*(1+$C$7))</f>
        <v>81599.364992861272</v>
      </c>
      <c r="J1412" s="18">
        <f t="shared" si="164"/>
        <v>550749.9891405392</v>
      </c>
      <c r="K1412" s="18">
        <f>IF($A1412&gt;40,0,(K1390-MIN(MAX(L1411,0),K1390))+MIN(MAX(0,M1411-(K1390-MIN(MAX(L1411,0),K1390))),MAX(0,2*K1390-(L1411-MIN(MAX(L1411,0),K1390)))))</f>
        <v>39683.706928240434</v>
      </c>
      <c r="L1412" s="18">
        <f>IF($A1412&gt;40,L1411,(L1411-K1390+K1412)*(1+$C$7))</f>
        <v>80886.599720251848</v>
      </c>
      <c r="M1412" s="18">
        <f t="shared" si="165"/>
        <v>561715.48991950601</v>
      </c>
      <c r="N1412" s="18">
        <f>IF($A1412&gt;40,0,(N1390-MIN(MAX(O1411,0),N1390))+MIN(MAX(0,P1411-(N1390-MIN(MAX(O1411,0),N1390))),MAX(0,2*N1390-(O1411-MIN(MAX(O1411,0),N1390)))))</f>
        <v>39683.860032736542</v>
      </c>
      <c r="O1412" s="18">
        <f>IF($A1412&gt;40,O1411,(O1411-N1390+N1412)*(1+$C$7))</f>
        <v>80886.911790445185</v>
      </c>
      <c r="P1412" s="18">
        <f t="shared" si="166"/>
        <v>561710.68889162445</v>
      </c>
      <c r="Q1412" s="18">
        <f>IF($A1412&gt;40,0,(Q1390-MIN(MAX(R1411,0),Q1390))+MIN(MAX(0,S1411-(Q1390-MIN(MAX(R1411,0),Q1390))),MAX(0,2*Q1390-(R1411-MIN(MAX(R1411,0),Q1390)))))</f>
        <v>39683.863636980306</v>
      </c>
      <c r="R1412" s="18">
        <f>IF($A1412&gt;40,R1411,(R1411-Q1390+Q1412)*(1+$C$7))</f>
        <v>80886.919136911631</v>
      </c>
      <c r="S1412" s="18">
        <f t="shared" si="167"/>
        <v>561710.5758702883</v>
      </c>
    </row>
    <row r="1413" spans="1:19">
      <c r="A1413" s="10">
        <f>21</f>
        <v>21</v>
      </c>
      <c r="B1413" s="18">
        <f>IF($A1413&gt;40,0,(B1390-MIN(MAX(C1412,0),B1390))+MIN(MAX(0,D1412-(B1390-MIN(MAX(C1412,0),B1390))),MAX(0,2*B1390-(C1412-MIN(MAX(C1412,0),B1390)))))</f>
        <v>29622</v>
      </c>
      <c r="C1413" s="18">
        <f>IF($A1413&gt;40,C1412,(C1412-B1390+B1413)*(1+$C$7))</f>
        <v>60378</v>
      </c>
      <c r="D1413" s="18">
        <f t="shared" si="162"/>
        <v>873035.20014968549</v>
      </c>
      <c r="E1413" s="18">
        <f>IF($A1413&gt;40,0,(E1390-MIN(MAX(F1412,0),E1390))+MIN(MAX(0,G1412-(E1390-MIN(MAX(F1412,0),E1390))),MAX(0,2*E1390-(F1412-MIN(MAX(F1412,0),E1390)))))</f>
        <v>75000</v>
      </c>
      <c r="F1413" s="18">
        <f>IF($A1413&gt;40,F1412,(F1412-E1390+E1413)*(1+$C$7))</f>
        <v>0</v>
      </c>
      <c r="G1413" s="18">
        <f t="shared" si="163"/>
        <v>-430754.10477555974</v>
      </c>
      <c r="H1413" s="18">
        <f>IF($A1413&gt;40,0,(H1390-MIN(MAX(I1412,0),H1390))+MIN(MAX(0,J1412-(H1390-MIN(MAX(I1412,0),H1390))),MAX(0,2*H1390-(I1412-MIN(MAX(I1412,0),H1390)))))</f>
        <v>40033.396101535931</v>
      </c>
      <c r="I1413" s="18">
        <f>IF($A1413&gt;40,I1412,(I1412-H1390+H1413)*(1+$C$7))</f>
        <v>81599.364992861272</v>
      </c>
      <c r="J1413" s="18">
        <f t="shared" si="164"/>
        <v>526038.09083017334</v>
      </c>
      <c r="K1413" s="18">
        <f>IF($A1413&gt;40,0,(K1390-MIN(MAX(L1412,0),K1390))+MIN(MAX(0,M1412-(K1390-MIN(MAX(L1412,0),K1390))),MAX(0,2*K1390-(L1412-MIN(MAX(L1412,0),K1390)))))</f>
        <v>39683.706928240434</v>
      </c>
      <c r="L1413" s="18">
        <f>IF($A1413&gt;40,L1412,(L1412-K1390+K1413)*(1+$C$7))</f>
        <v>80886.599720251848</v>
      </c>
      <c r="M1413" s="18">
        <f t="shared" si="165"/>
        <v>537692.73648100358</v>
      </c>
      <c r="N1413" s="18">
        <f>IF($A1413&gt;40,0,(N1390-MIN(MAX(O1412,0),N1390))+MIN(MAX(0,P1412-(N1390-MIN(MAX(O1412,0),N1390))),MAX(0,2*N1390-(O1412-MIN(MAX(O1412,0),N1390)))))</f>
        <v>39683.860032736542</v>
      </c>
      <c r="O1413" s="18">
        <f>IF($A1413&gt;40,O1412,(O1412-N1390+N1413)*(1+$C$7))</f>
        <v>80886.911790445185</v>
      </c>
      <c r="P1413" s="18">
        <f t="shared" si="166"/>
        <v>537687.63372465456</v>
      </c>
      <c r="Q1413" s="18">
        <f>IF($A1413&gt;40,0,(Q1390-MIN(MAX(R1412,0),Q1390))+MIN(MAX(0,S1412-(Q1390-MIN(MAX(R1412,0),Q1390))),MAX(0,2*Q1390-(R1412-MIN(MAX(R1412,0),Q1390)))))</f>
        <v>39683.863636980306</v>
      </c>
      <c r="R1413" s="18">
        <f>IF($A1413&gt;40,R1412,(R1412-Q1390+Q1413)*(1+$C$7))</f>
        <v>80886.919136911631</v>
      </c>
      <c r="S1413" s="18">
        <f t="shared" si="167"/>
        <v>537687.51360030728</v>
      </c>
    </row>
    <row r="1414" spans="1:19">
      <c r="A1414" s="10">
        <f>22</f>
        <v>22</v>
      </c>
      <c r="B1414" s="18">
        <f>IF($A1414&gt;40,0,(B1390-MIN(MAX(C1413,0),B1390))+MIN(MAX(0,D1413-(B1390-MIN(MAX(C1413,0),B1390))),MAX(0,2*B1390-(C1413-MIN(MAX(C1413,0),B1390)))))</f>
        <v>29622</v>
      </c>
      <c r="C1414" s="18">
        <f>IF($A1414&gt;40,C1413,(C1413-B1390+B1414)*(1+$C$7))</f>
        <v>60378</v>
      </c>
      <c r="D1414" s="18">
        <f t="shared" si="162"/>
        <v>868715.59615417605</v>
      </c>
      <c r="E1414" s="18">
        <f>IF($A1414&gt;40,0,(E1390-MIN(MAX(F1413,0),E1390))+MIN(MAX(0,G1413-(E1390-MIN(MAX(F1413,0),E1390))),MAX(0,2*E1390-(F1413-MIN(MAX(F1413,0),E1390)))))</f>
        <v>75000</v>
      </c>
      <c r="F1414" s="18">
        <f>IF($A1414&gt;40,F1413,(F1413-E1390+E1414)*(1+$C$7))</f>
        <v>0</v>
      </c>
      <c r="G1414" s="18">
        <f t="shared" si="163"/>
        <v>-520926.72791882657</v>
      </c>
      <c r="H1414" s="18">
        <f>IF($A1414&gt;40,0,(H1390-MIN(MAX(I1413,0),H1390))+MIN(MAX(0,J1413-(H1390-MIN(MAX(I1413,0),H1390))),MAX(0,2*H1390-(I1413-MIN(MAX(I1413,0),H1390)))))</f>
        <v>40033.396101535931</v>
      </c>
      <c r="I1414" s="18">
        <f>IF($A1414&gt;40,I1413,(I1413-H1390+H1414)*(1+$C$7))</f>
        <v>81599.364992861272</v>
      </c>
      <c r="J1414" s="18">
        <f t="shared" si="164"/>
        <v>500584.83557049657</v>
      </c>
      <c r="K1414" s="18">
        <f>IF($A1414&gt;40,0,(K1390-MIN(MAX(L1413,0),K1390))+MIN(MAX(0,M1413-(K1390-MIN(MAX(L1413,0),K1390))),MAX(0,2*K1390-(L1413-MIN(MAX(L1413,0),K1390)))))</f>
        <v>39683.706928240434</v>
      </c>
      <c r="L1414" s="18">
        <f>IF($A1414&gt;40,L1413,(L1413-K1390+K1414)*(1+$C$7))</f>
        <v>80886.599720251848</v>
      </c>
      <c r="M1414" s="18">
        <f t="shared" si="165"/>
        <v>512949.30043934606</v>
      </c>
      <c r="N1414" s="18">
        <f>IF($A1414&gt;40,0,(N1390-MIN(MAX(O1413,0),N1390))+MIN(MAX(0,P1413-(N1390-MIN(MAX(O1413,0),N1390))),MAX(0,2*N1390-(O1413-MIN(MAX(O1413,0),N1390)))))</f>
        <v>39683.860032736542</v>
      </c>
      <c r="O1414" s="18">
        <f>IF($A1414&gt;40,O1413,(O1413-N1390+N1414)*(1+$C$7))</f>
        <v>80886.911790445185</v>
      </c>
      <c r="P1414" s="18">
        <f t="shared" si="166"/>
        <v>512943.88690267556</v>
      </c>
      <c r="Q1414" s="18">
        <f>IF($A1414&gt;40,0,(Q1390-MIN(MAX(R1413,0),Q1390))+MIN(MAX(0,S1413-(Q1390-MIN(MAX(R1413,0),Q1390))),MAX(0,2*Q1390-(R1413-MIN(MAX(R1413,0),Q1390)))))</f>
        <v>39683.863636980306</v>
      </c>
      <c r="R1414" s="18">
        <f>IF($A1414&gt;40,R1413,(R1413-Q1390+Q1414)*(1+$C$7))</f>
        <v>80886.919136911631</v>
      </c>
      <c r="S1414" s="18">
        <f t="shared" si="167"/>
        <v>512943.75946222682</v>
      </c>
    </row>
    <row r="1415" spans="1:19">
      <c r="A1415" s="10">
        <f>23</f>
        <v>23</v>
      </c>
      <c r="B1415" s="18">
        <f>IF($A1415&gt;40,0,(B1390-MIN(MAX(C1414,0),B1390))+MIN(MAX(0,D1414-(B1390-MIN(MAX(C1414,0),B1390))),MAX(0,2*B1390-(C1414-MIN(MAX(C1414,0),B1390)))))</f>
        <v>29622</v>
      </c>
      <c r="C1415" s="18">
        <f>IF($A1415&gt;40,C1414,(C1414-B1390+B1415)*(1+$C$7))</f>
        <v>60378</v>
      </c>
      <c r="D1415" s="18">
        <f t="shared" si="162"/>
        <v>864266.40403880132</v>
      </c>
      <c r="E1415" s="18">
        <f>IF($A1415&gt;40,0,(E1390-MIN(MAX(F1414,0),E1390))+MIN(MAX(0,G1414-(E1390-MIN(MAX(F1414,0),E1390))),MAX(0,2*E1390-(F1414-MIN(MAX(F1414,0),E1390)))))</f>
        <v>75000</v>
      </c>
      <c r="F1415" s="18">
        <f>IF($A1415&gt;40,F1414,(F1414-E1390+E1415)*(1+$C$7))</f>
        <v>0</v>
      </c>
      <c r="G1415" s="18">
        <f t="shared" si="163"/>
        <v>-613804.5297563913</v>
      </c>
      <c r="H1415" s="18">
        <f>IF($A1415&gt;40,0,(H1390-MIN(MAX(I1414,0),H1390))+MIN(MAX(0,J1414-(H1390-MIN(MAX(I1414,0),H1390))),MAX(0,2*H1390-(I1414-MIN(MAX(I1414,0),H1390)))))</f>
        <v>40033.396101535931</v>
      </c>
      <c r="I1415" s="18">
        <f>IF($A1415&gt;40,I1414,(I1414-H1390+H1415)*(1+$C$7))</f>
        <v>81599.364992861272</v>
      </c>
      <c r="J1415" s="18">
        <f t="shared" si="164"/>
        <v>474367.98265302944</v>
      </c>
      <c r="K1415" s="18">
        <f>IF($A1415&gt;40,0,(K1390-MIN(MAX(L1414,0),K1390))+MIN(MAX(0,M1414-(K1390-MIN(MAX(L1414,0),K1390))),MAX(0,2*K1390-(L1414-MIN(MAX(L1414,0),K1390)))))</f>
        <v>39683.706928240434</v>
      </c>
      <c r="L1415" s="18">
        <f>IF($A1415&gt;40,L1414,(L1414-K1390+K1415)*(1+$C$7))</f>
        <v>80886.599720251848</v>
      </c>
      <c r="M1415" s="18">
        <f t="shared" si="165"/>
        <v>487463.56131643883</v>
      </c>
      <c r="N1415" s="18">
        <f>IF($A1415&gt;40,0,(N1390-MIN(MAX(O1414,0),N1390))+MIN(MAX(0,P1414-(N1390-MIN(MAX(O1414,0),N1390))),MAX(0,2*N1390-(O1414-MIN(MAX(O1414,0),N1390)))))</f>
        <v>39683.860032736542</v>
      </c>
      <c r="O1415" s="18">
        <f>IF($A1415&gt;40,O1414,(O1414-N1390+N1415)*(1+$C$7))</f>
        <v>80886.911790445185</v>
      </c>
      <c r="P1415" s="18">
        <f t="shared" si="166"/>
        <v>487457.82767603721</v>
      </c>
      <c r="Q1415" s="18">
        <f>IF($A1415&gt;40,0,(Q1390-MIN(MAX(R1414,0),Q1390))+MIN(MAX(0,S1414-(Q1390-MIN(MAX(R1414,0),Q1390))),MAX(0,2*Q1390-(R1414-MIN(MAX(R1414,0),Q1390)))))</f>
        <v>39683.863636980306</v>
      </c>
      <c r="R1415" s="18">
        <f>IF($A1415&gt;40,R1414,(R1414-Q1390+Q1415)*(1+$C$7))</f>
        <v>80886.919136911631</v>
      </c>
      <c r="S1415" s="18">
        <f t="shared" si="167"/>
        <v>487457.69270000391</v>
      </c>
    </row>
    <row r="1416" spans="1:19">
      <c r="A1416" s="10">
        <f>24</f>
        <v>24</v>
      </c>
      <c r="B1416" s="18">
        <f>IF($A1416&gt;40,0,(B1390-MIN(MAX(C1415,0),B1390))+MIN(MAX(0,D1415-(B1390-MIN(MAX(C1415,0),B1390))),MAX(0,2*B1390-(C1415-MIN(MAX(C1415,0),B1390)))))</f>
        <v>29622</v>
      </c>
      <c r="C1416" s="18">
        <f>IF($A1416&gt;40,C1415,(C1415-B1390+B1416)*(1+$C$7))</f>
        <v>60378</v>
      </c>
      <c r="D1416" s="18">
        <f t="shared" si="162"/>
        <v>859683.7361599654</v>
      </c>
      <c r="E1416" s="18">
        <f>IF($A1416&gt;40,0,(E1390-MIN(MAX(F1415,0),E1390))+MIN(MAX(0,G1415-(E1390-MIN(MAX(F1415,0),E1390))),MAX(0,2*E1390-(F1415-MIN(MAX(F1415,0),E1390)))))</f>
        <v>75000</v>
      </c>
      <c r="F1416" s="18">
        <f>IF($A1416&gt;40,F1415,(F1415-E1390+E1416)*(1+$C$7))</f>
        <v>0</v>
      </c>
      <c r="G1416" s="18">
        <f t="shared" si="163"/>
        <v>-709468.66564908309</v>
      </c>
      <c r="H1416" s="18">
        <f>IF($A1416&gt;40,0,(H1390-MIN(MAX(I1415,0),H1390))+MIN(MAX(0,J1415-(H1390-MIN(MAX(I1415,0),H1390))),MAX(0,2*H1390-(I1415-MIN(MAX(I1415,0),H1390)))))</f>
        <v>40033.396101535931</v>
      </c>
      <c r="I1416" s="18">
        <f>IF($A1416&gt;40,I1415,(I1415-H1390+H1416)*(1+$C$7))</f>
        <v>81599.364992861272</v>
      </c>
      <c r="J1416" s="18">
        <f t="shared" si="164"/>
        <v>447364.62414803833</v>
      </c>
      <c r="K1416" s="18">
        <f>IF($A1416&gt;40,0,(K1390-MIN(MAX(L1415,0),K1390))+MIN(MAX(0,M1415-(K1390-MIN(MAX(L1415,0),K1390))),MAX(0,2*K1390-(L1415-MIN(MAX(L1415,0),K1390)))))</f>
        <v>39683.706928240434</v>
      </c>
      <c r="L1416" s="18">
        <f>IF($A1416&gt;40,L1415,(L1415-K1390+K1416)*(1+$C$7))</f>
        <v>80886.599720251848</v>
      </c>
      <c r="M1416" s="18">
        <f t="shared" si="165"/>
        <v>461213.25001984439</v>
      </c>
      <c r="N1416" s="18">
        <f>IF($A1416&gt;40,0,(N1390-MIN(MAX(O1415,0),N1390))+MIN(MAX(0,P1415-(N1390-MIN(MAX(O1415,0),N1390))),MAX(0,2*N1390-(O1415-MIN(MAX(O1415,0),N1390)))))</f>
        <v>39683.860032736542</v>
      </c>
      <c r="O1416" s="18">
        <f>IF($A1416&gt;40,O1415,(O1415-N1390+N1416)*(1+$C$7))</f>
        <v>80886.911790445185</v>
      </c>
      <c r="P1416" s="18">
        <f t="shared" si="166"/>
        <v>461207.1866725997</v>
      </c>
      <c r="Q1416" s="18">
        <f>IF($A1416&gt;40,0,(Q1390-MIN(MAX(R1415,0),Q1390))+MIN(MAX(0,S1415-(Q1390-MIN(MAX(R1415,0),Q1390))),MAX(0,2*Q1390-(R1415-MIN(MAX(R1415,0),Q1390)))))</f>
        <v>39683.863636980306</v>
      </c>
      <c r="R1416" s="18">
        <f>IF($A1416&gt;40,R1415,(R1415-Q1390+Q1416)*(1+$C$7))</f>
        <v>80886.919136911631</v>
      </c>
      <c r="S1416" s="18">
        <f t="shared" si="167"/>
        <v>461207.04393491434</v>
      </c>
    </row>
    <row r="1417" spans="1:19">
      <c r="A1417" s="10">
        <f>25</f>
        <v>25</v>
      </c>
      <c r="B1417" s="18">
        <f>IF($A1417&gt;40,0,(B1390-MIN(MAX(C1416,0),B1390))+MIN(MAX(0,D1416-(B1390-MIN(MAX(C1416,0),B1390))),MAX(0,2*B1390-(C1416-MIN(MAX(C1416,0),B1390)))))</f>
        <v>29622</v>
      </c>
      <c r="C1417" s="18">
        <f>IF($A1417&gt;40,C1416,(C1416-B1390+B1417)*(1+$C$7))</f>
        <v>60378</v>
      </c>
      <c r="D1417" s="18">
        <f t="shared" si="162"/>
        <v>854963.58824476437</v>
      </c>
      <c r="E1417" s="18">
        <f>IF($A1417&gt;40,0,(E1390-MIN(MAX(F1416,0),E1390))+MIN(MAX(0,G1416-(E1390-MIN(MAX(F1416,0),E1390))),MAX(0,2*E1390-(F1416-MIN(MAX(F1416,0),E1390)))))</f>
        <v>75000</v>
      </c>
      <c r="F1417" s="18">
        <f>IF($A1417&gt;40,F1416,(F1416-E1390+E1417)*(1+$C$7))</f>
        <v>0</v>
      </c>
      <c r="G1417" s="18">
        <f t="shared" si="163"/>
        <v>-808002.72561855556</v>
      </c>
      <c r="H1417" s="18">
        <f>IF($A1417&gt;40,0,(H1390-MIN(MAX(I1416,0),H1390))+MIN(MAX(0,J1416-(H1390-MIN(MAX(I1416,0),H1390))),MAX(0,2*H1390-(I1416-MIN(MAX(I1416,0),H1390)))))</f>
        <v>40033.396101535931</v>
      </c>
      <c r="I1417" s="18">
        <f>IF($A1417&gt;40,I1416,(I1416-H1390+H1417)*(1+$C$7))</f>
        <v>81599.364992861272</v>
      </c>
      <c r="J1417" s="18">
        <f t="shared" si="164"/>
        <v>419551.1648878975</v>
      </c>
      <c r="K1417" s="18">
        <f>IF($A1417&gt;40,0,(K1390-MIN(MAX(L1416,0),K1390))+MIN(MAX(0,M1416-(K1390-MIN(MAX(L1416,0),K1390))),MAX(0,2*K1390-(L1416-MIN(MAX(L1416,0),K1390)))))</f>
        <v>39683.706928240434</v>
      </c>
      <c r="L1417" s="18">
        <f>IF($A1417&gt;40,L1416,(L1416-K1390+K1417)*(1+$C$7))</f>
        <v>80886.599720251848</v>
      </c>
      <c r="M1417" s="18">
        <f t="shared" si="165"/>
        <v>434175.42938435212</v>
      </c>
      <c r="N1417" s="18">
        <f>IF($A1417&gt;40,0,(N1390-MIN(MAX(O1416,0),N1390))+MIN(MAX(0,P1416-(N1390-MIN(MAX(O1416,0),N1390))),MAX(0,2*N1390-(O1416-MIN(MAX(O1416,0),N1390)))))</f>
        <v>39683.860032736542</v>
      </c>
      <c r="O1417" s="18">
        <f>IF($A1417&gt;40,O1416,(O1416-N1390+N1417)*(1+$C$7))</f>
        <v>80886.911790445185</v>
      </c>
      <c r="P1417" s="18">
        <f t="shared" si="166"/>
        <v>434169.02643905906</v>
      </c>
      <c r="Q1417" s="18">
        <f>IF($A1417&gt;40,0,(Q1390-MIN(MAX(R1416,0),Q1390))+MIN(MAX(0,S1416-(Q1390-MIN(MAX(R1416,0),Q1390))),MAX(0,2*Q1390-(R1416-MIN(MAX(R1416,0),Q1390)))))</f>
        <v>39683.863636980306</v>
      </c>
      <c r="R1417" s="18">
        <f>IF($A1417&gt;40,R1416,(R1416-Q1390+Q1417)*(1+$C$7))</f>
        <v>80886.919136911631</v>
      </c>
      <c r="S1417" s="18">
        <f t="shared" si="167"/>
        <v>434168.87570687209</v>
      </c>
    </row>
    <row r="1418" spans="1:19">
      <c r="A1418" s="10">
        <f>26</f>
        <v>26</v>
      </c>
      <c r="B1418" s="18">
        <f>IF($A1418&gt;40,0,(B1390-MIN(MAX(C1417,0),B1390))+MIN(MAX(0,D1417-(B1390-MIN(MAX(C1417,0),B1390))),MAX(0,2*B1390-(C1417-MIN(MAX(C1417,0),B1390)))))</f>
        <v>29622</v>
      </c>
      <c r="C1418" s="18">
        <f>IF($A1418&gt;40,C1417,(C1417-B1390+B1418)*(1+$C$7))</f>
        <v>60378</v>
      </c>
      <c r="D1418" s="18">
        <f t="shared" si="162"/>
        <v>850101.83589210734</v>
      </c>
      <c r="E1418" s="18">
        <f>IF($A1418&gt;40,0,(E1390-MIN(MAX(F1417,0),E1390))+MIN(MAX(0,G1417-(E1390-MIN(MAX(F1417,0),E1390))),MAX(0,2*E1390-(F1417-MIN(MAX(F1417,0),E1390)))))</f>
        <v>75000</v>
      </c>
      <c r="F1418" s="18">
        <f>IF($A1418&gt;40,F1417,(F1417-E1390+E1418)*(1+$C$7))</f>
        <v>0</v>
      </c>
      <c r="G1418" s="18">
        <f t="shared" si="163"/>
        <v>-909492.80738711229</v>
      </c>
      <c r="H1418" s="18">
        <f>IF($A1418&gt;40,0,(H1390-MIN(MAX(I1417,0),H1390))+MIN(MAX(0,J1417-(H1390-MIN(MAX(I1417,0),H1390))),MAX(0,2*H1390-(I1417-MIN(MAX(I1417,0),H1390)))))</f>
        <v>40033.396101535931</v>
      </c>
      <c r="I1418" s="18">
        <f>IF($A1418&gt;40,I1417,(I1417-H1390+H1418)*(1+$C$7))</f>
        <v>81599.364992861272</v>
      </c>
      <c r="J1418" s="18">
        <f t="shared" si="164"/>
        <v>390903.30184995243</v>
      </c>
      <c r="K1418" s="18">
        <f>IF($A1418&gt;40,0,(K1390-MIN(MAX(L1417,0),K1390))+MIN(MAX(0,M1417-(K1390-MIN(MAX(L1417,0),K1390))),MAX(0,2*K1390-(L1417-MIN(MAX(L1417,0),K1390)))))</f>
        <v>39683.706928240434</v>
      </c>
      <c r="L1418" s="18">
        <f>IF($A1418&gt;40,L1417,(L1417-K1390+K1418)*(1+$C$7))</f>
        <v>80886.599720251848</v>
      </c>
      <c r="M1418" s="18">
        <f t="shared" si="165"/>
        <v>406326.47412979504</v>
      </c>
      <c r="N1418" s="18">
        <f>IF($A1418&gt;40,0,(N1390-MIN(MAX(O1417,0),N1390))+MIN(MAX(0,P1417-(N1390-MIN(MAX(O1417,0),N1390))),MAX(0,2*N1390-(O1417-MIN(MAX(O1417,0),N1390)))))</f>
        <v>39683.860032736542</v>
      </c>
      <c r="O1418" s="18">
        <f>IF($A1418&gt;40,O1417,(O1417-N1390+N1418)*(1+$C$7))</f>
        <v>80886.911790445185</v>
      </c>
      <c r="P1418" s="18">
        <f t="shared" si="166"/>
        <v>406319.72139851219</v>
      </c>
      <c r="Q1418" s="18">
        <f>IF($A1418&gt;40,0,(Q1390-MIN(MAX(R1417,0),Q1390))+MIN(MAX(0,S1417-(Q1390-MIN(MAX(R1417,0),Q1390))),MAX(0,2*Q1390-(R1417-MIN(MAX(R1417,0),Q1390)))))</f>
        <v>39683.863636980306</v>
      </c>
      <c r="R1418" s="18">
        <f>IF($A1418&gt;40,R1417,(R1417-Q1390+Q1418)*(1+$C$7))</f>
        <v>80886.919136911631</v>
      </c>
      <c r="S1418" s="18">
        <f t="shared" si="167"/>
        <v>406319.56243198854</v>
      </c>
    </row>
    <row r="1419" spans="1:19">
      <c r="A1419" s="10">
        <f>27</f>
        <v>27</v>
      </c>
      <c r="B1419" s="18">
        <f>IF($A1419&gt;40,0,(B1390-MIN(MAX(C1418,0),B1390))+MIN(MAX(0,D1418-(B1390-MIN(MAX(C1418,0),B1390))),MAX(0,2*B1390-(C1418-MIN(MAX(C1418,0),B1390)))))</f>
        <v>29622</v>
      </c>
      <c r="C1419" s="18">
        <f>IF($A1419&gt;40,C1418,(C1418-B1390+B1419)*(1+$C$7))</f>
        <v>60378</v>
      </c>
      <c r="D1419" s="18">
        <f t="shared" si="162"/>
        <v>845094.23096887057</v>
      </c>
      <c r="E1419" s="18">
        <f>IF($A1419&gt;40,0,(E1390-MIN(MAX(F1418,0),E1390))+MIN(MAX(0,G1418-(E1390-MIN(MAX(F1418,0),E1390))),MAX(0,2*E1390-(F1418-MIN(MAX(F1418,0),E1390)))))</f>
        <v>75000</v>
      </c>
      <c r="F1419" s="18">
        <f>IF($A1419&gt;40,F1418,(F1418-E1390+E1419)*(1+$C$7))</f>
        <v>0</v>
      </c>
      <c r="G1419" s="18">
        <f t="shared" si="163"/>
        <v>-1014027.5916087257</v>
      </c>
      <c r="H1419" s="18">
        <f>IF($A1419&gt;40,0,(H1390-MIN(MAX(I1418,0),H1390))+MIN(MAX(0,J1418-(H1390-MIN(MAX(I1418,0),H1390))),MAX(0,2*H1390-(I1418-MIN(MAX(I1418,0),H1390)))))</f>
        <v>40033.396101535931</v>
      </c>
      <c r="I1419" s="18">
        <f>IF($A1419&gt;40,I1418,(I1418-H1390+H1419)*(1+$C$7))</f>
        <v>81599.364992861272</v>
      </c>
      <c r="J1419" s="18">
        <f t="shared" si="164"/>
        <v>361396.00292086898</v>
      </c>
      <c r="K1419" s="18">
        <f>IF($A1419&gt;40,0,(K1390-MIN(MAX(L1418,0),K1390))+MIN(MAX(0,M1418-(K1390-MIN(MAX(L1418,0),K1390))),MAX(0,2*K1390-(L1418-MIN(MAX(L1418,0),K1390)))))</f>
        <v>39683.706928240434</v>
      </c>
      <c r="L1419" s="18">
        <f>IF($A1419&gt;40,L1418,(L1418-K1390+K1419)*(1+$C$7))</f>
        <v>80886.599720251848</v>
      </c>
      <c r="M1419" s="18">
        <f t="shared" si="165"/>
        <v>377642.05021760124</v>
      </c>
      <c r="N1419" s="18">
        <f>IF($A1419&gt;40,0,(N1390-MIN(MAX(O1418,0),N1390))+MIN(MAX(0,P1418-(N1390-MIN(MAX(O1418,0),N1390))),MAX(0,2*N1390-(O1418-MIN(MAX(O1418,0),N1390)))))</f>
        <v>39683.860032736542</v>
      </c>
      <c r="O1419" s="18">
        <f>IF($A1419&gt;40,O1418,(O1418-N1390+N1419)*(1+$C$7))</f>
        <v>80886.911790445185</v>
      </c>
      <c r="P1419" s="18">
        <f t="shared" si="166"/>
        <v>377634.93720674893</v>
      </c>
      <c r="Q1419" s="18">
        <f>IF($A1419&gt;40,0,(Q1390-MIN(MAX(R1418,0),Q1390))+MIN(MAX(0,S1418-(Q1390-MIN(MAX(R1418,0),Q1390))),MAX(0,2*Q1390-(R1418-MIN(MAX(R1418,0),Q1390)))))</f>
        <v>39683.863636980306</v>
      </c>
      <c r="R1419" s="18">
        <f>IF($A1419&gt;40,R1418,(R1418-Q1390+Q1419)*(1+$C$7))</f>
        <v>80886.919136911631</v>
      </c>
      <c r="S1419" s="18">
        <f t="shared" si="167"/>
        <v>377634.76975885849</v>
      </c>
    </row>
    <row r="1420" spans="1:19">
      <c r="A1420" s="10">
        <f>28</f>
        <v>28</v>
      </c>
      <c r="B1420" s="18">
        <f>IF($A1420&gt;40,0,(B1390-MIN(MAX(C1419,0),B1390))+MIN(MAX(0,D1419-(B1390-MIN(MAX(C1419,0),B1390))),MAX(0,2*B1390-(C1419-MIN(MAX(C1419,0),B1390)))))</f>
        <v>29622</v>
      </c>
      <c r="C1420" s="18">
        <f>IF($A1420&gt;40,C1419,(C1419-B1390+B1420)*(1+$C$7))</f>
        <v>60378</v>
      </c>
      <c r="D1420" s="18">
        <f t="shared" si="162"/>
        <v>839936.39789793675</v>
      </c>
      <c r="E1420" s="18">
        <f>IF($A1420&gt;40,0,(E1390-MIN(MAX(F1419,0),E1390))+MIN(MAX(0,G1419-(E1390-MIN(MAX(F1419,0),E1390))),MAX(0,2*E1390-(F1419-MIN(MAX(F1419,0),E1390)))))</f>
        <v>75000</v>
      </c>
      <c r="F1420" s="18">
        <f>IF($A1420&gt;40,F1419,(F1419-E1390+E1420)*(1+$C$7))</f>
        <v>0</v>
      </c>
      <c r="G1420" s="18">
        <f t="shared" si="163"/>
        <v>-1121698.4193569876</v>
      </c>
      <c r="H1420" s="18">
        <f>IF($A1420&gt;40,0,(H1390-MIN(MAX(I1419,0),H1390))+MIN(MAX(0,J1419-(H1390-MIN(MAX(I1419,0),H1390))),MAX(0,2*H1390-(I1419-MIN(MAX(I1419,0),H1390)))))</f>
        <v>40033.396101535931</v>
      </c>
      <c r="I1420" s="18">
        <f>IF($A1420&gt;40,I1419,(I1419-H1390+H1420)*(1+$C$7))</f>
        <v>81599.364992861272</v>
      </c>
      <c r="J1420" s="18">
        <f t="shared" si="164"/>
        <v>331003.48502391303</v>
      </c>
      <c r="K1420" s="18">
        <f>IF($A1420&gt;40,0,(K1390-MIN(MAX(L1419,0),K1390))+MIN(MAX(0,M1419-(K1390-MIN(MAX(L1419,0),K1390))),MAX(0,2*K1390-(L1419-MIN(MAX(L1419,0),K1390)))))</f>
        <v>39683.706928240434</v>
      </c>
      <c r="L1420" s="18">
        <f>IF($A1420&gt;40,L1419,(L1419-K1390+K1420)*(1+$C$7))</f>
        <v>80886.599720251848</v>
      </c>
      <c r="M1420" s="18">
        <f t="shared" si="165"/>
        <v>348097.09358804167</v>
      </c>
      <c r="N1420" s="18">
        <f>IF($A1420&gt;40,0,(N1390-MIN(MAX(O1419,0),N1390))+MIN(MAX(0,P1419-(N1390-MIN(MAX(O1419,0),N1390))),MAX(0,2*N1390-(O1419-MIN(MAX(O1419,0),N1390)))))</f>
        <v>39683.860032736542</v>
      </c>
      <c r="O1420" s="18">
        <f>IF($A1420&gt;40,O1419,(O1419-N1390+N1420)*(1+$C$7))</f>
        <v>80886.911790445185</v>
      </c>
      <c r="P1420" s="18">
        <f t="shared" si="166"/>
        <v>348089.60948923277</v>
      </c>
      <c r="Q1420" s="18">
        <f>IF($A1420&gt;40,0,(Q1390-MIN(MAX(R1419,0),Q1390))+MIN(MAX(0,S1419-(Q1390-MIN(MAX(R1419,0),Q1390))),MAX(0,2*Q1390-(R1419-MIN(MAX(R1419,0),Q1390)))))</f>
        <v>39683.863636980306</v>
      </c>
      <c r="R1420" s="18">
        <f>IF($A1420&gt;40,R1419,(R1419-Q1390+Q1420)*(1+$C$7))</f>
        <v>80886.919136911631</v>
      </c>
      <c r="S1420" s="18">
        <f t="shared" si="167"/>
        <v>348089.43330553453</v>
      </c>
    </row>
    <row r="1421" spans="1:19">
      <c r="A1421" s="10">
        <f>29</f>
        <v>29</v>
      </c>
      <c r="B1421" s="18">
        <f>IF($A1421&gt;40,0,(B1390-MIN(MAX(C1420,0),B1390))+MIN(MAX(0,D1420-(B1390-MIN(MAX(C1420,0),B1390))),MAX(0,2*B1390-(C1420-MIN(MAX(C1420,0),B1390)))))</f>
        <v>29622</v>
      </c>
      <c r="C1421" s="18">
        <f>IF($A1421&gt;40,C1420,(C1420-B1390+B1421)*(1+$C$7))</f>
        <v>60378</v>
      </c>
      <c r="D1421" s="18">
        <f t="shared" si="162"/>
        <v>834623.82983487484</v>
      </c>
      <c r="E1421" s="18">
        <f>IF($A1421&gt;40,0,(E1390-MIN(MAX(F1420,0),E1390))+MIN(MAX(0,G1420-(E1390-MIN(MAX(F1420,0),E1390))),MAX(0,2*E1390-(F1420-MIN(MAX(F1420,0),E1390)))))</f>
        <v>75000</v>
      </c>
      <c r="F1421" s="18">
        <f>IF($A1421&gt;40,F1420,(F1420-E1390+E1421)*(1+$C$7))</f>
        <v>0</v>
      </c>
      <c r="G1421" s="18">
        <f t="shared" si="163"/>
        <v>-1232599.3719376973</v>
      </c>
      <c r="H1421" s="18">
        <f>IF($A1421&gt;40,0,(H1390-MIN(MAX(I1420,0),H1390))+MIN(MAX(0,J1420-(H1390-MIN(MAX(I1420,0),H1390))),MAX(0,2*H1390-(I1420-MIN(MAX(I1420,0),H1390)))))</f>
        <v>40033.396101535931</v>
      </c>
      <c r="I1421" s="18">
        <f>IF($A1421&gt;40,I1420,(I1420-H1390+H1421)*(1+$C$7))</f>
        <v>81599.364992861272</v>
      </c>
      <c r="J1421" s="18">
        <f t="shared" si="164"/>
        <v>299699.19159004843</v>
      </c>
      <c r="K1421" s="18">
        <f>IF($A1421&gt;40,0,(K1390-MIN(MAX(L1420,0),K1390))+MIN(MAX(0,M1420-(K1390-MIN(MAX(L1420,0),K1390))),MAX(0,2*K1390-(L1420-MIN(MAX(L1420,0),K1390)))))</f>
        <v>39683.706928240434</v>
      </c>
      <c r="L1421" s="18">
        <f>IF($A1421&gt;40,L1420,(L1420-K1390+K1421)*(1+$C$7))</f>
        <v>80886.599720251848</v>
      </c>
      <c r="M1421" s="18">
        <f t="shared" si="165"/>
        <v>317665.78825959528</v>
      </c>
      <c r="N1421" s="18">
        <f>IF($A1421&gt;40,0,(N1390-MIN(MAX(O1420,0),N1390))+MIN(MAX(0,P1420-(N1390-MIN(MAX(O1420,0),N1390))),MAX(0,2*N1390-(O1420-MIN(MAX(O1420,0),N1390)))))</f>
        <v>39683.860032736542</v>
      </c>
      <c r="O1421" s="18">
        <f>IF($A1421&gt;40,O1420,(O1420-N1390+N1421)*(1+$C$7))</f>
        <v>80886.911790445185</v>
      </c>
      <c r="P1421" s="18">
        <f t="shared" si="166"/>
        <v>317657.92194019113</v>
      </c>
      <c r="Q1421" s="18">
        <f>IF($A1421&gt;40,0,(Q1390-MIN(MAX(R1420,0),Q1390))+MIN(MAX(0,S1420-(Q1390-MIN(MAX(R1420,0),Q1390))),MAX(0,2*Q1390-(R1420-MIN(MAX(R1420,0),Q1390)))))</f>
        <v>39683.863636980306</v>
      </c>
      <c r="R1421" s="18">
        <f>IF($A1421&gt;40,R1420,(R1420-Q1390+Q1421)*(1+$C$7))</f>
        <v>80886.919136911631</v>
      </c>
      <c r="S1421" s="18">
        <f t="shared" si="167"/>
        <v>317657.73675861087</v>
      </c>
    </row>
    <row r="1422" spans="1:19">
      <c r="A1422" s="10">
        <f>30</f>
        <v>30</v>
      </c>
      <c r="B1422" s="18">
        <f>IF($A1422&gt;40,0,(B1390-MIN(MAX(C1421,0),B1390))+MIN(MAX(0,D1421-(B1390-MIN(MAX(C1421,0),B1390))),MAX(0,2*B1390-(C1421-MIN(MAX(C1421,0),B1390)))))</f>
        <v>29622</v>
      </c>
      <c r="C1422" s="18">
        <f>IF($A1422&gt;40,C1421,(C1421-B1390+B1422)*(1+$C$7))</f>
        <v>60378</v>
      </c>
      <c r="D1422" s="18">
        <f t="shared" si="162"/>
        <v>829151.88472992112</v>
      </c>
      <c r="E1422" s="18">
        <f>IF($A1422&gt;40,0,(E1390-MIN(MAX(F1421,0),E1390))+MIN(MAX(0,G1421-(E1390-MIN(MAX(F1421,0),E1390))),MAX(0,2*E1390-(F1421-MIN(MAX(F1421,0),E1390)))))</f>
        <v>75000</v>
      </c>
      <c r="F1422" s="18">
        <f>IF($A1422&gt;40,F1421,(F1421-E1390+E1422)*(1+$C$7))</f>
        <v>0</v>
      </c>
      <c r="G1422" s="18">
        <f t="shared" si="163"/>
        <v>-1346827.3530958283</v>
      </c>
      <c r="H1422" s="18">
        <f>IF($A1422&gt;40,0,(H1390-MIN(MAX(I1421,0),H1390))+MIN(MAX(0,J1421-(H1390-MIN(MAX(I1421,0),H1390))),MAX(0,2*H1390-(I1421-MIN(MAX(I1421,0),H1390)))))</f>
        <v>40033.396101535931</v>
      </c>
      <c r="I1422" s="18">
        <f>IF($A1422&gt;40,I1421,(I1421-H1390+H1422)*(1+$C$7))</f>
        <v>81599.364992861272</v>
      </c>
      <c r="J1422" s="18">
        <f t="shared" si="164"/>
        <v>267455.76935316785</v>
      </c>
      <c r="K1422" s="18">
        <f>IF($A1422&gt;40,0,(K1390-MIN(MAX(L1421,0),K1390))+MIN(MAX(0,M1421-(K1390-MIN(MAX(L1421,0),K1390))),MAX(0,2*K1390-(L1421-MIN(MAX(L1421,0),K1390)))))</f>
        <v>39683.706928240434</v>
      </c>
      <c r="L1422" s="18">
        <f>IF($A1422&gt;40,L1421,(L1421-K1390+K1422)*(1+$C$7))</f>
        <v>80886.599720251848</v>
      </c>
      <c r="M1422" s="18">
        <f t="shared" si="165"/>
        <v>286321.54377129552</v>
      </c>
      <c r="N1422" s="18">
        <f>IF($A1422&gt;40,0,(N1390-MIN(MAX(O1421,0),N1390))+MIN(MAX(0,P1421-(N1390-MIN(MAX(O1421,0),N1390))),MAX(0,2*N1390-(O1421-MIN(MAX(O1421,0),N1390)))))</f>
        <v>39683.860032736542</v>
      </c>
      <c r="O1422" s="18">
        <f>IF($A1422&gt;40,O1421,(O1421-N1390+N1422)*(1+$C$7))</f>
        <v>80886.911790445185</v>
      </c>
      <c r="P1422" s="18">
        <f t="shared" si="166"/>
        <v>286313.28376467823</v>
      </c>
      <c r="Q1422" s="18">
        <f>IF($A1422&gt;40,0,(Q1390-MIN(MAX(R1421,0),Q1390))+MIN(MAX(0,S1421-(Q1390-MIN(MAX(R1421,0),Q1390))),MAX(0,2*Q1390-(R1421-MIN(MAX(R1421,0),Q1390)))))</f>
        <v>39683.863636980306</v>
      </c>
      <c r="R1422" s="18">
        <f>IF($A1422&gt;40,R1421,(R1421-Q1390+Q1422)*(1+$C$7))</f>
        <v>80886.919136911631</v>
      </c>
      <c r="S1422" s="18">
        <f t="shared" si="167"/>
        <v>286313.0893152795</v>
      </c>
    </row>
    <row r="1423" spans="1:19">
      <c r="A1423" s="10">
        <f>31</f>
        <v>31</v>
      </c>
      <c r="B1423" s="18">
        <f>IF($A1423&gt;40,0,(B1390-MIN(MAX(C1422,0),B1390))+MIN(MAX(0,D1422-(B1390-MIN(MAX(C1422,0),B1390))),MAX(0,2*B1390-(C1422-MIN(MAX(C1422,0),B1390)))))</f>
        <v>29622</v>
      </c>
      <c r="C1423" s="18">
        <f>IF($A1423&gt;40,C1422,(C1422-B1390+B1423)*(1+$C$7))</f>
        <v>60378</v>
      </c>
      <c r="D1423" s="18">
        <f t="shared" si="162"/>
        <v>823515.78127181879</v>
      </c>
      <c r="E1423" s="18">
        <f>IF($A1423&gt;40,0,(E1390-MIN(MAX(F1422,0),E1390))+MIN(MAX(0,G1422-(E1390-MIN(MAX(F1422,0),E1390))),MAX(0,2*E1390-(F1422-MIN(MAX(F1422,0),E1390)))))</f>
        <v>75000</v>
      </c>
      <c r="F1423" s="18">
        <f>IF($A1423&gt;40,F1422,(F1422-E1390+E1423)*(1+$C$7))</f>
        <v>0</v>
      </c>
      <c r="G1423" s="18">
        <f t="shared" si="163"/>
        <v>-1464482.1736887032</v>
      </c>
      <c r="H1423" s="18">
        <f>IF($A1423&gt;40,0,(H1390-MIN(MAX(I1422,0),H1390))+MIN(MAX(0,J1422-(H1390-MIN(MAX(I1422,0),H1390))),MAX(0,2*H1390-(I1422-MIN(MAX(I1422,0),H1390)))))</f>
        <v>40033.396101535931</v>
      </c>
      <c r="I1423" s="18">
        <f>IF($A1423&gt;40,I1422,(I1422-H1390+H1423)*(1+$C$7))</f>
        <v>81599.364992861272</v>
      </c>
      <c r="J1423" s="18">
        <f t="shared" si="164"/>
        <v>234245.04444918089</v>
      </c>
      <c r="K1423" s="18">
        <f>IF($A1423&gt;40,0,(K1390-MIN(MAX(L1422,0),K1390))+MIN(MAX(0,M1422-(K1390-MIN(MAX(L1422,0),K1390))),MAX(0,2*K1390-(L1422-MIN(MAX(L1422,0),K1390)))))</f>
        <v>39683.706928240434</v>
      </c>
      <c r="L1423" s="18">
        <f>IF($A1423&gt;40,L1422,(L1422-K1390+K1423)*(1+$C$7))</f>
        <v>80886.599720251848</v>
      </c>
      <c r="M1423" s="18">
        <f t="shared" si="165"/>
        <v>254036.97194834676</v>
      </c>
      <c r="N1423" s="18">
        <f>IF($A1423&gt;40,0,(N1390-MIN(MAX(O1422,0),N1390))+MIN(MAX(0,P1422-(N1390-MIN(MAX(O1422,0),N1390))),MAX(0,2*N1390-(O1422-MIN(MAX(O1422,0),N1390)))))</f>
        <v>39683.860032736542</v>
      </c>
      <c r="O1423" s="18">
        <f>IF($A1423&gt;40,O1422,(O1422-N1390+N1423)*(1+$C$7))</f>
        <v>80886.911790445185</v>
      </c>
      <c r="P1423" s="18">
        <f t="shared" si="166"/>
        <v>254028.30644389993</v>
      </c>
      <c r="Q1423" s="18">
        <f>IF($A1423&gt;40,0,(Q1390-MIN(MAX(R1422,0),Q1390))+MIN(MAX(0,S1422-(Q1390-MIN(MAX(R1422,0),Q1390))),MAX(0,2*Q1390-(R1422-MIN(MAX(R1422,0),Q1390)))))</f>
        <v>39683.863636980306</v>
      </c>
      <c r="R1423" s="18">
        <f>IF($A1423&gt;40,R1422,(R1422-Q1390+Q1423)*(1+$C$7))</f>
        <v>80886.919136911631</v>
      </c>
      <c r="S1423" s="18">
        <f t="shared" si="167"/>
        <v>254028.10244864819</v>
      </c>
    </row>
    <row r="1424" spans="1:19">
      <c r="A1424" s="10">
        <f>32</f>
        <v>32</v>
      </c>
      <c r="B1424" s="18">
        <f>IF($A1424&gt;40,0,(B1390-MIN(MAX(C1423,0),B1390))+MIN(MAX(0,D1423-(B1390-MIN(MAX(C1423,0),B1390))),MAX(0,2*B1390-(C1423-MIN(MAX(C1423,0),B1390)))))</f>
        <v>29622</v>
      </c>
      <c r="C1424" s="18">
        <f>IF($A1424&gt;40,C1423,(C1423-B1390+B1424)*(1+$C$7))</f>
        <v>60378</v>
      </c>
      <c r="D1424" s="18">
        <f t="shared" si="162"/>
        <v>817710.59470997343</v>
      </c>
      <c r="E1424" s="18">
        <f>IF($A1424&gt;40,0,(E1390-MIN(MAX(F1423,0),E1390))+MIN(MAX(0,G1423-(E1390-MIN(MAX(F1423,0),E1390))),MAX(0,2*E1390-(F1423-MIN(MAX(F1423,0),E1390)))))</f>
        <v>75000</v>
      </c>
      <c r="F1424" s="18">
        <f>IF($A1424&gt;40,F1423,(F1423-E1390+E1424)*(1+$C$7))</f>
        <v>0</v>
      </c>
      <c r="G1424" s="18">
        <f t="shared" si="163"/>
        <v>-1585666.6388993643</v>
      </c>
      <c r="H1424" s="18">
        <f>IF($A1424&gt;40,0,(H1390-MIN(MAX(I1423,0),H1390))+MIN(MAX(0,J1423-(H1390-MIN(MAX(I1423,0),H1390))),MAX(0,2*H1390-(I1423-MIN(MAX(I1423,0),H1390)))))</f>
        <v>40033.396101535931</v>
      </c>
      <c r="I1424" s="18">
        <f>IF($A1424&gt;40,I1423,(I1423-H1390+H1424)*(1+$C$7))</f>
        <v>81599.364992861272</v>
      </c>
      <c r="J1424" s="18">
        <f t="shared" si="164"/>
        <v>200037.9977980743</v>
      </c>
      <c r="K1424" s="18">
        <f>IF($A1424&gt;40,0,(K1390-MIN(MAX(L1423,0),K1390))+MIN(MAX(0,M1423-(K1390-MIN(MAX(L1423,0),K1390))),MAX(0,2*K1390-(L1423-MIN(MAX(L1423,0),K1390)))))</f>
        <v>39683.706928240434</v>
      </c>
      <c r="L1424" s="18">
        <f>IF($A1424&gt;40,L1423,(L1423-K1390+K1424)*(1+$C$7))</f>
        <v>80886.599720251848</v>
      </c>
      <c r="M1424" s="18">
        <f t="shared" si="165"/>
        <v>220783.86297070954</v>
      </c>
      <c r="N1424" s="18">
        <f>IF($A1424&gt;40,0,(N1390-MIN(MAX(O1423,0),N1390))+MIN(MAX(0,P1423-(N1390-MIN(MAX(O1423,0),N1390))),MAX(0,2*N1390-(O1423-MIN(MAX(O1423,0),N1390)))))</f>
        <v>39683.860032736542</v>
      </c>
      <c r="O1424" s="18">
        <f>IF($A1424&gt;40,O1423,(O1423-N1390+N1424)*(1+$C$7))</f>
        <v>80886.911790445185</v>
      </c>
      <c r="P1424" s="18">
        <f t="shared" si="166"/>
        <v>220774.77980349827</v>
      </c>
      <c r="Q1424" s="18">
        <f>IF($A1424&gt;40,0,(Q1390-MIN(MAX(R1423,0),Q1390))+MIN(MAX(0,S1423-(Q1390-MIN(MAX(R1423,0),Q1390))),MAX(0,2*Q1390-(R1423-MIN(MAX(R1423,0),Q1390)))))</f>
        <v>39683.863636980306</v>
      </c>
      <c r="R1424" s="18">
        <f>IF($A1424&gt;40,R1423,(R1423-Q1390+Q1424)*(1+$C$7))</f>
        <v>80886.919136911631</v>
      </c>
      <c r="S1424" s="18">
        <f t="shared" si="167"/>
        <v>220774.56597601794</v>
      </c>
    </row>
    <row r="1425" spans="1:19">
      <c r="A1425" s="10">
        <f>33</f>
        <v>33</v>
      </c>
      <c r="B1425" s="18">
        <f>IF($A1425&gt;40,0,(B1390-MIN(MAX(C1424,0),B1390))+MIN(MAX(0,D1424-(B1390-MIN(MAX(C1424,0),B1390))),MAX(0,2*B1390-(C1424-MIN(MAX(C1424,0),B1390)))))</f>
        <v>29622</v>
      </c>
      <c r="C1425" s="18">
        <f>IF($A1425&gt;40,C1424,(C1424-B1390+B1425)*(1+$C$7))</f>
        <v>60378</v>
      </c>
      <c r="D1425" s="18">
        <f t="shared" si="162"/>
        <v>811731.25255127263</v>
      </c>
      <c r="E1425" s="18">
        <f>IF($A1425&gt;40,0,(E1390-MIN(MAX(F1424,0),E1390))+MIN(MAX(0,G1424-(E1390-MIN(MAX(F1424,0),E1390))),MAX(0,2*E1390-(F1424-MIN(MAX(F1424,0),E1390)))))</f>
        <v>75000</v>
      </c>
      <c r="F1425" s="18">
        <f>IF($A1425&gt;40,F1424,(F1424-E1390+E1425)*(1+$C$7))</f>
        <v>0</v>
      </c>
      <c r="G1425" s="18">
        <f t="shared" si="163"/>
        <v>-1710486.6380663454</v>
      </c>
      <c r="H1425" s="18">
        <f>IF($A1425&gt;40,0,(H1390-MIN(MAX(I1424,0),H1390))+MIN(MAX(0,J1424-(H1390-MIN(MAX(I1424,0),H1390))),MAX(0,2*H1390-(I1424-MIN(MAX(I1424,0),H1390)))))</f>
        <v>40033.396101535931</v>
      </c>
      <c r="I1425" s="18">
        <f>IF($A1425&gt;40,I1424,(I1424-H1390+H1425)*(1+$C$7))</f>
        <v>81599.364992861272</v>
      </c>
      <c r="J1425" s="18">
        <f t="shared" si="164"/>
        <v>164804.73974743451</v>
      </c>
      <c r="K1425" s="18">
        <f>IF($A1425&gt;40,0,(K1390-MIN(MAX(L1424,0),K1390))+MIN(MAX(0,M1424-(K1390-MIN(MAX(L1424,0),K1390))),MAX(0,2*K1390-(L1424-MIN(MAX(L1424,0),K1390)))))</f>
        <v>39683.706928240434</v>
      </c>
      <c r="L1425" s="18">
        <f>IF($A1425&gt;40,L1424,(L1424-K1390+K1425)*(1+$C$7))</f>
        <v>80886.599720251848</v>
      </c>
      <c r="M1425" s="18">
        <f t="shared" si="165"/>
        <v>186533.1607237432</v>
      </c>
      <c r="N1425" s="18">
        <f>IF($A1425&gt;40,0,(N1390-MIN(MAX(O1424,0),N1390))+MIN(MAX(0,P1424-(N1390-MIN(MAX(O1424,0),N1390))),MAX(0,2*N1390-(O1424-MIN(MAX(O1424,0),N1390)))))</f>
        <v>39683.860032736542</v>
      </c>
      <c r="O1425" s="18">
        <f>IF($A1425&gt;40,O1424,(O1424-N1390+N1425)*(1+$C$7))</f>
        <v>80886.911790445185</v>
      </c>
      <c r="P1425" s="18">
        <f t="shared" si="166"/>
        <v>186523.64736388461</v>
      </c>
      <c r="Q1425" s="18">
        <f>IF($A1425&gt;40,0,(Q1390-MIN(MAX(R1424,0),Q1390))+MIN(MAX(0,S1424-(Q1390-MIN(MAX(R1424,0),Q1390))),MAX(0,2*Q1390-(R1424-MIN(MAX(R1424,0),Q1390)))))</f>
        <v>39683.863636980306</v>
      </c>
      <c r="R1425" s="18">
        <f>IF($A1425&gt;40,R1424,(R1424-Q1390+Q1425)*(1+$C$7))</f>
        <v>80886.919136911631</v>
      </c>
      <c r="S1425" s="18">
        <f t="shared" si="167"/>
        <v>186523.42340920877</v>
      </c>
    </row>
    <row r="1426" spans="1:19">
      <c r="A1426" s="10">
        <f>34</f>
        <v>34</v>
      </c>
      <c r="B1426" s="18">
        <f>IF($A1426&gt;40,0,(B1390-MIN(MAX(C1425,0),B1390))+MIN(MAX(0,D1425-(B1390-MIN(MAX(C1425,0),B1390))),MAX(0,2*B1390-(C1425-MIN(MAX(C1425,0),B1390)))))</f>
        <v>29622</v>
      </c>
      <c r="C1426" s="18">
        <f>IF($A1426&gt;40,C1425,(C1425-B1390+B1426)*(1+$C$7))</f>
        <v>60378</v>
      </c>
      <c r="D1426" s="18">
        <f t="shared" si="162"/>
        <v>805572.53012781078</v>
      </c>
      <c r="E1426" s="18">
        <f>IF($A1426&gt;40,0,(E1390-MIN(MAX(F1425,0),E1390))+MIN(MAX(0,G1425-(E1390-MIN(MAX(F1425,0),E1390))),MAX(0,2*E1390-(F1425-MIN(MAX(F1425,0),E1390)))))</f>
        <v>75000</v>
      </c>
      <c r="F1426" s="18">
        <f>IF($A1426&gt;40,F1425,(F1425-E1390+E1426)*(1+$C$7))</f>
        <v>0</v>
      </c>
      <c r="G1426" s="18">
        <f t="shared" si="163"/>
        <v>-1839051.2372083357</v>
      </c>
      <c r="H1426" s="18">
        <f>IF($A1426&gt;40,0,(H1390-MIN(MAX(I1425,0),H1390))+MIN(MAX(0,J1425-(H1390-MIN(MAX(I1425,0),H1390))),MAX(0,2*H1390-(I1425-MIN(MAX(I1425,0),H1390)))))</f>
        <v>40033.396101535931</v>
      </c>
      <c r="I1426" s="18">
        <f>IF($A1426&gt;40,I1425,(I1425-H1390+H1426)*(1+$C$7))</f>
        <v>81599.364992861272</v>
      </c>
      <c r="J1426" s="18">
        <f t="shared" si="164"/>
        <v>128514.48395527553</v>
      </c>
      <c r="K1426" s="18">
        <f>IF($A1426&gt;40,0,(K1390-MIN(MAX(L1425,0),K1390))+MIN(MAX(0,M1425-(K1390-MIN(MAX(L1425,0),K1390))),MAX(0,2*K1390-(L1425-MIN(MAX(L1425,0),K1390)))))</f>
        <v>39683.706928240434</v>
      </c>
      <c r="L1426" s="18">
        <f>IF($A1426&gt;40,L1425,(L1425-K1390+K1426)*(1+$C$7))</f>
        <v>80886.599720251848</v>
      </c>
      <c r="M1426" s="18">
        <f t="shared" si="165"/>
        <v>151254.93740936788</v>
      </c>
      <c r="N1426" s="18">
        <f>IF($A1426&gt;40,0,(N1390-MIN(MAX(O1425,0),N1390))+MIN(MAX(0,P1425-(N1390-MIN(MAX(O1425,0),N1390))),MAX(0,2*N1390-(O1425-MIN(MAX(O1425,0),N1390)))))</f>
        <v>39683.860032736542</v>
      </c>
      <c r="O1426" s="18">
        <f>IF($A1426&gt;40,O1425,(O1425-N1390+N1426)*(1+$C$7))</f>
        <v>80886.911790445185</v>
      </c>
      <c r="P1426" s="18">
        <f t="shared" si="166"/>
        <v>151244.98095108249</v>
      </c>
      <c r="Q1426" s="18">
        <f>IF($A1426&gt;40,0,(Q1390-MIN(MAX(R1425,0),Q1390))+MIN(MAX(0,S1425-(Q1390-MIN(MAX(R1425,0),Q1390))),MAX(0,2*Q1390-(R1425-MIN(MAX(R1425,0),Q1390)))))</f>
        <v>39683.863636980306</v>
      </c>
      <c r="R1426" s="18">
        <f>IF($A1426&gt;40,R1425,(R1425-Q1390+Q1426)*(1+$C$7))</f>
        <v>80886.919136911631</v>
      </c>
      <c r="S1426" s="18">
        <f t="shared" si="167"/>
        <v>151244.74656539533</v>
      </c>
    </row>
    <row r="1427" spans="1:19">
      <c r="A1427" s="10">
        <f>35</f>
        <v>35</v>
      </c>
      <c r="B1427" s="18">
        <f>IF($A1427&gt;40,0,(B1390-MIN(MAX(C1426,0),B1390))+MIN(MAX(0,D1426-(B1390-MIN(MAX(C1426,0),B1390))),MAX(0,2*B1390-(C1426-MIN(MAX(C1426,0),B1390)))))</f>
        <v>29622</v>
      </c>
      <c r="C1427" s="18">
        <f>IF($A1427&gt;40,C1426,(C1426-B1390+B1427)*(1+$C$7))</f>
        <v>60378</v>
      </c>
      <c r="D1427" s="18">
        <f t="shared" si="162"/>
        <v>799229.04603164515</v>
      </c>
      <c r="E1427" s="18">
        <f>IF($A1427&gt;40,0,(E1390-MIN(MAX(F1426,0),E1390))+MIN(MAX(0,G1426-(E1390-MIN(MAX(F1426,0),E1390))),MAX(0,2*E1390-(F1426-MIN(MAX(F1426,0),E1390)))))</f>
        <v>75000</v>
      </c>
      <c r="F1427" s="18">
        <f>IF($A1427&gt;40,F1426,(F1426-E1390+E1427)*(1+$C$7))</f>
        <v>0</v>
      </c>
      <c r="G1427" s="18">
        <f t="shared" si="163"/>
        <v>-1971472.7743245857</v>
      </c>
      <c r="H1427" s="18">
        <f>IF($A1427&gt;40,0,(H1390-MIN(MAX(I1426,0),H1390))+MIN(MAX(0,J1426-(H1390-MIN(MAX(I1426,0),H1390))),MAX(0,2*H1390-(I1426-MIN(MAX(I1426,0),H1390)))))</f>
        <v>40033.396101535931</v>
      </c>
      <c r="I1427" s="18">
        <f>IF($A1427&gt;40,I1426,(I1426-H1390+H1427)*(1+$C$7))</f>
        <v>81599.364992861272</v>
      </c>
      <c r="J1427" s="18">
        <f t="shared" si="164"/>
        <v>91135.52048935178</v>
      </c>
      <c r="K1427" s="18">
        <f>IF($A1427&gt;40,0,(K1390-MIN(MAX(L1426,0),K1390))+MIN(MAX(0,M1426-(K1390-MIN(MAX(L1426,0),K1390))),MAX(0,2*K1390-(L1426-MIN(MAX(L1426,0),K1390)))))</f>
        <v>39683.706928240434</v>
      </c>
      <c r="L1427" s="18">
        <f>IF($A1427&gt;40,L1426,(L1426-K1390+K1427)*(1+$C$7))</f>
        <v>80886.599720251848</v>
      </c>
      <c r="M1427" s="18">
        <f t="shared" si="165"/>
        <v>114918.36739556128</v>
      </c>
      <c r="N1427" s="18">
        <f>IF($A1427&gt;40,0,(N1390-MIN(MAX(O1426,0),N1390))+MIN(MAX(0,P1426-(N1390-MIN(MAX(O1426,0),N1390))),MAX(0,2*N1390-(O1426-MIN(MAX(O1426,0),N1390)))))</f>
        <v>39683.860032736542</v>
      </c>
      <c r="O1427" s="18">
        <f>IF($A1427&gt;40,O1426,(O1426-N1390+N1427)*(1+$C$7))</f>
        <v>80886.911790445185</v>
      </c>
      <c r="P1427" s="18">
        <f t="shared" si="166"/>
        <v>114907.95454589633</v>
      </c>
      <c r="Q1427" s="18">
        <f>IF($A1427&gt;40,0,(Q1390-MIN(MAX(R1426,0),Q1390))+MIN(MAX(0,S1426-(Q1390-MIN(MAX(R1426,0),Q1390))),MAX(0,2*Q1390-(R1426-MIN(MAX(R1426,0),Q1390)))))</f>
        <v>39683.863636980306</v>
      </c>
      <c r="R1427" s="18">
        <f>IF($A1427&gt;40,R1426,(R1426-Q1390+Q1427)*(1+$C$7))</f>
        <v>80886.919136911631</v>
      </c>
      <c r="S1427" s="18">
        <f t="shared" si="167"/>
        <v>114907.70941626748</v>
      </c>
    </row>
    <row r="1428" spans="1:19">
      <c r="A1428" s="10">
        <f>36</f>
        <v>36</v>
      </c>
      <c r="B1428" s="18">
        <f>IF($A1428&gt;40,0,(B1390-MIN(MAX(C1427,0),B1390))+MIN(MAX(0,D1427-(B1390-MIN(MAX(C1427,0),B1390))),MAX(0,2*B1390-(C1427-MIN(MAX(C1427,0),B1390)))))</f>
        <v>29622</v>
      </c>
      <c r="C1428" s="18">
        <f>IF($A1428&gt;40,C1427,(C1427-B1390+B1428)*(1+$C$7))</f>
        <v>60378</v>
      </c>
      <c r="D1428" s="18">
        <f t="shared" si="162"/>
        <v>792695.25741259451</v>
      </c>
      <c r="E1428" s="18">
        <f>IF($A1428&gt;40,0,(E1390-MIN(MAX(F1427,0),E1390))+MIN(MAX(0,G1427-(E1390-MIN(MAX(F1427,0),E1390))),MAX(0,2*E1390-(F1427-MIN(MAX(F1427,0),E1390)))))</f>
        <v>75000</v>
      </c>
      <c r="F1428" s="18">
        <f>IF($A1428&gt;40,F1427,(F1427-E1390+E1428)*(1+$C$7))</f>
        <v>0</v>
      </c>
      <c r="G1428" s="18">
        <f t="shared" si="163"/>
        <v>-2107866.9575543231</v>
      </c>
      <c r="H1428" s="18">
        <f>IF($A1428&gt;40,0,(H1390-MIN(MAX(I1427,0),H1390))+MIN(MAX(0,J1427-(H1390-MIN(MAX(I1427,0),H1390))),MAX(0,2*H1390-(I1427-MIN(MAX(I1427,0),H1390)))))</f>
        <v>40033.396101535931</v>
      </c>
      <c r="I1428" s="18">
        <f>IF($A1428&gt;40,I1427,(I1427-H1390+H1428)*(1+$C$7))</f>
        <v>81599.364992861272</v>
      </c>
      <c r="J1428" s="18">
        <f t="shared" si="164"/>
        <v>52635.188119450329</v>
      </c>
      <c r="K1428" s="18">
        <f>IF($A1428&gt;40,0,(K1390-MIN(MAX(L1427,0),K1390))+MIN(MAX(0,M1427-(K1390-MIN(MAX(L1427,0),K1390))),MAX(0,2*K1390-(L1427-MIN(MAX(L1427,0),K1390)))))</f>
        <v>39683.706928240434</v>
      </c>
      <c r="L1428" s="18">
        <f>IF($A1428&gt;40,L1427,(L1427-K1390+K1428)*(1+$C$7))</f>
        <v>80886.599720251848</v>
      </c>
      <c r="M1428" s="18">
        <f t="shared" si="165"/>
        <v>77491.700281340483</v>
      </c>
      <c r="N1428" s="18">
        <f>IF($A1428&gt;40,0,(N1390-MIN(MAX(O1427,0),N1390))+MIN(MAX(0,P1427-(N1390-MIN(MAX(O1427,0),N1390))),MAX(0,2*N1390-(O1427-MIN(MAX(O1427,0),N1390)))))</f>
        <v>39683.860032736542</v>
      </c>
      <c r="O1428" s="18">
        <f>IF($A1428&gt;40,O1427,(O1427-N1390+N1428)*(1+$C$7))</f>
        <v>80886.911790445185</v>
      </c>
      <c r="P1428" s="18">
        <f t="shared" si="166"/>
        <v>77480.817348554585</v>
      </c>
      <c r="Q1428" s="18">
        <f>IF($A1428&gt;40,0,(Q1390-MIN(MAX(R1427,0),Q1390))+MIN(MAX(0,S1427-(Q1390-MIN(MAX(R1427,0),Q1390))),MAX(0,2*Q1390-(R1427-MIN(MAX(R1427,0),Q1390)))))</f>
        <v>39683.863636980306</v>
      </c>
      <c r="R1428" s="18">
        <f>IF($A1428&gt;40,R1427,(R1427-Q1390+Q1428)*(1+$C$7))</f>
        <v>80886.919136911631</v>
      </c>
      <c r="S1428" s="18">
        <f t="shared" si="167"/>
        <v>77480.561152665774</v>
      </c>
    </row>
    <row r="1429" spans="1:19">
      <c r="A1429" s="10">
        <f>37</f>
        <v>37</v>
      </c>
      <c r="B1429" s="18">
        <f>IF($A1429&gt;40,0,(B1390-MIN(MAX(C1428,0),B1390))+MIN(MAX(0,D1428-(B1390-MIN(MAX(C1428,0),B1390))),MAX(0,2*B1390-(C1428-MIN(MAX(C1428,0),B1390)))))</f>
        <v>29622</v>
      </c>
      <c r="C1429" s="18">
        <f>IF($A1429&gt;40,C1428,(C1428-B1390+B1429)*(1+$C$7))</f>
        <v>60378</v>
      </c>
      <c r="D1429" s="18">
        <f t="shared" si="162"/>
        <v>785965.45513497235</v>
      </c>
      <c r="E1429" s="18">
        <f>IF($A1429&gt;40,0,(E1390-MIN(MAX(F1428,0),E1390))+MIN(MAX(0,G1428-(E1390-MIN(MAX(F1428,0),E1390))),MAX(0,2*E1390-(F1428-MIN(MAX(F1428,0),E1390)))))</f>
        <v>75000</v>
      </c>
      <c r="F1429" s="18">
        <f>IF($A1429&gt;40,F1428,(F1428-E1390+E1429)*(1+$C$7))</f>
        <v>0</v>
      </c>
      <c r="G1429" s="18">
        <f t="shared" si="163"/>
        <v>-2248352.966280953</v>
      </c>
      <c r="H1429" s="18">
        <f>IF($A1429&gt;40,0,(H1390-MIN(MAX(I1428,0),H1390))+MIN(MAX(0,J1428-(H1390-MIN(MAX(I1428,0),H1390))),MAX(0,2*H1390-(I1428-MIN(MAX(I1428,0),H1390)))))</f>
        <v>40033.396101535931</v>
      </c>
      <c r="I1429" s="18">
        <f>IF($A1429&gt;40,I1428,(I1428-H1390+H1429)*(1+$C$7))</f>
        <v>81599.364992861272</v>
      </c>
      <c r="J1429" s="18">
        <f t="shared" si="164"/>
        <v>12979.84577845183</v>
      </c>
      <c r="K1429" s="18">
        <f>IF($A1429&gt;40,0,(K1390-MIN(MAX(L1428,0),K1390))+MIN(MAX(0,M1428-(K1390-MIN(MAX(L1428,0),K1390))),MAX(0,2*K1390-(L1428-MIN(MAX(L1428,0),K1390)))))</f>
        <v>39683.706928240434</v>
      </c>
      <c r="L1429" s="18">
        <f>IF($A1429&gt;40,L1428,(L1428-K1390+K1429)*(1+$C$7))</f>
        <v>80886.599720251848</v>
      </c>
      <c r="M1429" s="18">
        <f t="shared" si="165"/>
        <v>38942.233153693051</v>
      </c>
      <c r="N1429" s="18">
        <f>IF($A1429&gt;40,0,(N1390-MIN(MAX(O1428,0),N1390))+MIN(MAX(0,P1428-(N1390-MIN(MAX(O1428,0),N1390))),MAX(0,2*N1390-(O1428-MIN(MAX(O1428,0),N1390)))))</f>
        <v>39683.860032736542</v>
      </c>
      <c r="O1429" s="18">
        <f>IF($A1429&gt;40,O1428,(O1428-N1390+N1429)*(1+$C$7))</f>
        <v>80886.911790445185</v>
      </c>
      <c r="P1429" s="18">
        <f t="shared" si="166"/>
        <v>38930.866035292587</v>
      </c>
      <c r="Q1429" s="18">
        <f>IF($A1429&gt;40,0,(Q1390-MIN(MAX(R1428,0),Q1390))+MIN(MAX(0,S1428-(Q1390-MIN(MAX(R1428,0),Q1390))),MAX(0,2*Q1390-(R1428-MIN(MAX(R1428,0),Q1390)))))</f>
        <v>39683.863636980306</v>
      </c>
      <c r="R1429" s="18">
        <f>IF($A1429&gt;40,R1428,(R1428-Q1390+Q1429)*(1+$C$7))</f>
        <v>80886.919136911631</v>
      </c>
      <c r="S1429" s="18">
        <f t="shared" si="167"/>
        <v>38930.598441156035</v>
      </c>
    </row>
    <row r="1430" spans="1:19">
      <c r="A1430" s="10">
        <f>38</f>
        <v>38</v>
      </c>
      <c r="B1430" s="18">
        <f>IF($A1430&gt;40,0,(B1390-MIN(MAX(C1429,0),B1390))+MIN(MAX(0,D1429-(B1390-MIN(MAX(C1429,0),B1390))),MAX(0,2*B1390-(C1429-MIN(MAX(C1429,0),B1390)))))</f>
        <v>29622</v>
      </c>
      <c r="C1430" s="18">
        <f>IF($A1430&gt;40,C1429,(C1429-B1390+B1430)*(1+$C$7))</f>
        <v>60378</v>
      </c>
      <c r="D1430" s="18">
        <f t="shared" si="162"/>
        <v>779033.75878902152</v>
      </c>
      <c r="E1430" s="18">
        <f>IF($A1430&gt;40,0,(E1390-MIN(MAX(F1429,0),E1390))+MIN(MAX(0,G1429-(E1390-MIN(MAX(F1429,0),E1390))),MAX(0,2*E1390-(F1429-MIN(MAX(F1429,0),E1390)))))</f>
        <v>75000</v>
      </c>
      <c r="F1430" s="18">
        <f>IF($A1430&gt;40,F1429,(F1429-E1390+E1430)*(1+$C$7))</f>
        <v>0</v>
      </c>
      <c r="G1430" s="18">
        <f t="shared" si="163"/>
        <v>-2393053.5552693815</v>
      </c>
      <c r="H1430" s="18">
        <f>IF($A1430&gt;40,0,(H1390-MIN(MAX(I1429,0),H1390))+MIN(MAX(0,J1429-(H1390-MIN(MAX(I1429,0),H1390))),MAX(0,2*H1390-(I1429-MIN(MAX(I1429,0),H1390)))))</f>
        <v>12979.84577845183</v>
      </c>
      <c r="I1430" s="18">
        <f>IF($A1430&gt;40,I1429,(I1429-H1390+H1430)*(1+$C$7))</f>
        <v>54375.377302741741</v>
      </c>
      <c r="J1430" s="18">
        <f t="shared" si="164"/>
        <v>0</v>
      </c>
      <c r="K1430" s="18">
        <f>IF($A1430&gt;40,0,(K1390-MIN(MAX(L1429,0),K1390))+MIN(MAX(0,M1429-(K1390-MIN(MAX(L1429,0),K1390))),MAX(0,2*K1390-(L1429-MIN(MAX(L1429,0),K1390)))))</f>
        <v>38942.233153693051</v>
      </c>
      <c r="L1430" s="18">
        <f>IF($A1430&gt;40,L1429,(L1429-K1390+K1430)*(1+$C$7))</f>
        <v>80140.454660924821</v>
      </c>
      <c r="M1430" s="18">
        <f t="shared" si="165"/>
        <v>0</v>
      </c>
      <c r="N1430" s="18">
        <f>IF($A1430&gt;40,0,(N1390-MIN(MAX(O1429,0),N1390))+MIN(MAX(0,P1429-(N1390-MIN(MAX(O1429,0),N1390))),MAX(0,2*N1390-(O1429-MIN(MAX(O1429,0),N1390)))))</f>
        <v>38930.866035292587</v>
      </c>
      <c r="O1430" s="18">
        <f>IF($A1430&gt;40,O1429,(O1429-N1390+N1430)*(1+$C$7))</f>
        <v>80129.173930817313</v>
      </c>
      <c r="P1430" s="18">
        <f t="shared" si="166"/>
        <v>0</v>
      </c>
      <c r="Q1430" s="18">
        <f>IF($A1430&gt;40,0,(Q1390-MIN(MAX(R1429,0),Q1390))+MIN(MAX(0,S1429-(Q1390-MIN(MAX(R1429,0),Q1390))),MAX(0,2*Q1390-(R1429-MIN(MAX(R1429,0),Q1390)))))</f>
        <v>38930.598441156035</v>
      </c>
      <c r="R1430" s="18">
        <f>IF($A1430&gt;40,R1429,(R1429-Q1390+Q1430)*(1+$C$7))</f>
        <v>80128.90837035366</v>
      </c>
      <c r="S1430" s="18">
        <f t="shared" si="167"/>
        <v>0</v>
      </c>
    </row>
    <row r="1431" spans="1:19">
      <c r="A1431" s="10">
        <f>39</f>
        <v>39</v>
      </c>
      <c r="B1431" s="18">
        <f>IF($A1431&gt;40,0,(B1390-MIN(MAX(C1430,0),B1390))+MIN(MAX(0,D1430-(B1390-MIN(MAX(C1430,0),B1390))),MAX(0,2*B1390-(C1430-MIN(MAX(C1430,0),B1390)))))</f>
        <v>29622</v>
      </c>
      <c r="C1431" s="18">
        <f>IF($A1431&gt;40,C1430,(C1430-B1390+B1431)*(1+$C$7))</f>
        <v>60378</v>
      </c>
      <c r="D1431" s="18">
        <f t="shared" si="162"/>
        <v>771894.11155269213</v>
      </c>
      <c r="E1431" s="18">
        <f>IF($A1431&gt;40,0,(E1390-MIN(MAX(F1430,0),E1390))+MIN(MAX(0,G1430-(E1390-MIN(MAX(F1430,0),E1390))),MAX(0,2*E1390-(F1430-MIN(MAX(F1430,0),E1390)))))</f>
        <v>75000</v>
      </c>
      <c r="F1431" s="18">
        <f>IF($A1431&gt;40,F1430,(F1430-E1390+E1431)*(1+$C$7))</f>
        <v>0</v>
      </c>
      <c r="G1431" s="18">
        <f t="shared" si="163"/>
        <v>-2542095.161927463</v>
      </c>
      <c r="H1431" s="18">
        <f>IF($A1431&gt;40,0,(H1390-MIN(MAX(I1430,0),H1390))+MIN(MAX(0,J1430-(H1390-MIN(MAX(I1430,0),H1390))),MAX(0,2*H1390-(I1430-MIN(MAX(I1430,0),H1390)))))</f>
        <v>0</v>
      </c>
      <c r="I1431" s="18">
        <f>IF($A1431&gt;40,I1430,(I1430-H1390+H1431)*(1+$C$7))</f>
        <v>13918.259683318378</v>
      </c>
      <c r="J1431" s="18">
        <f t="shared" si="164"/>
        <v>0</v>
      </c>
      <c r="K1431" s="18">
        <f>IF($A1431&gt;40,0,(K1390-MIN(MAX(L1430,0),K1390))+MIN(MAX(0,M1430-(K1390-MIN(MAX(L1430,0),K1390))),MAX(0,2*K1390-(L1430-MIN(MAX(L1430,0),K1390)))))</f>
        <v>0</v>
      </c>
      <c r="L1431" s="18">
        <f>IF($A1431&gt;40,L1430,(L1430-K1390+K1431)*(1+$C$7))</f>
        <v>40202.039665162716</v>
      </c>
      <c r="M1431" s="18">
        <f t="shared" si="165"/>
        <v>0</v>
      </c>
      <c r="N1431" s="18">
        <f>IF($A1431&gt;40,0,(N1390-MIN(MAX(O1430,0),N1390))+MIN(MAX(0,P1430-(N1390-MIN(MAX(O1430,0),N1390))),MAX(0,2*N1390-(O1430-MIN(MAX(O1430,0),N1390)))))</f>
        <v>0</v>
      </c>
      <c r="O1431" s="18">
        <f>IF($A1431&gt;40,O1430,(O1430-N1390+N1431)*(1+$C$7))</f>
        <v>40190.531831358872</v>
      </c>
      <c r="P1431" s="18">
        <f t="shared" si="166"/>
        <v>0</v>
      </c>
      <c r="Q1431" s="18">
        <f>IF($A1431&gt;40,0,(Q1390-MIN(MAX(R1430,0),Q1390))+MIN(MAX(0,S1430-(Q1390-MIN(MAX(R1430,0),Q1390))),MAX(0,2*Q1390-(R1430-MIN(MAX(R1430,0),Q1390)))))</f>
        <v>0</v>
      </c>
      <c r="R1431" s="18">
        <f>IF($A1431&gt;40,R1430,(R1430-Q1390+Q1431)*(1+$C$7))</f>
        <v>40190.260924631068</v>
      </c>
      <c r="S1431" s="18">
        <f t="shared" si="167"/>
        <v>0</v>
      </c>
    </row>
    <row r="1432" spans="1:19">
      <c r="A1432" s="10">
        <f>40</f>
        <v>40</v>
      </c>
      <c r="B1432" s="18">
        <f>IF($A1432&gt;40,0,(B1390-MIN(MAX(C1431,0),B1390))+MIN(MAX(0,D1431-(B1390-MIN(MAX(C1431,0),B1390))),MAX(0,2*B1390-(C1431-MIN(MAX(C1431,0),B1390)))))</f>
        <v>29622</v>
      </c>
      <c r="C1432" s="18">
        <f>IF($A1432&gt;40,C1431,(C1431-B1390+B1432)*(1+$C$7))</f>
        <v>60378</v>
      </c>
      <c r="D1432" s="18">
        <f t="shared" si="162"/>
        <v>764540.27489927295</v>
      </c>
      <c r="E1432" s="18">
        <f>IF($A1432&gt;40,0,(E1390-MIN(MAX(F1431,0),E1390))+MIN(MAX(0,G1431-(E1390-MIN(MAX(F1431,0),E1390))),MAX(0,2*E1390-(F1431-MIN(MAX(F1431,0),E1390)))))</f>
        <v>75000</v>
      </c>
      <c r="F1432" s="18">
        <f>IF($A1432&gt;40,F1431,(F1431-E1390+E1432)*(1+$C$7))</f>
        <v>0</v>
      </c>
      <c r="G1432" s="18">
        <f t="shared" si="163"/>
        <v>-2695608.0167852868</v>
      </c>
      <c r="H1432" s="18">
        <f>IF($A1432&gt;40,0,(H1390-MIN(MAX(I1431,0),H1390))+MIN(MAX(0,J1431-(H1390-MIN(MAX(I1431,0),H1390))),MAX(0,2*H1390-(I1431-MIN(MAX(I1431,0),H1390)))))</f>
        <v>26625.994014814023</v>
      </c>
      <c r="I1432" s="18">
        <f>IF($A1432&gt;40,I1431,(I1431-H1390+H1432)*(1+$C$7))</f>
        <v>0</v>
      </c>
      <c r="J1432" s="18">
        <f t="shared" si="164"/>
        <v>-27424.773835258446</v>
      </c>
      <c r="K1432" s="18">
        <f>IF($A1432&gt;40,0,(K1390-MIN(MAX(L1431,0),K1390))+MIN(MAX(0,M1431-(K1390-MIN(MAX(L1431,0),K1390))),MAX(0,2*K1390-(L1431-MIN(MAX(L1431,0),K1390)))))</f>
        <v>0</v>
      </c>
      <c r="L1432" s="18">
        <f>IF($A1432&gt;40,L1431,(L1431-K1390+K1432)*(1+$C$7))</f>
        <v>12.01265492731345</v>
      </c>
      <c r="M1432" s="18">
        <f t="shared" si="165"/>
        <v>0</v>
      </c>
      <c r="N1432" s="18">
        <f>IF($A1432&gt;40,0,(N1390-MIN(MAX(O1431,0),N1390))+MIN(MAX(0,P1431-(N1390-MIN(MAX(O1431,0),N1390))),MAX(0,2*N1390-(O1431-MIN(MAX(O1431,0),N1390)))))</f>
        <v>0</v>
      </c>
      <c r="O1432" s="18">
        <f>IF($A1432&gt;40,O1431,(O1431-N1390+N1432)*(1+$C$7))</f>
        <v>0.27628667384253569</v>
      </c>
      <c r="P1432" s="18">
        <f t="shared" si="166"/>
        <v>0</v>
      </c>
      <c r="Q1432" s="18">
        <f>IF($A1432&gt;40,0,(Q1390-MIN(MAX(R1431,0),Q1390))+MIN(MAX(0,S1431-(Q1390-MIN(MAX(R1431,0),Q1390))),MAX(0,2*Q1390-(R1431-MIN(MAX(R1431,0),Q1390)))))</f>
        <v>0</v>
      </c>
      <c r="R1432" s="18">
        <f>IF($A1432&gt;40,R1431,(R1431-Q1390+Q1432)*(1+$C$7))</f>
        <v>4.2466417653486133E-10</v>
      </c>
      <c r="S1432" s="18">
        <f t="shared" si="167"/>
        <v>0</v>
      </c>
    </row>
    <row r="1433" spans="1:19">
      <c r="B1433" s="18">
        <f>C1432+D1432</f>
        <v>824918.27489927295</v>
      </c>
      <c r="E1433" s="18">
        <f>F1432+G1432</f>
        <v>-2695608.0167852868</v>
      </c>
      <c r="H1433" s="18">
        <f>I1432+J1432</f>
        <v>-27424.773835258446</v>
      </c>
      <c r="K1433" s="18">
        <f>L1432+M1432</f>
        <v>12.01265492731345</v>
      </c>
      <c r="N1433" s="18">
        <f>O1432+P1432</f>
        <v>0.27628667384253569</v>
      </c>
      <c r="Q1433" s="18">
        <f>R1432+S1432</f>
        <v>4.2466417653486133E-10</v>
      </c>
    </row>
    <row r="1434" spans="1:19">
      <c r="A1434" s="5" t="s">
        <v>266</v>
      </c>
      <c r="B1434" s="18">
        <f>IFERROR(Q1390-Q1433*(Q1390-N1390)/(Q1433-N1433),Q1390)</f>
        <v>40190.260924630653</v>
      </c>
    </row>
    <row r="1436" spans="1:19">
      <c r="A1436" s="2" t="s">
        <v>294</v>
      </c>
    </row>
    <row r="1437" spans="1:19">
      <c r="B1437" s="9">
        <f>0.03*$B$5</f>
        <v>30000</v>
      </c>
      <c r="E1437" s="9">
        <f>0.075*$B$5</f>
        <v>75000</v>
      </c>
      <c r="H1437" s="18">
        <f>IFERROR(E1437-E1480*(E1437-B1437)/(E1480-B1480),E1437)</f>
        <v>39850.813386025373</v>
      </c>
      <c r="K1437" s="18">
        <f>IFERROR(H1437-H1480*(H1437-E1437)/(H1480-E1480),H1437)</f>
        <v>39359.236361165407</v>
      </c>
      <c r="N1437" s="18">
        <f>IFERROR(K1437-K1480*(K1437-H1437)/(K1480-H1480),K1437)</f>
        <v>39359.661117266602</v>
      </c>
      <c r="Q1437" s="18">
        <f>IFERROR(N1437-N1480*(N1437-K1437)/(N1480-K1480),N1437)</f>
        <v>39359.671112115655</v>
      </c>
    </row>
    <row r="1438" spans="1:19">
      <c r="A1438" s="25" t="s">
        <v>262</v>
      </c>
      <c r="B1438" s="25" t="s">
        <v>263</v>
      </c>
      <c r="C1438" s="25" t="s">
        <v>264</v>
      </c>
      <c r="D1438" s="25" t="s">
        <v>265</v>
      </c>
      <c r="E1438" s="25" t="s">
        <v>263</v>
      </c>
      <c r="F1438" s="25" t="s">
        <v>264</v>
      </c>
      <c r="G1438" s="25" t="s">
        <v>265</v>
      </c>
      <c r="H1438" s="25" t="s">
        <v>263</v>
      </c>
      <c r="I1438" s="25" t="s">
        <v>264</v>
      </c>
      <c r="J1438" s="25" t="s">
        <v>265</v>
      </c>
      <c r="K1438" s="25" t="s">
        <v>263</v>
      </c>
      <c r="L1438" s="25" t="s">
        <v>264</v>
      </c>
      <c r="M1438" s="25" t="s">
        <v>265</v>
      </c>
      <c r="N1438" s="25" t="s">
        <v>263</v>
      </c>
      <c r="O1438" s="25" t="s">
        <v>264</v>
      </c>
      <c r="P1438" s="25" t="s">
        <v>265</v>
      </c>
      <c r="Q1438" s="25" t="s">
        <v>263</v>
      </c>
      <c r="R1438" s="25" t="s">
        <v>264</v>
      </c>
      <c r="S1438" s="25" t="s">
        <v>265</v>
      </c>
    </row>
    <row r="1439" spans="1:19">
      <c r="A1439" s="3">
        <v>0</v>
      </c>
      <c r="C1439" s="18">
        <f>MIN(3*B1437,$B$5)</f>
        <v>90000</v>
      </c>
      <c r="D1439" s="18">
        <f>$B$5-C1439</f>
        <v>910000</v>
      </c>
      <c r="F1439" s="18">
        <f>MIN(3*E1437,$B$5)</f>
        <v>225000</v>
      </c>
      <c r="G1439" s="18">
        <f>$B$5-F1439</f>
        <v>775000</v>
      </c>
      <c r="I1439" s="18">
        <f>MIN(3*H1437,$B$5)</f>
        <v>119552.44015807612</v>
      </c>
      <c r="J1439" s="18">
        <f>$B$5-I1439</f>
        <v>880447.55984192388</v>
      </c>
      <c r="L1439" s="18">
        <f>MIN(3*K1437,$B$5)</f>
        <v>118077.70908349621</v>
      </c>
      <c r="M1439" s="18">
        <f>$B$5-L1439</f>
        <v>881922.29091650376</v>
      </c>
      <c r="O1439" s="18">
        <f>MIN(3*N1437,$B$5)</f>
        <v>118078.9833517998</v>
      </c>
      <c r="P1439" s="18">
        <f>$B$5-O1439</f>
        <v>881921.01664820022</v>
      </c>
      <c r="R1439" s="18">
        <f>MIN(3*Q1437,$B$5)</f>
        <v>118079.01333634696</v>
      </c>
      <c r="S1439" s="18">
        <f>$B$5-R1439</f>
        <v>881920.98666365305</v>
      </c>
    </row>
    <row r="1440" spans="1:19">
      <c r="A1440" s="10">
        <f>1</f>
        <v>1</v>
      </c>
      <c r="B1440" s="18">
        <f>IF($A1440&gt;40,0,(B1437-MIN(MAX(C1439,0),B1437))+MIN(MAX(0,D1439-(B1437-MIN(MAX(C1439,0),B1437))),MAX(0,3*B1437-(C1439-MIN(MAX(C1439,0),B1437)))))</f>
        <v>30000</v>
      </c>
      <c r="C1440" s="18">
        <f>IF($A1440&gt;40,C1439,(C1439-B1437+B1440)*(1+$C$7))</f>
        <v>90567</v>
      </c>
      <c r="D1440" s="18">
        <f t="shared" ref="D1440:D1479" si="168">IF($A1440&gt;40,D1439,(D1439-B1440)*(1+$B$6))</f>
        <v>906400</v>
      </c>
      <c r="E1440" s="18">
        <f>IF($A1440&gt;40,0,(E1437-MIN(MAX(F1439,0),E1437))+MIN(MAX(0,G1439-(E1437-MIN(MAX(F1439,0),E1437))),MAX(0,3*E1437-(F1439-MIN(MAX(F1439,0),E1437)))))</f>
        <v>75000</v>
      </c>
      <c r="F1440" s="18">
        <f>IF($A1440&gt;40,F1439,(F1439-E1437+E1440)*(1+$C$7))</f>
        <v>226417.5</v>
      </c>
      <c r="G1440" s="18">
        <f t="shared" ref="G1440:G1479" si="169">IF($A1440&gt;40,G1439,(G1439-E1440)*(1+$B$6))</f>
        <v>721000</v>
      </c>
      <c r="H1440" s="18">
        <f>IF($A1440&gt;40,0,(H1437-MIN(MAX(I1439,0),H1437))+MIN(MAX(0,J1439-(H1437-MIN(MAX(I1439,0),H1437))),MAX(0,3*H1437-(I1439-MIN(MAX(I1439,0),H1437)))))</f>
        <v>39850.813386025373</v>
      </c>
      <c r="I1440" s="18">
        <f>IF($A1440&gt;40,I1439,(I1439-H1437+H1440)*(1+$C$7))</f>
        <v>120305.620531072</v>
      </c>
      <c r="J1440" s="18">
        <f t="shared" ref="J1440:J1479" si="170">IF($A1440&gt;40,J1439,(J1439-H1440)*(1+$B$6))</f>
        <v>865814.64884957543</v>
      </c>
      <c r="K1440" s="18">
        <f>IF($A1440&gt;40,0,(K1437-MIN(MAX(L1439,0),K1437))+MIN(MAX(0,M1439-(K1437-MIN(MAX(L1439,0),K1437))),MAX(0,3*K1437-(L1439-MIN(MAX(L1439,0),K1437)))))</f>
        <v>39359.236361165415</v>
      </c>
      <c r="L1440" s="18">
        <f>IF($A1440&gt;40,L1439,(L1439-K1437+K1440)*(1+$C$7))</f>
        <v>118821.59865072224</v>
      </c>
      <c r="M1440" s="18">
        <f t="shared" ref="M1440:M1479" si="171">IF($A1440&gt;40,M1439,(M1439-K1440)*(1+$B$6))</f>
        <v>867839.94619199855</v>
      </c>
      <c r="N1440" s="18">
        <f>IF($A1440&gt;40,0,(N1437-MIN(MAX(O1439,0),N1437))+MIN(MAX(0,P1439-(N1437-MIN(MAX(O1439,0),N1437))),MAX(0,3*N1437-(O1439-MIN(MAX(O1439,0),N1437)))))</f>
        <v>39359.661117266602</v>
      </c>
      <c r="O1440" s="18">
        <f>IF($A1440&gt;40,O1439,(O1439-N1437+N1440)*(1+$C$7))</f>
        <v>118822.88094691614</v>
      </c>
      <c r="P1440" s="18">
        <f t="shared" ref="P1440:P1479" si="172">IF($A1440&gt;40,P1439,(P1439-N1440)*(1+$B$6))</f>
        <v>867838.19619686168</v>
      </c>
      <c r="Q1440" s="18">
        <f>IF($A1440&gt;40,0,(Q1437-MIN(MAX(R1439,0),Q1437))+MIN(MAX(0,S1439-(Q1437-MIN(MAX(R1439,0),Q1437))),MAX(0,3*Q1437-(R1439-MIN(MAX(R1439,0),Q1437)))))</f>
        <v>39359.671112115655</v>
      </c>
      <c r="R1440" s="18">
        <f>IF($A1440&gt;40,R1439,(R1439-Q1437+Q1440)*(1+$C$7))</f>
        <v>118822.91112036594</v>
      </c>
      <c r="S1440" s="18">
        <f t="shared" ref="S1440:S1479" si="173">IF($A1440&gt;40,S1439,(S1439-Q1440)*(1+$B$6))</f>
        <v>867838.15501808363</v>
      </c>
    </row>
    <row r="1441" spans="1:19">
      <c r="A1441" s="10">
        <f>2</f>
        <v>2</v>
      </c>
      <c r="B1441" s="18">
        <f>IF($A1441&gt;40,0,(B1437-MIN(MAX(C1440,0),B1437))+MIN(MAX(0,D1440-(B1437-MIN(MAX(C1440,0),B1437))),MAX(0,3*B1437-(C1440-MIN(MAX(C1440,0),B1437)))))</f>
        <v>29433</v>
      </c>
      <c r="C1441" s="18">
        <f>IF($A1441&gt;40,C1440,(C1440-B1437+B1441)*(1+$C$7))</f>
        <v>90567</v>
      </c>
      <c r="D1441" s="18">
        <f t="shared" si="168"/>
        <v>903276.01</v>
      </c>
      <c r="E1441" s="18">
        <f>IF($A1441&gt;40,0,(E1437-MIN(MAX(F1440,0),E1437))+MIN(MAX(0,G1440-(E1437-MIN(MAX(F1440,0),E1437))),MAX(0,3*E1437-(F1440-MIN(MAX(F1440,0),E1437)))))</f>
        <v>73582.5</v>
      </c>
      <c r="F1441" s="18">
        <f>IF($A1441&gt;40,F1440,(F1440-E1437+E1441)*(1+$C$7))</f>
        <v>226417.5</v>
      </c>
      <c r="G1441" s="18">
        <f t="shared" si="169"/>
        <v>666840.02500000002</v>
      </c>
      <c r="H1441" s="18">
        <f>IF($A1441&gt;40,0,(H1437-MIN(MAX(I1440,0),H1437))+MIN(MAX(0,J1440-(H1437-MIN(MAX(I1440,0),H1437))),MAX(0,3*H1437-(I1440-MIN(MAX(I1440,0),H1437)))))</f>
        <v>39097.633013029495</v>
      </c>
      <c r="I1441" s="18">
        <f>IF($A1441&gt;40,I1440,(I1440-H1437+H1441)*(1+$C$7))</f>
        <v>120305.620531072</v>
      </c>
      <c r="J1441" s="18">
        <f t="shared" si="170"/>
        <v>851518.52631164237</v>
      </c>
      <c r="K1441" s="18">
        <f>IF($A1441&gt;40,0,(K1437-MIN(MAX(L1440,0),K1437))+MIN(MAX(0,M1440-(K1437-MIN(MAX(L1440,0),K1437))),MAX(0,3*K1437-(L1440-MIN(MAX(L1440,0),K1437)))))</f>
        <v>38615.346793939389</v>
      </c>
      <c r="L1441" s="18">
        <f>IF($A1441&gt;40,L1440,(L1440-K1437+K1441)*(1+$C$7))</f>
        <v>118821.59865072224</v>
      </c>
      <c r="M1441" s="18">
        <f t="shared" si="171"/>
        <v>854101.33738000097</v>
      </c>
      <c r="N1441" s="18">
        <f>IF($A1441&gt;40,0,(N1437-MIN(MAX(O1440,0),N1437))+MIN(MAX(0,P1440-(N1437-MIN(MAX(O1440,0),N1437))),MAX(0,3*N1437-(O1440-MIN(MAX(O1440,0),N1437)))))</f>
        <v>38615.763522150271</v>
      </c>
      <c r="O1441" s="18">
        <f>IF($A1441&gt;40,O1440,(O1440-N1437+N1441)*(1+$C$7))</f>
        <v>118822.88094691614</v>
      </c>
      <c r="P1441" s="18">
        <f t="shared" si="172"/>
        <v>854099.10565495281</v>
      </c>
      <c r="Q1441" s="18">
        <f>IF($A1441&gt;40,0,(Q1437-MIN(MAX(R1440,0),Q1437))+MIN(MAX(0,S1440-(Q1437-MIN(MAX(R1440,0),Q1437))),MAX(0,3*Q1437-(R1440-MIN(MAX(R1440,0),Q1437)))))</f>
        <v>38615.773328096679</v>
      </c>
      <c r="R1441" s="18">
        <f>IF($A1441&gt;40,R1440,(R1440-Q1437+Q1441)*(1+$C$7))</f>
        <v>118822.91112036594</v>
      </c>
      <c r="S1441" s="18">
        <f t="shared" si="173"/>
        <v>854099.05314068659</v>
      </c>
    </row>
    <row r="1442" spans="1:19">
      <c r="A1442" s="10">
        <f>3</f>
        <v>3</v>
      </c>
      <c r="B1442" s="18">
        <f>IF($A1442&gt;40,0,(B1437-MIN(MAX(C1441,0),B1437))+MIN(MAX(0,D1441-(B1437-MIN(MAX(C1441,0),B1437))),MAX(0,3*B1437-(C1441-MIN(MAX(C1441,0),B1437)))))</f>
        <v>29433</v>
      </c>
      <c r="C1442" s="18">
        <f>IF($A1442&gt;40,C1441,(C1441-B1437+B1442)*(1+$C$7))</f>
        <v>90567</v>
      </c>
      <c r="D1442" s="18">
        <f t="shared" si="168"/>
        <v>900058.3003</v>
      </c>
      <c r="E1442" s="18">
        <f>IF($A1442&gt;40,0,(E1437-MIN(MAX(F1441,0),E1437))+MIN(MAX(0,G1441-(E1437-MIN(MAX(F1441,0),E1437))),MAX(0,3*E1437-(F1441-MIN(MAX(F1441,0),E1437)))))</f>
        <v>73582.5</v>
      </c>
      <c r="F1442" s="18">
        <f>IF($A1442&gt;40,F1441,(F1441-E1437+E1442)*(1+$C$7))</f>
        <v>226417.5</v>
      </c>
      <c r="G1442" s="18">
        <f t="shared" si="169"/>
        <v>611055.25075000001</v>
      </c>
      <c r="H1442" s="18">
        <f>IF($A1442&gt;40,0,(H1437-MIN(MAX(I1441,0),H1437))+MIN(MAX(0,J1441-(H1437-MIN(MAX(I1441,0),H1437))),MAX(0,3*H1437-(I1441-MIN(MAX(I1441,0),H1437)))))</f>
        <v>39097.633013029495</v>
      </c>
      <c r="I1442" s="18">
        <f>IF($A1442&gt;40,I1441,(I1441-H1437+H1442)*(1+$C$7))</f>
        <v>120305.620531072</v>
      </c>
      <c r="J1442" s="18">
        <f t="shared" si="170"/>
        <v>836793.52009757131</v>
      </c>
      <c r="K1442" s="18">
        <f>IF($A1442&gt;40,0,(K1437-MIN(MAX(L1441,0),K1437))+MIN(MAX(0,M1441-(K1437-MIN(MAX(L1441,0),K1437))),MAX(0,3*K1437-(L1441-MIN(MAX(L1441,0),K1437)))))</f>
        <v>38615.346793939389</v>
      </c>
      <c r="L1442" s="18">
        <f>IF($A1442&gt;40,L1441,(L1441-K1437+K1442)*(1+$C$7))</f>
        <v>118821.59865072224</v>
      </c>
      <c r="M1442" s="18">
        <f t="shared" si="171"/>
        <v>839950.57030364347</v>
      </c>
      <c r="N1442" s="18">
        <f>IF($A1442&gt;40,0,(N1437-MIN(MAX(O1441,0),N1437))+MIN(MAX(0,P1441-(N1437-MIN(MAX(O1441,0),N1437))),MAX(0,3*N1437-(O1441-MIN(MAX(O1441,0),N1437)))))</f>
        <v>38615.763522150271</v>
      </c>
      <c r="O1442" s="18">
        <f>IF($A1442&gt;40,O1441,(O1441-N1437+N1442)*(1+$C$7))</f>
        <v>118822.88094691614</v>
      </c>
      <c r="P1442" s="18">
        <f t="shared" si="172"/>
        <v>839947.84239678667</v>
      </c>
      <c r="Q1442" s="18">
        <f>IF($A1442&gt;40,0,(Q1437-MIN(MAX(R1441,0),Q1437))+MIN(MAX(0,S1441-(Q1437-MIN(MAX(R1441,0),Q1437))),MAX(0,3*Q1437-(R1441-MIN(MAX(R1441,0),Q1437)))))</f>
        <v>38615.773328096679</v>
      </c>
      <c r="R1442" s="18">
        <f>IF($A1442&gt;40,R1441,(R1441-Q1437+Q1442)*(1+$C$7))</f>
        <v>118822.91112036594</v>
      </c>
      <c r="S1442" s="18">
        <f t="shared" si="173"/>
        <v>839947.77820696763</v>
      </c>
    </row>
    <row r="1443" spans="1:19">
      <c r="A1443" s="10">
        <f>4</f>
        <v>4</v>
      </c>
      <c r="B1443" s="18">
        <f>IF($A1443&gt;40,0,(B1437-MIN(MAX(C1442,0),B1437))+MIN(MAX(0,D1442-(B1437-MIN(MAX(C1442,0),B1437))),MAX(0,3*B1437-(C1442-MIN(MAX(C1442,0),B1437)))))</f>
        <v>29433</v>
      </c>
      <c r="C1443" s="18">
        <f>IF($A1443&gt;40,C1442,(C1442-B1437+B1443)*(1+$C$7))</f>
        <v>90567</v>
      </c>
      <c r="D1443" s="18">
        <f t="shared" si="168"/>
        <v>896744.05930900003</v>
      </c>
      <c r="E1443" s="18">
        <f>IF($A1443&gt;40,0,(E1437-MIN(MAX(F1442,0),E1437))+MIN(MAX(0,G1442-(E1437-MIN(MAX(F1442,0),E1437))),MAX(0,3*E1437-(F1442-MIN(MAX(F1442,0),E1437)))))</f>
        <v>73582.5</v>
      </c>
      <c r="F1443" s="18">
        <f>IF($A1443&gt;40,F1442,(F1442-E1437+E1443)*(1+$C$7))</f>
        <v>226417.5</v>
      </c>
      <c r="G1443" s="18">
        <f t="shared" si="169"/>
        <v>553596.93327250006</v>
      </c>
      <c r="H1443" s="18">
        <f>IF($A1443&gt;40,0,(H1437-MIN(MAX(I1442,0),H1437))+MIN(MAX(0,J1442-(H1437-MIN(MAX(I1442,0),H1437))),MAX(0,3*H1437-(I1442-MIN(MAX(I1442,0),H1437)))))</f>
        <v>39097.633013029495</v>
      </c>
      <c r="I1443" s="18">
        <f>IF($A1443&gt;40,I1442,(I1442-H1437+H1443)*(1+$C$7))</f>
        <v>120305.620531072</v>
      </c>
      <c r="J1443" s="18">
        <f t="shared" si="170"/>
        <v>821626.7636970781</v>
      </c>
      <c r="K1443" s="18">
        <f>IF($A1443&gt;40,0,(K1437-MIN(MAX(L1442,0),K1437))+MIN(MAX(0,M1442-(K1437-MIN(MAX(L1442,0),K1437))),MAX(0,3*K1437-(L1442-MIN(MAX(L1442,0),K1437)))))</f>
        <v>38615.346793939389</v>
      </c>
      <c r="L1443" s="18">
        <f>IF($A1443&gt;40,L1442,(L1442-K1437+K1443)*(1+$C$7))</f>
        <v>118821.59865072224</v>
      </c>
      <c r="M1443" s="18">
        <f t="shared" si="171"/>
        <v>825375.28021499526</v>
      </c>
      <c r="N1443" s="18">
        <f>IF($A1443&gt;40,0,(N1437-MIN(MAX(O1442,0),N1437))+MIN(MAX(0,P1442-(N1437-MIN(MAX(O1442,0),N1437))),MAX(0,3*N1437-(O1442-MIN(MAX(O1442,0),N1437)))))</f>
        <v>38615.763522150271</v>
      </c>
      <c r="O1443" s="18">
        <f>IF($A1443&gt;40,O1442,(O1442-N1437+N1443)*(1+$C$7))</f>
        <v>118822.88094691614</v>
      </c>
      <c r="P1443" s="18">
        <f t="shared" si="172"/>
        <v>825372.04124087561</v>
      </c>
      <c r="Q1443" s="18">
        <f>IF($A1443&gt;40,0,(Q1437-MIN(MAX(R1442,0),Q1437))+MIN(MAX(0,S1442-(Q1437-MIN(MAX(R1442,0),Q1437))),MAX(0,3*Q1437-(R1442-MIN(MAX(R1442,0),Q1437)))))</f>
        <v>38615.773328096679</v>
      </c>
      <c r="R1443" s="18">
        <f>IF($A1443&gt;40,R1442,(R1442-Q1437+Q1443)*(1+$C$7))</f>
        <v>118822.91112036594</v>
      </c>
      <c r="S1443" s="18">
        <f t="shared" si="173"/>
        <v>825371.96502523706</v>
      </c>
    </row>
    <row r="1444" spans="1:19">
      <c r="A1444" s="10">
        <f>5</f>
        <v>5</v>
      </c>
      <c r="B1444" s="18">
        <f>IF($A1444&gt;40,0,(B1437-MIN(MAX(C1443,0),B1437))+MIN(MAX(0,D1443-(B1437-MIN(MAX(C1443,0),B1437))),MAX(0,3*B1437-(C1443-MIN(MAX(C1443,0),B1437)))))</f>
        <v>29433</v>
      </c>
      <c r="C1444" s="18">
        <f>IF($A1444&gt;40,C1443,(C1443-B1437+B1444)*(1+$C$7))</f>
        <v>90567</v>
      </c>
      <c r="D1444" s="18">
        <f t="shared" si="168"/>
        <v>893330.39108827</v>
      </c>
      <c r="E1444" s="18">
        <f>IF($A1444&gt;40,0,(E1437-MIN(MAX(F1443,0),E1437))+MIN(MAX(0,G1443-(E1437-MIN(MAX(F1443,0),E1437))),MAX(0,3*E1437-(F1443-MIN(MAX(F1443,0),E1437)))))</f>
        <v>73582.5</v>
      </c>
      <c r="F1444" s="18">
        <f>IF($A1444&gt;40,F1443,(F1443-E1437+E1444)*(1+$C$7))</f>
        <v>226417.5</v>
      </c>
      <c r="G1444" s="18">
        <f t="shared" si="169"/>
        <v>494414.86627067509</v>
      </c>
      <c r="H1444" s="18">
        <f>IF($A1444&gt;40,0,(H1437-MIN(MAX(I1443,0),H1437))+MIN(MAX(0,J1443-(H1437-MIN(MAX(I1443,0),H1437))),MAX(0,3*H1437-(I1443-MIN(MAX(I1443,0),H1437)))))</f>
        <v>39097.633013029495</v>
      </c>
      <c r="I1444" s="18">
        <f>IF($A1444&gt;40,I1443,(I1443-H1437+H1444)*(1+$C$7))</f>
        <v>120305.620531072</v>
      </c>
      <c r="J1444" s="18">
        <f t="shared" si="170"/>
        <v>806005.0046045701</v>
      </c>
      <c r="K1444" s="18">
        <f>IF($A1444&gt;40,0,(K1437-MIN(MAX(L1443,0),K1437))+MIN(MAX(0,M1443-(K1437-MIN(MAX(L1443,0),K1437))),MAX(0,3*K1437-(L1443-MIN(MAX(L1443,0),K1437)))))</f>
        <v>38615.346793939389</v>
      </c>
      <c r="L1444" s="18">
        <f>IF($A1444&gt;40,L1443,(L1443-K1437+K1444)*(1+$C$7))</f>
        <v>118821.59865072224</v>
      </c>
      <c r="M1444" s="18">
        <f t="shared" si="171"/>
        <v>810362.73142368766</v>
      </c>
      <c r="N1444" s="18">
        <f>IF($A1444&gt;40,0,(N1437-MIN(MAX(O1443,0),N1437))+MIN(MAX(0,P1443-(N1437-MIN(MAX(O1443,0),N1437))),MAX(0,3*N1437-(O1443-MIN(MAX(O1443,0),N1437)))))</f>
        <v>38615.763522150271</v>
      </c>
      <c r="O1444" s="18">
        <f>IF($A1444&gt;40,O1443,(O1443-N1437+N1444)*(1+$C$7))</f>
        <v>118822.88094691614</v>
      </c>
      <c r="P1444" s="18">
        <f t="shared" si="172"/>
        <v>810358.96605028713</v>
      </c>
      <c r="Q1444" s="18">
        <f>IF($A1444&gt;40,0,(Q1437-MIN(MAX(R1443,0),Q1437))+MIN(MAX(0,S1443-(Q1437-MIN(MAX(R1443,0),Q1437))),MAX(0,3*Q1437-(R1443-MIN(MAX(R1443,0),Q1437)))))</f>
        <v>38615.773328096679</v>
      </c>
      <c r="R1444" s="18">
        <f>IF($A1444&gt;40,R1443,(R1443-Q1437+Q1444)*(1+$C$7))</f>
        <v>118822.91112036594</v>
      </c>
      <c r="S1444" s="18">
        <f t="shared" si="173"/>
        <v>810358.87744805461</v>
      </c>
    </row>
    <row r="1445" spans="1:19">
      <c r="A1445" s="10">
        <f>6</f>
        <v>6</v>
      </c>
      <c r="B1445" s="18">
        <f>IF($A1445&gt;40,0,(B1437-MIN(MAX(C1444,0),B1437))+MIN(MAX(0,D1444-(B1437-MIN(MAX(C1444,0),B1437))),MAX(0,3*B1437-(C1444-MIN(MAX(C1444,0),B1437)))))</f>
        <v>29433</v>
      </c>
      <c r="C1445" s="18">
        <f>IF($A1445&gt;40,C1444,(C1444-B1437+B1445)*(1+$C$7))</f>
        <v>90567</v>
      </c>
      <c r="D1445" s="18">
        <f t="shared" si="168"/>
        <v>889814.31282091816</v>
      </c>
      <c r="E1445" s="18">
        <f>IF($A1445&gt;40,0,(E1437-MIN(MAX(F1444,0),E1437))+MIN(MAX(0,G1444-(E1437-MIN(MAX(F1444,0),E1437))),MAX(0,3*E1437-(F1444-MIN(MAX(F1444,0),E1437)))))</f>
        <v>73582.5</v>
      </c>
      <c r="F1445" s="18">
        <f>IF($A1445&gt;40,F1444,(F1444-E1437+E1445)*(1+$C$7))</f>
        <v>226417.5</v>
      </c>
      <c r="G1445" s="18">
        <f t="shared" si="169"/>
        <v>433457.33725879533</v>
      </c>
      <c r="H1445" s="18">
        <f>IF($A1445&gt;40,0,(H1437-MIN(MAX(I1444,0),H1437))+MIN(MAX(0,J1444-(H1437-MIN(MAX(I1444,0),H1437))),MAX(0,3*H1437-(I1444-MIN(MAX(I1444,0),H1437)))))</f>
        <v>39097.633013029495</v>
      </c>
      <c r="I1445" s="18">
        <f>IF($A1445&gt;40,I1444,(I1444-H1437+H1445)*(1+$C$7))</f>
        <v>120305.620531072</v>
      </c>
      <c r="J1445" s="18">
        <f t="shared" si="170"/>
        <v>789914.59273928683</v>
      </c>
      <c r="K1445" s="18">
        <f>IF($A1445&gt;40,0,(K1437-MIN(MAX(L1444,0),K1437))+MIN(MAX(0,M1444-(K1437-MIN(MAX(L1444,0),K1437))),MAX(0,3*K1437-(L1444-MIN(MAX(L1444,0),K1437)))))</f>
        <v>38615.346793939389</v>
      </c>
      <c r="L1445" s="18">
        <f>IF($A1445&gt;40,L1444,(L1444-K1437+K1445)*(1+$C$7))</f>
        <v>118821.59865072224</v>
      </c>
      <c r="M1445" s="18">
        <f t="shared" si="171"/>
        <v>794899.80616864073</v>
      </c>
      <c r="N1445" s="18">
        <f>IF($A1445&gt;40,0,(N1437-MIN(MAX(O1444,0),N1437))+MIN(MAX(0,P1444-(N1437-MIN(MAX(O1444,0),N1437))),MAX(0,3*N1437-(O1444-MIN(MAX(O1444,0),N1437)))))</f>
        <v>38615.763522150271</v>
      </c>
      <c r="O1445" s="18">
        <f>IF($A1445&gt;40,O1444,(O1444-N1437+N1445)*(1+$C$7))</f>
        <v>118822.88094691614</v>
      </c>
      <c r="P1445" s="18">
        <f t="shared" si="172"/>
        <v>794895.49860398099</v>
      </c>
      <c r="Q1445" s="18">
        <f>IF($A1445&gt;40,0,(Q1437-MIN(MAX(R1444,0),Q1437))+MIN(MAX(0,S1444-(Q1437-MIN(MAX(R1444,0),Q1437))),MAX(0,3*Q1437-(R1444-MIN(MAX(R1444,0),Q1437)))))</f>
        <v>38615.773328096679</v>
      </c>
      <c r="R1445" s="18">
        <f>IF($A1445&gt;40,R1444,(R1444-Q1437+Q1445)*(1+$C$7))</f>
        <v>118822.91112036594</v>
      </c>
      <c r="S1445" s="18">
        <f t="shared" si="173"/>
        <v>794895.39724355668</v>
      </c>
    </row>
    <row r="1446" spans="1:19">
      <c r="A1446" s="10">
        <f>7</f>
        <v>7</v>
      </c>
      <c r="B1446" s="18">
        <f>IF($A1446&gt;40,0,(B1437-MIN(MAX(C1445,0),B1437))+MIN(MAX(0,D1445-(B1437-MIN(MAX(C1445,0),B1437))),MAX(0,3*B1437-(C1445-MIN(MAX(C1445,0),B1437)))))</f>
        <v>29433</v>
      </c>
      <c r="C1446" s="18">
        <f>IF($A1446&gt;40,C1445,(C1445-B1437+B1446)*(1+$C$7))</f>
        <v>90567</v>
      </c>
      <c r="D1446" s="18">
        <f t="shared" si="168"/>
        <v>886192.75220554578</v>
      </c>
      <c r="E1446" s="18">
        <f>IF($A1446&gt;40,0,(E1437-MIN(MAX(F1445,0),E1437))+MIN(MAX(0,G1445-(E1437-MIN(MAX(F1445,0),E1437))),MAX(0,3*E1437-(F1445-MIN(MAX(F1445,0),E1437)))))</f>
        <v>73582.5</v>
      </c>
      <c r="F1446" s="18">
        <f>IF($A1446&gt;40,F1445,(F1445-E1437+E1446)*(1+$C$7))</f>
        <v>226417.5</v>
      </c>
      <c r="G1446" s="18">
        <f t="shared" si="169"/>
        <v>370671.08237655921</v>
      </c>
      <c r="H1446" s="18">
        <f>IF($A1446&gt;40,0,(H1437-MIN(MAX(I1445,0),H1437))+MIN(MAX(0,J1445-(H1437-MIN(MAX(I1445,0),H1437))),MAX(0,3*H1437-(I1445-MIN(MAX(I1445,0),H1437)))))</f>
        <v>39097.633013029495</v>
      </c>
      <c r="I1446" s="18">
        <f>IF($A1446&gt;40,I1445,(I1445-H1437+H1446)*(1+$C$7))</f>
        <v>120305.620531072</v>
      </c>
      <c r="J1446" s="18">
        <f t="shared" si="170"/>
        <v>773341.46851804515</v>
      </c>
      <c r="K1446" s="18">
        <f>IF($A1446&gt;40,0,(K1437-MIN(MAX(L1445,0),K1437))+MIN(MAX(0,M1445-(K1437-MIN(MAX(L1445,0),K1437))),MAX(0,3*K1437-(L1445-MIN(MAX(L1445,0),K1437)))))</f>
        <v>38615.346793939389</v>
      </c>
      <c r="L1446" s="18">
        <f>IF($A1446&gt;40,L1445,(L1445-K1437+K1446)*(1+$C$7))</f>
        <v>118821.59865072224</v>
      </c>
      <c r="M1446" s="18">
        <f t="shared" si="171"/>
        <v>778972.99315594241</v>
      </c>
      <c r="N1446" s="18">
        <f>IF($A1446&gt;40,0,(N1437-MIN(MAX(O1445,0),N1437))+MIN(MAX(0,P1445-(N1437-MIN(MAX(O1445,0),N1437))),MAX(0,3*N1437-(O1445-MIN(MAX(O1445,0),N1437)))))</f>
        <v>38615.763522150271</v>
      </c>
      <c r="O1446" s="18">
        <f>IF($A1446&gt;40,O1445,(O1445-N1437+N1446)*(1+$C$7))</f>
        <v>118822.88094691614</v>
      </c>
      <c r="P1446" s="18">
        <f t="shared" si="172"/>
        <v>778968.12713428575</v>
      </c>
      <c r="Q1446" s="18">
        <f>IF($A1446&gt;40,0,(Q1437-MIN(MAX(R1445,0),Q1437))+MIN(MAX(0,S1445-(Q1437-MIN(MAX(R1445,0),Q1437))),MAX(0,3*Q1437-(R1445-MIN(MAX(R1445,0),Q1437)))))</f>
        <v>38615.773328096679</v>
      </c>
      <c r="R1446" s="18">
        <f>IF($A1446&gt;40,R1445,(R1445-Q1437+Q1446)*(1+$C$7))</f>
        <v>118822.91112036594</v>
      </c>
      <c r="S1446" s="18">
        <f t="shared" si="173"/>
        <v>778968.01263292378</v>
      </c>
    </row>
    <row r="1447" spans="1:19">
      <c r="A1447" s="10">
        <f>8</f>
        <v>8</v>
      </c>
      <c r="B1447" s="18">
        <f>IF($A1447&gt;40,0,(B1437-MIN(MAX(C1446,0),B1437))+MIN(MAX(0,D1446-(B1437-MIN(MAX(C1446,0),B1437))),MAX(0,3*B1437-(C1446-MIN(MAX(C1446,0),B1437)))))</f>
        <v>29433</v>
      </c>
      <c r="C1447" s="18">
        <f>IF($A1447&gt;40,C1446,(C1446-B1437+B1447)*(1+$C$7))</f>
        <v>90567</v>
      </c>
      <c r="D1447" s="18">
        <f t="shared" si="168"/>
        <v>882462.54477171216</v>
      </c>
      <c r="E1447" s="18">
        <f>IF($A1447&gt;40,0,(E1437-MIN(MAX(F1446,0),E1437))+MIN(MAX(0,G1446-(E1437-MIN(MAX(F1446,0),E1437))),MAX(0,3*E1437-(F1446-MIN(MAX(F1446,0),E1437)))))</f>
        <v>73582.5</v>
      </c>
      <c r="F1447" s="18">
        <f>IF($A1447&gt;40,F1446,(F1446-E1437+E1447)*(1+$C$7))</f>
        <v>226417.5</v>
      </c>
      <c r="G1447" s="18">
        <f t="shared" si="169"/>
        <v>306001.23984785599</v>
      </c>
      <c r="H1447" s="18">
        <f>IF($A1447&gt;40,0,(H1437-MIN(MAX(I1446,0),H1437))+MIN(MAX(0,J1446-(H1437-MIN(MAX(I1446,0),H1437))),MAX(0,3*H1437-(I1446-MIN(MAX(I1446,0),H1437)))))</f>
        <v>39097.633013029495</v>
      </c>
      <c r="I1447" s="18">
        <f>IF($A1447&gt;40,I1446,(I1446-H1437+H1447)*(1+$C$7))</f>
        <v>120305.620531072</v>
      </c>
      <c r="J1447" s="18">
        <f t="shared" si="170"/>
        <v>756271.15057016618</v>
      </c>
      <c r="K1447" s="18">
        <f>IF($A1447&gt;40,0,(K1437-MIN(MAX(L1446,0),K1437))+MIN(MAX(0,M1446-(K1437-MIN(MAX(L1446,0),K1437))),MAX(0,3*K1437-(L1446-MIN(MAX(L1446,0),K1437)))))</f>
        <v>38615.346793939389</v>
      </c>
      <c r="L1447" s="18">
        <f>IF($A1447&gt;40,L1446,(L1446-K1437+K1447)*(1+$C$7))</f>
        <v>118821.59865072224</v>
      </c>
      <c r="M1447" s="18">
        <f t="shared" si="171"/>
        <v>762568.37575286312</v>
      </c>
      <c r="N1447" s="18">
        <f>IF($A1447&gt;40,0,(N1437-MIN(MAX(O1446,0),N1437))+MIN(MAX(0,P1446-(N1437-MIN(MAX(O1446,0),N1437))),MAX(0,3*N1437-(O1446-MIN(MAX(O1446,0),N1437)))))</f>
        <v>38615.763522150271</v>
      </c>
      <c r="O1447" s="18">
        <f>IF($A1447&gt;40,O1446,(O1446-N1437+N1447)*(1+$C$7))</f>
        <v>118822.88094691614</v>
      </c>
      <c r="P1447" s="18">
        <f t="shared" si="172"/>
        <v>762562.93452049966</v>
      </c>
      <c r="Q1447" s="18">
        <f>IF($A1447&gt;40,0,(Q1437-MIN(MAX(R1446,0),Q1437))+MIN(MAX(0,S1446-(Q1437-MIN(MAX(R1446,0),Q1437))),MAX(0,3*Q1437-(R1446-MIN(MAX(R1446,0),Q1437)))))</f>
        <v>38615.773328096679</v>
      </c>
      <c r="R1447" s="18">
        <f>IF($A1447&gt;40,R1446,(R1446-Q1437+Q1447)*(1+$C$7))</f>
        <v>118822.91112036594</v>
      </c>
      <c r="S1447" s="18">
        <f t="shared" si="173"/>
        <v>762562.80648397189</v>
      </c>
    </row>
    <row r="1448" spans="1:19">
      <c r="A1448" s="10">
        <f>9</f>
        <v>9</v>
      </c>
      <c r="B1448" s="18">
        <f>IF($A1448&gt;40,0,(B1437-MIN(MAX(C1447,0),B1437))+MIN(MAX(0,D1447-(B1437-MIN(MAX(C1447,0),B1437))),MAX(0,3*B1437-(C1447-MIN(MAX(C1447,0),B1437)))))</f>
        <v>29433</v>
      </c>
      <c r="C1448" s="18">
        <f>IF($A1448&gt;40,C1447,(C1447-B1437+B1448)*(1+$C$7))</f>
        <v>90567</v>
      </c>
      <c r="D1448" s="18">
        <f t="shared" si="168"/>
        <v>878620.43111486349</v>
      </c>
      <c r="E1448" s="18">
        <f>IF($A1448&gt;40,0,(E1437-MIN(MAX(F1447,0),E1437))+MIN(MAX(0,G1447-(E1437-MIN(MAX(F1447,0),E1437))),MAX(0,3*E1437-(F1447-MIN(MAX(F1447,0),E1437)))))</f>
        <v>73582.5</v>
      </c>
      <c r="F1448" s="18">
        <f>IF($A1448&gt;40,F1447,(F1447-E1437+E1448)*(1+$C$7))</f>
        <v>226417.5</v>
      </c>
      <c r="G1448" s="18">
        <f t="shared" si="169"/>
        <v>239391.30204329168</v>
      </c>
      <c r="H1448" s="18">
        <f>IF($A1448&gt;40,0,(H1437-MIN(MAX(I1447,0),H1437))+MIN(MAX(0,J1447-(H1437-MIN(MAX(I1447,0),H1437))),MAX(0,3*H1437-(I1447-MIN(MAX(I1447,0),H1437)))))</f>
        <v>39097.633013029495</v>
      </c>
      <c r="I1448" s="18">
        <f>IF($A1448&gt;40,I1447,(I1447-H1437+H1448)*(1+$C$7))</f>
        <v>120305.620531072</v>
      </c>
      <c r="J1448" s="18">
        <f t="shared" si="170"/>
        <v>738688.72308385081</v>
      </c>
      <c r="K1448" s="18">
        <f>IF($A1448&gt;40,0,(K1437-MIN(MAX(L1447,0),K1437))+MIN(MAX(0,M1447-(K1437-MIN(MAX(L1447,0),K1437))),MAX(0,3*K1437-(L1447-MIN(MAX(L1447,0),K1437)))))</f>
        <v>38615.346793939389</v>
      </c>
      <c r="L1448" s="18">
        <f>IF($A1448&gt;40,L1447,(L1447-K1437+K1448)*(1+$C$7))</f>
        <v>118821.59865072224</v>
      </c>
      <c r="M1448" s="18">
        <f t="shared" si="171"/>
        <v>745671.61982769147</v>
      </c>
      <c r="N1448" s="18">
        <f>IF($A1448&gt;40,0,(N1437-MIN(MAX(O1447,0),N1437))+MIN(MAX(0,P1447-(N1437-MIN(MAX(O1447,0),N1437))),MAX(0,3*N1437-(O1447-MIN(MAX(O1447,0),N1437)))))</f>
        <v>38615.763522150271</v>
      </c>
      <c r="O1448" s="18">
        <f>IF($A1448&gt;40,O1447,(O1447-N1437+N1448)*(1+$C$7))</f>
        <v>118822.88094691614</v>
      </c>
      <c r="P1448" s="18">
        <f t="shared" si="172"/>
        <v>745665.58612829994</v>
      </c>
      <c r="Q1448" s="18">
        <f>IF($A1448&gt;40,0,(Q1437-MIN(MAX(R1447,0),Q1437))+MIN(MAX(0,S1447-(Q1437-MIN(MAX(R1447,0),Q1437))),MAX(0,3*Q1437-(R1447-MIN(MAX(R1447,0),Q1437)))))</f>
        <v>38615.773328096679</v>
      </c>
      <c r="R1448" s="18">
        <f>IF($A1448&gt;40,R1447,(R1447-Q1437+Q1448)*(1+$C$7))</f>
        <v>118822.91112036594</v>
      </c>
      <c r="S1448" s="18">
        <f t="shared" si="173"/>
        <v>745665.44415055146</v>
      </c>
    </row>
    <row r="1449" spans="1:19">
      <c r="A1449" s="10">
        <f>10</f>
        <v>10</v>
      </c>
      <c r="B1449" s="18">
        <f>IF($A1449&gt;40,0,(B1437-MIN(MAX(C1448,0),B1437))+MIN(MAX(0,D1448-(B1437-MIN(MAX(C1448,0),B1437))),MAX(0,3*B1437-(C1448-MIN(MAX(C1448,0),B1437)))))</f>
        <v>29433</v>
      </c>
      <c r="C1449" s="18">
        <f>IF($A1449&gt;40,C1448,(C1448-B1437+B1449)*(1+$C$7))</f>
        <v>90567</v>
      </c>
      <c r="D1449" s="18">
        <f t="shared" si="168"/>
        <v>874663.05404830945</v>
      </c>
      <c r="E1449" s="18">
        <f>IF($A1449&gt;40,0,(E1437-MIN(MAX(F1448,0),E1437))+MIN(MAX(0,G1448-(E1437-MIN(MAX(F1448,0),E1437))),MAX(0,3*E1437-(F1448-MIN(MAX(F1448,0),E1437)))))</f>
        <v>73582.5</v>
      </c>
      <c r="F1449" s="18">
        <f>IF($A1449&gt;40,F1448,(F1448-E1437+E1449)*(1+$C$7))</f>
        <v>226417.5</v>
      </c>
      <c r="G1449" s="18">
        <f t="shared" si="169"/>
        <v>170783.06610459043</v>
      </c>
      <c r="H1449" s="18">
        <f>IF($A1449&gt;40,0,(H1437-MIN(MAX(I1448,0),H1437))+MIN(MAX(0,J1448-(H1437-MIN(MAX(I1448,0),H1437))),MAX(0,3*H1437-(I1448-MIN(MAX(I1448,0),H1437)))))</f>
        <v>39097.633013029495</v>
      </c>
      <c r="I1449" s="18">
        <f>IF($A1449&gt;40,I1448,(I1448-H1437+H1449)*(1+$C$7))</f>
        <v>120305.620531072</v>
      </c>
      <c r="J1449" s="18">
        <f t="shared" si="170"/>
        <v>720578.82277294598</v>
      </c>
      <c r="K1449" s="18">
        <f>IF($A1449&gt;40,0,(K1437-MIN(MAX(L1448,0),K1437))+MIN(MAX(0,M1448-(K1437-MIN(MAX(L1448,0),K1437))),MAX(0,3*K1437-(L1448-MIN(MAX(L1448,0),K1437)))))</f>
        <v>38615.346793939389</v>
      </c>
      <c r="L1449" s="18">
        <f>IF($A1449&gt;40,L1448,(L1448-K1437+K1449)*(1+$C$7))</f>
        <v>118821.59865072224</v>
      </c>
      <c r="M1449" s="18">
        <f t="shared" si="171"/>
        <v>728267.9612247647</v>
      </c>
      <c r="N1449" s="18">
        <f>IF($A1449&gt;40,0,(N1437-MIN(MAX(O1448,0),N1437))+MIN(MAX(0,P1448-(N1437-MIN(MAX(O1448,0),N1437))),MAX(0,3*N1437-(O1448-MIN(MAX(O1448,0),N1437)))))</f>
        <v>38615.763522150271</v>
      </c>
      <c r="O1449" s="18">
        <f>IF($A1449&gt;40,O1448,(O1448-N1437+N1449)*(1+$C$7))</f>
        <v>118822.88094691614</v>
      </c>
      <c r="P1449" s="18">
        <f t="shared" si="172"/>
        <v>728261.31728433422</v>
      </c>
      <c r="Q1449" s="18">
        <f>IF($A1449&gt;40,0,(Q1437-MIN(MAX(R1448,0),Q1437))+MIN(MAX(0,S1448-(Q1437-MIN(MAX(R1448,0),Q1437))),MAX(0,3*Q1437-(R1448-MIN(MAX(R1448,0),Q1437)))))</f>
        <v>38615.773328096679</v>
      </c>
      <c r="R1449" s="18">
        <f>IF($A1449&gt;40,R1448,(R1448-Q1437+Q1449)*(1+$C$7))</f>
        <v>118822.91112036594</v>
      </c>
      <c r="S1449" s="18">
        <f t="shared" si="173"/>
        <v>728261.16094712843</v>
      </c>
    </row>
    <row r="1450" spans="1:19">
      <c r="A1450" s="10">
        <f>11</f>
        <v>11</v>
      </c>
      <c r="B1450" s="18">
        <f>IF($A1450&gt;40,0,(B1437-MIN(MAX(C1449,0),B1437))+MIN(MAX(0,D1449-(B1437-MIN(MAX(C1449,0),B1437))),MAX(0,3*B1437-(C1449-MIN(MAX(C1449,0),B1437)))))</f>
        <v>29433</v>
      </c>
      <c r="C1450" s="18">
        <f>IF($A1450&gt;40,C1449,(C1449-B1437+B1450)*(1+$C$7))</f>
        <v>90567</v>
      </c>
      <c r="D1450" s="18">
        <f t="shared" si="168"/>
        <v>870586.95566975872</v>
      </c>
      <c r="E1450" s="18">
        <f>IF($A1450&gt;40,0,(E1437-MIN(MAX(F1449,0),E1437))+MIN(MAX(0,G1449-(E1437-MIN(MAX(F1449,0),E1437))),MAX(0,3*E1437-(F1449-MIN(MAX(F1449,0),E1437)))))</f>
        <v>73582.5</v>
      </c>
      <c r="F1450" s="18">
        <f>IF($A1450&gt;40,F1449,(F1449-E1437+E1450)*(1+$C$7))</f>
        <v>226417.5</v>
      </c>
      <c r="G1450" s="18">
        <f t="shared" si="169"/>
        <v>100116.58308772814</v>
      </c>
      <c r="H1450" s="18">
        <f>IF($A1450&gt;40,0,(H1437-MIN(MAX(I1449,0),H1437))+MIN(MAX(0,J1449-(H1437-MIN(MAX(I1449,0),H1437))),MAX(0,3*H1437-(I1449-MIN(MAX(I1449,0),H1437)))))</f>
        <v>39097.633013029495</v>
      </c>
      <c r="I1450" s="18">
        <f>IF($A1450&gt;40,I1449,(I1449-H1437+H1450)*(1+$C$7))</f>
        <v>120305.620531072</v>
      </c>
      <c r="J1450" s="18">
        <f t="shared" si="170"/>
        <v>701925.62545271404</v>
      </c>
      <c r="K1450" s="18">
        <f>IF($A1450&gt;40,0,(K1437-MIN(MAX(L1449,0),K1437))+MIN(MAX(0,M1449-(K1437-MIN(MAX(L1449,0),K1437))),MAX(0,3*K1437-(L1449-MIN(MAX(L1449,0),K1437)))))</f>
        <v>38615.346793939389</v>
      </c>
      <c r="L1450" s="18">
        <f>IF($A1450&gt;40,L1449,(L1449-K1437+K1450)*(1+$C$7))</f>
        <v>118821.59865072224</v>
      </c>
      <c r="M1450" s="18">
        <f t="shared" si="171"/>
        <v>710342.19286375016</v>
      </c>
      <c r="N1450" s="18">
        <f>IF($A1450&gt;40,0,(N1437-MIN(MAX(O1449,0),N1437))+MIN(MAX(0,P1449-(N1437-MIN(MAX(O1449,0),N1437))),MAX(0,3*N1437-(O1449-MIN(MAX(O1449,0),N1437)))))</f>
        <v>38615.763522150271</v>
      </c>
      <c r="O1450" s="18">
        <f>IF($A1450&gt;40,O1449,(O1449-N1437+N1450)*(1+$C$7))</f>
        <v>118822.88094691614</v>
      </c>
      <c r="P1450" s="18">
        <f t="shared" si="172"/>
        <v>710334.92037504958</v>
      </c>
      <c r="Q1450" s="18">
        <f>IF($A1450&gt;40,0,(Q1437-MIN(MAX(R1449,0),Q1437))+MIN(MAX(0,S1449-(Q1437-MIN(MAX(R1449,0),Q1437))),MAX(0,3*Q1437-(R1449-MIN(MAX(R1449,0),Q1437)))))</f>
        <v>38615.773328096679</v>
      </c>
      <c r="R1450" s="18">
        <f>IF($A1450&gt;40,R1449,(R1449-Q1437+Q1450)*(1+$C$7))</f>
        <v>118822.91112036594</v>
      </c>
      <c r="S1450" s="18">
        <f t="shared" si="173"/>
        <v>710334.74924760265</v>
      </c>
    </row>
    <row r="1451" spans="1:19">
      <c r="A1451" s="10">
        <f>12</f>
        <v>12</v>
      </c>
      <c r="B1451" s="18">
        <f>IF($A1451&gt;40,0,(B1437-MIN(MAX(C1450,0),B1437))+MIN(MAX(0,D1450-(B1437-MIN(MAX(C1450,0),B1437))),MAX(0,3*B1437-(C1450-MIN(MAX(C1450,0),B1437)))))</f>
        <v>29433</v>
      </c>
      <c r="C1451" s="18">
        <f>IF($A1451&gt;40,C1450,(C1450-B1437+B1451)*(1+$C$7))</f>
        <v>90567</v>
      </c>
      <c r="D1451" s="18">
        <f t="shared" si="168"/>
        <v>866388.5743398515</v>
      </c>
      <c r="E1451" s="18">
        <f>IF($A1451&gt;40,0,(E1437-MIN(MAX(F1450,0),E1437))+MIN(MAX(0,G1450-(E1437-MIN(MAX(F1450,0),E1437))),MAX(0,3*E1437-(F1450-MIN(MAX(F1450,0),E1437)))))</f>
        <v>73582.5</v>
      </c>
      <c r="F1451" s="18">
        <f>IF($A1451&gt;40,F1450,(F1450-E1437+E1451)*(1+$C$7))</f>
        <v>226417.5</v>
      </c>
      <c r="G1451" s="18">
        <f t="shared" si="169"/>
        <v>27330.105580359985</v>
      </c>
      <c r="H1451" s="18">
        <f>IF($A1451&gt;40,0,(H1437-MIN(MAX(I1450,0),H1437))+MIN(MAX(0,J1450-(H1437-MIN(MAX(I1450,0),H1437))),MAX(0,3*H1437-(I1450-MIN(MAX(I1450,0),H1437)))))</f>
        <v>39097.633013029495</v>
      </c>
      <c r="I1451" s="18">
        <f>IF($A1451&gt;40,I1450,(I1450-H1437+H1451)*(1+$C$7))</f>
        <v>120305.620531072</v>
      </c>
      <c r="J1451" s="18">
        <f t="shared" si="170"/>
        <v>682712.83221287513</v>
      </c>
      <c r="K1451" s="18">
        <f>IF($A1451&gt;40,0,(K1437-MIN(MAX(L1450,0),K1437))+MIN(MAX(0,M1450-(K1437-MIN(MAX(L1450,0),K1437))),MAX(0,3*K1437-(L1450-MIN(MAX(L1450,0),K1437)))))</f>
        <v>38615.346793939389</v>
      </c>
      <c r="L1451" s="18">
        <f>IF($A1451&gt;40,L1450,(L1450-K1437+K1451)*(1+$C$7))</f>
        <v>118821.59865072224</v>
      </c>
      <c r="M1451" s="18">
        <f t="shared" si="171"/>
        <v>691878.65145190514</v>
      </c>
      <c r="N1451" s="18">
        <f>IF($A1451&gt;40,0,(N1437-MIN(MAX(O1450,0),N1437))+MIN(MAX(0,P1450-(N1437-MIN(MAX(O1450,0),N1437))),MAX(0,3*N1437-(O1450-MIN(MAX(O1450,0),N1437)))))</f>
        <v>38615.763522150271</v>
      </c>
      <c r="O1451" s="18">
        <f>IF($A1451&gt;40,O1450,(O1450-N1437+N1451)*(1+$C$7))</f>
        <v>118822.88094691614</v>
      </c>
      <c r="P1451" s="18">
        <f t="shared" si="172"/>
        <v>691870.73155848635</v>
      </c>
      <c r="Q1451" s="18">
        <f>IF($A1451&gt;40,0,(Q1437-MIN(MAX(R1450,0),Q1437))+MIN(MAX(0,S1450-(Q1437-MIN(MAX(R1450,0),Q1437))),MAX(0,3*Q1437-(R1450-MIN(MAX(R1450,0),Q1437)))))</f>
        <v>38615.773328096679</v>
      </c>
      <c r="R1451" s="18">
        <f>IF($A1451&gt;40,R1450,(R1450-Q1437+Q1451)*(1+$C$7))</f>
        <v>118822.91112036594</v>
      </c>
      <c r="S1451" s="18">
        <f t="shared" si="173"/>
        <v>691870.54519709118</v>
      </c>
    </row>
    <row r="1452" spans="1:19">
      <c r="A1452" s="10">
        <f>13</f>
        <v>13</v>
      </c>
      <c r="B1452" s="18">
        <f>IF($A1452&gt;40,0,(B1437-MIN(MAX(C1451,0),B1437))+MIN(MAX(0,D1451-(B1437-MIN(MAX(C1451,0),B1437))),MAX(0,3*B1437-(C1451-MIN(MAX(C1451,0),B1437)))))</f>
        <v>29433</v>
      </c>
      <c r="C1452" s="18">
        <f>IF($A1452&gt;40,C1451,(C1451-B1437+B1452)*(1+$C$7))</f>
        <v>90567</v>
      </c>
      <c r="D1452" s="18">
        <f t="shared" si="168"/>
        <v>862064.2415700471</v>
      </c>
      <c r="E1452" s="18">
        <f>IF($A1452&gt;40,0,(E1437-MIN(MAX(F1451,0),E1437))+MIN(MAX(0,G1451-(E1437-MIN(MAX(F1451,0),E1437))),MAX(0,3*E1437-(F1451-MIN(MAX(F1451,0),E1437)))))</f>
        <v>27330.105580359985</v>
      </c>
      <c r="F1452" s="18">
        <f>IF($A1452&gt;40,F1451,(F1451-E1437+E1452)*(1+$C$7))</f>
        <v>179873.71549551626</v>
      </c>
      <c r="G1452" s="18">
        <f t="shared" si="169"/>
        <v>0</v>
      </c>
      <c r="H1452" s="18">
        <f>IF($A1452&gt;40,0,(H1437-MIN(MAX(I1451,0),H1437))+MIN(MAX(0,J1451-(H1437-MIN(MAX(I1451,0),H1437))),MAX(0,3*H1437-(I1451-MIN(MAX(I1451,0),H1437)))))</f>
        <v>39097.633013029495</v>
      </c>
      <c r="I1452" s="18">
        <f>IF($A1452&gt;40,I1451,(I1451-H1437+H1452)*(1+$C$7))</f>
        <v>120305.620531072</v>
      </c>
      <c r="J1452" s="18">
        <f t="shared" si="170"/>
        <v>662923.65517584106</v>
      </c>
      <c r="K1452" s="18">
        <f>IF($A1452&gt;40,0,(K1437-MIN(MAX(L1451,0),K1437))+MIN(MAX(0,M1451-(K1437-MIN(MAX(L1451,0),K1437))),MAX(0,3*K1437-(L1451-MIN(MAX(L1451,0),K1437)))))</f>
        <v>38615.346793939389</v>
      </c>
      <c r="L1452" s="18">
        <f>IF($A1452&gt;40,L1451,(L1451-K1437+K1452)*(1+$C$7))</f>
        <v>118821.59865072224</v>
      </c>
      <c r="M1452" s="18">
        <f t="shared" si="171"/>
        <v>672861.20379770477</v>
      </c>
      <c r="N1452" s="18">
        <f>IF($A1452&gt;40,0,(N1437-MIN(MAX(O1451,0),N1437))+MIN(MAX(0,P1451-(N1437-MIN(MAX(O1451,0),N1437))),MAX(0,3*N1437-(O1451-MIN(MAX(O1451,0),N1437)))))</f>
        <v>38615.763522150271</v>
      </c>
      <c r="O1452" s="18">
        <f>IF($A1452&gt;40,O1451,(O1451-N1437+N1452)*(1+$C$7))</f>
        <v>118822.88094691614</v>
      </c>
      <c r="P1452" s="18">
        <f t="shared" si="172"/>
        <v>672852.61707742617</v>
      </c>
      <c r="Q1452" s="18">
        <f>IF($A1452&gt;40,0,(Q1437-MIN(MAX(R1451,0),Q1437))+MIN(MAX(0,S1451-(Q1437-MIN(MAX(R1451,0),Q1437))),MAX(0,3*Q1437-(R1451-MIN(MAX(R1451,0),Q1437)))))</f>
        <v>38615.773328096679</v>
      </c>
      <c r="R1452" s="18">
        <f>IF($A1452&gt;40,R1451,(R1451-Q1437+Q1452)*(1+$C$7))</f>
        <v>118822.91112036594</v>
      </c>
      <c r="S1452" s="18">
        <f t="shared" si="173"/>
        <v>672852.41502506426</v>
      </c>
    </row>
    <row r="1453" spans="1:19">
      <c r="A1453" s="10">
        <f>14</f>
        <v>14</v>
      </c>
      <c r="B1453" s="18">
        <f>IF($A1453&gt;40,0,(B1437-MIN(MAX(C1452,0),B1437))+MIN(MAX(0,D1452-(B1437-MIN(MAX(C1452,0),B1437))),MAX(0,3*B1437-(C1452-MIN(MAX(C1452,0),B1437)))))</f>
        <v>29433</v>
      </c>
      <c r="C1453" s="18">
        <f>IF($A1453&gt;40,C1452,(C1452-B1437+B1453)*(1+$C$7))</f>
        <v>90567</v>
      </c>
      <c r="D1453" s="18">
        <f t="shared" si="168"/>
        <v>857610.17881714855</v>
      </c>
      <c r="E1453" s="18">
        <f>IF($A1453&gt;40,0,(E1437-MIN(MAX(F1452,0),E1437))+MIN(MAX(0,G1452-(E1437-MIN(MAX(F1452,0),E1437))),MAX(0,3*E1437-(F1452-MIN(MAX(F1452,0),E1437)))))</f>
        <v>0</v>
      </c>
      <c r="F1453" s="18">
        <f>IF($A1453&gt;40,F1452,(F1452-E1437+E1453)*(1+$C$7))</f>
        <v>105534.419903138</v>
      </c>
      <c r="G1453" s="18">
        <f t="shared" si="169"/>
        <v>0</v>
      </c>
      <c r="H1453" s="18">
        <f>IF($A1453&gt;40,0,(H1437-MIN(MAX(I1452,0),H1437))+MIN(MAX(0,J1452-(H1437-MIN(MAX(I1452,0),H1437))),MAX(0,3*H1437-(I1452-MIN(MAX(I1452,0),H1437)))))</f>
        <v>39097.633013029495</v>
      </c>
      <c r="I1453" s="18">
        <f>IF($A1453&gt;40,I1452,(I1452-H1437+H1453)*(1+$C$7))</f>
        <v>120305.620531072</v>
      </c>
      <c r="J1453" s="18">
        <f t="shared" si="170"/>
        <v>642540.80282769597</v>
      </c>
      <c r="K1453" s="18">
        <f>IF($A1453&gt;40,0,(K1437-MIN(MAX(L1452,0),K1437))+MIN(MAX(0,M1452-(K1437-MIN(MAX(L1452,0),K1437))),MAX(0,3*K1437-(L1452-MIN(MAX(L1452,0),K1437)))))</f>
        <v>38615.346793939389</v>
      </c>
      <c r="L1453" s="18">
        <f>IF($A1453&gt;40,L1452,(L1452-K1437+K1453)*(1+$C$7))</f>
        <v>118821.59865072224</v>
      </c>
      <c r="M1453" s="18">
        <f t="shared" si="171"/>
        <v>653273.23271387839</v>
      </c>
      <c r="N1453" s="18">
        <f>IF($A1453&gt;40,0,(N1437-MIN(MAX(O1452,0),N1437))+MIN(MAX(0,P1452-(N1437-MIN(MAX(O1452,0),N1437))),MAX(0,3*N1437-(O1452-MIN(MAX(O1452,0),N1437)))))</f>
        <v>38615.763522150271</v>
      </c>
      <c r="O1453" s="18">
        <f>IF($A1453&gt;40,O1452,(O1452-N1437+N1453)*(1+$C$7))</f>
        <v>118822.88094691614</v>
      </c>
      <c r="P1453" s="18">
        <f t="shared" si="172"/>
        <v>653263.95916193421</v>
      </c>
      <c r="Q1453" s="18">
        <f>IF($A1453&gt;40,0,(Q1437-MIN(MAX(R1452,0),Q1437))+MIN(MAX(0,S1452-(Q1437-MIN(MAX(R1452,0),Q1437))),MAX(0,3*Q1437-(R1452-MIN(MAX(R1452,0),Q1437)))))</f>
        <v>38615.773328096679</v>
      </c>
      <c r="R1453" s="18">
        <f>IF($A1453&gt;40,R1452,(R1452-Q1437+Q1453)*(1+$C$7))</f>
        <v>118822.91112036594</v>
      </c>
      <c r="S1453" s="18">
        <f t="shared" si="173"/>
        <v>653263.74094787659</v>
      </c>
    </row>
    <row r="1454" spans="1:19">
      <c r="A1454" s="10">
        <f>15</f>
        <v>15</v>
      </c>
      <c r="B1454" s="18">
        <f>IF($A1454&gt;40,0,(B1437-MIN(MAX(C1453,0),B1437))+MIN(MAX(0,D1453-(B1437-MIN(MAX(C1453,0),B1437))),MAX(0,3*B1437-(C1453-MIN(MAX(C1453,0),B1437)))))</f>
        <v>29433</v>
      </c>
      <c r="C1454" s="18">
        <f>IF($A1454&gt;40,C1453,(C1453-B1437+B1454)*(1+$C$7))</f>
        <v>90567</v>
      </c>
      <c r="D1454" s="18">
        <f t="shared" si="168"/>
        <v>853022.49418166303</v>
      </c>
      <c r="E1454" s="18">
        <f>IF($A1454&gt;40,0,(E1437-MIN(MAX(F1453,0),E1437))+MIN(MAX(0,G1453-(E1437-MIN(MAX(F1453,0),E1437))),MAX(0,3*E1437-(F1453-MIN(MAX(F1453,0),E1437)))))</f>
        <v>0</v>
      </c>
      <c r="F1454" s="18">
        <f>IF($A1454&gt;40,F1453,(F1453-E1437+E1454)*(1+$C$7))</f>
        <v>30726.786748527767</v>
      </c>
      <c r="G1454" s="18">
        <f t="shared" si="169"/>
        <v>0</v>
      </c>
      <c r="H1454" s="18">
        <f>IF($A1454&gt;40,0,(H1437-MIN(MAX(I1453,0),H1437))+MIN(MAX(0,J1453-(H1437-MIN(MAX(I1453,0),H1437))),MAX(0,3*H1437-(I1453-MIN(MAX(I1453,0),H1437)))))</f>
        <v>39097.633013029495</v>
      </c>
      <c r="I1454" s="18">
        <f>IF($A1454&gt;40,I1453,(I1453-H1437+H1454)*(1+$C$7))</f>
        <v>120305.620531072</v>
      </c>
      <c r="J1454" s="18">
        <f t="shared" si="170"/>
        <v>621546.46490910649</v>
      </c>
      <c r="K1454" s="18">
        <f>IF($A1454&gt;40,0,(K1437-MIN(MAX(L1453,0),K1437))+MIN(MAX(0,M1453-(K1437-MIN(MAX(L1453,0),K1437))),MAX(0,3*K1437-(L1453-MIN(MAX(L1453,0),K1437)))))</f>
        <v>38615.346793939389</v>
      </c>
      <c r="L1454" s="18">
        <f>IF($A1454&gt;40,L1453,(L1453-K1437+K1454)*(1+$C$7))</f>
        <v>118821.59865072224</v>
      </c>
      <c r="M1454" s="18">
        <f t="shared" si="171"/>
        <v>633097.62249753717</v>
      </c>
      <c r="N1454" s="18">
        <f>IF($A1454&gt;40,0,(N1437-MIN(MAX(O1453,0),N1437))+MIN(MAX(0,P1453-(N1437-MIN(MAX(O1453,0),N1437))),MAX(0,3*N1437-(O1453-MIN(MAX(O1453,0),N1437)))))</f>
        <v>38615.763522150271</v>
      </c>
      <c r="O1454" s="18">
        <f>IF($A1454&gt;40,O1453,(O1453-N1437+N1454)*(1+$C$7))</f>
        <v>118822.88094691614</v>
      </c>
      <c r="P1454" s="18">
        <f t="shared" si="172"/>
        <v>633087.64150897751</v>
      </c>
      <c r="Q1454" s="18">
        <f>IF($A1454&gt;40,0,(Q1437-MIN(MAX(R1453,0),Q1437))+MIN(MAX(0,S1453-(Q1437-MIN(MAX(R1453,0),Q1437))),MAX(0,3*Q1437-(R1453-MIN(MAX(R1453,0),Q1437)))))</f>
        <v>38615.773328096679</v>
      </c>
      <c r="R1454" s="18">
        <f>IF($A1454&gt;40,R1453,(R1453-Q1437+Q1454)*(1+$C$7))</f>
        <v>118822.91112036594</v>
      </c>
      <c r="S1454" s="18">
        <f t="shared" si="173"/>
        <v>633087.40664837323</v>
      </c>
    </row>
    <row r="1455" spans="1:19">
      <c r="A1455" s="10">
        <f>16</f>
        <v>16</v>
      </c>
      <c r="B1455" s="18">
        <f>IF($A1455&gt;40,0,(B1437-MIN(MAX(C1454,0),B1437))+MIN(MAX(0,D1454-(B1437-MIN(MAX(C1454,0),B1437))),MAX(0,3*B1437-(C1454-MIN(MAX(C1454,0),B1437)))))</f>
        <v>29433</v>
      </c>
      <c r="C1455" s="18">
        <f>IF($A1455&gt;40,C1454,(C1454-B1437+B1455)*(1+$C$7))</f>
        <v>90567</v>
      </c>
      <c r="D1455" s="18">
        <f t="shared" si="168"/>
        <v>848297.17900711298</v>
      </c>
      <c r="E1455" s="18">
        <f>IF($A1455&gt;40,0,(E1437-MIN(MAX(F1454,0),E1437))+MIN(MAX(0,G1454-(E1437-MIN(MAX(F1454,0),E1437))),MAX(0,3*E1437-(F1454-MIN(MAX(F1454,0),E1437)))))</f>
        <v>44273.213251472233</v>
      </c>
      <c r="F1455" s="18">
        <f>IF($A1455&gt;40,F1454,(F1454-E1437+E1455)*(1+$C$7))</f>
        <v>0</v>
      </c>
      <c r="G1455" s="18">
        <f t="shared" si="169"/>
        <v>-45601.409649016401</v>
      </c>
      <c r="H1455" s="18">
        <f>IF($A1455&gt;40,0,(H1437-MIN(MAX(I1454,0),H1437))+MIN(MAX(0,J1454-(H1437-MIN(MAX(I1454,0),H1437))),MAX(0,3*H1437-(I1454-MIN(MAX(I1454,0),H1437)))))</f>
        <v>39097.633013029495</v>
      </c>
      <c r="I1455" s="18">
        <f>IF($A1455&gt;40,I1454,(I1454-H1437+H1455)*(1+$C$7))</f>
        <v>120305.620531072</v>
      </c>
      <c r="J1455" s="18">
        <f t="shared" si="170"/>
        <v>599922.29685295932</v>
      </c>
      <c r="K1455" s="18">
        <f>IF($A1455&gt;40,0,(K1437-MIN(MAX(L1454,0),K1437))+MIN(MAX(0,M1454-(K1437-MIN(MAX(L1454,0),K1437))),MAX(0,3*K1437-(L1454-MIN(MAX(L1454,0),K1437)))))</f>
        <v>38615.346793939389</v>
      </c>
      <c r="L1455" s="18">
        <f>IF($A1455&gt;40,L1454,(L1454-K1437+K1455)*(1+$C$7))</f>
        <v>118821.59865072224</v>
      </c>
      <c r="M1455" s="18">
        <f t="shared" si="171"/>
        <v>612316.74397470581</v>
      </c>
      <c r="N1455" s="18">
        <f>IF($A1455&gt;40,0,(N1437-MIN(MAX(O1454,0),N1437))+MIN(MAX(0,P1454-(N1437-MIN(MAX(O1454,0),N1437))),MAX(0,3*N1437-(O1454-MIN(MAX(O1454,0),N1437)))))</f>
        <v>38615.763522150271</v>
      </c>
      <c r="O1455" s="18">
        <f>IF($A1455&gt;40,O1454,(O1454-N1437+N1455)*(1+$C$7))</f>
        <v>118822.88094691614</v>
      </c>
      <c r="P1455" s="18">
        <f t="shared" si="172"/>
        <v>612306.03432643216</v>
      </c>
      <c r="Q1455" s="18">
        <f>IF($A1455&gt;40,0,(Q1437-MIN(MAX(R1454,0),Q1437))+MIN(MAX(0,S1454-(Q1437-MIN(MAX(R1454,0),Q1437))),MAX(0,3*Q1437-(R1454-MIN(MAX(R1454,0),Q1437)))))</f>
        <v>38615.773328096679</v>
      </c>
      <c r="R1455" s="18">
        <f>IF($A1455&gt;40,R1454,(R1454-Q1437+Q1455)*(1+$C$7))</f>
        <v>118822.91112036594</v>
      </c>
      <c r="S1455" s="18">
        <f t="shared" si="173"/>
        <v>612305.78231988486</v>
      </c>
    </row>
    <row r="1456" spans="1:19">
      <c r="A1456" s="10">
        <f>17</f>
        <v>17</v>
      </c>
      <c r="B1456" s="18">
        <f>IF($A1456&gt;40,0,(B1437-MIN(MAX(C1455,0),B1437))+MIN(MAX(0,D1455-(B1437-MIN(MAX(C1455,0),B1437))),MAX(0,3*B1437-(C1455-MIN(MAX(C1455,0),B1437)))))</f>
        <v>29433</v>
      </c>
      <c r="C1456" s="18">
        <f>IF($A1456&gt;40,C1455,(C1455-B1437+B1456)*(1+$C$7))</f>
        <v>90567</v>
      </c>
      <c r="D1456" s="18">
        <f t="shared" si="168"/>
        <v>843430.10437732644</v>
      </c>
      <c r="E1456" s="18">
        <f>IF($A1456&gt;40,0,(E1437-MIN(MAX(F1455,0),E1437))+MIN(MAX(0,G1455-(E1437-MIN(MAX(F1455,0),E1437))),MAX(0,3*E1437-(F1455-MIN(MAX(F1455,0),E1437)))))</f>
        <v>75000</v>
      </c>
      <c r="F1456" s="18">
        <f>IF($A1456&gt;40,F1455,(F1455-E1437+E1456)*(1+$C$7))</f>
        <v>0</v>
      </c>
      <c r="G1456" s="18">
        <f t="shared" si="169"/>
        <v>-124219.45193848689</v>
      </c>
      <c r="H1456" s="18">
        <f>IF($A1456&gt;40,0,(H1437-MIN(MAX(I1455,0),H1437))+MIN(MAX(0,J1455-(H1437-MIN(MAX(I1455,0),H1437))),MAX(0,3*H1437-(I1455-MIN(MAX(I1455,0),H1437)))))</f>
        <v>39097.633013029495</v>
      </c>
      <c r="I1456" s="18">
        <f>IF($A1456&gt;40,I1455,(I1455-H1437+H1456)*(1+$C$7))</f>
        <v>120305.620531072</v>
      </c>
      <c r="J1456" s="18">
        <f t="shared" si="170"/>
        <v>577649.4037551278</v>
      </c>
      <c r="K1456" s="18">
        <f>IF($A1456&gt;40,0,(K1437-MIN(MAX(L1455,0),K1437))+MIN(MAX(0,M1455-(K1437-MIN(MAX(L1455,0),K1437))),MAX(0,3*K1437-(L1455-MIN(MAX(L1455,0),K1437)))))</f>
        <v>38615.346793939389</v>
      </c>
      <c r="L1456" s="18">
        <f>IF($A1456&gt;40,L1455,(L1455-K1437+K1456)*(1+$C$7))</f>
        <v>118821.59865072224</v>
      </c>
      <c r="M1456" s="18">
        <f t="shared" si="171"/>
        <v>590912.43909618945</v>
      </c>
      <c r="N1456" s="18">
        <f>IF($A1456&gt;40,0,(N1437-MIN(MAX(O1455,0),N1437))+MIN(MAX(0,P1455-(N1437-MIN(MAX(O1455,0),N1437))),MAX(0,3*N1437-(O1455-MIN(MAX(O1455,0),N1437)))))</f>
        <v>38615.763522150271</v>
      </c>
      <c r="O1456" s="18">
        <f>IF($A1456&gt;40,O1455,(O1455-N1437+N1456)*(1+$C$7))</f>
        <v>118822.88094691614</v>
      </c>
      <c r="P1456" s="18">
        <f t="shared" si="172"/>
        <v>590900.97892841045</v>
      </c>
      <c r="Q1456" s="18">
        <f>IF($A1456&gt;40,0,(Q1437-MIN(MAX(R1455,0),Q1437))+MIN(MAX(0,S1455-(Q1437-MIN(MAX(R1455,0),Q1437))),MAX(0,3*Q1437-(R1455-MIN(MAX(R1455,0),Q1437)))))</f>
        <v>38615.773328096679</v>
      </c>
      <c r="R1456" s="18">
        <f>IF($A1456&gt;40,R1455,(R1455-Q1437+Q1456)*(1+$C$7))</f>
        <v>118822.91112036594</v>
      </c>
      <c r="S1456" s="18">
        <f t="shared" si="173"/>
        <v>590900.70926154184</v>
      </c>
    </row>
    <row r="1457" spans="1:19">
      <c r="A1457" s="10">
        <f>18</f>
        <v>18</v>
      </c>
      <c r="B1457" s="18">
        <f>IF($A1457&gt;40,0,(B1437-MIN(MAX(C1456,0),B1437))+MIN(MAX(0,D1456-(B1437-MIN(MAX(C1456,0),B1437))),MAX(0,3*B1437-(C1456-MIN(MAX(C1456,0),B1437)))))</f>
        <v>29433</v>
      </c>
      <c r="C1457" s="18">
        <f>IF($A1457&gt;40,C1456,(C1456-B1437+B1457)*(1+$C$7))</f>
        <v>90567</v>
      </c>
      <c r="D1457" s="18">
        <f t="shared" si="168"/>
        <v>838417.01750864624</v>
      </c>
      <c r="E1457" s="18">
        <f>IF($A1457&gt;40,0,(E1437-MIN(MAX(F1456,0),E1437))+MIN(MAX(0,G1456-(E1437-MIN(MAX(F1456,0),E1437))),MAX(0,3*E1437-(F1456-MIN(MAX(F1456,0),E1437)))))</f>
        <v>75000</v>
      </c>
      <c r="F1457" s="18">
        <f>IF($A1457&gt;40,F1456,(F1456-E1437+E1457)*(1+$C$7))</f>
        <v>0</v>
      </c>
      <c r="G1457" s="18">
        <f t="shared" si="169"/>
        <v>-205196.0354966415</v>
      </c>
      <c r="H1457" s="18">
        <f>IF($A1457&gt;40,0,(H1437-MIN(MAX(I1456,0),H1437))+MIN(MAX(0,J1456-(H1437-MIN(MAX(I1456,0),H1437))),MAX(0,3*H1437-(I1456-MIN(MAX(I1456,0),H1437)))))</f>
        <v>39097.633013029495</v>
      </c>
      <c r="I1457" s="18">
        <f>IF($A1457&gt;40,I1456,(I1456-H1437+H1457)*(1+$C$7))</f>
        <v>120305.620531072</v>
      </c>
      <c r="J1457" s="18">
        <f t="shared" si="170"/>
        <v>554708.32386436127</v>
      </c>
      <c r="K1457" s="18">
        <f>IF($A1457&gt;40,0,(K1437-MIN(MAX(L1456,0),K1437))+MIN(MAX(0,M1456-(K1437-MIN(MAX(L1456,0),K1437))),MAX(0,3*K1437-(L1456-MIN(MAX(L1456,0),K1437)))))</f>
        <v>38615.346793939389</v>
      </c>
      <c r="L1457" s="18">
        <f>IF($A1457&gt;40,L1456,(L1456-K1437+K1457)*(1+$C$7))</f>
        <v>118821.59865072224</v>
      </c>
      <c r="M1457" s="18">
        <f t="shared" si="171"/>
        <v>568866.00507131766</v>
      </c>
      <c r="N1457" s="18">
        <f>IF($A1457&gt;40,0,(N1437-MIN(MAX(O1456,0),N1437))+MIN(MAX(0,P1456-(N1437-MIN(MAX(O1456,0),N1437))),MAX(0,3*N1437-(O1456-MIN(MAX(O1456,0),N1437)))))</f>
        <v>38615.763522150271</v>
      </c>
      <c r="O1457" s="18">
        <f>IF($A1457&gt;40,O1456,(O1456-N1437+N1457)*(1+$C$7))</f>
        <v>118822.88094691614</v>
      </c>
      <c r="P1457" s="18">
        <f t="shared" si="172"/>
        <v>568853.77186844801</v>
      </c>
      <c r="Q1457" s="18">
        <f>IF($A1457&gt;40,0,(Q1437-MIN(MAX(R1456,0),Q1437))+MIN(MAX(0,S1456-(Q1437-MIN(MAX(R1456,0),Q1437))),MAX(0,3*Q1437-(R1456-MIN(MAX(R1456,0),Q1437)))))</f>
        <v>38615.773328096679</v>
      </c>
      <c r="R1457" s="18">
        <f>IF($A1457&gt;40,R1456,(R1456-Q1437+Q1457)*(1+$C$7))</f>
        <v>118822.91112036594</v>
      </c>
      <c r="S1457" s="18">
        <f t="shared" si="173"/>
        <v>568853.48401144845</v>
      </c>
    </row>
    <row r="1458" spans="1:19">
      <c r="A1458" s="10">
        <f>19</f>
        <v>19</v>
      </c>
      <c r="B1458" s="18">
        <f>IF($A1458&gt;40,0,(B1437-MIN(MAX(C1457,0),B1437))+MIN(MAX(0,D1457-(B1437-MIN(MAX(C1457,0),B1437))),MAX(0,3*B1437-(C1457-MIN(MAX(C1457,0),B1437)))))</f>
        <v>29433</v>
      </c>
      <c r="C1458" s="18">
        <f>IF($A1458&gt;40,C1457,(C1457-B1437+B1458)*(1+$C$7))</f>
        <v>90567</v>
      </c>
      <c r="D1458" s="18">
        <f t="shared" si="168"/>
        <v>833253.53803390567</v>
      </c>
      <c r="E1458" s="18">
        <f>IF($A1458&gt;40,0,(E1437-MIN(MAX(F1457,0),E1437))+MIN(MAX(0,G1457-(E1437-MIN(MAX(F1457,0),E1437))),MAX(0,3*E1437-(F1457-MIN(MAX(F1457,0),E1437)))))</f>
        <v>75000</v>
      </c>
      <c r="F1458" s="18">
        <f>IF($A1458&gt;40,F1457,(F1457-E1437+E1458)*(1+$C$7))</f>
        <v>0</v>
      </c>
      <c r="G1458" s="18">
        <f t="shared" si="169"/>
        <v>-288601.9165615408</v>
      </c>
      <c r="H1458" s="18">
        <f>IF($A1458&gt;40,0,(H1437-MIN(MAX(I1457,0),H1437))+MIN(MAX(0,J1457-(H1437-MIN(MAX(I1457,0),H1437))),MAX(0,3*H1437-(I1457-MIN(MAX(I1457,0),H1437)))))</f>
        <v>39097.633013029495</v>
      </c>
      <c r="I1458" s="18">
        <f>IF($A1458&gt;40,I1457,(I1457-H1437+H1458)*(1+$C$7))</f>
        <v>120305.620531072</v>
      </c>
      <c r="J1458" s="18">
        <f t="shared" si="170"/>
        <v>531079.01157687174</v>
      </c>
      <c r="K1458" s="18">
        <f>IF($A1458&gt;40,0,(K1437-MIN(MAX(L1457,0),K1437))+MIN(MAX(0,M1457-(K1437-MIN(MAX(L1457,0),K1437))),MAX(0,3*K1437-(L1457-MIN(MAX(L1457,0),K1437)))))</f>
        <v>38615.346793939389</v>
      </c>
      <c r="L1458" s="18">
        <f>IF($A1458&gt;40,L1457,(L1457-K1437+K1458)*(1+$C$7))</f>
        <v>118821.59865072224</v>
      </c>
      <c r="M1458" s="18">
        <f t="shared" si="171"/>
        <v>546158.17802569969</v>
      </c>
      <c r="N1458" s="18">
        <f>IF($A1458&gt;40,0,(N1437-MIN(MAX(O1457,0),N1437))+MIN(MAX(0,P1457-(N1437-MIN(MAX(O1457,0),N1437))),MAX(0,3*N1437-(O1457-MIN(MAX(O1457,0),N1437)))))</f>
        <v>38615.763522150271</v>
      </c>
      <c r="O1458" s="18">
        <f>IF($A1458&gt;40,O1457,(O1457-N1437+N1458)*(1+$C$7))</f>
        <v>118822.88094691614</v>
      </c>
      <c r="P1458" s="18">
        <f t="shared" si="172"/>
        <v>546145.14859668678</v>
      </c>
      <c r="Q1458" s="18">
        <f>IF($A1458&gt;40,0,(Q1437-MIN(MAX(R1457,0),Q1437))+MIN(MAX(0,S1457-(Q1437-MIN(MAX(R1457,0),Q1437))),MAX(0,3*Q1437-(R1457-MIN(MAX(R1457,0),Q1437)))))</f>
        <v>38615.773328096679</v>
      </c>
      <c r="R1458" s="18">
        <f>IF($A1458&gt;40,R1457,(R1457-Q1437+Q1458)*(1+$C$7))</f>
        <v>118822.91112036594</v>
      </c>
      <c r="S1458" s="18">
        <f t="shared" si="173"/>
        <v>546144.84200385225</v>
      </c>
    </row>
    <row r="1459" spans="1:19">
      <c r="A1459" s="10">
        <f>20</f>
        <v>20</v>
      </c>
      <c r="B1459" s="18">
        <f>IF($A1459&gt;40,0,(B1437-MIN(MAX(C1458,0),B1437))+MIN(MAX(0,D1458-(B1437-MIN(MAX(C1458,0),B1437))),MAX(0,3*B1437-(C1458-MIN(MAX(C1458,0),B1437)))))</f>
        <v>29433</v>
      </c>
      <c r="C1459" s="18">
        <f>IF($A1459&gt;40,C1458,(C1458-B1437+B1459)*(1+$C$7))</f>
        <v>90567</v>
      </c>
      <c r="D1459" s="18">
        <f t="shared" si="168"/>
        <v>827935.15417492285</v>
      </c>
      <c r="E1459" s="18">
        <f>IF($A1459&gt;40,0,(E1437-MIN(MAX(F1458,0),E1437))+MIN(MAX(0,G1458-(E1437-MIN(MAX(F1458,0),E1437))),MAX(0,3*E1437-(F1458-MIN(MAX(F1458,0),E1437)))))</f>
        <v>75000</v>
      </c>
      <c r="F1459" s="18">
        <f>IF($A1459&gt;40,F1458,(F1458-E1437+E1459)*(1+$C$7))</f>
        <v>0</v>
      </c>
      <c r="G1459" s="18">
        <f t="shared" si="169"/>
        <v>-374509.97405838704</v>
      </c>
      <c r="H1459" s="18">
        <f>IF($A1459&gt;40,0,(H1437-MIN(MAX(I1458,0),H1437))+MIN(MAX(0,J1458-(H1437-MIN(MAX(I1458,0),H1437))),MAX(0,3*H1437-(I1458-MIN(MAX(I1458,0),H1437)))))</f>
        <v>39097.633013029495</v>
      </c>
      <c r="I1459" s="18">
        <f>IF($A1459&gt;40,I1458,(I1458-H1437+H1459)*(1+$C$7))</f>
        <v>120305.620531072</v>
      </c>
      <c r="J1459" s="18">
        <f t="shared" si="170"/>
        <v>506740.81992075755</v>
      </c>
      <c r="K1459" s="18">
        <f>IF($A1459&gt;40,0,(K1437-MIN(MAX(L1458,0),K1437))+MIN(MAX(0,M1458-(K1437-MIN(MAX(L1458,0),K1437))),MAX(0,3*K1437-(L1458-MIN(MAX(L1458,0),K1437)))))</f>
        <v>38615.346793939389</v>
      </c>
      <c r="L1459" s="18">
        <f>IF($A1459&gt;40,L1458,(L1458-K1437+K1459)*(1+$C$7))</f>
        <v>118821.59865072224</v>
      </c>
      <c r="M1459" s="18">
        <f t="shared" si="171"/>
        <v>522769.11616871314</v>
      </c>
      <c r="N1459" s="18">
        <f>IF($A1459&gt;40,0,(N1437-MIN(MAX(O1458,0),N1437))+MIN(MAX(0,P1458-(N1437-MIN(MAX(O1458,0),N1437))),MAX(0,3*N1437-(O1458-MIN(MAX(O1458,0),N1437)))))</f>
        <v>38615.763522150271</v>
      </c>
      <c r="O1459" s="18">
        <f>IF($A1459&gt;40,O1458,(O1458-N1437+N1459)*(1+$C$7))</f>
        <v>118822.88094691614</v>
      </c>
      <c r="P1459" s="18">
        <f t="shared" si="172"/>
        <v>522755.26662677259</v>
      </c>
      <c r="Q1459" s="18">
        <f>IF($A1459&gt;40,0,(Q1437-MIN(MAX(R1458,0),Q1437))+MIN(MAX(0,S1458-(Q1437-MIN(MAX(R1458,0),Q1437))),MAX(0,3*Q1437-(R1458-MIN(MAX(R1458,0),Q1437)))))</f>
        <v>38615.773328096679</v>
      </c>
      <c r="R1459" s="18">
        <f>IF($A1459&gt;40,R1458,(R1458-Q1437+Q1459)*(1+$C$7))</f>
        <v>118822.91112036594</v>
      </c>
      <c r="S1459" s="18">
        <f t="shared" si="173"/>
        <v>522754.94073602825</v>
      </c>
    </row>
    <row r="1460" spans="1:19">
      <c r="A1460" s="10">
        <f>21</f>
        <v>21</v>
      </c>
      <c r="B1460" s="18">
        <f>IF($A1460&gt;40,0,(B1437-MIN(MAX(C1459,0),B1437))+MIN(MAX(0,D1459-(B1437-MIN(MAX(C1459,0),B1437))),MAX(0,3*B1437-(C1459-MIN(MAX(C1459,0),B1437)))))</f>
        <v>29433</v>
      </c>
      <c r="C1460" s="18">
        <f>IF($A1460&gt;40,C1459,(C1459-B1437+B1460)*(1+$C$7))</f>
        <v>90567</v>
      </c>
      <c r="D1460" s="18">
        <f t="shared" si="168"/>
        <v>822457.21880017058</v>
      </c>
      <c r="E1460" s="18">
        <f>IF($A1460&gt;40,0,(E1437-MIN(MAX(F1459,0),E1437))+MIN(MAX(0,G1459-(E1437-MIN(MAX(F1459,0),E1437))),MAX(0,3*E1437-(F1459-MIN(MAX(F1459,0),E1437)))))</f>
        <v>75000</v>
      </c>
      <c r="F1460" s="18">
        <f>IF($A1460&gt;40,F1459,(F1459-E1437+E1460)*(1+$C$7))</f>
        <v>0</v>
      </c>
      <c r="G1460" s="18">
        <f t="shared" si="169"/>
        <v>-462995.27328013867</v>
      </c>
      <c r="H1460" s="18">
        <f>IF($A1460&gt;40,0,(H1437-MIN(MAX(I1459,0),H1437))+MIN(MAX(0,J1459-(H1437-MIN(MAX(I1459,0),H1437))),MAX(0,3*H1437-(I1459-MIN(MAX(I1459,0),H1437)))))</f>
        <v>39097.633013029495</v>
      </c>
      <c r="I1460" s="18">
        <f>IF($A1460&gt;40,I1459,(I1459-H1437+H1460)*(1+$C$7))</f>
        <v>120305.620531072</v>
      </c>
      <c r="J1460" s="18">
        <f t="shared" si="170"/>
        <v>481672.48251495993</v>
      </c>
      <c r="K1460" s="18">
        <f>IF($A1460&gt;40,0,(K1437-MIN(MAX(L1459,0),K1437))+MIN(MAX(0,M1459-(K1437-MIN(MAX(L1459,0),K1437))),MAX(0,3*K1437-(L1459-MIN(MAX(L1459,0),K1437)))))</f>
        <v>38615.346793939389</v>
      </c>
      <c r="L1460" s="18">
        <f>IF($A1460&gt;40,L1459,(L1459-K1437+K1460)*(1+$C$7))</f>
        <v>118821.59865072224</v>
      </c>
      <c r="M1460" s="18">
        <f t="shared" si="171"/>
        <v>498678.38245601696</v>
      </c>
      <c r="N1460" s="18">
        <f>IF($A1460&gt;40,0,(N1437-MIN(MAX(O1459,0),N1437))+MIN(MAX(0,P1459-(N1437-MIN(MAX(O1459,0),N1437))),MAX(0,3*N1437-(O1459-MIN(MAX(O1459,0),N1437)))))</f>
        <v>38615.763522150271</v>
      </c>
      <c r="O1460" s="18">
        <f>IF($A1460&gt;40,O1459,(O1459-N1437+N1460)*(1+$C$7))</f>
        <v>118822.88094691614</v>
      </c>
      <c r="P1460" s="18">
        <f t="shared" si="172"/>
        <v>498663.68819776096</v>
      </c>
      <c r="Q1460" s="18">
        <f>IF($A1460&gt;40,0,(Q1437-MIN(MAX(R1459,0),Q1437))+MIN(MAX(0,S1459-(Q1437-MIN(MAX(R1459,0),Q1437))),MAX(0,3*Q1437-(R1459-MIN(MAX(R1459,0),Q1437)))))</f>
        <v>38615.773328096679</v>
      </c>
      <c r="R1460" s="18">
        <f>IF($A1460&gt;40,R1459,(R1459-Q1437+Q1460)*(1+$C$7))</f>
        <v>118822.91112036594</v>
      </c>
      <c r="S1460" s="18">
        <f t="shared" si="173"/>
        <v>498663.34243016952</v>
      </c>
    </row>
    <row r="1461" spans="1:19">
      <c r="A1461" s="10">
        <f>22</f>
        <v>22</v>
      </c>
      <c r="B1461" s="18">
        <f>IF($A1461&gt;40,0,(B1437-MIN(MAX(C1460,0),B1437))+MIN(MAX(0,D1460-(B1437-MIN(MAX(C1460,0),B1437))),MAX(0,3*B1437-(C1460-MIN(MAX(C1460,0),B1437)))))</f>
        <v>29433</v>
      </c>
      <c r="C1461" s="18">
        <f>IF($A1461&gt;40,C1460,(C1460-B1437+B1461)*(1+$C$7))</f>
        <v>90567</v>
      </c>
      <c r="D1461" s="18">
        <f t="shared" si="168"/>
        <v>816814.94536417571</v>
      </c>
      <c r="E1461" s="18">
        <f>IF($A1461&gt;40,0,(E1437-MIN(MAX(F1460,0),E1437))+MIN(MAX(0,G1460-(E1437-MIN(MAX(F1460,0),E1437))),MAX(0,3*E1437-(F1460-MIN(MAX(F1460,0),E1437)))))</f>
        <v>75000</v>
      </c>
      <c r="F1461" s="18">
        <f>IF($A1461&gt;40,F1460,(F1460-E1437+E1461)*(1+$C$7))</f>
        <v>0</v>
      </c>
      <c r="G1461" s="18">
        <f t="shared" si="169"/>
        <v>-554135.13147854281</v>
      </c>
      <c r="H1461" s="18">
        <f>IF($A1461&gt;40,0,(H1437-MIN(MAX(I1460,0),H1437))+MIN(MAX(0,J1460-(H1437-MIN(MAX(I1460,0),H1437))),MAX(0,3*H1437-(I1460-MIN(MAX(I1460,0),H1437)))))</f>
        <v>39097.633013029495</v>
      </c>
      <c r="I1461" s="18">
        <f>IF($A1461&gt;40,I1460,(I1460-H1437+H1461)*(1+$C$7))</f>
        <v>120305.620531072</v>
      </c>
      <c r="J1461" s="18">
        <f t="shared" si="170"/>
        <v>455852.09498698835</v>
      </c>
      <c r="K1461" s="18">
        <f>IF($A1461&gt;40,0,(K1437-MIN(MAX(L1460,0),K1437))+MIN(MAX(0,M1460-(K1437-MIN(MAX(L1460,0),K1437))),MAX(0,3*K1437-(L1460-MIN(MAX(L1460,0),K1437)))))</f>
        <v>38615.346793939389</v>
      </c>
      <c r="L1461" s="18">
        <f>IF($A1461&gt;40,L1460,(L1460-K1437+K1461)*(1+$C$7))</f>
        <v>118821.59865072224</v>
      </c>
      <c r="M1461" s="18">
        <f t="shared" si="171"/>
        <v>473864.92673193995</v>
      </c>
      <c r="N1461" s="18">
        <f>IF($A1461&gt;40,0,(N1437-MIN(MAX(O1460,0),N1437))+MIN(MAX(0,P1460-(N1437-MIN(MAX(O1460,0),N1437))),MAX(0,3*N1437-(O1460-MIN(MAX(O1460,0),N1437)))))</f>
        <v>38615.763522150271</v>
      </c>
      <c r="O1461" s="18">
        <f>IF($A1461&gt;40,O1460,(O1460-N1437+N1461)*(1+$C$7))</f>
        <v>118822.88094691614</v>
      </c>
      <c r="P1461" s="18">
        <f t="shared" si="172"/>
        <v>473849.36241587903</v>
      </c>
      <c r="Q1461" s="18">
        <f>IF($A1461&gt;40,0,(Q1437-MIN(MAX(R1460,0),Q1437))+MIN(MAX(0,S1460-(Q1437-MIN(MAX(R1460,0),Q1437))),MAX(0,3*Q1437-(R1460-MIN(MAX(R1460,0),Q1437)))))</f>
        <v>38615.773328096679</v>
      </c>
      <c r="R1461" s="18">
        <f>IF($A1461&gt;40,R1460,(R1460-Q1437+Q1461)*(1+$C$7))</f>
        <v>118822.91112036594</v>
      </c>
      <c r="S1461" s="18">
        <f t="shared" si="173"/>
        <v>473848.99617513508</v>
      </c>
    </row>
    <row r="1462" spans="1:19">
      <c r="A1462" s="10">
        <f>23</f>
        <v>23</v>
      </c>
      <c r="B1462" s="18">
        <f>IF($A1462&gt;40,0,(B1437-MIN(MAX(C1461,0),B1437))+MIN(MAX(0,D1461-(B1437-MIN(MAX(C1461,0),B1437))),MAX(0,3*B1437-(C1461-MIN(MAX(C1461,0),B1437)))))</f>
        <v>29433</v>
      </c>
      <c r="C1462" s="18">
        <f>IF($A1462&gt;40,C1461,(C1461-B1437+B1462)*(1+$C$7))</f>
        <v>90567</v>
      </c>
      <c r="D1462" s="18">
        <f t="shared" si="168"/>
        <v>811003.40372510103</v>
      </c>
      <c r="E1462" s="18">
        <f>IF($A1462&gt;40,0,(E1437-MIN(MAX(F1461,0),E1437))+MIN(MAX(0,G1461-(E1437-MIN(MAX(F1461,0),E1437))),MAX(0,3*E1437-(F1461-MIN(MAX(F1461,0),E1437)))))</f>
        <v>75000</v>
      </c>
      <c r="F1462" s="18">
        <f>IF($A1462&gt;40,F1461,(F1461-E1437+E1462)*(1+$C$7))</f>
        <v>0</v>
      </c>
      <c r="G1462" s="18">
        <f t="shared" si="169"/>
        <v>-648009.18542289909</v>
      </c>
      <c r="H1462" s="18">
        <f>IF($A1462&gt;40,0,(H1437-MIN(MAX(I1461,0),H1437))+MIN(MAX(0,J1461-(H1437-MIN(MAX(I1461,0),H1437))),MAX(0,3*H1437-(I1461-MIN(MAX(I1461,0),H1437)))))</f>
        <v>39097.633013029495</v>
      </c>
      <c r="I1462" s="18">
        <f>IF($A1462&gt;40,I1461,(I1461-H1437+H1462)*(1+$C$7))</f>
        <v>120305.620531072</v>
      </c>
      <c r="J1462" s="18">
        <f t="shared" si="170"/>
        <v>429257.09583317768</v>
      </c>
      <c r="K1462" s="18">
        <f>IF($A1462&gt;40,0,(K1437-MIN(MAX(L1461,0),K1437))+MIN(MAX(0,M1461-(K1437-MIN(MAX(L1461,0),K1437))),MAX(0,3*K1437-(L1461-MIN(MAX(L1461,0),K1437)))))</f>
        <v>38615.346793939389</v>
      </c>
      <c r="L1462" s="18">
        <f>IF($A1462&gt;40,L1461,(L1461-K1437+K1462)*(1+$C$7))</f>
        <v>118821.59865072224</v>
      </c>
      <c r="M1462" s="18">
        <f t="shared" si="171"/>
        <v>448307.06733614055</v>
      </c>
      <c r="N1462" s="18">
        <f>IF($A1462&gt;40,0,(N1437-MIN(MAX(O1461,0),N1437))+MIN(MAX(0,P1461-(N1437-MIN(MAX(O1461,0),N1437))),MAX(0,3*N1437-(O1461-MIN(MAX(O1461,0),N1437)))))</f>
        <v>38615.763522150271</v>
      </c>
      <c r="O1462" s="18">
        <f>IF($A1462&gt;40,O1461,(O1461-N1437+N1462)*(1+$C$7))</f>
        <v>118822.88094691614</v>
      </c>
      <c r="P1462" s="18">
        <f t="shared" si="172"/>
        <v>448290.60686054063</v>
      </c>
      <c r="Q1462" s="18">
        <f>IF($A1462&gt;40,0,(Q1437-MIN(MAX(R1461,0),Q1437))+MIN(MAX(0,S1461-(Q1437-MIN(MAX(R1461,0),Q1437))),MAX(0,3*Q1437-(R1461-MIN(MAX(R1461,0),Q1437)))))</f>
        <v>38615.773328096679</v>
      </c>
      <c r="R1462" s="18">
        <f>IF($A1462&gt;40,R1461,(R1461-Q1437+Q1462)*(1+$C$7))</f>
        <v>118822.91112036594</v>
      </c>
      <c r="S1462" s="18">
        <f t="shared" si="173"/>
        <v>448290.21953244956</v>
      </c>
    </row>
    <row r="1463" spans="1:19">
      <c r="A1463" s="10">
        <f>24</f>
        <v>24</v>
      </c>
      <c r="B1463" s="18">
        <f>IF($A1463&gt;40,0,(B1437-MIN(MAX(C1462,0),B1437))+MIN(MAX(0,D1462-(B1437-MIN(MAX(C1462,0),B1437))),MAX(0,3*B1437-(C1462-MIN(MAX(C1462,0),B1437)))))</f>
        <v>29433</v>
      </c>
      <c r="C1463" s="18">
        <f>IF($A1463&gt;40,C1462,(C1462-B1437+B1463)*(1+$C$7))</f>
        <v>90567</v>
      </c>
      <c r="D1463" s="18">
        <f t="shared" si="168"/>
        <v>805017.51583685412</v>
      </c>
      <c r="E1463" s="18">
        <f>IF($A1463&gt;40,0,(E1437-MIN(MAX(F1462,0),E1437))+MIN(MAX(0,G1462-(E1437-MIN(MAX(F1462,0),E1437))),MAX(0,3*E1437-(F1462-MIN(MAX(F1462,0),E1437)))))</f>
        <v>75000</v>
      </c>
      <c r="F1463" s="18">
        <f>IF($A1463&gt;40,F1462,(F1462-E1437+E1463)*(1+$C$7))</f>
        <v>0</v>
      </c>
      <c r="G1463" s="18">
        <f t="shared" si="169"/>
        <v>-744699.46098558605</v>
      </c>
      <c r="H1463" s="18">
        <f>IF($A1463&gt;40,0,(H1437-MIN(MAX(I1462,0),H1437))+MIN(MAX(0,J1462-(H1437-MIN(MAX(I1462,0),H1437))),MAX(0,3*H1437-(I1462-MIN(MAX(I1462,0),H1437)))))</f>
        <v>39097.633013029495</v>
      </c>
      <c r="I1463" s="18">
        <f>IF($A1463&gt;40,I1462,(I1462-H1437+H1463)*(1+$C$7))</f>
        <v>120305.620531072</v>
      </c>
      <c r="J1463" s="18">
        <f t="shared" si="170"/>
        <v>401864.24670475267</v>
      </c>
      <c r="K1463" s="18">
        <f>IF($A1463&gt;40,0,(K1437-MIN(MAX(L1462,0),K1437))+MIN(MAX(0,M1462-(K1437-MIN(MAX(L1462,0),K1437))),MAX(0,3*K1437-(L1462-MIN(MAX(L1462,0),K1437)))))</f>
        <v>38615.346793939389</v>
      </c>
      <c r="L1463" s="18">
        <f>IF($A1463&gt;40,L1462,(L1462-K1437+K1463)*(1+$C$7))</f>
        <v>118821.59865072224</v>
      </c>
      <c r="M1463" s="18">
        <f t="shared" si="171"/>
        <v>421982.47215846722</v>
      </c>
      <c r="N1463" s="18">
        <f>IF($A1463&gt;40,0,(N1437-MIN(MAX(O1462,0),N1437))+MIN(MAX(0,P1462-(N1437-MIN(MAX(O1462,0),N1437))),MAX(0,3*N1437-(O1462-MIN(MAX(O1462,0),N1437)))))</f>
        <v>38615.763522150271</v>
      </c>
      <c r="O1463" s="18">
        <f>IF($A1463&gt;40,O1462,(O1462-N1437+N1463)*(1+$C$7))</f>
        <v>118822.88094691614</v>
      </c>
      <c r="P1463" s="18">
        <f t="shared" si="172"/>
        <v>421965.08863854205</v>
      </c>
      <c r="Q1463" s="18">
        <f>IF($A1463&gt;40,0,(Q1437-MIN(MAX(R1462,0),Q1437))+MIN(MAX(0,S1462-(Q1437-MIN(MAX(R1462,0),Q1437))),MAX(0,3*Q1437-(R1462-MIN(MAX(R1462,0),Q1437)))))</f>
        <v>38615.773328096679</v>
      </c>
      <c r="R1463" s="18">
        <f>IF($A1463&gt;40,R1462,(R1462-Q1437+Q1463)*(1+$C$7))</f>
        <v>118822.91112036594</v>
      </c>
      <c r="S1463" s="18">
        <f t="shared" si="173"/>
        <v>421964.67959048349</v>
      </c>
    </row>
    <row r="1464" spans="1:19">
      <c r="A1464" s="10">
        <f>25</f>
        <v>25</v>
      </c>
      <c r="B1464" s="18">
        <f>IF($A1464&gt;40,0,(B1437-MIN(MAX(C1463,0),B1437))+MIN(MAX(0,D1463-(B1437-MIN(MAX(C1463,0),B1437))),MAX(0,3*B1437-(C1463-MIN(MAX(C1463,0),B1437)))))</f>
        <v>29433</v>
      </c>
      <c r="C1464" s="18">
        <f>IF($A1464&gt;40,C1463,(C1463-B1437+B1464)*(1+$C$7))</f>
        <v>90567</v>
      </c>
      <c r="D1464" s="18">
        <f t="shared" si="168"/>
        <v>798852.05131195975</v>
      </c>
      <c r="E1464" s="18">
        <f>IF($A1464&gt;40,0,(E1437-MIN(MAX(F1463,0),E1437))+MIN(MAX(0,G1463-(E1437-MIN(MAX(F1463,0),E1437))),MAX(0,3*E1437-(F1463-MIN(MAX(F1463,0),E1437)))))</f>
        <v>75000</v>
      </c>
      <c r="F1464" s="18">
        <f>IF($A1464&gt;40,F1463,(F1463-E1437+E1464)*(1+$C$7))</f>
        <v>0</v>
      </c>
      <c r="G1464" s="18">
        <f t="shared" si="169"/>
        <v>-844290.44481515361</v>
      </c>
      <c r="H1464" s="18">
        <f>IF($A1464&gt;40,0,(H1437-MIN(MAX(I1463,0),H1437))+MIN(MAX(0,J1463-(H1437-MIN(MAX(I1463,0),H1437))),MAX(0,3*H1437-(I1463-MIN(MAX(I1463,0),H1437)))))</f>
        <v>39097.633013029495</v>
      </c>
      <c r="I1464" s="18">
        <f>IF($A1464&gt;40,I1463,(I1463-H1437+H1464)*(1+$C$7))</f>
        <v>120305.620531072</v>
      </c>
      <c r="J1464" s="18">
        <f t="shared" si="170"/>
        <v>373649.6121024749</v>
      </c>
      <c r="K1464" s="18">
        <f>IF($A1464&gt;40,0,(K1437-MIN(MAX(L1463,0),K1437))+MIN(MAX(0,M1463-(K1437-MIN(MAX(L1463,0),K1437))),MAX(0,3*K1437-(L1463-MIN(MAX(L1463,0),K1437)))))</f>
        <v>38615.346793939389</v>
      </c>
      <c r="L1464" s="18">
        <f>IF($A1464&gt;40,L1463,(L1463-K1437+K1464)*(1+$C$7))</f>
        <v>118821.59865072224</v>
      </c>
      <c r="M1464" s="18">
        <f t="shared" si="171"/>
        <v>394868.13912546367</v>
      </c>
      <c r="N1464" s="18">
        <f>IF($A1464&gt;40,0,(N1437-MIN(MAX(O1463,0),N1437))+MIN(MAX(0,P1463-(N1437-MIN(MAX(O1463,0),N1437))),MAX(0,3*N1437-(O1463-MIN(MAX(O1463,0),N1437)))))</f>
        <v>38615.763522150271</v>
      </c>
      <c r="O1464" s="18">
        <f>IF($A1464&gt;40,O1463,(O1463-N1437+N1464)*(1+$C$7))</f>
        <v>118822.88094691614</v>
      </c>
      <c r="P1464" s="18">
        <f t="shared" si="172"/>
        <v>394849.80486988352</v>
      </c>
      <c r="Q1464" s="18">
        <f>IF($A1464&gt;40,0,(Q1437-MIN(MAX(R1463,0),Q1437))+MIN(MAX(0,S1463-(Q1437-MIN(MAX(R1463,0),Q1437))),MAX(0,3*Q1437-(R1463-MIN(MAX(R1463,0),Q1437)))))</f>
        <v>38615.773328096679</v>
      </c>
      <c r="R1464" s="18">
        <f>IF($A1464&gt;40,R1463,(R1463-Q1437+Q1464)*(1+$C$7))</f>
        <v>118822.91112036594</v>
      </c>
      <c r="S1464" s="18">
        <f t="shared" si="173"/>
        <v>394849.37345025846</v>
      </c>
    </row>
    <row r="1465" spans="1:19">
      <c r="A1465" s="10">
        <f>26</f>
        <v>26</v>
      </c>
      <c r="B1465" s="18">
        <f>IF($A1465&gt;40,0,(B1437-MIN(MAX(C1464,0),B1437))+MIN(MAX(0,D1464-(B1437-MIN(MAX(C1464,0),B1437))),MAX(0,3*B1437-(C1464-MIN(MAX(C1464,0),B1437)))))</f>
        <v>29433</v>
      </c>
      <c r="C1465" s="18">
        <f>IF($A1465&gt;40,C1464,(C1464-B1437+B1465)*(1+$C$7))</f>
        <v>90567</v>
      </c>
      <c r="D1465" s="18">
        <f t="shared" si="168"/>
        <v>792501.62285131856</v>
      </c>
      <c r="E1465" s="18">
        <f>IF($A1465&gt;40,0,(E1437-MIN(MAX(F1464,0),E1437))+MIN(MAX(0,G1464-(E1437-MIN(MAX(F1464,0),E1437))),MAX(0,3*E1437-(F1464-MIN(MAX(F1464,0),E1437)))))</f>
        <v>75000</v>
      </c>
      <c r="F1465" s="18">
        <f>IF($A1465&gt;40,F1464,(F1464-E1437+E1465)*(1+$C$7))</f>
        <v>0</v>
      </c>
      <c r="G1465" s="18">
        <f t="shared" si="169"/>
        <v>-946869.15815960825</v>
      </c>
      <c r="H1465" s="18">
        <f>IF($A1465&gt;40,0,(H1437-MIN(MAX(I1464,0),H1437))+MIN(MAX(0,J1464-(H1437-MIN(MAX(I1464,0),H1437))),MAX(0,3*H1437-(I1464-MIN(MAX(I1464,0),H1437)))))</f>
        <v>39097.633013029495</v>
      </c>
      <c r="I1465" s="18">
        <f>IF($A1465&gt;40,I1464,(I1464-H1437+H1465)*(1+$C$7))</f>
        <v>120305.620531072</v>
      </c>
      <c r="J1465" s="18">
        <f t="shared" si="170"/>
        <v>344588.53846212878</v>
      </c>
      <c r="K1465" s="18">
        <f>IF($A1465&gt;40,0,(K1437-MIN(MAX(L1464,0),K1437))+MIN(MAX(0,M1464-(K1437-MIN(MAX(L1464,0),K1437))),MAX(0,3*K1437-(L1464-MIN(MAX(L1464,0),K1437)))))</f>
        <v>38615.346793939389</v>
      </c>
      <c r="L1465" s="18">
        <f>IF($A1465&gt;40,L1464,(L1464-K1437+K1465)*(1+$C$7))</f>
        <v>118821.59865072224</v>
      </c>
      <c r="M1465" s="18">
        <f t="shared" si="171"/>
        <v>366940.37610147003</v>
      </c>
      <c r="N1465" s="18">
        <f>IF($A1465&gt;40,0,(N1437-MIN(MAX(O1464,0),N1437))+MIN(MAX(0,P1464-(N1437-MIN(MAX(O1464,0),N1437))),MAX(0,3*N1437-(O1464-MIN(MAX(O1464,0),N1437)))))</f>
        <v>38615.763522150271</v>
      </c>
      <c r="O1465" s="18">
        <f>IF($A1465&gt;40,O1464,(O1464-N1437+N1465)*(1+$C$7))</f>
        <v>118822.88094691614</v>
      </c>
      <c r="P1465" s="18">
        <f t="shared" si="172"/>
        <v>366921.06258816522</v>
      </c>
      <c r="Q1465" s="18">
        <f>IF($A1465&gt;40,0,(Q1437-MIN(MAX(R1464,0),Q1437))+MIN(MAX(0,S1464-(Q1437-MIN(MAX(R1464,0),Q1437))),MAX(0,3*Q1437-(R1464-MIN(MAX(R1464,0),Q1437)))))</f>
        <v>38615.773328096679</v>
      </c>
      <c r="R1465" s="18">
        <f>IF($A1465&gt;40,R1464,(R1464-Q1437+Q1465)*(1+$C$7))</f>
        <v>118822.91112036594</v>
      </c>
      <c r="S1465" s="18">
        <f t="shared" si="173"/>
        <v>366920.60812582663</v>
      </c>
    </row>
    <row r="1466" spans="1:19">
      <c r="A1466" s="10">
        <f>27</f>
        <v>27</v>
      </c>
      <c r="B1466" s="18">
        <f>IF($A1466&gt;40,0,(B1437-MIN(MAX(C1465,0),B1437))+MIN(MAX(0,D1465-(B1437-MIN(MAX(C1465,0),B1437))),MAX(0,3*B1437-(C1465-MIN(MAX(C1465,0),B1437)))))</f>
        <v>29433</v>
      </c>
      <c r="C1466" s="18">
        <f>IF($A1466&gt;40,C1465,(C1465-B1437+B1466)*(1+$C$7))</f>
        <v>90567</v>
      </c>
      <c r="D1466" s="18">
        <f t="shared" si="168"/>
        <v>785960.68153685809</v>
      </c>
      <c r="E1466" s="18">
        <f>IF($A1466&gt;40,0,(E1437-MIN(MAX(F1465,0),E1437))+MIN(MAX(0,G1465-(E1437-MIN(MAX(F1465,0),E1437))),MAX(0,3*E1437-(F1465-MIN(MAX(F1465,0),E1437)))))</f>
        <v>75000</v>
      </c>
      <c r="F1466" s="18">
        <f>IF($A1466&gt;40,F1465,(F1465-E1437+E1466)*(1+$C$7))</f>
        <v>0</v>
      </c>
      <c r="G1466" s="18">
        <f t="shared" si="169"/>
        <v>-1052525.2329043965</v>
      </c>
      <c r="H1466" s="18">
        <f>IF($A1466&gt;40,0,(H1437-MIN(MAX(I1465,0),H1437))+MIN(MAX(0,J1465-(H1437-MIN(MAX(I1465,0),H1437))),MAX(0,3*H1437-(I1465-MIN(MAX(I1465,0),H1437)))))</f>
        <v>39097.633013029495</v>
      </c>
      <c r="I1466" s="18">
        <f>IF($A1466&gt;40,I1465,(I1465-H1437+H1466)*(1+$C$7))</f>
        <v>120305.620531072</v>
      </c>
      <c r="J1466" s="18">
        <f t="shared" si="170"/>
        <v>314655.63261257223</v>
      </c>
      <c r="K1466" s="18">
        <f>IF($A1466&gt;40,0,(K1437-MIN(MAX(L1465,0),K1437))+MIN(MAX(0,M1465-(K1437-MIN(MAX(L1465,0),K1437))),MAX(0,3*K1437-(L1465-MIN(MAX(L1465,0),K1437)))))</f>
        <v>38615.346793939389</v>
      </c>
      <c r="L1466" s="18">
        <f>IF($A1466&gt;40,L1465,(L1465-K1437+K1466)*(1+$C$7))</f>
        <v>118821.59865072224</v>
      </c>
      <c r="M1466" s="18">
        <f t="shared" si="171"/>
        <v>338174.78018675651</v>
      </c>
      <c r="N1466" s="18">
        <f>IF($A1466&gt;40,0,(N1437-MIN(MAX(O1465,0),N1437))+MIN(MAX(0,P1465-(N1437-MIN(MAX(O1465,0),N1437))),MAX(0,3*N1437-(O1465-MIN(MAX(O1465,0),N1437)))))</f>
        <v>38615.763522150271</v>
      </c>
      <c r="O1466" s="18">
        <f>IF($A1466&gt;40,O1465,(O1465-N1437+N1466)*(1+$C$7))</f>
        <v>118822.88094691614</v>
      </c>
      <c r="P1466" s="18">
        <f t="shared" si="172"/>
        <v>338154.45803799538</v>
      </c>
      <c r="Q1466" s="18">
        <f>IF($A1466&gt;40,0,(Q1437-MIN(MAX(R1465,0),Q1437))+MIN(MAX(0,S1465-(Q1437-MIN(MAX(R1465,0),Q1437))),MAX(0,3*Q1437-(R1465-MIN(MAX(R1465,0),Q1437)))))</f>
        <v>38615.773328096679</v>
      </c>
      <c r="R1466" s="18">
        <f>IF($A1466&gt;40,R1465,(R1465-Q1437+Q1466)*(1+$C$7))</f>
        <v>118822.91112036594</v>
      </c>
      <c r="S1466" s="18">
        <f t="shared" si="173"/>
        <v>338153.97984166187</v>
      </c>
    </row>
    <row r="1467" spans="1:19">
      <c r="A1467" s="10">
        <f>28</f>
        <v>28</v>
      </c>
      <c r="B1467" s="18">
        <f>IF($A1467&gt;40,0,(B1437-MIN(MAX(C1466,0),B1437))+MIN(MAX(0,D1466-(B1437-MIN(MAX(C1466,0),B1437))),MAX(0,3*B1437-(C1466-MIN(MAX(C1466,0),B1437)))))</f>
        <v>29433</v>
      </c>
      <c r="C1467" s="18">
        <f>IF($A1467&gt;40,C1466,(C1466-B1437+B1467)*(1+$C$7))</f>
        <v>90567</v>
      </c>
      <c r="D1467" s="18">
        <f t="shared" si="168"/>
        <v>779223.51198296389</v>
      </c>
      <c r="E1467" s="18">
        <f>IF($A1467&gt;40,0,(E1437-MIN(MAX(F1466,0),E1437))+MIN(MAX(0,G1466-(E1437-MIN(MAX(F1466,0),E1437))),MAX(0,3*E1437-(F1466-MIN(MAX(F1466,0),E1437)))))</f>
        <v>75000</v>
      </c>
      <c r="F1467" s="18">
        <f>IF($A1467&gt;40,F1466,(F1466-E1437+E1467)*(1+$C$7))</f>
        <v>0</v>
      </c>
      <c r="G1467" s="18">
        <f t="shared" si="169"/>
        <v>-1161350.9898915284</v>
      </c>
      <c r="H1467" s="18">
        <f>IF($A1467&gt;40,0,(H1437-MIN(MAX(I1466,0),H1437))+MIN(MAX(0,J1466-(H1437-MIN(MAX(I1466,0),H1437))),MAX(0,3*H1437-(I1466-MIN(MAX(I1466,0),H1437)))))</f>
        <v>39097.633013029495</v>
      </c>
      <c r="I1467" s="18">
        <f>IF($A1467&gt;40,I1466,(I1466-H1437+H1467)*(1+$C$7))</f>
        <v>120305.620531072</v>
      </c>
      <c r="J1467" s="18">
        <f t="shared" si="170"/>
        <v>283824.73958752898</v>
      </c>
      <c r="K1467" s="18">
        <f>IF($A1467&gt;40,0,(K1437-MIN(MAX(L1466,0),K1437))+MIN(MAX(0,M1466-(K1437-MIN(MAX(L1466,0),K1437))),MAX(0,3*K1437-(L1466-MIN(MAX(L1466,0),K1437)))))</f>
        <v>38615.346793939389</v>
      </c>
      <c r="L1467" s="18">
        <f>IF($A1467&gt;40,L1466,(L1466-K1437+K1467)*(1+$C$7))</f>
        <v>118821.59865072224</v>
      </c>
      <c r="M1467" s="18">
        <f t="shared" si="171"/>
        <v>308546.21639460168</v>
      </c>
      <c r="N1467" s="18">
        <f>IF($A1467&gt;40,0,(N1437-MIN(MAX(O1466,0),N1437))+MIN(MAX(0,P1466-(N1437-MIN(MAX(O1466,0),N1437))),MAX(0,3*N1437-(O1466-MIN(MAX(O1466,0),N1437)))))</f>
        <v>38615.763522150271</v>
      </c>
      <c r="O1467" s="18">
        <f>IF($A1467&gt;40,O1466,(O1466-N1437+N1467)*(1+$C$7))</f>
        <v>118822.88094691614</v>
      </c>
      <c r="P1467" s="18">
        <f t="shared" si="172"/>
        <v>308524.85535132047</v>
      </c>
      <c r="Q1467" s="18">
        <f>IF($A1467&gt;40,0,(Q1437-MIN(MAX(R1466,0),Q1437))+MIN(MAX(0,S1466-(Q1437-MIN(MAX(R1466,0),Q1437))),MAX(0,3*Q1437-(R1466-MIN(MAX(R1466,0),Q1437)))))</f>
        <v>38615.773328096679</v>
      </c>
      <c r="R1467" s="18">
        <f>IF($A1467&gt;40,R1466,(R1466-Q1437+Q1467)*(1+$C$7))</f>
        <v>118822.91112036594</v>
      </c>
      <c r="S1467" s="18">
        <f t="shared" si="173"/>
        <v>308524.35270897218</v>
      </c>
    </row>
    <row r="1468" spans="1:19">
      <c r="A1468" s="10">
        <f>29</f>
        <v>29</v>
      </c>
      <c r="B1468" s="18">
        <f>IF($A1468&gt;40,0,(B1437-MIN(MAX(C1467,0),B1437))+MIN(MAX(0,D1467-(B1437-MIN(MAX(C1467,0),B1437))),MAX(0,3*B1437-(C1467-MIN(MAX(C1467,0),B1437)))))</f>
        <v>29433</v>
      </c>
      <c r="C1468" s="18">
        <f>IF($A1468&gt;40,C1467,(C1467-B1437+B1468)*(1+$C$7))</f>
        <v>90567</v>
      </c>
      <c r="D1468" s="18">
        <f t="shared" si="168"/>
        <v>772284.22734245285</v>
      </c>
      <c r="E1468" s="18">
        <f>IF($A1468&gt;40,0,(E1437-MIN(MAX(F1467,0),E1437))+MIN(MAX(0,G1467-(E1437-MIN(MAX(F1467,0),E1437))),MAX(0,3*E1437-(F1467-MIN(MAX(F1467,0),E1437)))))</f>
        <v>75000</v>
      </c>
      <c r="F1468" s="18">
        <f>IF($A1468&gt;40,F1467,(F1467-E1437+E1468)*(1+$C$7))</f>
        <v>0</v>
      </c>
      <c r="G1468" s="18">
        <f t="shared" si="169"/>
        <v>-1273441.5195882742</v>
      </c>
      <c r="H1468" s="18">
        <f>IF($A1468&gt;40,0,(H1437-MIN(MAX(I1467,0),H1437))+MIN(MAX(0,J1467-(H1437-MIN(MAX(I1467,0),H1437))),MAX(0,3*H1437-(I1467-MIN(MAX(I1467,0),H1437)))))</f>
        <v>39097.633013029495</v>
      </c>
      <c r="I1468" s="18">
        <f>IF($A1468&gt;40,I1467,(I1467-H1437+H1468)*(1+$C$7))</f>
        <v>120305.620531072</v>
      </c>
      <c r="J1468" s="18">
        <f t="shared" si="170"/>
        <v>252068.91977173448</v>
      </c>
      <c r="K1468" s="18">
        <f>IF($A1468&gt;40,0,(K1437-MIN(MAX(L1467,0),K1437))+MIN(MAX(0,M1467-(K1437-MIN(MAX(L1467,0),K1437))),MAX(0,3*K1437-(L1467-MIN(MAX(L1467,0),K1437)))))</f>
        <v>38615.346793939389</v>
      </c>
      <c r="L1468" s="18">
        <f>IF($A1468&gt;40,L1467,(L1467-K1437+K1468)*(1+$C$7))</f>
        <v>118821.59865072224</v>
      </c>
      <c r="M1468" s="18">
        <f t="shared" si="171"/>
        <v>278028.79568868212</v>
      </c>
      <c r="N1468" s="18">
        <f>IF($A1468&gt;40,0,(N1437-MIN(MAX(O1467,0),N1437))+MIN(MAX(0,P1467-(N1437-MIN(MAX(O1467,0),N1437))),MAX(0,3*N1437-(O1467-MIN(MAX(O1467,0),N1437)))))</f>
        <v>38615.763522150271</v>
      </c>
      <c r="O1468" s="18">
        <f>IF($A1468&gt;40,O1467,(O1467-N1437+N1468)*(1+$C$7))</f>
        <v>118822.88094691614</v>
      </c>
      <c r="P1468" s="18">
        <f t="shared" si="172"/>
        <v>278006.36458404531</v>
      </c>
      <c r="Q1468" s="18">
        <f>IF($A1468&gt;40,0,(Q1437-MIN(MAX(R1467,0),Q1437))+MIN(MAX(0,S1467-(Q1437-MIN(MAX(R1467,0),Q1437))),MAX(0,3*Q1437-(R1467-MIN(MAX(R1467,0),Q1437)))))</f>
        <v>38615.773328096679</v>
      </c>
      <c r="R1468" s="18">
        <f>IF($A1468&gt;40,R1467,(R1467-Q1437+Q1468)*(1+$C$7))</f>
        <v>118822.91112036594</v>
      </c>
      <c r="S1468" s="18">
        <f t="shared" si="173"/>
        <v>278005.8367623018</v>
      </c>
    </row>
    <row r="1469" spans="1:19">
      <c r="A1469" s="10">
        <f>30</f>
        <v>30</v>
      </c>
      <c r="B1469" s="18">
        <f>IF($A1469&gt;40,0,(B1437-MIN(MAX(C1468,0),B1437))+MIN(MAX(0,D1468-(B1437-MIN(MAX(C1468,0),B1437))),MAX(0,3*B1437-(C1468-MIN(MAX(C1468,0),B1437)))))</f>
        <v>29433</v>
      </c>
      <c r="C1469" s="18">
        <f>IF($A1469&gt;40,C1468,(C1468-B1437+B1469)*(1+$C$7))</f>
        <v>90567</v>
      </c>
      <c r="D1469" s="18">
        <f t="shared" si="168"/>
        <v>765136.76416272647</v>
      </c>
      <c r="E1469" s="18">
        <f>IF($A1469&gt;40,0,(E1437-MIN(MAX(F1468,0),E1437))+MIN(MAX(0,G1468-(E1437-MIN(MAX(F1468,0),E1437))),MAX(0,3*E1437-(F1468-MIN(MAX(F1468,0),E1437)))))</f>
        <v>75000</v>
      </c>
      <c r="F1469" s="18">
        <f>IF($A1469&gt;40,F1468,(F1468-E1437+E1469)*(1+$C$7))</f>
        <v>0</v>
      </c>
      <c r="G1469" s="18">
        <f t="shared" si="169"/>
        <v>-1388894.7651759225</v>
      </c>
      <c r="H1469" s="18">
        <f>IF($A1469&gt;40,0,(H1437-MIN(MAX(I1468,0),H1437))+MIN(MAX(0,J1468-(H1437-MIN(MAX(I1468,0),H1437))),MAX(0,3*H1437-(I1468-MIN(MAX(I1468,0),H1437)))))</f>
        <v>39097.633013029495</v>
      </c>
      <c r="I1469" s="18">
        <f>IF($A1469&gt;40,I1468,(I1468-H1437+H1469)*(1+$C$7))</f>
        <v>120305.620531072</v>
      </c>
      <c r="J1469" s="18">
        <f t="shared" si="170"/>
        <v>219360.42536146613</v>
      </c>
      <c r="K1469" s="18">
        <f>IF($A1469&gt;40,0,(K1437-MIN(MAX(L1468,0),K1437))+MIN(MAX(0,M1468-(K1437-MIN(MAX(L1468,0),K1437))),MAX(0,3*K1437-(L1468-MIN(MAX(L1468,0),K1437)))))</f>
        <v>38615.346793939389</v>
      </c>
      <c r="L1469" s="18">
        <f>IF($A1469&gt;40,L1468,(L1468-K1437+K1469)*(1+$C$7))</f>
        <v>118821.59865072224</v>
      </c>
      <c r="M1469" s="18">
        <f t="shared" si="171"/>
        <v>246595.85236158501</v>
      </c>
      <c r="N1469" s="18">
        <f>IF($A1469&gt;40,0,(N1437-MIN(MAX(O1468,0),N1437))+MIN(MAX(0,P1468-(N1437-MIN(MAX(O1468,0),N1437))),MAX(0,3*N1437-(O1468-MIN(MAX(O1468,0),N1437)))))</f>
        <v>38615.763522150271</v>
      </c>
      <c r="O1469" s="18">
        <f>IF($A1469&gt;40,O1468,(O1468-N1437+N1469)*(1+$C$7))</f>
        <v>118822.88094691614</v>
      </c>
      <c r="P1469" s="18">
        <f t="shared" si="172"/>
        <v>246572.31909375187</v>
      </c>
      <c r="Q1469" s="18">
        <f>IF($A1469&gt;40,0,(Q1437-MIN(MAX(R1468,0),Q1437))+MIN(MAX(0,S1468-(Q1437-MIN(MAX(R1468,0),Q1437))),MAX(0,3*Q1437-(R1468-MIN(MAX(R1468,0),Q1437)))))</f>
        <v>38615.773328096679</v>
      </c>
      <c r="R1469" s="18">
        <f>IF($A1469&gt;40,R1468,(R1468-Q1437+Q1469)*(1+$C$7))</f>
        <v>118822.91112036594</v>
      </c>
      <c r="S1469" s="18">
        <f t="shared" si="173"/>
        <v>246571.76533723131</v>
      </c>
    </row>
    <row r="1470" spans="1:19">
      <c r="A1470" s="10">
        <f>31</f>
        <v>31</v>
      </c>
      <c r="B1470" s="18">
        <f>IF($A1470&gt;40,0,(B1437-MIN(MAX(C1469,0),B1437))+MIN(MAX(0,D1469-(B1437-MIN(MAX(C1469,0),B1437))),MAX(0,3*B1437-(C1469-MIN(MAX(C1469,0),B1437)))))</f>
        <v>29433</v>
      </c>
      <c r="C1470" s="18">
        <f>IF($A1470&gt;40,C1469,(C1469-B1437+B1470)*(1+$C$7))</f>
        <v>90567</v>
      </c>
      <c r="D1470" s="18">
        <f t="shared" si="168"/>
        <v>757774.87708760833</v>
      </c>
      <c r="E1470" s="18">
        <f>IF($A1470&gt;40,0,(E1437-MIN(MAX(F1469,0),E1437))+MIN(MAX(0,G1469-(E1437-MIN(MAX(F1469,0),E1437))),MAX(0,3*E1437-(F1469-MIN(MAX(F1469,0),E1437)))))</f>
        <v>75000</v>
      </c>
      <c r="F1470" s="18">
        <f>IF($A1470&gt;40,F1469,(F1469-E1437+E1470)*(1+$C$7))</f>
        <v>0</v>
      </c>
      <c r="G1470" s="18">
        <f t="shared" si="169"/>
        <v>-1507811.6081312003</v>
      </c>
      <c r="H1470" s="18">
        <f>IF($A1470&gt;40,0,(H1437-MIN(MAX(I1469,0),H1437))+MIN(MAX(0,J1469-(H1437-MIN(MAX(I1469,0),H1437))),MAX(0,3*H1437-(I1469-MIN(MAX(I1469,0),H1437)))))</f>
        <v>39097.633013029495</v>
      </c>
      <c r="I1470" s="18">
        <f>IF($A1470&gt;40,I1469,(I1469-H1437+H1470)*(1+$C$7))</f>
        <v>120305.620531072</v>
      </c>
      <c r="J1470" s="18">
        <f t="shared" si="170"/>
        <v>185670.67611888974</v>
      </c>
      <c r="K1470" s="18">
        <f>IF($A1470&gt;40,0,(K1437-MIN(MAX(L1469,0),K1437))+MIN(MAX(0,M1469-(K1437-MIN(MAX(L1469,0),K1437))),MAX(0,3*K1437-(L1469-MIN(MAX(L1469,0),K1437)))))</f>
        <v>38615.346793939389</v>
      </c>
      <c r="L1470" s="18">
        <f>IF($A1470&gt;40,L1469,(L1469-K1437+K1470)*(1+$C$7))</f>
        <v>118821.59865072224</v>
      </c>
      <c r="M1470" s="18">
        <f t="shared" si="171"/>
        <v>214219.92073467499</v>
      </c>
      <c r="N1470" s="18">
        <f>IF($A1470&gt;40,0,(N1437-MIN(MAX(O1469,0),N1437))+MIN(MAX(0,P1469-(N1437-MIN(MAX(O1469,0),N1437))),MAX(0,3*N1437-(O1469-MIN(MAX(O1469,0),N1437)))))</f>
        <v>38615.763522150271</v>
      </c>
      <c r="O1470" s="18">
        <f>IF($A1470&gt;40,O1469,(O1469-N1437+N1470)*(1+$C$7))</f>
        <v>118822.88094691614</v>
      </c>
      <c r="P1470" s="18">
        <f t="shared" si="172"/>
        <v>214195.25223874967</v>
      </c>
      <c r="Q1470" s="18">
        <f>IF($A1470&gt;40,0,(Q1437-MIN(MAX(R1469,0),Q1437))+MIN(MAX(0,S1469-(Q1437-MIN(MAX(R1469,0),Q1437))),MAX(0,3*Q1437-(R1469-MIN(MAX(R1469,0),Q1437)))))</f>
        <v>38615.773328096679</v>
      </c>
      <c r="R1470" s="18">
        <f>IF($A1470&gt;40,R1469,(R1469-Q1437+Q1470)*(1+$C$7))</f>
        <v>118822.91112036594</v>
      </c>
      <c r="S1470" s="18">
        <f t="shared" si="173"/>
        <v>214194.67176940865</v>
      </c>
    </row>
    <row r="1471" spans="1:19">
      <c r="A1471" s="10">
        <f>32</f>
        <v>32</v>
      </c>
      <c r="B1471" s="18">
        <f>IF($A1471&gt;40,0,(B1437-MIN(MAX(C1470,0),B1437))+MIN(MAX(0,D1470-(B1437-MIN(MAX(C1470,0),B1437))),MAX(0,3*B1437-(C1470-MIN(MAX(C1470,0),B1437)))))</f>
        <v>29433</v>
      </c>
      <c r="C1471" s="18">
        <f>IF($A1471&gt;40,C1470,(C1470-B1437+B1471)*(1+$C$7))</f>
        <v>90567</v>
      </c>
      <c r="D1471" s="18">
        <f t="shared" si="168"/>
        <v>750192.13340023661</v>
      </c>
      <c r="E1471" s="18">
        <f>IF($A1471&gt;40,0,(E1437-MIN(MAX(F1470,0),E1437))+MIN(MAX(0,G1470-(E1437-MIN(MAX(F1470,0),E1437))),MAX(0,3*E1437-(F1470-MIN(MAX(F1470,0),E1437)))))</f>
        <v>75000</v>
      </c>
      <c r="F1471" s="18">
        <f>IF($A1471&gt;40,F1470,(F1470-E1437+E1471)*(1+$C$7))</f>
        <v>0</v>
      </c>
      <c r="G1471" s="18">
        <f t="shared" si="169"/>
        <v>-1630295.9563751363</v>
      </c>
      <c r="H1471" s="18">
        <f>IF($A1471&gt;40,0,(H1437-MIN(MAX(I1470,0),H1437))+MIN(MAX(0,J1470-(H1437-MIN(MAX(I1470,0),H1437))),MAX(0,3*H1437-(I1470-MIN(MAX(I1470,0),H1437)))))</f>
        <v>39097.633013029495</v>
      </c>
      <c r="I1471" s="18">
        <f>IF($A1471&gt;40,I1470,(I1470-H1437+H1471)*(1+$C$7))</f>
        <v>120305.620531072</v>
      </c>
      <c r="J1471" s="18">
        <f t="shared" si="170"/>
        <v>150970.23439903604</v>
      </c>
      <c r="K1471" s="18">
        <f>IF($A1471&gt;40,0,(K1437-MIN(MAX(L1470,0),K1437))+MIN(MAX(0,M1470-(K1437-MIN(MAX(L1470,0),K1437))),MAX(0,3*K1437-(L1470-MIN(MAX(L1470,0),K1437)))))</f>
        <v>38615.346793939389</v>
      </c>
      <c r="L1471" s="18">
        <f>IF($A1471&gt;40,L1470,(L1470-K1437+K1471)*(1+$C$7))</f>
        <v>118821.59865072224</v>
      </c>
      <c r="M1471" s="18">
        <f t="shared" si="171"/>
        <v>180872.71115895768</v>
      </c>
      <c r="N1471" s="18">
        <f>IF($A1471&gt;40,0,(N1437-MIN(MAX(O1470,0),N1437))+MIN(MAX(0,P1470-(N1437-MIN(MAX(O1470,0),N1437))),MAX(0,3*N1437-(O1470-MIN(MAX(O1470,0),N1437)))))</f>
        <v>38615.763522150271</v>
      </c>
      <c r="O1471" s="18">
        <f>IF($A1471&gt;40,O1470,(O1470-N1437+N1471)*(1+$C$7))</f>
        <v>118822.88094691614</v>
      </c>
      <c r="P1471" s="18">
        <f t="shared" si="172"/>
        <v>180846.8733780974</v>
      </c>
      <c r="Q1471" s="18">
        <f>IF($A1471&gt;40,0,(Q1437-MIN(MAX(R1470,0),Q1437))+MIN(MAX(0,S1470-(Q1437-MIN(MAX(R1470,0),Q1437))),MAX(0,3*Q1437-(R1470-MIN(MAX(R1470,0),Q1437)))))</f>
        <v>38615.773328096679</v>
      </c>
      <c r="R1471" s="18">
        <f>IF($A1471&gt;40,R1470,(R1470-Q1437+Q1471)*(1+$C$7))</f>
        <v>118822.91112036594</v>
      </c>
      <c r="S1471" s="18">
        <f t="shared" si="173"/>
        <v>180846.26539455133</v>
      </c>
    </row>
    <row r="1472" spans="1:19">
      <c r="A1472" s="10">
        <f>33</f>
        <v>33</v>
      </c>
      <c r="B1472" s="18">
        <f>IF($A1472&gt;40,0,(B1437-MIN(MAX(C1471,0),B1437))+MIN(MAX(0,D1471-(B1437-MIN(MAX(C1471,0),B1437))),MAX(0,3*B1437-(C1471-MIN(MAX(C1471,0),B1437)))))</f>
        <v>29433</v>
      </c>
      <c r="C1472" s="18">
        <f>IF($A1472&gt;40,C1471,(C1471-B1437+B1472)*(1+$C$7))</f>
        <v>90567</v>
      </c>
      <c r="D1472" s="18">
        <f t="shared" si="168"/>
        <v>742381.9074022437</v>
      </c>
      <c r="E1472" s="18">
        <f>IF($A1472&gt;40,0,(E1437-MIN(MAX(F1471,0),E1437))+MIN(MAX(0,G1471-(E1437-MIN(MAX(F1471,0),E1437))),MAX(0,3*E1437-(F1471-MIN(MAX(F1471,0),E1437)))))</f>
        <v>75000</v>
      </c>
      <c r="F1472" s="18">
        <f>IF($A1472&gt;40,F1471,(F1471-E1437+E1472)*(1+$C$7))</f>
        <v>0</v>
      </c>
      <c r="G1472" s="18">
        <f t="shared" si="169"/>
        <v>-1756454.8350663905</v>
      </c>
      <c r="H1472" s="18">
        <f>IF($A1472&gt;40,0,(H1437-MIN(MAX(I1471,0),H1437))+MIN(MAX(0,J1471-(H1437-MIN(MAX(I1471,0),H1437))),MAX(0,3*H1437-(I1471-MIN(MAX(I1471,0),H1437)))))</f>
        <v>39097.633013029495</v>
      </c>
      <c r="I1472" s="18">
        <f>IF($A1472&gt;40,I1471,(I1471-H1437+H1472)*(1+$C$7))</f>
        <v>120305.620531072</v>
      </c>
      <c r="J1472" s="18">
        <f t="shared" si="170"/>
        <v>115228.77942758675</v>
      </c>
      <c r="K1472" s="18">
        <f>IF($A1472&gt;40,0,(K1437-MIN(MAX(L1471,0),K1437))+MIN(MAX(0,M1471-(K1437-MIN(MAX(L1471,0),K1437))),MAX(0,3*K1437-(L1471-MIN(MAX(L1471,0),K1437)))))</f>
        <v>38615.346793939389</v>
      </c>
      <c r="L1472" s="18">
        <f>IF($A1472&gt;40,L1471,(L1471-K1437+K1472)*(1+$C$7))</f>
        <v>118821.59865072224</v>
      </c>
      <c r="M1472" s="18">
        <f t="shared" si="171"/>
        <v>146525.08529596883</v>
      </c>
      <c r="N1472" s="18">
        <f>IF($A1472&gt;40,0,(N1437-MIN(MAX(O1471,0),N1437))+MIN(MAX(0,P1471-(N1437-MIN(MAX(O1471,0),N1437))),MAX(0,3*N1437-(O1471-MIN(MAX(O1471,0),N1437)))))</f>
        <v>38615.763522150271</v>
      </c>
      <c r="O1472" s="18">
        <f>IF($A1472&gt;40,O1471,(O1471-N1437+N1472)*(1+$C$7))</f>
        <v>118822.88094691614</v>
      </c>
      <c r="P1472" s="18">
        <f t="shared" si="172"/>
        <v>146498.04315162555</v>
      </c>
      <c r="Q1472" s="18">
        <f>IF($A1472&gt;40,0,(Q1437-MIN(MAX(R1471,0),Q1437))+MIN(MAX(0,S1471-(Q1437-MIN(MAX(R1471,0),Q1437))),MAX(0,3*Q1437-(R1471-MIN(MAX(R1471,0),Q1437)))))</f>
        <v>38615.773328096679</v>
      </c>
      <c r="R1472" s="18">
        <f>IF($A1472&gt;40,R1471,(R1471-Q1437+Q1472)*(1+$C$7))</f>
        <v>118822.91112036594</v>
      </c>
      <c r="S1472" s="18">
        <f t="shared" si="173"/>
        <v>146497.40682844832</v>
      </c>
    </row>
    <row r="1473" spans="1:19">
      <c r="A1473" s="10">
        <f>34</f>
        <v>34</v>
      </c>
      <c r="B1473" s="18">
        <f>IF($A1473&gt;40,0,(B1437-MIN(MAX(C1472,0),B1437))+MIN(MAX(0,D1472-(B1437-MIN(MAX(C1472,0),B1437))),MAX(0,3*B1437-(C1472-MIN(MAX(C1472,0),B1437)))))</f>
        <v>29433</v>
      </c>
      <c r="C1473" s="18">
        <f>IF($A1473&gt;40,C1472,(C1472-B1437+B1473)*(1+$C$7))</f>
        <v>90567</v>
      </c>
      <c r="D1473" s="18">
        <f t="shared" si="168"/>
        <v>734337.37462431099</v>
      </c>
      <c r="E1473" s="18">
        <f>IF($A1473&gt;40,0,(E1437-MIN(MAX(F1472,0),E1437))+MIN(MAX(0,G1472-(E1437-MIN(MAX(F1472,0),E1437))),MAX(0,3*E1437-(F1472-MIN(MAX(F1472,0),E1437)))))</f>
        <v>75000</v>
      </c>
      <c r="F1473" s="18">
        <f>IF($A1473&gt;40,F1472,(F1472-E1437+E1473)*(1+$C$7))</f>
        <v>0</v>
      </c>
      <c r="G1473" s="18">
        <f t="shared" si="169"/>
        <v>-1886398.4801183823</v>
      </c>
      <c r="H1473" s="18">
        <f>IF($A1473&gt;40,0,(H1437-MIN(MAX(I1472,0),H1437))+MIN(MAX(0,J1472-(H1437-MIN(MAX(I1472,0),H1437))),MAX(0,3*H1437-(I1472-MIN(MAX(I1472,0),H1437)))))</f>
        <v>39097.633013029495</v>
      </c>
      <c r="I1473" s="18">
        <f>IF($A1473&gt;40,I1472,(I1472-H1437+H1473)*(1+$C$7))</f>
        <v>120305.620531072</v>
      </c>
      <c r="J1473" s="18">
        <f t="shared" si="170"/>
        <v>78415.080806993967</v>
      </c>
      <c r="K1473" s="18">
        <f>IF($A1473&gt;40,0,(K1437-MIN(MAX(L1472,0),K1437))+MIN(MAX(0,M1472-(K1437-MIN(MAX(L1472,0),K1437))),MAX(0,3*K1437-(L1472-MIN(MAX(L1472,0),K1437)))))</f>
        <v>38615.346793939389</v>
      </c>
      <c r="L1473" s="18">
        <f>IF($A1473&gt;40,L1472,(L1472-K1437+K1473)*(1+$C$7))</f>
        <v>118821.59865072224</v>
      </c>
      <c r="M1473" s="18">
        <f t="shared" si="171"/>
        <v>111147.03065709033</v>
      </c>
      <c r="N1473" s="18">
        <f>IF($A1473&gt;40,0,(N1437-MIN(MAX(O1472,0),N1437))+MIN(MAX(0,P1472-(N1437-MIN(MAX(O1472,0),N1437))),MAX(0,3*N1437-(O1472-MIN(MAX(O1472,0),N1437)))))</f>
        <v>38615.763522150271</v>
      </c>
      <c r="O1473" s="18">
        <f>IF($A1473&gt;40,O1472,(O1472-N1437+N1473)*(1+$C$7))</f>
        <v>118822.88094691614</v>
      </c>
      <c r="P1473" s="18">
        <f t="shared" si="172"/>
        <v>111118.74801835953</v>
      </c>
      <c r="Q1473" s="18">
        <f>IF($A1473&gt;40,0,(Q1437-MIN(MAX(R1472,0),Q1437))+MIN(MAX(0,S1472-(Q1437-MIN(MAX(R1472,0),Q1437))),MAX(0,3*Q1437-(R1472-MIN(MAX(R1472,0),Q1437)))))</f>
        <v>38615.773328096679</v>
      </c>
      <c r="R1473" s="18">
        <f>IF($A1473&gt;40,R1472,(R1472-Q1437+Q1473)*(1+$C$7))</f>
        <v>118822.91112036594</v>
      </c>
      <c r="S1473" s="18">
        <f t="shared" si="173"/>
        <v>111118.0825053622</v>
      </c>
    </row>
    <row r="1474" spans="1:19">
      <c r="A1474" s="10">
        <f>35</f>
        <v>35</v>
      </c>
      <c r="B1474" s="18">
        <f>IF($A1474&gt;40,0,(B1437-MIN(MAX(C1473,0),B1437))+MIN(MAX(0,D1473-(B1437-MIN(MAX(C1473,0),B1437))),MAX(0,3*B1437-(C1473-MIN(MAX(C1473,0),B1437)))))</f>
        <v>29433</v>
      </c>
      <c r="C1474" s="18">
        <f>IF($A1474&gt;40,C1473,(C1473-B1437+B1474)*(1+$C$7))</f>
        <v>90567</v>
      </c>
      <c r="D1474" s="18">
        <f t="shared" si="168"/>
        <v>726051.50586304034</v>
      </c>
      <c r="E1474" s="18">
        <f>IF($A1474&gt;40,0,(E1437-MIN(MAX(F1473,0),E1437))+MIN(MAX(0,G1473-(E1437-MIN(MAX(F1473,0),E1437))),MAX(0,3*E1437-(F1473-MIN(MAX(F1473,0),E1437)))))</f>
        <v>75000</v>
      </c>
      <c r="F1474" s="18">
        <f>IF($A1474&gt;40,F1473,(F1473-E1437+E1474)*(1+$C$7))</f>
        <v>0</v>
      </c>
      <c r="G1474" s="18">
        <f t="shared" si="169"/>
        <v>-2020240.4345219338</v>
      </c>
      <c r="H1474" s="18">
        <f>IF($A1474&gt;40,0,(H1437-MIN(MAX(I1473,0),H1437))+MIN(MAX(0,J1473-(H1437-MIN(MAX(I1473,0),H1437))),MAX(0,3*H1437-(I1473-MIN(MAX(I1473,0),H1437)))))</f>
        <v>39097.633013029495</v>
      </c>
      <c r="I1474" s="18">
        <f>IF($A1474&gt;40,I1473,(I1473-H1437+H1474)*(1+$C$7))</f>
        <v>120305.620531072</v>
      </c>
      <c r="J1474" s="18">
        <f t="shared" si="170"/>
        <v>40496.971227783404</v>
      </c>
      <c r="K1474" s="18">
        <f>IF($A1474&gt;40,0,(K1437-MIN(MAX(L1473,0),K1437))+MIN(MAX(0,M1473-(K1437-MIN(MAX(L1473,0),K1437))),MAX(0,3*K1437-(L1473-MIN(MAX(L1473,0),K1437)))))</f>
        <v>38615.346793939389</v>
      </c>
      <c r="L1474" s="18">
        <f>IF($A1474&gt;40,L1473,(L1473-K1437+K1474)*(1+$C$7))</f>
        <v>118821.59865072224</v>
      </c>
      <c r="M1474" s="18">
        <f t="shared" si="171"/>
        <v>74707.63437904547</v>
      </c>
      <c r="N1474" s="18">
        <f>IF($A1474&gt;40,0,(N1437-MIN(MAX(O1473,0),N1437))+MIN(MAX(0,P1473-(N1437-MIN(MAX(O1473,0),N1437))),MAX(0,3*N1437-(O1473-MIN(MAX(O1473,0),N1437)))))</f>
        <v>38615.763522150271</v>
      </c>
      <c r="O1474" s="18">
        <f>IF($A1474&gt;40,O1473,(O1473-N1437+N1474)*(1+$C$7))</f>
        <v>118822.88094691614</v>
      </c>
      <c r="P1474" s="18">
        <f t="shared" si="172"/>
        <v>74678.074031095544</v>
      </c>
      <c r="Q1474" s="18">
        <f>IF($A1474&gt;40,0,(Q1437-MIN(MAX(R1473,0),Q1437))+MIN(MAX(0,S1473-(Q1437-MIN(MAX(R1473,0),Q1437))),MAX(0,3*Q1437-(R1473-MIN(MAX(R1473,0),Q1437)))))</f>
        <v>38615.773328096679</v>
      </c>
      <c r="R1474" s="18">
        <f>IF($A1474&gt;40,R1473,(R1473-Q1437+Q1474)*(1+$C$7))</f>
        <v>118822.91112036594</v>
      </c>
      <c r="S1474" s="18">
        <f t="shared" si="173"/>
        <v>74677.378452583478</v>
      </c>
    </row>
    <row r="1475" spans="1:19">
      <c r="A1475" s="10">
        <f>36</f>
        <v>36</v>
      </c>
      <c r="B1475" s="18">
        <f>IF($A1475&gt;40,0,(B1437-MIN(MAX(C1474,0),B1437))+MIN(MAX(0,D1474-(B1437-MIN(MAX(C1474,0),B1437))),MAX(0,3*B1437-(C1474-MIN(MAX(C1474,0),B1437)))))</f>
        <v>29433</v>
      </c>
      <c r="C1475" s="18">
        <f>IF($A1475&gt;40,C1474,(C1474-B1437+B1475)*(1+$C$7))</f>
        <v>90567</v>
      </c>
      <c r="D1475" s="18">
        <f t="shared" si="168"/>
        <v>717517.0610389316</v>
      </c>
      <c r="E1475" s="18">
        <f>IF($A1475&gt;40,0,(E1437-MIN(MAX(F1474,0),E1437))+MIN(MAX(0,G1474-(E1437-MIN(MAX(F1474,0),E1437))),MAX(0,3*E1437-(F1474-MIN(MAX(F1474,0),E1437)))))</f>
        <v>75000</v>
      </c>
      <c r="F1475" s="18">
        <f>IF($A1475&gt;40,F1474,(F1474-E1437+E1475)*(1+$C$7))</f>
        <v>0</v>
      </c>
      <c r="G1475" s="18">
        <f t="shared" si="169"/>
        <v>-2158097.647557592</v>
      </c>
      <c r="H1475" s="18">
        <f>IF($A1475&gt;40,0,(H1437-MIN(MAX(I1474,0),H1437))+MIN(MAX(0,J1474-(H1437-MIN(MAX(I1474,0),H1437))),MAX(0,3*H1437-(I1474-MIN(MAX(I1474,0),H1437)))))</f>
        <v>39097.633013029495</v>
      </c>
      <c r="I1475" s="18">
        <f>IF($A1475&gt;40,I1474,(I1474-H1437+H1475)*(1+$C$7))</f>
        <v>120305.620531072</v>
      </c>
      <c r="J1475" s="18">
        <f t="shared" si="170"/>
        <v>1441.318361196526</v>
      </c>
      <c r="K1475" s="18">
        <f>IF($A1475&gt;40,0,(K1437-MIN(MAX(L1474,0),K1437))+MIN(MAX(0,M1474-(K1437-MIN(MAX(L1474,0),K1437))),MAX(0,3*K1437-(L1474-MIN(MAX(L1474,0),K1437)))))</f>
        <v>38615.346793939389</v>
      </c>
      <c r="L1475" s="18">
        <f>IF($A1475&gt;40,L1474,(L1474-K1437+K1475)*(1+$C$7))</f>
        <v>118821.59865072224</v>
      </c>
      <c r="M1475" s="18">
        <f t="shared" si="171"/>
        <v>37175.056212659263</v>
      </c>
      <c r="N1475" s="18">
        <f>IF($A1475&gt;40,0,(N1437-MIN(MAX(O1474,0),N1437))+MIN(MAX(0,P1474-(N1437-MIN(MAX(O1474,0),N1437))),MAX(0,3*N1437-(O1474-MIN(MAX(O1474,0),N1437)))))</f>
        <v>38615.763522150271</v>
      </c>
      <c r="O1475" s="18">
        <f>IF($A1475&gt;40,O1474,(O1474-N1437+N1475)*(1+$C$7))</f>
        <v>118822.88094691614</v>
      </c>
      <c r="P1475" s="18">
        <f t="shared" si="172"/>
        <v>37144.179824213636</v>
      </c>
      <c r="Q1475" s="18">
        <f>IF($A1475&gt;40,0,(Q1437-MIN(MAX(R1474,0),Q1437))+MIN(MAX(0,S1474-(Q1437-MIN(MAX(R1474,0),Q1437))),MAX(0,3*Q1437-(R1474-MIN(MAX(R1474,0),Q1437)))))</f>
        <v>38615.773328096679</v>
      </c>
      <c r="R1475" s="18">
        <f>IF($A1475&gt;40,R1474,(R1474-Q1437+Q1475)*(1+$C$7))</f>
        <v>118822.91112036594</v>
      </c>
      <c r="S1475" s="18">
        <f t="shared" si="173"/>
        <v>37143.453278221401</v>
      </c>
    </row>
    <row r="1476" spans="1:19">
      <c r="A1476" s="10">
        <f>37</f>
        <v>37</v>
      </c>
      <c r="B1476" s="18">
        <f>IF($A1476&gt;40,0,(B1437-MIN(MAX(C1475,0),B1437))+MIN(MAX(0,D1475-(B1437-MIN(MAX(C1475,0),B1437))),MAX(0,3*B1437-(C1475-MIN(MAX(C1475,0),B1437)))))</f>
        <v>29433</v>
      </c>
      <c r="C1476" s="18">
        <f>IF($A1476&gt;40,C1475,(C1475-B1437+B1476)*(1+$C$7))</f>
        <v>90567</v>
      </c>
      <c r="D1476" s="18">
        <f t="shared" si="168"/>
        <v>708726.58287009958</v>
      </c>
      <c r="E1476" s="18">
        <f>IF($A1476&gt;40,0,(E1437-MIN(MAX(F1475,0),E1437))+MIN(MAX(0,G1475-(E1437-MIN(MAX(F1475,0),E1437))),MAX(0,3*E1437-(F1475-MIN(MAX(F1475,0),E1437)))))</f>
        <v>75000</v>
      </c>
      <c r="F1476" s="18">
        <f>IF($A1476&gt;40,F1475,(F1475-E1437+E1476)*(1+$C$7))</f>
        <v>0</v>
      </c>
      <c r="G1476" s="18">
        <f t="shared" si="169"/>
        <v>-2300090.5769843198</v>
      </c>
      <c r="H1476" s="18">
        <f>IF($A1476&gt;40,0,(H1437-MIN(MAX(I1475,0),H1437))+MIN(MAX(0,J1475-(H1437-MIN(MAX(I1475,0),H1437))),MAX(0,3*H1437-(I1475-MIN(MAX(I1475,0),H1437)))))</f>
        <v>1441.318361196526</v>
      </c>
      <c r="I1476" s="18">
        <f>IF($A1476&gt;40,I1475,(I1475-H1437+H1476)*(1+$C$7))</f>
        <v>82412.071096932472</v>
      </c>
      <c r="J1476" s="18">
        <f t="shared" si="170"/>
        <v>0</v>
      </c>
      <c r="K1476" s="18">
        <f>IF($A1476&gt;40,0,(K1437-MIN(MAX(L1475,0),K1437))+MIN(MAX(0,M1475-(K1437-MIN(MAX(L1475,0),K1437))),MAX(0,3*K1437-(L1475-MIN(MAX(L1475,0),K1437)))))</f>
        <v>37175.056212659263</v>
      </c>
      <c r="L1476" s="18">
        <f>IF($A1476&gt;40,L1475,(L1475-K1437+K1476)*(1+$C$7))</f>
        <v>117372.23423878005</v>
      </c>
      <c r="M1476" s="18">
        <f t="shared" si="171"/>
        <v>0</v>
      </c>
      <c r="N1476" s="18">
        <f>IF($A1476&gt;40,0,(N1437-MIN(MAX(O1475,0),N1437))+MIN(MAX(0,P1475-(N1437-MIN(MAX(O1475,0),N1437))),MAX(0,3*N1437-(O1475-MIN(MAX(O1475,0),N1437)))))</f>
        <v>37144.179824213636</v>
      </c>
      <c r="O1476" s="18">
        <f>IF($A1476&gt;40,O1475,(O1475-N1437+N1476)*(1+$C$7))</f>
        <v>117342.02627168249</v>
      </c>
      <c r="P1476" s="18">
        <f t="shared" si="172"/>
        <v>0</v>
      </c>
      <c r="Q1476" s="18">
        <f>IF($A1476&gt;40,0,(Q1437-MIN(MAX(R1475,0),Q1437))+MIN(MAX(0,S1475-(Q1437-MIN(MAX(R1475,0),Q1437))),MAX(0,3*Q1437-(R1475-MIN(MAX(R1475,0),Q1437)))))</f>
        <v>37143.453278221401</v>
      </c>
      <c r="R1476" s="18">
        <f>IF($A1476&gt;40,R1475,(R1475-Q1437+Q1476)*(1+$C$7))</f>
        <v>117341.31545417645</v>
      </c>
      <c r="S1476" s="18">
        <f t="shared" si="173"/>
        <v>0</v>
      </c>
    </row>
    <row r="1477" spans="1:19">
      <c r="A1477" s="10">
        <f>38</f>
        <v>38</v>
      </c>
      <c r="B1477" s="18">
        <f>IF($A1477&gt;40,0,(B1437-MIN(MAX(C1476,0),B1437))+MIN(MAX(0,D1476-(B1437-MIN(MAX(C1476,0),B1437))),MAX(0,3*B1437-(C1476-MIN(MAX(C1476,0),B1437)))))</f>
        <v>29433</v>
      </c>
      <c r="C1477" s="18">
        <f>IF($A1477&gt;40,C1476,(C1476-B1437+B1477)*(1+$C$7))</f>
        <v>90567</v>
      </c>
      <c r="D1477" s="18">
        <f t="shared" si="168"/>
        <v>699672.39035620261</v>
      </c>
      <c r="E1477" s="18">
        <f>IF($A1477&gt;40,0,(E1437-MIN(MAX(F1476,0),E1437))+MIN(MAX(0,G1476-(E1437-MIN(MAX(F1476,0),E1437))),MAX(0,3*E1437-(F1476-MIN(MAX(F1476,0),E1437)))))</f>
        <v>75000</v>
      </c>
      <c r="F1477" s="18">
        <f>IF($A1477&gt;40,F1476,(F1476-E1437+E1477)*(1+$C$7))</f>
        <v>0</v>
      </c>
      <c r="G1477" s="18">
        <f t="shared" si="169"/>
        <v>-2446343.2942938493</v>
      </c>
      <c r="H1477" s="18">
        <f>IF($A1477&gt;40,0,(H1437-MIN(MAX(I1476,0),H1437))+MIN(MAX(0,J1476-(H1437-MIN(MAX(I1476,0),H1437))),MAX(0,3*H1437-(I1476-MIN(MAX(I1476,0),H1437)))))</f>
        <v>0</v>
      </c>
      <c r="I1477" s="18">
        <f>IF($A1477&gt;40,I1476,(I1476-H1437+H1477)*(1+$C$7))</f>
        <v>42829.393634485816</v>
      </c>
      <c r="J1477" s="18">
        <f t="shared" si="170"/>
        <v>0</v>
      </c>
      <c r="K1477" s="18">
        <f>IF($A1477&gt;40,0,(K1437-MIN(MAX(L1476,0),K1437))+MIN(MAX(0,M1476-(K1437-MIN(MAX(L1476,0),K1437))),MAX(0,3*K1437-(L1476-MIN(MAX(L1476,0),K1437)))))</f>
        <v>0</v>
      </c>
      <c r="L1477" s="18">
        <f>IF($A1477&gt;40,L1476,(L1476-K1437+K1477)*(1+$C$7))</f>
        <v>78504.479764243602</v>
      </c>
      <c r="M1477" s="18">
        <f t="shared" si="171"/>
        <v>0</v>
      </c>
      <c r="N1477" s="18">
        <f>IF($A1477&gt;40,0,(N1437-MIN(MAX(O1476,0),N1437))+MIN(MAX(0,P1476-(N1437-MIN(MAX(O1476,0),N1437))),MAX(0,3*N1437-(O1476-MIN(MAX(O1476,0),N1437)))))</f>
        <v>0</v>
      </c>
      <c r="O1477" s="18">
        <f>IF($A1477&gt;40,O1476,(O1476-N1437+N1477)*(1+$C$7))</f>
        <v>78473.654054888713</v>
      </c>
      <c r="P1477" s="18">
        <f t="shared" si="172"/>
        <v>0</v>
      </c>
      <c r="Q1477" s="18">
        <f>IF($A1477&gt;40,0,(Q1437-MIN(MAX(R1476,0),Q1437))+MIN(MAX(0,S1476-(Q1437-MIN(MAX(R1476,0),Q1437))),MAX(0,3*Q1437-(R1476-MIN(MAX(R1476,0),Q1437)))))</f>
        <v>0</v>
      </c>
      <c r="R1477" s="18">
        <f>IF($A1477&gt;40,R1476,(R1476-Q1437+Q1477)*(1+$C$7))</f>
        <v>78472.928701415774</v>
      </c>
      <c r="S1477" s="18">
        <f t="shared" si="173"/>
        <v>0</v>
      </c>
    </row>
    <row r="1478" spans="1:19">
      <c r="A1478" s="10">
        <f>39</f>
        <v>39</v>
      </c>
      <c r="B1478" s="18">
        <f>IF($A1478&gt;40,0,(B1437-MIN(MAX(C1477,0),B1437))+MIN(MAX(0,D1477-(B1437-MIN(MAX(C1477,0),B1437))),MAX(0,3*B1437-(C1477-MIN(MAX(C1477,0),B1437)))))</f>
        <v>29433</v>
      </c>
      <c r="C1478" s="18">
        <f>IF($A1478&gt;40,C1477,(C1477-B1437+B1478)*(1+$C$7))</f>
        <v>90567</v>
      </c>
      <c r="D1478" s="18">
        <f t="shared" si="168"/>
        <v>690346.57206688868</v>
      </c>
      <c r="E1478" s="18">
        <f>IF($A1478&gt;40,0,(E1437-MIN(MAX(F1477,0),E1437))+MIN(MAX(0,G1477-(E1437-MIN(MAX(F1477,0),E1437))),MAX(0,3*E1437-(F1477-MIN(MAX(F1477,0),E1437)))))</f>
        <v>75000</v>
      </c>
      <c r="F1478" s="18">
        <f>IF($A1478&gt;40,F1477,(F1477-E1437+E1478)*(1+$C$7))</f>
        <v>0</v>
      </c>
      <c r="G1478" s="18">
        <f t="shared" si="169"/>
        <v>-2596983.5931226648</v>
      </c>
      <c r="H1478" s="18">
        <f>IF($A1478&gt;40,0,(H1437-MIN(MAX(I1477,0),H1437))+MIN(MAX(0,J1477-(H1437-MIN(MAX(I1477,0),H1437))),MAX(0,3*H1437-(I1477-MIN(MAX(I1477,0),H1437)))))</f>
        <v>0</v>
      </c>
      <c r="I1478" s="18">
        <f>IF($A1478&gt;40,I1477,(I1477-H1437+H1478)*(1+$C$7))</f>
        <v>2997.3453040257436</v>
      </c>
      <c r="J1478" s="18">
        <f t="shared" si="170"/>
        <v>0</v>
      </c>
      <c r="K1478" s="18">
        <f>IF($A1478&gt;40,0,(K1437-MIN(MAX(L1477,0),K1437))+MIN(MAX(0,M1477-(K1437-MIN(MAX(L1477,0),K1437))),MAX(0,3*K1437-(L1477-MIN(MAX(L1477,0),K1437)))))</f>
        <v>0</v>
      </c>
      <c r="L1478" s="18">
        <f>IF($A1478&gt;40,L1477,(L1477-K1437+K1478)*(1+$C$7))</f>
        <v>39391.858436517585</v>
      </c>
      <c r="M1478" s="18">
        <f t="shared" si="171"/>
        <v>0</v>
      </c>
      <c r="N1478" s="18">
        <f>IF($A1478&gt;40,0,(N1437-MIN(MAX(O1477,0),N1437))+MIN(MAX(0,P1477-(N1437-MIN(MAX(O1477,0),N1437))),MAX(0,3*N1437-(O1477-MIN(MAX(O1477,0),N1437)))))</f>
        <v>0</v>
      </c>
      <c r="O1478" s="18">
        <f>IF($A1478&gt;40,O1477,(O1477-N1437+N1478)*(1+$C$7))</f>
        <v>39360.411093129129</v>
      </c>
      <c r="P1478" s="18">
        <f t="shared" si="172"/>
        <v>0</v>
      </c>
      <c r="Q1478" s="18">
        <f>IF($A1478&gt;40,0,(Q1437-MIN(MAX(R1477,0),Q1437))+MIN(MAX(0,S1477-(Q1437-MIN(MAX(R1477,0),Q1437))),MAX(0,3*Q1437-(R1477-MIN(MAX(R1477,0),Q1437)))))</f>
        <v>0</v>
      </c>
      <c r="R1478" s="18">
        <f>IF($A1478&gt;40,R1477,(R1477-Q1437+Q1478)*(1+$C$7))</f>
        <v>39359.671112112708</v>
      </c>
      <c r="S1478" s="18">
        <f t="shared" si="173"/>
        <v>0</v>
      </c>
    </row>
    <row r="1479" spans="1:19">
      <c r="A1479" s="10">
        <f>40</f>
        <v>40</v>
      </c>
      <c r="B1479" s="18">
        <f>IF($A1479&gt;40,0,(B1437-MIN(MAX(C1478,0),B1437))+MIN(MAX(0,D1478-(B1437-MIN(MAX(C1478,0),B1437))),MAX(0,3*B1437-(C1478-MIN(MAX(C1478,0),B1437)))))</f>
        <v>29433</v>
      </c>
      <c r="C1479" s="18">
        <f>IF($A1479&gt;40,C1478,(C1478-B1437+B1479)*(1+$C$7))</f>
        <v>90567</v>
      </c>
      <c r="D1479" s="18">
        <f t="shared" si="168"/>
        <v>680740.97922889539</v>
      </c>
      <c r="E1479" s="18">
        <f>IF($A1479&gt;40,0,(E1437-MIN(MAX(F1478,0),E1437))+MIN(MAX(0,G1478-(E1437-MIN(MAX(F1478,0),E1437))),MAX(0,3*E1437-(F1478-MIN(MAX(F1478,0),E1437)))))</f>
        <v>75000</v>
      </c>
      <c r="F1479" s="18">
        <f>IF($A1479&gt;40,F1478,(F1478-E1437+E1479)*(1+$C$7))</f>
        <v>0</v>
      </c>
      <c r="G1479" s="18">
        <f t="shared" si="169"/>
        <v>-2752143.1009163447</v>
      </c>
      <c r="H1479" s="18">
        <f>IF($A1479&gt;40,0,(H1437-MIN(MAX(I1478,0),H1437))+MIN(MAX(0,J1478-(H1437-MIN(MAX(I1478,0),H1437))),MAX(0,3*H1437-(I1478-MIN(MAX(I1478,0),H1437)))))</f>
        <v>36853.468081999628</v>
      </c>
      <c r="I1479" s="18">
        <f>IF($A1479&gt;40,I1478,(I1478-H1437+H1479)*(1+$C$7))</f>
        <v>0</v>
      </c>
      <c r="J1479" s="18">
        <f t="shared" si="170"/>
        <v>-37959.072124459621</v>
      </c>
      <c r="K1479" s="18">
        <f>IF($A1479&gt;40,0,(K1437-MIN(MAX(L1478,0),K1437))+MIN(MAX(0,M1478-(K1437-MIN(MAX(L1478,0),K1437))),MAX(0,3*K1437-(L1478-MIN(MAX(L1478,0),K1437)))))</f>
        <v>0</v>
      </c>
      <c r="L1479" s="18">
        <f>IF($A1479&gt;40,L1478,(L1478-K1437+K1479)*(1+$C$7))</f>
        <v>32.827594426896205</v>
      </c>
      <c r="M1479" s="18">
        <f t="shared" si="171"/>
        <v>0</v>
      </c>
      <c r="N1479" s="18">
        <f>IF($A1479&gt;40,0,(N1437-MIN(MAX(O1478,0),N1437))+MIN(MAX(0,P1478-(N1437-MIN(MAX(O1478,0),N1437))),MAX(0,3*N1437-(O1478-MIN(MAX(O1478,0),N1437)))))</f>
        <v>0</v>
      </c>
      <c r="O1479" s="18">
        <f>IF($A1479&gt;40,O1478,(O1478-N1437+N1479)*(1+$C$7))</f>
        <v>0.7547007104611293</v>
      </c>
      <c r="P1479" s="18">
        <f t="shared" si="172"/>
        <v>0</v>
      </c>
      <c r="Q1479" s="18">
        <f>IF($A1479&gt;40,0,(Q1437-MIN(MAX(R1478,0),Q1437))+MIN(MAX(0,S1478-(Q1437-MIN(MAX(R1478,0),Q1437))),MAX(0,3*Q1437-(R1478-MIN(MAX(R1478,0),Q1437)))))</f>
        <v>2.9467628337442875E-9</v>
      </c>
      <c r="R1479" s="18">
        <f>IF($A1479&gt;40,R1478,(R1478-Q1437+Q1479)*(1+$C$7))</f>
        <v>0</v>
      </c>
      <c r="S1479" s="18">
        <f t="shared" si="173"/>
        <v>-3.0351657187566164E-9</v>
      </c>
    </row>
    <row r="1480" spans="1:19">
      <c r="B1480" s="18">
        <f>C1479+D1479</f>
        <v>771307.97922889539</v>
      </c>
      <c r="E1480" s="18">
        <f>F1479+G1479</f>
        <v>-2752143.1009163447</v>
      </c>
      <c r="H1480" s="18">
        <f>I1479+J1479</f>
        <v>-37959.072124459621</v>
      </c>
      <c r="K1480" s="18">
        <f>L1479+M1479</f>
        <v>32.827594426896205</v>
      </c>
      <c r="N1480" s="18">
        <f>O1479+P1479</f>
        <v>0.7547007104611293</v>
      </c>
      <c r="Q1480" s="18">
        <f>R1479+S1479</f>
        <v>-3.0351657187566164E-9</v>
      </c>
    </row>
    <row r="1481" spans="1:19">
      <c r="A1481" s="5" t="s">
        <v>266</v>
      </c>
      <c r="B1481" s="18">
        <f>IFERROR(Q1437-Q1480*(Q1437-N1437)/(Q1480-N1480),Q1437)</f>
        <v>39359.671112115611</v>
      </c>
    </row>
    <row r="1483" spans="1:19">
      <c r="A1483" s="2" t="s">
        <v>295</v>
      </c>
    </row>
    <row r="1484" spans="1:19">
      <c r="B1484" s="9">
        <f>0.03*$B$5</f>
        <v>30000</v>
      </c>
      <c r="E1484" s="9">
        <f>0.075*$B$5</f>
        <v>75000</v>
      </c>
      <c r="H1484" s="18">
        <f>IFERROR(E1484-E1527*(E1484-B1484)/(E1527-B1527),E1484)</f>
        <v>38513.425206551648</v>
      </c>
      <c r="K1484" s="18">
        <f>IFERROR(H1484-H1527*(H1484-E1484)/(H1527-E1527),H1484)</f>
        <v>37832.433395214677</v>
      </c>
      <c r="N1484" s="18">
        <f>IFERROR(K1484-K1527*(K1484-H1484)/(K1527-H1527),K1484)</f>
        <v>37832.786501094612</v>
      </c>
      <c r="Q1484" s="18">
        <f>IFERROR(N1484-N1527*(N1484-K1484)/(N1527-K1527),N1484)</f>
        <v>37832.794188140244</v>
      </c>
    </row>
    <row r="1485" spans="1:19">
      <c r="A1485" s="25" t="s">
        <v>262</v>
      </c>
      <c r="B1485" s="25" t="s">
        <v>263</v>
      </c>
      <c r="C1485" s="25" t="s">
        <v>264</v>
      </c>
      <c r="D1485" s="25" t="s">
        <v>265</v>
      </c>
      <c r="E1485" s="25" t="s">
        <v>263</v>
      </c>
      <c r="F1485" s="25" t="s">
        <v>264</v>
      </c>
      <c r="G1485" s="25" t="s">
        <v>265</v>
      </c>
      <c r="H1485" s="25" t="s">
        <v>263</v>
      </c>
      <c r="I1485" s="25" t="s">
        <v>264</v>
      </c>
      <c r="J1485" s="25" t="s">
        <v>265</v>
      </c>
      <c r="K1485" s="25" t="s">
        <v>263</v>
      </c>
      <c r="L1485" s="25" t="s">
        <v>264</v>
      </c>
      <c r="M1485" s="25" t="s">
        <v>265</v>
      </c>
      <c r="N1485" s="25" t="s">
        <v>263</v>
      </c>
      <c r="O1485" s="25" t="s">
        <v>264</v>
      </c>
      <c r="P1485" s="25" t="s">
        <v>265</v>
      </c>
      <c r="Q1485" s="25" t="s">
        <v>263</v>
      </c>
      <c r="R1485" s="25" t="s">
        <v>264</v>
      </c>
      <c r="S1485" s="25" t="s">
        <v>265</v>
      </c>
    </row>
    <row r="1486" spans="1:19">
      <c r="A1486" s="3">
        <v>0</v>
      </c>
      <c r="C1486" s="18">
        <f>MIN(5*B1484,$B$5)</f>
        <v>150000</v>
      </c>
      <c r="D1486" s="18">
        <f>$B$5-C1486</f>
        <v>850000</v>
      </c>
      <c r="F1486" s="18">
        <f>MIN(5*E1484,$B$5)</f>
        <v>375000</v>
      </c>
      <c r="G1486" s="18">
        <f>$B$5-F1486</f>
        <v>625000</v>
      </c>
      <c r="I1486" s="18">
        <f>MIN(5*H1484,$B$5)</f>
        <v>192567.12603275824</v>
      </c>
      <c r="J1486" s="18">
        <f>$B$5-I1486</f>
        <v>807432.87396724173</v>
      </c>
      <c r="L1486" s="18">
        <f>MIN(5*K1484,$B$5)</f>
        <v>189162.16697607338</v>
      </c>
      <c r="M1486" s="18">
        <f>$B$5-L1486</f>
        <v>810837.83302392659</v>
      </c>
      <c r="O1486" s="18">
        <f>MIN(5*N1484,$B$5)</f>
        <v>189163.93250547306</v>
      </c>
      <c r="P1486" s="18">
        <f>$B$5-O1486</f>
        <v>810836.06749452697</v>
      </c>
      <c r="R1486" s="18">
        <f>MIN(5*Q1484,$B$5)</f>
        <v>189163.97094070123</v>
      </c>
      <c r="S1486" s="18">
        <f>$B$5-R1486</f>
        <v>810836.0290592988</v>
      </c>
    </row>
    <row r="1487" spans="1:19">
      <c r="A1487" s="10">
        <f>1</f>
        <v>1</v>
      </c>
      <c r="B1487" s="18">
        <f>IF($A1487&gt;40,0,(B1484-MIN(MAX(C1486,0),B1484))+MIN(MAX(0,D1486-(B1484-MIN(MAX(C1486,0),B1484))),MAX(0,5*B1484-(C1486-MIN(MAX(C1486,0),B1484)))))</f>
        <v>30000</v>
      </c>
      <c r="C1487" s="18">
        <f>IF($A1487&gt;40,C1486,(C1486-B1484+B1487)*(1+$C$7))</f>
        <v>150945</v>
      </c>
      <c r="D1487" s="18">
        <f t="shared" ref="D1487:D1526" si="174">IF($A1487&gt;40,D1486,(D1486-B1487)*(1+$B$6))</f>
        <v>844600</v>
      </c>
      <c r="E1487" s="18">
        <f>IF($A1487&gt;40,0,(E1484-MIN(MAX(F1486,0),E1484))+MIN(MAX(0,G1486-(E1484-MIN(MAX(F1486,0),E1484))),MAX(0,5*E1484-(F1486-MIN(MAX(F1486,0),E1484)))))</f>
        <v>75000</v>
      </c>
      <c r="F1487" s="18">
        <f>IF($A1487&gt;40,F1486,(F1486-E1484+E1487)*(1+$C$7))</f>
        <v>377362.5</v>
      </c>
      <c r="G1487" s="18">
        <f t="shared" ref="G1487:G1526" si="175">IF($A1487&gt;40,G1486,(G1486-E1487)*(1+$B$6))</f>
        <v>566500</v>
      </c>
      <c r="H1487" s="18">
        <f>IF($A1487&gt;40,0,(H1484-MIN(MAX(I1486,0),H1484))+MIN(MAX(0,J1486-(H1484-MIN(MAX(I1486,0),H1484))),MAX(0,5*H1484-(I1486-MIN(MAX(I1486,0),H1484)))))</f>
        <v>38513.425206551648</v>
      </c>
      <c r="I1487" s="18">
        <f>IF($A1487&gt;40,I1486,(I1486-H1484+H1487)*(1+$C$7))</f>
        <v>193780.2989267646</v>
      </c>
      <c r="J1487" s="18">
        <f t="shared" ref="J1487:J1526" si="176">IF($A1487&gt;40,J1486,(J1486-H1487)*(1+$B$6))</f>
        <v>791987.03222351079</v>
      </c>
      <c r="K1487" s="18">
        <f>IF($A1487&gt;40,0,(K1484-MIN(MAX(L1486,0),K1484))+MIN(MAX(0,M1486-(K1484-MIN(MAX(L1486,0),K1484))),MAX(0,5*K1484-(L1486-MIN(MAX(L1486,0),K1484)))))</f>
        <v>37832.43339521467</v>
      </c>
      <c r="L1487" s="18">
        <f>IF($A1487&gt;40,L1486,(L1486-K1484+K1487)*(1+$C$7))</f>
        <v>190353.88862802263</v>
      </c>
      <c r="M1487" s="18">
        <f t="shared" ref="M1487:M1526" si="177">IF($A1487&gt;40,M1486,(M1486-K1487)*(1+$B$6))</f>
        <v>796195.56161757326</v>
      </c>
      <c r="N1487" s="18">
        <f>IF($A1487&gt;40,0,(N1484-MIN(MAX(O1486,0),N1484))+MIN(MAX(0,P1486-(N1484-MIN(MAX(O1486,0),N1484))),MAX(0,5*N1484-(O1486-MIN(MAX(O1486,0),N1484)))))</f>
        <v>37832.786501094612</v>
      </c>
      <c r="O1487" s="18">
        <f>IF($A1487&gt;40,O1486,(O1486-N1484+N1487)*(1+$C$7))</f>
        <v>190355.66528025753</v>
      </c>
      <c r="P1487" s="18">
        <f t="shared" ref="P1487:P1526" si="178">IF($A1487&gt;40,P1486,(P1486-N1487)*(1+$B$6))</f>
        <v>796193.37942323543</v>
      </c>
      <c r="Q1487" s="18">
        <f>IF($A1487&gt;40,0,(Q1484-MIN(MAX(R1486,0),Q1484))+MIN(MAX(0,S1486-(Q1484-MIN(MAX(R1486,0),Q1484))),MAX(0,5*Q1484-(R1486-MIN(MAX(R1486,0),Q1484)))))</f>
        <v>37832.794188140251</v>
      </c>
      <c r="R1487" s="18">
        <f>IF($A1487&gt;40,R1486,(R1486-Q1484+Q1487)*(1+$C$7))</f>
        <v>190355.70395762764</v>
      </c>
      <c r="S1487" s="18">
        <f t="shared" ref="S1487:S1526" si="179">IF($A1487&gt;40,S1486,(S1486-Q1487)*(1+$B$6))</f>
        <v>796193.33191729337</v>
      </c>
    </row>
    <row r="1488" spans="1:19">
      <c r="A1488" s="10">
        <f>2</f>
        <v>2</v>
      </c>
      <c r="B1488" s="18">
        <f>IF($A1488&gt;40,0,(B1484-MIN(MAX(C1487,0),B1484))+MIN(MAX(0,D1487-(B1484-MIN(MAX(C1487,0),B1484))),MAX(0,5*B1484-(C1487-MIN(MAX(C1487,0),B1484)))))</f>
        <v>29055</v>
      </c>
      <c r="C1488" s="18">
        <f>IF($A1488&gt;40,C1487,(C1487-B1484+B1488)*(1+$C$7))</f>
        <v>150945</v>
      </c>
      <c r="D1488" s="18">
        <f t="shared" si="174"/>
        <v>840011.35</v>
      </c>
      <c r="E1488" s="18">
        <f>IF($A1488&gt;40,0,(E1484-MIN(MAX(F1487,0),E1484))+MIN(MAX(0,G1487-(E1484-MIN(MAX(F1487,0),E1484))),MAX(0,5*E1484-(F1487-MIN(MAX(F1487,0),E1484)))))</f>
        <v>72637.5</v>
      </c>
      <c r="F1488" s="18">
        <f>IF($A1488&gt;40,F1487,(F1487-E1484+E1488)*(1+$C$7))</f>
        <v>377362.5</v>
      </c>
      <c r="G1488" s="18">
        <f t="shared" si="175"/>
        <v>508678.375</v>
      </c>
      <c r="H1488" s="18">
        <f>IF($A1488&gt;40,0,(H1484-MIN(MAX(I1487,0),H1484))+MIN(MAX(0,J1487-(H1484-MIN(MAX(I1487,0),H1484))),MAX(0,5*H1484-(I1487-MIN(MAX(I1487,0),H1484)))))</f>
        <v>37300.252312545286</v>
      </c>
      <c r="I1488" s="18">
        <f>IF($A1488&gt;40,I1487,(I1487-H1484+H1488)*(1+$C$7))</f>
        <v>193780.2989267646</v>
      </c>
      <c r="J1488" s="18">
        <f t="shared" si="176"/>
        <v>777327.38330829446</v>
      </c>
      <c r="K1488" s="18">
        <f>IF($A1488&gt;40,0,(K1484-MIN(MAX(L1487,0),K1484))+MIN(MAX(0,M1487-(K1484-MIN(MAX(L1487,0),K1484))),MAX(0,5*K1484-(L1487-MIN(MAX(L1487,0),K1484)))))</f>
        <v>36640.711743265419</v>
      </c>
      <c r="L1488" s="18">
        <f>IF($A1488&gt;40,L1487,(L1487-K1484+K1488)*(1+$C$7))</f>
        <v>190353.88862802263</v>
      </c>
      <c r="M1488" s="18">
        <f t="shared" si="177"/>
        <v>782341.49537053716</v>
      </c>
      <c r="N1488" s="18">
        <f>IF($A1488&gt;40,0,(N1484-MIN(MAX(O1487,0),N1484))+MIN(MAX(0,P1487-(N1484-MIN(MAX(O1487,0),N1484))),MAX(0,5*N1484-(O1487-MIN(MAX(O1487,0),N1484)))))</f>
        <v>36641.053726310143</v>
      </c>
      <c r="O1488" s="18">
        <f>IF($A1488&gt;40,O1487,(O1487-N1484+N1488)*(1+$C$7))</f>
        <v>190355.66528025753</v>
      </c>
      <c r="P1488" s="18">
        <f t="shared" si="178"/>
        <v>782338.89546783303</v>
      </c>
      <c r="Q1488" s="18">
        <f>IF($A1488&gt;40,0,(Q1484-MIN(MAX(R1487,0),Q1484))+MIN(MAX(0,S1487-(Q1484-MIN(MAX(R1487,0),Q1484))),MAX(0,5*Q1484-(R1487-MIN(MAX(R1487,0),Q1484)))))</f>
        <v>36641.061171213834</v>
      </c>
      <c r="R1488" s="18">
        <f>IF($A1488&gt;40,R1487,(R1487-Q1484+Q1488)*(1+$C$7))</f>
        <v>190355.70395762764</v>
      </c>
      <c r="S1488" s="18">
        <f t="shared" si="179"/>
        <v>782338.8388684619</v>
      </c>
    </row>
    <row r="1489" spans="1:19">
      <c r="A1489" s="10">
        <f>3</f>
        <v>3</v>
      </c>
      <c r="B1489" s="18">
        <f>IF($A1489&gt;40,0,(B1484-MIN(MAX(C1488,0),B1484))+MIN(MAX(0,D1488-(B1484-MIN(MAX(C1488,0),B1484))),MAX(0,5*B1484-(C1488-MIN(MAX(C1488,0),B1484)))))</f>
        <v>29055</v>
      </c>
      <c r="C1489" s="18">
        <f>IF($A1489&gt;40,C1488,(C1488-B1484+B1489)*(1+$C$7))</f>
        <v>150945</v>
      </c>
      <c r="D1489" s="18">
        <f t="shared" si="174"/>
        <v>835285.0405</v>
      </c>
      <c r="E1489" s="18">
        <f>IF($A1489&gt;40,0,(E1484-MIN(MAX(F1488,0),E1484))+MIN(MAX(0,G1488-(E1484-MIN(MAX(F1488,0),E1484))),MAX(0,5*E1484-(F1488-MIN(MAX(F1488,0),E1484)))))</f>
        <v>72637.5</v>
      </c>
      <c r="F1489" s="18">
        <f>IF($A1489&gt;40,F1488,(F1488-E1484+E1489)*(1+$C$7))</f>
        <v>377362.5</v>
      </c>
      <c r="G1489" s="18">
        <f t="shared" si="175"/>
        <v>449122.10125000001</v>
      </c>
      <c r="H1489" s="18">
        <f>IF($A1489&gt;40,0,(H1484-MIN(MAX(I1488,0),H1484))+MIN(MAX(0,J1488-(H1484-MIN(MAX(I1488,0),H1484))),MAX(0,5*H1484-(I1488-MIN(MAX(I1488,0),H1484)))))</f>
        <v>37300.252312545286</v>
      </c>
      <c r="I1489" s="18">
        <f>IF($A1489&gt;40,I1488,(I1488-H1484+H1489)*(1+$C$7))</f>
        <v>193780.2989267646</v>
      </c>
      <c r="J1489" s="18">
        <f t="shared" si="176"/>
        <v>762227.94492562162</v>
      </c>
      <c r="K1489" s="18">
        <f>IF($A1489&gt;40,0,(K1484-MIN(MAX(L1488,0),K1484))+MIN(MAX(0,M1488-(K1484-MIN(MAX(L1488,0),K1484))),MAX(0,5*K1484-(L1488-MIN(MAX(L1488,0),K1484)))))</f>
        <v>36640.711743265419</v>
      </c>
      <c r="L1489" s="18">
        <f>IF($A1489&gt;40,L1488,(L1488-K1484+K1489)*(1+$C$7))</f>
        <v>190353.88862802263</v>
      </c>
      <c r="M1489" s="18">
        <f t="shared" si="177"/>
        <v>768071.80713608989</v>
      </c>
      <c r="N1489" s="18">
        <f>IF($A1489&gt;40,0,(N1484-MIN(MAX(O1488,0),N1484))+MIN(MAX(0,P1488-(N1484-MIN(MAX(O1488,0),N1484))),MAX(0,5*N1484-(O1488-MIN(MAX(O1488,0),N1484)))))</f>
        <v>36641.053726310143</v>
      </c>
      <c r="O1489" s="18">
        <f>IF($A1489&gt;40,O1488,(O1488-N1484+N1489)*(1+$C$7))</f>
        <v>190355.66528025753</v>
      </c>
      <c r="P1489" s="18">
        <f t="shared" si="178"/>
        <v>768068.77699376864</v>
      </c>
      <c r="Q1489" s="18">
        <f>IF($A1489&gt;40,0,(Q1484-MIN(MAX(R1488,0),Q1484))+MIN(MAX(0,S1488-(Q1484-MIN(MAX(R1488,0),Q1484))),MAX(0,5*Q1484-(R1488-MIN(MAX(R1488,0),Q1484)))))</f>
        <v>36641.061171213834</v>
      </c>
      <c r="R1489" s="18">
        <f>IF($A1489&gt;40,R1488,(R1488-Q1484+Q1489)*(1+$C$7))</f>
        <v>190355.70395762764</v>
      </c>
      <c r="S1489" s="18">
        <f t="shared" si="179"/>
        <v>768068.71102816553</v>
      </c>
    </row>
    <row r="1490" spans="1:19">
      <c r="A1490" s="10">
        <f>4</f>
        <v>4</v>
      </c>
      <c r="B1490" s="18">
        <f>IF($A1490&gt;40,0,(B1484-MIN(MAX(C1489,0),B1484))+MIN(MAX(0,D1489-(B1484-MIN(MAX(C1489,0),B1484))),MAX(0,5*B1484-(C1489-MIN(MAX(C1489,0),B1484)))))</f>
        <v>29055</v>
      </c>
      <c r="C1490" s="18">
        <f>IF($A1490&gt;40,C1489,(C1489-B1484+B1490)*(1+$C$7))</f>
        <v>150945</v>
      </c>
      <c r="D1490" s="18">
        <f t="shared" si="174"/>
        <v>830416.94171500008</v>
      </c>
      <c r="E1490" s="18">
        <f>IF($A1490&gt;40,0,(E1484-MIN(MAX(F1489,0),E1484))+MIN(MAX(0,G1489-(E1484-MIN(MAX(F1489,0),E1484))),MAX(0,5*E1484-(F1489-MIN(MAX(F1489,0),E1484)))))</f>
        <v>72637.5</v>
      </c>
      <c r="F1490" s="18">
        <f>IF($A1490&gt;40,F1489,(F1489-E1484+E1490)*(1+$C$7))</f>
        <v>377362.5</v>
      </c>
      <c r="G1490" s="18">
        <f t="shared" si="175"/>
        <v>387779.1392875</v>
      </c>
      <c r="H1490" s="18">
        <f>IF($A1490&gt;40,0,(H1484-MIN(MAX(I1489,0),H1484))+MIN(MAX(0,J1489-(H1484-MIN(MAX(I1489,0),H1484))),MAX(0,5*H1484-(I1489-MIN(MAX(I1489,0),H1484)))))</f>
        <v>37300.252312545286</v>
      </c>
      <c r="I1490" s="18">
        <f>IF($A1490&gt;40,I1489,(I1489-H1484+H1490)*(1+$C$7))</f>
        <v>193780.2989267646</v>
      </c>
      <c r="J1490" s="18">
        <f t="shared" si="176"/>
        <v>746675.52339146857</v>
      </c>
      <c r="K1490" s="18">
        <f>IF($A1490&gt;40,0,(K1484-MIN(MAX(L1489,0),K1484))+MIN(MAX(0,M1489-(K1484-MIN(MAX(L1489,0),K1484))),MAX(0,5*K1484-(L1489-MIN(MAX(L1489,0),K1484)))))</f>
        <v>36640.711743265419</v>
      </c>
      <c r="L1490" s="18">
        <f>IF($A1490&gt;40,L1489,(L1489-K1484+K1490)*(1+$C$7))</f>
        <v>190353.88862802263</v>
      </c>
      <c r="M1490" s="18">
        <f t="shared" si="177"/>
        <v>753374.02825460921</v>
      </c>
      <c r="N1490" s="18">
        <f>IF($A1490&gt;40,0,(N1484-MIN(MAX(O1489,0),N1484))+MIN(MAX(0,P1489-(N1484-MIN(MAX(O1489,0),N1484))),MAX(0,5*N1484-(O1489-MIN(MAX(O1489,0),N1484)))))</f>
        <v>36641.053726310143</v>
      </c>
      <c r="O1490" s="18">
        <f>IF($A1490&gt;40,O1489,(O1489-N1484+N1490)*(1+$C$7))</f>
        <v>190355.66528025753</v>
      </c>
      <c r="P1490" s="18">
        <f t="shared" si="178"/>
        <v>753370.55496548233</v>
      </c>
      <c r="Q1490" s="18">
        <f>IF($A1490&gt;40,0,(Q1484-MIN(MAX(R1489,0),Q1484))+MIN(MAX(0,S1489-(Q1484-MIN(MAX(R1489,0),Q1484))),MAX(0,5*Q1484-(R1489-MIN(MAX(R1489,0),Q1484)))))</f>
        <v>36641.061171213834</v>
      </c>
      <c r="R1490" s="18">
        <f>IF($A1490&gt;40,R1489,(R1489-Q1484+Q1490)*(1+$C$7))</f>
        <v>190355.70395762764</v>
      </c>
      <c r="S1490" s="18">
        <f t="shared" si="179"/>
        <v>753370.47935266024</v>
      </c>
    </row>
    <row r="1491" spans="1:19">
      <c r="A1491" s="10">
        <f>5</f>
        <v>5</v>
      </c>
      <c r="B1491" s="18">
        <f>IF($A1491&gt;40,0,(B1484-MIN(MAX(C1490,0),B1484))+MIN(MAX(0,D1490-(B1484-MIN(MAX(C1490,0),B1484))),MAX(0,5*B1484-(C1490-MIN(MAX(C1490,0),B1484)))))</f>
        <v>29055</v>
      </c>
      <c r="C1491" s="18">
        <f>IF($A1491&gt;40,C1490,(C1490-B1484+B1491)*(1+$C$7))</f>
        <v>150945</v>
      </c>
      <c r="D1491" s="18">
        <f t="shared" si="174"/>
        <v>825402.79996645008</v>
      </c>
      <c r="E1491" s="18">
        <f>IF($A1491&gt;40,0,(E1484-MIN(MAX(F1490,0),E1484))+MIN(MAX(0,G1490-(E1484-MIN(MAX(F1490,0),E1484))),MAX(0,5*E1484-(F1490-MIN(MAX(F1490,0),E1484)))))</f>
        <v>72637.5</v>
      </c>
      <c r="F1491" s="18">
        <f>IF($A1491&gt;40,F1490,(F1490-E1484+E1491)*(1+$C$7))</f>
        <v>377362.5</v>
      </c>
      <c r="G1491" s="18">
        <f t="shared" si="175"/>
        <v>324595.888466125</v>
      </c>
      <c r="H1491" s="18">
        <f>IF($A1491&gt;40,0,(H1484-MIN(MAX(I1490,0),H1484))+MIN(MAX(0,J1490-(H1484-MIN(MAX(I1490,0),H1484))),MAX(0,5*H1484-(I1490-MIN(MAX(I1490,0),H1484)))))</f>
        <v>37300.252312545286</v>
      </c>
      <c r="I1491" s="18">
        <f>IF($A1491&gt;40,I1490,(I1490-H1484+H1491)*(1+$C$7))</f>
        <v>193780.2989267646</v>
      </c>
      <c r="J1491" s="18">
        <f t="shared" si="176"/>
        <v>730656.529211291</v>
      </c>
      <c r="K1491" s="18">
        <f>IF($A1491&gt;40,0,(K1484-MIN(MAX(L1490,0),K1484))+MIN(MAX(0,M1490-(K1484-MIN(MAX(L1490,0),K1484))),MAX(0,5*K1484-(L1490-MIN(MAX(L1490,0),K1484)))))</f>
        <v>36640.711743265419</v>
      </c>
      <c r="L1491" s="18">
        <f>IF($A1491&gt;40,L1490,(L1490-K1484+K1491)*(1+$C$7))</f>
        <v>190353.88862802263</v>
      </c>
      <c r="M1491" s="18">
        <f t="shared" si="177"/>
        <v>738235.31600668409</v>
      </c>
      <c r="N1491" s="18">
        <f>IF($A1491&gt;40,0,(N1484-MIN(MAX(O1490,0),N1484))+MIN(MAX(0,P1490-(N1484-MIN(MAX(O1490,0),N1484))),MAX(0,5*N1484-(O1490-MIN(MAX(O1490,0),N1484)))))</f>
        <v>36641.053726310143</v>
      </c>
      <c r="O1491" s="18">
        <f>IF($A1491&gt;40,O1490,(O1490-N1484+N1491)*(1+$C$7))</f>
        <v>190355.66528025753</v>
      </c>
      <c r="P1491" s="18">
        <f t="shared" si="178"/>
        <v>738231.38627634733</v>
      </c>
      <c r="Q1491" s="18">
        <f>IF($A1491&gt;40,0,(Q1484-MIN(MAX(R1490,0),Q1484))+MIN(MAX(0,S1490-(Q1484-MIN(MAX(R1490,0),Q1484))),MAX(0,5*Q1484-(R1490-MIN(MAX(R1490,0),Q1484)))))</f>
        <v>36641.061171213834</v>
      </c>
      <c r="R1491" s="18">
        <f>IF($A1491&gt;40,R1490,(R1490-Q1484+Q1491)*(1+$C$7))</f>
        <v>190355.70395762764</v>
      </c>
      <c r="S1491" s="18">
        <f t="shared" si="179"/>
        <v>738231.30072688975</v>
      </c>
    </row>
    <row r="1492" spans="1:19">
      <c r="A1492" s="10">
        <f>6</f>
        <v>6</v>
      </c>
      <c r="B1492" s="18">
        <f>IF($A1492&gt;40,0,(B1484-MIN(MAX(C1491,0),B1484))+MIN(MAX(0,D1491-(B1484-MIN(MAX(C1491,0),B1484))),MAX(0,5*B1484-(C1491-MIN(MAX(C1491,0),B1484)))))</f>
        <v>29055</v>
      </c>
      <c r="C1492" s="18">
        <f>IF($A1492&gt;40,C1491,(C1491-B1484+B1492)*(1+$C$7))</f>
        <v>150945</v>
      </c>
      <c r="D1492" s="18">
        <f t="shared" si="174"/>
        <v>820238.23396544356</v>
      </c>
      <c r="E1492" s="18">
        <f>IF($A1492&gt;40,0,(E1484-MIN(MAX(F1491,0),E1484))+MIN(MAX(0,G1491-(E1484-MIN(MAX(F1491,0),E1484))),MAX(0,5*E1484-(F1491-MIN(MAX(F1491,0),E1484)))))</f>
        <v>72637.5</v>
      </c>
      <c r="F1492" s="18">
        <f>IF($A1492&gt;40,F1491,(F1491-E1484+E1492)*(1+$C$7))</f>
        <v>377362.5</v>
      </c>
      <c r="G1492" s="18">
        <f t="shared" si="175"/>
        <v>259517.14012010876</v>
      </c>
      <c r="H1492" s="18">
        <f>IF($A1492&gt;40,0,(H1484-MIN(MAX(I1491,0),H1484))+MIN(MAX(0,J1491-(H1484-MIN(MAX(I1491,0),H1484))),MAX(0,5*H1484-(I1491-MIN(MAX(I1491,0),H1484)))))</f>
        <v>37300.252312545286</v>
      </c>
      <c r="I1492" s="18">
        <f>IF($A1492&gt;40,I1491,(I1491-H1484+H1492)*(1+$C$7))</f>
        <v>193780.2989267646</v>
      </c>
      <c r="J1492" s="18">
        <f t="shared" si="176"/>
        <v>714156.96520570805</v>
      </c>
      <c r="K1492" s="18">
        <f>IF($A1492&gt;40,0,(K1484-MIN(MAX(L1491,0),K1484))+MIN(MAX(0,M1491-(K1484-MIN(MAX(L1491,0),K1484))),MAX(0,5*K1484-(L1491-MIN(MAX(L1491,0),K1484)))))</f>
        <v>36640.711743265419</v>
      </c>
      <c r="L1492" s="18">
        <f>IF($A1492&gt;40,L1491,(L1491-K1484+K1492)*(1+$C$7))</f>
        <v>190353.88862802263</v>
      </c>
      <c r="M1492" s="18">
        <f t="shared" si="177"/>
        <v>722642.4423913213</v>
      </c>
      <c r="N1492" s="18">
        <f>IF($A1492&gt;40,0,(N1484-MIN(MAX(O1491,0),N1484))+MIN(MAX(0,P1491-(N1484-MIN(MAX(O1491,0),N1484))),MAX(0,5*N1484-(O1491-MIN(MAX(O1491,0),N1484)))))</f>
        <v>36641.053726310143</v>
      </c>
      <c r="O1492" s="18">
        <f>IF($A1492&gt;40,O1491,(O1491-N1484+N1492)*(1+$C$7))</f>
        <v>190355.66528025753</v>
      </c>
      <c r="P1492" s="18">
        <f t="shared" si="178"/>
        <v>722638.04252653837</v>
      </c>
      <c r="Q1492" s="18">
        <f>IF($A1492&gt;40,0,(Q1484-MIN(MAX(R1491,0),Q1484))+MIN(MAX(0,S1491-(Q1484-MIN(MAX(R1491,0),Q1484))),MAX(0,5*Q1484-(R1491-MIN(MAX(R1491,0),Q1484)))))</f>
        <v>36641.061171213834</v>
      </c>
      <c r="R1492" s="18">
        <f>IF($A1492&gt;40,R1491,(R1491-Q1484+Q1492)*(1+$C$7))</f>
        <v>190355.70395762764</v>
      </c>
      <c r="S1492" s="18">
        <f t="shared" si="179"/>
        <v>722637.94674234616</v>
      </c>
    </row>
    <row r="1493" spans="1:19">
      <c r="A1493" s="10">
        <f>7</f>
        <v>7</v>
      </c>
      <c r="B1493" s="18">
        <f>IF($A1493&gt;40,0,(B1484-MIN(MAX(C1492,0),B1484))+MIN(MAX(0,D1492-(B1484-MIN(MAX(C1492,0),B1484))),MAX(0,5*B1484-(C1492-MIN(MAX(C1492,0),B1484)))))</f>
        <v>29055</v>
      </c>
      <c r="C1493" s="18">
        <f>IF($A1493&gt;40,C1492,(C1492-B1484+B1493)*(1+$C$7))</f>
        <v>150945</v>
      </c>
      <c r="D1493" s="18">
        <f t="shared" si="174"/>
        <v>814918.7309844069</v>
      </c>
      <c r="E1493" s="18">
        <f>IF($A1493&gt;40,0,(E1484-MIN(MAX(F1492,0),E1484))+MIN(MAX(0,G1492-(E1484-MIN(MAX(F1492,0),E1484))),MAX(0,5*E1484-(F1492-MIN(MAX(F1492,0),E1484)))))</f>
        <v>72637.5</v>
      </c>
      <c r="F1493" s="18">
        <f>IF($A1493&gt;40,F1492,(F1492-E1484+E1493)*(1+$C$7))</f>
        <v>377362.5</v>
      </c>
      <c r="G1493" s="18">
        <f t="shared" si="175"/>
        <v>192486.02932371202</v>
      </c>
      <c r="H1493" s="18">
        <f>IF($A1493&gt;40,0,(H1484-MIN(MAX(I1492,0),H1484))+MIN(MAX(0,J1492-(H1484-MIN(MAX(I1492,0),H1484))),MAX(0,5*H1484-(I1492-MIN(MAX(I1492,0),H1484)))))</f>
        <v>37300.252312545286</v>
      </c>
      <c r="I1493" s="18">
        <f>IF($A1493&gt;40,I1492,(I1492-H1484+H1493)*(1+$C$7))</f>
        <v>193780.2989267646</v>
      </c>
      <c r="J1493" s="18">
        <f t="shared" si="176"/>
        <v>697162.41427995765</v>
      </c>
      <c r="K1493" s="18">
        <f>IF($A1493&gt;40,0,(K1484-MIN(MAX(L1492,0),K1484))+MIN(MAX(0,M1492-(K1484-MIN(MAX(L1492,0),K1484))),MAX(0,5*K1484-(L1492-MIN(MAX(L1492,0),K1484)))))</f>
        <v>36640.711743265419</v>
      </c>
      <c r="L1493" s="18">
        <f>IF($A1493&gt;40,L1492,(L1492-K1484+K1493)*(1+$C$7))</f>
        <v>190353.88862802263</v>
      </c>
      <c r="M1493" s="18">
        <f t="shared" si="177"/>
        <v>706581.78256749758</v>
      </c>
      <c r="N1493" s="18">
        <f>IF($A1493&gt;40,0,(N1484-MIN(MAX(O1492,0),N1484))+MIN(MAX(0,P1492-(N1484-MIN(MAX(O1492,0),N1484))),MAX(0,5*N1484-(O1492-MIN(MAX(O1492,0),N1484)))))</f>
        <v>36641.053726310143</v>
      </c>
      <c r="O1493" s="18">
        <f>IF($A1493&gt;40,O1492,(O1492-N1484+N1493)*(1+$C$7))</f>
        <v>190355.66528025753</v>
      </c>
      <c r="P1493" s="18">
        <f t="shared" si="178"/>
        <v>706576.89846423513</v>
      </c>
      <c r="Q1493" s="18">
        <f>IF($A1493&gt;40,0,(Q1484-MIN(MAX(R1492,0),Q1484))+MIN(MAX(0,S1492-(Q1484-MIN(MAX(R1492,0),Q1484))),MAX(0,5*Q1484-(R1492-MIN(MAX(R1492,0),Q1484)))))</f>
        <v>36641.061171213834</v>
      </c>
      <c r="R1493" s="18">
        <f>IF($A1493&gt;40,R1492,(R1492-Q1484+Q1493)*(1+$C$7))</f>
        <v>190355.70395762764</v>
      </c>
      <c r="S1493" s="18">
        <f t="shared" si="179"/>
        <v>706576.79213826626</v>
      </c>
    </row>
    <row r="1494" spans="1:19">
      <c r="A1494" s="10">
        <f>8</f>
        <v>8</v>
      </c>
      <c r="B1494" s="18">
        <f>IF($A1494&gt;40,0,(B1484-MIN(MAX(C1493,0),B1484))+MIN(MAX(0,D1493-(B1484-MIN(MAX(C1493,0),B1484))),MAX(0,5*B1484-(C1493-MIN(MAX(C1493,0),B1484)))))</f>
        <v>29055</v>
      </c>
      <c r="C1494" s="18">
        <f>IF($A1494&gt;40,C1493,(C1493-B1484+B1494)*(1+$C$7))</f>
        <v>150945</v>
      </c>
      <c r="D1494" s="18">
        <f t="shared" si="174"/>
        <v>809439.64291393908</v>
      </c>
      <c r="E1494" s="18">
        <f>IF($A1494&gt;40,0,(E1484-MIN(MAX(F1493,0),E1484))+MIN(MAX(0,G1493-(E1484-MIN(MAX(F1493,0),E1484))),MAX(0,5*E1484-(F1493-MIN(MAX(F1493,0),E1484)))))</f>
        <v>72637.5</v>
      </c>
      <c r="F1494" s="18">
        <f>IF($A1494&gt;40,F1493,(F1493-E1484+E1494)*(1+$C$7))</f>
        <v>377362.5</v>
      </c>
      <c r="G1494" s="18">
        <f t="shared" si="175"/>
        <v>123443.98520342338</v>
      </c>
      <c r="H1494" s="18">
        <f>IF($A1494&gt;40,0,(H1484-MIN(MAX(I1493,0),H1484))+MIN(MAX(0,J1493-(H1484-MIN(MAX(I1493,0),H1484))),MAX(0,5*H1484-(I1493-MIN(MAX(I1493,0),H1484)))))</f>
        <v>37300.252312545286</v>
      </c>
      <c r="I1494" s="18">
        <f>IF($A1494&gt;40,I1493,(I1493-H1484+H1494)*(1+$C$7))</f>
        <v>193780.2989267646</v>
      </c>
      <c r="J1494" s="18">
        <f t="shared" si="176"/>
        <v>679658.02682643477</v>
      </c>
      <c r="K1494" s="18">
        <f>IF($A1494&gt;40,0,(K1484-MIN(MAX(L1493,0),K1484))+MIN(MAX(0,M1493-(K1484-MIN(MAX(L1493,0),K1484))),MAX(0,5*K1484-(L1493-MIN(MAX(L1493,0),K1484)))))</f>
        <v>36640.711743265419</v>
      </c>
      <c r="L1494" s="18">
        <f>IF($A1494&gt;40,L1493,(L1493-K1484+K1494)*(1+$C$7))</f>
        <v>190353.88862802263</v>
      </c>
      <c r="M1494" s="18">
        <f t="shared" si="177"/>
        <v>690039.30294895917</v>
      </c>
      <c r="N1494" s="18">
        <f>IF($A1494&gt;40,0,(N1484-MIN(MAX(O1493,0),N1484))+MIN(MAX(0,P1493-(N1484-MIN(MAX(O1493,0),N1484))),MAX(0,5*N1484-(O1493-MIN(MAX(O1493,0),N1484)))))</f>
        <v>36641.053726310143</v>
      </c>
      <c r="O1494" s="18">
        <f>IF($A1494&gt;40,O1493,(O1493-N1484+N1494)*(1+$C$7))</f>
        <v>190355.66528025753</v>
      </c>
      <c r="P1494" s="18">
        <f t="shared" si="178"/>
        <v>690033.9200800627</v>
      </c>
      <c r="Q1494" s="18">
        <f>IF($A1494&gt;40,0,(Q1484-MIN(MAX(R1493,0),Q1484))+MIN(MAX(0,S1493-(Q1484-MIN(MAX(R1493,0),Q1484))),MAX(0,5*Q1484-(R1493-MIN(MAX(R1493,0),Q1484)))))</f>
        <v>36641.061171213834</v>
      </c>
      <c r="R1494" s="18">
        <f>IF($A1494&gt;40,R1493,(R1493-Q1484+Q1494)*(1+$C$7))</f>
        <v>190355.70395762764</v>
      </c>
      <c r="S1494" s="18">
        <f t="shared" si="179"/>
        <v>690033.80289606401</v>
      </c>
    </row>
    <row r="1495" spans="1:19">
      <c r="A1495" s="10">
        <f>9</f>
        <v>9</v>
      </c>
      <c r="B1495" s="18">
        <f>IF($A1495&gt;40,0,(B1484-MIN(MAX(C1494,0),B1484))+MIN(MAX(0,D1494-(B1484-MIN(MAX(C1494,0),B1484))),MAX(0,5*B1484-(C1494-MIN(MAX(C1494,0),B1484)))))</f>
        <v>29055</v>
      </c>
      <c r="C1495" s="18">
        <f>IF($A1495&gt;40,C1494,(C1494-B1484+B1495)*(1+$C$7))</f>
        <v>150945</v>
      </c>
      <c r="D1495" s="18">
        <f t="shared" si="174"/>
        <v>803796.18220135733</v>
      </c>
      <c r="E1495" s="18">
        <f>IF($A1495&gt;40,0,(E1484-MIN(MAX(F1494,0),E1484))+MIN(MAX(0,G1494-(E1484-MIN(MAX(F1494,0),E1484))),MAX(0,5*E1484-(F1494-MIN(MAX(F1494,0),E1484)))))</f>
        <v>72637.5</v>
      </c>
      <c r="F1495" s="18">
        <f>IF($A1495&gt;40,F1494,(F1494-E1484+E1495)*(1+$C$7))</f>
        <v>377362.5</v>
      </c>
      <c r="G1495" s="18">
        <f t="shared" si="175"/>
        <v>52330.67975952608</v>
      </c>
      <c r="H1495" s="18">
        <f>IF($A1495&gt;40,0,(H1484-MIN(MAX(I1494,0),H1484))+MIN(MAX(0,J1494-(H1484-MIN(MAX(I1494,0),H1484))),MAX(0,5*H1484-(I1494-MIN(MAX(I1494,0),H1484)))))</f>
        <v>37300.252312545286</v>
      </c>
      <c r="I1495" s="18">
        <f>IF($A1495&gt;40,I1494,(I1494-H1484+H1495)*(1+$C$7))</f>
        <v>193780.2989267646</v>
      </c>
      <c r="J1495" s="18">
        <f t="shared" si="176"/>
        <v>661628.50774930615</v>
      </c>
      <c r="K1495" s="18">
        <f>IF($A1495&gt;40,0,(K1484-MIN(MAX(L1494,0),K1484))+MIN(MAX(0,M1494-(K1484-MIN(MAX(L1494,0),K1484))),MAX(0,5*K1484-(L1494-MIN(MAX(L1494,0),K1484)))))</f>
        <v>36640.711743265419</v>
      </c>
      <c r="L1495" s="18">
        <f>IF($A1495&gt;40,L1494,(L1494-K1484+K1495)*(1+$C$7))</f>
        <v>190353.88862802263</v>
      </c>
      <c r="M1495" s="18">
        <f t="shared" si="177"/>
        <v>673000.54894186463</v>
      </c>
      <c r="N1495" s="18">
        <f>IF($A1495&gt;40,0,(N1484-MIN(MAX(O1494,0),N1484))+MIN(MAX(0,P1494-(N1484-MIN(MAX(O1494,0),N1484))),MAX(0,5*N1484-(O1494-MIN(MAX(O1494,0),N1484)))))</f>
        <v>36641.053726310143</v>
      </c>
      <c r="O1495" s="18">
        <f>IF($A1495&gt;40,O1494,(O1494-N1484+N1495)*(1+$C$7))</f>
        <v>190355.66528025753</v>
      </c>
      <c r="P1495" s="18">
        <f t="shared" si="178"/>
        <v>672994.65234436514</v>
      </c>
      <c r="Q1495" s="18">
        <f>IF($A1495&gt;40,0,(Q1484-MIN(MAX(R1494,0),Q1484))+MIN(MAX(0,S1494-(Q1484-MIN(MAX(R1494,0),Q1484))),MAX(0,5*Q1484-(R1494-MIN(MAX(R1494,0),Q1484)))))</f>
        <v>36641.061171213834</v>
      </c>
      <c r="R1495" s="18">
        <f>IF($A1495&gt;40,R1494,(R1494-Q1484+Q1495)*(1+$C$7))</f>
        <v>190355.70395762764</v>
      </c>
      <c r="S1495" s="18">
        <f t="shared" si="179"/>
        <v>672994.52397659572</v>
      </c>
    </row>
    <row r="1496" spans="1:19">
      <c r="A1496" s="10">
        <f>10</f>
        <v>10</v>
      </c>
      <c r="B1496" s="18">
        <f>IF($A1496&gt;40,0,(B1484-MIN(MAX(C1495,0),B1484))+MIN(MAX(0,D1495-(B1484-MIN(MAX(C1495,0),B1484))),MAX(0,5*B1484-(C1495-MIN(MAX(C1495,0),B1484)))))</f>
        <v>29055</v>
      </c>
      <c r="C1496" s="18">
        <f>IF($A1496&gt;40,C1495,(C1495-B1484+B1496)*(1+$C$7))</f>
        <v>150945</v>
      </c>
      <c r="D1496" s="18">
        <f t="shared" si="174"/>
        <v>797983.41766739811</v>
      </c>
      <c r="E1496" s="18">
        <f>IF($A1496&gt;40,0,(E1484-MIN(MAX(F1495,0),E1484))+MIN(MAX(0,G1495-(E1484-MIN(MAX(F1495,0),E1484))),MAX(0,5*E1484-(F1495-MIN(MAX(F1495,0),E1484)))))</f>
        <v>52330.67975952608</v>
      </c>
      <c r="F1496" s="18">
        <f>IF($A1496&gt;40,F1495,(F1495-E1484+E1496)*(1+$C$7))</f>
        <v>356927.74679201108</v>
      </c>
      <c r="G1496" s="18">
        <f t="shared" si="175"/>
        <v>0</v>
      </c>
      <c r="H1496" s="18">
        <f>IF($A1496&gt;40,0,(H1484-MIN(MAX(I1495,0),H1484))+MIN(MAX(0,J1495-(H1484-MIN(MAX(I1495,0),H1484))),MAX(0,5*H1484-(I1495-MIN(MAX(I1495,0),H1484)))))</f>
        <v>37300.252312545286</v>
      </c>
      <c r="I1496" s="18">
        <f>IF($A1496&gt;40,I1495,(I1495-H1484+H1496)*(1+$C$7))</f>
        <v>193780.2989267646</v>
      </c>
      <c r="J1496" s="18">
        <f t="shared" si="176"/>
        <v>643058.10309986363</v>
      </c>
      <c r="K1496" s="18">
        <f>IF($A1496&gt;40,0,(K1484-MIN(MAX(L1495,0),K1484))+MIN(MAX(0,M1495-(K1484-MIN(MAX(L1495,0),K1484))),MAX(0,5*K1484-(L1495-MIN(MAX(L1495,0),K1484)))))</f>
        <v>36640.711743265419</v>
      </c>
      <c r="L1496" s="18">
        <f>IF($A1496&gt;40,L1495,(L1495-K1484+K1496)*(1+$C$7))</f>
        <v>190353.88862802263</v>
      </c>
      <c r="M1496" s="18">
        <f t="shared" si="177"/>
        <v>655450.63231455721</v>
      </c>
      <c r="N1496" s="18">
        <f>IF($A1496&gt;40,0,(N1484-MIN(MAX(O1495,0),N1484))+MIN(MAX(0,P1495-(N1484-MIN(MAX(O1495,0),N1484))),MAX(0,5*N1484-(O1495-MIN(MAX(O1495,0),N1484)))))</f>
        <v>36641.053726310143</v>
      </c>
      <c r="O1496" s="18">
        <f>IF($A1496&gt;40,O1495,(O1495-N1484+N1496)*(1+$C$7))</f>
        <v>190355.66528025753</v>
      </c>
      <c r="P1496" s="18">
        <f t="shared" si="178"/>
        <v>655444.20657659671</v>
      </c>
      <c r="Q1496" s="18">
        <f>IF($A1496&gt;40,0,(Q1484-MIN(MAX(R1495,0),Q1484))+MIN(MAX(0,S1495-(Q1484-MIN(MAX(R1495,0),Q1484))),MAX(0,5*Q1484-(R1495-MIN(MAX(R1495,0),Q1484)))))</f>
        <v>36641.061171213834</v>
      </c>
      <c r="R1496" s="18">
        <f>IF($A1496&gt;40,R1495,(R1495-Q1484+Q1496)*(1+$C$7))</f>
        <v>190355.70395762764</v>
      </c>
      <c r="S1496" s="18">
        <f t="shared" si="179"/>
        <v>655444.06668954331</v>
      </c>
    </row>
    <row r="1497" spans="1:19">
      <c r="A1497" s="10">
        <f>11</f>
        <v>11</v>
      </c>
      <c r="B1497" s="18">
        <f>IF($A1497&gt;40,0,(B1484-MIN(MAX(C1496,0),B1484))+MIN(MAX(0,D1496-(B1484-MIN(MAX(C1496,0),B1484))),MAX(0,5*B1484-(C1496-MIN(MAX(C1496,0),B1484)))))</f>
        <v>29055</v>
      </c>
      <c r="C1497" s="18">
        <f>IF($A1497&gt;40,C1496,(C1496-B1484+B1497)*(1+$C$7))</f>
        <v>150945</v>
      </c>
      <c r="D1497" s="18">
        <f t="shared" si="174"/>
        <v>791996.27019742003</v>
      </c>
      <c r="E1497" s="18">
        <f>IF($A1497&gt;40,0,(E1484-MIN(MAX(F1496,0),E1484))+MIN(MAX(0,G1496-(E1484-MIN(MAX(F1496,0),E1484))),MAX(0,5*E1484-(F1496-MIN(MAX(F1496,0),E1484)))))</f>
        <v>0</v>
      </c>
      <c r="F1497" s="18">
        <f>IF($A1497&gt;40,F1496,(F1496-E1484+E1497)*(1+$C$7))</f>
        <v>283703.89159680076</v>
      </c>
      <c r="G1497" s="18">
        <f t="shared" si="175"/>
        <v>0</v>
      </c>
      <c r="H1497" s="18">
        <f>IF($A1497&gt;40,0,(H1484-MIN(MAX(I1496,0),H1484))+MIN(MAX(0,J1496-(H1484-MIN(MAX(I1496,0),H1484))),MAX(0,5*H1484-(I1496-MIN(MAX(I1496,0),H1484)))))</f>
        <v>37300.252312545286</v>
      </c>
      <c r="I1497" s="18">
        <f>IF($A1497&gt;40,I1496,(I1496-H1484+H1497)*(1+$C$7))</f>
        <v>193780.2989267646</v>
      </c>
      <c r="J1497" s="18">
        <f t="shared" si="176"/>
        <v>623930.58631093788</v>
      </c>
      <c r="K1497" s="18">
        <f>IF($A1497&gt;40,0,(K1484-MIN(MAX(L1496,0),K1484))+MIN(MAX(0,M1496-(K1484-MIN(MAX(L1496,0),K1484))),MAX(0,5*K1484-(L1496-MIN(MAX(L1496,0),K1484)))))</f>
        <v>36640.711743265419</v>
      </c>
      <c r="L1497" s="18">
        <f>IF($A1497&gt;40,L1496,(L1496-K1484+K1497)*(1+$C$7))</f>
        <v>190353.88862802263</v>
      </c>
      <c r="M1497" s="18">
        <f t="shared" si="177"/>
        <v>637374.21818843065</v>
      </c>
      <c r="N1497" s="18">
        <f>IF($A1497&gt;40,0,(N1484-MIN(MAX(O1496,0),N1484))+MIN(MAX(0,P1496-(N1484-MIN(MAX(O1496,0),N1484))),MAX(0,5*N1484-(O1496-MIN(MAX(O1496,0),N1484)))))</f>
        <v>36641.053726310143</v>
      </c>
      <c r="O1497" s="18">
        <f>IF($A1497&gt;40,O1496,(O1496-N1484+N1497)*(1+$C$7))</f>
        <v>190355.66528025753</v>
      </c>
      <c r="P1497" s="18">
        <f t="shared" si="178"/>
        <v>637367.24743579514</v>
      </c>
      <c r="Q1497" s="18">
        <f>IF($A1497&gt;40,0,(Q1484-MIN(MAX(R1496,0),Q1484))+MIN(MAX(0,S1496-(Q1484-MIN(MAX(R1496,0),Q1484))),MAX(0,5*Q1484-(R1496-MIN(MAX(R1496,0),Q1484)))))</f>
        <v>36641.061171213834</v>
      </c>
      <c r="R1497" s="18">
        <f>IF($A1497&gt;40,R1496,(R1496-Q1484+Q1497)*(1+$C$7))</f>
        <v>190355.70395762764</v>
      </c>
      <c r="S1497" s="18">
        <f t="shared" si="179"/>
        <v>637367.09568387934</v>
      </c>
    </row>
    <row r="1498" spans="1:19">
      <c r="A1498" s="10">
        <f>12</f>
        <v>12</v>
      </c>
      <c r="B1498" s="18">
        <f>IF($A1498&gt;40,0,(B1484-MIN(MAX(C1497,0),B1484))+MIN(MAX(0,D1497-(B1484-MIN(MAX(C1497,0),B1484))),MAX(0,5*B1484-(C1497-MIN(MAX(C1497,0),B1484)))))</f>
        <v>29055</v>
      </c>
      <c r="C1498" s="18">
        <f>IF($A1498&gt;40,C1497,(C1497-B1484+B1498)*(1+$C$7))</f>
        <v>150945</v>
      </c>
      <c r="D1498" s="18">
        <f t="shared" si="174"/>
        <v>785829.50830334262</v>
      </c>
      <c r="E1498" s="18">
        <f>IF($A1498&gt;40,0,(E1484-MIN(MAX(F1497,0),E1484))+MIN(MAX(0,G1497-(E1484-MIN(MAX(F1497,0),E1484))),MAX(0,5*E1484-(F1497-MIN(MAX(F1497,0),E1484)))))</f>
        <v>0</v>
      </c>
      <c r="F1498" s="18">
        <f>IF($A1498&gt;40,F1497,(F1497-E1484+E1498)*(1+$C$7))</f>
        <v>210018.72611386061</v>
      </c>
      <c r="G1498" s="18">
        <f t="shared" si="175"/>
        <v>0</v>
      </c>
      <c r="H1498" s="18">
        <f>IF($A1498&gt;40,0,(H1484-MIN(MAX(I1497,0),H1484))+MIN(MAX(0,J1497-(H1484-MIN(MAX(I1497,0),H1484))),MAX(0,5*H1484-(I1497-MIN(MAX(I1497,0),H1484)))))</f>
        <v>37300.252312545286</v>
      </c>
      <c r="I1498" s="18">
        <f>IF($A1498&gt;40,I1497,(I1497-H1484+H1498)*(1+$C$7))</f>
        <v>193780.2989267646</v>
      </c>
      <c r="J1498" s="18">
        <f t="shared" si="176"/>
        <v>604229.24401834433</v>
      </c>
      <c r="K1498" s="18">
        <f>IF($A1498&gt;40,0,(K1484-MIN(MAX(L1497,0),K1484))+MIN(MAX(0,M1497-(K1484-MIN(MAX(L1497,0),K1484))),MAX(0,5*K1484-(L1497-MIN(MAX(L1497,0),K1484)))))</f>
        <v>36640.711743265419</v>
      </c>
      <c r="L1498" s="18">
        <f>IF($A1498&gt;40,L1497,(L1497-K1484+K1498)*(1+$C$7))</f>
        <v>190353.88862802263</v>
      </c>
      <c r="M1498" s="18">
        <f t="shared" si="177"/>
        <v>618755.51163852029</v>
      </c>
      <c r="N1498" s="18">
        <f>IF($A1498&gt;40,0,(N1484-MIN(MAX(O1497,0),N1484))+MIN(MAX(0,P1497-(N1484-MIN(MAX(O1497,0),N1484))),MAX(0,5*N1484-(O1497-MIN(MAX(O1497,0),N1484)))))</f>
        <v>36641.053726310143</v>
      </c>
      <c r="O1498" s="18">
        <f>IF($A1498&gt;40,O1497,(O1497-N1484+N1498)*(1+$C$7))</f>
        <v>190355.66528025753</v>
      </c>
      <c r="P1498" s="18">
        <f t="shared" si="178"/>
        <v>618747.97952076956</v>
      </c>
      <c r="Q1498" s="18">
        <f>IF($A1498&gt;40,0,(Q1484-MIN(MAX(R1497,0),Q1484))+MIN(MAX(0,S1497-(Q1484-MIN(MAX(R1497,0),Q1484))),MAX(0,5*Q1484-(R1497-MIN(MAX(R1497,0),Q1484)))))</f>
        <v>36641.061171213834</v>
      </c>
      <c r="R1498" s="18">
        <f>IF($A1498&gt;40,R1497,(R1497-Q1484+Q1498)*(1+$C$7))</f>
        <v>190355.70395762764</v>
      </c>
      <c r="S1498" s="18">
        <f t="shared" si="179"/>
        <v>618747.81554804544</v>
      </c>
    </row>
    <row r="1499" spans="1:19">
      <c r="A1499" s="10">
        <f>13</f>
        <v>13</v>
      </c>
      <c r="B1499" s="18">
        <f>IF($A1499&gt;40,0,(B1484-MIN(MAX(C1498,0),B1484))+MIN(MAX(0,D1498-(B1484-MIN(MAX(C1498,0),B1484))),MAX(0,5*B1484-(C1498-MIN(MAX(C1498,0),B1484)))))</f>
        <v>29055</v>
      </c>
      <c r="C1499" s="18">
        <f>IF($A1499&gt;40,C1498,(C1498-B1484+B1499)*(1+$C$7))</f>
        <v>150945</v>
      </c>
      <c r="D1499" s="18">
        <f t="shared" si="174"/>
        <v>779477.74355244287</v>
      </c>
      <c r="E1499" s="18">
        <f>IF($A1499&gt;40,0,(E1484-MIN(MAX(F1498,0),E1484))+MIN(MAX(0,G1498-(E1484-MIN(MAX(F1498,0),E1484))),MAX(0,5*E1484-(F1498-MIN(MAX(F1498,0),E1484)))))</f>
        <v>0</v>
      </c>
      <c r="F1499" s="18">
        <f>IF($A1499&gt;40,F1498,(F1498-E1484+E1499)*(1+$C$7))</f>
        <v>135869.34408837793</v>
      </c>
      <c r="G1499" s="18">
        <f t="shared" si="175"/>
        <v>0</v>
      </c>
      <c r="H1499" s="18">
        <f>IF($A1499&gt;40,0,(H1484-MIN(MAX(I1498,0),H1484))+MIN(MAX(0,J1498-(H1484-MIN(MAX(I1498,0),H1484))),MAX(0,5*H1484-(I1498-MIN(MAX(I1498,0),H1484)))))</f>
        <v>37300.252312545286</v>
      </c>
      <c r="I1499" s="18">
        <f>IF($A1499&gt;40,I1498,(I1498-H1484+H1499)*(1+$C$7))</f>
        <v>193780.2989267646</v>
      </c>
      <c r="J1499" s="18">
        <f t="shared" si="176"/>
        <v>583936.86145697301</v>
      </c>
      <c r="K1499" s="18">
        <f>IF($A1499&gt;40,0,(K1484-MIN(MAX(L1498,0),K1484))+MIN(MAX(0,M1498-(K1484-MIN(MAX(L1498,0),K1484))),MAX(0,5*K1484-(L1498-MIN(MAX(L1498,0),K1484)))))</f>
        <v>36640.711743265419</v>
      </c>
      <c r="L1499" s="18">
        <f>IF($A1499&gt;40,L1498,(L1498-K1484+K1499)*(1+$C$7))</f>
        <v>190353.88862802263</v>
      </c>
      <c r="M1499" s="18">
        <f t="shared" si="177"/>
        <v>599578.24389211251</v>
      </c>
      <c r="N1499" s="18">
        <f>IF($A1499&gt;40,0,(N1484-MIN(MAX(O1498,0),N1484))+MIN(MAX(0,P1498-(N1484-MIN(MAX(O1498,0),N1484))),MAX(0,5*N1484-(O1498-MIN(MAX(O1498,0),N1484)))))</f>
        <v>36641.053726310143</v>
      </c>
      <c r="O1499" s="18">
        <f>IF($A1499&gt;40,O1498,(O1498-N1484+N1499)*(1+$C$7))</f>
        <v>190355.66528025753</v>
      </c>
      <c r="P1499" s="18">
        <f t="shared" si="178"/>
        <v>599570.13356829318</v>
      </c>
      <c r="Q1499" s="18">
        <f>IF($A1499&gt;40,0,(Q1484-MIN(MAX(R1498,0),Q1484))+MIN(MAX(0,S1498-(Q1484-MIN(MAX(R1498,0),Q1484))),MAX(0,5*Q1484-(R1498-MIN(MAX(R1498,0),Q1484)))))</f>
        <v>36641.061171213834</v>
      </c>
      <c r="R1499" s="18">
        <f>IF($A1499&gt;40,R1498,(R1498-Q1484+Q1499)*(1+$C$7))</f>
        <v>190355.70395762764</v>
      </c>
      <c r="S1499" s="18">
        <f t="shared" si="179"/>
        <v>599569.95700813655</v>
      </c>
    </row>
    <row r="1500" spans="1:19">
      <c r="A1500" s="10">
        <f>14</f>
        <v>14</v>
      </c>
      <c r="B1500" s="18">
        <f>IF($A1500&gt;40,0,(B1484-MIN(MAX(C1499,0),B1484))+MIN(MAX(0,D1499-(B1484-MIN(MAX(C1499,0),B1484))),MAX(0,5*B1484-(C1499-MIN(MAX(C1499,0),B1484)))))</f>
        <v>29055</v>
      </c>
      <c r="C1500" s="18">
        <f>IF($A1500&gt;40,C1499,(C1499-B1484+B1500)*(1+$C$7))</f>
        <v>150945</v>
      </c>
      <c r="D1500" s="18">
        <f t="shared" si="174"/>
        <v>772935.42585901613</v>
      </c>
      <c r="E1500" s="18">
        <f>IF($A1500&gt;40,0,(E1484-MIN(MAX(F1499,0),E1484))+MIN(MAX(0,G1499-(E1484-MIN(MAX(F1499,0),E1484))),MAX(0,5*E1484-(F1499-MIN(MAX(F1499,0),E1484)))))</f>
        <v>0</v>
      </c>
      <c r="F1500" s="18">
        <f>IF($A1500&gt;40,F1499,(F1499-E1484+E1500)*(1+$C$7))</f>
        <v>61252.820956134703</v>
      </c>
      <c r="G1500" s="18">
        <f t="shared" si="175"/>
        <v>0</v>
      </c>
      <c r="H1500" s="18">
        <f>IF($A1500&gt;40,0,(H1484-MIN(MAX(I1499,0),H1484))+MIN(MAX(0,J1499-(H1484-MIN(MAX(I1499,0),H1484))),MAX(0,5*H1484-(I1499-MIN(MAX(I1499,0),H1484)))))</f>
        <v>37300.252312545286</v>
      </c>
      <c r="I1500" s="18">
        <f>IF($A1500&gt;40,I1499,(I1499-H1484+H1500)*(1+$C$7))</f>
        <v>193780.2989267646</v>
      </c>
      <c r="J1500" s="18">
        <f t="shared" si="176"/>
        <v>563035.70741876052</v>
      </c>
      <c r="K1500" s="18">
        <f>IF($A1500&gt;40,0,(K1484-MIN(MAX(L1499,0),K1484))+MIN(MAX(0,M1499-(K1484-MIN(MAX(L1499,0),K1484))),MAX(0,5*K1484-(L1499-MIN(MAX(L1499,0),K1484)))))</f>
        <v>36640.711743265419</v>
      </c>
      <c r="L1500" s="18">
        <f>IF($A1500&gt;40,L1499,(L1499-K1484+K1500)*(1+$C$7))</f>
        <v>190353.88862802263</v>
      </c>
      <c r="M1500" s="18">
        <f t="shared" si="177"/>
        <v>579825.65811331256</v>
      </c>
      <c r="N1500" s="18">
        <f>IF($A1500&gt;40,0,(N1484-MIN(MAX(O1499,0),N1484))+MIN(MAX(0,P1499-(N1484-MIN(MAX(O1499,0),N1484))),MAX(0,5*N1484-(O1499-MIN(MAX(O1499,0),N1484)))))</f>
        <v>36641.053726310143</v>
      </c>
      <c r="O1500" s="18">
        <f>IF($A1500&gt;40,O1499,(O1499-N1484+N1500)*(1+$C$7))</f>
        <v>190355.66528025753</v>
      </c>
      <c r="P1500" s="18">
        <f t="shared" si="178"/>
        <v>579816.9522372426</v>
      </c>
      <c r="Q1500" s="18">
        <f>IF($A1500&gt;40,0,(Q1484-MIN(MAX(R1499,0),Q1484))+MIN(MAX(0,S1499-(Q1484-MIN(MAX(R1499,0),Q1484))),MAX(0,5*Q1484-(R1499-MIN(MAX(R1499,0),Q1484)))))</f>
        <v>36641.061171213834</v>
      </c>
      <c r="R1500" s="18">
        <f>IF($A1500&gt;40,R1499,(R1499-Q1484+Q1500)*(1+$C$7))</f>
        <v>190355.70395762764</v>
      </c>
      <c r="S1500" s="18">
        <f t="shared" si="179"/>
        <v>579816.76271203044</v>
      </c>
    </row>
    <row r="1501" spans="1:19">
      <c r="A1501" s="10">
        <f>15</f>
        <v>15</v>
      </c>
      <c r="B1501" s="18">
        <f>IF($A1501&gt;40,0,(B1484-MIN(MAX(C1500,0),B1484))+MIN(MAX(0,D1500-(B1484-MIN(MAX(C1500,0),B1484))),MAX(0,5*B1484-(C1500-MIN(MAX(C1500,0),B1484)))))</f>
        <v>29055</v>
      </c>
      <c r="C1501" s="18">
        <f>IF($A1501&gt;40,C1500,(C1500-B1484+B1501)*(1+$C$7))</f>
        <v>150945</v>
      </c>
      <c r="D1501" s="18">
        <f t="shared" si="174"/>
        <v>766196.83863478666</v>
      </c>
      <c r="E1501" s="18">
        <f>IF($A1501&gt;40,0,(E1484-MIN(MAX(F1500,0),E1484))+MIN(MAX(0,G1500-(E1484-MIN(MAX(F1500,0),E1484))),MAX(0,5*E1484-(F1500-MIN(MAX(F1500,0),E1484)))))</f>
        <v>13747.179043865297</v>
      </c>
      <c r="F1501" s="18">
        <f>IF($A1501&gt;40,F1500,(F1500-E1484+E1501)*(1+$C$7))</f>
        <v>0</v>
      </c>
      <c r="G1501" s="18">
        <f t="shared" si="175"/>
        <v>-14159.594415181256</v>
      </c>
      <c r="H1501" s="18">
        <f>IF($A1501&gt;40,0,(H1484-MIN(MAX(I1500,0),H1484))+MIN(MAX(0,J1500-(H1484-MIN(MAX(I1500,0),H1484))),MAX(0,5*H1484-(I1500-MIN(MAX(I1500,0),H1484)))))</f>
        <v>37300.252312545286</v>
      </c>
      <c r="I1501" s="18">
        <f>IF($A1501&gt;40,I1500,(I1500-H1484+H1501)*(1+$C$7))</f>
        <v>193780.2989267646</v>
      </c>
      <c r="J1501" s="18">
        <f t="shared" si="176"/>
        <v>541507.51875940163</v>
      </c>
      <c r="K1501" s="18">
        <f>IF($A1501&gt;40,0,(K1484-MIN(MAX(L1500,0),K1484))+MIN(MAX(0,M1500-(K1484-MIN(MAX(L1500,0),K1484))),MAX(0,5*K1484-(L1500-MIN(MAX(L1500,0),K1484)))))</f>
        <v>36640.711743265419</v>
      </c>
      <c r="L1501" s="18">
        <f>IF($A1501&gt;40,L1500,(L1500-K1484+K1501)*(1+$C$7))</f>
        <v>190353.88862802263</v>
      </c>
      <c r="M1501" s="18">
        <f t="shared" si="177"/>
        <v>559480.49476114858</v>
      </c>
      <c r="N1501" s="18">
        <f>IF($A1501&gt;40,0,(N1484-MIN(MAX(O1500,0),N1484))+MIN(MAX(0,P1500-(N1484-MIN(MAX(O1500,0),N1484))),MAX(0,5*N1484-(O1500-MIN(MAX(O1500,0),N1484)))))</f>
        <v>36641.053726310143</v>
      </c>
      <c r="O1501" s="18">
        <f>IF($A1501&gt;40,O1500,(O1500-N1484+N1501)*(1+$C$7))</f>
        <v>190355.66528025753</v>
      </c>
      <c r="P1501" s="18">
        <f t="shared" si="178"/>
        <v>559471.17546626041</v>
      </c>
      <c r="Q1501" s="18">
        <f>IF($A1501&gt;40,0,(Q1484-MIN(MAX(R1500,0),Q1484))+MIN(MAX(0,S1500-(Q1484-MIN(MAX(R1500,0),Q1484))),MAX(0,5*Q1484-(R1500-MIN(MAX(R1500,0),Q1484)))))</f>
        <v>36641.061171213834</v>
      </c>
      <c r="R1501" s="18">
        <f>IF($A1501&gt;40,R1500,(R1500-Q1484+Q1501)*(1+$C$7))</f>
        <v>190355.70395762764</v>
      </c>
      <c r="S1501" s="18">
        <f t="shared" si="179"/>
        <v>559470.97258704109</v>
      </c>
    </row>
    <row r="1502" spans="1:19">
      <c r="A1502" s="10">
        <f>16</f>
        <v>16</v>
      </c>
      <c r="B1502" s="18">
        <f>IF($A1502&gt;40,0,(B1484-MIN(MAX(C1501,0),B1484))+MIN(MAX(0,D1501-(B1484-MIN(MAX(C1501,0),B1484))),MAX(0,5*B1484-(C1501-MIN(MAX(C1501,0),B1484)))))</f>
        <v>29055</v>
      </c>
      <c r="C1502" s="18">
        <f>IF($A1502&gt;40,C1501,(C1501-B1484+B1502)*(1+$C$7))</f>
        <v>150945</v>
      </c>
      <c r="D1502" s="18">
        <f t="shared" si="174"/>
        <v>759256.09379383025</v>
      </c>
      <c r="E1502" s="18">
        <f>IF($A1502&gt;40,0,(E1484-MIN(MAX(F1501,0),E1484))+MIN(MAX(0,G1501-(E1484-MIN(MAX(F1501,0),E1484))),MAX(0,5*E1484-(F1501-MIN(MAX(F1501,0),E1484)))))</f>
        <v>75000</v>
      </c>
      <c r="F1502" s="18">
        <f>IF($A1502&gt;40,F1501,(F1501-E1484+E1502)*(1+$C$7))</f>
        <v>0</v>
      </c>
      <c r="G1502" s="18">
        <f t="shared" si="175"/>
        <v>-91834.382247636691</v>
      </c>
      <c r="H1502" s="18">
        <f>IF($A1502&gt;40,0,(H1484-MIN(MAX(I1501,0),H1484))+MIN(MAX(0,J1501-(H1484-MIN(MAX(I1501,0),H1484))),MAX(0,5*H1484-(I1501-MIN(MAX(I1501,0),H1484)))))</f>
        <v>37300.252312545286</v>
      </c>
      <c r="I1502" s="18">
        <f>IF($A1502&gt;40,I1501,(I1501-H1484+H1502)*(1+$C$7))</f>
        <v>193780.2989267646</v>
      </c>
      <c r="J1502" s="18">
        <f t="shared" si="176"/>
        <v>519333.48444026202</v>
      </c>
      <c r="K1502" s="18">
        <f>IF($A1502&gt;40,0,(K1484-MIN(MAX(L1501,0),K1484))+MIN(MAX(0,M1501-(K1484-MIN(MAX(L1501,0),K1484))),MAX(0,5*K1484-(L1501-MIN(MAX(L1501,0),K1484)))))</f>
        <v>36640.711743265419</v>
      </c>
      <c r="L1502" s="18">
        <f>IF($A1502&gt;40,L1501,(L1501-K1484+K1502)*(1+$C$7))</f>
        <v>190353.88862802263</v>
      </c>
      <c r="M1502" s="18">
        <f t="shared" si="177"/>
        <v>538524.97650841973</v>
      </c>
      <c r="N1502" s="18">
        <f>IF($A1502&gt;40,0,(N1484-MIN(MAX(O1501,0),N1484))+MIN(MAX(0,P1501-(N1484-MIN(MAX(O1501,0),N1484))),MAX(0,5*N1484-(O1501-MIN(MAX(O1501,0),N1484)))))</f>
        <v>36641.053726310143</v>
      </c>
      <c r="O1502" s="18">
        <f>IF($A1502&gt;40,O1501,(O1501-N1484+N1502)*(1+$C$7))</f>
        <v>190355.66528025753</v>
      </c>
      <c r="P1502" s="18">
        <f t="shared" si="178"/>
        <v>538515.02539214876</v>
      </c>
      <c r="Q1502" s="18">
        <f>IF($A1502&gt;40,0,(Q1484-MIN(MAX(R1501,0),Q1484))+MIN(MAX(0,S1501-(Q1484-MIN(MAX(R1501,0),Q1484))),MAX(0,5*Q1484-(R1501-MIN(MAX(R1501,0),Q1484)))))</f>
        <v>36641.061171213834</v>
      </c>
      <c r="R1502" s="18">
        <f>IF($A1502&gt;40,R1501,(R1501-Q1484+Q1502)*(1+$C$7))</f>
        <v>190355.70395762764</v>
      </c>
      <c r="S1502" s="18">
        <f t="shared" si="179"/>
        <v>538514.80875830201</v>
      </c>
    </row>
    <row r="1503" spans="1:19">
      <c r="A1503" s="10">
        <f>17</f>
        <v>17</v>
      </c>
      <c r="B1503" s="18">
        <f>IF($A1503&gt;40,0,(B1484-MIN(MAX(C1502,0),B1484))+MIN(MAX(0,D1502-(B1484-MIN(MAX(C1502,0),B1484))),MAX(0,5*B1484-(C1502-MIN(MAX(C1502,0),B1484)))))</f>
        <v>29055</v>
      </c>
      <c r="C1503" s="18">
        <f>IF($A1503&gt;40,C1502,(C1502-B1484+B1503)*(1+$C$7))</f>
        <v>150945</v>
      </c>
      <c r="D1503" s="18">
        <f t="shared" si="174"/>
        <v>752107.12660764519</v>
      </c>
      <c r="E1503" s="18">
        <f>IF($A1503&gt;40,0,(E1484-MIN(MAX(F1502,0),E1484))+MIN(MAX(0,G1502-(E1484-MIN(MAX(F1502,0),E1484))),MAX(0,5*E1484-(F1502-MIN(MAX(F1502,0),E1484)))))</f>
        <v>75000</v>
      </c>
      <c r="F1503" s="18">
        <f>IF($A1503&gt;40,F1502,(F1502-E1484+E1503)*(1+$C$7))</f>
        <v>0</v>
      </c>
      <c r="G1503" s="18">
        <f t="shared" si="175"/>
        <v>-171839.41371506578</v>
      </c>
      <c r="H1503" s="18">
        <f>IF($A1503&gt;40,0,(H1484-MIN(MAX(I1502,0),H1484))+MIN(MAX(0,J1502-(H1484-MIN(MAX(I1502,0),H1484))),MAX(0,5*H1484-(I1502-MIN(MAX(I1502,0),H1484)))))</f>
        <v>37300.252312545286</v>
      </c>
      <c r="I1503" s="18">
        <f>IF($A1503&gt;40,I1502,(I1502-H1484+H1503)*(1+$C$7))</f>
        <v>193780.2989267646</v>
      </c>
      <c r="J1503" s="18">
        <f t="shared" si="176"/>
        <v>496494.2290915483</v>
      </c>
      <c r="K1503" s="18">
        <f>IF($A1503&gt;40,0,(K1484-MIN(MAX(L1502,0),K1484))+MIN(MAX(0,M1502-(K1484-MIN(MAX(L1502,0),K1484))),MAX(0,5*K1484-(L1502-MIN(MAX(L1502,0),K1484)))))</f>
        <v>36640.711743265419</v>
      </c>
      <c r="L1503" s="18">
        <f>IF($A1503&gt;40,L1502,(L1502-K1484+K1503)*(1+$C$7))</f>
        <v>190353.88862802263</v>
      </c>
      <c r="M1503" s="18">
        <f t="shared" si="177"/>
        <v>516940.79270810896</v>
      </c>
      <c r="N1503" s="18">
        <f>IF($A1503&gt;40,0,(N1484-MIN(MAX(O1502,0),N1484))+MIN(MAX(0,P1502-(N1484-MIN(MAX(O1502,0),N1484))),MAX(0,5*N1484-(O1502-MIN(MAX(O1502,0),N1484)))))</f>
        <v>36641.053726310143</v>
      </c>
      <c r="O1503" s="18">
        <f>IF($A1503&gt;40,O1502,(O1502-N1484+N1503)*(1+$C$7))</f>
        <v>190355.66528025753</v>
      </c>
      <c r="P1503" s="18">
        <f t="shared" si="178"/>
        <v>516930.19081581378</v>
      </c>
      <c r="Q1503" s="18">
        <f>IF($A1503&gt;40,0,(Q1484-MIN(MAX(R1502,0),Q1484))+MIN(MAX(0,S1502-(Q1484-MIN(MAX(R1502,0),Q1484))),MAX(0,5*Q1484-(R1502-MIN(MAX(R1502,0),Q1484)))))</f>
        <v>36641.061171213834</v>
      </c>
      <c r="R1503" s="18">
        <f>IF($A1503&gt;40,R1502,(R1502-Q1484+Q1503)*(1+$C$7))</f>
        <v>190355.70395762764</v>
      </c>
      <c r="S1503" s="18">
        <f t="shared" si="179"/>
        <v>516929.96001470083</v>
      </c>
    </row>
    <row r="1504" spans="1:19">
      <c r="A1504" s="10">
        <f>18</f>
        <v>18</v>
      </c>
      <c r="B1504" s="18">
        <f>IF($A1504&gt;40,0,(B1484-MIN(MAX(C1503,0),B1484))+MIN(MAX(0,D1503-(B1484-MIN(MAX(C1503,0),B1484))),MAX(0,5*B1484-(C1503-MIN(MAX(C1503,0),B1484)))))</f>
        <v>29055</v>
      </c>
      <c r="C1504" s="18">
        <f>IF($A1504&gt;40,C1503,(C1503-B1484+B1504)*(1+$C$7))</f>
        <v>150945</v>
      </c>
      <c r="D1504" s="18">
        <f t="shared" si="174"/>
        <v>744743.69040587451</v>
      </c>
      <c r="E1504" s="18">
        <f>IF($A1504&gt;40,0,(E1484-MIN(MAX(F1503,0),E1484))+MIN(MAX(0,G1503-(E1484-MIN(MAX(F1503,0),E1484))),MAX(0,5*E1484-(F1503-MIN(MAX(F1503,0),E1484)))))</f>
        <v>75000</v>
      </c>
      <c r="F1504" s="18">
        <f>IF($A1504&gt;40,F1503,(F1503-E1484+E1504)*(1+$C$7))</f>
        <v>0</v>
      </c>
      <c r="G1504" s="18">
        <f t="shared" si="175"/>
        <v>-254244.59612651775</v>
      </c>
      <c r="H1504" s="18">
        <f>IF($A1504&gt;40,0,(H1484-MIN(MAX(I1503,0),H1484))+MIN(MAX(0,J1503-(H1484-MIN(MAX(I1503,0),H1484))),MAX(0,5*H1484-(I1503-MIN(MAX(I1503,0),H1484)))))</f>
        <v>37300.252312545286</v>
      </c>
      <c r="I1504" s="18">
        <f>IF($A1504&gt;40,I1503,(I1503-H1484+H1504)*(1+$C$7))</f>
        <v>193780.2989267646</v>
      </c>
      <c r="J1504" s="18">
        <f t="shared" si="176"/>
        <v>472969.79608237313</v>
      </c>
      <c r="K1504" s="18">
        <f>IF($A1504&gt;40,0,(K1484-MIN(MAX(L1503,0),K1484))+MIN(MAX(0,M1503-(K1484-MIN(MAX(L1503,0),K1484))),MAX(0,5*K1484-(L1503-MIN(MAX(L1503,0),K1484)))))</f>
        <v>36640.711743265419</v>
      </c>
      <c r="L1504" s="18">
        <f>IF($A1504&gt;40,L1503,(L1503-K1484+K1504)*(1+$C$7))</f>
        <v>190353.88862802263</v>
      </c>
      <c r="M1504" s="18">
        <f t="shared" si="177"/>
        <v>494709.08339378884</v>
      </c>
      <c r="N1504" s="18">
        <f>IF($A1504&gt;40,0,(N1484-MIN(MAX(O1503,0),N1484))+MIN(MAX(0,P1503-(N1484-MIN(MAX(O1503,0),N1484))),MAX(0,5*N1484-(O1503-MIN(MAX(O1503,0),N1484)))))</f>
        <v>36641.053726310143</v>
      </c>
      <c r="O1504" s="18">
        <f>IF($A1504&gt;40,O1503,(O1503-N1484+N1504)*(1+$C$7))</f>
        <v>190355.66528025753</v>
      </c>
      <c r="P1504" s="18">
        <f t="shared" si="178"/>
        <v>494697.81120218878</v>
      </c>
      <c r="Q1504" s="18">
        <f>IF($A1504&gt;40,0,(Q1484-MIN(MAX(R1503,0),Q1484))+MIN(MAX(0,S1503-(Q1484-MIN(MAX(R1503,0),Q1484))),MAX(0,5*Q1484-(R1503-MIN(MAX(R1503,0),Q1484)))))</f>
        <v>36641.061171213834</v>
      </c>
      <c r="R1504" s="18">
        <f>IF($A1504&gt;40,R1503,(R1503-Q1484+Q1504)*(1+$C$7))</f>
        <v>190355.70395762764</v>
      </c>
      <c r="S1504" s="18">
        <f t="shared" si="179"/>
        <v>494697.56580879167</v>
      </c>
    </row>
    <row r="1505" spans="1:19">
      <c r="A1505" s="10">
        <f>19</f>
        <v>19</v>
      </c>
      <c r="B1505" s="18">
        <f>IF($A1505&gt;40,0,(B1484-MIN(MAX(C1504,0),B1484))+MIN(MAX(0,D1504-(B1484-MIN(MAX(C1504,0),B1484))),MAX(0,5*B1484-(C1504-MIN(MAX(C1504,0),B1484)))))</f>
        <v>29055</v>
      </c>
      <c r="C1505" s="18">
        <f>IF($A1505&gt;40,C1504,(C1504-B1484+B1505)*(1+$C$7))</f>
        <v>150945</v>
      </c>
      <c r="D1505" s="18">
        <f t="shared" si="174"/>
        <v>737159.35111805075</v>
      </c>
      <c r="E1505" s="18">
        <f>IF($A1505&gt;40,0,(E1484-MIN(MAX(F1504,0),E1484))+MIN(MAX(0,G1504-(E1484-MIN(MAX(F1504,0),E1484))),MAX(0,5*E1484-(F1504-MIN(MAX(F1504,0),E1484)))))</f>
        <v>75000</v>
      </c>
      <c r="F1505" s="18">
        <f>IF($A1505&gt;40,F1504,(F1504-E1484+E1505)*(1+$C$7))</f>
        <v>0</v>
      </c>
      <c r="G1505" s="18">
        <f t="shared" si="175"/>
        <v>-339121.9340103133</v>
      </c>
      <c r="H1505" s="18">
        <f>IF($A1505&gt;40,0,(H1484-MIN(MAX(I1504,0),H1484))+MIN(MAX(0,J1504-(H1484-MIN(MAX(I1504,0),H1484))),MAX(0,5*H1484-(I1504-MIN(MAX(I1504,0),H1484)))))</f>
        <v>37300.252312545286</v>
      </c>
      <c r="I1505" s="18">
        <f>IF($A1505&gt;40,I1504,(I1504-H1484+H1505)*(1+$C$7))</f>
        <v>193780.2989267646</v>
      </c>
      <c r="J1505" s="18">
        <f t="shared" si="176"/>
        <v>448739.63008292264</v>
      </c>
      <c r="K1505" s="18">
        <f>IF($A1505&gt;40,0,(K1484-MIN(MAX(L1504,0),K1484))+MIN(MAX(0,M1504-(K1484-MIN(MAX(L1504,0),K1484))),MAX(0,5*K1484-(L1504-MIN(MAX(L1504,0),K1484)))))</f>
        <v>36640.711743265419</v>
      </c>
      <c r="L1505" s="18">
        <f>IF($A1505&gt;40,L1504,(L1504-K1484+K1505)*(1+$C$7))</f>
        <v>190353.88862802263</v>
      </c>
      <c r="M1505" s="18">
        <f t="shared" si="177"/>
        <v>471810.42280003912</v>
      </c>
      <c r="N1505" s="18">
        <f>IF($A1505&gt;40,0,(N1484-MIN(MAX(O1504,0),N1484))+MIN(MAX(0,P1504-(N1484-MIN(MAX(O1504,0),N1484))),MAX(0,5*N1484-(O1504-MIN(MAX(O1504,0),N1484)))))</f>
        <v>36641.053726310143</v>
      </c>
      <c r="O1505" s="18">
        <f>IF($A1505&gt;40,O1504,(O1504-N1484+N1505)*(1+$C$7))</f>
        <v>190355.66528025753</v>
      </c>
      <c r="P1505" s="18">
        <f t="shared" si="178"/>
        <v>471798.46020015498</v>
      </c>
      <c r="Q1505" s="18">
        <f>IF($A1505&gt;40,0,(Q1484-MIN(MAX(R1504,0),Q1484))+MIN(MAX(0,S1504-(Q1484-MIN(MAX(R1504,0),Q1484))),MAX(0,5*Q1484-(R1504-MIN(MAX(R1504,0),Q1484)))))</f>
        <v>36641.061171213834</v>
      </c>
      <c r="R1505" s="18">
        <f>IF($A1505&gt;40,R1504,(R1504-Q1484+Q1505)*(1+$C$7))</f>
        <v>190355.70395762764</v>
      </c>
      <c r="S1505" s="18">
        <f t="shared" si="179"/>
        <v>471798.19977670512</v>
      </c>
    </row>
    <row r="1506" spans="1:19">
      <c r="A1506" s="10">
        <f>20</f>
        <v>20</v>
      </c>
      <c r="B1506" s="18">
        <f>IF($A1506&gt;40,0,(B1484-MIN(MAX(C1505,0),B1484))+MIN(MAX(0,D1505-(B1484-MIN(MAX(C1505,0),B1484))),MAX(0,5*B1484-(C1505-MIN(MAX(C1505,0),B1484)))))</f>
        <v>29055</v>
      </c>
      <c r="C1506" s="18">
        <f>IF($A1506&gt;40,C1505,(C1505-B1484+B1506)*(1+$C$7))</f>
        <v>150945</v>
      </c>
      <c r="D1506" s="18">
        <f t="shared" si="174"/>
        <v>729347.4816515923</v>
      </c>
      <c r="E1506" s="18">
        <f>IF($A1506&gt;40,0,(E1484-MIN(MAX(F1505,0),E1484))+MIN(MAX(0,G1505-(E1484-MIN(MAX(F1505,0),E1484))),MAX(0,5*E1484-(F1505-MIN(MAX(F1505,0),E1484)))))</f>
        <v>75000</v>
      </c>
      <c r="F1506" s="18">
        <f>IF($A1506&gt;40,F1505,(F1505-E1484+E1506)*(1+$C$7))</f>
        <v>0</v>
      </c>
      <c r="G1506" s="18">
        <f t="shared" si="175"/>
        <v>-426545.59203062271</v>
      </c>
      <c r="H1506" s="18">
        <f>IF($A1506&gt;40,0,(H1484-MIN(MAX(I1505,0),H1484))+MIN(MAX(0,J1505-(H1484-MIN(MAX(I1505,0),H1484))),MAX(0,5*H1484-(I1505-MIN(MAX(I1505,0),H1484)))))</f>
        <v>37300.252312545286</v>
      </c>
      <c r="I1506" s="18">
        <f>IF($A1506&gt;40,I1505,(I1505-H1484+H1506)*(1+$C$7))</f>
        <v>193780.2989267646</v>
      </c>
      <c r="J1506" s="18">
        <f t="shared" si="176"/>
        <v>423782.55910348863</v>
      </c>
      <c r="K1506" s="18">
        <f>IF($A1506&gt;40,0,(K1484-MIN(MAX(L1505,0),K1484))+MIN(MAX(0,M1505-(K1484-MIN(MAX(L1505,0),K1484))),MAX(0,5*K1484-(L1505-MIN(MAX(L1505,0),K1484)))))</f>
        <v>36640.711743265419</v>
      </c>
      <c r="L1506" s="18">
        <f>IF($A1506&gt;40,L1505,(L1505-K1484+K1506)*(1+$C$7))</f>
        <v>190353.88862802263</v>
      </c>
      <c r="M1506" s="18">
        <f t="shared" si="177"/>
        <v>448224.80238847691</v>
      </c>
      <c r="N1506" s="18">
        <f>IF($A1506&gt;40,0,(N1484-MIN(MAX(O1505,0),N1484))+MIN(MAX(0,P1505-(N1484-MIN(MAX(O1505,0),N1484))),MAX(0,5*N1484-(O1505-MIN(MAX(O1505,0),N1484)))))</f>
        <v>36641.053726310143</v>
      </c>
      <c r="O1506" s="18">
        <f>IF($A1506&gt;40,O1505,(O1505-N1484+N1506)*(1+$C$7))</f>
        <v>190355.66528025753</v>
      </c>
      <c r="P1506" s="18">
        <f t="shared" si="178"/>
        <v>448212.12866806018</v>
      </c>
      <c r="Q1506" s="18">
        <f>IF($A1506&gt;40,0,(Q1484-MIN(MAX(R1505,0),Q1484))+MIN(MAX(0,S1505-(Q1484-MIN(MAX(R1505,0),Q1484))),MAX(0,5*Q1484-(R1505-MIN(MAX(R1505,0),Q1484)))))</f>
        <v>36641.061171213834</v>
      </c>
      <c r="R1506" s="18">
        <f>IF($A1506&gt;40,R1505,(R1505-Q1484+Q1506)*(1+$C$7))</f>
        <v>190355.70395762764</v>
      </c>
      <c r="S1506" s="18">
        <f t="shared" si="179"/>
        <v>448211.852763656</v>
      </c>
    </row>
    <row r="1507" spans="1:19">
      <c r="A1507" s="10">
        <f>21</f>
        <v>21</v>
      </c>
      <c r="B1507" s="18">
        <f>IF($A1507&gt;40,0,(B1484-MIN(MAX(C1506,0),B1484))+MIN(MAX(0,D1506-(B1484-MIN(MAX(C1506,0),B1484))),MAX(0,5*B1484-(C1506-MIN(MAX(C1506,0),B1484)))))</f>
        <v>29055</v>
      </c>
      <c r="C1507" s="18">
        <f>IF($A1507&gt;40,C1506,(C1506-B1484+B1507)*(1+$C$7))</f>
        <v>150945</v>
      </c>
      <c r="D1507" s="18">
        <f t="shared" si="174"/>
        <v>721301.25610114005</v>
      </c>
      <c r="E1507" s="18">
        <f>IF($A1507&gt;40,0,(E1484-MIN(MAX(F1506,0),E1484))+MIN(MAX(0,G1506-(E1484-MIN(MAX(F1506,0),E1484))),MAX(0,5*E1484-(F1506-MIN(MAX(F1506,0),E1484)))))</f>
        <v>75000</v>
      </c>
      <c r="F1507" s="18">
        <f>IF($A1507&gt;40,F1506,(F1506-E1484+E1507)*(1+$C$7))</f>
        <v>0</v>
      </c>
      <c r="G1507" s="18">
        <f t="shared" si="175"/>
        <v>-516591.95979154139</v>
      </c>
      <c r="H1507" s="18">
        <f>IF($A1507&gt;40,0,(H1484-MIN(MAX(I1506,0),H1484))+MIN(MAX(0,J1506-(H1484-MIN(MAX(I1506,0),H1484))),MAX(0,5*H1484-(I1506-MIN(MAX(I1506,0),H1484)))))</f>
        <v>37300.252312545286</v>
      </c>
      <c r="I1507" s="18">
        <f>IF($A1507&gt;40,I1506,(I1506-H1484+H1507)*(1+$C$7))</f>
        <v>193780.2989267646</v>
      </c>
      <c r="J1507" s="18">
        <f t="shared" si="176"/>
        <v>398076.77599467168</v>
      </c>
      <c r="K1507" s="18">
        <f>IF($A1507&gt;40,0,(K1484-MIN(MAX(L1506,0),K1484))+MIN(MAX(0,M1506-(K1484-MIN(MAX(L1506,0),K1484))),MAX(0,5*K1484-(L1506-MIN(MAX(L1506,0),K1484)))))</f>
        <v>36640.711743265419</v>
      </c>
      <c r="L1507" s="18">
        <f>IF($A1507&gt;40,L1506,(L1506-K1484+K1507)*(1+$C$7))</f>
        <v>190353.88862802263</v>
      </c>
      <c r="M1507" s="18">
        <f t="shared" si="177"/>
        <v>423931.61336456786</v>
      </c>
      <c r="N1507" s="18">
        <f>IF($A1507&gt;40,0,(N1484-MIN(MAX(O1506,0),N1484))+MIN(MAX(0,P1506-(N1484-MIN(MAX(O1506,0),N1484))),MAX(0,5*N1484-(O1506-MIN(MAX(O1506,0),N1484)))))</f>
        <v>36641.053726310143</v>
      </c>
      <c r="O1507" s="18">
        <f>IF($A1507&gt;40,O1506,(O1506-N1484+N1507)*(1+$C$7))</f>
        <v>190355.66528025753</v>
      </c>
      <c r="P1507" s="18">
        <f t="shared" si="178"/>
        <v>423918.20719000255</v>
      </c>
      <c r="Q1507" s="18">
        <f>IF($A1507&gt;40,0,(Q1484-MIN(MAX(R1506,0),Q1484))+MIN(MAX(0,S1506-(Q1484-MIN(MAX(R1506,0),Q1484))),MAX(0,5*Q1484-(R1506-MIN(MAX(R1506,0),Q1484)))))</f>
        <v>36641.061171213834</v>
      </c>
      <c r="R1507" s="18">
        <f>IF($A1507&gt;40,R1506,(R1506-Q1484+Q1507)*(1+$C$7))</f>
        <v>190355.70395762764</v>
      </c>
      <c r="S1507" s="18">
        <f t="shared" si="179"/>
        <v>423917.91534021549</v>
      </c>
    </row>
    <row r="1508" spans="1:19">
      <c r="A1508" s="10">
        <f>22</f>
        <v>22</v>
      </c>
      <c r="B1508" s="18">
        <f>IF($A1508&gt;40,0,(B1484-MIN(MAX(C1507,0),B1484))+MIN(MAX(0,D1507-(B1484-MIN(MAX(C1507,0),B1484))),MAX(0,5*B1484-(C1507-MIN(MAX(C1507,0),B1484)))))</f>
        <v>29055</v>
      </c>
      <c r="C1508" s="18">
        <f>IF($A1508&gt;40,C1507,(C1507-B1484+B1508)*(1+$C$7))</f>
        <v>150945</v>
      </c>
      <c r="D1508" s="18">
        <f t="shared" si="174"/>
        <v>713013.64378417423</v>
      </c>
      <c r="E1508" s="18">
        <f>IF($A1508&gt;40,0,(E1484-MIN(MAX(F1507,0),E1484))+MIN(MAX(0,G1507-(E1484-MIN(MAX(F1507,0),E1484))),MAX(0,5*E1484-(F1507-MIN(MAX(F1507,0),E1484)))))</f>
        <v>75000</v>
      </c>
      <c r="F1508" s="18">
        <f>IF($A1508&gt;40,F1507,(F1507-E1484+E1508)*(1+$C$7))</f>
        <v>0</v>
      </c>
      <c r="G1508" s="18">
        <f t="shared" si="175"/>
        <v>-609339.71858528757</v>
      </c>
      <c r="H1508" s="18">
        <f>IF($A1508&gt;40,0,(H1484-MIN(MAX(I1507,0),H1484))+MIN(MAX(0,J1507-(H1484-MIN(MAX(I1507,0),H1484))),MAX(0,5*H1484-(I1507-MIN(MAX(I1507,0),H1484)))))</f>
        <v>37300.252312545286</v>
      </c>
      <c r="I1508" s="18">
        <f>IF($A1508&gt;40,I1507,(I1507-H1484+H1508)*(1+$C$7))</f>
        <v>193780.2989267646</v>
      </c>
      <c r="J1508" s="18">
        <f t="shared" si="176"/>
        <v>371599.8193925902</v>
      </c>
      <c r="K1508" s="18">
        <f>IF($A1508&gt;40,0,(K1484-MIN(MAX(L1507,0),K1484))+MIN(MAX(0,M1507-(K1484-MIN(MAX(L1507,0),K1484))),MAX(0,5*K1484-(L1507-MIN(MAX(L1507,0),K1484)))))</f>
        <v>36640.711743265419</v>
      </c>
      <c r="L1508" s="18">
        <f>IF($A1508&gt;40,L1507,(L1507-K1484+K1508)*(1+$C$7))</f>
        <v>190353.88862802263</v>
      </c>
      <c r="M1508" s="18">
        <f t="shared" si="177"/>
        <v>398909.62866994157</v>
      </c>
      <c r="N1508" s="18">
        <f>IF($A1508&gt;40,0,(N1484-MIN(MAX(O1507,0),N1484))+MIN(MAX(0,P1507-(N1484-MIN(MAX(O1507,0),N1484))),MAX(0,5*N1484-(O1507-MIN(MAX(O1507,0),N1484)))))</f>
        <v>36641.053726310143</v>
      </c>
      <c r="O1508" s="18">
        <f>IF($A1508&gt;40,O1507,(O1507-N1484+N1508)*(1+$C$7))</f>
        <v>190355.66528025753</v>
      </c>
      <c r="P1508" s="18">
        <f t="shared" si="178"/>
        <v>398895.46806760319</v>
      </c>
      <c r="Q1508" s="18">
        <f>IF($A1508&gt;40,0,(Q1484-MIN(MAX(R1507,0),Q1484))+MIN(MAX(0,S1507-(Q1484-MIN(MAX(R1507,0),Q1484))),MAX(0,5*Q1484-(R1507-MIN(MAX(R1507,0),Q1484)))))</f>
        <v>36641.061171213834</v>
      </c>
      <c r="R1508" s="18">
        <f>IF($A1508&gt;40,R1507,(R1507-Q1484+Q1508)*(1+$C$7))</f>
        <v>190355.70395762764</v>
      </c>
      <c r="S1508" s="18">
        <f t="shared" si="179"/>
        <v>398895.15979407175</v>
      </c>
    </row>
    <row r="1509" spans="1:19">
      <c r="A1509" s="10">
        <f>23</f>
        <v>23</v>
      </c>
      <c r="B1509" s="18">
        <f>IF($A1509&gt;40,0,(B1484-MIN(MAX(C1508,0),B1484))+MIN(MAX(0,D1508-(B1484-MIN(MAX(C1508,0),B1484))),MAX(0,5*B1484-(C1508-MIN(MAX(C1508,0),B1484)))))</f>
        <v>29055</v>
      </c>
      <c r="C1509" s="18">
        <f>IF($A1509&gt;40,C1508,(C1508-B1484+B1509)*(1+$C$7))</f>
        <v>150945</v>
      </c>
      <c r="D1509" s="18">
        <f t="shared" si="174"/>
        <v>704477.40309769951</v>
      </c>
      <c r="E1509" s="18">
        <f>IF($A1509&gt;40,0,(E1484-MIN(MAX(F1508,0),E1484))+MIN(MAX(0,G1508-(E1484-MIN(MAX(F1508,0),E1484))),MAX(0,5*E1484-(F1508-MIN(MAX(F1508,0),E1484)))))</f>
        <v>75000</v>
      </c>
      <c r="F1509" s="18">
        <f>IF($A1509&gt;40,F1508,(F1508-E1484+E1509)*(1+$C$7))</f>
        <v>0</v>
      </c>
      <c r="G1509" s="18">
        <f t="shared" si="175"/>
        <v>-704869.91014284617</v>
      </c>
      <c r="H1509" s="18">
        <f>IF($A1509&gt;40,0,(H1484-MIN(MAX(I1508,0),H1484))+MIN(MAX(0,J1508-(H1484-MIN(MAX(I1508,0),H1484))),MAX(0,5*H1484-(I1508-MIN(MAX(I1508,0),H1484)))))</f>
        <v>37300.252312545286</v>
      </c>
      <c r="I1509" s="18">
        <f>IF($A1509&gt;40,I1508,(I1508-H1484+H1509)*(1+$C$7))</f>
        <v>193780.2989267646</v>
      </c>
      <c r="J1509" s="18">
        <f t="shared" si="176"/>
        <v>344328.55409244623</v>
      </c>
      <c r="K1509" s="18">
        <f>IF($A1509&gt;40,0,(K1484-MIN(MAX(L1508,0),K1484))+MIN(MAX(0,M1508-(K1484-MIN(MAX(L1508,0),K1484))),MAX(0,5*K1484-(L1508-MIN(MAX(L1508,0),K1484)))))</f>
        <v>36640.711743265419</v>
      </c>
      <c r="L1509" s="18">
        <f>IF($A1509&gt;40,L1508,(L1508-K1484+K1509)*(1+$C$7))</f>
        <v>190353.88862802263</v>
      </c>
      <c r="M1509" s="18">
        <f t="shared" si="177"/>
        <v>373136.98443447647</v>
      </c>
      <c r="N1509" s="18">
        <f>IF($A1509&gt;40,0,(N1484-MIN(MAX(O1508,0),N1484))+MIN(MAX(0,P1508-(N1484-MIN(MAX(O1508,0),N1484))),MAX(0,5*N1484-(O1508-MIN(MAX(O1508,0),N1484)))))</f>
        <v>36641.053726310143</v>
      </c>
      <c r="O1509" s="18">
        <f>IF($A1509&gt;40,O1508,(O1508-N1484+N1509)*(1+$C$7))</f>
        <v>190355.66528025753</v>
      </c>
      <c r="P1509" s="18">
        <f t="shared" si="178"/>
        <v>373122.04677153187</v>
      </c>
      <c r="Q1509" s="18">
        <f>IF($A1509&gt;40,0,(Q1484-MIN(MAX(R1508,0),Q1484))+MIN(MAX(0,S1508-(Q1484-MIN(MAX(R1508,0),Q1484))),MAX(0,5*Q1484-(R1508-MIN(MAX(R1508,0),Q1484)))))</f>
        <v>36641.061171213834</v>
      </c>
      <c r="R1509" s="18">
        <f>IF($A1509&gt;40,R1508,(R1508-Q1484+Q1509)*(1+$C$7))</f>
        <v>190355.70395762764</v>
      </c>
      <c r="S1509" s="18">
        <f t="shared" si="179"/>
        <v>373121.72158154368</v>
      </c>
    </row>
    <row r="1510" spans="1:19">
      <c r="A1510" s="10">
        <f>24</f>
        <v>24</v>
      </c>
      <c r="B1510" s="18">
        <f>IF($A1510&gt;40,0,(B1484-MIN(MAX(C1509,0),B1484))+MIN(MAX(0,D1509-(B1484-MIN(MAX(C1509,0),B1484))),MAX(0,5*B1484-(C1509-MIN(MAX(C1509,0),B1484)))))</f>
        <v>29055</v>
      </c>
      <c r="C1510" s="18">
        <f>IF($A1510&gt;40,C1509,(C1509-B1484+B1510)*(1+$C$7))</f>
        <v>150945</v>
      </c>
      <c r="D1510" s="18">
        <f t="shared" si="174"/>
        <v>695685.07519063051</v>
      </c>
      <c r="E1510" s="18">
        <f>IF($A1510&gt;40,0,(E1484-MIN(MAX(F1509,0),E1484))+MIN(MAX(0,G1509-(E1484-MIN(MAX(F1509,0),E1484))),MAX(0,5*E1484-(F1509-MIN(MAX(F1509,0),E1484)))))</f>
        <v>75000</v>
      </c>
      <c r="F1510" s="18">
        <f>IF($A1510&gt;40,F1509,(F1509-E1484+E1510)*(1+$C$7))</f>
        <v>0</v>
      </c>
      <c r="G1510" s="18">
        <f t="shared" si="175"/>
        <v>-803266.00744713156</v>
      </c>
      <c r="H1510" s="18">
        <f>IF($A1510&gt;40,0,(H1484-MIN(MAX(I1509,0),H1484))+MIN(MAX(0,J1509-(H1484-MIN(MAX(I1509,0),H1484))),MAX(0,5*H1484-(I1509-MIN(MAX(I1509,0),H1484)))))</f>
        <v>37300.252312545286</v>
      </c>
      <c r="I1510" s="18">
        <f>IF($A1510&gt;40,I1509,(I1509-H1484+H1510)*(1+$C$7))</f>
        <v>193780.2989267646</v>
      </c>
      <c r="J1510" s="18">
        <f t="shared" si="176"/>
        <v>316239.15083329793</v>
      </c>
      <c r="K1510" s="18">
        <f>IF($A1510&gt;40,0,(K1484-MIN(MAX(L1509,0),K1484))+MIN(MAX(0,M1509-(K1484-MIN(MAX(L1509,0),K1484))),MAX(0,5*K1484-(L1509-MIN(MAX(L1509,0),K1484)))))</f>
        <v>36640.711743265419</v>
      </c>
      <c r="L1510" s="18">
        <f>IF($A1510&gt;40,L1509,(L1509-K1484+K1510)*(1+$C$7))</f>
        <v>190353.88862802263</v>
      </c>
      <c r="M1510" s="18">
        <f t="shared" si="177"/>
        <v>346591.16087194742</v>
      </c>
      <c r="N1510" s="18">
        <f>IF($A1510&gt;40,0,(N1484-MIN(MAX(O1509,0),N1484))+MIN(MAX(0,P1509-(N1484-MIN(MAX(O1509,0),N1484))),MAX(0,5*N1484-(O1509-MIN(MAX(O1509,0),N1484)))))</f>
        <v>36641.053726310143</v>
      </c>
      <c r="O1510" s="18">
        <f>IF($A1510&gt;40,O1509,(O1509-N1484+N1510)*(1+$C$7))</f>
        <v>190355.66528025753</v>
      </c>
      <c r="P1510" s="18">
        <f t="shared" si="178"/>
        <v>346575.42283657839</v>
      </c>
      <c r="Q1510" s="18">
        <f>IF($A1510&gt;40,0,(Q1484-MIN(MAX(R1509,0),Q1484))+MIN(MAX(0,S1509-(Q1484-MIN(MAX(R1509,0),Q1484))),MAX(0,5*Q1484-(R1509-MIN(MAX(R1509,0),Q1484)))))</f>
        <v>36641.061171213834</v>
      </c>
      <c r="R1510" s="18">
        <f>IF($A1510&gt;40,R1509,(R1509-Q1484+Q1510)*(1+$C$7))</f>
        <v>190355.70395762764</v>
      </c>
      <c r="S1510" s="18">
        <f t="shared" si="179"/>
        <v>346575.08022263972</v>
      </c>
    </row>
    <row r="1511" spans="1:19">
      <c r="A1511" s="10">
        <f>25</f>
        <v>25</v>
      </c>
      <c r="B1511" s="18">
        <f>IF($A1511&gt;40,0,(B1484-MIN(MAX(C1510,0),B1484))+MIN(MAX(0,D1510-(B1484-MIN(MAX(C1510,0),B1484))),MAX(0,5*B1484-(C1510-MIN(MAX(C1510,0),B1484)))))</f>
        <v>29055</v>
      </c>
      <c r="C1511" s="18">
        <f>IF($A1511&gt;40,C1510,(C1510-B1484+B1511)*(1+$C$7))</f>
        <v>150945</v>
      </c>
      <c r="D1511" s="18">
        <f t="shared" si="174"/>
        <v>686628.97744634945</v>
      </c>
      <c r="E1511" s="18">
        <f>IF($A1511&gt;40,0,(E1484-MIN(MAX(F1510,0),E1484))+MIN(MAX(0,G1510-(E1484-MIN(MAX(F1510,0),E1484))),MAX(0,5*E1484-(F1510-MIN(MAX(F1510,0),E1484)))))</f>
        <v>75000</v>
      </c>
      <c r="F1511" s="18">
        <f>IF($A1511&gt;40,F1510,(F1510-E1484+E1511)*(1+$C$7))</f>
        <v>0</v>
      </c>
      <c r="G1511" s="18">
        <f t="shared" si="175"/>
        <v>-904613.98767054558</v>
      </c>
      <c r="H1511" s="18">
        <f>IF($A1511&gt;40,0,(H1484-MIN(MAX(I1510,0),H1484))+MIN(MAX(0,J1510-(H1484-MIN(MAX(I1510,0),H1484))),MAX(0,5*H1484-(I1510-MIN(MAX(I1510,0),H1484)))))</f>
        <v>37300.252312545286</v>
      </c>
      <c r="I1511" s="18">
        <f>IF($A1511&gt;40,I1510,(I1510-H1484+H1511)*(1+$C$7))</f>
        <v>193780.2989267646</v>
      </c>
      <c r="J1511" s="18">
        <f t="shared" si="176"/>
        <v>287307.06547637528</v>
      </c>
      <c r="K1511" s="18">
        <f>IF($A1511&gt;40,0,(K1484-MIN(MAX(L1510,0),K1484))+MIN(MAX(0,M1510-(K1484-MIN(MAX(L1510,0),K1484))),MAX(0,5*K1484-(L1510-MIN(MAX(L1510,0),K1484)))))</f>
        <v>36640.711743265419</v>
      </c>
      <c r="L1511" s="18">
        <f>IF($A1511&gt;40,L1510,(L1510-K1484+K1511)*(1+$C$7))</f>
        <v>190353.88862802263</v>
      </c>
      <c r="M1511" s="18">
        <f t="shared" si="177"/>
        <v>319248.96260254248</v>
      </c>
      <c r="N1511" s="18">
        <f>IF($A1511&gt;40,0,(N1484-MIN(MAX(O1510,0),N1484))+MIN(MAX(0,P1510-(N1484-MIN(MAX(O1510,0),N1484))),MAX(0,5*N1484-(O1510-MIN(MAX(O1510,0),N1484)))))</f>
        <v>36641.053726310143</v>
      </c>
      <c r="O1511" s="18">
        <f>IF($A1511&gt;40,O1510,(O1510-N1484+N1511)*(1+$C$7))</f>
        <v>190355.66528025753</v>
      </c>
      <c r="P1511" s="18">
        <f t="shared" si="178"/>
        <v>319232.40018357633</v>
      </c>
      <c r="Q1511" s="18">
        <f>IF($A1511&gt;40,0,(Q1484-MIN(MAX(R1510,0),Q1484))+MIN(MAX(0,S1510-(Q1484-MIN(MAX(R1510,0),Q1484))),MAX(0,5*Q1484-(R1510-MIN(MAX(R1510,0),Q1484)))))</f>
        <v>36641.061171213834</v>
      </c>
      <c r="R1511" s="18">
        <f>IF($A1511&gt;40,R1510,(R1510-Q1484+Q1511)*(1+$C$7))</f>
        <v>190355.70395762764</v>
      </c>
      <c r="S1511" s="18">
        <f t="shared" si="179"/>
        <v>319232.03962296864</v>
      </c>
    </row>
    <row r="1512" spans="1:19">
      <c r="A1512" s="10">
        <f>26</f>
        <v>26</v>
      </c>
      <c r="B1512" s="18">
        <f>IF($A1512&gt;40,0,(B1484-MIN(MAX(C1511,0),B1484))+MIN(MAX(0,D1511-(B1484-MIN(MAX(C1511,0),B1484))),MAX(0,5*B1484-(C1511-MIN(MAX(C1511,0),B1484)))))</f>
        <v>29055</v>
      </c>
      <c r="C1512" s="18">
        <f>IF($A1512&gt;40,C1511,(C1511-B1484+B1512)*(1+$C$7))</f>
        <v>150945</v>
      </c>
      <c r="D1512" s="18">
        <f t="shared" si="174"/>
        <v>677301.19676973997</v>
      </c>
      <c r="E1512" s="18">
        <f>IF($A1512&gt;40,0,(E1484-MIN(MAX(F1511,0),E1484))+MIN(MAX(0,G1511-(E1484-MIN(MAX(F1511,0),E1484))),MAX(0,5*E1484-(F1511-MIN(MAX(F1511,0),E1484)))))</f>
        <v>75000</v>
      </c>
      <c r="F1512" s="18">
        <f>IF($A1512&gt;40,F1511,(F1511-E1484+E1512)*(1+$C$7))</f>
        <v>0</v>
      </c>
      <c r="G1512" s="18">
        <f t="shared" si="175"/>
        <v>-1009002.407300662</v>
      </c>
      <c r="H1512" s="18">
        <f>IF($A1512&gt;40,0,(H1484-MIN(MAX(I1511,0),H1484))+MIN(MAX(0,J1511-(H1484-MIN(MAX(I1511,0),H1484))),MAX(0,5*H1484-(I1511-MIN(MAX(I1511,0),H1484)))))</f>
        <v>37300.252312545286</v>
      </c>
      <c r="I1512" s="18">
        <f>IF($A1512&gt;40,I1511,(I1511-H1484+H1512)*(1+$C$7))</f>
        <v>193780.2989267646</v>
      </c>
      <c r="J1512" s="18">
        <f t="shared" si="176"/>
        <v>257507.0175587449</v>
      </c>
      <c r="K1512" s="18">
        <f>IF($A1512&gt;40,0,(K1484-MIN(MAX(L1511,0),K1484))+MIN(MAX(0,M1511-(K1484-MIN(MAX(L1511,0),K1484))),MAX(0,5*K1484-(L1511-MIN(MAX(L1511,0),K1484)))))</f>
        <v>36640.711743265419</v>
      </c>
      <c r="L1512" s="18">
        <f>IF($A1512&gt;40,L1511,(L1511-K1484+K1512)*(1+$C$7))</f>
        <v>190353.88862802263</v>
      </c>
      <c r="M1512" s="18">
        <f t="shared" si="177"/>
        <v>291086.4983850554</v>
      </c>
      <c r="N1512" s="18">
        <f>IF($A1512&gt;40,0,(N1484-MIN(MAX(O1511,0),N1484))+MIN(MAX(0,P1511-(N1484-MIN(MAX(O1511,0),N1484))),MAX(0,5*N1484-(O1511-MIN(MAX(O1511,0),N1484)))))</f>
        <v>36641.053726310143</v>
      </c>
      <c r="O1512" s="18">
        <f>IF($A1512&gt;40,O1511,(O1511-N1484+N1512)*(1+$C$7))</f>
        <v>190355.66528025753</v>
      </c>
      <c r="P1512" s="18">
        <f t="shared" si="178"/>
        <v>291069.0868509842</v>
      </c>
      <c r="Q1512" s="18">
        <f>IF($A1512&gt;40,0,(Q1484-MIN(MAX(R1511,0),Q1484))+MIN(MAX(0,S1511-(Q1484-MIN(MAX(R1511,0),Q1484))),MAX(0,5*Q1484-(R1511-MIN(MAX(R1511,0),Q1484)))))</f>
        <v>36641.061171213834</v>
      </c>
      <c r="R1512" s="18">
        <f>IF($A1512&gt;40,R1511,(R1511-Q1484+Q1512)*(1+$C$7))</f>
        <v>190355.70395762764</v>
      </c>
      <c r="S1512" s="18">
        <f t="shared" si="179"/>
        <v>291068.70780530741</v>
      </c>
    </row>
    <row r="1513" spans="1:19">
      <c r="A1513" s="10">
        <f>27</f>
        <v>27</v>
      </c>
      <c r="B1513" s="18">
        <f>IF($A1513&gt;40,0,(B1484-MIN(MAX(C1512,0),B1484))+MIN(MAX(0,D1512-(B1484-MIN(MAX(C1512,0),B1484))),MAX(0,5*B1484-(C1512-MIN(MAX(C1512,0),B1484)))))</f>
        <v>29055</v>
      </c>
      <c r="C1513" s="18">
        <f>IF($A1513&gt;40,C1512,(C1512-B1484+B1513)*(1+$C$7))</f>
        <v>150945</v>
      </c>
      <c r="D1513" s="18">
        <f t="shared" si="174"/>
        <v>667693.58267283218</v>
      </c>
      <c r="E1513" s="18">
        <f>IF($A1513&gt;40,0,(E1484-MIN(MAX(F1512,0),E1484))+MIN(MAX(0,G1512-(E1484-MIN(MAX(F1512,0),E1484))),MAX(0,5*E1484-(F1512-MIN(MAX(F1512,0),E1484)))))</f>
        <v>75000</v>
      </c>
      <c r="F1513" s="18">
        <f>IF($A1513&gt;40,F1512,(F1512-E1484+E1513)*(1+$C$7))</f>
        <v>0</v>
      </c>
      <c r="G1513" s="18">
        <f t="shared" si="175"/>
        <v>-1116522.479519682</v>
      </c>
      <c r="H1513" s="18">
        <f>IF($A1513&gt;40,0,(H1484-MIN(MAX(I1512,0),H1484))+MIN(MAX(0,J1512-(H1484-MIN(MAX(I1512,0),H1484))),MAX(0,5*H1484-(I1512-MIN(MAX(I1512,0),H1484)))))</f>
        <v>37300.252312545286</v>
      </c>
      <c r="I1513" s="18">
        <f>IF($A1513&gt;40,I1512,(I1512-H1484+H1513)*(1+$C$7))</f>
        <v>193780.2989267646</v>
      </c>
      <c r="J1513" s="18">
        <f t="shared" si="176"/>
        <v>226812.96820358562</v>
      </c>
      <c r="K1513" s="18">
        <f>IF($A1513&gt;40,0,(K1484-MIN(MAX(L1512,0),K1484))+MIN(MAX(0,M1512-(K1484-MIN(MAX(L1512,0),K1484))),MAX(0,5*K1484-(L1512-MIN(MAX(L1512,0),K1484)))))</f>
        <v>36640.711743265419</v>
      </c>
      <c r="L1513" s="18">
        <f>IF($A1513&gt;40,L1512,(L1512-K1484+K1513)*(1+$C$7))</f>
        <v>190353.88862802263</v>
      </c>
      <c r="M1513" s="18">
        <f t="shared" si="177"/>
        <v>262079.16024104369</v>
      </c>
      <c r="N1513" s="18">
        <f>IF($A1513&gt;40,0,(N1484-MIN(MAX(O1512,0),N1484))+MIN(MAX(0,P1512-(N1484-MIN(MAX(O1512,0),N1484))),MAX(0,5*N1484-(O1512-MIN(MAX(O1512,0),N1484)))))</f>
        <v>36641.053726310143</v>
      </c>
      <c r="O1513" s="18">
        <f>IF($A1513&gt;40,O1512,(O1512-N1484+N1513)*(1+$C$7))</f>
        <v>190355.66528025753</v>
      </c>
      <c r="P1513" s="18">
        <f t="shared" si="178"/>
        <v>262060.87411841427</v>
      </c>
      <c r="Q1513" s="18">
        <f>IF($A1513&gt;40,0,(Q1484-MIN(MAX(R1512,0),Q1484))+MIN(MAX(0,S1512-(Q1484-MIN(MAX(R1512,0),Q1484))),MAX(0,5*Q1484-(R1512-MIN(MAX(R1512,0),Q1484)))))</f>
        <v>36641.061171213834</v>
      </c>
      <c r="R1513" s="18">
        <f>IF($A1513&gt;40,R1512,(R1512-Q1484+Q1513)*(1+$C$7))</f>
        <v>190355.70395762764</v>
      </c>
      <c r="S1513" s="18">
        <f t="shared" si="179"/>
        <v>262060.4760331164</v>
      </c>
    </row>
    <row r="1514" spans="1:19">
      <c r="A1514" s="10">
        <f>28</f>
        <v>28</v>
      </c>
      <c r="B1514" s="18">
        <f>IF($A1514&gt;40,0,(B1484-MIN(MAX(C1513,0),B1484))+MIN(MAX(0,D1513-(B1484-MIN(MAX(C1513,0),B1484))),MAX(0,5*B1484-(C1513-MIN(MAX(C1513,0),B1484)))))</f>
        <v>29055</v>
      </c>
      <c r="C1514" s="18">
        <f>IF($A1514&gt;40,C1513,(C1513-B1484+B1514)*(1+$C$7))</f>
        <v>150945</v>
      </c>
      <c r="D1514" s="18">
        <f t="shared" si="174"/>
        <v>657797.74015301722</v>
      </c>
      <c r="E1514" s="18">
        <f>IF($A1514&gt;40,0,(E1484-MIN(MAX(F1513,0),E1484))+MIN(MAX(0,G1513-(E1484-MIN(MAX(F1513,0),E1484))),MAX(0,5*E1484-(F1513-MIN(MAX(F1513,0),E1484)))))</f>
        <v>75000</v>
      </c>
      <c r="F1514" s="18">
        <f>IF($A1514&gt;40,F1513,(F1513-E1484+E1514)*(1+$C$7))</f>
        <v>0</v>
      </c>
      <c r="G1514" s="18">
        <f t="shared" si="175"/>
        <v>-1227268.1539052725</v>
      </c>
      <c r="H1514" s="18">
        <f>IF($A1514&gt;40,0,(H1484-MIN(MAX(I1513,0),H1484))+MIN(MAX(0,J1513-(H1484-MIN(MAX(I1513,0),H1484))),MAX(0,5*H1484-(I1513-MIN(MAX(I1513,0),H1484)))))</f>
        <v>37300.252312545286</v>
      </c>
      <c r="I1514" s="18">
        <f>IF($A1514&gt;40,I1513,(I1513-H1484+H1514)*(1+$C$7))</f>
        <v>193780.2989267646</v>
      </c>
      <c r="J1514" s="18">
        <f t="shared" si="176"/>
        <v>195198.09736777155</v>
      </c>
      <c r="K1514" s="18">
        <f>IF($A1514&gt;40,0,(K1484-MIN(MAX(L1513,0),K1484))+MIN(MAX(0,M1513-(K1484-MIN(MAX(L1513,0),K1484))),MAX(0,5*K1484-(L1513-MIN(MAX(L1513,0),K1484)))))</f>
        <v>36640.711743265419</v>
      </c>
      <c r="L1514" s="18">
        <f>IF($A1514&gt;40,L1513,(L1513-K1484+K1514)*(1+$C$7))</f>
        <v>190353.88862802263</v>
      </c>
      <c r="M1514" s="18">
        <f t="shared" si="177"/>
        <v>232201.60195271162</v>
      </c>
      <c r="N1514" s="18">
        <f>IF($A1514&gt;40,0,(N1484-MIN(MAX(O1513,0),N1484))+MIN(MAX(0,P1513-(N1484-MIN(MAX(O1513,0),N1484))),MAX(0,5*N1484-(O1513-MIN(MAX(O1513,0),N1484)))))</f>
        <v>36641.053726310143</v>
      </c>
      <c r="O1514" s="18">
        <f>IF($A1514&gt;40,O1513,(O1513-N1484+N1514)*(1+$C$7))</f>
        <v>190355.66528025753</v>
      </c>
      <c r="P1514" s="18">
        <f t="shared" si="178"/>
        <v>232182.41500386727</v>
      </c>
      <c r="Q1514" s="18">
        <f>IF($A1514&gt;40,0,(Q1484-MIN(MAX(R1513,0),Q1484))+MIN(MAX(0,S1513-(Q1484-MIN(MAX(R1513,0),Q1484))),MAX(0,5*Q1484-(R1513-MIN(MAX(R1513,0),Q1484)))))</f>
        <v>36641.061171213834</v>
      </c>
      <c r="R1514" s="18">
        <f>IF($A1514&gt;40,R1513,(R1513-Q1484+Q1514)*(1+$C$7))</f>
        <v>190355.70395762764</v>
      </c>
      <c r="S1514" s="18">
        <f t="shared" si="179"/>
        <v>232181.99730775965</v>
      </c>
    </row>
    <row r="1515" spans="1:19">
      <c r="A1515" s="10">
        <f>29</f>
        <v>29</v>
      </c>
      <c r="B1515" s="18">
        <f>IF($A1515&gt;40,0,(B1484-MIN(MAX(C1514,0),B1484))+MIN(MAX(0,D1514-(B1484-MIN(MAX(C1514,0),B1484))),MAX(0,5*B1484-(C1514-MIN(MAX(C1514,0),B1484)))))</f>
        <v>29055</v>
      </c>
      <c r="C1515" s="18">
        <f>IF($A1515&gt;40,C1514,(C1514-B1484+B1515)*(1+$C$7))</f>
        <v>150945</v>
      </c>
      <c r="D1515" s="18">
        <f t="shared" si="174"/>
        <v>647605.02235760773</v>
      </c>
      <c r="E1515" s="18">
        <f>IF($A1515&gt;40,0,(E1484-MIN(MAX(F1514,0),E1484))+MIN(MAX(0,G1514-(E1484-MIN(MAX(F1514,0),E1484))),MAX(0,5*E1484-(F1514-MIN(MAX(F1514,0),E1484)))))</f>
        <v>75000</v>
      </c>
      <c r="F1515" s="18">
        <f>IF($A1515&gt;40,F1514,(F1514-E1484+E1515)*(1+$C$7))</f>
        <v>0</v>
      </c>
      <c r="G1515" s="18">
        <f t="shared" si="175"/>
        <v>-1341336.1985224306</v>
      </c>
      <c r="H1515" s="18">
        <f>IF($A1515&gt;40,0,(H1484-MIN(MAX(I1514,0),H1484))+MIN(MAX(0,J1514-(H1484-MIN(MAX(I1514,0),H1484))),MAX(0,5*H1484-(I1514-MIN(MAX(I1514,0),H1484)))))</f>
        <v>37300.252312545286</v>
      </c>
      <c r="I1515" s="18">
        <f>IF($A1515&gt;40,I1514,(I1514-H1484+H1515)*(1+$C$7))</f>
        <v>193780.2989267646</v>
      </c>
      <c r="J1515" s="18">
        <f t="shared" si="176"/>
        <v>162634.78040688304</v>
      </c>
      <c r="K1515" s="18">
        <f>IF($A1515&gt;40,0,(K1484-MIN(MAX(L1514,0),K1484))+MIN(MAX(0,M1514-(K1484-MIN(MAX(L1514,0),K1484))),MAX(0,5*K1484-(L1514-MIN(MAX(L1514,0),K1484)))))</f>
        <v>36640.711743265419</v>
      </c>
      <c r="L1515" s="18">
        <f>IF($A1515&gt;40,L1514,(L1514-K1484+K1515)*(1+$C$7))</f>
        <v>190353.88862802263</v>
      </c>
      <c r="M1515" s="18">
        <f t="shared" si="177"/>
        <v>201427.71691572957</v>
      </c>
      <c r="N1515" s="18">
        <f>IF($A1515&gt;40,0,(N1484-MIN(MAX(O1514,0),N1484))+MIN(MAX(0,P1514-(N1484-MIN(MAX(O1514,0),N1484))),MAX(0,5*N1484-(O1514-MIN(MAX(O1514,0),N1484)))))</f>
        <v>36641.053726310143</v>
      </c>
      <c r="O1515" s="18">
        <f>IF($A1515&gt;40,O1514,(O1514-N1484+N1515)*(1+$C$7))</f>
        <v>190355.66528025753</v>
      </c>
      <c r="P1515" s="18">
        <f t="shared" si="178"/>
        <v>201407.60211588384</v>
      </c>
      <c r="Q1515" s="18">
        <f>IF($A1515&gt;40,0,(Q1484-MIN(MAX(R1514,0),Q1484))+MIN(MAX(0,S1514-(Q1484-MIN(MAX(R1514,0),Q1484))),MAX(0,5*Q1484-(R1514-MIN(MAX(R1514,0),Q1484)))))</f>
        <v>36641.061171213834</v>
      </c>
      <c r="R1515" s="18">
        <f>IF($A1515&gt;40,R1514,(R1514-Q1484+Q1515)*(1+$C$7))</f>
        <v>190355.70395762764</v>
      </c>
      <c r="S1515" s="18">
        <f t="shared" si="179"/>
        <v>201407.16422064221</v>
      </c>
    </row>
    <row r="1516" spans="1:19">
      <c r="A1516" s="10">
        <f>30</f>
        <v>30</v>
      </c>
      <c r="B1516" s="18">
        <f>IF($A1516&gt;40,0,(B1484-MIN(MAX(C1515,0),B1484))+MIN(MAX(0,D1515-(B1484-MIN(MAX(C1515,0),B1484))),MAX(0,5*B1484-(C1515-MIN(MAX(C1515,0),B1484)))))</f>
        <v>29055</v>
      </c>
      <c r="C1516" s="18">
        <f>IF($A1516&gt;40,C1515,(C1515-B1484+B1516)*(1+$C$7))</f>
        <v>150945</v>
      </c>
      <c r="D1516" s="18">
        <f t="shared" si="174"/>
        <v>637106.523028336</v>
      </c>
      <c r="E1516" s="18">
        <f>IF($A1516&gt;40,0,(E1484-MIN(MAX(F1515,0),E1484))+MIN(MAX(0,G1515-(E1484-MIN(MAX(F1515,0),E1484))),MAX(0,5*E1484-(F1515-MIN(MAX(F1515,0),E1484)))))</f>
        <v>75000</v>
      </c>
      <c r="F1516" s="18">
        <f>IF($A1516&gt;40,F1515,(F1515-E1484+E1516)*(1+$C$7))</f>
        <v>0</v>
      </c>
      <c r="G1516" s="18">
        <f t="shared" si="175"/>
        <v>-1458826.2844781035</v>
      </c>
      <c r="H1516" s="18">
        <f>IF($A1516&gt;40,0,(H1484-MIN(MAX(I1515,0),H1484))+MIN(MAX(0,J1515-(H1484-MIN(MAX(I1515,0),H1484))),MAX(0,5*H1484-(I1515-MIN(MAX(I1515,0),H1484)))))</f>
        <v>37300.252312545286</v>
      </c>
      <c r="I1516" s="18">
        <f>IF($A1516&gt;40,I1515,(I1515-H1484+H1516)*(1+$C$7))</f>
        <v>193780.2989267646</v>
      </c>
      <c r="J1516" s="18">
        <f t="shared" si="176"/>
        <v>129094.5639371679</v>
      </c>
      <c r="K1516" s="18">
        <f>IF($A1516&gt;40,0,(K1484-MIN(MAX(L1515,0),K1484))+MIN(MAX(0,M1515-(K1484-MIN(MAX(L1515,0),K1484))),MAX(0,5*K1484-(L1515-MIN(MAX(L1515,0),K1484)))))</f>
        <v>36640.711743265419</v>
      </c>
      <c r="L1516" s="18">
        <f>IF($A1516&gt;40,L1515,(L1515-K1484+K1516)*(1+$C$7))</f>
        <v>190353.88862802263</v>
      </c>
      <c r="M1516" s="18">
        <f t="shared" si="177"/>
        <v>169730.61532763808</v>
      </c>
      <c r="N1516" s="18">
        <f>IF($A1516&gt;40,0,(N1484-MIN(MAX(O1515,0),N1484))+MIN(MAX(0,P1515-(N1484-MIN(MAX(O1515,0),N1484))),MAX(0,5*N1484-(O1515-MIN(MAX(O1515,0),N1484)))))</f>
        <v>36641.053726310143</v>
      </c>
      <c r="O1516" s="18">
        <f>IF($A1516&gt;40,O1515,(O1515-N1484+N1516)*(1+$C$7))</f>
        <v>190355.66528025753</v>
      </c>
      <c r="P1516" s="18">
        <f t="shared" si="178"/>
        <v>169709.54484126091</v>
      </c>
      <c r="Q1516" s="18">
        <f>IF($A1516&gt;40,0,(Q1484-MIN(MAX(R1515,0),Q1484))+MIN(MAX(0,S1515-(Q1484-MIN(MAX(R1515,0),Q1484))),MAX(0,5*Q1484-(R1515-MIN(MAX(R1515,0),Q1484)))))</f>
        <v>36641.061171213834</v>
      </c>
      <c r="R1516" s="18">
        <f>IF($A1516&gt;40,R1515,(R1515-Q1484+Q1516)*(1+$C$7))</f>
        <v>190355.70395762764</v>
      </c>
      <c r="S1516" s="18">
        <f t="shared" si="179"/>
        <v>169709.08614091124</v>
      </c>
    </row>
    <row r="1517" spans="1:19">
      <c r="A1517" s="10">
        <f>31</f>
        <v>31</v>
      </c>
      <c r="B1517" s="18">
        <f>IF($A1517&gt;40,0,(B1484-MIN(MAX(C1516,0),B1484))+MIN(MAX(0,D1516-(B1484-MIN(MAX(C1516,0),B1484))),MAX(0,5*B1484-(C1516-MIN(MAX(C1516,0),B1484)))))</f>
        <v>29055</v>
      </c>
      <c r="C1517" s="18">
        <f>IF($A1517&gt;40,C1516,(C1516-B1484+B1517)*(1+$C$7))</f>
        <v>150945</v>
      </c>
      <c r="D1517" s="18">
        <f t="shared" si="174"/>
        <v>626293.06871918612</v>
      </c>
      <c r="E1517" s="18">
        <f>IF($A1517&gt;40,0,(E1484-MIN(MAX(F1516,0),E1484))+MIN(MAX(0,G1516-(E1484-MIN(MAX(F1516,0),E1484))),MAX(0,5*E1484-(F1516-MIN(MAX(F1516,0),E1484)))))</f>
        <v>75000</v>
      </c>
      <c r="F1517" s="18">
        <f>IF($A1517&gt;40,F1516,(F1516-E1484+E1517)*(1+$C$7))</f>
        <v>0</v>
      </c>
      <c r="G1517" s="18">
        <f t="shared" si="175"/>
        <v>-1579841.0730124468</v>
      </c>
      <c r="H1517" s="18">
        <f>IF($A1517&gt;40,0,(H1484-MIN(MAX(I1516,0),H1484))+MIN(MAX(0,J1516-(H1484-MIN(MAX(I1516,0),H1484))),MAX(0,5*H1484-(I1516-MIN(MAX(I1516,0),H1484)))))</f>
        <v>37300.252312545286</v>
      </c>
      <c r="I1517" s="18">
        <f>IF($A1517&gt;40,I1516,(I1516-H1484+H1517)*(1+$C$7))</f>
        <v>193780.2989267646</v>
      </c>
      <c r="J1517" s="18">
        <f t="shared" si="176"/>
        <v>94548.140973361296</v>
      </c>
      <c r="K1517" s="18">
        <f>IF($A1517&gt;40,0,(K1484-MIN(MAX(L1516,0),K1484))+MIN(MAX(0,M1516-(K1484-MIN(MAX(L1516,0),K1484))),MAX(0,5*K1484-(L1516-MIN(MAX(L1516,0),K1484)))))</f>
        <v>36640.711743265419</v>
      </c>
      <c r="L1517" s="18">
        <f>IF($A1517&gt;40,L1516,(L1516-K1484+K1517)*(1+$C$7))</f>
        <v>190353.88862802263</v>
      </c>
      <c r="M1517" s="18">
        <f t="shared" si="177"/>
        <v>137082.60069190385</v>
      </c>
      <c r="N1517" s="18">
        <f>IF($A1517&gt;40,0,(N1484-MIN(MAX(O1516,0),N1484))+MIN(MAX(0,P1516-(N1484-MIN(MAX(O1516,0),N1484))),MAX(0,5*N1484-(O1516-MIN(MAX(O1516,0),N1484)))))</f>
        <v>36641.053726310143</v>
      </c>
      <c r="O1517" s="18">
        <f>IF($A1517&gt;40,O1516,(O1516-N1484+N1517)*(1+$C$7))</f>
        <v>190355.66528025753</v>
      </c>
      <c r="P1517" s="18">
        <f t="shared" si="178"/>
        <v>137060.54584839928</v>
      </c>
      <c r="Q1517" s="18">
        <f>IF($A1517&gt;40,0,(Q1484-MIN(MAX(R1516,0),Q1484))+MIN(MAX(0,S1516-(Q1484-MIN(MAX(R1516,0),Q1484))),MAX(0,5*Q1484-(R1516-MIN(MAX(R1516,0),Q1484)))))</f>
        <v>36641.061171213834</v>
      </c>
      <c r="R1517" s="18">
        <f>IF($A1517&gt;40,R1516,(R1516-Q1484+Q1517)*(1+$C$7))</f>
        <v>190355.70395762764</v>
      </c>
      <c r="S1517" s="18">
        <f t="shared" si="179"/>
        <v>137060.06571878833</v>
      </c>
    </row>
    <row r="1518" spans="1:19">
      <c r="A1518" s="10">
        <f>32</f>
        <v>32</v>
      </c>
      <c r="B1518" s="18">
        <f>IF($A1518&gt;40,0,(B1484-MIN(MAX(C1517,0),B1484))+MIN(MAX(0,D1517-(B1484-MIN(MAX(C1517,0),B1484))),MAX(0,5*B1484-(C1517-MIN(MAX(C1517,0),B1484)))))</f>
        <v>29055</v>
      </c>
      <c r="C1518" s="18">
        <f>IF($A1518&gt;40,C1517,(C1517-B1484+B1518)*(1+$C$7))</f>
        <v>150945</v>
      </c>
      <c r="D1518" s="18">
        <f t="shared" si="174"/>
        <v>615155.21078076167</v>
      </c>
      <c r="E1518" s="18">
        <f>IF($A1518&gt;40,0,(E1484-MIN(MAX(F1517,0),E1484))+MIN(MAX(0,G1517-(E1484-MIN(MAX(F1517,0),E1484))),MAX(0,5*E1484-(F1517-MIN(MAX(F1517,0),E1484)))))</f>
        <v>75000</v>
      </c>
      <c r="F1518" s="18">
        <f>IF($A1518&gt;40,F1517,(F1517-E1484+E1518)*(1+$C$7))</f>
        <v>0</v>
      </c>
      <c r="G1518" s="18">
        <f t="shared" si="175"/>
        <v>-1704486.3052028201</v>
      </c>
      <c r="H1518" s="18">
        <f>IF($A1518&gt;40,0,(H1484-MIN(MAX(I1517,0),H1484))+MIN(MAX(0,J1517-(H1484-MIN(MAX(I1517,0),H1484))),MAX(0,5*H1484-(I1517-MIN(MAX(I1517,0),H1484)))))</f>
        <v>37300.252312545286</v>
      </c>
      <c r="I1518" s="18">
        <f>IF($A1518&gt;40,I1517,(I1517-H1484+H1518)*(1+$C$7))</f>
        <v>193780.2989267646</v>
      </c>
      <c r="J1518" s="18">
        <f t="shared" si="176"/>
        <v>58965.325320640492</v>
      </c>
      <c r="K1518" s="18">
        <f>IF($A1518&gt;40,0,(K1484-MIN(MAX(L1517,0),K1484))+MIN(MAX(0,M1517-(K1484-MIN(MAX(L1517,0),K1484))),MAX(0,5*K1484-(L1517-MIN(MAX(L1517,0),K1484)))))</f>
        <v>36640.711743265419</v>
      </c>
      <c r="L1518" s="18">
        <f>IF($A1518&gt;40,L1517,(L1517-K1484+K1518)*(1+$C$7))</f>
        <v>190353.88862802263</v>
      </c>
      <c r="M1518" s="18">
        <f t="shared" si="177"/>
        <v>103455.14561709759</v>
      </c>
      <c r="N1518" s="18">
        <f>IF($A1518&gt;40,0,(N1484-MIN(MAX(O1517,0),N1484))+MIN(MAX(0,P1517-(N1484-MIN(MAX(O1517,0),N1484))),MAX(0,5*N1484-(O1517-MIN(MAX(O1517,0),N1484)))))</f>
        <v>36641.053726310143</v>
      </c>
      <c r="O1518" s="18">
        <f>IF($A1518&gt;40,O1517,(O1517-N1484+N1518)*(1+$C$7))</f>
        <v>190355.66528025753</v>
      </c>
      <c r="P1518" s="18">
        <f t="shared" si="178"/>
        <v>103432.07688575181</v>
      </c>
      <c r="Q1518" s="18">
        <f>IF($A1518&gt;40,0,(Q1484-MIN(MAX(R1517,0),Q1484))+MIN(MAX(0,S1517-(Q1484-MIN(MAX(R1517,0),Q1484))),MAX(0,5*Q1484-(R1517-MIN(MAX(R1517,0),Q1484)))))</f>
        <v>36641.061171213834</v>
      </c>
      <c r="R1518" s="18">
        <f>IF($A1518&gt;40,R1517,(R1517-Q1484+Q1518)*(1+$C$7))</f>
        <v>190355.70395762764</v>
      </c>
      <c r="S1518" s="18">
        <f t="shared" si="179"/>
        <v>103431.57468400174</v>
      </c>
    </row>
    <row r="1519" spans="1:19">
      <c r="A1519" s="10">
        <f>33</f>
        <v>33</v>
      </c>
      <c r="B1519" s="18">
        <f>IF($A1519&gt;40,0,(B1484-MIN(MAX(C1518,0),B1484))+MIN(MAX(0,D1518-(B1484-MIN(MAX(C1518,0),B1484))),MAX(0,5*B1484-(C1518-MIN(MAX(C1518,0),B1484)))))</f>
        <v>29055</v>
      </c>
      <c r="C1519" s="18">
        <f>IF($A1519&gt;40,C1518,(C1518-B1484+B1519)*(1+$C$7))</f>
        <v>150945</v>
      </c>
      <c r="D1519" s="18">
        <f t="shared" si="174"/>
        <v>603683.21710418456</v>
      </c>
      <c r="E1519" s="18">
        <f>IF($A1519&gt;40,0,(E1484-MIN(MAX(F1518,0),E1484))+MIN(MAX(0,G1518-(E1484-MIN(MAX(F1518,0),E1484))),MAX(0,5*E1484-(F1518-MIN(MAX(F1518,0),E1484)))))</f>
        <v>75000</v>
      </c>
      <c r="F1519" s="18">
        <f>IF($A1519&gt;40,F1518,(F1518-E1484+E1519)*(1+$C$7))</f>
        <v>0</v>
      </c>
      <c r="G1519" s="18">
        <f t="shared" si="175"/>
        <v>-1832870.8943589048</v>
      </c>
      <c r="H1519" s="18">
        <f>IF($A1519&gt;40,0,(H1484-MIN(MAX(I1518,0),H1484))+MIN(MAX(0,J1518-(H1484-MIN(MAX(I1518,0),H1484))),MAX(0,5*H1484-(I1518-MIN(MAX(I1518,0),H1484)))))</f>
        <v>37300.252312545286</v>
      </c>
      <c r="I1519" s="18">
        <f>IF($A1519&gt;40,I1518,(I1518-H1484+H1519)*(1+$C$7))</f>
        <v>193780.2989267646</v>
      </c>
      <c r="J1519" s="18">
        <f t="shared" si="176"/>
        <v>22315.025198338062</v>
      </c>
      <c r="K1519" s="18">
        <f>IF($A1519&gt;40,0,(K1484-MIN(MAX(L1518,0),K1484))+MIN(MAX(0,M1518-(K1484-MIN(MAX(L1518,0),K1484))),MAX(0,5*K1484-(L1518-MIN(MAX(L1518,0),K1484)))))</f>
        <v>36640.711743265419</v>
      </c>
      <c r="L1519" s="18">
        <f>IF($A1519&gt;40,L1518,(L1518-K1484+K1519)*(1+$C$7))</f>
        <v>190353.88862802263</v>
      </c>
      <c r="M1519" s="18">
        <f t="shared" si="177"/>
        <v>68818.866890047138</v>
      </c>
      <c r="N1519" s="18">
        <f>IF($A1519&gt;40,0,(N1484-MIN(MAX(O1518,0),N1484))+MIN(MAX(0,P1518-(N1484-MIN(MAX(O1518,0),N1484))),MAX(0,5*N1484-(O1518-MIN(MAX(O1518,0),N1484)))))</f>
        <v>36641.053726310143</v>
      </c>
      <c r="O1519" s="18">
        <f>IF($A1519&gt;40,O1518,(O1518-N1484+N1519)*(1+$C$7))</f>
        <v>190355.66528025753</v>
      </c>
      <c r="P1519" s="18">
        <f t="shared" si="178"/>
        <v>68794.753854224924</v>
      </c>
      <c r="Q1519" s="18">
        <f>IF($A1519&gt;40,0,(Q1484-MIN(MAX(R1518,0),Q1484))+MIN(MAX(0,S1518-(Q1484-MIN(MAX(R1518,0),Q1484))),MAX(0,5*Q1484-(R1518-MIN(MAX(R1518,0),Q1484)))))</f>
        <v>36641.061171213834</v>
      </c>
      <c r="R1519" s="18">
        <f>IF($A1519&gt;40,R1518,(R1518-Q1484+Q1519)*(1+$C$7))</f>
        <v>190355.70395762764</v>
      </c>
      <c r="S1519" s="18">
        <f t="shared" si="179"/>
        <v>68794.228918171546</v>
      </c>
    </row>
    <row r="1520" spans="1:19">
      <c r="A1520" s="10">
        <f>34</f>
        <v>34</v>
      </c>
      <c r="B1520" s="18">
        <f>IF($A1520&gt;40,0,(B1484-MIN(MAX(C1519,0),B1484))+MIN(MAX(0,D1519-(B1484-MIN(MAX(C1519,0),B1484))),MAX(0,5*B1484-(C1519-MIN(MAX(C1519,0),B1484)))))</f>
        <v>29055</v>
      </c>
      <c r="C1520" s="18">
        <f>IF($A1520&gt;40,C1519,(C1519-B1484+B1520)*(1+$C$7))</f>
        <v>150945</v>
      </c>
      <c r="D1520" s="18">
        <f t="shared" si="174"/>
        <v>591867.06361731014</v>
      </c>
      <c r="E1520" s="18">
        <f>IF($A1520&gt;40,0,(E1484-MIN(MAX(F1519,0),E1484))+MIN(MAX(0,G1519-(E1484-MIN(MAX(F1519,0),E1484))),MAX(0,5*E1484-(F1519-MIN(MAX(F1519,0),E1484)))))</f>
        <v>75000</v>
      </c>
      <c r="F1520" s="18">
        <f>IF($A1520&gt;40,F1519,(F1519-E1484+E1520)*(1+$C$7))</f>
        <v>0</v>
      </c>
      <c r="G1520" s="18">
        <f t="shared" si="175"/>
        <v>-1965107.0211896719</v>
      </c>
      <c r="H1520" s="18">
        <f>IF($A1520&gt;40,0,(H1484-MIN(MAX(I1519,0),H1484))+MIN(MAX(0,J1519-(H1484-MIN(MAX(I1519,0),H1484))),MAX(0,5*H1484-(I1519-MIN(MAX(I1519,0),H1484)))))</f>
        <v>22315.025198338062</v>
      </c>
      <c r="I1520" s="18">
        <f>IF($A1520&gt;40,I1519,(I1519-H1484+H1520)*(1+$C$7))</f>
        <v>178700.66488173787</v>
      </c>
      <c r="J1520" s="18">
        <f t="shared" si="176"/>
        <v>0</v>
      </c>
      <c r="K1520" s="18">
        <f>IF($A1520&gt;40,0,(K1484-MIN(MAX(L1519,0),K1484))+MIN(MAX(0,M1519-(K1484-MIN(MAX(L1519,0),K1484))),MAX(0,5*K1484-(L1519-MIN(MAX(L1519,0),K1484)))))</f>
        <v>36640.711743265419</v>
      </c>
      <c r="L1520" s="18">
        <f>IF($A1520&gt;40,L1519,(L1519-K1484+K1520)*(1+$C$7))</f>
        <v>190353.88862802263</v>
      </c>
      <c r="M1520" s="18">
        <f t="shared" si="177"/>
        <v>33143.499801185171</v>
      </c>
      <c r="N1520" s="18">
        <f>IF($A1520&gt;40,0,(N1484-MIN(MAX(O1519,0),N1484))+MIN(MAX(0,P1519-(N1484-MIN(MAX(O1519,0),N1484))),MAX(0,5*N1484-(O1519-MIN(MAX(O1519,0),N1484)))))</f>
        <v>36641.053726310143</v>
      </c>
      <c r="O1520" s="18">
        <f>IF($A1520&gt;40,O1519,(O1519-N1484+N1520)*(1+$C$7))</f>
        <v>190355.66528025753</v>
      </c>
      <c r="P1520" s="18">
        <f t="shared" si="178"/>
        <v>33118.311131752227</v>
      </c>
      <c r="Q1520" s="18">
        <f>IF($A1520&gt;40,0,(Q1484-MIN(MAX(R1519,0),Q1484))+MIN(MAX(0,S1519-(Q1484-MIN(MAX(R1519,0),Q1484))),MAX(0,5*Q1484-(R1519-MIN(MAX(R1519,0),Q1484)))))</f>
        <v>36641.061171213834</v>
      </c>
      <c r="R1520" s="18">
        <f>IF($A1520&gt;40,R1519,(R1519-Q1484+Q1520)*(1+$C$7))</f>
        <v>190355.70395762764</v>
      </c>
      <c r="S1520" s="18">
        <f t="shared" si="179"/>
        <v>33117.762779366443</v>
      </c>
    </row>
    <row r="1521" spans="1:19">
      <c r="A1521" s="10">
        <f>35</f>
        <v>35</v>
      </c>
      <c r="B1521" s="18">
        <f>IF($A1521&gt;40,0,(B1484-MIN(MAX(C1520,0),B1484))+MIN(MAX(0,D1520-(B1484-MIN(MAX(C1520,0),B1484))),MAX(0,5*B1484-(C1520-MIN(MAX(C1520,0),B1484)))))</f>
        <v>29055</v>
      </c>
      <c r="C1521" s="18">
        <f>IF($A1521&gt;40,C1520,(C1520-B1484+B1521)*(1+$C$7))</f>
        <v>150945</v>
      </c>
      <c r="D1521" s="18">
        <f t="shared" si="174"/>
        <v>579696.42552582943</v>
      </c>
      <c r="E1521" s="18">
        <f>IF($A1521&gt;40,0,(E1484-MIN(MAX(F1520,0),E1484))+MIN(MAX(0,G1520-(E1484-MIN(MAX(F1520,0),E1484))),MAX(0,5*E1484-(F1520-MIN(MAX(F1520,0),E1484)))))</f>
        <v>75000</v>
      </c>
      <c r="F1521" s="18">
        <f>IF($A1521&gt;40,F1520,(F1520-E1484+E1521)*(1+$C$7))</f>
        <v>0</v>
      </c>
      <c r="G1521" s="18">
        <f t="shared" si="175"/>
        <v>-2101310.231825362</v>
      </c>
      <c r="H1521" s="18">
        <f>IF($A1521&gt;40,0,(H1484-MIN(MAX(I1520,0),H1484))+MIN(MAX(0,J1520-(H1484-MIN(MAX(I1520,0),H1484))),MAX(0,5*H1484-(I1520-MIN(MAX(I1520,0),H1484)))))</f>
        <v>0</v>
      </c>
      <c r="I1521" s="18">
        <f>IF($A1521&gt;40,I1520,(I1520-H1484+H1521)*(1+$C$7))</f>
        <v>141070.41928513988</v>
      </c>
      <c r="J1521" s="18">
        <f t="shared" si="176"/>
        <v>0</v>
      </c>
      <c r="K1521" s="18">
        <f>IF($A1521&gt;40,0,(K1484-MIN(MAX(L1520,0),K1484))+MIN(MAX(0,M1520-(K1484-MIN(MAX(L1520,0),K1484))),MAX(0,5*K1484-(L1520-MIN(MAX(L1520,0),K1484)))))</f>
        <v>33143.499801185171</v>
      </c>
      <c r="L1521" s="18">
        <f>IF($A1521&gt;40,L1520,(L1520-K1484+K1521)*(1+$C$7))</f>
        <v>186834.64425070726</v>
      </c>
      <c r="M1521" s="18">
        <f t="shared" si="177"/>
        <v>0</v>
      </c>
      <c r="N1521" s="18">
        <f>IF($A1521&gt;40,0,(N1484-MIN(MAX(O1520,0),N1484))+MIN(MAX(0,P1520-(N1484-MIN(MAX(O1520,0),N1484))),MAX(0,5*N1484-(O1520-MIN(MAX(O1520,0),N1484)))))</f>
        <v>33118.311131752227</v>
      </c>
      <c r="O1521" s="18">
        <f>IF($A1521&gt;40,O1520,(O1520-N1484+N1521)*(1+$C$7))</f>
        <v>186810.72940735391</v>
      </c>
      <c r="P1521" s="18">
        <f t="shared" si="178"/>
        <v>0</v>
      </c>
      <c r="Q1521" s="18">
        <f>IF($A1521&gt;40,0,(Q1484-MIN(MAX(R1520,0),Q1484))+MIN(MAX(0,S1520-(Q1484-MIN(MAX(R1520,0),Q1484))),MAX(0,5*Q1484-(R1520-MIN(MAX(R1520,0),Q1484)))))</f>
        <v>33117.762779366443</v>
      </c>
      <c r="R1521" s="18">
        <f>IF($A1521&gt;40,R1520,(R1520-Q1484+Q1521)*(1+$C$7))</f>
        <v>186810.20878591161</v>
      </c>
      <c r="S1521" s="18">
        <f t="shared" si="179"/>
        <v>0</v>
      </c>
    </row>
    <row r="1522" spans="1:19">
      <c r="A1522" s="10">
        <f>36</f>
        <v>36</v>
      </c>
      <c r="B1522" s="18">
        <f>IF($A1522&gt;40,0,(B1484-MIN(MAX(C1521,0),B1484))+MIN(MAX(0,D1521-(B1484-MIN(MAX(C1521,0),B1484))),MAX(0,5*B1484-(C1521-MIN(MAX(C1521,0),B1484)))))</f>
        <v>29055</v>
      </c>
      <c r="C1522" s="18">
        <f>IF($A1522&gt;40,C1521,(C1521-B1484+B1522)*(1+$C$7))</f>
        <v>150945</v>
      </c>
      <c r="D1522" s="18">
        <f t="shared" si="174"/>
        <v>567160.66829160438</v>
      </c>
      <c r="E1522" s="18">
        <f>IF($A1522&gt;40,0,(E1484-MIN(MAX(F1521,0),E1484))+MIN(MAX(0,G1521-(E1484-MIN(MAX(F1521,0),E1484))),MAX(0,5*E1484-(F1521-MIN(MAX(F1521,0),E1484)))))</f>
        <v>75000</v>
      </c>
      <c r="F1522" s="18">
        <f>IF($A1522&gt;40,F1521,(F1521-E1484+E1522)*(1+$C$7))</f>
        <v>0</v>
      </c>
      <c r="G1522" s="18">
        <f t="shared" si="175"/>
        <v>-2241599.538780123</v>
      </c>
      <c r="H1522" s="18">
        <f>IF($A1522&gt;40,0,(H1484-MIN(MAX(I1521,0),H1484))+MIN(MAX(0,J1521-(H1484-MIN(MAX(I1521,0),H1484))),MAX(0,5*H1484-(I1521-MIN(MAX(I1521,0),H1484)))))</f>
        <v>0</v>
      </c>
      <c r="I1522" s="18">
        <f>IF($A1522&gt;40,I1521,(I1521-H1484+H1522)*(1+$C$7))</f>
        <v>103203.10314128334</v>
      </c>
      <c r="J1522" s="18">
        <f t="shared" si="176"/>
        <v>0</v>
      </c>
      <c r="K1522" s="18">
        <f>IF($A1522&gt;40,0,(K1484-MIN(MAX(L1521,0),K1484))+MIN(MAX(0,M1521-(K1484-MIN(MAX(L1521,0),K1484))),MAX(0,5*K1484-(L1521-MIN(MAX(L1521,0),K1484)))))</f>
        <v>0</v>
      </c>
      <c r="L1522" s="18">
        <f>IF($A1522&gt;40,L1521,(L1521-K1484+K1522)*(1+$C$7))</f>
        <v>149940.92478388219</v>
      </c>
      <c r="M1522" s="18">
        <f t="shared" si="177"/>
        <v>0</v>
      </c>
      <c r="N1522" s="18">
        <f>IF($A1522&gt;40,0,(N1484-MIN(MAX(O1521,0),N1484))+MIN(MAX(0,P1521-(N1484-MIN(MAX(O1521,0),N1484))),MAX(0,5*N1484-(O1521-MIN(MAX(O1521,0),N1484)))))</f>
        <v>0</v>
      </c>
      <c r="O1522" s="18">
        <f>IF($A1522&gt;40,O1521,(O1521-N1484+N1522)*(1+$C$7))</f>
        <v>149916.50394656873</v>
      </c>
      <c r="P1522" s="18">
        <f t="shared" si="178"/>
        <v>0</v>
      </c>
      <c r="Q1522" s="18">
        <f>IF($A1522&gt;40,0,(Q1484-MIN(MAX(R1521,0),Q1484))+MIN(MAX(0,S1521-(Q1484-MIN(MAX(R1521,0),Q1484))),MAX(0,5*Q1484-(R1521-MIN(MAX(R1521,0),Q1484)))))</f>
        <v>0</v>
      </c>
      <c r="R1522" s="18">
        <f>IF($A1522&gt;40,R1521,(R1521-Q1484+Q1522)*(1+$C$7))</f>
        <v>149915.97230973732</v>
      </c>
      <c r="S1522" s="18">
        <f t="shared" si="179"/>
        <v>0</v>
      </c>
    </row>
    <row r="1523" spans="1:19">
      <c r="A1523" s="10">
        <f>37</f>
        <v>37</v>
      </c>
      <c r="B1523" s="18">
        <f>IF($A1523&gt;40,0,(B1484-MIN(MAX(C1522,0),B1484))+MIN(MAX(0,D1522-(B1484-MIN(MAX(C1522,0),B1484))),MAX(0,5*B1484-(C1522-MIN(MAX(C1522,0),B1484)))))</f>
        <v>29055</v>
      </c>
      <c r="C1523" s="18">
        <f>IF($A1523&gt;40,C1522,(C1522-B1484+B1523)*(1+$C$7))</f>
        <v>150945</v>
      </c>
      <c r="D1523" s="18">
        <f t="shared" si="174"/>
        <v>554248.83834035252</v>
      </c>
      <c r="E1523" s="18">
        <f>IF($A1523&gt;40,0,(E1484-MIN(MAX(F1522,0),E1484))+MIN(MAX(0,G1522-(E1484-MIN(MAX(F1522,0),E1484))),MAX(0,5*E1484-(F1522-MIN(MAX(F1522,0),E1484)))))</f>
        <v>75000</v>
      </c>
      <c r="F1523" s="18">
        <f>IF($A1523&gt;40,F1522,(F1522-E1484+E1523)*(1+$C$7))</f>
        <v>0</v>
      </c>
      <c r="G1523" s="18">
        <f t="shared" si="175"/>
        <v>-2386097.5249435268</v>
      </c>
      <c r="H1523" s="18">
        <f>IF($A1523&gt;40,0,(H1484-MIN(MAX(I1522,0),H1484))+MIN(MAX(0,J1522-(H1484-MIN(MAX(I1522,0),H1484))),MAX(0,5*H1484-(I1522-MIN(MAX(I1522,0),H1484)))))</f>
        <v>0</v>
      </c>
      <c r="I1523" s="18">
        <f>IF($A1523&gt;40,I1522,(I1522-H1484+H1523)*(1+$C$7))</f>
        <v>65097.222905720497</v>
      </c>
      <c r="J1523" s="18">
        <f t="shared" si="176"/>
        <v>0</v>
      </c>
      <c r="K1523" s="18">
        <f>IF($A1523&gt;40,0,(K1484-MIN(MAX(L1522,0),K1484))+MIN(MAX(0,M1522-(K1484-MIN(MAX(L1522,0),K1484))),MAX(0,5*K1484-(L1522-MIN(MAX(L1522,0),K1484)))))</f>
        <v>0</v>
      </c>
      <c r="L1523" s="18">
        <f>IF($A1523&gt;40,L1522,(L1522-K1484+K1523)*(1+$C$7))</f>
        <v>112814.77488441613</v>
      </c>
      <c r="M1523" s="18">
        <f t="shared" si="177"/>
        <v>0</v>
      </c>
      <c r="N1523" s="18">
        <f>IF($A1523&gt;40,0,(N1484-MIN(MAX(O1522,0),N1484))+MIN(MAX(0,P1522-(N1484-MIN(MAX(O1522,0),N1484))),MAX(0,5*N1484-(O1522-MIN(MAX(O1522,0),N1484)))))</f>
        <v>0</v>
      </c>
      <c r="O1523" s="18">
        <f>IF($A1523&gt;40,O1522,(O1522-N1484+N1523)*(1+$C$7))</f>
        <v>112789.8448653806</v>
      </c>
      <c r="P1523" s="18">
        <f t="shared" si="178"/>
        <v>0</v>
      </c>
      <c r="Q1523" s="18">
        <f>IF($A1523&gt;40,0,(Q1484-MIN(MAX(R1522,0),Q1484))+MIN(MAX(0,S1522-(Q1484-MIN(MAX(R1522,0),Q1484))),MAX(0,5*Q1484-(R1522-MIN(MAX(R1522,0),Q1484)))))</f>
        <v>0</v>
      </c>
      <c r="R1523" s="18">
        <f>IF($A1523&gt;40,R1522,(R1522-Q1484+Q1523)*(1+$C$7))</f>
        <v>112789.30214376313</v>
      </c>
      <c r="S1523" s="18">
        <f t="shared" si="179"/>
        <v>0</v>
      </c>
    </row>
    <row r="1524" spans="1:19">
      <c r="A1524" s="10">
        <f>38</f>
        <v>38</v>
      </c>
      <c r="B1524" s="18">
        <f>IF($A1524&gt;40,0,(B1484-MIN(MAX(C1523,0),B1484))+MIN(MAX(0,D1523-(B1484-MIN(MAX(C1523,0),B1484))),MAX(0,5*B1484-(C1523-MIN(MAX(C1523,0),B1484)))))</f>
        <v>29055</v>
      </c>
      <c r="C1524" s="18">
        <f>IF($A1524&gt;40,C1523,(C1523-B1484+B1524)*(1+$C$7))</f>
        <v>150945</v>
      </c>
      <c r="D1524" s="18">
        <f t="shared" si="174"/>
        <v>540949.65349056316</v>
      </c>
      <c r="E1524" s="18">
        <f>IF($A1524&gt;40,0,(E1484-MIN(MAX(F1523,0),E1484))+MIN(MAX(0,G1523-(E1484-MIN(MAX(F1523,0),E1484))),MAX(0,5*E1484-(F1523-MIN(MAX(F1523,0),E1484)))))</f>
        <v>75000</v>
      </c>
      <c r="F1524" s="18">
        <f>IF($A1524&gt;40,F1523,(F1523-E1484+E1524)*(1+$C$7))</f>
        <v>0</v>
      </c>
      <c r="G1524" s="18">
        <f t="shared" si="175"/>
        <v>-2534930.4506918327</v>
      </c>
      <c r="H1524" s="18">
        <f>IF($A1524&gt;40,0,(H1484-MIN(MAX(I1523,0),H1484))+MIN(MAX(0,J1523-(H1484-MIN(MAX(I1523,0),H1484))),MAX(0,5*H1484-(I1523-MIN(MAX(I1523,0),H1484)))))</f>
        <v>0</v>
      </c>
      <c r="I1524" s="18">
        <f>IF($A1524&gt;40,I1523,(I1523-H1484+H1524)*(1+$C$7))</f>
        <v>26751.27562467361</v>
      </c>
      <c r="J1524" s="18">
        <f t="shared" si="176"/>
        <v>0</v>
      </c>
      <c r="K1524" s="18">
        <f>IF($A1524&gt;40,0,(K1484-MIN(MAX(L1523,0),K1484))+MIN(MAX(0,M1523-(K1484-MIN(MAX(L1523,0),K1484))),MAX(0,5*K1484-(L1523-MIN(MAX(L1523,0),K1484)))))</f>
        <v>0</v>
      </c>
      <c r="L1524" s="18">
        <f>IF($A1524&gt;40,L1523,(L1523-K1484+K1524)*(1+$C$7))</f>
        <v>75454.730240583405</v>
      </c>
      <c r="M1524" s="18">
        <f t="shared" si="177"/>
        <v>0</v>
      </c>
      <c r="N1524" s="18">
        <f>IF($A1524&gt;40,0,(N1484-MIN(MAX(O1523,0),N1484))+MIN(MAX(0,P1523-(N1484-MIN(MAX(O1523,0),N1484))),MAX(0,5*N1484-(O1523-MIN(MAX(O1523,0),N1484)))))</f>
        <v>0</v>
      </c>
      <c r="O1524" s="18">
        <f>IF($A1524&gt;40,O1523,(O1523-N1484+N1524)*(1+$C$7))</f>
        <v>75429.287831980982</v>
      </c>
      <c r="P1524" s="18">
        <f t="shared" si="178"/>
        <v>0</v>
      </c>
      <c r="Q1524" s="18">
        <f>IF($A1524&gt;40,0,(Q1484-MIN(MAX(R1523,0),Q1484))+MIN(MAX(0,S1523-(Q1484-MIN(MAX(R1523,0),Q1484))),MAX(0,5*Q1484-(R1523-MIN(MAX(R1523,0),Q1484)))))</f>
        <v>0</v>
      </c>
      <c r="R1524" s="18">
        <f>IF($A1524&gt;40,R1523,(R1523-Q1484+Q1524)*(1+$C$7))</f>
        <v>75428.733955743315</v>
      </c>
      <c r="S1524" s="18">
        <f t="shared" si="179"/>
        <v>0</v>
      </c>
    </row>
    <row r="1525" spans="1:19">
      <c r="A1525" s="10">
        <f>39</f>
        <v>39</v>
      </c>
      <c r="B1525" s="18">
        <f>IF($A1525&gt;40,0,(B1484-MIN(MAX(C1524,0),B1484))+MIN(MAX(0,D1524-(B1484-MIN(MAX(C1524,0),B1484))),MAX(0,5*B1484-(C1524-MIN(MAX(C1524,0),B1484)))))</f>
        <v>29055</v>
      </c>
      <c r="C1525" s="18">
        <f>IF($A1525&gt;40,C1524,(C1524-B1484+B1525)*(1+$C$7))</f>
        <v>150945</v>
      </c>
      <c r="D1525" s="18">
        <f t="shared" si="174"/>
        <v>527251.49309528002</v>
      </c>
      <c r="E1525" s="18">
        <f>IF($A1525&gt;40,0,(E1484-MIN(MAX(F1524,0),E1484))+MIN(MAX(0,G1524-(E1484-MIN(MAX(F1524,0),E1484))),MAX(0,5*E1484-(F1524-MIN(MAX(F1524,0),E1484)))))</f>
        <v>75000</v>
      </c>
      <c r="F1525" s="18">
        <f>IF($A1525&gt;40,F1524,(F1524-E1484+E1525)*(1+$C$7))</f>
        <v>0</v>
      </c>
      <c r="G1525" s="18">
        <f t="shared" si="175"/>
        <v>-2688228.3642125879</v>
      </c>
      <c r="H1525" s="18">
        <f>IF($A1525&gt;40,0,(H1484-MIN(MAX(I1524,0),H1484))+MIN(MAX(0,J1524-(H1484-MIN(MAX(I1524,0),H1484))),MAX(0,5*H1484-(I1524-MIN(MAX(I1524,0),H1484)))))</f>
        <v>11762.149581878039</v>
      </c>
      <c r="I1525" s="18">
        <f>IF($A1525&gt;40,I1524,(I1524-H1484+H1525)*(1+$C$7))</f>
        <v>0</v>
      </c>
      <c r="J1525" s="18">
        <f t="shared" si="176"/>
        <v>-12115.01406933438</v>
      </c>
      <c r="K1525" s="18">
        <f>IF($A1525&gt;40,0,(K1484-MIN(MAX(L1524,0),K1484))+MIN(MAX(0,M1524-(K1484-MIN(MAX(L1524,0),K1484))),MAX(0,5*K1484-(L1524-MIN(MAX(L1524,0),K1484)))))</f>
        <v>0</v>
      </c>
      <c r="L1525" s="18">
        <f>IF($A1525&gt;40,L1524,(L1524-K1484+K1525)*(1+$C$7))</f>
        <v>37859.317315494547</v>
      </c>
      <c r="M1525" s="18">
        <f t="shared" si="177"/>
        <v>0</v>
      </c>
      <c r="N1525" s="18">
        <f>IF($A1525&gt;40,0,(N1484-MIN(MAX(O1524,0),N1484))+MIN(MAX(0,P1524-(N1484-MIN(MAX(O1524,0),N1484))),MAX(0,5*N1484-(O1524-MIN(MAX(O1524,0),N1484)))))</f>
        <v>0</v>
      </c>
      <c r="O1525" s="18">
        <f>IF($A1525&gt;40,O1524,(O1524-N1484+N1525)*(1+$C$7))</f>
        <v>37833.359289270957</v>
      </c>
      <c r="P1525" s="18">
        <f t="shared" si="178"/>
        <v>0</v>
      </c>
      <c r="Q1525" s="18">
        <f>IF($A1525&gt;40,0,(Q1484-MIN(MAX(R1524,0),Q1484))+MIN(MAX(0,S1524-(Q1484-MIN(MAX(R1524,0),Q1484))),MAX(0,5*Q1484-(R1524-MIN(MAX(R1524,0),Q1484)))))</f>
        <v>0</v>
      </c>
      <c r="R1525" s="18">
        <f>IF($A1525&gt;40,R1524,(R1524-Q1484+Q1525)*(1+$C$7))</f>
        <v>37832.794188138971</v>
      </c>
      <c r="S1525" s="18">
        <f t="shared" si="179"/>
        <v>0</v>
      </c>
    </row>
    <row r="1526" spans="1:19">
      <c r="A1526" s="10">
        <f>40</f>
        <v>40</v>
      </c>
      <c r="B1526" s="18">
        <f>IF($A1526&gt;40,0,(B1484-MIN(MAX(C1525,0),B1484))+MIN(MAX(0,D1525-(B1484-MIN(MAX(C1525,0),B1484))),MAX(0,5*B1484-(C1525-MIN(MAX(C1525,0),B1484)))))</f>
        <v>29055</v>
      </c>
      <c r="C1526" s="18">
        <f>IF($A1526&gt;40,C1525,(C1525-B1484+B1526)*(1+$C$7))</f>
        <v>150945</v>
      </c>
      <c r="D1526" s="18">
        <f t="shared" si="174"/>
        <v>513142.38788813842</v>
      </c>
      <c r="E1526" s="18">
        <f>IF($A1526&gt;40,0,(E1484-MIN(MAX(F1525,0),E1484))+MIN(MAX(0,G1525-(E1484-MIN(MAX(F1525,0),E1484))),MAX(0,5*E1484-(F1525-MIN(MAX(F1525,0),E1484)))))</f>
        <v>75000</v>
      </c>
      <c r="F1526" s="18">
        <f>IF($A1526&gt;40,F1525,(F1525-E1484+E1526)*(1+$C$7))</f>
        <v>0</v>
      </c>
      <c r="G1526" s="18">
        <f t="shared" si="175"/>
        <v>-2846125.2151389658</v>
      </c>
      <c r="H1526" s="18">
        <f>IF($A1526&gt;40,0,(H1484-MIN(MAX(I1525,0),H1484))+MIN(MAX(0,J1525-(H1484-MIN(MAX(I1525,0),H1484))),MAX(0,5*H1484-(I1525-MIN(MAX(I1525,0),H1484)))))</f>
        <v>38513.425206551648</v>
      </c>
      <c r="I1526" s="18">
        <f>IF($A1526&gt;40,I1525,(I1525-H1484+H1526)*(1+$C$7))</f>
        <v>0</v>
      </c>
      <c r="J1526" s="18">
        <f t="shared" si="176"/>
        <v>-52147.292454162605</v>
      </c>
      <c r="K1526" s="18">
        <f>IF($A1526&gt;40,0,(K1484-MIN(MAX(L1525,0),K1484))+MIN(MAX(0,M1525-(K1484-MIN(MAX(L1525,0),K1484))),MAX(0,5*K1484-(L1525-MIN(MAX(L1525,0),K1484)))))</f>
        <v>0</v>
      </c>
      <c r="L1526" s="18">
        <f>IF($A1526&gt;40,L1525,(L1525-K1484+K1526)*(1+$C$7))</f>
        <v>27.053288977633105</v>
      </c>
      <c r="M1526" s="18">
        <f t="shared" si="177"/>
        <v>0</v>
      </c>
      <c r="N1526" s="18">
        <f>IF($A1526&gt;40,0,(N1484-MIN(MAX(O1525,0),N1484))+MIN(MAX(0,P1525-(N1484-MIN(MAX(O1525,0),N1484))),MAX(0,5*N1484-(O1525-MIN(MAX(O1525,0),N1484)))))</f>
        <v>0</v>
      </c>
      <c r="O1526" s="18">
        <f>IF($A1526&gt;40,O1525,(O1525-N1484+N1526)*(1+$C$7))</f>
        <v>0.57639674185603074</v>
      </c>
      <c r="P1526" s="18">
        <f t="shared" si="178"/>
        <v>0</v>
      </c>
      <c r="Q1526" s="18">
        <f>IF($A1526&gt;40,0,(Q1484-MIN(MAX(R1525,0),Q1484))+MIN(MAX(0,S1525-(Q1484-MIN(MAX(R1525,0),Q1484))),MAX(0,5*Q1484-(R1525-MIN(MAX(R1525,0),Q1484)))))</f>
        <v>1.2732925824820995E-9</v>
      </c>
      <c r="R1526" s="18">
        <f>IF($A1526&gt;40,R1525,(R1525-Q1484+Q1526)*(1+$C$7))</f>
        <v>0</v>
      </c>
      <c r="S1526" s="18">
        <f t="shared" si="179"/>
        <v>-1.3114913599565625E-9</v>
      </c>
    </row>
    <row r="1527" spans="1:19">
      <c r="B1527" s="18">
        <f>C1526+D1526</f>
        <v>664087.38788813842</v>
      </c>
      <c r="E1527" s="18">
        <f>F1526+G1526</f>
        <v>-2846125.2151389658</v>
      </c>
      <c r="H1527" s="18">
        <f>I1526+J1526</f>
        <v>-52147.292454162605</v>
      </c>
      <c r="K1527" s="18">
        <f>L1526+M1526</f>
        <v>27.053288977633105</v>
      </c>
      <c r="N1527" s="18">
        <f>O1526+P1526</f>
        <v>0.57639674185603074</v>
      </c>
      <c r="Q1527" s="18">
        <f>R1526+S1526</f>
        <v>-1.3114913599565625E-9</v>
      </c>
    </row>
    <row r="1528" spans="1:19">
      <c r="A1528" s="5" t="s">
        <v>266</v>
      </c>
      <c r="B1528" s="18">
        <f>IFERROR(Q1484-Q1527*(Q1484-N1484)/(Q1527-N1527),Q1484)</f>
        <v>37832.794188140229</v>
      </c>
    </row>
    <row r="1534" spans="1:19">
      <c r="A1534" s="2" t="s">
        <v>296</v>
      </c>
    </row>
    <row r="1536" spans="1:19">
      <c r="A1536" s="25" t="s">
        <v>262</v>
      </c>
      <c r="B1536" s="25" t="s">
        <v>263</v>
      </c>
      <c r="C1536" s="25" t="s">
        <v>264</v>
      </c>
      <c r="D1536" s="25" t="s">
        <v>265</v>
      </c>
    </row>
    <row r="1537" spans="1:4">
      <c r="A1537" s="3">
        <v>0</v>
      </c>
      <c r="C1537" s="18">
        <f>MIN(1*$B$635,$B$5)</f>
        <v>49533.261475973355</v>
      </c>
      <c r="D1537" s="18">
        <f>$B$5-C1537</f>
        <v>950466.7385240267</v>
      </c>
    </row>
    <row r="1538" spans="1:4">
      <c r="A1538" s="10">
        <f>1</f>
        <v>1</v>
      </c>
      <c r="B1538" s="18">
        <f t="shared" ref="B1538:B1577" si="180">IF($A1538&gt;30,0,($B$635-MIN(MAX(C1537,0),$B$635))+MIN(MAX(0,D1537-($B$635-MIN(MAX(C1537,0),$B$635))),MAX(0,1*$B$635-(C1537-MIN(MAX(C1537,0),$B$635)))))</f>
        <v>49533.261475973355</v>
      </c>
      <c r="C1538" s="18">
        <f t="shared" ref="C1538:C1577" si="181">IF($A1538&gt;30,C1537,(C1537-$B$635+B1538)*(1+$B$7))</f>
        <v>49354.941734659849</v>
      </c>
      <c r="D1538" s="18">
        <f t="shared" ref="D1538:D1577" si="182">IF($A1538&gt;30,D1537,(D1537-B1538)*(1+$B$6))</f>
        <v>927961.48135949508</v>
      </c>
    </row>
    <row r="1539" spans="1:4">
      <c r="A1539" s="10">
        <f>2</f>
        <v>2</v>
      </c>
      <c r="B1539" s="18">
        <f t="shared" si="180"/>
        <v>49711.581217286861</v>
      </c>
      <c r="C1539" s="18">
        <f t="shared" si="181"/>
        <v>49354.941734659849</v>
      </c>
      <c r="D1539" s="18">
        <f t="shared" si="182"/>
        <v>904597.39714647445</v>
      </c>
    </row>
    <row r="1540" spans="1:4">
      <c r="A1540" s="10">
        <f>3</f>
        <v>3</v>
      </c>
      <c r="B1540" s="18">
        <f t="shared" si="180"/>
        <v>49711.581217286861</v>
      </c>
      <c r="C1540" s="18">
        <f t="shared" si="181"/>
        <v>49354.941734659849</v>
      </c>
      <c r="D1540" s="18">
        <f t="shared" si="182"/>
        <v>880532.39040706318</v>
      </c>
    </row>
    <row r="1541" spans="1:4">
      <c r="A1541" s="10">
        <f>4</f>
        <v>4</v>
      </c>
      <c r="B1541" s="18">
        <f t="shared" si="180"/>
        <v>49711.581217286861</v>
      </c>
      <c r="C1541" s="18">
        <f t="shared" si="181"/>
        <v>49354.941734659849</v>
      </c>
      <c r="D1541" s="18">
        <f t="shared" si="182"/>
        <v>855745.43346546963</v>
      </c>
    </row>
    <row r="1542" spans="1:4">
      <c r="A1542" s="10">
        <f>5</f>
        <v>5</v>
      </c>
      <c r="B1542" s="18">
        <f t="shared" si="180"/>
        <v>49711.581217286861</v>
      </c>
      <c r="C1542" s="18">
        <f t="shared" si="181"/>
        <v>49354.941734659849</v>
      </c>
      <c r="D1542" s="18">
        <f t="shared" si="182"/>
        <v>830214.8678156283</v>
      </c>
    </row>
    <row r="1543" spans="1:4">
      <c r="A1543" s="10">
        <f>6</f>
        <v>6</v>
      </c>
      <c r="B1543" s="18">
        <f t="shared" si="180"/>
        <v>49711.581217286861</v>
      </c>
      <c r="C1543" s="18">
        <f t="shared" si="181"/>
        <v>49354.941734659849</v>
      </c>
      <c r="D1543" s="18">
        <f t="shared" si="182"/>
        <v>803918.38519629173</v>
      </c>
    </row>
    <row r="1544" spans="1:4">
      <c r="A1544" s="10">
        <f>7</f>
        <v>7</v>
      </c>
      <c r="B1544" s="18">
        <f t="shared" si="180"/>
        <v>49711.581217286861</v>
      </c>
      <c r="C1544" s="18">
        <f t="shared" si="181"/>
        <v>49354.941734659849</v>
      </c>
      <c r="D1544" s="18">
        <f t="shared" si="182"/>
        <v>776833.00809837505</v>
      </c>
    </row>
    <row r="1545" spans="1:4">
      <c r="A1545" s="10">
        <f>8</f>
        <v>8</v>
      </c>
      <c r="B1545" s="18">
        <f t="shared" si="180"/>
        <v>49711.581217286861</v>
      </c>
      <c r="C1545" s="18">
        <f t="shared" si="181"/>
        <v>49354.941734659849</v>
      </c>
      <c r="D1545" s="18">
        <f t="shared" si="182"/>
        <v>748935.06968752085</v>
      </c>
    </row>
    <row r="1546" spans="1:4">
      <c r="A1546" s="10">
        <f>9</f>
        <v>9</v>
      </c>
      <c r="B1546" s="18">
        <f t="shared" si="180"/>
        <v>49711.581217286861</v>
      </c>
      <c r="C1546" s="18">
        <f t="shared" si="181"/>
        <v>49354.941734659849</v>
      </c>
      <c r="D1546" s="18">
        <f t="shared" si="182"/>
        <v>720200.19312434096</v>
      </c>
    </row>
    <row r="1547" spans="1:4">
      <c r="A1547" s="10">
        <f>10</f>
        <v>10</v>
      </c>
      <c r="B1547" s="18">
        <f t="shared" si="180"/>
        <v>49711.581217286861</v>
      </c>
      <c r="C1547" s="18">
        <f t="shared" si="181"/>
        <v>49354.941734659849</v>
      </c>
      <c r="D1547" s="18">
        <f t="shared" si="182"/>
        <v>690603.27026426571</v>
      </c>
    </row>
    <row r="1548" spans="1:4">
      <c r="A1548" s="10">
        <f>11</f>
        <v>11</v>
      </c>
      <c r="B1548" s="18">
        <f t="shared" si="180"/>
        <v>49711.581217286861</v>
      </c>
      <c r="C1548" s="18">
        <f t="shared" si="181"/>
        <v>49354.941734659849</v>
      </c>
      <c r="D1548" s="18">
        <f t="shared" si="182"/>
        <v>660118.43971838825</v>
      </c>
    </row>
    <row r="1549" spans="1:4">
      <c r="A1549" s="10">
        <f>12</f>
        <v>12</v>
      </c>
      <c r="B1549" s="18">
        <f t="shared" si="180"/>
        <v>49711.581217286861</v>
      </c>
      <c r="C1549" s="18">
        <f t="shared" si="181"/>
        <v>49354.941734659849</v>
      </c>
      <c r="D1549" s="18">
        <f t="shared" si="182"/>
        <v>628719.06425613444</v>
      </c>
    </row>
    <row r="1550" spans="1:4">
      <c r="A1550" s="10">
        <f>13</f>
        <v>13</v>
      </c>
      <c r="B1550" s="18">
        <f t="shared" si="180"/>
        <v>49711.581217286861</v>
      </c>
      <c r="C1550" s="18">
        <f t="shared" si="181"/>
        <v>49354.941734659849</v>
      </c>
      <c r="D1550" s="18">
        <f t="shared" si="182"/>
        <v>596377.70753001305</v>
      </c>
    </row>
    <row r="1551" spans="1:4">
      <c r="A1551" s="10">
        <f>14</f>
        <v>14</v>
      </c>
      <c r="B1551" s="18">
        <f t="shared" si="180"/>
        <v>49711.581217286861</v>
      </c>
      <c r="C1551" s="18">
        <f t="shared" si="181"/>
        <v>49354.941734659849</v>
      </c>
      <c r="D1551" s="18">
        <f t="shared" si="182"/>
        <v>563066.11010210798</v>
      </c>
    </row>
    <row r="1552" spans="1:4">
      <c r="A1552" s="10">
        <f>15</f>
        <v>15</v>
      </c>
      <c r="B1552" s="18">
        <f t="shared" si="180"/>
        <v>49711.581217286861</v>
      </c>
      <c r="C1552" s="18">
        <f t="shared" si="181"/>
        <v>49354.941734659849</v>
      </c>
      <c r="D1552" s="18">
        <f t="shared" si="182"/>
        <v>528755.16475136578</v>
      </c>
    </row>
    <row r="1553" spans="1:4">
      <c r="A1553" s="10">
        <f>16</f>
        <v>16</v>
      </c>
      <c r="B1553" s="18">
        <f t="shared" si="180"/>
        <v>49711.581217286861</v>
      </c>
      <c r="C1553" s="18">
        <f t="shared" si="181"/>
        <v>49354.941734659849</v>
      </c>
      <c r="D1553" s="18">
        <f t="shared" si="182"/>
        <v>493414.8910401013</v>
      </c>
    </row>
    <row r="1554" spans="1:4">
      <c r="A1554" s="10">
        <f>17</f>
        <v>17</v>
      </c>
      <c r="B1554" s="18">
        <f t="shared" si="180"/>
        <v>49711.581217286861</v>
      </c>
      <c r="C1554" s="18">
        <f t="shared" si="181"/>
        <v>49354.941734659849</v>
      </c>
      <c r="D1554" s="18">
        <f t="shared" si="182"/>
        <v>457014.40911749884</v>
      </c>
    </row>
    <row r="1555" spans="1:4">
      <c r="A1555" s="10">
        <f>18</f>
        <v>18</v>
      </c>
      <c r="B1555" s="18">
        <f t="shared" si="180"/>
        <v>49711.581217286861</v>
      </c>
      <c r="C1555" s="18">
        <f t="shared" si="181"/>
        <v>49354.941734659849</v>
      </c>
      <c r="D1555" s="18">
        <f t="shared" si="182"/>
        <v>419521.91273721831</v>
      </c>
    </row>
    <row r="1556" spans="1:4">
      <c r="A1556" s="10">
        <f>19</f>
        <v>19</v>
      </c>
      <c r="B1556" s="18">
        <f t="shared" si="180"/>
        <v>49711.581217286861</v>
      </c>
      <c r="C1556" s="18">
        <f t="shared" si="181"/>
        <v>49354.941734659849</v>
      </c>
      <c r="D1556" s="18">
        <f t="shared" si="182"/>
        <v>380904.64146552939</v>
      </c>
    </row>
    <row r="1557" spans="1:4">
      <c r="A1557" s="10">
        <f>20</f>
        <v>20</v>
      </c>
      <c r="B1557" s="18">
        <f t="shared" si="180"/>
        <v>49711.581217286861</v>
      </c>
      <c r="C1557" s="18">
        <f t="shared" si="181"/>
        <v>49354.941734659849</v>
      </c>
      <c r="D1557" s="18">
        <f t="shared" si="182"/>
        <v>341128.85205568979</v>
      </c>
    </row>
    <row r="1558" spans="1:4">
      <c r="A1558" s="10">
        <f>21</f>
        <v>21</v>
      </c>
      <c r="B1558" s="18">
        <f t="shared" si="180"/>
        <v>49711.581217286861</v>
      </c>
      <c r="C1558" s="18">
        <f t="shared" si="181"/>
        <v>49354.941734659849</v>
      </c>
      <c r="D1558" s="18">
        <f t="shared" si="182"/>
        <v>300159.78896355501</v>
      </c>
    </row>
    <row r="1559" spans="1:4">
      <c r="A1559" s="10">
        <f>22</f>
        <v>22</v>
      </c>
      <c r="B1559" s="18">
        <f t="shared" si="180"/>
        <v>49711.581217286861</v>
      </c>
      <c r="C1559" s="18">
        <f t="shared" si="181"/>
        <v>49354.941734659849</v>
      </c>
      <c r="D1559" s="18">
        <f t="shared" si="182"/>
        <v>257961.65397865619</v>
      </c>
    </row>
    <row r="1560" spans="1:4">
      <c r="A1560" s="10">
        <f>23</f>
        <v>23</v>
      </c>
      <c r="B1560" s="18">
        <f t="shared" si="180"/>
        <v>49711.581217286861</v>
      </c>
      <c r="C1560" s="18">
        <f t="shared" si="181"/>
        <v>49354.941734659849</v>
      </c>
      <c r="D1560" s="18">
        <f t="shared" si="182"/>
        <v>214497.57494421044</v>
      </c>
    </row>
    <row r="1561" spans="1:4">
      <c r="A1561" s="10">
        <f>24</f>
        <v>24</v>
      </c>
      <c r="B1561" s="18">
        <f t="shared" si="180"/>
        <v>49711.581217286861</v>
      </c>
      <c r="C1561" s="18">
        <f t="shared" si="181"/>
        <v>49354.941734659849</v>
      </c>
      <c r="D1561" s="18">
        <f t="shared" si="182"/>
        <v>169729.57353873132</v>
      </c>
    </row>
    <row r="1562" spans="1:4">
      <c r="A1562" s="10">
        <f>25</f>
        <v>25</v>
      </c>
      <c r="B1562" s="18">
        <f t="shared" si="180"/>
        <v>49711.581217286861</v>
      </c>
      <c r="C1562" s="18">
        <f t="shared" si="181"/>
        <v>49354.941734659849</v>
      </c>
      <c r="D1562" s="18">
        <f t="shared" si="182"/>
        <v>123618.53209108779</v>
      </c>
    </row>
    <row r="1563" spans="1:4">
      <c r="A1563" s="10">
        <f>26</f>
        <v>26</v>
      </c>
      <c r="B1563" s="18">
        <f t="shared" si="180"/>
        <v>49711.581217286861</v>
      </c>
      <c r="C1563" s="18">
        <f t="shared" si="181"/>
        <v>49354.941734659849</v>
      </c>
      <c r="D1563" s="18">
        <f t="shared" si="182"/>
        <v>76124.159400014963</v>
      </c>
    </row>
    <row r="1564" spans="1:4">
      <c r="A1564" s="10">
        <f>27</f>
        <v>27</v>
      </c>
      <c r="B1564" s="18">
        <f t="shared" si="180"/>
        <v>49711.581217286861</v>
      </c>
      <c r="C1564" s="18">
        <f t="shared" si="181"/>
        <v>49354.941734659849</v>
      </c>
      <c r="D1564" s="18">
        <f t="shared" si="182"/>
        <v>27204.955528209946</v>
      </c>
    </row>
    <row r="1565" spans="1:4">
      <c r="A1565" s="10">
        <f>28</f>
        <v>28</v>
      </c>
      <c r="B1565" s="18">
        <f t="shared" si="180"/>
        <v>27204.955528209946</v>
      </c>
      <c r="C1565" s="18">
        <f t="shared" si="181"/>
        <v>26929.339898063612</v>
      </c>
      <c r="D1565" s="18">
        <f t="shared" si="182"/>
        <v>0</v>
      </c>
    </row>
    <row r="1566" spans="1:4">
      <c r="A1566" s="10">
        <f>29</f>
        <v>29</v>
      </c>
      <c r="B1566" s="18">
        <f t="shared" si="180"/>
        <v>22603.921577909743</v>
      </c>
      <c r="C1566" s="18">
        <f t="shared" si="181"/>
        <v>0</v>
      </c>
      <c r="D1566" s="18">
        <f t="shared" si="182"/>
        <v>-23282.039225247037</v>
      </c>
    </row>
    <row r="1567" spans="1:4">
      <c r="A1567" s="10">
        <f>30</f>
        <v>30</v>
      </c>
      <c r="B1567" s="18">
        <f t="shared" si="180"/>
        <v>49533.261475973355</v>
      </c>
      <c r="C1567" s="18">
        <f t="shared" si="181"/>
        <v>0</v>
      </c>
      <c r="D1567" s="18">
        <f t="shared" si="182"/>
        <v>-74999.759722257004</v>
      </c>
    </row>
    <row r="1568" spans="1:4">
      <c r="A1568" s="10">
        <f>31</f>
        <v>31</v>
      </c>
      <c r="B1568" s="18">
        <f t="shared" si="180"/>
        <v>0</v>
      </c>
      <c r="C1568" s="18">
        <f t="shared" si="181"/>
        <v>0</v>
      </c>
      <c r="D1568" s="18">
        <f t="shared" si="182"/>
        <v>-74999.759722257004</v>
      </c>
    </row>
    <row r="1569" spans="1:4">
      <c r="A1569" s="10">
        <f>32</f>
        <v>32</v>
      </c>
      <c r="B1569" s="18">
        <f t="shared" si="180"/>
        <v>0</v>
      </c>
      <c r="C1569" s="18">
        <f t="shared" si="181"/>
        <v>0</v>
      </c>
      <c r="D1569" s="18">
        <f t="shared" si="182"/>
        <v>-74999.759722257004</v>
      </c>
    </row>
    <row r="1570" spans="1:4">
      <c r="A1570" s="10">
        <f>33</f>
        <v>33</v>
      </c>
      <c r="B1570" s="18">
        <f t="shared" si="180"/>
        <v>0</v>
      </c>
      <c r="C1570" s="18">
        <f t="shared" si="181"/>
        <v>0</v>
      </c>
      <c r="D1570" s="18">
        <f t="shared" si="182"/>
        <v>-74999.759722257004</v>
      </c>
    </row>
    <row r="1571" spans="1:4">
      <c r="A1571" s="10">
        <f>34</f>
        <v>34</v>
      </c>
      <c r="B1571" s="18">
        <f t="shared" si="180"/>
        <v>0</v>
      </c>
      <c r="C1571" s="18">
        <f t="shared" si="181"/>
        <v>0</v>
      </c>
      <c r="D1571" s="18">
        <f t="shared" si="182"/>
        <v>-74999.759722257004</v>
      </c>
    </row>
    <row r="1572" spans="1:4">
      <c r="A1572" s="10">
        <f>35</f>
        <v>35</v>
      </c>
      <c r="B1572" s="18">
        <f t="shared" si="180"/>
        <v>0</v>
      </c>
      <c r="C1572" s="18">
        <f t="shared" si="181"/>
        <v>0</v>
      </c>
      <c r="D1572" s="18">
        <f t="shared" si="182"/>
        <v>-74999.759722257004</v>
      </c>
    </row>
    <row r="1573" spans="1:4">
      <c r="A1573" s="10">
        <f>36</f>
        <v>36</v>
      </c>
      <c r="B1573" s="18">
        <f t="shared" si="180"/>
        <v>0</v>
      </c>
      <c r="C1573" s="18">
        <f t="shared" si="181"/>
        <v>0</v>
      </c>
      <c r="D1573" s="18">
        <f t="shared" si="182"/>
        <v>-74999.759722257004</v>
      </c>
    </row>
    <row r="1574" spans="1:4">
      <c r="A1574" s="10">
        <f>37</f>
        <v>37</v>
      </c>
      <c r="B1574" s="18">
        <f t="shared" si="180"/>
        <v>0</v>
      </c>
      <c r="C1574" s="18">
        <f t="shared" si="181"/>
        <v>0</v>
      </c>
      <c r="D1574" s="18">
        <f t="shared" si="182"/>
        <v>-74999.759722257004</v>
      </c>
    </row>
    <row r="1575" spans="1:4">
      <c r="A1575" s="10">
        <f>38</f>
        <v>38</v>
      </c>
      <c r="B1575" s="18">
        <f t="shared" si="180"/>
        <v>0</v>
      </c>
      <c r="C1575" s="18">
        <f t="shared" si="181"/>
        <v>0</v>
      </c>
      <c r="D1575" s="18">
        <f t="shared" si="182"/>
        <v>-74999.759722257004</v>
      </c>
    </row>
    <row r="1576" spans="1:4">
      <c r="A1576" s="10">
        <f>39</f>
        <v>39</v>
      </c>
      <c r="B1576" s="18">
        <f t="shared" si="180"/>
        <v>0</v>
      </c>
      <c r="C1576" s="18">
        <f t="shared" si="181"/>
        <v>0</v>
      </c>
      <c r="D1576" s="18">
        <f t="shared" si="182"/>
        <v>-74999.759722257004</v>
      </c>
    </row>
    <row r="1577" spans="1:4">
      <c r="A1577" s="10">
        <f>40</f>
        <v>40</v>
      </c>
      <c r="B1577" s="18">
        <f t="shared" si="180"/>
        <v>0</v>
      </c>
      <c r="C1577" s="18">
        <f t="shared" si="181"/>
        <v>0</v>
      </c>
      <c r="D1577" s="18">
        <f t="shared" si="182"/>
        <v>-74999.759722257004</v>
      </c>
    </row>
    <row r="1578" spans="1:4">
      <c r="B1578" s="18">
        <f>-(C1577+D1577)</f>
        <v>74999.759722257004</v>
      </c>
    </row>
    <row r="1580" spans="1:4">
      <c r="A1580" s="2" t="s">
        <v>297</v>
      </c>
    </row>
    <row r="1582" spans="1:4">
      <c r="A1582" s="25" t="s">
        <v>262</v>
      </c>
      <c r="B1582" s="25" t="s">
        <v>263</v>
      </c>
      <c r="C1582" s="25" t="s">
        <v>264</v>
      </c>
      <c r="D1582" s="25" t="s">
        <v>265</v>
      </c>
    </row>
    <row r="1583" spans="1:4">
      <c r="A1583" s="3">
        <v>0</v>
      </c>
      <c r="C1583" s="18">
        <f>MIN(2*$B$635,$B$5)</f>
        <v>99066.52295194671</v>
      </c>
      <c r="D1583" s="18">
        <f>$B$5-C1583</f>
        <v>900933.47704805329</v>
      </c>
    </row>
    <row r="1584" spans="1:4">
      <c r="A1584" s="10">
        <f>1</f>
        <v>1</v>
      </c>
      <c r="B1584" s="18">
        <f t="shared" ref="B1584:B1623" si="183">IF($A1584&gt;30,0,($B$635-MIN(MAX(C1583,0),$B$635))+MIN(MAX(0,D1583-($B$635-MIN(MAX(C1583,0),$B$635))),MAX(0,2*$B$635-(C1583-MIN(MAX(C1583,0),$B$635)))))</f>
        <v>49533.261475973355</v>
      </c>
      <c r="C1584" s="18">
        <f t="shared" ref="C1584:C1623" si="184">IF($A1584&gt;30,C1583,(C1583-$B$635+B1584)*(1+$B$7))</f>
        <v>98709.883469319699</v>
      </c>
      <c r="D1584" s="18">
        <f t="shared" ref="D1584:D1623" si="185">IF($A1584&gt;30,D1583,(D1583-B1584)*(1+$B$6))</f>
        <v>876942.22203924228</v>
      </c>
    </row>
    <row r="1585" spans="1:4">
      <c r="A1585" s="10">
        <f>2</f>
        <v>2</v>
      </c>
      <c r="B1585" s="18">
        <f t="shared" si="183"/>
        <v>49889.900958600367</v>
      </c>
      <c r="C1585" s="18">
        <f t="shared" si="184"/>
        <v>98709.883469319699</v>
      </c>
      <c r="D1585" s="18">
        <f t="shared" si="185"/>
        <v>851863.89071306121</v>
      </c>
    </row>
    <row r="1586" spans="1:4">
      <c r="A1586" s="10">
        <f>3</f>
        <v>3</v>
      </c>
      <c r="B1586" s="18">
        <f t="shared" si="183"/>
        <v>49889.900958600367</v>
      </c>
      <c r="C1586" s="18">
        <f t="shared" si="184"/>
        <v>98709.883469319699</v>
      </c>
      <c r="D1586" s="18">
        <f t="shared" si="185"/>
        <v>826033.2094470947</v>
      </c>
    </row>
    <row r="1587" spans="1:4">
      <c r="A1587" s="10">
        <f>4</f>
        <v>4</v>
      </c>
      <c r="B1587" s="18">
        <f t="shared" si="183"/>
        <v>49889.900958600367</v>
      </c>
      <c r="C1587" s="18">
        <f t="shared" si="184"/>
        <v>98709.883469319699</v>
      </c>
      <c r="D1587" s="18">
        <f t="shared" si="185"/>
        <v>799427.60774314927</v>
      </c>
    </row>
    <row r="1588" spans="1:4">
      <c r="A1588" s="10">
        <f>5</f>
        <v>5</v>
      </c>
      <c r="B1588" s="18">
        <f t="shared" si="183"/>
        <v>49889.900958600367</v>
      </c>
      <c r="C1588" s="18">
        <f t="shared" si="184"/>
        <v>98709.883469319699</v>
      </c>
      <c r="D1588" s="18">
        <f t="shared" si="185"/>
        <v>772023.83798808546</v>
      </c>
    </row>
    <row r="1589" spans="1:4">
      <c r="A1589" s="10">
        <f>6</f>
        <v>6</v>
      </c>
      <c r="B1589" s="18">
        <f t="shared" si="183"/>
        <v>49889.900958600367</v>
      </c>
      <c r="C1589" s="18">
        <f t="shared" si="184"/>
        <v>98709.883469319699</v>
      </c>
      <c r="D1589" s="18">
        <f t="shared" si="185"/>
        <v>743797.95514036971</v>
      </c>
    </row>
    <row r="1590" spans="1:4">
      <c r="A1590" s="10">
        <f>7</f>
        <v>7</v>
      </c>
      <c r="B1590" s="18">
        <f t="shared" si="183"/>
        <v>49889.900958600367</v>
      </c>
      <c r="C1590" s="18">
        <f t="shared" si="184"/>
        <v>98709.883469319699</v>
      </c>
      <c r="D1590" s="18">
        <f t="shared" si="185"/>
        <v>714725.29580722249</v>
      </c>
    </row>
    <row r="1591" spans="1:4">
      <c r="A1591" s="10">
        <f>8</f>
        <v>8</v>
      </c>
      <c r="B1591" s="18">
        <f t="shared" si="183"/>
        <v>49889.900958600367</v>
      </c>
      <c r="C1591" s="18">
        <f t="shared" si="184"/>
        <v>98709.883469319699</v>
      </c>
      <c r="D1591" s="18">
        <f t="shared" si="185"/>
        <v>684780.45669408084</v>
      </c>
    </row>
    <row r="1592" spans="1:4">
      <c r="A1592" s="10">
        <f>9</f>
        <v>9</v>
      </c>
      <c r="B1592" s="18">
        <f t="shared" si="183"/>
        <v>49889.900958600367</v>
      </c>
      <c r="C1592" s="18">
        <f t="shared" si="184"/>
        <v>98709.883469319699</v>
      </c>
      <c r="D1592" s="18">
        <f t="shared" si="185"/>
        <v>653937.27240754489</v>
      </c>
    </row>
    <row r="1593" spans="1:4">
      <c r="A1593" s="10">
        <f>10</f>
        <v>10</v>
      </c>
      <c r="B1593" s="18">
        <f t="shared" si="183"/>
        <v>49889.900958600367</v>
      </c>
      <c r="C1593" s="18">
        <f t="shared" si="184"/>
        <v>98709.883469319699</v>
      </c>
      <c r="D1593" s="18">
        <f t="shared" si="185"/>
        <v>622168.79259241291</v>
      </c>
    </row>
    <row r="1594" spans="1:4">
      <c r="A1594" s="10">
        <f>11</f>
        <v>11</v>
      </c>
      <c r="B1594" s="18">
        <f t="shared" si="183"/>
        <v>49889.900958600367</v>
      </c>
      <c r="C1594" s="18">
        <f t="shared" si="184"/>
        <v>98709.883469319699</v>
      </c>
      <c r="D1594" s="18">
        <f t="shared" si="185"/>
        <v>589447.25838282693</v>
      </c>
    </row>
    <row r="1595" spans="1:4">
      <c r="A1595" s="10">
        <f>12</f>
        <v>12</v>
      </c>
      <c r="B1595" s="18">
        <f t="shared" si="183"/>
        <v>49889.900958600367</v>
      </c>
      <c r="C1595" s="18">
        <f t="shared" si="184"/>
        <v>98709.883469319699</v>
      </c>
      <c r="D1595" s="18">
        <f t="shared" si="185"/>
        <v>555744.07814695337</v>
      </c>
    </row>
    <row r="1596" spans="1:4">
      <c r="A1596" s="10">
        <f>13</f>
        <v>13</v>
      </c>
      <c r="B1596" s="18">
        <f t="shared" si="183"/>
        <v>49889.900958600367</v>
      </c>
      <c r="C1596" s="18">
        <f t="shared" si="184"/>
        <v>98709.883469319699</v>
      </c>
      <c r="D1596" s="18">
        <f t="shared" si="185"/>
        <v>521029.80250400363</v>
      </c>
    </row>
    <row r="1597" spans="1:4">
      <c r="A1597" s="10">
        <f>14</f>
        <v>14</v>
      </c>
      <c r="B1597" s="18">
        <f t="shared" si="183"/>
        <v>49889.900958600367</v>
      </c>
      <c r="C1597" s="18">
        <f t="shared" si="184"/>
        <v>98709.883469319699</v>
      </c>
      <c r="D1597" s="18">
        <f t="shared" si="185"/>
        <v>485274.09859176539</v>
      </c>
    </row>
    <row r="1598" spans="1:4">
      <c r="A1598" s="10">
        <f>15</f>
        <v>15</v>
      </c>
      <c r="B1598" s="18">
        <f t="shared" si="183"/>
        <v>49889.900958600367</v>
      </c>
      <c r="C1598" s="18">
        <f t="shared" si="184"/>
        <v>98709.883469319699</v>
      </c>
      <c r="D1598" s="18">
        <f t="shared" si="185"/>
        <v>448445.72356216004</v>
      </c>
    </row>
    <row r="1599" spans="1:4">
      <c r="A1599" s="10">
        <f>16</f>
        <v>16</v>
      </c>
      <c r="B1599" s="18">
        <f t="shared" si="183"/>
        <v>49889.900958600367</v>
      </c>
      <c r="C1599" s="18">
        <f t="shared" si="184"/>
        <v>98709.883469319699</v>
      </c>
      <c r="D1599" s="18">
        <f t="shared" si="185"/>
        <v>410512.4972816665</v>
      </c>
    </row>
    <row r="1600" spans="1:4">
      <c r="A1600" s="10">
        <f>17</f>
        <v>17</v>
      </c>
      <c r="B1600" s="18">
        <f t="shared" si="183"/>
        <v>49889.900958600367</v>
      </c>
      <c r="C1600" s="18">
        <f t="shared" si="184"/>
        <v>98709.883469319699</v>
      </c>
      <c r="D1600" s="18">
        <f t="shared" si="185"/>
        <v>371441.27421275817</v>
      </c>
    </row>
    <row r="1601" spans="1:4">
      <c r="A1601" s="10">
        <f>18</f>
        <v>18</v>
      </c>
      <c r="B1601" s="18">
        <f t="shared" si="183"/>
        <v>49889.900958600367</v>
      </c>
      <c r="C1601" s="18">
        <f t="shared" si="184"/>
        <v>98709.883469319699</v>
      </c>
      <c r="D1601" s="18">
        <f t="shared" si="185"/>
        <v>331197.91445178259</v>
      </c>
    </row>
    <row r="1602" spans="1:4">
      <c r="A1602" s="10">
        <f>19</f>
        <v>19</v>
      </c>
      <c r="B1602" s="18">
        <f t="shared" si="183"/>
        <v>49889.900958600367</v>
      </c>
      <c r="C1602" s="18">
        <f t="shared" si="184"/>
        <v>98709.883469319699</v>
      </c>
      <c r="D1602" s="18">
        <f t="shared" si="185"/>
        <v>289747.2538979777</v>
      </c>
    </row>
    <row r="1603" spans="1:4">
      <c r="A1603" s="10">
        <f>20</f>
        <v>20</v>
      </c>
      <c r="B1603" s="18">
        <f t="shared" si="183"/>
        <v>49889.900958600367</v>
      </c>
      <c r="C1603" s="18">
        <f t="shared" si="184"/>
        <v>98709.883469319699</v>
      </c>
      <c r="D1603" s="18">
        <f t="shared" si="185"/>
        <v>247053.07352755865</v>
      </c>
    </row>
    <row r="1604" spans="1:4">
      <c r="A1604" s="10">
        <f>21</f>
        <v>21</v>
      </c>
      <c r="B1604" s="18">
        <f t="shared" si="183"/>
        <v>49889.900958600367</v>
      </c>
      <c r="C1604" s="18">
        <f t="shared" si="184"/>
        <v>98709.883469319699</v>
      </c>
      <c r="D1604" s="18">
        <f t="shared" si="185"/>
        <v>203078.06774602702</v>
      </c>
    </row>
    <row r="1605" spans="1:4">
      <c r="A1605" s="10">
        <f>22</f>
        <v>22</v>
      </c>
      <c r="B1605" s="18">
        <f t="shared" si="183"/>
        <v>49889.900958600367</v>
      </c>
      <c r="C1605" s="18">
        <f t="shared" si="184"/>
        <v>98709.883469319699</v>
      </c>
      <c r="D1605" s="18">
        <f t="shared" si="185"/>
        <v>157783.81179104946</v>
      </c>
    </row>
    <row r="1606" spans="1:4">
      <c r="A1606" s="10">
        <f>23</f>
        <v>23</v>
      </c>
      <c r="B1606" s="18">
        <f t="shared" si="183"/>
        <v>49889.900958600367</v>
      </c>
      <c r="C1606" s="18">
        <f t="shared" si="184"/>
        <v>98709.883469319699</v>
      </c>
      <c r="D1606" s="18">
        <f t="shared" si="185"/>
        <v>111130.72815742258</v>
      </c>
    </row>
    <row r="1607" spans="1:4">
      <c r="A1607" s="10">
        <f>24</f>
        <v>24</v>
      </c>
      <c r="B1607" s="18">
        <f t="shared" si="183"/>
        <v>49889.900958600367</v>
      </c>
      <c r="C1607" s="18">
        <f t="shared" si="184"/>
        <v>98709.883469319699</v>
      </c>
      <c r="D1607" s="18">
        <f t="shared" si="185"/>
        <v>63078.052014786881</v>
      </c>
    </row>
    <row r="1608" spans="1:4">
      <c r="A1608" s="10">
        <f>25</f>
        <v>25</v>
      </c>
      <c r="B1608" s="18">
        <f t="shared" si="183"/>
        <v>49889.900958600367</v>
      </c>
      <c r="C1608" s="18">
        <f t="shared" si="184"/>
        <v>98709.883469319699</v>
      </c>
      <c r="D1608" s="18">
        <f t="shared" si="185"/>
        <v>13583.79558787211</v>
      </c>
    </row>
    <row r="1609" spans="1:4">
      <c r="A1609" s="10">
        <f>26</f>
        <v>26</v>
      </c>
      <c r="B1609" s="18">
        <f t="shared" si="183"/>
        <v>13583.79558787211</v>
      </c>
      <c r="C1609" s="18">
        <f t="shared" si="184"/>
        <v>62534.480077926062</v>
      </c>
      <c r="D1609" s="18">
        <f t="shared" si="185"/>
        <v>0</v>
      </c>
    </row>
    <row r="1610" spans="1:4">
      <c r="A1610" s="10">
        <f>27</f>
        <v>27</v>
      </c>
      <c r="B1610" s="18">
        <f t="shared" si="183"/>
        <v>0</v>
      </c>
      <c r="C1610" s="18">
        <f t="shared" si="184"/>
        <v>12954.414214985676</v>
      </c>
      <c r="D1610" s="18">
        <f t="shared" si="185"/>
        <v>0</v>
      </c>
    </row>
    <row r="1611" spans="1:4">
      <c r="A1611" s="10">
        <f>28</f>
        <v>28</v>
      </c>
      <c r="B1611" s="18">
        <f t="shared" si="183"/>
        <v>36578.847260987677</v>
      </c>
      <c r="C1611" s="18">
        <f t="shared" si="184"/>
        <v>0</v>
      </c>
      <c r="D1611" s="18">
        <f t="shared" si="185"/>
        <v>-37676.212678817312</v>
      </c>
    </row>
    <row r="1612" spans="1:4">
      <c r="A1612" s="10">
        <f>29</f>
        <v>29</v>
      </c>
      <c r="B1612" s="18">
        <f t="shared" si="183"/>
        <v>49533.261475973355</v>
      </c>
      <c r="C1612" s="18">
        <f t="shared" si="184"/>
        <v>0</v>
      </c>
      <c r="D1612" s="18">
        <f t="shared" si="185"/>
        <v>-89825.758379434381</v>
      </c>
    </row>
    <row r="1613" spans="1:4">
      <c r="A1613" s="10">
        <f>30</f>
        <v>30</v>
      </c>
      <c r="B1613" s="18">
        <f t="shared" si="183"/>
        <v>49533.261475973355</v>
      </c>
      <c r="C1613" s="18">
        <f t="shared" si="184"/>
        <v>0</v>
      </c>
      <c r="D1613" s="18">
        <f t="shared" si="185"/>
        <v>-143539.79045106997</v>
      </c>
    </row>
    <row r="1614" spans="1:4">
      <c r="A1614" s="10">
        <f>31</f>
        <v>31</v>
      </c>
      <c r="B1614" s="18">
        <f t="shared" si="183"/>
        <v>0</v>
      </c>
      <c r="C1614" s="18">
        <f t="shared" si="184"/>
        <v>0</v>
      </c>
      <c r="D1614" s="18">
        <f t="shared" si="185"/>
        <v>-143539.79045106997</v>
      </c>
    </row>
    <row r="1615" spans="1:4">
      <c r="A1615" s="10">
        <f>32</f>
        <v>32</v>
      </c>
      <c r="B1615" s="18">
        <f t="shared" si="183"/>
        <v>0</v>
      </c>
      <c r="C1615" s="18">
        <f t="shared" si="184"/>
        <v>0</v>
      </c>
      <c r="D1615" s="18">
        <f t="shared" si="185"/>
        <v>-143539.79045106997</v>
      </c>
    </row>
    <row r="1616" spans="1:4">
      <c r="A1616" s="10">
        <f>33</f>
        <v>33</v>
      </c>
      <c r="B1616" s="18">
        <f t="shared" si="183"/>
        <v>0</v>
      </c>
      <c r="C1616" s="18">
        <f t="shared" si="184"/>
        <v>0</v>
      </c>
      <c r="D1616" s="18">
        <f t="shared" si="185"/>
        <v>-143539.79045106997</v>
      </c>
    </row>
    <row r="1617" spans="1:4">
      <c r="A1617" s="10">
        <f>34</f>
        <v>34</v>
      </c>
      <c r="B1617" s="18">
        <f t="shared" si="183"/>
        <v>0</v>
      </c>
      <c r="C1617" s="18">
        <f t="shared" si="184"/>
        <v>0</v>
      </c>
      <c r="D1617" s="18">
        <f t="shared" si="185"/>
        <v>-143539.79045106997</v>
      </c>
    </row>
    <row r="1618" spans="1:4">
      <c r="A1618" s="10">
        <f>35</f>
        <v>35</v>
      </c>
      <c r="B1618" s="18">
        <f t="shared" si="183"/>
        <v>0</v>
      </c>
      <c r="C1618" s="18">
        <f t="shared" si="184"/>
        <v>0</v>
      </c>
      <c r="D1618" s="18">
        <f t="shared" si="185"/>
        <v>-143539.79045106997</v>
      </c>
    </row>
    <row r="1619" spans="1:4">
      <c r="A1619" s="10">
        <f>36</f>
        <v>36</v>
      </c>
      <c r="B1619" s="18">
        <f t="shared" si="183"/>
        <v>0</v>
      </c>
      <c r="C1619" s="18">
        <f t="shared" si="184"/>
        <v>0</v>
      </c>
      <c r="D1619" s="18">
        <f t="shared" si="185"/>
        <v>-143539.79045106997</v>
      </c>
    </row>
    <row r="1620" spans="1:4">
      <c r="A1620" s="10">
        <f>37</f>
        <v>37</v>
      </c>
      <c r="B1620" s="18">
        <f t="shared" si="183"/>
        <v>0</v>
      </c>
      <c r="C1620" s="18">
        <f t="shared" si="184"/>
        <v>0</v>
      </c>
      <c r="D1620" s="18">
        <f t="shared" si="185"/>
        <v>-143539.79045106997</v>
      </c>
    </row>
    <row r="1621" spans="1:4">
      <c r="A1621" s="10">
        <f>38</f>
        <v>38</v>
      </c>
      <c r="B1621" s="18">
        <f t="shared" si="183"/>
        <v>0</v>
      </c>
      <c r="C1621" s="18">
        <f t="shared" si="184"/>
        <v>0</v>
      </c>
      <c r="D1621" s="18">
        <f t="shared" si="185"/>
        <v>-143539.79045106997</v>
      </c>
    </row>
    <row r="1622" spans="1:4">
      <c r="A1622" s="10">
        <f>39</f>
        <v>39</v>
      </c>
      <c r="B1622" s="18">
        <f t="shared" si="183"/>
        <v>0</v>
      </c>
      <c r="C1622" s="18">
        <f t="shared" si="184"/>
        <v>0</v>
      </c>
      <c r="D1622" s="18">
        <f t="shared" si="185"/>
        <v>-143539.79045106997</v>
      </c>
    </row>
    <row r="1623" spans="1:4">
      <c r="A1623" s="10">
        <f>40</f>
        <v>40</v>
      </c>
      <c r="B1623" s="18">
        <f t="shared" si="183"/>
        <v>0</v>
      </c>
      <c r="C1623" s="18">
        <f t="shared" si="184"/>
        <v>0</v>
      </c>
      <c r="D1623" s="18">
        <f t="shared" si="185"/>
        <v>-143539.79045106997</v>
      </c>
    </row>
    <row r="1624" spans="1:4">
      <c r="B1624" s="18">
        <f>-(C1623+D1623)</f>
        <v>143539.79045106997</v>
      </c>
    </row>
    <row r="1626" spans="1:4">
      <c r="A1626" s="2" t="s">
        <v>298</v>
      </c>
    </row>
    <row r="1628" spans="1:4">
      <c r="A1628" s="25" t="s">
        <v>262</v>
      </c>
      <c r="B1628" s="25" t="s">
        <v>263</v>
      </c>
      <c r="C1628" s="25" t="s">
        <v>264</v>
      </c>
      <c r="D1628" s="25" t="s">
        <v>265</v>
      </c>
    </row>
    <row r="1629" spans="1:4">
      <c r="A1629" s="3">
        <v>0</v>
      </c>
      <c r="C1629" s="18">
        <f>MIN(3*$B$635,$B$5)</f>
        <v>148599.78442792007</v>
      </c>
      <c r="D1629" s="18">
        <f>$B$5-C1629</f>
        <v>851400.21557207988</v>
      </c>
    </row>
    <row r="1630" spans="1:4">
      <c r="A1630" s="10">
        <f>1</f>
        <v>1</v>
      </c>
      <c r="B1630" s="18">
        <f t="shared" ref="B1630:B1669" si="186">IF($A1630&gt;30,0,($B$635-MIN(MAX(C1629,0),$B$635))+MIN(MAX(0,D1629-($B$635-MIN(MAX(C1629,0),$B$635))),MAX(0,3*$B$635-(C1629-MIN(MAX(C1629,0),$B$635)))))</f>
        <v>49533.261475973355</v>
      </c>
      <c r="C1630" s="18">
        <f t="shared" ref="C1630:C1669" si="187">IF($A1630&gt;30,C1629,(C1629-$B$635+B1630)*(1+$B$7))</f>
        <v>148064.82520397953</v>
      </c>
      <c r="D1630" s="18">
        <f t="shared" ref="D1630:D1669" si="188">IF($A1630&gt;30,D1629,(D1629-B1630)*(1+$B$6))</f>
        <v>825922.96271898982</v>
      </c>
    </row>
    <row r="1631" spans="1:4">
      <c r="A1631" s="10">
        <f>2</f>
        <v>2</v>
      </c>
      <c r="B1631" s="18">
        <f t="shared" si="186"/>
        <v>50068.220699913887</v>
      </c>
      <c r="C1631" s="18">
        <f t="shared" si="187"/>
        <v>148064.82520397953</v>
      </c>
      <c r="D1631" s="18">
        <f t="shared" si="188"/>
        <v>799130.38427964819</v>
      </c>
    </row>
    <row r="1632" spans="1:4">
      <c r="A1632" s="10">
        <f>3</f>
        <v>3</v>
      </c>
      <c r="B1632" s="18">
        <f t="shared" si="186"/>
        <v>50068.220699913887</v>
      </c>
      <c r="C1632" s="18">
        <f t="shared" si="187"/>
        <v>148064.82520397953</v>
      </c>
      <c r="D1632" s="18">
        <f t="shared" si="188"/>
        <v>771534.02848712634</v>
      </c>
    </row>
    <row r="1633" spans="1:4">
      <c r="A1633" s="10">
        <f>4</f>
        <v>4</v>
      </c>
      <c r="B1633" s="18">
        <f t="shared" si="186"/>
        <v>50068.220699913887</v>
      </c>
      <c r="C1633" s="18">
        <f t="shared" si="187"/>
        <v>148064.82520397953</v>
      </c>
      <c r="D1633" s="18">
        <f t="shared" si="188"/>
        <v>743109.7820208288</v>
      </c>
    </row>
    <row r="1634" spans="1:4">
      <c r="A1634" s="10">
        <f>5</f>
        <v>5</v>
      </c>
      <c r="B1634" s="18">
        <f t="shared" si="186"/>
        <v>50068.220699913887</v>
      </c>
      <c r="C1634" s="18">
        <f t="shared" si="187"/>
        <v>148064.82520397953</v>
      </c>
      <c r="D1634" s="18">
        <f t="shared" si="188"/>
        <v>713832.80816054239</v>
      </c>
    </row>
    <row r="1635" spans="1:4">
      <c r="A1635" s="10">
        <f>6</f>
        <v>6</v>
      </c>
      <c r="B1635" s="18">
        <f t="shared" si="186"/>
        <v>50068.220699913887</v>
      </c>
      <c r="C1635" s="18">
        <f t="shared" si="187"/>
        <v>148064.82520397953</v>
      </c>
      <c r="D1635" s="18">
        <f t="shared" si="188"/>
        <v>683677.52508444735</v>
      </c>
    </row>
    <row r="1636" spans="1:4">
      <c r="A1636" s="10">
        <f>7</f>
        <v>7</v>
      </c>
      <c r="B1636" s="18">
        <f t="shared" si="186"/>
        <v>50068.220699913887</v>
      </c>
      <c r="C1636" s="18">
        <f t="shared" si="187"/>
        <v>148064.82520397953</v>
      </c>
      <c r="D1636" s="18">
        <f t="shared" si="188"/>
        <v>652617.58351606946</v>
      </c>
    </row>
    <row r="1637" spans="1:4">
      <c r="A1637" s="10">
        <f>8</f>
        <v>8</v>
      </c>
      <c r="B1637" s="18">
        <f t="shared" si="186"/>
        <v>50068.220699913887</v>
      </c>
      <c r="C1637" s="18">
        <f t="shared" si="187"/>
        <v>148064.82520397953</v>
      </c>
      <c r="D1637" s="18">
        <f t="shared" si="188"/>
        <v>620625.84370064025</v>
      </c>
    </row>
    <row r="1638" spans="1:4">
      <c r="A1638" s="10">
        <f>9</f>
        <v>9</v>
      </c>
      <c r="B1638" s="18">
        <f t="shared" si="186"/>
        <v>50068.220699913887</v>
      </c>
      <c r="C1638" s="18">
        <f t="shared" si="187"/>
        <v>148064.82520397953</v>
      </c>
      <c r="D1638" s="18">
        <f t="shared" si="188"/>
        <v>587674.35169074812</v>
      </c>
    </row>
    <row r="1639" spans="1:4">
      <c r="A1639" s="10">
        <f>10</f>
        <v>10</v>
      </c>
      <c r="B1639" s="18">
        <f t="shared" si="186"/>
        <v>50068.220699913887</v>
      </c>
      <c r="C1639" s="18">
        <f t="shared" si="187"/>
        <v>148064.82520397953</v>
      </c>
      <c r="D1639" s="18">
        <f t="shared" si="188"/>
        <v>553734.31492055929</v>
      </c>
    </row>
    <row r="1640" spans="1:4">
      <c r="A1640" s="10">
        <f>11</f>
        <v>11</v>
      </c>
      <c r="B1640" s="18">
        <f t="shared" si="186"/>
        <v>50068.220699913887</v>
      </c>
      <c r="C1640" s="18">
        <f t="shared" si="187"/>
        <v>148064.82520397953</v>
      </c>
      <c r="D1640" s="18">
        <f t="shared" si="188"/>
        <v>518776.07704726473</v>
      </c>
    </row>
    <row r="1641" spans="1:4">
      <c r="A1641" s="10">
        <f>12</f>
        <v>12</v>
      </c>
      <c r="B1641" s="18">
        <f t="shared" si="186"/>
        <v>50068.220699913887</v>
      </c>
      <c r="C1641" s="18">
        <f t="shared" si="187"/>
        <v>148064.82520397953</v>
      </c>
      <c r="D1641" s="18">
        <f t="shared" si="188"/>
        <v>482769.09203777142</v>
      </c>
    </row>
    <row r="1642" spans="1:4">
      <c r="A1642" s="10">
        <f>13</f>
        <v>13</v>
      </c>
      <c r="B1642" s="18">
        <f t="shared" si="186"/>
        <v>50068.220699913887</v>
      </c>
      <c r="C1642" s="18">
        <f t="shared" si="187"/>
        <v>148064.82520397953</v>
      </c>
      <c r="D1642" s="18">
        <f t="shared" si="188"/>
        <v>445681.89747799328</v>
      </c>
    </row>
    <row r="1643" spans="1:4">
      <c r="A1643" s="10">
        <f>14</f>
        <v>14</v>
      </c>
      <c r="B1643" s="18">
        <f t="shared" si="186"/>
        <v>50068.220699913887</v>
      </c>
      <c r="C1643" s="18">
        <f t="shared" si="187"/>
        <v>148064.82520397953</v>
      </c>
      <c r="D1643" s="18">
        <f t="shared" si="188"/>
        <v>407482.08708142175</v>
      </c>
    </row>
    <row r="1644" spans="1:4">
      <c r="A1644" s="10">
        <f>15</f>
        <v>15</v>
      </c>
      <c r="B1644" s="18">
        <f t="shared" si="186"/>
        <v>50068.220699913887</v>
      </c>
      <c r="C1644" s="18">
        <f t="shared" si="187"/>
        <v>148064.82520397953</v>
      </c>
      <c r="D1644" s="18">
        <f t="shared" si="188"/>
        <v>368136.28237295308</v>
      </c>
    </row>
    <row r="1645" spans="1:4">
      <c r="A1645" s="10">
        <f>16</f>
        <v>16</v>
      </c>
      <c r="B1645" s="18">
        <f t="shared" si="186"/>
        <v>50068.220699913887</v>
      </c>
      <c r="C1645" s="18">
        <f t="shared" si="187"/>
        <v>148064.82520397953</v>
      </c>
      <c r="D1645" s="18">
        <f t="shared" si="188"/>
        <v>327610.10352323041</v>
      </c>
    </row>
    <row r="1646" spans="1:4">
      <c r="A1646" s="10">
        <f>17</f>
        <v>17</v>
      </c>
      <c r="B1646" s="18">
        <f t="shared" si="186"/>
        <v>50068.220699913887</v>
      </c>
      <c r="C1646" s="18">
        <f t="shared" si="187"/>
        <v>148064.82520397953</v>
      </c>
      <c r="D1646" s="18">
        <f t="shared" si="188"/>
        <v>285868.13930801599</v>
      </c>
    </row>
    <row r="1647" spans="1:4">
      <c r="A1647" s="10">
        <f>18</f>
        <v>18</v>
      </c>
      <c r="B1647" s="18">
        <f t="shared" si="186"/>
        <v>50068.220699913887</v>
      </c>
      <c r="C1647" s="18">
        <f t="shared" si="187"/>
        <v>148064.82520397953</v>
      </c>
      <c r="D1647" s="18">
        <f t="shared" si="188"/>
        <v>242873.91616634518</v>
      </c>
    </row>
    <row r="1648" spans="1:4">
      <c r="A1648" s="10">
        <f>19</f>
        <v>19</v>
      </c>
      <c r="B1648" s="18">
        <f t="shared" si="186"/>
        <v>50068.220699913887</v>
      </c>
      <c r="C1648" s="18">
        <f t="shared" si="187"/>
        <v>148064.82520397953</v>
      </c>
      <c r="D1648" s="18">
        <f t="shared" si="188"/>
        <v>198589.86633042424</v>
      </c>
    </row>
    <row r="1649" spans="1:4">
      <c r="A1649" s="10">
        <f>20</f>
        <v>20</v>
      </c>
      <c r="B1649" s="18">
        <f t="shared" si="186"/>
        <v>50068.220699913887</v>
      </c>
      <c r="C1649" s="18">
        <f t="shared" si="187"/>
        <v>148064.82520397953</v>
      </c>
      <c r="D1649" s="18">
        <f t="shared" si="188"/>
        <v>152977.29499942568</v>
      </c>
    </row>
    <row r="1650" spans="1:4">
      <c r="A1650" s="10">
        <f>21</f>
        <v>21</v>
      </c>
      <c r="B1650" s="18">
        <f t="shared" si="186"/>
        <v>50068.220699913887</v>
      </c>
      <c r="C1650" s="18">
        <f t="shared" si="187"/>
        <v>148064.82520397953</v>
      </c>
      <c r="D1650" s="18">
        <f t="shared" si="188"/>
        <v>105996.34652849715</v>
      </c>
    </row>
    <row r="1651" spans="1:4">
      <c r="A1651" s="10">
        <f>22</f>
        <v>22</v>
      </c>
      <c r="B1651" s="18">
        <f t="shared" si="186"/>
        <v>50068.220699913887</v>
      </c>
      <c r="C1651" s="18">
        <f t="shared" si="187"/>
        <v>148064.82520397953</v>
      </c>
      <c r="D1651" s="18">
        <f t="shared" si="188"/>
        <v>57605.969603440761</v>
      </c>
    </row>
    <row r="1652" spans="1:4">
      <c r="A1652" s="10">
        <f>23</f>
        <v>23</v>
      </c>
      <c r="B1652" s="18">
        <f t="shared" si="186"/>
        <v>50068.220699913887</v>
      </c>
      <c r="C1652" s="18">
        <f t="shared" si="187"/>
        <v>148064.82520397953</v>
      </c>
      <c r="D1652" s="18">
        <f t="shared" si="188"/>
        <v>7763.88137063268</v>
      </c>
    </row>
    <row r="1653" spans="1:4">
      <c r="A1653" s="10">
        <f>24</f>
        <v>24</v>
      </c>
      <c r="B1653" s="18">
        <f t="shared" si="186"/>
        <v>7763.88137063268</v>
      </c>
      <c r="C1653" s="18">
        <f t="shared" si="187"/>
        <v>105912.78149628374</v>
      </c>
      <c r="D1653" s="18">
        <f t="shared" si="188"/>
        <v>0</v>
      </c>
    </row>
    <row r="1654" spans="1:4">
      <c r="A1654" s="10">
        <f>25</f>
        <v>25</v>
      </c>
      <c r="B1654" s="18">
        <f t="shared" si="186"/>
        <v>0</v>
      </c>
      <c r="C1654" s="18">
        <f t="shared" si="187"/>
        <v>56176.553748237267</v>
      </c>
      <c r="D1654" s="18">
        <f t="shared" si="188"/>
        <v>0</v>
      </c>
    </row>
    <row r="1655" spans="1:4">
      <c r="A1655" s="10">
        <f>26</f>
        <v>26</v>
      </c>
      <c r="B1655" s="18">
        <f t="shared" si="186"/>
        <v>0</v>
      </c>
      <c r="C1655" s="18">
        <f t="shared" si="187"/>
        <v>6619.3764200837622</v>
      </c>
      <c r="D1655" s="18">
        <f t="shared" si="188"/>
        <v>0</v>
      </c>
    </row>
    <row r="1656" spans="1:4">
      <c r="A1656" s="10">
        <f>27</f>
        <v>27</v>
      </c>
      <c r="B1656" s="18">
        <f t="shared" si="186"/>
        <v>42913.885055889594</v>
      </c>
      <c r="C1656" s="18">
        <f t="shared" si="187"/>
        <v>0</v>
      </c>
      <c r="D1656" s="18">
        <f t="shared" si="188"/>
        <v>-44201.301607566282</v>
      </c>
    </row>
    <row r="1657" spans="1:4">
      <c r="A1657" s="10">
        <f>28</f>
        <v>28</v>
      </c>
      <c r="B1657" s="18">
        <f t="shared" si="186"/>
        <v>49533.261475973355</v>
      </c>
      <c r="C1657" s="18">
        <f t="shared" si="187"/>
        <v>0</v>
      </c>
      <c r="D1657" s="18">
        <f t="shared" si="188"/>
        <v>-96546.599976045822</v>
      </c>
    </row>
    <row r="1658" spans="1:4">
      <c r="A1658" s="10">
        <f>29</f>
        <v>29</v>
      </c>
      <c r="B1658" s="18">
        <f t="shared" si="186"/>
        <v>49533.261475973355</v>
      </c>
      <c r="C1658" s="18">
        <f t="shared" si="187"/>
        <v>0</v>
      </c>
      <c r="D1658" s="18">
        <f t="shared" si="188"/>
        <v>-150462.25729557977</v>
      </c>
    </row>
    <row r="1659" spans="1:4">
      <c r="A1659" s="10">
        <f>30</f>
        <v>30</v>
      </c>
      <c r="B1659" s="18">
        <f t="shared" si="186"/>
        <v>49533.261475973355</v>
      </c>
      <c r="C1659" s="18">
        <f t="shared" si="187"/>
        <v>0</v>
      </c>
      <c r="D1659" s="18">
        <f t="shared" si="188"/>
        <v>-205995.38433469972</v>
      </c>
    </row>
    <row r="1660" spans="1:4">
      <c r="A1660" s="10">
        <f>31</f>
        <v>31</v>
      </c>
      <c r="B1660" s="18">
        <f t="shared" si="186"/>
        <v>0</v>
      </c>
      <c r="C1660" s="18">
        <f t="shared" si="187"/>
        <v>0</v>
      </c>
      <c r="D1660" s="18">
        <f t="shared" si="188"/>
        <v>-205995.38433469972</v>
      </c>
    </row>
    <row r="1661" spans="1:4">
      <c r="A1661" s="10">
        <f>32</f>
        <v>32</v>
      </c>
      <c r="B1661" s="18">
        <f t="shared" si="186"/>
        <v>0</v>
      </c>
      <c r="C1661" s="18">
        <f t="shared" si="187"/>
        <v>0</v>
      </c>
      <c r="D1661" s="18">
        <f t="shared" si="188"/>
        <v>-205995.38433469972</v>
      </c>
    </row>
    <row r="1662" spans="1:4">
      <c r="A1662" s="10">
        <f>33</f>
        <v>33</v>
      </c>
      <c r="B1662" s="18">
        <f t="shared" si="186"/>
        <v>0</v>
      </c>
      <c r="C1662" s="18">
        <f t="shared" si="187"/>
        <v>0</v>
      </c>
      <c r="D1662" s="18">
        <f t="shared" si="188"/>
        <v>-205995.38433469972</v>
      </c>
    </row>
    <row r="1663" spans="1:4">
      <c r="A1663" s="10">
        <f>34</f>
        <v>34</v>
      </c>
      <c r="B1663" s="18">
        <f t="shared" si="186"/>
        <v>0</v>
      </c>
      <c r="C1663" s="18">
        <f t="shared" si="187"/>
        <v>0</v>
      </c>
      <c r="D1663" s="18">
        <f t="shared" si="188"/>
        <v>-205995.38433469972</v>
      </c>
    </row>
    <row r="1664" spans="1:4">
      <c r="A1664" s="10">
        <f>35</f>
        <v>35</v>
      </c>
      <c r="B1664" s="18">
        <f t="shared" si="186"/>
        <v>0</v>
      </c>
      <c r="C1664" s="18">
        <f t="shared" si="187"/>
        <v>0</v>
      </c>
      <c r="D1664" s="18">
        <f t="shared" si="188"/>
        <v>-205995.38433469972</v>
      </c>
    </row>
    <row r="1665" spans="1:4">
      <c r="A1665" s="10">
        <f>36</f>
        <v>36</v>
      </c>
      <c r="B1665" s="18">
        <f t="shared" si="186"/>
        <v>0</v>
      </c>
      <c r="C1665" s="18">
        <f t="shared" si="187"/>
        <v>0</v>
      </c>
      <c r="D1665" s="18">
        <f t="shared" si="188"/>
        <v>-205995.38433469972</v>
      </c>
    </row>
    <row r="1666" spans="1:4">
      <c r="A1666" s="10">
        <f>37</f>
        <v>37</v>
      </c>
      <c r="B1666" s="18">
        <f t="shared" si="186"/>
        <v>0</v>
      </c>
      <c r="C1666" s="18">
        <f t="shared" si="187"/>
        <v>0</v>
      </c>
      <c r="D1666" s="18">
        <f t="shared" si="188"/>
        <v>-205995.38433469972</v>
      </c>
    </row>
    <row r="1667" spans="1:4">
      <c r="A1667" s="10">
        <f>38</f>
        <v>38</v>
      </c>
      <c r="B1667" s="18">
        <f t="shared" si="186"/>
        <v>0</v>
      </c>
      <c r="C1667" s="18">
        <f t="shared" si="187"/>
        <v>0</v>
      </c>
      <c r="D1667" s="18">
        <f t="shared" si="188"/>
        <v>-205995.38433469972</v>
      </c>
    </row>
    <row r="1668" spans="1:4">
      <c r="A1668" s="10">
        <f>39</f>
        <v>39</v>
      </c>
      <c r="B1668" s="18">
        <f t="shared" si="186"/>
        <v>0</v>
      </c>
      <c r="C1668" s="18">
        <f t="shared" si="187"/>
        <v>0</v>
      </c>
      <c r="D1668" s="18">
        <f t="shared" si="188"/>
        <v>-205995.38433469972</v>
      </c>
    </row>
    <row r="1669" spans="1:4">
      <c r="A1669" s="10">
        <f>40</f>
        <v>40</v>
      </c>
      <c r="B1669" s="18">
        <f t="shared" si="186"/>
        <v>0</v>
      </c>
      <c r="C1669" s="18">
        <f t="shared" si="187"/>
        <v>0</v>
      </c>
      <c r="D1669" s="18">
        <f t="shared" si="188"/>
        <v>-205995.38433469972</v>
      </c>
    </row>
    <row r="1670" spans="1:4">
      <c r="B1670" s="18">
        <f>-(C1669+D1669)</f>
        <v>205995.38433469972</v>
      </c>
    </row>
    <row r="1672" spans="1:4">
      <c r="A1672" s="2" t="s">
        <v>299</v>
      </c>
    </row>
    <row r="1674" spans="1:4">
      <c r="A1674" s="25" t="s">
        <v>262</v>
      </c>
      <c r="B1674" s="25" t="s">
        <v>263</v>
      </c>
      <c r="C1674" s="25" t="s">
        <v>264</v>
      </c>
      <c r="D1674" s="25" t="s">
        <v>265</v>
      </c>
    </row>
    <row r="1675" spans="1:4">
      <c r="A1675" s="3">
        <v>0</v>
      </c>
      <c r="C1675" s="18">
        <f>MIN(5*$B$635,$B$5)</f>
        <v>247666.30737986678</v>
      </c>
      <c r="D1675" s="18">
        <f>$B$5-C1675</f>
        <v>752333.69262013328</v>
      </c>
    </row>
    <row r="1676" spans="1:4">
      <c r="A1676" s="10">
        <f>1</f>
        <v>1</v>
      </c>
      <c r="B1676" s="18">
        <f t="shared" ref="B1676:B1715" si="189">IF($A1676&gt;30,0,($B$635-MIN(MAX(C1675,0),$B$635))+MIN(MAX(0,D1675-($B$635-MIN(MAX(C1675,0),$B$635))),MAX(0,5*$B$635-(C1675-MIN(MAX(C1675,0),$B$635)))))</f>
        <v>49533.261475973355</v>
      </c>
      <c r="C1676" s="18">
        <f t="shared" ref="C1676:C1715" si="190">IF($A1676&gt;30,C1675,(C1675-$B$635+B1676)*(1+$B$7))</f>
        <v>246774.70867329923</v>
      </c>
      <c r="D1676" s="18">
        <f t="shared" ref="D1676:D1715" si="191">IF($A1676&gt;30,D1675,(D1675-B1676)*(1+$B$6))</f>
        <v>723884.44407848478</v>
      </c>
    </row>
    <row r="1677" spans="1:4">
      <c r="A1677" s="10">
        <f>2</f>
        <v>2</v>
      </c>
      <c r="B1677" s="18">
        <f t="shared" si="189"/>
        <v>50424.860182540899</v>
      </c>
      <c r="C1677" s="18">
        <f t="shared" si="190"/>
        <v>246774.70867329923</v>
      </c>
      <c r="D1677" s="18">
        <f t="shared" si="191"/>
        <v>693663.37141282216</v>
      </c>
    </row>
    <row r="1678" spans="1:4">
      <c r="A1678" s="10">
        <f>3</f>
        <v>3</v>
      </c>
      <c r="B1678" s="18">
        <f t="shared" si="189"/>
        <v>50424.860182540899</v>
      </c>
      <c r="C1678" s="18">
        <f t="shared" si="190"/>
        <v>246774.70867329923</v>
      </c>
      <c r="D1678" s="18">
        <f t="shared" si="191"/>
        <v>662535.66656718974</v>
      </c>
    </row>
    <row r="1679" spans="1:4">
      <c r="A1679" s="10">
        <f>4</f>
        <v>4</v>
      </c>
      <c r="B1679" s="18">
        <f t="shared" si="189"/>
        <v>50424.860182540899</v>
      </c>
      <c r="C1679" s="18">
        <f t="shared" si="190"/>
        <v>246774.70867329923</v>
      </c>
      <c r="D1679" s="18">
        <f t="shared" si="191"/>
        <v>630474.13057618833</v>
      </c>
    </row>
    <row r="1680" spans="1:4">
      <c r="A1680" s="10">
        <f>5</f>
        <v>5</v>
      </c>
      <c r="B1680" s="18">
        <f t="shared" si="189"/>
        <v>50424.860182540899</v>
      </c>
      <c r="C1680" s="18">
        <f t="shared" si="190"/>
        <v>246774.70867329923</v>
      </c>
      <c r="D1680" s="18">
        <f t="shared" si="191"/>
        <v>597450.74850545696</v>
      </c>
    </row>
    <row r="1681" spans="1:4">
      <c r="A1681" s="10">
        <f>6</f>
        <v>6</v>
      </c>
      <c r="B1681" s="18">
        <f t="shared" si="189"/>
        <v>50424.860182540899</v>
      </c>
      <c r="C1681" s="18">
        <f t="shared" si="190"/>
        <v>246774.70867329923</v>
      </c>
      <c r="D1681" s="18">
        <f t="shared" si="191"/>
        <v>563436.66497260367</v>
      </c>
    </row>
    <row r="1682" spans="1:4">
      <c r="A1682" s="10">
        <f>7</f>
        <v>7</v>
      </c>
      <c r="B1682" s="18">
        <f t="shared" si="189"/>
        <v>50424.860182540899</v>
      </c>
      <c r="C1682" s="18">
        <f t="shared" si="190"/>
        <v>246774.70867329923</v>
      </c>
      <c r="D1682" s="18">
        <f t="shared" si="191"/>
        <v>528402.15893376467</v>
      </c>
    </row>
    <row r="1683" spans="1:4">
      <c r="A1683" s="10">
        <f>8</f>
        <v>8</v>
      </c>
      <c r="B1683" s="18">
        <f t="shared" si="189"/>
        <v>50424.860182540899</v>
      </c>
      <c r="C1683" s="18">
        <f t="shared" si="190"/>
        <v>246774.70867329923</v>
      </c>
      <c r="D1683" s="18">
        <f t="shared" si="191"/>
        <v>492316.61771376053</v>
      </c>
    </row>
    <row r="1684" spans="1:4">
      <c r="A1684" s="10">
        <f>9</f>
        <v>9</v>
      </c>
      <c r="B1684" s="18">
        <f t="shared" si="189"/>
        <v>50424.860182540899</v>
      </c>
      <c r="C1684" s="18">
        <f t="shared" si="190"/>
        <v>246774.70867329923</v>
      </c>
      <c r="D1684" s="18">
        <f t="shared" si="191"/>
        <v>455148.51025715622</v>
      </c>
    </row>
    <row r="1685" spans="1:4">
      <c r="A1685" s="10">
        <f>10</f>
        <v>10</v>
      </c>
      <c r="B1685" s="18">
        <f t="shared" si="189"/>
        <v>50424.860182540899</v>
      </c>
      <c r="C1685" s="18">
        <f t="shared" si="190"/>
        <v>246774.70867329923</v>
      </c>
      <c r="D1685" s="18">
        <f t="shared" si="191"/>
        <v>416865.35957685381</v>
      </c>
    </row>
    <row r="1686" spans="1:4">
      <c r="A1686" s="10">
        <f>11</f>
        <v>11</v>
      </c>
      <c r="B1686" s="18">
        <f t="shared" si="189"/>
        <v>50424.860182540899</v>
      </c>
      <c r="C1686" s="18">
        <f t="shared" si="190"/>
        <v>246774.70867329923</v>
      </c>
      <c r="D1686" s="18">
        <f t="shared" si="191"/>
        <v>377433.71437614231</v>
      </c>
    </row>
    <row r="1687" spans="1:4">
      <c r="A1687" s="10">
        <f>12</f>
        <v>12</v>
      </c>
      <c r="B1687" s="18">
        <f t="shared" si="189"/>
        <v>50424.860182540899</v>
      </c>
      <c r="C1687" s="18">
        <f t="shared" si="190"/>
        <v>246774.70867329923</v>
      </c>
      <c r="D1687" s="18">
        <f t="shared" si="191"/>
        <v>336819.11981940945</v>
      </c>
    </row>
    <row r="1688" spans="1:4">
      <c r="A1688" s="10">
        <f>13</f>
        <v>13</v>
      </c>
      <c r="B1688" s="18">
        <f t="shared" si="189"/>
        <v>50424.860182540899</v>
      </c>
      <c r="C1688" s="18">
        <f t="shared" si="190"/>
        <v>246774.70867329923</v>
      </c>
      <c r="D1688" s="18">
        <f t="shared" si="191"/>
        <v>294986.08742597461</v>
      </c>
    </row>
    <row r="1689" spans="1:4">
      <c r="A1689" s="10">
        <f>14</f>
        <v>14</v>
      </c>
      <c r="B1689" s="18">
        <f t="shared" si="189"/>
        <v>50424.860182540899</v>
      </c>
      <c r="C1689" s="18">
        <f t="shared" si="190"/>
        <v>246774.70867329923</v>
      </c>
      <c r="D1689" s="18">
        <f t="shared" si="191"/>
        <v>251898.06406073674</v>
      </c>
    </row>
    <row r="1690" spans="1:4">
      <c r="A1690" s="10">
        <f>15</f>
        <v>15</v>
      </c>
      <c r="B1690" s="18">
        <f t="shared" si="189"/>
        <v>50424.860182540899</v>
      </c>
      <c r="C1690" s="18">
        <f t="shared" si="190"/>
        <v>246774.70867329923</v>
      </c>
      <c r="D1690" s="18">
        <f t="shared" si="191"/>
        <v>207517.39999454172</v>
      </c>
    </row>
    <row r="1691" spans="1:4">
      <c r="A1691" s="10">
        <f>16</f>
        <v>16</v>
      </c>
      <c r="B1691" s="18">
        <f t="shared" si="189"/>
        <v>50424.860182540899</v>
      </c>
      <c r="C1691" s="18">
        <f t="shared" si="190"/>
        <v>246774.70867329923</v>
      </c>
      <c r="D1691" s="18">
        <f t="shared" si="191"/>
        <v>161805.31600636084</v>
      </c>
    </row>
    <row r="1692" spans="1:4">
      <c r="A1692" s="10">
        <f>17</f>
        <v>17</v>
      </c>
      <c r="B1692" s="18">
        <f t="shared" si="189"/>
        <v>50424.860182540899</v>
      </c>
      <c r="C1692" s="18">
        <f t="shared" si="190"/>
        <v>246774.70867329923</v>
      </c>
      <c r="D1692" s="18">
        <f t="shared" si="191"/>
        <v>114721.86949853454</v>
      </c>
    </row>
    <row r="1693" spans="1:4">
      <c r="A1693" s="10">
        <f>18</f>
        <v>18</v>
      </c>
      <c r="B1693" s="18">
        <f t="shared" si="189"/>
        <v>50424.860182540899</v>
      </c>
      <c r="C1693" s="18">
        <f t="shared" si="190"/>
        <v>246774.70867329923</v>
      </c>
      <c r="D1693" s="18">
        <f t="shared" si="191"/>
        <v>66225.919595473446</v>
      </c>
    </row>
    <row r="1694" spans="1:4">
      <c r="A1694" s="10">
        <f>19</f>
        <v>19</v>
      </c>
      <c r="B1694" s="18">
        <f t="shared" si="189"/>
        <v>50424.860182540899</v>
      </c>
      <c r="C1694" s="18">
        <f t="shared" si="190"/>
        <v>246774.70867329923</v>
      </c>
      <c r="D1694" s="18">
        <f t="shared" si="191"/>
        <v>16275.091195320525</v>
      </c>
    </row>
    <row r="1695" spans="1:4">
      <c r="A1695" s="10">
        <f>20</f>
        <v>20</v>
      </c>
      <c r="B1695" s="18">
        <f t="shared" si="189"/>
        <v>16275.091195320525</v>
      </c>
      <c r="C1695" s="18">
        <f t="shared" si="190"/>
        <v>212747.87885443287</v>
      </c>
      <c r="D1695" s="18">
        <f t="shared" si="191"/>
        <v>0</v>
      </c>
    </row>
    <row r="1696" spans="1:4">
      <c r="A1696" s="10">
        <f>21</f>
        <v>21</v>
      </c>
      <c r="B1696" s="18">
        <f t="shared" si="189"/>
        <v>0</v>
      </c>
      <c r="C1696" s="18">
        <f t="shared" si="190"/>
        <v>162627.04475589705</v>
      </c>
      <c r="D1696" s="18">
        <f t="shared" si="191"/>
        <v>0</v>
      </c>
    </row>
    <row r="1697" spans="1:4">
      <c r="A1697" s="10">
        <f>22</f>
        <v>22</v>
      </c>
      <c r="B1697" s="18">
        <f t="shared" si="189"/>
        <v>0</v>
      </c>
      <c r="C1697" s="18">
        <f t="shared" si="190"/>
        <v>112686.64566011596</v>
      </c>
      <c r="D1697" s="18">
        <f t="shared" si="191"/>
        <v>0</v>
      </c>
    </row>
    <row r="1698" spans="1:4">
      <c r="A1698" s="10">
        <f>23</f>
        <v>23</v>
      </c>
      <c r="B1698" s="18">
        <f t="shared" si="189"/>
        <v>0</v>
      </c>
      <c r="C1698" s="18">
        <f t="shared" si="190"/>
        <v>62926.032001079686</v>
      </c>
      <c r="D1698" s="18">
        <f t="shared" si="191"/>
        <v>0</v>
      </c>
    </row>
    <row r="1699" spans="1:4">
      <c r="A1699" s="10">
        <f>24</f>
        <v>24</v>
      </c>
      <c r="B1699" s="18">
        <f t="shared" si="189"/>
        <v>0</v>
      </c>
      <c r="C1699" s="18">
        <f t="shared" si="190"/>
        <v>13344.556551215946</v>
      </c>
      <c r="D1699" s="18">
        <f t="shared" si="191"/>
        <v>0</v>
      </c>
    </row>
    <row r="1700" spans="1:4">
      <c r="A1700" s="10">
        <f>25</f>
        <v>25</v>
      </c>
      <c r="B1700" s="18">
        <f t="shared" si="189"/>
        <v>36188.70492475741</v>
      </c>
      <c r="C1700" s="18">
        <f t="shared" si="190"/>
        <v>0</v>
      </c>
      <c r="D1700" s="18">
        <f t="shared" si="191"/>
        <v>-37274.366072500132</v>
      </c>
    </row>
    <row r="1701" spans="1:4">
      <c r="A1701" s="10">
        <f>26</f>
        <v>26</v>
      </c>
      <c r="B1701" s="18">
        <f t="shared" si="189"/>
        <v>49533.261475973355</v>
      </c>
      <c r="C1701" s="18">
        <f t="shared" si="190"/>
        <v>0</v>
      </c>
      <c r="D1701" s="18">
        <f t="shared" si="191"/>
        <v>-89411.85637492768</v>
      </c>
    </row>
    <row r="1702" spans="1:4">
      <c r="A1702" s="10">
        <f>27</f>
        <v>27</v>
      </c>
      <c r="B1702" s="18">
        <f t="shared" si="189"/>
        <v>49533.261475973355</v>
      </c>
      <c r="C1702" s="18">
        <f t="shared" si="190"/>
        <v>0</v>
      </c>
      <c r="D1702" s="18">
        <f t="shared" si="191"/>
        <v>-143113.47138642808</v>
      </c>
    </row>
    <row r="1703" spans="1:4">
      <c r="A1703" s="10">
        <f>28</f>
        <v>28</v>
      </c>
      <c r="B1703" s="18">
        <f t="shared" si="189"/>
        <v>49533.261475973355</v>
      </c>
      <c r="C1703" s="18">
        <f t="shared" si="190"/>
        <v>0</v>
      </c>
      <c r="D1703" s="18">
        <f t="shared" si="191"/>
        <v>-198426.13484827348</v>
      </c>
    </row>
    <row r="1704" spans="1:4">
      <c r="A1704" s="10">
        <f>29</f>
        <v>29</v>
      </c>
      <c r="B1704" s="18">
        <f t="shared" si="189"/>
        <v>49533.261475973355</v>
      </c>
      <c r="C1704" s="18">
        <f t="shared" si="190"/>
        <v>0</v>
      </c>
      <c r="D1704" s="18">
        <f t="shared" si="191"/>
        <v>-255398.17821397423</v>
      </c>
    </row>
    <row r="1705" spans="1:4">
      <c r="A1705" s="10">
        <f>30</f>
        <v>30</v>
      </c>
      <c r="B1705" s="18">
        <f t="shared" si="189"/>
        <v>49533.261475973355</v>
      </c>
      <c r="C1705" s="18">
        <f t="shared" si="190"/>
        <v>0</v>
      </c>
      <c r="D1705" s="18">
        <f t="shared" si="191"/>
        <v>-314079.38288064604</v>
      </c>
    </row>
    <row r="1706" spans="1:4">
      <c r="A1706" s="10">
        <f>31</f>
        <v>31</v>
      </c>
      <c r="B1706" s="18">
        <f t="shared" si="189"/>
        <v>0</v>
      </c>
      <c r="C1706" s="18">
        <f t="shared" si="190"/>
        <v>0</v>
      </c>
      <c r="D1706" s="18">
        <f t="shared" si="191"/>
        <v>-314079.38288064604</v>
      </c>
    </row>
    <row r="1707" spans="1:4">
      <c r="A1707" s="10">
        <f>32</f>
        <v>32</v>
      </c>
      <c r="B1707" s="18">
        <f t="shared" si="189"/>
        <v>0</v>
      </c>
      <c r="C1707" s="18">
        <f t="shared" si="190"/>
        <v>0</v>
      </c>
      <c r="D1707" s="18">
        <f t="shared" si="191"/>
        <v>-314079.38288064604</v>
      </c>
    </row>
    <row r="1708" spans="1:4">
      <c r="A1708" s="10">
        <f>33</f>
        <v>33</v>
      </c>
      <c r="B1708" s="18">
        <f t="shared" si="189"/>
        <v>0</v>
      </c>
      <c r="C1708" s="18">
        <f t="shared" si="190"/>
        <v>0</v>
      </c>
      <c r="D1708" s="18">
        <f t="shared" si="191"/>
        <v>-314079.38288064604</v>
      </c>
    </row>
    <row r="1709" spans="1:4">
      <c r="A1709" s="10">
        <f>34</f>
        <v>34</v>
      </c>
      <c r="B1709" s="18">
        <f t="shared" si="189"/>
        <v>0</v>
      </c>
      <c r="C1709" s="18">
        <f t="shared" si="190"/>
        <v>0</v>
      </c>
      <c r="D1709" s="18">
        <f t="shared" si="191"/>
        <v>-314079.38288064604</v>
      </c>
    </row>
    <row r="1710" spans="1:4">
      <c r="A1710" s="10">
        <f>35</f>
        <v>35</v>
      </c>
      <c r="B1710" s="18">
        <f t="shared" si="189"/>
        <v>0</v>
      </c>
      <c r="C1710" s="18">
        <f t="shared" si="190"/>
        <v>0</v>
      </c>
      <c r="D1710" s="18">
        <f t="shared" si="191"/>
        <v>-314079.38288064604</v>
      </c>
    </row>
    <row r="1711" spans="1:4">
      <c r="A1711" s="10">
        <f>36</f>
        <v>36</v>
      </c>
      <c r="B1711" s="18">
        <f t="shared" si="189"/>
        <v>0</v>
      </c>
      <c r="C1711" s="18">
        <f t="shared" si="190"/>
        <v>0</v>
      </c>
      <c r="D1711" s="18">
        <f t="shared" si="191"/>
        <v>-314079.38288064604</v>
      </c>
    </row>
    <row r="1712" spans="1:4">
      <c r="A1712" s="10">
        <f>37</f>
        <v>37</v>
      </c>
      <c r="B1712" s="18">
        <f t="shared" si="189"/>
        <v>0</v>
      </c>
      <c r="C1712" s="18">
        <f t="shared" si="190"/>
        <v>0</v>
      </c>
      <c r="D1712" s="18">
        <f t="shared" si="191"/>
        <v>-314079.38288064604</v>
      </c>
    </row>
    <row r="1713" spans="1:4">
      <c r="A1713" s="10">
        <f>38</f>
        <v>38</v>
      </c>
      <c r="B1713" s="18">
        <f t="shared" si="189"/>
        <v>0</v>
      </c>
      <c r="C1713" s="18">
        <f t="shared" si="190"/>
        <v>0</v>
      </c>
      <c r="D1713" s="18">
        <f t="shared" si="191"/>
        <v>-314079.38288064604</v>
      </c>
    </row>
    <row r="1714" spans="1:4">
      <c r="A1714" s="10">
        <f>39</f>
        <v>39</v>
      </c>
      <c r="B1714" s="18">
        <f t="shared" si="189"/>
        <v>0</v>
      </c>
      <c r="C1714" s="18">
        <f t="shared" si="190"/>
        <v>0</v>
      </c>
      <c r="D1714" s="18">
        <f t="shared" si="191"/>
        <v>-314079.38288064604</v>
      </c>
    </row>
    <row r="1715" spans="1:4">
      <c r="A1715" s="10">
        <f>40</f>
        <v>40</v>
      </c>
      <c r="B1715" s="18">
        <f t="shared" si="189"/>
        <v>0</v>
      </c>
      <c r="C1715" s="18">
        <f t="shared" si="190"/>
        <v>0</v>
      </c>
      <c r="D1715" s="18">
        <f t="shared" si="191"/>
        <v>-314079.38288064604</v>
      </c>
    </row>
    <row r="1716" spans="1:4">
      <c r="B1716" s="18">
        <f>-(C1715+D1715)</f>
        <v>314079.38288064604</v>
      </c>
    </row>
    <row r="1718" spans="1:4">
      <c r="A1718" s="2" t="s">
        <v>300</v>
      </c>
    </row>
    <row r="1720" spans="1:4">
      <c r="A1720" s="25" t="s">
        <v>262</v>
      </c>
      <c r="B1720" s="25" t="s">
        <v>263</v>
      </c>
      <c r="C1720" s="25" t="s">
        <v>264</v>
      </c>
      <c r="D1720" s="25" t="s">
        <v>265</v>
      </c>
    </row>
    <row r="1721" spans="1:4">
      <c r="A1721" s="3">
        <v>0</v>
      </c>
      <c r="C1721" s="18">
        <f>MIN(1*$B$1105,$B$5)</f>
        <v>42002.308631517553</v>
      </c>
      <c r="D1721" s="18">
        <f>$B$5-C1721</f>
        <v>957997.69136848242</v>
      </c>
    </row>
    <row r="1722" spans="1:4">
      <c r="A1722" s="10">
        <f>1</f>
        <v>1</v>
      </c>
      <c r="B1722" s="18">
        <f t="shared" ref="B1722:B1761" si="192">IF($A1722&gt;40,0,($B$1105-MIN(MAX(C1721,0),$B$1105))+MIN(MAX(0,D1721-($B$1105-MIN(MAX(C1721,0),$B$1105))),MAX(0,1*$B$1105-(C1721-MIN(MAX(C1721,0),$B$1105)))))</f>
        <v>42002.308631517553</v>
      </c>
      <c r="C1722" s="18">
        <f t="shared" ref="C1722:C1761" si="193">IF($A1722&gt;40,C1721,(C1721-$B$1105+B1722)*(1+$B$7))</f>
        <v>41851.100320444086</v>
      </c>
      <c r="D1722" s="18">
        <f t="shared" ref="D1722:D1761" si="194">IF($A1722&gt;40,D1721,(D1721-B1722)*(1+$B$6))</f>
        <v>943475.24421907379</v>
      </c>
    </row>
    <row r="1723" spans="1:4">
      <c r="A1723" s="10">
        <f>2</f>
        <v>2</v>
      </c>
      <c r="B1723" s="18">
        <f t="shared" si="192"/>
        <v>42153.516942591021</v>
      </c>
      <c r="C1723" s="18">
        <f t="shared" si="193"/>
        <v>41851.100320444086</v>
      </c>
      <c r="D1723" s="18">
        <f t="shared" si="194"/>
        <v>928361.37909477728</v>
      </c>
    </row>
    <row r="1724" spans="1:4">
      <c r="A1724" s="10">
        <f>3</f>
        <v>3</v>
      </c>
      <c r="B1724" s="18">
        <f t="shared" si="192"/>
        <v>42153.516942591021</v>
      </c>
      <c r="C1724" s="18">
        <f t="shared" si="193"/>
        <v>41851.100320444086</v>
      </c>
      <c r="D1724" s="18">
        <f t="shared" si="194"/>
        <v>912794.09801675181</v>
      </c>
    </row>
    <row r="1725" spans="1:4">
      <c r="A1725" s="10">
        <f>4</f>
        <v>4</v>
      </c>
      <c r="B1725" s="18">
        <f t="shared" si="192"/>
        <v>42153.516942591021</v>
      </c>
      <c r="C1725" s="18">
        <f t="shared" si="193"/>
        <v>41851.100320444086</v>
      </c>
      <c r="D1725" s="18">
        <f t="shared" si="194"/>
        <v>896759.79850638565</v>
      </c>
    </row>
    <row r="1726" spans="1:4">
      <c r="A1726" s="10">
        <f>5</f>
        <v>5</v>
      </c>
      <c r="B1726" s="18">
        <f t="shared" si="192"/>
        <v>42153.516942591021</v>
      </c>
      <c r="C1726" s="18">
        <f t="shared" si="193"/>
        <v>41851.100320444086</v>
      </c>
      <c r="D1726" s="18">
        <f t="shared" si="194"/>
        <v>880244.47001070844</v>
      </c>
    </row>
    <row r="1727" spans="1:4">
      <c r="A1727" s="10">
        <f>6</f>
        <v>6</v>
      </c>
      <c r="B1727" s="18">
        <f t="shared" si="192"/>
        <v>42153.516942591021</v>
      </c>
      <c r="C1727" s="18">
        <f t="shared" si="193"/>
        <v>41851.100320444086</v>
      </c>
      <c r="D1727" s="18">
        <f t="shared" si="194"/>
        <v>863233.68166016089</v>
      </c>
    </row>
    <row r="1728" spans="1:4">
      <c r="A1728" s="10">
        <f>7</f>
        <v>7</v>
      </c>
      <c r="B1728" s="18">
        <f t="shared" si="192"/>
        <v>42153.516942591021</v>
      </c>
      <c r="C1728" s="18">
        <f t="shared" si="193"/>
        <v>41851.100320444086</v>
      </c>
      <c r="D1728" s="18">
        <f t="shared" si="194"/>
        <v>845712.569659097</v>
      </c>
    </row>
    <row r="1729" spans="1:4">
      <c r="A1729" s="10">
        <f>8</f>
        <v>8</v>
      </c>
      <c r="B1729" s="18">
        <f t="shared" si="192"/>
        <v>42153.516942591021</v>
      </c>
      <c r="C1729" s="18">
        <f t="shared" si="193"/>
        <v>41851.100320444086</v>
      </c>
      <c r="D1729" s="18">
        <f t="shared" si="194"/>
        <v>827665.82429800113</v>
      </c>
    </row>
    <row r="1730" spans="1:4">
      <c r="A1730" s="10">
        <f>9</f>
        <v>9</v>
      </c>
      <c r="B1730" s="18">
        <f t="shared" si="192"/>
        <v>42153.516942591021</v>
      </c>
      <c r="C1730" s="18">
        <f t="shared" si="193"/>
        <v>41851.100320444086</v>
      </c>
      <c r="D1730" s="18">
        <f t="shared" si="194"/>
        <v>809077.67657607235</v>
      </c>
    </row>
    <row r="1731" spans="1:4">
      <c r="A1731" s="10">
        <f>10</f>
        <v>10</v>
      </c>
      <c r="B1731" s="18">
        <f t="shared" si="192"/>
        <v>42153.516942591021</v>
      </c>
      <c r="C1731" s="18">
        <f t="shared" si="193"/>
        <v>41851.100320444086</v>
      </c>
      <c r="D1731" s="18">
        <f t="shared" si="194"/>
        <v>789931.88442248572</v>
      </c>
    </row>
    <row r="1732" spans="1:4">
      <c r="A1732" s="10">
        <f>11</f>
        <v>11</v>
      </c>
      <c r="B1732" s="18">
        <f t="shared" si="192"/>
        <v>42153.516942591021</v>
      </c>
      <c r="C1732" s="18">
        <f t="shared" si="193"/>
        <v>41851.100320444086</v>
      </c>
      <c r="D1732" s="18">
        <f t="shared" si="194"/>
        <v>770211.71850429149</v>
      </c>
    </row>
    <row r="1733" spans="1:4">
      <c r="A1733" s="10">
        <f>12</f>
        <v>12</v>
      </c>
      <c r="B1733" s="18">
        <f t="shared" si="192"/>
        <v>42153.516942591021</v>
      </c>
      <c r="C1733" s="18">
        <f t="shared" si="193"/>
        <v>41851.100320444086</v>
      </c>
      <c r="D1733" s="18">
        <f t="shared" si="194"/>
        <v>749899.94760855148</v>
      </c>
    </row>
    <row r="1734" spans="1:4">
      <c r="A1734" s="10">
        <f>13</f>
        <v>13</v>
      </c>
      <c r="B1734" s="18">
        <f t="shared" si="192"/>
        <v>42153.516942591021</v>
      </c>
      <c r="C1734" s="18">
        <f t="shared" si="193"/>
        <v>41851.100320444086</v>
      </c>
      <c r="D1734" s="18">
        <f t="shared" si="194"/>
        <v>728978.82358593924</v>
      </c>
    </row>
    <row r="1735" spans="1:4">
      <c r="A1735" s="10">
        <f>14</f>
        <v>14</v>
      </c>
      <c r="B1735" s="18">
        <f t="shared" si="192"/>
        <v>42153.516942591021</v>
      </c>
      <c r="C1735" s="18">
        <f t="shared" si="193"/>
        <v>41851.100320444086</v>
      </c>
      <c r="D1735" s="18">
        <f t="shared" si="194"/>
        <v>707430.06584264862</v>
      </c>
    </row>
    <row r="1736" spans="1:4">
      <c r="A1736" s="10">
        <f>15</f>
        <v>15</v>
      </c>
      <c r="B1736" s="18">
        <f t="shared" si="192"/>
        <v>42153.516942591021</v>
      </c>
      <c r="C1736" s="18">
        <f t="shared" si="193"/>
        <v>41851.100320444086</v>
      </c>
      <c r="D1736" s="18">
        <f t="shared" si="194"/>
        <v>685234.84536705934</v>
      </c>
    </row>
    <row r="1737" spans="1:4">
      <c r="A1737" s="10">
        <f>16</f>
        <v>16</v>
      </c>
      <c r="B1737" s="18">
        <f t="shared" si="192"/>
        <v>42153.516942591021</v>
      </c>
      <c r="C1737" s="18">
        <f t="shared" si="193"/>
        <v>41851.100320444086</v>
      </c>
      <c r="D1737" s="18">
        <f t="shared" si="194"/>
        <v>662373.76827720238</v>
      </c>
    </row>
    <row r="1738" spans="1:4">
      <c r="A1738" s="10">
        <f>17</f>
        <v>17</v>
      </c>
      <c r="B1738" s="18">
        <f t="shared" si="192"/>
        <v>42153.516942591021</v>
      </c>
      <c r="C1738" s="18">
        <f t="shared" si="193"/>
        <v>41851.100320444086</v>
      </c>
      <c r="D1738" s="18">
        <f t="shared" si="194"/>
        <v>638826.85887464974</v>
      </c>
    </row>
    <row r="1739" spans="1:4">
      <c r="A1739" s="10">
        <f>18</f>
        <v>18</v>
      </c>
      <c r="B1739" s="18">
        <f t="shared" si="192"/>
        <v>42153.516942591021</v>
      </c>
      <c r="C1739" s="18">
        <f t="shared" si="193"/>
        <v>41851.100320444086</v>
      </c>
      <c r="D1739" s="18">
        <f t="shared" si="194"/>
        <v>614573.54219002044</v>
      </c>
    </row>
    <row r="1740" spans="1:4">
      <c r="A1740" s="10">
        <f>19</f>
        <v>19</v>
      </c>
      <c r="B1740" s="18">
        <f t="shared" si="192"/>
        <v>42153.516942591021</v>
      </c>
      <c r="C1740" s="18">
        <f t="shared" si="193"/>
        <v>41851.100320444086</v>
      </c>
      <c r="D1740" s="18">
        <f t="shared" si="194"/>
        <v>589592.62600485224</v>
      </c>
    </row>
    <row r="1741" spans="1:4">
      <c r="A1741" s="10">
        <f>20</f>
        <v>20</v>
      </c>
      <c r="B1741" s="18">
        <f t="shared" si="192"/>
        <v>42153.516942591021</v>
      </c>
      <c r="C1741" s="18">
        <f t="shared" si="193"/>
        <v>41851.100320444086</v>
      </c>
      <c r="D1741" s="18">
        <f t="shared" si="194"/>
        <v>563862.28233412898</v>
      </c>
    </row>
    <row r="1742" spans="1:4">
      <c r="A1742" s="10">
        <f>21</f>
        <v>21</v>
      </c>
      <c r="B1742" s="18">
        <f t="shared" si="192"/>
        <v>42153.516942591021</v>
      </c>
      <c r="C1742" s="18">
        <f t="shared" si="193"/>
        <v>41851.100320444086</v>
      </c>
      <c r="D1742" s="18">
        <f t="shared" si="194"/>
        <v>537360.02835328411</v>
      </c>
    </row>
    <row r="1743" spans="1:4">
      <c r="A1743" s="10">
        <f>22</f>
        <v>22</v>
      </c>
      <c r="B1743" s="18">
        <f t="shared" si="192"/>
        <v>42153.516942591021</v>
      </c>
      <c r="C1743" s="18">
        <f t="shared" si="193"/>
        <v>41851.100320444086</v>
      </c>
      <c r="D1743" s="18">
        <f t="shared" si="194"/>
        <v>510062.70675301395</v>
      </c>
    </row>
    <row r="1744" spans="1:4">
      <c r="A1744" s="10">
        <f>23</f>
        <v>23</v>
      </c>
      <c r="B1744" s="18">
        <f t="shared" si="192"/>
        <v>42153.516942591021</v>
      </c>
      <c r="C1744" s="18">
        <f t="shared" si="193"/>
        <v>41851.100320444086</v>
      </c>
      <c r="D1744" s="18">
        <f t="shared" si="194"/>
        <v>481946.46550473565</v>
      </c>
    </row>
    <row r="1745" spans="1:4">
      <c r="A1745" s="10">
        <f>24</f>
        <v>24</v>
      </c>
      <c r="B1745" s="18">
        <f t="shared" si="192"/>
        <v>42153.516942591021</v>
      </c>
      <c r="C1745" s="18">
        <f t="shared" si="193"/>
        <v>41851.100320444086</v>
      </c>
      <c r="D1745" s="18">
        <f t="shared" si="194"/>
        <v>452986.73701900902</v>
      </c>
    </row>
    <row r="1746" spans="1:4">
      <c r="A1746" s="10">
        <f>25</f>
        <v>25</v>
      </c>
      <c r="B1746" s="18">
        <f t="shared" si="192"/>
        <v>42153.516942591021</v>
      </c>
      <c r="C1746" s="18">
        <f t="shared" si="193"/>
        <v>41851.100320444086</v>
      </c>
      <c r="D1746" s="18">
        <f t="shared" si="194"/>
        <v>423158.2166787106</v>
      </c>
    </row>
    <row r="1747" spans="1:4">
      <c r="A1747" s="10">
        <f>26</f>
        <v>26</v>
      </c>
      <c r="B1747" s="18">
        <f t="shared" si="192"/>
        <v>42153.516942591021</v>
      </c>
      <c r="C1747" s="18">
        <f t="shared" si="193"/>
        <v>41851.100320444086</v>
      </c>
      <c r="D1747" s="18">
        <f t="shared" si="194"/>
        <v>392434.84072820318</v>
      </c>
    </row>
    <row r="1748" spans="1:4">
      <c r="A1748" s="10">
        <f>27</f>
        <v>27</v>
      </c>
      <c r="B1748" s="18">
        <f t="shared" si="192"/>
        <v>42153.516942591021</v>
      </c>
      <c r="C1748" s="18">
        <f t="shared" si="193"/>
        <v>41851.100320444086</v>
      </c>
      <c r="D1748" s="18">
        <f t="shared" si="194"/>
        <v>360789.76349918055</v>
      </c>
    </row>
    <row r="1749" spans="1:4">
      <c r="A1749" s="10">
        <f>28</f>
        <v>28</v>
      </c>
      <c r="B1749" s="18">
        <f t="shared" si="192"/>
        <v>42153.516942591021</v>
      </c>
      <c r="C1749" s="18">
        <f t="shared" si="193"/>
        <v>41851.100320444086</v>
      </c>
      <c r="D1749" s="18">
        <f t="shared" si="194"/>
        <v>328195.33395328728</v>
      </c>
    </row>
    <row r="1750" spans="1:4">
      <c r="A1750" s="10">
        <f>29</f>
        <v>29</v>
      </c>
      <c r="B1750" s="18">
        <f t="shared" si="192"/>
        <v>42153.516942591021</v>
      </c>
      <c r="C1750" s="18">
        <f t="shared" si="193"/>
        <v>41851.100320444086</v>
      </c>
      <c r="D1750" s="18">
        <f t="shared" si="194"/>
        <v>294623.07152101718</v>
      </c>
    </row>
    <row r="1751" spans="1:4">
      <c r="A1751" s="10">
        <f>30</f>
        <v>30</v>
      </c>
      <c r="B1751" s="18">
        <f t="shared" si="192"/>
        <v>42153.516942591021</v>
      </c>
      <c r="C1751" s="18">
        <f t="shared" si="193"/>
        <v>41851.100320444086</v>
      </c>
      <c r="D1751" s="18">
        <f t="shared" si="194"/>
        <v>260043.64121577895</v>
      </c>
    </row>
    <row r="1752" spans="1:4">
      <c r="A1752" s="10">
        <f>31</f>
        <v>31</v>
      </c>
      <c r="B1752" s="18">
        <f t="shared" si="192"/>
        <v>42153.516942591021</v>
      </c>
      <c r="C1752" s="18">
        <f t="shared" si="193"/>
        <v>41851.100320444086</v>
      </c>
      <c r="D1752" s="18">
        <f t="shared" si="194"/>
        <v>224426.82800138355</v>
      </c>
    </row>
    <row r="1753" spans="1:4">
      <c r="A1753" s="10">
        <f>32</f>
        <v>32</v>
      </c>
      <c r="B1753" s="18">
        <f t="shared" si="192"/>
        <v>42153.516942591021</v>
      </c>
      <c r="C1753" s="18">
        <f t="shared" si="193"/>
        <v>41851.100320444086</v>
      </c>
      <c r="D1753" s="18">
        <f t="shared" si="194"/>
        <v>187741.5103905563</v>
      </c>
    </row>
    <row r="1754" spans="1:4">
      <c r="A1754" s="10">
        <f>33</f>
        <v>33</v>
      </c>
      <c r="B1754" s="18">
        <f t="shared" si="192"/>
        <v>42153.516942591021</v>
      </c>
      <c r="C1754" s="18">
        <f t="shared" si="193"/>
        <v>41851.100320444086</v>
      </c>
      <c r="D1754" s="18">
        <f t="shared" si="194"/>
        <v>149955.63325140424</v>
      </c>
    </row>
    <row r="1755" spans="1:4">
      <c r="A1755" s="10">
        <f>34</f>
        <v>34</v>
      </c>
      <c r="B1755" s="18">
        <f t="shared" si="192"/>
        <v>42153.516942591021</v>
      </c>
      <c r="C1755" s="18">
        <f t="shared" si="193"/>
        <v>41851.100320444086</v>
      </c>
      <c r="D1755" s="18">
        <f t="shared" si="194"/>
        <v>111036.17979807762</v>
      </c>
    </row>
    <row r="1756" spans="1:4">
      <c r="A1756" s="10">
        <f>35</f>
        <v>35</v>
      </c>
      <c r="B1756" s="18">
        <f t="shared" si="192"/>
        <v>42153.516942591021</v>
      </c>
      <c r="C1756" s="18">
        <f t="shared" si="193"/>
        <v>41851.100320444086</v>
      </c>
      <c r="D1756" s="18">
        <f t="shared" si="194"/>
        <v>70949.142741151183</v>
      </c>
    </row>
    <row r="1757" spans="1:4">
      <c r="A1757" s="10">
        <f>36</f>
        <v>36</v>
      </c>
      <c r="B1757" s="18">
        <f t="shared" si="192"/>
        <v>42153.516942591021</v>
      </c>
      <c r="C1757" s="18">
        <f t="shared" si="193"/>
        <v>41851.100320444086</v>
      </c>
      <c r="D1757" s="18">
        <f t="shared" si="194"/>
        <v>29659.494572516967</v>
      </c>
    </row>
    <row r="1758" spans="1:4">
      <c r="A1758" s="10">
        <f>37</f>
        <v>37</v>
      </c>
      <c r="B1758" s="18">
        <f t="shared" si="192"/>
        <v>29659.494572516967</v>
      </c>
      <c r="C1758" s="18">
        <f t="shared" si="193"/>
        <v>29402.056430902303</v>
      </c>
      <c r="D1758" s="18">
        <f t="shared" si="194"/>
        <v>0</v>
      </c>
    </row>
    <row r="1759" spans="1:4">
      <c r="A1759" s="10">
        <f>38</f>
        <v>38</v>
      </c>
      <c r="B1759" s="18">
        <f t="shared" si="192"/>
        <v>12600.25220061525</v>
      </c>
      <c r="C1759" s="18">
        <f t="shared" si="193"/>
        <v>0</v>
      </c>
      <c r="D1759" s="18">
        <f t="shared" si="194"/>
        <v>-12978.259766633708</v>
      </c>
    </row>
    <row r="1760" spans="1:4">
      <c r="A1760" s="10">
        <f>39</f>
        <v>39</v>
      </c>
      <c r="B1760" s="18">
        <f t="shared" si="192"/>
        <v>42002.308631517553</v>
      </c>
      <c r="C1760" s="18">
        <f t="shared" si="193"/>
        <v>0</v>
      </c>
      <c r="D1760" s="18">
        <f t="shared" si="194"/>
        <v>-56629.985450095803</v>
      </c>
    </row>
    <row r="1761" spans="1:4">
      <c r="A1761" s="10">
        <f>40</f>
        <v>40</v>
      </c>
      <c r="B1761" s="18">
        <f t="shared" si="192"/>
        <v>42002.308631517553</v>
      </c>
      <c r="C1761" s="18">
        <f t="shared" si="193"/>
        <v>0</v>
      </c>
      <c r="D1761" s="18">
        <f t="shared" si="194"/>
        <v>-101591.26290406176</v>
      </c>
    </row>
    <row r="1762" spans="1:4">
      <c r="B1762" s="18">
        <f>-(C1761+D1761)</f>
        <v>101591.26290406176</v>
      </c>
    </row>
    <row r="1764" spans="1:4">
      <c r="A1764" s="2" t="s">
        <v>301</v>
      </c>
    </row>
    <row r="1766" spans="1:4">
      <c r="A1766" s="25" t="s">
        <v>262</v>
      </c>
      <c r="B1766" s="25" t="s">
        <v>263</v>
      </c>
      <c r="C1766" s="25" t="s">
        <v>264</v>
      </c>
      <c r="D1766" s="25" t="s">
        <v>265</v>
      </c>
    </row>
    <row r="1767" spans="1:4">
      <c r="A1767" s="3">
        <v>0</v>
      </c>
      <c r="C1767" s="18">
        <f>MIN(2*$B$1105,$B$5)</f>
        <v>84004.617263035107</v>
      </c>
      <c r="D1767" s="18">
        <f>$B$5-C1767</f>
        <v>915995.38273696485</v>
      </c>
    </row>
    <row r="1768" spans="1:4">
      <c r="A1768" s="10">
        <f>1</f>
        <v>1</v>
      </c>
      <c r="B1768" s="18">
        <f t="shared" ref="B1768:B1807" si="195">IF($A1768&gt;40,0,($B$1105-MIN(MAX(C1767,0),$B$1105))+MIN(MAX(0,D1767-($B$1105-MIN(MAX(C1767,0),$B$1105))),MAX(0,2*$B$1105-(C1767-MIN(MAX(C1767,0),$B$1105)))))</f>
        <v>42002.308631517553</v>
      </c>
      <c r="C1768" s="18">
        <f t="shared" ref="C1768:C1807" si="196">IF($A1768&gt;40,C1767,(C1767-$B$1105+B1768)*(1+$B$7))</f>
        <v>83702.200640888172</v>
      </c>
      <c r="D1768" s="18">
        <f t="shared" ref="D1768:D1807" si="197">IF($A1768&gt;40,D1767,(D1767-B1768)*(1+$B$6))</f>
        <v>900212.86632861069</v>
      </c>
    </row>
    <row r="1769" spans="1:4">
      <c r="A1769" s="10">
        <f>2</f>
        <v>2</v>
      </c>
      <c r="B1769" s="18">
        <f t="shared" si="195"/>
        <v>42304.725253664488</v>
      </c>
      <c r="C1769" s="18">
        <f t="shared" si="196"/>
        <v>83702.200640888172</v>
      </c>
      <c r="D1769" s="18">
        <f t="shared" si="197"/>
        <v>883645.38530719455</v>
      </c>
    </row>
    <row r="1770" spans="1:4">
      <c r="A1770" s="10">
        <f>3</f>
        <v>3</v>
      </c>
      <c r="B1770" s="18">
        <f t="shared" si="195"/>
        <v>42304.725253664488</v>
      </c>
      <c r="C1770" s="18">
        <f t="shared" si="196"/>
        <v>83702.200640888172</v>
      </c>
      <c r="D1770" s="18">
        <f t="shared" si="197"/>
        <v>866580.87985513592</v>
      </c>
    </row>
    <row r="1771" spans="1:4">
      <c r="A1771" s="10">
        <f>4</f>
        <v>4</v>
      </c>
      <c r="B1771" s="18">
        <f t="shared" si="195"/>
        <v>42304.725253664488</v>
      </c>
      <c r="C1771" s="18">
        <f t="shared" si="196"/>
        <v>83702.200640888172</v>
      </c>
      <c r="D1771" s="18">
        <f t="shared" si="197"/>
        <v>849004.43923951557</v>
      </c>
    </row>
    <row r="1772" spans="1:4">
      <c r="A1772" s="10">
        <f>5</f>
        <v>5</v>
      </c>
      <c r="B1772" s="18">
        <f t="shared" si="195"/>
        <v>42304.725253664488</v>
      </c>
      <c r="C1772" s="18">
        <f t="shared" si="196"/>
        <v>83702.200640888172</v>
      </c>
      <c r="D1772" s="18">
        <f t="shared" si="197"/>
        <v>830900.70540542656</v>
      </c>
    </row>
    <row r="1773" spans="1:4">
      <c r="A1773" s="10">
        <f>6</f>
        <v>6</v>
      </c>
      <c r="B1773" s="18">
        <f t="shared" si="195"/>
        <v>42304.725253664488</v>
      </c>
      <c r="C1773" s="18">
        <f t="shared" si="196"/>
        <v>83702.200640888172</v>
      </c>
      <c r="D1773" s="18">
        <f t="shared" si="197"/>
        <v>812253.85955631488</v>
      </c>
    </row>
    <row r="1774" spans="1:4">
      <c r="A1774" s="10">
        <f>7</f>
        <v>7</v>
      </c>
      <c r="B1774" s="18">
        <f t="shared" si="195"/>
        <v>42304.725253664488</v>
      </c>
      <c r="C1774" s="18">
        <f t="shared" si="196"/>
        <v>83702.200640888172</v>
      </c>
      <c r="D1774" s="18">
        <f t="shared" si="197"/>
        <v>793047.60833172989</v>
      </c>
    </row>
    <row r="1775" spans="1:4">
      <c r="A1775" s="10">
        <f>8</f>
        <v>8</v>
      </c>
      <c r="B1775" s="18">
        <f t="shared" si="195"/>
        <v>42304.725253664488</v>
      </c>
      <c r="C1775" s="18">
        <f t="shared" si="196"/>
        <v>83702.200640888172</v>
      </c>
      <c r="D1775" s="18">
        <f t="shared" si="197"/>
        <v>773265.16957040736</v>
      </c>
    </row>
    <row r="1776" spans="1:4">
      <c r="A1776" s="10">
        <f>9</f>
        <v>9</v>
      </c>
      <c r="B1776" s="18">
        <f t="shared" si="195"/>
        <v>42304.725253664488</v>
      </c>
      <c r="C1776" s="18">
        <f t="shared" si="196"/>
        <v>83702.200640888172</v>
      </c>
      <c r="D1776" s="18">
        <f t="shared" si="197"/>
        <v>752889.25764624518</v>
      </c>
    </row>
    <row r="1777" spans="1:4">
      <c r="A1777" s="10">
        <f>10</f>
        <v>10</v>
      </c>
      <c r="B1777" s="18">
        <f t="shared" si="195"/>
        <v>42304.725253664488</v>
      </c>
      <c r="C1777" s="18">
        <f t="shared" si="196"/>
        <v>83702.200640888172</v>
      </c>
      <c r="D1777" s="18">
        <f t="shared" si="197"/>
        <v>731902.06836435804</v>
      </c>
    </row>
    <row r="1778" spans="1:4">
      <c r="A1778" s="10">
        <f>11</f>
        <v>11</v>
      </c>
      <c r="B1778" s="18">
        <f t="shared" si="195"/>
        <v>42304.725253664488</v>
      </c>
      <c r="C1778" s="18">
        <f t="shared" si="196"/>
        <v>83702.200640888172</v>
      </c>
      <c r="D1778" s="18">
        <f t="shared" si="197"/>
        <v>710285.26340401429</v>
      </c>
    </row>
    <row r="1779" spans="1:4">
      <c r="A1779" s="10">
        <f>12</f>
        <v>12</v>
      </c>
      <c r="B1779" s="18">
        <f t="shared" si="195"/>
        <v>42304.725253664488</v>
      </c>
      <c r="C1779" s="18">
        <f t="shared" si="196"/>
        <v>83702.200640888172</v>
      </c>
      <c r="D1779" s="18">
        <f t="shared" si="197"/>
        <v>688019.95429486025</v>
      </c>
    </row>
    <row r="1780" spans="1:4">
      <c r="A1780" s="10">
        <f>13</f>
        <v>13</v>
      </c>
      <c r="B1780" s="18">
        <f t="shared" si="195"/>
        <v>42304.725253664488</v>
      </c>
      <c r="C1780" s="18">
        <f t="shared" si="196"/>
        <v>83702.200640888172</v>
      </c>
      <c r="D1780" s="18">
        <f t="shared" si="197"/>
        <v>665086.68591243157</v>
      </c>
    </row>
    <row r="1781" spans="1:4">
      <c r="A1781" s="10">
        <f>14</f>
        <v>14</v>
      </c>
      <c r="B1781" s="18">
        <f t="shared" si="195"/>
        <v>42304.725253664488</v>
      </c>
      <c r="C1781" s="18">
        <f t="shared" si="196"/>
        <v>83702.200640888172</v>
      </c>
      <c r="D1781" s="18">
        <f t="shared" si="197"/>
        <v>641465.41947853006</v>
      </c>
    </row>
    <row r="1782" spans="1:4">
      <c r="A1782" s="10">
        <f>15</f>
        <v>15</v>
      </c>
      <c r="B1782" s="18">
        <f t="shared" si="195"/>
        <v>42304.725253664488</v>
      </c>
      <c r="C1782" s="18">
        <f t="shared" si="196"/>
        <v>83702.200640888172</v>
      </c>
      <c r="D1782" s="18">
        <f t="shared" si="197"/>
        <v>617135.51505161147</v>
      </c>
    </row>
    <row r="1783" spans="1:4">
      <c r="A1783" s="10">
        <f>16</f>
        <v>16</v>
      </c>
      <c r="B1783" s="18">
        <f t="shared" si="195"/>
        <v>42304.725253664488</v>
      </c>
      <c r="C1783" s="18">
        <f t="shared" si="196"/>
        <v>83702.200640888172</v>
      </c>
      <c r="D1783" s="18">
        <f t="shared" si="197"/>
        <v>592075.71349188534</v>
      </c>
    </row>
    <row r="1784" spans="1:4">
      <c r="A1784" s="10">
        <f>17</f>
        <v>17</v>
      </c>
      <c r="B1784" s="18">
        <f t="shared" si="195"/>
        <v>42304.725253664488</v>
      </c>
      <c r="C1784" s="18">
        <f t="shared" si="196"/>
        <v>83702.200640888172</v>
      </c>
      <c r="D1784" s="18">
        <f t="shared" si="197"/>
        <v>566264.11788536748</v>
      </c>
    </row>
    <row r="1785" spans="1:4">
      <c r="A1785" s="10">
        <f>18</f>
        <v>18</v>
      </c>
      <c r="B1785" s="18">
        <f t="shared" si="195"/>
        <v>42304.725253664488</v>
      </c>
      <c r="C1785" s="18">
        <f t="shared" si="196"/>
        <v>83702.200640888172</v>
      </c>
      <c r="D1785" s="18">
        <f t="shared" si="197"/>
        <v>539678.17441065412</v>
      </c>
    </row>
    <row r="1786" spans="1:4">
      <c r="A1786" s="10">
        <f>19</f>
        <v>19</v>
      </c>
      <c r="B1786" s="18">
        <f t="shared" si="195"/>
        <v>42304.725253664488</v>
      </c>
      <c r="C1786" s="18">
        <f t="shared" si="196"/>
        <v>83702.200640888172</v>
      </c>
      <c r="D1786" s="18">
        <f t="shared" si="197"/>
        <v>512294.65263169934</v>
      </c>
    </row>
    <row r="1787" spans="1:4">
      <c r="A1787" s="10">
        <f>20</f>
        <v>20</v>
      </c>
      <c r="B1787" s="18">
        <f t="shared" si="195"/>
        <v>42304.725253664488</v>
      </c>
      <c r="C1787" s="18">
        <f t="shared" si="196"/>
        <v>83702.200640888172</v>
      </c>
      <c r="D1787" s="18">
        <f t="shared" si="197"/>
        <v>484089.62519937591</v>
      </c>
    </row>
    <row r="1788" spans="1:4">
      <c r="A1788" s="10">
        <f>21</f>
        <v>21</v>
      </c>
      <c r="B1788" s="18">
        <f t="shared" si="195"/>
        <v>42304.725253664488</v>
      </c>
      <c r="C1788" s="18">
        <f t="shared" si="196"/>
        <v>83702.200640888172</v>
      </c>
      <c r="D1788" s="18">
        <f t="shared" si="197"/>
        <v>455038.4469440828</v>
      </c>
    </row>
    <row r="1789" spans="1:4">
      <c r="A1789" s="10">
        <f>22</f>
        <v>22</v>
      </c>
      <c r="B1789" s="18">
        <f t="shared" si="195"/>
        <v>42304.725253664488</v>
      </c>
      <c r="C1789" s="18">
        <f t="shared" si="196"/>
        <v>83702.200640888172</v>
      </c>
      <c r="D1789" s="18">
        <f t="shared" si="197"/>
        <v>425115.73334113089</v>
      </c>
    </row>
    <row r="1790" spans="1:4">
      <c r="A1790" s="10">
        <f>23</f>
        <v>23</v>
      </c>
      <c r="B1790" s="18">
        <f t="shared" si="195"/>
        <v>42304.725253664488</v>
      </c>
      <c r="C1790" s="18">
        <f t="shared" si="196"/>
        <v>83702.200640888172</v>
      </c>
      <c r="D1790" s="18">
        <f t="shared" si="197"/>
        <v>394295.3383300904</v>
      </c>
    </row>
    <row r="1791" spans="1:4">
      <c r="A1791" s="10">
        <f>24</f>
        <v>24</v>
      </c>
      <c r="B1791" s="18">
        <f t="shared" si="195"/>
        <v>42304.725253664488</v>
      </c>
      <c r="C1791" s="18">
        <f t="shared" si="196"/>
        <v>83702.200640888172</v>
      </c>
      <c r="D1791" s="18">
        <f t="shared" si="197"/>
        <v>362550.33146871871</v>
      </c>
    </row>
    <row r="1792" spans="1:4">
      <c r="A1792" s="10">
        <f>25</f>
        <v>25</v>
      </c>
      <c r="B1792" s="18">
        <f t="shared" si="195"/>
        <v>42304.725253664488</v>
      </c>
      <c r="C1792" s="18">
        <f t="shared" si="196"/>
        <v>83702.200640888172</v>
      </c>
      <c r="D1792" s="18">
        <f t="shared" si="197"/>
        <v>329852.97440150584</v>
      </c>
    </row>
    <row r="1793" spans="1:4">
      <c r="A1793" s="10">
        <f>26</f>
        <v>26</v>
      </c>
      <c r="B1793" s="18">
        <f t="shared" si="195"/>
        <v>42304.725253664488</v>
      </c>
      <c r="C1793" s="18">
        <f t="shared" si="196"/>
        <v>83702.200640888172</v>
      </c>
      <c r="D1793" s="18">
        <f t="shared" si="197"/>
        <v>296174.69662227662</v>
      </c>
    </row>
    <row r="1794" spans="1:4">
      <c r="A1794" s="10">
        <f>27</f>
        <v>27</v>
      </c>
      <c r="B1794" s="18">
        <f t="shared" si="195"/>
        <v>42304.725253664488</v>
      </c>
      <c r="C1794" s="18">
        <f t="shared" si="196"/>
        <v>83702.200640888172</v>
      </c>
      <c r="D1794" s="18">
        <f t="shared" si="197"/>
        <v>261486.07050967051</v>
      </c>
    </row>
    <row r="1795" spans="1:4">
      <c r="A1795" s="10">
        <f>28</f>
        <v>28</v>
      </c>
      <c r="B1795" s="18">
        <f t="shared" si="195"/>
        <v>42304.725253664488</v>
      </c>
      <c r="C1795" s="18">
        <f t="shared" si="196"/>
        <v>83702.200640888172</v>
      </c>
      <c r="D1795" s="18">
        <f t="shared" si="197"/>
        <v>225756.78561368622</v>
      </c>
    </row>
    <row r="1796" spans="1:4">
      <c r="A1796" s="10">
        <f>29</f>
        <v>29</v>
      </c>
      <c r="B1796" s="18">
        <f t="shared" si="195"/>
        <v>42304.725253664488</v>
      </c>
      <c r="C1796" s="18">
        <f t="shared" si="196"/>
        <v>83702.200640888172</v>
      </c>
      <c r="D1796" s="18">
        <f t="shared" si="197"/>
        <v>188955.6221708224</v>
      </c>
    </row>
    <row r="1797" spans="1:4">
      <c r="A1797" s="10">
        <f>30</f>
        <v>30</v>
      </c>
      <c r="B1797" s="18">
        <f t="shared" si="195"/>
        <v>42304.725253664488</v>
      </c>
      <c r="C1797" s="18">
        <f t="shared" si="196"/>
        <v>83702.200640888172</v>
      </c>
      <c r="D1797" s="18">
        <f t="shared" si="197"/>
        <v>151050.42382467267</v>
      </c>
    </row>
    <row r="1798" spans="1:4">
      <c r="A1798" s="10">
        <f>31</f>
        <v>31</v>
      </c>
      <c r="B1798" s="18">
        <f t="shared" si="195"/>
        <v>42304.725253664488</v>
      </c>
      <c r="C1798" s="18">
        <f t="shared" si="196"/>
        <v>83702.200640888172</v>
      </c>
      <c r="D1798" s="18">
        <f t="shared" si="197"/>
        <v>112008.06952813844</v>
      </c>
    </row>
    <row r="1799" spans="1:4">
      <c r="A1799" s="10">
        <f>32</f>
        <v>32</v>
      </c>
      <c r="B1799" s="18">
        <f t="shared" si="195"/>
        <v>42304.725253664488</v>
      </c>
      <c r="C1799" s="18">
        <f t="shared" si="196"/>
        <v>83702.200640888172</v>
      </c>
      <c r="D1799" s="18">
        <f t="shared" si="197"/>
        <v>71794.444602708172</v>
      </c>
    </row>
    <row r="1800" spans="1:4">
      <c r="A1800" s="10">
        <f>33</f>
        <v>33</v>
      </c>
      <c r="B1800" s="18">
        <f t="shared" si="195"/>
        <v>42304.725253664488</v>
      </c>
      <c r="C1800" s="18">
        <f t="shared" si="196"/>
        <v>83702.200640888172</v>
      </c>
      <c r="D1800" s="18">
        <f t="shared" si="197"/>
        <v>30374.410929514994</v>
      </c>
    </row>
    <row r="1801" spans="1:4">
      <c r="A1801" s="10">
        <f>34</f>
        <v>34</v>
      </c>
      <c r="B1801" s="18">
        <f t="shared" si="195"/>
        <v>30374.410929514994</v>
      </c>
      <c r="C1801" s="18">
        <f t="shared" si="196"/>
        <v>71814.835448305617</v>
      </c>
      <c r="D1801" s="18">
        <f t="shared" si="197"/>
        <v>0</v>
      </c>
    </row>
    <row r="1802" spans="1:4">
      <c r="A1802" s="10">
        <f>35</f>
        <v>35</v>
      </c>
      <c r="B1802" s="18">
        <f t="shared" si="195"/>
        <v>0</v>
      </c>
      <c r="C1802" s="18">
        <f t="shared" si="196"/>
        <v>29705.201720247627</v>
      </c>
      <c r="D1802" s="18">
        <f t="shared" si="197"/>
        <v>0</v>
      </c>
    </row>
    <row r="1803" spans="1:4">
      <c r="A1803" s="10">
        <f>36</f>
        <v>36</v>
      </c>
      <c r="B1803" s="18">
        <f t="shared" si="195"/>
        <v>12297.106911269926</v>
      </c>
      <c r="C1803" s="18">
        <f t="shared" si="196"/>
        <v>0</v>
      </c>
      <c r="D1803" s="18">
        <f t="shared" si="197"/>
        <v>-12666.020118608025</v>
      </c>
    </row>
    <row r="1804" spans="1:4">
      <c r="A1804" s="10">
        <f>37</f>
        <v>37</v>
      </c>
      <c r="B1804" s="18">
        <f t="shared" si="195"/>
        <v>42002.308631517553</v>
      </c>
      <c r="C1804" s="18">
        <f t="shared" si="196"/>
        <v>0</v>
      </c>
      <c r="D1804" s="18">
        <f t="shared" si="197"/>
        <v>-56308.378612629342</v>
      </c>
    </row>
    <row r="1805" spans="1:4">
      <c r="A1805" s="10">
        <f>38</f>
        <v>38</v>
      </c>
      <c r="B1805" s="18">
        <f t="shared" si="195"/>
        <v>42002.308631517553</v>
      </c>
      <c r="C1805" s="18">
        <f t="shared" si="196"/>
        <v>0</v>
      </c>
      <c r="D1805" s="18">
        <f t="shared" si="197"/>
        <v>-101260.0078614713</v>
      </c>
    </row>
    <row r="1806" spans="1:4">
      <c r="A1806" s="10">
        <f>39</f>
        <v>39</v>
      </c>
      <c r="B1806" s="18">
        <f t="shared" si="195"/>
        <v>42002.308631517553</v>
      </c>
      <c r="C1806" s="18">
        <f t="shared" si="196"/>
        <v>0</v>
      </c>
      <c r="D1806" s="18">
        <f t="shared" si="197"/>
        <v>-147560.1859877785</v>
      </c>
    </row>
    <row r="1807" spans="1:4">
      <c r="A1807" s="10">
        <f>40</f>
        <v>40</v>
      </c>
      <c r="B1807" s="18">
        <f t="shared" si="195"/>
        <v>42002.308631517553</v>
      </c>
      <c r="C1807" s="18">
        <f t="shared" si="196"/>
        <v>0</v>
      </c>
      <c r="D1807" s="18">
        <f t="shared" si="197"/>
        <v>-195249.36945787494</v>
      </c>
    </row>
    <row r="1808" spans="1:4">
      <c r="B1808" s="18">
        <f>-(C1807+D1807)</f>
        <v>195249.36945787494</v>
      </c>
    </row>
    <row r="1810" spans="1:4">
      <c r="A1810" s="2" t="s">
        <v>302</v>
      </c>
    </row>
    <row r="1812" spans="1:4">
      <c r="A1812" s="25" t="s">
        <v>262</v>
      </c>
      <c r="B1812" s="25" t="s">
        <v>263</v>
      </c>
      <c r="C1812" s="25" t="s">
        <v>264</v>
      </c>
      <c r="D1812" s="25" t="s">
        <v>265</v>
      </c>
    </row>
    <row r="1813" spans="1:4">
      <c r="A1813" s="3">
        <v>0</v>
      </c>
      <c r="C1813" s="18">
        <f>MIN(3*$B$1105,$B$5)</f>
        <v>126006.92589455267</v>
      </c>
      <c r="D1813" s="18">
        <f>$B$5-C1813</f>
        <v>873993.07410544739</v>
      </c>
    </row>
    <row r="1814" spans="1:4">
      <c r="A1814" s="10">
        <f>1</f>
        <v>1</v>
      </c>
      <c r="B1814" s="18">
        <f t="shared" ref="B1814:B1853" si="198">IF($A1814&gt;40,0,($B$1105-MIN(MAX(C1813,0),$B$1105))+MIN(MAX(0,D1813-($B$1105-MIN(MAX(C1813,0),$B$1105))),MAX(0,3*$B$1105-(C1813-MIN(MAX(C1813,0),$B$1105)))))</f>
        <v>42002.308631517546</v>
      </c>
      <c r="C1814" s="18">
        <f t="shared" ref="C1814:C1853" si="199">IF($A1814&gt;40,C1813,(C1813-$B$1105+B1814)*(1+$B$7))</f>
        <v>125553.30096133226</v>
      </c>
      <c r="D1814" s="18">
        <f t="shared" ref="D1814:D1853" si="200">IF($A1814&gt;40,D1813,(D1813-B1814)*(1+$B$6))</f>
        <v>856950.4884381477</v>
      </c>
    </row>
    <row r="1815" spans="1:4">
      <c r="A1815" s="10">
        <f>2</f>
        <v>2</v>
      </c>
      <c r="B1815" s="18">
        <f t="shared" si="198"/>
        <v>42455.933564737963</v>
      </c>
      <c r="C1815" s="18">
        <f t="shared" si="199"/>
        <v>125553.30096133226</v>
      </c>
      <c r="D1815" s="18">
        <f t="shared" si="200"/>
        <v>838929.39151961205</v>
      </c>
    </row>
    <row r="1816" spans="1:4">
      <c r="A1816" s="10">
        <f>3</f>
        <v>3</v>
      </c>
      <c r="B1816" s="18">
        <f t="shared" si="198"/>
        <v>42455.933564737963</v>
      </c>
      <c r="C1816" s="18">
        <f t="shared" si="199"/>
        <v>125553.30096133226</v>
      </c>
      <c r="D1816" s="18">
        <f t="shared" si="200"/>
        <v>820367.66169352026</v>
      </c>
    </row>
    <row r="1817" spans="1:4">
      <c r="A1817" s="10">
        <f>4</f>
        <v>4</v>
      </c>
      <c r="B1817" s="18">
        <f t="shared" si="198"/>
        <v>42455.933564737963</v>
      </c>
      <c r="C1817" s="18">
        <f t="shared" si="199"/>
        <v>125553.30096133226</v>
      </c>
      <c r="D1817" s="18">
        <f t="shared" si="200"/>
        <v>801249.07997264573</v>
      </c>
    </row>
    <row r="1818" spans="1:4">
      <c r="A1818" s="10">
        <f>5</f>
        <v>5</v>
      </c>
      <c r="B1818" s="18">
        <f t="shared" si="198"/>
        <v>42455.933564737963</v>
      </c>
      <c r="C1818" s="18">
        <f t="shared" si="199"/>
        <v>125553.30096133226</v>
      </c>
      <c r="D1818" s="18">
        <f t="shared" si="200"/>
        <v>781556.94080014504</v>
      </c>
    </row>
    <row r="1819" spans="1:4">
      <c r="A1819" s="10">
        <f>6</f>
        <v>6</v>
      </c>
      <c r="B1819" s="18">
        <f t="shared" si="198"/>
        <v>42455.933564737963</v>
      </c>
      <c r="C1819" s="18">
        <f t="shared" si="199"/>
        <v>125553.30096133226</v>
      </c>
      <c r="D1819" s="18">
        <f t="shared" si="200"/>
        <v>761274.03745246935</v>
      </c>
    </row>
    <row r="1820" spans="1:4">
      <c r="A1820" s="10">
        <f>7</f>
        <v>7</v>
      </c>
      <c r="B1820" s="18">
        <f t="shared" si="198"/>
        <v>42455.933564737963</v>
      </c>
      <c r="C1820" s="18">
        <f t="shared" si="199"/>
        <v>125553.30096133226</v>
      </c>
      <c r="D1820" s="18">
        <f t="shared" si="200"/>
        <v>740382.64700436336</v>
      </c>
    </row>
    <row r="1821" spans="1:4">
      <c r="A1821" s="10">
        <f>8</f>
        <v>8</v>
      </c>
      <c r="B1821" s="18">
        <f t="shared" si="198"/>
        <v>42455.933564737963</v>
      </c>
      <c r="C1821" s="18">
        <f t="shared" si="199"/>
        <v>125553.30096133226</v>
      </c>
      <c r="D1821" s="18">
        <f t="shared" si="200"/>
        <v>718864.51484281418</v>
      </c>
    </row>
    <row r="1822" spans="1:4">
      <c r="A1822" s="10">
        <f>9</f>
        <v>9</v>
      </c>
      <c r="B1822" s="18">
        <f t="shared" si="198"/>
        <v>42455.933564737963</v>
      </c>
      <c r="C1822" s="18">
        <f t="shared" si="199"/>
        <v>125553.30096133226</v>
      </c>
      <c r="D1822" s="18">
        <f t="shared" si="200"/>
        <v>696700.83871641848</v>
      </c>
    </row>
    <row r="1823" spans="1:4">
      <c r="A1823" s="10">
        <f>10</f>
        <v>10</v>
      </c>
      <c r="B1823" s="18">
        <f t="shared" si="198"/>
        <v>42455.933564737963</v>
      </c>
      <c r="C1823" s="18">
        <f t="shared" si="199"/>
        <v>125553.30096133226</v>
      </c>
      <c r="D1823" s="18">
        <f t="shared" si="200"/>
        <v>673872.25230623106</v>
      </c>
    </row>
    <row r="1824" spans="1:4">
      <c r="A1824" s="10">
        <f>11</f>
        <v>11</v>
      </c>
      <c r="B1824" s="18">
        <f t="shared" si="198"/>
        <v>42455.933564737963</v>
      </c>
      <c r="C1824" s="18">
        <f t="shared" si="199"/>
        <v>125553.30096133226</v>
      </c>
      <c r="D1824" s="18">
        <f t="shared" si="200"/>
        <v>650358.80830373801</v>
      </c>
    </row>
    <row r="1825" spans="1:4">
      <c r="A1825" s="10">
        <f>12</f>
        <v>12</v>
      </c>
      <c r="B1825" s="18">
        <f t="shared" si="198"/>
        <v>42455.933564737963</v>
      </c>
      <c r="C1825" s="18">
        <f t="shared" si="199"/>
        <v>125553.30096133226</v>
      </c>
      <c r="D1825" s="18">
        <f t="shared" si="200"/>
        <v>626139.96098117018</v>
      </c>
    </row>
    <row r="1826" spans="1:4">
      <c r="A1826" s="10">
        <f>13</f>
        <v>13</v>
      </c>
      <c r="B1826" s="18">
        <f t="shared" si="198"/>
        <v>42455.933564737963</v>
      </c>
      <c r="C1826" s="18">
        <f t="shared" si="199"/>
        <v>125553.30096133226</v>
      </c>
      <c r="D1826" s="18">
        <f t="shared" si="200"/>
        <v>601194.54823892529</v>
      </c>
    </row>
    <row r="1827" spans="1:4">
      <c r="A1827" s="10">
        <f>14</f>
        <v>14</v>
      </c>
      <c r="B1827" s="18">
        <f t="shared" si="198"/>
        <v>42455.933564737963</v>
      </c>
      <c r="C1827" s="18">
        <f t="shared" si="199"/>
        <v>125553.30096133226</v>
      </c>
      <c r="D1827" s="18">
        <f t="shared" si="200"/>
        <v>575500.77311441291</v>
      </c>
    </row>
    <row r="1828" spans="1:4">
      <c r="A1828" s="10">
        <f>15</f>
        <v>15</v>
      </c>
      <c r="B1828" s="18">
        <f t="shared" si="198"/>
        <v>42455.933564737963</v>
      </c>
      <c r="C1828" s="18">
        <f t="shared" si="199"/>
        <v>125553.30096133226</v>
      </c>
      <c r="D1828" s="18">
        <f t="shared" si="200"/>
        <v>549036.1847361651</v>
      </c>
    </row>
    <row r="1829" spans="1:4">
      <c r="A1829" s="10">
        <f>16</f>
        <v>16</v>
      </c>
      <c r="B1829" s="18">
        <f t="shared" si="198"/>
        <v>42455.933564737963</v>
      </c>
      <c r="C1829" s="18">
        <f t="shared" si="199"/>
        <v>125553.30096133226</v>
      </c>
      <c r="D1829" s="18">
        <f t="shared" si="200"/>
        <v>521777.65870656999</v>
      </c>
    </row>
    <row r="1830" spans="1:4">
      <c r="A1830" s="10">
        <f>17</f>
        <v>17</v>
      </c>
      <c r="B1830" s="18">
        <f t="shared" si="198"/>
        <v>42455.933564737963</v>
      </c>
      <c r="C1830" s="18">
        <f t="shared" si="199"/>
        <v>125553.30096133226</v>
      </c>
      <c r="D1830" s="18">
        <f t="shared" si="200"/>
        <v>493701.37689608702</v>
      </c>
    </row>
    <row r="1831" spans="1:4">
      <c r="A1831" s="10">
        <f>18</f>
        <v>18</v>
      </c>
      <c r="B1831" s="18">
        <f t="shared" si="198"/>
        <v>42455.933564737963</v>
      </c>
      <c r="C1831" s="18">
        <f t="shared" si="199"/>
        <v>125553.30096133226</v>
      </c>
      <c r="D1831" s="18">
        <f t="shared" si="200"/>
        <v>464782.80663128954</v>
      </c>
    </row>
    <row r="1832" spans="1:4">
      <c r="A1832" s="10">
        <f>19</f>
        <v>19</v>
      </c>
      <c r="B1832" s="18">
        <f t="shared" si="198"/>
        <v>42455.933564737963</v>
      </c>
      <c r="C1832" s="18">
        <f t="shared" si="199"/>
        <v>125553.30096133226</v>
      </c>
      <c r="D1832" s="18">
        <f t="shared" si="200"/>
        <v>434996.67925854813</v>
      </c>
    </row>
    <row r="1833" spans="1:4">
      <c r="A1833" s="10">
        <f>20</f>
        <v>20</v>
      </c>
      <c r="B1833" s="18">
        <f t="shared" si="198"/>
        <v>42455.933564737963</v>
      </c>
      <c r="C1833" s="18">
        <f t="shared" si="199"/>
        <v>125553.30096133226</v>
      </c>
      <c r="D1833" s="18">
        <f t="shared" si="200"/>
        <v>404316.96806462447</v>
      </c>
    </row>
    <row r="1834" spans="1:4">
      <c r="A1834" s="10">
        <f>21</f>
        <v>21</v>
      </c>
      <c r="B1834" s="18">
        <f t="shared" si="198"/>
        <v>42455.933564737963</v>
      </c>
      <c r="C1834" s="18">
        <f t="shared" si="199"/>
        <v>125553.30096133226</v>
      </c>
      <c r="D1834" s="18">
        <f t="shared" si="200"/>
        <v>372716.86553488311</v>
      </c>
    </row>
    <row r="1835" spans="1:4">
      <c r="A1835" s="10">
        <f>22</f>
        <v>22</v>
      </c>
      <c r="B1835" s="18">
        <f t="shared" si="198"/>
        <v>42455.933564737963</v>
      </c>
      <c r="C1835" s="18">
        <f t="shared" si="199"/>
        <v>125553.30096133226</v>
      </c>
      <c r="D1835" s="18">
        <f t="shared" si="200"/>
        <v>340168.75992924953</v>
      </c>
    </row>
    <row r="1836" spans="1:4">
      <c r="A1836" s="10">
        <f>23</f>
        <v>23</v>
      </c>
      <c r="B1836" s="18">
        <f t="shared" si="198"/>
        <v>42455.933564737963</v>
      </c>
      <c r="C1836" s="18">
        <f t="shared" si="199"/>
        <v>125553.30096133226</v>
      </c>
      <c r="D1836" s="18">
        <f t="shared" si="200"/>
        <v>306644.21115544694</v>
      </c>
    </row>
    <row r="1837" spans="1:4">
      <c r="A1837" s="10">
        <f>24</f>
        <v>24</v>
      </c>
      <c r="B1837" s="18">
        <f t="shared" si="198"/>
        <v>42455.933564737963</v>
      </c>
      <c r="C1837" s="18">
        <f t="shared" si="199"/>
        <v>125553.30096133226</v>
      </c>
      <c r="D1837" s="18">
        <f t="shared" si="200"/>
        <v>272113.92591843026</v>
      </c>
    </row>
    <row r="1838" spans="1:4">
      <c r="A1838" s="10">
        <f>25</f>
        <v>25</v>
      </c>
      <c r="B1838" s="18">
        <f t="shared" si="198"/>
        <v>42455.933564737963</v>
      </c>
      <c r="C1838" s="18">
        <f t="shared" si="199"/>
        <v>125553.30096133226</v>
      </c>
      <c r="D1838" s="18">
        <f t="shared" si="200"/>
        <v>236547.73212430309</v>
      </c>
    </row>
    <row r="1839" spans="1:4">
      <c r="A1839" s="10">
        <f>26</f>
        <v>26</v>
      </c>
      <c r="B1839" s="18">
        <f t="shared" si="198"/>
        <v>42455.933564737963</v>
      </c>
      <c r="C1839" s="18">
        <f t="shared" si="199"/>
        <v>125553.30096133226</v>
      </c>
      <c r="D1839" s="18">
        <f t="shared" si="200"/>
        <v>199914.55251635209</v>
      </c>
    </row>
    <row r="1840" spans="1:4">
      <c r="A1840" s="10">
        <f>27</f>
        <v>27</v>
      </c>
      <c r="B1840" s="18">
        <f t="shared" si="198"/>
        <v>42455.933564737963</v>
      </c>
      <c r="C1840" s="18">
        <f t="shared" si="199"/>
        <v>125553.30096133226</v>
      </c>
      <c r="D1840" s="18">
        <f t="shared" si="200"/>
        <v>162182.37752016255</v>
      </c>
    </row>
    <row r="1841" spans="1:4">
      <c r="A1841" s="10">
        <f>28</f>
        <v>28</v>
      </c>
      <c r="B1841" s="18">
        <f t="shared" si="198"/>
        <v>42455.933564737963</v>
      </c>
      <c r="C1841" s="18">
        <f t="shared" si="199"/>
        <v>125553.30096133226</v>
      </c>
      <c r="D1841" s="18">
        <f t="shared" si="200"/>
        <v>123318.23727408733</v>
      </c>
    </row>
    <row r="1842" spans="1:4">
      <c r="A1842" s="10">
        <f>29</f>
        <v>29</v>
      </c>
      <c r="B1842" s="18">
        <f t="shared" si="198"/>
        <v>42455.933564737963</v>
      </c>
      <c r="C1842" s="18">
        <f t="shared" si="199"/>
        <v>125553.30096133226</v>
      </c>
      <c r="D1842" s="18">
        <f t="shared" si="200"/>
        <v>83288.172820629843</v>
      </c>
    </row>
    <row r="1843" spans="1:4">
      <c r="A1843" s="10">
        <f>30</f>
        <v>30</v>
      </c>
      <c r="B1843" s="18">
        <f t="shared" si="198"/>
        <v>42455.933564737963</v>
      </c>
      <c r="C1843" s="18">
        <f t="shared" si="199"/>
        <v>125553.30096133226</v>
      </c>
      <c r="D1843" s="18">
        <f t="shared" si="200"/>
        <v>42057.206433568637</v>
      </c>
    </row>
    <row r="1844" spans="1:4">
      <c r="A1844" s="10">
        <f>31</f>
        <v>31</v>
      </c>
      <c r="B1844" s="18">
        <f t="shared" si="198"/>
        <v>42057.206433568637</v>
      </c>
      <c r="C1844" s="18">
        <f t="shared" si="199"/>
        <v>125156.00924783516</v>
      </c>
      <c r="D1844" s="18">
        <f t="shared" si="200"/>
        <v>0</v>
      </c>
    </row>
    <row r="1845" spans="1:4">
      <c r="A1845" s="10">
        <f>32</f>
        <v>32</v>
      </c>
      <c r="B1845" s="18">
        <f t="shared" si="198"/>
        <v>0</v>
      </c>
      <c r="C1845" s="18">
        <f t="shared" si="199"/>
        <v>82854.347294098843</v>
      </c>
      <c r="D1845" s="18">
        <f t="shared" si="200"/>
        <v>0</v>
      </c>
    </row>
    <row r="1846" spans="1:4">
      <c r="A1846" s="10">
        <f>33</f>
        <v>33</v>
      </c>
      <c r="B1846" s="18">
        <f t="shared" si="198"/>
        <v>0</v>
      </c>
      <c r="C1846" s="18">
        <f t="shared" si="199"/>
        <v>40704.971323395992</v>
      </c>
      <c r="D1846" s="18">
        <f t="shared" si="200"/>
        <v>0</v>
      </c>
    </row>
    <row r="1847" spans="1:4">
      <c r="A1847" s="10">
        <f>34</f>
        <v>34</v>
      </c>
      <c r="B1847" s="18">
        <f t="shared" si="198"/>
        <v>1297.3373081215614</v>
      </c>
      <c r="C1847" s="18">
        <f t="shared" si="199"/>
        <v>0</v>
      </c>
      <c r="D1847" s="18">
        <f t="shared" si="200"/>
        <v>-1336.2574273652083</v>
      </c>
    </row>
    <row r="1848" spans="1:4">
      <c r="A1848" s="10">
        <f>35</f>
        <v>35</v>
      </c>
      <c r="B1848" s="18">
        <f t="shared" si="198"/>
        <v>42002.308631517553</v>
      </c>
      <c r="C1848" s="18">
        <f t="shared" si="199"/>
        <v>0</v>
      </c>
      <c r="D1848" s="18">
        <f t="shared" si="200"/>
        <v>-44638.723040649245</v>
      </c>
    </row>
    <row r="1849" spans="1:4">
      <c r="A1849" s="10">
        <f>36</f>
        <v>36</v>
      </c>
      <c r="B1849" s="18">
        <f t="shared" si="198"/>
        <v>42002.308631517553</v>
      </c>
      <c r="C1849" s="18">
        <f t="shared" si="199"/>
        <v>0</v>
      </c>
      <c r="D1849" s="18">
        <f t="shared" si="200"/>
        <v>-89240.262622331808</v>
      </c>
    </row>
    <row r="1850" spans="1:4">
      <c r="A1850" s="10">
        <f>37</f>
        <v>37</v>
      </c>
      <c r="B1850" s="18">
        <f t="shared" si="198"/>
        <v>42002.308631517553</v>
      </c>
      <c r="C1850" s="18">
        <f t="shared" si="199"/>
        <v>0</v>
      </c>
      <c r="D1850" s="18">
        <f t="shared" si="200"/>
        <v>-135179.84839146485</v>
      </c>
    </row>
    <row r="1851" spans="1:4">
      <c r="A1851" s="10">
        <f>38</f>
        <v>38</v>
      </c>
      <c r="B1851" s="18">
        <f t="shared" si="198"/>
        <v>42002.308631517553</v>
      </c>
      <c r="C1851" s="18">
        <f t="shared" si="199"/>
        <v>0</v>
      </c>
      <c r="D1851" s="18">
        <f t="shared" si="200"/>
        <v>-182497.62173367187</v>
      </c>
    </row>
    <row r="1852" spans="1:4">
      <c r="A1852" s="10">
        <f>39</f>
        <v>39</v>
      </c>
      <c r="B1852" s="18">
        <f t="shared" si="198"/>
        <v>42002.308631517553</v>
      </c>
      <c r="C1852" s="18">
        <f t="shared" si="199"/>
        <v>0</v>
      </c>
      <c r="D1852" s="18">
        <f t="shared" si="200"/>
        <v>-231234.9282761451</v>
      </c>
    </row>
    <row r="1853" spans="1:4">
      <c r="A1853" s="10">
        <f>40</f>
        <v>40</v>
      </c>
      <c r="B1853" s="18">
        <f t="shared" si="198"/>
        <v>42002.308631517553</v>
      </c>
      <c r="C1853" s="18">
        <f t="shared" si="199"/>
        <v>0</v>
      </c>
      <c r="D1853" s="18">
        <f t="shared" si="200"/>
        <v>-281434.35401489254</v>
      </c>
    </row>
    <row r="1854" spans="1:4">
      <c r="B1854" s="18">
        <f>-(C1853+D1853)</f>
        <v>281434.35401489254</v>
      </c>
    </row>
    <row r="1856" spans="1:4">
      <c r="A1856" s="2" t="s">
        <v>303</v>
      </c>
    </row>
    <row r="1858" spans="1:4">
      <c r="A1858" s="25" t="s">
        <v>262</v>
      </c>
      <c r="B1858" s="25" t="s">
        <v>263</v>
      </c>
      <c r="C1858" s="25" t="s">
        <v>264</v>
      </c>
      <c r="D1858" s="25" t="s">
        <v>265</v>
      </c>
    </row>
    <row r="1859" spans="1:4">
      <c r="A1859" s="3">
        <v>0</v>
      </c>
      <c r="C1859" s="18">
        <f>MIN(5*$B$1105,$B$5)</f>
        <v>210011.54315758776</v>
      </c>
      <c r="D1859" s="18">
        <f>$B$5-C1859</f>
        <v>789988.45684241224</v>
      </c>
    </row>
    <row r="1860" spans="1:4">
      <c r="A1860" s="10">
        <f>1</f>
        <v>1</v>
      </c>
      <c r="B1860" s="18">
        <f t="shared" ref="B1860:B1899" si="201">IF($A1860&gt;40,0,($B$1105-MIN(MAX(C1859,0),$B$1105))+MIN(MAX(0,D1859-($B$1105-MIN(MAX(C1859,0),$B$1105))),MAX(0,5*$B$1105-(C1859-MIN(MAX(C1859,0),$B$1105)))))</f>
        <v>42002.308631517546</v>
      </c>
      <c r="C1860" s="18">
        <f t="shared" ref="C1860:C1899" si="202">IF($A1860&gt;40,C1859,(C1859-$B$1105+B1860)*(1+$B$7))</f>
        <v>209255.50160222044</v>
      </c>
      <c r="D1860" s="18">
        <f t="shared" ref="D1860:D1899" si="203">IF($A1860&gt;40,D1859,(D1859-B1860)*(1+$B$6))</f>
        <v>770425.7326572215</v>
      </c>
    </row>
    <row r="1861" spans="1:4">
      <c r="A1861" s="10">
        <f>2</f>
        <v>2</v>
      </c>
      <c r="B1861" s="18">
        <f t="shared" si="201"/>
        <v>42758.350186884869</v>
      </c>
      <c r="C1861" s="18">
        <f t="shared" si="202"/>
        <v>209255.50160222044</v>
      </c>
      <c r="D1861" s="18">
        <f t="shared" si="203"/>
        <v>749497.40394444671</v>
      </c>
    </row>
    <row r="1862" spans="1:4">
      <c r="A1862" s="10">
        <f>3</f>
        <v>3</v>
      </c>
      <c r="B1862" s="18">
        <f t="shared" si="201"/>
        <v>42758.350186884869</v>
      </c>
      <c r="C1862" s="18">
        <f t="shared" si="202"/>
        <v>209255.50160222044</v>
      </c>
      <c r="D1862" s="18">
        <f t="shared" si="203"/>
        <v>727941.22537028871</v>
      </c>
    </row>
    <row r="1863" spans="1:4">
      <c r="A1863" s="10">
        <f>4</f>
        <v>4</v>
      </c>
      <c r="B1863" s="18">
        <f t="shared" si="201"/>
        <v>42758.350186884869</v>
      </c>
      <c r="C1863" s="18">
        <f t="shared" si="202"/>
        <v>209255.50160222044</v>
      </c>
      <c r="D1863" s="18">
        <f t="shared" si="203"/>
        <v>705738.36143890594</v>
      </c>
    </row>
    <row r="1864" spans="1:4">
      <c r="A1864" s="10">
        <f>5</f>
        <v>5</v>
      </c>
      <c r="B1864" s="18">
        <f t="shared" si="201"/>
        <v>42758.350186884869</v>
      </c>
      <c r="C1864" s="18">
        <f t="shared" si="202"/>
        <v>209255.50160222044</v>
      </c>
      <c r="D1864" s="18">
        <f t="shared" si="203"/>
        <v>682869.41158958175</v>
      </c>
    </row>
    <row r="1865" spans="1:4">
      <c r="A1865" s="10">
        <f>6</f>
        <v>6</v>
      </c>
      <c r="B1865" s="18">
        <f t="shared" si="201"/>
        <v>42758.350186884869</v>
      </c>
      <c r="C1865" s="18">
        <f t="shared" si="202"/>
        <v>209255.50160222044</v>
      </c>
      <c r="D1865" s="18">
        <f t="shared" si="203"/>
        <v>659314.39324477781</v>
      </c>
    </row>
    <row r="1866" spans="1:4">
      <c r="A1866" s="10">
        <f>7</f>
        <v>7</v>
      </c>
      <c r="B1866" s="18">
        <f t="shared" si="201"/>
        <v>42758.350186884869</v>
      </c>
      <c r="C1866" s="18">
        <f t="shared" si="202"/>
        <v>209255.50160222044</v>
      </c>
      <c r="D1866" s="18">
        <f t="shared" si="203"/>
        <v>635052.72434962972</v>
      </c>
    </row>
    <row r="1867" spans="1:4">
      <c r="A1867" s="10">
        <f>8</f>
        <v>8</v>
      </c>
      <c r="B1867" s="18">
        <f t="shared" si="201"/>
        <v>42758.350186884869</v>
      </c>
      <c r="C1867" s="18">
        <f t="shared" si="202"/>
        <v>209255.50160222044</v>
      </c>
      <c r="D1867" s="18">
        <f t="shared" si="203"/>
        <v>610063.20538762724</v>
      </c>
    </row>
    <row r="1868" spans="1:4">
      <c r="A1868" s="10">
        <f>9</f>
        <v>9</v>
      </c>
      <c r="B1868" s="18">
        <f t="shared" si="201"/>
        <v>42758.350186884869</v>
      </c>
      <c r="C1868" s="18">
        <f t="shared" si="202"/>
        <v>209255.50160222044</v>
      </c>
      <c r="D1868" s="18">
        <f t="shared" si="203"/>
        <v>584324.00085676461</v>
      </c>
    </row>
    <row r="1869" spans="1:4">
      <c r="A1869" s="10">
        <f>10</f>
        <v>10</v>
      </c>
      <c r="B1869" s="18">
        <f t="shared" si="201"/>
        <v>42758.350186884869</v>
      </c>
      <c r="C1869" s="18">
        <f t="shared" si="202"/>
        <v>209255.50160222044</v>
      </c>
      <c r="D1869" s="18">
        <f t="shared" si="203"/>
        <v>557812.62018997618</v>
      </c>
    </row>
    <row r="1870" spans="1:4">
      <c r="A1870" s="10">
        <f>11</f>
        <v>11</v>
      </c>
      <c r="B1870" s="18">
        <f t="shared" si="201"/>
        <v>42758.350186884869</v>
      </c>
      <c r="C1870" s="18">
        <f t="shared" si="202"/>
        <v>209255.50160222044</v>
      </c>
      <c r="D1870" s="18">
        <f t="shared" si="203"/>
        <v>530505.89810318407</v>
      </c>
    </row>
    <row r="1871" spans="1:4">
      <c r="A1871" s="10">
        <f>12</f>
        <v>12</v>
      </c>
      <c r="B1871" s="18">
        <f t="shared" si="201"/>
        <v>42758.350186884869</v>
      </c>
      <c r="C1871" s="18">
        <f t="shared" si="202"/>
        <v>209255.50160222044</v>
      </c>
      <c r="D1871" s="18">
        <f t="shared" si="203"/>
        <v>502379.97435378819</v>
      </c>
    </row>
    <row r="1872" spans="1:4">
      <c r="A1872" s="10">
        <f>13</f>
        <v>13</v>
      </c>
      <c r="B1872" s="18">
        <f t="shared" si="201"/>
        <v>42758.350186884869</v>
      </c>
      <c r="C1872" s="18">
        <f t="shared" si="202"/>
        <v>209255.50160222044</v>
      </c>
      <c r="D1872" s="18">
        <f t="shared" si="203"/>
        <v>473410.27289191046</v>
      </c>
    </row>
    <row r="1873" spans="1:4">
      <c r="A1873" s="10">
        <f>14</f>
        <v>14</v>
      </c>
      <c r="B1873" s="18">
        <f t="shared" si="201"/>
        <v>42758.350186884869</v>
      </c>
      <c r="C1873" s="18">
        <f t="shared" si="202"/>
        <v>209255.50160222044</v>
      </c>
      <c r="D1873" s="18">
        <f t="shared" si="203"/>
        <v>443571.48038617638</v>
      </c>
    </row>
    <row r="1874" spans="1:4">
      <c r="A1874" s="10">
        <f>15</f>
        <v>15</v>
      </c>
      <c r="B1874" s="18">
        <f t="shared" si="201"/>
        <v>42758.350186884869</v>
      </c>
      <c r="C1874" s="18">
        <f t="shared" si="202"/>
        <v>209255.50160222044</v>
      </c>
      <c r="D1874" s="18">
        <f t="shared" si="203"/>
        <v>412837.52410527028</v>
      </c>
    </row>
    <row r="1875" spans="1:4">
      <c r="A1875" s="10">
        <f>16</f>
        <v>16</v>
      </c>
      <c r="B1875" s="18">
        <f t="shared" si="201"/>
        <v>42758.350186884869</v>
      </c>
      <c r="C1875" s="18">
        <f t="shared" si="202"/>
        <v>209255.50160222044</v>
      </c>
      <c r="D1875" s="18">
        <f t="shared" si="203"/>
        <v>381181.54913593701</v>
      </c>
    </row>
    <row r="1876" spans="1:4">
      <c r="A1876" s="10">
        <f>17</f>
        <v>17</v>
      </c>
      <c r="B1876" s="18">
        <f t="shared" si="201"/>
        <v>42758.350186884869</v>
      </c>
      <c r="C1876" s="18">
        <f t="shared" si="202"/>
        <v>209255.50160222044</v>
      </c>
      <c r="D1876" s="18">
        <f t="shared" si="203"/>
        <v>348575.89491752372</v>
      </c>
    </row>
    <row r="1877" spans="1:4">
      <c r="A1877" s="10">
        <f>18</f>
        <v>18</v>
      </c>
      <c r="B1877" s="18">
        <f t="shared" si="201"/>
        <v>42758.350186884869</v>
      </c>
      <c r="C1877" s="18">
        <f t="shared" si="202"/>
        <v>209255.50160222044</v>
      </c>
      <c r="D1877" s="18">
        <f t="shared" si="203"/>
        <v>314992.071072558</v>
      </c>
    </row>
    <row r="1878" spans="1:4">
      <c r="A1878" s="10">
        <f>19</f>
        <v>19</v>
      </c>
      <c r="B1878" s="18">
        <f t="shared" si="201"/>
        <v>42758.350186884869</v>
      </c>
      <c r="C1878" s="18">
        <f t="shared" si="202"/>
        <v>209255.50160222044</v>
      </c>
      <c r="D1878" s="18">
        <f t="shared" si="203"/>
        <v>280400.73251224332</v>
      </c>
    </row>
    <row r="1879" spans="1:4">
      <c r="A1879" s="10">
        <f>20</f>
        <v>20</v>
      </c>
      <c r="B1879" s="18">
        <f t="shared" si="201"/>
        <v>42758.350186884869</v>
      </c>
      <c r="C1879" s="18">
        <f t="shared" si="202"/>
        <v>209255.50160222044</v>
      </c>
      <c r="D1879" s="18">
        <f t="shared" si="203"/>
        <v>244771.65379511923</v>
      </c>
    </row>
    <row r="1880" spans="1:4">
      <c r="A1880" s="10">
        <f>21</f>
        <v>21</v>
      </c>
      <c r="B1880" s="18">
        <f t="shared" si="201"/>
        <v>42758.350186884869</v>
      </c>
      <c r="C1880" s="18">
        <f t="shared" si="202"/>
        <v>209255.50160222044</v>
      </c>
      <c r="D1880" s="18">
        <f t="shared" si="203"/>
        <v>208073.70271648141</v>
      </c>
    </row>
    <row r="1881" spans="1:4">
      <c r="A1881" s="10">
        <f>22</f>
        <v>22</v>
      </c>
      <c r="B1881" s="18">
        <f t="shared" si="201"/>
        <v>42758.350186884869</v>
      </c>
      <c r="C1881" s="18">
        <f t="shared" si="202"/>
        <v>209255.50160222044</v>
      </c>
      <c r="D1881" s="18">
        <f t="shared" si="203"/>
        <v>170274.81310548444</v>
      </c>
    </row>
    <row r="1882" spans="1:4">
      <c r="A1882" s="10">
        <f>23</f>
        <v>23</v>
      </c>
      <c r="B1882" s="18">
        <f t="shared" si="201"/>
        <v>42758.350186884869</v>
      </c>
      <c r="C1882" s="18">
        <f t="shared" si="202"/>
        <v>209255.50160222044</v>
      </c>
      <c r="D1882" s="18">
        <f t="shared" si="203"/>
        <v>131341.95680615757</v>
      </c>
    </row>
    <row r="1883" spans="1:4">
      <c r="A1883" s="10">
        <f>24</f>
        <v>24</v>
      </c>
      <c r="B1883" s="18">
        <f t="shared" si="201"/>
        <v>42758.350186884869</v>
      </c>
      <c r="C1883" s="18">
        <f t="shared" si="202"/>
        <v>209255.50160222044</v>
      </c>
      <c r="D1883" s="18">
        <f t="shared" si="203"/>
        <v>91241.114817850888</v>
      </c>
    </row>
    <row r="1884" spans="1:4">
      <c r="A1884" s="10">
        <f>25</f>
        <v>25</v>
      </c>
      <c r="B1884" s="18">
        <f t="shared" si="201"/>
        <v>42758.350186884869</v>
      </c>
      <c r="C1884" s="18">
        <f t="shared" si="202"/>
        <v>209255.50160222044</v>
      </c>
      <c r="D1884" s="18">
        <f t="shared" si="203"/>
        <v>49937.247569895</v>
      </c>
    </row>
    <row r="1885" spans="1:4">
      <c r="A1885" s="10">
        <f>26</f>
        <v>26</v>
      </c>
      <c r="B1885" s="18">
        <f t="shared" si="201"/>
        <v>42758.350186884869</v>
      </c>
      <c r="C1885" s="18">
        <f t="shared" si="202"/>
        <v>209255.50160222044</v>
      </c>
      <c r="D1885" s="18">
        <f t="shared" si="203"/>
        <v>7394.2643045004352</v>
      </c>
    </row>
    <row r="1886" spans="1:4">
      <c r="A1886" s="10">
        <f>27</f>
        <v>27</v>
      </c>
      <c r="B1886" s="18">
        <f t="shared" si="201"/>
        <v>7394.2643045004352</v>
      </c>
      <c r="C1886" s="18">
        <f t="shared" si="202"/>
        <v>174018.72642901257</v>
      </c>
      <c r="D1886" s="18">
        <f t="shared" si="203"/>
        <v>0</v>
      </c>
    </row>
    <row r="1887" spans="1:4">
      <c r="A1887" s="10">
        <f>28</f>
        <v>28</v>
      </c>
      <c r="B1887" s="18">
        <f t="shared" si="201"/>
        <v>0</v>
      </c>
      <c r="C1887" s="18">
        <f t="shared" si="202"/>
        <v>131541.15869342405</v>
      </c>
      <c r="D1887" s="18">
        <f t="shared" si="203"/>
        <v>0</v>
      </c>
    </row>
    <row r="1888" spans="1:4">
      <c r="A1888" s="10">
        <f>29</f>
        <v>29</v>
      </c>
      <c r="B1888" s="18">
        <f t="shared" si="201"/>
        <v>0</v>
      </c>
      <c r="C1888" s="18">
        <f t="shared" si="202"/>
        <v>89216.510201683632</v>
      </c>
      <c r="D1888" s="18">
        <f t="shared" si="203"/>
        <v>0</v>
      </c>
    </row>
    <row r="1889" spans="1:4">
      <c r="A1889" s="10">
        <f>30</f>
        <v>30</v>
      </c>
      <c r="B1889" s="18">
        <f t="shared" si="201"/>
        <v>0</v>
      </c>
      <c r="C1889" s="18">
        <f t="shared" si="202"/>
        <v>47044.23044451348</v>
      </c>
      <c r="D1889" s="18">
        <f t="shared" si="203"/>
        <v>0</v>
      </c>
    </row>
    <row r="1890" spans="1:4">
      <c r="A1890" s="10">
        <f>31</f>
        <v>31</v>
      </c>
      <c r="B1890" s="18">
        <f t="shared" si="201"/>
        <v>0</v>
      </c>
      <c r="C1890" s="18">
        <f t="shared" si="202"/>
        <v>5023.7708944691403</v>
      </c>
      <c r="D1890" s="18">
        <f t="shared" si="203"/>
        <v>0</v>
      </c>
    </row>
    <row r="1891" spans="1:4">
      <c r="A1891" s="10">
        <f>32</f>
        <v>32</v>
      </c>
      <c r="B1891" s="18">
        <f t="shared" si="201"/>
        <v>36978.537737048413</v>
      </c>
      <c r="C1891" s="18">
        <f t="shared" si="202"/>
        <v>0</v>
      </c>
      <c r="D1891" s="18">
        <f t="shared" si="203"/>
        <v>-38087.893869159867</v>
      </c>
    </row>
    <row r="1892" spans="1:4">
      <c r="A1892" s="10">
        <f>33</f>
        <v>33</v>
      </c>
      <c r="B1892" s="18">
        <f t="shared" si="201"/>
        <v>42002.308631517553</v>
      </c>
      <c r="C1892" s="18">
        <f t="shared" si="202"/>
        <v>0</v>
      </c>
      <c r="D1892" s="18">
        <f t="shared" si="203"/>
        <v>-82492.908575697744</v>
      </c>
    </row>
    <row r="1893" spans="1:4">
      <c r="A1893" s="10">
        <f>34</f>
        <v>34</v>
      </c>
      <c r="B1893" s="18">
        <f t="shared" si="201"/>
        <v>42002.308631517553</v>
      </c>
      <c r="C1893" s="18">
        <f t="shared" si="202"/>
        <v>0</v>
      </c>
      <c r="D1893" s="18">
        <f t="shared" si="203"/>
        <v>-128230.07372343175</v>
      </c>
    </row>
    <row r="1894" spans="1:4">
      <c r="A1894" s="10">
        <f>35</f>
        <v>35</v>
      </c>
      <c r="B1894" s="18">
        <f t="shared" si="201"/>
        <v>42002.308631517553</v>
      </c>
      <c r="C1894" s="18">
        <f t="shared" si="202"/>
        <v>0</v>
      </c>
      <c r="D1894" s="18">
        <f t="shared" si="203"/>
        <v>-175339.35382559779</v>
      </c>
    </row>
    <row r="1895" spans="1:4">
      <c r="A1895" s="10">
        <f>36</f>
        <v>36</v>
      </c>
      <c r="B1895" s="18">
        <f t="shared" si="201"/>
        <v>42002.308631517553</v>
      </c>
      <c r="C1895" s="18">
        <f t="shared" si="202"/>
        <v>0</v>
      </c>
      <c r="D1895" s="18">
        <f t="shared" si="203"/>
        <v>-223861.91233082881</v>
      </c>
    </row>
    <row r="1896" spans="1:4">
      <c r="A1896" s="10">
        <f>37</f>
        <v>37</v>
      </c>
      <c r="B1896" s="18">
        <f t="shared" si="201"/>
        <v>42002.308631517553</v>
      </c>
      <c r="C1896" s="18">
        <f t="shared" si="202"/>
        <v>0</v>
      </c>
      <c r="D1896" s="18">
        <f t="shared" si="203"/>
        <v>-273840.14759121678</v>
      </c>
    </row>
    <row r="1897" spans="1:4">
      <c r="A1897" s="10">
        <f>38</f>
        <v>38</v>
      </c>
      <c r="B1897" s="18">
        <f t="shared" si="201"/>
        <v>42002.308631517553</v>
      </c>
      <c r="C1897" s="18">
        <f t="shared" si="202"/>
        <v>0</v>
      </c>
      <c r="D1897" s="18">
        <f t="shared" si="203"/>
        <v>-325317.7299094164</v>
      </c>
    </row>
    <row r="1898" spans="1:4">
      <c r="A1898" s="10">
        <f>39</f>
        <v>39</v>
      </c>
      <c r="B1898" s="18">
        <f t="shared" si="201"/>
        <v>42002.308631517553</v>
      </c>
      <c r="C1898" s="18">
        <f t="shared" si="202"/>
        <v>0</v>
      </c>
      <c r="D1898" s="18">
        <f t="shared" si="203"/>
        <v>-378339.63969716203</v>
      </c>
    </row>
    <row r="1899" spans="1:4">
      <c r="A1899" s="10">
        <f>40</f>
        <v>40</v>
      </c>
      <c r="B1899" s="18">
        <f t="shared" si="201"/>
        <v>42002.308631517553</v>
      </c>
      <c r="C1899" s="18">
        <f t="shared" si="202"/>
        <v>0</v>
      </c>
      <c r="D1899" s="18">
        <f t="shared" si="203"/>
        <v>-432952.20677853998</v>
      </c>
    </row>
    <row r="1900" spans="1:4">
      <c r="B1900" s="18">
        <f>-(C1899+D1899)</f>
        <v>432952.20677853998</v>
      </c>
    </row>
    <row r="1906" spans="1:5">
      <c r="A1906" s="2" t="s">
        <v>304</v>
      </c>
    </row>
    <row r="1908" spans="1:5">
      <c r="A1908" s="25" t="s">
        <v>262</v>
      </c>
      <c r="B1908" s="25" t="s">
        <v>263</v>
      </c>
      <c r="C1908" s="25" t="s">
        <v>305</v>
      </c>
      <c r="D1908" s="25" t="s">
        <v>264</v>
      </c>
      <c r="E1908" s="25" t="s">
        <v>265</v>
      </c>
    </row>
    <row r="1909" spans="1:5">
      <c r="A1909" s="3">
        <v>0</v>
      </c>
      <c r="C1909" s="10">
        <f>1</f>
        <v>1</v>
      </c>
      <c r="D1909" s="18">
        <f>MIN(0*$B$165,$B$5)</f>
        <v>0</v>
      </c>
      <c r="E1909" s="18">
        <f>$B$5-D1909</f>
        <v>1000000</v>
      </c>
    </row>
    <row r="1910" spans="1:5">
      <c r="A1910" s="10">
        <f>1</f>
        <v>1</v>
      </c>
      <c r="B1910" s="18">
        <f t="shared" ref="B1910:B1941" si="204">IF(C1909=0,0,MIN(MAX(E1909,0),(($B$165-MIN(MAX(D1909,0),$B$165))+MAX(0,0*$B$165-(D1909-MIN(MAX(D1909,0),$B$165))))))</f>
        <v>65257.968540639937</v>
      </c>
      <c r="C1910" s="10">
        <f t="shared" ref="C1910:C1941" si="205">IF(AND(C1909=1,D1909+E1909&gt;0.000001,B1910&gt;=($B$165-MIN(MAX(D1909,0),$B$165))-0.000001),1,0)</f>
        <v>1</v>
      </c>
      <c r="D1910" s="18">
        <f t="shared" ref="D1910:D1941" si="206">IF(C1910=0,D1909,(D1909-$B$165+B1910)*(1+$B$7))</f>
        <v>0</v>
      </c>
      <c r="E1910" s="18">
        <f t="shared" ref="E1910:E1941" si="207">IF(C1910=0,E1909,(E1909-B1910)*(1+$B$6))</f>
        <v>962784.2924031408</v>
      </c>
    </row>
    <row r="1911" spans="1:5">
      <c r="A1911" s="10">
        <f>2</f>
        <v>2</v>
      </c>
      <c r="B1911" s="18">
        <f t="shared" si="204"/>
        <v>65257.968540639937</v>
      </c>
      <c r="C1911" s="10">
        <f t="shared" si="205"/>
        <v>1</v>
      </c>
      <c r="D1911" s="18">
        <f t="shared" si="206"/>
        <v>0</v>
      </c>
      <c r="E1911" s="18">
        <f t="shared" si="207"/>
        <v>924452.11357837589</v>
      </c>
    </row>
    <row r="1912" spans="1:5">
      <c r="A1912" s="10">
        <f>3</f>
        <v>3</v>
      </c>
      <c r="B1912" s="18">
        <f t="shared" si="204"/>
        <v>65257.968540639937</v>
      </c>
      <c r="C1912" s="10">
        <f t="shared" si="205"/>
        <v>1</v>
      </c>
      <c r="D1912" s="18">
        <f t="shared" si="206"/>
        <v>0</v>
      </c>
      <c r="E1912" s="18">
        <f t="shared" si="207"/>
        <v>884969.96938886808</v>
      </c>
    </row>
    <row r="1913" spans="1:5">
      <c r="A1913" s="10">
        <f>4</f>
        <v>4</v>
      </c>
      <c r="B1913" s="18">
        <f t="shared" si="204"/>
        <v>65257.968540639937</v>
      </c>
      <c r="C1913" s="10">
        <f t="shared" si="205"/>
        <v>1</v>
      </c>
      <c r="D1913" s="18">
        <f t="shared" si="206"/>
        <v>0</v>
      </c>
      <c r="E1913" s="18">
        <f t="shared" si="207"/>
        <v>844303.36087367497</v>
      </c>
    </row>
    <row r="1914" spans="1:5">
      <c r="A1914" s="10">
        <f>5</f>
        <v>5</v>
      </c>
      <c r="B1914" s="18">
        <f t="shared" si="204"/>
        <v>65257.968540639937</v>
      </c>
      <c r="C1914" s="10">
        <f t="shared" si="205"/>
        <v>1</v>
      </c>
      <c r="D1914" s="18">
        <f t="shared" si="206"/>
        <v>0</v>
      </c>
      <c r="E1914" s="18">
        <f t="shared" si="207"/>
        <v>802416.75410302612</v>
      </c>
    </row>
    <row r="1915" spans="1:5">
      <c r="A1915" s="10">
        <f>6</f>
        <v>6</v>
      </c>
      <c r="B1915" s="18">
        <f t="shared" si="204"/>
        <v>65257.968540639937</v>
      </c>
      <c r="C1915" s="10">
        <f t="shared" si="205"/>
        <v>1</v>
      </c>
      <c r="D1915" s="18">
        <f t="shared" si="206"/>
        <v>0</v>
      </c>
      <c r="E1915" s="18">
        <f t="shared" si="207"/>
        <v>759273.54912925779</v>
      </c>
    </row>
    <row r="1916" spans="1:5">
      <c r="A1916" s="10">
        <f>7</f>
        <v>7</v>
      </c>
      <c r="B1916" s="18">
        <f t="shared" si="204"/>
        <v>65257.968540639937</v>
      </c>
      <c r="C1916" s="10">
        <f t="shared" si="205"/>
        <v>1</v>
      </c>
      <c r="D1916" s="18">
        <f t="shared" si="206"/>
        <v>0</v>
      </c>
      <c r="E1916" s="18">
        <f t="shared" si="207"/>
        <v>714836.04800627637</v>
      </c>
    </row>
    <row r="1917" spans="1:5">
      <c r="A1917" s="10">
        <f>8</f>
        <v>8</v>
      </c>
      <c r="B1917" s="18">
        <f t="shared" si="204"/>
        <v>65257.968540639937</v>
      </c>
      <c r="C1917" s="10">
        <f t="shared" si="205"/>
        <v>1</v>
      </c>
      <c r="D1917" s="18">
        <f t="shared" si="206"/>
        <v>0</v>
      </c>
      <c r="E1917" s="18">
        <f t="shared" si="207"/>
        <v>669065.42184960551</v>
      </c>
    </row>
    <row r="1918" spans="1:5">
      <c r="A1918" s="10">
        <f>9</f>
        <v>9</v>
      </c>
      <c r="B1918" s="18">
        <f t="shared" si="204"/>
        <v>65257.968540639937</v>
      </c>
      <c r="C1918" s="10">
        <f t="shared" si="205"/>
        <v>1</v>
      </c>
      <c r="D1918" s="18">
        <f t="shared" si="206"/>
        <v>0</v>
      </c>
      <c r="E1918" s="18">
        <f t="shared" si="207"/>
        <v>621921.67690823448</v>
      </c>
    </row>
    <row r="1919" spans="1:5">
      <c r="A1919" s="10">
        <f>10</f>
        <v>10</v>
      </c>
      <c r="B1919" s="18">
        <f t="shared" si="204"/>
        <v>65257.968540639937</v>
      </c>
      <c r="C1919" s="10">
        <f t="shared" si="205"/>
        <v>1</v>
      </c>
      <c r="D1919" s="18">
        <f t="shared" si="206"/>
        <v>0</v>
      </c>
      <c r="E1919" s="18">
        <f t="shared" si="207"/>
        <v>573363.61961862235</v>
      </c>
    </row>
    <row r="1920" spans="1:5">
      <c r="A1920" s="10">
        <f>11</f>
        <v>11</v>
      </c>
      <c r="B1920" s="18">
        <f t="shared" si="204"/>
        <v>65257.968540639937</v>
      </c>
      <c r="C1920" s="10">
        <f t="shared" si="205"/>
        <v>1</v>
      </c>
      <c r="D1920" s="18">
        <f t="shared" si="206"/>
        <v>0</v>
      </c>
      <c r="E1920" s="18">
        <f t="shared" si="207"/>
        <v>523348.82061032188</v>
      </c>
    </row>
    <row r="1921" spans="1:5">
      <c r="A1921" s="10">
        <f>12</f>
        <v>12</v>
      </c>
      <c r="B1921" s="18">
        <f t="shared" si="204"/>
        <v>65257.968540639937</v>
      </c>
      <c r="C1921" s="10">
        <f t="shared" si="205"/>
        <v>1</v>
      </c>
      <c r="D1921" s="18">
        <f t="shared" si="206"/>
        <v>0</v>
      </c>
      <c r="E1921" s="18">
        <f t="shared" si="207"/>
        <v>471833.57763177244</v>
      </c>
    </row>
    <row r="1922" spans="1:5">
      <c r="A1922" s="10">
        <f>13</f>
        <v>13</v>
      </c>
      <c r="B1922" s="18">
        <f t="shared" si="204"/>
        <v>65257.968540639937</v>
      </c>
      <c r="C1922" s="10">
        <f t="shared" si="205"/>
        <v>1</v>
      </c>
      <c r="D1922" s="18">
        <f t="shared" si="206"/>
        <v>0</v>
      </c>
      <c r="E1922" s="18">
        <f t="shared" si="207"/>
        <v>418772.87736386654</v>
      </c>
    </row>
    <row r="1923" spans="1:5">
      <c r="A1923" s="10">
        <f>14</f>
        <v>14</v>
      </c>
      <c r="B1923" s="18">
        <f t="shared" si="204"/>
        <v>65257.968540639937</v>
      </c>
      <c r="C1923" s="10">
        <f t="shared" si="205"/>
        <v>1</v>
      </c>
      <c r="D1923" s="18">
        <f t="shared" si="206"/>
        <v>0</v>
      </c>
      <c r="E1923" s="18">
        <f t="shared" si="207"/>
        <v>364120.3560879234</v>
      </c>
    </row>
    <row r="1924" spans="1:5">
      <c r="A1924" s="10">
        <f>15</f>
        <v>15</v>
      </c>
      <c r="B1924" s="18">
        <f t="shared" si="204"/>
        <v>65257.968540639937</v>
      </c>
      <c r="C1924" s="10">
        <f t="shared" si="205"/>
        <v>1</v>
      </c>
      <c r="D1924" s="18">
        <f t="shared" si="206"/>
        <v>0</v>
      </c>
      <c r="E1924" s="18">
        <f t="shared" si="207"/>
        <v>307828.25917370192</v>
      </c>
    </row>
    <row r="1925" spans="1:5">
      <c r="A1925" s="10">
        <f>16</f>
        <v>16</v>
      </c>
      <c r="B1925" s="18">
        <f t="shared" si="204"/>
        <v>65257.968540639937</v>
      </c>
      <c r="C1925" s="10">
        <f t="shared" si="205"/>
        <v>1</v>
      </c>
      <c r="D1925" s="18">
        <f t="shared" si="206"/>
        <v>0</v>
      </c>
      <c r="E1925" s="18">
        <f t="shared" si="207"/>
        <v>249847.39935205385</v>
      </c>
    </row>
    <row r="1926" spans="1:5">
      <c r="A1926" s="10">
        <f>17</f>
        <v>17</v>
      </c>
      <c r="B1926" s="18">
        <f t="shared" si="204"/>
        <v>65257.968540639937</v>
      </c>
      <c r="C1926" s="10">
        <f t="shared" si="205"/>
        <v>1</v>
      </c>
      <c r="D1926" s="18">
        <f t="shared" si="206"/>
        <v>0</v>
      </c>
      <c r="E1926" s="18">
        <f t="shared" si="207"/>
        <v>190127.11373575634</v>
      </c>
    </row>
    <row r="1927" spans="1:5">
      <c r="A1927" s="10">
        <f>18</f>
        <v>18</v>
      </c>
      <c r="B1927" s="18">
        <f t="shared" si="204"/>
        <v>65257.968540639937</v>
      </c>
      <c r="C1927" s="10">
        <f t="shared" si="205"/>
        <v>1</v>
      </c>
      <c r="D1927" s="18">
        <f t="shared" si="206"/>
        <v>0</v>
      </c>
      <c r="E1927" s="18">
        <f t="shared" si="207"/>
        <v>128615.21955096989</v>
      </c>
    </row>
    <row r="1928" spans="1:5">
      <c r="A1928" s="10">
        <f>19</f>
        <v>19</v>
      </c>
      <c r="B1928" s="18">
        <f t="shared" si="204"/>
        <v>65257.968540639937</v>
      </c>
      <c r="C1928" s="10">
        <f t="shared" si="205"/>
        <v>1</v>
      </c>
      <c r="D1928" s="18">
        <f t="shared" si="206"/>
        <v>0</v>
      </c>
      <c r="E1928" s="18">
        <f t="shared" si="207"/>
        <v>65257.968540639857</v>
      </c>
    </row>
    <row r="1929" spans="1:5">
      <c r="A1929" s="10">
        <f>20</f>
        <v>20</v>
      </c>
      <c r="B1929" s="18">
        <f t="shared" si="204"/>
        <v>65257.968540639857</v>
      </c>
      <c r="C1929" s="10">
        <f t="shared" si="205"/>
        <v>1</v>
      </c>
      <c r="D1929" s="18">
        <f t="shared" si="206"/>
        <v>-7.9747405834496021E-11</v>
      </c>
      <c r="E1929" s="18">
        <f t="shared" si="207"/>
        <v>0</v>
      </c>
    </row>
    <row r="1930" spans="1:5">
      <c r="A1930" s="10">
        <f>21</f>
        <v>21</v>
      </c>
      <c r="B1930" s="18">
        <f t="shared" si="204"/>
        <v>0</v>
      </c>
      <c r="C1930" s="10">
        <f t="shared" si="205"/>
        <v>0</v>
      </c>
      <c r="D1930" s="18">
        <f t="shared" si="206"/>
        <v>-7.9747405834496021E-11</v>
      </c>
      <c r="E1930" s="18">
        <f t="shared" si="207"/>
        <v>0</v>
      </c>
    </row>
    <row r="1931" spans="1:5">
      <c r="A1931" s="10">
        <f>22</f>
        <v>22</v>
      </c>
      <c r="B1931" s="18">
        <f t="shared" si="204"/>
        <v>0</v>
      </c>
      <c r="C1931" s="10">
        <f t="shared" si="205"/>
        <v>0</v>
      </c>
      <c r="D1931" s="18">
        <f t="shared" si="206"/>
        <v>-7.9747405834496021E-11</v>
      </c>
      <c r="E1931" s="18">
        <f t="shared" si="207"/>
        <v>0</v>
      </c>
    </row>
    <row r="1932" spans="1:5">
      <c r="A1932" s="10">
        <f>23</f>
        <v>23</v>
      </c>
      <c r="B1932" s="18">
        <f t="shared" si="204"/>
        <v>0</v>
      </c>
      <c r="C1932" s="10">
        <f t="shared" si="205"/>
        <v>0</v>
      </c>
      <c r="D1932" s="18">
        <f t="shared" si="206"/>
        <v>-7.9747405834496021E-11</v>
      </c>
      <c r="E1932" s="18">
        <f t="shared" si="207"/>
        <v>0</v>
      </c>
    </row>
    <row r="1933" spans="1:5">
      <c r="A1933" s="10">
        <f>24</f>
        <v>24</v>
      </c>
      <c r="B1933" s="18">
        <f t="shared" si="204"/>
        <v>0</v>
      </c>
      <c r="C1933" s="10">
        <f t="shared" si="205"/>
        <v>0</v>
      </c>
      <c r="D1933" s="18">
        <f t="shared" si="206"/>
        <v>-7.9747405834496021E-11</v>
      </c>
      <c r="E1933" s="18">
        <f t="shared" si="207"/>
        <v>0</v>
      </c>
    </row>
    <row r="1934" spans="1:5">
      <c r="A1934" s="10">
        <f>25</f>
        <v>25</v>
      </c>
      <c r="B1934" s="18">
        <f t="shared" si="204"/>
        <v>0</v>
      </c>
      <c r="C1934" s="10">
        <f t="shared" si="205"/>
        <v>0</v>
      </c>
      <c r="D1934" s="18">
        <f t="shared" si="206"/>
        <v>-7.9747405834496021E-11</v>
      </c>
      <c r="E1934" s="18">
        <f t="shared" si="207"/>
        <v>0</v>
      </c>
    </row>
    <row r="1935" spans="1:5">
      <c r="A1935" s="10">
        <f>26</f>
        <v>26</v>
      </c>
      <c r="B1935" s="18">
        <f t="shared" si="204"/>
        <v>0</v>
      </c>
      <c r="C1935" s="10">
        <f t="shared" si="205"/>
        <v>0</v>
      </c>
      <c r="D1935" s="18">
        <f t="shared" si="206"/>
        <v>-7.9747405834496021E-11</v>
      </c>
      <c r="E1935" s="18">
        <f t="shared" si="207"/>
        <v>0</v>
      </c>
    </row>
    <row r="1936" spans="1:5">
      <c r="A1936" s="10">
        <f>27</f>
        <v>27</v>
      </c>
      <c r="B1936" s="18">
        <f t="shared" si="204"/>
        <v>0</v>
      </c>
      <c r="C1936" s="10">
        <f t="shared" si="205"/>
        <v>0</v>
      </c>
      <c r="D1936" s="18">
        <f t="shared" si="206"/>
        <v>-7.9747405834496021E-11</v>
      </c>
      <c r="E1936" s="18">
        <f t="shared" si="207"/>
        <v>0</v>
      </c>
    </row>
    <row r="1937" spans="1:5">
      <c r="A1937" s="10">
        <f>28</f>
        <v>28</v>
      </c>
      <c r="B1937" s="18">
        <f t="shared" si="204"/>
        <v>0</v>
      </c>
      <c r="C1937" s="10">
        <f t="shared" si="205"/>
        <v>0</v>
      </c>
      <c r="D1937" s="18">
        <f t="shared" si="206"/>
        <v>-7.9747405834496021E-11</v>
      </c>
      <c r="E1937" s="18">
        <f t="shared" si="207"/>
        <v>0</v>
      </c>
    </row>
    <row r="1938" spans="1:5">
      <c r="A1938" s="10">
        <f>29</f>
        <v>29</v>
      </c>
      <c r="B1938" s="18">
        <f t="shared" si="204"/>
        <v>0</v>
      </c>
      <c r="C1938" s="10">
        <f t="shared" si="205"/>
        <v>0</v>
      </c>
      <c r="D1938" s="18">
        <f t="shared" si="206"/>
        <v>-7.9747405834496021E-11</v>
      </c>
      <c r="E1938" s="18">
        <f t="shared" si="207"/>
        <v>0</v>
      </c>
    </row>
    <row r="1939" spans="1:5">
      <c r="A1939" s="10">
        <f>30</f>
        <v>30</v>
      </c>
      <c r="B1939" s="18">
        <f t="shared" si="204"/>
        <v>0</v>
      </c>
      <c r="C1939" s="10">
        <f t="shared" si="205"/>
        <v>0</v>
      </c>
      <c r="D1939" s="18">
        <f t="shared" si="206"/>
        <v>-7.9747405834496021E-11</v>
      </c>
      <c r="E1939" s="18">
        <f t="shared" si="207"/>
        <v>0</v>
      </c>
    </row>
    <row r="1940" spans="1:5">
      <c r="A1940" s="10">
        <f>31</f>
        <v>31</v>
      </c>
      <c r="B1940" s="18">
        <f t="shared" si="204"/>
        <v>0</v>
      </c>
      <c r="C1940" s="10">
        <f t="shared" si="205"/>
        <v>0</v>
      </c>
      <c r="D1940" s="18">
        <f t="shared" si="206"/>
        <v>-7.9747405834496021E-11</v>
      </c>
      <c r="E1940" s="18">
        <f t="shared" si="207"/>
        <v>0</v>
      </c>
    </row>
    <row r="1941" spans="1:5">
      <c r="A1941" s="10">
        <f>32</f>
        <v>32</v>
      </c>
      <c r="B1941" s="18">
        <f t="shared" si="204"/>
        <v>0</v>
      </c>
      <c r="C1941" s="10">
        <f t="shared" si="205"/>
        <v>0</v>
      </c>
      <c r="D1941" s="18">
        <f t="shared" si="206"/>
        <v>-7.9747405834496021E-11</v>
      </c>
      <c r="E1941" s="18">
        <f t="shared" si="207"/>
        <v>0</v>
      </c>
    </row>
    <row r="1942" spans="1:5">
      <c r="A1942" s="10">
        <f>33</f>
        <v>33</v>
      </c>
      <c r="B1942" s="18">
        <f t="shared" ref="B1942:B1969" si="208">IF(C1941=0,0,MIN(MAX(E1941,0),(($B$165-MIN(MAX(D1941,0),$B$165))+MAX(0,0*$B$165-(D1941-MIN(MAX(D1941,0),$B$165))))))</f>
        <v>0</v>
      </c>
      <c r="C1942" s="10">
        <f t="shared" ref="C1942:C1973" si="209">IF(AND(C1941=1,D1941+E1941&gt;0.000001,B1942&gt;=($B$165-MIN(MAX(D1941,0),$B$165))-0.000001),1,0)</f>
        <v>0</v>
      </c>
      <c r="D1942" s="18">
        <f t="shared" ref="D1942:D1973" si="210">IF(C1942=0,D1941,(D1941-$B$165+B1942)*(1+$B$7))</f>
        <v>-7.9747405834496021E-11</v>
      </c>
      <c r="E1942" s="18">
        <f t="shared" ref="E1942:E1969" si="211">IF(C1942=0,E1941,(E1941-B1942)*(1+$B$6))</f>
        <v>0</v>
      </c>
    </row>
    <row r="1943" spans="1:5">
      <c r="A1943" s="10">
        <f>34</f>
        <v>34</v>
      </c>
      <c r="B1943" s="18">
        <f t="shared" si="208"/>
        <v>0</v>
      </c>
      <c r="C1943" s="10">
        <f t="shared" si="209"/>
        <v>0</v>
      </c>
      <c r="D1943" s="18">
        <f t="shared" si="210"/>
        <v>-7.9747405834496021E-11</v>
      </c>
      <c r="E1943" s="18">
        <f t="shared" si="211"/>
        <v>0</v>
      </c>
    </row>
    <row r="1944" spans="1:5">
      <c r="A1944" s="10">
        <f>35</f>
        <v>35</v>
      </c>
      <c r="B1944" s="18">
        <f t="shared" si="208"/>
        <v>0</v>
      </c>
      <c r="C1944" s="10">
        <f t="shared" si="209"/>
        <v>0</v>
      </c>
      <c r="D1944" s="18">
        <f t="shared" si="210"/>
        <v>-7.9747405834496021E-11</v>
      </c>
      <c r="E1944" s="18">
        <f t="shared" si="211"/>
        <v>0</v>
      </c>
    </row>
    <row r="1945" spans="1:5">
      <c r="A1945" s="10">
        <f>36</f>
        <v>36</v>
      </c>
      <c r="B1945" s="18">
        <f t="shared" si="208"/>
        <v>0</v>
      </c>
      <c r="C1945" s="10">
        <f t="shared" si="209"/>
        <v>0</v>
      </c>
      <c r="D1945" s="18">
        <f t="shared" si="210"/>
        <v>-7.9747405834496021E-11</v>
      </c>
      <c r="E1945" s="18">
        <f t="shared" si="211"/>
        <v>0</v>
      </c>
    </row>
    <row r="1946" spans="1:5">
      <c r="A1946" s="10">
        <f>37</f>
        <v>37</v>
      </c>
      <c r="B1946" s="18">
        <f t="shared" si="208"/>
        <v>0</v>
      </c>
      <c r="C1946" s="10">
        <f t="shared" si="209"/>
        <v>0</v>
      </c>
      <c r="D1946" s="18">
        <f t="shared" si="210"/>
        <v>-7.9747405834496021E-11</v>
      </c>
      <c r="E1946" s="18">
        <f t="shared" si="211"/>
        <v>0</v>
      </c>
    </row>
    <row r="1947" spans="1:5">
      <c r="A1947" s="10">
        <f>38</f>
        <v>38</v>
      </c>
      <c r="B1947" s="18">
        <f t="shared" si="208"/>
        <v>0</v>
      </c>
      <c r="C1947" s="10">
        <f t="shared" si="209"/>
        <v>0</v>
      </c>
      <c r="D1947" s="18">
        <f t="shared" si="210"/>
        <v>-7.9747405834496021E-11</v>
      </c>
      <c r="E1947" s="18">
        <f t="shared" si="211"/>
        <v>0</v>
      </c>
    </row>
    <row r="1948" spans="1:5">
      <c r="A1948" s="10">
        <f>39</f>
        <v>39</v>
      </c>
      <c r="B1948" s="18">
        <f t="shared" si="208"/>
        <v>0</v>
      </c>
      <c r="C1948" s="10">
        <f t="shared" si="209"/>
        <v>0</v>
      </c>
      <c r="D1948" s="18">
        <f t="shared" si="210"/>
        <v>-7.9747405834496021E-11</v>
      </c>
      <c r="E1948" s="18">
        <f t="shared" si="211"/>
        <v>0</v>
      </c>
    </row>
    <row r="1949" spans="1:5">
      <c r="A1949" s="10">
        <f>40</f>
        <v>40</v>
      </c>
      <c r="B1949" s="18">
        <f t="shared" si="208"/>
        <v>0</v>
      </c>
      <c r="C1949" s="10">
        <f t="shared" si="209"/>
        <v>0</v>
      </c>
      <c r="D1949" s="18">
        <f t="shared" si="210"/>
        <v>-7.9747405834496021E-11</v>
      </c>
      <c r="E1949" s="18">
        <f t="shared" si="211"/>
        <v>0</v>
      </c>
    </row>
    <row r="1950" spans="1:5">
      <c r="A1950" s="10">
        <f>41</f>
        <v>41</v>
      </c>
      <c r="B1950" s="18">
        <f t="shared" si="208"/>
        <v>0</v>
      </c>
      <c r="C1950" s="10">
        <f t="shared" si="209"/>
        <v>0</v>
      </c>
      <c r="D1950" s="18">
        <f t="shared" si="210"/>
        <v>-7.9747405834496021E-11</v>
      </c>
      <c r="E1950" s="18">
        <f t="shared" si="211"/>
        <v>0</v>
      </c>
    </row>
    <row r="1951" spans="1:5">
      <c r="A1951" s="10">
        <f>42</f>
        <v>42</v>
      </c>
      <c r="B1951" s="18">
        <f t="shared" si="208"/>
        <v>0</v>
      </c>
      <c r="C1951" s="10">
        <f t="shared" si="209"/>
        <v>0</v>
      </c>
      <c r="D1951" s="18">
        <f t="shared" si="210"/>
        <v>-7.9747405834496021E-11</v>
      </c>
      <c r="E1951" s="18">
        <f t="shared" si="211"/>
        <v>0</v>
      </c>
    </row>
    <row r="1952" spans="1:5">
      <c r="A1952" s="10">
        <f>43</f>
        <v>43</v>
      </c>
      <c r="B1952" s="18">
        <f t="shared" si="208"/>
        <v>0</v>
      </c>
      <c r="C1952" s="10">
        <f t="shared" si="209"/>
        <v>0</v>
      </c>
      <c r="D1952" s="18">
        <f t="shared" si="210"/>
        <v>-7.9747405834496021E-11</v>
      </c>
      <c r="E1952" s="18">
        <f t="shared" si="211"/>
        <v>0</v>
      </c>
    </row>
    <row r="1953" spans="1:5">
      <c r="A1953" s="10">
        <f>44</f>
        <v>44</v>
      </c>
      <c r="B1953" s="18">
        <f t="shared" si="208"/>
        <v>0</v>
      </c>
      <c r="C1953" s="10">
        <f t="shared" si="209"/>
        <v>0</v>
      </c>
      <c r="D1953" s="18">
        <f t="shared" si="210"/>
        <v>-7.9747405834496021E-11</v>
      </c>
      <c r="E1953" s="18">
        <f t="shared" si="211"/>
        <v>0</v>
      </c>
    </row>
    <row r="1954" spans="1:5">
      <c r="A1954" s="10">
        <f>45</f>
        <v>45</v>
      </c>
      <c r="B1954" s="18">
        <f t="shared" si="208"/>
        <v>0</v>
      </c>
      <c r="C1954" s="10">
        <f t="shared" si="209"/>
        <v>0</v>
      </c>
      <c r="D1954" s="18">
        <f t="shared" si="210"/>
        <v>-7.9747405834496021E-11</v>
      </c>
      <c r="E1954" s="18">
        <f t="shared" si="211"/>
        <v>0</v>
      </c>
    </row>
    <row r="1955" spans="1:5">
      <c r="A1955" s="10">
        <f>46</f>
        <v>46</v>
      </c>
      <c r="B1955" s="18">
        <f t="shared" si="208"/>
        <v>0</v>
      </c>
      <c r="C1955" s="10">
        <f t="shared" si="209"/>
        <v>0</v>
      </c>
      <c r="D1955" s="18">
        <f t="shared" si="210"/>
        <v>-7.9747405834496021E-11</v>
      </c>
      <c r="E1955" s="18">
        <f t="shared" si="211"/>
        <v>0</v>
      </c>
    </row>
    <row r="1956" spans="1:5">
      <c r="A1956" s="10">
        <f>47</f>
        <v>47</v>
      </c>
      <c r="B1956" s="18">
        <f t="shared" si="208"/>
        <v>0</v>
      </c>
      <c r="C1956" s="10">
        <f t="shared" si="209"/>
        <v>0</v>
      </c>
      <c r="D1956" s="18">
        <f t="shared" si="210"/>
        <v>-7.9747405834496021E-11</v>
      </c>
      <c r="E1956" s="18">
        <f t="shared" si="211"/>
        <v>0</v>
      </c>
    </row>
    <row r="1957" spans="1:5">
      <c r="A1957" s="10">
        <f>48</f>
        <v>48</v>
      </c>
      <c r="B1957" s="18">
        <f t="shared" si="208"/>
        <v>0</v>
      </c>
      <c r="C1957" s="10">
        <f t="shared" si="209"/>
        <v>0</v>
      </c>
      <c r="D1957" s="18">
        <f t="shared" si="210"/>
        <v>-7.9747405834496021E-11</v>
      </c>
      <c r="E1957" s="18">
        <f t="shared" si="211"/>
        <v>0</v>
      </c>
    </row>
    <row r="1958" spans="1:5">
      <c r="A1958" s="10">
        <f>49</f>
        <v>49</v>
      </c>
      <c r="B1958" s="18">
        <f t="shared" si="208"/>
        <v>0</v>
      </c>
      <c r="C1958" s="10">
        <f t="shared" si="209"/>
        <v>0</v>
      </c>
      <c r="D1958" s="18">
        <f t="shared" si="210"/>
        <v>-7.9747405834496021E-11</v>
      </c>
      <c r="E1958" s="18">
        <f t="shared" si="211"/>
        <v>0</v>
      </c>
    </row>
    <row r="1959" spans="1:5">
      <c r="A1959" s="10">
        <f>50</f>
        <v>50</v>
      </c>
      <c r="B1959" s="18">
        <f t="shared" si="208"/>
        <v>0</v>
      </c>
      <c r="C1959" s="10">
        <f t="shared" si="209"/>
        <v>0</v>
      </c>
      <c r="D1959" s="18">
        <f t="shared" si="210"/>
        <v>-7.9747405834496021E-11</v>
      </c>
      <c r="E1959" s="18">
        <f t="shared" si="211"/>
        <v>0</v>
      </c>
    </row>
    <row r="1960" spans="1:5">
      <c r="A1960" s="10">
        <f>51</f>
        <v>51</v>
      </c>
      <c r="B1960" s="18">
        <f t="shared" si="208"/>
        <v>0</v>
      </c>
      <c r="C1960" s="10">
        <f t="shared" si="209"/>
        <v>0</v>
      </c>
      <c r="D1960" s="18">
        <f t="shared" si="210"/>
        <v>-7.9747405834496021E-11</v>
      </c>
      <c r="E1960" s="18">
        <f t="shared" si="211"/>
        <v>0</v>
      </c>
    </row>
    <row r="1961" spans="1:5">
      <c r="A1961" s="10">
        <f>52</f>
        <v>52</v>
      </c>
      <c r="B1961" s="18">
        <f t="shared" si="208"/>
        <v>0</v>
      </c>
      <c r="C1961" s="10">
        <f t="shared" si="209"/>
        <v>0</v>
      </c>
      <c r="D1961" s="18">
        <f t="shared" si="210"/>
        <v>-7.9747405834496021E-11</v>
      </c>
      <c r="E1961" s="18">
        <f t="shared" si="211"/>
        <v>0</v>
      </c>
    </row>
    <row r="1962" spans="1:5">
      <c r="A1962" s="10">
        <f>53</f>
        <v>53</v>
      </c>
      <c r="B1962" s="18">
        <f t="shared" si="208"/>
        <v>0</v>
      </c>
      <c r="C1962" s="10">
        <f t="shared" si="209"/>
        <v>0</v>
      </c>
      <c r="D1962" s="18">
        <f t="shared" si="210"/>
        <v>-7.9747405834496021E-11</v>
      </c>
      <c r="E1962" s="18">
        <f t="shared" si="211"/>
        <v>0</v>
      </c>
    </row>
    <row r="1963" spans="1:5">
      <c r="A1963" s="10">
        <f>54</f>
        <v>54</v>
      </c>
      <c r="B1963" s="18">
        <f t="shared" si="208"/>
        <v>0</v>
      </c>
      <c r="C1963" s="10">
        <f t="shared" si="209"/>
        <v>0</v>
      </c>
      <c r="D1963" s="18">
        <f t="shared" si="210"/>
        <v>-7.9747405834496021E-11</v>
      </c>
      <c r="E1963" s="18">
        <f t="shared" si="211"/>
        <v>0</v>
      </c>
    </row>
    <row r="1964" spans="1:5">
      <c r="A1964" s="10">
        <f>55</f>
        <v>55</v>
      </c>
      <c r="B1964" s="18">
        <f t="shared" si="208"/>
        <v>0</v>
      </c>
      <c r="C1964" s="10">
        <f t="shared" si="209"/>
        <v>0</v>
      </c>
      <c r="D1964" s="18">
        <f t="shared" si="210"/>
        <v>-7.9747405834496021E-11</v>
      </c>
      <c r="E1964" s="18">
        <f t="shared" si="211"/>
        <v>0</v>
      </c>
    </row>
    <row r="1965" spans="1:5">
      <c r="A1965" s="10">
        <f>56</f>
        <v>56</v>
      </c>
      <c r="B1965" s="18">
        <f t="shared" si="208"/>
        <v>0</v>
      </c>
      <c r="C1965" s="10">
        <f t="shared" si="209"/>
        <v>0</v>
      </c>
      <c r="D1965" s="18">
        <f t="shared" si="210"/>
        <v>-7.9747405834496021E-11</v>
      </c>
      <c r="E1965" s="18">
        <f t="shared" si="211"/>
        <v>0</v>
      </c>
    </row>
    <row r="1966" spans="1:5">
      <c r="A1966" s="10">
        <f>57</f>
        <v>57</v>
      </c>
      <c r="B1966" s="18">
        <f t="shared" si="208"/>
        <v>0</v>
      </c>
      <c r="C1966" s="10">
        <f t="shared" si="209"/>
        <v>0</v>
      </c>
      <c r="D1966" s="18">
        <f t="shared" si="210"/>
        <v>-7.9747405834496021E-11</v>
      </c>
      <c r="E1966" s="18">
        <f t="shared" si="211"/>
        <v>0</v>
      </c>
    </row>
    <row r="1967" spans="1:5">
      <c r="A1967" s="10">
        <f>58</f>
        <v>58</v>
      </c>
      <c r="B1967" s="18">
        <f t="shared" si="208"/>
        <v>0</v>
      </c>
      <c r="C1967" s="10">
        <f t="shared" si="209"/>
        <v>0</v>
      </c>
      <c r="D1967" s="18">
        <f t="shared" si="210"/>
        <v>-7.9747405834496021E-11</v>
      </c>
      <c r="E1967" s="18">
        <f t="shared" si="211"/>
        <v>0</v>
      </c>
    </row>
    <row r="1968" spans="1:5">
      <c r="A1968" s="10">
        <f>59</f>
        <v>59</v>
      </c>
      <c r="B1968" s="18">
        <f t="shared" si="208"/>
        <v>0</v>
      </c>
      <c r="C1968" s="10">
        <f t="shared" si="209"/>
        <v>0</v>
      </c>
      <c r="D1968" s="18">
        <f t="shared" si="210"/>
        <v>-7.9747405834496021E-11</v>
      </c>
      <c r="E1968" s="18">
        <f t="shared" si="211"/>
        <v>0</v>
      </c>
    </row>
    <row r="1969" spans="1:5">
      <c r="A1969" s="10">
        <f>60</f>
        <v>60</v>
      </c>
      <c r="B1969" s="18">
        <f t="shared" si="208"/>
        <v>0</v>
      </c>
      <c r="C1969" s="10">
        <f t="shared" si="209"/>
        <v>0</v>
      </c>
      <c r="D1969" s="18">
        <f t="shared" si="210"/>
        <v>-7.9747405834496021E-11</v>
      </c>
      <c r="E1969" s="18">
        <f t="shared" si="211"/>
        <v>0</v>
      </c>
    </row>
    <row r="1970" spans="1:5">
      <c r="B1970" s="10">
        <f>SUM(C1910:C1969)</f>
        <v>20</v>
      </c>
    </row>
    <row r="1972" spans="1:5">
      <c r="A1972" s="2" t="s">
        <v>306</v>
      </c>
    </row>
    <row r="1974" spans="1:5">
      <c r="A1974" s="25" t="s">
        <v>262</v>
      </c>
      <c r="B1974" s="25" t="s">
        <v>263</v>
      </c>
      <c r="C1974" s="25" t="s">
        <v>305</v>
      </c>
      <c r="D1974" s="25" t="s">
        <v>264</v>
      </c>
      <c r="E1974" s="25" t="s">
        <v>265</v>
      </c>
    </row>
    <row r="1975" spans="1:5">
      <c r="A1975" s="3">
        <v>0</v>
      </c>
      <c r="C1975" s="10">
        <f>1</f>
        <v>1</v>
      </c>
      <c r="D1975" s="18">
        <f>MIN(1*$B$165,$B$5)</f>
        <v>65257.968540639937</v>
      </c>
      <c r="E1975" s="18">
        <f>$B$5-D1975</f>
        <v>934742.03145936003</v>
      </c>
    </row>
    <row r="1976" spans="1:5">
      <c r="A1976" s="10">
        <f>1</f>
        <v>1</v>
      </c>
      <c r="B1976" s="18">
        <f t="shared" ref="B1976:B2007" si="212">IF(C1975=0,0,MIN(MAX(E1975,0),(($B$165-MIN(MAX(D1975,0),$B$165))+MAX(0,1*$B$165-(D1975-MIN(MAX(D1975,0),$B$165))))))</f>
        <v>65257.968540639937</v>
      </c>
      <c r="C1976" s="10">
        <f t="shared" ref="C1976:C2007" si="213">IF(AND(C1975=1,D1975+E1975&gt;0.000001,B1976&gt;=($B$165-MIN(MAX(D1975,0),$B$165))-0.000001),1,0)</f>
        <v>1</v>
      </c>
      <c r="D1976" s="18">
        <f t="shared" ref="D1976:D2007" si="214">IF(C1976=0,D1975,(D1975-$B$165+B1976)*(1+$B$7))</f>
        <v>65023.039853893628</v>
      </c>
      <c r="E1976" s="18">
        <f t="shared" ref="E1976:E2007" si="215">IF(C1976=0,E1975,(E1975-B1976)*(1+$B$6))</f>
        <v>895568.58480628172</v>
      </c>
    </row>
    <row r="1977" spans="1:5">
      <c r="A1977" s="10">
        <f>2</f>
        <v>2</v>
      </c>
      <c r="B1977" s="18">
        <f t="shared" si="212"/>
        <v>65492.897227386246</v>
      </c>
      <c r="C1977" s="10">
        <f t="shared" si="213"/>
        <v>1</v>
      </c>
      <c r="D1977" s="18">
        <f t="shared" si="214"/>
        <v>65023.039853893628</v>
      </c>
      <c r="E1977" s="18">
        <f t="shared" si="215"/>
        <v>854977.95820626232</v>
      </c>
    </row>
    <row r="1978" spans="1:5">
      <c r="A1978" s="10">
        <f>3</f>
        <v>3</v>
      </c>
      <c r="B1978" s="18">
        <f t="shared" si="212"/>
        <v>65492.897227386246</v>
      </c>
      <c r="C1978" s="10">
        <f t="shared" si="213"/>
        <v>1</v>
      </c>
      <c r="D1978" s="18">
        <f t="shared" si="214"/>
        <v>65023.039853893628</v>
      </c>
      <c r="E1978" s="18">
        <f t="shared" si="215"/>
        <v>813169.61280824232</v>
      </c>
    </row>
    <row r="1979" spans="1:5">
      <c r="A1979" s="10">
        <f>4</f>
        <v>4</v>
      </c>
      <c r="B1979" s="18">
        <f t="shared" si="212"/>
        <v>65492.897227386246</v>
      </c>
      <c r="C1979" s="10">
        <f t="shared" si="213"/>
        <v>1</v>
      </c>
      <c r="D1979" s="18">
        <f t="shared" si="214"/>
        <v>65023.039853893628</v>
      </c>
      <c r="E1979" s="18">
        <f t="shared" si="215"/>
        <v>770107.01704828173</v>
      </c>
    </row>
    <row r="1980" spans="1:5">
      <c r="A1980" s="10">
        <f>5</f>
        <v>5</v>
      </c>
      <c r="B1980" s="18">
        <f t="shared" si="212"/>
        <v>65492.897227386246</v>
      </c>
      <c r="C1980" s="10">
        <f t="shared" si="213"/>
        <v>1</v>
      </c>
      <c r="D1980" s="18">
        <f t="shared" si="214"/>
        <v>65023.039853893628</v>
      </c>
      <c r="E1980" s="18">
        <f t="shared" si="215"/>
        <v>725752.54341552232</v>
      </c>
    </row>
    <row r="1981" spans="1:5">
      <c r="A1981" s="10">
        <f>6</f>
        <v>6</v>
      </c>
      <c r="B1981" s="18">
        <f t="shared" si="212"/>
        <v>65492.897227386246</v>
      </c>
      <c r="C1981" s="10">
        <f t="shared" si="213"/>
        <v>1</v>
      </c>
      <c r="D1981" s="18">
        <f t="shared" si="214"/>
        <v>65023.039853893628</v>
      </c>
      <c r="E1981" s="18">
        <f t="shared" si="215"/>
        <v>680067.43557378021</v>
      </c>
    </row>
    <row r="1982" spans="1:5">
      <c r="A1982" s="10">
        <f>7</f>
        <v>7</v>
      </c>
      <c r="B1982" s="18">
        <f t="shared" si="212"/>
        <v>65492.897227386246</v>
      </c>
      <c r="C1982" s="10">
        <f t="shared" si="213"/>
        <v>1</v>
      </c>
      <c r="D1982" s="18">
        <f t="shared" si="214"/>
        <v>65023.039853893628</v>
      </c>
      <c r="E1982" s="18">
        <f t="shared" si="215"/>
        <v>633011.77449678583</v>
      </c>
    </row>
    <row r="1983" spans="1:5">
      <c r="A1983" s="10">
        <f>8</f>
        <v>8</v>
      </c>
      <c r="B1983" s="18">
        <f t="shared" si="212"/>
        <v>65492.897227386246</v>
      </c>
      <c r="C1983" s="10">
        <f t="shared" si="213"/>
        <v>1</v>
      </c>
      <c r="D1983" s="18">
        <f t="shared" si="214"/>
        <v>65023.039853893628</v>
      </c>
      <c r="E1983" s="18">
        <f t="shared" si="215"/>
        <v>584544.44358748163</v>
      </c>
    </row>
    <row r="1984" spans="1:5">
      <c r="A1984" s="10">
        <f>9</f>
        <v>9</v>
      </c>
      <c r="B1984" s="18">
        <f t="shared" si="212"/>
        <v>65492.897227386246</v>
      </c>
      <c r="C1984" s="10">
        <f t="shared" si="213"/>
        <v>1</v>
      </c>
      <c r="D1984" s="18">
        <f t="shared" si="214"/>
        <v>65023.039853893628</v>
      </c>
      <c r="E1984" s="18">
        <f t="shared" si="215"/>
        <v>534623.09275089821</v>
      </c>
    </row>
    <row r="1985" spans="1:5">
      <c r="A1985" s="10">
        <f>10</f>
        <v>10</v>
      </c>
      <c r="B1985" s="18">
        <f t="shared" si="212"/>
        <v>65492.897227386246</v>
      </c>
      <c r="C1985" s="10">
        <f t="shared" si="213"/>
        <v>1</v>
      </c>
      <c r="D1985" s="18">
        <f t="shared" si="214"/>
        <v>65023.039853893628</v>
      </c>
      <c r="E1985" s="18">
        <f t="shared" si="215"/>
        <v>483204.10138921737</v>
      </c>
    </row>
    <row r="1986" spans="1:5">
      <c r="A1986" s="10">
        <f>11</f>
        <v>11</v>
      </c>
      <c r="B1986" s="18">
        <f t="shared" si="212"/>
        <v>65492.897227386246</v>
      </c>
      <c r="C1986" s="10">
        <f t="shared" si="213"/>
        <v>1</v>
      </c>
      <c r="D1986" s="18">
        <f t="shared" si="214"/>
        <v>65023.039853893628</v>
      </c>
      <c r="E1986" s="18">
        <f t="shared" si="215"/>
        <v>430242.54028668604</v>
      </c>
    </row>
    <row r="1987" spans="1:5">
      <c r="A1987" s="10">
        <f>12</f>
        <v>12</v>
      </c>
      <c r="B1987" s="18">
        <f t="shared" si="212"/>
        <v>65492.897227386246</v>
      </c>
      <c r="C1987" s="10">
        <f t="shared" si="213"/>
        <v>1</v>
      </c>
      <c r="D1987" s="18">
        <f t="shared" si="214"/>
        <v>65023.039853893628</v>
      </c>
      <c r="E1987" s="18">
        <f t="shared" si="215"/>
        <v>375692.13235107879</v>
      </c>
    </row>
    <row r="1988" spans="1:5">
      <c r="A1988" s="10">
        <f>13</f>
        <v>13</v>
      </c>
      <c r="B1988" s="18">
        <f t="shared" si="212"/>
        <v>65492.897227386246</v>
      </c>
      <c r="C1988" s="10">
        <f t="shared" si="213"/>
        <v>1</v>
      </c>
      <c r="D1988" s="18">
        <f t="shared" si="214"/>
        <v>65023.039853893628</v>
      </c>
      <c r="E1988" s="18">
        <f t="shared" si="215"/>
        <v>319505.21217740333</v>
      </c>
    </row>
    <row r="1989" spans="1:5">
      <c r="A1989" s="10">
        <f>14</f>
        <v>14</v>
      </c>
      <c r="B1989" s="18">
        <f t="shared" si="212"/>
        <v>65492.897227386246</v>
      </c>
      <c r="C1989" s="10">
        <f t="shared" si="213"/>
        <v>1</v>
      </c>
      <c r="D1989" s="18">
        <f t="shared" si="214"/>
        <v>65023.039853893628</v>
      </c>
      <c r="E1989" s="18">
        <f t="shared" si="215"/>
        <v>261632.68439851759</v>
      </c>
    </row>
    <row r="1990" spans="1:5">
      <c r="A1990" s="10">
        <f>15</f>
        <v>15</v>
      </c>
      <c r="B1990" s="18">
        <f t="shared" si="212"/>
        <v>65492.897227386246</v>
      </c>
      <c r="C1990" s="10">
        <f t="shared" si="213"/>
        <v>1</v>
      </c>
      <c r="D1990" s="18">
        <f t="shared" si="214"/>
        <v>65023.039853893628</v>
      </c>
      <c r="E1990" s="18">
        <f t="shared" si="215"/>
        <v>202023.98078626528</v>
      </c>
    </row>
    <row r="1991" spans="1:5">
      <c r="A1991" s="10">
        <f>16</f>
        <v>16</v>
      </c>
      <c r="B1991" s="18">
        <f t="shared" si="212"/>
        <v>65492.897227386246</v>
      </c>
      <c r="C1991" s="10">
        <f t="shared" si="213"/>
        <v>1</v>
      </c>
      <c r="D1991" s="18">
        <f t="shared" si="214"/>
        <v>65023.039853893628</v>
      </c>
      <c r="E1991" s="18">
        <f t="shared" si="215"/>
        <v>140627.01606564541</v>
      </c>
    </row>
    <row r="1992" spans="1:5">
      <c r="A1992" s="10">
        <f>17</f>
        <v>17</v>
      </c>
      <c r="B1992" s="18">
        <f t="shared" si="212"/>
        <v>65492.897227386246</v>
      </c>
      <c r="C1992" s="10">
        <f t="shared" si="213"/>
        <v>1</v>
      </c>
      <c r="D1992" s="18">
        <f t="shared" si="214"/>
        <v>65023.039853893628</v>
      </c>
      <c r="E1992" s="18">
        <f t="shared" si="215"/>
        <v>77388.142403406935</v>
      </c>
    </row>
    <row r="1993" spans="1:5">
      <c r="A1993" s="10">
        <f>18</f>
        <v>18</v>
      </c>
      <c r="B1993" s="18">
        <f t="shared" si="212"/>
        <v>65492.897227386246</v>
      </c>
      <c r="C1993" s="10">
        <f t="shared" si="213"/>
        <v>1</v>
      </c>
      <c r="D1993" s="18">
        <f t="shared" si="214"/>
        <v>65023.039853893628</v>
      </c>
      <c r="E1993" s="18">
        <f t="shared" si="215"/>
        <v>12252.102531301311</v>
      </c>
    </row>
    <row r="1994" spans="1:5">
      <c r="A1994" s="10">
        <f>19</f>
        <v>19</v>
      </c>
      <c r="B1994" s="18">
        <f t="shared" si="212"/>
        <v>12252.102531301311</v>
      </c>
      <c r="C1994" s="10">
        <f t="shared" si="213"/>
        <v>1</v>
      </c>
      <c r="D1994" s="18">
        <f t="shared" si="214"/>
        <v>11973.912018714604</v>
      </c>
      <c r="E1994" s="18">
        <f t="shared" si="215"/>
        <v>0</v>
      </c>
    </row>
    <row r="1995" spans="1:5">
      <c r="A1995" s="10">
        <f>20</f>
        <v>20</v>
      </c>
      <c r="B1995" s="18">
        <f t="shared" si="212"/>
        <v>0</v>
      </c>
      <c r="C1995" s="10">
        <f t="shared" si="213"/>
        <v>0</v>
      </c>
      <c r="D1995" s="18">
        <f t="shared" si="214"/>
        <v>11973.912018714604</v>
      </c>
      <c r="E1995" s="18">
        <f t="shared" si="215"/>
        <v>0</v>
      </c>
    </row>
    <row r="1996" spans="1:5">
      <c r="A1996" s="10">
        <f>21</f>
        <v>21</v>
      </c>
      <c r="B1996" s="18">
        <f t="shared" si="212"/>
        <v>0</v>
      </c>
      <c r="C1996" s="10">
        <f t="shared" si="213"/>
        <v>0</v>
      </c>
      <c r="D1996" s="18">
        <f t="shared" si="214"/>
        <v>11973.912018714604</v>
      </c>
      <c r="E1996" s="18">
        <f t="shared" si="215"/>
        <v>0</v>
      </c>
    </row>
    <row r="1997" spans="1:5">
      <c r="A1997" s="10">
        <f>22</f>
        <v>22</v>
      </c>
      <c r="B1997" s="18">
        <f t="shared" si="212"/>
        <v>0</v>
      </c>
      <c r="C1997" s="10">
        <f t="shared" si="213"/>
        <v>0</v>
      </c>
      <c r="D1997" s="18">
        <f t="shared" si="214"/>
        <v>11973.912018714604</v>
      </c>
      <c r="E1997" s="18">
        <f t="shared" si="215"/>
        <v>0</v>
      </c>
    </row>
    <row r="1998" spans="1:5">
      <c r="A1998" s="10">
        <f>23</f>
        <v>23</v>
      </c>
      <c r="B1998" s="18">
        <f t="shared" si="212"/>
        <v>0</v>
      </c>
      <c r="C1998" s="10">
        <f t="shared" si="213"/>
        <v>0</v>
      </c>
      <c r="D1998" s="18">
        <f t="shared" si="214"/>
        <v>11973.912018714604</v>
      </c>
      <c r="E1998" s="18">
        <f t="shared" si="215"/>
        <v>0</v>
      </c>
    </row>
    <row r="1999" spans="1:5">
      <c r="A1999" s="10">
        <f>24</f>
        <v>24</v>
      </c>
      <c r="B1999" s="18">
        <f t="shared" si="212"/>
        <v>0</v>
      </c>
      <c r="C1999" s="10">
        <f t="shared" si="213"/>
        <v>0</v>
      </c>
      <c r="D1999" s="18">
        <f t="shared" si="214"/>
        <v>11973.912018714604</v>
      </c>
      <c r="E1999" s="18">
        <f t="shared" si="215"/>
        <v>0</v>
      </c>
    </row>
    <row r="2000" spans="1:5">
      <c r="A2000" s="10">
        <f>25</f>
        <v>25</v>
      </c>
      <c r="B2000" s="18">
        <f t="shared" si="212"/>
        <v>0</v>
      </c>
      <c r="C2000" s="10">
        <f t="shared" si="213"/>
        <v>0</v>
      </c>
      <c r="D2000" s="18">
        <f t="shared" si="214"/>
        <v>11973.912018714604</v>
      </c>
      <c r="E2000" s="18">
        <f t="shared" si="215"/>
        <v>0</v>
      </c>
    </row>
    <row r="2001" spans="1:5">
      <c r="A2001" s="10">
        <f>26</f>
        <v>26</v>
      </c>
      <c r="B2001" s="18">
        <f t="shared" si="212"/>
        <v>0</v>
      </c>
      <c r="C2001" s="10">
        <f t="shared" si="213"/>
        <v>0</v>
      </c>
      <c r="D2001" s="18">
        <f t="shared" si="214"/>
        <v>11973.912018714604</v>
      </c>
      <c r="E2001" s="18">
        <f t="shared" si="215"/>
        <v>0</v>
      </c>
    </row>
    <row r="2002" spans="1:5">
      <c r="A2002" s="10">
        <f>27</f>
        <v>27</v>
      </c>
      <c r="B2002" s="18">
        <f t="shared" si="212"/>
        <v>0</v>
      </c>
      <c r="C2002" s="10">
        <f t="shared" si="213"/>
        <v>0</v>
      </c>
      <c r="D2002" s="18">
        <f t="shared" si="214"/>
        <v>11973.912018714604</v>
      </c>
      <c r="E2002" s="18">
        <f t="shared" si="215"/>
        <v>0</v>
      </c>
    </row>
    <row r="2003" spans="1:5">
      <c r="A2003" s="10">
        <f>28</f>
        <v>28</v>
      </c>
      <c r="B2003" s="18">
        <f t="shared" si="212"/>
        <v>0</v>
      </c>
      <c r="C2003" s="10">
        <f t="shared" si="213"/>
        <v>0</v>
      </c>
      <c r="D2003" s="18">
        <f t="shared" si="214"/>
        <v>11973.912018714604</v>
      </c>
      <c r="E2003" s="18">
        <f t="shared" si="215"/>
        <v>0</v>
      </c>
    </row>
    <row r="2004" spans="1:5">
      <c r="A2004" s="10">
        <f>29</f>
        <v>29</v>
      </c>
      <c r="B2004" s="18">
        <f t="shared" si="212"/>
        <v>0</v>
      </c>
      <c r="C2004" s="10">
        <f t="shared" si="213"/>
        <v>0</v>
      </c>
      <c r="D2004" s="18">
        <f t="shared" si="214"/>
        <v>11973.912018714604</v>
      </c>
      <c r="E2004" s="18">
        <f t="shared" si="215"/>
        <v>0</v>
      </c>
    </row>
    <row r="2005" spans="1:5">
      <c r="A2005" s="10">
        <f>30</f>
        <v>30</v>
      </c>
      <c r="B2005" s="18">
        <f t="shared" si="212"/>
        <v>0</v>
      </c>
      <c r="C2005" s="10">
        <f t="shared" si="213"/>
        <v>0</v>
      </c>
      <c r="D2005" s="18">
        <f t="shared" si="214"/>
        <v>11973.912018714604</v>
      </c>
      <c r="E2005" s="18">
        <f t="shared" si="215"/>
        <v>0</v>
      </c>
    </row>
    <row r="2006" spans="1:5">
      <c r="A2006" s="10">
        <f>31</f>
        <v>31</v>
      </c>
      <c r="B2006" s="18">
        <f t="shared" si="212"/>
        <v>0</v>
      </c>
      <c r="C2006" s="10">
        <f t="shared" si="213"/>
        <v>0</v>
      </c>
      <c r="D2006" s="18">
        <f t="shared" si="214"/>
        <v>11973.912018714604</v>
      </c>
      <c r="E2006" s="18">
        <f t="shared" si="215"/>
        <v>0</v>
      </c>
    </row>
    <row r="2007" spans="1:5">
      <c r="A2007" s="10">
        <f>32</f>
        <v>32</v>
      </c>
      <c r="B2007" s="18">
        <f t="shared" si="212"/>
        <v>0</v>
      </c>
      <c r="C2007" s="10">
        <f t="shared" si="213"/>
        <v>0</v>
      </c>
      <c r="D2007" s="18">
        <f t="shared" si="214"/>
        <v>11973.912018714604</v>
      </c>
      <c r="E2007" s="18">
        <f t="shared" si="215"/>
        <v>0</v>
      </c>
    </row>
    <row r="2008" spans="1:5">
      <c r="A2008" s="10">
        <f>33</f>
        <v>33</v>
      </c>
      <c r="B2008" s="18">
        <f t="shared" ref="B2008:B2035" si="216">IF(C2007=0,0,MIN(MAX(E2007,0),(($B$165-MIN(MAX(D2007,0),$B$165))+MAX(0,1*$B$165-(D2007-MIN(MAX(D2007,0),$B$165))))))</f>
        <v>0</v>
      </c>
      <c r="C2008" s="10">
        <f t="shared" ref="C2008:C2039" si="217">IF(AND(C2007=1,D2007+E2007&gt;0.000001,B2008&gt;=($B$165-MIN(MAX(D2007,0),$B$165))-0.000001),1,0)</f>
        <v>0</v>
      </c>
      <c r="D2008" s="18">
        <f t="shared" ref="D2008:D2039" si="218">IF(C2008=0,D2007,(D2007-$B$165+B2008)*(1+$B$7))</f>
        <v>11973.912018714604</v>
      </c>
      <c r="E2008" s="18">
        <f t="shared" ref="E2008:E2035" si="219">IF(C2008=0,E2007,(E2007-B2008)*(1+$B$6))</f>
        <v>0</v>
      </c>
    </row>
    <row r="2009" spans="1:5">
      <c r="A2009" s="10">
        <f>34</f>
        <v>34</v>
      </c>
      <c r="B2009" s="18">
        <f t="shared" si="216"/>
        <v>0</v>
      </c>
      <c r="C2009" s="10">
        <f t="shared" si="217"/>
        <v>0</v>
      </c>
      <c r="D2009" s="18">
        <f t="shared" si="218"/>
        <v>11973.912018714604</v>
      </c>
      <c r="E2009" s="18">
        <f t="shared" si="219"/>
        <v>0</v>
      </c>
    </row>
    <row r="2010" spans="1:5">
      <c r="A2010" s="10">
        <f>35</f>
        <v>35</v>
      </c>
      <c r="B2010" s="18">
        <f t="shared" si="216"/>
        <v>0</v>
      </c>
      <c r="C2010" s="10">
        <f t="shared" si="217"/>
        <v>0</v>
      </c>
      <c r="D2010" s="18">
        <f t="shared" si="218"/>
        <v>11973.912018714604</v>
      </c>
      <c r="E2010" s="18">
        <f t="shared" si="219"/>
        <v>0</v>
      </c>
    </row>
    <row r="2011" spans="1:5">
      <c r="A2011" s="10">
        <f>36</f>
        <v>36</v>
      </c>
      <c r="B2011" s="18">
        <f t="shared" si="216"/>
        <v>0</v>
      </c>
      <c r="C2011" s="10">
        <f t="shared" si="217"/>
        <v>0</v>
      </c>
      <c r="D2011" s="18">
        <f t="shared" si="218"/>
        <v>11973.912018714604</v>
      </c>
      <c r="E2011" s="18">
        <f t="shared" si="219"/>
        <v>0</v>
      </c>
    </row>
    <row r="2012" spans="1:5">
      <c r="A2012" s="10">
        <f>37</f>
        <v>37</v>
      </c>
      <c r="B2012" s="18">
        <f t="shared" si="216"/>
        <v>0</v>
      </c>
      <c r="C2012" s="10">
        <f t="shared" si="217"/>
        <v>0</v>
      </c>
      <c r="D2012" s="18">
        <f t="shared" si="218"/>
        <v>11973.912018714604</v>
      </c>
      <c r="E2012" s="18">
        <f t="shared" si="219"/>
        <v>0</v>
      </c>
    </row>
    <row r="2013" spans="1:5">
      <c r="A2013" s="10">
        <f>38</f>
        <v>38</v>
      </c>
      <c r="B2013" s="18">
        <f t="shared" si="216"/>
        <v>0</v>
      </c>
      <c r="C2013" s="10">
        <f t="shared" si="217"/>
        <v>0</v>
      </c>
      <c r="D2013" s="18">
        <f t="shared" si="218"/>
        <v>11973.912018714604</v>
      </c>
      <c r="E2013" s="18">
        <f t="shared" si="219"/>
        <v>0</v>
      </c>
    </row>
    <row r="2014" spans="1:5">
      <c r="A2014" s="10">
        <f>39</f>
        <v>39</v>
      </c>
      <c r="B2014" s="18">
        <f t="shared" si="216"/>
        <v>0</v>
      </c>
      <c r="C2014" s="10">
        <f t="shared" si="217"/>
        <v>0</v>
      </c>
      <c r="D2014" s="18">
        <f t="shared" si="218"/>
        <v>11973.912018714604</v>
      </c>
      <c r="E2014" s="18">
        <f t="shared" si="219"/>
        <v>0</v>
      </c>
    </row>
    <row r="2015" spans="1:5">
      <c r="A2015" s="10">
        <f>40</f>
        <v>40</v>
      </c>
      <c r="B2015" s="18">
        <f t="shared" si="216"/>
        <v>0</v>
      </c>
      <c r="C2015" s="10">
        <f t="shared" si="217"/>
        <v>0</v>
      </c>
      <c r="D2015" s="18">
        <f t="shared" si="218"/>
        <v>11973.912018714604</v>
      </c>
      <c r="E2015" s="18">
        <f t="shared" si="219"/>
        <v>0</v>
      </c>
    </row>
    <row r="2016" spans="1:5">
      <c r="A2016" s="10">
        <f>41</f>
        <v>41</v>
      </c>
      <c r="B2016" s="18">
        <f t="shared" si="216"/>
        <v>0</v>
      </c>
      <c r="C2016" s="10">
        <f t="shared" si="217"/>
        <v>0</v>
      </c>
      <c r="D2016" s="18">
        <f t="shared" si="218"/>
        <v>11973.912018714604</v>
      </c>
      <c r="E2016" s="18">
        <f t="shared" si="219"/>
        <v>0</v>
      </c>
    </row>
    <row r="2017" spans="1:5">
      <c r="A2017" s="10">
        <f>42</f>
        <v>42</v>
      </c>
      <c r="B2017" s="18">
        <f t="shared" si="216"/>
        <v>0</v>
      </c>
      <c r="C2017" s="10">
        <f t="shared" si="217"/>
        <v>0</v>
      </c>
      <c r="D2017" s="18">
        <f t="shared" si="218"/>
        <v>11973.912018714604</v>
      </c>
      <c r="E2017" s="18">
        <f t="shared" si="219"/>
        <v>0</v>
      </c>
    </row>
    <row r="2018" spans="1:5">
      <c r="A2018" s="10">
        <f>43</f>
        <v>43</v>
      </c>
      <c r="B2018" s="18">
        <f t="shared" si="216"/>
        <v>0</v>
      </c>
      <c r="C2018" s="10">
        <f t="shared" si="217"/>
        <v>0</v>
      </c>
      <c r="D2018" s="18">
        <f t="shared" si="218"/>
        <v>11973.912018714604</v>
      </c>
      <c r="E2018" s="18">
        <f t="shared" si="219"/>
        <v>0</v>
      </c>
    </row>
    <row r="2019" spans="1:5">
      <c r="A2019" s="10">
        <f>44</f>
        <v>44</v>
      </c>
      <c r="B2019" s="18">
        <f t="shared" si="216"/>
        <v>0</v>
      </c>
      <c r="C2019" s="10">
        <f t="shared" si="217"/>
        <v>0</v>
      </c>
      <c r="D2019" s="18">
        <f t="shared" si="218"/>
        <v>11973.912018714604</v>
      </c>
      <c r="E2019" s="18">
        <f t="shared" si="219"/>
        <v>0</v>
      </c>
    </row>
    <row r="2020" spans="1:5">
      <c r="A2020" s="10">
        <f>45</f>
        <v>45</v>
      </c>
      <c r="B2020" s="18">
        <f t="shared" si="216"/>
        <v>0</v>
      </c>
      <c r="C2020" s="10">
        <f t="shared" si="217"/>
        <v>0</v>
      </c>
      <c r="D2020" s="18">
        <f t="shared" si="218"/>
        <v>11973.912018714604</v>
      </c>
      <c r="E2020" s="18">
        <f t="shared" si="219"/>
        <v>0</v>
      </c>
    </row>
    <row r="2021" spans="1:5">
      <c r="A2021" s="10">
        <f>46</f>
        <v>46</v>
      </c>
      <c r="B2021" s="18">
        <f t="shared" si="216"/>
        <v>0</v>
      </c>
      <c r="C2021" s="10">
        <f t="shared" si="217"/>
        <v>0</v>
      </c>
      <c r="D2021" s="18">
        <f t="shared" si="218"/>
        <v>11973.912018714604</v>
      </c>
      <c r="E2021" s="18">
        <f t="shared" si="219"/>
        <v>0</v>
      </c>
    </row>
    <row r="2022" spans="1:5">
      <c r="A2022" s="10">
        <f>47</f>
        <v>47</v>
      </c>
      <c r="B2022" s="18">
        <f t="shared" si="216"/>
        <v>0</v>
      </c>
      <c r="C2022" s="10">
        <f t="shared" si="217"/>
        <v>0</v>
      </c>
      <c r="D2022" s="18">
        <f t="shared" si="218"/>
        <v>11973.912018714604</v>
      </c>
      <c r="E2022" s="18">
        <f t="shared" si="219"/>
        <v>0</v>
      </c>
    </row>
    <row r="2023" spans="1:5">
      <c r="A2023" s="10">
        <f>48</f>
        <v>48</v>
      </c>
      <c r="B2023" s="18">
        <f t="shared" si="216"/>
        <v>0</v>
      </c>
      <c r="C2023" s="10">
        <f t="shared" si="217"/>
        <v>0</v>
      </c>
      <c r="D2023" s="18">
        <f t="shared" si="218"/>
        <v>11973.912018714604</v>
      </c>
      <c r="E2023" s="18">
        <f t="shared" si="219"/>
        <v>0</v>
      </c>
    </row>
    <row r="2024" spans="1:5">
      <c r="A2024" s="10">
        <f>49</f>
        <v>49</v>
      </c>
      <c r="B2024" s="18">
        <f t="shared" si="216"/>
        <v>0</v>
      </c>
      <c r="C2024" s="10">
        <f t="shared" si="217"/>
        <v>0</v>
      </c>
      <c r="D2024" s="18">
        <f t="shared" si="218"/>
        <v>11973.912018714604</v>
      </c>
      <c r="E2024" s="18">
        <f t="shared" si="219"/>
        <v>0</v>
      </c>
    </row>
    <row r="2025" spans="1:5">
      <c r="A2025" s="10">
        <f>50</f>
        <v>50</v>
      </c>
      <c r="B2025" s="18">
        <f t="shared" si="216"/>
        <v>0</v>
      </c>
      <c r="C2025" s="10">
        <f t="shared" si="217"/>
        <v>0</v>
      </c>
      <c r="D2025" s="18">
        <f t="shared" si="218"/>
        <v>11973.912018714604</v>
      </c>
      <c r="E2025" s="18">
        <f t="shared" si="219"/>
        <v>0</v>
      </c>
    </row>
    <row r="2026" spans="1:5">
      <c r="A2026" s="10">
        <f>51</f>
        <v>51</v>
      </c>
      <c r="B2026" s="18">
        <f t="shared" si="216"/>
        <v>0</v>
      </c>
      <c r="C2026" s="10">
        <f t="shared" si="217"/>
        <v>0</v>
      </c>
      <c r="D2026" s="18">
        <f t="shared" si="218"/>
        <v>11973.912018714604</v>
      </c>
      <c r="E2026" s="18">
        <f t="shared" si="219"/>
        <v>0</v>
      </c>
    </row>
    <row r="2027" spans="1:5">
      <c r="A2027" s="10">
        <f>52</f>
        <v>52</v>
      </c>
      <c r="B2027" s="18">
        <f t="shared" si="216"/>
        <v>0</v>
      </c>
      <c r="C2027" s="10">
        <f t="shared" si="217"/>
        <v>0</v>
      </c>
      <c r="D2027" s="18">
        <f t="shared" si="218"/>
        <v>11973.912018714604</v>
      </c>
      <c r="E2027" s="18">
        <f t="shared" si="219"/>
        <v>0</v>
      </c>
    </row>
    <row r="2028" spans="1:5">
      <c r="A2028" s="10">
        <f>53</f>
        <v>53</v>
      </c>
      <c r="B2028" s="18">
        <f t="shared" si="216"/>
        <v>0</v>
      </c>
      <c r="C2028" s="10">
        <f t="shared" si="217"/>
        <v>0</v>
      </c>
      <c r="D2028" s="18">
        <f t="shared" si="218"/>
        <v>11973.912018714604</v>
      </c>
      <c r="E2028" s="18">
        <f t="shared" si="219"/>
        <v>0</v>
      </c>
    </row>
    <row r="2029" spans="1:5">
      <c r="A2029" s="10">
        <f>54</f>
        <v>54</v>
      </c>
      <c r="B2029" s="18">
        <f t="shared" si="216"/>
        <v>0</v>
      </c>
      <c r="C2029" s="10">
        <f t="shared" si="217"/>
        <v>0</v>
      </c>
      <c r="D2029" s="18">
        <f t="shared" si="218"/>
        <v>11973.912018714604</v>
      </c>
      <c r="E2029" s="18">
        <f t="shared" si="219"/>
        <v>0</v>
      </c>
    </row>
    <row r="2030" spans="1:5">
      <c r="A2030" s="10">
        <f>55</f>
        <v>55</v>
      </c>
      <c r="B2030" s="18">
        <f t="shared" si="216"/>
        <v>0</v>
      </c>
      <c r="C2030" s="10">
        <f t="shared" si="217"/>
        <v>0</v>
      </c>
      <c r="D2030" s="18">
        <f t="shared" si="218"/>
        <v>11973.912018714604</v>
      </c>
      <c r="E2030" s="18">
        <f t="shared" si="219"/>
        <v>0</v>
      </c>
    </row>
    <row r="2031" spans="1:5">
      <c r="A2031" s="10">
        <f>56</f>
        <v>56</v>
      </c>
      <c r="B2031" s="18">
        <f t="shared" si="216"/>
        <v>0</v>
      </c>
      <c r="C2031" s="10">
        <f t="shared" si="217"/>
        <v>0</v>
      </c>
      <c r="D2031" s="18">
        <f t="shared" si="218"/>
        <v>11973.912018714604</v>
      </c>
      <c r="E2031" s="18">
        <f t="shared" si="219"/>
        <v>0</v>
      </c>
    </row>
    <row r="2032" spans="1:5">
      <c r="A2032" s="10">
        <f>57</f>
        <v>57</v>
      </c>
      <c r="B2032" s="18">
        <f t="shared" si="216"/>
        <v>0</v>
      </c>
      <c r="C2032" s="10">
        <f t="shared" si="217"/>
        <v>0</v>
      </c>
      <c r="D2032" s="18">
        <f t="shared" si="218"/>
        <v>11973.912018714604</v>
      </c>
      <c r="E2032" s="18">
        <f t="shared" si="219"/>
        <v>0</v>
      </c>
    </row>
    <row r="2033" spans="1:5">
      <c r="A2033" s="10">
        <f>58</f>
        <v>58</v>
      </c>
      <c r="B2033" s="18">
        <f t="shared" si="216"/>
        <v>0</v>
      </c>
      <c r="C2033" s="10">
        <f t="shared" si="217"/>
        <v>0</v>
      </c>
      <c r="D2033" s="18">
        <f t="shared" si="218"/>
        <v>11973.912018714604</v>
      </c>
      <c r="E2033" s="18">
        <f t="shared" si="219"/>
        <v>0</v>
      </c>
    </row>
    <row r="2034" spans="1:5">
      <c r="A2034" s="10">
        <f>59</f>
        <v>59</v>
      </c>
      <c r="B2034" s="18">
        <f t="shared" si="216"/>
        <v>0</v>
      </c>
      <c r="C2034" s="10">
        <f t="shared" si="217"/>
        <v>0</v>
      </c>
      <c r="D2034" s="18">
        <f t="shared" si="218"/>
        <v>11973.912018714604</v>
      </c>
      <c r="E2034" s="18">
        <f t="shared" si="219"/>
        <v>0</v>
      </c>
    </row>
    <row r="2035" spans="1:5">
      <c r="A2035" s="10">
        <f>60</f>
        <v>60</v>
      </c>
      <c r="B2035" s="18">
        <f t="shared" si="216"/>
        <v>0</v>
      </c>
      <c r="C2035" s="10">
        <f t="shared" si="217"/>
        <v>0</v>
      </c>
      <c r="D2035" s="18">
        <f t="shared" si="218"/>
        <v>11973.912018714604</v>
      </c>
      <c r="E2035" s="18">
        <f t="shared" si="219"/>
        <v>0</v>
      </c>
    </row>
    <row r="2036" spans="1:5">
      <c r="B2036" s="10">
        <f>SUM(C1976:C2035)</f>
        <v>19</v>
      </c>
    </row>
    <row r="2038" spans="1:5">
      <c r="A2038" s="2" t="s">
        <v>307</v>
      </c>
    </row>
    <row r="2040" spans="1:5">
      <c r="A2040" s="25" t="s">
        <v>262</v>
      </c>
      <c r="B2040" s="25" t="s">
        <v>263</v>
      </c>
      <c r="C2040" s="25" t="s">
        <v>305</v>
      </c>
      <c r="D2040" s="25" t="s">
        <v>264</v>
      </c>
      <c r="E2040" s="25" t="s">
        <v>265</v>
      </c>
    </row>
    <row r="2041" spans="1:5">
      <c r="A2041" s="3">
        <v>0</v>
      </c>
      <c r="C2041" s="10">
        <f>1</f>
        <v>1</v>
      </c>
      <c r="D2041" s="18">
        <f>MIN(2*$B$165,$B$5)</f>
        <v>130515.93708127987</v>
      </c>
      <c r="E2041" s="18">
        <f>$B$5-D2041</f>
        <v>869484.06291872007</v>
      </c>
    </row>
    <row r="2042" spans="1:5">
      <c r="A2042" s="10">
        <f>1</f>
        <v>1</v>
      </c>
      <c r="B2042" s="18">
        <f t="shared" ref="B2042:B2073" si="220">IF(C2041=0,0,MIN(MAX(E2041,0),(($B$165-MIN(MAX(D2041,0),$B$165))+MAX(0,2*$B$165-(D2041-MIN(MAX(D2041,0),$B$165))))))</f>
        <v>65257.968540639937</v>
      </c>
      <c r="C2042" s="10">
        <f t="shared" ref="C2042:C2073" si="221">IF(AND(C2041=1,D2041+E2041&gt;0.000001,B2042&gt;=($B$165-MIN(MAX(D2041,0),$B$165))-0.000001),1,0)</f>
        <v>1</v>
      </c>
      <c r="D2042" s="18">
        <f t="shared" ref="D2042:D2073" si="222">IF(C2042=0,D2041,(D2041-$B$165+B2042)*(1+$B$7))</f>
        <v>130046.07970778726</v>
      </c>
      <c r="E2042" s="18">
        <f t="shared" ref="E2042:E2073" si="223">IF(C2042=0,E2041,(E2041-B2042)*(1+$B$6))</f>
        <v>828352.87720942253</v>
      </c>
    </row>
    <row r="2043" spans="1:5">
      <c r="A2043" s="10">
        <f>2</f>
        <v>2</v>
      </c>
      <c r="B2043" s="18">
        <f t="shared" si="220"/>
        <v>65727.825914132554</v>
      </c>
      <c r="C2043" s="10">
        <f t="shared" si="221"/>
        <v>1</v>
      </c>
      <c r="D2043" s="18">
        <f t="shared" si="222"/>
        <v>130046.07970778726</v>
      </c>
      <c r="E2043" s="18">
        <f t="shared" si="223"/>
        <v>785503.80283414875</v>
      </c>
    </row>
    <row r="2044" spans="1:5">
      <c r="A2044" s="10">
        <f>3</f>
        <v>3</v>
      </c>
      <c r="B2044" s="18">
        <f t="shared" si="220"/>
        <v>65727.825914132554</v>
      </c>
      <c r="C2044" s="10">
        <f t="shared" si="221"/>
        <v>1</v>
      </c>
      <c r="D2044" s="18">
        <f t="shared" si="222"/>
        <v>130046.07970778726</v>
      </c>
      <c r="E2044" s="18">
        <f t="shared" si="223"/>
        <v>741369.25622761669</v>
      </c>
    </row>
    <row r="2045" spans="1:5">
      <c r="A2045" s="10">
        <f>4</f>
        <v>4</v>
      </c>
      <c r="B2045" s="18">
        <f t="shared" si="220"/>
        <v>65727.825914132554</v>
      </c>
      <c r="C2045" s="10">
        <f t="shared" si="221"/>
        <v>1</v>
      </c>
      <c r="D2045" s="18">
        <f t="shared" si="222"/>
        <v>130046.07970778726</v>
      </c>
      <c r="E2045" s="18">
        <f t="shared" si="223"/>
        <v>695910.67322288873</v>
      </c>
    </row>
    <row r="2046" spans="1:5">
      <c r="A2046" s="10">
        <f>5</f>
        <v>5</v>
      </c>
      <c r="B2046" s="18">
        <f t="shared" si="220"/>
        <v>65727.825914132554</v>
      </c>
      <c r="C2046" s="10">
        <f t="shared" si="221"/>
        <v>1</v>
      </c>
      <c r="D2046" s="18">
        <f t="shared" si="222"/>
        <v>130046.07970778726</v>
      </c>
      <c r="E2046" s="18">
        <f t="shared" si="223"/>
        <v>649088.33272801887</v>
      </c>
    </row>
    <row r="2047" spans="1:5">
      <c r="A2047" s="10">
        <f>6</f>
        <v>6</v>
      </c>
      <c r="B2047" s="18">
        <f t="shared" si="220"/>
        <v>65727.825914132554</v>
      </c>
      <c r="C2047" s="10">
        <f t="shared" si="221"/>
        <v>1</v>
      </c>
      <c r="D2047" s="18">
        <f t="shared" si="222"/>
        <v>130046.07970778726</v>
      </c>
      <c r="E2047" s="18">
        <f t="shared" si="223"/>
        <v>600861.32201830298</v>
      </c>
    </row>
    <row r="2048" spans="1:5">
      <c r="A2048" s="10">
        <f>7</f>
        <v>7</v>
      </c>
      <c r="B2048" s="18">
        <f t="shared" si="220"/>
        <v>65727.825914132554</v>
      </c>
      <c r="C2048" s="10">
        <f t="shared" si="221"/>
        <v>1</v>
      </c>
      <c r="D2048" s="18">
        <f t="shared" si="222"/>
        <v>130046.07970778726</v>
      </c>
      <c r="E2048" s="18">
        <f t="shared" si="223"/>
        <v>551187.50098729553</v>
      </c>
    </row>
    <row r="2049" spans="1:5">
      <c r="A2049" s="10">
        <f>8</f>
        <v>8</v>
      </c>
      <c r="B2049" s="18">
        <f t="shared" si="220"/>
        <v>65727.825914132554</v>
      </c>
      <c r="C2049" s="10">
        <f t="shared" si="221"/>
        <v>1</v>
      </c>
      <c r="D2049" s="18">
        <f t="shared" si="222"/>
        <v>130046.07970778726</v>
      </c>
      <c r="E2049" s="18">
        <f t="shared" si="223"/>
        <v>500023.46532535792</v>
      </c>
    </row>
    <row r="2050" spans="1:5">
      <c r="A2050" s="10">
        <f>9</f>
        <v>9</v>
      </c>
      <c r="B2050" s="18">
        <f t="shared" si="220"/>
        <v>65727.825914132554</v>
      </c>
      <c r="C2050" s="10">
        <f t="shared" si="221"/>
        <v>1</v>
      </c>
      <c r="D2050" s="18">
        <f t="shared" si="222"/>
        <v>130046.07970778726</v>
      </c>
      <c r="E2050" s="18">
        <f t="shared" si="223"/>
        <v>447324.50859356212</v>
      </c>
    </row>
    <row r="2051" spans="1:5">
      <c r="A2051" s="10">
        <f>10</f>
        <v>10</v>
      </c>
      <c r="B2051" s="18">
        <f t="shared" si="220"/>
        <v>65727.825914132554</v>
      </c>
      <c r="C2051" s="10">
        <f t="shared" si="221"/>
        <v>1</v>
      </c>
      <c r="D2051" s="18">
        <f t="shared" si="222"/>
        <v>130046.07970778726</v>
      </c>
      <c r="E2051" s="18">
        <f t="shared" si="223"/>
        <v>393044.58315981244</v>
      </c>
    </row>
    <row r="2052" spans="1:5">
      <c r="A2052" s="10">
        <f>11</f>
        <v>11</v>
      </c>
      <c r="B2052" s="18">
        <f t="shared" si="220"/>
        <v>65727.825914132554</v>
      </c>
      <c r="C2052" s="10">
        <f t="shared" si="221"/>
        <v>1</v>
      </c>
      <c r="D2052" s="18">
        <f t="shared" si="222"/>
        <v>130046.07970778726</v>
      </c>
      <c r="E2052" s="18">
        <f t="shared" si="223"/>
        <v>337136.25996305025</v>
      </c>
    </row>
    <row r="2053" spans="1:5">
      <c r="A2053" s="10">
        <f>12</f>
        <v>12</v>
      </c>
      <c r="B2053" s="18">
        <f t="shared" si="220"/>
        <v>65727.825914132554</v>
      </c>
      <c r="C2053" s="10">
        <f t="shared" si="221"/>
        <v>1</v>
      </c>
      <c r="D2053" s="18">
        <f t="shared" si="222"/>
        <v>130046.07970778726</v>
      </c>
      <c r="E2053" s="18">
        <f t="shared" si="223"/>
        <v>279550.68707038526</v>
      </c>
    </row>
    <row r="2054" spans="1:5">
      <c r="A2054" s="10">
        <f>13</f>
        <v>13</v>
      </c>
      <c r="B2054" s="18">
        <f t="shared" si="220"/>
        <v>65727.825914132554</v>
      </c>
      <c r="C2054" s="10">
        <f t="shared" si="221"/>
        <v>1</v>
      </c>
      <c r="D2054" s="18">
        <f t="shared" si="222"/>
        <v>130046.07970778726</v>
      </c>
      <c r="E2054" s="18">
        <f t="shared" si="223"/>
        <v>220237.54699094029</v>
      </c>
    </row>
    <row r="2055" spans="1:5">
      <c r="A2055" s="10">
        <f>14</f>
        <v>14</v>
      </c>
      <c r="B2055" s="18">
        <f t="shared" si="220"/>
        <v>65727.825914132554</v>
      </c>
      <c r="C2055" s="10">
        <f t="shared" si="221"/>
        <v>1</v>
      </c>
      <c r="D2055" s="18">
        <f t="shared" si="222"/>
        <v>130046.07970778726</v>
      </c>
      <c r="E2055" s="18">
        <f t="shared" si="223"/>
        <v>159145.01270911196</v>
      </c>
    </row>
    <row r="2056" spans="1:5">
      <c r="A2056" s="10">
        <f>15</f>
        <v>15</v>
      </c>
      <c r="B2056" s="18">
        <f t="shared" si="220"/>
        <v>65727.825914132554</v>
      </c>
      <c r="C2056" s="10">
        <f t="shared" si="221"/>
        <v>1</v>
      </c>
      <c r="D2056" s="18">
        <f t="shared" si="222"/>
        <v>130046.07970778726</v>
      </c>
      <c r="E2056" s="18">
        <f t="shared" si="223"/>
        <v>96219.702398828798</v>
      </c>
    </row>
    <row r="2057" spans="1:5">
      <c r="A2057" s="10">
        <f>16</f>
        <v>16</v>
      </c>
      <c r="B2057" s="18">
        <f t="shared" si="220"/>
        <v>65727.825914132554</v>
      </c>
      <c r="C2057" s="10">
        <f t="shared" si="221"/>
        <v>1</v>
      </c>
      <c r="D2057" s="18">
        <f t="shared" si="222"/>
        <v>130046.07970778726</v>
      </c>
      <c r="E2057" s="18">
        <f t="shared" si="223"/>
        <v>31406.632779237134</v>
      </c>
    </row>
    <row r="2058" spans="1:5">
      <c r="A2058" s="10">
        <f>17</f>
        <v>17</v>
      </c>
      <c r="B2058" s="18">
        <f t="shared" si="220"/>
        <v>31406.632779237134</v>
      </c>
      <c r="C2058" s="10">
        <f t="shared" si="221"/>
        <v>1</v>
      </c>
      <c r="D2058" s="18">
        <f t="shared" si="222"/>
        <v>95848.442868177459</v>
      </c>
      <c r="E2058" s="18">
        <f t="shared" si="223"/>
        <v>0</v>
      </c>
    </row>
    <row r="2059" spans="1:5">
      <c r="A2059" s="10">
        <f>18</f>
        <v>18</v>
      </c>
      <c r="B2059" s="18">
        <f t="shared" si="220"/>
        <v>0</v>
      </c>
      <c r="C2059" s="10">
        <f t="shared" si="221"/>
        <v>1</v>
      </c>
      <c r="D2059" s="18">
        <f t="shared" si="222"/>
        <v>30480.348619958386</v>
      </c>
      <c r="E2059" s="18">
        <f t="shared" si="223"/>
        <v>0</v>
      </c>
    </row>
    <row r="2060" spans="1:5">
      <c r="A2060" s="10">
        <f>19</f>
        <v>19</v>
      </c>
      <c r="B2060" s="18">
        <f t="shared" si="220"/>
        <v>0</v>
      </c>
      <c r="C2060" s="10">
        <f t="shared" si="221"/>
        <v>0</v>
      </c>
      <c r="D2060" s="18">
        <f t="shared" si="222"/>
        <v>30480.348619958386</v>
      </c>
      <c r="E2060" s="18">
        <f t="shared" si="223"/>
        <v>0</v>
      </c>
    </row>
    <row r="2061" spans="1:5">
      <c r="A2061" s="10">
        <f>20</f>
        <v>20</v>
      </c>
      <c r="B2061" s="18">
        <f t="shared" si="220"/>
        <v>0</v>
      </c>
      <c r="C2061" s="10">
        <f t="shared" si="221"/>
        <v>0</v>
      </c>
      <c r="D2061" s="18">
        <f t="shared" si="222"/>
        <v>30480.348619958386</v>
      </c>
      <c r="E2061" s="18">
        <f t="shared" si="223"/>
        <v>0</v>
      </c>
    </row>
    <row r="2062" spans="1:5">
      <c r="A2062" s="10">
        <f>21</f>
        <v>21</v>
      </c>
      <c r="B2062" s="18">
        <f t="shared" si="220"/>
        <v>0</v>
      </c>
      <c r="C2062" s="10">
        <f t="shared" si="221"/>
        <v>0</v>
      </c>
      <c r="D2062" s="18">
        <f t="shared" si="222"/>
        <v>30480.348619958386</v>
      </c>
      <c r="E2062" s="18">
        <f t="shared" si="223"/>
        <v>0</v>
      </c>
    </row>
    <row r="2063" spans="1:5">
      <c r="A2063" s="10">
        <f>22</f>
        <v>22</v>
      </c>
      <c r="B2063" s="18">
        <f t="shared" si="220"/>
        <v>0</v>
      </c>
      <c r="C2063" s="10">
        <f t="shared" si="221"/>
        <v>0</v>
      </c>
      <c r="D2063" s="18">
        <f t="shared" si="222"/>
        <v>30480.348619958386</v>
      </c>
      <c r="E2063" s="18">
        <f t="shared" si="223"/>
        <v>0</v>
      </c>
    </row>
    <row r="2064" spans="1:5">
      <c r="A2064" s="10">
        <f>23</f>
        <v>23</v>
      </c>
      <c r="B2064" s="18">
        <f t="shared" si="220"/>
        <v>0</v>
      </c>
      <c r="C2064" s="10">
        <f t="shared" si="221"/>
        <v>0</v>
      </c>
      <c r="D2064" s="18">
        <f t="shared" si="222"/>
        <v>30480.348619958386</v>
      </c>
      <c r="E2064" s="18">
        <f t="shared" si="223"/>
        <v>0</v>
      </c>
    </row>
    <row r="2065" spans="1:5">
      <c r="A2065" s="10">
        <f>24</f>
        <v>24</v>
      </c>
      <c r="B2065" s="18">
        <f t="shared" si="220"/>
        <v>0</v>
      </c>
      <c r="C2065" s="10">
        <f t="shared" si="221"/>
        <v>0</v>
      </c>
      <c r="D2065" s="18">
        <f t="shared" si="222"/>
        <v>30480.348619958386</v>
      </c>
      <c r="E2065" s="18">
        <f t="shared" si="223"/>
        <v>0</v>
      </c>
    </row>
    <row r="2066" spans="1:5">
      <c r="A2066" s="10">
        <f>25</f>
        <v>25</v>
      </c>
      <c r="B2066" s="18">
        <f t="shared" si="220"/>
        <v>0</v>
      </c>
      <c r="C2066" s="10">
        <f t="shared" si="221"/>
        <v>0</v>
      </c>
      <c r="D2066" s="18">
        <f t="shared" si="222"/>
        <v>30480.348619958386</v>
      </c>
      <c r="E2066" s="18">
        <f t="shared" si="223"/>
        <v>0</v>
      </c>
    </row>
    <row r="2067" spans="1:5">
      <c r="A2067" s="10">
        <f>26</f>
        <v>26</v>
      </c>
      <c r="B2067" s="18">
        <f t="shared" si="220"/>
        <v>0</v>
      </c>
      <c r="C2067" s="10">
        <f t="shared" si="221"/>
        <v>0</v>
      </c>
      <c r="D2067" s="18">
        <f t="shared" si="222"/>
        <v>30480.348619958386</v>
      </c>
      <c r="E2067" s="18">
        <f t="shared" si="223"/>
        <v>0</v>
      </c>
    </row>
    <row r="2068" spans="1:5">
      <c r="A2068" s="10">
        <f>27</f>
        <v>27</v>
      </c>
      <c r="B2068" s="18">
        <f t="shared" si="220"/>
        <v>0</v>
      </c>
      <c r="C2068" s="10">
        <f t="shared" si="221"/>
        <v>0</v>
      </c>
      <c r="D2068" s="18">
        <f t="shared" si="222"/>
        <v>30480.348619958386</v>
      </c>
      <c r="E2068" s="18">
        <f t="shared" si="223"/>
        <v>0</v>
      </c>
    </row>
    <row r="2069" spans="1:5">
      <c r="A2069" s="10">
        <f>28</f>
        <v>28</v>
      </c>
      <c r="B2069" s="18">
        <f t="shared" si="220"/>
        <v>0</v>
      </c>
      <c r="C2069" s="10">
        <f t="shared" si="221"/>
        <v>0</v>
      </c>
      <c r="D2069" s="18">
        <f t="shared" si="222"/>
        <v>30480.348619958386</v>
      </c>
      <c r="E2069" s="18">
        <f t="shared" si="223"/>
        <v>0</v>
      </c>
    </row>
    <row r="2070" spans="1:5">
      <c r="A2070" s="10">
        <f>29</f>
        <v>29</v>
      </c>
      <c r="B2070" s="18">
        <f t="shared" si="220"/>
        <v>0</v>
      </c>
      <c r="C2070" s="10">
        <f t="shared" si="221"/>
        <v>0</v>
      </c>
      <c r="D2070" s="18">
        <f t="shared" si="222"/>
        <v>30480.348619958386</v>
      </c>
      <c r="E2070" s="18">
        <f t="shared" si="223"/>
        <v>0</v>
      </c>
    </row>
    <row r="2071" spans="1:5">
      <c r="A2071" s="10">
        <f>30</f>
        <v>30</v>
      </c>
      <c r="B2071" s="18">
        <f t="shared" si="220"/>
        <v>0</v>
      </c>
      <c r="C2071" s="10">
        <f t="shared" si="221"/>
        <v>0</v>
      </c>
      <c r="D2071" s="18">
        <f t="shared" si="222"/>
        <v>30480.348619958386</v>
      </c>
      <c r="E2071" s="18">
        <f t="shared" si="223"/>
        <v>0</v>
      </c>
    </row>
    <row r="2072" spans="1:5">
      <c r="A2072" s="10">
        <f>31</f>
        <v>31</v>
      </c>
      <c r="B2072" s="18">
        <f t="shared" si="220"/>
        <v>0</v>
      </c>
      <c r="C2072" s="10">
        <f t="shared" si="221"/>
        <v>0</v>
      </c>
      <c r="D2072" s="18">
        <f t="shared" si="222"/>
        <v>30480.348619958386</v>
      </c>
      <c r="E2072" s="18">
        <f t="shared" si="223"/>
        <v>0</v>
      </c>
    </row>
    <row r="2073" spans="1:5">
      <c r="A2073" s="10">
        <f>32</f>
        <v>32</v>
      </c>
      <c r="B2073" s="18">
        <f t="shared" si="220"/>
        <v>0</v>
      </c>
      <c r="C2073" s="10">
        <f t="shared" si="221"/>
        <v>0</v>
      </c>
      <c r="D2073" s="18">
        <f t="shared" si="222"/>
        <v>30480.348619958386</v>
      </c>
      <c r="E2073" s="18">
        <f t="shared" si="223"/>
        <v>0</v>
      </c>
    </row>
    <row r="2074" spans="1:5">
      <c r="A2074" s="10">
        <f>33</f>
        <v>33</v>
      </c>
      <c r="B2074" s="18">
        <f t="shared" ref="B2074:B2101" si="224">IF(C2073=0,0,MIN(MAX(E2073,0),(($B$165-MIN(MAX(D2073,0),$B$165))+MAX(0,2*$B$165-(D2073-MIN(MAX(D2073,0),$B$165))))))</f>
        <v>0</v>
      </c>
      <c r="C2074" s="10">
        <f t="shared" ref="C2074:C2105" si="225">IF(AND(C2073=1,D2073+E2073&gt;0.000001,B2074&gt;=($B$165-MIN(MAX(D2073,0),$B$165))-0.000001),1,0)</f>
        <v>0</v>
      </c>
      <c r="D2074" s="18">
        <f t="shared" ref="D2074:D2105" si="226">IF(C2074=0,D2073,(D2073-$B$165+B2074)*(1+$B$7))</f>
        <v>30480.348619958386</v>
      </c>
      <c r="E2074" s="18">
        <f t="shared" ref="E2074:E2101" si="227">IF(C2074=0,E2073,(E2073-B2074)*(1+$B$6))</f>
        <v>0</v>
      </c>
    </row>
    <row r="2075" spans="1:5">
      <c r="A2075" s="10">
        <f>34</f>
        <v>34</v>
      </c>
      <c r="B2075" s="18">
        <f t="shared" si="224"/>
        <v>0</v>
      </c>
      <c r="C2075" s="10">
        <f t="shared" si="225"/>
        <v>0</v>
      </c>
      <c r="D2075" s="18">
        <f t="shared" si="226"/>
        <v>30480.348619958386</v>
      </c>
      <c r="E2075" s="18">
        <f t="shared" si="227"/>
        <v>0</v>
      </c>
    </row>
    <row r="2076" spans="1:5">
      <c r="A2076" s="10">
        <f>35</f>
        <v>35</v>
      </c>
      <c r="B2076" s="18">
        <f t="shared" si="224"/>
        <v>0</v>
      </c>
      <c r="C2076" s="10">
        <f t="shared" si="225"/>
        <v>0</v>
      </c>
      <c r="D2076" s="18">
        <f t="shared" si="226"/>
        <v>30480.348619958386</v>
      </c>
      <c r="E2076" s="18">
        <f t="shared" si="227"/>
        <v>0</v>
      </c>
    </row>
    <row r="2077" spans="1:5">
      <c r="A2077" s="10">
        <f>36</f>
        <v>36</v>
      </c>
      <c r="B2077" s="18">
        <f t="shared" si="224"/>
        <v>0</v>
      </c>
      <c r="C2077" s="10">
        <f t="shared" si="225"/>
        <v>0</v>
      </c>
      <c r="D2077" s="18">
        <f t="shared" si="226"/>
        <v>30480.348619958386</v>
      </c>
      <c r="E2077" s="18">
        <f t="shared" si="227"/>
        <v>0</v>
      </c>
    </row>
    <row r="2078" spans="1:5">
      <c r="A2078" s="10">
        <f>37</f>
        <v>37</v>
      </c>
      <c r="B2078" s="18">
        <f t="shared" si="224"/>
        <v>0</v>
      </c>
      <c r="C2078" s="10">
        <f t="shared" si="225"/>
        <v>0</v>
      </c>
      <c r="D2078" s="18">
        <f t="shared" si="226"/>
        <v>30480.348619958386</v>
      </c>
      <c r="E2078" s="18">
        <f t="shared" si="227"/>
        <v>0</v>
      </c>
    </row>
    <row r="2079" spans="1:5">
      <c r="A2079" s="10">
        <f>38</f>
        <v>38</v>
      </c>
      <c r="B2079" s="18">
        <f t="shared" si="224"/>
        <v>0</v>
      </c>
      <c r="C2079" s="10">
        <f t="shared" si="225"/>
        <v>0</v>
      </c>
      <c r="D2079" s="18">
        <f t="shared" si="226"/>
        <v>30480.348619958386</v>
      </c>
      <c r="E2079" s="18">
        <f t="shared" si="227"/>
        <v>0</v>
      </c>
    </row>
    <row r="2080" spans="1:5">
      <c r="A2080" s="10">
        <f>39</f>
        <v>39</v>
      </c>
      <c r="B2080" s="18">
        <f t="shared" si="224"/>
        <v>0</v>
      </c>
      <c r="C2080" s="10">
        <f t="shared" si="225"/>
        <v>0</v>
      </c>
      <c r="D2080" s="18">
        <f t="shared" si="226"/>
        <v>30480.348619958386</v>
      </c>
      <c r="E2080" s="18">
        <f t="shared" si="227"/>
        <v>0</v>
      </c>
    </row>
    <row r="2081" spans="1:5">
      <c r="A2081" s="10">
        <f>40</f>
        <v>40</v>
      </c>
      <c r="B2081" s="18">
        <f t="shared" si="224"/>
        <v>0</v>
      </c>
      <c r="C2081" s="10">
        <f t="shared" si="225"/>
        <v>0</v>
      </c>
      <c r="D2081" s="18">
        <f t="shared" si="226"/>
        <v>30480.348619958386</v>
      </c>
      <c r="E2081" s="18">
        <f t="shared" si="227"/>
        <v>0</v>
      </c>
    </row>
    <row r="2082" spans="1:5">
      <c r="A2082" s="10">
        <f>41</f>
        <v>41</v>
      </c>
      <c r="B2082" s="18">
        <f t="shared" si="224"/>
        <v>0</v>
      </c>
      <c r="C2082" s="10">
        <f t="shared" si="225"/>
        <v>0</v>
      </c>
      <c r="D2082" s="18">
        <f t="shared" si="226"/>
        <v>30480.348619958386</v>
      </c>
      <c r="E2082" s="18">
        <f t="shared" si="227"/>
        <v>0</v>
      </c>
    </row>
    <row r="2083" spans="1:5">
      <c r="A2083" s="10">
        <f>42</f>
        <v>42</v>
      </c>
      <c r="B2083" s="18">
        <f t="shared" si="224"/>
        <v>0</v>
      </c>
      <c r="C2083" s="10">
        <f t="shared" si="225"/>
        <v>0</v>
      </c>
      <c r="D2083" s="18">
        <f t="shared" si="226"/>
        <v>30480.348619958386</v>
      </c>
      <c r="E2083" s="18">
        <f t="shared" si="227"/>
        <v>0</v>
      </c>
    </row>
    <row r="2084" spans="1:5">
      <c r="A2084" s="10">
        <f>43</f>
        <v>43</v>
      </c>
      <c r="B2084" s="18">
        <f t="shared" si="224"/>
        <v>0</v>
      </c>
      <c r="C2084" s="10">
        <f t="shared" si="225"/>
        <v>0</v>
      </c>
      <c r="D2084" s="18">
        <f t="shared" si="226"/>
        <v>30480.348619958386</v>
      </c>
      <c r="E2084" s="18">
        <f t="shared" si="227"/>
        <v>0</v>
      </c>
    </row>
    <row r="2085" spans="1:5">
      <c r="A2085" s="10">
        <f>44</f>
        <v>44</v>
      </c>
      <c r="B2085" s="18">
        <f t="shared" si="224"/>
        <v>0</v>
      </c>
      <c r="C2085" s="10">
        <f t="shared" si="225"/>
        <v>0</v>
      </c>
      <c r="D2085" s="18">
        <f t="shared" si="226"/>
        <v>30480.348619958386</v>
      </c>
      <c r="E2085" s="18">
        <f t="shared" si="227"/>
        <v>0</v>
      </c>
    </row>
    <row r="2086" spans="1:5">
      <c r="A2086" s="10">
        <f>45</f>
        <v>45</v>
      </c>
      <c r="B2086" s="18">
        <f t="shared" si="224"/>
        <v>0</v>
      </c>
      <c r="C2086" s="10">
        <f t="shared" si="225"/>
        <v>0</v>
      </c>
      <c r="D2086" s="18">
        <f t="shared" si="226"/>
        <v>30480.348619958386</v>
      </c>
      <c r="E2086" s="18">
        <f t="shared" si="227"/>
        <v>0</v>
      </c>
    </row>
    <row r="2087" spans="1:5">
      <c r="A2087" s="10">
        <f>46</f>
        <v>46</v>
      </c>
      <c r="B2087" s="18">
        <f t="shared" si="224"/>
        <v>0</v>
      </c>
      <c r="C2087" s="10">
        <f t="shared" si="225"/>
        <v>0</v>
      </c>
      <c r="D2087" s="18">
        <f t="shared" si="226"/>
        <v>30480.348619958386</v>
      </c>
      <c r="E2087" s="18">
        <f t="shared" si="227"/>
        <v>0</v>
      </c>
    </row>
    <row r="2088" spans="1:5">
      <c r="A2088" s="10">
        <f>47</f>
        <v>47</v>
      </c>
      <c r="B2088" s="18">
        <f t="shared" si="224"/>
        <v>0</v>
      </c>
      <c r="C2088" s="10">
        <f t="shared" si="225"/>
        <v>0</v>
      </c>
      <c r="D2088" s="18">
        <f t="shared" si="226"/>
        <v>30480.348619958386</v>
      </c>
      <c r="E2088" s="18">
        <f t="shared" si="227"/>
        <v>0</v>
      </c>
    </row>
    <row r="2089" spans="1:5">
      <c r="A2089" s="10">
        <f>48</f>
        <v>48</v>
      </c>
      <c r="B2089" s="18">
        <f t="shared" si="224"/>
        <v>0</v>
      </c>
      <c r="C2089" s="10">
        <f t="shared" si="225"/>
        <v>0</v>
      </c>
      <c r="D2089" s="18">
        <f t="shared" si="226"/>
        <v>30480.348619958386</v>
      </c>
      <c r="E2089" s="18">
        <f t="shared" si="227"/>
        <v>0</v>
      </c>
    </row>
    <row r="2090" spans="1:5">
      <c r="A2090" s="10">
        <f>49</f>
        <v>49</v>
      </c>
      <c r="B2090" s="18">
        <f t="shared" si="224"/>
        <v>0</v>
      </c>
      <c r="C2090" s="10">
        <f t="shared" si="225"/>
        <v>0</v>
      </c>
      <c r="D2090" s="18">
        <f t="shared" si="226"/>
        <v>30480.348619958386</v>
      </c>
      <c r="E2090" s="18">
        <f t="shared" si="227"/>
        <v>0</v>
      </c>
    </row>
    <row r="2091" spans="1:5">
      <c r="A2091" s="10">
        <f>50</f>
        <v>50</v>
      </c>
      <c r="B2091" s="18">
        <f t="shared" si="224"/>
        <v>0</v>
      </c>
      <c r="C2091" s="10">
        <f t="shared" si="225"/>
        <v>0</v>
      </c>
      <c r="D2091" s="18">
        <f t="shared" si="226"/>
        <v>30480.348619958386</v>
      </c>
      <c r="E2091" s="18">
        <f t="shared" si="227"/>
        <v>0</v>
      </c>
    </row>
    <row r="2092" spans="1:5">
      <c r="A2092" s="10">
        <f>51</f>
        <v>51</v>
      </c>
      <c r="B2092" s="18">
        <f t="shared" si="224"/>
        <v>0</v>
      </c>
      <c r="C2092" s="10">
        <f t="shared" si="225"/>
        <v>0</v>
      </c>
      <c r="D2092" s="18">
        <f t="shared" si="226"/>
        <v>30480.348619958386</v>
      </c>
      <c r="E2092" s="18">
        <f t="shared" si="227"/>
        <v>0</v>
      </c>
    </row>
    <row r="2093" spans="1:5">
      <c r="A2093" s="10">
        <f>52</f>
        <v>52</v>
      </c>
      <c r="B2093" s="18">
        <f t="shared" si="224"/>
        <v>0</v>
      </c>
      <c r="C2093" s="10">
        <f t="shared" si="225"/>
        <v>0</v>
      </c>
      <c r="D2093" s="18">
        <f t="shared" si="226"/>
        <v>30480.348619958386</v>
      </c>
      <c r="E2093" s="18">
        <f t="shared" si="227"/>
        <v>0</v>
      </c>
    </row>
    <row r="2094" spans="1:5">
      <c r="A2094" s="10">
        <f>53</f>
        <v>53</v>
      </c>
      <c r="B2094" s="18">
        <f t="shared" si="224"/>
        <v>0</v>
      </c>
      <c r="C2094" s="10">
        <f t="shared" si="225"/>
        <v>0</v>
      </c>
      <c r="D2094" s="18">
        <f t="shared" si="226"/>
        <v>30480.348619958386</v>
      </c>
      <c r="E2094" s="18">
        <f t="shared" si="227"/>
        <v>0</v>
      </c>
    </row>
    <row r="2095" spans="1:5">
      <c r="A2095" s="10">
        <f>54</f>
        <v>54</v>
      </c>
      <c r="B2095" s="18">
        <f t="shared" si="224"/>
        <v>0</v>
      </c>
      <c r="C2095" s="10">
        <f t="shared" si="225"/>
        <v>0</v>
      </c>
      <c r="D2095" s="18">
        <f t="shared" si="226"/>
        <v>30480.348619958386</v>
      </c>
      <c r="E2095" s="18">
        <f t="shared" si="227"/>
        <v>0</v>
      </c>
    </row>
    <row r="2096" spans="1:5">
      <c r="A2096" s="10">
        <f>55</f>
        <v>55</v>
      </c>
      <c r="B2096" s="18">
        <f t="shared" si="224"/>
        <v>0</v>
      </c>
      <c r="C2096" s="10">
        <f t="shared" si="225"/>
        <v>0</v>
      </c>
      <c r="D2096" s="18">
        <f t="shared" si="226"/>
        <v>30480.348619958386</v>
      </c>
      <c r="E2096" s="18">
        <f t="shared" si="227"/>
        <v>0</v>
      </c>
    </row>
    <row r="2097" spans="1:5">
      <c r="A2097" s="10">
        <f>56</f>
        <v>56</v>
      </c>
      <c r="B2097" s="18">
        <f t="shared" si="224"/>
        <v>0</v>
      </c>
      <c r="C2097" s="10">
        <f t="shared" si="225"/>
        <v>0</v>
      </c>
      <c r="D2097" s="18">
        <f t="shared" si="226"/>
        <v>30480.348619958386</v>
      </c>
      <c r="E2097" s="18">
        <f t="shared" si="227"/>
        <v>0</v>
      </c>
    </row>
    <row r="2098" spans="1:5">
      <c r="A2098" s="10">
        <f>57</f>
        <v>57</v>
      </c>
      <c r="B2098" s="18">
        <f t="shared" si="224"/>
        <v>0</v>
      </c>
      <c r="C2098" s="10">
        <f t="shared" si="225"/>
        <v>0</v>
      </c>
      <c r="D2098" s="18">
        <f t="shared" si="226"/>
        <v>30480.348619958386</v>
      </c>
      <c r="E2098" s="18">
        <f t="shared" si="227"/>
        <v>0</v>
      </c>
    </row>
    <row r="2099" spans="1:5">
      <c r="A2099" s="10">
        <f>58</f>
        <v>58</v>
      </c>
      <c r="B2099" s="18">
        <f t="shared" si="224"/>
        <v>0</v>
      </c>
      <c r="C2099" s="10">
        <f t="shared" si="225"/>
        <v>0</v>
      </c>
      <c r="D2099" s="18">
        <f t="shared" si="226"/>
        <v>30480.348619958386</v>
      </c>
      <c r="E2099" s="18">
        <f t="shared" si="227"/>
        <v>0</v>
      </c>
    </row>
    <row r="2100" spans="1:5">
      <c r="A2100" s="10">
        <f>59</f>
        <v>59</v>
      </c>
      <c r="B2100" s="18">
        <f t="shared" si="224"/>
        <v>0</v>
      </c>
      <c r="C2100" s="10">
        <f t="shared" si="225"/>
        <v>0</v>
      </c>
      <c r="D2100" s="18">
        <f t="shared" si="226"/>
        <v>30480.348619958386</v>
      </c>
      <c r="E2100" s="18">
        <f t="shared" si="227"/>
        <v>0</v>
      </c>
    </row>
    <row r="2101" spans="1:5">
      <c r="A2101" s="10">
        <f>60</f>
        <v>60</v>
      </c>
      <c r="B2101" s="18">
        <f t="shared" si="224"/>
        <v>0</v>
      </c>
      <c r="C2101" s="10">
        <f t="shared" si="225"/>
        <v>0</v>
      </c>
      <c r="D2101" s="18">
        <f t="shared" si="226"/>
        <v>30480.348619958386</v>
      </c>
      <c r="E2101" s="18">
        <f t="shared" si="227"/>
        <v>0</v>
      </c>
    </row>
    <row r="2102" spans="1:5">
      <c r="B2102" s="10">
        <f>SUM(C2042:C2101)</f>
        <v>18</v>
      </c>
    </row>
    <row r="2104" spans="1:5">
      <c r="A2104" s="2" t="s">
        <v>308</v>
      </c>
    </row>
    <row r="2106" spans="1:5">
      <c r="A2106" s="25" t="s">
        <v>262</v>
      </c>
      <c r="B2106" s="25" t="s">
        <v>263</v>
      </c>
      <c r="C2106" s="25" t="s">
        <v>305</v>
      </c>
      <c r="D2106" s="25" t="s">
        <v>264</v>
      </c>
      <c r="E2106" s="25" t="s">
        <v>265</v>
      </c>
    </row>
    <row r="2107" spans="1:5">
      <c r="A2107" s="3">
        <v>0</v>
      </c>
      <c r="C2107" s="10">
        <f>1</f>
        <v>1</v>
      </c>
      <c r="D2107" s="18">
        <f>MIN(3*$B$165,$B$5)</f>
        <v>195773.90562191981</v>
      </c>
      <c r="E2107" s="18">
        <f>$B$5-D2107</f>
        <v>804226.09437808022</v>
      </c>
    </row>
    <row r="2108" spans="1:5">
      <c r="A2108" s="10">
        <f>1</f>
        <v>1</v>
      </c>
      <c r="B2108" s="18">
        <f t="shared" ref="B2108:B2139" si="228">IF(C2107=0,0,MIN(MAX(E2107,0),(($B$165-MIN(MAX(D2107,0),$B$165))+MAX(0,3*$B$165-(D2107-MIN(MAX(D2107,0),$B$165))))))</f>
        <v>65257.968540639937</v>
      </c>
      <c r="C2108" s="10">
        <f t="shared" ref="C2108:C2139" si="229">IF(AND(C2107=1,D2107+E2107&gt;0.000001,B2108&gt;=($B$165-MIN(MAX(D2107,0),$B$165))-0.000001),1,0)</f>
        <v>1</v>
      </c>
      <c r="D2108" s="18">
        <f t="shared" ref="D2108:D2139" si="230">IF(C2108=0,D2107,(D2107-$B$165+B2108)*(1+$B$7))</f>
        <v>195069.11956168088</v>
      </c>
      <c r="E2108" s="18">
        <f t="shared" ref="E2108:E2139" si="231">IF(C2108=0,E2107,(E2107-B2108)*(1+$B$6))</f>
        <v>761137.16961256345</v>
      </c>
    </row>
    <row r="2109" spans="1:5">
      <c r="A2109" s="10">
        <f>2</f>
        <v>2</v>
      </c>
      <c r="B2109" s="18">
        <f t="shared" si="228"/>
        <v>65962.754600878863</v>
      </c>
      <c r="C2109" s="10">
        <f t="shared" si="229"/>
        <v>1</v>
      </c>
      <c r="D2109" s="18">
        <f t="shared" si="230"/>
        <v>195069.11956168088</v>
      </c>
      <c r="E2109" s="18">
        <f t="shared" si="231"/>
        <v>716029.64746203518</v>
      </c>
    </row>
    <row r="2110" spans="1:5">
      <c r="A2110" s="10">
        <f>3</f>
        <v>3</v>
      </c>
      <c r="B2110" s="18">
        <f t="shared" si="228"/>
        <v>65962.754600878863</v>
      </c>
      <c r="C2110" s="10">
        <f t="shared" si="229"/>
        <v>1</v>
      </c>
      <c r="D2110" s="18">
        <f t="shared" si="230"/>
        <v>195069.11956168088</v>
      </c>
      <c r="E2110" s="18">
        <f t="shared" si="231"/>
        <v>669568.89964699093</v>
      </c>
    </row>
    <row r="2111" spans="1:5">
      <c r="A2111" s="10">
        <f>4</f>
        <v>4</v>
      </c>
      <c r="B2111" s="18">
        <f t="shared" si="228"/>
        <v>65962.754600878863</v>
      </c>
      <c r="C2111" s="10">
        <f t="shared" si="229"/>
        <v>1</v>
      </c>
      <c r="D2111" s="18">
        <f t="shared" si="230"/>
        <v>195069.11956168088</v>
      </c>
      <c r="E2111" s="18">
        <f t="shared" si="231"/>
        <v>621714.32939749549</v>
      </c>
    </row>
    <row r="2112" spans="1:5">
      <c r="A2112" s="10">
        <f>5</f>
        <v>5</v>
      </c>
      <c r="B2112" s="18">
        <f t="shared" si="228"/>
        <v>65962.754600878863</v>
      </c>
      <c r="C2112" s="10">
        <f t="shared" si="229"/>
        <v>1</v>
      </c>
      <c r="D2112" s="18">
        <f t="shared" si="230"/>
        <v>195069.11956168088</v>
      </c>
      <c r="E2112" s="18">
        <f t="shared" si="231"/>
        <v>572424.12204051507</v>
      </c>
    </row>
    <row r="2113" spans="1:5">
      <c r="A2113" s="10">
        <f>6</f>
        <v>6</v>
      </c>
      <c r="B2113" s="18">
        <f t="shared" si="228"/>
        <v>65962.754600878863</v>
      </c>
      <c r="C2113" s="10">
        <f t="shared" si="229"/>
        <v>1</v>
      </c>
      <c r="D2113" s="18">
        <f t="shared" si="230"/>
        <v>195069.11956168088</v>
      </c>
      <c r="E2113" s="18">
        <f t="shared" si="231"/>
        <v>521655.20846282528</v>
      </c>
    </row>
    <row r="2114" spans="1:5">
      <c r="A2114" s="10">
        <f>7</f>
        <v>7</v>
      </c>
      <c r="B2114" s="18">
        <f t="shared" si="228"/>
        <v>65962.754600878863</v>
      </c>
      <c r="C2114" s="10">
        <f t="shared" si="229"/>
        <v>1</v>
      </c>
      <c r="D2114" s="18">
        <f t="shared" si="230"/>
        <v>195069.11956168088</v>
      </c>
      <c r="E2114" s="18">
        <f t="shared" si="231"/>
        <v>469363.22747780482</v>
      </c>
    </row>
    <row r="2115" spans="1:5">
      <c r="A2115" s="10">
        <f>8</f>
        <v>8</v>
      </c>
      <c r="B2115" s="18">
        <f t="shared" si="228"/>
        <v>65962.754600878863</v>
      </c>
      <c r="C2115" s="10">
        <f t="shared" si="229"/>
        <v>1</v>
      </c>
      <c r="D2115" s="18">
        <f t="shared" si="230"/>
        <v>195069.11956168088</v>
      </c>
      <c r="E2115" s="18">
        <f t="shared" si="231"/>
        <v>415502.48706323374</v>
      </c>
    </row>
    <row r="2116" spans="1:5">
      <c r="A2116" s="10">
        <f>9</f>
        <v>9</v>
      </c>
      <c r="B2116" s="18">
        <f t="shared" si="228"/>
        <v>65962.754600878863</v>
      </c>
      <c r="C2116" s="10">
        <f t="shared" si="229"/>
        <v>1</v>
      </c>
      <c r="D2116" s="18">
        <f t="shared" si="230"/>
        <v>195069.11956168088</v>
      </c>
      <c r="E2116" s="18">
        <f t="shared" si="231"/>
        <v>360025.92443622556</v>
      </c>
    </row>
    <row r="2117" spans="1:5">
      <c r="A2117" s="10">
        <f>10</f>
        <v>10</v>
      </c>
      <c r="B2117" s="18">
        <f t="shared" si="228"/>
        <v>65962.754600878863</v>
      </c>
      <c r="C2117" s="10">
        <f t="shared" si="229"/>
        <v>1</v>
      </c>
      <c r="D2117" s="18">
        <f t="shared" si="230"/>
        <v>195069.11956168088</v>
      </c>
      <c r="E2117" s="18">
        <f t="shared" si="231"/>
        <v>302885.0649304071</v>
      </c>
    </row>
    <row r="2118" spans="1:5">
      <c r="A2118" s="10">
        <f>11</f>
        <v>11</v>
      </c>
      <c r="B2118" s="18">
        <f t="shared" si="228"/>
        <v>65962.754600878863</v>
      </c>
      <c r="C2118" s="10">
        <f t="shared" si="229"/>
        <v>1</v>
      </c>
      <c r="D2118" s="18">
        <f t="shared" si="230"/>
        <v>195069.11956168088</v>
      </c>
      <c r="E2118" s="18">
        <f t="shared" si="231"/>
        <v>244029.97963941409</v>
      </c>
    </row>
    <row r="2119" spans="1:5">
      <c r="A2119" s="10">
        <f>12</f>
        <v>12</v>
      </c>
      <c r="B2119" s="18">
        <f t="shared" si="228"/>
        <v>65962.754600878863</v>
      </c>
      <c r="C2119" s="10">
        <f t="shared" si="229"/>
        <v>1</v>
      </c>
      <c r="D2119" s="18">
        <f t="shared" si="230"/>
        <v>195069.11956168088</v>
      </c>
      <c r="E2119" s="18">
        <f t="shared" si="231"/>
        <v>183409.2417896913</v>
      </c>
    </row>
    <row r="2120" spans="1:5">
      <c r="A2120" s="10">
        <f>13</f>
        <v>13</v>
      </c>
      <c r="B2120" s="18">
        <f t="shared" si="228"/>
        <v>65962.754600878863</v>
      </c>
      <c r="C2120" s="10">
        <f t="shared" si="229"/>
        <v>1</v>
      </c>
      <c r="D2120" s="18">
        <f t="shared" si="230"/>
        <v>195069.11956168088</v>
      </c>
      <c r="E2120" s="18">
        <f t="shared" si="231"/>
        <v>120969.88180447681</v>
      </c>
    </row>
    <row r="2121" spans="1:5">
      <c r="A2121" s="10">
        <f>14</f>
        <v>14</v>
      </c>
      <c r="B2121" s="18">
        <f t="shared" si="228"/>
        <v>65962.754600878863</v>
      </c>
      <c r="C2121" s="10">
        <f t="shared" si="229"/>
        <v>1</v>
      </c>
      <c r="D2121" s="18">
        <f t="shared" si="230"/>
        <v>195069.11956168088</v>
      </c>
      <c r="E2121" s="18">
        <f t="shared" si="231"/>
        <v>56657.341019705891</v>
      </c>
    </row>
    <row r="2122" spans="1:5">
      <c r="A2122" s="10">
        <f>15</f>
        <v>15</v>
      </c>
      <c r="B2122" s="18">
        <f t="shared" si="228"/>
        <v>56657.341019705891</v>
      </c>
      <c r="C2122" s="10">
        <f t="shared" si="229"/>
        <v>1</v>
      </c>
      <c r="D2122" s="18">
        <f t="shared" si="230"/>
        <v>185797.20546940016</v>
      </c>
      <c r="E2122" s="18">
        <f t="shared" si="231"/>
        <v>0</v>
      </c>
    </row>
    <row r="2123" spans="1:5">
      <c r="A2123" s="10">
        <f>16</f>
        <v>16</v>
      </c>
      <c r="B2123" s="18">
        <f t="shared" si="228"/>
        <v>0</v>
      </c>
      <c r="C2123" s="10">
        <f t="shared" si="229"/>
        <v>1</v>
      </c>
      <c r="D2123" s="18">
        <f t="shared" si="230"/>
        <v>120105.29567581668</v>
      </c>
      <c r="E2123" s="18">
        <f t="shared" si="231"/>
        <v>0</v>
      </c>
    </row>
    <row r="2124" spans="1:5">
      <c r="A2124" s="10">
        <f>17</f>
        <v>17</v>
      </c>
      <c r="B2124" s="18">
        <f t="shared" si="228"/>
        <v>0</v>
      </c>
      <c r="C2124" s="10">
        <f t="shared" si="229"/>
        <v>1</v>
      </c>
      <c r="D2124" s="18">
        <f t="shared" si="230"/>
        <v>54649.876757490107</v>
      </c>
      <c r="E2124" s="18">
        <f t="shared" si="231"/>
        <v>0</v>
      </c>
    </row>
    <row r="2125" spans="1:5">
      <c r="A2125" s="10">
        <f>18</f>
        <v>18</v>
      </c>
      <c r="B2125" s="18">
        <f t="shared" si="228"/>
        <v>0</v>
      </c>
      <c r="C2125" s="10">
        <f t="shared" si="229"/>
        <v>0</v>
      </c>
      <c r="D2125" s="18">
        <f t="shared" si="230"/>
        <v>54649.876757490107</v>
      </c>
      <c r="E2125" s="18">
        <f t="shared" si="231"/>
        <v>0</v>
      </c>
    </row>
    <row r="2126" spans="1:5">
      <c r="A2126" s="10">
        <f>19</f>
        <v>19</v>
      </c>
      <c r="B2126" s="18">
        <f t="shared" si="228"/>
        <v>0</v>
      </c>
      <c r="C2126" s="10">
        <f t="shared" si="229"/>
        <v>0</v>
      </c>
      <c r="D2126" s="18">
        <f t="shared" si="230"/>
        <v>54649.876757490107</v>
      </c>
      <c r="E2126" s="18">
        <f t="shared" si="231"/>
        <v>0</v>
      </c>
    </row>
    <row r="2127" spans="1:5">
      <c r="A2127" s="10">
        <f>20</f>
        <v>20</v>
      </c>
      <c r="B2127" s="18">
        <f t="shared" si="228"/>
        <v>0</v>
      </c>
      <c r="C2127" s="10">
        <f t="shared" si="229"/>
        <v>0</v>
      </c>
      <c r="D2127" s="18">
        <f t="shared" si="230"/>
        <v>54649.876757490107</v>
      </c>
      <c r="E2127" s="18">
        <f t="shared" si="231"/>
        <v>0</v>
      </c>
    </row>
    <row r="2128" spans="1:5">
      <c r="A2128" s="10">
        <f>21</f>
        <v>21</v>
      </c>
      <c r="B2128" s="18">
        <f t="shared" si="228"/>
        <v>0</v>
      </c>
      <c r="C2128" s="10">
        <f t="shared" si="229"/>
        <v>0</v>
      </c>
      <c r="D2128" s="18">
        <f t="shared" si="230"/>
        <v>54649.876757490107</v>
      </c>
      <c r="E2128" s="18">
        <f t="shared" si="231"/>
        <v>0</v>
      </c>
    </row>
    <row r="2129" spans="1:5">
      <c r="A2129" s="10">
        <f>22</f>
        <v>22</v>
      </c>
      <c r="B2129" s="18">
        <f t="shared" si="228"/>
        <v>0</v>
      </c>
      <c r="C2129" s="10">
        <f t="shared" si="229"/>
        <v>0</v>
      </c>
      <c r="D2129" s="18">
        <f t="shared" si="230"/>
        <v>54649.876757490107</v>
      </c>
      <c r="E2129" s="18">
        <f t="shared" si="231"/>
        <v>0</v>
      </c>
    </row>
    <row r="2130" spans="1:5">
      <c r="A2130" s="10">
        <f>23</f>
        <v>23</v>
      </c>
      <c r="B2130" s="18">
        <f t="shared" si="228"/>
        <v>0</v>
      </c>
      <c r="C2130" s="10">
        <f t="shared" si="229"/>
        <v>0</v>
      </c>
      <c r="D2130" s="18">
        <f t="shared" si="230"/>
        <v>54649.876757490107</v>
      </c>
      <c r="E2130" s="18">
        <f t="shared" si="231"/>
        <v>0</v>
      </c>
    </row>
    <row r="2131" spans="1:5">
      <c r="A2131" s="10">
        <f>24</f>
        <v>24</v>
      </c>
      <c r="B2131" s="18">
        <f t="shared" si="228"/>
        <v>0</v>
      </c>
      <c r="C2131" s="10">
        <f t="shared" si="229"/>
        <v>0</v>
      </c>
      <c r="D2131" s="18">
        <f t="shared" si="230"/>
        <v>54649.876757490107</v>
      </c>
      <c r="E2131" s="18">
        <f t="shared" si="231"/>
        <v>0</v>
      </c>
    </row>
    <row r="2132" spans="1:5">
      <c r="A2132" s="10">
        <f>25</f>
        <v>25</v>
      </c>
      <c r="B2132" s="18">
        <f t="shared" si="228"/>
        <v>0</v>
      </c>
      <c r="C2132" s="10">
        <f t="shared" si="229"/>
        <v>0</v>
      </c>
      <c r="D2132" s="18">
        <f t="shared" si="230"/>
        <v>54649.876757490107</v>
      </c>
      <c r="E2132" s="18">
        <f t="shared" si="231"/>
        <v>0</v>
      </c>
    </row>
    <row r="2133" spans="1:5">
      <c r="A2133" s="10">
        <f>26</f>
        <v>26</v>
      </c>
      <c r="B2133" s="18">
        <f t="shared" si="228"/>
        <v>0</v>
      </c>
      <c r="C2133" s="10">
        <f t="shared" si="229"/>
        <v>0</v>
      </c>
      <c r="D2133" s="18">
        <f t="shared" si="230"/>
        <v>54649.876757490107</v>
      </c>
      <c r="E2133" s="18">
        <f t="shared" si="231"/>
        <v>0</v>
      </c>
    </row>
    <row r="2134" spans="1:5">
      <c r="A2134" s="10">
        <f>27</f>
        <v>27</v>
      </c>
      <c r="B2134" s="18">
        <f t="shared" si="228"/>
        <v>0</v>
      </c>
      <c r="C2134" s="10">
        <f t="shared" si="229"/>
        <v>0</v>
      </c>
      <c r="D2134" s="18">
        <f t="shared" si="230"/>
        <v>54649.876757490107</v>
      </c>
      <c r="E2134" s="18">
        <f t="shared" si="231"/>
        <v>0</v>
      </c>
    </row>
    <row r="2135" spans="1:5">
      <c r="A2135" s="10">
        <f>28</f>
        <v>28</v>
      </c>
      <c r="B2135" s="18">
        <f t="shared" si="228"/>
        <v>0</v>
      </c>
      <c r="C2135" s="10">
        <f t="shared" si="229"/>
        <v>0</v>
      </c>
      <c r="D2135" s="18">
        <f t="shared" si="230"/>
        <v>54649.876757490107</v>
      </c>
      <c r="E2135" s="18">
        <f t="shared" si="231"/>
        <v>0</v>
      </c>
    </row>
    <row r="2136" spans="1:5">
      <c r="A2136" s="10">
        <f>29</f>
        <v>29</v>
      </c>
      <c r="B2136" s="18">
        <f t="shared" si="228"/>
        <v>0</v>
      </c>
      <c r="C2136" s="10">
        <f t="shared" si="229"/>
        <v>0</v>
      </c>
      <c r="D2136" s="18">
        <f t="shared" si="230"/>
        <v>54649.876757490107</v>
      </c>
      <c r="E2136" s="18">
        <f t="shared" si="231"/>
        <v>0</v>
      </c>
    </row>
    <row r="2137" spans="1:5">
      <c r="A2137" s="10">
        <f>30</f>
        <v>30</v>
      </c>
      <c r="B2137" s="18">
        <f t="shared" si="228"/>
        <v>0</v>
      </c>
      <c r="C2137" s="10">
        <f t="shared" si="229"/>
        <v>0</v>
      </c>
      <c r="D2137" s="18">
        <f t="shared" si="230"/>
        <v>54649.876757490107</v>
      </c>
      <c r="E2137" s="18">
        <f t="shared" si="231"/>
        <v>0</v>
      </c>
    </row>
    <row r="2138" spans="1:5">
      <c r="A2138" s="10">
        <f>31</f>
        <v>31</v>
      </c>
      <c r="B2138" s="18">
        <f t="shared" si="228"/>
        <v>0</v>
      </c>
      <c r="C2138" s="10">
        <f t="shared" si="229"/>
        <v>0</v>
      </c>
      <c r="D2138" s="18">
        <f t="shared" si="230"/>
        <v>54649.876757490107</v>
      </c>
      <c r="E2138" s="18">
        <f t="shared" si="231"/>
        <v>0</v>
      </c>
    </row>
    <row r="2139" spans="1:5">
      <c r="A2139" s="10">
        <f>32</f>
        <v>32</v>
      </c>
      <c r="B2139" s="18">
        <f t="shared" si="228"/>
        <v>0</v>
      </c>
      <c r="C2139" s="10">
        <f t="shared" si="229"/>
        <v>0</v>
      </c>
      <c r="D2139" s="18">
        <f t="shared" si="230"/>
        <v>54649.876757490107</v>
      </c>
      <c r="E2139" s="18">
        <f t="shared" si="231"/>
        <v>0</v>
      </c>
    </row>
    <row r="2140" spans="1:5">
      <c r="A2140" s="10">
        <f>33</f>
        <v>33</v>
      </c>
      <c r="B2140" s="18">
        <f t="shared" ref="B2140:B2167" si="232">IF(C2139=0,0,MIN(MAX(E2139,0),(($B$165-MIN(MAX(D2139,0),$B$165))+MAX(0,3*$B$165-(D2139-MIN(MAX(D2139,0),$B$165))))))</f>
        <v>0</v>
      </c>
      <c r="C2140" s="10">
        <f t="shared" ref="C2140:C2171" si="233">IF(AND(C2139=1,D2139+E2139&gt;0.000001,B2140&gt;=($B$165-MIN(MAX(D2139,0),$B$165))-0.000001),1,0)</f>
        <v>0</v>
      </c>
      <c r="D2140" s="18">
        <f t="shared" ref="D2140:D2171" si="234">IF(C2140=0,D2139,(D2139-$B$165+B2140)*(1+$B$7))</f>
        <v>54649.876757490107</v>
      </c>
      <c r="E2140" s="18">
        <f t="shared" ref="E2140:E2167" si="235">IF(C2140=0,E2139,(E2139-B2140)*(1+$B$6))</f>
        <v>0</v>
      </c>
    </row>
    <row r="2141" spans="1:5">
      <c r="A2141" s="10">
        <f>34</f>
        <v>34</v>
      </c>
      <c r="B2141" s="18">
        <f t="shared" si="232"/>
        <v>0</v>
      </c>
      <c r="C2141" s="10">
        <f t="shared" si="233"/>
        <v>0</v>
      </c>
      <c r="D2141" s="18">
        <f t="shared" si="234"/>
        <v>54649.876757490107</v>
      </c>
      <c r="E2141" s="18">
        <f t="shared" si="235"/>
        <v>0</v>
      </c>
    </row>
    <row r="2142" spans="1:5">
      <c r="A2142" s="10">
        <f>35</f>
        <v>35</v>
      </c>
      <c r="B2142" s="18">
        <f t="shared" si="232"/>
        <v>0</v>
      </c>
      <c r="C2142" s="10">
        <f t="shared" si="233"/>
        <v>0</v>
      </c>
      <c r="D2142" s="18">
        <f t="shared" si="234"/>
        <v>54649.876757490107</v>
      </c>
      <c r="E2142" s="18">
        <f t="shared" si="235"/>
        <v>0</v>
      </c>
    </row>
    <row r="2143" spans="1:5">
      <c r="A2143" s="10">
        <f>36</f>
        <v>36</v>
      </c>
      <c r="B2143" s="18">
        <f t="shared" si="232"/>
        <v>0</v>
      </c>
      <c r="C2143" s="10">
        <f t="shared" si="233"/>
        <v>0</v>
      </c>
      <c r="D2143" s="18">
        <f t="shared" si="234"/>
        <v>54649.876757490107</v>
      </c>
      <c r="E2143" s="18">
        <f t="shared" si="235"/>
        <v>0</v>
      </c>
    </row>
    <row r="2144" spans="1:5">
      <c r="A2144" s="10">
        <f>37</f>
        <v>37</v>
      </c>
      <c r="B2144" s="18">
        <f t="shared" si="232"/>
        <v>0</v>
      </c>
      <c r="C2144" s="10">
        <f t="shared" si="233"/>
        <v>0</v>
      </c>
      <c r="D2144" s="18">
        <f t="shared" si="234"/>
        <v>54649.876757490107</v>
      </c>
      <c r="E2144" s="18">
        <f t="shared" si="235"/>
        <v>0</v>
      </c>
    </row>
    <row r="2145" spans="1:5">
      <c r="A2145" s="10">
        <f>38</f>
        <v>38</v>
      </c>
      <c r="B2145" s="18">
        <f t="shared" si="232"/>
        <v>0</v>
      </c>
      <c r="C2145" s="10">
        <f t="shared" si="233"/>
        <v>0</v>
      </c>
      <c r="D2145" s="18">
        <f t="shared" si="234"/>
        <v>54649.876757490107</v>
      </c>
      <c r="E2145" s="18">
        <f t="shared" si="235"/>
        <v>0</v>
      </c>
    </row>
    <row r="2146" spans="1:5">
      <c r="A2146" s="10">
        <f>39</f>
        <v>39</v>
      </c>
      <c r="B2146" s="18">
        <f t="shared" si="232"/>
        <v>0</v>
      </c>
      <c r="C2146" s="10">
        <f t="shared" si="233"/>
        <v>0</v>
      </c>
      <c r="D2146" s="18">
        <f t="shared" si="234"/>
        <v>54649.876757490107</v>
      </c>
      <c r="E2146" s="18">
        <f t="shared" si="235"/>
        <v>0</v>
      </c>
    </row>
    <row r="2147" spans="1:5">
      <c r="A2147" s="10">
        <f>40</f>
        <v>40</v>
      </c>
      <c r="B2147" s="18">
        <f t="shared" si="232"/>
        <v>0</v>
      </c>
      <c r="C2147" s="10">
        <f t="shared" si="233"/>
        <v>0</v>
      </c>
      <c r="D2147" s="18">
        <f t="shared" si="234"/>
        <v>54649.876757490107</v>
      </c>
      <c r="E2147" s="18">
        <f t="shared" si="235"/>
        <v>0</v>
      </c>
    </row>
    <row r="2148" spans="1:5">
      <c r="A2148" s="10">
        <f>41</f>
        <v>41</v>
      </c>
      <c r="B2148" s="18">
        <f t="shared" si="232"/>
        <v>0</v>
      </c>
      <c r="C2148" s="10">
        <f t="shared" si="233"/>
        <v>0</v>
      </c>
      <c r="D2148" s="18">
        <f t="shared" si="234"/>
        <v>54649.876757490107</v>
      </c>
      <c r="E2148" s="18">
        <f t="shared" si="235"/>
        <v>0</v>
      </c>
    </row>
    <row r="2149" spans="1:5">
      <c r="A2149" s="10">
        <f>42</f>
        <v>42</v>
      </c>
      <c r="B2149" s="18">
        <f t="shared" si="232"/>
        <v>0</v>
      </c>
      <c r="C2149" s="10">
        <f t="shared" si="233"/>
        <v>0</v>
      </c>
      <c r="D2149" s="18">
        <f t="shared" si="234"/>
        <v>54649.876757490107</v>
      </c>
      <c r="E2149" s="18">
        <f t="shared" si="235"/>
        <v>0</v>
      </c>
    </row>
    <row r="2150" spans="1:5">
      <c r="A2150" s="10">
        <f>43</f>
        <v>43</v>
      </c>
      <c r="B2150" s="18">
        <f t="shared" si="232"/>
        <v>0</v>
      </c>
      <c r="C2150" s="10">
        <f t="shared" si="233"/>
        <v>0</v>
      </c>
      <c r="D2150" s="18">
        <f t="shared" si="234"/>
        <v>54649.876757490107</v>
      </c>
      <c r="E2150" s="18">
        <f t="shared" si="235"/>
        <v>0</v>
      </c>
    </row>
    <row r="2151" spans="1:5">
      <c r="A2151" s="10">
        <f>44</f>
        <v>44</v>
      </c>
      <c r="B2151" s="18">
        <f t="shared" si="232"/>
        <v>0</v>
      </c>
      <c r="C2151" s="10">
        <f t="shared" si="233"/>
        <v>0</v>
      </c>
      <c r="D2151" s="18">
        <f t="shared" si="234"/>
        <v>54649.876757490107</v>
      </c>
      <c r="E2151" s="18">
        <f t="shared" si="235"/>
        <v>0</v>
      </c>
    </row>
    <row r="2152" spans="1:5">
      <c r="A2152" s="10">
        <f>45</f>
        <v>45</v>
      </c>
      <c r="B2152" s="18">
        <f t="shared" si="232"/>
        <v>0</v>
      </c>
      <c r="C2152" s="10">
        <f t="shared" si="233"/>
        <v>0</v>
      </c>
      <c r="D2152" s="18">
        <f t="shared" si="234"/>
        <v>54649.876757490107</v>
      </c>
      <c r="E2152" s="18">
        <f t="shared" si="235"/>
        <v>0</v>
      </c>
    </row>
    <row r="2153" spans="1:5">
      <c r="A2153" s="10">
        <f>46</f>
        <v>46</v>
      </c>
      <c r="B2153" s="18">
        <f t="shared" si="232"/>
        <v>0</v>
      </c>
      <c r="C2153" s="10">
        <f t="shared" si="233"/>
        <v>0</v>
      </c>
      <c r="D2153" s="18">
        <f t="shared" si="234"/>
        <v>54649.876757490107</v>
      </c>
      <c r="E2153" s="18">
        <f t="shared" si="235"/>
        <v>0</v>
      </c>
    </row>
    <row r="2154" spans="1:5">
      <c r="A2154" s="10">
        <f>47</f>
        <v>47</v>
      </c>
      <c r="B2154" s="18">
        <f t="shared" si="232"/>
        <v>0</v>
      </c>
      <c r="C2154" s="10">
        <f t="shared" si="233"/>
        <v>0</v>
      </c>
      <c r="D2154" s="18">
        <f t="shared" si="234"/>
        <v>54649.876757490107</v>
      </c>
      <c r="E2154" s="18">
        <f t="shared" si="235"/>
        <v>0</v>
      </c>
    </row>
    <row r="2155" spans="1:5">
      <c r="A2155" s="10">
        <f>48</f>
        <v>48</v>
      </c>
      <c r="B2155" s="18">
        <f t="shared" si="232"/>
        <v>0</v>
      </c>
      <c r="C2155" s="10">
        <f t="shared" si="233"/>
        <v>0</v>
      </c>
      <c r="D2155" s="18">
        <f t="shared" si="234"/>
        <v>54649.876757490107</v>
      </c>
      <c r="E2155" s="18">
        <f t="shared" si="235"/>
        <v>0</v>
      </c>
    </row>
    <row r="2156" spans="1:5">
      <c r="A2156" s="10">
        <f>49</f>
        <v>49</v>
      </c>
      <c r="B2156" s="18">
        <f t="shared" si="232"/>
        <v>0</v>
      </c>
      <c r="C2156" s="10">
        <f t="shared" si="233"/>
        <v>0</v>
      </c>
      <c r="D2156" s="18">
        <f t="shared" si="234"/>
        <v>54649.876757490107</v>
      </c>
      <c r="E2156" s="18">
        <f t="shared" si="235"/>
        <v>0</v>
      </c>
    </row>
    <row r="2157" spans="1:5">
      <c r="A2157" s="10">
        <f>50</f>
        <v>50</v>
      </c>
      <c r="B2157" s="18">
        <f t="shared" si="232"/>
        <v>0</v>
      </c>
      <c r="C2157" s="10">
        <f t="shared" si="233"/>
        <v>0</v>
      </c>
      <c r="D2157" s="18">
        <f t="shared" si="234"/>
        <v>54649.876757490107</v>
      </c>
      <c r="E2157" s="18">
        <f t="shared" si="235"/>
        <v>0</v>
      </c>
    </row>
    <row r="2158" spans="1:5">
      <c r="A2158" s="10">
        <f>51</f>
        <v>51</v>
      </c>
      <c r="B2158" s="18">
        <f t="shared" si="232"/>
        <v>0</v>
      </c>
      <c r="C2158" s="10">
        <f t="shared" si="233"/>
        <v>0</v>
      </c>
      <c r="D2158" s="18">
        <f t="shared" si="234"/>
        <v>54649.876757490107</v>
      </c>
      <c r="E2158" s="18">
        <f t="shared" si="235"/>
        <v>0</v>
      </c>
    </row>
    <row r="2159" spans="1:5">
      <c r="A2159" s="10">
        <f>52</f>
        <v>52</v>
      </c>
      <c r="B2159" s="18">
        <f t="shared" si="232"/>
        <v>0</v>
      </c>
      <c r="C2159" s="10">
        <f t="shared" si="233"/>
        <v>0</v>
      </c>
      <c r="D2159" s="18">
        <f t="shared" si="234"/>
        <v>54649.876757490107</v>
      </c>
      <c r="E2159" s="18">
        <f t="shared" si="235"/>
        <v>0</v>
      </c>
    </row>
    <row r="2160" spans="1:5">
      <c r="A2160" s="10">
        <f>53</f>
        <v>53</v>
      </c>
      <c r="B2160" s="18">
        <f t="shared" si="232"/>
        <v>0</v>
      </c>
      <c r="C2160" s="10">
        <f t="shared" si="233"/>
        <v>0</v>
      </c>
      <c r="D2160" s="18">
        <f t="shared" si="234"/>
        <v>54649.876757490107</v>
      </c>
      <c r="E2160" s="18">
        <f t="shared" si="235"/>
        <v>0</v>
      </c>
    </row>
    <row r="2161" spans="1:5">
      <c r="A2161" s="10">
        <f>54</f>
        <v>54</v>
      </c>
      <c r="B2161" s="18">
        <f t="shared" si="232"/>
        <v>0</v>
      </c>
      <c r="C2161" s="10">
        <f t="shared" si="233"/>
        <v>0</v>
      </c>
      <c r="D2161" s="18">
        <f t="shared" si="234"/>
        <v>54649.876757490107</v>
      </c>
      <c r="E2161" s="18">
        <f t="shared" si="235"/>
        <v>0</v>
      </c>
    </row>
    <row r="2162" spans="1:5">
      <c r="A2162" s="10">
        <f>55</f>
        <v>55</v>
      </c>
      <c r="B2162" s="18">
        <f t="shared" si="232"/>
        <v>0</v>
      </c>
      <c r="C2162" s="10">
        <f t="shared" si="233"/>
        <v>0</v>
      </c>
      <c r="D2162" s="18">
        <f t="shared" si="234"/>
        <v>54649.876757490107</v>
      </c>
      <c r="E2162" s="18">
        <f t="shared" si="235"/>
        <v>0</v>
      </c>
    </row>
    <row r="2163" spans="1:5">
      <c r="A2163" s="10">
        <f>56</f>
        <v>56</v>
      </c>
      <c r="B2163" s="18">
        <f t="shared" si="232"/>
        <v>0</v>
      </c>
      <c r="C2163" s="10">
        <f t="shared" si="233"/>
        <v>0</v>
      </c>
      <c r="D2163" s="18">
        <f t="shared" si="234"/>
        <v>54649.876757490107</v>
      </c>
      <c r="E2163" s="18">
        <f t="shared" si="235"/>
        <v>0</v>
      </c>
    </row>
    <row r="2164" spans="1:5">
      <c r="A2164" s="10">
        <f>57</f>
        <v>57</v>
      </c>
      <c r="B2164" s="18">
        <f t="shared" si="232"/>
        <v>0</v>
      </c>
      <c r="C2164" s="10">
        <f t="shared" si="233"/>
        <v>0</v>
      </c>
      <c r="D2164" s="18">
        <f t="shared" si="234"/>
        <v>54649.876757490107</v>
      </c>
      <c r="E2164" s="18">
        <f t="shared" si="235"/>
        <v>0</v>
      </c>
    </row>
    <row r="2165" spans="1:5">
      <c r="A2165" s="10">
        <f>58</f>
        <v>58</v>
      </c>
      <c r="B2165" s="18">
        <f t="shared" si="232"/>
        <v>0</v>
      </c>
      <c r="C2165" s="10">
        <f t="shared" si="233"/>
        <v>0</v>
      </c>
      <c r="D2165" s="18">
        <f t="shared" si="234"/>
        <v>54649.876757490107</v>
      </c>
      <c r="E2165" s="18">
        <f t="shared" si="235"/>
        <v>0</v>
      </c>
    </row>
    <row r="2166" spans="1:5">
      <c r="A2166" s="10">
        <f>59</f>
        <v>59</v>
      </c>
      <c r="B2166" s="18">
        <f t="shared" si="232"/>
        <v>0</v>
      </c>
      <c r="C2166" s="10">
        <f t="shared" si="233"/>
        <v>0</v>
      </c>
      <c r="D2166" s="18">
        <f t="shared" si="234"/>
        <v>54649.876757490107</v>
      </c>
      <c r="E2166" s="18">
        <f t="shared" si="235"/>
        <v>0</v>
      </c>
    </row>
    <row r="2167" spans="1:5">
      <c r="A2167" s="10">
        <f>60</f>
        <v>60</v>
      </c>
      <c r="B2167" s="18">
        <f t="shared" si="232"/>
        <v>0</v>
      </c>
      <c r="C2167" s="10">
        <f t="shared" si="233"/>
        <v>0</v>
      </c>
      <c r="D2167" s="18">
        <f t="shared" si="234"/>
        <v>54649.876757490107</v>
      </c>
      <c r="E2167" s="18">
        <f t="shared" si="235"/>
        <v>0</v>
      </c>
    </row>
    <row r="2168" spans="1:5">
      <c r="B2168" s="10">
        <f>SUM(C2108:C2167)</f>
        <v>17</v>
      </c>
    </row>
    <row r="2170" spans="1:5">
      <c r="A2170" s="2" t="s">
        <v>309</v>
      </c>
    </row>
    <row r="2172" spans="1:5">
      <c r="A2172" s="25" t="s">
        <v>262</v>
      </c>
      <c r="B2172" s="25" t="s">
        <v>263</v>
      </c>
      <c r="C2172" s="25" t="s">
        <v>305</v>
      </c>
      <c r="D2172" s="25" t="s">
        <v>264</v>
      </c>
      <c r="E2172" s="25" t="s">
        <v>265</v>
      </c>
    </row>
    <row r="2173" spans="1:5">
      <c r="A2173" s="3">
        <v>0</v>
      </c>
      <c r="C2173" s="10">
        <f>1</f>
        <v>1</v>
      </c>
      <c r="D2173" s="18">
        <f>MIN(5*$B$165,$B$5)</f>
        <v>326289.84270319971</v>
      </c>
      <c r="E2173" s="18">
        <f>$B$5-D2173</f>
        <v>673710.15729680029</v>
      </c>
    </row>
    <row r="2174" spans="1:5">
      <c r="A2174" s="10">
        <f>1</f>
        <v>1</v>
      </c>
      <c r="B2174" s="18">
        <f t="shared" ref="B2174:B2205" si="236">IF(C2173=0,0,MIN(MAX(E2173,0),(($B$165-MIN(MAX(D2173,0),$B$165))+MAX(0,5*$B$165-(D2173-MIN(MAX(D2173,0),$B$165))))))</f>
        <v>65257.968540639937</v>
      </c>
      <c r="C2174" s="10">
        <f t="shared" ref="C2174:C2205" si="237">IF(AND(C2173=1,D2173+E2173&gt;0.000001,B2174&gt;=($B$165-MIN(MAX(D2173,0),$B$165))-0.000001),1,0)</f>
        <v>1</v>
      </c>
      <c r="D2174" s="18">
        <f t="shared" ref="D2174:D2205" si="238">IF(C2174=0,D2173,(D2173-$B$165+B2174)*(1+$B$7))</f>
        <v>325115.1992694682</v>
      </c>
      <c r="E2174" s="18">
        <f t="shared" ref="E2174:E2205" si="239">IF(C2174=0,E2173,(E2173-B2174)*(1+$B$6))</f>
        <v>626705.75441884517</v>
      </c>
    </row>
    <row r="2175" spans="1:5">
      <c r="A2175" s="10">
        <f>2</f>
        <v>2</v>
      </c>
      <c r="B2175" s="18">
        <f t="shared" si="236"/>
        <v>66432.611974371452</v>
      </c>
      <c r="C2175" s="10">
        <f t="shared" si="237"/>
        <v>1</v>
      </c>
      <c r="D2175" s="18">
        <f t="shared" si="238"/>
        <v>325115.1992694682</v>
      </c>
      <c r="E2175" s="18">
        <f t="shared" si="239"/>
        <v>577081.33671780792</v>
      </c>
    </row>
    <row r="2176" spans="1:5">
      <c r="A2176" s="10">
        <f>3</f>
        <v>3</v>
      </c>
      <c r="B2176" s="18">
        <f t="shared" si="236"/>
        <v>66432.611974371452</v>
      </c>
      <c r="C2176" s="10">
        <f t="shared" si="237"/>
        <v>1</v>
      </c>
      <c r="D2176" s="18">
        <f t="shared" si="238"/>
        <v>325115.1992694682</v>
      </c>
      <c r="E2176" s="18">
        <f t="shared" si="239"/>
        <v>525968.18648573954</v>
      </c>
    </row>
    <row r="2177" spans="1:5">
      <c r="A2177" s="10">
        <f>4</f>
        <v>4</v>
      </c>
      <c r="B2177" s="18">
        <f t="shared" si="236"/>
        <v>66432.611974371452</v>
      </c>
      <c r="C2177" s="10">
        <f t="shared" si="237"/>
        <v>1</v>
      </c>
      <c r="D2177" s="18">
        <f t="shared" si="238"/>
        <v>325115.1992694682</v>
      </c>
      <c r="E2177" s="18">
        <f t="shared" si="239"/>
        <v>473321.64174670912</v>
      </c>
    </row>
    <row r="2178" spans="1:5">
      <c r="A2178" s="10">
        <f>5</f>
        <v>5</v>
      </c>
      <c r="B2178" s="18">
        <f t="shared" si="236"/>
        <v>66432.611974371452</v>
      </c>
      <c r="C2178" s="10">
        <f t="shared" si="237"/>
        <v>1</v>
      </c>
      <c r="D2178" s="18">
        <f t="shared" si="238"/>
        <v>325115.1992694682</v>
      </c>
      <c r="E2178" s="18">
        <f t="shared" si="239"/>
        <v>419095.70066550776</v>
      </c>
    </row>
    <row r="2179" spans="1:5">
      <c r="A2179" s="10">
        <f>6</f>
        <v>6</v>
      </c>
      <c r="B2179" s="18">
        <f t="shared" si="236"/>
        <v>66432.611974371452</v>
      </c>
      <c r="C2179" s="10">
        <f t="shared" si="237"/>
        <v>1</v>
      </c>
      <c r="D2179" s="18">
        <f t="shared" si="238"/>
        <v>325115.1992694682</v>
      </c>
      <c r="E2179" s="18">
        <f t="shared" si="239"/>
        <v>363242.98135187046</v>
      </c>
    </row>
    <row r="2180" spans="1:5">
      <c r="A2180" s="10">
        <f>7</f>
        <v>7</v>
      </c>
      <c r="B2180" s="18">
        <f t="shared" si="236"/>
        <v>66432.611974371452</v>
      </c>
      <c r="C2180" s="10">
        <f t="shared" si="237"/>
        <v>1</v>
      </c>
      <c r="D2180" s="18">
        <f t="shared" si="238"/>
        <v>325115.1992694682</v>
      </c>
      <c r="E2180" s="18">
        <f t="shared" si="239"/>
        <v>305714.68045882398</v>
      </c>
    </row>
    <row r="2181" spans="1:5">
      <c r="A2181" s="10">
        <f>8</f>
        <v>8</v>
      </c>
      <c r="B2181" s="18">
        <f t="shared" si="236"/>
        <v>66432.611974371452</v>
      </c>
      <c r="C2181" s="10">
        <f t="shared" si="237"/>
        <v>1</v>
      </c>
      <c r="D2181" s="18">
        <f t="shared" si="238"/>
        <v>325115.1992694682</v>
      </c>
      <c r="E2181" s="18">
        <f t="shared" si="239"/>
        <v>246460.53053898612</v>
      </c>
    </row>
    <row r="2182" spans="1:5">
      <c r="A2182" s="10">
        <f>9</f>
        <v>9</v>
      </c>
      <c r="B2182" s="18">
        <f t="shared" si="236"/>
        <v>66432.611974371452</v>
      </c>
      <c r="C2182" s="10">
        <f t="shared" si="237"/>
        <v>1</v>
      </c>
      <c r="D2182" s="18">
        <f t="shared" si="238"/>
        <v>325115.1992694682</v>
      </c>
      <c r="E2182" s="18">
        <f t="shared" si="239"/>
        <v>185428.7561215531</v>
      </c>
    </row>
    <row r="2183" spans="1:5">
      <c r="A2183" s="10">
        <f>10</f>
        <v>10</v>
      </c>
      <c r="B2183" s="18">
        <f t="shared" si="236"/>
        <v>66432.611974371452</v>
      </c>
      <c r="C2183" s="10">
        <f t="shared" si="237"/>
        <v>1</v>
      </c>
      <c r="D2183" s="18">
        <f t="shared" si="238"/>
        <v>325115.1992694682</v>
      </c>
      <c r="E2183" s="18">
        <f t="shared" si="239"/>
        <v>122566.02847159711</v>
      </c>
    </row>
    <row r="2184" spans="1:5">
      <c r="A2184" s="10">
        <f>11</f>
        <v>11</v>
      </c>
      <c r="B2184" s="18">
        <f t="shared" si="236"/>
        <v>66432.611974371452</v>
      </c>
      <c r="C2184" s="10">
        <f t="shared" si="237"/>
        <v>1</v>
      </c>
      <c r="D2184" s="18">
        <f t="shared" si="238"/>
        <v>325115.1992694682</v>
      </c>
      <c r="E2184" s="18">
        <f t="shared" si="239"/>
        <v>57817.418992142426</v>
      </c>
    </row>
    <row r="2185" spans="1:5">
      <c r="A2185" s="10">
        <f>12</f>
        <v>12</v>
      </c>
      <c r="B2185" s="18">
        <f t="shared" si="236"/>
        <v>57817.418992142426</v>
      </c>
      <c r="C2185" s="10">
        <f t="shared" si="237"/>
        <v>1</v>
      </c>
      <c r="D2185" s="18">
        <f t="shared" si="238"/>
        <v>316531.02098197513</v>
      </c>
      <c r="E2185" s="18">
        <f t="shared" si="239"/>
        <v>0</v>
      </c>
    </row>
    <row r="2186" spans="1:5">
      <c r="A2186" s="10">
        <f>13</f>
        <v>13</v>
      </c>
      <c r="B2186" s="18">
        <f t="shared" si="236"/>
        <v>0</v>
      </c>
      <c r="C2186" s="10">
        <f t="shared" si="237"/>
        <v>1</v>
      </c>
      <c r="D2186" s="18">
        <f t="shared" si="238"/>
        <v>250368.46945254639</v>
      </c>
      <c r="E2186" s="18">
        <f t="shared" si="239"/>
        <v>0</v>
      </c>
    </row>
    <row r="2187" spans="1:5">
      <c r="A2187" s="10">
        <f>14</f>
        <v>14</v>
      </c>
      <c r="B2187" s="18">
        <f t="shared" si="236"/>
        <v>0</v>
      </c>
      <c r="C2187" s="10">
        <f t="shared" si="237"/>
        <v>1</v>
      </c>
      <c r="D2187" s="18">
        <f t="shared" si="238"/>
        <v>184444.10310862359</v>
      </c>
      <c r="E2187" s="18">
        <f t="shared" si="239"/>
        <v>0</v>
      </c>
    </row>
    <row r="2188" spans="1:5">
      <c r="A2188" s="10">
        <f>15</f>
        <v>15</v>
      </c>
      <c r="B2188" s="18">
        <f t="shared" si="236"/>
        <v>0</v>
      </c>
      <c r="C2188" s="10">
        <f t="shared" si="237"/>
        <v>1</v>
      </c>
      <c r="D2188" s="18">
        <f t="shared" si="238"/>
        <v>118757.06448353891</v>
      </c>
      <c r="E2188" s="18">
        <f t="shared" si="239"/>
        <v>0</v>
      </c>
    </row>
    <row r="2189" spans="1:5">
      <c r="A2189" s="10">
        <f>16</f>
        <v>16</v>
      </c>
      <c r="B2189" s="18">
        <f t="shared" si="236"/>
        <v>0</v>
      </c>
      <c r="C2189" s="10">
        <f t="shared" si="237"/>
        <v>1</v>
      </c>
      <c r="D2189" s="18">
        <f t="shared" si="238"/>
        <v>53306.499197504534</v>
      </c>
      <c r="E2189" s="18">
        <f t="shared" si="239"/>
        <v>0</v>
      </c>
    </row>
    <row r="2190" spans="1:5">
      <c r="A2190" s="10">
        <f>17</f>
        <v>17</v>
      </c>
      <c r="B2190" s="18">
        <f t="shared" si="236"/>
        <v>0</v>
      </c>
      <c r="C2190" s="10">
        <f t="shared" si="237"/>
        <v>0</v>
      </c>
      <c r="D2190" s="18">
        <f t="shared" si="238"/>
        <v>53306.499197504534</v>
      </c>
      <c r="E2190" s="18">
        <f t="shared" si="239"/>
        <v>0</v>
      </c>
    </row>
    <row r="2191" spans="1:5">
      <c r="A2191" s="10">
        <f>18</f>
        <v>18</v>
      </c>
      <c r="B2191" s="18">
        <f t="shared" si="236"/>
        <v>0</v>
      </c>
      <c r="C2191" s="10">
        <f t="shared" si="237"/>
        <v>0</v>
      </c>
      <c r="D2191" s="18">
        <f t="shared" si="238"/>
        <v>53306.499197504534</v>
      </c>
      <c r="E2191" s="18">
        <f t="shared" si="239"/>
        <v>0</v>
      </c>
    </row>
    <row r="2192" spans="1:5">
      <c r="A2192" s="10">
        <f>19</f>
        <v>19</v>
      </c>
      <c r="B2192" s="18">
        <f t="shared" si="236"/>
        <v>0</v>
      </c>
      <c r="C2192" s="10">
        <f t="shared" si="237"/>
        <v>0</v>
      </c>
      <c r="D2192" s="18">
        <f t="shared" si="238"/>
        <v>53306.499197504534</v>
      </c>
      <c r="E2192" s="18">
        <f t="shared" si="239"/>
        <v>0</v>
      </c>
    </row>
    <row r="2193" spans="1:5">
      <c r="A2193" s="10">
        <f>20</f>
        <v>20</v>
      </c>
      <c r="B2193" s="18">
        <f t="shared" si="236"/>
        <v>0</v>
      </c>
      <c r="C2193" s="10">
        <f t="shared" si="237"/>
        <v>0</v>
      </c>
      <c r="D2193" s="18">
        <f t="shared" si="238"/>
        <v>53306.499197504534</v>
      </c>
      <c r="E2193" s="18">
        <f t="shared" si="239"/>
        <v>0</v>
      </c>
    </row>
    <row r="2194" spans="1:5">
      <c r="A2194" s="10">
        <f>21</f>
        <v>21</v>
      </c>
      <c r="B2194" s="18">
        <f t="shared" si="236"/>
        <v>0</v>
      </c>
      <c r="C2194" s="10">
        <f t="shared" si="237"/>
        <v>0</v>
      </c>
      <c r="D2194" s="18">
        <f t="shared" si="238"/>
        <v>53306.499197504534</v>
      </c>
      <c r="E2194" s="18">
        <f t="shared" si="239"/>
        <v>0</v>
      </c>
    </row>
    <row r="2195" spans="1:5">
      <c r="A2195" s="10">
        <f>22</f>
        <v>22</v>
      </c>
      <c r="B2195" s="18">
        <f t="shared" si="236"/>
        <v>0</v>
      </c>
      <c r="C2195" s="10">
        <f t="shared" si="237"/>
        <v>0</v>
      </c>
      <c r="D2195" s="18">
        <f t="shared" si="238"/>
        <v>53306.499197504534</v>
      </c>
      <c r="E2195" s="18">
        <f t="shared" si="239"/>
        <v>0</v>
      </c>
    </row>
    <row r="2196" spans="1:5">
      <c r="A2196" s="10">
        <f>23</f>
        <v>23</v>
      </c>
      <c r="B2196" s="18">
        <f t="shared" si="236"/>
        <v>0</v>
      </c>
      <c r="C2196" s="10">
        <f t="shared" si="237"/>
        <v>0</v>
      </c>
      <c r="D2196" s="18">
        <f t="shared" si="238"/>
        <v>53306.499197504534</v>
      </c>
      <c r="E2196" s="18">
        <f t="shared" si="239"/>
        <v>0</v>
      </c>
    </row>
    <row r="2197" spans="1:5">
      <c r="A2197" s="10">
        <f>24</f>
        <v>24</v>
      </c>
      <c r="B2197" s="18">
        <f t="shared" si="236"/>
        <v>0</v>
      </c>
      <c r="C2197" s="10">
        <f t="shared" si="237"/>
        <v>0</v>
      </c>
      <c r="D2197" s="18">
        <f t="shared" si="238"/>
        <v>53306.499197504534</v>
      </c>
      <c r="E2197" s="18">
        <f t="shared" si="239"/>
        <v>0</v>
      </c>
    </row>
    <row r="2198" spans="1:5">
      <c r="A2198" s="10">
        <f>25</f>
        <v>25</v>
      </c>
      <c r="B2198" s="18">
        <f t="shared" si="236"/>
        <v>0</v>
      </c>
      <c r="C2198" s="10">
        <f t="shared" si="237"/>
        <v>0</v>
      </c>
      <c r="D2198" s="18">
        <f t="shared" si="238"/>
        <v>53306.499197504534</v>
      </c>
      <c r="E2198" s="18">
        <f t="shared" si="239"/>
        <v>0</v>
      </c>
    </row>
    <row r="2199" spans="1:5">
      <c r="A2199" s="10">
        <f>26</f>
        <v>26</v>
      </c>
      <c r="B2199" s="18">
        <f t="shared" si="236"/>
        <v>0</v>
      </c>
      <c r="C2199" s="10">
        <f t="shared" si="237"/>
        <v>0</v>
      </c>
      <c r="D2199" s="18">
        <f t="shared" si="238"/>
        <v>53306.499197504534</v>
      </c>
      <c r="E2199" s="18">
        <f t="shared" si="239"/>
        <v>0</v>
      </c>
    </row>
    <row r="2200" spans="1:5">
      <c r="A2200" s="10">
        <f>27</f>
        <v>27</v>
      </c>
      <c r="B2200" s="18">
        <f t="shared" si="236"/>
        <v>0</v>
      </c>
      <c r="C2200" s="10">
        <f t="shared" si="237"/>
        <v>0</v>
      </c>
      <c r="D2200" s="18">
        <f t="shared" si="238"/>
        <v>53306.499197504534</v>
      </c>
      <c r="E2200" s="18">
        <f t="shared" si="239"/>
        <v>0</v>
      </c>
    </row>
    <row r="2201" spans="1:5">
      <c r="A2201" s="10">
        <f>28</f>
        <v>28</v>
      </c>
      <c r="B2201" s="18">
        <f t="shared" si="236"/>
        <v>0</v>
      </c>
      <c r="C2201" s="10">
        <f t="shared" si="237"/>
        <v>0</v>
      </c>
      <c r="D2201" s="18">
        <f t="shared" si="238"/>
        <v>53306.499197504534</v>
      </c>
      <c r="E2201" s="18">
        <f t="shared" si="239"/>
        <v>0</v>
      </c>
    </row>
    <row r="2202" spans="1:5">
      <c r="A2202" s="10">
        <f>29</f>
        <v>29</v>
      </c>
      <c r="B2202" s="18">
        <f t="shared" si="236"/>
        <v>0</v>
      </c>
      <c r="C2202" s="10">
        <f t="shared" si="237"/>
        <v>0</v>
      </c>
      <c r="D2202" s="18">
        <f t="shared" si="238"/>
        <v>53306.499197504534</v>
      </c>
      <c r="E2202" s="18">
        <f t="shared" si="239"/>
        <v>0</v>
      </c>
    </row>
    <row r="2203" spans="1:5">
      <c r="A2203" s="10">
        <f>30</f>
        <v>30</v>
      </c>
      <c r="B2203" s="18">
        <f t="shared" si="236"/>
        <v>0</v>
      </c>
      <c r="C2203" s="10">
        <f t="shared" si="237"/>
        <v>0</v>
      </c>
      <c r="D2203" s="18">
        <f t="shared" si="238"/>
        <v>53306.499197504534</v>
      </c>
      <c r="E2203" s="18">
        <f t="shared" si="239"/>
        <v>0</v>
      </c>
    </row>
    <row r="2204" spans="1:5">
      <c r="A2204" s="10">
        <f>31</f>
        <v>31</v>
      </c>
      <c r="B2204" s="18">
        <f t="shared" si="236"/>
        <v>0</v>
      </c>
      <c r="C2204" s="10">
        <f t="shared" si="237"/>
        <v>0</v>
      </c>
      <c r="D2204" s="18">
        <f t="shared" si="238"/>
        <v>53306.499197504534</v>
      </c>
      <c r="E2204" s="18">
        <f t="shared" si="239"/>
        <v>0</v>
      </c>
    </row>
    <row r="2205" spans="1:5">
      <c r="A2205" s="10">
        <f>32</f>
        <v>32</v>
      </c>
      <c r="B2205" s="18">
        <f t="shared" si="236"/>
        <v>0</v>
      </c>
      <c r="C2205" s="10">
        <f t="shared" si="237"/>
        <v>0</v>
      </c>
      <c r="D2205" s="18">
        <f t="shared" si="238"/>
        <v>53306.499197504534</v>
      </c>
      <c r="E2205" s="18">
        <f t="shared" si="239"/>
        <v>0</v>
      </c>
    </row>
    <row r="2206" spans="1:5">
      <c r="A2206" s="10">
        <f>33</f>
        <v>33</v>
      </c>
      <c r="B2206" s="18">
        <f t="shared" ref="B2206:B2233" si="240">IF(C2205=0,0,MIN(MAX(E2205,0),(($B$165-MIN(MAX(D2205,0),$B$165))+MAX(0,5*$B$165-(D2205-MIN(MAX(D2205,0),$B$165))))))</f>
        <v>0</v>
      </c>
      <c r="C2206" s="10">
        <f t="shared" ref="C2206:C2237" si="241">IF(AND(C2205=1,D2205+E2205&gt;0.000001,B2206&gt;=($B$165-MIN(MAX(D2205,0),$B$165))-0.000001),1,0)</f>
        <v>0</v>
      </c>
      <c r="D2206" s="18">
        <f t="shared" ref="D2206:D2237" si="242">IF(C2206=0,D2205,(D2205-$B$165+B2206)*(1+$B$7))</f>
        <v>53306.499197504534</v>
      </c>
      <c r="E2206" s="18">
        <f t="shared" ref="E2206:E2233" si="243">IF(C2206=0,E2205,(E2205-B2206)*(1+$B$6))</f>
        <v>0</v>
      </c>
    </row>
    <row r="2207" spans="1:5">
      <c r="A2207" s="10">
        <f>34</f>
        <v>34</v>
      </c>
      <c r="B2207" s="18">
        <f t="shared" si="240"/>
        <v>0</v>
      </c>
      <c r="C2207" s="10">
        <f t="shared" si="241"/>
        <v>0</v>
      </c>
      <c r="D2207" s="18">
        <f t="shared" si="242"/>
        <v>53306.499197504534</v>
      </c>
      <c r="E2207" s="18">
        <f t="shared" si="243"/>
        <v>0</v>
      </c>
    </row>
    <row r="2208" spans="1:5">
      <c r="A2208" s="10">
        <f>35</f>
        <v>35</v>
      </c>
      <c r="B2208" s="18">
        <f t="shared" si="240"/>
        <v>0</v>
      </c>
      <c r="C2208" s="10">
        <f t="shared" si="241"/>
        <v>0</v>
      </c>
      <c r="D2208" s="18">
        <f t="shared" si="242"/>
        <v>53306.499197504534</v>
      </c>
      <c r="E2208" s="18">
        <f t="shared" si="243"/>
        <v>0</v>
      </c>
    </row>
    <row r="2209" spans="1:5">
      <c r="A2209" s="10">
        <f>36</f>
        <v>36</v>
      </c>
      <c r="B2209" s="18">
        <f t="shared" si="240"/>
        <v>0</v>
      </c>
      <c r="C2209" s="10">
        <f t="shared" si="241"/>
        <v>0</v>
      </c>
      <c r="D2209" s="18">
        <f t="shared" si="242"/>
        <v>53306.499197504534</v>
      </c>
      <c r="E2209" s="18">
        <f t="shared" si="243"/>
        <v>0</v>
      </c>
    </row>
    <row r="2210" spans="1:5">
      <c r="A2210" s="10">
        <f>37</f>
        <v>37</v>
      </c>
      <c r="B2210" s="18">
        <f t="shared" si="240"/>
        <v>0</v>
      </c>
      <c r="C2210" s="10">
        <f t="shared" si="241"/>
        <v>0</v>
      </c>
      <c r="D2210" s="18">
        <f t="shared" si="242"/>
        <v>53306.499197504534</v>
      </c>
      <c r="E2210" s="18">
        <f t="shared" si="243"/>
        <v>0</v>
      </c>
    </row>
    <row r="2211" spans="1:5">
      <c r="A2211" s="10">
        <f>38</f>
        <v>38</v>
      </c>
      <c r="B2211" s="18">
        <f t="shared" si="240"/>
        <v>0</v>
      </c>
      <c r="C2211" s="10">
        <f t="shared" si="241"/>
        <v>0</v>
      </c>
      <c r="D2211" s="18">
        <f t="shared" si="242"/>
        <v>53306.499197504534</v>
      </c>
      <c r="E2211" s="18">
        <f t="shared" si="243"/>
        <v>0</v>
      </c>
    </row>
    <row r="2212" spans="1:5">
      <c r="A2212" s="10">
        <f>39</f>
        <v>39</v>
      </c>
      <c r="B2212" s="18">
        <f t="shared" si="240"/>
        <v>0</v>
      </c>
      <c r="C2212" s="10">
        <f t="shared" si="241"/>
        <v>0</v>
      </c>
      <c r="D2212" s="18">
        <f t="shared" si="242"/>
        <v>53306.499197504534</v>
      </c>
      <c r="E2212" s="18">
        <f t="shared" si="243"/>
        <v>0</v>
      </c>
    </row>
    <row r="2213" spans="1:5">
      <c r="A2213" s="10">
        <f>40</f>
        <v>40</v>
      </c>
      <c r="B2213" s="18">
        <f t="shared" si="240"/>
        <v>0</v>
      </c>
      <c r="C2213" s="10">
        <f t="shared" si="241"/>
        <v>0</v>
      </c>
      <c r="D2213" s="18">
        <f t="shared" si="242"/>
        <v>53306.499197504534</v>
      </c>
      <c r="E2213" s="18">
        <f t="shared" si="243"/>
        <v>0</v>
      </c>
    </row>
    <row r="2214" spans="1:5">
      <c r="A2214" s="10">
        <f>41</f>
        <v>41</v>
      </c>
      <c r="B2214" s="18">
        <f t="shared" si="240"/>
        <v>0</v>
      </c>
      <c r="C2214" s="10">
        <f t="shared" si="241"/>
        <v>0</v>
      </c>
      <c r="D2214" s="18">
        <f t="shared" si="242"/>
        <v>53306.499197504534</v>
      </c>
      <c r="E2214" s="18">
        <f t="shared" si="243"/>
        <v>0</v>
      </c>
    </row>
    <row r="2215" spans="1:5">
      <c r="A2215" s="10">
        <f>42</f>
        <v>42</v>
      </c>
      <c r="B2215" s="18">
        <f t="shared" si="240"/>
        <v>0</v>
      </c>
      <c r="C2215" s="10">
        <f t="shared" si="241"/>
        <v>0</v>
      </c>
      <c r="D2215" s="18">
        <f t="shared" si="242"/>
        <v>53306.499197504534</v>
      </c>
      <c r="E2215" s="18">
        <f t="shared" si="243"/>
        <v>0</v>
      </c>
    </row>
    <row r="2216" spans="1:5">
      <c r="A2216" s="10">
        <f>43</f>
        <v>43</v>
      </c>
      <c r="B2216" s="18">
        <f t="shared" si="240"/>
        <v>0</v>
      </c>
      <c r="C2216" s="10">
        <f t="shared" si="241"/>
        <v>0</v>
      </c>
      <c r="D2216" s="18">
        <f t="shared" si="242"/>
        <v>53306.499197504534</v>
      </c>
      <c r="E2216" s="18">
        <f t="shared" si="243"/>
        <v>0</v>
      </c>
    </row>
    <row r="2217" spans="1:5">
      <c r="A2217" s="10">
        <f>44</f>
        <v>44</v>
      </c>
      <c r="B2217" s="18">
        <f t="shared" si="240"/>
        <v>0</v>
      </c>
      <c r="C2217" s="10">
        <f t="shared" si="241"/>
        <v>0</v>
      </c>
      <c r="D2217" s="18">
        <f t="shared" si="242"/>
        <v>53306.499197504534</v>
      </c>
      <c r="E2217" s="18">
        <f t="shared" si="243"/>
        <v>0</v>
      </c>
    </row>
    <row r="2218" spans="1:5">
      <c r="A2218" s="10">
        <f>45</f>
        <v>45</v>
      </c>
      <c r="B2218" s="18">
        <f t="shared" si="240"/>
        <v>0</v>
      </c>
      <c r="C2218" s="10">
        <f t="shared" si="241"/>
        <v>0</v>
      </c>
      <c r="D2218" s="18">
        <f t="shared" si="242"/>
        <v>53306.499197504534</v>
      </c>
      <c r="E2218" s="18">
        <f t="shared" si="243"/>
        <v>0</v>
      </c>
    </row>
    <row r="2219" spans="1:5">
      <c r="A2219" s="10">
        <f>46</f>
        <v>46</v>
      </c>
      <c r="B2219" s="18">
        <f t="shared" si="240"/>
        <v>0</v>
      </c>
      <c r="C2219" s="10">
        <f t="shared" si="241"/>
        <v>0</v>
      </c>
      <c r="D2219" s="18">
        <f t="shared" si="242"/>
        <v>53306.499197504534</v>
      </c>
      <c r="E2219" s="18">
        <f t="shared" si="243"/>
        <v>0</v>
      </c>
    </row>
    <row r="2220" spans="1:5">
      <c r="A2220" s="10">
        <f>47</f>
        <v>47</v>
      </c>
      <c r="B2220" s="18">
        <f t="shared" si="240"/>
        <v>0</v>
      </c>
      <c r="C2220" s="10">
        <f t="shared" si="241"/>
        <v>0</v>
      </c>
      <c r="D2220" s="18">
        <f t="shared" si="242"/>
        <v>53306.499197504534</v>
      </c>
      <c r="E2220" s="18">
        <f t="shared" si="243"/>
        <v>0</v>
      </c>
    </row>
    <row r="2221" spans="1:5">
      <c r="A2221" s="10">
        <f>48</f>
        <v>48</v>
      </c>
      <c r="B2221" s="18">
        <f t="shared" si="240"/>
        <v>0</v>
      </c>
      <c r="C2221" s="10">
        <f t="shared" si="241"/>
        <v>0</v>
      </c>
      <c r="D2221" s="18">
        <f t="shared" si="242"/>
        <v>53306.499197504534</v>
      </c>
      <c r="E2221" s="18">
        <f t="shared" si="243"/>
        <v>0</v>
      </c>
    </row>
    <row r="2222" spans="1:5">
      <c r="A2222" s="10">
        <f>49</f>
        <v>49</v>
      </c>
      <c r="B2222" s="18">
        <f t="shared" si="240"/>
        <v>0</v>
      </c>
      <c r="C2222" s="10">
        <f t="shared" si="241"/>
        <v>0</v>
      </c>
      <c r="D2222" s="18">
        <f t="shared" si="242"/>
        <v>53306.499197504534</v>
      </c>
      <c r="E2222" s="18">
        <f t="shared" si="243"/>
        <v>0</v>
      </c>
    </row>
    <row r="2223" spans="1:5">
      <c r="A2223" s="10">
        <f>50</f>
        <v>50</v>
      </c>
      <c r="B2223" s="18">
        <f t="shared" si="240"/>
        <v>0</v>
      </c>
      <c r="C2223" s="10">
        <f t="shared" si="241"/>
        <v>0</v>
      </c>
      <c r="D2223" s="18">
        <f t="shared" si="242"/>
        <v>53306.499197504534</v>
      </c>
      <c r="E2223" s="18">
        <f t="shared" si="243"/>
        <v>0</v>
      </c>
    </row>
    <row r="2224" spans="1:5">
      <c r="A2224" s="10">
        <f>51</f>
        <v>51</v>
      </c>
      <c r="B2224" s="18">
        <f t="shared" si="240"/>
        <v>0</v>
      </c>
      <c r="C2224" s="10">
        <f t="shared" si="241"/>
        <v>0</v>
      </c>
      <c r="D2224" s="18">
        <f t="shared" si="242"/>
        <v>53306.499197504534</v>
      </c>
      <c r="E2224" s="18">
        <f t="shared" si="243"/>
        <v>0</v>
      </c>
    </row>
    <row r="2225" spans="1:5">
      <c r="A2225" s="10">
        <f>52</f>
        <v>52</v>
      </c>
      <c r="B2225" s="18">
        <f t="shared" si="240"/>
        <v>0</v>
      </c>
      <c r="C2225" s="10">
        <f t="shared" si="241"/>
        <v>0</v>
      </c>
      <c r="D2225" s="18">
        <f t="shared" si="242"/>
        <v>53306.499197504534</v>
      </c>
      <c r="E2225" s="18">
        <f t="shared" si="243"/>
        <v>0</v>
      </c>
    </row>
    <row r="2226" spans="1:5">
      <c r="A2226" s="10">
        <f>53</f>
        <v>53</v>
      </c>
      <c r="B2226" s="18">
        <f t="shared" si="240"/>
        <v>0</v>
      </c>
      <c r="C2226" s="10">
        <f t="shared" si="241"/>
        <v>0</v>
      </c>
      <c r="D2226" s="18">
        <f t="shared" si="242"/>
        <v>53306.499197504534</v>
      </c>
      <c r="E2226" s="18">
        <f t="shared" si="243"/>
        <v>0</v>
      </c>
    </row>
    <row r="2227" spans="1:5">
      <c r="A2227" s="10">
        <f>54</f>
        <v>54</v>
      </c>
      <c r="B2227" s="18">
        <f t="shared" si="240"/>
        <v>0</v>
      </c>
      <c r="C2227" s="10">
        <f t="shared" si="241"/>
        <v>0</v>
      </c>
      <c r="D2227" s="18">
        <f t="shared" si="242"/>
        <v>53306.499197504534</v>
      </c>
      <c r="E2227" s="18">
        <f t="shared" si="243"/>
        <v>0</v>
      </c>
    </row>
    <row r="2228" spans="1:5">
      <c r="A2228" s="10">
        <f>55</f>
        <v>55</v>
      </c>
      <c r="B2228" s="18">
        <f t="shared" si="240"/>
        <v>0</v>
      </c>
      <c r="C2228" s="10">
        <f t="shared" si="241"/>
        <v>0</v>
      </c>
      <c r="D2228" s="18">
        <f t="shared" si="242"/>
        <v>53306.499197504534</v>
      </c>
      <c r="E2228" s="18">
        <f t="shared" si="243"/>
        <v>0</v>
      </c>
    </row>
    <row r="2229" spans="1:5">
      <c r="A2229" s="10">
        <f>56</f>
        <v>56</v>
      </c>
      <c r="B2229" s="18">
        <f t="shared" si="240"/>
        <v>0</v>
      </c>
      <c r="C2229" s="10">
        <f t="shared" si="241"/>
        <v>0</v>
      </c>
      <c r="D2229" s="18">
        <f t="shared" si="242"/>
        <v>53306.499197504534</v>
      </c>
      <c r="E2229" s="18">
        <f t="shared" si="243"/>
        <v>0</v>
      </c>
    </row>
    <row r="2230" spans="1:5">
      <c r="A2230" s="10">
        <f>57</f>
        <v>57</v>
      </c>
      <c r="B2230" s="18">
        <f t="shared" si="240"/>
        <v>0</v>
      </c>
      <c r="C2230" s="10">
        <f t="shared" si="241"/>
        <v>0</v>
      </c>
      <c r="D2230" s="18">
        <f t="shared" si="242"/>
        <v>53306.499197504534</v>
      </c>
      <c r="E2230" s="18">
        <f t="shared" si="243"/>
        <v>0</v>
      </c>
    </row>
    <row r="2231" spans="1:5">
      <c r="A2231" s="10">
        <f>58</f>
        <v>58</v>
      </c>
      <c r="B2231" s="18">
        <f t="shared" si="240"/>
        <v>0</v>
      </c>
      <c r="C2231" s="10">
        <f t="shared" si="241"/>
        <v>0</v>
      </c>
      <c r="D2231" s="18">
        <f t="shared" si="242"/>
        <v>53306.499197504534</v>
      </c>
      <c r="E2231" s="18">
        <f t="shared" si="243"/>
        <v>0</v>
      </c>
    </row>
    <row r="2232" spans="1:5">
      <c r="A2232" s="10">
        <f>59</f>
        <v>59</v>
      </c>
      <c r="B2232" s="18">
        <f t="shared" si="240"/>
        <v>0</v>
      </c>
      <c r="C2232" s="10">
        <f t="shared" si="241"/>
        <v>0</v>
      </c>
      <c r="D2232" s="18">
        <f t="shared" si="242"/>
        <v>53306.499197504534</v>
      </c>
      <c r="E2232" s="18">
        <f t="shared" si="243"/>
        <v>0</v>
      </c>
    </row>
    <row r="2233" spans="1:5">
      <c r="A2233" s="10">
        <f>60</f>
        <v>60</v>
      </c>
      <c r="B2233" s="18">
        <f t="shared" si="240"/>
        <v>0</v>
      </c>
      <c r="C2233" s="10">
        <f t="shared" si="241"/>
        <v>0</v>
      </c>
      <c r="D2233" s="18">
        <f t="shared" si="242"/>
        <v>53306.499197504534</v>
      </c>
      <c r="E2233" s="18">
        <f t="shared" si="243"/>
        <v>0</v>
      </c>
    </row>
    <row r="2234" spans="1:5">
      <c r="B2234" s="10">
        <f>SUM(C2174:C2233)</f>
        <v>16</v>
      </c>
    </row>
    <row r="2236" spans="1:5">
      <c r="A2236" s="2" t="s">
        <v>310</v>
      </c>
    </row>
    <row r="2238" spans="1:5">
      <c r="A2238" s="25" t="s">
        <v>262</v>
      </c>
      <c r="B2238" s="25" t="s">
        <v>263</v>
      </c>
      <c r="C2238" s="25" t="s">
        <v>305</v>
      </c>
      <c r="D2238" s="25" t="s">
        <v>264</v>
      </c>
      <c r="E2238" s="25" t="s">
        <v>265</v>
      </c>
    </row>
    <row r="2239" spans="1:5">
      <c r="A2239" s="3">
        <v>0</v>
      </c>
      <c r="C2239" s="10">
        <f>1</f>
        <v>1</v>
      </c>
      <c r="D2239" s="18">
        <f>MIN(0*$B$635,$B$5)</f>
        <v>0</v>
      </c>
      <c r="E2239" s="18">
        <f>$B$5-D2239</f>
        <v>1000000</v>
      </c>
    </row>
    <row r="2240" spans="1:5">
      <c r="A2240" s="10">
        <f>1</f>
        <v>1</v>
      </c>
      <c r="B2240" s="18">
        <f t="shared" ref="B2240:B2271" si="244">IF(C2239=0,0,MIN(MAX(E2239,0),(($B$635-MIN(MAX(D2239,0),$B$635))+MAX(0,0*$B$635-(D2239-MIN(MAX(D2239,0),$B$635))))))</f>
        <v>49533.261475973355</v>
      </c>
      <c r="C2240" s="10">
        <f t="shared" ref="C2240:C2271" si="245">IF(AND(C2239=1,D2239+E2239&gt;0.000001,B2240&gt;=($B$635-MIN(MAX(D2239,0),$B$635))-0.000001),1,0)</f>
        <v>1</v>
      </c>
      <c r="D2240" s="18">
        <f t="shared" ref="D2240:D2271" si="246">IF(C2240=0,D2239,(D2239-$B$635+B2240)*(1+$B$7))</f>
        <v>0</v>
      </c>
      <c r="E2240" s="18">
        <f t="shared" ref="E2240:E2271" si="247">IF(C2240=0,E2239,(E2239-B2240)*(1+$B$6))</f>
        <v>978980.74067974754</v>
      </c>
    </row>
    <row r="2241" spans="1:5">
      <c r="A2241" s="10">
        <f>2</f>
        <v>2</v>
      </c>
      <c r="B2241" s="18">
        <f t="shared" si="244"/>
        <v>49533.261475973355</v>
      </c>
      <c r="C2241" s="10">
        <f t="shared" si="245"/>
        <v>1</v>
      </c>
      <c r="D2241" s="18">
        <f t="shared" si="246"/>
        <v>0</v>
      </c>
      <c r="E2241" s="18">
        <f t="shared" si="247"/>
        <v>957330.90357988735</v>
      </c>
    </row>
    <row r="2242" spans="1:5">
      <c r="A2242" s="10">
        <f>3</f>
        <v>3</v>
      </c>
      <c r="B2242" s="18">
        <f t="shared" si="244"/>
        <v>49533.261475973355</v>
      </c>
      <c r="C2242" s="10">
        <f t="shared" si="245"/>
        <v>1</v>
      </c>
      <c r="D2242" s="18">
        <f t="shared" si="246"/>
        <v>0</v>
      </c>
      <c r="E2242" s="18">
        <f t="shared" si="247"/>
        <v>935031.57136703143</v>
      </c>
    </row>
    <row r="2243" spans="1:5">
      <c r="A2243" s="10">
        <f>4</f>
        <v>4</v>
      </c>
      <c r="B2243" s="18">
        <f t="shared" si="244"/>
        <v>49533.261475973355</v>
      </c>
      <c r="C2243" s="10">
        <f t="shared" si="245"/>
        <v>1</v>
      </c>
      <c r="D2243" s="18">
        <f t="shared" si="246"/>
        <v>0</v>
      </c>
      <c r="E2243" s="18">
        <f t="shared" si="247"/>
        <v>912063.25918778987</v>
      </c>
    </row>
    <row r="2244" spans="1:5">
      <c r="A2244" s="10">
        <f>5</f>
        <v>5</v>
      </c>
      <c r="B2244" s="18">
        <f t="shared" si="244"/>
        <v>49533.261475973355</v>
      </c>
      <c r="C2244" s="10">
        <f t="shared" si="245"/>
        <v>1</v>
      </c>
      <c r="D2244" s="18">
        <f t="shared" si="246"/>
        <v>0</v>
      </c>
      <c r="E2244" s="18">
        <f t="shared" si="247"/>
        <v>888405.89764317113</v>
      </c>
    </row>
    <row r="2245" spans="1:5">
      <c r="A2245" s="10">
        <f>6</f>
        <v>6</v>
      </c>
      <c r="B2245" s="18">
        <f t="shared" si="244"/>
        <v>49533.261475973355</v>
      </c>
      <c r="C2245" s="10">
        <f t="shared" si="245"/>
        <v>1</v>
      </c>
      <c r="D2245" s="18">
        <f t="shared" si="246"/>
        <v>0</v>
      </c>
      <c r="E2245" s="18">
        <f t="shared" si="247"/>
        <v>864038.81525221362</v>
      </c>
    </row>
    <row r="2246" spans="1:5">
      <c r="A2246" s="10">
        <f>7</f>
        <v>7</v>
      </c>
      <c r="B2246" s="18">
        <f t="shared" si="244"/>
        <v>49533.261475973355</v>
      </c>
      <c r="C2246" s="10">
        <f t="shared" si="245"/>
        <v>1</v>
      </c>
      <c r="D2246" s="18">
        <f t="shared" si="246"/>
        <v>0</v>
      </c>
      <c r="E2246" s="18">
        <f t="shared" si="247"/>
        <v>838940.72038952739</v>
      </c>
    </row>
    <row r="2247" spans="1:5">
      <c r="A2247" s="10">
        <f>8</f>
        <v>8</v>
      </c>
      <c r="B2247" s="18">
        <f t="shared" si="244"/>
        <v>49533.261475973355</v>
      </c>
      <c r="C2247" s="10">
        <f t="shared" si="245"/>
        <v>1</v>
      </c>
      <c r="D2247" s="18">
        <f t="shared" si="246"/>
        <v>0</v>
      </c>
      <c r="E2247" s="18">
        <f t="shared" si="247"/>
        <v>813089.68268096063</v>
      </c>
    </row>
    <row r="2248" spans="1:5">
      <c r="A2248" s="10">
        <f>9</f>
        <v>9</v>
      </c>
      <c r="B2248" s="18">
        <f t="shared" si="244"/>
        <v>49533.261475973355</v>
      </c>
      <c r="C2248" s="10">
        <f t="shared" si="245"/>
        <v>1</v>
      </c>
      <c r="D2248" s="18">
        <f t="shared" si="246"/>
        <v>0</v>
      </c>
      <c r="E2248" s="18">
        <f t="shared" si="247"/>
        <v>786463.1138411368</v>
      </c>
    </row>
    <row r="2249" spans="1:5">
      <c r="A2249" s="10">
        <f>10</f>
        <v>10</v>
      </c>
      <c r="B2249" s="18">
        <f t="shared" si="244"/>
        <v>49533.261475973355</v>
      </c>
      <c r="C2249" s="10">
        <f t="shared" si="245"/>
        <v>1</v>
      </c>
      <c r="D2249" s="18">
        <f t="shared" si="246"/>
        <v>0</v>
      </c>
      <c r="E2249" s="18">
        <f t="shared" si="247"/>
        <v>759037.74793611828</v>
      </c>
    </row>
    <row r="2250" spans="1:5">
      <c r="A2250" s="10">
        <f>11</f>
        <v>11</v>
      </c>
      <c r="B2250" s="18">
        <f t="shared" si="244"/>
        <v>49533.261475973355</v>
      </c>
      <c r="C2250" s="10">
        <f t="shared" si="245"/>
        <v>1</v>
      </c>
      <c r="D2250" s="18">
        <f t="shared" si="246"/>
        <v>0</v>
      </c>
      <c r="E2250" s="18">
        <f t="shared" si="247"/>
        <v>730789.62105394923</v>
      </c>
    </row>
    <row r="2251" spans="1:5">
      <c r="A2251" s="10">
        <f>12</f>
        <v>12</v>
      </c>
      <c r="B2251" s="18">
        <f t="shared" si="244"/>
        <v>49533.261475973355</v>
      </c>
      <c r="C2251" s="10">
        <f t="shared" si="245"/>
        <v>1</v>
      </c>
      <c r="D2251" s="18">
        <f t="shared" si="246"/>
        <v>0</v>
      </c>
      <c r="E2251" s="18">
        <f t="shared" si="247"/>
        <v>701694.05036531528</v>
      </c>
    </row>
    <row r="2252" spans="1:5">
      <c r="A2252" s="10">
        <f>13</f>
        <v>13</v>
      </c>
      <c r="B2252" s="18">
        <f t="shared" si="244"/>
        <v>49533.261475973355</v>
      </c>
      <c r="C2252" s="10">
        <f t="shared" si="245"/>
        <v>1</v>
      </c>
      <c r="D2252" s="18">
        <f t="shared" si="246"/>
        <v>0</v>
      </c>
      <c r="E2252" s="18">
        <f t="shared" si="247"/>
        <v>671725.61255602224</v>
      </c>
    </row>
    <row r="2253" spans="1:5">
      <c r="A2253" s="10">
        <f>14</f>
        <v>14</v>
      </c>
      <c r="B2253" s="18">
        <f t="shared" si="244"/>
        <v>49533.261475973355</v>
      </c>
      <c r="C2253" s="10">
        <f t="shared" si="245"/>
        <v>1</v>
      </c>
      <c r="D2253" s="18">
        <f t="shared" si="246"/>
        <v>0</v>
      </c>
      <c r="E2253" s="18">
        <f t="shared" si="247"/>
        <v>640858.12161245034</v>
      </c>
    </row>
    <row r="2254" spans="1:5">
      <c r="A2254" s="10">
        <f>15</f>
        <v>15</v>
      </c>
      <c r="B2254" s="18">
        <f t="shared" si="244"/>
        <v>49533.261475973355</v>
      </c>
      <c r="C2254" s="10">
        <f t="shared" si="245"/>
        <v>1</v>
      </c>
      <c r="D2254" s="18">
        <f t="shared" si="246"/>
        <v>0</v>
      </c>
      <c r="E2254" s="18">
        <f t="shared" si="247"/>
        <v>609064.6059405714</v>
      </c>
    </row>
    <row r="2255" spans="1:5">
      <c r="A2255" s="10">
        <f>16</f>
        <v>16</v>
      </c>
      <c r="B2255" s="18">
        <f t="shared" si="244"/>
        <v>49533.261475973355</v>
      </c>
      <c r="C2255" s="10">
        <f t="shared" si="245"/>
        <v>1</v>
      </c>
      <c r="D2255" s="18">
        <f t="shared" si="246"/>
        <v>0</v>
      </c>
      <c r="E2255" s="18">
        <f t="shared" si="247"/>
        <v>576317.28479853598</v>
      </c>
    </row>
    <row r="2256" spans="1:5">
      <c r="A2256" s="10">
        <f>17</f>
        <v>17</v>
      </c>
      <c r="B2256" s="18">
        <f t="shared" si="244"/>
        <v>49533.261475973355</v>
      </c>
      <c r="C2256" s="10">
        <f t="shared" si="245"/>
        <v>1</v>
      </c>
      <c r="D2256" s="18">
        <f t="shared" si="246"/>
        <v>0</v>
      </c>
      <c r="E2256" s="18">
        <f t="shared" si="247"/>
        <v>542587.54402223963</v>
      </c>
    </row>
    <row r="2257" spans="1:5">
      <c r="A2257" s="10">
        <f>18</f>
        <v>18</v>
      </c>
      <c r="B2257" s="18">
        <f t="shared" si="244"/>
        <v>49533.261475973355</v>
      </c>
      <c r="C2257" s="10">
        <f t="shared" si="245"/>
        <v>1</v>
      </c>
      <c r="D2257" s="18">
        <f t="shared" si="246"/>
        <v>0</v>
      </c>
      <c r="E2257" s="18">
        <f t="shared" si="247"/>
        <v>507845.91102265427</v>
      </c>
    </row>
    <row r="2258" spans="1:5">
      <c r="A2258" s="10">
        <f>19</f>
        <v>19</v>
      </c>
      <c r="B2258" s="18">
        <f t="shared" si="244"/>
        <v>49533.261475973355</v>
      </c>
      <c r="C2258" s="10">
        <f t="shared" si="245"/>
        <v>1</v>
      </c>
      <c r="D2258" s="18">
        <f t="shared" si="246"/>
        <v>0</v>
      </c>
      <c r="E2258" s="18">
        <f t="shared" si="247"/>
        <v>472062.02903308137</v>
      </c>
    </row>
    <row r="2259" spans="1:5">
      <c r="A2259" s="10">
        <f>20</f>
        <v>20</v>
      </c>
      <c r="B2259" s="18">
        <f t="shared" si="244"/>
        <v>49533.261475973355</v>
      </c>
      <c r="C2259" s="10">
        <f t="shared" si="245"/>
        <v>1</v>
      </c>
      <c r="D2259" s="18">
        <f t="shared" si="246"/>
        <v>0</v>
      </c>
      <c r="E2259" s="18">
        <f t="shared" si="247"/>
        <v>435204.63058382127</v>
      </c>
    </row>
    <row r="2260" spans="1:5">
      <c r="A2260" s="10">
        <f>21</f>
        <v>21</v>
      </c>
      <c r="B2260" s="18">
        <f t="shared" si="244"/>
        <v>49533.261475973355</v>
      </c>
      <c r="C2260" s="10">
        <f t="shared" si="245"/>
        <v>1</v>
      </c>
      <c r="D2260" s="18">
        <f t="shared" si="246"/>
        <v>0</v>
      </c>
      <c r="E2260" s="18">
        <f t="shared" si="247"/>
        <v>397241.51018108334</v>
      </c>
    </row>
    <row r="2261" spans="1:5">
      <c r="A2261" s="10">
        <f>22</f>
        <v>22</v>
      </c>
      <c r="B2261" s="18">
        <f t="shared" si="244"/>
        <v>49533.261475973355</v>
      </c>
      <c r="C2261" s="10">
        <f t="shared" si="245"/>
        <v>1</v>
      </c>
      <c r="D2261" s="18">
        <f t="shared" si="246"/>
        <v>0</v>
      </c>
      <c r="E2261" s="18">
        <f t="shared" si="247"/>
        <v>358139.4961662633</v>
      </c>
    </row>
    <row r="2262" spans="1:5">
      <c r="A2262" s="10">
        <f>23</f>
        <v>23</v>
      </c>
      <c r="B2262" s="18">
        <f t="shared" si="244"/>
        <v>49533.261475973355</v>
      </c>
      <c r="C2262" s="10">
        <f t="shared" si="245"/>
        <v>1</v>
      </c>
      <c r="D2262" s="18">
        <f t="shared" si="246"/>
        <v>0</v>
      </c>
      <c r="E2262" s="18">
        <f t="shared" si="247"/>
        <v>317864.42173099867</v>
      </c>
    </row>
    <row r="2263" spans="1:5">
      <c r="A2263" s="10">
        <f>24</f>
        <v>24</v>
      </c>
      <c r="B2263" s="18">
        <f t="shared" si="244"/>
        <v>49533.261475973355</v>
      </c>
      <c r="C2263" s="10">
        <f t="shared" si="245"/>
        <v>1</v>
      </c>
      <c r="D2263" s="18">
        <f t="shared" si="246"/>
        <v>0</v>
      </c>
      <c r="E2263" s="18">
        <f t="shared" si="247"/>
        <v>276381.09506267606</v>
      </c>
    </row>
    <row r="2264" spans="1:5">
      <c r="A2264" s="10">
        <f>25</f>
        <v>25</v>
      </c>
      <c r="B2264" s="18">
        <f t="shared" si="244"/>
        <v>49533.261475973355</v>
      </c>
      <c r="C2264" s="10">
        <f t="shared" si="245"/>
        <v>1</v>
      </c>
      <c r="D2264" s="18">
        <f t="shared" si="246"/>
        <v>0</v>
      </c>
      <c r="E2264" s="18">
        <f t="shared" si="247"/>
        <v>233653.26859430378</v>
      </c>
    </row>
    <row r="2265" spans="1:5">
      <c r="A2265" s="10">
        <f>26</f>
        <v>26</v>
      </c>
      <c r="B2265" s="18">
        <f t="shared" si="244"/>
        <v>49533.261475973355</v>
      </c>
      <c r="C2265" s="10">
        <f t="shared" si="245"/>
        <v>1</v>
      </c>
      <c r="D2265" s="18">
        <f t="shared" si="246"/>
        <v>0</v>
      </c>
      <c r="E2265" s="18">
        <f t="shared" si="247"/>
        <v>189643.60733188034</v>
      </c>
    </row>
    <row r="2266" spans="1:5">
      <c r="A2266" s="10">
        <f>27</f>
        <v>27</v>
      </c>
      <c r="B2266" s="18">
        <f t="shared" si="244"/>
        <v>49533.261475973355</v>
      </c>
      <c r="C2266" s="10">
        <f t="shared" si="245"/>
        <v>1</v>
      </c>
      <c r="D2266" s="18">
        <f t="shared" si="246"/>
        <v>0</v>
      </c>
      <c r="E2266" s="18">
        <f t="shared" si="247"/>
        <v>144313.6562315842</v>
      </c>
    </row>
    <row r="2267" spans="1:5">
      <c r="A2267" s="10">
        <f>28</f>
        <v>28</v>
      </c>
      <c r="B2267" s="18">
        <f t="shared" si="244"/>
        <v>49533.261475973355</v>
      </c>
      <c r="C2267" s="10">
        <f t="shared" si="245"/>
        <v>1</v>
      </c>
      <c r="D2267" s="18">
        <f t="shared" si="246"/>
        <v>0</v>
      </c>
      <c r="E2267" s="18">
        <f t="shared" si="247"/>
        <v>97623.806598279174</v>
      </c>
    </row>
    <row r="2268" spans="1:5">
      <c r="A2268" s="10">
        <f>29</f>
        <v>29</v>
      </c>
      <c r="B2268" s="18">
        <f t="shared" si="244"/>
        <v>49533.261475973355</v>
      </c>
      <c r="C2268" s="10">
        <f t="shared" si="245"/>
        <v>1</v>
      </c>
      <c r="D2268" s="18">
        <f t="shared" si="246"/>
        <v>0</v>
      </c>
      <c r="E2268" s="18">
        <f t="shared" si="247"/>
        <v>49533.261475974992</v>
      </c>
    </row>
    <row r="2269" spans="1:5">
      <c r="A2269" s="10">
        <f>30</f>
        <v>30</v>
      </c>
      <c r="B2269" s="18">
        <f t="shared" si="244"/>
        <v>49533.261475973355</v>
      </c>
      <c r="C2269" s="10">
        <f t="shared" si="245"/>
        <v>1</v>
      </c>
      <c r="D2269" s="18">
        <f t="shared" si="246"/>
        <v>0</v>
      </c>
      <c r="E2269" s="18">
        <f t="shared" si="247"/>
        <v>1.686203177087009E-9</v>
      </c>
    </row>
    <row r="2270" spans="1:5">
      <c r="A2270" s="10">
        <f>31</f>
        <v>31</v>
      </c>
      <c r="B2270" s="18">
        <f t="shared" si="244"/>
        <v>1.686203177087009E-9</v>
      </c>
      <c r="C2270" s="10">
        <f t="shared" si="245"/>
        <v>0</v>
      </c>
      <c r="D2270" s="18">
        <f t="shared" si="246"/>
        <v>0</v>
      </c>
      <c r="E2270" s="18">
        <f t="shared" si="247"/>
        <v>1.686203177087009E-9</v>
      </c>
    </row>
    <row r="2271" spans="1:5">
      <c r="A2271" s="10">
        <f>32</f>
        <v>32</v>
      </c>
      <c r="B2271" s="18">
        <f t="shared" si="244"/>
        <v>0</v>
      </c>
      <c r="C2271" s="10">
        <f t="shared" si="245"/>
        <v>0</v>
      </c>
      <c r="D2271" s="18">
        <f t="shared" si="246"/>
        <v>0</v>
      </c>
      <c r="E2271" s="18">
        <f t="shared" si="247"/>
        <v>1.686203177087009E-9</v>
      </c>
    </row>
    <row r="2272" spans="1:5">
      <c r="A2272" s="10">
        <f>33</f>
        <v>33</v>
      </c>
      <c r="B2272" s="18">
        <f t="shared" ref="B2272:B2299" si="248">IF(C2271=0,0,MIN(MAX(E2271,0),(($B$635-MIN(MAX(D2271,0),$B$635))+MAX(0,0*$B$635-(D2271-MIN(MAX(D2271,0),$B$635))))))</f>
        <v>0</v>
      </c>
      <c r="C2272" s="10">
        <f t="shared" ref="C2272:C2303" si="249">IF(AND(C2271=1,D2271+E2271&gt;0.000001,B2272&gt;=($B$635-MIN(MAX(D2271,0),$B$635))-0.000001),1,0)</f>
        <v>0</v>
      </c>
      <c r="D2272" s="18">
        <f t="shared" ref="D2272:D2303" si="250">IF(C2272=0,D2271,(D2271-$B$635+B2272)*(1+$B$7))</f>
        <v>0</v>
      </c>
      <c r="E2272" s="18">
        <f t="shared" ref="E2272:E2299" si="251">IF(C2272=0,E2271,(E2271-B2272)*(1+$B$6))</f>
        <v>1.686203177087009E-9</v>
      </c>
    </row>
    <row r="2273" spans="1:5">
      <c r="A2273" s="10">
        <f>34</f>
        <v>34</v>
      </c>
      <c r="B2273" s="18">
        <f t="shared" si="248"/>
        <v>0</v>
      </c>
      <c r="C2273" s="10">
        <f t="shared" si="249"/>
        <v>0</v>
      </c>
      <c r="D2273" s="18">
        <f t="shared" si="250"/>
        <v>0</v>
      </c>
      <c r="E2273" s="18">
        <f t="shared" si="251"/>
        <v>1.686203177087009E-9</v>
      </c>
    </row>
    <row r="2274" spans="1:5">
      <c r="A2274" s="10">
        <f>35</f>
        <v>35</v>
      </c>
      <c r="B2274" s="18">
        <f t="shared" si="248"/>
        <v>0</v>
      </c>
      <c r="C2274" s="10">
        <f t="shared" si="249"/>
        <v>0</v>
      </c>
      <c r="D2274" s="18">
        <f t="shared" si="250"/>
        <v>0</v>
      </c>
      <c r="E2274" s="18">
        <f t="shared" si="251"/>
        <v>1.686203177087009E-9</v>
      </c>
    </row>
    <row r="2275" spans="1:5">
      <c r="A2275" s="10">
        <f>36</f>
        <v>36</v>
      </c>
      <c r="B2275" s="18">
        <f t="shared" si="248"/>
        <v>0</v>
      </c>
      <c r="C2275" s="10">
        <f t="shared" si="249"/>
        <v>0</v>
      </c>
      <c r="D2275" s="18">
        <f t="shared" si="250"/>
        <v>0</v>
      </c>
      <c r="E2275" s="18">
        <f t="shared" si="251"/>
        <v>1.686203177087009E-9</v>
      </c>
    </row>
    <row r="2276" spans="1:5">
      <c r="A2276" s="10">
        <f>37</f>
        <v>37</v>
      </c>
      <c r="B2276" s="18">
        <f t="shared" si="248"/>
        <v>0</v>
      </c>
      <c r="C2276" s="10">
        <f t="shared" si="249"/>
        <v>0</v>
      </c>
      <c r="D2276" s="18">
        <f t="shared" si="250"/>
        <v>0</v>
      </c>
      <c r="E2276" s="18">
        <f t="shared" si="251"/>
        <v>1.686203177087009E-9</v>
      </c>
    </row>
    <row r="2277" spans="1:5">
      <c r="A2277" s="10">
        <f>38</f>
        <v>38</v>
      </c>
      <c r="B2277" s="18">
        <f t="shared" si="248"/>
        <v>0</v>
      </c>
      <c r="C2277" s="10">
        <f t="shared" si="249"/>
        <v>0</v>
      </c>
      <c r="D2277" s="18">
        <f t="shared" si="250"/>
        <v>0</v>
      </c>
      <c r="E2277" s="18">
        <f t="shared" si="251"/>
        <v>1.686203177087009E-9</v>
      </c>
    </row>
    <row r="2278" spans="1:5">
      <c r="A2278" s="10">
        <f>39</f>
        <v>39</v>
      </c>
      <c r="B2278" s="18">
        <f t="shared" si="248"/>
        <v>0</v>
      </c>
      <c r="C2278" s="10">
        <f t="shared" si="249"/>
        <v>0</v>
      </c>
      <c r="D2278" s="18">
        <f t="shared" si="250"/>
        <v>0</v>
      </c>
      <c r="E2278" s="18">
        <f t="shared" si="251"/>
        <v>1.686203177087009E-9</v>
      </c>
    </row>
    <row r="2279" spans="1:5">
      <c r="A2279" s="10">
        <f>40</f>
        <v>40</v>
      </c>
      <c r="B2279" s="18">
        <f t="shared" si="248"/>
        <v>0</v>
      </c>
      <c r="C2279" s="10">
        <f t="shared" si="249"/>
        <v>0</v>
      </c>
      <c r="D2279" s="18">
        <f t="shared" si="250"/>
        <v>0</v>
      </c>
      <c r="E2279" s="18">
        <f t="shared" si="251"/>
        <v>1.686203177087009E-9</v>
      </c>
    </row>
    <row r="2280" spans="1:5">
      <c r="A2280" s="10">
        <f>41</f>
        <v>41</v>
      </c>
      <c r="B2280" s="18">
        <f t="shared" si="248"/>
        <v>0</v>
      </c>
      <c r="C2280" s="10">
        <f t="shared" si="249"/>
        <v>0</v>
      </c>
      <c r="D2280" s="18">
        <f t="shared" si="250"/>
        <v>0</v>
      </c>
      <c r="E2280" s="18">
        <f t="shared" si="251"/>
        <v>1.686203177087009E-9</v>
      </c>
    </row>
    <row r="2281" spans="1:5">
      <c r="A2281" s="10">
        <f>42</f>
        <v>42</v>
      </c>
      <c r="B2281" s="18">
        <f t="shared" si="248"/>
        <v>0</v>
      </c>
      <c r="C2281" s="10">
        <f t="shared" si="249"/>
        <v>0</v>
      </c>
      <c r="D2281" s="18">
        <f t="shared" si="250"/>
        <v>0</v>
      </c>
      <c r="E2281" s="18">
        <f t="shared" si="251"/>
        <v>1.686203177087009E-9</v>
      </c>
    </row>
    <row r="2282" spans="1:5">
      <c r="A2282" s="10">
        <f>43</f>
        <v>43</v>
      </c>
      <c r="B2282" s="18">
        <f t="shared" si="248"/>
        <v>0</v>
      </c>
      <c r="C2282" s="10">
        <f t="shared" si="249"/>
        <v>0</v>
      </c>
      <c r="D2282" s="18">
        <f t="shared" si="250"/>
        <v>0</v>
      </c>
      <c r="E2282" s="18">
        <f t="shared" si="251"/>
        <v>1.686203177087009E-9</v>
      </c>
    </row>
    <row r="2283" spans="1:5">
      <c r="A2283" s="10">
        <f>44</f>
        <v>44</v>
      </c>
      <c r="B2283" s="18">
        <f t="shared" si="248"/>
        <v>0</v>
      </c>
      <c r="C2283" s="10">
        <f t="shared" si="249"/>
        <v>0</v>
      </c>
      <c r="D2283" s="18">
        <f t="shared" si="250"/>
        <v>0</v>
      </c>
      <c r="E2283" s="18">
        <f t="shared" si="251"/>
        <v>1.686203177087009E-9</v>
      </c>
    </row>
    <row r="2284" spans="1:5">
      <c r="A2284" s="10">
        <f>45</f>
        <v>45</v>
      </c>
      <c r="B2284" s="18">
        <f t="shared" si="248"/>
        <v>0</v>
      </c>
      <c r="C2284" s="10">
        <f t="shared" si="249"/>
        <v>0</v>
      </c>
      <c r="D2284" s="18">
        <f t="shared" si="250"/>
        <v>0</v>
      </c>
      <c r="E2284" s="18">
        <f t="shared" si="251"/>
        <v>1.686203177087009E-9</v>
      </c>
    </row>
    <row r="2285" spans="1:5">
      <c r="A2285" s="10">
        <f>46</f>
        <v>46</v>
      </c>
      <c r="B2285" s="18">
        <f t="shared" si="248"/>
        <v>0</v>
      </c>
      <c r="C2285" s="10">
        <f t="shared" si="249"/>
        <v>0</v>
      </c>
      <c r="D2285" s="18">
        <f t="shared" si="250"/>
        <v>0</v>
      </c>
      <c r="E2285" s="18">
        <f t="shared" si="251"/>
        <v>1.686203177087009E-9</v>
      </c>
    </row>
    <row r="2286" spans="1:5">
      <c r="A2286" s="10">
        <f>47</f>
        <v>47</v>
      </c>
      <c r="B2286" s="18">
        <f t="shared" si="248"/>
        <v>0</v>
      </c>
      <c r="C2286" s="10">
        <f t="shared" si="249"/>
        <v>0</v>
      </c>
      <c r="D2286" s="18">
        <f t="shared" si="250"/>
        <v>0</v>
      </c>
      <c r="E2286" s="18">
        <f t="shared" si="251"/>
        <v>1.686203177087009E-9</v>
      </c>
    </row>
    <row r="2287" spans="1:5">
      <c r="A2287" s="10">
        <f>48</f>
        <v>48</v>
      </c>
      <c r="B2287" s="18">
        <f t="shared" si="248"/>
        <v>0</v>
      </c>
      <c r="C2287" s="10">
        <f t="shared" si="249"/>
        <v>0</v>
      </c>
      <c r="D2287" s="18">
        <f t="shared" si="250"/>
        <v>0</v>
      </c>
      <c r="E2287" s="18">
        <f t="shared" si="251"/>
        <v>1.686203177087009E-9</v>
      </c>
    </row>
    <row r="2288" spans="1:5">
      <c r="A2288" s="10">
        <f>49</f>
        <v>49</v>
      </c>
      <c r="B2288" s="18">
        <f t="shared" si="248"/>
        <v>0</v>
      </c>
      <c r="C2288" s="10">
        <f t="shared" si="249"/>
        <v>0</v>
      </c>
      <c r="D2288" s="18">
        <f t="shared" si="250"/>
        <v>0</v>
      </c>
      <c r="E2288" s="18">
        <f t="shared" si="251"/>
        <v>1.686203177087009E-9</v>
      </c>
    </row>
    <row r="2289" spans="1:5">
      <c r="A2289" s="10">
        <f>50</f>
        <v>50</v>
      </c>
      <c r="B2289" s="18">
        <f t="shared" si="248"/>
        <v>0</v>
      </c>
      <c r="C2289" s="10">
        <f t="shared" si="249"/>
        <v>0</v>
      </c>
      <c r="D2289" s="18">
        <f t="shared" si="250"/>
        <v>0</v>
      </c>
      <c r="E2289" s="18">
        <f t="shared" si="251"/>
        <v>1.686203177087009E-9</v>
      </c>
    </row>
    <row r="2290" spans="1:5">
      <c r="A2290" s="10">
        <f>51</f>
        <v>51</v>
      </c>
      <c r="B2290" s="18">
        <f t="shared" si="248"/>
        <v>0</v>
      </c>
      <c r="C2290" s="10">
        <f t="shared" si="249"/>
        <v>0</v>
      </c>
      <c r="D2290" s="18">
        <f t="shared" si="250"/>
        <v>0</v>
      </c>
      <c r="E2290" s="18">
        <f t="shared" si="251"/>
        <v>1.686203177087009E-9</v>
      </c>
    </row>
    <row r="2291" spans="1:5">
      <c r="A2291" s="10">
        <f>52</f>
        <v>52</v>
      </c>
      <c r="B2291" s="18">
        <f t="shared" si="248"/>
        <v>0</v>
      </c>
      <c r="C2291" s="10">
        <f t="shared" si="249"/>
        <v>0</v>
      </c>
      <c r="D2291" s="18">
        <f t="shared" si="250"/>
        <v>0</v>
      </c>
      <c r="E2291" s="18">
        <f t="shared" si="251"/>
        <v>1.686203177087009E-9</v>
      </c>
    </row>
    <row r="2292" spans="1:5">
      <c r="A2292" s="10">
        <f>53</f>
        <v>53</v>
      </c>
      <c r="B2292" s="18">
        <f t="shared" si="248"/>
        <v>0</v>
      </c>
      <c r="C2292" s="10">
        <f t="shared" si="249"/>
        <v>0</v>
      </c>
      <c r="D2292" s="18">
        <f t="shared" si="250"/>
        <v>0</v>
      </c>
      <c r="E2292" s="18">
        <f t="shared" si="251"/>
        <v>1.686203177087009E-9</v>
      </c>
    </row>
    <row r="2293" spans="1:5">
      <c r="A2293" s="10">
        <f>54</f>
        <v>54</v>
      </c>
      <c r="B2293" s="18">
        <f t="shared" si="248"/>
        <v>0</v>
      </c>
      <c r="C2293" s="10">
        <f t="shared" si="249"/>
        <v>0</v>
      </c>
      <c r="D2293" s="18">
        <f t="shared" si="250"/>
        <v>0</v>
      </c>
      <c r="E2293" s="18">
        <f t="shared" si="251"/>
        <v>1.686203177087009E-9</v>
      </c>
    </row>
    <row r="2294" spans="1:5">
      <c r="A2294" s="10">
        <f>55</f>
        <v>55</v>
      </c>
      <c r="B2294" s="18">
        <f t="shared" si="248"/>
        <v>0</v>
      </c>
      <c r="C2294" s="10">
        <f t="shared" si="249"/>
        <v>0</v>
      </c>
      <c r="D2294" s="18">
        <f t="shared" si="250"/>
        <v>0</v>
      </c>
      <c r="E2294" s="18">
        <f t="shared" si="251"/>
        <v>1.686203177087009E-9</v>
      </c>
    </row>
    <row r="2295" spans="1:5">
      <c r="A2295" s="10">
        <f>56</f>
        <v>56</v>
      </c>
      <c r="B2295" s="18">
        <f t="shared" si="248"/>
        <v>0</v>
      </c>
      <c r="C2295" s="10">
        <f t="shared" si="249"/>
        <v>0</v>
      </c>
      <c r="D2295" s="18">
        <f t="shared" si="250"/>
        <v>0</v>
      </c>
      <c r="E2295" s="18">
        <f t="shared" si="251"/>
        <v>1.686203177087009E-9</v>
      </c>
    </row>
    <row r="2296" spans="1:5">
      <c r="A2296" s="10">
        <f>57</f>
        <v>57</v>
      </c>
      <c r="B2296" s="18">
        <f t="shared" si="248"/>
        <v>0</v>
      </c>
      <c r="C2296" s="10">
        <f t="shared" si="249"/>
        <v>0</v>
      </c>
      <c r="D2296" s="18">
        <f t="shared" si="250"/>
        <v>0</v>
      </c>
      <c r="E2296" s="18">
        <f t="shared" si="251"/>
        <v>1.686203177087009E-9</v>
      </c>
    </row>
    <row r="2297" spans="1:5">
      <c r="A2297" s="10">
        <f>58</f>
        <v>58</v>
      </c>
      <c r="B2297" s="18">
        <f t="shared" si="248"/>
        <v>0</v>
      </c>
      <c r="C2297" s="10">
        <f t="shared" si="249"/>
        <v>0</v>
      </c>
      <c r="D2297" s="18">
        <f t="shared" si="250"/>
        <v>0</v>
      </c>
      <c r="E2297" s="18">
        <f t="shared" si="251"/>
        <v>1.686203177087009E-9</v>
      </c>
    </row>
    <row r="2298" spans="1:5">
      <c r="A2298" s="10">
        <f>59</f>
        <v>59</v>
      </c>
      <c r="B2298" s="18">
        <f t="shared" si="248"/>
        <v>0</v>
      </c>
      <c r="C2298" s="10">
        <f t="shared" si="249"/>
        <v>0</v>
      </c>
      <c r="D2298" s="18">
        <f t="shared" si="250"/>
        <v>0</v>
      </c>
      <c r="E2298" s="18">
        <f t="shared" si="251"/>
        <v>1.686203177087009E-9</v>
      </c>
    </row>
    <row r="2299" spans="1:5">
      <c r="A2299" s="10">
        <f>60</f>
        <v>60</v>
      </c>
      <c r="B2299" s="18">
        <f t="shared" si="248"/>
        <v>0</v>
      </c>
      <c r="C2299" s="10">
        <f t="shared" si="249"/>
        <v>0</v>
      </c>
      <c r="D2299" s="18">
        <f t="shared" si="250"/>
        <v>0</v>
      </c>
      <c r="E2299" s="18">
        <f t="shared" si="251"/>
        <v>1.686203177087009E-9</v>
      </c>
    </row>
    <row r="2300" spans="1:5">
      <c r="B2300" s="10">
        <f>SUM(C2240:C2299)</f>
        <v>30</v>
      </c>
    </row>
    <row r="2302" spans="1:5">
      <c r="A2302" s="2" t="s">
        <v>311</v>
      </c>
    </row>
    <row r="2304" spans="1:5">
      <c r="A2304" s="25" t="s">
        <v>262</v>
      </c>
      <c r="B2304" s="25" t="s">
        <v>263</v>
      </c>
      <c r="C2304" s="25" t="s">
        <v>305</v>
      </c>
      <c r="D2304" s="25" t="s">
        <v>264</v>
      </c>
      <c r="E2304" s="25" t="s">
        <v>265</v>
      </c>
    </row>
    <row r="2305" spans="1:5">
      <c r="A2305" s="3">
        <v>0</v>
      </c>
      <c r="C2305" s="10">
        <f>1</f>
        <v>1</v>
      </c>
      <c r="D2305" s="18">
        <f>MIN(1*$B$635,$B$5)</f>
        <v>49533.261475973355</v>
      </c>
      <c r="E2305" s="18">
        <f>$B$5-D2305</f>
        <v>950466.7385240267</v>
      </c>
    </row>
    <row r="2306" spans="1:5">
      <c r="A2306" s="10">
        <f>1</f>
        <v>1</v>
      </c>
      <c r="B2306" s="18">
        <f t="shared" ref="B2306:B2337" si="252">IF(C2305=0,0,MIN(MAX(E2305,0),(($B$635-MIN(MAX(D2305,0),$B$635))+MAX(0,1*$B$635-(D2305-MIN(MAX(D2305,0),$B$635))))))</f>
        <v>49533.261475973355</v>
      </c>
      <c r="C2306" s="10">
        <f t="shared" ref="C2306:C2337" si="253">IF(AND(C2305=1,D2305+E2305&gt;0.000001,B2306&gt;=($B$635-MIN(MAX(D2305,0),$B$635))-0.000001),1,0)</f>
        <v>1</v>
      </c>
      <c r="D2306" s="18">
        <f t="shared" ref="D2306:D2337" si="254">IF(C2306=0,D2305,(D2305-$B$635+B2306)*(1+$B$7))</f>
        <v>49354.941734659849</v>
      </c>
      <c r="E2306" s="18">
        <f t="shared" ref="E2306:E2337" si="255">IF(C2306=0,E2305,(E2305-B2306)*(1+$B$6))</f>
        <v>927961.48135949508</v>
      </c>
    </row>
    <row r="2307" spans="1:5">
      <c r="A2307" s="10">
        <f>2</f>
        <v>2</v>
      </c>
      <c r="B2307" s="18">
        <f t="shared" si="252"/>
        <v>49711.581217286861</v>
      </c>
      <c r="C2307" s="10">
        <f t="shared" si="253"/>
        <v>1</v>
      </c>
      <c r="D2307" s="18">
        <f t="shared" si="254"/>
        <v>49354.941734659849</v>
      </c>
      <c r="E2307" s="18">
        <f t="shared" si="255"/>
        <v>904597.39714647445</v>
      </c>
    </row>
    <row r="2308" spans="1:5">
      <c r="A2308" s="10">
        <f>3</f>
        <v>3</v>
      </c>
      <c r="B2308" s="18">
        <f t="shared" si="252"/>
        <v>49711.581217286861</v>
      </c>
      <c r="C2308" s="10">
        <f t="shared" si="253"/>
        <v>1</v>
      </c>
      <c r="D2308" s="18">
        <f t="shared" si="254"/>
        <v>49354.941734659849</v>
      </c>
      <c r="E2308" s="18">
        <f t="shared" si="255"/>
        <v>880532.39040706318</v>
      </c>
    </row>
    <row r="2309" spans="1:5">
      <c r="A2309" s="10">
        <f>4</f>
        <v>4</v>
      </c>
      <c r="B2309" s="18">
        <f t="shared" si="252"/>
        <v>49711.581217286861</v>
      </c>
      <c r="C2309" s="10">
        <f t="shared" si="253"/>
        <v>1</v>
      </c>
      <c r="D2309" s="18">
        <f t="shared" si="254"/>
        <v>49354.941734659849</v>
      </c>
      <c r="E2309" s="18">
        <f t="shared" si="255"/>
        <v>855745.43346546963</v>
      </c>
    </row>
    <row r="2310" spans="1:5">
      <c r="A2310" s="10">
        <f>5</f>
        <v>5</v>
      </c>
      <c r="B2310" s="18">
        <f t="shared" si="252"/>
        <v>49711.581217286861</v>
      </c>
      <c r="C2310" s="10">
        <f t="shared" si="253"/>
        <v>1</v>
      </c>
      <c r="D2310" s="18">
        <f t="shared" si="254"/>
        <v>49354.941734659849</v>
      </c>
      <c r="E2310" s="18">
        <f t="shared" si="255"/>
        <v>830214.8678156283</v>
      </c>
    </row>
    <row r="2311" spans="1:5">
      <c r="A2311" s="10">
        <f>6</f>
        <v>6</v>
      </c>
      <c r="B2311" s="18">
        <f t="shared" si="252"/>
        <v>49711.581217286861</v>
      </c>
      <c r="C2311" s="10">
        <f t="shared" si="253"/>
        <v>1</v>
      </c>
      <c r="D2311" s="18">
        <f t="shared" si="254"/>
        <v>49354.941734659849</v>
      </c>
      <c r="E2311" s="18">
        <f t="shared" si="255"/>
        <v>803918.38519629173</v>
      </c>
    </row>
    <row r="2312" spans="1:5">
      <c r="A2312" s="10">
        <f>7</f>
        <v>7</v>
      </c>
      <c r="B2312" s="18">
        <f t="shared" si="252"/>
        <v>49711.581217286861</v>
      </c>
      <c r="C2312" s="10">
        <f t="shared" si="253"/>
        <v>1</v>
      </c>
      <c r="D2312" s="18">
        <f t="shared" si="254"/>
        <v>49354.941734659849</v>
      </c>
      <c r="E2312" s="18">
        <f t="shared" si="255"/>
        <v>776833.00809837505</v>
      </c>
    </row>
    <row r="2313" spans="1:5">
      <c r="A2313" s="10">
        <f>8</f>
        <v>8</v>
      </c>
      <c r="B2313" s="18">
        <f t="shared" si="252"/>
        <v>49711.581217286861</v>
      </c>
      <c r="C2313" s="10">
        <f t="shared" si="253"/>
        <v>1</v>
      </c>
      <c r="D2313" s="18">
        <f t="shared" si="254"/>
        <v>49354.941734659849</v>
      </c>
      <c r="E2313" s="18">
        <f t="shared" si="255"/>
        <v>748935.06968752085</v>
      </c>
    </row>
    <row r="2314" spans="1:5">
      <c r="A2314" s="10">
        <f>9</f>
        <v>9</v>
      </c>
      <c r="B2314" s="18">
        <f t="shared" si="252"/>
        <v>49711.581217286861</v>
      </c>
      <c r="C2314" s="10">
        <f t="shared" si="253"/>
        <v>1</v>
      </c>
      <c r="D2314" s="18">
        <f t="shared" si="254"/>
        <v>49354.941734659849</v>
      </c>
      <c r="E2314" s="18">
        <f t="shared" si="255"/>
        <v>720200.19312434096</v>
      </c>
    </row>
    <row r="2315" spans="1:5">
      <c r="A2315" s="10">
        <f>10</f>
        <v>10</v>
      </c>
      <c r="B2315" s="18">
        <f t="shared" si="252"/>
        <v>49711.581217286861</v>
      </c>
      <c r="C2315" s="10">
        <f t="shared" si="253"/>
        <v>1</v>
      </c>
      <c r="D2315" s="18">
        <f t="shared" si="254"/>
        <v>49354.941734659849</v>
      </c>
      <c r="E2315" s="18">
        <f t="shared" si="255"/>
        <v>690603.27026426571</v>
      </c>
    </row>
    <row r="2316" spans="1:5">
      <c r="A2316" s="10">
        <f>11</f>
        <v>11</v>
      </c>
      <c r="B2316" s="18">
        <f t="shared" si="252"/>
        <v>49711.581217286861</v>
      </c>
      <c r="C2316" s="10">
        <f t="shared" si="253"/>
        <v>1</v>
      </c>
      <c r="D2316" s="18">
        <f t="shared" si="254"/>
        <v>49354.941734659849</v>
      </c>
      <c r="E2316" s="18">
        <f t="shared" si="255"/>
        <v>660118.43971838825</v>
      </c>
    </row>
    <row r="2317" spans="1:5">
      <c r="A2317" s="10">
        <f>12</f>
        <v>12</v>
      </c>
      <c r="B2317" s="18">
        <f t="shared" si="252"/>
        <v>49711.581217286861</v>
      </c>
      <c r="C2317" s="10">
        <f t="shared" si="253"/>
        <v>1</v>
      </c>
      <c r="D2317" s="18">
        <f t="shared" si="254"/>
        <v>49354.941734659849</v>
      </c>
      <c r="E2317" s="18">
        <f t="shared" si="255"/>
        <v>628719.06425613444</v>
      </c>
    </row>
    <row r="2318" spans="1:5">
      <c r="A2318" s="10">
        <f>13</f>
        <v>13</v>
      </c>
      <c r="B2318" s="18">
        <f t="shared" si="252"/>
        <v>49711.581217286861</v>
      </c>
      <c r="C2318" s="10">
        <f t="shared" si="253"/>
        <v>1</v>
      </c>
      <c r="D2318" s="18">
        <f t="shared" si="254"/>
        <v>49354.941734659849</v>
      </c>
      <c r="E2318" s="18">
        <f t="shared" si="255"/>
        <v>596377.70753001305</v>
      </c>
    </row>
    <row r="2319" spans="1:5">
      <c r="A2319" s="10">
        <f>14</f>
        <v>14</v>
      </c>
      <c r="B2319" s="18">
        <f t="shared" si="252"/>
        <v>49711.581217286861</v>
      </c>
      <c r="C2319" s="10">
        <f t="shared" si="253"/>
        <v>1</v>
      </c>
      <c r="D2319" s="18">
        <f t="shared" si="254"/>
        <v>49354.941734659849</v>
      </c>
      <c r="E2319" s="18">
        <f t="shared" si="255"/>
        <v>563066.11010210798</v>
      </c>
    </row>
    <row r="2320" spans="1:5">
      <c r="A2320" s="10">
        <f>15</f>
        <v>15</v>
      </c>
      <c r="B2320" s="18">
        <f t="shared" si="252"/>
        <v>49711.581217286861</v>
      </c>
      <c r="C2320" s="10">
        <f t="shared" si="253"/>
        <v>1</v>
      </c>
      <c r="D2320" s="18">
        <f t="shared" si="254"/>
        <v>49354.941734659849</v>
      </c>
      <c r="E2320" s="18">
        <f t="shared" si="255"/>
        <v>528755.16475136578</v>
      </c>
    </row>
    <row r="2321" spans="1:5">
      <c r="A2321" s="10">
        <f>16</f>
        <v>16</v>
      </c>
      <c r="B2321" s="18">
        <f t="shared" si="252"/>
        <v>49711.581217286861</v>
      </c>
      <c r="C2321" s="10">
        <f t="shared" si="253"/>
        <v>1</v>
      </c>
      <c r="D2321" s="18">
        <f t="shared" si="254"/>
        <v>49354.941734659849</v>
      </c>
      <c r="E2321" s="18">
        <f t="shared" si="255"/>
        <v>493414.8910401013</v>
      </c>
    </row>
    <row r="2322" spans="1:5">
      <c r="A2322" s="10">
        <f>17</f>
        <v>17</v>
      </c>
      <c r="B2322" s="18">
        <f t="shared" si="252"/>
        <v>49711.581217286861</v>
      </c>
      <c r="C2322" s="10">
        <f t="shared" si="253"/>
        <v>1</v>
      </c>
      <c r="D2322" s="18">
        <f t="shared" si="254"/>
        <v>49354.941734659849</v>
      </c>
      <c r="E2322" s="18">
        <f t="shared" si="255"/>
        <v>457014.40911749884</v>
      </c>
    </row>
    <row r="2323" spans="1:5">
      <c r="A2323" s="10">
        <f>18</f>
        <v>18</v>
      </c>
      <c r="B2323" s="18">
        <f t="shared" si="252"/>
        <v>49711.581217286861</v>
      </c>
      <c r="C2323" s="10">
        <f t="shared" si="253"/>
        <v>1</v>
      </c>
      <c r="D2323" s="18">
        <f t="shared" si="254"/>
        <v>49354.941734659849</v>
      </c>
      <c r="E2323" s="18">
        <f t="shared" si="255"/>
        <v>419521.91273721831</v>
      </c>
    </row>
    <row r="2324" spans="1:5">
      <c r="A2324" s="10">
        <f>19</f>
        <v>19</v>
      </c>
      <c r="B2324" s="18">
        <f t="shared" si="252"/>
        <v>49711.581217286861</v>
      </c>
      <c r="C2324" s="10">
        <f t="shared" si="253"/>
        <v>1</v>
      </c>
      <c r="D2324" s="18">
        <f t="shared" si="254"/>
        <v>49354.941734659849</v>
      </c>
      <c r="E2324" s="18">
        <f t="shared" si="255"/>
        <v>380904.64146552939</v>
      </c>
    </row>
    <row r="2325" spans="1:5">
      <c r="A2325" s="10">
        <f>20</f>
        <v>20</v>
      </c>
      <c r="B2325" s="18">
        <f t="shared" si="252"/>
        <v>49711.581217286861</v>
      </c>
      <c r="C2325" s="10">
        <f t="shared" si="253"/>
        <v>1</v>
      </c>
      <c r="D2325" s="18">
        <f t="shared" si="254"/>
        <v>49354.941734659849</v>
      </c>
      <c r="E2325" s="18">
        <f t="shared" si="255"/>
        <v>341128.85205568979</v>
      </c>
    </row>
    <row r="2326" spans="1:5">
      <c r="A2326" s="10">
        <f>21</f>
        <v>21</v>
      </c>
      <c r="B2326" s="18">
        <f t="shared" si="252"/>
        <v>49711.581217286861</v>
      </c>
      <c r="C2326" s="10">
        <f t="shared" si="253"/>
        <v>1</v>
      </c>
      <c r="D2326" s="18">
        <f t="shared" si="254"/>
        <v>49354.941734659849</v>
      </c>
      <c r="E2326" s="18">
        <f t="shared" si="255"/>
        <v>300159.78896355501</v>
      </c>
    </row>
    <row r="2327" spans="1:5">
      <c r="A2327" s="10">
        <f>22</f>
        <v>22</v>
      </c>
      <c r="B2327" s="18">
        <f t="shared" si="252"/>
        <v>49711.581217286861</v>
      </c>
      <c r="C2327" s="10">
        <f t="shared" si="253"/>
        <v>1</v>
      </c>
      <c r="D2327" s="18">
        <f t="shared" si="254"/>
        <v>49354.941734659849</v>
      </c>
      <c r="E2327" s="18">
        <f t="shared" si="255"/>
        <v>257961.65397865619</v>
      </c>
    </row>
    <row r="2328" spans="1:5">
      <c r="A2328" s="10">
        <f>23</f>
        <v>23</v>
      </c>
      <c r="B2328" s="18">
        <f t="shared" si="252"/>
        <v>49711.581217286861</v>
      </c>
      <c r="C2328" s="10">
        <f t="shared" si="253"/>
        <v>1</v>
      </c>
      <c r="D2328" s="18">
        <f t="shared" si="254"/>
        <v>49354.941734659849</v>
      </c>
      <c r="E2328" s="18">
        <f t="shared" si="255"/>
        <v>214497.57494421044</v>
      </c>
    </row>
    <row r="2329" spans="1:5">
      <c r="A2329" s="10">
        <f>24</f>
        <v>24</v>
      </c>
      <c r="B2329" s="18">
        <f t="shared" si="252"/>
        <v>49711.581217286861</v>
      </c>
      <c r="C2329" s="10">
        <f t="shared" si="253"/>
        <v>1</v>
      </c>
      <c r="D2329" s="18">
        <f t="shared" si="254"/>
        <v>49354.941734659849</v>
      </c>
      <c r="E2329" s="18">
        <f t="shared" si="255"/>
        <v>169729.57353873132</v>
      </c>
    </row>
    <row r="2330" spans="1:5">
      <c r="A2330" s="10">
        <f>25</f>
        <v>25</v>
      </c>
      <c r="B2330" s="18">
        <f t="shared" si="252"/>
        <v>49711.581217286861</v>
      </c>
      <c r="C2330" s="10">
        <f t="shared" si="253"/>
        <v>1</v>
      </c>
      <c r="D2330" s="18">
        <f t="shared" si="254"/>
        <v>49354.941734659849</v>
      </c>
      <c r="E2330" s="18">
        <f t="shared" si="255"/>
        <v>123618.53209108779</v>
      </c>
    </row>
    <row r="2331" spans="1:5">
      <c r="A2331" s="10">
        <f>26</f>
        <v>26</v>
      </c>
      <c r="B2331" s="18">
        <f t="shared" si="252"/>
        <v>49711.581217286861</v>
      </c>
      <c r="C2331" s="10">
        <f t="shared" si="253"/>
        <v>1</v>
      </c>
      <c r="D2331" s="18">
        <f t="shared" si="254"/>
        <v>49354.941734659849</v>
      </c>
      <c r="E2331" s="18">
        <f t="shared" si="255"/>
        <v>76124.159400014963</v>
      </c>
    </row>
    <row r="2332" spans="1:5">
      <c r="A2332" s="10">
        <f>27</f>
        <v>27</v>
      </c>
      <c r="B2332" s="18">
        <f t="shared" si="252"/>
        <v>49711.581217286861</v>
      </c>
      <c r="C2332" s="10">
        <f t="shared" si="253"/>
        <v>1</v>
      </c>
      <c r="D2332" s="18">
        <f t="shared" si="254"/>
        <v>49354.941734659849</v>
      </c>
      <c r="E2332" s="18">
        <f t="shared" si="255"/>
        <v>27204.955528209946</v>
      </c>
    </row>
    <row r="2333" spans="1:5">
      <c r="A2333" s="10">
        <f>28</f>
        <v>28</v>
      </c>
      <c r="B2333" s="18">
        <f t="shared" si="252"/>
        <v>27204.955528209946</v>
      </c>
      <c r="C2333" s="10">
        <f t="shared" si="253"/>
        <v>1</v>
      </c>
      <c r="D2333" s="18">
        <f t="shared" si="254"/>
        <v>26929.339898063612</v>
      </c>
      <c r="E2333" s="18">
        <f t="shared" si="255"/>
        <v>0</v>
      </c>
    </row>
    <row r="2334" spans="1:5">
      <c r="A2334" s="10">
        <f>29</f>
        <v>29</v>
      </c>
      <c r="B2334" s="18">
        <f t="shared" si="252"/>
        <v>0</v>
      </c>
      <c r="C2334" s="10">
        <f t="shared" si="253"/>
        <v>0</v>
      </c>
      <c r="D2334" s="18">
        <f t="shared" si="254"/>
        <v>26929.339898063612</v>
      </c>
      <c r="E2334" s="18">
        <f t="shared" si="255"/>
        <v>0</v>
      </c>
    </row>
    <row r="2335" spans="1:5">
      <c r="A2335" s="10">
        <f>30</f>
        <v>30</v>
      </c>
      <c r="B2335" s="18">
        <f t="shared" si="252"/>
        <v>0</v>
      </c>
      <c r="C2335" s="10">
        <f t="shared" si="253"/>
        <v>0</v>
      </c>
      <c r="D2335" s="18">
        <f t="shared" si="254"/>
        <v>26929.339898063612</v>
      </c>
      <c r="E2335" s="18">
        <f t="shared" si="255"/>
        <v>0</v>
      </c>
    </row>
    <row r="2336" spans="1:5">
      <c r="A2336" s="10">
        <f>31</f>
        <v>31</v>
      </c>
      <c r="B2336" s="18">
        <f t="shared" si="252"/>
        <v>0</v>
      </c>
      <c r="C2336" s="10">
        <f t="shared" si="253"/>
        <v>0</v>
      </c>
      <c r="D2336" s="18">
        <f t="shared" si="254"/>
        <v>26929.339898063612</v>
      </c>
      <c r="E2336" s="18">
        <f t="shared" si="255"/>
        <v>0</v>
      </c>
    </row>
    <row r="2337" spans="1:5">
      <c r="A2337" s="10">
        <f>32</f>
        <v>32</v>
      </c>
      <c r="B2337" s="18">
        <f t="shared" si="252"/>
        <v>0</v>
      </c>
      <c r="C2337" s="10">
        <f t="shared" si="253"/>
        <v>0</v>
      </c>
      <c r="D2337" s="18">
        <f t="shared" si="254"/>
        <v>26929.339898063612</v>
      </c>
      <c r="E2337" s="18">
        <f t="shared" si="255"/>
        <v>0</v>
      </c>
    </row>
    <row r="2338" spans="1:5">
      <c r="A2338" s="10">
        <f>33</f>
        <v>33</v>
      </c>
      <c r="B2338" s="18">
        <f t="shared" ref="B2338:B2365" si="256">IF(C2337=0,0,MIN(MAX(E2337,0),(($B$635-MIN(MAX(D2337,0),$B$635))+MAX(0,1*$B$635-(D2337-MIN(MAX(D2337,0),$B$635))))))</f>
        <v>0</v>
      </c>
      <c r="C2338" s="10">
        <f t="shared" ref="C2338:C2369" si="257">IF(AND(C2337=1,D2337+E2337&gt;0.000001,B2338&gt;=($B$635-MIN(MAX(D2337,0),$B$635))-0.000001),1,0)</f>
        <v>0</v>
      </c>
      <c r="D2338" s="18">
        <f t="shared" ref="D2338:D2369" si="258">IF(C2338=0,D2337,(D2337-$B$635+B2338)*(1+$B$7))</f>
        <v>26929.339898063612</v>
      </c>
      <c r="E2338" s="18">
        <f t="shared" ref="E2338:E2365" si="259">IF(C2338=0,E2337,(E2337-B2338)*(1+$B$6))</f>
        <v>0</v>
      </c>
    </row>
    <row r="2339" spans="1:5">
      <c r="A2339" s="10">
        <f>34</f>
        <v>34</v>
      </c>
      <c r="B2339" s="18">
        <f t="shared" si="256"/>
        <v>0</v>
      </c>
      <c r="C2339" s="10">
        <f t="shared" si="257"/>
        <v>0</v>
      </c>
      <c r="D2339" s="18">
        <f t="shared" si="258"/>
        <v>26929.339898063612</v>
      </c>
      <c r="E2339" s="18">
        <f t="shared" si="259"/>
        <v>0</v>
      </c>
    </row>
    <row r="2340" spans="1:5">
      <c r="A2340" s="10">
        <f>35</f>
        <v>35</v>
      </c>
      <c r="B2340" s="18">
        <f t="shared" si="256"/>
        <v>0</v>
      </c>
      <c r="C2340" s="10">
        <f t="shared" si="257"/>
        <v>0</v>
      </c>
      <c r="D2340" s="18">
        <f t="shared" si="258"/>
        <v>26929.339898063612</v>
      </c>
      <c r="E2340" s="18">
        <f t="shared" si="259"/>
        <v>0</v>
      </c>
    </row>
    <row r="2341" spans="1:5">
      <c r="A2341" s="10">
        <f>36</f>
        <v>36</v>
      </c>
      <c r="B2341" s="18">
        <f t="shared" si="256"/>
        <v>0</v>
      </c>
      <c r="C2341" s="10">
        <f t="shared" si="257"/>
        <v>0</v>
      </c>
      <c r="D2341" s="18">
        <f t="shared" si="258"/>
        <v>26929.339898063612</v>
      </c>
      <c r="E2341" s="18">
        <f t="shared" si="259"/>
        <v>0</v>
      </c>
    </row>
    <row r="2342" spans="1:5">
      <c r="A2342" s="10">
        <f>37</f>
        <v>37</v>
      </c>
      <c r="B2342" s="18">
        <f t="shared" si="256"/>
        <v>0</v>
      </c>
      <c r="C2342" s="10">
        <f t="shared" si="257"/>
        <v>0</v>
      </c>
      <c r="D2342" s="18">
        <f t="shared" si="258"/>
        <v>26929.339898063612</v>
      </c>
      <c r="E2342" s="18">
        <f t="shared" si="259"/>
        <v>0</v>
      </c>
    </row>
    <row r="2343" spans="1:5">
      <c r="A2343" s="10">
        <f>38</f>
        <v>38</v>
      </c>
      <c r="B2343" s="18">
        <f t="shared" si="256"/>
        <v>0</v>
      </c>
      <c r="C2343" s="10">
        <f t="shared" si="257"/>
        <v>0</v>
      </c>
      <c r="D2343" s="18">
        <f t="shared" si="258"/>
        <v>26929.339898063612</v>
      </c>
      <c r="E2343" s="18">
        <f t="shared" si="259"/>
        <v>0</v>
      </c>
    </row>
    <row r="2344" spans="1:5">
      <c r="A2344" s="10">
        <f>39</f>
        <v>39</v>
      </c>
      <c r="B2344" s="18">
        <f t="shared" si="256"/>
        <v>0</v>
      </c>
      <c r="C2344" s="10">
        <f t="shared" si="257"/>
        <v>0</v>
      </c>
      <c r="D2344" s="18">
        <f t="shared" si="258"/>
        <v>26929.339898063612</v>
      </c>
      <c r="E2344" s="18">
        <f t="shared" si="259"/>
        <v>0</v>
      </c>
    </row>
    <row r="2345" spans="1:5">
      <c r="A2345" s="10">
        <f>40</f>
        <v>40</v>
      </c>
      <c r="B2345" s="18">
        <f t="shared" si="256"/>
        <v>0</v>
      </c>
      <c r="C2345" s="10">
        <f t="shared" si="257"/>
        <v>0</v>
      </c>
      <c r="D2345" s="18">
        <f t="shared" si="258"/>
        <v>26929.339898063612</v>
      </c>
      <c r="E2345" s="18">
        <f t="shared" si="259"/>
        <v>0</v>
      </c>
    </row>
    <row r="2346" spans="1:5">
      <c r="A2346" s="10">
        <f>41</f>
        <v>41</v>
      </c>
      <c r="B2346" s="18">
        <f t="shared" si="256"/>
        <v>0</v>
      </c>
      <c r="C2346" s="10">
        <f t="shared" si="257"/>
        <v>0</v>
      </c>
      <c r="D2346" s="18">
        <f t="shared" si="258"/>
        <v>26929.339898063612</v>
      </c>
      <c r="E2346" s="18">
        <f t="shared" si="259"/>
        <v>0</v>
      </c>
    </row>
    <row r="2347" spans="1:5">
      <c r="A2347" s="10">
        <f>42</f>
        <v>42</v>
      </c>
      <c r="B2347" s="18">
        <f t="shared" si="256"/>
        <v>0</v>
      </c>
      <c r="C2347" s="10">
        <f t="shared" si="257"/>
        <v>0</v>
      </c>
      <c r="D2347" s="18">
        <f t="shared" si="258"/>
        <v>26929.339898063612</v>
      </c>
      <c r="E2347" s="18">
        <f t="shared" si="259"/>
        <v>0</v>
      </c>
    </row>
    <row r="2348" spans="1:5">
      <c r="A2348" s="10">
        <f>43</f>
        <v>43</v>
      </c>
      <c r="B2348" s="18">
        <f t="shared" si="256"/>
        <v>0</v>
      </c>
      <c r="C2348" s="10">
        <f t="shared" si="257"/>
        <v>0</v>
      </c>
      <c r="D2348" s="18">
        <f t="shared" si="258"/>
        <v>26929.339898063612</v>
      </c>
      <c r="E2348" s="18">
        <f t="shared" si="259"/>
        <v>0</v>
      </c>
    </row>
    <row r="2349" spans="1:5">
      <c r="A2349" s="10">
        <f>44</f>
        <v>44</v>
      </c>
      <c r="B2349" s="18">
        <f t="shared" si="256"/>
        <v>0</v>
      </c>
      <c r="C2349" s="10">
        <f t="shared" si="257"/>
        <v>0</v>
      </c>
      <c r="D2349" s="18">
        <f t="shared" si="258"/>
        <v>26929.339898063612</v>
      </c>
      <c r="E2349" s="18">
        <f t="shared" si="259"/>
        <v>0</v>
      </c>
    </row>
    <row r="2350" spans="1:5">
      <c r="A2350" s="10">
        <f>45</f>
        <v>45</v>
      </c>
      <c r="B2350" s="18">
        <f t="shared" si="256"/>
        <v>0</v>
      </c>
      <c r="C2350" s="10">
        <f t="shared" si="257"/>
        <v>0</v>
      </c>
      <c r="D2350" s="18">
        <f t="shared" si="258"/>
        <v>26929.339898063612</v>
      </c>
      <c r="E2350" s="18">
        <f t="shared" si="259"/>
        <v>0</v>
      </c>
    </row>
    <row r="2351" spans="1:5">
      <c r="A2351" s="10">
        <f>46</f>
        <v>46</v>
      </c>
      <c r="B2351" s="18">
        <f t="shared" si="256"/>
        <v>0</v>
      </c>
      <c r="C2351" s="10">
        <f t="shared" si="257"/>
        <v>0</v>
      </c>
      <c r="D2351" s="18">
        <f t="shared" si="258"/>
        <v>26929.339898063612</v>
      </c>
      <c r="E2351" s="18">
        <f t="shared" si="259"/>
        <v>0</v>
      </c>
    </row>
    <row r="2352" spans="1:5">
      <c r="A2352" s="10">
        <f>47</f>
        <v>47</v>
      </c>
      <c r="B2352" s="18">
        <f t="shared" si="256"/>
        <v>0</v>
      </c>
      <c r="C2352" s="10">
        <f t="shared" si="257"/>
        <v>0</v>
      </c>
      <c r="D2352" s="18">
        <f t="shared" si="258"/>
        <v>26929.339898063612</v>
      </c>
      <c r="E2352" s="18">
        <f t="shared" si="259"/>
        <v>0</v>
      </c>
    </row>
    <row r="2353" spans="1:5">
      <c r="A2353" s="10">
        <f>48</f>
        <v>48</v>
      </c>
      <c r="B2353" s="18">
        <f t="shared" si="256"/>
        <v>0</v>
      </c>
      <c r="C2353" s="10">
        <f t="shared" si="257"/>
        <v>0</v>
      </c>
      <c r="D2353" s="18">
        <f t="shared" si="258"/>
        <v>26929.339898063612</v>
      </c>
      <c r="E2353" s="18">
        <f t="shared" si="259"/>
        <v>0</v>
      </c>
    </row>
    <row r="2354" spans="1:5">
      <c r="A2354" s="10">
        <f>49</f>
        <v>49</v>
      </c>
      <c r="B2354" s="18">
        <f t="shared" si="256"/>
        <v>0</v>
      </c>
      <c r="C2354" s="10">
        <f t="shared" si="257"/>
        <v>0</v>
      </c>
      <c r="D2354" s="18">
        <f t="shared" si="258"/>
        <v>26929.339898063612</v>
      </c>
      <c r="E2354" s="18">
        <f t="shared" si="259"/>
        <v>0</v>
      </c>
    </row>
    <row r="2355" spans="1:5">
      <c r="A2355" s="10">
        <f>50</f>
        <v>50</v>
      </c>
      <c r="B2355" s="18">
        <f t="shared" si="256"/>
        <v>0</v>
      </c>
      <c r="C2355" s="10">
        <f t="shared" si="257"/>
        <v>0</v>
      </c>
      <c r="D2355" s="18">
        <f t="shared" si="258"/>
        <v>26929.339898063612</v>
      </c>
      <c r="E2355" s="18">
        <f t="shared" si="259"/>
        <v>0</v>
      </c>
    </row>
    <row r="2356" spans="1:5">
      <c r="A2356" s="10">
        <f>51</f>
        <v>51</v>
      </c>
      <c r="B2356" s="18">
        <f t="shared" si="256"/>
        <v>0</v>
      </c>
      <c r="C2356" s="10">
        <f t="shared" si="257"/>
        <v>0</v>
      </c>
      <c r="D2356" s="18">
        <f t="shared" si="258"/>
        <v>26929.339898063612</v>
      </c>
      <c r="E2356" s="18">
        <f t="shared" si="259"/>
        <v>0</v>
      </c>
    </row>
    <row r="2357" spans="1:5">
      <c r="A2357" s="10">
        <f>52</f>
        <v>52</v>
      </c>
      <c r="B2357" s="18">
        <f t="shared" si="256"/>
        <v>0</v>
      </c>
      <c r="C2357" s="10">
        <f t="shared" si="257"/>
        <v>0</v>
      </c>
      <c r="D2357" s="18">
        <f t="shared" si="258"/>
        <v>26929.339898063612</v>
      </c>
      <c r="E2357" s="18">
        <f t="shared" si="259"/>
        <v>0</v>
      </c>
    </row>
    <row r="2358" spans="1:5">
      <c r="A2358" s="10">
        <f>53</f>
        <v>53</v>
      </c>
      <c r="B2358" s="18">
        <f t="shared" si="256"/>
        <v>0</v>
      </c>
      <c r="C2358" s="10">
        <f t="shared" si="257"/>
        <v>0</v>
      </c>
      <c r="D2358" s="18">
        <f t="shared" si="258"/>
        <v>26929.339898063612</v>
      </c>
      <c r="E2358" s="18">
        <f t="shared" si="259"/>
        <v>0</v>
      </c>
    </row>
    <row r="2359" spans="1:5">
      <c r="A2359" s="10">
        <f>54</f>
        <v>54</v>
      </c>
      <c r="B2359" s="18">
        <f t="shared" si="256"/>
        <v>0</v>
      </c>
      <c r="C2359" s="10">
        <f t="shared" si="257"/>
        <v>0</v>
      </c>
      <c r="D2359" s="18">
        <f t="shared" si="258"/>
        <v>26929.339898063612</v>
      </c>
      <c r="E2359" s="18">
        <f t="shared" si="259"/>
        <v>0</v>
      </c>
    </row>
    <row r="2360" spans="1:5">
      <c r="A2360" s="10">
        <f>55</f>
        <v>55</v>
      </c>
      <c r="B2360" s="18">
        <f t="shared" si="256"/>
        <v>0</v>
      </c>
      <c r="C2360" s="10">
        <f t="shared" si="257"/>
        <v>0</v>
      </c>
      <c r="D2360" s="18">
        <f t="shared" si="258"/>
        <v>26929.339898063612</v>
      </c>
      <c r="E2360" s="18">
        <f t="shared" si="259"/>
        <v>0</v>
      </c>
    </row>
    <row r="2361" spans="1:5">
      <c r="A2361" s="10">
        <f>56</f>
        <v>56</v>
      </c>
      <c r="B2361" s="18">
        <f t="shared" si="256"/>
        <v>0</v>
      </c>
      <c r="C2361" s="10">
        <f t="shared" si="257"/>
        <v>0</v>
      </c>
      <c r="D2361" s="18">
        <f t="shared" si="258"/>
        <v>26929.339898063612</v>
      </c>
      <c r="E2361" s="18">
        <f t="shared" si="259"/>
        <v>0</v>
      </c>
    </row>
    <row r="2362" spans="1:5">
      <c r="A2362" s="10">
        <f>57</f>
        <v>57</v>
      </c>
      <c r="B2362" s="18">
        <f t="shared" si="256"/>
        <v>0</v>
      </c>
      <c r="C2362" s="10">
        <f t="shared" si="257"/>
        <v>0</v>
      </c>
      <c r="D2362" s="18">
        <f t="shared" si="258"/>
        <v>26929.339898063612</v>
      </c>
      <c r="E2362" s="18">
        <f t="shared" si="259"/>
        <v>0</v>
      </c>
    </row>
    <row r="2363" spans="1:5">
      <c r="A2363" s="10">
        <f>58</f>
        <v>58</v>
      </c>
      <c r="B2363" s="18">
        <f t="shared" si="256"/>
        <v>0</v>
      </c>
      <c r="C2363" s="10">
        <f t="shared" si="257"/>
        <v>0</v>
      </c>
      <c r="D2363" s="18">
        <f t="shared" si="258"/>
        <v>26929.339898063612</v>
      </c>
      <c r="E2363" s="18">
        <f t="shared" si="259"/>
        <v>0</v>
      </c>
    </row>
    <row r="2364" spans="1:5">
      <c r="A2364" s="10">
        <f>59</f>
        <v>59</v>
      </c>
      <c r="B2364" s="18">
        <f t="shared" si="256"/>
        <v>0</v>
      </c>
      <c r="C2364" s="10">
        <f t="shared" si="257"/>
        <v>0</v>
      </c>
      <c r="D2364" s="18">
        <f t="shared" si="258"/>
        <v>26929.339898063612</v>
      </c>
      <c r="E2364" s="18">
        <f t="shared" si="259"/>
        <v>0</v>
      </c>
    </row>
    <row r="2365" spans="1:5">
      <c r="A2365" s="10">
        <f>60</f>
        <v>60</v>
      </c>
      <c r="B2365" s="18">
        <f t="shared" si="256"/>
        <v>0</v>
      </c>
      <c r="C2365" s="10">
        <f t="shared" si="257"/>
        <v>0</v>
      </c>
      <c r="D2365" s="18">
        <f t="shared" si="258"/>
        <v>26929.339898063612</v>
      </c>
      <c r="E2365" s="18">
        <f t="shared" si="259"/>
        <v>0</v>
      </c>
    </row>
    <row r="2366" spans="1:5">
      <c r="B2366" s="10">
        <f>SUM(C2306:C2365)</f>
        <v>28</v>
      </c>
    </row>
    <row r="2368" spans="1:5">
      <c r="A2368" s="2" t="s">
        <v>312</v>
      </c>
    </row>
    <row r="2370" spans="1:5">
      <c r="A2370" s="25" t="s">
        <v>262</v>
      </c>
      <c r="B2370" s="25" t="s">
        <v>263</v>
      </c>
      <c r="C2370" s="25" t="s">
        <v>305</v>
      </c>
      <c r="D2370" s="25" t="s">
        <v>264</v>
      </c>
      <c r="E2370" s="25" t="s">
        <v>265</v>
      </c>
    </row>
    <row r="2371" spans="1:5">
      <c r="A2371" s="3">
        <v>0</v>
      </c>
      <c r="C2371" s="10">
        <f>1</f>
        <v>1</v>
      </c>
      <c r="D2371" s="18">
        <f>MIN(2*$B$635,$B$5)</f>
        <v>99066.52295194671</v>
      </c>
      <c r="E2371" s="18">
        <f>$B$5-D2371</f>
        <v>900933.47704805329</v>
      </c>
    </row>
    <row r="2372" spans="1:5">
      <c r="A2372" s="10">
        <f>1</f>
        <v>1</v>
      </c>
      <c r="B2372" s="18">
        <f t="shared" ref="B2372:B2403" si="260">IF(C2371=0,0,MIN(MAX(E2371,0),(($B$635-MIN(MAX(D2371,0),$B$635))+MAX(0,2*$B$635-(D2371-MIN(MAX(D2371,0),$B$635))))))</f>
        <v>49533.261475973355</v>
      </c>
      <c r="C2372" s="10">
        <f t="shared" ref="C2372:C2403" si="261">IF(AND(C2371=1,D2371+E2371&gt;0.000001,B2372&gt;=($B$635-MIN(MAX(D2371,0),$B$635))-0.000001),1,0)</f>
        <v>1</v>
      </c>
      <c r="D2372" s="18">
        <f t="shared" ref="D2372:D2403" si="262">IF(C2372=0,D2371,(D2371-$B$635+B2372)*(1+$B$7))</f>
        <v>98709.883469319699</v>
      </c>
      <c r="E2372" s="18">
        <f t="shared" ref="E2372:E2403" si="263">IF(C2372=0,E2371,(E2371-B2372)*(1+$B$6))</f>
        <v>876942.22203924228</v>
      </c>
    </row>
    <row r="2373" spans="1:5">
      <c r="A2373" s="10">
        <f>2</f>
        <v>2</v>
      </c>
      <c r="B2373" s="18">
        <f t="shared" si="260"/>
        <v>49889.900958600367</v>
      </c>
      <c r="C2373" s="10">
        <f t="shared" si="261"/>
        <v>1</v>
      </c>
      <c r="D2373" s="18">
        <f t="shared" si="262"/>
        <v>98709.883469319699</v>
      </c>
      <c r="E2373" s="18">
        <f t="shared" si="263"/>
        <v>851863.89071306121</v>
      </c>
    </row>
    <row r="2374" spans="1:5">
      <c r="A2374" s="10">
        <f>3</f>
        <v>3</v>
      </c>
      <c r="B2374" s="18">
        <f t="shared" si="260"/>
        <v>49889.900958600367</v>
      </c>
      <c r="C2374" s="10">
        <f t="shared" si="261"/>
        <v>1</v>
      </c>
      <c r="D2374" s="18">
        <f t="shared" si="262"/>
        <v>98709.883469319699</v>
      </c>
      <c r="E2374" s="18">
        <f t="shared" si="263"/>
        <v>826033.2094470947</v>
      </c>
    </row>
    <row r="2375" spans="1:5">
      <c r="A2375" s="10">
        <f>4</f>
        <v>4</v>
      </c>
      <c r="B2375" s="18">
        <f t="shared" si="260"/>
        <v>49889.900958600367</v>
      </c>
      <c r="C2375" s="10">
        <f t="shared" si="261"/>
        <v>1</v>
      </c>
      <c r="D2375" s="18">
        <f t="shared" si="262"/>
        <v>98709.883469319699</v>
      </c>
      <c r="E2375" s="18">
        <f t="shared" si="263"/>
        <v>799427.60774314927</v>
      </c>
    </row>
    <row r="2376" spans="1:5">
      <c r="A2376" s="10">
        <f>5</f>
        <v>5</v>
      </c>
      <c r="B2376" s="18">
        <f t="shared" si="260"/>
        <v>49889.900958600367</v>
      </c>
      <c r="C2376" s="10">
        <f t="shared" si="261"/>
        <v>1</v>
      </c>
      <c r="D2376" s="18">
        <f t="shared" si="262"/>
        <v>98709.883469319699</v>
      </c>
      <c r="E2376" s="18">
        <f t="shared" si="263"/>
        <v>772023.83798808546</v>
      </c>
    </row>
    <row r="2377" spans="1:5">
      <c r="A2377" s="10">
        <f>6</f>
        <v>6</v>
      </c>
      <c r="B2377" s="18">
        <f t="shared" si="260"/>
        <v>49889.900958600367</v>
      </c>
      <c r="C2377" s="10">
        <f t="shared" si="261"/>
        <v>1</v>
      </c>
      <c r="D2377" s="18">
        <f t="shared" si="262"/>
        <v>98709.883469319699</v>
      </c>
      <c r="E2377" s="18">
        <f t="shared" si="263"/>
        <v>743797.95514036971</v>
      </c>
    </row>
    <row r="2378" spans="1:5">
      <c r="A2378" s="10">
        <f>7</f>
        <v>7</v>
      </c>
      <c r="B2378" s="18">
        <f t="shared" si="260"/>
        <v>49889.900958600367</v>
      </c>
      <c r="C2378" s="10">
        <f t="shared" si="261"/>
        <v>1</v>
      </c>
      <c r="D2378" s="18">
        <f t="shared" si="262"/>
        <v>98709.883469319699</v>
      </c>
      <c r="E2378" s="18">
        <f t="shared" si="263"/>
        <v>714725.29580722249</v>
      </c>
    </row>
    <row r="2379" spans="1:5">
      <c r="A2379" s="10">
        <f>8</f>
        <v>8</v>
      </c>
      <c r="B2379" s="18">
        <f t="shared" si="260"/>
        <v>49889.900958600367</v>
      </c>
      <c r="C2379" s="10">
        <f t="shared" si="261"/>
        <v>1</v>
      </c>
      <c r="D2379" s="18">
        <f t="shared" si="262"/>
        <v>98709.883469319699</v>
      </c>
      <c r="E2379" s="18">
        <f t="shared" si="263"/>
        <v>684780.45669408084</v>
      </c>
    </row>
    <row r="2380" spans="1:5">
      <c r="A2380" s="10">
        <f>9</f>
        <v>9</v>
      </c>
      <c r="B2380" s="18">
        <f t="shared" si="260"/>
        <v>49889.900958600367</v>
      </c>
      <c r="C2380" s="10">
        <f t="shared" si="261"/>
        <v>1</v>
      </c>
      <c r="D2380" s="18">
        <f t="shared" si="262"/>
        <v>98709.883469319699</v>
      </c>
      <c r="E2380" s="18">
        <f t="shared" si="263"/>
        <v>653937.27240754489</v>
      </c>
    </row>
    <row r="2381" spans="1:5">
      <c r="A2381" s="10">
        <f>10</f>
        <v>10</v>
      </c>
      <c r="B2381" s="18">
        <f t="shared" si="260"/>
        <v>49889.900958600367</v>
      </c>
      <c r="C2381" s="10">
        <f t="shared" si="261"/>
        <v>1</v>
      </c>
      <c r="D2381" s="18">
        <f t="shared" si="262"/>
        <v>98709.883469319699</v>
      </c>
      <c r="E2381" s="18">
        <f t="shared" si="263"/>
        <v>622168.79259241291</v>
      </c>
    </row>
    <row r="2382" spans="1:5">
      <c r="A2382" s="10">
        <f>11</f>
        <v>11</v>
      </c>
      <c r="B2382" s="18">
        <f t="shared" si="260"/>
        <v>49889.900958600367</v>
      </c>
      <c r="C2382" s="10">
        <f t="shared" si="261"/>
        <v>1</v>
      </c>
      <c r="D2382" s="18">
        <f t="shared" si="262"/>
        <v>98709.883469319699</v>
      </c>
      <c r="E2382" s="18">
        <f t="shared" si="263"/>
        <v>589447.25838282693</v>
      </c>
    </row>
    <row r="2383" spans="1:5">
      <c r="A2383" s="10">
        <f>12</f>
        <v>12</v>
      </c>
      <c r="B2383" s="18">
        <f t="shared" si="260"/>
        <v>49889.900958600367</v>
      </c>
      <c r="C2383" s="10">
        <f t="shared" si="261"/>
        <v>1</v>
      </c>
      <c r="D2383" s="18">
        <f t="shared" si="262"/>
        <v>98709.883469319699</v>
      </c>
      <c r="E2383" s="18">
        <f t="shared" si="263"/>
        <v>555744.07814695337</v>
      </c>
    </row>
    <row r="2384" spans="1:5">
      <c r="A2384" s="10">
        <f>13</f>
        <v>13</v>
      </c>
      <c r="B2384" s="18">
        <f t="shared" si="260"/>
        <v>49889.900958600367</v>
      </c>
      <c r="C2384" s="10">
        <f t="shared" si="261"/>
        <v>1</v>
      </c>
      <c r="D2384" s="18">
        <f t="shared" si="262"/>
        <v>98709.883469319699</v>
      </c>
      <c r="E2384" s="18">
        <f t="shared" si="263"/>
        <v>521029.80250400363</v>
      </c>
    </row>
    <row r="2385" spans="1:5">
      <c r="A2385" s="10">
        <f>14</f>
        <v>14</v>
      </c>
      <c r="B2385" s="18">
        <f t="shared" si="260"/>
        <v>49889.900958600367</v>
      </c>
      <c r="C2385" s="10">
        <f t="shared" si="261"/>
        <v>1</v>
      </c>
      <c r="D2385" s="18">
        <f t="shared" si="262"/>
        <v>98709.883469319699</v>
      </c>
      <c r="E2385" s="18">
        <f t="shared" si="263"/>
        <v>485274.09859176539</v>
      </c>
    </row>
    <row r="2386" spans="1:5">
      <c r="A2386" s="10">
        <f>15</f>
        <v>15</v>
      </c>
      <c r="B2386" s="18">
        <f t="shared" si="260"/>
        <v>49889.900958600367</v>
      </c>
      <c r="C2386" s="10">
        <f t="shared" si="261"/>
        <v>1</v>
      </c>
      <c r="D2386" s="18">
        <f t="shared" si="262"/>
        <v>98709.883469319699</v>
      </c>
      <c r="E2386" s="18">
        <f t="shared" si="263"/>
        <v>448445.72356216004</v>
      </c>
    </row>
    <row r="2387" spans="1:5">
      <c r="A2387" s="10">
        <f>16</f>
        <v>16</v>
      </c>
      <c r="B2387" s="18">
        <f t="shared" si="260"/>
        <v>49889.900958600367</v>
      </c>
      <c r="C2387" s="10">
        <f t="shared" si="261"/>
        <v>1</v>
      </c>
      <c r="D2387" s="18">
        <f t="shared" si="262"/>
        <v>98709.883469319699</v>
      </c>
      <c r="E2387" s="18">
        <f t="shared" si="263"/>
        <v>410512.4972816665</v>
      </c>
    </row>
    <row r="2388" spans="1:5">
      <c r="A2388" s="10">
        <f>17</f>
        <v>17</v>
      </c>
      <c r="B2388" s="18">
        <f t="shared" si="260"/>
        <v>49889.900958600367</v>
      </c>
      <c r="C2388" s="10">
        <f t="shared" si="261"/>
        <v>1</v>
      </c>
      <c r="D2388" s="18">
        <f t="shared" si="262"/>
        <v>98709.883469319699</v>
      </c>
      <c r="E2388" s="18">
        <f t="shared" si="263"/>
        <v>371441.27421275817</v>
      </c>
    </row>
    <row r="2389" spans="1:5">
      <c r="A2389" s="10">
        <f>18</f>
        <v>18</v>
      </c>
      <c r="B2389" s="18">
        <f t="shared" si="260"/>
        <v>49889.900958600367</v>
      </c>
      <c r="C2389" s="10">
        <f t="shared" si="261"/>
        <v>1</v>
      </c>
      <c r="D2389" s="18">
        <f t="shared" si="262"/>
        <v>98709.883469319699</v>
      </c>
      <c r="E2389" s="18">
        <f t="shared" si="263"/>
        <v>331197.91445178259</v>
      </c>
    </row>
    <row r="2390" spans="1:5">
      <c r="A2390" s="10">
        <f>19</f>
        <v>19</v>
      </c>
      <c r="B2390" s="18">
        <f t="shared" si="260"/>
        <v>49889.900958600367</v>
      </c>
      <c r="C2390" s="10">
        <f t="shared" si="261"/>
        <v>1</v>
      </c>
      <c r="D2390" s="18">
        <f t="shared" si="262"/>
        <v>98709.883469319699</v>
      </c>
      <c r="E2390" s="18">
        <f t="shared" si="263"/>
        <v>289747.2538979777</v>
      </c>
    </row>
    <row r="2391" spans="1:5">
      <c r="A2391" s="10">
        <f>20</f>
        <v>20</v>
      </c>
      <c r="B2391" s="18">
        <f t="shared" si="260"/>
        <v>49889.900958600367</v>
      </c>
      <c r="C2391" s="10">
        <f t="shared" si="261"/>
        <v>1</v>
      </c>
      <c r="D2391" s="18">
        <f t="shared" si="262"/>
        <v>98709.883469319699</v>
      </c>
      <c r="E2391" s="18">
        <f t="shared" si="263"/>
        <v>247053.07352755865</v>
      </c>
    </row>
    <row r="2392" spans="1:5">
      <c r="A2392" s="10">
        <f>21</f>
        <v>21</v>
      </c>
      <c r="B2392" s="18">
        <f t="shared" si="260"/>
        <v>49889.900958600367</v>
      </c>
      <c r="C2392" s="10">
        <f t="shared" si="261"/>
        <v>1</v>
      </c>
      <c r="D2392" s="18">
        <f t="shared" si="262"/>
        <v>98709.883469319699</v>
      </c>
      <c r="E2392" s="18">
        <f t="shared" si="263"/>
        <v>203078.06774602702</v>
      </c>
    </row>
    <row r="2393" spans="1:5">
      <c r="A2393" s="10">
        <f>22</f>
        <v>22</v>
      </c>
      <c r="B2393" s="18">
        <f t="shared" si="260"/>
        <v>49889.900958600367</v>
      </c>
      <c r="C2393" s="10">
        <f t="shared" si="261"/>
        <v>1</v>
      </c>
      <c r="D2393" s="18">
        <f t="shared" si="262"/>
        <v>98709.883469319699</v>
      </c>
      <c r="E2393" s="18">
        <f t="shared" si="263"/>
        <v>157783.81179104946</v>
      </c>
    </row>
    <row r="2394" spans="1:5">
      <c r="A2394" s="10">
        <f>23</f>
        <v>23</v>
      </c>
      <c r="B2394" s="18">
        <f t="shared" si="260"/>
        <v>49889.900958600367</v>
      </c>
      <c r="C2394" s="10">
        <f t="shared" si="261"/>
        <v>1</v>
      </c>
      <c r="D2394" s="18">
        <f t="shared" si="262"/>
        <v>98709.883469319699</v>
      </c>
      <c r="E2394" s="18">
        <f t="shared" si="263"/>
        <v>111130.72815742258</v>
      </c>
    </row>
    <row r="2395" spans="1:5">
      <c r="A2395" s="10">
        <f>24</f>
        <v>24</v>
      </c>
      <c r="B2395" s="18">
        <f t="shared" si="260"/>
        <v>49889.900958600367</v>
      </c>
      <c r="C2395" s="10">
        <f t="shared" si="261"/>
        <v>1</v>
      </c>
      <c r="D2395" s="18">
        <f t="shared" si="262"/>
        <v>98709.883469319699</v>
      </c>
      <c r="E2395" s="18">
        <f t="shared" si="263"/>
        <v>63078.052014786881</v>
      </c>
    </row>
    <row r="2396" spans="1:5">
      <c r="A2396" s="10">
        <f>25</f>
        <v>25</v>
      </c>
      <c r="B2396" s="18">
        <f t="shared" si="260"/>
        <v>49889.900958600367</v>
      </c>
      <c r="C2396" s="10">
        <f t="shared" si="261"/>
        <v>1</v>
      </c>
      <c r="D2396" s="18">
        <f t="shared" si="262"/>
        <v>98709.883469319699</v>
      </c>
      <c r="E2396" s="18">
        <f t="shared" si="263"/>
        <v>13583.79558787211</v>
      </c>
    </row>
    <row r="2397" spans="1:5">
      <c r="A2397" s="10">
        <f>26</f>
        <v>26</v>
      </c>
      <c r="B2397" s="18">
        <f t="shared" si="260"/>
        <v>13583.79558787211</v>
      </c>
      <c r="C2397" s="10">
        <f t="shared" si="261"/>
        <v>1</v>
      </c>
      <c r="D2397" s="18">
        <f t="shared" si="262"/>
        <v>62534.480077926062</v>
      </c>
      <c r="E2397" s="18">
        <f t="shared" si="263"/>
        <v>0</v>
      </c>
    </row>
    <row r="2398" spans="1:5">
      <c r="A2398" s="10">
        <f>27</f>
        <v>27</v>
      </c>
      <c r="B2398" s="18">
        <f t="shared" si="260"/>
        <v>0</v>
      </c>
      <c r="C2398" s="10">
        <f t="shared" si="261"/>
        <v>1</v>
      </c>
      <c r="D2398" s="18">
        <f t="shared" si="262"/>
        <v>12954.414214985676</v>
      </c>
      <c r="E2398" s="18">
        <f t="shared" si="263"/>
        <v>0</v>
      </c>
    </row>
    <row r="2399" spans="1:5">
      <c r="A2399" s="10">
        <f>28</f>
        <v>28</v>
      </c>
      <c r="B2399" s="18">
        <f t="shared" si="260"/>
        <v>0</v>
      </c>
      <c r="C2399" s="10">
        <f t="shared" si="261"/>
        <v>0</v>
      </c>
      <c r="D2399" s="18">
        <f t="shared" si="262"/>
        <v>12954.414214985676</v>
      </c>
      <c r="E2399" s="18">
        <f t="shared" si="263"/>
        <v>0</v>
      </c>
    </row>
    <row r="2400" spans="1:5">
      <c r="A2400" s="10">
        <f>29</f>
        <v>29</v>
      </c>
      <c r="B2400" s="18">
        <f t="shared" si="260"/>
        <v>0</v>
      </c>
      <c r="C2400" s="10">
        <f t="shared" si="261"/>
        <v>0</v>
      </c>
      <c r="D2400" s="18">
        <f t="shared" si="262"/>
        <v>12954.414214985676</v>
      </c>
      <c r="E2400" s="18">
        <f t="shared" si="263"/>
        <v>0</v>
      </c>
    </row>
    <row r="2401" spans="1:5">
      <c r="A2401" s="10">
        <f>30</f>
        <v>30</v>
      </c>
      <c r="B2401" s="18">
        <f t="shared" si="260"/>
        <v>0</v>
      </c>
      <c r="C2401" s="10">
        <f t="shared" si="261"/>
        <v>0</v>
      </c>
      <c r="D2401" s="18">
        <f t="shared" si="262"/>
        <v>12954.414214985676</v>
      </c>
      <c r="E2401" s="18">
        <f t="shared" si="263"/>
        <v>0</v>
      </c>
    </row>
    <row r="2402" spans="1:5">
      <c r="A2402" s="10">
        <f>31</f>
        <v>31</v>
      </c>
      <c r="B2402" s="18">
        <f t="shared" si="260"/>
        <v>0</v>
      </c>
      <c r="C2402" s="10">
        <f t="shared" si="261"/>
        <v>0</v>
      </c>
      <c r="D2402" s="18">
        <f t="shared" si="262"/>
        <v>12954.414214985676</v>
      </c>
      <c r="E2402" s="18">
        <f t="shared" si="263"/>
        <v>0</v>
      </c>
    </row>
    <row r="2403" spans="1:5">
      <c r="A2403" s="10">
        <f>32</f>
        <v>32</v>
      </c>
      <c r="B2403" s="18">
        <f t="shared" si="260"/>
        <v>0</v>
      </c>
      <c r="C2403" s="10">
        <f t="shared" si="261"/>
        <v>0</v>
      </c>
      <c r="D2403" s="18">
        <f t="shared" si="262"/>
        <v>12954.414214985676</v>
      </c>
      <c r="E2403" s="18">
        <f t="shared" si="263"/>
        <v>0</v>
      </c>
    </row>
    <row r="2404" spans="1:5">
      <c r="A2404" s="10">
        <f>33</f>
        <v>33</v>
      </c>
      <c r="B2404" s="18">
        <f t="shared" ref="B2404:B2431" si="264">IF(C2403=0,0,MIN(MAX(E2403,0),(($B$635-MIN(MAX(D2403,0),$B$635))+MAX(0,2*$B$635-(D2403-MIN(MAX(D2403,0),$B$635))))))</f>
        <v>0</v>
      </c>
      <c r="C2404" s="10">
        <f t="shared" ref="C2404:C2435" si="265">IF(AND(C2403=1,D2403+E2403&gt;0.000001,B2404&gt;=($B$635-MIN(MAX(D2403,0),$B$635))-0.000001),1,0)</f>
        <v>0</v>
      </c>
      <c r="D2404" s="18">
        <f t="shared" ref="D2404:D2435" si="266">IF(C2404=0,D2403,(D2403-$B$635+B2404)*(1+$B$7))</f>
        <v>12954.414214985676</v>
      </c>
      <c r="E2404" s="18">
        <f t="shared" ref="E2404:E2431" si="267">IF(C2404=0,E2403,(E2403-B2404)*(1+$B$6))</f>
        <v>0</v>
      </c>
    </row>
    <row r="2405" spans="1:5">
      <c r="A2405" s="10">
        <f>34</f>
        <v>34</v>
      </c>
      <c r="B2405" s="18">
        <f t="shared" si="264"/>
        <v>0</v>
      </c>
      <c r="C2405" s="10">
        <f t="shared" si="265"/>
        <v>0</v>
      </c>
      <c r="D2405" s="18">
        <f t="shared" si="266"/>
        <v>12954.414214985676</v>
      </c>
      <c r="E2405" s="18">
        <f t="shared" si="267"/>
        <v>0</v>
      </c>
    </row>
    <row r="2406" spans="1:5">
      <c r="A2406" s="10">
        <f>35</f>
        <v>35</v>
      </c>
      <c r="B2406" s="18">
        <f t="shared" si="264"/>
        <v>0</v>
      </c>
      <c r="C2406" s="10">
        <f t="shared" si="265"/>
        <v>0</v>
      </c>
      <c r="D2406" s="18">
        <f t="shared" si="266"/>
        <v>12954.414214985676</v>
      </c>
      <c r="E2406" s="18">
        <f t="shared" si="267"/>
        <v>0</v>
      </c>
    </row>
    <row r="2407" spans="1:5">
      <c r="A2407" s="10">
        <f>36</f>
        <v>36</v>
      </c>
      <c r="B2407" s="18">
        <f t="shared" si="264"/>
        <v>0</v>
      </c>
      <c r="C2407" s="10">
        <f t="shared" si="265"/>
        <v>0</v>
      </c>
      <c r="D2407" s="18">
        <f t="shared" si="266"/>
        <v>12954.414214985676</v>
      </c>
      <c r="E2407" s="18">
        <f t="shared" si="267"/>
        <v>0</v>
      </c>
    </row>
    <row r="2408" spans="1:5">
      <c r="A2408" s="10">
        <f>37</f>
        <v>37</v>
      </c>
      <c r="B2408" s="18">
        <f t="shared" si="264"/>
        <v>0</v>
      </c>
      <c r="C2408" s="10">
        <f t="shared" si="265"/>
        <v>0</v>
      </c>
      <c r="D2408" s="18">
        <f t="shared" si="266"/>
        <v>12954.414214985676</v>
      </c>
      <c r="E2408" s="18">
        <f t="shared" si="267"/>
        <v>0</v>
      </c>
    </row>
    <row r="2409" spans="1:5">
      <c r="A2409" s="10">
        <f>38</f>
        <v>38</v>
      </c>
      <c r="B2409" s="18">
        <f t="shared" si="264"/>
        <v>0</v>
      </c>
      <c r="C2409" s="10">
        <f t="shared" si="265"/>
        <v>0</v>
      </c>
      <c r="D2409" s="18">
        <f t="shared" si="266"/>
        <v>12954.414214985676</v>
      </c>
      <c r="E2409" s="18">
        <f t="shared" si="267"/>
        <v>0</v>
      </c>
    </row>
    <row r="2410" spans="1:5">
      <c r="A2410" s="10">
        <f>39</f>
        <v>39</v>
      </c>
      <c r="B2410" s="18">
        <f t="shared" si="264"/>
        <v>0</v>
      </c>
      <c r="C2410" s="10">
        <f t="shared" si="265"/>
        <v>0</v>
      </c>
      <c r="D2410" s="18">
        <f t="shared" si="266"/>
        <v>12954.414214985676</v>
      </c>
      <c r="E2410" s="18">
        <f t="shared" si="267"/>
        <v>0</v>
      </c>
    </row>
    <row r="2411" spans="1:5">
      <c r="A2411" s="10">
        <f>40</f>
        <v>40</v>
      </c>
      <c r="B2411" s="18">
        <f t="shared" si="264"/>
        <v>0</v>
      </c>
      <c r="C2411" s="10">
        <f t="shared" si="265"/>
        <v>0</v>
      </c>
      <c r="D2411" s="18">
        <f t="shared" si="266"/>
        <v>12954.414214985676</v>
      </c>
      <c r="E2411" s="18">
        <f t="shared" si="267"/>
        <v>0</v>
      </c>
    </row>
    <row r="2412" spans="1:5">
      <c r="A2412" s="10">
        <f>41</f>
        <v>41</v>
      </c>
      <c r="B2412" s="18">
        <f t="shared" si="264"/>
        <v>0</v>
      </c>
      <c r="C2412" s="10">
        <f t="shared" si="265"/>
        <v>0</v>
      </c>
      <c r="D2412" s="18">
        <f t="shared" si="266"/>
        <v>12954.414214985676</v>
      </c>
      <c r="E2412" s="18">
        <f t="shared" si="267"/>
        <v>0</v>
      </c>
    </row>
    <row r="2413" spans="1:5">
      <c r="A2413" s="10">
        <f>42</f>
        <v>42</v>
      </c>
      <c r="B2413" s="18">
        <f t="shared" si="264"/>
        <v>0</v>
      </c>
      <c r="C2413" s="10">
        <f t="shared" si="265"/>
        <v>0</v>
      </c>
      <c r="D2413" s="18">
        <f t="shared" si="266"/>
        <v>12954.414214985676</v>
      </c>
      <c r="E2413" s="18">
        <f t="shared" si="267"/>
        <v>0</v>
      </c>
    </row>
    <row r="2414" spans="1:5">
      <c r="A2414" s="10">
        <f>43</f>
        <v>43</v>
      </c>
      <c r="B2414" s="18">
        <f t="shared" si="264"/>
        <v>0</v>
      </c>
      <c r="C2414" s="10">
        <f t="shared" si="265"/>
        <v>0</v>
      </c>
      <c r="D2414" s="18">
        <f t="shared" si="266"/>
        <v>12954.414214985676</v>
      </c>
      <c r="E2414" s="18">
        <f t="shared" si="267"/>
        <v>0</v>
      </c>
    </row>
    <row r="2415" spans="1:5">
      <c r="A2415" s="10">
        <f>44</f>
        <v>44</v>
      </c>
      <c r="B2415" s="18">
        <f t="shared" si="264"/>
        <v>0</v>
      </c>
      <c r="C2415" s="10">
        <f t="shared" si="265"/>
        <v>0</v>
      </c>
      <c r="D2415" s="18">
        <f t="shared" si="266"/>
        <v>12954.414214985676</v>
      </c>
      <c r="E2415" s="18">
        <f t="shared" si="267"/>
        <v>0</v>
      </c>
    </row>
    <row r="2416" spans="1:5">
      <c r="A2416" s="10">
        <f>45</f>
        <v>45</v>
      </c>
      <c r="B2416" s="18">
        <f t="shared" si="264"/>
        <v>0</v>
      </c>
      <c r="C2416" s="10">
        <f t="shared" si="265"/>
        <v>0</v>
      </c>
      <c r="D2416" s="18">
        <f t="shared" si="266"/>
        <v>12954.414214985676</v>
      </c>
      <c r="E2416" s="18">
        <f t="shared" si="267"/>
        <v>0</v>
      </c>
    </row>
    <row r="2417" spans="1:5">
      <c r="A2417" s="10">
        <f>46</f>
        <v>46</v>
      </c>
      <c r="B2417" s="18">
        <f t="shared" si="264"/>
        <v>0</v>
      </c>
      <c r="C2417" s="10">
        <f t="shared" si="265"/>
        <v>0</v>
      </c>
      <c r="D2417" s="18">
        <f t="shared" si="266"/>
        <v>12954.414214985676</v>
      </c>
      <c r="E2417" s="18">
        <f t="shared" si="267"/>
        <v>0</v>
      </c>
    </row>
    <row r="2418" spans="1:5">
      <c r="A2418" s="10">
        <f>47</f>
        <v>47</v>
      </c>
      <c r="B2418" s="18">
        <f t="shared" si="264"/>
        <v>0</v>
      </c>
      <c r="C2418" s="10">
        <f t="shared" si="265"/>
        <v>0</v>
      </c>
      <c r="D2418" s="18">
        <f t="shared" si="266"/>
        <v>12954.414214985676</v>
      </c>
      <c r="E2418" s="18">
        <f t="shared" si="267"/>
        <v>0</v>
      </c>
    </row>
    <row r="2419" spans="1:5">
      <c r="A2419" s="10">
        <f>48</f>
        <v>48</v>
      </c>
      <c r="B2419" s="18">
        <f t="shared" si="264"/>
        <v>0</v>
      </c>
      <c r="C2419" s="10">
        <f t="shared" si="265"/>
        <v>0</v>
      </c>
      <c r="D2419" s="18">
        <f t="shared" si="266"/>
        <v>12954.414214985676</v>
      </c>
      <c r="E2419" s="18">
        <f t="shared" si="267"/>
        <v>0</v>
      </c>
    </row>
    <row r="2420" spans="1:5">
      <c r="A2420" s="10">
        <f>49</f>
        <v>49</v>
      </c>
      <c r="B2420" s="18">
        <f t="shared" si="264"/>
        <v>0</v>
      </c>
      <c r="C2420" s="10">
        <f t="shared" si="265"/>
        <v>0</v>
      </c>
      <c r="D2420" s="18">
        <f t="shared" si="266"/>
        <v>12954.414214985676</v>
      </c>
      <c r="E2420" s="18">
        <f t="shared" si="267"/>
        <v>0</v>
      </c>
    </row>
    <row r="2421" spans="1:5">
      <c r="A2421" s="10">
        <f>50</f>
        <v>50</v>
      </c>
      <c r="B2421" s="18">
        <f t="shared" si="264"/>
        <v>0</v>
      </c>
      <c r="C2421" s="10">
        <f t="shared" si="265"/>
        <v>0</v>
      </c>
      <c r="D2421" s="18">
        <f t="shared" si="266"/>
        <v>12954.414214985676</v>
      </c>
      <c r="E2421" s="18">
        <f t="shared" si="267"/>
        <v>0</v>
      </c>
    </row>
    <row r="2422" spans="1:5">
      <c r="A2422" s="10">
        <f>51</f>
        <v>51</v>
      </c>
      <c r="B2422" s="18">
        <f t="shared" si="264"/>
        <v>0</v>
      </c>
      <c r="C2422" s="10">
        <f t="shared" si="265"/>
        <v>0</v>
      </c>
      <c r="D2422" s="18">
        <f t="shared" si="266"/>
        <v>12954.414214985676</v>
      </c>
      <c r="E2422" s="18">
        <f t="shared" si="267"/>
        <v>0</v>
      </c>
    </row>
    <row r="2423" spans="1:5">
      <c r="A2423" s="10">
        <f>52</f>
        <v>52</v>
      </c>
      <c r="B2423" s="18">
        <f t="shared" si="264"/>
        <v>0</v>
      </c>
      <c r="C2423" s="10">
        <f t="shared" si="265"/>
        <v>0</v>
      </c>
      <c r="D2423" s="18">
        <f t="shared" si="266"/>
        <v>12954.414214985676</v>
      </c>
      <c r="E2423" s="18">
        <f t="shared" si="267"/>
        <v>0</v>
      </c>
    </row>
    <row r="2424" spans="1:5">
      <c r="A2424" s="10">
        <f>53</f>
        <v>53</v>
      </c>
      <c r="B2424" s="18">
        <f t="shared" si="264"/>
        <v>0</v>
      </c>
      <c r="C2424" s="10">
        <f t="shared" si="265"/>
        <v>0</v>
      </c>
      <c r="D2424" s="18">
        <f t="shared" si="266"/>
        <v>12954.414214985676</v>
      </c>
      <c r="E2424" s="18">
        <f t="shared" si="267"/>
        <v>0</v>
      </c>
    </row>
    <row r="2425" spans="1:5">
      <c r="A2425" s="10">
        <f>54</f>
        <v>54</v>
      </c>
      <c r="B2425" s="18">
        <f t="shared" si="264"/>
        <v>0</v>
      </c>
      <c r="C2425" s="10">
        <f t="shared" si="265"/>
        <v>0</v>
      </c>
      <c r="D2425" s="18">
        <f t="shared" si="266"/>
        <v>12954.414214985676</v>
      </c>
      <c r="E2425" s="18">
        <f t="shared" si="267"/>
        <v>0</v>
      </c>
    </row>
    <row r="2426" spans="1:5">
      <c r="A2426" s="10">
        <f>55</f>
        <v>55</v>
      </c>
      <c r="B2426" s="18">
        <f t="shared" si="264"/>
        <v>0</v>
      </c>
      <c r="C2426" s="10">
        <f t="shared" si="265"/>
        <v>0</v>
      </c>
      <c r="D2426" s="18">
        <f t="shared" si="266"/>
        <v>12954.414214985676</v>
      </c>
      <c r="E2426" s="18">
        <f t="shared" si="267"/>
        <v>0</v>
      </c>
    </row>
    <row r="2427" spans="1:5">
      <c r="A2427" s="10">
        <f>56</f>
        <v>56</v>
      </c>
      <c r="B2427" s="18">
        <f t="shared" si="264"/>
        <v>0</v>
      </c>
      <c r="C2427" s="10">
        <f t="shared" si="265"/>
        <v>0</v>
      </c>
      <c r="D2427" s="18">
        <f t="shared" si="266"/>
        <v>12954.414214985676</v>
      </c>
      <c r="E2427" s="18">
        <f t="shared" si="267"/>
        <v>0</v>
      </c>
    </row>
    <row r="2428" spans="1:5">
      <c r="A2428" s="10">
        <f>57</f>
        <v>57</v>
      </c>
      <c r="B2428" s="18">
        <f t="shared" si="264"/>
        <v>0</v>
      </c>
      <c r="C2428" s="10">
        <f t="shared" si="265"/>
        <v>0</v>
      </c>
      <c r="D2428" s="18">
        <f t="shared" si="266"/>
        <v>12954.414214985676</v>
      </c>
      <c r="E2428" s="18">
        <f t="shared" si="267"/>
        <v>0</v>
      </c>
    </row>
    <row r="2429" spans="1:5">
      <c r="A2429" s="10">
        <f>58</f>
        <v>58</v>
      </c>
      <c r="B2429" s="18">
        <f t="shared" si="264"/>
        <v>0</v>
      </c>
      <c r="C2429" s="10">
        <f t="shared" si="265"/>
        <v>0</v>
      </c>
      <c r="D2429" s="18">
        <f t="shared" si="266"/>
        <v>12954.414214985676</v>
      </c>
      <c r="E2429" s="18">
        <f t="shared" si="267"/>
        <v>0</v>
      </c>
    </row>
    <row r="2430" spans="1:5">
      <c r="A2430" s="10">
        <f>59</f>
        <v>59</v>
      </c>
      <c r="B2430" s="18">
        <f t="shared" si="264"/>
        <v>0</v>
      </c>
      <c r="C2430" s="10">
        <f t="shared" si="265"/>
        <v>0</v>
      </c>
      <c r="D2430" s="18">
        <f t="shared" si="266"/>
        <v>12954.414214985676</v>
      </c>
      <c r="E2430" s="18">
        <f t="shared" si="267"/>
        <v>0</v>
      </c>
    </row>
    <row r="2431" spans="1:5">
      <c r="A2431" s="10">
        <f>60</f>
        <v>60</v>
      </c>
      <c r="B2431" s="18">
        <f t="shared" si="264"/>
        <v>0</v>
      </c>
      <c r="C2431" s="10">
        <f t="shared" si="265"/>
        <v>0</v>
      </c>
      <c r="D2431" s="18">
        <f t="shared" si="266"/>
        <v>12954.414214985676</v>
      </c>
      <c r="E2431" s="18">
        <f t="shared" si="267"/>
        <v>0</v>
      </c>
    </row>
    <row r="2432" spans="1:5">
      <c r="B2432" s="10">
        <f>SUM(C2372:C2431)</f>
        <v>27</v>
      </c>
    </row>
    <row r="2434" spans="1:5">
      <c r="A2434" s="2" t="s">
        <v>313</v>
      </c>
    </row>
    <row r="2436" spans="1:5">
      <c r="A2436" s="25" t="s">
        <v>262</v>
      </c>
      <c r="B2436" s="25" t="s">
        <v>263</v>
      </c>
      <c r="C2436" s="25" t="s">
        <v>305</v>
      </c>
      <c r="D2436" s="25" t="s">
        <v>264</v>
      </c>
      <c r="E2436" s="25" t="s">
        <v>265</v>
      </c>
    </row>
    <row r="2437" spans="1:5">
      <c r="A2437" s="3">
        <v>0</v>
      </c>
      <c r="C2437" s="10">
        <f>1</f>
        <v>1</v>
      </c>
      <c r="D2437" s="18">
        <f>MIN(3*$B$635,$B$5)</f>
        <v>148599.78442792007</v>
      </c>
      <c r="E2437" s="18">
        <f>$B$5-D2437</f>
        <v>851400.21557207988</v>
      </c>
    </row>
    <row r="2438" spans="1:5">
      <c r="A2438" s="10">
        <f>1</f>
        <v>1</v>
      </c>
      <c r="B2438" s="18">
        <f t="shared" ref="B2438:B2469" si="268">IF(C2437=0,0,MIN(MAX(E2437,0),(($B$635-MIN(MAX(D2437,0),$B$635))+MAX(0,3*$B$635-(D2437-MIN(MAX(D2437,0),$B$635))))))</f>
        <v>49533.261475973355</v>
      </c>
      <c r="C2438" s="10">
        <f t="shared" ref="C2438:C2469" si="269">IF(AND(C2437=1,D2437+E2437&gt;0.000001,B2438&gt;=($B$635-MIN(MAX(D2437,0),$B$635))-0.000001),1,0)</f>
        <v>1</v>
      </c>
      <c r="D2438" s="18">
        <f t="shared" ref="D2438:D2469" si="270">IF(C2438=0,D2437,(D2437-$B$635+B2438)*(1+$B$7))</f>
        <v>148064.82520397953</v>
      </c>
      <c r="E2438" s="18">
        <f t="shared" ref="E2438:E2469" si="271">IF(C2438=0,E2437,(E2437-B2438)*(1+$B$6))</f>
        <v>825922.96271898982</v>
      </c>
    </row>
    <row r="2439" spans="1:5">
      <c r="A2439" s="10">
        <f>2</f>
        <v>2</v>
      </c>
      <c r="B2439" s="18">
        <f t="shared" si="268"/>
        <v>50068.220699913887</v>
      </c>
      <c r="C2439" s="10">
        <f t="shared" si="269"/>
        <v>1</v>
      </c>
      <c r="D2439" s="18">
        <f t="shared" si="270"/>
        <v>148064.82520397953</v>
      </c>
      <c r="E2439" s="18">
        <f t="shared" si="271"/>
        <v>799130.38427964819</v>
      </c>
    </row>
    <row r="2440" spans="1:5">
      <c r="A2440" s="10">
        <f>3</f>
        <v>3</v>
      </c>
      <c r="B2440" s="18">
        <f t="shared" si="268"/>
        <v>50068.220699913887</v>
      </c>
      <c r="C2440" s="10">
        <f t="shared" si="269"/>
        <v>1</v>
      </c>
      <c r="D2440" s="18">
        <f t="shared" si="270"/>
        <v>148064.82520397953</v>
      </c>
      <c r="E2440" s="18">
        <f t="shared" si="271"/>
        <v>771534.02848712634</v>
      </c>
    </row>
    <row r="2441" spans="1:5">
      <c r="A2441" s="10">
        <f>4</f>
        <v>4</v>
      </c>
      <c r="B2441" s="18">
        <f t="shared" si="268"/>
        <v>50068.220699913887</v>
      </c>
      <c r="C2441" s="10">
        <f t="shared" si="269"/>
        <v>1</v>
      </c>
      <c r="D2441" s="18">
        <f t="shared" si="270"/>
        <v>148064.82520397953</v>
      </c>
      <c r="E2441" s="18">
        <f t="shared" si="271"/>
        <v>743109.7820208288</v>
      </c>
    </row>
    <row r="2442" spans="1:5">
      <c r="A2442" s="10">
        <f>5</f>
        <v>5</v>
      </c>
      <c r="B2442" s="18">
        <f t="shared" si="268"/>
        <v>50068.220699913887</v>
      </c>
      <c r="C2442" s="10">
        <f t="shared" si="269"/>
        <v>1</v>
      </c>
      <c r="D2442" s="18">
        <f t="shared" si="270"/>
        <v>148064.82520397953</v>
      </c>
      <c r="E2442" s="18">
        <f t="shared" si="271"/>
        <v>713832.80816054239</v>
      </c>
    </row>
    <row r="2443" spans="1:5">
      <c r="A2443" s="10">
        <f>6</f>
        <v>6</v>
      </c>
      <c r="B2443" s="18">
        <f t="shared" si="268"/>
        <v>50068.220699913887</v>
      </c>
      <c r="C2443" s="10">
        <f t="shared" si="269"/>
        <v>1</v>
      </c>
      <c r="D2443" s="18">
        <f t="shared" si="270"/>
        <v>148064.82520397953</v>
      </c>
      <c r="E2443" s="18">
        <f t="shared" si="271"/>
        <v>683677.52508444735</v>
      </c>
    </row>
    <row r="2444" spans="1:5">
      <c r="A2444" s="10">
        <f>7</f>
        <v>7</v>
      </c>
      <c r="B2444" s="18">
        <f t="shared" si="268"/>
        <v>50068.220699913887</v>
      </c>
      <c r="C2444" s="10">
        <f t="shared" si="269"/>
        <v>1</v>
      </c>
      <c r="D2444" s="18">
        <f t="shared" si="270"/>
        <v>148064.82520397953</v>
      </c>
      <c r="E2444" s="18">
        <f t="shared" si="271"/>
        <v>652617.58351606946</v>
      </c>
    </row>
    <row r="2445" spans="1:5">
      <c r="A2445" s="10">
        <f>8</f>
        <v>8</v>
      </c>
      <c r="B2445" s="18">
        <f t="shared" si="268"/>
        <v>50068.220699913887</v>
      </c>
      <c r="C2445" s="10">
        <f t="shared" si="269"/>
        <v>1</v>
      </c>
      <c r="D2445" s="18">
        <f t="shared" si="270"/>
        <v>148064.82520397953</v>
      </c>
      <c r="E2445" s="18">
        <f t="shared" si="271"/>
        <v>620625.84370064025</v>
      </c>
    </row>
    <row r="2446" spans="1:5">
      <c r="A2446" s="10">
        <f>9</f>
        <v>9</v>
      </c>
      <c r="B2446" s="18">
        <f t="shared" si="268"/>
        <v>50068.220699913887</v>
      </c>
      <c r="C2446" s="10">
        <f t="shared" si="269"/>
        <v>1</v>
      </c>
      <c r="D2446" s="18">
        <f t="shared" si="270"/>
        <v>148064.82520397953</v>
      </c>
      <c r="E2446" s="18">
        <f t="shared" si="271"/>
        <v>587674.35169074812</v>
      </c>
    </row>
    <row r="2447" spans="1:5">
      <c r="A2447" s="10">
        <f>10</f>
        <v>10</v>
      </c>
      <c r="B2447" s="18">
        <f t="shared" si="268"/>
        <v>50068.220699913887</v>
      </c>
      <c r="C2447" s="10">
        <f t="shared" si="269"/>
        <v>1</v>
      </c>
      <c r="D2447" s="18">
        <f t="shared" si="270"/>
        <v>148064.82520397953</v>
      </c>
      <c r="E2447" s="18">
        <f t="shared" si="271"/>
        <v>553734.31492055929</v>
      </c>
    </row>
    <row r="2448" spans="1:5">
      <c r="A2448" s="10">
        <f>11</f>
        <v>11</v>
      </c>
      <c r="B2448" s="18">
        <f t="shared" si="268"/>
        <v>50068.220699913887</v>
      </c>
      <c r="C2448" s="10">
        <f t="shared" si="269"/>
        <v>1</v>
      </c>
      <c r="D2448" s="18">
        <f t="shared" si="270"/>
        <v>148064.82520397953</v>
      </c>
      <c r="E2448" s="18">
        <f t="shared" si="271"/>
        <v>518776.07704726473</v>
      </c>
    </row>
    <row r="2449" spans="1:5">
      <c r="A2449" s="10">
        <f>12</f>
        <v>12</v>
      </c>
      <c r="B2449" s="18">
        <f t="shared" si="268"/>
        <v>50068.220699913887</v>
      </c>
      <c r="C2449" s="10">
        <f t="shared" si="269"/>
        <v>1</v>
      </c>
      <c r="D2449" s="18">
        <f t="shared" si="270"/>
        <v>148064.82520397953</v>
      </c>
      <c r="E2449" s="18">
        <f t="shared" si="271"/>
        <v>482769.09203777142</v>
      </c>
    </row>
    <row r="2450" spans="1:5">
      <c r="A2450" s="10">
        <f>13</f>
        <v>13</v>
      </c>
      <c r="B2450" s="18">
        <f t="shared" si="268"/>
        <v>50068.220699913887</v>
      </c>
      <c r="C2450" s="10">
        <f t="shared" si="269"/>
        <v>1</v>
      </c>
      <c r="D2450" s="18">
        <f t="shared" si="270"/>
        <v>148064.82520397953</v>
      </c>
      <c r="E2450" s="18">
        <f t="shared" si="271"/>
        <v>445681.89747799328</v>
      </c>
    </row>
    <row r="2451" spans="1:5">
      <c r="A2451" s="10">
        <f>14</f>
        <v>14</v>
      </c>
      <c r="B2451" s="18">
        <f t="shared" si="268"/>
        <v>50068.220699913887</v>
      </c>
      <c r="C2451" s="10">
        <f t="shared" si="269"/>
        <v>1</v>
      </c>
      <c r="D2451" s="18">
        <f t="shared" si="270"/>
        <v>148064.82520397953</v>
      </c>
      <c r="E2451" s="18">
        <f t="shared" si="271"/>
        <v>407482.08708142175</v>
      </c>
    </row>
    <row r="2452" spans="1:5">
      <c r="A2452" s="10">
        <f>15</f>
        <v>15</v>
      </c>
      <c r="B2452" s="18">
        <f t="shared" si="268"/>
        <v>50068.220699913887</v>
      </c>
      <c r="C2452" s="10">
        <f t="shared" si="269"/>
        <v>1</v>
      </c>
      <c r="D2452" s="18">
        <f t="shared" si="270"/>
        <v>148064.82520397953</v>
      </c>
      <c r="E2452" s="18">
        <f t="shared" si="271"/>
        <v>368136.28237295308</v>
      </c>
    </row>
    <row r="2453" spans="1:5">
      <c r="A2453" s="10">
        <f>16</f>
        <v>16</v>
      </c>
      <c r="B2453" s="18">
        <f t="shared" si="268"/>
        <v>50068.220699913887</v>
      </c>
      <c r="C2453" s="10">
        <f t="shared" si="269"/>
        <v>1</v>
      </c>
      <c r="D2453" s="18">
        <f t="shared" si="270"/>
        <v>148064.82520397953</v>
      </c>
      <c r="E2453" s="18">
        <f t="shared" si="271"/>
        <v>327610.10352323041</v>
      </c>
    </row>
    <row r="2454" spans="1:5">
      <c r="A2454" s="10">
        <f>17</f>
        <v>17</v>
      </c>
      <c r="B2454" s="18">
        <f t="shared" si="268"/>
        <v>50068.220699913887</v>
      </c>
      <c r="C2454" s="10">
        <f t="shared" si="269"/>
        <v>1</v>
      </c>
      <c r="D2454" s="18">
        <f t="shared" si="270"/>
        <v>148064.82520397953</v>
      </c>
      <c r="E2454" s="18">
        <f t="shared" si="271"/>
        <v>285868.13930801599</v>
      </c>
    </row>
    <row r="2455" spans="1:5">
      <c r="A2455" s="10">
        <f>18</f>
        <v>18</v>
      </c>
      <c r="B2455" s="18">
        <f t="shared" si="268"/>
        <v>50068.220699913887</v>
      </c>
      <c r="C2455" s="10">
        <f t="shared" si="269"/>
        <v>1</v>
      </c>
      <c r="D2455" s="18">
        <f t="shared" si="270"/>
        <v>148064.82520397953</v>
      </c>
      <c r="E2455" s="18">
        <f t="shared" si="271"/>
        <v>242873.91616634518</v>
      </c>
    </row>
    <row r="2456" spans="1:5">
      <c r="A2456" s="10">
        <f>19</f>
        <v>19</v>
      </c>
      <c r="B2456" s="18">
        <f t="shared" si="268"/>
        <v>50068.220699913887</v>
      </c>
      <c r="C2456" s="10">
        <f t="shared" si="269"/>
        <v>1</v>
      </c>
      <c r="D2456" s="18">
        <f t="shared" si="270"/>
        <v>148064.82520397953</v>
      </c>
      <c r="E2456" s="18">
        <f t="shared" si="271"/>
        <v>198589.86633042424</v>
      </c>
    </row>
    <row r="2457" spans="1:5">
      <c r="A2457" s="10">
        <f>20</f>
        <v>20</v>
      </c>
      <c r="B2457" s="18">
        <f t="shared" si="268"/>
        <v>50068.220699913887</v>
      </c>
      <c r="C2457" s="10">
        <f t="shared" si="269"/>
        <v>1</v>
      </c>
      <c r="D2457" s="18">
        <f t="shared" si="270"/>
        <v>148064.82520397953</v>
      </c>
      <c r="E2457" s="18">
        <f t="shared" si="271"/>
        <v>152977.29499942568</v>
      </c>
    </row>
    <row r="2458" spans="1:5">
      <c r="A2458" s="10">
        <f>21</f>
        <v>21</v>
      </c>
      <c r="B2458" s="18">
        <f t="shared" si="268"/>
        <v>50068.220699913887</v>
      </c>
      <c r="C2458" s="10">
        <f t="shared" si="269"/>
        <v>1</v>
      </c>
      <c r="D2458" s="18">
        <f t="shared" si="270"/>
        <v>148064.82520397953</v>
      </c>
      <c r="E2458" s="18">
        <f t="shared" si="271"/>
        <v>105996.34652849715</v>
      </c>
    </row>
    <row r="2459" spans="1:5">
      <c r="A2459" s="10">
        <f>22</f>
        <v>22</v>
      </c>
      <c r="B2459" s="18">
        <f t="shared" si="268"/>
        <v>50068.220699913887</v>
      </c>
      <c r="C2459" s="10">
        <f t="shared" si="269"/>
        <v>1</v>
      </c>
      <c r="D2459" s="18">
        <f t="shared" si="270"/>
        <v>148064.82520397953</v>
      </c>
      <c r="E2459" s="18">
        <f t="shared" si="271"/>
        <v>57605.969603440761</v>
      </c>
    </row>
    <row r="2460" spans="1:5">
      <c r="A2460" s="10">
        <f>23</f>
        <v>23</v>
      </c>
      <c r="B2460" s="18">
        <f t="shared" si="268"/>
        <v>50068.220699913887</v>
      </c>
      <c r="C2460" s="10">
        <f t="shared" si="269"/>
        <v>1</v>
      </c>
      <c r="D2460" s="18">
        <f t="shared" si="270"/>
        <v>148064.82520397953</v>
      </c>
      <c r="E2460" s="18">
        <f t="shared" si="271"/>
        <v>7763.88137063268</v>
      </c>
    </row>
    <row r="2461" spans="1:5">
      <c r="A2461" s="10">
        <f>24</f>
        <v>24</v>
      </c>
      <c r="B2461" s="18">
        <f t="shared" si="268"/>
        <v>7763.88137063268</v>
      </c>
      <c r="C2461" s="10">
        <f t="shared" si="269"/>
        <v>1</v>
      </c>
      <c r="D2461" s="18">
        <f t="shared" si="270"/>
        <v>105912.78149628374</v>
      </c>
      <c r="E2461" s="18">
        <f t="shared" si="271"/>
        <v>0</v>
      </c>
    </row>
    <row r="2462" spans="1:5">
      <c r="A2462" s="10">
        <f>25</f>
        <v>25</v>
      </c>
      <c r="B2462" s="18">
        <f t="shared" si="268"/>
        <v>0</v>
      </c>
      <c r="C2462" s="10">
        <f t="shared" si="269"/>
        <v>1</v>
      </c>
      <c r="D2462" s="18">
        <f t="shared" si="270"/>
        <v>56176.553748237267</v>
      </c>
      <c r="E2462" s="18">
        <f t="shared" si="271"/>
        <v>0</v>
      </c>
    </row>
    <row r="2463" spans="1:5">
      <c r="A2463" s="10">
        <f>26</f>
        <v>26</v>
      </c>
      <c r="B2463" s="18">
        <f t="shared" si="268"/>
        <v>0</v>
      </c>
      <c r="C2463" s="10">
        <f t="shared" si="269"/>
        <v>1</v>
      </c>
      <c r="D2463" s="18">
        <f t="shared" si="270"/>
        <v>6619.3764200837622</v>
      </c>
      <c r="E2463" s="18">
        <f t="shared" si="271"/>
        <v>0</v>
      </c>
    </row>
    <row r="2464" spans="1:5">
      <c r="A2464" s="10">
        <f>27</f>
        <v>27</v>
      </c>
      <c r="B2464" s="18">
        <f t="shared" si="268"/>
        <v>0</v>
      </c>
      <c r="C2464" s="10">
        <f t="shared" si="269"/>
        <v>0</v>
      </c>
      <c r="D2464" s="18">
        <f t="shared" si="270"/>
        <v>6619.3764200837622</v>
      </c>
      <c r="E2464" s="18">
        <f t="shared" si="271"/>
        <v>0</v>
      </c>
    </row>
    <row r="2465" spans="1:5">
      <c r="A2465" s="10">
        <f>28</f>
        <v>28</v>
      </c>
      <c r="B2465" s="18">
        <f t="shared" si="268"/>
        <v>0</v>
      </c>
      <c r="C2465" s="10">
        <f t="shared" si="269"/>
        <v>0</v>
      </c>
      <c r="D2465" s="18">
        <f t="shared" si="270"/>
        <v>6619.3764200837622</v>
      </c>
      <c r="E2465" s="18">
        <f t="shared" si="271"/>
        <v>0</v>
      </c>
    </row>
    <row r="2466" spans="1:5">
      <c r="A2466" s="10">
        <f>29</f>
        <v>29</v>
      </c>
      <c r="B2466" s="18">
        <f t="shared" si="268"/>
        <v>0</v>
      </c>
      <c r="C2466" s="10">
        <f t="shared" si="269"/>
        <v>0</v>
      </c>
      <c r="D2466" s="18">
        <f t="shared" si="270"/>
        <v>6619.3764200837622</v>
      </c>
      <c r="E2466" s="18">
        <f t="shared" si="271"/>
        <v>0</v>
      </c>
    </row>
    <row r="2467" spans="1:5">
      <c r="A2467" s="10">
        <f>30</f>
        <v>30</v>
      </c>
      <c r="B2467" s="18">
        <f t="shared" si="268"/>
        <v>0</v>
      </c>
      <c r="C2467" s="10">
        <f t="shared" si="269"/>
        <v>0</v>
      </c>
      <c r="D2467" s="18">
        <f t="shared" si="270"/>
        <v>6619.3764200837622</v>
      </c>
      <c r="E2467" s="18">
        <f t="shared" si="271"/>
        <v>0</v>
      </c>
    </row>
    <row r="2468" spans="1:5">
      <c r="A2468" s="10">
        <f>31</f>
        <v>31</v>
      </c>
      <c r="B2468" s="18">
        <f t="shared" si="268"/>
        <v>0</v>
      </c>
      <c r="C2468" s="10">
        <f t="shared" si="269"/>
        <v>0</v>
      </c>
      <c r="D2468" s="18">
        <f t="shared" si="270"/>
        <v>6619.3764200837622</v>
      </c>
      <c r="E2468" s="18">
        <f t="shared" si="271"/>
        <v>0</v>
      </c>
    </row>
    <row r="2469" spans="1:5">
      <c r="A2469" s="10">
        <f>32</f>
        <v>32</v>
      </c>
      <c r="B2469" s="18">
        <f t="shared" si="268"/>
        <v>0</v>
      </c>
      <c r="C2469" s="10">
        <f t="shared" si="269"/>
        <v>0</v>
      </c>
      <c r="D2469" s="18">
        <f t="shared" si="270"/>
        <v>6619.3764200837622</v>
      </c>
      <c r="E2469" s="18">
        <f t="shared" si="271"/>
        <v>0</v>
      </c>
    </row>
    <row r="2470" spans="1:5">
      <c r="A2470" s="10">
        <f>33</f>
        <v>33</v>
      </c>
      <c r="B2470" s="18">
        <f t="shared" ref="B2470:B2497" si="272">IF(C2469=0,0,MIN(MAX(E2469,0),(($B$635-MIN(MAX(D2469,0),$B$635))+MAX(0,3*$B$635-(D2469-MIN(MAX(D2469,0),$B$635))))))</f>
        <v>0</v>
      </c>
      <c r="C2470" s="10">
        <f t="shared" ref="C2470:C2501" si="273">IF(AND(C2469=1,D2469+E2469&gt;0.000001,B2470&gt;=($B$635-MIN(MAX(D2469,0),$B$635))-0.000001),1,0)</f>
        <v>0</v>
      </c>
      <c r="D2470" s="18">
        <f t="shared" ref="D2470:D2501" si="274">IF(C2470=0,D2469,(D2469-$B$635+B2470)*(1+$B$7))</f>
        <v>6619.3764200837622</v>
      </c>
      <c r="E2470" s="18">
        <f t="shared" ref="E2470:E2497" si="275">IF(C2470=0,E2469,(E2469-B2470)*(1+$B$6))</f>
        <v>0</v>
      </c>
    </row>
    <row r="2471" spans="1:5">
      <c r="A2471" s="10">
        <f>34</f>
        <v>34</v>
      </c>
      <c r="B2471" s="18">
        <f t="shared" si="272"/>
        <v>0</v>
      </c>
      <c r="C2471" s="10">
        <f t="shared" si="273"/>
        <v>0</v>
      </c>
      <c r="D2471" s="18">
        <f t="shared" si="274"/>
        <v>6619.3764200837622</v>
      </c>
      <c r="E2471" s="18">
        <f t="shared" si="275"/>
        <v>0</v>
      </c>
    </row>
    <row r="2472" spans="1:5">
      <c r="A2472" s="10">
        <f>35</f>
        <v>35</v>
      </c>
      <c r="B2472" s="18">
        <f t="shared" si="272"/>
        <v>0</v>
      </c>
      <c r="C2472" s="10">
        <f t="shared" si="273"/>
        <v>0</v>
      </c>
      <c r="D2472" s="18">
        <f t="shared" si="274"/>
        <v>6619.3764200837622</v>
      </c>
      <c r="E2472" s="18">
        <f t="shared" si="275"/>
        <v>0</v>
      </c>
    </row>
    <row r="2473" spans="1:5">
      <c r="A2473" s="10">
        <f>36</f>
        <v>36</v>
      </c>
      <c r="B2473" s="18">
        <f t="shared" si="272"/>
        <v>0</v>
      </c>
      <c r="C2473" s="10">
        <f t="shared" si="273"/>
        <v>0</v>
      </c>
      <c r="D2473" s="18">
        <f t="shared" si="274"/>
        <v>6619.3764200837622</v>
      </c>
      <c r="E2473" s="18">
        <f t="shared" si="275"/>
        <v>0</v>
      </c>
    </row>
    <row r="2474" spans="1:5">
      <c r="A2474" s="10">
        <f>37</f>
        <v>37</v>
      </c>
      <c r="B2474" s="18">
        <f t="shared" si="272"/>
        <v>0</v>
      </c>
      <c r="C2474" s="10">
        <f t="shared" si="273"/>
        <v>0</v>
      </c>
      <c r="D2474" s="18">
        <f t="shared" si="274"/>
        <v>6619.3764200837622</v>
      </c>
      <c r="E2474" s="18">
        <f t="shared" si="275"/>
        <v>0</v>
      </c>
    </row>
    <row r="2475" spans="1:5">
      <c r="A2475" s="10">
        <f>38</f>
        <v>38</v>
      </c>
      <c r="B2475" s="18">
        <f t="shared" si="272"/>
        <v>0</v>
      </c>
      <c r="C2475" s="10">
        <f t="shared" si="273"/>
        <v>0</v>
      </c>
      <c r="D2475" s="18">
        <f t="shared" si="274"/>
        <v>6619.3764200837622</v>
      </c>
      <c r="E2475" s="18">
        <f t="shared" si="275"/>
        <v>0</v>
      </c>
    </row>
    <row r="2476" spans="1:5">
      <c r="A2476" s="10">
        <f>39</f>
        <v>39</v>
      </c>
      <c r="B2476" s="18">
        <f t="shared" si="272"/>
        <v>0</v>
      </c>
      <c r="C2476" s="10">
        <f t="shared" si="273"/>
        <v>0</v>
      </c>
      <c r="D2476" s="18">
        <f t="shared" si="274"/>
        <v>6619.3764200837622</v>
      </c>
      <c r="E2476" s="18">
        <f t="shared" si="275"/>
        <v>0</v>
      </c>
    </row>
    <row r="2477" spans="1:5">
      <c r="A2477" s="10">
        <f>40</f>
        <v>40</v>
      </c>
      <c r="B2477" s="18">
        <f t="shared" si="272"/>
        <v>0</v>
      </c>
      <c r="C2477" s="10">
        <f t="shared" si="273"/>
        <v>0</v>
      </c>
      <c r="D2477" s="18">
        <f t="shared" si="274"/>
        <v>6619.3764200837622</v>
      </c>
      <c r="E2477" s="18">
        <f t="shared" si="275"/>
        <v>0</v>
      </c>
    </row>
    <row r="2478" spans="1:5">
      <c r="A2478" s="10">
        <f>41</f>
        <v>41</v>
      </c>
      <c r="B2478" s="18">
        <f t="shared" si="272"/>
        <v>0</v>
      </c>
      <c r="C2478" s="10">
        <f t="shared" si="273"/>
        <v>0</v>
      </c>
      <c r="D2478" s="18">
        <f t="shared" si="274"/>
        <v>6619.3764200837622</v>
      </c>
      <c r="E2478" s="18">
        <f t="shared" si="275"/>
        <v>0</v>
      </c>
    </row>
    <row r="2479" spans="1:5">
      <c r="A2479" s="10">
        <f>42</f>
        <v>42</v>
      </c>
      <c r="B2479" s="18">
        <f t="shared" si="272"/>
        <v>0</v>
      </c>
      <c r="C2479" s="10">
        <f t="shared" si="273"/>
        <v>0</v>
      </c>
      <c r="D2479" s="18">
        <f t="shared" si="274"/>
        <v>6619.3764200837622</v>
      </c>
      <c r="E2479" s="18">
        <f t="shared" si="275"/>
        <v>0</v>
      </c>
    </row>
    <row r="2480" spans="1:5">
      <c r="A2480" s="10">
        <f>43</f>
        <v>43</v>
      </c>
      <c r="B2480" s="18">
        <f t="shared" si="272"/>
        <v>0</v>
      </c>
      <c r="C2480" s="10">
        <f t="shared" si="273"/>
        <v>0</v>
      </c>
      <c r="D2480" s="18">
        <f t="shared" si="274"/>
        <v>6619.3764200837622</v>
      </c>
      <c r="E2480" s="18">
        <f t="shared" si="275"/>
        <v>0</v>
      </c>
    </row>
    <row r="2481" spans="1:5">
      <c r="A2481" s="10">
        <f>44</f>
        <v>44</v>
      </c>
      <c r="B2481" s="18">
        <f t="shared" si="272"/>
        <v>0</v>
      </c>
      <c r="C2481" s="10">
        <f t="shared" si="273"/>
        <v>0</v>
      </c>
      <c r="D2481" s="18">
        <f t="shared" si="274"/>
        <v>6619.3764200837622</v>
      </c>
      <c r="E2481" s="18">
        <f t="shared" si="275"/>
        <v>0</v>
      </c>
    </row>
    <row r="2482" spans="1:5">
      <c r="A2482" s="10">
        <f>45</f>
        <v>45</v>
      </c>
      <c r="B2482" s="18">
        <f t="shared" si="272"/>
        <v>0</v>
      </c>
      <c r="C2482" s="10">
        <f t="shared" si="273"/>
        <v>0</v>
      </c>
      <c r="D2482" s="18">
        <f t="shared" si="274"/>
        <v>6619.3764200837622</v>
      </c>
      <c r="E2482" s="18">
        <f t="shared" si="275"/>
        <v>0</v>
      </c>
    </row>
    <row r="2483" spans="1:5">
      <c r="A2483" s="10">
        <f>46</f>
        <v>46</v>
      </c>
      <c r="B2483" s="18">
        <f t="shared" si="272"/>
        <v>0</v>
      </c>
      <c r="C2483" s="10">
        <f t="shared" si="273"/>
        <v>0</v>
      </c>
      <c r="D2483" s="18">
        <f t="shared" si="274"/>
        <v>6619.3764200837622</v>
      </c>
      <c r="E2483" s="18">
        <f t="shared" si="275"/>
        <v>0</v>
      </c>
    </row>
    <row r="2484" spans="1:5">
      <c r="A2484" s="10">
        <f>47</f>
        <v>47</v>
      </c>
      <c r="B2484" s="18">
        <f t="shared" si="272"/>
        <v>0</v>
      </c>
      <c r="C2484" s="10">
        <f t="shared" si="273"/>
        <v>0</v>
      </c>
      <c r="D2484" s="18">
        <f t="shared" si="274"/>
        <v>6619.3764200837622</v>
      </c>
      <c r="E2484" s="18">
        <f t="shared" si="275"/>
        <v>0</v>
      </c>
    </row>
    <row r="2485" spans="1:5">
      <c r="A2485" s="10">
        <f>48</f>
        <v>48</v>
      </c>
      <c r="B2485" s="18">
        <f t="shared" si="272"/>
        <v>0</v>
      </c>
      <c r="C2485" s="10">
        <f t="shared" si="273"/>
        <v>0</v>
      </c>
      <c r="D2485" s="18">
        <f t="shared" si="274"/>
        <v>6619.3764200837622</v>
      </c>
      <c r="E2485" s="18">
        <f t="shared" si="275"/>
        <v>0</v>
      </c>
    </row>
    <row r="2486" spans="1:5">
      <c r="A2486" s="10">
        <f>49</f>
        <v>49</v>
      </c>
      <c r="B2486" s="18">
        <f t="shared" si="272"/>
        <v>0</v>
      </c>
      <c r="C2486" s="10">
        <f t="shared" si="273"/>
        <v>0</v>
      </c>
      <c r="D2486" s="18">
        <f t="shared" si="274"/>
        <v>6619.3764200837622</v>
      </c>
      <c r="E2486" s="18">
        <f t="shared" si="275"/>
        <v>0</v>
      </c>
    </row>
    <row r="2487" spans="1:5">
      <c r="A2487" s="10">
        <f>50</f>
        <v>50</v>
      </c>
      <c r="B2487" s="18">
        <f t="shared" si="272"/>
        <v>0</v>
      </c>
      <c r="C2487" s="10">
        <f t="shared" si="273"/>
        <v>0</v>
      </c>
      <c r="D2487" s="18">
        <f t="shared" si="274"/>
        <v>6619.3764200837622</v>
      </c>
      <c r="E2487" s="18">
        <f t="shared" si="275"/>
        <v>0</v>
      </c>
    </row>
    <row r="2488" spans="1:5">
      <c r="A2488" s="10">
        <f>51</f>
        <v>51</v>
      </c>
      <c r="B2488" s="18">
        <f t="shared" si="272"/>
        <v>0</v>
      </c>
      <c r="C2488" s="10">
        <f t="shared" si="273"/>
        <v>0</v>
      </c>
      <c r="D2488" s="18">
        <f t="shared" si="274"/>
        <v>6619.3764200837622</v>
      </c>
      <c r="E2488" s="18">
        <f t="shared" si="275"/>
        <v>0</v>
      </c>
    </row>
    <row r="2489" spans="1:5">
      <c r="A2489" s="10">
        <f>52</f>
        <v>52</v>
      </c>
      <c r="B2489" s="18">
        <f t="shared" si="272"/>
        <v>0</v>
      </c>
      <c r="C2489" s="10">
        <f t="shared" si="273"/>
        <v>0</v>
      </c>
      <c r="D2489" s="18">
        <f t="shared" si="274"/>
        <v>6619.3764200837622</v>
      </c>
      <c r="E2489" s="18">
        <f t="shared" si="275"/>
        <v>0</v>
      </c>
    </row>
    <row r="2490" spans="1:5">
      <c r="A2490" s="10">
        <f>53</f>
        <v>53</v>
      </c>
      <c r="B2490" s="18">
        <f t="shared" si="272"/>
        <v>0</v>
      </c>
      <c r="C2490" s="10">
        <f t="shared" si="273"/>
        <v>0</v>
      </c>
      <c r="D2490" s="18">
        <f t="shared" si="274"/>
        <v>6619.3764200837622</v>
      </c>
      <c r="E2490" s="18">
        <f t="shared" si="275"/>
        <v>0</v>
      </c>
    </row>
    <row r="2491" spans="1:5">
      <c r="A2491" s="10">
        <f>54</f>
        <v>54</v>
      </c>
      <c r="B2491" s="18">
        <f t="shared" si="272"/>
        <v>0</v>
      </c>
      <c r="C2491" s="10">
        <f t="shared" si="273"/>
        <v>0</v>
      </c>
      <c r="D2491" s="18">
        <f t="shared" si="274"/>
        <v>6619.3764200837622</v>
      </c>
      <c r="E2491" s="18">
        <f t="shared" si="275"/>
        <v>0</v>
      </c>
    </row>
    <row r="2492" spans="1:5">
      <c r="A2492" s="10">
        <f>55</f>
        <v>55</v>
      </c>
      <c r="B2492" s="18">
        <f t="shared" si="272"/>
        <v>0</v>
      </c>
      <c r="C2492" s="10">
        <f t="shared" si="273"/>
        <v>0</v>
      </c>
      <c r="D2492" s="18">
        <f t="shared" si="274"/>
        <v>6619.3764200837622</v>
      </c>
      <c r="E2492" s="18">
        <f t="shared" si="275"/>
        <v>0</v>
      </c>
    </row>
    <row r="2493" spans="1:5">
      <c r="A2493" s="10">
        <f>56</f>
        <v>56</v>
      </c>
      <c r="B2493" s="18">
        <f t="shared" si="272"/>
        <v>0</v>
      </c>
      <c r="C2493" s="10">
        <f t="shared" si="273"/>
        <v>0</v>
      </c>
      <c r="D2493" s="18">
        <f t="shared" si="274"/>
        <v>6619.3764200837622</v>
      </c>
      <c r="E2493" s="18">
        <f t="shared" si="275"/>
        <v>0</v>
      </c>
    </row>
    <row r="2494" spans="1:5">
      <c r="A2494" s="10">
        <f>57</f>
        <v>57</v>
      </c>
      <c r="B2494" s="18">
        <f t="shared" si="272"/>
        <v>0</v>
      </c>
      <c r="C2494" s="10">
        <f t="shared" si="273"/>
        <v>0</v>
      </c>
      <c r="D2494" s="18">
        <f t="shared" si="274"/>
        <v>6619.3764200837622</v>
      </c>
      <c r="E2494" s="18">
        <f t="shared" si="275"/>
        <v>0</v>
      </c>
    </row>
    <row r="2495" spans="1:5">
      <c r="A2495" s="10">
        <f>58</f>
        <v>58</v>
      </c>
      <c r="B2495" s="18">
        <f t="shared" si="272"/>
        <v>0</v>
      </c>
      <c r="C2495" s="10">
        <f t="shared" si="273"/>
        <v>0</v>
      </c>
      <c r="D2495" s="18">
        <f t="shared" si="274"/>
        <v>6619.3764200837622</v>
      </c>
      <c r="E2495" s="18">
        <f t="shared" si="275"/>
        <v>0</v>
      </c>
    </row>
    <row r="2496" spans="1:5">
      <c r="A2496" s="10">
        <f>59</f>
        <v>59</v>
      </c>
      <c r="B2496" s="18">
        <f t="shared" si="272"/>
        <v>0</v>
      </c>
      <c r="C2496" s="10">
        <f t="shared" si="273"/>
        <v>0</v>
      </c>
      <c r="D2496" s="18">
        <f t="shared" si="274"/>
        <v>6619.3764200837622</v>
      </c>
      <c r="E2496" s="18">
        <f t="shared" si="275"/>
        <v>0</v>
      </c>
    </row>
    <row r="2497" spans="1:5">
      <c r="A2497" s="10">
        <f>60</f>
        <v>60</v>
      </c>
      <c r="B2497" s="18">
        <f t="shared" si="272"/>
        <v>0</v>
      </c>
      <c r="C2497" s="10">
        <f t="shared" si="273"/>
        <v>0</v>
      </c>
      <c r="D2497" s="18">
        <f t="shared" si="274"/>
        <v>6619.3764200837622</v>
      </c>
      <c r="E2497" s="18">
        <f t="shared" si="275"/>
        <v>0</v>
      </c>
    </row>
    <row r="2498" spans="1:5">
      <c r="B2498" s="10">
        <f>SUM(C2438:C2497)</f>
        <v>26</v>
      </c>
    </row>
    <row r="2500" spans="1:5">
      <c r="A2500" s="2" t="s">
        <v>314</v>
      </c>
    </row>
    <row r="2502" spans="1:5">
      <c r="A2502" s="25" t="s">
        <v>262</v>
      </c>
      <c r="B2502" s="25" t="s">
        <v>263</v>
      </c>
      <c r="C2502" s="25" t="s">
        <v>305</v>
      </c>
      <c r="D2502" s="25" t="s">
        <v>264</v>
      </c>
      <c r="E2502" s="25" t="s">
        <v>265</v>
      </c>
    </row>
    <row r="2503" spans="1:5">
      <c r="A2503" s="3">
        <v>0</v>
      </c>
      <c r="C2503" s="10">
        <f>1</f>
        <v>1</v>
      </c>
      <c r="D2503" s="18">
        <f>MIN(5*$B$635,$B$5)</f>
        <v>247666.30737986678</v>
      </c>
      <c r="E2503" s="18">
        <f>$B$5-D2503</f>
        <v>752333.69262013328</v>
      </c>
    </row>
    <row r="2504" spans="1:5">
      <c r="A2504" s="10">
        <f>1</f>
        <v>1</v>
      </c>
      <c r="B2504" s="18">
        <f t="shared" ref="B2504:B2535" si="276">IF(C2503=0,0,MIN(MAX(E2503,0),(($B$635-MIN(MAX(D2503,0),$B$635))+MAX(0,5*$B$635-(D2503-MIN(MAX(D2503,0),$B$635))))))</f>
        <v>49533.261475973355</v>
      </c>
      <c r="C2504" s="10">
        <f t="shared" ref="C2504:C2535" si="277">IF(AND(C2503=1,D2503+E2503&gt;0.000001,B2504&gt;=($B$635-MIN(MAX(D2503,0),$B$635))-0.000001),1,0)</f>
        <v>1</v>
      </c>
      <c r="D2504" s="18">
        <f t="shared" ref="D2504:D2535" si="278">IF(C2504=0,D2503,(D2503-$B$635+B2504)*(1+$B$7))</f>
        <v>246774.70867329923</v>
      </c>
      <c r="E2504" s="18">
        <f t="shared" ref="E2504:E2535" si="279">IF(C2504=0,E2503,(E2503-B2504)*(1+$B$6))</f>
        <v>723884.44407848478</v>
      </c>
    </row>
    <row r="2505" spans="1:5">
      <c r="A2505" s="10">
        <f>2</f>
        <v>2</v>
      </c>
      <c r="B2505" s="18">
        <f t="shared" si="276"/>
        <v>50424.860182540899</v>
      </c>
      <c r="C2505" s="10">
        <f t="shared" si="277"/>
        <v>1</v>
      </c>
      <c r="D2505" s="18">
        <f t="shared" si="278"/>
        <v>246774.70867329923</v>
      </c>
      <c r="E2505" s="18">
        <f t="shared" si="279"/>
        <v>693663.37141282216</v>
      </c>
    </row>
    <row r="2506" spans="1:5">
      <c r="A2506" s="10">
        <f>3</f>
        <v>3</v>
      </c>
      <c r="B2506" s="18">
        <f t="shared" si="276"/>
        <v>50424.860182540899</v>
      </c>
      <c r="C2506" s="10">
        <f t="shared" si="277"/>
        <v>1</v>
      </c>
      <c r="D2506" s="18">
        <f t="shared" si="278"/>
        <v>246774.70867329923</v>
      </c>
      <c r="E2506" s="18">
        <f t="shared" si="279"/>
        <v>662535.66656718974</v>
      </c>
    </row>
    <row r="2507" spans="1:5">
      <c r="A2507" s="10">
        <f>4</f>
        <v>4</v>
      </c>
      <c r="B2507" s="18">
        <f t="shared" si="276"/>
        <v>50424.860182540899</v>
      </c>
      <c r="C2507" s="10">
        <f t="shared" si="277"/>
        <v>1</v>
      </c>
      <c r="D2507" s="18">
        <f t="shared" si="278"/>
        <v>246774.70867329923</v>
      </c>
      <c r="E2507" s="18">
        <f t="shared" si="279"/>
        <v>630474.13057618833</v>
      </c>
    </row>
    <row r="2508" spans="1:5">
      <c r="A2508" s="10">
        <f>5</f>
        <v>5</v>
      </c>
      <c r="B2508" s="18">
        <f t="shared" si="276"/>
        <v>50424.860182540899</v>
      </c>
      <c r="C2508" s="10">
        <f t="shared" si="277"/>
        <v>1</v>
      </c>
      <c r="D2508" s="18">
        <f t="shared" si="278"/>
        <v>246774.70867329923</v>
      </c>
      <c r="E2508" s="18">
        <f t="shared" si="279"/>
        <v>597450.74850545696</v>
      </c>
    </row>
    <row r="2509" spans="1:5">
      <c r="A2509" s="10">
        <f>6</f>
        <v>6</v>
      </c>
      <c r="B2509" s="18">
        <f t="shared" si="276"/>
        <v>50424.860182540899</v>
      </c>
      <c r="C2509" s="10">
        <f t="shared" si="277"/>
        <v>1</v>
      </c>
      <c r="D2509" s="18">
        <f t="shared" si="278"/>
        <v>246774.70867329923</v>
      </c>
      <c r="E2509" s="18">
        <f t="shared" si="279"/>
        <v>563436.66497260367</v>
      </c>
    </row>
    <row r="2510" spans="1:5">
      <c r="A2510" s="10">
        <f>7</f>
        <v>7</v>
      </c>
      <c r="B2510" s="18">
        <f t="shared" si="276"/>
        <v>50424.860182540899</v>
      </c>
      <c r="C2510" s="10">
        <f t="shared" si="277"/>
        <v>1</v>
      </c>
      <c r="D2510" s="18">
        <f t="shared" si="278"/>
        <v>246774.70867329923</v>
      </c>
      <c r="E2510" s="18">
        <f t="shared" si="279"/>
        <v>528402.15893376467</v>
      </c>
    </row>
    <row r="2511" spans="1:5">
      <c r="A2511" s="10">
        <f>8</f>
        <v>8</v>
      </c>
      <c r="B2511" s="18">
        <f t="shared" si="276"/>
        <v>50424.860182540899</v>
      </c>
      <c r="C2511" s="10">
        <f t="shared" si="277"/>
        <v>1</v>
      </c>
      <c r="D2511" s="18">
        <f t="shared" si="278"/>
        <v>246774.70867329923</v>
      </c>
      <c r="E2511" s="18">
        <f t="shared" si="279"/>
        <v>492316.61771376053</v>
      </c>
    </row>
    <row r="2512" spans="1:5">
      <c r="A2512" s="10">
        <f>9</f>
        <v>9</v>
      </c>
      <c r="B2512" s="18">
        <f t="shared" si="276"/>
        <v>50424.860182540899</v>
      </c>
      <c r="C2512" s="10">
        <f t="shared" si="277"/>
        <v>1</v>
      </c>
      <c r="D2512" s="18">
        <f t="shared" si="278"/>
        <v>246774.70867329923</v>
      </c>
      <c r="E2512" s="18">
        <f t="shared" si="279"/>
        <v>455148.51025715622</v>
      </c>
    </row>
    <row r="2513" spans="1:5">
      <c r="A2513" s="10">
        <f>10</f>
        <v>10</v>
      </c>
      <c r="B2513" s="18">
        <f t="shared" si="276"/>
        <v>50424.860182540899</v>
      </c>
      <c r="C2513" s="10">
        <f t="shared" si="277"/>
        <v>1</v>
      </c>
      <c r="D2513" s="18">
        <f t="shared" si="278"/>
        <v>246774.70867329923</v>
      </c>
      <c r="E2513" s="18">
        <f t="shared" si="279"/>
        <v>416865.35957685381</v>
      </c>
    </row>
    <row r="2514" spans="1:5">
      <c r="A2514" s="10">
        <f>11</f>
        <v>11</v>
      </c>
      <c r="B2514" s="18">
        <f t="shared" si="276"/>
        <v>50424.860182540899</v>
      </c>
      <c r="C2514" s="10">
        <f t="shared" si="277"/>
        <v>1</v>
      </c>
      <c r="D2514" s="18">
        <f t="shared" si="278"/>
        <v>246774.70867329923</v>
      </c>
      <c r="E2514" s="18">
        <f t="shared" si="279"/>
        <v>377433.71437614231</v>
      </c>
    </row>
    <row r="2515" spans="1:5">
      <c r="A2515" s="10">
        <f>12</f>
        <v>12</v>
      </c>
      <c r="B2515" s="18">
        <f t="shared" si="276"/>
        <v>50424.860182540899</v>
      </c>
      <c r="C2515" s="10">
        <f t="shared" si="277"/>
        <v>1</v>
      </c>
      <c r="D2515" s="18">
        <f t="shared" si="278"/>
        <v>246774.70867329923</v>
      </c>
      <c r="E2515" s="18">
        <f t="shared" si="279"/>
        <v>336819.11981940945</v>
      </c>
    </row>
    <row r="2516" spans="1:5">
      <c r="A2516" s="10">
        <f>13</f>
        <v>13</v>
      </c>
      <c r="B2516" s="18">
        <f t="shared" si="276"/>
        <v>50424.860182540899</v>
      </c>
      <c r="C2516" s="10">
        <f t="shared" si="277"/>
        <v>1</v>
      </c>
      <c r="D2516" s="18">
        <f t="shared" si="278"/>
        <v>246774.70867329923</v>
      </c>
      <c r="E2516" s="18">
        <f t="shared" si="279"/>
        <v>294986.08742597461</v>
      </c>
    </row>
    <row r="2517" spans="1:5">
      <c r="A2517" s="10">
        <f>14</f>
        <v>14</v>
      </c>
      <c r="B2517" s="18">
        <f t="shared" si="276"/>
        <v>50424.860182540899</v>
      </c>
      <c r="C2517" s="10">
        <f t="shared" si="277"/>
        <v>1</v>
      </c>
      <c r="D2517" s="18">
        <f t="shared" si="278"/>
        <v>246774.70867329923</v>
      </c>
      <c r="E2517" s="18">
        <f t="shared" si="279"/>
        <v>251898.06406073674</v>
      </c>
    </row>
    <row r="2518" spans="1:5">
      <c r="A2518" s="10">
        <f>15</f>
        <v>15</v>
      </c>
      <c r="B2518" s="18">
        <f t="shared" si="276"/>
        <v>50424.860182540899</v>
      </c>
      <c r="C2518" s="10">
        <f t="shared" si="277"/>
        <v>1</v>
      </c>
      <c r="D2518" s="18">
        <f t="shared" si="278"/>
        <v>246774.70867329923</v>
      </c>
      <c r="E2518" s="18">
        <f t="shared" si="279"/>
        <v>207517.39999454172</v>
      </c>
    </row>
    <row r="2519" spans="1:5">
      <c r="A2519" s="10">
        <f>16</f>
        <v>16</v>
      </c>
      <c r="B2519" s="18">
        <f t="shared" si="276"/>
        <v>50424.860182540899</v>
      </c>
      <c r="C2519" s="10">
        <f t="shared" si="277"/>
        <v>1</v>
      </c>
      <c r="D2519" s="18">
        <f t="shared" si="278"/>
        <v>246774.70867329923</v>
      </c>
      <c r="E2519" s="18">
        <f t="shared" si="279"/>
        <v>161805.31600636084</v>
      </c>
    </row>
    <row r="2520" spans="1:5">
      <c r="A2520" s="10">
        <f>17</f>
        <v>17</v>
      </c>
      <c r="B2520" s="18">
        <f t="shared" si="276"/>
        <v>50424.860182540899</v>
      </c>
      <c r="C2520" s="10">
        <f t="shared" si="277"/>
        <v>1</v>
      </c>
      <c r="D2520" s="18">
        <f t="shared" si="278"/>
        <v>246774.70867329923</v>
      </c>
      <c r="E2520" s="18">
        <f t="shared" si="279"/>
        <v>114721.86949853454</v>
      </c>
    </row>
    <row r="2521" spans="1:5">
      <c r="A2521" s="10">
        <f>18</f>
        <v>18</v>
      </c>
      <c r="B2521" s="18">
        <f t="shared" si="276"/>
        <v>50424.860182540899</v>
      </c>
      <c r="C2521" s="10">
        <f t="shared" si="277"/>
        <v>1</v>
      </c>
      <c r="D2521" s="18">
        <f t="shared" si="278"/>
        <v>246774.70867329923</v>
      </c>
      <c r="E2521" s="18">
        <f t="shared" si="279"/>
        <v>66225.919595473446</v>
      </c>
    </row>
    <row r="2522" spans="1:5">
      <c r="A2522" s="10">
        <f>19</f>
        <v>19</v>
      </c>
      <c r="B2522" s="18">
        <f t="shared" si="276"/>
        <v>50424.860182540899</v>
      </c>
      <c r="C2522" s="10">
        <f t="shared" si="277"/>
        <v>1</v>
      </c>
      <c r="D2522" s="18">
        <f t="shared" si="278"/>
        <v>246774.70867329923</v>
      </c>
      <c r="E2522" s="18">
        <f t="shared" si="279"/>
        <v>16275.091195320525</v>
      </c>
    </row>
    <row r="2523" spans="1:5">
      <c r="A2523" s="10">
        <f>20</f>
        <v>20</v>
      </c>
      <c r="B2523" s="18">
        <f t="shared" si="276"/>
        <v>16275.091195320525</v>
      </c>
      <c r="C2523" s="10">
        <f t="shared" si="277"/>
        <v>1</v>
      </c>
      <c r="D2523" s="18">
        <f t="shared" si="278"/>
        <v>212747.87885443287</v>
      </c>
      <c r="E2523" s="18">
        <f t="shared" si="279"/>
        <v>0</v>
      </c>
    </row>
    <row r="2524" spans="1:5">
      <c r="A2524" s="10">
        <f>21</f>
        <v>21</v>
      </c>
      <c r="B2524" s="18">
        <f t="shared" si="276"/>
        <v>0</v>
      </c>
      <c r="C2524" s="10">
        <f t="shared" si="277"/>
        <v>1</v>
      </c>
      <c r="D2524" s="18">
        <f t="shared" si="278"/>
        <v>162627.04475589705</v>
      </c>
      <c r="E2524" s="18">
        <f t="shared" si="279"/>
        <v>0</v>
      </c>
    </row>
    <row r="2525" spans="1:5">
      <c r="A2525" s="10">
        <f>22</f>
        <v>22</v>
      </c>
      <c r="B2525" s="18">
        <f t="shared" si="276"/>
        <v>0</v>
      </c>
      <c r="C2525" s="10">
        <f t="shared" si="277"/>
        <v>1</v>
      </c>
      <c r="D2525" s="18">
        <f t="shared" si="278"/>
        <v>112686.64566011596</v>
      </c>
      <c r="E2525" s="18">
        <f t="shared" si="279"/>
        <v>0</v>
      </c>
    </row>
    <row r="2526" spans="1:5">
      <c r="A2526" s="10">
        <f>23</f>
        <v>23</v>
      </c>
      <c r="B2526" s="18">
        <f t="shared" si="276"/>
        <v>0</v>
      </c>
      <c r="C2526" s="10">
        <f t="shared" si="277"/>
        <v>1</v>
      </c>
      <c r="D2526" s="18">
        <f t="shared" si="278"/>
        <v>62926.032001079686</v>
      </c>
      <c r="E2526" s="18">
        <f t="shared" si="279"/>
        <v>0</v>
      </c>
    </row>
    <row r="2527" spans="1:5">
      <c r="A2527" s="10">
        <f>24</f>
        <v>24</v>
      </c>
      <c r="B2527" s="18">
        <f t="shared" si="276"/>
        <v>0</v>
      </c>
      <c r="C2527" s="10">
        <f t="shared" si="277"/>
        <v>1</v>
      </c>
      <c r="D2527" s="18">
        <f t="shared" si="278"/>
        <v>13344.556551215946</v>
      </c>
      <c r="E2527" s="18">
        <f t="shared" si="279"/>
        <v>0</v>
      </c>
    </row>
    <row r="2528" spans="1:5">
      <c r="A2528" s="10">
        <f>25</f>
        <v>25</v>
      </c>
      <c r="B2528" s="18">
        <f t="shared" si="276"/>
        <v>0</v>
      </c>
      <c r="C2528" s="10">
        <f t="shared" si="277"/>
        <v>0</v>
      </c>
      <c r="D2528" s="18">
        <f t="shared" si="278"/>
        <v>13344.556551215946</v>
      </c>
      <c r="E2528" s="18">
        <f t="shared" si="279"/>
        <v>0</v>
      </c>
    </row>
    <row r="2529" spans="1:5">
      <c r="A2529" s="10">
        <f>26</f>
        <v>26</v>
      </c>
      <c r="B2529" s="18">
        <f t="shared" si="276"/>
        <v>0</v>
      </c>
      <c r="C2529" s="10">
        <f t="shared" si="277"/>
        <v>0</v>
      </c>
      <c r="D2529" s="18">
        <f t="shared" si="278"/>
        <v>13344.556551215946</v>
      </c>
      <c r="E2529" s="18">
        <f t="shared" si="279"/>
        <v>0</v>
      </c>
    </row>
    <row r="2530" spans="1:5">
      <c r="A2530" s="10">
        <f>27</f>
        <v>27</v>
      </c>
      <c r="B2530" s="18">
        <f t="shared" si="276"/>
        <v>0</v>
      </c>
      <c r="C2530" s="10">
        <f t="shared" si="277"/>
        <v>0</v>
      </c>
      <c r="D2530" s="18">
        <f t="shared" si="278"/>
        <v>13344.556551215946</v>
      </c>
      <c r="E2530" s="18">
        <f t="shared" si="279"/>
        <v>0</v>
      </c>
    </row>
    <row r="2531" spans="1:5">
      <c r="A2531" s="10">
        <f>28</f>
        <v>28</v>
      </c>
      <c r="B2531" s="18">
        <f t="shared" si="276"/>
        <v>0</v>
      </c>
      <c r="C2531" s="10">
        <f t="shared" si="277"/>
        <v>0</v>
      </c>
      <c r="D2531" s="18">
        <f t="shared" si="278"/>
        <v>13344.556551215946</v>
      </c>
      <c r="E2531" s="18">
        <f t="shared" si="279"/>
        <v>0</v>
      </c>
    </row>
    <row r="2532" spans="1:5">
      <c r="A2532" s="10">
        <f>29</f>
        <v>29</v>
      </c>
      <c r="B2532" s="18">
        <f t="shared" si="276"/>
        <v>0</v>
      </c>
      <c r="C2532" s="10">
        <f t="shared" si="277"/>
        <v>0</v>
      </c>
      <c r="D2532" s="18">
        <f t="shared" si="278"/>
        <v>13344.556551215946</v>
      </c>
      <c r="E2532" s="18">
        <f t="shared" si="279"/>
        <v>0</v>
      </c>
    </row>
    <row r="2533" spans="1:5">
      <c r="A2533" s="10">
        <f>30</f>
        <v>30</v>
      </c>
      <c r="B2533" s="18">
        <f t="shared" si="276"/>
        <v>0</v>
      </c>
      <c r="C2533" s="10">
        <f t="shared" si="277"/>
        <v>0</v>
      </c>
      <c r="D2533" s="18">
        <f t="shared" si="278"/>
        <v>13344.556551215946</v>
      </c>
      <c r="E2533" s="18">
        <f t="shared" si="279"/>
        <v>0</v>
      </c>
    </row>
    <row r="2534" spans="1:5">
      <c r="A2534" s="10">
        <f>31</f>
        <v>31</v>
      </c>
      <c r="B2534" s="18">
        <f t="shared" si="276"/>
        <v>0</v>
      </c>
      <c r="C2534" s="10">
        <f t="shared" si="277"/>
        <v>0</v>
      </c>
      <c r="D2534" s="18">
        <f t="shared" si="278"/>
        <v>13344.556551215946</v>
      </c>
      <c r="E2534" s="18">
        <f t="shared" si="279"/>
        <v>0</v>
      </c>
    </row>
    <row r="2535" spans="1:5">
      <c r="A2535" s="10">
        <f>32</f>
        <v>32</v>
      </c>
      <c r="B2535" s="18">
        <f t="shared" si="276"/>
        <v>0</v>
      </c>
      <c r="C2535" s="10">
        <f t="shared" si="277"/>
        <v>0</v>
      </c>
      <c r="D2535" s="18">
        <f t="shared" si="278"/>
        <v>13344.556551215946</v>
      </c>
      <c r="E2535" s="18">
        <f t="shared" si="279"/>
        <v>0</v>
      </c>
    </row>
    <row r="2536" spans="1:5">
      <c r="A2536" s="10">
        <f>33</f>
        <v>33</v>
      </c>
      <c r="B2536" s="18">
        <f t="shared" ref="B2536:B2563" si="280">IF(C2535=0,0,MIN(MAX(E2535,0),(($B$635-MIN(MAX(D2535,0),$B$635))+MAX(0,5*$B$635-(D2535-MIN(MAX(D2535,0),$B$635))))))</f>
        <v>0</v>
      </c>
      <c r="C2536" s="10">
        <f t="shared" ref="C2536:C2567" si="281">IF(AND(C2535=1,D2535+E2535&gt;0.000001,B2536&gt;=($B$635-MIN(MAX(D2535,0),$B$635))-0.000001),1,0)</f>
        <v>0</v>
      </c>
      <c r="D2536" s="18">
        <f t="shared" ref="D2536:D2567" si="282">IF(C2536=0,D2535,(D2535-$B$635+B2536)*(1+$B$7))</f>
        <v>13344.556551215946</v>
      </c>
      <c r="E2536" s="18">
        <f t="shared" ref="E2536:E2563" si="283">IF(C2536=0,E2535,(E2535-B2536)*(1+$B$6))</f>
        <v>0</v>
      </c>
    </row>
    <row r="2537" spans="1:5">
      <c r="A2537" s="10">
        <f>34</f>
        <v>34</v>
      </c>
      <c r="B2537" s="18">
        <f t="shared" si="280"/>
        <v>0</v>
      </c>
      <c r="C2537" s="10">
        <f t="shared" si="281"/>
        <v>0</v>
      </c>
      <c r="D2537" s="18">
        <f t="shared" si="282"/>
        <v>13344.556551215946</v>
      </c>
      <c r="E2537" s="18">
        <f t="shared" si="283"/>
        <v>0</v>
      </c>
    </row>
    <row r="2538" spans="1:5">
      <c r="A2538" s="10">
        <f>35</f>
        <v>35</v>
      </c>
      <c r="B2538" s="18">
        <f t="shared" si="280"/>
        <v>0</v>
      </c>
      <c r="C2538" s="10">
        <f t="shared" si="281"/>
        <v>0</v>
      </c>
      <c r="D2538" s="18">
        <f t="shared" si="282"/>
        <v>13344.556551215946</v>
      </c>
      <c r="E2538" s="18">
        <f t="shared" si="283"/>
        <v>0</v>
      </c>
    </row>
    <row r="2539" spans="1:5">
      <c r="A2539" s="10">
        <f>36</f>
        <v>36</v>
      </c>
      <c r="B2539" s="18">
        <f t="shared" si="280"/>
        <v>0</v>
      </c>
      <c r="C2539" s="10">
        <f t="shared" si="281"/>
        <v>0</v>
      </c>
      <c r="D2539" s="18">
        <f t="shared" si="282"/>
        <v>13344.556551215946</v>
      </c>
      <c r="E2539" s="18">
        <f t="shared" si="283"/>
        <v>0</v>
      </c>
    </row>
    <row r="2540" spans="1:5">
      <c r="A2540" s="10">
        <f>37</f>
        <v>37</v>
      </c>
      <c r="B2540" s="18">
        <f t="shared" si="280"/>
        <v>0</v>
      </c>
      <c r="C2540" s="10">
        <f t="shared" si="281"/>
        <v>0</v>
      </c>
      <c r="D2540" s="18">
        <f t="shared" si="282"/>
        <v>13344.556551215946</v>
      </c>
      <c r="E2540" s="18">
        <f t="shared" si="283"/>
        <v>0</v>
      </c>
    </row>
    <row r="2541" spans="1:5">
      <c r="A2541" s="10">
        <f>38</f>
        <v>38</v>
      </c>
      <c r="B2541" s="18">
        <f t="shared" si="280"/>
        <v>0</v>
      </c>
      <c r="C2541" s="10">
        <f t="shared" si="281"/>
        <v>0</v>
      </c>
      <c r="D2541" s="18">
        <f t="shared" si="282"/>
        <v>13344.556551215946</v>
      </c>
      <c r="E2541" s="18">
        <f t="shared" si="283"/>
        <v>0</v>
      </c>
    </row>
    <row r="2542" spans="1:5">
      <c r="A2542" s="10">
        <f>39</f>
        <v>39</v>
      </c>
      <c r="B2542" s="18">
        <f t="shared" si="280"/>
        <v>0</v>
      </c>
      <c r="C2542" s="10">
        <f t="shared" si="281"/>
        <v>0</v>
      </c>
      <c r="D2542" s="18">
        <f t="shared" si="282"/>
        <v>13344.556551215946</v>
      </c>
      <c r="E2542" s="18">
        <f t="shared" si="283"/>
        <v>0</v>
      </c>
    </row>
    <row r="2543" spans="1:5">
      <c r="A2543" s="10">
        <f>40</f>
        <v>40</v>
      </c>
      <c r="B2543" s="18">
        <f t="shared" si="280"/>
        <v>0</v>
      </c>
      <c r="C2543" s="10">
        <f t="shared" si="281"/>
        <v>0</v>
      </c>
      <c r="D2543" s="18">
        <f t="shared" si="282"/>
        <v>13344.556551215946</v>
      </c>
      <c r="E2543" s="18">
        <f t="shared" si="283"/>
        <v>0</v>
      </c>
    </row>
    <row r="2544" spans="1:5">
      <c r="A2544" s="10">
        <f>41</f>
        <v>41</v>
      </c>
      <c r="B2544" s="18">
        <f t="shared" si="280"/>
        <v>0</v>
      </c>
      <c r="C2544" s="10">
        <f t="shared" si="281"/>
        <v>0</v>
      </c>
      <c r="D2544" s="18">
        <f t="shared" si="282"/>
        <v>13344.556551215946</v>
      </c>
      <c r="E2544" s="18">
        <f t="shared" si="283"/>
        <v>0</v>
      </c>
    </row>
    <row r="2545" spans="1:5">
      <c r="A2545" s="10">
        <f>42</f>
        <v>42</v>
      </c>
      <c r="B2545" s="18">
        <f t="shared" si="280"/>
        <v>0</v>
      </c>
      <c r="C2545" s="10">
        <f t="shared" si="281"/>
        <v>0</v>
      </c>
      <c r="D2545" s="18">
        <f t="shared" si="282"/>
        <v>13344.556551215946</v>
      </c>
      <c r="E2545" s="18">
        <f t="shared" si="283"/>
        <v>0</v>
      </c>
    </row>
    <row r="2546" spans="1:5">
      <c r="A2546" s="10">
        <f>43</f>
        <v>43</v>
      </c>
      <c r="B2546" s="18">
        <f t="shared" si="280"/>
        <v>0</v>
      </c>
      <c r="C2546" s="10">
        <f t="shared" si="281"/>
        <v>0</v>
      </c>
      <c r="D2546" s="18">
        <f t="shared" si="282"/>
        <v>13344.556551215946</v>
      </c>
      <c r="E2546" s="18">
        <f t="shared" si="283"/>
        <v>0</v>
      </c>
    </row>
    <row r="2547" spans="1:5">
      <c r="A2547" s="10">
        <f>44</f>
        <v>44</v>
      </c>
      <c r="B2547" s="18">
        <f t="shared" si="280"/>
        <v>0</v>
      </c>
      <c r="C2547" s="10">
        <f t="shared" si="281"/>
        <v>0</v>
      </c>
      <c r="D2547" s="18">
        <f t="shared" si="282"/>
        <v>13344.556551215946</v>
      </c>
      <c r="E2547" s="18">
        <f t="shared" si="283"/>
        <v>0</v>
      </c>
    </row>
    <row r="2548" spans="1:5">
      <c r="A2548" s="10">
        <f>45</f>
        <v>45</v>
      </c>
      <c r="B2548" s="18">
        <f t="shared" si="280"/>
        <v>0</v>
      </c>
      <c r="C2548" s="10">
        <f t="shared" si="281"/>
        <v>0</v>
      </c>
      <c r="D2548" s="18">
        <f t="shared" si="282"/>
        <v>13344.556551215946</v>
      </c>
      <c r="E2548" s="18">
        <f t="shared" si="283"/>
        <v>0</v>
      </c>
    </row>
    <row r="2549" spans="1:5">
      <c r="A2549" s="10">
        <f>46</f>
        <v>46</v>
      </c>
      <c r="B2549" s="18">
        <f t="shared" si="280"/>
        <v>0</v>
      </c>
      <c r="C2549" s="10">
        <f t="shared" si="281"/>
        <v>0</v>
      </c>
      <c r="D2549" s="18">
        <f t="shared" si="282"/>
        <v>13344.556551215946</v>
      </c>
      <c r="E2549" s="18">
        <f t="shared" si="283"/>
        <v>0</v>
      </c>
    </row>
    <row r="2550" spans="1:5">
      <c r="A2550" s="10">
        <f>47</f>
        <v>47</v>
      </c>
      <c r="B2550" s="18">
        <f t="shared" si="280"/>
        <v>0</v>
      </c>
      <c r="C2550" s="10">
        <f t="shared" si="281"/>
        <v>0</v>
      </c>
      <c r="D2550" s="18">
        <f t="shared" si="282"/>
        <v>13344.556551215946</v>
      </c>
      <c r="E2550" s="18">
        <f t="shared" si="283"/>
        <v>0</v>
      </c>
    </row>
    <row r="2551" spans="1:5">
      <c r="A2551" s="10">
        <f>48</f>
        <v>48</v>
      </c>
      <c r="B2551" s="18">
        <f t="shared" si="280"/>
        <v>0</v>
      </c>
      <c r="C2551" s="10">
        <f t="shared" si="281"/>
        <v>0</v>
      </c>
      <c r="D2551" s="18">
        <f t="shared" si="282"/>
        <v>13344.556551215946</v>
      </c>
      <c r="E2551" s="18">
        <f t="shared" si="283"/>
        <v>0</v>
      </c>
    </row>
    <row r="2552" spans="1:5">
      <c r="A2552" s="10">
        <f>49</f>
        <v>49</v>
      </c>
      <c r="B2552" s="18">
        <f t="shared" si="280"/>
        <v>0</v>
      </c>
      <c r="C2552" s="10">
        <f t="shared" si="281"/>
        <v>0</v>
      </c>
      <c r="D2552" s="18">
        <f t="shared" si="282"/>
        <v>13344.556551215946</v>
      </c>
      <c r="E2552" s="18">
        <f t="shared" si="283"/>
        <v>0</v>
      </c>
    </row>
    <row r="2553" spans="1:5">
      <c r="A2553" s="10">
        <f>50</f>
        <v>50</v>
      </c>
      <c r="B2553" s="18">
        <f t="shared" si="280"/>
        <v>0</v>
      </c>
      <c r="C2553" s="10">
        <f t="shared" si="281"/>
        <v>0</v>
      </c>
      <c r="D2553" s="18">
        <f t="shared" si="282"/>
        <v>13344.556551215946</v>
      </c>
      <c r="E2553" s="18">
        <f t="shared" si="283"/>
        <v>0</v>
      </c>
    </row>
    <row r="2554" spans="1:5">
      <c r="A2554" s="10">
        <f>51</f>
        <v>51</v>
      </c>
      <c r="B2554" s="18">
        <f t="shared" si="280"/>
        <v>0</v>
      </c>
      <c r="C2554" s="10">
        <f t="shared" si="281"/>
        <v>0</v>
      </c>
      <c r="D2554" s="18">
        <f t="shared" si="282"/>
        <v>13344.556551215946</v>
      </c>
      <c r="E2554" s="18">
        <f t="shared" si="283"/>
        <v>0</v>
      </c>
    </row>
    <row r="2555" spans="1:5">
      <c r="A2555" s="10">
        <f>52</f>
        <v>52</v>
      </c>
      <c r="B2555" s="18">
        <f t="shared" si="280"/>
        <v>0</v>
      </c>
      <c r="C2555" s="10">
        <f t="shared" si="281"/>
        <v>0</v>
      </c>
      <c r="D2555" s="18">
        <f t="shared" si="282"/>
        <v>13344.556551215946</v>
      </c>
      <c r="E2555" s="18">
        <f t="shared" si="283"/>
        <v>0</v>
      </c>
    </row>
    <row r="2556" spans="1:5">
      <c r="A2556" s="10">
        <f>53</f>
        <v>53</v>
      </c>
      <c r="B2556" s="18">
        <f t="shared" si="280"/>
        <v>0</v>
      </c>
      <c r="C2556" s="10">
        <f t="shared" si="281"/>
        <v>0</v>
      </c>
      <c r="D2556" s="18">
        <f t="shared" si="282"/>
        <v>13344.556551215946</v>
      </c>
      <c r="E2556" s="18">
        <f t="shared" si="283"/>
        <v>0</v>
      </c>
    </row>
    <row r="2557" spans="1:5">
      <c r="A2557" s="10">
        <f>54</f>
        <v>54</v>
      </c>
      <c r="B2557" s="18">
        <f t="shared" si="280"/>
        <v>0</v>
      </c>
      <c r="C2557" s="10">
        <f t="shared" si="281"/>
        <v>0</v>
      </c>
      <c r="D2557" s="18">
        <f t="shared" si="282"/>
        <v>13344.556551215946</v>
      </c>
      <c r="E2557" s="18">
        <f t="shared" si="283"/>
        <v>0</v>
      </c>
    </row>
    <row r="2558" spans="1:5">
      <c r="A2558" s="10">
        <f>55</f>
        <v>55</v>
      </c>
      <c r="B2558" s="18">
        <f t="shared" si="280"/>
        <v>0</v>
      </c>
      <c r="C2558" s="10">
        <f t="shared" si="281"/>
        <v>0</v>
      </c>
      <c r="D2558" s="18">
        <f t="shared" si="282"/>
        <v>13344.556551215946</v>
      </c>
      <c r="E2558" s="18">
        <f t="shared" si="283"/>
        <v>0</v>
      </c>
    </row>
    <row r="2559" spans="1:5">
      <c r="A2559" s="10">
        <f>56</f>
        <v>56</v>
      </c>
      <c r="B2559" s="18">
        <f t="shared" si="280"/>
        <v>0</v>
      </c>
      <c r="C2559" s="10">
        <f t="shared" si="281"/>
        <v>0</v>
      </c>
      <c r="D2559" s="18">
        <f t="shared" si="282"/>
        <v>13344.556551215946</v>
      </c>
      <c r="E2559" s="18">
        <f t="shared" si="283"/>
        <v>0</v>
      </c>
    </row>
    <row r="2560" spans="1:5">
      <c r="A2560" s="10">
        <f>57</f>
        <v>57</v>
      </c>
      <c r="B2560" s="18">
        <f t="shared" si="280"/>
        <v>0</v>
      </c>
      <c r="C2560" s="10">
        <f t="shared" si="281"/>
        <v>0</v>
      </c>
      <c r="D2560" s="18">
        <f t="shared" si="282"/>
        <v>13344.556551215946</v>
      </c>
      <c r="E2560" s="18">
        <f t="shared" si="283"/>
        <v>0</v>
      </c>
    </row>
    <row r="2561" spans="1:5">
      <c r="A2561" s="10">
        <f>58</f>
        <v>58</v>
      </c>
      <c r="B2561" s="18">
        <f t="shared" si="280"/>
        <v>0</v>
      </c>
      <c r="C2561" s="10">
        <f t="shared" si="281"/>
        <v>0</v>
      </c>
      <c r="D2561" s="18">
        <f t="shared" si="282"/>
        <v>13344.556551215946</v>
      </c>
      <c r="E2561" s="18">
        <f t="shared" si="283"/>
        <v>0</v>
      </c>
    </row>
    <row r="2562" spans="1:5">
      <c r="A2562" s="10">
        <f>59</f>
        <v>59</v>
      </c>
      <c r="B2562" s="18">
        <f t="shared" si="280"/>
        <v>0</v>
      </c>
      <c r="C2562" s="10">
        <f t="shared" si="281"/>
        <v>0</v>
      </c>
      <c r="D2562" s="18">
        <f t="shared" si="282"/>
        <v>13344.556551215946</v>
      </c>
      <c r="E2562" s="18">
        <f t="shared" si="283"/>
        <v>0</v>
      </c>
    </row>
    <row r="2563" spans="1:5">
      <c r="A2563" s="10">
        <f>60</f>
        <v>60</v>
      </c>
      <c r="B2563" s="18">
        <f t="shared" si="280"/>
        <v>0</v>
      </c>
      <c r="C2563" s="10">
        <f t="shared" si="281"/>
        <v>0</v>
      </c>
      <c r="D2563" s="18">
        <f t="shared" si="282"/>
        <v>13344.556551215946</v>
      </c>
      <c r="E2563" s="18">
        <f t="shared" si="283"/>
        <v>0</v>
      </c>
    </row>
    <row r="2564" spans="1:5">
      <c r="B2564" s="10">
        <f>SUM(C2504:C2563)</f>
        <v>24</v>
      </c>
    </row>
    <row r="2566" spans="1:5">
      <c r="A2566" s="2" t="s">
        <v>315</v>
      </c>
    </row>
    <row r="2568" spans="1:5">
      <c r="A2568" s="25" t="s">
        <v>262</v>
      </c>
      <c r="B2568" s="25" t="s">
        <v>263</v>
      </c>
      <c r="C2568" s="25" t="s">
        <v>305</v>
      </c>
      <c r="D2568" s="25" t="s">
        <v>264</v>
      </c>
      <c r="E2568" s="25" t="s">
        <v>265</v>
      </c>
    </row>
    <row r="2569" spans="1:5">
      <c r="A2569" s="3">
        <v>0</v>
      </c>
      <c r="C2569" s="10">
        <f>1</f>
        <v>1</v>
      </c>
      <c r="D2569" s="18">
        <f>MIN(0*$B$1105,$B$5)</f>
        <v>0</v>
      </c>
      <c r="E2569" s="18">
        <f>$B$5-D2569</f>
        <v>1000000</v>
      </c>
    </row>
    <row r="2570" spans="1:5">
      <c r="A2570" s="10">
        <f>1</f>
        <v>1</v>
      </c>
      <c r="B2570" s="18">
        <f t="shared" ref="B2570:B2601" si="284">IF(C2569=0,0,MIN(MAX(E2569,0),(($B$1105-MIN(MAX(D2569,0),$B$1105))+MAX(0,0*$B$1105-(D2569-MIN(MAX(D2569,0),$B$1105))))))</f>
        <v>42002.308631517553</v>
      </c>
      <c r="C2570" s="10">
        <f t="shared" ref="C2570:C2601" si="285">IF(AND(C2569=1,D2569+E2569&gt;0.000001,B2570&gt;=($B$1105-MIN(MAX(D2569,0),$B$1105))-0.000001),1,0)</f>
        <v>1</v>
      </c>
      <c r="D2570" s="18">
        <f t="shared" ref="D2570:D2601" si="286">IF(C2570=0,D2569,(D2569-$B$1105+B2570)*(1+$B$7))</f>
        <v>0</v>
      </c>
      <c r="E2570" s="18">
        <f t="shared" ref="E2570:E2601" si="287">IF(C2570=0,E2569,(E2569-B2570)*(1+$B$6))</f>
        <v>986737.6221095369</v>
      </c>
    </row>
    <row r="2571" spans="1:5">
      <c r="A2571" s="10">
        <f>2</f>
        <v>2</v>
      </c>
      <c r="B2571" s="18">
        <f t="shared" si="284"/>
        <v>42002.308631517553</v>
      </c>
      <c r="C2571" s="10">
        <f t="shared" si="285"/>
        <v>1</v>
      </c>
      <c r="D2571" s="18">
        <f t="shared" si="286"/>
        <v>0</v>
      </c>
      <c r="E2571" s="18">
        <f t="shared" si="287"/>
        <v>973077.37288235989</v>
      </c>
    </row>
    <row r="2572" spans="1:5">
      <c r="A2572" s="10">
        <f>3</f>
        <v>3</v>
      </c>
      <c r="B2572" s="18">
        <f t="shared" si="284"/>
        <v>42002.308631517553</v>
      </c>
      <c r="C2572" s="10">
        <f t="shared" si="285"/>
        <v>1</v>
      </c>
      <c r="D2572" s="18">
        <f t="shared" si="286"/>
        <v>0</v>
      </c>
      <c r="E2572" s="18">
        <f t="shared" si="287"/>
        <v>959007.31617836759</v>
      </c>
    </row>
    <row r="2573" spans="1:5">
      <c r="A2573" s="10">
        <f>4</f>
        <v>4</v>
      </c>
      <c r="B2573" s="18">
        <f t="shared" si="284"/>
        <v>42002.308631517553</v>
      </c>
      <c r="C2573" s="10">
        <f t="shared" si="285"/>
        <v>1</v>
      </c>
      <c r="D2573" s="18">
        <f t="shared" si="286"/>
        <v>0</v>
      </c>
      <c r="E2573" s="18">
        <f t="shared" si="287"/>
        <v>944515.15777325549</v>
      </c>
    </row>
    <row r="2574" spans="1:5">
      <c r="A2574" s="10">
        <f>5</f>
        <v>5</v>
      </c>
      <c r="B2574" s="18">
        <f t="shared" si="284"/>
        <v>42002.308631517553</v>
      </c>
      <c r="C2574" s="10">
        <f t="shared" si="285"/>
        <v>1</v>
      </c>
      <c r="D2574" s="18">
        <f t="shared" si="286"/>
        <v>0</v>
      </c>
      <c r="E2574" s="18">
        <f t="shared" si="287"/>
        <v>929588.23461599008</v>
      </c>
    </row>
    <row r="2575" spans="1:5">
      <c r="A2575" s="10">
        <f>6</f>
        <v>6</v>
      </c>
      <c r="B2575" s="18">
        <f t="shared" si="284"/>
        <v>42002.308631517553</v>
      </c>
      <c r="C2575" s="10">
        <f t="shared" si="285"/>
        <v>1</v>
      </c>
      <c r="D2575" s="18">
        <f t="shared" si="286"/>
        <v>0</v>
      </c>
      <c r="E2575" s="18">
        <f t="shared" si="287"/>
        <v>914213.50376400666</v>
      </c>
    </row>
    <row r="2576" spans="1:5">
      <c r="A2576" s="10">
        <f>7</f>
        <v>7</v>
      </c>
      <c r="B2576" s="18">
        <f t="shared" si="284"/>
        <v>42002.308631517553</v>
      </c>
      <c r="C2576" s="10">
        <f t="shared" si="285"/>
        <v>1</v>
      </c>
      <c r="D2576" s="18">
        <f t="shared" si="286"/>
        <v>0</v>
      </c>
      <c r="E2576" s="18">
        <f t="shared" si="287"/>
        <v>898377.53098646377</v>
      </c>
    </row>
    <row r="2577" spans="1:5">
      <c r="A2577" s="10">
        <f>8</f>
        <v>8</v>
      </c>
      <c r="B2577" s="18">
        <f t="shared" si="284"/>
        <v>42002.308631517553</v>
      </c>
      <c r="C2577" s="10">
        <f t="shared" si="285"/>
        <v>1</v>
      </c>
      <c r="D2577" s="18">
        <f t="shared" si="286"/>
        <v>0</v>
      </c>
      <c r="E2577" s="18">
        <f t="shared" si="287"/>
        <v>882066.47902559466</v>
      </c>
    </row>
    <row r="2578" spans="1:5">
      <c r="A2578" s="10">
        <f>9</f>
        <v>9</v>
      </c>
      <c r="B2578" s="18">
        <f t="shared" si="284"/>
        <v>42002.308631517553</v>
      </c>
      <c r="C2578" s="10">
        <f t="shared" si="285"/>
        <v>1</v>
      </c>
      <c r="D2578" s="18">
        <f t="shared" si="286"/>
        <v>0</v>
      </c>
      <c r="E2578" s="18">
        <f t="shared" si="287"/>
        <v>865266.0955058994</v>
      </c>
    </row>
    <row r="2579" spans="1:5">
      <c r="A2579" s="10">
        <f>10</f>
        <v>10</v>
      </c>
      <c r="B2579" s="18">
        <f t="shared" si="284"/>
        <v>42002.308631517553</v>
      </c>
      <c r="C2579" s="10">
        <f t="shared" si="285"/>
        <v>1</v>
      </c>
      <c r="D2579" s="18">
        <f t="shared" si="286"/>
        <v>0</v>
      </c>
      <c r="E2579" s="18">
        <f t="shared" si="287"/>
        <v>847961.70048061328</v>
      </c>
    </row>
    <row r="2580" spans="1:5">
      <c r="A2580" s="10">
        <f>11</f>
        <v>11</v>
      </c>
      <c r="B2580" s="18">
        <f t="shared" si="284"/>
        <v>42002.308631517553</v>
      </c>
      <c r="C2580" s="10">
        <f t="shared" si="285"/>
        <v>1</v>
      </c>
      <c r="D2580" s="18">
        <f t="shared" si="286"/>
        <v>0</v>
      </c>
      <c r="E2580" s="18">
        <f t="shared" si="287"/>
        <v>830138.17360456858</v>
      </c>
    </row>
    <row r="2581" spans="1:5">
      <c r="A2581" s="10">
        <f>12</f>
        <v>12</v>
      </c>
      <c r="B2581" s="18">
        <f t="shared" si="284"/>
        <v>42002.308631517553</v>
      </c>
      <c r="C2581" s="10">
        <f t="shared" si="285"/>
        <v>1</v>
      </c>
      <c r="D2581" s="18">
        <f t="shared" si="286"/>
        <v>0</v>
      </c>
      <c r="E2581" s="18">
        <f t="shared" si="287"/>
        <v>811779.94092224259</v>
      </c>
    </row>
    <row r="2582" spans="1:5">
      <c r="A2582" s="10">
        <f>13</f>
        <v>13</v>
      </c>
      <c r="B2582" s="18">
        <f t="shared" si="284"/>
        <v>42002.308631517553</v>
      </c>
      <c r="C2582" s="10">
        <f t="shared" si="285"/>
        <v>1</v>
      </c>
      <c r="D2582" s="18">
        <f t="shared" si="286"/>
        <v>0</v>
      </c>
      <c r="E2582" s="18">
        <f t="shared" si="287"/>
        <v>792870.96125944681</v>
      </c>
    </row>
    <row r="2583" spans="1:5">
      <c r="A2583" s="10">
        <f>14</f>
        <v>14</v>
      </c>
      <c r="B2583" s="18">
        <f t="shared" si="284"/>
        <v>42002.308631517553</v>
      </c>
      <c r="C2583" s="10">
        <f t="shared" si="285"/>
        <v>1</v>
      </c>
      <c r="D2583" s="18">
        <f t="shared" si="286"/>
        <v>0</v>
      </c>
      <c r="E2583" s="18">
        <f t="shared" si="287"/>
        <v>773394.71220676717</v>
      </c>
    </row>
    <row r="2584" spans="1:5">
      <c r="A2584" s="10">
        <f>15</f>
        <v>15</v>
      </c>
      <c r="B2584" s="18">
        <f t="shared" si="284"/>
        <v>42002.308631517553</v>
      </c>
      <c r="C2584" s="10">
        <f t="shared" si="285"/>
        <v>1</v>
      </c>
      <c r="D2584" s="18">
        <f t="shared" si="286"/>
        <v>0</v>
      </c>
      <c r="E2584" s="18">
        <f t="shared" si="287"/>
        <v>753334.17568250711</v>
      </c>
    </row>
    <row r="2585" spans="1:5">
      <c r="A2585" s="10">
        <f>16</f>
        <v>16</v>
      </c>
      <c r="B2585" s="18">
        <f t="shared" si="284"/>
        <v>42002.308631517553</v>
      </c>
      <c r="C2585" s="10">
        <f t="shared" si="285"/>
        <v>1</v>
      </c>
      <c r="D2585" s="18">
        <f t="shared" si="286"/>
        <v>0</v>
      </c>
      <c r="E2585" s="18">
        <f t="shared" si="287"/>
        <v>732671.82306251919</v>
      </c>
    </row>
    <row r="2586" spans="1:5">
      <c r="A2586" s="10">
        <f>17</f>
        <v>17</v>
      </c>
      <c r="B2586" s="18">
        <f t="shared" si="284"/>
        <v>42002.308631517553</v>
      </c>
      <c r="C2586" s="10">
        <f t="shared" si="285"/>
        <v>1</v>
      </c>
      <c r="D2586" s="18">
        <f t="shared" si="286"/>
        <v>0</v>
      </c>
      <c r="E2586" s="18">
        <f t="shared" si="287"/>
        <v>711389.59986393165</v>
      </c>
    </row>
    <row r="2587" spans="1:5">
      <c r="A2587" s="10">
        <f>18</f>
        <v>18</v>
      </c>
      <c r="B2587" s="18">
        <f t="shared" si="284"/>
        <v>42002.308631517553</v>
      </c>
      <c r="C2587" s="10">
        <f t="shared" si="285"/>
        <v>1</v>
      </c>
      <c r="D2587" s="18">
        <f t="shared" si="286"/>
        <v>0</v>
      </c>
      <c r="E2587" s="18">
        <f t="shared" si="287"/>
        <v>689468.90996938653</v>
      </c>
    </row>
    <row r="2588" spans="1:5">
      <c r="A2588" s="10">
        <f>19</f>
        <v>19</v>
      </c>
      <c r="B2588" s="18">
        <f t="shared" si="284"/>
        <v>42002.308631517553</v>
      </c>
      <c r="C2588" s="10">
        <f t="shared" si="285"/>
        <v>1</v>
      </c>
      <c r="D2588" s="18">
        <f t="shared" si="286"/>
        <v>0</v>
      </c>
      <c r="E2588" s="18">
        <f t="shared" si="287"/>
        <v>666890.59937800502</v>
      </c>
    </row>
    <row r="2589" spans="1:5">
      <c r="A2589" s="10">
        <f>20</f>
        <v>20</v>
      </c>
      <c r="B2589" s="18">
        <f t="shared" si="284"/>
        <v>42002.308631517553</v>
      </c>
      <c r="C2589" s="10">
        <f t="shared" si="285"/>
        <v>1</v>
      </c>
      <c r="D2589" s="18">
        <f t="shared" si="286"/>
        <v>0</v>
      </c>
      <c r="E2589" s="18">
        <f t="shared" si="287"/>
        <v>643634.93946888205</v>
      </c>
    </row>
    <row r="2590" spans="1:5">
      <c r="A2590" s="10">
        <f>21</f>
        <v>21</v>
      </c>
      <c r="B2590" s="18">
        <f t="shared" si="284"/>
        <v>42002.308631517553</v>
      </c>
      <c r="C2590" s="10">
        <f t="shared" si="285"/>
        <v>1</v>
      </c>
      <c r="D2590" s="18">
        <f t="shared" si="286"/>
        <v>0</v>
      </c>
      <c r="E2590" s="18">
        <f t="shared" si="287"/>
        <v>619681.60976248537</v>
      </c>
    </row>
    <row r="2591" spans="1:5">
      <c r="A2591" s="10">
        <f>22</f>
        <v>22</v>
      </c>
      <c r="B2591" s="18">
        <f t="shared" si="284"/>
        <v>42002.308631517553</v>
      </c>
      <c r="C2591" s="10">
        <f t="shared" si="285"/>
        <v>1</v>
      </c>
      <c r="D2591" s="18">
        <f t="shared" si="286"/>
        <v>0</v>
      </c>
      <c r="E2591" s="18">
        <f t="shared" si="287"/>
        <v>595009.68016489688</v>
      </c>
    </row>
    <row r="2592" spans="1:5">
      <c r="A2592" s="10">
        <f>23</f>
        <v>23</v>
      </c>
      <c r="B2592" s="18">
        <f t="shared" si="284"/>
        <v>42002.308631517553</v>
      </c>
      <c r="C2592" s="10">
        <f t="shared" si="285"/>
        <v>1</v>
      </c>
      <c r="D2592" s="18">
        <f t="shared" si="286"/>
        <v>0</v>
      </c>
      <c r="E2592" s="18">
        <f t="shared" si="287"/>
        <v>569597.59267938067</v>
      </c>
    </row>
    <row r="2593" spans="1:5">
      <c r="A2593" s="10">
        <f>24</f>
        <v>24</v>
      </c>
      <c r="B2593" s="18">
        <f t="shared" si="284"/>
        <v>42002.308631517553</v>
      </c>
      <c r="C2593" s="10">
        <f t="shared" si="285"/>
        <v>1</v>
      </c>
      <c r="D2593" s="18">
        <f t="shared" si="286"/>
        <v>0</v>
      </c>
      <c r="E2593" s="18">
        <f t="shared" si="287"/>
        <v>543423.14256929897</v>
      </c>
    </row>
    <row r="2594" spans="1:5">
      <c r="A2594" s="10">
        <f>25</f>
        <v>25</v>
      </c>
      <c r="B2594" s="18">
        <f t="shared" si="284"/>
        <v>42002.308631517553</v>
      </c>
      <c r="C2594" s="10">
        <f t="shared" si="285"/>
        <v>1</v>
      </c>
      <c r="D2594" s="18">
        <f t="shared" si="286"/>
        <v>0</v>
      </c>
      <c r="E2594" s="18">
        <f t="shared" si="287"/>
        <v>516463.45895591483</v>
      </c>
    </row>
    <row r="2595" spans="1:5">
      <c r="A2595" s="10">
        <f>26</f>
        <v>26</v>
      </c>
      <c r="B2595" s="18">
        <f t="shared" si="284"/>
        <v>42002.308631517553</v>
      </c>
      <c r="C2595" s="10">
        <f t="shared" si="285"/>
        <v>1</v>
      </c>
      <c r="D2595" s="18">
        <f t="shared" si="286"/>
        <v>0</v>
      </c>
      <c r="E2595" s="18">
        <f t="shared" si="287"/>
        <v>488694.98483412917</v>
      </c>
    </row>
    <row r="2596" spans="1:5">
      <c r="A2596" s="10">
        <f>27</f>
        <v>27</v>
      </c>
      <c r="B2596" s="18">
        <f t="shared" si="284"/>
        <v>42002.308631517553</v>
      </c>
      <c r="C2596" s="10">
        <f t="shared" si="285"/>
        <v>1</v>
      </c>
      <c r="D2596" s="18">
        <f t="shared" si="286"/>
        <v>0</v>
      </c>
      <c r="E2596" s="18">
        <f t="shared" si="287"/>
        <v>460093.45648868993</v>
      </c>
    </row>
    <row r="2597" spans="1:5">
      <c r="A2597" s="10">
        <f>28</f>
        <v>28</v>
      </c>
      <c r="B2597" s="18">
        <f t="shared" si="284"/>
        <v>42002.308631517553</v>
      </c>
      <c r="C2597" s="10">
        <f t="shared" si="285"/>
        <v>1</v>
      </c>
      <c r="D2597" s="18">
        <f t="shared" si="286"/>
        <v>0</v>
      </c>
      <c r="E2597" s="18">
        <f t="shared" si="287"/>
        <v>430633.88229288755</v>
      </c>
    </row>
    <row r="2598" spans="1:5">
      <c r="A2598" s="10">
        <f>29</f>
        <v>29</v>
      </c>
      <c r="B2598" s="18">
        <f t="shared" si="284"/>
        <v>42002.308631517553</v>
      </c>
      <c r="C2598" s="10">
        <f t="shared" si="285"/>
        <v>1</v>
      </c>
      <c r="D2598" s="18">
        <f t="shared" si="286"/>
        <v>0</v>
      </c>
      <c r="E2598" s="18">
        <f t="shared" si="287"/>
        <v>400290.52087121108</v>
      </c>
    </row>
    <row r="2599" spans="1:5">
      <c r="A2599" s="10">
        <f>30</f>
        <v>30</v>
      </c>
      <c r="B2599" s="18">
        <f t="shared" si="284"/>
        <v>42002.308631517553</v>
      </c>
      <c r="C2599" s="10">
        <f t="shared" si="285"/>
        <v>1</v>
      </c>
      <c r="D2599" s="18">
        <f t="shared" si="286"/>
        <v>0</v>
      </c>
      <c r="E2599" s="18">
        <f t="shared" si="287"/>
        <v>369036.85860688431</v>
      </c>
    </row>
    <row r="2600" spans="1:5">
      <c r="A2600" s="10">
        <f>31</f>
        <v>31</v>
      </c>
      <c r="B2600" s="18">
        <f t="shared" si="284"/>
        <v>42002.308631517553</v>
      </c>
      <c r="C2600" s="10">
        <f t="shared" si="285"/>
        <v>1</v>
      </c>
      <c r="D2600" s="18">
        <f t="shared" si="286"/>
        <v>0</v>
      </c>
      <c r="E2600" s="18">
        <f t="shared" si="287"/>
        <v>336845.58647462772</v>
      </c>
    </row>
    <row r="2601" spans="1:5">
      <c r="A2601" s="10">
        <f>32</f>
        <v>32</v>
      </c>
      <c r="B2601" s="18">
        <f t="shared" si="284"/>
        <v>42002.308631517553</v>
      </c>
      <c r="C2601" s="10">
        <f t="shared" si="285"/>
        <v>1</v>
      </c>
      <c r="D2601" s="18">
        <f t="shared" si="286"/>
        <v>0</v>
      </c>
      <c r="E2601" s="18">
        <f t="shared" si="287"/>
        <v>303688.57617840345</v>
      </c>
    </row>
    <row r="2602" spans="1:5">
      <c r="A2602" s="10">
        <f>33</f>
        <v>33</v>
      </c>
      <c r="B2602" s="18">
        <f t="shared" ref="B2602:B2629" si="288">IF(C2601=0,0,MIN(MAX(E2601,0),(($B$1105-MIN(MAX(D2601,0),$B$1105))+MAX(0,0*$B$1105-(D2601-MIN(MAX(D2601,0),$B$1105))))))</f>
        <v>42002.308631517553</v>
      </c>
      <c r="C2602" s="10">
        <f t="shared" ref="C2602:C2633" si="289">IF(AND(C2601=1,D2601+E2601&gt;0.000001,B2602&gt;=($B$1105-MIN(MAX(D2601,0),$B$1105))-0.000001),1,0)</f>
        <v>1</v>
      </c>
      <c r="D2602" s="18">
        <f t="shared" ref="D2602:D2633" si="290">IF(C2602=0,D2601,(D2601-$B$1105+B2602)*(1+$B$7))</f>
        <v>0</v>
      </c>
      <c r="E2602" s="18">
        <f t="shared" ref="E2602:E2629" si="291">IF(C2602=0,E2601,(E2601-B2602)*(1+$B$6))</f>
        <v>269536.85557329247</v>
      </c>
    </row>
    <row r="2603" spans="1:5">
      <c r="A2603" s="10">
        <f>34</f>
        <v>34</v>
      </c>
      <c r="B2603" s="18">
        <f t="shared" si="288"/>
        <v>42002.308631517553</v>
      </c>
      <c r="C2603" s="10">
        <f t="shared" si="289"/>
        <v>1</v>
      </c>
      <c r="D2603" s="18">
        <f t="shared" si="290"/>
        <v>0</v>
      </c>
      <c r="E2603" s="18">
        <f t="shared" si="291"/>
        <v>234360.58335002817</v>
      </c>
    </row>
    <row r="2604" spans="1:5">
      <c r="A2604" s="10">
        <f>35</f>
        <v>35</v>
      </c>
      <c r="B2604" s="18">
        <f t="shared" si="288"/>
        <v>42002.308631517553</v>
      </c>
      <c r="C2604" s="10">
        <f t="shared" si="289"/>
        <v>1</v>
      </c>
      <c r="D2604" s="18">
        <f t="shared" si="290"/>
        <v>0</v>
      </c>
      <c r="E2604" s="18">
        <f t="shared" si="291"/>
        <v>198129.02296006595</v>
      </c>
    </row>
    <row r="2605" spans="1:5">
      <c r="A2605" s="10">
        <f>36</f>
        <v>36</v>
      </c>
      <c r="B2605" s="18">
        <f t="shared" si="288"/>
        <v>42002.308631517553</v>
      </c>
      <c r="C2605" s="10">
        <f t="shared" si="289"/>
        <v>1</v>
      </c>
      <c r="D2605" s="18">
        <f t="shared" si="290"/>
        <v>0</v>
      </c>
      <c r="E2605" s="18">
        <f t="shared" si="291"/>
        <v>160810.51575840486</v>
      </c>
    </row>
    <row r="2606" spans="1:5">
      <c r="A2606" s="10">
        <f>37</f>
        <v>37</v>
      </c>
      <c r="B2606" s="18">
        <f t="shared" si="288"/>
        <v>42002.308631517553</v>
      </c>
      <c r="C2606" s="10">
        <f t="shared" si="289"/>
        <v>1</v>
      </c>
      <c r="D2606" s="18">
        <f t="shared" si="290"/>
        <v>0</v>
      </c>
      <c r="E2606" s="18">
        <f t="shared" si="291"/>
        <v>122372.45334069393</v>
      </c>
    </row>
    <row r="2607" spans="1:5">
      <c r="A2607" s="10">
        <f>38</f>
        <v>38</v>
      </c>
      <c r="B2607" s="18">
        <f t="shared" si="288"/>
        <v>42002.308631517553</v>
      </c>
      <c r="C2607" s="10">
        <f t="shared" si="289"/>
        <v>1</v>
      </c>
      <c r="D2607" s="18">
        <f t="shared" si="290"/>
        <v>0</v>
      </c>
      <c r="E2607" s="18">
        <f t="shared" si="291"/>
        <v>82781.249050451675</v>
      </c>
    </row>
    <row r="2608" spans="1:5">
      <c r="A2608" s="10">
        <f>39</f>
        <v>39</v>
      </c>
      <c r="B2608" s="18">
        <f t="shared" si="288"/>
        <v>42002.308631517553</v>
      </c>
      <c r="C2608" s="10">
        <f t="shared" si="289"/>
        <v>1</v>
      </c>
      <c r="D2608" s="18">
        <f t="shared" si="290"/>
        <v>0</v>
      </c>
      <c r="E2608" s="18">
        <f t="shared" si="291"/>
        <v>42002.30863150215</v>
      </c>
    </row>
    <row r="2609" spans="1:5">
      <c r="A2609" s="10">
        <f>40</f>
        <v>40</v>
      </c>
      <c r="B2609" s="18">
        <f t="shared" si="288"/>
        <v>42002.30863150215</v>
      </c>
      <c r="C2609" s="10">
        <f t="shared" si="289"/>
        <v>1</v>
      </c>
      <c r="D2609" s="18">
        <f t="shared" si="290"/>
        <v>-1.5347750741057098E-8</v>
      </c>
      <c r="E2609" s="18">
        <f t="shared" si="291"/>
        <v>0</v>
      </c>
    </row>
    <row r="2610" spans="1:5">
      <c r="A2610" s="10">
        <f>41</f>
        <v>41</v>
      </c>
      <c r="B2610" s="18">
        <f t="shared" si="288"/>
        <v>0</v>
      </c>
      <c r="C2610" s="10">
        <f t="shared" si="289"/>
        <v>0</v>
      </c>
      <c r="D2610" s="18">
        <f t="shared" si="290"/>
        <v>-1.5347750741057098E-8</v>
      </c>
      <c r="E2610" s="18">
        <f t="shared" si="291"/>
        <v>0</v>
      </c>
    </row>
    <row r="2611" spans="1:5">
      <c r="A2611" s="10">
        <f>42</f>
        <v>42</v>
      </c>
      <c r="B2611" s="18">
        <f t="shared" si="288"/>
        <v>0</v>
      </c>
      <c r="C2611" s="10">
        <f t="shared" si="289"/>
        <v>0</v>
      </c>
      <c r="D2611" s="18">
        <f t="shared" si="290"/>
        <v>-1.5347750741057098E-8</v>
      </c>
      <c r="E2611" s="18">
        <f t="shared" si="291"/>
        <v>0</v>
      </c>
    </row>
    <row r="2612" spans="1:5">
      <c r="A2612" s="10">
        <f>43</f>
        <v>43</v>
      </c>
      <c r="B2612" s="18">
        <f t="shared" si="288"/>
        <v>0</v>
      </c>
      <c r="C2612" s="10">
        <f t="shared" si="289"/>
        <v>0</v>
      </c>
      <c r="D2612" s="18">
        <f t="shared" si="290"/>
        <v>-1.5347750741057098E-8</v>
      </c>
      <c r="E2612" s="18">
        <f t="shared" si="291"/>
        <v>0</v>
      </c>
    </row>
    <row r="2613" spans="1:5">
      <c r="A2613" s="10">
        <f>44</f>
        <v>44</v>
      </c>
      <c r="B2613" s="18">
        <f t="shared" si="288"/>
        <v>0</v>
      </c>
      <c r="C2613" s="10">
        <f t="shared" si="289"/>
        <v>0</v>
      </c>
      <c r="D2613" s="18">
        <f t="shared" si="290"/>
        <v>-1.5347750741057098E-8</v>
      </c>
      <c r="E2613" s="18">
        <f t="shared" si="291"/>
        <v>0</v>
      </c>
    </row>
    <row r="2614" spans="1:5">
      <c r="A2614" s="10">
        <f>45</f>
        <v>45</v>
      </c>
      <c r="B2614" s="18">
        <f t="shared" si="288"/>
        <v>0</v>
      </c>
      <c r="C2614" s="10">
        <f t="shared" si="289"/>
        <v>0</v>
      </c>
      <c r="D2614" s="18">
        <f t="shared" si="290"/>
        <v>-1.5347750741057098E-8</v>
      </c>
      <c r="E2614" s="18">
        <f t="shared" si="291"/>
        <v>0</v>
      </c>
    </row>
    <row r="2615" spans="1:5">
      <c r="A2615" s="10">
        <f>46</f>
        <v>46</v>
      </c>
      <c r="B2615" s="18">
        <f t="shared" si="288"/>
        <v>0</v>
      </c>
      <c r="C2615" s="10">
        <f t="shared" si="289"/>
        <v>0</v>
      </c>
      <c r="D2615" s="18">
        <f t="shared" si="290"/>
        <v>-1.5347750741057098E-8</v>
      </c>
      <c r="E2615" s="18">
        <f t="shared" si="291"/>
        <v>0</v>
      </c>
    </row>
    <row r="2616" spans="1:5">
      <c r="A2616" s="10">
        <f>47</f>
        <v>47</v>
      </c>
      <c r="B2616" s="18">
        <f t="shared" si="288"/>
        <v>0</v>
      </c>
      <c r="C2616" s="10">
        <f t="shared" si="289"/>
        <v>0</v>
      </c>
      <c r="D2616" s="18">
        <f t="shared" si="290"/>
        <v>-1.5347750741057098E-8</v>
      </c>
      <c r="E2616" s="18">
        <f t="shared" si="291"/>
        <v>0</v>
      </c>
    </row>
    <row r="2617" spans="1:5">
      <c r="A2617" s="10">
        <f>48</f>
        <v>48</v>
      </c>
      <c r="B2617" s="18">
        <f t="shared" si="288"/>
        <v>0</v>
      </c>
      <c r="C2617" s="10">
        <f t="shared" si="289"/>
        <v>0</v>
      </c>
      <c r="D2617" s="18">
        <f t="shared" si="290"/>
        <v>-1.5347750741057098E-8</v>
      </c>
      <c r="E2617" s="18">
        <f t="shared" si="291"/>
        <v>0</v>
      </c>
    </row>
    <row r="2618" spans="1:5">
      <c r="A2618" s="10">
        <f>49</f>
        <v>49</v>
      </c>
      <c r="B2618" s="18">
        <f t="shared" si="288"/>
        <v>0</v>
      </c>
      <c r="C2618" s="10">
        <f t="shared" si="289"/>
        <v>0</v>
      </c>
      <c r="D2618" s="18">
        <f t="shared" si="290"/>
        <v>-1.5347750741057098E-8</v>
      </c>
      <c r="E2618" s="18">
        <f t="shared" si="291"/>
        <v>0</v>
      </c>
    </row>
    <row r="2619" spans="1:5">
      <c r="A2619" s="10">
        <f>50</f>
        <v>50</v>
      </c>
      <c r="B2619" s="18">
        <f t="shared" si="288"/>
        <v>0</v>
      </c>
      <c r="C2619" s="10">
        <f t="shared" si="289"/>
        <v>0</v>
      </c>
      <c r="D2619" s="18">
        <f t="shared" si="290"/>
        <v>-1.5347750741057098E-8</v>
      </c>
      <c r="E2619" s="18">
        <f t="shared" si="291"/>
        <v>0</v>
      </c>
    </row>
    <row r="2620" spans="1:5">
      <c r="A2620" s="10">
        <f>51</f>
        <v>51</v>
      </c>
      <c r="B2620" s="18">
        <f t="shared" si="288"/>
        <v>0</v>
      </c>
      <c r="C2620" s="10">
        <f t="shared" si="289"/>
        <v>0</v>
      </c>
      <c r="D2620" s="18">
        <f t="shared" si="290"/>
        <v>-1.5347750741057098E-8</v>
      </c>
      <c r="E2620" s="18">
        <f t="shared" si="291"/>
        <v>0</v>
      </c>
    </row>
    <row r="2621" spans="1:5">
      <c r="A2621" s="10">
        <f>52</f>
        <v>52</v>
      </c>
      <c r="B2621" s="18">
        <f t="shared" si="288"/>
        <v>0</v>
      </c>
      <c r="C2621" s="10">
        <f t="shared" si="289"/>
        <v>0</v>
      </c>
      <c r="D2621" s="18">
        <f t="shared" si="290"/>
        <v>-1.5347750741057098E-8</v>
      </c>
      <c r="E2621" s="18">
        <f t="shared" si="291"/>
        <v>0</v>
      </c>
    </row>
    <row r="2622" spans="1:5">
      <c r="A2622" s="10">
        <f>53</f>
        <v>53</v>
      </c>
      <c r="B2622" s="18">
        <f t="shared" si="288"/>
        <v>0</v>
      </c>
      <c r="C2622" s="10">
        <f t="shared" si="289"/>
        <v>0</v>
      </c>
      <c r="D2622" s="18">
        <f t="shared" si="290"/>
        <v>-1.5347750741057098E-8</v>
      </c>
      <c r="E2622" s="18">
        <f t="shared" si="291"/>
        <v>0</v>
      </c>
    </row>
    <row r="2623" spans="1:5">
      <c r="A2623" s="10">
        <f>54</f>
        <v>54</v>
      </c>
      <c r="B2623" s="18">
        <f t="shared" si="288"/>
        <v>0</v>
      </c>
      <c r="C2623" s="10">
        <f t="shared" si="289"/>
        <v>0</v>
      </c>
      <c r="D2623" s="18">
        <f t="shared" si="290"/>
        <v>-1.5347750741057098E-8</v>
      </c>
      <c r="E2623" s="18">
        <f t="shared" si="291"/>
        <v>0</v>
      </c>
    </row>
    <row r="2624" spans="1:5">
      <c r="A2624" s="10">
        <f>55</f>
        <v>55</v>
      </c>
      <c r="B2624" s="18">
        <f t="shared" si="288"/>
        <v>0</v>
      </c>
      <c r="C2624" s="10">
        <f t="shared" si="289"/>
        <v>0</v>
      </c>
      <c r="D2624" s="18">
        <f t="shared" si="290"/>
        <v>-1.5347750741057098E-8</v>
      </c>
      <c r="E2624" s="18">
        <f t="shared" si="291"/>
        <v>0</v>
      </c>
    </row>
    <row r="2625" spans="1:5">
      <c r="A2625" s="10">
        <f>56</f>
        <v>56</v>
      </c>
      <c r="B2625" s="18">
        <f t="shared" si="288"/>
        <v>0</v>
      </c>
      <c r="C2625" s="10">
        <f t="shared" si="289"/>
        <v>0</v>
      </c>
      <c r="D2625" s="18">
        <f t="shared" si="290"/>
        <v>-1.5347750741057098E-8</v>
      </c>
      <c r="E2625" s="18">
        <f t="shared" si="291"/>
        <v>0</v>
      </c>
    </row>
    <row r="2626" spans="1:5">
      <c r="A2626" s="10">
        <f>57</f>
        <v>57</v>
      </c>
      <c r="B2626" s="18">
        <f t="shared" si="288"/>
        <v>0</v>
      </c>
      <c r="C2626" s="10">
        <f t="shared" si="289"/>
        <v>0</v>
      </c>
      <c r="D2626" s="18">
        <f t="shared" si="290"/>
        <v>-1.5347750741057098E-8</v>
      </c>
      <c r="E2626" s="18">
        <f t="shared" si="291"/>
        <v>0</v>
      </c>
    </row>
    <row r="2627" spans="1:5">
      <c r="A2627" s="10">
        <f>58</f>
        <v>58</v>
      </c>
      <c r="B2627" s="18">
        <f t="shared" si="288"/>
        <v>0</v>
      </c>
      <c r="C2627" s="10">
        <f t="shared" si="289"/>
        <v>0</v>
      </c>
      <c r="D2627" s="18">
        <f t="shared" si="290"/>
        <v>-1.5347750741057098E-8</v>
      </c>
      <c r="E2627" s="18">
        <f t="shared" si="291"/>
        <v>0</v>
      </c>
    </row>
    <row r="2628" spans="1:5">
      <c r="A2628" s="10">
        <f>59</f>
        <v>59</v>
      </c>
      <c r="B2628" s="18">
        <f t="shared" si="288"/>
        <v>0</v>
      </c>
      <c r="C2628" s="10">
        <f t="shared" si="289"/>
        <v>0</v>
      </c>
      <c r="D2628" s="18">
        <f t="shared" si="290"/>
        <v>-1.5347750741057098E-8</v>
      </c>
      <c r="E2628" s="18">
        <f t="shared" si="291"/>
        <v>0</v>
      </c>
    </row>
    <row r="2629" spans="1:5">
      <c r="A2629" s="10">
        <f>60</f>
        <v>60</v>
      </c>
      <c r="B2629" s="18">
        <f t="shared" si="288"/>
        <v>0</v>
      </c>
      <c r="C2629" s="10">
        <f t="shared" si="289"/>
        <v>0</v>
      </c>
      <c r="D2629" s="18">
        <f t="shared" si="290"/>
        <v>-1.5347750741057098E-8</v>
      </c>
      <c r="E2629" s="18">
        <f t="shared" si="291"/>
        <v>0</v>
      </c>
    </row>
    <row r="2630" spans="1:5">
      <c r="B2630" s="10">
        <f>SUM(C2570:C2629)</f>
        <v>40</v>
      </c>
    </row>
    <row r="2632" spans="1:5">
      <c r="A2632" s="2" t="s">
        <v>316</v>
      </c>
    </row>
    <row r="2634" spans="1:5">
      <c r="A2634" s="25" t="s">
        <v>262</v>
      </c>
      <c r="B2634" s="25" t="s">
        <v>263</v>
      </c>
      <c r="C2634" s="25" t="s">
        <v>305</v>
      </c>
      <c r="D2634" s="25" t="s">
        <v>264</v>
      </c>
      <c r="E2634" s="25" t="s">
        <v>265</v>
      </c>
    </row>
    <row r="2635" spans="1:5">
      <c r="A2635" s="3">
        <v>0</v>
      </c>
      <c r="C2635" s="10">
        <f>1</f>
        <v>1</v>
      </c>
      <c r="D2635" s="18">
        <f>MIN(1*$B$1105,$B$5)</f>
        <v>42002.308631517553</v>
      </c>
      <c r="E2635" s="18">
        <f>$B$5-D2635</f>
        <v>957997.69136848242</v>
      </c>
    </row>
    <row r="2636" spans="1:5">
      <c r="A2636" s="10">
        <f>1</f>
        <v>1</v>
      </c>
      <c r="B2636" s="18">
        <f t="shared" ref="B2636:B2667" si="292">IF(C2635=0,0,MIN(MAX(E2635,0),(($B$1105-MIN(MAX(D2635,0),$B$1105))+MAX(0,1*$B$1105-(D2635-MIN(MAX(D2635,0),$B$1105))))))</f>
        <v>42002.308631517553</v>
      </c>
      <c r="C2636" s="10">
        <f t="shared" ref="C2636:C2667" si="293">IF(AND(C2635=1,D2635+E2635&gt;0.000001,B2636&gt;=($B$1105-MIN(MAX(D2635,0),$B$1105))-0.000001),1,0)</f>
        <v>1</v>
      </c>
      <c r="D2636" s="18">
        <f t="shared" ref="D2636:D2667" si="294">IF(C2636=0,D2635,(D2635-$B$1105+B2636)*(1+$B$7))</f>
        <v>41851.100320444086</v>
      </c>
      <c r="E2636" s="18">
        <f t="shared" ref="E2636:E2667" si="295">IF(C2636=0,E2635,(E2635-B2636)*(1+$B$6))</f>
        <v>943475.24421907379</v>
      </c>
    </row>
    <row r="2637" spans="1:5">
      <c r="A2637" s="10">
        <f>2</f>
        <v>2</v>
      </c>
      <c r="B2637" s="18">
        <f t="shared" si="292"/>
        <v>42153.516942591021</v>
      </c>
      <c r="C2637" s="10">
        <f t="shared" si="293"/>
        <v>1</v>
      </c>
      <c r="D2637" s="18">
        <f t="shared" si="294"/>
        <v>41851.100320444086</v>
      </c>
      <c r="E2637" s="18">
        <f t="shared" si="295"/>
        <v>928361.37909477728</v>
      </c>
    </row>
    <row r="2638" spans="1:5">
      <c r="A2638" s="10">
        <f>3</f>
        <v>3</v>
      </c>
      <c r="B2638" s="18">
        <f t="shared" si="292"/>
        <v>42153.516942591021</v>
      </c>
      <c r="C2638" s="10">
        <f t="shared" si="293"/>
        <v>1</v>
      </c>
      <c r="D2638" s="18">
        <f t="shared" si="294"/>
        <v>41851.100320444086</v>
      </c>
      <c r="E2638" s="18">
        <f t="shared" si="295"/>
        <v>912794.09801675181</v>
      </c>
    </row>
    <row r="2639" spans="1:5">
      <c r="A2639" s="10">
        <f>4</f>
        <v>4</v>
      </c>
      <c r="B2639" s="18">
        <f t="shared" si="292"/>
        <v>42153.516942591021</v>
      </c>
      <c r="C2639" s="10">
        <f t="shared" si="293"/>
        <v>1</v>
      </c>
      <c r="D2639" s="18">
        <f t="shared" si="294"/>
        <v>41851.100320444086</v>
      </c>
      <c r="E2639" s="18">
        <f t="shared" si="295"/>
        <v>896759.79850638565</v>
      </c>
    </row>
    <row r="2640" spans="1:5">
      <c r="A2640" s="10">
        <f>5</f>
        <v>5</v>
      </c>
      <c r="B2640" s="18">
        <f t="shared" si="292"/>
        <v>42153.516942591021</v>
      </c>
      <c r="C2640" s="10">
        <f t="shared" si="293"/>
        <v>1</v>
      </c>
      <c r="D2640" s="18">
        <f t="shared" si="294"/>
        <v>41851.100320444086</v>
      </c>
      <c r="E2640" s="18">
        <f t="shared" si="295"/>
        <v>880244.47001070844</v>
      </c>
    </row>
    <row r="2641" spans="1:5">
      <c r="A2641" s="10">
        <f>6</f>
        <v>6</v>
      </c>
      <c r="B2641" s="18">
        <f t="shared" si="292"/>
        <v>42153.516942591021</v>
      </c>
      <c r="C2641" s="10">
        <f t="shared" si="293"/>
        <v>1</v>
      </c>
      <c r="D2641" s="18">
        <f t="shared" si="294"/>
        <v>41851.100320444086</v>
      </c>
      <c r="E2641" s="18">
        <f t="shared" si="295"/>
        <v>863233.68166016089</v>
      </c>
    </row>
    <row r="2642" spans="1:5">
      <c r="A2642" s="10">
        <f>7</f>
        <v>7</v>
      </c>
      <c r="B2642" s="18">
        <f t="shared" si="292"/>
        <v>42153.516942591021</v>
      </c>
      <c r="C2642" s="10">
        <f t="shared" si="293"/>
        <v>1</v>
      </c>
      <c r="D2642" s="18">
        <f t="shared" si="294"/>
        <v>41851.100320444086</v>
      </c>
      <c r="E2642" s="18">
        <f t="shared" si="295"/>
        <v>845712.569659097</v>
      </c>
    </row>
    <row r="2643" spans="1:5">
      <c r="A2643" s="10">
        <f>8</f>
        <v>8</v>
      </c>
      <c r="B2643" s="18">
        <f t="shared" si="292"/>
        <v>42153.516942591021</v>
      </c>
      <c r="C2643" s="10">
        <f t="shared" si="293"/>
        <v>1</v>
      </c>
      <c r="D2643" s="18">
        <f t="shared" si="294"/>
        <v>41851.100320444086</v>
      </c>
      <c r="E2643" s="18">
        <f t="shared" si="295"/>
        <v>827665.82429800113</v>
      </c>
    </row>
    <row r="2644" spans="1:5">
      <c r="A2644" s="10">
        <f>9</f>
        <v>9</v>
      </c>
      <c r="B2644" s="18">
        <f t="shared" si="292"/>
        <v>42153.516942591021</v>
      </c>
      <c r="C2644" s="10">
        <f t="shared" si="293"/>
        <v>1</v>
      </c>
      <c r="D2644" s="18">
        <f t="shared" si="294"/>
        <v>41851.100320444086</v>
      </c>
      <c r="E2644" s="18">
        <f t="shared" si="295"/>
        <v>809077.67657607235</v>
      </c>
    </row>
    <row r="2645" spans="1:5">
      <c r="A2645" s="10">
        <f>10</f>
        <v>10</v>
      </c>
      <c r="B2645" s="18">
        <f t="shared" si="292"/>
        <v>42153.516942591021</v>
      </c>
      <c r="C2645" s="10">
        <f t="shared" si="293"/>
        <v>1</v>
      </c>
      <c r="D2645" s="18">
        <f t="shared" si="294"/>
        <v>41851.100320444086</v>
      </c>
      <c r="E2645" s="18">
        <f t="shared" si="295"/>
        <v>789931.88442248572</v>
      </c>
    </row>
    <row r="2646" spans="1:5">
      <c r="A2646" s="10">
        <f>11</f>
        <v>11</v>
      </c>
      <c r="B2646" s="18">
        <f t="shared" si="292"/>
        <v>42153.516942591021</v>
      </c>
      <c r="C2646" s="10">
        <f t="shared" si="293"/>
        <v>1</v>
      </c>
      <c r="D2646" s="18">
        <f t="shared" si="294"/>
        <v>41851.100320444086</v>
      </c>
      <c r="E2646" s="18">
        <f t="shared" si="295"/>
        <v>770211.71850429149</v>
      </c>
    </row>
    <row r="2647" spans="1:5">
      <c r="A2647" s="10">
        <f>12</f>
        <v>12</v>
      </c>
      <c r="B2647" s="18">
        <f t="shared" si="292"/>
        <v>42153.516942591021</v>
      </c>
      <c r="C2647" s="10">
        <f t="shared" si="293"/>
        <v>1</v>
      </c>
      <c r="D2647" s="18">
        <f t="shared" si="294"/>
        <v>41851.100320444086</v>
      </c>
      <c r="E2647" s="18">
        <f t="shared" si="295"/>
        <v>749899.94760855148</v>
      </c>
    </row>
    <row r="2648" spans="1:5">
      <c r="A2648" s="10">
        <f>13</f>
        <v>13</v>
      </c>
      <c r="B2648" s="18">
        <f t="shared" si="292"/>
        <v>42153.516942591021</v>
      </c>
      <c r="C2648" s="10">
        <f t="shared" si="293"/>
        <v>1</v>
      </c>
      <c r="D2648" s="18">
        <f t="shared" si="294"/>
        <v>41851.100320444086</v>
      </c>
      <c r="E2648" s="18">
        <f t="shared" si="295"/>
        <v>728978.82358593924</v>
      </c>
    </row>
    <row r="2649" spans="1:5">
      <c r="A2649" s="10">
        <f>14</f>
        <v>14</v>
      </c>
      <c r="B2649" s="18">
        <f t="shared" si="292"/>
        <v>42153.516942591021</v>
      </c>
      <c r="C2649" s="10">
        <f t="shared" si="293"/>
        <v>1</v>
      </c>
      <c r="D2649" s="18">
        <f t="shared" si="294"/>
        <v>41851.100320444086</v>
      </c>
      <c r="E2649" s="18">
        <f t="shared" si="295"/>
        <v>707430.06584264862</v>
      </c>
    </row>
    <row r="2650" spans="1:5">
      <c r="A2650" s="10">
        <f>15</f>
        <v>15</v>
      </c>
      <c r="B2650" s="18">
        <f t="shared" si="292"/>
        <v>42153.516942591021</v>
      </c>
      <c r="C2650" s="10">
        <f t="shared" si="293"/>
        <v>1</v>
      </c>
      <c r="D2650" s="18">
        <f t="shared" si="294"/>
        <v>41851.100320444086</v>
      </c>
      <c r="E2650" s="18">
        <f t="shared" si="295"/>
        <v>685234.84536705934</v>
      </c>
    </row>
    <row r="2651" spans="1:5">
      <c r="A2651" s="10">
        <f>16</f>
        <v>16</v>
      </c>
      <c r="B2651" s="18">
        <f t="shared" si="292"/>
        <v>42153.516942591021</v>
      </c>
      <c r="C2651" s="10">
        <f t="shared" si="293"/>
        <v>1</v>
      </c>
      <c r="D2651" s="18">
        <f t="shared" si="294"/>
        <v>41851.100320444086</v>
      </c>
      <c r="E2651" s="18">
        <f t="shared" si="295"/>
        <v>662373.76827720238</v>
      </c>
    </row>
    <row r="2652" spans="1:5">
      <c r="A2652" s="10">
        <f>17</f>
        <v>17</v>
      </c>
      <c r="B2652" s="18">
        <f t="shared" si="292"/>
        <v>42153.516942591021</v>
      </c>
      <c r="C2652" s="10">
        <f t="shared" si="293"/>
        <v>1</v>
      </c>
      <c r="D2652" s="18">
        <f t="shared" si="294"/>
        <v>41851.100320444086</v>
      </c>
      <c r="E2652" s="18">
        <f t="shared" si="295"/>
        <v>638826.85887464974</v>
      </c>
    </row>
    <row r="2653" spans="1:5">
      <c r="A2653" s="10">
        <f>18</f>
        <v>18</v>
      </c>
      <c r="B2653" s="18">
        <f t="shared" si="292"/>
        <v>42153.516942591021</v>
      </c>
      <c r="C2653" s="10">
        <f t="shared" si="293"/>
        <v>1</v>
      </c>
      <c r="D2653" s="18">
        <f t="shared" si="294"/>
        <v>41851.100320444086</v>
      </c>
      <c r="E2653" s="18">
        <f t="shared" si="295"/>
        <v>614573.54219002044</v>
      </c>
    </row>
    <row r="2654" spans="1:5">
      <c r="A2654" s="10">
        <f>19</f>
        <v>19</v>
      </c>
      <c r="B2654" s="18">
        <f t="shared" si="292"/>
        <v>42153.516942591021</v>
      </c>
      <c r="C2654" s="10">
        <f t="shared" si="293"/>
        <v>1</v>
      </c>
      <c r="D2654" s="18">
        <f t="shared" si="294"/>
        <v>41851.100320444086</v>
      </c>
      <c r="E2654" s="18">
        <f t="shared" si="295"/>
        <v>589592.62600485224</v>
      </c>
    </row>
    <row r="2655" spans="1:5">
      <c r="A2655" s="10">
        <f>20</f>
        <v>20</v>
      </c>
      <c r="B2655" s="18">
        <f t="shared" si="292"/>
        <v>42153.516942591021</v>
      </c>
      <c r="C2655" s="10">
        <f t="shared" si="293"/>
        <v>1</v>
      </c>
      <c r="D2655" s="18">
        <f t="shared" si="294"/>
        <v>41851.100320444086</v>
      </c>
      <c r="E2655" s="18">
        <f t="shared" si="295"/>
        <v>563862.28233412898</v>
      </c>
    </row>
    <row r="2656" spans="1:5">
      <c r="A2656" s="10">
        <f>21</f>
        <v>21</v>
      </c>
      <c r="B2656" s="18">
        <f t="shared" si="292"/>
        <v>42153.516942591021</v>
      </c>
      <c r="C2656" s="10">
        <f t="shared" si="293"/>
        <v>1</v>
      </c>
      <c r="D2656" s="18">
        <f t="shared" si="294"/>
        <v>41851.100320444086</v>
      </c>
      <c r="E2656" s="18">
        <f t="shared" si="295"/>
        <v>537360.02835328411</v>
      </c>
    </row>
    <row r="2657" spans="1:5">
      <c r="A2657" s="10">
        <f>22</f>
        <v>22</v>
      </c>
      <c r="B2657" s="18">
        <f t="shared" si="292"/>
        <v>42153.516942591021</v>
      </c>
      <c r="C2657" s="10">
        <f t="shared" si="293"/>
        <v>1</v>
      </c>
      <c r="D2657" s="18">
        <f t="shared" si="294"/>
        <v>41851.100320444086</v>
      </c>
      <c r="E2657" s="18">
        <f t="shared" si="295"/>
        <v>510062.70675301395</v>
      </c>
    </row>
    <row r="2658" spans="1:5">
      <c r="A2658" s="10">
        <f>23</f>
        <v>23</v>
      </c>
      <c r="B2658" s="18">
        <f t="shared" si="292"/>
        <v>42153.516942591021</v>
      </c>
      <c r="C2658" s="10">
        <f t="shared" si="293"/>
        <v>1</v>
      </c>
      <c r="D2658" s="18">
        <f t="shared" si="294"/>
        <v>41851.100320444086</v>
      </c>
      <c r="E2658" s="18">
        <f t="shared" si="295"/>
        <v>481946.46550473565</v>
      </c>
    </row>
    <row r="2659" spans="1:5">
      <c r="A2659" s="10">
        <f>24</f>
        <v>24</v>
      </c>
      <c r="B2659" s="18">
        <f t="shared" si="292"/>
        <v>42153.516942591021</v>
      </c>
      <c r="C2659" s="10">
        <f t="shared" si="293"/>
        <v>1</v>
      </c>
      <c r="D2659" s="18">
        <f t="shared" si="294"/>
        <v>41851.100320444086</v>
      </c>
      <c r="E2659" s="18">
        <f t="shared" si="295"/>
        <v>452986.73701900902</v>
      </c>
    </row>
    <row r="2660" spans="1:5">
      <c r="A2660" s="10">
        <f>25</f>
        <v>25</v>
      </c>
      <c r="B2660" s="18">
        <f t="shared" si="292"/>
        <v>42153.516942591021</v>
      </c>
      <c r="C2660" s="10">
        <f t="shared" si="293"/>
        <v>1</v>
      </c>
      <c r="D2660" s="18">
        <f t="shared" si="294"/>
        <v>41851.100320444086</v>
      </c>
      <c r="E2660" s="18">
        <f t="shared" si="295"/>
        <v>423158.2166787106</v>
      </c>
    </row>
    <row r="2661" spans="1:5">
      <c r="A2661" s="10">
        <f>26</f>
        <v>26</v>
      </c>
      <c r="B2661" s="18">
        <f t="shared" si="292"/>
        <v>42153.516942591021</v>
      </c>
      <c r="C2661" s="10">
        <f t="shared" si="293"/>
        <v>1</v>
      </c>
      <c r="D2661" s="18">
        <f t="shared" si="294"/>
        <v>41851.100320444086</v>
      </c>
      <c r="E2661" s="18">
        <f t="shared" si="295"/>
        <v>392434.84072820318</v>
      </c>
    </row>
    <row r="2662" spans="1:5">
      <c r="A2662" s="10">
        <f>27</f>
        <v>27</v>
      </c>
      <c r="B2662" s="18">
        <f t="shared" si="292"/>
        <v>42153.516942591021</v>
      </c>
      <c r="C2662" s="10">
        <f t="shared" si="293"/>
        <v>1</v>
      </c>
      <c r="D2662" s="18">
        <f t="shared" si="294"/>
        <v>41851.100320444086</v>
      </c>
      <c r="E2662" s="18">
        <f t="shared" si="295"/>
        <v>360789.76349918055</v>
      </c>
    </row>
    <row r="2663" spans="1:5">
      <c r="A2663" s="10">
        <f>28</f>
        <v>28</v>
      </c>
      <c r="B2663" s="18">
        <f t="shared" si="292"/>
        <v>42153.516942591021</v>
      </c>
      <c r="C2663" s="10">
        <f t="shared" si="293"/>
        <v>1</v>
      </c>
      <c r="D2663" s="18">
        <f t="shared" si="294"/>
        <v>41851.100320444086</v>
      </c>
      <c r="E2663" s="18">
        <f t="shared" si="295"/>
        <v>328195.33395328728</v>
      </c>
    </row>
    <row r="2664" spans="1:5">
      <c r="A2664" s="10">
        <f>29</f>
        <v>29</v>
      </c>
      <c r="B2664" s="18">
        <f t="shared" si="292"/>
        <v>42153.516942591021</v>
      </c>
      <c r="C2664" s="10">
        <f t="shared" si="293"/>
        <v>1</v>
      </c>
      <c r="D2664" s="18">
        <f t="shared" si="294"/>
        <v>41851.100320444086</v>
      </c>
      <c r="E2664" s="18">
        <f t="shared" si="295"/>
        <v>294623.07152101718</v>
      </c>
    </row>
    <row r="2665" spans="1:5">
      <c r="A2665" s="10">
        <f>30</f>
        <v>30</v>
      </c>
      <c r="B2665" s="18">
        <f t="shared" si="292"/>
        <v>42153.516942591021</v>
      </c>
      <c r="C2665" s="10">
        <f t="shared" si="293"/>
        <v>1</v>
      </c>
      <c r="D2665" s="18">
        <f t="shared" si="294"/>
        <v>41851.100320444086</v>
      </c>
      <c r="E2665" s="18">
        <f t="shared" si="295"/>
        <v>260043.64121577895</v>
      </c>
    </row>
    <row r="2666" spans="1:5">
      <c r="A2666" s="10">
        <f>31</f>
        <v>31</v>
      </c>
      <c r="B2666" s="18">
        <f t="shared" si="292"/>
        <v>42153.516942591021</v>
      </c>
      <c r="C2666" s="10">
        <f t="shared" si="293"/>
        <v>1</v>
      </c>
      <c r="D2666" s="18">
        <f t="shared" si="294"/>
        <v>41851.100320444086</v>
      </c>
      <c r="E2666" s="18">
        <f t="shared" si="295"/>
        <v>224426.82800138355</v>
      </c>
    </row>
    <row r="2667" spans="1:5">
      <c r="A2667" s="10">
        <f>32</f>
        <v>32</v>
      </c>
      <c r="B2667" s="18">
        <f t="shared" si="292"/>
        <v>42153.516942591021</v>
      </c>
      <c r="C2667" s="10">
        <f t="shared" si="293"/>
        <v>1</v>
      </c>
      <c r="D2667" s="18">
        <f t="shared" si="294"/>
        <v>41851.100320444086</v>
      </c>
      <c r="E2667" s="18">
        <f t="shared" si="295"/>
        <v>187741.5103905563</v>
      </c>
    </row>
    <row r="2668" spans="1:5">
      <c r="A2668" s="10">
        <f>33</f>
        <v>33</v>
      </c>
      <c r="B2668" s="18">
        <f t="shared" ref="B2668:B2695" si="296">IF(C2667=0,0,MIN(MAX(E2667,0),(($B$1105-MIN(MAX(D2667,0),$B$1105))+MAX(0,1*$B$1105-(D2667-MIN(MAX(D2667,0),$B$1105))))))</f>
        <v>42153.516942591021</v>
      </c>
      <c r="C2668" s="10">
        <f t="shared" ref="C2668:C2699" si="297">IF(AND(C2667=1,D2667+E2667&gt;0.000001,B2668&gt;=($B$1105-MIN(MAX(D2667,0),$B$1105))-0.000001),1,0)</f>
        <v>1</v>
      </c>
      <c r="D2668" s="18">
        <f t="shared" ref="D2668:D2699" si="298">IF(C2668=0,D2667,(D2667-$B$1105+B2668)*(1+$B$7))</f>
        <v>41851.100320444086</v>
      </c>
      <c r="E2668" s="18">
        <f t="shared" ref="E2668:E2695" si="299">IF(C2668=0,E2667,(E2667-B2668)*(1+$B$6))</f>
        <v>149955.63325140424</v>
      </c>
    </row>
    <row r="2669" spans="1:5">
      <c r="A2669" s="10">
        <f>34</f>
        <v>34</v>
      </c>
      <c r="B2669" s="18">
        <f t="shared" si="296"/>
        <v>42153.516942591021</v>
      </c>
      <c r="C2669" s="10">
        <f t="shared" si="297"/>
        <v>1</v>
      </c>
      <c r="D2669" s="18">
        <f t="shared" si="298"/>
        <v>41851.100320444086</v>
      </c>
      <c r="E2669" s="18">
        <f t="shared" si="299"/>
        <v>111036.17979807762</v>
      </c>
    </row>
    <row r="2670" spans="1:5">
      <c r="A2670" s="10">
        <f>35</f>
        <v>35</v>
      </c>
      <c r="B2670" s="18">
        <f t="shared" si="296"/>
        <v>42153.516942591021</v>
      </c>
      <c r="C2670" s="10">
        <f t="shared" si="297"/>
        <v>1</v>
      </c>
      <c r="D2670" s="18">
        <f t="shared" si="298"/>
        <v>41851.100320444086</v>
      </c>
      <c r="E2670" s="18">
        <f t="shared" si="299"/>
        <v>70949.142741151183</v>
      </c>
    </row>
    <row r="2671" spans="1:5">
      <c r="A2671" s="10">
        <f>36</f>
        <v>36</v>
      </c>
      <c r="B2671" s="18">
        <f t="shared" si="296"/>
        <v>42153.516942591021</v>
      </c>
      <c r="C2671" s="10">
        <f t="shared" si="297"/>
        <v>1</v>
      </c>
      <c r="D2671" s="18">
        <f t="shared" si="298"/>
        <v>41851.100320444086</v>
      </c>
      <c r="E2671" s="18">
        <f t="shared" si="299"/>
        <v>29659.494572516967</v>
      </c>
    </row>
    <row r="2672" spans="1:5">
      <c r="A2672" s="10">
        <f>37</f>
        <v>37</v>
      </c>
      <c r="B2672" s="18">
        <f t="shared" si="296"/>
        <v>29659.494572516967</v>
      </c>
      <c r="C2672" s="10">
        <f t="shared" si="297"/>
        <v>1</v>
      </c>
      <c r="D2672" s="18">
        <f t="shared" si="298"/>
        <v>29402.056430902303</v>
      </c>
      <c r="E2672" s="18">
        <f t="shared" si="299"/>
        <v>0</v>
      </c>
    </row>
    <row r="2673" spans="1:5">
      <c r="A2673" s="10">
        <f>38</f>
        <v>38</v>
      </c>
      <c r="B2673" s="18">
        <f t="shared" si="296"/>
        <v>0</v>
      </c>
      <c r="C2673" s="10">
        <f t="shared" si="297"/>
        <v>0</v>
      </c>
      <c r="D2673" s="18">
        <f t="shared" si="298"/>
        <v>29402.056430902303</v>
      </c>
      <c r="E2673" s="18">
        <f t="shared" si="299"/>
        <v>0</v>
      </c>
    </row>
    <row r="2674" spans="1:5">
      <c r="A2674" s="10">
        <f>39</f>
        <v>39</v>
      </c>
      <c r="B2674" s="18">
        <f t="shared" si="296"/>
        <v>0</v>
      </c>
      <c r="C2674" s="10">
        <f t="shared" si="297"/>
        <v>0</v>
      </c>
      <c r="D2674" s="18">
        <f t="shared" si="298"/>
        <v>29402.056430902303</v>
      </c>
      <c r="E2674" s="18">
        <f t="shared" si="299"/>
        <v>0</v>
      </c>
    </row>
    <row r="2675" spans="1:5">
      <c r="A2675" s="10">
        <f>40</f>
        <v>40</v>
      </c>
      <c r="B2675" s="18">
        <f t="shared" si="296"/>
        <v>0</v>
      </c>
      <c r="C2675" s="10">
        <f t="shared" si="297"/>
        <v>0</v>
      </c>
      <c r="D2675" s="18">
        <f t="shared" si="298"/>
        <v>29402.056430902303</v>
      </c>
      <c r="E2675" s="18">
        <f t="shared" si="299"/>
        <v>0</v>
      </c>
    </row>
    <row r="2676" spans="1:5">
      <c r="A2676" s="10">
        <f>41</f>
        <v>41</v>
      </c>
      <c r="B2676" s="18">
        <f t="shared" si="296"/>
        <v>0</v>
      </c>
      <c r="C2676" s="10">
        <f t="shared" si="297"/>
        <v>0</v>
      </c>
      <c r="D2676" s="18">
        <f t="shared" si="298"/>
        <v>29402.056430902303</v>
      </c>
      <c r="E2676" s="18">
        <f t="shared" si="299"/>
        <v>0</v>
      </c>
    </row>
    <row r="2677" spans="1:5">
      <c r="A2677" s="10">
        <f>42</f>
        <v>42</v>
      </c>
      <c r="B2677" s="18">
        <f t="shared" si="296"/>
        <v>0</v>
      </c>
      <c r="C2677" s="10">
        <f t="shared" si="297"/>
        <v>0</v>
      </c>
      <c r="D2677" s="18">
        <f t="shared" si="298"/>
        <v>29402.056430902303</v>
      </c>
      <c r="E2677" s="18">
        <f t="shared" si="299"/>
        <v>0</v>
      </c>
    </row>
    <row r="2678" spans="1:5">
      <c r="A2678" s="10">
        <f>43</f>
        <v>43</v>
      </c>
      <c r="B2678" s="18">
        <f t="shared" si="296"/>
        <v>0</v>
      </c>
      <c r="C2678" s="10">
        <f t="shared" si="297"/>
        <v>0</v>
      </c>
      <c r="D2678" s="18">
        <f t="shared" si="298"/>
        <v>29402.056430902303</v>
      </c>
      <c r="E2678" s="18">
        <f t="shared" si="299"/>
        <v>0</v>
      </c>
    </row>
    <row r="2679" spans="1:5">
      <c r="A2679" s="10">
        <f>44</f>
        <v>44</v>
      </c>
      <c r="B2679" s="18">
        <f t="shared" si="296"/>
        <v>0</v>
      </c>
      <c r="C2679" s="10">
        <f t="shared" si="297"/>
        <v>0</v>
      </c>
      <c r="D2679" s="18">
        <f t="shared" si="298"/>
        <v>29402.056430902303</v>
      </c>
      <c r="E2679" s="18">
        <f t="shared" si="299"/>
        <v>0</v>
      </c>
    </row>
    <row r="2680" spans="1:5">
      <c r="A2680" s="10">
        <f>45</f>
        <v>45</v>
      </c>
      <c r="B2680" s="18">
        <f t="shared" si="296"/>
        <v>0</v>
      </c>
      <c r="C2680" s="10">
        <f t="shared" si="297"/>
        <v>0</v>
      </c>
      <c r="D2680" s="18">
        <f t="shared" si="298"/>
        <v>29402.056430902303</v>
      </c>
      <c r="E2680" s="18">
        <f t="shared" si="299"/>
        <v>0</v>
      </c>
    </row>
    <row r="2681" spans="1:5">
      <c r="A2681" s="10">
        <f>46</f>
        <v>46</v>
      </c>
      <c r="B2681" s="18">
        <f t="shared" si="296"/>
        <v>0</v>
      </c>
      <c r="C2681" s="10">
        <f t="shared" si="297"/>
        <v>0</v>
      </c>
      <c r="D2681" s="18">
        <f t="shared" si="298"/>
        <v>29402.056430902303</v>
      </c>
      <c r="E2681" s="18">
        <f t="shared" si="299"/>
        <v>0</v>
      </c>
    </row>
    <row r="2682" spans="1:5">
      <c r="A2682" s="10">
        <f>47</f>
        <v>47</v>
      </c>
      <c r="B2682" s="18">
        <f t="shared" si="296"/>
        <v>0</v>
      </c>
      <c r="C2682" s="10">
        <f t="shared" si="297"/>
        <v>0</v>
      </c>
      <c r="D2682" s="18">
        <f t="shared" si="298"/>
        <v>29402.056430902303</v>
      </c>
      <c r="E2682" s="18">
        <f t="shared" si="299"/>
        <v>0</v>
      </c>
    </row>
    <row r="2683" spans="1:5">
      <c r="A2683" s="10">
        <f>48</f>
        <v>48</v>
      </c>
      <c r="B2683" s="18">
        <f t="shared" si="296"/>
        <v>0</v>
      </c>
      <c r="C2683" s="10">
        <f t="shared" si="297"/>
        <v>0</v>
      </c>
      <c r="D2683" s="18">
        <f t="shared" si="298"/>
        <v>29402.056430902303</v>
      </c>
      <c r="E2683" s="18">
        <f t="shared" si="299"/>
        <v>0</v>
      </c>
    </row>
    <row r="2684" spans="1:5">
      <c r="A2684" s="10">
        <f>49</f>
        <v>49</v>
      </c>
      <c r="B2684" s="18">
        <f t="shared" si="296"/>
        <v>0</v>
      </c>
      <c r="C2684" s="10">
        <f t="shared" si="297"/>
        <v>0</v>
      </c>
      <c r="D2684" s="18">
        <f t="shared" si="298"/>
        <v>29402.056430902303</v>
      </c>
      <c r="E2684" s="18">
        <f t="shared" si="299"/>
        <v>0</v>
      </c>
    </row>
    <row r="2685" spans="1:5">
      <c r="A2685" s="10">
        <f>50</f>
        <v>50</v>
      </c>
      <c r="B2685" s="18">
        <f t="shared" si="296"/>
        <v>0</v>
      </c>
      <c r="C2685" s="10">
        <f t="shared" si="297"/>
        <v>0</v>
      </c>
      <c r="D2685" s="18">
        <f t="shared" si="298"/>
        <v>29402.056430902303</v>
      </c>
      <c r="E2685" s="18">
        <f t="shared" si="299"/>
        <v>0</v>
      </c>
    </row>
    <row r="2686" spans="1:5">
      <c r="A2686" s="10">
        <f>51</f>
        <v>51</v>
      </c>
      <c r="B2686" s="18">
        <f t="shared" si="296"/>
        <v>0</v>
      </c>
      <c r="C2686" s="10">
        <f t="shared" si="297"/>
        <v>0</v>
      </c>
      <c r="D2686" s="18">
        <f t="shared" si="298"/>
        <v>29402.056430902303</v>
      </c>
      <c r="E2686" s="18">
        <f t="shared" si="299"/>
        <v>0</v>
      </c>
    </row>
    <row r="2687" spans="1:5">
      <c r="A2687" s="10">
        <f>52</f>
        <v>52</v>
      </c>
      <c r="B2687" s="18">
        <f t="shared" si="296"/>
        <v>0</v>
      </c>
      <c r="C2687" s="10">
        <f t="shared" si="297"/>
        <v>0</v>
      </c>
      <c r="D2687" s="18">
        <f t="shared" si="298"/>
        <v>29402.056430902303</v>
      </c>
      <c r="E2687" s="18">
        <f t="shared" si="299"/>
        <v>0</v>
      </c>
    </row>
    <row r="2688" spans="1:5">
      <c r="A2688" s="10">
        <f>53</f>
        <v>53</v>
      </c>
      <c r="B2688" s="18">
        <f t="shared" si="296"/>
        <v>0</v>
      </c>
      <c r="C2688" s="10">
        <f t="shared" si="297"/>
        <v>0</v>
      </c>
      <c r="D2688" s="18">
        <f t="shared" si="298"/>
        <v>29402.056430902303</v>
      </c>
      <c r="E2688" s="18">
        <f t="shared" si="299"/>
        <v>0</v>
      </c>
    </row>
    <row r="2689" spans="1:5">
      <c r="A2689" s="10">
        <f>54</f>
        <v>54</v>
      </c>
      <c r="B2689" s="18">
        <f t="shared" si="296"/>
        <v>0</v>
      </c>
      <c r="C2689" s="10">
        <f t="shared" si="297"/>
        <v>0</v>
      </c>
      <c r="D2689" s="18">
        <f t="shared" si="298"/>
        <v>29402.056430902303</v>
      </c>
      <c r="E2689" s="18">
        <f t="shared" si="299"/>
        <v>0</v>
      </c>
    </row>
    <row r="2690" spans="1:5">
      <c r="A2690" s="10">
        <f>55</f>
        <v>55</v>
      </c>
      <c r="B2690" s="18">
        <f t="shared" si="296"/>
        <v>0</v>
      </c>
      <c r="C2690" s="10">
        <f t="shared" si="297"/>
        <v>0</v>
      </c>
      <c r="D2690" s="18">
        <f t="shared" si="298"/>
        <v>29402.056430902303</v>
      </c>
      <c r="E2690" s="18">
        <f t="shared" si="299"/>
        <v>0</v>
      </c>
    </row>
    <row r="2691" spans="1:5">
      <c r="A2691" s="10">
        <f>56</f>
        <v>56</v>
      </c>
      <c r="B2691" s="18">
        <f t="shared" si="296"/>
        <v>0</v>
      </c>
      <c r="C2691" s="10">
        <f t="shared" si="297"/>
        <v>0</v>
      </c>
      <c r="D2691" s="18">
        <f t="shared" si="298"/>
        <v>29402.056430902303</v>
      </c>
      <c r="E2691" s="18">
        <f t="shared" si="299"/>
        <v>0</v>
      </c>
    </row>
    <row r="2692" spans="1:5">
      <c r="A2692" s="10">
        <f>57</f>
        <v>57</v>
      </c>
      <c r="B2692" s="18">
        <f t="shared" si="296"/>
        <v>0</v>
      </c>
      <c r="C2692" s="10">
        <f t="shared" si="297"/>
        <v>0</v>
      </c>
      <c r="D2692" s="18">
        <f t="shared" si="298"/>
        <v>29402.056430902303</v>
      </c>
      <c r="E2692" s="18">
        <f t="shared" si="299"/>
        <v>0</v>
      </c>
    </row>
    <row r="2693" spans="1:5">
      <c r="A2693" s="10">
        <f>58</f>
        <v>58</v>
      </c>
      <c r="B2693" s="18">
        <f t="shared" si="296"/>
        <v>0</v>
      </c>
      <c r="C2693" s="10">
        <f t="shared" si="297"/>
        <v>0</v>
      </c>
      <c r="D2693" s="18">
        <f t="shared" si="298"/>
        <v>29402.056430902303</v>
      </c>
      <c r="E2693" s="18">
        <f t="shared" si="299"/>
        <v>0</v>
      </c>
    </row>
    <row r="2694" spans="1:5">
      <c r="A2694" s="10">
        <f>59</f>
        <v>59</v>
      </c>
      <c r="B2694" s="18">
        <f t="shared" si="296"/>
        <v>0</v>
      </c>
      <c r="C2694" s="10">
        <f t="shared" si="297"/>
        <v>0</v>
      </c>
      <c r="D2694" s="18">
        <f t="shared" si="298"/>
        <v>29402.056430902303</v>
      </c>
      <c r="E2694" s="18">
        <f t="shared" si="299"/>
        <v>0</v>
      </c>
    </row>
    <row r="2695" spans="1:5">
      <c r="A2695" s="10">
        <f>60</f>
        <v>60</v>
      </c>
      <c r="B2695" s="18">
        <f t="shared" si="296"/>
        <v>0</v>
      </c>
      <c r="C2695" s="10">
        <f t="shared" si="297"/>
        <v>0</v>
      </c>
      <c r="D2695" s="18">
        <f t="shared" si="298"/>
        <v>29402.056430902303</v>
      </c>
      <c r="E2695" s="18">
        <f t="shared" si="299"/>
        <v>0</v>
      </c>
    </row>
    <row r="2696" spans="1:5">
      <c r="B2696" s="10">
        <f>SUM(C2636:C2695)</f>
        <v>37</v>
      </c>
    </row>
    <row r="2698" spans="1:5">
      <c r="A2698" s="2" t="s">
        <v>317</v>
      </c>
    </row>
    <row r="2700" spans="1:5">
      <c r="A2700" s="25" t="s">
        <v>262</v>
      </c>
      <c r="B2700" s="25" t="s">
        <v>263</v>
      </c>
      <c r="C2700" s="25" t="s">
        <v>305</v>
      </c>
      <c r="D2700" s="25" t="s">
        <v>264</v>
      </c>
      <c r="E2700" s="25" t="s">
        <v>265</v>
      </c>
    </row>
    <row r="2701" spans="1:5">
      <c r="A2701" s="3">
        <v>0</v>
      </c>
      <c r="C2701" s="10">
        <f>1</f>
        <v>1</v>
      </c>
      <c r="D2701" s="18">
        <f>MIN(2*$B$1105,$B$5)</f>
        <v>84004.617263035107</v>
      </c>
      <c r="E2701" s="18">
        <f>$B$5-D2701</f>
        <v>915995.38273696485</v>
      </c>
    </row>
    <row r="2702" spans="1:5">
      <c r="A2702" s="10">
        <f>1</f>
        <v>1</v>
      </c>
      <c r="B2702" s="18">
        <f t="shared" ref="B2702:B2733" si="300">IF(C2701=0,0,MIN(MAX(E2701,0),(($B$1105-MIN(MAX(D2701,0),$B$1105))+MAX(0,2*$B$1105-(D2701-MIN(MAX(D2701,0),$B$1105))))))</f>
        <v>42002.308631517553</v>
      </c>
      <c r="C2702" s="10">
        <f t="shared" ref="C2702:C2733" si="301">IF(AND(C2701=1,D2701+E2701&gt;0.000001,B2702&gt;=($B$1105-MIN(MAX(D2701,0),$B$1105))-0.000001),1,0)</f>
        <v>1</v>
      </c>
      <c r="D2702" s="18">
        <f t="shared" ref="D2702:D2733" si="302">IF(C2702=0,D2701,(D2701-$B$1105+B2702)*(1+$B$7))</f>
        <v>83702.200640888172</v>
      </c>
      <c r="E2702" s="18">
        <f t="shared" ref="E2702:E2733" si="303">IF(C2702=0,E2701,(E2701-B2702)*(1+$B$6))</f>
        <v>900212.86632861069</v>
      </c>
    </row>
    <row r="2703" spans="1:5">
      <c r="A2703" s="10">
        <f>2</f>
        <v>2</v>
      </c>
      <c r="B2703" s="18">
        <f t="shared" si="300"/>
        <v>42304.725253664488</v>
      </c>
      <c r="C2703" s="10">
        <f t="shared" si="301"/>
        <v>1</v>
      </c>
      <c r="D2703" s="18">
        <f t="shared" si="302"/>
        <v>83702.200640888172</v>
      </c>
      <c r="E2703" s="18">
        <f t="shared" si="303"/>
        <v>883645.38530719455</v>
      </c>
    </row>
    <row r="2704" spans="1:5">
      <c r="A2704" s="10">
        <f>3</f>
        <v>3</v>
      </c>
      <c r="B2704" s="18">
        <f t="shared" si="300"/>
        <v>42304.725253664488</v>
      </c>
      <c r="C2704" s="10">
        <f t="shared" si="301"/>
        <v>1</v>
      </c>
      <c r="D2704" s="18">
        <f t="shared" si="302"/>
        <v>83702.200640888172</v>
      </c>
      <c r="E2704" s="18">
        <f t="shared" si="303"/>
        <v>866580.87985513592</v>
      </c>
    </row>
    <row r="2705" spans="1:5">
      <c r="A2705" s="10">
        <f>4</f>
        <v>4</v>
      </c>
      <c r="B2705" s="18">
        <f t="shared" si="300"/>
        <v>42304.725253664488</v>
      </c>
      <c r="C2705" s="10">
        <f t="shared" si="301"/>
        <v>1</v>
      </c>
      <c r="D2705" s="18">
        <f t="shared" si="302"/>
        <v>83702.200640888172</v>
      </c>
      <c r="E2705" s="18">
        <f t="shared" si="303"/>
        <v>849004.43923951557</v>
      </c>
    </row>
    <row r="2706" spans="1:5">
      <c r="A2706" s="10">
        <f>5</f>
        <v>5</v>
      </c>
      <c r="B2706" s="18">
        <f t="shared" si="300"/>
        <v>42304.725253664488</v>
      </c>
      <c r="C2706" s="10">
        <f t="shared" si="301"/>
        <v>1</v>
      </c>
      <c r="D2706" s="18">
        <f t="shared" si="302"/>
        <v>83702.200640888172</v>
      </c>
      <c r="E2706" s="18">
        <f t="shared" si="303"/>
        <v>830900.70540542656</v>
      </c>
    </row>
    <row r="2707" spans="1:5">
      <c r="A2707" s="10">
        <f>6</f>
        <v>6</v>
      </c>
      <c r="B2707" s="18">
        <f t="shared" si="300"/>
        <v>42304.725253664488</v>
      </c>
      <c r="C2707" s="10">
        <f t="shared" si="301"/>
        <v>1</v>
      </c>
      <c r="D2707" s="18">
        <f t="shared" si="302"/>
        <v>83702.200640888172</v>
      </c>
      <c r="E2707" s="18">
        <f t="shared" si="303"/>
        <v>812253.85955631488</v>
      </c>
    </row>
    <row r="2708" spans="1:5">
      <c r="A2708" s="10">
        <f>7</f>
        <v>7</v>
      </c>
      <c r="B2708" s="18">
        <f t="shared" si="300"/>
        <v>42304.725253664488</v>
      </c>
      <c r="C2708" s="10">
        <f t="shared" si="301"/>
        <v>1</v>
      </c>
      <c r="D2708" s="18">
        <f t="shared" si="302"/>
        <v>83702.200640888172</v>
      </c>
      <c r="E2708" s="18">
        <f t="shared" si="303"/>
        <v>793047.60833172989</v>
      </c>
    </row>
    <row r="2709" spans="1:5">
      <c r="A2709" s="10">
        <f>8</f>
        <v>8</v>
      </c>
      <c r="B2709" s="18">
        <f t="shared" si="300"/>
        <v>42304.725253664488</v>
      </c>
      <c r="C2709" s="10">
        <f t="shared" si="301"/>
        <v>1</v>
      </c>
      <c r="D2709" s="18">
        <f t="shared" si="302"/>
        <v>83702.200640888172</v>
      </c>
      <c r="E2709" s="18">
        <f t="shared" si="303"/>
        <v>773265.16957040736</v>
      </c>
    </row>
    <row r="2710" spans="1:5">
      <c r="A2710" s="10">
        <f>9</f>
        <v>9</v>
      </c>
      <c r="B2710" s="18">
        <f t="shared" si="300"/>
        <v>42304.725253664488</v>
      </c>
      <c r="C2710" s="10">
        <f t="shared" si="301"/>
        <v>1</v>
      </c>
      <c r="D2710" s="18">
        <f t="shared" si="302"/>
        <v>83702.200640888172</v>
      </c>
      <c r="E2710" s="18">
        <f t="shared" si="303"/>
        <v>752889.25764624518</v>
      </c>
    </row>
    <row r="2711" spans="1:5">
      <c r="A2711" s="10">
        <f>10</f>
        <v>10</v>
      </c>
      <c r="B2711" s="18">
        <f t="shared" si="300"/>
        <v>42304.725253664488</v>
      </c>
      <c r="C2711" s="10">
        <f t="shared" si="301"/>
        <v>1</v>
      </c>
      <c r="D2711" s="18">
        <f t="shared" si="302"/>
        <v>83702.200640888172</v>
      </c>
      <c r="E2711" s="18">
        <f t="shared" si="303"/>
        <v>731902.06836435804</v>
      </c>
    </row>
    <row r="2712" spans="1:5">
      <c r="A2712" s="10">
        <f>11</f>
        <v>11</v>
      </c>
      <c r="B2712" s="18">
        <f t="shared" si="300"/>
        <v>42304.725253664488</v>
      </c>
      <c r="C2712" s="10">
        <f t="shared" si="301"/>
        <v>1</v>
      </c>
      <c r="D2712" s="18">
        <f t="shared" si="302"/>
        <v>83702.200640888172</v>
      </c>
      <c r="E2712" s="18">
        <f t="shared" si="303"/>
        <v>710285.26340401429</v>
      </c>
    </row>
    <row r="2713" spans="1:5">
      <c r="A2713" s="10">
        <f>12</f>
        <v>12</v>
      </c>
      <c r="B2713" s="18">
        <f t="shared" si="300"/>
        <v>42304.725253664488</v>
      </c>
      <c r="C2713" s="10">
        <f t="shared" si="301"/>
        <v>1</v>
      </c>
      <c r="D2713" s="18">
        <f t="shared" si="302"/>
        <v>83702.200640888172</v>
      </c>
      <c r="E2713" s="18">
        <f t="shared" si="303"/>
        <v>688019.95429486025</v>
      </c>
    </row>
    <row r="2714" spans="1:5">
      <c r="A2714" s="10">
        <f>13</f>
        <v>13</v>
      </c>
      <c r="B2714" s="18">
        <f t="shared" si="300"/>
        <v>42304.725253664488</v>
      </c>
      <c r="C2714" s="10">
        <f t="shared" si="301"/>
        <v>1</v>
      </c>
      <c r="D2714" s="18">
        <f t="shared" si="302"/>
        <v>83702.200640888172</v>
      </c>
      <c r="E2714" s="18">
        <f t="shared" si="303"/>
        <v>665086.68591243157</v>
      </c>
    </row>
    <row r="2715" spans="1:5">
      <c r="A2715" s="10">
        <f>14</f>
        <v>14</v>
      </c>
      <c r="B2715" s="18">
        <f t="shared" si="300"/>
        <v>42304.725253664488</v>
      </c>
      <c r="C2715" s="10">
        <f t="shared" si="301"/>
        <v>1</v>
      </c>
      <c r="D2715" s="18">
        <f t="shared" si="302"/>
        <v>83702.200640888172</v>
      </c>
      <c r="E2715" s="18">
        <f t="shared" si="303"/>
        <v>641465.41947853006</v>
      </c>
    </row>
    <row r="2716" spans="1:5">
      <c r="A2716" s="10">
        <f>15</f>
        <v>15</v>
      </c>
      <c r="B2716" s="18">
        <f t="shared" si="300"/>
        <v>42304.725253664488</v>
      </c>
      <c r="C2716" s="10">
        <f t="shared" si="301"/>
        <v>1</v>
      </c>
      <c r="D2716" s="18">
        <f t="shared" si="302"/>
        <v>83702.200640888172</v>
      </c>
      <c r="E2716" s="18">
        <f t="shared" si="303"/>
        <v>617135.51505161147</v>
      </c>
    </row>
    <row r="2717" spans="1:5">
      <c r="A2717" s="10">
        <f>16</f>
        <v>16</v>
      </c>
      <c r="B2717" s="18">
        <f t="shared" si="300"/>
        <v>42304.725253664488</v>
      </c>
      <c r="C2717" s="10">
        <f t="shared" si="301"/>
        <v>1</v>
      </c>
      <c r="D2717" s="18">
        <f t="shared" si="302"/>
        <v>83702.200640888172</v>
      </c>
      <c r="E2717" s="18">
        <f t="shared" si="303"/>
        <v>592075.71349188534</v>
      </c>
    </row>
    <row r="2718" spans="1:5">
      <c r="A2718" s="10">
        <f>17</f>
        <v>17</v>
      </c>
      <c r="B2718" s="18">
        <f t="shared" si="300"/>
        <v>42304.725253664488</v>
      </c>
      <c r="C2718" s="10">
        <f t="shared" si="301"/>
        <v>1</v>
      </c>
      <c r="D2718" s="18">
        <f t="shared" si="302"/>
        <v>83702.200640888172</v>
      </c>
      <c r="E2718" s="18">
        <f t="shared" si="303"/>
        <v>566264.11788536748</v>
      </c>
    </row>
    <row r="2719" spans="1:5">
      <c r="A2719" s="10">
        <f>18</f>
        <v>18</v>
      </c>
      <c r="B2719" s="18">
        <f t="shared" si="300"/>
        <v>42304.725253664488</v>
      </c>
      <c r="C2719" s="10">
        <f t="shared" si="301"/>
        <v>1</v>
      </c>
      <c r="D2719" s="18">
        <f t="shared" si="302"/>
        <v>83702.200640888172</v>
      </c>
      <c r="E2719" s="18">
        <f t="shared" si="303"/>
        <v>539678.17441065412</v>
      </c>
    </row>
    <row r="2720" spans="1:5">
      <c r="A2720" s="10">
        <f>19</f>
        <v>19</v>
      </c>
      <c r="B2720" s="18">
        <f t="shared" si="300"/>
        <v>42304.725253664488</v>
      </c>
      <c r="C2720" s="10">
        <f t="shared" si="301"/>
        <v>1</v>
      </c>
      <c r="D2720" s="18">
        <f t="shared" si="302"/>
        <v>83702.200640888172</v>
      </c>
      <c r="E2720" s="18">
        <f t="shared" si="303"/>
        <v>512294.65263169934</v>
      </c>
    </row>
    <row r="2721" spans="1:5">
      <c r="A2721" s="10">
        <f>20</f>
        <v>20</v>
      </c>
      <c r="B2721" s="18">
        <f t="shared" si="300"/>
        <v>42304.725253664488</v>
      </c>
      <c r="C2721" s="10">
        <f t="shared" si="301"/>
        <v>1</v>
      </c>
      <c r="D2721" s="18">
        <f t="shared" si="302"/>
        <v>83702.200640888172</v>
      </c>
      <c r="E2721" s="18">
        <f t="shared" si="303"/>
        <v>484089.62519937591</v>
      </c>
    </row>
    <row r="2722" spans="1:5">
      <c r="A2722" s="10">
        <f>21</f>
        <v>21</v>
      </c>
      <c r="B2722" s="18">
        <f t="shared" si="300"/>
        <v>42304.725253664488</v>
      </c>
      <c r="C2722" s="10">
        <f t="shared" si="301"/>
        <v>1</v>
      </c>
      <c r="D2722" s="18">
        <f t="shared" si="302"/>
        <v>83702.200640888172</v>
      </c>
      <c r="E2722" s="18">
        <f t="shared" si="303"/>
        <v>455038.4469440828</v>
      </c>
    </row>
    <row r="2723" spans="1:5">
      <c r="A2723" s="10">
        <f>22</f>
        <v>22</v>
      </c>
      <c r="B2723" s="18">
        <f t="shared" si="300"/>
        <v>42304.725253664488</v>
      </c>
      <c r="C2723" s="10">
        <f t="shared" si="301"/>
        <v>1</v>
      </c>
      <c r="D2723" s="18">
        <f t="shared" si="302"/>
        <v>83702.200640888172</v>
      </c>
      <c r="E2723" s="18">
        <f t="shared" si="303"/>
        <v>425115.73334113089</v>
      </c>
    </row>
    <row r="2724" spans="1:5">
      <c r="A2724" s="10">
        <f>23</f>
        <v>23</v>
      </c>
      <c r="B2724" s="18">
        <f t="shared" si="300"/>
        <v>42304.725253664488</v>
      </c>
      <c r="C2724" s="10">
        <f t="shared" si="301"/>
        <v>1</v>
      </c>
      <c r="D2724" s="18">
        <f t="shared" si="302"/>
        <v>83702.200640888172</v>
      </c>
      <c r="E2724" s="18">
        <f t="shared" si="303"/>
        <v>394295.3383300904</v>
      </c>
    </row>
    <row r="2725" spans="1:5">
      <c r="A2725" s="10">
        <f>24</f>
        <v>24</v>
      </c>
      <c r="B2725" s="18">
        <f t="shared" si="300"/>
        <v>42304.725253664488</v>
      </c>
      <c r="C2725" s="10">
        <f t="shared" si="301"/>
        <v>1</v>
      </c>
      <c r="D2725" s="18">
        <f t="shared" si="302"/>
        <v>83702.200640888172</v>
      </c>
      <c r="E2725" s="18">
        <f t="shared" si="303"/>
        <v>362550.33146871871</v>
      </c>
    </row>
    <row r="2726" spans="1:5">
      <c r="A2726" s="10">
        <f>25</f>
        <v>25</v>
      </c>
      <c r="B2726" s="18">
        <f t="shared" si="300"/>
        <v>42304.725253664488</v>
      </c>
      <c r="C2726" s="10">
        <f t="shared" si="301"/>
        <v>1</v>
      </c>
      <c r="D2726" s="18">
        <f t="shared" si="302"/>
        <v>83702.200640888172</v>
      </c>
      <c r="E2726" s="18">
        <f t="shared" si="303"/>
        <v>329852.97440150584</v>
      </c>
    </row>
    <row r="2727" spans="1:5">
      <c r="A2727" s="10">
        <f>26</f>
        <v>26</v>
      </c>
      <c r="B2727" s="18">
        <f t="shared" si="300"/>
        <v>42304.725253664488</v>
      </c>
      <c r="C2727" s="10">
        <f t="shared" si="301"/>
        <v>1</v>
      </c>
      <c r="D2727" s="18">
        <f t="shared" si="302"/>
        <v>83702.200640888172</v>
      </c>
      <c r="E2727" s="18">
        <f t="shared" si="303"/>
        <v>296174.69662227662</v>
      </c>
    </row>
    <row r="2728" spans="1:5">
      <c r="A2728" s="10">
        <f>27</f>
        <v>27</v>
      </c>
      <c r="B2728" s="18">
        <f t="shared" si="300"/>
        <v>42304.725253664488</v>
      </c>
      <c r="C2728" s="10">
        <f t="shared" si="301"/>
        <v>1</v>
      </c>
      <c r="D2728" s="18">
        <f t="shared" si="302"/>
        <v>83702.200640888172</v>
      </c>
      <c r="E2728" s="18">
        <f t="shared" si="303"/>
        <v>261486.07050967051</v>
      </c>
    </row>
    <row r="2729" spans="1:5">
      <c r="A2729" s="10">
        <f>28</f>
        <v>28</v>
      </c>
      <c r="B2729" s="18">
        <f t="shared" si="300"/>
        <v>42304.725253664488</v>
      </c>
      <c r="C2729" s="10">
        <f t="shared" si="301"/>
        <v>1</v>
      </c>
      <c r="D2729" s="18">
        <f t="shared" si="302"/>
        <v>83702.200640888172</v>
      </c>
      <c r="E2729" s="18">
        <f t="shared" si="303"/>
        <v>225756.78561368622</v>
      </c>
    </row>
    <row r="2730" spans="1:5">
      <c r="A2730" s="10">
        <f>29</f>
        <v>29</v>
      </c>
      <c r="B2730" s="18">
        <f t="shared" si="300"/>
        <v>42304.725253664488</v>
      </c>
      <c r="C2730" s="10">
        <f t="shared" si="301"/>
        <v>1</v>
      </c>
      <c r="D2730" s="18">
        <f t="shared" si="302"/>
        <v>83702.200640888172</v>
      </c>
      <c r="E2730" s="18">
        <f t="shared" si="303"/>
        <v>188955.6221708224</v>
      </c>
    </row>
    <row r="2731" spans="1:5">
      <c r="A2731" s="10">
        <f>30</f>
        <v>30</v>
      </c>
      <c r="B2731" s="18">
        <f t="shared" si="300"/>
        <v>42304.725253664488</v>
      </c>
      <c r="C2731" s="10">
        <f t="shared" si="301"/>
        <v>1</v>
      </c>
      <c r="D2731" s="18">
        <f t="shared" si="302"/>
        <v>83702.200640888172</v>
      </c>
      <c r="E2731" s="18">
        <f t="shared" si="303"/>
        <v>151050.42382467267</v>
      </c>
    </row>
    <row r="2732" spans="1:5">
      <c r="A2732" s="10">
        <f>31</f>
        <v>31</v>
      </c>
      <c r="B2732" s="18">
        <f t="shared" si="300"/>
        <v>42304.725253664488</v>
      </c>
      <c r="C2732" s="10">
        <f t="shared" si="301"/>
        <v>1</v>
      </c>
      <c r="D2732" s="18">
        <f t="shared" si="302"/>
        <v>83702.200640888172</v>
      </c>
      <c r="E2732" s="18">
        <f t="shared" si="303"/>
        <v>112008.06952813844</v>
      </c>
    </row>
    <row r="2733" spans="1:5">
      <c r="A2733" s="10">
        <f>32</f>
        <v>32</v>
      </c>
      <c r="B2733" s="18">
        <f t="shared" si="300"/>
        <v>42304.725253664488</v>
      </c>
      <c r="C2733" s="10">
        <f t="shared" si="301"/>
        <v>1</v>
      </c>
      <c r="D2733" s="18">
        <f t="shared" si="302"/>
        <v>83702.200640888172</v>
      </c>
      <c r="E2733" s="18">
        <f t="shared" si="303"/>
        <v>71794.444602708172</v>
      </c>
    </row>
    <row r="2734" spans="1:5">
      <c r="A2734" s="10">
        <f>33</f>
        <v>33</v>
      </c>
      <c r="B2734" s="18">
        <f t="shared" ref="B2734:B2761" si="304">IF(C2733=0,0,MIN(MAX(E2733,0),(($B$1105-MIN(MAX(D2733,0),$B$1105))+MAX(0,2*$B$1105-(D2733-MIN(MAX(D2733,0),$B$1105))))))</f>
        <v>42304.725253664488</v>
      </c>
      <c r="C2734" s="10">
        <f t="shared" ref="C2734:C2765" si="305">IF(AND(C2733=1,D2733+E2733&gt;0.000001,B2734&gt;=($B$1105-MIN(MAX(D2733,0),$B$1105))-0.000001),1,0)</f>
        <v>1</v>
      </c>
      <c r="D2734" s="18">
        <f t="shared" ref="D2734:D2765" si="306">IF(C2734=0,D2733,(D2733-$B$1105+B2734)*(1+$B$7))</f>
        <v>83702.200640888172</v>
      </c>
      <c r="E2734" s="18">
        <f t="shared" ref="E2734:E2761" si="307">IF(C2734=0,E2733,(E2733-B2734)*(1+$B$6))</f>
        <v>30374.410929514994</v>
      </c>
    </row>
    <row r="2735" spans="1:5">
      <c r="A2735" s="10">
        <f>34</f>
        <v>34</v>
      </c>
      <c r="B2735" s="18">
        <f t="shared" si="304"/>
        <v>30374.410929514994</v>
      </c>
      <c r="C2735" s="10">
        <f t="shared" si="305"/>
        <v>1</v>
      </c>
      <c r="D2735" s="18">
        <f t="shared" si="306"/>
        <v>71814.835448305617</v>
      </c>
      <c r="E2735" s="18">
        <f t="shared" si="307"/>
        <v>0</v>
      </c>
    </row>
    <row r="2736" spans="1:5">
      <c r="A2736" s="10">
        <f>35</f>
        <v>35</v>
      </c>
      <c r="B2736" s="18">
        <f t="shared" si="304"/>
        <v>0</v>
      </c>
      <c r="C2736" s="10">
        <f t="shared" si="305"/>
        <v>1</v>
      </c>
      <c r="D2736" s="18">
        <f t="shared" si="306"/>
        <v>29705.201720247627</v>
      </c>
      <c r="E2736" s="18">
        <f t="shared" si="307"/>
        <v>0</v>
      </c>
    </row>
    <row r="2737" spans="1:5">
      <c r="A2737" s="10">
        <f>36</f>
        <v>36</v>
      </c>
      <c r="B2737" s="18">
        <f t="shared" si="304"/>
        <v>0</v>
      </c>
      <c r="C2737" s="10">
        <f t="shared" si="305"/>
        <v>0</v>
      </c>
      <c r="D2737" s="18">
        <f t="shared" si="306"/>
        <v>29705.201720247627</v>
      </c>
      <c r="E2737" s="18">
        <f t="shared" si="307"/>
        <v>0</v>
      </c>
    </row>
    <row r="2738" spans="1:5">
      <c r="A2738" s="10">
        <f>37</f>
        <v>37</v>
      </c>
      <c r="B2738" s="18">
        <f t="shared" si="304"/>
        <v>0</v>
      </c>
      <c r="C2738" s="10">
        <f t="shared" si="305"/>
        <v>0</v>
      </c>
      <c r="D2738" s="18">
        <f t="shared" si="306"/>
        <v>29705.201720247627</v>
      </c>
      <c r="E2738" s="18">
        <f t="shared" si="307"/>
        <v>0</v>
      </c>
    </row>
    <row r="2739" spans="1:5">
      <c r="A2739" s="10">
        <f>38</f>
        <v>38</v>
      </c>
      <c r="B2739" s="18">
        <f t="shared" si="304"/>
        <v>0</v>
      </c>
      <c r="C2739" s="10">
        <f t="shared" si="305"/>
        <v>0</v>
      </c>
      <c r="D2739" s="18">
        <f t="shared" si="306"/>
        <v>29705.201720247627</v>
      </c>
      <c r="E2739" s="18">
        <f t="shared" si="307"/>
        <v>0</v>
      </c>
    </row>
    <row r="2740" spans="1:5">
      <c r="A2740" s="10">
        <f>39</f>
        <v>39</v>
      </c>
      <c r="B2740" s="18">
        <f t="shared" si="304"/>
        <v>0</v>
      </c>
      <c r="C2740" s="10">
        <f t="shared" si="305"/>
        <v>0</v>
      </c>
      <c r="D2740" s="18">
        <f t="shared" si="306"/>
        <v>29705.201720247627</v>
      </c>
      <c r="E2740" s="18">
        <f t="shared" si="307"/>
        <v>0</v>
      </c>
    </row>
    <row r="2741" spans="1:5">
      <c r="A2741" s="10">
        <f>40</f>
        <v>40</v>
      </c>
      <c r="B2741" s="18">
        <f t="shared" si="304"/>
        <v>0</v>
      </c>
      <c r="C2741" s="10">
        <f t="shared" si="305"/>
        <v>0</v>
      </c>
      <c r="D2741" s="18">
        <f t="shared" si="306"/>
        <v>29705.201720247627</v>
      </c>
      <c r="E2741" s="18">
        <f t="shared" si="307"/>
        <v>0</v>
      </c>
    </row>
    <row r="2742" spans="1:5">
      <c r="A2742" s="10">
        <f>41</f>
        <v>41</v>
      </c>
      <c r="B2742" s="18">
        <f t="shared" si="304"/>
        <v>0</v>
      </c>
      <c r="C2742" s="10">
        <f t="shared" si="305"/>
        <v>0</v>
      </c>
      <c r="D2742" s="18">
        <f t="shared" si="306"/>
        <v>29705.201720247627</v>
      </c>
      <c r="E2742" s="18">
        <f t="shared" si="307"/>
        <v>0</v>
      </c>
    </row>
    <row r="2743" spans="1:5">
      <c r="A2743" s="10">
        <f>42</f>
        <v>42</v>
      </c>
      <c r="B2743" s="18">
        <f t="shared" si="304"/>
        <v>0</v>
      </c>
      <c r="C2743" s="10">
        <f t="shared" si="305"/>
        <v>0</v>
      </c>
      <c r="D2743" s="18">
        <f t="shared" si="306"/>
        <v>29705.201720247627</v>
      </c>
      <c r="E2743" s="18">
        <f t="shared" si="307"/>
        <v>0</v>
      </c>
    </row>
    <row r="2744" spans="1:5">
      <c r="A2744" s="10">
        <f>43</f>
        <v>43</v>
      </c>
      <c r="B2744" s="18">
        <f t="shared" si="304"/>
        <v>0</v>
      </c>
      <c r="C2744" s="10">
        <f t="shared" si="305"/>
        <v>0</v>
      </c>
      <c r="D2744" s="18">
        <f t="shared" si="306"/>
        <v>29705.201720247627</v>
      </c>
      <c r="E2744" s="18">
        <f t="shared" si="307"/>
        <v>0</v>
      </c>
    </row>
    <row r="2745" spans="1:5">
      <c r="A2745" s="10">
        <f>44</f>
        <v>44</v>
      </c>
      <c r="B2745" s="18">
        <f t="shared" si="304"/>
        <v>0</v>
      </c>
      <c r="C2745" s="10">
        <f t="shared" si="305"/>
        <v>0</v>
      </c>
      <c r="D2745" s="18">
        <f t="shared" si="306"/>
        <v>29705.201720247627</v>
      </c>
      <c r="E2745" s="18">
        <f t="shared" si="307"/>
        <v>0</v>
      </c>
    </row>
    <row r="2746" spans="1:5">
      <c r="A2746" s="10">
        <f>45</f>
        <v>45</v>
      </c>
      <c r="B2746" s="18">
        <f t="shared" si="304"/>
        <v>0</v>
      </c>
      <c r="C2746" s="10">
        <f t="shared" si="305"/>
        <v>0</v>
      </c>
      <c r="D2746" s="18">
        <f t="shared" si="306"/>
        <v>29705.201720247627</v>
      </c>
      <c r="E2746" s="18">
        <f t="shared" si="307"/>
        <v>0</v>
      </c>
    </row>
    <row r="2747" spans="1:5">
      <c r="A2747" s="10">
        <f>46</f>
        <v>46</v>
      </c>
      <c r="B2747" s="18">
        <f t="shared" si="304"/>
        <v>0</v>
      </c>
      <c r="C2747" s="10">
        <f t="shared" si="305"/>
        <v>0</v>
      </c>
      <c r="D2747" s="18">
        <f t="shared" si="306"/>
        <v>29705.201720247627</v>
      </c>
      <c r="E2747" s="18">
        <f t="shared" si="307"/>
        <v>0</v>
      </c>
    </row>
    <row r="2748" spans="1:5">
      <c r="A2748" s="10">
        <f>47</f>
        <v>47</v>
      </c>
      <c r="B2748" s="18">
        <f t="shared" si="304"/>
        <v>0</v>
      </c>
      <c r="C2748" s="10">
        <f t="shared" si="305"/>
        <v>0</v>
      </c>
      <c r="D2748" s="18">
        <f t="shared" si="306"/>
        <v>29705.201720247627</v>
      </c>
      <c r="E2748" s="18">
        <f t="shared" si="307"/>
        <v>0</v>
      </c>
    </row>
    <row r="2749" spans="1:5">
      <c r="A2749" s="10">
        <f>48</f>
        <v>48</v>
      </c>
      <c r="B2749" s="18">
        <f t="shared" si="304"/>
        <v>0</v>
      </c>
      <c r="C2749" s="10">
        <f t="shared" si="305"/>
        <v>0</v>
      </c>
      <c r="D2749" s="18">
        <f t="shared" si="306"/>
        <v>29705.201720247627</v>
      </c>
      <c r="E2749" s="18">
        <f t="shared" si="307"/>
        <v>0</v>
      </c>
    </row>
    <row r="2750" spans="1:5">
      <c r="A2750" s="10">
        <f>49</f>
        <v>49</v>
      </c>
      <c r="B2750" s="18">
        <f t="shared" si="304"/>
        <v>0</v>
      </c>
      <c r="C2750" s="10">
        <f t="shared" si="305"/>
        <v>0</v>
      </c>
      <c r="D2750" s="18">
        <f t="shared" si="306"/>
        <v>29705.201720247627</v>
      </c>
      <c r="E2750" s="18">
        <f t="shared" si="307"/>
        <v>0</v>
      </c>
    </row>
    <row r="2751" spans="1:5">
      <c r="A2751" s="10">
        <f>50</f>
        <v>50</v>
      </c>
      <c r="B2751" s="18">
        <f t="shared" si="304"/>
        <v>0</v>
      </c>
      <c r="C2751" s="10">
        <f t="shared" si="305"/>
        <v>0</v>
      </c>
      <c r="D2751" s="18">
        <f t="shared" si="306"/>
        <v>29705.201720247627</v>
      </c>
      <c r="E2751" s="18">
        <f t="shared" si="307"/>
        <v>0</v>
      </c>
    </row>
    <row r="2752" spans="1:5">
      <c r="A2752" s="10">
        <f>51</f>
        <v>51</v>
      </c>
      <c r="B2752" s="18">
        <f t="shared" si="304"/>
        <v>0</v>
      </c>
      <c r="C2752" s="10">
        <f t="shared" si="305"/>
        <v>0</v>
      </c>
      <c r="D2752" s="18">
        <f t="shared" si="306"/>
        <v>29705.201720247627</v>
      </c>
      <c r="E2752" s="18">
        <f t="shared" si="307"/>
        <v>0</v>
      </c>
    </row>
    <row r="2753" spans="1:5">
      <c r="A2753" s="10">
        <f>52</f>
        <v>52</v>
      </c>
      <c r="B2753" s="18">
        <f t="shared" si="304"/>
        <v>0</v>
      </c>
      <c r="C2753" s="10">
        <f t="shared" si="305"/>
        <v>0</v>
      </c>
      <c r="D2753" s="18">
        <f t="shared" si="306"/>
        <v>29705.201720247627</v>
      </c>
      <c r="E2753" s="18">
        <f t="shared" si="307"/>
        <v>0</v>
      </c>
    </row>
    <row r="2754" spans="1:5">
      <c r="A2754" s="10">
        <f>53</f>
        <v>53</v>
      </c>
      <c r="B2754" s="18">
        <f t="shared" si="304"/>
        <v>0</v>
      </c>
      <c r="C2754" s="10">
        <f t="shared" si="305"/>
        <v>0</v>
      </c>
      <c r="D2754" s="18">
        <f t="shared" si="306"/>
        <v>29705.201720247627</v>
      </c>
      <c r="E2754" s="18">
        <f t="shared" si="307"/>
        <v>0</v>
      </c>
    </row>
    <row r="2755" spans="1:5">
      <c r="A2755" s="10">
        <f>54</f>
        <v>54</v>
      </c>
      <c r="B2755" s="18">
        <f t="shared" si="304"/>
        <v>0</v>
      </c>
      <c r="C2755" s="10">
        <f t="shared" si="305"/>
        <v>0</v>
      </c>
      <c r="D2755" s="18">
        <f t="shared" si="306"/>
        <v>29705.201720247627</v>
      </c>
      <c r="E2755" s="18">
        <f t="shared" si="307"/>
        <v>0</v>
      </c>
    </row>
    <row r="2756" spans="1:5">
      <c r="A2756" s="10">
        <f>55</f>
        <v>55</v>
      </c>
      <c r="B2756" s="18">
        <f t="shared" si="304"/>
        <v>0</v>
      </c>
      <c r="C2756" s="10">
        <f t="shared" si="305"/>
        <v>0</v>
      </c>
      <c r="D2756" s="18">
        <f t="shared" si="306"/>
        <v>29705.201720247627</v>
      </c>
      <c r="E2756" s="18">
        <f t="shared" si="307"/>
        <v>0</v>
      </c>
    </row>
    <row r="2757" spans="1:5">
      <c r="A2757" s="10">
        <f>56</f>
        <v>56</v>
      </c>
      <c r="B2757" s="18">
        <f t="shared" si="304"/>
        <v>0</v>
      </c>
      <c r="C2757" s="10">
        <f t="shared" si="305"/>
        <v>0</v>
      </c>
      <c r="D2757" s="18">
        <f t="shared" si="306"/>
        <v>29705.201720247627</v>
      </c>
      <c r="E2757" s="18">
        <f t="shared" si="307"/>
        <v>0</v>
      </c>
    </row>
    <row r="2758" spans="1:5">
      <c r="A2758" s="10">
        <f>57</f>
        <v>57</v>
      </c>
      <c r="B2758" s="18">
        <f t="shared" si="304"/>
        <v>0</v>
      </c>
      <c r="C2758" s="10">
        <f t="shared" si="305"/>
        <v>0</v>
      </c>
      <c r="D2758" s="18">
        <f t="shared" si="306"/>
        <v>29705.201720247627</v>
      </c>
      <c r="E2758" s="18">
        <f t="shared" si="307"/>
        <v>0</v>
      </c>
    </row>
    <row r="2759" spans="1:5">
      <c r="A2759" s="10">
        <f>58</f>
        <v>58</v>
      </c>
      <c r="B2759" s="18">
        <f t="shared" si="304"/>
        <v>0</v>
      </c>
      <c r="C2759" s="10">
        <f t="shared" si="305"/>
        <v>0</v>
      </c>
      <c r="D2759" s="18">
        <f t="shared" si="306"/>
        <v>29705.201720247627</v>
      </c>
      <c r="E2759" s="18">
        <f t="shared" si="307"/>
        <v>0</v>
      </c>
    </row>
    <row r="2760" spans="1:5">
      <c r="A2760" s="10">
        <f>59</f>
        <v>59</v>
      </c>
      <c r="B2760" s="18">
        <f t="shared" si="304"/>
        <v>0</v>
      </c>
      <c r="C2760" s="10">
        <f t="shared" si="305"/>
        <v>0</v>
      </c>
      <c r="D2760" s="18">
        <f t="shared" si="306"/>
        <v>29705.201720247627</v>
      </c>
      <c r="E2760" s="18">
        <f t="shared" si="307"/>
        <v>0</v>
      </c>
    </row>
    <row r="2761" spans="1:5">
      <c r="A2761" s="10">
        <f>60</f>
        <v>60</v>
      </c>
      <c r="B2761" s="18">
        <f t="shared" si="304"/>
        <v>0</v>
      </c>
      <c r="C2761" s="10">
        <f t="shared" si="305"/>
        <v>0</v>
      </c>
      <c r="D2761" s="18">
        <f t="shared" si="306"/>
        <v>29705.201720247627</v>
      </c>
      <c r="E2761" s="18">
        <f t="shared" si="307"/>
        <v>0</v>
      </c>
    </row>
    <row r="2762" spans="1:5">
      <c r="B2762" s="10">
        <f>SUM(C2702:C2761)</f>
        <v>35</v>
      </c>
    </row>
    <row r="2764" spans="1:5">
      <c r="A2764" s="2" t="s">
        <v>318</v>
      </c>
    </row>
    <row r="2766" spans="1:5">
      <c r="A2766" s="25" t="s">
        <v>262</v>
      </c>
      <c r="B2766" s="25" t="s">
        <v>263</v>
      </c>
      <c r="C2766" s="25" t="s">
        <v>305</v>
      </c>
      <c r="D2766" s="25" t="s">
        <v>264</v>
      </c>
      <c r="E2766" s="25" t="s">
        <v>265</v>
      </c>
    </row>
    <row r="2767" spans="1:5">
      <c r="A2767" s="3">
        <v>0</v>
      </c>
      <c r="C2767" s="10">
        <f>1</f>
        <v>1</v>
      </c>
      <c r="D2767" s="18">
        <f>MIN(3*$B$1105,$B$5)</f>
        <v>126006.92589455267</v>
      </c>
      <c r="E2767" s="18">
        <f>$B$5-D2767</f>
        <v>873993.07410544739</v>
      </c>
    </row>
    <row r="2768" spans="1:5">
      <c r="A2768" s="10">
        <f>1</f>
        <v>1</v>
      </c>
      <c r="B2768" s="18">
        <f t="shared" ref="B2768:B2799" si="308">IF(C2767=0,0,MIN(MAX(E2767,0),(($B$1105-MIN(MAX(D2767,0),$B$1105))+MAX(0,3*$B$1105-(D2767-MIN(MAX(D2767,0),$B$1105))))))</f>
        <v>42002.308631517546</v>
      </c>
      <c r="C2768" s="10">
        <f t="shared" ref="C2768:C2799" si="309">IF(AND(C2767=1,D2767+E2767&gt;0.000001,B2768&gt;=($B$1105-MIN(MAX(D2767,0),$B$1105))-0.000001),1,0)</f>
        <v>1</v>
      </c>
      <c r="D2768" s="18">
        <f t="shared" ref="D2768:D2799" si="310">IF(C2768=0,D2767,(D2767-$B$1105+B2768)*(1+$B$7))</f>
        <v>125553.30096133226</v>
      </c>
      <c r="E2768" s="18">
        <f t="shared" ref="E2768:E2799" si="311">IF(C2768=0,E2767,(E2767-B2768)*(1+$B$6))</f>
        <v>856950.4884381477</v>
      </c>
    </row>
    <row r="2769" spans="1:5">
      <c r="A2769" s="10">
        <f>2</f>
        <v>2</v>
      </c>
      <c r="B2769" s="18">
        <f t="shared" si="308"/>
        <v>42455.933564737963</v>
      </c>
      <c r="C2769" s="10">
        <f t="shared" si="309"/>
        <v>1</v>
      </c>
      <c r="D2769" s="18">
        <f t="shared" si="310"/>
        <v>125553.30096133226</v>
      </c>
      <c r="E2769" s="18">
        <f t="shared" si="311"/>
        <v>838929.39151961205</v>
      </c>
    </row>
    <row r="2770" spans="1:5">
      <c r="A2770" s="10">
        <f>3</f>
        <v>3</v>
      </c>
      <c r="B2770" s="18">
        <f t="shared" si="308"/>
        <v>42455.933564737963</v>
      </c>
      <c r="C2770" s="10">
        <f t="shared" si="309"/>
        <v>1</v>
      </c>
      <c r="D2770" s="18">
        <f t="shared" si="310"/>
        <v>125553.30096133226</v>
      </c>
      <c r="E2770" s="18">
        <f t="shared" si="311"/>
        <v>820367.66169352026</v>
      </c>
    </row>
    <row r="2771" spans="1:5">
      <c r="A2771" s="10">
        <f>4</f>
        <v>4</v>
      </c>
      <c r="B2771" s="18">
        <f t="shared" si="308"/>
        <v>42455.933564737963</v>
      </c>
      <c r="C2771" s="10">
        <f t="shared" si="309"/>
        <v>1</v>
      </c>
      <c r="D2771" s="18">
        <f t="shared" si="310"/>
        <v>125553.30096133226</v>
      </c>
      <c r="E2771" s="18">
        <f t="shared" si="311"/>
        <v>801249.07997264573</v>
      </c>
    </row>
    <row r="2772" spans="1:5">
      <c r="A2772" s="10">
        <f>5</f>
        <v>5</v>
      </c>
      <c r="B2772" s="18">
        <f t="shared" si="308"/>
        <v>42455.933564737963</v>
      </c>
      <c r="C2772" s="10">
        <f t="shared" si="309"/>
        <v>1</v>
      </c>
      <c r="D2772" s="18">
        <f t="shared" si="310"/>
        <v>125553.30096133226</v>
      </c>
      <c r="E2772" s="18">
        <f t="shared" si="311"/>
        <v>781556.94080014504</v>
      </c>
    </row>
    <row r="2773" spans="1:5">
      <c r="A2773" s="10">
        <f>6</f>
        <v>6</v>
      </c>
      <c r="B2773" s="18">
        <f t="shared" si="308"/>
        <v>42455.933564737963</v>
      </c>
      <c r="C2773" s="10">
        <f t="shared" si="309"/>
        <v>1</v>
      </c>
      <c r="D2773" s="18">
        <f t="shared" si="310"/>
        <v>125553.30096133226</v>
      </c>
      <c r="E2773" s="18">
        <f t="shared" si="311"/>
        <v>761274.03745246935</v>
      </c>
    </row>
    <row r="2774" spans="1:5">
      <c r="A2774" s="10">
        <f>7</f>
        <v>7</v>
      </c>
      <c r="B2774" s="18">
        <f t="shared" si="308"/>
        <v>42455.933564737963</v>
      </c>
      <c r="C2774" s="10">
        <f t="shared" si="309"/>
        <v>1</v>
      </c>
      <c r="D2774" s="18">
        <f t="shared" si="310"/>
        <v>125553.30096133226</v>
      </c>
      <c r="E2774" s="18">
        <f t="shared" si="311"/>
        <v>740382.64700436336</v>
      </c>
    </row>
    <row r="2775" spans="1:5">
      <c r="A2775" s="10">
        <f>8</f>
        <v>8</v>
      </c>
      <c r="B2775" s="18">
        <f t="shared" si="308"/>
        <v>42455.933564737963</v>
      </c>
      <c r="C2775" s="10">
        <f t="shared" si="309"/>
        <v>1</v>
      </c>
      <c r="D2775" s="18">
        <f t="shared" si="310"/>
        <v>125553.30096133226</v>
      </c>
      <c r="E2775" s="18">
        <f t="shared" si="311"/>
        <v>718864.51484281418</v>
      </c>
    </row>
    <row r="2776" spans="1:5">
      <c r="A2776" s="10">
        <f>9</f>
        <v>9</v>
      </c>
      <c r="B2776" s="18">
        <f t="shared" si="308"/>
        <v>42455.933564737963</v>
      </c>
      <c r="C2776" s="10">
        <f t="shared" si="309"/>
        <v>1</v>
      </c>
      <c r="D2776" s="18">
        <f t="shared" si="310"/>
        <v>125553.30096133226</v>
      </c>
      <c r="E2776" s="18">
        <f t="shared" si="311"/>
        <v>696700.83871641848</v>
      </c>
    </row>
    <row r="2777" spans="1:5">
      <c r="A2777" s="10">
        <f>10</f>
        <v>10</v>
      </c>
      <c r="B2777" s="18">
        <f t="shared" si="308"/>
        <v>42455.933564737963</v>
      </c>
      <c r="C2777" s="10">
        <f t="shared" si="309"/>
        <v>1</v>
      </c>
      <c r="D2777" s="18">
        <f t="shared" si="310"/>
        <v>125553.30096133226</v>
      </c>
      <c r="E2777" s="18">
        <f t="shared" si="311"/>
        <v>673872.25230623106</v>
      </c>
    </row>
    <row r="2778" spans="1:5">
      <c r="A2778" s="10">
        <f>11</f>
        <v>11</v>
      </c>
      <c r="B2778" s="18">
        <f t="shared" si="308"/>
        <v>42455.933564737963</v>
      </c>
      <c r="C2778" s="10">
        <f t="shared" si="309"/>
        <v>1</v>
      </c>
      <c r="D2778" s="18">
        <f t="shared" si="310"/>
        <v>125553.30096133226</v>
      </c>
      <c r="E2778" s="18">
        <f t="shared" si="311"/>
        <v>650358.80830373801</v>
      </c>
    </row>
    <row r="2779" spans="1:5">
      <c r="A2779" s="10">
        <f>12</f>
        <v>12</v>
      </c>
      <c r="B2779" s="18">
        <f t="shared" si="308"/>
        <v>42455.933564737963</v>
      </c>
      <c r="C2779" s="10">
        <f t="shared" si="309"/>
        <v>1</v>
      </c>
      <c r="D2779" s="18">
        <f t="shared" si="310"/>
        <v>125553.30096133226</v>
      </c>
      <c r="E2779" s="18">
        <f t="shared" si="311"/>
        <v>626139.96098117018</v>
      </c>
    </row>
    <row r="2780" spans="1:5">
      <c r="A2780" s="10">
        <f>13</f>
        <v>13</v>
      </c>
      <c r="B2780" s="18">
        <f t="shared" si="308"/>
        <v>42455.933564737963</v>
      </c>
      <c r="C2780" s="10">
        <f t="shared" si="309"/>
        <v>1</v>
      </c>
      <c r="D2780" s="18">
        <f t="shared" si="310"/>
        <v>125553.30096133226</v>
      </c>
      <c r="E2780" s="18">
        <f t="shared" si="311"/>
        <v>601194.54823892529</v>
      </c>
    </row>
    <row r="2781" spans="1:5">
      <c r="A2781" s="10">
        <f>14</f>
        <v>14</v>
      </c>
      <c r="B2781" s="18">
        <f t="shared" si="308"/>
        <v>42455.933564737963</v>
      </c>
      <c r="C2781" s="10">
        <f t="shared" si="309"/>
        <v>1</v>
      </c>
      <c r="D2781" s="18">
        <f t="shared" si="310"/>
        <v>125553.30096133226</v>
      </c>
      <c r="E2781" s="18">
        <f t="shared" si="311"/>
        <v>575500.77311441291</v>
      </c>
    </row>
    <row r="2782" spans="1:5">
      <c r="A2782" s="10">
        <f>15</f>
        <v>15</v>
      </c>
      <c r="B2782" s="18">
        <f t="shared" si="308"/>
        <v>42455.933564737963</v>
      </c>
      <c r="C2782" s="10">
        <f t="shared" si="309"/>
        <v>1</v>
      </c>
      <c r="D2782" s="18">
        <f t="shared" si="310"/>
        <v>125553.30096133226</v>
      </c>
      <c r="E2782" s="18">
        <f t="shared" si="311"/>
        <v>549036.1847361651</v>
      </c>
    </row>
    <row r="2783" spans="1:5">
      <c r="A2783" s="10">
        <f>16</f>
        <v>16</v>
      </c>
      <c r="B2783" s="18">
        <f t="shared" si="308"/>
        <v>42455.933564737963</v>
      </c>
      <c r="C2783" s="10">
        <f t="shared" si="309"/>
        <v>1</v>
      </c>
      <c r="D2783" s="18">
        <f t="shared" si="310"/>
        <v>125553.30096133226</v>
      </c>
      <c r="E2783" s="18">
        <f t="shared" si="311"/>
        <v>521777.65870656999</v>
      </c>
    </row>
    <row r="2784" spans="1:5">
      <c r="A2784" s="10">
        <f>17</f>
        <v>17</v>
      </c>
      <c r="B2784" s="18">
        <f t="shared" si="308"/>
        <v>42455.933564737963</v>
      </c>
      <c r="C2784" s="10">
        <f t="shared" si="309"/>
        <v>1</v>
      </c>
      <c r="D2784" s="18">
        <f t="shared" si="310"/>
        <v>125553.30096133226</v>
      </c>
      <c r="E2784" s="18">
        <f t="shared" si="311"/>
        <v>493701.37689608702</v>
      </c>
    </row>
    <row r="2785" spans="1:5">
      <c r="A2785" s="10">
        <f>18</f>
        <v>18</v>
      </c>
      <c r="B2785" s="18">
        <f t="shared" si="308"/>
        <v>42455.933564737963</v>
      </c>
      <c r="C2785" s="10">
        <f t="shared" si="309"/>
        <v>1</v>
      </c>
      <c r="D2785" s="18">
        <f t="shared" si="310"/>
        <v>125553.30096133226</v>
      </c>
      <c r="E2785" s="18">
        <f t="shared" si="311"/>
        <v>464782.80663128954</v>
      </c>
    </row>
    <row r="2786" spans="1:5">
      <c r="A2786" s="10">
        <f>19</f>
        <v>19</v>
      </c>
      <c r="B2786" s="18">
        <f t="shared" si="308"/>
        <v>42455.933564737963</v>
      </c>
      <c r="C2786" s="10">
        <f t="shared" si="309"/>
        <v>1</v>
      </c>
      <c r="D2786" s="18">
        <f t="shared" si="310"/>
        <v>125553.30096133226</v>
      </c>
      <c r="E2786" s="18">
        <f t="shared" si="311"/>
        <v>434996.67925854813</v>
      </c>
    </row>
    <row r="2787" spans="1:5">
      <c r="A2787" s="10">
        <f>20</f>
        <v>20</v>
      </c>
      <c r="B2787" s="18">
        <f t="shared" si="308"/>
        <v>42455.933564737963</v>
      </c>
      <c r="C2787" s="10">
        <f t="shared" si="309"/>
        <v>1</v>
      </c>
      <c r="D2787" s="18">
        <f t="shared" si="310"/>
        <v>125553.30096133226</v>
      </c>
      <c r="E2787" s="18">
        <f t="shared" si="311"/>
        <v>404316.96806462447</v>
      </c>
    </row>
    <row r="2788" spans="1:5">
      <c r="A2788" s="10">
        <f>21</f>
        <v>21</v>
      </c>
      <c r="B2788" s="18">
        <f t="shared" si="308"/>
        <v>42455.933564737963</v>
      </c>
      <c r="C2788" s="10">
        <f t="shared" si="309"/>
        <v>1</v>
      </c>
      <c r="D2788" s="18">
        <f t="shared" si="310"/>
        <v>125553.30096133226</v>
      </c>
      <c r="E2788" s="18">
        <f t="shared" si="311"/>
        <v>372716.86553488311</v>
      </c>
    </row>
    <row r="2789" spans="1:5">
      <c r="A2789" s="10">
        <f>22</f>
        <v>22</v>
      </c>
      <c r="B2789" s="18">
        <f t="shared" si="308"/>
        <v>42455.933564737963</v>
      </c>
      <c r="C2789" s="10">
        <f t="shared" si="309"/>
        <v>1</v>
      </c>
      <c r="D2789" s="18">
        <f t="shared" si="310"/>
        <v>125553.30096133226</v>
      </c>
      <c r="E2789" s="18">
        <f t="shared" si="311"/>
        <v>340168.75992924953</v>
      </c>
    </row>
    <row r="2790" spans="1:5">
      <c r="A2790" s="10">
        <f>23</f>
        <v>23</v>
      </c>
      <c r="B2790" s="18">
        <f t="shared" si="308"/>
        <v>42455.933564737963</v>
      </c>
      <c r="C2790" s="10">
        <f t="shared" si="309"/>
        <v>1</v>
      </c>
      <c r="D2790" s="18">
        <f t="shared" si="310"/>
        <v>125553.30096133226</v>
      </c>
      <c r="E2790" s="18">
        <f t="shared" si="311"/>
        <v>306644.21115544694</v>
      </c>
    </row>
    <row r="2791" spans="1:5">
      <c r="A2791" s="10">
        <f>24</f>
        <v>24</v>
      </c>
      <c r="B2791" s="18">
        <f t="shared" si="308"/>
        <v>42455.933564737963</v>
      </c>
      <c r="C2791" s="10">
        <f t="shared" si="309"/>
        <v>1</v>
      </c>
      <c r="D2791" s="18">
        <f t="shared" si="310"/>
        <v>125553.30096133226</v>
      </c>
      <c r="E2791" s="18">
        <f t="shared" si="311"/>
        <v>272113.92591843026</v>
      </c>
    </row>
    <row r="2792" spans="1:5">
      <c r="A2792" s="10">
        <f>25</f>
        <v>25</v>
      </c>
      <c r="B2792" s="18">
        <f t="shared" si="308"/>
        <v>42455.933564737963</v>
      </c>
      <c r="C2792" s="10">
        <f t="shared" si="309"/>
        <v>1</v>
      </c>
      <c r="D2792" s="18">
        <f t="shared" si="310"/>
        <v>125553.30096133226</v>
      </c>
      <c r="E2792" s="18">
        <f t="shared" si="311"/>
        <v>236547.73212430309</v>
      </c>
    </row>
    <row r="2793" spans="1:5">
      <c r="A2793" s="10">
        <f>26</f>
        <v>26</v>
      </c>
      <c r="B2793" s="18">
        <f t="shared" si="308"/>
        <v>42455.933564737963</v>
      </c>
      <c r="C2793" s="10">
        <f t="shared" si="309"/>
        <v>1</v>
      </c>
      <c r="D2793" s="18">
        <f t="shared" si="310"/>
        <v>125553.30096133226</v>
      </c>
      <c r="E2793" s="18">
        <f t="shared" si="311"/>
        <v>199914.55251635209</v>
      </c>
    </row>
    <row r="2794" spans="1:5">
      <c r="A2794" s="10">
        <f>27</f>
        <v>27</v>
      </c>
      <c r="B2794" s="18">
        <f t="shared" si="308"/>
        <v>42455.933564737963</v>
      </c>
      <c r="C2794" s="10">
        <f t="shared" si="309"/>
        <v>1</v>
      </c>
      <c r="D2794" s="18">
        <f t="shared" si="310"/>
        <v>125553.30096133226</v>
      </c>
      <c r="E2794" s="18">
        <f t="shared" si="311"/>
        <v>162182.37752016255</v>
      </c>
    </row>
    <row r="2795" spans="1:5">
      <c r="A2795" s="10">
        <f>28</f>
        <v>28</v>
      </c>
      <c r="B2795" s="18">
        <f t="shared" si="308"/>
        <v>42455.933564737963</v>
      </c>
      <c r="C2795" s="10">
        <f t="shared" si="309"/>
        <v>1</v>
      </c>
      <c r="D2795" s="18">
        <f t="shared" si="310"/>
        <v>125553.30096133226</v>
      </c>
      <c r="E2795" s="18">
        <f t="shared" si="311"/>
        <v>123318.23727408733</v>
      </c>
    </row>
    <row r="2796" spans="1:5">
      <c r="A2796" s="10">
        <f>29</f>
        <v>29</v>
      </c>
      <c r="B2796" s="18">
        <f t="shared" si="308"/>
        <v>42455.933564737963</v>
      </c>
      <c r="C2796" s="10">
        <f t="shared" si="309"/>
        <v>1</v>
      </c>
      <c r="D2796" s="18">
        <f t="shared" si="310"/>
        <v>125553.30096133226</v>
      </c>
      <c r="E2796" s="18">
        <f t="shared" si="311"/>
        <v>83288.172820629843</v>
      </c>
    </row>
    <row r="2797" spans="1:5">
      <c r="A2797" s="10">
        <f>30</f>
        <v>30</v>
      </c>
      <c r="B2797" s="18">
        <f t="shared" si="308"/>
        <v>42455.933564737963</v>
      </c>
      <c r="C2797" s="10">
        <f t="shared" si="309"/>
        <v>1</v>
      </c>
      <c r="D2797" s="18">
        <f t="shared" si="310"/>
        <v>125553.30096133226</v>
      </c>
      <c r="E2797" s="18">
        <f t="shared" si="311"/>
        <v>42057.206433568637</v>
      </c>
    </row>
    <row r="2798" spans="1:5">
      <c r="A2798" s="10">
        <f>31</f>
        <v>31</v>
      </c>
      <c r="B2798" s="18">
        <f t="shared" si="308"/>
        <v>42057.206433568637</v>
      </c>
      <c r="C2798" s="10">
        <f t="shared" si="309"/>
        <v>1</v>
      </c>
      <c r="D2798" s="18">
        <f t="shared" si="310"/>
        <v>125156.00924783516</v>
      </c>
      <c r="E2798" s="18">
        <f t="shared" si="311"/>
        <v>0</v>
      </c>
    </row>
    <row r="2799" spans="1:5">
      <c r="A2799" s="10">
        <f>32</f>
        <v>32</v>
      </c>
      <c r="B2799" s="18">
        <f t="shared" si="308"/>
        <v>0</v>
      </c>
      <c r="C2799" s="10">
        <f t="shared" si="309"/>
        <v>1</v>
      </c>
      <c r="D2799" s="18">
        <f t="shared" si="310"/>
        <v>82854.347294098843</v>
      </c>
      <c r="E2799" s="18">
        <f t="shared" si="311"/>
        <v>0</v>
      </c>
    </row>
    <row r="2800" spans="1:5">
      <c r="A2800" s="10">
        <f>33</f>
        <v>33</v>
      </c>
      <c r="B2800" s="18">
        <f t="shared" ref="B2800:B2827" si="312">IF(C2799=0,0,MIN(MAX(E2799,0),(($B$1105-MIN(MAX(D2799,0),$B$1105))+MAX(0,3*$B$1105-(D2799-MIN(MAX(D2799,0),$B$1105))))))</f>
        <v>0</v>
      </c>
      <c r="C2800" s="10">
        <f t="shared" ref="C2800:C2831" si="313">IF(AND(C2799=1,D2799+E2799&gt;0.000001,B2800&gt;=($B$1105-MIN(MAX(D2799,0),$B$1105))-0.000001),1,0)</f>
        <v>1</v>
      </c>
      <c r="D2800" s="18">
        <f t="shared" ref="D2800:D2831" si="314">IF(C2800=0,D2799,(D2799-$B$1105+B2800)*(1+$B$7))</f>
        <v>40704.971323395992</v>
      </c>
      <c r="E2800" s="18">
        <f t="shared" ref="E2800:E2827" si="315">IF(C2800=0,E2799,(E2799-B2800)*(1+$B$6))</f>
        <v>0</v>
      </c>
    </row>
    <row r="2801" spans="1:5">
      <c r="A2801" s="10">
        <f>34</f>
        <v>34</v>
      </c>
      <c r="B2801" s="18">
        <f t="shared" si="312"/>
        <v>0</v>
      </c>
      <c r="C2801" s="10">
        <f t="shared" si="313"/>
        <v>0</v>
      </c>
      <c r="D2801" s="18">
        <f t="shared" si="314"/>
        <v>40704.971323395992</v>
      </c>
      <c r="E2801" s="18">
        <f t="shared" si="315"/>
        <v>0</v>
      </c>
    </row>
    <row r="2802" spans="1:5">
      <c r="A2802" s="10">
        <f>35</f>
        <v>35</v>
      </c>
      <c r="B2802" s="18">
        <f t="shared" si="312"/>
        <v>0</v>
      </c>
      <c r="C2802" s="10">
        <f t="shared" si="313"/>
        <v>0</v>
      </c>
      <c r="D2802" s="18">
        <f t="shared" si="314"/>
        <v>40704.971323395992</v>
      </c>
      <c r="E2802" s="18">
        <f t="shared" si="315"/>
        <v>0</v>
      </c>
    </row>
    <row r="2803" spans="1:5">
      <c r="A2803" s="10">
        <f>36</f>
        <v>36</v>
      </c>
      <c r="B2803" s="18">
        <f t="shared" si="312"/>
        <v>0</v>
      </c>
      <c r="C2803" s="10">
        <f t="shared" si="313"/>
        <v>0</v>
      </c>
      <c r="D2803" s="18">
        <f t="shared" si="314"/>
        <v>40704.971323395992</v>
      </c>
      <c r="E2803" s="18">
        <f t="shared" si="315"/>
        <v>0</v>
      </c>
    </row>
    <row r="2804" spans="1:5">
      <c r="A2804" s="10">
        <f>37</f>
        <v>37</v>
      </c>
      <c r="B2804" s="18">
        <f t="shared" si="312"/>
        <v>0</v>
      </c>
      <c r="C2804" s="10">
        <f t="shared" si="313"/>
        <v>0</v>
      </c>
      <c r="D2804" s="18">
        <f t="shared" si="314"/>
        <v>40704.971323395992</v>
      </c>
      <c r="E2804" s="18">
        <f t="shared" si="315"/>
        <v>0</v>
      </c>
    </row>
    <row r="2805" spans="1:5">
      <c r="A2805" s="10">
        <f>38</f>
        <v>38</v>
      </c>
      <c r="B2805" s="18">
        <f t="shared" si="312"/>
        <v>0</v>
      </c>
      <c r="C2805" s="10">
        <f t="shared" si="313"/>
        <v>0</v>
      </c>
      <c r="D2805" s="18">
        <f t="shared" si="314"/>
        <v>40704.971323395992</v>
      </c>
      <c r="E2805" s="18">
        <f t="shared" si="315"/>
        <v>0</v>
      </c>
    </row>
    <row r="2806" spans="1:5">
      <c r="A2806" s="10">
        <f>39</f>
        <v>39</v>
      </c>
      <c r="B2806" s="18">
        <f t="shared" si="312"/>
        <v>0</v>
      </c>
      <c r="C2806" s="10">
        <f t="shared" si="313"/>
        <v>0</v>
      </c>
      <c r="D2806" s="18">
        <f t="shared" si="314"/>
        <v>40704.971323395992</v>
      </c>
      <c r="E2806" s="18">
        <f t="shared" si="315"/>
        <v>0</v>
      </c>
    </row>
    <row r="2807" spans="1:5">
      <c r="A2807" s="10">
        <f>40</f>
        <v>40</v>
      </c>
      <c r="B2807" s="18">
        <f t="shared" si="312"/>
        <v>0</v>
      </c>
      <c r="C2807" s="10">
        <f t="shared" si="313"/>
        <v>0</v>
      </c>
      <c r="D2807" s="18">
        <f t="shared" si="314"/>
        <v>40704.971323395992</v>
      </c>
      <c r="E2807" s="18">
        <f t="shared" si="315"/>
        <v>0</v>
      </c>
    </row>
    <row r="2808" spans="1:5">
      <c r="A2808" s="10">
        <f>41</f>
        <v>41</v>
      </c>
      <c r="B2808" s="18">
        <f t="shared" si="312"/>
        <v>0</v>
      </c>
      <c r="C2808" s="10">
        <f t="shared" si="313"/>
        <v>0</v>
      </c>
      <c r="D2808" s="18">
        <f t="shared" si="314"/>
        <v>40704.971323395992</v>
      </c>
      <c r="E2808" s="18">
        <f t="shared" si="315"/>
        <v>0</v>
      </c>
    </row>
    <row r="2809" spans="1:5">
      <c r="A2809" s="10">
        <f>42</f>
        <v>42</v>
      </c>
      <c r="B2809" s="18">
        <f t="shared" si="312"/>
        <v>0</v>
      </c>
      <c r="C2809" s="10">
        <f t="shared" si="313"/>
        <v>0</v>
      </c>
      <c r="D2809" s="18">
        <f t="shared" si="314"/>
        <v>40704.971323395992</v>
      </c>
      <c r="E2809" s="18">
        <f t="shared" si="315"/>
        <v>0</v>
      </c>
    </row>
    <row r="2810" spans="1:5">
      <c r="A2810" s="10">
        <f>43</f>
        <v>43</v>
      </c>
      <c r="B2810" s="18">
        <f t="shared" si="312"/>
        <v>0</v>
      </c>
      <c r="C2810" s="10">
        <f t="shared" si="313"/>
        <v>0</v>
      </c>
      <c r="D2810" s="18">
        <f t="shared" si="314"/>
        <v>40704.971323395992</v>
      </c>
      <c r="E2810" s="18">
        <f t="shared" si="315"/>
        <v>0</v>
      </c>
    </row>
    <row r="2811" spans="1:5">
      <c r="A2811" s="10">
        <f>44</f>
        <v>44</v>
      </c>
      <c r="B2811" s="18">
        <f t="shared" si="312"/>
        <v>0</v>
      </c>
      <c r="C2811" s="10">
        <f t="shared" si="313"/>
        <v>0</v>
      </c>
      <c r="D2811" s="18">
        <f t="shared" si="314"/>
        <v>40704.971323395992</v>
      </c>
      <c r="E2811" s="18">
        <f t="shared" si="315"/>
        <v>0</v>
      </c>
    </row>
    <row r="2812" spans="1:5">
      <c r="A2812" s="10">
        <f>45</f>
        <v>45</v>
      </c>
      <c r="B2812" s="18">
        <f t="shared" si="312"/>
        <v>0</v>
      </c>
      <c r="C2812" s="10">
        <f t="shared" si="313"/>
        <v>0</v>
      </c>
      <c r="D2812" s="18">
        <f t="shared" si="314"/>
        <v>40704.971323395992</v>
      </c>
      <c r="E2812" s="18">
        <f t="shared" si="315"/>
        <v>0</v>
      </c>
    </row>
    <row r="2813" spans="1:5">
      <c r="A2813" s="10">
        <f>46</f>
        <v>46</v>
      </c>
      <c r="B2813" s="18">
        <f t="shared" si="312"/>
        <v>0</v>
      </c>
      <c r="C2813" s="10">
        <f t="shared" si="313"/>
        <v>0</v>
      </c>
      <c r="D2813" s="18">
        <f t="shared" si="314"/>
        <v>40704.971323395992</v>
      </c>
      <c r="E2813" s="18">
        <f t="shared" si="315"/>
        <v>0</v>
      </c>
    </row>
    <row r="2814" spans="1:5">
      <c r="A2814" s="10">
        <f>47</f>
        <v>47</v>
      </c>
      <c r="B2814" s="18">
        <f t="shared" si="312"/>
        <v>0</v>
      </c>
      <c r="C2814" s="10">
        <f t="shared" si="313"/>
        <v>0</v>
      </c>
      <c r="D2814" s="18">
        <f t="shared" si="314"/>
        <v>40704.971323395992</v>
      </c>
      <c r="E2814" s="18">
        <f t="shared" si="315"/>
        <v>0</v>
      </c>
    </row>
    <row r="2815" spans="1:5">
      <c r="A2815" s="10">
        <f>48</f>
        <v>48</v>
      </c>
      <c r="B2815" s="18">
        <f t="shared" si="312"/>
        <v>0</v>
      </c>
      <c r="C2815" s="10">
        <f t="shared" si="313"/>
        <v>0</v>
      </c>
      <c r="D2815" s="18">
        <f t="shared" si="314"/>
        <v>40704.971323395992</v>
      </c>
      <c r="E2815" s="18">
        <f t="shared" si="315"/>
        <v>0</v>
      </c>
    </row>
    <row r="2816" spans="1:5">
      <c r="A2816" s="10">
        <f>49</f>
        <v>49</v>
      </c>
      <c r="B2816" s="18">
        <f t="shared" si="312"/>
        <v>0</v>
      </c>
      <c r="C2816" s="10">
        <f t="shared" si="313"/>
        <v>0</v>
      </c>
      <c r="D2816" s="18">
        <f t="shared" si="314"/>
        <v>40704.971323395992</v>
      </c>
      <c r="E2816" s="18">
        <f t="shared" si="315"/>
        <v>0</v>
      </c>
    </row>
    <row r="2817" spans="1:5">
      <c r="A2817" s="10">
        <f>50</f>
        <v>50</v>
      </c>
      <c r="B2817" s="18">
        <f t="shared" si="312"/>
        <v>0</v>
      </c>
      <c r="C2817" s="10">
        <f t="shared" si="313"/>
        <v>0</v>
      </c>
      <c r="D2817" s="18">
        <f t="shared" si="314"/>
        <v>40704.971323395992</v>
      </c>
      <c r="E2817" s="18">
        <f t="shared" si="315"/>
        <v>0</v>
      </c>
    </row>
    <row r="2818" spans="1:5">
      <c r="A2818" s="10">
        <f>51</f>
        <v>51</v>
      </c>
      <c r="B2818" s="18">
        <f t="shared" si="312"/>
        <v>0</v>
      </c>
      <c r="C2818" s="10">
        <f t="shared" si="313"/>
        <v>0</v>
      </c>
      <c r="D2818" s="18">
        <f t="shared" si="314"/>
        <v>40704.971323395992</v>
      </c>
      <c r="E2818" s="18">
        <f t="shared" si="315"/>
        <v>0</v>
      </c>
    </row>
    <row r="2819" spans="1:5">
      <c r="A2819" s="10">
        <f>52</f>
        <v>52</v>
      </c>
      <c r="B2819" s="18">
        <f t="shared" si="312"/>
        <v>0</v>
      </c>
      <c r="C2819" s="10">
        <f t="shared" si="313"/>
        <v>0</v>
      </c>
      <c r="D2819" s="18">
        <f t="shared" si="314"/>
        <v>40704.971323395992</v>
      </c>
      <c r="E2819" s="18">
        <f t="shared" si="315"/>
        <v>0</v>
      </c>
    </row>
    <row r="2820" spans="1:5">
      <c r="A2820" s="10">
        <f>53</f>
        <v>53</v>
      </c>
      <c r="B2820" s="18">
        <f t="shared" si="312"/>
        <v>0</v>
      </c>
      <c r="C2820" s="10">
        <f t="shared" si="313"/>
        <v>0</v>
      </c>
      <c r="D2820" s="18">
        <f t="shared" si="314"/>
        <v>40704.971323395992</v>
      </c>
      <c r="E2820" s="18">
        <f t="shared" si="315"/>
        <v>0</v>
      </c>
    </row>
    <row r="2821" spans="1:5">
      <c r="A2821" s="10">
        <f>54</f>
        <v>54</v>
      </c>
      <c r="B2821" s="18">
        <f t="shared" si="312"/>
        <v>0</v>
      </c>
      <c r="C2821" s="10">
        <f t="shared" si="313"/>
        <v>0</v>
      </c>
      <c r="D2821" s="18">
        <f t="shared" si="314"/>
        <v>40704.971323395992</v>
      </c>
      <c r="E2821" s="18">
        <f t="shared" si="315"/>
        <v>0</v>
      </c>
    </row>
    <row r="2822" spans="1:5">
      <c r="A2822" s="10">
        <f>55</f>
        <v>55</v>
      </c>
      <c r="B2822" s="18">
        <f t="shared" si="312"/>
        <v>0</v>
      </c>
      <c r="C2822" s="10">
        <f t="shared" si="313"/>
        <v>0</v>
      </c>
      <c r="D2822" s="18">
        <f t="shared" si="314"/>
        <v>40704.971323395992</v>
      </c>
      <c r="E2822" s="18">
        <f t="shared" si="315"/>
        <v>0</v>
      </c>
    </row>
    <row r="2823" spans="1:5">
      <c r="A2823" s="10">
        <f>56</f>
        <v>56</v>
      </c>
      <c r="B2823" s="18">
        <f t="shared" si="312"/>
        <v>0</v>
      </c>
      <c r="C2823" s="10">
        <f t="shared" si="313"/>
        <v>0</v>
      </c>
      <c r="D2823" s="18">
        <f t="shared" si="314"/>
        <v>40704.971323395992</v>
      </c>
      <c r="E2823" s="18">
        <f t="shared" si="315"/>
        <v>0</v>
      </c>
    </row>
    <row r="2824" spans="1:5">
      <c r="A2824" s="10">
        <f>57</f>
        <v>57</v>
      </c>
      <c r="B2824" s="18">
        <f t="shared" si="312"/>
        <v>0</v>
      </c>
      <c r="C2824" s="10">
        <f t="shared" si="313"/>
        <v>0</v>
      </c>
      <c r="D2824" s="18">
        <f t="shared" si="314"/>
        <v>40704.971323395992</v>
      </c>
      <c r="E2824" s="18">
        <f t="shared" si="315"/>
        <v>0</v>
      </c>
    </row>
    <row r="2825" spans="1:5">
      <c r="A2825" s="10">
        <f>58</f>
        <v>58</v>
      </c>
      <c r="B2825" s="18">
        <f t="shared" si="312"/>
        <v>0</v>
      </c>
      <c r="C2825" s="10">
        <f t="shared" si="313"/>
        <v>0</v>
      </c>
      <c r="D2825" s="18">
        <f t="shared" si="314"/>
        <v>40704.971323395992</v>
      </c>
      <c r="E2825" s="18">
        <f t="shared" si="315"/>
        <v>0</v>
      </c>
    </row>
    <row r="2826" spans="1:5">
      <c r="A2826" s="10">
        <f>59</f>
        <v>59</v>
      </c>
      <c r="B2826" s="18">
        <f t="shared" si="312"/>
        <v>0</v>
      </c>
      <c r="C2826" s="10">
        <f t="shared" si="313"/>
        <v>0</v>
      </c>
      <c r="D2826" s="18">
        <f t="shared" si="314"/>
        <v>40704.971323395992</v>
      </c>
      <c r="E2826" s="18">
        <f t="shared" si="315"/>
        <v>0</v>
      </c>
    </row>
    <row r="2827" spans="1:5">
      <c r="A2827" s="10">
        <f>60</f>
        <v>60</v>
      </c>
      <c r="B2827" s="18">
        <f t="shared" si="312"/>
        <v>0</v>
      </c>
      <c r="C2827" s="10">
        <f t="shared" si="313"/>
        <v>0</v>
      </c>
      <c r="D2827" s="18">
        <f t="shared" si="314"/>
        <v>40704.971323395992</v>
      </c>
      <c r="E2827" s="18">
        <f t="shared" si="315"/>
        <v>0</v>
      </c>
    </row>
    <row r="2828" spans="1:5">
      <c r="B2828" s="10">
        <f>SUM(C2768:C2827)</f>
        <v>33</v>
      </c>
    </row>
    <row r="2830" spans="1:5">
      <c r="A2830" s="2" t="s">
        <v>319</v>
      </c>
    </row>
    <row r="2832" spans="1:5">
      <c r="A2832" s="25" t="s">
        <v>262</v>
      </c>
      <c r="B2832" s="25" t="s">
        <v>263</v>
      </c>
      <c r="C2832" s="25" t="s">
        <v>305</v>
      </c>
      <c r="D2832" s="25" t="s">
        <v>264</v>
      </c>
      <c r="E2832" s="25" t="s">
        <v>265</v>
      </c>
    </row>
    <row r="2833" spans="1:5">
      <c r="A2833" s="3">
        <v>0</v>
      </c>
      <c r="C2833" s="10">
        <f>1</f>
        <v>1</v>
      </c>
      <c r="D2833" s="18">
        <f>MIN(5*$B$1105,$B$5)</f>
        <v>210011.54315758776</v>
      </c>
      <c r="E2833" s="18">
        <f>$B$5-D2833</f>
        <v>789988.45684241224</v>
      </c>
    </row>
    <row r="2834" spans="1:5">
      <c r="A2834" s="10">
        <f>1</f>
        <v>1</v>
      </c>
      <c r="B2834" s="18">
        <f t="shared" ref="B2834:B2865" si="316">IF(C2833=0,0,MIN(MAX(E2833,0),(($B$1105-MIN(MAX(D2833,0),$B$1105))+MAX(0,5*$B$1105-(D2833-MIN(MAX(D2833,0),$B$1105))))))</f>
        <v>42002.308631517546</v>
      </c>
      <c r="C2834" s="10">
        <f t="shared" ref="C2834:C2865" si="317">IF(AND(C2833=1,D2833+E2833&gt;0.000001,B2834&gt;=($B$1105-MIN(MAX(D2833,0),$B$1105))-0.000001),1,0)</f>
        <v>1</v>
      </c>
      <c r="D2834" s="18">
        <f t="shared" ref="D2834:D2865" si="318">IF(C2834=0,D2833,(D2833-$B$1105+B2834)*(1+$B$7))</f>
        <v>209255.50160222044</v>
      </c>
      <c r="E2834" s="18">
        <f t="shared" ref="E2834:E2865" si="319">IF(C2834=0,E2833,(E2833-B2834)*(1+$B$6))</f>
        <v>770425.7326572215</v>
      </c>
    </row>
    <row r="2835" spans="1:5">
      <c r="A2835" s="10">
        <f>2</f>
        <v>2</v>
      </c>
      <c r="B2835" s="18">
        <f t="shared" si="316"/>
        <v>42758.350186884869</v>
      </c>
      <c r="C2835" s="10">
        <f t="shared" si="317"/>
        <v>1</v>
      </c>
      <c r="D2835" s="18">
        <f t="shared" si="318"/>
        <v>209255.50160222044</v>
      </c>
      <c r="E2835" s="18">
        <f t="shared" si="319"/>
        <v>749497.40394444671</v>
      </c>
    </row>
    <row r="2836" spans="1:5">
      <c r="A2836" s="10">
        <f>3</f>
        <v>3</v>
      </c>
      <c r="B2836" s="18">
        <f t="shared" si="316"/>
        <v>42758.350186884869</v>
      </c>
      <c r="C2836" s="10">
        <f t="shared" si="317"/>
        <v>1</v>
      </c>
      <c r="D2836" s="18">
        <f t="shared" si="318"/>
        <v>209255.50160222044</v>
      </c>
      <c r="E2836" s="18">
        <f t="shared" si="319"/>
        <v>727941.22537028871</v>
      </c>
    </row>
    <row r="2837" spans="1:5">
      <c r="A2837" s="10">
        <f>4</f>
        <v>4</v>
      </c>
      <c r="B2837" s="18">
        <f t="shared" si="316"/>
        <v>42758.350186884869</v>
      </c>
      <c r="C2837" s="10">
        <f t="shared" si="317"/>
        <v>1</v>
      </c>
      <c r="D2837" s="18">
        <f t="shared" si="318"/>
        <v>209255.50160222044</v>
      </c>
      <c r="E2837" s="18">
        <f t="shared" si="319"/>
        <v>705738.36143890594</v>
      </c>
    </row>
    <row r="2838" spans="1:5">
      <c r="A2838" s="10">
        <f>5</f>
        <v>5</v>
      </c>
      <c r="B2838" s="18">
        <f t="shared" si="316"/>
        <v>42758.350186884869</v>
      </c>
      <c r="C2838" s="10">
        <f t="shared" si="317"/>
        <v>1</v>
      </c>
      <c r="D2838" s="18">
        <f t="shared" si="318"/>
        <v>209255.50160222044</v>
      </c>
      <c r="E2838" s="18">
        <f t="shared" si="319"/>
        <v>682869.41158958175</v>
      </c>
    </row>
    <row r="2839" spans="1:5">
      <c r="A2839" s="10">
        <f>6</f>
        <v>6</v>
      </c>
      <c r="B2839" s="18">
        <f t="shared" si="316"/>
        <v>42758.350186884869</v>
      </c>
      <c r="C2839" s="10">
        <f t="shared" si="317"/>
        <v>1</v>
      </c>
      <c r="D2839" s="18">
        <f t="shared" si="318"/>
        <v>209255.50160222044</v>
      </c>
      <c r="E2839" s="18">
        <f t="shared" si="319"/>
        <v>659314.39324477781</v>
      </c>
    </row>
    <row r="2840" spans="1:5">
      <c r="A2840" s="10">
        <f>7</f>
        <v>7</v>
      </c>
      <c r="B2840" s="18">
        <f t="shared" si="316"/>
        <v>42758.350186884869</v>
      </c>
      <c r="C2840" s="10">
        <f t="shared" si="317"/>
        <v>1</v>
      </c>
      <c r="D2840" s="18">
        <f t="shared" si="318"/>
        <v>209255.50160222044</v>
      </c>
      <c r="E2840" s="18">
        <f t="shared" si="319"/>
        <v>635052.72434962972</v>
      </c>
    </row>
    <row r="2841" spans="1:5">
      <c r="A2841" s="10">
        <f>8</f>
        <v>8</v>
      </c>
      <c r="B2841" s="18">
        <f t="shared" si="316"/>
        <v>42758.350186884869</v>
      </c>
      <c r="C2841" s="10">
        <f t="shared" si="317"/>
        <v>1</v>
      </c>
      <c r="D2841" s="18">
        <f t="shared" si="318"/>
        <v>209255.50160222044</v>
      </c>
      <c r="E2841" s="18">
        <f t="shared" si="319"/>
        <v>610063.20538762724</v>
      </c>
    </row>
    <row r="2842" spans="1:5">
      <c r="A2842" s="10">
        <f>9</f>
        <v>9</v>
      </c>
      <c r="B2842" s="18">
        <f t="shared" si="316"/>
        <v>42758.350186884869</v>
      </c>
      <c r="C2842" s="10">
        <f t="shared" si="317"/>
        <v>1</v>
      </c>
      <c r="D2842" s="18">
        <f t="shared" si="318"/>
        <v>209255.50160222044</v>
      </c>
      <c r="E2842" s="18">
        <f t="shared" si="319"/>
        <v>584324.00085676461</v>
      </c>
    </row>
    <row r="2843" spans="1:5">
      <c r="A2843" s="10">
        <f>10</f>
        <v>10</v>
      </c>
      <c r="B2843" s="18">
        <f t="shared" si="316"/>
        <v>42758.350186884869</v>
      </c>
      <c r="C2843" s="10">
        <f t="shared" si="317"/>
        <v>1</v>
      </c>
      <c r="D2843" s="18">
        <f t="shared" si="318"/>
        <v>209255.50160222044</v>
      </c>
      <c r="E2843" s="18">
        <f t="shared" si="319"/>
        <v>557812.62018997618</v>
      </c>
    </row>
    <row r="2844" spans="1:5">
      <c r="A2844" s="10">
        <f>11</f>
        <v>11</v>
      </c>
      <c r="B2844" s="18">
        <f t="shared" si="316"/>
        <v>42758.350186884869</v>
      </c>
      <c r="C2844" s="10">
        <f t="shared" si="317"/>
        <v>1</v>
      </c>
      <c r="D2844" s="18">
        <f t="shared" si="318"/>
        <v>209255.50160222044</v>
      </c>
      <c r="E2844" s="18">
        <f t="shared" si="319"/>
        <v>530505.89810318407</v>
      </c>
    </row>
    <row r="2845" spans="1:5">
      <c r="A2845" s="10">
        <f>12</f>
        <v>12</v>
      </c>
      <c r="B2845" s="18">
        <f t="shared" si="316"/>
        <v>42758.350186884869</v>
      </c>
      <c r="C2845" s="10">
        <f t="shared" si="317"/>
        <v>1</v>
      </c>
      <c r="D2845" s="18">
        <f t="shared" si="318"/>
        <v>209255.50160222044</v>
      </c>
      <c r="E2845" s="18">
        <f t="shared" si="319"/>
        <v>502379.97435378819</v>
      </c>
    </row>
    <row r="2846" spans="1:5">
      <c r="A2846" s="10">
        <f>13</f>
        <v>13</v>
      </c>
      <c r="B2846" s="18">
        <f t="shared" si="316"/>
        <v>42758.350186884869</v>
      </c>
      <c r="C2846" s="10">
        <f t="shared" si="317"/>
        <v>1</v>
      </c>
      <c r="D2846" s="18">
        <f t="shared" si="318"/>
        <v>209255.50160222044</v>
      </c>
      <c r="E2846" s="18">
        <f t="shared" si="319"/>
        <v>473410.27289191046</v>
      </c>
    </row>
    <row r="2847" spans="1:5">
      <c r="A2847" s="10">
        <f>14</f>
        <v>14</v>
      </c>
      <c r="B2847" s="18">
        <f t="shared" si="316"/>
        <v>42758.350186884869</v>
      </c>
      <c r="C2847" s="10">
        <f t="shared" si="317"/>
        <v>1</v>
      </c>
      <c r="D2847" s="18">
        <f t="shared" si="318"/>
        <v>209255.50160222044</v>
      </c>
      <c r="E2847" s="18">
        <f t="shared" si="319"/>
        <v>443571.48038617638</v>
      </c>
    </row>
    <row r="2848" spans="1:5">
      <c r="A2848" s="10">
        <f>15</f>
        <v>15</v>
      </c>
      <c r="B2848" s="18">
        <f t="shared" si="316"/>
        <v>42758.350186884869</v>
      </c>
      <c r="C2848" s="10">
        <f t="shared" si="317"/>
        <v>1</v>
      </c>
      <c r="D2848" s="18">
        <f t="shared" si="318"/>
        <v>209255.50160222044</v>
      </c>
      <c r="E2848" s="18">
        <f t="shared" si="319"/>
        <v>412837.52410527028</v>
      </c>
    </row>
    <row r="2849" spans="1:5">
      <c r="A2849" s="10">
        <f>16</f>
        <v>16</v>
      </c>
      <c r="B2849" s="18">
        <f t="shared" si="316"/>
        <v>42758.350186884869</v>
      </c>
      <c r="C2849" s="10">
        <f t="shared" si="317"/>
        <v>1</v>
      </c>
      <c r="D2849" s="18">
        <f t="shared" si="318"/>
        <v>209255.50160222044</v>
      </c>
      <c r="E2849" s="18">
        <f t="shared" si="319"/>
        <v>381181.54913593701</v>
      </c>
    </row>
    <row r="2850" spans="1:5">
      <c r="A2850" s="10">
        <f>17</f>
        <v>17</v>
      </c>
      <c r="B2850" s="18">
        <f t="shared" si="316"/>
        <v>42758.350186884869</v>
      </c>
      <c r="C2850" s="10">
        <f t="shared" si="317"/>
        <v>1</v>
      </c>
      <c r="D2850" s="18">
        <f t="shared" si="318"/>
        <v>209255.50160222044</v>
      </c>
      <c r="E2850" s="18">
        <f t="shared" si="319"/>
        <v>348575.89491752372</v>
      </c>
    </row>
    <row r="2851" spans="1:5">
      <c r="A2851" s="10">
        <f>18</f>
        <v>18</v>
      </c>
      <c r="B2851" s="18">
        <f t="shared" si="316"/>
        <v>42758.350186884869</v>
      </c>
      <c r="C2851" s="10">
        <f t="shared" si="317"/>
        <v>1</v>
      </c>
      <c r="D2851" s="18">
        <f t="shared" si="318"/>
        <v>209255.50160222044</v>
      </c>
      <c r="E2851" s="18">
        <f t="shared" si="319"/>
        <v>314992.071072558</v>
      </c>
    </row>
    <row r="2852" spans="1:5">
      <c r="A2852" s="10">
        <f>19</f>
        <v>19</v>
      </c>
      <c r="B2852" s="18">
        <f t="shared" si="316"/>
        <v>42758.350186884869</v>
      </c>
      <c r="C2852" s="10">
        <f t="shared" si="317"/>
        <v>1</v>
      </c>
      <c r="D2852" s="18">
        <f t="shared" si="318"/>
        <v>209255.50160222044</v>
      </c>
      <c r="E2852" s="18">
        <f t="shared" si="319"/>
        <v>280400.73251224332</v>
      </c>
    </row>
    <row r="2853" spans="1:5">
      <c r="A2853" s="10">
        <f>20</f>
        <v>20</v>
      </c>
      <c r="B2853" s="18">
        <f t="shared" si="316"/>
        <v>42758.350186884869</v>
      </c>
      <c r="C2853" s="10">
        <f t="shared" si="317"/>
        <v>1</v>
      </c>
      <c r="D2853" s="18">
        <f t="shared" si="318"/>
        <v>209255.50160222044</v>
      </c>
      <c r="E2853" s="18">
        <f t="shared" si="319"/>
        <v>244771.65379511923</v>
      </c>
    </row>
    <row r="2854" spans="1:5">
      <c r="A2854" s="10">
        <f>21</f>
        <v>21</v>
      </c>
      <c r="B2854" s="18">
        <f t="shared" si="316"/>
        <v>42758.350186884869</v>
      </c>
      <c r="C2854" s="10">
        <f t="shared" si="317"/>
        <v>1</v>
      </c>
      <c r="D2854" s="18">
        <f t="shared" si="318"/>
        <v>209255.50160222044</v>
      </c>
      <c r="E2854" s="18">
        <f t="shared" si="319"/>
        <v>208073.70271648141</v>
      </c>
    </row>
    <row r="2855" spans="1:5">
      <c r="A2855" s="10">
        <f>22</f>
        <v>22</v>
      </c>
      <c r="B2855" s="18">
        <f t="shared" si="316"/>
        <v>42758.350186884869</v>
      </c>
      <c r="C2855" s="10">
        <f t="shared" si="317"/>
        <v>1</v>
      </c>
      <c r="D2855" s="18">
        <f t="shared" si="318"/>
        <v>209255.50160222044</v>
      </c>
      <c r="E2855" s="18">
        <f t="shared" si="319"/>
        <v>170274.81310548444</v>
      </c>
    </row>
    <row r="2856" spans="1:5">
      <c r="A2856" s="10">
        <f>23</f>
        <v>23</v>
      </c>
      <c r="B2856" s="18">
        <f t="shared" si="316"/>
        <v>42758.350186884869</v>
      </c>
      <c r="C2856" s="10">
        <f t="shared" si="317"/>
        <v>1</v>
      </c>
      <c r="D2856" s="18">
        <f t="shared" si="318"/>
        <v>209255.50160222044</v>
      </c>
      <c r="E2856" s="18">
        <f t="shared" si="319"/>
        <v>131341.95680615757</v>
      </c>
    </row>
    <row r="2857" spans="1:5">
      <c r="A2857" s="10">
        <f>24</f>
        <v>24</v>
      </c>
      <c r="B2857" s="18">
        <f t="shared" si="316"/>
        <v>42758.350186884869</v>
      </c>
      <c r="C2857" s="10">
        <f t="shared" si="317"/>
        <v>1</v>
      </c>
      <c r="D2857" s="18">
        <f t="shared" si="318"/>
        <v>209255.50160222044</v>
      </c>
      <c r="E2857" s="18">
        <f t="shared" si="319"/>
        <v>91241.114817850888</v>
      </c>
    </row>
    <row r="2858" spans="1:5">
      <c r="A2858" s="10">
        <f>25</f>
        <v>25</v>
      </c>
      <c r="B2858" s="18">
        <f t="shared" si="316"/>
        <v>42758.350186884869</v>
      </c>
      <c r="C2858" s="10">
        <f t="shared" si="317"/>
        <v>1</v>
      </c>
      <c r="D2858" s="18">
        <f t="shared" si="318"/>
        <v>209255.50160222044</v>
      </c>
      <c r="E2858" s="18">
        <f t="shared" si="319"/>
        <v>49937.247569895</v>
      </c>
    </row>
    <row r="2859" spans="1:5">
      <c r="A2859" s="10">
        <f>26</f>
        <v>26</v>
      </c>
      <c r="B2859" s="18">
        <f t="shared" si="316"/>
        <v>42758.350186884869</v>
      </c>
      <c r="C2859" s="10">
        <f t="shared" si="317"/>
        <v>1</v>
      </c>
      <c r="D2859" s="18">
        <f t="shared" si="318"/>
        <v>209255.50160222044</v>
      </c>
      <c r="E2859" s="18">
        <f t="shared" si="319"/>
        <v>7394.2643045004352</v>
      </c>
    </row>
    <row r="2860" spans="1:5">
      <c r="A2860" s="10">
        <f>27</f>
        <v>27</v>
      </c>
      <c r="B2860" s="18">
        <f t="shared" si="316"/>
        <v>7394.2643045004352</v>
      </c>
      <c r="C2860" s="10">
        <f t="shared" si="317"/>
        <v>1</v>
      </c>
      <c r="D2860" s="18">
        <f t="shared" si="318"/>
        <v>174018.72642901257</v>
      </c>
      <c r="E2860" s="18">
        <f t="shared" si="319"/>
        <v>0</v>
      </c>
    </row>
    <row r="2861" spans="1:5">
      <c r="A2861" s="10">
        <f>28</f>
        <v>28</v>
      </c>
      <c r="B2861" s="18">
        <f t="shared" si="316"/>
        <v>0</v>
      </c>
      <c r="C2861" s="10">
        <f t="shared" si="317"/>
        <v>1</v>
      </c>
      <c r="D2861" s="18">
        <f t="shared" si="318"/>
        <v>131541.15869342405</v>
      </c>
      <c r="E2861" s="18">
        <f t="shared" si="319"/>
        <v>0</v>
      </c>
    </row>
    <row r="2862" spans="1:5">
      <c r="A2862" s="10">
        <f>29</f>
        <v>29</v>
      </c>
      <c r="B2862" s="18">
        <f t="shared" si="316"/>
        <v>0</v>
      </c>
      <c r="C2862" s="10">
        <f t="shared" si="317"/>
        <v>1</v>
      </c>
      <c r="D2862" s="18">
        <f t="shared" si="318"/>
        <v>89216.510201683632</v>
      </c>
      <c r="E2862" s="18">
        <f t="shared" si="319"/>
        <v>0</v>
      </c>
    </row>
    <row r="2863" spans="1:5">
      <c r="A2863" s="10">
        <f>30</f>
        <v>30</v>
      </c>
      <c r="B2863" s="18">
        <f t="shared" si="316"/>
        <v>0</v>
      </c>
      <c r="C2863" s="10">
        <f t="shared" si="317"/>
        <v>1</v>
      </c>
      <c r="D2863" s="18">
        <f t="shared" si="318"/>
        <v>47044.23044451348</v>
      </c>
      <c r="E2863" s="18">
        <f t="shared" si="319"/>
        <v>0</v>
      </c>
    </row>
    <row r="2864" spans="1:5">
      <c r="A2864" s="10">
        <f>31</f>
        <v>31</v>
      </c>
      <c r="B2864" s="18">
        <f t="shared" si="316"/>
        <v>0</v>
      </c>
      <c r="C2864" s="10">
        <f t="shared" si="317"/>
        <v>1</v>
      </c>
      <c r="D2864" s="18">
        <f t="shared" si="318"/>
        <v>5023.7708944691403</v>
      </c>
      <c r="E2864" s="18">
        <f t="shared" si="319"/>
        <v>0</v>
      </c>
    </row>
    <row r="2865" spans="1:5">
      <c r="A2865" s="10">
        <f>32</f>
        <v>32</v>
      </c>
      <c r="B2865" s="18">
        <f t="shared" si="316"/>
        <v>0</v>
      </c>
      <c r="C2865" s="10">
        <f t="shared" si="317"/>
        <v>0</v>
      </c>
      <c r="D2865" s="18">
        <f t="shared" si="318"/>
        <v>5023.7708944691403</v>
      </c>
      <c r="E2865" s="18">
        <f t="shared" si="319"/>
        <v>0</v>
      </c>
    </row>
    <row r="2866" spans="1:5">
      <c r="A2866" s="10">
        <f>33</f>
        <v>33</v>
      </c>
      <c r="B2866" s="18">
        <f t="shared" ref="B2866:B2893" si="320">IF(C2865=0,0,MIN(MAX(E2865,0),(($B$1105-MIN(MAX(D2865,0),$B$1105))+MAX(0,5*$B$1105-(D2865-MIN(MAX(D2865,0),$B$1105))))))</f>
        <v>0</v>
      </c>
      <c r="C2866" s="10">
        <f t="shared" ref="C2866:C2897" si="321">IF(AND(C2865=1,D2865+E2865&gt;0.000001,B2866&gt;=($B$1105-MIN(MAX(D2865,0),$B$1105))-0.000001),1,0)</f>
        <v>0</v>
      </c>
      <c r="D2866" s="18">
        <f t="shared" ref="D2866:D2897" si="322">IF(C2866=0,D2865,(D2865-$B$1105+B2866)*(1+$B$7))</f>
        <v>5023.7708944691403</v>
      </c>
      <c r="E2866" s="18">
        <f t="shared" ref="E2866:E2893" si="323">IF(C2866=0,E2865,(E2865-B2866)*(1+$B$6))</f>
        <v>0</v>
      </c>
    </row>
    <row r="2867" spans="1:5">
      <c r="A2867" s="10">
        <f>34</f>
        <v>34</v>
      </c>
      <c r="B2867" s="18">
        <f t="shared" si="320"/>
        <v>0</v>
      </c>
      <c r="C2867" s="10">
        <f t="shared" si="321"/>
        <v>0</v>
      </c>
      <c r="D2867" s="18">
        <f t="shared" si="322"/>
        <v>5023.7708944691403</v>
      </c>
      <c r="E2867" s="18">
        <f t="shared" si="323"/>
        <v>0</v>
      </c>
    </row>
    <row r="2868" spans="1:5">
      <c r="A2868" s="10">
        <f>35</f>
        <v>35</v>
      </c>
      <c r="B2868" s="18">
        <f t="shared" si="320"/>
        <v>0</v>
      </c>
      <c r="C2868" s="10">
        <f t="shared" si="321"/>
        <v>0</v>
      </c>
      <c r="D2868" s="18">
        <f t="shared" si="322"/>
        <v>5023.7708944691403</v>
      </c>
      <c r="E2868" s="18">
        <f t="shared" si="323"/>
        <v>0</v>
      </c>
    </row>
    <row r="2869" spans="1:5">
      <c r="A2869" s="10">
        <f>36</f>
        <v>36</v>
      </c>
      <c r="B2869" s="18">
        <f t="shared" si="320"/>
        <v>0</v>
      </c>
      <c r="C2869" s="10">
        <f t="shared" si="321"/>
        <v>0</v>
      </c>
      <c r="D2869" s="18">
        <f t="shared" si="322"/>
        <v>5023.7708944691403</v>
      </c>
      <c r="E2869" s="18">
        <f t="shared" si="323"/>
        <v>0</v>
      </c>
    </row>
    <row r="2870" spans="1:5">
      <c r="A2870" s="10">
        <f>37</f>
        <v>37</v>
      </c>
      <c r="B2870" s="18">
        <f t="shared" si="320"/>
        <v>0</v>
      </c>
      <c r="C2870" s="10">
        <f t="shared" si="321"/>
        <v>0</v>
      </c>
      <c r="D2870" s="18">
        <f t="shared" si="322"/>
        <v>5023.7708944691403</v>
      </c>
      <c r="E2870" s="18">
        <f t="shared" si="323"/>
        <v>0</v>
      </c>
    </row>
    <row r="2871" spans="1:5">
      <c r="A2871" s="10">
        <f>38</f>
        <v>38</v>
      </c>
      <c r="B2871" s="18">
        <f t="shared" si="320"/>
        <v>0</v>
      </c>
      <c r="C2871" s="10">
        <f t="shared" si="321"/>
        <v>0</v>
      </c>
      <c r="D2871" s="18">
        <f t="shared" si="322"/>
        <v>5023.7708944691403</v>
      </c>
      <c r="E2871" s="18">
        <f t="shared" si="323"/>
        <v>0</v>
      </c>
    </row>
    <row r="2872" spans="1:5">
      <c r="A2872" s="10">
        <f>39</f>
        <v>39</v>
      </c>
      <c r="B2872" s="18">
        <f t="shared" si="320"/>
        <v>0</v>
      </c>
      <c r="C2872" s="10">
        <f t="shared" si="321"/>
        <v>0</v>
      </c>
      <c r="D2872" s="18">
        <f t="shared" si="322"/>
        <v>5023.7708944691403</v>
      </c>
      <c r="E2872" s="18">
        <f t="shared" si="323"/>
        <v>0</v>
      </c>
    </row>
    <row r="2873" spans="1:5">
      <c r="A2873" s="10">
        <f>40</f>
        <v>40</v>
      </c>
      <c r="B2873" s="18">
        <f t="shared" si="320"/>
        <v>0</v>
      </c>
      <c r="C2873" s="10">
        <f t="shared" si="321"/>
        <v>0</v>
      </c>
      <c r="D2873" s="18">
        <f t="shared" si="322"/>
        <v>5023.7708944691403</v>
      </c>
      <c r="E2873" s="18">
        <f t="shared" si="323"/>
        <v>0</v>
      </c>
    </row>
    <row r="2874" spans="1:5">
      <c r="A2874" s="10">
        <f>41</f>
        <v>41</v>
      </c>
      <c r="B2874" s="18">
        <f t="shared" si="320"/>
        <v>0</v>
      </c>
      <c r="C2874" s="10">
        <f t="shared" si="321"/>
        <v>0</v>
      </c>
      <c r="D2874" s="18">
        <f t="shared" si="322"/>
        <v>5023.7708944691403</v>
      </c>
      <c r="E2874" s="18">
        <f t="shared" si="323"/>
        <v>0</v>
      </c>
    </row>
    <row r="2875" spans="1:5">
      <c r="A2875" s="10">
        <f>42</f>
        <v>42</v>
      </c>
      <c r="B2875" s="18">
        <f t="shared" si="320"/>
        <v>0</v>
      </c>
      <c r="C2875" s="10">
        <f t="shared" si="321"/>
        <v>0</v>
      </c>
      <c r="D2875" s="18">
        <f t="shared" si="322"/>
        <v>5023.7708944691403</v>
      </c>
      <c r="E2875" s="18">
        <f t="shared" si="323"/>
        <v>0</v>
      </c>
    </row>
    <row r="2876" spans="1:5">
      <c r="A2876" s="10">
        <f>43</f>
        <v>43</v>
      </c>
      <c r="B2876" s="18">
        <f t="shared" si="320"/>
        <v>0</v>
      </c>
      <c r="C2876" s="10">
        <f t="shared" si="321"/>
        <v>0</v>
      </c>
      <c r="D2876" s="18">
        <f t="shared" si="322"/>
        <v>5023.7708944691403</v>
      </c>
      <c r="E2876" s="18">
        <f t="shared" si="323"/>
        <v>0</v>
      </c>
    </row>
    <row r="2877" spans="1:5">
      <c r="A2877" s="10">
        <f>44</f>
        <v>44</v>
      </c>
      <c r="B2877" s="18">
        <f t="shared" si="320"/>
        <v>0</v>
      </c>
      <c r="C2877" s="10">
        <f t="shared" si="321"/>
        <v>0</v>
      </c>
      <c r="D2877" s="18">
        <f t="shared" si="322"/>
        <v>5023.7708944691403</v>
      </c>
      <c r="E2877" s="18">
        <f t="shared" si="323"/>
        <v>0</v>
      </c>
    </row>
    <row r="2878" spans="1:5">
      <c r="A2878" s="10">
        <f>45</f>
        <v>45</v>
      </c>
      <c r="B2878" s="18">
        <f t="shared" si="320"/>
        <v>0</v>
      </c>
      <c r="C2878" s="10">
        <f t="shared" si="321"/>
        <v>0</v>
      </c>
      <c r="D2878" s="18">
        <f t="shared" si="322"/>
        <v>5023.7708944691403</v>
      </c>
      <c r="E2878" s="18">
        <f t="shared" si="323"/>
        <v>0</v>
      </c>
    </row>
    <row r="2879" spans="1:5">
      <c r="A2879" s="10">
        <f>46</f>
        <v>46</v>
      </c>
      <c r="B2879" s="18">
        <f t="shared" si="320"/>
        <v>0</v>
      </c>
      <c r="C2879" s="10">
        <f t="shared" si="321"/>
        <v>0</v>
      </c>
      <c r="D2879" s="18">
        <f t="shared" si="322"/>
        <v>5023.7708944691403</v>
      </c>
      <c r="E2879" s="18">
        <f t="shared" si="323"/>
        <v>0</v>
      </c>
    </row>
    <row r="2880" spans="1:5">
      <c r="A2880" s="10">
        <f>47</f>
        <v>47</v>
      </c>
      <c r="B2880" s="18">
        <f t="shared" si="320"/>
        <v>0</v>
      </c>
      <c r="C2880" s="10">
        <f t="shared" si="321"/>
        <v>0</v>
      </c>
      <c r="D2880" s="18">
        <f t="shared" si="322"/>
        <v>5023.7708944691403</v>
      </c>
      <c r="E2880" s="18">
        <f t="shared" si="323"/>
        <v>0</v>
      </c>
    </row>
    <row r="2881" spans="1:5">
      <c r="A2881" s="10">
        <f>48</f>
        <v>48</v>
      </c>
      <c r="B2881" s="18">
        <f t="shared" si="320"/>
        <v>0</v>
      </c>
      <c r="C2881" s="10">
        <f t="shared" si="321"/>
        <v>0</v>
      </c>
      <c r="D2881" s="18">
        <f t="shared" si="322"/>
        <v>5023.7708944691403</v>
      </c>
      <c r="E2881" s="18">
        <f t="shared" si="323"/>
        <v>0</v>
      </c>
    </row>
    <row r="2882" spans="1:5">
      <c r="A2882" s="10">
        <f>49</f>
        <v>49</v>
      </c>
      <c r="B2882" s="18">
        <f t="shared" si="320"/>
        <v>0</v>
      </c>
      <c r="C2882" s="10">
        <f t="shared" si="321"/>
        <v>0</v>
      </c>
      <c r="D2882" s="18">
        <f t="shared" si="322"/>
        <v>5023.7708944691403</v>
      </c>
      <c r="E2882" s="18">
        <f t="shared" si="323"/>
        <v>0</v>
      </c>
    </row>
    <row r="2883" spans="1:5">
      <c r="A2883" s="10">
        <f>50</f>
        <v>50</v>
      </c>
      <c r="B2883" s="18">
        <f t="shared" si="320"/>
        <v>0</v>
      </c>
      <c r="C2883" s="10">
        <f t="shared" si="321"/>
        <v>0</v>
      </c>
      <c r="D2883" s="18">
        <f t="shared" si="322"/>
        <v>5023.7708944691403</v>
      </c>
      <c r="E2883" s="18">
        <f t="shared" si="323"/>
        <v>0</v>
      </c>
    </row>
    <row r="2884" spans="1:5">
      <c r="A2884" s="10">
        <f>51</f>
        <v>51</v>
      </c>
      <c r="B2884" s="18">
        <f t="shared" si="320"/>
        <v>0</v>
      </c>
      <c r="C2884" s="10">
        <f t="shared" si="321"/>
        <v>0</v>
      </c>
      <c r="D2884" s="18">
        <f t="shared" si="322"/>
        <v>5023.7708944691403</v>
      </c>
      <c r="E2884" s="18">
        <f t="shared" si="323"/>
        <v>0</v>
      </c>
    </row>
    <row r="2885" spans="1:5">
      <c r="A2885" s="10">
        <f>52</f>
        <v>52</v>
      </c>
      <c r="B2885" s="18">
        <f t="shared" si="320"/>
        <v>0</v>
      </c>
      <c r="C2885" s="10">
        <f t="shared" si="321"/>
        <v>0</v>
      </c>
      <c r="D2885" s="18">
        <f t="shared" si="322"/>
        <v>5023.7708944691403</v>
      </c>
      <c r="E2885" s="18">
        <f t="shared" si="323"/>
        <v>0</v>
      </c>
    </row>
    <row r="2886" spans="1:5">
      <c r="A2886" s="10">
        <f>53</f>
        <v>53</v>
      </c>
      <c r="B2886" s="18">
        <f t="shared" si="320"/>
        <v>0</v>
      </c>
      <c r="C2886" s="10">
        <f t="shared" si="321"/>
        <v>0</v>
      </c>
      <c r="D2886" s="18">
        <f t="shared" si="322"/>
        <v>5023.7708944691403</v>
      </c>
      <c r="E2886" s="18">
        <f t="shared" si="323"/>
        <v>0</v>
      </c>
    </row>
    <row r="2887" spans="1:5">
      <c r="A2887" s="10">
        <f>54</f>
        <v>54</v>
      </c>
      <c r="B2887" s="18">
        <f t="shared" si="320"/>
        <v>0</v>
      </c>
      <c r="C2887" s="10">
        <f t="shared" si="321"/>
        <v>0</v>
      </c>
      <c r="D2887" s="18">
        <f t="shared" si="322"/>
        <v>5023.7708944691403</v>
      </c>
      <c r="E2887" s="18">
        <f t="shared" si="323"/>
        <v>0</v>
      </c>
    </row>
    <row r="2888" spans="1:5">
      <c r="A2888" s="10">
        <f>55</f>
        <v>55</v>
      </c>
      <c r="B2888" s="18">
        <f t="shared" si="320"/>
        <v>0</v>
      </c>
      <c r="C2888" s="10">
        <f t="shared" si="321"/>
        <v>0</v>
      </c>
      <c r="D2888" s="18">
        <f t="shared" si="322"/>
        <v>5023.7708944691403</v>
      </c>
      <c r="E2888" s="18">
        <f t="shared" si="323"/>
        <v>0</v>
      </c>
    </row>
    <row r="2889" spans="1:5">
      <c r="A2889" s="10">
        <f>56</f>
        <v>56</v>
      </c>
      <c r="B2889" s="18">
        <f t="shared" si="320"/>
        <v>0</v>
      </c>
      <c r="C2889" s="10">
        <f t="shared" si="321"/>
        <v>0</v>
      </c>
      <c r="D2889" s="18">
        <f t="shared" si="322"/>
        <v>5023.7708944691403</v>
      </c>
      <c r="E2889" s="18">
        <f t="shared" si="323"/>
        <v>0</v>
      </c>
    </row>
    <row r="2890" spans="1:5">
      <c r="A2890" s="10">
        <f>57</f>
        <v>57</v>
      </c>
      <c r="B2890" s="18">
        <f t="shared" si="320"/>
        <v>0</v>
      </c>
      <c r="C2890" s="10">
        <f t="shared" si="321"/>
        <v>0</v>
      </c>
      <c r="D2890" s="18">
        <f t="shared" si="322"/>
        <v>5023.7708944691403</v>
      </c>
      <c r="E2890" s="18">
        <f t="shared" si="323"/>
        <v>0</v>
      </c>
    </row>
    <row r="2891" spans="1:5">
      <c r="A2891" s="10">
        <f>58</f>
        <v>58</v>
      </c>
      <c r="B2891" s="18">
        <f t="shared" si="320"/>
        <v>0</v>
      </c>
      <c r="C2891" s="10">
        <f t="shared" si="321"/>
        <v>0</v>
      </c>
      <c r="D2891" s="18">
        <f t="shared" si="322"/>
        <v>5023.7708944691403</v>
      </c>
      <c r="E2891" s="18">
        <f t="shared" si="323"/>
        <v>0</v>
      </c>
    </row>
    <row r="2892" spans="1:5">
      <c r="A2892" s="10">
        <f>59</f>
        <v>59</v>
      </c>
      <c r="B2892" s="18">
        <f t="shared" si="320"/>
        <v>0</v>
      </c>
      <c r="C2892" s="10">
        <f t="shared" si="321"/>
        <v>0</v>
      </c>
      <c r="D2892" s="18">
        <f t="shared" si="322"/>
        <v>5023.7708944691403</v>
      </c>
      <c r="E2892" s="18">
        <f t="shared" si="323"/>
        <v>0</v>
      </c>
    </row>
    <row r="2893" spans="1:5">
      <c r="A2893" s="10">
        <f>60</f>
        <v>60</v>
      </c>
      <c r="B2893" s="18">
        <f t="shared" si="320"/>
        <v>0</v>
      </c>
      <c r="C2893" s="10">
        <f t="shared" si="321"/>
        <v>0</v>
      </c>
      <c r="D2893" s="18">
        <f t="shared" si="322"/>
        <v>5023.7708944691403</v>
      </c>
      <c r="E2893" s="18">
        <f t="shared" si="323"/>
        <v>0</v>
      </c>
    </row>
    <row r="2894" spans="1:5">
      <c r="B2894" s="10">
        <f>SUM(C2834:C2893)</f>
        <v>31</v>
      </c>
    </row>
    <row r="2900" spans="1:19">
      <c r="A2900" s="2" t="s">
        <v>320</v>
      </c>
    </row>
    <row r="2901" spans="1:19">
      <c r="B2901" s="9">
        <f>0.03*$B$5</f>
        <v>30000</v>
      </c>
      <c r="E2901" s="9">
        <f>0.075*$B$5</f>
        <v>75000</v>
      </c>
      <c r="H2901" s="18">
        <f>IFERROR(E2901-E2944*(E2901-B2901)/(E2944-B2944),E2901)</f>
        <v>45257.012833903063</v>
      </c>
      <c r="K2901" s="18">
        <f>IFERROR(H2901-H2944*(H2901-E2901)/(H2944-E2944),H2901)</f>
        <v>44089.546106688198</v>
      </c>
      <c r="N2901" s="18">
        <f>IFERROR(K2901-K2944*(K2901-H2901)/(K2944-H2944),K2901)</f>
        <v>44090.444509004228</v>
      </c>
      <c r="Q2901" s="18">
        <f>IFERROR(N2901-N2944*(N2901-K2901)/(N2944-K2944),N2901)</f>
        <v>44090.446270015353</v>
      </c>
    </row>
    <row r="2902" spans="1:19">
      <c r="A2902" s="25" t="s">
        <v>262</v>
      </c>
      <c r="B2902" s="25" t="s">
        <v>263</v>
      </c>
      <c r="C2902" s="25" t="s">
        <v>264</v>
      </c>
      <c r="D2902" s="25" t="s">
        <v>265</v>
      </c>
      <c r="E2902" s="25" t="s">
        <v>263</v>
      </c>
      <c r="F2902" s="25" t="s">
        <v>264</v>
      </c>
      <c r="G2902" s="25" t="s">
        <v>265</v>
      </c>
      <c r="H2902" s="25" t="s">
        <v>263</v>
      </c>
      <c r="I2902" s="25" t="s">
        <v>264</v>
      </c>
      <c r="J2902" s="25" t="s">
        <v>265</v>
      </c>
      <c r="K2902" s="25" t="s">
        <v>263</v>
      </c>
      <c r="L2902" s="25" t="s">
        <v>264</v>
      </c>
      <c r="M2902" s="25" t="s">
        <v>265</v>
      </c>
      <c r="N2902" s="25" t="s">
        <v>263</v>
      </c>
      <c r="O2902" s="25" t="s">
        <v>264</v>
      </c>
      <c r="P2902" s="25" t="s">
        <v>265</v>
      </c>
      <c r="Q2902" s="25" t="s">
        <v>263</v>
      </c>
      <c r="R2902" s="25" t="s">
        <v>264</v>
      </c>
      <c r="S2902" s="25" t="s">
        <v>265</v>
      </c>
    </row>
    <row r="2903" spans="1:19">
      <c r="A2903" s="3">
        <v>0</v>
      </c>
      <c r="C2903" s="18">
        <f>MIN(4*B2901,$B$5)</f>
        <v>120000</v>
      </c>
      <c r="D2903" s="18">
        <f>$B$5-C2903</f>
        <v>880000</v>
      </c>
      <c r="F2903" s="18">
        <f>MIN(4*E2901,$B$5)</f>
        <v>300000</v>
      </c>
      <c r="G2903" s="18">
        <f>$B$5-F2903</f>
        <v>700000</v>
      </c>
      <c r="I2903" s="18">
        <f>MIN(4*H2901,$B$5)</f>
        <v>181028.05133561225</v>
      </c>
      <c r="J2903" s="18">
        <f>$B$5-I2903</f>
        <v>818971.94866438769</v>
      </c>
      <c r="L2903" s="18">
        <f>MIN(4*K2901,$B$5)</f>
        <v>176358.18442675279</v>
      </c>
      <c r="M2903" s="18">
        <f>$B$5-L2903</f>
        <v>823641.81557324715</v>
      </c>
      <c r="O2903" s="18">
        <f>MIN(4*N2901,$B$5)</f>
        <v>176361.77803601691</v>
      </c>
      <c r="P2903" s="18">
        <f>$B$5-O2903</f>
        <v>823638.22196398303</v>
      </c>
      <c r="R2903" s="18">
        <f>MIN(4*Q2901,$B$5)</f>
        <v>176361.78508006141</v>
      </c>
      <c r="S2903" s="18">
        <f>$B$5-R2903</f>
        <v>823638.21491993859</v>
      </c>
    </row>
    <row r="2904" spans="1:19">
      <c r="A2904" s="10">
        <f>1</f>
        <v>1</v>
      </c>
      <c r="B2904" s="18">
        <f>IF($A2904&gt;30,0,(B2901-MIN(MAX(C2903,0),B2901))+MIN(MAX(0,D2903-(B2901-MIN(MAX(C2903,0),B2901))),MAX(0,4*B2901-(C2903-MIN(MAX(C2903,0),B2901)))))</f>
        <v>30000</v>
      </c>
      <c r="C2904" s="18">
        <f>IF($A2904&gt;30,C2903,(C2903-B2901+B2904)*(1+$B$7))</f>
        <v>119568</v>
      </c>
      <c r="D2904" s="18">
        <f t="shared" ref="D2904:D2943" si="324">IF($A2904&gt;30,D2903,(D2903-B2904)*(1+$B$6))</f>
        <v>875500</v>
      </c>
      <c r="E2904" s="18">
        <f>IF($A2904&gt;30,0,(E2901-MIN(MAX(F2903,0),E2901))+MIN(MAX(0,G2903-(E2901-MIN(MAX(F2903,0),E2901))),MAX(0,4*E2901-(F2903-MIN(MAX(F2903,0),E2901)))))</f>
        <v>75000</v>
      </c>
      <c r="F2904" s="18">
        <f>IF($A2904&gt;30,F2903,(F2903-E2901+E2904)*(1+$B$7))</f>
        <v>298920</v>
      </c>
      <c r="G2904" s="18">
        <f t="shared" ref="G2904:G2943" si="325">IF($A2904&gt;30,G2903,(G2903-E2904)*(1+$B$6))</f>
        <v>643750</v>
      </c>
      <c r="H2904" s="18">
        <f>IF($A2904&gt;30,0,(H2901-MIN(MAX(I2903,0),H2901))+MIN(MAX(0,J2903-(H2901-MIN(MAX(I2903,0),H2901))),MAX(0,4*H2901-(I2903-MIN(MAX(I2903,0),H2901)))))</f>
        <v>45257.012833903078</v>
      </c>
      <c r="I2904" s="18">
        <f>IF($A2904&gt;30,I2903,(I2903-H2901+H2904)*(1+$B$7))</f>
        <v>180376.35035080404</v>
      </c>
      <c r="J2904" s="18">
        <f t="shared" ref="J2904:J2943" si="326">IF($A2904&gt;30,J2903,(J2903-H2904)*(1+$B$6))</f>
        <v>796926.38390539913</v>
      </c>
      <c r="K2904" s="18">
        <f>IF($A2904&gt;30,0,(K2901-MIN(MAX(L2903,0),K2901))+MIN(MAX(0,M2903-(K2901-MIN(MAX(L2903,0),K2901))),MAX(0,4*K2901-(L2903-MIN(MAX(L2903,0),K2901)))))</f>
        <v>44089.546106688213</v>
      </c>
      <c r="L2904" s="18">
        <f>IF($A2904&gt;30,L2903,(L2903-K2901+K2904)*(1+$B$7))</f>
        <v>175723.29496281646</v>
      </c>
      <c r="M2904" s="18">
        <f t="shared" ref="M2904:M2943" si="327">IF($A2904&gt;30,M2903,(M2903-K2904)*(1+$B$6))</f>
        <v>802938.83755055571</v>
      </c>
      <c r="N2904" s="18">
        <f>IF($A2904&gt;30,0,(N2901-MIN(MAX(O2903,0),N2901))+MIN(MAX(0,P2903-(N2901-MIN(MAX(O2903,0),N2901))),MAX(0,4*N2901-(O2903-MIN(MAX(O2903,0),N2901)))))</f>
        <v>44090.444509004243</v>
      </c>
      <c r="O2904" s="18">
        <f>IF($A2904&gt;30,O2903,(O2903-N2901+N2904)*(1+$B$7))</f>
        <v>175726.87563508726</v>
      </c>
      <c r="P2904" s="18">
        <f t="shared" ref="P2904:P2943" si="328">IF($A2904&gt;30,P2903,(P2903-N2904)*(1+$B$6))</f>
        <v>802934.21077862813</v>
      </c>
      <c r="Q2904" s="18">
        <f>IF($A2904&gt;30,0,(Q2901-MIN(MAX(R2903,0),Q2901))+MIN(MAX(0,S2903-(Q2901-MIN(MAX(R2903,0),Q2901))),MAX(0,4*Q2901-(R2903-MIN(MAX(R2903,0),Q2901)))))</f>
        <v>44090.446270015353</v>
      </c>
      <c r="R2904" s="18">
        <f>IF($A2904&gt;30,R2903,(R2903-Q2901+Q2904)*(1+$B$7))</f>
        <v>175726.88265377318</v>
      </c>
      <c r="S2904" s="18">
        <f t="shared" ref="S2904:S2943" si="329">IF($A2904&gt;30,S2903,(S2903-Q2904)*(1+$B$6))</f>
        <v>802934.201709421</v>
      </c>
    </row>
    <row r="2905" spans="1:19">
      <c r="A2905" s="10">
        <f>2</f>
        <v>2</v>
      </c>
      <c r="B2905" s="18">
        <f>IF($A2905&gt;30,0,(B2901-MIN(MAX(C2904,0),B2901))+MIN(MAX(0,D2904-(B2901-MIN(MAX(C2904,0),B2901))),MAX(0,4*B2901-(C2904-MIN(MAX(C2904,0),B2901)))))</f>
        <v>30432</v>
      </c>
      <c r="C2905" s="18">
        <f>IF($A2905&gt;30,C2904,(C2904-B2901+B2905)*(1+$B$7))</f>
        <v>119568</v>
      </c>
      <c r="D2905" s="18">
        <f t="shared" si="324"/>
        <v>870420.04</v>
      </c>
      <c r="E2905" s="18">
        <f>IF($A2905&gt;30,0,(E2901-MIN(MAX(F2904,0),E2901))+MIN(MAX(0,G2904-(E2901-MIN(MAX(F2904,0),E2901))),MAX(0,4*E2901-(F2904-MIN(MAX(F2904,0),E2901)))))</f>
        <v>76080</v>
      </c>
      <c r="F2905" s="18">
        <f>IF($A2905&gt;30,F2904,(F2904-E2901+E2905)*(1+$B$7))</f>
        <v>298920</v>
      </c>
      <c r="G2905" s="18">
        <f t="shared" si="325"/>
        <v>584700.1</v>
      </c>
      <c r="H2905" s="18">
        <f>IF($A2905&gt;30,0,(H2901-MIN(MAX(I2904,0),H2901))+MIN(MAX(0,J2904-(H2901-MIN(MAX(I2904,0),H2901))),MAX(0,4*H2901-(I2904-MIN(MAX(I2904,0),H2901)))))</f>
        <v>45908.713818711287</v>
      </c>
      <c r="I2905" s="18">
        <f>IF($A2905&gt;30,I2904,(I2904-H2901+H2905)*(1+$B$7))</f>
        <v>180376.35035080404</v>
      </c>
      <c r="J2905" s="18">
        <f t="shared" si="326"/>
        <v>773548.20018928859</v>
      </c>
      <c r="K2905" s="18">
        <f>IF($A2905&gt;30,0,(K2901-MIN(MAX(L2904,0),K2901))+MIN(MAX(0,M2904-(K2901-MIN(MAX(L2904,0),K2901))),MAX(0,4*K2901-(L2904-MIN(MAX(L2904,0),K2901)))))</f>
        <v>44724.435570624541</v>
      </c>
      <c r="L2905" s="18">
        <f>IF($A2905&gt;30,L2904,(L2904-K2901+K2905)*(1+$B$7))</f>
        <v>175723.29496281646</v>
      </c>
      <c r="M2905" s="18">
        <f t="shared" si="327"/>
        <v>780960.83403932909</v>
      </c>
      <c r="N2905" s="18">
        <f>IF($A2905&gt;30,0,(N2901-MIN(MAX(O2904,0),N2901))+MIN(MAX(0,P2904-(N2901-MIN(MAX(O2904,0),N2901))),MAX(0,4*N2901-(O2904-MIN(MAX(O2904,0),N2901)))))</f>
        <v>44725.346909933898</v>
      </c>
      <c r="O2905" s="18">
        <f>IF($A2905&gt;30,O2904,(O2904-N2901+N2905)*(1+$B$7))</f>
        <v>175726.87563508726</v>
      </c>
      <c r="P2905" s="18">
        <f t="shared" si="328"/>
        <v>780955.12978475518</v>
      </c>
      <c r="Q2905" s="18">
        <f>IF($A2905&gt;30,0,(Q2901-MIN(MAX(R2904,0),Q2901))+MIN(MAX(0,S2904-(Q2901-MIN(MAX(R2904,0),Q2901))),MAX(0,4*Q2901-(R2904-MIN(MAX(R2904,0),Q2901)))))</f>
        <v>44725.348696303583</v>
      </c>
      <c r="R2905" s="18">
        <f>IF($A2905&gt;30,R2904,(R2904-Q2901+Q2905)*(1+$B$7))</f>
        <v>175726.88265377318</v>
      </c>
      <c r="S2905" s="18">
        <f t="shared" si="329"/>
        <v>780955.11860351101</v>
      </c>
    </row>
    <row r="2906" spans="1:19">
      <c r="A2906" s="10">
        <f>3</f>
        <v>3</v>
      </c>
      <c r="B2906" s="18">
        <f>IF($A2906&gt;30,0,(B2901-MIN(MAX(C2905,0),B2901))+MIN(MAX(0,D2905-(B2901-MIN(MAX(C2905,0),B2901))),MAX(0,4*B2901-(C2905-MIN(MAX(C2905,0),B2901)))))</f>
        <v>30432</v>
      </c>
      <c r="C2906" s="18">
        <f>IF($A2906&gt;30,C2905,(C2905-B2901+B2906)*(1+$B$7))</f>
        <v>119568</v>
      </c>
      <c r="D2906" s="18">
        <f t="shared" si="324"/>
        <v>865187.68120000011</v>
      </c>
      <c r="E2906" s="18">
        <f>IF($A2906&gt;30,0,(E2901-MIN(MAX(F2905,0),E2901))+MIN(MAX(0,G2905-(E2901-MIN(MAX(F2905,0),E2901))),MAX(0,4*E2901-(F2905-MIN(MAX(F2905,0),E2901)))))</f>
        <v>76080</v>
      </c>
      <c r="F2906" s="18">
        <f>IF($A2906&gt;30,F2905,(F2905-E2901+E2906)*(1+$B$7))</f>
        <v>298920</v>
      </c>
      <c r="G2906" s="18">
        <f t="shared" si="325"/>
        <v>523878.70299999998</v>
      </c>
      <c r="H2906" s="18">
        <f>IF($A2906&gt;30,0,(H2901-MIN(MAX(I2905,0),H2901))+MIN(MAX(0,J2905-(H2901-MIN(MAX(I2905,0),H2901))),MAX(0,4*H2901-(I2905-MIN(MAX(I2905,0),H2901)))))</f>
        <v>45908.713818711287</v>
      </c>
      <c r="I2906" s="18">
        <f>IF($A2906&gt;30,I2905,(I2905-H2901+H2906)*(1+$B$7))</f>
        <v>180376.35035080404</v>
      </c>
      <c r="J2906" s="18">
        <f t="shared" si="326"/>
        <v>749468.67096169456</v>
      </c>
      <c r="K2906" s="18">
        <f>IF($A2906&gt;30,0,(K2901-MIN(MAX(L2905,0),K2901))+MIN(MAX(0,M2905-(K2901-MIN(MAX(L2905,0),K2901))),MAX(0,4*K2901-(L2905-MIN(MAX(L2905,0),K2901)))))</f>
        <v>44724.435570624541</v>
      </c>
      <c r="L2906" s="18">
        <f>IF($A2906&gt;30,L2905,(L2905-K2901+K2906)*(1+$B$7))</f>
        <v>175723.29496281646</v>
      </c>
      <c r="M2906" s="18">
        <f t="shared" si="327"/>
        <v>758323.49042276572</v>
      </c>
      <c r="N2906" s="18">
        <f>IF($A2906&gt;30,0,(N2901-MIN(MAX(O2905,0),N2901))+MIN(MAX(0,P2905-(N2901-MIN(MAX(O2905,0),N2901))),MAX(0,4*N2901-(O2905-MIN(MAX(O2905,0),N2901)))))</f>
        <v>44725.346909933898</v>
      </c>
      <c r="O2906" s="18">
        <f>IF($A2906&gt;30,O2905,(O2905-N2901+N2906)*(1+$B$7))</f>
        <v>175726.87563508726</v>
      </c>
      <c r="P2906" s="18">
        <f t="shared" si="328"/>
        <v>758316.67636106582</v>
      </c>
      <c r="Q2906" s="18">
        <f>IF($A2906&gt;30,0,(Q2901-MIN(MAX(R2905,0),Q2901))+MIN(MAX(0,S2905-(Q2901-MIN(MAX(R2905,0),Q2901))),MAX(0,4*Q2901-(R2905-MIN(MAX(R2905,0),Q2901)))))</f>
        <v>44725.348696303583</v>
      </c>
      <c r="R2906" s="18">
        <f>IF($A2906&gt;30,R2905,(R2905-Q2901+Q2906)*(1+$B$7))</f>
        <v>175726.88265377318</v>
      </c>
      <c r="S2906" s="18">
        <f t="shared" si="329"/>
        <v>758316.66300442372</v>
      </c>
    </row>
    <row r="2907" spans="1:19">
      <c r="A2907" s="10">
        <f>4</f>
        <v>4</v>
      </c>
      <c r="B2907" s="18">
        <f>IF($A2907&gt;30,0,(B2901-MIN(MAX(C2906,0),B2901))+MIN(MAX(0,D2906-(B2901-MIN(MAX(C2906,0),B2901))),MAX(0,4*B2901-(C2906-MIN(MAX(C2906,0),B2901)))))</f>
        <v>30432</v>
      </c>
      <c r="C2907" s="18">
        <f>IF($A2907&gt;30,C2906,(C2906-B2901+B2907)*(1+$B$7))</f>
        <v>119568</v>
      </c>
      <c r="D2907" s="18">
        <f t="shared" si="324"/>
        <v>859798.35163600009</v>
      </c>
      <c r="E2907" s="18">
        <f>IF($A2907&gt;30,0,(E2901-MIN(MAX(F2906,0),E2901))+MIN(MAX(0,G2906-(E2901-MIN(MAX(F2906,0),E2901))),MAX(0,4*E2901-(F2906-MIN(MAX(F2906,0),E2901)))))</f>
        <v>76080</v>
      </c>
      <c r="F2907" s="18">
        <f>IF($A2907&gt;30,F2906,(F2906-E2901+E2907)*(1+$B$7))</f>
        <v>298920</v>
      </c>
      <c r="G2907" s="18">
        <f t="shared" si="325"/>
        <v>461232.66408999998</v>
      </c>
      <c r="H2907" s="18">
        <f>IF($A2907&gt;30,0,(H2901-MIN(MAX(I2906,0),H2901))+MIN(MAX(0,J2906-(H2901-MIN(MAX(I2906,0),H2901))),MAX(0,4*H2901-(I2906-MIN(MAX(I2906,0),H2901)))))</f>
        <v>45908.713818711287</v>
      </c>
      <c r="I2907" s="18">
        <f>IF($A2907&gt;30,I2906,(I2906-H2901+H2907)*(1+$B$7))</f>
        <v>180376.35035080404</v>
      </c>
      <c r="J2907" s="18">
        <f t="shared" si="326"/>
        <v>724666.75585727289</v>
      </c>
      <c r="K2907" s="18">
        <f>IF($A2907&gt;30,0,(K2901-MIN(MAX(L2906,0),K2901))+MIN(MAX(0,M2906-(K2901-MIN(MAX(L2906,0),K2901))),MAX(0,4*K2901-(L2906-MIN(MAX(L2906,0),K2901)))))</f>
        <v>44724.435570624541</v>
      </c>
      <c r="L2907" s="18">
        <f>IF($A2907&gt;30,L2906,(L2906-K2901+K2907)*(1+$B$7))</f>
        <v>175723.29496281646</v>
      </c>
      <c r="M2907" s="18">
        <f t="shared" si="327"/>
        <v>735007.02649770549</v>
      </c>
      <c r="N2907" s="18">
        <f>IF($A2907&gt;30,0,(N2901-MIN(MAX(O2906,0),N2901))+MIN(MAX(0,P2906-(N2901-MIN(MAX(O2906,0),N2901))),MAX(0,4*N2901-(O2906-MIN(MAX(O2906,0),N2901)))))</f>
        <v>44725.346909933898</v>
      </c>
      <c r="O2907" s="18">
        <f>IF($A2907&gt;30,O2906,(O2906-N2901+N2907)*(1+$B$7))</f>
        <v>175726.87563508726</v>
      </c>
      <c r="P2907" s="18">
        <f t="shared" si="328"/>
        <v>734999.0693346659</v>
      </c>
      <c r="Q2907" s="18">
        <f>IF($A2907&gt;30,0,(Q2901-MIN(MAX(R2906,0),Q2901))+MIN(MAX(0,S2906-(Q2901-MIN(MAX(R2906,0),Q2901))),MAX(0,4*Q2901-(R2906-MIN(MAX(R2906,0),Q2901)))))</f>
        <v>44725.348696303583</v>
      </c>
      <c r="R2907" s="18">
        <f>IF($A2907&gt;30,R2906,(R2906-Q2901+Q2907)*(1+$B$7))</f>
        <v>175726.88265377318</v>
      </c>
      <c r="S2907" s="18">
        <f t="shared" si="329"/>
        <v>734999.05373736378</v>
      </c>
    </row>
    <row r="2908" spans="1:19">
      <c r="A2908" s="10">
        <f>5</f>
        <v>5</v>
      </c>
      <c r="B2908" s="18">
        <f>IF($A2908&gt;30,0,(B2901-MIN(MAX(C2907,0),B2901))+MIN(MAX(0,D2907-(B2901-MIN(MAX(C2907,0),B2901))),MAX(0,4*B2901-(C2907-MIN(MAX(C2907,0),B2901)))))</f>
        <v>30432</v>
      </c>
      <c r="C2908" s="18">
        <f>IF($A2908&gt;30,C2907,(C2907-B2901+B2908)*(1+$B$7))</f>
        <v>119568</v>
      </c>
      <c r="D2908" s="18">
        <f t="shared" si="324"/>
        <v>854247.34218508017</v>
      </c>
      <c r="E2908" s="18">
        <f>IF($A2908&gt;30,0,(E2901-MIN(MAX(F2907,0),E2901))+MIN(MAX(0,G2907-(E2901-MIN(MAX(F2907,0),E2901))),MAX(0,4*E2901-(F2907-MIN(MAX(F2907,0),E2901)))))</f>
        <v>76080</v>
      </c>
      <c r="F2908" s="18">
        <f>IF($A2908&gt;30,F2907,(F2907-E2901+E2908)*(1+$B$7))</f>
        <v>298920</v>
      </c>
      <c r="G2908" s="18">
        <f t="shared" si="325"/>
        <v>396707.24401269999</v>
      </c>
      <c r="H2908" s="18">
        <f>IF($A2908&gt;30,0,(H2901-MIN(MAX(I2907,0),H2901))+MIN(MAX(0,J2907-(H2901-MIN(MAX(I2907,0),H2901))),MAX(0,4*H2901-(I2907-MIN(MAX(I2907,0),H2901)))))</f>
        <v>45908.713818711287</v>
      </c>
      <c r="I2908" s="18">
        <f>IF($A2908&gt;30,I2907,(I2907-H2901+H2908)*(1+$B$7))</f>
        <v>180376.35035080404</v>
      </c>
      <c r="J2908" s="18">
        <f t="shared" si="326"/>
        <v>699120.7832997184</v>
      </c>
      <c r="K2908" s="18">
        <f>IF($A2908&gt;30,0,(K2901-MIN(MAX(L2907,0),K2901))+MIN(MAX(0,M2907-(K2901-MIN(MAX(L2907,0),K2901))),MAX(0,4*K2901-(L2907-MIN(MAX(L2907,0),K2901)))))</f>
        <v>44724.435570624541</v>
      </c>
      <c r="L2908" s="18">
        <f>IF($A2908&gt;30,L2907,(L2907-K2901+K2908)*(1+$B$7))</f>
        <v>175723.29496281646</v>
      </c>
      <c r="M2908" s="18">
        <f t="shared" si="327"/>
        <v>710991.06865489343</v>
      </c>
      <c r="N2908" s="18">
        <f>IF($A2908&gt;30,0,(N2901-MIN(MAX(O2907,0),N2901))+MIN(MAX(0,P2907-(N2901-MIN(MAX(O2907,0),N2901))),MAX(0,4*N2901-(O2907-MIN(MAX(O2907,0),N2901)))))</f>
        <v>44725.346909933898</v>
      </c>
      <c r="O2908" s="18">
        <f>IF($A2908&gt;30,O2907,(O2907-N2901+N2908)*(1+$B$7))</f>
        <v>175726.87563508726</v>
      </c>
      <c r="P2908" s="18">
        <f t="shared" si="328"/>
        <v>710981.93409747409</v>
      </c>
      <c r="Q2908" s="18">
        <f>IF($A2908&gt;30,0,(Q2901-MIN(MAX(R2907,0),Q2901))+MIN(MAX(0,S2907-(Q2901-MIN(MAX(R2907,0),Q2901))),MAX(0,4*Q2901-(R2907-MIN(MAX(R2907,0),Q2901)))))</f>
        <v>44725.348696303583</v>
      </c>
      <c r="R2908" s="18">
        <f>IF($A2908&gt;30,R2907,(R2907-Q2901+Q2908)*(1+$B$7))</f>
        <v>175726.88265377318</v>
      </c>
      <c r="S2908" s="18">
        <f t="shared" si="329"/>
        <v>710981.916192292</v>
      </c>
    </row>
    <row r="2909" spans="1:19">
      <c r="A2909" s="10">
        <f>6</f>
        <v>6</v>
      </c>
      <c r="B2909" s="18">
        <f>IF($A2909&gt;30,0,(B2901-MIN(MAX(C2908,0),B2901))+MIN(MAX(0,D2908-(B2901-MIN(MAX(C2908,0),B2901))),MAX(0,4*B2901-(C2908-MIN(MAX(C2908,0),B2901)))))</f>
        <v>30432</v>
      </c>
      <c r="C2909" s="18">
        <f>IF($A2909&gt;30,C2908,(C2908-B2901+B2909)*(1+$B$7))</f>
        <v>119568</v>
      </c>
      <c r="D2909" s="18">
        <f t="shared" si="324"/>
        <v>848529.80245063256</v>
      </c>
      <c r="E2909" s="18">
        <f>IF($A2909&gt;30,0,(E2901-MIN(MAX(F2908,0),E2901))+MIN(MAX(0,G2908-(E2901-MIN(MAX(F2908,0),E2901))),MAX(0,4*E2901-(F2908-MIN(MAX(F2908,0),E2901)))))</f>
        <v>76080</v>
      </c>
      <c r="F2909" s="18">
        <f>IF($A2909&gt;30,F2908,(F2908-E2901+E2909)*(1+$B$7))</f>
        <v>298920</v>
      </c>
      <c r="G2909" s="18">
        <f t="shared" si="325"/>
        <v>330246.06133308099</v>
      </c>
      <c r="H2909" s="18">
        <f>IF($A2909&gt;30,0,(H2901-MIN(MAX(I2908,0),H2901))+MIN(MAX(0,J2908-(H2901-MIN(MAX(I2908,0),H2901))),MAX(0,4*H2901-(I2908-MIN(MAX(I2908,0),H2901)))))</f>
        <v>45908.713818711287</v>
      </c>
      <c r="I2909" s="18">
        <f>IF($A2909&gt;30,I2908,(I2908-H2901+H2909)*(1+$B$7))</f>
        <v>180376.35035080404</v>
      </c>
      <c r="J2909" s="18">
        <f t="shared" si="326"/>
        <v>672808.43156543723</v>
      </c>
      <c r="K2909" s="18">
        <f>IF($A2909&gt;30,0,(K2901-MIN(MAX(L2908,0),K2901))+MIN(MAX(0,M2908-(K2901-MIN(MAX(L2908,0),K2901))),MAX(0,4*K2901-(L2908-MIN(MAX(L2908,0),K2901)))))</f>
        <v>44724.435570624541</v>
      </c>
      <c r="L2909" s="18">
        <f>IF($A2909&gt;30,L2908,(L2908-K2901+K2909)*(1+$B$7))</f>
        <v>175723.29496281646</v>
      </c>
      <c r="M2909" s="18">
        <f t="shared" si="327"/>
        <v>686254.63207679696</v>
      </c>
      <c r="N2909" s="18">
        <f>IF($A2909&gt;30,0,(N2901-MIN(MAX(O2908,0),N2901))+MIN(MAX(0,P2908-(N2901-MIN(MAX(O2908,0),N2901))),MAX(0,4*N2901-(O2908-MIN(MAX(O2908,0),N2901)))))</f>
        <v>44725.346909933898</v>
      </c>
      <c r="O2909" s="18">
        <f>IF($A2909&gt;30,O2908,(O2908-N2901+N2909)*(1+$B$7))</f>
        <v>175726.87563508726</v>
      </c>
      <c r="P2909" s="18">
        <f t="shared" si="328"/>
        <v>686244.28480316652</v>
      </c>
      <c r="Q2909" s="18">
        <f>IF($A2909&gt;30,0,(Q2901-MIN(MAX(R2908,0),Q2901))+MIN(MAX(0,S2908-(Q2901-MIN(MAX(R2908,0),Q2901))),MAX(0,4*Q2901-(R2908-MIN(MAX(R2908,0),Q2901)))))</f>
        <v>44725.348696303583</v>
      </c>
      <c r="R2909" s="18">
        <f>IF($A2909&gt;30,R2908,(R2908-Q2901+Q2909)*(1+$B$7))</f>
        <v>175726.88265377318</v>
      </c>
      <c r="S2909" s="18">
        <f t="shared" si="329"/>
        <v>686244.26452086808</v>
      </c>
    </row>
    <row r="2910" spans="1:19">
      <c r="A2910" s="10">
        <f>7</f>
        <v>7</v>
      </c>
      <c r="B2910" s="18">
        <f>IF($A2910&gt;30,0,(B2901-MIN(MAX(C2909,0),B2901))+MIN(MAX(0,D2909-(B2901-MIN(MAX(C2909,0),B2901))),MAX(0,4*B2901-(C2909-MIN(MAX(C2909,0),B2901)))))</f>
        <v>30432</v>
      </c>
      <c r="C2910" s="18">
        <f>IF($A2910&gt;30,C2909,(C2909-B2901+B2910)*(1+$B$7))</f>
        <v>119568</v>
      </c>
      <c r="D2910" s="18">
        <f t="shared" si="324"/>
        <v>842640.73652415152</v>
      </c>
      <c r="E2910" s="18">
        <f>IF($A2910&gt;30,0,(E2901-MIN(MAX(F2909,0),E2901))+MIN(MAX(0,G2909-(E2901-MIN(MAX(F2909,0),E2901))),MAX(0,4*E2901-(F2909-MIN(MAX(F2909,0),E2901)))))</f>
        <v>76080</v>
      </c>
      <c r="F2910" s="18">
        <f>IF($A2910&gt;30,F2909,(F2909-E2901+E2910)*(1+$B$7))</f>
        <v>298920</v>
      </c>
      <c r="G2910" s="18">
        <f t="shared" si="325"/>
        <v>261791.04317307341</v>
      </c>
      <c r="H2910" s="18">
        <f>IF($A2910&gt;30,0,(H2901-MIN(MAX(I2909,0),H2901))+MIN(MAX(0,J2909-(H2901-MIN(MAX(I2909,0),H2901))),MAX(0,4*H2901-(I2909-MIN(MAX(I2909,0),H2901)))))</f>
        <v>45908.713818711287</v>
      </c>
      <c r="I2910" s="18">
        <f>IF($A2910&gt;30,I2909,(I2909-H2901+H2910)*(1+$B$7))</f>
        <v>180376.35035080404</v>
      </c>
      <c r="J2910" s="18">
        <f t="shared" si="326"/>
        <v>645706.70927912777</v>
      </c>
      <c r="K2910" s="18">
        <f>IF($A2910&gt;30,0,(K2901-MIN(MAX(L2909,0),K2901))+MIN(MAX(0,M2909-(K2901-MIN(MAX(L2909,0),K2901))),MAX(0,4*K2901-(L2909-MIN(MAX(L2909,0),K2901)))))</f>
        <v>44724.435570624541</v>
      </c>
      <c r="L2910" s="18">
        <f>IF($A2910&gt;30,L2909,(L2909-K2901+K2910)*(1+$B$7))</f>
        <v>175723.29496281646</v>
      </c>
      <c r="M2910" s="18">
        <f t="shared" si="327"/>
        <v>660776.10240135761</v>
      </c>
      <c r="N2910" s="18">
        <f>IF($A2910&gt;30,0,(N2901-MIN(MAX(O2909,0),N2901))+MIN(MAX(0,P2909-(N2901-MIN(MAX(O2909,0),N2901))),MAX(0,4*N2901-(O2909-MIN(MAX(O2909,0),N2901)))))</f>
        <v>44725.346909933898</v>
      </c>
      <c r="O2910" s="18">
        <f>IF($A2910&gt;30,O2909,(O2909-N2901+N2910)*(1+$B$7))</f>
        <v>175726.87563508726</v>
      </c>
      <c r="P2910" s="18">
        <f t="shared" si="328"/>
        <v>660764.5060300295</v>
      </c>
      <c r="Q2910" s="18">
        <f>IF($A2910&gt;30,0,(Q2901-MIN(MAX(R2909,0),Q2901))+MIN(MAX(0,S2909-(Q2901-MIN(MAX(R2909,0),Q2901))),MAX(0,4*Q2901-(R2909-MIN(MAX(R2909,0),Q2901)))))</f>
        <v>44725.348696303583</v>
      </c>
      <c r="R2910" s="18">
        <f>IF($A2910&gt;30,R2909,(R2909-Q2901+Q2910)*(1+$B$7))</f>
        <v>175726.88265377318</v>
      </c>
      <c r="S2910" s="18">
        <f t="shared" si="329"/>
        <v>660764.48329930147</v>
      </c>
    </row>
    <row r="2911" spans="1:19">
      <c r="A2911" s="10">
        <f>8</f>
        <v>8</v>
      </c>
      <c r="B2911" s="18">
        <f>IF($A2911&gt;30,0,(B2901-MIN(MAX(C2910,0),B2901))+MIN(MAX(0,D2910-(B2901-MIN(MAX(C2910,0),B2901))),MAX(0,4*B2901-(C2910-MIN(MAX(C2910,0),B2901)))))</f>
        <v>30432</v>
      </c>
      <c r="C2911" s="18">
        <f>IF($A2911&gt;30,C2910,(C2910-B2901+B2911)*(1+$B$7))</f>
        <v>119568</v>
      </c>
      <c r="D2911" s="18">
        <f t="shared" si="324"/>
        <v>836574.9986198761</v>
      </c>
      <c r="E2911" s="18">
        <f>IF($A2911&gt;30,0,(E2901-MIN(MAX(F2910,0),E2901))+MIN(MAX(0,G2910-(E2901-MIN(MAX(F2910,0),E2901))),MAX(0,4*E2901-(F2910-MIN(MAX(F2910,0),E2901)))))</f>
        <v>76080</v>
      </c>
      <c r="F2911" s="18">
        <f>IF($A2911&gt;30,F2910,(F2910-E2901+E2911)*(1+$B$7))</f>
        <v>298920</v>
      </c>
      <c r="G2911" s="18">
        <f t="shared" si="325"/>
        <v>191282.37446826563</v>
      </c>
      <c r="H2911" s="18">
        <f>IF($A2911&gt;30,0,(H2901-MIN(MAX(I2910,0),H2901))+MIN(MAX(0,J2910-(H2901-MIN(MAX(I2910,0),H2901))),MAX(0,4*H2901-(I2910-MIN(MAX(I2910,0),H2901)))))</f>
        <v>45908.713818711287</v>
      </c>
      <c r="I2911" s="18">
        <f>IF($A2911&gt;30,I2910,(I2910-H2901+H2911)*(1+$B$7))</f>
        <v>180376.35035080404</v>
      </c>
      <c r="J2911" s="18">
        <f t="shared" si="326"/>
        <v>617791.93532422895</v>
      </c>
      <c r="K2911" s="18">
        <f>IF($A2911&gt;30,0,(K2901-MIN(MAX(L2910,0),K2901))+MIN(MAX(0,M2910-(K2901-MIN(MAX(L2910,0),K2901))),MAX(0,4*K2901-(L2910-MIN(MAX(L2910,0),K2901)))))</f>
        <v>44724.435570624541</v>
      </c>
      <c r="L2911" s="18">
        <f>IF($A2911&gt;30,L2910,(L2910-K2901+K2911)*(1+$B$7))</f>
        <v>175723.29496281646</v>
      </c>
      <c r="M2911" s="18">
        <f t="shared" si="327"/>
        <v>634533.21683565504</v>
      </c>
      <c r="N2911" s="18">
        <f>IF($A2911&gt;30,0,(N2901-MIN(MAX(O2910,0),N2901))+MIN(MAX(0,P2910-(N2901-MIN(MAX(O2910,0),N2901))),MAX(0,4*N2901-(O2910-MIN(MAX(O2910,0),N2901)))))</f>
        <v>44725.346909933898</v>
      </c>
      <c r="O2911" s="18">
        <f>IF($A2911&gt;30,O2910,(O2910-N2901+N2911)*(1+$B$7))</f>
        <v>175726.87563508726</v>
      </c>
      <c r="P2911" s="18">
        <f t="shared" si="328"/>
        <v>634520.33389369852</v>
      </c>
      <c r="Q2911" s="18">
        <f>IF($A2911&gt;30,0,(Q2901-MIN(MAX(R2910,0),Q2901))+MIN(MAX(0,S2910-(Q2901-MIN(MAX(R2910,0),Q2901))),MAX(0,4*Q2901-(R2910-MIN(MAX(R2910,0),Q2901)))))</f>
        <v>44725.348696303583</v>
      </c>
      <c r="R2911" s="18">
        <f>IF($A2911&gt;30,R2910,(R2910-Q2901+Q2911)*(1+$B$7))</f>
        <v>175726.88265377318</v>
      </c>
      <c r="S2911" s="18">
        <f t="shared" si="329"/>
        <v>634520.30864108785</v>
      </c>
    </row>
    <row r="2912" spans="1:19">
      <c r="A2912" s="10">
        <f>9</f>
        <v>9</v>
      </c>
      <c r="B2912" s="18">
        <f>IF($A2912&gt;30,0,(B2901-MIN(MAX(C2911,0),B2901))+MIN(MAX(0,D2911-(B2901-MIN(MAX(C2911,0),B2901))),MAX(0,4*B2901-(C2911-MIN(MAX(C2911,0),B2901)))))</f>
        <v>30432</v>
      </c>
      <c r="C2912" s="18">
        <f>IF($A2912&gt;30,C2911,(C2911-B2901+B2912)*(1+$B$7))</f>
        <v>119568</v>
      </c>
      <c r="D2912" s="18">
        <f t="shared" si="324"/>
        <v>830327.28857847245</v>
      </c>
      <c r="E2912" s="18">
        <f>IF($A2912&gt;30,0,(E2901-MIN(MAX(F2911,0),E2901))+MIN(MAX(0,G2911-(E2901-MIN(MAX(F2911,0),E2901))),MAX(0,4*E2901-(F2911-MIN(MAX(F2911,0),E2901)))))</f>
        <v>76080</v>
      </c>
      <c r="F2912" s="18">
        <f>IF($A2912&gt;30,F2911,(F2911-E2901+E2912)*(1+$B$7))</f>
        <v>298920</v>
      </c>
      <c r="G2912" s="18">
        <f t="shared" si="325"/>
        <v>118658.44570231359</v>
      </c>
      <c r="H2912" s="18">
        <f>IF($A2912&gt;30,0,(H2901-MIN(MAX(I2911,0),H2901))+MIN(MAX(0,J2911-(H2901-MIN(MAX(I2911,0),H2901))),MAX(0,4*H2901-(I2911-MIN(MAX(I2911,0),H2901)))))</f>
        <v>45908.713818711287</v>
      </c>
      <c r="I2912" s="18">
        <f>IF($A2912&gt;30,I2911,(I2911-H2901+H2912)*(1+$B$7))</f>
        <v>180376.35035080404</v>
      </c>
      <c r="J2912" s="18">
        <f t="shared" si="326"/>
        <v>589039.7181506831</v>
      </c>
      <c r="K2912" s="18">
        <f>IF($A2912&gt;30,0,(K2901-MIN(MAX(L2911,0),K2901))+MIN(MAX(0,M2911-(K2901-MIN(MAX(L2911,0),K2901))),MAX(0,4*K2901-(L2911-MIN(MAX(L2911,0),K2901)))))</f>
        <v>44724.435570624541</v>
      </c>
      <c r="L2912" s="18">
        <f>IF($A2912&gt;30,L2911,(L2911-K2901+K2912)*(1+$B$7))</f>
        <v>175723.29496281646</v>
      </c>
      <c r="M2912" s="18">
        <f t="shared" si="327"/>
        <v>607503.04470298148</v>
      </c>
      <c r="N2912" s="18">
        <f>IF($A2912&gt;30,0,(N2901-MIN(MAX(O2911,0),N2901))+MIN(MAX(0,P2911-(N2901-MIN(MAX(O2911,0),N2901))),MAX(0,4*N2901-(O2911-MIN(MAX(O2911,0),N2901)))))</f>
        <v>44725.346909933898</v>
      </c>
      <c r="O2912" s="18">
        <f>IF($A2912&gt;30,O2911,(O2911-N2901+N2912)*(1+$B$7))</f>
        <v>175726.87563508726</v>
      </c>
      <c r="P2912" s="18">
        <f t="shared" si="328"/>
        <v>607488.83659327764</v>
      </c>
      <c r="Q2912" s="18">
        <f>IF($A2912&gt;30,0,(Q2901-MIN(MAX(R2911,0),Q2901))+MIN(MAX(0,S2911-(Q2901-MIN(MAX(R2911,0),Q2901))),MAX(0,4*Q2901-(R2911-MIN(MAX(R2911,0),Q2901)))))</f>
        <v>44725.348696303583</v>
      </c>
      <c r="R2912" s="18">
        <f>IF($A2912&gt;30,R2911,(R2911-Q2901+Q2912)*(1+$B$7))</f>
        <v>175726.88265377318</v>
      </c>
      <c r="S2912" s="18">
        <f t="shared" si="329"/>
        <v>607488.80874312785</v>
      </c>
    </row>
    <row r="2913" spans="1:19">
      <c r="A2913" s="10">
        <f>10</f>
        <v>10</v>
      </c>
      <c r="B2913" s="18">
        <f>IF($A2913&gt;30,0,(B2901-MIN(MAX(C2912,0),B2901))+MIN(MAX(0,D2912-(B2901-MIN(MAX(C2912,0),B2901))),MAX(0,4*B2901-(C2912-MIN(MAX(C2912,0),B2901)))))</f>
        <v>30432</v>
      </c>
      <c r="C2913" s="18">
        <f>IF($A2913&gt;30,C2912,(C2912-B2901+B2913)*(1+$B$7))</f>
        <v>119568</v>
      </c>
      <c r="D2913" s="18">
        <f t="shared" si="324"/>
        <v>823892.14723582659</v>
      </c>
      <c r="E2913" s="18">
        <f>IF($A2913&gt;30,0,(E2901-MIN(MAX(F2912,0),E2901))+MIN(MAX(0,G2912-(E2901-MIN(MAX(F2912,0),E2901))),MAX(0,4*E2901-(F2912-MIN(MAX(F2912,0),E2901)))))</f>
        <v>76080</v>
      </c>
      <c r="F2913" s="18">
        <f>IF($A2913&gt;30,F2912,(F2912-E2901+E2913)*(1+$B$7))</f>
        <v>298920</v>
      </c>
      <c r="G2913" s="18">
        <f t="shared" si="325"/>
        <v>43855.799073383001</v>
      </c>
      <c r="H2913" s="18">
        <f>IF($A2913&gt;30,0,(H2901-MIN(MAX(I2912,0),H2901))+MIN(MAX(0,J2912-(H2901-MIN(MAX(I2912,0),H2901))),MAX(0,4*H2901-(I2912-MIN(MAX(I2912,0),H2901)))))</f>
        <v>45908.713818711287</v>
      </c>
      <c r="I2913" s="18">
        <f>IF($A2913&gt;30,I2912,(I2912-H2901+H2913)*(1+$B$7))</f>
        <v>180376.35035080404</v>
      </c>
      <c r="J2913" s="18">
        <f t="shared" si="326"/>
        <v>559424.93446193088</v>
      </c>
      <c r="K2913" s="18">
        <f>IF($A2913&gt;30,0,(K2901-MIN(MAX(L2912,0),K2901))+MIN(MAX(0,M2912-(K2901-MIN(MAX(L2912,0),K2901))),MAX(0,4*K2901-(L2912-MIN(MAX(L2912,0),K2901)))))</f>
        <v>44724.435570624541</v>
      </c>
      <c r="L2913" s="18">
        <f>IF($A2913&gt;30,L2912,(L2912-K2901+K2913)*(1+$B$7))</f>
        <v>175723.29496281646</v>
      </c>
      <c r="M2913" s="18">
        <f t="shared" si="327"/>
        <v>579661.96740632772</v>
      </c>
      <c r="N2913" s="18">
        <f>IF($A2913&gt;30,0,(N2901-MIN(MAX(O2912,0),N2901))+MIN(MAX(0,P2912-(N2901-MIN(MAX(O2912,0),N2901))),MAX(0,4*N2901-(O2912-MIN(MAX(O2912,0),N2901)))))</f>
        <v>44725.346909933898</v>
      </c>
      <c r="O2913" s="18">
        <f>IF($A2913&gt;30,O2912,(O2912-N2901+N2913)*(1+$B$7))</f>
        <v>175726.87563508726</v>
      </c>
      <c r="P2913" s="18">
        <f t="shared" si="328"/>
        <v>579646.39437384414</v>
      </c>
      <c r="Q2913" s="18">
        <f>IF($A2913&gt;30,0,(Q2901-MIN(MAX(R2912,0),Q2901))+MIN(MAX(0,S2912-(Q2901-MIN(MAX(R2912,0),Q2901))),MAX(0,4*Q2901-(R2912-MIN(MAX(R2912,0),Q2901)))))</f>
        <v>44725.348696303583</v>
      </c>
      <c r="R2913" s="18">
        <f>IF($A2913&gt;30,R2912,(R2912-Q2901+Q2913)*(1+$B$7))</f>
        <v>175726.88265377318</v>
      </c>
      <c r="S2913" s="18">
        <f t="shared" si="329"/>
        <v>579646.36384822906</v>
      </c>
    </row>
    <row r="2914" spans="1:19">
      <c r="A2914" s="10">
        <f>11</f>
        <v>11</v>
      </c>
      <c r="B2914" s="18">
        <f>IF($A2914&gt;30,0,(B2901-MIN(MAX(C2913,0),B2901))+MIN(MAX(0,D2913-(B2901-MIN(MAX(C2913,0),B2901))),MAX(0,4*B2901-(C2913-MIN(MAX(C2913,0),B2901)))))</f>
        <v>30432</v>
      </c>
      <c r="C2914" s="18">
        <f>IF($A2914&gt;30,C2913,(C2913-B2901+B2914)*(1+$B$7))</f>
        <v>119568</v>
      </c>
      <c r="D2914" s="18">
        <f t="shared" si="324"/>
        <v>817263.95165290136</v>
      </c>
      <c r="E2914" s="18">
        <f>IF($A2914&gt;30,0,(E2901-MIN(MAX(F2913,0),E2901))+MIN(MAX(0,G2913-(E2901-MIN(MAX(F2913,0),E2901))),MAX(0,4*E2901-(F2913-MIN(MAX(F2913,0),E2901)))))</f>
        <v>43855.799073383001</v>
      </c>
      <c r="F2914" s="18">
        <f>IF($A2914&gt;30,F2913,(F2913-E2901+E2914)*(1+$B$7))</f>
        <v>266811.80619671877</v>
      </c>
      <c r="G2914" s="18">
        <f t="shared" si="325"/>
        <v>0</v>
      </c>
      <c r="H2914" s="18">
        <f>IF($A2914&gt;30,0,(H2901-MIN(MAX(I2913,0),H2901))+MIN(MAX(0,J2913-(H2901-MIN(MAX(I2913,0),H2901))),MAX(0,4*H2901-(I2913-MIN(MAX(I2913,0),H2901)))))</f>
        <v>45908.713818711287</v>
      </c>
      <c r="I2914" s="18">
        <f>IF($A2914&gt;30,I2913,(I2913-H2901+H2914)*(1+$B$7))</f>
        <v>180376.35035080404</v>
      </c>
      <c r="J2914" s="18">
        <f t="shared" si="326"/>
        <v>528921.70726251625</v>
      </c>
      <c r="K2914" s="18">
        <f>IF($A2914&gt;30,0,(K2901-MIN(MAX(L2913,0),K2901))+MIN(MAX(0,M2913-(K2901-MIN(MAX(L2913,0),K2901))),MAX(0,4*K2901-(L2913-MIN(MAX(L2913,0),K2901)))))</f>
        <v>44724.435570624541</v>
      </c>
      <c r="L2914" s="18">
        <f>IF($A2914&gt;30,L2913,(L2913-K2901+K2914)*(1+$B$7))</f>
        <v>175723.29496281646</v>
      </c>
      <c r="M2914" s="18">
        <f t="shared" si="327"/>
        <v>550985.65779077425</v>
      </c>
      <c r="N2914" s="18">
        <f>IF($A2914&gt;30,0,(N2901-MIN(MAX(O2913,0),N2901))+MIN(MAX(0,P2913-(N2901-MIN(MAX(O2913,0),N2901))),MAX(0,4*N2901-(O2913-MIN(MAX(O2913,0),N2901)))))</f>
        <v>44725.346909933898</v>
      </c>
      <c r="O2914" s="18">
        <f>IF($A2914&gt;30,O2913,(O2913-N2901+N2914)*(1+$B$7))</f>
        <v>175726.87563508726</v>
      </c>
      <c r="P2914" s="18">
        <f t="shared" si="328"/>
        <v>550968.67888782755</v>
      </c>
      <c r="Q2914" s="18">
        <f>IF($A2914&gt;30,0,(Q2901-MIN(MAX(R2913,0),Q2901))+MIN(MAX(0,S2913-(Q2901-MIN(MAX(R2913,0),Q2901))),MAX(0,4*Q2901-(R2913-MIN(MAX(R2913,0),Q2901)))))</f>
        <v>44725.348696303583</v>
      </c>
      <c r="R2914" s="18">
        <f>IF($A2914&gt;30,R2913,(R2913-Q2901+Q2914)*(1+$B$7))</f>
        <v>175726.88265377318</v>
      </c>
      <c r="S2914" s="18">
        <f t="shared" si="329"/>
        <v>550968.64560648333</v>
      </c>
    </row>
    <row r="2915" spans="1:19">
      <c r="A2915" s="10">
        <f>12</f>
        <v>12</v>
      </c>
      <c r="B2915" s="18">
        <f>IF($A2915&gt;30,0,(B2901-MIN(MAX(C2914,0),B2901))+MIN(MAX(0,D2914-(B2901-MIN(MAX(C2914,0),B2901))),MAX(0,4*B2901-(C2914-MIN(MAX(C2914,0),B2901)))))</f>
        <v>30432</v>
      </c>
      <c r="C2915" s="18">
        <f>IF($A2915&gt;30,C2914,(C2914-B2901+B2915)*(1+$B$7))</f>
        <v>119568</v>
      </c>
      <c r="D2915" s="18">
        <f t="shared" si="324"/>
        <v>810436.91020248842</v>
      </c>
      <c r="E2915" s="18">
        <f>IF($A2915&gt;30,0,(E2901-MIN(MAX(F2914,0),E2901))+MIN(MAX(0,G2914-(E2901-MIN(MAX(F2914,0),E2901))),MAX(0,4*E2901-(F2914-MIN(MAX(F2914,0),E2901)))))</f>
        <v>0</v>
      </c>
      <c r="F2915" s="18">
        <f>IF($A2915&gt;30,F2914,(F2914-E2901+E2915)*(1+$B$7))</f>
        <v>191121.28369441058</v>
      </c>
      <c r="G2915" s="18">
        <f t="shared" si="325"/>
        <v>0</v>
      </c>
      <c r="H2915" s="18">
        <f>IF($A2915&gt;30,0,(H2901-MIN(MAX(I2914,0),H2901))+MIN(MAX(0,J2914-(H2901-MIN(MAX(I2914,0),H2901))),MAX(0,4*H2901-(I2914-MIN(MAX(I2914,0),H2901)))))</f>
        <v>45908.713818711287</v>
      </c>
      <c r="I2915" s="18">
        <f>IF($A2915&gt;30,I2914,(I2914-H2901+H2915)*(1+$B$7))</f>
        <v>180376.35035080404</v>
      </c>
      <c r="J2915" s="18">
        <f t="shared" si="326"/>
        <v>497503.38324711914</v>
      </c>
      <c r="K2915" s="18">
        <f>IF($A2915&gt;30,0,(K2901-MIN(MAX(L2914,0),K2901))+MIN(MAX(0,M2914-(K2901-MIN(MAX(L2914,0),K2901))),MAX(0,4*K2901-(L2914-MIN(MAX(L2914,0),K2901)))))</f>
        <v>44724.435570624541</v>
      </c>
      <c r="L2915" s="18">
        <f>IF($A2915&gt;30,L2914,(L2914-K2901+K2915)*(1+$B$7))</f>
        <v>175723.29496281646</v>
      </c>
      <c r="M2915" s="18">
        <f t="shared" si="327"/>
        <v>521449.05888675421</v>
      </c>
      <c r="N2915" s="18">
        <f>IF($A2915&gt;30,0,(N2901-MIN(MAX(O2914,0),N2901))+MIN(MAX(0,P2914-(N2901-MIN(MAX(O2914,0),N2901))),MAX(0,4*N2901-(O2914-MIN(MAX(O2914,0),N2901)))))</f>
        <v>44725.346909933898</v>
      </c>
      <c r="O2915" s="18">
        <f>IF($A2915&gt;30,O2914,(O2914-N2901+N2915)*(1+$B$7))</f>
        <v>175726.87563508726</v>
      </c>
      <c r="P2915" s="18">
        <f t="shared" si="328"/>
        <v>521430.63193723047</v>
      </c>
      <c r="Q2915" s="18">
        <f>IF($A2915&gt;30,0,(Q2901-MIN(MAX(R2914,0),Q2901))+MIN(MAX(0,S2914-(Q2901-MIN(MAX(R2914,0),Q2901))),MAX(0,4*Q2901-(R2914-MIN(MAX(R2914,0),Q2901)))))</f>
        <v>44725.348696303583</v>
      </c>
      <c r="R2915" s="18">
        <f>IF($A2915&gt;30,R2914,(R2914-Q2901+Q2915)*(1+$B$7))</f>
        <v>175726.88265377318</v>
      </c>
      <c r="S2915" s="18">
        <f t="shared" si="329"/>
        <v>521430.59581748518</v>
      </c>
    </row>
    <row r="2916" spans="1:19">
      <c r="A2916" s="10">
        <f>13</f>
        <v>13</v>
      </c>
      <c r="B2916" s="18">
        <f>IF($A2916&gt;30,0,(B2901-MIN(MAX(C2915,0),B2901))+MIN(MAX(0,D2915-(B2901-MIN(MAX(C2915,0),B2901))),MAX(0,4*B2901-(C2915-MIN(MAX(C2915,0),B2901)))))</f>
        <v>30432</v>
      </c>
      <c r="C2916" s="18">
        <f>IF($A2916&gt;30,C2915,(C2915-B2901+B2916)*(1+$B$7))</f>
        <v>119568</v>
      </c>
      <c r="D2916" s="18">
        <f t="shared" si="324"/>
        <v>803405.05750856304</v>
      </c>
      <c r="E2916" s="18">
        <f>IF($A2916&gt;30,0,(E2901-MIN(MAX(F2915,0),E2901))+MIN(MAX(0,G2915-(E2901-MIN(MAX(F2915,0),E2901))),MAX(0,4*E2901-(F2915-MIN(MAX(F2915,0),E2901)))))</f>
        <v>0</v>
      </c>
      <c r="F2916" s="18">
        <f>IF($A2916&gt;30,F2915,(F2915-E2901+E2916)*(1+$B$7))</f>
        <v>115703.2470731107</v>
      </c>
      <c r="G2916" s="18">
        <f t="shared" si="325"/>
        <v>0</v>
      </c>
      <c r="H2916" s="18">
        <f>IF($A2916&gt;30,0,(H2901-MIN(MAX(I2915,0),H2901))+MIN(MAX(0,J2915-(H2901-MIN(MAX(I2915,0),H2901))),MAX(0,4*H2901-(I2915-MIN(MAX(I2915,0),H2901)))))</f>
        <v>45908.713818711287</v>
      </c>
      <c r="I2916" s="18">
        <f>IF($A2916&gt;30,I2915,(I2915-H2901+H2916)*(1+$B$7))</f>
        <v>180376.35035080404</v>
      </c>
      <c r="J2916" s="18">
        <f t="shared" si="326"/>
        <v>465142.50951126008</v>
      </c>
      <c r="K2916" s="18">
        <f>IF($A2916&gt;30,0,(K2901-MIN(MAX(L2915,0),K2901))+MIN(MAX(0,M2915-(K2901-MIN(MAX(L2915,0),K2901))),MAX(0,4*K2901-(L2915-MIN(MAX(L2915,0),K2901)))))</f>
        <v>44724.435570624541</v>
      </c>
      <c r="L2916" s="18">
        <f>IF($A2916&gt;30,L2915,(L2915-K2901+K2916)*(1+$B$7))</f>
        <v>175723.29496281646</v>
      </c>
      <c r="M2916" s="18">
        <f t="shared" si="327"/>
        <v>491026.36201561359</v>
      </c>
      <c r="N2916" s="18">
        <f>IF($A2916&gt;30,0,(N2901-MIN(MAX(O2915,0),N2901))+MIN(MAX(0,P2915-(N2901-MIN(MAX(O2915,0),N2901))),MAX(0,4*N2901-(O2915-MIN(MAX(O2915,0),N2901)))))</f>
        <v>44725.346909933898</v>
      </c>
      <c r="O2916" s="18">
        <f>IF($A2916&gt;30,O2915,(O2915-N2901+N2916)*(1+$B$7))</f>
        <v>175726.87563508726</v>
      </c>
      <c r="P2916" s="18">
        <f t="shared" si="328"/>
        <v>491006.44357811549</v>
      </c>
      <c r="Q2916" s="18">
        <f>IF($A2916&gt;30,0,(Q2901-MIN(MAX(R2915,0),Q2901))+MIN(MAX(0,S2915-(Q2901-MIN(MAX(R2915,0),Q2901))),MAX(0,4*Q2901-(R2915-MIN(MAX(R2915,0),Q2901)))))</f>
        <v>44725.348696303583</v>
      </c>
      <c r="R2916" s="18">
        <f>IF($A2916&gt;30,R2915,(R2915-Q2901+Q2916)*(1+$B$7))</f>
        <v>175726.88265377318</v>
      </c>
      <c r="S2916" s="18">
        <f t="shared" si="329"/>
        <v>491006.40453481703</v>
      </c>
    </row>
    <row r="2917" spans="1:19">
      <c r="A2917" s="10">
        <f>14</f>
        <v>14</v>
      </c>
      <c r="B2917" s="18">
        <f>IF($A2917&gt;30,0,(B2901-MIN(MAX(C2916,0),B2901))+MIN(MAX(0,D2916-(B2901-MIN(MAX(C2916,0),B2901))),MAX(0,4*B2901-(C2916-MIN(MAX(C2916,0),B2901)))))</f>
        <v>30432</v>
      </c>
      <c r="C2917" s="18">
        <f>IF($A2917&gt;30,C2916,(C2916-B2901+B2917)*(1+$B$7))</f>
        <v>119568</v>
      </c>
      <c r="D2917" s="18">
        <f t="shared" si="324"/>
        <v>796162.24923382001</v>
      </c>
      <c r="E2917" s="18">
        <f>IF($A2917&gt;30,0,(E2901-MIN(MAX(F2916,0),E2901))+MIN(MAX(0,G2916-(E2901-MIN(MAX(F2916,0),E2901))),MAX(0,4*E2901-(F2916-MIN(MAX(F2916,0),E2901)))))</f>
        <v>0</v>
      </c>
      <c r="F2917" s="18">
        <f>IF($A2917&gt;30,F2916,(F2916-E2901+E2917)*(1+$B$7))</f>
        <v>40556.715383647504</v>
      </c>
      <c r="G2917" s="18">
        <f t="shared" si="325"/>
        <v>0</v>
      </c>
      <c r="H2917" s="18">
        <f>IF($A2917&gt;30,0,(H2901-MIN(MAX(I2916,0),H2901))+MIN(MAX(0,J2916-(H2901-MIN(MAX(I2916,0),H2901))),MAX(0,4*H2901-(I2916-MIN(MAX(I2916,0),H2901)))))</f>
        <v>45908.713818711287</v>
      </c>
      <c r="I2917" s="18">
        <f>IF($A2917&gt;30,I2916,(I2916-H2901+H2917)*(1+$B$7))</f>
        <v>180376.35035080404</v>
      </c>
      <c r="J2917" s="18">
        <f t="shared" si="326"/>
        <v>431810.80956332525</v>
      </c>
      <c r="K2917" s="18">
        <f>IF($A2917&gt;30,0,(K2901-MIN(MAX(L2916,0),K2901))+MIN(MAX(0,M2916-(K2901-MIN(MAX(L2916,0),K2901))),MAX(0,4*K2901-(L2916-MIN(MAX(L2916,0),K2901)))))</f>
        <v>44724.435570624541</v>
      </c>
      <c r="L2917" s="18">
        <f>IF($A2917&gt;30,L2916,(L2916-K2901+K2917)*(1+$B$7))</f>
        <v>175723.29496281646</v>
      </c>
      <c r="M2917" s="18">
        <f t="shared" si="327"/>
        <v>459690.98423833871</v>
      </c>
      <c r="N2917" s="18">
        <f>IF($A2917&gt;30,0,(N2901-MIN(MAX(O2916,0),N2901))+MIN(MAX(0,P2916-(N2901-MIN(MAX(O2916,0),N2901))),MAX(0,4*N2901-(O2916-MIN(MAX(O2916,0),N2901)))))</f>
        <v>44725.346909933898</v>
      </c>
      <c r="O2917" s="18">
        <f>IF($A2917&gt;30,O2916,(O2916-N2901+N2917)*(1+$B$7))</f>
        <v>175726.87563508726</v>
      </c>
      <c r="P2917" s="18">
        <f t="shared" si="328"/>
        <v>459669.52956822707</v>
      </c>
      <c r="Q2917" s="18">
        <f>IF($A2917&gt;30,0,(Q2901-MIN(MAX(R2916,0),Q2901))+MIN(MAX(0,S2916-(Q2901-MIN(MAX(R2916,0),Q2901))),MAX(0,4*Q2901-(R2916-MIN(MAX(R2916,0),Q2901)))))</f>
        <v>44725.348696303583</v>
      </c>
      <c r="R2917" s="18">
        <f>IF($A2917&gt;30,R2916,(R2916-Q2901+Q2917)*(1+$B$7))</f>
        <v>175726.88265377318</v>
      </c>
      <c r="S2917" s="18">
        <f t="shared" si="329"/>
        <v>459669.48751366884</v>
      </c>
    </row>
    <row r="2918" spans="1:19">
      <c r="A2918" s="10">
        <f>15</f>
        <v>15</v>
      </c>
      <c r="B2918" s="18">
        <f>IF($A2918&gt;30,0,(B2901-MIN(MAX(C2917,0),B2901))+MIN(MAX(0,D2917-(B2901-MIN(MAX(C2917,0),B2901))),MAX(0,4*B2901-(C2917-MIN(MAX(C2917,0),B2901)))))</f>
        <v>30432</v>
      </c>
      <c r="C2918" s="18">
        <f>IF($A2918&gt;30,C2917,(C2917-B2901+B2918)*(1+$B$7))</f>
        <v>119568</v>
      </c>
      <c r="D2918" s="18">
        <f t="shared" si="324"/>
        <v>788702.15671083459</v>
      </c>
      <c r="E2918" s="18">
        <f>IF($A2918&gt;30,0,(E2901-MIN(MAX(F2917,0),E2901))+MIN(MAX(0,G2917-(E2901-MIN(MAX(F2917,0),E2901))),MAX(0,4*E2901-(F2917-MIN(MAX(F2917,0),E2901)))))</f>
        <v>34443.284616352496</v>
      </c>
      <c r="F2918" s="18">
        <f>IF($A2918&gt;30,F2917,(F2917-E2901+E2918)*(1+$B$7))</f>
        <v>0</v>
      </c>
      <c r="G2918" s="18">
        <f t="shared" si="325"/>
        <v>-35476.583154843072</v>
      </c>
      <c r="H2918" s="18">
        <f>IF($A2918&gt;30,0,(H2901-MIN(MAX(I2917,0),H2901))+MIN(MAX(0,J2917-(H2901-MIN(MAX(I2917,0),H2901))),MAX(0,4*H2901-(I2917-MIN(MAX(I2917,0),H2901)))))</f>
        <v>45908.713818711287</v>
      </c>
      <c r="I2918" s="18">
        <f>IF($A2918&gt;30,I2917,(I2917-H2901+H2918)*(1+$B$7))</f>
        <v>180376.35035080404</v>
      </c>
      <c r="J2918" s="18">
        <f t="shared" si="326"/>
        <v>397479.15861695242</v>
      </c>
      <c r="K2918" s="18">
        <f>IF($A2918&gt;30,0,(K2901-MIN(MAX(L2917,0),K2901))+MIN(MAX(0,M2917-(K2901-MIN(MAX(L2917,0),K2901))),MAX(0,4*K2901-(L2917-MIN(MAX(L2917,0),K2901)))))</f>
        <v>44724.435570624541</v>
      </c>
      <c r="L2918" s="18">
        <f>IF($A2918&gt;30,L2917,(L2917-K2901+K2918)*(1+$B$7))</f>
        <v>175723.29496281646</v>
      </c>
      <c r="M2918" s="18">
        <f t="shared" si="327"/>
        <v>427415.5451277456</v>
      </c>
      <c r="N2918" s="18">
        <f>IF($A2918&gt;30,0,(N2901-MIN(MAX(O2917,0),N2901))+MIN(MAX(0,P2917-(N2901-MIN(MAX(O2917,0),N2901))),MAX(0,4*N2901-(O2917-MIN(MAX(O2917,0),N2901)))))</f>
        <v>44725.346909933898</v>
      </c>
      <c r="O2918" s="18">
        <f>IF($A2918&gt;30,O2917,(O2917-N2901+N2918)*(1+$B$7))</f>
        <v>175726.87563508726</v>
      </c>
      <c r="P2918" s="18">
        <f t="shared" si="328"/>
        <v>427392.508138042</v>
      </c>
      <c r="Q2918" s="18">
        <f>IF($A2918&gt;30,0,(Q2901-MIN(MAX(R2917,0),Q2901))+MIN(MAX(0,S2917-(Q2901-MIN(MAX(R2917,0),Q2901))),MAX(0,4*Q2901-(R2917-MIN(MAX(R2917,0),Q2901)))))</f>
        <v>44725.348696303583</v>
      </c>
      <c r="R2918" s="18">
        <f>IF($A2918&gt;30,R2917,(R2917-Q2901+Q2918)*(1+$B$7))</f>
        <v>175726.88265377318</v>
      </c>
      <c r="S2918" s="18">
        <f t="shared" si="329"/>
        <v>427392.46298188623</v>
      </c>
    </row>
    <row r="2919" spans="1:19">
      <c r="A2919" s="10">
        <f>16</f>
        <v>16</v>
      </c>
      <c r="B2919" s="18">
        <f>IF($A2919&gt;30,0,(B2901-MIN(MAX(C2918,0),B2901))+MIN(MAX(0,D2918-(B2901-MIN(MAX(C2918,0),B2901))),MAX(0,4*B2901-(C2918-MIN(MAX(C2918,0),B2901)))))</f>
        <v>30432</v>
      </c>
      <c r="C2919" s="18">
        <f>IF($A2919&gt;30,C2918,(C2918-B2901+B2919)*(1+$B$7))</f>
        <v>119568</v>
      </c>
      <c r="D2919" s="18">
        <f t="shared" si="324"/>
        <v>781018.26141215966</v>
      </c>
      <c r="E2919" s="18">
        <f>IF($A2919&gt;30,0,(E2901-MIN(MAX(F2918,0),E2901))+MIN(MAX(0,G2918-(E2901-MIN(MAX(F2918,0),E2901))),MAX(0,4*E2901-(F2918-MIN(MAX(F2918,0),E2901)))))</f>
        <v>75000</v>
      </c>
      <c r="F2919" s="18">
        <f>IF($A2919&gt;30,F2918,(F2918-E2901+E2919)*(1+$B$7))</f>
        <v>0</v>
      </c>
      <c r="G2919" s="18">
        <f t="shared" si="325"/>
        <v>-113790.88064948836</v>
      </c>
      <c r="H2919" s="18">
        <f>IF($A2919&gt;30,0,(H2901-MIN(MAX(I2918,0),H2901))+MIN(MAX(0,J2918-(H2901-MIN(MAX(I2918,0),H2901))),MAX(0,4*H2901-(I2918-MIN(MAX(I2918,0),H2901)))))</f>
        <v>45908.713818711287</v>
      </c>
      <c r="I2919" s="18">
        <f>IF($A2919&gt;30,I2918,(I2918-H2901+H2919)*(1+$B$7))</f>
        <v>180376.35035080404</v>
      </c>
      <c r="J2919" s="18">
        <f t="shared" si="326"/>
        <v>362117.55814218835</v>
      </c>
      <c r="K2919" s="18">
        <f>IF($A2919&gt;30,0,(K2901-MIN(MAX(L2918,0),K2901))+MIN(MAX(0,M2918-(K2901-MIN(MAX(L2918,0),K2901))),MAX(0,4*K2901-(L2918-MIN(MAX(L2918,0),K2901)))))</f>
        <v>44724.435570624541</v>
      </c>
      <c r="L2919" s="18">
        <f>IF($A2919&gt;30,L2918,(L2918-K2901+K2919)*(1+$B$7))</f>
        <v>175723.29496281646</v>
      </c>
      <c r="M2919" s="18">
        <f t="shared" si="327"/>
        <v>394171.84284383472</v>
      </c>
      <c r="N2919" s="18">
        <f>IF($A2919&gt;30,0,(N2901-MIN(MAX(O2918,0),N2901))+MIN(MAX(0,P2918-(N2901-MIN(MAX(O2918,0),N2901))),MAX(0,4*N2901-(O2918-MIN(MAX(O2918,0),N2901)))))</f>
        <v>44725.346909933898</v>
      </c>
      <c r="O2919" s="18">
        <f>IF($A2919&gt;30,O2918,(O2918-N2901+N2919)*(1+$B$7))</f>
        <v>175726.87563508726</v>
      </c>
      <c r="P2919" s="18">
        <f t="shared" si="328"/>
        <v>394147.17606495135</v>
      </c>
      <c r="Q2919" s="18">
        <f>IF($A2919&gt;30,0,(Q2901-MIN(MAX(R2918,0),Q2901))+MIN(MAX(0,S2918-(Q2901-MIN(MAX(R2918,0),Q2901))),MAX(0,4*Q2901-(R2918-MIN(MAX(R2918,0),Q2901)))))</f>
        <v>44725.348696303583</v>
      </c>
      <c r="R2919" s="18">
        <f>IF($A2919&gt;30,R2918,(R2918-Q2901+Q2919)*(1+$B$7))</f>
        <v>175726.88265377318</v>
      </c>
      <c r="S2919" s="18">
        <f t="shared" si="329"/>
        <v>394147.12771415018</v>
      </c>
    </row>
    <row r="2920" spans="1:19">
      <c r="A2920" s="10">
        <f>17</f>
        <v>17</v>
      </c>
      <c r="B2920" s="18">
        <f>IF($A2920&gt;30,0,(B2901-MIN(MAX(C2919,0),B2901))+MIN(MAX(0,D2919-(B2901-MIN(MAX(C2919,0),B2901))),MAX(0,4*B2901-(C2919-MIN(MAX(C2919,0),B2901)))))</f>
        <v>30432</v>
      </c>
      <c r="C2920" s="18">
        <f>IF($A2920&gt;30,C2919,(C2919-B2901+B2920)*(1+$B$7))</f>
        <v>119568</v>
      </c>
      <c r="D2920" s="18">
        <f t="shared" si="324"/>
        <v>773103.84925452445</v>
      </c>
      <c r="E2920" s="18">
        <f>IF($A2920&gt;30,0,(E2901-MIN(MAX(F2919,0),E2901))+MIN(MAX(0,G2919-(E2901-MIN(MAX(F2919,0),E2901))),MAX(0,4*E2901-(F2919-MIN(MAX(F2919,0),E2901)))))</f>
        <v>75000</v>
      </c>
      <c r="F2920" s="18">
        <f>IF($A2920&gt;30,F2919,(F2919-E2901+E2920)*(1+$B$7))</f>
        <v>0</v>
      </c>
      <c r="G2920" s="18">
        <f t="shared" si="325"/>
        <v>-194454.60706897301</v>
      </c>
      <c r="H2920" s="18">
        <f>IF($A2920&gt;30,0,(H2901-MIN(MAX(I2919,0),H2901))+MIN(MAX(0,J2919-(H2901-MIN(MAX(I2919,0),H2901))),MAX(0,4*H2901-(I2919-MIN(MAX(I2919,0),H2901)))))</f>
        <v>45908.713818711287</v>
      </c>
      <c r="I2920" s="18">
        <f>IF($A2920&gt;30,I2919,(I2919-H2901+H2920)*(1+$B$7))</f>
        <v>180376.35035080404</v>
      </c>
      <c r="J2920" s="18">
        <f t="shared" si="326"/>
        <v>325695.1096531814</v>
      </c>
      <c r="K2920" s="18">
        <f>IF($A2920&gt;30,0,(K2901-MIN(MAX(L2919,0),K2901))+MIN(MAX(0,M2919-(K2901-MIN(MAX(L2919,0),K2901))),MAX(0,4*K2901-(L2919-MIN(MAX(L2919,0),K2901)))))</f>
        <v>44724.435570624541</v>
      </c>
      <c r="L2920" s="18">
        <f>IF($A2920&gt;30,L2919,(L2919-K2901+K2920)*(1+$B$7))</f>
        <v>175723.29496281646</v>
      </c>
      <c r="M2920" s="18">
        <f t="shared" si="327"/>
        <v>359930.8294914065</v>
      </c>
      <c r="N2920" s="18">
        <f>IF($A2920&gt;30,0,(N2901-MIN(MAX(O2919,0),N2901))+MIN(MAX(0,P2919-(N2901-MIN(MAX(O2919,0),N2901))),MAX(0,4*N2901-(O2919-MIN(MAX(O2919,0),N2901)))))</f>
        <v>44725.346909933898</v>
      </c>
      <c r="O2920" s="18">
        <f>IF($A2920&gt;30,O2919,(O2919-N2901+N2920)*(1+$B$7))</f>
        <v>175726.87563508726</v>
      </c>
      <c r="P2920" s="18">
        <f t="shared" si="328"/>
        <v>359904.48402966798</v>
      </c>
      <c r="Q2920" s="18">
        <f>IF($A2920&gt;30,0,(Q2901-MIN(MAX(R2919,0),Q2901))+MIN(MAX(0,S2919-(Q2901-MIN(MAX(R2919,0),Q2901))),MAX(0,4*Q2901-(R2919-MIN(MAX(R2919,0),Q2901)))))</f>
        <v>44725.348696303583</v>
      </c>
      <c r="R2920" s="18">
        <f>IF($A2920&gt;30,R2919,(R2919-Q2901+Q2920)*(1+$B$7))</f>
        <v>175726.88265377318</v>
      </c>
      <c r="S2920" s="18">
        <f t="shared" si="329"/>
        <v>359904.43238838197</v>
      </c>
    </row>
    <row r="2921" spans="1:19">
      <c r="A2921" s="10">
        <f>18</f>
        <v>18</v>
      </c>
      <c r="B2921" s="18">
        <f>IF($A2921&gt;30,0,(B2901-MIN(MAX(C2920,0),B2901))+MIN(MAX(0,D2920-(B2901-MIN(MAX(C2920,0),B2901))),MAX(0,4*B2901-(C2920-MIN(MAX(C2920,0),B2901)))))</f>
        <v>30432</v>
      </c>
      <c r="C2921" s="18">
        <f>IF($A2921&gt;30,C2920,(C2920-B2901+B2921)*(1+$B$7))</f>
        <v>119568</v>
      </c>
      <c r="D2921" s="18">
        <f t="shared" si="324"/>
        <v>764952.00473216025</v>
      </c>
      <c r="E2921" s="18">
        <f>IF($A2921&gt;30,0,(E2901-MIN(MAX(F2920,0),E2901))+MIN(MAX(0,G2920-(E2901-MIN(MAX(F2920,0),E2901))),MAX(0,4*E2901-(F2920-MIN(MAX(F2920,0),E2901)))))</f>
        <v>75000</v>
      </c>
      <c r="F2921" s="18">
        <f>IF($A2921&gt;30,F2920,(F2920-E2901+E2921)*(1+$B$7))</f>
        <v>0</v>
      </c>
      <c r="G2921" s="18">
        <f t="shared" si="325"/>
        <v>-277538.24528104218</v>
      </c>
      <c r="H2921" s="18">
        <f>IF($A2921&gt;30,0,(H2901-MIN(MAX(I2920,0),H2901))+MIN(MAX(0,J2920-(H2901-MIN(MAX(I2920,0),H2901))),MAX(0,4*H2901-(I2920-MIN(MAX(I2920,0),H2901)))))</f>
        <v>45908.713818711287</v>
      </c>
      <c r="I2921" s="18">
        <f>IF($A2921&gt;30,I2920,(I2920-H2901+H2921)*(1+$B$7))</f>
        <v>180376.35035080404</v>
      </c>
      <c r="J2921" s="18">
        <f t="shared" si="326"/>
        <v>288179.9877095042</v>
      </c>
      <c r="K2921" s="18">
        <f>IF($A2921&gt;30,0,(K2901-MIN(MAX(L2920,0),K2901))+MIN(MAX(0,M2920-(K2901-MIN(MAX(L2920,0),K2901))),MAX(0,4*K2901-(L2920-MIN(MAX(L2920,0),K2901)))))</f>
        <v>44724.435570624541</v>
      </c>
      <c r="L2921" s="18">
        <f>IF($A2921&gt;30,L2920,(L2920-K2901+K2921)*(1+$B$7))</f>
        <v>175723.29496281646</v>
      </c>
      <c r="M2921" s="18">
        <f t="shared" si="327"/>
        <v>324662.58573840541</v>
      </c>
      <c r="N2921" s="18">
        <f>IF($A2921&gt;30,0,(N2901-MIN(MAX(O2920,0),N2901))+MIN(MAX(0,P2920-(N2901-MIN(MAX(O2920,0),N2901))),MAX(0,4*N2901-(O2920-MIN(MAX(O2920,0),N2901)))))</f>
        <v>44725.346909933898</v>
      </c>
      <c r="O2921" s="18">
        <f>IF($A2921&gt;30,O2920,(O2920-N2901+N2921)*(1+$B$7))</f>
        <v>175726.87563508726</v>
      </c>
      <c r="P2921" s="18">
        <f t="shared" si="328"/>
        <v>324634.51123332611</v>
      </c>
      <c r="Q2921" s="18">
        <f>IF($A2921&gt;30,0,(Q2901-MIN(MAX(R2920,0),Q2901))+MIN(MAX(0,S2920-(Q2901-MIN(MAX(R2920,0),Q2901))),MAX(0,4*Q2901-(R2920-MIN(MAX(R2920,0),Q2901)))))</f>
        <v>44725.348696303583</v>
      </c>
      <c r="R2921" s="18">
        <f>IF($A2921&gt;30,R2920,(R2920-Q2901+Q2921)*(1+$B$7))</f>
        <v>175726.88265377318</v>
      </c>
      <c r="S2921" s="18">
        <f t="shared" si="329"/>
        <v>324634.45620284072</v>
      </c>
    </row>
    <row r="2922" spans="1:19">
      <c r="A2922" s="10">
        <f>19</f>
        <v>19</v>
      </c>
      <c r="B2922" s="18">
        <f>IF($A2922&gt;30,0,(B2901-MIN(MAX(C2921,0),B2901))+MIN(MAX(0,D2921-(B2901-MIN(MAX(C2921,0),B2901))),MAX(0,4*B2901-(C2921-MIN(MAX(C2921,0),B2901)))))</f>
        <v>30432</v>
      </c>
      <c r="C2922" s="18">
        <f>IF($A2922&gt;30,C2921,(C2921-B2901+B2922)*(1+$B$7))</f>
        <v>119568</v>
      </c>
      <c r="D2922" s="18">
        <f t="shared" si="324"/>
        <v>756555.6048741251</v>
      </c>
      <c r="E2922" s="18">
        <f>IF($A2922&gt;30,0,(E2901-MIN(MAX(F2921,0),E2901))+MIN(MAX(0,G2921-(E2901-MIN(MAX(F2921,0),E2901))),MAX(0,4*E2901-(F2921-MIN(MAX(F2921,0),E2901)))))</f>
        <v>75000</v>
      </c>
      <c r="F2922" s="18">
        <f>IF($A2922&gt;30,F2921,(F2921-E2901+E2922)*(1+$B$7))</f>
        <v>0</v>
      </c>
      <c r="G2922" s="18">
        <f t="shared" si="325"/>
        <v>-363114.39263947343</v>
      </c>
      <c r="H2922" s="18">
        <f>IF($A2922&gt;30,0,(H2901-MIN(MAX(I2921,0),H2901))+MIN(MAX(0,J2921-(H2901-MIN(MAX(I2921,0),H2901))),MAX(0,4*H2901-(I2921-MIN(MAX(I2921,0),H2901)))))</f>
        <v>45908.713818711287</v>
      </c>
      <c r="I2922" s="18">
        <f>IF($A2922&gt;30,I2921,(I2921-H2901+H2922)*(1+$B$7))</f>
        <v>180376.35035080404</v>
      </c>
      <c r="J2922" s="18">
        <f t="shared" si="326"/>
        <v>249539.41210751672</v>
      </c>
      <c r="K2922" s="18">
        <f>IF($A2922&gt;30,0,(K2901-MIN(MAX(L2921,0),K2901))+MIN(MAX(0,M2921-(K2901-MIN(MAX(L2921,0),K2901))),MAX(0,4*K2901-(L2921-MIN(MAX(L2921,0),K2901)))))</f>
        <v>44724.435570624541</v>
      </c>
      <c r="L2922" s="18">
        <f>IF($A2922&gt;30,L2921,(L2921-K2901+K2922)*(1+$B$7))</f>
        <v>175723.29496281646</v>
      </c>
      <c r="M2922" s="18">
        <f t="shared" si="327"/>
        <v>288336.29467281431</v>
      </c>
      <c r="N2922" s="18">
        <f>IF($A2922&gt;30,0,(N2901-MIN(MAX(O2921,0),N2901))+MIN(MAX(0,P2921-(N2901-MIN(MAX(O2921,0),N2901))),MAX(0,4*N2901-(O2921-MIN(MAX(O2921,0),N2901)))))</f>
        <v>44725.346909933898</v>
      </c>
      <c r="O2922" s="18">
        <f>IF($A2922&gt;30,O2921,(O2921-N2901+N2922)*(1+$B$7))</f>
        <v>175726.87563508726</v>
      </c>
      <c r="P2922" s="18">
        <f t="shared" si="328"/>
        <v>288306.43925309397</v>
      </c>
      <c r="Q2922" s="18">
        <f>IF($A2922&gt;30,0,(Q2901-MIN(MAX(R2921,0),Q2901))+MIN(MAX(0,S2921-(Q2901-MIN(MAX(R2921,0),Q2901))),MAX(0,4*Q2901-(R2921-MIN(MAX(R2921,0),Q2901)))))</f>
        <v>44725.348696303583</v>
      </c>
      <c r="R2922" s="18">
        <f>IF($A2922&gt;30,R2921,(R2921-Q2901+Q2922)*(1+$B$7))</f>
        <v>175726.88265377318</v>
      </c>
      <c r="S2922" s="18">
        <f t="shared" si="329"/>
        <v>288306.38073173322</v>
      </c>
    </row>
    <row r="2923" spans="1:19">
      <c r="A2923" s="10">
        <f>20</f>
        <v>20</v>
      </c>
      <c r="B2923" s="18">
        <f>IF($A2923&gt;30,0,(B2901-MIN(MAX(C2922,0),B2901))+MIN(MAX(0,D2922-(B2901-MIN(MAX(C2922,0),B2901))),MAX(0,4*B2901-(C2922-MIN(MAX(C2922,0),B2901)))))</f>
        <v>30432</v>
      </c>
      <c r="C2923" s="18">
        <f>IF($A2923&gt;30,C2922,(C2922-B2901+B2923)*(1+$B$7))</f>
        <v>119568</v>
      </c>
      <c r="D2923" s="18">
        <f t="shared" si="324"/>
        <v>747907.3130203489</v>
      </c>
      <c r="E2923" s="18">
        <f>IF($A2923&gt;30,0,(E2901-MIN(MAX(F2922,0),E2901))+MIN(MAX(0,G2922-(E2901-MIN(MAX(F2922,0),E2901))),MAX(0,4*E2901-(F2922-MIN(MAX(F2922,0),E2901)))))</f>
        <v>75000</v>
      </c>
      <c r="F2923" s="18">
        <f>IF($A2923&gt;30,F2922,(F2922-E2901+E2923)*(1+$B$7))</f>
        <v>0</v>
      </c>
      <c r="G2923" s="18">
        <f t="shared" si="325"/>
        <v>-451257.82441865763</v>
      </c>
      <c r="H2923" s="18">
        <f>IF($A2923&gt;30,0,(H2901-MIN(MAX(I2922,0),H2901))+MIN(MAX(0,J2922-(H2901-MIN(MAX(I2922,0),H2901))),MAX(0,4*H2901-(I2922-MIN(MAX(I2922,0),H2901)))))</f>
        <v>45908.713818711287</v>
      </c>
      <c r="I2923" s="18">
        <f>IF($A2923&gt;30,I2922,(I2922-H2901+H2923)*(1+$B$7))</f>
        <v>180376.35035080404</v>
      </c>
      <c r="J2923" s="18">
        <f t="shared" si="326"/>
        <v>209739.6192374696</v>
      </c>
      <c r="K2923" s="18">
        <f>IF($A2923&gt;30,0,(K2901-MIN(MAX(L2922,0),K2901))+MIN(MAX(0,M2922-(K2901-MIN(MAX(L2922,0),K2901))),MAX(0,4*K2901-(L2922-MIN(MAX(L2922,0),K2901)))))</f>
        <v>44724.435570624541</v>
      </c>
      <c r="L2923" s="18">
        <f>IF($A2923&gt;30,L2922,(L2922-K2901+K2923)*(1+$B$7))</f>
        <v>175723.29496281646</v>
      </c>
      <c r="M2923" s="18">
        <f t="shared" si="327"/>
        <v>250920.21487525548</v>
      </c>
      <c r="N2923" s="18">
        <f>IF($A2923&gt;30,0,(N2901-MIN(MAX(O2922,0),N2901))+MIN(MAX(0,P2922-(N2901-MIN(MAX(O2922,0),N2901))),MAX(0,4*N2901-(O2922-MIN(MAX(O2922,0),N2901)))))</f>
        <v>44725.346909933898</v>
      </c>
      <c r="O2923" s="18">
        <f>IF($A2923&gt;30,O2922,(O2922-N2901+N2923)*(1+$B$7))</f>
        <v>175726.87563508726</v>
      </c>
      <c r="P2923" s="18">
        <f t="shared" si="328"/>
        <v>250888.52511345487</v>
      </c>
      <c r="Q2923" s="18">
        <f>IF($A2923&gt;30,0,(Q2901-MIN(MAX(R2922,0),Q2901))+MIN(MAX(0,S2922-(Q2901-MIN(MAX(R2922,0),Q2901))),MAX(0,4*Q2901-(R2922-MIN(MAX(R2922,0),Q2901)))))</f>
        <v>44725.348696303583</v>
      </c>
      <c r="R2923" s="18">
        <f>IF($A2923&gt;30,R2922,(R2922-Q2901+Q2923)*(1+$B$7))</f>
        <v>175726.88265377318</v>
      </c>
      <c r="S2923" s="18">
        <f t="shared" si="329"/>
        <v>250888.46299649254</v>
      </c>
    </row>
    <row r="2924" spans="1:19">
      <c r="A2924" s="10">
        <f>21</f>
        <v>21</v>
      </c>
      <c r="B2924" s="18">
        <f>IF($A2924&gt;30,0,(B2901-MIN(MAX(C2923,0),B2901))+MIN(MAX(0,D2923-(B2901-MIN(MAX(C2923,0),B2901))),MAX(0,4*B2901-(C2923-MIN(MAX(C2923,0),B2901)))))</f>
        <v>30432</v>
      </c>
      <c r="C2924" s="18">
        <f>IF($A2924&gt;30,C2923,(C2923-B2901+B2924)*(1+$B$7))</f>
        <v>119568</v>
      </c>
      <c r="D2924" s="18">
        <f t="shared" si="324"/>
        <v>738999.5724109594</v>
      </c>
      <c r="E2924" s="18">
        <f>IF($A2924&gt;30,0,(E2901-MIN(MAX(F2923,0),E2901))+MIN(MAX(0,G2923-(E2901-MIN(MAX(F2923,0),E2901))),MAX(0,4*E2901-(F2923-MIN(MAX(F2923,0),E2901)))))</f>
        <v>75000</v>
      </c>
      <c r="F2924" s="18">
        <f>IF($A2924&gt;30,F2923,(F2923-E2901+E2924)*(1+$B$7))</f>
        <v>0</v>
      </c>
      <c r="G2924" s="18">
        <f t="shared" si="325"/>
        <v>-542045.55915121746</v>
      </c>
      <c r="H2924" s="18">
        <f>IF($A2924&gt;30,0,(H2901-MIN(MAX(I2923,0),H2901))+MIN(MAX(0,J2923-(H2901-MIN(MAX(I2923,0),H2901))),MAX(0,4*H2901-(I2923-MIN(MAX(I2923,0),H2901)))))</f>
        <v>45908.713818711287</v>
      </c>
      <c r="I2924" s="18">
        <f>IF($A2924&gt;30,I2923,(I2923-H2901+H2924)*(1+$B$7))</f>
        <v>180376.35035080404</v>
      </c>
      <c r="J2924" s="18">
        <f t="shared" si="326"/>
        <v>168745.83258132107</v>
      </c>
      <c r="K2924" s="18">
        <f>IF($A2924&gt;30,0,(K2901-MIN(MAX(L2923,0),K2901))+MIN(MAX(0,M2923-(K2901-MIN(MAX(L2923,0),K2901))),MAX(0,4*K2901-(L2923-MIN(MAX(L2923,0),K2901)))))</f>
        <v>44724.435570624541</v>
      </c>
      <c r="L2924" s="18">
        <f>IF($A2924&gt;30,L2923,(L2923-K2901+K2924)*(1+$B$7))</f>
        <v>175723.29496281646</v>
      </c>
      <c r="M2924" s="18">
        <f t="shared" si="327"/>
        <v>212381.65268376988</v>
      </c>
      <c r="N2924" s="18">
        <f>IF($A2924&gt;30,0,(N2901-MIN(MAX(O2923,0),N2901))+MIN(MAX(0,P2923-(N2901-MIN(MAX(O2923,0),N2901))),MAX(0,4*N2901-(O2923-MIN(MAX(O2923,0),N2901)))))</f>
        <v>44725.346909933898</v>
      </c>
      <c r="O2924" s="18">
        <f>IF($A2924&gt;30,O2923,(O2923-N2901+N2924)*(1+$B$7))</f>
        <v>175726.87563508726</v>
      </c>
      <c r="P2924" s="18">
        <f t="shared" si="328"/>
        <v>212348.0735496266</v>
      </c>
      <c r="Q2924" s="18">
        <f>IF($A2924&gt;30,0,(Q2901-MIN(MAX(R2923,0),Q2901))+MIN(MAX(0,S2923-(Q2901-MIN(MAX(R2923,0),Q2901))),MAX(0,4*Q2901-(R2923-MIN(MAX(R2923,0),Q2901)))))</f>
        <v>44725.348696303583</v>
      </c>
      <c r="R2924" s="18">
        <f>IF($A2924&gt;30,R2923,(R2923-Q2901+Q2924)*(1+$B$7))</f>
        <v>175726.88265377318</v>
      </c>
      <c r="S2924" s="18">
        <f t="shared" si="329"/>
        <v>212348.00772919462</v>
      </c>
    </row>
    <row r="2925" spans="1:19">
      <c r="A2925" s="10">
        <f>22</f>
        <v>22</v>
      </c>
      <c r="B2925" s="18">
        <f>IF($A2925&gt;30,0,(B2901-MIN(MAX(C2924,0),B2901))+MIN(MAX(0,D2924-(B2901-MIN(MAX(C2924,0),B2901))),MAX(0,4*B2901-(C2924-MIN(MAX(C2924,0),B2901)))))</f>
        <v>30432</v>
      </c>
      <c r="C2925" s="18">
        <f>IF($A2925&gt;30,C2924,(C2924-B2901+B2925)*(1+$B$7))</f>
        <v>119568</v>
      </c>
      <c r="D2925" s="18">
        <f t="shared" si="324"/>
        <v>729824.59958328819</v>
      </c>
      <c r="E2925" s="18">
        <f>IF($A2925&gt;30,0,(E2901-MIN(MAX(F2924,0),E2901))+MIN(MAX(0,G2924-(E2901-MIN(MAX(F2924,0),E2901))),MAX(0,4*E2901-(F2924-MIN(MAX(F2924,0),E2901)))))</f>
        <v>75000</v>
      </c>
      <c r="F2925" s="18">
        <f>IF($A2925&gt;30,F2924,(F2924-E2901+E2925)*(1+$B$7))</f>
        <v>0</v>
      </c>
      <c r="G2925" s="18">
        <f t="shared" si="325"/>
        <v>-635556.92592575401</v>
      </c>
      <c r="H2925" s="18">
        <f>IF($A2925&gt;30,0,(H2901-MIN(MAX(I2924,0),H2901))+MIN(MAX(0,J2924-(H2901-MIN(MAX(I2924,0),H2901))),MAX(0,4*H2901-(I2924-MIN(MAX(I2924,0),H2901)))))</f>
        <v>45908.713818711287</v>
      </c>
      <c r="I2925" s="18">
        <f>IF($A2925&gt;30,I2924,(I2924-H2901+H2925)*(1+$B$7))</f>
        <v>180376.35035080404</v>
      </c>
      <c r="J2925" s="18">
        <f t="shared" si="326"/>
        <v>126522.23232548808</v>
      </c>
      <c r="K2925" s="18">
        <f>IF($A2925&gt;30,0,(K2901-MIN(MAX(L2924,0),K2901))+MIN(MAX(0,M2924-(K2901-MIN(MAX(L2924,0),K2901))),MAX(0,4*K2901-(L2924-MIN(MAX(L2924,0),K2901)))))</f>
        <v>44724.435570624541</v>
      </c>
      <c r="L2925" s="18">
        <f>IF($A2925&gt;30,L2924,(L2924-K2901+K2925)*(1+$B$7))</f>
        <v>175723.29496281646</v>
      </c>
      <c r="M2925" s="18">
        <f t="shared" si="327"/>
        <v>172686.93362653971</v>
      </c>
      <c r="N2925" s="18">
        <f>IF($A2925&gt;30,0,(N2901-MIN(MAX(O2924,0),N2901))+MIN(MAX(0,P2924-(N2901-MIN(MAX(O2924,0),N2901))),MAX(0,4*N2901-(O2924-MIN(MAX(O2924,0),N2901)))))</f>
        <v>44725.346909933898</v>
      </c>
      <c r="O2925" s="18">
        <f>IF($A2925&gt;30,O2924,(O2924-N2901+N2925)*(1+$B$7))</f>
        <v>175726.87563508726</v>
      </c>
      <c r="P2925" s="18">
        <f t="shared" si="328"/>
        <v>172651.40843888349</v>
      </c>
      <c r="Q2925" s="18">
        <f>IF($A2925&gt;30,0,(Q2901-MIN(MAX(R2924,0),Q2901))+MIN(MAX(0,S2924-(Q2901-MIN(MAX(R2924,0),Q2901))),MAX(0,4*Q2901-(R2924-MIN(MAX(R2924,0),Q2901)))))</f>
        <v>44725.348696303583</v>
      </c>
      <c r="R2925" s="18">
        <f>IF($A2925&gt;30,R2924,(R2924-Q2901+Q2925)*(1+$B$7))</f>
        <v>175726.88265377318</v>
      </c>
      <c r="S2925" s="18">
        <f t="shared" si="329"/>
        <v>172651.33880387776</v>
      </c>
    </row>
    <row r="2926" spans="1:19">
      <c r="A2926" s="10">
        <f>23</f>
        <v>23</v>
      </c>
      <c r="B2926" s="18">
        <f>IF($A2926&gt;30,0,(B2901-MIN(MAX(C2925,0),B2901))+MIN(MAX(0,D2925-(B2901-MIN(MAX(C2925,0),B2901))),MAX(0,4*B2901-(C2925-MIN(MAX(C2925,0),B2901)))))</f>
        <v>30432</v>
      </c>
      <c r="C2926" s="18">
        <f>IF($A2926&gt;30,C2925,(C2925-B2901+B2926)*(1+$B$7))</f>
        <v>119568</v>
      </c>
      <c r="D2926" s="18">
        <f t="shared" si="324"/>
        <v>720374.37757078686</v>
      </c>
      <c r="E2926" s="18">
        <f>IF($A2926&gt;30,0,(E2901-MIN(MAX(F2925,0),E2901))+MIN(MAX(0,G2925-(E2901-MIN(MAX(F2925,0),E2901))),MAX(0,4*E2901-(F2925-MIN(MAX(F2925,0),E2901)))))</f>
        <v>75000</v>
      </c>
      <c r="F2926" s="18">
        <f>IF($A2926&gt;30,F2925,(F2925-E2901+E2926)*(1+$B$7))</f>
        <v>0</v>
      </c>
      <c r="G2926" s="18">
        <f t="shared" si="325"/>
        <v>-731873.63370352669</v>
      </c>
      <c r="H2926" s="18">
        <f>IF($A2926&gt;30,0,(H2901-MIN(MAX(I2925,0),H2901))+MIN(MAX(0,J2925-(H2901-MIN(MAX(I2925,0),H2901))),MAX(0,4*H2901-(I2925-MIN(MAX(I2925,0),H2901)))))</f>
        <v>45908.713818711287</v>
      </c>
      <c r="I2926" s="18">
        <f>IF($A2926&gt;30,I2925,(I2925-H2901+H2926)*(1+$B$7))</f>
        <v>180376.35035080404</v>
      </c>
      <c r="J2926" s="18">
        <f t="shared" si="326"/>
        <v>83031.924061980098</v>
      </c>
      <c r="K2926" s="18">
        <f>IF($A2926&gt;30,0,(K2901-MIN(MAX(L2925,0),K2901))+MIN(MAX(0,M2925-(K2901-MIN(MAX(L2925,0),K2901))),MAX(0,4*K2901-(L2925-MIN(MAX(L2925,0),K2901)))))</f>
        <v>44724.435570624541</v>
      </c>
      <c r="L2926" s="18">
        <f>IF($A2926&gt;30,L2925,(L2925-K2901+K2926)*(1+$B$7))</f>
        <v>175723.29496281646</v>
      </c>
      <c r="M2926" s="18">
        <f t="shared" si="327"/>
        <v>131801.37299759264</v>
      </c>
      <c r="N2926" s="18">
        <f>IF($A2926&gt;30,0,(N2901-MIN(MAX(O2925,0),N2901))+MIN(MAX(0,P2925-(N2901-MIN(MAX(O2925,0),N2901))),MAX(0,4*N2901-(O2925-MIN(MAX(O2925,0),N2901)))))</f>
        <v>44725.346909933898</v>
      </c>
      <c r="O2926" s="18">
        <f>IF($A2926&gt;30,O2925,(O2925-N2901+N2926)*(1+$B$7))</f>
        <v>175726.87563508726</v>
      </c>
      <c r="P2926" s="18">
        <f t="shared" si="328"/>
        <v>131763.84337481807</v>
      </c>
      <c r="Q2926" s="18">
        <f>IF($A2926&gt;30,0,(Q2901-MIN(MAX(R2925,0),Q2901))+MIN(MAX(0,S2925-(Q2901-MIN(MAX(R2925,0),Q2901))),MAX(0,4*Q2901-(R2925-MIN(MAX(R2925,0),Q2901)))))</f>
        <v>44725.348696303583</v>
      </c>
      <c r="R2926" s="18">
        <f>IF($A2926&gt;30,R2925,(R2925-Q2901+Q2926)*(1+$B$7))</f>
        <v>175726.88265377318</v>
      </c>
      <c r="S2926" s="18">
        <f t="shared" si="329"/>
        <v>131763.7698108014</v>
      </c>
    </row>
    <row r="2927" spans="1:19">
      <c r="A2927" s="10">
        <f>24</f>
        <v>24</v>
      </c>
      <c r="B2927" s="18">
        <f>IF($A2927&gt;30,0,(B2901-MIN(MAX(C2926,0),B2901))+MIN(MAX(0,D2926-(B2901-MIN(MAX(C2926,0),B2901))),MAX(0,4*B2901-(C2926-MIN(MAX(C2926,0),B2901)))))</f>
        <v>30432</v>
      </c>
      <c r="C2927" s="18">
        <f>IF($A2927&gt;30,C2926,(C2926-B2901+B2927)*(1+$B$7))</f>
        <v>119568</v>
      </c>
      <c r="D2927" s="18">
        <f t="shared" si="324"/>
        <v>710640.64889791049</v>
      </c>
      <c r="E2927" s="18">
        <f>IF($A2927&gt;30,0,(E2901-MIN(MAX(F2926,0),E2901))+MIN(MAX(0,G2926-(E2901-MIN(MAX(F2926,0),E2901))),MAX(0,4*E2901-(F2926-MIN(MAX(F2926,0),E2901)))))</f>
        <v>75000</v>
      </c>
      <c r="F2927" s="18">
        <f>IF($A2927&gt;30,F2926,(F2926-E2901+E2927)*(1+$B$7))</f>
        <v>0</v>
      </c>
      <c r="G2927" s="18">
        <f t="shared" si="325"/>
        <v>-831079.84271463251</v>
      </c>
      <c r="H2927" s="18">
        <f>IF($A2927&gt;30,0,(H2901-MIN(MAX(I2926,0),H2901))+MIN(MAX(0,J2926-(H2901-MIN(MAX(I2926,0),H2901))),MAX(0,4*H2901-(I2926-MIN(MAX(I2926,0),H2901)))))</f>
        <v>45908.713818711287</v>
      </c>
      <c r="I2927" s="18">
        <f>IF($A2927&gt;30,I2926,(I2926-H2901+H2927)*(1+$B$7))</f>
        <v>180376.35035080404</v>
      </c>
      <c r="J2927" s="18">
        <f t="shared" si="326"/>
        <v>38236.906550566877</v>
      </c>
      <c r="K2927" s="18">
        <f>IF($A2927&gt;30,0,(K2901-MIN(MAX(L2926,0),K2901))+MIN(MAX(0,M2926-(K2901-MIN(MAX(L2926,0),K2901))),MAX(0,4*K2901-(L2926-MIN(MAX(L2926,0),K2901)))))</f>
        <v>44724.435570624541</v>
      </c>
      <c r="L2927" s="18">
        <f>IF($A2927&gt;30,L2926,(L2926-K2901+K2927)*(1+$B$7))</f>
        <v>175723.29496281646</v>
      </c>
      <c r="M2927" s="18">
        <f t="shared" si="327"/>
        <v>89689.245549777144</v>
      </c>
      <c r="N2927" s="18">
        <f>IF($A2927&gt;30,0,(N2901-MIN(MAX(O2926,0),N2901))+MIN(MAX(0,P2926-(N2901-MIN(MAX(O2926,0),N2901))),MAX(0,4*N2901-(O2926-MIN(MAX(O2926,0),N2901)))))</f>
        <v>44725.346909933898</v>
      </c>
      <c r="O2927" s="18">
        <f>IF($A2927&gt;30,O2926,(O2926-N2901+N2927)*(1+$B$7))</f>
        <v>175726.87563508726</v>
      </c>
      <c r="P2927" s="18">
        <f t="shared" si="328"/>
        <v>89649.651358830699</v>
      </c>
      <c r="Q2927" s="18">
        <f>IF($A2927&gt;30,0,(Q2901-MIN(MAX(R2926,0),Q2901))+MIN(MAX(0,S2926-(Q2901-MIN(MAX(R2926,0),Q2901))),MAX(0,4*Q2901-(R2926-MIN(MAX(R2926,0),Q2901)))))</f>
        <v>44725.348696303583</v>
      </c>
      <c r="R2927" s="18">
        <f>IF($A2927&gt;30,R2926,(R2926-Q2901+Q2927)*(1+$B$7))</f>
        <v>175726.88265377318</v>
      </c>
      <c r="S2927" s="18">
        <f t="shared" si="329"/>
        <v>89649.573747932751</v>
      </c>
    </row>
    <row r="2928" spans="1:19">
      <c r="A2928" s="10">
        <f>25</f>
        <v>25</v>
      </c>
      <c r="B2928" s="18">
        <f>IF($A2928&gt;30,0,(B2901-MIN(MAX(C2927,0),B2901))+MIN(MAX(0,D2927-(B2901-MIN(MAX(C2927,0),B2901))),MAX(0,4*B2901-(C2927-MIN(MAX(C2927,0),B2901)))))</f>
        <v>30432</v>
      </c>
      <c r="C2928" s="18">
        <f>IF($A2928&gt;30,C2927,(C2927-B2901+B2928)*(1+$B$7))</f>
        <v>119568</v>
      </c>
      <c r="D2928" s="18">
        <f t="shared" si="324"/>
        <v>700614.90836484777</v>
      </c>
      <c r="E2928" s="18">
        <f>IF($A2928&gt;30,0,(E2901-MIN(MAX(F2927,0),E2901))+MIN(MAX(0,G2927-(E2901-MIN(MAX(F2927,0),E2901))),MAX(0,4*E2901-(F2927-MIN(MAX(F2927,0),E2901)))))</f>
        <v>75000</v>
      </c>
      <c r="F2928" s="18">
        <f>IF($A2928&gt;30,F2927,(F2927-E2901+E2928)*(1+$B$7))</f>
        <v>0</v>
      </c>
      <c r="G2928" s="18">
        <f t="shared" si="325"/>
        <v>-933262.23799607146</v>
      </c>
      <c r="H2928" s="18">
        <f>IF($A2928&gt;30,0,(H2901-MIN(MAX(I2927,0),H2901))+MIN(MAX(0,J2927-(H2901-MIN(MAX(I2927,0),H2901))),MAX(0,4*H2901-(I2927-MIN(MAX(I2927,0),H2901)))))</f>
        <v>38236.906550566877</v>
      </c>
      <c r="I2928" s="18">
        <f>IF($A2928&gt;30,I2927,(I2927-H2901+H2928)*(1+$B$7))</f>
        <v>172732.16158882494</v>
      </c>
      <c r="J2928" s="18">
        <f t="shared" si="326"/>
        <v>0</v>
      </c>
      <c r="K2928" s="18">
        <f>IF($A2928&gt;30,0,(K2901-MIN(MAX(L2927,0),K2901))+MIN(MAX(0,M2927-(K2901-MIN(MAX(L2927,0),K2901))),MAX(0,4*K2901-(L2927-MIN(MAX(L2927,0),K2901)))))</f>
        <v>44724.435570624541</v>
      </c>
      <c r="L2928" s="18">
        <f>IF($A2928&gt;30,L2927,(L2927-K2901+K2928)*(1+$B$7))</f>
        <v>175723.29496281646</v>
      </c>
      <c r="M2928" s="18">
        <f t="shared" si="327"/>
        <v>46313.75427852718</v>
      </c>
      <c r="N2928" s="18">
        <f>IF($A2928&gt;30,0,(N2901-MIN(MAX(O2927,0),N2901))+MIN(MAX(0,P2927-(N2901-MIN(MAX(O2927,0),N2901))),MAX(0,4*N2901-(O2927-MIN(MAX(O2927,0),N2901)))))</f>
        <v>44725.346909933898</v>
      </c>
      <c r="O2928" s="18">
        <f>IF($A2928&gt;30,O2927,(O2927-N2901+N2928)*(1+$B$7))</f>
        <v>175726.87563508726</v>
      </c>
      <c r="P2928" s="18">
        <f t="shared" si="328"/>
        <v>46272.033582363707</v>
      </c>
      <c r="Q2928" s="18">
        <f>IF($A2928&gt;30,0,(Q2901-MIN(MAX(R2927,0),Q2901))+MIN(MAX(0,S2927-(Q2901-MIN(MAX(R2927,0),Q2901))),MAX(0,4*Q2901-(R2927-MIN(MAX(R2927,0),Q2901)))))</f>
        <v>44725.348696303583</v>
      </c>
      <c r="R2928" s="18">
        <f>IF($A2928&gt;30,R2927,(R2927-Q2901+Q2928)*(1+$B$7))</f>
        <v>175726.88265377318</v>
      </c>
      <c r="S2928" s="18">
        <f t="shared" si="329"/>
        <v>46271.951803178046</v>
      </c>
    </row>
    <row r="2929" spans="1:19">
      <c r="A2929" s="10">
        <f>26</f>
        <v>26</v>
      </c>
      <c r="B2929" s="18">
        <f>IF($A2929&gt;30,0,(B2901-MIN(MAX(C2928,0),B2901))+MIN(MAX(0,D2928-(B2901-MIN(MAX(C2928,0),B2901))),MAX(0,4*B2901-(C2928-MIN(MAX(C2928,0),B2901)))))</f>
        <v>30432</v>
      </c>
      <c r="C2929" s="18">
        <f>IF($A2929&gt;30,C2928,(C2928-B2901+B2929)*(1+$B$7))</f>
        <v>119568</v>
      </c>
      <c r="D2929" s="18">
        <f t="shared" si="324"/>
        <v>690288.39561579318</v>
      </c>
      <c r="E2929" s="18">
        <f>IF($A2929&gt;30,0,(E2901-MIN(MAX(F2928,0),E2901))+MIN(MAX(0,G2928-(E2901-MIN(MAX(F2928,0),E2901))),MAX(0,4*E2901-(F2928-MIN(MAX(F2928,0),E2901)))))</f>
        <v>75000</v>
      </c>
      <c r="F2929" s="18">
        <f>IF($A2929&gt;30,F2928,(F2928-E2901+E2929)*(1+$B$7))</f>
        <v>0</v>
      </c>
      <c r="G2929" s="18">
        <f t="shared" si="325"/>
        <v>-1038510.1051359536</v>
      </c>
      <c r="H2929" s="18">
        <f>IF($A2929&gt;30,0,(H2901-MIN(MAX(I2928,0),H2901))+MIN(MAX(0,J2928-(H2901-MIN(MAX(I2928,0),H2901))),MAX(0,4*H2901-(I2928-MIN(MAX(I2928,0),H2901)))))</f>
        <v>0</v>
      </c>
      <c r="I2929" s="18">
        <f>IF($A2929&gt;30,I2928,(I2928-H2901+H2929)*(1+$B$7))</f>
        <v>127016.23821940414</v>
      </c>
      <c r="J2929" s="18">
        <f t="shared" si="326"/>
        <v>0</v>
      </c>
      <c r="K2929" s="18">
        <f>IF($A2929&gt;30,0,(K2901-MIN(MAX(L2928,0),K2901))+MIN(MAX(0,M2928-(K2901-MIN(MAX(L2928,0),K2901))),MAX(0,4*K2901-(L2928-MIN(MAX(L2928,0),K2901)))))</f>
        <v>44724.435570624541</v>
      </c>
      <c r="L2929" s="18">
        <f>IF($A2929&gt;30,L2928,(L2928-K2901+K2929)*(1+$B$7))</f>
        <v>175723.29496281646</v>
      </c>
      <c r="M2929" s="18">
        <f t="shared" si="327"/>
        <v>1636.9982691397186</v>
      </c>
      <c r="N2929" s="18">
        <f>IF($A2929&gt;30,0,(N2901-MIN(MAX(O2928,0),N2901))+MIN(MAX(0,P2928-(N2901-MIN(MAX(O2928,0),N2901))),MAX(0,4*N2901-(O2928-MIN(MAX(O2928,0),N2901)))))</f>
        <v>44725.346909933898</v>
      </c>
      <c r="O2929" s="18">
        <f>IF($A2929&gt;30,O2928,(O2928-N2901+N2929)*(1+$B$7))</f>
        <v>175726.87563508726</v>
      </c>
      <c r="P2929" s="18">
        <f t="shared" si="328"/>
        <v>1593.087272602703</v>
      </c>
      <c r="Q2929" s="18">
        <f>IF($A2929&gt;30,0,(Q2901-MIN(MAX(R2928,0),Q2901))+MIN(MAX(0,S2928-(Q2901-MIN(MAX(R2928,0),Q2901))),MAX(0,4*Q2901-(R2928-MIN(MAX(R2928,0),Q2901)))))</f>
        <v>44725.348696303583</v>
      </c>
      <c r="R2929" s="18">
        <f>IF($A2929&gt;30,R2928,(R2928-Q2901+Q2929)*(1+$B$7))</f>
        <v>175726.88265377318</v>
      </c>
      <c r="S2929" s="18">
        <f t="shared" si="329"/>
        <v>1593.0012000806971</v>
      </c>
    </row>
    <row r="2930" spans="1:19">
      <c r="A2930" s="10">
        <f>27</f>
        <v>27</v>
      </c>
      <c r="B2930" s="18">
        <f>IF($A2930&gt;30,0,(B2901-MIN(MAX(C2929,0),B2901))+MIN(MAX(0,D2929-(B2901-MIN(MAX(C2929,0),B2901))),MAX(0,4*B2901-(C2929-MIN(MAX(C2929,0),B2901)))))</f>
        <v>30432</v>
      </c>
      <c r="C2930" s="18">
        <f>IF($A2930&gt;30,C2929,(C2929-B2901+B2930)*(1+$B$7))</f>
        <v>119568</v>
      </c>
      <c r="D2930" s="18">
        <f t="shared" si="324"/>
        <v>679652.08748426696</v>
      </c>
      <c r="E2930" s="18">
        <f>IF($A2930&gt;30,0,(E2901-MIN(MAX(F2929,0),E2901))+MIN(MAX(0,G2929-(E2901-MIN(MAX(F2929,0),E2901))),MAX(0,4*E2901-(F2929-MIN(MAX(F2929,0),E2901)))))</f>
        <v>75000</v>
      </c>
      <c r="F2930" s="18">
        <f>IF($A2930&gt;30,F2929,(F2929-E2901+E2930)*(1+$B$7))</f>
        <v>0</v>
      </c>
      <c r="G2930" s="18">
        <f t="shared" si="325"/>
        <v>-1146915.4082900321</v>
      </c>
      <c r="H2930" s="18">
        <f>IF($A2930&gt;30,0,(H2901-MIN(MAX(I2929,0),H2901))+MIN(MAX(0,J2929-(H2901-MIN(MAX(I2929,0),H2901))),MAX(0,4*H2901-(I2929-MIN(MAX(I2929,0),H2901)))))</f>
        <v>0</v>
      </c>
      <c r="I2930" s="18">
        <f>IF($A2930&gt;30,I2929,(I2929-H2901+H2930)*(1+$B$7))</f>
        <v>81464.892174113265</v>
      </c>
      <c r="J2930" s="18">
        <f t="shared" si="326"/>
        <v>0</v>
      </c>
      <c r="K2930" s="18">
        <f>IF($A2930&gt;30,0,(K2901-MIN(MAX(L2929,0),K2901))+MIN(MAX(0,M2929-(K2901-MIN(MAX(L2929,0),K2901))),MAX(0,4*K2901-(L2929-MIN(MAX(L2929,0),K2901)))))</f>
        <v>1636.9982691397186</v>
      </c>
      <c r="L2930" s="18">
        <f>IF($A2930&gt;30,L2929,(L2929-K2901+K2930)*(1+$B$7))</f>
        <v>132790.972435617</v>
      </c>
      <c r="M2930" s="18">
        <f t="shared" si="327"/>
        <v>0</v>
      </c>
      <c r="N2930" s="18">
        <f>IF($A2930&gt;30,0,(N2901-MIN(MAX(O2929,0),N2901))+MIN(MAX(0,P2929-(N2901-MIN(MAX(O2929,0),N2901))),MAX(0,4*N2901-(O2929-MIN(MAX(O2929,0),N2901)))))</f>
        <v>1593.087272602703</v>
      </c>
      <c r="O2930" s="18">
        <f>IF($A2930&gt;30,O2929,(O2929-N2901+N2930)*(1+$B$7))</f>
        <v>132749.89213245045</v>
      </c>
      <c r="P2930" s="18">
        <f t="shared" si="328"/>
        <v>0</v>
      </c>
      <c r="Q2930" s="18">
        <f>IF($A2930&gt;30,0,(Q2901-MIN(MAX(R2929,0),Q2901))+MIN(MAX(0,S2929-(Q2901-MIN(MAX(R2929,0),Q2901))),MAX(0,4*Q2901-(R2929-MIN(MAX(R2929,0),Q2901)))))</f>
        <v>1593.0012000806971</v>
      </c>
      <c r="R2930" s="18">
        <f>IF($A2930&gt;30,R2929,(R2929-Q2901+Q2930)*(1+$B$7))</f>
        <v>132749.81160853669</v>
      </c>
      <c r="S2930" s="18">
        <f t="shared" si="329"/>
        <v>0</v>
      </c>
    </row>
    <row r="2931" spans="1:19">
      <c r="A2931" s="10">
        <f>28</f>
        <v>28</v>
      </c>
      <c r="B2931" s="18">
        <f>IF($A2931&gt;30,0,(B2901-MIN(MAX(C2930,0),B2901))+MIN(MAX(0,D2930-(B2901-MIN(MAX(C2930,0),B2901))),MAX(0,4*B2901-(C2930-MIN(MAX(C2930,0),B2901)))))</f>
        <v>30432</v>
      </c>
      <c r="C2931" s="18">
        <f>IF($A2931&gt;30,C2930,(C2930-B2901+B2931)*(1+$B$7))</f>
        <v>119568</v>
      </c>
      <c r="D2931" s="18">
        <f t="shared" si="324"/>
        <v>668696.69010879495</v>
      </c>
      <c r="E2931" s="18">
        <f>IF($A2931&gt;30,0,(E2901-MIN(MAX(F2930,0),E2901))+MIN(MAX(0,G2930-(E2901-MIN(MAX(F2930,0),E2901))),MAX(0,4*E2901-(F2930-MIN(MAX(F2930,0),E2901)))))</f>
        <v>75000</v>
      </c>
      <c r="F2931" s="18">
        <f>IF($A2931&gt;30,F2930,(F2930-E2901+E2931)*(1+$B$7))</f>
        <v>0</v>
      </c>
      <c r="G2931" s="18">
        <f t="shared" si="325"/>
        <v>-1258572.870538733</v>
      </c>
      <c r="H2931" s="18">
        <f>IF($A2931&gt;30,0,(H2901-MIN(MAX(I2930,0),H2901))+MIN(MAX(0,J2930-(H2901-MIN(MAX(I2930,0),H2901))),MAX(0,4*H2901-(I2930-MIN(MAX(I2930,0),H2901)))))</f>
        <v>0</v>
      </c>
      <c r="I2931" s="18">
        <f>IF($A2931&gt;30,I2930,(I2930-H2901+H2931)*(1+$B$7))</f>
        <v>36077.530974585447</v>
      </c>
      <c r="J2931" s="18">
        <f t="shared" si="326"/>
        <v>0</v>
      </c>
      <c r="K2931" s="18">
        <f>IF($A2931&gt;30,0,(K2901-MIN(MAX(L2930,0),K2901))+MIN(MAX(0,M2930-(K2901-MIN(MAX(L2930,0),K2901))),MAX(0,4*K2901-(L2930-MIN(MAX(L2930,0),K2901)))))</f>
        <v>0</v>
      </c>
      <c r="L2931" s="18">
        <f>IF($A2931&gt;30,L2930,(L2930-K2901+K2931)*(1+$B$7))</f>
        <v>88382.101194144663</v>
      </c>
      <c r="M2931" s="18">
        <f t="shared" si="327"/>
        <v>0</v>
      </c>
      <c r="N2931" s="18">
        <f>IF($A2931&gt;30,0,(N2901-MIN(MAX(O2930,0),N2901))+MIN(MAX(0,P2930-(N2901-MIN(MAX(O2930,0),N2901))),MAX(0,4*N2901-(O2930-MIN(MAX(O2930,0),N2901)))))</f>
        <v>0</v>
      </c>
      <c r="O2931" s="18">
        <f>IF($A2931&gt;30,O2930,(O2930-N2901+N2931)*(1+$B$7))</f>
        <v>88340.273612001809</v>
      </c>
      <c r="P2931" s="18">
        <f t="shared" si="328"/>
        <v>0</v>
      </c>
      <c r="Q2931" s="18">
        <f>IF($A2931&gt;30,0,(Q2901-MIN(MAX(R2930,0),Q2901))+MIN(MAX(0,S2930-(Q2901-MIN(MAX(R2930,0),Q2901))),MAX(0,4*Q2901-(R2930-MIN(MAX(R2930,0),Q2901)))))</f>
        <v>0</v>
      </c>
      <c r="R2931" s="18">
        <f>IF($A2931&gt;30,R2930,(R2930-Q2901+Q2931)*(1+$B$7))</f>
        <v>88340.191623302657</v>
      </c>
      <c r="S2931" s="18">
        <f t="shared" si="329"/>
        <v>0</v>
      </c>
    </row>
    <row r="2932" spans="1:19">
      <c r="A2932" s="10">
        <f>29</f>
        <v>29</v>
      </c>
      <c r="B2932" s="18">
        <f>IF($A2932&gt;30,0,(B2901-MIN(MAX(C2931,0),B2901))+MIN(MAX(0,D2931-(B2901-MIN(MAX(C2931,0),B2901))),MAX(0,4*B2901-(C2931-MIN(MAX(C2931,0),B2901)))))</f>
        <v>30432</v>
      </c>
      <c r="C2932" s="18">
        <f>IF($A2932&gt;30,C2931,(C2931-B2901+B2932)*(1+$B$7))</f>
        <v>119568</v>
      </c>
      <c r="D2932" s="18">
        <f t="shared" si="324"/>
        <v>657412.63081205881</v>
      </c>
      <c r="E2932" s="18">
        <f>IF($A2932&gt;30,0,(E2901-MIN(MAX(F2931,0),E2901))+MIN(MAX(0,G2931-(E2901-MIN(MAX(F2931,0),E2901))),MAX(0,4*E2901-(F2931-MIN(MAX(F2931,0),E2901)))))</f>
        <v>75000</v>
      </c>
      <c r="F2932" s="18">
        <f>IF($A2932&gt;30,F2931,(F2931-E2901+E2932)*(1+$B$7))</f>
        <v>0</v>
      </c>
      <c r="G2932" s="18">
        <f t="shared" si="325"/>
        <v>-1373580.056654895</v>
      </c>
      <c r="H2932" s="18">
        <f>IF($A2932&gt;30,0,(H2901-MIN(MAX(I2931,0),H2901))+MIN(MAX(0,J2931-(H2901-MIN(MAX(I2931,0),H2901))),MAX(0,4*H2901-(I2931-MIN(MAX(I2931,0),H2901)))))</f>
        <v>9179.4818593176169</v>
      </c>
      <c r="I2932" s="18">
        <f>IF($A2932&gt;30,I2931,(I2931-H2901+H2932)*(1+$B$7))</f>
        <v>0</v>
      </c>
      <c r="J2932" s="18">
        <f t="shared" si="326"/>
        <v>-9454.8663150971461</v>
      </c>
      <c r="K2932" s="18">
        <f>IF($A2932&gt;30,0,(K2901-MIN(MAX(L2931,0),K2901))+MIN(MAX(0,M2931-(K2901-MIN(MAX(L2931,0),K2901))),MAX(0,4*K2901-(L2931-MIN(MAX(L2931,0),K2901)))))</f>
        <v>0</v>
      </c>
      <c r="L2932" s="18">
        <f>IF($A2932&gt;30,L2931,(L2931-K2901+K2932)*(1+$B$7))</f>
        <v>44133.101889141617</v>
      </c>
      <c r="M2932" s="18">
        <f t="shared" si="327"/>
        <v>0</v>
      </c>
      <c r="N2932" s="18">
        <f>IF($A2932&gt;30,0,(N2901-MIN(MAX(O2931,0),N2901))+MIN(MAX(0,P2931-(N2901-MIN(MAX(O2931,0),N2901))),MAX(0,4*N2901-(O2931-MIN(MAX(O2931,0),N2901)))))</f>
        <v>0</v>
      </c>
      <c r="O2932" s="18">
        <f>IF($A2932&gt;30,O2931,(O2931-N2901+N2932)*(1+$B$7))</f>
        <v>44090.52971822679</v>
      </c>
      <c r="P2932" s="18">
        <f t="shared" si="328"/>
        <v>0</v>
      </c>
      <c r="Q2932" s="18">
        <f>IF($A2932&gt;30,0,(Q2901-MIN(MAX(R2931,0),Q2901))+MIN(MAX(0,S2931-(Q2901-MIN(MAX(R2931,0),Q2901))),MAX(0,4*Q2901-(R2931-MIN(MAX(R2931,0),Q2901)))))</f>
        <v>0</v>
      </c>
      <c r="R2932" s="18">
        <f>IF($A2932&gt;30,R2931,(R2931-Q2901+Q2932)*(1+$B$7))</f>
        <v>44090.446270015469</v>
      </c>
      <c r="S2932" s="18">
        <f t="shared" si="329"/>
        <v>0</v>
      </c>
    </row>
    <row r="2933" spans="1:19">
      <c r="A2933" s="10">
        <f>30</f>
        <v>30</v>
      </c>
      <c r="B2933" s="18">
        <f>IF($A2933&gt;30,0,(B2901-MIN(MAX(C2932,0),B2901))+MIN(MAX(0,D2932-(B2901-MIN(MAX(C2932,0),B2901))),MAX(0,4*B2901-(C2932-MIN(MAX(C2932,0),B2901)))))</f>
        <v>30432</v>
      </c>
      <c r="C2933" s="18">
        <f>IF($A2933&gt;30,C2932,(C2932-B2901+B2933)*(1+$B$7))</f>
        <v>119568</v>
      </c>
      <c r="D2933" s="18">
        <f t="shared" si="324"/>
        <v>645790.04973642062</v>
      </c>
      <c r="E2933" s="18">
        <f>IF($A2933&gt;30,0,(E2901-MIN(MAX(F2932,0),E2901))+MIN(MAX(0,G2932-(E2901-MIN(MAX(F2932,0),E2901))),MAX(0,4*E2901-(F2932-MIN(MAX(F2932,0),E2901)))))</f>
        <v>75000</v>
      </c>
      <c r="F2933" s="18">
        <f>IF($A2933&gt;30,F2932,(F2932-E2901+E2933)*(1+$B$7))</f>
        <v>0</v>
      </c>
      <c r="G2933" s="18">
        <f t="shared" si="325"/>
        <v>-1492037.4583545418</v>
      </c>
      <c r="H2933" s="18">
        <f>IF($A2933&gt;30,0,(H2901-MIN(MAX(I2932,0),H2901))+MIN(MAX(0,J2932-(H2901-MIN(MAX(I2932,0),H2901))),MAX(0,4*H2901-(I2932-MIN(MAX(I2932,0),H2901)))))</f>
        <v>45257.012833903063</v>
      </c>
      <c r="I2933" s="18">
        <f>IF($A2933&gt;30,I2932,(I2932-H2901+H2933)*(1+$B$7))</f>
        <v>0</v>
      </c>
      <c r="J2933" s="18">
        <f t="shared" si="326"/>
        <v>-56353.235523470219</v>
      </c>
      <c r="K2933" s="18">
        <f>IF($A2933&gt;30,0,(K2901-MIN(MAX(L2932,0),K2901))+MIN(MAX(0,M2932-(K2901-MIN(MAX(L2932,0),K2901))),MAX(0,4*K2901-(L2932-MIN(MAX(L2932,0),K2901)))))</f>
        <v>0</v>
      </c>
      <c r="L2933" s="18">
        <f>IF($A2933&gt;30,L2932,(L2932-K2901+K2933)*(1+$B$7))</f>
        <v>43.398981636586633</v>
      </c>
      <c r="M2933" s="18">
        <f t="shared" si="327"/>
        <v>0</v>
      </c>
      <c r="N2933" s="18">
        <f>IF($A2933&gt;30,0,(N2901-MIN(MAX(O2932,0),N2901))+MIN(MAX(0,P2932-(N2901-MIN(MAX(O2932,0),N2901))),MAX(0,4*N2901-(O2932-MIN(MAX(O2932,0),N2901)))))</f>
        <v>0</v>
      </c>
      <c r="O2933" s="18">
        <f>IF($A2933&gt;30,O2932,(O2932-N2901+N2933)*(1+$B$7))</f>
        <v>8.4902469360167737E-2</v>
      </c>
      <c r="P2933" s="18">
        <f t="shared" si="328"/>
        <v>0</v>
      </c>
      <c r="Q2933" s="18">
        <f>IF($A2933&gt;30,0,(Q2901-MIN(MAX(R2932,0),Q2901))+MIN(MAX(0,S2932-(Q2901-MIN(MAX(R2932,0),Q2901))),MAX(0,4*Q2901-(R2932-MIN(MAX(R2932,0),Q2901)))))</f>
        <v>0</v>
      </c>
      <c r="R2933" s="18">
        <f>IF($A2933&gt;30,R2932,(R2932-Q2901+Q2933)*(1+$B$7))</f>
        <v>1.1599622666835784E-10</v>
      </c>
      <c r="S2933" s="18">
        <f t="shared" si="329"/>
        <v>0</v>
      </c>
    </row>
    <row r="2934" spans="1:19">
      <c r="A2934" s="10">
        <f>31</f>
        <v>31</v>
      </c>
      <c r="B2934" s="18">
        <f>IF($A2934&gt;30,0,(B2901-MIN(MAX(C2933,0),B2901))+MIN(MAX(0,D2933-(B2901-MIN(MAX(C2933,0),B2901))),MAX(0,4*B2901-(C2933-MIN(MAX(C2933,0),B2901)))))</f>
        <v>0</v>
      </c>
      <c r="C2934" s="18">
        <f>IF($A2934&gt;30,C2933,(C2933-B2901+B2934)*(1+$B$7))</f>
        <v>119568</v>
      </c>
      <c r="D2934" s="18">
        <f t="shared" si="324"/>
        <v>645790.04973642062</v>
      </c>
      <c r="E2934" s="18">
        <f>IF($A2934&gt;30,0,(E2901-MIN(MAX(F2933,0),E2901))+MIN(MAX(0,G2933-(E2901-MIN(MAX(F2933,0),E2901))),MAX(0,4*E2901-(F2933-MIN(MAX(F2933,0),E2901)))))</f>
        <v>0</v>
      </c>
      <c r="F2934" s="18">
        <f>IF($A2934&gt;30,F2933,(F2933-E2901+E2934)*(1+$B$7))</f>
        <v>0</v>
      </c>
      <c r="G2934" s="18">
        <f t="shared" si="325"/>
        <v>-1492037.4583545418</v>
      </c>
      <c r="H2934" s="18">
        <f>IF($A2934&gt;30,0,(H2901-MIN(MAX(I2933,0),H2901))+MIN(MAX(0,J2933-(H2901-MIN(MAX(I2933,0),H2901))),MAX(0,4*H2901-(I2933-MIN(MAX(I2933,0),H2901)))))</f>
        <v>0</v>
      </c>
      <c r="I2934" s="18">
        <f>IF($A2934&gt;30,I2933,(I2933-H2901+H2934)*(1+$B$7))</f>
        <v>0</v>
      </c>
      <c r="J2934" s="18">
        <f t="shared" si="326"/>
        <v>-56353.235523470219</v>
      </c>
      <c r="K2934" s="18">
        <f>IF($A2934&gt;30,0,(K2901-MIN(MAX(L2933,0),K2901))+MIN(MAX(0,M2933-(K2901-MIN(MAX(L2933,0),K2901))),MAX(0,4*K2901-(L2933-MIN(MAX(L2933,0),K2901)))))</f>
        <v>0</v>
      </c>
      <c r="L2934" s="18">
        <f>IF($A2934&gt;30,L2933,(L2933-K2901+K2934)*(1+$B$7))</f>
        <v>43.398981636586633</v>
      </c>
      <c r="M2934" s="18">
        <f t="shared" si="327"/>
        <v>0</v>
      </c>
      <c r="N2934" s="18">
        <f>IF($A2934&gt;30,0,(N2901-MIN(MAX(O2933,0),N2901))+MIN(MAX(0,P2933-(N2901-MIN(MAX(O2933,0),N2901))),MAX(0,4*N2901-(O2933-MIN(MAX(O2933,0),N2901)))))</f>
        <v>0</v>
      </c>
      <c r="O2934" s="18">
        <f>IF($A2934&gt;30,O2933,(O2933-N2901+N2934)*(1+$B$7))</f>
        <v>8.4902469360167737E-2</v>
      </c>
      <c r="P2934" s="18">
        <f t="shared" si="328"/>
        <v>0</v>
      </c>
      <c r="Q2934" s="18">
        <f>IF($A2934&gt;30,0,(Q2901-MIN(MAX(R2933,0),Q2901))+MIN(MAX(0,S2933-(Q2901-MIN(MAX(R2933,0),Q2901))),MAX(0,4*Q2901-(R2933-MIN(MAX(R2933,0),Q2901)))))</f>
        <v>0</v>
      </c>
      <c r="R2934" s="18">
        <f>IF($A2934&gt;30,R2933,(R2933-Q2901+Q2934)*(1+$B$7))</f>
        <v>1.1599622666835784E-10</v>
      </c>
      <c r="S2934" s="18">
        <f t="shared" si="329"/>
        <v>0</v>
      </c>
    </row>
    <row r="2935" spans="1:19">
      <c r="A2935" s="10">
        <f>32</f>
        <v>32</v>
      </c>
      <c r="B2935" s="18">
        <f>IF($A2935&gt;30,0,(B2901-MIN(MAX(C2934,0),B2901))+MIN(MAX(0,D2934-(B2901-MIN(MAX(C2934,0),B2901))),MAX(0,4*B2901-(C2934-MIN(MAX(C2934,0),B2901)))))</f>
        <v>0</v>
      </c>
      <c r="C2935" s="18">
        <f>IF($A2935&gt;30,C2934,(C2934-B2901+B2935)*(1+$B$7))</f>
        <v>119568</v>
      </c>
      <c r="D2935" s="18">
        <f t="shared" si="324"/>
        <v>645790.04973642062</v>
      </c>
      <c r="E2935" s="18">
        <f>IF($A2935&gt;30,0,(E2901-MIN(MAX(F2934,0),E2901))+MIN(MAX(0,G2934-(E2901-MIN(MAX(F2934,0),E2901))),MAX(0,4*E2901-(F2934-MIN(MAX(F2934,0),E2901)))))</f>
        <v>0</v>
      </c>
      <c r="F2935" s="18">
        <f>IF($A2935&gt;30,F2934,(F2934-E2901+E2935)*(1+$B$7))</f>
        <v>0</v>
      </c>
      <c r="G2935" s="18">
        <f t="shared" si="325"/>
        <v>-1492037.4583545418</v>
      </c>
      <c r="H2935" s="18">
        <f>IF($A2935&gt;30,0,(H2901-MIN(MAX(I2934,0),H2901))+MIN(MAX(0,J2934-(H2901-MIN(MAX(I2934,0),H2901))),MAX(0,4*H2901-(I2934-MIN(MAX(I2934,0),H2901)))))</f>
        <v>0</v>
      </c>
      <c r="I2935" s="18">
        <f>IF($A2935&gt;30,I2934,(I2934-H2901+H2935)*(1+$B$7))</f>
        <v>0</v>
      </c>
      <c r="J2935" s="18">
        <f t="shared" si="326"/>
        <v>-56353.235523470219</v>
      </c>
      <c r="K2935" s="18">
        <f>IF($A2935&gt;30,0,(K2901-MIN(MAX(L2934,0),K2901))+MIN(MAX(0,M2934-(K2901-MIN(MAX(L2934,0),K2901))),MAX(0,4*K2901-(L2934-MIN(MAX(L2934,0),K2901)))))</f>
        <v>0</v>
      </c>
      <c r="L2935" s="18">
        <f>IF($A2935&gt;30,L2934,(L2934-K2901+K2935)*(1+$B$7))</f>
        <v>43.398981636586633</v>
      </c>
      <c r="M2935" s="18">
        <f t="shared" si="327"/>
        <v>0</v>
      </c>
      <c r="N2935" s="18">
        <f>IF($A2935&gt;30,0,(N2901-MIN(MAX(O2934,0),N2901))+MIN(MAX(0,P2934-(N2901-MIN(MAX(O2934,0),N2901))),MAX(0,4*N2901-(O2934-MIN(MAX(O2934,0),N2901)))))</f>
        <v>0</v>
      </c>
      <c r="O2935" s="18">
        <f>IF($A2935&gt;30,O2934,(O2934-N2901+N2935)*(1+$B$7))</f>
        <v>8.4902469360167737E-2</v>
      </c>
      <c r="P2935" s="18">
        <f t="shared" si="328"/>
        <v>0</v>
      </c>
      <c r="Q2935" s="18">
        <f>IF($A2935&gt;30,0,(Q2901-MIN(MAX(R2934,0),Q2901))+MIN(MAX(0,S2934-(Q2901-MIN(MAX(R2934,0),Q2901))),MAX(0,4*Q2901-(R2934-MIN(MAX(R2934,0),Q2901)))))</f>
        <v>0</v>
      </c>
      <c r="R2935" s="18">
        <f>IF($A2935&gt;30,R2934,(R2934-Q2901+Q2935)*(1+$B$7))</f>
        <v>1.1599622666835784E-10</v>
      </c>
      <c r="S2935" s="18">
        <f t="shared" si="329"/>
        <v>0</v>
      </c>
    </row>
    <row r="2936" spans="1:19">
      <c r="A2936" s="10">
        <f>33</f>
        <v>33</v>
      </c>
      <c r="B2936" s="18">
        <f>IF($A2936&gt;30,0,(B2901-MIN(MAX(C2935,0),B2901))+MIN(MAX(0,D2935-(B2901-MIN(MAX(C2935,0),B2901))),MAX(0,4*B2901-(C2935-MIN(MAX(C2935,0),B2901)))))</f>
        <v>0</v>
      </c>
      <c r="C2936" s="18">
        <f>IF($A2936&gt;30,C2935,(C2935-B2901+B2936)*(1+$B$7))</f>
        <v>119568</v>
      </c>
      <c r="D2936" s="18">
        <f t="shared" si="324"/>
        <v>645790.04973642062</v>
      </c>
      <c r="E2936" s="18">
        <f>IF($A2936&gt;30,0,(E2901-MIN(MAX(F2935,0),E2901))+MIN(MAX(0,G2935-(E2901-MIN(MAX(F2935,0),E2901))),MAX(0,4*E2901-(F2935-MIN(MAX(F2935,0),E2901)))))</f>
        <v>0</v>
      </c>
      <c r="F2936" s="18">
        <f>IF($A2936&gt;30,F2935,(F2935-E2901+E2936)*(1+$B$7))</f>
        <v>0</v>
      </c>
      <c r="G2936" s="18">
        <f t="shared" si="325"/>
        <v>-1492037.4583545418</v>
      </c>
      <c r="H2936" s="18">
        <f>IF($A2936&gt;30,0,(H2901-MIN(MAX(I2935,0),H2901))+MIN(MAX(0,J2935-(H2901-MIN(MAX(I2935,0),H2901))),MAX(0,4*H2901-(I2935-MIN(MAX(I2935,0),H2901)))))</f>
        <v>0</v>
      </c>
      <c r="I2936" s="18">
        <f>IF($A2936&gt;30,I2935,(I2935-H2901+H2936)*(1+$B$7))</f>
        <v>0</v>
      </c>
      <c r="J2936" s="18">
        <f t="shared" si="326"/>
        <v>-56353.235523470219</v>
      </c>
      <c r="K2936" s="18">
        <f>IF($A2936&gt;30,0,(K2901-MIN(MAX(L2935,0),K2901))+MIN(MAX(0,M2935-(K2901-MIN(MAX(L2935,0),K2901))),MAX(0,4*K2901-(L2935-MIN(MAX(L2935,0),K2901)))))</f>
        <v>0</v>
      </c>
      <c r="L2936" s="18">
        <f>IF($A2936&gt;30,L2935,(L2935-K2901+K2936)*(1+$B$7))</f>
        <v>43.398981636586633</v>
      </c>
      <c r="M2936" s="18">
        <f t="shared" si="327"/>
        <v>0</v>
      </c>
      <c r="N2936" s="18">
        <f>IF($A2936&gt;30,0,(N2901-MIN(MAX(O2935,0),N2901))+MIN(MAX(0,P2935-(N2901-MIN(MAX(O2935,0),N2901))),MAX(0,4*N2901-(O2935-MIN(MAX(O2935,0),N2901)))))</f>
        <v>0</v>
      </c>
      <c r="O2936" s="18">
        <f>IF($A2936&gt;30,O2935,(O2935-N2901+N2936)*(1+$B$7))</f>
        <v>8.4902469360167737E-2</v>
      </c>
      <c r="P2936" s="18">
        <f t="shared" si="328"/>
        <v>0</v>
      </c>
      <c r="Q2936" s="18">
        <f>IF($A2936&gt;30,0,(Q2901-MIN(MAX(R2935,0),Q2901))+MIN(MAX(0,S2935-(Q2901-MIN(MAX(R2935,0),Q2901))),MAX(0,4*Q2901-(R2935-MIN(MAX(R2935,0),Q2901)))))</f>
        <v>0</v>
      </c>
      <c r="R2936" s="18">
        <f>IF($A2936&gt;30,R2935,(R2935-Q2901+Q2936)*(1+$B$7))</f>
        <v>1.1599622666835784E-10</v>
      </c>
      <c r="S2936" s="18">
        <f t="shared" si="329"/>
        <v>0</v>
      </c>
    </row>
    <row r="2937" spans="1:19">
      <c r="A2937" s="10">
        <f>34</f>
        <v>34</v>
      </c>
      <c r="B2937" s="18">
        <f>IF($A2937&gt;30,0,(B2901-MIN(MAX(C2936,0),B2901))+MIN(MAX(0,D2936-(B2901-MIN(MAX(C2936,0),B2901))),MAX(0,4*B2901-(C2936-MIN(MAX(C2936,0),B2901)))))</f>
        <v>0</v>
      </c>
      <c r="C2937" s="18">
        <f>IF($A2937&gt;30,C2936,(C2936-B2901+B2937)*(1+$B$7))</f>
        <v>119568</v>
      </c>
      <c r="D2937" s="18">
        <f t="shared" si="324"/>
        <v>645790.04973642062</v>
      </c>
      <c r="E2937" s="18">
        <f>IF($A2937&gt;30,0,(E2901-MIN(MAX(F2936,0),E2901))+MIN(MAX(0,G2936-(E2901-MIN(MAX(F2936,0),E2901))),MAX(0,4*E2901-(F2936-MIN(MAX(F2936,0),E2901)))))</f>
        <v>0</v>
      </c>
      <c r="F2937" s="18">
        <f>IF($A2937&gt;30,F2936,(F2936-E2901+E2937)*(1+$B$7))</f>
        <v>0</v>
      </c>
      <c r="G2937" s="18">
        <f t="shared" si="325"/>
        <v>-1492037.4583545418</v>
      </c>
      <c r="H2937" s="18">
        <f>IF($A2937&gt;30,0,(H2901-MIN(MAX(I2936,0),H2901))+MIN(MAX(0,J2936-(H2901-MIN(MAX(I2936,0),H2901))),MAX(0,4*H2901-(I2936-MIN(MAX(I2936,0),H2901)))))</f>
        <v>0</v>
      </c>
      <c r="I2937" s="18">
        <f>IF($A2937&gt;30,I2936,(I2936-H2901+H2937)*(1+$B$7))</f>
        <v>0</v>
      </c>
      <c r="J2937" s="18">
        <f t="shared" si="326"/>
        <v>-56353.235523470219</v>
      </c>
      <c r="K2937" s="18">
        <f>IF($A2937&gt;30,0,(K2901-MIN(MAX(L2936,0),K2901))+MIN(MAX(0,M2936-(K2901-MIN(MAX(L2936,0),K2901))),MAX(0,4*K2901-(L2936-MIN(MAX(L2936,0),K2901)))))</f>
        <v>0</v>
      </c>
      <c r="L2937" s="18">
        <f>IF($A2937&gt;30,L2936,(L2936-K2901+K2937)*(1+$B$7))</f>
        <v>43.398981636586633</v>
      </c>
      <c r="M2937" s="18">
        <f t="shared" si="327"/>
        <v>0</v>
      </c>
      <c r="N2937" s="18">
        <f>IF($A2937&gt;30,0,(N2901-MIN(MAX(O2936,0),N2901))+MIN(MAX(0,P2936-(N2901-MIN(MAX(O2936,0),N2901))),MAX(0,4*N2901-(O2936-MIN(MAX(O2936,0),N2901)))))</f>
        <v>0</v>
      </c>
      <c r="O2937" s="18">
        <f>IF($A2937&gt;30,O2936,(O2936-N2901+N2937)*(1+$B$7))</f>
        <v>8.4902469360167737E-2</v>
      </c>
      <c r="P2937" s="18">
        <f t="shared" si="328"/>
        <v>0</v>
      </c>
      <c r="Q2937" s="18">
        <f>IF($A2937&gt;30,0,(Q2901-MIN(MAX(R2936,0),Q2901))+MIN(MAX(0,S2936-(Q2901-MIN(MAX(R2936,0),Q2901))),MAX(0,4*Q2901-(R2936-MIN(MAX(R2936,0),Q2901)))))</f>
        <v>0</v>
      </c>
      <c r="R2937" s="18">
        <f>IF($A2937&gt;30,R2936,(R2936-Q2901+Q2937)*(1+$B$7))</f>
        <v>1.1599622666835784E-10</v>
      </c>
      <c r="S2937" s="18">
        <f t="shared" si="329"/>
        <v>0</v>
      </c>
    </row>
    <row r="2938" spans="1:19">
      <c r="A2938" s="10">
        <f>35</f>
        <v>35</v>
      </c>
      <c r="B2938" s="18">
        <f>IF($A2938&gt;30,0,(B2901-MIN(MAX(C2937,0),B2901))+MIN(MAX(0,D2937-(B2901-MIN(MAX(C2937,0),B2901))),MAX(0,4*B2901-(C2937-MIN(MAX(C2937,0),B2901)))))</f>
        <v>0</v>
      </c>
      <c r="C2938" s="18">
        <f>IF($A2938&gt;30,C2937,(C2937-B2901+B2938)*(1+$B$7))</f>
        <v>119568</v>
      </c>
      <c r="D2938" s="18">
        <f t="shared" si="324"/>
        <v>645790.04973642062</v>
      </c>
      <c r="E2938" s="18">
        <f>IF($A2938&gt;30,0,(E2901-MIN(MAX(F2937,0),E2901))+MIN(MAX(0,G2937-(E2901-MIN(MAX(F2937,0),E2901))),MAX(0,4*E2901-(F2937-MIN(MAX(F2937,0),E2901)))))</f>
        <v>0</v>
      </c>
      <c r="F2938" s="18">
        <f>IF($A2938&gt;30,F2937,(F2937-E2901+E2938)*(1+$B$7))</f>
        <v>0</v>
      </c>
      <c r="G2938" s="18">
        <f t="shared" si="325"/>
        <v>-1492037.4583545418</v>
      </c>
      <c r="H2938" s="18">
        <f>IF($A2938&gt;30,0,(H2901-MIN(MAX(I2937,0),H2901))+MIN(MAX(0,J2937-(H2901-MIN(MAX(I2937,0),H2901))),MAX(0,4*H2901-(I2937-MIN(MAX(I2937,0),H2901)))))</f>
        <v>0</v>
      </c>
      <c r="I2938" s="18">
        <f>IF($A2938&gt;30,I2937,(I2937-H2901+H2938)*(1+$B$7))</f>
        <v>0</v>
      </c>
      <c r="J2938" s="18">
        <f t="shared" si="326"/>
        <v>-56353.235523470219</v>
      </c>
      <c r="K2938" s="18">
        <f>IF($A2938&gt;30,0,(K2901-MIN(MAX(L2937,0),K2901))+MIN(MAX(0,M2937-(K2901-MIN(MAX(L2937,0),K2901))),MAX(0,4*K2901-(L2937-MIN(MAX(L2937,0),K2901)))))</f>
        <v>0</v>
      </c>
      <c r="L2938" s="18">
        <f>IF($A2938&gt;30,L2937,(L2937-K2901+K2938)*(1+$B$7))</f>
        <v>43.398981636586633</v>
      </c>
      <c r="M2938" s="18">
        <f t="shared" si="327"/>
        <v>0</v>
      </c>
      <c r="N2938" s="18">
        <f>IF($A2938&gt;30,0,(N2901-MIN(MAX(O2937,0),N2901))+MIN(MAX(0,P2937-(N2901-MIN(MAX(O2937,0),N2901))),MAX(0,4*N2901-(O2937-MIN(MAX(O2937,0),N2901)))))</f>
        <v>0</v>
      </c>
      <c r="O2938" s="18">
        <f>IF($A2938&gt;30,O2937,(O2937-N2901+N2938)*(1+$B$7))</f>
        <v>8.4902469360167737E-2</v>
      </c>
      <c r="P2938" s="18">
        <f t="shared" si="328"/>
        <v>0</v>
      </c>
      <c r="Q2938" s="18">
        <f>IF($A2938&gt;30,0,(Q2901-MIN(MAX(R2937,0),Q2901))+MIN(MAX(0,S2937-(Q2901-MIN(MAX(R2937,0),Q2901))),MAX(0,4*Q2901-(R2937-MIN(MAX(R2937,0),Q2901)))))</f>
        <v>0</v>
      </c>
      <c r="R2938" s="18">
        <f>IF($A2938&gt;30,R2937,(R2937-Q2901+Q2938)*(1+$B$7))</f>
        <v>1.1599622666835784E-10</v>
      </c>
      <c r="S2938" s="18">
        <f t="shared" si="329"/>
        <v>0</v>
      </c>
    </row>
    <row r="2939" spans="1:19">
      <c r="A2939" s="10">
        <f>36</f>
        <v>36</v>
      </c>
      <c r="B2939" s="18">
        <f>IF($A2939&gt;30,0,(B2901-MIN(MAX(C2938,0),B2901))+MIN(MAX(0,D2938-(B2901-MIN(MAX(C2938,0),B2901))),MAX(0,4*B2901-(C2938-MIN(MAX(C2938,0),B2901)))))</f>
        <v>0</v>
      </c>
      <c r="C2939" s="18">
        <f>IF($A2939&gt;30,C2938,(C2938-B2901+B2939)*(1+$B$7))</f>
        <v>119568</v>
      </c>
      <c r="D2939" s="18">
        <f t="shared" si="324"/>
        <v>645790.04973642062</v>
      </c>
      <c r="E2939" s="18">
        <f>IF($A2939&gt;30,0,(E2901-MIN(MAX(F2938,0),E2901))+MIN(MAX(0,G2938-(E2901-MIN(MAX(F2938,0),E2901))),MAX(0,4*E2901-(F2938-MIN(MAX(F2938,0),E2901)))))</f>
        <v>0</v>
      </c>
      <c r="F2939" s="18">
        <f>IF($A2939&gt;30,F2938,(F2938-E2901+E2939)*(1+$B$7))</f>
        <v>0</v>
      </c>
      <c r="G2939" s="18">
        <f t="shared" si="325"/>
        <v>-1492037.4583545418</v>
      </c>
      <c r="H2939" s="18">
        <f>IF($A2939&gt;30,0,(H2901-MIN(MAX(I2938,0),H2901))+MIN(MAX(0,J2938-(H2901-MIN(MAX(I2938,0),H2901))),MAX(0,4*H2901-(I2938-MIN(MAX(I2938,0),H2901)))))</f>
        <v>0</v>
      </c>
      <c r="I2939" s="18">
        <f>IF($A2939&gt;30,I2938,(I2938-H2901+H2939)*(1+$B$7))</f>
        <v>0</v>
      </c>
      <c r="J2939" s="18">
        <f t="shared" si="326"/>
        <v>-56353.235523470219</v>
      </c>
      <c r="K2939" s="18">
        <f>IF($A2939&gt;30,0,(K2901-MIN(MAX(L2938,0),K2901))+MIN(MAX(0,M2938-(K2901-MIN(MAX(L2938,0),K2901))),MAX(0,4*K2901-(L2938-MIN(MAX(L2938,0),K2901)))))</f>
        <v>0</v>
      </c>
      <c r="L2939" s="18">
        <f>IF($A2939&gt;30,L2938,(L2938-K2901+K2939)*(1+$B$7))</f>
        <v>43.398981636586633</v>
      </c>
      <c r="M2939" s="18">
        <f t="shared" si="327"/>
        <v>0</v>
      </c>
      <c r="N2939" s="18">
        <f>IF($A2939&gt;30,0,(N2901-MIN(MAX(O2938,0),N2901))+MIN(MAX(0,P2938-(N2901-MIN(MAX(O2938,0),N2901))),MAX(0,4*N2901-(O2938-MIN(MAX(O2938,0),N2901)))))</f>
        <v>0</v>
      </c>
      <c r="O2939" s="18">
        <f>IF($A2939&gt;30,O2938,(O2938-N2901+N2939)*(1+$B$7))</f>
        <v>8.4902469360167737E-2</v>
      </c>
      <c r="P2939" s="18">
        <f t="shared" si="328"/>
        <v>0</v>
      </c>
      <c r="Q2939" s="18">
        <f>IF($A2939&gt;30,0,(Q2901-MIN(MAX(R2938,0),Q2901))+MIN(MAX(0,S2938-(Q2901-MIN(MAX(R2938,0),Q2901))),MAX(0,4*Q2901-(R2938-MIN(MAX(R2938,0),Q2901)))))</f>
        <v>0</v>
      </c>
      <c r="R2939" s="18">
        <f>IF($A2939&gt;30,R2938,(R2938-Q2901+Q2939)*(1+$B$7))</f>
        <v>1.1599622666835784E-10</v>
      </c>
      <c r="S2939" s="18">
        <f t="shared" si="329"/>
        <v>0</v>
      </c>
    </row>
    <row r="2940" spans="1:19">
      <c r="A2940" s="10">
        <f>37</f>
        <v>37</v>
      </c>
      <c r="B2940" s="18">
        <f>IF($A2940&gt;30,0,(B2901-MIN(MAX(C2939,0),B2901))+MIN(MAX(0,D2939-(B2901-MIN(MAX(C2939,0),B2901))),MAX(0,4*B2901-(C2939-MIN(MAX(C2939,0),B2901)))))</f>
        <v>0</v>
      </c>
      <c r="C2940" s="18">
        <f>IF($A2940&gt;30,C2939,(C2939-B2901+B2940)*(1+$B$7))</f>
        <v>119568</v>
      </c>
      <c r="D2940" s="18">
        <f t="shared" si="324"/>
        <v>645790.04973642062</v>
      </c>
      <c r="E2940" s="18">
        <f>IF($A2940&gt;30,0,(E2901-MIN(MAX(F2939,0),E2901))+MIN(MAX(0,G2939-(E2901-MIN(MAX(F2939,0),E2901))),MAX(0,4*E2901-(F2939-MIN(MAX(F2939,0),E2901)))))</f>
        <v>0</v>
      </c>
      <c r="F2940" s="18">
        <f>IF($A2940&gt;30,F2939,(F2939-E2901+E2940)*(1+$B$7))</f>
        <v>0</v>
      </c>
      <c r="G2940" s="18">
        <f t="shared" si="325"/>
        <v>-1492037.4583545418</v>
      </c>
      <c r="H2940" s="18">
        <f>IF($A2940&gt;30,0,(H2901-MIN(MAX(I2939,0),H2901))+MIN(MAX(0,J2939-(H2901-MIN(MAX(I2939,0),H2901))),MAX(0,4*H2901-(I2939-MIN(MAX(I2939,0),H2901)))))</f>
        <v>0</v>
      </c>
      <c r="I2940" s="18">
        <f>IF($A2940&gt;30,I2939,(I2939-H2901+H2940)*(1+$B$7))</f>
        <v>0</v>
      </c>
      <c r="J2940" s="18">
        <f t="shared" si="326"/>
        <v>-56353.235523470219</v>
      </c>
      <c r="K2940" s="18">
        <f>IF($A2940&gt;30,0,(K2901-MIN(MAX(L2939,0),K2901))+MIN(MAX(0,M2939-(K2901-MIN(MAX(L2939,0),K2901))),MAX(0,4*K2901-(L2939-MIN(MAX(L2939,0),K2901)))))</f>
        <v>0</v>
      </c>
      <c r="L2940" s="18">
        <f>IF($A2940&gt;30,L2939,(L2939-K2901+K2940)*(1+$B$7))</f>
        <v>43.398981636586633</v>
      </c>
      <c r="M2940" s="18">
        <f t="shared" si="327"/>
        <v>0</v>
      </c>
      <c r="N2940" s="18">
        <f>IF($A2940&gt;30,0,(N2901-MIN(MAX(O2939,0),N2901))+MIN(MAX(0,P2939-(N2901-MIN(MAX(O2939,0),N2901))),MAX(0,4*N2901-(O2939-MIN(MAX(O2939,0),N2901)))))</f>
        <v>0</v>
      </c>
      <c r="O2940" s="18">
        <f>IF($A2940&gt;30,O2939,(O2939-N2901+N2940)*(1+$B$7))</f>
        <v>8.4902469360167737E-2</v>
      </c>
      <c r="P2940" s="18">
        <f t="shared" si="328"/>
        <v>0</v>
      </c>
      <c r="Q2940" s="18">
        <f>IF($A2940&gt;30,0,(Q2901-MIN(MAX(R2939,0),Q2901))+MIN(MAX(0,S2939-(Q2901-MIN(MAX(R2939,0),Q2901))),MAX(0,4*Q2901-(R2939-MIN(MAX(R2939,0),Q2901)))))</f>
        <v>0</v>
      </c>
      <c r="R2940" s="18">
        <f>IF($A2940&gt;30,R2939,(R2939-Q2901+Q2940)*(1+$B$7))</f>
        <v>1.1599622666835784E-10</v>
      </c>
      <c r="S2940" s="18">
        <f t="shared" si="329"/>
        <v>0</v>
      </c>
    </row>
    <row r="2941" spans="1:19">
      <c r="A2941" s="10">
        <f>38</f>
        <v>38</v>
      </c>
      <c r="B2941" s="18">
        <f>IF($A2941&gt;30,0,(B2901-MIN(MAX(C2940,0),B2901))+MIN(MAX(0,D2940-(B2901-MIN(MAX(C2940,0),B2901))),MAX(0,4*B2901-(C2940-MIN(MAX(C2940,0),B2901)))))</f>
        <v>0</v>
      </c>
      <c r="C2941" s="18">
        <f>IF($A2941&gt;30,C2940,(C2940-B2901+B2941)*(1+$B$7))</f>
        <v>119568</v>
      </c>
      <c r="D2941" s="18">
        <f t="shared" si="324"/>
        <v>645790.04973642062</v>
      </c>
      <c r="E2941" s="18">
        <f>IF($A2941&gt;30,0,(E2901-MIN(MAX(F2940,0),E2901))+MIN(MAX(0,G2940-(E2901-MIN(MAX(F2940,0),E2901))),MAX(0,4*E2901-(F2940-MIN(MAX(F2940,0),E2901)))))</f>
        <v>0</v>
      </c>
      <c r="F2941" s="18">
        <f>IF($A2941&gt;30,F2940,(F2940-E2901+E2941)*(1+$B$7))</f>
        <v>0</v>
      </c>
      <c r="G2941" s="18">
        <f t="shared" si="325"/>
        <v>-1492037.4583545418</v>
      </c>
      <c r="H2941" s="18">
        <f>IF($A2941&gt;30,0,(H2901-MIN(MAX(I2940,0),H2901))+MIN(MAX(0,J2940-(H2901-MIN(MAX(I2940,0),H2901))),MAX(0,4*H2901-(I2940-MIN(MAX(I2940,0),H2901)))))</f>
        <v>0</v>
      </c>
      <c r="I2941" s="18">
        <f>IF($A2941&gt;30,I2940,(I2940-H2901+H2941)*(1+$B$7))</f>
        <v>0</v>
      </c>
      <c r="J2941" s="18">
        <f t="shared" si="326"/>
        <v>-56353.235523470219</v>
      </c>
      <c r="K2941" s="18">
        <f>IF($A2941&gt;30,0,(K2901-MIN(MAX(L2940,0),K2901))+MIN(MAX(0,M2940-(K2901-MIN(MAX(L2940,0),K2901))),MAX(0,4*K2901-(L2940-MIN(MAX(L2940,0),K2901)))))</f>
        <v>0</v>
      </c>
      <c r="L2941" s="18">
        <f>IF($A2941&gt;30,L2940,(L2940-K2901+K2941)*(1+$B$7))</f>
        <v>43.398981636586633</v>
      </c>
      <c r="M2941" s="18">
        <f t="shared" si="327"/>
        <v>0</v>
      </c>
      <c r="N2941" s="18">
        <f>IF($A2941&gt;30,0,(N2901-MIN(MAX(O2940,0),N2901))+MIN(MAX(0,P2940-(N2901-MIN(MAX(O2940,0),N2901))),MAX(0,4*N2901-(O2940-MIN(MAX(O2940,0),N2901)))))</f>
        <v>0</v>
      </c>
      <c r="O2941" s="18">
        <f>IF($A2941&gt;30,O2940,(O2940-N2901+N2941)*(1+$B$7))</f>
        <v>8.4902469360167737E-2</v>
      </c>
      <c r="P2941" s="18">
        <f t="shared" si="328"/>
        <v>0</v>
      </c>
      <c r="Q2941" s="18">
        <f>IF($A2941&gt;30,0,(Q2901-MIN(MAX(R2940,0),Q2901))+MIN(MAX(0,S2940-(Q2901-MIN(MAX(R2940,0),Q2901))),MAX(0,4*Q2901-(R2940-MIN(MAX(R2940,0),Q2901)))))</f>
        <v>0</v>
      </c>
      <c r="R2941" s="18">
        <f>IF($A2941&gt;30,R2940,(R2940-Q2901+Q2941)*(1+$B$7))</f>
        <v>1.1599622666835784E-10</v>
      </c>
      <c r="S2941" s="18">
        <f t="shared" si="329"/>
        <v>0</v>
      </c>
    </row>
    <row r="2942" spans="1:19">
      <c r="A2942" s="10">
        <f>39</f>
        <v>39</v>
      </c>
      <c r="B2942" s="18">
        <f>IF($A2942&gt;30,0,(B2901-MIN(MAX(C2941,0),B2901))+MIN(MAX(0,D2941-(B2901-MIN(MAX(C2941,0),B2901))),MAX(0,4*B2901-(C2941-MIN(MAX(C2941,0),B2901)))))</f>
        <v>0</v>
      </c>
      <c r="C2942" s="18">
        <f>IF($A2942&gt;30,C2941,(C2941-B2901+B2942)*(1+$B$7))</f>
        <v>119568</v>
      </c>
      <c r="D2942" s="18">
        <f t="shared" si="324"/>
        <v>645790.04973642062</v>
      </c>
      <c r="E2942" s="18">
        <f>IF($A2942&gt;30,0,(E2901-MIN(MAX(F2941,0),E2901))+MIN(MAX(0,G2941-(E2901-MIN(MAX(F2941,0),E2901))),MAX(0,4*E2901-(F2941-MIN(MAX(F2941,0),E2901)))))</f>
        <v>0</v>
      </c>
      <c r="F2942" s="18">
        <f>IF($A2942&gt;30,F2941,(F2941-E2901+E2942)*(1+$B$7))</f>
        <v>0</v>
      </c>
      <c r="G2942" s="18">
        <f t="shared" si="325"/>
        <v>-1492037.4583545418</v>
      </c>
      <c r="H2942" s="18">
        <f>IF($A2942&gt;30,0,(H2901-MIN(MAX(I2941,0),H2901))+MIN(MAX(0,J2941-(H2901-MIN(MAX(I2941,0),H2901))),MAX(0,4*H2901-(I2941-MIN(MAX(I2941,0),H2901)))))</f>
        <v>0</v>
      </c>
      <c r="I2942" s="18">
        <f>IF($A2942&gt;30,I2941,(I2941-H2901+H2942)*(1+$B$7))</f>
        <v>0</v>
      </c>
      <c r="J2942" s="18">
        <f t="shared" si="326"/>
        <v>-56353.235523470219</v>
      </c>
      <c r="K2942" s="18">
        <f>IF($A2942&gt;30,0,(K2901-MIN(MAX(L2941,0),K2901))+MIN(MAX(0,M2941-(K2901-MIN(MAX(L2941,0),K2901))),MAX(0,4*K2901-(L2941-MIN(MAX(L2941,0),K2901)))))</f>
        <v>0</v>
      </c>
      <c r="L2942" s="18">
        <f>IF($A2942&gt;30,L2941,(L2941-K2901+K2942)*(1+$B$7))</f>
        <v>43.398981636586633</v>
      </c>
      <c r="M2942" s="18">
        <f t="shared" si="327"/>
        <v>0</v>
      </c>
      <c r="N2942" s="18">
        <f>IF($A2942&gt;30,0,(N2901-MIN(MAX(O2941,0),N2901))+MIN(MAX(0,P2941-(N2901-MIN(MAX(O2941,0),N2901))),MAX(0,4*N2901-(O2941-MIN(MAX(O2941,0),N2901)))))</f>
        <v>0</v>
      </c>
      <c r="O2942" s="18">
        <f>IF($A2942&gt;30,O2941,(O2941-N2901+N2942)*(1+$B$7))</f>
        <v>8.4902469360167737E-2</v>
      </c>
      <c r="P2942" s="18">
        <f t="shared" si="328"/>
        <v>0</v>
      </c>
      <c r="Q2942" s="18">
        <f>IF($A2942&gt;30,0,(Q2901-MIN(MAX(R2941,0),Q2901))+MIN(MAX(0,S2941-(Q2901-MIN(MAX(R2941,0),Q2901))),MAX(0,4*Q2901-(R2941-MIN(MAX(R2941,0),Q2901)))))</f>
        <v>0</v>
      </c>
      <c r="R2942" s="18">
        <f>IF($A2942&gt;30,R2941,(R2941-Q2901+Q2942)*(1+$B$7))</f>
        <v>1.1599622666835784E-10</v>
      </c>
      <c r="S2942" s="18">
        <f t="shared" si="329"/>
        <v>0</v>
      </c>
    </row>
    <row r="2943" spans="1:19">
      <c r="A2943" s="10">
        <f>40</f>
        <v>40</v>
      </c>
      <c r="B2943" s="18">
        <f>IF($A2943&gt;30,0,(B2901-MIN(MAX(C2942,0),B2901))+MIN(MAX(0,D2942-(B2901-MIN(MAX(C2942,0),B2901))),MAX(0,4*B2901-(C2942-MIN(MAX(C2942,0),B2901)))))</f>
        <v>0</v>
      </c>
      <c r="C2943" s="18">
        <f>IF($A2943&gt;30,C2942,(C2942-B2901+B2943)*(1+$B$7))</f>
        <v>119568</v>
      </c>
      <c r="D2943" s="18">
        <f t="shared" si="324"/>
        <v>645790.04973642062</v>
      </c>
      <c r="E2943" s="18">
        <f>IF($A2943&gt;30,0,(E2901-MIN(MAX(F2942,0),E2901))+MIN(MAX(0,G2942-(E2901-MIN(MAX(F2942,0),E2901))),MAX(0,4*E2901-(F2942-MIN(MAX(F2942,0),E2901)))))</f>
        <v>0</v>
      </c>
      <c r="F2943" s="18">
        <f>IF($A2943&gt;30,F2942,(F2942-E2901+E2943)*(1+$B$7))</f>
        <v>0</v>
      </c>
      <c r="G2943" s="18">
        <f t="shared" si="325"/>
        <v>-1492037.4583545418</v>
      </c>
      <c r="H2943" s="18">
        <f>IF($A2943&gt;30,0,(H2901-MIN(MAX(I2942,0),H2901))+MIN(MAX(0,J2942-(H2901-MIN(MAX(I2942,0),H2901))),MAX(0,4*H2901-(I2942-MIN(MAX(I2942,0),H2901)))))</f>
        <v>0</v>
      </c>
      <c r="I2943" s="18">
        <f>IF($A2943&gt;30,I2942,(I2942-H2901+H2943)*(1+$B$7))</f>
        <v>0</v>
      </c>
      <c r="J2943" s="18">
        <f t="shared" si="326"/>
        <v>-56353.235523470219</v>
      </c>
      <c r="K2943" s="18">
        <f>IF($A2943&gt;30,0,(K2901-MIN(MAX(L2942,0),K2901))+MIN(MAX(0,M2942-(K2901-MIN(MAX(L2942,0),K2901))),MAX(0,4*K2901-(L2942-MIN(MAX(L2942,0),K2901)))))</f>
        <v>0</v>
      </c>
      <c r="L2943" s="18">
        <f>IF($A2943&gt;30,L2942,(L2942-K2901+K2943)*(1+$B$7))</f>
        <v>43.398981636586633</v>
      </c>
      <c r="M2943" s="18">
        <f t="shared" si="327"/>
        <v>0</v>
      </c>
      <c r="N2943" s="18">
        <f>IF($A2943&gt;30,0,(N2901-MIN(MAX(O2942,0),N2901))+MIN(MAX(0,P2942-(N2901-MIN(MAX(O2942,0),N2901))),MAX(0,4*N2901-(O2942-MIN(MAX(O2942,0),N2901)))))</f>
        <v>0</v>
      </c>
      <c r="O2943" s="18">
        <f>IF($A2943&gt;30,O2942,(O2942-N2901+N2943)*(1+$B$7))</f>
        <v>8.4902469360167737E-2</v>
      </c>
      <c r="P2943" s="18">
        <f t="shared" si="328"/>
        <v>0</v>
      </c>
      <c r="Q2943" s="18">
        <f>IF($A2943&gt;30,0,(Q2901-MIN(MAX(R2942,0),Q2901))+MIN(MAX(0,S2942-(Q2901-MIN(MAX(R2942,0),Q2901))),MAX(0,4*Q2901-(R2942-MIN(MAX(R2942,0),Q2901)))))</f>
        <v>0</v>
      </c>
      <c r="R2943" s="18">
        <f>IF($A2943&gt;30,R2942,(R2942-Q2901+Q2943)*(1+$B$7))</f>
        <v>1.1599622666835784E-10</v>
      </c>
      <c r="S2943" s="18">
        <f t="shared" si="329"/>
        <v>0</v>
      </c>
    </row>
    <row r="2944" spans="1:19">
      <c r="B2944" s="18">
        <f>C2943+D2943</f>
        <v>765358.04973642062</v>
      </c>
      <c r="E2944" s="18">
        <f>F2943+G2943</f>
        <v>-1492037.4583545418</v>
      </c>
      <c r="H2944" s="18">
        <f>I2943+J2943</f>
        <v>-56353.235523470219</v>
      </c>
      <c r="K2944" s="18">
        <f>L2943+M2943</f>
        <v>43.398981636586633</v>
      </c>
      <c r="N2944" s="18">
        <f>O2943+P2943</f>
        <v>8.4902469360167737E-2</v>
      </c>
      <c r="Q2944" s="18">
        <f>R2943+S2943</f>
        <v>1.1599622666835784E-10</v>
      </c>
    </row>
    <row r="2945" spans="1:2">
      <c r="A2945" s="5" t="s">
        <v>266</v>
      </c>
      <c r="B2945" s="18">
        <f>IFERROR(Q2901-Q2944*(Q2901-N2901)/(Q2944-N2944),Q2901)</f>
        <v>44090.446270015353</v>
      </c>
    </row>
  </sheetData>
  <mergeCells count="10">
    <mergeCell ref="A32:G32"/>
    <mergeCell ref="A1:G1"/>
    <mergeCell ref="A40:G40"/>
    <mergeCell ref="A18:G18"/>
    <mergeCell ref="A9:G9"/>
    <mergeCell ref="A3:G3"/>
    <mergeCell ref="A34:G34"/>
    <mergeCell ref="A38:G38"/>
    <mergeCell ref="A2:G2"/>
    <mergeCell ref="A28:G2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227"/>
  <sheetViews>
    <sheetView workbookViewId="0"/>
  </sheetViews>
  <sheetFormatPr defaultRowHeight="15"/>
  <cols>
    <col min="1" max="1" width="52" customWidth="1"/>
    <col min="2" max="7" width="18" customWidth="1"/>
    <col min="8" max="18" width="16" customWidth="1"/>
  </cols>
  <sheetData>
    <row r="1" spans="1:7" ht="24.95" customHeight="1">
      <c r="A1" s="34" t="s">
        <v>321</v>
      </c>
      <c r="B1" s="33"/>
      <c r="C1" s="33"/>
      <c r="D1" s="33"/>
      <c r="E1" s="33"/>
      <c r="F1" s="33"/>
      <c r="G1" s="33"/>
    </row>
    <row r="2" spans="1:7" ht="32.1" customHeight="1">
      <c r="A2" s="32" t="s">
        <v>1</v>
      </c>
      <c r="B2" s="33"/>
      <c r="C2" s="33"/>
      <c r="D2" s="33"/>
      <c r="E2" s="33"/>
      <c r="F2" s="33"/>
      <c r="G2" s="33"/>
    </row>
    <row r="4" spans="1:7">
      <c r="A4" s="5" t="s">
        <v>322</v>
      </c>
      <c r="B4" s="11">
        <f>'1-Input'!$B$14-0.01</f>
        <v>1.9999999999999997E-2</v>
      </c>
      <c r="C4" s="11">
        <f>'1-Input'!$B$14</f>
        <v>0.03</v>
      </c>
      <c r="D4" s="11">
        <f>'1-Input'!$B$14+0.01</f>
        <v>0.04</v>
      </c>
    </row>
    <row r="6" spans="1:7">
      <c r="A6" s="36" t="s">
        <v>323</v>
      </c>
      <c r="B6" s="33"/>
      <c r="C6" s="33"/>
      <c r="D6" s="33"/>
      <c r="E6" s="33"/>
      <c r="F6" s="33"/>
      <c r="G6" s="33"/>
    </row>
    <row r="7" spans="1:7">
      <c r="A7" s="25" t="s">
        <v>324</v>
      </c>
      <c r="B7" s="25" t="s">
        <v>259</v>
      </c>
      <c r="C7" s="25" t="s">
        <v>231</v>
      </c>
      <c r="D7" s="25" t="s">
        <v>232</v>
      </c>
      <c r="E7" s="25" t="s">
        <v>233</v>
      </c>
      <c r="F7" s="25" t="s">
        <v>234</v>
      </c>
    </row>
    <row r="8" spans="1:7">
      <c r="A8" s="11">
        <f>$B$4</f>
        <v>1.9999999999999997E-2</v>
      </c>
      <c r="B8" s="20">
        <f>'5-Roberta'!$B$173</f>
        <v>17222.184781284763</v>
      </c>
      <c r="C8" s="20">
        <f>'5-Roberta'!$B$228</f>
        <v>16926.339593220018</v>
      </c>
      <c r="D8" s="20">
        <f>'5-Roberta'!$B$283</f>
        <v>16656.500351873474</v>
      </c>
      <c r="E8" s="20">
        <f>'5-Roberta'!$B$338</f>
        <v>16412.12403447364</v>
      </c>
      <c r="F8" s="20">
        <f>'5-Roberta'!$B$393</f>
        <v>16001.832107870927</v>
      </c>
    </row>
    <row r="9" spans="1:7">
      <c r="A9" s="11">
        <f>$C$4</f>
        <v>0.03</v>
      </c>
      <c r="B9" s="20">
        <f>'5-Roberta'!$B$448</f>
        <v>18844.493704761662</v>
      </c>
      <c r="C9" s="20">
        <f>'5-Roberta'!$B$503</f>
        <v>18374.499232016908</v>
      </c>
      <c r="D9" s="20">
        <f>'5-Roberta'!$B$558</f>
        <v>17944.67221618972</v>
      </c>
      <c r="E9" s="20">
        <f>'5-Roberta'!$B$613</f>
        <v>17554.718806543973</v>
      </c>
      <c r="F9" s="20">
        <f>'5-Roberta'!$B$668</f>
        <v>16889.427030002513</v>
      </c>
    </row>
    <row r="10" spans="1:7">
      <c r="A10" s="11">
        <f>$D$4</f>
        <v>0.04</v>
      </c>
      <c r="B10" s="20">
        <f>'5-Roberta'!$B$723</f>
        <v>20684.869773408616</v>
      </c>
      <c r="C10" s="20">
        <f>'5-Roberta'!$B$778</f>
        <v>20010.4648108857</v>
      </c>
      <c r="D10" s="20">
        <f>'5-Roberta'!$B$833</f>
        <v>19396.385192852656</v>
      </c>
      <c r="E10" s="20">
        <f>'5-Roberta'!$B$888</f>
        <v>18838.513695116068</v>
      </c>
      <c r="F10" s="20">
        <f>'5-Roberta'!$B$943</f>
        <v>17883.639567989685</v>
      </c>
    </row>
    <row r="12" spans="1:7">
      <c r="A12" s="36" t="s">
        <v>325</v>
      </c>
      <c r="B12" s="33"/>
      <c r="C12" s="33"/>
      <c r="D12" s="33"/>
      <c r="E12" s="33"/>
      <c r="F12" s="33"/>
      <c r="G12" s="33"/>
    </row>
    <row r="13" spans="1:7" ht="30">
      <c r="A13" s="25" t="s">
        <v>326</v>
      </c>
      <c r="B13" s="25" t="s">
        <v>327</v>
      </c>
      <c r="C13" s="25" t="s">
        <v>328</v>
      </c>
      <c r="D13" s="25" t="s">
        <v>329</v>
      </c>
    </row>
    <row r="14" spans="1:7">
      <c r="A14" s="5" t="s">
        <v>330</v>
      </c>
      <c r="B14" s="18">
        <f>'5-Roberta'!$B$448</f>
        <v>18844.493704761662</v>
      </c>
      <c r="C14" s="18">
        <f>0</f>
        <v>0</v>
      </c>
      <c r="D14" s="11">
        <f>0</f>
        <v>0</v>
      </c>
    </row>
    <row r="15" spans="1:7">
      <c r="A15" s="5" t="s">
        <v>331</v>
      </c>
      <c r="B15" s="18">
        <f>'5-Roberta'!$B$503</f>
        <v>18374.499232016908</v>
      </c>
      <c r="C15" s="18">
        <f>'5-Roberta'!$B$448-'5-Roberta'!$B$503</f>
        <v>469.9944727447546</v>
      </c>
      <c r="D15" s="11">
        <f>C15/'5-Roberta'!$B$448</f>
        <v>2.4940679230134769E-2</v>
      </c>
    </row>
    <row r="16" spans="1:7">
      <c r="A16" s="5" t="s">
        <v>332</v>
      </c>
      <c r="B16" s="18">
        <f>'5-Roberta'!$B$558</f>
        <v>17944.67221618972</v>
      </c>
      <c r="C16" s="18">
        <f>'5-Roberta'!$B$448-'5-Roberta'!$B$558</f>
        <v>899.82148857194261</v>
      </c>
      <c r="D16" s="11">
        <f>C16/'5-Roberta'!$B$448</f>
        <v>4.7749836247634181E-2</v>
      </c>
    </row>
    <row r="17" spans="1:7">
      <c r="A17" s="5" t="s">
        <v>333</v>
      </c>
      <c r="B17" s="18">
        <f>'5-Roberta'!$B$613</f>
        <v>17554.718806543973</v>
      </c>
      <c r="C17" s="18">
        <f>'5-Roberta'!$B$448-'5-Roberta'!$B$613</f>
        <v>1289.774898217689</v>
      </c>
      <c r="D17" s="11">
        <f>C17/'5-Roberta'!$B$448</f>
        <v>6.8443064505988097E-2</v>
      </c>
    </row>
    <row r="18" spans="1:7">
      <c r="A18" s="5" t="s">
        <v>334</v>
      </c>
      <c r="B18" s="18">
        <f>'5-Roberta'!$B$668</f>
        <v>16889.427030002513</v>
      </c>
      <c r="C18" s="18">
        <f>'5-Roberta'!$B$448-'5-Roberta'!$B$668</f>
        <v>1955.0666747591495</v>
      </c>
      <c r="D18" s="11">
        <f>C18/'5-Roberta'!$B$448</f>
        <v>0.1037473707380708</v>
      </c>
    </row>
    <row r="20" spans="1:7">
      <c r="A20" s="36" t="s">
        <v>335</v>
      </c>
      <c r="B20" s="33"/>
      <c r="C20" s="33"/>
      <c r="D20" s="33"/>
      <c r="E20" s="33"/>
      <c r="F20" s="33"/>
      <c r="G20" s="33"/>
    </row>
    <row r="21" spans="1:7">
      <c r="A21" s="25" t="s">
        <v>326</v>
      </c>
      <c r="B21" s="25" t="s">
        <v>336</v>
      </c>
      <c r="C21" s="25" t="s">
        <v>337</v>
      </c>
      <c r="D21" s="25" t="s">
        <v>338</v>
      </c>
      <c r="E21" s="25" t="s">
        <v>339</v>
      </c>
      <c r="F21" s="25" t="s">
        <v>340</v>
      </c>
    </row>
    <row r="22" spans="1:7">
      <c r="A22" s="5" t="s">
        <v>330</v>
      </c>
      <c r="B22" s="10">
        <f>$B$1003</f>
        <v>36</v>
      </c>
      <c r="C22" s="10">
        <f>'1-Input'!$B$6+B22</f>
        <v>83</v>
      </c>
      <c r="D22" s="18">
        <f>$C$1003</f>
        <v>75952.557603047535</v>
      </c>
      <c r="E22" s="18">
        <f>$D$1003</f>
        <v>15039.866080007234</v>
      </c>
      <c r="F22" s="18">
        <f>D22+E22</f>
        <v>90992.423683054774</v>
      </c>
    </row>
    <row r="23" spans="1:7">
      <c r="A23" s="5" t="s">
        <v>331</v>
      </c>
      <c r="B23" s="10">
        <f>$B$1059</f>
        <v>33</v>
      </c>
      <c r="C23" s="10">
        <f>'1-Input'!$B$6+B23</f>
        <v>80</v>
      </c>
      <c r="D23" s="18">
        <f>$C$1059</f>
        <v>67781.676384526741</v>
      </c>
      <c r="E23" s="18">
        <f>$D$1059</f>
        <v>13895.81001472762</v>
      </c>
      <c r="F23" s="18">
        <f>D23+E23</f>
        <v>81677.486399254354</v>
      </c>
    </row>
    <row r="24" spans="1:7">
      <c r="A24" s="5" t="s">
        <v>332</v>
      </c>
      <c r="B24" s="10">
        <f>$B$1115</f>
        <v>31</v>
      </c>
      <c r="C24" s="10">
        <f>'1-Input'!$B$6+B24</f>
        <v>78</v>
      </c>
      <c r="D24" s="18">
        <f>$C$1115</f>
        <v>59757.50193496015</v>
      </c>
      <c r="E24" s="18">
        <f>$D$1115</f>
        <v>13004.248462902739</v>
      </c>
      <c r="F24" s="18">
        <f>D24+E24</f>
        <v>72761.750397862896</v>
      </c>
    </row>
    <row r="25" spans="1:7">
      <c r="A25" s="5" t="s">
        <v>333</v>
      </c>
      <c r="B25" s="10">
        <f>$B$1171</f>
        <v>29</v>
      </c>
      <c r="C25" s="10">
        <f>'1-Input'!$B$6+B25</f>
        <v>76</v>
      </c>
      <c r="D25" s="18">
        <f>$C$1171</f>
        <v>53254.37807802733</v>
      </c>
      <c r="E25" s="18">
        <f>$D$1171</f>
        <v>12299.503055543875</v>
      </c>
      <c r="F25" s="18">
        <f>D25+E25</f>
        <v>65553.881133571209</v>
      </c>
    </row>
    <row r="26" spans="1:7">
      <c r="A26" s="5" t="s">
        <v>334</v>
      </c>
      <c r="B26" s="10">
        <f>$B$1227</f>
        <v>26</v>
      </c>
      <c r="C26" s="10">
        <f>'1-Input'!$B$6+B26</f>
        <v>73</v>
      </c>
      <c r="D26" s="18">
        <f>$C$1227</f>
        <v>42610.610727004969</v>
      </c>
      <c r="E26" s="18">
        <f>$D$1227</f>
        <v>11235.217149256378</v>
      </c>
      <c r="F26" s="18">
        <f>D26+E26</f>
        <v>53845.827876261348</v>
      </c>
    </row>
    <row r="27" spans="1:7">
      <c r="A27" s="5" t="s">
        <v>341</v>
      </c>
      <c r="B27" s="18">
        <f>D22-D24</f>
        <v>16195.055668087385</v>
      </c>
    </row>
    <row r="28" spans="1:7" ht="30" customHeight="1">
      <c r="A28" s="35" t="s">
        <v>342</v>
      </c>
      <c r="B28" s="33"/>
      <c r="C28" s="33"/>
      <c r="D28" s="33"/>
      <c r="E28" s="33"/>
      <c r="F28" s="33"/>
      <c r="G28" s="33"/>
    </row>
    <row r="30" spans="1:7">
      <c r="A30" s="36" t="s">
        <v>343</v>
      </c>
      <c r="B30" s="33"/>
      <c r="C30" s="33"/>
      <c r="D30" s="33"/>
      <c r="E30" s="33"/>
      <c r="F30" s="33"/>
      <c r="G30" s="33"/>
    </row>
    <row r="31" spans="1:7">
      <c r="A31" s="5" t="s">
        <v>344</v>
      </c>
      <c r="B31" s="18">
        <f>'5-Roberta'!$B$448</f>
        <v>18844.493704761662</v>
      </c>
    </row>
    <row r="32" spans="1:7">
      <c r="A32" s="5" t="s">
        <v>345</v>
      </c>
      <c r="B32" s="18">
        <f>'1-Input'!$B$10</f>
        <v>19800</v>
      </c>
    </row>
    <row r="33" spans="1:7">
      <c r="A33" s="5" t="s">
        <v>346</v>
      </c>
      <c r="B33" s="18">
        <f>B32-B31</f>
        <v>955.50629523833777</v>
      </c>
      <c r="C33" s="23">
        <f>B33/B31</f>
        <v>5.0704800575082504E-2</v>
      </c>
    </row>
    <row r="34" spans="1:7">
      <c r="A34" s="5" t="s">
        <v>347</v>
      </c>
      <c r="B34" s="18">
        <f>'5-Roberta'!$B$448-'5-Roberta'!$B$558</f>
        <v>899.82148857194261</v>
      </c>
    </row>
    <row r="35" spans="1:7">
      <c r="A35" s="5" t="s">
        <v>348</v>
      </c>
      <c r="B35" s="23">
        <f>B34/B33</f>
        <v>0.9417221980180619</v>
      </c>
    </row>
    <row r="37" spans="1:7">
      <c r="A37" s="36" t="s">
        <v>349</v>
      </c>
      <c r="B37" s="33"/>
      <c r="C37" s="33"/>
      <c r="D37" s="33"/>
      <c r="E37" s="33"/>
      <c r="F37" s="33"/>
      <c r="G37" s="33"/>
    </row>
    <row r="38" spans="1:7">
      <c r="A38" s="25" t="s">
        <v>350</v>
      </c>
      <c r="B38" s="25" t="s">
        <v>351</v>
      </c>
      <c r="C38" s="25" t="s">
        <v>352</v>
      </c>
    </row>
    <row r="39" spans="1:7">
      <c r="A39" s="5" t="s">
        <v>353</v>
      </c>
      <c r="B39" s="18">
        <f>-B33</f>
        <v>-955.50629523833777</v>
      </c>
      <c r="C39" s="24" t="str">
        <f>"si per costruzione"</f>
        <v>si per costruzione</v>
      </c>
    </row>
    <row r="40" spans="1:7" ht="30">
      <c r="A40" s="5" t="s">
        <v>354</v>
      </c>
      <c r="B40" s="18">
        <f>'5-Roberta'!$B$723-'1-Input'!$B$10</f>
        <v>884.86977340861631</v>
      </c>
      <c r="C40" s="24" t="str">
        <f>IF('5-Roberta'!$B$723&gt;='1-Input'!$B$10,"si","no")</f>
        <v>si</v>
      </c>
    </row>
    <row r="41" spans="1:7">
      <c r="A41" s="5" t="s">
        <v>355</v>
      </c>
      <c r="B41" s="18">
        <f>'5-Roberta'!$B$778-'1-Input'!$B$10</f>
        <v>210.46481088569999</v>
      </c>
      <c r="C41" s="24" t="str">
        <f>IF('5-Roberta'!$B$778&gt;='1-Input'!$B$10,"si","no")</f>
        <v>si</v>
      </c>
    </row>
    <row r="42" spans="1:7">
      <c r="A42" s="5" t="s">
        <v>356</v>
      </c>
      <c r="B42" s="18">
        <f>'5-Roberta'!$B$833-'1-Input'!$B$10</f>
        <v>-403.61480714734353</v>
      </c>
      <c r="C42" s="24" t="str">
        <f>IF('5-Roberta'!$B$833&gt;='1-Input'!$B$10,"si","no")</f>
        <v>no</v>
      </c>
    </row>
    <row r="43" spans="1:7">
      <c r="A43" s="5" t="s">
        <v>357</v>
      </c>
      <c r="B43" s="18">
        <f>'5-Roberta'!$B$173-'1-Input'!$B$10</f>
        <v>-2577.8152187152373</v>
      </c>
      <c r="C43" s="24" t="str">
        <f>IF('5-Roberta'!$B$173&gt;='1-Input'!$B$10,"si","no")</f>
        <v>no</v>
      </c>
    </row>
    <row r="44" spans="1:7" ht="30" customHeight="1">
      <c r="A44" s="35" t="s">
        <v>358</v>
      </c>
      <c r="B44" s="33"/>
      <c r="C44" s="33"/>
      <c r="D44" s="33"/>
      <c r="E44" s="33"/>
      <c r="F44" s="33"/>
      <c r="G44" s="33"/>
    </row>
    <row r="120" spans="1:43">
      <c r="A120" s="2" t="s">
        <v>359</v>
      </c>
    </row>
    <row r="121" spans="1:43">
      <c r="A121" s="4" t="s">
        <v>360</v>
      </c>
      <c r="B121" s="9">
        <f>0.038*'2-Caso'!$B$12</f>
        <v>16681.055314625803</v>
      </c>
      <c r="I121" s="9">
        <f>0.05*'2-Caso'!$B$12</f>
        <v>21948.756992928691</v>
      </c>
      <c r="P121" s="18">
        <f>IFERROR(I121-I172*(I121-B121)/(I172-B172),I121)</f>
        <v>17301.136017195207</v>
      </c>
      <c r="W121" s="18">
        <f>IFERROR(P121-P172*(P121-I121)/(P172-I172),P121)</f>
        <v>17208.869680299202</v>
      </c>
      <c r="AD121" s="18">
        <f>IFERROR(W121-W172*(W121-P121)/(W172-P172),W121)</f>
        <v>17222.184781284763</v>
      </c>
      <c r="AK121" s="18">
        <f>IFERROR(AD121-AD172*(AD121-W121)/(AD172-W172),AD121)</f>
        <v>17222.184781284763</v>
      </c>
    </row>
    <row r="122" spans="1:43" ht="45">
      <c r="A122" s="25" t="s">
        <v>262</v>
      </c>
      <c r="B122" s="25" t="s">
        <v>361</v>
      </c>
      <c r="C122" s="25" t="s">
        <v>263</v>
      </c>
      <c r="D122" s="25" t="s">
        <v>362</v>
      </c>
      <c r="E122" s="25" t="s">
        <v>363</v>
      </c>
      <c r="F122" s="25" t="s">
        <v>264</v>
      </c>
      <c r="G122" s="25" t="s">
        <v>265</v>
      </c>
      <c r="H122" s="25" t="s">
        <v>364</v>
      </c>
      <c r="I122" s="25" t="s">
        <v>361</v>
      </c>
      <c r="J122" s="25" t="s">
        <v>263</v>
      </c>
      <c r="K122" s="25" t="s">
        <v>362</v>
      </c>
      <c r="L122" s="25" t="s">
        <v>363</v>
      </c>
      <c r="M122" s="25" t="s">
        <v>264</v>
      </c>
      <c r="N122" s="25" t="s">
        <v>265</v>
      </c>
      <c r="O122" s="25" t="s">
        <v>364</v>
      </c>
      <c r="P122" s="25" t="s">
        <v>361</v>
      </c>
      <c r="Q122" s="25" t="s">
        <v>263</v>
      </c>
      <c r="R122" s="25" t="s">
        <v>362</v>
      </c>
      <c r="S122" s="25" t="s">
        <v>363</v>
      </c>
      <c r="T122" s="25" t="s">
        <v>264</v>
      </c>
      <c r="U122" s="25" t="s">
        <v>265</v>
      </c>
      <c r="V122" s="25" t="s">
        <v>364</v>
      </c>
      <c r="W122" s="25" t="s">
        <v>361</v>
      </c>
      <c r="X122" s="25" t="s">
        <v>263</v>
      </c>
      <c r="Y122" s="25" t="s">
        <v>362</v>
      </c>
      <c r="Z122" s="25" t="s">
        <v>363</v>
      </c>
      <c r="AA122" s="25" t="s">
        <v>264</v>
      </c>
      <c r="AB122" s="25" t="s">
        <v>265</v>
      </c>
      <c r="AC122" s="25" t="s">
        <v>364</v>
      </c>
      <c r="AD122" s="25" t="s">
        <v>361</v>
      </c>
      <c r="AE122" s="25" t="s">
        <v>263</v>
      </c>
      <c r="AF122" s="25" t="s">
        <v>362</v>
      </c>
      <c r="AG122" s="25" t="s">
        <v>363</v>
      </c>
      <c r="AH122" s="25" t="s">
        <v>264</v>
      </c>
      <c r="AI122" s="25" t="s">
        <v>265</v>
      </c>
      <c r="AJ122" s="25" t="s">
        <v>364</v>
      </c>
      <c r="AK122" s="25" t="s">
        <v>361</v>
      </c>
      <c r="AL122" s="25" t="s">
        <v>263</v>
      </c>
      <c r="AM122" s="25" t="s">
        <v>362</v>
      </c>
      <c r="AN122" s="25" t="s">
        <v>363</v>
      </c>
      <c r="AO122" s="25" t="s">
        <v>264</v>
      </c>
      <c r="AP122" s="25" t="s">
        <v>265</v>
      </c>
      <c r="AQ122" s="25" t="s">
        <v>364</v>
      </c>
    </row>
    <row r="123" spans="1:43">
      <c r="A123" s="3">
        <v>0</v>
      </c>
      <c r="F123" s="18">
        <f>MIN(0*B121,'2-Caso'!$B$12)</f>
        <v>0</v>
      </c>
      <c r="G123" s="18">
        <f>'2-Caso'!$B$12-F123</f>
        <v>438975.13985857379</v>
      </c>
      <c r="H123" s="18">
        <f>'2-Caso'!$B$13*G123/'2-Caso'!$B$12</f>
        <v>344000</v>
      </c>
      <c r="M123" s="18">
        <f>MIN(0*I121,'2-Caso'!$B$12)</f>
        <v>0</v>
      </c>
      <c r="N123" s="18">
        <f>'2-Caso'!$B$12-M123</f>
        <v>438975.13985857379</v>
      </c>
      <c r="O123" s="18">
        <f>'2-Caso'!$B$13*N123/'2-Caso'!$B$12</f>
        <v>344000</v>
      </c>
      <c r="T123" s="18">
        <f>MIN(0*P121,'2-Caso'!$B$12)</f>
        <v>0</v>
      </c>
      <c r="U123" s="18">
        <f>'2-Caso'!$B$12-T123</f>
        <v>438975.13985857379</v>
      </c>
      <c r="V123" s="18">
        <f>'2-Caso'!$B$13*U123/'2-Caso'!$B$12</f>
        <v>344000</v>
      </c>
      <c r="AA123" s="18">
        <f>MIN(0*W121,'2-Caso'!$B$12)</f>
        <v>0</v>
      </c>
      <c r="AB123" s="18">
        <f>'2-Caso'!$B$12-AA123</f>
        <v>438975.13985857379</v>
      </c>
      <c r="AC123" s="18">
        <f>'2-Caso'!$B$13*AB123/'2-Caso'!$B$12</f>
        <v>344000</v>
      </c>
      <c r="AH123" s="18">
        <f>MIN(0*AD121,'2-Caso'!$B$12)</f>
        <v>0</v>
      </c>
      <c r="AI123" s="18">
        <f>'2-Caso'!$B$12-AH123</f>
        <v>438975.13985857379</v>
      </c>
      <c r="AJ123" s="18">
        <f>'2-Caso'!$B$13*AI123/'2-Caso'!$B$12</f>
        <v>344000</v>
      </c>
      <c r="AO123" s="18">
        <f>MIN(0*AK121,'2-Caso'!$B$12)</f>
        <v>0</v>
      </c>
      <c r="AP123" s="18">
        <f>'2-Caso'!$B$12-AO123</f>
        <v>438975.13985857379</v>
      </c>
      <c r="AQ123" s="18">
        <f>'2-Caso'!$B$13*AP123/'2-Caso'!$B$12</f>
        <v>344000</v>
      </c>
    </row>
    <row r="124" spans="1:43">
      <c r="A124" s="10">
        <f>1</f>
        <v>1</v>
      </c>
      <c r="B124" s="11">
        <f>IF($A124&gt;'1-Input'!$B$26,0,IF(G123&lt;=0,0,MAX(0,(G123-H123)/G123)))</f>
        <v>0.21635653419729481</v>
      </c>
      <c r="C124" s="18">
        <f>IF($A124&gt;'1-Input'!$B$26,0,(MAX(0,B121-IF($A124&gt;='1-Input'!$C$12,'1-Input'!$B$12,0))-MIN(MAX(F123,0),MAX(0,B121-IF($A124&gt;='1-Input'!$C$12,'1-Input'!$B$12,0))))*(1/(1-'P-Parametri'!$B$6*B124))+MIN(MAX(0,G123-(MAX(0,B121-IF($A124&gt;='1-Input'!$C$12,'1-Input'!$B$12,0))-MIN(MAX(F123,0),MAX(0,B121-IF($A124&gt;='1-Input'!$C$12,'1-Input'!$B$12,0))))*(1/(1-'P-Parametri'!$B$6*B124))),MAX(0,0*B121-(F123-MIN(MAX(F123,0),MAX(0,B121-IF($A124&gt;='1-Input'!$C$12,'1-Input'!$B$12,0)))))*(1/(1-'P-Parametri'!$B$6*B124))))</f>
        <v>17675.340946701614</v>
      </c>
      <c r="D124" s="18">
        <f>IF($A124&gt;'1-Input'!$B$26,F123,(F123-MAX(0,B121-IF($A124&gt;='1-Input'!$C$12,'1-Input'!$B$12,0))+C124*(1-'P-Parametri'!$B$6*B124))*(1+'1-Input'!$B$27))</f>
        <v>-3.6248820833861826E-12</v>
      </c>
      <c r="E124" s="18">
        <f>IF($A124&gt;'1-Input'!$B$26,G123,(G123-C124)*(1+$B$4))</f>
        <v>429725.79489010968</v>
      </c>
      <c r="F124" s="18">
        <f>IF($A124&gt;'1-Input'!$B$26,D124,D124-'P-Parametri'!$B$8*(E124+D124)+MIN(MAX(E124,0),'P-Parametri'!$B$8*(E124+D124)))</f>
        <v>-3.637978807091713E-12</v>
      </c>
      <c r="G124" s="18">
        <f>IF($A124&gt;'1-Input'!$B$26,E124,E124-MIN(MAX(E124,0),'P-Parametri'!$B$8*(E124+D124)))</f>
        <v>428866.34330032946</v>
      </c>
      <c r="H124" s="18">
        <f>IF($A124&gt;'1-Input'!$B$26,H123,H123-C124*(1-B124))</f>
        <v>330148.8345612823</v>
      </c>
      <c r="I124" s="11">
        <f>IF($A124&gt;'1-Input'!$B$26,0,IF(N123&lt;=0,0,MAX(0,(N123-O123)/N123)))</f>
        <v>0.21635653419729481</v>
      </c>
      <c r="J124" s="18">
        <f>IF($A124&gt;'1-Input'!$B$26,0,(MAX(0,I121-IF($A124&gt;='1-Input'!$C$12,'1-Input'!$B$12,0))-MIN(MAX(M123,0),MAX(0,I121-IF($A124&gt;='1-Input'!$C$12,'1-Input'!$B$12,0))))*(1/(1-'P-Parametri'!$B$6*I124))+MIN(MAX(0,N123-(MAX(0,I121-IF($A124&gt;='1-Input'!$C$12,'1-Input'!$B$12,0))-MIN(MAX(M123,0),MAX(0,I121-IF($A124&gt;='1-Input'!$C$12,'1-Input'!$B$12,0))))*(1/(1-'P-Parametri'!$B$6*I124))),MAX(0,0*I121-(M123-MIN(MAX(M123,0),MAX(0,I121-IF($A124&gt;='1-Input'!$C$12,'1-Input'!$B$12,0)))))*(1/(1-'P-Parametri'!$B$6*I124))))</f>
        <v>23257.027561449497</v>
      </c>
      <c r="K124" s="18">
        <f>IF($A124&gt;'1-Input'!$B$26,M123,(M123-MAX(0,I121-IF($A124&gt;='1-Input'!$C$12,'1-Input'!$B$12,0))+J124*(1-'P-Parametri'!$B$6*I124))*(1+'1-Input'!$B$27))</f>
        <v>0</v>
      </c>
      <c r="L124" s="18">
        <f>IF($A124&gt;'1-Input'!$B$26,N123,(N123-J124)*(1+$B$4))</f>
        <v>424032.47454306675</v>
      </c>
      <c r="M124" s="18">
        <f>IF($A124&gt;'1-Input'!$B$26,K124,K124-'P-Parametri'!$B$8*(L124+K124)+MIN(MAX(L124,0),'P-Parametri'!$B$8*(L124+K124)))</f>
        <v>0</v>
      </c>
      <c r="N124" s="18">
        <f>IF($A124&gt;'1-Input'!$B$26,L124,L124-MIN(MAX(L124,0),'P-Parametri'!$B$8*(L124+K124)))</f>
        <v>423184.40959398064</v>
      </c>
      <c r="O124" s="18">
        <f>IF($A124&gt;'1-Input'!$B$26,O123,O123-J124*(1-I124))</f>
        <v>325774.7823174767</v>
      </c>
      <c r="P124" s="11">
        <f>IF($A124&gt;'1-Input'!$B$26,0,IF(U123&lt;=0,0,MAX(0,(U123-V123)/U123)))</f>
        <v>0.21635653419729481</v>
      </c>
      <c r="Q124" s="18">
        <f>IF($A124&gt;'1-Input'!$B$26,0,(MAX(0,P121-IF($A124&gt;='1-Input'!$C$12,'1-Input'!$B$12,0))-MIN(MAX(T123,0),MAX(0,P121-IF($A124&gt;='1-Input'!$C$12,'1-Input'!$B$12,0))))*(1/(1-'P-Parametri'!$B$6*P124))+MIN(MAX(0,U123-(MAX(0,P121-IF($A124&gt;='1-Input'!$C$12,'1-Input'!$B$12,0))-MIN(MAX(T123,0),MAX(0,P121-IF($A124&gt;='1-Input'!$C$12,'1-Input'!$B$12,0))))*(1/(1-'P-Parametri'!$B$6*P124))),MAX(0,0*P121-(T123-MIN(MAX(T123,0),MAX(0,P121-IF($A124&gt;='1-Input'!$C$12,'1-Input'!$B$12,0)))))*(1/(1-'P-Parametri'!$B$6*P124))))</f>
        <v>18332.381980716695</v>
      </c>
      <c r="R124" s="18">
        <f>IF($A124&gt;'1-Input'!$B$26,T123,(T123-MAX(0,P121-IF($A124&gt;='1-Input'!$C$12,'1-Input'!$B$12,0))+Q124*(1-'P-Parametri'!$B$6*P124))*(1+'1-Input'!$B$27))</f>
        <v>-3.6248820833861826E-12</v>
      </c>
      <c r="S124" s="18">
        <f>IF($A124&gt;'1-Input'!$B$26,U123,(U123-Q124)*(1+$B$4))</f>
        <v>429055.61303541425</v>
      </c>
      <c r="T124" s="18">
        <f>IF($A124&gt;'1-Input'!$B$26,R124,R124-'P-Parametri'!$B$8*(S124+R124)+MIN(MAX(S124,0),'P-Parametri'!$B$8*(S124+R124)))</f>
        <v>-3.637978807091713E-12</v>
      </c>
      <c r="U124" s="18">
        <f>IF($A124&gt;'1-Input'!$B$26,S124,S124-MIN(MAX(S124,0),'P-Parametri'!$B$8*(S124+R124)))</f>
        <v>428197.5018093434</v>
      </c>
      <c r="V124" s="18">
        <f>IF($A124&gt;'1-Input'!$B$26,V123,V123-Q124*(1-P124))</f>
        <v>329633.94864821213</v>
      </c>
      <c r="W124" s="11">
        <f>IF($A124&gt;'1-Input'!$B$26,0,IF(AB123&lt;=0,0,MAX(0,(AB123-AC123)/AB123)))</f>
        <v>0.21635653419729481</v>
      </c>
      <c r="X124" s="18">
        <f>IF($A124&gt;'1-Input'!$B$26,0,(MAX(0,W121-IF($A124&gt;='1-Input'!$C$12,'1-Input'!$B$12,0))-MIN(MAX(AA123,0),MAX(0,W121-IF($A124&gt;='1-Input'!$C$12,'1-Input'!$B$12,0))))*(1/(1-'P-Parametri'!$B$6*W124))+MIN(MAX(0,AB123-(MAX(0,W121-IF($A124&gt;='1-Input'!$C$12,'1-Input'!$B$12,0))-MIN(MAX(AA123,0),MAX(0,W121-IF($A124&gt;='1-Input'!$C$12,'1-Input'!$B$12,0))))*(1/(1-'P-Parametri'!$B$6*W124))),MAX(0,0*W121-(AA123-MIN(MAX(AA123,0),MAX(0,W121-IF($A124&gt;='1-Input'!$C$12,'1-Input'!$B$12,0)))))*(1/(1-'P-Parametri'!$B$6*W124))))</f>
        <v>18234.616046141189</v>
      </c>
      <c r="Y124" s="18">
        <f>IF($A124&gt;'1-Input'!$B$26,AA123,(AA123-MAX(0,W121-IF($A124&gt;='1-Input'!$C$12,'1-Input'!$B$12,0))+X124*(1-'P-Parametri'!$B$6*W124))*(1+'1-Input'!$B$27))</f>
        <v>0</v>
      </c>
      <c r="Z124" s="18">
        <f>IF($A124&gt;'1-Input'!$B$26,AB123,(AB123-X124)*(1+$B$4))</f>
        <v>429155.33428868128</v>
      </c>
      <c r="AA124" s="18">
        <f>IF($A124&gt;'1-Input'!$B$26,Y124,Y124-'P-Parametri'!$B$8*(Z124+Y124)+MIN(MAX(Z124,0),'P-Parametri'!$B$8*(Z124+Y124)))</f>
        <v>0</v>
      </c>
      <c r="AB124" s="18">
        <f>IF($A124&gt;'1-Input'!$B$26,Z124,Z124-MIN(MAX(Z124,0),'P-Parametri'!$B$8*(Z124+Y124)))</f>
        <v>428297.02362010389</v>
      </c>
      <c r="AC124" s="18">
        <f>IF($A124&gt;'1-Input'!$B$26,AC123,AC123-X124*(1-W124))</f>
        <v>329710.5622840203</v>
      </c>
      <c r="AD124" s="11">
        <f>IF($A124&gt;'1-Input'!$B$26,0,IF(AI123&lt;=0,0,MAX(0,(AI123-AJ123)/AI123)))</f>
        <v>0.21635653419729481</v>
      </c>
      <c r="AE124" s="18">
        <f>IF($A124&gt;'1-Input'!$B$26,0,(MAX(0,AD121-IF($A124&gt;='1-Input'!$C$12,'1-Input'!$B$12,0))-MIN(MAX(AH123,0),MAX(0,AD121-IF($A124&gt;='1-Input'!$C$12,'1-Input'!$B$12,0))))*(1/(1-'P-Parametri'!$B$6*AD124))+MIN(MAX(0,AI123-(MAX(0,AD121-IF($A124&gt;='1-Input'!$C$12,'1-Input'!$B$12,0))-MIN(MAX(AH123,0),MAX(0,AD121-IF($A124&gt;='1-Input'!$C$12,'1-Input'!$B$12,0))))*(1/(1-'P-Parametri'!$B$6*AD124))),MAX(0,0*AD121-(AH123-MIN(MAX(AH123,0),MAX(0,AD121-IF($A124&gt;='1-Input'!$C$12,'1-Input'!$B$12,0)))))*(1/(1-'P-Parametri'!$B$6*AD124))))</f>
        <v>18248.724802764831</v>
      </c>
      <c r="AF124" s="18">
        <f>IF($A124&gt;'1-Input'!$B$26,AH123,(AH123-MAX(0,AD121-IF($A124&gt;='1-Input'!$C$12,'1-Input'!$B$12,0))+AE124*(1-'P-Parametri'!$B$6*AD124))*(1+'1-Input'!$B$27))</f>
        <v>0</v>
      </c>
      <c r="AG124" s="18">
        <f>IF($A124&gt;'1-Input'!$B$26,AI123,(AI123-AE124)*(1+$B$4))</f>
        <v>429140.94335692516</v>
      </c>
      <c r="AH124" s="18">
        <f>IF($A124&gt;'1-Input'!$B$26,AF124,AF124-'P-Parametri'!$B$8*(AG124+AF124)+MIN(MAX(AG124,0),'P-Parametri'!$B$8*(AG124+AF124)))</f>
        <v>0</v>
      </c>
      <c r="AI124" s="18">
        <f>IF($A124&gt;'1-Input'!$B$26,AG124,AG124-MIN(MAX(AG124,0),'P-Parametri'!$B$8*(AG124+AF124)))</f>
        <v>428282.66147021129</v>
      </c>
      <c r="AJ124" s="18">
        <f>IF($A124&gt;'1-Input'!$B$26,AJ123,AJ123-AE124*(1-AD124))</f>
        <v>329699.50604908157</v>
      </c>
      <c r="AK124" s="11">
        <f>IF($A124&gt;'1-Input'!$B$26,0,IF(AP123&lt;=0,0,MAX(0,(AP123-AQ123)/AP123)))</f>
        <v>0.21635653419729481</v>
      </c>
      <c r="AL124" s="18">
        <f>IF($A124&gt;'1-Input'!$B$26,0,(MAX(0,AK121-IF($A124&gt;='1-Input'!$C$12,'1-Input'!$B$12,0))-MIN(MAX(AO123,0),MAX(0,AK121-IF($A124&gt;='1-Input'!$C$12,'1-Input'!$B$12,0))))*(1/(1-'P-Parametri'!$B$6*AK124))+MIN(MAX(0,AP123-(MAX(0,AK121-IF($A124&gt;='1-Input'!$C$12,'1-Input'!$B$12,0))-MIN(MAX(AO123,0),MAX(0,AK121-IF($A124&gt;='1-Input'!$C$12,'1-Input'!$B$12,0))))*(1/(1-'P-Parametri'!$B$6*AK124))),MAX(0,0*AK121-(AO123-MIN(MAX(AO123,0),MAX(0,AK121-IF($A124&gt;='1-Input'!$C$12,'1-Input'!$B$12,0)))))*(1/(1-'P-Parametri'!$B$6*AK124))))</f>
        <v>18248.724802764831</v>
      </c>
      <c r="AM124" s="18">
        <f>IF($A124&gt;'1-Input'!$B$26,AO123,(AO123-MAX(0,AK121-IF($A124&gt;='1-Input'!$C$12,'1-Input'!$B$12,0))+AL124*(1-'P-Parametri'!$B$6*AK124))*(1+'1-Input'!$B$27))</f>
        <v>0</v>
      </c>
      <c r="AN124" s="18">
        <f>IF($A124&gt;'1-Input'!$B$26,AP123,(AP123-AL124)*(1+$B$4))</f>
        <v>429140.94335692516</v>
      </c>
      <c r="AO124" s="18">
        <f>IF($A124&gt;'1-Input'!$B$26,AM124,AM124-'P-Parametri'!$B$8*(AN124+AM124)+MIN(MAX(AN124,0),'P-Parametri'!$B$8*(AN124+AM124)))</f>
        <v>0</v>
      </c>
      <c r="AP124" s="18">
        <f>IF($A124&gt;'1-Input'!$B$26,AN124,AN124-MIN(MAX(AN124,0),'P-Parametri'!$B$8*(AN124+AM124)))</f>
        <v>428282.66147021129</v>
      </c>
      <c r="AQ124" s="18">
        <f>IF($A124&gt;'1-Input'!$B$26,AQ123,AQ123-AL124*(1-AK124))</f>
        <v>329699.50604908157</v>
      </c>
    </row>
    <row r="125" spans="1:43">
      <c r="A125" s="10">
        <f>2</f>
        <v>2</v>
      </c>
      <c r="B125" s="11">
        <f>IF($A125&gt;'1-Input'!$B$26,0,IF(G124&lt;=0,0,MAX(0,(G124-H124)/G124)))</f>
        <v>0.23018245726481873</v>
      </c>
      <c r="C125" s="18">
        <f>IF($A125&gt;'1-Input'!$B$26,0,(MAX(0,B121-IF($A125&gt;='1-Input'!$C$12,'1-Input'!$B$12,0))-MIN(MAX(F124,0),MAX(0,B121-IF($A125&gt;='1-Input'!$C$12,'1-Input'!$B$12,0))))*(1/(1-'P-Parametri'!$B$6*B125))+MIN(MAX(0,G124-(MAX(0,B121-IF($A125&gt;='1-Input'!$C$12,'1-Input'!$B$12,0))-MIN(MAX(F124,0),MAX(0,B121-IF($A125&gt;='1-Input'!$C$12,'1-Input'!$B$12,0))))*(1/(1-'P-Parametri'!$B$6*B125))),MAX(0,0*B121-(F124-MIN(MAX(F124,0),MAX(0,B121-IF($A125&gt;='1-Input'!$C$12,'1-Input'!$B$12,0)))))*(1/(1-'P-Parametri'!$B$6*B125))))</f>
        <v>17742.923866431644</v>
      </c>
      <c r="D125" s="18">
        <f>IF($A125&gt;'1-Input'!$B$26,F124,(F124-MAX(0,B121-IF($A125&gt;='1-Input'!$C$12,'1-Input'!$B$12,0))+C125*(1-'P-Parametri'!$B$6*B125))*(1+'1-Input'!$B$27))</f>
        <v>0</v>
      </c>
      <c r="E125" s="18">
        <f>IF($A125&gt;'1-Input'!$B$26,G124,(G124-C125)*(1+$B$4))</f>
        <v>419345.88782257581</v>
      </c>
      <c r="F125" s="18">
        <f>IF($A125&gt;'1-Input'!$B$26,D125,D125-'P-Parametri'!$B$8*(E125+D125)+MIN(MAX(E125,0),'P-Parametri'!$B$8*(E125+D125)))</f>
        <v>0</v>
      </c>
      <c r="G125" s="18">
        <f>IF($A125&gt;'1-Input'!$B$26,E125,E125-MIN(MAX(E125,0),'P-Parametri'!$B$8*(E125+D125)))</f>
        <v>418507.19604693068</v>
      </c>
      <c r="H125" s="18">
        <f>IF($A125&gt;'1-Input'!$B$26,H124,H124-C125*(1-B125))</f>
        <v>316490.02050948847</v>
      </c>
      <c r="I125" s="11">
        <f>IF($A125&gt;'1-Input'!$B$26,0,IF(N124&lt;=0,0,MAX(0,(N124-O124)/N124)))</f>
        <v>0.23018245726481862</v>
      </c>
      <c r="J125" s="18">
        <f>IF($A125&gt;'1-Input'!$B$26,0,(MAX(0,I121-IF($A125&gt;='1-Input'!$C$12,'1-Input'!$B$12,0))-MIN(MAX(M124,0),MAX(0,I121-IF($A125&gt;='1-Input'!$C$12,'1-Input'!$B$12,0))))*(1/(1-'P-Parametri'!$B$6*I125))+MIN(MAX(0,N124-(MAX(0,I121-IF($A125&gt;='1-Input'!$C$12,'1-Input'!$B$12,0))-MIN(MAX(M124,0),MAX(0,I121-IF($A125&gt;='1-Input'!$C$12,'1-Input'!$B$12,0))))*(1/(1-'P-Parametri'!$B$6*I125))),MAX(0,0*I121-(M124-MIN(MAX(M124,0),MAX(0,I121-IF($A125&gt;='1-Input'!$C$12,'1-Input'!$B$12,0)))))*(1/(1-'P-Parametri'!$B$6*I125))))</f>
        <v>23345.952455831106</v>
      </c>
      <c r="K125" s="18">
        <f>IF($A125&gt;'1-Input'!$B$26,M124,(M124-MAX(0,I121-IF($A125&gt;='1-Input'!$C$12,'1-Input'!$B$12,0))+J125*(1-'P-Parametri'!$B$6*I125))*(1+'1-Input'!$B$27))</f>
        <v>0</v>
      </c>
      <c r="L125" s="18">
        <f>IF($A125&gt;'1-Input'!$B$26,N124,(N124-J125)*(1+$B$4))</f>
        <v>407835.22628091252</v>
      </c>
      <c r="M125" s="18">
        <f>IF($A125&gt;'1-Input'!$B$26,K125,K125-'P-Parametri'!$B$8*(L125+K125)+MIN(MAX(L125,0),'P-Parametri'!$B$8*(L125+K125)))</f>
        <v>0</v>
      </c>
      <c r="N125" s="18">
        <f>IF($A125&gt;'1-Input'!$B$26,L125,L125-MIN(MAX(L125,0),'P-Parametri'!$B$8*(L125+K125)))</f>
        <v>407019.55582835071</v>
      </c>
      <c r="O125" s="18">
        <f>IF($A125&gt;'1-Input'!$B$26,O124,O124-J125*(1-I125))</f>
        <v>307802.65856511641</v>
      </c>
      <c r="P125" s="11">
        <f>IF($A125&gt;'1-Input'!$B$26,0,IF(U124&lt;=0,0,MAX(0,(U124-V124)/U124)))</f>
        <v>0.23018245726481862</v>
      </c>
      <c r="Q125" s="18">
        <f>IF($A125&gt;'1-Input'!$B$26,0,(MAX(0,P121-IF($A125&gt;='1-Input'!$C$12,'1-Input'!$B$12,0))-MIN(MAX(T124,0),MAX(0,P121-IF($A125&gt;='1-Input'!$C$12,'1-Input'!$B$12,0))))*(1/(1-'P-Parametri'!$B$6*P125))+MIN(MAX(0,U124-(MAX(0,P121-IF($A125&gt;='1-Input'!$C$12,'1-Input'!$B$12,0))-MIN(MAX(T124,0),MAX(0,P121-IF($A125&gt;='1-Input'!$C$12,'1-Input'!$B$12,0))))*(1/(1-'P-Parametri'!$B$6*P125))),MAX(0,0*P121-(T124-MIN(MAX(T124,0),MAX(0,P121-IF($A125&gt;='1-Input'!$C$12,'1-Input'!$B$12,0)))))*(1/(1-'P-Parametri'!$B$6*P125))))</f>
        <v>18402.477143440796</v>
      </c>
      <c r="R125" s="18">
        <f>IF($A125&gt;'1-Input'!$B$26,T124,(T124-MAX(0,P121-IF($A125&gt;='1-Input'!$C$12,'1-Input'!$B$12,0))+Q125*(1-'P-Parametri'!$B$6*P125))*(1+'1-Input'!$B$27))</f>
        <v>0</v>
      </c>
      <c r="S125" s="18">
        <f>IF($A125&gt;'1-Input'!$B$26,U124,(U124-Q125)*(1+$B$4))</f>
        <v>417990.92515922064</v>
      </c>
      <c r="T125" s="18">
        <f>IF($A125&gt;'1-Input'!$B$26,R125,R125-'P-Parametri'!$B$8*(S125+R125)+MIN(MAX(S125,0),'P-Parametri'!$B$8*(S125+R125)))</f>
        <v>0</v>
      </c>
      <c r="U125" s="18">
        <f>IF($A125&gt;'1-Input'!$B$26,S125,S125-MIN(MAX(S125,0),'P-Parametri'!$B$8*(S125+R125)))</f>
        <v>417154.94330890221</v>
      </c>
      <c r="V125" s="18">
        <f>IF($A125&gt;'1-Input'!$B$26,V124,V124-Q125*(1-P125))</f>
        <v>315467.39891340816</v>
      </c>
      <c r="W125" s="11">
        <f>IF($A125&gt;'1-Input'!$B$26,0,IF(AB124&lt;=0,0,MAX(0,(AB124-AC124)/AB124)))</f>
        <v>0.23018245726481867</v>
      </c>
      <c r="X125" s="18">
        <f>IF($A125&gt;'1-Input'!$B$26,0,(MAX(0,W121-IF($A125&gt;='1-Input'!$C$12,'1-Input'!$B$12,0))-MIN(MAX(AA124,0),MAX(0,W121-IF($A125&gt;='1-Input'!$C$12,'1-Input'!$B$12,0))))*(1/(1-'P-Parametri'!$B$6*W125))+MIN(MAX(0,AB124-(MAX(0,W121-IF($A125&gt;='1-Input'!$C$12,'1-Input'!$B$12,0))-MIN(MAX(AA124,0),MAX(0,W121-IF($A125&gt;='1-Input'!$C$12,'1-Input'!$B$12,0))))*(1/(1-'P-Parametri'!$B$6*W125))),MAX(0,0*W121-(AA124-MIN(MAX(AA124,0),MAX(0,W121-IF($A125&gt;='1-Input'!$C$12,'1-Input'!$B$12,0)))))*(1/(1-'P-Parametri'!$B$6*W125))))</f>
        <v>18304.337393880403</v>
      </c>
      <c r="Y125" s="18">
        <f>IF($A125&gt;'1-Input'!$B$26,AA124,(AA124-MAX(0,W121-IF($A125&gt;='1-Input'!$C$12,'1-Input'!$B$12,0))+X125*(1-'P-Parametri'!$B$6*W125))*(1+'1-Input'!$B$27))</f>
        <v>0</v>
      </c>
      <c r="Z125" s="18">
        <f>IF($A125&gt;'1-Input'!$B$26,AB124,(AB124-X125)*(1+$B$4))</f>
        <v>418192.53995074797</v>
      </c>
      <c r="AA125" s="18">
        <f>IF($A125&gt;'1-Input'!$B$26,Y125,Y125-'P-Parametri'!$B$8*(Z125+Y125)+MIN(MAX(Z125,0),'P-Parametri'!$B$8*(Z125+Y125)))</f>
        <v>0</v>
      </c>
      <c r="AB125" s="18">
        <f>IF($A125&gt;'1-Input'!$B$26,Z125,Z125-MIN(MAX(Z125,0),'P-Parametri'!$B$8*(Z125+Y125)))</f>
        <v>417356.15487084648</v>
      </c>
      <c r="AC125" s="18">
        <f>IF($A125&gt;'1-Input'!$B$26,AC124,AC124-X125*(1-W125))</f>
        <v>315619.5622500676</v>
      </c>
      <c r="AD125" s="11">
        <f>IF($A125&gt;'1-Input'!$B$26,0,IF(AI124&lt;=0,0,MAX(0,(AI124-AJ124)/AI124)))</f>
        <v>0.2301824572648187</v>
      </c>
      <c r="AE125" s="18">
        <f>IF($A125&gt;'1-Input'!$B$26,0,(MAX(0,AD121-IF($A125&gt;='1-Input'!$C$12,'1-Input'!$B$12,0))-MIN(MAX(AH124,0),MAX(0,AD121-IF($A125&gt;='1-Input'!$C$12,'1-Input'!$B$12,0))))*(1/(1-'P-Parametri'!$B$6*AD125))+MIN(MAX(0,AI124-(MAX(0,AD121-IF($A125&gt;='1-Input'!$C$12,'1-Input'!$B$12,0))-MIN(MAX(AH124,0),MAX(0,AD121-IF($A125&gt;='1-Input'!$C$12,'1-Input'!$B$12,0))))*(1/(1-'P-Parametri'!$B$6*AD125))),MAX(0,0*AD121-(AH124-MIN(MAX(AH124,0),MAX(0,AD121-IF($A125&gt;='1-Input'!$C$12,'1-Input'!$B$12,0)))))*(1/(1-'P-Parametri'!$B$6*AD125))))</f>
        <v>18318.500096335654</v>
      </c>
      <c r="AF125" s="18">
        <f>IF($A125&gt;'1-Input'!$B$26,AH124,(AH124-MAX(0,AD121-IF($A125&gt;='1-Input'!$C$12,'1-Input'!$B$12,0))+AE125*(1-'P-Parametri'!$B$6*AD125))*(1+'1-Input'!$B$27))</f>
        <v>-3.6248820833861826E-12</v>
      </c>
      <c r="AG125" s="18">
        <f>IF($A125&gt;'1-Input'!$B$26,AI124,(AI124-AE125)*(1+$B$4))</f>
        <v>418163.44460135314</v>
      </c>
      <c r="AH125" s="18">
        <f>IF($A125&gt;'1-Input'!$B$26,AF125,AF125-'P-Parametri'!$B$8*(AG125+AF125)+MIN(MAX(AG125,0),'P-Parametri'!$B$8*(AG125+AF125)))</f>
        <v>-3.637978807091713E-12</v>
      </c>
      <c r="AI125" s="18">
        <f>IF($A125&gt;'1-Input'!$B$26,AG125,AG125-MIN(MAX(AG125,0),'P-Parametri'!$B$8*(AG125+AF125)))</f>
        <v>417327.11771215044</v>
      </c>
      <c r="AJ125" s="18">
        <f>IF($A125&gt;'1-Input'!$B$26,AJ124,AJ124-AE125*(1-AD125))</f>
        <v>315597.60331832629</v>
      </c>
      <c r="AK125" s="11">
        <f>IF($A125&gt;'1-Input'!$B$26,0,IF(AP124&lt;=0,0,MAX(0,(AP124-AQ124)/AP124)))</f>
        <v>0.2301824572648187</v>
      </c>
      <c r="AL125" s="18">
        <f>IF($A125&gt;'1-Input'!$B$26,0,(MAX(0,AK121-IF($A125&gt;='1-Input'!$C$12,'1-Input'!$B$12,0))-MIN(MAX(AO124,0),MAX(0,AK121-IF($A125&gt;='1-Input'!$C$12,'1-Input'!$B$12,0))))*(1/(1-'P-Parametri'!$B$6*AK125))+MIN(MAX(0,AP124-(MAX(0,AK121-IF($A125&gt;='1-Input'!$C$12,'1-Input'!$B$12,0))-MIN(MAX(AO124,0),MAX(0,AK121-IF($A125&gt;='1-Input'!$C$12,'1-Input'!$B$12,0))))*(1/(1-'P-Parametri'!$B$6*AK125))),MAX(0,0*AK121-(AO124-MIN(MAX(AO124,0),MAX(0,AK121-IF($A125&gt;='1-Input'!$C$12,'1-Input'!$B$12,0)))))*(1/(1-'P-Parametri'!$B$6*AK125))))</f>
        <v>18318.500096335654</v>
      </c>
      <c r="AM125" s="18">
        <f>IF($A125&gt;'1-Input'!$B$26,AO124,(AO124-MAX(0,AK121-IF($A125&gt;='1-Input'!$C$12,'1-Input'!$B$12,0))+AL125*(1-'P-Parametri'!$B$6*AK125))*(1+'1-Input'!$B$27))</f>
        <v>-3.6248820833861826E-12</v>
      </c>
      <c r="AN125" s="18">
        <f>IF($A125&gt;'1-Input'!$B$26,AP124,(AP124-AL125)*(1+$B$4))</f>
        <v>418163.44460135314</v>
      </c>
      <c r="AO125" s="18">
        <f>IF($A125&gt;'1-Input'!$B$26,AM125,AM125-'P-Parametri'!$B$8*(AN125+AM125)+MIN(MAX(AN125,0),'P-Parametri'!$B$8*(AN125+AM125)))</f>
        <v>-3.637978807091713E-12</v>
      </c>
      <c r="AP125" s="18">
        <f>IF($A125&gt;'1-Input'!$B$26,AN125,AN125-MIN(MAX(AN125,0),'P-Parametri'!$B$8*(AN125+AM125)))</f>
        <v>417327.11771215044</v>
      </c>
      <c r="AQ125" s="18">
        <f>IF($A125&gt;'1-Input'!$B$26,AQ124,AQ124-AL125*(1-AK125))</f>
        <v>315597.60331832629</v>
      </c>
    </row>
    <row r="126" spans="1:43">
      <c r="A126" s="10">
        <f>3</f>
        <v>3</v>
      </c>
      <c r="B126" s="11">
        <f>IF($A126&gt;'1-Input'!$B$26,0,IF(G125&lt;=0,0,MAX(0,(G125-H125)/G125)))</f>
        <v>0.24376444778264261</v>
      </c>
      <c r="C126" s="18">
        <f>IF($A126&gt;'1-Input'!$B$26,0,(MAX(0,B121-IF($A126&gt;='1-Input'!$C$12,'1-Input'!$B$12,0))-MIN(MAX(F125,0),MAX(0,B121-IF($A126&gt;='1-Input'!$C$12,'1-Input'!$B$12,0))))*(1/(1-'P-Parametri'!$B$6*B126))+MIN(MAX(0,G125-(MAX(0,B121-IF($A126&gt;='1-Input'!$C$12,'1-Input'!$B$12,0))-MIN(MAX(F125,0),MAX(0,B121-IF($A126&gt;='1-Input'!$C$12,'1-Input'!$B$12,0))))*(1/(1-'P-Parametri'!$B$6*B126))),MAX(0,0*B121-(F125-MIN(MAX(F125,0),MAX(0,B121-IF($A126&gt;='1-Input'!$C$12,'1-Input'!$B$12,0)))))*(1/(1-'P-Parametri'!$B$6*B126))))</f>
        <v>17809.819528466764</v>
      </c>
      <c r="D126" s="18">
        <f>IF($A126&gt;'1-Input'!$B$26,F125,(F125-MAX(0,B121-IF($A126&gt;='1-Input'!$C$12,'1-Input'!$B$12,0))+C126*(1-'P-Parametri'!$B$6*B126))*(1+'1-Input'!$B$27))</f>
        <v>3.6248820833861826E-12</v>
      </c>
      <c r="E126" s="18">
        <f>IF($A126&gt;'1-Input'!$B$26,G125,(G125-C126)*(1+$B$4))</f>
        <v>408711.32404883316</v>
      </c>
      <c r="F126" s="18">
        <f>IF($A126&gt;'1-Input'!$B$26,D126,D126-'P-Parametri'!$B$8*(E126+D126)+MIN(MAX(E126,0),'P-Parametri'!$B$8*(E126+D126)))</f>
        <v>3.637978807091713E-12</v>
      </c>
      <c r="G126" s="18">
        <f>IF($A126&gt;'1-Input'!$B$26,E126,E126-MIN(MAX(E126,0),'P-Parametri'!$B$8*(E126+D126)))</f>
        <v>407893.90140073549</v>
      </c>
      <c r="H126" s="18">
        <f>IF($A126&gt;'1-Input'!$B$26,H125,H125-C126*(1-B126))</f>
        <v>303021.60180348693</v>
      </c>
      <c r="I126" s="11">
        <f>IF($A126&gt;'1-Input'!$B$26,0,IF(N125&lt;=0,0,MAX(0,(N125-O125)/N125)))</f>
        <v>0.24376444778264242</v>
      </c>
      <c r="J126" s="18">
        <f>IF($A126&gt;'1-Input'!$B$26,0,(MAX(0,I121-IF($A126&gt;='1-Input'!$C$12,'1-Input'!$B$12,0))-MIN(MAX(M125,0),MAX(0,I121-IF($A126&gt;='1-Input'!$C$12,'1-Input'!$B$12,0))))*(1/(1-'P-Parametri'!$B$6*I126))+MIN(MAX(0,N125-(MAX(0,I121-IF($A126&gt;='1-Input'!$C$12,'1-Input'!$B$12,0))-MIN(MAX(M125,0),MAX(0,I121-IF($A126&gt;='1-Input'!$C$12,'1-Input'!$B$12,0))))*(1/(1-'P-Parametri'!$B$6*I126))),MAX(0,0*I121-(M125-MIN(MAX(M125,0),MAX(0,I121-IF($A126&gt;='1-Input'!$C$12,'1-Input'!$B$12,0)))))*(1/(1-'P-Parametri'!$B$6*I126))))</f>
        <v>23433.973063772053</v>
      </c>
      <c r="K126" s="18">
        <f>IF($A126&gt;'1-Input'!$B$26,M125,(M125-MAX(0,I121-IF($A126&gt;='1-Input'!$C$12,'1-Input'!$B$12,0))+J126*(1-'P-Parametri'!$B$6*I126))*(1+'1-Input'!$B$27))</f>
        <v>-3.6248820833861826E-12</v>
      </c>
      <c r="L126" s="18">
        <f>IF($A126&gt;'1-Input'!$B$26,N125,(N125-J126)*(1+$B$4))</f>
        <v>391257.29441987019</v>
      </c>
      <c r="M126" s="18">
        <f>IF($A126&gt;'1-Input'!$B$26,K126,K126-'P-Parametri'!$B$8*(L126+K126)+MIN(MAX(L126,0),'P-Parametri'!$B$8*(L126+K126)))</f>
        <v>-3.637978807091713E-12</v>
      </c>
      <c r="N126" s="18">
        <f>IF($A126&gt;'1-Input'!$B$26,L126,L126-MIN(MAX(L126,0),'P-Parametri'!$B$8*(L126+K126)))</f>
        <v>390474.77983103046</v>
      </c>
      <c r="O126" s="18">
        <f>IF($A126&gt;'1-Input'!$B$26,O125,O125-J126*(1-I126))</f>
        <v>290081.05500458804</v>
      </c>
      <c r="P126" s="11">
        <f>IF($A126&gt;'1-Input'!$B$26,0,IF(U125&lt;=0,0,MAX(0,(U125-V125)/U125)))</f>
        <v>0.24376444778264239</v>
      </c>
      <c r="Q126" s="18">
        <f>IF($A126&gt;'1-Input'!$B$26,0,(MAX(0,P121-IF($A126&gt;='1-Input'!$C$12,'1-Input'!$B$12,0))-MIN(MAX(T125,0),MAX(0,P121-IF($A126&gt;='1-Input'!$C$12,'1-Input'!$B$12,0))))*(1/(1-'P-Parametri'!$B$6*P126))+MIN(MAX(0,U125-(MAX(0,P121-IF($A126&gt;='1-Input'!$C$12,'1-Input'!$B$12,0))-MIN(MAX(T125,0),MAX(0,P121-IF($A126&gt;='1-Input'!$C$12,'1-Input'!$B$12,0))))*(1/(1-'P-Parametri'!$B$6*P126))),MAX(0,0*P121-(T125-MIN(MAX(T125,0),MAX(0,P121-IF($A126&gt;='1-Input'!$C$12,'1-Input'!$B$12,0)))))*(1/(1-'P-Parametri'!$B$6*P126))))</f>
        <v>18471.859501211355</v>
      </c>
      <c r="R126" s="18">
        <f>IF($A126&gt;'1-Input'!$B$26,T125,(T125-MAX(0,P121-IF($A126&gt;='1-Input'!$C$12,'1-Input'!$B$12,0))+Q126*(1-'P-Parametri'!$B$6*P126))*(1+'1-Input'!$B$27))</f>
        <v>0</v>
      </c>
      <c r="S126" s="18">
        <f>IF($A126&gt;'1-Input'!$B$26,U125,(U125-Q126)*(1+$B$4))</f>
        <v>406656.74548384466</v>
      </c>
      <c r="T126" s="18">
        <f>IF($A126&gt;'1-Input'!$B$26,R126,R126-'P-Parametri'!$B$8*(S126+R126)+MIN(MAX(S126,0),'P-Parametri'!$B$8*(S126+R126)))</f>
        <v>0</v>
      </c>
      <c r="U126" s="18">
        <f>IF($A126&gt;'1-Input'!$B$26,S126,S126-MIN(MAX(S126,0),'P-Parametri'!$B$8*(S126+R126)))</f>
        <v>405843.43199287698</v>
      </c>
      <c r="V126" s="18">
        <f>IF($A126&gt;'1-Input'!$B$26,V125,V125-Q126*(1-P126))</f>
        <v>301498.32204302814</v>
      </c>
      <c r="W126" s="11">
        <f>IF($A126&gt;'1-Input'!$B$26,0,IF(AB125&lt;=0,0,MAX(0,(AB125-AC125)/AB125)))</f>
        <v>0.24376444778264245</v>
      </c>
      <c r="X126" s="18">
        <f>IF($A126&gt;'1-Input'!$B$26,0,(MAX(0,W121-IF($A126&gt;='1-Input'!$C$12,'1-Input'!$B$12,0))-MIN(MAX(AA125,0),MAX(0,W121-IF($A126&gt;='1-Input'!$C$12,'1-Input'!$B$12,0))))*(1/(1-'P-Parametri'!$B$6*W126))+MIN(MAX(0,AB125-(MAX(0,W121-IF($A126&gt;='1-Input'!$C$12,'1-Input'!$B$12,0))-MIN(MAX(AA125,0),MAX(0,W121-IF($A126&gt;='1-Input'!$C$12,'1-Input'!$B$12,0))))*(1/(1-'P-Parametri'!$B$6*W126))),MAX(0,0*W121-(AA125-MIN(MAX(AA125,0),MAX(0,W121-IF($A126&gt;='1-Input'!$C$12,'1-Input'!$B$12,0)))))*(1/(1-'P-Parametri'!$B$6*W126))))</f>
        <v>18373.349738029297</v>
      </c>
      <c r="Y126" s="18">
        <f>IF($A126&gt;'1-Input'!$B$26,AA125,(AA125-MAX(0,W121-IF($A126&gt;='1-Input'!$C$12,'1-Input'!$B$12,0))+X126*(1-'P-Parametri'!$B$6*W126))*(1+'1-Input'!$B$27))</f>
        <v>-3.6248820833861826E-12</v>
      </c>
      <c r="Z126" s="18">
        <f>IF($A126&gt;'1-Input'!$B$26,AB125,(AB125-X126)*(1+$B$4))</f>
        <v>406962.46123547351</v>
      </c>
      <c r="AA126" s="18">
        <f>IF($A126&gt;'1-Input'!$B$26,Y126,Y126-'P-Parametri'!$B$8*(Z126+Y126)+MIN(MAX(Z126,0),'P-Parametri'!$B$8*(Z126+Y126)))</f>
        <v>-3.637978807091713E-12</v>
      </c>
      <c r="AB126" s="18">
        <f>IF($A126&gt;'1-Input'!$B$26,Z126,Z126-MIN(MAX(Z126,0),'P-Parametri'!$B$8*(Z126+Y126)))</f>
        <v>406148.53631300258</v>
      </c>
      <c r="AC126" s="18">
        <f>IF($A126&gt;'1-Input'!$B$26,AC125,AC125-X126*(1-W126))</f>
        <v>301724.98196484637</v>
      </c>
      <c r="AD126" s="11">
        <f>IF($A126&gt;'1-Input'!$B$26,0,IF(AI125&lt;=0,0,MAX(0,(AI125-AJ125)/AI125)))</f>
        <v>0.24376444778264239</v>
      </c>
      <c r="AE126" s="18">
        <f>IF($A126&gt;'1-Input'!$B$26,0,(MAX(0,AD121-IF($A126&gt;='1-Input'!$C$12,'1-Input'!$B$12,0))-MIN(MAX(AH125,0),MAX(0,AD121-IF($A126&gt;='1-Input'!$C$12,'1-Input'!$B$12,0))))*(1/(1-'P-Parametri'!$B$6*AD126))+MIN(MAX(0,AI125-(MAX(0,AD121-IF($A126&gt;='1-Input'!$C$12,'1-Input'!$B$12,0))-MIN(MAX(AH125,0),MAX(0,AD121-IF($A126&gt;='1-Input'!$C$12,'1-Input'!$B$12,0))))*(1/(1-'P-Parametri'!$B$6*AD126))),MAX(0,0*AD121-(AH125-MIN(MAX(AH125,0),MAX(0,AD121-IF($A126&gt;='1-Input'!$C$12,'1-Input'!$B$12,0)))))*(1/(1-'P-Parametri'!$B$6*AD126))))</f>
        <v>18387.56583773543</v>
      </c>
      <c r="AF126" s="18">
        <f>IF($A126&gt;'1-Input'!$B$26,AH125,(AH125-MAX(0,AD121-IF($A126&gt;='1-Input'!$C$12,'1-Input'!$B$12,0))+AE126*(1-'P-Parametri'!$B$6*AD126))*(1+'1-Input'!$B$27))</f>
        <v>0</v>
      </c>
      <c r="AG126" s="18">
        <f>IF($A126&gt;'1-Input'!$B$26,AI125,(AI125-AE126)*(1+$B$4))</f>
        <v>406918.34291190334</v>
      </c>
      <c r="AH126" s="18">
        <f>IF($A126&gt;'1-Input'!$B$26,AF126,AF126-'P-Parametri'!$B$8*(AG126+AF126)+MIN(MAX(AG126,0),'P-Parametri'!$B$8*(AG126+AF126)))</f>
        <v>0</v>
      </c>
      <c r="AI126" s="18">
        <f>IF($A126&gt;'1-Input'!$B$26,AG126,AG126-MIN(MAX(AG126,0),'P-Parametri'!$B$8*(AG126+AF126)))</f>
        <v>406104.50622607954</v>
      </c>
      <c r="AJ126" s="18">
        <f>IF($A126&gt;'1-Input'!$B$26,AJ125,AJ125-AE126*(1-AD126))</f>
        <v>301692.27231309342</v>
      </c>
      <c r="AK126" s="11">
        <f>IF($A126&gt;'1-Input'!$B$26,0,IF(AP125&lt;=0,0,MAX(0,(AP125-AQ125)/AP125)))</f>
        <v>0.24376444778264239</v>
      </c>
      <c r="AL126" s="18">
        <f>IF($A126&gt;'1-Input'!$B$26,0,(MAX(0,AK121-IF($A126&gt;='1-Input'!$C$12,'1-Input'!$B$12,0))-MIN(MAX(AO125,0),MAX(0,AK121-IF($A126&gt;='1-Input'!$C$12,'1-Input'!$B$12,0))))*(1/(1-'P-Parametri'!$B$6*AK126))+MIN(MAX(0,AP125-(MAX(0,AK121-IF($A126&gt;='1-Input'!$C$12,'1-Input'!$B$12,0))-MIN(MAX(AO125,0),MAX(0,AK121-IF($A126&gt;='1-Input'!$C$12,'1-Input'!$B$12,0))))*(1/(1-'P-Parametri'!$B$6*AK126))),MAX(0,0*AK121-(AO125-MIN(MAX(AO125,0),MAX(0,AK121-IF($A126&gt;='1-Input'!$C$12,'1-Input'!$B$12,0)))))*(1/(1-'P-Parametri'!$B$6*AK126))))</f>
        <v>18387.56583773543</v>
      </c>
      <c r="AM126" s="18">
        <f>IF($A126&gt;'1-Input'!$B$26,AO125,(AO125-MAX(0,AK121-IF($A126&gt;='1-Input'!$C$12,'1-Input'!$B$12,0))+AL126*(1-'P-Parametri'!$B$6*AK126))*(1+'1-Input'!$B$27))</f>
        <v>0</v>
      </c>
      <c r="AN126" s="18">
        <f>IF($A126&gt;'1-Input'!$B$26,AP125,(AP125-AL126)*(1+$B$4))</f>
        <v>406918.34291190334</v>
      </c>
      <c r="AO126" s="18">
        <f>IF($A126&gt;'1-Input'!$B$26,AM126,AM126-'P-Parametri'!$B$8*(AN126+AM126)+MIN(MAX(AN126,0),'P-Parametri'!$B$8*(AN126+AM126)))</f>
        <v>0</v>
      </c>
      <c r="AP126" s="18">
        <f>IF($A126&gt;'1-Input'!$B$26,AN126,AN126-MIN(MAX(AN126,0),'P-Parametri'!$B$8*(AN126+AM126)))</f>
        <v>406104.50622607954</v>
      </c>
      <c r="AQ126" s="18">
        <f>IF($A126&gt;'1-Input'!$B$26,AQ125,AQ125-AL126*(1-AK126))</f>
        <v>301692.27231309342</v>
      </c>
    </row>
    <row r="127" spans="1:43">
      <c r="A127" s="10">
        <f>4</f>
        <v>4</v>
      </c>
      <c r="B127" s="11">
        <f>IF($A127&gt;'1-Input'!$B$26,0,IF(G126&lt;=0,0,MAX(0,(G126-H126)/G126)))</f>
        <v>0.25710680948430442</v>
      </c>
      <c r="C127" s="18">
        <f>IF($A127&gt;'1-Input'!$B$26,0,(MAX(0,B121-IF($A127&gt;='1-Input'!$C$12,'1-Input'!$B$12,0))-MIN(MAX(F126,0),MAX(0,B121-IF($A127&gt;='1-Input'!$C$12,'1-Input'!$B$12,0))))*(1/(1-'P-Parametri'!$B$6*B127))+MIN(MAX(0,G126-(MAX(0,B121-IF($A127&gt;='1-Input'!$C$12,'1-Input'!$B$12,0))-MIN(MAX(F126,0),MAX(0,B121-IF($A127&gt;='1-Input'!$C$12,'1-Input'!$B$12,0))))*(1/(1-'P-Parametri'!$B$6*B127))),MAX(0,0*B121-(F126-MIN(MAX(F126,0),MAX(0,B121-IF($A127&gt;='1-Input'!$C$12,'1-Input'!$B$12,0)))))*(1/(1-'P-Parametri'!$B$6*B127))))</f>
        <v>17876.02792628442</v>
      </c>
      <c r="D127" s="18">
        <f>IF($A127&gt;'1-Input'!$B$26,F126,(F126-MAX(0,B121-IF($A127&gt;='1-Input'!$C$12,'1-Input'!$B$12,0))+C127*(1-'P-Parametri'!$B$6*B127))*(1+'1-Input'!$B$27))</f>
        <v>0</v>
      </c>
      <c r="E127" s="18">
        <f>IF($A127&gt;'1-Input'!$B$26,G126,(G126-C127)*(1+$B$4))</f>
        <v>397818.23094394011</v>
      </c>
      <c r="F127" s="18">
        <f>IF($A127&gt;'1-Input'!$B$26,D127,D127-'P-Parametri'!$B$8*(E127+D127)+MIN(MAX(E127,0),'P-Parametri'!$B$8*(E127+D127)))</f>
        <v>0</v>
      </c>
      <c r="G127" s="18">
        <f>IF($A127&gt;'1-Input'!$B$26,E127,E127-MIN(MAX(E127,0),'P-Parametri'!$B$8*(E127+D127)))</f>
        <v>397022.59448205226</v>
      </c>
      <c r="H127" s="18">
        <f>IF($A127&gt;'1-Input'!$B$26,H126,H126-C127*(1-B127))</f>
        <v>289741.62238358182</v>
      </c>
      <c r="I127" s="11">
        <f>IF($A127&gt;'1-Input'!$B$26,0,IF(N126&lt;=0,0,MAX(0,(N126-O126)/N126)))</f>
        <v>0.25710680948430431</v>
      </c>
      <c r="J127" s="18">
        <f>IF($A127&gt;'1-Input'!$B$26,0,(MAX(0,I121-IF($A127&gt;='1-Input'!$C$12,'1-Input'!$B$12,0))-MIN(MAX(M126,0),MAX(0,I121-IF($A127&gt;='1-Input'!$C$12,'1-Input'!$B$12,0))))*(1/(1-'P-Parametri'!$B$6*I127))+MIN(MAX(0,N126-(MAX(0,I121-IF($A127&gt;='1-Input'!$C$12,'1-Input'!$B$12,0))-MIN(MAX(M126,0),MAX(0,I121-IF($A127&gt;='1-Input'!$C$12,'1-Input'!$B$12,0))))*(1/(1-'P-Parametri'!$B$6*I127))),MAX(0,0*I121-(M126-MIN(MAX(M126,0),MAX(0,I121-IF($A127&gt;='1-Input'!$C$12,'1-Input'!$B$12,0)))))*(1/(1-'P-Parametri'!$B$6*I127))))</f>
        <v>23521.089376690037</v>
      </c>
      <c r="K127" s="18">
        <f>IF($A127&gt;'1-Input'!$B$26,M126,(M126-MAX(0,I121-IF($A127&gt;='1-Input'!$C$12,'1-Input'!$B$12,0))+J127*(1-'P-Parametri'!$B$6*I127))*(1+'1-Input'!$B$27))</f>
        <v>-3.6248820833861826E-12</v>
      </c>
      <c r="L127" s="18">
        <f>IF($A127&gt;'1-Input'!$B$26,N126,(N126-J127)*(1+$B$4))</f>
        <v>374292.76426342723</v>
      </c>
      <c r="M127" s="18">
        <f>IF($A127&gt;'1-Input'!$B$26,K127,K127-'P-Parametri'!$B$8*(L127+K127)+MIN(MAX(L127,0),'P-Parametri'!$B$8*(L127+K127)))</f>
        <v>-3.637978807091713E-12</v>
      </c>
      <c r="N127" s="18">
        <f>IF($A127&gt;'1-Input'!$B$26,L127,L127-MIN(MAX(L127,0),'P-Parametri'!$B$8*(L127+K127)))</f>
        <v>373544.17873490037</v>
      </c>
      <c r="O127" s="18">
        <f>IF($A127&gt;'1-Input'!$B$26,O126,O126-J127*(1-I127))</f>
        <v>272607.39787313394</v>
      </c>
      <c r="P127" s="11">
        <f>IF($A127&gt;'1-Input'!$B$26,0,IF(U126&lt;=0,0,MAX(0,(U126-V126)/U126)))</f>
        <v>0.25710680948430437</v>
      </c>
      <c r="Q127" s="18">
        <f>IF($A127&gt;'1-Input'!$B$26,0,(MAX(0,P121-IF($A127&gt;='1-Input'!$C$12,'1-Input'!$B$12,0))-MIN(MAX(T126,0),MAX(0,P121-IF($A127&gt;='1-Input'!$C$12,'1-Input'!$B$12,0))))*(1/(1-'P-Parametri'!$B$6*P127))+MIN(MAX(0,U126-(MAX(0,P121-IF($A127&gt;='1-Input'!$C$12,'1-Input'!$B$12,0))-MIN(MAX(T126,0),MAX(0,P121-IF($A127&gt;='1-Input'!$C$12,'1-Input'!$B$12,0))))*(1/(1-'P-Parametri'!$B$6*P127))),MAX(0,0*P121-(T126-MIN(MAX(T126,0),MAX(0,P121-IF($A127&gt;='1-Input'!$C$12,'1-Input'!$B$12,0)))))*(1/(1-'P-Parametri'!$B$6*P127))))</f>
        <v>18540.529047263375</v>
      </c>
      <c r="R127" s="18">
        <f>IF($A127&gt;'1-Input'!$B$26,T126,(T126-MAX(0,P121-IF($A127&gt;='1-Input'!$C$12,'1-Input'!$B$12,0))+Q127*(1-'P-Parametri'!$B$6*P127))*(1+'1-Input'!$B$27))</f>
        <v>0</v>
      </c>
      <c r="S127" s="18">
        <f>IF($A127&gt;'1-Input'!$B$26,U126,(U126-Q127)*(1+$B$4))</f>
        <v>395048.96100452589</v>
      </c>
      <c r="T127" s="18">
        <f>IF($A127&gt;'1-Input'!$B$26,R127,R127-'P-Parametri'!$B$8*(S127+R127)+MIN(MAX(S127,0),'P-Parametri'!$B$8*(S127+R127)))</f>
        <v>0</v>
      </c>
      <c r="U127" s="18">
        <f>IF($A127&gt;'1-Input'!$B$26,S127,S127-MIN(MAX(S127,0),'P-Parametri'!$B$8*(S127+R127)))</f>
        <v>394258.86308251682</v>
      </c>
      <c r="V127" s="18">
        <f>IF($A127&gt;'1-Input'!$B$26,V126,V126-Q127*(1-P127))</f>
        <v>287724.68926525774</v>
      </c>
      <c r="W127" s="11">
        <f>IF($A127&gt;'1-Input'!$B$26,0,IF(AB126&lt;=0,0,MAX(0,(AB126-AC126)/AB126)))</f>
        <v>0.25710680948430431</v>
      </c>
      <c r="X127" s="18">
        <f>IF($A127&gt;'1-Input'!$B$26,0,(MAX(0,W121-IF($A127&gt;='1-Input'!$C$12,'1-Input'!$B$12,0))-MIN(MAX(AA126,0),MAX(0,W121-IF($A127&gt;='1-Input'!$C$12,'1-Input'!$B$12,0))))*(1/(1-'P-Parametri'!$B$6*W127))+MIN(MAX(0,AB126-(MAX(0,W121-IF($A127&gt;='1-Input'!$C$12,'1-Input'!$B$12,0))-MIN(MAX(AA126,0),MAX(0,W121-IF($A127&gt;='1-Input'!$C$12,'1-Input'!$B$12,0))))*(1/(1-'P-Parametri'!$B$6*W127))),MAX(0,0*W121-(AA126-MIN(MAX(AA126,0),MAX(0,W121-IF($A127&gt;='1-Input'!$C$12,'1-Input'!$B$12,0)))))*(1/(1-'P-Parametri'!$B$6*W127))))</f>
        <v>18441.653071858942</v>
      </c>
      <c r="Y127" s="18">
        <f>IF($A127&gt;'1-Input'!$B$26,AA126,(AA126-MAX(0,W121-IF($A127&gt;='1-Input'!$C$12,'1-Input'!$B$12,0))+X127*(1-'P-Parametri'!$B$6*W127))*(1+'1-Input'!$B$27))</f>
        <v>-3.6248820833861826E-12</v>
      </c>
      <c r="Z127" s="18">
        <f>IF($A127&gt;'1-Input'!$B$26,AB126,(AB126-X127)*(1+$B$4))</f>
        <v>395461.02090596652</v>
      </c>
      <c r="AA127" s="18">
        <f>IF($A127&gt;'1-Input'!$B$26,Y127,Y127-'P-Parametri'!$B$8*(Z127+Y127)+MIN(MAX(Z127,0),'P-Parametri'!$B$8*(Z127+Y127)))</f>
        <v>-3.637978807091713E-12</v>
      </c>
      <c r="AB127" s="18">
        <f>IF($A127&gt;'1-Input'!$B$26,Z127,Z127-MIN(MAX(Z127,0),'P-Parametri'!$B$8*(Z127+Y127)))</f>
        <v>394670.0988641546</v>
      </c>
      <c r="AC127" s="18">
        <f>IF($A127&gt;'1-Input'!$B$26,AC126,AC126-X127*(1-W127))</f>
        <v>288024.80347590952</v>
      </c>
      <c r="AD127" s="11">
        <f>IF($A127&gt;'1-Input'!$B$26,0,IF(AI126&lt;=0,0,MAX(0,(AI126-AJ126)/AI126)))</f>
        <v>0.25710680948430437</v>
      </c>
      <c r="AE127" s="18">
        <f>IF($A127&gt;'1-Input'!$B$26,0,(MAX(0,AD121-IF($A127&gt;='1-Input'!$C$12,'1-Input'!$B$12,0))-MIN(MAX(AH126,0),MAX(0,AD121-IF($A127&gt;='1-Input'!$C$12,'1-Input'!$B$12,0))))*(1/(1-'P-Parametri'!$B$6*AD127))+MIN(MAX(0,AI126-(MAX(0,AD121-IF($A127&gt;='1-Input'!$C$12,'1-Input'!$B$12,0))-MIN(MAX(AH126,0),MAX(0,AD121-IF($A127&gt;='1-Input'!$C$12,'1-Input'!$B$12,0))))*(1/(1-'P-Parametri'!$B$6*AD127))),MAX(0,0*AD121-(AH126-MIN(MAX(AH126,0),MAX(0,AD121-IF($A127&gt;='1-Input'!$C$12,'1-Input'!$B$12,0)))))*(1/(1-'P-Parametri'!$B$6*AD127))))</f>
        <v>18455.922020229998</v>
      </c>
      <c r="AF127" s="18">
        <f>IF($A127&gt;'1-Input'!$B$26,AH126,(AH126-MAX(0,AD121-IF($A127&gt;='1-Input'!$C$12,'1-Input'!$B$12,0))+AE127*(1-'P-Parametri'!$B$6*AD127))*(1+'1-Input'!$B$27))</f>
        <v>-3.6248820833861826E-12</v>
      </c>
      <c r="AG127" s="18">
        <f>IF($A127&gt;'1-Input'!$B$26,AI126,(AI126-AE127)*(1+$B$4))</f>
        <v>395401.55588996655</v>
      </c>
      <c r="AH127" s="18">
        <f>IF($A127&gt;'1-Input'!$B$26,AF127,AF127-'P-Parametri'!$B$8*(AG127+AF127)+MIN(MAX(AG127,0),'P-Parametri'!$B$8*(AG127+AF127)))</f>
        <v>-3.637978807091713E-12</v>
      </c>
      <c r="AI127" s="18">
        <f>IF($A127&gt;'1-Input'!$B$26,AG127,AG127-MIN(MAX(AG127,0),'P-Parametri'!$B$8*(AG127+AF127)))</f>
        <v>394610.75277818664</v>
      </c>
      <c r="AJ127" s="18">
        <f>IF($A127&gt;'1-Input'!$B$26,AJ126,AJ126-AE127*(1-AD127))</f>
        <v>287981.49351957586</v>
      </c>
      <c r="AK127" s="11">
        <f>IF($A127&gt;'1-Input'!$B$26,0,IF(AP126&lt;=0,0,MAX(0,(AP126-AQ126)/AP126)))</f>
        <v>0.25710680948430437</v>
      </c>
      <c r="AL127" s="18">
        <f>IF($A127&gt;'1-Input'!$B$26,0,(MAX(0,AK121-IF($A127&gt;='1-Input'!$C$12,'1-Input'!$B$12,0))-MIN(MAX(AO126,0),MAX(0,AK121-IF($A127&gt;='1-Input'!$C$12,'1-Input'!$B$12,0))))*(1/(1-'P-Parametri'!$B$6*AK127))+MIN(MAX(0,AP126-(MAX(0,AK121-IF($A127&gt;='1-Input'!$C$12,'1-Input'!$B$12,0))-MIN(MAX(AO126,0),MAX(0,AK121-IF($A127&gt;='1-Input'!$C$12,'1-Input'!$B$12,0))))*(1/(1-'P-Parametri'!$B$6*AK127))),MAX(0,0*AK121-(AO126-MIN(MAX(AO126,0),MAX(0,AK121-IF($A127&gt;='1-Input'!$C$12,'1-Input'!$B$12,0)))))*(1/(1-'P-Parametri'!$B$6*AK127))))</f>
        <v>18455.922020229998</v>
      </c>
      <c r="AM127" s="18">
        <f>IF($A127&gt;'1-Input'!$B$26,AO126,(AO126-MAX(0,AK121-IF($A127&gt;='1-Input'!$C$12,'1-Input'!$B$12,0))+AL127*(1-'P-Parametri'!$B$6*AK127))*(1+'1-Input'!$B$27))</f>
        <v>-3.6248820833861826E-12</v>
      </c>
      <c r="AN127" s="18">
        <f>IF($A127&gt;'1-Input'!$B$26,AP126,(AP126-AL127)*(1+$B$4))</f>
        <v>395401.55588996655</v>
      </c>
      <c r="AO127" s="18">
        <f>IF($A127&gt;'1-Input'!$B$26,AM127,AM127-'P-Parametri'!$B$8*(AN127+AM127)+MIN(MAX(AN127,0),'P-Parametri'!$B$8*(AN127+AM127)))</f>
        <v>-3.637978807091713E-12</v>
      </c>
      <c r="AP127" s="18">
        <f>IF($A127&gt;'1-Input'!$B$26,AN127,AN127-MIN(MAX(AN127,0),'P-Parametri'!$B$8*(AN127+AM127)))</f>
        <v>394610.75277818664</v>
      </c>
      <c r="AQ127" s="18">
        <f>IF($A127&gt;'1-Input'!$B$26,AQ126,AQ126-AL127*(1-AK127))</f>
        <v>287981.49351957586</v>
      </c>
    </row>
    <row r="128" spans="1:43">
      <c r="A128" s="10">
        <f>5</f>
        <v>5</v>
      </c>
      <c r="B128" s="11">
        <f>IF($A128&gt;'1-Input'!$B$26,0,IF(G127&lt;=0,0,MAX(0,(G127-H127)/G127)))</f>
        <v>0.27021377017201514</v>
      </c>
      <c r="C128" s="18">
        <f>IF($A128&gt;'1-Input'!$B$26,0,(MAX(0,B121-IF($A128&gt;='1-Input'!$C$12,'1-Input'!$B$12,0))-MIN(MAX(F127,0),MAX(0,B121-IF($A128&gt;='1-Input'!$C$12,'1-Input'!$B$12,0))))*(1/(1-'P-Parametri'!$B$6*B128))+MIN(MAX(0,G127-(MAX(0,B121-IF($A128&gt;='1-Input'!$C$12,'1-Input'!$B$12,0))-MIN(MAX(F127,0),MAX(0,B121-IF($A128&gt;='1-Input'!$C$12,'1-Input'!$B$12,0))))*(1/(1-'P-Parametri'!$B$6*B128))),MAX(0,0*B121-(F127-MIN(MAX(F127,0),MAX(0,B121-IF($A128&gt;='1-Input'!$C$12,'1-Input'!$B$12,0)))))*(1/(1-'P-Parametri'!$B$6*B128))))</f>
        <v>17941.549269009356</v>
      </c>
      <c r="D128" s="18">
        <f>IF($A128&gt;'1-Input'!$B$26,F127,(F127-MAX(0,B121-IF($A128&gt;='1-Input'!$C$12,'1-Input'!$B$12,0))+C128*(1-'P-Parametri'!$B$6*B128))*(1+'1-Input'!$B$27))</f>
        <v>0</v>
      </c>
      <c r="E128" s="18">
        <f>IF($A128&gt;'1-Input'!$B$26,G127,(G127-C128)*(1+$B$4))</f>
        <v>386662.66611730371</v>
      </c>
      <c r="F128" s="18">
        <f>IF($A128&gt;'1-Input'!$B$26,D128,D128-'P-Parametri'!$B$8*(E128+D128)+MIN(MAX(E128,0),'P-Parametri'!$B$8*(E128+D128)))</f>
        <v>0</v>
      </c>
      <c r="G128" s="18">
        <f>IF($A128&gt;'1-Input'!$B$26,E128,E128-MIN(MAX(E128,0),'P-Parametri'!$B$8*(E128+D128)))</f>
        <v>385889.3407850691</v>
      </c>
      <c r="H128" s="18">
        <f>IF($A128&gt;'1-Input'!$B$26,H127,H127-C128*(1-B128))</f>
        <v>276648.12678527844</v>
      </c>
      <c r="I128" s="11">
        <f>IF($A128&gt;'1-Input'!$B$26,0,IF(N127&lt;=0,0,MAX(0,(N127-O127)/N127)))</f>
        <v>0.27021377017201492</v>
      </c>
      <c r="J128" s="18">
        <f>IF($A128&gt;'1-Input'!$B$26,0,(MAX(0,I121-IF($A128&gt;='1-Input'!$C$12,'1-Input'!$B$12,0))-MIN(MAX(M127,0),MAX(0,I121-IF($A128&gt;='1-Input'!$C$12,'1-Input'!$B$12,0))))*(1/(1-'P-Parametri'!$B$6*I128))+MIN(MAX(0,N127-(MAX(0,I121-IF($A128&gt;='1-Input'!$C$12,'1-Input'!$B$12,0))-MIN(MAX(M127,0),MAX(0,I121-IF($A128&gt;='1-Input'!$C$12,'1-Input'!$B$12,0))))*(1/(1-'P-Parametri'!$B$6*I128))),MAX(0,0*I121-(M127-MIN(MAX(M127,0),MAX(0,I121-IF($A128&gt;='1-Input'!$C$12,'1-Input'!$B$12,0)))))*(1/(1-'P-Parametri'!$B$6*I128))))</f>
        <v>23607.301669749158</v>
      </c>
      <c r="K128" s="18">
        <f>IF($A128&gt;'1-Input'!$B$26,M127,(M127-MAX(0,I121-IF($A128&gt;='1-Input'!$C$12,'1-Input'!$B$12,0))+J128*(1-'P-Parametri'!$B$6*I128))*(1+'1-Input'!$B$27))</f>
        <v>-3.6248820833861826E-12</v>
      </c>
      <c r="L128" s="18">
        <f>IF($A128&gt;'1-Input'!$B$26,N127,(N127-J128)*(1+$B$4))</f>
        <v>356935.61460645427</v>
      </c>
      <c r="M128" s="18">
        <f>IF($A128&gt;'1-Input'!$B$26,K128,K128-'P-Parametri'!$B$8*(L128+K128)+MIN(MAX(L128,0),'P-Parametri'!$B$8*(L128+K128)))</f>
        <v>-3.637978807091713E-12</v>
      </c>
      <c r="N128" s="18">
        <f>IF($A128&gt;'1-Input'!$B$26,L128,L128-MIN(MAX(L128,0),'P-Parametri'!$B$8*(L128+K128)))</f>
        <v>356221.74337724136</v>
      </c>
      <c r="O128" s="18">
        <f>IF($A128&gt;'1-Input'!$B$26,O127,O127-J128*(1-I128))</f>
        <v>255379.11419115582</v>
      </c>
      <c r="P128" s="11">
        <f>IF($A128&gt;'1-Input'!$B$26,0,IF(U127&lt;=0,0,MAX(0,(U127-V127)/U127)))</f>
        <v>0.27021377017201487</v>
      </c>
      <c r="Q128" s="18">
        <f>IF($A128&gt;'1-Input'!$B$26,0,(MAX(0,P121-IF($A128&gt;='1-Input'!$C$12,'1-Input'!$B$12,0))-MIN(MAX(T127,0),MAX(0,P121-IF($A128&gt;='1-Input'!$C$12,'1-Input'!$B$12,0))))*(1/(1-'P-Parametri'!$B$6*P128))+MIN(MAX(0,U127-(MAX(0,P121-IF($A128&gt;='1-Input'!$C$12,'1-Input'!$B$12,0))-MIN(MAX(T127,0),MAX(0,P121-IF($A128&gt;='1-Input'!$C$12,'1-Input'!$B$12,0))))*(1/(1-'P-Parametri'!$B$6*P128))),MAX(0,0*P121-(T127-MIN(MAX(T127,0),MAX(0,P121-IF($A128&gt;='1-Input'!$C$12,'1-Input'!$B$12,0)))))*(1/(1-'P-Parametri'!$B$6*P128))))</f>
        <v>18608.485998495315</v>
      </c>
      <c r="R128" s="18">
        <f>IF($A128&gt;'1-Input'!$B$26,T127,(T127-MAX(0,P121-IF($A128&gt;='1-Input'!$C$12,'1-Input'!$B$12,0))+Q128*(1-'P-Parametri'!$B$6*P128))*(1+'1-Input'!$B$27))</f>
        <v>0</v>
      </c>
      <c r="S128" s="18">
        <f>IF($A128&gt;'1-Input'!$B$26,U127,(U127-Q128)*(1+$B$4))</f>
        <v>383163.38462570193</v>
      </c>
      <c r="T128" s="18">
        <f>IF($A128&gt;'1-Input'!$B$26,R128,R128-'P-Parametri'!$B$8*(S128+R128)+MIN(MAX(S128,0),'P-Parametri'!$B$8*(S128+R128)))</f>
        <v>0</v>
      </c>
      <c r="U128" s="18">
        <f>IF($A128&gt;'1-Input'!$B$26,S128,S128-MIN(MAX(S128,0),'P-Parametri'!$B$8*(S128+R128)))</f>
        <v>382397.05785645056</v>
      </c>
      <c r="V128" s="18">
        <f>IF($A128&gt;'1-Input'!$B$26,V127,V127-Q128*(1-P128))</f>
        <v>274144.47242560901</v>
      </c>
      <c r="W128" s="11">
        <f>IF($A128&gt;'1-Input'!$B$26,0,IF(AB127&lt;=0,0,MAX(0,(AB127-AC127)/AB127)))</f>
        <v>0.27021377017201492</v>
      </c>
      <c r="X128" s="18">
        <f>IF($A128&gt;'1-Input'!$B$26,0,(MAX(0,W121-IF($A128&gt;='1-Input'!$C$12,'1-Input'!$B$12,0))-MIN(MAX(AA127,0),MAX(0,W121-IF($A128&gt;='1-Input'!$C$12,'1-Input'!$B$12,0))))*(1/(1-'P-Parametri'!$B$6*W128))+MIN(MAX(0,AB127-(MAX(0,W121-IF($A128&gt;='1-Input'!$C$12,'1-Input'!$B$12,0))-MIN(MAX(AA127,0),MAX(0,W121-IF($A128&gt;='1-Input'!$C$12,'1-Input'!$B$12,0))))*(1/(1-'P-Parametri'!$B$6*W128))),MAX(0,0*W121-(AA127-MIN(MAX(AA127,0),MAX(0,W121-IF($A128&gt;='1-Input'!$C$12,'1-Input'!$B$12,0)))))*(1/(1-'P-Parametri'!$B$6*W128))))</f>
        <v>18509.247611111081</v>
      </c>
      <c r="Y128" s="18">
        <f>IF($A128&gt;'1-Input'!$B$26,AA127,(AA127-MAX(0,W121-IF($A128&gt;='1-Input'!$C$12,'1-Input'!$B$12,0))+X128*(1-'P-Parametri'!$B$6*W128))*(1+'1-Input'!$B$27))</f>
        <v>-3.6248820833861826E-12</v>
      </c>
      <c r="Z128" s="18">
        <f>IF($A128&gt;'1-Input'!$B$26,AB127,(AB127-X128)*(1+$B$4))</f>
        <v>383684.06827810442</v>
      </c>
      <c r="AA128" s="18">
        <f>IF($A128&gt;'1-Input'!$B$26,Y128,Y128-'P-Parametri'!$B$8*(Z128+Y128)+MIN(MAX(Z128,0),'P-Parametri'!$B$8*(Z128+Y128)))</f>
        <v>-3.637978807091713E-12</v>
      </c>
      <c r="AB128" s="18">
        <f>IF($A128&gt;'1-Input'!$B$26,Z128,Z128-MIN(MAX(Z128,0),'P-Parametri'!$B$8*(Z128+Y128)))</f>
        <v>382916.70014154818</v>
      </c>
      <c r="AC128" s="18">
        <f>IF($A128&gt;'1-Input'!$B$26,AC127,AC127-X128*(1-W128))</f>
        <v>274517.00944484409</v>
      </c>
      <c r="AD128" s="11">
        <f>IF($A128&gt;'1-Input'!$B$26,0,IF(AI127&lt;=0,0,MAX(0,(AI127-AJ127)/AI127)))</f>
        <v>0.27021377017201509</v>
      </c>
      <c r="AE128" s="18">
        <f>IF($A128&gt;'1-Input'!$B$26,0,(MAX(0,AD121-IF($A128&gt;='1-Input'!$C$12,'1-Input'!$B$12,0))-MIN(MAX(AH127,0),MAX(0,AD121-IF($A128&gt;='1-Input'!$C$12,'1-Input'!$B$12,0))))*(1/(1-'P-Parametri'!$B$6*AD128))+MIN(MAX(0,AI127-(MAX(0,AD121-IF($A128&gt;='1-Input'!$C$12,'1-Input'!$B$12,0))-MIN(MAX(AH127,0),MAX(0,AD121-IF($A128&gt;='1-Input'!$C$12,'1-Input'!$B$12,0))))*(1/(1-'P-Parametri'!$B$6*AD128))),MAX(0,0*AD121-(AH127-MIN(MAX(AH127,0),MAX(0,AD121-IF($A128&gt;='1-Input'!$C$12,'1-Input'!$B$12,0)))))*(1/(1-'P-Parametri'!$B$6*AD128))))</f>
        <v>18523.568859728057</v>
      </c>
      <c r="AF128" s="18">
        <f>IF($A128&gt;'1-Input'!$B$26,AH127,(AH127-MAX(0,AD121-IF($A128&gt;='1-Input'!$C$12,'1-Input'!$B$12,0))+AE128*(1-'P-Parametri'!$B$6*AD128))*(1+'1-Input'!$B$27))</f>
        <v>-3.6248820833861826E-12</v>
      </c>
      <c r="AG128" s="18">
        <f>IF($A128&gt;'1-Input'!$B$26,AI127,(AI127-AE128)*(1+$B$4))</f>
        <v>383608.92759682774</v>
      </c>
      <c r="AH128" s="18">
        <f>IF($A128&gt;'1-Input'!$B$26,AF128,AF128-'P-Parametri'!$B$8*(AG128+AF128)+MIN(MAX(AG128,0),'P-Parametri'!$B$8*(AG128+AF128)))</f>
        <v>-3.637978807091713E-12</v>
      </c>
      <c r="AI128" s="18">
        <f>IF($A128&gt;'1-Input'!$B$26,AG128,AG128-MIN(MAX(AG128,0),'P-Parametri'!$B$8*(AG128+AF128)))</f>
        <v>382841.70974163408</v>
      </c>
      <c r="AJ128" s="18">
        <f>IF($A128&gt;'1-Input'!$B$26,AJ127,AJ127-AE128*(1-AD128))</f>
        <v>274463.24803847587</v>
      </c>
      <c r="AK128" s="11">
        <f>IF($A128&gt;'1-Input'!$B$26,0,IF(AP127&lt;=0,0,MAX(0,(AP127-AQ127)/AP127)))</f>
        <v>0.27021377017201509</v>
      </c>
      <c r="AL128" s="18">
        <f>IF($A128&gt;'1-Input'!$B$26,0,(MAX(0,AK121-IF($A128&gt;='1-Input'!$C$12,'1-Input'!$B$12,0))-MIN(MAX(AO127,0),MAX(0,AK121-IF($A128&gt;='1-Input'!$C$12,'1-Input'!$B$12,0))))*(1/(1-'P-Parametri'!$B$6*AK128))+MIN(MAX(0,AP127-(MAX(0,AK121-IF($A128&gt;='1-Input'!$C$12,'1-Input'!$B$12,0))-MIN(MAX(AO127,0),MAX(0,AK121-IF($A128&gt;='1-Input'!$C$12,'1-Input'!$B$12,0))))*(1/(1-'P-Parametri'!$B$6*AK128))),MAX(0,0*AK121-(AO127-MIN(MAX(AO127,0),MAX(0,AK121-IF($A128&gt;='1-Input'!$C$12,'1-Input'!$B$12,0)))))*(1/(1-'P-Parametri'!$B$6*AK128))))</f>
        <v>18523.568859728057</v>
      </c>
      <c r="AM128" s="18">
        <f>IF($A128&gt;'1-Input'!$B$26,AO127,(AO127-MAX(0,AK121-IF($A128&gt;='1-Input'!$C$12,'1-Input'!$B$12,0))+AL128*(1-'P-Parametri'!$B$6*AK128))*(1+'1-Input'!$B$27))</f>
        <v>-3.6248820833861826E-12</v>
      </c>
      <c r="AN128" s="18">
        <f>IF($A128&gt;'1-Input'!$B$26,AP127,(AP127-AL128)*(1+$B$4))</f>
        <v>383608.92759682774</v>
      </c>
      <c r="AO128" s="18">
        <f>IF($A128&gt;'1-Input'!$B$26,AM128,AM128-'P-Parametri'!$B$8*(AN128+AM128)+MIN(MAX(AN128,0),'P-Parametri'!$B$8*(AN128+AM128)))</f>
        <v>-3.637978807091713E-12</v>
      </c>
      <c r="AP128" s="18">
        <f>IF($A128&gt;'1-Input'!$B$26,AN128,AN128-MIN(MAX(AN128,0),'P-Parametri'!$B$8*(AN128+AM128)))</f>
        <v>382841.70974163408</v>
      </c>
      <c r="AQ128" s="18">
        <f>IF($A128&gt;'1-Input'!$B$26,AQ127,AQ127-AL128*(1-AK128))</f>
        <v>274463.24803847587</v>
      </c>
    </row>
    <row r="129" spans="1:43">
      <c r="A129" s="10">
        <f>6</f>
        <v>6</v>
      </c>
      <c r="B129" s="11">
        <f>IF($A129&gt;'1-Input'!$B$26,0,IF(G128&lt;=0,0,MAX(0,(G128-H128)/G128)))</f>
        <v>0.28308948305632348</v>
      </c>
      <c r="C129" s="18">
        <f>IF($A129&gt;'1-Input'!$B$26,0,(MAX(0,B121-IF($A129&gt;='1-Input'!$C$12,'1-Input'!$B$12,0))-MIN(MAX(F128,0),MAX(0,B121-IF($A129&gt;='1-Input'!$C$12,'1-Input'!$B$12,0))))*(1/(1-'P-Parametri'!$B$6*B129))+MIN(MAX(0,G128-(MAX(0,B121-IF($A129&gt;='1-Input'!$C$12,'1-Input'!$B$12,0))-MIN(MAX(F128,0),MAX(0,B121-IF($A129&gt;='1-Input'!$C$12,'1-Input'!$B$12,0))))*(1/(1-'P-Parametri'!$B$6*B129))),MAX(0,0*B121-(F128-MIN(MAX(F128,0),MAX(0,B121-IF($A129&gt;='1-Input'!$C$12,'1-Input'!$B$12,0)))))*(1/(1-'P-Parametri'!$B$6*B129))))</f>
        <v>18006.383976874866</v>
      </c>
      <c r="D129" s="18">
        <f>IF($A129&gt;'1-Input'!$B$26,F128,(F128-MAX(0,B121-IF($A129&gt;='1-Input'!$C$12,'1-Input'!$B$12,0))+C129*(1-'P-Parametri'!$B$6*B129))*(1+'1-Input'!$B$27))</f>
        <v>-3.6248820833861826E-12</v>
      </c>
      <c r="E129" s="18">
        <f>IF($A129&gt;'1-Input'!$B$26,G128,(G128-C129)*(1+$B$4))</f>
        <v>375240.61594435811</v>
      </c>
      <c r="F129" s="18">
        <f>IF($A129&gt;'1-Input'!$B$26,D129,D129-'P-Parametri'!$B$8*(E129+D129)+MIN(MAX(E129,0),'P-Parametri'!$B$8*(E129+D129)))</f>
        <v>-3.637978807091713E-12</v>
      </c>
      <c r="G129" s="18">
        <f>IF($A129&gt;'1-Input'!$B$26,E129,E129-MIN(MAX(E129,0),'P-Parametri'!$B$8*(E129+D129)))</f>
        <v>374490.13471246941</v>
      </c>
      <c r="H129" s="18">
        <f>IF($A129&gt;'1-Input'!$B$26,H128,H128-C129*(1-B129))</f>
        <v>263739.16074013076</v>
      </c>
      <c r="I129" s="11">
        <f>IF($A129&gt;'1-Input'!$B$26,0,IF(N128&lt;=0,0,MAX(0,(N128-O128)/N128)))</f>
        <v>0.28308948305632337</v>
      </c>
      <c r="J129" s="18">
        <f>IF($A129&gt;'1-Input'!$B$26,0,(MAX(0,I121-IF($A129&gt;='1-Input'!$C$12,'1-Input'!$B$12,0))-MIN(MAX(M128,0),MAX(0,I121-IF($A129&gt;='1-Input'!$C$12,'1-Input'!$B$12,0))))*(1/(1-'P-Parametri'!$B$6*I129))+MIN(MAX(0,N128-(MAX(0,I121-IF($A129&gt;='1-Input'!$C$12,'1-Input'!$B$12,0))-MIN(MAX(M128,0),MAX(0,I121-IF($A129&gt;='1-Input'!$C$12,'1-Input'!$B$12,0))))*(1/(1-'P-Parametri'!$B$6*I129))),MAX(0,0*I121-(M128-MIN(MAX(M128,0),MAX(0,I121-IF($A129&gt;='1-Input'!$C$12,'1-Input'!$B$12,0)))))*(1/(1-'P-Parametri'!$B$6*I129))))</f>
        <v>23692.610495887988</v>
      </c>
      <c r="K129" s="18">
        <f>IF($A129&gt;'1-Input'!$B$26,M128,(M128-MAX(0,I121-IF($A129&gt;='1-Input'!$C$12,'1-Input'!$B$12,0))+J129*(1-'P-Parametri'!$B$6*I129))*(1+'1-Input'!$B$27))</f>
        <v>0</v>
      </c>
      <c r="L129" s="18">
        <f>IF($A129&gt;'1-Input'!$B$26,N128,(N128-J129)*(1+$B$4))</f>
        <v>339179.71553898044</v>
      </c>
      <c r="M129" s="18">
        <f>IF($A129&gt;'1-Input'!$B$26,K129,K129-'P-Parametri'!$B$8*(L129+K129)+MIN(MAX(L129,0),'P-Parametri'!$B$8*(L129+K129)))</f>
        <v>0</v>
      </c>
      <c r="N129" s="18">
        <f>IF($A129&gt;'1-Input'!$B$26,L129,L129-MIN(MAX(L129,0),'P-Parametri'!$B$8*(L129+K129)))</f>
        <v>338501.35610790248</v>
      </c>
      <c r="O129" s="18">
        <f>IF($A129&gt;'1-Input'!$B$26,O128,O128-J129*(1-I129))</f>
        <v>238393.63255280358</v>
      </c>
      <c r="P129" s="11">
        <f>IF($A129&gt;'1-Input'!$B$26,0,IF(U128&lt;=0,0,MAX(0,(U128-V128)/U128)))</f>
        <v>0.28308948305632331</v>
      </c>
      <c r="Q129" s="18">
        <f>IF($A129&gt;'1-Input'!$B$26,0,(MAX(0,P121-IF($A129&gt;='1-Input'!$C$12,'1-Input'!$B$12,0))-MIN(MAX(T128,0),MAX(0,P121-IF($A129&gt;='1-Input'!$C$12,'1-Input'!$B$12,0))))*(1/(1-'P-Parametri'!$B$6*P129))+MIN(MAX(0,U128-(MAX(0,P121-IF($A129&gt;='1-Input'!$C$12,'1-Input'!$B$12,0))-MIN(MAX(T128,0),MAX(0,P121-IF($A129&gt;='1-Input'!$C$12,'1-Input'!$B$12,0))))*(1/(1-'P-Parametri'!$B$6*P129))),MAX(0,0*P121-(T128-MIN(MAX(T128,0),MAX(0,P121-IF($A129&gt;='1-Input'!$C$12,'1-Input'!$B$12,0)))))*(1/(1-'P-Parametri'!$B$6*P129))))</f>
        <v>18675.730790761714</v>
      </c>
      <c r="R129" s="18">
        <f>IF($A129&gt;'1-Input'!$B$26,T128,(T128-MAX(0,P121-IF($A129&gt;='1-Input'!$C$12,'1-Input'!$B$12,0))+Q129*(1-'P-Parametri'!$B$6*P129))*(1+'1-Input'!$B$27))</f>
        <v>0</v>
      </c>
      <c r="S129" s="18">
        <f>IF($A129&gt;'1-Input'!$B$26,U128,(U128-Q129)*(1+$B$4))</f>
        <v>370995.75360700261</v>
      </c>
      <c r="T129" s="18">
        <f>IF($A129&gt;'1-Input'!$B$26,R129,R129-'P-Parametri'!$B$8*(S129+R129)+MIN(MAX(S129,0),'P-Parametri'!$B$8*(S129+R129)))</f>
        <v>0</v>
      </c>
      <c r="U129" s="18">
        <f>IF($A129&gt;'1-Input'!$B$26,S129,S129-MIN(MAX(S129,0),'P-Parametri'!$B$8*(S129+R129)))</f>
        <v>370253.76209978858</v>
      </c>
      <c r="V129" s="18">
        <f>IF($A129&gt;'1-Input'!$B$26,V128,V128-Q129*(1-P129))</f>
        <v>260755.6446101031</v>
      </c>
      <c r="W129" s="11">
        <f>IF($A129&gt;'1-Input'!$B$26,0,IF(AB128&lt;=0,0,MAX(0,(AB128-AC128)/AB128)))</f>
        <v>0.28308948305632342</v>
      </c>
      <c r="X129" s="18">
        <f>IF($A129&gt;'1-Input'!$B$26,0,(MAX(0,W121-IF($A129&gt;='1-Input'!$C$12,'1-Input'!$B$12,0))-MIN(MAX(AA128,0),MAX(0,W121-IF($A129&gt;='1-Input'!$C$12,'1-Input'!$B$12,0))))*(1/(1-'P-Parametri'!$B$6*W129))+MIN(MAX(0,AB128-(MAX(0,W121-IF($A129&gt;='1-Input'!$C$12,'1-Input'!$B$12,0))-MIN(MAX(AA128,0),MAX(0,W121-IF($A129&gt;='1-Input'!$C$12,'1-Input'!$B$12,0))))*(1/(1-'P-Parametri'!$B$6*W129))),MAX(0,0*W121-(AA128-MIN(MAX(AA128,0),MAX(0,W121-IF($A129&gt;='1-Input'!$C$12,'1-Input'!$B$12,0)))))*(1/(1-'P-Parametri'!$B$6*W129))))</f>
        <v>18576.133789315863</v>
      </c>
      <c r="Y129" s="18">
        <f>IF($A129&gt;'1-Input'!$B$26,AA128,(AA128-MAX(0,W121-IF($A129&gt;='1-Input'!$C$12,'1-Input'!$B$12,0))+X129*(1-'P-Parametri'!$B$6*W129))*(1+'1-Input'!$B$27))</f>
        <v>0</v>
      </c>
      <c r="Z129" s="18">
        <f>IF($A129&gt;'1-Input'!$B$26,AB128,(AB128-X129)*(1+$B$4))</f>
        <v>371627.37767927698</v>
      </c>
      <c r="AA129" s="18">
        <f>IF($A129&gt;'1-Input'!$B$26,Y129,Y129-'P-Parametri'!$B$8*(Z129+Y129)+MIN(MAX(Z129,0),'P-Parametri'!$B$8*(Z129+Y129)))</f>
        <v>0</v>
      </c>
      <c r="AB129" s="18">
        <f>IF($A129&gt;'1-Input'!$B$26,Z129,Z129-MIN(MAX(Z129,0),'P-Parametri'!$B$8*(Z129+Y129)))</f>
        <v>370884.12292391842</v>
      </c>
      <c r="AC129" s="18">
        <f>IF($A129&gt;'1-Input'!$B$26,AC128,AC128-X129*(1-W129))</f>
        <v>261199.58376713077</v>
      </c>
      <c r="AD129" s="11">
        <f>IF($A129&gt;'1-Input'!$B$26,0,IF(AI128&lt;=0,0,MAX(0,(AI128-AJ128)/AI128)))</f>
        <v>0.28308948305632342</v>
      </c>
      <c r="AE129" s="18">
        <f>IF($A129&gt;'1-Input'!$B$26,0,(MAX(0,AD121-IF($A129&gt;='1-Input'!$C$12,'1-Input'!$B$12,0))-MIN(MAX(AH128,0),MAX(0,AD121-IF($A129&gt;='1-Input'!$C$12,'1-Input'!$B$12,0))))*(1/(1-'P-Parametri'!$B$6*AD129))+MIN(MAX(0,AI128-(MAX(0,AD121-IF($A129&gt;='1-Input'!$C$12,'1-Input'!$B$12,0))-MIN(MAX(AH128,0),MAX(0,AD121-IF($A129&gt;='1-Input'!$C$12,'1-Input'!$B$12,0))))*(1/(1-'P-Parametri'!$B$6*AD129))),MAX(0,0*AD121-(AH128-MIN(MAX(AH128,0),MAX(0,AD121-IF($A129&gt;='1-Input'!$C$12,'1-Input'!$B$12,0)))))*(1/(1-'P-Parametri'!$B$6*AD129))))</f>
        <v>18590.506790095176</v>
      </c>
      <c r="AF129" s="18">
        <f>IF($A129&gt;'1-Input'!$B$26,AH128,(AH128-MAX(0,AD121-IF($A129&gt;='1-Input'!$C$12,'1-Input'!$B$12,0))+AE129*(1-'P-Parametri'!$B$6*AD129))*(1+'1-Input'!$B$27))</f>
        <v>0</v>
      </c>
      <c r="AG129" s="18">
        <f>IF($A129&gt;'1-Input'!$B$26,AI128,(AI128-AE129)*(1+$B$4))</f>
        <v>371536.22701056971</v>
      </c>
      <c r="AH129" s="18">
        <f>IF($A129&gt;'1-Input'!$B$26,AF129,AF129-'P-Parametri'!$B$8*(AG129+AF129)+MIN(MAX(AG129,0),'P-Parametri'!$B$8*(AG129+AF129)))</f>
        <v>0</v>
      </c>
      <c r="AI129" s="18">
        <f>IF($A129&gt;'1-Input'!$B$26,AG129,AG129-MIN(MAX(AG129,0),'P-Parametri'!$B$8*(AG129+AF129)))</f>
        <v>370793.15455654857</v>
      </c>
      <c r="AJ129" s="18">
        <f>IF($A129&gt;'1-Input'!$B$26,AJ128,AJ128-AE129*(1-AD129))</f>
        <v>261135.5182053438</v>
      </c>
      <c r="AK129" s="11">
        <f>IF($A129&gt;'1-Input'!$B$26,0,IF(AP128&lt;=0,0,MAX(0,(AP128-AQ128)/AP128)))</f>
        <v>0.28308948305632342</v>
      </c>
      <c r="AL129" s="18">
        <f>IF($A129&gt;'1-Input'!$B$26,0,(MAX(0,AK121-IF($A129&gt;='1-Input'!$C$12,'1-Input'!$B$12,0))-MIN(MAX(AO128,0),MAX(0,AK121-IF($A129&gt;='1-Input'!$C$12,'1-Input'!$B$12,0))))*(1/(1-'P-Parametri'!$B$6*AK129))+MIN(MAX(0,AP128-(MAX(0,AK121-IF($A129&gt;='1-Input'!$C$12,'1-Input'!$B$12,0))-MIN(MAX(AO128,0),MAX(0,AK121-IF($A129&gt;='1-Input'!$C$12,'1-Input'!$B$12,0))))*(1/(1-'P-Parametri'!$B$6*AK129))),MAX(0,0*AK121-(AO128-MIN(MAX(AO128,0),MAX(0,AK121-IF($A129&gt;='1-Input'!$C$12,'1-Input'!$B$12,0)))))*(1/(1-'P-Parametri'!$B$6*AK129))))</f>
        <v>18590.506790095176</v>
      </c>
      <c r="AM129" s="18">
        <f>IF($A129&gt;'1-Input'!$B$26,AO128,(AO128-MAX(0,AK121-IF($A129&gt;='1-Input'!$C$12,'1-Input'!$B$12,0))+AL129*(1-'P-Parametri'!$B$6*AK129))*(1+'1-Input'!$B$27))</f>
        <v>0</v>
      </c>
      <c r="AN129" s="18">
        <f>IF($A129&gt;'1-Input'!$B$26,AP128,(AP128-AL129)*(1+$B$4))</f>
        <v>371536.22701056971</v>
      </c>
      <c r="AO129" s="18">
        <f>IF($A129&gt;'1-Input'!$B$26,AM129,AM129-'P-Parametri'!$B$8*(AN129+AM129)+MIN(MAX(AN129,0),'P-Parametri'!$B$8*(AN129+AM129)))</f>
        <v>0</v>
      </c>
      <c r="AP129" s="18">
        <f>IF($A129&gt;'1-Input'!$B$26,AN129,AN129-MIN(MAX(AN129,0),'P-Parametri'!$B$8*(AN129+AM129)))</f>
        <v>370793.15455654857</v>
      </c>
      <c r="AQ129" s="18">
        <f>IF($A129&gt;'1-Input'!$B$26,AQ128,AQ128-AL129*(1-AK129))</f>
        <v>261135.5182053438</v>
      </c>
    </row>
    <row r="130" spans="1:43">
      <c r="A130" s="10">
        <f>7</f>
        <v>7</v>
      </c>
      <c r="B130" s="11">
        <f>IF($A130&gt;'1-Input'!$B$26,0,IF(G129&lt;=0,0,MAX(0,(G129-H129)/G129)))</f>
        <v>0.29573802807214772</v>
      </c>
      <c r="C130" s="18">
        <f>IF($A130&gt;'1-Input'!$B$26,0,(MAX(0,B121-IF($A130&gt;='1-Input'!$C$12,'1-Input'!$B$12,0))-MIN(MAX(F129,0),MAX(0,B121-IF($A130&gt;='1-Input'!$C$12,'1-Input'!$B$12,0))))*(1/(1-'P-Parametri'!$B$6*B130))+MIN(MAX(0,G129-(MAX(0,B121-IF($A130&gt;='1-Input'!$C$12,'1-Input'!$B$12,0))-MIN(MAX(F129,0),MAX(0,B121-IF($A130&gt;='1-Input'!$C$12,'1-Input'!$B$12,0))))*(1/(1-'P-Parametri'!$B$6*B130))),MAX(0,0*B121-(F129-MIN(MAX(F129,0),MAX(0,B121-IF($A130&gt;='1-Input'!$C$12,'1-Input'!$B$12,0)))))*(1/(1-'P-Parametri'!$B$6*B130))))</f>
        <v>18070.532676625422</v>
      </c>
      <c r="D130" s="18">
        <f>IF($A130&gt;'1-Input'!$B$26,F129,(F129-MAX(0,B121-IF($A130&gt;='1-Input'!$C$12,'1-Input'!$B$12,0))+C130*(1-'P-Parametri'!$B$6*B130))*(1+'1-Input'!$B$27))</f>
        <v>3.6248820833861826E-12</v>
      </c>
      <c r="E130" s="18">
        <f>IF($A130&gt;'1-Input'!$B$26,G129,(G129-C130)*(1+$B$4))</f>
        <v>363547.99407656089</v>
      </c>
      <c r="F130" s="18">
        <f>IF($A130&gt;'1-Input'!$B$26,D130,D130-'P-Parametri'!$B$8*(E130+D130)+MIN(MAX(E130,0),'P-Parametri'!$B$8*(E130+D130)))</f>
        <v>3.637978807091713E-12</v>
      </c>
      <c r="G130" s="18">
        <f>IF($A130&gt;'1-Input'!$B$26,E130,E130-MIN(MAX(E130,0),'P-Parametri'!$B$8*(E130+D130)))</f>
        <v>362820.89808840776</v>
      </c>
      <c r="H130" s="18">
        <f>IF($A130&gt;'1-Input'!$B$26,H129,H129-C130*(1-B130))</f>
        <v>251012.77176350384</v>
      </c>
      <c r="I130" s="11">
        <f>IF($A130&gt;'1-Input'!$B$26,0,IF(N129&lt;=0,0,MAX(0,(N129-O129)/N129)))</f>
        <v>0.29573802807214761</v>
      </c>
      <c r="J130" s="18">
        <f>IF($A130&gt;'1-Input'!$B$26,0,(MAX(0,I121-IF($A130&gt;='1-Input'!$C$12,'1-Input'!$B$12,0))-MIN(MAX(M129,0),MAX(0,I121-IF($A130&gt;='1-Input'!$C$12,'1-Input'!$B$12,0))))*(1/(1-'P-Parametri'!$B$6*I130))+MIN(MAX(0,N129-(MAX(0,I121-IF($A130&gt;='1-Input'!$C$12,'1-Input'!$B$12,0))-MIN(MAX(M129,0),MAX(0,I121-IF($A130&gt;='1-Input'!$C$12,'1-Input'!$B$12,0))))*(1/(1-'P-Parametri'!$B$6*I130))),MAX(0,0*I121-(M129-MIN(MAX(M129,0),MAX(0,I121-IF($A130&gt;='1-Input'!$C$12,'1-Input'!$B$12,0)))))*(1/(1-'P-Parametri'!$B$6*I130))))</f>
        <v>23777.016679770288</v>
      </c>
      <c r="K130" s="18">
        <f>IF($A130&gt;'1-Input'!$B$26,M129,(M129-MAX(0,I121-IF($A130&gt;='1-Input'!$C$12,'1-Input'!$B$12,0))+J130*(1-'P-Parametri'!$B$6*I130))*(1+'1-Input'!$B$27))</f>
        <v>0</v>
      </c>
      <c r="L130" s="18">
        <f>IF($A130&gt;'1-Input'!$B$26,N129,(N129-J130)*(1+$B$4))</f>
        <v>321018.82621669484</v>
      </c>
      <c r="M130" s="18">
        <f>IF($A130&gt;'1-Input'!$B$26,K130,K130-'P-Parametri'!$B$8*(L130+K130)+MIN(MAX(L130,0),'P-Parametri'!$B$8*(L130+K130)))</f>
        <v>0</v>
      </c>
      <c r="N130" s="18">
        <f>IF($A130&gt;'1-Input'!$B$26,L130,L130-MIN(MAX(L130,0),'P-Parametri'!$B$8*(L130+K130)))</f>
        <v>320376.78856426146</v>
      </c>
      <c r="O130" s="18">
        <f>IF($A130&gt;'1-Input'!$B$26,O129,O129-J130*(1-I130))</f>
        <v>221648.38389934713</v>
      </c>
      <c r="P130" s="11">
        <f>IF($A130&gt;'1-Input'!$B$26,0,IF(U129&lt;=0,0,MAX(0,(U129-V129)/U129)))</f>
        <v>0.29573802807214744</v>
      </c>
      <c r="Q130" s="18">
        <f>IF($A130&gt;'1-Input'!$B$26,0,(MAX(0,P121-IF($A130&gt;='1-Input'!$C$12,'1-Input'!$B$12,0))-MIN(MAX(T129,0),MAX(0,P121-IF($A130&gt;='1-Input'!$C$12,'1-Input'!$B$12,0))))*(1/(1-'P-Parametri'!$B$6*P130))+MIN(MAX(0,U129-(MAX(0,P121-IF($A130&gt;='1-Input'!$C$12,'1-Input'!$B$12,0))-MIN(MAX(T129,0),MAX(0,P121-IF($A130&gt;='1-Input'!$C$12,'1-Input'!$B$12,0))))*(1/(1-'P-Parametri'!$B$6*P130))),MAX(0,0*P121-(T129-MIN(MAX(T129,0),MAX(0,P121-IF($A130&gt;='1-Input'!$C$12,'1-Input'!$B$12,0)))))*(1/(1-'P-Parametri'!$B$6*P130))))</f>
        <v>18742.264074104842</v>
      </c>
      <c r="R130" s="18">
        <f>IF($A130&gt;'1-Input'!$B$26,T129,(T129-MAX(0,P121-IF($A130&gt;='1-Input'!$C$12,'1-Input'!$B$12,0))+Q130*(1-'P-Parametri'!$B$6*P130))*(1+'1-Input'!$B$27))</f>
        <v>0</v>
      </c>
      <c r="S130" s="18">
        <f>IF($A130&gt;'1-Input'!$B$26,U129,(U129-Q130)*(1+$B$4))</f>
        <v>358541.72798619745</v>
      </c>
      <c r="T130" s="18">
        <f>IF($A130&gt;'1-Input'!$B$26,R130,R130-'P-Parametri'!$B$8*(S130+R130)+MIN(MAX(S130,0),'P-Parametri'!$B$8*(S130+R130)))</f>
        <v>0</v>
      </c>
      <c r="U130" s="18">
        <f>IF($A130&gt;'1-Input'!$B$26,S130,S130-MIN(MAX(S130,0),'P-Parametri'!$B$8*(S130+R130)))</f>
        <v>357824.64453022508</v>
      </c>
      <c r="V130" s="18">
        <f>IF($A130&gt;'1-Input'!$B$26,V129,V129-Q130*(1-P130))</f>
        <v>247556.18075488147</v>
      </c>
      <c r="W130" s="11">
        <f>IF($A130&gt;'1-Input'!$B$26,0,IF(AB129&lt;=0,0,MAX(0,(AB129-AC129)/AB129)))</f>
        <v>0.29573802807214766</v>
      </c>
      <c r="X130" s="18">
        <f>IF($A130&gt;'1-Input'!$B$26,0,(MAX(0,W121-IF($A130&gt;='1-Input'!$C$12,'1-Input'!$B$12,0))-MIN(MAX(AA129,0),MAX(0,W121-IF($A130&gt;='1-Input'!$C$12,'1-Input'!$B$12,0))))*(1/(1-'P-Parametri'!$B$6*W130))+MIN(MAX(0,AB129-(MAX(0,W121-IF($A130&gt;='1-Input'!$C$12,'1-Input'!$B$12,0))-MIN(MAX(AA129,0),MAX(0,W121-IF($A130&gt;='1-Input'!$C$12,'1-Input'!$B$12,0))))*(1/(1-'P-Parametri'!$B$6*W130))),MAX(0,0*W121-(AA129-MIN(MAX(AA129,0),MAX(0,W121-IF($A130&gt;='1-Input'!$C$12,'1-Input'!$B$12,0)))))*(1/(1-'P-Parametri'!$B$6*W130))))</f>
        <v>18642.312253048902</v>
      </c>
      <c r="Y130" s="18">
        <f>IF($A130&gt;'1-Input'!$B$26,AA129,(AA129-MAX(0,W121-IF($A130&gt;='1-Input'!$C$12,'1-Input'!$B$12,0))+X130*(1-'P-Parametri'!$B$6*W130))*(1+'1-Input'!$B$27))</f>
        <v>0</v>
      </c>
      <c r="Z130" s="18">
        <f>IF($A130&gt;'1-Input'!$B$26,AB129,(AB129-X130)*(1+$B$4))</f>
        <v>359286.64688428695</v>
      </c>
      <c r="AA130" s="18">
        <f>IF($A130&gt;'1-Input'!$B$26,Y130,Y130-'P-Parametri'!$B$8*(Z130+Y130)+MIN(MAX(Z130,0),'P-Parametri'!$B$8*(Z130+Y130)))</f>
        <v>0</v>
      </c>
      <c r="AB130" s="18">
        <f>IF($A130&gt;'1-Input'!$B$26,Z130,Z130-MIN(MAX(Z130,0),'P-Parametri'!$B$8*(Z130+Y130)))</f>
        <v>358568.07359051838</v>
      </c>
      <c r="AC130" s="18">
        <f>IF($A130&gt;'1-Input'!$B$26,AC129,AC129-X130*(1-W130))</f>
        <v>248070.51217850379</v>
      </c>
      <c r="AD130" s="11">
        <f>IF($A130&gt;'1-Input'!$B$26,0,IF(AI129&lt;=0,0,MAX(0,(AI129-AJ129)/AI129)))</f>
        <v>0.29573802807214772</v>
      </c>
      <c r="AE130" s="18">
        <f>IF($A130&gt;'1-Input'!$B$26,0,(MAX(0,AD121-IF($A130&gt;='1-Input'!$C$12,'1-Input'!$B$12,0))-MIN(MAX(AH129,0),MAX(0,AD121-IF($A130&gt;='1-Input'!$C$12,'1-Input'!$B$12,0))))*(1/(1-'P-Parametri'!$B$6*AD130))+MIN(MAX(0,AI129-(MAX(0,AD121-IF($A130&gt;='1-Input'!$C$12,'1-Input'!$B$12,0))-MIN(MAX(AH129,0),MAX(0,AD121-IF($A130&gt;='1-Input'!$C$12,'1-Input'!$B$12,0))))*(1/(1-'P-Parametri'!$B$6*AD130))),MAX(0,0*AD121-(AH129-MIN(MAX(AH129,0),MAX(0,AD121-IF($A130&gt;='1-Input'!$C$12,'1-Input'!$B$12,0)))))*(1/(1-'P-Parametri'!$B$6*AD130))))</f>
        <v>18656.736458407253</v>
      </c>
      <c r="AF130" s="18">
        <f>IF($A130&gt;'1-Input'!$B$26,AH129,(AH129-MAX(0,AD121-IF($A130&gt;='1-Input'!$C$12,'1-Input'!$B$12,0))+AE130*(1-'P-Parametri'!$B$6*AD130))*(1+'1-Input'!$B$27))</f>
        <v>3.6248820833861826E-12</v>
      </c>
      <c r="AG130" s="18">
        <f>IF($A130&gt;'1-Input'!$B$26,AI129,(AI129-AE130)*(1+$B$4))</f>
        <v>359179.14646010415</v>
      </c>
      <c r="AH130" s="18">
        <f>IF($A130&gt;'1-Input'!$B$26,AF130,AF130-'P-Parametri'!$B$8*(AG130+AF130)+MIN(MAX(AG130,0),'P-Parametri'!$B$8*(AG130+AF130)))</f>
        <v>3.637978807091713E-12</v>
      </c>
      <c r="AI130" s="18">
        <f>IF($A130&gt;'1-Input'!$B$26,AG130,AG130-MIN(MAX(AG130,0),'P-Parametri'!$B$8*(AG130+AF130)))</f>
        <v>358460.78816718393</v>
      </c>
      <c r="AJ130" s="18">
        <f>IF($A130&gt;'1-Input'!$B$26,AJ129,AJ129-AE130*(1-AD130))</f>
        <v>247996.28819740764</v>
      </c>
      <c r="AK130" s="11">
        <f>IF($A130&gt;'1-Input'!$B$26,0,IF(AP129&lt;=0,0,MAX(0,(AP129-AQ129)/AP129)))</f>
        <v>0.29573802807214772</v>
      </c>
      <c r="AL130" s="18">
        <f>IF($A130&gt;'1-Input'!$B$26,0,(MAX(0,AK121-IF($A130&gt;='1-Input'!$C$12,'1-Input'!$B$12,0))-MIN(MAX(AO129,0),MAX(0,AK121-IF($A130&gt;='1-Input'!$C$12,'1-Input'!$B$12,0))))*(1/(1-'P-Parametri'!$B$6*AK130))+MIN(MAX(0,AP129-(MAX(0,AK121-IF($A130&gt;='1-Input'!$C$12,'1-Input'!$B$12,0))-MIN(MAX(AO129,0),MAX(0,AK121-IF($A130&gt;='1-Input'!$C$12,'1-Input'!$B$12,0))))*(1/(1-'P-Parametri'!$B$6*AK130))),MAX(0,0*AK121-(AO129-MIN(MAX(AO129,0),MAX(0,AK121-IF($A130&gt;='1-Input'!$C$12,'1-Input'!$B$12,0)))))*(1/(1-'P-Parametri'!$B$6*AK130))))</f>
        <v>18656.736458407253</v>
      </c>
      <c r="AM130" s="18">
        <f>IF($A130&gt;'1-Input'!$B$26,AO129,(AO129-MAX(0,AK121-IF($A130&gt;='1-Input'!$C$12,'1-Input'!$B$12,0))+AL130*(1-'P-Parametri'!$B$6*AK130))*(1+'1-Input'!$B$27))</f>
        <v>3.6248820833861826E-12</v>
      </c>
      <c r="AN130" s="18">
        <f>IF($A130&gt;'1-Input'!$B$26,AP129,(AP129-AL130)*(1+$B$4))</f>
        <v>359179.14646010415</v>
      </c>
      <c r="AO130" s="18">
        <f>IF($A130&gt;'1-Input'!$B$26,AM130,AM130-'P-Parametri'!$B$8*(AN130+AM130)+MIN(MAX(AN130,0),'P-Parametri'!$B$8*(AN130+AM130)))</f>
        <v>3.637978807091713E-12</v>
      </c>
      <c r="AP130" s="18">
        <f>IF($A130&gt;'1-Input'!$B$26,AN130,AN130-MIN(MAX(AN130,0),'P-Parametri'!$B$8*(AN130+AM130)))</f>
        <v>358460.78816718393</v>
      </c>
      <c r="AQ130" s="18">
        <f>IF($A130&gt;'1-Input'!$B$26,AQ129,AQ129-AL130*(1-AK130))</f>
        <v>247996.28819740764</v>
      </c>
    </row>
    <row r="131" spans="1:43">
      <c r="A131" s="10">
        <f>8</f>
        <v>8</v>
      </c>
      <c r="B131" s="11">
        <f>IF($A131&gt;'1-Input'!$B$26,0,IF(G130&lt;=0,0,MAX(0,(G130-H130)/G130)))</f>
        <v>0.30816341317158608</v>
      </c>
      <c r="C131" s="18">
        <f>IF($A131&gt;'1-Input'!$B$26,0,(MAX(0,B121-IF($A131&gt;='1-Input'!$C$12,'1-Input'!$B$12,0))-MIN(MAX(F130,0),MAX(0,B121-IF($A131&gt;='1-Input'!$C$12,'1-Input'!$B$12,0))))*(1/(1-'P-Parametri'!$B$6*B131))+MIN(MAX(0,G130-(MAX(0,B121-IF($A131&gt;='1-Input'!$C$12,'1-Input'!$B$12,0))-MIN(MAX(F130,0),MAX(0,B121-IF($A131&gt;='1-Input'!$C$12,'1-Input'!$B$12,0))))*(1/(1-'P-Parametri'!$B$6*B131))),MAX(0,0*B121-(F130-MIN(MAX(F130,0),MAX(0,B121-IF($A131&gt;='1-Input'!$C$12,'1-Input'!$B$12,0)))))*(1/(1-'P-Parametri'!$B$6*B131))))</f>
        <v>18133.996196867265</v>
      </c>
      <c r="D131" s="18">
        <f>IF($A131&gt;'1-Input'!$B$26,F130,(F130-MAX(0,B121-IF($A131&gt;='1-Input'!$C$12,'1-Input'!$B$12,0))+C131*(1-'P-Parametri'!$B$6*B131))*(1+'1-Input'!$B$27))</f>
        <v>0</v>
      </c>
      <c r="E131" s="18">
        <f>IF($A131&gt;'1-Input'!$B$26,G130,(G130-C131)*(1+$B$4))</f>
        <v>351580.6399293713</v>
      </c>
      <c r="F131" s="18">
        <f>IF($A131&gt;'1-Input'!$B$26,D131,D131-'P-Parametri'!$B$8*(E131+D131)+MIN(MAX(E131,0),'P-Parametri'!$B$8*(E131+D131)))</f>
        <v>0</v>
      </c>
      <c r="G131" s="18">
        <f>IF($A131&gt;'1-Input'!$B$26,E131,E131-MIN(MAX(E131,0),'P-Parametri'!$B$8*(E131+D131)))</f>
        <v>350877.47864951257</v>
      </c>
      <c r="H131" s="18">
        <f>IF($A131&gt;'1-Input'!$B$26,H130,H130-C131*(1-B131))</f>
        <v>238467.00972910377</v>
      </c>
      <c r="I131" s="11">
        <f>IF($A131&gt;'1-Input'!$B$26,0,IF(N130&lt;=0,0,MAX(0,(N130-O130)/N130)))</f>
        <v>0.30816341317158591</v>
      </c>
      <c r="J131" s="18">
        <f>IF($A131&gt;'1-Input'!$B$26,0,(MAX(0,I121-IF($A131&gt;='1-Input'!$C$12,'1-Input'!$B$12,0))-MIN(MAX(M130,0),MAX(0,I121-IF($A131&gt;='1-Input'!$C$12,'1-Input'!$B$12,0))))*(1/(1-'P-Parametri'!$B$6*I131))+MIN(MAX(0,N130-(MAX(0,I121-IF($A131&gt;='1-Input'!$C$12,'1-Input'!$B$12,0))-MIN(MAX(M130,0),MAX(0,I121-IF($A131&gt;='1-Input'!$C$12,'1-Input'!$B$12,0))))*(1/(1-'P-Parametri'!$B$6*I131))),MAX(0,0*I121-(M130-MIN(MAX(M130,0),MAX(0,I121-IF($A131&gt;='1-Input'!$C$12,'1-Input'!$B$12,0)))))*(1/(1-'P-Parametri'!$B$6*I131))))</f>
        <v>23860.521311667464</v>
      </c>
      <c r="K131" s="18">
        <f>IF($A131&gt;'1-Input'!$B$26,M130,(M130-MAX(0,I121-IF($A131&gt;='1-Input'!$C$12,'1-Input'!$B$12,0))+J131*(1-'P-Parametri'!$B$6*I131))*(1+'1-Input'!$B$27))</f>
        <v>0</v>
      </c>
      <c r="L131" s="18">
        <f>IF($A131&gt;'1-Input'!$B$26,N130,(N130-J131)*(1+$B$4))</f>
        <v>302446.59259764588</v>
      </c>
      <c r="M131" s="18">
        <f>IF($A131&gt;'1-Input'!$B$26,K131,K131-'P-Parametri'!$B$8*(L131+K131)+MIN(MAX(L131,0),'P-Parametri'!$B$8*(L131+K131)))</f>
        <v>0</v>
      </c>
      <c r="N131" s="18">
        <f>IF($A131&gt;'1-Input'!$B$26,L131,L131-MIN(MAX(L131,0),'P-Parametri'!$B$8*(L131+K131)))</f>
        <v>301841.6994124506</v>
      </c>
      <c r="O131" s="18">
        <f>IF($A131&gt;'1-Input'!$B$26,O130,O130-J131*(1-I131))</f>
        <v>205140.80227513646</v>
      </c>
      <c r="P131" s="11">
        <f>IF($A131&gt;'1-Input'!$B$26,0,IF(U130&lt;=0,0,MAX(0,(U130-V130)/U130)))</f>
        <v>0.30816341317158591</v>
      </c>
      <c r="Q131" s="18">
        <f>IF($A131&gt;'1-Input'!$B$26,0,(MAX(0,P121-IF($A131&gt;='1-Input'!$C$12,'1-Input'!$B$12,0))-MIN(MAX(T130,0),MAX(0,P121-IF($A131&gt;='1-Input'!$C$12,'1-Input'!$B$12,0))))*(1/(1-'P-Parametri'!$B$6*P131))+MIN(MAX(0,U130-(MAX(0,P121-IF($A131&gt;='1-Input'!$C$12,'1-Input'!$B$12,0))-MIN(MAX(T130,0),MAX(0,P121-IF($A131&gt;='1-Input'!$C$12,'1-Input'!$B$12,0))))*(1/(1-'P-Parametri'!$B$6*P131))),MAX(0,0*P121-(T130-MIN(MAX(T130,0),MAX(0,P121-IF($A131&gt;='1-Input'!$C$12,'1-Input'!$B$12,0)))))*(1/(1-'P-Parametri'!$B$6*P131))))</f>
        <v>18808.086707932554</v>
      </c>
      <c r="R131" s="18">
        <f>IF($A131&gt;'1-Input'!$B$26,T130,(T130-MAX(0,P121-IF($A131&gt;='1-Input'!$C$12,'1-Input'!$B$12,0))+Q131*(1-'P-Parametri'!$B$6*P131))*(1+'1-Input'!$B$27))</f>
        <v>3.6248820833861826E-12</v>
      </c>
      <c r="S131" s="18">
        <f>IF($A131&gt;'1-Input'!$B$26,U130,(U130-Q131)*(1+$B$4))</f>
        <v>345796.8889787384</v>
      </c>
      <c r="T131" s="18">
        <f>IF($A131&gt;'1-Input'!$B$26,R131,R131-'P-Parametri'!$B$8*(S131+R131)+MIN(MAX(S131,0),'P-Parametri'!$B$8*(S131+R131)))</f>
        <v>3.637978807091713E-12</v>
      </c>
      <c r="U131" s="18">
        <f>IF($A131&gt;'1-Input'!$B$26,S131,S131-MIN(MAX(S131,0),'P-Parametri'!$B$8*(S131+R131)))</f>
        <v>345105.29520078091</v>
      </c>
      <c r="V131" s="18">
        <f>IF($A131&gt;'1-Input'!$B$26,V130,V130-Q131*(1-P131))</f>
        <v>234544.05824209255</v>
      </c>
      <c r="W131" s="11">
        <f>IF($A131&gt;'1-Input'!$B$26,0,IF(AB130&lt;=0,0,MAX(0,(AB130-AC130)/AB130)))</f>
        <v>0.30816341317158608</v>
      </c>
      <c r="X131" s="18">
        <f>IF($A131&gt;'1-Input'!$B$26,0,(MAX(0,W121-IF($A131&gt;='1-Input'!$C$12,'1-Input'!$B$12,0))-MIN(MAX(AA130,0),MAX(0,W121-IF($A131&gt;='1-Input'!$C$12,'1-Input'!$B$12,0))))*(1/(1-'P-Parametri'!$B$6*W131))+MIN(MAX(0,AB130-(MAX(0,W121-IF($A131&gt;='1-Input'!$C$12,'1-Input'!$B$12,0))-MIN(MAX(AA130,0),MAX(0,W121-IF($A131&gt;='1-Input'!$C$12,'1-Input'!$B$12,0))))*(1/(1-'P-Parametri'!$B$6*W131))),MAX(0,0*W121-(AA130-MIN(MAX(AA130,0),MAX(0,W121-IF($A131&gt;='1-Input'!$C$12,'1-Input'!$B$12,0)))))*(1/(1-'P-Parametri'!$B$6*W131))))</f>
        <v>18707.783857134858</v>
      </c>
      <c r="Y131" s="18">
        <f>IF($A131&gt;'1-Input'!$B$26,AA130,(AA130-MAX(0,W121-IF($A131&gt;='1-Input'!$C$12,'1-Input'!$B$12,0))+X131*(1-'P-Parametri'!$B$6*W131))*(1+'1-Input'!$B$27))</f>
        <v>3.6248820833861826E-12</v>
      </c>
      <c r="Z131" s="18">
        <f>IF($A131&gt;'1-Input'!$B$26,AB130,(AB130-X131)*(1+$B$4))</f>
        <v>346657.49552805116</v>
      </c>
      <c r="AA131" s="18">
        <f>IF($A131&gt;'1-Input'!$B$26,Y131,Y131-'P-Parametri'!$B$8*(Z131+Y131)+MIN(MAX(Z131,0),'P-Parametri'!$B$8*(Z131+Y131)))</f>
        <v>3.637978807091713E-12</v>
      </c>
      <c r="AB131" s="18">
        <f>IF($A131&gt;'1-Input'!$B$26,Z131,Z131-MIN(MAX(Z131,0),'P-Parametri'!$B$8*(Z131+Y131)))</f>
        <v>345964.18053699506</v>
      </c>
      <c r="AC131" s="18">
        <f>IF($A131&gt;'1-Input'!$B$26,AC130,AC130-X131*(1-W131))</f>
        <v>235127.7828476599</v>
      </c>
      <c r="AD131" s="11">
        <f>IF($A131&gt;'1-Input'!$B$26,0,IF(AI130&lt;=0,0,MAX(0,(AI130-AJ130)/AI130)))</f>
        <v>0.30816341317158602</v>
      </c>
      <c r="AE131" s="18">
        <f>IF($A131&gt;'1-Input'!$B$26,0,(MAX(0,AD121-IF($A131&gt;='1-Input'!$C$12,'1-Input'!$B$12,0))-MIN(MAX(AH130,0),MAX(0,AD121-IF($A131&gt;='1-Input'!$C$12,'1-Input'!$B$12,0))))*(1/(1-'P-Parametri'!$B$6*AD131))+MIN(MAX(0,AI130-(MAX(0,AD121-IF($A131&gt;='1-Input'!$C$12,'1-Input'!$B$12,0))-MIN(MAX(AH130,0),MAX(0,AD121-IF($A131&gt;='1-Input'!$C$12,'1-Input'!$B$12,0))))*(1/(1-'P-Parametri'!$B$6*AD131))),MAX(0,0*AD121-(AH130-MIN(MAX(AH130,0),MAX(0,AD121-IF($A131&gt;='1-Input'!$C$12,'1-Input'!$B$12,0)))))*(1/(1-'P-Parametri'!$B$6*AD131))))</f>
        <v>18722.258720150345</v>
      </c>
      <c r="AF131" s="18">
        <f>IF($A131&gt;'1-Input'!$B$26,AH130,(AH130-MAX(0,AD121-IF($A131&gt;='1-Input'!$C$12,'1-Input'!$B$12,0))+AE131*(1-'P-Parametri'!$B$6*AD131))*(1+'1-Input'!$B$27))</f>
        <v>0</v>
      </c>
      <c r="AG131" s="18">
        <f>IF($A131&gt;'1-Input'!$B$26,AI130,(AI130-AE131)*(1+$B$4))</f>
        <v>346533.30003597424</v>
      </c>
      <c r="AH131" s="18">
        <f>IF($A131&gt;'1-Input'!$B$26,AF131,AF131-'P-Parametri'!$B$8*(AG131+AF131)+MIN(MAX(AG131,0),'P-Parametri'!$B$8*(AG131+AF131)))</f>
        <v>0</v>
      </c>
      <c r="AI131" s="18">
        <f>IF($A131&gt;'1-Input'!$B$26,AG131,AG131-MIN(MAX(AG131,0),'P-Parametri'!$B$8*(AG131+AF131)))</f>
        <v>345840.23343590228</v>
      </c>
      <c r="AJ131" s="18">
        <f>IF($A131&gt;'1-Input'!$B$26,AJ130,AJ130-AE131*(1-AD131))</f>
        <v>235043.54462674033</v>
      </c>
      <c r="AK131" s="11">
        <f>IF($A131&gt;'1-Input'!$B$26,0,IF(AP130&lt;=0,0,MAX(0,(AP130-AQ130)/AP130)))</f>
        <v>0.30816341317158602</v>
      </c>
      <c r="AL131" s="18">
        <f>IF($A131&gt;'1-Input'!$B$26,0,(MAX(0,AK121-IF($A131&gt;='1-Input'!$C$12,'1-Input'!$B$12,0))-MIN(MAX(AO130,0),MAX(0,AK121-IF($A131&gt;='1-Input'!$C$12,'1-Input'!$B$12,0))))*(1/(1-'P-Parametri'!$B$6*AK131))+MIN(MAX(0,AP130-(MAX(0,AK121-IF($A131&gt;='1-Input'!$C$12,'1-Input'!$B$12,0))-MIN(MAX(AO130,0),MAX(0,AK121-IF($A131&gt;='1-Input'!$C$12,'1-Input'!$B$12,0))))*(1/(1-'P-Parametri'!$B$6*AK131))),MAX(0,0*AK121-(AO130-MIN(MAX(AO130,0),MAX(0,AK121-IF($A131&gt;='1-Input'!$C$12,'1-Input'!$B$12,0)))))*(1/(1-'P-Parametri'!$B$6*AK131))))</f>
        <v>18722.258720150345</v>
      </c>
      <c r="AM131" s="18">
        <f>IF($A131&gt;'1-Input'!$B$26,AO130,(AO130-MAX(0,AK121-IF($A131&gt;='1-Input'!$C$12,'1-Input'!$B$12,0))+AL131*(1-'P-Parametri'!$B$6*AK131))*(1+'1-Input'!$B$27))</f>
        <v>0</v>
      </c>
      <c r="AN131" s="18">
        <f>IF($A131&gt;'1-Input'!$B$26,AP130,(AP130-AL131)*(1+$B$4))</f>
        <v>346533.30003597424</v>
      </c>
      <c r="AO131" s="18">
        <f>IF($A131&gt;'1-Input'!$B$26,AM131,AM131-'P-Parametri'!$B$8*(AN131+AM131)+MIN(MAX(AN131,0),'P-Parametri'!$B$8*(AN131+AM131)))</f>
        <v>0</v>
      </c>
      <c r="AP131" s="18">
        <f>IF($A131&gt;'1-Input'!$B$26,AN131,AN131-MIN(MAX(AN131,0),'P-Parametri'!$B$8*(AN131+AM131)))</f>
        <v>345840.23343590228</v>
      </c>
      <c r="AQ131" s="18">
        <f>IF($A131&gt;'1-Input'!$B$26,AQ130,AQ130-AL131*(1-AK131))</f>
        <v>235043.54462674033</v>
      </c>
    </row>
    <row r="132" spans="1:43">
      <c r="A132" s="10">
        <f>9</f>
        <v>9</v>
      </c>
      <c r="B132" s="11">
        <f>IF($A132&gt;'1-Input'!$B$26,0,IF(G131&lt;=0,0,MAX(0,(G131-H131)/G131)))</f>
        <v>0.32036957559391926</v>
      </c>
      <c r="C132" s="18">
        <f>IF($A132&gt;'1-Input'!$B$26,0,(MAX(0,B121-IF($A132&gt;='1-Input'!$C$12,'1-Input'!$B$12,0))-MIN(MAX(F131,0),MAX(0,B121-IF($A132&gt;='1-Input'!$C$12,'1-Input'!$B$12,0))))*(1/(1-'P-Parametri'!$B$6*B132))+MIN(MAX(0,G131-(MAX(0,B121-IF($A132&gt;='1-Input'!$C$12,'1-Input'!$B$12,0))-MIN(MAX(F131,0),MAX(0,B121-IF($A132&gt;='1-Input'!$C$12,'1-Input'!$B$12,0))))*(1/(1-'P-Parametri'!$B$6*B132))),MAX(0,0*B121-(F131-MIN(MAX(F131,0),MAX(0,B121-IF($A132&gt;='1-Input'!$C$12,'1-Input'!$B$12,0)))))*(1/(1-'P-Parametri'!$B$6*B132))))</f>
        <v>18196.77556337394</v>
      </c>
      <c r="D132" s="18">
        <f>IF($A132&gt;'1-Input'!$B$26,F131,(F131-MAX(0,B121-IF($A132&gt;='1-Input'!$C$12,'1-Input'!$B$12,0))+C132*(1-'P-Parametri'!$B$6*B132))*(1+'1-Input'!$B$27))</f>
        <v>0</v>
      </c>
      <c r="E132" s="18">
        <f>IF($A132&gt;'1-Input'!$B$26,G131,(G131-C132)*(1+$B$4))</f>
        <v>339334.31714786141</v>
      </c>
      <c r="F132" s="18">
        <f>IF($A132&gt;'1-Input'!$B$26,D132,D132-'P-Parametri'!$B$8*(E132+D132)+MIN(MAX(E132,0),'P-Parametri'!$B$8*(E132+D132)))</f>
        <v>0</v>
      </c>
      <c r="G132" s="18">
        <f>IF($A132&gt;'1-Input'!$B$26,E132,E132-MIN(MAX(E132,0),'P-Parametri'!$B$8*(E132+D132)))</f>
        <v>338655.64851356571</v>
      </c>
      <c r="H132" s="18">
        <f>IF($A132&gt;'1-Input'!$B$26,H131,H131-C132*(1-B132))</f>
        <v>226099.92743014573</v>
      </c>
      <c r="I132" s="11">
        <f>IF($A132&gt;'1-Input'!$B$26,0,IF(N131&lt;=0,0,MAX(0,(N131-O131)/N131)))</f>
        <v>0.32036957559391921</v>
      </c>
      <c r="J132" s="18">
        <f>IF($A132&gt;'1-Input'!$B$26,0,(MAX(0,I121-IF($A132&gt;='1-Input'!$C$12,'1-Input'!$B$12,0))-MIN(MAX(M131,0),MAX(0,I121-IF($A132&gt;='1-Input'!$C$12,'1-Input'!$B$12,0))))*(1/(1-'P-Parametri'!$B$6*I132))+MIN(MAX(0,N131-(MAX(0,I121-IF($A132&gt;='1-Input'!$C$12,'1-Input'!$B$12,0))-MIN(MAX(M131,0),MAX(0,I121-IF($A132&gt;='1-Input'!$C$12,'1-Input'!$B$12,0))))*(1/(1-'P-Parametri'!$B$6*I132))),MAX(0,0*I121-(M131-MIN(MAX(M131,0),MAX(0,I121-IF($A132&gt;='1-Input'!$C$12,'1-Input'!$B$12,0)))))*(1/(1-'P-Parametri'!$B$6*I132))))</f>
        <v>23943.125741281503</v>
      </c>
      <c r="K132" s="18">
        <f>IF($A132&gt;'1-Input'!$B$26,M131,(M131-MAX(0,I121-IF($A132&gt;='1-Input'!$C$12,'1-Input'!$B$12,0))+J132*(1-'P-Parametri'!$B$6*I132))*(1+'1-Input'!$B$27))</f>
        <v>0</v>
      </c>
      <c r="L132" s="18">
        <f>IF($A132&gt;'1-Input'!$B$26,N131,(N131-J132)*(1+$B$4))</f>
        <v>283456.54514459253</v>
      </c>
      <c r="M132" s="18">
        <f>IF($A132&gt;'1-Input'!$B$26,K132,K132-'P-Parametri'!$B$8*(L132+K132)+MIN(MAX(L132,0),'P-Parametri'!$B$8*(L132+K132)))</f>
        <v>0</v>
      </c>
      <c r="N132" s="18">
        <f>IF($A132&gt;'1-Input'!$B$26,L132,L132-MIN(MAX(L132,0),'P-Parametri'!$B$8*(L132+K132)))</f>
        <v>282889.63205430337</v>
      </c>
      <c r="O132" s="18">
        <f>IF($A132&gt;'1-Input'!$B$26,O131,O131-J132*(1-I132))</f>
        <v>188868.32556598115</v>
      </c>
      <c r="P132" s="11">
        <f>IF($A132&gt;'1-Input'!$B$26,0,IF(U131&lt;=0,0,MAX(0,(U131-V131)/U131)))</f>
        <v>0.32036957559391915</v>
      </c>
      <c r="Q132" s="18">
        <f>IF($A132&gt;'1-Input'!$B$26,0,(MAX(0,P121-IF($A132&gt;='1-Input'!$C$12,'1-Input'!$B$12,0))-MIN(MAX(T131,0),MAX(0,P121-IF($A132&gt;='1-Input'!$C$12,'1-Input'!$B$12,0))))*(1/(1-'P-Parametri'!$B$6*P132))+MIN(MAX(0,U131-(MAX(0,P121-IF($A132&gt;='1-Input'!$C$12,'1-Input'!$B$12,0))-MIN(MAX(T131,0),MAX(0,P121-IF($A132&gt;='1-Input'!$C$12,'1-Input'!$B$12,0))))*(1/(1-'P-Parametri'!$B$6*P132))),MAX(0,0*P121-(T131-MIN(MAX(T131,0),MAX(0,P121-IF($A132&gt;='1-Input'!$C$12,'1-Input'!$B$12,0)))))*(1/(1-'P-Parametri'!$B$6*P132))))</f>
        <v>18873.199756149166</v>
      </c>
      <c r="R132" s="18">
        <f>IF($A132&gt;'1-Input'!$B$26,T131,(T131-MAX(0,P121-IF($A132&gt;='1-Input'!$C$12,'1-Input'!$B$12,0))+Q132*(1-'P-Parametri'!$B$6*P132))*(1+'1-Input'!$B$27))</f>
        <v>3.6248820833861826E-12</v>
      </c>
      <c r="S132" s="18">
        <f>IF($A132&gt;'1-Input'!$B$26,U131,(U131-Q132)*(1+$B$4))</f>
        <v>332756.73735352443</v>
      </c>
      <c r="T132" s="18">
        <f>IF($A132&gt;'1-Input'!$B$26,R132,R132-'P-Parametri'!$B$8*(S132+R132)+MIN(MAX(S132,0),'P-Parametri'!$B$8*(S132+R132)))</f>
        <v>3.637978807091713E-12</v>
      </c>
      <c r="U132" s="18">
        <f>IF($A132&gt;'1-Input'!$B$26,S132,S132-MIN(MAX(S132,0),'P-Parametri'!$B$8*(S132+R132)))</f>
        <v>332091.2238788174</v>
      </c>
      <c r="V132" s="18">
        <f>IF($A132&gt;'1-Input'!$B$26,V131,V131-Q132*(1-P132))</f>
        <v>221717.25748192015</v>
      </c>
      <c r="W132" s="11">
        <f>IF($A132&gt;'1-Input'!$B$26,0,IF(AB131&lt;=0,0,MAX(0,(AB131-AC131)/AB131)))</f>
        <v>0.32036957559391926</v>
      </c>
      <c r="X132" s="18">
        <f>IF($A132&gt;'1-Input'!$B$26,0,(MAX(0,W121-IF($A132&gt;='1-Input'!$C$12,'1-Input'!$B$12,0))-MIN(MAX(AA131,0),MAX(0,W121-IF($A132&gt;='1-Input'!$C$12,'1-Input'!$B$12,0))))*(1/(1-'P-Parametri'!$B$6*W132))+MIN(MAX(0,AB131-(MAX(0,W121-IF($A132&gt;='1-Input'!$C$12,'1-Input'!$B$12,0))-MIN(MAX(AA131,0),MAX(0,W121-IF($A132&gt;='1-Input'!$C$12,'1-Input'!$B$12,0))))*(1/(1-'P-Parametri'!$B$6*W132))),MAX(0,0*W121-(AA131-MIN(MAX(AA131,0),MAX(0,W121-IF($A132&gt;='1-Input'!$C$12,'1-Input'!$B$12,0)))))*(1/(1-'P-Parametri'!$B$6*W132))))</f>
        <v>18772.549659804292</v>
      </c>
      <c r="Y132" s="18">
        <f>IF($A132&gt;'1-Input'!$B$26,AA131,(AA131-MAX(0,W121-IF($A132&gt;='1-Input'!$C$12,'1-Input'!$B$12,0))+X132*(1-'P-Parametri'!$B$6*W132))*(1+'1-Input'!$B$27))</f>
        <v>3.6248820833861826E-12</v>
      </c>
      <c r="Z132" s="18">
        <f>IF($A132&gt;'1-Input'!$B$26,AB131,(AB131-X132)*(1+$B$4))</f>
        <v>333735.46349473461</v>
      </c>
      <c r="AA132" s="18">
        <f>IF($A132&gt;'1-Input'!$B$26,Y132,Y132-'P-Parametri'!$B$8*(Z132+Y132)+MIN(MAX(Z132,0),'P-Parametri'!$B$8*(Z132+Y132)))</f>
        <v>3.637978807091713E-12</v>
      </c>
      <c r="AB132" s="18">
        <f>IF($A132&gt;'1-Input'!$B$26,Z132,Z132-MIN(MAX(Z132,0),'P-Parametri'!$B$8*(Z132+Y132)))</f>
        <v>333067.99256774515</v>
      </c>
      <c r="AC132" s="18">
        <f>IF($A132&gt;'1-Input'!$B$26,AC131,AC131-X132*(1-W132))</f>
        <v>222369.38695518288</v>
      </c>
      <c r="AD132" s="11">
        <f>IF($A132&gt;'1-Input'!$B$26,0,IF(AI131&lt;=0,0,MAX(0,(AI131-AJ131)/AI131)))</f>
        <v>0.32036957559391915</v>
      </c>
      <c r="AE132" s="18">
        <f>IF($A132&gt;'1-Input'!$B$26,0,(MAX(0,AD121-IF($A132&gt;='1-Input'!$C$12,'1-Input'!$B$12,0))-MIN(MAX(AH131,0),MAX(0,AD121-IF($A132&gt;='1-Input'!$C$12,'1-Input'!$B$12,0))))*(1/(1-'P-Parametri'!$B$6*AD132))+MIN(MAX(0,AI131-(MAX(0,AD121-IF($A132&gt;='1-Input'!$C$12,'1-Input'!$B$12,0))-MIN(MAX(AH131,0),MAX(0,AD121-IF($A132&gt;='1-Input'!$C$12,'1-Input'!$B$12,0))))*(1/(1-'P-Parametri'!$B$6*AD132))),MAX(0,0*AD121-(AH131-MIN(MAX(AH131,0),MAX(0,AD121-IF($A132&gt;='1-Input'!$C$12,'1-Input'!$B$12,0)))))*(1/(1-'P-Parametri'!$B$6*AD132))))</f>
        <v>18787.074634373828</v>
      </c>
      <c r="AF132" s="18">
        <f>IF($A132&gt;'1-Input'!$B$26,AH131,(AH131-MAX(0,AD121-IF($A132&gt;='1-Input'!$C$12,'1-Input'!$B$12,0))+AE132*(1-'P-Parametri'!$B$6*AD132))*(1+'1-Input'!$B$27))</f>
        <v>0</v>
      </c>
      <c r="AG132" s="18">
        <f>IF($A132&gt;'1-Input'!$B$26,AI131,(AI131-AE132)*(1+$B$4))</f>
        <v>333594.22197755903</v>
      </c>
      <c r="AH132" s="18">
        <f>IF($A132&gt;'1-Input'!$B$26,AF132,AF132-'P-Parametri'!$B$8*(AG132+AF132)+MIN(MAX(AG132,0),'P-Parametri'!$B$8*(AG132+AF132)))</f>
        <v>0</v>
      </c>
      <c r="AI132" s="18">
        <f>IF($A132&gt;'1-Input'!$B$26,AG132,AG132-MIN(MAX(AG132,0),'P-Parametri'!$B$8*(AG132+AF132)))</f>
        <v>332927.03353360394</v>
      </c>
      <c r="AJ132" s="18">
        <f>IF($A132&gt;'1-Input'!$B$26,AJ131,AJ131-AE132*(1-AD132))</f>
        <v>222275.27711963214</v>
      </c>
      <c r="AK132" s="11">
        <f>IF($A132&gt;'1-Input'!$B$26,0,IF(AP131&lt;=0,0,MAX(0,(AP131-AQ131)/AP131)))</f>
        <v>0.32036957559391915</v>
      </c>
      <c r="AL132" s="18">
        <f>IF($A132&gt;'1-Input'!$B$26,0,(MAX(0,AK121-IF($A132&gt;='1-Input'!$C$12,'1-Input'!$B$12,0))-MIN(MAX(AO131,0),MAX(0,AK121-IF($A132&gt;='1-Input'!$C$12,'1-Input'!$B$12,0))))*(1/(1-'P-Parametri'!$B$6*AK132))+MIN(MAX(0,AP131-(MAX(0,AK121-IF($A132&gt;='1-Input'!$C$12,'1-Input'!$B$12,0))-MIN(MAX(AO131,0),MAX(0,AK121-IF($A132&gt;='1-Input'!$C$12,'1-Input'!$B$12,0))))*(1/(1-'P-Parametri'!$B$6*AK132))),MAX(0,0*AK121-(AO131-MIN(MAX(AO131,0),MAX(0,AK121-IF($A132&gt;='1-Input'!$C$12,'1-Input'!$B$12,0)))))*(1/(1-'P-Parametri'!$B$6*AK132))))</f>
        <v>18787.074634373828</v>
      </c>
      <c r="AM132" s="18">
        <f>IF($A132&gt;'1-Input'!$B$26,AO131,(AO131-MAX(0,AK121-IF($A132&gt;='1-Input'!$C$12,'1-Input'!$B$12,0))+AL132*(1-'P-Parametri'!$B$6*AK132))*(1+'1-Input'!$B$27))</f>
        <v>0</v>
      </c>
      <c r="AN132" s="18">
        <f>IF($A132&gt;'1-Input'!$B$26,AP131,(AP131-AL132)*(1+$B$4))</f>
        <v>333594.22197755903</v>
      </c>
      <c r="AO132" s="18">
        <f>IF($A132&gt;'1-Input'!$B$26,AM132,AM132-'P-Parametri'!$B$8*(AN132+AM132)+MIN(MAX(AN132,0),'P-Parametri'!$B$8*(AN132+AM132)))</f>
        <v>0</v>
      </c>
      <c r="AP132" s="18">
        <f>IF($A132&gt;'1-Input'!$B$26,AN132,AN132-MIN(MAX(AN132,0),'P-Parametri'!$B$8*(AN132+AM132)))</f>
        <v>332927.03353360394</v>
      </c>
      <c r="AQ132" s="18">
        <f>IF($A132&gt;'1-Input'!$B$26,AQ131,AQ131-AL132*(1-AK132))</f>
        <v>222275.27711963214</v>
      </c>
    </row>
    <row r="133" spans="1:43">
      <c r="A133" s="10">
        <f>10</f>
        <v>10</v>
      </c>
      <c r="B133" s="11">
        <f>IF($A133&gt;'1-Input'!$B$26,0,IF(G132&lt;=0,0,MAX(0,(G132-H132)/G132)))</f>
        <v>0.33236038311320615</v>
      </c>
      <c r="C133" s="18">
        <f>IF($A133&gt;'1-Input'!$B$26,0,(MAX(0,B121-IF($A133&gt;='1-Input'!$C$12,'1-Input'!$B$12,0))-MIN(MAX(F132,0),MAX(0,B121-IF($A133&gt;='1-Input'!$C$12,'1-Input'!$B$12,0))))*(1/(1-'P-Parametri'!$B$6*B133))+MIN(MAX(0,G132-(MAX(0,B121-IF($A133&gt;='1-Input'!$C$12,'1-Input'!$B$12,0))-MIN(MAX(F132,0),MAX(0,B121-IF($A133&gt;='1-Input'!$C$12,'1-Input'!$B$12,0))))*(1/(1-'P-Parametri'!$B$6*B133))),MAX(0,0*B121-(F132-MIN(MAX(F132,0),MAX(0,B121-IF($A133&gt;='1-Input'!$C$12,'1-Input'!$B$12,0)))))*(1/(1-'P-Parametri'!$B$6*B133))))</f>
        <v>18258.871994352914</v>
      </c>
      <c r="D133" s="18">
        <f>IF($A133&gt;'1-Input'!$B$26,F132,(F132-MAX(0,B121-IF($A133&gt;='1-Input'!$C$12,'1-Input'!$B$12,0))+C133*(1-'P-Parametri'!$B$6*B133))*(1+'1-Input'!$B$27))</f>
        <v>0</v>
      </c>
      <c r="E133" s="18">
        <f>IF($A133&gt;'1-Input'!$B$26,G132,(G132-C133)*(1+$B$4))</f>
        <v>326804.71204959706</v>
      </c>
      <c r="F133" s="18">
        <f>IF($A133&gt;'1-Input'!$B$26,D133,D133-'P-Parametri'!$B$8*(E133+D133)+MIN(MAX(E133,0),'P-Parametri'!$B$8*(E133+D133)))</f>
        <v>0</v>
      </c>
      <c r="G133" s="18">
        <f>IF($A133&gt;'1-Input'!$B$26,E133,E133-MIN(MAX(E133,0),'P-Parametri'!$B$8*(E133+D133)))</f>
        <v>326151.10262549785</v>
      </c>
      <c r="H133" s="18">
        <f>IF($A133&gt;'1-Input'!$B$26,H132,H132-C133*(1-B133))</f>
        <v>213909.58112705094</v>
      </c>
      <c r="I133" s="11">
        <f>IF($A133&gt;'1-Input'!$B$26,0,IF(N132&lt;=0,0,MAX(0,(N132-O132)/N132)))</f>
        <v>0.3323603831132062</v>
      </c>
      <c r="J133" s="18">
        <f>IF($A133&gt;'1-Input'!$B$26,0,(MAX(0,I121-IF($A133&gt;='1-Input'!$C$12,'1-Input'!$B$12,0))-MIN(MAX(M132,0),MAX(0,I121-IF($A133&gt;='1-Input'!$C$12,'1-Input'!$B$12,0))))*(1/(1-'P-Parametri'!$B$6*I133))+MIN(MAX(0,N132-(MAX(0,I121-IF($A133&gt;='1-Input'!$C$12,'1-Input'!$B$12,0))-MIN(MAX(M132,0),MAX(0,I121-IF($A133&gt;='1-Input'!$C$12,'1-Input'!$B$12,0))))*(1/(1-'P-Parametri'!$B$6*I133))),MAX(0,0*I121-(M132-MIN(MAX(M132,0),MAX(0,I121-IF($A133&gt;='1-Input'!$C$12,'1-Input'!$B$12,0)))))*(1/(1-'P-Parametri'!$B$6*I133))))</f>
        <v>24024.831571516999</v>
      </c>
      <c r="K133" s="18">
        <f>IF($A133&gt;'1-Input'!$B$26,M132,(M132-MAX(0,I121-IF($A133&gt;='1-Input'!$C$12,'1-Input'!$B$12,0))+J133*(1-'P-Parametri'!$B$6*I133))*(1+'1-Input'!$B$27))</f>
        <v>3.6248820833861826E-12</v>
      </c>
      <c r="L133" s="18">
        <f>IF($A133&gt;'1-Input'!$B$26,N132,(N132-J133)*(1+$B$4))</f>
        <v>264042.09649244213</v>
      </c>
      <c r="M133" s="18">
        <f>IF($A133&gt;'1-Input'!$B$26,K133,K133-'P-Parametri'!$B$8*(L133+K133)+MIN(MAX(L133,0),'P-Parametri'!$B$8*(L133+K133)))</f>
        <v>3.637978807091713E-12</v>
      </c>
      <c r="N133" s="18">
        <f>IF($A133&gt;'1-Input'!$B$26,L133,L133-MIN(MAX(L133,0),'P-Parametri'!$B$8*(L133+K133)))</f>
        <v>263514.01229945722</v>
      </c>
      <c r="O133" s="18">
        <f>IF($A133&gt;'1-Input'!$B$26,O132,O132-J133*(1-I133))</f>
        <v>172828.39621980381</v>
      </c>
      <c r="P133" s="11">
        <f>IF($A133&gt;'1-Input'!$B$26,0,IF(U132&lt;=0,0,MAX(0,(U132-V132)/U132)))</f>
        <v>0.33236038311320609</v>
      </c>
      <c r="Q133" s="18">
        <f>IF($A133&gt;'1-Input'!$B$26,0,(MAX(0,P121-IF($A133&gt;='1-Input'!$C$12,'1-Input'!$B$12,0))-MIN(MAX(T132,0),MAX(0,P121-IF($A133&gt;='1-Input'!$C$12,'1-Input'!$B$12,0))))*(1/(1-'P-Parametri'!$B$6*P133))+MIN(MAX(0,U132-(MAX(0,P121-IF($A133&gt;='1-Input'!$C$12,'1-Input'!$B$12,0))-MIN(MAX(T132,0),MAX(0,P121-IF($A133&gt;='1-Input'!$C$12,'1-Input'!$B$12,0))))*(1/(1-'P-Parametri'!$B$6*P133))),MAX(0,0*P121-(T132-MIN(MAX(T132,0),MAX(0,P121-IF($A133&gt;='1-Input'!$C$12,'1-Input'!$B$12,0)))))*(1/(1-'P-Parametri'!$B$6*P133))))</f>
        <v>18937.604482246301</v>
      </c>
      <c r="R133" s="18">
        <f>IF($A133&gt;'1-Input'!$B$26,T132,(T132-MAX(0,P121-IF($A133&gt;='1-Input'!$C$12,'1-Input'!$B$12,0))+Q133*(1-'P-Parametri'!$B$6*P133))*(1+'1-Input'!$B$27))</f>
        <v>3.6248820833861826E-12</v>
      </c>
      <c r="S133" s="18">
        <f>IF($A133&gt;'1-Input'!$B$26,U132,(U132-Q133)*(1+$B$4))</f>
        <v>319416.69178450247</v>
      </c>
      <c r="T133" s="18">
        <f>IF($A133&gt;'1-Input'!$B$26,R133,R133-'P-Parametri'!$B$8*(S133+R133)+MIN(MAX(S133,0),'P-Parametri'!$B$8*(S133+R133)))</f>
        <v>3.637978807091713E-12</v>
      </c>
      <c r="U133" s="18">
        <f>IF($A133&gt;'1-Input'!$B$26,S133,S133-MIN(MAX(S133,0),'P-Parametri'!$B$8*(S133+R133)))</f>
        <v>318777.85840093344</v>
      </c>
      <c r="V133" s="18">
        <f>IF($A133&gt;'1-Input'!$B$26,V132,V132-Q133*(1-P133))</f>
        <v>209073.76248063959</v>
      </c>
      <c r="W133" s="11">
        <f>IF($A133&gt;'1-Input'!$B$26,0,IF(AB132&lt;=0,0,MAX(0,(AB132-AC132)/AB132)))</f>
        <v>0.33236038311320615</v>
      </c>
      <c r="X133" s="18">
        <f>IF($A133&gt;'1-Input'!$B$26,0,(MAX(0,W121-IF($A133&gt;='1-Input'!$C$12,'1-Input'!$B$12,0))-MIN(MAX(AA132,0),MAX(0,W121-IF($A133&gt;='1-Input'!$C$12,'1-Input'!$B$12,0))))*(1/(1-'P-Parametri'!$B$6*W133))+MIN(MAX(0,AB132-(MAX(0,W121-IF($A133&gt;='1-Input'!$C$12,'1-Input'!$B$12,0))-MIN(MAX(AA132,0),MAX(0,W121-IF($A133&gt;='1-Input'!$C$12,'1-Input'!$B$12,0))))*(1/(1-'P-Parametri'!$B$6*W133))),MAX(0,0*W121-(AA132-MIN(MAX(AA132,0),MAX(0,W121-IF($A133&gt;='1-Input'!$C$12,'1-Input'!$B$12,0)))))*(1/(1-'P-Parametri'!$B$6*W133))))</f>
        <v>18836.610917810667</v>
      </c>
      <c r="Y133" s="18">
        <f>IF($A133&gt;'1-Input'!$B$26,AA132,(AA132-MAX(0,W121-IF($A133&gt;='1-Input'!$C$12,'1-Input'!$B$12,0))+X133*(1-'P-Parametri'!$B$6*W133))*(1+'1-Input'!$B$27))</f>
        <v>0</v>
      </c>
      <c r="Z133" s="18">
        <f>IF($A133&gt;'1-Input'!$B$26,AB132,(AB132-X133)*(1+$B$4))</f>
        <v>320516.0092829332</v>
      </c>
      <c r="AA133" s="18">
        <f>IF($A133&gt;'1-Input'!$B$26,Y133,Y133-'P-Parametri'!$B$8*(Z133+Y133)+MIN(MAX(Z133,0),'P-Parametri'!$B$8*(Z133+Y133)))</f>
        <v>0</v>
      </c>
      <c r="AB133" s="18">
        <f>IF($A133&gt;'1-Input'!$B$26,Z133,Z133-MIN(MAX(Z133,0),'P-Parametri'!$B$8*(Z133+Y133)))</f>
        <v>319874.97726436734</v>
      </c>
      <c r="AC133" s="18">
        <f>IF($A133&gt;'1-Input'!$B$26,AC132,AC132-X133*(1-W133))</f>
        <v>209793.31925857018</v>
      </c>
      <c r="AD133" s="11">
        <f>IF($A133&gt;'1-Input'!$B$26,0,IF(AI132&lt;=0,0,MAX(0,(AI132-AJ132)/AI132)))</f>
        <v>0.33236038311320604</v>
      </c>
      <c r="AE133" s="18">
        <f>IF($A133&gt;'1-Input'!$B$26,0,(MAX(0,AD121-IF($A133&gt;='1-Input'!$C$12,'1-Input'!$B$12,0))-MIN(MAX(AH132,0),MAX(0,AD121-IF($A133&gt;='1-Input'!$C$12,'1-Input'!$B$12,0))))*(1/(1-'P-Parametri'!$B$6*AD133))+MIN(MAX(0,AI132-(MAX(0,AD121-IF($A133&gt;='1-Input'!$C$12,'1-Input'!$B$12,0))-MIN(MAX(AH132,0),MAX(0,AD121-IF($A133&gt;='1-Input'!$C$12,'1-Input'!$B$12,0))))*(1/(1-'P-Parametri'!$B$6*AD133))),MAX(0,0*AD121-(AH132-MIN(MAX(AH132,0),MAX(0,AD121-IF($A133&gt;='1-Input'!$C$12,'1-Input'!$B$12,0)))))*(1/(1-'P-Parametri'!$B$6*AD133))))</f>
        <v>18851.185458803535</v>
      </c>
      <c r="AF133" s="18">
        <f>IF($A133&gt;'1-Input'!$B$26,AH132,(AH132-MAX(0,AD121-IF($A133&gt;='1-Input'!$C$12,'1-Input'!$B$12,0))+AE133*(1-'P-Parametri'!$B$6*AD133))*(1+'1-Input'!$B$27))</f>
        <v>0</v>
      </c>
      <c r="AG133" s="18">
        <f>IF($A133&gt;'1-Input'!$B$26,AI132,(AI132-AE133)*(1+$B$4))</f>
        <v>320357.36503629643</v>
      </c>
      <c r="AH133" s="18">
        <f>IF($A133&gt;'1-Input'!$B$26,AF133,AF133-'P-Parametri'!$B$8*(AG133+AF133)+MIN(MAX(AG133,0),'P-Parametri'!$B$8*(AG133+AF133)))</f>
        <v>0</v>
      </c>
      <c r="AI133" s="18">
        <f>IF($A133&gt;'1-Input'!$B$26,AG133,AG133-MIN(MAX(AG133,0),'P-Parametri'!$B$8*(AG133+AF133)))</f>
        <v>319716.65030622383</v>
      </c>
      <c r="AJ133" s="18">
        <f>IF($A133&gt;'1-Input'!$B$26,AJ132,AJ132-AE133*(1-AD133))</f>
        <v>209689.47888205465</v>
      </c>
      <c r="AK133" s="11">
        <f>IF($A133&gt;'1-Input'!$B$26,0,IF(AP132&lt;=0,0,MAX(0,(AP132-AQ132)/AP132)))</f>
        <v>0.33236038311320604</v>
      </c>
      <c r="AL133" s="18">
        <f>IF($A133&gt;'1-Input'!$B$26,0,(MAX(0,AK121-IF($A133&gt;='1-Input'!$C$12,'1-Input'!$B$12,0))-MIN(MAX(AO132,0),MAX(0,AK121-IF($A133&gt;='1-Input'!$C$12,'1-Input'!$B$12,0))))*(1/(1-'P-Parametri'!$B$6*AK133))+MIN(MAX(0,AP132-(MAX(0,AK121-IF($A133&gt;='1-Input'!$C$12,'1-Input'!$B$12,0))-MIN(MAX(AO132,0),MAX(0,AK121-IF($A133&gt;='1-Input'!$C$12,'1-Input'!$B$12,0))))*(1/(1-'P-Parametri'!$B$6*AK133))),MAX(0,0*AK121-(AO132-MIN(MAX(AO132,0),MAX(0,AK121-IF($A133&gt;='1-Input'!$C$12,'1-Input'!$B$12,0)))))*(1/(1-'P-Parametri'!$B$6*AK133))))</f>
        <v>18851.185458803535</v>
      </c>
      <c r="AM133" s="18">
        <f>IF($A133&gt;'1-Input'!$B$26,AO132,(AO132-MAX(0,AK121-IF($A133&gt;='1-Input'!$C$12,'1-Input'!$B$12,0))+AL133*(1-'P-Parametri'!$B$6*AK133))*(1+'1-Input'!$B$27))</f>
        <v>0</v>
      </c>
      <c r="AN133" s="18">
        <f>IF($A133&gt;'1-Input'!$B$26,AP132,(AP132-AL133)*(1+$B$4))</f>
        <v>320357.36503629643</v>
      </c>
      <c r="AO133" s="18">
        <f>IF($A133&gt;'1-Input'!$B$26,AM133,AM133-'P-Parametri'!$B$8*(AN133+AM133)+MIN(MAX(AN133,0),'P-Parametri'!$B$8*(AN133+AM133)))</f>
        <v>0</v>
      </c>
      <c r="AP133" s="18">
        <f>IF($A133&gt;'1-Input'!$B$26,AN133,AN133-MIN(MAX(AN133,0),'P-Parametri'!$B$8*(AN133+AM133)))</f>
        <v>319716.65030622383</v>
      </c>
      <c r="AQ133" s="18">
        <f>IF($A133&gt;'1-Input'!$B$26,AQ132,AQ132-AL133*(1-AK133))</f>
        <v>209689.47888205465</v>
      </c>
    </row>
    <row r="134" spans="1:43">
      <c r="A134" s="10">
        <f>11</f>
        <v>11</v>
      </c>
      <c r="B134" s="11">
        <f>IF($A134&gt;'1-Input'!$B$26,0,IF(G133&lt;=0,0,MAX(0,(G133-H133)/G133)))</f>
        <v>0.34413963526386704</v>
      </c>
      <c r="C134" s="18">
        <f>IF($A134&gt;'1-Input'!$B$26,0,(MAX(0,B121-IF($A134&gt;='1-Input'!$C$12,'1-Input'!$B$12,0))-MIN(MAX(F133,0),MAX(0,B121-IF($A134&gt;='1-Input'!$C$12,'1-Input'!$B$12,0))))*(1/(1-'P-Parametri'!$B$6*B134))+MIN(MAX(0,G133-(MAX(0,B121-IF($A134&gt;='1-Input'!$C$12,'1-Input'!$B$12,0))-MIN(MAX(F133,0),MAX(0,B121-IF($A134&gt;='1-Input'!$C$12,'1-Input'!$B$12,0))))*(1/(1-'P-Parametri'!$B$6*B134))),MAX(0,0*B121-(F133-MIN(MAX(F133,0),MAX(0,B121-IF($A134&gt;='1-Input'!$C$12,'1-Input'!$B$12,0)))))*(1/(1-'P-Parametri'!$B$6*B134))))</f>
        <v>18320.286895680074</v>
      </c>
      <c r="D134" s="18">
        <f>IF($A134&gt;'1-Input'!$B$26,F133,(F133-MAX(0,B121-IF($A134&gt;='1-Input'!$C$12,'1-Input'!$B$12,0))+C134*(1-'P-Parametri'!$B$6*B134))*(1+'1-Input'!$B$27))</f>
        <v>0</v>
      </c>
      <c r="E134" s="18">
        <f>IF($A134&gt;'1-Input'!$B$26,G133,(G133-C134)*(1+$B$4))</f>
        <v>313987.43204441416</v>
      </c>
      <c r="F134" s="18">
        <f>IF($A134&gt;'1-Input'!$B$26,D134,D134-'P-Parametri'!$B$8*(E134+D134)+MIN(MAX(E134,0),'P-Parametri'!$B$8*(E134+D134)))</f>
        <v>0</v>
      </c>
      <c r="G134" s="18">
        <f>IF($A134&gt;'1-Input'!$B$26,E134,E134-MIN(MAX(E134,0),'P-Parametri'!$B$8*(E134+D134)))</f>
        <v>313359.45718032535</v>
      </c>
      <c r="H134" s="18">
        <f>IF($A134&gt;'1-Input'!$B$26,H133,H133-C134*(1-B134))</f>
        <v>201894.03108157963</v>
      </c>
      <c r="I134" s="11">
        <f>IF($A134&gt;'1-Input'!$B$26,0,IF(N133&lt;=0,0,MAX(0,(N133-O133)/N133)))</f>
        <v>0.34413963526386715</v>
      </c>
      <c r="J134" s="18">
        <f>IF($A134&gt;'1-Input'!$B$26,0,(MAX(0,I121-IF($A134&gt;='1-Input'!$C$12,'1-Input'!$B$12,0))-MIN(MAX(M133,0),MAX(0,I121-IF($A134&gt;='1-Input'!$C$12,'1-Input'!$B$12,0))))*(1/(1-'P-Parametri'!$B$6*I134))+MIN(MAX(0,N133-(MAX(0,I121-IF($A134&gt;='1-Input'!$C$12,'1-Input'!$B$12,0))-MIN(MAX(M133,0),MAX(0,I121-IF($A134&gt;='1-Input'!$C$12,'1-Input'!$B$12,0))))*(1/(1-'P-Parametri'!$B$6*I134))),MAX(0,0*I121-(M133-MIN(MAX(M133,0),MAX(0,I121-IF($A134&gt;='1-Input'!$C$12,'1-Input'!$B$12,0)))))*(1/(1-'P-Parametri'!$B$6*I134))))</f>
        <v>24105.64065221063</v>
      </c>
      <c r="K134" s="18">
        <f>IF($A134&gt;'1-Input'!$B$26,M133,(M133-MAX(0,I121-IF($A134&gt;='1-Input'!$C$12,'1-Input'!$B$12,0))+J134*(1-'P-Parametri'!$B$6*I134))*(1+'1-Input'!$B$27))</f>
        <v>0</v>
      </c>
      <c r="L134" s="18">
        <f>IF($A134&gt;'1-Input'!$B$26,N133,(N133-J134)*(1+$B$4))</f>
        <v>244196.53908019152</v>
      </c>
      <c r="M134" s="18">
        <f>IF($A134&gt;'1-Input'!$B$26,K134,K134-'P-Parametri'!$B$8*(L134+K134)+MIN(MAX(L134,0),'P-Parametri'!$B$8*(L134+K134)))</f>
        <v>0</v>
      </c>
      <c r="N134" s="18">
        <f>IF($A134&gt;'1-Input'!$B$26,L134,L134-MIN(MAX(L134,0),'P-Parametri'!$B$8*(L134+K134)))</f>
        <v>243708.14600203114</v>
      </c>
      <c r="O134" s="18">
        <f>IF($A134&gt;'1-Input'!$B$26,O133,O133-J134*(1-I134))</f>
        <v>157018.46194944679</v>
      </c>
      <c r="P134" s="11">
        <f>IF($A134&gt;'1-Input'!$B$26,0,IF(U133&lt;=0,0,MAX(0,(U133-V133)/U133)))</f>
        <v>0.34413963526386693</v>
      </c>
      <c r="Q134" s="18">
        <f>IF($A134&gt;'1-Input'!$B$26,0,(MAX(0,P121-IF($A134&gt;='1-Input'!$C$12,'1-Input'!$B$12,0))-MIN(MAX(T133,0),MAX(0,P121-IF($A134&gt;='1-Input'!$C$12,'1-Input'!$B$12,0))))*(1/(1-'P-Parametri'!$B$6*P134))+MIN(MAX(0,U133-(MAX(0,P121-IF($A134&gt;='1-Input'!$C$12,'1-Input'!$B$12,0))-MIN(MAX(T133,0),MAX(0,P121-IF($A134&gt;='1-Input'!$C$12,'1-Input'!$B$12,0))))*(1/(1-'P-Parametri'!$B$6*P134))),MAX(0,0*P121-(T133-MIN(MAX(T133,0),MAX(0,P121-IF($A134&gt;='1-Input'!$C$12,'1-Input'!$B$12,0)))))*(1/(1-'P-Parametri'!$B$6*P134))))</f>
        <v>19001.302344360105</v>
      </c>
      <c r="R134" s="18">
        <f>IF($A134&gt;'1-Input'!$B$26,T133,(T133-MAX(0,P121-IF($A134&gt;='1-Input'!$C$12,'1-Input'!$B$12,0))+Q134*(1-'P-Parametri'!$B$6*P134))*(1+'1-Input'!$B$27))</f>
        <v>0</v>
      </c>
      <c r="S134" s="18">
        <f>IF($A134&gt;'1-Input'!$B$26,U133,(U133-Q134)*(1+$B$4))</f>
        <v>305772.08717770485</v>
      </c>
      <c r="T134" s="18">
        <f>IF($A134&gt;'1-Input'!$B$26,R134,R134-'P-Parametri'!$B$8*(S134+R134)+MIN(MAX(S134,0),'P-Parametri'!$B$8*(S134+R134)))</f>
        <v>0</v>
      </c>
      <c r="U134" s="18">
        <f>IF($A134&gt;'1-Input'!$B$26,S134,S134-MIN(MAX(S134,0),'P-Parametri'!$B$8*(S134+R134)))</f>
        <v>305160.54300334945</v>
      </c>
      <c r="V134" s="18">
        <f>IF($A134&gt;'1-Input'!$B$26,V133,V133-Q134*(1-P134))</f>
        <v>196611.56139460602</v>
      </c>
      <c r="W134" s="11">
        <f>IF($A134&gt;'1-Input'!$B$26,0,IF(AB133&lt;=0,0,MAX(0,(AB133-AC133)/AB133)))</f>
        <v>0.34413963526386709</v>
      </c>
      <c r="X134" s="18">
        <f>IF($A134&gt;'1-Input'!$B$26,0,(MAX(0,W121-IF($A134&gt;='1-Input'!$C$12,'1-Input'!$B$12,0))-MIN(MAX(AA133,0),MAX(0,W121-IF($A134&gt;='1-Input'!$C$12,'1-Input'!$B$12,0))))*(1/(1-'P-Parametri'!$B$6*W134))+MIN(MAX(0,AB133-(MAX(0,W121-IF($A134&gt;='1-Input'!$C$12,'1-Input'!$B$12,0))-MIN(MAX(AA133,0),MAX(0,W121-IF($A134&gt;='1-Input'!$C$12,'1-Input'!$B$12,0))))*(1/(1-'P-Parametri'!$B$6*W134))),MAX(0,0*W121-(AA133-MIN(MAX(AA133,0),MAX(0,W121-IF($A134&gt;='1-Input'!$C$12,'1-Input'!$B$12,0)))))*(1/(1-'P-Parametri'!$B$6*W134))))</f>
        <v>18899.969081513951</v>
      </c>
      <c r="Y134" s="18">
        <f>IF($A134&gt;'1-Input'!$B$26,AA133,(AA133-MAX(0,W121-IF($A134&gt;='1-Input'!$C$12,'1-Input'!$B$12,0))+X134*(1-'P-Parametri'!$B$6*W134))*(1+'1-Input'!$B$27))</f>
        <v>0</v>
      </c>
      <c r="Z134" s="18">
        <f>IF($A134&gt;'1-Input'!$B$26,AB133,(AB133-X134)*(1+$B$4))</f>
        <v>306994.50834651047</v>
      </c>
      <c r="AA134" s="18">
        <f>IF($A134&gt;'1-Input'!$B$26,Y134,Y134-'P-Parametri'!$B$8*(Z134+Y134)+MIN(MAX(Z134,0),'P-Parametri'!$B$8*(Z134+Y134)))</f>
        <v>0</v>
      </c>
      <c r="AB134" s="18">
        <f>IF($A134&gt;'1-Input'!$B$26,Z134,Z134-MIN(MAX(Z134,0),'P-Parametri'!$B$8*(Z134+Y134)))</f>
        <v>306380.51932981744</v>
      </c>
      <c r="AC134" s="18">
        <f>IF($A134&gt;'1-Input'!$B$26,AC133,AC133-X134*(1-W134))</f>
        <v>197397.57864326681</v>
      </c>
      <c r="AD134" s="11">
        <f>IF($A134&gt;'1-Input'!$B$26,0,IF(AI133&lt;=0,0,MAX(0,(AI133-AJ133)/AI133)))</f>
        <v>0.34413963526386698</v>
      </c>
      <c r="AE134" s="18">
        <f>IF($A134&gt;'1-Input'!$B$26,0,(MAX(0,AD121-IF($A134&gt;='1-Input'!$C$12,'1-Input'!$B$12,0))-MIN(MAX(AH133,0),MAX(0,AD121-IF($A134&gt;='1-Input'!$C$12,'1-Input'!$B$12,0))))*(1/(1-'P-Parametri'!$B$6*AD134))+MIN(MAX(0,AI133-(MAX(0,AD121-IF($A134&gt;='1-Input'!$C$12,'1-Input'!$B$12,0))-MIN(MAX(AH133,0),MAX(0,AD121-IF($A134&gt;='1-Input'!$C$12,'1-Input'!$B$12,0))))*(1/(1-'P-Parametri'!$B$6*AD134))),MAX(0,0*AD121-(AH133-MIN(MAX(AH133,0),MAX(0,AD121-IF($A134&gt;='1-Input'!$C$12,'1-Input'!$B$12,0)))))*(1/(1-'P-Parametri'!$B$6*AD134))))</f>
        <v>18914.592644921631</v>
      </c>
      <c r="AF134" s="18">
        <f>IF($A134&gt;'1-Input'!$B$26,AH133,(AH133-MAX(0,AD121-IF($A134&gt;='1-Input'!$C$12,'1-Input'!$B$12,0))+AE134*(1-'P-Parametri'!$B$6*AD134))*(1+'1-Input'!$B$27))</f>
        <v>0</v>
      </c>
      <c r="AG134" s="18">
        <f>IF($A134&gt;'1-Input'!$B$26,AI133,(AI133-AE134)*(1+$B$4))</f>
        <v>306818.09881452826</v>
      </c>
      <c r="AH134" s="18">
        <f>IF($A134&gt;'1-Input'!$B$26,AF134,AF134-'P-Parametri'!$B$8*(AG134+AF134)+MIN(MAX(AG134,0),'P-Parametri'!$B$8*(AG134+AF134)))</f>
        <v>0</v>
      </c>
      <c r="AI134" s="18">
        <f>IF($A134&gt;'1-Input'!$B$26,AG134,AG134-MIN(MAX(AG134,0),'P-Parametri'!$B$8*(AG134+AF134)))</f>
        <v>306204.46261689923</v>
      </c>
      <c r="AJ134" s="18">
        <f>IF($A134&gt;'1-Input'!$B$26,AJ133,AJ133-AE134*(1-AD134))</f>
        <v>197284.14725112097</v>
      </c>
      <c r="AK134" s="11">
        <f>IF($A134&gt;'1-Input'!$B$26,0,IF(AP133&lt;=0,0,MAX(0,(AP133-AQ133)/AP133)))</f>
        <v>0.34413963526386698</v>
      </c>
      <c r="AL134" s="18">
        <f>IF($A134&gt;'1-Input'!$B$26,0,(MAX(0,AK121-IF($A134&gt;='1-Input'!$C$12,'1-Input'!$B$12,0))-MIN(MAX(AO133,0),MAX(0,AK121-IF($A134&gt;='1-Input'!$C$12,'1-Input'!$B$12,0))))*(1/(1-'P-Parametri'!$B$6*AK134))+MIN(MAX(0,AP133-(MAX(0,AK121-IF($A134&gt;='1-Input'!$C$12,'1-Input'!$B$12,0))-MIN(MAX(AO133,0),MAX(0,AK121-IF($A134&gt;='1-Input'!$C$12,'1-Input'!$B$12,0))))*(1/(1-'P-Parametri'!$B$6*AK134))),MAX(0,0*AK121-(AO133-MIN(MAX(AO133,0),MAX(0,AK121-IF($A134&gt;='1-Input'!$C$12,'1-Input'!$B$12,0)))))*(1/(1-'P-Parametri'!$B$6*AK134))))</f>
        <v>18914.592644921631</v>
      </c>
      <c r="AM134" s="18">
        <f>IF($A134&gt;'1-Input'!$B$26,AO133,(AO133-MAX(0,AK121-IF($A134&gt;='1-Input'!$C$12,'1-Input'!$B$12,0))+AL134*(1-'P-Parametri'!$B$6*AK134))*(1+'1-Input'!$B$27))</f>
        <v>0</v>
      </c>
      <c r="AN134" s="18">
        <f>IF($A134&gt;'1-Input'!$B$26,AP133,(AP133-AL134)*(1+$B$4))</f>
        <v>306818.09881452826</v>
      </c>
      <c r="AO134" s="18">
        <f>IF($A134&gt;'1-Input'!$B$26,AM134,AM134-'P-Parametri'!$B$8*(AN134+AM134)+MIN(MAX(AN134,0),'P-Parametri'!$B$8*(AN134+AM134)))</f>
        <v>0</v>
      </c>
      <c r="AP134" s="18">
        <f>IF($A134&gt;'1-Input'!$B$26,AN134,AN134-MIN(MAX(AN134,0),'P-Parametri'!$B$8*(AN134+AM134)))</f>
        <v>306204.46261689923</v>
      </c>
      <c r="AQ134" s="18">
        <f>IF($A134&gt;'1-Input'!$B$26,AQ133,AQ133-AL134*(1-AK134))</f>
        <v>197284.14725112097</v>
      </c>
    </row>
    <row r="135" spans="1:43">
      <c r="A135" s="10">
        <f>12</f>
        <v>12</v>
      </c>
      <c r="B135" s="11">
        <f>IF($A135&gt;'1-Input'!$B$26,0,IF(G134&lt;=0,0,MAX(0,(G134-H134)/G134)))</f>
        <v>0.35571106454464529</v>
      </c>
      <c r="C135" s="18">
        <f>IF($A135&gt;'1-Input'!$B$26,0,(MAX(0,B121-IF($A135&gt;='1-Input'!$C$12,'1-Input'!$B$12,0))-MIN(MAX(F134,0),MAX(0,B121-IF($A135&gt;='1-Input'!$C$12,'1-Input'!$B$12,0))))*(1/(1-'P-Parametri'!$B$6*B135))+MIN(MAX(0,G134-(MAX(0,B121-IF($A135&gt;='1-Input'!$C$12,'1-Input'!$B$12,0))-MIN(MAX(F134,0),MAX(0,B121-IF($A135&gt;='1-Input'!$C$12,'1-Input'!$B$12,0))))*(1/(1-'P-Parametri'!$B$6*B135))),MAX(0,0*B121-(F134-MIN(MAX(F134,0),MAX(0,B121-IF($A135&gt;='1-Input'!$C$12,'1-Input'!$B$12,0)))))*(1/(1-'P-Parametri'!$B$6*B135))))</f>
        <v>18381.021856107989</v>
      </c>
      <c r="D135" s="18">
        <f>IF($A135&gt;'1-Input'!$B$26,F134,(F134-MAX(0,B121-IF($A135&gt;='1-Input'!$C$12,'1-Input'!$B$12,0))+C135*(1-'P-Parametri'!$B$6*B135))*(1+'1-Input'!$B$27))</f>
        <v>0</v>
      </c>
      <c r="E135" s="18">
        <f>IF($A135&gt;'1-Input'!$B$26,G134,(G134-C135)*(1+$B$4))</f>
        <v>300878.0040307017</v>
      </c>
      <c r="F135" s="18">
        <f>IF($A135&gt;'1-Input'!$B$26,D135,D135-'P-Parametri'!$B$8*(E135+D135)+MIN(MAX(E135,0),'P-Parametri'!$B$8*(E135+D135)))</f>
        <v>0</v>
      </c>
      <c r="G135" s="18">
        <f>IF($A135&gt;'1-Input'!$B$26,E135,E135-MIN(MAX(E135,0),'P-Parametri'!$B$8*(E135+D135)))</f>
        <v>300276.2480226403</v>
      </c>
      <c r="H135" s="18">
        <f>IF($A135&gt;'1-Input'!$B$26,H134,H134-C135*(1-B135))</f>
        <v>190051.3420773262</v>
      </c>
      <c r="I135" s="11">
        <f>IF($A135&gt;'1-Input'!$B$26,0,IF(N134&lt;=0,0,MAX(0,(N134-O134)/N134)))</f>
        <v>0.35571106454464535</v>
      </c>
      <c r="J135" s="18">
        <f>IF($A135&gt;'1-Input'!$B$26,0,(MAX(0,I121-IF($A135&gt;='1-Input'!$C$12,'1-Input'!$B$12,0))-MIN(MAX(M134,0),MAX(0,I121-IF($A135&gt;='1-Input'!$C$12,'1-Input'!$B$12,0))))*(1/(1-'P-Parametri'!$B$6*I135))+MIN(MAX(0,N134-(MAX(0,I121-IF($A135&gt;='1-Input'!$C$12,'1-Input'!$B$12,0))-MIN(MAX(M134,0),MAX(0,I121-IF($A135&gt;='1-Input'!$C$12,'1-Input'!$B$12,0))))*(1/(1-'P-Parametri'!$B$6*I135))),MAX(0,0*I121-(M134-MIN(MAX(M134,0),MAX(0,I121-IF($A135&gt;='1-Input'!$C$12,'1-Input'!$B$12,0)))))*(1/(1-'P-Parametri'!$B$6*I135))))</f>
        <v>24185.555073826305</v>
      </c>
      <c r="K135" s="18">
        <f>IF($A135&gt;'1-Input'!$B$26,M134,(M134-MAX(0,I121-IF($A135&gt;='1-Input'!$C$12,'1-Input'!$B$12,0))+J135*(1-'P-Parametri'!$B$6*I135))*(1+'1-Input'!$B$27))</f>
        <v>0</v>
      </c>
      <c r="L135" s="18">
        <f>IF($A135&gt;'1-Input'!$B$26,N134,(N134-J135)*(1+$B$4))</f>
        <v>223913.04274676892</v>
      </c>
      <c r="M135" s="18">
        <f>IF($A135&gt;'1-Input'!$B$26,K135,K135-'P-Parametri'!$B$8*(L135+K135)+MIN(MAX(L135,0),'P-Parametri'!$B$8*(L135+K135)))</f>
        <v>0</v>
      </c>
      <c r="N135" s="18">
        <f>IF($A135&gt;'1-Input'!$B$26,L135,L135-MIN(MAX(L135,0),'P-Parametri'!$B$8*(L135+K135)))</f>
        <v>223465.21666127536</v>
      </c>
      <c r="O135" s="18">
        <f>IF($A135&gt;'1-Input'!$B$26,O134,O134-J135*(1-I135))</f>
        <v>141435.9764175344</v>
      </c>
      <c r="P135" s="11">
        <f>IF($A135&gt;'1-Input'!$B$26,0,IF(U134&lt;=0,0,MAX(0,(U134-V134)/U134)))</f>
        <v>0.35571106454464524</v>
      </c>
      <c r="Q135" s="18">
        <f>IF($A135&gt;'1-Input'!$B$26,0,(MAX(0,P121-IF($A135&gt;='1-Input'!$C$12,'1-Input'!$B$12,0))-MIN(MAX(T134,0),MAX(0,P121-IF($A135&gt;='1-Input'!$C$12,'1-Input'!$B$12,0))))*(1/(1-'P-Parametri'!$B$6*P135))+MIN(MAX(0,U134-(MAX(0,P121-IF($A135&gt;='1-Input'!$C$12,'1-Input'!$B$12,0))-MIN(MAX(T134,0),MAX(0,P121-IF($A135&gt;='1-Input'!$C$12,'1-Input'!$B$12,0))))*(1/(1-'P-Parametri'!$B$6*P135))),MAX(0,0*P121-(T134-MIN(MAX(T134,0),MAX(0,P121-IF($A135&gt;='1-Input'!$C$12,'1-Input'!$B$12,0)))))*(1/(1-'P-Parametri'!$B$6*P135))))</f>
        <v>19064.29499030146</v>
      </c>
      <c r="R135" s="18">
        <f>IF($A135&gt;'1-Input'!$B$26,T134,(T134-MAX(0,P121-IF($A135&gt;='1-Input'!$C$12,'1-Input'!$B$12,0))+Q135*(1-'P-Parametri'!$B$6*P135))*(1+'1-Input'!$B$27))</f>
        <v>0</v>
      </c>
      <c r="S135" s="18">
        <f>IF($A135&gt;'1-Input'!$B$26,U134,(U134-Q135)*(1+$B$4))</f>
        <v>291818.17297330895</v>
      </c>
      <c r="T135" s="18">
        <f>IF($A135&gt;'1-Input'!$B$26,R135,R135-'P-Parametri'!$B$8*(S135+R135)+MIN(MAX(S135,0),'P-Parametri'!$B$8*(S135+R135)))</f>
        <v>0</v>
      </c>
      <c r="U135" s="18">
        <f>IF($A135&gt;'1-Input'!$B$26,S135,S135-MIN(MAX(S135,0),'P-Parametri'!$B$8*(S135+R135)))</f>
        <v>291234.53662736231</v>
      </c>
      <c r="V135" s="18">
        <f>IF($A135&gt;'1-Input'!$B$26,V134,V134-Q135*(1-P135))</f>
        <v>184328.64707009785</v>
      </c>
      <c r="W135" s="11">
        <f>IF($A135&gt;'1-Input'!$B$26,0,IF(AB134&lt;=0,0,MAX(0,(AB134-AC134)/AB134)))</f>
        <v>0.35571106454464529</v>
      </c>
      <c r="X135" s="18">
        <f>IF($A135&gt;'1-Input'!$B$26,0,(MAX(0,W121-IF($A135&gt;='1-Input'!$C$12,'1-Input'!$B$12,0))-MIN(MAX(AA134,0),MAX(0,W121-IF($A135&gt;='1-Input'!$C$12,'1-Input'!$B$12,0))))*(1/(1-'P-Parametri'!$B$6*W135))+MIN(MAX(0,AB134-(MAX(0,W121-IF($A135&gt;='1-Input'!$C$12,'1-Input'!$B$12,0))-MIN(MAX(AA134,0),MAX(0,W121-IF($A135&gt;='1-Input'!$C$12,'1-Input'!$B$12,0))))*(1/(1-'P-Parametri'!$B$6*W135))),MAX(0,0*W121-(AA134-MIN(MAX(AA134,0),MAX(0,W121-IF($A135&gt;='1-Input'!$C$12,'1-Input'!$B$12,0)))))*(1/(1-'P-Parametri'!$B$6*W135))))</f>
        <v>18962.62578993729</v>
      </c>
      <c r="Y135" s="18">
        <f>IF($A135&gt;'1-Input'!$B$26,AA134,(AA134-MAX(0,W121-IF($A135&gt;='1-Input'!$C$12,'1-Input'!$B$12,0))+X135*(1-'P-Parametri'!$B$6*W135))*(1+'1-Input'!$B$27))</f>
        <v>0</v>
      </c>
      <c r="Z135" s="18">
        <f>IF($A135&gt;'1-Input'!$B$26,AB134,(AB134-X135)*(1+$B$4))</f>
        <v>293166.2514106778</v>
      </c>
      <c r="AA135" s="18">
        <f>IF($A135&gt;'1-Input'!$B$26,Y135,Y135-'P-Parametri'!$B$8*(Z135+Y135)+MIN(MAX(Z135,0),'P-Parametri'!$B$8*(Z135+Y135)))</f>
        <v>0</v>
      </c>
      <c r="AB135" s="18">
        <f>IF($A135&gt;'1-Input'!$B$26,Z135,Z135-MIN(MAX(Z135,0),'P-Parametri'!$B$8*(Z135+Y135)))</f>
        <v>292579.91890785645</v>
      </c>
      <c r="AC135" s="18">
        <f>IF($A135&gt;'1-Input'!$B$26,AC134,AC134-X135*(1-W135))</f>
        <v>185180.16865962985</v>
      </c>
      <c r="AD135" s="11">
        <f>IF($A135&gt;'1-Input'!$B$26,0,IF(AI134&lt;=0,0,MAX(0,(AI134-AJ134)/AI134)))</f>
        <v>0.35571106454464524</v>
      </c>
      <c r="AE135" s="18">
        <f>IF($A135&gt;'1-Input'!$B$26,0,(MAX(0,AD121-IF($A135&gt;='1-Input'!$C$12,'1-Input'!$B$12,0))-MIN(MAX(AH134,0),MAX(0,AD121-IF($A135&gt;='1-Input'!$C$12,'1-Input'!$B$12,0))))*(1/(1-'P-Parametri'!$B$6*AD135))+MIN(MAX(0,AI134-(MAX(0,AD121-IF($A135&gt;='1-Input'!$C$12,'1-Input'!$B$12,0))-MIN(MAX(AH134,0),MAX(0,AD121-IF($A135&gt;='1-Input'!$C$12,'1-Input'!$B$12,0))))*(1/(1-'P-Parametri'!$B$6*AD135))),MAX(0,0*AD121-(AH134-MIN(MAX(AH134,0),MAX(0,AD121-IF($A135&gt;='1-Input'!$C$12,'1-Input'!$B$12,0)))))*(1/(1-'P-Parametri'!$B$6*AD135))))</f>
        <v>18977.297833019438</v>
      </c>
      <c r="AF135" s="18">
        <f>IF($A135&gt;'1-Input'!$B$26,AH134,(AH134-MAX(0,AD121-IF($A135&gt;='1-Input'!$C$12,'1-Input'!$B$12,0))+AE135*(1-'P-Parametri'!$B$6*AD135))*(1+'1-Input'!$B$27))</f>
        <v>0</v>
      </c>
      <c r="AG135" s="18">
        <f>IF($A135&gt;'1-Input'!$B$26,AI134,(AI134-AE135)*(1+$B$4))</f>
        <v>292971.70807955734</v>
      </c>
      <c r="AH135" s="18">
        <f>IF($A135&gt;'1-Input'!$B$26,AF135,AF135-'P-Parametri'!$B$8*(AG135+AF135)+MIN(MAX(AG135,0),'P-Parametri'!$B$8*(AG135+AF135)))</f>
        <v>0</v>
      </c>
      <c r="AI135" s="18">
        <f>IF($A135&gt;'1-Input'!$B$26,AG135,AG135-MIN(MAX(AG135,0),'P-Parametri'!$B$8*(AG135+AF135)))</f>
        <v>292385.76466339821</v>
      </c>
      <c r="AJ135" s="18">
        <f>IF($A135&gt;'1-Input'!$B$26,AJ134,AJ134-AE135*(1-AD135))</f>
        <v>185057.28423246567</v>
      </c>
      <c r="AK135" s="11">
        <f>IF($A135&gt;'1-Input'!$B$26,0,IF(AP134&lt;=0,0,MAX(0,(AP134-AQ134)/AP134)))</f>
        <v>0.35571106454464524</v>
      </c>
      <c r="AL135" s="18">
        <f>IF($A135&gt;'1-Input'!$B$26,0,(MAX(0,AK121-IF($A135&gt;='1-Input'!$C$12,'1-Input'!$B$12,0))-MIN(MAX(AO134,0),MAX(0,AK121-IF($A135&gt;='1-Input'!$C$12,'1-Input'!$B$12,0))))*(1/(1-'P-Parametri'!$B$6*AK135))+MIN(MAX(0,AP134-(MAX(0,AK121-IF($A135&gt;='1-Input'!$C$12,'1-Input'!$B$12,0))-MIN(MAX(AO134,0),MAX(0,AK121-IF($A135&gt;='1-Input'!$C$12,'1-Input'!$B$12,0))))*(1/(1-'P-Parametri'!$B$6*AK135))),MAX(0,0*AK121-(AO134-MIN(MAX(AO134,0),MAX(0,AK121-IF($A135&gt;='1-Input'!$C$12,'1-Input'!$B$12,0)))))*(1/(1-'P-Parametri'!$B$6*AK135))))</f>
        <v>18977.297833019438</v>
      </c>
      <c r="AM135" s="18">
        <f>IF($A135&gt;'1-Input'!$B$26,AO134,(AO134-MAX(0,AK121-IF($A135&gt;='1-Input'!$C$12,'1-Input'!$B$12,0))+AL135*(1-'P-Parametri'!$B$6*AK135))*(1+'1-Input'!$B$27))</f>
        <v>0</v>
      </c>
      <c r="AN135" s="18">
        <f>IF($A135&gt;'1-Input'!$B$26,AP134,(AP134-AL135)*(1+$B$4))</f>
        <v>292971.70807955734</v>
      </c>
      <c r="AO135" s="18">
        <f>IF($A135&gt;'1-Input'!$B$26,AM135,AM135-'P-Parametri'!$B$8*(AN135+AM135)+MIN(MAX(AN135,0),'P-Parametri'!$B$8*(AN135+AM135)))</f>
        <v>0</v>
      </c>
      <c r="AP135" s="18">
        <f>IF($A135&gt;'1-Input'!$B$26,AN135,AN135-MIN(MAX(AN135,0),'P-Parametri'!$B$8*(AN135+AM135)))</f>
        <v>292385.76466339821</v>
      </c>
      <c r="AQ135" s="18">
        <f>IF($A135&gt;'1-Input'!$B$26,AQ134,AQ134-AL135*(1-AK135))</f>
        <v>185057.28423246567</v>
      </c>
    </row>
    <row r="136" spans="1:43">
      <c r="A136" s="10">
        <f>13</f>
        <v>13</v>
      </c>
      <c r="B136" s="11">
        <f>IF($A136&gt;'1-Input'!$B$26,0,IF(G135&lt;=0,0,MAX(0,(G135-H135)/G135)))</f>
        <v>0.36707833760132547</v>
      </c>
      <c r="C136" s="18">
        <f>IF($A136&gt;'1-Input'!$B$26,0,(MAX(0,B121-IF($A136&gt;='1-Input'!$C$12,'1-Input'!$B$12,0))-MIN(MAX(F135,0),MAX(0,B121-IF($A136&gt;='1-Input'!$C$12,'1-Input'!$B$12,0))))*(1/(1-'P-Parametri'!$B$6*B136))+MIN(MAX(0,G135-(MAX(0,B121-IF($A136&gt;='1-Input'!$C$12,'1-Input'!$B$12,0))-MIN(MAX(F135,0),MAX(0,B121-IF($A136&gt;='1-Input'!$C$12,'1-Input'!$B$12,0))))*(1/(1-'P-Parametri'!$B$6*B136))),MAX(0,0*B121-(F135-MIN(MAX(F135,0),MAX(0,B121-IF($A136&gt;='1-Input'!$C$12,'1-Input'!$B$12,0)))))*(1/(1-'P-Parametri'!$B$6*B136))))</f>
        <v>18441.078642454118</v>
      </c>
      <c r="D136" s="18">
        <f>IF($A136&gt;'1-Input'!$B$26,F135,(F135-MAX(0,B121-IF($A136&gt;='1-Input'!$C$12,'1-Input'!$B$12,0))+C136*(1-'P-Parametri'!$B$6*B136))*(1+'1-Input'!$B$27))</f>
        <v>0</v>
      </c>
      <c r="E136" s="18">
        <f>IF($A136&gt;'1-Input'!$B$26,G135,(G135-C136)*(1+$B$4))</f>
        <v>287471.87276778993</v>
      </c>
      <c r="F136" s="18">
        <f>IF($A136&gt;'1-Input'!$B$26,D136,D136-'P-Parametri'!$B$8*(E136+D136)+MIN(MAX(E136,0),'P-Parametri'!$B$8*(E136+D136)))</f>
        <v>0</v>
      </c>
      <c r="G136" s="18">
        <f>IF($A136&gt;'1-Input'!$B$26,E136,E136-MIN(MAX(E136,0),'P-Parametri'!$B$8*(E136+D136)))</f>
        <v>286896.92902225436</v>
      </c>
      <c r="H136" s="18">
        <f>IF($A136&gt;'1-Input'!$B$26,H135,H135-C136*(1-B136))</f>
        <v>178379.58392651944</v>
      </c>
      <c r="I136" s="11">
        <f>IF($A136&gt;'1-Input'!$B$26,0,IF(N135&lt;=0,0,MAX(0,(N135-O135)/N135)))</f>
        <v>0.36707833760132541</v>
      </c>
      <c r="J136" s="18">
        <f>IF($A136&gt;'1-Input'!$B$26,0,(MAX(0,I121-IF($A136&gt;='1-Input'!$C$12,'1-Input'!$B$12,0))-MIN(MAX(M135,0),MAX(0,I121-IF($A136&gt;='1-Input'!$C$12,'1-Input'!$B$12,0))))*(1/(1-'P-Parametri'!$B$6*I136))+MIN(MAX(0,N135-(MAX(0,I121-IF($A136&gt;='1-Input'!$C$12,'1-Input'!$B$12,0))-MIN(MAX(M135,0),MAX(0,I121-IF($A136&gt;='1-Input'!$C$12,'1-Input'!$B$12,0))))*(1/(1-'P-Parametri'!$B$6*I136))),MAX(0,0*I121-(M135-MIN(MAX(M135,0),MAX(0,I121-IF($A136&gt;='1-Input'!$C$12,'1-Input'!$B$12,0)))))*(1/(1-'P-Parametri'!$B$6*I136))))</f>
        <v>24264.577161123842</v>
      </c>
      <c r="K136" s="18">
        <f>IF($A136&gt;'1-Input'!$B$26,M135,(M135-MAX(0,I121-IF($A136&gt;='1-Input'!$C$12,'1-Input'!$B$12,0))+J136*(1-'P-Parametri'!$B$6*I136))*(1+'1-Input'!$B$27))</f>
        <v>0</v>
      </c>
      <c r="L136" s="18">
        <f>IF($A136&gt;'1-Input'!$B$26,N135,(N135-J136)*(1+$B$4))</f>
        <v>203184.65229015457</v>
      </c>
      <c r="M136" s="18">
        <f>IF($A136&gt;'1-Input'!$B$26,K136,K136-'P-Parametri'!$B$8*(L136+K136)+MIN(MAX(L136,0),'P-Parametri'!$B$8*(L136+K136)))</f>
        <v>0</v>
      </c>
      <c r="N136" s="18">
        <f>IF($A136&gt;'1-Input'!$B$26,L136,L136-MIN(MAX(L136,0),'P-Parametri'!$B$8*(L136+K136)))</f>
        <v>202778.28298557425</v>
      </c>
      <c r="O136" s="18">
        <f>IF($A136&gt;'1-Input'!$B$26,O135,O135-J136*(1-I136))</f>
        <v>126078.39990331499</v>
      </c>
      <c r="P136" s="11">
        <f>IF($A136&gt;'1-Input'!$B$26,0,IF(U135&lt;=0,0,MAX(0,(U135-V135)/U135)))</f>
        <v>0.36707833760132536</v>
      </c>
      <c r="Q136" s="18">
        <f>IF($A136&gt;'1-Input'!$B$26,0,(MAX(0,P121-IF($A136&gt;='1-Input'!$C$12,'1-Input'!$B$12,0))-MIN(MAX(T135,0),MAX(0,P121-IF($A136&gt;='1-Input'!$C$12,'1-Input'!$B$12,0))))*(1/(1-'P-Parametri'!$B$6*P136))+MIN(MAX(0,U135-(MAX(0,P121-IF($A136&gt;='1-Input'!$C$12,'1-Input'!$B$12,0))-MIN(MAX(T135,0),MAX(0,P121-IF($A136&gt;='1-Input'!$C$12,'1-Input'!$B$12,0))))*(1/(1-'P-Parametri'!$B$6*P136))),MAX(0,0*P121-(T135-MIN(MAX(T135,0),MAX(0,P121-IF($A136&gt;='1-Input'!$C$12,'1-Input'!$B$12,0)))))*(1/(1-'P-Parametri'!$B$6*P136))))</f>
        <v>19126.584252565277</v>
      </c>
      <c r="R136" s="18">
        <f>IF($A136&gt;'1-Input'!$B$26,T135,(T135-MAX(0,P121-IF($A136&gt;='1-Input'!$C$12,'1-Input'!$B$12,0))+Q136*(1-'P-Parametri'!$B$6*P136))*(1+'1-Input'!$B$27))</f>
        <v>0</v>
      </c>
      <c r="S136" s="18">
        <f>IF($A136&gt;'1-Input'!$B$26,U135,(U135-Q136)*(1+$B$4))</f>
        <v>277550.11142229295</v>
      </c>
      <c r="T136" s="18">
        <f>IF($A136&gt;'1-Input'!$B$26,R136,R136-'P-Parametri'!$B$8*(S136+R136)+MIN(MAX(S136,0),'P-Parametri'!$B$8*(S136+R136)))</f>
        <v>0</v>
      </c>
      <c r="U136" s="18">
        <f>IF($A136&gt;'1-Input'!$B$26,S136,S136-MIN(MAX(S136,0),'P-Parametri'!$B$8*(S136+R136)))</f>
        <v>276995.01119944837</v>
      </c>
      <c r="V136" s="18">
        <f>IF($A136&gt;'1-Input'!$B$26,V135,V135-Q136*(1-P136))</f>
        <v>172223.01756895593</v>
      </c>
      <c r="W136" s="11">
        <f>IF($A136&gt;'1-Input'!$B$26,0,IF(AB135&lt;=0,0,MAX(0,(AB135-AC135)/AB135)))</f>
        <v>0.36707833760132558</v>
      </c>
      <c r="X136" s="18">
        <f>IF($A136&gt;'1-Input'!$B$26,0,(MAX(0,W121-IF($A136&gt;='1-Input'!$C$12,'1-Input'!$B$12,0))-MIN(MAX(AA135,0),MAX(0,W121-IF($A136&gt;='1-Input'!$C$12,'1-Input'!$B$12,0))))*(1/(1-'P-Parametri'!$B$6*W136))+MIN(MAX(0,AB135-(MAX(0,W121-IF($A136&gt;='1-Input'!$C$12,'1-Input'!$B$12,0))-MIN(MAX(AA135,0),MAX(0,W121-IF($A136&gt;='1-Input'!$C$12,'1-Input'!$B$12,0))))*(1/(1-'P-Parametri'!$B$6*W136))),MAX(0,0*W121-(AA135-MIN(MAX(AA135,0),MAX(0,W121-IF($A136&gt;='1-Input'!$C$12,'1-Input'!$B$12,0)))))*(1/(1-'P-Parametri'!$B$6*W136))))</f>
        <v>19024.582865802986</v>
      </c>
      <c r="Y136" s="18">
        <f>IF($A136&gt;'1-Input'!$B$26,AA135,(AA135-MAX(0,W121-IF($A136&gt;='1-Input'!$C$12,'1-Input'!$B$12,0))+X136*(1-'P-Parametri'!$B$6*W136))*(1+'1-Input'!$B$27))</f>
        <v>0</v>
      </c>
      <c r="Z136" s="18">
        <f>IF($A136&gt;'1-Input'!$B$26,AB135,(AB135-X136)*(1+$B$4))</f>
        <v>279026.44276289456</v>
      </c>
      <c r="AA136" s="18">
        <f>IF($A136&gt;'1-Input'!$B$26,Y136,Y136-'P-Parametri'!$B$8*(Z136+Y136)+MIN(MAX(Z136,0),'P-Parametri'!$B$8*(Z136+Y136)))</f>
        <v>0</v>
      </c>
      <c r="AB136" s="18">
        <f>IF($A136&gt;'1-Input'!$B$26,Z136,Z136-MIN(MAX(Z136,0),'P-Parametri'!$B$8*(Z136+Y136)))</f>
        <v>278468.38987736875</v>
      </c>
      <c r="AC136" s="18">
        <f>IF($A136&gt;'1-Input'!$B$26,AC135,AC135-X136*(1-W136))</f>
        <v>173139.09804576449</v>
      </c>
      <c r="AD136" s="11">
        <f>IF($A136&gt;'1-Input'!$B$26,0,IF(AI135&lt;=0,0,MAX(0,(AI135-AJ135)/AI135)))</f>
        <v>0.3670783376013253</v>
      </c>
      <c r="AE136" s="18">
        <f>IF($A136&gt;'1-Input'!$B$26,0,(MAX(0,AD121-IF($A136&gt;='1-Input'!$C$12,'1-Input'!$B$12,0))-MIN(MAX(AH135,0),MAX(0,AD121-IF($A136&gt;='1-Input'!$C$12,'1-Input'!$B$12,0))))*(1/(1-'P-Parametri'!$B$6*AD136))+MIN(MAX(0,AI135-(MAX(0,AD121-IF($A136&gt;='1-Input'!$C$12,'1-Input'!$B$12,0))-MIN(MAX(AH135,0),MAX(0,AD121-IF($A136&gt;='1-Input'!$C$12,'1-Input'!$B$12,0))))*(1/(1-'P-Parametri'!$B$6*AD136))),MAX(0,0*AD121-(AH135-MIN(MAX(AH135,0),MAX(0,AD121-IF($A136&gt;='1-Input'!$C$12,'1-Input'!$B$12,0)))))*(1/(1-'P-Parametri'!$B$6*AD136))))</f>
        <v>19039.302847229555</v>
      </c>
      <c r="AF136" s="18">
        <f>IF($A136&gt;'1-Input'!$B$26,AH135,(AH135-MAX(0,AD121-IF($A136&gt;='1-Input'!$C$12,'1-Input'!$B$12,0))+AE136*(1-'P-Parametri'!$B$6*AD136))*(1+'1-Input'!$B$27))</f>
        <v>0</v>
      </c>
      <c r="AG136" s="18">
        <f>IF($A136&gt;'1-Input'!$B$26,AI135,(AI135-AE136)*(1+$B$4))</f>
        <v>278813.39105249202</v>
      </c>
      <c r="AH136" s="18">
        <f>IF($A136&gt;'1-Input'!$B$26,AF136,AF136-'P-Parametri'!$B$8*(AG136+AF136)+MIN(MAX(AG136,0),'P-Parametri'!$B$8*(AG136+AF136)))</f>
        <v>0</v>
      </c>
      <c r="AI136" s="18">
        <f>IF($A136&gt;'1-Input'!$B$26,AG136,AG136-MIN(MAX(AG136,0),'P-Parametri'!$B$8*(AG136+AF136)))</f>
        <v>278255.76427038707</v>
      </c>
      <c r="AJ136" s="18">
        <f>IF($A136&gt;'1-Input'!$B$26,AJ135,AJ135-AE136*(1-AD136))</f>
        <v>173006.8970234853</v>
      </c>
      <c r="AK136" s="11">
        <f>IF($A136&gt;'1-Input'!$B$26,0,IF(AP135&lt;=0,0,MAX(0,(AP135-AQ135)/AP135)))</f>
        <v>0.3670783376013253</v>
      </c>
      <c r="AL136" s="18">
        <f>IF($A136&gt;'1-Input'!$B$26,0,(MAX(0,AK121-IF($A136&gt;='1-Input'!$C$12,'1-Input'!$B$12,0))-MIN(MAX(AO135,0),MAX(0,AK121-IF($A136&gt;='1-Input'!$C$12,'1-Input'!$B$12,0))))*(1/(1-'P-Parametri'!$B$6*AK136))+MIN(MAX(0,AP135-(MAX(0,AK121-IF($A136&gt;='1-Input'!$C$12,'1-Input'!$B$12,0))-MIN(MAX(AO135,0),MAX(0,AK121-IF($A136&gt;='1-Input'!$C$12,'1-Input'!$B$12,0))))*(1/(1-'P-Parametri'!$B$6*AK136))),MAX(0,0*AK121-(AO135-MIN(MAX(AO135,0),MAX(0,AK121-IF($A136&gt;='1-Input'!$C$12,'1-Input'!$B$12,0)))))*(1/(1-'P-Parametri'!$B$6*AK136))))</f>
        <v>19039.302847229555</v>
      </c>
      <c r="AM136" s="18">
        <f>IF($A136&gt;'1-Input'!$B$26,AO135,(AO135-MAX(0,AK121-IF($A136&gt;='1-Input'!$C$12,'1-Input'!$B$12,0))+AL136*(1-'P-Parametri'!$B$6*AK136))*(1+'1-Input'!$B$27))</f>
        <v>0</v>
      </c>
      <c r="AN136" s="18">
        <f>IF($A136&gt;'1-Input'!$B$26,AP135,(AP135-AL136)*(1+$B$4))</f>
        <v>278813.39105249202</v>
      </c>
      <c r="AO136" s="18">
        <f>IF($A136&gt;'1-Input'!$B$26,AM136,AM136-'P-Parametri'!$B$8*(AN136+AM136)+MIN(MAX(AN136,0),'P-Parametri'!$B$8*(AN136+AM136)))</f>
        <v>0</v>
      </c>
      <c r="AP136" s="18">
        <f>IF($A136&gt;'1-Input'!$B$26,AN136,AN136-MIN(MAX(AN136,0),'P-Parametri'!$B$8*(AN136+AM136)))</f>
        <v>278255.76427038707</v>
      </c>
      <c r="AQ136" s="18">
        <f>IF($A136&gt;'1-Input'!$B$26,AQ135,AQ135-AL136*(1-AK136))</f>
        <v>173006.8970234853</v>
      </c>
    </row>
    <row r="137" spans="1:43">
      <c r="A137" s="10">
        <f>14</f>
        <v>14</v>
      </c>
      <c r="B137" s="11">
        <f>IF($A137&gt;'1-Input'!$B$26,0,IF(G136&lt;=0,0,MAX(0,(G136-H136)/G136)))</f>
        <v>0.37824505638858658</v>
      </c>
      <c r="C137" s="18">
        <f>IF($A137&gt;'1-Input'!$B$26,0,(MAX(0,B121-IF($A137&gt;='1-Input'!$C$12,'1-Input'!$B$12,0))-MIN(MAX(F136,0),MAX(0,B121-IF($A137&gt;='1-Input'!$C$12,'1-Input'!$B$12,0))))*(1/(1-'P-Parametri'!$B$6*B137))+MIN(MAX(0,G136-(MAX(0,B121-IF($A137&gt;='1-Input'!$C$12,'1-Input'!$B$12,0))-MIN(MAX(F136,0),MAX(0,B121-IF($A137&gt;='1-Input'!$C$12,'1-Input'!$B$12,0))))*(1/(1-'P-Parametri'!$B$6*B137))),MAX(0,0*B121-(F136-MIN(MAX(F136,0),MAX(0,B121-IF($A137&gt;='1-Input'!$C$12,'1-Input'!$B$12,0)))))*(1/(1-'P-Parametri'!$B$6*B137))))</f>
        <v>18500.459194774812</v>
      </c>
      <c r="D137" s="18">
        <f>IF($A137&gt;'1-Input'!$B$26,F136,(F136-MAX(0,B121-IF($A137&gt;='1-Input'!$C$12,'1-Input'!$B$12,0))+C137*(1-'P-Parametri'!$B$6*B137))*(1+'1-Input'!$B$27))</f>
        <v>0</v>
      </c>
      <c r="E137" s="18">
        <f>IF($A137&gt;'1-Input'!$B$26,G136,(G136-C137)*(1+$B$4))</f>
        <v>273764.39922402916</v>
      </c>
      <c r="F137" s="18">
        <f>IF($A137&gt;'1-Input'!$B$26,D137,D137-'P-Parametri'!$B$8*(E137+D137)+MIN(MAX(E137,0),'P-Parametri'!$B$8*(E137+D137)))</f>
        <v>0</v>
      </c>
      <c r="G137" s="18">
        <f>IF($A137&gt;'1-Input'!$B$26,E137,E137-MIN(MAX(E137,0),'P-Parametri'!$B$8*(E137+D137)))</f>
        <v>273216.87042558112</v>
      </c>
      <c r="H137" s="18">
        <f>IF($A137&gt;'1-Input'!$B$26,H136,H136-C137*(1-B137))</f>
        <v>166876.83196308697</v>
      </c>
      <c r="I137" s="11">
        <f>IF($A137&gt;'1-Input'!$B$26,0,IF(N136&lt;=0,0,MAX(0,(N136-O136)/N136)))</f>
        <v>0.37824505638858641</v>
      </c>
      <c r="J137" s="18">
        <f>IF($A137&gt;'1-Input'!$B$26,0,(MAX(0,I121-IF($A137&gt;='1-Input'!$C$12,'1-Input'!$B$12,0))-MIN(MAX(M136,0),MAX(0,I121-IF($A137&gt;='1-Input'!$C$12,'1-Input'!$B$12,0))))*(1/(1-'P-Parametri'!$B$6*I137))+MIN(MAX(0,N136-(MAX(0,I121-IF($A137&gt;='1-Input'!$C$12,'1-Input'!$B$12,0))-MIN(MAX(M136,0),MAX(0,I121-IF($A137&gt;='1-Input'!$C$12,'1-Input'!$B$12,0))))*(1/(1-'P-Parametri'!$B$6*I137))),MAX(0,0*I121-(M136-MIN(MAX(M136,0),MAX(0,I121-IF($A137&gt;='1-Input'!$C$12,'1-Input'!$B$12,0)))))*(1/(1-'P-Parametri'!$B$6*I137))))</f>
        <v>24342.709466808963</v>
      </c>
      <c r="K137" s="18">
        <f>IF($A137&gt;'1-Input'!$B$26,M136,(M136-MAX(0,I121-IF($A137&gt;='1-Input'!$C$12,'1-Input'!$B$12,0))+J137*(1-'P-Parametri'!$B$6*I137))*(1+'1-Input'!$B$27))</f>
        <v>0</v>
      </c>
      <c r="L137" s="18">
        <f>IF($A137&gt;'1-Input'!$B$26,N136,(N136-J137)*(1+$B$4))</f>
        <v>182004.28498914058</v>
      </c>
      <c r="M137" s="18">
        <f>IF($A137&gt;'1-Input'!$B$26,K137,K137-'P-Parametri'!$B$8*(L137+K137)+MIN(MAX(L137,0),'P-Parametri'!$B$8*(L137+K137)))</f>
        <v>0</v>
      </c>
      <c r="N137" s="18">
        <f>IF($A137&gt;'1-Input'!$B$26,L137,L137-MIN(MAX(L137,0),'P-Parametri'!$B$8*(L137+K137)))</f>
        <v>181640.27641916228</v>
      </c>
      <c r="O137" s="18">
        <f>IF($A137&gt;'1-Input'!$B$26,O136,O136-J137*(1-I137))</f>
        <v>110943.19995143016</v>
      </c>
      <c r="P137" s="11">
        <f>IF($A137&gt;'1-Input'!$B$26,0,IF(U136&lt;=0,0,MAX(0,(U136-V136)/U136)))</f>
        <v>0.3782450563885863</v>
      </c>
      <c r="Q137" s="18">
        <f>IF($A137&gt;'1-Input'!$B$26,0,(MAX(0,P121-IF($A137&gt;='1-Input'!$C$12,'1-Input'!$B$12,0))-MIN(MAX(T136,0),MAX(0,P121-IF($A137&gt;='1-Input'!$C$12,'1-Input'!$B$12,0))))*(1/(1-'P-Parametri'!$B$6*P137))+MIN(MAX(0,U136-(MAX(0,P121-IF($A137&gt;='1-Input'!$C$12,'1-Input'!$B$12,0))-MIN(MAX(T136,0),MAX(0,P121-IF($A137&gt;='1-Input'!$C$12,'1-Input'!$B$12,0))))*(1/(1-'P-Parametri'!$B$6*P137))),MAX(0,0*P121-(T136-MIN(MAX(T136,0),MAX(0,P121-IF($A137&gt;='1-Input'!$C$12,'1-Input'!$B$12,0)))))*(1/(1-'P-Parametri'!$B$6*P137))))</f>
        <v>19188.172143325144</v>
      </c>
      <c r="R137" s="18">
        <f>IF($A137&gt;'1-Input'!$B$26,T136,(T136-MAX(0,P121-IF($A137&gt;='1-Input'!$C$12,'1-Input'!$B$12,0))+Q137*(1-'P-Parametri'!$B$6*P137))*(1+'1-Input'!$B$27))</f>
        <v>-3.6248820833861826E-12</v>
      </c>
      <c r="S137" s="18">
        <f>IF($A137&gt;'1-Input'!$B$26,U136,(U136-Q137)*(1+$B$4))</f>
        <v>262962.9758372457</v>
      </c>
      <c r="T137" s="18">
        <f>IF($A137&gt;'1-Input'!$B$26,R137,R137-'P-Parametri'!$B$8*(S137+R137)+MIN(MAX(S137,0),'P-Parametri'!$B$8*(S137+R137)))</f>
        <v>-3.637978807091713E-12</v>
      </c>
      <c r="U137" s="18">
        <f>IF($A137&gt;'1-Input'!$B$26,S137,S137-MIN(MAX(S137,0),'P-Parametri'!$B$8*(S137+R137)))</f>
        <v>262437.04988557124</v>
      </c>
      <c r="V137" s="18">
        <f>IF($A137&gt;'1-Input'!$B$26,V136,V136-Q137*(1-P137))</f>
        <v>160292.67667997669</v>
      </c>
      <c r="W137" s="11">
        <f>IF($A137&gt;'1-Input'!$B$26,0,IF(AB136&lt;=0,0,MAX(0,(AB136-AC136)/AB136)))</f>
        <v>0.37824505638858658</v>
      </c>
      <c r="X137" s="18">
        <f>IF($A137&gt;'1-Input'!$B$26,0,(MAX(0,W121-IF($A137&gt;='1-Input'!$C$12,'1-Input'!$B$12,0))-MIN(MAX(AA136,0),MAX(0,W121-IF($A137&gt;='1-Input'!$C$12,'1-Input'!$B$12,0))))*(1/(1-'P-Parametri'!$B$6*W137))+MIN(MAX(0,AB136-(MAX(0,W121-IF($A137&gt;='1-Input'!$C$12,'1-Input'!$B$12,0))-MIN(MAX(AA136,0),MAX(0,W121-IF($A137&gt;='1-Input'!$C$12,'1-Input'!$B$12,0))))*(1/(1-'P-Parametri'!$B$6*W137))),MAX(0,0*W121-(AA136-MIN(MAX(AA136,0),MAX(0,W121-IF($A137&gt;='1-Input'!$C$12,'1-Input'!$B$12,0)))))*(1/(1-'P-Parametri'!$B$6*W137))))</f>
        <v>19085.842310553762</v>
      </c>
      <c r="Y137" s="18">
        <f>IF($A137&gt;'1-Input'!$B$26,AA136,(AA136-MAX(0,W121-IF($A137&gt;='1-Input'!$C$12,'1-Input'!$B$12,0))+X137*(1-'P-Parametri'!$B$6*W137))*(1+'1-Input'!$B$27))</f>
        <v>0</v>
      </c>
      <c r="Z137" s="18">
        <f>IF($A137&gt;'1-Input'!$B$26,AB136,(AB136-X137)*(1+$B$4))</f>
        <v>264570.1985181513</v>
      </c>
      <c r="AA137" s="18">
        <f>IF($A137&gt;'1-Input'!$B$26,Y137,Y137-'P-Parametri'!$B$8*(Z137+Y137)+MIN(MAX(Z137,0),'P-Parametri'!$B$8*(Z137+Y137)))</f>
        <v>0</v>
      </c>
      <c r="AB137" s="18">
        <f>IF($A137&gt;'1-Input'!$B$26,Z137,Z137-MIN(MAX(Z137,0),'P-Parametri'!$B$8*(Z137+Y137)))</f>
        <v>264041.05812111497</v>
      </c>
      <c r="AC137" s="18">
        <f>IF($A137&gt;'1-Input'!$B$26,AC136,AC136-X137*(1-W137))</f>
        <v>161272.3812361898</v>
      </c>
      <c r="AD137" s="11">
        <f>IF($A137&gt;'1-Input'!$B$26,0,IF(AI136&lt;=0,0,MAX(0,(AI136-AJ136)/AI136)))</f>
        <v>0.37824505638858641</v>
      </c>
      <c r="AE137" s="18">
        <f>IF($A137&gt;'1-Input'!$B$26,0,(MAX(0,AD121-IF($A137&gt;='1-Input'!$C$12,'1-Input'!$B$12,0))-MIN(MAX(AH136,0),MAX(0,AD121-IF($A137&gt;='1-Input'!$C$12,'1-Input'!$B$12,0))))*(1/(1-'P-Parametri'!$B$6*AD137))+MIN(MAX(0,AI136-(MAX(0,AD121-IF($A137&gt;='1-Input'!$C$12,'1-Input'!$B$12,0))-MIN(MAX(AH136,0),MAX(0,AD121-IF($A137&gt;='1-Input'!$C$12,'1-Input'!$B$12,0))))*(1/(1-'P-Parametri'!$B$6*AD137))),MAX(0,0*AD121-(AH136-MIN(MAX(AH136,0),MAX(0,AD121-IF($A137&gt;='1-Input'!$C$12,'1-Input'!$B$12,0)))))*(1/(1-'P-Parametri'!$B$6*AD137))))</f>
        <v>19100.609690543301</v>
      </c>
      <c r="AF137" s="18">
        <f>IF($A137&gt;'1-Input'!$B$26,AH136,(AH136-MAX(0,AD121-IF($A137&gt;='1-Input'!$C$12,'1-Input'!$B$12,0))+AE137*(1-'P-Parametri'!$B$6*AD137))*(1+'1-Input'!$B$27))</f>
        <v>-3.6248820833861826E-12</v>
      </c>
      <c r="AG137" s="18">
        <f>IF($A137&gt;'1-Input'!$B$26,AI136,(AI136-AE137)*(1+$B$4))</f>
        <v>264338.25767144066</v>
      </c>
      <c r="AH137" s="18">
        <f>IF($A137&gt;'1-Input'!$B$26,AF137,AF137-'P-Parametri'!$B$8*(AG137+AF137)+MIN(MAX(AG137,0),'P-Parametri'!$B$8*(AG137+AF137)))</f>
        <v>-3.637978807091713E-12</v>
      </c>
      <c r="AI137" s="18">
        <f>IF($A137&gt;'1-Input'!$B$26,AG137,AG137-MIN(MAX(AG137,0),'P-Parametri'!$B$8*(AG137+AF137)))</f>
        <v>263809.58115609776</v>
      </c>
      <c r="AJ137" s="18">
        <f>IF($A137&gt;'1-Input'!$B$26,AJ136,AJ136-AE137*(1-AD137))</f>
        <v>161130.99852239795</v>
      </c>
      <c r="AK137" s="11">
        <f>IF($A137&gt;'1-Input'!$B$26,0,IF(AP136&lt;=0,0,MAX(0,(AP136-AQ136)/AP136)))</f>
        <v>0.37824505638858641</v>
      </c>
      <c r="AL137" s="18">
        <f>IF($A137&gt;'1-Input'!$B$26,0,(MAX(0,AK121-IF($A137&gt;='1-Input'!$C$12,'1-Input'!$B$12,0))-MIN(MAX(AO136,0),MAX(0,AK121-IF($A137&gt;='1-Input'!$C$12,'1-Input'!$B$12,0))))*(1/(1-'P-Parametri'!$B$6*AK137))+MIN(MAX(0,AP136-(MAX(0,AK121-IF($A137&gt;='1-Input'!$C$12,'1-Input'!$B$12,0))-MIN(MAX(AO136,0),MAX(0,AK121-IF($A137&gt;='1-Input'!$C$12,'1-Input'!$B$12,0))))*(1/(1-'P-Parametri'!$B$6*AK137))),MAX(0,0*AK121-(AO136-MIN(MAX(AO136,0),MAX(0,AK121-IF($A137&gt;='1-Input'!$C$12,'1-Input'!$B$12,0)))))*(1/(1-'P-Parametri'!$B$6*AK137))))</f>
        <v>19100.609690543301</v>
      </c>
      <c r="AM137" s="18">
        <f>IF($A137&gt;'1-Input'!$B$26,AO136,(AO136-MAX(0,AK121-IF($A137&gt;='1-Input'!$C$12,'1-Input'!$B$12,0))+AL137*(1-'P-Parametri'!$B$6*AK137))*(1+'1-Input'!$B$27))</f>
        <v>-3.6248820833861826E-12</v>
      </c>
      <c r="AN137" s="18">
        <f>IF($A137&gt;'1-Input'!$B$26,AP136,(AP136-AL137)*(1+$B$4))</f>
        <v>264338.25767144066</v>
      </c>
      <c r="AO137" s="18">
        <f>IF($A137&gt;'1-Input'!$B$26,AM137,AM137-'P-Parametri'!$B$8*(AN137+AM137)+MIN(MAX(AN137,0),'P-Parametri'!$B$8*(AN137+AM137)))</f>
        <v>-3.637978807091713E-12</v>
      </c>
      <c r="AP137" s="18">
        <f>IF($A137&gt;'1-Input'!$B$26,AN137,AN137-MIN(MAX(AN137,0),'P-Parametri'!$B$8*(AN137+AM137)))</f>
        <v>263809.58115609776</v>
      </c>
      <c r="AQ137" s="18">
        <f>IF($A137&gt;'1-Input'!$B$26,AQ136,AQ136-AL137*(1-AK137))</f>
        <v>161130.99852239795</v>
      </c>
    </row>
    <row r="138" spans="1:43">
      <c r="A138" s="10">
        <f>15</f>
        <v>15</v>
      </c>
      <c r="B138" s="11">
        <f>IF($A138&gt;'1-Input'!$B$26,0,IF(G137&lt;=0,0,MAX(0,(G137-H137)/G137)))</f>
        <v>0.38921475931135474</v>
      </c>
      <c r="C138" s="18">
        <f>IF($A138&gt;'1-Input'!$B$26,0,(MAX(0,B121-IF($A138&gt;='1-Input'!$C$12,'1-Input'!$B$12,0))-MIN(MAX(F137,0),MAX(0,B121-IF($A138&gt;='1-Input'!$C$12,'1-Input'!$B$12,0))))*(1/(1-'P-Parametri'!$B$6*B138))+MIN(MAX(0,G137-(MAX(0,B121-IF($A138&gt;='1-Input'!$C$12,'1-Input'!$B$12,0))-MIN(MAX(F137,0),MAX(0,B121-IF($A138&gt;='1-Input'!$C$12,'1-Input'!$B$12,0))))*(1/(1-'P-Parametri'!$B$6*B138))),MAX(0,0*B121-(F137-MIN(MAX(F137,0),MAX(0,B121-IF($A138&gt;='1-Input'!$C$12,'1-Input'!$B$12,0)))))*(1/(1-'P-Parametri'!$B$6*B138))))</f>
        <v>18559.165621530756</v>
      </c>
      <c r="D138" s="18">
        <f>IF($A138&gt;'1-Input'!$B$26,F137,(F137-MAX(0,B121-IF($A138&gt;='1-Input'!$C$12,'1-Input'!$B$12,0))+C138*(1-'P-Parametri'!$B$6*B138))*(1+'1-Input'!$B$27))</f>
        <v>0</v>
      </c>
      <c r="E138" s="18">
        <f>IF($A138&gt;'1-Input'!$B$26,G137,(G137-C138)*(1+$B$4))</f>
        <v>259750.85890013137</v>
      </c>
      <c r="F138" s="18">
        <f>IF($A138&gt;'1-Input'!$B$26,D138,D138-'P-Parametri'!$B$8*(E138+D138)+MIN(MAX(E138,0),'P-Parametri'!$B$8*(E138+D138)))</f>
        <v>0</v>
      </c>
      <c r="G138" s="18">
        <f>IF($A138&gt;'1-Input'!$B$26,E138,E138-MIN(MAX(E138,0),'P-Parametri'!$B$8*(E138+D138)))</f>
        <v>259231.35718233109</v>
      </c>
      <c r="H138" s="18">
        <f>IF($A138&gt;'1-Input'!$B$26,H137,H137-C138*(1-B138))</f>
        <v>155541.16752195987</v>
      </c>
      <c r="I138" s="11">
        <f>IF($A138&gt;'1-Input'!$B$26,0,IF(N137&lt;=0,0,MAX(0,(N137-O137)/N137)))</f>
        <v>0.38921475931135441</v>
      </c>
      <c r="J138" s="18">
        <f>IF($A138&gt;'1-Input'!$B$26,0,(MAX(0,I121-IF($A138&gt;='1-Input'!$C$12,'1-Input'!$B$12,0))-MIN(MAX(M137,0),MAX(0,I121-IF($A138&gt;='1-Input'!$C$12,'1-Input'!$B$12,0))))*(1/(1-'P-Parametri'!$B$6*I138))+MIN(MAX(0,N137-(MAX(0,I121-IF($A138&gt;='1-Input'!$C$12,'1-Input'!$B$12,0))-MIN(MAX(M137,0),MAX(0,I121-IF($A138&gt;='1-Input'!$C$12,'1-Input'!$B$12,0))))*(1/(1-'P-Parametri'!$B$6*I138))),MAX(0,0*I121-(M137-MIN(MAX(M137,0),MAX(0,I121-IF($A138&gt;='1-Input'!$C$12,'1-Input'!$B$12,0)))))*(1/(1-'P-Parametri'!$B$6*I138))))</f>
        <v>24419.954765172046</v>
      </c>
      <c r="K138" s="18">
        <f>IF($A138&gt;'1-Input'!$B$26,M137,(M137-MAX(0,I121-IF($A138&gt;='1-Input'!$C$12,'1-Input'!$B$12,0))+J138*(1-'P-Parametri'!$B$6*I138))*(1+'1-Input'!$B$27))</f>
        <v>0</v>
      </c>
      <c r="L138" s="18">
        <f>IF($A138&gt;'1-Input'!$B$26,N137,(N137-J138)*(1+$B$4))</f>
        <v>160364.72808707005</v>
      </c>
      <c r="M138" s="18">
        <f>IF($A138&gt;'1-Input'!$B$26,K138,K138-'P-Parametri'!$B$8*(L138+K138)+MIN(MAX(L138,0),'P-Parametri'!$B$8*(L138+K138)))</f>
        <v>0</v>
      </c>
      <c r="N138" s="18">
        <f>IF($A138&gt;'1-Input'!$B$26,L138,L138-MIN(MAX(L138,0),'P-Parametri'!$B$8*(L138+K138)))</f>
        <v>160043.99863089592</v>
      </c>
      <c r="O138" s="18">
        <f>IF($A138&gt;'1-Input'!$B$26,O137,O137-J138*(1-I138))</f>
        <v>96027.852002578715</v>
      </c>
      <c r="P138" s="11">
        <f>IF($A138&gt;'1-Input'!$B$26,0,IF(U137&lt;=0,0,MAX(0,(U137-V137)/U137)))</f>
        <v>0.38921475931135452</v>
      </c>
      <c r="Q138" s="18">
        <f>IF($A138&gt;'1-Input'!$B$26,0,(MAX(0,P121-IF($A138&gt;='1-Input'!$C$12,'1-Input'!$B$12,0))-MIN(MAX(T137,0),MAX(0,P121-IF($A138&gt;='1-Input'!$C$12,'1-Input'!$B$12,0))))*(1/(1-'P-Parametri'!$B$6*P138))+MIN(MAX(0,U137-(MAX(0,P121-IF($A138&gt;='1-Input'!$C$12,'1-Input'!$B$12,0))-MIN(MAX(T137,0),MAX(0,P121-IF($A138&gt;='1-Input'!$C$12,'1-Input'!$B$12,0))))*(1/(1-'P-Parametri'!$B$6*P138))),MAX(0,0*P121-(T137-MIN(MAX(T137,0),MAX(0,P121-IF($A138&gt;='1-Input'!$C$12,'1-Input'!$B$12,0)))))*(1/(1-'P-Parametri'!$B$6*P138))))</f>
        <v>19249.060849419035</v>
      </c>
      <c r="R138" s="18">
        <f>IF($A138&gt;'1-Input'!$B$26,T137,(T137-MAX(0,P121-IF($A138&gt;='1-Input'!$C$12,'1-Input'!$B$12,0))+Q138*(1-'P-Parametri'!$B$6*P138))*(1+'1-Input'!$B$27))</f>
        <v>0</v>
      </c>
      <c r="S138" s="18">
        <f>IF($A138&gt;'1-Input'!$B$26,U137,(U137-Q138)*(1+$B$4))</f>
        <v>248051.74881687525</v>
      </c>
      <c r="T138" s="18">
        <f>IF($A138&gt;'1-Input'!$B$26,R138,R138-'P-Parametri'!$B$8*(S138+R138)+MIN(MAX(S138,0),'P-Parametri'!$B$8*(S138+R138)))</f>
        <v>0</v>
      </c>
      <c r="U138" s="18">
        <f>IF($A138&gt;'1-Input'!$B$26,S138,S138-MIN(MAX(S138,0),'P-Parametri'!$B$8*(S138+R138)))</f>
        <v>247555.64531924151</v>
      </c>
      <c r="V138" s="18">
        <f>IF($A138&gt;'1-Input'!$B$26,V137,V137-Q138*(1-P138))</f>
        <v>148535.63441603389</v>
      </c>
      <c r="W138" s="11">
        <f>IF($A138&gt;'1-Input'!$B$26,0,IF(AB137&lt;=0,0,MAX(0,(AB137-AC137)/AB137)))</f>
        <v>0.38921475931135463</v>
      </c>
      <c r="X138" s="18">
        <f>IF($A138&gt;'1-Input'!$B$26,0,(MAX(0,W121-IF($A138&gt;='1-Input'!$C$12,'1-Input'!$B$12,0))-MIN(MAX(AA137,0),MAX(0,W121-IF($A138&gt;='1-Input'!$C$12,'1-Input'!$B$12,0))))*(1/(1-'P-Parametri'!$B$6*W138))+MIN(MAX(0,AB137-(MAX(0,W121-IF($A138&gt;='1-Input'!$C$12,'1-Input'!$B$12,0))-MIN(MAX(AA137,0),MAX(0,W121-IF($A138&gt;='1-Input'!$C$12,'1-Input'!$B$12,0))))*(1/(1-'P-Parametri'!$B$6*W138))),MAX(0,0*W121-(AA137-MIN(MAX(AA137,0),MAX(0,W121-IF($A138&gt;='1-Input'!$C$12,'1-Input'!$B$12,0)))))*(1/(1-'P-Parametri'!$B$6*W138))))</f>
        <v>19146.406299365262</v>
      </c>
      <c r="Y138" s="18">
        <f>IF($A138&gt;'1-Input'!$B$26,AA137,(AA137-MAX(0,W121-IF($A138&gt;='1-Input'!$C$12,'1-Input'!$B$12,0))+X138*(1-'P-Parametri'!$B$6*W138))*(1+'1-Input'!$B$27))</f>
        <v>0</v>
      </c>
      <c r="Z138" s="18">
        <f>IF($A138&gt;'1-Input'!$B$26,AB137,(AB137-X138)*(1+$B$4))</f>
        <v>249792.5448581847</v>
      </c>
      <c r="AA138" s="18">
        <f>IF($A138&gt;'1-Input'!$B$26,Y138,Y138-'P-Parametri'!$B$8*(Z138+Y138)+MIN(MAX(Z138,0),'P-Parametri'!$B$8*(Z138+Y138)))</f>
        <v>0</v>
      </c>
      <c r="AB138" s="18">
        <f>IF($A138&gt;'1-Input'!$B$26,Z138,Z138-MIN(MAX(Z138,0),'P-Parametri'!$B$8*(Z138+Y138)))</f>
        <v>249292.95976846834</v>
      </c>
      <c r="AC138" s="18">
        <f>IF($A138&gt;'1-Input'!$B$26,AC137,AC137-X138*(1-W138))</f>
        <v>149578.0388563094</v>
      </c>
      <c r="AD138" s="11">
        <f>IF($A138&gt;'1-Input'!$B$26,0,IF(AI137&lt;=0,0,MAX(0,(AI137-AJ137)/AI137)))</f>
        <v>0.38921475931135446</v>
      </c>
      <c r="AE138" s="18">
        <f>IF($A138&gt;'1-Input'!$B$26,0,(MAX(0,AD121-IF($A138&gt;='1-Input'!$C$12,'1-Input'!$B$12,0))-MIN(MAX(AH137,0),MAX(0,AD121-IF($A138&gt;='1-Input'!$C$12,'1-Input'!$B$12,0))))*(1/(1-'P-Parametri'!$B$6*AD138))+MIN(MAX(0,AI137-(MAX(0,AD121-IF($A138&gt;='1-Input'!$C$12,'1-Input'!$B$12,0))-MIN(MAX(AH137,0),MAX(0,AD121-IF($A138&gt;='1-Input'!$C$12,'1-Input'!$B$12,0))))*(1/(1-'P-Parametri'!$B$6*AD138))),MAX(0,0*AD121-(AH137-MIN(MAX(AH137,0),MAX(0,AD121-IF($A138&gt;='1-Input'!$C$12,'1-Input'!$B$12,0)))))*(1/(1-'P-Parametri'!$B$6*AD138))))</f>
        <v>19161.220539819333</v>
      </c>
      <c r="AF138" s="18">
        <f>IF($A138&gt;'1-Input'!$B$26,AH137,(AH137-MAX(0,AD121-IF($A138&gt;='1-Input'!$C$12,'1-Input'!$B$12,0))+AE138*(1-'P-Parametri'!$B$6*AD138))*(1+'1-Input'!$B$27))</f>
        <v>0</v>
      </c>
      <c r="AG138" s="18">
        <f>IF($A138&gt;'1-Input'!$B$26,AI137,(AI137-AE138)*(1+$B$4))</f>
        <v>249541.327828604</v>
      </c>
      <c r="AH138" s="18">
        <f>IF($A138&gt;'1-Input'!$B$26,AF138,AF138-'P-Parametri'!$B$8*(AG138+AF138)+MIN(MAX(AG138,0),'P-Parametri'!$B$8*(AG138+AF138)))</f>
        <v>0</v>
      </c>
      <c r="AI138" s="18">
        <f>IF($A138&gt;'1-Input'!$B$26,AG138,AG138-MIN(MAX(AG138,0),'P-Parametri'!$B$8*(AG138+AF138)))</f>
        <v>249042.2451729468</v>
      </c>
      <c r="AJ138" s="18">
        <f>IF($A138&gt;'1-Input'!$B$26,AJ137,AJ137-AE138*(1-AD138))</f>
        <v>149427.60782309619</v>
      </c>
      <c r="AK138" s="11">
        <f>IF($A138&gt;'1-Input'!$B$26,0,IF(AP137&lt;=0,0,MAX(0,(AP137-AQ137)/AP137)))</f>
        <v>0.38921475931135446</v>
      </c>
      <c r="AL138" s="18">
        <f>IF($A138&gt;'1-Input'!$B$26,0,(MAX(0,AK121-IF($A138&gt;='1-Input'!$C$12,'1-Input'!$B$12,0))-MIN(MAX(AO137,0),MAX(0,AK121-IF($A138&gt;='1-Input'!$C$12,'1-Input'!$B$12,0))))*(1/(1-'P-Parametri'!$B$6*AK138))+MIN(MAX(0,AP137-(MAX(0,AK121-IF($A138&gt;='1-Input'!$C$12,'1-Input'!$B$12,0))-MIN(MAX(AO137,0),MAX(0,AK121-IF($A138&gt;='1-Input'!$C$12,'1-Input'!$B$12,0))))*(1/(1-'P-Parametri'!$B$6*AK138))),MAX(0,0*AK121-(AO137-MIN(MAX(AO137,0),MAX(0,AK121-IF($A138&gt;='1-Input'!$C$12,'1-Input'!$B$12,0)))))*(1/(1-'P-Parametri'!$B$6*AK138))))</f>
        <v>19161.220539819333</v>
      </c>
      <c r="AM138" s="18">
        <f>IF($A138&gt;'1-Input'!$B$26,AO137,(AO137-MAX(0,AK121-IF($A138&gt;='1-Input'!$C$12,'1-Input'!$B$12,0))+AL138*(1-'P-Parametri'!$B$6*AK138))*(1+'1-Input'!$B$27))</f>
        <v>0</v>
      </c>
      <c r="AN138" s="18">
        <f>IF($A138&gt;'1-Input'!$B$26,AP137,(AP137-AL138)*(1+$B$4))</f>
        <v>249541.327828604</v>
      </c>
      <c r="AO138" s="18">
        <f>IF($A138&gt;'1-Input'!$B$26,AM138,AM138-'P-Parametri'!$B$8*(AN138+AM138)+MIN(MAX(AN138,0),'P-Parametri'!$B$8*(AN138+AM138)))</f>
        <v>0</v>
      </c>
      <c r="AP138" s="18">
        <f>IF($A138&gt;'1-Input'!$B$26,AN138,AN138-MIN(MAX(AN138,0),'P-Parametri'!$B$8*(AN138+AM138)))</f>
        <v>249042.2451729468</v>
      </c>
      <c r="AQ138" s="18">
        <f>IF($A138&gt;'1-Input'!$B$26,AQ137,AQ137-AL138*(1-AK138))</f>
        <v>149427.60782309619</v>
      </c>
    </row>
    <row r="139" spans="1:43">
      <c r="A139" s="10">
        <f>16</f>
        <v>16</v>
      </c>
      <c r="B139" s="11">
        <f>IF($A139&gt;'1-Input'!$B$26,0,IF(G138&lt;=0,0,MAX(0,(G138-H138)/G138)))</f>
        <v>0.39999092234602018</v>
      </c>
      <c r="C139" s="18">
        <f>IF($A139&gt;'1-Input'!$B$26,0,(MAX(0,B121-IF($A139&gt;='1-Input'!$C$12,'1-Input'!$B$12,0))-MIN(MAX(F138,0),MAX(0,B121-IF($A139&gt;='1-Input'!$C$12,'1-Input'!$B$12,0))))*(1/(1-'P-Parametri'!$B$6*B139))+MIN(MAX(0,G138-(MAX(0,B121-IF($A139&gt;='1-Input'!$C$12,'1-Input'!$B$12,0))-MIN(MAX(F138,0),MAX(0,B121-IF($A139&gt;='1-Input'!$C$12,'1-Input'!$B$12,0))))*(1/(1-'P-Parametri'!$B$6*B139))),MAX(0,0*B121-(F138-MIN(MAX(F138,0),MAX(0,B121-IF($A139&gt;='1-Input'!$C$12,'1-Input'!$B$12,0)))))*(1/(1-'P-Parametri'!$B$6*B139))))</f>
        <v>18617.200194749363</v>
      </c>
      <c r="D139" s="18">
        <f>IF($A139&gt;'1-Input'!$B$26,F138,(F138-MAX(0,B121-IF($A139&gt;='1-Input'!$C$12,'1-Input'!$B$12,0))+C139*(1-'P-Parametri'!$B$6*B139))*(1+'1-Input'!$B$27))</f>
        <v>0</v>
      </c>
      <c r="E139" s="18">
        <f>IF($A139&gt;'1-Input'!$B$26,G138,(G138-C139)*(1+$B$4))</f>
        <v>245426.44012733336</v>
      </c>
      <c r="F139" s="18">
        <f>IF($A139&gt;'1-Input'!$B$26,D139,D139-'P-Parametri'!$B$8*(E139+D139)+MIN(MAX(E139,0),'P-Parametri'!$B$8*(E139+D139)))</f>
        <v>0</v>
      </c>
      <c r="G139" s="18">
        <f>IF($A139&gt;'1-Input'!$B$26,E139,E139-MIN(MAX(E139,0),'P-Parametri'!$B$8*(E139+D139)))</f>
        <v>244935.58724707869</v>
      </c>
      <c r="H139" s="18">
        <f>IF($A139&gt;'1-Input'!$B$26,H138,H138-C139*(1-B139))</f>
        <v>144370.6784046088</v>
      </c>
      <c r="I139" s="11">
        <f>IF($A139&gt;'1-Input'!$B$26,0,IF(N138&lt;=0,0,MAX(0,(N138-O138)/N138)))</f>
        <v>0.39999092234601991</v>
      </c>
      <c r="J139" s="18">
        <f>IF($A139&gt;'1-Input'!$B$26,0,(MAX(0,I121-IF($A139&gt;='1-Input'!$C$12,'1-Input'!$B$12,0))-MIN(MAX(M138,0),MAX(0,I121-IF($A139&gt;='1-Input'!$C$12,'1-Input'!$B$12,0))))*(1/(1-'P-Parametri'!$B$6*I139))+MIN(MAX(0,N138-(MAX(0,I121-IF($A139&gt;='1-Input'!$C$12,'1-Input'!$B$12,0))-MIN(MAX(M138,0),MAX(0,I121-IF($A139&gt;='1-Input'!$C$12,'1-Input'!$B$12,0))))*(1/(1-'P-Parametri'!$B$6*I139))),MAX(0,0*I121-(M138-MIN(MAX(M138,0),MAX(0,I121-IF($A139&gt;='1-Input'!$C$12,'1-Input'!$B$12,0)))))*(1/(1-'P-Parametri'!$B$6*I139))))</f>
        <v>24496.316045722844</v>
      </c>
      <c r="K139" s="18">
        <f>IF($A139&gt;'1-Input'!$B$26,M138,(M138-MAX(0,I121-IF($A139&gt;='1-Input'!$C$12,'1-Input'!$B$12,0))+J139*(1-'P-Parametri'!$B$6*I139))*(1+'1-Input'!$B$27))</f>
        <v>0</v>
      </c>
      <c r="L139" s="18">
        <f>IF($A139&gt;'1-Input'!$B$26,N138,(N138-J139)*(1+$B$4))</f>
        <v>138258.63623687654</v>
      </c>
      <c r="M139" s="18">
        <f>IF($A139&gt;'1-Input'!$B$26,K139,K139-'P-Parametri'!$B$8*(L139+K139)+MIN(MAX(L139,0),'P-Parametri'!$B$8*(L139+K139)))</f>
        <v>0</v>
      </c>
      <c r="N139" s="18">
        <f>IF($A139&gt;'1-Input'!$B$26,L139,L139-MIN(MAX(L139,0),'P-Parametri'!$B$8*(L139+K139)))</f>
        <v>137982.11896440279</v>
      </c>
      <c r="O139" s="18">
        <f>IF($A139&gt;'1-Input'!$B$26,O138,O138-J139*(1-I139))</f>
        <v>81329.840006064158</v>
      </c>
      <c r="P139" s="11">
        <f>IF($A139&gt;'1-Input'!$B$26,0,IF(U138&lt;=0,0,MAX(0,(U138-V138)/U138)))</f>
        <v>0.39999092234602007</v>
      </c>
      <c r="Q139" s="18">
        <f>IF($A139&gt;'1-Input'!$B$26,0,(MAX(0,P121-IF($A139&gt;='1-Input'!$C$12,'1-Input'!$B$12,0))-MIN(MAX(T138,0),MAX(0,P121-IF($A139&gt;='1-Input'!$C$12,'1-Input'!$B$12,0))))*(1/(1-'P-Parametri'!$B$6*P139))+MIN(MAX(0,U138-(MAX(0,P121-IF($A139&gt;='1-Input'!$C$12,'1-Input'!$B$12,0))-MIN(MAX(T138,0),MAX(0,P121-IF($A139&gt;='1-Input'!$C$12,'1-Input'!$B$12,0))))*(1/(1-'P-Parametri'!$B$6*P139))),MAX(0,0*P121-(T138-MIN(MAX(T138,0),MAX(0,P121-IF($A139&gt;='1-Input'!$C$12,'1-Input'!$B$12,0)))))*(1/(1-'P-Parametri'!$B$6*P139))))</f>
        <v>19309.252727331856</v>
      </c>
      <c r="R139" s="18">
        <f>IF($A139&gt;'1-Input'!$B$26,T138,(T138-MAX(0,P121-IF($A139&gt;='1-Input'!$C$12,'1-Input'!$B$12,0))+Q139*(1-'P-Parametri'!$B$6*P139))*(1+'1-Input'!$B$27))</f>
        <v>0</v>
      </c>
      <c r="S139" s="18">
        <f>IF($A139&gt;'1-Input'!$B$26,U138,(U138-Q139)*(1+$B$4))</f>
        <v>232811.32044374786</v>
      </c>
      <c r="T139" s="18">
        <f>IF($A139&gt;'1-Input'!$B$26,R139,R139-'P-Parametri'!$B$8*(S139+R139)+MIN(MAX(S139,0),'P-Parametri'!$B$8*(S139+R139)))</f>
        <v>0</v>
      </c>
      <c r="U139" s="18">
        <f>IF($A139&gt;'1-Input'!$B$26,S139,S139-MIN(MAX(S139,0),'P-Parametri'!$B$8*(S139+R139)))</f>
        <v>232345.69780286035</v>
      </c>
      <c r="V139" s="18">
        <f>IF($A139&gt;'1-Input'!$B$26,V138,V138-Q139*(1-P139))</f>
        <v>136949.90749691991</v>
      </c>
      <c r="W139" s="11">
        <f>IF($A139&gt;'1-Input'!$B$26,0,IF(AB138&lt;=0,0,MAX(0,(AB138-AC138)/AB138)))</f>
        <v>0.39999092234602013</v>
      </c>
      <c r="X139" s="18">
        <f>IF($A139&gt;'1-Input'!$B$26,0,(MAX(0,W121-IF($A139&gt;='1-Input'!$C$12,'1-Input'!$B$12,0))-MIN(MAX(AA138,0),MAX(0,W121-IF($A139&gt;='1-Input'!$C$12,'1-Input'!$B$12,0))))*(1/(1-'P-Parametri'!$B$6*W139))+MIN(MAX(0,AB138-(MAX(0,W121-IF($A139&gt;='1-Input'!$C$12,'1-Input'!$B$12,0))-MIN(MAX(AA138,0),MAX(0,W121-IF($A139&gt;='1-Input'!$C$12,'1-Input'!$B$12,0))))*(1/(1-'P-Parametri'!$B$6*W139))),MAX(0,0*W121-(AA138-MIN(MAX(AA138,0),MAX(0,W121-IF($A139&gt;='1-Input'!$C$12,'1-Input'!$B$12,0)))))*(1/(1-'P-Parametri'!$B$6*W139))))</f>
        <v>19206.277176155363</v>
      </c>
      <c r="Y139" s="18">
        <f>IF($A139&gt;'1-Input'!$B$26,AA138,(AA138-MAX(0,W121-IF($A139&gt;='1-Input'!$C$12,'1-Input'!$B$12,0))+X139*(1-'P-Parametri'!$B$6*W139))*(1+'1-Input'!$B$27))</f>
        <v>0</v>
      </c>
      <c r="Z139" s="18">
        <f>IF($A139&gt;'1-Input'!$B$26,AB138,(AB138-X139)*(1+$B$4))</f>
        <v>234688.41624415925</v>
      </c>
      <c r="AA139" s="18">
        <f>IF($A139&gt;'1-Input'!$B$26,Y139,Y139-'P-Parametri'!$B$8*(Z139+Y139)+MIN(MAX(Z139,0),'P-Parametri'!$B$8*(Z139+Y139)))</f>
        <v>0</v>
      </c>
      <c r="AB139" s="18">
        <f>IF($A139&gt;'1-Input'!$B$26,Z139,Z139-MIN(MAX(Z139,0),'P-Parametri'!$B$8*(Z139+Y139)))</f>
        <v>234219.03941167094</v>
      </c>
      <c r="AC139" s="18">
        <f>IF($A139&gt;'1-Input'!$B$26,AC138,AC138-X139*(1-W139))</f>
        <v>138054.09820267773</v>
      </c>
      <c r="AD139" s="11">
        <f>IF($A139&gt;'1-Input'!$B$26,0,IF(AI138&lt;=0,0,MAX(0,(AI138-AJ138)/AI138)))</f>
        <v>0.39999092234601991</v>
      </c>
      <c r="AE139" s="18">
        <f>IF($A139&gt;'1-Input'!$B$26,0,(MAX(0,AD121-IF($A139&gt;='1-Input'!$C$12,'1-Input'!$B$12,0))-MIN(MAX(AH138,0),MAX(0,AD121-IF($A139&gt;='1-Input'!$C$12,'1-Input'!$B$12,0))))*(1/(1-'P-Parametri'!$B$6*AD139))+MIN(MAX(0,AI138-(MAX(0,AD121-IF($A139&gt;='1-Input'!$C$12,'1-Input'!$B$12,0))-MIN(MAX(AH138,0),MAX(0,AD121-IF($A139&gt;='1-Input'!$C$12,'1-Input'!$B$12,0))))*(1/(1-'P-Parametri'!$B$6*AD139))),MAX(0,0*AD121-(AH138-MIN(MAX(AH138,0),MAX(0,AD121-IF($A139&gt;='1-Input'!$C$12,'1-Input'!$B$12,0)))))*(1/(1-'P-Parametri'!$B$6*AD139))))</f>
        <v>19221.137740789069</v>
      </c>
      <c r="AF139" s="18">
        <f>IF($A139&gt;'1-Input'!$B$26,AH138,(AH138-MAX(0,AD121-IF($A139&gt;='1-Input'!$C$12,'1-Input'!$B$12,0))+AE139*(1-'P-Parametri'!$B$6*AD139))*(1+'1-Input'!$B$27))</f>
        <v>-3.6248820833861826E-12</v>
      </c>
      <c r="AG139" s="18">
        <f>IF($A139&gt;'1-Input'!$B$26,AI138,(AI138-AE139)*(1+$B$4))</f>
        <v>234417.52958080088</v>
      </c>
      <c r="AH139" s="18">
        <f>IF($A139&gt;'1-Input'!$B$26,AF139,AF139-'P-Parametri'!$B$8*(AG139+AF139)+MIN(MAX(AG139,0),'P-Parametri'!$B$8*(AG139+AF139)))</f>
        <v>-3.637978807091713E-12</v>
      </c>
      <c r="AI139" s="18">
        <f>IF($A139&gt;'1-Input'!$B$26,AG139,AG139-MIN(MAX(AG139,0),'P-Parametri'!$B$8*(AG139+AF139)))</f>
        <v>233948.69452163929</v>
      </c>
      <c r="AJ139" s="18">
        <f>IF($A139&gt;'1-Input'!$B$26,AJ138,AJ138-AE139*(1-AD139))</f>
        <v>137894.75069578522</v>
      </c>
      <c r="AK139" s="11">
        <f>IF($A139&gt;'1-Input'!$B$26,0,IF(AP138&lt;=0,0,MAX(0,(AP138-AQ138)/AP138)))</f>
        <v>0.39999092234601991</v>
      </c>
      <c r="AL139" s="18">
        <f>IF($A139&gt;'1-Input'!$B$26,0,(MAX(0,AK121-IF($A139&gt;='1-Input'!$C$12,'1-Input'!$B$12,0))-MIN(MAX(AO138,0),MAX(0,AK121-IF($A139&gt;='1-Input'!$C$12,'1-Input'!$B$12,0))))*(1/(1-'P-Parametri'!$B$6*AK139))+MIN(MAX(0,AP138-(MAX(0,AK121-IF($A139&gt;='1-Input'!$C$12,'1-Input'!$B$12,0))-MIN(MAX(AO138,0),MAX(0,AK121-IF($A139&gt;='1-Input'!$C$12,'1-Input'!$B$12,0))))*(1/(1-'P-Parametri'!$B$6*AK139))),MAX(0,0*AK121-(AO138-MIN(MAX(AO138,0),MAX(0,AK121-IF($A139&gt;='1-Input'!$C$12,'1-Input'!$B$12,0)))))*(1/(1-'P-Parametri'!$B$6*AK139))))</f>
        <v>19221.137740789069</v>
      </c>
      <c r="AM139" s="18">
        <f>IF($A139&gt;'1-Input'!$B$26,AO138,(AO138-MAX(0,AK121-IF($A139&gt;='1-Input'!$C$12,'1-Input'!$B$12,0))+AL139*(1-'P-Parametri'!$B$6*AK139))*(1+'1-Input'!$B$27))</f>
        <v>-3.6248820833861826E-12</v>
      </c>
      <c r="AN139" s="18">
        <f>IF($A139&gt;'1-Input'!$B$26,AP138,(AP138-AL139)*(1+$B$4))</f>
        <v>234417.52958080088</v>
      </c>
      <c r="AO139" s="18">
        <f>IF($A139&gt;'1-Input'!$B$26,AM139,AM139-'P-Parametri'!$B$8*(AN139+AM139)+MIN(MAX(AN139,0),'P-Parametri'!$B$8*(AN139+AM139)))</f>
        <v>-3.637978807091713E-12</v>
      </c>
      <c r="AP139" s="18">
        <f>IF($A139&gt;'1-Input'!$B$26,AN139,AN139-MIN(MAX(AN139,0),'P-Parametri'!$B$8*(AN139+AM139)))</f>
        <v>233948.69452163929</v>
      </c>
      <c r="AQ139" s="18">
        <f>IF($A139&gt;'1-Input'!$B$26,AQ138,AQ138-AL139*(1-AK139))</f>
        <v>137894.75069578522</v>
      </c>
    </row>
    <row r="140" spans="1:43">
      <c r="A140" s="10">
        <f>17</f>
        <v>17</v>
      </c>
      <c r="B140" s="11">
        <f>IF($A140&gt;'1-Input'!$B$26,0,IF(G139&lt;=0,0,MAX(0,(G139-H139)/G139)))</f>
        <v>0.41057696014187217</v>
      </c>
      <c r="C140" s="18">
        <f>IF($A140&gt;'1-Input'!$B$26,0,(MAX(0,B121-IF($A140&gt;='1-Input'!$C$12,'1-Input'!$B$12,0))-MIN(MAX(F139,0),MAX(0,B121-IF($A140&gt;='1-Input'!$C$12,'1-Input'!$B$12,0))))*(1/(1-'P-Parametri'!$B$6*B140))+MIN(MAX(0,G139-(MAX(0,B121-IF($A140&gt;='1-Input'!$C$12,'1-Input'!$B$12,0))-MIN(MAX(F139,0),MAX(0,B121-IF($A140&gt;='1-Input'!$C$12,'1-Input'!$B$12,0))))*(1/(1-'P-Parametri'!$B$6*B140))),MAX(0,0*B121-(F139-MIN(MAX(F139,0),MAX(0,B121-IF($A140&gt;='1-Input'!$C$12,'1-Input'!$B$12,0)))))*(1/(1-'P-Parametri'!$B$6*B140))))</f>
        <v>18674.565345189447</v>
      </c>
      <c r="D140" s="18">
        <f>IF($A140&gt;'1-Input'!$B$26,F139,(F139-MAX(0,B121-IF($A140&gt;='1-Input'!$C$12,'1-Input'!$B$12,0))+C140*(1-'P-Parametri'!$B$6*B140))*(1+'1-Input'!$B$27))</f>
        <v>0</v>
      </c>
      <c r="E140" s="18">
        <f>IF($A140&gt;'1-Input'!$B$26,G139,(G139-C140)*(1+$B$4))</f>
        <v>230786.24233992703</v>
      </c>
      <c r="F140" s="18">
        <f>IF($A140&gt;'1-Input'!$B$26,D140,D140-'P-Parametri'!$B$8*(E140+D140)+MIN(MAX(E140,0),'P-Parametri'!$B$8*(E140+D140)))</f>
        <v>0</v>
      </c>
      <c r="G140" s="18">
        <f>IF($A140&gt;'1-Input'!$B$26,E140,E140-MIN(MAX(E140,0),'P-Parametri'!$B$8*(E140+D140)))</f>
        <v>230324.66985524719</v>
      </c>
      <c r="H140" s="18">
        <f>IF($A140&gt;'1-Input'!$B$26,H139,H139-C140*(1-B140))</f>
        <v>133363.45933081798</v>
      </c>
      <c r="I140" s="11">
        <f>IF($A140&gt;'1-Input'!$B$26,0,IF(N139&lt;=0,0,MAX(0,(N139-O139)/N139)))</f>
        <v>0.41057696014187189</v>
      </c>
      <c r="J140" s="18">
        <f>IF($A140&gt;'1-Input'!$B$26,0,(MAX(0,I121-IF($A140&gt;='1-Input'!$C$12,'1-Input'!$B$12,0))-MIN(MAX(M139,0),MAX(0,I121-IF($A140&gt;='1-Input'!$C$12,'1-Input'!$B$12,0))))*(1/(1-'P-Parametri'!$B$6*I140))+MIN(MAX(0,N139-(MAX(0,I121-IF($A140&gt;='1-Input'!$C$12,'1-Input'!$B$12,0))-MIN(MAX(M139,0),MAX(0,I121-IF($A140&gt;='1-Input'!$C$12,'1-Input'!$B$12,0))))*(1/(1-'P-Parametri'!$B$6*I140))),MAX(0,0*I121-(M139-MIN(MAX(M139,0),MAX(0,I121-IF($A140&gt;='1-Input'!$C$12,'1-Input'!$B$12,0)))))*(1/(1-'P-Parametri'!$B$6*I140))))</f>
        <v>24571.796506828225</v>
      </c>
      <c r="K140" s="18">
        <f>IF($A140&gt;'1-Input'!$B$26,M139,(M139-MAX(0,I121-IF($A140&gt;='1-Input'!$C$12,'1-Input'!$B$12,0))+J140*(1-'P-Parametri'!$B$6*I140))*(1+'1-Input'!$B$27))</f>
        <v>0</v>
      </c>
      <c r="L140" s="18">
        <f>IF($A140&gt;'1-Input'!$B$26,N139,(N139-J140)*(1+$B$4))</f>
        <v>115678.52890672606</v>
      </c>
      <c r="M140" s="18">
        <f>IF($A140&gt;'1-Input'!$B$26,K140,K140-'P-Parametri'!$B$8*(L140+K140)+MIN(MAX(L140,0),'P-Parametri'!$B$8*(L140+K140)))</f>
        <v>0</v>
      </c>
      <c r="N140" s="18">
        <f>IF($A140&gt;'1-Input'!$B$26,L140,L140-MIN(MAX(L140,0),'P-Parametri'!$B$8*(L140+K140)))</f>
        <v>115447.17184891261</v>
      </c>
      <c r="O140" s="18">
        <f>IF($A140&gt;'1-Input'!$B$26,O139,O139-J140*(1-I140))</f>
        <v>66846.657014234137</v>
      </c>
      <c r="P140" s="11">
        <f>IF($A140&gt;'1-Input'!$B$26,0,IF(U139&lt;=0,0,MAX(0,(U139-V139)/U139)))</f>
        <v>0.410576960141872</v>
      </c>
      <c r="Q140" s="18">
        <f>IF($A140&gt;'1-Input'!$B$26,0,(MAX(0,P121-IF($A140&gt;='1-Input'!$C$12,'1-Input'!$B$12,0))-MIN(MAX(T139,0),MAX(0,P121-IF($A140&gt;='1-Input'!$C$12,'1-Input'!$B$12,0))))*(1/(1-'P-Parametri'!$B$6*P140))+MIN(MAX(0,U139-(MAX(0,P121-IF($A140&gt;='1-Input'!$C$12,'1-Input'!$B$12,0))-MIN(MAX(T139,0),MAX(0,P121-IF($A140&gt;='1-Input'!$C$12,'1-Input'!$B$12,0))))*(1/(1-'P-Parametri'!$B$6*P140))),MAX(0,0*P121-(T139-MIN(MAX(T139,0),MAX(0,P121-IF($A140&gt;='1-Input'!$C$12,'1-Input'!$B$12,0)))))*(1/(1-'P-Parametri'!$B$6*P140))))</f>
        <v>19368.750298180421</v>
      </c>
      <c r="R140" s="18">
        <f>IF($A140&gt;'1-Input'!$B$26,T139,(T139-MAX(0,P121-IF($A140&gt;='1-Input'!$C$12,'1-Input'!$B$12,0))+Q140*(1-'P-Parametri'!$B$6*P140))*(1+'1-Input'!$B$27))</f>
        <v>0</v>
      </c>
      <c r="S140" s="18">
        <f>IF($A140&gt;'1-Input'!$B$26,U139,(U139-Q140)*(1+$B$4))</f>
        <v>217236.48645477355</v>
      </c>
      <c r="T140" s="18">
        <f>IF($A140&gt;'1-Input'!$B$26,R140,R140-'P-Parametri'!$B$8*(S140+R140)+MIN(MAX(S140,0),'P-Parametri'!$B$8*(S140+R140)))</f>
        <v>0</v>
      </c>
      <c r="U140" s="18">
        <f>IF($A140&gt;'1-Input'!$B$26,S140,S140-MIN(MAX(S140,0),'P-Parametri'!$B$8*(S140+R140)))</f>
        <v>216802.01348186401</v>
      </c>
      <c r="V140" s="18">
        <f>IF($A140&gt;'1-Input'!$B$26,V139,V139-Q140*(1-P140))</f>
        <v>125533.51981791339</v>
      </c>
      <c r="W140" s="11">
        <f>IF($A140&gt;'1-Input'!$B$26,0,IF(AB139&lt;=0,0,MAX(0,(AB139-AC139)/AB139)))</f>
        <v>0.41057696014187217</v>
      </c>
      <c r="X140" s="18">
        <f>IF($A140&gt;'1-Input'!$B$26,0,(MAX(0,W121-IF($A140&gt;='1-Input'!$C$12,'1-Input'!$B$12,0))-MIN(MAX(AA139,0),MAX(0,W121-IF($A140&gt;='1-Input'!$C$12,'1-Input'!$B$12,0))))*(1/(1-'P-Parametri'!$B$6*W140))+MIN(MAX(0,AB139-(MAX(0,W121-IF($A140&gt;='1-Input'!$C$12,'1-Input'!$B$12,0))-MIN(MAX(AA139,0),MAX(0,W121-IF($A140&gt;='1-Input'!$C$12,'1-Input'!$B$12,0))))*(1/(1-'P-Parametri'!$B$6*W140))),MAX(0,0*W121-(AA139-MIN(MAX(AA139,0),MAX(0,W121-IF($A140&gt;='1-Input'!$C$12,'1-Input'!$B$12,0)))))*(1/(1-'P-Parametri'!$B$6*W140))))</f>
        <v>19265.45744859584</v>
      </c>
      <c r="Y140" s="18">
        <f>IF($A140&gt;'1-Input'!$B$26,AA139,(AA139-MAX(0,W121-IF($A140&gt;='1-Input'!$C$12,'1-Input'!$B$12,0))+X140*(1-'P-Parametri'!$B$6*W140))*(1+'1-Input'!$B$27))</f>
        <v>0</v>
      </c>
      <c r="Z140" s="18">
        <f>IF($A140&gt;'1-Input'!$B$26,AB139,(AB139-X140)*(1+$B$4))</f>
        <v>219252.65360233659</v>
      </c>
      <c r="AA140" s="18">
        <f>IF($A140&gt;'1-Input'!$B$26,Y140,Y140-'P-Parametri'!$B$8*(Z140+Y140)+MIN(MAX(Z140,0),'P-Parametri'!$B$8*(Z140+Y140)))</f>
        <v>0</v>
      </c>
      <c r="AB140" s="18">
        <f>IF($A140&gt;'1-Input'!$B$26,Z140,Z140-MIN(MAX(Z140,0),'P-Parametri'!$B$8*(Z140+Y140)))</f>
        <v>218814.14829513192</v>
      </c>
      <c r="AC140" s="18">
        <f>IF($A140&gt;'1-Input'!$B$26,AC139,AC139-X140*(1-W140))</f>
        <v>126698.59370906897</v>
      </c>
      <c r="AD140" s="11">
        <f>IF($A140&gt;'1-Input'!$B$26,0,IF(AI139&lt;=0,0,MAX(0,(AI139-AJ139)/AI139)))</f>
        <v>0.41057696014187195</v>
      </c>
      <c r="AE140" s="18">
        <f>IF($A140&gt;'1-Input'!$B$26,0,(MAX(0,AD121-IF($A140&gt;='1-Input'!$C$12,'1-Input'!$B$12,0))-MIN(MAX(AH139,0),MAX(0,AD121-IF($A140&gt;='1-Input'!$C$12,'1-Input'!$B$12,0))))*(1/(1-'P-Parametri'!$B$6*AD140))+MIN(MAX(0,AI139-(MAX(0,AD121-IF($A140&gt;='1-Input'!$C$12,'1-Input'!$B$12,0))-MIN(MAX(AH139,0),MAX(0,AD121-IF($A140&gt;='1-Input'!$C$12,'1-Input'!$B$12,0))))*(1/(1-'P-Parametri'!$B$6*AD140))),MAX(0,0*AD121-(AH139-MIN(MAX(AH139,0),MAX(0,AD121-IF($A140&gt;='1-Input'!$C$12,'1-Input'!$B$12,0)))))*(1/(1-'P-Parametri'!$B$6*AD140))))</f>
        <v>19280.363803064596</v>
      </c>
      <c r="AF140" s="18">
        <f>IF($A140&gt;'1-Input'!$B$26,AH139,(AH139-MAX(0,AD121-IF($A140&gt;='1-Input'!$C$12,'1-Input'!$B$12,0))+AE140*(1-'P-Parametri'!$B$6*AD140))*(1+'1-Input'!$B$27))</f>
        <v>0</v>
      </c>
      <c r="AG140" s="18">
        <f>IF($A140&gt;'1-Input'!$B$26,AI139,(AI139-AE140)*(1+$B$4))</f>
        <v>218961.69733294621</v>
      </c>
      <c r="AH140" s="18">
        <f>IF($A140&gt;'1-Input'!$B$26,AF140,AF140-'P-Parametri'!$B$8*(AG140+AF140)+MIN(MAX(AG140,0),'P-Parametri'!$B$8*(AG140+AF140)))</f>
        <v>0</v>
      </c>
      <c r="AI140" s="18">
        <f>IF($A140&gt;'1-Input'!$B$26,AG140,AG140-MIN(MAX(AG140,0),'P-Parametri'!$B$8*(AG140+AF140)))</f>
        <v>218523.77393828033</v>
      </c>
      <c r="AJ140" s="18">
        <f>IF($A140&gt;'1-Input'!$B$26,AJ139,AJ139-AE140*(1-AD140))</f>
        <v>126530.46005341226</v>
      </c>
      <c r="AK140" s="11">
        <f>IF($A140&gt;'1-Input'!$B$26,0,IF(AP139&lt;=0,0,MAX(0,(AP139-AQ139)/AP139)))</f>
        <v>0.41057696014187195</v>
      </c>
      <c r="AL140" s="18">
        <f>IF($A140&gt;'1-Input'!$B$26,0,(MAX(0,AK121-IF($A140&gt;='1-Input'!$C$12,'1-Input'!$B$12,0))-MIN(MAX(AO139,0),MAX(0,AK121-IF($A140&gt;='1-Input'!$C$12,'1-Input'!$B$12,0))))*(1/(1-'P-Parametri'!$B$6*AK140))+MIN(MAX(0,AP139-(MAX(0,AK121-IF($A140&gt;='1-Input'!$C$12,'1-Input'!$B$12,0))-MIN(MAX(AO139,0),MAX(0,AK121-IF($A140&gt;='1-Input'!$C$12,'1-Input'!$B$12,0))))*(1/(1-'P-Parametri'!$B$6*AK140))),MAX(0,0*AK121-(AO139-MIN(MAX(AO139,0),MAX(0,AK121-IF($A140&gt;='1-Input'!$C$12,'1-Input'!$B$12,0)))))*(1/(1-'P-Parametri'!$B$6*AK140))))</f>
        <v>19280.363803064596</v>
      </c>
      <c r="AM140" s="18">
        <f>IF($A140&gt;'1-Input'!$B$26,AO139,(AO139-MAX(0,AK121-IF($A140&gt;='1-Input'!$C$12,'1-Input'!$B$12,0))+AL140*(1-'P-Parametri'!$B$6*AK140))*(1+'1-Input'!$B$27))</f>
        <v>0</v>
      </c>
      <c r="AN140" s="18">
        <f>IF($A140&gt;'1-Input'!$B$26,AP139,(AP139-AL140)*(1+$B$4))</f>
        <v>218961.69733294621</v>
      </c>
      <c r="AO140" s="18">
        <f>IF($A140&gt;'1-Input'!$B$26,AM140,AM140-'P-Parametri'!$B$8*(AN140+AM140)+MIN(MAX(AN140,0),'P-Parametri'!$B$8*(AN140+AM140)))</f>
        <v>0</v>
      </c>
      <c r="AP140" s="18">
        <f>IF($A140&gt;'1-Input'!$B$26,AN140,AN140-MIN(MAX(AN140,0),'P-Parametri'!$B$8*(AN140+AM140)))</f>
        <v>218523.77393828033</v>
      </c>
      <c r="AQ140" s="18">
        <f>IF($A140&gt;'1-Input'!$B$26,AQ139,AQ139-AL140*(1-AK140))</f>
        <v>126530.46005341226</v>
      </c>
    </row>
    <row r="141" spans="1:43">
      <c r="A141" s="10">
        <f>18</f>
        <v>18</v>
      </c>
      <c r="B141" s="11">
        <f>IF($A141&gt;'1-Input'!$B$26,0,IF(G140&lt;=0,0,MAX(0,(G140-H140)/G140)))</f>
        <v>0.42097622710310062</v>
      </c>
      <c r="C141" s="18">
        <f>IF($A141&gt;'1-Input'!$B$26,0,(MAX(0,B121-IF($A141&gt;='1-Input'!$C$12,'1-Input'!$B$12,0))-MIN(MAX(F140,0),MAX(0,B121-IF($A141&gt;='1-Input'!$C$12,'1-Input'!$B$12,0))))*(1/(1-'P-Parametri'!$B$6*B141))+MIN(MAX(0,G140-(MAX(0,B121-IF($A141&gt;='1-Input'!$C$12,'1-Input'!$B$12,0))-MIN(MAX(F140,0),MAX(0,B121-IF($A141&gt;='1-Input'!$C$12,'1-Input'!$B$12,0))))*(1/(1-'P-Parametri'!$B$6*B141))),MAX(0,0*B121-(F140-MIN(MAX(F140,0),MAX(0,B121-IF($A141&gt;='1-Input'!$C$12,'1-Input'!$B$12,0)))))*(1/(1-'P-Parametri'!$B$6*B141))))</f>
        <v>18731.263657513278</v>
      </c>
      <c r="D141" s="18">
        <f>IF($A141&gt;'1-Input'!$B$26,F140,(F140-MAX(0,B121-IF($A141&gt;='1-Input'!$C$12,'1-Input'!$B$12,0))+C141*(1-'P-Parametri'!$B$6*B141))*(1+'1-Input'!$B$27))</f>
        <v>0</v>
      </c>
      <c r="E141" s="18">
        <f>IF($A141&gt;'1-Input'!$B$26,G140,(G140-C141)*(1+$B$4))</f>
        <v>215825.2743216886</v>
      </c>
      <c r="F141" s="18">
        <f>IF($A141&gt;'1-Input'!$B$26,D141,D141-'P-Parametri'!$B$8*(E141+D141)+MIN(MAX(E141,0),'P-Parametri'!$B$8*(E141+D141)))</f>
        <v>0</v>
      </c>
      <c r="G141" s="18">
        <f>IF($A141&gt;'1-Input'!$B$26,E141,E141-MIN(MAX(E141,0),'P-Parametri'!$B$8*(E141+D141)))</f>
        <v>215393.62377304523</v>
      </c>
      <c r="H141" s="18">
        <f>IF($A141&gt;'1-Input'!$B$26,H140,H140-C141*(1-B141))</f>
        <v>122517.61237671805</v>
      </c>
      <c r="I141" s="11">
        <f>IF($A141&gt;'1-Input'!$B$26,0,IF(N140&lt;=0,0,MAX(0,(N140-O140)/N140)))</f>
        <v>0.42097622710310018</v>
      </c>
      <c r="J141" s="18">
        <f>IF($A141&gt;'1-Input'!$B$26,0,(MAX(0,I121-IF($A141&gt;='1-Input'!$C$12,'1-Input'!$B$12,0))-MIN(MAX(M140,0),MAX(0,I121-IF($A141&gt;='1-Input'!$C$12,'1-Input'!$B$12,0))))*(1/(1-'P-Parametri'!$B$6*I141))+MIN(MAX(0,N140-(MAX(0,I121-IF($A141&gt;='1-Input'!$C$12,'1-Input'!$B$12,0))-MIN(MAX(M140,0),MAX(0,I121-IF($A141&gt;='1-Input'!$C$12,'1-Input'!$B$12,0))))*(1/(1-'P-Parametri'!$B$6*I141))),MAX(0,0*I121-(M140-MIN(MAX(M140,0),MAX(0,I121-IF($A141&gt;='1-Input'!$C$12,'1-Input'!$B$12,0)))))*(1/(1-'P-Parametri'!$B$6*I141))))</f>
        <v>24646.399549359579</v>
      </c>
      <c r="K141" s="18">
        <f>IF($A141&gt;'1-Input'!$B$26,M140,(M140-MAX(0,I121-IF($A141&gt;='1-Input'!$C$12,'1-Input'!$B$12,0))+J141*(1-'P-Parametri'!$B$6*I141))*(1+'1-Input'!$B$27))</f>
        <v>3.6248820833861826E-12</v>
      </c>
      <c r="L141" s="18">
        <f>IF($A141&gt;'1-Input'!$B$26,N140,(N140-J141)*(1+$B$4))</f>
        <v>92616.78774554409</v>
      </c>
      <c r="M141" s="18">
        <f>IF($A141&gt;'1-Input'!$B$26,K141,K141-'P-Parametri'!$B$8*(L141+K141)+MIN(MAX(L141,0),'P-Parametri'!$B$8*(L141+K141)))</f>
        <v>3.637978807091713E-12</v>
      </c>
      <c r="N141" s="18">
        <f>IF($A141&gt;'1-Input'!$B$26,L141,L141-MIN(MAX(L141,0),'P-Parametri'!$B$8*(L141+K141)))</f>
        <v>92431.554170053001</v>
      </c>
      <c r="O141" s="18">
        <f>IF($A141&gt;'1-Input'!$B$26,O140,O140-J141*(1-I141))</f>
        <v>52575.805758839502</v>
      </c>
      <c r="P141" s="11">
        <f>IF($A141&gt;'1-Input'!$B$26,0,IF(U140&lt;=0,0,MAX(0,(U140-V140)/U140)))</f>
        <v>0.4209762271031004</v>
      </c>
      <c r="Q141" s="18">
        <f>IF($A141&gt;'1-Input'!$B$26,0,(MAX(0,P121-IF($A141&gt;='1-Input'!$C$12,'1-Input'!$B$12,0))-MIN(MAX(T140,0),MAX(0,P121-IF($A141&gt;='1-Input'!$C$12,'1-Input'!$B$12,0))))*(1/(1-'P-Parametri'!$B$6*P141))+MIN(MAX(0,U140-(MAX(0,P121-IF($A141&gt;='1-Input'!$C$12,'1-Input'!$B$12,0))-MIN(MAX(T140,0),MAX(0,P121-IF($A141&gt;='1-Input'!$C$12,'1-Input'!$B$12,0))))*(1/(1-'P-Parametri'!$B$6*P141))),MAX(0,0*P121-(T140-MIN(MAX(T140,0),MAX(0,P121-IF($A141&gt;='1-Input'!$C$12,'1-Input'!$B$12,0)))))*(1/(1-'P-Parametri'!$B$6*P141))))</f>
        <v>19427.556242705999</v>
      </c>
      <c r="R141" s="18">
        <f>IF($A141&gt;'1-Input'!$B$26,T140,(T140-MAX(0,P121-IF($A141&gt;='1-Input'!$C$12,'1-Input'!$B$12,0))+Q141*(1-'P-Parametri'!$B$6*P141))*(1+'1-Input'!$B$27))</f>
        <v>3.6248820833861826E-12</v>
      </c>
      <c r="S141" s="18">
        <f>IF($A141&gt;'1-Input'!$B$26,U140,(U140-Q141)*(1+$B$4))</f>
        <v>201321.94638394119</v>
      </c>
      <c r="T141" s="18">
        <f>IF($A141&gt;'1-Input'!$B$26,R141,R141-'P-Parametri'!$B$8*(S141+R141)+MIN(MAX(S141,0),'P-Parametri'!$B$8*(S141+R141)))</f>
        <v>3.637978807091713E-12</v>
      </c>
      <c r="U141" s="18">
        <f>IF($A141&gt;'1-Input'!$B$26,S141,S141-MIN(MAX(S141,0),'P-Parametri'!$B$8*(S141+R141)))</f>
        <v>200919.30249117332</v>
      </c>
      <c r="V141" s="18">
        <f>IF($A141&gt;'1-Input'!$B$26,V140,V140-Q141*(1-P141))</f>
        <v>114284.50290409505</v>
      </c>
      <c r="W141" s="11">
        <f>IF($A141&gt;'1-Input'!$B$26,0,IF(AB140&lt;=0,0,MAX(0,(AB140-AC140)/AB140)))</f>
        <v>0.42097622710310045</v>
      </c>
      <c r="X141" s="18">
        <f>IF($A141&gt;'1-Input'!$B$26,0,(MAX(0,W121-IF($A141&gt;='1-Input'!$C$12,'1-Input'!$B$12,0))-MIN(MAX(AA140,0),MAX(0,W121-IF($A141&gt;='1-Input'!$C$12,'1-Input'!$B$12,0))))*(1/(1-'P-Parametri'!$B$6*W141))+MIN(MAX(0,AB140-(MAX(0,W121-IF($A141&gt;='1-Input'!$C$12,'1-Input'!$B$12,0))-MIN(MAX(AA140,0),MAX(0,W121-IF($A141&gt;='1-Input'!$C$12,'1-Input'!$B$12,0))))*(1/(1-'P-Parametri'!$B$6*W141))),MAX(0,0*W121-(AA140-MIN(MAX(AA140,0),MAX(0,W121-IF($A141&gt;='1-Input'!$C$12,'1-Input'!$B$12,0)))))*(1/(1-'P-Parametri'!$B$6*W141))))</f>
        <v>19323.949783131662</v>
      </c>
      <c r="Y141" s="18">
        <f>IF($A141&gt;'1-Input'!$B$26,AA140,(AA140-MAX(0,W121-IF($A141&gt;='1-Input'!$C$12,'1-Input'!$B$12,0))+X141*(1-'P-Parametri'!$B$6*W141))*(1+'1-Input'!$B$27))</f>
        <v>-3.6248820833861826E-12</v>
      </c>
      <c r="Z141" s="18">
        <f>IF($A141&gt;'1-Input'!$B$26,AB140,(AB140-X141)*(1+$B$4))</f>
        <v>203480.00248224026</v>
      </c>
      <c r="AA141" s="18">
        <f>IF($A141&gt;'1-Input'!$B$26,Y141,Y141-'P-Parametri'!$B$8*(Z141+Y141)+MIN(MAX(Z141,0),'P-Parametri'!$B$8*(Z141+Y141)))</f>
        <v>-3.637978807091713E-12</v>
      </c>
      <c r="AB141" s="18">
        <f>IF($A141&gt;'1-Input'!$B$26,Z141,Z141-MIN(MAX(Z141,0),'P-Parametri'!$B$8*(Z141+Y141)))</f>
        <v>203073.04247727577</v>
      </c>
      <c r="AC141" s="18">
        <f>IF($A141&gt;'1-Input'!$B$26,AC140,AC140-X141*(1-W141))</f>
        <v>115509.56739836985</v>
      </c>
      <c r="AD141" s="11">
        <f>IF($A141&gt;'1-Input'!$B$26,0,IF(AI140&lt;=0,0,MAX(0,(AI140-AJ140)/AI140)))</f>
        <v>0.4209762271031004</v>
      </c>
      <c r="AE141" s="18">
        <f>IF($A141&gt;'1-Input'!$B$26,0,(MAX(0,AD121-IF($A141&gt;='1-Input'!$C$12,'1-Input'!$B$12,0))-MIN(MAX(AH140,0),MAX(0,AD121-IF($A141&gt;='1-Input'!$C$12,'1-Input'!$B$12,0))))*(1/(1-'P-Parametri'!$B$6*AD141))+MIN(MAX(0,AI140-(MAX(0,AD121-IF($A141&gt;='1-Input'!$C$12,'1-Input'!$B$12,0))-MIN(MAX(AH140,0),MAX(0,AD121-IF($A141&gt;='1-Input'!$C$12,'1-Input'!$B$12,0))))*(1/(1-'P-Parametri'!$B$6*AD141))),MAX(0,0*AD121-(AH140-MIN(MAX(AH140,0),MAX(0,AD121-IF($A141&gt;='1-Input'!$C$12,'1-Input'!$B$12,0)))))*(1/(1-'P-Parametri'!$B$6*AD141))))</f>
        <v>19338.901395153971</v>
      </c>
      <c r="AF141" s="18">
        <f>IF($A141&gt;'1-Input'!$B$26,AH140,(AH140-MAX(0,AD121-IF($A141&gt;='1-Input'!$C$12,'1-Input'!$B$12,0))+AE141*(1-'P-Parametri'!$B$6*AD141))*(1+'1-Input'!$B$27))</f>
        <v>0</v>
      </c>
      <c r="AG141" s="18">
        <f>IF($A141&gt;'1-Input'!$B$26,AI140,(AI140-AE141)*(1+$B$4))</f>
        <v>203168.56999398887</v>
      </c>
      <c r="AH141" s="18">
        <f>IF($A141&gt;'1-Input'!$B$26,AF141,AF141-'P-Parametri'!$B$8*(AG141+AF141)+MIN(MAX(AG141,0),'P-Parametri'!$B$8*(AG141+AF141)))</f>
        <v>0</v>
      </c>
      <c r="AI141" s="18">
        <f>IF($A141&gt;'1-Input'!$B$26,AG141,AG141-MIN(MAX(AG141,0),'P-Parametri'!$B$8*(AG141+AF141)))</f>
        <v>202762.2328540009</v>
      </c>
      <c r="AJ141" s="18">
        <f>IF($A141&gt;'1-Input'!$B$26,AJ140,AJ140-AE141*(1-AD141))</f>
        <v>115332.77640390908</v>
      </c>
      <c r="AK141" s="11">
        <f>IF($A141&gt;'1-Input'!$B$26,0,IF(AP140&lt;=0,0,MAX(0,(AP140-AQ140)/AP140)))</f>
        <v>0.4209762271031004</v>
      </c>
      <c r="AL141" s="18">
        <f>IF($A141&gt;'1-Input'!$B$26,0,(MAX(0,AK121-IF($A141&gt;='1-Input'!$C$12,'1-Input'!$B$12,0))-MIN(MAX(AO140,0),MAX(0,AK121-IF($A141&gt;='1-Input'!$C$12,'1-Input'!$B$12,0))))*(1/(1-'P-Parametri'!$B$6*AK141))+MIN(MAX(0,AP140-(MAX(0,AK121-IF($A141&gt;='1-Input'!$C$12,'1-Input'!$B$12,0))-MIN(MAX(AO140,0),MAX(0,AK121-IF($A141&gt;='1-Input'!$C$12,'1-Input'!$B$12,0))))*(1/(1-'P-Parametri'!$B$6*AK141))),MAX(0,0*AK121-(AO140-MIN(MAX(AO140,0),MAX(0,AK121-IF($A141&gt;='1-Input'!$C$12,'1-Input'!$B$12,0)))))*(1/(1-'P-Parametri'!$B$6*AK141))))</f>
        <v>19338.901395153971</v>
      </c>
      <c r="AM141" s="18">
        <f>IF($A141&gt;'1-Input'!$B$26,AO140,(AO140-MAX(0,AK121-IF($A141&gt;='1-Input'!$C$12,'1-Input'!$B$12,0))+AL141*(1-'P-Parametri'!$B$6*AK141))*(1+'1-Input'!$B$27))</f>
        <v>0</v>
      </c>
      <c r="AN141" s="18">
        <f>IF($A141&gt;'1-Input'!$B$26,AP140,(AP140-AL141)*(1+$B$4))</f>
        <v>203168.56999398887</v>
      </c>
      <c r="AO141" s="18">
        <f>IF($A141&gt;'1-Input'!$B$26,AM141,AM141-'P-Parametri'!$B$8*(AN141+AM141)+MIN(MAX(AN141,0),'P-Parametri'!$B$8*(AN141+AM141)))</f>
        <v>0</v>
      </c>
      <c r="AP141" s="18">
        <f>IF($A141&gt;'1-Input'!$B$26,AN141,AN141-MIN(MAX(AN141,0),'P-Parametri'!$B$8*(AN141+AM141)))</f>
        <v>202762.2328540009</v>
      </c>
      <c r="AQ141" s="18">
        <f>IF($A141&gt;'1-Input'!$B$26,AQ140,AQ140-AL141*(1-AK141))</f>
        <v>115332.77640390908</v>
      </c>
    </row>
    <row r="142" spans="1:43">
      <c r="A142" s="10">
        <f>19</f>
        <v>19</v>
      </c>
      <c r="B142" s="11">
        <f>IF($A142&gt;'1-Input'!$B$26,0,IF(G141&lt;=0,0,MAX(0,(G141-H141)/G141)))</f>
        <v>0.43119201845170801</v>
      </c>
      <c r="C142" s="18">
        <f>IF($A142&gt;'1-Input'!$B$26,0,(MAX(0,B121-IF($A142&gt;='1-Input'!$C$12,'1-Input'!$B$12,0))-MIN(MAX(F141,0),MAX(0,B121-IF($A142&gt;='1-Input'!$C$12,'1-Input'!$B$12,0))))*(1/(1-'P-Parametri'!$B$6*B142))+MIN(MAX(0,G141-(MAX(0,B121-IF($A142&gt;='1-Input'!$C$12,'1-Input'!$B$12,0))-MIN(MAX(F141,0),MAX(0,B121-IF($A142&gt;='1-Input'!$C$12,'1-Input'!$B$12,0))))*(1/(1-'P-Parametri'!$B$6*B142))),MAX(0,0*B121-(F141-MIN(MAX(F141,0),MAX(0,B121-IF($A142&gt;='1-Input'!$C$12,'1-Input'!$B$12,0)))))*(1/(1-'P-Parametri'!$B$6*B142))))</f>
        <v>18787.29786547093</v>
      </c>
      <c r="D142" s="18">
        <f>IF($A142&gt;'1-Input'!$B$26,F141,(F141-MAX(0,B121-IF($A142&gt;='1-Input'!$C$12,'1-Input'!$B$12,0))+C142*(1-'P-Parametri'!$B$6*B142))*(1+'1-Input'!$B$27))</f>
        <v>0</v>
      </c>
      <c r="E142" s="18">
        <f>IF($A142&gt;'1-Input'!$B$26,G141,(G141-C142)*(1+$B$4))</f>
        <v>200538.45242572579</v>
      </c>
      <c r="F142" s="18">
        <f>IF($A142&gt;'1-Input'!$B$26,D142,D142-'P-Parametri'!$B$8*(E142+D142)+MIN(MAX(E142,0),'P-Parametri'!$B$8*(E142+D142)))</f>
        <v>0</v>
      </c>
      <c r="G142" s="18">
        <f>IF($A142&gt;'1-Input'!$B$26,E142,E142-MIN(MAX(E142,0),'P-Parametri'!$B$8*(E142+D142)))</f>
        <v>200137.37552087434</v>
      </c>
      <c r="H142" s="18">
        <f>IF($A142&gt;'1-Input'!$B$26,H141,H141-C142*(1-B142))</f>
        <v>111831.247399113</v>
      </c>
      <c r="I142" s="11">
        <f>IF($A142&gt;'1-Input'!$B$26,0,IF(N141&lt;=0,0,MAX(0,(N141-O141)/N141)))</f>
        <v>0.43119201845170751</v>
      </c>
      <c r="J142" s="18">
        <f>IF($A142&gt;'1-Input'!$B$26,0,(MAX(0,I121-IF($A142&gt;='1-Input'!$C$12,'1-Input'!$B$12,0))-MIN(MAX(M141,0),MAX(0,I121-IF($A142&gt;='1-Input'!$C$12,'1-Input'!$B$12,0))))*(1/(1-'P-Parametri'!$B$6*I142))+MIN(MAX(0,N141-(MAX(0,I121-IF($A142&gt;='1-Input'!$C$12,'1-Input'!$B$12,0))-MIN(MAX(M141,0),MAX(0,I121-IF($A142&gt;='1-Input'!$C$12,'1-Input'!$B$12,0))))*(1/(1-'P-Parametri'!$B$6*I142))),MAX(0,0*I121-(M141-MIN(MAX(M141,0),MAX(0,I121-IF($A142&gt;='1-Input'!$C$12,'1-Input'!$B$12,0)))))*(1/(1-'P-Parametri'!$B$6*I142))))</f>
        <v>24720.128770356481</v>
      </c>
      <c r="K142" s="18">
        <f>IF($A142&gt;'1-Input'!$B$26,M141,(M141-MAX(0,I121-IF($A142&gt;='1-Input'!$C$12,'1-Input'!$B$12,0))+J142*(1-'P-Parametri'!$B$6*I142))*(1+'1-Input'!$B$27))</f>
        <v>-3.6248820833861826E-12</v>
      </c>
      <c r="L142" s="18">
        <f>IF($A142&gt;'1-Input'!$B$26,N141,(N141-J142)*(1+$B$4))</f>
        <v>69065.653907690445</v>
      </c>
      <c r="M142" s="18">
        <f>IF($A142&gt;'1-Input'!$B$26,K142,K142-'P-Parametri'!$B$8*(L142+K142)+MIN(MAX(L142,0),'P-Parametri'!$B$8*(L142+K142)))</f>
        <v>-3.637978807091713E-12</v>
      </c>
      <c r="N142" s="18">
        <f>IF($A142&gt;'1-Input'!$B$26,L142,L142-MIN(MAX(L142,0),'P-Parametri'!$B$8*(L142+K142)))</f>
        <v>68927.522599875068</v>
      </c>
      <c r="O142" s="18">
        <f>IF($A142&gt;'1-Input'!$B$26,O141,O141-J142*(1-I142))</f>
        <v>38514.79920935916</v>
      </c>
      <c r="P142" s="11">
        <f>IF($A142&gt;'1-Input'!$B$26,0,IF(U141&lt;=0,0,MAX(0,(U141-V141)/U141)))</f>
        <v>0.43119201845170785</v>
      </c>
      <c r="Q142" s="18">
        <f>IF($A142&gt;'1-Input'!$B$26,0,(MAX(0,P121-IF($A142&gt;='1-Input'!$C$12,'1-Input'!$B$12,0))-MIN(MAX(T141,0),MAX(0,P121-IF($A142&gt;='1-Input'!$C$12,'1-Input'!$B$12,0))))*(1/(1-'P-Parametri'!$B$6*P142))+MIN(MAX(0,U141-(MAX(0,P121-IF($A142&gt;='1-Input'!$C$12,'1-Input'!$B$12,0))-MIN(MAX(T141,0),MAX(0,P121-IF($A142&gt;='1-Input'!$C$12,'1-Input'!$B$12,0))))*(1/(1-'P-Parametri'!$B$6*P142))),MAX(0,0*P121-(T141-MIN(MAX(T141,0),MAX(0,P121-IF($A142&gt;='1-Input'!$C$12,'1-Input'!$B$12,0)))))*(1/(1-'P-Parametri'!$B$6*P142))))</f>
        <v>19485.673396279675</v>
      </c>
      <c r="R142" s="18">
        <f>IF($A142&gt;'1-Input'!$B$26,T141,(T141-MAX(0,P121-IF($A142&gt;='1-Input'!$C$12,'1-Input'!$B$12,0))+Q142*(1-'P-Parametri'!$B$6*P142))*(1+'1-Input'!$B$27))</f>
        <v>0</v>
      </c>
      <c r="S142" s="18">
        <f>IF($A142&gt;'1-Input'!$B$26,U141,(U141-Q142)*(1+$B$4))</f>
        <v>185062.30167679151</v>
      </c>
      <c r="T142" s="18">
        <f>IF($A142&gt;'1-Input'!$B$26,R142,R142-'P-Parametri'!$B$8*(S142+R142)+MIN(MAX(S142,0),'P-Parametri'!$B$8*(S142+R142)))</f>
        <v>0</v>
      </c>
      <c r="U142" s="18">
        <f>IF($A142&gt;'1-Input'!$B$26,S142,S142-MIN(MAX(S142,0),'P-Parametri'!$B$8*(S142+R142)))</f>
        <v>184692.17707343792</v>
      </c>
      <c r="V142" s="18">
        <f>IF($A142&gt;'1-Input'!$B$26,V141,V141-Q142*(1-P142))</f>
        <v>103200.89635044795</v>
      </c>
      <c r="W142" s="11">
        <f>IF($A142&gt;'1-Input'!$B$26,0,IF(AB141&lt;=0,0,MAX(0,(AB141-AC141)/AB141)))</f>
        <v>0.43119201845170774</v>
      </c>
      <c r="X142" s="18">
        <f>IF($A142&gt;'1-Input'!$B$26,0,(MAX(0,W121-IF($A142&gt;='1-Input'!$C$12,'1-Input'!$B$12,0))-MIN(MAX(AA141,0),MAX(0,W121-IF($A142&gt;='1-Input'!$C$12,'1-Input'!$B$12,0))))*(1/(1-'P-Parametri'!$B$6*W142))+MIN(MAX(0,AB141-(MAX(0,W121-IF($A142&gt;='1-Input'!$C$12,'1-Input'!$B$12,0))-MIN(MAX(AA141,0),MAX(0,W121-IF($A142&gt;='1-Input'!$C$12,'1-Input'!$B$12,0))))*(1/(1-'P-Parametri'!$B$6*W142))),MAX(0,0*W121-(AA141-MIN(MAX(AA141,0),MAX(0,W121-IF($A142&gt;='1-Input'!$C$12,'1-Input'!$B$12,0)))))*(1/(1-'P-Parametri'!$B$6*W142))))</f>
        <v>19381.757000012993</v>
      </c>
      <c r="Y142" s="18">
        <f>IF($A142&gt;'1-Input'!$B$26,AA141,(AA141-MAX(0,W121-IF($A142&gt;='1-Input'!$C$12,'1-Input'!$B$12,0))+X142*(1-'P-Parametri'!$B$6*W142))*(1+'1-Input'!$B$27))</f>
        <v>-3.6248820833861826E-12</v>
      </c>
      <c r="Z142" s="18">
        <f>IF($A142&gt;'1-Input'!$B$26,AB141,(AB141-X142)*(1+$B$4))</f>
        <v>187365.11118680803</v>
      </c>
      <c r="AA142" s="18">
        <f>IF($A142&gt;'1-Input'!$B$26,Y142,Y142-'P-Parametri'!$B$8*(Z142+Y142)+MIN(MAX(Z142,0),'P-Parametri'!$B$8*(Z142+Y142)))</f>
        <v>-3.637978807091713E-12</v>
      </c>
      <c r="AB142" s="18">
        <f>IF($A142&gt;'1-Input'!$B$26,Z142,Z142-MIN(MAX(Z142,0),'P-Parametri'!$B$8*(Z142+Y142)))</f>
        <v>186990.38096443441</v>
      </c>
      <c r="AC142" s="18">
        <f>IF($A142&gt;'1-Input'!$B$26,AC141,AC141-X142*(1-W142))</f>
        <v>104485.06932033297</v>
      </c>
      <c r="AD142" s="11">
        <f>IF($A142&gt;'1-Input'!$B$26,0,IF(AI141&lt;=0,0,MAX(0,(AI141-AJ141)/AI141)))</f>
        <v>0.43119201845170774</v>
      </c>
      <c r="AE142" s="18">
        <f>IF($A142&gt;'1-Input'!$B$26,0,(MAX(0,AD121-IF($A142&gt;='1-Input'!$C$12,'1-Input'!$B$12,0))-MIN(MAX(AH141,0),MAX(0,AD121-IF($A142&gt;='1-Input'!$C$12,'1-Input'!$B$12,0))))*(1/(1-'P-Parametri'!$B$6*AD142))+MIN(MAX(0,AI141-(MAX(0,AD121-IF($A142&gt;='1-Input'!$C$12,'1-Input'!$B$12,0))-MIN(MAX(AH141,0),MAX(0,AD121-IF($A142&gt;='1-Input'!$C$12,'1-Input'!$B$12,0))))*(1/(1-'P-Parametri'!$B$6*AD142))),MAX(0,0*AD121-(AH141-MIN(MAX(AH141,0),MAX(0,AD121-IF($A142&gt;='1-Input'!$C$12,'1-Input'!$B$12,0)))))*(1/(1-'P-Parametri'!$B$6*AD142))))</f>
        <v>19396.7533394895</v>
      </c>
      <c r="AF142" s="18">
        <f>IF($A142&gt;'1-Input'!$B$26,AH141,(AH141-MAX(0,AD121-IF($A142&gt;='1-Input'!$C$12,'1-Input'!$B$12,0))+AE142*(1-'P-Parametri'!$B$6*AD142))*(1+'1-Input'!$B$27))</f>
        <v>0</v>
      </c>
      <c r="AG142" s="18">
        <f>IF($A142&gt;'1-Input'!$B$26,AI141,(AI141-AE142)*(1+$B$4))</f>
        <v>187032.78910480166</v>
      </c>
      <c r="AH142" s="18">
        <f>IF($A142&gt;'1-Input'!$B$26,AF142,AF142-'P-Parametri'!$B$8*(AG142+AF142)+MIN(MAX(AG142,0),'P-Parametri'!$B$8*(AG142+AF142)))</f>
        <v>0</v>
      </c>
      <c r="AI142" s="18">
        <f>IF($A142&gt;'1-Input'!$B$26,AG142,AG142-MIN(MAX(AG142,0),'P-Parametri'!$B$8*(AG142+AF142)))</f>
        <v>186658.72352659205</v>
      </c>
      <c r="AJ142" s="18">
        <f>IF($A142&gt;'1-Input'!$B$26,AJ141,AJ141-AE142*(1-AD142))</f>
        <v>104299.74828828397</v>
      </c>
      <c r="AK142" s="11">
        <f>IF($A142&gt;'1-Input'!$B$26,0,IF(AP141&lt;=0,0,MAX(0,(AP141-AQ141)/AP141)))</f>
        <v>0.43119201845170774</v>
      </c>
      <c r="AL142" s="18">
        <f>IF($A142&gt;'1-Input'!$B$26,0,(MAX(0,AK121-IF($A142&gt;='1-Input'!$C$12,'1-Input'!$B$12,0))-MIN(MAX(AO141,0),MAX(0,AK121-IF($A142&gt;='1-Input'!$C$12,'1-Input'!$B$12,0))))*(1/(1-'P-Parametri'!$B$6*AK142))+MIN(MAX(0,AP141-(MAX(0,AK121-IF($A142&gt;='1-Input'!$C$12,'1-Input'!$B$12,0))-MIN(MAX(AO141,0),MAX(0,AK121-IF($A142&gt;='1-Input'!$C$12,'1-Input'!$B$12,0))))*(1/(1-'P-Parametri'!$B$6*AK142))),MAX(0,0*AK121-(AO141-MIN(MAX(AO141,0),MAX(0,AK121-IF($A142&gt;='1-Input'!$C$12,'1-Input'!$B$12,0)))))*(1/(1-'P-Parametri'!$B$6*AK142))))</f>
        <v>19396.7533394895</v>
      </c>
      <c r="AM142" s="18">
        <f>IF($A142&gt;'1-Input'!$B$26,AO141,(AO141-MAX(0,AK121-IF($A142&gt;='1-Input'!$C$12,'1-Input'!$B$12,0))+AL142*(1-'P-Parametri'!$B$6*AK142))*(1+'1-Input'!$B$27))</f>
        <v>0</v>
      </c>
      <c r="AN142" s="18">
        <f>IF($A142&gt;'1-Input'!$B$26,AP141,(AP141-AL142)*(1+$B$4))</f>
        <v>187032.78910480166</v>
      </c>
      <c r="AO142" s="18">
        <f>IF($A142&gt;'1-Input'!$B$26,AM142,AM142-'P-Parametri'!$B$8*(AN142+AM142)+MIN(MAX(AN142,0),'P-Parametri'!$B$8*(AN142+AM142)))</f>
        <v>0</v>
      </c>
      <c r="AP142" s="18">
        <f>IF($A142&gt;'1-Input'!$B$26,AN142,AN142-MIN(MAX(AN142,0),'P-Parametri'!$B$8*(AN142+AM142)))</f>
        <v>186658.72352659205</v>
      </c>
      <c r="AQ142" s="18">
        <f>IF($A142&gt;'1-Input'!$B$26,AQ141,AQ141-AL142*(1-AK142))</f>
        <v>104299.74828828397</v>
      </c>
    </row>
    <row r="143" spans="1:43">
      <c r="A143" s="10">
        <f>20</f>
        <v>20</v>
      </c>
      <c r="B143" s="11">
        <f>IF($A143&gt;'1-Input'!$B$26,0,IF(G142&lt;=0,0,MAX(0,(G142-H142)/G142)))</f>
        <v>0.44122757127166889</v>
      </c>
      <c r="C143" s="18">
        <f>IF($A143&gt;'1-Input'!$B$26,0,(MAX(0,B121-IF($A143&gt;='1-Input'!$C$12,'1-Input'!$B$12,0))-MIN(MAX(F142,0),MAX(0,B121-IF($A143&gt;='1-Input'!$C$12,'1-Input'!$B$12,0))))*(1/(1-'P-Parametri'!$B$6*B143))+MIN(MAX(0,G142-(MAX(0,B121-IF($A143&gt;='1-Input'!$C$12,'1-Input'!$B$12,0))-MIN(MAX(F142,0),MAX(0,B121-IF($A143&gt;='1-Input'!$C$12,'1-Input'!$B$12,0))))*(1/(1-'P-Parametri'!$B$6*B143))),MAX(0,0*B121-(F142-MIN(MAX(F142,0),MAX(0,B121-IF($A143&gt;='1-Input'!$C$12,'1-Input'!$B$12,0)))))*(1/(1-'P-Parametri'!$B$6*B143))))</f>
        <v>18842.670847101726</v>
      </c>
      <c r="D143" s="18">
        <f>IF($A143&gt;'1-Input'!$B$26,F142,(F142-MAX(0,B121-IF($A143&gt;='1-Input'!$C$12,'1-Input'!$B$12,0))+C143*(1-'P-Parametri'!$B$6*B143))*(1+'1-Input'!$B$27))</f>
        <v>0</v>
      </c>
      <c r="E143" s="18">
        <f>IF($A143&gt;'1-Input'!$B$26,G142,(G142-C143)*(1+$B$4))</f>
        <v>184920.59876724807</v>
      </c>
      <c r="F143" s="18">
        <f>IF($A143&gt;'1-Input'!$B$26,D143,D143-'P-Parametri'!$B$8*(E143+D143)+MIN(MAX(E143,0),'P-Parametri'!$B$8*(E143+D143)))</f>
        <v>0</v>
      </c>
      <c r="G143" s="18">
        <f>IF($A143&gt;'1-Input'!$B$26,E143,E143-MIN(MAX(E143,0),'P-Parametri'!$B$8*(E143+D143)))</f>
        <v>184550.75756971358</v>
      </c>
      <c r="H143" s="18">
        <f>IF($A143&gt;'1-Input'!$B$26,H142,H142-C143*(1-B143))</f>
        <v>101302.48244614944</v>
      </c>
      <c r="I143" s="11">
        <f>IF($A143&gt;'1-Input'!$B$26,0,IF(N142&lt;=0,0,MAX(0,(N142-O142)/N142)))</f>
        <v>0.44122757127166834</v>
      </c>
      <c r="J143" s="18">
        <f>IF($A143&gt;'1-Input'!$B$26,0,(MAX(0,I121-IF($A143&gt;='1-Input'!$C$12,'1-Input'!$B$12,0))-MIN(MAX(M142,0),MAX(0,I121-IF($A143&gt;='1-Input'!$C$12,'1-Input'!$B$12,0))))*(1/(1-'P-Parametri'!$B$6*I143))+MIN(MAX(0,N142-(MAX(0,I121-IF($A143&gt;='1-Input'!$C$12,'1-Input'!$B$12,0))-MIN(MAX(M142,0),MAX(0,I121-IF($A143&gt;='1-Input'!$C$12,'1-Input'!$B$12,0))))*(1/(1-'P-Parametri'!$B$6*I143))),MAX(0,0*I121-(M142-MIN(MAX(M142,0),MAX(0,I121-IF($A143&gt;='1-Input'!$C$12,'1-Input'!$B$12,0)))))*(1/(1-'P-Parametri'!$B$6*I143))))</f>
        <v>24792.987956712808</v>
      </c>
      <c r="K143" s="18">
        <f>IF($A143&gt;'1-Input'!$B$26,M142,(M142-MAX(0,I121-IF($A143&gt;='1-Input'!$C$12,'1-Input'!$B$12,0))+J143*(1-'P-Parametri'!$B$6*I143))*(1+'1-Input'!$B$27))</f>
        <v>3.6248820833861826E-12</v>
      </c>
      <c r="L143" s="18">
        <f>IF($A143&gt;'1-Input'!$B$26,N142,(N142-J143)*(1+$B$4))</f>
        <v>45017.225336025505</v>
      </c>
      <c r="M143" s="18">
        <f>IF($A143&gt;'1-Input'!$B$26,K143,K143-'P-Parametri'!$B$8*(L143+K143)+MIN(MAX(L143,0),'P-Parametri'!$B$8*(L143+K143)))</f>
        <v>3.6237679523765109E-12</v>
      </c>
      <c r="N143" s="18">
        <f>IF($A143&gt;'1-Input'!$B$26,L143,L143-MIN(MAX(L143,0),'P-Parametri'!$B$8*(L143+K143)))</f>
        <v>44927.190885353455</v>
      </c>
      <c r="O143" s="18">
        <f>IF($A143&gt;'1-Input'!$B$26,O142,O142-J143*(1-I143))</f>
        <v>24661.161113354465</v>
      </c>
      <c r="P143" s="11">
        <f>IF($A143&gt;'1-Input'!$B$26,0,IF(U142&lt;=0,0,MAX(0,(U142-V142)/U142)))</f>
        <v>0.44122757127166862</v>
      </c>
      <c r="Q143" s="18">
        <f>IF($A143&gt;'1-Input'!$B$26,0,(MAX(0,P121-IF($A143&gt;='1-Input'!$C$12,'1-Input'!$B$12,0))-MIN(MAX(T142,0),MAX(0,P121-IF($A143&gt;='1-Input'!$C$12,'1-Input'!$B$12,0))))*(1/(1-'P-Parametri'!$B$6*P143))+MIN(MAX(0,U142-(MAX(0,P121-IF($A143&gt;='1-Input'!$C$12,'1-Input'!$B$12,0))-MIN(MAX(T142,0),MAX(0,P121-IF($A143&gt;='1-Input'!$C$12,'1-Input'!$B$12,0))))*(1/(1-'P-Parametri'!$B$6*P143))),MAX(0,0*P121-(T142-MIN(MAX(T142,0),MAX(0,P121-IF($A143&gt;='1-Input'!$C$12,'1-Input'!$B$12,0)))))*(1/(1-'P-Parametri'!$B$6*P143))))</f>
        <v>19543.104743925418</v>
      </c>
      <c r="R143" s="18">
        <f>IF($A143&gt;'1-Input'!$B$26,T142,(T142-MAX(0,P121-IF($A143&gt;='1-Input'!$C$12,'1-Input'!$B$12,0))+Q143*(1-'P-Parametri'!$B$6*P143))*(1+'1-Input'!$B$27))</f>
        <v>0</v>
      </c>
      <c r="S143" s="18">
        <f>IF($A143&gt;'1-Input'!$B$26,U142,(U142-Q143)*(1+$B$4))</f>
        <v>168452.05377610275</v>
      </c>
      <c r="T143" s="18">
        <f>IF($A143&gt;'1-Input'!$B$26,R143,R143-'P-Parametri'!$B$8*(S143+R143)+MIN(MAX(S143,0),'P-Parametri'!$B$8*(S143+R143)))</f>
        <v>0</v>
      </c>
      <c r="U143" s="18">
        <f>IF($A143&gt;'1-Input'!$B$26,S143,S143-MIN(MAX(S143,0),'P-Parametri'!$B$8*(S143+R143)))</f>
        <v>168115.14966855056</v>
      </c>
      <c r="V143" s="18">
        <f>IF($A143&gt;'1-Input'!$B$26,V142,V142-Q143*(1-P143))</f>
        <v>92280.748247792566</v>
      </c>
      <c r="W143" s="11">
        <f>IF($A143&gt;'1-Input'!$B$26,0,IF(AB142&lt;=0,0,MAX(0,(AB142-AC142)/AB142)))</f>
        <v>0.44122757127166856</v>
      </c>
      <c r="X143" s="18">
        <f>IF($A143&gt;'1-Input'!$B$26,0,(MAX(0,W121-IF($A143&gt;='1-Input'!$C$12,'1-Input'!$B$12,0))-MIN(MAX(AA142,0),MAX(0,W121-IF($A143&gt;='1-Input'!$C$12,'1-Input'!$B$12,0))))*(1/(1-'P-Parametri'!$B$6*W143))+MIN(MAX(0,AB142-(MAX(0,W121-IF($A143&gt;='1-Input'!$C$12,'1-Input'!$B$12,0))-MIN(MAX(AA142,0),MAX(0,W121-IF($A143&gt;='1-Input'!$C$12,'1-Input'!$B$12,0))))*(1/(1-'P-Parametri'!$B$6*W143))),MAX(0,0*W121-(AA142-MIN(MAX(AA142,0),MAX(0,W121-IF($A143&gt;='1-Input'!$C$12,'1-Input'!$B$12,0)))))*(1/(1-'P-Parametri'!$B$6*W143))))</f>
        <v>19438.882068344767</v>
      </c>
      <c r="Y143" s="18">
        <f>IF($A143&gt;'1-Input'!$B$26,AA142,(AA142-MAX(0,W121-IF($A143&gt;='1-Input'!$C$12,'1-Input'!$B$12,0))+X143*(1-'P-Parametri'!$B$6*W143))*(1+'1-Input'!$B$27))</f>
        <v>3.6248820833861826E-12</v>
      </c>
      <c r="Z143" s="18">
        <f>IF($A143&gt;'1-Input'!$B$26,AB142,(AB142-X143)*(1+$B$4))</f>
        <v>170902.52887401145</v>
      </c>
      <c r="AA143" s="18">
        <f>IF($A143&gt;'1-Input'!$B$26,Y143,Y143-'P-Parametri'!$B$8*(Z143+Y143)+MIN(MAX(Z143,0),'P-Parametri'!$B$8*(Z143+Y143)))</f>
        <v>3.637978807091713E-12</v>
      </c>
      <c r="AB143" s="18">
        <f>IF($A143&gt;'1-Input'!$B$26,Z143,Z143-MIN(MAX(Z143,0),'P-Parametri'!$B$8*(Z143+Y143)))</f>
        <v>170560.72381626343</v>
      </c>
      <c r="AC143" s="18">
        <f>IF($A143&gt;'1-Input'!$B$26,AC142,AC142-X143*(1-W143))</f>
        <v>93623.157975240349</v>
      </c>
      <c r="AD143" s="11">
        <f>IF($A143&gt;'1-Input'!$B$26,0,IF(AI142&lt;=0,0,MAX(0,(AI142-AJ142)/AI142)))</f>
        <v>0.44122757127166862</v>
      </c>
      <c r="AE143" s="18">
        <f>IF($A143&gt;'1-Input'!$B$26,0,(MAX(0,AD121-IF($A143&gt;='1-Input'!$C$12,'1-Input'!$B$12,0))-MIN(MAX(AH142,0),MAX(0,AD121-IF($A143&gt;='1-Input'!$C$12,'1-Input'!$B$12,0))))*(1/(1-'P-Parametri'!$B$6*AD143))+MIN(MAX(0,AI142-(MAX(0,AD121-IF($A143&gt;='1-Input'!$C$12,'1-Input'!$B$12,0))-MIN(MAX(AH142,0),MAX(0,AD121-IF($A143&gt;='1-Input'!$C$12,'1-Input'!$B$12,0))))*(1/(1-'P-Parametri'!$B$6*AD143))),MAX(0,0*AD121-(AH142-MIN(MAX(AH142,0),MAX(0,AD121-IF($A143&gt;='1-Input'!$C$12,'1-Input'!$B$12,0)))))*(1/(1-'P-Parametri'!$B$6*AD143))))</f>
        <v>19453.922607473414</v>
      </c>
      <c r="AF143" s="18">
        <f>IF($A143&gt;'1-Input'!$B$26,AH142,(AH142-MAX(0,AD121-IF($A143&gt;='1-Input'!$C$12,'1-Input'!$B$12,0))+AE143*(1-'P-Parametri'!$B$6*AD143))*(1+'1-Input'!$B$27))</f>
        <v>3.6248820833861826E-12</v>
      </c>
      <c r="AG143" s="18">
        <f>IF($A143&gt;'1-Input'!$B$26,AI142,(AI142-AE143)*(1+$B$4))</f>
        <v>170548.89693750101</v>
      </c>
      <c r="AH143" s="18">
        <f>IF($A143&gt;'1-Input'!$B$26,AF143,AF143-'P-Parametri'!$B$8*(AG143+AF143)+MIN(MAX(AG143,0),'P-Parametri'!$B$8*(AG143+AF143)))</f>
        <v>3.637978807091713E-12</v>
      </c>
      <c r="AI143" s="18">
        <f>IF($A143&gt;'1-Input'!$B$26,AG143,AG143-MIN(MAX(AG143,0),'P-Parametri'!$B$8*(AG143+AF143)))</f>
        <v>170207.79914362601</v>
      </c>
      <c r="AJ143" s="18">
        <f>IF($A143&gt;'1-Input'!$B$26,AJ142,AJ142-AE143*(1-AD143))</f>
        <v>93429.432704613049</v>
      </c>
      <c r="AK143" s="11">
        <f>IF($A143&gt;'1-Input'!$B$26,0,IF(AP142&lt;=0,0,MAX(0,(AP142-AQ142)/AP142)))</f>
        <v>0.44122757127166862</v>
      </c>
      <c r="AL143" s="18">
        <f>IF($A143&gt;'1-Input'!$B$26,0,(MAX(0,AK121-IF($A143&gt;='1-Input'!$C$12,'1-Input'!$B$12,0))-MIN(MAX(AO142,0),MAX(0,AK121-IF($A143&gt;='1-Input'!$C$12,'1-Input'!$B$12,0))))*(1/(1-'P-Parametri'!$B$6*AK143))+MIN(MAX(0,AP142-(MAX(0,AK121-IF($A143&gt;='1-Input'!$C$12,'1-Input'!$B$12,0))-MIN(MAX(AO142,0),MAX(0,AK121-IF($A143&gt;='1-Input'!$C$12,'1-Input'!$B$12,0))))*(1/(1-'P-Parametri'!$B$6*AK143))),MAX(0,0*AK121-(AO142-MIN(MAX(AO142,0),MAX(0,AK121-IF($A143&gt;='1-Input'!$C$12,'1-Input'!$B$12,0)))))*(1/(1-'P-Parametri'!$B$6*AK143))))</f>
        <v>19453.922607473414</v>
      </c>
      <c r="AM143" s="18">
        <f>IF($A143&gt;'1-Input'!$B$26,AO142,(AO142-MAX(0,AK121-IF($A143&gt;='1-Input'!$C$12,'1-Input'!$B$12,0))+AL143*(1-'P-Parametri'!$B$6*AK143))*(1+'1-Input'!$B$27))</f>
        <v>3.6248820833861826E-12</v>
      </c>
      <c r="AN143" s="18">
        <f>IF($A143&gt;'1-Input'!$B$26,AP142,(AP142-AL143)*(1+$B$4))</f>
        <v>170548.89693750101</v>
      </c>
      <c r="AO143" s="18">
        <f>IF($A143&gt;'1-Input'!$B$26,AM143,AM143-'P-Parametri'!$B$8*(AN143+AM143)+MIN(MAX(AN143,0),'P-Parametri'!$B$8*(AN143+AM143)))</f>
        <v>3.637978807091713E-12</v>
      </c>
      <c r="AP143" s="18">
        <f>IF($A143&gt;'1-Input'!$B$26,AN143,AN143-MIN(MAX(AN143,0),'P-Parametri'!$B$8*(AN143+AM143)))</f>
        <v>170207.79914362601</v>
      </c>
      <c r="AQ143" s="18">
        <f>IF($A143&gt;'1-Input'!$B$26,AQ142,AQ142-AL143*(1-AK143))</f>
        <v>93429.432704613049</v>
      </c>
    </row>
    <row r="144" spans="1:43">
      <c r="A144" s="10">
        <f>21</f>
        <v>21</v>
      </c>
      <c r="B144" s="11">
        <f>IF($A144&gt;'1-Input'!$B$26,0,IF(G143&lt;=0,0,MAX(0,(G143-H143)/G143)))</f>
        <v>0.45108606553466629</v>
      </c>
      <c r="C144" s="18">
        <f>IF($A144&gt;'1-Input'!$B$26,0,(MAX(0,B121-IF($A144&gt;='1-Input'!$C$12,'1-Input'!$B$12,0))-MIN(MAX(F143,0),MAX(0,B121-IF($A144&gt;='1-Input'!$C$12,'1-Input'!$B$12,0))))*(1/(1-'P-Parametri'!$B$6*B144))+MIN(MAX(0,G143-(MAX(0,B121-IF($A144&gt;='1-Input'!$C$12,'1-Input'!$B$12,0))-MIN(MAX(F143,0),MAX(0,B121-IF($A144&gt;='1-Input'!$C$12,'1-Input'!$B$12,0))))*(1/(1-'P-Parametri'!$B$6*B144))),MAX(0,0*B121-(F143-MIN(MAX(F143,0),MAX(0,B121-IF($A144&gt;='1-Input'!$C$12,'1-Input'!$B$12,0)))))*(1/(1-'P-Parametri'!$B$6*B144))))</f>
        <v>18897.385619957258</v>
      </c>
      <c r="D144" s="18">
        <f>IF($A144&gt;'1-Input'!$B$26,F143,(F143-MAX(0,B121-IF($A144&gt;='1-Input'!$C$12,'1-Input'!$B$12,0))+C144*(1-'P-Parametri'!$B$6*B144))*(1+'1-Input'!$B$27))</f>
        <v>0</v>
      </c>
      <c r="E144" s="18">
        <f>IF($A144&gt;'1-Input'!$B$26,G143,(G143-C144)*(1+$B$4))</f>
        <v>168966.43938875143</v>
      </c>
      <c r="F144" s="18">
        <f>IF($A144&gt;'1-Input'!$B$26,D144,D144-'P-Parametri'!$B$8*(E144+D144)+MIN(MAX(E144,0),'P-Parametri'!$B$8*(E144+D144)))</f>
        <v>0</v>
      </c>
      <c r="G144" s="18">
        <f>IF($A144&gt;'1-Input'!$B$26,E144,E144-MIN(MAX(E144,0),'P-Parametri'!$B$8*(E144+D144)))</f>
        <v>168628.50650997393</v>
      </c>
      <c r="H144" s="18">
        <f>IF($A144&gt;'1-Input'!$B$26,H143,H143-C144*(1-B144))</f>
        <v>90929.444154390076</v>
      </c>
      <c r="I144" s="11">
        <f>IF($A144&gt;'1-Input'!$B$26,0,IF(N143&lt;=0,0,MAX(0,(N143-O143)/N143)))</f>
        <v>0.45108606553466585</v>
      </c>
      <c r="J144" s="18">
        <f>IF($A144&gt;'1-Input'!$B$26,0,(MAX(0,I121-IF($A144&gt;='1-Input'!$C$12,'1-Input'!$B$12,0))-MIN(MAX(M143,0),MAX(0,I121-IF($A144&gt;='1-Input'!$C$12,'1-Input'!$B$12,0))))*(1/(1-'P-Parametri'!$B$6*I144))+MIN(MAX(0,N143-(MAX(0,I121-IF($A144&gt;='1-Input'!$C$12,'1-Input'!$B$12,0))-MIN(MAX(M143,0),MAX(0,I121-IF($A144&gt;='1-Input'!$C$12,'1-Input'!$B$12,0))))*(1/(1-'P-Parametri'!$B$6*I144))),MAX(0,0*I121-(M143-MIN(MAX(M143,0),MAX(0,I121-IF($A144&gt;='1-Input'!$C$12,'1-Input'!$B$12,0)))))*(1/(1-'P-Parametri'!$B$6*I144))))</f>
        <v>24864.981078891124</v>
      </c>
      <c r="K144" s="18">
        <f>IF($A144&gt;'1-Input'!$B$26,M143,(M143-MAX(0,I121-IF($A144&gt;='1-Input'!$C$12,'1-Input'!$B$12,0))+J144*(1-'P-Parametri'!$B$6*I144))*(1+'1-Input'!$B$27))</f>
        <v>0</v>
      </c>
      <c r="L144" s="18">
        <f>IF($A144&gt;'1-Input'!$B$26,N143,(N143-J144)*(1+$B$4))</f>
        <v>20463.454002591578</v>
      </c>
      <c r="M144" s="18">
        <f>IF($A144&gt;'1-Input'!$B$26,K144,K144-'P-Parametri'!$B$8*(L144+K144)+MIN(MAX(L144,0),'P-Parametri'!$B$8*(L144+K144)))</f>
        <v>0</v>
      </c>
      <c r="N144" s="18">
        <f>IF($A144&gt;'1-Input'!$B$26,L144,L144-MIN(MAX(L144,0),'P-Parametri'!$B$8*(L144+K144)))</f>
        <v>20422.527094586396</v>
      </c>
      <c r="O144" s="18">
        <f>IF($A144&gt;'1-Input'!$B$26,O143,O143-J144*(1-I144))</f>
        <v>11012.426518934248</v>
      </c>
      <c r="P144" s="11">
        <f>IF($A144&gt;'1-Input'!$B$26,0,IF(U143&lt;=0,0,MAX(0,(U143-V143)/U143)))</f>
        <v>0.45108606553466607</v>
      </c>
      <c r="Q144" s="18">
        <f>IF($A144&gt;'1-Input'!$B$26,0,(MAX(0,P121-IF($A144&gt;='1-Input'!$C$12,'1-Input'!$B$12,0))-MIN(MAX(T143,0),MAX(0,P121-IF($A144&gt;='1-Input'!$C$12,'1-Input'!$B$12,0))))*(1/(1-'P-Parametri'!$B$6*P144))+MIN(MAX(0,U143-(MAX(0,P121-IF($A144&gt;='1-Input'!$C$12,'1-Input'!$B$12,0))-MIN(MAX(T143,0),MAX(0,P121-IF($A144&gt;='1-Input'!$C$12,'1-Input'!$B$12,0))))*(1/(1-'P-Parametri'!$B$6*P144))),MAX(0,0*P121-(T143-MIN(MAX(T143,0),MAX(0,P121-IF($A144&gt;='1-Input'!$C$12,'1-Input'!$B$12,0)))))*(1/(1-'P-Parametri'!$B$6*P144))))</f>
        <v>19599.853415365495</v>
      </c>
      <c r="R144" s="18">
        <f>IF($A144&gt;'1-Input'!$B$26,T143,(T143-MAX(0,P121-IF($A144&gt;='1-Input'!$C$12,'1-Input'!$B$12,0))+Q144*(1-'P-Parametri'!$B$6*P144))*(1+'1-Input'!$B$27))</f>
        <v>0</v>
      </c>
      <c r="S144" s="18">
        <f>IF($A144&gt;'1-Input'!$B$26,U143,(U143-Q144)*(1+$B$4))</f>
        <v>151485.60217824875</v>
      </c>
      <c r="T144" s="18">
        <f>IF($A144&gt;'1-Input'!$B$26,R144,R144-'P-Parametri'!$B$8*(S144+R144)+MIN(MAX(S144,0),'P-Parametri'!$B$8*(S144+R144)))</f>
        <v>0</v>
      </c>
      <c r="U144" s="18">
        <f>IF($A144&gt;'1-Input'!$B$26,S144,S144-MIN(MAX(S144,0),'P-Parametri'!$B$8*(S144+R144)))</f>
        <v>151182.63097389226</v>
      </c>
      <c r="V144" s="18">
        <f>IF($A144&gt;'1-Input'!$B$26,V143,V143-Q144*(1-P144))</f>
        <v>81522.115594620482</v>
      </c>
      <c r="W144" s="11">
        <f>IF($A144&gt;'1-Input'!$B$26,0,IF(AB143&lt;=0,0,MAX(0,(AB143-AC143)/AB143)))</f>
        <v>0.45108606553466607</v>
      </c>
      <c r="X144" s="18">
        <f>IF($A144&gt;'1-Input'!$B$26,0,(MAX(0,W121-IF($A144&gt;='1-Input'!$C$12,'1-Input'!$B$12,0))-MIN(MAX(AA143,0),MAX(0,W121-IF($A144&gt;='1-Input'!$C$12,'1-Input'!$B$12,0))))*(1/(1-'P-Parametri'!$B$6*W144))+MIN(MAX(0,AB143-(MAX(0,W121-IF($A144&gt;='1-Input'!$C$12,'1-Input'!$B$12,0))-MIN(MAX(AA143,0),MAX(0,W121-IF($A144&gt;='1-Input'!$C$12,'1-Input'!$B$12,0))))*(1/(1-'P-Parametri'!$B$6*W144))),MAX(0,0*W121-(AA143-MIN(MAX(AA143,0),MAX(0,W121-IF($A144&gt;='1-Input'!$C$12,'1-Input'!$B$12,0)))))*(1/(1-'P-Parametri'!$B$6*W144))))</f>
        <v>19495.328101158546</v>
      </c>
      <c r="Y144" s="18">
        <f>IF($A144&gt;'1-Input'!$B$26,AA143,(AA143-MAX(0,W121-IF($A144&gt;='1-Input'!$C$12,'1-Input'!$B$12,0))+X144*(1-'P-Parametri'!$B$6*W144))*(1+'1-Input'!$B$27))</f>
        <v>0</v>
      </c>
      <c r="Z144" s="18">
        <f>IF($A144&gt;'1-Input'!$B$26,AB143,(AB143-X144)*(1+$B$4))</f>
        <v>154086.70362940698</v>
      </c>
      <c r="AA144" s="18">
        <f>IF($A144&gt;'1-Input'!$B$26,Y144,Y144-'P-Parametri'!$B$8*(Z144+Y144)+MIN(MAX(Z144,0),'P-Parametri'!$B$8*(Z144+Y144)))</f>
        <v>0</v>
      </c>
      <c r="AB144" s="18">
        <f>IF($A144&gt;'1-Input'!$B$26,Z144,Z144-MIN(MAX(Z144,0),'P-Parametri'!$B$8*(Z144+Y144)))</f>
        <v>153778.53022214817</v>
      </c>
      <c r="AC144" s="18">
        <f>IF($A144&gt;'1-Input'!$B$26,AC143,AC143-X144*(1-W144))</f>
        <v>82921.900723540821</v>
      </c>
      <c r="AD144" s="11">
        <f>IF($A144&gt;'1-Input'!$B$26,0,IF(AI143&lt;=0,0,MAX(0,(AI143-AJ143)/AI143)))</f>
        <v>0.45108606553466607</v>
      </c>
      <c r="AE144" s="18">
        <f>IF($A144&gt;'1-Input'!$B$26,0,(MAX(0,AD121-IF($A144&gt;='1-Input'!$C$12,'1-Input'!$B$12,0))-MIN(MAX(AH143,0),MAX(0,AD121-IF($A144&gt;='1-Input'!$C$12,'1-Input'!$B$12,0))))*(1/(1-'P-Parametri'!$B$6*AD144))+MIN(MAX(0,AI143-(MAX(0,AD121-IF($A144&gt;='1-Input'!$C$12,'1-Input'!$B$12,0))-MIN(MAX(AH143,0),MAX(0,AD121-IF($A144&gt;='1-Input'!$C$12,'1-Input'!$B$12,0))))*(1/(1-'P-Parametri'!$B$6*AD144))),MAX(0,0*AD121-(AH143-MIN(MAX(AH143,0),MAX(0,AD121-IF($A144&gt;='1-Input'!$C$12,'1-Input'!$B$12,0)))))*(1/(1-'P-Parametri'!$B$6*AD144))))</f>
        <v>19510.412314545945</v>
      </c>
      <c r="AF144" s="18">
        <f>IF($A144&gt;'1-Input'!$B$26,AH143,(AH143-MAX(0,AD121-IF($A144&gt;='1-Input'!$C$12,'1-Input'!$B$12,0))+AE144*(1-'P-Parametri'!$B$6*AD144))*(1+'1-Input'!$B$27))</f>
        <v>3.6248820833861826E-12</v>
      </c>
      <c r="AG144" s="18">
        <f>IF($A144&gt;'1-Input'!$B$26,AI143,(AI143-AE144)*(1+$B$4))</f>
        <v>153711.33456566167</v>
      </c>
      <c r="AH144" s="18">
        <f>IF($A144&gt;'1-Input'!$B$26,AF144,AF144-'P-Parametri'!$B$8*(AG144+AF144)+MIN(MAX(AG144,0),'P-Parametri'!$B$8*(AG144+AF144)))</f>
        <v>3.637978807091713E-12</v>
      </c>
      <c r="AI144" s="18">
        <f>IF($A144&gt;'1-Input'!$B$26,AG144,AG144-MIN(MAX(AG144,0),'P-Parametri'!$B$8*(AG144+AF144)))</f>
        <v>153403.91189653036</v>
      </c>
      <c r="AJ144" s="18">
        <f>IF($A144&gt;'1-Input'!$B$26,AJ143,AJ143-AE144*(1-AD144))</f>
        <v>82719.895517994737</v>
      </c>
      <c r="AK144" s="11">
        <f>IF($A144&gt;'1-Input'!$B$26,0,IF(AP143&lt;=0,0,MAX(0,(AP143-AQ143)/AP143)))</f>
        <v>0.45108606553466607</v>
      </c>
      <c r="AL144" s="18">
        <f>IF($A144&gt;'1-Input'!$B$26,0,(MAX(0,AK121-IF($A144&gt;='1-Input'!$C$12,'1-Input'!$B$12,0))-MIN(MAX(AO143,0),MAX(0,AK121-IF($A144&gt;='1-Input'!$C$12,'1-Input'!$B$12,0))))*(1/(1-'P-Parametri'!$B$6*AK144))+MIN(MAX(0,AP143-(MAX(0,AK121-IF($A144&gt;='1-Input'!$C$12,'1-Input'!$B$12,0))-MIN(MAX(AO143,0),MAX(0,AK121-IF($A144&gt;='1-Input'!$C$12,'1-Input'!$B$12,0))))*(1/(1-'P-Parametri'!$B$6*AK144))),MAX(0,0*AK121-(AO143-MIN(MAX(AO143,0),MAX(0,AK121-IF($A144&gt;='1-Input'!$C$12,'1-Input'!$B$12,0)))))*(1/(1-'P-Parametri'!$B$6*AK144))))</f>
        <v>19510.412314545945</v>
      </c>
      <c r="AM144" s="18">
        <f>IF($A144&gt;'1-Input'!$B$26,AO143,(AO143-MAX(0,AK121-IF($A144&gt;='1-Input'!$C$12,'1-Input'!$B$12,0))+AL144*(1-'P-Parametri'!$B$6*AK144))*(1+'1-Input'!$B$27))</f>
        <v>3.6248820833861826E-12</v>
      </c>
      <c r="AN144" s="18">
        <f>IF($A144&gt;'1-Input'!$B$26,AP143,(AP143-AL144)*(1+$B$4))</f>
        <v>153711.33456566167</v>
      </c>
      <c r="AO144" s="18">
        <f>IF($A144&gt;'1-Input'!$B$26,AM144,AM144-'P-Parametri'!$B$8*(AN144+AM144)+MIN(MAX(AN144,0),'P-Parametri'!$B$8*(AN144+AM144)))</f>
        <v>3.637978807091713E-12</v>
      </c>
      <c r="AP144" s="18">
        <f>IF($A144&gt;'1-Input'!$B$26,AN144,AN144-MIN(MAX(AN144,0),'P-Parametri'!$B$8*(AN144+AM144)))</f>
        <v>153403.91189653036</v>
      </c>
      <c r="AQ144" s="18">
        <f>IF($A144&gt;'1-Input'!$B$26,AQ143,AQ143-AL144*(1-AK144))</f>
        <v>82719.895517994737</v>
      </c>
    </row>
    <row r="145" spans="1:43">
      <c r="A145" s="10">
        <f>22</f>
        <v>22</v>
      </c>
      <c r="B145" s="11">
        <f>IF($A145&gt;'1-Input'!$B$26,0,IF(G144&lt;=0,0,MAX(0,(G144-H144)/G144)))</f>
        <v>0.46077062510773148</v>
      </c>
      <c r="C145" s="18">
        <f>IF($A145&gt;'1-Input'!$B$26,0,(MAX(0,B121-IF($A145&gt;='1-Input'!$C$12,'1-Input'!$B$12,0))-MIN(MAX(F144,0),MAX(0,B121-IF($A145&gt;='1-Input'!$C$12,'1-Input'!$B$12,0))))*(1/(1-'P-Parametri'!$B$6*B145))+MIN(MAX(0,G144-(MAX(0,B121-IF($A145&gt;='1-Input'!$C$12,'1-Input'!$B$12,0))-MIN(MAX(F144,0),MAX(0,B121-IF($A145&gt;='1-Input'!$C$12,'1-Input'!$B$12,0))))*(1/(1-'P-Parametri'!$B$6*B145))),MAX(0,0*B121-(F144-MIN(MAX(F144,0),MAX(0,B121-IF($A145&gt;='1-Input'!$C$12,'1-Input'!$B$12,0)))))*(1/(1-'P-Parametri'!$B$6*B145))))</f>
        <v>18951.445336350338</v>
      </c>
      <c r="D145" s="18">
        <f>IF($A145&gt;'1-Input'!$B$26,F144,(F144-MAX(0,B121-IF($A145&gt;='1-Input'!$C$12,'1-Input'!$B$12,0))+C145*(1-'P-Parametri'!$B$6*B145))*(1+'1-Input'!$B$27))</f>
        <v>-3.6248820833861826E-12</v>
      </c>
      <c r="E145" s="18">
        <f>IF($A145&gt;'1-Input'!$B$26,G144,(G144-C145)*(1+$B$4))</f>
        <v>152670.60239709608</v>
      </c>
      <c r="F145" s="18">
        <f>IF($A145&gt;'1-Input'!$B$26,D145,D145-'P-Parametri'!$B$8*(E145+D145)+MIN(MAX(E145,0),'P-Parametri'!$B$8*(E145+D145)))</f>
        <v>-3.637978807091713E-12</v>
      </c>
      <c r="G145" s="18">
        <f>IF($A145&gt;'1-Input'!$B$26,E145,E145-MIN(MAX(E145,0),'P-Parametri'!$B$8*(E145+D145)))</f>
        <v>152365.2611923019</v>
      </c>
      <c r="H145" s="18">
        <f>IF($A145&gt;'1-Input'!$B$26,H144,H144-C145*(1-B145))</f>
        <v>80710.268132364887</v>
      </c>
      <c r="I145" s="11">
        <f>IF($A145&gt;'1-Input'!$B$26,0,IF(N144&lt;=0,0,MAX(0,(N144-O144)/N144)))</f>
        <v>0.46077062510773104</v>
      </c>
      <c r="J145" s="18">
        <f>IF($A145&gt;'1-Input'!$B$26,0,(MAX(0,I121-IF($A145&gt;='1-Input'!$C$12,'1-Input'!$B$12,0))-MIN(MAX(M144,0),MAX(0,I121-IF($A145&gt;='1-Input'!$C$12,'1-Input'!$B$12,0))))*(1/(1-'P-Parametri'!$B$6*I145))+MIN(MAX(0,N144-(MAX(0,I121-IF($A145&gt;='1-Input'!$C$12,'1-Input'!$B$12,0))-MIN(MAX(M144,0),MAX(0,I121-IF($A145&gt;='1-Input'!$C$12,'1-Input'!$B$12,0))))*(1/(1-'P-Parametri'!$B$6*I145))),MAX(0,0*I121-(M144-MIN(MAX(M144,0),MAX(0,I121-IF($A145&gt;='1-Input'!$C$12,'1-Input'!$B$12,0)))))*(1/(1-'P-Parametri'!$B$6*I145))))</f>
        <v>24936.112284671504</v>
      </c>
      <c r="K145" s="18">
        <f>IF($A145&gt;'1-Input'!$B$26,M144,(M144-MAX(0,I121-IF($A145&gt;='1-Input'!$C$12,'1-Input'!$B$12,0))+J145*(1-'P-Parametri'!$B$6*I145))*(1+'1-Input'!$B$27))</f>
        <v>0</v>
      </c>
      <c r="L145" s="18">
        <f>IF($A145&gt;'1-Input'!$B$26,N144,(N144-J145)*(1+$B$4))</f>
        <v>-4603.8568938868111</v>
      </c>
      <c r="M145" s="18">
        <f>IF($A145&gt;'1-Input'!$B$26,K145,K145-'P-Parametri'!$B$8*(L145+K145)+MIN(MAX(L145,0),'P-Parametri'!$B$8*(L145+K145)))</f>
        <v>0</v>
      </c>
      <c r="N145" s="18">
        <f>IF($A145&gt;'1-Input'!$B$26,L145,L145-MIN(MAX(L145,0),'P-Parametri'!$B$8*(L145+K145)))</f>
        <v>-4594.6491800990379</v>
      </c>
      <c r="O145" s="18">
        <f>IF($A145&gt;'1-Input'!$B$26,O144,O144-J145*(1-I145))</f>
        <v>-2433.857720572596</v>
      </c>
      <c r="P145" s="11">
        <f>IF($A145&gt;'1-Input'!$B$26,0,IF(U144&lt;=0,0,MAX(0,(U144-V144)/U144)))</f>
        <v>0.46077062510773115</v>
      </c>
      <c r="Q145" s="18">
        <f>IF($A145&gt;'1-Input'!$B$26,0,(MAX(0,P121-IF($A145&gt;='1-Input'!$C$12,'1-Input'!$B$12,0))-MIN(MAX(T144,0),MAX(0,P121-IF($A145&gt;='1-Input'!$C$12,'1-Input'!$B$12,0))))*(1/(1-'P-Parametri'!$B$6*P145))+MIN(MAX(0,U144-(MAX(0,P121-IF($A145&gt;='1-Input'!$C$12,'1-Input'!$B$12,0))-MIN(MAX(T144,0),MAX(0,P121-IF($A145&gt;='1-Input'!$C$12,'1-Input'!$B$12,0))))*(1/(1-'P-Parametri'!$B$6*P145))),MAX(0,0*P121-(T144-MIN(MAX(T144,0),MAX(0,P121-IF($A145&gt;='1-Input'!$C$12,'1-Input'!$B$12,0)))))*(1/(1-'P-Parametri'!$B$6*P145))))</f>
        <v>19655.92268009287</v>
      </c>
      <c r="R145" s="18">
        <f>IF($A145&gt;'1-Input'!$B$26,T144,(T144-MAX(0,P121-IF($A145&gt;='1-Input'!$C$12,'1-Input'!$B$12,0))+Q145*(1-'P-Parametri'!$B$6*P145))*(1+'1-Input'!$B$27))</f>
        <v>0</v>
      </c>
      <c r="S145" s="18">
        <f>IF($A145&gt;'1-Input'!$B$26,U144,(U144-Q145)*(1+$B$4))</f>
        <v>134157.24245967538</v>
      </c>
      <c r="T145" s="18">
        <f>IF($A145&gt;'1-Input'!$B$26,R145,R145-'P-Parametri'!$B$8*(S145+R145)+MIN(MAX(S145,0),'P-Parametri'!$B$8*(S145+R145)))</f>
        <v>0</v>
      </c>
      <c r="U145" s="18">
        <f>IF($A145&gt;'1-Input'!$B$26,S145,S145-MIN(MAX(S145,0),'P-Parametri'!$B$8*(S145+R145)))</f>
        <v>133888.92797475602</v>
      </c>
      <c r="V145" s="18">
        <f>IF($A145&gt;'1-Input'!$B$26,V144,V144-Q145*(1-P145))</f>
        <v>70923.064694903238</v>
      </c>
      <c r="W145" s="11">
        <f>IF($A145&gt;'1-Input'!$B$26,0,IF(AB144&lt;=0,0,MAX(0,(AB144-AC144)/AB144)))</f>
        <v>0.4607706251077312</v>
      </c>
      <c r="X145" s="18">
        <f>IF($A145&gt;'1-Input'!$B$26,0,(MAX(0,W121-IF($A145&gt;='1-Input'!$C$12,'1-Input'!$B$12,0))-MIN(MAX(AA144,0),MAX(0,W121-IF($A145&gt;='1-Input'!$C$12,'1-Input'!$B$12,0))))*(1/(1-'P-Parametri'!$B$6*W145))+MIN(MAX(0,AB144-(MAX(0,W121-IF($A145&gt;='1-Input'!$C$12,'1-Input'!$B$12,0))-MIN(MAX(AA144,0),MAX(0,W121-IF($A145&gt;='1-Input'!$C$12,'1-Input'!$B$12,0))))*(1/(1-'P-Parametri'!$B$6*W145))),MAX(0,0*W121-(AA144-MIN(MAX(AA144,0),MAX(0,W121-IF($A145&gt;='1-Input'!$C$12,'1-Input'!$B$12,0)))))*(1/(1-'P-Parametri'!$B$6*W145))))</f>
        <v>19551.098350511227</v>
      </c>
      <c r="Y145" s="18">
        <f>IF($A145&gt;'1-Input'!$B$26,AA144,(AA144-MAX(0,W121-IF($A145&gt;='1-Input'!$C$12,'1-Input'!$B$12,0))+X145*(1-'P-Parametri'!$B$6*W145))*(1+'1-Input'!$B$27))</f>
        <v>0</v>
      </c>
      <c r="Z145" s="18">
        <f>IF($A145&gt;'1-Input'!$B$26,AB144,(AB144-X145)*(1+$B$4))</f>
        <v>136911.98050906969</v>
      </c>
      <c r="AA145" s="18">
        <f>IF($A145&gt;'1-Input'!$B$26,Y145,Y145-'P-Parametri'!$B$8*(Z145+Y145)+MIN(MAX(Z145,0),'P-Parametri'!$B$8*(Z145+Y145)))</f>
        <v>0</v>
      </c>
      <c r="AB145" s="18">
        <f>IF($A145&gt;'1-Input'!$B$26,Z145,Z145-MIN(MAX(Z145,0),'P-Parametri'!$B$8*(Z145+Y145)))</f>
        <v>136638.15654805154</v>
      </c>
      <c r="AC145" s="18">
        <f>IF($A145&gt;'1-Input'!$B$26,AC144,AC144-X145*(1-W145))</f>
        <v>72379.37418153738</v>
      </c>
      <c r="AD145" s="11">
        <f>IF($A145&gt;'1-Input'!$B$26,0,IF(AI144&lt;=0,0,MAX(0,(AI144-AJ144)/AI144)))</f>
        <v>0.46077062510773126</v>
      </c>
      <c r="AE145" s="18">
        <f>IF($A145&gt;'1-Input'!$B$26,0,(MAX(0,AD121-IF($A145&gt;='1-Input'!$C$12,'1-Input'!$B$12,0))-MIN(MAX(AH144,0),MAX(0,AD121-IF($A145&gt;='1-Input'!$C$12,'1-Input'!$B$12,0))))*(1/(1-'P-Parametri'!$B$6*AD145))+MIN(MAX(0,AI144-(MAX(0,AD121-IF($A145&gt;='1-Input'!$C$12,'1-Input'!$B$12,0))-MIN(MAX(AH144,0),MAX(0,AD121-IF($A145&gt;='1-Input'!$C$12,'1-Input'!$B$12,0))))*(1/(1-'P-Parametri'!$B$6*AD145))),MAX(0,0*AD121-(AH144-MIN(MAX(AH144,0),MAX(0,AD121-IF($A145&gt;='1-Input'!$C$12,'1-Input'!$B$12,0)))))*(1/(1-'P-Parametri'!$B$6*AD145))))</f>
        <v>19566.225715280201</v>
      </c>
      <c r="AF145" s="18">
        <f>IF($A145&gt;'1-Input'!$B$26,AH144,(AH144-MAX(0,AD121-IF($A145&gt;='1-Input'!$C$12,'1-Input'!$B$12,0))+AE145*(1-'P-Parametri'!$B$6*AD145))*(1+'1-Input'!$B$27))</f>
        <v>0</v>
      </c>
      <c r="AG145" s="18">
        <f>IF($A145&gt;'1-Input'!$B$26,AI144,(AI144-AE145)*(1+$B$4))</f>
        <v>136514.43990487518</v>
      </c>
      <c r="AH145" s="18">
        <f>IF($A145&gt;'1-Input'!$B$26,AF145,AF145-'P-Parametri'!$B$8*(AG145+AF145)+MIN(MAX(AG145,0),'P-Parametri'!$B$8*(AG145+AF145)))</f>
        <v>0</v>
      </c>
      <c r="AI145" s="18">
        <f>IF($A145&gt;'1-Input'!$B$26,AG145,AG145-MIN(MAX(AG145,0),'P-Parametri'!$B$8*(AG145+AF145)))</f>
        <v>136241.41102506543</v>
      </c>
      <c r="AJ145" s="18">
        <f>IF($A145&gt;'1-Input'!$B$26,AJ144,AJ144-AE145*(1-AD145))</f>
        <v>72169.211856543159</v>
      </c>
      <c r="AK145" s="11">
        <f>IF($A145&gt;'1-Input'!$B$26,0,IF(AP144&lt;=0,0,MAX(0,(AP144-AQ144)/AP144)))</f>
        <v>0.46077062510773126</v>
      </c>
      <c r="AL145" s="18">
        <f>IF($A145&gt;'1-Input'!$B$26,0,(MAX(0,AK121-IF($A145&gt;='1-Input'!$C$12,'1-Input'!$B$12,0))-MIN(MAX(AO144,0),MAX(0,AK121-IF($A145&gt;='1-Input'!$C$12,'1-Input'!$B$12,0))))*(1/(1-'P-Parametri'!$B$6*AK145))+MIN(MAX(0,AP144-(MAX(0,AK121-IF($A145&gt;='1-Input'!$C$12,'1-Input'!$B$12,0))-MIN(MAX(AO144,0),MAX(0,AK121-IF($A145&gt;='1-Input'!$C$12,'1-Input'!$B$12,0))))*(1/(1-'P-Parametri'!$B$6*AK145))),MAX(0,0*AK121-(AO144-MIN(MAX(AO144,0),MAX(0,AK121-IF($A145&gt;='1-Input'!$C$12,'1-Input'!$B$12,0)))))*(1/(1-'P-Parametri'!$B$6*AK145))))</f>
        <v>19566.225715280201</v>
      </c>
      <c r="AM145" s="18">
        <f>IF($A145&gt;'1-Input'!$B$26,AO144,(AO144-MAX(0,AK121-IF($A145&gt;='1-Input'!$C$12,'1-Input'!$B$12,0))+AL145*(1-'P-Parametri'!$B$6*AK145))*(1+'1-Input'!$B$27))</f>
        <v>0</v>
      </c>
      <c r="AN145" s="18">
        <f>IF($A145&gt;'1-Input'!$B$26,AP144,(AP144-AL145)*(1+$B$4))</f>
        <v>136514.43990487518</v>
      </c>
      <c r="AO145" s="18">
        <f>IF($A145&gt;'1-Input'!$B$26,AM145,AM145-'P-Parametri'!$B$8*(AN145+AM145)+MIN(MAX(AN145,0),'P-Parametri'!$B$8*(AN145+AM145)))</f>
        <v>0</v>
      </c>
      <c r="AP145" s="18">
        <f>IF($A145&gt;'1-Input'!$B$26,AN145,AN145-MIN(MAX(AN145,0),'P-Parametri'!$B$8*(AN145+AM145)))</f>
        <v>136241.41102506543</v>
      </c>
      <c r="AQ145" s="18">
        <f>IF($A145&gt;'1-Input'!$B$26,AQ144,AQ144-AL145*(1-AK145))</f>
        <v>72169.211856543159</v>
      </c>
    </row>
    <row r="146" spans="1:43">
      <c r="A146" s="10">
        <f>23</f>
        <v>23</v>
      </c>
      <c r="B146" s="11">
        <f>IF($A146&gt;'1-Input'!$B$26,0,IF(G145&lt;=0,0,MAX(0,(G145-H145)/G145)))</f>
        <v>0.47028431874310539</v>
      </c>
      <c r="C146" s="18">
        <f>IF($A146&gt;'1-Input'!$B$26,0,(MAX(0,B121-IF($A146&gt;='1-Input'!$C$12,'1-Input'!$B$12,0))-MIN(MAX(F145,0),MAX(0,B121-IF($A146&gt;='1-Input'!$C$12,'1-Input'!$B$12,0))))*(1/(1-'P-Parametri'!$B$6*B146))+MIN(MAX(0,G145-(MAX(0,B121-IF($A146&gt;='1-Input'!$C$12,'1-Input'!$B$12,0))-MIN(MAX(F145,0),MAX(0,B121-IF($A146&gt;='1-Input'!$C$12,'1-Input'!$B$12,0))))*(1/(1-'P-Parametri'!$B$6*B146))),MAX(0,0*B121-(F145-MIN(MAX(F145,0),MAX(0,B121-IF($A146&gt;='1-Input'!$C$12,'1-Input'!$B$12,0)))))*(1/(1-'P-Parametri'!$B$6*B146))))</f>
        <v>6356.2601818652356</v>
      </c>
      <c r="D146" s="18">
        <f>IF($A146&gt;'1-Input'!$B$26,F145,(F145-MAX(0,B121-IF($A146&gt;='1-Input'!$C$12,'1-Input'!$B$12,0))+C146*(1-'P-Parametri'!$B$6*B146))*(1+'1-Input'!$B$27))</f>
        <v>9.0622052084654565E-13</v>
      </c>
      <c r="E146" s="18">
        <f>IF($A146&gt;'1-Input'!$B$26,G145,(G145-C146)*(1+$B$4))</f>
        <v>148929.18103064538</v>
      </c>
      <c r="F146" s="18">
        <f>IF($A146&gt;'1-Input'!$B$26,D146,D146-'P-Parametri'!$B$8*(E146+D146)+MIN(MAX(E146,0),'P-Parametri'!$B$8*(E146+D146)))</f>
        <v>9.0949470177292824E-13</v>
      </c>
      <c r="G146" s="18">
        <f>IF($A146&gt;'1-Input'!$B$26,E146,E146-MIN(MAX(E146,0),'P-Parametri'!$B$8*(E146+D146)))</f>
        <v>148631.32266858409</v>
      </c>
      <c r="H146" s="18">
        <f>IF($A146&gt;'1-Input'!$B$26,H145,H145-C146*(1-B146))</f>
        <v>77343.257439882073</v>
      </c>
      <c r="I146" s="11">
        <f>IF($A146&gt;'1-Input'!$B$26,0,IF(N145&lt;=0,0,MAX(0,(N145-O145)/N145)))</f>
        <v>0</v>
      </c>
      <c r="J146" s="18">
        <f>IF($A146&gt;'1-Input'!$B$26,0,(MAX(0,I121-IF($A146&gt;='1-Input'!$C$12,'1-Input'!$B$12,0))-MIN(MAX(M145,0),MAX(0,I121-IF($A146&gt;='1-Input'!$C$12,'1-Input'!$B$12,0))))*(1/(1-'P-Parametri'!$B$6*I146))+MIN(MAX(0,N145-(MAX(0,I121-IF($A146&gt;='1-Input'!$C$12,'1-Input'!$B$12,0))-MIN(MAX(M145,0),MAX(0,I121-IF($A146&gt;='1-Input'!$C$12,'1-Input'!$B$12,0))))*(1/(1-'P-Parametri'!$B$6*I146))),MAX(0,0*I121-(M145-MIN(MAX(M145,0),MAX(0,I121-IF($A146&gt;='1-Input'!$C$12,'1-Input'!$B$12,0)))))*(1/(1-'P-Parametri'!$B$6*I146))))</f>
        <v>10846.756992928691</v>
      </c>
      <c r="K146" s="18">
        <f>IF($A146&gt;'1-Input'!$B$26,M145,(M145-MAX(0,I121-IF($A146&gt;='1-Input'!$C$12,'1-Input'!$B$12,0))+J146*(1-'P-Parametri'!$B$6*I146))*(1+'1-Input'!$B$27))</f>
        <v>0</v>
      </c>
      <c r="L146" s="18">
        <f>IF($A146&gt;'1-Input'!$B$26,N145,(N145-J146)*(1+$B$4))</f>
        <v>-15750.234296488283</v>
      </c>
      <c r="M146" s="18">
        <f>IF($A146&gt;'1-Input'!$B$26,K146,K146-'P-Parametri'!$B$8*(L146+K146)+MIN(MAX(L146,0),'P-Parametri'!$B$8*(L146+K146)))</f>
        <v>0</v>
      </c>
      <c r="N146" s="18">
        <f>IF($A146&gt;'1-Input'!$B$26,L146,L146-MIN(MAX(L146,0),'P-Parametri'!$B$8*(L146+K146)))</f>
        <v>-15718.733827895307</v>
      </c>
      <c r="O146" s="18">
        <f>IF($A146&gt;'1-Input'!$B$26,O145,O145-J146*(1-I146))</f>
        <v>-13280.614713501287</v>
      </c>
      <c r="P146" s="11">
        <f>IF($A146&gt;'1-Input'!$B$26,0,IF(U145&lt;=0,0,MAX(0,(U145-V145)/U145)))</f>
        <v>0.47028431874310495</v>
      </c>
      <c r="Q146" s="18">
        <f>IF($A146&gt;'1-Input'!$B$26,0,(MAX(0,P121-IF($A146&gt;='1-Input'!$C$12,'1-Input'!$B$12,0))-MIN(MAX(T145,0),MAX(0,P121-IF($A146&gt;='1-Input'!$C$12,'1-Input'!$B$12,0))))*(1/(1-'P-Parametri'!$B$6*P146))+MIN(MAX(0,U145-(MAX(0,P121-IF($A146&gt;='1-Input'!$C$12,'1-Input'!$B$12,0))-MIN(MAX(T145,0),MAX(0,P121-IF($A146&gt;='1-Input'!$C$12,'1-Input'!$B$12,0))))*(1/(1-'P-Parametri'!$B$6*P146))),MAX(0,0*P121-(T145-MIN(MAX(T145,0),MAX(0,P121-IF($A146&gt;='1-Input'!$C$12,'1-Input'!$B$12,0)))))*(1/(1-'P-Parametri'!$B$6*P146))))</f>
        <v>7062.7228457058873</v>
      </c>
      <c r="R146" s="18">
        <f>IF($A146&gt;'1-Input'!$B$26,T145,(T145-MAX(0,P121-IF($A146&gt;='1-Input'!$C$12,'1-Input'!$B$12,0))+Q146*(1-'P-Parametri'!$B$6*P146))*(1+'1-Input'!$B$27))</f>
        <v>-9.0622052084654565E-13</v>
      </c>
      <c r="S146" s="18">
        <f>IF($A146&gt;'1-Input'!$B$26,U145,(U145-Q146)*(1+$B$4))</f>
        <v>129362.72923163115</v>
      </c>
      <c r="T146" s="18">
        <f>IF($A146&gt;'1-Input'!$B$26,R146,R146-'P-Parametri'!$B$8*(S146+R146)+MIN(MAX(S146,0),'P-Parametri'!$B$8*(S146+R146)))</f>
        <v>-9.0949470177292824E-13</v>
      </c>
      <c r="U146" s="18">
        <f>IF($A146&gt;'1-Input'!$B$26,S146,S146-MIN(MAX(S146,0),'P-Parametri'!$B$8*(S146+R146)))</f>
        <v>129104.00377316789</v>
      </c>
      <c r="V146" s="18">
        <f>IF($A146&gt;'1-Input'!$B$26,V145,V145-Q146*(1-P146))</f>
        <v>67181.829651161504</v>
      </c>
      <c r="W146" s="11">
        <f>IF($A146&gt;'1-Input'!$B$26,0,IF(AB145&lt;=0,0,MAX(0,(AB145-AC145)/AB145)))</f>
        <v>0.47028431874310506</v>
      </c>
      <c r="X146" s="18">
        <f>IF($A146&gt;'1-Input'!$B$26,0,(MAX(0,W121-IF($A146&gt;='1-Input'!$C$12,'1-Input'!$B$12,0))-MIN(MAX(AA145,0),MAX(0,W121-IF($A146&gt;='1-Input'!$C$12,'1-Input'!$B$12,0))))*(1/(1-'P-Parametri'!$B$6*W146))+MIN(MAX(0,AB145-(MAX(0,W121-IF($A146&gt;='1-Input'!$C$12,'1-Input'!$B$12,0))-MIN(MAX(AA145,0),MAX(0,W121-IF($A146&gt;='1-Input'!$C$12,'1-Input'!$B$12,0))))*(1/(1-'P-Parametri'!$B$6*W146))),MAX(0,0*W121-(AA145-MIN(MAX(AA145,0),MAX(0,W121-IF($A146&gt;='1-Input'!$C$12,'1-Input'!$B$12,0)))))*(1/(1-'P-Parametri'!$B$6*W146))))</f>
        <v>6957.6031058457747</v>
      </c>
      <c r="Y146" s="18">
        <f>IF($A146&gt;'1-Input'!$B$26,AA145,(AA145-MAX(0,W121-IF($A146&gt;='1-Input'!$C$12,'1-Input'!$B$12,0))+X146*(1-'P-Parametri'!$B$6*W146))*(1+'1-Input'!$B$27))</f>
        <v>-9.0622052084654565E-13</v>
      </c>
      <c r="Z146" s="18">
        <f>IF($A146&gt;'1-Input'!$B$26,AB145,(AB145-X146)*(1+$B$4))</f>
        <v>132274.16451104989</v>
      </c>
      <c r="AA146" s="18">
        <f>IF($A146&gt;'1-Input'!$B$26,Y146,Y146-'P-Parametri'!$B$8*(Z146+Y146)+MIN(MAX(Z146,0),'P-Parametri'!$B$8*(Z146+Y146)))</f>
        <v>-9.0949470177292824E-13</v>
      </c>
      <c r="AB146" s="18">
        <f>IF($A146&gt;'1-Input'!$B$26,Z146,Z146-MIN(MAX(Z146,0),'P-Parametri'!$B$8*(Z146+Y146)))</f>
        <v>132009.61618202779</v>
      </c>
      <c r="AC146" s="18">
        <f>IF($A146&gt;'1-Input'!$B$26,AC145,AC145-X146*(1-W146))</f>
        <v>68693.822712409194</v>
      </c>
      <c r="AD146" s="11">
        <f>IF($A146&gt;'1-Input'!$B$26,0,IF(AI145&lt;=0,0,MAX(0,(AI145-AJ145)/AI145)))</f>
        <v>0.47028431874310517</v>
      </c>
      <c r="AE146" s="18">
        <f>IF($A146&gt;'1-Input'!$B$26,0,(MAX(0,AD121-IF($A146&gt;='1-Input'!$C$12,'1-Input'!$B$12,0))-MIN(MAX(AH145,0),MAX(0,AD121-IF($A146&gt;='1-Input'!$C$12,'1-Input'!$B$12,0))))*(1/(1-'P-Parametri'!$B$6*AD146))+MIN(MAX(0,AI145-(MAX(0,AD121-IF($A146&gt;='1-Input'!$C$12,'1-Input'!$B$12,0))-MIN(MAX(AH145,0),MAX(0,AD121-IF($A146&gt;='1-Input'!$C$12,'1-Input'!$B$12,0))))*(1/(1-'P-Parametri'!$B$6*AD146))),MAX(0,0*AD121-(AH145-MIN(MAX(AH145,0),MAX(0,AD121-IF($A146&gt;='1-Input'!$C$12,'1-Input'!$B$12,0)))))*(1/(1-'P-Parametri'!$B$6*AD146))))</f>
        <v>6972.7731017391961</v>
      </c>
      <c r="AF146" s="18">
        <f>IF($A146&gt;'1-Input'!$B$26,AH145,(AH145-MAX(0,AD121-IF($A146&gt;='1-Input'!$C$12,'1-Input'!$B$12,0))+AE146*(1-'P-Parametri'!$B$6*AD146))*(1+'1-Input'!$B$27))</f>
        <v>0</v>
      </c>
      <c r="AG146" s="18">
        <f>IF($A146&gt;'1-Input'!$B$26,AI145,(AI145-AE146)*(1+$B$4))</f>
        <v>131854.01068179277</v>
      </c>
      <c r="AH146" s="18">
        <f>IF($A146&gt;'1-Input'!$B$26,AF146,AF146-'P-Parametri'!$B$8*(AG146+AF146)+MIN(MAX(AG146,0),'P-Parametri'!$B$8*(AG146+AF146)))</f>
        <v>0</v>
      </c>
      <c r="AI146" s="18">
        <f>IF($A146&gt;'1-Input'!$B$26,AG146,AG146-MIN(MAX(AG146,0),'P-Parametri'!$B$8*(AG146+AF146)))</f>
        <v>131590.30266042918</v>
      </c>
      <c r="AJ146" s="18">
        <f>IF($A146&gt;'1-Input'!$B$26,AJ145,AJ145-AE146*(1-AD146))</f>
        <v>68475.624602705633</v>
      </c>
      <c r="AK146" s="11">
        <f>IF($A146&gt;'1-Input'!$B$26,0,IF(AP145&lt;=0,0,MAX(0,(AP145-AQ145)/AP145)))</f>
        <v>0.47028431874310517</v>
      </c>
      <c r="AL146" s="18">
        <f>IF($A146&gt;'1-Input'!$B$26,0,(MAX(0,AK121-IF($A146&gt;='1-Input'!$C$12,'1-Input'!$B$12,0))-MIN(MAX(AO145,0),MAX(0,AK121-IF($A146&gt;='1-Input'!$C$12,'1-Input'!$B$12,0))))*(1/(1-'P-Parametri'!$B$6*AK146))+MIN(MAX(0,AP145-(MAX(0,AK121-IF($A146&gt;='1-Input'!$C$12,'1-Input'!$B$12,0))-MIN(MAX(AO145,0),MAX(0,AK121-IF($A146&gt;='1-Input'!$C$12,'1-Input'!$B$12,0))))*(1/(1-'P-Parametri'!$B$6*AK146))),MAX(0,0*AK121-(AO145-MIN(MAX(AO145,0),MAX(0,AK121-IF($A146&gt;='1-Input'!$C$12,'1-Input'!$B$12,0)))))*(1/(1-'P-Parametri'!$B$6*AK146))))</f>
        <v>6972.7731017391961</v>
      </c>
      <c r="AM146" s="18">
        <f>IF($A146&gt;'1-Input'!$B$26,AO145,(AO145-MAX(0,AK121-IF($A146&gt;='1-Input'!$C$12,'1-Input'!$B$12,0))+AL146*(1-'P-Parametri'!$B$6*AK146))*(1+'1-Input'!$B$27))</f>
        <v>0</v>
      </c>
      <c r="AN146" s="18">
        <f>IF($A146&gt;'1-Input'!$B$26,AP145,(AP145-AL146)*(1+$B$4))</f>
        <v>131854.01068179277</v>
      </c>
      <c r="AO146" s="18">
        <f>IF($A146&gt;'1-Input'!$B$26,AM146,AM146-'P-Parametri'!$B$8*(AN146+AM146)+MIN(MAX(AN146,0),'P-Parametri'!$B$8*(AN146+AM146)))</f>
        <v>0</v>
      </c>
      <c r="AP146" s="18">
        <f>IF($A146&gt;'1-Input'!$B$26,AN146,AN146-MIN(MAX(AN146,0),'P-Parametri'!$B$8*(AN146+AM146)))</f>
        <v>131590.30266042918</v>
      </c>
      <c r="AQ146" s="18">
        <f>IF($A146&gt;'1-Input'!$B$26,AQ145,AQ145-AL146*(1-AK146))</f>
        <v>68475.624602705633</v>
      </c>
    </row>
    <row r="147" spans="1:43">
      <c r="A147" s="10">
        <f>24</f>
        <v>24</v>
      </c>
      <c r="B147" s="11">
        <f>IF($A147&gt;'1-Input'!$B$26,0,IF(G146&lt;=0,0,MAX(0,(G146-H146)/G146)))</f>
        <v>0.47963016105063588</v>
      </c>
      <c r="C147" s="18">
        <f>IF($A147&gt;'1-Input'!$B$26,0,(MAX(0,B121-IF($A147&gt;='1-Input'!$C$12,'1-Input'!$B$12,0))-MIN(MAX(F146,0),MAX(0,B121-IF($A147&gt;='1-Input'!$C$12,'1-Input'!$B$12,0))))*(1/(1-'P-Parametri'!$B$6*B147))+MIN(MAX(0,G146-(MAX(0,B121-IF($A147&gt;='1-Input'!$C$12,'1-Input'!$B$12,0))-MIN(MAX(F146,0),MAX(0,B121-IF($A147&gt;='1-Input'!$C$12,'1-Input'!$B$12,0))))*(1/(1-'P-Parametri'!$B$6*B147))),MAX(0,0*B121-(F146-MIN(MAX(F146,0),MAX(0,B121-IF($A147&gt;='1-Input'!$C$12,'1-Input'!$B$12,0)))))*(1/(1-'P-Parametri'!$B$6*B147))))</f>
        <v>6373.9058635481515</v>
      </c>
      <c r="D147" s="18">
        <f>IF($A147&gt;'1-Input'!$B$26,F146,(F146-MAX(0,B121-IF($A147&gt;='1-Input'!$C$12,'1-Input'!$B$12,0))+C147*(1-'P-Parametri'!$B$6*B147))*(1+'1-Input'!$B$27))</f>
        <v>0</v>
      </c>
      <c r="E147" s="18">
        <f>IF($A147&gt;'1-Input'!$B$26,G146,(G146-C147)*(1+$B$4))</f>
        <v>145102.56514113664</v>
      </c>
      <c r="F147" s="18">
        <f>IF($A147&gt;'1-Input'!$B$26,D147,D147-'P-Parametri'!$B$8*(E147+D147)+MIN(MAX(E147,0),'P-Parametri'!$B$8*(E147+D147)))</f>
        <v>0</v>
      </c>
      <c r="G147" s="18">
        <f>IF($A147&gt;'1-Input'!$B$26,E147,E147-MIN(MAX(E147,0),'P-Parametri'!$B$8*(E147+D147)))</f>
        <v>144812.36001085438</v>
      </c>
      <c r="H147" s="18">
        <f>IF($A147&gt;'1-Input'!$B$26,H146,H146-C147*(1-B147))</f>
        <v>74026.469072189109</v>
      </c>
      <c r="I147" s="11">
        <f>IF($A147&gt;'1-Input'!$B$26,0,IF(N146&lt;=0,0,MAX(0,(N146-O146)/N146)))</f>
        <v>0</v>
      </c>
      <c r="J147" s="18">
        <f>IF($A147&gt;'1-Input'!$B$26,0,(MAX(0,I121-IF($A147&gt;='1-Input'!$C$12,'1-Input'!$B$12,0))-MIN(MAX(M146,0),MAX(0,I121-IF($A147&gt;='1-Input'!$C$12,'1-Input'!$B$12,0))))*(1/(1-'P-Parametri'!$B$6*I147))+MIN(MAX(0,N146-(MAX(0,I121-IF($A147&gt;='1-Input'!$C$12,'1-Input'!$B$12,0))-MIN(MAX(M146,0),MAX(0,I121-IF($A147&gt;='1-Input'!$C$12,'1-Input'!$B$12,0))))*(1/(1-'P-Parametri'!$B$6*I147))),MAX(0,0*I121-(M146-MIN(MAX(M146,0),MAX(0,I121-IF($A147&gt;='1-Input'!$C$12,'1-Input'!$B$12,0)))))*(1/(1-'P-Parametri'!$B$6*I147))))</f>
        <v>10846.756992928691</v>
      </c>
      <c r="K147" s="18">
        <f>IF($A147&gt;'1-Input'!$B$26,M146,(M146-MAX(0,I121-IF($A147&gt;='1-Input'!$C$12,'1-Input'!$B$12,0))+J147*(1-'P-Parametri'!$B$6*I147))*(1+'1-Input'!$B$27))</f>
        <v>0</v>
      </c>
      <c r="L147" s="18">
        <f>IF($A147&gt;'1-Input'!$B$26,N146,(N146-J147)*(1+$B$4))</f>
        <v>-27096.800637240478</v>
      </c>
      <c r="M147" s="18">
        <f>IF($A147&gt;'1-Input'!$B$26,K147,K147-'P-Parametri'!$B$8*(L147+K147)+MIN(MAX(L147,0),'P-Parametri'!$B$8*(L147+K147)))</f>
        <v>0</v>
      </c>
      <c r="N147" s="18">
        <f>IF($A147&gt;'1-Input'!$B$26,L147,L147-MIN(MAX(L147,0),'P-Parametri'!$B$8*(L147+K147)))</f>
        <v>-27042.607035965997</v>
      </c>
      <c r="O147" s="18">
        <f>IF($A147&gt;'1-Input'!$B$26,O146,O146-J147*(1-I147))</f>
        <v>-24127.371706429978</v>
      </c>
      <c r="P147" s="11">
        <f>IF($A147&gt;'1-Input'!$B$26,0,IF(U146&lt;=0,0,MAX(0,(U146-V146)/U146)))</f>
        <v>0.47963016105063561</v>
      </c>
      <c r="Q147" s="18">
        <f>IF($A147&gt;'1-Input'!$B$26,0,(MAX(0,P121-IF($A147&gt;='1-Input'!$C$12,'1-Input'!$B$12,0))-MIN(MAX(T146,0),MAX(0,P121-IF($A147&gt;='1-Input'!$C$12,'1-Input'!$B$12,0))))*(1/(1-'P-Parametri'!$B$6*P147))+MIN(MAX(0,U146-(MAX(0,P121-IF($A147&gt;='1-Input'!$C$12,'1-Input'!$B$12,0))-MIN(MAX(T146,0),MAX(0,P121-IF($A147&gt;='1-Input'!$C$12,'1-Input'!$B$12,0))))*(1/(1-'P-Parametri'!$B$6*P147))),MAX(0,0*P121-(T146-MIN(MAX(T146,0),MAX(0,P121-IF($A147&gt;='1-Input'!$C$12,'1-Input'!$B$12,0)))))*(1/(1-'P-Parametri'!$B$6*P147))))</f>
        <v>7082.329745924605</v>
      </c>
      <c r="R147" s="18">
        <f>IF($A147&gt;'1-Input'!$B$26,T146,(T146-MAX(0,P121-IF($A147&gt;='1-Input'!$C$12,'1-Input'!$B$12,0))+Q147*(1-'P-Parametri'!$B$6*P147))*(1+'1-Input'!$B$27))</f>
        <v>0</v>
      </c>
      <c r="S147" s="18">
        <f>IF($A147&gt;'1-Input'!$B$26,U146,(U146-Q147)*(1+$B$4))</f>
        <v>124462.10750778815</v>
      </c>
      <c r="T147" s="18">
        <f>IF($A147&gt;'1-Input'!$B$26,R147,R147-'P-Parametri'!$B$8*(S147+R147)+MIN(MAX(S147,0),'P-Parametri'!$B$8*(S147+R147)))</f>
        <v>0</v>
      </c>
      <c r="U147" s="18">
        <f>IF($A147&gt;'1-Input'!$B$26,S147,S147-MIN(MAX(S147,0),'P-Parametri'!$B$8*(S147+R147)))</f>
        <v>124213.18329277258</v>
      </c>
      <c r="V147" s="18">
        <f>IF($A147&gt;'1-Input'!$B$26,V146,V146-Q147*(1-P147))</f>
        <v>63496.398861888425</v>
      </c>
      <c r="W147" s="11">
        <f>IF($A147&gt;'1-Input'!$B$26,0,IF(AB146&lt;=0,0,MAX(0,(AB146-AC146)/AB146)))</f>
        <v>0.47963016105063572</v>
      </c>
      <c r="X147" s="18">
        <f>IF($A147&gt;'1-Input'!$B$26,0,(MAX(0,W121-IF($A147&gt;='1-Input'!$C$12,'1-Input'!$B$12,0))-MIN(MAX(AA146,0),MAX(0,W121-IF($A147&gt;='1-Input'!$C$12,'1-Input'!$B$12,0))))*(1/(1-'P-Parametri'!$B$6*W147))+MIN(MAX(0,AB146-(MAX(0,W121-IF($A147&gt;='1-Input'!$C$12,'1-Input'!$B$12,0))-MIN(MAX(AA146,0),MAX(0,W121-IF($A147&gt;='1-Input'!$C$12,'1-Input'!$B$12,0))))*(1/(1-'P-Parametri'!$B$6*W147))),MAX(0,0*W121-(AA146-MIN(MAX(AA146,0),MAX(0,W121-IF($A147&gt;='1-Input'!$C$12,'1-Input'!$B$12,0)))))*(1/(1-'P-Parametri'!$B$6*W147))))</f>
        <v>6976.9181820335225</v>
      </c>
      <c r="Y147" s="18">
        <f>IF($A147&gt;'1-Input'!$B$26,AA146,(AA146-MAX(0,W121-IF($A147&gt;='1-Input'!$C$12,'1-Input'!$B$12,0))+X147*(1-'P-Parametri'!$B$6*W147))*(1+'1-Input'!$B$27))</f>
        <v>0</v>
      </c>
      <c r="Z147" s="18">
        <f>IF($A147&gt;'1-Input'!$B$26,AB146,(AB146-X147)*(1+$B$4))</f>
        <v>127533.35195999416</v>
      </c>
      <c r="AA147" s="18">
        <f>IF($A147&gt;'1-Input'!$B$26,Y147,Y147-'P-Parametri'!$B$8*(Z147+Y147)+MIN(MAX(Z147,0),'P-Parametri'!$B$8*(Z147+Y147)))</f>
        <v>0</v>
      </c>
      <c r="AB147" s="18">
        <f>IF($A147&gt;'1-Input'!$B$26,Z147,Z147-MIN(MAX(Z147,0),'P-Parametri'!$B$8*(Z147+Y147)))</f>
        <v>127278.28525607417</v>
      </c>
      <c r="AC147" s="18">
        <f>IF($A147&gt;'1-Input'!$B$26,AC146,AC146-X147*(1-W147))</f>
        <v>65063.24492166152</v>
      </c>
      <c r="AD147" s="11">
        <f>IF($A147&gt;'1-Input'!$B$26,0,IF(AI146&lt;=0,0,MAX(0,(AI146-AJ146)/AI146)))</f>
        <v>0.47963016105063572</v>
      </c>
      <c r="AE147" s="18">
        <f>IF($A147&gt;'1-Input'!$B$26,0,(MAX(0,AD121-IF($A147&gt;='1-Input'!$C$12,'1-Input'!$B$12,0))-MIN(MAX(AH146,0),MAX(0,AD121-IF($A147&gt;='1-Input'!$C$12,'1-Input'!$B$12,0))))*(1/(1-'P-Parametri'!$B$6*AD147))+MIN(MAX(0,AI146-(MAX(0,AD121-IF($A147&gt;='1-Input'!$C$12,'1-Input'!$B$12,0))-MIN(MAX(AH146,0),MAX(0,AD121-IF($A147&gt;='1-Input'!$C$12,'1-Input'!$B$12,0))))*(1/(1-'P-Parametri'!$B$6*AD147))),MAX(0,0*AD121-(AH146-MIN(MAX(AH146,0),MAX(0,AD121-IF($A147&gt;='1-Input'!$C$12,'1-Input'!$B$12,0)))))*(1/(1-'P-Parametri'!$B$6*AD147))))</f>
        <v>6992.1302915143351</v>
      </c>
      <c r="AF147" s="18">
        <f>IF($A147&gt;'1-Input'!$B$26,AH146,(AH146-MAX(0,AD121-IF($A147&gt;='1-Input'!$C$12,'1-Input'!$B$12,0))+AE147*(1-'P-Parametri'!$B$6*AD147))*(1+'1-Input'!$B$27))</f>
        <v>0</v>
      </c>
      <c r="AG147" s="18">
        <f>IF($A147&gt;'1-Input'!$B$26,AI146,(AI146-AE147)*(1+$B$4))</f>
        <v>127090.13581629314</v>
      </c>
      <c r="AH147" s="18">
        <f>IF($A147&gt;'1-Input'!$B$26,AF147,AF147-'P-Parametri'!$B$8*(AG147+AF147)+MIN(MAX(AG147,0),'P-Parametri'!$B$8*(AG147+AF147)))</f>
        <v>0</v>
      </c>
      <c r="AI147" s="18">
        <f>IF($A147&gt;'1-Input'!$B$26,AG147,AG147-MIN(MAX(AG147,0),'P-Parametri'!$B$8*(AG147+AF147)))</f>
        <v>126835.95554466055</v>
      </c>
      <c r="AJ147" s="18">
        <f>IF($A147&gt;'1-Input'!$B$26,AJ146,AJ146-AE147*(1-AD147))</f>
        <v>64837.130888997344</v>
      </c>
      <c r="AK147" s="11">
        <f>IF($A147&gt;'1-Input'!$B$26,0,IF(AP146&lt;=0,0,MAX(0,(AP146-AQ146)/AP146)))</f>
        <v>0.47963016105063572</v>
      </c>
      <c r="AL147" s="18">
        <f>IF($A147&gt;'1-Input'!$B$26,0,(MAX(0,AK121-IF($A147&gt;='1-Input'!$C$12,'1-Input'!$B$12,0))-MIN(MAX(AO146,0),MAX(0,AK121-IF($A147&gt;='1-Input'!$C$12,'1-Input'!$B$12,0))))*(1/(1-'P-Parametri'!$B$6*AK147))+MIN(MAX(0,AP146-(MAX(0,AK121-IF($A147&gt;='1-Input'!$C$12,'1-Input'!$B$12,0))-MIN(MAX(AO146,0),MAX(0,AK121-IF($A147&gt;='1-Input'!$C$12,'1-Input'!$B$12,0))))*(1/(1-'P-Parametri'!$B$6*AK147))),MAX(0,0*AK121-(AO146-MIN(MAX(AO146,0),MAX(0,AK121-IF($A147&gt;='1-Input'!$C$12,'1-Input'!$B$12,0)))))*(1/(1-'P-Parametri'!$B$6*AK147))))</f>
        <v>6992.1302915143351</v>
      </c>
      <c r="AM147" s="18">
        <f>IF($A147&gt;'1-Input'!$B$26,AO146,(AO146-MAX(0,AK121-IF($A147&gt;='1-Input'!$C$12,'1-Input'!$B$12,0))+AL147*(1-'P-Parametri'!$B$6*AK147))*(1+'1-Input'!$B$27))</f>
        <v>0</v>
      </c>
      <c r="AN147" s="18">
        <f>IF($A147&gt;'1-Input'!$B$26,AP146,(AP146-AL147)*(1+$B$4))</f>
        <v>127090.13581629314</v>
      </c>
      <c r="AO147" s="18">
        <f>IF($A147&gt;'1-Input'!$B$26,AM147,AM147-'P-Parametri'!$B$8*(AN147+AM147)+MIN(MAX(AN147,0),'P-Parametri'!$B$8*(AN147+AM147)))</f>
        <v>0</v>
      </c>
      <c r="AP147" s="18">
        <f>IF($A147&gt;'1-Input'!$B$26,AN147,AN147-MIN(MAX(AN147,0),'P-Parametri'!$B$8*(AN147+AM147)))</f>
        <v>126835.95554466055</v>
      </c>
      <c r="AQ147" s="18">
        <f>IF($A147&gt;'1-Input'!$B$26,AQ146,AQ146-AL147*(1-AK147))</f>
        <v>64837.130888997344</v>
      </c>
    </row>
    <row r="148" spans="1:43">
      <c r="A148" s="10">
        <f>25</f>
        <v>25</v>
      </c>
      <c r="B148" s="11">
        <f>IF($A148&gt;'1-Input'!$B$26,0,IF(G147&lt;=0,0,MAX(0,(G147-H147)/G147)))</f>
        <v>0.48881111345301964</v>
      </c>
      <c r="C148" s="18">
        <f>IF($A148&gt;'1-Input'!$B$26,0,(MAX(0,B121-IF($A148&gt;='1-Input'!$C$12,'1-Input'!$B$12,0))-MIN(MAX(F147,0),MAX(0,B121-IF($A148&gt;='1-Input'!$C$12,'1-Input'!$B$12,0))))*(1/(1-'P-Parametri'!$B$6*B148))+MIN(MAX(0,G147-(MAX(0,B121-IF($A148&gt;='1-Input'!$C$12,'1-Input'!$B$12,0))-MIN(MAX(F147,0),MAX(0,B121-IF($A148&gt;='1-Input'!$C$12,'1-Input'!$B$12,0))))*(1/(1-'P-Parametri'!$B$6*B148))),MAX(0,0*B121-(F147-MIN(MAX(F147,0),MAX(0,B121-IF($A148&gt;='1-Input'!$C$12,'1-Input'!$B$12,0)))))*(1/(1-'P-Parametri'!$B$6*B148))))</f>
        <v>6391.3358762127928</v>
      </c>
      <c r="D148" s="18">
        <f>IF($A148&gt;'1-Input'!$B$26,F147,(F147-MAX(0,B121-IF($A148&gt;='1-Input'!$C$12,'1-Input'!$B$12,0))+C148*(1-'P-Parametri'!$B$6*B148))*(1+'1-Input'!$B$27))</f>
        <v>0</v>
      </c>
      <c r="E148" s="18">
        <f>IF($A148&gt;'1-Input'!$B$26,G147,(G147-C148)*(1+$B$4))</f>
        <v>141189.4446173344</v>
      </c>
      <c r="F148" s="18">
        <f>IF($A148&gt;'1-Input'!$B$26,D148,D148-'P-Parametri'!$B$8*(E148+D148)+MIN(MAX(E148,0),'P-Parametri'!$B$8*(E148+D148)))</f>
        <v>0</v>
      </c>
      <c r="G148" s="18">
        <f>IF($A148&gt;'1-Input'!$B$26,E148,E148-MIN(MAX(E148,0),'P-Parametri'!$B$8*(E148+D148)))</f>
        <v>140907.06572809973</v>
      </c>
      <c r="H148" s="18">
        <f>IF($A148&gt;'1-Input'!$B$26,H147,H147-C148*(1-B148))</f>
        <v>70759.289202080123</v>
      </c>
      <c r="I148" s="11">
        <f>IF($A148&gt;'1-Input'!$B$26,0,IF(N147&lt;=0,0,MAX(0,(N147-O147)/N147)))</f>
        <v>0</v>
      </c>
      <c r="J148" s="18">
        <f>IF($A148&gt;'1-Input'!$B$26,0,(MAX(0,I121-IF($A148&gt;='1-Input'!$C$12,'1-Input'!$B$12,0))-MIN(MAX(M147,0),MAX(0,I121-IF($A148&gt;='1-Input'!$C$12,'1-Input'!$B$12,0))))*(1/(1-'P-Parametri'!$B$6*I148))+MIN(MAX(0,N147-(MAX(0,I121-IF($A148&gt;='1-Input'!$C$12,'1-Input'!$B$12,0))-MIN(MAX(M147,0),MAX(0,I121-IF($A148&gt;='1-Input'!$C$12,'1-Input'!$B$12,0))))*(1/(1-'P-Parametri'!$B$6*I148))),MAX(0,0*I121-(M147-MIN(MAX(M147,0),MAX(0,I121-IF($A148&gt;='1-Input'!$C$12,'1-Input'!$B$12,0)))))*(1/(1-'P-Parametri'!$B$6*I148))))</f>
        <v>10846.756992928691</v>
      </c>
      <c r="K148" s="18">
        <f>IF($A148&gt;'1-Input'!$B$26,M147,(M147-MAX(0,I121-IF($A148&gt;='1-Input'!$C$12,'1-Input'!$B$12,0))+J148*(1-'P-Parametri'!$B$6*I148))*(1+'1-Input'!$B$27))</f>
        <v>0</v>
      </c>
      <c r="L148" s="18">
        <f>IF($A148&gt;'1-Input'!$B$26,N147,(N147-J148)*(1+$B$4))</f>
        <v>-38647.151309472589</v>
      </c>
      <c r="M148" s="18">
        <f>IF($A148&gt;'1-Input'!$B$26,K148,K148-'P-Parametri'!$B$8*(L148+K148)+MIN(MAX(L148,0),'P-Parametri'!$B$8*(L148+K148)))</f>
        <v>0</v>
      </c>
      <c r="N148" s="18">
        <f>IF($A148&gt;'1-Input'!$B$26,L148,L148-MIN(MAX(L148,0),'P-Parametri'!$B$8*(L148+K148)))</f>
        <v>-38569.857006853643</v>
      </c>
      <c r="O148" s="18">
        <f>IF($A148&gt;'1-Input'!$B$26,O147,O147-J148*(1-I148))</f>
        <v>-34974.128699358669</v>
      </c>
      <c r="P148" s="11">
        <f>IF($A148&gt;'1-Input'!$B$26,0,IF(U147&lt;=0,0,MAX(0,(U147-V147)/U147)))</f>
        <v>0.48881111345301942</v>
      </c>
      <c r="Q148" s="18">
        <f>IF($A148&gt;'1-Input'!$B$26,0,(MAX(0,P121-IF($A148&gt;='1-Input'!$C$12,'1-Input'!$B$12,0))-MIN(MAX(T147,0),MAX(0,P121-IF($A148&gt;='1-Input'!$C$12,'1-Input'!$B$12,0))))*(1/(1-'P-Parametri'!$B$6*P148))+MIN(MAX(0,U147-(MAX(0,P121-IF($A148&gt;='1-Input'!$C$12,'1-Input'!$B$12,0))-MIN(MAX(T147,0),MAX(0,P121-IF($A148&gt;='1-Input'!$C$12,'1-Input'!$B$12,0))))*(1/(1-'P-Parametri'!$B$6*P148))),MAX(0,0*P121-(T147-MIN(MAX(T147,0),MAX(0,P121-IF($A148&gt;='1-Input'!$C$12,'1-Input'!$B$12,0)))))*(1/(1-'P-Parametri'!$B$6*P148))))</f>
        <v>7101.6970067234479</v>
      </c>
      <c r="R148" s="18">
        <f>IF($A148&gt;'1-Input'!$B$26,T147,(T147-MAX(0,P121-IF($A148&gt;='1-Input'!$C$12,'1-Input'!$B$12,0))+Q148*(1-'P-Parametri'!$B$6*P148))*(1+'1-Input'!$B$27))</f>
        <v>0</v>
      </c>
      <c r="S148" s="18">
        <f>IF($A148&gt;'1-Input'!$B$26,U147,(U147-Q148)*(1+$B$4))</f>
        <v>119453.71601177011</v>
      </c>
      <c r="T148" s="18">
        <f>IF($A148&gt;'1-Input'!$B$26,R148,R148-'P-Parametri'!$B$8*(S148+R148)+MIN(MAX(S148,0),'P-Parametri'!$B$8*(S148+R148)))</f>
        <v>0</v>
      </c>
      <c r="U148" s="18">
        <f>IF($A148&gt;'1-Input'!$B$26,S148,S148-MIN(MAX(S148,0),'P-Parametri'!$B$8*(S148+R148)))</f>
        <v>119214.80857974658</v>
      </c>
      <c r="V148" s="18">
        <f>IF($A148&gt;'1-Input'!$B$26,V147,V147-Q148*(1-P148))</f>
        <v>59866.090276427443</v>
      </c>
      <c r="W148" s="11">
        <f>IF($A148&gt;'1-Input'!$B$26,0,IF(AB147&lt;=0,0,MAX(0,(AB147-AC147)/AB147)))</f>
        <v>0.48881111345301953</v>
      </c>
      <c r="X148" s="18">
        <f>IF($A148&gt;'1-Input'!$B$26,0,(MAX(0,W121-IF($A148&gt;='1-Input'!$C$12,'1-Input'!$B$12,0))-MIN(MAX(AA147,0),MAX(0,W121-IF($A148&gt;='1-Input'!$C$12,'1-Input'!$B$12,0))))*(1/(1-'P-Parametri'!$B$6*W148))+MIN(MAX(0,AB147-(MAX(0,W121-IF($A148&gt;='1-Input'!$C$12,'1-Input'!$B$12,0))-MIN(MAX(AA147,0),MAX(0,W121-IF($A148&gt;='1-Input'!$C$12,'1-Input'!$B$12,0))))*(1/(1-'P-Parametri'!$B$6*W148))),MAX(0,0*W121-(AA147-MIN(MAX(AA147,0),MAX(0,W121-IF($A148&gt;='1-Input'!$C$12,'1-Input'!$B$12,0)))))*(1/(1-'P-Parametri'!$B$6*W148))))</f>
        <v>6995.997185532533</v>
      </c>
      <c r="Y148" s="18">
        <f>IF($A148&gt;'1-Input'!$B$26,AA147,(AA147-MAX(0,W121-IF($A148&gt;='1-Input'!$C$12,'1-Input'!$B$12,0))+X148*(1-'P-Parametri'!$B$6*W148))*(1+'1-Input'!$B$27))</f>
        <v>0</v>
      </c>
      <c r="Z148" s="18">
        <f>IF($A148&gt;'1-Input'!$B$26,AB147,(AB147-X148)*(1+$B$4))</f>
        <v>122687.93383195248</v>
      </c>
      <c r="AA148" s="18">
        <f>IF($A148&gt;'1-Input'!$B$26,Y148,Y148-'P-Parametri'!$B$8*(Z148+Y148)+MIN(MAX(Z148,0),'P-Parametri'!$B$8*(Z148+Y148)))</f>
        <v>0</v>
      </c>
      <c r="AB148" s="18">
        <f>IF($A148&gt;'1-Input'!$B$26,Z148,Z148-MIN(MAX(Z148,0),'P-Parametri'!$B$8*(Z148+Y148)))</f>
        <v>122442.55796428857</v>
      </c>
      <c r="AC148" s="18">
        <f>IF($A148&gt;'1-Input'!$B$26,AC147,AC147-X148*(1-W148))</f>
        <v>61486.968910103336</v>
      </c>
      <c r="AD148" s="11">
        <f>IF($A148&gt;'1-Input'!$B$26,0,IF(AI147&lt;=0,0,MAX(0,(AI147-AJ147)/AI147)))</f>
        <v>0.48881111345301953</v>
      </c>
      <c r="AE148" s="18">
        <f>IF($A148&gt;'1-Input'!$B$26,0,(MAX(0,AD121-IF($A148&gt;='1-Input'!$C$12,'1-Input'!$B$12,0))-MIN(MAX(AH147,0),MAX(0,AD121-IF($A148&gt;='1-Input'!$C$12,'1-Input'!$B$12,0))))*(1/(1-'P-Parametri'!$B$6*AD148))+MIN(MAX(0,AI147-(MAX(0,AD121-IF($A148&gt;='1-Input'!$C$12,'1-Input'!$B$12,0))-MIN(MAX(AH147,0),MAX(0,AD121-IF($A148&gt;='1-Input'!$C$12,'1-Input'!$B$12,0))))*(1/(1-'P-Parametri'!$B$6*AD148))),MAX(0,0*AD121-(AH147-MIN(MAX(AH147,0),MAX(0,AD121-IF($A148&gt;='1-Input'!$C$12,'1-Input'!$B$12,0)))))*(1/(1-'P-Parametri'!$B$6*AD148))))</f>
        <v>7011.2508938801302</v>
      </c>
      <c r="AF148" s="18">
        <f>IF($A148&gt;'1-Input'!$B$26,AH147,(AH147-MAX(0,AD121-IF($A148&gt;='1-Input'!$C$12,'1-Input'!$B$12,0))+AE148*(1-'P-Parametri'!$B$6*AD148))*(1+'1-Input'!$B$27))</f>
        <v>9.0622052084654565E-13</v>
      </c>
      <c r="AG148" s="18">
        <f>IF($A148&gt;'1-Input'!$B$26,AI147,(AI147-AE148)*(1+$B$4))</f>
        <v>122221.19874379603</v>
      </c>
      <c r="AH148" s="18">
        <f>IF($A148&gt;'1-Input'!$B$26,AF148,AF148-'P-Parametri'!$B$8*(AG148+AF148)+MIN(MAX(AG148,0),'P-Parametri'!$B$8*(AG148+AF148)))</f>
        <v>9.0949470177292824E-13</v>
      </c>
      <c r="AI148" s="18">
        <f>IF($A148&gt;'1-Input'!$B$26,AG148,AG148-MIN(MAX(AG148,0),'P-Parametri'!$B$8*(AG148+AF148)))</f>
        <v>121976.75634630844</v>
      </c>
      <c r="AJ148" s="18">
        <f>IF($A148&gt;'1-Input'!$B$26,AJ147,AJ147-AE148*(1-AD148))</f>
        <v>61253.057351253243</v>
      </c>
      <c r="AK148" s="11">
        <f>IF($A148&gt;'1-Input'!$B$26,0,IF(AP147&lt;=0,0,MAX(0,(AP147-AQ147)/AP147)))</f>
        <v>0.48881111345301953</v>
      </c>
      <c r="AL148" s="18">
        <f>IF($A148&gt;'1-Input'!$B$26,0,(MAX(0,AK121-IF($A148&gt;='1-Input'!$C$12,'1-Input'!$B$12,0))-MIN(MAX(AO147,0),MAX(0,AK121-IF($A148&gt;='1-Input'!$C$12,'1-Input'!$B$12,0))))*(1/(1-'P-Parametri'!$B$6*AK148))+MIN(MAX(0,AP147-(MAX(0,AK121-IF($A148&gt;='1-Input'!$C$12,'1-Input'!$B$12,0))-MIN(MAX(AO147,0),MAX(0,AK121-IF($A148&gt;='1-Input'!$C$12,'1-Input'!$B$12,0))))*(1/(1-'P-Parametri'!$B$6*AK148))),MAX(0,0*AK121-(AO147-MIN(MAX(AO147,0),MAX(0,AK121-IF($A148&gt;='1-Input'!$C$12,'1-Input'!$B$12,0)))))*(1/(1-'P-Parametri'!$B$6*AK148))))</f>
        <v>7011.2508938801302</v>
      </c>
      <c r="AM148" s="18">
        <f>IF($A148&gt;'1-Input'!$B$26,AO147,(AO147-MAX(0,AK121-IF($A148&gt;='1-Input'!$C$12,'1-Input'!$B$12,0))+AL148*(1-'P-Parametri'!$B$6*AK148))*(1+'1-Input'!$B$27))</f>
        <v>9.0622052084654565E-13</v>
      </c>
      <c r="AN148" s="18">
        <f>IF($A148&gt;'1-Input'!$B$26,AP147,(AP147-AL148)*(1+$B$4))</f>
        <v>122221.19874379603</v>
      </c>
      <c r="AO148" s="18">
        <f>IF($A148&gt;'1-Input'!$B$26,AM148,AM148-'P-Parametri'!$B$8*(AN148+AM148)+MIN(MAX(AN148,0),'P-Parametri'!$B$8*(AN148+AM148)))</f>
        <v>9.0949470177292824E-13</v>
      </c>
      <c r="AP148" s="18">
        <f>IF($A148&gt;'1-Input'!$B$26,AN148,AN148-MIN(MAX(AN148,0),'P-Parametri'!$B$8*(AN148+AM148)))</f>
        <v>121976.75634630844</v>
      </c>
      <c r="AQ148" s="18">
        <f>IF($A148&gt;'1-Input'!$B$26,AQ147,AQ147-AL148*(1-AK148))</f>
        <v>61253.057351253243</v>
      </c>
    </row>
    <row r="149" spans="1:43">
      <c r="A149" s="10">
        <f>26</f>
        <v>26</v>
      </c>
      <c r="B149" s="11">
        <f>IF($A149&gt;'1-Input'!$B$26,0,IF(G148&lt;=0,0,MAX(0,(G148-H148)/G148)))</f>
        <v>0.49783008512418914</v>
      </c>
      <c r="C149" s="18">
        <f>IF($A149&gt;'1-Input'!$B$26,0,(MAX(0,B121-IF($A149&gt;='1-Input'!$C$12,'1-Input'!$B$12,0))-MIN(MAX(F148,0),MAX(0,B121-IF($A149&gt;='1-Input'!$C$12,'1-Input'!$B$12,0))))*(1/(1-'P-Parametri'!$B$6*B149))+MIN(MAX(0,G148-(MAX(0,B121-IF($A149&gt;='1-Input'!$C$12,'1-Input'!$B$12,0))-MIN(MAX(F148,0),MAX(0,B121-IF($A149&gt;='1-Input'!$C$12,'1-Input'!$B$12,0))))*(1/(1-'P-Parametri'!$B$6*B149))),MAX(0,0*B121-(F148-MIN(MAX(F148,0),MAX(0,B121-IF($A149&gt;='1-Input'!$C$12,'1-Input'!$B$12,0)))))*(1/(1-'P-Parametri'!$B$6*B149))))</f>
        <v>6408.5514387815583</v>
      </c>
      <c r="D149" s="18">
        <f>IF($A149&gt;'1-Input'!$B$26,F148,(F148-MAX(0,B121-IF($A149&gt;='1-Input'!$C$12,'1-Input'!$B$12,0))+C149*(1-'P-Parametri'!$B$6*B149))*(1+'1-Input'!$B$27))</f>
        <v>0</v>
      </c>
      <c r="E149" s="18">
        <f>IF($A149&gt;'1-Input'!$B$26,G148,(G148-C149)*(1+$B$4))</f>
        <v>137188.48457510455</v>
      </c>
      <c r="F149" s="18">
        <f>IF($A149&gt;'1-Input'!$B$26,D149,D149-'P-Parametri'!$B$8*(E149+D149)+MIN(MAX(E149,0),'P-Parametri'!$B$8*(E149+D149)))</f>
        <v>0</v>
      </c>
      <c r="G149" s="18">
        <f>IF($A149&gt;'1-Input'!$B$26,E149,E149-MIN(MAX(E149,0),'P-Parametri'!$B$8*(E149+D149)))</f>
        <v>136914.10760595434</v>
      </c>
      <c r="H149" s="18">
        <f>IF($A149&gt;'1-Input'!$B$26,H148,H148-C149*(1-B149))</f>
        <v>67541.10747158993</v>
      </c>
      <c r="I149" s="11">
        <f>IF($A149&gt;'1-Input'!$B$26,0,IF(N148&lt;=0,0,MAX(0,(N148-O148)/N148)))</f>
        <v>0</v>
      </c>
      <c r="J149" s="18">
        <f>IF($A149&gt;'1-Input'!$B$26,0,(MAX(0,I121-IF($A149&gt;='1-Input'!$C$12,'1-Input'!$B$12,0))-MIN(MAX(M148,0),MAX(0,I121-IF($A149&gt;='1-Input'!$C$12,'1-Input'!$B$12,0))))*(1/(1-'P-Parametri'!$B$6*I149))+MIN(MAX(0,N148-(MAX(0,I121-IF($A149&gt;='1-Input'!$C$12,'1-Input'!$B$12,0))-MIN(MAX(M148,0),MAX(0,I121-IF($A149&gt;='1-Input'!$C$12,'1-Input'!$B$12,0))))*(1/(1-'P-Parametri'!$B$6*I149))),MAX(0,0*I121-(M148-MIN(MAX(M148,0),MAX(0,I121-IF($A149&gt;='1-Input'!$C$12,'1-Input'!$B$12,0)))))*(1/(1-'P-Parametri'!$B$6*I149))))</f>
        <v>10846.756992928691</v>
      </c>
      <c r="K149" s="18">
        <f>IF($A149&gt;'1-Input'!$B$26,M148,(M148-MAX(0,I121-IF($A149&gt;='1-Input'!$C$12,'1-Input'!$B$12,0))+J149*(1-'P-Parametri'!$B$6*I149))*(1+'1-Input'!$B$27))</f>
        <v>0</v>
      </c>
      <c r="L149" s="18">
        <f>IF($A149&gt;'1-Input'!$B$26,N148,(N148-J149)*(1+$B$4))</f>
        <v>-50404.946279777978</v>
      </c>
      <c r="M149" s="18">
        <f>IF($A149&gt;'1-Input'!$B$26,K149,K149-'P-Parametri'!$B$8*(L149+K149)+MIN(MAX(L149,0),'P-Parametri'!$B$8*(L149+K149)))</f>
        <v>0</v>
      </c>
      <c r="N149" s="18">
        <f>IF($A149&gt;'1-Input'!$B$26,L149,L149-MIN(MAX(L149,0),'P-Parametri'!$B$8*(L149+K149)))</f>
        <v>-50304.136387218423</v>
      </c>
      <c r="O149" s="18">
        <f>IF($A149&gt;'1-Input'!$B$26,O148,O148-J149*(1-I149))</f>
        <v>-45820.88569228736</v>
      </c>
      <c r="P149" s="11">
        <f>IF($A149&gt;'1-Input'!$B$26,0,IF(U148&lt;=0,0,MAX(0,(U148-V148)/U148)))</f>
        <v>0.49783008512418897</v>
      </c>
      <c r="Q149" s="18">
        <f>IF($A149&gt;'1-Input'!$B$26,0,(MAX(0,P121-IF($A149&gt;='1-Input'!$C$12,'1-Input'!$B$12,0))-MIN(MAX(T148,0),MAX(0,P121-IF($A149&gt;='1-Input'!$C$12,'1-Input'!$B$12,0))))*(1/(1-'P-Parametri'!$B$6*P149))+MIN(MAX(0,U148-(MAX(0,P121-IF($A149&gt;='1-Input'!$C$12,'1-Input'!$B$12,0))-MIN(MAX(T148,0),MAX(0,P121-IF($A149&gt;='1-Input'!$C$12,'1-Input'!$B$12,0))))*(1/(1-'P-Parametri'!$B$6*P149))),MAX(0,0*P121-(T148-MIN(MAX(T148,0),MAX(0,P121-IF($A149&gt;='1-Input'!$C$12,'1-Input'!$B$12,0)))))*(1/(1-'P-Parametri'!$B$6*P149))))</f>
        <v>7120.8259825012174</v>
      </c>
      <c r="R149" s="18">
        <f>IF($A149&gt;'1-Input'!$B$26,T148,(T148-MAX(0,P121-IF($A149&gt;='1-Input'!$C$12,'1-Input'!$B$12,0))+Q149*(1-'P-Parametri'!$B$6*P149))*(1+'1-Input'!$B$27))</f>
        <v>0</v>
      </c>
      <c r="S149" s="18">
        <f>IF($A149&gt;'1-Input'!$B$26,U148,(U148-Q149)*(1+$B$4))</f>
        <v>114335.86224919026</v>
      </c>
      <c r="T149" s="18">
        <f>IF($A149&gt;'1-Input'!$B$26,R149,R149-'P-Parametri'!$B$8*(S149+R149)+MIN(MAX(S149,0),'P-Parametri'!$B$8*(S149+R149)))</f>
        <v>0</v>
      </c>
      <c r="U149" s="18">
        <f>IF($A149&gt;'1-Input'!$B$26,S149,S149-MIN(MAX(S149,0),'P-Parametri'!$B$8*(S149+R149)))</f>
        <v>114107.19052469189</v>
      </c>
      <c r="V149" s="18">
        <f>IF($A149&gt;'1-Input'!$B$26,V148,V148-Q149*(1-P149))</f>
        <v>56290.225698949347</v>
      </c>
      <c r="W149" s="11">
        <f>IF($A149&gt;'1-Input'!$B$26,0,IF(AB148&lt;=0,0,MAX(0,(AB148-AC148)/AB148)))</f>
        <v>0.49783008512418908</v>
      </c>
      <c r="X149" s="18">
        <f>IF($A149&gt;'1-Input'!$B$26,0,(MAX(0,W121-IF($A149&gt;='1-Input'!$C$12,'1-Input'!$B$12,0))-MIN(MAX(AA148,0),MAX(0,W121-IF($A149&gt;='1-Input'!$C$12,'1-Input'!$B$12,0))))*(1/(1-'P-Parametri'!$B$6*W149))+MIN(MAX(0,AB148-(MAX(0,W121-IF($A149&gt;='1-Input'!$C$12,'1-Input'!$B$12,0))-MIN(MAX(AA148,0),MAX(0,W121-IF($A149&gt;='1-Input'!$C$12,'1-Input'!$B$12,0))))*(1/(1-'P-Parametri'!$B$6*W149))),MAX(0,0*W121-(AA148-MIN(MAX(AA148,0),MAX(0,W121-IF($A149&gt;='1-Input'!$C$12,'1-Input'!$B$12,0)))))*(1/(1-'P-Parametri'!$B$6*W149))))</f>
        <v>7014.8414505830824</v>
      </c>
      <c r="Y149" s="18">
        <f>IF($A149&gt;'1-Input'!$B$26,AA148,(AA148-MAX(0,W121-IF($A149&gt;='1-Input'!$C$12,'1-Input'!$B$12,0))+X149*(1-'P-Parametri'!$B$6*W149))*(1+'1-Input'!$B$27))</f>
        <v>0</v>
      </c>
      <c r="Z149" s="18">
        <f>IF($A149&gt;'1-Input'!$B$26,AB148,(AB148-X149)*(1+$B$4))</f>
        <v>117736.2708439796</v>
      </c>
      <c r="AA149" s="18">
        <f>IF($A149&gt;'1-Input'!$B$26,Y149,Y149-'P-Parametri'!$B$8*(Z149+Y149)+MIN(MAX(Z149,0),'P-Parametri'!$B$8*(Z149+Y149)))</f>
        <v>0</v>
      </c>
      <c r="AB149" s="18">
        <f>IF($A149&gt;'1-Input'!$B$26,Z149,Z149-MIN(MAX(Z149,0),'P-Parametri'!$B$8*(Z149+Y149)))</f>
        <v>117500.79830229163</v>
      </c>
      <c r="AC149" s="18">
        <f>IF($A149&gt;'1-Input'!$B$26,AC148,AC148-X149*(1-W149))</f>
        <v>57964.326575996718</v>
      </c>
      <c r="AD149" s="11">
        <f>IF($A149&gt;'1-Input'!$B$26,0,IF(AI148&lt;=0,0,MAX(0,(AI148-AJ148)/AI148)))</f>
        <v>0.49783008512418903</v>
      </c>
      <c r="AE149" s="18">
        <f>IF($A149&gt;'1-Input'!$B$26,0,(MAX(0,AD121-IF($A149&gt;='1-Input'!$C$12,'1-Input'!$B$12,0))-MIN(MAX(AH148,0),MAX(0,AD121-IF($A149&gt;='1-Input'!$C$12,'1-Input'!$B$12,0))))*(1/(1-'P-Parametri'!$B$6*AD149))+MIN(MAX(0,AI148-(MAX(0,AD121-IF($A149&gt;='1-Input'!$C$12,'1-Input'!$B$12,0))-MIN(MAX(AH148,0),MAX(0,AD121-IF($A149&gt;='1-Input'!$C$12,'1-Input'!$B$12,0))))*(1/(1-'P-Parametri'!$B$6*AD149))),MAX(0,0*AD121-(AH148-MIN(MAX(AH148,0),MAX(0,AD121-IF($A149&gt;='1-Input'!$C$12,'1-Input'!$B$12,0)))))*(1/(1-'P-Parametri'!$B$6*AD149))))</f>
        <v>7030.1362459859583</v>
      </c>
      <c r="AF149" s="18">
        <f>IF($A149&gt;'1-Input'!$B$26,AH148,(AH148-MAX(0,AD121-IF($A149&gt;='1-Input'!$C$12,'1-Input'!$B$12,0))+AE149*(1-'P-Parametri'!$B$6*AD149))*(1+'1-Input'!$B$27))</f>
        <v>-9.0622052084654565E-13</v>
      </c>
      <c r="AG149" s="18">
        <f>IF($A149&gt;'1-Input'!$B$26,AI148,(AI148-AE149)*(1+$B$4))</f>
        <v>117245.55250232894</v>
      </c>
      <c r="AH149" s="18">
        <f>IF($A149&gt;'1-Input'!$B$26,AF149,AF149-'P-Parametri'!$B$8*(AG149+AF149)+MIN(MAX(AG149,0),'P-Parametri'!$B$8*(AG149+AF149)))</f>
        <v>-9.0949470177292824E-13</v>
      </c>
      <c r="AI149" s="18">
        <f>IF($A149&gt;'1-Input'!$B$26,AG149,AG149-MIN(MAX(AG149,0),'P-Parametri'!$B$8*(AG149+AF149)))</f>
        <v>117011.06139732427</v>
      </c>
      <c r="AJ149" s="18">
        <f>IF($A149&gt;'1-Input'!$B$26,AJ148,AJ148-AE149*(1-AD149))</f>
        <v>57722.734431041121</v>
      </c>
      <c r="AK149" s="11">
        <f>IF($A149&gt;'1-Input'!$B$26,0,IF(AP148&lt;=0,0,MAX(0,(AP148-AQ148)/AP148)))</f>
        <v>0.49783008512418903</v>
      </c>
      <c r="AL149" s="18">
        <f>IF($A149&gt;'1-Input'!$B$26,0,(MAX(0,AK121-IF($A149&gt;='1-Input'!$C$12,'1-Input'!$B$12,0))-MIN(MAX(AO148,0),MAX(0,AK121-IF($A149&gt;='1-Input'!$C$12,'1-Input'!$B$12,0))))*(1/(1-'P-Parametri'!$B$6*AK149))+MIN(MAX(0,AP148-(MAX(0,AK121-IF($A149&gt;='1-Input'!$C$12,'1-Input'!$B$12,0))-MIN(MAX(AO148,0),MAX(0,AK121-IF($A149&gt;='1-Input'!$C$12,'1-Input'!$B$12,0))))*(1/(1-'P-Parametri'!$B$6*AK149))),MAX(0,0*AK121-(AO148-MIN(MAX(AO148,0),MAX(0,AK121-IF($A149&gt;='1-Input'!$C$12,'1-Input'!$B$12,0)))))*(1/(1-'P-Parametri'!$B$6*AK149))))</f>
        <v>7030.1362459859583</v>
      </c>
      <c r="AM149" s="18">
        <f>IF($A149&gt;'1-Input'!$B$26,AO148,(AO148-MAX(0,AK121-IF($A149&gt;='1-Input'!$C$12,'1-Input'!$B$12,0))+AL149*(1-'P-Parametri'!$B$6*AK149))*(1+'1-Input'!$B$27))</f>
        <v>-9.0622052084654565E-13</v>
      </c>
      <c r="AN149" s="18">
        <f>IF($A149&gt;'1-Input'!$B$26,AP148,(AP148-AL149)*(1+$B$4))</f>
        <v>117245.55250232894</v>
      </c>
      <c r="AO149" s="18">
        <f>IF($A149&gt;'1-Input'!$B$26,AM149,AM149-'P-Parametri'!$B$8*(AN149+AM149)+MIN(MAX(AN149,0),'P-Parametri'!$B$8*(AN149+AM149)))</f>
        <v>-9.0949470177292824E-13</v>
      </c>
      <c r="AP149" s="18">
        <f>IF($A149&gt;'1-Input'!$B$26,AN149,AN149-MIN(MAX(AN149,0),'P-Parametri'!$B$8*(AN149+AM149)))</f>
        <v>117011.06139732427</v>
      </c>
      <c r="AQ149" s="18">
        <f>IF($A149&gt;'1-Input'!$B$26,AQ148,AQ148-AL149*(1-AK149))</f>
        <v>57722.734431041121</v>
      </c>
    </row>
    <row r="150" spans="1:43">
      <c r="A150" s="10">
        <f>27</f>
        <v>27</v>
      </c>
      <c r="B150" s="11">
        <f>IF($A150&gt;'1-Input'!$B$26,0,IF(G149&lt;=0,0,MAX(0,(G149-H149)/G149)))</f>
        <v>0.50668993391114503</v>
      </c>
      <c r="C150" s="18">
        <f>IF($A150&gt;'1-Input'!$B$26,0,(MAX(0,B121-IF($A150&gt;='1-Input'!$C$12,'1-Input'!$B$12,0))-MIN(MAX(F149,0),MAX(0,B121-IF($A150&gt;='1-Input'!$C$12,'1-Input'!$B$12,0))))*(1/(1-'P-Parametri'!$B$6*B150))+MIN(MAX(0,G149-(MAX(0,B121-IF($A150&gt;='1-Input'!$C$12,'1-Input'!$B$12,0))-MIN(MAX(F149,0),MAX(0,B121-IF($A150&gt;='1-Input'!$C$12,'1-Input'!$B$12,0))))*(1/(1-'P-Parametri'!$B$6*B150))),MAX(0,0*B121-(F149-MIN(MAX(F149,0),MAX(0,B121-IF($A150&gt;='1-Input'!$C$12,'1-Input'!$B$12,0)))))*(1/(1-'P-Parametri'!$B$6*B150))))</f>
        <v>6425.5538074799824</v>
      </c>
      <c r="D150" s="18">
        <f>IF($A150&gt;'1-Input'!$B$26,F149,(F149-MAX(0,B121-IF($A150&gt;='1-Input'!$C$12,'1-Input'!$B$12,0))+C150*(1-'P-Parametri'!$B$6*B150))*(1+'1-Input'!$B$27))</f>
        <v>0</v>
      </c>
      <c r="E150" s="18">
        <f>IF($A150&gt;'1-Input'!$B$26,G149,(G149-C150)*(1+$B$4))</f>
        <v>133098.32487444385</v>
      </c>
      <c r="F150" s="18">
        <f>IF($A150&gt;'1-Input'!$B$26,D150,D150-'P-Parametri'!$B$8*(E150+D150)+MIN(MAX(E150,0),'P-Parametri'!$B$8*(E150+D150)))</f>
        <v>0</v>
      </c>
      <c r="G150" s="18">
        <f>IF($A150&gt;'1-Input'!$B$26,E150,E150-MIN(MAX(E150,0),'P-Parametri'!$B$8*(E150+D150)))</f>
        <v>132832.12822469496</v>
      </c>
      <c r="H150" s="18">
        <f>IF($A150&gt;'1-Input'!$B$26,H149,H149-C150*(1-B150))</f>
        <v>64371.317098164487</v>
      </c>
      <c r="I150" s="11">
        <f>IF($A150&gt;'1-Input'!$B$26,0,IF(N149&lt;=0,0,MAX(0,(N149-O149)/N149)))</f>
        <v>0</v>
      </c>
      <c r="J150" s="18">
        <f>IF($A150&gt;'1-Input'!$B$26,0,(MAX(0,I121-IF($A150&gt;='1-Input'!$C$12,'1-Input'!$B$12,0))-MIN(MAX(M149,0),MAX(0,I121-IF($A150&gt;='1-Input'!$C$12,'1-Input'!$B$12,0))))*(1/(1-'P-Parametri'!$B$6*I150))+MIN(MAX(0,N149-(MAX(0,I121-IF($A150&gt;='1-Input'!$C$12,'1-Input'!$B$12,0))-MIN(MAX(M149,0),MAX(0,I121-IF($A150&gt;='1-Input'!$C$12,'1-Input'!$B$12,0))))*(1/(1-'P-Parametri'!$B$6*I150))),MAX(0,0*I121-(M149-MIN(MAX(M149,0),MAX(0,I121-IF($A150&gt;='1-Input'!$C$12,'1-Input'!$B$12,0)))))*(1/(1-'P-Parametri'!$B$6*I150))))</f>
        <v>10846.756992928691</v>
      </c>
      <c r="K150" s="18">
        <f>IF($A150&gt;'1-Input'!$B$26,M149,(M149-MAX(0,I121-IF($A150&gt;='1-Input'!$C$12,'1-Input'!$B$12,0))+J150*(1-'P-Parametri'!$B$6*I150))*(1+'1-Input'!$B$27))</f>
        <v>0</v>
      </c>
      <c r="L150" s="18">
        <f>IF($A150&gt;'1-Input'!$B$26,N149,(N149-J150)*(1+$B$4))</f>
        <v>-62373.91124775006</v>
      </c>
      <c r="M150" s="18">
        <f>IF($A150&gt;'1-Input'!$B$26,K150,K150-'P-Parametri'!$B$8*(L150+K150)+MIN(MAX(L150,0),'P-Parametri'!$B$8*(L150+K150)))</f>
        <v>0</v>
      </c>
      <c r="N150" s="18">
        <f>IF($A150&gt;'1-Input'!$B$26,L150,L150-MIN(MAX(L150,0),'P-Parametri'!$B$8*(L150+K150)))</f>
        <v>-62249.163425254563</v>
      </c>
      <c r="O150" s="18">
        <f>IF($A150&gt;'1-Input'!$B$26,O149,O149-J150*(1-I150))</f>
        <v>-56667.642685216051</v>
      </c>
      <c r="P150" s="11">
        <f>IF($A150&gt;'1-Input'!$B$26,0,IF(U149&lt;=0,0,MAX(0,(U149-V149)/U149)))</f>
        <v>0.50668993391114481</v>
      </c>
      <c r="Q150" s="18">
        <f>IF($A150&gt;'1-Input'!$B$26,0,(MAX(0,P121-IF($A150&gt;='1-Input'!$C$12,'1-Input'!$B$12,0))-MIN(MAX(T149,0),MAX(0,P121-IF($A150&gt;='1-Input'!$C$12,'1-Input'!$B$12,0))))*(1/(1-'P-Parametri'!$B$6*P150))+MIN(MAX(0,U149-(MAX(0,P121-IF($A150&gt;='1-Input'!$C$12,'1-Input'!$B$12,0))-MIN(MAX(T149,0),MAX(0,P121-IF($A150&gt;='1-Input'!$C$12,'1-Input'!$B$12,0))))*(1/(1-'P-Parametri'!$B$6*P150))),MAX(0,0*P121-(T149-MIN(MAX(T149,0),MAX(0,P121-IF($A150&gt;='1-Input'!$C$12,'1-Input'!$B$12,0)))))*(1/(1-'P-Parametri'!$B$6*P150))))</f>
        <v>7139.7180691058666</v>
      </c>
      <c r="R150" s="18">
        <f>IF($A150&gt;'1-Input'!$B$26,T149,(T149-MAX(0,P121-IF($A150&gt;='1-Input'!$C$12,'1-Input'!$B$12,0))+Q150*(1-'P-Parametri'!$B$6*P150))*(1+'1-Input'!$B$27))</f>
        <v>0</v>
      </c>
      <c r="S150" s="18">
        <f>IF($A150&gt;'1-Input'!$B$26,U149,(U149-Q150)*(1+$B$4))</f>
        <v>109106.82190469775</v>
      </c>
      <c r="T150" s="18">
        <f>IF($A150&gt;'1-Input'!$B$26,R150,R150-'P-Parametri'!$B$8*(S150+R150)+MIN(MAX(S150,0),'P-Parametri'!$B$8*(S150+R150)))</f>
        <v>0</v>
      </c>
      <c r="U150" s="18">
        <f>IF($A150&gt;'1-Input'!$B$26,S150,S150-MIN(MAX(S150,0),'P-Parametri'!$B$8*(S150+R150)))</f>
        <v>108888.60826088834</v>
      </c>
      <c r="V150" s="18">
        <f>IF($A150&gt;'1-Input'!$B$26,V149,V149-Q150*(1-P150))</f>
        <v>52768.130906422935</v>
      </c>
      <c r="W150" s="11">
        <f>IF($A150&gt;'1-Input'!$B$26,0,IF(AB149&lt;=0,0,MAX(0,(AB149-AC149)/AB149)))</f>
        <v>0.50668993391114492</v>
      </c>
      <c r="X150" s="18">
        <f>IF($A150&gt;'1-Input'!$B$26,0,(MAX(0,W121-IF($A150&gt;='1-Input'!$C$12,'1-Input'!$B$12,0))-MIN(MAX(AA149,0),MAX(0,W121-IF($A150&gt;='1-Input'!$C$12,'1-Input'!$B$12,0))))*(1/(1-'P-Parametri'!$B$6*W150))+MIN(MAX(0,AB149-(MAX(0,W121-IF($A150&gt;='1-Input'!$C$12,'1-Input'!$B$12,0))-MIN(MAX(AA149,0),MAX(0,W121-IF($A150&gt;='1-Input'!$C$12,'1-Input'!$B$12,0))))*(1/(1-'P-Parametri'!$B$6*W150))),MAX(0,0*W121-(AA149-MIN(MAX(AA149,0),MAX(0,W121-IF($A150&gt;='1-Input'!$C$12,'1-Input'!$B$12,0)))))*(1/(1-'P-Parametri'!$B$6*W150))))</f>
        <v>7033.4523522576865</v>
      </c>
      <c r="Y150" s="18">
        <f>IF($A150&gt;'1-Input'!$B$26,AA149,(AA149-MAX(0,W121-IF($A150&gt;='1-Input'!$C$12,'1-Input'!$B$12,0))+X150*(1-'P-Parametri'!$B$6*W150))*(1+'1-Input'!$B$27))</f>
        <v>0</v>
      </c>
      <c r="Z150" s="18">
        <f>IF($A150&gt;'1-Input'!$B$26,AB149,(AB149-X150)*(1+$B$4))</f>
        <v>112676.69286903462</v>
      </c>
      <c r="AA150" s="18">
        <f>IF($A150&gt;'1-Input'!$B$26,Y150,Y150-'P-Parametri'!$B$8*(Z150+Y150)+MIN(MAX(Z150,0),'P-Parametri'!$B$8*(Z150+Y150)))</f>
        <v>0</v>
      </c>
      <c r="AB150" s="18">
        <f>IF($A150&gt;'1-Input'!$B$26,Z150,Z150-MIN(MAX(Z150,0),'P-Parametri'!$B$8*(Z150+Y150)))</f>
        <v>112451.33948329656</v>
      </c>
      <c r="AC150" s="18">
        <f>IF($A150&gt;'1-Input'!$B$26,AC149,AC149-X150*(1-W150))</f>
        <v>54494.653731271668</v>
      </c>
      <c r="AD150" s="11">
        <f>IF($A150&gt;'1-Input'!$B$26,0,IF(AI149&lt;=0,0,MAX(0,(AI149-AJ149)/AI149)))</f>
        <v>0.50668993391114492</v>
      </c>
      <c r="AE150" s="18">
        <f>IF($A150&gt;'1-Input'!$B$26,0,(MAX(0,AD121-IF($A150&gt;='1-Input'!$C$12,'1-Input'!$B$12,0))-MIN(MAX(AH149,0),MAX(0,AD121-IF($A150&gt;='1-Input'!$C$12,'1-Input'!$B$12,0))))*(1/(1-'P-Parametri'!$B$6*AD150))+MIN(MAX(0,AI149-(MAX(0,AD121-IF($A150&gt;='1-Input'!$C$12,'1-Input'!$B$12,0))-MIN(MAX(AH149,0),MAX(0,AD121-IF($A150&gt;='1-Input'!$C$12,'1-Input'!$B$12,0))))*(1/(1-'P-Parametri'!$B$6*AD150))),MAX(0,0*AD121-(AH149-MIN(MAX(AH149,0),MAX(0,AD121-IF($A150&gt;='1-Input'!$C$12,'1-Input'!$B$12,0)))))*(1/(1-'P-Parametri'!$B$6*AD150))))</f>
        <v>7048.7877259024799</v>
      </c>
      <c r="AF150" s="18">
        <f>IF($A150&gt;'1-Input'!$B$26,AH149,(AH149-MAX(0,AD121-IF($A150&gt;='1-Input'!$C$12,'1-Input'!$B$12,0))+AE150*(1-'P-Parametri'!$B$6*AD150))*(1+'1-Input'!$B$27))</f>
        <v>0</v>
      </c>
      <c r="AG150" s="18">
        <f>IF($A150&gt;'1-Input'!$B$26,AI149,(AI149-AE150)*(1+$B$4))</f>
        <v>112161.51914485023</v>
      </c>
      <c r="AH150" s="18">
        <f>IF($A150&gt;'1-Input'!$B$26,AF150,AF150-'P-Parametri'!$B$8*(AG150+AF150)+MIN(MAX(AG150,0),'P-Parametri'!$B$8*(AG150+AF150)))</f>
        <v>0</v>
      </c>
      <c r="AI150" s="18">
        <f>IF($A150&gt;'1-Input'!$B$26,AG150,AG150-MIN(MAX(AG150,0),'P-Parametri'!$B$8*(AG150+AF150)))</f>
        <v>111937.19610656053</v>
      </c>
      <c r="AJ150" s="18">
        <f>IF($A150&gt;'1-Input'!$B$26,AJ149,AJ149-AE150*(1-AD150))</f>
        <v>54245.49649212986</v>
      </c>
      <c r="AK150" s="11">
        <f>IF($A150&gt;'1-Input'!$B$26,0,IF(AP149&lt;=0,0,MAX(0,(AP149-AQ149)/AP149)))</f>
        <v>0.50668993391114492</v>
      </c>
      <c r="AL150" s="18">
        <f>IF($A150&gt;'1-Input'!$B$26,0,(MAX(0,AK121-IF($A150&gt;='1-Input'!$C$12,'1-Input'!$B$12,0))-MIN(MAX(AO149,0),MAX(0,AK121-IF($A150&gt;='1-Input'!$C$12,'1-Input'!$B$12,0))))*(1/(1-'P-Parametri'!$B$6*AK150))+MIN(MAX(0,AP149-(MAX(0,AK121-IF($A150&gt;='1-Input'!$C$12,'1-Input'!$B$12,0))-MIN(MAX(AO149,0),MAX(0,AK121-IF($A150&gt;='1-Input'!$C$12,'1-Input'!$B$12,0))))*(1/(1-'P-Parametri'!$B$6*AK150))),MAX(0,0*AK121-(AO149-MIN(MAX(AO149,0),MAX(0,AK121-IF($A150&gt;='1-Input'!$C$12,'1-Input'!$B$12,0)))))*(1/(1-'P-Parametri'!$B$6*AK150))))</f>
        <v>7048.7877259024799</v>
      </c>
      <c r="AM150" s="18">
        <f>IF($A150&gt;'1-Input'!$B$26,AO149,(AO149-MAX(0,AK121-IF($A150&gt;='1-Input'!$C$12,'1-Input'!$B$12,0))+AL150*(1-'P-Parametri'!$B$6*AK150))*(1+'1-Input'!$B$27))</f>
        <v>0</v>
      </c>
      <c r="AN150" s="18">
        <f>IF($A150&gt;'1-Input'!$B$26,AP149,(AP149-AL150)*(1+$B$4))</f>
        <v>112161.51914485023</v>
      </c>
      <c r="AO150" s="18">
        <f>IF($A150&gt;'1-Input'!$B$26,AM150,AM150-'P-Parametri'!$B$8*(AN150+AM150)+MIN(MAX(AN150,0),'P-Parametri'!$B$8*(AN150+AM150)))</f>
        <v>0</v>
      </c>
      <c r="AP150" s="18">
        <f>IF($A150&gt;'1-Input'!$B$26,AN150,AN150-MIN(MAX(AN150,0),'P-Parametri'!$B$8*(AN150+AM150)))</f>
        <v>111937.19610656053</v>
      </c>
      <c r="AQ150" s="18">
        <f>IF($A150&gt;'1-Input'!$B$26,AQ149,AQ149-AL150*(1-AK150))</f>
        <v>54245.49649212986</v>
      </c>
    </row>
    <row r="151" spans="1:43">
      <c r="A151" s="10">
        <f>28</f>
        <v>28</v>
      </c>
      <c r="B151" s="11">
        <f>IF($A151&gt;'1-Input'!$B$26,0,IF(G150&lt;=0,0,MAX(0,(G150-H150)/G150)))</f>
        <v>0.51539346723952317</v>
      </c>
      <c r="C151" s="18">
        <f>IF($A151&gt;'1-Input'!$B$26,0,(MAX(0,B121-IF($A151&gt;='1-Input'!$C$12,'1-Input'!$B$12,0))-MIN(MAX(F150,0),MAX(0,B121-IF($A151&gt;='1-Input'!$C$12,'1-Input'!$B$12,0))))*(1/(1-'P-Parametri'!$B$6*B151))+MIN(MAX(0,G150-(MAX(0,B121-IF($A151&gt;='1-Input'!$C$12,'1-Input'!$B$12,0))-MIN(MAX(F150,0),MAX(0,B121-IF($A151&gt;='1-Input'!$C$12,'1-Input'!$B$12,0))))*(1/(1-'P-Parametri'!$B$6*B151))),MAX(0,0*B121-(F150-MIN(MAX(F150,0),MAX(0,B121-IF($A151&gt;='1-Input'!$C$12,'1-Input'!$B$12,0)))))*(1/(1-'P-Parametri'!$B$6*B151))))</f>
        <v>6442.3442743267497</v>
      </c>
      <c r="D151" s="18">
        <f>IF($A151&gt;'1-Input'!$B$26,F150,(F150-MAX(0,B121-IF($A151&gt;='1-Input'!$C$12,'1-Input'!$B$12,0))+C151*(1-'P-Parametri'!$B$6*B151))*(1+'1-Input'!$B$27))</f>
        <v>-9.0622052084654565E-13</v>
      </c>
      <c r="E151" s="18">
        <f>IF($A151&gt;'1-Input'!$B$26,G150,(G150-C151)*(1+$B$4))</f>
        <v>128917.57962937557</v>
      </c>
      <c r="F151" s="18">
        <f>IF($A151&gt;'1-Input'!$B$26,D151,D151-'P-Parametri'!$B$8*(E151+D151)+MIN(MAX(E151,0),'P-Parametri'!$B$8*(E151+D151)))</f>
        <v>-9.0949470177292824E-13</v>
      </c>
      <c r="G151" s="18">
        <f>IF($A151&gt;'1-Input'!$B$26,E151,E151-MIN(MAX(E151,0),'P-Parametri'!$B$8*(E151+D151)))</f>
        <v>128659.74447011681</v>
      </c>
      <c r="H151" s="18">
        <f>IF($A151&gt;'1-Input'!$B$26,H150,H150-C151*(1-B151))</f>
        <v>61249.314976533693</v>
      </c>
      <c r="I151" s="11">
        <f>IF($A151&gt;'1-Input'!$B$26,0,IF(N150&lt;=0,0,MAX(0,(N150-O150)/N150)))</f>
        <v>0</v>
      </c>
      <c r="J151" s="18">
        <f>IF($A151&gt;'1-Input'!$B$26,0,(MAX(0,I121-IF($A151&gt;='1-Input'!$C$12,'1-Input'!$B$12,0))-MIN(MAX(M150,0),MAX(0,I121-IF($A151&gt;='1-Input'!$C$12,'1-Input'!$B$12,0))))*(1/(1-'P-Parametri'!$B$6*I151))+MIN(MAX(0,N150-(MAX(0,I121-IF($A151&gt;='1-Input'!$C$12,'1-Input'!$B$12,0))-MIN(MAX(M150,0),MAX(0,I121-IF($A151&gt;='1-Input'!$C$12,'1-Input'!$B$12,0))))*(1/(1-'P-Parametri'!$B$6*I151))),MAX(0,0*I121-(M150-MIN(MAX(M150,0),MAX(0,I121-IF($A151&gt;='1-Input'!$C$12,'1-Input'!$B$12,0)))))*(1/(1-'P-Parametri'!$B$6*I151))))</f>
        <v>10846.756992928691</v>
      </c>
      <c r="K151" s="18">
        <f>IF($A151&gt;'1-Input'!$B$26,M150,(M150-MAX(0,I121-IF($A151&gt;='1-Input'!$C$12,'1-Input'!$B$12,0))+J151*(1-'P-Parametri'!$B$6*I151))*(1+'1-Input'!$B$27))</f>
        <v>0</v>
      </c>
      <c r="L151" s="18">
        <f>IF($A151&gt;'1-Input'!$B$26,N150,(N150-J151)*(1+$B$4))</f>
        <v>-74557.838826546926</v>
      </c>
      <c r="M151" s="18">
        <f>IF($A151&gt;'1-Input'!$B$26,K151,K151-'P-Parametri'!$B$8*(L151+K151)+MIN(MAX(L151,0),'P-Parametri'!$B$8*(L151+K151)))</f>
        <v>0</v>
      </c>
      <c r="N151" s="18">
        <f>IF($A151&gt;'1-Input'!$B$26,L151,L151-MIN(MAX(L151,0),'P-Parametri'!$B$8*(L151+K151)))</f>
        <v>-74408.723148893827</v>
      </c>
      <c r="O151" s="18">
        <f>IF($A151&gt;'1-Input'!$B$26,O150,O150-J151*(1-I151))</f>
        <v>-67514.399678144749</v>
      </c>
      <c r="P151" s="11">
        <f>IF($A151&gt;'1-Input'!$B$26,0,IF(U150&lt;=0,0,MAX(0,(U150-V150)/U150)))</f>
        <v>0.51539346723952295</v>
      </c>
      <c r="Q151" s="18">
        <f>IF($A151&gt;'1-Input'!$B$26,0,(MAX(0,P121-IF($A151&gt;='1-Input'!$C$12,'1-Input'!$B$12,0))-MIN(MAX(T150,0),MAX(0,P121-IF($A151&gt;='1-Input'!$C$12,'1-Input'!$B$12,0))))*(1/(1-'P-Parametri'!$B$6*P151))+MIN(MAX(0,U150-(MAX(0,P121-IF($A151&gt;='1-Input'!$C$12,'1-Input'!$B$12,0))-MIN(MAX(T150,0),MAX(0,P121-IF($A151&gt;='1-Input'!$C$12,'1-Input'!$B$12,0))))*(1/(1-'P-Parametri'!$B$6*P151))),MAX(0,0*P121-(T150-MIN(MAX(T150,0),MAX(0,P121-IF($A151&gt;='1-Input'!$C$12,'1-Input'!$B$12,0)))))*(1/(1-'P-Parametri'!$B$6*P151))))</f>
        <v>7158.3747021567078</v>
      </c>
      <c r="R151" s="18">
        <f>IF($A151&gt;'1-Input'!$B$26,T150,(T150-MAX(0,P121-IF($A151&gt;='1-Input'!$C$12,'1-Input'!$B$12,0))+Q151*(1-'P-Parametri'!$B$6*P151))*(1+'1-Input'!$B$27))</f>
        <v>0</v>
      </c>
      <c r="S151" s="18">
        <f>IF($A151&gt;'1-Input'!$B$26,U150,(U150-Q151)*(1+$B$4))</f>
        <v>103764.83822990627</v>
      </c>
      <c r="T151" s="18">
        <f>IF($A151&gt;'1-Input'!$B$26,R151,R151-'P-Parametri'!$B$8*(S151+R151)+MIN(MAX(S151,0),'P-Parametri'!$B$8*(S151+R151)))</f>
        <v>0</v>
      </c>
      <c r="U151" s="18">
        <f>IF($A151&gt;'1-Input'!$B$26,S151,S151-MIN(MAX(S151,0),'P-Parametri'!$B$8*(S151+R151)))</f>
        <v>103557.30855344645</v>
      </c>
      <c r="V151" s="18">
        <f>IF($A151&gt;'1-Input'!$B$26,V150,V150-Q151*(1-P151))</f>
        <v>49299.135761810459</v>
      </c>
      <c r="W151" s="11">
        <f>IF($A151&gt;'1-Input'!$B$26,0,IF(AB150&lt;=0,0,MAX(0,(AB150-AC150)/AB150)))</f>
        <v>0.51539346723952306</v>
      </c>
      <c r="X151" s="18">
        <f>IF($A151&gt;'1-Input'!$B$26,0,(MAX(0,W121-IF($A151&gt;='1-Input'!$C$12,'1-Input'!$B$12,0))-MIN(MAX(AA150,0),MAX(0,W121-IF($A151&gt;='1-Input'!$C$12,'1-Input'!$B$12,0))))*(1/(1-'P-Parametri'!$B$6*W151))+MIN(MAX(0,AB150-(MAX(0,W121-IF($A151&gt;='1-Input'!$C$12,'1-Input'!$B$12,0))-MIN(MAX(AA150,0),MAX(0,W121-IF($A151&gt;='1-Input'!$C$12,'1-Input'!$B$12,0))))*(1/(1-'P-Parametri'!$B$6*W151))),MAX(0,0*W121-(AA150-MIN(MAX(AA150,0),MAX(0,W121-IF($A151&gt;='1-Input'!$C$12,'1-Input'!$B$12,0)))))*(1/(1-'P-Parametri'!$B$6*W151))))</f>
        <v>7051.8313048082709</v>
      </c>
      <c r="Y151" s="18">
        <f>IF($A151&gt;'1-Input'!$B$26,AA150,(AA150-MAX(0,W121-IF($A151&gt;='1-Input'!$C$12,'1-Input'!$B$12,0))+X151*(1-'P-Parametri'!$B$6*W151))*(1+'1-Input'!$B$27))</f>
        <v>0</v>
      </c>
      <c r="Z151" s="18">
        <f>IF($A151&gt;'1-Input'!$B$26,AB150,(AB150-X151)*(1+$B$4))</f>
        <v>107507.49834205805</v>
      </c>
      <c r="AA151" s="18">
        <f>IF($A151&gt;'1-Input'!$B$26,Y151,Y151-'P-Parametri'!$B$8*(Z151+Y151)+MIN(MAX(Z151,0),'P-Parametri'!$B$8*(Z151+Y151)))</f>
        <v>0</v>
      </c>
      <c r="AB151" s="18">
        <f>IF($A151&gt;'1-Input'!$B$26,Z151,Z151-MIN(MAX(Z151,0),'P-Parametri'!$B$8*(Z151+Y151)))</f>
        <v>107292.48334537394</v>
      </c>
      <c r="AC151" s="18">
        <f>IF($A151&gt;'1-Input'!$B$26,AC150,AC150-X151*(1-W151))</f>
        <v>51077.290213036744</v>
      </c>
      <c r="AD151" s="11">
        <f>IF($A151&gt;'1-Input'!$B$26,0,IF(AI150&lt;=0,0,MAX(0,(AI150-AJ150)/AI150)))</f>
        <v>0.51539346723952306</v>
      </c>
      <c r="AE151" s="18">
        <f>IF($A151&gt;'1-Input'!$B$26,0,(MAX(0,AD121-IF($A151&gt;='1-Input'!$C$12,'1-Input'!$B$12,0))-MIN(MAX(AH150,0),MAX(0,AD121-IF($A151&gt;='1-Input'!$C$12,'1-Input'!$B$12,0))))*(1/(1-'P-Parametri'!$B$6*AD151))+MIN(MAX(0,AI150-(MAX(0,AD121-IF($A151&gt;='1-Input'!$C$12,'1-Input'!$B$12,0))-MIN(MAX(AH150,0),MAX(0,AD121-IF($A151&gt;='1-Input'!$C$12,'1-Input'!$B$12,0))))*(1/(1-'P-Parametri'!$B$6*AD151))),MAX(0,0*AD121-(AH150-MIN(MAX(AH150,0),MAX(0,AD121-IF($A151&gt;='1-Input'!$C$12,'1-Input'!$B$12,0)))))*(1/(1-'P-Parametri'!$B$6*AD151))))</f>
        <v>7067.2067509651743</v>
      </c>
      <c r="AF151" s="18">
        <f>IF($A151&gt;'1-Input'!$B$26,AH150,(AH150-MAX(0,AD121-IF($A151&gt;='1-Input'!$C$12,'1-Input'!$B$12,0))+AE151*(1-'P-Parametri'!$B$6*AD151))*(1+'1-Input'!$B$27))</f>
        <v>0</v>
      </c>
      <c r="AG151" s="18">
        <f>IF($A151&gt;'1-Input'!$B$26,AI150,(AI150-AE151)*(1+$B$4))</f>
        <v>106967.38914270727</v>
      </c>
      <c r="AH151" s="18">
        <f>IF($A151&gt;'1-Input'!$B$26,AF151,AF151-'P-Parametri'!$B$8*(AG151+AF151)+MIN(MAX(AG151,0),'P-Parametri'!$B$8*(AG151+AF151)))</f>
        <v>0</v>
      </c>
      <c r="AI151" s="18">
        <f>IF($A151&gt;'1-Input'!$B$26,AG151,AG151-MIN(MAX(AG151,0),'P-Parametri'!$B$8*(AG151+AF151)))</f>
        <v>106753.45436442185</v>
      </c>
      <c r="AJ151" s="18">
        <f>IF($A151&gt;'1-Input'!$B$26,AJ150,AJ150-AE151*(1-AD151))</f>
        <v>50820.681932243191</v>
      </c>
      <c r="AK151" s="11">
        <f>IF($A151&gt;'1-Input'!$B$26,0,IF(AP150&lt;=0,0,MAX(0,(AP150-AQ150)/AP150)))</f>
        <v>0.51539346723952306</v>
      </c>
      <c r="AL151" s="18">
        <f>IF($A151&gt;'1-Input'!$B$26,0,(MAX(0,AK121-IF($A151&gt;='1-Input'!$C$12,'1-Input'!$B$12,0))-MIN(MAX(AO150,0),MAX(0,AK121-IF($A151&gt;='1-Input'!$C$12,'1-Input'!$B$12,0))))*(1/(1-'P-Parametri'!$B$6*AK151))+MIN(MAX(0,AP150-(MAX(0,AK121-IF($A151&gt;='1-Input'!$C$12,'1-Input'!$B$12,0))-MIN(MAX(AO150,0),MAX(0,AK121-IF($A151&gt;='1-Input'!$C$12,'1-Input'!$B$12,0))))*(1/(1-'P-Parametri'!$B$6*AK151))),MAX(0,0*AK121-(AO150-MIN(MAX(AO150,0),MAX(0,AK121-IF($A151&gt;='1-Input'!$C$12,'1-Input'!$B$12,0)))))*(1/(1-'P-Parametri'!$B$6*AK151))))</f>
        <v>7067.2067509651743</v>
      </c>
      <c r="AM151" s="18">
        <f>IF($A151&gt;'1-Input'!$B$26,AO150,(AO150-MAX(0,AK121-IF($A151&gt;='1-Input'!$C$12,'1-Input'!$B$12,0))+AL151*(1-'P-Parametri'!$B$6*AK151))*(1+'1-Input'!$B$27))</f>
        <v>0</v>
      </c>
      <c r="AN151" s="18">
        <f>IF($A151&gt;'1-Input'!$B$26,AP150,(AP150-AL151)*(1+$B$4))</f>
        <v>106967.38914270727</v>
      </c>
      <c r="AO151" s="18">
        <f>IF($A151&gt;'1-Input'!$B$26,AM151,AM151-'P-Parametri'!$B$8*(AN151+AM151)+MIN(MAX(AN151,0),'P-Parametri'!$B$8*(AN151+AM151)))</f>
        <v>0</v>
      </c>
      <c r="AP151" s="18">
        <f>IF($A151&gt;'1-Input'!$B$26,AN151,AN151-MIN(MAX(AN151,0),'P-Parametri'!$B$8*(AN151+AM151)))</f>
        <v>106753.45436442185</v>
      </c>
      <c r="AQ151" s="18">
        <f>IF($A151&gt;'1-Input'!$B$26,AQ150,AQ150-AL151*(1-AK151))</f>
        <v>50820.681932243191</v>
      </c>
    </row>
    <row r="152" spans="1:43">
      <c r="A152" s="10">
        <f>29</f>
        <v>29</v>
      </c>
      <c r="B152" s="11">
        <f>IF($A152&gt;'1-Input'!$B$26,0,IF(G151&lt;=0,0,MAX(0,(G151-H151)/G151)))</f>
        <v>0.52394344300318607</v>
      </c>
      <c r="C152" s="18">
        <f>IF($A152&gt;'1-Input'!$B$26,0,(MAX(0,B121-IF($A152&gt;='1-Input'!$C$12,'1-Input'!$B$12,0))-MIN(MAX(F151,0),MAX(0,B121-IF($A152&gt;='1-Input'!$C$12,'1-Input'!$B$12,0))))*(1/(1-'P-Parametri'!$B$6*B152))+MIN(MAX(0,G151-(MAX(0,B121-IF($A152&gt;='1-Input'!$C$12,'1-Input'!$B$12,0))-MIN(MAX(F151,0),MAX(0,B121-IF($A152&gt;='1-Input'!$C$12,'1-Input'!$B$12,0))))*(1/(1-'P-Parametri'!$B$6*B152))),MAX(0,0*B121-(F151-MIN(MAX(F151,0),MAX(0,B121-IF($A152&gt;='1-Input'!$C$12,'1-Input'!$B$12,0)))))*(1/(1-'P-Parametri'!$B$6*B152))))</f>
        <v>6458.9241656408076</v>
      </c>
      <c r="D152" s="18">
        <f>IF($A152&gt;'1-Input'!$B$26,F151,(F151-MAX(0,B121-IF($A152&gt;='1-Input'!$C$12,'1-Input'!$B$12,0))+C152*(1-'P-Parametri'!$B$6*B152))*(1+'1-Input'!$B$27))</f>
        <v>-9.0622052084654565E-13</v>
      </c>
      <c r="E152" s="18">
        <f>IF($A152&gt;'1-Input'!$B$26,G151,(G151-C152)*(1+$B$4))</f>
        <v>124644.83671056552</v>
      </c>
      <c r="F152" s="18">
        <f>IF($A152&gt;'1-Input'!$B$26,D152,D152-'P-Parametri'!$B$8*(E152+D152)+MIN(MAX(E152,0),'P-Parametri'!$B$8*(E152+D152)))</f>
        <v>-9.0949470177292824E-13</v>
      </c>
      <c r="G152" s="18">
        <f>IF($A152&gt;'1-Input'!$B$26,E152,E152-MIN(MAX(E152,0),'P-Parametri'!$B$8*(E152+D152)))</f>
        <v>124395.5470371444</v>
      </c>
      <c r="H152" s="18">
        <f>IF($A152&gt;'1-Input'!$B$26,H151,H151-C152*(1-B152))</f>
        <v>58174.501776335208</v>
      </c>
      <c r="I152" s="11">
        <f>IF($A152&gt;'1-Input'!$B$26,0,IF(N151&lt;=0,0,MAX(0,(N151-O151)/N151)))</f>
        <v>0</v>
      </c>
      <c r="J152" s="18">
        <f>IF($A152&gt;'1-Input'!$B$26,0,(MAX(0,I121-IF($A152&gt;='1-Input'!$C$12,'1-Input'!$B$12,0))-MIN(MAX(M151,0),MAX(0,I121-IF($A152&gt;='1-Input'!$C$12,'1-Input'!$B$12,0))))*(1/(1-'P-Parametri'!$B$6*I152))+MIN(MAX(0,N151-(MAX(0,I121-IF($A152&gt;='1-Input'!$C$12,'1-Input'!$B$12,0))-MIN(MAX(M151,0),MAX(0,I121-IF($A152&gt;='1-Input'!$C$12,'1-Input'!$B$12,0))))*(1/(1-'P-Parametri'!$B$6*I152))),MAX(0,0*I121-(M151-MIN(MAX(M151,0),MAX(0,I121-IF($A152&gt;='1-Input'!$C$12,'1-Input'!$B$12,0)))))*(1/(1-'P-Parametri'!$B$6*I152))))</f>
        <v>10846.756992928691</v>
      </c>
      <c r="K152" s="18">
        <f>IF($A152&gt;'1-Input'!$B$26,M151,(M151-MAX(0,I121-IF($A152&gt;='1-Input'!$C$12,'1-Input'!$B$12,0))+J152*(1-'P-Parametri'!$B$6*I152))*(1+'1-Input'!$B$27))</f>
        <v>0</v>
      </c>
      <c r="L152" s="18">
        <f>IF($A152&gt;'1-Input'!$B$26,N151,(N151-J152)*(1+$B$4))</f>
        <v>-86960.589744658966</v>
      </c>
      <c r="M152" s="18">
        <f>IF($A152&gt;'1-Input'!$B$26,K152,K152-'P-Parametri'!$B$8*(L152+K152)+MIN(MAX(L152,0),'P-Parametri'!$B$8*(L152+K152)))</f>
        <v>0</v>
      </c>
      <c r="N152" s="18">
        <f>IF($A152&gt;'1-Input'!$B$26,L152,L152-MIN(MAX(L152,0),'P-Parametri'!$B$8*(L152+K152)))</f>
        <v>-86786.668565169646</v>
      </c>
      <c r="O152" s="18">
        <f>IF($A152&gt;'1-Input'!$B$26,O151,O151-J152*(1-I152))</f>
        <v>-78361.156671073433</v>
      </c>
      <c r="P152" s="11">
        <f>IF($A152&gt;'1-Input'!$B$26,0,IF(U151&lt;=0,0,MAX(0,(U151-V151)/U151)))</f>
        <v>0.52394344300318574</v>
      </c>
      <c r="Q152" s="18">
        <f>IF($A152&gt;'1-Input'!$B$26,0,(MAX(0,P121-IF($A152&gt;='1-Input'!$C$12,'1-Input'!$B$12,0))-MIN(MAX(T151,0),MAX(0,P121-IF($A152&gt;='1-Input'!$C$12,'1-Input'!$B$12,0))))*(1/(1-'P-Parametri'!$B$6*P152))+MIN(MAX(0,U151-(MAX(0,P121-IF($A152&gt;='1-Input'!$C$12,'1-Input'!$B$12,0))-MIN(MAX(T151,0),MAX(0,P121-IF($A152&gt;='1-Input'!$C$12,'1-Input'!$B$12,0))))*(1/(1-'P-Parametri'!$B$6*P152))),MAX(0,0*P121-(T151-MIN(MAX(T151,0),MAX(0,P121-IF($A152&gt;='1-Input'!$C$12,'1-Input'!$B$12,0)))))*(1/(1-'P-Parametri'!$B$6*P152))))</f>
        <v>7176.7973553855973</v>
      </c>
      <c r="R152" s="18">
        <f>IF($A152&gt;'1-Input'!$B$26,T151,(T151-MAX(0,P121-IF($A152&gt;='1-Input'!$C$12,'1-Input'!$B$12,0))+Q152*(1-'P-Parametri'!$B$6*P152))*(1+'1-Input'!$B$27))</f>
        <v>-9.0622052084654565E-13</v>
      </c>
      <c r="S152" s="18">
        <f>IF($A152&gt;'1-Input'!$B$26,U151,(U151-Q152)*(1+$B$4))</f>
        <v>98308.121422022072</v>
      </c>
      <c r="T152" s="18">
        <f>IF($A152&gt;'1-Input'!$B$26,R152,R152-'P-Parametri'!$B$8*(S152+R152)+MIN(MAX(S152,0),'P-Parametri'!$B$8*(S152+R152)))</f>
        <v>-9.0949470177292824E-13</v>
      </c>
      <c r="U152" s="18">
        <f>IF($A152&gt;'1-Input'!$B$26,S152,S152-MIN(MAX(S152,0),'P-Parametri'!$B$8*(S152+R152)))</f>
        <v>98111.505179178028</v>
      </c>
      <c r="V152" s="18">
        <f>IF($A152&gt;'1-Input'!$B$26,V151,V151-Q152*(1-P152))</f>
        <v>45882.574322541754</v>
      </c>
      <c r="W152" s="11">
        <f>IF($A152&gt;'1-Input'!$B$26,0,IF(AB151&lt;=0,0,MAX(0,(AB151-AC151)/AB151)))</f>
        <v>0.52394344300318585</v>
      </c>
      <c r="X152" s="18">
        <f>IF($A152&gt;'1-Input'!$B$26,0,(MAX(0,W121-IF($A152&gt;='1-Input'!$C$12,'1-Input'!$B$12,0))-MIN(MAX(AA151,0),MAX(0,W121-IF($A152&gt;='1-Input'!$C$12,'1-Input'!$B$12,0))))*(1/(1-'P-Parametri'!$B$6*W152))+MIN(MAX(0,AB151-(MAX(0,W121-IF($A152&gt;='1-Input'!$C$12,'1-Input'!$B$12,0))-MIN(MAX(AA151,0),MAX(0,W121-IF($A152&gt;='1-Input'!$C$12,'1-Input'!$B$12,0))))*(1/(1-'P-Parametri'!$B$6*W152))),MAX(0,0*W121-(AA151-MIN(MAX(AA151,0),MAX(0,W121-IF($A152&gt;='1-Input'!$C$12,'1-Input'!$B$12,0)))))*(1/(1-'P-Parametri'!$B$6*W152))))</f>
        <v>7069.979760032048</v>
      </c>
      <c r="Y152" s="18">
        <f>IF($A152&gt;'1-Input'!$B$26,AA151,(AA151-MAX(0,W121-IF($A152&gt;='1-Input'!$C$12,'1-Input'!$B$12,0))+X152*(1-'P-Parametri'!$B$6*W152))*(1+'1-Input'!$B$27))</f>
        <v>-9.0622052084654565E-13</v>
      </c>
      <c r="Z152" s="18">
        <f>IF($A152&gt;'1-Input'!$B$26,AB151,(AB151-X152)*(1+$B$4))</f>
        <v>102226.95365704874</v>
      </c>
      <c r="AA152" s="18">
        <f>IF($A152&gt;'1-Input'!$B$26,Y152,Y152-'P-Parametri'!$B$8*(Z152+Y152)+MIN(MAX(Z152,0),'P-Parametri'!$B$8*(Z152+Y152)))</f>
        <v>-9.0949470177292824E-13</v>
      </c>
      <c r="AB152" s="18">
        <f>IF($A152&gt;'1-Input'!$B$26,Z152,Z152-MIN(MAX(Z152,0),'P-Parametri'!$B$8*(Z152+Y152)))</f>
        <v>102022.49974973465</v>
      </c>
      <c r="AC152" s="18">
        <f>IF($A152&gt;'1-Input'!$B$26,AC151,AC151-X152*(1-W152))</f>
        <v>47711.579990438724</v>
      </c>
      <c r="AD152" s="11">
        <f>IF($A152&gt;'1-Input'!$B$26,0,IF(AI151&lt;=0,0,MAX(0,(AI151-AJ151)/AI151)))</f>
        <v>0.52394344300318585</v>
      </c>
      <c r="AE152" s="18">
        <f>IF($A152&gt;'1-Input'!$B$26,0,(MAX(0,AD121-IF($A152&gt;='1-Input'!$C$12,'1-Input'!$B$12,0))-MIN(MAX(AH151,0),MAX(0,AD121-IF($A152&gt;='1-Input'!$C$12,'1-Input'!$B$12,0))))*(1/(1-'P-Parametri'!$B$6*AD152))+MIN(MAX(0,AI151-(MAX(0,AD121-IF($A152&gt;='1-Input'!$C$12,'1-Input'!$B$12,0))-MIN(MAX(AH151,0),MAX(0,AD121-IF($A152&gt;='1-Input'!$C$12,'1-Input'!$B$12,0))))*(1/(1-'P-Parametri'!$B$6*AD152))),MAX(0,0*AD121-(AH151-MIN(MAX(AH151,0),MAX(0,AD121-IF($A152&gt;='1-Input'!$C$12,'1-Input'!$B$12,0)))))*(1/(1-'P-Parametri'!$B$6*AD152))))</f>
        <v>7085.3947761366799</v>
      </c>
      <c r="AF152" s="18">
        <f>IF($A152&gt;'1-Input'!$B$26,AH151,(AH151-MAX(0,AD121-IF($A152&gt;='1-Input'!$C$12,'1-Input'!$B$12,0))+AE152*(1-'P-Parametri'!$B$6*AD152))*(1+'1-Input'!$B$27))</f>
        <v>-9.0622052084654565E-13</v>
      </c>
      <c r="AG152" s="18">
        <f>IF($A152&gt;'1-Input'!$B$26,AI151,(AI151-AE152)*(1+$B$4))</f>
        <v>101661.42078005087</v>
      </c>
      <c r="AH152" s="18">
        <f>IF($A152&gt;'1-Input'!$B$26,AF152,AF152-'P-Parametri'!$B$8*(AG152+AF152)+MIN(MAX(AG152,0),'P-Parametri'!$B$8*(AG152+AF152)))</f>
        <v>-9.0949470177292824E-13</v>
      </c>
      <c r="AI152" s="18">
        <f>IF($A152&gt;'1-Input'!$B$26,AG152,AG152-MIN(MAX(AG152,0),'P-Parametri'!$B$8*(AG152+AF152)))</f>
        <v>101458.09793849077</v>
      </c>
      <c r="AJ152" s="18">
        <f>IF($A152&gt;'1-Input'!$B$26,AJ151,AJ151-AE152*(1-AD152))</f>
        <v>47447.633290152349</v>
      </c>
      <c r="AK152" s="11">
        <f>IF($A152&gt;'1-Input'!$B$26,0,IF(AP151&lt;=0,0,MAX(0,(AP151-AQ151)/AP151)))</f>
        <v>0.52394344300318585</v>
      </c>
      <c r="AL152" s="18">
        <f>IF($A152&gt;'1-Input'!$B$26,0,(MAX(0,AK121-IF($A152&gt;='1-Input'!$C$12,'1-Input'!$B$12,0))-MIN(MAX(AO151,0),MAX(0,AK121-IF($A152&gt;='1-Input'!$C$12,'1-Input'!$B$12,0))))*(1/(1-'P-Parametri'!$B$6*AK152))+MIN(MAX(0,AP151-(MAX(0,AK121-IF($A152&gt;='1-Input'!$C$12,'1-Input'!$B$12,0))-MIN(MAX(AO151,0),MAX(0,AK121-IF($A152&gt;='1-Input'!$C$12,'1-Input'!$B$12,0))))*(1/(1-'P-Parametri'!$B$6*AK152))),MAX(0,0*AK121-(AO151-MIN(MAX(AO151,0),MAX(0,AK121-IF($A152&gt;='1-Input'!$C$12,'1-Input'!$B$12,0)))))*(1/(1-'P-Parametri'!$B$6*AK152))))</f>
        <v>7085.3947761366799</v>
      </c>
      <c r="AM152" s="18">
        <f>IF($A152&gt;'1-Input'!$B$26,AO151,(AO151-MAX(0,AK121-IF($A152&gt;='1-Input'!$C$12,'1-Input'!$B$12,0))+AL152*(1-'P-Parametri'!$B$6*AK152))*(1+'1-Input'!$B$27))</f>
        <v>-9.0622052084654565E-13</v>
      </c>
      <c r="AN152" s="18">
        <f>IF($A152&gt;'1-Input'!$B$26,AP151,(AP151-AL152)*(1+$B$4))</f>
        <v>101661.42078005087</v>
      </c>
      <c r="AO152" s="18">
        <f>IF($A152&gt;'1-Input'!$B$26,AM152,AM152-'P-Parametri'!$B$8*(AN152+AM152)+MIN(MAX(AN152,0),'P-Parametri'!$B$8*(AN152+AM152)))</f>
        <v>-9.0949470177292824E-13</v>
      </c>
      <c r="AP152" s="18">
        <f>IF($A152&gt;'1-Input'!$B$26,AN152,AN152-MIN(MAX(AN152,0),'P-Parametri'!$B$8*(AN152+AM152)))</f>
        <v>101458.09793849077</v>
      </c>
      <c r="AQ152" s="18">
        <f>IF($A152&gt;'1-Input'!$B$26,AQ151,AQ151-AL152*(1-AK152))</f>
        <v>47447.633290152349</v>
      </c>
    </row>
    <row r="153" spans="1:43">
      <c r="A153" s="10">
        <f>30</f>
        <v>30</v>
      </c>
      <c r="B153" s="11">
        <f>IF($A153&gt;'1-Input'!$B$26,0,IF(G152&lt;=0,0,MAX(0,(G152-H152)/G152)))</f>
        <v>0.53234257043811739</v>
      </c>
      <c r="C153" s="18">
        <f>IF($A153&gt;'1-Input'!$B$26,0,(MAX(0,B121-IF($A153&gt;='1-Input'!$C$12,'1-Input'!$B$12,0))-MIN(MAX(F152,0),MAX(0,B121-IF($A153&gt;='1-Input'!$C$12,'1-Input'!$B$12,0))))*(1/(1-'P-Parametri'!$B$6*B153))+MIN(MAX(0,G152-(MAX(0,B121-IF($A153&gt;='1-Input'!$C$12,'1-Input'!$B$12,0))-MIN(MAX(F152,0),MAX(0,B121-IF($A153&gt;='1-Input'!$C$12,'1-Input'!$B$12,0))))*(1/(1-'P-Parametri'!$B$6*B153))),MAX(0,0*B121-(F152-MIN(MAX(F152,0),MAX(0,B121-IF($A153&gt;='1-Input'!$C$12,'1-Input'!$B$12,0)))))*(1/(1-'P-Parametri'!$B$6*B153))))</f>
        <v>6475.294840566482</v>
      </c>
      <c r="D153" s="18">
        <f>IF($A153&gt;'1-Input'!$B$26,F152,(F152-MAX(0,B121-IF($A153&gt;='1-Input'!$C$12,'1-Input'!$B$12,0))+C153*(1-'P-Parametri'!$B$6*B153))*(1+'1-Input'!$B$27))</f>
        <v>0</v>
      </c>
      <c r="E153" s="18">
        <f>IF($A153&gt;'1-Input'!$B$26,G152,(G152-C153)*(1+$B$4))</f>
        <v>120278.65724050948</v>
      </c>
      <c r="F153" s="18">
        <f>IF($A153&gt;'1-Input'!$B$26,D153,D153-'P-Parametri'!$B$8*(E153+D153)+MIN(MAX(E153,0),'P-Parametri'!$B$8*(E153+D153)))</f>
        <v>0</v>
      </c>
      <c r="G153" s="18">
        <f>IF($A153&gt;'1-Input'!$B$26,E153,E153-MIN(MAX(E153,0),'P-Parametri'!$B$8*(E153+D153)))</f>
        <v>120038.09992602846</v>
      </c>
      <c r="H153" s="18">
        <f>IF($A153&gt;'1-Input'!$B$26,H152,H152-C153*(1-B153))</f>
        <v>55146.282035540564</v>
      </c>
      <c r="I153" s="11">
        <f>IF($A153&gt;'1-Input'!$B$26,0,IF(N152&lt;=0,0,MAX(0,(N152-O152)/N152)))</f>
        <v>0</v>
      </c>
      <c r="J153" s="18">
        <f>IF($A153&gt;'1-Input'!$B$26,0,(MAX(0,I121-IF($A153&gt;='1-Input'!$C$12,'1-Input'!$B$12,0))-MIN(MAX(M152,0),MAX(0,I121-IF($A153&gt;='1-Input'!$C$12,'1-Input'!$B$12,0))))*(1/(1-'P-Parametri'!$B$6*I153))+MIN(MAX(0,N152-(MAX(0,I121-IF($A153&gt;='1-Input'!$C$12,'1-Input'!$B$12,0))-MIN(MAX(M152,0),MAX(0,I121-IF($A153&gt;='1-Input'!$C$12,'1-Input'!$B$12,0))))*(1/(1-'P-Parametri'!$B$6*I153))),MAX(0,0*I121-(M152-MIN(MAX(M152,0),MAX(0,I121-IF($A153&gt;='1-Input'!$C$12,'1-Input'!$B$12,0)))))*(1/(1-'P-Parametri'!$B$6*I153))))</f>
        <v>10846.756992928691</v>
      </c>
      <c r="K153" s="18">
        <f>IF($A153&gt;'1-Input'!$B$26,M152,(M152-MAX(0,I121-IF($A153&gt;='1-Input'!$C$12,'1-Input'!$B$12,0))+J153*(1-'P-Parametri'!$B$6*I153))*(1+'1-Input'!$B$27))</f>
        <v>0</v>
      </c>
      <c r="L153" s="18">
        <f>IF($A153&gt;'1-Input'!$B$26,N152,(N152-J153)*(1+$B$4))</f>
        <v>-99586.094069260304</v>
      </c>
      <c r="M153" s="18">
        <f>IF($A153&gt;'1-Input'!$B$26,K153,K153-'P-Parametri'!$B$8*(L153+K153)+MIN(MAX(L153,0),'P-Parametri'!$B$8*(L153+K153)))</f>
        <v>0</v>
      </c>
      <c r="N153" s="18">
        <f>IF($A153&gt;'1-Input'!$B$26,L153,L153-MIN(MAX(L153,0),'P-Parametri'!$B$8*(L153+K153)))</f>
        <v>-99386.921881121787</v>
      </c>
      <c r="O153" s="18">
        <f>IF($A153&gt;'1-Input'!$B$26,O152,O152-J153*(1-I153))</f>
        <v>-89207.913664002117</v>
      </c>
      <c r="P153" s="11">
        <f>IF($A153&gt;'1-Input'!$B$26,0,IF(U152&lt;=0,0,MAX(0,(U152-V152)/U152)))</f>
        <v>0.53234257043811717</v>
      </c>
      <c r="Q153" s="18">
        <f>IF($A153&gt;'1-Input'!$B$26,0,(MAX(0,P121-IF($A153&gt;='1-Input'!$C$12,'1-Input'!$B$12,0))-MIN(MAX(T152,0),MAX(0,P121-IF($A153&gt;='1-Input'!$C$12,'1-Input'!$B$12,0))))*(1/(1-'P-Parametri'!$B$6*P153))+MIN(MAX(0,U152-(MAX(0,P121-IF($A153&gt;='1-Input'!$C$12,'1-Input'!$B$12,0))-MIN(MAX(T152,0),MAX(0,P121-IF($A153&gt;='1-Input'!$C$12,'1-Input'!$B$12,0))))*(1/(1-'P-Parametri'!$B$6*P153))),MAX(0,0*P121-(T152-MIN(MAX(T152,0),MAX(0,P121-IF($A153&gt;='1-Input'!$C$12,'1-Input'!$B$12,0)))))*(1/(1-'P-Parametri'!$B$6*P153))))</f>
        <v>7194.9875389981362</v>
      </c>
      <c r="R153" s="18">
        <f>IF($A153&gt;'1-Input'!$B$26,T152,(T152-MAX(0,P121-IF($A153&gt;='1-Input'!$C$12,'1-Input'!$B$12,0))+Q153*(1-'P-Parametri'!$B$6*P153))*(1+'1-Input'!$B$27))</f>
        <v>0</v>
      </c>
      <c r="S153" s="18">
        <f>IF($A153&gt;'1-Input'!$B$26,U152,(U152-Q153)*(1+$B$4))</f>
        <v>92734.847992983501</v>
      </c>
      <c r="T153" s="18">
        <f>IF($A153&gt;'1-Input'!$B$26,R153,R153-'P-Parametri'!$B$8*(S153+R153)+MIN(MAX(S153,0),'P-Parametri'!$B$8*(S153+R153)))</f>
        <v>0</v>
      </c>
      <c r="U153" s="18">
        <f>IF($A153&gt;'1-Input'!$B$26,S153,S153-MIN(MAX(S153,0),'P-Parametri'!$B$8*(S153+R153)))</f>
        <v>92549.378296997529</v>
      </c>
      <c r="V153" s="18">
        <f>IF($A153&gt;'1-Input'!$B$26,V152,V152-Q153*(1-P153))</f>
        <v>42517.784944324107</v>
      </c>
      <c r="W153" s="11">
        <f>IF($A153&gt;'1-Input'!$B$26,0,IF(AB152&lt;=0,0,MAX(0,(AB152-AC152)/AB152)))</f>
        <v>0.53234257043811728</v>
      </c>
      <c r="X153" s="18">
        <f>IF($A153&gt;'1-Input'!$B$26,0,(MAX(0,W121-IF($A153&gt;='1-Input'!$C$12,'1-Input'!$B$12,0))-MIN(MAX(AA152,0),MAX(0,W121-IF($A153&gt;='1-Input'!$C$12,'1-Input'!$B$12,0))))*(1/(1-'P-Parametri'!$B$6*W153))+MIN(MAX(0,AB152-(MAX(0,W121-IF($A153&gt;='1-Input'!$C$12,'1-Input'!$B$12,0))-MIN(MAX(AA152,0),MAX(0,W121-IF($A153&gt;='1-Input'!$C$12,'1-Input'!$B$12,0))))*(1/(1-'P-Parametri'!$B$6*W153))),MAX(0,0*W121-(AA152-MIN(MAX(AA152,0),MAX(0,W121-IF($A153&gt;='1-Input'!$C$12,'1-Input'!$B$12,0)))))*(1/(1-'P-Parametri'!$B$6*W153))))</f>
        <v>7087.8992056571096</v>
      </c>
      <c r="Y153" s="18">
        <f>IF($A153&gt;'1-Input'!$B$26,AA152,(AA152-MAX(0,W121-IF($A153&gt;='1-Input'!$C$12,'1-Input'!$B$12,0))+X153*(1-'P-Parametri'!$B$6*W153))*(1+'1-Input'!$B$27))</f>
        <v>0</v>
      </c>
      <c r="Z153" s="18">
        <f>IF($A153&gt;'1-Input'!$B$26,AB152,(AB152-X153)*(1+$B$4))</f>
        <v>96833.292554959087</v>
      </c>
      <c r="AA153" s="18">
        <f>IF($A153&gt;'1-Input'!$B$26,Y153,Y153-'P-Parametri'!$B$8*(Z153+Y153)+MIN(MAX(Z153,0),'P-Parametri'!$B$8*(Z153+Y153)))</f>
        <v>0</v>
      </c>
      <c r="AB153" s="18">
        <f>IF($A153&gt;'1-Input'!$B$26,Z153,Z153-MIN(MAX(Z153,0),'P-Parametri'!$B$8*(Z153+Y153)))</f>
        <v>96639.625969849163</v>
      </c>
      <c r="AC153" s="18">
        <f>IF($A153&gt;'1-Input'!$B$26,AC152,AC152-X153*(1-W153))</f>
        <v>44396.87126692741</v>
      </c>
      <c r="AD153" s="11">
        <f>IF($A153&gt;'1-Input'!$B$26,0,IF(AI152&lt;=0,0,MAX(0,(AI152-AJ152)/AI152)))</f>
        <v>0.53234257043811728</v>
      </c>
      <c r="AE153" s="18">
        <f>IF($A153&gt;'1-Input'!$B$26,0,(MAX(0,AD121-IF($A153&gt;='1-Input'!$C$12,'1-Input'!$B$12,0))-MIN(MAX(AH152,0),MAX(0,AD121-IF($A153&gt;='1-Input'!$C$12,'1-Input'!$B$12,0))))*(1/(1-'P-Parametri'!$B$6*AD153))+MIN(MAX(0,AI152-(MAX(0,AD121-IF($A153&gt;='1-Input'!$C$12,'1-Input'!$B$12,0))-MIN(MAX(AH152,0),MAX(0,AD121-IF($A153&gt;='1-Input'!$C$12,'1-Input'!$B$12,0))))*(1/(1-'P-Parametri'!$B$6*AD153))),MAX(0,0*AD121-(AH152-MIN(MAX(AH152,0),MAX(0,AD121-IF($A153&gt;='1-Input'!$C$12,'1-Input'!$B$12,0)))))*(1/(1-'P-Parametri'!$B$6*AD153))))</f>
        <v>7103.3532923888533</v>
      </c>
      <c r="AF153" s="18">
        <f>IF($A153&gt;'1-Input'!$B$26,AH152,(AH152-MAX(0,AD121-IF($A153&gt;='1-Input'!$C$12,'1-Input'!$B$12,0))+AE153*(1-'P-Parametri'!$B$6*AD153))*(1+'1-Input'!$B$27))</f>
        <v>0</v>
      </c>
      <c r="AG153" s="18">
        <f>IF($A153&gt;'1-Input'!$B$26,AI152,(AI152-AE153)*(1+$B$4))</f>
        <v>96241.83953902396</v>
      </c>
      <c r="AH153" s="18">
        <f>IF($A153&gt;'1-Input'!$B$26,AF153,AF153-'P-Parametri'!$B$8*(AG153+AF153)+MIN(MAX(AG153,0),'P-Parametri'!$B$8*(AG153+AF153)))</f>
        <v>0</v>
      </c>
      <c r="AI153" s="18">
        <f>IF($A153&gt;'1-Input'!$B$26,AG153,AG153-MIN(MAX(AG153,0),'P-Parametri'!$B$8*(AG153+AF153)))</f>
        <v>96049.355859945907</v>
      </c>
      <c r="AJ153" s="18">
        <f>IF($A153&gt;'1-Input'!$B$26,AJ152,AJ152-AE153*(1-AD153))</f>
        <v>44125.697348163842</v>
      </c>
      <c r="AK153" s="11">
        <f>IF($A153&gt;'1-Input'!$B$26,0,IF(AP152&lt;=0,0,MAX(0,(AP152-AQ152)/AP152)))</f>
        <v>0.53234257043811728</v>
      </c>
      <c r="AL153" s="18">
        <f>IF($A153&gt;'1-Input'!$B$26,0,(MAX(0,AK121-IF($A153&gt;='1-Input'!$C$12,'1-Input'!$B$12,0))-MIN(MAX(AO152,0),MAX(0,AK121-IF($A153&gt;='1-Input'!$C$12,'1-Input'!$B$12,0))))*(1/(1-'P-Parametri'!$B$6*AK153))+MIN(MAX(0,AP152-(MAX(0,AK121-IF($A153&gt;='1-Input'!$C$12,'1-Input'!$B$12,0))-MIN(MAX(AO152,0),MAX(0,AK121-IF($A153&gt;='1-Input'!$C$12,'1-Input'!$B$12,0))))*(1/(1-'P-Parametri'!$B$6*AK153))),MAX(0,0*AK121-(AO152-MIN(MAX(AO152,0),MAX(0,AK121-IF($A153&gt;='1-Input'!$C$12,'1-Input'!$B$12,0)))))*(1/(1-'P-Parametri'!$B$6*AK153))))</f>
        <v>7103.3532923888533</v>
      </c>
      <c r="AM153" s="18">
        <f>IF($A153&gt;'1-Input'!$B$26,AO152,(AO152-MAX(0,AK121-IF($A153&gt;='1-Input'!$C$12,'1-Input'!$B$12,0))+AL153*(1-'P-Parametri'!$B$6*AK153))*(1+'1-Input'!$B$27))</f>
        <v>0</v>
      </c>
      <c r="AN153" s="18">
        <f>IF($A153&gt;'1-Input'!$B$26,AP152,(AP152-AL153)*(1+$B$4))</f>
        <v>96241.83953902396</v>
      </c>
      <c r="AO153" s="18">
        <f>IF($A153&gt;'1-Input'!$B$26,AM153,AM153-'P-Parametri'!$B$8*(AN153+AM153)+MIN(MAX(AN153,0),'P-Parametri'!$B$8*(AN153+AM153)))</f>
        <v>0</v>
      </c>
      <c r="AP153" s="18">
        <f>IF($A153&gt;'1-Input'!$B$26,AN153,AN153-MIN(MAX(AN153,0),'P-Parametri'!$B$8*(AN153+AM153)))</f>
        <v>96049.355859945907</v>
      </c>
      <c r="AQ153" s="18">
        <f>IF($A153&gt;'1-Input'!$B$26,AQ152,AQ152-AL153*(1-AK153))</f>
        <v>44125.697348163842</v>
      </c>
    </row>
    <row r="154" spans="1:43">
      <c r="A154" s="10">
        <f>31</f>
        <v>31</v>
      </c>
      <c r="B154" s="11">
        <f>IF($A154&gt;'1-Input'!$B$26,0,IF(G153&lt;=0,0,MAX(0,(G153-H153)/G153)))</f>
        <v>0.54059351098090047</v>
      </c>
      <c r="C154" s="18">
        <f>IF($A154&gt;'1-Input'!$B$26,0,(MAX(0,B121-IF($A154&gt;='1-Input'!$C$12,'1-Input'!$B$12,0))-MIN(MAX(F153,0),MAX(0,B121-IF($A154&gt;='1-Input'!$C$12,'1-Input'!$B$12,0))))*(1/(1-'P-Parametri'!$B$6*B154))+MIN(MAX(0,G153-(MAX(0,B121-IF($A154&gt;='1-Input'!$C$12,'1-Input'!$B$12,0))-MIN(MAX(F153,0),MAX(0,B121-IF($A154&gt;='1-Input'!$C$12,'1-Input'!$B$12,0))))*(1/(1-'P-Parametri'!$B$6*B154))),MAX(0,0*B121-(F153-MIN(MAX(F153,0),MAX(0,B121-IF($A154&gt;='1-Input'!$C$12,'1-Input'!$B$12,0)))))*(1/(1-'P-Parametri'!$B$6*B154))))</f>
        <v>6491.4576896175213</v>
      </c>
      <c r="D154" s="18">
        <f>IF($A154&gt;'1-Input'!$B$26,F153,(F153-MAX(0,B121-IF($A154&gt;='1-Input'!$C$12,'1-Input'!$B$12,0))+C154*(1-'P-Parametri'!$B$6*B154))*(1+'1-Input'!$B$27))</f>
        <v>0</v>
      </c>
      <c r="E154" s="18">
        <f>IF($A154&gt;'1-Input'!$B$26,G153,(G153-C154)*(1+$B$4))</f>
        <v>115817.57508113915</v>
      </c>
      <c r="F154" s="18">
        <f>IF($A154&gt;'1-Input'!$B$26,D154,D154-'P-Parametri'!$B$8*(E154+D154)+MIN(MAX(E154,0),'P-Parametri'!$B$8*(E154+D154)))</f>
        <v>0</v>
      </c>
      <c r="G154" s="18">
        <f>IF($A154&gt;'1-Input'!$B$26,E154,E154-MIN(MAX(E154,0),'P-Parametri'!$B$8*(E154+D154)))</f>
        <v>115585.93993097686</v>
      </c>
      <c r="H154" s="18">
        <f>IF($A154&gt;'1-Input'!$B$26,H153,H153-C154*(1-B154))</f>
        <v>52164.064249737341</v>
      </c>
      <c r="I154" s="11">
        <f>IF($A154&gt;'1-Input'!$B$26,0,IF(N153&lt;=0,0,MAX(0,(N153-O153)/N153)))</f>
        <v>0</v>
      </c>
      <c r="J154" s="18">
        <f>IF($A154&gt;'1-Input'!$B$26,0,(MAX(0,I121-IF($A154&gt;='1-Input'!$C$12,'1-Input'!$B$12,0))-MIN(MAX(M153,0),MAX(0,I121-IF($A154&gt;='1-Input'!$C$12,'1-Input'!$B$12,0))))*(1/(1-'P-Parametri'!$B$6*I154))+MIN(MAX(0,N153-(MAX(0,I121-IF($A154&gt;='1-Input'!$C$12,'1-Input'!$B$12,0))-MIN(MAX(M153,0),MAX(0,I121-IF($A154&gt;='1-Input'!$C$12,'1-Input'!$B$12,0))))*(1/(1-'P-Parametri'!$B$6*I154))),MAX(0,0*I121-(M153-MIN(MAX(M153,0),MAX(0,I121-IF($A154&gt;='1-Input'!$C$12,'1-Input'!$B$12,0)))))*(1/(1-'P-Parametri'!$B$6*I154))))</f>
        <v>10846.756992928691</v>
      </c>
      <c r="K154" s="18">
        <f>IF($A154&gt;'1-Input'!$B$26,M153,(M153-MAX(0,I121-IF($A154&gt;='1-Input'!$C$12,'1-Input'!$B$12,0))+J154*(1-'P-Parametri'!$B$6*I154))*(1+'1-Input'!$B$27))</f>
        <v>0</v>
      </c>
      <c r="L154" s="18">
        <f>IF($A154&gt;'1-Input'!$B$26,N153,(N153-J154)*(1+$B$4))</f>
        <v>-112438.35245153148</v>
      </c>
      <c r="M154" s="18">
        <f>IF($A154&gt;'1-Input'!$B$26,K154,K154-'P-Parametri'!$B$8*(L154+K154)+MIN(MAX(L154,0),'P-Parametri'!$B$8*(L154+K154)))</f>
        <v>0</v>
      </c>
      <c r="N154" s="18">
        <f>IF($A154&gt;'1-Input'!$B$26,L154,L154-MIN(MAX(L154,0),'P-Parametri'!$B$8*(L154+K154)))</f>
        <v>-112213.47574662842</v>
      </c>
      <c r="O154" s="18">
        <f>IF($A154&gt;'1-Input'!$B$26,O153,O153-J154*(1-I154))</f>
        <v>-100054.6706569308</v>
      </c>
      <c r="P154" s="11">
        <f>IF($A154&gt;'1-Input'!$B$26,0,IF(U153&lt;=0,0,MAX(0,(U153-V153)/U153)))</f>
        <v>0.54059351098090025</v>
      </c>
      <c r="Q154" s="18">
        <f>IF($A154&gt;'1-Input'!$B$26,0,(MAX(0,P121-IF($A154&gt;='1-Input'!$C$12,'1-Input'!$B$12,0))-MIN(MAX(T153,0),MAX(0,P121-IF($A154&gt;='1-Input'!$C$12,'1-Input'!$B$12,0))))*(1/(1-'P-Parametri'!$B$6*P154))+MIN(MAX(0,U153-(MAX(0,P121-IF($A154&gt;='1-Input'!$C$12,'1-Input'!$B$12,0))-MIN(MAX(T153,0),MAX(0,P121-IF($A154&gt;='1-Input'!$C$12,'1-Input'!$B$12,0))))*(1/(1-'P-Parametri'!$B$6*P154))),MAX(0,0*P121-(T153-MIN(MAX(T153,0),MAX(0,P121-IF($A154&gt;='1-Input'!$C$12,'1-Input'!$B$12,0)))))*(1/(1-'P-Parametri'!$B$6*P154))))</f>
        <v>7212.9467980558675</v>
      </c>
      <c r="R154" s="18">
        <f>IF($A154&gt;'1-Input'!$B$26,T153,(T153-MAX(0,P121-IF($A154&gt;='1-Input'!$C$12,'1-Input'!$B$12,0))+Q154*(1-'P-Parametri'!$B$6*P154))*(1+'1-Input'!$B$27))</f>
        <v>-9.0622052084654565E-13</v>
      </c>
      <c r="S154" s="18">
        <f>IF($A154&gt;'1-Input'!$B$26,U153,(U153-Q154)*(1+$B$4))</f>
        <v>87043.160128920499</v>
      </c>
      <c r="T154" s="18">
        <f>IF($A154&gt;'1-Input'!$B$26,R154,R154-'P-Parametri'!$B$8*(S154+R154)+MIN(MAX(S154,0),'P-Parametri'!$B$8*(S154+R154)))</f>
        <v>-9.0949470177292824E-13</v>
      </c>
      <c r="U154" s="18">
        <f>IF($A154&gt;'1-Input'!$B$26,S154,S154-MIN(MAX(S154,0),'P-Parametri'!$B$8*(S154+R154)))</f>
        <v>86869.073808662652</v>
      </c>
      <c r="V154" s="18">
        <f>IF($A154&gt;'1-Input'!$B$26,V153,V153-Q154*(1-P154))</f>
        <v>39204.110380347702</v>
      </c>
      <c r="W154" s="11">
        <f>IF($A154&gt;'1-Input'!$B$26,0,IF(AB153&lt;=0,0,MAX(0,(AB153-AC153)/AB153)))</f>
        <v>0.54059351098090036</v>
      </c>
      <c r="X154" s="18">
        <f>IF($A154&gt;'1-Input'!$B$26,0,(MAX(0,W121-IF($A154&gt;='1-Input'!$C$12,'1-Input'!$B$12,0))-MIN(MAX(AA153,0),MAX(0,W121-IF($A154&gt;='1-Input'!$C$12,'1-Input'!$B$12,0))))*(1/(1-'P-Parametri'!$B$6*W154))+MIN(MAX(0,AB153-(MAX(0,W121-IF($A154&gt;='1-Input'!$C$12,'1-Input'!$B$12,0))-MIN(MAX(AA153,0),MAX(0,W121-IF($A154&gt;='1-Input'!$C$12,'1-Input'!$B$12,0))))*(1/(1-'P-Parametri'!$B$6*W154))),MAX(0,0*W121-(AA153-MIN(MAX(AA153,0),MAX(0,W121-IF($A154&gt;='1-Input'!$C$12,'1-Input'!$B$12,0)))))*(1/(1-'P-Parametri'!$B$6*W154))))</f>
        <v>7105.5911637487025</v>
      </c>
      <c r="Y154" s="18">
        <f>IF($A154&gt;'1-Input'!$B$26,AA153,(AA153-MAX(0,W121-IF($A154&gt;='1-Input'!$C$12,'1-Input'!$B$12,0))+X154*(1-'P-Parametri'!$B$6*W154))*(1+'1-Input'!$B$27))</f>
        <v>0</v>
      </c>
      <c r="Z154" s="18">
        <f>IF($A154&gt;'1-Input'!$B$26,AB153,(AB153-X154)*(1+$B$4))</f>
        <v>91324.715502222476</v>
      </c>
      <c r="AA154" s="18">
        <f>IF($A154&gt;'1-Input'!$B$26,Y154,Y154-'P-Parametri'!$B$8*(Z154+Y154)+MIN(MAX(Z154,0),'P-Parametri'!$B$8*(Z154+Y154)))</f>
        <v>0</v>
      </c>
      <c r="AB154" s="18">
        <f>IF($A154&gt;'1-Input'!$B$26,Z154,Z154-MIN(MAX(Z154,0),'P-Parametri'!$B$8*(Z154+Y154)))</f>
        <v>91142.066071218025</v>
      </c>
      <c r="AC154" s="18">
        <f>IF($A154&gt;'1-Input'!$B$26,AC153,AC153-X154*(1-W154))</f>
        <v>41132.516577984483</v>
      </c>
      <c r="AD154" s="11">
        <f>IF($A154&gt;'1-Input'!$B$26,0,IF(AI153&lt;=0,0,MAX(0,(AI153-AJ153)/AI153)))</f>
        <v>0.54059351098090025</v>
      </c>
      <c r="AE154" s="18">
        <f>IF($A154&gt;'1-Input'!$B$26,0,(MAX(0,AD121-IF($A154&gt;='1-Input'!$C$12,'1-Input'!$B$12,0))-MIN(MAX(AH153,0),MAX(0,AD121-IF($A154&gt;='1-Input'!$C$12,'1-Input'!$B$12,0))))*(1/(1-'P-Parametri'!$B$6*AD154))+MIN(MAX(0,AI153-(MAX(0,AD121-IF($A154&gt;='1-Input'!$C$12,'1-Input'!$B$12,0))-MIN(MAX(AH153,0),MAX(0,AD121-IF($A154&gt;='1-Input'!$C$12,'1-Input'!$B$12,0))))*(1/(1-'P-Parametri'!$B$6*AD154))),MAX(0,0*AD121-(AH153-MIN(MAX(AH153,0),MAX(0,AD121-IF($A154&gt;='1-Input'!$C$12,'1-Input'!$B$12,0)))))*(1/(1-'P-Parametri'!$B$6*AD154))))</f>
        <v>7121.0838251055739</v>
      </c>
      <c r="AF154" s="18">
        <f>IF($A154&gt;'1-Input'!$B$26,AH153,(AH153-MAX(0,AD121-IF($A154&gt;='1-Input'!$C$12,'1-Input'!$B$12,0))+AE154*(1-'P-Parametri'!$B$6*AD154))*(1+'1-Input'!$B$27))</f>
        <v>0</v>
      </c>
      <c r="AG154" s="18">
        <f>IF($A154&gt;'1-Input'!$B$26,AI153,(AI153-AE154)*(1+$B$4))</f>
        <v>90706.837475537148</v>
      </c>
      <c r="AH154" s="18">
        <f>IF($A154&gt;'1-Input'!$B$26,AF154,AF154-'P-Parametri'!$B$8*(AG154+AF154)+MIN(MAX(AG154,0),'P-Parametri'!$B$8*(AG154+AF154)))</f>
        <v>0</v>
      </c>
      <c r="AI154" s="18">
        <f>IF($A154&gt;'1-Input'!$B$26,AG154,AG154-MIN(MAX(AG154,0),'P-Parametri'!$B$8*(AG154+AF154)))</f>
        <v>90525.423800586068</v>
      </c>
      <c r="AJ154" s="18">
        <f>IF($A154&gt;'1-Input'!$B$26,AJ153,AJ153-AE154*(1-AD154))</f>
        <v>40854.225230061391</v>
      </c>
      <c r="AK154" s="11">
        <f>IF($A154&gt;'1-Input'!$B$26,0,IF(AP153&lt;=0,0,MAX(0,(AP153-AQ153)/AP153)))</f>
        <v>0.54059351098090025</v>
      </c>
      <c r="AL154" s="18">
        <f>IF($A154&gt;'1-Input'!$B$26,0,(MAX(0,AK121-IF($A154&gt;='1-Input'!$C$12,'1-Input'!$B$12,0))-MIN(MAX(AO153,0),MAX(0,AK121-IF($A154&gt;='1-Input'!$C$12,'1-Input'!$B$12,0))))*(1/(1-'P-Parametri'!$B$6*AK154))+MIN(MAX(0,AP153-(MAX(0,AK121-IF($A154&gt;='1-Input'!$C$12,'1-Input'!$B$12,0))-MIN(MAX(AO153,0),MAX(0,AK121-IF($A154&gt;='1-Input'!$C$12,'1-Input'!$B$12,0))))*(1/(1-'P-Parametri'!$B$6*AK154))),MAX(0,0*AK121-(AO153-MIN(MAX(AO153,0),MAX(0,AK121-IF($A154&gt;='1-Input'!$C$12,'1-Input'!$B$12,0)))))*(1/(1-'P-Parametri'!$B$6*AK154))))</f>
        <v>7121.0838251055739</v>
      </c>
      <c r="AM154" s="18">
        <f>IF($A154&gt;'1-Input'!$B$26,AO153,(AO153-MAX(0,AK121-IF($A154&gt;='1-Input'!$C$12,'1-Input'!$B$12,0))+AL154*(1-'P-Parametri'!$B$6*AK154))*(1+'1-Input'!$B$27))</f>
        <v>0</v>
      </c>
      <c r="AN154" s="18">
        <f>IF($A154&gt;'1-Input'!$B$26,AP153,(AP153-AL154)*(1+$B$4))</f>
        <v>90706.837475537148</v>
      </c>
      <c r="AO154" s="18">
        <f>IF($A154&gt;'1-Input'!$B$26,AM154,AM154-'P-Parametri'!$B$8*(AN154+AM154)+MIN(MAX(AN154,0),'P-Parametri'!$B$8*(AN154+AM154)))</f>
        <v>0</v>
      </c>
      <c r="AP154" s="18">
        <f>IF($A154&gt;'1-Input'!$B$26,AN154,AN154-MIN(MAX(AN154,0),'P-Parametri'!$B$8*(AN154+AM154)))</f>
        <v>90525.423800586068</v>
      </c>
      <c r="AQ154" s="18">
        <f>IF($A154&gt;'1-Input'!$B$26,AQ153,AQ153-AL154*(1-AK154))</f>
        <v>40854.225230061391</v>
      </c>
    </row>
    <row r="155" spans="1:43">
      <c r="A155" s="10">
        <f>32</f>
        <v>32</v>
      </c>
      <c r="B155" s="11">
        <f>IF($A155&gt;'1-Input'!$B$26,0,IF(G154&lt;=0,0,MAX(0,(G154-H154)/G154)))</f>
        <v>0.54869887911204807</v>
      </c>
      <c r="C155" s="18">
        <f>IF($A155&gt;'1-Input'!$B$26,0,(MAX(0,B121-IF($A155&gt;='1-Input'!$C$12,'1-Input'!$B$12,0))-MIN(MAX(F154,0),MAX(0,B121-IF($A155&gt;='1-Input'!$C$12,'1-Input'!$B$12,0))))*(1/(1-'P-Parametri'!$B$6*B155))+MIN(MAX(0,G154-(MAX(0,B121-IF($A155&gt;='1-Input'!$C$12,'1-Input'!$B$12,0))-MIN(MAX(F154,0),MAX(0,B121-IF($A155&gt;='1-Input'!$C$12,'1-Input'!$B$12,0))))*(1/(1-'P-Parametri'!$B$6*B155))),MAX(0,0*B121-(F154-MIN(MAX(F154,0),MAX(0,B121-IF($A155&gt;='1-Input'!$C$12,'1-Input'!$B$12,0)))))*(1/(1-'P-Parametri'!$B$6*B155))))</f>
        <v>6507.4141332408644</v>
      </c>
      <c r="D155" s="18">
        <f>IF($A155&gt;'1-Input'!$B$26,F154,(F154-MAX(0,B121-IF($A155&gt;='1-Input'!$C$12,'1-Input'!$B$12,0))+C155*(1-'P-Parametri'!$B$6*B155))*(1+'1-Input'!$B$27))</f>
        <v>0</v>
      </c>
      <c r="E155" s="18">
        <f>IF($A155&gt;'1-Input'!$B$26,G154,(G154-C155)*(1+$B$4))</f>
        <v>111260.09631369072</v>
      </c>
      <c r="F155" s="18">
        <f>IF($A155&gt;'1-Input'!$B$26,D155,D155-'P-Parametri'!$B$8*(E155+D155)+MIN(MAX(E155,0),'P-Parametri'!$B$8*(E155+D155)))</f>
        <v>0</v>
      </c>
      <c r="G155" s="18">
        <f>IF($A155&gt;'1-Input'!$B$26,E155,E155-MIN(MAX(E155,0),'P-Parametri'!$B$8*(E155+D155)))</f>
        <v>111037.57612106334</v>
      </c>
      <c r="H155" s="18">
        <f>IF($A155&gt;'1-Input'!$B$26,H154,H154-C155*(1-B155))</f>
        <v>49227.26095732364</v>
      </c>
      <c r="I155" s="11">
        <f>IF($A155&gt;'1-Input'!$B$26,0,IF(N154&lt;=0,0,MAX(0,(N154-O154)/N154)))</f>
        <v>0</v>
      </c>
      <c r="J155" s="18">
        <f>IF($A155&gt;'1-Input'!$B$26,0,(MAX(0,I121-IF($A155&gt;='1-Input'!$C$12,'1-Input'!$B$12,0))-MIN(MAX(M154,0),MAX(0,I121-IF($A155&gt;='1-Input'!$C$12,'1-Input'!$B$12,0))))*(1/(1-'P-Parametri'!$B$6*I155))+MIN(MAX(0,N154-(MAX(0,I121-IF($A155&gt;='1-Input'!$C$12,'1-Input'!$B$12,0))-MIN(MAX(M154,0),MAX(0,I121-IF($A155&gt;='1-Input'!$C$12,'1-Input'!$B$12,0))))*(1/(1-'P-Parametri'!$B$6*I155))),MAX(0,0*I121-(M154-MIN(MAX(M154,0),MAX(0,I121-IF($A155&gt;='1-Input'!$C$12,'1-Input'!$B$12,0)))))*(1/(1-'P-Parametri'!$B$6*I155))))</f>
        <v>10846.756992928691</v>
      </c>
      <c r="K155" s="18">
        <f>IF($A155&gt;'1-Input'!$B$26,M154,(M154-MAX(0,I121-IF($A155&gt;='1-Input'!$C$12,'1-Input'!$B$12,0))+J155*(1-'P-Parametri'!$B$6*I155))*(1+'1-Input'!$B$27))</f>
        <v>0</v>
      </c>
      <c r="L155" s="18">
        <f>IF($A155&gt;'1-Input'!$B$26,N154,(N154-J155)*(1+$B$4))</f>
        <v>-125521.43739434825</v>
      </c>
      <c r="M155" s="18">
        <f>IF($A155&gt;'1-Input'!$B$26,K155,K155-'P-Parametri'!$B$8*(L155+K155)+MIN(MAX(L155,0),'P-Parametri'!$B$8*(L155+K155)))</f>
        <v>0</v>
      </c>
      <c r="N155" s="18">
        <f>IF($A155&gt;'1-Input'!$B$26,L155,L155-MIN(MAX(L155,0),'P-Parametri'!$B$8*(L155+K155)))</f>
        <v>-125270.39451955956</v>
      </c>
      <c r="O155" s="18">
        <f>IF($A155&gt;'1-Input'!$B$26,O154,O154-J155*(1-I155))</f>
        <v>-110901.42764985948</v>
      </c>
      <c r="P155" s="11">
        <f>IF($A155&gt;'1-Input'!$B$26,0,IF(U154&lt;=0,0,MAX(0,(U154-V154)/U154)))</f>
        <v>0.54869887911204784</v>
      </c>
      <c r="Q155" s="18">
        <f>IF($A155&gt;'1-Input'!$B$26,0,(MAX(0,P121-IF($A155&gt;='1-Input'!$C$12,'1-Input'!$B$12,0))-MIN(MAX(T154,0),MAX(0,P121-IF($A155&gt;='1-Input'!$C$12,'1-Input'!$B$12,0))))*(1/(1-'P-Parametri'!$B$6*P155))+MIN(MAX(0,U154-(MAX(0,P121-IF($A155&gt;='1-Input'!$C$12,'1-Input'!$B$12,0))-MIN(MAX(T154,0),MAX(0,P121-IF($A155&gt;='1-Input'!$C$12,'1-Input'!$B$12,0))))*(1/(1-'P-Parametri'!$B$6*P155))),MAX(0,0*P121-(T154-MIN(MAX(T154,0),MAX(0,P121-IF($A155&gt;='1-Input'!$C$12,'1-Input'!$B$12,0)))))*(1/(1-'P-Parametri'!$B$6*P155))))</f>
        <v>7230.676710880447</v>
      </c>
      <c r="R155" s="18">
        <f>IF($A155&gt;'1-Input'!$B$26,T154,(T154-MAX(0,P121-IF($A155&gt;='1-Input'!$C$12,'1-Input'!$B$12,0))+Q155*(1-'P-Parametri'!$B$6*P155))*(1+'1-Input'!$B$27))</f>
        <v>-9.0622052084654565E-13</v>
      </c>
      <c r="S155" s="18">
        <f>IF($A155&gt;'1-Input'!$B$26,U154,(U154-Q155)*(1+$B$4))</f>
        <v>81231.165039737854</v>
      </c>
      <c r="T155" s="18">
        <f>IF($A155&gt;'1-Input'!$B$26,R155,R155-'P-Parametri'!$B$8*(S155+R155)+MIN(MAX(S155,0),'P-Parametri'!$B$8*(S155+R155)))</f>
        <v>-9.0949470177292824E-13</v>
      </c>
      <c r="U155" s="18">
        <f>IF($A155&gt;'1-Input'!$B$26,S155,S155-MIN(MAX(S155,0),'P-Parametri'!$B$8*(S155+R155)))</f>
        <v>81068.702709658377</v>
      </c>
      <c r="V155" s="18">
        <f>IF($A155&gt;'1-Input'!$B$26,V154,V154-Q155*(1-P155))</f>
        <v>35940.897875948947</v>
      </c>
      <c r="W155" s="11">
        <f>IF($A155&gt;'1-Input'!$B$26,0,IF(AB154&lt;=0,0,MAX(0,(AB154-AC154)/AB154)))</f>
        <v>0.54869887911204795</v>
      </c>
      <c r="X155" s="18">
        <f>IF($A155&gt;'1-Input'!$B$26,0,(MAX(0,W121-IF($A155&gt;='1-Input'!$C$12,'1-Input'!$B$12,0))-MIN(MAX(AA154,0),MAX(0,W121-IF($A155&gt;='1-Input'!$C$12,'1-Input'!$B$12,0))))*(1/(1-'P-Parametri'!$B$6*W155))+MIN(MAX(0,AB154-(MAX(0,W121-IF($A155&gt;='1-Input'!$C$12,'1-Input'!$B$12,0))-MIN(MAX(AA154,0),MAX(0,W121-IF($A155&gt;='1-Input'!$C$12,'1-Input'!$B$12,0))))*(1/(1-'P-Parametri'!$B$6*W155))),MAX(0,0*W121-(AA154-MIN(MAX(AA154,0),MAX(0,W121-IF($A155&gt;='1-Input'!$C$12,'1-Input'!$B$12,0)))))*(1/(1-'P-Parametri'!$B$6*W155))))</f>
        <v>7123.0571891371483</v>
      </c>
      <c r="Y155" s="18">
        <f>IF($A155&gt;'1-Input'!$B$26,AA154,(AA154-MAX(0,W121-IF($A155&gt;='1-Input'!$C$12,'1-Input'!$B$12,0))+X155*(1-'P-Parametri'!$B$6*W155))*(1+'1-Input'!$B$27))</f>
        <v>-9.0622052084654565E-13</v>
      </c>
      <c r="Z155" s="18">
        <f>IF($A155&gt;'1-Input'!$B$26,AB154,(AB154-X155)*(1+$B$4))</f>
        <v>85699.389059722496</v>
      </c>
      <c r="AA155" s="18">
        <f>IF($A155&gt;'1-Input'!$B$26,Y155,Y155-'P-Parametri'!$B$8*(Z155+Y155)+MIN(MAX(Z155,0),'P-Parametri'!$B$8*(Z155+Y155)))</f>
        <v>-9.0949470177292824E-13</v>
      </c>
      <c r="AB155" s="18">
        <f>IF($A155&gt;'1-Input'!$B$26,Z155,Z155-MIN(MAX(Z155,0),'P-Parametri'!$B$8*(Z155+Y155)))</f>
        <v>85527.990281603052</v>
      </c>
      <c r="AC155" s="18">
        <f>IF($A155&gt;'1-Input'!$B$26,AC154,AC154-X155*(1-W155))</f>
        <v>37917.872884377903</v>
      </c>
      <c r="AD155" s="11">
        <f>IF($A155&gt;'1-Input'!$B$26,0,IF(AI154&lt;=0,0,MAX(0,(AI154-AJ154)/AI154)))</f>
        <v>0.54869887911204784</v>
      </c>
      <c r="AE155" s="18">
        <f>IF($A155&gt;'1-Input'!$B$26,0,(MAX(0,AD121-IF($A155&gt;='1-Input'!$C$12,'1-Input'!$B$12,0))-MIN(MAX(AH154,0),MAX(0,AD121-IF($A155&gt;='1-Input'!$C$12,'1-Input'!$B$12,0))))*(1/(1-'P-Parametri'!$B$6*AD155))+MIN(MAX(0,AI154-(MAX(0,AD121-IF($A155&gt;='1-Input'!$C$12,'1-Input'!$B$12,0))-MIN(MAX(AH154,0),MAX(0,AD121-IF($A155&gt;='1-Input'!$C$12,'1-Input'!$B$12,0))))*(1/(1-'P-Parametri'!$B$6*AD155))),MAX(0,0*AD121-(AH154-MIN(MAX(AH154,0),MAX(0,AD121-IF($A155&gt;='1-Input'!$C$12,'1-Input'!$B$12,0)))))*(1/(1-'P-Parametri'!$B$6*AD155))))</f>
        <v>7138.5879325072347</v>
      </c>
      <c r="AF155" s="18">
        <f>IF($A155&gt;'1-Input'!$B$26,AH154,(AH154-MAX(0,AD121-IF($A155&gt;='1-Input'!$C$12,'1-Input'!$B$12,0))+AE155*(1-'P-Parametri'!$B$6*AD155))*(1+'1-Input'!$B$27))</f>
        <v>-9.0622052084654565E-13</v>
      </c>
      <c r="AG155" s="18">
        <f>IF($A155&gt;'1-Input'!$B$26,AI154,(AI154-AE155)*(1+$B$4))</f>
        <v>85054.572585440415</v>
      </c>
      <c r="AH155" s="18">
        <f>IF($A155&gt;'1-Input'!$B$26,AF155,AF155-'P-Parametri'!$B$8*(AG155+AF155)+MIN(MAX(AG155,0),'P-Parametri'!$B$8*(AG155+AF155)))</f>
        <v>-9.0949470177292824E-13</v>
      </c>
      <c r="AI155" s="18">
        <f>IF($A155&gt;'1-Input'!$B$26,AG155,AG155-MIN(MAX(AG155,0),'P-Parametri'!$B$8*(AG155+AF155)))</f>
        <v>84884.463440269537</v>
      </c>
      <c r="AJ155" s="18">
        <f>IF($A155&gt;'1-Input'!$B$26,AJ154,AJ154-AE155*(1-AD155))</f>
        <v>37632.572494563668</v>
      </c>
      <c r="AK155" s="11">
        <f>IF($A155&gt;'1-Input'!$B$26,0,IF(AP154&lt;=0,0,MAX(0,(AP154-AQ154)/AP154)))</f>
        <v>0.54869887911204784</v>
      </c>
      <c r="AL155" s="18">
        <f>IF($A155&gt;'1-Input'!$B$26,0,(MAX(0,AK121-IF($A155&gt;='1-Input'!$C$12,'1-Input'!$B$12,0))-MIN(MAX(AO154,0),MAX(0,AK121-IF($A155&gt;='1-Input'!$C$12,'1-Input'!$B$12,0))))*(1/(1-'P-Parametri'!$B$6*AK155))+MIN(MAX(0,AP154-(MAX(0,AK121-IF($A155&gt;='1-Input'!$C$12,'1-Input'!$B$12,0))-MIN(MAX(AO154,0),MAX(0,AK121-IF($A155&gt;='1-Input'!$C$12,'1-Input'!$B$12,0))))*(1/(1-'P-Parametri'!$B$6*AK155))),MAX(0,0*AK121-(AO154-MIN(MAX(AO154,0),MAX(0,AK121-IF($A155&gt;='1-Input'!$C$12,'1-Input'!$B$12,0)))))*(1/(1-'P-Parametri'!$B$6*AK155))))</f>
        <v>7138.5879325072347</v>
      </c>
      <c r="AM155" s="18">
        <f>IF($A155&gt;'1-Input'!$B$26,AO154,(AO154-MAX(0,AK121-IF($A155&gt;='1-Input'!$C$12,'1-Input'!$B$12,0))+AL155*(1-'P-Parametri'!$B$6*AK155))*(1+'1-Input'!$B$27))</f>
        <v>-9.0622052084654565E-13</v>
      </c>
      <c r="AN155" s="18">
        <f>IF($A155&gt;'1-Input'!$B$26,AP154,(AP154-AL155)*(1+$B$4))</f>
        <v>85054.572585440415</v>
      </c>
      <c r="AO155" s="18">
        <f>IF($A155&gt;'1-Input'!$B$26,AM155,AM155-'P-Parametri'!$B$8*(AN155+AM155)+MIN(MAX(AN155,0),'P-Parametri'!$B$8*(AN155+AM155)))</f>
        <v>-9.0949470177292824E-13</v>
      </c>
      <c r="AP155" s="18">
        <f>IF($A155&gt;'1-Input'!$B$26,AN155,AN155-MIN(MAX(AN155,0),'P-Parametri'!$B$8*(AN155+AM155)))</f>
        <v>84884.463440269537</v>
      </c>
      <c r="AQ155" s="18">
        <f>IF($A155&gt;'1-Input'!$B$26,AQ154,AQ154-AL155*(1-AK155))</f>
        <v>37632.572494563668</v>
      </c>
    </row>
    <row r="156" spans="1:43">
      <c r="A156" s="10">
        <f>33</f>
        <v>33</v>
      </c>
      <c r="B156" s="11">
        <f>IF($A156&gt;'1-Input'!$B$26,0,IF(G155&lt;=0,0,MAX(0,(G155-H155)/G155)))</f>
        <v>0.5566612431844552</v>
      </c>
      <c r="C156" s="18">
        <f>IF($A156&gt;'1-Input'!$B$26,0,(MAX(0,B121-IF($A156&gt;='1-Input'!$C$12,'1-Input'!$B$12,0))-MIN(MAX(F155,0),MAX(0,B121-IF($A156&gt;='1-Input'!$C$12,'1-Input'!$B$12,0))))*(1/(1-'P-Parametri'!$B$6*B156))+MIN(MAX(0,G155-(MAX(0,B121-IF($A156&gt;='1-Input'!$C$12,'1-Input'!$B$12,0))-MIN(MAX(F155,0),MAX(0,B121-IF($A156&gt;='1-Input'!$C$12,'1-Input'!$B$12,0))))*(1/(1-'P-Parametri'!$B$6*B156))),MAX(0,0*B121-(F155-MIN(MAX(F155,0),MAX(0,B121-IF($A156&gt;='1-Input'!$C$12,'1-Input'!$B$12,0)))))*(1/(1-'P-Parametri'!$B$6*B156))))</f>
        <v>6523.1656204009269</v>
      </c>
      <c r="D156" s="18">
        <f>IF($A156&gt;'1-Input'!$B$26,F155,(F155-MAX(0,B121-IF($A156&gt;='1-Input'!$C$12,'1-Input'!$B$12,0))+C156*(1-'P-Parametri'!$B$6*B156))*(1+'1-Input'!$B$27))</f>
        <v>0</v>
      </c>
      <c r="E156" s="18">
        <f>IF($A156&gt;'1-Input'!$B$26,G155,(G155-C156)*(1+$B$4))</f>
        <v>106604.69871067566</v>
      </c>
      <c r="F156" s="18">
        <f>IF($A156&gt;'1-Input'!$B$26,D156,D156-'P-Parametri'!$B$8*(E156+D156)+MIN(MAX(E156,0),'P-Parametri'!$B$8*(E156+D156)))</f>
        <v>0</v>
      </c>
      <c r="G156" s="18">
        <f>IF($A156&gt;'1-Input'!$B$26,E156,E156-MIN(MAX(E156,0),'P-Parametri'!$B$8*(E156+D156)))</f>
        <v>106391.48931325431</v>
      </c>
      <c r="H156" s="18">
        <f>IF($A156&gt;'1-Input'!$B$26,H155,H155-C156*(1-B156))</f>
        <v>46335.288820673188</v>
      </c>
      <c r="I156" s="11">
        <f>IF($A156&gt;'1-Input'!$B$26,0,IF(N155&lt;=0,0,MAX(0,(N155-O155)/N155)))</f>
        <v>0</v>
      </c>
      <c r="J156" s="18">
        <f>IF($A156&gt;'1-Input'!$B$26,0,(MAX(0,I121-IF($A156&gt;='1-Input'!$C$12,'1-Input'!$B$12,0))-MIN(MAX(M155,0),MAX(0,I121-IF($A156&gt;='1-Input'!$C$12,'1-Input'!$B$12,0))))*(1/(1-'P-Parametri'!$B$6*I156))+MIN(MAX(0,N155-(MAX(0,I121-IF($A156&gt;='1-Input'!$C$12,'1-Input'!$B$12,0))-MIN(MAX(M155,0),MAX(0,I121-IF($A156&gt;='1-Input'!$C$12,'1-Input'!$B$12,0))))*(1/(1-'P-Parametri'!$B$6*I156))),MAX(0,0*I121-(M155-MIN(MAX(M155,0),MAX(0,I121-IF($A156&gt;='1-Input'!$C$12,'1-Input'!$B$12,0)))))*(1/(1-'P-Parametri'!$B$6*I156))))</f>
        <v>10846.756992928691</v>
      </c>
      <c r="K156" s="18">
        <f>IF($A156&gt;'1-Input'!$B$26,M155,(M155-MAX(0,I121-IF($A156&gt;='1-Input'!$C$12,'1-Input'!$B$12,0))+J156*(1-'P-Parametri'!$B$6*I156))*(1+'1-Input'!$B$27))</f>
        <v>0</v>
      </c>
      <c r="L156" s="18">
        <f>IF($A156&gt;'1-Input'!$B$26,N155,(N155-J156)*(1+$B$4))</f>
        <v>-138839.49454273802</v>
      </c>
      <c r="M156" s="18">
        <f>IF($A156&gt;'1-Input'!$B$26,K156,K156-'P-Parametri'!$B$8*(L156+K156)+MIN(MAX(L156,0),'P-Parametri'!$B$8*(L156+K156)))</f>
        <v>0</v>
      </c>
      <c r="N156" s="18">
        <f>IF($A156&gt;'1-Input'!$B$26,L156,L156-MIN(MAX(L156,0),'P-Parametri'!$B$8*(L156+K156)))</f>
        <v>-138561.81555365253</v>
      </c>
      <c r="O156" s="18">
        <f>IF($A156&gt;'1-Input'!$B$26,O155,O155-J156*(1-I156))</f>
        <v>-121748.18464278817</v>
      </c>
      <c r="P156" s="11">
        <f>IF($A156&gt;'1-Input'!$B$26,0,IF(U155&lt;=0,0,MAX(0,(U155-V155)/U155)))</f>
        <v>0.55666124318445498</v>
      </c>
      <c r="Q156" s="18">
        <f>IF($A156&gt;'1-Input'!$B$26,0,(MAX(0,P121-IF($A156&gt;='1-Input'!$C$12,'1-Input'!$B$12,0))-MIN(MAX(T155,0),MAX(0,P121-IF($A156&gt;='1-Input'!$C$12,'1-Input'!$B$12,0))))*(1/(1-'P-Parametri'!$B$6*P156))+MIN(MAX(0,U155-(MAX(0,P121-IF($A156&gt;='1-Input'!$C$12,'1-Input'!$B$12,0))-MIN(MAX(T155,0),MAX(0,P121-IF($A156&gt;='1-Input'!$C$12,'1-Input'!$B$12,0))))*(1/(1-'P-Parametri'!$B$6*P156))),MAX(0,0*P121-(T155-MIN(MAX(T155,0),MAX(0,P121-IF($A156&gt;='1-Input'!$C$12,'1-Input'!$B$12,0)))))*(1/(1-'P-Parametri'!$B$6*P156))))</f>
        <v>7248.1788874805507</v>
      </c>
      <c r="R156" s="18">
        <f>IF($A156&gt;'1-Input'!$B$26,T155,(T155-MAX(0,P121-IF($A156&gt;='1-Input'!$C$12,'1-Input'!$B$12,0))+Q156*(1-'P-Parametri'!$B$6*P156))*(1+'1-Input'!$B$27))</f>
        <v>-9.0622052084654565E-13</v>
      </c>
      <c r="S156" s="18">
        <f>IF($A156&gt;'1-Input'!$B$26,U155,(U155-Q156)*(1+$B$4))</f>
        <v>75296.934298621389</v>
      </c>
      <c r="T156" s="18">
        <f>IF($A156&gt;'1-Input'!$B$26,R156,R156-'P-Parametri'!$B$8*(S156+R156)+MIN(MAX(S156,0),'P-Parametri'!$B$8*(S156+R156)))</f>
        <v>-9.0949470177292824E-13</v>
      </c>
      <c r="U156" s="18">
        <f>IF($A156&gt;'1-Input'!$B$26,S156,S156-MIN(MAX(S156,0),'P-Parametri'!$B$8*(S156+R156)))</f>
        <v>75146.340430024153</v>
      </c>
      <c r="V156" s="18">
        <f>IF($A156&gt;'1-Input'!$B$26,V155,V155-Q156*(1-P156))</f>
        <v>32727.499258796641</v>
      </c>
      <c r="W156" s="11">
        <f>IF($A156&gt;'1-Input'!$B$26,0,IF(AB155&lt;=0,0,MAX(0,(AB155-AC155)/AB155)))</f>
        <v>0.55666124318445509</v>
      </c>
      <c r="X156" s="18">
        <f>IF($A156&gt;'1-Input'!$B$26,0,(MAX(0,W121-IF($A156&gt;='1-Input'!$C$12,'1-Input'!$B$12,0))-MIN(MAX(AA155,0),MAX(0,W121-IF($A156&gt;='1-Input'!$C$12,'1-Input'!$B$12,0))))*(1/(1-'P-Parametri'!$B$6*W156))+MIN(MAX(0,AB155-(MAX(0,W121-IF($A156&gt;='1-Input'!$C$12,'1-Input'!$B$12,0))-MIN(MAX(AA155,0),MAX(0,W121-IF($A156&gt;='1-Input'!$C$12,'1-Input'!$B$12,0))))*(1/(1-'P-Parametri'!$B$6*W156))),MAX(0,0*W121-(AA155-MIN(MAX(AA155,0),MAX(0,W121-IF($A156&gt;='1-Input'!$C$12,'1-Input'!$B$12,0)))))*(1/(1-'P-Parametri'!$B$6*W156))))</f>
        <v>7140.2988678681777</v>
      </c>
      <c r="Y156" s="18">
        <f>IF($A156&gt;'1-Input'!$B$26,AA155,(AA155-MAX(0,W121-IF($A156&gt;='1-Input'!$C$12,'1-Input'!$B$12,0))+X156*(1-'P-Parametri'!$B$6*W156))*(1+'1-Input'!$B$27))</f>
        <v>0</v>
      </c>
      <c r="Z156" s="18">
        <f>IF($A156&gt;'1-Input'!$B$26,AB155,(AB155-X156)*(1+$B$4))</f>
        <v>79955.445242009577</v>
      </c>
      <c r="AA156" s="18">
        <f>IF($A156&gt;'1-Input'!$B$26,Y156,Y156-'P-Parametri'!$B$8*(Z156+Y156)+MIN(MAX(Z156,0),'P-Parametri'!$B$8*(Z156+Y156)))</f>
        <v>0</v>
      </c>
      <c r="AB156" s="18">
        <f>IF($A156&gt;'1-Input'!$B$26,Z156,Z156-MIN(MAX(Z156,0),'P-Parametri'!$B$8*(Z156+Y156)))</f>
        <v>79795.534351525552</v>
      </c>
      <c r="AC156" s="18">
        <f>IF($A156&gt;'1-Input'!$B$26,AC155,AC155-X156*(1-W156))</f>
        <v>34752.301661005782</v>
      </c>
      <c r="AD156" s="11">
        <f>IF($A156&gt;'1-Input'!$B$26,0,IF(AI155&lt;=0,0,MAX(0,(AI155-AJ155)/AI155)))</f>
        <v>0.55666124318445509</v>
      </c>
      <c r="AE156" s="18">
        <f>IF($A156&gt;'1-Input'!$B$26,0,(MAX(0,AD121-IF($A156&gt;='1-Input'!$C$12,'1-Input'!$B$12,0))-MIN(MAX(AH155,0),MAX(0,AD121-IF($A156&gt;='1-Input'!$C$12,'1-Input'!$B$12,0))))*(1/(1-'P-Parametri'!$B$6*AD156))+MIN(MAX(0,AI155-(MAX(0,AD121-IF($A156&gt;='1-Input'!$C$12,'1-Input'!$B$12,0))-MIN(MAX(AH155,0),MAX(0,AD121-IF($A156&gt;='1-Input'!$C$12,'1-Input'!$B$12,0))))*(1/(1-'P-Parametri'!$B$6*AD156))),MAX(0,0*AD121-(AH155-MIN(MAX(AH155,0),MAX(0,AD121-IF($A156&gt;='1-Input'!$C$12,'1-Input'!$B$12,0)))))*(1/(1-'P-Parametri'!$B$6*AD156))))</f>
        <v>7155.8672040976962</v>
      </c>
      <c r="AF156" s="18">
        <f>IF($A156&gt;'1-Input'!$B$26,AH155,(AH155-MAX(0,AD121-IF($A156&gt;='1-Input'!$C$12,'1-Input'!$B$12,0))+AE156*(1-'P-Parametri'!$B$6*AD156))*(1+'1-Input'!$B$27))</f>
        <v>0</v>
      </c>
      <c r="AG156" s="18">
        <f>IF($A156&gt;'1-Input'!$B$26,AI155,(AI155-AE156)*(1+$B$4))</f>
        <v>79283.168160895279</v>
      </c>
      <c r="AH156" s="18">
        <f>IF($A156&gt;'1-Input'!$B$26,AF156,AF156-'P-Parametri'!$B$8*(AG156+AF156)+MIN(MAX(AG156,0),'P-Parametri'!$B$8*(AG156+AF156)))</f>
        <v>0</v>
      </c>
      <c r="AI156" s="18">
        <f>IF($A156&gt;'1-Input'!$B$26,AG156,AG156-MIN(MAX(AG156,0),'P-Parametri'!$B$8*(AG156+AF156)))</f>
        <v>79124.601824573489</v>
      </c>
      <c r="AJ156" s="18">
        <f>IF($A156&gt;'1-Input'!$B$26,AJ155,AJ155-AE156*(1-AD156))</f>
        <v>34460.099224361868</v>
      </c>
      <c r="AK156" s="11">
        <f>IF($A156&gt;'1-Input'!$B$26,0,IF(AP155&lt;=0,0,MAX(0,(AP155-AQ155)/AP155)))</f>
        <v>0.55666124318445509</v>
      </c>
      <c r="AL156" s="18">
        <f>IF($A156&gt;'1-Input'!$B$26,0,(MAX(0,AK121-IF($A156&gt;='1-Input'!$C$12,'1-Input'!$B$12,0))-MIN(MAX(AO155,0),MAX(0,AK121-IF($A156&gt;='1-Input'!$C$12,'1-Input'!$B$12,0))))*(1/(1-'P-Parametri'!$B$6*AK156))+MIN(MAX(0,AP155-(MAX(0,AK121-IF($A156&gt;='1-Input'!$C$12,'1-Input'!$B$12,0))-MIN(MAX(AO155,0),MAX(0,AK121-IF($A156&gt;='1-Input'!$C$12,'1-Input'!$B$12,0))))*(1/(1-'P-Parametri'!$B$6*AK156))),MAX(0,0*AK121-(AO155-MIN(MAX(AO155,0),MAX(0,AK121-IF($A156&gt;='1-Input'!$C$12,'1-Input'!$B$12,0)))))*(1/(1-'P-Parametri'!$B$6*AK156))))</f>
        <v>7155.8672040976962</v>
      </c>
      <c r="AM156" s="18">
        <f>IF($A156&gt;'1-Input'!$B$26,AO155,(AO155-MAX(0,AK121-IF($A156&gt;='1-Input'!$C$12,'1-Input'!$B$12,0))+AL156*(1-'P-Parametri'!$B$6*AK156))*(1+'1-Input'!$B$27))</f>
        <v>0</v>
      </c>
      <c r="AN156" s="18">
        <f>IF($A156&gt;'1-Input'!$B$26,AP155,(AP155-AL156)*(1+$B$4))</f>
        <v>79283.168160895279</v>
      </c>
      <c r="AO156" s="18">
        <f>IF($A156&gt;'1-Input'!$B$26,AM156,AM156-'P-Parametri'!$B$8*(AN156+AM156)+MIN(MAX(AN156,0),'P-Parametri'!$B$8*(AN156+AM156)))</f>
        <v>0</v>
      </c>
      <c r="AP156" s="18">
        <f>IF($A156&gt;'1-Input'!$B$26,AN156,AN156-MIN(MAX(AN156,0),'P-Parametri'!$B$8*(AN156+AM156)))</f>
        <v>79124.601824573489</v>
      </c>
      <c r="AQ156" s="18">
        <f>IF($A156&gt;'1-Input'!$B$26,AQ155,AQ155-AL156*(1-AK156))</f>
        <v>34460.099224361868</v>
      </c>
    </row>
    <row r="157" spans="1:43">
      <c r="A157" s="10">
        <f>34</f>
        <v>34</v>
      </c>
      <c r="B157" s="11">
        <f>IF($A157&gt;'1-Input'!$B$26,0,IF(G156&lt;=0,0,MAX(0,(G156-H156)/G156)))</f>
        <v>0.56448312623723451</v>
      </c>
      <c r="C157" s="18">
        <f>IF($A157&gt;'1-Input'!$B$26,0,(MAX(0,B121-IF($A157&gt;='1-Input'!$C$12,'1-Input'!$B$12,0))-MIN(MAX(F156,0),MAX(0,B121-IF($A157&gt;='1-Input'!$C$12,'1-Input'!$B$12,0))))*(1/(1-'P-Parametri'!$B$6*B157))+MIN(MAX(0,G156-(MAX(0,B121-IF($A157&gt;='1-Input'!$C$12,'1-Input'!$B$12,0))-MIN(MAX(F156,0),MAX(0,B121-IF($A157&gt;='1-Input'!$C$12,'1-Input'!$B$12,0))))*(1/(1-'P-Parametri'!$B$6*B157))),MAX(0,0*B121-(F156-MIN(MAX(F156,0),MAX(0,B121-IF($A157&gt;='1-Input'!$C$12,'1-Input'!$B$12,0)))))*(1/(1-'P-Parametri'!$B$6*B157))))</f>
        <v>6538.7136271851004</v>
      </c>
      <c r="D157" s="18">
        <f>IF($A157&gt;'1-Input'!$B$26,F156,(F156-MAX(0,B121-IF($A157&gt;='1-Input'!$C$12,'1-Input'!$B$12,0))+C157*(1-'P-Parametri'!$B$6*B157))*(1+'1-Input'!$B$27))</f>
        <v>0</v>
      </c>
      <c r="E157" s="18">
        <f>IF($A157&gt;'1-Input'!$B$26,G156,(G156-C157)*(1+$B$4))</f>
        <v>101849.83119979058</v>
      </c>
      <c r="F157" s="18">
        <f>IF($A157&gt;'1-Input'!$B$26,D157,D157-'P-Parametri'!$B$8*(E157+D157)+MIN(MAX(E157,0),'P-Parametri'!$B$8*(E157+D157)))</f>
        <v>0</v>
      </c>
      <c r="G157" s="18">
        <f>IF($A157&gt;'1-Input'!$B$26,E157,E157-MIN(MAX(E157,0),'P-Parametri'!$B$8*(E157+D157)))</f>
        <v>101646.131537391</v>
      </c>
      <c r="H157" s="18">
        <f>IF($A157&gt;'1-Input'!$B$26,H156,H156-C157*(1-B157))</f>
        <v>43487.568703331541</v>
      </c>
      <c r="I157" s="11">
        <f>IF($A157&gt;'1-Input'!$B$26,0,IF(N156&lt;=0,0,MAX(0,(N156-O156)/N156)))</f>
        <v>0</v>
      </c>
      <c r="J157" s="18">
        <f>IF($A157&gt;'1-Input'!$B$26,0,(MAX(0,I121-IF($A157&gt;='1-Input'!$C$12,'1-Input'!$B$12,0))-MIN(MAX(M156,0),MAX(0,I121-IF($A157&gt;='1-Input'!$C$12,'1-Input'!$B$12,0))))*(1/(1-'P-Parametri'!$B$6*I157))+MIN(MAX(0,N156-(MAX(0,I121-IF($A157&gt;='1-Input'!$C$12,'1-Input'!$B$12,0))-MIN(MAX(M156,0),MAX(0,I121-IF($A157&gt;='1-Input'!$C$12,'1-Input'!$B$12,0))))*(1/(1-'P-Parametri'!$B$6*I157))),MAX(0,0*I121-(M156-MIN(MAX(M156,0),MAX(0,I121-IF($A157&gt;='1-Input'!$C$12,'1-Input'!$B$12,0)))))*(1/(1-'P-Parametri'!$B$6*I157))))</f>
        <v>10846.756992928691</v>
      </c>
      <c r="K157" s="18">
        <f>IF($A157&gt;'1-Input'!$B$26,M156,(M156-MAX(0,I121-IF($A157&gt;='1-Input'!$C$12,'1-Input'!$B$12,0))+J157*(1-'P-Parametri'!$B$6*I157))*(1+'1-Input'!$B$27))</f>
        <v>0</v>
      </c>
      <c r="L157" s="18">
        <f>IF($A157&gt;'1-Input'!$B$26,N156,(N156-J157)*(1+$B$4))</f>
        <v>-152396.74399751285</v>
      </c>
      <c r="M157" s="18">
        <f>IF($A157&gt;'1-Input'!$B$26,K157,K157-'P-Parametri'!$B$8*(L157+K157)+MIN(MAX(L157,0),'P-Parametri'!$B$8*(L157+K157)))</f>
        <v>0</v>
      </c>
      <c r="N157" s="18">
        <f>IF($A157&gt;'1-Input'!$B$26,L157,L157-MIN(MAX(L157,0),'P-Parametri'!$B$8*(L157+K157)))</f>
        <v>-152091.95050951783</v>
      </c>
      <c r="O157" s="18">
        <f>IF($A157&gt;'1-Input'!$B$26,O156,O156-J157*(1-I157))</f>
        <v>-132594.94163571685</v>
      </c>
      <c r="P157" s="11">
        <f>IF($A157&gt;'1-Input'!$B$26,0,IF(U156&lt;=0,0,MAX(0,(U156-V156)/U156)))</f>
        <v>0.5644831262372344</v>
      </c>
      <c r="Q157" s="18">
        <f>IF($A157&gt;'1-Input'!$B$26,0,(MAX(0,P121-IF($A157&gt;='1-Input'!$C$12,'1-Input'!$B$12,0))-MIN(MAX(T156,0),MAX(0,P121-IF($A157&gt;='1-Input'!$C$12,'1-Input'!$B$12,0))))*(1/(1-'P-Parametri'!$B$6*P157))+MIN(MAX(0,U156-(MAX(0,P121-IF($A157&gt;='1-Input'!$C$12,'1-Input'!$B$12,0))-MIN(MAX(T156,0),MAX(0,P121-IF($A157&gt;='1-Input'!$C$12,'1-Input'!$B$12,0))))*(1/(1-'P-Parametri'!$B$6*P157))),MAX(0,0*P121-(T156-MIN(MAX(T156,0),MAX(0,P121-IF($A157&gt;='1-Input'!$C$12,'1-Input'!$B$12,0)))))*(1/(1-'P-Parametri'!$B$6*P157))))</f>
        <v>7265.4549680024084</v>
      </c>
      <c r="R157" s="18">
        <f>IF($A157&gt;'1-Input'!$B$26,T156,(T156-MAX(0,P121-IF($A157&gt;='1-Input'!$C$12,'1-Input'!$B$12,0))+Q157*(1-'P-Parametri'!$B$6*P157))*(1+'1-Input'!$B$27))</f>
        <v>0</v>
      </c>
      <c r="S157" s="18">
        <f>IF($A157&gt;'1-Input'!$B$26,U156,(U156-Q157)*(1+$B$4))</f>
        <v>69238.503171262186</v>
      </c>
      <c r="T157" s="18">
        <f>IF($A157&gt;'1-Input'!$B$26,R157,R157-'P-Parametri'!$B$8*(S157+R157)+MIN(MAX(S157,0),'P-Parametri'!$B$8*(S157+R157)))</f>
        <v>0</v>
      </c>
      <c r="U157" s="18">
        <f>IF($A157&gt;'1-Input'!$B$26,S157,S157-MIN(MAX(S157,0),'P-Parametri'!$B$8*(S157+R157)))</f>
        <v>69100.026164919662</v>
      </c>
      <c r="V157" s="18">
        <f>IF($A157&gt;'1-Input'!$B$26,V156,V156-Q157*(1-P157))</f>
        <v>29563.271024668076</v>
      </c>
      <c r="W157" s="11">
        <f>IF($A157&gt;'1-Input'!$B$26,0,IF(AB156&lt;=0,0,MAX(0,(AB156-AC156)/AB156)))</f>
        <v>0.5644831262372344</v>
      </c>
      <c r="X157" s="18">
        <f>IF($A157&gt;'1-Input'!$B$26,0,(MAX(0,W121-IF($A157&gt;='1-Input'!$C$12,'1-Input'!$B$12,0))-MIN(MAX(AA156,0),MAX(0,W121-IF($A157&gt;='1-Input'!$C$12,'1-Input'!$B$12,0))))*(1/(1-'P-Parametri'!$B$6*W157))+MIN(MAX(0,AB156-(MAX(0,W121-IF($A157&gt;='1-Input'!$C$12,'1-Input'!$B$12,0))-MIN(MAX(AA156,0),MAX(0,W121-IF($A157&gt;='1-Input'!$C$12,'1-Input'!$B$12,0))))*(1/(1-'P-Parametri'!$B$6*W157))),MAX(0,0*W121-(AA156-MIN(MAX(AA156,0),MAX(0,W121-IF($A157&gt;='1-Input'!$C$12,'1-Input'!$B$12,0)))))*(1/(1-'P-Parametri'!$B$6*W157))))</f>
        <v>7157.3178156764989</v>
      </c>
      <c r="Y157" s="18">
        <f>IF($A157&gt;'1-Input'!$B$26,AA156,(AA156-MAX(0,W121-IF($A157&gt;='1-Input'!$C$12,'1-Input'!$B$12,0))+X157*(1-'P-Parametri'!$B$6*W157))*(1+'1-Input'!$B$27))</f>
        <v>9.0622052084654565E-13</v>
      </c>
      <c r="Z157" s="18">
        <f>IF($A157&gt;'1-Input'!$B$26,AB156,(AB156-X157)*(1+$B$4))</f>
        <v>74090.980866566038</v>
      </c>
      <c r="AA157" s="18">
        <f>IF($A157&gt;'1-Input'!$B$26,Y157,Y157-'P-Parametri'!$B$8*(Z157+Y157)+MIN(MAX(Z157,0),'P-Parametri'!$B$8*(Z157+Y157)))</f>
        <v>9.0949470177292824E-13</v>
      </c>
      <c r="AB157" s="18">
        <f>IF($A157&gt;'1-Input'!$B$26,Z157,Z157-MIN(MAX(Z157,0),'P-Parametri'!$B$8*(Z157+Y157)))</f>
        <v>73942.798904832904</v>
      </c>
      <c r="AC157" s="18">
        <f>IF($A157&gt;'1-Input'!$B$26,AC156,AC156-X157*(1-W157))</f>
        <v>31635.168981395807</v>
      </c>
      <c r="AD157" s="11">
        <f>IF($A157&gt;'1-Input'!$B$26,0,IF(AI156&lt;=0,0,MAX(0,(AI156-AJ156)/AI156)))</f>
        <v>0.5644831262372344</v>
      </c>
      <c r="AE157" s="18">
        <f>IF($A157&gt;'1-Input'!$B$26,0,(MAX(0,AD121-IF($A157&gt;='1-Input'!$C$12,'1-Input'!$B$12,0))-MIN(MAX(AH156,0),MAX(0,AD121-IF($A157&gt;='1-Input'!$C$12,'1-Input'!$B$12,0))))*(1/(1-'P-Parametri'!$B$6*AD157))+MIN(MAX(0,AI156-(MAX(0,AD121-IF($A157&gt;='1-Input'!$C$12,'1-Input'!$B$12,0))-MIN(MAX(AH156,0),MAX(0,AD121-IF($A157&gt;='1-Input'!$C$12,'1-Input'!$B$12,0))))*(1/(1-'P-Parametri'!$B$6*AD157))),MAX(0,0*AD121-(AH156-MIN(MAX(AH156,0),MAX(0,AD121-IF($A157&gt;='1-Input'!$C$12,'1-Input'!$B$12,0)))))*(1/(1-'P-Parametri'!$B$6*AD157))))</f>
        <v>7172.9232591345317</v>
      </c>
      <c r="AF157" s="18">
        <f>IF($A157&gt;'1-Input'!$B$26,AH156,(AH156-MAX(0,AD121-IF($A157&gt;='1-Input'!$C$12,'1-Input'!$B$12,0))+AE157*(1-'P-Parametri'!$B$6*AD157))*(1+'1-Input'!$B$27))</f>
        <v>0</v>
      </c>
      <c r="AG157" s="18">
        <f>IF($A157&gt;'1-Input'!$B$26,AI156,(AI156-AE157)*(1+$B$4))</f>
        <v>73390.712136747738</v>
      </c>
      <c r="AH157" s="18">
        <f>IF($A157&gt;'1-Input'!$B$26,AF157,AF157-'P-Parametri'!$B$8*(AG157+AF157)+MIN(MAX(AG157,0),'P-Parametri'!$B$8*(AG157+AF157)))</f>
        <v>0</v>
      </c>
      <c r="AI157" s="18">
        <f>IF($A157&gt;'1-Input'!$B$26,AG157,AG157-MIN(MAX(AG157,0),'P-Parametri'!$B$8*(AG157+AF157)))</f>
        <v>73243.930712474248</v>
      </c>
      <c r="AJ157" s="18">
        <f>IF($A157&gt;'1-Input'!$B$26,AJ156,AJ156-AE157*(1-AD157))</f>
        <v>31336.170110803367</v>
      </c>
      <c r="AK157" s="11">
        <f>IF($A157&gt;'1-Input'!$B$26,0,IF(AP156&lt;=0,0,MAX(0,(AP156-AQ156)/AP156)))</f>
        <v>0.5644831262372344</v>
      </c>
      <c r="AL157" s="18">
        <f>IF($A157&gt;'1-Input'!$B$26,0,(MAX(0,AK121-IF($A157&gt;='1-Input'!$C$12,'1-Input'!$B$12,0))-MIN(MAX(AO156,0),MAX(0,AK121-IF($A157&gt;='1-Input'!$C$12,'1-Input'!$B$12,0))))*(1/(1-'P-Parametri'!$B$6*AK157))+MIN(MAX(0,AP156-(MAX(0,AK121-IF($A157&gt;='1-Input'!$C$12,'1-Input'!$B$12,0))-MIN(MAX(AO156,0),MAX(0,AK121-IF($A157&gt;='1-Input'!$C$12,'1-Input'!$B$12,0))))*(1/(1-'P-Parametri'!$B$6*AK157))),MAX(0,0*AK121-(AO156-MIN(MAX(AO156,0),MAX(0,AK121-IF($A157&gt;='1-Input'!$C$12,'1-Input'!$B$12,0)))))*(1/(1-'P-Parametri'!$B$6*AK157))))</f>
        <v>7172.9232591345317</v>
      </c>
      <c r="AM157" s="18">
        <f>IF($A157&gt;'1-Input'!$B$26,AO156,(AO156-MAX(0,AK121-IF($A157&gt;='1-Input'!$C$12,'1-Input'!$B$12,0))+AL157*(1-'P-Parametri'!$B$6*AK157))*(1+'1-Input'!$B$27))</f>
        <v>0</v>
      </c>
      <c r="AN157" s="18">
        <f>IF($A157&gt;'1-Input'!$B$26,AP156,(AP156-AL157)*(1+$B$4))</f>
        <v>73390.712136747738</v>
      </c>
      <c r="AO157" s="18">
        <f>IF($A157&gt;'1-Input'!$B$26,AM157,AM157-'P-Parametri'!$B$8*(AN157+AM157)+MIN(MAX(AN157,0),'P-Parametri'!$B$8*(AN157+AM157)))</f>
        <v>0</v>
      </c>
      <c r="AP157" s="18">
        <f>IF($A157&gt;'1-Input'!$B$26,AN157,AN157-MIN(MAX(AN157,0),'P-Parametri'!$B$8*(AN157+AM157)))</f>
        <v>73243.930712474248</v>
      </c>
      <c r="AQ157" s="18">
        <f>IF($A157&gt;'1-Input'!$B$26,AQ156,AQ156-AL157*(1-AK157))</f>
        <v>31336.170110803367</v>
      </c>
    </row>
    <row r="158" spans="1:43">
      <c r="A158" s="10">
        <f>35</f>
        <v>35</v>
      </c>
      <c r="B158" s="11">
        <f>IF($A158&gt;'1-Input'!$B$26,0,IF(G157&lt;=0,0,MAX(0,(G157-H157)/G157)))</f>
        <v>0.57216700679519283</v>
      </c>
      <c r="C158" s="18">
        <f>IF($A158&gt;'1-Input'!$B$26,0,(MAX(0,B121-IF($A158&gt;='1-Input'!$C$12,'1-Input'!$B$12,0))-MIN(MAX(F157,0),MAX(0,B121-IF($A158&gt;='1-Input'!$C$12,'1-Input'!$B$12,0))))*(1/(1-'P-Parametri'!$B$6*B158))+MIN(MAX(0,G157-(MAX(0,B121-IF($A158&gt;='1-Input'!$C$12,'1-Input'!$B$12,0))-MIN(MAX(F157,0),MAX(0,B121-IF($A158&gt;='1-Input'!$C$12,'1-Input'!$B$12,0))))*(1/(1-'P-Parametri'!$B$6*B158))),MAX(0,0*B121-(F157-MIN(MAX(F157,0),MAX(0,B121-IF($A158&gt;='1-Input'!$C$12,'1-Input'!$B$12,0)))))*(1/(1-'P-Parametri'!$B$6*B158))))</f>
        <v>6554.0596554311469</v>
      </c>
      <c r="D158" s="18">
        <f>IF($A158&gt;'1-Input'!$B$26,F157,(F157-MAX(0,B121-IF($A158&gt;='1-Input'!$C$12,'1-Input'!$B$12,0))+C158*(1-'P-Parametri'!$B$6*B158))*(1+'1-Input'!$B$27))</f>
        <v>-9.0622052084654565E-13</v>
      </c>
      <c r="E158" s="18">
        <f>IF($A158&gt;'1-Input'!$B$26,G157,(G157-C158)*(1+$B$4))</f>
        <v>96993.913319599058</v>
      </c>
      <c r="F158" s="18">
        <f>IF($A158&gt;'1-Input'!$B$26,D158,D158-'P-Parametri'!$B$8*(E158+D158)+MIN(MAX(E158,0),'P-Parametri'!$B$8*(E158+D158)))</f>
        <v>-9.0949470177292824E-13</v>
      </c>
      <c r="G158" s="18">
        <f>IF($A158&gt;'1-Input'!$B$26,E158,E158-MIN(MAX(E158,0),'P-Parametri'!$B$8*(E158+D158)))</f>
        <v>96799.925492959854</v>
      </c>
      <c r="H158" s="18">
        <f>IF($A158&gt;'1-Input'!$B$26,H157,H157-C158*(1-B158))</f>
        <v>40683.525743305567</v>
      </c>
      <c r="I158" s="11">
        <f>IF($A158&gt;'1-Input'!$B$26,0,IF(N157&lt;=0,0,MAX(0,(N157-O157)/N157)))</f>
        <v>0</v>
      </c>
      <c r="J158" s="18">
        <f>IF($A158&gt;'1-Input'!$B$26,0,(MAX(0,I121-IF($A158&gt;='1-Input'!$C$12,'1-Input'!$B$12,0))-MIN(MAX(M157,0),MAX(0,I121-IF($A158&gt;='1-Input'!$C$12,'1-Input'!$B$12,0))))*(1/(1-'P-Parametri'!$B$6*I158))+MIN(MAX(0,N157-(MAX(0,I121-IF($A158&gt;='1-Input'!$C$12,'1-Input'!$B$12,0))-MIN(MAX(M157,0),MAX(0,I121-IF($A158&gt;='1-Input'!$C$12,'1-Input'!$B$12,0))))*(1/(1-'P-Parametri'!$B$6*I158))),MAX(0,0*I121-(M157-MIN(MAX(M157,0),MAX(0,I121-IF($A158&gt;='1-Input'!$C$12,'1-Input'!$B$12,0)))))*(1/(1-'P-Parametri'!$B$6*I158))))</f>
        <v>10846.756992928691</v>
      </c>
      <c r="K158" s="18">
        <f>IF($A158&gt;'1-Input'!$B$26,M157,(M157-MAX(0,I121-IF($A158&gt;='1-Input'!$C$12,'1-Input'!$B$12,0))+J158*(1-'P-Parametri'!$B$6*I158))*(1+'1-Input'!$B$27))</f>
        <v>0</v>
      </c>
      <c r="L158" s="18">
        <f>IF($A158&gt;'1-Input'!$B$26,N157,(N157-J158)*(1+$B$4))</f>
        <v>-166197.48165249545</v>
      </c>
      <c r="M158" s="18">
        <f>IF($A158&gt;'1-Input'!$B$26,K158,K158-'P-Parametri'!$B$8*(L158+K158)+MIN(MAX(L158,0),'P-Parametri'!$B$8*(L158+K158)))</f>
        <v>0</v>
      </c>
      <c r="N158" s="18">
        <f>IF($A158&gt;'1-Input'!$B$26,L158,L158-MIN(MAX(L158,0),'P-Parametri'!$B$8*(L158+K158)))</f>
        <v>-165865.08668919047</v>
      </c>
      <c r="O158" s="18">
        <f>IF($A158&gt;'1-Input'!$B$26,O157,O157-J158*(1-I158))</f>
        <v>-143441.69862864554</v>
      </c>
      <c r="P158" s="11">
        <f>IF($A158&gt;'1-Input'!$B$26,0,IF(U157&lt;=0,0,MAX(0,(U157-V157)/U157)))</f>
        <v>0.57216700679519272</v>
      </c>
      <c r="Q158" s="18">
        <f>IF($A158&gt;'1-Input'!$B$26,0,(MAX(0,P121-IF($A158&gt;='1-Input'!$C$12,'1-Input'!$B$12,0))-MIN(MAX(T157,0),MAX(0,P121-IF($A158&gt;='1-Input'!$C$12,'1-Input'!$B$12,0))))*(1/(1-'P-Parametri'!$B$6*P158))+MIN(MAX(0,U157-(MAX(0,P121-IF($A158&gt;='1-Input'!$C$12,'1-Input'!$B$12,0))-MIN(MAX(T157,0),MAX(0,P121-IF($A158&gt;='1-Input'!$C$12,'1-Input'!$B$12,0))))*(1/(1-'P-Parametri'!$B$6*P158))),MAX(0,0*P121-(T157-MIN(MAX(T157,0),MAX(0,P121-IF($A158&gt;='1-Input'!$C$12,'1-Input'!$B$12,0)))))*(1/(1-'P-Parametri'!$B$6*P158))))</f>
        <v>7282.5066212046204</v>
      </c>
      <c r="R158" s="18">
        <f>IF($A158&gt;'1-Input'!$B$26,T157,(T157-MAX(0,P121-IF($A158&gt;='1-Input'!$C$12,'1-Input'!$B$12,0))+Q158*(1-'P-Parametri'!$B$6*P158))*(1+'1-Input'!$B$27))</f>
        <v>-9.0622052084654565E-13</v>
      </c>
      <c r="S158" s="18">
        <f>IF($A158&gt;'1-Input'!$B$26,U157,(U157-Q158)*(1+$B$4))</f>
        <v>63053.86993458934</v>
      </c>
      <c r="T158" s="18">
        <f>IF($A158&gt;'1-Input'!$B$26,R158,R158-'P-Parametri'!$B$8*(S158+R158)+MIN(MAX(S158,0),'P-Parametri'!$B$8*(S158+R158)))</f>
        <v>-9.0949470177292824E-13</v>
      </c>
      <c r="U158" s="18">
        <f>IF($A158&gt;'1-Input'!$B$26,S158,S158-MIN(MAX(S158,0),'P-Parametri'!$B$8*(S158+R158)))</f>
        <v>62927.762194720162</v>
      </c>
      <c r="V158" s="18">
        <f>IF($A158&gt;'1-Input'!$B$26,V157,V157-Q158*(1-P158))</f>
        <v>26447.574418884276</v>
      </c>
      <c r="W158" s="11">
        <f>IF($A158&gt;'1-Input'!$B$26,0,IF(AB157&lt;=0,0,MAX(0,(AB157-AC157)/AB157)))</f>
        <v>0.57216700679519272</v>
      </c>
      <c r="X158" s="18">
        <f>IF($A158&gt;'1-Input'!$B$26,0,(MAX(0,W121-IF($A158&gt;='1-Input'!$C$12,'1-Input'!$B$12,0))-MIN(MAX(AA157,0),MAX(0,W121-IF($A158&gt;='1-Input'!$C$12,'1-Input'!$B$12,0))))*(1/(1-'P-Parametri'!$B$6*W158))+MIN(MAX(0,AB157-(MAX(0,W121-IF($A158&gt;='1-Input'!$C$12,'1-Input'!$B$12,0))-MIN(MAX(AA157,0),MAX(0,W121-IF($A158&gt;='1-Input'!$C$12,'1-Input'!$B$12,0))))*(1/(1-'P-Parametri'!$B$6*W158))),MAX(0,0*W121-(AA157-MIN(MAX(AA157,0),MAX(0,W121-IF($A158&gt;='1-Input'!$C$12,'1-Input'!$B$12,0)))))*(1/(1-'P-Parametri'!$B$6*W158))))</f>
        <v>7174.1156764833468</v>
      </c>
      <c r="Y158" s="18">
        <f>IF($A158&gt;'1-Input'!$B$26,AA157,(AA157-MAX(0,W121-IF($A158&gt;='1-Input'!$C$12,'1-Input'!$B$12,0))+X158*(1-'P-Parametri'!$B$6*W158))*(1+'1-Input'!$B$27))</f>
        <v>0</v>
      </c>
      <c r="Z158" s="18">
        <f>IF($A158&gt;'1-Input'!$B$26,AB157,(AB157-X158)*(1+$B$4))</f>
        <v>68104.05689291656</v>
      </c>
      <c r="AA158" s="18">
        <f>IF($A158&gt;'1-Input'!$B$26,Y158,Y158-'P-Parametri'!$B$8*(Z158+Y158)+MIN(MAX(Z158,0),'P-Parametri'!$B$8*(Z158+Y158)))</f>
        <v>0</v>
      </c>
      <c r="AB158" s="18">
        <f>IF($A158&gt;'1-Input'!$B$26,Z158,Z158-MIN(MAX(Z158,0),'P-Parametri'!$B$8*(Z158+Y158)))</f>
        <v>67967.848779130727</v>
      </c>
      <c r="AC158" s="18">
        <f>IF($A158&gt;'1-Input'!$B$26,AC157,AC157-X158*(1-W158))</f>
        <v>28565.845597928404</v>
      </c>
      <c r="AD158" s="11">
        <f>IF($A158&gt;'1-Input'!$B$26,0,IF(AI157&lt;=0,0,MAX(0,(AI157-AJ157)/AI157)))</f>
        <v>0.57216700679519272</v>
      </c>
      <c r="AE158" s="18">
        <f>IF($A158&gt;'1-Input'!$B$26,0,(MAX(0,AD121-IF($A158&gt;='1-Input'!$C$12,'1-Input'!$B$12,0))-MIN(MAX(AH157,0),MAX(0,AD121-IF($A158&gt;='1-Input'!$C$12,'1-Input'!$B$12,0))))*(1/(1-'P-Parametri'!$B$6*AD158))+MIN(MAX(0,AI157-(MAX(0,AD121-IF($A158&gt;='1-Input'!$C$12,'1-Input'!$B$12,0))-MIN(MAX(AH157,0),MAX(0,AD121-IF($A158&gt;='1-Input'!$C$12,'1-Input'!$B$12,0))))*(1/(1-'P-Parametri'!$B$6*AD158))),MAX(0,0*AD121-(AH157-MIN(MAX(AH157,0),MAX(0,AD121-IF($A158&gt;='1-Input'!$C$12,'1-Input'!$B$12,0)))))*(1/(1-'P-Parametri'!$B$6*AD158))))</f>
        <v>7189.7577451232983</v>
      </c>
      <c r="AF158" s="18">
        <f>IF($A158&gt;'1-Input'!$B$26,AH157,(AH157-MAX(0,AD121-IF($A158&gt;='1-Input'!$C$12,'1-Input'!$B$12,0))+AE158*(1-'P-Parametri'!$B$6*AD158))*(1+'1-Input'!$B$27))</f>
        <v>0</v>
      </c>
      <c r="AG158" s="18">
        <f>IF($A158&gt;'1-Input'!$B$26,AI157,(AI157-AE158)*(1+$B$4))</f>
        <v>67375.256426697975</v>
      </c>
      <c r="AH158" s="18">
        <f>IF($A158&gt;'1-Input'!$B$26,AF158,AF158-'P-Parametri'!$B$8*(AG158+AF158)+MIN(MAX(AG158,0),'P-Parametri'!$B$8*(AG158+AF158)))</f>
        <v>0</v>
      </c>
      <c r="AI158" s="18">
        <f>IF($A158&gt;'1-Input'!$B$26,AG158,AG158-MIN(MAX(AG158,0),'P-Parametri'!$B$8*(AG158+AF158)))</f>
        <v>67240.505913844579</v>
      </c>
      <c r="AJ158" s="18">
        <f>IF($A158&gt;'1-Input'!$B$26,AJ157,AJ157-AE158*(1-AD158))</f>
        <v>28260.154534289821</v>
      </c>
      <c r="AK158" s="11">
        <f>IF($A158&gt;'1-Input'!$B$26,0,IF(AP157&lt;=0,0,MAX(0,(AP157-AQ157)/AP157)))</f>
        <v>0.57216700679519272</v>
      </c>
      <c r="AL158" s="18">
        <f>IF($A158&gt;'1-Input'!$B$26,0,(MAX(0,AK121-IF($A158&gt;='1-Input'!$C$12,'1-Input'!$B$12,0))-MIN(MAX(AO157,0),MAX(0,AK121-IF($A158&gt;='1-Input'!$C$12,'1-Input'!$B$12,0))))*(1/(1-'P-Parametri'!$B$6*AK158))+MIN(MAX(0,AP157-(MAX(0,AK121-IF($A158&gt;='1-Input'!$C$12,'1-Input'!$B$12,0))-MIN(MAX(AO157,0),MAX(0,AK121-IF($A158&gt;='1-Input'!$C$12,'1-Input'!$B$12,0))))*(1/(1-'P-Parametri'!$B$6*AK158))),MAX(0,0*AK121-(AO157-MIN(MAX(AO157,0),MAX(0,AK121-IF($A158&gt;='1-Input'!$C$12,'1-Input'!$B$12,0)))))*(1/(1-'P-Parametri'!$B$6*AK158))))</f>
        <v>7189.7577451232983</v>
      </c>
      <c r="AM158" s="18">
        <f>IF($A158&gt;'1-Input'!$B$26,AO157,(AO157-MAX(0,AK121-IF($A158&gt;='1-Input'!$C$12,'1-Input'!$B$12,0))+AL158*(1-'P-Parametri'!$B$6*AK158))*(1+'1-Input'!$B$27))</f>
        <v>0</v>
      </c>
      <c r="AN158" s="18">
        <f>IF($A158&gt;'1-Input'!$B$26,AP157,(AP157-AL158)*(1+$B$4))</f>
        <v>67375.256426697975</v>
      </c>
      <c r="AO158" s="18">
        <f>IF($A158&gt;'1-Input'!$B$26,AM158,AM158-'P-Parametri'!$B$8*(AN158+AM158)+MIN(MAX(AN158,0),'P-Parametri'!$B$8*(AN158+AM158)))</f>
        <v>0</v>
      </c>
      <c r="AP158" s="18">
        <f>IF($A158&gt;'1-Input'!$B$26,AN158,AN158-MIN(MAX(AN158,0),'P-Parametri'!$B$8*(AN158+AM158)))</f>
        <v>67240.505913844579</v>
      </c>
      <c r="AQ158" s="18">
        <f>IF($A158&gt;'1-Input'!$B$26,AQ157,AQ157-AL158*(1-AK158))</f>
        <v>28260.154534289821</v>
      </c>
    </row>
    <row r="159" spans="1:43">
      <c r="A159" s="10">
        <f>36</f>
        <v>36</v>
      </c>
      <c r="B159" s="11">
        <f>IF($A159&gt;'1-Input'!$B$26,0,IF(G158&lt;=0,0,MAX(0,(G158-H158)/G158)))</f>
        <v>0.57971531965420331</v>
      </c>
      <c r="C159" s="18">
        <f>IF($A159&gt;'1-Input'!$B$26,0,(MAX(0,B121-IF($A159&gt;='1-Input'!$C$12,'1-Input'!$B$12,0))-MIN(MAX(F158,0),MAX(0,B121-IF($A159&gt;='1-Input'!$C$12,'1-Input'!$B$12,0))))*(1/(1-'P-Parametri'!$B$6*B159))+MIN(MAX(0,G158-(MAX(0,B121-IF($A159&gt;='1-Input'!$C$12,'1-Input'!$B$12,0))-MIN(MAX(F158,0),MAX(0,B121-IF($A159&gt;='1-Input'!$C$12,'1-Input'!$B$12,0))))*(1/(1-'P-Parametri'!$B$6*B159))),MAX(0,0*B121-(F158-MIN(MAX(F158,0),MAX(0,B121-IF($A159&gt;='1-Input'!$C$12,'1-Input'!$B$12,0)))))*(1/(1-'P-Parametri'!$B$6*B159))))</f>
        <v>6569.2052313770791</v>
      </c>
      <c r="D159" s="18">
        <f>IF($A159&gt;'1-Input'!$B$26,F158,(F158-MAX(0,B121-IF($A159&gt;='1-Input'!$C$12,'1-Input'!$B$12,0))+C159*(1-'P-Parametri'!$B$6*B159))*(1+'1-Input'!$B$27))</f>
        <v>0</v>
      </c>
      <c r="E159" s="18">
        <f>IF($A159&gt;'1-Input'!$B$26,G158,(G158-C159)*(1+$B$4))</f>
        <v>92035.334666814422</v>
      </c>
      <c r="F159" s="18">
        <f>IF($A159&gt;'1-Input'!$B$26,D159,D159-'P-Parametri'!$B$8*(E159+D159)+MIN(MAX(E159,0),'P-Parametri'!$B$8*(E159+D159)))</f>
        <v>0</v>
      </c>
      <c r="G159" s="18">
        <f>IF($A159&gt;'1-Input'!$B$26,E159,E159-MIN(MAX(E159,0),'P-Parametri'!$B$8*(E159+D159)))</f>
        <v>91851.263997480797</v>
      </c>
      <c r="H159" s="18">
        <f>IF($A159&gt;'1-Input'!$B$26,H158,H158-C159*(1-B159))</f>
        <v>37922.589422510318</v>
      </c>
      <c r="I159" s="11">
        <f>IF($A159&gt;'1-Input'!$B$26,0,IF(N158&lt;=0,0,MAX(0,(N158-O158)/N158)))</f>
        <v>0</v>
      </c>
      <c r="J159" s="18">
        <f>IF($A159&gt;'1-Input'!$B$26,0,(MAX(0,I121-IF($A159&gt;='1-Input'!$C$12,'1-Input'!$B$12,0))-MIN(MAX(M158,0),MAX(0,I121-IF($A159&gt;='1-Input'!$C$12,'1-Input'!$B$12,0))))*(1/(1-'P-Parametri'!$B$6*I159))+MIN(MAX(0,N158-(MAX(0,I121-IF($A159&gt;='1-Input'!$C$12,'1-Input'!$B$12,0))-MIN(MAX(M158,0),MAX(0,I121-IF($A159&gt;='1-Input'!$C$12,'1-Input'!$B$12,0))))*(1/(1-'P-Parametri'!$B$6*I159))),MAX(0,0*I121-(M158-MIN(MAX(M158,0),MAX(0,I121-IF($A159&gt;='1-Input'!$C$12,'1-Input'!$B$12,0)))))*(1/(1-'P-Parametri'!$B$6*I159))))</f>
        <v>10846.756992928691</v>
      </c>
      <c r="K159" s="18">
        <f>IF($A159&gt;'1-Input'!$B$26,M158,(M158-MAX(0,I121-IF($A159&gt;='1-Input'!$C$12,'1-Input'!$B$12,0))+J159*(1-'P-Parametri'!$B$6*I159))*(1+'1-Input'!$B$27))</f>
        <v>0</v>
      </c>
      <c r="L159" s="18">
        <f>IF($A159&gt;'1-Input'!$B$26,N158,(N158-J159)*(1+$B$4))</f>
        <v>-180246.08055576155</v>
      </c>
      <c r="M159" s="18">
        <f>IF($A159&gt;'1-Input'!$B$26,K159,K159-'P-Parametri'!$B$8*(L159+K159)+MIN(MAX(L159,0),'P-Parametri'!$B$8*(L159+K159)))</f>
        <v>0</v>
      </c>
      <c r="N159" s="18">
        <f>IF($A159&gt;'1-Input'!$B$26,L159,L159-MIN(MAX(L159,0),'P-Parametri'!$B$8*(L159+K159)))</f>
        <v>-179885.58839465003</v>
      </c>
      <c r="O159" s="18">
        <f>IF($A159&gt;'1-Input'!$B$26,O158,O158-J159*(1-I159))</f>
        <v>-154288.45562157422</v>
      </c>
      <c r="P159" s="11">
        <f>IF($A159&gt;'1-Input'!$B$26,0,IF(U158&lt;=0,0,MAX(0,(U158-V158)/U158)))</f>
        <v>0.57971531965420331</v>
      </c>
      <c r="Q159" s="18">
        <f>IF($A159&gt;'1-Input'!$B$26,0,(MAX(0,P121-IF($A159&gt;='1-Input'!$C$12,'1-Input'!$B$12,0))-MIN(MAX(T158,0),MAX(0,P121-IF($A159&gt;='1-Input'!$C$12,'1-Input'!$B$12,0))))*(1/(1-'P-Parametri'!$B$6*P159))+MIN(MAX(0,U158-(MAX(0,P121-IF($A159&gt;='1-Input'!$C$12,'1-Input'!$B$12,0))-MIN(MAX(T158,0),MAX(0,P121-IF($A159&gt;='1-Input'!$C$12,'1-Input'!$B$12,0))))*(1/(1-'P-Parametri'!$B$6*P159))),MAX(0,0*P121-(T158-MIN(MAX(T158,0),MAX(0,P121-IF($A159&gt;='1-Input'!$C$12,'1-Input'!$B$12,0)))))*(1/(1-'P-Parametri'!$B$6*P159))))</f>
        <v>7299.335542957996</v>
      </c>
      <c r="R159" s="18">
        <f>IF($A159&gt;'1-Input'!$B$26,T158,(T158-MAX(0,P121-IF($A159&gt;='1-Input'!$C$12,'1-Input'!$B$12,0))+Q159*(1-'P-Parametri'!$B$6*P159))*(1+'1-Input'!$B$27))</f>
        <v>0</v>
      </c>
      <c r="S159" s="18">
        <f>IF($A159&gt;'1-Input'!$B$26,U158,(U158-Q159)*(1+$B$4))</f>
        <v>56740.995184797408</v>
      </c>
      <c r="T159" s="18">
        <f>IF($A159&gt;'1-Input'!$B$26,R159,R159-'P-Parametri'!$B$8*(S159+R159)+MIN(MAX(S159,0),'P-Parametri'!$B$8*(S159+R159)))</f>
        <v>0</v>
      </c>
      <c r="U159" s="18">
        <f>IF($A159&gt;'1-Input'!$B$26,S159,S159-MIN(MAX(S159,0),'P-Parametri'!$B$8*(S159+R159)))</f>
        <v>56627.513194427811</v>
      </c>
      <c r="V159" s="18">
        <f>IF($A159&gt;'1-Input'!$B$26,V158,V158-Q159*(1-P159))</f>
        <v>23379.775513475463</v>
      </c>
      <c r="W159" s="11">
        <f>IF($A159&gt;'1-Input'!$B$26,0,IF(AB158&lt;=0,0,MAX(0,(AB158-AC158)/AB158)))</f>
        <v>0.57971531965420331</v>
      </c>
      <c r="X159" s="18">
        <f>IF($A159&gt;'1-Input'!$B$26,0,(MAX(0,W121-IF($A159&gt;='1-Input'!$C$12,'1-Input'!$B$12,0))-MIN(MAX(AA158,0),MAX(0,W121-IF($A159&gt;='1-Input'!$C$12,'1-Input'!$B$12,0))))*(1/(1-'P-Parametri'!$B$6*W159))+MIN(MAX(0,AB158-(MAX(0,W121-IF($A159&gt;='1-Input'!$C$12,'1-Input'!$B$12,0))-MIN(MAX(AA158,0),MAX(0,W121-IF($A159&gt;='1-Input'!$C$12,'1-Input'!$B$12,0))))*(1/(1-'P-Parametri'!$B$6*W159))),MAX(0,0*W121-(AA158-MIN(MAX(AA158,0),MAX(0,W121-IF($A159&gt;='1-Input'!$C$12,'1-Input'!$B$12,0)))))*(1/(1-'P-Parametri'!$B$6*W159))))</f>
        <v>7190.694120918627</v>
      </c>
      <c r="Y159" s="18">
        <f>IF($A159&gt;'1-Input'!$B$26,AA158,(AA158-MAX(0,W121-IF($A159&gt;='1-Input'!$C$12,'1-Input'!$B$12,0))+X159*(1-'P-Parametri'!$B$6*W159))*(1+'1-Input'!$B$27))</f>
        <v>0</v>
      </c>
      <c r="Z159" s="18">
        <f>IF($A159&gt;'1-Input'!$B$26,AB158,(AB158-X159)*(1+$B$4))</f>
        <v>61992.697751376341</v>
      </c>
      <c r="AA159" s="18">
        <f>IF($A159&gt;'1-Input'!$B$26,Y159,Y159-'P-Parametri'!$B$8*(Z159+Y159)+MIN(MAX(Z159,0),'P-Parametri'!$B$8*(Z159+Y159)))</f>
        <v>0</v>
      </c>
      <c r="AB159" s="18">
        <f>IF($A159&gt;'1-Input'!$B$26,Z159,Z159-MIN(MAX(Z159,0),'P-Parametri'!$B$8*(Z159+Y159)))</f>
        <v>61868.712355873591</v>
      </c>
      <c r="AC159" s="18">
        <f>IF($A159&gt;'1-Input'!$B$26,AC158,AC158-X159*(1-W159))</f>
        <v>25543.707017853718</v>
      </c>
      <c r="AD159" s="11">
        <f>IF($A159&gt;'1-Input'!$B$26,0,IF(AI158&lt;=0,0,MAX(0,(AI158-AJ158)/AI158)))</f>
        <v>0.57971531965420342</v>
      </c>
      <c r="AE159" s="18">
        <f>IF($A159&gt;'1-Input'!$B$26,0,(MAX(0,AD121-IF($A159&gt;='1-Input'!$C$12,'1-Input'!$B$12,0))-MIN(MAX(AH158,0),MAX(0,AD121-IF($A159&gt;='1-Input'!$C$12,'1-Input'!$B$12,0))))*(1/(1-'P-Parametri'!$B$6*AD159))+MIN(MAX(0,AI158-(MAX(0,AD121-IF($A159&gt;='1-Input'!$C$12,'1-Input'!$B$12,0))-MIN(MAX(AH158,0),MAX(0,AD121-IF($A159&gt;='1-Input'!$C$12,'1-Input'!$B$12,0))))*(1/(1-'P-Parametri'!$B$6*AD159))),MAX(0,0*AD121-(AH158-MIN(MAX(AH158,0),MAX(0,AD121-IF($A159&gt;='1-Input'!$C$12,'1-Input'!$B$12,0)))))*(1/(1-'P-Parametri'!$B$6*AD159))))</f>
        <v>7206.3723363364516</v>
      </c>
      <c r="AF159" s="18">
        <f>IF($A159&gt;'1-Input'!$B$26,AH158,(AH158-MAX(0,AD121-IF($A159&gt;='1-Input'!$C$12,'1-Input'!$B$12,0))+AE159*(1-'P-Parametri'!$B$6*AD159))*(1+'1-Input'!$B$27))</f>
        <v>0</v>
      </c>
      <c r="AG159" s="18">
        <f>IF($A159&gt;'1-Input'!$B$26,AI158,(AI158-AE159)*(1+$B$4))</f>
        <v>61234.816249058291</v>
      </c>
      <c r="AH159" s="18">
        <f>IF($A159&gt;'1-Input'!$B$26,AF159,AF159-'P-Parametri'!$B$8*(AG159+AF159)+MIN(MAX(AG159,0),'P-Parametri'!$B$8*(AG159+AF159)))</f>
        <v>0</v>
      </c>
      <c r="AI159" s="18">
        <f>IF($A159&gt;'1-Input'!$B$26,AG159,AG159-MIN(MAX(AG159,0),'P-Parametri'!$B$8*(AG159+AF159)))</f>
        <v>61112.346616560171</v>
      </c>
      <c r="AJ159" s="18">
        <f>IF($A159&gt;'1-Input'!$B$26,AJ158,AJ158-AE159*(1-AD159))</f>
        <v>25231.426640459864</v>
      </c>
      <c r="AK159" s="11">
        <f>IF($A159&gt;'1-Input'!$B$26,0,IF(AP158&lt;=0,0,MAX(0,(AP158-AQ158)/AP158)))</f>
        <v>0.57971531965420342</v>
      </c>
      <c r="AL159" s="18">
        <f>IF($A159&gt;'1-Input'!$B$26,0,(MAX(0,AK121-IF($A159&gt;='1-Input'!$C$12,'1-Input'!$B$12,0))-MIN(MAX(AO158,0),MAX(0,AK121-IF($A159&gt;='1-Input'!$C$12,'1-Input'!$B$12,0))))*(1/(1-'P-Parametri'!$B$6*AK159))+MIN(MAX(0,AP158-(MAX(0,AK121-IF($A159&gt;='1-Input'!$C$12,'1-Input'!$B$12,0))-MIN(MAX(AO158,0),MAX(0,AK121-IF($A159&gt;='1-Input'!$C$12,'1-Input'!$B$12,0))))*(1/(1-'P-Parametri'!$B$6*AK159))),MAX(0,0*AK121-(AO158-MIN(MAX(AO158,0),MAX(0,AK121-IF($A159&gt;='1-Input'!$C$12,'1-Input'!$B$12,0)))))*(1/(1-'P-Parametri'!$B$6*AK159))))</f>
        <v>7206.3723363364516</v>
      </c>
      <c r="AM159" s="18">
        <f>IF($A159&gt;'1-Input'!$B$26,AO158,(AO158-MAX(0,AK121-IF($A159&gt;='1-Input'!$C$12,'1-Input'!$B$12,0))+AL159*(1-'P-Parametri'!$B$6*AK159))*(1+'1-Input'!$B$27))</f>
        <v>0</v>
      </c>
      <c r="AN159" s="18">
        <f>IF($A159&gt;'1-Input'!$B$26,AP158,(AP158-AL159)*(1+$B$4))</f>
        <v>61234.816249058291</v>
      </c>
      <c r="AO159" s="18">
        <f>IF($A159&gt;'1-Input'!$B$26,AM159,AM159-'P-Parametri'!$B$8*(AN159+AM159)+MIN(MAX(AN159,0),'P-Parametri'!$B$8*(AN159+AM159)))</f>
        <v>0</v>
      </c>
      <c r="AP159" s="18">
        <f>IF($A159&gt;'1-Input'!$B$26,AN159,AN159-MIN(MAX(AN159,0),'P-Parametri'!$B$8*(AN159+AM159)))</f>
        <v>61112.346616560171</v>
      </c>
      <c r="AQ159" s="18">
        <f>IF($A159&gt;'1-Input'!$B$26,AQ158,AQ158-AL159*(1-AK159))</f>
        <v>25231.426640459864</v>
      </c>
    </row>
    <row r="160" spans="1:43">
      <c r="A160" s="10">
        <f>37</f>
        <v>37</v>
      </c>
      <c r="B160" s="11">
        <f>IF($A160&gt;'1-Input'!$B$26,0,IF(G159&lt;=0,0,MAX(0,(G159-H159)/G159)))</f>
        <v>0.58713045665272046</v>
      </c>
      <c r="C160" s="18">
        <f>IF($A160&gt;'1-Input'!$B$26,0,(MAX(0,B121-IF($A160&gt;='1-Input'!$C$12,'1-Input'!$B$12,0))-MIN(MAX(F159,0),MAX(0,B121-IF($A160&gt;='1-Input'!$C$12,'1-Input'!$B$12,0))))*(1/(1-'P-Parametri'!$B$6*B160))+MIN(MAX(0,G159-(MAX(0,B121-IF($A160&gt;='1-Input'!$C$12,'1-Input'!$B$12,0))-MIN(MAX(F159,0),MAX(0,B121-IF($A160&gt;='1-Input'!$C$12,'1-Input'!$B$12,0))))*(1/(1-'P-Parametri'!$B$6*B160))),MAX(0,0*B121-(F159-MIN(MAX(F159,0),MAX(0,B121-IF($A160&gt;='1-Input'!$C$12,'1-Input'!$B$12,0)))))*(1/(1-'P-Parametri'!$B$6*B160))))</f>
        <v>6584.1519043340622</v>
      </c>
      <c r="D160" s="18">
        <f>IF($A160&gt;'1-Input'!$B$26,F159,(F159-MAX(0,B121-IF($A160&gt;='1-Input'!$C$12,'1-Input'!$B$12,0))+C160*(1-'P-Parametri'!$B$6*B160))*(1+'1-Input'!$B$27))</f>
        <v>0</v>
      </c>
      <c r="E160" s="18">
        <f>IF($A160&gt;'1-Input'!$B$26,G159,(G159-C160)*(1+$B$4))</f>
        <v>86972.454335009665</v>
      </c>
      <c r="F160" s="18">
        <f>IF($A160&gt;'1-Input'!$B$26,D160,D160-'P-Parametri'!$B$8*(E160+D160)+MIN(MAX(E160,0),'P-Parametri'!$B$8*(E160+D160)))</f>
        <v>0</v>
      </c>
      <c r="G160" s="18">
        <f>IF($A160&gt;'1-Input'!$B$26,E160,E160-MIN(MAX(E160,0),'P-Parametri'!$B$8*(E160+D160)))</f>
        <v>86798.509426339646</v>
      </c>
      <c r="H160" s="18">
        <f>IF($A160&gt;'1-Input'!$B$26,H159,H159-C160*(1-B160))</f>
        <v>35204.193632438793</v>
      </c>
      <c r="I160" s="11">
        <f>IF($A160&gt;'1-Input'!$B$26,0,IF(N159&lt;=0,0,MAX(0,(N159-O159)/N159)))</f>
        <v>0</v>
      </c>
      <c r="J160" s="18">
        <f>IF($A160&gt;'1-Input'!$B$26,0,(MAX(0,I121-IF($A160&gt;='1-Input'!$C$12,'1-Input'!$B$12,0))-MIN(MAX(M159,0),MAX(0,I121-IF($A160&gt;='1-Input'!$C$12,'1-Input'!$B$12,0))))*(1/(1-'P-Parametri'!$B$6*I160))+MIN(MAX(0,N159-(MAX(0,I121-IF($A160&gt;='1-Input'!$C$12,'1-Input'!$B$12,0))-MIN(MAX(M159,0),MAX(0,I121-IF($A160&gt;='1-Input'!$C$12,'1-Input'!$B$12,0))))*(1/(1-'P-Parametri'!$B$6*I160))),MAX(0,0*I121-(M159-MIN(MAX(M159,0),MAX(0,I121-IF($A160&gt;='1-Input'!$C$12,'1-Input'!$B$12,0)))))*(1/(1-'P-Parametri'!$B$6*I160))))</f>
        <v>10846.756992928691</v>
      </c>
      <c r="K160" s="18">
        <f>IF($A160&gt;'1-Input'!$B$26,M159,(M159-MAX(0,I121-IF($A160&gt;='1-Input'!$C$12,'1-Input'!$B$12,0))+J160*(1-'P-Parametri'!$B$6*I160))*(1+'1-Input'!$B$27))</f>
        <v>0</v>
      </c>
      <c r="L160" s="18">
        <f>IF($A160&gt;'1-Input'!$B$26,N159,(N159-J160)*(1+$B$4))</f>
        <v>-194546.99229533027</v>
      </c>
      <c r="M160" s="18">
        <f>IF($A160&gt;'1-Input'!$B$26,K160,K160-'P-Parametri'!$B$8*(L160+K160)+MIN(MAX(L160,0),'P-Parametri'!$B$8*(L160+K160)))</f>
        <v>0</v>
      </c>
      <c r="N160" s="18">
        <f>IF($A160&gt;'1-Input'!$B$26,L160,L160-MIN(MAX(L160,0),'P-Parametri'!$B$8*(L160+K160)))</f>
        <v>-194157.89831073961</v>
      </c>
      <c r="O160" s="18">
        <f>IF($A160&gt;'1-Input'!$B$26,O159,O159-J160*(1-I160))</f>
        <v>-165135.2126145029</v>
      </c>
      <c r="P160" s="11">
        <f>IF($A160&gt;'1-Input'!$B$26,0,IF(U159&lt;=0,0,MAX(0,(U159-V159)/U159)))</f>
        <v>0.58713045665272035</v>
      </c>
      <c r="Q160" s="18">
        <f>IF($A160&gt;'1-Input'!$B$26,0,(MAX(0,P121-IF($A160&gt;='1-Input'!$C$12,'1-Input'!$B$12,0))-MIN(MAX(T159,0),MAX(0,P121-IF($A160&gt;='1-Input'!$C$12,'1-Input'!$B$12,0))))*(1/(1-'P-Parametri'!$B$6*P160))+MIN(MAX(0,U159-(MAX(0,P121-IF($A160&gt;='1-Input'!$C$12,'1-Input'!$B$12,0))-MIN(MAX(T159,0),MAX(0,P121-IF($A160&gt;='1-Input'!$C$12,'1-Input'!$B$12,0))))*(1/(1-'P-Parametri'!$B$6*P160))),MAX(0,0*P121-(T159-MIN(MAX(T159,0),MAX(0,P121-IF($A160&gt;='1-Input'!$C$12,'1-Input'!$B$12,0)))))*(1/(1-'P-Parametri'!$B$6*P160))))</f>
        <v>7315.9434547709452</v>
      </c>
      <c r="R160" s="18">
        <f>IF($A160&gt;'1-Input'!$B$26,T159,(T159-MAX(0,P121-IF($A160&gt;='1-Input'!$C$12,'1-Input'!$B$12,0))+Q160*(1-'P-Parametri'!$B$6*P160))*(1+'1-Input'!$B$27))</f>
        <v>-9.0622052084654565E-13</v>
      </c>
      <c r="S160" s="18">
        <f>IF($A160&gt;'1-Input'!$B$26,U159,(U159-Q160)*(1+$B$4))</f>
        <v>50297.801134450005</v>
      </c>
      <c r="T160" s="18">
        <f>IF($A160&gt;'1-Input'!$B$26,R160,R160-'P-Parametri'!$B$8*(S160+R160)+MIN(MAX(S160,0),'P-Parametri'!$B$8*(S160+R160)))</f>
        <v>-9.0949470177292824E-13</v>
      </c>
      <c r="U160" s="18">
        <f>IF($A160&gt;'1-Input'!$B$26,S160,S160-MIN(MAX(S160,0),'P-Parametri'!$B$8*(S160+R160)))</f>
        <v>50197.205532181106</v>
      </c>
      <c r="V160" s="18">
        <f>IF($A160&gt;'1-Input'!$B$26,V159,V159-Q160*(1-P160))</f>
        <v>20359.245280149662</v>
      </c>
      <c r="W160" s="11">
        <f>IF($A160&gt;'1-Input'!$B$26,0,IF(AB159&lt;=0,0,MAX(0,(AB159-AC159)/AB159)))</f>
        <v>0.58713045665272046</v>
      </c>
      <c r="X160" s="18">
        <f>IF($A160&gt;'1-Input'!$B$26,0,(MAX(0,W121-IF($A160&gt;='1-Input'!$C$12,'1-Input'!$B$12,0))-MIN(MAX(AA159,0),MAX(0,W121-IF($A160&gt;='1-Input'!$C$12,'1-Input'!$B$12,0))))*(1/(1-'P-Parametri'!$B$6*W160))+MIN(MAX(0,AB159-(MAX(0,W121-IF($A160&gt;='1-Input'!$C$12,'1-Input'!$B$12,0))-MIN(MAX(AA159,0),MAX(0,W121-IF($A160&gt;='1-Input'!$C$12,'1-Input'!$B$12,0))))*(1/(1-'P-Parametri'!$B$6*W160))),MAX(0,0*W121-(AA159-MIN(MAX(AA159,0),MAX(0,W121-IF($A160&gt;='1-Input'!$C$12,'1-Input'!$B$12,0)))))*(1/(1-'P-Parametri'!$B$6*W160))))</f>
        <v>7207.0548448682657</v>
      </c>
      <c r="Y160" s="18">
        <f>IF($A160&gt;'1-Input'!$B$26,AA159,(AA159-MAX(0,W121-IF($A160&gt;='1-Input'!$C$12,'1-Input'!$B$12,0))+X160*(1-'P-Parametri'!$B$6*W160))*(1+'1-Input'!$B$27))</f>
        <v>0</v>
      </c>
      <c r="Z160" s="18">
        <f>IF($A160&gt;'1-Input'!$B$26,AB159,(AB159-X160)*(1+$B$4))</f>
        <v>55754.890661225429</v>
      </c>
      <c r="AA160" s="18">
        <f>IF($A160&gt;'1-Input'!$B$26,Y160,Y160-'P-Parametri'!$B$8*(Z160+Y160)+MIN(MAX(Z160,0),'P-Parametri'!$B$8*(Z160+Y160)))</f>
        <v>0</v>
      </c>
      <c r="AB160" s="18">
        <f>IF($A160&gt;'1-Input'!$B$26,Z160,Z160-MIN(MAX(Z160,0),'P-Parametri'!$B$8*(Z160+Y160)))</f>
        <v>55643.380879902979</v>
      </c>
      <c r="AC160" s="18">
        <f>IF($A160&gt;'1-Input'!$B$26,AC159,AC159-X160*(1-W160))</f>
        <v>22568.133575174157</v>
      </c>
      <c r="AD160" s="11">
        <f>IF($A160&gt;'1-Input'!$B$26,0,IF(AI159&lt;=0,0,MAX(0,(AI159-AJ159)/AI159)))</f>
        <v>0.58713045665272046</v>
      </c>
      <c r="AE160" s="18">
        <f>IF($A160&gt;'1-Input'!$B$26,0,(MAX(0,AD121-IF($A160&gt;='1-Input'!$C$12,'1-Input'!$B$12,0))-MIN(MAX(AH159,0),MAX(0,AD121-IF($A160&gt;='1-Input'!$C$12,'1-Input'!$B$12,0))))*(1/(1-'P-Parametri'!$B$6*AD160))+MIN(MAX(0,AI159-(MAX(0,AD121-IF($A160&gt;='1-Input'!$C$12,'1-Input'!$B$12,0))-MIN(MAX(AH159,0),MAX(0,AD121-IF($A160&gt;='1-Input'!$C$12,'1-Input'!$B$12,0))))*(1/(1-'P-Parametri'!$B$6*AD160))),MAX(0,0*AD121-(AH159-MIN(MAX(AH159,0),MAX(0,AD121-IF($A160&gt;='1-Input'!$C$12,'1-Input'!$B$12,0)))))*(1/(1-'P-Parametri'!$B$6*AD160))))</f>
        <v>7222.7687323575419</v>
      </c>
      <c r="AF160" s="18">
        <f>IF($A160&gt;'1-Input'!$B$26,AH159,(AH159-MAX(0,AD121-IF($A160&gt;='1-Input'!$C$12,'1-Input'!$B$12,0))+AE160*(1-'P-Parametri'!$B$6*AD160))*(1+'1-Input'!$B$27))</f>
        <v>0</v>
      </c>
      <c r="AG160" s="18">
        <f>IF($A160&gt;'1-Input'!$B$26,AI159,(AI159-AE160)*(1+$B$4))</f>
        <v>54967.36944188668</v>
      </c>
      <c r="AH160" s="18">
        <f>IF($A160&gt;'1-Input'!$B$26,AF160,AF160-'P-Parametri'!$B$8*(AG160+AF160)+MIN(MAX(AG160,0),'P-Parametri'!$B$8*(AG160+AF160)))</f>
        <v>0</v>
      </c>
      <c r="AI160" s="18">
        <f>IF($A160&gt;'1-Input'!$B$26,AG160,AG160-MIN(MAX(AG160,0),'P-Parametri'!$B$8*(AG160+AF160)))</f>
        <v>54857.434703002909</v>
      </c>
      <c r="AJ160" s="18">
        <f>IF($A160&gt;'1-Input'!$B$26,AJ159,AJ159-AE160*(1-AD160))</f>
        <v>22249.365412228395</v>
      </c>
      <c r="AK160" s="11">
        <f>IF($A160&gt;'1-Input'!$B$26,0,IF(AP159&lt;=0,0,MAX(0,(AP159-AQ159)/AP159)))</f>
        <v>0.58713045665272046</v>
      </c>
      <c r="AL160" s="18">
        <f>IF($A160&gt;'1-Input'!$B$26,0,(MAX(0,AK121-IF($A160&gt;='1-Input'!$C$12,'1-Input'!$B$12,0))-MIN(MAX(AO159,0),MAX(0,AK121-IF($A160&gt;='1-Input'!$C$12,'1-Input'!$B$12,0))))*(1/(1-'P-Parametri'!$B$6*AK160))+MIN(MAX(0,AP159-(MAX(0,AK121-IF($A160&gt;='1-Input'!$C$12,'1-Input'!$B$12,0))-MIN(MAX(AO159,0),MAX(0,AK121-IF($A160&gt;='1-Input'!$C$12,'1-Input'!$B$12,0))))*(1/(1-'P-Parametri'!$B$6*AK160))),MAX(0,0*AK121-(AO159-MIN(MAX(AO159,0),MAX(0,AK121-IF($A160&gt;='1-Input'!$C$12,'1-Input'!$B$12,0)))))*(1/(1-'P-Parametri'!$B$6*AK160))))</f>
        <v>7222.7687323575419</v>
      </c>
      <c r="AM160" s="18">
        <f>IF($A160&gt;'1-Input'!$B$26,AO159,(AO159-MAX(0,AK121-IF($A160&gt;='1-Input'!$C$12,'1-Input'!$B$12,0))+AL160*(1-'P-Parametri'!$B$6*AK160))*(1+'1-Input'!$B$27))</f>
        <v>0</v>
      </c>
      <c r="AN160" s="18">
        <f>IF($A160&gt;'1-Input'!$B$26,AP159,(AP159-AL160)*(1+$B$4))</f>
        <v>54967.36944188668</v>
      </c>
      <c r="AO160" s="18">
        <f>IF($A160&gt;'1-Input'!$B$26,AM160,AM160-'P-Parametri'!$B$8*(AN160+AM160)+MIN(MAX(AN160,0),'P-Parametri'!$B$8*(AN160+AM160)))</f>
        <v>0</v>
      </c>
      <c r="AP160" s="18">
        <f>IF($A160&gt;'1-Input'!$B$26,AN160,AN160-MIN(MAX(AN160,0),'P-Parametri'!$B$8*(AN160+AM160)))</f>
        <v>54857.434703002909</v>
      </c>
      <c r="AQ160" s="18">
        <f>IF($A160&gt;'1-Input'!$B$26,AQ159,AQ159-AL160*(1-AK160))</f>
        <v>22249.365412228395</v>
      </c>
    </row>
    <row r="161" spans="1:43">
      <c r="A161" s="10">
        <f>38</f>
        <v>38</v>
      </c>
      <c r="B161" s="11">
        <f>IF($A161&gt;'1-Input'!$B$26,0,IF(G160&lt;=0,0,MAX(0,(G160-H160)/G160)))</f>
        <v>0.59441476742968324</v>
      </c>
      <c r="C161" s="18">
        <f>IF($A161&gt;'1-Input'!$B$26,0,(MAX(0,B121-IF($A161&gt;='1-Input'!$C$12,'1-Input'!$B$12,0))-MIN(MAX(F160,0),MAX(0,B121-IF($A161&gt;='1-Input'!$C$12,'1-Input'!$B$12,0))))*(1/(1-'P-Parametri'!$B$6*B161))+MIN(MAX(0,G160-(MAX(0,B121-IF($A161&gt;='1-Input'!$C$12,'1-Input'!$B$12,0))-MIN(MAX(F160,0),MAX(0,B121-IF($A161&gt;='1-Input'!$C$12,'1-Input'!$B$12,0))))*(1/(1-'P-Parametri'!$B$6*B161))),MAX(0,0*B121-(F160-MIN(MAX(F160,0),MAX(0,B121-IF($A161&gt;='1-Input'!$C$12,'1-Input'!$B$12,0)))))*(1/(1-'P-Parametri'!$B$6*B161))))</f>
        <v>6598.9012453828891</v>
      </c>
      <c r="D161" s="18">
        <f>IF($A161&gt;'1-Input'!$B$26,F160,(F160-MAX(0,B121-IF($A161&gt;='1-Input'!$C$12,'1-Input'!$B$12,0))+C161*(1-'P-Parametri'!$B$6*B161))*(1+'1-Input'!$B$27))</f>
        <v>0</v>
      </c>
      <c r="E161" s="18">
        <f>IF($A161&gt;'1-Input'!$B$26,G160,(G160-C161)*(1+$B$4))</f>
        <v>81803.600344575898</v>
      </c>
      <c r="F161" s="18">
        <f>IF($A161&gt;'1-Input'!$B$26,D161,D161-'P-Parametri'!$B$8*(E161+D161)+MIN(MAX(E161,0),'P-Parametri'!$B$8*(E161+D161)))</f>
        <v>0</v>
      </c>
      <c r="G161" s="18">
        <f>IF($A161&gt;'1-Input'!$B$26,E161,E161-MIN(MAX(E161,0),'P-Parametri'!$B$8*(E161+D161)))</f>
        <v>81639.99314388675</v>
      </c>
      <c r="H161" s="18">
        <f>IF($A161&gt;'1-Input'!$B$26,H160,H160-C161*(1-B161))</f>
        <v>32527.776736121621</v>
      </c>
      <c r="I161" s="11">
        <f>IF($A161&gt;'1-Input'!$B$26,0,IF(N160&lt;=0,0,MAX(0,(N160-O160)/N160)))</f>
        <v>0</v>
      </c>
      <c r="J161" s="18">
        <f>IF($A161&gt;'1-Input'!$B$26,0,(MAX(0,I121-IF($A161&gt;='1-Input'!$C$12,'1-Input'!$B$12,0))-MIN(MAX(M160,0),MAX(0,I121-IF($A161&gt;='1-Input'!$C$12,'1-Input'!$B$12,0))))*(1/(1-'P-Parametri'!$B$6*I161))+MIN(MAX(0,N160-(MAX(0,I121-IF($A161&gt;='1-Input'!$C$12,'1-Input'!$B$12,0))-MIN(MAX(M160,0),MAX(0,I121-IF($A161&gt;='1-Input'!$C$12,'1-Input'!$B$12,0))))*(1/(1-'P-Parametri'!$B$6*I161))),MAX(0,0*I121-(M160-MIN(MAX(M160,0),MAX(0,I121-IF($A161&gt;='1-Input'!$C$12,'1-Input'!$B$12,0)))))*(1/(1-'P-Parametri'!$B$6*I161))))</f>
        <v>10846.756992928691</v>
      </c>
      <c r="K161" s="18">
        <f>IF($A161&gt;'1-Input'!$B$26,M160,(M160-MAX(0,I121-IF($A161&gt;='1-Input'!$C$12,'1-Input'!$B$12,0))+J161*(1-'P-Parametri'!$B$6*I161))*(1+'1-Input'!$B$27))</f>
        <v>0</v>
      </c>
      <c r="L161" s="18">
        <f>IF($A161&gt;'1-Input'!$B$26,N160,(N160-J161)*(1+$B$4))</f>
        <v>-209104.74840974165</v>
      </c>
      <c r="M161" s="18">
        <f>IF($A161&gt;'1-Input'!$B$26,K161,K161-'P-Parametri'!$B$8*(L161+K161)+MIN(MAX(L161,0),'P-Parametri'!$B$8*(L161+K161)))</f>
        <v>0</v>
      </c>
      <c r="N161" s="18">
        <f>IF($A161&gt;'1-Input'!$B$26,L161,L161-MIN(MAX(L161,0),'P-Parametri'!$B$8*(L161+K161)))</f>
        <v>-208686.53891292217</v>
      </c>
      <c r="O161" s="18">
        <f>IF($A161&gt;'1-Input'!$B$26,O160,O160-J161*(1-I161))</f>
        <v>-175981.96960743159</v>
      </c>
      <c r="P161" s="11">
        <f>IF($A161&gt;'1-Input'!$B$26,0,IF(U160&lt;=0,0,MAX(0,(U160-V160)/U160)))</f>
        <v>0.59441476742968324</v>
      </c>
      <c r="Q161" s="18">
        <f>IF($A161&gt;'1-Input'!$B$26,0,(MAX(0,P121-IF($A161&gt;='1-Input'!$C$12,'1-Input'!$B$12,0))-MIN(MAX(T160,0),MAX(0,P121-IF($A161&gt;='1-Input'!$C$12,'1-Input'!$B$12,0))))*(1/(1-'P-Parametri'!$B$6*P161))+MIN(MAX(0,U160-(MAX(0,P121-IF($A161&gt;='1-Input'!$C$12,'1-Input'!$B$12,0))-MIN(MAX(T160,0),MAX(0,P121-IF($A161&gt;='1-Input'!$C$12,'1-Input'!$B$12,0))))*(1/(1-'P-Parametri'!$B$6*P161))),MAX(0,0*P121-(T160-MIN(MAX(T160,0),MAX(0,P121-IF($A161&gt;='1-Input'!$C$12,'1-Input'!$B$12,0)))))*(1/(1-'P-Parametri'!$B$6*P161))))</f>
        <v>7332.3321023410799</v>
      </c>
      <c r="R161" s="18">
        <f>IF($A161&gt;'1-Input'!$B$26,T160,(T160-MAX(0,P121-IF($A161&gt;='1-Input'!$C$12,'1-Input'!$B$12,0))+Q161*(1-'P-Parametri'!$B$6*P161))*(1+'1-Input'!$B$27))</f>
        <v>0</v>
      </c>
      <c r="S161" s="18">
        <f>IF($A161&gt;'1-Input'!$B$26,U160,(U160-Q161)*(1+$B$4))</f>
        <v>43722.170898436823</v>
      </c>
      <c r="T161" s="18">
        <f>IF($A161&gt;'1-Input'!$B$26,R161,R161-'P-Parametri'!$B$8*(S161+R161)+MIN(MAX(S161,0),'P-Parametri'!$B$8*(S161+R161)))</f>
        <v>0</v>
      </c>
      <c r="U161" s="18">
        <f>IF($A161&gt;'1-Input'!$B$26,S161,S161-MIN(MAX(S161,0),'P-Parametri'!$B$8*(S161+R161)))</f>
        <v>43634.726556639951</v>
      </c>
      <c r="V161" s="18">
        <f>IF($A161&gt;'1-Input'!$B$26,V160,V160-Q161*(1-P161))</f>
        <v>17385.359659138856</v>
      </c>
      <c r="W161" s="11">
        <f>IF($A161&gt;'1-Input'!$B$26,0,IF(AB160&lt;=0,0,MAX(0,(AB160-AC160)/AB160)))</f>
        <v>0.59441476742968347</v>
      </c>
      <c r="X161" s="18">
        <f>IF($A161&gt;'1-Input'!$B$26,0,(MAX(0,W121-IF($A161&gt;='1-Input'!$C$12,'1-Input'!$B$12,0))-MIN(MAX(AA160,0),MAX(0,W121-IF($A161&gt;='1-Input'!$C$12,'1-Input'!$B$12,0))))*(1/(1-'P-Parametri'!$B$6*W161))+MIN(MAX(0,AB160-(MAX(0,W121-IF($A161&gt;='1-Input'!$C$12,'1-Input'!$B$12,0))-MIN(MAX(AA160,0),MAX(0,W121-IF($A161&gt;='1-Input'!$C$12,'1-Input'!$B$12,0))))*(1/(1-'P-Parametri'!$B$6*W161))),MAX(0,0*W121-(AA160-MIN(MAX(AA160,0),MAX(0,W121-IF($A161&gt;='1-Input'!$C$12,'1-Input'!$B$12,0)))))*(1/(1-'P-Parametri'!$B$6*W161))))</f>
        <v>7223.1995680473574</v>
      </c>
      <c r="Y161" s="18">
        <f>IF($A161&gt;'1-Input'!$B$26,AA160,(AA160-MAX(0,W121-IF($A161&gt;='1-Input'!$C$12,'1-Input'!$B$12,0))+X161*(1-'P-Parametri'!$B$6*W161))*(1+'1-Input'!$B$27))</f>
        <v>0</v>
      </c>
      <c r="Z161" s="18">
        <f>IF($A161&gt;'1-Input'!$B$26,AB160,(AB160-X161)*(1+$B$4))</f>
        <v>49388.584938092739</v>
      </c>
      <c r="AA161" s="18">
        <f>IF($A161&gt;'1-Input'!$B$26,Y161,Y161-'P-Parametri'!$B$8*(Z161+Y161)+MIN(MAX(Z161,0),'P-Parametri'!$B$8*(Z161+Y161)))</f>
        <v>0</v>
      </c>
      <c r="AB161" s="18">
        <f>IF($A161&gt;'1-Input'!$B$26,Z161,Z161-MIN(MAX(Z161,0),'P-Parametri'!$B$8*(Z161+Y161)))</f>
        <v>49289.807768216553</v>
      </c>
      <c r="AC161" s="18">
        <f>IF($A161&gt;'1-Input'!$B$26,AC160,AC160-X161*(1-W161))</f>
        <v>19638.510498465861</v>
      </c>
      <c r="AD161" s="11">
        <f>IF($A161&gt;'1-Input'!$B$26,0,IF(AI160&lt;=0,0,MAX(0,(AI160-AJ160)/AI160)))</f>
        <v>0.59441476742968336</v>
      </c>
      <c r="AE161" s="18">
        <f>IF($A161&gt;'1-Input'!$B$26,0,(MAX(0,AD121-IF($A161&gt;='1-Input'!$C$12,'1-Input'!$B$12,0))-MIN(MAX(AH160,0),MAX(0,AD121-IF($A161&gt;='1-Input'!$C$12,'1-Input'!$B$12,0))))*(1/(1-'P-Parametri'!$B$6*AD161))+MIN(MAX(0,AI160-(MAX(0,AD121-IF($A161&gt;='1-Input'!$C$12,'1-Input'!$B$12,0))-MIN(MAX(AH160,0),MAX(0,AD121-IF($A161&gt;='1-Input'!$C$12,'1-Input'!$B$12,0))))*(1/(1-'P-Parametri'!$B$6*AD161))),MAX(0,0*AD121-(AH160-MIN(MAX(AH160,0),MAX(0,AD121-IF($A161&gt;='1-Input'!$C$12,'1-Input'!$B$12,0)))))*(1/(1-'P-Parametri'!$B$6*AD161))))</f>
        <v>7238.9486566512423</v>
      </c>
      <c r="AF161" s="18">
        <f>IF($A161&gt;'1-Input'!$B$26,AH160,(AH160-MAX(0,AD121-IF($A161&gt;='1-Input'!$C$12,'1-Input'!$B$12,0))+AE161*(1-'P-Parametri'!$B$6*AD161))*(1+'1-Input'!$B$27))</f>
        <v>0</v>
      </c>
      <c r="AG161" s="18">
        <f>IF($A161&gt;'1-Input'!$B$26,AI160,(AI160-AE161)*(1+$B$4))</f>
        <v>48570.855767278699</v>
      </c>
      <c r="AH161" s="18">
        <f>IF($A161&gt;'1-Input'!$B$26,AF161,AF161-'P-Parametri'!$B$8*(AG161+AF161)+MIN(MAX(AG161,0),'P-Parametri'!$B$8*(AG161+AF161)))</f>
        <v>0</v>
      </c>
      <c r="AI161" s="18">
        <f>IF($A161&gt;'1-Input'!$B$26,AG161,AG161-MIN(MAX(AG161,0),'P-Parametri'!$B$8*(AG161+AF161)))</f>
        <v>48473.714055744145</v>
      </c>
      <c r="AJ161" s="18">
        <f>IF($A161&gt;'1-Input'!$B$26,AJ160,AJ160-AE161*(1-AD161))</f>
        <v>19313.354737755919</v>
      </c>
      <c r="AK161" s="11">
        <f>IF($A161&gt;'1-Input'!$B$26,0,IF(AP160&lt;=0,0,MAX(0,(AP160-AQ160)/AP160)))</f>
        <v>0.59441476742968336</v>
      </c>
      <c r="AL161" s="18">
        <f>IF($A161&gt;'1-Input'!$B$26,0,(MAX(0,AK121-IF($A161&gt;='1-Input'!$C$12,'1-Input'!$B$12,0))-MIN(MAX(AO160,0),MAX(0,AK121-IF($A161&gt;='1-Input'!$C$12,'1-Input'!$B$12,0))))*(1/(1-'P-Parametri'!$B$6*AK161))+MIN(MAX(0,AP160-(MAX(0,AK121-IF($A161&gt;='1-Input'!$C$12,'1-Input'!$B$12,0))-MIN(MAX(AO160,0),MAX(0,AK121-IF($A161&gt;='1-Input'!$C$12,'1-Input'!$B$12,0))))*(1/(1-'P-Parametri'!$B$6*AK161))),MAX(0,0*AK121-(AO160-MIN(MAX(AO160,0),MAX(0,AK121-IF($A161&gt;='1-Input'!$C$12,'1-Input'!$B$12,0)))))*(1/(1-'P-Parametri'!$B$6*AK161))))</f>
        <v>7238.9486566512423</v>
      </c>
      <c r="AM161" s="18">
        <f>IF($A161&gt;'1-Input'!$B$26,AO160,(AO160-MAX(0,AK121-IF($A161&gt;='1-Input'!$C$12,'1-Input'!$B$12,0))+AL161*(1-'P-Parametri'!$B$6*AK161))*(1+'1-Input'!$B$27))</f>
        <v>0</v>
      </c>
      <c r="AN161" s="18">
        <f>IF($A161&gt;'1-Input'!$B$26,AP160,(AP160-AL161)*(1+$B$4))</f>
        <v>48570.855767278699</v>
      </c>
      <c r="AO161" s="18">
        <f>IF($A161&gt;'1-Input'!$B$26,AM161,AM161-'P-Parametri'!$B$8*(AN161+AM161)+MIN(MAX(AN161,0),'P-Parametri'!$B$8*(AN161+AM161)))</f>
        <v>0</v>
      </c>
      <c r="AP161" s="18">
        <f>IF($A161&gt;'1-Input'!$B$26,AN161,AN161-MIN(MAX(AN161,0),'P-Parametri'!$B$8*(AN161+AM161)))</f>
        <v>48473.714055744145</v>
      </c>
      <c r="AQ161" s="18">
        <f>IF($A161&gt;'1-Input'!$B$26,AQ160,AQ160-AL161*(1-AK161))</f>
        <v>19313.354737755919</v>
      </c>
    </row>
    <row r="162" spans="1:43">
      <c r="A162" s="10">
        <f>39</f>
        <v>39</v>
      </c>
      <c r="B162" s="11">
        <f>IF($A162&gt;'1-Input'!$B$26,0,IF(G161&lt;=0,0,MAX(0,(G161-H161)/G161)))</f>
        <v>0.6015705601690472</v>
      </c>
      <c r="C162" s="18">
        <f>IF($A162&gt;'1-Input'!$B$26,0,(MAX(0,B121-IF($A162&gt;='1-Input'!$C$12,'1-Input'!$B$12,0))-MIN(MAX(F161,0),MAX(0,B121-IF($A162&gt;='1-Input'!$C$12,'1-Input'!$B$12,0))))*(1/(1-'P-Parametri'!$B$6*B162))+MIN(MAX(0,G161-(MAX(0,B121-IF($A162&gt;='1-Input'!$C$12,'1-Input'!$B$12,0))-MIN(MAX(F161,0),MAX(0,B121-IF($A162&gt;='1-Input'!$C$12,'1-Input'!$B$12,0))))*(1/(1-'P-Parametri'!$B$6*B162))),MAX(0,0*B121-(F161-MIN(MAX(F161,0),MAX(0,B121-IF($A162&gt;='1-Input'!$C$12,'1-Input'!$B$12,0)))))*(1/(1-'P-Parametri'!$B$6*B162))))</f>
        <v>6613.4548460944079</v>
      </c>
      <c r="D162" s="18">
        <f>IF($A162&gt;'1-Input'!$B$26,F161,(F161-MAX(0,B121-IF($A162&gt;='1-Input'!$C$12,'1-Input'!$B$12,0))+C162*(1-'P-Parametri'!$B$6*B162))*(1+'1-Input'!$B$27))</f>
        <v>0</v>
      </c>
      <c r="E162" s="18">
        <f>IF($A162&gt;'1-Input'!$B$26,G161,(G161-C162)*(1+$B$4))</f>
        <v>76527.069063748189</v>
      </c>
      <c r="F162" s="18">
        <f>IF($A162&gt;'1-Input'!$B$26,D162,D162-'P-Parametri'!$B$8*(E162+D162)+MIN(MAX(E162,0),'P-Parametri'!$B$8*(E162+D162)))</f>
        <v>0</v>
      </c>
      <c r="G162" s="18">
        <f>IF($A162&gt;'1-Input'!$B$26,E162,E162-MIN(MAX(E162,0),'P-Parametri'!$B$8*(E162+D162)))</f>
        <v>76374.014925620693</v>
      </c>
      <c r="H162" s="18">
        <f>IF($A162&gt;'1-Input'!$B$26,H161,H161-C162*(1-B162))</f>
        <v>29892.781626444925</v>
      </c>
      <c r="I162" s="11">
        <f>IF($A162&gt;'1-Input'!$B$26,0,IF(N161&lt;=0,0,MAX(0,(N161-O161)/N161)))</f>
        <v>0</v>
      </c>
      <c r="J162" s="18">
        <f>IF($A162&gt;'1-Input'!$B$26,0,(MAX(0,I121-IF($A162&gt;='1-Input'!$C$12,'1-Input'!$B$12,0))-MIN(MAX(M161,0),MAX(0,I121-IF($A162&gt;='1-Input'!$C$12,'1-Input'!$B$12,0))))*(1/(1-'P-Parametri'!$B$6*I162))+MIN(MAX(0,N161-(MAX(0,I121-IF($A162&gt;='1-Input'!$C$12,'1-Input'!$B$12,0))-MIN(MAX(M161,0),MAX(0,I121-IF($A162&gt;='1-Input'!$C$12,'1-Input'!$B$12,0))))*(1/(1-'P-Parametri'!$B$6*I162))),MAX(0,0*I121-(M161-MIN(MAX(M161,0),MAX(0,I121-IF($A162&gt;='1-Input'!$C$12,'1-Input'!$B$12,0)))))*(1/(1-'P-Parametri'!$B$6*I162))))</f>
        <v>10846.756992928691</v>
      </c>
      <c r="K162" s="18">
        <f>IF($A162&gt;'1-Input'!$B$26,M161,(M161-MAX(0,I121-IF($A162&gt;='1-Input'!$C$12,'1-Input'!$B$12,0))+J162*(1-'P-Parametri'!$B$6*I162))*(1+'1-Input'!$B$27))</f>
        <v>0</v>
      </c>
      <c r="L162" s="18">
        <f>IF($A162&gt;'1-Input'!$B$26,N161,(N161-J162)*(1+$B$4))</f>
        <v>-223923.96182396787</v>
      </c>
      <c r="M162" s="18">
        <f>IF($A162&gt;'1-Input'!$B$26,K162,K162-'P-Parametri'!$B$8*(L162+K162)+MIN(MAX(L162,0),'P-Parametri'!$B$8*(L162+K162)))</f>
        <v>0</v>
      </c>
      <c r="N162" s="18">
        <f>IF($A162&gt;'1-Input'!$B$26,L162,L162-MIN(MAX(L162,0),'P-Parametri'!$B$8*(L162+K162)))</f>
        <v>-223476.11390031994</v>
      </c>
      <c r="O162" s="18">
        <f>IF($A162&gt;'1-Input'!$B$26,O161,O161-J162*(1-I162))</f>
        <v>-186828.72660036027</v>
      </c>
      <c r="P162" s="11">
        <f>IF($A162&gt;'1-Input'!$B$26,0,IF(U161&lt;=0,0,MAX(0,(U161-V161)/U161)))</f>
        <v>0.6015705601690472</v>
      </c>
      <c r="Q162" s="18">
        <f>IF($A162&gt;'1-Input'!$B$26,0,(MAX(0,P121-IF($A162&gt;='1-Input'!$C$12,'1-Input'!$B$12,0))-MIN(MAX(T161,0),MAX(0,P121-IF($A162&gt;='1-Input'!$C$12,'1-Input'!$B$12,0))))*(1/(1-'P-Parametri'!$B$6*P162))+MIN(MAX(0,U161-(MAX(0,P121-IF($A162&gt;='1-Input'!$C$12,'1-Input'!$B$12,0))-MIN(MAX(T161,0),MAX(0,P121-IF($A162&gt;='1-Input'!$C$12,'1-Input'!$B$12,0))))*(1/(1-'P-Parametri'!$B$6*P162))),MAX(0,0*P121-(T161-MIN(MAX(T161,0),MAX(0,P121-IF($A162&gt;='1-Input'!$C$12,'1-Input'!$B$12,0)))))*(1/(1-'P-Parametri'!$B$6*P162))))</f>
        <v>7348.503254133414</v>
      </c>
      <c r="R162" s="18">
        <f>IF($A162&gt;'1-Input'!$B$26,T161,(T161-MAX(0,P121-IF($A162&gt;='1-Input'!$C$12,'1-Input'!$B$12,0))+Q162*(1-'P-Parametri'!$B$6*P162))*(1+'1-Input'!$B$27))</f>
        <v>0</v>
      </c>
      <c r="S162" s="18">
        <f>IF($A162&gt;'1-Input'!$B$26,U161,(U161-Q162)*(1+$B$4))</f>
        <v>37011.947768556667</v>
      </c>
      <c r="T162" s="18">
        <f>IF($A162&gt;'1-Input'!$B$26,R162,R162-'P-Parametri'!$B$8*(S162+R162)+MIN(MAX(S162,0),'P-Parametri'!$B$8*(S162+R162)))</f>
        <v>0</v>
      </c>
      <c r="U162" s="18">
        <f>IF($A162&gt;'1-Input'!$B$26,S162,S162-MIN(MAX(S162,0),'P-Parametri'!$B$8*(S162+R162)))</f>
        <v>36937.92387301955</v>
      </c>
      <c r="V162" s="18">
        <f>IF($A162&gt;'1-Input'!$B$26,V161,V161-Q162*(1-P162))</f>
        <v>14457.499623998547</v>
      </c>
      <c r="W162" s="11">
        <f>IF($A162&gt;'1-Input'!$B$26,0,IF(AB161&lt;=0,0,MAX(0,(AB161-AC161)/AB161)))</f>
        <v>0.60157056016904731</v>
      </c>
      <c r="X162" s="18">
        <f>IF($A162&gt;'1-Input'!$B$26,0,(MAX(0,W121-IF($A162&gt;='1-Input'!$C$12,'1-Input'!$B$12,0))-MIN(MAX(AA161,0),MAX(0,W121-IF($A162&gt;='1-Input'!$C$12,'1-Input'!$B$12,0))))*(1/(1-'P-Parametri'!$B$6*W162))+MIN(MAX(0,AB161-(MAX(0,W121-IF($A162&gt;='1-Input'!$C$12,'1-Input'!$B$12,0))-MIN(MAX(AA161,0),MAX(0,W121-IF($A162&gt;='1-Input'!$C$12,'1-Input'!$B$12,0))))*(1/(1-'P-Parametri'!$B$6*W162))),MAX(0,0*W121-(AA161-MIN(MAX(AA161,0),MAX(0,W121-IF($A162&gt;='1-Input'!$C$12,'1-Input'!$B$12,0)))))*(1/(1-'P-Parametri'!$B$6*W162))))</f>
        <v>7239.130032599548</v>
      </c>
      <c r="Y162" s="18">
        <f>IF($A162&gt;'1-Input'!$B$26,AA161,(AA161-MAX(0,W121-IF($A162&gt;='1-Input'!$C$12,'1-Input'!$B$12,0))+X162*(1-'P-Parametri'!$B$6*W162))*(1+'1-Input'!$B$27))</f>
        <v>0</v>
      </c>
      <c r="Z162" s="18">
        <f>IF($A162&gt;'1-Input'!$B$26,AB161,(AB161-X162)*(1+$B$4))</f>
        <v>42891.691290329349</v>
      </c>
      <c r="AA162" s="18">
        <f>IF($A162&gt;'1-Input'!$B$26,Y162,Y162-'P-Parametri'!$B$8*(Z162+Y162)+MIN(MAX(Z162,0),'P-Parametri'!$B$8*(Z162+Y162)))</f>
        <v>0</v>
      </c>
      <c r="AB162" s="18">
        <f>IF($A162&gt;'1-Input'!$B$26,Z162,Z162-MIN(MAX(Z162,0),'P-Parametri'!$B$8*(Z162+Y162)))</f>
        <v>42805.907907748689</v>
      </c>
      <c r="AC162" s="18">
        <f>IF($A162&gt;'1-Input'!$B$26,AC161,AC161-X162*(1-W162))</f>
        <v>16754.227974713798</v>
      </c>
      <c r="AD162" s="11">
        <f>IF($A162&gt;'1-Input'!$B$26,0,IF(AI161&lt;=0,0,MAX(0,(AI161-AJ161)/AI161)))</f>
        <v>0.60157056016904731</v>
      </c>
      <c r="AE162" s="18">
        <f>IF($A162&gt;'1-Input'!$B$26,0,(MAX(0,AD121-IF($A162&gt;='1-Input'!$C$12,'1-Input'!$B$12,0))-MIN(MAX(AH161,0),MAX(0,AD121-IF($A162&gt;='1-Input'!$C$12,'1-Input'!$B$12,0))))*(1/(1-'P-Parametri'!$B$6*AD162))+MIN(MAX(0,AI161-(MAX(0,AD121-IF($A162&gt;='1-Input'!$C$12,'1-Input'!$B$12,0))-MIN(MAX(AH161,0),MAX(0,AD121-IF($A162&gt;='1-Input'!$C$12,'1-Input'!$B$12,0))))*(1/(1-'P-Parametri'!$B$6*AD162))),MAX(0,0*AD121-(AH161-MIN(MAX(AH161,0),MAX(0,AD121-IF($A162&gt;='1-Input'!$C$12,'1-Input'!$B$12,0)))))*(1/(1-'P-Parametri'!$B$6*AD162))))</f>
        <v>7254.9138551596761</v>
      </c>
      <c r="AF162" s="18">
        <f>IF($A162&gt;'1-Input'!$B$26,AH161,(AH161-MAX(0,AD121-IF($A162&gt;='1-Input'!$C$12,'1-Input'!$B$12,0))+AE162*(1-'P-Parametri'!$B$6*AD162))*(1+'1-Input'!$B$27))</f>
        <v>0</v>
      </c>
      <c r="AG162" s="18">
        <f>IF($A162&gt;'1-Input'!$B$26,AI161,(AI161-AE162)*(1+$B$4))</f>
        <v>42043.176204596159</v>
      </c>
      <c r="AH162" s="18">
        <f>IF($A162&gt;'1-Input'!$B$26,AF162,AF162-'P-Parametri'!$B$8*(AG162+AF162)+MIN(MAX(AG162,0),'P-Parametri'!$B$8*(AG162+AF162)))</f>
        <v>0</v>
      </c>
      <c r="AI162" s="18">
        <f>IF($A162&gt;'1-Input'!$B$26,AG162,AG162-MIN(MAX(AG162,0),'P-Parametri'!$B$8*(AG162+AF162)))</f>
        <v>41959.089852186968</v>
      </c>
      <c r="AJ162" s="18">
        <f>IF($A162&gt;'1-Input'!$B$26,AJ161,AJ161-AE162*(1-AD162))</f>
        <v>16422.783474422831</v>
      </c>
      <c r="AK162" s="11">
        <f>IF($A162&gt;'1-Input'!$B$26,0,IF(AP161&lt;=0,0,MAX(0,(AP161-AQ161)/AP161)))</f>
        <v>0.60157056016904731</v>
      </c>
      <c r="AL162" s="18">
        <f>IF($A162&gt;'1-Input'!$B$26,0,(MAX(0,AK121-IF($A162&gt;='1-Input'!$C$12,'1-Input'!$B$12,0))-MIN(MAX(AO161,0),MAX(0,AK121-IF($A162&gt;='1-Input'!$C$12,'1-Input'!$B$12,0))))*(1/(1-'P-Parametri'!$B$6*AK162))+MIN(MAX(0,AP161-(MAX(0,AK121-IF($A162&gt;='1-Input'!$C$12,'1-Input'!$B$12,0))-MIN(MAX(AO161,0),MAX(0,AK121-IF($A162&gt;='1-Input'!$C$12,'1-Input'!$B$12,0))))*(1/(1-'P-Parametri'!$B$6*AK162))),MAX(0,0*AK121-(AO161-MIN(MAX(AO161,0),MAX(0,AK121-IF($A162&gt;='1-Input'!$C$12,'1-Input'!$B$12,0)))))*(1/(1-'P-Parametri'!$B$6*AK162))))</f>
        <v>7254.9138551596761</v>
      </c>
      <c r="AM162" s="18">
        <f>IF($A162&gt;'1-Input'!$B$26,AO161,(AO161-MAX(0,AK121-IF($A162&gt;='1-Input'!$C$12,'1-Input'!$B$12,0))+AL162*(1-'P-Parametri'!$B$6*AK162))*(1+'1-Input'!$B$27))</f>
        <v>0</v>
      </c>
      <c r="AN162" s="18">
        <f>IF($A162&gt;'1-Input'!$B$26,AP161,(AP161-AL162)*(1+$B$4))</f>
        <v>42043.176204596159</v>
      </c>
      <c r="AO162" s="18">
        <f>IF($A162&gt;'1-Input'!$B$26,AM162,AM162-'P-Parametri'!$B$8*(AN162+AM162)+MIN(MAX(AN162,0),'P-Parametri'!$B$8*(AN162+AM162)))</f>
        <v>0</v>
      </c>
      <c r="AP162" s="18">
        <f>IF($A162&gt;'1-Input'!$B$26,AN162,AN162-MIN(MAX(AN162,0),'P-Parametri'!$B$8*(AN162+AM162)))</f>
        <v>41959.089852186968</v>
      </c>
      <c r="AQ162" s="18">
        <f>IF($A162&gt;'1-Input'!$B$26,AQ161,AQ161-AL162*(1-AK162))</f>
        <v>16422.783474422831</v>
      </c>
    </row>
    <row r="163" spans="1:43">
      <c r="A163" s="10">
        <f>40</f>
        <v>40</v>
      </c>
      <c r="B163" s="11">
        <f>IF($A163&gt;'1-Input'!$B$26,0,IF(G162&lt;=0,0,MAX(0,(G162-H162)/G162)))</f>
        <v>0.60860010233117934</v>
      </c>
      <c r="C163" s="18">
        <f>IF($A163&gt;'1-Input'!$B$26,0,(MAX(0,B121-IF($A163&gt;='1-Input'!$C$12,'1-Input'!$B$12,0))-MIN(MAX(F162,0),MAX(0,B121-IF($A163&gt;='1-Input'!$C$12,'1-Input'!$B$12,0))))*(1/(1-'P-Parametri'!$B$6*B163))+MIN(MAX(0,G162-(MAX(0,B121-IF($A163&gt;='1-Input'!$C$12,'1-Input'!$B$12,0))-MIN(MAX(F162,0),MAX(0,B121-IF($A163&gt;='1-Input'!$C$12,'1-Input'!$B$12,0))))*(1/(1-'P-Parametri'!$B$6*B163))),MAX(0,0*B121-(F162-MIN(MAX(F162,0),MAX(0,B121-IF($A163&gt;='1-Input'!$C$12,'1-Input'!$B$12,0)))))*(1/(1-'P-Parametri'!$B$6*B163))))</f>
        <v>6627.8143172743639</v>
      </c>
      <c r="D163" s="18">
        <f>IF($A163&gt;'1-Input'!$B$26,F162,(F162-MAX(0,B121-IF($A163&gt;='1-Input'!$C$12,'1-Input'!$B$12,0))+C163*(1-'P-Parametri'!$B$6*B163))*(1+'1-Input'!$B$27))</f>
        <v>0</v>
      </c>
      <c r="E163" s="18">
        <f>IF($A163&gt;'1-Input'!$B$26,G162,(G162-C163)*(1+$B$4))</f>
        <v>71141.124620513263</v>
      </c>
      <c r="F163" s="18">
        <f>IF($A163&gt;'1-Input'!$B$26,D163,D163-'P-Parametri'!$B$8*(E163+D163)+MIN(MAX(E163,0),'P-Parametri'!$B$8*(E163+D163)))</f>
        <v>0</v>
      </c>
      <c r="G163" s="18">
        <f>IF($A163&gt;'1-Input'!$B$26,E163,E163-MIN(MAX(E163,0),'P-Parametri'!$B$8*(E163+D163)))</f>
        <v>70998.842371272243</v>
      </c>
      <c r="H163" s="18">
        <f>IF($A163&gt;'1-Input'!$B$26,H162,H162-C163*(1-B163))</f>
        <v>27298.655780895795</v>
      </c>
      <c r="I163" s="11">
        <f>IF($A163&gt;'1-Input'!$B$26,0,IF(N162&lt;=0,0,MAX(0,(N162-O162)/N162)))</f>
        <v>0</v>
      </c>
      <c r="J163" s="18">
        <f>IF($A163&gt;'1-Input'!$B$26,0,(MAX(0,I121-IF($A163&gt;='1-Input'!$C$12,'1-Input'!$B$12,0))-MIN(MAX(M162,0),MAX(0,I121-IF($A163&gt;='1-Input'!$C$12,'1-Input'!$B$12,0))))*(1/(1-'P-Parametri'!$B$6*I163))+MIN(MAX(0,N162-(MAX(0,I121-IF($A163&gt;='1-Input'!$C$12,'1-Input'!$B$12,0))-MIN(MAX(M162,0),MAX(0,I121-IF($A163&gt;='1-Input'!$C$12,'1-Input'!$B$12,0))))*(1/(1-'P-Parametri'!$B$6*I163))),MAX(0,0*I121-(M162-MIN(MAX(M162,0),MAX(0,I121-IF($A163&gt;='1-Input'!$C$12,'1-Input'!$B$12,0)))))*(1/(1-'P-Parametri'!$B$6*I163))))</f>
        <v>10846.756992928691</v>
      </c>
      <c r="K163" s="18">
        <f>IF($A163&gt;'1-Input'!$B$26,M162,(M162-MAX(0,I121-IF($A163&gt;='1-Input'!$C$12,'1-Input'!$B$12,0))+J163*(1-'P-Parametri'!$B$6*I163))*(1+'1-Input'!$B$27))</f>
        <v>0</v>
      </c>
      <c r="L163" s="18">
        <f>IF($A163&gt;'1-Input'!$B$26,N162,(N162-J163)*(1+$B$4))</f>
        <v>-239009.32831111358</v>
      </c>
      <c r="M163" s="18">
        <f>IF($A163&gt;'1-Input'!$B$26,K163,K163-'P-Parametri'!$B$8*(L163+K163)+MIN(MAX(L163,0),'P-Parametri'!$B$8*(L163+K163)))</f>
        <v>0</v>
      </c>
      <c r="N163" s="18">
        <f>IF($A163&gt;'1-Input'!$B$26,L163,L163-MIN(MAX(L163,0),'P-Parametri'!$B$8*(L163+K163)))</f>
        <v>-238531.30965449134</v>
      </c>
      <c r="O163" s="18">
        <f>IF($A163&gt;'1-Input'!$B$26,O162,O162-J163*(1-I163))</f>
        <v>-197675.48359328895</v>
      </c>
      <c r="P163" s="11">
        <f>IF($A163&gt;'1-Input'!$B$26,0,IF(U162&lt;=0,0,MAX(0,(U162-V162)/U162)))</f>
        <v>0.60860010233117912</v>
      </c>
      <c r="Q163" s="18">
        <f>IF($A163&gt;'1-Input'!$B$26,0,(MAX(0,P121-IF($A163&gt;='1-Input'!$C$12,'1-Input'!$B$12,0))-MIN(MAX(T162,0),MAX(0,P121-IF($A163&gt;='1-Input'!$C$12,'1-Input'!$B$12,0))))*(1/(1-'P-Parametri'!$B$6*P163))+MIN(MAX(0,U162-(MAX(0,P121-IF($A163&gt;='1-Input'!$C$12,'1-Input'!$B$12,0))-MIN(MAX(T162,0),MAX(0,P121-IF($A163&gt;='1-Input'!$C$12,'1-Input'!$B$12,0))))*(1/(1-'P-Parametri'!$B$6*P163))),MAX(0,0*P121-(T162-MIN(MAX(T162,0),MAX(0,P121-IF($A163&gt;='1-Input'!$C$12,'1-Input'!$B$12,0)))))*(1/(1-'P-Parametri'!$B$6*P163))))</f>
        <v>7364.4586999857202</v>
      </c>
      <c r="R163" s="18">
        <f>IF($A163&gt;'1-Input'!$B$26,T162,(T162-MAX(0,P121-IF($A163&gt;='1-Input'!$C$12,'1-Input'!$B$12,0))+Q163*(1-'P-Parametri'!$B$6*P163))*(1+'1-Input'!$B$27))</f>
        <v>-9.0622052084654565E-13</v>
      </c>
      <c r="S163" s="18">
        <f>IF($A163&gt;'1-Input'!$B$26,U162,(U162-Q163)*(1+$B$4))</f>
        <v>30164.934476494509</v>
      </c>
      <c r="T163" s="18">
        <f>IF($A163&gt;'1-Input'!$B$26,R163,R163-'P-Parametri'!$B$8*(S163+R163)+MIN(MAX(S163,0),'P-Parametri'!$B$8*(S163+R163)))</f>
        <v>-9.0949470177292824E-13</v>
      </c>
      <c r="U163" s="18">
        <f>IF($A163&gt;'1-Input'!$B$26,S163,S163-MIN(MAX(S163,0),'P-Parametri'!$B$8*(S163+R163)))</f>
        <v>30104.604607541522</v>
      </c>
      <c r="V163" s="18">
        <f>IF($A163&gt;'1-Input'!$B$26,V162,V162-Q163*(1-P163))</f>
        <v>11575.051242437878</v>
      </c>
      <c r="W163" s="11">
        <f>IF($A163&gt;'1-Input'!$B$26,0,IF(AB162&lt;=0,0,MAX(0,(AB162-AC162)/AB162)))</f>
        <v>0.60860010233117934</v>
      </c>
      <c r="X163" s="18">
        <f>IF($A163&gt;'1-Input'!$B$26,0,(MAX(0,W121-IF($A163&gt;='1-Input'!$C$12,'1-Input'!$B$12,0))-MIN(MAX(AA162,0),MAX(0,W121-IF($A163&gt;='1-Input'!$C$12,'1-Input'!$B$12,0))))*(1/(1-'P-Parametri'!$B$6*W163))+MIN(MAX(0,AB162-(MAX(0,W121-IF($A163&gt;='1-Input'!$C$12,'1-Input'!$B$12,0))-MIN(MAX(AA162,0),MAX(0,W121-IF($A163&gt;='1-Input'!$C$12,'1-Input'!$B$12,0))))*(1/(1-'P-Parametri'!$B$6*W163))),MAX(0,0*W121-(AA162-MIN(MAX(AA162,0),MAX(0,W121-IF($A163&gt;='1-Input'!$C$12,'1-Input'!$B$12,0)))))*(1/(1-'P-Parametri'!$B$6*W163))))</f>
        <v>7254.8480017231213</v>
      </c>
      <c r="Y163" s="18">
        <f>IF($A163&gt;'1-Input'!$B$26,AA162,(AA162-MAX(0,W121-IF($A163&gt;='1-Input'!$C$12,'1-Input'!$B$12,0))+X163*(1-'P-Parametri'!$B$6*W163))*(1+'1-Input'!$B$27))</f>
        <v>0</v>
      </c>
      <c r="Z163" s="18">
        <f>IF($A163&gt;'1-Input'!$B$26,AB162,(AB162-X163)*(1+$B$4))</f>
        <v>36262.081104146084</v>
      </c>
      <c r="AA163" s="18">
        <f>IF($A163&gt;'1-Input'!$B$26,Y163,Y163-'P-Parametri'!$B$8*(Z163+Y163)+MIN(MAX(Z163,0),'P-Parametri'!$B$8*(Z163+Y163)))</f>
        <v>0</v>
      </c>
      <c r="AB163" s="18">
        <f>IF($A163&gt;'1-Input'!$B$26,Z163,Z163-MIN(MAX(Z163,0),'P-Parametri'!$B$8*(Z163+Y163)))</f>
        <v>36189.556941937793</v>
      </c>
      <c r="AC163" s="18">
        <f>IF($A163&gt;'1-Input'!$B$26,AC162,AC162-X163*(1-W163))</f>
        <v>13914.68120923652</v>
      </c>
      <c r="AD163" s="11">
        <f>IF($A163&gt;'1-Input'!$B$26,0,IF(AI162&lt;=0,0,MAX(0,(AI162-AJ162)/AI162)))</f>
        <v>0.60860010233117934</v>
      </c>
      <c r="AE163" s="18">
        <f>IF($A163&gt;'1-Input'!$B$26,0,(MAX(0,AD121-IF($A163&gt;='1-Input'!$C$12,'1-Input'!$B$12,0))-MIN(MAX(AH162,0),MAX(0,AD121-IF($A163&gt;='1-Input'!$C$12,'1-Input'!$B$12,0))))*(1/(1-'P-Parametri'!$B$6*AD163))+MIN(MAX(0,AI162-(MAX(0,AD121-IF($A163&gt;='1-Input'!$C$12,'1-Input'!$B$12,0))-MIN(MAX(AH162,0),MAX(0,AD121-IF($A163&gt;='1-Input'!$C$12,'1-Input'!$B$12,0))))*(1/(1-'P-Parametri'!$B$6*AD163))),MAX(0,0*AD121-(AH162-MIN(MAX(AH162,0),MAX(0,AD121-IF($A163&gt;='1-Input'!$C$12,'1-Input'!$B$12,0)))))*(1/(1-'P-Parametri'!$B$6*AD163))))</f>
        <v>7270.6660949255138</v>
      </c>
      <c r="AF163" s="18">
        <f>IF($A163&gt;'1-Input'!$B$26,AH162,(AH162-MAX(0,AD121-IF($A163&gt;='1-Input'!$C$12,'1-Input'!$B$12,0))+AE163*(1-'P-Parametri'!$B$6*AD163))*(1+'1-Input'!$B$27))</f>
        <v>0</v>
      </c>
      <c r="AG163" s="18">
        <f>IF($A163&gt;'1-Input'!$B$26,AI162,(AI162-AE163)*(1+$B$4))</f>
        <v>35382.192232406684</v>
      </c>
      <c r="AH163" s="18">
        <f>IF($A163&gt;'1-Input'!$B$26,AF163,AF163-'P-Parametri'!$B$8*(AG163+AF163)+MIN(MAX(AG163,0),'P-Parametri'!$B$8*(AG163+AF163)))</f>
        <v>0</v>
      </c>
      <c r="AI163" s="18">
        <f>IF($A163&gt;'1-Input'!$B$26,AG163,AG163-MIN(MAX(AG163,0),'P-Parametri'!$B$8*(AG163+AF163)))</f>
        <v>35311.427847941872</v>
      </c>
      <c r="AJ163" s="18">
        <f>IF($A163&gt;'1-Input'!$B$26,AJ162,AJ162-AE163*(1-AD163))</f>
        <v>13577.045508884821</v>
      </c>
      <c r="AK163" s="11">
        <f>IF($A163&gt;'1-Input'!$B$26,0,IF(AP162&lt;=0,0,MAX(0,(AP162-AQ162)/AP162)))</f>
        <v>0.60860010233117934</v>
      </c>
      <c r="AL163" s="18">
        <f>IF($A163&gt;'1-Input'!$B$26,0,(MAX(0,AK121-IF($A163&gt;='1-Input'!$C$12,'1-Input'!$B$12,0))-MIN(MAX(AO162,0),MAX(0,AK121-IF($A163&gt;='1-Input'!$C$12,'1-Input'!$B$12,0))))*(1/(1-'P-Parametri'!$B$6*AK163))+MIN(MAX(0,AP162-(MAX(0,AK121-IF($A163&gt;='1-Input'!$C$12,'1-Input'!$B$12,0))-MIN(MAX(AO162,0),MAX(0,AK121-IF($A163&gt;='1-Input'!$C$12,'1-Input'!$B$12,0))))*(1/(1-'P-Parametri'!$B$6*AK163))),MAX(0,0*AK121-(AO162-MIN(MAX(AO162,0),MAX(0,AK121-IF($A163&gt;='1-Input'!$C$12,'1-Input'!$B$12,0)))))*(1/(1-'P-Parametri'!$B$6*AK163))))</f>
        <v>7270.6660949255138</v>
      </c>
      <c r="AM163" s="18">
        <f>IF($A163&gt;'1-Input'!$B$26,AO162,(AO162-MAX(0,AK121-IF($A163&gt;='1-Input'!$C$12,'1-Input'!$B$12,0))+AL163*(1-'P-Parametri'!$B$6*AK163))*(1+'1-Input'!$B$27))</f>
        <v>0</v>
      </c>
      <c r="AN163" s="18">
        <f>IF($A163&gt;'1-Input'!$B$26,AP162,(AP162-AL163)*(1+$B$4))</f>
        <v>35382.192232406684</v>
      </c>
      <c r="AO163" s="18">
        <f>IF($A163&gt;'1-Input'!$B$26,AM163,AM163-'P-Parametri'!$B$8*(AN163+AM163)+MIN(MAX(AN163,0),'P-Parametri'!$B$8*(AN163+AM163)))</f>
        <v>0</v>
      </c>
      <c r="AP163" s="18">
        <f>IF($A163&gt;'1-Input'!$B$26,AN163,AN163-MIN(MAX(AN163,0),'P-Parametri'!$B$8*(AN163+AM163)))</f>
        <v>35311.427847941872</v>
      </c>
      <c r="AQ163" s="18">
        <f>IF($A163&gt;'1-Input'!$B$26,AQ162,AQ162-AL163*(1-AK163))</f>
        <v>13577.045508884821</v>
      </c>
    </row>
    <row r="164" spans="1:43">
      <c r="A164" s="10">
        <f>41</f>
        <v>41</v>
      </c>
      <c r="B164" s="11">
        <f>IF($A164&gt;'1-Input'!$B$26,0,IF(G163&lt;=0,0,MAX(0,(G163-H163)/G163)))</f>
        <v>0.6155056213713499</v>
      </c>
      <c r="C164" s="18">
        <f>IF($A164&gt;'1-Input'!$B$26,0,(MAX(0,B121-IF($A164&gt;='1-Input'!$C$12,'1-Input'!$B$12,0))-MIN(MAX(F163,0),MAX(0,B121-IF($A164&gt;='1-Input'!$C$12,'1-Input'!$B$12,0))))*(1/(1-'P-Parametri'!$B$6*B164))+MIN(MAX(0,G163-(MAX(0,B121-IF($A164&gt;='1-Input'!$C$12,'1-Input'!$B$12,0))-MIN(MAX(F163,0),MAX(0,B121-IF($A164&gt;='1-Input'!$C$12,'1-Input'!$B$12,0))))*(1/(1-'P-Parametri'!$B$6*B164))),MAX(0,0*B121-(F163-MIN(MAX(F163,0),MAX(0,B121-IF($A164&gt;='1-Input'!$C$12,'1-Input'!$B$12,0)))))*(1/(1-'P-Parametri'!$B$6*B164))))</f>
        <v>6641.9812877329732</v>
      </c>
      <c r="D164" s="18">
        <f>IF($A164&gt;'1-Input'!$B$26,F163,(F163-MAX(0,B121-IF($A164&gt;='1-Input'!$C$12,'1-Input'!$B$12,0))+C164*(1-'P-Parametri'!$B$6*B164))*(1+'1-Input'!$B$27))</f>
        <v>0</v>
      </c>
      <c r="E164" s="18">
        <f>IF($A164&gt;'1-Input'!$B$26,G163,(G163-C164)*(1+$B$4))</f>
        <v>65643.998305210058</v>
      </c>
      <c r="F164" s="18">
        <f>IF($A164&gt;'1-Input'!$B$26,D164,D164-'P-Parametri'!$B$8*(E164+D164)+MIN(MAX(E164,0),'P-Parametri'!$B$8*(E164+D164)))</f>
        <v>0</v>
      </c>
      <c r="G164" s="18">
        <f>IF($A164&gt;'1-Input'!$B$26,E164,E164-MIN(MAX(E164,0),'P-Parametri'!$B$8*(E164+D164)))</f>
        <v>65512.710308599635</v>
      </c>
      <c r="H164" s="18">
        <f>IF($A164&gt;'1-Input'!$B$26,H163,H163-C164*(1-B164))</f>
        <v>24744.851312805786</v>
      </c>
      <c r="I164" s="11">
        <f>IF($A164&gt;'1-Input'!$B$26,0,IF(N163&lt;=0,0,MAX(0,(N163-O163)/N163)))</f>
        <v>0</v>
      </c>
      <c r="J164" s="18">
        <f>IF($A164&gt;'1-Input'!$B$26,0,(MAX(0,I121-IF($A164&gt;='1-Input'!$C$12,'1-Input'!$B$12,0))-MIN(MAX(M163,0),MAX(0,I121-IF($A164&gt;='1-Input'!$C$12,'1-Input'!$B$12,0))))*(1/(1-'P-Parametri'!$B$6*I164))+MIN(MAX(0,N163-(MAX(0,I121-IF($A164&gt;='1-Input'!$C$12,'1-Input'!$B$12,0))-MIN(MAX(M163,0),MAX(0,I121-IF($A164&gt;='1-Input'!$C$12,'1-Input'!$B$12,0))))*(1/(1-'P-Parametri'!$B$6*I164))),MAX(0,0*I121-(M163-MIN(MAX(M163,0),MAX(0,I121-IF($A164&gt;='1-Input'!$C$12,'1-Input'!$B$12,0)))))*(1/(1-'P-Parametri'!$B$6*I164))))</f>
        <v>10846.756992928691</v>
      </c>
      <c r="K164" s="18">
        <f>IF($A164&gt;'1-Input'!$B$26,M163,(M163-MAX(0,I121-IF($A164&gt;='1-Input'!$C$12,'1-Input'!$B$12,0))+J164*(1-'P-Parametri'!$B$6*I164))*(1+'1-Input'!$B$27))</f>
        <v>0</v>
      </c>
      <c r="L164" s="18">
        <f>IF($A164&gt;'1-Input'!$B$26,N163,(N163-J164)*(1+$B$4))</f>
        <v>-254365.62798036844</v>
      </c>
      <c r="M164" s="18">
        <f>IF($A164&gt;'1-Input'!$B$26,K164,K164-'P-Parametri'!$B$8*(L164+K164)+MIN(MAX(L164,0),'P-Parametri'!$B$8*(L164+K164)))</f>
        <v>0</v>
      </c>
      <c r="N164" s="18">
        <f>IF($A164&gt;'1-Input'!$B$26,L164,L164-MIN(MAX(L164,0),'P-Parametri'!$B$8*(L164+K164)))</f>
        <v>-253856.89672440771</v>
      </c>
      <c r="O164" s="18">
        <f>IF($A164&gt;'1-Input'!$B$26,O163,O163-J164*(1-I164))</f>
        <v>-208522.24058621764</v>
      </c>
      <c r="P164" s="11">
        <f>IF($A164&gt;'1-Input'!$B$26,0,IF(U163&lt;=0,0,MAX(0,(U163-V163)/U163)))</f>
        <v>0.6155056213713499</v>
      </c>
      <c r="Q164" s="18">
        <f>IF($A164&gt;'1-Input'!$B$26,0,(MAX(0,P121-IF($A164&gt;='1-Input'!$C$12,'1-Input'!$B$12,0))-MIN(MAX(T163,0),MAX(0,P121-IF($A164&gt;='1-Input'!$C$12,'1-Input'!$B$12,0))))*(1/(1-'P-Parametri'!$B$6*P164))+MIN(MAX(0,U163-(MAX(0,P121-IF($A164&gt;='1-Input'!$C$12,'1-Input'!$B$12,0))-MIN(MAX(T163,0),MAX(0,P121-IF($A164&gt;='1-Input'!$C$12,'1-Input'!$B$12,0))))*(1/(1-'P-Parametri'!$B$6*P164))),MAX(0,0*P121-(T163-MIN(MAX(T163,0),MAX(0,P121-IF($A164&gt;='1-Input'!$C$12,'1-Input'!$B$12,0)))))*(1/(1-'P-Parametri'!$B$6*P164))))</f>
        <v>7380.2002497413378</v>
      </c>
      <c r="R164" s="18">
        <f>IF($A164&gt;'1-Input'!$B$26,T163,(T163-MAX(0,P121-IF($A164&gt;='1-Input'!$C$12,'1-Input'!$B$12,0))+Q164*(1-'P-Parametri'!$B$6*P164))*(1+'1-Input'!$B$27))</f>
        <v>0</v>
      </c>
      <c r="S164" s="18">
        <f>IF($A164&gt;'1-Input'!$B$26,U163,(U163-Q164)*(1+$B$4))</f>
        <v>23178.892444956189</v>
      </c>
      <c r="T164" s="18">
        <f>IF($A164&gt;'1-Input'!$B$26,R164,R164-'P-Parametri'!$B$8*(S164+R164)+MIN(MAX(S164,0),'P-Parametri'!$B$8*(S164+R164)))</f>
        <v>0</v>
      </c>
      <c r="U164" s="18">
        <f>IF($A164&gt;'1-Input'!$B$26,S164,S164-MIN(MAX(S164,0),'P-Parametri'!$B$8*(S164+R164)))</f>
        <v>23132.534660066278</v>
      </c>
      <c r="V164" s="18">
        <f>IF($A164&gt;'1-Input'!$B$26,V163,V163-Q164*(1-P164))</f>
        <v>8737.4057332585726</v>
      </c>
      <c r="W164" s="11">
        <f>IF($A164&gt;'1-Input'!$B$26,0,IF(AB163&lt;=0,0,MAX(0,(AB163-AC163)/AB163)))</f>
        <v>0.6155056213713499</v>
      </c>
      <c r="X164" s="18">
        <f>IF($A164&gt;'1-Input'!$B$26,0,(MAX(0,W121-IF($A164&gt;='1-Input'!$C$12,'1-Input'!$B$12,0))-MIN(MAX(AA163,0),MAX(0,W121-IF($A164&gt;='1-Input'!$C$12,'1-Input'!$B$12,0))))*(1/(1-'P-Parametri'!$B$6*W164))+MIN(MAX(0,AB163-(MAX(0,W121-IF($A164&gt;='1-Input'!$C$12,'1-Input'!$B$12,0))-MIN(MAX(AA163,0),MAX(0,W121-IF($A164&gt;='1-Input'!$C$12,'1-Input'!$B$12,0))))*(1/(1-'P-Parametri'!$B$6*W164))),MAX(0,0*W121-(AA163-MIN(MAX(AA163,0),MAX(0,W121-IF($A164&gt;='1-Input'!$C$12,'1-Input'!$B$12,0)))))*(1/(1-'P-Parametri'!$B$6*W164))))</f>
        <v>7270.3552583241762</v>
      </c>
      <c r="Y164" s="18">
        <f>IF($A164&gt;'1-Input'!$B$26,AA163,(AA163-MAX(0,W121-IF($A164&gt;='1-Input'!$C$12,'1-Input'!$B$12,0))+X164*(1-'P-Parametri'!$B$6*W164))*(1+'1-Input'!$B$27))</f>
        <v>9.0622052084654565E-13</v>
      </c>
      <c r="Z164" s="18">
        <f>IF($A164&gt;'1-Input'!$B$26,AB163,(AB163-X164)*(1+$B$4))</f>
        <v>29497.585717285889</v>
      </c>
      <c r="AA164" s="18">
        <f>IF($A164&gt;'1-Input'!$B$26,Y164,Y164-'P-Parametri'!$B$8*(Z164+Y164)+MIN(MAX(Z164,0),'P-Parametri'!$B$8*(Z164+Y164)))</f>
        <v>9.0949470177292824E-13</v>
      </c>
      <c r="AB164" s="18">
        <f>IF($A164&gt;'1-Input'!$B$26,Z164,Z164-MIN(MAX(Z164,0),'P-Parametri'!$B$8*(Z164+Y164)))</f>
        <v>29438.590545851315</v>
      </c>
      <c r="AC164" s="18">
        <f>IF($A164&gt;'1-Input'!$B$26,AC163,AC163-X164*(1-W164))</f>
        <v>11119.270481777627</v>
      </c>
      <c r="AD164" s="11">
        <f>IF($A164&gt;'1-Input'!$B$26,0,IF(AI163&lt;=0,0,MAX(0,(AI163-AJ163)/AI163)))</f>
        <v>0.6155056213713499</v>
      </c>
      <c r="AE164" s="18">
        <f>IF($A164&gt;'1-Input'!$B$26,0,(MAX(0,AD121-IF($A164&gt;='1-Input'!$C$12,'1-Input'!$B$12,0))-MIN(MAX(AH163,0),MAX(0,AD121-IF($A164&gt;='1-Input'!$C$12,'1-Input'!$B$12,0))))*(1/(1-'P-Parametri'!$B$6*AD164))+MIN(MAX(0,AI163-(MAX(0,AD121-IF($A164&gt;='1-Input'!$C$12,'1-Input'!$B$12,0))-MIN(MAX(AH163,0),MAX(0,AD121-IF($A164&gt;='1-Input'!$C$12,'1-Input'!$B$12,0))))*(1/(1-'P-Parametri'!$B$6*AD164))),MAX(0,0*AD121-(AH163-MIN(MAX(AH163,0),MAX(0,AD121-IF($A164&gt;='1-Input'!$C$12,'1-Input'!$B$12,0)))))*(1/(1-'P-Parametri'!$B$6*AD164))))</f>
        <v>7286.2071627422092</v>
      </c>
      <c r="AF164" s="18">
        <f>IF($A164&gt;'1-Input'!$B$26,AH163,(AH163-MAX(0,AD121-IF($A164&gt;='1-Input'!$C$12,'1-Input'!$B$12,0))+AE164*(1-'P-Parametri'!$B$6*AD164))*(1+'1-Input'!$B$27))</f>
        <v>0</v>
      </c>
      <c r="AG164" s="18">
        <f>IF($A164&gt;'1-Input'!$B$26,AI163,(AI163-AE164)*(1+$B$4))</f>
        <v>28585.725098903658</v>
      </c>
      <c r="AH164" s="18">
        <f>IF($A164&gt;'1-Input'!$B$26,AF164,AF164-'P-Parametri'!$B$8*(AG164+AF164)+MIN(MAX(AG164,0),'P-Parametri'!$B$8*(AG164+AF164)))</f>
        <v>0</v>
      </c>
      <c r="AI164" s="18">
        <f>IF($A164&gt;'1-Input'!$B$26,AG164,AG164-MIN(MAX(AG164,0),'P-Parametri'!$B$8*(AG164+AF164)))</f>
        <v>28528.553648705853</v>
      </c>
      <c r="AJ164" s="18">
        <f>IF($A164&gt;'1-Input'!$B$26,AJ163,AJ163-AE164*(1-AD164))</f>
        <v>10775.539813286636</v>
      </c>
      <c r="AK164" s="11">
        <f>IF($A164&gt;'1-Input'!$B$26,0,IF(AP163&lt;=0,0,MAX(0,(AP163-AQ163)/AP163)))</f>
        <v>0.6155056213713499</v>
      </c>
      <c r="AL164" s="18">
        <f>IF($A164&gt;'1-Input'!$B$26,0,(MAX(0,AK121-IF($A164&gt;='1-Input'!$C$12,'1-Input'!$B$12,0))-MIN(MAX(AO163,0),MAX(0,AK121-IF($A164&gt;='1-Input'!$C$12,'1-Input'!$B$12,0))))*(1/(1-'P-Parametri'!$B$6*AK164))+MIN(MAX(0,AP163-(MAX(0,AK121-IF($A164&gt;='1-Input'!$C$12,'1-Input'!$B$12,0))-MIN(MAX(AO163,0),MAX(0,AK121-IF($A164&gt;='1-Input'!$C$12,'1-Input'!$B$12,0))))*(1/(1-'P-Parametri'!$B$6*AK164))),MAX(0,0*AK121-(AO163-MIN(MAX(AO163,0),MAX(0,AK121-IF($A164&gt;='1-Input'!$C$12,'1-Input'!$B$12,0)))))*(1/(1-'P-Parametri'!$B$6*AK164))))</f>
        <v>7286.2071627422092</v>
      </c>
      <c r="AM164" s="18">
        <f>IF($A164&gt;'1-Input'!$B$26,AO163,(AO163-MAX(0,AK121-IF($A164&gt;='1-Input'!$C$12,'1-Input'!$B$12,0))+AL164*(1-'P-Parametri'!$B$6*AK164))*(1+'1-Input'!$B$27))</f>
        <v>0</v>
      </c>
      <c r="AN164" s="18">
        <f>IF($A164&gt;'1-Input'!$B$26,AP163,(AP163-AL164)*(1+$B$4))</f>
        <v>28585.725098903658</v>
      </c>
      <c r="AO164" s="18">
        <f>IF($A164&gt;'1-Input'!$B$26,AM164,AM164-'P-Parametri'!$B$8*(AN164+AM164)+MIN(MAX(AN164,0),'P-Parametri'!$B$8*(AN164+AM164)))</f>
        <v>0</v>
      </c>
      <c r="AP164" s="18">
        <f>IF($A164&gt;'1-Input'!$B$26,AN164,AN164-MIN(MAX(AN164,0),'P-Parametri'!$B$8*(AN164+AM164)))</f>
        <v>28528.553648705853</v>
      </c>
      <c r="AQ164" s="18">
        <f>IF($A164&gt;'1-Input'!$B$26,AQ163,AQ163-AL164*(1-AK164))</f>
        <v>10775.539813286636</v>
      </c>
    </row>
    <row r="165" spans="1:43">
      <c r="A165" s="10">
        <f>42</f>
        <v>42</v>
      </c>
      <c r="B165" s="11">
        <f>IF($A165&gt;'1-Input'!$B$26,0,IF(G164&lt;=0,0,MAX(0,(G164-H164)/G164)))</f>
        <v>0.62228930544554795</v>
      </c>
      <c r="C165" s="18">
        <f>IF($A165&gt;'1-Input'!$B$26,0,(MAX(0,B121-IF($A165&gt;='1-Input'!$C$12,'1-Input'!$B$12,0))-MIN(MAX(F164,0),MAX(0,B121-IF($A165&gt;='1-Input'!$C$12,'1-Input'!$B$12,0))))*(1/(1-'P-Parametri'!$B$6*B165))+MIN(MAX(0,G164-(MAX(0,B121-IF($A165&gt;='1-Input'!$C$12,'1-Input'!$B$12,0))-MIN(MAX(F164,0),MAX(0,B121-IF($A165&gt;='1-Input'!$C$12,'1-Input'!$B$12,0))))*(1/(1-'P-Parametri'!$B$6*B165))),MAX(0,0*B121-(F164-MIN(MAX(F164,0),MAX(0,B121-IF($A165&gt;='1-Input'!$C$12,'1-Input'!$B$12,0)))))*(1/(1-'P-Parametri'!$B$6*B165))))</f>
        <v>6655.957403079562</v>
      </c>
      <c r="D165" s="18">
        <f>IF($A165&gt;'1-Input'!$B$26,F164,(F164-MAX(0,B121-IF($A165&gt;='1-Input'!$C$12,'1-Input'!$B$12,0))+C165*(1-'P-Parametri'!$B$6*B165))*(1+'1-Input'!$B$27))</f>
        <v>0</v>
      </c>
      <c r="E165" s="18">
        <f>IF($A165&gt;'1-Input'!$B$26,G164,(G164-C165)*(1+$B$4))</f>
        <v>60033.887963630477</v>
      </c>
      <c r="F165" s="18">
        <f>IF($A165&gt;'1-Input'!$B$26,D165,D165-'P-Parametri'!$B$8*(E165+D165)+MIN(MAX(E165,0),'P-Parametri'!$B$8*(E165+D165)))</f>
        <v>0</v>
      </c>
      <c r="G165" s="18">
        <f>IF($A165&gt;'1-Input'!$B$26,E165,E165-MIN(MAX(E165,0),'P-Parametri'!$B$8*(E165+D165)))</f>
        <v>59913.820187703219</v>
      </c>
      <c r="H165" s="18">
        <f>IF($A165&gt;'1-Input'!$B$26,H164,H164-C165*(1-B165))</f>
        <v>22230.825019163756</v>
      </c>
      <c r="I165" s="11">
        <f>IF($A165&gt;'1-Input'!$B$26,0,IF(N164&lt;=0,0,MAX(0,(N164-O164)/N164)))</f>
        <v>0</v>
      </c>
      <c r="J165" s="18">
        <f>IF($A165&gt;'1-Input'!$B$26,0,(MAX(0,I121-IF($A165&gt;='1-Input'!$C$12,'1-Input'!$B$12,0))-MIN(MAX(M164,0),MAX(0,I121-IF($A165&gt;='1-Input'!$C$12,'1-Input'!$B$12,0))))*(1/(1-'P-Parametri'!$B$6*I165))+MIN(MAX(0,N164-(MAX(0,I121-IF($A165&gt;='1-Input'!$C$12,'1-Input'!$B$12,0))-MIN(MAX(M164,0),MAX(0,I121-IF($A165&gt;='1-Input'!$C$12,'1-Input'!$B$12,0))))*(1/(1-'P-Parametri'!$B$6*I165))),MAX(0,0*I121-(M164-MIN(MAX(M164,0),MAX(0,I121-IF($A165&gt;='1-Input'!$C$12,'1-Input'!$B$12,0)))))*(1/(1-'P-Parametri'!$B$6*I165))))</f>
        <v>10846.756992928691</v>
      </c>
      <c r="K165" s="18">
        <f>IF($A165&gt;'1-Input'!$B$26,M164,(M164-MAX(0,I121-IF($A165&gt;='1-Input'!$C$12,'1-Input'!$B$12,0))+J165*(1-'P-Parametri'!$B$6*I165))*(1+'1-Input'!$B$27))</f>
        <v>0</v>
      </c>
      <c r="L165" s="18">
        <f>IF($A165&gt;'1-Input'!$B$26,N164,(N164-J165)*(1+$B$4))</f>
        <v>-269997.72679168318</v>
      </c>
      <c r="M165" s="18">
        <f>IF($A165&gt;'1-Input'!$B$26,K165,K165-'P-Parametri'!$B$8*(L165+K165)+MIN(MAX(L165,0),'P-Parametri'!$B$8*(L165+K165)))</f>
        <v>0</v>
      </c>
      <c r="N165" s="18">
        <f>IF($A165&gt;'1-Input'!$B$26,L165,L165-MIN(MAX(L165,0),'P-Parametri'!$B$8*(L165+K165)))</f>
        <v>-269457.73133809981</v>
      </c>
      <c r="O165" s="18">
        <f>IF($A165&gt;'1-Input'!$B$26,O164,O164-J165*(1-I165))</f>
        <v>-219368.99757914632</v>
      </c>
      <c r="P165" s="11">
        <f>IF($A165&gt;'1-Input'!$B$26,0,IF(U164&lt;=0,0,MAX(0,(U164-V164)/U164)))</f>
        <v>0.62228930544554784</v>
      </c>
      <c r="Q165" s="18">
        <f>IF($A165&gt;'1-Input'!$B$26,0,(MAX(0,P121-IF($A165&gt;='1-Input'!$C$12,'1-Input'!$B$12,0))-MIN(MAX(T164,0),MAX(0,P121-IF($A165&gt;='1-Input'!$C$12,'1-Input'!$B$12,0))))*(1/(1-'P-Parametri'!$B$6*P165))+MIN(MAX(0,U164-(MAX(0,P121-IF($A165&gt;='1-Input'!$C$12,'1-Input'!$B$12,0))-MIN(MAX(T164,0),MAX(0,P121-IF($A165&gt;='1-Input'!$C$12,'1-Input'!$B$12,0))))*(1/(1-'P-Parametri'!$B$6*P165))),MAX(0,0*P121-(T164-MIN(MAX(T164,0),MAX(0,P121-IF($A165&gt;='1-Input'!$C$12,'1-Input'!$B$12,0)))))*(1/(1-'P-Parametri'!$B$6*P165))))</f>
        <v>7395.729731909827</v>
      </c>
      <c r="R165" s="18">
        <f>IF($A165&gt;'1-Input'!$B$26,T164,(T164-MAX(0,P121-IF($A165&gt;='1-Input'!$C$12,'1-Input'!$B$12,0))+Q165*(1-'P-Parametri'!$B$6*P165))*(1+'1-Input'!$B$27))</f>
        <v>0</v>
      </c>
      <c r="S165" s="18">
        <f>IF($A165&gt;'1-Input'!$B$26,U164,(U164-Q165)*(1+$B$4))</f>
        <v>16051.54102671958</v>
      </c>
      <c r="T165" s="18">
        <f>IF($A165&gt;'1-Input'!$B$26,R165,R165-'P-Parametri'!$B$8*(S165+R165)+MIN(MAX(S165,0),'P-Parametri'!$B$8*(S165+R165)))</f>
        <v>0</v>
      </c>
      <c r="U165" s="18">
        <f>IF($A165&gt;'1-Input'!$B$26,S165,S165-MIN(MAX(S165,0),'P-Parametri'!$B$8*(S165+R165)))</f>
        <v>16019.437944666141</v>
      </c>
      <c r="V165" s="18">
        <f>IF($A165&gt;'1-Input'!$B$26,V164,V164-Q165*(1-P165))</f>
        <v>5943.9595194818994</v>
      </c>
      <c r="W165" s="11">
        <f>IF($A165&gt;'1-Input'!$B$26,0,IF(AB164&lt;=0,0,MAX(0,(AB164-AC164)/AB164)))</f>
        <v>0.62228930544554795</v>
      </c>
      <c r="X165" s="18">
        <f>IF($A165&gt;'1-Input'!$B$26,0,(MAX(0,W121-IF($A165&gt;='1-Input'!$C$12,'1-Input'!$B$12,0))-MIN(MAX(AA164,0),MAX(0,W121-IF($A165&gt;='1-Input'!$C$12,'1-Input'!$B$12,0))))*(1/(1-'P-Parametri'!$B$6*W165))+MIN(MAX(0,AB164-(MAX(0,W121-IF($A165&gt;='1-Input'!$C$12,'1-Input'!$B$12,0))-MIN(MAX(AA164,0),MAX(0,W121-IF($A165&gt;='1-Input'!$C$12,'1-Input'!$B$12,0))))*(1/(1-'P-Parametri'!$B$6*W165))),MAX(0,0*W121-(AA164-MIN(MAX(AA164,0),MAX(0,W121-IF($A165&gt;='1-Input'!$C$12,'1-Input'!$B$12,0)))))*(1/(1-'P-Parametri'!$B$6*W165))))</f>
        <v>7285.6536036972157</v>
      </c>
      <c r="Y165" s="18">
        <f>IF($A165&gt;'1-Input'!$B$26,AA164,(AA164-MAX(0,W121-IF($A165&gt;='1-Input'!$C$12,'1-Input'!$B$12,0))+X165*(1-'P-Parametri'!$B$6*W165))*(1+'1-Input'!$B$27))</f>
        <v>0</v>
      </c>
      <c r="Z165" s="18">
        <f>IF($A165&gt;'1-Input'!$B$26,AB164,(AB164-X165)*(1+$B$4))</f>
        <v>22595.995680997181</v>
      </c>
      <c r="AA165" s="18">
        <f>IF($A165&gt;'1-Input'!$B$26,Y165,Y165-'P-Parametri'!$B$8*(Z165+Y165)+MIN(MAX(Z165,0),'P-Parametri'!$B$8*(Z165+Y165)))</f>
        <v>0</v>
      </c>
      <c r="AB165" s="18">
        <f>IF($A165&gt;'1-Input'!$B$26,Z165,Z165-MIN(MAX(Z165,0),'P-Parametri'!$B$8*(Z165+Y165)))</f>
        <v>22550.803689635188</v>
      </c>
      <c r="AC165" s="18">
        <f>IF($A165&gt;'1-Input'!$B$26,AC164,AC164-X165*(1-W165))</f>
        <v>8367.4011988420043</v>
      </c>
      <c r="AD165" s="11">
        <f>IF($A165&gt;'1-Input'!$B$26,0,IF(AI164&lt;=0,0,MAX(0,(AI164-AJ164)/AI164)))</f>
        <v>0.62228930544554795</v>
      </c>
      <c r="AE165" s="18">
        <f>IF($A165&gt;'1-Input'!$B$26,0,(MAX(0,AD121-IF($A165&gt;='1-Input'!$C$12,'1-Input'!$B$12,0))-MIN(MAX(AH164,0),MAX(0,AD121-IF($A165&gt;='1-Input'!$C$12,'1-Input'!$B$12,0))))*(1/(1-'P-Parametri'!$B$6*AD165))+MIN(MAX(0,AI164-(MAX(0,AD121-IF($A165&gt;='1-Input'!$C$12,'1-Input'!$B$12,0))-MIN(MAX(AH164,0),MAX(0,AD121-IF($A165&gt;='1-Input'!$C$12,'1-Input'!$B$12,0))))*(1/(1-'P-Parametri'!$B$6*AD165))),MAX(0,0*AD121-(AH164-MIN(MAX(AH164,0),MAX(0,AD121-IF($A165&gt;='1-Input'!$C$12,'1-Input'!$B$12,0)))))*(1/(1-'P-Parametri'!$B$6*AD165))))</f>
        <v>7301.5388638317172</v>
      </c>
      <c r="AF165" s="18">
        <f>IF($A165&gt;'1-Input'!$B$26,AH164,(AH164-MAX(0,AD121-IF($A165&gt;='1-Input'!$C$12,'1-Input'!$B$12,0))+AE165*(1-'P-Parametri'!$B$6*AD165))*(1+'1-Input'!$B$27))</f>
        <v>0</v>
      </c>
      <c r="AG165" s="18">
        <f>IF($A165&gt;'1-Input'!$B$26,AI164,(AI164-AE165)*(1+$B$4))</f>
        <v>21651.555080571619</v>
      </c>
      <c r="AH165" s="18">
        <f>IF($A165&gt;'1-Input'!$B$26,AF165,AF165-'P-Parametri'!$B$8*(AG165+AF165)+MIN(MAX(AG165,0),'P-Parametri'!$B$8*(AG165+AF165)))</f>
        <v>0</v>
      </c>
      <c r="AI165" s="18">
        <f>IF($A165&gt;'1-Input'!$B$26,AG165,AG165-MIN(MAX(AG165,0),'P-Parametri'!$B$8*(AG165+AF165)))</f>
        <v>21608.251970410474</v>
      </c>
      <c r="AJ165" s="18">
        <f>IF($A165&gt;'1-Input'!$B$26,AJ164,AJ164-AE165*(1-AD165))</f>
        <v>8017.6704977124336</v>
      </c>
      <c r="AK165" s="11">
        <f>IF($A165&gt;'1-Input'!$B$26,0,IF(AP164&lt;=0,0,MAX(0,(AP164-AQ164)/AP164)))</f>
        <v>0.62228930544554795</v>
      </c>
      <c r="AL165" s="18">
        <f>IF($A165&gt;'1-Input'!$B$26,0,(MAX(0,AK121-IF($A165&gt;='1-Input'!$C$12,'1-Input'!$B$12,0))-MIN(MAX(AO164,0),MAX(0,AK121-IF($A165&gt;='1-Input'!$C$12,'1-Input'!$B$12,0))))*(1/(1-'P-Parametri'!$B$6*AK165))+MIN(MAX(0,AP164-(MAX(0,AK121-IF($A165&gt;='1-Input'!$C$12,'1-Input'!$B$12,0))-MIN(MAX(AO164,0),MAX(0,AK121-IF($A165&gt;='1-Input'!$C$12,'1-Input'!$B$12,0))))*(1/(1-'P-Parametri'!$B$6*AK165))),MAX(0,0*AK121-(AO164-MIN(MAX(AO164,0),MAX(0,AK121-IF($A165&gt;='1-Input'!$C$12,'1-Input'!$B$12,0)))))*(1/(1-'P-Parametri'!$B$6*AK165))))</f>
        <v>7301.5388638317172</v>
      </c>
      <c r="AM165" s="18">
        <f>IF($A165&gt;'1-Input'!$B$26,AO164,(AO164-MAX(0,AK121-IF($A165&gt;='1-Input'!$C$12,'1-Input'!$B$12,0))+AL165*(1-'P-Parametri'!$B$6*AK165))*(1+'1-Input'!$B$27))</f>
        <v>0</v>
      </c>
      <c r="AN165" s="18">
        <f>IF($A165&gt;'1-Input'!$B$26,AP164,(AP164-AL165)*(1+$B$4))</f>
        <v>21651.555080571619</v>
      </c>
      <c r="AO165" s="18">
        <f>IF($A165&gt;'1-Input'!$B$26,AM165,AM165-'P-Parametri'!$B$8*(AN165+AM165)+MIN(MAX(AN165,0),'P-Parametri'!$B$8*(AN165+AM165)))</f>
        <v>0</v>
      </c>
      <c r="AP165" s="18">
        <f>IF($A165&gt;'1-Input'!$B$26,AN165,AN165-MIN(MAX(AN165,0),'P-Parametri'!$B$8*(AN165+AM165)))</f>
        <v>21608.251970410474</v>
      </c>
      <c r="AQ165" s="18">
        <f>IF($A165&gt;'1-Input'!$B$26,AQ164,AQ164-AL165*(1-AK165))</f>
        <v>8017.6704977124336</v>
      </c>
    </row>
    <row r="166" spans="1:43">
      <c r="A166" s="10">
        <f>43</f>
        <v>43</v>
      </c>
      <c r="B166" s="11">
        <f>IF($A166&gt;'1-Input'!$B$26,0,IF(G165&lt;=0,0,MAX(0,(G165-H165)/G165)))</f>
        <v>0.62895330410384287</v>
      </c>
      <c r="C166" s="18">
        <f>IF($A166&gt;'1-Input'!$B$26,0,(MAX(0,B121-IF($A166&gt;='1-Input'!$C$12,'1-Input'!$B$12,0))-MIN(MAX(F165,0),MAX(0,B121-IF($A166&gt;='1-Input'!$C$12,'1-Input'!$B$12,0))))*(1/(1-'P-Parametri'!$B$6*B166))+MIN(MAX(0,G165-(MAX(0,B121-IF($A166&gt;='1-Input'!$C$12,'1-Input'!$B$12,0))-MIN(MAX(F165,0),MAX(0,B121-IF($A166&gt;='1-Input'!$C$12,'1-Input'!$B$12,0))))*(1/(1-'P-Parametri'!$B$6*B166))),MAX(0,0*B121-(F165-MIN(MAX(F165,0),MAX(0,B121-IF($A166&gt;='1-Input'!$C$12,'1-Input'!$B$12,0)))))*(1/(1-'P-Parametri'!$B$6*B166))))</f>
        <v>6669.7443245425075</v>
      </c>
      <c r="D166" s="18">
        <f>IF($A166&gt;'1-Input'!$B$26,F165,(F165-MAX(0,B121-IF($A166&gt;='1-Input'!$C$12,'1-Input'!$B$12,0))+C166*(1-'P-Parametri'!$B$6*B166))*(1+'1-Input'!$B$27))</f>
        <v>0</v>
      </c>
      <c r="E166" s="18">
        <f>IF($A166&gt;'1-Input'!$B$26,G165,(G165-C166)*(1+$B$4))</f>
        <v>54308.957380423926</v>
      </c>
      <c r="F166" s="18">
        <f>IF($A166&gt;'1-Input'!$B$26,D166,D166-'P-Parametri'!$B$8*(E166+D166)+MIN(MAX(E166,0),'P-Parametri'!$B$8*(E166+D166)))</f>
        <v>0</v>
      </c>
      <c r="G166" s="18">
        <f>IF($A166&gt;'1-Input'!$B$26,E166,E166-MIN(MAX(E166,0),'P-Parametri'!$B$8*(E166+D166)))</f>
        <v>54200.339465663077</v>
      </c>
      <c r="H166" s="18">
        <f>IF($A166&gt;'1-Input'!$B$26,H165,H165-C166*(1-B166))</f>
        <v>19756.038425070114</v>
      </c>
      <c r="I166" s="11">
        <f>IF($A166&gt;'1-Input'!$B$26,0,IF(N165&lt;=0,0,MAX(0,(N165-O165)/N165)))</f>
        <v>0</v>
      </c>
      <c r="J166" s="18">
        <f>IF($A166&gt;'1-Input'!$B$26,0,(MAX(0,I121-IF($A166&gt;='1-Input'!$C$12,'1-Input'!$B$12,0))-MIN(MAX(M165,0),MAX(0,I121-IF($A166&gt;='1-Input'!$C$12,'1-Input'!$B$12,0))))*(1/(1-'P-Parametri'!$B$6*I166))+MIN(MAX(0,N165-(MAX(0,I121-IF($A166&gt;='1-Input'!$C$12,'1-Input'!$B$12,0))-MIN(MAX(M165,0),MAX(0,I121-IF($A166&gt;='1-Input'!$C$12,'1-Input'!$B$12,0))))*(1/(1-'P-Parametri'!$B$6*I166))),MAX(0,0*I121-(M165-MIN(MAX(M165,0),MAX(0,I121-IF($A166&gt;='1-Input'!$C$12,'1-Input'!$B$12,0)))))*(1/(1-'P-Parametri'!$B$6*I166))))</f>
        <v>10846.756992928691</v>
      </c>
      <c r="K166" s="18">
        <f>IF($A166&gt;'1-Input'!$B$26,M165,(M165-MAX(0,I121-IF($A166&gt;='1-Input'!$C$12,'1-Input'!$B$12,0))+J166*(1-'P-Parametri'!$B$6*I166))*(1+'1-Input'!$B$27))</f>
        <v>0</v>
      </c>
      <c r="L166" s="18">
        <f>IF($A166&gt;'1-Input'!$B$26,N165,(N165-J166)*(1+$B$4))</f>
        <v>-285910.57809764909</v>
      </c>
      <c r="M166" s="18">
        <f>IF($A166&gt;'1-Input'!$B$26,K166,K166-'P-Parametri'!$B$8*(L166+K166)+MIN(MAX(L166,0),'P-Parametri'!$B$8*(L166+K166)))</f>
        <v>0</v>
      </c>
      <c r="N166" s="18">
        <f>IF($A166&gt;'1-Input'!$B$26,L166,L166-MIN(MAX(L166,0),'P-Parametri'!$B$8*(L166+K166)))</f>
        <v>-285338.75694145379</v>
      </c>
      <c r="O166" s="18">
        <f>IF($A166&gt;'1-Input'!$B$26,O165,O165-J166*(1-I166))</f>
        <v>-230215.75457207501</v>
      </c>
      <c r="P166" s="11">
        <f>IF($A166&gt;'1-Input'!$B$26,0,IF(U165&lt;=0,0,MAX(0,(U165-V165)/U165)))</f>
        <v>0.62895330410384276</v>
      </c>
      <c r="Q166" s="18">
        <f>IF($A166&gt;'1-Input'!$B$26,0,(MAX(0,P121-IF($A166&gt;='1-Input'!$C$12,'1-Input'!$B$12,0))-MIN(MAX(T165,0),MAX(0,P121-IF($A166&gt;='1-Input'!$C$12,'1-Input'!$B$12,0))))*(1/(1-'P-Parametri'!$B$6*P166))+MIN(MAX(0,U165-(MAX(0,P121-IF($A166&gt;='1-Input'!$C$12,'1-Input'!$B$12,0))-MIN(MAX(T165,0),MAX(0,P121-IF($A166&gt;='1-Input'!$C$12,'1-Input'!$B$12,0))))*(1/(1-'P-Parametri'!$B$6*P166))),MAX(0,0*P121-(T165-MIN(MAX(T165,0),MAX(0,P121-IF($A166&gt;='1-Input'!$C$12,'1-Input'!$B$12,0)))))*(1/(1-'P-Parametri'!$B$6*P166))))</f>
        <v>7411.0489923557898</v>
      </c>
      <c r="R166" s="18">
        <f>IF($A166&gt;'1-Input'!$B$26,T165,(T165-MAX(0,P121-IF($A166&gt;='1-Input'!$C$12,'1-Input'!$B$12,0))+Q166*(1-'P-Parametri'!$B$6*P166))*(1+'1-Input'!$B$27))</f>
        <v>-9.0622052084654565E-13</v>
      </c>
      <c r="S166" s="18">
        <f>IF($A166&gt;'1-Input'!$B$26,U165,(U165-Q166)*(1+$B$4))</f>
        <v>8780.5567313565571</v>
      </c>
      <c r="T166" s="18">
        <f>IF($A166&gt;'1-Input'!$B$26,R166,R166-'P-Parametri'!$B$8*(S166+R166)+MIN(MAX(S166,0),'P-Parametri'!$B$8*(S166+R166)))</f>
        <v>-9.0594198809412774E-13</v>
      </c>
      <c r="U166" s="18">
        <f>IF($A166&gt;'1-Input'!$B$26,S166,S166-MIN(MAX(S166,0),'P-Parametri'!$B$8*(S166+R166)))</f>
        <v>8762.9956178938446</v>
      </c>
      <c r="V166" s="18">
        <f>IF($A166&gt;'1-Input'!$B$26,V165,V165-Q166*(1-P166))</f>
        <v>3194.1142777437381</v>
      </c>
      <c r="W166" s="11">
        <f>IF($A166&gt;'1-Input'!$B$26,0,IF(AB165&lt;=0,0,MAX(0,(AB165-AC165)/AB165)))</f>
        <v>0.62895330410384298</v>
      </c>
      <c r="X166" s="18">
        <f>IF($A166&gt;'1-Input'!$B$26,0,(MAX(0,W121-IF($A166&gt;='1-Input'!$C$12,'1-Input'!$B$12,0))-MIN(MAX(AA165,0),MAX(0,W121-IF($A166&gt;='1-Input'!$C$12,'1-Input'!$B$12,0))))*(1/(1-'P-Parametri'!$B$6*W166))+MIN(MAX(0,AB165-(MAX(0,W121-IF($A166&gt;='1-Input'!$C$12,'1-Input'!$B$12,0))-MIN(MAX(AA165,0),MAX(0,W121-IF($A166&gt;='1-Input'!$C$12,'1-Input'!$B$12,0))))*(1/(1-'P-Parametri'!$B$6*W166))),MAX(0,0*W121-(AA165-MIN(MAX(AA165,0),MAX(0,W121-IF($A166&gt;='1-Input'!$C$12,'1-Input'!$B$12,0)))))*(1/(1-'P-Parametri'!$B$6*W166))))</f>
        <v>7300.7448562334675</v>
      </c>
      <c r="Y166" s="18">
        <f>IF($A166&gt;'1-Input'!$B$26,AA165,(AA165-MAX(0,W121-IF($A166&gt;='1-Input'!$C$12,'1-Input'!$B$12,0))+X166*(1-'P-Parametri'!$B$6*W166))*(1+'1-Input'!$B$27))</f>
        <v>0</v>
      </c>
      <c r="Z166" s="18">
        <f>IF($A166&gt;'1-Input'!$B$26,AB165,(AB165-X166)*(1+$B$4))</f>
        <v>15555.060010069754</v>
      </c>
      <c r="AA166" s="18">
        <f>IF($A166&gt;'1-Input'!$B$26,Y166,Y166-'P-Parametri'!$B$8*(Z166+Y166)+MIN(MAX(Z166,0),'P-Parametri'!$B$8*(Z166+Y166)))</f>
        <v>0</v>
      </c>
      <c r="AB166" s="18">
        <f>IF($A166&gt;'1-Input'!$B$26,Z166,Z166-MIN(MAX(Z166,0),'P-Parametri'!$B$8*(Z166+Y166)))</f>
        <v>15523.949890049615</v>
      </c>
      <c r="AC166" s="18">
        <f>IF($A166&gt;'1-Input'!$B$26,AC165,AC165-X166*(1-W166))</f>
        <v>5658.4839423557123</v>
      </c>
      <c r="AD166" s="11">
        <f>IF($A166&gt;'1-Input'!$B$26,0,IF(AI165&lt;=0,0,MAX(0,(AI165-AJ165)/AI165)))</f>
        <v>0.62895330410384287</v>
      </c>
      <c r="AE166" s="18">
        <f>IF($A166&gt;'1-Input'!$B$26,0,(MAX(0,AD121-IF($A166&gt;='1-Input'!$C$12,'1-Input'!$B$12,0))-MIN(MAX(AH165,0),MAX(0,AD121-IF($A166&gt;='1-Input'!$C$12,'1-Input'!$B$12,0))))*(1/(1-'P-Parametri'!$B$6*AD166))+MIN(MAX(0,AI165-(MAX(0,AD121-IF($A166&gt;='1-Input'!$C$12,'1-Input'!$B$12,0))-MIN(MAX(AH165,0),MAX(0,AD121-IF($A166&gt;='1-Input'!$C$12,'1-Input'!$B$12,0))))*(1/(1-'P-Parametri'!$B$6*AD166))),MAX(0,0*AD121-(AH165-MIN(MAX(AH165,0),MAX(0,AD121-IF($A166&gt;='1-Input'!$C$12,'1-Input'!$B$12,0)))))*(1/(1-'P-Parametri'!$B$6*AD166))))</f>
        <v>7316.663020549985</v>
      </c>
      <c r="AF166" s="18">
        <f>IF($A166&gt;'1-Input'!$B$26,AH165,(AH165-MAX(0,AD121-IF($A166&gt;='1-Input'!$C$12,'1-Input'!$B$12,0))+AE166*(1-'P-Parametri'!$B$6*AD166))*(1+'1-Input'!$B$27))</f>
        <v>0</v>
      </c>
      <c r="AG166" s="18">
        <f>IF($A166&gt;'1-Input'!$B$26,AI165,(AI165-AE166)*(1+$B$4))</f>
        <v>14577.420728857698</v>
      </c>
      <c r="AH166" s="18">
        <f>IF($A166&gt;'1-Input'!$B$26,AF166,AF166-'P-Parametri'!$B$8*(AG166+AF166)+MIN(MAX(AG166,0),'P-Parametri'!$B$8*(AG166+AF166)))</f>
        <v>0</v>
      </c>
      <c r="AI166" s="18">
        <f>IF($A166&gt;'1-Input'!$B$26,AG166,AG166-MIN(MAX(AG166,0),'P-Parametri'!$B$8*(AG166+AF166)))</f>
        <v>14548.265887399983</v>
      </c>
      <c r="AJ166" s="18">
        <f>IF($A166&gt;'1-Input'!$B$26,AJ165,AJ165-AE166*(1-AD166))</f>
        <v>5302.8468589517652</v>
      </c>
      <c r="AK166" s="11">
        <f>IF($A166&gt;'1-Input'!$B$26,0,IF(AP165&lt;=0,0,MAX(0,(AP165-AQ165)/AP165)))</f>
        <v>0.62895330410384287</v>
      </c>
      <c r="AL166" s="18">
        <f>IF($A166&gt;'1-Input'!$B$26,0,(MAX(0,AK121-IF($A166&gt;='1-Input'!$C$12,'1-Input'!$B$12,0))-MIN(MAX(AO165,0),MAX(0,AK121-IF($A166&gt;='1-Input'!$C$12,'1-Input'!$B$12,0))))*(1/(1-'P-Parametri'!$B$6*AK166))+MIN(MAX(0,AP165-(MAX(0,AK121-IF($A166&gt;='1-Input'!$C$12,'1-Input'!$B$12,0))-MIN(MAX(AO165,0),MAX(0,AK121-IF($A166&gt;='1-Input'!$C$12,'1-Input'!$B$12,0))))*(1/(1-'P-Parametri'!$B$6*AK166))),MAX(0,0*AK121-(AO165-MIN(MAX(AO165,0),MAX(0,AK121-IF($A166&gt;='1-Input'!$C$12,'1-Input'!$B$12,0)))))*(1/(1-'P-Parametri'!$B$6*AK166))))</f>
        <v>7316.663020549985</v>
      </c>
      <c r="AM166" s="18">
        <f>IF($A166&gt;'1-Input'!$B$26,AO165,(AO165-MAX(0,AK121-IF($A166&gt;='1-Input'!$C$12,'1-Input'!$B$12,0))+AL166*(1-'P-Parametri'!$B$6*AK166))*(1+'1-Input'!$B$27))</f>
        <v>0</v>
      </c>
      <c r="AN166" s="18">
        <f>IF($A166&gt;'1-Input'!$B$26,AP165,(AP165-AL166)*(1+$B$4))</f>
        <v>14577.420728857698</v>
      </c>
      <c r="AO166" s="18">
        <f>IF($A166&gt;'1-Input'!$B$26,AM166,AM166-'P-Parametri'!$B$8*(AN166+AM166)+MIN(MAX(AN166,0),'P-Parametri'!$B$8*(AN166+AM166)))</f>
        <v>0</v>
      </c>
      <c r="AP166" s="18">
        <f>IF($A166&gt;'1-Input'!$B$26,AN166,AN166-MIN(MAX(AN166,0),'P-Parametri'!$B$8*(AN166+AM166)))</f>
        <v>14548.265887399983</v>
      </c>
      <c r="AQ166" s="18">
        <f>IF($A166&gt;'1-Input'!$B$26,AQ165,AQ165-AL166*(1-AK166))</f>
        <v>5302.8468589517652</v>
      </c>
    </row>
    <row r="167" spans="1:43">
      <c r="A167" s="10">
        <f>44</f>
        <v>44</v>
      </c>
      <c r="B167" s="11">
        <f>IF($A167&gt;'1-Input'!$B$26,0,IF(G166&lt;=0,0,MAX(0,(G166-H166)/G166)))</f>
        <v>0.63549972897151452</v>
      </c>
      <c r="C167" s="18">
        <f>IF($A167&gt;'1-Input'!$B$26,0,(MAX(0,B121-IF($A167&gt;='1-Input'!$C$12,'1-Input'!$B$12,0))-MIN(MAX(F166,0),MAX(0,B121-IF($A167&gt;='1-Input'!$C$12,'1-Input'!$B$12,0))))*(1/(1-'P-Parametri'!$B$6*B167))+MIN(MAX(0,G166-(MAX(0,B121-IF($A167&gt;='1-Input'!$C$12,'1-Input'!$B$12,0))-MIN(MAX(F166,0),MAX(0,B121-IF($A167&gt;='1-Input'!$C$12,'1-Input'!$B$12,0))))*(1/(1-'P-Parametri'!$B$6*B167))),MAX(0,0*B121-(F166-MIN(MAX(F166,0),MAX(0,B121-IF($A167&gt;='1-Input'!$C$12,'1-Input'!$B$12,0)))))*(1/(1-'P-Parametri'!$B$6*B167))))</f>
        <v>6683.3437278147339</v>
      </c>
      <c r="D167" s="18">
        <f>IF($A167&gt;'1-Input'!$B$26,F166,(F166-MAX(0,B121-IF($A167&gt;='1-Input'!$C$12,'1-Input'!$B$12,0))+C167*(1-'P-Parametri'!$B$6*B167))*(1+'1-Input'!$B$27))</f>
        <v>9.0622052084654565E-13</v>
      </c>
      <c r="E167" s="18">
        <f>IF($A167&gt;'1-Input'!$B$26,G166,(G166-C167)*(1+$B$4))</f>
        <v>48467.33565260531</v>
      </c>
      <c r="F167" s="18">
        <f>IF($A167&gt;'1-Input'!$B$26,D167,D167-'P-Parametri'!$B$8*(E167+D167)+MIN(MAX(E167,0),'P-Parametri'!$B$8*(E167+D167)))</f>
        <v>9.0949470177292824E-13</v>
      </c>
      <c r="G167" s="18">
        <f>IF($A167&gt;'1-Input'!$B$26,E167,E167-MIN(MAX(E167,0),'P-Parametri'!$B$8*(E167+D167)))</f>
        <v>48370.400981300103</v>
      </c>
      <c r="H167" s="18">
        <f>IF($A167&gt;'1-Input'!$B$26,H166,H166-C167*(1-B167))</f>
        <v>17319.957824905116</v>
      </c>
      <c r="I167" s="11">
        <f>IF($A167&gt;'1-Input'!$B$26,0,IF(N166&lt;=0,0,MAX(0,(N166-O166)/N166)))</f>
        <v>0</v>
      </c>
      <c r="J167" s="18">
        <f>IF($A167&gt;'1-Input'!$B$26,0,(MAX(0,I121-IF($A167&gt;='1-Input'!$C$12,'1-Input'!$B$12,0))-MIN(MAX(M166,0),MAX(0,I121-IF($A167&gt;='1-Input'!$C$12,'1-Input'!$B$12,0))))*(1/(1-'P-Parametri'!$B$6*I167))+MIN(MAX(0,N166-(MAX(0,I121-IF($A167&gt;='1-Input'!$C$12,'1-Input'!$B$12,0))-MIN(MAX(M166,0),MAX(0,I121-IF($A167&gt;='1-Input'!$C$12,'1-Input'!$B$12,0))))*(1/(1-'P-Parametri'!$B$6*I167))),MAX(0,0*I121-(M166-MIN(MAX(M166,0),MAX(0,I121-IF($A167&gt;='1-Input'!$C$12,'1-Input'!$B$12,0)))))*(1/(1-'P-Parametri'!$B$6*I167))))</f>
        <v>10846.756992928691</v>
      </c>
      <c r="K167" s="18">
        <f>IF($A167&gt;'1-Input'!$B$26,M166,(M166-MAX(0,I121-IF($A167&gt;='1-Input'!$C$12,'1-Input'!$B$12,0))+J167*(1-'P-Parametri'!$B$6*I167))*(1+'1-Input'!$B$27))</f>
        <v>0</v>
      </c>
      <c r="L167" s="18">
        <f>IF($A167&gt;'1-Input'!$B$26,N166,(N166-J167)*(1+$B$4))</f>
        <v>-302109.22421307012</v>
      </c>
      <c r="M167" s="18">
        <f>IF($A167&gt;'1-Input'!$B$26,K167,K167-'P-Parametri'!$B$8*(L167+K167)+MIN(MAX(L167,0),'P-Parametri'!$B$8*(L167+K167)))</f>
        <v>0</v>
      </c>
      <c r="N167" s="18">
        <f>IF($A167&gt;'1-Input'!$B$26,L167,L167-MIN(MAX(L167,0),'P-Parametri'!$B$8*(L167+K167)))</f>
        <v>-301505.00576464395</v>
      </c>
      <c r="O167" s="18">
        <f>IF($A167&gt;'1-Input'!$B$26,O166,O166-J167*(1-I167))</f>
        <v>-241062.51156500369</v>
      </c>
      <c r="P167" s="11">
        <f>IF($A167&gt;'1-Input'!$B$26,0,IF(U166&lt;=0,0,MAX(0,(U166-V166)/U166)))</f>
        <v>0.63549972897151441</v>
      </c>
      <c r="Q167" s="18">
        <f>IF($A167&gt;'1-Input'!$B$26,0,(MAX(0,P121-IF($A167&gt;='1-Input'!$C$12,'1-Input'!$B$12,0))-MIN(MAX(T166,0),MAX(0,P121-IF($A167&gt;='1-Input'!$C$12,'1-Input'!$B$12,0))))*(1/(1-'P-Parametri'!$B$6*P167))+MIN(MAX(0,U166-(MAX(0,P121-IF($A167&gt;='1-Input'!$C$12,'1-Input'!$B$12,0))-MIN(MAX(T166,0),MAX(0,P121-IF($A167&gt;='1-Input'!$C$12,'1-Input'!$B$12,0))))*(1/(1-'P-Parametri'!$B$6*P167))),MAX(0,0*P121-(T166-MIN(MAX(T166,0),MAX(0,P121-IF($A167&gt;='1-Input'!$C$12,'1-Input'!$B$12,0)))))*(1/(1-'P-Parametri'!$B$6*P167))))</f>
        <v>7426.1598930160189</v>
      </c>
      <c r="R167" s="18">
        <f>IF($A167&gt;'1-Input'!$B$26,T166,(T166-MAX(0,P121-IF($A167&gt;='1-Input'!$C$12,'1-Input'!$B$12,0))+Q167*(1-'P-Parametri'!$B$6*P167))*(1+'1-Input'!$B$27))</f>
        <v>0</v>
      </c>
      <c r="S167" s="18">
        <f>IF($A167&gt;'1-Input'!$B$26,U166,(U166-Q167)*(1+$B$4))</f>
        <v>1363.5724393753821</v>
      </c>
      <c r="T167" s="18">
        <f>IF($A167&gt;'1-Input'!$B$26,R167,R167-'P-Parametri'!$B$8*(S167+R167)+MIN(MAX(S167,0),'P-Parametri'!$B$8*(S167+R167)))</f>
        <v>0</v>
      </c>
      <c r="U167" s="18">
        <f>IF($A167&gt;'1-Input'!$B$26,S167,S167-MIN(MAX(S167,0),'P-Parametri'!$B$8*(S167+R167)))</f>
        <v>1360.8452944966314</v>
      </c>
      <c r="V167" s="18">
        <f>IF($A167&gt;'1-Input'!$B$26,V166,V166-Q167*(1-P167))</f>
        <v>487.27698403852946</v>
      </c>
      <c r="W167" s="11">
        <f>IF($A167&gt;'1-Input'!$B$26,0,IF(AB166&lt;=0,0,MAX(0,(AB166-AC166)/AB166)))</f>
        <v>0.63549972897151441</v>
      </c>
      <c r="X167" s="18">
        <f>IF($A167&gt;'1-Input'!$B$26,0,(MAX(0,W121-IF($A167&gt;='1-Input'!$C$12,'1-Input'!$B$12,0))-MIN(MAX(AA166,0),MAX(0,W121-IF($A167&gt;='1-Input'!$C$12,'1-Input'!$B$12,0))))*(1/(1-'P-Parametri'!$B$6*W167))+MIN(MAX(0,AB166-(MAX(0,W121-IF($A167&gt;='1-Input'!$C$12,'1-Input'!$B$12,0))-MIN(MAX(AA166,0),MAX(0,W121-IF($A167&gt;='1-Input'!$C$12,'1-Input'!$B$12,0))))*(1/(1-'P-Parametri'!$B$6*W167))),MAX(0,0*W121-(AA166-MIN(MAX(AA166,0),MAX(0,W121-IF($A167&gt;='1-Input'!$C$12,'1-Input'!$B$12,0)))))*(1/(1-'P-Parametri'!$B$6*W167))))</f>
        <v>7315.6308501571339</v>
      </c>
      <c r="Y167" s="18">
        <f>IF($A167&gt;'1-Input'!$B$26,AA166,(AA166-MAX(0,W121-IF($A167&gt;='1-Input'!$C$12,'1-Input'!$B$12,0))+X167*(1-'P-Parametri'!$B$6*W167))*(1+'1-Input'!$B$27))</f>
        <v>0</v>
      </c>
      <c r="Z167" s="18">
        <f>IF($A167&gt;'1-Input'!$B$26,AB166,(AB166-X167)*(1+$B$4))</f>
        <v>8372.485420690331</v>
      </c>
      <c r="AA167" s="18">
        <f>IF($A167&gt;'1-Input'!$B$26,Y167,Y167-'P-Parametri'!$B$8*(Z167+Y167)+MIN(MAX(Z167,0),'P-Parametri'!$B$8*(Z167+Y167)))</f>
        <v>0</v>
      </c>
      <c r="AB167" s="18">
        <f>IF($A167&gt;'1-Input'!$B$26,Z167,Z167-MIN(MAX(Z167,0),'P-Parametri'!$B$8*(Z167+Y167)))</f>
        <v>8355.7404498489504</v>
      </c>
      <c r="AC167" s="18">
        <f>IF($A167&gt;'1-Input'!$B$26,AC166,AC166-X167*(1-W167))</f>
        <v>2991.9345147290865</v>
      </c>
      <c r="AD167" s="11">
        <f>IF($A167&gt;'1-Input'!$B$26,0,IF(AI166&lt;=0,0,MAX(0,(AI166-AJ166)/AI166)))</f>
        <v>0.63549972897151441</v>
      </c>
      <c r="AE167" s="18">
        <f>IF($A167&gt;'1-Input'!$B$26,0,(MAX(0,AD121-IF($A167&gt;='1-Input'!$C$12,'1-Input'!$B$12,0))-MIN(MAX(AH166,0),MAX(0,AD121-IF($A167&gt;='1-Input'!$C$12,'1-Input'!$B$12,0))))*(1/(1-'P-Parametri'!$B$6*AD167))+MIN(MAX(0,AI166-(MAX(0,AD121-IF($A167&gt;='1-Input'!$C$12,'1-Input'!$B$12,0))-MIN(MAX(AH166,0),MAX(0,AD121-IF($A167&gt;='1-Input'!$C$12,'1-Input'!$B$12,0))))*(1/(1-'P-Parametri'!$B$6*AD167))),MAX(0,0*AD121-(AH166-MIN(MAX(AH166,0),MAX(0,AD121-IF($A167&gt;='1-Input'!$C$12,'1-Input'!$B$12,0)))))*(1/(1-'P-Parametri'!$B$6*AD167))))</f>
        <v>7331.5814711204684</v>
      </c>
      <c r="AF167" s="18">
        <f>IF($A167&gt;'1-Input'!$B$26,AH166,(AH166-MAX(0,AD121-IF($A167&gt;='1-Input'!$C$12,'1-Input'!$B$12,0))+AE167*(1-'P-Parametri'!$B$6*AD167))*(1+'1-Input'!$B$27))</f>
        <v>9.0622052084654565E-13</v>
      </c>
      <c r="AG167" s="18">
        <f>IF($A167&gt;'1-Input'!$B$26,AI166,(AI166-AE167)*(1+$B$4))</f>
        <v>7361.0181046051048</v>
      </c>
      <c r="AH167" s="18">
        <f>IF($A167&gt;'1-Input'!$B$26,AF167,AF167-'P-Parametri'!$B$8*(AG167+AF167)+MIN(MAX(AG167,0),'P-Parametri'!$B$8*(AG167+AF167)))</f>
        <v>9.0594198809412774E-13</v>
      </c>
      <c r="AI167" s="18">
        <f>IF($A167&gt;'1-Input'!$B$26,AG167,AG167-MIN(MAX(AG167,0),'P-Parametri'!$B$8*(AG167+AF167)))</f>
        <v>7346.2960683958945</v>
      </c>
      <c r="AJ167" s="18">
        <f>IF($A167&gt;'1-Input'!$B$26,AJ166,AJ166-AE167*(1-AD167))</f>
        <v>2630.4834256609315</v>
      </c>
      <c r="AK167" s="11">
        <f>IF($A167&gt;'1-Input'!$B$26,0,IF(AP166&lt;=0,0,MAX(0,(AP166-AQ166)/AP166)))</f>
        <v>0.63549972897151441</v>
      </c>
      <c r="AL167" s="18">
        <f>IF($A167&gt;'1-Input'!$B$26,0,(MAX(0,AK121-IF($A167&gt;='1-Input'!$C$12,'1-Input'!$B$12,0))-MIN(MAX(AO166,0),MAX(0,AK121-IF($A167&gt;='1-Input'!$C$12,'1-Input'!$B$12,0))))*(1/(1-'P-Parametri'!$B$6*AK167))+MIN(MAX(0,AP166-(MAX(0,AK121-IF($A167&gt;='1-Input'!$C$12,'1-Input'!$B$12,0))-MIN(MAX(AO166,0),MAX(0,AK121-IF($A167&gt;='1-Input'!$C$12,'1-Input'!$B$12,0))))*(1/(1-'P-Parametri'!$B$6*AK167))),MAX(0,0*AK121-(AO166-MIN(MAX(AO166,0),MAX(0,AK121-IF($A167&gt;='1-Input'!$C$12,'1-Input'!$B$12,0)))))*(1/(1-'P-Parametri'!$B$6*AK167))))</f>
        <v>7331.5814711204684</v>
      </c>
      <c r="AM167" s="18">
        <f>IF($A167&gt;'1-Input'!$B$26,AO166,(AO166-MAX(0,AK121-IF($A167&gt;='1-Input'!$C$12,'1-Input'!$B$12,0))+AL167*(1-'P-Parametri'!$B$6*AK167))*(1+'1-Input'!$B$27))</f>
        <v>9.0622052084654565E-13</v>
      </c>
      <c r="AN167" s="18">
        <f>IF($A167&gt;'1-Input'!$B$26,AP166,(AP166-AL167)*(1+$B$4))</f>
        <v>7361.0181046051048</v>
      </c>
      <c r="AO167" s="18">
        <f>IF($A167&gt;'1-Input'!$B$26,AM167,AM167-'P-Parametri'!$B$8*(AN167+AM167)+MIN(MAX(AN167,0),'P-Parametri'!$B$8*(AN167+AM167)))</f>
        <v>9.0594198809412774E-13</v>
      </c>
      <c r="AP167" s="18">
        <f>IF($A167&gt;'1-Input'!$B$26,AN167,AN167-MIN(MAX(AN167,0),'P-Parametri'!$B$8*(AN167+AM167)))</f>
        <v>7346.2960683958945</v>
      </c>
      <c r="AQ167" s="18">
        <f>IF($A167&gt;'1-Input'!$B$26,AQ166,AQ166-AL167*(1-AK167))</f>
        <v>2630.4834256609315</v>
      </c>
    </row>
    <row r="168" spans="1:43">
      <c r="A168" s="10">
        <f>45</f>
        <v>45</v>
      </c>
      <c r="B168" s="11">
        <f>IF($A168&gt;'1-Input'!$B$26,0,IF(G167&lt;=0,0,MAX(0,(G167-H167)/G167)))</f>
        <v>0.64193065441816421</v>
      </c>
      <c r="C168" s="18">
        <f>IF($A168&gt;'1-Input'!$B$26,0,(MAX(0,B121-IF($A168&gt;='1-Input'!$C$12,'1-Input'!$B$12,0))-MIN(MAX(F167,0),MAX(0,B121-IF($A168&gt;='1-Input'!$C$12,'1-Input'!$B$12,0))))*(1/(1-'P-Parametri'!$B$6*B168))+MIN(MAX(0,G167-(MAX(0,B121-IF($A168&gt;='1-Input'!$C$12,'1-Input'!$B$12,0))-MIN(MAX(F167,0),MAX(0,B121-IF($A168&gt;='1-Input'!$C$12,'1-Input'!$B$12,0))))*(1/(1-'P-Parametri'!$B$6*B168))),MAX(0,0*B121-(F167-MIN(MAX(F167,0),MAX(0,B121-IF($A168&gt;='1-Input'!$C$12,'1-Input'!$B$12,0)))))*(1/(1-'P-Parametri'!$B$6*B168))))</f>
        <v>6696.7573019249139</v>
      </c>
      <c r="D168" s="18">
        <f>IF($A168&gt;'1-Input'!$B$26,F167,(F167-MAX(0,B121-IF($A168&gt;='1-Input'!$C$12,'1-Input'!$B$12,0))+C168*(1-'P-Parametri'!$B$6*B168))*(1+'1-Input'!$B$27))</f>
        <v>0</v>
      </c>
      <c r="E168" s="18">
        <f>IF($A168&gt;'1-Input'!$B$26,G167,(G167-C168)*(1+$B$4))</f>
        <v>42507.116552962696</v>
      </c>
      <c r="F168" s="18">
        <f>IF($A168&gt;'1-Input'!$B$26,D168,D168-'P-Parametri'!$B$8*(E168+D168)+MIN(MAX(E168,0),'P-Parametri'!$B$8*(E168+D168)))</f>
        <v>0</v>
      </c>
      <c r="G168" s="18">
        <f>IF($A168&gt;'1-Input'!$B$26,E168,E168-MIN(MAX(E168,0),'P-Parametri'!$B$8*(E168+D168)))</f>
        <v>42422.102319856771</v>
      </c>
      <c r="H168" s="18">
        <f>IF($A168&gt;'1-Input'!$B$26,H167,H167-C168*(1-B168))</f>
        <v>14922.054320284482</v>
      </c>
      <c r="I168" s="11">
        <f>IF($A168&gt;'1-Input'!$B$26,0,IF(N167&lt;=0,0,MAX(0,(N167-O167)/N167)))</f>
        <v>0</v>
      </c>
      <c r="J168" s="18">
        <f>IF($A168&gt;'1-Input'!$B$26,0,(MAX(0,I121-IF($A168&gt;='1-Input'!$C$12,'1-Input'!$B$12,0))-MIN(MAX(M167,0),MAX(0,I121-IF($A168&gt;='1-Input'!$C$12,'1-Input'!$B$12,0))))*(1/(1-'P-Parametri'!$B$6*I168))+MIN(MAX(0,N167-(MAX(0,I121-IF($A168&gt;='1-Input'!$C$12,'1-Input'!$B$12,0))-MIN(MAX(M167,0),MAX(0,I121-IF($A168&gt;='1-Input'!$C$12,'1-Input'!$B$12,0))))*(1/(1-'P-Parametri'!$B$6*I168))),MAX(0,0*I121-(M167-MIN(MAX(M167,0),MAX(0,I121-IF($A168&gt;='1-Input'!$C$12,'1-Input'!$B$12,0)))))*(1/(1-'P-Parametri'!$B$6*I168))))</f>
        <v>10846.756992928691</v>
      </c>
      <c r="K168" s="18">
        <f>IF($A168&gt;'1-Input'!$B$26,M167,(M167-MAX(0,I121-IF($A168&gt;='1-Input'!$C$12,'1-Input'!$B$12,0))+J168*(1-'P-Parametri'!$B$6*I168))*(1+'1-Input'!$B$27))</f>
        <v>0</v>
      </c>
      <c r="L168" s="18">
        <f>IF($A168&gt;'1-Input'!$B$26,N167,(N167-J168)*(1+$B$4))</f>
        <v>-318598.79801272409</v>
      </c>
      <c r="M168" s="18">
        <f>IF($A168&gt;'1-Input'!$B$26,K168,K168-'P-Parametri'!$B$8*(L168+K168)+MIN(MAX(L168,0),'P-Parametri'!$B$8*(L168+K168)))</f>
        <v>0</v>
      </c>
      <c r="N168" s="18">
        <f>IF($A168&gt;'1-Input'!$B$26,L168,L168-MIN(MAX(L168,0),'P-Parametri'!$B$8*(L168+K168)))</f>
        <v>-317961.60041669867</v>
      </c>
      <c r="O168" s="18">
        <f>IF($A168&gt;'1-Input'!$B$26,O167,O167-J168*(1-I168))</f>
        <v>-251909.26855793237</v>
      </c>
      <c r="P168" s="11">
        <f>IF($A168&gt;'1-Input'!$B$26,0,IF(U167&lt;=0,0,MAX(0,(U167-V167)/U167)))</f>
        <v>0.64193065441816421</v>
      </c>
      <c r="Q168" s="18">
        <f>IF($A168&gt;'1-Input'!$B$26,0,(MAX(0,P121-IF($A168&gt;='1-Input'!$C$12,'1-Input'!$B$12,0))-MIN(MAX(T167,0),MAX(0,P121-IF($A168&gt;='1-Input'!$C$12,'1-Input'!$B$12,0))))*(1/(1-'P-Parametri'!$B$6*P168))+MIN(MAX(0,U167-(MAX(0,P121-IF($A168&gt;='1-Input'!$C$12,'1-Input'!$B$12,0))-MIN(MAX(T167,0),MAX(0,P121-IF($A168&gt;='1-Input'!$C$12,'1-Input'!$B$12,0))))*(1/(1-'P-Parametri'!$B$6*P168))),MAX(0,0*P121-(T167-MIN(MAX(T167,0),MAX(0,P121-IF($A168&gt;='1-Input'!$C$12,'1-Input'!$B$12,0)))))*(1/(1-'P-Parametri'!$B$6*P168))))</f>
        <v>7441.0643106452462</v>
      </c>
      <c r="R168" s="18">
        <f>IF($A168&gt;'1-Input'!$B$26,T167,(T167-MAX(0,P121-IF($A168&gt;='1-Input'!$C$12,'1-Input'!$B$12,0))+Q168*(1-'P-Parametri'!$B$6*P168))*(1+'1-Input'!$B$27))</f>
        <v>0</v>
      </c>
      <c r="S168" s="18">
        <f>IF($A168&gt;'1-Input'!$B$26,U167,(U167-Q168)*(1+$B$4))</f>
        <v>-6201.8233964715873</v>
      </c>
      <c r="T168" s="18">
        <f>IF($A168&gt;'1-Input'!$B$26,R168,R168-'P-Parametri'!$B$8*(S168+R168)+MIN(MAX(S168,0),'P-Parametri'!$B$8*(S168+R168)))</f>
        <v>0</v>
      </c>
      <c r="U168" s="18">
        <f>IF($A168&gt;'1-Input'!$B$26,S168,S168-MIN(MAX(S168,0),'P-Parametri'!$B$8*(S168+R168)))</f>
        <v>-6189.4197496786437</v>
      </c>
      <c r="V168" s="18">
        <f>IF($A168&gt;'1-Input'!$B$26,V167,V167-Q168*(1-P168))</f>
        <v>-2177.140044106568</v>
      </c>
      <c r="W168" s="11">
        <f>IF($A168&gt;'1-Input'!$B$26,0,IF(AB167&lt;=0,0,MAX(0,(AB167-AC167)/AB167)))</f>
        <v>0.64193065441816444</v>
      </c>
      <c r="X168" s="18">
        <f>IF($A168&gt;'1-Input'!$B$26,0,(MAX(0,W121-IF($A168&gt;='1-Input'!$C$12,'1-Input'!$B$12,0))-MIN(MAX(AA167,0),MAX(0,W121-IF($A168&gt;='1-Input'!$C$12,'1-Input'!$B$12,0))))*(1/(1-'P-Parametri'!$B$6*W168))+MIN(MAX(0,AB167-(MAX(0,W121-IF($A168&gt;='1-Input'!$C$12,'1-Input'!$B$12,0))-MIN(MAX(AA167,0),MAX(0,W121-IF($A168&gt;='1-Input'!$C$12,'1-Input'!$B$12,0))))*(1/(1-'P-Parametri'!$B$6*W168))),MAX(0,0*W121-(AA167-MIN(MAX(AA167,0),MAX(0,W121-IF($A168&gt;='1-Input'!$C$12,'1-Input'!$B$12,0)))))*(1/(1-'P-Parametri'!$B$6*W168))))</f>
        <v>7330.3134342898238</v>
      </c>
      <c r="Y168" s="18">
        <f>IF($A168&gt;'1-Input'!$B$26,AA167,(AA167-MAX(0,W121-IF($A168&gt;='1-Input'!$C$12,'1-Input'!$B$12,0))+X168*(1-'P-Parametri'!$B$6*W168))*(1+'1-Input'!$B$27))</f>
        <v>9.0622052084654565E-13</v>
      </c>
      <c r="Z168" s="18">
        <f>IF($A168&gt;'1-Input'!$B$26,AB167,(AB167-X168)*(1+$B$4))</f>
        <v>1045.9355558703091</v>
      </c>
      <c r="AA168" s="18">
        <f>IF($A168&gt;'1-Input'!$B$26,Y168,Y168-'P-Parametri'!$B$8*(Z168+Y168)+MIN(MAX(Z168,0),'P-Parametri'!$B$8*(Z168+Y168)))</f>
        <v>9.063860773039778E-13</v>
      </c>
      <c r="AB168" s="18">
        <f>IF($A168&gt;'1-Input'!$B$26,Z168,Z168-MIN(MAX(Z168,0),'P-Parametri'!$B$8*(Z168+Y168)))</f>
        <v>1043.8436847585685</v>
      </c>
      <c r="AC168" s="18">
        <f>IF($A168&gt;'1-Input'!$B$26,AC167,AC167-X168*(1-W168))</f>
        <v>367.17398040319176</v>
      </c>
      <c r="AD168" s="11">
        <f>IF($A168&gt;'1-Input'!$B$26,0,IF(AI167&lt;=0,0,MAX(0,(AI167-AJ167)/AI167)))</f>
        <v>0.64193065441816421</v>
      </c>
      <c r="AE168" s="18">
        <f>IF($A168&gt;'1-Input'!$B$26,0,(MAX(0,AD121-IF($A168&gt;='1-Input'!$C$12,'1-Input'!$B$12,0))-MIN(MAX(AH167,0),MAX(0,AD121-IF($A168&gt;='1-Input'!$C$12,'1-Input'!$B$12,0))))*(1/(1-'P-Parametri'!$B$6*AD168))+MIN(MAX(0,AI167-(MAX(0,AD121-IF($A168&gt;='1-Input'!$C$12,'1-Input'!$B$12,0))-MIN(MAX(AH167,0),MAX(0,AD121-IF($A168&gt;='1-Input'!$C$12,'1-Input'!$B$12,0))))*(1/(1-'P-Parametri'!$B$6*AD168))),MAX(0,0*AD121-(AH167-MIN(MAX(AH167,0),MAX(0,AD121-IF($A168&gt;='1-Input'!$C$12,'1-Input'!$B$12,0)))))*(1/(1-'P-Parametri'!$B$6*AD168))))</f>
        <v>7346.2960683958436</v>
      </c>
      <c r="AF168" s="18">
        <f>IF($A168&gt;'1-Input'!$B$26,AH167,(AH167-MAX(0,AD121-IF($A168&gt;='1-Input'!$C$12,'1-Input'!$B$12,0))+AE168*(1-'P-Parametri'!$B$6*AD168))*(1+'1-Input'!$B$27))</f>
        <v>0</v>
      </c>
      <c r="AG168" s="18">
        <f>IF($A168&gt;'1-Input'!$B$26,AI167,(AI167-AE168)*(1+$B$4))</f>
        <v>5.1950337365269665E-11</v>
      </c>
      <c r="AH168" s="18">
        <f>IF($A168&gt;'1-Input'!$B$26,AF168,AF168-'P-Parametri'!$B$8*(AG168+AF168)+MIN(MAX(AG168,0),'P-Parametri'!$B$8*(AG168+AF168)))</f>
        <v>0</v>
      </c>
      <c r="AI168" s="18">
        <f>IF($A168&gt;'1-Input'!$B$26,AG168,AG168-MIN(MAX(AG168,0),'P-Parametri'!$B$8*(AG168+AF168)))</f>
        <v>5.1846436690539124E-11</v>
      </c>
      <c r="AJ168" s="18">
        <f>IF($A168&gt;'1-Input'!$B$26,AJ167,AJ167-AE168*(1-AD168))</f>
        <v>1.8644641386345029E-11</v>
      </c>
      <c r="AK168" s="11">
        <f>IF($A168&gt;'1-Input'!$B$26,0,IF(AP167&lt;=0,0,MAX(0,(AP167-AQ167)/AP167)))</f>
        <v>0.64193065441816421</v>
      </c>
      <c r="AL168" s="18">
        <f>IF($A168&gt;'1-Input'!$B$26,0,(MAX(0,AK121-IF($A168&gt;='1-Input'!$C$12,'1-Input'!$B$12,0))-MIN(MAX(AO167,0),MAX(0,AK121-IF($A168&gt;='1-Input'!$C$12,'1-Input'!$B$12,0))))*(1/(1-'P-Parametri'!$B$6*AK168))+MIN(MAX(0,AP167-(MAX(0,AK121-IF($A168&gt;='1-Input'!$C$12,'1-Input'!$B$12,0))-MIN(MAX(AO167,0),MAX(0,AK121-IF($A168&gt;='1-Input'!$C$12,'1-Input'!$B$12,0))))*(1/(1-'P-Parametri'!$B$6*AK168))),MAX(0,0*AK121-(AO167-MIN(MAX(AO167,0),MAX(0,AK121-IF($A168&gt;='1-Input'!$C$12,'1-Input'!$B$12,0)))))*(1/(1-'P-Parametri'!$B$6*AK168))))</f>
        <v>7346.2960683958436</v>
      </c>
      <c r="AM168" s="18">
        <f>IF($A168&gt;'1-Input'!$B$26,AO167,(AO167-MAX(0,AK121-IF($A168&gt;='1-Input'!$C$12,'1-Input'!$B$12,0))+AL168*(1-'P-Parametri'!$B$6*AK168))*(1+'1-Input'!$B$27))</f>
        <v>0</v>
      </c>
      <c r="AN168" s="18">
        <f>IF($A168&gt;'1-Input'!$B$26,AP167,(AP167-AL168)*(1+$B$4))</f>
        <v>5.1950337365269665E-11</v>
      </c>
      <c r="AO168" s="18">
        <f>IF($A168&gt;'1-Input'!$B$26,AM168,AM168-'P-Parametri'!$B$8*(AN168+AM168)+MIN(MAX(AN168,0),'P-Parametri'!$B$8*(AN168+AM168)))</f>
        <v>0</v>
      </c>
      <c r="AP168" s="18">
        <f>IF($A168&gt;'1-Input'!$B$26,AN168,AN168-MIN(MAX(AN168,0),'P-Parametri'!$B$8*(AN168+AM168)))</f>
        <v>5.1846436690539124E-11</v>
      </c>
      <c r="AQ168" s="18">
        <f>IF($A168&gt;'1-Input'!$B$26,AQ167,AQ167-AL168*(1-AK168))</f>
        <v>1.8644641386345029E-11</v>
      </c>
    </row>
    <row r="169" spans="1:43">
      <c r="A169" s="10">
        <f>46</f>
        <v>46</v>
      </c>
      <c r="B169" s="11">
        <f>IF($A169&gt;'1-Input'!$B$26,0,IF(G168&lt;=0,0,MAX(0,(G168-H168)/G168)))</f>
        <v>0</v>
      </c>
      <c r="C169" s="18">
        <f>IF($A169&gt;'1-Input'!$B$26,0,(MAX(0,B121-IF($A169&gt;='1-Input'!$C$12,'1-Input'!$B$12,0))-MIN(MAX(F168,0),MAX(0,B121-IF($A169&gt;='1-Input'!$C$12,'1-Input'!$B$12,0))))*(1/(1-'P-Parametri'!$B$6*B169))+MIN(MAX(0,G168-(MAX(0,B121-IF($A169&gt;='1-Input'!$C$12,'1-Input'!$B$12,0))-MIN(MAX(F168,0),MAX(0,B121-IF($A169&gt;='1-Input'!$C$12,'1-Input'!$B$12,0))))*(1/(1-'P-Parametri'!$B$6*B169))),MAX(0,0*B121-(F168-MIN(MAX(F168,0),MAX(0,B121-IF($A169&gt;='1-Input'!$C$12,'1-Input'!$B$12,0)))))*(1/(1-'P-Parametri'!$B$6*B169))))</f>
        <v>0</v>
      </c>
      <c r="D169" s="18">
        <f>IF($A169&gt;'1-Input'!$B$26,F168,(F168-MAX(0,B121-IF($A169&gt;='1-Input'!$C$12,'1-Input'!$B$12,0))+C169*(1-'P-Parametri'!$B$6*B169))*(1+'1-Input'!$B$27))</f>
        <v>0</v>
      </c>
      <c r="E169" s="18">
        <f>IF($A169&gt;'1-Input'!$B$26,G168,(G168-C169)*(1+$B$4))</f>
        <v>42422.102319856771</v>
      </c>
      <c r="F169" s="18">
        <f>IF($A169&gt;'1-Input'!$B$26,D169,D169-'P-Parametri'!$B$8*(E169+D169)+MIN(MAX(E169,0),'P-Parametri'!$B$8*(E169+D169)))</f>
        <v>0</v>
      </c>
      <c r="G169" s="18">
        <f>IF($A169&gt;'1-Input'!$B$26,E169,E169-MIN(MAX(E169,0),'P-Parametri'!$B$8*(E169+D169)))</f>
        <v>42422.102319856771</v>
      </c>
      <c r="H169" s="18">
        <f>IF($A169&gt;'1-Input'!$B$26,H168,H168-C169*(1-B169))</f>
        <v>14922.054320284482</v>
      </c>
      <c r="I169" s="11">
        <f>IF($A169&gt;'1-Input'!$B$26,0,IF(N168&lt;=0,0,MAX(0,(N168-O168)/N168)))</f>
        <v>0</v>
      </c>
      <c r="J169" s="18">
        <f>IF($A169&gt;'1-Input'!$B$26,0,(MAX(0,I121-IF($A169&gt;='1-Input'!$C$12,'1-Input'!$B$12,0))-MIN(MAX(M168,0),MAX(0,I121-IF($A169&gt;='1-Input'!$C$12,'1-Input'!$B$12,0))))*(1/(1-'P-Parametri'!$B$6*I169))+MIN(MAX(0,N168-(MAX(0,I121-IF($A169&gt;='1-Input'!$C$12,'1-Input'!$B$12,0))-MIN(MAX(M168,0),MAX(0,I121-IF($A169&gt;='1-Input'!$C$12,'1-Input'!$B$12,0))))*(1/(1-'P-Parametri'!$B$6*I169))),MAX(0,0*I121-(M168-MIN(MAX(M168,0),MAX(0,I121-IF($A169&gt;='1-Input'!$C$12,'1-Input'!$B$12,0)))))*(1/(1-'P-Parametri'!$B$6*I169))))</f>
        <v>0</v>
      </c>
      <c r="K169" s="18">
        <f>IF($A169&gt;'1-Input'!$B$26,M168,(M168-MAX(0,I121-IF($A169&gt;='1-Input'!$C$12,'1-Input'!$B$12,0))+J169*(1-'P-Parametri'!$B$6*I169))*(1+'1-Input'!$B$27))</f>
        <v>0</v>
      </c>
      <c r="L169" s="18">
        <f>IF($A169&gt;'1-Input'!$B$26,N168,(N168-J169)*(1+$B$4))</f>
        <v>-317961.60041669867</v>
      </c>
      <c r="M169" s="18">
        <f>IF($A169&gt;'1-Input'!$B$26,K169,K169-'P-Parametri'!$B$8*(L169+K169)+MIN(MAX(L169,0),'P-Parametri'!$B$8*(L169+K169)))</f>
        <v>0</v>
      </c>
      <c r="N169" s="18">
        <f>IF($A169&gt;'1-Input'!$B$26,L169,L169-MIN(MAX(L169,0),'P-Parametri'!$B$8*(L169+K169)))</f>
        <v>-317961.60041669867</v>
      </c>
      <c r="O169" s="18">
        <f>IF($A169&gt;'1-Input'!$B$26,O168,O168-J169*(1-I169))</f>
        <v>-251909.26855793237</v>
      </c>
      <c r="P169" s="11">
        <f>IF($A169&gt;'1-Input'!$B$26,0,IF(U168&lt;=0,0,MAX(0,(U168-V168)/U168)))</f>
        <v>0</v>
      </c>
      <c r="Q169" s="18">
        <f>IF($A169&gt;'1-Input'!$B$26,0,(MAX(0,P121-IF($A169&gt;='1-Input'!$C$12,'1-Input'!$B$12,0))-MIN(MAX(T168,0),MAX(0,P121-IF($A169&gt;='1-Input'!$C$12,'1-Input'!$B$12,0))))*(1/(1-'P-Parametri'!$B$6*P169))+MIN(MAX(0,U168-(MAX(0,P121-IF($A169&gt;='1-Input'!$C$12,'1-Input'!$B$12,0))-MIN(MAX(T168,0),MAX(0,P121-IF($A169&gt;='1-Input'!$C$12,'1-Input'!$B$12,0))))*(1/(1-'P-Parametri'!$B$6*P169))),MAX(0,0*P121-(T168-MIN(MAX(T168,0),MAX(0,P121-IF($A169&gt;='1-Input'!$C$12,'1-Input'!$B$12,0)))))*(1/(1-'P-Parametri'!$B$6*P169))))</f>
        <v>0</v>
      </c>
      <c r="R169" s="18">
        <f>IF($A169&gt;'1-Input'!$B$26,T168,(T168-MAX(0,P121-IF($A169&gt;='1-Input'!$C$12,'1-Input'!$B$12,0))+Q169*(1-'P-Parametri'!$B$6*P169))*(1+'1-Input'!$B$27))</f>
        <v>0</v>
      </c>
      <c r="S169" s="18">
        <f>IF($A169&gt;'1-Input'!$B$26,U168,(U168-Q169)*(1+$B$4))</f>
        <v>-6189.4197496786437</v>
      </c>
      <c r="T169" s="18">
        <f>IF($A169&gt;'1-Input'!$B$26,R169,R169-'P-Parametri'!$B$8*(S169+R169)+MIN(MAX(S169,0),'P-Parametri'!$B$8*(S169+R169)))</f>
        <v>0</v>
      </c>
      <c r="U169" s="18">
        <f>IF($A169&gt;'1-Input'!$B$26,S169,S169-MIN(MAX(S169,0),'P-Parametri'!$B$8*(S169+R169)))</f>
        <v>-6189.4197496786437</v>
      </c>
      <c r="V169" s="18">
        <f>IF($A169&gt;'1-Input'!$B$26,V168,V168-Q169*(1-P169))</f>
        <v>-2177.140044106568</v>
      </c>
      <c r="W169" s="11">
        <f>IF($A169&gt;'1-Input'!$B$26,0,IF(AB168&lt;=0,0,MAX(0,(AB168-AC168)/AB168)))</f>
        <v>0</v>
      </c>
      <c r="X169" s="18">
        <f>IF($A169&gt;'1-Input'!$B$26,0,(MAX(0,W121-IF($A169&gt;='1-Input'!$C$12,'1-Input'!$B$12,0))-MIN(MAX(AA168,0),MAX(0,W121-IF($A169&gt;='1-Input'!$C$12,'1-Input'!$B$12,0))))*(1/(1-'P-Parametri'!$B$6*W169))+MIN(MAX(0,AB168-(MAX(0,W121-IF($A169&gt;='1-Input'!$C$12,'1-Input'!$B$12,0))-MIN(MAX(AA168,0),MAX(0,W121-IF($A169&gt;='1-Input'!$C$12,'1-Input'!$B$12,0))))*(1/(1-'P-Parametri'!$B$6*W169))),MAX(0,0*W121-(AA168-MIN(MAX(AA168,0),MAX(0,W121-IF($A169&gt;='1-Input'!$C$12,'1-Input'!$B$12,0)))))*(1/(1-'P-Parametri'!$B$6*W169))))</f>
        <v>0</v>
      </c>
      <c r="Y169" s="18">
        <f>IF($A169&gt;'1-Input'!$B$26,AA168,(AA168-MAX(0,W121-IF($A169&gt;='1-Input'!$C$12,'1-Input'!$B$12,0))+X169*(1-'P-Parametri'!$B$6*W169))*(1+'1-Input'!$B$27))</f>
        <v>9.063860773039778E-13</v>
      </c>
      <c r="Z169" s="18">
        <f>IF($A169&gt;'1-Input'!$B$26,AB168,(AB168-X169)*(1+$B$4))</f>
        <v>1043.8436847585685</v>
      </c>
      <c r="AA169" s="18">
        <f>IF($A169&gt;'1-Input'!$B$26,Y169,Y169-'P-Parametri'!$B$8*(Z169+Y169)+MIN(MAX(Z169,0),'P-Parametri'!$B$8*(Z169+Y169)))</f>
        <v>9.063860773039778E-13</v>
      </c>
      <c r="AB169" s="18">
        <f>IF($A169&gt;'1-Input'!$B$26,Z169,Z169-MIN(MAX(Z169,0),'P-Parametri'!$B$8*(Z169+Y169)))</f>
        <v>1043.8436847585685</v>
      </c>
      <c r="AC169" s="18">
        <f>IF($A169&gt;'1-Input'!$B$26,AC168,AC168-X169*(1-W169))</f>
        <v>367.17398040319176</v>
      </c>
      <c r="AD169" s="11">
        <f>IF($A169&gt;'1-Input'!$B$26,0,IF(AI168&lt;=0,0,MAX(0,(AI168-AJ168)/AI168)))</f>
        <v>0</v>
      </c>
      <c r="AE169" s="18">
        <f>IF($A169&gt;'1-Input'!$B$26,0,(MAX(0,AD121-IF($A169&gt;='1-Input'!$C$12,'1-Input'!$B$12,0))-MIN(MAX(AH168,0),MAX(0,AD121-IF($A169&gt;='1-Input'!$C$12,'1-Input'!$B$12,0))))*(1/(1-'P-Parametri'!$B$6*AD169))+MIN(MAX(0,AI168-(MAX(0,AD121-IF($A169&gt;='1-Input'!$C$12,'1-Input'!$B$12,0))-MIN(MAX(AH168,0),MAX(0,AD121-IF($A169&gt;='1-Input'!$C$12,'1-Input'!$B$12,0))))*(1/(1-'P-Parametri'!$B$6*AD169))),MAX(0,0*AD121-(AH168-MIN(MAX(AH168,0),MAX(0,AD121-IF($A169&gt;='1-Input'!$C$12,'1-Input'!$B$12,0)))))*(1/(1-'P-Parametri'!$B$6*AD169))))</f>
        <v>0</v>
      </c>
      <c r="AF169" s="18">
        <f>IF($A169&gt;'1-Input'!$B$26,AH168,(AH168-MAX(0,AD121-IF($A169&gt;='1-Input'!$C$12,'1-Input'!$B$12,0))+AE169*(1-'P-Parametri'!$B$6*AD169))*(1+'1-Input'!$B$27))</f>
        <v>0</v>
      </c>
      <c r="AG169" s="18">
        <f>IF($A169&gt;'1-Input'!$B$26,AI168,(AI168-AE169)*(1+$B$4))</f>
        <v>5.1846436690539124E-11</v>
      </c>
      <c r="AH169" s="18">
        <f>IF($A169&gt;'1-Input'!$B$26,AF169,AF169-'P-Parametri'!$B$8*(AG169+AF169)+MIN(MAX(AG169,0),'P-Parametri'!$B$8*(AG169+AF169)))</f>
        <v>0</v>
      </c>
      <c r="AI169" s="18">
        <f>IF($A169&gt;'1-Input'!$B$26,AG169,AG169-MIN(MAX(AG169,0),'P-Parametri'!$B$8*(AG169+AF169)))</f>
        <v>5.1846436690539124E-11</v>
      </c>
      <c r="AJ169" s="18">
        <f>IF($A169&gt;'1-Input'!$B$26,AJ168,AJ168-AE169*(1-AD169))</f>
        <v>1.8644641386345029E-11</v>
      </c>
      <c r="AK169" s="11">
        <f>IF($A169&gt;'1-Input'!$B$26,0,IF(AP168&lt;=0,0,MAX(0,(AP168-AQ168)/AP168)))</f>
        <v>0</v>
      </c>
      <c r="AL169" s="18">
        <f>IF($A169&gt;'1-Input'!$B$26,0,(MAX(0,AK121-IF($A169&gt;='1-Input'!$C$12,'1-Input'!$B$12,0))-MIN(MAX(AO168,0),MAX(0,AK121-IF($A169&gt;='1-Input'!$C$12,'1-Input'!$B$12,0))))*(1/(1-'P-Parametri'!$B$6*AK169))+MIN(MAX(0,AP168-(MAX(0,AK121-IF($A169&gt;='1-Input'!$C$12,'1-Input'!$B$12,0))-MIN(MAX(AO168,0),MAX(0,AK121-IF($A169&gt;='1-Input'!$C$12,'1-Input'!$B$12,0))))*(1/(1-'P-Parametri'!$B$6*AK169))),MAX(0,0*AK121-(AO168-MIN(MAX(AO168,0),MAX(0,AK121-IF($A169&gt;='1-Input'!$C$12,'1-Input'!$B$12,0)))))*(1/(1-'P-Parametri'!$B$6*AK169))))</f>
        <v>0</v>
      </c>
      <c r="AM169" s="18">
        <f>IF($A169&gt;'1-Input'!$B$26,AO168,(AO168-MAX(0,AK121-IF($A169&gt;='1-Input'!$C$12,'1-Input'!$B$12,0))+AL169*(1-'P-Parametri'!$B$6*AK169))*(1+'1-Input'!$B$27))</f>
        <v>0</v>
      </c>
      <c r="AN169" s="18">
        <f>IF($A169&gt;'1-Input'!$B$26,AP168,(AP168-AL169)*(1+$B$4))</f>
        <v>5.1846436690539124E-11</v>
      </c>
      <c r="AO169" s="18">
        <f>IF($A169&gt;'1-Input'!$B$26,AM169,AM169-'P-Parametri'!$B$8*(AN169+AM169)+MIN(MAX(AN169,0),'P-Parametri'!$B$8*(AN169+AM169)))</f>
        <v>0</v>
      </c>
      <c r="AP169" s="18">
        <f>IF($A169&gt;'1-Input'!$B$26,AN169,AN169-MIN(MAX(AN169,0),'P-Parametri'!$B$8*(AN169+AM169)))</f>
        <v>5.1846436690539124E-11</v>
      </c>
      <c r="AQ169" s="18">
        <f>IF($A169&gt;'1-Input'!$B$26,AQ168,AQ168-AL169*(1-AK169))</f>
        <v>1.8644641386345029E-11</v>
      </c>
    </row>
    <row r="170" spans="1:43">
      <c r="A170" s="10">
        <f>47</f>
        <v>47</v>
      </c>
      <c r="B170" s="11">
        <f>IF($A170&gt;'1-Input'!$B$26,0,IF(G169&lt;=0,0,MAX(0,(G169-H169)/G169)))</f>
        <v>0</v>
      </c>
      <c r="C170" s="18">
        <f>IF($A170&gt;'1-Input'!$B$26,0,(MAX(0,B121-IF($A170&gt;='1-Input'!$C$12,'1-Input'!$B$12,0))-MIN(MAX(F169,0),MAX(0,B121-IF($A170&gt;='1-Input'!$C$12,'1-Input'!$B$12,0))))*(1/(1-'P-Parametri'!$B$6*B170))+MIN(MAX(0,G169-(MAX(0,B121-IF($A170&gt;='1-Input'!$C$12,'1-Input'!$B$12,0))-MIN(MAX(F169,0),MAX(0,B121-IF($A170&gt;='1-Input'!$C$12,'1-Input'!$B$12,0))))*(1/(1-'P-Parametri'!$B$6*B170))),MAX(0,0*B121-(F169-MIN(MAX(F169,0),MAX(0,B121-IF($A170&gt;='1-Input'!$C$12,'1-Input'!$B$12,0)))))*(1/(1-'P-Parametri'!$B$6*B170))))</f>
        <v>0</v>
      </c>
      <c r="D170" s="18">
        <f>IF($A170&gt;'1-Input'!$B$26,F169,(F169-MAX(0,B121-IF($A170&gt;='1-Input'!$C$12,'1-Input'!$B$12,0))+C170*(1-'P-Parametri'!$B$6*B170))*(1+'1-Input'!$B$27))</f>
        <v>0</v>
      </c>
      <c r="E170" s="18">
        <f>IF($A170&gt;'1-Input'!$B$26,G169,(G169-C170)*(1+$B$4))</f>
        <v>42422.102319856771</v>
      </c>
      <c r="F170" s="18">
        <f>IF($A170&gt;'1-Input'!$B$26,D170,D170-'P-Parametri'!$B$8*(E170+D170)+MIN(MAX(E170,0),'P-Parametri'!$B$8*(E170+D170)))</f>
        <v>0</v>
      </c>
      <c r="G170" s="18">
        <f>IF($A170&gt;'1-Input'!$B$26,E170,E170-MIN(MAX(E170,0),'P-Parametri'!$B$8*(E170+D170)))</f>
        <v>42422.102319856771</v>
      </c>
      <c r="H170" s="18">
        <f>IF($A170&gt;'1-Input'!$B$26,H169,H169-C170*(1-B170))</f>
        <v>14922.054320284482</v>
      </c>
      <c r="I170" s="11">
        <f>IF($A170&gt;'1-Input'!$B$26,0,IF(N169&lt;=0,0,MAX(0,(N169-O169)/N169)))</f>
        <v>0</v>
      </c>
      <c r="J170" s="18">
        <f>IF($A170&gt;'1-Input'!$B$26,0,(MAX(0,I121-IF($A170&gt;='1-Input'!$C$12,'1-Input'!$B$12,0))-MIN(MAX(M169,0),MAX(0,I121-IF($A170&gt;='1-Input'!$C$12,'1-Input'!$B$12,0))))*(1/(1-'P-Parametri'!$B$6*I170))+MIN(MAX(0,N169-(MAX(0,I121-IF($A170&gt;='1-Input'!$C$12,'1-Input'!$B$12,0))-MIN(MAX(M169,0),MAX(0,I121-IF($A170&gt;='1-Input'!$C$12,'1-Input'!$B$12,0))))*(1/(1-'P-Parametri'!$B$6*I170))),MAX(0,0*I121-(M169-MIN(MAX(M169,0),MAX(0,I121-IF($A170&gt;='1-Input'!$C$12,'1-Input'!$B$12,0)))))*(1/(1-'P-Parametri'!$B$6*I170))))</f>
        <v>0</v>
      </c>
      <c r="K170" s="18">
        <f>IF($A170&gt;'1-Input'!$B$26,M169,(M169-MAX(0,I121-IF($A170&gt;='1-Input'!$C$12,'1-Input'!$B$12,0))+J170*(1-'P-Parametri'!$B$6*I170))*(1+'1-Input'!$B$27))</f>
        <v>0</v>
      </c>
      <c r="L170" s="18">
        <f>IF($A170&gt;'1-Input'!$B$26,N169,(N169-J170)*(1+$B$4))</f>
        <v>-317961.60041669867</v>
      </c>
      <c r="M170" s="18">
        <f>IF($A170&gt;'1-Input'!$B$26,K170,K170-'P-Parametri'!$B$8*(L170+K170)+MIN(MAX(L170,0),'P-Parametri'!$B$8*(L170+K170)))</f>
        <v>0</v>
      </c>
      <c r="N170" s="18">
        <f>IF($A170&gt;'1-Input'!$B$26,L170,L170-MIN(MAX(L170,0),'P-Parametri'!$B$8*(L170+K170)))</f>
        <v>-317961.60041669867</v>
      </c>
      <c r="O170" s="18">
        <f>IF($A170&gt;'1-Input'!$B$26,O169,O169-J170*(1-I170))</f>
        <v>-251909.26855793237</v>
      </c>
      <c r="P170" s="11">
        <f>IF($A170&gt;'1-Input'!$B$26,0,IF(U169&lt;=0,0,MAX(0,(U169-V169)/U169)))</f>
        <v>0</v>
      </c>
      <c r="Q170" s="18">
        <f>IF($A170&gt;'1-Input'!$B$26,0,(MAX(0,P121-IF($A170&gt;='1-Input'!$C$12,'1-Input'!$B$12,0))-MIN(MAX(T169,0),MAX(0,P121-IF($A170&gt;='1-Input'!$C$12,'1-Input'!$B$12,0))))*(1/(1-'P-Parametri'!$B$6*P170))+MIN(MAX(0,U169-(MAX(0,P121-IF($A170&gt;='1-Input'!$C$12,'1-Input'!$B$12,0))-MIN(MAX(T169,0),MAX(0,P121-IF($A170&gt;='1-Input'!$C$12,'1-Input'!$B$12,0))))*(1/(1-'P-Parametri'!$B$6*P170))),MAX(0,0*P121-(T169-MIN(MAX(T169,0),MAX(0,P121-IF($A170&gt;='1-Input'!$C$12,'1-Input'!$B$12,0)))))*(1/(1-'P-Parametri'!$B$6*P170))))</f>
        <v>0</v>
      </c>
      <c r="R170" s="18">
        <f>IF($A170&gt;'1-Input'!$B$26,T169,(T169-MAX(0,P121-IF($A170&gt;='1-Input'!$C$12,'1-Input'!$B$12,0))+Q170*(1-'P-Parametri'!$B$6*P170))*(1+'1-Input'!$B$27))</f>
        <v>0</v>
      </c>
      <c r="S170" s="18">
        <f>IF($A170&gt;'1-Input'!$B$26,U169,(U169-Q170)*(1+$B$4))</f>
        <v>-6189.4197496786437</v>
      </c>
      <c r="T170" s="18">
        <f>IF($A170&gt;'1-Input'!$B$26,R170,R170-'P-Parametri'!$B$8*(S170+R170)+MIN(MAX(S170,0),'P-Parametri'!$B$8*(S170+R170)))</f>
        <v>0</v>
      </c>
      <c r="U170" s="18">
        <f>IF($A170&gt;'1-Input'!$B$26,S170,S170-MIN(MAX(S170,0),'P-Parametri'!$B$8*(S170+R170)))</f>
        <v>-6189.4197496786437</v>
      </c>
      <c r="V170" s="18">
        <f>IF($A170&gt;'1-Input'!$B$26,V169,V169-Q170*(1-P170))</f>
        <v>-2177.140044106568</v>
      </c>
      <c r="W170" s="11">
        <f>IF($A170&gt;'1-Input'!$B$26,0,IF(AB169&lt;=0,0,MAX(0,(AB169-AC169)/AB169)))</f>
        <v>0</v>
      </c>
      <c r="X170" s="18">
        <f>IF($A170&gt;'1-Input'!$B$26,0,(MAX(0,W121-IF($A170&gt;='1-Input'!$C$12,'1-Input'!$B$12,0))-MIN(MAX(AA169,0),MAX(0,W121-IF($A170&gt;='1-Input'!$C$12,'1-Input'!$B$12,0))))*(1/(1-'P-Parametri'!$B$6*W170))+MIN(MAX(0,AB169-(MAX(0,W121-IF($A170&gt;='1-Input'!$C$12,'1-Input'!$B$12,0))-MIN(MAX(AA169,0),MAX(0,W121-IF($A170&gt;='1-Input'!$C$12,'1-Input'!$B$12,0))))*(1/(1-'P-Parametri'!$B$6*W170))),MAX(0,0*W121-(AA169-MIN(MAX(AA169,0),MAX(0,W121-IF($A170&gt;='1-Input'!$C$12,'1-Input'!$B$12,0)))))*(1/(1-'P-Parametri'!$B$6*W170))))</f>
        <v>0</v>
      </c>
      <c r="Y170" s="18">
        <f>IF($A170&gt;'1-Input'!$B$26,AA169,(AA169-MAX(0,W121-IF($A170&gt;='1-Input'!$C$12,'1-Input'!$B$12,0))+X170*(1-'P-Parametri'!$B$6*W170))*(1+'1-Input'!$B$27))</f>
        <v>9.063860773039778E-13</v>
      </c>
      <c r="Z170" s="18">
        <f>IF($A170&gt;'1-Input'!$B$26,AB169,(AB169-X170)*(1+$B$4))</f>
        <v>1043.8436847585685</v>
      </c>
      <c r="AA170" s="18">
        <f>IF($A170&gt;'1-Input'!$B$26,Y170,Y170-'P-Parametri'!$B$8*(Z170+Y170)+MIN(MAX(Z170,0),'P-Parametri'!$B$8*(Z170+Y170)))</f>
        <v>9.063860773039778E-13</v>
      </c>
      <c r="AB170" s="18">
        <f>IF($A170&gt;'1-Input'!$B$26,Z170,Z170-MIN(MAX(Z170,0),'P-Parametri'!$B$8*(Z170+Y170)))</f>
        <v>1043.8436847585685</v>
      </c>
      <c r="AC170" s="18">
        <f>IF($A170&gt;'1-Input'!$B$26,AC169,AC169-X170*(1-W170))</f>
        <v>367.17398040319176</v>
      </c>
      <c r="AD170" s="11">
        <f>IF($A170&gt;'1-Input'!$B$26,0,IF(AI169&lt;=0,0,MAX(0,(AI169-AJ169)/AI169)))</f>
        <v>0</v>
      </c>
      <c r="AE170" s="18">
        <f>IF($A170&gt;'1-Input'!$B$26,0,(MAX(0,AD121-IF($A170&gt;='1-Input'!$C$12,'1-Input'!$B$12,0))-MIN(MAX(AH169,0),MAX(0,AD121-IF($A170&gt;='1-Input'!$C$12,'1-Input'!$B$12,0))))*(1/(1-'P-Parametri'!$B$6*AD170))+MIN(MAX(0,AI169-(MAX(0,AD121-IF($A170&gt;='1-Input'!$C$12,'1-Input'!$B$12,0))-MIN(MAX(AH169,0),MAX(0,AD121-IF($A170&gt;='1-Input'!$C$12,'1-Input'!$B$12,0))))*(1/(1-'P-Parametri'!$B$6*AD170))),MAX(0,0*AD121-(AH169-MIN(MAX(AH169,0),MAX(0,AD121-IF($A170&gt;='1-Input'!$C$12,'1-Input'!$B$12,0)))))*(1/(1-'P-Parametri'!$B$6*AD170))))</f>
        <v>0</v>
      </c>
      <c r="AF170" s="18">
        <f>IF($A170&gt;'1-Input'!$B$26,AH169,(AH169-MAX(0,AD121-IF($A170&gt;='1-Input'!$C$12,'1-Input'!$B$12,0))+AE170*(1-'P-Parametri'!$B$6*AD170))*(1+'1-Input'!$B$27))</f>
        <v>0</v>
      </c>
      <c r="AG170" s="18">
        <f>IF($A170&gt;'1-Input'!$B$26,AI169,(AI169-AE170)*(1+$B$4))</f>
        <v>5.1846436690539124E-11</v>
      </c>
      <c r="AH170" s="18">
        <f>IF($A170&gt;'1-Input'!$B$26,AF170,AF170-'P-Parametri'!$B$8*(AG170+AF170)+MIN(MAX(AG170,0),'P-Parametri'!$B$8*(AG170+AF170)))</f>
        <v>0</v>
      </c>
      <c r="AI170" s="18">
        <f>IF($A170&gt;'1-Input'!$B$26,AG170,AG170-MIN(MAX(AG170,0),'P-Parametri'!$B$8*(AG170+AF170)))</f>
        <v>5.1846436690539124E-11</v>
      </c>
      <c r="AJ170" s="18">
        <f>IF($A170&gt;'1-Input'!$B$26,AJ169,AJ169-AE170*(1-AD170))</f>
        <v>1.8644641386345029E-11</v>
      </c>
      <c r="AK170" s="11">
        <f>IF($A170&gt;'1-Input'!$B$26,0,IF(AP169&lt;=0,0,MAX(0,(AP169-AQ169)/AP169)))</f>
        <v>0</v>
      </c>
      <c r="AL170" s="18">
        <f>IF($A170&gt;'1-Input'!$B$26,0,(MAX(0,AK121-IF($A170&gt;='1-Input'!$C$12,'1-Input'!$B$12,0))-MIN(MAX(AO169,0),MAX(0,AK121-IF($A170&gt;='1-Input'!$C$12,'1-Input'!$B$12,0))))*(1/(1-'P-Parametri'!$B$6*AK170))+MIN(MAX(0,AP169-(MAX(0,AK121-IF($A170&gt;='1-Input'!$C$12,'1-Input'!$B$12,0))-MIN(MAX(AO169,0),MAX(0,AK121-IF($A170&gt;='1-Input'!$C$12,'1-Input'!$B$12,0))))*(1/(1-'P-Parametri'!$B$6*AK170))),MAX(0,0*AK121-(AO169-MIN(MAX(AO169,0),MAX(0,AK121-IF($A170&gt;='1-Input'!$C$12,'1-Input'!$B$12,0)))))*(1/(1-'P-Parametri'!$B$6*AK170))))</f>
        <v>0</v>
      </c>
      <c r="AM170" s="18">
        <f>IF($A170&gt;'1-Input'!$B$26,AO169,(AO169-MAX(0,AK121-IF($A170&gt;='1-Input'!$C$12,'1-Input'!$B$12,0))+AL170*(1-'P-Parametri'!$B$6*AK170))*(1+'1-Input'!$B$27))</f>
        <v>0</v>
      </c>
      <c r="AN170" s="18">
        <f>IF($A170&gt;'1-Input'!$B$26,AP169,(AP169-AL170)*(1+$B$4))</f>
        <v>5.1846436690539124E-11</v>
      </c>
      <c r="AO170" s="18">
        <f>IF($A170&gt;'1-Input'!$B$26,AM170,AM170-'P-Parametri'!$B$8*(AN170+AM170)+MIN(MAX(AN170,0),'P-Parametri'!$B$8*(AN170+AM170)))</f>
        <v>0</v>
      </c>
      <c r="AP170" s="18">
        <f>IF($A170&gt;'1-Input'!$B$26,AN170,AN170-MIN(MAX(AN170,0),'P-Parametri'!$B$8*(AN170+AM170)))</f>
        <v>5.1846436690539124E-11</v>
      </c>
      <c r="AQ170" s="18">
        <f>IF($A170&gt;'1-Input'!$B$26,AQ169,AQ169-AL170*(1-AK170))</f>
        <v>1.8644641386345029E-11</v>
      </c>
    </row>
    <row r="171" spans="1:43">
      <c r="A171" s="10">
        <f>48</f>
        <v>48</v>
      </c>
      <c r="B171" s="11">
        <f>IF($A171&gt;'1-Input'!$B$26,0,IF(G170&lt;=0,0,MAX(0,(G170-H170)/G170)))</f>
        <v>0</v>
      </c>
      <c r="C171" s="18">
        <f>IF($A171&gt;'1-Input'!$B$26,0,(MAX(0,B121-IF($A171&gt;='1-Input'!$C$12,'1-Input'!$B$12,0))-MIN(MAX(F170,0),MAX(0,B121-IF($A171&gt;='1-Input'!$C$12,'1-Input'!$B$12,0))))*(1/(1-'P-Parametri'!$B$6*B171))+MIN(MAX(0,G170-(MAX(0,B121-IF($A171&gt;='1-Input'!$C$12,'1-Input'!$B$12,0))-MIN(MAX(F170,0),MAX(0,B121-IF($A171&gt;='1-Input'!$C$12,'1-Input'!$B$12,0))))*(1/(1-'P-Parametri'!$B$6*B171))),MAX(0,0*B121-(F170-MIN(MAX(F170,0),MAX(0,B121-IF($A171&gt;='1-Input'!$C$12,'1-Input'!$B$12,0)))))*(1/(1-'P-Parametri'!$B$6*B171))))</f>
        <v>0</v>
      </c>
      <c r="D171" s="18">
        <f>IF($A171&gt;'1-Input'!$B$26,F170,(F170-MAX(0,B121-IF($A171&gt;='1-Input'!$C$12,'1-Input'!$B$12,0))+C171*(1-'P-Parametri'!$B$6*B171))*(1+'1-Input'!$B$27))</f>
        <v>0</v>
      </c>
      <c r="E171" s="18">
        <f>IF($A171&gt;'1-Input'!$B$26,G170,(G170-C171)*(1+$B$4))</f>
        <v>42422.102319856771</v>
      </c>
      <c r="F171" s="18">
        <f>IF($A171&gt;'1-Input'!$B$26,D171,D171-'P-Parametri'!$B$8*(E171+D171)+MIN(MAX(E171,0),'P-Parametri'!$B$8*(E171+D171)))</f>
        <v>0</v>
      </c>
      <c r="G171" s="18">
        <f>IF($A171&gt;'1-Input'!$B$26,E171,E171-MIN(MAX(E171,0),'P-Parametri'!$B$8*(E171+D171)))</f>
        <v>42422.102319856771</v>
      </c>
      <c r="H171" s="18">
        <f>IF($A171&gt;'1-Input'!$B$26,H170,H170-C171*(1-B171))</f>
        <v>14922.054320284482</v>
      </c>
      <c r="I171" s="11">
        <f>IF($A171&gt;'1-Input'!$B$26,0,IF(N170&lt;=0,0,MAX(0,(N170-O170)/N170)))</f>
        <v>0</v>
      </c>
      <c r="J171" s="18">
        <f>IF($A171&gt;'1-Input'!$B$26,0,(MAX(0,I121-IF($A171&gt;='1-Input'!$C$12,'1-Input'!$B$12,0))-MIN(MAX(M170,0),MAX(0,I121-IF($A171&gt;='1-Input'!$C$12,'1-Input'!$B$12,0))))*(1/(1-'P-Parametri'!$B$6*I171))+MIN(MAX(0,N170-(MAX(0,I121-IF($A171&gt;='1-Input'!$C$12,'1-Input'!$B$12,0))-MIN(MAX(M170,0),MAX(0,I121-IF($A171&gt;='1-Input'!$C$12,'1-Input'!$B$12,0))))*(1/(1-'P-Parametri'!$B$6*I171))),MAX(0,0*I121-(M170-MIN(MAX(M170,0),MAX(0,I121-IF($A171&gt;='1-Input'!$C$12,'1-Input'!$B$12,0)))))*(1/(1-'P-Parametri'!$B$6*I171))))</f>
        <v>0</v>
      </c>
      <c r="K171" s="18">
        <f>IF($A171&gt;'1-Input'!$B$26,M170,(M170-MAX(0,I121-IF($A171&gt;='1-Input'!$C$12,'1-Input'!$B$12,0))+J171*(1-'P-Parametri'!$B$6*I171))*(1+'1-Input'!$B$27))</f>
        <v>0</v>
      </c>
      <c r="L171" s="18">
        <f>IF($A171&gt;'1-Input'!$B$26,N170,(N170-J171)*(1+$B$4))</f>
        <v>-317961.60041669867</v>
      </c>
      <c r="M171" s="18">
        <f>IF($A171&gt;'1-Input'!$B$26,K171,K171-'P-Parametri'!$B$8*(L171+K171)+MIN(MAX(L171,0),'P-Parametri'!$B$8*(L171+K171)))</f>
        <v>0</v>
      </c>
      <c r="N171" s="18">
        <f>IF($A171&gt;'1-Input'!$B$26,L171,L171-MIN(MAX(L171,0),'P-Parametri'!$B$8*(L171+K171)))</f>
        <v>-317961.60041669867</v>
      </c>
      <c r="O171" s="18">
        <f>IF($A171&gt;'1-Input'!$B$26,O170,O170-J171*(1-I171))</f>
        <v>-251909.26855793237</v>
      </c>
      <c r="P171" s="11">
        <f>IF($A171&gt;'1-Input'!$B$26,0,IF(U170&lt;=0,0,MAX(0,(U170-V170)/U170)))</f>
        <v>0</v>
      </c>
      <c r="Q171" s="18">
        <f>IF($A171&gt;'1-Input'!$B$26,0,(MAX(0,P121-IF($A171&gt;='1-Input'!$C$12,'1-Input'!$B$12,0))-MIN(MAX(T170,0),MAX(0,P121-IF($A171&gt;='1-Input'!$C$12,'1-Input'!$B$12,0))))*(1/(1-'P-Parametri'!$B$6*P171))+MIN(MAX(0,U170-(MAX(0,P121-IF($A171&gt;='1-Input'!$C$12,'1-Input'!$B$12,0))-MIN(MAX(T170,0),MAX(0,P121-IF($A171&gt;='1-Input'!$C$12,'1-Input'!$B$12,0))))*(1/(1-'P-Parametri'!$B$6*P171))),MAX(0,0*P121-(T170-MIN(MAX(T170,0),MAX(0,P121-IF($A171&gt;='1-Input'!$C$12,'1-Input'!$B$12,0)))))*(1/(1-'P-Parametri'!$B$6*P171))))</f>
        <v>0</v>
      </c>
      <c r="R171" s="18">
        <f>IF($A171&gt;'1-Input'!$B$26,T170,(T170-MAX(0,P121-IF($A171&gt;='1-Input'!$C$12,'1-Input'!$B$12,0))+Q171*(1-'P-Parametri'!$B$6*P171))*(1+'1-Input'!$B$27))</f>
        <v>0</v>
      </c>
      <c r="S171" s="18">
        <f>IF($A171&gt;'1-Input'!$B$26,U170,(U170-Q171)*(1+$B$4))</f>
        <v>-6189.4197496786437</v>
      </c>
      <c r="T171" s="18">
        <f>IF($A171&gt;'1-Input'!$B$26,R171,R171-'P-Parametri'!$B$8*(S171+R171)+MIN(MAX(S171,0),'P-Parametri'!$B$8*(S171+R171)))</f>
        <v>0</v>
      </c>
      <c r="U171" s="18">
        <f>IF($A171&gt;'1-Input'!$B$26,S171,S171-MIN(MAX(S171,0),'P-Parametri'!$B$8*(S171+R171)))</f>
        <v>-6189.4197496786437</v>
      </c>
      <c r="V171" s="18">
        <f>IF($A171&gt;'1-Input'!$B$26,V170,V170-Q171*(1-P171))</f>
        <v>-2177.140044106568</v>
      </c>
      <c r="W171" s="11">
        <f>IF($A171&gt;'1-Input'!$B$26,0,IF(AB170&lt;=0,0,MAX(0,(AB170-AC170)/AB170)))</f>
        <v>0</v>
      </c>
      <c r="X171" s="18">
        <f>IF($A171&gt;'1-Input'!$B$26,0,(MAX(0,W121-IF($A171&gt;='1-Input'!$C$12,'1-Input'!$B$12,0))-MIN(MAX(AA170,0),MAX(0,W121-IF($A171&gt;='1-Input'!$C$12,'1-Input'!$B$12,0))))*(1/(1-'P-Parametri'!$B$6*W171))+MIN(MAX(0,AB170-(MAX(0,W121-IF($A171&gt;='1-Input'!$C$12,'1-Input'!$B$12,0))-MIN(MAX(AA170,0),MAX(0,W121-IF($A171&gt;='1-Input'!$C$12,'1-Input'!$B$12,0))))*(1/(1-'P-Parametri'!$B$6*W171))),MAX(0,0*W121-(AA170-MIN(MAX(AA170,0),MAX(0,W121-IF($A171&gt;='1-Input'!$C$12,'1-Input'!$B$12,0)))))*(1/(1-'P-Parametri'!$B$6*W171))))</f>
        <v>0</v>
      </c>
      <c r="Y171" s="18">
        <f>IF($A171&gt;'1-Input'!$B$26,AA170,(AA170-MAX(0,W121-IF($A171&gt;='1-Input'!$C$12,'1-Input'!$B$12,0))+X171*(1-'P-Parametri'!$B$6*W171))*(1+'1-Input'!$B$27))</f>
        <v>9.063860773039778E-13</v>
      </c>
      <c r="Z171" s="18">
        <f>IF($A171&gt;'1-Input'!$B$26,AB170,(AB170-X171)*(1+$B$4))</f>
        <v>1043.8436847585685</v>
      </c>
      <c r="AA171" s="18">
        <f>IF($A171&gt;'1-Input'!$B$26,Y171,Y171-'P-Parametri'!$B$8*(Z171+Y171)+MIN(MAX(Z171,0),'P-Parametri'!$B$8*(Z171+Y171)))</f>
        <v>9.063860773039778E-13</v>
      </c>
      <c r="AB171" s="18">
        <f>IF($A171&gt;'1-Input'!$B$26,Z171,Z171-MIN(MAX(Z171,0),'P-Parametri'!$B$8*(Z171+Y171)))</f>
        <v>1043.8436847585685</v>
      </c>
      <c r="AC171" s="18">
        <f>IF($A171&gt;'1-Input'!$B$26,AC170,AC170-X171*(1-W171))</f>
        <v>367.17398040319176</v>
      </c>
      <c r="AD171" s="11">
        <f>IF($A171&gt;'1-Input'!$B$26,0,IF(AI170&lt;=0,0,MAX(0,(AI170-AJ170)/AI170)))</f>
        <v>0</v>
      </c>
      <c r="AE171" s="18">
        <f>IF($A171&gt;'1-Input'!$B$26,0,(MAX(0,AD121-IF($A171&gt;='1-Input'!$C$12,'1-Input'!$B$12,0))-MIN(MAX(AH170,0),MAX(0,AD121-IF($A171&gt;='1-Input'!$C$12,'1-Input'!$B$12,0))))*(1/(1-'P-Parametri'!$B$6*AD171))+MIN(MAX(0,AI170-(MAX(0,AD121-IF($A171&gt;='1-Input'!$C$12,'1-Input'!$B$12,0))-MIN(MAX(AH170,0),MAX(0,AD121-IF($A171&gt;='1-Input'!$C$12,'1-Input'!$B$12,0))))*(1/(1-'P-Parametri'!$B$6*AD171))),MAX(0,0*AD121-(AH170-MIN(MAX(AH170,0),MAX(0,AD121-IF($A171&gt;='1-Input'!$C$12,'1-Input'!$B$12,0)))))*(1/(1-'P-Parametri'!$B$6*AD171))))</f>
        <v>0</v>
      </c>
      <c r="AF171" s="18">
        <f>IF($A171&gt;'1-Input'!$B$26,AH170,(AH170-MAX(0,AD121-IF($A171&gt;='1-Input'!$C$12,'1-Input'!$B$12,0))+AE171*(1-'P-Parametri'!$B$6*AD171))*(1+'1-Input'!$B$27))</f>
        <v>0</v>
      </c>
      <c r="AG171" s="18">
        <f>IF($A171&gt;'1-Input'!$B$26,AI170,(AI170-AE171)*(1+$B$4))</f>
        <v>5.1846436690539124E-11</v>
      </c>
      <c r="AH171" s="18">
        <f>IF($A171&gt;'1-Input'!$B$26,AF171,AF171-'P-Parametri'!$B$8*(AG171+AF171)+MIN(MAX(AG171,0),'P-Parametri'!$B$8*(AG171+AF171)))</f>
        <v>0</v>
      </c>
      <c r="AI171" s="18">
        <f>IF($A171&gt;'1-Input'!$B$26,AG171,AG171-MIN(MAX(AG171,0),'P-Parametri'!$B$8*(AG171+AF171)))</f>
        <v>5.1846436690539124E-11</v>
      </c>
      <c r="AJ171" s="18">
        <f>IF($A171&gt;'1-Input'!$B$26,AJ170,AJ170-AE171*(1-AD171))</f>
        <v>1.8644641386345029E-11</v>
      </c>
      <c r="AK171" s="11">
        <f>IF($A171&gt;'1-Input'!$B$26,0,IF(AP170&lt;=0,0,MAX(0,(AP170-AQ170)/AP170)))</f>
        <v>0</v>
      </c>
      <c r="AL171" s="18">
        <f>IF($A171&gt;'1-Input'!$B$26,0,(MAX(0,AK121-IF($A171&gt;='1-Input'!$C$12,'1-Input'!$B$12,0))-MIN(MAX(AO170,0),MAX(0,AK121-IF($A171&gt;='1-Input'!$C$12,'1-Input'!$B$12,0))))*(1/(1-'P-Parametri'!$B$6*AK171))+MIN(MAX(0,AP170-(MAX(0,AK121-IF($A171&gt;='1-Input'!$C$12,'1-Input'!$B$12,0))-MIN(MAX(AO170,0),MAX(0,AK121-IF($A171&gt;='1-Input'!$C$12,'1-Input'!$B$12,0))))*(1/(1-'P-Parametri'!$B$6*AK171))),MAX(0,0*AK121-(AO170-MIN(MAX(AO170,0),MAX(0,AK121-IF($A171&gt;='1-Input'!$C$12,'1-Input'!$B$12,0)))))*(1/(1-'P-Parametri'!$B$6*AK171))))</f>
        <v>0</v>
      </c>
      <c r="AM171" s="18">
        <f>IF($A171&gt;'1-Input'!$B$26,AO170,(AO170-MAX(0,AK121-IF($A171&gt;='1-Input'!$C$12,'1-Input'!$B$12,0))+AL171*(1-'P-Parametri'!$B$6*AK171))*(1+'1-Input'!$B$27))</f>
        <v>0</v>
      </c>
      <c r="AN171" s="18">
        <f>IF($A171&gt;'1-Input'!$B$26,AP170,(AP170-AL171)*(1+$B$4))</f>
        <v>5.1846436690539124E-11</v>
      </c>
      <c r="AO171" s="18">
        <f>IF($A171&gt;'1-Input'!$B$26,AM171,AM171-'P-Parametri'!$B$8*(AN171+AM171)+MIN(MAX(AN171,0),'P-Parametri'!$B$8*(AN171+AM171)))</f>
        <v>0</v>
      </c>
      <c r="AP171" s="18">
        <f>IF($A171&gt;'1-Input'!$B$26,AN171,AN171-MIN(MAX(AN171,0),'P-Parametri'!$B$8*(AN171+AM171)))</f>
        <v>5.1846436690539124E-11</v>
      </c>
      <c r="AQ171" s="18">
        <f>IF($A171&gt;'1-Input'!$B$26,AQ170,AQ170-AL171*(1-AK171))</f>
        <v>1.8644641386345029E-11</v>
      </c>
    </row>
    <row r="172" spans="1:43">
      <c r="A172" s="4" t="s">
        <v>365</v>
      </c>
      <c r="B172" s="18">
        <f>F171+G171</f>
        <v>42422.102319856771</v>
      </c>
      <c r="I172" s="18">
        <f>M171+N171</f>
        <v>-317961.60041669867</v>
      </c>
      <c r="P172" s="18">
        <f>T171+U171</f>
        <v>-6189.4197496786437</v>
      </c>
      <c r="W172" s="18">
        <f>AA171+AB171</f>
        <v>1043.8436847585695</v>
      </c>
      <c r="AD172" s="18">
        <f>AH171+AI171</f>
        <v>5.1846436690539124E-11</v>
      </c>
      <c r="AK172" s="18">
        <f>AO171+AP171</f>
        <v>5.1846436690539124E-11</v>
      </c>
    </row>
    <row r="173" spans="1:43">
      <c r="A173" s="5" t="s">
        <v>266</v>
      </c>
      <c r="B173" s="18">
        <f>IFERROR(AK121-AK172*(AK121-AD121)/(AK172-AD172),AK121)</f>
        <v>17222.184781284763</v>
      </c>
    </row>
    <row r="175" spans="1:43">
      <c r="A175" s="2" t="s">
        <v>366</v>
      </c>
    </row>
    <row r="176" spans="1:43">
      <c r="A176" s="4" t="s">
        <v>360</v>
      </c>
      <c r="B176" s="9">
        <f>0.038*'2-Caso'!$B$12</f>
        <v>16681.055314625803</v>
      </c>
      <c r="I176" s="9">
        <f>0.05*'2-Caso'!$B$12</f>
        <v>21948.756992928691</v>
      </c>
      <c r="P176" s="18">
        <f>IFERROR(I176-I227*(I176-B176)/(I227-B227),I176)</f>
        <v>16918.496716261696</v>
      </c>
      <c r="W176" s="18">
        <f>IFERROR(P176-P227*(P176-I176)/(P227-I227),P176)</f>
        <v>16925.91730419033</v>
      </c>
      <c r="AD176" s="18">
        <f>IFERROR(W176-W227*(W176-P176)/(W227-P227),W176)</f>
        <v>16926.339592580025</v>
      </c>
      <c r="AK176" s="18">
        <f>IFERROR(AD176-AD227*(AD176-W176)/(AD227-W227),AD176)</f>
        <v>16926.339593220022</v>
      </c>
    </row>
    <row r="177" spans="1:43" ht="45">
      <c r="A177" s="25" t="s">
        <v>262</v>
      </c>
      <c r="B177" s="25" t="s">
        <v>361</v>
      </c>
      <c r="C177" s="25" t="s">
        <v>263</v>
      </c>
      <c r="D177" s="25" t="s">
        <v>362</v>
      </c>
      <c r="E177" s="25" t="s">
        <v>363</v>
      </c>
      <c r="F177" s="25" t="s">
        <v>264</v>
      </c>
      <c r="G177" s="25" t="s">
        <v>265</v>
      </c>
      <c r="H177" s="25" t="s">
        <v>364</v>
      </c>
      <c r="I177" s="25" t="s">
        <v>361</v>
      </c>
      <c r="J177" s="25" t="s">
        <v>263</v>
      </c>
      <c r="K177" s="25" t="s">
        <v>362</v>
      </c>
      <c r="L177" s="25" t="s">
        <v>363</v>
      </c>
      <c r="M177" s="25" t="s">
        <v>264</v>
      </c>
      <c r="N177" s="25" t="s">
        <v>265</v>
      </c>
      <c r="O177" s="25" t="s">
        <v>364</v>
      </c>
      <c r="P177" s="25" t="s">
        <v>361</v>
      </c>
      <c r="Q177" s="25" t="s">
        <v>263</v>
      </c>
      <c r="R177" s="25" t="s">
        <v>362</v>
      </c>
      <c r="S177" s="25" t="s">
        <v>363</v>
      </c>
      <c r="T177" s="25" t="s">
        <v>264</v>
      </c>
      <c r="U177" s="25" t="s">
        <v>265</v>
      </c>
      <c r="V177" s="25" t="s">
        <v>364</v>
      </c>
      <c r="W177" s="25" t="s">
        <v>361</v>
      </c>
      <c r="X177" s="25" t="s">
        <v>263</v>
      </c>
      <c r="Y177" s="25" t="s">
        <v>362</v>
      </c>
      <c r="Z177" s="25" t="s">
        <v>363</v>
      </c>
      <c r="AA177" s="25" t="s">
        <v>264</v>
      </c>
      <c r="AB177" s="25" t="s">
        <v>265</v>
      </c>
      <c r="AC177" s="25" t="s">
        <v>364</v>
      </c>
      <c r="AD177" s="25" t="s">
        <v>361</v>
      </c>
      <c r="AE177" s="25" t="s">
        <v>263</v>
      </c>
      <c r="AF177" s="25" t="s">
        <v>362</v>
      </c>
      <c r="AG177" s="25" t="s">
        <v>363</v>
      </c>
      <c r="AH177" s="25" t="s">
        <v>264</v>
      </c>
      <c r="AI177" s="25" t="s">
        <v>265</v>
      </c>
      <c r="AJ177" s="25" t="s">
        <v>364</v>
      </c>
      <c r="AK177" s="25" t="s">
        <v>361</v>
      </c>
      <c r="AL177" s="25" t="s">
        <v>263</v>
      </c>
      <c r="AM177" s="25" t="s">
        <v>362</v>
      </c>
      <c r="AN177" s="25" t="s">
        <v>363</v>
      </c>
      <c r="AO177" s="25" t="s">
        <v>264</v>
      </c>
      <c r="AP177" s="25" t="s">
        <v>265</v>
      </c>
      <c r="AQ177" s="25" t="s">
        <v>364</v>
      </c>
    </row>
    <row r="178" spans="1:43">
      <c r="A178" s="3">
        <v>0</v>
      </c>
      <c r="F178" s="18">
        <f>MIN(1*B176,'2-Caso'!$B$12)</f>
        <v>16681.055314625803</v>
      </c>
      <c r="G178" s="18">
        <f>'2-Caso'!$B$12-F178</f>
        <v>422294.084543948</v>
      </c>
      <c r="H178" s="18">
        <f>'2-Caso'!$B$13*G178/'2-Caso'!$B$12</f>
        <v>330928</v>
      </c>
      <c r="M178" s="18">
        <f>MIN(1*I176,'2-Caso'!$B$12)</f>
        <v>21948.756992928691</v>
      </c>
      <c r="N178" s="18">
        <f>'2-Caso'!$B$12-M178</f>
        <v>417026.38286564511</v>
      </c>
      <c r="O178" s="18">
        <f>'2-Caso'!$B$13*N178/'2-Caso'!$B$12</f>
        <v>326800</v>
      </c>
      <c r="T178" s="18">
        <f>MIN(1*P176,'2-Caso'!$B$12)</f>
        <v>16918.496716261696</v>
      </c>
      <c r="U178" s="18">
        <f>'2-Caso'!$B$12-T178</f>
        <v>422056.64314231207</v>
      </c>
      <c r="V178" s="18">
        <f>'2-Caso'!$B$13*U178/'2-Caso'!$B$12</f>
        <v>330741.93059709697</v>
      </c>
      <c r="AA178" s="18">
        <f>MIN(1*W176,'2-Caso'!$B$12)</f>
        <v>16925.91730419033</v>
      </c>
      <c r="AB178" s="18">
        <f>'2-Caso'!$B$12-AA178</f>
        <v>422049.22255438345</v>
      </c>
      <c r="AC178" s="18">
        <f>'2-Caso'!$B$13*AB178/'2-Caso'!$B$12</f>
        <v>330736.11550185434</v>
      </c>
      <c r="AH178" s="18">
        <f>MIN(1*AD176,'2-Caso'!$B$12)</f>
        <v>16926.339592580025</v>
      </c>
      <c r="AI178" s="18">
        <f>'2-Caso'!$B$12-AH178</f>
        <v>422048.80026599375</v>
      </c>
      <c r="AJ178" s="18">
        <f>'2-Caso'!$B$13*AI178/'2-Caso'!$B$12</f>
        <v>330735.78457831708</v>
      </c>
      <c r="AO178" s="18">
        <f>MIN(1*AK176,'2-Caso'!$B$12)</f>
        <v>16926.339593220022</v>
      </c>
      <c r="AP178" s="18">
        <f>'2-Caso'!$B$12-AO178</f>
        <v>422048.80026535376</v>
      </c>
      <c r="AQ178" s="18">
        <f>'2-Caso'!$B$13*AP178/'2-Caso'!$B$12</f>
        <v>330735.78457781544</v>
      </c>
    </row>
    <row r="179" spans="1:43">
      <c r="A179" s="10">
        <f>1</f>
        <v>1</v>
      </c>
      <c r="B179" s="11">
        <f>IF($A179&gt;'1-Input'!$B$26,0,IF(G178&lt;=0,0,MAX(0,(G178-H178)/G178)))</f>
        <v>0.21635653419729484</v>
      </c>
      <c r="C179" s="18">
        <f>IF($A179&gt;'1-Input'!$B$26,0,(MAX(0,B176-IF($A179&gt;='1-Input'!$C$12,'1-Input'!$B$12,0))-MIN(MAX(F178,0),MAX(0,B176-IF($A179&gt;='1-Input'!$C$12,'1-Input'!$B$12,0))))*(1/(1-'P-Parametri'!$B$6*B179))+MIN(MAX(0,G178-(MAX(0,B176-IF($A179&gt;='1-Input'!$C$12,'1-Input'!$B$12,0))-MIN(MAX(F178,0),MAX(0,B176-IF($A179&gt;='1-Input'!$C$12,'1-Input'!$B$12,0))))*(1/(1-'P-Parametri'!$B$6*B179))),MAX(0,1*B176-(F178-MIN(MAX(F178,0),MAX(0,B176-IF($A179&gt;='1-Input'!$C$12,'1-Input'!$B$12,0)))))*(1/(1-'P-Parametri'!$B$6*B179))))</f>
        <v>17675.340946701614</v>
      </c>
      <c r="D179" s="18">
        <f>IF($A179&gt;'1-Input'!$B$26,F178,(F178-MAX(0,B176-IF($A179&gt;='1-Input'!$C$12,'1-Input'!$B$12,0))+C179*(1-'P-Parametri'!$B$6*B179))*(1+'1-Input'!$B$27))</f>
        <v>16621.003515493147</v>
      </c>
      <c r="E179" s="18">
        <f>IF($A179&gt;'1-Input'!$B$26,G178,(G178-C179)*(1+$B$4))</f>
        <v>412711.11846919137</v>
      </c>
      <c r="F179" s="18">
        <f>IF($A179&gt;'1-Input'!$B$26,D179,D179-'P-Parametri'!$B$8*(E179+D179)+MIN(MAX(E179,0),'P-Parametri'!$B$8*(E179+D179)))</f>
        <v>16621.003515493147</v>
      </c>
      <c r="G179" s="18">
        <f>IF($A179&gt;'1-Input'!$B$26,E179,E179-MIN(MAX(E179,0),'P-Parametri'!$B$8*(E179+D179)))</f>
        <v>411852.454225222</v>
      </c>
      <c r="H179" s="18">
        <f>IF($A179&gt;'1-Input'!$B$26,H178,H178-C179*(1-B179))</f>
        <v>317076.8345612823</v>
      </c>
      <c r="I179" s="11">
        <f>IF($A179&gt;'1-Input'!$B$26,0,IF(N178&lt;=0,0,MAX(0,(N178-O178)/N178)))</f>
        <v>0.21635653419729481</v>
      </c>
      <c r="J179" s="18">
        <f>IF($A179&gt;'1-Input'!$B$26,0,(MAX(0,I176-IF($A179&gt;='1-Input'!$C$12,'1-Input'!$B$12,0))-MIN(MAX(M178,0),MAX(0,I176-IF($A179&gt;='1-Input'!$C$12,'1-Input'!$B$12,0))))*(1/(1-'P-Parametri'!$B$6*I179))+MIN(MAX(0,N178-(MAX(0,I176-IF($A179&gt;='1-Input'!$C$12,'1-Input'!$B$12,0))-MIN(MAX(M178,0),MAX(0,I176-IF($A179&gt;='1-Input'!$C$12,'1-Input'!$B$12,0))))*(1/(1-'P-Parametri'!$B$6*I179))),MAX(0,1*I176-(M178-MIN(MAX(M178,0),MAX(0,I176-IF($A179&gt;='1-Input'!$C$12,'1-Input'!$B$12,0)))))*(1/(1-'P-Parametri'!$B$6*I179))))</f>
        <v>23257.027561449497</v>
      </c>
      <c r="K179" s="18">
        <f>IF($A179&gt;'1-Input'!$B$26,M178,(M178-MAX(0,I176-IF($A179&gt;='1-Input'!$C$12,'1-Input'!$B$12,0))+J179*(1-'P-Parametri'!$B$6*I179))*(1+'1-Input'!$B$27))</f>
        <v>21869.741467754146</v>
      </c>
      <c r="L179" s="18">
        <f>IF($A179&gt;'1-Input'!$B$26,N178,(N178-J179)*(1+$B$4))</f>
        <v>401644.74241027952</v>
      </c>
      <c r="M179" s="18">
        <f>IF($A179&gt;'1-Input'!$B$26,K179,K179-'P-Parametri'!$B$8*(L179+K179)+MIN(MAX(L179,0),'P-Parametri'!$B$8*(L179+K179)))</f>
        <v>21869.741467754146</v>
      </c>
      <c r="N179" s="18">
        <f>IF($A179&gt;'1-Input'!$B$26,L179,L179-MIN(MAX(L179,0),'P-Parametri'!$B$8*(L179+K179)))</f>
        <v>400797.71344252344</v>
      </c>
      <c r="O179" s="18">
        <f>IF($A179&gt;'1-Input'!$B$26,O178,O178-J179*(1-I179))</f>
        <v>308574.7823174767</v>
      </c>
      <c r="P179" s="11">
        <f>IF($A179&gt;'1-Input'!$B$26,0,IF(U178&lt;=0,0,MAX(0,(U178-V178)/U178)))</f>
        <v>0.21635653419729481</v>
      </c>
      <c r="Q179" s="18">
        <f>IF($A179&gt;'1-Input'!$B$26,0,(MAX(0,P176-IF($A179&gt;='1-Input'!$C$12,'1-Input'!$B$12,0))-MIN(MAX(T178,0),MAX(0,P176-IF($A179&gt;='1-Input'!$C$12,'1-Input'!$B$12,0))))*(1/(1-'P-Parametri'!$B$6*P179))+MIN(MAX(0,U178-(MAX(0,P176-IF($A179&gt;='1-Input'!$C$12,'1-Input'!$B$12,0))-MIN(MAX(T178,0),MAX(0,P176-IF($A179&gt;='1-Input'!$C$12,'1-Input'!$B$12,0))))*(1/(1-'P-Parametri'!$B$6*P179))),MAX(0,1*P176-(T178-MIN(MAX(T178,0),MAX(0,P176-IF($A179&gt;='1-Input'!$C$12,'1-Input'!$B$12,0)))))*(1/(1-'P-Parametri'!$B$6*P179))))</f>
        <v>17926.935204356127</v>
      </c>
      <c r="R179" s="18">
        <f>IF($A179&gt;'1-Input'!$B$26,T178,(T178-MAX(0,P176-IF($A179&gt;='1-Input'!$C$12,'1-Input'!$B$12,0))+Q179*(1-'P-Parametri'!$B$6*P179))*(1+'1-Input'!$B$27))</f>
        <v>16857.590128083153</v>
      </c>
      <c r="S179" s="18">
        <f>IF($A179&gt;'1-Input'!$B$26,U178,(U178-Q179)*(1+$B$4))</f>
        <v>412212.30209671502</v>
      </c>
      <c r="T179" s="18">
        <f>IF($A179&gt;'1-Input'!$B$26,R179,R179-'P-Parametri'!$B$8*(S179+R179)+MIN(MAX(S179,0),'P-Parametri'!$B$8*(S179+R179)))</f>
        <v>16857.590128083153</v>
      </c>
      <c r="U179" s="18">
        <f>IF($A179&gt;'1-Input'!$B$26,S179,S179-MIN(MAX(S179,0),'P-Parametri'!$B$8*(S179+R179)))</f>
        <v>411354.16231226543</v>
      </c>
      <c r="V179" s="18">
        <f>IF($A179&gt;'1-Input'!$B$26,V178,V178-Q179*(1-P179))</f>
        <v>316693.60496233479</v>
      </c>
      <c r="W179" s="11">
        <f>IF($A179&gt;'1-Input'!$B$26,0,IF(AB178&lt;=0,0,MAX(0,(AB178-AC178)/AB178)))</f>
        <v>0.21635653419729473</v>
      </c>
      <c r="X179" s="18">
        <f>IF($A179&gt;'1-Input'!$B$26,0,(MAX(0,W176-IF($A179&gt;='1-Input'!$C$12,'1-Input'!$B$12,0))-MIN(MAX(AA178,0),MAX(0,W176-IF($A179&gt;='1-Input'!$C$12,'1-Input'!$B$12,0))))*(1/(1-'P-Parametri'!$B$6*W179))+MIN(MAX(0,AB178-(MAX(0,W176-IF($A179&gt;='1-Input'!$C$12,'1-Input'!$B$12,0))-MIN(MAX(AA178,0),MAX(0,W176-IF($A179&gt;='1-Input'!$C$12,'1-Input'!$B$12,0))))*(1/(1-'P-Parametri'!$B$6*W179))),MAX(0,1*W176-(AA178-MIN(MAX(AA178,0),MAX(0,W176-IF($A179&gt;='1-Input'!$C$12,'1-Input'!$B$12,0)))))*(1/(1-'P-Parametri'!$B$6*W179))))</f>
        <v>17934.798101468434</v>
      </c>
      <c r="Y179" s="18">
        <f>IF($A179&gt;'1-Input'!$B$26,AA178,(AA178-MAX(0,W176-IF($A179&gt;='1-Input'!$C$12,'1-Input'!$B$12,0))+X179*(1-'P-Parametri'!$B$6*W179))*(1+'1-Input'!$B$27))</f>
        <v>16864.984001895249</v>
      </c>
      <c r="Z179" s="18">
        <f>IF($A179&gt;'1-Input'!$B$26,AB178,(AB178-X179)*(1+$B$4))</f>
        <v>412196.71294197335</v>
      </c>
      <c r="AA179" s="18">
        <f>IF($A179&gt;'1-Input'!$B$26,Y179,Y179-'P-Parametri'!$B$8*(Z179+Y179)+MIN(MAX(Z179,0),'P-Parametri'!$B$8*(Z179+Y179)))</f>
        <v>16864.984001895249</v>
      </c>
      <c r="AB179" s="18">
        <f>IF($A179&gt;'1-Input'!$B$26,Z179,Z179-MIN(MAX(Z179,0),'P-Parametri'!$B$8*(Z179+Y179)))</f>
        <v>411338.58954808564</v>
      </c>
      <c r="AC179" s="18">
        <f>IF($A179&gt;'1-Input'!$B$26,AC178,AC178-X179*(1-W179))</f>
        <v>316681.62815914786</v>
      </c>
      <c r="AD179" s="11">
        <f>IF($A179&gt;'1-Input'!$B$26,0,IF(AI178&lt;=0,0,MAX(0,(AI178-AJ178)/AI178)))</f>
        <v>0.2163565341972947</v>
      </c>
      <c r="AE179" s="18">
        <f>IF($A179&gt;'1-Input'!$B$26,0,(MAX(0,AD176-IF($A179&gt;='1-Input'!$C$12,'1-Input'!$B$12,0))-MIN(MAX(AH178,0),MAX(0,AD176-IF($A179&gt;='1-Input'!$C$12,'1-Input'!$B$12,0))))*(1/(1-'P-Parametri'!$B$6*AD179))+MIN(MAX(0,AI178-(MAX(0,AD176-IF($A179&gt;='1-Input'!$C$12,'1-Input'!$B$12,0))-MIN(MAX(AH178,0),MAX(0,AD176-IF($A179&gt;='1-Input'!$C$12,'1-Input'!$B$12,0))))*(1/(1-'P-Parametri'!$B$6*AD179))),MAX(0,1*AD176-(AH178-MIN(MAX(AH178,0),MAX(0,AD176-IF($A179&gt;='1-Input'!$C$12,'1-Input'!$B$12,0)))))*(1/(1-'P-Parametri'!$B$6*AD179))))</f>
        <v>17935.24556064442</v>
      </c>
      <c r="AF179" s="18">
        <f>IF($A179&gt;'1-Input'!$B$26,AH178,(AH178-MAX(0,AD176-IF($A179&gt;='1-Input'!$C$12,'1-Input'!$B$12,0))+AE179*(1-'P-Parametri'!$B$6*AD179))*(1+'1-Input'!$B$27))</f>
        <v>16865.404770046734</v>
      </c>
      <c r="AG179" s="18">
        <f>IF($A179&gt;'1-Input'!$B$26,AI178,(AI178-AE179)*(1+$B$4))</f>
        <v>412195.82579945633</v>
      </c>
      <c r="AH179" s="18">
        <f>IF($A179&gt;'1-Input'!$B$26,AF179,AF179-'P-Parametri'!$B$8*(AG179+AF179)+MIN(MAX(AG179,0),'P-Parametri'!$B$8*(AG179+AF179)))</f>
        <v>16865.404770046734</v>
      </c>
      <c r="AI179" s="18">
        <f>IF($A179&gt;'1-Input'!$B$26,AG179,AG179-MIN(MAX(AG179,0),'P-Parametri'!$B$8*(AG179+AF179)))</f>
        <v>411337.70333831734</v>
      </c>
      <c r="AJ179" s="18">
        <f>IF($A179&gt;'1-Input'!$B$26,AJ178,AJ178-AE179*(1-AD179))</f>
        <v>316680.94658715109</v>
      </c>
      <c r="AK179" s="11">
        <f>IF($A179&gt;'1-Input'!$B$26,0,IF(AP178&lt;=0,0,MAX(0,(AP178-AQ178)/AP178)))</f>
        <v>0.21635653419729495</v>
      </c>
      <c r="AL179" s="18">
        <f>IF($A179&gt;'1-Input'!$B$26,0,(MAX(0,AK176-IF($A179&gt;='1-Input'!$C$12,'1-Input'!$B$12,0))-MIN(MAX(AO178,0),MAX(0,AK176-IF($A179&gt;='1-Input'!$C$12,'1-Input'!$B$12,0))))*(1/(1-'P-Parametri'!$B$6*AK179))+MIN(MAX(0,AP178-(MAX(0,AK176-IF($A179&gt;='1-Input'!$C$12,'1-Input'!$B$12,0))-MIN(MAX(AO178,0),MAX(0,AK176-IF($A179&gt;='1-Input'!$C$12,'1-Input'!$B$12,0))))*(1/(1-'P-Parametri'!$B$6*AK179))),MAX(0,1*AK176-(AO178-MIN(MAX(AO178,0),MAX(0,AK176-IF($A179&gt;='1-Input'!$C$12,'1-Input'!$B$12,0)))))*(1/(1-'P-Parametri'!$B$6*AK179))))</f>
        <v>17935.245561322565</v>
      </c>
      <c r="AM179" s="18">
        <f>IF($A179&gt;'1-Input'!$B$26,AO178,(AO178-MAX(0,AK176-IF($A179&gt;='1-Input'!$C$12,'1-Input'!$B$12,0))+AL179*(1-'P-Parametri'!$B$6*AK179))*(1+'1-Input'!$B$27))</f>
        <v>16865.404770684429</v>
      </c>
      <c r="AN179" s="18">
        <f>IF($A179&gt;'1-Input'!$B$26,AP178,(AP178-AL179)*(1+$B$4))</f>
        <v>412195.82579811185</v>
      </c>
      <c r="AO179" s="18">
        <f>IF($A179&gt;'1-Input'!$B$26,AM179,AM179-'P-Parametri'!$B$8*(AN179+AM179)+MIN(MAX(AN179,0),'P-Parametri'!$B$8*(AN179+AM179)))</f>
        <v>16865.404770684429</v>
      </c>
      <c r="AP179" s="18">
        <f>IF($A179&gt;'1-Input'!$B$26,AN179,AN179-MIN(MAX(AN179,0),'P-Parametri'!$B$8*(AN179+AM179)))</f>
        <v>411337.70333697426</v>
      </c>
      <c r="AQ179" s="18">
        <f>IF($A179&gt;'1-Input'!$B$26,AQ178,AQ178-AL179*(1-AK179))</f>
        <v>316680.94658611802</v>
      </c>
    </row>
    <row r="180" spans="1:43">
      <c r="A180" s="10">
        <f>2</f>
        <v>2</v>
      </c>
      <c r="B180" s="11">
        <f>IF($A180&gt;'1-Input'!$B$26,0,IF(G179&lt;=0,0,MAX(0,(G179-H179)/G179)))</f>
        <v>0.23012032268262639</v>
      </c>
      <c r="C180" s="18">
        <f>IF($A180&gt;'1-Input'!$B$26,0,(MAX(0,B176-IF($A180&gt;='1-Input'!$C$12,'1-Input'!$B$12,0))-MIN(MAX(F179,0),MAX(0,B176-IF($A180&gt;='1-Input'!$C$12,'1-Input'!$B$12,0))))*(1/(1-'P-Parametri'!$B$6*B180))+MIN(MAX(0,G179-(MAX(0,B176-IF($A180&gt;='1-Input'!$C$12,'1-Input'!$B$12,0))-MIN(MAX(F179,0),MAX(0,B176-IF($A180&gt;='1-Input'!$C$12,'1-Input'!$B$12,0))))*(1/(1-'P-Parametri'!$B$6*B180))),MAX(0,1*B176-(F179-MIN(MAX(F179,0),MAX(0,B176-IF($A180&gt;='1-Input'!$C$12,'1-Input'!$B$12,0)))))*(1/(1-'P-Parametri'!$B$6*B180))))</f>
        <v>17806.492416764253</v>
      </c>
      <c r="D180" s="18">
        <f>IF($A180&gt;'1-Input'!$B$26,F179,(F179-MAX(0,B176-IF($A180&gt;='1-Input'!$C$12,'1-Input'!$B$12,0))+C180*(1-'P-Parametri'!$B$6*B180))*(1+'1-Input'!$B$27))</f>
        <v>16621.003515493147</v>
      </c>
      <c r="E180" s="18">
        <f>IF($A180&gt;'1-Input'!$B$26,G179,(G179-C180)*(1+$B$4))</f>
        <v>401926.88104462688</v>
      </c>
      <c r="F180" s="18">
        <f>IF($A180&gt;'1-Input'!$B$26,D180,D180-'P-Parametri'!$B$8*(E180+D180)+MIN(MAX(E180,0),'P-Parametri'!$B$8*(E180+D180)))</f>
        <v>16621.003515493147</v>
      </c>
      <c r="G180" s="18">
        <f>IF($A180&gt;'1-Input'!$B$26,E180,E180-MIN(MAX(E180,0),'P-Parametri'!$B$8*(E180+D180)))</f>
        <v>401089.78527550661</v>
      </c>
      <c r="H180" s="18">
        <f>IF($A180&gt;'1-Input'!$B$26,H179,H179-C180*(1-B180))</f>
        <v>303367.97792530956</v>
      </c>
      <c r="I180" s="11">
        <f>IF($A180&gt;'1-Input'!$B$26,0,IF(N179&lt;=0,0,MAX(0,(N179-O179)/N179)))</f>
        <v>0.23009844625341658</v>
      </c>
      <c r="J180" s="18">
        <f>IF($A180&gt;'1-Input'!$B$26,0,(MAX(0,I176-IF($A180&gt;='1-Input'!$C$12,'1-Input'!$B$12,0))-MIN(MAX(M179,0),MAX(0,I176-IF($A180&gt;='1-Input'!$C$12,'1-Input'!$B$12,0))))*(1/(1-'P-Parametri'!$B$6*I180))+MIN(MAX(0,N179-(MAX(0,I176-IF($A180&gt;='1-Input'!$C$12,'1-Input'!$B$12,0))-MIN(MAX(M179,0),MAX(0,I176-IF($A180&gt;='1-Input'!$C$12,'1-Input'!$B$12,0))))*(1/(1-'P-Parametri'!$B$6*I180))),MAX(0,1*I176-(M179-MIN(MAX(M179,0),MAX(0,I176-IF($A180&gt;='1-Input'!$C$12,'1-Input'!$B$12,0)))))*(1/(1-'P-Parametri'!$B$6*I180))))</f>
        <v>23429.453540738796</v>
      </c>
      <c r="K180" s="18">
        <f>IF($A180&gt;'1-Input'!$B$26,M179,(M179-MAX(0,I176-IF($A180&gt;='1-Input'!$C$12,'1-Input'!$B$12,0))+J180*(1-'P-Parametri'!$B$6*I180))*(1+'1-Input'!$B$27))</f>
        <v>21869.741467754146</v>
      </c>
      <c r="L180" s="18">
        <f>IF($A180&gt;'1-Input'!$B$26,N179,(N179-J180)*(1+$B$4))</f>
        <v>384915.62509982038</v>
      </c>
      <c r="M180" s="18">
        <f>IF($A180&gt;'1-Input'!$B$26,K180,K180-'P-Parametri'!$B$8*(L180+K180)+MIN(MAX(L180,0),'P-Parametri'!$B$8*(L180+K180)))</f>
        <v>21869.741467754146</v>
      </c>
      <c r="N180" s="18">
        <f>IF($A180&gt;'1-Input'!$B$26,L180,L180-MIN(MAX(L180,0),'P-Parametri'!$B$8*(L180+K180)))</f>
        <v>384102.05436668522</v>
      </c>
      <c r="O180" s="18">
        <f>IF($A180&gt;'1-Input'!$B$26,O179,O179-J180*(1-I180))</f>
        <v>290536.4096330285</v>
      </c>
      <c r="P180" s="11">
        <f>IF($A180&gt;'1-Input'!$B$26,0,IF(U179&lt;=0,0,MAX(0,(U179-V179)/U179)))</f>
        <v>0.2301193619090508</v>
      </c>
      <c r="Q180" s="18">
        <f>IF($A180&gt;'1-Input'!$B$26,0,(MAX(0,P176-IF($A180&gt;='1-Input'!$C$12,'1-Input'!$B$12,0))-MIN(MAX(T179,0),MAX(0,P176-IF($A180&gt;='1-Input'!$C$12,'1-Input'!$B$12,0))))*(1/(1-'P-Parametri'!$B$6*P180))+MIN(MAX(0,U179-(MAX(0,P176-IF($A180&gt;='1-Input'!$C$12,'1-Input'!$B$12,0))-MIN(MAX(T179,0),MAX(0,P176-IF($A180&gt;='1-Input'!$C$12,'1-Input'!$B$12,0))))*(1/(1-'P-Parametri'!$B$6*P180))),MAX(0,1*P176-(T179-MIN(MAX(T179,0),MAX(0,P176-IF($A180&gt;='1-Input'!$C$12,'1-Input'!$B$12,0)))))*(1/(1-'P-Parametri'!$B$6*P180))))</f>
        <v>18059.948711581244</v>
      </c>
      <c r="R180" s="18">
        <f>IF($A180&gt;'1-Input'!$B$26,T179,(T179-MAX(0,P176-IF($A180&gt;='1-Input'!$C$12,'1-Input'!$B$12,0))+Q180*(1-'P-Parametri'!$B$6*P180))*(1+'1-Input'!$B$27))</f>
        <v>16857.590128083149</v>
      </c>
      <c r="S180" s="18">
        <f>IF($A180&gt;'1-Input'!$B$26,U179,(U179-Q180)*(1+$B$4))</f>
        <v>401160.09787269786</v>
      </c>
      <c r="T180" s="18">
        <f>IF($A180&gt;'1-Input'!$B$26,R180,R180-'P-Parametri'!$B$8*(S180+R180)+MIN(MAX(S180,0),'P-Parametri'!$B$8*(S180+R180)))</f>
        <v>16857.590128083149</v>
      </c>
      <c r="U180" s="18">
        <f>IF($A180&gt;'1-Input'!$B$26,S180,S180-MIN(MAX(S180,0),'P-Parametri'!$B$8*(S180+R180)))</f>
        <v>400324.06249669631</v>
      </c>
      <c r="V180" s="18">
        <f>IF($A180&gt;'1-Input'!$B$26,V179,V179-Q180*(1-P180))</f>
        <v>302789.60012437281</v>
      </c>
      <c r="W180" s="11">
        <f>IF($A180&gt;'1-Input'!$B$26,0,IF(AB179&lt;=0,0,MAX(0,(AB179-AC179)/AB179)))</f>
        <v>0.23011933184516437</v>
      </c>
      <c r="X180" s="18">
        <f>IF($A180&gt;'1-Input'!$B$26,0,(MAX(0,W176-IF($A180&gt;='1-Input'!$C$12,'1-Input'!$B$12,0))-MIN(MAX(AA179,0),MAX(0,W176-IF($A180&gt;='1-Input'!$C$12,'1-Input'!$B$12,0))))*(1/(1-'P-Parametri'!$B$6*W180))+MIN(MAX(0,AB179-(MAX(0,W176-IF($A180&gt;='1-Input'!$C$12,'1-Input'!$B$12,0))-MIN(MAX(AA179,0),MAX(0,W176-IF($A180&gt;='1-Input'!$C$12,'1-Input'!$B$12,0))))*(1/(1-'P-Parametri'!$B$6*W180))),MAX(0,1*W176-(AA179-MIN(MAX(AA179,0),MAX(0,W176-IF($A180&gt;='1-Input'!$C$12,'1-Input'!$B$12,0)))))*(1/(1-'P-Parametri'!$B$6*W180))))</f>
        <v>18067.869799264157</v>
      </c>
      <c r="Y180" s="18">
        <f>IF($A180&gt;'1-Input'!$B$26,AA179,(AA179-MAX(0,W176-IF($A180&gt;='1-Input'!$C$12,'1-Input'!$B$12,0))+X180*(1-'P-Parametri'!$B$6*W180))*(1+'1-Input'!$B$27))</f>
        <v>16864.984001895245</v>
      </c>
      <c r="Z180" s="18">
        <f>IF($A180&gt;'1-Input'!$B$26,AB179,(AB179-X180)*(1+$B$4))</f>
        <v>401136.13414379791</v>
      </c>
      <c r="AA180" s="18">
        <f>IF($A180&gt;'1-Input'!$B$26,Y180,Y180-'P-Parametri'!$B$8*(Z180+Y180)+MIN(MAX(Z180,0),'P-Parametri'!$B$8*(Z180+Y180)))</f>
        <v>16864.984001895245</v>
      </c>
      <c r="AB180" s="18">
        <f>IF($A180&gt;'1-Input'!$B$26,Z180,Z180-MIN(MAX(Z180,0),'P-Parametri'!$B$8*(Z180+Y180)))</f>
        <v>400300.13190750655</v>
      </c>
      <c r="AC180" s="18">
        <f>IF($A180&gt;'1-Input'!$B$26,AC179,AC179-X180*(1-W180))</f>
        <v>302771.52448595577</v>
      </c>
      <c r="AD180" s="11">
        <f>IF($A180&gt;'1-Input'!$B$26,0,IF(AI179&lt;=0,0,MAX(0,(AI179-AJ179)/AI179)))</f>
        <v>0.23011933013423011</v>
      </c>
      <c r="AE180" s="18">
        <f>IF($A180&gt;'1-Input'!$B$26,0,(MAX(0,AD176-IF($A180&gt;='1-Input'!$C$12,'1-Input'!$B$12,0))-MIN(MAX(AH179,0),MAX(0,AD176-IF($A180&gt;='1-Input'!$C$12,'1-Input'!$B$12,0))))*(1/(1-'P-Parametri'!$B$6*AD180))+MIN(MAX(0,AI179-(MAX(0,AD176-IF($A180&gt;='1-Input'!$C$12,'1-Input'!$B$12,0))-MIN(MAX(AH179,0),MAX(0,AD176-IF($A180&gt;='1-Input'!$C$12,'1-Input'!$B$12,0))))*(1/(1-'P-Parametri'!$B$6*AD180))),MAX(0,1*AD176-(AH179-MIN(MAX(AH179,0),MAX(0,AD176-IF($A180&gt;='1-Input'!$C$12,'1-Input'!$B$12,0)))))*(1/(1-'P-Parametri'!$B$6*AD180))))</f>
        <v>18068.320569925803</v>
      </c>
      <c r="AF180" s="18">
        <f>IF($A180&gt;'1-Input'!$B$26,AH179,(AH179-MAX(0,AD176-IF($A180&gt;='1-Input'!$C$12,'1-Input'!$B$12,0))+AE180*(1-'P-Parametri'!$B$6*AD180))*(1+'1-Input'!$B$27))</f>
        <v>16865.404770046738</v>
      </c>
      <c r="AG180" s="18">
        <f>IF($A180&gt;'1-Input'!$B$26,AI179,(AI179-AE180)*(1+$B$4))</f>
        <v>401134.77042375936</v>
      </c>
      <c r="AH180" s="18">
        <f>IF($A180&gt;'1-Input'!$B$26,AF180,AF180-'P-Parametri'!$B$8*(AG180+AF180)+MIN(MAX(AG180,0),'P-Parametri'!$B$8*(AG180+AF180)))</f>
        <v>16865.404770046738</v>
      </c>
      <c r="AI180" s="18">
        <f>IF($A180&gt;'1-Input'!$B$26,AG180,AG180-MIN(MAX(AG180,0),'P-Parametri'!$B$8*(AG180+AF180)))</f>
        <v>400298.77007337176</v>
      </c>
      <c r="AJ180" s="18">
        <f>IF($A180&gt;'1-Input'!$B$26,AJ179,AJ179-AE180*(1-AD180))</f>
        <v>302770.49584342714</v>
      </c>
      <c r="AK180" s="11">
        <f>IF($A180&gt;'1-Input'!$B$26,0,IF(AP179&lt;=0,0,MAX(0,(AP179-AQ179)/AP179)))</f>
        <v>0.23011933013422781</v>
      </c>
      <c r="AL180" s="18">
        <f>IF($A180&gt;'1-Input'!$B$26,0,(MAX(0,AK176-IF($A180&gt;='1-Input'!$C$12,'1-Input'!$B$12,0))-MIN(MAX(AO179,0),MAX(0,AK176-IF($A180&gt;='1-Input'!$C$12,'1-Input'!$B$12,0))))*(1/(1-'P-Parametri'!$B$6*AK180))+MIN(MAX(0,AP179-(MAX(0,AK176-IF($A180&gt;='1-Input'!$C$12,'1-Input'!$B$12,0))-MIN(MAX(AO179,0),MAX(0,AK176-IF($A180&gt;='1-Input'!$C$12,'1-Input'!$B$12,0))))*(1/(1-'P-Parametri'!$B$6*AK180))),MAX(0,1*AK176-(AO179-MIN(MAX(AO179,0),MAX(0,AK176-IF($A180&gt;='1-Input'!$C$12,'1-Input'!$B$12,0)))))*(1/(1-'P-Parametri'!$B$6*AK180))))</f>
        <v>18068.320570608961</v>
      </c>
      <c r="AM180" s="18">
        <f>IF($A180&gt;'1-Input'!$B$26,AO179,(AO179-MAX(0,AK176-IF($A180&gt;='1-Input'!$C$12,'1-Input'!$B$12,0))+AL180*(1-'P-Parametri'!$B$6*AK180))*(1+'1-Input'!$B$27))</f>
        <v>16865.404770684429</v>
      </c>
      <c r="AN180" s="18">
        <f>IF($A180&gt;'1-Input'!$B$26,AP179,(AP179-AL180)*(1+$B$4))</f>
        <v>401134.77042169264</v>
      </c>
      <c r="AO180" s="18">
        <f>IF($A180&gt;'1-Input'!$B$26,AM180,AM180-'P-Parametri'!$B$8*(AN180+AM180)+MIN(MAX(AN180,0),'P-Parametri'!$B$8*(AN180+AM180)))</f>
        <v>16865.404770684429</v>
      </c>
      <c r="AP180" s="18">
        <f>IF($A180&gt;'1-Input'!$B$26,AN180,AN180-MIN(MAX(AN180,0),'P-Parametri'!$B$8*(AN180+AM180)))</f>
        <v>400298.7700713079</v>
      </c>
      <c r="AQ180" s="18">
        <f>IF($A180&gt;'1-Input'!$B$26,AQ179,AQ179-AL180*(1-AK180))</f>
        <v>302770.49584186811</v>
      </c>
    </row>
    <row r="181" spans="1:43">
      <c r="A181" s="10">
        <f>3</f>
        <v>3</v>
      </c>
      <c r="B181" s="11">
        <f>IF($A181&gt;'1-Input'!$B$26,0,IF(G180&lt;=0,0,MAX(0,(G180-H180)/G180)))</f>
        <v>0.24364072818028118</v>
      </c>
      <c r="C181" s="18">
        <f>IF($A181&gt;'1-Input'!$B$26,0,(MAX(0,B176-IF($A181&gt;='1-Input'!$C$12,'1-Input'!$B$12,0))-MIN(MAX(F180,0),MAX(0,B176-IF($A181&gt;='1-Input'!$C$12,'1-Input'!$B$12,0))))*(1/(1-'P-Parametri'!$B$6*B181))+MIN(MAX(0,G180-(MAX(0,B176-IF($A181&gt;='1-Input'!$C$12,'1-Input'!$B$12,0))-MIN(MAX(F180,0),MAX(0,B176-IF($A181&gt;='1-Input'!$C$12,'1-Input'!$B$12,0))))*(1/(1-'P-Parametri'!$B$6*B181))),MAX(0,1*B176-(F180-MIN(MAX(F180,0),MAX(0,B176-IF($A181&gt;='1-Input'!$C$12,'1-Input'!$B$12,0)))))*(1/(1-'P-Parametri'!$B$6*B181))))</f>
        <v>17873.321041694006</v>
      </c>
      <c r="D181" s="18">
        <f>IF($A181&gt;'1-Input'!$B$26,F180,(F180-MAX(0,B176-IF($A181&gt;='1-Input'!$C$12,'1-Input'!$B$12,0))+C181*(1-'P-Parametri'!$B$6*B181))*(1+'1-Input'!$B$27))</f>
        <v>16621.003515493147</v>
      </c>
      <c r="E181" s="18">
        <f>IF($A181&gt;'1-Input'!$B$26,G180,(G180-C181)*(1+$B$4))</f>
        <v>390880.79351848882</v>
      </c>
      <c r="F181" s="18">
        <f>IF($A181&gt;'1-Input'!$B$26,D181,D181-'P-Parametri'!$B$8*(E181+D181)+MIN(MAX(E181,0),'P-Parametri'!$B$8*(E181+D181)))</f>
        <v>16621.003515493147</v>
      </c>
      <c r="G181" s="18">
        <f>IF($A181&gt;'1-Input'!$B$26,E181,E181-MIN(MAX(E181,0),'P-Parametri'!$B$8*(E181+D181)))</f>
        <v>390065.78992442088</v>
      </c>
      <c r="H181" s="18">
        <f>IF($A181&gt;'1-Input'!$B$26,H180,H180-C181*(1-B181))</f>
        <v>289849.32583721384</v>
      </c>
      <c r="I181" s="11">
        <f>IF($A181&gt;'1-Input'!$B$26,0,IF(N180&lt;=0,0,MAX(0,(N180-O180)/N180)))</f>
        <v>0.24359579353963504</v>
      </c>
      <c r="J181" s="18">
        <f>IF($A181&gt;'1-Input'!$B$26,0,(MAX(0,I176-IF($A181&gt;='1-Input'!$C$12,'1-Input'!$B$12,0))-MIN(MAX(M180,0),MAX(0,I176-IF($A181&gt;='1-Input'!$C$12,'1-Input'!$B$12,0))))*(1/(1-'P-Parametri'!$B$6*I181))+MIN(MAX(0,N180-(MAX(0,I176-IF($A181&gt;='1-Input'!$C$12,'1-Input'!$B$12,0))-MIN(MAX(M180,0),MAX(0,I176-IF($A181&gt;='1-Input'!$C$12,'1-Input'!$B$12,0))))*(1/(1-'P-Parametri'!$B$6*I181))),MAX(0,1*I176-(M180-MIN(MAX(M180,0),MAX(0,I176-IF($A181&gt;='1-Input'!$C$12,'1-Input'!$B$12,0)))))*(1/(1-'P-Parametri'!$B$6*I181))))</f>
        <v>23517.234352747142</v>
      </c>
      <c r="K181" s="18">
        <f>IF($A181&gt;'1-Input'!$B$26,M180,(M180-MAX(0,I176-IF($A181&gt;='1-Input'!$C$12,'1-Input'!$B$12,0))+J181*(1-'P-Parametri'!$B$6*I181))*(1+'1-Input'!$B$27))</f>
        <v>21869.741467754149</v>
      </c>
      <c r="L181" s="18">
        <f>IF($A181&gt;'1-Input'!$B$26,N180,(N180-J181)*(1+$B$4))</f>
        <v>367796.51641421684</v>
      </c>
      <c r="M181" s="18">
        <f>IF($A181&gt;'1-Input'!$B$26,K181,K181-'P-Parametri'!$B$8*(L181+K181)+MIN(MAX(L181,0),'P-Parametri'!$B$8*(L181+K181)))</f>
        <v>21869.741467754149</v>
      </c>
      <c r="N181" s="18">
        <f>IF($A181&gt;'1-Input'!$B$26,L181,L181-MIN(MAX(L181,0),'P-Parametri'!$B$8*(L181+K181)))</f>
        <v>367017.1838984529</v>
      </c>
      <c r="O181" s="18">
        <f>IF($A181&gt;'1-Input'!$B$26,O180,O180-J181*(1-I181))</f>
        <v>272747.87464429636</v>
      </c>
      <c r="P181" s="11">
        <f>IF($A181&gt;'1-Input'!$B$26,0,IF(U180&lt;=0,0,MAX(0,(U180-V180)/U180)))</f>
        <v>0.24363877046019036</v>
      </c>
      <c r="Q181" s="18">
        <f>IF($A181&gt;'1-Input'!$B$26,0,(MAX(0,P176-IF($A181&gt;='1-Input'!$C$12,'1-Input'!$B$12,0))-MIN(MAX(T180,0),MAX(0,P176-IF($A181&gt;='1-Input'!$C$12,'1-Input'!$B$12,0))))*(1/(1-'P-Parametri'!$B$6*P181))+MIN(MAX(0,U180-(MAX(0,P176-IF($A181&gt;='1-Input'!$C$12,'1-Input'!$B$12,0))-MIN(MAX(T180,0),MAX(0,P176-IF($A181&gt;='1-Input'!$C$12,'1-Input'!$B$12,0))))*(1/(1-'P-Parametri'!$B$6*P181))),MAX(0,1*P176-(T180-MIN(MAX(T180,0),MAX(0,P176-IF($A181&gt;='1-Input'!$C$12,'1-Input'!$B$12,0)))))*(1/(1-'P-Parametri'!$B$6*P181))))</f>
        <v>18127.72353553462</v>
      </c>
      <c r="R181" s="18">
        <f>IF($A181&gt;'1-Input'!$B$26,T180,(T180-MAX(0,P176-IF($A181&gt;='1-Input'!$C$12,'1-Input'!$B$12,0))+Q181*(1-'P-Parametri'!$B$6*P181))*(1+'1-Input'!$B$27))</f>
        <v>16857.590128083153</v>
      </c>
      <c r="S181" s="18">
        <f>IF($A181&gt;'1-Input'!$B$26,U180,(U180-Q181)*(1+$B$4))</f>
        <v>389840.26574038493</v>
      </c>
      <c r="T181" s="18">
        <f>IF($A181&gt;'1-Input'!$B$26,R181,R181-'P-Parametri'!$B$8*(S181+R181)+MIN(MAX(S181,0),'P-Parametri'!$B$8*(S181+R181)))</f>
        <v>16857.590128083153</v>
      </c>
      <c r="U181" s="18">
        <f>IF($A181&gt;'1-Input'!$B$26,S181,S181-MIN(MAX(S181,0),'P-Parametri'!$B$8*(S181+R181)))</f>
        <v>389026.870028648</v>
      </c>
      <c r="V181" s="18">
        <f>IF($A181&gt;'1-Input'!$B$26,V180,V180-Q181*(1-P181))</f>
        <v>289078.49286227807</v>
      </c>
      <c r="W181" s="11">
        <f>IF($A181&gt;'1-Input'!$B$26,0,IF(AB180&lt;=0,0,MAX(0,(AB180-AC180)/AB180)))</f>
        <v>0.24363870917755723</v>
      </c>
      <c r="X181" s="18">
        <f>IF($A181&gt;'1-Input'!$B$26,0,(MAX(0,W176-IF($A181&gt;='1-Input'!$C$12,'1-Input'!$B$12,0))-MIN(MAX(AA180,0),MAX(0,W176-IF($A181&gt;='1-Input'!$C$12,'1-Input'!$B$12,0))))*(1/(1-'P-Parametri'!$B$6*W181))+MIN(MAX(0,AB180-(MAX(0,W176-IF($A181&gt;='1-Input'!$C$12,'1-Input'!$B$12,0))-MIN(MAX(AA180,0),MAX(0,W176-IF($A181&gt;='1-Input'!$C$12,'1-Input'!$B$12,0))))*(1/(1-'P-Parametri'!$B$6*W181))),MAX(0,1*W176-(AA180-MIN(MAX(AA180,0),MAX(0,W176-IF($A181&gt;='1-Input'!$C$12,'1-Input'!$B$12,0)))))*(1/(1-'P-Parametri'!$B$6*W181))))</f>
        <v>18135.674191507136</v>
      </c>
      <c r="Y181" s="18">
        <f>IF($A181&gt;'1-Input'!$B$26,AA180,(AA180-MAX(0,W176-IF($A181&gt;='1-Input'!$C$12,'1-Input'!$B$12,0))+X181*(1-'P-Parametri'!$B$6*W181))*(1+'1-Input'!$B$27))</f>
        <v>16864.984001895245</v>
      </c>
      <c r="Z181" s="18">
        <f>IF($A181&gt;'1-Input'!$B$26,AB180,(AB180-X181)*(1+$B$4))</f>
        <v>389807.74687031936</v>
      </c>
      <c r="AA181" s="18">
        <f>IF($A181&gt;'1-Input'!$B$26,Y181,Y181-'P-Parametri'!$B$8*(Z181+Y181)+MIN(MAX(Z181,0),'P-Parametri'!$B$8*(Z181+Y181)))</f>
        <v>16864.984001895245</v>
      </c>
      <c r="AB181" s="18">
        <f>IF($A181&gt;'1-Input'!$B$26,Z181,Z181-MIN(MAX(Z181,0),'P-Parametri'!$B$8*(Z181+Y181)))</f>
        <v>388994.40140857495</v>
      </c>
      <c r="AC181" s="18">
        <f>IF($A181&gt;'1-Input'!$B$26,AC180,AC180-X181*(1-W181))</f>
        <v>289054.40254453215</v>
      </c>
      <c r="AD181" s="11">
        <f>IF($A181&gt;'1-Input'!$B$26,0,IF(AI180&lt;=0,0,MAX(0,(AI180-AJ180)/AI180)))</f>
        <v>0.2436387056899236</v>
      </c>
      <c r="AE181" s="18">
        <f>IF($A181&gt;'1-Input'!$B$26,0,(MAX(0,AD176-IF($A181&gt;='1-Input'!$C$12,'1-Input'!$B$12,0))-MIN(MAX(AH180,0),MAX(0,AD176-IF($A181&gt;='1-Input'!$C$12,'1-Input'!$B$12,0))))*(1/(1-'P-Parametri'!$B$6*AD181))+MIN(MAX(0,AI180-(MAX(0,AD176-IF($A181&gt;='1-Input'!$C$12,'1-Input'!$B$12,0))-MIN(MAX(AH180,0),MAX(0,AD176-IF($A181&gt;='1-Input'!$C$12,'1-Input'!$B$12,0))))*(1/(1-'P-Parametri'!$B$6*AD181))),MAX(0,1*AD176-(AH180-MIN(MAX(AH180,0),MAX(0,AD176-IF($A181&gt;='1-Input'!$C$12,'1-Input'!$B$12,0)))))*(1/(1-'P-Parametri'!$B$6*AD181))))</f>
        <v>18136.126644826574</v>
      </c>
      <c r="AF181" s="18">
        <f>IF($A181&gt;'1-Input'!$B$26,AH180,(AH180-MAX(0,AD176-IF($A181&gt;='1-Input'!$C$12,'1-Input'!$B$12,0))+AE181*(1-'P-Parametri'!$B$6*AD181))*(1+'1-Input'!$B$27))</f>
        <v>16865.404770046734</v>
      </c>
      <c r="AG181" s="18">
        <f>IF($A181&gt;'1-Input'!$B$26,AI180,(AI180-AE181)*(1+$B$4))</f>
        <v>389805.89629711612</v>
      </c>
      <c r="AH181" s="18">
        <f>IF($A181&gt;'1-Input'!$B$26,AF181,AF181-'P-Parametri'!$B$8*(AG181+AF181)+MIN(MAX(AG181,0),'P-Parametri'!$B$8*(AG181+AF181)))</f>
        <v>16865.404770046734</v>
      </c>
      <c r="AI181" s="18">
        <f>IF($A181&gt;'1-Input'!$B$26,AG181,AG181-MIN(MAX(AG181,0),'P-Parametri'!$B$8*(AG181+AF181)))</f>
        <v>388992.55369498179</v>
      </c>
      <c r="AJ181" s="18">
        <f>IF($A181&gt;'1-Input'!$B$26,AJ180,AJ180-AE181*(1-AD181))</f>
        <v>289053.03162057465</v>
      </c>
      <c r="AK181" s="11">
        <f>IF($A181&gt;'1-Input'!$B$26,0,IF(AP180&lt;=0,0,MAX(0,(AP180-AQ180)/AP180)))</f>
        <v>0.24363870568991863</v>
      </c>
      <c r="AL181" s="18">
        <f>IF($A181&gt;'1-Input'!$B$26,0,(MAX(0,AK176-IF($A181&gt;='1-Input'!$C$12,'1-Input'!$B$12,0))-MIN(MAX(AO180,0),MAX(0,AK176-IF($A181&gt;='1-Input'!$C$12,'1-Input'!$B$12,0))))*(1/(1-'P-Parametri'!$B$6*AK181))+MIN(MAX(0,AP180-(MAX(0,AK176-IF($A181&gt;='1-Input'!$C$12,'1-Input'!$B$12,0))-MIN(MAX(AO180,0),MAX(0,AK176-IF($A181&gt;='1-Input'!$C$12,'1-Input'!$B$12,0))))*(1/(1-'P-Parametri'!$B$6*AK181))),MAX(0,1*AK176-(AO180-MIN(MAX(AO180,0),MAX(0,AK176-IF($A181&gt;='1-Input'!$C$12,'1-Input'!$B$12,0)))))*(1/(1-'P-Parametri'!$B$6*AK181))))</f>
        <v>18136.126645512293</v>
      </c>
      <c r="AM181" s="18">
        <f>IF($A181&gt;'1-Input'!$B$26,AO180,(AO180-MAX(0,AK176-IF($A181&gt;='1-Input'!$C$12,'1-Input'!$B$12,0))+AL181*(1-'P-Parametri'!$B$6*AK181))*(1+'1-Input'!$B$27))</f>
        <v>16865.404770684429</v>
      </c>
      <c r="AN181" s="18">
        <f>IF($A181&gt;'1-Input'!$B$26,AP180,(AP180-AL181)*(1+$B$4))</f>
        <v>389805.8962943115</v>
      </c>
      <c r="AO181" s="18">
        <f>IF($A181&gt;'1-Input'!$B$26,AM181,AM181-'P-Parametri'!$B$8*(AN181+AM181)+MIN(MAX(AN181,0),'P-Parametri'!$B$8*(AN181+AM181)))</f>
        <v>16865.404770684429</v>
      </c>
      <c r="AP181" s="18">
        <f>IF($A181&gt;'1-Input'!$B$26,AN181,AN181-MIN(MAX(AN181,0),'P-Parametri'!$B$8*(AN181+AM181)))</f>
        <v>388992.55369218154</v>
      </c>
      <c r="AQ181" s="18">
        <f>IF($A181&gt;'1-Input'!$B$26,AQ180,AQ180-AL181*(1-AK181))</f>
        <v>289053.03161849687</v>
      </c>
    </row>
    <row r="182" spans="1:43">
      <c r="A182" s="10">
        <f>4</f>
        <v>4</v>
      </c>
      <c r="B182" s="11">
        <f>IF($A182&gt;'1-Input'!$B$26,0,IF(G181&lt;=0,0,MAX(0,(G181-H181)/G181)))</f>
        <v>0.25692195182413968</v>
      </c>
      <c r="C182" s="18">
        <f>IF($A182&gt;'1-Input'!$B$26,0,(MAX(0,B176-IF($A182&gt;='1-Input'!$C$12,'1-Input'!$B$12,0))-MIN(MAX(F181,0),MAX(0,B176-IF($A182&gt;='1-Input'!$C$12,'1-Input'!$B$12,0))))*(1/(1-'P-Parametri'!$B$6*B182))+MIN(MAX(0,G181-(MAX(0,B176-IF($A182&gt;='1-Input'!$C$12,'1-Input'!$B$12,0))-MIN(MAX(F181,0),MAX(0,B176-IF($A182&gt;='1-Input'!$C$12,'1-Input'!$B$12,0))))*(1/(1-'P-Parametri'!$B$6*B182))),MAX(0,1*B176-(F181-MIN(MAX(F181,0),MAX(0,B176-IF($A182&gt;='1-Input'!$C$12,'1-Input'!$B$12,0)))))*(1/(1-'P-Parametri'!$B$6*B182))))</f>
        <v>17939.457636096904</v>
      </c>
      <c r="D182" s="18">
        <f>IF($A182&gt;'1-Input'!$B$26,F181,(F181-MAX(0,B176-IF($A182&gt;='1-Input'!$C$12,'1-Input'!$B$12,0))+C182*(1-'P-Parametri'!$B$6*B182))*(1+'1-Input'!$B$27))</f>
        <v>16621.00351549315</v>
      </c>
      <c r="E182" s="18">
        <f>IF($A182&gt;'1-Input'!$B$26,G181,(G181-C182)*(1+$B$4))</f>
        <v>379568.85893409047</v>
      </c>
      <c r="F182" s="18">
        <f>IF($A182&gt;'1-Input'!$B$26,D182,D182-'P-Parametri'!$B$8*(E182+D182)+MIN(MAX(E182,0),'P-Parametri'!$B$8*(E182+D182)))</f>
        <v>16621.00351549315</v>
      </c>
      <c r="G182" s="18">
        <f>IF($A182&gt;'1-Input'!$B$26,E182,E182-MIN(MAX(E182,0),'P-Parametri'!$B$8*(E182+D182)))</f>
        <v>378776.47920919128</v>
      </c>
      <c r="H182" s="18">
        <f>IF($A182&gt;'1-Input'!$B$26,H181,H181-C182*(1-B182))</f>
        <v>276518.90867164941</v>
      </c>
      <c r="I182" s="11">
        <f>IF($A182&gt;'1-Input'!$B$26,0,IF(N181&lt;=0,0,MAX(0,(N181-O181)/N181)))</f>
        <v>0.2568525763639426</v>
      </c>
      <c r="J182" s="18">
        <f>IF($A182&gt;'1-Input'!$B$26,0,(MAX(0,I176-IF($A182&gt;='1-Input'!$C$12,'1-Input'!$B$12,0))-MIN(MAX(M181,0),MAX(0,I176-IF($A182&gt;='1-Input'!$C$12,'1-Input'!$B$12,0))))*(1/(1-'P-Parametri'!$B$6*I182))+MIN(MAX(0,N181-(MAX(0,I176-IF($A182&gt;='1-Input'!$C$12,'1-Input'!$B$12,0))-MIN(MAX(M181,0),MAX(0,I176-IF($A182&gt;='1-Input'!$C$12,'1-Input'!$B$12,0))))*(1/(1-'P-Parametri'!$B$6*I182))),MAX(0,1*I176-(M181-MIN(MAX(M181,0),MAX(0,I176-IF($A182&gt;='1-Input'!$C$12,'1-Input'!$B$12,0)))))*(1/(1-'P-Parametri'!$B$6*I182))))</f>
        <v>23604.093282942471</v>
      </c>
      <c r="K182" s="18">
        <f>IF($A182&gt;'1-Input'!$B$26,M181,(M181-MAX(0,I176-IF($A182&gt;='1-Input'!$C$12,'1-Input'!$B$12,0))+J182*(1-'P-Parametri'!$B$6*I182))*(1+'1-Input'!$B$27))</f>
        <v>21869.741467754146</v>
      </c>
      <c r="L182" s="18">
        <f>IF($A182&gt;'1-Input'!$B$26,N181,(N181-J182)*(1+$B$4))</f>
        <v>350281.35242782062</v>
      </c>
      <c r="M182" s="18">
        <f>IF($A182&gt;'1-Input'!$B$26,K182,K182-'P-Parametri'!$B$8*(L182+K182)+MIN(MAX(L182,0),'P-Parametri'!$B$8*(L182+K182)))</f>
        <v>21869.741467754146</v>
      </c>
      <c r="N182" s="18">
        <f>IF($A182&gt;'1-Input'!$B$26,L182,L182-MIN(MAX(L182,0),'P-Parametri'!$B$8*(L182+K182)))</f>
        <v>349537.05024002946</v>
      </c>
      <c r="O182" s="18">
        <f>IF($A182&gt;'1-Input'!$B$26,O181,O181-J182*(1-I182))</f>
        <v>255206.55353381249</v>
      </c>
      <c r="P182" s="11">
        <f>IF($A182&gt;'1-Input'!$B$26,0,IF(U181&lt;=0,0,MAX(0,(U181-V181)/U181)))</f>
        <v>0.25691895564697037</v>
      </c>
      <c r="Q182" s="18">
        <f>IF($A182&gt;'1-Input'!$B$26,0,(MAX(0,P176-IF($A182&gt;='1-Input'!$C$12,'1-Input'!$B$12,0))-MIN(MAX(T181,0),MAX(0,P176-IF($A182&gt;='1-Input'!$C$12,'1-Input'!$B$12,0))))*(1/(1-'P-Parametri'!$B$6*P182))+MIN(MAX(0,U181-(MAX(0,P176-IF($A182&gt;='1-Input'!$C$12,'1-Input'!$B$12,0))-MIN(MAX(T181,0),MAX(0,P176-IF($A182&gt;='1-Input'!$C$12,'1-Input'!$B$12,0))))*(1/(1-'P-Parametri'!$B$6*P182))),MAX(0,1*P176-(T181-MIN(MAX(T181,0),MAX(0,P176-IF($A182&gt;='1-Input'!$C$12,'1-Input'!$B$12,0)))))*(1/(1-'P-Parametri'!$B$6*P182))))</f>
        <v>18194.796193889575</v>
      </c>
      <c r="R182" s="18">
        <f>IF($A182&gt;'1-Input'!$B$26,T181,(T181-MAX(0,P176-IF($A182&gt;='1-Input'!$C$12,'1-Input'!$B$12,0))+Q182*(1-'P-Parametri'!$B$6*P182))*(1+'1-Input'!$B$27))</f>
        <v>16857.590128083157</v>
      </c>
      <c r="S182" s="18">
        <f>IF($A182&gt;'1-Input'!$B$26,U181,(U181-Q182)*(1+$B$4))</f>
        <v>378248.71531145362</v>
      </c>
      <c r="T182" s="18">
        <f>IF($A182&gt;'1-Input'!$B$26,R182,R182-'P-Parametri'!$B$8*(S182+R182)+MIN(MAX(S182,0),'P-Parametri'!$B$8*(S182+R182)))</f>
        <v>16857.590128083157</v>
      </c>
      <c r="U182" s="18">
        <f>IF($A182&gt;'1-Input'!$B$26,S182,S182-MIN(MAX(S182,0),'P-Parametri'!$B$8*(S182+R182)))</f>
        <v>377458.50270057452</v>
      </c>
      <c r="V182" s="18">
        <f>IF($A182&gt;'1-Input'!$B$26,V181,V181-Q182*(1-P182))</f>
        <v>275558.28470473207</v>
      </c>
      <c r="W182" s="11">
        <f>IF($A182&gt;'1-Input'!$B$26,0,IF(AB181&lt;=0,0,MAX(0,(AB181-AC181)/AB181)))</f>
        <v>0.25691886181948465</v>
      </c>
      <c r="X182" s="18">
        <f>IF($A182&gt;'1-Input'!$B$26,0,(MAX(0,W176-IF($A182&gt;='1-Input'!$C$12,'1-Input'!$B$12,0))-MIN(MAX(AA181,0),MAX(0,W176-IF($A182&gt;='1-Input'!$C$12,'1-Input'!$B$12,0))))*(1/(1-'P-Parametri'!$B$6*W182))+MIN(MAX(0,AB181-(MAX(0,W176-IF($A182&gt;='1-Input'!$C$12,'1-Input'!$B$12,0))-MIN(MAX(AA181,0),MAX(0,W176-IF($A182&gt;='1-Input'!$C$12,'1-Input'!$B$12,0))))*(1/(1-'P-Parametri'!$B$6*W182))),MAX(0,1*W176-(AA181-MIN(MAX(AA181,0),MAX(0,W176-IF($A182&gt;='1-Input'!$C$12,'1-Input'!$B$12,0)))))*(1/(1-'P-Parametri'!$B$6*W182))))</f>
        <v>18202.776101128176</v>
      </c>
      <c r="Y182" s="18">
        <f>IF($A182&gt;'1-Input'!$B$26,AA181,(AA181-MAX(0,W176-IF($A182&gt;='1-Input'!$C$12,'1-Input'!$B$12,0))+X182*(1-'P-Parametri'!$B$6*W182))*(1+'1-Input'!$B$27))</f>
        <v>16864.984001895245</v>
      </c>
      <c r="Z182" s="18">
        <f>IF($A182&gt;'1-Input'!$B$26,AB181,(AB181-X182)*(1+$B$4))</f>
        <v>378207.45781359571</v>
      </c>
      <c r="AA182" s="18">
        <f>IF($A182&gt;'1-Input'!$B$26,Y182,Y182-'P-Parametri'!$B$8*(Z182+Y182)+MIN(MAX(Z182,0),'P-Parametri'!$B$8*(Z182+Y182)))</f>
        <v>16864.984001895245</v>
      </c>
      <c r="AB182" s="18">
        <f>IF($A182&gt;'1-Input'!$B$26,Z182,Z182-MIN(MAX(Z182,0),'P-Parametri'!$B$8*(Z182+Y182)))</f>
        <v>377417.31292996474</v>
      </c>
      <c r="AC182" s="18">
        <f>IF($A182&gt;'1-Input'!$B$26,AC181,AC181-X182*(1-W182))</f>
        <v>275528.26296126074</v>
      </c>
      <c r="AD182" s="11">
        <f>IF($A182&gt;'1-Input'!$B$26,0,IF(AI181&lt;=0,0,MAX(0,(AI181-AJ181)/AI181)))</f>
        <v>0.25691885647963347</v>
      </c>
      <c r="AE182" s="18">
        <f>IF($A182&gt;'1-Input'!$B$26,0,(MAX(0,AD176-IF($A182&gt;='1-Input'!$C$12,'1-Input'!$B$12,0))-MIN(MAX(AH181,0),MAX(0,AD176-IF($A182&gt;='1-Input'!$C$12,'1-Input'!$B$12,0))))*(1/(1-'P-Parametri'!$B$6*AD182))+MIN(MAX(0,AI181-(MAX(0,AD176-IF($A182&gt;='1-Input'!$C$12,'1-Input'!$B$12,0))-MIN(MAX(AH181,0),MAX(0,AD176-IF($A182&gt;='1-Input'!$C$12,'1-Input'!$B$12,0))))*(1/(1-'P-Parametri'!$B$6*AD182))),MAX(0,1*AD176-(AH181-MIN(MAX(AH181,0),MAX(0,AD176-IF($A182&gt;='1-Input'!$C$12,'1-Input'!$B$12,0)))))*(1/(1-'P-Parametri'!$B$6*AD182))))</f>
        <v>18203.230219063837</v>
      </c>
      <c r="AF182" s="18">
        <f>IF($A182&gt;'1-Input'!$B$26,AH181,(AH181-MAX(0,AD176-IF($A182&gt;='1-Input'!$C$12,'1-Input'!$B$12,0))+AE182*(1-'P-Parametri'!$B$6*AD182))*(1+'1-Input'!$B$27))</f>
        <v>16865.404770046734</v>
      </c>
      <c r="AG182" s="18">
        <f>IF($A182&gt;'1-Input'!$B$26,AI181,(AI181-AE182)*(1+$B$4))</f>
        <v>378205.10994543636</v>
      </c>
      <c r="AH182" s="18">
        <f>IF($A182&gt;'1-Input'!$B$26,AF182,AF182-'P-Parametri'!$B$8*(AG182+AF182)+MIN(MAX(AG182,0),'P-Parametri'!$B$8*(AG182+AF182)))</f>
        <v>16865.404770046734</v>
      </c>
      <c r="AI182" s="18">
        <f>IF($A182&gt;'1-Input'!$B$26,AG182,AG182-MIN(MAX(AG182,0),'P-Parametri'!$B$8*(AG182+AF182)))</f>
        <v>377414.9689160054</v>
      </c>
      <c r="AJ182" s="18">
        <f>IF($A182&gt;'1-Input'!$B$26,AJ181,AJ181-AE182*(1-AD182))</f>
        <v>275526.55449362821</v>
      </c>
      <c r="AK182" s="11">
        <f>IF($A182&gt;'1-Input'!$B$26,0,IF(AP181&lt;=0,0,MAX(0,(AP181-AQ181)/AP181)))</f>
        <v>0.25691885647962565</v>
      </c>
      <c r="AL182" s="18">
        <f>IF($A182&gt;'1-Input'!$B$26,0,(MAX(0,AK176-IF($A182&gt;='1-Input'!$C$12,'1-Input'!$B$12,0))-MIN(MAX(AO181,0),MAX(0,AK176-IF($A182&gt;='1-Input'!$C$12,'1-Input'!$B$12,0))))*(1/(1-'P-Parametri'!$B$6*AK182))+MIN(MAX(0,AP181-(MAX(0,AK176-IF($A182&gt;='1-Input'!$C$12,'1-Input'!$B$12,0))-MIN(MAX(AO181,0),MAX(0,AK176-IF($A182&gt;='1-Input'!$C$12,'1-Input'!$B$12,0))))*(1/(1-'P-Parametri'!$B$6*AK182))),MAX(0,1*AK176-(AO181-MIN(MAX(AO181,0),MAX(0,AK176-IF($A182&gt;='1-Input'!$C$12,'1-Input'!$B$12,0)))))*(1/(1-'P-Parametri'!$B$6*AK182))))</f>
        <v>18203.230219752073</v>
      </c>
      <c r="AM182" s="18">
        <f>IF($A182&gt;'1-Input'!$B$26,AO181,(AO181-MAX(0,AK176-IF($A182&gt;='1-Input'!$C$12,'1-Input'!$B$12,0))+AL182*(1-'P-Parametri'!$B$6*AK182))*(1+'1-Input'!$B$27))</f>
        <v>16865.404770684429</v>
      </c>
      <c r="AN182" s="18">
        <f>IF($A182&gt;'1-Input'!$B$26,AP181,(AP181-AL182)*(1+$B$4))</f>
        <v>378205.10994187807</v>
      </c>
      <c r="AO182" s="18">
        <f>IF($A182&gt;'1-Input'!$B$26,AM182,AM182-'P-Parametri'!$B$8*(AN182+AM182)+MIN(MAX(AN182,0),'P-Parametri'!$B$8*(AN182+AM182)))</f>
        <v>16865.404770684429</v>
      </c>
      <c r="AP182" s="18">
        <f>IF($A182&gt;'1-Input'!$B$26,AN182,AN182-MIN(MAX(AN182,0),'P-Parametri'!$B$8*(AN182+AM182)))</f>
        <v>377414.96891245292</v>
      </c>
      <c r="AQ182" s="18">
        <f>IF($A182&gt;'1-Input'!$B$26,AQ181,AQ181-AL182*(1-AK182))</f>
        <v>275526.55449103884</v>
      </c>
    </row>
    <row r="183" spans="1:43">
      <c r="A183" s="10">
        <f>5</f>
        <v>5</v>
      </c>
      <c r="B183" s="11">
        <f>IF($A183&gt;'1-Input'!$B$26,0,IF(G182&lt;=0,0,MAX(0,(G182-H182)/G182)))</f>
        <v>0.2699681108790995</v>
      </c>
      <c r="C183" s="18">
        <f>IF($A183&gt;'1-Input'!$B$26,0,(MAX(0,B176-IF($A183&gt;='1-Input'!$C$12,'1-Input'!$B$12,0))-MIN(MAX(F182,0),MAX(0,B176-IF($A183&gt;='1-Input'!$C$12,'1-Input'!$B$12,0))))*(1/(1-'P-Parametri'!$B$6*B183))+MIN(MAX(0,G182-(MAX(0,B176-IF($A183&gt;='1-Input'!$C$12,'1-Input'!$B$12,0))-MIN(MAX(F182,0),MAX(0,B176-IF($A183&gt;='1-Input'!$C$12,'1-Input'!$B$12,0))))*(1/(1-'P-Parametri'!$B$6*B183))),MAX(0,1*B176-(F182-MIN(MAX(F182,0),MAX(0,B176-IF($A183&gt;='1-Input'!$C$12,'1-Input'!$B$12,0)))))*(1/(1-'P-Parametri'!$B$6*B183))))</f>
        <v>18004.901948838182</v>
      </c>
      <c r="D183" s="18">
        <f>IF($A183&gt;'1-Input'!$B$26,F182,(F182-MAX(0,B176-IF($A183&gt;='1-Input'!$C$12,'1-Input'!$B$12,0))+C183*(1-'P-Parametri'!$B$6*B183))*(1+'1-Input'!$B$27))</f>
        <v>16621.00351549315</v>
      </c>
      <c r="E183" s="18">
        <f>IF($A183&gt;'1-Input'!$B$26,G182,(G182-C183)*(1+$B$4))</f>
        <v>367987.00880556012</v>
      </c>
      <c r="F183" s="18">
        <f>IF($A183&gt;'1-Input'!$B$26,D183,D183-'P-Parametri'!$B$8*(E183+D183)+MIN(MAX(E183,0),'P-Parametri'!$B$8*(E183+D183)))</f>
        <v>16621.00351549315</v>
      </c>
      <c r="G183" s="18">
        <f>IF($A183&gt;'1-Input'!$B$26,E183,E183-MIN(MAX(E183,0),'P-Parametri'!$B$8*(E183+D183)))</f>
        <v>367217.79278091801</v>
      </c>
      <c r="H183" s="18">
        <f>IF($A183&gt;'1-Input'!$B$26,H182,H182-C183*(1-B183))</f>
        <v>263374.75608850247</v>
      </c>
      <c r="I183" s="11">
        <f>IF($A183&gt;'1-Input'!$B$26,0,IF(N182&lt;=0,0,MAX(0,(N182-O182)/N182)))</f>
        <v>0.26987266912460234</v>
      </c>
      <c r="J183" s="18">
        <f>IF($A183&gt;'1-Input'!$B$26,0,(MAX(0,I176-IF($A183&gt;='1-Input'!$C$12,'1-Input'!$B$12,0))-MIN(MAX(M182,0),MAX(0,I176-IF($A183&gt;='1-Input'!$C$12,'1-Input'!$B$12,0))))*(1/(1-'P-Parametri'!$B$6*I183))+MIN(MAX(0,N182-(MAX(0,I176-IF($A183&gt;='1-Input'!$C$12,'1-Input'!$B$12,0))-MIN(MAX(M182,0),MAX(0,I176-IF($A183&gt;='1-Input'!$C$12,'1-Input'!$B$12,0))))*(1/(1-'P-Parametri'!$B$6*I183))),MAX(0,1*I176-(M182-MIN(MAX(M182,0),MAX(0,I176-IF($A183&gt;='1-Input'!$C$12,'1-Input'!$B$12,0)))))*(1/(1-'P-Parametri'!$B$6*I183))))</f>
        <v>23690.028216148836</v>
      </c>
      <c r="K183" s="18">
        <f>IF($A183&gt;'1-Input'!$B$26,M182,(M182-MAX(0,I176-IF($A183&gt;='1-Input'!$C$12,'1-Input'!$B$12,0))+J183*(1-'P-Parametri'!$B$6*I183))*(1+'1-Input'!$B$27))</f>
        <v>21869.741467754146</v>
      </c>
      <c r="L183" s="18">
        <f>IF($A183&gt;'1-Input'!$B$26,N182,(N182-J183)*(1+$B$4))</f>
        <v>332363.96246435825</v>
      </c>
      <c r="M183" s="18">
        <f>IF($A183&gt;'1-Input'!$B$26,K183,K183-'P-Parametri'!$B$8*(L183+K183)+MIN(MAX(L183,0),'P-Parametri'!$B$8*(L183+K183)))</f>
        <v>21869.741467754146</v>
      </c>
      <c r="N183" s="18">
        <f>IF($A183&gt;'1-Input'!$B$26,L183,L183-MIN(MAX(L183,0),'P-Parametri'!$B$8*(L183+K183)))</f>
        <v>331655.49505649402</v>
      </c>
      <c r="O183" s="18">
        <f>IF($A183&gt;'1-Input'!$B$26,O182,O182-J183*(1-I183))</f>
        <v>237909.81646399287</v>
      </c>
      <c r="P183" s="11">
        <f>IF($A183&gt;'1-Input'!$B$26,0,IF(U182&lt;=0,0,MAX(0,(U182-V182)/U182)))</f>
        <v>0.26996402854031498</v>
      </c>
      <c r="Q183" s="18">
        <f>IF($A183&gt;'1-Input'!$B$26,0,(MAX(0,P176-IF($A183&gt;='1-Input'!$C$12,'1-Input'!$B$12,0))-MIN(MAX(T182,0),MAX(0,P176-IF($A183&gt;='1-Input'!$C$12,'1-Input'!$B$12,0))))*(1/(1-'P-Parametri'!$B$6*P183))+MIN(MAX(0,U182-(MAX(0,P176-IF($A183&gt;='1-Input'!$C$12,'1-Input'!$B$12,0))-MIN(MAX(T182,0),MAX(0,P176-IF($A183&gt;='1-Input'!$C$12,'1-Input'!$B$12,0))))*(1/(1-'P-Parametri'!$B$6*P183))),MAX(0,1*P176-(T182-MIN(MAX(T182,0),MAX(0,P176-IF($A183&gt;='1-Input'!$C$12,'1-Input'!$B$12,0)))))*(1/(1-'P-Parametri'!$B$6*P183))))</f>
        <v>18261.16639646098</v>
      </c>
      <c r="R183" s="18">
        <f>IF($A183&gt;'1-Input'!$B$26,T182,(T182-MAX(0,P176-IF($A183&gt;='1-Input'!$C$12,'1-Input'!$B$12,0))+Q183*(1-'P-Parametri'!$B$6*P183))*(1+'1-Input'!$B$27))</f>
        <v>16857.590128083153</v>
      </c>
      <c r="S183" s="18">
        <f>IF($A183&gt;'1-Input'!$B$26,U182,(U182-Q183)*(1+$B$4))</f>
        <v>366381.28303019586</v>
      </c>
      <c r="T183" s="18">
        <f>IF($A183&gt;'1-Input'!$B$26,R183,R183-'P-Parametri'!$B$8*(S183+R183)+MIN(MAX(S183,0),'P-Parametri'!$B$8*(S183+R183)))</f>
        <v>16857.590128083153</v>
      </c>
      <c r="U183" s="18">
        <f>IF($A183&gt;'1-Input'!$B$26,S183,S183-MIN(MAX(S183,0),'P-Parametri'!$B$8*(S183+R183)))</f>
        <v>365614.80528387928</v>
      </c>
      <c r="V183" s="18">
        <f>IF($A183&gt;'1-Input'!$B$26,V182,V182-Q183*(1-P183))</f>
        <v>262226.9763545047</v>
      </c>
      <c r="W183" s="11">
        <f>IF($A183&gt;'1-Input'!$B$26,0,IF(AB182&lt;=0,0,MAX(0,(AB182-AC182)/AB182)))</f>
        <v>0.26996390064281706</v>
      </c>
      <c r="X183" s="18">
        <f>IF($A183&gt;'1-Input'!$B$26,0,(MAX(0,W176-IF($A183&gt;='1-Input'!$C$12,'1-Input'!$B$12,0))-MIN(MAX(AA182,0),MAX(0,W176-IF($A183&gt;='1-Input'!$C$12,'1-Input'!$B$12,0))))*(1/(1-'P-Parametri'!$B$6*W183))+MIN(MAX(0,AB182-(MAX(0,W176-IF($A183&gt;='1-Input'!$C$12,'1-Input'!$B$12,0))-MIN(MAX(AA182,0),MAX(0,W176-IF($A183&gt;='1-Input'!$C$12,'1-Input'!$B$12,0))))*(1/(1-'P-Parametri'!$B$6*W183))),MAX(0,1*W176-(AA182-MIN(MAX(AA182,0),MAX(0,W176-IF($A183&gt;='1-Input'!$C$12,'1-Input'!$B$12,0)))))*(1/(1-'P-Parametri'!$B$6*W183))))</f>
        <v>18269.175236674575</v>
      </c>
      <c r="Y183" s="18">
        <f>IF($A183&gt;'1-Input'!$B$26,AA182,(AA182-MAX(0,W176-IF($A183&gt;='1-Input'!$C$12,'1-Input'!$B$12,0))+X183*(1-'P-Parametri'!$B$6*W183))*(1+'1-Input'!$B$27))</f>
        <v>16864.984001895249</v>
      </c>
      <c r="Z183" s="18">
        <f>IF($A183&gt;'1-Input'!$B$26,AB182,(AB182-X183)*(1+$B$4))</f>
        <v>366331.100447156</v>
      </c>
      <c r="AA183" s="18">
        <f>IF($A183&gt;'1-Input'!$B$26,Y183,Y183-'P-Parametri'!$B$8*(Z183+Y183)+MIN(MAX(Z183,0),'P-Parametri'!$B$8*(Z183+Y183)))</f>
        <v>16864.984001895249</v>
      </c>
      <c r="AB183" s="18">
        <f>IF($A183&gt;'1-Input'!$B$26,Z183,Z183-MIN(MAX(Z183,0),'P-Parametri'!$B$8*(Z183+Y183)))</f>
        <v>365564.70827825792</v>
      </c>
      <c r="AC183" s="18">
        <f>IF($A183&gt;'1-Input'!$B$26,AC182,AC182-X183*(1-W183))</f>
        <v>262191.10553300602</v>
      </c>
      <c r="AD183" s="11">
        <f>IF($A183&gt;'1-Input'!$B$26,0,IF(AI182&lt;=0,0,MAX(0,(AI182-AJ182)/AI182)))</f>
        <v>0.26996389336389226</v>
      </c>
      <c r="AE183" s="18">
        <f>IF($A183&gt;'1-Input'!$B$26,0,(MAX(0,AD176-IF($A183&gt;='1-Input'!$C$12,'1-Input'!$B$12,0))-MIN(MAX(AH182,0),MAX(0,AD176-IF($A183&gt;='1-Input'!$C$12,'1-Input'!$B$12,0))))*(1/(1-'P-Parametri'!$B$6*AD183))+MIN(MAX(0,AI182-(MAX(0,AD176-IF($A183&gt;='1-Input'!$C$12,'1-Input'!$B$12,0))-MIN(MAX(AH182,0),MAX(0,AD176-IF($A183&gt;='1-Input'!$C$12,'1-Input'!$B$12,0))))*(1/(1-'P-Parametri'!$B$6*AD183))),MAX(0,1*AD176-(AH182-MIN(MAX(AH182,0),MAX(0,AD176-IF($A183&gt;='1-Input'!$C$12,'1-Input'!$B$12,0)))))*(1/(1-'P-Parametri'!$B$6*AD183))))</f>
        <v>18269.631001112644</v>
      </c>
      <c r="AF183" s="18">
        <f>IF($A183&gt;'1-Input'!$B$26,AH182,(AH182-MAX(0,AD176-IF($A183&gt;='1-Input'!$C$12,'1-Input'!$B$12,0))+AE183*(1-'P-Parametri'!$B$6*AD183))*(1+'1-Input'!$B$27))</f>
        <v>16865.404770046734</v>
      </c>
      <c r="AG183" s="18">
        <f>IF($A183&gt;'1-Input'!$B$26,AI182,(AI182-AE183)*(1+$B$4))</f>
        <v>366328.24467319064</v>
      </c>
      <c r="AH183" s="18">
        <f>IF($A183&gt;'1-Input'!$B$26,AF183,AF183-'P-Parametri'!$B$8*(AG183+AF183)+MIN(MAX(AG183,0),'P-Parametri'!$B$8*(AG183+AF183)))</f>
        <v>16865.404770046734</v>
      </c>
      <c r="AI183" s="18">
        <f>IF($A183&gt;'1-Input'!$B$26,AG183,AG183-MIN(MAX(AG183,0),'P-Parametri'!$B$8*(AG183+AF183)))</f>
        <v>365561.85737430415</v>
      </c>
      <c r="AJ183" s="18">
        <f>IF($A183&gt;'1-Input'!$B$26,AJ182,AJ182-AE183*(1-AD183))</f>
        <v>262189.06420789758</v>
      </c>
      <c r="AK183" s="11">
        <f>IF($A183&gt;'1-Input'!$B$26,0,IF(AP182&lt;=0,0,MAX(0,(AP182-AQ182)/AP182)))</f>
        <v>0.26996389336388149</v>
      </c>
      <c r="AL183" s="18">
        <f>IF($A183&gt;'1-Input'!$B$26,0,(MAX(0,AK176-IF($A183&gt;='1-Input'!$C$12,'1-Input'!$B$12,0))-MIN(MAX(AO182,0),MAX(0,AK176-IF($A183&gt;='1-Input'!$C$12,'1-Input'!$B$12,0))))*(1/(1-'P-Parametri'!$B$6*AK183))+MIN(MAX(0,AP182-(MAX(0,AK176-IF($A183&gt;='1-Input'!$C$12,'1-Input'!$B$12,0))-MIN(MAX(AO182,0),MAX(0,AK176-IF($A183&gt;='1-Input'!$C$12,'1-Input'!$B$12,0))))*(1/(1-'P-Parametri'!$B$6*AK183))),MAX(0,1*AK176-(AO182-MIN(MAX(AO182,0),MAX(0,AK176-IF($A183&gt;='1-Input'!$C$12,'1-Input'!$B$12,0)))))*(1/(1-'P-Parametri'!$B$6*AK183))))</f>
        <v>18269.631001803373</v>
      </c>
      <c r="AM183" s="18">
        <f>IF($A183&gt;'1-Input'!$B$26,AO182,(AO182-MAX(0,AK176-IF($A183&gt;='1-Input'!$C$12,'1-Input'!$B$12,0))+AL183*(1-'P-Parametri'!$B$6*AK183))*(1+'1-Input'!$B$27))</f>
        <v>16865.404770684425</v>
      </c>
      <c r="AN183" s="18">
        <f>IF($A183&gt;'1-Input'!$B$26,AP182,(AP182-AL183)*(1+$B$4))</f>
        <v>366328.24466886255</v>
      </c>
      <c r="AO183" s="18">
        <f>IF($A183&gt;'1-Input'!$B$26,AM183,AM183-'P-Parametri'!$B$8*(AN183+AM183)+MIN(MAX(AN183,0),'P-Parametri'!$B$8*(AN183+AM183)))</f>
        <v>16865.404770684425</v>
      </c>
      <c r="AP183" s="18">
        <f>IF($A183&gt;'1-Input'!$B$26,AN183,AN183-MIN(MAX(AN183,0),'P-Parametri'!$B$8*(AN183+AM183)))</f>
        <v>365561.85736998345</v>
      </c>
      <c r="AQ183" s="18">
        <f>IF($A183&gt;'1-Input'!$B$26,AQ182,AQ182-AL183*(1-AK183))</f>
        <v>262189.06420480378</v>
      </c>
    </row>
    <row r="184" spans="1:43">
      <c r="A184" s="10">
        <f>6</f>
        <v>6</v>
      </c>
      <c r="B184" s="11">
        <f>IF($A184&gt;'1-Input'!$B$26,0,IF(G183&lt;=0,0,MAX(0,(G183-H183)/G183)))</f>
        <v>0.28278323854086301</v>
      </c>
      <c r="C184" s="18">
        <f>IF($A184&gt;'1-Input'!$B$26,0,(MAX(0,B176-IF($A184&gt;='1-Input'!$C$12,'1-Input'!$B$12,0))-MIN(MAX(F183,0),MAX(0,B176-IF($A184&gt;='1-Input'!$C$12,'1-Input'!$B$12,0))))*(1/(1-'P-Parametri'!$B$6*B184))+MIN(MAX(0,G183-(MAX(0,B176-IF($A184&gt;='1-Input'!$C$12,'1-Input'!$B$12,0))-MIN(MAX(F183,0),MAX(0,B176-IF($A184&gt;='1-Input'!$C$12,'1-Input'!$B$12,0))))*(1/(1-'P-Parametri'!$B$6*B184))),MAX(0,1*B176-(F183-MIN(MAX(F183,0),MAX(0,B176-IF($A184&gt;='1-Input'!$C$12,'1-Input'!$B$12,0)))))*(1/(1-'P-Parametri'!$B$6*B184))))</f>
        <v>18069.653876835495</v>
      </c>
      <c r="D184" s="18">
        <f>IF($A184&gt;'1-Input'!$B$26,F183,(F183-MAX(0,B176-IF($A184&gt;='1-Input'!$C$12,'1-Input'!$B$12,0))+C184*(1-'P-Parametri'!$B$6*B184))*(1+'1-Input'!$B$27))</f>
        <v>16621.00351549315</v>
      </c>
      <c r="E184" s="18">
        <f>IF($A184&gt;'1-Input'!$B$26,G183,(G183-C184)*(1+$B$4))</f>
        <v>356131.10168216418</v>
      </c>
      <c r="F184" s="18">
        <f>IF($A184&gt;'1-Input'!$B$26,D184,D184-'P-Parametri'!$B$8*(E184+D184)+MIN(MAX(E184,0),'P-Parametri'!$B$8*(E184+D184)))</f>
        <v>16621.00351549315</v>
      </c>
      <c r="G184" s="18">
        <f>IF($A184&gt;'1-Input'!$B$26,E184,E184-MIN(MAX(E184,0),'P-Parametri'!$B$8*(E184+D184)))</f>
        <v>355385.59747176885</v>
      </c>
      <c r="H184" s="18">
        <f>IF($A184&gt;'1-Input'!$B$26,H183,H183-C184*(1-B184))</f>
        <v>250414.89745427098</v>
      </c>
      <c r="I184" s="11">
        <f>IF($A184&gt;'1-Input'!$B$26,0,IF(N183&lt;=0,0,MAX(0,(N183-O183)/N183)))</f>
        <v>0.28265980811363478</v>
      </c>
      <c r="J184" s="18">
        <f>IF($A184&gt;'1-Input'!$B$26,0,(MAX(0,I176-IF($A184&gt;='1-Input'!$C$12,'1-Input'!$B$12,0))-MIN(MAX(M183,0),MAX(0,I176-IF($A184&gt;='1-Input'!$C$12,'1-Input'!$B$12,0))))*(1/(1-'P-Parametri'!$B$6*I184))+MIN(MAX(0,N183-(MAX(0,I176-IF($A184&gt;='1-Input'!$C$12,'1-Input'!$B$12,0))-MIN(MAX(M183,0),MAX(0,I176-IF($A184&gt;='1-Input'!$C$12,'1-Input'!$B$12,0))))*(1/(1-'P-Parametri'!$B$6*I184))),MAX(0,1*I176-(M183-MIN(MAX(M183,0),MAX(0,I176-IF($A184&gt;='1-Input'!$C$12,'1-Input'!$B$12,0)))))*(1/(1-'P-Parametri'!$B$6*I184))))</f>
        <v>23775.036828544489</v>
      </c>
      <c r="K184" s="18">
        <f>IF($A184&gt;'1-Input'!$B$26,M183,(M183-MAX(0,I176-IF($A184&gt;='1-Input'!$C$12,'1-Input'!$B$12,0))+J184*(1-'P-Parametri'!$B$6*I184))*(1+'1-Input'!$B$27))</f>
        <v>21869.741467754142</v>
      </c>
      <c r="L184" s="18">
        <f>IF($A184&gt;'1-Input'!$B$26,N183,(N183-J184)*(1+$B$4))</f>
        <v>314038.0673925085</v>
      </c>
      <c r="M184" s="18">
        <f>IF($A184&gt;'1-Input'!$B$26,K184,K184-'P-Parametri'!$B$8*(L184+K184)+MIN(MAX(L184,0),'P-Parametri'!$B$8*(L184+K184)))</f>
        <v>21869.741467754142</v>
      </c>
      <c r="N184" s="18">
        <f>IF($A184&gt;'1-Input'!$B$26,L184,L184-MIN(MAX(L184,0),'P-Parametri'!$B$8*(L184+K184)))</f>
        <v>313366.25177478796</v>
      </c>
      <c r="O184" s="18">
        <f>IF($A184&gt;'1-Input'!$B$26,O183,O183-J184*(1-I184))</f>
        <v>220855.02698329938</v>
      </c>
      <c r="P184" s="11">
        <f>IF($A184&gt;'1-Input'!$B$26,0,IF(U183&lt;=0,0,MAX(0,(U183-V183)/U183)))</f>
        <v>0.28277801510007167</v>
      </c>
      <c r="Q184" s="18">
        <f>IF($A184&gt;'1-Input'!$B$26,0,(MAX(0,P176-IF($A184&gt;='1-Input'!$C$12,'1-Input'!$B$12,0))-MIN(MAX(T183,0),MAX(0,P176-IF($A184&gt;='1-Input'!$C$12,'1-Input'!$B$12,0))))*(1/(1-'P-Parametri'!$B$6*P184))+MIN(MAX(0,U183-(MAX(0,P176-IF($A184&gt;='1-Input'!$C$12,'1-Input'!$B$12,0))-MIN(MAX(T183,0),MAX(0,P176-IF($A184&gt;='1-Input'!$C$12,'1-Input'!$B$12,0))))*(1/(1-'P-Parametri'!$B$6*P184))),MAX(0,1*P176-(T183-MIN(MAX(T183,0),MAX(0,P176-IF($A184&gt;='1-Input'!$C$12,'1-Input'!$B$12,0)))))*(1/(1-'P-Parametri'!$B$6*P184))))</f>
        <v>18326.833997035279</v>
      </c>
      <c r="R184" s="18">
        <f>IF($A184&gt;'1-Input'!$B$26,T183,(T183-MAX(0,P176-IF($A184&gt;='1-Input'!$C$12,'1-Input'!$B$12,0))+Q184*(1-'P-Parametri'!$B$6*P184))*(1+'1-Input'!$B$27))</f>
        <v>16857.590128083153</v>
      </c>
      <c r="S184" s="18">
        <f>IF($A184&gt;'1-Input'!$B$26,U183,(U183-Q184)*(1+$B$4))</f>
        <v>354233.7307125809</v>
      </c>
      <c r="T184" s="18">
        <f>IF($A184&gt;'1-Input'!$B$26,R184,R184-'P-Parametri'!$B$8*(S184+R184)+MIN(MAX(S184,0),'P-Parametri'!$B$8*(S184+R184)))</f>
        <v>16857.590128083153</v>
      </c>
      <c r="U184" s="18">
        <f>IF($A184&gt;'1-Input'!$B$26,S184,S184-MIN(MAX(S184,0),'P-Parametri'!$B$8*(S184+R184)))</f>
        <v>353491.54807089956</v>
      </c>
      <c r="V184" s="18">
        <f>IF($A184&gt;'1-Input'!$B$26,V183,V183-Q184*(1-P184))</f>
        <v>249082.56809821958</v>
      </c>
      <c r="W184" s="11">
        <f>IF($A184&gt;'1-Input'!$B$26,0,IF(AB183&lt;=0,0,MAX(0,(AB183-AC183)/AB183)))</f>
        <v>0.28277785137444594</v>
      </c>
      <c r="X184" s="18">
        <f>IF($A184&gt;'1-Input'!$B$26,0,(MAX(0,W176-IF($A184&gt;='1-Input'!$C$12,'1-Input'!$B$12,0))-MIN(MAX(AA183,0),MAX(0,W176-IF($A184&gt;='1-Input'!$C$12,'1-Input'!$B$12,0))))*(1/(1-'P-Parametri'!$B$6*W184))+MIN(MAX(0,AB183-(MAX(0,W176-IF($A184&gt;='1-Input'!$C$12,'1-Input'!$B$12,0))-MIN(MAX(AA183,0),MAX(0,W176-IF($A184&gt;='1-Input'!$C$12,'1-Input'!$B$12,0))))*(1/(1-'P-Parametri'!$B$6*W184))),MAX(0,1*W176-(AA183-MIN(MAX(AA183,0),MAX(0,W176-IF($A184&gt;='1-Input'!$C$12,'1-Input'!$B$12,0)))))*(1/(1-'P-Parametri'!$B$6*W184))))</f>
        <v>18334.871450527164</v>
      </c>
      <c r="Y184" s="18">
        <f>IF($A184&gt;'1-Input'!$B$26,AA183,(AA183-MAX(0,W176-IF($A184&gt;='1-Input'!$C$12,'1-Input'!$B$12,0))+X184*(1-'P-Parametri'!$B$6*W184))*(1+'1-Input'!$B$27))</f>
        <v>16864.984001895245</v>
      </c>
      <c r="Z184" s="18">
        <f>IF($A184&gt;'1-Input'!$B$26,AB183,(AB183-X184)*(1+$B$4))</f>
        <v>354174.4335642854</v>
      </c>
      <c r="AA184" s="18">
        <f>IF($A184&gt;'1-Input'!$B$26,Y184,Y184-'P-Parametri'!$B$8*(Z184+Y184)+MIN(MAX(Z184,0),'P-Parametri'!$B$8*(Z184+Y184)))</f>
        <v>16864.984001895245</v>
      </c>
      <c r="AB184" s="18">
        <f>IF($A184&gt;'1-Input'!$B$26,Z184,Z184-MIN(MAX(Z184,0),'P-Parametri'!$B$8*(Z184+Y184)))</f>
        <v>353432.35472915304</v>
      </c>
      <c r="AC184" s="18">
        <f>IF($A184&gt;'1-Input'!$B$26,AC183,AC183-X184*(1-W184))</f>
        <v>249040.92963648558</v>
      </c>
      <c r="AD184" s="11">
        <f>IF($A184&gt;'1-Input'!$B$26,0,IF(AI183&lt;=0,0,MAX(0,(AI183-AJ183)/AI183)))</f>
        <v>0.28277784205632167</v>
      </c>
      <c r="AE184" s="18">
        <f>IF($A184&gt;'1-Input'!$B$26,0,(MAX(0,AD176-IF($A184&gt;='1-Input'!$C$12,'1-Input'!$B$12,0))-MIN(MAX(AH183,0),MAX(0,AD176-IF($A184&gt;='1-Input'!$C$12,'1-Input'!$B$12,0))))*(1/(1-'P-Parametri'!$B$6*AD184))+MIN(MAX(0,AI183-(MAX(0,AD176-IF($A184&gt;='1-Input'!$C$12,'1-Input'!$B$12,0))-MIN(MAX(AH183,0),MAX(0,AD176-IF($A184&gt;='1-Input'!$C$12,'1-Input'!$B$12,0))))*(1/(1-'P-Parametri'!$B$6*AD184))),MAX(0,1*AD176-(AH183-MIN(MAX(AH183,0),MAX(0,AD176-IF($A184&gt;='1-Input'!$C$12,'1-Input'!$B$12,0)))))*(1/(1-'P-Parametri'!$B$6*AD184))))</f>
        <v>18335.328843273754</v>
      </c>
      <c r="AF184" s="18">
        <f>IF($A184&gt;'1-Input'!$B$26,AH183,(AH183-MAX(0,AD176-IF($A184&gt;='1-Input'!$C$12,'1-Input'!$B$12,0))+AE184*(1-'P-Parametri'!$B$6*AD184))*(1+'1-Input'!$B$27))</f>
        <v>16865.404770046738</v>
      </c>
      <c r="AG184" s="18">
        <f>IF($A184&gt;'1-Input'!$B$26,AI183,(AI183-AE184)*(1+$B$4))</f>
        <v>354171.05910165102</v>
      </c>
      <c r="AH184" s="18">
        <f>IF($A184&gt;'1-Input'!$B$26,AF184,AF184-'P-Parametri'!$B$8*(AG184+AF184)+MIN(MAX(AG184,0),'P-Parametri'!$B$8*(AG184+AF184)))</f>
        <v>16865.404770046738</v>
      </c>
      <c r="AI184" s="18">
        <f>IF($A184&gt;'1-Input'!$B$26,AG184,AG184-MIN(MAX(AG184,0),'P-Parametri'!$B$8*(AG184+AF184)))</f>
        <v>353428.98617390764</v>
      </c>
      <c r="AJ184" s="18">
        <f>IF($A184&gt;'1-Input'!$B$26,AJ183,AJ183-AE184*(1-AD184))</f>
        <v>249038.56008831781</v>
      </c>
      <c r="AK184" s="11">
        <f>IF($A184&gt;'1-Input'!$B$26,0,IF(AP183&lt;=0,0,MAX(0,(AP183-AQ183)/AP183)))</f>
        <v>0.28277784205630774</v>
      </c>
      <c r="AL184" s="18">
        <f>IF($A184&gt;'1-Input'!$B$26,0,(MAX(0,AK176-IF($A184&gt;='1-Input'!$C$12,'1-Input'!$B$12,0))-MIN(MAX(AO183,0),MAX(0,AK176-IF($A184&gt;='1-Input'!$C$12,'1-Input'!$B$12,0))))*(1/(1-'P-Parametri'!$B$6*AK184))+MIN(MAX(0,AP183-(MAX(0,AK176-IF($A184&gt;='1-Input'!$C$12,'1-Input'!$B$12,0))-MIN(MAX(AO183,0),MAX(0,AK176-IF($A184&gt;='1-Input'!$C$12,'1-Input'!$B$12,0))))*(1/(1-'P-Parametri'!$B$6*AK184))),MAX(0,1*AK176-(AO183-MIN(MAX(AO183,0),MAX(0,AK176-IF($A184&gt;='1-Input'!$C$12,'1-Input'!$B$12,0)))))*(1/(1-'P-Parametri'!$B$6*AK184))))</f>
        <v>18335.328843966956</v>
      </c>
      <c r="AM184" s="18">
        <f>IF($A184&gt;'1-Input'!$B$26,AO183,(AO183-MAX(0,AK176-IF($A184&gt;='1-Input'!$C$12,'1-Input'!$B$12,0))+AL184*(1-'P-Parametri'!$B$6*AK184))*(1+'1-Input'!$B$27))</f>
        <v>16865.404770684429</v>
      </c>
      <c r="AN184" s="18">
        <f>IF($A184&gt;'1-Input'!$B$26,AP183,(AP183-AL184)*(1+$B$4))</f>
        <v>354171.05909653683</v>
      </c>
      <c r="AO184" s="18">
        <f>IF($A184&gt;'1-Input'!$B$26,AM184,AM184-'P-Parametri'!$B$8*(AN184+AM184)+MIN(MAX(AN184,0),'P-Parametri'!$B$8*(AN184+AM184)))</f>
        <v>16865.404770684429</v>
      </c>
      <c r="AP184" s="18">
        <f>IF($A184&gt;'1-Input'!$B$26,AN184,AN184-MIN(MAX(AN184,0),'P-Parametri'!$B$8*(AN184+AM184)))</f>
        <v>353428.98616880237</v>
      </c>
      <c r="AQ184" s="18">
        <f>IF($A184&gt;'1-Input'!$B$26,AQ183,AQ183-AL184*(1-AK184))</f>
        <v>249038.56008472657</v>
      </c>
    </row>
    <row r="185" spans="1:43">
      <c r="A185" s="10">
        <f>7</f>
        <v>7</v>
      </c>
      <c r="B185" s="11">
        <f>IF($A185&gt;'1-Input'!$B$26,0,IF(G184&lt;=0,0,MAX(0,(G184-H184)/G184)))</f>
        <v>0.29537128337294688</v>
      </c>
      <c r="C185" s="18">
        <f>IF($A185&gt;'1-Input'!$B$26,0,(MAX(0,B176-IF($A185&gt;='1-Input'!$C$12,'1-Input'!$B$12,0))-MIN(MAX(F184,0),MAX(0,B176-IF($A185&gt;='1-Input'!$C$12,'1-Input'!$B$12,0))))*(1/(1-'P-Parametri'!$B$6*B185))+MIN(MAX(0,G184-(MAX(0,B176-IF($A185&gt;='1-Input'!$C$12,'1-Input'!$B$12,0))-MIN(MAX(F184,0),MAX(0,B176-IF($A185&gt;='1-Input'!$C$12,'1-Input'!$B$12,0))))*(1/(1-'P-Parametri'!$B$6*B185))),MAX(0,1*B176-(F184-MIN(MAX(F184,0),MAX(0,B176-IF($A185&gt;='1-Input'!$C$12,'1-Input'!$B$12,0)))))*(1/(1-'P-Parametri'!$B$6*B185))))</f>
        <v>18133.713449360741</v>
      </c>
      <c r="D185" s="18">
        <f>IF($A185&gt;'1-Input'!$B$26,F184,(F184-MAX(0,B176-IF($A185&gt;='1-Input'!$C$12,'1-Input'!$B$12,0))+C185*(1-'P-Parametri'!$B$6*B185))*(1+'1-Input'!$B$27))</f>
        <v>16621.00351549315</v>
      </c>
      <c r="E185" s="18">
        <f>IF($A185&gt;'1-Input'!$B$26,G184,(G184-C185)*(1+$B$4))</f>
        <v>343996.92170285626</v>
      </c>
      <c r="F185" s="18">
        <f>IF($A185&gt;'1-Input'!$B$26,D185,D185-'P-Parametri'!$B$8*(E185+D185)+MIN(MAX(E185,0),'P-Parametri'!$B$8*(E185+D185)))</f>
        <v>16621.00351549315</v>
      </c>
      <c r="G185" s="18">
        <f>IF($A185&gt;'1-Input'!$B$26,E185,E185-MIN(MAX(E185,0),'P-Parametri'!$B$8*(E185+D185)))</f>
        <v>343275.68585241958</v>
      </c>
      <c r="H185" s="18">
        <f>IF($A185&gt;'1-Input'!$B$26,H184,H184-C185*(1-B185))</f>
        <v>237637.36221876519</v>
      </c>
      <c r="I185" s="11">
        <f>IF($A185&gt;'1-Input'!$B$26,0,IF(N184&lt;=0,0,MAX(0,(N184-O184)/N184)))</f>
        <v>0.29521757453950442</v>
      </c>
      <c r="J185" s="18">
        <f>IF($A185&gt;'1-Input'!$B$26,0,(MAX(0,I176-IF($A185&gt;='1-Input'!$C$12,'1-Input'!$B$12,0))-MIN(MAX(M184,0),MAX(0,I176-IF($A185&gt;='1-Input'!$C$12,'1-Input'!$B$12,0))))*(1/(1-'P-Parametri'!$B$6*I185))+MIN(MAX(0,N184-(MAX(0,I176-IF($A185&gt;='1-Input'!$C$12,'1-Input'!$B$12,0))-MIN(MAX(M184,0),MAX(0,I176-IF($A185&gt;='1-Input'!$C$12,'1-Input'!$B$12,0))))*(1/(1-'P-Parametri'!$B$6*I185))),MAX(0,1*I176-(M184-MIN(MAX(M184,0),MAX(0,I176-IF($A185&gt;='1-Input'!$C$12,'1-Input'!$B$12,0)))))*(1/(1-'P-Parametri'!$B$6*I185))))</f>
        <v>23859.116444854702</v>
      </c>
      <c r="K185" s="18">
        <f>IF($A185&gt;'1-Input'!$B$26,M184,(M184-MAX(0,I176-IF($A185&gt;='1-Input'!$C$12,'1-Input'!$B$12,0))+J185*(1-'P-Parametri'!$B$6*I185))*(1+'1-Input'!$B$27))</f>
        <v>21869.741467754149</v>
      </c>
      <c r="L185" s="18">
        <f>IF($A185&gt;'1-Input'!$B$26,N184,(N184-J185)*(1+$B$4))</f>
        <v>295297.27803653193</v>
      </c>
      <c r="M185" s="18">
        <f>IF($A185&gt;'1-Input'!$B$26,K185,K185-'P-Parametri'!$B$8*(L185+K185)+MIN(MAX(L185,0),'P-Parametri'!$B$8*(L185+K185)))</f>
        <v>21869.741467754149</v>
      </c>
      <c r="N185" s="18">
        <f>IF($A185&gt;'1-Input'!$B$26,L185,L185-MIN(MAX(L185,0),'P-Parametri'!$B$8*(L185+K185)))</f>
        <v>294662.94399752334</v>
      </c>
      <c r="O185" s="18">
        <f>IF($A185&gt;'1-Input'!$B$26,O184,O184-J185*(1-I185))</f>
        <v>204039.54102595028</v>
      </c>
      <c r="P185" s="11">
        <f>IF($A185&gt;'1-Input'!$B$26,0,IF(U184&lt;=0,0,MAX(0,(U184-V184)/U184)))</f>
        <v>0.29536485537622742</v>
      </c>
      <c r="Q185" s="18">
        <f>IF($A185&gt;'1-Input'!$B$26,0,(MAX(0,P176-IF($A185&gt;='1-Input'!$C$12,'1-Input'!$B$12,0))-MIN(MAX(T184,0),MAX(0,P176-IF($A185&gt;='1-Input'!$C$12,'1-Input'!$B$12,0))))*(1/(1-'P-Parametri'!$B$6*P185))+MIN(MAX(0,U184-(MAX(0,P176-IF($A185&gt;='1-Input'!$C$12,'1-Input'!$B$12,0))-MIN(MAX(T184,0),MAX(0,P176-IF($A185&gt;='1-Input'!$C$12,'1-Input'!$B$12,0))))*(1/(1-'P-Parametri'!$B$6*P185))),MAX(0,1*P176-(T184-MIN(MAX(T184,0),MAX(0,P176-IF($A185&gt;='1-Input'!$C$12,'1-Input'!$B$12,0)))))*(1/(1-'P-Parametri'!$B$6*P185))))</f>
        <v>18391.79897605471</v>
      </c>
      <c r="R185" s="18">
        <f>IF($A185&gt;'1-Input'!$B$26,T184,(T184-MAX(0,P176-IF($A185&gt;='1-Input'!$C$12,'1-Input'!$B$12,0))+Q185*(1-'P-Parametri'!$B$6*P185))*(1+'1-Input'!$B$27))</f>
        <v>16857.590128083149</v>
      </c>
      <c r="S185" s="18">
        <f>IF($A185&gt;'1-Input'!$B$26,U184,(U184-Q185)*(1+$B$4))</f>
        <v>341801.74407674174</v>
      </c>
      <c r="T185" s="18">
        <f>IF($A185&gt;'1-Input'!$B$26,R185,R185-'P-Parametri'!$B$8*(S185+R185)+MIN(MAX(S185,0),'P-Parametri'!$B$8*(S185+R185)))</f>
        <v>16857.590128083149</v>
      </c>
      <c r="U185" s="18">
        <f>IF($A185&gt;'1-Input'!$B$26,S185,S185-MIN(MAX(S185,0),'P-Parametri'!$B$8*(S185+R185)))</f>
        <v>341084.42540833208</v>
      </c>
      <c r="V185" s="18">
        <f>IF($A185&gt;'1-Input'!$B$26,V184,V184-Q185*(1-P185))</f>
        <v>236123.0601668359</v>
      </c>
      <c r="W185" s="11">
        <f>IF($A185&gt;'1-Input'!$B$26,0,IF(AB184&lt;=0,0,MAX(0,(AB184-AC184)/AB184)))</f>
        <v>0.29536465378973603</v>
      </c>
      <c r="X185" s="18">
        <f>IF($A185&gt;'1-Input'!$B$26,0,(MAX(0,W176-IF($A185&gt;='1-Input'!$C$12,'1-Input'!$B$12,0))-MIN(MAX(AA184,0),MAX(0,W176-IF($A185&gt;='1-Input'!$C$12,'1-Input'!$B$12,0))))*(1/(1-'P-Parametri'!$B$6*W185))+MIN(MAX(0,AB184-(MAX(0,W176-IF($A185&gt;='1-Input'!$C$12,'1-Input'!$B$12,0))-MIN(MAX(AA184,0),MAX(0,W176-IF($A185&gt;='1-Input'!$C$12,'1-Input'!$B$12,0))))*(1/(1-'P-Parametri'!$B$6*W185))),MAX(0,1*W176-(AA184-MIN(MAX(AA184,0),MAX(0,W176-IF($A185&gt;='1-Input'!$C$12,'1-Input'!$B$12,0)))))*(1/(1-'P-Parametri'!$B$6*W185))))</f>
        <v>18399.864721531208</v>
      </c>
      <c r="Y185" s="18">
        <f>IF($A185&gt;'1-Input'!$B$26,AA184,(AA184-MAX(0,W176-IF($A185&gt;='1-Input'!$C$12,'1-Input'!$B$12,0))+X185*(1-'P-Parametri'!$B$6*W185))*(1+'1-Input'!$B$27))</f>
        <v>16864.984001895245</v>
      </c>
      <c r="Z185" s="18">
        <f>IF($A185&gt;'1-Input'!$B$26,AB184,(AB184-X185)*(1+$B$4))</f>
        <v>341733.13980777428</v>
      </c>
      <c r="AA185" s="18">
        <f>IF($A185&gt;'1-Input'!$B$26,Y185,Y185-'P-Parametri'!$B$8*(Z185+Y185)+MIN(MAX(Z185,0),'P-Parametri'!$B$8*(Z185+Y185)))</f>
        <v>16864.984001895245</v>
      </c>
      <c r="AB185" s="18">
        <f>IF($A185&gt;'1-Input'!$B$26,Z185,Z185-MIN(MAX(Z185,0),'P-Parametri'!$B$8*(Z185+Y185)))</f>
        <v>341015.94356015493</v>
      </c>
      <c r="AC185" s="18">
        <f>IF($A185&gt;'1-Input'!$B$26,AC184,AC184-X185*(1-W185))</f>
        <v>236075.73458820742</v>
      </c>
      <c r="AD185" s="11">
        <f>IF($A185&gt;'1-Input'!$B$26,0,IF(AI184&lt;=0,0,MAX(0,(AI184-AJ184)/AI184)))</f>
        <v>0.29536464231664256</v>
      </c>
      <c r="AE185" s="18">
        <f>IF($A185&gt;'1-Input'!$B$26,0,(MAX(0,AD176-IF($A185&gt;='1-Input'!$C$12,'1-Input'!$B$12,0))-MIN(MAX(AH184,0),MAX(0,AD176-IF($A185&gt;='1-Input'!$C$12,'1-Input'!$B$12,0))))*(1/(1-'P-Parametri'!$B$6*AD185))+MIN(MAX(0,AI184-(MAX(0,AD176-IF($A185&gt;='1-Input'!$C$12,'1-Input'!$B$12,0))-MIN(MAX(AH184,0),MAX(0,AD176-IF($A185&gt;='1-Input'!$C$12,'1-Input'!$B$12,0))))*(1/(1-'P-Parametri'!$B$6*AD185))),MAX(0,1*AD176-(AH184-MIN(MAX(AH184,0),MAX(0,AD176-IF($A185&gt;='1-Input'!$C$12,'1-Input'!$B$12,0)))))*(1/(1-'P-Parametri'!$B$6*AD185))))</f>
        <v>18400.323724301375</v>
      </c>
      <c r="AF185" s="18">
        <f>IF($A185&gt;'1-Input'!$B$26,AH184,(AH184-MAX(0,AD176-IF($A185&gt;='1-Input'!$C$12,'1-Input'!$B$12,0))+AE185*(1-'P-Parametri'!$B$6*AD185))*(1+'1-Input'!$B$27))</f>
        <v>16865.404770046734</v>
      </c>
      <c r="AG185" s="18">
        <f>IF($A185&gt;'1-Input'!$B$26,AI184,(AI184-AE185)*(1+$B$4))</f>
        <v>341729.23569859844</v>
      </c>
      <c r="AH185" s="18">
        <f>IF($A185&gt;'1-Input'!$B$26,AF185,AF185-'P-Parametri'!$B$8*(AG185+AF185)+MIN(MAX(AG185,0),'P-Parametri'!$B$8*(AG185+AF185)))</f>
        <v>16865.404770046734</v>
      </c>
      <c r="AI185" s="18">
        <f>IF($A185&gt;'1-Input'!$B$26,AG185,AG185-MIN(MAX(AG185,0),'P-Parametri'!$B$8*(AG185+AF185)))</f>
        <v>341012.04641766113</v>
      </c>
      <c r="AJ185" s="18">
        <f>IF($A185&gt;'1-Input'!$B$26,AJ184,AJ184-AE185*(1-AD185))</f>
        <v>236073.04139935513</v>
      </c>
      <c r="AK185" s="11">
        <f>IF($A185&gt;'1-Input'!$B$26,0,IF(AP184&lt;=0,0,MAX(0,(AP184-AQ184)/AP184)))</f>
        <v>0.29536464231662524</v>
      </c>
      <c r="AL185" s="18">
        <f>IF($A185&gt;'1-Input'!$B$26,0,(MAX(0,AK176-IF($A185&gt;='1-Input'!$C$12,'1-Input'!$B$12,0))-MIN(MAX(AO184,0),MAX(0,AK176-IF($A185&gt;='1-Input'!$C$12,'1-Input'!$B$12,0))))*(1/(1-'P-Parametri'!$B$6*AK185))+MIN(MAX(0,AP184-(MAX(0,AK176-IF($A185&gt;='1-Input'!$C$12,'1-Input'!$B$12,0))-MIN(MAX(AO184,0),MAX(0,AK176-IF($A185&gt;='1-Input'!$C$12,'1-Input'!$B$12,0))))*(1/(1-'P-Parametri'!$B$6*AK185))),MAX(0,1*AK176-(AO184-MIN(MAX(AO184,0),MAX(0,AK176-IF($A185&gt;='1-Input'!$C$12,'1-Input'!$B$12,0)))))*(1/(1-'P-Parametri'!$B$6*AK185))))</f>
        <v>18400.323724997019</v>
      </c>
      <c r="AM185" s="18">
        <f>IF($A185&gt;'1-Input'!$B$26,AO184,(AO184-MAX(0,AK176-IF($A185&gt;='1-Input'!$C$12,'1-Input'!$B$12,0))+AL185*(1-'P-Parametri'!$B$6*AK185))*(1+'1-Input'!$B$27))</f>
        <v>16865.404770684429</v>
      </c>
      <c r="AN185" s="18">
        <f>IF($A185&gt;'1-Input'!$B$26,AP184,(AP184-AL185)*(1+$B$4))</f>
        <v>341729.23569268151</v>
      </c>
      <c r="AO185" s="18">
        <f>IF($A185&gt;'1-Input'!$B$26,AM185,AM185-'P-Parametri'!$B$8*(AN185+AM185)+MIN(MAX(AN185,0),'P-Parametri'!$B$8*(AN185+AM185)))</f>
        <v>16865.404770684429</v>
      </c>
      <c r="AP185" s="18">
        <f>IF($A185&gt;'1-Input'!$B$26,AN185,AN185-MIN(MAX(AN185,0),'P-Parametri'!$B$8*(AN185+AM185)))</f>
        <v>341012.0464117548</v>
      </c>
      <c r="AQ185" s="18">
        <f>IF($A185&gt;'1-Input'!$B$26,AQ184,AQ184-AL185*(1-AK185))</f>
        <v>236073.04139527341</v>
      </c>
    </row>
    <row r="186" spans="1:43">
      <c r="A186" s="10">
        <f>8</f>
        <v>8</v>
      </c>
      <c r="B186" s="11">
        <f>IF($A186&gt;'1-Input'!$B$26,0,IF(G185&lt;=0,0,MAX(0,(G185-H185)/G185)))</f>
        <v>0.30773610828665043</v>
      </c>
      <c r="C186" s="18">
        <f>IF($A186&gt;'1-Input'!$B$26,0,(MAX(0,B176-IF($A186&gt;='1-Input'!$C$12,'1-Input'!$B$12,0))-MIN(MAX(F185,0),MAX(0,B176-IF($A186&gt;='1-Input'!$C$12,'1-Input'!$B$12,0))))*(1/(1-'P-Parametri'!$B$6*B186))+MIN(MAX(0,G185-(MAX(0,B176-IF($A186&gt;='1-Input'!$C$12,'1-Input'!$B$12,0))-MIN(MAX(F185,0),MAX(0,B176-IF($A186&gt;='1-Input'!$C$12,'1-Input'!$B$12,0))))*(1/(1-'P-Parametri'!$B$6*B186))),MAX(0,1*B176-(F185-MIN(MAX(F185,0),MAX(0,B176-IF($A186&gt;='1-Input'!$C$12,'1-Input'!$B$12,0)))))*(1/(1-'P-Parametri'!$B$6*B186))))</f>
        <v>18197.080809702926</v>
      </c>
      <c r="D186" s="18">
        <f>IF($A186&gt;'1-Input'!$B$26,F185,(F185-MAX(0,B176-IF($A186&gt;='1-Input'!$C$12,'1-Input'!$B$12,0))+C186*(1-'P-Parametri'!$B$6*B186))*(1+'1-Input'!$B$27))</f>
        <v>16621.003515493147</v>
      </c>
      <c r="E186" s="18">
        <f>IF($A186&gt;'1-Input'!$B$26,G185,(G185-C186)*(1+$B$4))</f>
        <v>331580.17714357103</v>
      </c>
      <c r="F186" s="18">
        <f>IF($A186&gt;'1-Input'!$B$26,D186,D186-'P-Parametri'!$B$8*(E186+D186)+MIN(MAX(E186,0),'P-Parametri'!$B$8*(E186+D186)))</f>
        <v>16621.003515493147</v>
      </c>
      <c r="G186" s="18">
        <f>IF($A186&gt;'1-Input'!$B$26,E186,E186-MIN(MAX(E186,0),'P-Parametri'!$B$8*(E186+D186)))</f>
        <v>330883.77478225291</v>
      </c>
      <c r="H186" s="18">
        <f>IF($A186&gt;'1-Input'!$B$26,H185,H185-C186*(1-B186))</f>
        <v>225040.18023961794</v>
      </c>
      <c r="I186" s="11">
        <f>IF($A186&gt;'1-Input'!$B$26,0,IF(N185&lt;=0,0,MAX(0,(N185-O185)/N185)))</f>
        <v>0.30754937062033411</v>
      </c>
      <c r="J186" s="18">
        <f>IF($A186&gt;'1-Input'!$B$26,0,(MAX(0,I176-IF($A186&gt;='1-Input'!$C$12,'1-Input'!$B$12,0))-MIN(MAX(M185,0),MAX(0,I176-IF($A186&gt;='1-Input'!$C$12,'1-Input'!$B$12,0))))*(1/(1-'P-Parametri'!$B$6*I186))+MIN(MAX(0,N185-(MAX(0,I176-IF($A186&gt;='1-Input'!$C$12,'1-Input'!$B$12,0))-MIN(MAX(M185,0),MAX(0,I176-IF($A186&gt;='1-Input'!$C$12,'1-Input'!$B$12,0))))*(1/(1-'P-Parametri'!$B$6*I186))),MAX(0,1*I176-(M185-MIN(MAX(M185,0),MAX(0,I176-IF($A186&gt;='1-Input'!$C$12,'1-Input'!$B$12,0)))))*(1/(1-'P-Parametri'!$B$6*I186))))</f>
        <v>23942.263843978002</v>
      </c>
      <c r="K186" s="18">
        <f>IF($A186&gt;'1-Input'!$B$26,M185,(M185-MAX(0,I176-IF($A186&gt;='1-Input'!$C$12,'1-Input'!$B$12,0))+J186*(1-'P-Parametri'!$B$6*I186))*(1+'1-Input'!$B$27))</f>
        <v>21869.741467754146</v>
      </c>
      <c r="L186" s="18">
        <f>IF($A186&gt;'1-Input'!$B$26,N185,(N185-J186)*(1+$B$4))</f>
        <v>276135.09375661623</v>
      </c>
      <c r="M186" s="18">
        <f>IF($A186&gt;'1-Input'!$B$26,K186,K186-'P-Parametri'!$B$8*(L186+K186)+MIN(MAX(L186,0),'P-Parametri'!$B$8*(L186+K186)))</f>
        <v>21869.741467754146</v>
      </c>
      <c r="N186" s="18">
        <f>IF($A186&gt;'1-Input'!$B$26,L186,L186-MIN(MAX(L186,0),'P-Parametri'!$B$8*(L186+K186)))</f>
        <v>275539.08408616751</v>
      </c>
      <c r="O186" s="18">
        <f>IF($A186&gt;'1-Input'!$B$26,O185,O185-J186*(1-I186))</f>
        <v>187460.70535841369</v>
      </c>
      <c r="P186" s="11">
        <f>IF($A186&gt;'1-Input'!$B$26,0,IF(U185&lt;=0,0,MAX(0,(U185-V185)/U185)))</f>
        <v>0.30772840218617664</v>
      </c>
      <c r="Q186" s="18">
        <f>IF($A186&gt;'1-Input'!$B$26,0,(MAX(0,P176-IF($A186&gt;='1-Input'!$C$12,'1-Input'!$B$12,0))-MIN(MAX(T185,0),MAX(0,P176-IF($A186&gt;='1-Input'!$C$12,'1-Input'!$B$12,0))))*(1/(1-'P-Parametri'!$B$6*P186))+MIN(MAX(0,U185-(MAX(0,P176-IF($A186&gt;='1-Input'!$C$12,'1-Input'!$B$12,0))-MIN(MAX(T185,0),MAX(0,P176-IF($A186&gt;='1-Input'!$C$12,'1-Input'!$B$12,0))))*(1/(1-'P-Parametri'!$B$6*P186))),MAX(0,1*P176-(T185-MIN(MAX(T185,0),MAX(0,P176-IF($A186&gt;='1-Input'!$C$12,'1-Input'!$B$12,0)))))*(1/(1-'P-Parametri'!$B$6*P186))))</f>
        <v>18456.061420229507</v>
      </c>
      <c r="R186" s="18">
        <f>IF($A186&gt;'1-Input'!$B$26,T185,(T185-MAX(0,P176-IF($A186&gt;='1-Input'!$C$12,'1-Input'!$B$12,0))+Q186*(1-'P-Parametri'!$B$6*P186))*(1+'1-Input'!$B$27))</f>
        <v>16857.590128083157</v>
      </c>
      <c r="S186" s="18">
        <f>IF($A186&gt;'1-Input'!$B$26,U185,(U185-Q186)*(1+$B$4))</f>
        <v>329080.93126786465</v>
      </c>
      <c r="T186" s="18">
        <f>IF($A186&gt;'1-Input'!$B$26,R186,R186-'P-Parametri'!$B$8*(S186+R186)+MIN(MAX(S186,0),'P-Parametri'!$B$8*(S186+R186)))</f>
        <v>16857.590128083157</v>
      </c>
      <c r="U186" s="18">
        <f>IF($A186&gt;'1-Input'!$B$26,S186,S186-MIN(MAX(S186,0),'P-Parametri'!$B$8*(S186+R186)))</f>
        <v>328389.05422507273</v>
      </c>
      <c r="V186" s="18">
        <f>IF($A186&gt;'1-Input'!$B$26,V185,V185-Q186*(1-P186))</f>
        <v>223346.45303810356</v>
      </c>
      <c r="W186" s="11">
        <f>IF($A186&gt;'1-Input'!$B$26,0,IF(AB185&lt;=0,0,MAX(0,(AB185-AC185)/AB185)))</f>
        <v>0.30772816037979805</v>
      </c>
      <c r="X186" s="18">
        <f>IF($A186&gt;'1-Input'!$B$26,0,(MAX(0,W176-IF($A186&gt;='1-Input'!$C$12,'1-Input'!$B$12,0))-MIN(MAX(AA185,0),MAX(0,W176-IF($A186&gt;='1-Input'!$C$12,'1-Input'!$B$12,0))))*(1/(1-'P-Parametri'!$B$6*W186))+MIN(MAX(0,AB185-(MAX(0,W176-IF($A186&gt;='1-Input'!$C$12,'1-Input'!$B$12,0))-MIN(MAX(AA185,0),MAX(0,W176-IF($A186&gt;='1-Input'!$C$12,'1-Input'!$B$12,0))))*(1/(1-'P-Parametri'!$B$6*W186))),MAX(0,1*W176-(AA185-MIN(MAX(AA185,0),MAX(0,W176-IF($A186&gt;='1-Input'!$C$12,'1-Input'!$B$12,0)))))*(1/(1-'P-Parametri'!$B$6*W186))))</f>
        <v>18464.155134540444</v>
      </c>
      <c r="Y186" s="18">
        <f>IF($A186&gt;'1-Input'!$B$26,AA185,(AA185-MAX(0,W176-IF($A186&gt;='1-Input'!$C$12,'1-Input'!$B$12,0))+X186*(1-'P-Parametri'!$B$6*W186))*(1+'1-Input'!$B$27))</f>
        <v>16864.984001895245</v>
      </c>
      <c r="Z186" s="18">
        <f>IF($A186&gt;'1-Input'!$B$26,AB185,(AB185-X186)*(1+$B$4))</f>
        <v>329002.82419412676</v>
      </c>
      <c r="AA186" s="18">
        <f>IF($A186&gt;'1-Input'!$B$26,Y186,Y186-'P-Parametri'!$B$8*(Z186+Y186)+MIN(MAX(Z186,0),'P-Parametri'!$B$8*(Z186+Y186)))</f>
        <v>16864.984001895245</v>
      </c>
      <c r="AB186" s="18">
        <f>IF($A186&gt;'1-Input'!$B$26,Z186,Z186-MIN(MAX(Z186,0),'P-Parametri'!$B$8*(Z186+Y186)))</f>
        <v>328311.08857773471</v>
      </c>
      <c r="AC186" s="18">
        <f>IF($A186&gt;'1-Input'!$B$26,AC185,AC185-X186*(1-W186))</f>
        <v>223293.51994618631</v>
      </c>
      <c r="AD186" s="11">
        <f>IF($A186&gt;'1-Input'!$B$26,0,IF(AI185&lt;=0,0,MAX(0,(AI185-AJ185)/AI185)))</f>
        <v>0.30772814661737757</v>
      </c>
      <c r="AE186" s="18">
        <f>IF($A186&gt;'1-Input'!$B$26,0,(MAX(0,AD176-IF($A186&gt;='1-Input'!$C$12,'1-Input'!$B$12,0))-MIN(MAX(AH185,0),MAX(0,AD176-IF($A186&gt;='1-Input'!$C$12,'1-Input'!$B$12,0))))*(1/(1-'P-Parametri'!$B$6*AD186))+MIN(MAX(0,AI185-(MAX(0,AD176-IF($A186&gt;='1-Input'!$C$12,'1-Input'!$B$12,0))-MIN(MAX(AH185,0),MAX(0,AD176-IF($A186&gt;='1-Input'!$C$12,'1-Input'!$B$12,0))))*(1/(1-'P-Parametri'!$B$6*AD186))),MAX(0,1*AD176-(AH185-MIN(MAX(AH185,0),MAX(0,AD176-IF($A186&gt;='1-Input'!$C$12,'1-Input'!$B$12,0)))))*(1/(1-'P-Parametri'!$B$6*AD186))))</f>
        <v>18464.615728943478</v>
      </c>
      <c r="AF186" s="18">
        <f>IF($A186&gt;'1-Input'!$B$26,AH185,(AH185-MAX(0,AD176-IF($A186&gt;='1-Input'!$C$12,'1-Input'!$B$12,0))+AE186*(1-'P-Parametri'!$B$6*AD186))*(1+'1-Input'!$B$27))</f>
        <v>16865.404770046734</v>
      </c>
      <c r="AG186" s="18">
        <f>IF($A186&gt;'1-Input'!$B$26,AI185,(AI185-AE186)*(1+$B$4))</f>
        <v>328998.37930249202</v>
      </c>
      <c r="AH186" s="18">
        <f>IF($A186&gt;'1-Input'!$B$26,AF186,AF186-'P-Parametri'!$B$8*(AG186+AF186)+MIN(MAX(AG186,0),'P-Parametri'!$B$8*(AG186+AF186)))</f>
        <v>16865.404770046734</v>
      </c>
      <c r="AI186" s="18">
        <f>IF($A186&gt;'1-Input'!$B$26,AG186,AG186-MIN(MAX(AG186,0),'P-Parametri'!$B$8*(AG186+AF186)))</f>
        <v>328306.65173434693</v>
      </c>
      <c r="AJ186" s="18">
        <f>IF($A186&gt;'1-Input'!$B$26,AJ185,AJ185-AE186*(1-AD186))</f>
        <v>223290.50764668151</v>
      </c>
      <c r="AK186" s="11">
        <f>IF($A186&gt;'1-Input'!$B$26,0,IF(AP185&lt;=0,0,MAX(0,(AP185-AQ185)/AP185)))</f>
        <v>0.30772814661735687</v>
      </c>
      <c r="AL186" s="18">
        <f>IF($A186&gt;'1-Input'!$B$26,0,(MAX(0,AK176-IF($A186&gt;='1-Input'!$C$12,'1-Input'!$B$12,0))-MIN(MAX(AO185,0),MAX(0,AK176-IF($A186&gt;='1-Input'!$C$12,'1-Input'!$B$12,0))))*(1/(1-'P-Parametri'!$B$6*AK186))+MIN(MAX(0,AP185-(MAX(0,AK176-IF($A186&gt;='1-Input'!$C$12,'1-Input'!$B$12,0))-MIN(MAX(AO185,0),MAX(0,AK176-IF($A186&gt;='1-Input'!$C$12,'1-Input'!$B$12,0))))*(1/(1-'P-Parametri'!$B$6*AK186))),MAX(0,1*AK176-(AO185-MIN(MAX(AO185,0),MAX(0,AK176-IF($A186&gt;='1-Input'!$C$12,'1-Input'!$B$12,0)))))*(1/(1-'P-Parametri'!$B$6*AK186))))</f>
        <v>18464.615729641529</v>
      </c>
      <c r="AM186" s="18">
        <f>IF($A186&gt;'1-Input'!$B$26,AO185,(AO185-MAX(0,AK176-IF($A186&gt;='1-Input'!$C$12,'1-Input'!$B$12,0))+AL186*(1-'P-Parametri'!$B$6*AK186))*(1+'1-Input'!$B$27))</f>
        <v>16865.404770684429</v>
      </c>
      <c r="AN186" s="18">
        <f>IF($A186&gt;'1-Input'!$B$26,AP185,(AP185-AL186)*(1+$B$4))</f>
        <v>328998.37929575553</v>
      </c>
      <c r="AO186" s="18">
        <f>IF($A186&gt;'1-Input'!$B$26,AM186,AM186-'P-Parametri'!$B$8*(AN186+AM186)+MIN(MAX(AN186,0),'P-Parametri'!$B$8*(AN186+AM186)))</f>
        <v>16865.404770684429</v>
      </c>
      <c r="AP186" s="18">
        <f>IF($A186&gt;'1-Input'!$B$26,AN186,AN186-MIN(MAX(AN186,0),'P-Parametri'!$B$8*(AN186+AM186)))</f>
        <v>328306.65172762267</v>
      </c>
      <c r="AQ186" s="18">
        <f>IF($A186&gt;'1-Input'!$B$26,AQ185,AQ185-AL186*(1-AK186))</f>
        <v>223290.50764211616</v>
      </c>
    </row>
    <row r="187" spans="1:43">
      <c r="A187" s="10">
        <f>9</f>
        <v>9</v>
      </c>
      <c r="B187" s="11">
        <f>IF($A187&gt;'1-Input'!$B$26,0,IF(G186&lt;=0,0,MAX(0,(G186-H186)/G186)))</f>
        <v>0.31988148893758306</v>
      </c>
      <c r="C187" s="18">
        <f>IF($A187&gt;'1-Input'!$B$26,0,(MAX(0,B176-IF($A187&gt;='1-Input'!$C$12,'1-Input'!$B$12,0))-MIN(MAX(F186,0),MAX(0,B176-IF($A187&gt;='1-Input'!$C$12,'1-Input'!$B$12,0))))*(1/(1-'P-Parametri'!$B$6*B187))+MIN(MAX(0,G186-(MAX(0,B176-IF($A187&gt;='1-Input'!$C$12,'1-Input'!$B$12,0))-MIN(MAX(F186,0),MAX(0,B176-IF($A187&gt;='1-Input'!$C$12,'1-Input'!$B$12,0))))*(1/(1-'P-Parametri'!$B$6*B187))),MAX(0,1*B176-(F186-MIN(MAX(F186,0),MAX(0,B176-IF($A187&gt;='1-Input'!$C$12,'1-Input'!$B$12,0)))))*(1/(1-'P-Parametri'!$B$6*B187))))</f>
        <v>18259.756193445584</v>
      </c>
      <c r="D187" s="18">
        <f>IF($A187&gt;'1-Input'!$B$26,F186,(F186-MAX(0,B176-IF($A187&gt;='1-Input'!$C$12,'1-Input'!$B$12,0))+C187*(1-'P-Parametri'!$B$6*B187))*(1+'1-Input'!$B$27))</f>
        <v>16621.003515493154</v>
      </c>
      <c r="E187" s="18">
        <f>IF($A187&gt;'1-Input'!$B$26,G186,(G186-C187)*(1+$B$4))</f>
        <v>318876.49896058347</v>
      </c>
      <c r="F187" s="18">
        <f>IF($A187&gt;'1-Input'!$B$26,D187,D187-'P-Parametri'!$B$8*(E187+D187)+MIN(MAX(E187,0),'P-Parametri'!$B$8*(E187+D187)))</f>
        <v>16621.003515493154</v>
      </c>
      <c r="G187" s="18">
        <f>IF($A187&gt;'1-Input'!$B$26,E187,E187-MIN(MAX(E187,0),'P-Parametri'!$B$8*(E187+D187)))</f>
        <v>318205.50395563134</v>
      </c>
      <c r="H187" s="18">
        <f>IF($A187&gt;'1-Input'!$B$26,H186,H186-C187*(1-B187))</f>
        <v>212621.38204496898</v>
      </c>
      <c r="I187" s="11">
        <f>IF($A187&gt;'1-Input'!$B$26,0,IF(N186&lt;=0,0,MAX(0,(N186-O186)/N186)))</f>
        <v>0.31965838537885849</v>
      </c>
      <c r="J187" s="18">
        <f>IF($A187&gt;'1-Input'!$B$26,0,(MAX(0,I176-IF($A187&gt;='1-Input'!$C$12,'1-Input'!$B$12,0))-MIN(MAX(M186,0),MAX(0,I176-IF($A187&gt;='1-Input'!$C$12,'1-Input'!$B$12,0))))*(1/(1-'P-Parametri'!$B$6*I187))+MIN(MAX(0,N186-(MAX(0,I176-IF($A187&gt;='1-Input'!$C$12,'1-Input'!$B$12,0))-MIN(MAX(M186,0),MAX(0,I176-IF($A187&gt;='1-Input'!$C$12,'1-Input'!$B$12,0))))*(1/(1-'P-Parametri'!$B$6*I187))),MAX(0,1*I176-(M186-MIN(MAX(M186,0),MAX(0,I176-IF($A187&gt;='1-Input'!$C$12,'1-Input'!$B$12,0)))))*(1/(1-'P-Parametri'!$B$6*I187))))</f>
        <v>24024.474988005819</v>
      </c>
      <c r="K187" s="18">
        <f>IF($A187&gt;'1-Input'!$B$26,M186,(M186-MAX(0,I176-IF($A187&gt;='1-Input'!$C$12,'1-Input'!$B$12,0))+J187*(1-'P-Parametri'!$B$6*I187))*(1+'1-Input'!$B$27))</f>
        <v>21869.741467754146</v>
      </c>
      <c r="L187" s="18">
        <f>IF($A187&gt;'1-Input'!$B$26,N186,(N186-J187)*(1+$B$4))</f>
        <v>256544.90128012493</v>
      </c>
      <c r="M187" s="18">
        <f>IF($A187&gt;'1-Input'!$B$26,K187,K187-'P-Parametri'!$B$8*(L187+K187)+MIN(MAX(L187,0),'P-Parametri'!$B$8*(L187+K187)))</f>
        <v>21869.741467754146</v>
      </c>
      <c r="N187" s="18">
        <f>IF($A187&gt;'1-Input'!$B$26,L187,L187-MIN(MAX(L187,0),'P-Parametri'!$B$8*(L187+K187)))</f>
        <v>255988.07199462916</v>
      </c>
      <c r="O187" s="18">
        <f>IF($A187&gt;'1-Input'!$B$26,O186,O186-J187*(1-I187))</f>
        <v>171115.85525464857</v>
      </c>
      <c r="P187" s="11">
        <f>IF($A187&gt;'1-Input'!$B$26,0,IF(U186&lt;=0,0,MAX(0,(U186-V186)/U186)))</f>
        <v>0.31987241911837477</v>
      </c>
      <c r="Q187" s="18">
        <f>IF($A187&gt;'1-Input'!$B$26,0,(MAX(0,P176-IF($A187&gt;='1-Input'!$C$12,'1-Input'!$B$12,0))-MIN(MAX(T186,0),MAX(0,P176-IF($A187&gt;='1-Input'!$C$12,'1-Input'!$B$12,0))))*(1/(1-'P-Parametri'!$B$6*P187))+MIN(MAX(0,U186-(MAX(0,P176-IF($A187&gt;='1-Input'!$C$12,'1-Input'!$B$12,0))-MIN(MAX(T186,0),MAX(0,P176-IF($A187&gt;='1-Input'!$C$12,'1-Input'!$B$12,0))))*(1/(1-'P-Parametri'!$B$6*P187))),MAX(0,1*P176-(T186-MIN(MAX(T186,0),MAX(0,P176-IF($A187&gt;='1-Input'!$C$12,'1-Input'!$B$12,0)))))*(1/(1-'P-Parametri'!$B$6*P187))))</f>
        <v>18519.621498183169</v>
      </c>
      <c r="R187" s="18">
        <f>IF($A187&gt;'1-Input'!$B$26,T186,(T186-MAX(0,P176-IF($A187&gt;='1-Input'!$C$12,'1-Input'!$B$12,0))+Q187*(1-'P-Parametri'!$B$6*P187))*(1+'1-Input'!$B$27))</f>
        <v>16857.590128083153</v>
      </c>
      <c r="S187" s="18">
        <f>IF($A187&gt;'1-Input'!$B$26,U186,(U186-Q187)*(1+$B$4))</f>
        <v>316066.82138142735</v>
      </c>
      <c r="T187" s="18">
        <f>IF($A187&gt;'1-Input'!$B$26,R187,R187-'P-Parametri'!$B$8*(S187+R187)+MIN(MAX(S187,0),'P-Parametri'!$B$8*(S187+R187)))</f>
        <v>16857.590128083153</v>
      </c>
      <c r="U187" s="18">
        <f>IF($A187&gt;'1-Input'!$B$26,S187,S187-MIN(MAX(S187,0),'P-Parametri'!$B$8*(S187+R187)))</f>
        <v>315400.97255840834</v>
      </c>
      <c r="V187" s="18">
        <f>IF($A187&gt;'1-Input'!$B$26,V186,V186-Q187*(1-P187))</f>
        <v>210750.74766970091</v>
      </c>
      <c r="W187" s="11">
        <f>IF($A187&gt;'1-Input'!$B$26,0,IF(AB186&lt;=0,0,MAX(0,(AB186-AC186)/AB186)))</f>
        <v>0.31987213434213091</v>
      </c>
      <c r="X187" s="18">
        <f>IF($A187&gt;'1-Input'!$B$26,0,(MAX(0,W176-IF($A187&gt;='1-Input'!$C$12,'1-Input'!$B$12,0))-MIN(MAX(AA186,0),MAX(0,W176-IF($A187&gt;='1-Input'!$C$12,'1-Input'!$B$12,0))))*(1/(1-'P-Parametri'!$B$6*W187))+MIN(MAX(0,AB186-(MAX(0,W176-IF($A187&gt;='1-Input'!$C$12,'1-Input'!$B$12,0))-MIN(MAX(AA186,0),MAX(0,W176-IF($A187&gt;='1-Input'!$C$12,'1-Input'!$B$12,0))))*(1/(1-'P-Parametri'!$B$6*W187))),MAX(0,1*W176-(AA186-MIN(MAX(AA186,0),MAX(0,W176-IF($A187&gt;='1-Input'!$C$12,'1-Input'!$B$12,0)))))*(1/(1-'P-Parametri'!$B$6*W187))))</f>
        <v>18527.742855974964</v>
      </c>
      <c r="Y187" s="18">
        <f>IF($A187&gt;'1-Input'!$B$26,AA186,(AA186-MAX(0,W176-IF($A187&gt;='1-Input'!$C$12,'1-Input'!$B$12,0))+X187*(1-'P-Parametri'!$B$6*W187))*(1+'1-Input'!$B$27))</f>
        <v>16864.984001895245</v>
      </c>
      <c r="Z187" s="18">
        <f>IF($A187&gt;'1-Input'!$B$26,AB186,(AB186-X187)*(1+$B$4))</f>
        <v>315979.012636195</v>
      </c>
      <c r="AA187" s="18">
        <f>IF($A187&gt;'1-Input'!$B$26,Y187,Y187-'P-Parametri'!$B$8*(Z187+Y187)+MIN(MAX(Z187,0),'P-Parametri'!$B$8*(Z187+Y187)))</f>
        <v>16864.984001895245</v>
      </c>
      <c r="AB187" s="18">
        <f>IF($A187&gt;'1-Input'!$B$26,Z187,Z187-MIN(MAX(Z187,0),'P-Parametri'!$B$8*(Z187+Y187)))</f>
        <v>315313.32464291883</v>
      </c>
      <c r="AC187" s="18">
        <f>IF($A187&gt;'1-Input'!$B$26,AC186,AC186-X187*(1-W187))</f>
        <v>210692.28574209422</v>
      </c>
      <c r="AD187" s="11">
        <f>IF($A187&gt;'1-Input'!$B$26,0,IF(AI186&lt;=0,0,MAX(0,(AI186-AJ186)/AI186)))</f>
        <v>0.31987211813375149</v>
      </c>
      <c r="AE187" s="18">
        <f>IF($A187&gt;'1-Input'!$B$26,0,(MAX(0,AD176-IF($A187&gt;='1-Input'!$C$12,'1-Input'!$B$12,0))-MIN(MAX(AH186,0),MAX(0,AD176-IF($A187&gt;='1-Input'!$C$12,'1-Input'!$B$12,0))))*(1/(1-'P-Parametri'!$B$6*AD187))+MIN(MAX(0,AI186-(MAX(0,AD176-IF($A187&gt;='1-Input'!$C$12,'1-Input'!$B$12,0))-MIN(MAX(AH186,0),MAX(0,AD176-IF($A187&gt;='1-Input'!$C$12,'1-Input'!$B$12,0))))*(1/(1-'P-Parametri'!$B$6*AD187))),MAX(0,1*AD176-(AH186-MIN(MAX(AH186,0),MAX(0,AD176-IF($A187&gt;='1-Input'!$C$12,'1-Input'!$B$12,0)))))*(1/(1-'P-Parametri'!$B$6*AD187))))</f>
        <v>18528.205023494538</v>
      </c>
      <c r="AF187" s="18">
        <f>IF($A187&gt;'1-Input'!$B$26,AH186,(AH186-MAX(0,AD176-IF($A187&gt;='1-Input'!$C$12,'1-Input'!$B$12,0))+AE187*(1-'P-Parametri'!$B$6*AD187))*(1+'1-Input'!$B$27))</f>
        <v>16865.404770046738</v>
      </c>
      <c r="AG187" s="18">
        <f>IF($A187&gt;'1-Input'!$B$26,AI186,(AI186-AE187)*(1+$B$4))</f>
        <v>315974.01564506942</v>
      </c>
      <c r="AH187" s="18">
        <f>IF($A187&gt;'1-Input'!$B$26,AF187,AF187-'P-Parametri'!$B$8*(AG187+AF187)+MIN(MAX(AG187,0),'P-Parametri'!$B$8*(AG187+AF187)))</f>
        <v>16865.404770046738</v>
      </c>
      <c r="AI187" s="18">
        <f>IF($A187&gt;'1-Input'!$B$26,AG187,AG187-MIN(MAX(AG187,0),'P-Parametri'!$B$8*(AG187+AF187)))</f>
        <v>315308.3368042392</v>
      </c>
      <c r="AJ187" s="18">
        <f>IF($A187&gt;'1-Input'!$B$26,AJ186,AJ186-AE187*(1-AD187))</f>
        <v>210688.95880926857</v>
      </c>
      <c r="AK187" s="11">
        <f>IF($A187&gt;'1-Input'!$B$26,0,IF(AP186&lt;=0,0,MAX(0,(AP186-AQ186)/AP186)))</f>
        <v>0.31987211813372707</v>
      </c>
      <c r="AL187" s="18">
        <f>IF($A187&gt;'1-Input'!$B$26,0,(MAX(0,AK176-IF($A187&gt;='1-Input'!$C$12,'1-Input'!$B$12,0))-MIN(MAX(AO186,0),MAX(0,AK176-IF($A187&gt;='1-Input'!$C$12,'1-Input'!$B$12,0))))*(1/(1-'P-Parametri'!$B$6*AK187))+MIN(MAX(0,AP186-(MAX(0,AK176-IF($A187&gt;='1-Input'!$C$12,'1-Input'!$B$12,0))-MIN(MAX(AO186,0),MAX(0,AK176-IF($A187&gt;='1-Input'!$C$12,'1-Input'!$B$12,0))))*(1/(1-'P-Parametri'!$B$6*AK187))),MAX(0,1*AK176-(AO186-MIN(MAX(AO186,0),MAX(0,AK176-IF($A187&gt;='1-Input'!$C$12,'1-Input'!$B$12,0)))))*(1/(1-'P-Parametri'!$B$6*AK187))))</f>
        <v>18528.205024194973</v>
      </c>
      <c r="AM187" s="18">
        <f>IF($A187&gt;'1-Input'!$B$26,AO186,(AO186-MAX(0,AK176-IF($A187&gt;='1-Input'!$C$12,'1-Input'!$B$12,0))+AL187*(1-'P-Parametri'!$B$6*AK187))*(1+'1-Input'!$B$27))</f>
        <v>16865.404770684432</v>
      </c>
      <c r="AN187" s="18">
        <f>IF($A187&gt;'1-Input'!$B$26,AP186,(AP186-AL187)*(1+$B$4))</f>
        <v>315974.01563749625</v>
      </c>
      <c r="AO187" s="18">
        <f>IF($A187&gt;'1-Input'!$B$26,AM187,AM187-'P-Parametri'!$B$8*(AN187+AM187)+MIN(MAX(AN187,0),'P-Parametri'!$B$8*(AN187+AM187)))</f>
        <v>16865.404770684432</v>
      </c>
      <c r="AP187" s="18">
        <f>IF($A187&gt;'1-Input'!$B$26,AN187,AN187-MIN(MAX(AN187,0),'P-Parametri'!$B$8*(AN187+AM187)))</f>
        <v>315308.33679667988</v>
      </c>
      <c r="AQ187" s="18">
        <f>IF($A187&gt;'1-Input'!$B$26,AQ186,AQ186-AL187*(1-AK187))</f>
        <v>210688.95880422639</v>
      </c>
    </row>
    <row r="188" spans="1:43">
      <c r="A188" s="10">
        <f>10</f>
        <v>10</v>
      </c>
      <c r="B188" s="11">
        <f>IF($A188&gt;'1-Input'!$B$26,0,IF(G187&lt;=0,0,MAX(0,(G187-H187)/G187)))</f>
        <v>0.33181111136715086</v>
      </c>
      <c r="C188" s="18">
        <f>IF($A188&gt;'1-Input'!$B$26,0,(MAX(0,B176-IF($A188&gt;='1-Input'!$C$12,'1-Input'!$B$12,0))-MIN(MAX(F187,0),MAX(0,B176-IF($A188&gt;='1-Input'!$C$12,'1-Input'!$B$12,0))))*(1/(1-'P-Parametri'!$B$6*B188))+MIN(MAX(0,G187-(MAX(0,B176-IF($A188&gt;='1-Input'!$C$12,'1-Input'!$B$12,0))-MIN(MAX(F187,0),MAX(0,B176-IF($A188&gt;='1-Input'!$C$12,'1-Input'!$B$12,0))))*(1/(1-'P-Parametri'!$B$6*B188))),MAX(0,1*B176-(F187-MIN(MAX(F187,0),MAX(0,B176-IF($A188&gt;='1-Input'!$C$12,'1-Input'!$B$12,0)))))*(1/(1-'P-Parametri'!$B$6*B188))))</f>
        <v>18321.739902344409</v>
      </c>
      <c r="D188" s="18">
        <f>IF($A188&gt;'1-Input'!$B$26,F187,(F187-MAX(0,B176-IF($A188&gt;='1-Input'!$C$12,'1-Input'!$B$12,0))+C188*(1-'P-Parametri'!$B$6*B188))*(1+'1-Input'!$B$27))</f>
        <v>16621.003515493147</v>
      </c>
      <c r="E188" s="18">
        <f>IF($A188&gt;'1-Input'!$B$26,G187,(G187-C188)*(1+$B$4))</f>
        <v>305881.43933435268</v>
      </c>
      <c r="F188" s="18">
        <f>IF($A188&gt;'1-Input'!$B$26,D188,D188-'P-Parametri'!$B$8*(E188+D188)+MIN(MAX(E188,0),'P-Parametri'!$B$8*(E188+D188)))</f>
        <v>16621.003515493147</v>
      </c>
      <c r="G188" s="18">
        <f>IF($A188&gt;'1-Input'!$B$26,E188,E188-MIN(MAX(E188,0),'P-Parametri'!$B$8*(E188+D188)))</f>
        <v>305236.43444865296</v>
      </c>
      <c r="H188" s="18">
        <f>IF($A188&gt;'1-Input'!$B$26,H187,H187-C188*(1-B188))</f>
        <v>200378.99902180134</v>
      </c>
      <c r="I188" s="11">
        <f>IF($A188&gt;'1-Input'!$B$26,0,IF(N187&lt;=0,0,MAX(0,(N187-O187)/N187)))</f>
        <v>0.33154754469091546</v>
      </c>
      <c r="J188" s="18">
        <f>IF($A188&gt;'1-Input'!$B$26,0,(MAX(0,I176-IF($A188&gt;='1-Input'!$C$12,'1-Input'!$B$12,0))-MIN(MAX(M187,0),MAX(0,I176-IF($A188&gt;='1-Input'!$C$12,'1-Input'!$B$12,0))))*(1/(1-'P-Parametri'!$B$6*I188))+MIN(MAX(0,N187-(MAX(0,I176-IF($A188&gt;='1-Input'!$C$12,'1-Input'!$B$12,0))-MIN(MAX(M187,0),MAX(0,I176-IF($A188&gt;='1-Input'!$C$12,'1-Input'!$B$12,0))))*(1/(1-'P-Parametri'!$B$6*I188))),MAX(0,1*I176-(M187-MIN(MAX(M187,0),MAX(0,I176-IF($A188&gt;='1-Input'!$C$12,'1-Input'!$B$12,0)))))*(1/(1-'P-Parametri'!$B$6*I188))))</f>
        <v>24105.744634168474</v>
      </c>
      <c r="K188" s="18">
        <f>IF($A188&gt;'1-Input'!$B$26,M187,(M187-MAX(0,I176-IF($A188&gt;='1-Input'!$C$12,'1-Input'!$B$12,0))+J188*(1-'P-Parametri'!$B$6*I188))*(1+'1-Input'!$B$27))</f>
        <v>21869.741467754142</v>
      </c>
      <c r="L188" s="18">
        <f>IF($A188&gt;'1-Input'!$B$26,N187,(N187-J188)*(1+$B$4))</f>
        <v>236519.97390766989</v>
      </c>
      <c r="M188" s="18">
        <f>IF($A188&gt;'1-Input'!$B$26,K188,K188-'P-Parametri'!$B$8*(L188+K188)+MIN(MAX(L188,0),'P-Parametri'!$B$8*(L188+K188)))</f>
        <v>21869.741467754142</v>
      </c>
      <c r="N188" s="18">
        <f>IF($A188&gt;'1-Input'!$B$26,L188,L188-MIN(MAX(L188,0),'P-Parametri'!$B$8*(L188+K188)))</f>
        <v>236003.19447691904</v>
      </c>
      <c r="O188" s="18">
        <f>IF($A188&gt;'1-Input'!$B$26,O187,O187-J188*(1-I188))</f>
        <v>155002.31106688487</v>
      </c>
      <c r="P188" s="11">
        <f>IF($A188&gt;'1-Input'!$B$26,0,IF(U187&lt;=0,0,MAX(0,(U187-V187)/U187)))</f>
        <v>0.33180057765778609</v>
      </c>
      <c r="Q188" s="18">
        <f>IF($A188&gt;'1-Input'!$B$26,0,(MAX(0,P176-IF($A188&gt;='1-Input'!$C$12,'1-Input'!$B$12,0))-MIN(MAX(T187,0),MAX(0,P176-IF($A188&gt;='1-Input'!$C$12,'1-Input'!$B$12,0))))*(1/(1-'P-Parametri'!$B$6*P188))+MIN(MAX(0,U187-(MAX(0,P176-IF($A188&gt;='1-Input'!$C$12,'1-Input'!$B$12,0))-MIN(MAX(T187,0),MAX(0,P176-IF($A188&gt;='1-Input'!$C$12,'1-Input'!$B$12,0))))*(1/(1-'P-Parametri'!$B$6*P188))),MAX(0,1*P176-(T187-MIN(MAX(T187,0),MAX(0,P176-IF($A188&gt;='1-Input'!$C$12,'1-Input'!$B$12,0)))))*(1/(1-'P-Parametri'!$B$6*P188))))</f>
        <v>18582.479430907377</v>
      </c>
      <c r="R188" s="18">
        <f>IF($A188&gt;'1-Input'!$B$26,T187,(T187-MAX(0,P176-IF($A188&gt;='1-Input'!$C$12,'1-Input'!$B$12,0))+Q188*(1-'P-Parametri'!$B$6*P188))*(1+'1-Input'!$B$27))</f>
        <v>16857.590128083153</v>
      </c>
      <c r="S188" s="18">
        <f>IF($A188&gt;'1-Input'!$B$26,U187,(U187-Q188)*(1+$B$4))</f>
        <v>302754.86299005098</v>
      </c>
      <c r="T188" s="18">
        <f>IF($A188&gt;'1-Input'!$B$26,R188,R188-'P-Parametri'!$B$8*(S188+R188)+MIN(MAX(S188,0),'P-Parametri'!$B$8*(S188+R188)))</f>
        <v>16857.590128083153</v>
      </c>
      <c r="U188" s="18">
        <f>IF($A188&gt;'1-Input'!$B$26,S188,S188-MIN(MAX(S188,0),'P-Parametri'!$B$8*(S188+R188)))</f>
        <v>302115.6380838147</v>
      </c>
      <c r="V188" s="18">
        <f>IF($A188&gt;'1-Input'!$B$26,V187,V187-Q188*(1-P188))</f>
        <v>198333.94564828253</v>
      </c>
      <c r="W188" s="11">
        <f>IF($A188&gt;'1-Input'!$B$26,0,IF(AB187&lt;=0,0,MAX(0,(AB187-AC187)/AB187)))</f>
        <v>0.331800246688922</v>
      </c>
      <c r="X188" s="18">
        <f>IF($A188&gt;'1-Input'!$B$26,0,(MAX(0,W176-IF($A188&gt;='1-Input'!$C$12,'1-Input'!$B$12,0))-MIN(MAX(AA187,0),MAX(0,W176-IF($A188&gt;='1-Input'!$C$12,'1-Input'!$B$12,0))))*(1/(1-'P-Parametri'!$B$6*W188))+MIN(MAX(0,AB187-(MAX(0,W176-IF($A188&gt;='1-Input'!$C$12,'1-Input'!$B$12,0))-MIN(MAX(AA187,0),MAX(0,W176-IF($A188&gt;='1-Input'!$C$12,'1-Input'!$B$12,0))))*(1/(1-'P-Parametri'!$B$6*W188))),MAX(0,1*W176-(AA187-MIN(MAX(AA187,0),MAX(0,W176-IF($A188&gt;='1-Input'!$C$12,'1-Input'!$B$12,0)))))*(1/(1-'P-Parametri'!$B$6*W188))))</f>
        <v>18590.628104161762</v>
      </c>
      <c r="Y188" s="18">
        <f>IF($A188&gt;'1-Input'!$B$26,AA187,(AA187-MAX(0,W176-IF($A188&gt;='1-Input'!$C$12,'1-Input'!$B$12,0))+X188*(1-'P-Parametri'!$B$6*W188))*(1+'1-Input'!$B$27))</f>
        <v>16864.984001895245</v>
      </c>
      <c r="Z188" s="18">
        <f>IF($A188&gt;'1-Input'!$B$26,AB187,(AB187-X188)*(1+$B$4))</f>
        <v>302657.15046953224</v>
      </c>
      <c r="AA188" s="18">
        <f>IF($A188&gt;'1-Input'!$B$26,Y188,Y188-'P-Parametri'!$B$8*(Z188+Y188)+MIN(MAX(Z188,0),'P-Parametri'!$B$8*(Z188+Y188)))</f>
        <v>16864.984001895245</v>
      </c>
      <c r="AB188" s="18">
        <f>IF($A188&gt;'1-Input'!$B$26,Z188,Z188-MIN(MAX(Z188,0),'P-Parametri'!$B$8*(Z188+Y188)))</f>
        <v>302018.10620058939</v>
      </c>
      <c r="AC188" s="18">
        <f>IF($A188&gt;'1-Input'!$B$26,AC187,AC187-X188*(1-W188))</f>
        <v>198270.03262899534</v>
      </c>
      <c r="AD188" s="11">
        <f>IF($A188&gt;'1-Input'!$B$26,0,IF(AI187&lt;=0,0,MAX(0,(AI187-AJ187)/AI187)))</f>
        <v>0.33180022785101332</v>
      </c>
      <c r="AE188" s="18">
        <f>IF($A188&gt;'1-Input'!$B$26,0,(MAX(0,AD176-IF($A188&gt;='1-Input'!$C$12,'1-Input'!$B$12,0))-MIN(MAX(AH187,0),MAX(0,AD176-IF($A188&gt;='1-Input'!$C$12,'1-Input'!$B$12,0))))*(1/(1-'P-Parametri'!$B$6*AD188))+MIN(MAX(0,AI187-(MAX(0,AD176-IF($A188&gt;='1-Input'!$C$12,'1-Input'!$B$12,0))-MIN(MAX(AH187,0),MAX(0,AD176-IF($A188&gt;='1-Input'!$C$12,'1-Input'!$B$12,0))))*(1/(1-'P-Parametri'!$B$6*AD188))),MAX(0,1*AD176-(AH187-MIN(MAX(AH187,0),MAX(0,AD176-IF($A188&gt;='1-Input'!$C$12,'1-Input'!$B$12,0)))))*(1/(1-'P-Parametri'!$B$6*AD188))))</f>
        <v>18591.091826129632</v>
      </c>
      <c r="AF188" s="18">
        <f>IF($A188&gt;'1-Input'!$B$26,AH187,(AH187-MAX(0,AD176-IF($A188&gt;='1-Input'!$C$12,'1-Input'!$B$12,0))+AE188*(1-'P-Parametri'!$B$6*AD188))*(1+'1-Input'!$B$27))</f>
        <v>16865.404770046734</v>
      </c>
      <c r="AG188" s="18">
        <f>IF($A188&gt;'1-Input'!$B$26,AI187,(AI187-AE188)*(1+$B$4))</f>
        <v>302651.58987767174</v>
      </c>
      <c r="AH188" s="18">
        <f>IF($A188&gt;'1-Input'!$B$26,AF188,AF188-'P-Parametri'!$B$8*(AG188+AF188)+MIN(MAX(AG188,0),'P-Parametri'!$B$8*(AG188+AF188)))</f>
        <v>16865.404770046734</v>
      </c>
      <c r="AI188" s="18">
        <f>IF($A188&gt;'1-Input'!$B$26,AG188,AG188-MIN(MAX(AG188,0),'P-Parametri'!$B$8*(AG188+AF188)))</f>
        <v>302012.55588837632</v>
      </c>
      <c r="AJ188" s="18">
        <f>IF($A188&gt;'1-Input'!$B$26,AJ187,AJ187-AE188*(1-AD188))</f>
        <v>198266.39548704785</v>
      </c>
      <c r="AK188" s="11">
        <f>IF($A188&gt;'1-Input'!$B$26,0,IF(AP187&lt;=0,0,MAX(0,(AP187-AQ187)/AP187)))</f>
        <v>0.33180022785098495</v>
      </c>
      <c r="AL188" s="18">
        <f>IF($A188&gt;'1-Input'!$B$26,0,(MAX(0,AK176-IF($A188&gt;='1-Input'!$C$12,'1-Input'!$B$12,0))-MIN(MAX(AO187,0),MAX(0,AK176-IF($A188&gt;='1-Input'!$C$12,'1-Input'!$B$12,0))))*(1/(1-'P-Parametri'!$B$6*AK188))+MIN(MAX(0,AP187-(MAX(0,AK176-IF($A188&gt;='1-Input'!$C$12,'1-Input'!$B$12,0))-MIN(MAX(AO187,0),MAX(0,AK176-IF($A188&gt;='1-Input'!$C$12,'1-Input'!$B$12,0))))*(1/(1-'P-Parametri'!$B$6*AK188))),MAX(0,1*AK176-(AO187-MIN(MAX(AO187,0),MAX(0,AK176-IF($A188&gt;='1-Input'!$C$12,'1-Input'!$B$12,0)))))*(1/(1-'P-Parametri'!$B$6*AK188))))</f>
        <v>18591.091826832428</v>
      </c>
      <c r="AM188" s="18">
        <f>IF($A188&gt;'1-Input'!$B$26,AO187,(AO187-MAX(0,AK176-IF($A188&gt;='1-Input'!$C$12,'1-Input'!$B$12,0))+AL188*(1-'P-Parametri'!$B$6*AK188))*(1+'1-Input'!$B$27))</f>
        <v>16865.404770684432</v>
      </c>
      <c r="AN188" s="18">
        <f>IF($A188&gt;'1-Input'!$B$26,AP187,(AP187-AL188)*(1+$B$4))</f>
        <v>302651.58986924437</v>
      </c>
      <c r="AO188" s="18">
        <f>IF($A188&gt;'1-Input'!$B$26,AM188,AM188-'P-Parametri'!$B$8*(AN188+AM188)+MIN(MAX(AN188,0),'P-Parametri'!$B$8*(AN188+AM188)))</f>
        <v>16865.404770684432</v>
      </c>
      <c r="AP188" s="18">
        <f>IF($A188&gt;'1-Input'!$B$26,AN188,AN188-MIN(MAX(AN188,0),'P-Parametri'!$B$8*(AN188+AM188)))</f>
        <v>302012.55587996449</v>
      </c>
      <c r="AQ188" s="18">
        <f>IF($A188&gt;'1-Input'!$B$26,AQ187,AQ187-AL188*(1-AK188))</f>
        <v>198266.39548153555</v>
      </c>
    </row>
    <row r="189" spans="1:43">
      <c r="A189" s="10">
        <f>11</f>
        <v>11</v>
      </c>
      <c r="B189" s="11">
        <f>IF($A189&gt;'1-Input'!$B$26,0,IF(G188&lt;=0,0,MAX(0,(G188-H188)/G188)))</f>
        <v>0.34352856865287096</v>
      </c>
      <c r="C189" s="18">
        <f>IF($A189&gt;'1-Input'!$B$26,0,(MAX(0,B176-IF($A189&gt;='1-Input'!$C$12,'1-Input'!$B$12,0))-MIN(MAX(F188,0),MAX(0,B176-IF($A189&gt;='1-Input'!$C$12,'1-Input'!$B$12,0))))*(1/(1-'P-Parametri'!$B$6*B189))+MIN(MAX(0,G188-(MAX(0,B176-IF($A189&gt;='1-Input'!$C$12,'1-Input'!$B$12,0))-MIN(MAX(F188,0),MAX(0,B176-IF($A189&gt;='1-Input'!$C$12,'1-Input'!$B$12,0))))*(1/(1-'P-Parametri'!$B$6*B189))),MAX(0,1*B176-(F188-MIN(MAX(F188,0),MAX(0,B176-IF($A189&gt;='1-Input'!$C$12,'1-Input'!$B$12,0)))))*(1/(1-'P-Parametri'!$B$6*B189))))</f>
        <v>18383.032272408902</v>
      </c>
      <c r="D189" s="18">
        <f>IF($A189&gt;'1-Input'!$B$26,F188,(F188-MAX(0,B176-IF($A189&gt;='1-Input'!$C$12,'1-Input'!$B$12,0))+C189*(1-'P-Parametri'!$B$6*B189))*(1+'1-Input'!$B$27))</f>
        <v>16621.00351549315</v>
      </c>
      <c r="E189" s="18">
        <f>IF($A189&gt;'1-Input'!$B$26,G188,(G188-C189)*(1+$B$4))</f>
        <v>292590.47021976893</v>
      </c>
      <c r="F189" s="18">
        <f>IF($A189&gt;'1-Input'!$B$26,D189,D189-'P-Parametri'!$B$8*(E189+D189)+MIN(MAX(E189,0),'P-Parametri'!$B$8*(E189+D189)))</f>
        <v>16621.00351549315</v>
      </c>
      <c r="G189" s="18">
        <f>IF($A189&gt;'1-Input'!$B$26,E189,E189-MIN(MAX(E189,0),'P-Parametri'!$B$8*(E189+D189)))</f>
        <v>291972.04727229843</v>
      </c>
      <c r="H189" s="18">
        <f>IF($A189&gt;'1-Input'!$B$26,H188,H188-C189*(1-B189))</f>
        <v>188311.0635134326</v>
      </c>
      <c r="I189" s="11">
        <f>IF($A189&gt;'1-Input'!$B$26,0,IF(N188&lt;=0,0,MAX(0,(N188-O188)/N188)))</f>
        <v>0.34321943645536546</v>
      </c>
      <c r="J189" s="18">
        <f>IF($A189&gt;'1-Input'!$B$26,0,(MAX(0,I176-IF($A189&gt;='1-Input'!$C$12,'1-Input'!$B$12,0))-MIN(MAX(M188,0),MAX(0,I176-IF($A189&gt;='1-Input'!$C$12,'1-Input'!$B$12,0))))*(1/(1-'P-Parametri'!$B$6*I189))+MIN(MAX(0,N188-(MAX(0,I176-IF($A189&gt;='1-Input'!$C$12,'1-Input'!$B$12,0))-MIN(MAX(M188,0),MAX(0,I176-IF($A189&gt;='1-Input'!$C$12,'1-Input'!$B$12,0))))*(1/(1-'P-Parametri'!$B$6*I189))),MAX(0,1*I176-(M188-MIN(MAX(M188,0),MAX(0,I176-IF($A189&gt;='1-Input'!$C$12,'1-Input'!$B$12,0)))))*(1/(1-'P-Parametri'!$B$6*I189))))</f>
        <v>24186.065761932816</v>
      </c>
      <c r="K189" s="18">
        <f>IF($A189&gt;'1-Input'!$B$26,M188,(M188-MAX(0,I176-IF($A189&gt;='1-Input'!$C$12,'1-Input'!$B$12,0))+J189*(1-'P-Parametri'!$B$6*I189))*(1+'1-Input'!$B$27))</f>
        <v>21869.741467754142</v>
      </c>
      <c r="L189" s="18">
        <f>IF($A189&gt;'1-Input'!$B$26,N188,(N188-J189)*(1+$B$4))</f>
        <v>216053.47128928595</v>
      </c>
      <c r="M189" s="18">
        <f>IF($A189&gt;'1-Input'!$B$26,K189,K189-'P-Parametri'!$B$8*(L189+K189)+MIN(MAX(L189,0),'P-Parametri'!$B$8*(L189+K189)))</f>
        <v>21869.741467754142</v>
      </c>
      <c r="N189" s="18">
        <f>IF($A189&gt;'1-Input'!$B$26,L189,L189-MIN(MAX(L189,0),'P-Parametri'!$B$8*(L189+K189)))</f>
        <v>215577.62486377187</v>
      </c>
      <c r="O189" s="18">
        <f>IF($A189&gt;'1-Input'!$B$26,O188,O188-J189*(1-I189))</f>
        <v>139117.37316583504</v>
      </c>
      <c r="P189" s="11">
        <f>IF($A189&gt;'1-Input'!$B$26,0,IF(U188&lt;=0,0,MAX(0,(U188-V188)/U188)))</f>
        <v>0.34351645314944085</v>
      </c>
      <c r="Q189" s="18">
        <f>IF($A189&gt;'1-Input'!$B$26,0,(MAX(0,P176-IF($A189&gt;='1-Input'!$C$12,'1-Input'!$B$12,0))-MIN(MAX(T188,0),MAX(0,P176-IF($A189&gt;='1-Input'!$C$12,'1-Input'!$B$12,0))))*(1/(1-'P-Parametri'!$B$6*P189))+MIN(MAX(0,U188-(MAX(0,P176-IF($A189&gt;='1-Input'!$C$12,'1-Input'!$B$12,0))-MIN(MAX(T188,0),MAX(0,P176-IF($A189&gt;='1-Input'!$C$12,'1-Input'!$B$12,0))))*(1/(1-'P-Parametri'!$B$6*P189))),MAX(0,1*P176-(T188-MIN(MAX(T188,0),MAX(0,P176-IF($A189&gt;='1-Input'!$C$12,'1-Input'!$B$12,0)))))*(1/(1-'P-Parametri'!$B$6*P189))))</f>
        <v>18644.635455328735</v>
      </c>
      <c r="R189" s="18">
        <f>IF($A189&gt;'1-Input'!$B$26,T188,(T188-MAX(0,P176-IF($A189&gt;='1-Input'!$C$12,'1-Input'!$B$12,0))+Q189*(1-'P-Parametri'!$B$6*P189))*(1+'1-Input'!$B$27))</f>
        <v>16857.590128083153</v>
      </c>
      <c r="S189" s="18">
        <f>IF($A189&gt;'1-Input'!$B$26,U188,(U188-Q189)*(1+$B$4))</f>
        <v>289140.42268105567</v>
      </c>
      <c r="T189" s="18">
        <f>IF($A189&gt;'1-Input'!$B$26,R189,R189-'P-Parametri'!$B$8*(S189+R189)+MIN(MAX(S189,0),'P-Parametri'!$B$8*(S189+R189)))</f>
        <v>16857.590128083153</v>
      </c>
      <c r="U189" s="18">
        <f>IF($A189&gt;'1-Input'!$B$26,S189,S189-MIN(MAX(S189,0),'P-Parametri'!$B$8*(S189+R189)))</f>
        <v>288528.42665543739</v>
      </c>
      <c r="V189" s="18">
        <f>IF($A189&gt;'1-Input'!$B$26,V188,V188-Q189*(1-P189))</f>
        <v>186094.04923483264</v>
      </c>
      <c r="W189" s="11">
        <f>IF($A189&gt;'1-Input'!$B$26,0,IF(AB188&lt;=0,0,MAX(0,(AB188-AC188)/AB188)))</f>
        <v>0.34351607218769981</v>
      </c>
      <c r="X189" s="18">
        <f>IF($A189&gt;'1-Input'!$B$26,0,(MAX(0,W176-IF($A189&gt;='1-Input'!$C$12,'1-Input'!$B$12,0))-MIN(MAX(AA188,0),MAX(0,W176-IF($A189&gt;='1-Input'!$C$12,'1-Input'!$B$12,0))))*(1/(1-'P-Parametri'!$B$6*W189))+MIN(MAX(0,AB188-(MAX(0,W176-IF($A189&gt;='1-Input'!$C$12,'1-Input'!$B$12,0))-MIN(MAX(AA188,0),MAX(0,W176-IF($A189&gt;='1-Input'!$C$12,'1-Input'!$B$12,0))))*(1/(1-'P-Parametri'!$B$6*W189))),MAX(0,1*W176-(AA188-MIN(MAX(AA188,0),MAX(0,W176-IF($A189&gt;='1-Input'!$C$12,'1-Input'!$B$12,0)))))*(1/(1-'P-Parametri'!$B$6*W189))))</f>
        <v>18652.811112750293</v>
      </c>
      <c r="Y189" s="18">
        <f>IF($A189&gt;'1-Input'!$B$26,AA188,(AA188-MAX(0,W176-IF($A189&gt;='1-Input'!$C$12,'1-Input'!$B$12,0))+X189*(1-'P-Parametri'!$B$6*W189))*(1+'1-Input'!$B$27))</f>
        <v>16864.984001895245</v>
      </c>
      <c r="Z189" s="18">
        <f>IF($A189&gt;'1-Input'!$B$26,AB188,(AB188-X189)*(1+$B$4))</f>
        <v>289032.60098959593</v>
      </c>
      <c r="AA189" s="18">
        <f>IF($A189&gt;'1-Input'!$B$26,Y189,Y189-'P-Parametri'!$B$8*(Z189+Y189)+MIN(MAX(Z189,0),'P-Parametri'!$B$8*(Z189+Y189)))</f>
        <v>16864.984001895245</v>
      </c>
      <c r="AB189" s="18">
        <f>IF($A189&gt;'1-Input'!$B$26,Z189,Z189-MIN(MAX(Z189,0),'P-Parametri'!$B$8*(Z189+Y189)))</f>
        <v>288420.80581961293</v>
      </c>
      <c r="AC189" s="18">
        <f>IF($A189&gt;'1-Input'!$B$26,AC188,AC188-X189*(1-W189))</f>
        <v>186024.76192495611</v>
      </c>
      <c r="AD189" s="11">
        <f>IF($A189&gt;'1-Input'!$B$26,0,IF(AI188&lt;=0,0,MAX(0,(AI188-AJ188)/AI188)))</f>
        <v>0.34351605050378431</v>
      </c>
      <c r="AE189" s="18">
        <f>IF($A189&gt;'1-Input'!$B$26,0,(MAX(0,AD176-IF($A189&gt;='1-Input'!$C$12,'1-Input'!$B$12,0))-MIN(MAX(AH188,0),MAX(0,AD176-IF($A189&gt;='1-Input'!$C$12,'1-Input'!$B$12,0))))*(1/(1-'P-Parametri'!$B$6*AD189))+MIN(MAX(0,AI188-(MAX(0,AD176-IF($A189&gt;='1-Input'!$C$12,'1-Input'!$B$12,0))-MIN(MAX(AH188,0),MAX(0,AD176-IF($A189&gt;='1-Input'!$C$12,'1-Input'!$B$12,0))))*(1/(1-'P-Parametri'!$B$6*AD189))),MAX(0,1*AD176-(AH188-MIN(MAX(AH188,0),MAX(0,AD176-IF($A189&gt;='1-Input'!$C$12,'1-Input'!$B$12,0)))))*(1/(1-'P-Parametri'!$B$6*AD189))))</f>
        <v>18653.2763703114</v>
      </c>
      <c r="AF189" s="18">
        <f>IF($A189&gt;'1-Input'!$B$26,AH188,(AH188-MAX(0,AD176-IF($A189&gt;='1-Input'!$C$12,'1-Input'!$B$12,0))+AE189*(1-'P-Parametri'!$B$6*AD189))*(1+'1-Input'!$B$27))</f>
        <v>16865.404770046734</v>
      </c>
      <c r="AG189" s="18">
        <f>IF($A189&gt;'1-Input'!$B$26,AI188,(AI188-AE189)*(1+$B$4))</f>
        <v>289026.46510842623</v>
      </c>
      <c r="AH189" s="18">
        <f>IF($A189&gt;'1-Input'!$B$26,AF189,AF189-'P-Parametri'!$B$8*(AG189+AF189)+MIN(MAX(AG189,0),'P-Parametri'!$B$8*(AG189+AF189)))</f>
        <v>16865.404770046734</v>
      </c>
      <c r="AI189" s="18">
        <f>IF($A189&gt;'1-Input'!$B$26,AG189,AG189-MIN(MAX(AG189,0),'P-Parametri'!$B$8*(AG189+AF189)))</f>
        <v>288414.68136866926</v>
      </c>
      <c r="AJ189" s="18">
        <f>IF($A189&gt;'1-Input'!$B$26,AJ188,AJ188-AE189*(1-AD189))</f>
        <v>186020.81894442139</v>
      </c>
      <c r="AK189" s="11">
        <f>IF($A189&gt;'1-Input'!$B$26,0,IF(AP188&lt;=0,0,MAX(0,(AP188-AQ188)/AP188)))</f>
        <v>0.34351605050375145</v>
      </c>
      <c r="AL189" s="18">
        <f>IF($A189&gt;'1-Input'!$B$26,0,(MAX(0,AK176-IF($A189&gt;='1-Input'!$C$12,'1-Input'!$B$12,0))-MIN(MAX(AO188,0),MAX(0,AK176-IF($A189&gt;='1-Input'!$C$12,'1-Input'!$B$12,0))))*(1/(1-'P-Parametri'!$B$6*AK189))+MIN(MAX(0,AP188-(MAX(0,AK176-IF($A189&gt;='1-Input'!$C$12,'1-Input'!$B$12,0))-MIN(MAX(AO188,0),MAX(0,AK176-IF($A189&gt;='1-Input'!$C$12,'1-Input'!$B$12,0))))*(1/(1-'P-Parametri'!$B$6*AK189))),MAX(0,1*AK176-(AO188-MIN(MAX(AO188,0),MAX(0,AK176-IF($A189&gt;='1-Input'!$C$12,'1-Input'!$B$12,0)))))*(1/(1-'P-Parametri'!$B$6*AK189))))</f>
        <v>18653.276371016516</v>
      </c>
      <c r="AM189" s="18">
        <f>IF($A189&gt;'1-Input'!$B$26,AO188,(AO188-MAX(0,AK176-IF($A189&gt;='1-Input'!$C$12,'1-Input'!$B$12,0))+AL189*(1-'P-Parametri'!$B$6*AK189))*(1+'1-Input'!$B$27))</f>
        <v>16865.404770684432</v>
      </c>
      <c r="AN189" s="18">
        <f>IF($A189&gt;'1-Input'!$B$26,AP188,(AP188-AL189)*(1+$B$4))</f>
        <v>289026.46509912692</v>
      </c>
      <c r="AO189" s="18">
        <f>IF($A189&gt;'1-Input'!$B$26,AM189,AM189-'P-Parametri'!$B$8*(AN189+AM189)+MIN(MAX(AN189,0),'P-Parametri'!$B$8*(AN189+AM189)))</f>
        <v>16865.404770684432</v>
      </c>
      <c r="AP189" s="18">
        <f>IF($A189&gt;'1-Input'!$B$26,AN189,AN189-MIN(MAX(AN189,0),'P-Parametri'!$B$8*(AN189+AM189)))</f>
        <v>288414.68135938729</v>
      </c>
      <c r="AQ189" s="18">
        <f>IF($A189&gt;'1-Input'!$B$26,AQ188,AQ188-AL189*(1-AK189))</f>
        <v>186020.81893844559</v>
      </c>
    </row>
    <row r="190" spans="1:43">
      <c r="A190" s="10">
        <f>12</f>
        <v>12</v>
      </c>
      <c r="B190" s="11">
        <f>IF($A190&gt;'1-Input'!$B$26,0,IF(G189&lt;=0,0,MAX(0,(G189-H189)/G189)))</f>
        <v>0.35503735623770077</v>
      </c>
      <c r="C190" s="18">
        <f>IF($A190&gt;'1-Input'!$B$26,0,(MAX(0,B176-IF($A190&gt;='1-Input'!$C$12,'1-Input'!$B$12,0))-MIN(MAX(F189,0),MAX(0,B176-IF($A190&gt;='1-Input'!$C$12,'1-Input'!$B$12,0))))*(1/(1-'P-Parametri'!$B$6*B190))+MIN(MAX(0,G189-(MAX(0,B176-IF($A190&gt;='1-Input'!$C$12,'1-Input'!$B$12,0))-MIN(MAX(F189,0),MAX(0,B176-IF($A190&gt;='1-Input'!$C$12,'1-Input'!$B$12,0))))*(1/(1-'P-Parametri'!$B$6*B190))),MAX(0,1*B176-(F189-MIN(MAX(F189,0),MAX(0,B176-IF($A190&gt;='1-Input'!$C$12,'1-Input'!$B$12,0)))))*(1/(1-'P-Parametri'!$B$6*B190))))</f>
        <v>18443.633634236645</v>
      </c>
      <c r="D190" s="18">
        <f>IF($A190&gt;'1-Input'!$B$26,F189,(F189-MAX(0,B176-IF($A190&gt;='1-Input'!$C$12,'1-Input'!$B$12,0))+C190*(1-'P-Parametri'!$B$6*B190))*(1+'1-Input'!$B$27))</f>
        <v>16621.00351549315</v>
      </c>
      <c r="E190" s="18">
        <f>IF($A190&gt;'1-Input'!$B$26,G189,(G189-C190)*(1+$B$4))</f>
        <v>278998.98191082303</v>
      </c>
      <c r="F190" s="18">
        <f>IF($A190&gt;'1-Input'!$B$26,D190,D190-'P-Parametri'!$B$8*(E190+D190)+MIN(MAX(E190,0),'P-Parametri'!$B$8*(E190+D190)))</f>
        <v>16621.00351549315</v>
      </c>
      <c r="G190" s="18">
        <f>IF($A190&gt;'1-Input'!$B$26,E190,E190-MIN(MAX(E190,0),'P-Parametri'!$B$8*(E190+D190)))</f>
        <v>278407.74193997041</v>
      </c>
      <c r="H190" s="18">
        <f>IF($A190&gt;'1-Input'!$B$26,H189,H189-C190*(1-B190))</f>
        <v>176415.60880411207</v>
      </c>
      <c r="I190" s="11">
        <f>IF($A190&gt;'1-Input'!$B$26,0,IF(N189&lt;=0,0,MAX(0,(N189-O189)/N189)))</f>
        <v>0.35467619492632269</v>
      </c>
      <c r="J190" s="18">
        <f>IF($A190&gt;'1-Input'!$B$26,0,(MAX(0,I176-IF($A190&gt;='1-Input'!$C$12,'1-Input'!$B$12,0))-MIN(MAX(M189,0),MAX(0,I176-IF($A190&gt;='1-Input'!$C$12,'1-Input'!$B$12,0))))*(1/(1-'P-Parametri'!$B$6*I190))+MIN(MAX(0,N189-(MAX(0,I176-IF($A190&gt;='1-Input'!$C$12,'1-Input'!$B$12,0))-MIN(MAX(M189,0),MAX(0,I176-IF($A190&gt;='1-Input'!$C$12,'1-Input'!$B$12,0))))*(1/(1-'P-Parametri'!$B$6*I190))),MAX(0,1*I176-(M189-MIN(MAX(M189,0),MAX(0,I176-IF($A190&gt;='1-Input'!$C$12,'1-Input'!$B$12,0)))))*(1/(1-'P-Parametri'!$B$6*I190))))</f>
        <v>24265.428696906707</v>
      </c>
      <c r="K190" s="18">
        <f>IF($A190&gt;'1-Input'!$B$26,M189,(M189-MAX(0,I176-IF($A190&gt;='1-Input'!$C$12,'1-Input'!$B$12,0))+J190*(1-'P-Parametri'!$B$6*I190))*(1+'1-Input'!$B$27))</f>
        <v>21869.741467754146</v>
      </c>
      <c r="L190" s="18">
        <f>IF($A190&gt;'1-Input'!$B$26,N189,(N189-J190)*(1+$B$4))</f>
        <v>195138.44009020246</v>
      </c>
      <c r="M190" s="18">
        <f>IF($A190&gt;'1-Input'!$B$26,K190,K190-'P-Parametri'!$B$8*(L190+K190)+MIN(MAX(L190,0),'P-Parametri'!$B$8*(L190+K190)))</f>
        <v>21869.741467754146</v>
      </c>
      <c r="N190" s="18">
        <f>IF($A190&gt;'1-Input'!$B$26,L190,L190-MIN(MAX(L190,0),'P-Parametri'!$B$8*(L190+K190)))</f>
        <v>194704.42372708654</v>
      </c>
      <c r="O190" s="18">
        <f>IF($A190&gt;'1-Input'!$B$26,O189,O189-J190*(1-I190))</f>
        <v>123458.3143874032</v>
      </c>
      <c r="P190" s="11">
        <f>IF($A190&gt;'1-Input'!$B$26,0,IF(U189&lt;=0,0,MAX(0,(U189-V189)/U189)))</f>
        <v>0.35502351920052783</v>
      </c>
      <c r="Q190" s="18">
        <f>IF($A190&gt;'1-Input'!$B$26,0,(MAX(0,P176-IF($A190&gt;='1-Input'!$C$12,'1-Input'!$B$12,0))-MIN(MAX(T189,0),MAX(0,P176-IF($A190&gt;='1-Input'!$C$12,'1-Input'!$B$12,0))))*(1/(1-'P-Parametri'!$B$6*P190))+MIN(MAX(0,U189-(MAX(0,P176-IF($A190&gt;='1-Input'!$C$12,'1-Input'!$B$12,0))-MIN(MAX(T189,0),MAX(0,P176-IF($A190&gt;='1-Input'!$C$12,'1-Input'!$B$12,0))))*(1/(1-'P-Parametri'!$B$6*P190))),MAX(0,1*P176-(T189-MIN(MAX(T189,0),MAX(0,P176-IF($A190&gt;='1-Input'!$C$12,'1-Input'!$B$12,0)))))*(1/(1-'P-Parametri'!$B$6*P190))))</f>
        <v>18706.089778596626</v>
      </c>
      <c r="R190" s="18">
        <f>IF($A190&gt;'1-Input'!$B$26,T189,(T189-MAX(0,P176-IF($A190&gt;='1-Input'!$C$12,'1-Input'!$B$12,0))+Q190*(1-'P-Parametri'!$B$6*P190))*(1+'1-Input'!$B$27))</f>
        <v>16857.590128083157</v>
      </c>
      <c r="S190" s="18">
        <f>IF($A190&gt;'1-Input'!$B$26,U189,(U189-Q190)*(1+$B$4))</f>
        <v>275218.78361437755</v>
      </c>
      <c r="T190" s="18">
        <f>IF($A190&gt;'1-Input'!$B$26,R190,R190-'P-Parametri'!$B$8*(S190+R190)+MIN(MAX(S190,0),'P-Parametri'!$B$8*(S190+R190)))</f>
        <v>16857.590128083157</v>
      </c>
      <c r="U190" s="18">
        <f>IF($A190&gt;'1-Input'!$B$26,S190,S190-MIN(MAX(S190,0),'P-Parametri'!$B$8*(S190+R190)))</f>
        <v>274634.63086689264</v>
      </c>
      <c r="V190" s="18">
        <f>IF($A190&gt;'1-Input'!$B$26,V189,V189-Q190*(1-P190))</f>
        <v>174029.0612799144</v>
      </c>
      <c r="W190" s="11">
        <f>IF($A190&gt;'1-Input'!$B$26,0,IF(AB189&lt;=0,0,MAX(0,(AB189-AC189)/AB189)))</f>
        <v>0.35502308373237951</v>
      </c>
      <c r="X190" s="18">
        <f>IF($A190&gt;'1-Input'!$B$26,0,(MAX(0,W176-IF($A190&gt;='1-Input'!$C$12,'1-Input'!$B$12,0))-MIN(MAX(AA189,0),MAX(0,W176-IF($A190&gt;='1-Input'!$C$12,'1-Input'!$B$12,0))))*(1/(1-'P-Parametri'!$B$6*W190))+MIN(MAX(0,AB189-(MAX(0,W176-IF($A190&gt;='1-Input'!$C$12,'1-Input'!$B$12,0))-MIN(MAX(AA189,0),MAX(0,W176-IF($A190&gt;='1-Input'!$C$12,'1-Input'!$B$12,0))))*(1/(1-'P-Parametri'!$B$6*W190))),MAX(0,1*W176-(AA189-MIN(MAX(AA189,0),MAX(0,W176-IF($A190&gt;='1-Input'!$C$12,'1-Input'!$B$12,0)))))*(1/(1-'P-Parametri'!$B$6*W190))))</f>
        <v>18714.292084796802</v>
      </c>
      <c r="Y190" s="18">
        <f>IF($A190&gt;'1-Input'!$B$26,AA189,(AA189-MAX(0,W176-IF($A190&gt;='1-Input'!$C$12,'1-Input'!$B$12,0))+X190*(1-'P-Parametri'!$B$6*W190))*(1+'1-Input'!$B$27))</f>
        <v>16864.984001895245</v>
      </c>
      <c r="Z190" s="18">
        <f>IF($A190&gt;'1-Input'!$B$26,AB189,(AB189-X190)*(1+$B$4))</f>
        <v>275100.64400951244</v>
      </c>
      <c r="AA190" s="18">
        <f>IF($A190&gt;'1-Input'!$B$26,Y190,Y190-'P-Parametri'!$B$8*(Z190+Y190)+MIN(MAX(Z190,0),'P-Parametri'!$B$8*(Z190+Y190)))</f>
        <v>16864.984001895245</v>
      </c>
      <c r="AB190" s="18">
        <f>IF($A190&gt;'1-Input'!$B$26,Z190,Z190-MIN(MAX(Z190,0),'P-Parametri'!$B$8*(Z190+Y190)))</f>
        <v>274516.71275348961</v>
      </c>
      <c r="AC190" s="18">
        <f>IF($A190&gt;'1-Input'!$B$26,AC189,AC189-X190*(1-W190))</f>
        <v>173954.47552597232</v>
      </c>
      <c r="AD190" s="11">
        <f>IF($A190&gt;'1-Input'!$B$26,0,IF(AI189&lt;=0,0,MAX(0,(AI189-AJ189)/AI189)))</f>
        <v>0.35502305894533082</v>
      </c>
      <c r="AE190" s="18">
        <f>IF($A190&gt;'1-Input'!$B$26,0,(MAX(0,AD176-IF($A190&gt;='1-Input'!$C$12,'1-Input'!$B$12,0))-MIN(MAX(AH189,0),MAX(0,AD176-IF($A190&gt;='1-Input'!$C$12,'1-Input'!$B$12,0))))*(1/(1-'P-Parametri'!$B$6*AD190))+MIN(MAX(0,AI189-(MAX(0,AD176-IF($A190&gt;='1-Input'!$C$12,'1-Input'!$B$12,0))-MIN(MAX(AH189,0),MAX(0,AD176-IF($A190&gt;='1-Input'!$C$12,'1-Input'!$B$12,0))))*(1/(1-'P-Parametri'!$B$6*AD190))),MAX(0,1*AD176-(AH189-MIN(MAX(AH189,0),MAX(0,AD176-IF($A190&gt;='1-Input'!$C$12,'1-Input'!$B$12,0)))))*(1/(1-'P-Parametri'!$B$6*AD190))))</f>
        <v>18714.758858862708</v>
      </c>
      <c r="AF190" s="18">
        <f>IF($A190&gt;'1-Input'!$B$26,AH189,(AH189-MAX(0,AD176-IF($A190&gt;='1-Input'!$C$12,'1-Input'!$B$12,0))+AE190*(1-'P-Parametri'!$B$6*AD190))*(1+'1-Input'!$B$27))</f>
        <v>16865.404770046734</v>
      </c>
      <c r="AG190" s="18">
        <f>IF($A190&gt;'1-Input'!$B$26,AI189,(AI189-AE190)*(1+$B$4))</f>
        <v>275093.9209600027</v>
      </c>
      <c r="AH190" s="18">
        <f>IF($A190&gt;'1-Input'!$B$26,AF190,AF190-'P-Parametri'!$B$8*(AG190+AF190)+MIN(MAX(AG190,0),'P-Parametri'!$B$8*(AG190+AF190)))</f>
        <v>16865.404770046734</v>
      </c>
      <c r="AI190" s="18">
        <f>IF($A190&gt;'1-Input'!$B$26,AG190,AG190-MIN(MAX(AG190,0),'P-Parametri'!$B$8*(AG190+AF190)))</f>
        <v>274510.00230854261</v>
      </c>
      <c r="AJ190" s="18">
        <f>IF($A190&gt;'1-Input'!$B$26,AJ189,AJ189-AE190*(1-AD190))</f>
        <v>173950.23102305635</v>
      </c>
      <c r="AK190" s="11">
        <f>IF($A190&gt;'1-Input'!$B$26,0,IF(AP189&lt;=0,0,MAX(0,(AP189-AQ189)/AP189)))</f>
        <v>0.35502305894529318</v>
      </c>
      <c r="AL190" s="18">
        <f>IF($A190&gt;'1-Input'!$B$26,0,(MAX(0,AK176-IF($A190&gt;='1-Input'!$C$12,'1-Input'!$B$12,0))-MIN(MAX(AO189,0),MAX(0,AK176-IF($A190&gt;='1-Input'!$C$12,'1-Input'!$B$12,0))))*(1/(1-'P-Parametri'!$B$6*AK190))+MIN(MAX(0,AP189-(MAX(0,AK176-IF($A190&gt;='1-Input'!$C$12,'1-Input'!$B$12,0))-MIN(MAX(AO189,0),MAX(0,AK176-IF($A190&gt;='1-Input'!$C$12,'1-Input'!$B$12,0))))*(1/(1-'P-Parametri'!$B$6*AK190))),MAX(0,1*AK176-(AO189-MIN(MAX(AO189,0),MAX(0,AK176-IF($A190&gt;='1-Input'!$C$12,'1-Input'!$B$12,0)))))*(1/(1-'P-Parametri'!$B$6*AK190))))</f>
        <v>18714.75885957012</v>
      </c>
      <c r="AM190" s="18">
        <f>IF($A190&gt;'1-Input'!$B$26,AO189,(AO189-MAX(0,AK176-IF($A190&gt;='1-Input'!$C$12,'1-Input'!$B$12,0))+AL190*(1-'P-Parametri'!$B$6*AK190))*(1+'1-Input'!$B$27))</f>
        <v>16865.404770684429</v>
      </c>
      <c r="AN190" s="18">
        <f>IF($A190&gt;'1-Input'!$B$26,AP189,(AP189-AL190)*(1+$B$4))</f>
        <v>275093.9209498135</v>
      </c>
      <c r="AO190" s="18">
        <f>IF($A190&gt;'1-Input'!$B$26,AM190,AM190-'P-Parametri'!$B$8*(AN190+AM190)+MIN(MAX(AN190,0),'P-Parametri'!$B$8*(AN190+AM190)))</f>
        <v>16865.404770684429</v>
      </c>
      <c r="AP190" s="18">
        <f>IF($A190&gt;'1-Input'!$B$26,AN190,AN190-MIN(MAX(AN190,0),'P-Parametri'!$B$8*(AN190+AM190)))</f>
        <v>274510.00229837251</v>
      </c>
      <c r="AQ190" s="18">
        <f>IF($A190&gt;'1-Input'!$B$26,AQ189,AQ189-AL190*(1-AK190))</f>
        <v>173950.23101662358</v>
      </c>
    </row>
    <row r="191" spans="1:43">
      <c r="A191" s="10">
        <f>13</f>
        <v>13</v>
      </c>
      <c r="B191" s="11">
        <f>IF($A191&gt;'1-Input'!$B$26,0,IF(G190&lt;=0,0,MAX(0,(G190-H190)/G190)))</f>
        <v>0.36634086547007599</v>
      </c>
      <c r="C191" s="18">
        <f>IF($A191&gt;'1-Input'!$B$26,0,(MAX(0,B176-IF($A191&gt;='1-Input'!$C$12,'1-Input'!$B$12,0))-MIN(MAX(F190,0),MAX(0,B176-IF($A191&gt;='1-Input'!$C$12,'1-Input'!$B$12,0))))*(1/(1-'P-Parametri'!$B$6*B191))+MIN(MAX(0,G190-(MAX(0,B176-IF($A191&gt;='1-Input'!$C$12,'1-Input'!$B$12,0))-MIN(MAX(F190,0),MAX(0,B176-IF($A191&gt;='1-Input'!$C$12,'1-Input'!$B$12,0))))*(1/(1-'P-Parametri'!$B$6*B191))),MAX(0,1*B176-(F190-MIN(MAX(F190,0),MAX(0,B176-IF($A191&gt;='1-Input'!$C$12,'1-Input'!$B$12,0)))))*(1/(1-'P-Parametri'!$B$6*B191))))</f>
        <v>18503.544262830881</v>
      </c>
      <c r="D191" s="18">
        <f>IF($A191&gt;'1-Input'!$B$26,F190,(F190-MAX(0,B176-IF($A191&gt;='1-Input'!$C$12,'1-Input'!$B$12,0))+C191*(1-'P-Parametri'!$B$6*B191))*(1+'1-Input'!$B$27))</f>
        <v>16621.003515493154</v>
      </c>
      <c r="E191" s="18">
        <f>IF($A191&gt;'1-Input'!$B$26,G190,(G190-C191)*(1+$B$4))</f>
        <v>265102.28163068235</v>
      </c>
      <c r="F191" s="18">
        <f>IF($A191&gt;'1-Input'!$B$26,D191,D191-'P-Parametri'!$B$8*(E191+D191)+MIN(MAX(E191,0),'P-Parametri'!$B$8*(E191+D191)))</f>
        <v>16621.003515493154</v>
      </c>
      <c r="G191" s="18">
        <f>IF($A191&gt;'1-Input'!$B$26,E191,E191-MIN(MAX(E191,0),'P-Parametri'!$B$8*(E191+D191)))</f>
        <v>264538.83506039</v>
      </c>
      <c r="H191" s="18">
        <f>IF($A191&gt;'1-Input'!$B$26,H190,H190-C191*(1-B191))</f>
        <v>164690.6689607905</v>
      </c>
      <c r="I191" s="11">
        <f>IF($A191&gt;'1-Input'!$B$26,0,IF(N190&lt;=0,0,MAX(0,(N190-O190)/N190)))</f>
        <v>0.36591931490754237</v>
      </c>
      <c r="J191" s="18">
        <f>IF($A191&gt;'1-Input'!$B$26,0,(MAX(0,I176-IF($A191&gt;='1-Input'!$C$12,'1-Input'!$B$12,0))-MIN(MAX(M190,0),MAX(0,I176-IF($A191&gt;='1-Input'!$C$12,'1-Input'!$B$12,0))))*(1/(1-'P-Parametri'!$B$6*I191))+MIN(MAX(0,N190-(MAX(0,I176-IF($A191&gt;='1-Input'!$C$12,'1-Input'!$B$12,0))-MIN(MAX(M190,0),MAX(0,I176-IF($A191&gt;='1-Input'!$C$12,'1-Input'!$B$12,0))))*(1/(1-'P-Parametri'!$B$6*I191))),MAX(0,1*I176-(M190-MIN(MAX(M190,0),MAX(0,I176-IF($A191&gt;='1-Input'!$C$12,'1-Input'!$B$12,0)))))*(1/(1-'P-Parametri'!$B$6*I191))))</f>
        <v>24343.819714461879</v>
      </c>
      <c r="K191" s="18">
        <f>IF($A191&gt;'1-Input'!$B$26,M190,(M190-MAX(0,I176-IF($A191&gt;='1-Input'!$C$12,'1-Input'!$B$12,0))+J191*(1-'P-Parametri'!$B$6*I191))*(1+'1-Input'!$B$27))</f>
        <v>21869.741467754149</v>
      </c>
      <c r="L191" s="18">
        <f>IF($A191&gt;'1-Input'!$B$26,N190,(N190-J191)*(1+$B$4))</f>
        <v>173767.81609287715</v>
      </c>
      <c r="M191" s="18">
        <f>IF($A191&gt;'1-Input'!$B$26,K191,K191-'P-Parametri'!$B$8*(L191+K191)+MIN(MAX(L191,0),'P-Parametri'!$B$8*(L191+K191)))</f>
        <v>21869.741467754149</v>
      </c>
      <c r="N191" s="18">
        <f>IF($A191&gt;'1-Input'!$B$26,L191,L191-MIN(MAX(L191,0),'P-Parametri'!$B$8*(L191+K191)))</f>
        <v>173376.54097775588</v>
      </c>
      <c r="O191" s="18">
        <f>IF($A191&gt;'1-Input'!$B$26,O190,O190-J191*(1-I191))</f>
        <v>108022.36850508994</v>
      </c>
      <c r="P191" s="11">
        <f>IF($A191&gt;'1-Input'!$B$26,0,IF(U190&lt;=0,0,MAX(0,(U190-V190)/U190)))</f>
        <v>0.36632513994835125</v>
      </c>
      <c r="Q191" s="18">
        <f>IF($A191&gt;'1-Input'!$B$26,0,(MAX(0,P176-IF($A191&gt;='1-Input'!$C$12,'1-Input'!$B$12,0))-MIN(MAX(T190,0),MAX(0,P176-IF($A191&gt;='1-Input'!$C$12,'1-Input'!$B$12,0))))*(1/(1-'P-Parametri'!$B$6*P191))+MIN(MAX(0,U190-(MAX(0,P176-IF($A191&gt;='1-Input'!$C$12,'1-Input'!$B$12,0))-MIN(MAX(T190,0),MAX(0,P176-IF($A191&gt;='1-Input'!$C$12,'1-Input'!$B$12,0))))*(1/(1-'P-Parametri'!$B$6*P191))),MAX(0,1*P176-(T190-MIN(MAX(T190,0),MAX(0,P176-IF($A191&gt;='1-Input'!$C$12,'1-Input'!$B$12,0)))))*(1/(1-'P-Parametri'!$B$6*P191))))</f>
        <v>18766.842519665577</v>
      </c>
      <c r="R191" s="18">
        <f>IF($A191&gt;'1-Input'!$B$26,T190,(T190-MAX(0,P176-IF($A191&gt;='1-Input'!$C$12,'1-Input'!$B$12,0))+Q191*(1-'P-Parametri'!$B$6*P191))*(1+'1-Input'!$B$27))</f>
        <v>16857.590128083153</v>
      </c>
      <c r="S191" s="18">
        <f>IF($A191&gt;'1-Input'!$B$26,U190,(U190-Q191)*(1+$B$4))</f>
        <v>260985.14411417162</v>
      </c>
      <c r="T191" s="18">
        <f>IF($A191&gt;'1-Input'!$B$26,R191,R191-'P-Parametri'!$B$8*(S191+R191)+MIN(MAX(S191,0),'P-Parametri'!$B$8*(S191+R191)))</f>
        <v>16857.590128083153</v>
      </c>
      <c r="U191" s="18">
        <f>IF($A191&gt;'1-Input'!$B$26,S191,S191-MIN(MAX(S191,0),'P-Parametri'!$B$8*(S191+R191)))</f>
        <v>260429.45864568712</v>
      </c>
      <c r="V191" s="18">
        <f>IF($A191&gt;'1-Input'!$B$26,V190,V190-Q191*(1-P191))</f>
        <v>162136.984972654</v>
      </c>
      <c r="W191" s="11">
        <f>IF($A191&gt;'1-Input'!$B$26,0,IF(AB190&lt;=0,0,MAX(0,(AB190-AC190)/AB190)))</f>
        <v>0.36632464456843516</v>
      </c>
      <c r="X191" s="18">
        <f>IF($A191&gt;'1-Input'!$B$26,0,(MAX(0,W176-IF($A191&gt;='1-Input'!$C$12,'1-Input'!$B$12,0))-MIN(MAX(AA190,0),MAX(0,W176-IF($A191&gt;='1-Input'!$C$12,'1-Input'!$B$12,0))))*(1/(1-'P-Parametri'!$B$6*W191))+MIN(MAX(0,AB190-(MAX(0,W176-IF($A191&gt;='1-Input'!$C$12,'1-Input'!$B$12,0))-MIN(MAX(AA190,0),MAX(0,W176-IF($A191&gt;='1-Input'!$C$12,'1-Input'!$B$12,0))))*(1/(1-'P-Parametri'!$B$6*W191))),MAX(0,1*W176-(AA190-MIN(MAX(AA190,0),MAX(0,W176-IF($A191&gt;='1-Input'!$C$12,'1-Input'!$B$12,0)))))*(1/(1-'P-Parametri'!$B$6*W191))))</f>
        <v>18775.071134068439</v>
      </c>
      <c r="Y191" s="18">
        <f>IF($A191&gt;'1-Input'!$B$26,AA190,(AA190-MAX(0,W176-IF($A191&gt;='1-Input'!$C$12,'1-Input'!$B$12,0))+X191*(1-'P-Parametri'!$B$6*W191))*(1+'1-Input'!$B$27))</f>
        <v>16864.984001895245</v>
      </c>
      <c r="Z191" s="18">
        <f>IF($A191&gt;'1-Input'!$B$26,AB190,(AB190-X191)*(1+$B$4))</f>
        <v>260856.4744518096</v>
      </c>
      <c r="AA191" s="18">
        <f>IF($A191&gt;'1-Input'!$B$26,Y191,Y191-'P-Parametri'!$B$8*(Z191+Y191)+MIN(MAX(Z191,0),'P-Parametri'!$B$8*(Z191+Y191)))</f>
        <v>16864.984001895245</v>
      </c>
      <c r="AB191" s="18">
        <f>IF($A191&gt;'1-Input'!$B$26,Z191,Z191-MIN(MAX(Z191,0),'P-Parametri'!$B$8*(Z191+Y191)))</f>
        <v>260301.0315349022</v>
      </c>
      <c r="AC191" s="18">
        <f>IF($A191&gt;'1-Input'!$B$26,AC190,AC190-X191*(1-W191))</f>
        <v>162057.1756518386</v>
      </c>
      <c r="AD191" s="11">
        <f>IF($A191&gt;'1-Input'!$B$26,0,IF(AI190&lt;=0,0,MAX(0,(AI190-AJ190)/AI190)))</f>
        <v>0.36632461637029717</v>
      </c>
      <c r="AE191" s="18">
        <f>IF($A191&gt;'1-Input'!$B$26,0,(MAX(0,AD176-IF($A191&gt;='1-Input'!$C$12,'1-Input'!$B$12,0))-MIN(MAX(AH190,0),MAX(0,AD176-IF($A191&gt;='1-Input'!$C$12,'1-Input'!$B$12,0))))*(1/(1-'P-Parametri'!$B$6*AD191))+MIN(MAX(0,AI190-(MAX(0,AD176-IF($A191&gt;='1-Input'!$C$12,'1-Input'!$B$12,0))-MIN(MAX(AH190,0),MAX(0,AD176-IF($A191&gt;='1-Input'!$C$12,'1-Input'!$B$12,0))))*(1/(1-'P-Parametri'!$B$6*AD191))),MAX(0,1*AD176-(AH190-MIN(MAX(AH190,0),MAX(0,AD176-IF($A191&gt;='1-Input'!$C$12,'1-Input'!$B$12,0)))))*(1/(1-'P-Parametri'!$B$6*AD191))))</f>
        <v>18775.539405254924</v>
      </c>
      <c r="AF191" s="18">
        <f>IF($A191&gt;'1-Input'!$B$26,AH190,(AH190-MAX(0,AD176-IF($A191&gt;='1-Input'!$C$12,'1-Input'!$B$12,0))+AE191*(1-'P-Parametri'!$B$6*AD191))*(1+'1-Input'!$B$27))</f>
        <v>16865.404770046738</v>
      </c>
      <c r="AG191" s="18">
        <f>IF($A191&gt;'1-Input'!$B$26,AI190,(AI190-AE191)*(1+$B$4))</f>
        <v>260849.15216135341</v>
      </c>
      <c r="AH191" s="18">
        <f>IF($A191&gt;'1-Input'!$B$26,AF191,AF191-'P-Parametri'!$B$8*(AG191+AF191)+MIN(MAX(AG191,0),'P-Parametri'!$B$8*(AG191+AF191)))</f>
        <v>16865.404770046738</v>
      </c>
      <c r="AI191" s="18">
        <f>IF($A191&gt;'1-Input'!$B$26,AG191,AG191-MIN(MAX(AG191,0),'P-Parametri'!$B$8*(AG191+AF191)))</f>
        <v>260293.72304749061</v>
      </c>
      <c r="AJ191" s="18">
        <f>IF($A191&gt;'1-Input'!$B$26,AJ190,AJ190-AE191*(1-AD191))</f>
        <v>162052.63388757684</v>
      </c>
      <c r="AK191" s="11">
        <f>IF($A191&gt;'1-Input'!$B$26,0,IF(AP190&lt;=0,0,MAX(0,(AP190-AQ190)/AP190)))</f>
        <v>0.36632461637025426</v>
      </c>
      <c r="AL191" s="18">
        <f>IF($A191&gt;'1-Input'!$B$26,0,(MAX(0,AK176-IF($A191&gt;='1-Input'!$C$12,'1-Input'!$B$12,0))-MIN(MAX(AO190,0),MAX(0,AK176-IF($A191&gt;='1-Input'!$C$12,'1-Input'!$B$12,0))))*(1/(1-'P-Parametri'!$B$6*AK191))+MIN(MAX(0,AP190-(MAX(0,AK176-IF($A191&gt;='1-Input'!$C$12,'1-Input'!$B$12,0))-MIN(MAX(AO190,0),MAX(0,AK176-IF($A191&gt;='1-Input'!$C$12,'1-Input'!$B$12,0))))*(1/(1-'P-Parametri'!$B$6*AK191))),MAX(0,1*AK176-(AO190-MIN(MAX(AO190,0),MAX(0,AK176-IF($A191&gt;='1-Input'!$C$12,'1-Input'!$B$12,0)))))*(1/(1-'P-Parametri'!$B$6*AK191))))</f>
        <v>18775.539405964606</v>
      </c>
      <c r="AM191" s="18">
        <f>IF($A191&gt;'1-Input'!$B$26,AO190,(AO190-MAX(0,AK176-IF($A191&gt;='1-Input'!$C$12,'1-Input'!$B$12,0))+AL191*(1-'P-Parametri'!$B$6*AK191))*(1+'1-Input'!$B$27))</f>
        <v>16865.404770684429</v>
      </c>
      <c r="AN191" s="18">
        <f>IF($A191&gt;'1-Input'!$B$26,AP190,(AP190-AL191)*(1+$B$4))</f>
        <v>260849.15215025606</v>
      </c>
      <c r="AO191" s="18">
        <f>IF($A191&gt;'1-Input'!$B$26,AM191,AM191-'P-Parametri'!$B$8*(AN191+AM191)+MIN(MAX(AN191,0),'P-Parametri'!$B$8*(AN191+AM191)))</f>
        <v>16865.404770684429</v>
      </c>
      <c r="AP191" s="18">
        <f>IF($A191&gt;'1-Input'!$B$26,AN191,AN191-MIN(MAX(AN191,0),'P-Parametri'!$B$8*(AN191+AM191)))</f>
        <v>260293.72303641419</v>
      </c>
      <c r="AQ191" s="18">
        <f>IF($A191&gt;'1-Input'!$B$26,AQ190,AQ190-AL191*(1-AK191))</f>
        <v>162052.63388069355</v>
      </c>
    </row>
    <row r="192" spans="1:43">
      <c r="A192" s="10">
        <f>14</f>
        <v>14</v>
      </c>
      <c r="B192" s="11">
        <f>IF($A192&gt;'1-Input'!$B$26,0,IF(G191&lt;=0,0,MAX(0,(G191-H191)/G191)))</f>
        <v>0.37744237467744862</v>
      </c>
      <c r="C192" s="18">
        <f>IF($A192&gt;'1-Input'!$B$26,0,(MAX(0,B176-IF($A192&gt;='1-Input'!$C$12,'1-Input'!$B$12,0))-MIN(MAX(F191,0),MAX(0,B176-IF($A192&gt;='1-Input'!$C$12,'1-Input'!$B$12,0))))*(1/(1-'P-Parametri'!$B$6*B192))+MIN(MAX(0,G191-(MAX(0,B176-IF($A192&gt;='1-Input'!$C$12,'1-Input'!$B$12,0))-MIN(MAX(F191,0),MAX(0,B176-IF($A192&gt;='1-Input'!$C$12,'1-Input'!$B$12,0))))*(1/(1-'P-Parametri'!$B$6*B192))),MAX(0,1*B176-(F191-MIN(MAX(F191,0),MAX(0,B176-IF($A192&gt;='1-Input'!$C$12,'1-Input'!$B$12,0)))))*(1/(1-'P-Parametri'!$B$6*B192))))</f>
        <v>18562.764312896157</v>
      </c>
      <c r="D192" s="18">
        <f>IF($A192&gt;'1-Input'!$B$26,F191,(F191-MAX(0,B176-IF($A192&gt;='1-Input'!$C$12,'1-Input'!$B$12,0))+C192*(1-'P-Parametri'!$B$6*B192))*(1+'1-Input'!$B$27))</f>
        <v>16621.003515493154</v>
      </c>
      <c r="E192" s="18">
        <f>IF($A192&gt;'1-Input'!$B$26,G191,(G191-C192)*(1+$B$4))</f>
        <v>250895.59216244373</v>
      </c>
      <c r="F192" s="18">
        <f>IF($A192&gt;'1-Input'!$B$26,D192,D192-'P-Parametri'!$B$8*(E192+D192)+MIN(MAX(E192,0),'P-Parametri'!$B$8*(E192+D192)))</f>
        <v>16621.003515493154</v>
      </c>
      <c r="G192" s="18">
        <f>IF($A192&gt;'1-Input'!$B$26,E192,E192-MIN(MAX(E192,0),'P-Parametri'!$B$8*(E192+D192)))</f>
        <v>250360.55897108786</v>
      </c>
      <c r="H192" s="18">
        <f>IF($A192&gt;'1-Input'!$B$26,H191,H191-C192*(1-B192))</f>
        <v>153134.27849073167</v>
      </c>
      <c r="I192" s="11">
        <f>IF($A192&gt;'1-Input'!$B$26,0,IF(N191&lt;=0,0,MAX(0,(N191-O191)/N191)))</f>
        <v>0.3769493387288817</v>
      </c>
      <c r="J192" s="18">
        <f>IF($A192&gt;'1-Input'!$B$26,0,(MAX(0,I176-IF($A192&gt;='1-Input'!$C$12,'1-Input'!$B$12,0))-MIN(MAX(M191,0),MAX(0,I176-IF($A192&gt;='1-Input'!$C$12,'1-Input'!$B$12,0))))*(1/(1-'P-Parametri'!$B$6*I192))+MIN(MAX(0,N191-(MAX(0,I176-IF($A192&gt;='1-Input'!$C$12,'1-Input'!$B$12,0))-MIN(MAX(M191,0),MAX(0,I176-IF($A192&gt;='1-Input'!$C$12,'1-Input'!$B$12,0))))*(1/(1-'P-Parametri'!$B$6*I192))),MAX(0,1*I176-(M191-MIN(MAX(M191,0),MAX(0,I176-IF($A192&gt;='1-Input'!$C$12,'1-Input'!$B$12,0)))))*(1/(1-'P-Parametri'!$B$6*I192))))</f>
        <v>24421.218700534395</v>
      </c>
      <c r="K192" s="18">
        <f>IF($A192&gt;'1-Input'!$B$26,M191,(M191-MAX(0,I176-IF($A192&gt;='1-Input'!$C$12,'1-Input'!$B$12,0))+J192*(1-'P-Parametri'!$B$6*I192))*(1+'1-Input'!$B$27))</f>
        <v>21869.741467754149</v>
      </c>
      <c r="L192" s="18">
        <f>IF($A192&gt;'1-Input'!$B$26,N191,(N191-J192)*(1+$B$4))</f>
        <v>151934.42872276591</v>
      </c>
      <c r="M192" s="18">
        <f>IF($A192&gt;'1-Input'!$B$26,K192,K192-'P-Parametri'!$B$8*(L192+K192)+MIN(MAX(L192,0),'P-Parametri'!$B$8*(L192+K192)))</f>
        <v>21869.741467754149</v>
      </c>
      <c r="N192" s="18">
        <f>IF($A192&gt;'1-Input'!$B$26,L192,L192-MIN(MAX(L192,0),'P-Parametri'!$B$8*(L192+K192)))</f>
        <v>151586.82038238487</v>
      </c>
      <c r="O192" s="18">
        <f>IF($A192&gt;'1-Input'!$B$26,O191,O191-J192*(1-I192))</f>
        <v>92806.712044675383</v>
      </c>
      <c r="P192" s="11">
        <f>IF($A192&gt;'1-Input'!$B$26,0,IF(U191&lt;=0,0,MAX(0,(U191-V191)/U191)))</f>
        <v>0.377424559357394</v>
      </c>
      <c r="Q192" s="18">
        <f>IF($A192&gt;'1-Input'!$B$26,0,(MAX(0,P176-IF($A192&gt;='1-Input'!$C$12,'1-Input'!$B$12,0))-MIN(MAX(T191,0),MAX(0,P176-IF($A192&gt;='1-Input'!$C$12,'1-Input'!$B$12,0))))*(1/(1-'P-Parametri'!$B$6*P192))+MIN(MAX(0,U191-(MAX(0,P176-IF($A192&gt;='1-Input'!$C$12,'1-Input'!$B$12,0))-MIN(MAX(T191,0),MAX(0,P176-IF($A192&gt;='1-Input'!$C$12,'1-Input'!$B$12,0))))*(1/(1-'P-Parametri'!$B$6*P192))),MAX(0,1*P176-(T191-MIN(MAX(T191,0),MAX(0,P176-IF($A192&gt;='1-Input'!$C$12,'1-Input'!$B$12,0)))))*(1/(1-'P-Parametri'!$B$6*P192))))</f>
        <v>18826.893633167609</v>
      </c>
      <c r="R192" s="18">
        <f>IF($A192&gt;'1-Input'!$B$26,T191,(T191-MAX(0,P176-IF($A192&gt;='1-Input'!$C$12,'1-Input'!$B$12,0))+Q192*(1-'P-Parametri'!$B$6*P192))*(1+'1-Input'!$B$27))</f>
        <v>16857.590128083153</v>
      </c>
      <c r="S192" s="18">
        <f>IF($A192&gt;'1-Input'!$B$26,U191,(U191-Q192)*(1+$B$4))</f>
        <v>246434.61631276991</v>
      </c>
      <c r="T192" s="18">
        <f>IF($A192&gt;'1-Input'!$B$26,R192,R192-'P-Parametri'!$B$8*(S192+R192)+MIN(MAX(S192,0),'P-Parametri'!$B$8*(S192+R192)))</f>
        <v>16857.590128083153</v>
      </c>
      <c r="U192" s="18">
        <f>IF($A192&gt;'1-Input'!$B$26,S192,S192-MIN(MAX(S192,0),'P-Parametri'!$B$8*(S192+R192)))</f>
        <v>245908.03189988821</v>
      </c>
      <c r="V192" s="18">
        <f>IF($A192&gt;'1-Input'!$B$26,V191,V191-Q192*(1-P192))</f>
        <v>150415.82337305319</v>
      </c>
      <c r="W192" s="11">
        <f>IF($A192&gt;'1-Input'!$B$26,0,IF(AB191&lt;=0,0,MAX(0,(AB191-AC191)/AB191)))</f>
        <v>0.37742399752991634</v>
      </c>
      <c r="X192" s="18">
        <f>IF($A192&gt;'1-Input'!$B$26,0,(MAX(0,W176-IF($A192&gt;='1-Input'!$C$12,'1-Input'!$B$12,0))-MIN(MAX(AA191,0),MAX(0,W176-IF($A192&gt;='1-Input'!$C$12,'1-Input'!$B$12,0))))*(1/(1-'P-Parametri'!$B$6*W192))+MIN(MAX(0,AB191-(MAX(0,W176-IF($A192&gt;='1-Input'!$C$12,'1-Input'!$B$12,0))-MIN(MAX(AA191,0),MAX(0,W176-IF($A192&gt;='1-Input'!$C$12,'1-Input'!$B$12,0))))*(1/(1-'P-Parametri'!$B$6*W192))),MAX(0,1*W176-(AA191-MIN(MAX(AA191,0),MAX(0,W176-IF($A192&gt;='1-Input'!$C$12,'1-Input'!$B$12,0)))))*(1/(1-'P-Parametri'!$B$6*W192))))</f>
        <v>18835.148208527444</v>
      </c>
      <c r="Y192" s="18">
        <f>IF($A192&gt;'1-Input'!$B$26,AA191,(AA191-MAX(0,W176-IF($A192&gt;='1-Input'!$C$12,'1-Input'!$B$12,0))+X192*(1-'P-Parametri'!$B$6*W192))*(1+'1-Input'!$B$27))</f>
        <v>16864.984001895245</v>
      </c>
      <c r="Z192" s="18">
        <f>IF($A192&gt;'1-Input'!$B$26,AB191,(AB191-X192)*(1+$B$4))</f>
        <v>246295.20099290225</v>
      </c>
      <c r="AA192" s="18">
        <f>IF($A192&gt;'1-Input'!$B$26,Y192,Y192-'P-Parametri'!$B$8*(Z192+Y192)+MIN(MAX(Z192,0),'P-Parametri'!$B$8*(Z192+Y192)))</f>
        <v>16864.984001895245</v>
      </c>
      <c r="AB192" s="18">
        <f>IF($A192&gt;'1-Input'!$B$26,Z192,Z192-MIN(MAX(Z192,0),'P-Parametri'!$B$8*(Z192+Y192)))</f>
        <v>245768.88062291266</v>
      </c>
      <c r="AC192" s="18">
        <f>IF($A192&gt;'1-Input'!$B$26,AC191,AC191-X192*(1-W192))</f>
        <v>150330.86437424202</v>
      </c>
      <c r="AD192" s="11">
        <f>IF($A192&gt;'1-Input'!$B$26,0,IF(AI191&lt;=0,0,MAX(0,(AI191-AJ191)/AI191)))</f>
        <v>0.37742396554829588</v>
      </c>
      <c r="AE192" s="18">
        <f>IF($A192&gt;'1-Input'!$B$26,0,(MAX(0,AD176-IF($A192&gt;='1-Input'!$C$12,'1-Input'!$B$12,0))-MIN(MAX(AH191,0),MAX(0,AD176-IF($A192&gt;='1-Input'!$C$12,'1-Input'!$B$12,0))))*(1/(1-'P-Parametri'!$B$6*AD192))+MIN(MAX(0,AI191-(MAX(0,AD176-IF($A192&gt;='1-Input'!$C$12,'1-Input'!$B$12,0))-MIN(MAX(AH191,0),MAX(0,AD176-IF($A192&gt;='1-Input'!$C$12,'1-Input'!$B$12,0))))*(1/(1-'P-Parametri'!$B$6*AD192))),MAX(0,1*AD176-(AH191-MIN(MAX(AH191,0),MAX(0,AD176-IF($A192&gt;='1-Input'!$C$12,'1-Input'!$B$12,0)))))*(1/(1-'P-Parametri'!$B$6*AD192))))</f>
        <v>18835.617957069917</v>
      </c>
      <c r="AF192" s="18">
        <f>IF($A192&gt;'1-Input'!$B$26,AH191,(AH191-MAX(0,AD176-IF($A192&gt;='1-Input'!$C$12,'1-Input'!$B$12,0))+AE192*(1-'P-Parametri'!$B$6*AD192))*(1+'1-Input'!$B$27))</f>
        <v>16865.404770046734</v>
      </c>
      <c r="AG192" s="18">
        <f>IF($A192&gt;'1-Input'!$B$26,AI191,(AI191-AE192)*(1+$B$4))</f>
        <v>246287.2671922291</v>
      </c>
      <c r="AH192" s="18">
        <f>IF($A192&gt;'1-Input'!$B$26,AF192,AF192-'P-Parametri'!$B$8*(AG192+AF192)+MIN(MAX(AG192,0),'P-Parametri'!$B$8*(AG192+AF192)))</f>
        <v>16865.404770046734</v>
      </c>
      <c r="AI192" s="18">
        <f>IF($A192&gt;'1-Input'!$B$26,AG192,AG192-MIN(MAX(AG192,0),'P-Parametri'!$B$8*(AG192+AF192)))</f>
        <v>245760.96184830455</v>
      </c>
      <c r="AJ192" s="18">
        <f>IF($A192&gt;'1-Input'!$B$26,AJ191,AJ191-AE192*(1-AD192))</f>
        <v>150326.02955341694</v>
      </c>
      <c r="AK192" s="11">
        <f>IF($A192&gt;'1-Input'!$B$26,0,IF(AP191&lt;=0,0,MAX(0,(AP191-AQ191)/AP191)))</f>
        <v>0.37742396554824736</v>
      </c>
      <c r="AL192" s="18">
        <f>IF($A192&gt;'1-Input'!$B$26,0,(MAX(0,AK176-IF($A192&gt;='1-Input'!$C$12,'1-Input'!$B$12,0))-MIN(MAX(AO191,0),MAX(0,AK176-IF($A192&gt;='1-Input'!$C$12,'1-Input'!$B$12,0))))*(1/(1-'P-Parametri'!$B$6*AK192))+MIN(MAX(0,AP191-(MAX(0,AK176-IF($A192&gt;='1-Input'!$C$12,'1-Input'!$B$12,0))-MIN(MAX(AO191,0),MAX(0,AK176-IF($A192&gt;='1-Input'!$C$12,'1-Input'!$B$12,0))))*(1/(1-'P-Parametri'!$B$6*AK192))),MAX(0,1*AK176-(AO191-MIN(MAX(AO191,0),MAX(0,AK176-IF($A192&gt;='1-Input'!$C$12,'1-Input'!$B$12,0)))))*(1/(1-'P-Parametri'!$B$6*AK192))))</f>
        <v>18835.617957781844</v>
      </c>
      <c r="AM192" s="18">
        <f>IF($A192&gt;'1-Input'!$B$26,AO191,(AO191-MAX(0,AK176-IF($A192&gt;='1-Input'!$C$12,'1-Input'!$B$12,0))+AL192*(1-'P-Parametri'!$B$6*AK192))*(1+'1-Input'!$B$27))</f>
        <v>16865.404770684429</v>
      </c>
      <c r="AN192" s="18">
        <f>IF($A192&gt;'1-Input'!$B$26,AP191,(AP191-AL192)*(1+$B$4))</f>
        <v>246287.26718020497</v>
      </c>
      <c r="AO192" s="18">
        <f>IF($A192&gt;'1-Input'!$B$26,AM192,AM192-'P-Parametri'!$B$8*(AN192+AM192)+MIN(MAX(AN192,0),'P-Parametri'!$B$8*(AN192+AM192)))</f>
        <v>16865.404770684429</v>
      </c>
      <c r="AP192" s="18">
        <f>IF($A192&gt;'1-Input'!$B$26,AN192,AN192-MIN(MAX(AN192,0),'P-Parametri'!$B$8*(AN192+AM192)))</f>
        <v>245760.96183630321</v>
      </c>
      <c r="AQ192" s="18">
        <f>IF($A192&gt;'1-Input'!$B$26,AQ191,AQ191-AL192*(1-AK192))</f>
        <v>150326.02954608953</v>
      </c>
    </row>
    <row r="193" spans="1:43">
      <c r="A193" s="10">
        <f>15</f>
        <v>15</v>
      </c>
      <c r="B193" s="11">
        <f>IF($A193&gt;'1-Input'!$B$26,0,IF(G192&lt;=0,0,MAX(0,(G192-H192)/G192)))</f>
        <v>0.38834503677387971</v>
      </c>
      <c r="C193" s="18">
        <f>IF($A193&gt;'1-Input'!$B$26,0,(MAX(0,B176-IF($A193&gt;='1-Input'!$C$12,'1-Input'!$B$12,0))-MIN(MAX(F192,0),MAX(0,B176-IF($A193&gt;='1-Input'!$C$12,'1-Input'!$B$12,0))))*(1/(1-'P-Parametri'!$B$6*B193))+MIN(MAX(0,G192-(MAX(0,B176-IF($A193&gt;='1-Input'!$C$12,'1-Input'!$B$12,0))-MIN(MAX(F192,0),MAX(0,B176-IF($A193&gt;='1-Input'!$C$12,'1-Input'!$B$12,0))))*(1/(1-'P-Parametri'!$B$6*B193))),MAX(0,1*B176-(F192-MIN(MAX(F192,0),MAX(0,B176-IF($A193&gt;='1-Input'!$C$12,'1-Input'!$B$12,0)))))*(1/(1-'P-Parametri'!$B$6*B193))))</f>
        <v>18621.293733704559</v>
      </c>
      <c r="D193" s="18">
        <f>IF($A193&gt;'1-Input'!$B$26,F192,(F192-MAX(0,B176-IF($A193&gt;='1-Input'!$C$12,'1-Input'!$B$12,0))+C193*(1-'P-Parametri'!$B$6*B193))*(1+'1-Input'!$B$27))</f>
        <v>16621.00351549315</v>
      </c>
      <c r="E193" s="18">
        <f>IF($A193&gt;'1-Input'!$B$26,G192,(G192-C193)*(1+$B$4))</f>
        <v>236374.05054213098</v>
      </c>
      <c r="F193" s="18">
        <f>IF($A193&gt;'1-Input'!$B$26,D193,D193-'P-Parametri'!$B$8*(E193+D193)+MIN(MAX(E193,0),'P-Parametri'!$B$8*(E193+D193)))</f>
        <v>16621.00351549315</v>
      </c>
      <c r="G193" s="18">
        <f>IF($A193&gt;'1-Input'!$B$26,E193,E193-MIN(MAX(E193,0),'P-Parametri'!$B$8*(E193+D193)))</f>
        <v>235868.06043401573</v>
      </c>
      <c r="H193" s="18">
        <f>IF($A193&gt;'1-Input'!$B$26,H192,H192-C193*(1-B193))</f>
        <v>141744.47175681981</v>
      </c>
      <c r="I193" s="11">
        <f>IF($A193&gt;'1-Input'!$B$26,0,IF(N192&lt;=0,0,MAX(0,(N192-O192)/N192)))</f>
        <v>0.3877652964118774</v>
      </c>
      <c r="J193" s="18">
        <f>IF($A193&gt;'1-Input'!$B$26,0,(MAX(0,I176-IF($A193&gt;='1-Input'!$C$12,'1-Input'!$B$12,0))-MIN(MAX(M192,0),MAX(0,I176-IF($A193&gt;='1-Input'!$C$12,'1-Input'!$B$12,0))))*(1/(1-'P-Parametri'!$B$6*I193))+MIN(MAX(0,N192-(MAX(0,I176-IF($A193&gt;='1-Input'!$C$12,'1-Input'!$B$12,0))-MIN(MAX(M192,0),MAX(0,I176-IF($A193&gt;='1-Input'!$C$12,'1-Input'!$B$12,0))))*(1/(1-'P-Parametri'!$B$6*I193))),MAX(0,1*I176-(M192-MIN(MAX(M192,0),MAX(0,I176-IF($A193&gt;='1-Input'!$C$12,'1-Input'!$B$12,0)))))*(1/(1-'P-Parametri'!$B$6*I193))))</f>
        <v>24497.594985105381</v>
      </c>
      <c r="K193" s="18">
        <f>IF($A193&gt;'1-Input'!$B$26,M192,(M192-MAX(0,I176-IF($A193&gt;='1-Input'!$C$12,'1-Input'!$B$12,0))+J193*(1-'P-Parametri'!$B$6*I193))*(1+'1-Input'!$B$27))</f>
        <v>21869.741467754142</v>
      </c>
      <c r="L193" s="18">
        <f>IF($A193&gt;'1-Input'!$B$26,N192,(N192-J193)*(1+$B$4))</f>
        <v>129631.00990522507</v>
      </c>
      <c r="M193" s="18">
        <f>IF($A193&gt;'1-Input'!$B$26,K193,K193-'P-Parametri'!$B$8*(L193+K193)+MIN(MAX(L193,0),'P-Parametri'!$B$8*(L193+K193)))</f>
        <v>21869.741467754142</v>
      </c>
      <c r="N193" s="18">
        <f>IF($A193&gt;'1-Input'!$B$26,L193,L193-MIN(MAX(L193,0),'P-Parametri'!$B$8*(L193+K193)))</f>
        <v>129328.00840247911</v>
      </c>
      <c r="O193" s="18">
        <f>IF($A193&gt;'1-Input'!$B$26,O192,O192-J193*(1-I193))</f>
        <v>77808.434240347517</v>
      </c>
      <c r="P193" s="11">
        <f>IF($A193&gt;'1-Input'!$B$26,0,IF(U192&lt;=0,0,MAX(0,(U192-V192)/U192)))</f>
        <v>0.38832488629615369</v>
      </c>
      <c r="Q193" s="18">
        <f>IF($A193&gt;'1-Input'!$B$26,0,(MAX(0,P176-IF($A193&gt;='1-Input'!$C$12,'1-Input'!$B$12,0))-MIN(MAX(T192,0),MAX(0,P176-IF($A193&gt;='1-Input'!$C$12,'1-Input'!$B$12,0))))*(1/(1-'P-Parametri'!$B$6*P193))+MIN(MAX(0,U192-(MAX(0,P176-IF($A193&gt;='1-Input'!$C$12,'1-Input'!$B$12,0))-MIN(MAX(T192,0),MAX(0,P176-IF($A193&gt;='1-Input'!$C$12,'1-Input'!$B$12,0))))*(1/(1-'P-Parametri'!$B$6*P193))),MAX(0,1*P176-(T192-MIN(MAX(T192,0),MAX(0,P176-IF($A193&gt;='1-Input'!$C$12,'1-Input'!$B$12,0)))))*(1/(1-'P-Parametri'!$B$6*P193))))</f>
        <v>18886.242808105177</v>
      </c>
      <c r="R193" s="18">
        <f>IF($A193&gt;'1-Input'!$B$26,T192,(T192-MAX(0,P176-IF($A193&gt;='1-Input'!$C$12,'1-Input'!$B$12,0))+Q193*(1-'P-Parametri'!$B$6*P193))*(1+'1-Input'!$B$27))</f>
        <v>16857.590128083153</v>
      </c>
      <c r="S193" s="18">
        <f>IF($A193&gt;'1-Input'!$B$26,U192,(U192-Q193)*(1+$B$4))</f>
        <v>231562.22487361872</v>
      </c>
      <c r="T193" s="18">
        <f>IF($A193&gt;'1-Input'!$B$26,R193,R193-'P-Parametri'!$B$8*(S193+R193)+MIN(MAX(S193,0),'P-Parametri'!$B$8*(S193+R193)))</f>
        <v>16857.590128083153</v>
      </c>
      <c r="U193" s="18">
        <f>IF($A193&gt;'1-Input'!$B$26,S193,S193-MIN(MAX(S193,0),'P-Parametri'!$B$8*(S193+R193)))</f>
        <v>231065.38524361531</v>
      </c>
      <c r="V193" s="18">
        <f>IF($A193&gt;'1-Input'!$B$26,V192,V192-Q193*(1-P193))</f>
        <v>138863.57865596702</v>
      </c>
      <c r="W193" s="11">
        <f>IF($A193&gt;'1-Input'!$B$26,0,IF(AB192&lt;=0,0,MAX(0,(AB192-AC192)/AB192)))</f>
        <v>0.38832425003026644</v>
      </c>
      <c r="X193" s="18">
        <f>IF($A193&gt;'1-Input'!$B$26,0,(MAX(0,W176-IF($A193&gt;='1-Input'!$C$12,'1-Input'!$B$12,0))-MIN(MAX(AA192,0),MAX(0,W176-IF($A193&gt;='1-Input'!$C$12,'1-Input'!$B$12,0))))*(1/(1-'P-Parametri'!$B$6*W193))+MIN(MAX(0,AB192-(MAX(0,W176-IF($A193&gt;='1-Input'!$C$12,'1-Input'!$B$12,0))-MIN(MAX(AA192,0),MAX(0,W176-IF($A193&gt;='1-Input'!$C$12,'1-Input'!$B$12,0))))*(1/(1-'P-Parametri'!$B$6*W193))),MAX(0,1*W176-(AA192-MIN(MAX(AA192,0),MAX(0,W176-IF($A193&gt;='1-Input'!$C$12,'1-Input'!$B$12,0)))))*(1/(1-'P-Parametri'!$B$6*W193))))</f>
        <v>18894.522988471668</v>
      </c>
      <c r="Y193" s="18">
        <f>IF($A193&gt;'1-Input'!$B$26,AA192,(AA192-MAX(0,W176-IF($A193&gt;='1-Input'!$C$12,'1-Input'!$B$12,0))+X193*(1-'P-Parametri'!$B$6*W193))*(1+'1-Input'!$B$27))</f>
        <v>16864.984001895249</v>
      </c>
      <c r="Z193" s="18">
        <f>IF($A193&gt;'1-Input'!$B$26,AB192,(AB192-X193)*(1+$B$4))</f>
        <v>231411.84478712981</v>
      </c>
      <c r="AA193" s="18">
        <f>IF($A193&gt;'1-Input'!$B$26,Y193,Y193-'P-Parametri'!$B$8*(Z193+Y193)+MIN(MAX(Z193,0),'P-Parametri'!$B$8*(Z193+Y193)))</f>
        <v>16864.984001895249</v>
      </c>
      <c r="AB193" s="18">
        <f>IF($A193&gt;'1-Input'!$B$26,Z193,Z193-MIN(MAX(Z193,0),'P-Parametri'!$B$8*(Z193+Y193)))</f>
        <v>230915.29112955177</v>
      </c>
      <c r="AC193" s="18">
        <f>IF($A193&gt;'1-Input'!$B$26,AC192,AC192-X193*(1-W193))</f>
        <v>138773.54285494823</v>
      </c>
      <c r="AD193" s="11">
        <f>IF($A193&gt;'1-Input'!$B$26,0,IF(AI192&lt;=0,0,MAX(0,(AI192-AJ192)/AI192)))</f>
        <v>0.3883242138098183</v>
      </c>
      <c r="AE193" s="18">
        <f>IF($A193&gt;'1-Input'!$B$26,0,(MAX(0,AD176-IF($A193&gt;='1-Input'!$C$12,'1-Input'!$B$12,0))-MIN(MAX(AH192,0),MAX(0,AD176-IF($A193&gt;='1-Input'!$C$12,'1-Input'!$B$12,0))))*(1/(1-'P-Parametri'!$B$6*AD193))+MIN(MAX(0,AI192-(MAX(0,AD176-IF($A193&gt;='1-Input'!$C$12,'1-Input'!$B$12,0))-MIN(MAX(AH192,0),MAX(0,AD176-IF($A193&gt;='1-Input'!$C$12,'1-Input'!$B$12,0))))*(1/(1-'P-Parametri'!$B$6*AD193))),MAX(0,1*AD176-(AH192-MIN(MAX(AH192,0),MAX(0,AD176-IF($A193&gt;='1-Input'!$C$12,'1-Input'!$B$12,0)))))*(1/(1-'P-Parametri'!$B$6*AD193))))</f>
        <v>18894.994194109127</v>
      </c>
      <c r="AF193" s="18">
        <f>IF($A193&gt;'1-Input'!$B$26,AH192,(AH192-MAX(0,AD176-IF($A193&gt;='1-Input'!$C$12,'1-Input'!$B$12,0))+AE193*(1-'P-Parametri'!$B$6*AD193))*(1+'1-Input'!$B$27))</f>
        <v>16865.404770046734</v>
      </c>
      <c r="AG193" s="18">
        <f>IF($A193&gt;'1-Input'!$B$26,AI192,(AI192-AE193)*(1+$B$4))</f>
        <v>231403.28700727932</v>
      </c>
      <c r="AH193" s="18">
        <f>IF($A193&gt;'1-Input'!$B$26,AF193,AF193-'P-Parametri'!$B$8*(AG193+AF193)+MIN(MAX(AG193,0),'P-Parametri'!$B$8*(AG193+AF193)))</f>
        <v>16865.404770046734</v>
      </c>
      <c r="AI193" s="18">
        <f>IF($A193&gt;'1-Input'!$B$26,AG193,AG193-MIN(MAX(AG193,0),'P-Parametri'!$B$8*(AG193+AF193)))</f>
        <v>230906.74962372467</v>
      </c>
      <c r="AJ193" s="18">
        <f>IF($A193&gt;'1-Input'!$B$26,AJ192,AJ192-AE193*(1-AD193))</f>
        <v>138768.41912467632</v>
      </c>
      <c r="AK193" s="11">
        <f>IF($A193&gt;'1-Input'!$B$26,0,IF(AP192&lt;=0,0,MAX(0,(AP192-AQ192)/AP192)))</f>
        <v>0.38832421380976329</v>
      </c>
      <c r="AL193" s="18">
        <f>IF($A193&gt;'1-Input'!$B$26,0,(MAX(0,AK176-IF($A193&gt;='1-Input'!$C$12,'1-Input'!$B$12,0))-MIN(MAX(AO192,0),MAX(0,AK176-IF($A193&gt;='1-Input'!$C$12,'1-Input'!$B$12,0))))*(1/(1-'P-Parametri'!$B$6*AK193))+MIN(MAX(0,AP192-(MAX(0,AK176-IF($A193&gt;='1-Input'!$C$12,'1-Input'!$B$12,0))-MIN(MAX(AO192,0),MAX(0,AK176-IF($A193&gt;='1-Input'!$C$12,'1-Input'!$B$12,0))))*(1/(1-'P-Parametri'!$B$6*AK193))),MAX(0,1*AK176-(AO192-MIN(MAX(AO192,0),MAX(0,AK176-IF($A193&gt;='1-Input'!$C$12,'1-Input'!$B$12,0)))))*(1/(1-'P-Parametri'!$B$6*AK193))))</f>
        <v>18894.994194823259</v>
      </c>
      <c r="AM193" s="18">
        <f>IF($A193&gt;'1-Input'!$B$26,AO192,(AO192-MAX(0,AK176-IF($A193&gt;='1-Input'!$C$12,'1-Input'!$B$12,0))+AL193*(1-'P-Parametri'!$B$6*AK193))*(1+'1-Input'!$B$27))</f>
        <v>16865.404770684429</v>
      </c>
      <c r="AN193" s="18">
        <f>IF($A193&gt;'1-Input'!$B$26,AP192,(AP192-AL193)*(1+$B$4))</f>
        <v>231403.28699430954</v>
      </c>
      <c r="AO193" s="18">
        <f>IF($A193&gt;'1-Input'!$B$26,AM193,AM193-'P-Parametri'!$B$8*(AN193+AM193)+MIN(MAX(AN193,0),'P-Parametri'!$B$8*(AN193+AM193)))</f>
        <v>16865.404770684429</v>
      </c>
      <c r="AP193" s="18">
        <f>IF($A193&gt;'1-Input'!$B$26,AN193,AN193-MIN(MAX(AN193,0),'P-Parametri'!$B$8*(AN193+AM193)))</f>
        <v>230906.74961077955</v>
      </c>
      <c r="AQ193" s="18">
        <f>IF($A193&gt;'1-Input'!$B$26,AQ192,AQ192-AL193*(1-AK193))</f>
        <v>138768.41911691104</v>
      </c>
    </row>
    <row r="194" spans="1:43">
      <c r="A194" s="10">
        <f>16</f>
        <v>16</v>
      </c>
      <c r="B194" s="11">
        <f>IF($A194&gt;'1-Input'!$B$26,0,IF(G193&lt;=0,0,MAX(0,(G193-H193)/G193)))</f>
        <v>0.39905186189262393</v>
      </c>
      <c r="C194" s="18">
        <f>IF($A194&gt;'1-Input'!$B$26,0,(MAX(0,B176-IF($A194&gt;='1-Input'!$C$12,'1-Input'!$B$12,0))-MIN(MAX(F193,0),MAX(0,B176-IF($A194&gt;='1-Input'!$C$12,'1-Input'!$B$12,0))))*(1/(1-'P-Parametri'!$B$6*B194))+MIN(MAX(0,G193-(MAX(0,B176-IF($A194&gt;='1-Input'!$C$12,'1-Input'!$B$12,0))-MIN(MAX(F193,0),MAX(0,B176-IF($A194&gt;='1-Input'!$C$12,'1-Input'!$B$12,0))))*(1/(1-'P-Parametri'!$B$6*B194))),MAX(0,1*B176-(F193-MIN(MAX(F193,0),MAX(0,B176-IF($A194&gt;='1-Input'!$C$12,'1-Input'!$B$12,0)))))*(1/(1-'P-Parametri'!$B$6*B194))))</f>
        <v>18679.132154616342</v>
      </c>
      <c r="D194" s="18">
        <f>IF($A194&gt;'1-Input'!$B$26,F193,(F193-MAX(0,B176-IF($A194&gt;='1-Input'!$C$12,'1-Input'!$B$12,0))+C194*(1-'P-Parametri'!$B$6*B194))*(1+'1-Input'!$B$27))</f>
        <v>16621.00351549315</v>
      </c>
      <c r="E194" s="18">
        <f>IF($A194&gt;'1-Input'!$B$26,G193,(G193-C194)*(1+$B$4))</f>
        <v>221532.70684498738</v>
      </c>
      <c r="F194" s="18">
        <f>IF($A194&gt;'1-Input'!$B$26,D194,D194-'P-Parametri'!$B$8*(E194+D194)+MIN(MAX(E194,0),'P-Parametri'!$B$8*(E194+D194)))</f>
        <v>16621.00351549315</v>
      </c>
      <c r="G194" s="18">
        <f>IF($A194&gt;'1-Input'!$B$26,E194,E194-MIN(MAX(E194,0),'P-Parametri'!$B$8*(E194+D194)))</f>
        <v>221056.39942426642</v>
      </c>
      <c r="H194" s="18">
        <f>IF($A194&gt;'1-Input'!$B$26,H193,H193-C194*(1-B194))</f>
        <v>130519.28206704149</v>
      </c>
      <c r="I194" s="11">
        <f>IF($A194&gt;'1-Input'!$B$26,0,IF(N193&lt;=0,0,MAX(0,(N193-O193)/N193)))</f>
        <v>0.39836362438829614</v>
      </c>
      <c r="J194" s="18">
        <f>IF($A194&gt;'1-Input'!$B$26,0,(MAX(0,I176-IF($A194&gt;='1-Input'!$C$12,'1-Input'!$B$12,0))-MIN(MAX(M193,0),MAX(0,I176-IF($A194&gt;='1-Input'!$C$12,'1-Input'!$B$12,0))))*(1/(1-'P-Parametri'!$B$6*I194))+MIN(MAX(0,N193-(MAX(0,I176-IF($A194&gt;='1-Input'!$C$12,'1-Input'!$B$12,0))-MIN(MAX(M193,0),MAX(0,I176-IF($A194&gt;='1-Input'!$C$12,'1-Input'!$B$12,0))))*(1/(1-'P-Parametri'!$B$6*I194))),MAX(0,1*I176-(M193-MIN(MAX(M193,0),MAX(0,I176-IF($A194&gt;='1-Input'!$C$12,'1-Input'!$B$12,0)))))*(1/(1-'P-Parametri'!$B$6*I194))))</f>
        <v>24572.899319065906</v>
      </c>
      <c r="K194" s="18">
        <f>IF($A194&gt;'1-Input'!$B$26,M193,(M193-MAX(0,I176-IF($A194&gt;='1-Input'!$C$12,'1-Input'!$B$12,0))+J194*(1-'P-Parametri'!$B$6*I194))*(1+'1-Input'!$B$27))</f>
        <v>21869.741467754146</v>
      </c>
      <c r="L194" s="18">
        <f>IF($A194&gt;'1-Input'!$B$26,N193,(N193-J194)*(1+$B$4))</f>
        <v>106850.21126508147</v>
      </c>
      <c r="M194" s="18">
        <f>IF($A194&gt;'1-Input'!$B$26,K194,K194-'P-Parametri'!$B$8*(L194+K194)+MIN(MAX(L194,0),'P-Parametri'!$B$8*(L194+K194)))</f>
        <v>21869.741467754146</v>
      </c>
      <c r="N194" s="18">
        <f>IF($A194&gt;'1-Input'!$B$26,L194,L194-MIN(MAX(L194,0),'P-Parametri'!$B$8*(L194+K194)))</f>
        <v>106592.7713596158</v>
      </c>
      <c r="O194" s="18">
        <f>IF($A194&gt;'1-Input'!$B$26,O193,O193-J194*(1-I194))</f>
        <v>63024.484155753402</v>
      </c>
      <c r="P194" s="11">
        <f>IF($A194&gt;'1-Input'!$B$26,0,IF(U193&lt;=0,0,MAX(0,(U193-V193)/U193)))</f>
        <v>0.39902907348254996</v>
      </c>
      <c r="Q194" s="18">
        <f>IF($A194&gt;'1-Input'!$B$26,0,(MAX(0,P176-IF($A194&gt;='1-Input'!$C$12,'1-Input'!$B$12,0))-MIN(MAX(T193,0),MAX(0,P176-IF($A194&gt;='1-Input'!$C$12,'1-Input'!$B$12,0))))*(1/(1-'P-Parametri'!$B$6*P194))+MIN(MAX(0,U193-(MAX(0,P176-IF($A194&gt;='1-Input'!$C$12,'1-Input'!$B$12,0))-MIN(MAX(T193,0),MAX(0,P176-IF($A194&gt;='1-Input'!$C$12,'1-Input'!$B$12,0))))*(1/(1-'P-Parametri'!$B$6*P194))),MAX(0,1*P176-(T193-MIN(MAX(T193,0),MAX(0,P176-IF($A194&gt;='1-Input'!$C$12,'1-Input'!$B$12,0)))))*(1/(1-'P-Parametri'!$B$6*P194))))</f>
        <v>18944.889329945181</v>
      </c>
      <c r="R194" s="18">
        <f>IF($A194&gt;'1-Input'!$B$26,T193,(T193-MAX(0,P176-IF($A194&gt;='1-Input'!$C$12,'1-Input'!$B$12,0))+Q194*(1-'P-Parametri'!$B$6*P194))*(1+'1-Input'!$B$27))</f>
        <v>16857.590128083153</v>
      </c>
      <c r="S194" s="18">
        <f>IF($A194&gt;'1-Input'!$B$26,U193,(U193-Q194)*(1+$B$4))</f>
        <v>216362.90583194356</v>
      </c>
      <c r="T194" s="18">
        <f>IF($A194&gt;'1-Input'!$B$26,R194,R194-'P-Parametri'!$B$8*(S194+R194)+MIN(MAX(S194,0),'P-Parametri'!$B$8*(S194+R194)))</f>
        <v>16857.590128083153</v>
      </c>
      <c r="U194" s="18">
        <f>IF($A194&gt;'1-Input'!$B$26,S194,S194-MIN(MAX(S194,0),'P-Parametri'!$B$8*(S194+R194)))</f>
        <v>215896.46484002352</v>
      </c>
      <c r="V194" s="18">
        <f>IF($A194&gt;'1-Input'!$B$26,V193,V193-Q194*(1-P194))</f>
        <v>127478.25096257932</v>
      </c>
      <c r="W194" s="11">
        <f>IF($A194&gt;'1-Input'!$B$26,0,IF(AB193&lt;=0,0,MAX(0,(AB193-AC193)/AB193)))</f>
        <v>0.39902835288161453</v>
      </c>
      <c r="X194" s="18">
        <f>IF($A194&gt;'1-Input'!$B$26,0,(MAX(0,W176-IF($A194&gt;='1-Input'!$C$12,'1-Input'!$B$12,0))-MIN(MAX(AA193,0),MAX(0,W176-IF($A194&gt;='1-Input'!$C$12,'1-Input'!$B$12,0))))*(1/(1-'P-Parametri'!$B$6*W194))+MIN(MAX(0,AB193-(MAX(0,W176-IF($A194&gt;='1-Input'!$C$12,'1-Input'!$B$12,0))-MIN(MAX(AA193,0),MAX(0,W176-IF($A194&gt;='1-Input'!$C$12,'1-Input'!$B$12,0))))*(1/(1-'P-Parametri'!$B$6*W194))),MAX(0,1*W176-(AA193-MIN(MAX(AA193,0),MAX(0,W176-IF($A194&gt;='1-Input'!$C$12,'1-Input'!$B$12,0)))))*(1/(1-'P-Parametri'!$B$6*W194))))</f>
        <v>18953.194747823185</v>
      </c>
      <c r="Y194" s="18">
        <f>IF($A194&gt;'1-Input'!$B$26,AA193,(AA193-MAX(0,W176-IF($A194&gt;='1-Input'!$C$12,'1-Input'!$B$12,0))+X194*(1-'P-Parametri'!$B$6*W194))*(1+'1-Input'!$B$27))</f>
        <v>16864.984001895245</v>
      </c>
      <c r="Z194" s="18">
        <f>IF($A194&gt;'1-Input'!$B$26,AB193,(AB193-X194)*(1+$B$4))</f>
        <v>216201.33830936317</v>
      </c>
      <c r="AA194" s="18">
        <f>IF($A194&gt;'1-Input'!$B$26,Y194,Y194-'P-Parametri'!$B$8*(Z194+Y194)+MIN(MAX(Z194,0),'P-Parametri'!$B$8*(Z194+Y194)))</f>
        <v>16864.984001895245</v>
      </c>
      <c r="AB194" s="18">
        <f>IF($A194&gt;'1-Input'!$B$26,Z194,Z194-MIN(MAX(Z194,0),'P-Parametri'!$B$8*(Z194+Y194)))</f>
        <v>215735.20566474064</v>
      </c>
      <c r="AC194" s="18">
        <f>IF($A194&gt;'1-Input'!$B$26,AC193,AC193-X194*(1-W194))</f>
        <v>127383.2101891934</v>
      </c>
      <c r="AD194" s="11">
        <f>IF($A194&gt;'1-Input'!$B$26,0,IF(AI193&lt;=0,0,MAX(0,(AI193-AJ193)/AI193)))</f>
        <v>0.39902831185832749</v>
      </c>
      <c r="AE194" s="18">
        <f>IF($A194&gt;'1-Input'!$B$26,0,(MAX(0,AD176-IF($A194&gt;='1-Input'!$C$12,'1-Input'!$B$12,0))-MIN(MAX(AH193,0),MAX(0,AD176-IF($A194&gt;='1-Input'!$C$12,'1-Input'!$B$12,0))))*(1/(1-'P-Parametri'!$B$6*AD194))+MIN(MAX(0,AI193-(MAX(0,AD176-IF($A194&gt;='1-Input'!$C$12,'1-Input'!$B$12,0))-MIN(MAX(AH193,0),MAX(0,AD176-IF($A194&gt;='1-Input'!$C$12,'1-Input'!$B$12,0))))*(1/(1-'P-Parametri'!$B$6*AD194))),MAX(0,1*AD176-(AH193-MIN(MAX(AH193,0),MAX(0,AD176-IF($A194&gt;='1-Input'!$C$12,'1-Input'!$B$12,0)))))*(1/(1-'P-Parametri'!$B$6*AD194))))</f>
        <v>18953.667389636106</v>
      </c>
      <c r="AF194" s="18">
        <f>IF($A194&gt;'1-Input'!$B$26,AH193,(AH193-MAX(0,AD176-IF($A194&gt;='1-Input'!$C$12,'1-Input'!$B$12,0))+AE194*(1-'P-Parametri'!$B$6*AD194))*(1+'1-Input'!$B$27))</f>
        <v>16865.404770046734</v>
      </c>
      <c r="AG194" s="18">
        <f>IF($A194&gt;'1-Input'!$B$26,AI193,(AI193-AE194)*(1+$B$4))</f>
        <v>216192.14387877035</v>
      </c>
      <c r="AH194" s="18">
        <f>IF($A194&gt;'1-Input'!$B$26,AF194,AF194-'P-Parametri'!$B$8*(AG194+AF194)+MIN(MAX(AG194,0),'P-Parametri'!$B$8*(AG194+AF194)))</f>
        <v>16865.404770046734</v>
      </c>
      <c r="AI194" s="18">
        <f>IF($A194&gt;'1-Input'!$B$26,AG194,AG194-MIN(MAX(AG194,0),'P-Parametri'!$B$8*(AG194+AF194)))</f>
        <v>215726.02878147271</v>
      </c>
      <c r="AJ194" s="18">
        <f>IF($A194&gt;'1-Input'!$B$26,AJ193,AJ193-AE194*(1-AD194))</f>
        <v>127377.80163705094</v>
      </c>
      <c r="AK194" s="11">
        <f>IF($A194&gt;'1-Input'!$B$26,0,IF(AP193&lt;=0,0,MAX(0,(AP193-AQ193)/AP193)))</f>
        <v>0.39902831185826521</v>
      </c>
      <c r="AL194" s="18">
        <f>IF($A194&gt;'1-Input'!$B$26,0,(MAX(0,AK176-IF($A194&gt;='1-Input'!$C$12,'1-Input'!$B$12,0))-MIN(MAX(AO193,0),MAX(0,AK176-IF($A194&gt;='1-Input'!$C$12,'1-Input'!$B$12,0))))*(1/(1-'P-Parametri'!$B$6*AK194))+MIN(MAX(0,AP193-(MAX(0,AK176-IF($A194&gt;='1-Input'!$C$12,'1-Input'!$B$12,0))-MIN(MAX(AO193,0),MAX(0,AK176-IF($A194&gt;='1-Input'!$C$12,'1-Input'!$B$12,0))))*(1/(1-'P-Parametri'!$B$6*AK194))),MAX(0,1*AK176-(AO193-MIN(MAX(AO193,0),MAX(0,AK176-IF($A194&gt;='1-Input'!$C$12,'1-Input'!$B$12,0)))))*(1/(1-'P-Parametri'!$B$6*AK194))))</f>
        <v>18953.667390352413</v>
      </c>
      <c r="AM194" s="18">
        <f>IF($A194&gt;'1-Input'!$B$26,AO193,(AO193-MAX(0,AK176-IF($A194&gt;='1-Input'!$C$12,'1-Input'!$B$12,0))+AL194*(1-'P-Parametri'!$B$6*AK194))*(1+'1-Input'!$B$27))</f>
        <v>16865.404770684429</v>
      </c>
      <c r="AN194" s="18">
        <f>IF($A194&gt;'1-Input'!$B$26,AP193,(AP193-AL194)*(1+$B$4))</f>
        <v>216192.1438648357</v>
      </c>
      <c r="AO194" s="18">
        <f>IF($A194&gt;'1-Input'!$B$26,AM194,AM194-'P-Parametri'!$B$8*(AN194+AM194)+MIN(MAX(AN194,0),'P-Parametri'!$B$8*(AN194+AM194)))</f>
        <v>16865.404770684429</v>
      </c>
      <c r="AP194" s="18">
        <f>IF($A194&gt;'1-Input'!$B$26,AN194,AN194-MIN(MAX(AN194,0),'P-Parametri'!$B$8*(AN194+AM194)))</f>
        <v>215726.02876756465</v>
      </c>
      <c r="AQ194" s="18">
        <f>IF($A194&gt;'1-Input'!$B$26,AQ193,AQ193-AL194*(1-AK194))</f>
        <v>127377.80162885401</v>
      </c>
    </row>
    <row r="195" spans="1:43">
      <c r="A195" s="10">
        <f>17</f>
        <v>17</v>
      </c>
      <c r="B195" s="11">
        <f>IF($A195&gt;'1-Input'!$B$26,0,IF(G194&lt;=0,0,MAX(0,(G194-H194)/G194)))</f>
        <v>0.40956569270568799</v>
      </c>
      <c r="C195" s="18">
        <f>IF($A195&gt;'1-Input'!$B$26,0,(MAX(0,B176-IF($A195&gt;='1-Input'!$C$12,'1-Input'!$B$12,0))-MIN(MAX(F194,0),MAX(0,B176-IF($A195&gt;='1-Input'!$C$12,'1-Input'!$B$12,0))))*(1/(1-'P-Parametri'!$B$6*B195))+MIN(MAX(0,G194-(MAX(0,B176-IF($A195&gt;='1-Input'!$C$12,'1-Input'!$B$12,0))-MIN(MAX(F194,0),MAX(0,B176-IF($A195&gt;='1-Input'!$C$12,'1-Input'!$B$12,0))))*(1/(1-'P-Parametri'!$B$6*B195))),MAX(0,1*B176-(F194-MIN(MAX(F194,0),MAX(0,B176-IF($A195&gt;='1-Input'!$C$12,'1-Input'!$B$12,0)))))*(1/(1-'P-Parametri'!$B$6*B195))))</f>
        <v>18736.278727449473</v>
      </c>
      <c r="D195" s="18">
        <f>IF($A195&gt;'1-Input'!$B$26,F194,(F194-MAX(0,B176-IF($A195&gt;='1-Input'!$C$12,'1-Input'!$B$12,0))+C195*(1-'P-Parametri'!$B$6*B195))*(1+'1-Input'!$B$27))</f>
        <v>16621.00351549315</v>
      </c>
      <c r="E195" s="18">
        <f>IF($A195&gt;'1-Input'!$B$26,G194,(G194-C195)*(1+$B$4))</f>
        <v>206366.52311075327</v>
      </c>
      <c r="F195" s="18">
        <f>IF($A195&gt;'1-Input'!$B$26,D195,D195-'P-Parametri'!$B$8*(E195+D195)+MIN(MAX(E195,0),'P-Parametri'!$B$8*(E195+D195)))</f>
        <v>16621.00351549315</v>
      </c>
      <c r="G195" s="18">
        <f>IF($A195&gt;'1-Input'!$B$26,E195,E195-MIN(MAX(E195,0),'P-Parametri'!$B$8*(E195+D195)))</f>
        <v>205920.54805750077</v>
      </c>
      <c r="H195" s="18">
        <f>IF($A195&gt;'1-Input'!$B$26,H194,H194-C195*(1-B195))</f>
        <v>119456.74031532671</v>
      </c>
      <c r="I195" s="11">
        <f>IF($A195&gt;'1-Input'!$B$26,0,IF(N194&lt;=0,0,MAX(0,(N194-O194)/N194)))</f>
        <v>0.40873585186067191</v>
      </c>
      <c r="J195" s="18">
        <f>IF($A195&gt;'1-Input'!$B$26,0,(MAX(0,I176-IF($A195&gt;='1-Input'!$C$12,'1-Input'!$B$12,0))-MIN(MAX(M194,0),MAX(0,I176-IF($A195&gt;='1-Input'!$C$12,'1-Input'!$B$12,0))))*(1/(1-'P-Parametri'!$B$6*I195))+MIN(MAX(0,N194-(MAX(0,I176-IF($A195&gt;='1-Input'!$C$12,'1-Input'!$B$12,0))-MIN(MAX(M194,0),MAX(0,I176-IF($A195&gt;='1-Input'!$C$12,'1-Input'!$B$12,0))))*(1/(1-'P-Parametri'!$B$6*I195))),MAX(0,1*I176-(M194-MIN(MAX(M194,0),MAX(0,I176-IF($A195&gt;='1-Input'!$C$12,'1-Input'!$B$12,0)))))*(1/(1-'P-Parametri'!$B$6*I195))))</f>
        <v>24647.046746529275</v>
      </c>
      <c r="K195" s="18">
        <f>IF($A195&gt;'1-Input'!$B$26,M194,(M194-MAX(0,I176-IF($A195&gt;='1-Input'!$C$12,'1-Input'!$B$12,0))+J195*(1-'P-Parametri'!$B$6*I195))*(1+'1-Input'!$B$27))</f>
        <v>21869.741467754149</v>
      </c>
      <c r="L195" s="18">
        <f>IF($A195&gt;'1-Input'!$B$26,N194,(N194-J195)*(1+$B$4))</f>
        <v>83584.639105348251</v>
      </c>
      <c r="M195" s="18">
        <f>IF($A195&gt;'1-Input'!$B$26,K195,K195-'P-Parametri'!$B$8*(L195+K195)+MIN(MAX(L195,0),'P-Parametri'!$B$8*(L195+K195)))</f>
        <v>21869.741467754149</v>
      </c>
      <c r="N195" s="18">
        <f>IF($A195&gt;'1-Input'!$B$26,L195,L195-MIN(MAX(L195,0),'P-Parametri'!$B$8*(L195+K195)))</f>
        <v>83373.730344202049</v>
      </c>
      <c r="O195" s="18">
        <f>IF($A195&gt;'1-Input'!$B$26,O194,O194-J195*(1-I195))</f>
        <v>48451.569057016575</v>
      </c>
      <c r="P195" s="11">
        <f>IF($A195&gt;'1-Input'!$B$26,0,IF(U194&lt;=0,0,MAX(0,(U194-V194)/U194)))</f>
        <v>0.40953988729255458</v>
      </c>
      <c r="Q195" s="18">
        <f>IF($A195&gt;'1-Input'!$B$26,0,(MAX(0,P176-IF($A195&gt;='1-Input'!$C$12,'1-Input'!$B$12,0))-MIN(MAX(T194,0),MAX(0,P176-IF($A195&gt;='1-Input'!$C$12,'1-Input'!$B$12,0))))*(1/(1-'P-Parametri'!$B$6*P195))+MIN(MAX(0,U194-(MAX(0,P176-IF($A195&gt;='1-Input'!$C$12,'1-Input'!$B$12,0))-MIN(MAX(T194,0),MAX(0,P176-IF($A195&gt;='1-Input'!$C$12,'1-Input'!$B$12,0))))*(1/(1-'P-Parametri'!$B$6*P195))),MAX(0,1*P176-(T194-MIN(MAX(T194,0),MAX(0,P176-IF($A195&gt;='1-Input'!$C$12,'1-Input'!$B$12,0)))))*(1/(1-'P-Parametri'!$B$6*P195))))</f>
        <v>19002.831888167279</v>
      </c>
      <c r="R195" s="18">
        <f>IF($A195&gt;'1-Input'!$B$26,T194,(T194-MAX(0,P176-IF($A195&gt;='1-Input'!$C$12,'1-Input'!$B$12,0))+Q195*(1-'P-Parametri'!$B$6*P195))*(1+'1-Input'!$B$27))</f>
        <v>16857.590128083153</v>
      </c>
      <c r="S195" s="18">
        <f>IF($A195&gt;'1-Input'!$B$26,U194,(U194-Q195)*(1+$B$4))</f>
        <v>200831.50561089336</v>
      </c>
      <c r="T195" s="18">
        <f>IF($A195&gt;'1-Input'!$B$26,R195,R195-'P-Parametri'!$B$8*(S195+R195)+MIN(MAX(S195,0),'P-Parametri'!$B$8*(S195+R195)))</f>
        <v>16857.590128083153</v>
      </c>
      <c r="U195" s="18">
        <f>IF($A195&gt;'1-Input'!$B$26,S195,S195-MIN(MAX(S195,0),'P-Parametri'!$B$8*(S195+R195)))</f>
        <v>200396.12741941542</v>
      </c>
      <c r="V195" s="18">
        <f>IF($A195&gt;'1-Input'!$B$26,V194,V194-Q195*(1-P195))</f>
        <v>116257.83670413143</v>
      </c>
      <c r="W195" s="11">
        <f>IF($A195&gt;'1-Input'!$B$26,0,IF(AB194&lt;=0,0,MAX(0,(AB194-AC194)/AB194)))</f>
        <v>0.40953906991355432</v>
      </c>
      <c r="X195" s="18">
        <f>IF($A195&gt;'1-Input'!$B$26,0,(MAX(0,W176-IF($A195&gt;='1-Input'!$C$12,'1-Input'!$B$12,0))-MIN(MAX(AA194,0),MAX(0,W176-IF($A195&gt;='1-Input'!$C$12,'1-Input'!$B$12,0))))*(1/(1-'P-Parametri'!$B$6*W195))+MIN(MAX(0,AB194-(MAX(0,W176-IF($A195&gt;='1-Input'!$C$12,'1-Input'!$B$12,0))-MIN(MAX(AA194,0),MAX(0,W176-IF($A195&gt;='1-Input'!$C$12,'1-Input'!$B$12,0))))*(1/(1-'P-Parametri'!$B$6*W195))),MAX(0,1*W176-(AA194-MIN(MAX(AA194,0),MAX(0,W176-IF($A195&gt;='1-Input'!$C$12,'1-Input'!$B$12,0)))))*(1/(1-'P-Parametri'!$B$6*W195))))</f>
        <v>19011.162160470922</v>
      </c>
      <c r="Y195" s="18">
        <f>IF($A195&gt;'1-Input'!$B$26,AA194,(AA194-MAX(0,W176-IF($A195&gt;='1-Input'!$C$12,'1-Input'!$B$12,0))+X195*(1-'P-Parametri'!$B$6*W195))*(1+'1-Input'!$B$27))</f>
        <v>16864.984001895245</v>
      </c>
      <c r="Z195" s="18">
        <f>IF($A195&gt;'1-Input'!$B$26,AB194,(AB194-X195)*(1+$B$4))</f>
        <v>200658.52437435513</v>
      </c>
      <c r="AA195" s="18">
        <f>IF($A195&gt;'1-Input'!$B$26,Y195,Y195-'P-Parametri'!$B$8*(Z195+Y195)+MIN(MAX(Z195,0),'P-Parametri'!$B$8*(Z195+Y195)))</f>
        <v>16864.984001895245</v>
      </c>
      <c r="AB195" s="18">
        <f>IF($A195&gt;'1-Input'!$B$26,Z195,Z195-MIN(MAX(Z195,0),'P-Parametri'!$B$8*(Z195+Y195)))</f>
        <v>200223.47735760262</v>
      </c>
      <c r="AC195" s="18">
        <f>IF($A195&gt;'1-Input'!$B$26,AC194,AC194-X195*(1-W195))</f>
        <v>116157.8616978975</v>
      </c>
      <c r="AD195" s="11">
        <f>IF($A195&gt;'1-Input'!$B$26,0,IF(AI194&lt;=0,0,MAX(0,(AI194-AJ194)/AI194)))</f>
        <v>0.40953902337819986</v>
      </c>
      <c r="AE195" s="18">
        <f>IF($A195&gt;'1-Input'!$B$26,0,(MAX(0,AD176-IF($A195&gt;='1-Input'!$C$12,'1-Input'!$B$12,0))-MIN(MAX(AH194,0),MAX(0,AD176-IF($A195&gt;='1-Input'!$C$12,'1-Input'!$B$12,0))))*(1/(1-'P-Parametri'!$B$6*AD195))+MIN(MAX(0,AI194-(MAX(0,AD176-IF($A195&gt;='1-Input'!$C$12,'1-Input'!$B$12,0))-MIN(MAX(AH194,0),MAX(0,AD176-IF($A195&gt;='1-Input'!$C$12,'1-Input'!$B$12,0))))*(1/(1-'P-Parametri'!$B$6*AD195))),MAX(0,1*AD176-(AH194-MIN(MAX(AH194,0),MAX(0,AD176-IF($A195&gt;='1-Input'!$C$12,'1-Input'!$B$12,0)))))*(1/(1-'P-Parametri'!$B$6*AD195))))</f>
        <v>19011.63621665035</v>
      </c>
      <c r="AF195" s="18">
        <f>IF($A195&gt;'1-Input'!$B$26,AH194,(AH194-MAX(0,AD176-IF($A195&gt;='1-Input'!$C$12,'1-Input'!$B$12,0))+AE195*(1-'P-Parametri'!$B$6*AD195))*(1+'1-Input'!$B$27))</f>
        <v>16865.404770046731</v>
      </c>
      <c r="AG195" s="18">
        <f>IF($A195&gt;'1-Input'!$B$26,AI194,(AI194-AE195)*(1+$B$4))</f>
        <v>200648.68041611882</v>
      </c>
      <c r="AH195" s="18">
        <f>IF($A195&gt;'1-Input'!$B$26,AF195,AF195-'P-Parametri'!$B$8*(AG195+AF195)+MIN(MAX(AG195,0),'P-Parametri'!$B$8*(AG195+AF195)))</f>
        <v>16865.404770046731</v>
      </c>
      <c r="AI195" s="18">
        <f>IF($A195&gt;'1-Input'!$B$26,AG195,AG195-MIN(MAX(AG195,0),'P-Parametri'!$B$8*(AG195+AF195)))</f>
        <v>200213.65224574649</v>
      </c>
      <c r="AJ195" s="18">
        <f>IF($A195&gt;'1-Input'!$B$26,AJ194,AJ194-AE195*(1-AD195))</f>
        <v>116152.17234938919</v>
      </c>
      <c r="AK195" s="11">
        <f>IF($A195&gt;'1-Input'!$B$26,0,IF(AP194&lt;=0,0,MAX(0,(AP194-AQ194)/AP194)))</f>
        <v>0.40953902337812925</v>
      </c>
      <c r="AL195" s="18">
        <f>IF($A195&gt;'1-Input'!$B$26,0,(MAX(0,AK176-IF($A195&gt;='1-Input'!$C$12,'1-Input'!$B$12,0))-MIN(MAX(AO194,0),MAX(0,AK176-IF($A195&gt;='1-Input'!$C$12,'1-Input'!$B$12,0))))*(1/(1-'P-Parametri'!$B$6*AK195))+MIN(MAX(0,AP194-(MAX(0,AK176-IF($A195&gt;='1-Input'!$C$12,'1-Input'!$B$12,0))-MIN(MAX(AO194,0),MAX(0,AK176-IF($A195&gt;='1-Input'!$C$12,'1-Input'!$B$12,0))))*(1/(1-'P-Parametri'!$B$6*AK195))),MAX(0,1*AK176-(AO194-MIN(MAX(AO194,0),MAX(0,AK176-IF($A195&gt;='1-Input'!$C$12,'1-Input'!$B$12,0)))))*(1/(1-'P-Parametri'!$B$6*AK195))))</f>
        <v>19011.636217368803</v>
      </c>
      <c r="AM195" s="18">
        <f>IF($A195&gt;'1-Input'!$B$26,AO194,(AO194-MAX(0,AK176-IF($A195&gt;='1-Input'!$C$12,'1-Input'!$B$12,0))+AL195*(1-'P-Parametri'!$B$6*AK195))*(1+'1-Input'!$B$27))</f>
        <v>16865.404770684429</v>
      </c>
      <c r="AN195" s="18">
        <f>IF($A195&gt;'1-Input'!$B$26,AP194,(AP194-AL195)*(1+$B$4))</f>
        <v>200648.68040119979</v>
      </c>
      <c r="AO195" s="18">
        <f>IF($A195&gt;'1-Input'!$B$26,AM195,AM195-'P-Parametri'!$B$8*(AN195+AM195)+MIN(MAX(AN195,0),'P-Parametri'!$B$8*(AN195+AM195)))</f>
        <v>16865.404770684429</v>
      </c>
      <c r="AP195" s="18">
        <f>IF($A195&gt;'1-Input'!$B$26,AN195,AN195-MIN(MAX(AN195,0),'P-Parametri'!$B$8*(AN195+AM195)))</f>
        <v>200213.65223085601</v>
      </c>
      <c r="AQ195" s="18">
        <f>IF($A195&gt;'1-Input'!$B$26,AQ194,AQ194-AL195*(1-AK195))</f>
        <v>116152.1723407667</v>
      </c>
    </row>
    <row r="196" spans="1:43">
      <c r="A196" s="10">
        <f>18</f>
        <v>18</v>
      </c>
      <c r="B196" s="11">
        <f>IF($A196&gt;'1-Input'!$B$26,0,IF(G195&lt;=0,0,MAX(0,(G195-H195)/G195)))</f>
        <v>0.41988916870029946</v>
      </c>
      <c r="C196" s="18">
        <f>IF($A196&gt;'1-Input'!$B$26,0,(MAX(0,B176-IF($A196&gt;='1-Input'!$C$12,'1-Input'!$B$12,0))-MIN(MAX(F195,0),MAX(0,B176-IF($A196&gt;='1-Input'!$C$12,'1-Input'!$B$12,0))))*(1/(1-'P-Parametri'!$B$6*B196))+MIN(MAX(0,G195-(MAX(0,B176-IF($A196&gt;='1-Input'!$C$12,'1-Input'!$B$12,0))-MIN(MAX(F195,0),MAX(0,B176-IF($A196&gt;='1-Input'!$C$12,'1-Input'!$B$12,0))))*(1/(1-'P-Parametri'!$B$6*B196))),MAX(0,1*B176-(F195-MIN(MAX(F195,0),MAX(0,B176-IF($A196&gt;='1-Input'!$C$12,'1-Input'!$B$12,0)))))*(1/(1-'P-Parametri'!$B$6*B196))))</f>
        <v>18792.731903686559</v>
      </c>
      <c r="D196" s="18">
        <f>IF($A196&gt;'1-Input'!$B$26,F195,(F195-MAX(0,B176-IF($A196&gt;='1-Input'!$C$12,'1-Input'!$B$12,0))+C196*(1-'P-Parametri'!$B$6*B196))*(1+'1-Input'!$B$27))</f>
        <v>16621.00351549315</v>
      </c>
      <c r="E196" s="18">
        <f>IF($A196&gt;'1-Input'!$B$26,G195,(G195-C196)*(1+$B$4))</f>
        <v>190870.37247689048</v>
      </c>
      <c r="F196" s="18">
        <f>IF($A196&gt;'1-Input'!$B$26,D196,D196-'P-Parametri'!$B$8*(E196+D196)+MIN(MAX(E196,0),'P-Parametri'!$B$8*(E196+D196)))</f>
        <v>16621.00351549315</v>
      </c>
      <c r="G196" s="18">
        <f>IF($A196&gt;'1-Input'!$B$26,E196,E196-MIN(MAX(E196,0),'P-Parametri'!$B$8*(E196+D196)))</f>
        <v>190455.38972490572</v>
      </c>
      <c r="H196" s="18">
        <f>IF($A196&gt;'1-Input'!$B$26,H195,H195-C196*(1-B196))</f>
        <v>108554.87298828669</v>
      </c>
      <c r="I196" s="11">
        <f>IF($A196&gt;'1-Input'!$B$26,0,IF(N195&lt;=0,0,MAX(0,(N195-O195)/N195)))</f>
        <v>0.41886288574365105</v>
      </c>
      <c r="J196" s="18">
        <f>IF($A196&gt;'1-Input'!$B$26,0,(MAX(0,I176-IF($A196&gt;='1-Input'!$C$12,'1-Input'!$B$12,0))-MIN(MAX(M195,0),MAX(0,I176-IF($A196&gt;='1-Input'!$C$12,'1-Input'!$B$12,0))))*(1/(1-'P-Parametri'!$B$6*I196))+MIN(MAX(0,N195-(MAX(0,I176-IF($A196&gt;='1-Input'!$C$12,'1-Input'!$B$12,0))-MIN(MAX(M195,0),MAX(0,I176-IF($A196&gt;='1-Input'!$C$12,'1-Input'!$B$12,0))))*(1/(1-'P-Parametri'!$B$6*I196))),MAX(0,1*I176-(M195-MIN(MAX(M195,0),MAX(0,I176-IF($A196&gt;='1-Input'!$C$12,'1-Input'!$B$12,0)))))*(1/(1-'P-Parametri'!$B$6*I196))))</f>
        <v>24719.874376398078</v>
      </c>
      <c r="K196" s="18">
        <f>IF($A196&gt;'1-Input'!$B$26,M195,(M195-MAX(0,I176-IF($A196&gt;='1-Input'!$C$12,'1-Input'!$B$12,0))+J196*(1-'P-Parametri'!$B$6*I196))*(1+'1-Input'!$B$27))</f>
        <v>21869.741467754146</v>
      </c>
      <c r="L196" s="18">
        <f>IF($A196&gt;'1-Input'!$B$26,N195,(N195-J196)*(1+$B$4))</f>
        <v>59826.933087160054</v>
      </c>
      <c r="M196" s="18">
        <f>IF($A196&gt;'1-Input'!$B$26,K196,K196-'P-Parametri'!$B$8*(L196+K196)+MIN(MAX(L196,0),'P-Parametri'!$B$8*(L196+K196)))</f>
        <v>21869.741467754146</v>
      </c>
      <c r="N196" s="18">
        <f>IF($A196&gt;'1-Input'!$B$26,L196,L196-MIN(MAX(L196,0),'P-Parametri'!$B$8*(L196+K196)))</f>
        <v>59663.539738050225</v>
      </c>
      <c r="O196" s="18">
        <f>IF($A196&gt;'1-Input'!$B$26,O195,O195-J196*(1-I196))</f>
        <v>34085.932597137129</v>
      </c>
      <c r="P196" s="11">
        <f>IF($A196&gt;'1-Input'!$B$26,0,IF(U195&lt;=0,0,MAX(0,(U195-V195)/U195)))</f>
        <v>0.41985986355508903</v>
      </c>
      <c r="Q196" s="18">
        <f>IF($A196&gt;'1-Input'!$B$26,0,(MAX(0,P176-IF($A196&gt;='1-Input'!$C$12,'1-Input'!$B$12,0))-MIN(MAX(T195,0),MAX(0,P176-IF($A196&gt;='1-Input'!$C$12,'1-Input'!$B$12,0))))*(1/(1-'P-Parametri'!$B$6*P196))+MIN(MAX(0,U195-(MAX(0,P176-IF($A196&gt;='1-Input'!$C$12,'1-Input'!$B$12,0))-MIN(MAX(T195,0),MAX(0,P176-IF($A196&gt;='1-Input'!$C$12,'1-Input'!$B$12,0))))*(1/(1-'P-Parametri'!$B$6*P196))),MAX(0,1*P176-(T195-MIN(MAX(T195,0),MAX(0,P176-IF($A196&gt;='1-Input'!$C$12,'1-Input'!$B$12,0)))))*(1/(1-'P-Parametri'!$B$6*P196))))</f>
        <v>19060.068300163097</v>
      </c>
      <c r="R196" s="18">
        <f>IF($A196&gt;'1-Input'!$B$26,T195,(T195-MAX(0,P176-IF($A196&gt;='1-Input'!$C$12,'1-Input'!$B$12,0))+Q196*(1-'P-Parametri'!$B$6*P196))*(1+'1-Input'!$B$27))</f>
        <v>16857.590128083149</v>
      </c>
      <c r="S196" s="18">
        <f>IF($A196&gt;'1-Input'!$B$26,U195,(U195-Q196)*(1+$B$4))</f>
        <v>184962.78030163737</v>
      </c>
      <c r="T196" s="18">
        <f>IF($A196&gt;'1-Input'!$B$26,R196,R196-'P-Parametri'!$B$8*(S196+R196)+MIN(MAX(S196,0),'P-Parametri'!$B$8*(S196+R196)))</f>
        <v>16857.590128083149</v>
      </c>
      <c r="U196" s="18">
        <f>IF($A196&gt;'1-Input'!$B$26,S196,S196-MIN(MAX(S196,0),'P-Parametri'!$B$8*(S196+R196)))</f>
        <v>184559.13956077793</v>
      </c>
      <c r="V196" s="18">
        <f>IF($A196&gt;'1-Input'!$B$26,V195,V195-Q196*(1-P196))</f>
        <v>105200.32607982549</v>
      </c>
      <c r="W196" s="11">
        <f>IF($A196&gt;'1-Input'!$B$26,0,IF(AB195&lt;=0,0,MAX(0,(AB195-AC195)/AB195)))</f>
        <v>0.41985893347343312</v>
      </c>
      <c r="X196" s="18">
        <f>IF($A196&gt;'1-Input'!$B$26,0,(MAX(0,W176-IF($A196&gt;='1-Input'!$C$12,'1-Input'!$B$12,0))-MIN(MAX(AA195,0),MAX(0,W176-IF($A196&gt;='1-Input'!$C$12,'1-Input'!$B$12,0))))*(1/(1-'P-Parametri'!$B$6*W196))+MIN(MAX(0,AB195-(MAX(0,W176-IF($A196&gt;='1-Input'!$C$12,'1-Input'!$B$12,0))-MIN(MAX(AA195,0),MAX(0,W176-IF($A196&gt;='1-Input'!$C$12,'1-Input'!$B$12,0))))*(1/(1-'P-Parametri'!$B$6*W196))),MAX(0,1*W176-(AA195-MIN(MAX(AA195,0),MAX(0,W176-IF($A196&gt;='1-Input'!$C$12,'1-Input'!$B$12,0)))))*(1/(1-'P-Parametri'!$B$6*W196))))</f>
        <v>19068.423022308787</v>
      </c>
      <c r="Y196" s="18">
        <f>IF($A196&gt;'1-Input'!$B$26,AA195,(AA195-MAX(0,W176-IF($A196&gt;='1-Input'!$C$12,'1-Input'!$B$12,0))+X196*(1-'P-Parametri'!$B$6*W196))*(1+'1-Input'!$B$27))</f>
        <v>16864.984001895242</v>
      </c>
      <c r="Z196" s="18">
        <f>IF($A196&gt;'1-Input'!$B$26,AB195,(AB195-X196)*(1+$B$4))</f>
        <v>184778.15542199972</v>
      </c>
      <c r="AA196" s="18">
        <f>IF($A196&gt;'1-Input'!$B$26,Y196,Y196-'P-Parametri'!$B$8*(Z196+Y196)+MIN(MAX(Z196,0),'P-Parametri'!$B$8*(Z196+Y196)))</f>
        <v>16864.984001895242</v>
      </c>
      <c r="AB196" s="18">
        <f>IF($A196&gt;'1-Input'!$B$26,Z196,Z196-MIN(MAX(Z196,0),'P-Parametri'!$B$8*(Z196+Y196)))</f>
        <v>184374.86914315194</v>
      </c>
      <c r="AC196" s="18">
        <f>IF($A196&gt;'1-Input'!$B$26,AC195,AC195-X196*(1-W196))</f>
        <v>105095.48642875554</v>
      </c>
      <c r="AD196" s="11">
        <f>IF($A196&gt;'1-Input'!$B$26,0,IF(AI195&lt;=0,0,MAX(0,(AI195-AJ195)/AI195)))</f>
        <v>0.41985888051818993</v>
      </c>
      <c r="AE196" s="18">
        <f>IF($A196&gt;'1-Input'!$B$26,0,(MAX(0,AD176-IF($A196&gt;='1-Input'!$C$12,'1-Input'!$B$12,0))-MIN(MAX(AH195,0),MAX(0,AD176-IF($A196&gt;='1-Input'!$C$12,'1-Input'!$B$12,0))))*(1/(1-'P-Parametri'!$B$6*AD196))+MIN(MAX(0,AI195-(MAX(0,AD176-IF($A196&gt;='1-Input'!$C$12,'1-Input'!$B$12,0))-MIN(MAX(AH195,0),MAX(0,AD176-IF($A196&gt;='1-Input'!$C$12,'1-Input'!$B$12,0))))*(1/(1-'P-Parametri'!$B$6*AD196))),MAX(0,1*AD176-(AH195-MIN(MAX(AH195,0),MAX(0,AD176-IF($A196&gt;='1-Input'!$C$12,'1-Input'!$B$12,0)))))*(1/(1-'P-Parametri'!$B$6*AD196))))</f>
        <v>19068.898469819182</v>
      </c>
      <c r="AF196" s="18">
        <f>IF($A196&gt;'1-Input'!$B$26,AH195,(AH195-MAX(0,AD176-IF($A196&gt;='1-Input'!$C$12,'1-Input'!$B$12,0))+AE196*(1-'P-Parametri'!$B$6*AD196))*(1+'1-Input'!$B$27))</f>
        <v>16865.404770046738</v>
      </c>
      <c r="AG196" s="18">
        <f>IF($A196&gt;'1-Input'!$B$26,AI195,(AI195-AE196)*(1+$B$4))</f>
        <v>184767.64885144585</v>
      </c>
      <c r="AH196" s="18">
        <f>IF($A196&gt;'1-Input'!$B$26,AF196,AF196-'P-Parametri'!$B$8*(AG196+AF196)+MIN(MAX(AG196,0),'P-Parametri'!$B$8*(AG196+AF196)))</f>
        <v>16865.404770046738</v>
      </c>
      <c r="AI196" s="18">
        <f>IF($A196&gt;'1-Input'!$B$26,AG196,AG196-MIN(MAX(AG196,0),'P-Parametri'!$B$8*(AG196+AF196)))</f>
        <v>184364.38274420286</v>
      </c>
      <c r="AJ196" s="18">
        <f>IF($A196&gt;'1-Input'!$B$26,AJ195,AJ195-AE196*(1-AD196))</f>
        <v>105089.52024382332</v>
      </c>
      <c r="AK196" s="11">
        <f>IF($A196&gt;'1-Input'!$B$26,0,IF(AP195&lt;=0,0,MAX(0,(AP195-AQ195)/AP195)))</f>
        <v>0.41985888051810955</v>
      </c>
      <c r="AL196" s="18">
        <f>IF($A196&gt;'1-Input'!$B$26,0,(MAX(0,AK176-IF($A196&gt;='1-Input'!$C$12,'1-Input'!$B$12,0))-MIN(MAX(AO195,0),MAX(0,AK176-IF($A196&gt;='1-Input'!$C$12,'1-Input'!$B$12,0))))*(1/(1-'P-Parametri'!$B$6*AK196))+MIN(MAX(0,AP195-(MAX(0,AK176-IF($A196&gt;='1-Input'!$C$12,'1-Input'!$B$12,0))-MIN(MAX(AO195,0),MAX(0,AK176-IF($A196&gt;='1-Input'!$C$12,'1-Input'!$B$12,0))))*(1/(1-'P-Parametri'!$B$6*AK196))),MAX(0,1*AK176-(AO195-MIN(MAX(AO195,0),MAX(0,AK176-IF($A196&gt;='1-Input'!$C$12,'1-Input'!$B$12,0)))))*(1/(1-'P-Parametri'!$B$6*AK196))))</f>
        <v>19068.898470539734</v>
      </c>
      <c r="AM196" s="18">
        <f>IF($A196&gt;'1-Input'!$B$26,AO195,(AO195-MAX(0,AK176-IF($A196&gt;='1-Input'!$C$12,'1-Input'!$B$12,0))+AL196*(1-'P-Parametri'!$B$6*AK196))*(1+'1-Input'!$B$27))</f>
        <v>16865.404770684429</v>
      </c>
      <c r="AN196" s="18">
        <f>IF($A196&gt;'1-Input'!$B$26,AP195,(AP195-AL196)*(1+$B$4))</f>
        <v>184767.64883552259</v>
      </c>
      <c r="AO196" s="18">
        <f>IF($A196&gt;'1-Input'!$B$26,AM196,AM196-'P-Parametri'!$B$8*(AN196+AM196)+MIN(MAX(AN196,0),'P-Parametri'!$B$8*(AN196+AM196)))</f>
        <v>16865.404770684429</v>
      </c>
      <c r="AP196" s="18">
        <f>IF($A196&gt;'1-Input'!$B$26,AN196,AN196-MIN(MAX(AN196,0),'P-Parametri'!$B$8*(AN196+AM196)))</f>
        <v>184364.38272831019</v>
      </c>
      <c r="AQ196" s="18">
        <f>IF($A196&gt;'1-Input'!$B$26,AQ195,AQ195-AL196*(1-AK196))</f>
        <v>105089.52023478127</v>
      </c>
    </row>
    <row r="197" spans="1:43">
      <c r="A197" s="10">
        <f>19</f>
        <v>19</v>
      </c>
      <c r="B197" s="11">
        <f>IF($A197&gt;'1-Input'!$B$26,0,IF(G196&lt;=0,0,MAX(0,(G196-H196)/G196)))</f>
        <v>0.43002467325769228</v>
      </c>
      <c r="C197" s="18">
        <f>IF($A197&gt;'1-Input'!$B$26,0,(MAX(0,B176-IF($A197&gt;='1-Input'!$C$12,'1-Input'!$B$12,0))-MIN(MAX(F196,0),MAX(0,B176-IF($A197&gt;='1-Input'!$C$12,'1-Input'!$B$12,0))))*(1/(1-'P-Parametri'!$B$6*B197))+MIN(MAX(0,G196-(MAX(0,B176-IF($A197&gt;='1-Input'!$C$12,'1-Input'!$B$12,0))-MIN(MAX(F196,0),MAX(0,B176-IF($A197&gt;='1-Input'!$C$12,'1-Input'!$B$12,0))))*(1/(1-'P-Parametri'!$B$6*B197))),MAX(0,1*B176-(F196-MIN(MAX(F196,0),MAX(0,B176-IF($A197&gt;='1-Input'!$C$12,'1-Input'!$B$12,0)))))*(1/(1-'P-Parametri'!$B$6*B197))))</f>
        <v>18848.489110225149</v>
      </c>
      <c r="D197" s="18">
        <f>IF($A197&gt;'1-Input'!$B$26,F196,(F196-MAX(0,B176-IF($A197&gt;='1-Input'!$C$12,'1-Input'!$B$12,0))+C197*(1-'P-Parametri'!$B$6*B197))*(1+'1-Input'!$B$27))</f>
        <v>16621.003515493154</v>
      </c>
      <c r="E197" s="18">
        <f>IF($A197&gt;'1-Input'!$B$26,G196,(G196-C197)*(1+$B$4))</f>
        <v>175039.03862697419</v>
      </c>
      <c r="F197" s="18">
        <f>IF($A197&gt;'1-Input'!$B$26,D197,D197-'P-Parametri'!$B$8*(E197+D197)+MIN(MAX(E197,0),'P-Parametri'!$B$8*(E197+D197)))</f>
        <v>16621.003515493154</v>
      </c>
      <c r="G197" s="18">
        <f>IF($A197&gt;'1-Input'!$B$26,E197,E197-MIN(MAX(E197,0),'P-Parametri'!$B$8*(E197+D197)))</f>
        <v>174655.71854268925</v>
      </c>
      <c r="H197" s="18">
        <f>IF($A197&gt;'1-Input'!$B$26,H196,H196-C197*(1-B197))</f>
        <v>97811.69924908728</v>
      </c>
      <c r="I197" s="11">
        <f>IF($A197&gt;'1-Input'!$B$26,0,IF(N196&lt;=0,0,MAX(0,(N196-O196)/N196)))</f>
        <v>0.42869744660156428</v>
      </c>
      <c r="J197" s="18">
        <f>IF($A197&gt;'1-Input'!$B$26,0,(MAX(0,I176-IF($A197&gt;='1-Input'!$C$12,'1-Input'!$B$12,0))-MIN(MAX(M196,0),MAX(0,I176-IF($A197&gt;='1-Input'!$C$12,'1-Input'!$B$12,0))))*(1/(1-'P-Parametri'!$B$6*I197))+MIN(MAX(0,N196-(MAX(0,I176-IF($A197&gt;='1-Input'!$C$12,'1-Input'!$B$12,0))-MIN(MAX(M196,0),MAX(0,I176-IF($A197&gt;='1-Input'!$C$12,'1-Input'!$B$12,0))))*(1/(1-'P-Parametri'!$B$6*I197))),MAX(0,1*I176-(M196-MIN(MAX(M196,0),MAX(0,I176-IF($A197&gt;='1-Input'!$C$12,'1-Input'!$B$12,0)))))*(1/(1-'P-Parametri'!$B$6*I197))))</f>
        <v>24791.011819142492</v>
      </c>
      <c r="K197" s="18">
        <f>IF($A197&gt;'1-Input'!$B$26,M196,(M196-MAX(0,I176-IF($A197&gt;='1-Input'!$C$12,'1-Input'!$B$12,0))+J197*(1-'P-Parametri'!$B$6*I197))*(1+'1-Input'!$B$27))</f>
        <v>21869.741467754149</v>
      </c>
      <c r="L197" s="18">
        <f>IF($A197&gt;'1-Input'!$B$26,N196,(N196-J197)*(1+$B$4))</f>
        <v>35569.978477285891</v>
      </c>
      <c r="M197" s="18">
        <f>IF($A197&gt;'1-Input'!$B$26,K197,K197-'P-Parametri'!$B$8*(L197+K197)+MIN(MAX(L197,0),'P-Parametri'!$B$8*(L197+K197)))</f>
        <v>21869.741467754149</v>
      </c>
      <c r="N197" s="18">
        <f>IF($A197&gt;'1-Input'!$B$26,L197,L197-MIN(MAX(L197,0),'P-Parametri'!$B$8*(L197+K197)))</f>
        <v>35455.099037395812</v>
      </c>
      <c r="O197" s="18">
        <f>IF($A197&gt;'1-Input'!$B$26,O196,O196-J197*(1-I197))</f>
        <v>19922.764243530226</v>
      </c>
      <c r="P197" s="11">
        <f>IF($A197&gt;'1-Input'!$B$26,0,IF(U196&lt;=0,0,MAX(0,(U196-V196)/U196)))</f>
        <v>0.42999124112636239</v>
      </c>
      <c r="Q197" s="18">
        <f>IF($A197&gt;'1-Input'!$B$26,0,(MAX(0,P176-IF($A197&gt;='1-Input'!$C$12,'1-Input'!$B$12,0))-MIN(MAX(T196,0),MAX(0,P176-IF($A197&gt;='1-Input'!$C$12,'1-Input'!$B$12,0))))*(1/(1-'P-Parametri'!$B$6*P197))+MIN(MAX(0,U196-(MAX(0,P176-IF($A197&gt;='1-Input'!$C$12,'1-Input'!$B$12,0))-MIN(MAX(T196,0),MAX(0,P176-IF($A197&gt;='1-Input'!$C$12,'1-Input'!$B$12,0))))*(1/(1-'P-Parametri'!$B$6*P197))),MAX(0,1*P176-(T196-MIN(MAX(T196,0),MAX(0,P176-IF($A197&gt;='1-Input'!$C$12,'1-Input'!$B$12,0)))))*(1/(1-'P-Parametri'!$B$6*P197))))</f>
        <v>19116.595102546289</v>
      </c>
      <c r="R197" s="18">
        <f>IF($A197&gt;'1-Input'!$B$26,T196,(T196-MAX(0,P176-IF($A197&gt;='1-Input'!$C$12,'1-Input'!$B$12,0))+Q197*(1-'P-Parametri'!$B$6*P197))*(1+'1-Input'!$B$27))</f>
        <v>16857.590128083153</v>
      </c>
      <c r="S197" s="18">
        <f>IF($A197&gt;'1-Input'!$B$26,U196,(U196-Q197)*(1+$B$4))</f>
        <v>168751.39534739626</v>
      </c>
      <c r="T197" s="18">
        <f>IF($A197&gt;'1-Input'!$B$26,R197,R197-'P-Parametri'!$B$8*(S197+R197)+MIN(MAX(S197,0),'P-Parametri'!$B$8*(S197+R197)))</f>
        <v>16857.590128083153</v>
      </c>
      <c r="U197" s="18">
        <f>IF($A197&gt;'1-Input'!$B$26,S197,S197-MIN(MAX(S197,0),'P-Parametri'!$B$8*(S197+R197)))</f>
        <v>168380.1773764453</v>
      </c>
      <c r="V197" s="18">
        <f>IF($A197&gt;'1-Input'!$B$26,V196,V196-Q197*(1-P197))</f>
        <v>94303.699431533227</v>
      </c>
      <c r="W197" s="11">
        <f>IF($A197&gt;'1-Input'!$B$26,0,IF(AB196&lt;=0,0,MAX(0,(AB196-AC196)/AB196)))</f>
        <v>0.42999017752708191</v>
      </c>
      <c r="X197" s="18">
        <f>IF($A197&gt;'1-Input'!$B$26,0,(MAX(0,W176-IF($A197&gt;='1-Input'!$C$12,'1-Input'!$B$12,0))-MIN(MAX(AA196,0),MAX(0,W176-IF($A197&gt;='1-Input'!$C$12,'1-Input'!$B$12,0))))*(1/(1-'P-Parametri'!$B$6*W197))+MIN(MAX(0,AB196-(MAX(0,W176-IF($A197&gt;='1-Input'!$C$12,'1-Input'!$B$12,0))-MIN(MAX(AA196,0),MAX(0,W176-IF($A197&gt;='1-Input'!$C$12,'1-Input'!$B$12,0))))*(1/(1-'P-Parametri'!$B$6*W197))),MAX(0,1*W176-(AA196-MIN(MAX(AA196,0),MAX(0,W176-IF($A197&gt;='1-Input'!$C$12,'1-Input'!$B$12,0)))))*(1/(1-'P-Parametri'!$B$6*W197))))</f>
        <v>19124.973839569513</v>
      </c>
      <c r="Y197" s="18">
        <f>IF($A197&gt;'1-Input'!$B$26,AA196,(AA196-MAX(0,W176-IF($A197&gt;='1-Input'!$C$12,'1-Input'!$B$12,0))+X197*(1-'P-Parametri'!$B$6*W197))*(1+'1-Input'!$B$27))</f>
        <v>16864.984001895242</v>
      </c>
      <c r="Z197" s="18">
        <f>IF($A197&gt;'1-Input'!$B$26,AB196,(AB196-X197)*(1+$B$4))</f>
        <v>168554.89320965408</v>
      </c>
      <c r="AA197" s="18">
        <f>IF($A197&gt;'1-Input'!$B$26,Y197,Y197-'P-Parametri'!$B$8*(Z197+Y197)+MIN(MAX(Z197,0),'P-Parametri'!$B$8*(Z197+Y197)))</f>
        <v>16864.984001895242</v>
      </c>
      <c r="AB197" s="18">
        <f>IF($A197&gt;'1-Input'!$B$26,Z197,Z197-MIN(MAX(Z197,0),'P-Parametri'!$B$8*(Z197+Y197)))</f>
        <v>168184.05345523098</v>
      </c>
      <c r="AC197" s="18">
        <f>IF($A197&gt;'1-Input'!$B$26,AC196,AC196-X197*(1-W197))</f>
        <v>94194.063485663326</v>
      </c>
      <c r="AD197" s="11">
        <f>IF($A197&gt;'1-Input'!$B$26,0,IF(AI196&lt;=0,0,MAX(0,(AI196-AJ196)/AI196)))</f>
        <v>0.42999011696510697</v>
      </c>
      <c r="AE197" s="18">
        <f>IF($A197&gt;'1-Input'!$B$26,0,(MAX(0,AD176-IF($A197&gt;='1-Input'!$C$12,'1-Input'!$B$12,0))-MIN(MAX(AH196,0),MAX(0,AD176-IF($A197&gt;='1-Input'!$C$12,'1-Input'!$B$12,0))))*(1/(1-'P-Parametri'!$B$6*AD197))+MIN(MAX(0,AI196-(MAX(0,AD176-IF($A197&gt;='1-Input'!$C$12,'1-Input'!$B$12,0))-MIN(MAX(AH196,0),MAX(0,AD176-IF($A197&gt;='1-Input'!$C$12,'1-Input'!$B$12,0))))*(1/(1-'P-Parametri'!$B$6*AD197))),MAX(0,1*AD176-(AH196-MIN(MAX(AH196,0),MAX(0,AD176-IF($A197&gt;='1-Input'!$C$12,'1-Input'!$B$12,0)))))*(1/(1-'P-Parametri'!$B$6*AD197))))</f>
        <v>19125.450653641419</v>
      </c>
      <c r="AF197" s="18">
        <f>IF($A197&gt;'1-Input'!$B$26,AH196,(AH196-MAX(0,AD176-IF($A197&gt;='1-Input'!$C$12,'1-Input'!$B$12,0))+AE197*(1-'P-Parametri'!$B$6*AD197))*(1+'1-Input'!$B$27))</f>
        <v>16865.404770046731</v>
      </c>
      <c r="AG197" s="18">
        <f>IF($A197&gt;'1-Input'!$B$26,AI196,(AI196-AE197)*(1+$B$4))</f>
        <v>168543.71073237265</v>
      </c>
      <c r="AH197" s="18">
        <f>IF($A197&gt;'1-Input'!$B$26,AF197,AF197-'P-Parametri'!$B$8*(AG197+AF197)+MIN(MAX(AG197,0),'P-Parametri'!$B$8*(AG197+AF197)))</f>
        <v>16865.404770046731</v>
      </c>
      <c r="AI197" s="18">
        <f>IF($A197&gt;'1-Input'!$B$26,AG197,AG197-MIN(MAX(AG197,0),'P-Parametri'!$B$8*(AG197+AF197)))</f>
        <v>168172.89250136781</v>
      </c>
      <c r="AJ197" s="18">
        <f>IF($A197&gt;'1-Input'!$B$26,AJ196,AJ196-AE197*(1-AD197))</f>
        <v>94187.824353751566</v>
      </c>
      <c r="AK197" s="11">
        <f>IF($A197&gt;'1-Input'!$B$26,0,IF(AP196&lt;=0,0,MAX(0,(AP196-AQ196)/AP196)))</f>
        <v>0.42999011696501516</v>
      </c>
      <c r="AL197" s="18">
        <f>IF($A197&gt;'1-Input'!$B$26,0,(MAX(0,AK176-IF($A197&gt;='1-Input'!$C$12,'1-Input'!$B$12,0))-MIN(MAX(AO196,0),MAX(0,AK176-IF($A197&gt;='1-Input'!$C$12,'1-Input'!$B$12,0))))*(1/(1-'P-Parametri'!$B$6*AK197))+MIN(MAX(0,AP196-(MAX(0,AK176-IF($A197&gt;='1-Input'!$C$12,'1-Input'!$B$12,0))-MIN(MAX(AO196,0),MAX(0,AK176-IF($A197&gt;='1-Input'!$C$12,'1-Input'!$B$12,0))))*(1/(1-'P-Parametri'!$B$6*AK197))),MAX(0,1*AK176-(AO196-MIN(MAX(AO196,0),MAX(0,AK176-IF($A197&gt;='1-Input'!$C$12,'1-Input'!$B$12,0)))))*(1/(1-'P-Parametri'!$B$6*AK197))))</f>
        <v>19125.45065436406</v>
      </c>
      <c r="AM197" s="18">
        <f>IF($A197&gt;'1-Input'!$B$26,AO196,(AO196-MAX(0,AK176-IF($A197&gt;='1-Input'!$C$12,'1-Input'!$B$12,0))+AL197*(1-'P-Parametri'!$B$6*AK197))*(1+'1-Input'!$B$27))</f>
        <v>16865.404770684429</v>
      </c>
      <c r="AN197" s="18">
        <f>IF($A197&gt;'1-Input'!$B$26,AP196,(AP196-AL197)*(1+$B$4))</f>
        <v>168543.71071542503</v>
      </c>
      <c r="AO197" s="18">
        <f>IF($A197&gt;'1-Input'!$B$26,AM197,AM197-'P-Parametri'!$B$8*(AN197+AM197)+MIN(MAX(AN197,0),'P-Parametri'!$B$8*(AN197+AM197)))</f>
        <v>16865.404770684429</v>
      </c>
      <c r="AP197" s="18">
        <f>IF($A197&gt;'1-Input'!$B$26,AN197,AN197-MIN(MAX(AN197,0),'P-Parametri'!$B$8*(AN197+AM197)))</f>
        <v>168172.89248445281</v>
      </c>
      <c r="AQ197" s="18">
        <f>IF($A197&gt;'1-Input'!$B$26,AQ196,AQ196-AL197*(1-AK197))</f>
        <v>94187.824344295834</v>
      </c>
    </row>
    <row r="198" spans="1:43">
      <c r="A198" s="10">
        <f>20</f>
        <v>20</v>
      </c>
      <c r="B198" s="11">
        <f>IF($A198&gt;'1-Input'!$B$26,0,IF(G197&lt;=0,0,MAX(0,(G197-H197)/G197)))</f>
        <v>0.43997425297483062</v>
      </c>
      <c r="C198" s="18">
        <f>IF($A198&gt;'1-Input'!$B$26,0,(MAX(0,B176-IF($A198&gt;='1-Input'!$C$12,'1-Input'!$B$12,0))-MIN(MAX(F197,0),MAX(0,B176-IF($A198&gt;='1-Input'!$C$12,'1-Input'!$B$12,0))))*(1/(1-'P-Parametri'!$B$6*B198))+MIN(MAX(0,G197-(MAX(0,B176-IF($A198&gt;='1-Input'!$C$12,'1-Input'!$B$12,0))-MIN(MAX(F197,0),MAX(0,B176-IF($A198&gt;='1-Input'!$C$12,'1-Input'!$B$12,0))))*(1/(1-'P-Parametri'!$B$6*B198))),MAX(0,1*B176-(F197-MIN(MAX(F197,0),MAX(0,B176-IF($A198&gt;='1-Input'!$C$12,'1-Input'!$B$12,0)))))*(1/(1-'P-Parametri'!$B$6*B198))))</f>
        <v>18903.546261446805</v>
      </c>
      <c r="D198" s="18">
        <f>IF($A198&gt;'1-Input'!$B$26,F197,(F197-MAX(0,B176-IF($A198&gt;='1-Input'!$C$12,'1-Input'!$B$12,0))+C198*(1-'P-Parametri'!$B$6*B198))*(1+'1-Input'!$B$27))</f>
        <v>16621.00351549315</v>
      </c>
      <c r="E198" s="18">
        <f>IF($A198&gt;'1-Input'!$B$26,G197,(G197-C198)*(1+$B$4))</f>
        <v>158867.21572686729</v>
      </c>
      <c r="F198" s="18">
        <f>IF($A198&gt;'1-Input'!$B$26,D198,D198-'P-Parametri'!$B$8*(E198+D198)+MIN(MAX(E198,0),'P-Parametri'!$B$8*(E198+D198)))</f>
        <v>16621.00351549315</v>
      </c>
      <c r="G198" s="18">
        <f>IF($A198&gt;'1-Input'!$B$26,E198,E198-MIN(MAX(E198,0),'P-Parametri'!$B$8*(E198+D198)))</f>
        <v>158516.23928838258</v>
      </c>
      <c r="H198" s="18">
        <f>IF($A198&gt;'1-Input'!$B$26,H197,H197-C198*(1-B198))</f>
        <v>87225.226632595688</v>
      </c>
      <c r="I198" s="11">
        <f>IF($A198&gt;'1-Input'!$B$26,0,IF(N197&lt;=0,0,MAX(0,(N197-O197)/N197)))</f>
        <v>0.4380846539868089</v>
      </c>
      <c r="J198" s="18">
        <f>IF($A198&gt;'1-Input'!$B$26,0,(MAX(0,I176-IF($A198&gt;='1-Input'!$C$12,'1-Input'!$B$12,0))-MIN(MAX(M197,0),MAX(0,I176-IF($A198&gt;='1-Input'!$C$12,'1-Input'!$B$12,0))))*(1/(1-'P-Parametri'!$B$6*I198))+MIN(MAX(0,N197-(MAX(0,I176-IF($A198&gt;='1-Input'!$C$12,'1-Input'!$B$12,0))-MIN(MAX(M197,0),MAX(0,I176-IF($A198&gt;='1-Input'!$C$12,'1-Input'!$B$12,0))))*(1/(1-'P-Parametri'!$B$6*I198))),MAX(0,1*I176-(M197-MIN(MAX(M197,0),MAX(0,I176-IF($A198&gt;='1-Input'!$C$12,'1-Input'!$B$12,0)))))*(1/(1-'P-Parametri'!$B$6*I198))))</f>
        <v>24859.296339237091</v>
      </c>
      <c r="K198" s="18">
        <f>IF($A198&gt;'1-Input'!$B$26,M197,(M197-MAX(0,I176-IF($A198&gt;='1-Input'!$C$12,'1-Input'!$B$12,0))+J198*(1-'P-Parametri'!$B$6*I198))*(1+'1-Input'!$B$27))</f>
        <v>21869.741467754146</v>
      </c>
      <c r="L198" s="18">
        <f>IF($A198&gt;'1-Input'!$B$26,N197,(N197-J198)*(1+$B$4))</f>
        <v>10807.718752121895</v>
      </c>
      <c r="M198" s="18">
        <f>IF($A198&gt;'1-Input'!$B$26,K198,K198-'P-Parametri'!$B$8*(L198+K198)+MIN(MAX(L198,0),'P-Parametri'!$B$8*(L198+K198)))</f>
        <v>21869.741467754146</v>
      </c>
      <c r="N198" s="18">
        <f>IF($A198&gt;'1-Input'!$B$26,L198,L198-MIN(MAX(L198,0),'P-Parametri'!$B$8*(L198+K198)))</f>
        <v>10742.363831682143</v>
      </c>
      <c r="O198" s="18">
        <f>IF($A198&gt;'1-Input'!$B$26,O197,O197-J198*(1-I198))</f>
        <v>5953.94413942336</v>
      </c>
      <c r="P198" s="11">
        <f>IF($A198&gt;'1-Input'!$B$26,0,IF(U197&lt;=0,0,MAX(0,(U197-V197)/U197)))</f>
        <v>0.43993585883509484</v>
      </c>
      <c r="Q198" s="18">
        <f>IF($A198&gt;'1-Input'!$B$26,0,(MAX(0,P176-IF($A198&gt;='1-Input'!$C$12,'1-Input'!$B$12,0))-MIN(MAX(T197,0),MAX(0,P176-IF($A198&gt;='1-Input'!$C$12,'1-Input'!$B$12,0))))*(1/(1-'P-Parametri'!$B$6*P198))+MIN(MAX(0,U197-(MAX(0,P176-IF($A198&gt;='1-Input'!$C$12,'1-Input'!$B$12,0))-MIN(MAX(T197,0),MAX(0,P176-IF($A198&gt;='1-Input'!$C$12,'1-Input'!$B$12,0))))*(1/(1-'P-Parametri'!$B$6*P198))),MAX(0,1*P176-(T197-MIN(MAX(T197,0),MAX(0,P176-IF($A198&gt;='1-Input'!$C$12,'1-Input'!$B$12,0)))))*(1/(1-'P-Parametri'!$B$6*P198))))</f>
        <v>19172.406924013732</v>
      </c>
      <c r="R198" s="18">
        <f>IF($A198&gt;'1-Input'!$B$26,T197,(T197-MAX(0,P176-IF($A198&gt;='1-Input'!$C$12,'1-Input'!$B$12,0))+Q198*(1-'P-Parametri'!$B$6*P198))*(1+'1-Input'!$B$27))</f>
        <v>16857.590128083153</v>
      </c>
      <c r="S198" s="18">
        <f>IF($A198&gt;'1-Input'!$B$26,U197,(U197-Q198)*(1+$B$4))</f>
        <v>152191.92586148021</v>
      </c>
      <c r="T198" s="18">
        <f>IF($A198&gt;'1-Input'!$B$26,R198,R198-'P-Parametri'!$B$8*(S198+R198)+MIN(MAX(S198,0),'P-Parametri'!$B$8*(S198+R198)))</f>
        <v>16857.590128083153</v>
      </c>
      <c r="U198" s="18">
        <f>IF($A198&gt;'1-Input'!$B$26,S198,S198-MIN(MAX(S198,0),'P-Parametri'!$B$8*(S198+R198)))</f>
        <v>151853.82682950108</v>
      </c>
      <c r="V198" s="18">
        <f>IF($A198&gt;'1-Input'!$B$26,V197,V197-Q198*(1-P198))</f>
        <v>83565.921813571389</v>
      </c>
      <c r="W198" s="11">
        <f>IF($A198&gt;'1-Input'!$B$26,0,IF(AB197&lt;=0,0,MAX(0,(AB197-AC197)/AB197)))</f>
        <v>0.43993463381035169</v>
      </c>
      <c r="X198" s="18">
        <f>IF($A198&gt;'1-Input'!$B$26,0,(MAX(0,W176-IF($A198&gt;='1-Input'!$C$12,'1-Input'!$B$12,0))-MIN(MAX(AA197,0),MAX(0,W176-IF($A198&gt;='1-Input'!$C$12,'1-Input'!$B$12,0))))*(1/(1-'P-Parametri'!$B$6*W198))+MIN(MAX(0,AB197-(MAX(0,W176-IF($A198&gt;='1-Input'!$C$12,'1-Input'!$B$12,0))-MIN(MAX(AA197,0),MAX(0,W176-IF($A198&gt;='1-Input'!$C$12,'1-Input'!$B$12,0))))*(1/(1-'P-Parametri'!$B$6*W198))),MAX(0,1*W176-(AA197-MIN(MAX(AA197,0),MAX(0,W176-IF($A198&gt;='1-Input'!$C$12,'1-Input'!$B$12,0)))))*(1/(1-'P-Parametri'!$B$6*W198))))</f>
        <v>19180.809196723592</v>
      </c>
      <c r="Y198" s="18">
        <f>IF($A198&gt;'1-Input'!$B$26,AA197,(AA197-MAX(0,W176-IF($A198&gt;='1-Input'!$C$12,'1-Input'!$B$12,0))+X198*(1-'P-Parametri'!$B$6*W198))*(1+'1-Input'!$B$27))</f>
        <v>16864.984001895245</v>
      </c>
      <c r="Z198" s="18">
        <f>IF($A198&gt;'1-Input'!$B$26,AB197,(AB197-X198)*(1+$B$4))</f>
        <v>151983.30914367753</v>
      </c>
      <c r="AA198" s="18">
        <f>IF($A198&gt;'1-Input'!$B$26,Y198,Y198-'P-Parametri'!$B$8*(Z198+Y198)+MIN(MAX(Z198,0),'P-Parametri'!$B$8*(Z198+Y198)))</f>
        <v>16864.984001895245</v>
      </c>
      <c r="AB198" s="18">
        <f>IF($A198&gt;'1-Input'!$B$26,Z198,Z198-MIN(MAX(Z198,0),'P-Parametri'!$B$8*(Z198+Y198)))</f>
        <v>151645.6125573864</v>
      </c>
      <c r="AC198" s="18">
        <f>IF($A198&gt;'1-Input'!$B$26,AC197,AC197-X198*(1-W198))</f>
        <v>83451.556559086559</v>
      </c>
      <c r="AD198" s="11">
        <f>IF($A198&gt;'1-Input'!$B$26,0,IF(AI197&lt;=0,0,MAX(0,(AI197-AJ197)/AI197)))</f>
        <v>0.43993456404999692</v>
      </c>
      <c r="AE198" s="18">
        <f>IF($A198&gt;'1-Input'!$B$26,0,(MAX(0,AD176-IF($A198&gt;='1-Input'!$C$12,'1-Input'!$B$12,0))-MIN(MAX(AH197,0),MAX(0,AD176-IF($A198&gt;='1-Input'!$C$12,'1-Input'!$B$12,0))))*(1/(1-'P-Parametri'!$B$6*AD198))+MIN(MAX(0,AI197-(MAX(0,AD176-IF($A198&gt;='1-Input'!$C$12,'1-Input'!$B$12,0))-MIN(MAX(AH197,0),MAX(0,AD176-IF($A198&gt;='1-Input'!$C$12,'1-Input'!$B$12,0))))*(1/(1-'P-Parametri'!$B$6*AD198))),MAX(0,1*AD176-(AH197-MIN(MAX(AH197,0),MAX(0,AD176-IF($A198&gt;='1-Input'!$C$12,'1-Input'!$B$12,0)))))*(1/(1-'P-Parametri'!$B$6*AD198))))</f>
        <v>19181.28735006291</v>
      </c>
      <c r="AF198" s="18">
        <f>IF($A198&gt;'1-Input'!$B$26,AH197,(AH197-MAX(0,AD176-IF($A198&gt;='1-Input'!$C$12,'1-Input'!$B$12,0))+AE198*(1-'P-Parametri'!$B$6*AD198))*(1+'1-Input'!$B$27))</f>
        <v>16865.404770046738</v>
      </c>
      <c r="AG198" s="18">
        <f>IF($A198&gt;'1-Input'!$B$26,AI197,(AI197-AE198)*(1+$B$4))</f>
        <v>151971.43725433099</v>
      </c>
      <c r="AH198" s="18">
        <f>IF($A198&gt;'1-Input'!$B$26,AF198,AF198-'P-Parametri'!$B$8*(AG198+AF198)+MIN(MAX(AG198,0),'P-Parametri'!$B$8*(AG198+AF198)))</f>
        <v>16865.404770046738</v>
      </c>
      <c r="AI198" s="18">
        <f>IF($A198&gt;'1-Input'!$B$26,AG198,AG198-MIN(MAX(AG198,0),'P-Parametri'!$B$8*(AG198+AF198)))</f>
        <v>151633.76357028223</v>
      </c>
      <c r="AJ198" s="18">
        <f>IF($A198&gt;'1-Input'!$B$26,AJ197,AJ197-AE198*(1-AD198))</f>
        <v>83445.048291956307</v>
      </c>
      <c r="AK198" s="11">
        <f>IF($A198&gt;'1-Input'!$B$26,0,IF(AP197&lt;=0,0,MAX(0,(AP197-AQ197)/AP197)))</f>
        <v>0.43993456404989123</v>
      </c>
      <c r="AL198" s="18">
        <f>IF($A198&gt;'1-Input'!$B$26,0,(MAX(0,AK176-IF($A198&gt;='1-Input'!$C$12,'1-Input'!$B$12,0))-MIN(MAX(AO197,0),MAX(0,AK176-IF($A198&gt;='1-Input'!$C$12,'1-Input'!$B$12,0))))*(1/(1-'P-Parametri'!$B$6*AK198))+MIN(MAX(0,AP197-(MAX(0,AK176-IF($A198&gt;='1-Input'!$C$12,'1-Input'!$B$12,0))-MIN(MAX(AO197,0),MAX(0,AK176-IF($A198&gt;='1-Input'!$C$12,'1-Input'!$B$12,0))))*(1/(1-'P-Parametri'!$B$6*AK198))),MAX(0,1*AK176-(AO197-MIN(MAX(AO197,0),MAX(0,AK176-IF($A198&gt;='1-Input'!$C$12,'1-Input'!$B$12,0)))))*(1/(1-'P-Parametri'!$B$6*AK198))))</f>
        <v>19181.287350787567</v>
      </c>
      <c r="AM198" s="18">
        <f>IF($A198&gt;'1-Input'!$B$26,AO197,(AO197-MAX(0,AK176-IF($A198&gt;='1-Input'!$C$12,'1-Input'!$B$12,0))+AL198*(1-'P-Parametri'!$B$6*AK198))*(1+'1-Input'!$B$27))</f>
        <v>16865.404770684429</v>
      </c>
      <c r="AN198" s="18">
        <f>IF($A198&gt;'1-Input'!$B$26,AP197,(AP197-AL198)*(1+$B$4))</f>
        <v>151971.43723633853</v>
      </c>
      <c r="AO198" s="18">
        <f>IF($A198&gt;'1-Input'!$B$26,AM198,AM198-'P-Parametri'!$B$8*(AN198+AM198)+MIN(MAX(AN198,0),'P-Parametri'!$B$8*(AN198+AM198)))</f>
        <v>16865.404770684429</v>
      </c>
      <c r="AP198" s="18">
        <f>IF($A198&gt;'1-Input'!$B$26,AN198,AN198-MIN(MAX(AN198,0),'P-Parametri'!$B$8*(AN198+AM198)))</f>
        <v>151633.7635523245</v>
      </c>
      <c r="AQ198" s="18">
        <f>IF($A198&gt;'1-Input'!$B$26,AQ197,AQ197-AL198*(1-AK198))</f>
        <v>83445.048282092685</v>
      </c>
    </row>
    <row r="199" spans="1:43">
      <c r="A199" s="10">
        <f>21</f>
        <v>21</v>
      </c>
      <c r="B199" s="11">
        <f>IF($A199&gt;'1-Input'!$B$26,0,IF(G198&lt;=0,0,MAX(0,(G198-H198)/G198)))</f>
        <v>0.44973949026187693</v>
      </c>
      <c r="C199" s="18">
        <f>IF($A199&gt;'1-Input'!$B$26,0,(MAX(0,B176-IF($A199&gt;='1-Input'!$C$12,'1-Input'!$B$12,0))-MIN(MAX(F198,0),MAX(0,B176-IF($A199&gt;='1-Input'!$C$12,'1-Input'!$B$12,0))))*(1/(1-'P-Parametri'!$B$6*B199))+MIN(MAX(0,G198-(MAX(0,B176-IF($A199&gt;='1-Input'!$C$12,'1-Input'!$B$12,0))-MIN(MAX(F198,0),MAX(0,B176-IF($A199&gt;='1-Input'!$C$12,'1-Input'!$B$12,0))))*(1/(1-'P-Parametri'!$B$6*B199))),MAX(0,1*B176-(F198-MIN(MAX(F198,0),MAX(0,B176-IF($A199&gt;='1-Input'!$C$12,'1-Input'!$B$12,0)))))*(1/(1-'P-Parametri'!$B$6*B199))))</f>
        <v>18957.896995917548</v>
      </c>
      <c r="D199" s="18">
        <f>IF($A199&gt;'1-Input'!$B$26,F198,(F198-MAX(0,B176-IF($A199&gt;='1-Input'!$C$12,'1-Input'!$B$12,0))+C199*(1-'P-Parametri'!$B$6*B199))*(1+'1-Input'!$B$27))</f>
        <v>16621.00351549315</v>
      </c>
      <c r="E199" s="18">
        <f>IF($A199&gt;'1-Input'!$B$26,G198,(G198-C199)*(1+$B$4))</f>
        <v>142349.50913831434</v>
      </c>
      <c r="F199" s="18">
        <f>IF($A199&gt;'1-Input'!$B$26,D199,D199-'P-Parametri'!$B$8*(E199+D199)+MIN(MAX(E199,0),'P-Parametri'!$B$8*(E199+D199)))</f>
        <v>16621.00351549315</v>
      </c>
      <c r="G199" s="18">
        <f>IF($A199&gt;'1-Input'!$B$26,E199,E199-MIN(MAX(E199,0),'P-Parametri'!$B$8*(E199+D199)))</f>
        <v>142031.56811300674</v>
      </c>
      <c r="H199" s="18">
        <f>IF($A199&gt;'1-Input'!$B$26,H198,H198-C199*(1-B199))</f>
        <v>76793.444568059262</v>
      </c>
      <c r="I199" s="11">
        <f>IF($A199&gt;'1-Input'!$B$26,0,IF(N198&lt;=0,0,MAX(0,(N198-O198)/N198)))</f>
        <v>0.44575102531310989</v>
      </c>
      <c r="J199" s="18">
        <f>IF($A199&gt;'1-Input'!$B$26,0,(MAX(0,I176-IF($A199&gt;='1-Input'!$C$12,'1-Input'!$B$12,0))-MIN(MAX(M198,0),MAX(0,I176-IF($A199&gt;='1-Input'!$C$12,'1-Input'!$B$12,0))))*(1/(1-'P-Parametri'!$B$6*I199))+MIN(MAX(0,N198-(MAX(0,I176-IF($A199&gt;='1-Input'!$C$12,'1-Input'!$B$12,0))-MIN(MAX(M198,0),MAX(0,I176-IF($A199&gt;='1-Input'!$C$12,'1-Input'!$B$12,0))))*(1/(1-'P-Parametri'!$B$6*I199))),MAX(0,1*I176-(M198-MIN(MAX(M198,0),MAX(0,I176-IF($A199&gt;='1-Input'!$C$12,'1-Input'!$B$12,0)))))*(1/(1-'P-Parametri'!$B$6*I199))))</f>
        <v>10742.363831682143</v>
      </c>
      <c r="K199" s="18">
        <f>IF($A199&gt;'1-Input'!$B$26,M198,(M198-MAX(0,I176-IF($A199&gt;='1-Input'!$C$12,'1-Input'!$B$12,0))+J199*(1-'P-Parametri'!$B$6*I199))*(1+'1-Input'!$B$27))</f>
        <v>9384.4530934488412</v>
      </c>
      <c r="L199" s="18">
        <f>IF($A199&gt;'1-Input'!$B$26,N198,(N198-J199)*(1+$B$4))</f>
        <v>0</v>
      </c>
      <c r="M199" s="18">
        <f>IF($A199&gt;'1-Input'!$B$26,K199,K199-'P-Parametri'!$B$8*(L199+K199)+MIN(MAX(L199,0),'P-Parametri'!$B$8*(L199+K199)))</f>
        <v>9365.6841872619443</v>
      </c>
      <c r="N199" s="18">
        <f>IF($A199&gt;'1-Input'!$B$26,L199,L199-MIN(MAX(L199,0),'P-Parametri'!$B$8*(L199+K199)))</f>
        <v>0</v>
      </c>
      <c r="O199" s="18">
        <f>IF($A199&gt;'1-Input'!$B$26,O198,O198-J199*(1-I199))</f>
        <v>-9.0949470177292824E-13</v>
      </c>
      <c r="P199" s="11">
        <f>IF($A199&gt;'1-Input'!$B$26,0,IF(U198&lt;=0,0,MAX(0,(U198-V198)/U198)))</f>
        <v>0.44969498919906842</v>
      </c>
      <c r="Q199" s="18">
        <f>IF($A199&gt;'1-Input'!$B$26,0,(MAX(0,P176-IF($A199&gt;='1-Input'!$C$12,'1-Input'!$B$12,0))-MIN(MAX(T198,0),MAX(0,P176-IF($A199&gt;='1-Input'!$C$12,'1-Input'!$B$12,0))))*(1/(1-'P-Parametri'!$B$6*P199))+MIN(MAX(0,U198-(MAX(0,P176-IF($A199&gt;='1-Input'!$C$12,'1-Input'!$B$12,0))-MIN(MAX(T198,0),MAX(0,P176-IF($A199&gt;='1-Input'!$C$12,'1-Input'!$B$12,0))))*(1/(1-'P-Parametri'!$B$6*P199))),MAX(0,1*P176-(T198-MIN(MAX(T198,0),MAX(0,P176-IF($A199&gt;='1-Input'!$C$12,'1-Input'!$B$12,0)))))*(1/(1-'P-Parametri'!$B$6*P199))))</f>
        <v>19227.49548137384</v>
      </c>
      <c r="R199" s="18">
        <f>IF($A199&gt;'1-Input'!$B$26,T198,(T198-MAX(0,P176-IF($A199&gt;='1-Input'!$C$12,'1-Input'!$B$12,0))+Q199*(1-'P-Parametri'!$B$6*P199))*(1+'1-Input'!$B$27))</f>
        <v>16857.590128083153</v>
      </c>
      <c r="S199" s="18">
        <f>IF($A199&gt;'1-Input'!$B$26,U198,(U198-Q199)*(1+$B$4))</f>
        <v>135278.85797508981</v>
      </c>
      <c r="T199" s="18">
        <f>IF($A199&gt;'1-Input'!$B$26,R199,R199-'P-Parametri'!$B$8*(S199+R199)+MIN(MAX(S199,0),'P-Parametri'!$B$8*(S199+R199)))</f>
        <v>16857.590128083153</v>
      </c>
      <c r="U199" s="18">
        <f>IF($A199&gt;'1-Input'!$B$26,S199,S199-MIN(MAX(S199,0),'P-Parametri'!$B$8*(S199+R199)))</f>
        <v>134974.58507888345</v>
      </c>
      <c r="V199" s="18">
        <f>IF($A199&gt;'1-Input'!$B$26,V198,V198-Q199*(1-P199))</f>
        <v>72984.934705019099</v>
      </c>
      <c r="W199" s="11">
        <f>IF($A199&gt;'1-Input'!$B$26,0,IF(AB198&lt;=0,0,MAX(0,(AB198-AC198)/AB198)))</f>
        <v>0.44969356414774969</v>
      </c>
      <c r="X199" s="18">
        <f>IF($A199&gt;'1-Input'!$B$26,0,(MAX(0,W176-IF($A199&gt;='1-Input'!$C$12,'1-Input'!$B$12,0))-MIN(MAX(AA198,0),MAX(0,W176-IF($A199&gt;='1-Input'!$C$12,'1-Input'!$B$12,0))))*(1/(1-'P-Parametri'!$B$6*W199))+MIN(MAX(0,AB198-(MAX(0,W176-IF($A199&gt;='1-Input'!$C$12,'1-Input'!$B$12,0))-MIN(MAX(AA198,0),MAX(0,W176-IF($A199&gt;='1-Input'!$C$12,'1-Input'!$B$12,0))))*(1/(1-'P-Parametri'!$B$6*W199))),MAX(0,1*W176-(AA198-MIN(MAX(AA198,0),MAX(0,W176-IF($A199&gt;='1-Input'!$C$12,'1-Input'!$B$12,0)))))*(1/(1-'P-Parametri'!$B$6*W199))))</f>
        <v>19235.920743812017</v>
      </c>
      <c r="Y199" s="18">
        <f>IF($A199&gt;'1-Input'!$B$26,AA198,(AA198-MAX(0,W176-IF($A199&gt;='1-Input'!$C$12,'1-Input'!$B$12,0))+X199*(1-'P-Parametri'!$B$6*W199))*(1+'1-Input'!$B$27))</f>
        <v>16864.984001895249</v>
      </c>
      <c r="Z199" s="18">
        <f>IF($A199&gt;'1-Input'!$B$26,AB198,(AB198-X199)*(1+$B$4))</f>
        <v>135057.88564984588</v>
      </c>
      <c r="AA199" s="18">
        <f>IF($A199&gt;'1-Input'!$B$26,Y199,Y199-'P-Parametri'!$B$8*(Z199+Y199)+MIN(MAX(Z199,0),'P-Parametri'!$B$8*(Z199+Y199)))</f>
        <v>16864.984001895249</v>
      </c>
      <c r="AB199" s="18">
        <f>IF($A199&gt;'1-Input'!$B$26,Z199,Z199-MIN(MAX(Z199,0),'P-Parametri'!$B$8*(Z199+Y199)))</f>
        <v>134754.0399105424</v>
      </c>
      <c r="AC199" s="18">
        <f>IF($A199&gt;'1-Input'!$B$26,AC198,AC198-X199*(1-W199))</f>
        <v>72865.905574222998</v>
      </c>
      <c r="AD199" s="11">
        <f>IF($A199&gt;'1-Input'!$B$26,0,IF(AI198&lt;=0,0,MAX(0,(AI198-AJ198)/AI198)))</f>
        <v>0.44969348298685774</v>
      </c>
      <c r="AE199" s="18">
        <f>IF($A199&gt;'1-Input'!$B$26,0,(MAX(0,AD176-IF($A199&gt;='1-Input'!$C$12,'1-Input'!$B$12,0))-MIN(MAX(AH198,0),MAX(0,AD176-IF($A199&gt;='1-Input'!$C$12,'1-Input'!$B$12,0))))*(1/(1-'P-Parametri'!$B$6*AD199))+MIN(MAX(0,AI198-(MAX(0,AD176-IF($A199&gt;='1-Input'!$C$12,'1-Input'!$B$12,0))-MIN(MAX(AH198,0),MAX(0,AD176-IF($A199&gt;='1-Input'!$C$12,'1-Input'!$B$12,0))))*(1/(1-'P-Parametri'!$B$6*AD199))),MAX(0,1*AD176-(AH198-MIN(MAX(AH198,0),MAX(0,AD176-IF($A199&gt;='1-Input'!$C$12,'1-Input'!$B$12,0)))))*(1/(1-'P-Parametri'!$B$6*AD199))))</f>
        <v>19236.400205311813</v>
      </c>
      <c r="AF199" s="18">
        <f>IF($A199&gt;'1-Input'!$B$26,AH198,(AH198-MAX(0,AD176-IF($A199&gt;='1-Input'!$C$12,'1-Input'!$B$12,0))+AE199*(1-'P-Parametri'!$B$6*AD199))*(1+'1-Input'!$B$27))</f>
        <v>16865.404770046734</v>
      </c>
      <c r="AG199" s="18">
        <f>IF($A199&gt;'1-Input'!$B$26,AI198,(AI198-AE199)*(1+$B$4))</f>
        <v>135045.31063226983</v>
      </c>
      <c r="AH199" s="18">
        <f>IF($A199&gt;'1-Input'!$B$26,AF199,AF199-'P-Parametri'!$B$8*(AG199+AF199)+MIN(MAX(AG199,0),'P-Parametri'!$B$8*(AG199+AF199)))</f>
        <v>16865.404770046734</v>
      </c>
      <c r="AI199" s="18">
        <f>IF($A199&gt;'1-Input'!$B$26,AG199,AG199-MIN(MAX(AG199,0),'P-Parametri'!$B$8*(AG199+AF199)))</f>
        <v>134741.48920146519</v>
      </c>
      <c r="AJ199" s="18">
        <f>IF($A199&gt;'1-Input'!$B$26,AJ198,AJ198-AE199*(1-AD199))</f>
        <v>72859.131895100261</v>
      </c>
      <c r="AK199" s="11">
        <f>IF($A199&gt;'1-Input'!$B$26,0,IF(AP198&lt;=0,0,MAX(0,(AP198-AQ198)/AP198)))</f>
        <v>0.44969348298673484</v>
      </c>
      <c r="AL199" s="18">
        <f>IF($A199&gt;'1-Input'!$B$26,0,(MAX(0,AK176-IF($A199&gt;='1-Input'!$C$12,'1-Input'!$B$12,0))-MIN(MAX(AO198,0),MAX(0,AK176-IF($A199&gt;='1-Input'!$C$12,'1-Input'!$B$12,0))))*(1/(1-'P-Parametri'!$B$6*AK199))+MIN(MAX(0,AP198-(MAX(0,AK176-IF($A199&gt;='1-Input'!$C$12,'1-Input'!$B$12,0))-MIN(MAX(AO198,0),MAX(0,AK176-IF($A199&gt;='1-Input'!$C$12,'1-Input'!$B$12,0))))*(1/(1-'P-Parametri'!$B$6*AK199))),MAX(0,1*AK176-(AO198-MIN(MAX(AO198,0),MAX(0,AK176-IF($A199&gt;='1-Input'!$C$12,'1-Input'!$B$12,0)))))*(1/(1-'P-Parametri'!$B$6*AK199))))</f>
        <v>19236.400206038459</v>
      </c>
      <c r="AM199" s="18">
        <f>IF($A199&gt;'1-Input'!$B$26,AO198,(AO198-MAX(0,AK176-IF($A199&gt;='1-Input'!$C$12,'1-Input'!$B$12,0))+AL199*(1-'P-Parametri'!$B$6*AK199))*(1+'1-Input'!$B$27))</f>
        <v>16865.404770684425</v>
      </c>
      <c r="AN199" s="18">
        <f>IF($A199&gt;'1-Input'!$B$26,AP198,(AP198-AL199)*(1+$B$4))</f>
        <v>135045.31061321177</v>
      </c>
      <c r="AO199" s="18">
        <f>IF($A199&gt;'1-Input'!$B$26,AM199,AM199-'P-Parametri'!$B$8*(AN199+AM199)+MIN(MAX(AN199,0),'P-Parametri'!$B$8*(AN199+AM199)))</f>
        <v>16865.404770684425</v>
      </c>
      <c r="AP199" s="18">
        <f>IF($A199&gt;'1-Input'!$B$26,AN199,AN199-MIN(MAX(AN199,0),'P-Parametri'!$B$8*(AN199+AM199)))</f>
        <v>134741.48918244397</v>
      </c>
      <c r="AQ199" s="18">
        <f>IF($A199&gt;'1-Input'!$B$26,AQ198,AQ198-AL199*(1-AK199))</f>
        <v>72859.131884834409</v>
      </c>
    </row>
    <row r="200" spans="1:43">
      <c r="A200" s="10">
        <f>22</f>
        <v>22</v>
      </c>
      <c r="B200" s="11">
        <f>IF($A200&gt;'1-Input'!$B$26,0,IF(G199&lt;=0,0,MAX(0,(G199-H199)/G199)))</f>
        <v>0.45932129322856646</v>
      </c>
      <c r="C200" s="18">
        <f>IF($A200&gt;'1-Input'!$B$26,0,(MAX(0,B176-IF($A200&gt;='1-Input'!$C$12,'1-Input'!$B$12,0))-MIN(MAX(F199,0),MAX(0,B176-IF($A200&gt;='1-Input'!$C$12,'1-Input'!$B$12,0))))*(1/(1-'P-Parametri'!$B$6*B200))+MIN(MAX(0,G199-(MAX(0,B176-IF($A200&gt;='1-Input'!$C$12,'1-Input'!$B$12,0))-MIN(MAX(F199,0),MAX(0,B176-IF($A200&gt;='1-Input'!$C$12,'1-Input'!$B$12,0))))*(1/(1-'P-Parametri'!$B$6*B200))),MAX(0,1*B176-(F199-MIN(MAX(F199,0),MAX(0,B176-IF($A200&gt;='1-Input'!$C$12,'1-Input'!$B$12,0)))))*(1/(1-'P-Parametri'!$B$6*B200))))</f>
        <v>19011.531425975445</v>
      </c>
      <c r="D200" s="18">
        <f>IF($A200&gt;'1-Input'!$B$26,F199,(F199-MAX(0,B176-IF($A200&gt;='1-Input'!$C$12,'1-Input'!$B$12,0))+C200*(1-'P-Parametri'!$B$6*B200))*(1+'1-Input'!$B$27))</f>
        <v>16621.00351549315</v>
      </c>
      <c r="E200" s="18">
        <f>IF($A200&gt;'1-Input'!$B$26,G199,(G199-C200)*(1+$B$4))</f>
        <v>125480.43742077192</v>
      </c>
      <c r="F200" s="18">
        <f>IF($A200&gt;'1-Input'!$B$26,D200,D200-'P-Parametri'!$B$8*(E200+D200)+MIN(MAX(E200,0),'P-Parametri'!$B$8*(E200+D200)))</f>
        <v>16621.00351549315</v>
      </c>
      <c r="G200" s="18">
        <f>IF($A200&gt;'1-Input'!$B$26,E200,E200-MIN(MAX(E200,0),'P-Parametri'!$B$8*(E200+D200)))</f>
        <v>125196.2345388994</v>
      </c>
      <c r="H200" s="18">
        <f>IF($A200&gt;'1-Input'!$B$26,H199,H199-C200*(1-B200))</f>
        <v>66514.314342918384</v>
      </c>
      <c r="I200" s="11">
        <f>IF($A200&gt;'1-Input'!$B$26,0,IF(N199&lt;=0,0,MAX(0,(N199-O199)/N199)))</f>
        <v>0</v>
      </c>
      <c r="J200" s="18">
        <f>IF($A200&gt;'1-Input'!$B$26,0,(MAX(0,I176-IF($A200&gt;='1-Input'!$C$12,'1-Input'!$B$12,0))-MIN(MAX(M199,0),MAX(0,I176-IF($A200&gt;='1-Input'!$C$12,'1-Input'!$B$12,0))))*(1/(1-'P-Parametri'!$B$6*I200))+MIN(MAX(0,N199-(MAX(0,I176-IF($A200&gt;='1-Input'!$C$12,'1-Input'!$B$12,0))-MIN(MAX(M199,0),MAX(0,I176-IF($A200&gt;='1-Input'!$C$12,'1-Input'!$B$12,0))))*(1/(1-'P-Parametri'!$B$6*I200))),MAX(0,1*I176-(M199-MIN(MAX(M199,0),MAX(0,I176-IF($A200&gt;='1-Input'!$C$12,'1-Input'!$B$12,0)))))*(1/(1-'P-Parametri'!$B$6*I200))))</f>
        <v>12583.072805666747</v>
      </c>
      <c r="K200" s="18">
        <f>IF($A200&gt;'1-Input'!$B$26,M199,(M199-MAX(0,I176-IF($A200&gt;='1-Input'!$C$12,'1-Input'!$B$12,0))+J200*(1-'P-Parametri'!$B$6*I200))*(1+'1-Input'!$B$27))</f>
        <v>0</v>
      </c>
      <c r="L200" s="18">
        <f>IF($A200&gt;'1-Input'!$B$26,N199,(N199-J200)*(1+$B$4))</f>
        <v>-12834.734261780082</v>
      </c>
      <c r="M200" s="18">
        <f>IF($A200&gt;'1-Input'!$B$26,K200,K200-'P-Parametri'!$B$8*(L200+K200)+MIN(MAX(L200,0),'P-Parametri'!$B$8*(L200+K200)))</f>
        <v>0</v>
      </c>
      <c r="N200" s="18">
        <f>IF($A200&gt;'1-Input'!$B$26,L200,L200-MIN(MAX(L200,0),'P-Parametri'!$B$8*(L200+K200)))</f>
        <v>-12809.064793256523</v>
      </c>
      <c r="O200" s="18">
        <f>IF($A200&gt;'1-Input'!$B$26,O199,O199-J200*(1-I200))</f>
        <v>-12583.072805666747</v>
      </c>
      <c r="P200" s="11">
        <f>IF($A200&gt;'1-Input'!$B$26,0,IF(U199&lt;=0,0,MAX(0,(U199-V199)/U199)))</f>
        <v>0.45926905674602092</v>
      </c>
      <c r="Q200" s="18">
        <f>IF($A200&gt;'1-Input'!$B$26,0,(MAX(0,P176-IF($A200&gt;='1-Input'!$C$12,'1-Input'!$B$12,0))-MIN(MAX(T199,0),MAX(0,P176-IF($A200&gt;='1-Input'!$C$12,'1-Input'!$B$12,0))))*(1/(1-'P-Parametri'!$B$6*P200))+MIN(MAX(0,U199-(MAX(0,P176-IF($A200&gt;='1-Input'!$C$12,'1-Input'!$B$12,0))-MIN(MAX(T199,0),MAX(0,P176-IF($A200&gt;='1-Input'!$C$12,'1-Input'!$B$12,0))))*(1/(1-'P-Parametri'!$B$6*P200))),MAX(0,1*P176-(T199-MIN(MAX(T199,0),MAX(0,P176-IF($A200&gt;='1-Input'!$C$12,'1-Input'!$B$12,0)))))*(1/(1-'P-Parametri'!$B$6*P200))))</f>
        <v>19281.847888362441</v>
      </c>
      <c r="R200" s="18">
        <f>IF($A200&gt;'1-Input'!$B$26,T199,(T199-MAX(0,P176-IF($A200&gt;='1-Input'!$C$12,'1-Input'!$B$12,0))+Q200*(1-'P-Parametri'!$B$6*P200))*(1+'1-Input'!$B$27))</f>
        <v>16857.590128083153</v>
      </c>
      <c r="S200" s="18">
        <f>IF($A200&gt;'1-Input'!$B$26,U199,(U199-Q200)*(1+$B$4))</f>
        <v>118006.59193433143</v>
      </c>
      <c r="T200" s="18">
        <f>IF($A200&gt;'1-Input'!$B$26,R200,R200-'P-Parametri'!$B$8*(S200+R200)+MIN(MAX(S200,0),'P-Parametri'!$B$8*(S200+R200)))</f>
        <v>16857.590128083153</v>
      </c>
      <c r="U200" s="18">
        <f>IF($A200&gt;'1-Input'!$B$26,S200,S200-MIN(MAX(S200,0),'P-Parametri'!$B$8*(S200+R200)))</f>
        <v>117736.86357020659</v>
      </c>
      <c r="V200" s="18">
        <f>IF($A200&gt;'1-Input'!$B$26,V199,V199-Q200*(1-P200))</f>
        <v>62558.642908665133</v>
      </c>
      <c r="W200" s="11">
        <f>IF($A200&gt;'1-Input'!$B$26,0,IF(AB199&lt;=0,0,MAX(0,(AB199-AC199)/AB199)))</f>
        <v>0.45926737615736313</v>
      </c>
      <c r="X200" s="18">
        <f>IF($A200&gt;'1-Input'!$B$26,0,(MAX(0,W176-IF($A200&gt;='1-Input'!$C$12,'1-Input'!$B$12,0))-MIN(MAX(AA199,0),MAX(0,W176-IF($A200&gt;='1-Input'!$C$12,'1-Input'!$B$12,0))))*(1/(1-'P-Parametri'!$B$6*W200))+MIN(MAX(0,AB199-(MAX(0,W176-IF($A200&gt;='1-Input'!$C$12,'1-Input'!$B$12,0))-MIN(MAX(AA199,0),MAX(0,W176-IF($A200&gt;='1-Input'!$C$12,'1-Input'!$B$12,0))))*(1/(1-'P-Parametri'!$B$6*W200))),MAX(0,1*W176-(AA199-MIN(MAX(AA199,0),MAX(0,W176-IF($A200&gt;='1-Input'!$C$12,'1-Input'!$B$12,0)))))*(1/(1-'P-Parametri'!$B$6*W200))))</f>
        <v>19290.295489072741</v>
      </c>
      <c r="Y200" s="18">
        <f>IF($A200&gt;'1-Input'!$B$26,AA199,(AA199-MAX(0,W176-IF($A200&gt;='1-Input'!$C$12,'1-Input'!$B$12,0))+X200*(1-'P-Parametri'!$B$6*W200))*(1+'1-Input'!$B$27))</f>
        <v>16864.984001895242</v>
      </c>
      <c r="Z200" s="18">
        <f>IF($A200&gt;'1-Input'!$B$26,AB199,(AB199-X200)*(1+$B$4))</f>
        <v>117773.01930989906</v>
      </c>
      <c r="AA200" s="18">
        <f>IF($A200&gt;'1-Input'!$B$26,Y200,Y200-'P-Parametri'!$B$8*(Z200+Y200)+MIN(MAX(Z200,0),'P-Parametri'!$B$8*(Z200+Y200)))</f>
        <v>16864.984001895242</v>
      </c>
      <c r="AB200" s="18">
        <f>IF($A200&gt;'1-Input'!$B$26,Z200,Z200-MIN(MAX(Z200,0),'P-Parametri'!$B$8*(Z200+Y200)))</f>
        <v>117503.74330327546</v>
      </c>
      <c r="AC200" s="18">
        <f>IF($A200&gt;'1-Input'!$B$26,AC199,AC199-X200*(1-W200))</f>
        <v>62435.013479716916</v>
      </c>
      <c r="AD200" s="11">
        <f>IF($A200&gt;'1-Input'!$B$26,0,IF(AI199&lt;=0,0,MAX(0,(AI199-AJ199)/AI199)))</f>
        <v>0.45926728042792042</v>
      </c>
      <c r="AE200" s="18">
        <f>IF($A200&gt;'1-Input'!$B$26,0,(MAX(0,AD176-IF($A200&gt;='1-Input'!$C$12,'1-Input'!$B$12,0))-MIN(MAX(AH199,0),MAX(0,AD176-IF($A200&gt;='1-Input'!$C$12,'1-Input'!$B$12,0))))*(1/(1-'P-Parametri'!$B$6*AD200))+MIN(MAX(0,AI199-(MAX(0,AD176-IF($A200&gt;='1-Input'!$C$12,'1-Input'!$B$12,0))-MIN(MAX(AH199,0),MAX(0,AD176-IF($A200&gt;='1-Input'!$C$12,'1-Input'!$B$12,0))))*(1/(1-'P-Parametri'!$B$6*AD200))),MAX(0,1*AD176-(AH199-MIN(MAX(AH199,0),MAX(0,AD176-IF($A200&gt;='1-Input'!$C$12,'1-Input'!$B$12,0)))))*(1/(1-'P-Parametri'!$B$6*AD200))))</f>
        <v>19290.776221599033</v>
      </c>
      <c r="AF200" s="18">
        <f>IF($A200&gt;'1-Input'!$B$26,AH199,(AH199-MAX(0,AD176-IF($A200&gt;='1-Input'!$C$12,'1-Input'!$B$12,0))+AE200*(1-'P-Parametri'!$B$6*AD200))*(1+'1-Input'!$B$27))</f>
        <v>16865.404770046731</v>
      </c>
      <c r="AG200" s="18">
        <f>IF($A200&gt;'1-Input'!$B$26,AI199,(AI199-AE200)*(1+$B$4))</f>
        <v>117759.72723946348</v>
      </c>
      <c r="AH200" s="18">
        <f>IF($A200&gt;'1-Input'!$B$26,AF200,AF200-'P-Parametri'!$B$8*(AG200+AF200)+MIN(MAX(AG200,0),'P-Parametri'!$B$8*(AG200+AF200)))</f>
        <v>16865.404770046731</v>
      </c>
      <c r="AI200" s="18">
        <f>IF($A200&gt;'1-Input'!$B$26,AG200,AG200-MIN(MAX(AG200,0),'P-Parametri'!$B$8*(AG200+AF200)))</f>
        <v>117490.47697544446</v>
      </c>
      <c r="AJ200" s="18">
        <f>IF($A200&gt;'1-Input'!$B$26,AJ199,AJ199-AE200*(1-AD200))</f>
        <v>62427.978006138612</v>
      </c>
      <c r="AK200" s="11">
        <f>IF($A200&gt;'1-Input'!$B$26,0,IF(AP199&lt;=0,0,MAX(0,(AP199-AQ199)/AP199)))</f>
        <v>0.45926728042777543</v>
      </c>
      <c r="AL200" s="18">
        <f>IF($A200&gt;'1-Input'!$B$26,0,(MAX(0,AK176-IF($A200&gt;='1-Input'!$C$12,'1-Input'!$B$12,0))-MIN(MAX(AO199,0),MAX(0,AK176-IF($A200&gt;='1-Input'!$C$12,'1-Input'!$B$12,0))))*(1/(1-'P-Parametri'!$B$6*AK200))+MIN(MAX(0,AP199-(MAX(0,AK176-IF($A200&gt;='1-Input'!$C$12,'1-Input'!$B$12,0))-MIN(MAX(AO199,0),MAX(0,AK176-IF($A200&gt;='1-Input'!$C$12,'1-Input'!$B$12,0))))*(1/(1-'P-Parametri'!$B$6*AK200))),MAX(0,1*AK176-(AO199-MIN(MAX(AO199,0),MAX(0,AK176-IF($A200&gt;='1-Input'!$C$12,'1-Input'!$B$12,0)))))*(1/(1-'P-Parametri'!$B$6*AK200))))</f>
        <v>19290.776222327611</v>
      </c>
      <c r="AM200" s="18">
        <f>IF($A200&gt;'1-Input'!$B$26,AO199,(AO199-MAX(0,AK176-IF($A200&gt;='1-Input'!$C$12,'1-Input'!$B$12,0))+AL200*(1-'P-Parametri'!$B$6*AK200))*(1+'1-Input'!$B$27))</f>
        <v>16865.404770684429</v>
      </c>
      <c r="AN200" s="18">
        <f>IF($A200&gt;'1-Input'!$B$26,AP199,(AP199-AL200)*(1+$B$4))</f>
        <v>117759.72721931869</v>
      </c>
      <c r="AO200" s="18">
        <f>IF($A200&gt;'1-Input'!$B$26,AM200,AM200-'P-Parametri'!$B$8*(AN200+AM200)+MIN(MAX(AN200,0),'P-Parametri'!$B$8*(AN200+AM200)))</f>
        <v>16865.404770684429</v>
      </c>
      <c r="AP200" s="18">
        <f>IF($A200&gt;'1-Input'!$B$26,AN200,AN200-MIN(MAX(AN200,0),'P-Parametri'!$B$8*(AN200+AM200)))</f>
        <v>117490.47695533869</v>
      </c>
      <c r="AQ200" s="18">
        <f>IF($A200&gt;'1-Input'!$B$26,AQ199,AQ199-AL200*(1-AK200))</f>
        <v>62427.977995475994</v>
      </c>
    </row>
    <row r="201" spans="1:43">
      <c r="A201" s="10">
        <f>23</f>
        <v>23</v>
      </c>
      <c r="B201" s="11">
        <f>IF($A201&gt;'1-Input'!$B$26,0,IF(G200&lt;=0,0,MAX(0,(G200-H200)/G200)))</f>
        <v>0.46871952988129295</v>
      </c>
      <c r="C201" s="18">
        <f>IF($A201&gt;'1-Input'!$B$26,0,(MAX(0,B176-IF($A201&gt;='1-Input'!$C$12,'1-Input'!$B$12,0))-MIN(MAX(F200,0),MAX(0,B176-IF($A201&gt;='1-Input'!$C$12,'1-Input'!$B$12,0))))*(1/(1-'P-Parametri'!$B$6*B201))+MIN(MAX(0,G200-(MAX(0,B176-IF($A201&gt;='1-Input'!$C$12,'1-Input'!$B$12,0))-MIN(MAX(F200,0),MAX(0,B176-IF($A201&gt;='1-Input'!$C$12,'1-Input'!$B$12,0))))*(1/(1-'P-Parametri'!$B$6*B201))),MAX(0,1*B176-(F200-MIN(MAX(F200,0),MAX(0,B176-IF($A201&gt;='1-Input'!$C$12,'1-Input'!$B$12,0)))))*(1/(1-'P-Parametri'!$B$6*B201))))</f>
        <v>6421.7010557268641</v>
      </c>
      <c r="D201" s="18">
        <f>IF($A201&gt;'1-Input'!$B$26,F200,(F200-MAX(0,B176-IF($A201&gt;='1-Input'!$C$12,'1-Input'!$B$12,0))+C201*(1-'P-Parametri'!$B$6*B201))*(1+'1-Input'!$B$27))</f>
        <v>16621.00351549315</v>
      </c>
      <c r="E201" s="18">
        <f>IF($A201&gt;'1-Input'!$B$26,G200,(G200-C201)*(1+$B$4))</f>
        <v>121150.02415283599</v>
      </c>
      <c r="F201" s="18">
        <f>IF($A201&gt;'1-Input'!$B$26,D201,D201-'P-Parametri'!$B$8*(E201+D201)+MIN(MAX(E201,0),'P-Parametri'!$B$8*(E201+D201)))</f>
        <v>16621.00351549315</v>
      </c>
      <c r="G201" s="18">
        <f>IF($A201&gt;'1-Input'!$B$26,E201,E201-MIN(MAX(E201,0),'P-Parametri'!$B$8*(E201+D201)))</f>
        <v>120874.48209749933</v>
      </c>
      <c r="H201" s="18">
        <f>IF($A201&gt;'1-Input'!$B$26,H200,H200-C201*(1-B201))</f>
        <v>63102.589987070016</v>
      </c>
      <c r="I201" s="11">
        <f>IF($A201&gt;'1-Input'!$B$26,0,IF(N200&lt;=0,0,MAX(0,(N200-O200)/N200)))</f>
        <v>0</v>
      </c>
      <c r="J201" s="18">
        <f>IF($A201&gt;'1-Input'!$B$26,0,(MAX(0,I176-IF($A201&gt;='1-Input'!$C$12,'1-Input'!$B$12,0))-MIN(MAX(M200,0),MAX(0,I176-IF($A201&gt;='1-Input'!$C$12,'1-Input'!$B$12,0))))*(1/(1-'P-Parametri'!$B$6*I201))+MIN(MAX(0,N200-(MAX(0,I176-IF($A201&gt;='1-Input'!$C$12,'1-Input'!$B$12,0))-MIN(MAX(M200,0),MAX(0,I176-IF($A201&gt;='1-Input'!$C$12,'1-Input'!$B$12,0))))*(1/(1-'P-Parametri'!$B$6*I201))),MAX(0,1*I176-(M200-MIN(MAX(M200,0),MAX(0,I176-IF($A201&gt;='1-Input'!$C$12,'1-Input'!$B$12,0)))))*(1/(1-'P-Parametri'!$B$6*I201))))</f>
        <v>10846.756992928691</v>
      </c>
      <c r="K201" s="18">
        <f>IF($A201&gt;'1-Input'!$B$26,M200,(M200-MAX(0,I176-IF($A201&gt;='1-Input'!$C$12,'1-Input'!$B$12,0))+J201*(1-'P-Parametri'!$B$6*I201))*(1+'1-Input'!$B$27))</f>
        <v>0</v>
      </c>
      <c r="L201" s="18">
        <f>IF($A201&gt;'1-Input'!$B$26,N200,(N200-J201)*(1+$B$4))</f>
        <v>-24128.938221908917</v>
      </c>
      <c r="M201" s="18">
        <f>IF($A201&gt;'1-Input'!$B$26,K201,K201-'P-Parametri'!$B$8*(L201+K201)+MIN(MAX(L201,0),'P-Parametri'!$B$8*(L201+K201)))</f>
        <v>0</v>
      </c>
      <c r="N201" s="18">
        <f>IF($A201&gt;'1-Input'!$B$26,L201,L201-MIN(MAX(L201,0),'P-Parametri'!$B$8*(L201+K201)))</f>
        <v>-24080.680345465098</v>
      </c>
      <c r="O201" s="18">
        <f>IF($A201&gt;'1-Input'!$B$26,O200,O200-J201*(1-I201))</f>
        <v>-23429.829798595438</v>
      </c>
      <c r="P201" s="11">
        <f>IF($A201&gt;'1-Input'!$B$26,0,IF(U200&lt;=0,0,MAX(0,(U200-V200)/U200)))</f>
        <v>0.46865713072642401</v>
      </c>
      <c r="Q201" s="18">
        <f>IF($A201&gt;'1-Input'!$B$26,0,(MAX(0,P176-IF($A201&gt;='1-Input'!$C$12,'1-Input'!$B$12,0))-MIN(MAX(T200,0),MAX(0,P176-IF($A201&gt;='1-Input'!$C$12,'1-Input'!$B$12,0))))*(1/(1-'P-Parametri'!$B$6*P201))+MIN(MAX(0,U200-(MAX(0,P176-IF($A201&gt;='1-Input'!$C$12,'1-Input'!$B$12,0))-MIN(MAX(T200,0),MAX(0,P176-IF($A201&gt;='1-Input'!$C$12,'1-Input'!$B$12,0))))*(1/(1-'P-Parametri'!$B$6*P201))),MAX(0,1*P176-(T200-MIN(MAX(T200,0),MAX(0,P176-IF($A201&gt;='1-Input'!$C$12,'1-Input'!$B$12,0)))))*(1/(1-'P-Parametri'!$B$6*P201))))</f>
        <v>6692.9442807494888</v>
      </c>
      <c r="R201" s="18">
        <f>IF($A201&gt;'1-Input'!$B$26,T200,(T200-MAX(0,P176-IF($A201&gt;='1-Input'!$C$12,'1-Input'!$B$12,0))+Q201*(1-'P-Parametri'!$B$6*P201))*(1+'1-Input'!$B$27))</f>
        <v>16857.590128083153</v>
      </c>
      <c r="S201" s="18">
        <f>IF($A201&gt;'1-Input'!$B$26,U200,(U200-Q201)*(1+$B$4))</f>
        <v>113264.79767524624</v>
      </c>
      <c r="T201" s="18">
        <f>IF($A201&gt;'1-Input'!$B$26,R201,R201-'P-Parametri'!$B$8*(S201+R201)+MIN(MAX(S201,0),'P-Parametri'!$B$8*(S201+R201)))</f>
        <v>16857.590128083153</v>
      </c>
      <c r="U201" s="18">
        <f>IF($A201&gt;'1-Input'!$B$26,S201,S201-MIN(MAX(S201,0),'P-Parametri'!$B$8*(S201+R201)))</f>
        <v>113004.55289963959</v>
      </c>
      <c r="V201" s="18">
        <f>IF($A201&gt;'1-Input'!$B$26,V200,V200-Q201*(1-P201))</f>
        <v>59002.39469064353</v>
      </c>
      <c r="W201" s="11">
        <f>IF($A201&gt;'1-Input'!$B$26,0,IF(AB200&lt;=0,0,MAX(0,(AB200-AC200)/AB200)))</f>
        <v>0.46865511068380988</v>
      </c>
      <c r="X201" s="18">
        <f>IF($A201&gt;'1-Input'!$B$26,0,(MAX(0,W176-IF($A201&gt;='1-Input'!$C$12,'1-Input'!$B$12,0))-MIN(MAX(AA200,0),MAX(0,W176-IF($A201&gt;='1-Input'!$C$12,'1-Input'!$B$12,0))))*(1/(1-'P-Parametri'!$B$6*W201))+MIN(MAX(0,AB200-(MAX(0,W176-IF($A201&gt;='1-Input'!$C$12,'1-Input'!$B$12,0))-MIN(MAX(AA200,0),MAX(0,W176-IF($A201&gt;='1-Input'!$C$12,'1-Input'!$B$12,0))))*(1/(1-'P-Parametri'!$B$6*W201))),MAX(0,1*W176-(AA200-MIN(MAX(AA200,0),MAX(0,W176-IF($A201&gt;='1-Input'!$C$12,'1-Input'!$B$12,0)))))*(1/(1-'P-Parametri'!$B$6*W201))))</f>
        <v>6701.4209528711426</v>
      </c>
      <c r="Y201" s="18">
        <f>IF($A201&gt;'1-Input'!$B$26,AA200,(AA200-MAX(0,W176-IF($A201&gt;='1-Input'!$C$12,'1-Input'!$B$12,0))+X201*(1-'P-Parametri'!$B$6*W201))*(1+'1-Input'!$B$27))</f>
        <v>16864.984001895245</v>
      </c>
      <c r="Z201" s="18">
        <f>IF($A201&gt;'1-Input'!$B$26,AB200,(AB200-X201)*(1+$B$4))</f>
        <v>113018.36879741242</v>
      </c>
      <c r="AA201" s="18">
        <f>IF($A201&gt;'1-Input'!$B$26,Y201,Y201-'P-Parametri'!$B$8*(Z201+Y201)+MIN(MAX(Z201,0),'P-Parametri'!$B$8*(Z201+Y201)))</f>
        <v>16864.984001895245</v>
      </c>
      <c r="AB201" s="18">
        <f>IF($A201&gt;'1-Input'!$B$26,Z201,Z201-MIN(MAX(Z201,0),'P-Parametri'!$B$8*(Z201+Y201)))</f>
        <v>112758.60209181381</v>
      </c>
      <c r="AC201" s="18">
        <f>IF($A201&gt;'1-Input'!$B$26,AC200,AC200-X201*(1-W201))</f>
        <v>58874.247705252405</v>
      </c>
      <c r="AD201" s="11">
        <f>IF($A201&gt;'1-Input'!$B$26,0,IF(AI200&lt;=0,0,MAX(0,(AI200-AJ200)/AI200)))</f>
        <v>0.46865499559435719</v>
      </c>
      <c r="AE201" s="18">
        <f>IF($A201&gt;'1-Input'!$B$26,0,(MAX(0,AD176-IF($A201&gt;='1-Input'!$C$12,'1-Input'!$B$12,0))-MIN(MAX(AH200,0),MAX(0,AD176-IF($A201&gt;='1-Input'!$C$12,'1-Input'!$B$12,0))))*(1/(1-'P-Parametri'!$B$6*AD201))+MIN(MAX(0,AI200-(MAX(0,AD176-IF($A201&gt;='1-Input'!$C$12,'1-Input'!$B$12,0))-MIN(MAX(AH200,0),MAX(0,AD176-IF($A201&gt;='1-Input'!$C$12,'1-Input'!$B$12,0))))*(1/(1-'P-Parametri'!$B$6*AD201))),MAX(0,1*AD176-(AH200-MIN(MAX(AH200,0),MAX(0,AD176-IF($A201&gt;='1-Input'!$C$12,'1-Input'!$B$12,0)))))*(1/(1-'P-Parametri'!$B$6*AD201))))</f>
        <v>6701.9033399846403</v>
      </c>
      <c r="AF201" s="18">
        <f>IF($A201&gt;'1-Input'!$B$26,AH200,(AH200-MAX(0,AD176-IF($A201&gt;='1-Input'!$C$12,'1-Input'!$B$12,0))+AE201*(1-'P-Parametri'!$B$6*AD201))*(1+'1-Input'!$B$27))</f>
        <v>16865.404770046734</v>
      </c>
      <c r="AG201" s="18">
        <f>IF($A201&gt;'1-Input'!$B$26,AI200,(AI200-AE201)*(1+$B$4))</f>
        <v>113004.34510816901</v>
      </c>
      <c r="AH201" s="18">
        <f>IF($A201&gt;'1-Input'!$B$26,AF201,AF201-'P-Parametri'!$B$8*(AG201+AF201)+MIN(MAX(AG201,0),'P-Parametri'!$B$8*(AG201+AF201)))</f>
        <v>16865.404770046734</v>
      </c>
      <c r="AI201" s="18">
        <f>IF($A201&gt;'1-Input'!$B$26,AG201,AG201-MIN(MAX(AG201,0),'P-Parametri'!$B$8*(AG201+AF201)))</f>
        <v>112744.60560841259</v>
      </c>
      <c r="AJ201" s="18">
        <f>IF($A201&gt;'1-Input'!$B$26,AJ200,AJ200-AE201*(1-AD201))</f>
        <v>58866.955146428278</v>
      </c>
      <c r="AK201" s="11">
        <f>IF($A201&gt;'1-Input'!$B$26,0,IF(AP200&lt;=0,0,MAX(0,(AP200-AQ200)/AP200)))</f>
        <v>0.46865499559418283</v>
      </c>
      <c r="AL201" s="18">
        <f>IF($A201&gt;'1-Input'!$B$26,0,(MAX(0,AK176-IF($A201&gt;='1-Input'!$C$12,'1-Input'!$B$12,0))-MIN(MAX(AO200,0),MAX(0,AK176-IF($A201&gt;='1-Input'!$C$12,'1-Input'!$B$12,0))))*(1/(1-'P-Parametri'!$B$6*AK201))+MIN(MAX(0,AP200-(MAX(0,AK176-IF($A201&gt;='1-Input'!$C$12,'1-Input'!$B$12,0))-MIN(MAX(AO200,0),MAX(0,AK176-IF($A201&gt;='1-Input'!$C$12,'1-Input'!$B$12,0))))*(1/(1-'P-Parametri'!$B$6*AK201))),MAX(0,1*AK176-(AO200-MIN(MAX(AO200,0),MAX(0,AK176-IF($A201&gt;='1-Input'!$C$12,'1-Input'!$B$12,0)))))*(1/(1-'P-Parametri'!$B$6*AK201))))</f>
        <v>6701.9033407157131</v>
      </c>
      <c r="AM201" s="18">
        <f>IF($A201&gt;'1-Input'!$B$26,AO200,(AO200-MAX(0,AK176-IF($A201&gt;='1-Input'!$C$12,'1-Input'!$B$12,0))+AL201*(1-'P-Parametri'!$B$6*AK201))*(1+'1-Input'!$B$27))</f>
        <v>16865.404770684429</v>
      </c>
      <c r="AN201" s="18">
        <f>IF($A201&gt;'1-Input'!$B$26,AP200,(AP200-AL201)*(1+$B$4))</f>
        <v>113004.34508691543</v>
      </c>
      <c r="AO201" s="18">
        <f>IF($A201&gt;'1-Input'!$B$26,AM201,AM201-'P-Parametri'!$B$8*(AN201+AM201)+MIN(MAX(AN201,0),'P-Parametri'!$B$8*(AN201+AM201)))</f>
        <v>16865.404770684429</v>
      </c>
      <c r="AP201" s="18">
        <f>IF($A201&gt;'1-Input'!$B$26,AN201,AN201-MIN(MAX(AN201,0),'P-Parametri'!$B$8*(AN201+AM201)))</f>
        <v>112744.60558720023</v>
      </c>
      <c r="AQ201" s="18">
        <f>IF($A201&gt;'1-Input'!$B$26,AQ200,AQ200-AL201*(1-AK201))</f>
        <v>58866.95513537604</v>
      </c>
    </row>
    <row r="202" spans="1:43">
      <c r="A202" s="10">
        <f>24</f>
        <v>24</v>
      </c>
      <c r="B202" s="11">
        <f>IF($A202&gt;'1-Input'!$B$26,0,IF(G201&lt;=0,0,MAX(0,(G201-H201)/G201)))</f>
        <v>0.47794944894845187</v>
      </c>
      <c r="C202" s="18">
        <f>IF($A202&gt;'1-Input'!$B$26,0,(MAX(0,B176-IF($A202&gt;='1-Input'!$C$12,'1-Input'!$B$12,0))-MIN(MAX(F201,0),MAX(0,B176-IF($A202&gt;='1-Input'!$C$12,'1-Input'!$B$12,0))))*(1/(1-'P-Parametri'!$B$6*B202))+MIN(MAX(0,G201-(MAX(0,B176-IF($A202&gt;='1-Input'!$C$12,'1-Input'!$B$12,0))-MIN(MAX(F201,0),MAX(0,B176-IF($A202&gt;='1-Input'!$C$12,'1-Input'!$B$12,0))))*(1/(1-'P-Parametri'!$B$6*B202))),MAX(0,1*B176-(F201-MIN(MAX(F201,0),MAX(0,B176-IF($A202&gt;='1-Input'!$C$12,'1-Input'!$B$12,0)))))*(1/(1-'P-Parametri'!$B$6*B202))))</f>
        <v>6439.2984975766003</v>
      </c>
      <c r="D202" s="18">
        <f>IF($A202&gt;'1-Input'!$B$26,F201,(F201-MAX(0,B176-IF($A202&gt;='1-Input'!$C$12,'1-Input'!$B$12,0))+C202*(1-'P-Parametri'!$B$6*B202))*(1+'1-Input'!$B$27))</f>
        <v>16621.00351549315</v>
      </c>
      <c r="E202" s="18">
        <f>IF($A202&gt;'1-Input'!$B$26,G201,(G201-C202)*(1+$B$4))</f>
        <v>116723.88727192119</v>
      </c>
      <c r="F202" s="18">
        <f>IF($A202&gt;'1-Input'!$B$26,D202,D202-'P-Parametri'!$B$8*(E202+D202)+MIN(MAX(E202,0),'P-Parametri'!$B$8*(E202+D202)))</f>
        <v>16621.00351549315</v>
      </c>
      <c r="G202" s="18">
        <f>IF($A202&gt;'1-Input'!$B$26,E202,E202-MIN(MAX(E202,0),'P-Parametri'!$B$8*(E202+D202)))</f>
        <v>116457.19749034637</v>
      </c>
      <c r="H202" s="18">
        <f>IF($A202&gt;'1-Input'!$B$26,H201,H201-C202*(1-B202))</f>
        <v>59740.950658024747</v>
      </c>
      <c r="I202" s="11">
        <f>IF($A202&gt;'1-Input'!$B$26,0,IF(N201&lt;=0,0,MAX(0,(N201-O201)/N201)))</f>
        <v>0</v>
      </c>
      <c r="J202" s="18">
        <f>IF($A202&gt;'1-Input'!$B$26,0,(MAX(0,I176-IF($A202&gt;='1-Input'!$C$12,'1-Input'!$B$12,0))-MIN(MAX(M201,0),MAX(0,I176-IF($A202&gt;='1-Input'!$C$12,'1-Input'!$B$12,0))))*(1/(1-'P-Parametri'!$B$6*I202))+MIN(MAX(0,N201-(MAX(0,I176-IF($A202&gt;='1-Input'!$C$12,'1-Input'!$B$12,0))-MIN(MAX(M201,0),MAX(0,I176-IF($A202&gt;='1-Input'!$C$12,'1-Input'!$B$12,0))))*(1/(1-'P-Parametri'!$B$6*I202))),MAX(0,1*I176-(M201-MIN(MAX(M201,0),MAX(0,I176-IF($A202&gt;='1-Input'!$C$12,'1-Input'!$B$12,0)))))*(1/(1-'P-Parametri'!$B$6*I202))))</f>
        <v>10846.756992928691</v>
      </c>
      <c r="K202" s="18">
        <f>IF($A202&gt;'1-Input'!$B$26,M201,(M201-MAX(0,I176-IF($A202&gt;='1-Input'!$C$12,'1-Input'!$B$12,0))+J202*(1-'P-Parametri'!$B$6*I202))*(1+'1-Input'!$B$27))</f>
        <v>0</v>
      </c>
      <c r="L202" s="18">
        <f>IF($A202&gt;'1-Input'!$B$26,N201,(N201-J202)*(1+$B$4))</f>
        <v>-35625.986085161669</v>
      </c>
      <c r="M202" s="18">
        <f>IF($A202&gt;'1-Input'!$B$26,K202,K202-'P-Parametri'!$B$8*(L202+K202)+MIN(MAX(L202,0),'P-Parametri'!$B$8*(L202+K202)))</f>
        <v>0</v>
      </c>
      <c r="N202" s="18">
        <f>IF($A202&gt;'1-Input'!$B$26,L202,L202-MIN(MAX(L202,0),'P-Parametri'!$B$8*(L202+K202)))</f>
        <v>-35554.734112991348</v>
      </c>
      <c r="O202" s="18">
        <f>IF($A202&gt;'1-Input'!$B$26,O201,O201-J202*(1-I202))</f>
        <v>-34276.586791524125</v>
      </c>
      <c r="P202" s="11">
        <f>IF($A202&gt;'1-Input'!$B$26,0,IF(U201&lt;=0,0,MAX(0,(U201-V201)/U201)))</f>
        <v>0.47787595121902643</v>
      </c>
      <c r="Q202" s="18">
        <f>IF($A202&gt;'1-Input'!$B$26,0,(MAX(0,P176-IF($A202&gt;='1-Input'!$C$12,'1-Input'!$B$12,0))-MIN(MAX(T201,0),MAX(0,P176-IF($A202&gt;='1-Input'!$C$12,'1-Input'!$B$12,0))))*(1/(1-'P-Parametri'!$B$6*P202))+MIN(MAX(0,U201-(MAX(0,P176-IF($A202&gt;='1-Input'!$C$12,'1-Input'!$B$12,0))-MIN(MAX(T201,0),MAX(0,P176-IF($A202&gt;='1-Input'!$C$12,'1-Input'!$B$12,0))))*(1/(1-'P-Parametri'!$B$6*P202))),MAX(0,1*P176-(T201-MIN(MAX(T201,0),MAX(0,P176-IF($A202&gt;='1-Input'!$C$12,'1-Input'!$B$12,0)))))*(1/(1-'P-Parametri'!$B$6*P202))))</f>
        <v>6711.2625590554453</v>
      </c>
      <c r="R202" s="18">
        <f>IF($A202&gt;'1-Input'!$B$26,T201,(T201-MAX(0,P176-IF($A202&gt;='1-Input'!$C$12,'1-Input'!$B$12,0))+Q202*(1-'P-Parametri'!$B$6*P202))*(1+'1-Input'!$B$27))</f>
        <v>16857.590128083153</v>
      </c>
      <c r="S202" s="18">
        <f>IF($A202&gt;'1-Input'!$B$26,U201,(U201-Q202)*(1+$B$4))</f>
        <v>108419.15614739583</v>
      </c>
      <c r="T202" s="18">
        <f>IF($A202&gt;'1-Input'!$B$26,R202,R202-'P-Parametri'!$B$8*(S202+R202)+MIN(MAX(S202,0),'P-Parametri'!$B$8*(S202+R202)))</f>
        <v>16857.590128083153</v>
      </c>
      <c r="U202" s="18">
        <f>IF($A202&gt;'1-Input'!$B$26,S202,S202-MIN(MAX(S202,0),'P-Parametri'!$B$8*(S202+R202)))</f>
        <v>108168.60265484487</v>
      </c>
      <c r="V202" s="18">
        <f>IF($A202&gt;'1-Input'!$B$26,V201,V201-Q202*(1-P202))</f>
        <v>55498.283110877346</v>
      </c>
      <c r="W202" s="11">
        <f>IF($A202&gt;'1-Input'!$B$26,0,IF(AB201&lt;=0,0,MAX(0,(AB201-AC201)/AB201)))</f>
        <v>0.47787355808726695</v>
      </c>
      <c r="X202" s="18">
        <f>IF($A202&gt;'1-Input'!$B$26,0,(MAX(0,W176-IF($A202&gt;='1-Input'!$C$12,'1-Input'!$B$12,0))-MIN(MAX(AA201,0),MAX(0,W176-IF($A202&gt;='1-Input'!$C$12,'1-Input'!$B$12,0))))*(1/(1-'P-Parametri'!$B$6*W202))+MIN(MAX(0,AB201-(MAX(0,W176-IF($A202&gt;='1-Input'!$C$12,'1-Input'!$B$12,0))-MIN(MAX(AA201,0),MAX(0,W176-IF($A202&gt;='1-Input'!$C$12,'1-Input'!$B$12,0))))*(1/(1-'P-Parametri'!$B$6*W202))),MAX(0,1*W176-(AA201-MIN(MAX(AA201,0),MAX(0,W176-IF($A202&gt;='1-Input'!$C$12,'1-Input'!$B$12,0)))))*(1/(1-'P-Parametri'!$B$6*W202))))</f>
        <v>6719.7616761183499</v>
      </c>
      <c r="Y202" s="18">
        <f>IF($A202&gt;'1-Input'!$B$26,AA201,(AA201-MAX(0,W176-IF($A202&gt;='1-Input'!$C$12,'1-Input'!$B$12,0))+X202*(1-'P-Parametri'!$B$6*W202))*(1+'1-Input'!$B$27))</f>
        <v>16864.984001895245</v>
      </c>
      <c r="Z202" s="18">
        <f>IF($A202&gt;'1-Input'!$B$26,AB201,(AB201-X202)*(1+$B$4))</f>
        <v>108159.61722400937</v>
      </c>
      <c r="AA202" s="18">
        <f>IF($A202&gt;'1-Input'!$B$26,Y202,Y202-'P-Parametri'!$B$8*(Z202+Y202)+MIN(MAX(Z202,0),'P-Parametri'!$B$8*(Z202+Y202)))</f>
        <v>16864.984001895245</v>
      </c>
      <c r="AB202" s="18">
        <f>IF($A202&gt;'1-Input'!$B$26,Z202,Z202-MIN(MAX(Z202,0),'P-Parametri'!$B$8*(Z202+Y202)))</f>
        <v>107909.56802155757</v>
      </c>
      <c r="AC202" s="18">
        <f>IF($A202&gt;'1-Input'!$B$26,AC201,AC201-X202*(1-W202))</f>
        <v>55365.682450799184</v>
      </c>
      <c r="AD202" s="11">
        <f>IF($A202&gt;'1-Input'!$B$26,0,IF(AI201&lt;=0,0,MAX(0,(AI201-AJ201)/AI201)))</f>
        <v>0.47787342171485814</v>
      </c>
      <c r="AE202" s="18">
        <f>IF($A202&gt;'1-Input'!$B$26,0,(MAX(0,AD176-IF($A202&gt;='1-Input'!$C$12,'1-Input'!$B$12,0))-MIN(MAX(AH201,0),MAX(0,AD176-IF($A202&gt;='1-Input'!$C$12,'1-Input'!$B$12,0))))*(1/(1-'P-Parametri'!$B$6*AD202))+MIN(MAX(0,AI201-(MAX(0,AD176-IF($A202&gt;='1-Input'!$C$12,'1-Input'!$B$12,0))-MIN(MAX(AH201,0),MAX(0,AD176-IF($A202&gt;='1-Input'!$C$12,'1-Input'!$B$12,0))))*(1/(1-'P-Parametri'!$B$6*AD202))),MAX(0,1*AD176-(AH201-MIN(MAX(AH201,0),MAX(0,AD176-IF($A202&gt;='1-Input'!$C$12,'1-Input'!$B$12,0)))))*(1/(1-'P-Parametri'!$B$6*AD202))))</f>
        <v>6720.2453403591071</v>
      </c>
      <c r="AF202" s="18">
        <f>IF($A202&gt;'1-Input'!$B$26,AH201,(AH201-MAX(0,AD176-IF($A202&gt;='1-Input'!$C$12,'1-Input'!$B$12,0))+AE202*(1-'P-Parametri'!$B$6*AD202))*(1+'1-Input'!$B$27))</f>
        <v>16865.404770046734</v>
      </c>
      <c r="AG202" s="18">
        <f>IF($A202&gt;'1-Input'!$B$26,AI201,(AI201-AE202)*(1+$B$4))</f>
        <v>108144.84747341456</v>
      </c>
      <c r="AH202" s="18">
        <f>IF($A202&gt;'1-Input'!$B$26,AF202,AF202-'P-Parametri'!$B$8*(AG202+AF202)+MIN(MAX(AG202,0),'P-Parametri'!$B$8*(AG202+AF202)))</f>
        <v>16865.404770046734</v>
      </c>
      <c r="AI202" s="18">
        <f>IF($A202&gt;'1-Input'!$B$26,AG202,AG202-MIN(MAX(AG202,0),'P-Parametri'!$B$8*(AG202+AF202)))</f>
        <v>107894.82696892763</v>
      </c>
      <c r="AJ202" s="18">
        <f>IF($A202&gt;'1-Input'!$B$26,AJ201,AJ201-AE202*(1-AD202))</f>
        <v>55358.136441629911</v>
      </c>
      <c r="AK202" s="11">
        <f>IF($A202&gt;'1-Input'!$B$26,0,IF(AP201&lt;=0,0,MAX(0,(AP201-AQ201)/AP201)))</f>
        <v>0.47787342171465153</v>
      </c>
      <c r="AL202" s="18">
        <f>IF($A202&gt;'1-Input'!$B$26,0,(MAX(0,AK176-IF($A202&gt;='1-Input'!$C$12,'1-Input'!$B$12,0))-MIN(MAX(AO201,0),MAX(0,AK176-IF($A202&gt;='1-Input'!$C$12,'1-Input'!$B$12,0))))*(1/(1-'P-Parametri'!$B$6*AK202))+MIN(MAX(0,AP201-(MAX(0,AK176-IF($A202&gt;='1-Input'!$C$12,'1-Input'!$B$12,0))-MIN(MAX(AO201,0),MAX(0,AK176-IF($A202&gt;='1-Input'!$C$12,'1-Input'!$B$12,0))))*(1/(1-'P-Parametri'!$B$6*AK202))),MAX(0,1*AK176-(AO201-MIN(MAX(AO201,0),MAX(0,AK176-IF($A202&gt;='1-Input'!$C$12,'1-Input'!$B$12,0)))))*(1/(1-'P-Parametri'!$B$6*AK202))))</f>
        <v>6720.2453410921216</v>
      </c>
      <c r="AM202" s="18">
        <f>IF($A202&gt;'1-Input'!$B$26,AO201,(AO201-MAX(0,AK176-IF($A202&gt;='1-Input'!$C$12,'1-Input'!$B$12,0))+AL202*(1-'P-Parametri'!$B$6*AK202))*(1+'1-Input'!$B$27))</f>
        <v>16865.404770684429</v>
      </c>
      <c r="AN202" s="18">
        <f>IF($A202&gt;'1-Input'!$B$26,AP201,(AP201-AL202)*(1+$B$4))</f>
        <v>108144.84745103028</v>
      </c>
      <c r="AO202" s="18">
        <f>IF($A202&gt;'1-Input'!$B$26,AM202,AM202-'P-Parametri'!$B$8*(AN202+AM202)+MIN(MAX(AN202,0),'P-Parametri'!$B$8*(AN202+AM202)))</f>
        <v>16865.404770684429</v>
      </c>
      <c r="AP202" s="18">
        <f>IF($A202&gt;'1-Input'!$B$26,AN202,AN202-MIN(MAX(AN202,0),'P-Parametri'!$B$8*(AN202+AM202)))</f>
        <v>107894.82694658685</v>
      </c>
      <c r="AQ202" s="18">
        <f>IF($A202&gt;'1-Input'!$B$26,AQ201,AQ201-AL202*(1-AK202))</f>
        <v>55358.136430193554</v>
      </c>
    </row>
    <row r="203" spans="1:43">
      <c r="A203" s="10">
        <f>25</f>
        <v>25</v>
      </c>
      <c r="B203" s="11">
        <f>IF($A203&gt;'1-Input'!$B$26,0,IF(G202&lt;=0,0,MAX(0,(G202-H202)/G202)))</f>
        <v>0.4870136672919943</v>
      </c>
      <c r="C203" s="18">
        <f>IF($A203&gt;'1-Input'!$B$26,0,(MAX(0,B176-IF($A203&gt;='1-Input'!$C$12,'1-Input'!$B$12,0))-MIN(MAX(F202,0),MAX(0,B176-IF($A203&gt;='1-Input'!$C$12,'1-Input'!$B$12,0))))*(1/(1-'P-Parametri'!$B$6*B203))+MIN(MAX(0,G202-(MAX(0,B176-IF($A203&gt;='1-Input'!$C$12,'1-Input'!$B$12,0))-MIN(MAX(F202,0),MAX(0,B176-IF($A203&gt;='1-Input'!$C$12,'1-Input'!$B$12,0))))*(1/(1-'P-Parametri'!$B$6*B203))),MAX(0,1*B176-(F202-MIN(MAX(F202,0),MAX(0,B176-IF($A203&gt;='1-Input'!$C$12,'1-Input'!$B$12,0)))))*(1/(1-'P-Parametri'!$B$6*B203))))</f>
        <v>6456.6741367144286</v>
      </c>
      <c r="D203" s="18">
        <f>IF($A203&gt;'1-Input'!$B$26,F202,(F202-MAX(0,B176-IF($A203&gt;='1-Input'!$C$12,'1-Input'!$B$12,0))+C203*(1-'P-Parametri'!$B$6*B203))*(1+'1-Input'!$B$27))</f>
        <v>16621.00351549315</v>
      </c>
      <c r="E203" s="18">
        <f>IF($A203&gt;'1-Input'!$B$26,G202,(G202-C203)*(1+$B$4))</f>
        <v>112200.53382070459</v>
      </c>
      <c r="F203" s="18">
        <f>IF($A203&gt;'1-Input'!$B$26,D203,D203-'P-Parametri'!$B$8*(E203+D203)+MIN(MAX(E203,0),'P-Parametri'!$B$8*(E203+D203)))</f>
        <v>16621.00351549315</v>
      </c>
      <c r="G203" s="18">
        <f>IF($A203&gt;'1-Input'!$B$26,E203,E203-MIN(MAX(E203,0),'P-Parametri'!$B$8*(E203+D203)))</f>
        <v>111942.89074603219</v>
      </c>
      <c r="H203" s="18">
        <f>IF($A203&gt;'1-Input'!$B$26,H202,H202-C203*(1-B203))</f>
        <v>56428.765071140981</v>
      </c>
      <c r="I203" s="11">
        <f>IF($A203&gt;'1-Input'!$B$26,0,IF(N202&lt;=0,0,MAX(0,(N202-O202)/N202)))</f>
        <v>0</v>
      </c>
      <c r="J203" s="18">
        <f>IF($A203&gt;'1-Input'!$B$26,0,(MAX(0,I176-IF($A203&gt;='1-Input'!$C$12,'1-Input'!$B$12,0))-MIN(MAX(M202,0),MAX(0,I176-IF($A203&gt;='1-Input'!$C$12,'1-Input'!$B$12,0))))*(1/(1-'P-Parametri'!$B$6*I203))+MIN(MAX(0,N202-(MAX(0,I176-IF($A203&gt;='1-Input'!$C$12,'1-Input'!$B$12,0))-MIN(MAX(M202,0),MAX(0,I176-IF($A203&gt;='1-Input'!$C$12,'1-Input'!$B$12,0))))*(1/(1-'P-Parametri'!$B$6*I203))),MAX(0,1*I176-(M202-MIN(MAX(M202,0),MAX(0,I176-IF($A203&gt;='1-Input'!$C$12,'1-Input'!$B$12,0)))))*(1/(1-'P-Parametri'!$B$6*I203))))</f>
        <v>10846.756992928691</v>
      </c>
      <c r="K203" s="18">
        <f>IF($A203&gt;'1-Input'!$B$26,M202,(M202-MAX(0,I176-IF($A203&gt;='1-Input'!$C$12,'1-Input'!$B$12,0))+J203*(1-'P-Parametri'!$B$6*I203))*(1+'1-Input'!$B$27))</f>
        <v>0</v>
      </c>
      <c r="L203" s="18">
        <f>IF($A203&gt;'1-Input'!$B$26,N202,(N202-J203)*(1+$B$4))</f>
        <v>-47329.520928038437</v>
      </c>
      <c r="M203" s="18">
        <f>IF($A203&gt;'1-Input'!$B$26,K203,K203-'P-Parametri'!$B$8*(L203+K203)+MIN(MAX(L203,0),'P-Parametri'!$B$8*(L203+K203)))</f>
        <v>0</v>
      </c>
      <c r="N203" s="18">
        <f>IF($A203&gt;'1-Input'!$B$26,L203,L203-MIN(MAX(L203,0),'P-Parametri'!$B$8*(L203+K203)))</f>
        <v>-47234.861886182363</v>
      </c>
      <c r="O203" s="18">
        <f>IF($A203&gt;'1-Input'!$B$26,O202,O202-J203*(1-I203))</f>
        <v>-45123.343784452816</v>
      </c>
      <c r="P203" s="11">
        <f>IF($A203&gt;'1-Input'!$B$26,0,IF(U202&lt;=0,0,MAX(0,(U202-V202)/U202)))</f>
        <v>0.48692798327101644</v>
      </c>
      <c r="Q203" s="18">
        <f>IF($A203&gt;'1-Input'!$B$26,0,(MAX(0,P176-IF($A203&gt;='1-Input'!$C$12,'1-Input'!$B$12,0))-MIN(MAX(T202,0),MAX(0,P176-IF($A203&gt;='1-Input'!$C$12,'1-Input'!$B$12,0))))*(1/(1-'P-Parametri'!$B$6*P203))+MIN(MAX(0,U202-(MAX(0,P176-IF($A203&gt;='1-Input'!$C$12,'1-Input'!$B$12,0))-MIN(MAX(T202,0),MAX(0,P176-IF($A203&gt;='1-Input'!$C$12,'1-Input'!$B$12,0))))*(1/(1-'P-Parametri'!$B$6*P203))),MAX(0,1*P176-(T202-MIN(MAX(T202,0),MAX(0,P176-IF($A203&gt;='1-Input'!$C$12,'1-Input'!$B$12,0)))))*(1/(1-'P-Parametri'!$B$6*P203))))</f>
        <v>6729.3472506700055</v>
      </c>
      <c r="R203" s="18">
        <f>IF($A203&gt;'1-Input'!$B$26,T202,(T202-MAX(0,P176-IF($A203&gt;='1-Input'!$C$12,'1-Input'!$B$12,0))+Q203*(1-'P-Parametri'!$B$6*P203))*(1+'1-Input'!$B$27))</f>
        <v>16857.590128083153</v>
      </c>
      <c r="S203" s="18">
        <f>IF($A203&gt;'1-Input'!$B$26,U202,(U202-Q203)*(1+$B$4))</f>
        <v>103468.04051225836</v>
      </c>
      <c r="T203" s="18">
        <f>IF($A203&gt;'1-Input'!$B$26,R203,R203-'P-Parametri'!$B$8*(S203+R203)+MIN(MAX(S203,0),'P-Parametri'!$B$8*(S203+R203)))</f>
        <v>16857.590128083153</v>
      </c>
      <c r="U203" s="18">
        <f>IF($A203&gt;'1-Input'!$B$26,S203,S203-MIN(MAX(S203,0),'P-Parametri'!$B$8*(S203+R203)))</f>
        <v>103227.38925097768</v>
      </c>
      <c r="V203" s="18">
        <f>IF($A203&gt;'1-Input'!$B$26,V202,V202-Q203*(1-P203))</f>
        <v>52045.643345706449</v>
      </c>
      <c r="W203" s="11">
        <f>IF($A203&gt;'1-Input'!$B$26,0,IF(AB202&lt;=0,0,MAX(0,(AB202-AC202)/AB202)))</f>
        <v>0.48692517757333126</v>
      </c>
      <c r="X203" s="18">
        <f>IF($A203&gt;'1-Input'!$B$26,0,(MAX(0,W176-IF($A203&gt;='1-Input'!$C$12,'1-Input'!$B$12,0))-MIN(MAX(AA202,0),MAX(0,W176-IF($A203&gt;='1-Input'!$C$12,'1-Input'!$B$12,0))))*(1/(1-'P-Parametri'!$B$6*W203))+MIN(MAX(0,AB202-(MAX(0,W176-IF($A203&gt;='1-Input'!$C$12,'1-Input'!$B$12,0))-MIN(MAX(AA202,0),MAX(0,W176-IF($A203&gt;='1-Input'!$C$12,'1-Input'!$B$12,0))))*(1/(1-'P-Parametri'!$B$6*W203))),MAX(0,1*W176-(AA202-MIN(MAX(AA202,0),MAX(0,W176-IF($A203&gt;='1-Input'!$C$12,'1-Input'!$B$12,0)))))*(1/(1-'P-Parametri'!$B$6*W203))))</f>
        <v>6737.8684297008513</v>
      </c>
      <c r="Y203" s="18">
        <f>IF($A203&gt;'1-Input'!$B$26,AA202,(AA202-MAX(0,W176-IF($A203&gt;='1-Input'!$C$12,'1-Input'!$B$12,0))+X203*(1-'P-Parametri'!$B$6*W203))*(1+'1-Input'!$B$27))</f>
        <v>16864.984001895245</v>
      </c>
      <c r="Z203" s="18">
        <f>IF($A203&gt;'1-Input'!$B$26,AB202,(AB202-X203)*(1+$B$4))</f>
        <v>103195.13358369385</v>
      </c>
      <c r="AA203" s="18">
        <f>IF($A203&gt;'1-Input'!$B$26,Y203,Y203-'P-Parametri'!$B$8*(Z203+Y203)+MIN(MAX(Z203,0),'P-Parametri'!$B$8*(Z203+Y203)))</f>
        <v>16864.984001895245</v>
      </c>
      <c r="AB203" s="18">
        <f>IF($A203&gt;'1-Input'!$B$26,Z203,Z203-MIN(MAX(Z203,0),'P-Parametri'!$B$8*(Z203+Y203)))</f>
        <v>102955.01334852267</v>
      </c>
      <c r="AC203" s="18">
        <f>IF($A203&gt;'1-Input'!$B$26,AC202,AC202-X203*(1-W203))</f>
        <v>51908.651802696164</v>
      </c>
      <c r="AD203" s="11">
        <f>IF($A203&gt;'1-Input'!$B$26,0,IF(AI202&lt;=0,0,MAX(0,(AI202-AJ202)/AI202)))</f>
        <v>0.48692501766027796</v>
      </c>
      <c r="AE203" s="18">
        <f>IF($A203&gt;'1-Input'!$B$26,0,(MAX(0,AD176-IF($A203&gt;='1-Input'!$C$12,'1-Input'!$B$12,0))-MIN(MAX(AH202,0),MAX(0,AD176-IF($A203&gt;='1-Input'!$C$12,'1-Input'!$B$12,0))))*(1/(1-'P-Parametri'!$B$6*AD203))+MIN(MAX(0,AI202-(MAX(0,AD176-IF($A203&gt;='1-Input'!$C$12,'1-Input'!$B$12,0))-MIN(MAX(AH202,0),MAX(0,AD176-IF($A203&gt;='1-Input'!$C$12,'1-Input'!$B$12,0))))*(1/(1-'P-Parametri'!$B$6*AD203))),MAX(0,1*AD176-(AH202-MIN(MAX(AH202,0),MAX(0,AD176-IF($A203&gt;='1-Input'!$C$12,'1-Input'!$B$12,0)))))*(1/(1-'P-Parametri'!$B$6*AD203))))</f>
        <v>6738.3533492446759</v>
      </c>
      <c r="AF203" s="18">
        <f>IF($A203&gt;'1-Input'!$B$26,AH202,(AH202-MAX(0,AD176-IF($A203&gt;='1-Input'!$C$12,'1-Input'!$B$12,0))+AE203*(1-'P-Parametri'!$B$6*AD203))*(1+'1-Input'!$B$27))</f>
        <v>16865.404770046734</v>
      </c>
      <c r="AG203" s="18">
        <f>IF($A203&gt;'1-Input'!$B$26,AI202,(AI202-AE203)*(1+$B$4))</f>
        <v>103179.60309207662</v>
      </c>
      <c r="AH203" s="18">
        <f>IF($A203&gt;'1-Input'!$B$26,AF203,AF203-'P-Parametri'!$B$8*(AG203+AF203)+MIN(MAX(AG203,0),'P-Parametri'!$B$8*(AG203+AF203)))</f>
        <v>16865.404770046734</v>
      </c>
      <c r="AI203" s="18">
        <f>IF($A203&gt;'1-Input'!$B$26,AG203,AG203-MIN(MAX(AG203,0),'P-Parametri'!$B$8*(AG203+AF203)))</f>
        <v>102939.51307635238</v>
      </c>
      <c r="AJ203" s="18">
        <f>IF($A203&gt;'1-Input'!$B$26,AJ202,AJ202-AE203*(1-AD203))</f>
        <v>51900.85591596739</v>
      </c>
      <c r="AK203" s="11">
        <f>IF($A203&gt;'1-Input'!$B$26,0,IF(AP202&lt;=0,0,MAX(0,(AP202-AQ202)/AP202)))</f>
        <v>0.48692501766003571</v>
      </c>
      <c r="AL203" s="18">
        <f>IF($A203&gt;'1-Input'!$B$26,0,(MAX(0,AK176-IF($A203&gt;='1-Input'!$C$12,'1-Input'!$B$12,0))-MIN(MAX(AO202,0),MAX(0,AK176-IF($A203&gt;='1-Input'!$C$12,'1-Input'!$B$12,0))))*(1/(1-'P-Parametri'!$B$6*AK203))+MIN(MAX(0,AP202-(MAX(0,AK176-IF($A203&gt;='1-Input'!$C$12,'1-Input'!$B$12,0))-MIN(MAX(AO202,0),MAX(0,AK176-IF($A203&gt;='1-Input'!$C$12,'1-Input'!$B$12,0))))*(1/(1-'P-Parametri'!$B$6*AK203))),MAX(0,1*AK176-(AO202-MIN(MAX(AO202,0),MAX(0,AK176-IF($A203&gt;='1-Input'!$C$12,'1-Input'!$B$12,0)))))*(1/(1-'P-Parametri'!$B$6*AK203))))</f>
        <v>6738.3533499795931</v>
      </c>
      <c r="AM203" s="18">
        <f>IF($A203&gt;'1-Input'!$B$26,AO202,(AO202-MAX(0,AK176-IF($A203&gt;='1-Input'!$C$12,'1-Input'!$B$12,0))+AL203*(1-'P-Parametri'!$B$6*AK203))*(1+'1-Input'!$B$27))</f>
        <v>16865.404770684429</v>
      </c>
      <c r="AN203" s="18">
        <f>IF($A203&gt;'1-Input'!$B$26,AP202,(AP202-AL203)*(1+$B$4))</f>
        <v>103179.60306853941</v>
      </c>
      <c r="AO203" s="18">
        <f>IF($A203&gt;'1-Input'!$B$26,AM203,AM203-'P-Parametri'!$B$8*(AN203+AM203)+MIN(MAX(AN203,0),'P-Parametri'!$B$8*(AN203+AM203)))</f>
        <v>16865.404770684429</v>
      </c>
      <c r="AP203" s="18">
        <f>IF($A203&gt;'1-Input'!$B$26,AN203,AN203-MIN(MAX(AN203,0),'P-Parametri'!$B$8*(AN203+AM203)))</f>
        <v>102939.51305286096</v>
      </c>
      <c r="AQ203" s="18">
        <f>IF($A203&gt;'1-Input'!$B$26,AQ202,AQ202-AL203*(1-AK203))</f>
        <v>51900.855904152333</v>
      </c>
    </row>
    <row r="204" spans="1:43">
      <c r="A204" s="10">
        <f>26</f>
        <v>26</v>
      </c>
      <c r="B204" s="11">
        <f>IF($A204&gt;'1-Input'!$B$26,0,IF(G203&lt;=0,0,MAX(0,(G203-H203)/G203)))</f>
        <v>0.49591470530127352</v>
      </c>
      <c r="C204" s="18">
        <f>IF($A204&gt;'1-Input'!$B$26,0,(MAX(0,B176-IF($A204&gt;='1-Input'!$C$12,'1-Input'!$B$12,0))-MIN(MAX(F203,0),MAX(0,B176-IF($A204&gt;='1-Input'!$C$12,'1-Input'!$B$12,0))))*(1/(1-'P-Parametri'!$B$6*B204))+MIN(MAX(0,G203-(MAX(0,B176-IF($A204&gt;='1-Input'!$C$12,'1-Input'!$B$12,0))-MIN(MAX(F203,0),MAX(0,B176-IF($A204&gt;='1-Input'!$C$12,'1-Input'!$B$12,0))))*(1/(1-'P-Parametri'!$B$6*B204))),MAX(0,1*B176-(F203-MIN(MAX(F203,0),MAX(0,B176-IF($A204&gt;='1-Input'!$C$12,'1-Input'!$B$12,0)))))*(1/(1-'P-Parametri'!$B$6*B204))))</f>
        <v>6473.8284649543511</v>
      </c>
      <c r="D204" s="18">
        <f>IF($A204&gt;'1-Input'!$B$26,F203,(F203-MAX(0,B176-IF($A204&gt;='1-Input'!$C$12,'1-Input'!$B$12,0))+C204*(1-'P-Parametri'!$B$6*B204))*(1+'1-Input'!$B$27))</f>
        <v>16621.00351549315</v>
      </c>
      <c r="E204" s="18">
        <f>IF($A204&gt;'1-Input'!$B$26,G203,(G203-C204)*(1+$B$4))</f>
        <v>107578.4435266994</v>
      </c>
      <c r="F204" s="18">
        <f>IF($A204&gt;'1-Input'!$B$26,D204,D204-'P-Parametri'!$B$8*(E204+D204)+MIN(MAX(E204,0),'P-Parametri'!$B$8*(E204+D204)))</f>
        <v>16621.00351549315</v>
      </c>
      <c r="G204" s="18">
        <f>IF($A204&gt;'1-Input'!$B$26,E204,E204-MIN(MAX(E204,0),'P-Parametri'!$B$8*(E204+D204)))</f>
        <v>107330.04463261501</v>
      </c>
      <c r="H204" s="18">
        <f>IF($A204&gt;'1-Input'!$B$26,H203,H203-C204*(1-B204))</f>
        <v>53165.403341555466</v>
      </c>
      <c r="I204" s="11">
        <f>IF($A204&gt;'1-Input'!$B$26,0,IF(N203&lt;=0,0,MAX(0,(N203-O203)/N203)))</f>
        <v>0</v>
      </c>
      <c r="J204" s="18">
        <f>IF($A204&gt;'1-Input'!$B$26,0,(MAX(0,I176-IF($A204&gt;='1-Input'!$C$12,'1-Input'!$B$12,0))-MIN(MAX(M203,0),MAX(0,I176-IF($A204&gt;='1-Input'!$C$12,'1-Input'!$B$12,0))))*(1/(1-'P-Parametri'!$B$6*I204))+MIN(MAX(0,N203-(MAX(0,I176-IF($A204&gt;='1-Input'!$C$12,'1-Input'!$B$12,0))-MIN(MAX(M203,0),MAX(0,I176-IF($A204&gt;='1-Input'!$C$12,'1-Input'!$B$12,0))))*(1/(1-'P-Parametri'!$B$6*I204))),MAX(0,1*I176-(M203-MIN(MAX(M203,0),MAX(0,I176-IF($A204&gt;='1-Input'!$C$12,'1-Input'!$B$12,0)))))*(1/(1-'P-Parametri'!$B$6*I204))))</f>
        <v>10846.756992928691</v>
      </c>
      <c r="K204" s="18">
        <f>IF($A204&gt;'1-Input'!$B$26,M203,(M203-MAX(0,I176-IF($A204&gt;='1-Input'!$C$12,'1-Input'!$B$12,0))+J204*(1-'P-Parametri'!$B$6*I204))*(1+'1-Input'!$B$27))</f>
        <v>0</v>
      </c>
      <c r="L204" s="18">
        <f>IF($A204&gt;'1-Input'!$B$26,N203,(N203-J204)*(1+$B$4))</f>
        <v>-59243.251256693278</v>
      </c>
      <c r="M204" s="18">
        <f>IF($A204&gt;'1-Input'!$B$26,K204,K204-'P-Parametri'!$B$8*(L204+K204)+MIN(MAX(L204,0),'P-Parametri'!$B$8*(L204+K204)))</f>
        <v>0</v>
      </c>
      <c r="N204" s="18">
        <f>IF($A204&gt;'1-Input'!$B$26,L204,L204-MIN(MAX(L204,0),'P-Parametri'!$B$8*(L204+K204)))</f>
        <v>-59124.764754179894</v>
      </c>
      <c r="O204" s="18">
        <f>IF($A204&gt;'1-Input'!$B$26,O203,O203-J204*(1-I204))</f>
        <v>-55970.100777381507</v>
      </c>
      <c r="P204" s="11">
        <f>IF($A204&gt;'1-Input'!$B$26,0,IF(U203&lt;=0,0,MAX(0,(U203-V203)/U203)))</f>
        <v>0.49581556093443951</v>
      </c>
      <c r="Q204" s="18">
        <f>IF($A204&gt;'1-Input'!$B$26,0,(MAX(0,P176-IF($A204&gt;='1-Input'!$C$12,'1-Input'!$B$12,0))-MIN(MAX(T203,0),MAX(0,P176-IF($A204&gt;='1-Input'!$C$12,'1-Input'!$B$12,0))))*(1/(1-'P-Parametri'!$B$6*P204))+MIN(MAX(0,U203-(MAX(0,P176-IF($A204&gt;='1-Input'!$C$12,'1-Input'!$B$12,0))-MIN(MAX(T203,0),MAX(0,P176-IF($A204&gt;='1-Input'!$C$12,'1-Input'!$B$12,0))))*(1/(1-'P-Parametri'!$B$6*P204))),MAX(0,1*P176-(T203-MIN(MAX(T203,0),MAX(0,P176-IF($A204&gt;='1-Input'!$C$12,'1-Input'!$B$12,0)))))*(1/(1-'P-Parametri'!$B$6*P204))))</f>
        <v>6747.1984618680872</v>
      </c>
      <c r="R204" s="18">
        <f>IF($A204&gt;'1-Input'!$B$26,T203,(T203-MAX(0,P176-IF($A204&gt;='1-Input'!$C$12,'1-Input'!$B$12,0))+Q204*(1-'P-Parametri'!$B$6*P204))*(1+'1-Input'!$B$27))</f>
        <v>16857.590128083153</v>
      </c>
      <c r="S204" s="18">
        <f>IF($A204&gt;'1-Input'!$B$26,U203,(U203-Q204)*(1+$B$4))</f>
        <v>98409.79460489178</v>
      </c>
      <c r="T204" s="18">
        <f>IF($A204&gt;'1-Input'!$B$26,R204,R204-'P-Parametri'!$B$8*(S204+R204)+MIN(MAX(S204,0),'P-Parametri'!$B$8*(S204+R204)))</f>
        <v>16857.590128083153</v>
      </c>
      <c r="U204" s="18">
        <f>IF($A204&gt;'1-Input'!$B$26,S204,S204-MIN(MAX(S204,0),'P-Parametri'!$B$8*(S204+R204)))</f>
        <v>98179.259835425837</v>
      </c>
      <c r="V204" s="18">
        <f>IF($A204&gt;'1-Input'!$B$26,V203,V203-Q204*(1-P204))</f>
        <v>48643.810873945476</v>
      </c>
      <c r="W204" s="11">
        <f>IF($A204&gt;'1-Input'!$B$26,0,IF(AB203&lt;=0,0,MAX(0,(AB203-AC203)/AB203)))</f>
        <v>0.49581229592991921</v>
      </c>
      <c r="X204" s="18">
        <f>IF($A204&gt;'1-Input'!$B$26,0,(MAX(0,W176-IF($A204&gt;='1-Input'!$C$12,'1-Input'!$B$12,0))-MIN(MAX(AA203,0),MAX(0,W176-IF($A204&gt;='1-Input'!$C$12,'1-Input'!$B$12,0))))*(1/(1-'P-Parametri'!$B$6*W204))+MIN(MAX(0,AB203-(MAX(0,W176-IF($A204&gt;='1-Input'!$C$12,'1-Input'!$B$12,0))-MIN(MAX(AA203,0),MAX(0,W176-IF($A204&gt;='1-Input'!$C$12,'1-Input'!$B$12,0))))*(1/(1-'P-Parametri'!$B$6*W204))),MAX(0,1*W176-(AA203-MIN(MAX(AA203,0),MAX(0,W176-IF($A204&gt;='1-Input'!$C$12,'1-Input'!$B$12,0)))))*(1/(1-'P-Parametri'!$B$6*W204))))</f>
        <v>6755.7413042446015</v>
      </c>
      <c r="Y204" s="18">
        <f>IF($A204&gt;'1-Input'!$B$26,AA203,(AA203-MAX(0,W176-IF($A204&gt;='1-Input'!$C$12,'1-Input'!$B$12,0))+X204*(1-'P-Parametri'!$B$6*W204))*(1+'1-Input'!$B$27))</f>
        <v>16864.984001895245</v>
      </c>
      <c r="Z204" s="18">
        <f>IF($A204&gt;'1-Input'!$B$26,AB203,(AB203-X204)*(1+$B$4))</f>
        <v>98123.257485163631</v>
      </c>
      <c r="AA204" s="18">
        <f>IF($A204&gt;'1-Input'!$B$26,Y204,Y204-'P-Parametri'!$B$8*(Z204+Y204)+MIN(MAX(Z204,0),'P-Parametri'!$B$8*(Z204+Y204)))</f>
        <v>16864.984001895245</v>
      </c>
      <c r="AB204" s="18">
        <f>IF($A204&gt;'1-Input'!$B$26,Z204,Z204-MIN(MAX(Z204,0),'P-Parametri'!$B$8*(Z204+Y204)))</f>
        <v>97893.281002189513</v>
      </c>
      <c r="AC204" s="18">
        <f>IF($A204&gt;'1-Input'!$B$26,AC203,AC203-X204*(1-W204))</f>
        <v>48502.490105217665</v>
      </c>
      <c r="AD204" s="11">
        <f>IF($A204&gt;'1-Input'!$B$26,0,IF(AI203&lt;=0,0,MAX(0,(AI203-AJ203)/AI203)))</f>
        <v>0.49581210980207918</v>
      </c>
      <c r="AE204" s="18">
        <f>IF($A204&gt;'1-Input'!$B$26,0,(MAX(0,AD176-IF($A204&gt;='1-Input'!$C$12,'1-Input'!$B$12,0))-MIN(MAX(AH203,0),MAX(0,AD176-IF($A204&gt;='1-Input'!$C$12,'1-Input'!$B$12,0))))*(1/(1-'P-Parametri'!$B$6*AD204))+MIN(MAX(0,AI203-(MAX(0,AD176-IF($A204&gt;='1-Input'!$C$12,'1-Input'!$B$12,0))-MIN(MAX(AH203,0),MAX(0,AD176-IF($A204&gt;='1-Input'!$C$12,'1-Input'!$B$12,0))))*(1/(1-'P-Parametri'!$B$6*AD204))),MAX(0,1*AD176-(AH203-MIN(MAX(AH203,0),MAX(0,AD176-IF($A204&gt;='1-Input'!$C$12,'1-Input'!$B$12,0)))))*(1/(1-'P-Parametri'!$B$6*AD204))))</f>
        <v>6756.2274563690326</v>
      </c>
      <c r="AF204" s="18">
        <f>IF($A204&gt;'1-Input'!$B$26,AH203,(AH203-MAX(0,AD176-IF($A204&gt;='1-Input'!$C$12,'1-Input'!$B$12,0))+AE204*(1-'P-Parametri'!$B$6*AD204))*(1+'1-Input'!$B$27))</f>
        <v>16865.404770046734</v>
      </c>
      <c r="AG204" s="18">
        <f>IF($A204&gt;'1-Input'!$B$26,AI203,(AI203-AE204)*(1+$B$4))</f>
        <v>98106.951332383018</v>
      </c>
      <c r="AH204" s="18">
        <f>IF($A204&gt;'1-Input'!$B$26,AF204,AF204-'P-Parametri'!$B$8*(AG204+AF204)+MIN(MAX(AG204,0),'P-Parametri'!$B$8*(AG204+AF204)))</f>
        <v>16865.404770046734</v>
      </c>
      <c r="AI204" s="18">
        <f>IF($A204&gt;'1-Input'!$B$26,AG204,AG204-MIN(MAX(AG204,0),'P-Parametri'!$B$8*(AG204+AF204)))</f>
        <v>97877.006620178159</v>
      </c>
      <c r="AJ204" s="18">
        <f>IF($A204&gt;'1-Input'!$B$26,AJ203,AJ203-AE204*(1-AD204))</f>
        <v>48494.447849043419</v>
      </c>
      <c r="AK204" s="11">
        <f>IF($A204&gt;'1-Input'!$B$26,0,IF(AP203&lt;=0,0,MAX(0,(AP203-AQ203)/AP203)))</f>
        <v>0.49581210980179713</v>
      </c>
      <c r="AL204" s="18">
        <f>IF($A204&gt;'1-Input'!$B$26,0,(MAX(0,AK176-IF($A204&gt;='1-Input'!$C$12,'1-Input'!$B$12,0))-MIN(MAX(AO203,0),MAX(0,AK176-IF($A204&gt;='1-Input'!$C$12,'1-Input'!$B$12,0))))*(1/(1-'P-Parametri'!$B$6*AK204))+MIN(MAX(0,AP203-(MAX(0,AK176-IF($A204&gt;='1-Input'!$C$12,'1-Input'!$B$12,0))-MIN(MAX(AO203,0),MAX(0,AK176-IF($A204&gt;='1-Input'!$C$12,'1-Input'!$B$12,0))))*(1/(1-'P-Parametri'!$B$6*AK204))),MAX(0,1*AK176-(AO203-MIN(MAX(AO203,0),MAX(0,AK176-IF($A204&gt;='1-Input'!$C$12,'1-Input'!$B$12,0)))))*(1/(1-'P-Parametri'!$B$6*AK204))))</f>
        <v>6756.2274571058169</v>
      </c>
      <c r="AM204" s="18">
        <f>IF($A204&gt;'1-Input'!$B$26,AO203,(AO203-MAX(0,AK176-IF($A204&gt;='1-Input'!$C$12,'1-Input'!$B$12,0))+AL204*(1-'P-Parametri'!$B$6*AK204))*(1+'1-Input'!$B$27))</f>
        <v>16865.404770684429</v>
      </c>
      <c r="AN204" s="18">
        <f>IF($A204&gt;'1-Input'!$B$26,AP203,(AP203-AL204)*(1+$B$4))</f>
        <v>98106.951307670242</v>
      </c>
      <c r="AO204" s="18">
        <f>IF($A204&gt;'1-Input'!$B$26,AM204,AM204-'P-Parametri'!$B$8*(AN204+AM204)+MIN(MAX(AN204,0),'P-Parametri'!$B$8*(AN204+AM204)))</f>
        <v>16865.404770684429</v>
      </c>
      <c r="AP204" s="18">
        <f>IF($A204&gt;'1-Input'!$B$26,AN204,AN204-MIN(MAX(AN204,0),'P-Parametri'!$B$8*(AN204+AM204)))</f>
        <v>97877.006595513536</v>
      </c>
      <c r="AQ204" s="18">
        <f>IF($A204&gt;'1-Input'!$B$26,AQ203,AQ203-AL204*(1-AK204))</f>
        <v>48494.447836854983</v>
      </c>
    </row>
    <row r="205" spans="1:43">
      <c r="A205" s="10">
        <f>27</f>
        <v>27</v>
      </c>
      <c r="B205" s="11">
        <f>IF($A205&gt;'1-Input'!$B$26,0,IF(G204&lt;=0,0,MAX(0,(G204-H204)/G204)))</f>
        <v>0.50465497779733726</v>
      </c>
      <c r="C205" s="18">
        <f>IF($A205&gt;'1-Input'!$B$26,0,(MAX(0,B176-IF($A205&gt;='1-Input'!$C$12,'1-Input'!$B$12,0))-MIN(MAX(F204,0),MAX(0,B176-IF($A205&gt;='1-Input'!$C$12,'1-Input'!$B$12,0))))*(1/(1-'P-Parametri'!$B$6*B205))+MIN(MAX(0,G204-(MAX(0,B176-IF($A205&gt;='1-Input'!$C$12,'1-Input'!$B$12,0))-MIN(MAX(F204,0),MAX(0,B176-IF($A205&gt;='1-Input'!$C$12,'1-Input'!$B$12,0))))*(1/(1-'P-Parametri'!$B$6*B205))),MAX(0,1*B176-(F204-MIN(MAX(F204,0),MAX(0,B176-IF($A205&gt;='1-Input'!$C$12,'1-Input'!$B$12,0)))))*(1/(1-'P-Parametri'!$B$6*B205))))</f>
        <v>6490.7618912715971</v>
      </c>
      <c r="D205" s="18">
        <f>IF($A205&gt;'1-Input'!$B$26,F204,(F204-MAX(0,B176-IF($A205&gt;='1-Input'!$C$12,'1-Input'!$B$12,0))+C205*(1-'P-Parametri'!$B$6*B205))*(1+'1-Input'!$B$27))</f>
        <v>16621.00351549315</v>
      </c>
      <c r="E205" s="18">
        <f>IF($A205&gt;'1-Input'!$B$26,G204,(G204-C205)*(1+$B$4))</f>
        <v>102856.06839617029</v>
      </c>
      <c r="F205" s="18">
        <f>IF($A205&gt;'1-Input'!$B$26,D205,D205-'P-Parametri'!$B$8*(E205+D205)+MIN(MAX(E205,0),'P-Parametri'!$B$8*(E205+D205)))</f>
        <v>16621.00351549315</v>
      </c>
      <c r="G205" s="18">
        <f>IF($A205&gt;'1-Input'!$B$26,E205,E205-MIN(MAX(E205,0),'P-Parametri'!$B$8*(E205+D205)))</f>
        <v>102617.11425234696</v>
      </c>
      <c r="H205" s="18">
        <f>IF($A205&gt;'1-Input'!$B$26,H204,H204-C205*(1-B205))</f>
        <v>49950.236748411342</v>
      </c>
      <c r="I205" s="11">
        <f>IF($A205&gt;'1-Input'!$B$26,0,IF(N204&lt;=0,0,MAX(0,(N204-O204)/N204)))</f>
        <v>0</v>
      </c>
      <c r="J205" s="18">
        <f>IF($A205&gt;'1-Input'!$B$26,0,(MAX(0,I176-IF($A205&gt;='1-Input'!$C$12,'1-Input'!$B$12,0))-MIN(MAX(M204,0),MAX(0,I176-IF($A205&gt;='1-Input'!$C$12,'1-Input'!$B$12,0))))*(1/(1-'P-Parametri'!$B$6*I205))+MIN(MAX(0,N204-(MAX(0,I176-IF($A205&gt;='1-Input'!$C$12,'1-Input'!$B$12,0))-MIN(MAX(M204,0),MAX(0,I176-IF($A205&gt;='1-Input'!$C$12,'1-Input'!$B$12,0))))*(1/(1-'P-Parametri'!$B$6*I205))),MAX(0,1*I176-(M204-MIN(MAX(M204,0),MAX(0,I176-IF($A205&gt;='1-Input'!$C$12,'1-Input'!$B$12,0)))))*(1/(1-'P-Parametri'!$B$6*I205))))</f>
        <v>10846.756992928691</v>
      </c>
      <c r="K205" s="18">
        <f>IF($A205&gt;'1-Input'!$B$26,M204,(M204-MAX(0,I176-IF($A205&gt;='1-Input'!$C$12,'1-Input'!$B$12,0))+J205*(1-'P-Parametri'!$B$6*I205))*(1+'1-Input'!$B$27))</f>
        <v>0</v>
      </c>
      <c r="L205" s="18">
        <f>IF($A205&gt;'1-Input'!$B$26,N204,(N204-J205)*(1+$B$4))</f>
        <v>-71370.952182050751</v>
      </c>
      <c r="M205" s="18">
        <f>IF($A205&gt;'1-Input'!$B$26,K205,K205-'P-Parametri'!$B$8*(L205+K205)+MIN(MAX(L205,0),'P-Parametri'!$B$8*(L205+K205)))</f>
        <v>0</v>
      </c>
      <c r="N205" s="18">
        <f>IF($A205&gt;'1-Input'!$B$26,L205,L205-MIN(MAX(L205,0),'P-Parametri'!$B$8*(L205+K205)))</f>
        <v>-71228.210277686652</v>
      </c>
      <c r="O205" s="18">
        <f>IF($A205&gt;'1-Input'!$B$26,O204,O204-J205*(1-I205))</f>
        <v>-66816.857770310191</v>
      </c>
      <c r="P205" s="11">
        <f>IF($A205&gt;'1-Input'!$B$26,0,IF(U204&lt;=0,0,MAX(0,(U204-V204)/U204)))</f>
        <v>0.50454086784229935</v>
      </c>
      <c r="Q205" s="18">
        <f>IF($A205&gt;'1-Input'!$B$26,0,(MAX(0,P176-IF($A205&gt;='1-Input'!$C$12,'1-Input'!$B$12,0))-MIN(MAX(T204,0),MAX(0,P176-IF($A205&gt;='1-Input'!$C$12,'1-Input'!$B$12,0))))*(1/(1-'P-Parametri'!$B$6*P205))+MIN(MAX(0,U204-(MAX(0,P176-IF($A205&gt;='1-Input'!$C$12,'1-Input'!$B$12,0))-MIN(MAX(T204,0),MAX(0,P176-IF($A205&gt;='1-Input'!$C$12,'1-Input'!$B$12,0))))*(1/(1-'P-Parametri'!$B$6*P205))),MAX(0,1*P176-(T204-MIN(MAX(T204,0),MAX(0,P176-IF($A205&gt;='1-Input'!$C$12,'1-Input'!$B$12,0)))))*(1/(1-'P-Parametri'!$B$6*P205))))</f>
        <v>6764.8161146992625</v>
      </c>
      <c r="R205" s="18">
        <f>IF($A205&gt;'1-Input'!$B$26,T204,(T204-MAX(0,P176-IF($A205&gt;='1-Input'!$C$12,'1-Input'!$B$12,0))+Q205*(1-'P-Parametri'!$B$6*P205))*(1+'1-Input'!$B$27))</f>
        <v>16857.590128083153</v>
      </c>
      <c r="S205" s="18">
        <f>IF($A205&gt;'1-Input'!$B$26,U204,(U204-Q205)*(1+$B$4))</f>
        <v>93242.732595141104</v>
      </c>
      <c r="T205" s="18">
        <f>IF($A205&gt;'1-Input'!$B$26,R205,R205-'P-Parametri'!$B$8*(S205+R205)+MIN(MAX(S205,0),'P-Parametri'!$B$8*(S205+R205)))</f>
        <v>16857.590128083153</v>
      </c>
      <c r="U205" s="18">
        <f>IF($A205&gt;'1-Input'!$B$26,S205,S205-MIN(MAX(S205,0),'P-Parametri'!$B$8*(S205+R205)))</f>
        <v>93022.531949694661</v>
      </c>
      <c r="V205" s="18">
        <f>IF($A205&gt;'1-Input'!$B$26,V204,V204-Q205*(1-P205))</f>
        <v>45292.120952550154</v>
      </c>
      <c r="W205" s="11">
        <f>IF($A205&gt;'1-Input'!$B$26,0,IF(AB204&lt;=0,0,MAX(0,(AB204-AC204)/AB204)))</f>
        <v>0.5045370876461599</v>
      </c>
      <c r="X205" s="18">
        <f>IF($A205&gt;'1-Input'!$B$26,0,(MAX(0,W176-IF($A205&gt;='1-Input'!$C$12,'1-Input'!$B$12,0))-MIN(MAX(AA204,0),MAX(0,W176-IF($A205&gt;='1-Input'!$C$12,'1-Input'!$B$12,0))))*(1/(1-'P-Parametri'!$B$6*W205))+MIN(MAX(0,AB204-(MAX(0,W176-IF($A205&gt;='1-Input'!$C$12,'1-Input'!$B$12,0))-MIN(MAX(AA204,0),MAX(0,W176-IF($A205&gt;='1-Input'!$C$12,'1-Input'!$B$12,0))))*(1/(1-'P-Parametri'!$B$6*W205))),MAX(0,1*W176-(AA204-MIN(MAX(AA204,0),MAX(0,W176-IF($A205&gt;='1-Input'!$C$12,'1-Input'!$B$12,0)))))*(1/(1-'P-Parametri'!$B$6*W205))))</f>
        <v>6773.3802018286151</v>
      </c>
      <c r="Y205" s="18">
        <f>IF($A205&gt;'1-Input'!$B$26,AA204,(AA204-MAX(0,W176-IF($A205&gt;='1-Input'!$C$12,'1-Input'!$B$12,0))+X205*(1-'P-Parametri'!$B$6*W205))*(1+'1-Input'!$B$27))</f>
        <v>16864.984001895245</v>
      </c>
      <c r="Z205" s="18">
        <f>IF($A205&gt;'1-Input'!$B$26,AB204,(AB204-X205)*(1+$B$4))</f>
        <v>92942.298816368115</v>
      </c>
      <c r="AA205" s="18">
        <f>IF($A205&gt;'1-Input'!$B$26,Y205,Y205-'P-Parametri'!$B$8*(Z205+Y205)+MIN(MAX(Z205,0),'P-Parametri'!$B$8*(Z205+Y205)))</f>
        <v>16864.984001895245</v>
      </c>
      <c r="AB205" s="18">
        <f>IF($A205&gt;'1-Input'!$B$26,Z205,Z205-MIN(MAX(Z205,0),'P-Parametri'!$B$8*(Z205+Y205)))</f>
        <v>92722.684250731589</v>
      </c>
      <c r="AC205" s="18">
        <f>IF($A205&gt;'1-Input'!$B$26,AC204,AC204-X205*(1-W205))</f>
        <v>45146.531423939814</v>
      </c>
      <c r="AD205" s="11">
        <f>IF($A205&gt;'1-Input'!$B$26,0,IF(AI204&lt;=0,0,MAX(0,(AI204-AJ204)/AI204)))</f>
        <v>0.50453687210489451</v>
      </c>
      <c r="AE205" s="18">
        <f>IF($A205&gt;'1-Input'!$B$26,0,(MAX(0,AD176-IF($A205&gt;='1-Input'!$C$12,'1-Input'!$B$12,0))-MIN(MAX(AH204,0),MAX(0,AD176-IF($A205&gt;='1-Input'!$C$12,'1-Input'!$B$12,0))))*(1/(1-'P-Parametri'!$B$6*AD205))+MIN(MAX(0,AI204-(MAX(0,AD176-IF($A205&gt;='1-Input'!$C$12,'1-Input'!$B$12,0))-MIN(MAX(AH204,0),MAX(0,AD176-IF($A205&gt;='1-Input'!$C$12,'1-Input'!$B$12,0))))*(1/(1-'P-Parametri'!$B$6*AD205))),MAX(0,1*AD176-(AH204-MIN(MAX(AH204,0),MAX(0,AD176-IF($A205&gt;='1-Input'!$C$12,'1-Input'!$B$12,0)))))*(1/(1-'P-Parametri'!$B$6*AD205))))</f>
        <v>6773.8675626643835</v>
      </c>
      <c r="AF205" s="18">
        <f>IF($A205&gt;'1-Input'!$B$26,AH204,(AH204-MAX(0,AD176-IF($A205&gt;='1-Input'!$C$12,'1-Input'!$B$12,0))+AE205*(1-'P-Parametri'!$B$6*AD205))*(1+'1-Input'!$B$27))</f>
        <v>16865.404770046734</v>
      </c>
      <c r="AG205" s="18">
        <f>IF($A205&gt;'1-Input'!$B$26,AI204,(AI204-AE205)*(1+$B$4))</f>
        <v>92925.201838664056</v>
      </c>
      <c r="AH205" s="18">
        <f>IF($A205&gt;'1-Input'!$B$26,AF205,AF205-'P-Parametri'!$B$8*(AG205+AF205)+MIN(MAX(AG205,0),'P-Parametri'!$B$8*(AG205+AF205)))</f>
        <v>16865.404770046734</v>
      </c>
      <c r="AI205" s="18">
        <f>IF($A205&gt;'1-Input'!$B$26,AG205,AG205-MIN(MAX(AG205,0),'P-Parametri'!$B$8*(AG205+AF205)))</f>
        <v>92705.620625446638</v>
      </c>
      <c r="AJ205" s="18">
        <f>IF($A205&gt;'1-Input'!$B$26,AJ204,AJ204-AE205*(1-AD205))</f>
        <v>45138.246238498527</v>
      </c>
      <c r="AK205" s="11">
        <f>IF($A205&gt;'1-Input'!$B$26,0,IF(AP204&lt;=0,0,MAX(0,(AP204-AQ204)/AP204)))</f>
        <v>0.50453687210456777</v>
      </c>
      <c r="AL205" s="18">
        <f>IF($A205&gt;'1-Input'!$B$26,0,(MAX(0,AK176-IF($A205&gt;='1-Input'!$C$12,'1-Input'!$B$12,0))-MIN(MAX(AO204,0),MAX(0,AK176-IF($A205&gt;='1-Input'!$C$12,'1-Input'!$B$12,0))))*(1/(1-'P-Parametri'!$B$6*AK205))+MIN(MAX(0,AP204-(MAX(0,AK176-IF($A205&gt;='1-Input'!$C$12,'1-Input'!$B$12,0))-MIN(MAX(AO204,0),MAX(0,AK176-IF($A205&gt;='1-Input'!$C$12,'1-Input'!$B$12,0))))*(1/(1-'P-Parametri'!$B$6*AK205))),MAX(0,1*AK176-(AO204-MIN(MAX(AO204,0),MAX(0,AK176-IF($A205&gt;='1-Input'!$C$12,'1-Input'!$B$12,0)))))*(1/(1-'P-Parametri'!$B$6*AK205))))</f>
        <v>6773.8675634030005</v>
      </c>
      <c r="AM205" s="18">
        <f>IF($A205&gt;'1-Input'!$B$26,AO204,(AO204-MAX(0,AK176-IF($A205&gt;='1-Input'!$C$12,'1-Input'!$B$12,0))+AL205*(1-'P-Parametri'!$B$6*AK205))*(1+'1-Input'!$B$27))</f>
        <v>16865.404770684429</v>
      </c>
      <c r="AN205" s="18">
        <f>IF($A205&gt;'1-Input'!$B$26,AP204,(AP204-AL205)*(1+$B$4))</f>
        <v>92925.201812752755</v>
      </c>
      <c r="AO205" s="18">
        <f>IF($A205&gt;'1-Input'!$B$26,AM205,AM205-'P-Parametri'!$B$8*(AN205+AM205)+MIN(MAX(AN205,0),'P-Parametri'!$B$8*(AN205+AM205)))</f>
        <v>16865.404770684429</v>
      </c>
      <c r="AP205" s="18">
        <f>IF($A205&gt;'1-Input'!$B$26,AN205,AN205-MIN(MAX(AN205,0),'P-Parametri'!$B$8*(AN205+AM205)))</f>
        <v>92705.620599585876</v>
      </c>
      <c r="AQ205" s="18">
        <f>IF($A205&gt;'1-Input'!$B$26,AQ204,AQ204-AL205*(1-AK205))</f>
        <v>45138.246225941919</v>
      </c>
    </row>
    <row r="206" spans="1:43">
      <c r="A206" s="10">
        <f>28</f>
        <v>28</v>
      </c>
      <c r="B206" s="11">
        <f>IF($A206&gt;'1-Input'!$B$26,0,IF(G205&lt;=0,0,MAX(0,(G205-H205)/G205)))</f>
        <v>0.51323678206757872</v>
      </c>
      <c r="C206" s="18">
        <f>IF($A206&gt;'1-Input'!$B$26,0,(MAX(0,B176-IF($A206&gt;='1-Input'!$C$12,'1-Input'!$B$12,0))-MIN(MAX(F205,0),MAX(0,B176-IF($A206&gt;='1-Input'!$C$12,'1-Input'!$B$12,0))))*(1/(1-'P-Parametri'!$B$6*B206))+MIN(MAX(0,G205-(MAX(0,B176-IF($A206&gt;='1-Input'!$C$12,'1-Input'!$B$12,0))-MIN(MAX(F205,0),MAX(0,B176-IF($A206&gt;='1-Input'!$C$12,'1-Input'!$B$12,0))))*(1/(1-'P-Parametri'!$B$6*B206))),MAX(0,1*B176-(F205-MIN(MAX(F205,0),MAX(0,B176-IF($A206&gt;='1-Input'!$C$12,'1-Input'!$B$12,0)))))*(1/(1-'P-Parametri'!$B$6*B206))))</f>
        <v>6507.4747128163799</v>
      </c>
      <c r="D206" s="18">
        <f>IF($A206&gt;'1-Input'!$B$26,F205,(F205-MAX(0,B176-IF($A206&gt;='1-Input'!$C$12,'1-Input'!$B$12,0))+C206*(1-'P-Parametri'!$B$6*B206))*(1+'1-Input'!$B$27))</f>
        <v>16621.00351549315</v>
      </c>
      <c r="E206" s="18">
        <f>IF($A206&gt;'1-Input'!$B$26,G205,(G205-C206)*(1+$B$4))</f>
        <v>98031.832330321195</v>
      </c>
      <c r="F206" s="18">
        <f>IF($A206&gt;'1-Input'!$B$26,D206,D206-'P-Parametri'!$B$8*(E206+D206)+MIN(MAX(E206,0),'P-Parametri'!$B$8*(E206+D206)))</f>
        <v>16621.00351549315</v>
      </c>
      <c r="G206" s="18">
        <f>IF($A206&gt;'1-Input'!$B$26,E206,E206-MIN(MAX(E206,0),'P-Parametri'!$B$8*(E206+D206)))</f>
        <v>97802.526658629562</v>
      </c>
      <c r="H206" s="18">
        <f>IF($A206&gt;'1-Input'!$B$26,H205,H205-C206*(1-B206))</f>
        <v>46782.637416586978</v>
      </c>
      <c r="I206" s="11">
        <f>IF($A206&gt;'1-Input'!$B$26,0,IF(N205&lt;=0,0,MAX(0,(N205-O205)/N205)))</f>
        <v>0</v>
      </c>
      <c r="J206" s="18">
        <f>IF($A206&gt;'1-Input'!$B$26,0,(MAX(0,I176-IF($A206&gt;='1-Input'!$C$12,'1-Input'!$B$12,0))-MIN(MAX(M205,0),MAX(0,I176-IF($A206&gt;='1-Input'!$C$12,'1-Input'!$B$12,0))))*(1/(1-'P-Parametri'!$B$6*I206))+MIN(MAX(0,N205-(MAX(0,I176-IF($A206&gt;='1-Input'!$C$12,'1-Input'!$B$12,0))-MIN(MAX(M205,0),MAX(0,I176-IF($A206&gt;='1-Input'!$C$12,'1-Input'!$B$12,0))))*(1/(1-'P-Parametri'!$B$6*I206))),MAX(0,1*I176-(M205-MIN(MAX(M205,0),MAX(0,I176-IF($A206&gt;='1-Input'!$C$12,'1-Input'!$B$12,0)))))*(1/(1-'P-Parametri'!$B$6*I206))))</f>
        <v>10846.756992928691</v>
      </c>
      <c r="K206" s="18">
        <f>IF($A206&gt;'1-Input'!$B$26,M205,(M205-MAX(0,I176-IF($A206&gt;='1-Input'!$C$12,'1-Input'!$B$12,0))+J206*(1-'P-Parametri'!$B$6*I206))*(1+'1-Input'!$B$27))</f>
        <v>0</v>
      </c>
      <c r="L206" s="18">
        <f>IF($A206&gt;'1-Input'!$B$26,N205,(N205-J206)*(1+$B$4))</f>
        <v>-83716.466616027639</v>
      </c>
      <c r="M206" s="18">
        <f>IF($A206&gt;'1-Input'!$B$26,K206,K206-'P-Parametri'!$B$8*(L206+K206)+MIN(MAX(L206,0),'P-Parametri'!$B$8*(L206+K206)))</f>
        <v>0</v>
      </c>
      <c r="N206" s="18">
        <f>IF($A206&gt;'1-Input'!$B$26,L206,L206-MIN(MAX(L206,0),'P-Parametri'!$B$8*(L206+K206)))</f>
        <v>-83549.033682795591</v>
      </c>
      <c r="O206" s="18">
        <f>IF($A206&gt;'1-Input'!$B$26,O205,O205-J206*(1-I206))</f>
        <v>-77663.614763238875</v>
      </c>
      <c r="P206" s="11">
        <f>IF($A206&gt;'1-Input'!$B$26,0,IF(U205&lt;=0,0,MAX(0,(U205-V205)/U205)))</f>
        <v>0.51310591097387537</v>
      </c>
      <c r="Q206" s="18">
        <f>IF($A206&gt;'1-Input'!$B$26,0,(MAX(0,P176-IF($A206&gt;='1-Input'!$C$12,'1-Input'!$B$12,0))-MIN(MAX(T205,0),MAX(0,P176-IF($A206&gt;='1-Input'!$C$12,'1-Input'!$B$12,0))))*(1/(1-'P-Parametri'!$B$6*P206))+MIN(MAX(0,U205-(MAX(0,P176-IF($A206&gt;='1-Input'!$C$12,'1-Input'!$B$12,0))-MIN(MAX(T205,0),MAX(0,P176-IF($A206&gt;='1-Input'!$C$12,'1-Input'!$B$12,0))))*(1/(1-'P-Parametri'!$B$6*P206))),MAX(0,1*P176-(T205-MIN(MAX(T205,0),MAX(0,P176-IF($A206&gt;='1-Input'!$C$12,'1-Input'!$B$12,0)))))*(1/(1-'P-Parametri'!$B$6*P206))))</f>
        <v>6782.1998856279733</v>
      </c>
      <c r="R206" s="18">
        <f>IF($A206&gt;'1-Input'!$B$26,T205,(T205-MAX(0,P176-IF($A206&gt;='1-Input'!$C$12,'1-Input'!$B$12,0))+Q206*(1-'P-Parametri'!$B$6*P206))*(1+'1-Input'!$B$27))</f>
        <v>16857.590128083153</v>
      </c>
      <c r="S206" s="18">
        <f>IF($A206&gt;'1-Input'!$B$26,U205,(U205-Q206)*(1+$B$4))</f>
        <v>87965.138705348028</v>
      </c>
      <c r="T206" s="18">
        <f>IF($A206&gt;'1-Input'!$B$26,R206,R206-'P-Parametri'!$B$8*(S206+R206)+MIN(MAX(S206,0),'P-Parametri'!$B$8*(S206+R206)))</f>
        <v>16857.590128083153</v>
      </c>
      <c r="U206" s="18">
        <f>IF($A206&gt;'1-Input'!$B$26,S206,S206-MIN(MAX(S206,0),'P-Parametri'!$B$8*(S206+R206)))</f>
        <v>87755.493247681166</v>
      </c>
      <c r="V206" s="18">
        <f>IF($A206&gt;'1-Input'!$B$26,V205,V205-Q206*(1-P206))</f>
        <v>41989.907917644232</v>
      </c>
      <c r="W206" s="11">
        <f>IF($A206&gt;'1-Input'!$B$26,0,IF(AB205&lt;=0,0,MAX(0,(AB205-AC205)/AB205)))</f>
        <v>0.51310154803263686</v>
      </c>
      <c r="X206" s="18">
        <f>IF($A206&gt;'1-Input'!$B$26,0,(MAX(0,W176-IF($A206&gt;='1-Input'!$C$12,'1-Input'!$B$12,0))-MIN(MAX(AA205,0),MAX(0,W176-IF($A206&gt;='1-Input'!$C$12,'1-Input'!$B$12,0))))*(1/(1-'P-Parametri'!$B$6*W206))+MIN(MAX(0,AB205-(MAX(0,W176-IF($A206&gt;='1-Input'!$C$12,'1-Input'!$B$12,0))-MIN(MAX(AA205,0),MAX(0,W176-IF($A206&gt;='1-Input'!$C$12,'1-Input'!$B$12,0))))*(1/(1-'P-Parametri'!$B$6*W206))),MAX(0,1*W176-(AA205-MIN(MAX(AA205,0),MAX(0,W176-IF($A206&gt;='1-Input'!$C$12,'1-Input'!$B$12,0)))))*(1/(1-'P-Parametri'!$B$6*W206))))</f>
        <v>6790.7847731441652</v>
      </c>
      <c r="Y206" s="18">
        <f>IF($A206&gt;'1-Input'!$B$26,AA205,(AA205-MAX(0,W176-IF($A206&gt;='1-Input'!$C$12,'1-Input'!$B$12,0))+X206*(1-'P-Parametri'!$B$6*W206))*(1+'1-Input'!$B$27))</f>
        <v>16864.984001895245</v>
      </c>
      <c r="Z206" s="18">
        <f>IF($A206&gt;'1-Input'!$B$26,AB205,(AB205-X206)*(1+$B$4))</f>
        <v>87650.537467139176</v>
      </c>
      <c r="AA206" s="18">
        <f>IF($A206&gt;'1-Input'!$B$26,Y206,Y206-'P-Parametri'!$B$8*(Z206+Y206)+MIN(MAX(Z206,0),'P-Parametri'!$B$8*(Z206+Y206)))</f>
        <v>16864.984001895245</v>
      </c>
      <c r="AB206" s="18">
        <f>IF($A206&gt;'1-Input'!$B$26,Z206,Z206-MIN(MAX(Z206,0),'P-Parametri'!$B$8*(Z206+Y206)))</f>
        <v>87441.506424201114</v>
      </c>
      <c r="AC206" s="18">
        <f>IF($A206&gt;'1-Input'!$B$26,AC205,AC205-X206*(1-W206))</f>
        <v>41840.108830252379</v>
      </c>
      <c r="AD206" s="11">
        <f>IF($A206&gt;'1-Input'!$B$26,0,IF(AI205&lt;=0,0,MAX(0,(AI205-AJ205)/AI205)))</f>
        <v>0.5131012992095908</v>
      </c>
      <c r="AE206" s="18">
        <f>IF($A206&gt;'1-Input'!$B$26,0,(MAX(0,AD176-IF($A206&gt;='1-Input'!$C$12,'1-Input'!$B$12,0))-MIN(MAX(AH205,0),MAX(0,AD176-IF($A206&gt;='1-Input'!$C$12,'1-Input'!$B$12,0))))*(1/(1-'P-Parametri'!$B$6*AD206))+MIN(MAX(0,AI205-(MAX(0,AD176-IF($A206&gt;='1-Input'!$C$12,'1-Input'!$B$12,0))-MIN(MAX(AH205,0),MAX(0,AD176-IF($A206&gt;='1-Input'!$C$12,'1-Input'!$B$12,0))))*(1/(1-'P-Parametri'!$B$6*AD206))),MAX(0,1*AD176-(AH205-MIN(MAX(AH205,0),MAX(0,AD176-IF($A206&gt;='1-Input'!$C$12,'1-Input'!$B$12,0)))))*(1/(1-'P-Parametri'!$B$6*AD206))))</f>
        <v>6791.273317341278</v>
      </c>
      <c r="AF206" s="18">
        <f>IF($A206&gt;'1-Input'!$B$26,AH205,(AH205-MAX(0,AD176-IF($A206&gt;='1-Input'!$C$12,'1-Input'!$B$12,0))+AE206*(1-'P-Parametri'!$B$6*AD206))*(1+'1-Input'!$B$27))</f>
        <v>16865.404770046734</v>
      </c>
      <c r="AG206" s="18">
        <f>IF($A206&gt;'1-Input'!$B$26,AI205,(AI205-AE206)*(1+$B$4))</f>
        <v>87632.634254267468</v>
      </c>
      <c r="AH206" s="18">
        <f>IF($A206&gt;'1-Input'!$B$26,AF206,AF206-'P-Parametri'!$B$8*(AG206+AF206)+MIN(MAX(AG206,0),'P-Parametri'!$B$8*(AG206+AF206)))</f>
        <v>16865.404770046734</v>
      </c>
      <c r="AI206" s="18">
        <f>IF($A206&gt;'1-Input'!$B$26,AG206,AG206-MIN(MAX(AG206,0),'P-Parametri'!$B$8*(AG206+AF206)))</f>
        <v>87423.638176218839</v>
      </c>
      <c r="AJ206" s="18">
        <f>IF($A206&gt;'1-Input'!$B$26,AJ205,AJ205-AE206*(1-AD206))</f>
        <v>41831.584083572488</v>
      </c>
      <c r="AK206" s="11">
        <f>IF($A206&gt;'1-Input'!$B$26,0,IF(AP205&lt;=0,0,MAX(0,(AP205-AQ205)/AP205)))</f>
        <v>0.51310129920921366</v>
      </c>
      <c r="AL206" s="18">
        <f>IF($A206&gt;'1-Input'!$B$26,0,(MAX(0,AK176-IF($A206&gt;='1-Input'!$C$12,'1-Input'!$B$12,0))-MIN(MAX(AO205,0),MAX(0,AK176-IF($A206&gt;='1-Input'!$C$12,'1-Input'!$B$12,0))))*(1/(1-'P-Parametri'!$B$6*AK206))+MIN(MAX(0,AP205-(MAX(0,AK176-IF($A206&gt;='1-Input'!$C$12,'1-Input'!$B$12,0))-MIN(MAX(AO205,0),MAX(0,AK176-IF($A206&gt;='1-Input'!$C$12,'1-Input'!$B$12,0))))*(1/(1-'P-Parametri'!$B$6*AK206))),MAX(0,1*AK176-(AO205-MIN(MAX(AO205,0),MAX(0,AK176-IF($A206&gt;='1-Input'!$C$12,'1-Input'!$B$12,0)))))*(1/(1-'P-Parametri'!$B$6*AK206))))</f>
        <v>6791.2733180816867</v>
      </c>
      <c r="AM206" s="18">
        <f>IF($A206&gt;'1-Input'!$B$26,AO205,(AO205-MAX(0,AK176-IF($A206&gt;='1-Input'!$C$12,'1-Input'!$B$12,0))+AL206*(1-'P-Parametri'!$B$6*AK206))*(1+'1-Input'!$B$27))</f>
        <v>16865.404770684429</v>
      </c>
      <c r="AN206" s="18">
        <f>IF($A206&gt;'1-Input'!$B$26,AP205,(AP205-AL206)*(1+$B$4))</f>
        <v>87632.634227134273</v>
      </c>
      <c r="AO206" s="18">
        <f>IF($A206&gt;'1-Input'!$B$26,AM206,AM206-'P-Parametri'!$B$8*(AN206+AM206)+MIN(MAX(AN206,0),'P-Parametri'!$B$8*(AN206+AM206)))</f>
        <v>16865.404770684429</v>
      </c>
      <c r="AP206" s="18">
        <f>IF($A206&gt;'1-Input'!$B$26,AN206,AN206-MIN(MAX(AN206,0),'P-Parametri'!$B$8*(AN206+AM206)))</f>
        <v>87423.638149138642</v>
      </c>
      <c r="AQ206" s="18">
        <f>IF($A206&gt;'1-Input'!$B$26,AQ205,AQ205-AL206*(1-AK206))</f>
        <v>41831.584070652811</v>
      </c>
    </row>
    <row r="207" spans="1:43">
      <c r="A207" s="10">
        <f>29</f>
        <v>29</v>
      </c>
      <c r="B207" s="11">
        <f>IF($A207&gt;'1-Input'!$B$26,0,IF(G206&lt;=0,0,MAX(0,(G206-H206)/G206)))</f>
        <v>0.52166228199934617</v>
      </c>
      <c r="C207" s="18">
        <f>IF($A207&gt;'1-Input'!$B$26,0,(MAX(0,B176-IF($A207&gt;='1-Input'!$C$12,'1-Input'!$B$12,0))-MIN(MAX(F206,0),MAX(0,B176-IF($A207&gt;='1-Input'!$C$12,'1-Input'!$B$12,0))))*(1/(1-'P-Parametri'!$B$6*B207))+MIN(MAX(0,G206-(MAX(0,B176-IF($A207&gt;='1-Input'!$C$12,'1-Input'!$B$12,0))-MIN(MAX(F206,0),MAX(0,B176-IF($A207&gt;='1-Input'!$C$12,'1-Input'!$B$12,0))))*(1/(1-'P-Parametri'!$B$6*B207))),MAX(0,1*B176-(F206-MIN(MAX(F206,0),MAX(0,B176-IF($A207&gt;='1-Input'!$C$12,'1-Input'!$B$12,0)))))*(1/(1-'P-Parametri'!$B$6*B207))))</f>
        <v>6523.9670776459343</v>
      </c>
      <c r="D207" s="18">
        <f>IF($A207&gt;'1-Input'!$B$26,F206,(F206-MAX(0,B176-IF($A207&gt;='1-Input'!$C$12,'1-Input'!$B$12,0))+C207*(1-'P-Parametri'!$B$6*B207))*(1+'1-Input'!$B$27))</f>
        <v>16621.00351549315</v>
      </c>
      <c r="E207" s="18">
        <f>IF($A207&gt;'1-Input'!$B$26,G206,(G206-C207)*(1+$B$4))</f>
        <v>93104.130772603297</v>
      </c>
      <c r="F207" s="18">
        <f>IF($A207&gt;'1-Input'!$B$26,D207,D207-'P-Parametri'!$B$8*(E207+D207)+MIN(MAX(E207,0),'P-Parametri'!$B$8*(E207+D207)))</f>
        <v>16621.00351549315</v>
      </c>
      <c r="G207" s="18">
        <f>IF($A207&gt;'1-Input'!$B$26,E207,E207-MIN(MAX(E207,0),'P-Parametri'!$B$8*(E207+D207)))</f>
        <v>92884.680504027099</v>
      </c>
      <c r="H207" s="18">
        <f>IF($A207&gt;'1-Input'!$B$26,H206,H206-C207*(1-B207))</f>
        <v>43661.977892354429</v>
      </c>
      <c r="I207" s="11">
        <f>IF($A207&gt;'1-Input'!$B$26,0,IF(N206&lt;=0,0,MAX(0,(N206-O206)/N206)))</f>
        <v>0</v>
      </c>
      <c r="J207" s="18">
        <f>IF($A207&gt;'1-Input'!$B$26,0,(MAX(0,I176-IF($A207&gt;='1-Input'!$C$12,'1-Input'!$B$12,0))-MIN(MAX(M206,0),MAX(0,I176-IF($A207&gt;='1-Input'!$C$12,'1-Input'!$B$12,0))))*(1/(1-'P-Parametri'!$B$6*I207))+MIN(MAX(0,N206-(MAX(0,I176-IF($A207&gt;='1-Input'!$C$12,'1-Input'!$B$12,0))-MIN(MAX(M206,0),MAX(0,I176-IF($A207&gt;='1-Input'!$C$12,'1-Input'!$B$12,0))))*(1/(1-'P-Parametri'!$B$6*I207))),MAX(0,1*I176-(M206-MIN(MAX(M206,0),MAX(0,I176-IF($A207&gt;='1-Input'!$C$12,'1-Input'!$B$12,0)))))*(1/(1-'P-Parametri'!$B$6*I207))))</f>
        <v>10846.756992928691</v>
      </c>
      <c r="K207" s="18">
        <f>IF($A207&gt;'1-Input'!$B$26,M206,(M206-MAX(0,I176-IF($A207&gt;='1-Input'!$C$12,'1-Input'!$B$12,0))+J207*(1-'P-Parametri'!$B$6*I207))*(1+'1-Input'!$B$27))</f>
        <v>0</v>
      </c>
      <c r="L207" s="18">
        <f>IF($A207&gt;'1-Input'!$B$26,N206,(N206-J207)*(1+$B$4))</f>
        <v>-96283.706489238757</v>
      </c>
      <c r="M207" s="18">
        <f>IF($A207&gt;'1-Input'!$B$26,K207,K207-'P-Parametri'!$B$8*(L207+K207)+MIN(MAX(L207,0),'P-Parametri'!$B$8*(L207+K207)))</f>
        <v>0</v>
      </c>
      <c r="N207" s="18">
        <f>IF($A207&gt;'1-Input'!$B$26,L207,L207-MIN(MAX(L207,0),'P-Parametri'!$B$8*(L207+K207)))</f>
        <v>-96091.139076260282</v>
      </c>
      <c r="O207" s="18">
        <f>IF($A207&gt;'1-Input'!$B$26,O206,O206-J207*(1-I207))</f>
        <v>-88510.371756167558</v>
      </c>
      <c r="P207" s="11">
        <f>IF($A207&gt;'1-Input'!$B$26,0,IF(U206&lt;=0,0,MAX(0,(U206-V206)/U206)))</f>
        <v>0.52151248470415534</v>
      </c>
      <c r="Q207" s="18">
        <f>IF($A207&gt;'1-Input'!$B$26,0,(MAX(0,P176-IF($A207&gt;='1-Input'!$C$12,'1-Input'!$B$12,0))-MIN(MAX(T206,0),MAX(0,P176-IF($A207&gt;='1-Input'!$C$12,'1-Input'!$B$12,0))))*(1/(1-'P-Parametri'!$B$6*P207))+MIN(MAX(0,U206-(MAX(0,P176-IF($A207&gt;='1-Input'!$C$12,'1-Input'!$B$12,0))-MIN(MAX(T206,0),MAX(0,P176-IF($A207&gt;='1-Input'!$C$12,'1-Input'!$B$12,0))))*(1/(1-'P-Parametri'!$B$6*P207))),MAX(0,1*P176-(T206-MIN(MAX(T206,0),MAX(0,P176-IF($A207&gt;='1-Input'!$C$12,'1-Input'!$B$12,0)))))*(1/(1-'P-Parametri'!$B$6*P207))))</f>
        <v>6799.3491228519142</v>
      </c>
      <c r="R207" s="18">
        <f>IF($A207&gt;'1-Input'!$B$26,T206,(T206-MAX(0,P176-IF($A207&gt;='1-Input'!$C$12,'1-Input'!$B$12,0))+Q207*(1-'P-Parametri'!$B$6*P207))*(1+'1-Input'!$B$27))</f>
        <v>16857.590128083153</v>
      </c>
      <c r="S207" s="18">
        <f>IF($A207&gt;'1-Input'!$B$26,U206,(U206-Q207)*(1+$B$4))</f>
        <v>82575.267007325834</v>
      </c>
      <c r="T207" s="18">
        <f>IF($A207&gt;'1-Input'!$B$26,R207,R207-'P-Parametri'!$B$8*(S207+R207)+MIN(MAX(S207,0),'P-Parametri'!$B$8*(S207+R207)))</f>
        <v>16857.590128083153</v>
      </c>
      <c r="U207" s="18">
        <f>IF($A207&gt;'1-Input'!$B$26,S207,S207-MIN(MAX(S207,0),'P-Parametri'!$B$8*(S207+R207)))</f>
        <v>82376.401293055009</v>
      </c>
      <c r="V207" s="18">
        <f>IF($A207&gt;'1-Input'!$B$26,V206,V206-Q207*(1-P207))</f>
        <v>38736.504250221842</v>
      </c>
      <c r="W207" s="11">
        <f>IF($A207&gt;'1-Input'!$B$26,0,IF(AB206&lt;=0,0,MAX(0,(AB206-AC206)/AB206)))</f>
        <v>0.52150745634143914</v>
      </c>
      <c r="X207" s="18">
        <f>IF($A207&gt;'1-Input'!$B$26,0,(MAX(0,W176-IF($A207&gt;='1-Input'!$C$12,'1-Input'!$B$12,0))-MIN(MAX(AA206,0),MAX(0,W176-IF($A207&gt;='1-Input'!$C$12,'1-Input'!$B$12,0))))*(1/(1-'P-Parametri'!$B$6*W207))+MIN(MAX(0,AB206-(MAX(0,W176-IF($A207&gt;='1-Input'!$C$12,'1-Input'!$B$12,0))-MIN(MAX(AA206,0),MAX(0,W176-IF($A207&gt;='1-Input'!$C$12,'1-Input'!$B$12,0))))*(1/(1-'P-Parametri'!$B$6*W207))),MAX(0,1*W176-(AA206-MIN(MAX(AA206,0),MAX(0,W176-IF($A207&gt;='1-Input'!$C$12,'1-Input'!$B$12,0)))))*(1/(1-'P-Parametri'!$B$6*W207))))</f>
        <v>6807.9543326867315</v>
      </c>
      <c r="Y207" s="18">
        <f>IF($A207&gt;'1-Input'!$B$26,AA206,(AA206-MAX(0,W176-IF($A207&gt;='1-Input'!$C$12,'1-Input'!$B$12,0))+X207*(1-'P-Parametri'!$B$6*W207))*(1+'1-Input'!$B$27))</f>
        <v>16864.984001895245</v>
      </c>
      <c r="Z207" s="18">
        <f>IF($A207&gt;'1-Input'!$B$26,AB206,(AB206-X207)*(1+$B$4))</f>
        <v>82246.223133344669</v>
      </c>
      <c r="AA207" s="18">
        <f>IF($A207&gt;'1-Input'!$B$26,Y207,Y207-'P-Parametri'!$B$8*(Z207+Y207)+MIN(MAX(Z207,0),'P-Parametri'!$B$8*(Z207+Y207)))</f>
        <v>16864.984001895245</v>
      </c>
      <c r="AB207" s="18">
        <f>IF($A207&gt;'1-Input'!$B$26,Z207,Z207-MIN(MAX(Z207,0),'P-Parametri'!$B$8*(Z207+Y207)))</f>
        <v>82048.000719074189</v>
      </c>
      <c r="AC207" s="18">
        <f>IF($A207&gt;'1-Input'!$B$26,AC206,AC206-X207*(1-W207))</f>
        <v>38582.55344449378</v>
      </c>
      <c r="AD207" s="11">
        <f>IF($A207&gt;'1-Input'!$B$26,0,IF(AI206&lt;=0,0,MAX(0,(AI206-AJ206)/AI206)))</f>
        <v>0.52150716949970632</v>
      </c>
      <c r="AE207" s="18">
        <f>IF($A207&gt;'1-Input'!$B$26,0,(MAX(0,AD176-IF($A207&gt;='1-Input'!$C$12,'1-Input'!$B$12,0))-MIN(MAX(AH206,0),MAX(0,AD176-IF($A207&gt;='1-Input'!$C$12,'1-Input'!$B$12,0))))*(1/(1-'P-Parametri'!$B$6*AD207))+MIN(MAX(0,AI206-(MAX(0,AD176-IF($A207&gt;='1-Input'!$C$12,'1-Input'!$B$12,0))-MIN(MAX(AH206,0),MAX(0,AD176-IF($A207&gt;='1-Input'!$C$12,'1-Input'!$B$12,0))))*(1/(1-'P-Parametri'!$B$6*AD207))),MAX(0,1*AD176-(AH206-MIN(MAX(AH206,0),MAX(0,AD176-IF($A207&gt;='1-Input'!$C$12,'1-Input'!$B$12,0)))))*(1/(1-'P-Parametri'!$B$6*AD207))))</f>
        <v>6808.4440329578138</v>
      </c>
      <c r="AF207" s="18">
        <f>IF($A207&gt;'1-Input'!$B$26,AH206,(AH206-MAX(0,AD176-IF($A207&gt;='1-Input'!$C$12,'1-Input'!$B$12,0))+AE207*(1-'P-Parametri'!$B$6*AD207))*(1+'1-Input'!$B$27))</f>
        <v>16865.404770046734</v>
      </c>
      <c r="AG207" s="18">
        <f>IF($A207&gt;'1-Input'!$B$26,AI206,(AI206-AE207)*(1+$B$4))</f>
        <v>82227.498026126254</v>
      </c>
      <c r="AH207" s="18">
        <f>IF($A207&gt;'1-Input'!$B$26,AF207,AF207-'P-Parametri'!$B$8*(AG207+AF207)+MIN(MAX(AG207,0),'P-Parametri'!$B$8*(AG207+AF207)))</f>
        <v>16865.404770046734</v>
      </c>
      <c r="AI207" s="18">
        <f>IF($A207&gt;'1-Input'!$B$26,AG207,AG207-MIN(MAX(AG207,0),'P-Parametri'!$B$8*(AG207+AF207)))</f>
        <v>82029.312220533902</v>
      </c>
      <c r="AJ207" s="18">
        <f>IF($A207&gt;'1-Input'!$B$26,AJ206,AJ206-AE207*(1-AD207))</f>
        <v>38573.792426939668</v>
      </c>
      <c r="AK207" s="11">
        <f>IF($A207&gt;'1-Input'!$B$26,0,IF(AP206&lt;=0,0,MAX(0,(AP206-AQ206)/AP206)))</f>
        <v>0.52150716949927156</v>
      </c>
      <c r="AL207" s="18">
        <f>IF($A207&gt;'1-Input'!$B$26,0,(MAX(0,AK176-IF($A207&gt;='1-Input'!$C$12,'1-Input'!$B$12,0))-MIN(MAX(AO206,0),MAX(0,AK176-IF($A207&gt;='1-Input'!$C$12,'1-Input'!$B$12,0))))*(1/(1-'P-Parametri'!$B$6*AK207))+MIN(MAX(0,AP206-(MAX(0,AK176-IF($A207&gt;='1-Input'!$C$12,'1-Input'!$B$12,0))-MIN(MAX(AO206,0),MAX(0,AK176-IF($A207&gt;='1-Input'!$C$12,'1-Input'!$B$12,0))))*(1/(1-'P-Parametri'!$B$6*AK207))),MAX(0,1*AK176-(AO206-MIN(MAX(AO206,0),MAX(0,AK176-IF($A207&gt;='1-Input'!$C$12,'1-Input'!$B$12,0)))))*(1/(1-'P-Parametri'!$B$6*AK207))))</f>
        <v>6808.4440336999751</v>
      </c>
      <c r="AM207" s="18">
        <f>IF($A207&gt;'1-Input'!$B$26,AO206,(AO206-MAX(0,AK176-IF($A207&gt;='1-Input'!$C$12,'1-Input'!$B$12,0))+AL207*(1-'P-Parametri'!$B$6*AK207))*(1+'1-Input'!$B$27))</f>
        <v>16865.404770684429</v>
      </c>
      <c r="AN207" s="18">
        <f>IF($A207&gt;'1-Input'!$B$26,AP206,(AP206-AL207)*(1+$B$4))</f>
        <v>82227.497997747443</v>
      </c>
      <c r="AO207" s="18">
        <f>IF($A207&gt;'1-Input'!$B$26,AM207,AM207-'P-Parametri'!$B$8*(AN207+AM207)+MIN(MAX(AN207,0),'P-Parametri'!$B$8*(AN207+AM207)))</f>
        <v>16865.404770684429</v>
      </c>
      <c r="AP207" s="18">
        <f>IF($A207&gt;'1-Input'!$B$26,AN207,AN207-MIN(MAX(AN207,0),'P-Parametri'!$B$8*(AN207+AM207)))</f>
        <v>82029.312192210578</v>
      </c>
      <c r="AQ207" s="18">
        <f>IF($A207&gt;'1-Input'!$B$26,AQ206,AQ206-AL207*(1-AK207))</f>
        <v>38573.792413661911</v>
      </c>
    </row>
    <row r="208" spans="1:43">
      <c r="A208" s="10">
        <f>30</f>
        <v>30</v>
      </c>
      <c r="B208" s="11">
        <f>IF($A208&gt;'1-Input'!$B$26,0,IF(G207&lt;=0,0,MAX(0,(G207-H207)/G207)))</f>
        <v>0.52993348682012831</v>
      </c>
      <c r="C208" s="18">
        <f>IF($A208&gt;'1-Input'!$B$26,0,(MAX(0,B176-IF($A208&gt;='1-Input'!$C$12,'1-Input'!$B$12,0))-MIN(MAX(F207,0),MAX(0,B176-IF($A208&gt;='1-Input'!$C$12,'1-Input'!$B$12,0))))*(1/(1-'P-Parametri'!$B$6*B208))+MIN(MAX(0,G207-(MAX(0,B176-IF($A208&gt;='1-Input'!$C$12,'1-Input'!$B$12,0))-MIN(MAX(F207,0),MAX(0,B176-IF($A208&gt;='1-Input'!$C$12,'1-Input'!$B$12,0))))*(1/(1-'P-Parametri'!$B$6*B208))),MAX(0,1*B176-(F207-MIN(MAX(F207,0),MAX(0,B176-IF($A208&gt;='1-Input'!$C$12,'1-Input'!$B$12,0)))))*(1/(1-'P-Parametri'!$B$6*B208))))</f>
        <v>6540.2389359955678</v>
      </c>
      <c r="D208" s="18">
        <f>IF($A208&gt;'1-Input'!$B$26,F207,(F207-MAX(0,B176-IF($A208&gt;='1-Input'!$C$12,'1-Input'!$B$12,0))+C208*(1-'P-Parametri'!$B$6*B208))*(1+'1-Input'!$B$27))</f>
        <v>16621.00351549315</v>
      </c>
      <c r="E208" s="18">
        <f>IF($A208&gt;'1-Input'!$B$26,G207,(G207-C208)*(1+$B$4))</f>
        <v>88071.330399392158</v>
      </c>
      <c r="F208" s="18">
        <f>IF($A208&gt;'1-Input'!$B$26,D208,D208-'P-Parametri'!$B$8*(E208+D208)+MIN(MAX(E208,0),'P-Parametri'!$B$8*(E208+D208)))</f>
        <v>16621.00351549315</v>
      </c>
      <c r="G208" s="18">
        <f>IF($A208&gt;'1-Input'!$B$26,E208,E208-MIN(MAX(E208,0),'P-Parametri'!$B$8*(E208+D208)))</f>
        <v>87861.945731562388</v>
      </c>
      <c r="H208" s="18">
        <f>IF($A208&gt;'1-Input'!$B$26,H207,H207-C208*(1-B208))</f>
        <v>40587.630580347759</v>
      </c>
      <c r="I208" s="11">
        <f>IF($A208&gt;'1-Input'!$B$26,0,IF(N207&lt;=0,0,MAX(0,(N207-O207)/N207)))</f>
        <v>0</v>
      </c>
      <c r="J208" s="18">
        <f>IF($A208&gt;'1-Input'!$B$26,0,(MAX(0,I176-IF($A208&gt;='1-Input'!$C$12,'1-Input'!$B$12,0))-MIN(MAX(M207,0),MAX(0,I176-IF($A208&gt;='1-Input'!$C$12,'1-Input'!$B$12,0))))*(1/(1-'P-Parametri'!$B$6*I208))+MIN(MAX(0,N207-(MAX(0,I176-IF($A208&gt;='1-Input'!$C$12,'1-Input'!$B$12,0))-MIN(MAX(M207,0),MAX(0,I176-IF($A208&gt;='1-Input'!$C$12,'1-Input'!$B$12,0))))*(1/(1-'P-Parametri'!$B$6*I208))),MAX(0,1*I176-(M207-MIN(MAX(M207,0),MAX(0,I176-IF($A208&gt;='1-Input'!$C$12,'1-Input'!$B$12,0)))))*(1/(1-'P-Parametri'!$B$6*I208))))</f>
        <v>10846.756992928691</v>
      </c>
      <c r="K208" s="18">
        <f>IF($A208&gt;'1-Input'!$B$26,M207,(M207-MAX(0,I176-IF($A208&gt;='1-Input'!$C$12,'1-Input'!$B$12,0))+J208*(1-'P-Parametri'!$B$6*I208))*(1+'1-Input'!$B$27))</f>
        <v>0</v>
      </c>
      <c r="L208" s="18">
        <f>IF($A208&gt;'1-Input'!$B$26,N207,(N207-J208)*(1+$B$4))</f>
        <v>-109076.65399057275</v>
      </c>
      <c r="M208" s="18">
        <f>IF($A208&gt;'1-Input'!$B$26,K208,K208-'P-Parametri'!$B$8*(L208+K208)+MIN(MAX(L208,0),'P-Parametri'!$B$8*(L208+K208)))</f>
        <v>0</v>
      </c>
      <c r="N208" s="18">
        <f>IF($A208&gt;'1-Input'!$B$26,L208,L208-MIN(MAX(L208,0),'P-Parametri'!$B$8*(L208+K208)))</f>
        <v>-108858.50068259161</v>
      </c>
      <c r="O208" s="18">
        <f>IF($A208&gt;'1-Input'!$B$26,O207,O207-J208*(1-I208))</f>
        <v>-99357.128749096242</v>
      </c>
      <c r="P208" s="11">
        <f>IF($A208&gt;'1-Input'!$B$26,0,IF(U207&lt;=0,0,MAX(0,(U207-V207)/U207)))</f>
        <v>0.52976212067802919</v>
      </c>
      <c r="Q208" s="18">
        <f>IF($A208&gt;'1-Input'!$B$26,0,(MAX(0,P176-IF($A208&gt;='1-Input'!$C$12,'1-Input'!$B$12,0))-MIN(MAX(T207,0),MAX(0,P176-IF($A208&gt;='1-Input'!$C$12,'1-Input'!$B$12,0))))*(1/(1-'P-Parametri'!$B$6*P208))+MIN(MAX(0,U207-(MAX(0,P176-IF($A208&gt;='1-Input'!$C$12,'1-Input'!$B$12,0))-MIN(MAX(T207,0),MAX(0,P176-IF($A208&gt;='1-Input'!$C$12,'1-Input'!$B$12,0))))*(1/(1-'P-Parametri'!$B$6*P208))),MAX(0,1*P176-(T207-MIN(MAX(T207,0),MAX(0,P176-IF($A208&gt;='1-Input'!$C$12,'1-Input'!$B$12,0)))))*(1/(1-'P-Parametri'!$B$6*P208))))</f>
        <v>6816.262732511449</v>
      </c>
      <c r="R208" s="18">
        <f>IF($A208&gt;'1-Input'!$B$26,T207,(T207-MAX(0,P176-IF($A208&gt;='1-Input'!$C$12,'1-Input'!$B$12,0))+Q208*(1-'P-Parametri'!$B$6*P208))*(1+'1-Input'!$B$27))</f>
        <v>16857.590128083153</v>
      </c>
      <c r="S208" s="18">
        <f>IF($A208&gt;'1-Input'!$B$26,U207,(U207-Q208)*(1+$B$4))</f>
        <v>77071.341331754433</v>
      </c>
      <c r="T208" s="18">
        <f>IF($A208&gt;'1-Input'!$B$26,R208,R208-'P-Parametri'!$B$8*(S208+R208)+MIN(MAX(S208,0),'P-Parametri'!$B$8*(S208+R208)))</f>
        <v>16857.590128083153</v>
      </c>
      <c r="U208" s="18">
        <f>IF($A208&gt;'1-Input'!$B$26,S208,S208-MIN(MAX(S208,0),'P-Parametri'!$B$8*(S208+R208)))</f>
        <v>76883.483468834762</v>
      </c>
      <c r="V208" s="18">
        <f>IF($A208&gt;'1-Input'!$B$26,V207,V207-Q208*(1-P208))</f>
        <v>35531.239317984277</v>
      </c>
      <c r="W208" s="11">
        <f>IF($A208&gt;'1-Input'!$B$26,0,IF(AB207&lt;=0,0,MAX(0,(AB207-AC207)/AB207)))</f>
        <v>0.52975632426928521</v>
      </c>
      <c r="X208" s="18">
        <f>IF($A208&gt;'1-Input'!$B$26,0,(MAX(0,W176-IF($A208&gt;='1-Input'!$C$12,'1-Input'!$B$12,0))-MIN(MAX(AA207,0),MAX(0,W176-IF($A208&gt;='1-Input'!$C$12,'1-Input'!$B$12,0))))*(1/(1-'P-Parametri'!$B$6*W208))+MIN(MAX(0,AB207-(MAX(0,W176-IF($A208&gt;='1-Input'!$C$12,'1-Input'!$B$12,0))-MIN(MAX(AA207,0),MAX(0,W176-IF($A208&gt;='1-Input'!$C$12,'1-Input'!$B$12,0))))*(1/(1-'P-Parametri'!$B$6*W208))),MAX(0,1*W176-(AA207-MIN(MAX(AA207,0),MAX(0,W176-IF($A208&gt;='1-Input'!$C$12,'1-Input'!$B$12,0)))))*(1/(1-'P-Parametri'!$B$6*W208))))</f>
        <v>6824.8877418388483</v>
      </c>
      <c r="Y208" s="18">
        <f>IF($A208&gt;'1-Input'!$B$26,AA207,(AA207-MAX(0,W176-IF($A208&gt;='1-Input'!$C$12,'1-Input'!$B$12,0))+X208*(1-'P-Parametri'!$B$6*W208))*(1+'1-Input'!$B$27))</f>
        <v>16864.984001895245</v>
      </c>
      <c r="Z208" s="18">
        <f>IF($A208&gt;'1-Input'!$B$26,AB207,(AB207-X208)*(1+$B$4))</f>
        <v>76727.57523678006</v>
      </c>
      <c r="AA208" s="18">
        <f>IF($A208&gt;'1-Input'!$B$26,Y208,Y208-'P-Parametri'!$B$8*(Z208+Y208)+MIN(MAX(Z208,0),'P-Parametri'!$B$8*(Z208+Y208)))</f>
        <v>16864.984001895245</v>
      </c>
      <c r="AB208" s="18">
        <f>IF($A208&gt;'1-Input'!$B$26,Z208,Z208-MIN(MAX(Z208,0),'P-Parametri'!$B$8*(Z208+Y208)))</f>
        <v>76540.390118302705</v>
      </c>
      <c r="AC208" s="18">
        <f>IF($A208&gt;'1-Input'!$B$26,AC207,AC207-X208*(1-W208))</f>
        <v>35373.193146321981</v>
      </c>
      <c r="AD208" s="11">
        <f>IF($A208&gt;'1-Input'!$B$26,0,IF(AI207&lt;=0,0,MAX(0,(AI207-AJ207)/AI207)))</f>
        <v>0.5297559935254007</v>
      </c>
      <c r="AE208" s="18">
        <f>IF($A208&gt;'1-Input'!$B$26,0,(MAX(0,AD176-IF($A208&gt;='1-Input'!$C$12,'1-Input'!$B$12,0))-MIN(MAX(AH207,0),MAX(0,AD176-IF($A208&gt;='1-Input'!$C$12,'1-Input'!$B$12,0))))*(1/(1-'P-Parametri'!$B$6*AD208))+MIN(MAX(0,AI207-(MAX(0,AD176-IF($A208&gt;='1-Input'!$C$12,'1-Input'!$B$12,0))-MIN(MAX(AH207,0),MAX(0,AD176-IF($A208&gt;='1-Input'!$C$12,'1-Input'!$B$12,0))))*(1/(1-'P-Parametri'!$B$6*AD208))),MAX(0,1*AD176-(AH207-MIN(MAX(AH207,0),MAX(0,AD176-IF($A208&gt;='1-Input'!$C$12,'1-Input'!$B$12,0)))))*(1/(1-'P-Parametri'!$B$6*AD208))))</f>
        <v>6825.378568321883</v>
      </c>
      <c r="AF208" s="18">
        <f>IF($A208&gt;'1-Input'!$B$26,AH207,(AH207-MAX(0,AD176-IF($A208&gt;='1-Input'!$C$12,'1-Input'!$B$12,0))+AE208*(1-'P-Parametri'!$B$6*AD208))*(1+'1-Input'!$B$27))</f>
        <v>16865.404770046734</v>
      </c>
      <c r="AG208" s="18">
        <f>IF($A208&gt;'1-Input'!$B$26,AI207,(AI207-AE208)*(1+$B$4))</f>
        <v>76708.012325256263</v>
      </c>
      <c r="AH208" s="18">
        <f>IF($A208&gt;'1-Input'!$B$26,AF208,AF208-'P-Parametri'!$B$8*(AG208+AF208)+MIN(MAX(AG208,0),'P-Parametri'!$B$8*(AG208+AF208)))</f>
        <v>16865.404770046734</v>
      </c>
      <c r="AI208" s="18">
        <f>IF($A208&gt;'1-Input'!$B$26,AG208,AG208-MIN(MAX(AG208,0),'P-Parametri'!$B$8*(AG208+AF208)))</f>
        <v>76520.865491065662</v>
      </c>
      <c r="AJ208" s="18">
        <f>IF($A208&gt;'1-Input'!$B$26,AJ207,AJ207-AE208*(1-AD208))</f>
        <v>35364.199063266118</v>
      </c>
      <c r="AK208" s="11">
        <f>IF($A208&gt;'1-Input'!$B$26,0,IF(AP207&lt;=0,0,MAX(0,(AP207-AQ207)/AP207)))</f>
        <v>0.52975599352489955</v>
      </c>
      <c r="AL208" s="18">
        <f>IF($A208&gt;'1-Input'!$B$26,0,(MAX(0,AK176-IF($A208&gt;='1-Input'!$C$12,'1-Input'!$B$12,0))-MIN(MAX(AO207,0),MAX(0,AK176-IF($A208&gt;='1-Input'!$C$12,'1-Input'!$B$12,0))))*(1/(1-'P-Parametri'!$B$6*AK208))+MIN(MAX(0,AP207-(MAX(0,AK176-IF($A208&gt;='1-Input'!$C$12,'1-Input'!$B$12,0))-MIN(MAX(AO207,0),MAX(0,AK176-IF($A208&gt;='1-Input'!$C$12,'1-Input'!$B$12,0))))*(1/(1-'P-Parametri'!$B$6*AK208))),MAX(0,1*AK176-(AO207-MIN(MAX(AO207,0),MAX(0,AK176-IF($A208&gt;='1-Input'!$C$12,'1-Input'!$B$12,0)))))*(1/(1-'P-Parametri'!$B$6*AK208))))</f>
        <v>6825.3785690657514</v>
      </c>
      <c r="AM208" s="18">
        <f>IF($A208&gt;'1-Input'!$B$26,AO207,(AO207-MAX(0,AK176-IF($A208&gt;='1-Input'!$C$12,'1-Input'!$B$12,0))+AL208*(1-'P-Parametri'!$B$6*AK208))*(1+'1-Input'!$B$27))</f>
        <v>16865.404770684429</v>
      </c>
      <c r="AN208" s="18">
        <f>IF($A208&gt;'1-Input'!$B$26,AP207,(AP207-AL208)*(1+$B$4))</f>
        <v>76708.012295607725</v>
      </c>
      <c r="AO208" s="18">
        <f>IF($A208&gt;'1-Input'!$B$26,AM208,AM208-'P-Parametri'!$B$8*(AN208+AM208)+MIN(MAX(AN208,0),'P-Parametri'!$B$8*(AN208+AM208)))</f>
        <v>16865.404770684429</v>
      </c>
      <c r="AP208" s="18">
        <f>IF($A208&gt;'1-Input'!$B$26,AN208,AN208-MIN(MAX(AN208,0),'P-Parametri'!$B$8*(AN208+AM208)))</f>
        <v>76520.865461475143</v>
      </c>
      <c r="AQ208" s="18">
        <f>IF($A208&gt;'1-Input'!$B$26,AQ207,AQ207-AL208*(1-AK208))</f>
        <v>35364.199049635143</v>
      </c>
    </row>
    <row r="209" spans="1:43">
      <c r="A209" s="10">
        <f>31</f>
        <v>31</v>
      </c>
      <c r="B209" s="11">
        <f>IF($A209&gt;'1-Input'!$B$26,0,IF(G208&lt;=0,0,MAX(0,(G208-H208)/G208)))</f>
        <v>0.53805222224019578</v>
      </c>
      <c r="C209" s="18">
        <f>IF($A209&gt;'1-Input'!$B$26,0,(MAX(0,B176-IF($A209&gt;='1-Input'!$C$12,'1-Input'!$B$12,0))-MIN(MAX(F208,0),MAX(0,B176-IF($A209&gt;='1-Input'!$C$12,'1-Input'!$B$12,0))))*(1/(1-'P-Parametri'!$B$6*B209))+MIN(MAX(0,G208-(MAX(0,B176-IF($A209&gt;='1-Input'!$C$12,'1-Input'!$B$12,0))-MIN(MAX(F208,0),MAX(0,B176-IF($A209&gt;='1-Input'!$C$12,'1-Input'!$B$12,0))))*(1/(1-'P-Parametri'!$B$6*B209))),MAX(0,1*B176-(F208-MIN(MAX(F208,0),MAX(0,B176-IF($A209&gt;='1-Input'!$C$12,'1-Input'!$B$12,0)))))*(1/(1-'P-Parametri'!$B$6*B209))))</f>
        <v>6556.28997539579</v>
      </c>
      <c r="D209" s="18">
        <f>IF($A209&gt;'1-Input'!$B$26,F208,(F208-MAX(0,B176-IF($A209&gt;='1-Input'!$C$12,'1-Input'!$B$12,0))+C209*(1-'P-Parametri'!$B$6*B209))*(1+'1-Input'!$B$27))</f>
        <v>16621.00351549315</v>
      </c>
      <c r="E209" s="18">
        <f>IF($A209&gt;'1-Input'!$B$26,G208,(G208-C209)*(1+$B$4))</f>
        <v>82931.768871289925</v>
      </c>
      <c r="F209" s="18">
        <f>IF($A209&gt;'1-Input'!$B$26,D209,D209-'P-Parametri'!$B$8*(E209+D209)+MIN(MAX(E209,0),'P-Parametri'!$B$8*(E209+D209)))</f>
        <v>16621.00351549315</v>
      </c>
      <c r="G209" s="18">
        <f>IF($A209&gt;'1-Input'!$B$26,E209,E209-MIN(MAX(E209,0),'P-Parametri'!$B$8*(E209+D209)))</f>
        <v>82732.663326516355</v>
      </c>
      <c r="H209" s="18">
        <f>IF($A209&gt;'1-Input'!$B$26,H208,H208-C209*(1-B209))</f>
        <v>37558.966995864794</v>
      </c>
      <c r="I209" s="11">
        <f>IF($A209&gt;'1-Input'!$B$26,0,IF(N208&lt;=0,0,MAX(0,(N208-O208)/N208)))</f>
        <v>0</v>
      </c>
      <c r="J209" s="18">
        <f>IF($A209&gt;'1-Input'!$B$26,0,(MAX(0,I176-IF($A209&gt;='1-Input'!$C$12,'1-Input'!$B$12,0))-MIN(MAX(M208,0),MAX(0,I176-IF($A209&gt;='1-Input'!$C$12,'1-Input'!$B$12,0))))*(1/(1-'P-Parametri'!$B$6*I209))+MIN(MAX(0,N208-(MAX(0,I176-IF($A209&gt;='1-Input'!$C$12,'1-Input'!$B$12,0))-MIN(MAX(M208,0),MAX(0,I176-IF($A209&gt;='1-Input'!$C$12,'1-Input'!$B$12,0))))*(1/(1-'P-Parametri'!$B$6*I209))),MAX(0,1*I176-(M208-MIN(MAX(M208,0),MAX(0,I176-IF($A209&gt;='1-Input'!$C$12,'1-Input'!$B$12,0)))))*(1/(1-'P-Parametri'!$B$6*I209))))</f>
        <v>10846.756992928691</v>
      </c>
      <c r="K209" s="18">
        <f>IF($A209&gt;'1-Input'!$B$26,M208,(M208-MAX(0,I176-IF($A209&gt;='1-Input'!$C$12,'1-Input'!$B$12,0))+J209*(1-'P-Parametri'!$B$6*I209))*(1+'1-Input'!$B$27))</f>
        <v>0</v>
      </c>
      <c r="L209" s="18">
        <f>IF($A209&gt;'1-Input'!$B$26,N208,(N208-J209)*(1+$B$4))</f>
        <v>-122099.3628290307</v>
      </c>
      <c r="M209" s="18">
        <f>IF($A209&gt;'1-Input'!$B$26,K209,K209-'P-Parametri'!$B$8*(L209+K209)+MIN(MAX(L209,0),'P-Parametri'!$B$8*(L209+K209)))</f>
        <v>0</v>
      </c>
      <c r="N209" s="18">
        <f>IF($A209&gt;'1-Input'!$B$26,L209,L209-MIN(MAX(L209,0),'P-Parametri'!$B$8*(L209+K209)))</f>
        <v>-121855.16410337263</v>
      </c>
      <c r="O209" s="18">
        <f>IF($A209&gt;'1-Input'!$B$26,O208,O208-J209*(1-I209))</f>
        <v>-110203.88574202493</v>
      </c>
      <c r="P209" s="11">
        <f>IF($A209&gt;'1-Input'!$B$26,0,IF(U208&lt;=0,0,MAX(0,(U208-V208)/U208)))</f>
        <v>0.53785601646955672</v>
      </c>
      <c r="Q209" s="18">
        <f>IF($A209&gt;'1-Input'!$B$26,0,(MAX(0,P176-IF($A209&gt;='1-Input'!$C$12,'1-Input'!$B$12,0))-MIN(MAX(T208,0),MAX(0,P176-IF($A209&gt;='1-Input'!$C$12,'1-Input'!$B$12,0))))*(1/(1-'P-Parametri'!$B$6*P209))+MIN(MAX(0,U208-(MAX(0,P176-IF($A209&gt;='1-Input'!$C$12,'1-Input'!$B$12,0))-MIN(MAX(T208,0),MAX(0,P176-IF($A209&gt;='1-Input'!$C$12,'1-Input'!$B$12,0))))*(1/(1-'P-Parametri'!$B$6*P209))),MAX(0,1*P176-(T208-MIN(MAX(T208,0),MAX(0,P176-IF($A209&gt;='1-Input'!$C$12,'1-Input'!$B$12,0)))))*(1/(1-'P-Parametri'!$B$6*P209))))</f>
        <v>6832.9390183493188</v>
      </c>
      <c r="R209" s="18">
        <f>IF($A209&gt;'1-Input'!$B$26,T208,(T208-MAX(0,P176-IF($A209&gt;='1-Input'!$C$12,'1-Input'!$B$12,0))+Q209*(1-'P-Parametri'!$B$6*P209))*(1+'1-Input'!$B$27))</f>
        <v>16857.590128083153</v>
      </c>
      <c r="S209" s="18">
        <f>IF($A209&gt;'1-Input'!$B$26,U208,(U208-Q209)*(1+$B$4))</f>
        <v>71451.555339495142</v>
      </c>
      <c r="T209" s="18">
        <f>IF($A209&gt;'1-Input'!$B$26,R209,R209-'P-Parametri'!$B$8*(S209+R209)+MIN(MAX(S209,0),'P-Parametri'!$B$8*(S209+R209)))</f>
        <v>16857.590128083153</v>
      </c>
      <c r="U209" s="18">
        <f>IF($A209&gt;'1-Input'!$B$26,S209,S209-MIN(MAX(S209,0),'P-Parametri'!$B$8*(S209+R209)))</f>
        <v>71274.937048559979</v>
      </c>
      <c r="V209" s="18">
        <f>IF($A209&gt;'1-Input'!$B$26,V208,V208-Q209*(1-P209))</f>
        <v>32373.437660823725</v>
      </c>
      <c r="W209" s="11">
        <f>IF($A209&gt;'1-Input'!$B$26,0,IF(AB208&lt;=0,0,MAX(0,(AB208-AC208)/AB208)))</f>
        <v>0.53784932253874973</v>
      </c>
      <c r="X209" s="18">
        <f>IF($A209&gt;'1-Input'!$B$26,0,(MAX(0,W176-IF($A209&gt;='1-Input'!$C$12,'1-Input'!$B$12,0))-MIN(MAX(AA208,0),MAX(0,W176-IF($A209&gt;='1-Input'!$C$12,'1-Input'!$B$12,0))))*(1/(1-'P-Parametri'!$B$6*W209))+MIN(MAX(0,AB208-(MAX(0,W176-IF($A209&gt;='1-Input'!$C$12,'1-Input'!$B$12,0))-MIN(MAX(AA208,0),MAX(0,W176-IF($A209&gt;='1-Input'!$C$12,'1-Input'!$B$12,0))))*(1/(1-'P-Parametri'!$B$6*W209))),MAX(0,1*W176-(AA208-MIN(MAX(AA208,0),MAX(0,W176-IF($A209&gt;='1-Input'!$C$12,'1-Input'!$B$12,0)))))*(1/(1-'P-Parametri'!$B$6*W209))))</f>
        <v>6841.5832438066172</v>
      </c>
      <c r="Y209" s="18">
        <f>IF($A209&gt;'1-Input'!$B$26,AA208,(AA208-MAX(0,W176-IF($A209&gt;='1-Input'!$C$12,'1-Input'!$B$12,0))+X209*(1-'P-Parametri'!$B$6*W209))*(1+'1-Input'!$B$27))</f>
        <v>16864.984001895245</v>
      </c>
      <c r="Z209" s="18">
        <f>IF($A209&gt;'1-Input'!$B$26,AB208,(AB208-X209)*(1+$B$4))</f>
        <v>71092.783011986015</v>
      </c>
      <c r="AA209" s="18">
        <f>IF($A209&gt;'1-Input'!$B$26,Y209,Y209-'P-Parametri'!$B$8*(Z209+Y209)+MIN(MAX(Z209,0),'P-Parametri'!$B$8*(Z209+Y209)))</f>
        <v>16864.984001895245</v>
      </c>
      <c r="AB209" s="18">
        <f>IF($A209&gt;'1-Input'!$B$26,Z209,Z209-MIN(MAX(Z209,0),'P-Parametri'!$B$8*(Z209+Y209)))</f>
        <v>70916.867477958251</v>
      </c>
      <c r="AC209" s="18">
        <f>IF($A209&gt;'1-Input'!$B$26,AC208,AC208-X209*(1-W209))</f>
        <v>32211.350815289214</v>
      </c>
      <c r="AD209" s="11">
        <f>IF($A209&gt;'1-Input'!$B$26,0,IF(AI208&lt;=0,0,MAX(0,(AI208-AJ208)/AI208)))</f>
        <v>0.5378489404645439</v>
      </c>
      <c r="AE209" s="18">
        <f>IF($A209&gt;'1-Input'!$B$26,0,(MAX(0,AD176-IF($A209&gt;='1-Input'!$C$12,'1-Input'!$B$12,0))-MIN(MAX(AH208,0),MAX(0,AD176-IF($A209&gt;='1-Input'!$C$12,'1-Input'!$B$12,0))))*(1/(1-'P-Parametri'!$B$6*AD209))+MIN(MAX(0,AI208-(MAX(0,AD176-IF($A209&gt;='1-Input'!$C$12,'1-Input'!$B$12,0))-MIN(MAX(AH208,0),MAX(0,AD176-IF($A209&gt;='1-Input'!$C$12,'1-Input'!$B$12,0))))*(1/(1-'P-Parametri'!$B$6*AD209))),MAX(0,1*AD176-(AH208-MIN(MAX(AH208,0),MAX(0,AD176-IF($A209&gt;='1-Input'!$C$12,'1-Input'!$B$12,0)))))*(1/(1-'P-Parametri'!$B$6*AD209))))</f>
        <v>6842.0751631544827</v>
      </c>
      <c r="AF209" s="18">
        <f>IF($A209&gt;'1-Input'!$B$26,AH208,(AH208-MAX(0,AD176-IF($A209&gt;='1-Input'!$C$12,'1-Input'!$B$12,0))+AE209*(1-'P-Parametri'!$B$6*AD209))*(1+'1-Input'!$B$27))</f>
        <v>16865.404770046734</v>
      </c>
      <c r="AG209" s="18">
        <f>IF($A209&gt;'1-Input'!$B$26,AI208,(AI208-AE209)*(1+$B$4))</f>
        <v>71072.366134469397</v>
      </c>
      <c r="AH209" s="18">
        <f>IF($A209&gt;'1-Input'!$B$26,AF209,AF209-'P-Parametri'!$B$8*(AG209+AF209)+MIN(MAX(AG209,0),'P-Parametri'!$B$8*(AG209+AF209)))</f>
        <v>16865.404770046734</v>
      </c>
      <c r="AI209" s="18">
        <f>IF($A209&gt;'1-Input'!$B$26,AG209,AG209-MIN(MAX(AG209,0),'P-Parametri'!$B$8*(AG209+AF209)))</f>
        <v>70896.490592660368</v>
      </c>
      <c r="AJ209" s="18">
        <f>IF($A209&gt;'1-Input'!$B$26,AJ208,AJ208-AE209*(1-AD209))</f>
        <v>32202.126777193043</v>
      </c>
      <c r="AK209" s="11">
        <f>IF($A209&gt;'1-Input'!$B$26,0,IF(AP208&lt;=0,0,MAX(0,(AP208-AQ208)/AP208)))</f>
        <v>0.5378489404639647</v>
      </c>
      <c r="AL209" s="18">
        <f>IF($A209&gt;'1-Input'!$B$26,0,(MAX(0,AK176-IF($A209&gt;='1-Input'!$C$12,'1-Input'!$B$12,0))-MIN(MAX(AO208,0),MAX(0,AK176-IF($A209&gt;='1-Input'!$C$12,'1-Input'!$B$12,0))))*(1/(1-'P-Parametri'!$B$6*AK209))+MIN(MAX(0,AP208-(MAX(0,AK176-IF($A209&gt;='1-Input'!$C$12,'1-Input'!$B$12,0))-MIN(MAX(AO208,0),MAX(0,AK176-IF($A209&gt;='1-Input'!$C$12,'1-Input'!$B$12,0))))*(1/(1-'P-Parametri'!$B$6*AK209))),MAX(0,1*AK176-(AO208-MIN(MAX(AO208,0),MAX(0,AK176-IF($A209&gt;='1-Input'!$C$12,'1-Input'!$B$12,0)))))*(1/(1-'P-Parametri'!$B$6*AK209))))</f>
        <v>6842.0751639000055</v>
      </c>
      <c r="AM209" s="18">
        <f>IF($A209&gt;'1-Input'!$B$26,AO208,(AO208-MAX(0,AK176-IF($A209&gt;='1-Input'!$C$12,'1-Input'!$B$12,0))+AL209*(1-'P-Parametri'!$B$6*AK209))*(1+'1-Input'!$B$27))</f>
        <v>16865.404770684429</v>
      </c>
      <c r="AN209" s="18">
        <f>IF($A209&gt;'1-Input'!$B$26,AP208,(AP208-AL209)*(1+$B$4))</f>
        <v>71072.366103526641</v>
      </c>
      <c r="AO209" s="18">
        <f>IF($A209&gt;'1-Input'!$B$26,AM209,AM209-'P-Parametri'!$B$8*(AN209+AM209)+MIN(MAX(AN209,0),'P-Parametri'!$B$8*(AN209+AM209)))</f>
        <v>16865.404770684429</v>
      </c>
      <c r="AP209" s="18">
        <f>IF($A209&gt;'1-Input'!$B$26,AN209,AN209-MIN(MAX(AN209,0),'P-Parametri'!$B$8*(AN209+AM209)))</f>
        <v>70896.490561778221</v>
      </c>
      <c r="AQ209" s="18">
        <f>IF($A209&gt;'1-Input'!$B$26,AQ208,AQ208-AL209*(1-AK209))</f>
        <v>32202.126763213564</v>
      </c>
    </row>
    <row r="210" spans="1:43">
      <c r="A210" s="10">
        <f>32</f>
        <v>32</v>
      </c>
      <c r="B210" s="11">
        <f>IF($A210&gt;'1-Input'!$B$26,0,IF(G209&lt;=0,0,MAX(0,(G209-H209)/G209)))</f>
        <v>0.54602009066681523</v>
      </c>
      <c r="C210" s="18">
        <f>IF($A210&gt;'1-Input'!$B$26,0,(MAX(0,B176-IF($A210&gt;='1-Input'!$C$12,'1-Input'!$B$12,0))-MIN(MAX(F209,0),MAX(0,B176-IF($A210&gt;='1-Input'!$C$12,'1-Input'!$B$12,0))))*(1/(1-'P-Parametri'!$B$6*B210))+MIN(MAX(0,G209-(MAX(0,B176-IF($A210&gt;='1-Input'!$C$12,'1-Input'!$B$12,0))-MIN(MAX(F209,0),MAX(0,B176-IF($A210&gt;='1-Input'!$C$12,'1-Input'!$B$12,0))))*(1/(1-'P-Parametri'!$B$6*B210))),MAX(0,1*B176-(F209-MIN(MAX(F209,0),MAX(0,B176-IF($A210&gt;='1-Input'!$C$12,'1-Input'!$B$12,0)))))*(1/(1-'P-Parametri'!$B$6*B210))))</f>
        <v>6572.1195325474828</v>
      </c>
      <c r="D210" s="18">
        <f>IF($A210&gt;'1-Input'!$B$26,F209,(F209-MAX(0,B176-IF($A210&gt;='1-Input'!$C$12,'1-Input'!$B$12,0))+C210*(1-'P-Parametri'!$B$6*B210))*(1+'1-Input'!$B$27))</f>
        <v>16621.00351549315</v>
      </c>
      <c r="E210" s="18">
        <f>IF($A210&gt;'1-Input'!$B$26,G209,(G209-C210)*(1+$B$4))</f>
        <v>77683.754669848247</v>
      </c>
      <c r="F210" s="18">
        <f>IF($A210&gt;'1-Input'!$B$26,D210,D210-'P-Parametri'!$B$8*(E210+D210)+MIN(MAX(E210,0),'P-Parametri'!$B$8*(E210+D210)))</f>
        <v>16621.00351549315</v>
      </c>
      <c r="G210" s="18">
        <f>IF($A210&gt;'1-Input'!$B$26,E210,E210-MIN(MAX(E210,0),'P-Parametri'!$B$8*(E210+D210)))</f>
        <v>77495.14515347757</v>
      </c>
      <c r="H210" s="18">
        <f>IF($A210&gt;'1-Input'!$B$26,H209,H209-C210*(1-B210))</f>
        <v>34575.356766352037</v>
      </c>
      <c r="I210" s="11">
        <f>IF($A210&gt;'1-Input'!$B$26,0,IF(N209&lt;=0,0,MAX(0,(N209-O209)/N209)))</f>
        <v>0</v>
      </c>
      <c r="J210" s="18">
        <f>IF($A210&gt;'1-Input'!$B$26,0,(MAX(0,I176-IF($A210&gt;='1-Input'!$C$12,'1-Input'!$B$12,0))-MIN(MAX(M209,0),MAX(0,I176-IF($A210&gt;='1-Input'!$C$12,'1-Input'!$B$12,0))))*(1/(1-'P-Parametri'!$B$6*I210))+MIN(MAX(0,N209-(MAX(0,I176-IF($A210&gt;='1-Input'!$C$12,'1-Input'!$B$12,0))-MIN(MAX(M209,0),MAX(0,I176-IF($A210&gt;='1-Input'!$C$12,'1-Input'!$B$12,0))))*(1/(1-'P-Parametri'!$B$6*I210))),MAX(0,1*I176-(M209-MIN(MAX(M209,0),MAX(0,I176-IF($A210&gt;='1-Input'!$C$12,'1-Input'!$B$12,0)))))*(1/(1-'P-Parametri'!$B$6*I210))))</f>
        <v>10846.756992928691</v>
      </c>
      <c r="K210" s="18">
        <f>IF($A210&gt;'1-Input'!$B$26,M209,(M209-MAX(0,I176-IF($A210&gt;='1-Input'!$C$12,'1-Input'!$B$12,0))+J210*(1-'P-Parametri'!$B$6*I210))*(1+'1-Input'!$B$27))</f>
        <v>0</v>
      </c>
      <c r="L210" s="18">
        <f>IF($A210&gt;'1-Input'!$B$26,N209,(N209-J210)*(1+$B$4))</f>
        <v>-135355.95951822735</v>
      </c>
      <c r="M210" s="18">
        <f>IF($A210&gt;'1-Input'!$B$26,K210,K210-'P-Parametri'!$B$8*(L210+K210)+MIN(MAX(L210,0),'P-Parametri'!$B$8*(L210+K210)))</f>
        <v>0</v>
      </c>
      <c r="N210" s="18">
        <f>IF($A210&gt;'1-Input'!$B$26,L210,L210-MIN(MAX(L210,0),'P-Parametri'!$B$8*(L210+K210)))</f>
        <v>-135085.24759919089</v>
      </c>
      <c r="O210" s="18">
        <f>IF($A210&gt;'1-Input'!$B$26,O209,O209-J210*(1-I210))</f>
        <v>-121050.64273495361</v>
      </c>
      <c r="P210" s="11">
        <f>IF($A210&gt;'1-Input'!$B$26,0,IF(U209&lt;=0,0,MAX(0,(U209-V209)/U209)))</f>
        <v>0.54579493155121928</v>
      </c>
      <c r="Q210" s="18">
        <f>IF($A210&gt;'1-Input'!$B$26,0,(MAX(0,P176-IF($A210&gt;='1-Input'!$C$12,'1-Input'!$B$12,0))-MIN(MAX(T209,0),MAX(0,P176-IF($A210&gt;='1-Input'!$C$12,'1-Input'!$B$12,0))))*(1/(1-'P-Parametri'!$B$6*P210))+MIN(MAX(0,U209-(MAX(0,P176-IF($A210&gt;='1-Input'!$C$12,'1-Input'!$B$12,0))-MIN(MAX(T209,0),MAX(0,P176-IF($A210&gt;='1-Input'!$C$12,'1-Input'!$B$12,0))))*(1/(1-'P-Parametri'!$B$6*P210))),MAX(0,1*P176-(T209-MIN(MAX(T209,0),MAX(0,P176-IF($A210&gt;='1-Input'!$C$12,'1-Input'!$B$12,0)))))*(1/(1-'P-Parametri'!$B$6*P210))))</f>
        <v>6849.3754496673901</v>
      </c>
      <c r="R210" s="18">
        <f>IF($A210&gt;'1-Input'!$B$26,T209,(T209-MAX(0,P176-IF($A210&gt;='1-Input'!$C$12,'1-Input'!$B$12,0))+Q210*(1-'P-Parametri'!$B$6*P210))*(1+'1-Input'!$B$27))</f>
        <v>16857.590128083153</v>
      </c>
      <c r="S210" s="18">
        <f>IF($A210&gt;'1-Input'!$B$26,U209,(U209-Q210)*(1+$B$4))</f>
        <v>65714.072830870442</v>
      </c>
      <c r="T210" s="18">
        <f>IF($A210&gt;'1-Input'!$B$26,R210,R210-'P-Parametri'!$B$8*(S210+R210)+MIN(MAX(S210,0),'P-Parametri'!$B$8*(S210+R210)))</f>
        <v>16857.590128083153</v>
      </c>
      <c r="U210" s="18">
        <f>IF($A210&gt;'1-Input'!$B$26,S210,S210-MIN(MAX(S210,0),'P-Parametri'!$B$8*(S210+R210)))</f>
        <v>65548.929504952539</v>
      </c>
      <c r="V210" s="18">
        <f>IF($A210&gt;'1-Input'!$B$26,V209,V209-Q210*(1-P210))</f>
        <v>29262.416615876151</v>
      </c>
      <c r="W210" s="11">
        <f>IF($A210&gt;'1-Input'!$B$26,0,IF(AB209&lt;=0,0,MAX(0,(AB209-AC209)/AB209)))</f>
        <v>0.54578717361845031</v>
      </c>
      <c r="X210" s="18">
        <f>IF($A210&gt;'1-Input'!$B$26,0,(MAX(0,W176-IF($A210&gt;='1-Input'!$C$12,'1-Input'!$B$12,0))-MIN(MAX(AA209,0),MAX(0,W176-IF($A210&gt;='1-Input'!$C$12,'1-Input'!$B$12,0))))*(1/(1-'P-Parametri'!$B$6*W210))+MIN(MAX(0,AB209-(MAX(0,W176-IF($A210&gt;='1-Input'!$C$12,'1-Input'!$B$12,0))-MIN(MAX(AA209,0),MAX(0,W176-IF($A210&gt;='1-Input'!$C$12,'1-Input'!$B$12,0))))*(1/(1-'P-Parametri'!$B$6*W210))),MAX(0,1*W176-(AA209-MIN(MAX(AA209,0),MAX(0,W176-IF($A210&gt;='1-Input'!$C$12,'1-Input'!$B$12,0)))))*(1/(1-'P-Parametri'!$B$6*W210))))</f>
        <v>6858.0382242155038</v>
      </c>
      <c r="Y210" s="18">
        <f>IF($A210&gt;'1-Input'!$B$26,AA209,(AA209-MAX(0,W176-IF($A210&gt;='1-Input'!$C$12,'1-Input'!$B$12,0))+X210*(1-'P-Parametri'!$B$6*W210))*(1+'1-Input'!$B$27))</f>
        <v>16864.984001895245</v>
      </c>
      <c r="Z210" s="18">
        <f>IF($A210&gt;'1-Input'!$B$26,AB209,(AB209-X210)*(1+$B$4))</f>
        <v>65340.005838817604</v>
      </c>
      <c r="AA210" s="18">
        <f>IF($A210&gt;'1-Input'!$B$26,Y210,Y210-'P-Parametri'!$B$8*(Z210+Y210)+MIN(MAX(Z210,0),'P-Parametri'!$B$8*(Z210+Y210)))</f>
        <v>16864.984001895245</v>
      </c>
      <c r="AB210" s="18">
        <f>IF($A210&gt;'1-Input'!$B$26,Z210,Z210-MIN(MAX(Z210,0),'P-Parametri'!$B$8*(Z210+Y210)))</f>
        <v>65175.595859136178</v>
      </c>
      <c r="AC210" s="18">
        <f>IF($A210&gt;'1-Input'!$B$26,AC209,AC209-X210*(1-W210))</f>
        <v>29096.341890035586</v>
      </c>
      <c r="AD210" s="11">
        <f>IF($A210&gt;'1-Input'!$B$26,0,IF(AI209&lt;=0,0,MAX(0,(AI209-AJ209)/AI209)))</f>
        <v>0.54578673065480621</v>
      </c>
      <c r="AE210" s="18">
        <f>IF($A210&gt;'1-Input'!$B$26,0,(MAX(0,AD176-IF($A210&gt;='1-Input'!$C$12,'1-Input'!$B$12,0))-MIN(MAX(AH209,0),MAX(0,AD176-IF($A210&gt;='1-Input'!$C$12,'1-Input'!$B$12,0))))*(1/(1-'P-Parametri'!$B$6*AD210))+MIN(MAX(0,AI209-(MAX(0,AD176-IF($A210&gt;='1-Input'!$C$12,'1-Input'!$B$12,0))-MIN(MAX(AH209,0),MAX(0,AD176-IF($A210&gt;='1-Input'!$C$12,'1-Input'!$B$12,0))))*(1/(1-'P-Parametri'!$B$6*AD210))),MAX(0,1*AD176-(AH209-MIN(MAX(AH209,0),MAX(0,AD176-IF($A210&gt;='1-Input'!$C$12,'1-Input'!$B$12,0)))))*(1/(1-'P-Parametri'!$B$6*AD210))))</f>
        <v>6858.5311982592048</v>
      </c>
      <c r="AF210" s="18">
        <f>IF($A210&gt;'1-Input'!$B$26,AH209,(AH209-MAX(0,AD176-IF($A210&gt;='1-Input'!$C$12,'1-Input'!$B$12,0))+AE210*(1-'P-Parametri'!$B$6*AD210))*(1+'1-Input'!$B$27))</f>
        <v>16865.404770046734</v>
      </c>
      <c r="AG210" s="18">
        <f>IF($A210&gt;'1-Input'!$B$26,AI209,(AI209-AE210)*(1+$B$4))</f>
        <v>65318.718582289192</v>
      </c>
      <c r="AH210" s="18">
        <f>IF($A210&gt;'1-Input'!$B$26,AF210,AF210-'P-Parametri'!$B$8*(AG210+AF210)+MIN(MAX(AG210,0),'P-Parametri'!$B$8*(AG210+AF210)))</f>
        <v>16865.404770046734</v>
      </c>
      <c r="AI210" s="18">
        <f>IF($A210&gt;'1-Input'!$B$26,AG210,AG210-MIN(MAX(AG210,0),'P-Parametri'!$B$8*(AG210+AF210)))</f>
        <v>65154.350335584517</v>
      </c>
      <c r="AJ210" s="18">
        <f>IF($A210&gt;'1-Input'!$B$26,AJ209,AJ209-AE210*(1-AD210))</f>
        <v>29086.89089872572</v>
      </c>
      <c r="AK210" s="11">
        <f>IF($A210&gt;'1-Input'!$B$26,0,IF(AP209&lt;=0,0,MAX(0,(AP209-AQ209)/AP209)))</f>
        <v>0.54578673065413474</v>
      </c>
      <c r="AL210" s="18">
        <f>IF($A210&gt;'1-Input'!$B$26,0,(MAX(0,AK176-IF($A210&gt;='1-Input'!$C$12,'1-Input'!$B$12,0))-MIN(MAX(AO209,0),MAX(0,AK176-IF($A210&gt;='1-Input'!$C$12,'1-Input'!$B$12,0))))*(1/(1-'P-Parametri'!$B$6*AK210))+MIN(MAX(0,AP209-(MAX(0,AK176-IF($A210&gt;='1-Input'!$C$12,'1-Input'!$B$12,0))-MIN(MAX(AO209,0),MAX(0,AK176-IF($A210&gt;='1-Input'!$C$12,'1-Input'!$B$12,0))))*(1/(1-'P-Parametri'!$B$6*AK210))),MAX(0,1*AK176-(AO209-MIN(MAX(AO209,0),MAX(0,AK176-IF($A210&gt;='1-Input'!$C$12,'1-Input'!$B$12,0)))))*(1/(1-'P-Parametri'!$B$6*AK210))))</f>
        <v>6858.5311990063283</v>
      </c>
      <c r="AM210" s="18">
        <f>IF($A210&gt;'1-Input'!$B$26,AO209,(AO209-MAX(0,AK176-IF($A210&gt;='1-Input'!$C$12,'1-Input'!$B$12,0))+AL210*(1-'P-Parametri'!$B$6*AK210))*(1+'1-Input'!$B$27))</f>
        <v>16865.404770684429</v>
      </c>
      <c r="AN210" s="18">
        <f>IF($A210&gt;'1-Input'!$B$26,AP209,(AP209-AL210)*(1+$B$4))</f>
        <v>65318.718550027334</v>
      </c>
      <c r="AO210" s="18">
        <f>IF($A210&gt;'1-Input'!$B$26,AM210,AM210-'P-Parametri'!$B$8*(AN210+AM210)+MIN(MAX(AN210,0),'P-Parametri'!$B$8*(AN210+AM210)))</f>
        <v>16865.404770684429</v>
      </c>
      <c r="AP210" s="18">
        <f>IF($A210&gt;'1-Input'!$B$26,AN210,AN210-MIN(MAX(AN210,0),'P-Parametri'!$B$8*(AN210+AM210)))</f>
        <v>65154.350303385909</v>
      </c>
      <c r="AQ210" s="18">
        <f>IF($A210&gt;'1-Input'!$B$26,AQ209,AQ209-AL210*(1-AK210))</f>
        <v>29086.890884402281</v>
      </c>
    </row>
    <row r="211" spans="1:43">
      <c r="A211" s="10">
        <f>33</f>
        <v>33</v>
      </c>
      <c r="B211" s="11">
        <f>IF($A211&gt;'1-Input'!$B$26,0,IF(G210&lt;=0,0,MAX(0,(G210-H210)/G210)))</f>
        <v>0.55383841532426015</v>
      </c>
      <c r="C211" s="18">
        <f>IF($A211&gt;'1-Input'!$B$26,0,(MAX(0,B176-IF($A211&gt;='1-Input'!$C$12,'1-Input'!$B$12,0))-MIN(MAX(F210,0),MAX(0,B176-IF($A211&gt;='1-Input'!$C$12,'1-Input'!$B$12,0))))*(1/(1-'P-Parametri'!$B$6*B211))+MIN(MAX(0,G210-(MAX(0,B176-IF($A211&gt;='1-Input'!$C$12,'1-Input'!$B$12,0))-MIN(MAX(F210,0),MAX(0,B176-IF($A211&gt;='1-Input'!$C$12,'1-Input'!$B$12,0))))*(1/(1-'P-Parametri'!$B$6*B211))),MAX(0,1*B176-(F210-MIN(MAX(F210,0),MAX(0,B176-IF($A211&gt;='1-Input'!$C$12,'1-Input'!$B$12,0)))))*(1/(1-'P-Parametri'!$B$6*B211))))</f>
        <v>6587.7264709689471</v>
      </c>
      <c r="D211" s="18">
        <f>IF($A211&gt;'1-Input'!$B$26,F210,(F210-MAX(0,B176-IF($A211&gt;='1-Input'!$C$12,'1-Input'!$B$12,0))+C211*(1-'P-Parametri'!$B$6*B211))*(1+'1-Input'!$B$27))</f>
        <v>16621.00351549315</v>
      </c>
      <c r="E211" s="18">
        <f>IF($A211&gt;'1-Input'!$B$26,G210,(G210-C211)*(1+$B$4))</f>
        <v>72325.56705615879</v>
      </c>
      <c r="F211" s="18">
        <f>IF($A211&gt;'1-Input'!$B$26,D211,D211-'P-Parametri'!$B$8*(E211+D211)+MIN(MAX(E211,0),'P-Parametri'!$B$8*(E211+D211)))</f>
        <v>16621.00351549315</v>
      </c>
      <c r="G211" s="18">
        <f>IF($A211&gt;'1-Input'!$B$26,E211,E211-MIN(MAX(E211,0),'P-Parametri'!$B$8*(E211+D211)))</f>
        <v>72147.67391501549</v>
      </c>
      <c r="H211" s="18">
        <f>IF($A211&gt;'1-Input'!$B$26,H210,H210-C211*(1-B211))</f>
        <v>31636.166284654213</v>
      </c>
      <c r="I211" s="11">
        <f>IF($A211&gt;'1-Input'!$B$26,0,IF(N210&lt;=0,0,MAX(0,(N210-O210)/N210)))</f>
        <v>0</v>
      </c>
      <c r="J211" s="18">
        <f>IF($A211&gt;'1-Input'!$B$26,0,(MAX(0,I176-IF($A211&gt;='1-Input'!$C$12,'1-Input'!$B$12,0))-MIN(MAX(M210,0),MAX(0,I176-IF($A211&gt;='1-Input'!$C$12,'1-Input'!$B$12,0))))*(1/(1-'P-Parametri'!$B$6*I211))+MIN(MAX(0,N210-(MAX(0,I176-IF($A211&gt;='1-Input'!$C$12,'1-Input'!$B$12,0))-MIN(MAX(M210,0),MAX(0,I176-IF($A211&gt;='1-Input'!$C$12,'1-Input'!$B$12,0))))*(1/(1-'P-Parametri'!$B$6*I211))),MAX(0,1*I176-(M210-MIN(MAX(M210,0),MAX(0,I176-IF($A211&gt;='1-Input'!$C$12,'1-Input'!$B$12,0)))))*(1/(1-'P-Parametri'!$B$6*I211))))</f>
        <v>10846.756992928691</v>
      </c>
      <c r="K211" s="18">
        <f>IF($A211&gt;'1-Input'!$B$26,M210,(M210-MAX(0,I176-IF($A211&gt;='1-Input'!$C$12,'1-Input'!$B$12,0))+J211*(1-'P-Parametri'!$B$6*I211))*(1+'1-Input'!$B$27))</f>
        <v>0</v>
      </c>
      <c r="L211" s="18">
        <f>IF($A211&gt;'1-Input'!$B$26,N210,(N210-J211)*(1+$B$4))</f>
        <v>-148850.64468396196</v>
      </c>
      <c r="M211" s="18">
        <f>IF($A211&gt;'1-Input'!$B$26,K211,K211-'P-Parametri'!$B$8*(L211+K211)+MIN(MAX(L211,0),'P-Parametri'!$B$8*(L211+K211)))</f>
        <v>0</v>
      </c>
      <c r="N211" s="18">
        <f>IF($A211&gt;'1-Input'!$B$26,L211,L211-MIN(MAX(L211,0),'P-Parametri'!$B$8*(L211+K211)))</f>
        <v>-148552.94339459404</v>
      </c>
      <c r="O211" s="18">
        <f>IF($A211&gt;'1-Input'!$B$26,O210,O210-J211*(1-I211))</f>
        <v>-131897.39972788229</v>
      </c>
      <c r="P211" s="11">
        <f>IF($A211&gt;'1-Input'!$B$26,0,IF(U210&lt;=0,0,MAX(0,(U210-V210)/U210)))</f>
        <v>0.55357903116228258</v>
      </c>
      <c r="Q211" s="18">
        <f>IF($A211&gt;'1-Input'!$B$26,0,(MAX(0,P176-IF($A211&gt;='1-Input'!$C$12,'1-Input'!$B$12,0))-MIN(MAX(T210,0),MAX(0,P176-IF($A211&gt;='1-Input'!$C$12,'1-Input'!$B$12,0))))*(1/(1-'P-Parametri'!$B$6*P211))+MIN(MAX(0,U210-(MAX(0,P176-IF($A211&gt;='1-Input'!$C$12,'1-Input'!$B$12,0))-MIN(MAX(T210,0),MAX(0,P176-IF($A211&gt;='1-Input'!$C$12,'1-Input'!$B$12,0))))*(1/(1-'P-Parametri'!$B$6*P211))),MAX(0,1*P176-(T210-MIN(MAX(T210,0),MAX(0,P176-IF($A211&gt;='1-Input'!$C$12,'1-Input'!$B$12,0)))))*(1/(1-'P-Parametri'!$B$6*P211))))</f>
        <v>6865.568315059857</v>
      </c>
      <c r="R211" s="18">
        <f>IF($A211&gt;'1-Input'!$B$26,T210,(T210-MAX(0,P176-IF($A211&gt;='1-Input'!$C$12,'1-Input'!$B$12,0))+Q211*(1-'P-Parametri'!$B$6*P211))*(1+'1-Input'!$B$27))</f>
        <v>16857.590128083153</v>
      </c>
      <c r="S211" s="18">
        <f>IF($A211&gt;'1-Input'!$B$26,U210,(U210-Q211)*(1+$B$4))</f>
        <v>59857.028413690539</v>
      </c>
      <c r="T211" s="18">
        <f>IF($A211&gt;'1-Input'!$B$26,R211,R211-'P-Parametri'!$B$8*(S211+R211)+MIN(MAX(S211,0),'P-Parametri'!$B$8*(S211+R211)))</f>
        <v>16857.590128083153</v>
      </c>
      <c r="U211" s="18">
        <f>IF($A211&gt;'1-Input'!$B$26,S211,S211-MIN(MAX(S211,0),'P-Parametri'!$B$8*(S211+R211)))</f>
        <v>59703.599176606993</v>
      </c>
      <c r="V211" s="18">
        <f>IF($A211&gt;'1-Input'!$B$26,V210,V210-Q211*(1-P211))</f>
        <v>26197.482957045595</v>
      </c>
      <c r="W211" s="11">
        <f>IF($A211&gt;'1-Input'!$B$26,0,IF(AB210&lt;=0,0,MAX(0,(AB210-AC210)/AB210)))</f>
        <v>0.55356999032396392</v>
      </c>
      <c r="X211" s="18">
        <f>IF($A211&gt;'1-Input'!$B$26,0,(MAX(0,W176-IF($A211&gt;='1-Input'!$C$12,'1-Input'!$B$12,0))-MIN(MAX(AA210,0),MAX(0,W176-IF($A211&gt;='1-Input'!$C$12,'1-Input'!$B$12,0))))*(1/(1-'P-Parametri'!$B$6*W211))+MIN(MAX(0,AB210-(MAX(0,W176-IF($A211&gt;='1-Input'!$C$12,'1-Input'!$B$12,0))-MIN(MAX(AA210,0),MAX(0,W176-IF($A211&gt;='1-Input'!$C$12,'1-Input'!$B$12,0))))*(1/(1-'P-Parametri'!$B$6*W211))),MAX(0,1*W176-(AA210-MIN(MAX(AA210,0),MAX(0,W176-IF($A211&gt;='1-Input'!$C$12,'1-Input'!$B$12,0)))))*(1/(1-'P-Parametri'!$B$6*W211))))</f>
        <v>6874.2488529483044</v>
      </c>
      <c r="Y211" s="18">
        <f>IF($A211&gt;'1-Input'!$B$26,AA210,(AA210-MAX(0,W176-IF($A211&gt;='1-Input'!$C$12,'1-Input'!$B$12,0))+X211*(1-'P-Parametri'!$B$6*W211))*(1+'1-Input'!$B$27))</f>
        <v>16864.984001895245</v>
      </c>
      <c r="Z211" s="18">
        <f>IF($A211&gt;'1-Input'!$B$26,AB210,(AB210-X211)*(1+$B$4))</f>
        <v>59467.373946311636</v>
      </c>
      <c r="AA211" s="18">
        <f>IF($A211&gt;'1-Input'!$B$26,Y211,Y211-'P-Parametri'!$B$8*(Z211+Y211)+MIN(MAX(Z211,0),'P-Parametri'!$B$8*(Z211+Y211)))</f>
        <v>16864.984001895245</v>
      </c>
      <c r="AB211" s="18">
        <f>IF($A211&gt;'1-Input'!$B$26,Z211,Z211-MIN(MAX(Z211,0),'P-Parametri'!$B$8*(Z211+Y211)))</f>
        <v>59314.709230415225</v>
      </c>
      <c r="AC211" s="18">
        <f>IF($A211&gt;'1-Input'!$B$26,AC210,AC210-X211*(1-W211))</f>
        <v>26027.470908098396</v>
      </c>
      <c r="AD211" s="11">
        <f>IF($A211&gt;'1-Input'!$B$26,0,IF(AI210&lt;=0,0,MAX(0,(AI210-AJ210)/AI210)))</f>
        <v>0.55356947388914868</v>
      </c>
      <c r="AE211" s="18">
        <f>IF($A211&gt;'1-Input'!$B$26,0,(MAX(0,AD176-IF($A211&gt;='1-Input'!$C$12,'1-Input'!$B$12,0))-MIN(MAX(AH210,0),MAX(0,AD176-IF($A211&gt;='1-Input'!$C$12,'1-Input'!$B$12,0))))*(1/(1-'P-Parametri'!$B$6*AD211))+MIN(MAX(0,AI210-(MAX(0,AD176-IF($A211&gt;='1-Input'!$C$12,'1-Input'!$B$12,0))-MIN(MAX(AH210,0),MAX(0,AD176-IF($A211&gt;='1-Input'!$C$12,'1-Input'!$B$12,0))))*(1/(1-'P-Parametri'!$B$6*AD211))),MAX(0,1*AD176-(AH210-MIN(MAX(AH210,0),MAX(0,AD176-IF($A211&gt;='1-Input'!$C$12,'1-Input'!$B$12,0)))))*(1/(1-'P-Parametri'!$B$6*AD211))))</f>
        <v>6874.7428366701788</v>
      </c>
      <c r="AF211" s="18">
        <f>IF($A211&gt;'1-Input'!$B$26,AH210,(AH210-MAX(0,AD176-IF($A211&gt;='1-Input'!$C$12,'1-Input'!$B$12,0))+AE211*(1-'P-Parametri'!$B$6*AD211))*(1+'1-Input'!$B$27))</f>
        <v>16865.404770046734</v>
      </c>
      <c r="AG211" s="18">
        <f>IF($A211&gt;'1-Input'!$B$26,AI210,(AI210-AE211)*(1+$B$4))</f>
        <v>59445.199648892623</v>
      </c>
      <c r="AH211" s="18">
        <f>IF($A211&gt;'1-Input'!$B$26,AF211,AF211-'P-Parametri'!$B$8*(AG211+AF211)+MIN(MAX(AG211,0),'P-Parametri'!$B$8*(AG211+AF211)))</f>
        <v>16865.404770046734</v>
      </c>
      <c r="AI211" s="18">
        <f>IF($A211&gt;'1-Input'!$B$26,AG211,AG211-MIN(MAX(AG211,0),'P-Parametri'!$B$8*(AG211+AF211)))</f>
        <v>59292.578440054742</v>
      </c>
      <c r="AJ211" s="18">
        <f>IF($A211&gt;'1-Input'!$B$26,AJ210,AJ210-AE211*(1-AD211))</f>
        <v>26017.795837274247</v>
      </c>
      <c r="AK211" s="11">
        <f>IF($A211&gt;'1-Input'!$B$26,0,IF(AP210&lt;=0,0,MAX(0,(AP210-AQ210)/AP210)))</f>
        <v>0.55356947388836586</v>
      </c>
      <c r="AL211" s="18">
        <f>IF($A211&gt;'1-Input'!$B$26,0,(MAX(0,AK176-IF($A211&gt;='1-Input'!$C$12,'1-Input'!$B$12,0))-MIN(MAX(AO210,0),MAX(0,AK176-IF($A211&gt;='1-Input'!$C$12,'1-Input'!$B$12,0))))*(1/(1-'P-Parametri'!$B$6*AK211))+MIN(MAX(0,AP210-(MAX(0,AK176-IF($A211&gt;='1-Input'!$C$12,'1-Input'!$B$12,0))-MIN(MAX(AO210,0),MAX(0,AK176-IF($A211&gt;='1-Input'!$C$12,'1-Input'!$B$12,0))))*(1/(1-'P-Parametri'!$B$6*AK211))),MAX(0,1*AK176-(AO210-MIN(MAX(AO210,0),MAX(0,AK176-IF($A211&gt;='1-Input'!$C$12,'1-Input'!$B$12,0)))))*(1/(1-'P-Parametri'!$B$6*AK211))))</f>
        <v>6874.7428374188321</v>
      </c>
      <c r="AM211" s="18">
        <f>IF($A211&gt;'1-Input'!$B$26,AO210,(AO210-MAX(0,AK176-IF($A211&gt;='1-Input'!$C$12,'1-Input'!$B$12,0))+AL211*(1-'P-Parametri'!$B$6*AK211))*(1+'1-Input'!$B$27))</f>
        <v>16865.404770684429</v>
      </c>
      <c r="AN211" s="18">
        <f>IF($A211&gt;'1-Input'!$B$26,AP210,(AP210-AL211)*(1+$B$4))</f>
        <v>59445.199615286423</v>
      </c>
      <c r="AO211" s="18">
        <f>IF($A211&gt;'1-Input'!$B$26,AM211,AM211-'P-Parametri'!$B$8*(AN211+AM211)+MIN(MAX(AN211,0),'P-Parametri'!$B$8*(AN211+AM211)))</f>
        <v>16865.404770684429</v>
      </c>
      <c r="AP211" s="18">
        <f>IF($A211&gt;'1-Input'!$B$26,AN211,AN211-MIN(MAX(AN211,0),'P-Parametri'!$B$8*(AN211+AM211)))</f>
        <v>59292.578406514484</v>
      </c>
      <c r="AQ211" s="18">
        <f>IF($A211&gt;'1-Input'!$B$26,AQ210,AQ210-AL211*(1-AK211))</f>
        <v>26017.795822611202</v>
      </c>
    </row>
    <row r="212" spans="1:43">
      <c r="A212" s="10">
        <f>34</f>
        <v>34</v>
      </c>
      <c r="B212" s="11">
        <f>IF($A212&gt;'1-Input'!$B$26,0,IF(G211&lt;=0,0,MAX(0,(G211-H211)/G211)))</f>
        <v>0.56150816002856541</v>
      </c>
      <c r="C212" s="18">
        <f>IF($A212&gt;'1-Input'!$B$26,0,(MAX(0,B176-IF($A212&gt;='1-Input'!$C$12,'1-Input'!$B$12,0))-MIN(MAX(F211,0),MAX(0,B176-IF($A212&gt;='1-Input'!$C$12,'1-Input'!$B$12,0))))*(1/(1-'P-Parametri'!$B$6*B212))+MIN(MAX(0,G211-(MAX(0,B176-IF($A212&gt;='1-Input'!$C$12,'1-Input'!$B$12,0))-MIN(MAX(F211,0),MAX(0,B176-IF($A212&gt;='1-Input'!$C$12,'1-Input'!$B$12,0))))*(1/(1-'P-Parametri'!$B$6*B212))),MAX(0,1*B176-(F211-MIN(MAX(F211,0),MAX(0,B176-IF($A212&gt;='1-Input'!$C$12,'1-Input'!$B$12,0)))))*(1/(1-'P-Parametri'!$B$6*B212))))</f>
        <v>6603.1090068776302</v>
      </c>
      <c r="D212" s="18">
        <f>IF($A212&gt;'1-Input'!$B$26,F211,(F211-MAX(0,B176-IF($A212&gt;='1-Input'!$C$12,'1-Input'!$B$12,0))+C212*(1-'P-Parametri'!$B$6*B212))*(1+'1-Input'!$B$27))</f>
        <v>16621.00351549315</v>
      </c>
      <c r="E212" s="18">
        <f>IF($A212&gt;'1-Input'!$B$26,G211,(G211-C212)*(1+$B$4))</f>
        <v>66855.456206300631</v>
      </c>
      <c r="F212" s="18">
        <f>IF($A212&gt;'1-Input'!$B$26,D212,D212-'P-Parametri'!$B$8*(E212+D212)+MIN(MAX(E212,0),'P-Parametri'!$B$8*(E212+D212)))</f>
        <v>16621.00351549315</v>
      </c>
      <c r="G212" s="18">
        <f>IF($A212&gt;'1-Input'!$B$26,E212,E212-MIN(MAX(E212,0),'P-Parametri'!$B$8*(E212+D212)))</f>
        <v>66688.503286857042</v>
      </c>
      <c r="H212" s="18">
        <f>IF($A212&gt;'1-Input'!$B$26,H211,H211-C212*(1-B212))</f>
        <v>28740.756866696487</v>
      </c>
      <c r="I212" s="11">
        <f>IF($A212&gt;'1-Input'!$B$26,0,IF(N211&lt;=0,0,MAX(0,(N211-O211)/N211)))</f>
        <v>0</v>
      </c>
      <c r="J212" s="18">
        <f>IF($A212&gt;'1-Input'!$B$26,0,(MAX(0,I176-IF($A212&gt;='1-Input'!$C$12,'1-Input'!$B$12,0))-MIN(MAX(M211,0),MAX(0,I176-IF($A212&gt;='1-Input'!$C$12,'1-Input'!$B$12,0))))*(1/(1-'P-Parametri'!$B$6*I212))+MIN(MAX(0,N211-(MAX(0,I176-IF($A212&gt;='1-Input'!$C$12,'1-Input'!$B$12,0))-MIN(MAX(M211,0),MAX(0,I176-IF($A212&gt;='1-Input'!$C$12,'1-Input'!$B$12,0))))*(1/(1-'P-Parametri'!$B$6*I212))),MAX(0,1*I176-(M211-MIN(MAX(M211,0),MAX(0,I176-IF($A212&gt;='1-Input'!$C$12,'1-Input'!$B$12,0)))))*(1/(1-'P-Parametri'!$B$6*I212))))</f>
        <v>10846.756992928691</v>
      </c>
      <c r="K212" s="18">
        <f>IF($A212&gt;'1-Input'!$B$26,M211,(M211-MAX(0,I176-IF($A212&gt;='1-Input'!$C$12,'1-Input'!$B$12,0))+J212*(1-'P-Parametri'!$B$6*I212))*(1+'1-Input'!$B$27))</f>
        <v>0</v>
      </c>
      <c r="L212" s="18">
        <f>IF($A212&gt;'1-Input'!$B$26,N211,(N211-J212)*(1+$B$4))</f>
        <v>-162587.69439527317</v>
      </c>
      <c r="M212" s="18">
        <f>IF($A212&gt;'1-Input'!$B$26,K212,K212-'P-Parametri'!$B$8*(L212+K212)+MIN(MAX(L212,0),'P-Parametri'!$B$8*(L212+K212)))</f>
        <v>0</v>
      </c>
      <c r="N212" s="18">
        <f>IF($A212&gt;'1-Input'!$B$26,L212,L212-MIN(MAX(L212,0),'P-Parametri'!$B$8*(L212+K212)))</f>
        <v>-162262.51900648262</v>
      </c>
      <c r="O212" s="18">
        <f>IF($A212&gt;'1-Input'!$B$26,O211,O211-J212*(1-I212))</f>
        <v>-142744.15672081098</v>
      </c>
      <c r="P212" s="11">
        <f>IF($A212&gt;'1-Input'!$B$26,0,IF(U211&lt;=0,0,MAX(0,(U211-V211)/U211)))</f>
        <v>0.56120764378790977</v>
      </c>
      <c r="Q212" s="18">
        <f>IF($A212&gt;'1-Input'!$B$26,0,(MAX(0,P176-IF($A212&gt;='1-Input'!$C$12,'1-Input'!$B$12,0))-MIN(MAX(T211,0),MAX(0,P176-IF($A212&gt;='1-Input'!$C$12,'1-Input'!$B$12,0))))*(1/(1-'P-Parametri'!$B$6*P212))+MIN(MAX(0,U211-(MAX(0,P176-IF($A212&gt;='1-Input'!$C$12,'1-Input'!$B$12,0))-MIN(MAX(T211,0),MAX(0,P176-IF($A212&gt;='1-Input'!$C$12,'1-Input'!$B$12,0))))*(1/(1-'P-Parametri'!$B$6*P212))),MAX(0,1*P176-(T211-MIN(MAX(T211,0),MAX(0,P176-IF($A212&gt;='1-Input'!$C$12,'1-Input'!$B$12,0)))))*(1/(1-'P-Parametri'!$B$6*P212))))</f>
        <v>6881.5121868628858</v>
      </c>
      <c r="R212" s="18">
        <f>IF($A212&gt;'1-Input'!$B$26,T211,(T211-MAX(0,P176-IF($A212&gt;='1-Input'!$C$12,'1-Input'!$B$12,0))+Q212*(1-'P-Parametri'!$B$6*P212))*(1+'1-Input'!$B$27))</f>
        <v>16857.590128083153</v>
      </c>
      <c r="S212" s="18">
        <f>IF($A212&gt;'1-Input'!$B$26,U211,(U211-Q212)*(1+$B$4))</f>
        <v>53878.528729538994</v>
      </c>
      <c r="T212" s="18">
        <f>IF($A212&gt;'1-Input'!$B$26,R212,R212-'P-Parametri'!$B$8*(S212+R212)+MIN(MAX(S212,0),'P-Parametri'!$B$8*(S212+R212)))</f>
        <v>16857.590128083153</v>
      </c>
      <c r="U212" s="18">
        <f>IF($A212&gt;'1-Input'!$B$26,S212,S212-MIN(MAX(S212,0),'P-Parametri'!$B$8*(S212+R212)))</f>
        <v>53737.056491823751</v>
      </c>
      <c r="V212" s="18">
        <f>IF($A212&gt;'1-Input'!$B$26,V211,V211-Q212*(1-P212))</f>
        <v>23177.928010269818</v>
      </c>
      <c r="W212" s="11">
        <f>IF($A212&gt;'1-Input'!$B$26,0,IF(AB211&lt;=0,0,MAX(0,(AB211-AC211)/AB211)))</f>
        <v>0.5611970243840948</v>
      </c>
      <c r="X212" s="18">
        <f>IF($A212&gt;'1-Input'!$B$26,0,(MAX(0,W176-IF($A212&gt;='1-Input'!$C$12,'1-Input'!$B$12,0))-MIN(MAX(AA211,0),MAX(0,W176-IF($A212&gt;='1-Input'!$C$12,'1-Input'!$B$12,0))))*(1/(1-'P-Parametri'!$B$6*W212))+MIN(MAX(0,AB211-(MAX(0,W176-IF($A212&gt;='1-Input'!$C$12,'1-Input'!$B$12,0))-MIN(MAX(AA211,0),MAX(0,W176-IF($A212&gt;='1-Input'!$C$12,'1-Input'!$B$12,0))))*(1/(1-'P-Parametri'!$B$6*W212))),MAX(0,1*W176-(AA211-MIN(MAX(AA211,0),MAX(0,W176-IF($A212&gt;='1-Input'!$C$12,'1-Input'!$B$12,0)))))*(1/(1-'P-Parametri'!$B$6*W212))))</f>
        <v>6890.2095285321639</v>
      </c>
      <c r="Y212" s="18">
        <f>IF($A212&gt;'1-Input'!$B$26,AA211,(AA211-MAX(0,W176-IF($A212&gt;='1-Input'!$C$12,'1-Input'!$B$12,0))+X212*(1-'P-Parametri'!$B$6*W212))*(1+'1-Input'!$B$27))</f>
        <v>16864.984001895245</v>
      </c>
      <c r="Z212" s="18">
        <f>IF($A212&gt;'1-Input'!$B$26,AB211,(AB211-X212)*(1+$B$4))</f>
        <v>53472.989695920725</v>
      </c>
      <c r="AA212" s="18">
        <f>IF($A212&gt;'1-Input'!$B$26,Y212,Y212-'P-Parametri'!$B$8*(Z212+Y212)+MIN(MAX(Z212,0),'P-Parametri'!$B$8*(Z212+Y212)))</f>
        <v>16864.984001895245</v>
      </c>
      <c r="AB212" s="18">
        <f>IF($A212&gt;'1-Input'!$B$26,Z212,Z212-MIN(MAX(Z212,0),'P-Parametri'!$B$8*(Z212+Y212)))</f>
        <v>53332.313748525092</v>
      </c>
      <c r="AC212" s="18">
        <f>IF($A212&gt;'1-Input'!$B$26,AC211,AC211-X212*(1-W212))</f>
        <v>23004.026464361421</v>
      </c>
      <c r="AD212" s="11">
        <f>IF($A212&gt;'1-Input'!$B$26,0,IF(AI211&lt;=0,0,MAX(0,(AI211-AJ211)/AI211)))</f>
        <v>0.56119641746431326</v>
      </c>
      <c r="AE212" s="18">
        <f>IF($A212&gt;'1-Input'!$B$26,0,(MAX(0,AD176-IF($A212&gt;='1-Input'!$C$12,'1-Input'!$B$12,0))-MIN(MAX(AH211,0),MAX(0,AD176-IF($A212&gt;='1-Input'!$C$12,'1-Input'!$B$12,0))))*(1/(1-'P-Parametri'!$B$6*AD212))+MIN(MAX(0,AI211-(MAX(0,AD176-IF($A212&gt;='1-Input'!$C$12,'1-Input'!$B$12,0))-MIN(MAX(AH211,0),MAX(0,AD176-IF($A212&gt;='1-Input'!$C$12,'1-Input'!$B$12,0))))*(1/(1-'P-Parametri'!$B$6*AD212))),MAX(0,1*AD176-(AH211-MIN(MAX(AH211,0),MAX(0,AD176-IF($A212&gt;='1-Input'!$C$12,'1-Input'!$B$12,0)))))*(1/(1-'P-Parametri'!$B$6*AD212))))</f>
        <v>6890.7044668730914</v>
      </c>
      <c r="AF212" s="18">
        <f>IF($A212&gt;'1-Input'!$B$26,AH211,(AH211-MAX(0,AD176-IF($A212&gt;='1-Input'!$C$12,'1-Input'!$B$12,0))+AE212*(1-'P-Parametri'!$B$6*AD212))*(1+'1-Input'!$B$27))</f>
        <v>16865.404770046734</v>
      </c>
      <c r="AG212" s="18">
        <f>IF($A212&gt;'1-Input'!$B$26,AI211,(AI211-AE212)*(1+$B$4))</f>
        <v>53449.91145264529</v>
      </c>
      <c r="AH212" s="18">
        <f>IF($A212&gt;'1-Input'!$B$26,AF212,AF212-'P-Parametri'!$B$8*(AG212+AF212)+MIN(MAX(AG212,0),'P-Parametri'!$B$8*(AG212+AF212)))</f>
        <v>16865.404770046734</v>
      </c>
      <c r="AI212" s="18">
        <f>IF($A212&gt;'1-Input'!$B$26,AG212,AG212-MIN(MAX(AG212,0),'P-Parametri'!$B$8*(AG212+AF212)))</f>
        <v>53309.280820199907</v>
      </c>
      <c r="AJ212" s="18">
        <f>IF($A212&gt;'1-Input'!$B$26,AJ211,AJ211-AE212*(1-AD212))</f>
        <v>22994.130031015673</v>
      </c>
      <c r="AK212" s="11">
        <f>IF($A212&gt;'1-Input'!$B$26,0,IF(AP211&lt;=0,0,MAX(0,(AP211-AQ211)/AP211)))</f>
        <v>0.56119641746339333</v>
      </c>
      <c r="AL212" s="18">
        <f>IF($A212&gt;'1-Input'!$B$26,0,(MAX(0,AK176-IF($A212&gt;='1-Input'!$C$12,'1-Input'!$B$12,0))-MIN(MAX(AO211,0),MAX(0,AK176-IF($A212&gt;='1-Input'!$C$12,'1-Input'!$B$12,0))))*(1/(1-'P-Parametri'!$B$6*AK212))+MIN(MAX(0,AP211-(MAX(0,AK176-IF($A212&gt;='1-Input'!$C$12,'1-Input'!$B$12,0))-MIN(MAX(AO211,0),MAX(0,AK176-IF($A212&gt;='1-Input'!$C$12,'1-Input'!$B$12,0))))*(1/(1-'P-Parametri'!$B$6*AK212))),MAX(0,1*AK176-(AO211-MIN(MAX(AO211,0),MAX(0,AK176-IF($A212&gt;='1-Input'!$C$12,'1-Input'!$B$12,0)))))*(1/(1-'P-Parametri'!$B$6*AK212))))</f>
        <v>6890.7044676231899</v>
      </c>
      <c r="AM212" s="18">
        <f>IF($A212&gt;'1-Input'!$B$26,AO211,(AO211-MAX(0,AK176-IF($A212&gt;='1-Input'!$C$12,'1-Input'!$B$12,0))+AL212*(1-'P-Parametri'!$B$6*AK212))*(1+'1-Input'!$B$27))</f>
        <v>16865.404770684429</v>
      </c>
      <c r="AN212" s="18">
        <f>IF($A212&gt;'1-Input'!$B$26,AP211,(AP211-AL212)*(1+$B$4))</f>
        <v>53449.911417669122</v>
      </c>
      <c r="AO212" s="18">
        <f>IF($A212&gt;'1-Input'!$B$26,AM212,AM212-'P-Parametri'!$B$8*(AN212+AM212)+MIN(MAX(AN212,0),'P-Parametri'!$B$8*(AN212+AM212)))</f>
        <v>16865.404770684429</v>
      </c>
      <c r="AP212" s="18">
        <f>IF($A212&gt;'1-Input'!$B$26,AN212,AN212-MIN(MAX(AN212,0),'P-Parametri'!$B$8*(AN212+AM212)))</f>
        <v>53309.280785292416</v>
      </c>
      <c r="AQ212" s="18">
        <f>IF($A212&gt;'1-Input'!$B$26,AQ211,AQ211-AL212*(1-AK212))</f>
        <v>22994.130016017145</v>
      </c>
    </row>
    <row r="213" spans="1:43">
      <c r="A213" s="10">
        <f>35</f>
        <v>35</v>
      </c>
      <c r="B213" s="11">
        <f>IF($A213&gt;'1-Input'!$B$26,0,IF(G212&lt;=0,0,MAX(0,(G212-H212)/G212)))</f>
        <v>0.56902981098451622</v>
      </c>
      <c r="C213" s="18">
        <f>IF($A213&gt;'1-Input'!$B$26,0,(MAX(0,B176-IF($A213&gt;='1-Input'!$C$12,'1-Input'!$B$12,0))-MIN(MAX(F212,0),MAX(0,B176-IF($A213&gt;='1-Input'!$C$12,'1-Input'!$B$12,0))))*(1/(1-'P-Parametri'!$B$6*B213))+MIN(MAX(0,G212-(MAX(0,B176-IF($A213&gt;='1-Input'!$C$12,'1-Input'!$B$12,0))-MIN(MAX(F212,0),MAX(0,B176-IF($A213&gt;='1-Input'!$C$12,'1-Input'!$B$12,0))))*(1/(1-'P-Parametri'!$B$6*B213))),MAX(0,1*B176-(F212-MIN(MAX(F212,0),MAX(0,B176-IF($A213&gt;='1-Input'!$C$12,'1-Input'!$B$12,0)))))*(1/(1-'P-Parametri'!$B$6*B213))))</f>
        <v>6618.2644543495062</v>
      </c>
      <c r="D213" s="18">
        <f>IF($A213&gt;'1-Input'!$B$26,F212,(F212-MAX(0,B176-IF($A213&gt;='1-Input'!$C$12,'1-Input'!$B$12,0))+C213*(1-'P-Parametri'!$B$6*B213))*(1+'1-Input'!$B$27))</f>
        <v>16621.00351549315</v>
      </c>
      <c r="E213" s="18">
        <f>IF($A213&gt;'1-Input'!$B$26,G212,(G212-C213)*(1+$B$4))</f>
        <v>61271.643609157691</v>
      </c>
      <c r="F213" s="18">
        <f>IF($A213&gt;'1-Input'!$B$26,D213,D213-'P-Parametri'!$B$8*(E213+D213)+MIN(MAX(E213,0),'P-Parametri'!$B$8*(E213+D213)))</f>
        <v>16621.00351549315</v>
      </c>
      <c r="G213" s="18">
        <f>IF($A213&gt;'1-Input'!$B$26,E213,E213-MIN(MAX(E213,0),'P-Parametri'!$B$8*(E213+D213)))</f>
        <v>61115.858314908386</v>
      </c>
      <c r="H213" s="18">
        <f>IF($A213&gt;'1-Input'!$B$26,H212,H212-C213*(1-B213))</f>
        <v>25888.482183851022</v>
      </c>
      <c r="I213" s="11">
        <f>IF($A213&gt;'1-Input'!$B$26,0,IF(N212&lt;=0,0,MAX(0,(N212-O212)/N212)))</f>
        <v>0</v>
      </c>
      <c r="J213" s="18">
        <f>IF($A213&gt;'1-Input'!$B$26,0,(MAX(0,I176-IF($A213&gt;='1-Input'!$C$12,'1-Input'!$B$12,0))-MIN(MAX(M212,0),MAX(0,I176-IF($A213&gt;='1-Input'!$C$12,'1-Input'!$B$12,0))))*(1/(1-'P-Parametri'!$B$6*I213))+MIN(MAX(0,N212-(MAX(0,I176-IF($A213&gt;='1-Input'!$C$12,'1-Input'!$B$12,0))-MIN(MAX(M212,0),MAX(0,I176-IF($A213&gt;='1-Input'!$C$12,'1-Input'!$B$12,0))))*(1/(1-'P-Parametri'!$B$6*I213))),MAX(0,1*I176-(M212-MIN(MAX(M212,0),MAX(0,I176-IF($A213&gt;='1-Input'!$C$12,'1-Input'!$B$12,0)))))*(1/(1-'P-Parametri'!$B$6*I213))))</f>
        <v>10846.756992928691</v>
      </c>
      <c r="K213" s="18">
        <f>IF($A213&gt;'1-Input'!$B$26,M212,(M212-MAX(0,I176-IF($A213&gt;='1-Input'!$C$12,'1-Input'!$B$12,0))+J213*(1-'P-Parametri'!$B$6*I213))*(1+'1-Input'!$B$27))</f>
        <v>0</v>
      </c>
      <c r="L213" s="18">
        <f>IF($A213&gt;'1-Input'!$B$26,N212,(N212-J213)*(1+$B$4))</f>
        <v>-176571.46151939954</v>
      </c>
      <c r="M213" s="18">
        <f>IF($A213&gt;'1-Input'!$B$26,K213,K213-'P-Parametri'!$B$8*(L213+K213)+MIN(MAX(L213,0),'P-Parametri'!$B$8*(L213+K213)))</f>
        <v>0</v>
      </c>
      <c r="N213" s="18">
        <f>IF($A213&gt;'1-Input'!$B$26,L213,L213-MIN(MAX(L213,0),'P-Parametri'!$B$8*(L213+K213)))</f>
        <v>-176218.31859636074</v>
      </c>
      <c r="O213" s="18">
        <f>IF($A213&gt;'1-Input'!$B$26,O212,O212-J213*(1-I213))</f>
        <v>-153590.91371373966</v>
      </c>
      <c r="P213" s="11">
        <f>IF($A213&gt;'1-Input'!$B$26,0,IF(U212&lt;=0,0,MAX(0,(U212-V212)/U212)))</f>
        <v>0.56867886848628546</v>
      </c>
      <c r="Q213" s="18">
        <f>IF($A213&gt;'1-Input'!$B$26,0,(MAX(0,P176-IF($A213&gt;='1-Input'!$C$12,'1-Input'!$B$12,0))-MIN(MAX(T212,0),MAX(0,P176-IF($A213&gt;='1-Input'!$C$12,'1-Input'!$B$12,0))))*(1/(1-'P-Parametri'!$B$6*P213))+MIN(MAX(0,U212-(MAX(0,P176-IF($A213&gt;='1-Input'!$C$12,'1-Input'!$B$12,0))-MIN(MAX(T212,0),MAX(0,P176-IF($A213&gt;='1-Input'!$C$12,'1-Input'!$B$12,0))))*(1/(1-'P-Parametri'!$B$6*P213))),MAX(0,1*P176-(T212-MIN(MAX(T212,0),MAX(0,P176-IF($A213&gt;='1-Input'!$C$12,'1-Input'!$B$12,0)))))*(1/(1-'P-Parametri'!$B$6*P213))))</f>
        <v>6897.1990568353467</v>
      </c>
      <c r="R213" s="18">
        <f>IF($A213&gt;'1-Input'!$B$26,T212,(T212-MAX(0,P176-IF($A213&gt;='1-Input'!$C$12,'1-Input'!$B$12,0))+Q213*(1-'P-Parametri'!$B$6*P213))*(1+'1-Input'!$B$27))</f>
        <v>16857.590128083153</v>
      </c>
      <c r="S213" s="18">
        <f>IF($A213&gt;'1-Input'!$B$26,U212,(U212-Q213)*(1+$B$4))</f>
        <v>47776.654583688171</v>
      </c>
      <c r="T213" s="18">
        <f>IF($A213&gt;'1-Input'!$B$26,R213,R213-'P-Parametri'!$B$8*(S213+R213)+MIN(MAX(S213,0),'P-Parametri'!$B$8*(S213+R213)))</f>
        <v>16857.590128083153</v>
      </c>
      <c r="U213" s="18">
        <f>IF($A213&gt;'1-Input'!$B$26,S213,S213-MIN(MAX(S213,0),'P-Parametri'!$B$8*(S213+R213)))</f>
        <v>47647.386094264628</v>
      </c>
      <c r="V213" s="18">
        <f>IF($A213&gt;'1-Input'!$B$26,V212,V212-Q213*(1-P213))</f>
        <v>20203.020308800271</v>
      </c>
      <c r="W213" s="11">
        <f>IF($A213&gt;'1-Input'!$B$26,0,IF(AB212&lt;=0,0,MAX(0,(AB212-AC212)/AB212)))</f>
        <v>0.56866625789327208</v>
      </c>
      <c r="X213" s="18">
        <f>IF($A213&gt;'1-Input'!$B$26,0,(MAX(0,W176-IF($A213&gt;='1-Input'!$C$12,'1-Input'!$B$12,0))-MIN(MAX(AA212,0),MAX(0,W176-IF($A213&gt;='1-Input'!$C$12,'1-Input'!$B$12,0))))*(1/(1-'P-Parametri'!$B$6*W213))+MIN(MAX(0,AB212-(MAX(0,W176-IF($A213&gt;='1-Input'!$C$12,'1-Input'!$B$12,0))-MIN(MAX(AA212,0),MAX(0,W176-IF($A213&gt;='1-Input'!$C$12,'1-Input'!$B$12,0))))*(1/(1-'P-Parametri'!$B$6*W213))),MAX(0,1*W176-(AA212-MIN(MAX(AA212,0),MAX(0,W176-IF($A213&gt;='1-Input'!$C$12,'1-Input'!$B$12,0)))))*(1/(1-'P-Parametri'!$B$6*W213))))</f>
        <v>6905.9119782012649</v>
      </c>
      <c r="Y213" s="18">
        <f>IF($A213&gt;'1-Input'!$B$26,AA212,(AA212-MAX(0,W176-IF($A213&gt;='1-Input'!$C$12,'1-Input'!$B$12,0))+X213*(1-'P-Parametri'!$B$6*W213))*(1+'1-Input'!$B$27))</f>
        <v>16864.984001895245</v>
      </c>
      <c r="Z213" s="18">
        <f>IF($A213&gt;'1-Input'!$B$26,AB212,(AB212-X213)*(1+$B$4))</f>
        <v>47354.929805730302</v>
      </c>
      <c r="AA213" s="18">
        <f>IF($A213&gt;'1-Input'!$B$26,Y213,Y213-'P-Parametri'!$B$8*(Z213+Y213)+MIN(MAX(Z213,0),'P-Parametri'!$B$8*(Z213+Y213)))</f>
        <v>16864.984001895245</v>
      </c>
      <c r="AB213" s="18">
        <f>IF($A213&gt;'1-Input'!$B$26,Z213,Z213-MIN(MAX(Z213,0),'P-Parametri'!$B$8*(Z213+Y213)))</f>
        <v>47226.489978115053</v>
      </c>
      <c r="AC213" s="18">
        <f>IF($A213&gt;'1-Input'!$B$26,AC212,AC212-X213*(1-W213))</f>
        <v>20025.273608144194</v>
      </c>
      <c r="AD213" s="11">
        <f>IF($A213&gt;'1-Input'!$B$26,0,IF(AI212&lt;=0,0,MAX(0,(AI212-AJ212)/AI212)))</f>
        <v>0.56866553670889597</v>
      </c>
      <c r="AE213" s="18">
        <f>IF($A213&gt;'1-Input'!$B$26,0,(MAX(0,AD176-IF($A213&gt;='1-Input'!$C$12,'1-Input'!$B$12,0))-MIN(MAX(AH212,0),MAX(0,AD176-IF($A213&gt;='1-Input'!$C$12,'1-Input'!$B$12,0))))*(1/(1-'P-Parametri'!$B$6*AD213))+MIN(MAX(0,AI212-(MAX(0,AD176-IF($A213&gt;='1-Input'!$C$12,'1-Input'!$B$12,0))-MIN(MAX(AH212,0),MAX(0,AD176-IF($A213&gt;='1-Input'!$C$12,'1-Input'!$B$12,0))))*(1/(1-'P-Parametri'!$B$6*AD213))),MAX(0,1*AD176-(AH212-MIN(MAX(AH212,0),MAX(0,AD176-IF($A213&gt;='1-Input'!$C$12,'1-Input'!$B$12,0)))))*(1/(1-'P-Parametri'!$B$6*AD213))))</f>
        <v>6906.4078007931348</v>
      </c>
      <c r="AF213" s="18">
        <f>IF($A213&gt;'1-Input'!$B$26,AH212,(AH212-MAX(0,AD176-IF($A213&gt;='1-Input'!$C$12,'1-Input'!$B$12,0))+AE213*(1-'P-Parametri'!$B$6*AD213))*(1+'1-Input'!$B$27))</f>
        <v>16865.404770046734</v>
      </c>
      <c r="AG213" s="18">
        <f>IF($A213&gt;'1-Input'!$B$26,AI212,(AI212-AE213)*(1+$B$4))</f>
        <v>47330.930479794915</v>
      </c>
      <c r="AH213" s="18">
        <f>IF($A213&gt;'1-Input'!$B$26,AF213,AF213-'P-Parametri'!$B$8*(AG213+AF213)+MIN(MAX(AG213,0),'P-Parametri'!$B$8*(AG213+AF213)))</f>
        <v>16865.404770046734</v>
      </c>
      <c r="AI213" s="18">
        <f>IF($A213&gt;'1-Input'!$B$26,AG213,AG213-MIN(MAX(AG213,0),'P-Parametri'!$B$8*(AG213+AF213)))</f>
        <v>47202.537809295231</v>
      </c>
      <c r="AJ213" s="18">
        <f>IF($A213&gt;'1-Input'!$B$26,AJ212,AJ212-AE213*(1-AD213))</f>
        <v>20015.15832899107</v>
      </c>
      <c r="AK213" s="11">
        <f>IF($A213&gt;'1-Input'!$B$26,0,IF(AP212&lt;=0,0,MAX(0,(AP212-AQ212)/AP212)))</f>
        <v>0.56866553670780284</v>
      </c>
      <c r="AL213" s="18">
        <f>IF($A213&gt;'1-Input'!$B$26,0,(MAX(0,AK176-IF($A213&gt;='1-Input'!$C$12,'1-Input'!$B$12,0))-MIN(MAX(AO212,0),MAX(0,AK176-IF($A213&gt;='1-Input'!$C$12,'1-Input'!$B$12,0))))*(1/(1-'P-Parametri'!$B$6*AK213))+MIN(MAX(0,AP212-(MAX(0,AK176-IF($A213&gt;='1-Input'!$C$12,'1-Input'!$B$12,0))-MIN(MAX(AO212,0),MAX(0,AK176-IF($A213&gt;='1-Input'!$C$12,'1-Input'!$B$12,0))))*(1/(1-'P-Parametri'!$B$6*AK213))),MAX(0,1*AK176-(AO212-MIN(MAX(AO212,0),MAX(0,AK176-IF($A213&gt;='1-Input'!$C$12,'1-Input'!$B$12,0)))))*(1/(1-'P-Parametri'!$B$6*AK213))))</f>
        <v>6906.4078015445739</v>
      </c>
      <c r="AM213" s="18">
        <f>IF($A213&gt;'1-Input'!$B$26,AO212,(AO212-MAX(0,AK176-IF($A213&gt;='1-Input'!$C$12,'1-Input'!$B$12,0))+AL213*(1-'P-Parametri'!$B$6*AK213))*(1+'1-Input'!$B$27))</f>
        <v>16865.404770684429</v>
      </c>
      <c r="AN213" s="18">
        <f>IF($A213&gt;'1-Input'!$B$26,AP212,(AP212-AL213)*(1+$B$4))</f>
        <v>47330.930443422803</v>
      </c>
      <c r="AO213" s="18">
        <f>IF($A213&gt;'1-Input'!$B$26,AM213,AM213-'P-Parametri'!$B$8*(AN213+AM213)+MIN(MAX(AN213,0),'P-Parametri'!$B$8*(AN213+AM213)))</f>
        <v>16865.404770684429</v>
      </c>
      <c r="AP213" s="18">
        <f>IF($A213&gt;'1-Input'!$B$26,AN213,AN213-MIN(MAX(AN213,0),'P-Parametri'!$B$8*(AN213+AM213)))</f>
        <v>47202.53777299459</v>
      </c>
      <c r="AQ213" s="18">
        <f>IF($A213&gt;'1-Input'!$B$26,AQ212,AQ212-AL213*(1-AK213))</f>
        <v>20015.158313660871</v>
      </c>
    </row>
    <row r="214" spans="1:43">
      <c r="A214" s="10">
        <f>36</f>
        <v>36</v>
      </c>
      <c r="B214" s="11">
        <f>IF($A214&gt;'1-Input'!$B$26,0,IF(G213&lt;=0,0,MAX(0,(G213-H213)/G213)))</f>
        <v>0.57640319717908828</v>
      </c>
      <c r="C214" s="18">
        <f>IF($A214&gt;'1-Input'!$B$26,0,(MAX(0,B176-IF($A214&gt;='1-Input'!$C$12,'1-Input'!$B$12,0))-MIN(MAX(F213,0),MAX(0,B176-IF($A214&gt;='1-Input'!$C$12,'1-Input'!$B$12,0))))*(1/(1-'P-Parametri'!$B$6*B214))+MIN(MAX(0,G213-(MAX(0,B176-IF($A214&gt;='1-Input'!$C$12,'1-Input'!$B$12,0))-MIN(MAX(F213,0),MAX(0,B176-IF($A214&gt;='1-Input'!$C$12,'1-Input'!$B$12,0))))*(1/(1-'P-Parametri'!$B$6*B214))),MAX(0,1*B176-(F213-MIN(MAX(F213,0),MAX(0,B176-IF($A214&gt;='1-Input'!$C$12,'1-Input'!$B$12,0)))))*(1/(1-'P-Parametri'!$B$6*B214))))</f>
        <v>6633.1888400285879</v>
      </c>
      <c r="D214" s="18">
        <f>IF($A214&gt;'1-Input'!$B$26,F213,(F213-MAX(0,B176-IF($A214&gt;='1-Input'!$C$12,'1-Input'!$B$12,0))+C214*(1-'P-Parametri'!$B$6*B214))*(1+'1-Input'!$B$27))</f>
        <v>16621.00351549315</v>
      </c>
      <c r="E214" s="18">
        <f>IF($A214&gt;'1-Input'!$B$26,G213,(G213-C214)*(1+$B$4))</f>
        <v>55572.322864377391</v>
      </c>
      <c r="F214" s="18">
        <f>IF($A214&gt;'1-Input'!$B$26,D214,D214-'P-Parametri'!$B$8*(E214+D214)+MIN(MAX(E214,0),'P-Parametri'!$B$8*(E214+D214)))</f>
        <v>16621.00351549315</v>
      </c>
      <c r="G214" s="18">
        <f>IF($A214&gt;'1-Input'!$B$26,E214,E214-MIN(MAX(E214,0),'P-Parametri'!$B$8*(E214+D214)))</f>
        <v>55427.936211617649</v>
      </c>
      <c r="H214" s="18">
        <f>IF($A214&gt;'1-Input'!$B$26,H213,H213-C214*(1-B214))</f>
        <v>23078.684598707558</v>
      </c>
      <c r="I214" s="11">
        <f>IF($A214&gt;'1-Input'!$B$26,0,IF(N213&lt;=0,0,MAX(0,(N213-O213)/N213)))</f>
        <v>0</v>
      </c>
      <c r="J214" s="18">
        <f>IF($A214&gt;'1-Input'!$B$26,0,(MAX(0,I176-IF($A214&gt;='1-Input'!$C$12,'1-Input'!$B$12,0))-MIN(MAX(M213,0),MAX(0,I176-IF($A214&gt;='1-Input'!$C$12,'1-Input'!$B$12,0))))*(1/(1-'P-Parametri'!$B$6*I214))+MIN(MAX(0,N213-(MAX(0,I176-IF($A214&gt;='1-Input'!$C$12,'1-Input'!$B$12,0))-MIN(MAX(M213,0),MAX(0,I176-IF($A214&gt;='1-Input'!$C$12,'1-Input'!$B$12,0))))*(1/(1-'P-Parametri'!$B$6*I214))),MAX(0,1*I176-(M213-MIN(MAX(M213,0),MAX(0,I176-IF($A214&gt;='1-Input'!$C$12,'1-Input'!$B$12,0)))))*(1/(1-'P-Parametri'!$B$6*I214))))</f>
        <v>10846.756992928691</v>
      </c>
      <c r="K214" s="18">
        <f>IF($A214&gt;'1-Input'!$B$26,M213,(M213-MAX(0,I176-IF($A214&gt;='1-Input'!$C$12,'1-Input'!$B$12,0))+J214*(1-'P-Parametri'!$B$6*I214))*(1+'1-Input'!$B$27))</f>
        <v>0</v>
      </c>
      <c r="L214" s="18">
        <f>IF($A214&gt;'1-Input'!$B$26,N213,(N213-J214)*(1+$B$4))</f>
        <v>-190806.37710107522</v>
      </c>
      <c r="M214" s="18">
        <f>IF($A214&gt;'1-Input'!$B$26,K214,K214-'P-Parametri'!$B$8*(L214+K214)+MIN(MAX(L214,0),'P-Parametri'!$B$8*(L214+K214)))</f>
        <v>0</v>
      </c>
      <c r="N214" s="18">
        <f>IF($A214&gt;'1-Input'!$B$26,L214,L214-MIN(MAX(L214,0),'P-Parametri'!$B$8*(L214+K214)))</f>
        <v>-190424.76434687307</v>
      </c>
      <c r="O214" s="18">
        <f>IF($A214&gt;'1-Input'!$B$26,O213,O213-J214*(1-I214))</f>
        <v>-164437.67070666834</v>
      </c>
      <c r="P214" s="11">
        <f>IF($A214&gt;'1-Input'!$B$26,0,IF(U213&lt;=0,0,MAX(0,(U213-V213)/U213)))</f>
        <v>0.57598890590071361</v>
      </c>
      <c r="Q214" s="18">
        <f>IF($A214&gt;'1-Input'!$B$26,0,(MAX(0,P176-IF($A214&gt;='1-Input'!$C$12,'1-Input'!$B$12,0))-MIN(MAX(T213,0),MAX(0,P176-IF($A214&gt;='1-Input'!$C$12,'1-Input'!$B$12,0))))*(1/(1-'P-Parametri'!$B$6*P214))+MIN(MAX(0,U213-(MAX(0,P176-IF($A214&gt;='1-Input'!$C$12,'1-Input'!$B$12,0))-MIN(MAX(T213,0),MAX(0,P176-IF($A214&gt;='1-Input'!$C$12,'1-Input'!$B$12,0))))*(1/(1-'P-Parametri'!$B$6*P214))),MAX(0,1*P176-(T213-MIN(MAX(T213,0),MAX(0,P176-IF($A214&gt;='1-Input'!$C$12,'1-Input'!$B$12,0)))))*(1/(1-'P-Parametri'!$B$6*P214))))</f>
        <v>6912.6168672765307</v>
      </c>
      <c r="R214" s="18">
        <f>IF($A214&gt;'1-Input'!$B$26,T213,(T213-MAX(0,P176-IF($A214&gt;='1-Input'!$C$12,'1-Input'!$B$12,0))+Q214*(1-'P-Parametri'!$B$6*P214))*(1+'1-Input'!$B$27))</f>
        <v>16857.590128083153</v>
      </c>
      <c r="S214" s="18">
        <f>IF($A214&gt;'1-Input'!$B$26,U213,(U213-Q214)*(1+$B$4))</f>
        <v>41549.464611527859</v>
      </c>
      <c r="T214" s="18">
        <f>IF($A214&gt;'1-Input'!$B$26,R214,R214-'P-Parametri'!$B$8*(S214+R214)+MIN(MAX(S214,0),'P-Parametri'!$B$8*(S214+R214)))</f>
        <v>16857.590128083153</v>
      </c>
      <c r="U214" s="18">
        <f>IF($A214&gt;'1-Input'!$B$26,S214,S214-MIN(MAX(S214,0),'P-Parametri'!$B$8*(S214+R214)))</f>
        <v>41432.650502048637</v>
      </c>
      <c r="V214" s="18">
        <f>IF($A214&gt;'1-Input'!$B$26,V213,V213-Q214*(1-P214))</f>
        <v>17271.994067817166</v>
      </c>
      <c r="W214" s="11">
        <f>IF($A214&gt;'1-Input'!$B$26,0,IF(AB213&lt;=0,0,MAX(0,(AB213-AC213)/AB213)))</f>
        <v>0.57597370421930605</v>
      </c>
      <c r="X214" s="18">
        <f>IF($A214&gt;'1-Input'!$B$26,0,(MAX(0,W176-IF($A214&gt;='1-Input'!$C$12,'1-Input'!$B$12,0))-MIN(MAX(AA213,0),MAX(0,W176-IF($A214&gt;='1-Input'!$C$12,'1-Input'!$B$12,0))))*(1/(1-'P-Parametri'!$B$6*W214))+MIN(MAX(0,AB213-(MAX(0,W176-IF($A214&gt;='1-Input'!$C$12,'1-Input'!$B$12,0))-MIN(MAX(AA213,0),MAX(0,W176-IF($A214&gt;='1-Input'!$C$12,'1-Input'!$B$12,0))))*(1/(1-'P-Parametri'!$B$6*W214))),MAX(0,1*W176-(AA213-MIN(MAX(AA213,0),MAX(0,W176-IF($A214&gt;='1-Input'!$C$12,'1-Input'!$B$12,0)))))*(1/(1-'P-Parametri'!$B$6*W214))))</f>
        <v>6921.3437216902248</v>
      </c>
      <c r="Y214" s="18">
        <f>IF($A214&gt;'1-Input'!$B$26,AA213,(AA213-MAX(0,W176-IF($A214&gt;='1-Input'!$C$12,'1-Input'!$B$12,0))+X214*(1-'P-Parametri'!$B$6*W214))*(1+'1-Input'!$B$27))</f>
        <v>16864.984001895245</v>
      </c>
      <c r="Z214" s="18">
        <f>IF($A214&gt;'1-Input'!$B$26,AB213,(AB213-X214)*(1+$B$4))</f>
        <v>41111.249181553329</v>
      </c>
      <c r="AA214" s="18">
        <f>IF($A214&gt;'1-Input'!$B$26,Y214,Y214-'P-Parametri'!$B$8*(Z214+Y214)+MIN(MAX(Z214,0),'P-Parametri'!$B$8*(Z214+Y214)))</f>
        <v>16864.984001895245</v>
      </c>
      <c r="AB214" s="18">
        <f>IF($A214&gt;'1-Input'!$B$26,Z214,Z214-MIN(MAX(Z214,0),'P-Parametri'!$B$8*(Z214+Y214)))</f>
        <v>40995.296715186429</v>
      </c>
      <c r="AC214" s="18">
        <f>IF($A214&gt;'1-Input'!$B$26,AC213,AC213-X214*(1-W214))</f>
        <v>17090.441868010927</v>
      </c>
      <c r="AD214" s="11">
        <f>IF($A214&gt;'1-Input'!$B$26,0,IF(AI213&lt;=0,0,MAX(0,(AI213-AJ213)/AI213)))</f>
        <v>0.57597283413330291</v>
      </c>
      <c r="AE214" s="18">
        <f>IF($A214&gt;'1-Input'!$B$26,0,(MAX(0,AD176-IF($A214&gt;='1-Input'!$C$12,'1-Input'!$B$12,0))-MIN(MAX(AH213,0),MAX(0,AD176-IF($A214&gt;='1-Input'!$C$12,'1-Input'!$B$12,0))))*(1/(1-'P-Parametri'!$B$6*AD214))+MIN(MAX(0,AI213-(MAX(0,AD176-IF($A214&gt;='1-Input'!$C$12,'1-Input'!$B$12,0))-MIN(MAX(AH213,0),MAX(0,AD176-IF($A214&gt;='1-Input'!$C$12,'1-Input'!$B$12,0))))*(1/(1-'P-Parametri'!$B$6*AD214))),MAX(0,1*AD176-(AH213-MIN(MAX(AH213,0),MAX(0,AD176-IF($A214&gt;='1-Input'!$C$12,'1-Input'!$B$12,0)))))*(1/(1-'P-Parametri'!$B$6*AD214))))</f>
        <v>6921.8403336557294</v>
      </c>
      <c r="AF214" s="18">
        <f>IF($A214&gt;'1-Input'!$B$26,AH213,(AH213-MAX(0,AD176-IF($A214&gt;='1-Input'!$C$12,'1-Input'!$B$12,0))+AE214*(1-'P-Parametri'!$B$6*AD214))*(1+'1-Input'!$B$27))</f>
        <v>16865.404770046734</v>
      </c>
      <c r="AG214" s="18">
        <f>IF($A214&gt;'1-Input'!$B$26,AI213,(AI213-AE214)*(1+$B$4))</f>
        <v>41086.311425152293</v>
      </c>
      <c r="AH214" s="18">
        <f>IF($A214&gt;'1-Input'!$B$26,AF214,AF214-'P-Parametri'!$B$8*(AG214+AF214)+MIN(MAX(AG214,0),'P-Parametri'!$B$8*(AG214+AF214)))</f>
        <v>16865.404770046734</v>
      </c>
      <c r="AI214" s="18">
        <f>IF($A214&gt;'1-Input'!$B$26,AG214,AG214-MIN(MAX(AG214,0),'P-Parametri'!$B$8*(AG214+AF214)))</f>
        <v>40970.407992761895</v>
      </c>
      <c r="AJ214" s="18">
        <f>IF($A214&gt;'1-Input'!$B$26,AJ213,AJ213-AE214*(1-AD214))</f>
        <v>17080.109989729237</v>
      </c>
      <c r="AK214" s="11">
        <f>IF($A214&gt;'1-Input'!$B$26,0,IF(AP213&lt;=0,0,MAX(0,(AP213-AQ213)/AP213)))</f>
        <v>0.57597283413198397</v>
      </c>
      <c r="AL214" s="18">
        <f>IF($A214&gt;'1-Input'!$B$26,0,(MAX(0,AK176-IF($A214&gt;='1-Input'!$C$12,'1-Input'!$B$12,0))-MIN(MAX(AO213,0),MAX(0,AK176-IF($A214&gt;='1-Input'!$C$12,'1-Input'!$B$12,0))))*(1/(1-'P-Parametri'!$B$6*AK214))+MIN(MAX(0,AP213-(MAX(0,AK176-IF($A214&gt;='1-Input'!$C$12,'1-Input'!$B$12,0))-MIN(MAX(AO213,0),MAX(0,AK176-IF($A214&gt;='1-Input'!$C$12,'1-Input'!$B$12,0))))*(1/(1-'P-Parametri'!$B$6*AK214))),MAX(0,1*AK176-(AO213-MIN(MAX(AO213,0),MAX(0,AK176-IF($A214&gt;='1-Input'!$C$12,'1-Input'!$B$12,0)))))*(1/(1-'P-Parametri'!$B$6*AK214))))</f>
        <v>6921.8403344083636</v>
      </c>
      <c r="AM214" s="18">
        <f>IF($A214&gt;'1-Input'!$B$26,AO213,(AO213-MAX(0,AK176-IF($A214&gt;='1-Input'!$C$12,'1-Input'!$B$12,0))+AL214*(1-'P-Parametri'!$B$6*AK214))*(1+'1-Input'!$B$27))</f>
        <v>16865.404770684429</v>
      </c>
      <c r="AN214" s="18">
        <f>IF($A214&gt;'1-Input'!$B$26,AP213,(AP213-AL214)*(1+$B$4))</f>
        <v>41086.31138735795</v>
      </c>
      <c r="AO214" s="18">
        <f>IF($A214&gt;'1-Input'!$B$26,AM214,AM214-'P-Parametri'!$B$8*(AN214+AM214)+MIN(MAX(AN214,0),'P-Parametri'!$B$8*(AN214+AM214)))</f>
        <v>16865.404770684429</v>
      </c>
      <c r="AP214" s="18">
        <f>IF($A214&gt;'1-Input'!$B$26,AN214,AN214-MIN(MAX(AN214,0),'P-Parametri'!$B$8*(AN214+AM214)))</f>
        <v>40970.407955041868</v>
      </c>
      <c r="AQ214" s="18">
        <f>IF($A214&gt;'1-Input'!$B$26,AQ213,AQ213-AL214*(1-AK214))</f>
        <v>17080.109974070772</v>
      </c>
    </row>
    <row r="215" spans="1:43">
      <c r="A215" s="10">
        <f>37</f>
        <v>37</v>
      </c>
      <c r="B215" s="11">
        <f>IF($A215&gt;'1-Input'!$B$26,0,IF(G214&lt;=0,0,MAX(0,(G214-H214)/G214)))</f>
        <v>0.58362720721558659</v>
      </c>
      <c r="C215" s="18">
        <f>IF($A215&gt;'1-Input'!$B$26,0,(MAX(0,B176-IF($A215&gt;='1-Input'!$C$12,'1-Input'!$B$12,0))-MIN(MAX(F214,0),MAX(0,B176-IF($A215&gt;='1-Input'!$C$12,'1-Input'!$B$12,0))))*(1/(1-'P-Parametri'!$B$6*B215))+MIN(MAX(0,G214-(MAX(0,B176-IF($A215&gt;='1-Input'!$C$12,'1-Input'!$B$12,0))-MIN(MAX(F214,0),MAX(0,B176-IF($A215&gt;='1-Input'!$C$12,'1-Input'!$B$12,0))))*(1/(1-'P-Parametri'!$B$6*B215))),MAX(0,1*B176-(F214-MIN(MAX(F214,0),MAX(0,B176-IF($A215&gt;='1-Input'!$C$12,'1-Input'!$B$12,0)))))*(1/(1-'P-Parametri'!$B$6*B215))))</f>
        <v>6647.876297958418</v>
      </c>
      <c r="D215" s="18">
        <f>IF($A215&gt;'1-Input'!$B$26,F214,(F214-MAX(0,B176-IF($A215&gt;='1-Input'!$C$12,'1-Input'!$B$12,0))+C215*(1-'P-Parametri'!$B$6*B215))*(1+'1-Input'!$B$27))</f>
        <v>16621.00351549315</v>
      </c>
      <c r="E215" s="18">
        <f>IF($A215&gt;'1-Input'!$B$26,G214,(G214-C215)*(1+$B$4))</f>
        <v>49755.661111932415</v>
      </c>
      <c r="F215" s="18">
        <f>IF($A215&gt;'1-Input'!$B$26,D215,D215-'P-Parametri'!$B$8*(E215+D215)+MIN(MAX(E215,0),'P-Parametri'!$B$8*(E215+D215)))</f>
        <v>16621.00351549315</v>
      </c>
      <c r="G215" s="18">
        <f>IF($A215&gt;'1-Input'!$B$26,E215,E215-MIN(MAX(E215,0),'P-Parametri'!$B$8*(E215+D215)))</f>
        <v>49622.907782677561</v>
      </c>
      <c r="H215" s="18">
        <f>IF($A215&gt;'1-Input'!$B$26,H214,H214-C215*(1-B215))</f>
        <v>20310.689778441305</v>
      </c>
      <c r="I215" s="11">
        <f>IF($A215&gt;'1-Input'!$B$26,0,IF(N214&lt;=0,0,MAX(0,(N214-O214)/N214)))</f>
        <v>0</v>
      </c>
      <c r="J215" s="18">
        <f>IF($A215&gt;'1-Input'!$B$26,0,(MAX(0,I176-IF($A215&gt;='1-Input'!$C$12,'1-Input'!$B$12,0))-MIN(MAX(M214,0),MAX(0,I176-IF($A215&gt;='1-Input'!$C$12,'1-Input'!$B$12,0))))*(1/(1-'P-Parametri'!$B$6*I215))+MIN(MAX(0,N214-(MAX(0,I176-IF($A215&gt;='1-Input'!$C$12,'1-Input'!$B$12,0))-MIN(MAX(M214,0),MAX(0,I176-IF($A215&gt;='1-Input'!$C$12,'1-Input'!$B$12,0))))*(1/(1-'P-Parametri'!$B$6*I215))),MAX(0,1*I176-(M214-MIN(MAX(M214,0),MAX(0,I176-IF($A215&gt;='1-Input'!$C$12,'1-Input'!$B$12,0)))))*(1/(1-'P-Parametri'!$B$6*I215))))</f>
        <v>10846.756992928691</v>
      </c>
      <c r="K215" s="18">
        <f>IF($A215&gt;'1-Input'!$B$26,M214,(M214-MAX(0,I176-IF($A215&gt;='1-Input'!$C$12,'1-Input'!$B$12,0))+J215*(1-'P-Parametri'!$B$6*I215))*(1+'1-Input'!$B$27))</f>
        <v>0</v>
      </c>
      <c r="L215" s="18">
        <f>IF($A215&gt;'1-Input'!$B$26,N214,(N214-J215)*(1+$B$4))</f>
        <v>-205296.95176659778</v>
      </c>
      <c r="M215" s="18">
        <f>IF($A215&gt;'1-Input'!$B$26,K215,K215-'P-Parametri'!$B$8*(L215+K215)+MIN(MAX(L215,0),'P-Parametri'!$B$8*(L215+K215)))</f>
        <v>0</v>
      </c>
      <c r="N215" s="18">
        <f>IF($A215&gt;'1-Input'!$B$26,L215,L215-MIN(MAX(L215,0),'P-Parametri'!$B$8*(L215+K215)))</f>
        <v>-204886.35786306459</v>
      </c>
      <c r="O215" s="18">
        <f>IF($A215&gt;'1-Input'!$B$26,O214,O214-J215*(1-I215))</f>
        <v>-175284.42769959703</v>
      </c>
      <c r="P215" s="11">
        <f>IF($A215&gt;'1-Input'!$B$26,0,IF(U214&lt;=0,0,MAX(0,(U214-V214)/U214)))</f>
        <v>0.58313084346454847</v>
      </c>
      <c r="Q215" s="18">
        <f>IF($A215&gt;'1-Input'!$B$26,0,(MAX(0,P176-IF($A215&gt;='1-Input'!$C$12,'1-Input'!$B$12,0))-MIN(MAX(T214,0),MAX(0,P176-IF($A215&gt;='1-Input'!$C$12,'1-Input'!$B$12,0))))*(1/(1-'P-Parametri'!$B$6*P215))+MIN(MAX(0,U214-(MAX(0,P176-IF($A215&gt;='1-Input'!$C$12,'1-Input'!$B$12,0))-MIN(MAX(T214,0),MAX(0,P176-IF($A215&gt;='1-Input'!$C$12,'1-Input'!$B$12,0))))*(1/(1-'P-Parametri'!$B$6*P215))),MAX(0,1*P176-(T214-MIN(MAX(T214,0),MAX(0,P176-IF($A215&gt;='1-Input'!$C$12,'1-Input'!$B$12,0)))))*(1/(1-'P-Parametri'!$B$6*P215))))</f>
        <v>6927.7468489003531</v>
      </c>
      <c r="R215" s="18">
        <f>IF($A215&gt;'1-Input'!$B$26,T214,(T214-MAX(0,P176-IF($A215&gt;='1-Input'!$C$12,'1-Input'!$B$12,0))+Q215*(1-'P-Parametri'!$B$6*P215))*(1+'1-Input'!$B$27))</f>
        <v>16857.590128083153</v>
      </c>
      <c r="S215" s="18">
        <f>IF($A215&gt;'1-Input'!$B$26,U214,(U214-Q215)*(1+$B$4))</f>
        <v>35195.001726211252</v>
      </c>
      <c r="T215" s="18">
        <f>IF($A215&gt;'1-Input'!$B$26,R215,R215-'P-Parametri'!$B$8*(S215+R215)+MIN(MAX(S215,0),'P-Parametri'!$B$8*(S215+R215)))</f>
        <v>16857.590128083153</v>
      </c>
      <c r="U215" s="18">
        <f>IF($A215&gt;'1-Input'!$B$26,S215,S215-MIN(MAX(S215,0),'P-Parametri'!$B$8*(S215+R215)))</f>
        <v>35090.896542502662</v>
      </c>
      <c r="V215" s="18">
        <f>IF($A215&gt;'1-Input'!$B$26,V214,V214-Q215*(1-P215))</f>
        <v>14384.030082224945</v>
      </c>
      <c r="W215" s="11">
        <f>IF($A215&gt;'1-Input'!$B$26,0,IF(AB214&lt;=0,0,MAX(0,(AB214-AC214)/AB214)))</f>
        <v>0.5831121314538531</v>
      </c>
      <c r="X215" s="18">
        <f>IF($A215&gt;'1-Input'!$B$26,0,(MAX(0,W176-IF($A215&gt;='1-Input'!$C$12,'1-Input'!$B$12,0))-MIN(MAX(AA214,0),MAX(0,W176-IF($A215&gt;='1-Input'!$C$12,'1-Input'!$B$12,0))))*(1/(1-'P-Parametri'!$B$6*W215))+MIN(MAX(0,AB214-(MAX(0,W176-IF($A215&gt;='1-Input'!$C$12,'1-Input'!$B$12,0))-MIN(MAX(AA214,0),MAX(0,W176-IF($A215&gt;='1-Input'!$C$12,'1-Input'!$B$12,0))))*(1/(1-'P-Parametri'!$B$6*W215))),MAX(0,1*W176-(AA214-MIN(MAX(AA214,0),MAX(0,W176-IF($A215&gt;='1-Input'!$C$12,'1-Input'!$B$12,0)))))*(1/(1-'P-Parametri'!$B$6*W215))))</f>
        <v>6936.4852714595681</v>
      </c>
      <c r="Y215" s="18">
        <f>IF($A215&gt;'1-Input'!$B$26,AA214,(AA214-MAX(0,W176-IF($A215&gt;='1-Input'!$C$12,'1-Input'!$B$12,0))+X215*(1-'P-Parametri'!$B$6*W215))*(1+'1-Input'!$B$27))</f>
        <v>16864.984001895245</v>
      </c>
      <c r="Z215" s="18">
        <f>IF($A215&gt;'1-Input'!$B$26,AB214,(AB214-X215)*(1+$B$4))</f>
        <v>34739.987672601397</v>
      </c>
      <c r="AA215" s="18">
        <f>IF($A215&gt;'1-Input'!$B$26,Y215,Y215-'P-Parametri'!$B$8*(Z215+Y215)+MIN(MAX(Z215,0),'P-Parametri'!$B$8*(Z215+Y215)))</f>
        <v>16864.984001895245</v>
      </c>
      <c r="AB215" s="18">
        <f>IF($A215&gt;'1-Input'!$B$26,Z215,Z215-MIN(MAX(Z215,0),'P-Parametri'!$B$8*(Z215+Y215)))</f>
        <v>34636.777729252404</v>
      </c>
      <c r="AC215" s="18">
        <f>IF($A215&gt;'1-Input'!$B$26,AC214,AC214-X215*(1-W215))</f>
        <v>14198.705307990405</v>
      </c>
      <c r="AD215" s="11">
        <f>IF($A215&gt;'1-Input'!$B$26,0,IF(AI214&lt;=0,0,MAX(0,(AI214-AJ214)/AI214)))</f>
        <v>0.58311105926143758</v>
      </c>
      <c r="AE215" s="18">
        <f>IF($A215&gt;'1-Input'!$B$26,0,(MAX(0,AD176-IF($A215&gt;='1-Input'!$C$12,'1-Input'!$B$12,0))-MIN(MAX(AH214,0),MAX(0,AD176-IF($A215&gt;='1-Input'!$C$12,'1-Input'!$B$12,0))))*(1/(1-'P-Parametri'!$B$6*AD215))+MIN(MAX(0,AI214-(MAX(0,AD176-IF($A215&gt;='1-Input'!$C$12,'1-Input'!$B$12,0))-MIN(MAX(AH214,0),MAX(0,AD176-IF($A215&gt;='1-Input'!$C$12,'1-Input'!$B$12,0))))*(1/(1-'P-Parametri'!$B$6*AD215))),MAX(0,1*AD176-(AH214-MIN(MAX(AH214,0),MAX(0,AD176-IF($A215&gt;='1-Input'!$C$12,'1-Input'!$B$12,0)))))*(1/(1-'P-Parametri'!$B$6*AD215))))</f>
        <v>6936.9825361426583</v>
      </c>
      <c r="AF215" s="18">
        <f>IF($A215&gt;'1-Input'!$B$26,AH214,(AH214-MAX(0,AD176-IF($A215&gt;='1-Input'!$C$12,'1-Input'!$B$12,0))+AE215*(1-'P-Parametri'!$B$6*AD215))*(1+'1-Input'!$B$27))</f>
        <v>16865.404770046734</v>
      </c>
      <c r="AG215" s="18">
        <f>IF($A215&gt;'1-Input'!$B$26,AI214,(AI214-AE215)*(1+$B$4))</f>
        <v>34714.093965751628</v>
      </c>
      <c r="AH215" s="18">
        <f>IF($A215&gt;'1-Input'!$B$26,AF215,AF215-'P-Parametri'!$B$8*(AG215+AF215)+MIN(MAX(AG215,0),'P-Parametri'!$B$8*(AG215+AF215)))</f>
        <v>16865.404770046734</v>
      </c>
      <c r="AI215" s="18">
        <f>IF($A215&gt;'1-Input'!$B$26,AG215,AG215-MIN(MAX(AG215,0),'P-Parametri'!$B$8*(AG215+AF215)))</f>
        <v>34610.934968280031</v>
      </c>
      <c r="AJ215" s="18">
        <f>IF($A215&gt;'1-Input'!$B$26,AJ214,AJ214-AE215*(1-AD215))</f>
        <v>14188.158688314817</v>
      </c>
      <c r="AK215" s="11">
        <f>IF($A215&gt;'1-Input'!$B$26,0,IF(AP214&lt;=0,0,MAX(0,(AP214-AQ214)/AP214)))</f>
        <v>0.5831110592598121</v>
      </c>
      <c r="AL215" s="18">
        <f>IF($A215&gt;'1-Input'!$B$26,0,(MAX(0,AK176-IF($A215&gt;='1-Input'!$C$12,'1-Input'!$B$12,0))-MIN(MAX(AO214,0),MAX(0,AK176-IF($A215&gt;='1-Input'!$C$12,'1-Input'!$B$12,0))))*(1/(1-'P-Parametri'!$B$6*AK215))+MIN(MAX(0,AP214-(MAX(0,AK176-IF($A215&gt;='1-Input'!$C$12,'1-Input'!$B$12,0))-MIN(MAX(AO214,0),MAX(0,AK176-IF($A215&gt;='1-Input'!$C$12,'1-Input'!$B$12,0))))*(1/(1-'P-Parametri'!$B$6*AK215))),MAX(0,1*AK176-(AO214-MIN(MAX(AO214,0),MAX(0,AK176-IF($A215&gt;='1-Input'!$C$12,'1-Input'!$B$12,0)))))*(1/(1-'P-Parametri'!$B$6*AK215))))</f>
        <v>6936.9825368962829</v>
      </c>
      <c r="AM215" s="18">
        <f>IF($A215&gt;'1-Input'!$B$26,AO214,(AO214-MAX(0,AK176-IF($A215&gt;='1-Input'!$C$12,'1-Input'!$B$12,0))+AL215*(1-'P-Parametri'!$B$6*AK215))*(1+'1-Input'!$B$27))</f>
        <v>16865.404770684429</v>
      </c>
      <c r="AN215" s="18">
        <f>IF($A215&gt;'1-Input'!$B$26,AP214,(AP214-AL215)*(1+$B$4))</f>
        <v>34714.093926508496</v>
      </c>
      <c r="AO215" s="18">
        <f>IF($A215&gt;'1-Input'!$B$26,AM215,AM215-'P-Parametri'!$B$8*(AN215+AM215)+MIN(MAX(AN215,0),'P-Parametri'!$B$8*(AN215+AM215)))</f>
        <v>16865.404770684429</v>
      </c>
      <c r="AP215" s="18">
        <f>IF($A215&gt;'1-Input'!$B$26,AN215,AN215-MIN(MAX(AN215,0),'P-Parametri'!$B$8*(AN215+AM215)))</f>
        <v>34610.934929114112</v>
      </c>
      <c r="AQ215" s="18">
        <f>IF($A215&gt;'1-Input'!$B$26,AQ214,AQ214-AL215*(1-AK215))</f>
        <v>14188.158672330899</v>
      </c>
    </row>
    <row r="216" spans="1:43">
      <c r="A216" s="10">
        <f>38</f>
        <v>38</v>
      </c>
      <c r="B216" s="11">
        <f>IF($A216&gt;'1-Input'!$B$26,0,IF(G215&lt;=0,0,MAX(0,(G215-H215)/G215)))</f>
        <v>0.5906993224300453</v>
      </c>
      <c r="C216" s="18">
        <f>IF($A216&gt;'1-Input'!$B$26,0,(MAX(0,B176-IF($A216&gt;='1-Input'!$C$12,'1-Input'!$B$12,0))-MIN(MAX(F215,0),MAX(0,B176-IF($A216&gt;='1-Input'!$C$12,'1-Input'!$B$12,0))))*(1/(1-'P-Parametri'!$B$6*B216))+MIN(MAX(0,G215-(MAX(0,B176-IF($A216&gt;='1-Input'!$C$12,'1-Input'!$B$12,0))-MIN(MAX(F215,0),MAX(0,B176-IF($A216&gt;='1-Input'!$C$12,'1-Input'!$B$12,0))))*(1/(1-'P-Parametri'!$B$6*B216))),MAX(0,1*B176-(F215-MIN(MAX(F215,0),MAX(0,B176-IF($A216&gt;='1-Input'!$C$12,'1-Input'!$B$12,0)))))*(1/(1-'P-Parametri'!$B$6*B216))))</f>
        <v>6662.3180746037424</v>
      </c>
      <c r="D216" s="18">
        <f>IF($A216&gt;'1-Input'!$B$26,F215,(F215-MAX(0,B176-IF($A216&gt;='1-Input'!$C$12,'1-Input'!$B$12,0))+C216*(1-'P-Parametri'!$B$6*B216))*(1+'1-Input'!$B$27))</f>
        <v>16621.00351549315</v>
      </c>
      <c r="E216" s="18">
        <f>IF($A216&gt;'1-Input'!$B$26,G215,(G215-C216)*(1+$B$4))</f>
        <v>43819.801502235299</v>
      </c>
      <c r="F216" s="18">
        <f>IF($A216&gt;'1-Input'!$B$26,D216,D216-'P-Parametri'!$B$8*(E216+D216)+MIN(MAX(E216,0),'P-Parametri'!$B$8*(E216+D216)))</f>
        <v>16621.00351549315</v>
      </c>
      <c r="G216" s="18">
        <f>IF($A216&gt;'1-Input'!$B$26,E216,E216-MIN(MAX(E216,0),'P-Parametri'!$B$8*(E216+D216)))</f>
        <v>43698.91989219984</v>
      </c>
      <c r="H216" s="18">
        <f>IF($A216&gt;'1-Input'!$B$26,H215,H215-C216*(1-B216))</f>
        <v>17583.798476319436</v>
      </c>
      <c r="I216" s="11">
        <f>IF($A216&gt;'1-Input'!$B$26,0,IF(N215&lt;=0,0,MAX(0,(N215-O215)/N215)))</f>
        <v>0</v>
      </c>
      <c r="J216" s="18">
        <f>IF($A216&gt;'1-Input'!$B$26,0,(MAX(0,I176-IF($A216&gt;='1-Input'!$C$12,'1-Input'!$B$12,0))-MIN(MAX(M215,0),MAX(0,I176-IF($A216&gt;='1-Input'!$C$12,'1-Input'!$B$12,0))))*(1/(1-'P-Parametri'!$B$6*I216))+MIN(MAX(0,N215-(MAX(0,I176-IF($A216&gt;='1-Input'!$C$12,'1-Input'!$B$12,0))-MIN(MAX(M215,0),MAX(0,I176-IF($A216&gt;='1-Input'!$C$12,'1-Input'!$B$12,0))))*(1/(1-'P-Parametri'!$B$6*I216))),MAX(0,1*I176-(M215-MIN(MAX(M215,0),MAX(0,I176-IF($A216&gt;='1-Input'!$C$12,'1-Input'!$B$12,0)))))*(1/(1-'P-Parametri'!$B$6*I216))))</f>
        <v>10846.756992928691</v>
      </c>
      <c r="K216" s="18">
        <f>IF($A216&gt;'1-Input'!$B$26,M215,(M215-MAX(0,I176-IF($A216&gt;='1-Input'!$C$12,'1-Input'!$B$12,0))+J216*(1-'P-Parametri'!$B$6*I216))*(1+'1-Input'!$B$27))</f>
        <v>0</v>
      </c>
      <c r="L216" s="18">
        <f>IF($A216&gt;'1-Input'!$B$26,N215,(N215-J216)*(1+$B$4))</f>
        <v>-220047.77715311316</v>
      </c>
      <c r="M216" s="18">
        <f>IF($A216&gt;'1-Input'!$B$26,K216,K216-'P-Parametri'!$B$8*(L216+K216)+MIN(MAX(L216,0),'P-Parametri'!$B$8*(L216+K216)))</f>
        <v>0</v>
      </c>
      <c r="N216" s="18">
        <f>IF($A216&gt;'1-Input'!$B$26,L216,L216-MIN(MAX(L216,0),'P-Parametri'!$B$8*(L216+K216)))</f>
        <v>-219607.68159880693</v>
      </c>
      <c r="O216" s="18">
        <f>IF($A216&gt;'1-Input'!$B$26,O215,O215-J216*(1-I216))</f>
        <v>-186131.18469252571</v>
      </c>
      <c r="P216" s="11">
        <f>IF($A216&gt;'1-Input'!$B$26,0,IF(U215&lt;=0,0,MAX(0,(U215-V215)/U215)))</f>
        <v>0.59009226040141849</v>
      </c>
      <c r="Q216" s="18">
        <f>IF($A216&gt;'1-Input'!$B$26,0,(MAX(0,P176-IF($A216&gt;='1-Input'!$C$12,'1-Input'!$B$12,0))-MIN(MAX(T215,0),MAX(0,P176-IF($A216&gt;='1-Input'!$C$12,'1-Input'!$B$12,0))))*(1/(1-'P-Parametri'!$B$6*P216))+MIN(MAX(0,U215-(MAX(0,P176-IF($A216&gt;='1-Input'!$C$12,'1-Input'!$B$12,0))-MIN(MAX(T215,0),MAX(0,P176-IF($A216&gt;='1-Input'!$C$12,'1-Input'!$B$12,0))))*(1/(1-'P-Parametri'!$B$6*P216))),MAX(0,1*P176-(T215-MIN(MAX(T215,0),MAX(0,P176-IF($A216&gt;='1-Input'!$C$12,'1-Input'!$B$12,0)))))*(1/(1-'P-Parametri'!$B$6*P216))))</f>
        <v>6942.5582807416013</v>
      </c>
      <c r="R216" s="18">
        <f>IF($A216&gt;'1-Input'!$B$26,T215,(T215-MAX(0,P176-IF($A216&gt;='1-Input'!$C$12,'1-Input'!$B$12,0))+Q216*(1-'P-Parametri'!$B$6*P216))*(1+'1-Input'!$B$27))</f>
        <v>16857.590128083153</v>
      </c>
      <c r="S216" s="18">
        <f>IF($A216&gt;'1-Input'!$B$26,U215,(U215-Q216)*(1+$B$4))</f>
        <v>28711.305026996284</v>
      </c>
      <c r="T216" s="18">
        <f>IF($A216&gt;'1-Input'!$B$26,R216,R216-'P-Parametri'!$B$8*(S216+R216)+MIN(MAX(S216,0),'P-Parametri'!$B$8*(S216+R216)))</f>
        <v>16857.590128083153</v>
      </c>
      <c r="U216" s="18">
        <f>IF($A216&gt;'1-Input'!$B$26,S216,S216-MIN(MAX(S216,0),'P-Parametri'!$B$8*(S216+R216)))</f>
        <v>28620.167236686124</v>
      </c>
      <c r="V216" s="18">
        <f>IF($A216&gt;'1-Input'!$B$26,V215,V215-Q216*(1-P216))</f>
        <v>11538.221710334741</v>
      </c>
      <c r="W216" s="11">
        <f>IF($A216&gt;'1-Input'!$B$26,0,IF(AB215&lt;=0,0,MAX(0,(AB215-AC215)/AB215)))</f>
        <v>0.59006852718869041</v>
      </c>
      <c r="X216" s="18">
        <f>IF($A216&gt;'1-Input'!$B$26,0,(MAX(0,W176-IF($A216&gt;='1-Input'!$C$12,'1-Input'!$B$12,0))-MIN(MAX(AA215,0),MAX(0,W176-IF($A216&gt;='1-Input'!$C$12,'1-Input'!$B$12,0))))*(1/(1-'P-Parametri'!$B$6*W216))+MIN(MAX(0,AB215-(MAX(0,W176-IF($A216&gt;='1-Input'!$C$12,'1-Input'!$B$12,0))-MIN(MAX(AA215,0),MAX(0,W176-IF($A216&gt;='1-Input'!$C$12,'1-Input'!$B$12,0))))*(1/(1-'P-Parametri'!$B$6*W216))),MAX(0,1*W176-(AA215-MIN(MAX(AA215,0),MAX(0,W176-IF($A216&gt;='1-Input'!$C$12,'1-Input'!$B$12,0)))))*(1/(1-'P-Parametri'!$B$6*W216))))</f>
        <v>6951.3045810999192</v>
      </c>
      <c r="Y216" s="18">
        <f>IF($A216&gt;'1-Input'!$B$26,AA215,(AA215-MAX(0,W176-IF($A216&gt;='1-Input'!$C$12,'1-Input'!$B$12,0))+X216*(1-'P-Parametri'!$B$6*W216))*(1+'1-Input'!$B$27))</f>
        <v>16864.984001895245</v>
      </c>
      <c r="Z216" s="18">
        <f>IF($A216&gt;'1-Input'!$B$26,AB215,(AB215-X216)*(1+$B$4))</f>
        <v>28239.182611115539</v>
      </c>
      <c r="AA216" s="18">
        <f>IF($A216&gt;'1-Input'!$B$26,Y216,Y216-'P-Parametri'!$B$8*(Z216+Y216)+MIN(MAX(Z216,0),'P-Parametri'!$B$8*(Z216+Y216)))</f>
        <v>16864.984001895245</v>
      </c>
      <c r="AB216" s="18">
        <f>IF($A216&gt;'1-Input'!$B$26,Z216,Z216-MIN(MAX(Z216,0),'P-Parametri'!$B$8*(Z216+Y216)))</f>
        <v>28148.974277889516</v>
      </c>
      <c r="AC216" s="18">
        <f>IF($A216&gt;'1-Input'!$B$26,AC215,AC215-X216*(1-W216))</f>
        <v>11349.146783100112</v>
      </c>
      <c r="AD216" s="11">
        <f>IF($A216&gt;'1-Input'!$B$26,0,IF(AI215&lt;=0,0,MAX(0,(AI215-AJ215)/AI215)))</f>
        <v>0.59006716515119062</v>
      </c>
      <c r="AE216" s="18">
        <f>IF($A216&gt;'1-Input'!$B$26,0,(MAX(0,AD176-IF($A216&gt;='1-Input'!$C$12,'1-Input'!$B$12,0))-MIN(MAX(AH215,0),MAX(0,AD176-IF($A216&gt;='1-Input'!$C$12,'1-Input'!$B$12,0))))*(1/(1-'P-Parametri'!$B$6*AD216))+MIN(MAX(0,AI215-(MAX(0,AD176-IF($A216&gt;='1-Input'!$C$12,'1-Input'!$B$12,0))-MIN(MAX(AH215,0),MAX(0,AD176-IF($A216&gt;='1-Input'!$C$12,'1-Input'!$B$12,0))))*(1/(1-'P-Parametri'!$B$6*AD216))),MAX(0,1*AD176-(AH215-MIN(MAX(AH215,0),MAX(0,AD176-IF($A216&gt;='1-Input'!$C$12,'1-Input'!$B$12,0)))))*(1/(1-'P-Parametri'!$B$6*AD216))))</f>
        <v>6951.8022844492098</v>
      </c>
      <c r="AF216" s="18">
        <f>IF($A216&gt;'1-Input'!$B$26,AH215,(AH215-MAX(0,AD176-IF($A216&gt;='1-Input'!$C$12,'1-Input'!$B$12,0))+AE216*(1-'P-Parametri'!$B$6*AD216))*(1+'1-Input'!$B$27))</f>
        <v>16865.404770046734</v>
      </c>
      <c r="AG216" s="18">
        <f>IF($A216&gt;'1-Input'!$B$26,AI215,(AI215-AE216)*(1+$B$4))</f>
        <v>28212.31533750744</v>
      </c>
      <c r="AH216" s="18">
        <f>IF($A216&gt;'1-Input'!$B$26,AF216,AF216-'P-Parametri'!$B$8*(AG216+AF216)+MIN(MAX(AG216,0),'P-Parametri'!$B$8*(AG216+AF216)))</f>
        <v>16865.404770046734</v>
      </c>
      <c r="AI216" s="18">
        <f>IF($A216&gt;'1-Input'!$B$26,AG216,AG216-MIN(MAX(AG216,0),'P-Parametri'!$B$8*(AG216+AF216)))</f>
        <v>28122.159897292331</v>
      </c>
      <c r="AJ216" s="18">
        <f>IF($A216&gt;'1-Input'!$B$26,AJ215,AJ215-AE216*(1-AD216))</f>
        <v>11338.386670542124</v>
      </c>
      <c r="AK216" s="11">
        <f>IF($A216&gt;'1-Input'!$B$26,0,IF(AP215&lt;=0,0,MAX(0,(AP215-AQ215)/AP215)))</f>
        <v>0.59006716514912538</v>
      </c>
      <c r="AL216" s="18">
        <f>IF($A216&gt;'1-Input'!$B$26,0,(MAX(0,AK176-IF($A216&gt;='1-Input'!$C$12,'1-Input'!$B$12,0))-MIN(MAX(AO215,0),MAX(0,AK176-IF($A216&gt;='1-Input'!$C$12,'1-Input'!$B$12,0))))*(1/(1-'P-Parametri'!$B$6*AK216))+MIN(MAX(0,AP215-(MAX(0,AK176-IF($A216&gt;='1-Input'!$C$12,'1-Input'!$B$12,0))-MIN(MAX(AO215,0),MAX(0,AK176-IF($A216&gt;='1-Input'!$C$12,'1-Input'!$B$12,0))))*(1/(1-'P-Parametri'!$B$6*AK216))),MAX(0,1*AK176-(AO215-MIN(MAX(AO215,0),MAX(0,AK176-IF($A216&gt;='1-Input'!$C$12,'1-Input'!$B$12,0)))))*(1/(1-'P-Parametri'!$B$6*AK216))))</f>
        <v>6951.8022852034974</v>
      </c>
      <c r="AM216" s="18">
        <f>IF($A216&gt;'1-Input'!$B$26,AO215,(AO215-MAX(0,AK176-IF($A216&gt;='1-Input'!$C$12,'1-Input'!$B$12,0))+AL216*(1-'P-Parametri'!$B$6*AK216))*(1+'1-Input'!$B$27))</f>
        <v>16865.404770684429</v>
      </c>
      <c r="AN216" s="18">
        <f>IF($A216&gt;'1-Input'!$B$26,AP215,(AP215-AL216)*(1+$B$4))</f>
        <v>28212.315296788824</v>
      </c>
      <c r="AO216" s="18">
        <f>IF($A216&gt;'1-Input'!$B$26,AM216,AM216-'P-Parametri'!$B$8*(AN216+AM216)+MIN(MAX(AN216,0),'P-Parametri'!$B$8*(AN216+AM216)))</f>
        <v>16865.404770684429</v>
      </c>
      <c r="AP216" s="18">
        <f>IF($A216&gt;'1-Input'!$B$26,AN216,AN216-MIN(MAX(AN216,0),'P-Parametri'!$B$8*(AN216+AM216)))</f>
        <v>28122.159856653878</v>
      </c>
      <c r="AQ216" s="18">
        <f>IF($A216&gt;'1-Input'!$B$26,AQ215,AQ215-AL216*(1-AK216))</f>
        <v>11338.38665423464</v>
      </c>
    </row>
    <row r="217" spans="1:43">
      <c r="A217" s="10">
        <f>39</f>
        <v>39</v>
      </c>
      <c r="B217" s="11">
        <f>IF($A217&gt;'1-Input'!$B$26,0,IF(G216&lt;=0,0,MAX(0,(G216-H216)/G216)))</f>
        <v>0.59761480330185224</v>
      </c>
      <c r="C217" s="18">
        <f>IF($A217&gt;'1-Input'!$B$26,0,(MAX(0,B176-IF($A217&gt;='1-Input'!$C$12,'1-Input'!$B$12,0))-MIN(MAX(F216,0),MAX(0,B176-IF($A217&gt;='1-Input'!$C$12,'1-Input'!$B$12,0))))*(1/(1-'P-Parametri'!$B$6*B217))+MIN(MAX(0,G216-(MAX(0,B176-IF($A217&gt;='1-Input'!$C$12,'1-Input'!$B$12,0))-MIN(MAX(F216,0),MAX(0,B176-IF($A217&gt;='1-Input'!$C$12,'1-Input'!$B$12,0))))*(1/(1-'P-Parametri'!$B$6*B217))),MAX(0,1*B176-(F216-MIN(MAX(F216,0),MAX(0,B176-IF($A217&gt;='1-Input'!$C$12,'1-Input'!$B$12,0)))))*(1/(1-'P-Parametri'!$B$6*B217))))</f>
        <v>6676.5007987757645</v>
      </c>
      <c r="D217" s="18">
        <f>IF($A217&gt;'1-Input'!$B$26,F216,(F216-MAX(0,B176-IF($A217&gt;='1-Input'!$C$12,'1-Input'!$B$12,0))+C217*(1-'P-Parametri'!$B$6*B217))*(1+'1-Input'!$B$27))</f>
        <v>16621.00351549315</v>
      </c>
      <c r="E217" s="18">
        <f>IF($A217&gt;'1-Input'!$B$26,G216,(G216-C217)*(1+$B$4))</f>
        <v>37762.867475292558</v>
      </c>
      <c r="F217" s="18">
        <f>IF($A217&gt;'1-Input'!$B$26,D217,D217-'P-Parametri'!$B$8*(E217+D217)+MIN(MAX(E217,0),'P-Parametri'!$B$8*(E217+D217)))</f>
        <v>16621.00351549315</v>
      </c>
      <c r="G217" s="18">
        <f>IF($A217&gt;'1-Input'!$B$26,E217,E217-MIN(MAX(E217,0),'P-Parametri'!$B$8*(E217+D217)))</f>
        <v>37654.099733310984</v>
      </c>
      <c r="H217" s="18">
        <f>IF($A217&gt;'1-Input'!$B$26,H216,H216-C217*(1-B217))</f>
        <v>14897.27338914871</v>
      </c>
      <c r="I217" s="11">
        <f>IF($A217&gt;'1-Input'!$B$26,0,IF(N216&lt;=0,0,MAX(0,(N216-O216)/N216)))</f>
        <v>0</v>
      </c>
      <c r="J217" s="18">
        <f>IF($A217&gt;'1-Input'!$B$26,0,(MAX(0,I176-IF($A217&gt;='1-Input'!$C$12,'1-Input'!$B$12,0))-MIN(MAX(M216,0),MAX(0,I176-IF($A217&gt;='1-Input'!$C$12,'1-Input'!$B$12,0))))*(1/(1-'P-Parametri'!$B$6*I217))+MIN(MAX(0,N216-(MAX(0,I176-IF($A217&gt;='1-Input'!$C$12,'1-Input'!$B$12,0))-MIN(MAX(M216,0),MAX(0,I176-IF($A217&gt;='1-Input'!$C$12,'1-Input'!$B$12,0))))*(1/(1-'P-Parametri'!$B$6*I217))),MAX(0,1*I176-(M216-MIN(MAX(M216,0),MAX(0,I176-IF($A217&gt;='1-Input'!$C$12,'1-Input'!$B$12,0)))))*(1/(1-'P-Parametri'!$B$6*I217))))</f>
        <v>10846.756992928691</v>
      </c>
      <c r="K217" s="18">
        <f>IF($A217&gt;'1-Input'!$B$26,M216,(M216-MAX(0,I176-IF($A217&gt;='1-Input'!$C$12,'1-Input'!$B$12,0))+J217*(1-'P-Parametri'!$B$6*I217))*(1+'1-Input'!$B$27))</f>
        <v>0</v>
      </c>
      <c r="L217" s="18">
        <f>IF($A217&gt;'1-Input'!$B$26,N216,(N216-J217)*(1+$B$4))</f>
        <v>-235063.52736357032</v>
      </c>
      <c r="M217" s="18">
        <f>IF($A217&gt;'1-Input'!$B$26,K217,K217-'P-Parametri'!$B$8*(L217+K217)+MIN(MAX(L217,0),'P-Parametri'!$B$8*(L217+K217)))</f>
        <v>0</v>
      </c>
      <c r="N217" s="18">
        <f>IF($A217&gt;'1-Input'!$B$26,L217,L217-MIN(MAX(L217,0),'P-Parametri'!$B$8*(L217+K217)))</f>
        <v>-234593.40030884318</v>
      </c>
      <c r="O217" s="18">
        <f>IF($A217&gt;'1-Input'!$B$26,O216,O216-J217*(1-I217))</f>
        <v>-196977.9416854544</v>
      </c>
      <c r="P217" s="11">
        <f>IF($A217&gt;'1-Input'!$B$26,0,IF(U216&lt;=0,0,MAX(0,(U216-V216)/U216)))</f>
        <v>0.5968499549665548</v>
      </c>
      <c r="Q217" s="18">
        <f>IF($A217&gt;'1-Input'!$B$26,0,(MAX(0,P176-IF($A217&gt;='1-Input'!$C$12,'1-Input'!$B$12,0))-MIN(MAX(T216,0),MAX(0,P176-IF($A217&gt;='1-Input'!$C$12,'1-Input'!$B$12,0))))*(1/(1-'P-Parametri'!$B$6*P217))+MIN(MAX(0,U216-(MAX(0,P176-IF($A217&gt;='1-Input'!$C$12,'1-Input'!$B$12,0))-MIN(MAX(T216,0),MAX(0,P176-IF($A217&gt;='1-Input'!$C$12,'1-Input'!$B$12,0))))*(1/(1-'P-Parametri'!$B$6*P217))),MAX(0,1*P176-(T216-MIN(MAX(T216,0),MAX(0,P176-IF($A217&gt;='1-Input'!$C$12,'1-Input'!$B$12,0)))))*(1/(1-'P-Parametri'!$B$6*P217))))</f>
        <v>6956.9969697448541</v>
      </c>
      <c r="R217" s="18">
        <f>IF($A217&gt;'1-Input'!$B$26,T216,(T216-MAX(0,P176-IF($A217&gt;='1-Input'!$C$12,'1-Input'!$B$12,0))+Q217*(1-'P-Parametri'!$B$6*P217))*(1+'1-Input'!$B$27))</f>
        <v>16857.590128083153</v>
      </c>
      <c r="S217" s="18">
        <f>IF($A217&gt;'1-Input'!$B$26,U216,(U216-Q217)*(1+$B$4))</f>
        <v>22096.433672280094</v>
      </c>
      <c r="T217" s="18">
        <f>IF($A217&gt;'1-Input'!$B$26,R217,R217-'P-Parametri'!$B$8*(S217+R217)+MIN(MAX(S217,0),'P-Parametri'!$B$8*(S217+R217)))</f>
        <v>16857.590128083153</v>
      </c>
      <c r="U217" s="18">
        <f>IF($A217&gt;'1-Input'!$B$26,S217,S217-MIN(MAX(S217,0),'P-Parametri'!$B$8*(S217+R217)))</f>
        <v>22018.525624679369</v>
      </c>
      <c r="V217" s="18">
        <f>IF($A217&gt;'1-Input'!$B$26,V216,V216-Q217*(1-P217))</f>
        <v>8733.5080686845613</v>
      </c>
      <c r="W217" s="11">
        <f>IF($A217&gt;'1-Input'!$B$26,0,IF(AB216&lt;=0,0,MAX(0,(AB216-AC216)/AB216)))</f>
        <v>0.59681846055702814</v>
      </c>
      <c r="X217" s="18">
        <f>IF($A217&gt;'1-Input'!$B$26,0,(MAX(0,W176-IF($A217&gt;='1-Input'!$C$12,'1-Input'!$B$12,0))-MIN(MAX(AA216,0),MAX(0,W176-IF($A217&gt;='1-Input'!$C$12,'1-Input'!$B$12,0))))*(1/(1-'P-Parametri'!$B$6*W217))+MIN(MAX(0,AB216-(MAX(0,W176-IF($A217&gt;='1-Input'!$C$12,'1-Input'!$B$12,0))-MIN(MAX(AA216,0),MAX(0,W176-IF($A217&gt;='1-Input'!$C$12,'1-Input'!$B$12,0))))*(1/(1-'P-Parametri'!$B$6*W217))),MAX(0,1*W176-(AA216-MIN(MAX(AA216,0),MAX(0,W176-IF($A217&gt;='1-Input'!$C$12,'1-Input'!$B$12,0)))))*(1/(1-'P-Parametri'!$B$6*W217))))</f>
        <v>6965.7447164437272</v>
      </c>
      <c r="Y217" s="18">
        <f>IF($A217&gt;'1-Input'!$B$26,AA216,(AA216-MAX(0,W176-IF($A217&gt;='1-Input'!$C$12,'1-Input'!$B$12,0))+X217*(1-'P-Parametri'!$B$6*W217))*(1+'1-Input'!$B$27))</f>
        <v>16864.984001895245</v>
      </c>
      <c r="Z217" s="18">
        <f>IF($A217&gt;'1-Input'!$B$26,AB216,(AB216-X217)*(1+$B$4))</f>
        <v>21606.894152674708</v>
      </c>
      <c r="AA217" s="18">
        <f>IF($A217&gt;'1-Input'!$B$26,Y217,Y217-'P-Parametri'!$B$8*(Z217+Y217)+MIN(MAX(Z217,0),'P-Parametri'!$B$8*(Z217+Y217)))</f>
        <v>16864.984001895245</v>
      </c>
      <c r="AB217" s="18">
        <f>IF($A217&gt;'1-Input'!$B$26,Z217,Z217-MIN(MAX(Z217,0),'P-Parametri'!$B$8*(Z217+Y217)))</f>
        <v>21529.950396365566</v>
      </c>
      <c r="AC217" s="18">
        <f>IF($A217&gt;'1-Input'!$B$26,AC216,AC216-X217*(1-W217))</f>
        <v>8540.6871049575821</v>
      </c>
      <c r="AD217" s="11">
        <f>IF($A217&gt;'1-Input'!$B$26,0,IF(AI216&lt;=0,0,MAX(0,(AI216-AJ216)/AI216)))</f>
        <v>0.59681664879397078</v>
      </c>
      <c r="AE217" s="18">
        <f>IF($A217&gt;'1-Input'!$B$26,0,(MAX(0,AD176-IF($A217&gt;='1-Input'!$C$12,'1-Input'!$B$12,0))-MIN(MAX(AH216,0),MAX(0,AD176-IF($A217&gt;='1-Input'!$C$12,'1-Input'!$B$12,0))))*(1/(1-'P-Parametri'!$B$6*AD217))+MIN(MAX(0,AI216-(MAX(0,AD176-IF($A217&gt;='1-Input'!$C$12,'1-Input'!$B$12,0))-MIN(MAX(AH216,0),MAX(0,AD176-IF($A217&gt;='1-Input'!$C$12,'1-Input'!$B$12,0))))*(1/(1-'P-Parametri'!$B$6*AD217))),MAX(0,1*AD176-(AH216-MIN(MAX(AH216,0),MAX(0,AD176-IF($A217&gt;='1-Input'!$C$12,'1-Input'!$B$12,0)))))*(1/(1-'P-Parametri'!$B$6*AD217))))</f>
        <v>6966.2424834672911</v>
      </c>
      <c r="AF217" s="18">
        <f>IF($A217&gt;'1-Input'!$B$26,AH216,(AH216-MAX(0,AD176-IF($A217&gt;='1-Input'!$C$12,'1-Input'!$B$12,0))+AE217*(1-'P-Parametri'!$B$6*AD217))*(1+'1-Input'!$B$27))</f>
        <v>16865.404770046734</v>
      </c>
      <c r="AG217" s="18">
        <f>IF($A217&gt;'1-Input'!$B$26,AI216,(AI216-AE217)*(1+$B$4))</f>
        <v>21579.035762101539</v>
      </c>
      <c r="AH217" s="18">
        <f>IF($A217&gt;'1-Input'!$B$26,AF217,AF217-'P-Parametri'!$B$8*(AG217+AF217)+MIN(MAX(AG217,0),'P-Parametri'!$B$8*(AG217+AF217)))</f>
        <v>16865.404770046734</v>
      </c>
      <c r="AI217" s="18">
        <f>IF($A217&gt;'1-Input'!$B$26,AG217,AG217-MIN(MAX(AG217,0),'P-Parametri'!$B$8*(AG217+AF217)))</f>
        <v>21502.146881037243</v>
      </c>
      <c r="AJ217" s="18">
        <f>IF($A217&gt;'1-Input'!$B$26,AJ216,AJ216-AE217*(1-AD217))</f>
        <v>8529.7136807439711</v>
      </c>
      <c r="AK217" s="11">
        <f>IF($A217&gt;'1-Input'!$B$26,0,IF(AP216&lt;=0,0,MAX(0,(AP216-AQ216)/AP216)))</f>
        <v>0.59681664879122331</v>
      </c>
      <c r="AL217" s="18">
        <f>IF($A217&gt;'1-Input'!$B$26,0,(MAX(0,AK176-IF($A217&gt;='1-Input'!$C$12,'1-Input'!$B$12,0))-MIN(MAX(AO216,0),MAX(0,AK176-IF($A217&gt;='1-Input'!$C$12,'1-Input'!$B$12,0))))*(1/(1-'P-Parametri'!$B$6*AK217))+MIN(MAX(0,AP216-(MAX(0,AK176-IF($A217&gt;='1-Input'!$C$12,'1-Input'!$B$12,0))-MIN(MAX(AO216,0),MAX(0,AK176-IF($A217&gt;='1-Input'!$C$12,'1-Input'!$B$12,0))))*(1/(1-'P-Parametri'!$B$6*AK217))),MAX(0,1*AK176-(AO216-MIN(MAX(AO216,0),MAX(0,AK176-IF($A217&gt;='1-Input'!$C$12,'1-Input'!$B$12,0)))))*(1/(1-'P-Parametri'!$B$6*AK217))))</f>
        <v>6966.2424842216742</v>
      </c>
      <c r="AM217" s="18">
        <f>IF($A217&gt;'1-Input'!$B$26,AO216,(AO216-MAX(0,AK176-IF($A217&gt;='1-Input'!$C$12,'1-Input'!$B$12,0))+AL217*(1-'P-Parametri'!$B$6*AK217))*(1+'1-Input'!$B$27))</f>
        <v>16865.404770684429</v>
      </c>
      <c r="AN217" s="18">
        <f>IF($A217&gt;'1-Input'!$B$26,AP216,(AP216-AL217)*(1+$B$4))</f>
        <v>21579.035719880849</v>
      </c>
      <c r="AO217" s="18">
        <f>IF($A217&gt;'1-Input'!$B$26,AM217,AM217-'P-Parametri'!$B$8*(AN217+AM217)+MIN(MAX(AN217,0),'P-Parametri'!$B$8*(AN217+AM217)))</f>
        <v>16865.404770684429</v>
      </c>
      <c r="AP217" s="18">
        <f>IF($A217&gt;'1-Input'!$B$26,AN217,AN217-MIN(MAX(AN217,0),'P-Parametri'!$B$8*(AN217+AM217)))</f>
        <v>21502.14683889972</v>
      </c>
      <c r="AQ217" s="18">
        <f>IF($A217&gt;'1-Input'!$B$26,AQ216,AQ216-AL217*(1-AK217))</f>
        <v>8529.7136641131929</v>
      </c>
    </row>
    <row r="218" spans="1:43">
      <c r="A218" s="10">
        <f>40</f>
        <v>40</v>
      </c>
      <c r="B218" s="11">
        <f>IF($A218&gt;'1-Input'!$B$26,0,IF(G217&lt;=0,0,MAX(0,(G217-H217)/G217)))</f>
        <v>0.60436516887509806</v>
      </c>
      <c r="C218" s="18">
        <f>IF($A218&gt;'1-Input'!$B$26,0,(MAX(0,B176-IF($A218&gt;='1-Input'!$C$12,'1-Input'!$B$12,0))-MIN(MAX(F217,0),MAX(0,B176-IF($A218&gt;='1-Input'!$C$12,'1-Input'!$B$12,0))))*(1/(1-'P-Parametri'!$B$6*B218))+MIN(MAX(0,G217-(MAX(0,B176-IF($A218&gt;='1-Input'!$C$12,'1-Input'!$B$12,0))-MIN(MAX(F217,0),MAX(0,B176-IF($A218&gt;='1-Input'!$C$12,'1-Input'!$B$12,0))))*(1/(1-'P-Parametri'!$B$6*B218))),MAX(0,1*B176-(F217-MIN(MAX(F217,0),MAX(0,B176-IF($A218&gt;='1-Input'!$C$12,'1-Input'!$B$12,0)))))*(1/(1-'P-Parametri'!$B$6*B218))))</f>
        <v>6690.4032537561543</v>
      </c>
      <c r="D218" s="18">
        <f>IF($A218&gt;'1-Input'!$B$26,F217,(F217-MAX(0,B176-IF($A218&gt;='1-Input'!$C$12,'1-Input'!$B$12,0))+C218*(1-'P-Parametri'!$B$6*B218))*(1+'1-Input'!$B$27))</f>
        <v>16621.00351549315</v>
      </c>
      <c r="E218" s="18">
        <f>IF($A218&gt;'1-Input'!$B$26,G217,(G217-C218)*(1+$B$4))</f>
        <v>31582.970409145928</v>
      </c>
      <c r="F218" s="18">
        <f>IF($A218&gt;'1-Input'!$B$26,D218,D218-'P-Parametri'!$B$8*(E218+D218)+MIN(MAX(E218,0),'P-Parametri'!$B$8*(E218+D218)))</f>
        <v>16621.00351549315</v>
      </c>
      <c r="G218" s="18">
        <f>IF($A218&gt;'1-Input'!$B$26,E218,E218-MIN(MAX(E218,0),'P-Parametri'!$B$8*(E218+D218)))</f>
        <v>31486.562461296649</v>
      </c>
      <c r="H218" s="18">
        <f>IF($A218&gt;'1-Input'!$B$26,H217,H217-C218*(1-B218))</f>
        <v>12250.316827691398</v>
      </c>
      <c r="I218" s="11">
        <f>IF($A218&gt;'1-Input'!$B$26,0,IF(N217&lt;=0,0,MAX(0,(N217-O217)/N217)))</f>
        <v>0</v>
      </c>
      <c r="J218" s="18">
        <f>IF($A218&gt;'1-Input'!$B$26,0,(MAX(0,I176-IF($A218&gt;='1-Input'!$C$12,'1-Input'!$B$12,0))-MIN(MAX(M217,0),MAX(0,I176-IF($A218&gt;='1-Input'!$C$12,'1-Input'!$B$12,0))))*(1/(1-'P-Parametri'!$B$6*I218))+MIN(MAX(0,N217-(MAX(0,I176-IF($A218&gt;='1-Input'!$C$12,'1-Input'!$B$12,0))-MIN(MAX(M217,0),MAX(0,I176-IF($A218&gt;='1-Input'!$C$12,'1-Input'!$B$12,0))))*(1/(1-'P-Parametri'!$B$6*I218))),MAX(0,1*I176-(M217-MIN(MAX(M217,0),MAX(0,I176-IF($A218&gt;='1-Input'!$C$12,'1-Input'!$B$12,0)))))*(1/(1-'P-Parametri'!$B$6*I218))))</f>
        <v>10846.756992928691</v>
      </c>
      <c r="K218" s="18">
        <f>IF($A218&gt;'1-Input'!$B$26,M217,(M217-MAX(0,I176-IF($A218&gt;='1-Input'!$C$12,'1-Input'!$B$12,0))+J218*(1-'P-Parametri'!$B$6*I218))*(1+'1-Input'!$B$27))</f>
        <v>0</v>
      </c>
      <c r="L218" s="18">
        <f>IF($A218&gt;'1-Input'!$B$26,N217,(N217-J218)*(1+$B$4))</f>
        <v>-250348.9604478073</v>
      </c>
      <c r="M218" s="18">
        <f>IF($A218&gt;'1-Input'!$B$26,K218,K218-'P-Parametri'!$B$8*(L218+K218)+MIN(MAX(L218,0),'P-Parametri'!$B$8*(L218+K218)))</f>
        <v>0</v>
      </c>
      <c r="N218" s="18">
        <f>IF($A218&gt;'1-Input'!$B$26,L218,L218-MIN(MAX(L218,0),'P-Parametri'!$B$8*(L218+K218)))</f>
        <v>-249848.26252691168</v>
      </c>
      <c r="O218" s="18">
        <f>IF($A218&gt;'1-Input'!$B$26,O217,O217-J218*(1-I218))</f>
        <v>-207824.69867838308</v>
      </c>
      <c r="P218" s="11">
        <f>IF($A218&gt;'1-Input'!$B$26,0,IF(U217&lt;=0,0,MAX(0,(U217-V217)/U217)))</f>
        <v>0.60335636374782298</v>
      </c>
      <c r="Q218" s="18">
        <f>IF($A218&gt;'1-Input'!$B$26,0,(MAX(0,P176-IF($A218&gt;='1-Input'!$C$12,'1-Input'!$B$12,0))-MIN(MAX(T217,0),MAX(0,P176-IF($A218&gt;='1-Input'!$C$12,'1-Input'!$B$12,0))))*(1/(1-'P-Parametri'!$B$6*P218))+MIN(MAX(0,U217-(MAX(0,P176-IF($A218&gt;='1-Input'!$C$12,'1-Input'!$B$12,0))-MIN(MAX(T217,0),MAX(0,P176-IF($A218&gt;='1-Input'!$C$12,'1-Input'!$B$12,0))))*(1/(1-'P-Parametri'!$B$6*P218))),MAX(0,1*P176-(T217-MIN(MAX(T217,0),MAX(0,P176-IF($A218&gt;='1-Input'!$C$12,'1-Input'!$B$12,0)))))*(1/(1-'P-Parametri'!$B$6*P218))))</f>
        <v>6970.9556169995139</v>
      </c>
      <c r="R218" s="18">
        <f>IF($A218&gt;'1-Input'!$B$26,T217,(T217-MAX(0,P176-IF($A218&gt;='1-Input'!$C$12,'1-Input'!$B$12,0))+Q218*(1-'P-Parametri'!$B$6*P218))*(1+'1-Input'!$B$27))</f>
        <v>16857.590128083153</v>
      </c>
      <c r="S218" s="18">
        <f>IF($A218&gt;'1-Input'!$B$26,U217,(U217-Q218)*(1+$B$4))</f>
        <v>15348.521407833452</v>
      </c>
      <c r="T218" s="18">
        <f>IF($A218&gt;'1-Input'!$B$26,R218,R218-'P-Parametri'!$B$8*(S218+R218)+MIN(MAX(S218,0),'P-Parametri'!$B$8*(S218+R218)))</f>
        <v>16857.590128083153</v>
      </c>
      <c r="U218" s="18">
        <f>IF($A218&gt;'1-Input'!$B$26,S218,S218-MIN(MAX(S218,0),'P-Parametri'!$B$8*(S218+R218)))</f>
        <v>15284.109184761619</v>
      </c>
      <c r="V218" s="18">
        <f>IF($A218&gt;'1-Input'!$B$26,V217,V217-Q218*(1-P218))</f>
        <v>5968.522884605336</v>
      </c>
      <c r="W218" s="11">
        <f>IF($A218&gt;'1-Input'!$B$26,0,IF(AB217&lt;=0,0,MAX(0,(AB217-AC217)/AB217)))</f>
        <v>0.603311343141816</v>
      </c>
      <c r="X218" s="18">
        <f>IF($A218&gt;'1-Input'!$B$26,0,(MAX(0,W176-IF($A218&gt;='1-Input'!$C$12,'1-Input'!$B$12,0))-MIN(MAX(AA217,0),MAX(0,W176-IF($A218&gt;='1-Input'!$C$12,'1-Input'!$B$12,0))))*(1/(1-'P-Parametri'!$B$6*W218))+MIN(MAX(0,AB217-(MAX(0,W176-IF($A218&gt;='1-Input'!$C$12,'1-Input'!$B$12,0))-MIN(MAX(AA217,0),MAX(0,W176-IF($A218&gt;='1-Input'!$C$12,'1-Input'!$B$12,0))))*(1/(1-'P-Parametri'!$B$6*W218))),MAX(0,1*W176-(AA217-MIN(MAX(AA217,0),MAX(0,W176-IF($A218&gt;='1-Input'!$C$12,'1-Input'!$B$12,0)))))*(1/(1-'P-Parametri'!$B$6*W218))))</f>
        <v>6979.6916665399676</v>
      </c>
      <c r="Y218" s="18">
        <f>IF($A218&gt;'1-Input'!$B$26,AA217,(AA217-MAX(0,W176-IF($A218&gt;='1-Input'!$C$12,'1-Input'!$B$12,0))+X218*(1-'P-Parametri'!$B$6*W218))*(1+'1-Input'!$B$27))</f>
        <v>16864.984001895245</v>
      </c>
      <c r="Z218" s="18">
        <f>IF($A218&gt;'1-Input'!$B$26,AB217,(AB217-X218)*(1+$B$4))</f>
        <v>14841.26390442211</v>
      </c>
      <c r="AA218" s="18">
        <f>IF($A218&gt;'1-Input'!$B$26,Y218,Y218-'P-Parametri'!$B$8*(Z218+Y218)+MIN(MAX(Z218,0),'P-Parametri'!$B$8*(Z218+Y218)))</f>
        <v>16864.984001895245</v>
      </c>
      <c r="AB218" s="18">
        <f>IF($A218&gt;'1-Input'!$B$26,Z218,Z218-MIN(MAX(Z218,0),'P-Parametri'!$B$8*(Z218+Y218)))</f>
        <v>14777.851408609476</v>
      </c>
      <c r="AC218" s="18">
        <f>IF($A218&gt;'1-Input'!$B$26,AC217,AC217-X218*(1-W218))</f>
        <v>5771.922592473582</v>
      </c>
      <c r="AD218" s="11">
        <f>IF($A218&gt;'1-Input'!$B$26,0,IF(AI217&lt;=0,0,MAX(0,(AI217-AJ217)/AI217)))</f>
        <v>0.60330874270669543</v>
      </c>
      <c r="AE218" s="18">
        <f>IF($A218&gt;'1-Input'!$B$26,0,(MAX(0,AD176-IF($A218&gt;='1-Input'!$C$12,'1-Input'!$B$12,0))-MIN(MAX(AH217,0),MAX(0,AD176-IF($A218&gt;='1-Input'!$C$12,'1-Input'!$B$12,0))))*(1/(1-'P-Parametri'!$B$6*AD218))+MIN(MAX(0,AI217-(MAX(0,AD176-IF($A218&gt;='1-Input'!$C$12,'1-Input'!$B$12,0))-MIN(MAX(AH217,0),MAX(0,AD176-IF($A218&gt;='1-Input'!$C$12,'1-Input'!$B$12,0))))*(1/(1-'P-Parametri'!$B$6*AD218))),MAX(0,1*AD176-(AH217-MIN(MAX(AH217,0),MAX(0,AD176-IF($A218&gt;='1-Input'!$C$12,'1-Input'!$B$12,0)))))*(1/(1-'P-Parametri'!$B$6*AD218))))</f>
        <v>6980.1887248012999</v>
      </c>
      <c r="AF218" s="18">
        <f>IF($A218&gt;'1-Input'!$B$26,AH217,(AH217-MAX(0,AD176-IF($A218&gt;='1-Input'!$C$12,'1-Input'!$B$12,0))+AE218*(1-'P-Parametri'!$B$6*AD218))*(1+'1-Input'!$B$27))</f>
        <v>16865.404770046734</v>
      </c>
      <c r="AG218" s="18">
        <f>IF($A218&gt;'1-Input'!$B$26,AI217,(AI217-AE218)*(1+$B$4))</f>
        <v>14812.397319360662</v>
      </c>
      <c r="AH218" s="18">
        <f>IF($A218&gt;'1-Input'!$B$26,AF218,AF218-'P-Parametri'!$B$8*(AG218+AF218)+MIN(MAX(AG218,0),'P-Parametri'!$B$8*(AG218+AF218)))</f>
        <v>16865.404770046734</v>
      </c>
      <c r="AI218" s="18">
        <f>IF($A218&gt;'1-Input'!$B$26,AG218,AG218-MIN(MAX(AG218,0),'P-Parametri'!$B$8*(AG218+AF218)))</f>
        <v>14749.041715181847</v>
      </c>
      <c r="AJ218" s="18">
        <f>IF($A218&gt;'1-Input'!$B$26,AJ217,AJ217-AE218*(1-AD218))</f>
        <v>5760.7338393579957</v>
      </c>
      <c r="AK218" s="11">
        <f>IF($A218&gt;'1-Input'!$B$26,0,IF(AP217&lt;=0,0,MAX(0,(AP217-AQ217)/AP217)))</f>
        <v>0.60330874270275126</v>
      </c>
      <c r="AL218" s="18">
        <f>IF($A218&gt;'1-Input'!$B$26,0,(MAX(0,AK176-IF($A218&gt;='1-Input'!$C$12,'1-Input'!$B$12,0))-MIN(MAX(AO217,0),MAX(0,AK176-IF($A218&gt;='1-Input'!$C$12,'1-Input'!$B$12,0))))*(1/(1-'P-Parametri'!$B$6*AK218))+MIN(MAX(0,AP217-(MAX(0,AK176-IF($A218&gt;='1-Input'!$C$12,'1-Input'!$B$12,0))-MIN(MAX(AO217,0),MAX(0,AK176-IF($A218&gt;='1-Input'!$C$12,'1-Input'!$B$12,0))))*(1/(1-'P-Parametri'!$B$6*AK218))),MAX(0,1*AK176-(AO217-MIN(MAX(AO217,0),MAX(0,AK176-IF($A218&gt;='1-Input'!$C$12,'1-Input'!$B$12,0)))))*(1/(1-'P-Parametri'!$B$6*AK218))))</f>
        <v>6980.1887255546044</v>
      </c>
      <c r="AM218" s="18">
        <f>IF($A218&gt;'1-Input'!$B$26,AO217,(AO217-MAX(0,AK176-IF($A218&gt;='1-Input'!$C$12,'1-Input'!$B$12,0))+AL218*(1-'P-Parametri'!$B$6*AK218))*(1+'1-Input'!$B$27))</f>
        <v>16865.404770684429</v>
      </c>
      <c r="AN218" s="18">
        <f>IF($A218&gt;'1-Input'!$B$26,AP217,(AP217-AL218)*(1+$B$4))</f>
        <v>14812.397275612018</v>
      </c>
      <c r="AO218" s="18">
        <f>IF($A218&gt;'1-Input'!$B$26,AM218,AM218-'P-Parametri'!$B$8*(AN218+AM218)+MIN(MAX(AN218,0),'P-Parametri'!$B$8*(AN218+AM218)))</f>
        <v>16865.404770684429</v>
      </c>
      <c r="AP218" s="18">
        <f>IF($A218&gt;'1-Input'!$B$26,AN218,AN218-MIN(MAX(AN218,0),'P-Parametri'!$B$8*(AN218+AM218)))</f>
        <v>14749.041671519426</v>
      </c>
      <c r="AQ218" s="18">
        <f>IF($A218&gt;'1-Input'!$B$26,AQ217,AQ217-AL218*(1-AK218))</f>
        <v>5760.7338224008563</v>
      </c>
    </row>
    <row r="219" spans="1:43">
      <c r="A219" s="10">
        <f>41</f>
        <v>41</v>
      </c>
      <c r="B219" s="11">
        <f>IF($A219&gt;'1-Input'!$B$26,0,IF(G218&lt;=0,0,MAX(0,(G218-H218)/G218)))</f>
        <v>0.61093508245780981</v>
      </c>
      <c r="C219" s="18">
        <f>IF($A219&gt;'1-Input'!$B$26,0,(MAX(0,B176-IF($A219&gt;='1-Input'!$C$12,'1-Input'!$B$12,0))-MIN(MAX(F218,0),MAX(0,B176-IF($A219&gt;='1-Input'!$C$12,'1-Input'!$B$12,0))))*(1/(1-'P-Parametri'!$B$6*B219))+MIN(MAX(0,G218-(MAX(0,B176-IF($A219&gt;='1-Input'!$C$12,'1-Input'!$B$12,0))-MIN(MAX(F218,0),MAX(0,B176-IF($A219&gt;='1-Input'!$C$12,'1-Input'!$B$12,0))))*(1/(1-'P-Parametri'!$B$6*B219))),MAX(0,1*B176-(F218-MIN(MAX(F218,0),MAX(0,B176-IF($A219&gt;='1-Input'!$C$12,'1-Input'!$B$12,0)))))*(1/(1-'P-Parametri'!$B$6*B219))))</f>
        <v>6703.9897758497809</v>
      </c>
      <c r="D219" s="18">
        <f>IF($A219&gt;'1-Input'!$B$26,F218,(F218-MAX(0,B176-IF($A219&gt;='1-Input'!$C$12,'1-Input'!$B$12,0))+C219*(1-'P-Parametri'!$B$6*B219))*(1+'1-Input'!$B$27))</f>
        <v>16621.00351549315</v>
      </c>
      <c r="E219" s="18">
        <f>IF($A219&gt;'1-Input'!$B$26,G218,(G218-C219)*(1+$B$4))</f>
        <v>25278.224139155805</v>
      </c>
      <c r="F219" s="18">
        <f>IF($A219&gt;'1-Input'!$B$26,D219,D219-'P-Parametri'!$B$8*(E219+D219)+MIN(MAX(E219,0),'P-Parametri'!$B$8*(E219+D219)))</f>
        <v>16621.00351549315</v>
      </c>
      <c r="G219" s="18">
        <f>IF($A219&gt;'1-Input'!$B$26,E219,E219-MIN(MAX(E219,0),'P-Parametri'!$B$8*(E219+D219)))</f>
        <v>25194.425683846508</v>
      </c>
      <c r="H219" s="18">
        <f>IF($A219&gt;'1-Input'!$B$26,H218,H218-C219*(1-B219))</f>
        <v>9642.0295983467167</v>
      </c>
      <c r="I219" s="11">
        <f>IF($A219&gt;'1-Input'!$B$26,0,IF(N218&lt;=0,0,MAX(0,(N218-O218)/N218)))</f>
        <v>0</v>
      </c>
      <c r="J219" s="18">
        <f>IF($A219&gt;'1-Input'!$B$26,0,(MAX(0,I176-IF($A219&gt;='1-Input'!$C$12,'1-Input'!$B$12,0))-MIN(MAX(M218,0),MAX(0,I176-IF($A219&gt;='1-Input'!$C$12,'1-Input'!$B$12,0))))*(1/(1-'P-Parametri'!$B$6*I219))+MIN(MAX(0,N218-(MAX(0,I176-IF($A219&gt;='1-Input'!$C$12,'1-Input'!$B$12,0))-MIN(MAX(M218,0),MAX(0,I176-IF($A219&gt;='1-Input'!$C$12,'1-Input'!$B$12,0))))*(1/(1-'P-Parametri'!$B$6*I219))),MAX(0,1*I176-(M218-MIN(MAX(M218,0),MAX(0,I176-IF($A219&gt;='1-Input'!$C$12,'1-Input'!$B$12,0)))))*(1/(1-'P-Parametri'!$B$6*I219))))</f>
        <v>10846.756992928691</v>
      </c>
      <c r="K219" s="18">
        <f>IF($A219&gt;'1-Input'!$B$26,M218,(M218-MAX(0,I176-IF($A219&gt;='1-Input'!$C$12,'1-Input'!$B$12,0))+J219*(1-'P-Parametri'!$B$6*I219))*(1+'1-Input'!$B$27))</f>
        <v>0</v>
      </c>
      <c r="L219" s="18">
        <f>IF($A219&gt;'1-Input'!$B$26,N218,(N218-J219)*(1+$B$4))</f>
        <v>-265908.91991023719</v>
      </c>
      <c r="M219" s="18">
        <f>IF($A219&gt;'1-Input'!$B$26,K219,K219-'P-Parametri'!$B$8*(L219+K219)+MIN(MAX(L219,0),'P-Parametri'!$B$8*(L219+K219)))</f>
        <v>0</v>
      </c>
      <c r="N219" s="18">
        <f>IF($A219&gt;'1-Input'!$B$26,L219,L219-MIN(MAX(L219,0),'P-Parametri'!$B$8*(L219+K219)))</f>
        <v>-265377.10207041673</v>
      </c>
      <c r="O219" s="18">
        <f>IF($A219&gt;'1-Input'!$B$26,O218,O218-J219*(1-I219))</f>
        <v>-218671.45567131176</v>
      </c>
      <c r="P219" s="11">
        <f>IF($A219&gt;'1-Input'!$B$26,0,IF(U218&lt;=0,0,MAX(0,(U218-V218)/U218)))</f>
        <v>0.60949488043725819</v>
      </c>
      <c r="Q219" s="18">
        <f>IF($A219&gt;'1-Input'!$B$26,0,(MAX(0,P176-IF($A219&gt;='1-Input'!$C$12,'1-Input'!$B$12,0))-MIN(MAX(T218,0),MAX(0,P176-IF($A219&gt;='1-Input'!$C$12,'1-Input'!$B$12,0))))*(1/(1-'P-Parametri'!$B$6*P219))+MIN(MAX(0,U218-(MAX(0,P176-IF($A219&gt;='1-Input'!$C$12,'1-Input'!$B$12,0))-MIN(MAX(T218,0),MAX(0,P176-IF($A219&gt;='1-Input'!$C$12,'1-Input'!$B$12,0))))*(1/(1-'P-Parametri'!$B$6*P219))),MAX(0,1*P176-(T218-MIN(MAX(T218,0),MAX(0,P176-IF($A219&gt;='1-Input'!$C$12,'1-Input'!$B$12,0)))))*(1/(1-'P-Parametri'!$B$6*P219))))</f>
        <v>6984.1764499168894</v>
      </c>
      <c r="R219" s="18">
        <f>IF($A219&gt;'1-Input'!$B$26,T218,(T218-MAX(0,P176-IF($A219&gt;='1-Input'!$C$12,'1-Input'!$B$12,0))+Q219*(1-'P-Parametri'!$B$6*P219))*(1+'1-Input'!$B$27))</f>
        <v>16857.590128083153</v>
      </c>
      <c r="S219" s="18">
        <f>IF($A219&gt;'1-Input'!$B$26,U218,(U218-Q219)*(1+$B$4))</f>
        <v>8465.9313895416235</v>
      </c>
      <c r="T219" s="18">
        <f>IF($A219&gt;'1-Input'!$B$26,R219,R219-'P-Parametri'!$B$8*(S219+R219)+MIN(MAX(S219,0),'P-Parametri'!$B$8*(S219+R219)))</f>
        <v>16857.590128083153</v>
      </c>
      <c r="U219" s="18">
        <f>IF($A219&gt;'1-Input'!$B$26,S219,S219-MIN(MAX(S219,0),'P-Parametri'!$B$8*(S219+R219)))</f>
        <v>8415.2843465063743</v>
      </c>
      <c r="V219" s="18">
        <f>IF($A219&gt;'1-Input'!$B$26,V218,V218-Q219*(1-P219))</f>
        <v>3241.1662249832557</v>
      </c>
      <c r="W219" s="11">
        <f>IF($A219&gt;'1-Input'!$B$26,0,IF(AB218&lt;=0,0,MAX(0,(AB218-AC218)/AB218)))</f>
        <v>0.60942071801379061</v>
      </c>
      <c r="X219" s="18">
        <f>IF($A219&gt;'1-Input'!$B$26,0,(MAX(0,W176-IF($A219&gt;='1-Input'!$C$12,'1-Input'!$B$12,0))-MIN(MAX(AA218,0),MAX(0,W176-IF($A219&gt;='1-Input'!$C$12,'1-Input'!$B$12,0))))*(1/(1-'P-Parametri'!$B$6*W219))+MIN(MAX(0,AB218-(MAX(0,W176-IF($A219&gt;='1-Input'!$C$12,'1-Input'!$B$12,0))-MIN(MAX(AA218,0),MAX(0,W176-IF($A219&gt;='1-Input'!$C$12,'1-Input'!$B$12,0))))*(1/(1-'P-Parametri'!$B$6*W219))),MAX(0,1*W176-(AA218-MIN(MAX(AA218,0),MAX(0,W176-IF($A219&gt;='1-Input'!$C$12,'1-Input'!$B$12,0)))))*(1/(1-'P-Parametri'!$B$6*W219))))</f>
        <v>6992.8659231726697</v>
      </c>
      <c r="Y219" s="18">
        <f>IF($A219&gt;'1-Input'!$B$26,AA218,(AA218-MAX(0,W176-IF($A219&gt;='1-Input'!$C$12,'1-Input'!$B$12,0))+X219*(1-'P-Parametri'!$B$6*W219))*(1+'1-Input'!$B$27))</f>
        <v>16864.984001895245</v>
      </c>
      <c r="Z219" s="18">
        <f>IF($A219&gt;'1-Input'!$B$26,AB218,(AB218-X219)*(1+$B$4))</f>
        <v>7940.6851951455428</v>
      </c>
      <c r="AA219" s="18">
        <f>IF($A219&gt;'1-Input'!$B$26,Y219,Y219-'P-Parametri'!$B$8*(Z219+Y219)+MIN(MAX(Z219,0),'P-Parametri'!$B$8*(Z219+Y219)))</f>
        <v>16864.984001895245</v>
      </c>
      <c r="AB219" s="18">
        <f>IF($A219&gt;'1-Input'!$B$26,Z219,Z219-MIN(MAX(Z219,0),'P-Parametri'!$B$8*(Z219+Y219)))</f>
        <v>7891.0738567514609</v>
      </c>
      <c r="AC219" s="18">
        <f>IF($A219&gt;'1-Input'!$B$26,AC218,AC218-X219*(1-W219))</f>
        <v>3040.6540411749693</v>
      </c>
      <c r="AD219" s="11">
        <f>IF($A219&gt;'1-Input'!$B$26,0,IF(AI218&lt;=0,0,MAX(0,(AI218-AJ218)/AI218)))</f>
        <v>0.60941639798684577</v>
      </c>
      <c r="AE219" s="18">
        <f>IF($A219&gt;'1-Input'!$B$26,0,(MAX(0,AD176-IF($A219&gt;='1-Input'!$C$12,'1-Input'!$B$12,0))-MIN(MAX(AH218,0),MAX(0,AD176-IF($A219&gt;='1-Input'!$C$12,'1-Input'!$B$12,0))))*(1/(1-'P-Parametri'!$B$6*AD219))+MIN(MAX(0,AI218-(MAX(0,AD176-IF($A219&gt;='1-Input'!$C$12,'1-Input'!$B$12,0))-MIN(MAX(AH218,0),MAX(0,AD176-IF($A219&gt;='1-Input'!$C$12,'1-Input'!$B$12,0))))*(1/(1-'P-Parametri'!$B$6*AD219))),MAX(0,1*AD176-(AH218-MIN(MAX(AH218,0),MAX(0,AD176-IF($A219&gt;='1-Input'!$C$12,'1-Input'!$B$12,0)))))*(1/(1-'P-Parametri'!$B$6*AD219))))</f>
        <v>6993.3601936659197</v>
      </c>
      <c r="AF219" s="18">
        <f>IF($A219&gt;'1-Input'!$B$26,AH218,(AH218-MAX(0,AD176-IF($A219&gt;='1-Input'!$C$12,'1-Input'!$B$12,0))+AE219*(1-'P-Parametri'!$B$6*AD219))*(1+'1-Input'!$B$27))</f>
        <v>16865.404770046734</v>
      </c>
      <c r="AG219" s="18">
        <f>IF($A219&gt;'1-Input'!$B$26,AI218,(AI218-AE219)*(1+$B$4))</f>
        <v>7910.7951519462467</v>
      </c>
      <c r="AH219" s="18">
        <f>IF($A219&gt;'1-Input'!$B$26,AF219,AF219-'P-Parametri'!$B$8*(AG219+AF219)+MIN(MAX(AG219,0),'P-Parametri'!$B$8*(AG219+AF219)))</f>
        <v>16865.404770046734</v>
      </c>
      <c r="AI219" s="18">
        <f>IF($A219&gt;'1-Input'!$B$26,AG219,AG219-MIN(MAX(AG219,0),'P-Parametri'!$B$8*(AG219+AF219)))</f>
        <v>7861.242752102261</v>
      </c>
      <c r="AJ219" s="18">
        <f>IF($A219&gt;'1-Input'!$B$26,AJ218,AJ218-AE219*(1-AD219))</f>
        <v>3029.2420247405512</v>
      </c>
      <c r="AK219" s="11">
        <f>IF($A219&gt;'1-Input'!$B$26,0,IF(AP218&lt;=0,0,MAX(0,(AP218-AQ218)/AP218)))</f>
        <v>0.60941639798029035</v>
      </c>
      <c r="AL219" s="18">
        <f>IF($A219&gt;'1-Input'!$B$26,0,(MAX(0,AK176-IF($A219&gt;='1-Input'!$C$12,'1-Input'!$B$12,0))-MIN(MAX(AO218,0),MAX(0,AK176-IF($A219&gt;='1-Input'!$C$12,'1-Input'!$B$12,0))))*(1/(1-'P-Parametri'!$B$6*AK219))+MIN(MAX(0,AP218-(MAX(0,AK176-IF($A219&gt;='1-Input'!$C$12,'1-Input'!$B$12,0))-MIN(MAX(AO218,0),MAX(0,AK176-IF($A219&gt;='1-Input'!$C$12,'1-Input'!$B$12,0))))*(1/(1-'P-Parametri'!$B$6*AK219))),MAX(0,1*AK176-(AO218-MIN(MAX(AO218,0),MAX(0,AK176-IF($A219&gt;='1-Input'!$C$12,'1-Input'!$B$12,0)))))*(1/(1-'P-Parametri'!$B$6*AK219))))</f>
        <v>6993.3601944149877</v>
      </c>
      <c r="AM219" s="18">
        <f>IF($A219&gt;'1-Input'!$B$26,AO218,(AO218-MAX(0,AK176-IF($A219&gt;='1-Input'!$C$12,'1-Input'!$B$12,0))+AL219*(1-'P-Parametri'!$B$6*AK219))*(1+'1-Input'!$B$27))</f>
        <v>16865.404770684429</v>
      </c>
      <c r="AN219" s="18">
        <f>IF($A219&gt;'1-Input'!$B$26,AP218,(AP218-AL219)*(1+$B$4))</f>
        <v>7910.7951066465275</v>
      </c>
      <c r="AO219" s="18">
        <f>IF($A219&gt;'1-Input'!$B$26,AM219,AM219-'P-Parametri'!$B$8*(AN219+AM219)+MIN(MAX(AN219,0),'P-Parametri'!$B$8*(AN219+AM219)))</f>
        <v>16865.404770684429</v>
      </c>
      <c r="AP219" s="18">
        <f>IF($A219&gt;'1-Input'!$B$26,AN219,AN219-MIN(MAX(AN219,0),'P-Parametri'!$B$8*(AN219+AM219)))</f>
        <v>7861.242706891866</v>
      </c>
      <c r="AQ219" s="18">
        <f>IF($A219&gt;'1-Input'!$B$26,AQ218,AQ218-AL219*(1-AK219))</f>
        <v>3029.2420074449933</v>
      </c>
    </row>
    <row r="220" spans="1:43">
      <c r="A220" s="10">
        <f>42</f>
        <v>42</v>
      </c>
      <c r="B220" s="11">
        <f>IF($A220&gt;'1-Input'!$B$26,0,IF(G219&lt;=0,0,MAX(0,(G219-H219)/G219)))</f>
        <v>0.61729512236793171</v>
      </c>
      <c r="C220" s="18">
        <f>IF($A220&gt;'1-Input'!$B$26,0,(MAX(0,B176-IF($A220&gt;='1-Input'!$C$12,'1-Input'!$B$12,0))-MIN(MAX(F219,0),MAX(0,B176-IF($A220&gt;='1-Input'!$C$12,'1-Input'!$B$12,0))))*(1/(1-'P-Parametri'!$B$6*B220))+MIN(MAX(0,G219-(MAX(0,B176-IF($A220&gt;='1-Input'!$C$12,'1-Input'!$B$12,0))-MIN(MAX(F219,0),MAX(0,B176-IF($A220&gt;='1-Input'!$C$12,'1-Input'!$B$12,0))))*(1/(1-'P-Parametri'!$B$6*B220))),MAX(0,1*B176-(F219-MIN(MAX(F219,0),MAX(0,B176-IF($A220&gt;='1-Input'!$C$12,'1-Input'!$B$12,0)))))*(1/(1-'P-Parametri'!$B$6*B220))))</f>
        <v>6717.1949502407679</v>
      </c>
      <c r="D220" s="18">
        <f>IF($A220&gt;'1-Input'!$B$26,F219,(F219-MAX(0,B176-IF($A220&gt;='1-Input'!$C$12,'1-Input'!$B$12,0))+C220*(1-'P-Parametri'!$B$6*B220))*(1+'1-Input'!$B$27))</f>
        <v>16621.00351549315</v>
      </c>
      <c r="E220" s="18">
        <f>IF($A220&gt;'1-Input'!$B$26,G219,(G219-C220)*(1+$B$4))</f>
        <v>18846.775348277857</v>
      </c>
      <c r="F220" s="18">
        <f>IF($A220&gt;'1-Input'!$B$26,D220,D220-'P-Parametri'!$B$8*(E220+D220)+MIN(MAX(E220,0),'P-Parametri'!$B$8*(E220+D220)))</f>
        <v>16621.00351549315</v>
      </c>
      <c r="G220" s="18">
        <f>IF($A220&gt;'1-Input'!$B$26,E220,E220-MIN(MAX(E220,0),'P-Parametri'!$B$8*(E220+D220)))</f>
        <v>18775.839790550315</v>
      </c>
      <c r="H220" s="18">
        <f>IF($A220&gt;'1-Input'!$B$26,H219,H219-C220*(1-B220))</f>
        <v>7071.3263268840765</v>
      </c>
      <c r="I220" s="11">
        <f>IF($A220&gt;'1-Input'!$B$26,0,IF(N219&lt;=0,0,MAX(0,(N219-O219)/N219)))</f>
        <v>0</v>
      </c>
      <c r="J220" s="18">
        <f>IF($A220&gt;'1-Input'!$B$26,0,(MAX(0,I176-IF($A220&gt;='1-Input'!$C$12,'1-Input'!$B$12,0))-MIN(MAX(M219,0),MAX(0,I176-IF($A220&gt;='1-Input'!$C$12,'1-Input'!$B$12,0))))*(1/(1-'P-Parametri'!$B$6*I220))+MIN(MAX(0,N219-(MAX(0,I176-IF($A220&gt;='1-Input'!$C$12,'1-Input'!$B$12,0))-MIN(MAX(M219,0),MAX(0,I176-IF($A220&gt;='1-Input'!$C$12,'1-Input'!$B$12,0))))*(1/(1-'P-Parametri'!$B$6*I220))),MAX(0,1*I176-(M219-MIN(MAX(M219,0),MAX(0,I176-IF($A220&gt;='1-Input'!$C$12,'1-Input'!$B$12,0)))))*(1/(1-'P-Parametri'!$B$6*I220))))</f>
        <v>10846.756992928691</v>
      </c>
      <c r="K220" s="18">
        <f>IF($A220&gt;'1-Input'!$B$26,M219,(M219-MAX(0,I176-IF($A220&gt;='1-Input'!$C$12,'1-Input'!$B$12,0))+J220*(1-'P-Parametri'!$B$6*I220))*(1+'1-Input'!$B$27))</f>
        <v>0</v>
      </c>
      <c r="L220" s="18">
        <f>IF($A220&gt;'1-Input'!$B$26,N219,(N219-J220)*(1+$B$4))</f>
        <v>-281748.33624461235</v>
      </c>
      <c r="M220" s="18">
        <f>IF($A220&gt;'1-Input'!$B$26,K220,K220-'P-Parametri'!$B$8*(L220+K220)+MIN(MAX(L220,0),'P-Parametri'!$B$8*(L220+K220)))</f>
        <v>0</v>
      </c>
      <c r="N220" s="18">
        <f>IF($A220&gt;'1-Input'!$B$26,L220,L220-MIN(MAX(L220,0),'P-Parametri'!$B$8*(L220+K220)))</f>
        <v>-281184.83957212314</v>
      </c>
      <c r="O220" s="18">
        <f>IF($A220&gt;'1-Input'!$B$26,O219,O219-J220*(1-I220))</f>
        <v>-229518.21266424045</v>
      </c>
      <c r="P220" s="11">
        <f>IF($A220&gt;'1-Input'!$B$26,0,IF(U219&lt;=0,0,MAX(0,(U219-V219)/U219)))</f>
        <v>0.61484768766858922</v>
      </c>
      <c r="Q220" s="18">
        <f>IF($A220&gt;'1-Input'!$B$26,0,(MAX(0,P176-IF($A220&gt;='1-Input'!$C$12,'1-Input'!$B$12,0))-MIN(MAX(T219,0),MAX(0,P176-IF($A220&gt;='1-Input'!$C$12,'1-Input'!$B$12,0))))*(1/(1-'P-Parametri'!$B$6*P220))+MIN(MAX(0,U219-(MAX(0,P176-IF($A220&gt;='1-Input'!$C$12,'1-Input'!$B$12,0))-MIN(MAX(T219,0),MAX(0,P176-IF($A220&gt;='1-Input'!$C$12,'1-Input'!$B$12,0))))*(1/(1-'P-Parametri'!$B$6*P220))),MAX(0,1*P176-(T219-MIN(MAX(T219,0),MAX(0,P176-IF($A220&gt;='1-Input'!$C$12,'1-Input'!$B$12,0)))))*(1/(1-'P-Parametri'!$B$6*P220))))</f>
        <v>6995.7460593479964</v>
      </c>
      <c r="R220" s="18">
        <f>IF($A220&gt;'1-Input'!$B$26,T219,(T219-MAX(0,P176-IF($A220&gt;='1-Input'!$C$12,'1-Input'!$B$12,0))+Q220*(1-'P-Parametri'!$B$6*P220))*(1+'1-Input'!$B$27))</f>
        <v>16857.590128083153</v>
      </c>
      <c r="S220" s="18">
        <f>IF($A220&gt;'1-Input'!$B$26,U219,(U219-Q220)*(1+$B$4))</f>
        <v>1447.9290529015454</v>
      </c>
      <c r="T220" s="18">
        <f>IF($A220&gt;'1-Input'!$B$26,R220,R220-'P-Parametri'!$B$8*(S220+R220)+MIN(MAX(S220,0),'P-Parametri'!$B$8*(S220+R220)))</f>
        <v>16857.590128083153</v>
      </c>
      <c r="U220" s="18">
        <f>IF($A220&gt;'1-Input'!$B$26,S220,S220-MIN(MAX(S220,0),'P-Parametri'!$B$8*(S220+R220)))</f>
        <v>1411.3180145395761</v>
      </c>
      <c r="V220" s="18">
        <f>IF($A220&gt;'1-Input'!$B$26,V219,V219-Q220*(1-P220))</f>
        <v>546.73845374201983</v>
      </c>
      <c r="W220" s="11">
        <f>IF($A220&gt;'1-Input'!$B$26,0,IF(AB219&lt;=0,0,MAX(0,(AB219-AC219)/AB219)))</f>
        <v>0.61467170421001183</v>
      </c>
      <c r="X220" s="18">
        <f>IF($A220&gt;'1-Input'!$B$26,0,(MAX(0,W176-IF($A220&gt;='1-Input'!$C$12,'1-Input'!$B$12,0))-MIN(MAX(AA219,0),MAX(0,W176-IF($A220&gt;='1-Input'!$C$12,'1-Input'!$B$12,0))))*(1/(1-'P-Parametri'!$B$6*W220))+MIN(MAX(0,AB219-(MAX(0,W176-IF($A220&gt;='1-Input'!$C$12,'1-Input'!$B$12,0))-MIN(MAX(AA219,0),MAX(0,W176-IF($A220&gt;='1-Input'!$C$12,'1-Input'!$B$12,0))))*(1/(1-'P-Parametri'!$B$6*W220))),MAX(0,1*W176-(AA219-MIN(MAX(AA219,0),MAX(0,W176-IF($A220&gt;='1-Input'!$C$12,'1-Input'!$B$12,0)))))*(1/(1-'P-Parametri'!$B$6*W220))))</f>
        <v>7004.2289574775787</v>
      </c>
      <c r="Y220" s="18">
        <f>IF($A220&gt;'1-Input'!$B$26,AA219,(AA219-MAX(0,W176-IF($A220&gt;='1-Input'!$C$12,'1-Input'!$B$12,0))+X220*(1-'P-Parametri'!$B$6*W220))*(1+'1-Input'!$B$27))</f>
        <v>16864.984001895245</v>
      </c>
      <c r="Z220" s="18">
        <f>IF($A220&gt;'1-Input'!$B$26,AB219,(AB219-X220)*(1+$B$4))</f>
        <v>904.58179725935986</v>
      </c>
      <c r="AA220" s="18">
        <f>IF($A220&gt;'1-Input'!$B$26,Y220,Y220-'P-Parametri'!$B$8*(Z220+Y220)+MIN(MAX(Z220,0),'P-Parametri'!$B$8*(Z220+Y220)))</f>
        <v>16864.984001895245</v>
      </c>
      <c r="AB220" s="18">
        <f>IF($A220&gt;'1-Input'!$B$26,Z220,Z220-MIN(MAX(Z220,0),'P-Parametri'!$B$8*(Z220+Y220)))</f>
        <v>869.04266566105071</v>
      </c>
      <c r="AC220" s="18">
        <f>IF($A220&gt;'1-Input'!$B$26,AC219,AC219-X220*(1-W220))</f>
        <v>341.72643366724833</v>
      </c>
      <c r="AD220" s="11">
        <f>IF($A220&gt;'1-Input'!$B$26,0,IF(AI219&lt;=0,0,MAX(0,(AI219-AJ219)/AI219)))</f>
        <v>0.61466117759428462</v>
      </c>
      <c r="AE220" s="18">
        <f>IF($A220&gt;'1-Input'!$B$26,0,(MAX(0,AD176-IF($A220&gt;='1-Input'!$C$12,'1-Input'!$B$12,0))-MIN(MAX(AH219,0),MAX(0,AD176-IF($A220&gt;='1-Input'!$C$12,'1-Input'!$B$12,0))))*(1/(1-'P-Parametri'!$B$6*AD220))+MIN(MAX(0,AI219-(MAX(0,AD176-IF($A220&gt;='1-Input'!$C$12,'1-Input'!$B$12,0))-MIN(MAX(AH219,0),MAX(0,AD176-IF($A220&gt;='1-Input'!$C$12,'1-Input'!$B$12,0))))*(1/(1-'P-Parametri'!$B$6*AD220))),MAX(0,1*AD176-(AH219-MIN(MAX(AH219,0),MAX(0,AD176-IF($A220&gt;='1-Input'!$C$12,'1-Input'!$B$12,0)))))*(1/(1-'P-Parametri'!$B$6*AD220))))</f>
        <v>7004.7105622705194</v>
      </c>
      <c r="AF220" s="18">
        <f>IF($A220&gt;'1-Input'!$B$26,AH219,(AH219-MAX(0,AD176-IF($A220&gt;='1-Input'!$C$12,'1-Input'!$B$12,0))+AE220*(1-'P-Parametri'!$B$6*AD220))*(1+'1-Input'!$B$27))</f>
        <v>16865.404770046734</v>
      </c>
      <c r="AG220" s="18">
        <f>IF($A220&gt;'1-Input'!$B$26,AI219,(AI219-AE220)*(1+$B$4))</f>
        <v>873.66283362837646</v>
      </c>
      <c r="AH220" s="18">
        <f>IF($A220&gt;'1-Input'!$B$26,AF220,AF220-'P-Parametri'!$B$8*(AG220+AF220)+MIN(MAX(AG220,0),'P-Parametri'!$B$8*(AG220+AF220)))</f>
        <v>16865.404770046734</v>
      </c>
      <c r="AI220" s="18">
        <f>IF($A220&gt;'1-Input'!$B$26,AG220,AG220-MIN(MAX(AG220,0),'P-Parametri'!$B$8*(AG220+AF220)))</f>
        <v>838.18469842102627</v>
      </c>
      <c r="AJ220" s="18">
        <f>IF($A220&gt;'1-Input'!$B$26,AJ219,AJ219-AE220*(1-AD220))</f>
        <v>330.05510538235285</v>
      </c>
      <c r="AK220" s="11">
        <f>IF($A220&gt;'1-Input'!$B$26,0,IF(AP219&lt;=0,0,MAX(0,(AP219-AQ219)/AP219)))</f>
        <v>0.61466117757828675</v>
      </c>
      <c r="AL220" s="18">
        <f>IF($A220&gt;'1-Input'!$B$26,0,(MAX(0,AK176-IF($A220&gt;='1-Input'!$C$12,'1-Input'!$B$12,0))-MIN(MAX(AO219,0),MAX(0,AK176-IF($A220&gt;='1-Input'!$C$12,'1-Input'!$B$12,0))))*(1/(1-'P-Parametri'!$B$6*AK220))+MIN(MAX(0,AP219-(MAX(0,AK176-IF($A220&gt;='1-Input'!$C$12,'1-Input'!$B$12,0))-MIN(MAX(AO219,0),MAX(0,AK176-IF($A220&gt;='1-Input'!$C$12,'1-Input'!$B$12,0))))*(1/(1-'P-Parametri'!$B$6*AK220))),MAX(0,1*AK176-(AO219-MIN(MAX(AO219,0),MAX(0,AK176-IF($A220&gt;='1-Input'!$C$12,'1-Input'!$B$12,0)))))*(1/(1-'P-Parametri'!$B$6*AK220))))</f>
        <v>7004.7105630003125</v>
      </c>
      <c r="AM220" s="18">
        <f>IF($A220&gt;'1-Input'!$B$26,AO219,(AO219-MAX(0,AK176-IF($A220&gt;='1-Input'!$C$12,'1-Input'!$B$12,0))+AL220*(1-'P-Parametri'!$B$6*AK220))*(1+'1-Input'!$B$27))</f>
        <v>16865.404770684429</v>
      </c>
      <c r="AN220" s="18">
        <f>IF($A220&gt;'1-Input'!$B$26,AP219,(AP219-AL220)*(1+$B$4))</f>
        <v>873.66278676938452</v>
      </c>
      <c r="AO220" s="18">
        <f>IF($A220&gt;'1-Input'!$B$26,AM220,AM220-'P-Parametri'!$B$8*(AN220+AM220)+MIN(MAX(AN220,0),'P-Parametri'!$B$8*(AN220+AM220)))</f>
        <v>16865.404770684429</v>
      </c>
      <c r="AP220" s="18">
        <f>IF($A220&gt;'1-Input'!$B$26,AN220,AN220-MIN(MAX(AN220,0),'P-Parametri'!$B$8*(AN220+AM220)))</f>
        <v>838.18465165447685</v>
      </c>
      <c r="AQ220" s="18">
        <f>IF($A220&gt;'1-Input'!$B$26,AQ219,AQ219-AL220*(1-AK220))</f>
        <v>330.05508769351673</v>
      </c>
    </row>
    <row r="221" spans="1:43">
      <c r="A221" s="10">
        <f>43</f>
        <v>43</v>
      </c>
      <c r="B221" s="11">
        <f>IF($A221&gt;'1-Input'!$B$26,0,IF(G220&lt;=0,0,MAX(0,(G220-H220)/G220)))</f>
        <v>0.62338162203306602</v>
      </c>
      <c r="C221" s="18">
        <f>IF($A221&gt;'1-Input'!$B$26,0,(MAX(0,B176-IF($A221&gt;='1-Input'!$C$12,'1-Input'!$B$12,0))-MIN(MAX(F220,0),MAX(0,B176-IF($A221&gt;='1-Input'!$C$12,'1-Input'!$B$12,0))))*(1/(1-'P-Parametri'!$B$6*B221))+MIN(MAX(0,G220-(MAX(0,B176-IF($A221&gt;='1-Input'!$C$12,'1-Input'!$B$12,0))-MIN(MAX(F220,0),MAX(0,B176-IF($A221&gt;='1-Input'!$C$12,'1-Input'!$B$12,0))))*(1/(1-'P-Parametri'!$B$6*B221))),MAX(0,1*B176-(F220-MIN(MAX(F220,0),MAX(0,B176-IF($A221&gt;='1-Input'!$C$12,'1-Input'!$B$12,0)))))*(1/(1-'P-Parametri'!$B$6*B221))))</f>
        <v>6729.8809863525612</v>
      </c>
      <c r="D221" s="18">
        <f>IF($A221&gt;'1-Input'!$B$26,F220,(F220-MAX(0,B176-IF($A221&gt;='1-Input'!$C$12,'1-Input'!$B$12,0))+C221*(1-'P-Parametri'!$B$6*B221))*(1+'1-Input'!$B$27))</f>
        <v>16621.00351549315</v>
      </c>
      <c r="E221" s="18">
        <f>IF($A221&gt;'1-Input'!$B$26,G220,(G220-C221)*(1+$B$4))</f>
        <v>12286.87798028171</v>
      </c>
      <c r="F221" s="18">
        <f>IF($A221&gt;'1-Input'!$B$26,D221,D221-'P-Parametri'!$B$8*(E221+D221)+MIN(MAX(E221,0),'P-Parametri'!$B$8*(E221+D221)))</f>
        <v>16621.00351549315</v>
      </c>
      <c r="G221" s="18">
        <f>IF($A221&gt;'1-Input'!$B$26,E221,E221-MIN(MAX(E221,0),'P-Parametri'!$B$8*(E221+D221)))</f>
        <v>12229.06221729016</v>
      </c>
      <c r="H221" s="18">
        <f>IF($A221&gt;'1-Input'!$B$26,H220,H220-C221*(1-B221))</f>
        <v>4536.7294658934652</v>
      </c>
      <c r="I221" s="11">
        <f>IF($A221&gt;'1-Input'!$B$26,0,IF(N220&lt;=0,0,MAX(0,(N220-O220)/N220)))</f>
        <v>0</v>
      </c>
      <c r="J221" s="18">
        <f>IF($A221&gt;'1-Input'!$B$26,0,(MAX(0,I176-IF($A221&gt;='1-Input'!$C$12,'1-Input'!$B$12,0))-MIN(MAX(M220,0),MAX(0,I176-IF($A221&gt;='1-Input'!$C$12,'1-Input'!$B$12,0))))*(1/(1-'P-Parametri'!$B$6*I221))+MIN(MAX(0,N220-(MAX(0,I176-IF($A221&gt;='1-Input'!$C$12,'1-Input'!$B$12,0))-MIN(MAX(M220,0),MAX(0,I176-IF($A221&gt;='1-Input'!$C$12,'1-Input'!$B$12,0))))*(1/(1-'P-Parametri'!$B$6*I221))),MAX(0,1*I176-(M220-MIN(MAX(M220,0),MAX(0,I176-IF($A221&gt;='1-Input'!$C$12,'1-Input'!$B$12,0)))))*(1/(1-'P-Parametri'!$B$6*I221))))</f>
        <v>10846.756992928691</v>
      </c>
      <c r="K221" s="18">
        <f>IF($A221&gt;'1-Input'!$B$26,M220,(M220-MAX(0,I176-IF($A221&gt;='1-Input'!$C$12,'1-Input'!$B$12,0))+J221*(1-'P-Parametri'!$B$6*I221))*(1+'1-Input'!$B$27))</f>
        <v>0</v>
      </c>
      <c r="L221" s="18">
        <f>IF($A221&gt;'1-Input'!$B$26,N220,(N220-J221)*(1+$B$4))</f>
        <v>-297872.22849635285</v>
      </c>
      <c r="M221" s="18">
        <f>IF($A221&gt;'1-Input'!$B$26,K221,K221-'P-Parametri'!$B$8*(L221+K221)+MIN(MAX(L221,0),'P-Parametri'!$B$8*(L221+K221)))</f>
        <v>0</v>
      </c>
      <c r="N221" s="18">
        <f>IF($A221&gt;'1-Input'!$B$26,L221,L221-MIN(MAX(L221,0),'P-Parametri'!$B$8*(L221+K221)))</f>
        <v>-297276.48403936013</v>
      </c>
      <c r="O221" s="18">
        <f>IF($A221&gt;'1-Input'!$B$26,O220,O220-J221*(1-I221))</f>
        <v>-240364.96965716913</v>
      </c>
      <c r="P221" s="11">
        <f>IF($A221&gt;'1-Input'!$B$26,0,IF(U220&lt;=0,0,MAX(0,(U220-V220)/U220)))</f>
        <v>0.61260435415019765</v>
      </c>
      <c r="Q221" s="18">
        <f>IF($A221&gt;'1-Input'!$B$26,0,(MAX(0,P176-IF($A221&gt;='1-Input'!$C$12,'1-Input'!$B$12,0))-MIN(MAX(T220,0),MAX(0,P176-IF($A221&gt;='1-Input'!$C$12,'1-Input'!$B$12,0))))*(1/(1-'P-Parametri'!$B$6*P221))+MIN(MAX(0,U220-(MAX(0,P176-IF($A221&gt;='1-Input'!$C$12,'1-Input'!$B$12,0))-MIN(MAX(T220,0),MAX(0,P176-IF($A221&gt;='1-Input'!$C$12,'1-Input'!$B$12,0))))*(1/(1-'P-Parametri'!$B$6*P221))),MAX(0,1*P176-(T220-MIN(MAX(T220,0),MAX(0,P176-IF($A221&gt;='1-Input'!$C$12,'1-Input'!$B$12,0)))))*(1/(1-'P-Parametri'!$B$6*P221))))</f>
        <v>1411.3180145395761</v>
      </c>
      <c r="R221" s="18">
        <f>IF($A221&gt;'1-Input'!$B$26,T220,(T220-MAX(0,P176-IF($A221&gt;='1-Input'!$C$12,'1-Input'!$B$12,0))+Q221*(1-'P-Parametri'!$B$6*P221))*(1+'1-Input'!$B$27))</f>
        <v>12183.601305887676</v>
      </c>
      <c r="S221" s="18">
        <f>IF($A221&gt;'1-Input'!$B$26,U220,(U220-Q221)*(1+$B$4))</f>
        <v>0</v>
      </c>
      <c r="T221" s="18">
        <f>IF($A221&gt;'1-Input'!$B$26,R221,R221-'P-Parametri'!$B$8*(S221+R221)+MIN(MAX(S221,0),'P-Parametri'!$B$8*(S221+R221)))</f>
        <v>12159.234103275901</v>
      </c>
      <c r="U221" s="18">
        <f>IF($A221&gt;'1-Input'!$B$26,S221,S221-MIN(MAX(S221,0),'P-Parametri'!$B$8*(S221+R221)))</f>
        <v>0</v>
      </c>
      <c r="V221" s="18">
        <f>IF($A221&gt;'1-Input'!$B$26,V220,V220-Q221*(1-P221))</f>
        <v>0</v>
      </c>
      <c r="W221" s="11">
        <f>IF($A221&gt;'1-Input'!$B$26,0,IF(AB220&lt;=0,0,MAX(0,(AB220-AC220)/AB220)))</f>
        <v>0.60677830080148154</v>
      </c>
      <c r="X221" s="18">
        <f>IF($A221&gt;'1-Input'!$B$26,0,(MAX(0,W176-IF($A221&gt;='1-Input'!$C$12,'1-Input'!$B$12,0))-MIN(MAX(AA220,0),MAX(0,W176-IF($A221&gt;='1-Input'!$C$12,'1-Input'!$B$12,0))))*(1/(1-'P-Parametri'!$B$6*W221))+MIN(MAX(0,AB220-(MAX(0,W176-IF($A221&gt;='1-Input'!$C$12,'1-Input'!$B$12,0))-MIN(MAX(AA220,0),MAX(0,W176-IF($A221&gt;='1-Input'!$C$12,'1-Input'!$B$12,0))))*(1/(1-'P-Parametri'!$B$6*W221))),MAX(0,1*W176-(AA220-MIN(MAX(AA220,0),MAX(0,W176-IF($A221&gt;='1-Input'!$C$12,'1-Input'!$B$12,0)))))*(1/(1-'P-Parametri'!$B$6*W221))))</f>
        <v>869.04266566105071</v>
      </c>
      <c r="Y221" s="18">
        <f>IF($A221&gt;'1-Input'!$B$26,AA220,(AA220-MAX(0,W176-IF($A221&gt;='1-Input'!$C$12,'1-Input'!$B$12,0))+X221*(1-'P-Parametri'!$B$6*W221))*(1+'1-Input'!$B$27))</f>
        <v>11730.624317332604</v>
      </c>
      <c r="Z221" s="18">
        <f>IF($A221&gt;'1-Input'!$B$26,AB220,(AB220-X221)*(1+$B$4))</f>
        <v>0</v>
      </c>
      <c r="AA221" s="18">
        <f>IF($A221&gt;'1-Input'!$B$26,Y221,Y221-'P-Parametri'!$B$8*(Z221+Y221)+MIN(MAX(Z221,0),'P-Parametri'!$B$8*(Z221+Y221)))</f>
        <v>11707.163068697939</v>
      </c>
      <c r="AB221" s="18">
        <f>IF($A221&gt;'1-Input'!$B$26,Z221,Z221-MIN(MAX(Z221,0),'P-Parametri'!$B$8*(Z221+Y221)))</f>
        <v>0</v>
      </c>
      <c r="AC221" s="18">
        <f>IF($A221&gt;'1-Input'!$B$26,AC220,AC220-X221*(1-W221))</f>
        <v>0</v>
      </c>
      <c r="AD221" s="11">
        <f>IF($A221&gt;'1-Input'!$B$26,0,IF(AI220&lt;=0,0,MAX(0,(AI220-AJ220)/AI220)))</f>
        <v>0.60622628162490777</v>
      </c>
      <c r="AE221" s="18">
        <f>IF($A221&gt;'1-Input'!$B$26,0,(MAX(0,AD176-IF($A221&gt;='1-Input'!$C$12,'1-Input'!$B$12,0))-MIN(MAX(AH220,0),MAX(0,AD176-IF($A221&gt;='1-Input'!$C$12,'1-Input'!$B$12,0))))*(1/(1-'P-Parametri'!$B$6*AD221))+MIN(MAX(0,AI220-(MAX(0,AD176-IF($A221&gt;='1-Input'!$C$12,'1-Input'!$B$12,0))-MIN(MAX(AH220,0),MAX(0,AD176-IF($A221&gt;='1-Input'!$C$12,'1-Input'!$B$12,0))))*(1/(1-'P-Parametri'!$B$6*AD221))),MAX(0,1*AD176-(AH220-MIN(MAX(AH220,0),MAX(0,AD176-IF($A221&gt;='1-Input'!$C$12,'1-Input'!$B$12,0)))))*(1/(1-'P-Parametri'!$B$6*AD221))))</f>
        <v>838.18469842102627</v>
      </c>
      <c r="AF221" s="18">
        <f>IF($A221&gt;'1-Input'!$B$26,AH220,(AH220-MAX(0,AD176-IF($A221&gt;='1-Input'!$C$12,'1-Input'!$B$12,0))+AE221*(1-'P-Parametri'!$B$6*AD221))*(1+'1-Input'!$B$27))</f>
        <v>11704.846491443568</v>
      </c>
      <c r="AG221" s="18">
        <f>IF($A221&gt;'1-Input'!$B$26,AI220,(AI220-AE221)*(1+$B$4))</f>
        <v>0</v>
      </c>
      <c r="AH221" s="18">
        <f>IF($A221&gt;'1-Input'!$B$26,AF221,AF221-'P-Parametri'!$B$8*(AG221+AF221)+MIN(MAX(AG221,0),'P-Parametri'!$B$8*(AG221+AF221)))</f>
        <v>11681.436798460682</v>
      </c>
      <c r="AI221" s="18">
        <f>IF($A221&gt;'1-Input'!$B$26,AG221,AG221-MIN(MAX(AG221,0),'P-Parametri'!$B$8*(AG221+AF221)))</f>
        <v>0</v>
      </c>
      <c r="AJ221" s="18">
        <f>IF($A221&gt;'1-Input'!$B$26,AJ220,AJ220-AE221*(1-AD221))</f>
        <v>5.6843418860808015E-14</v>
      </c>
      <c r="AK221" s="11">
        <f>IF($A221&gt;'1-Input'!$B$26,0,IF(AP220&lt;=0,0,MAX(0,(AP220-AQ220)/AP220)))</f>
        <v>0.60622628075803198</v>
      </c>
      <c r="AL221" s="18">
        <f>IF($A221&gt;'1-Input'!$B$26,0,(MAX(0,AK176-IF($A221&gt;='1-Input'!$C$12,'1-Input'!$B$12,0))-MIN(MAX(AO220,0),MAX(0,AK176-IF($A221&gt;='1-Input'!$C$12,'1-Input'!$B$12,0))))*(1/(1-'P-Parametri'!$B$6*AK221))+MIN(MAX(0,AP220-(MAX(0,AK176-IF($A221&gt;='1-Input'!$C$12,'1-Input'!$B$12,0))-MIN(MAX(AO220,0),MAX(0,AK176-IF($A221&gt;='1-Input'!$C$12,'1-Input'!$B$12,0))))*(1/(1-'P-Parametri'!$B$6*AK221))),MAX(0,1*AK176-(AO220-MIN(MAX(AO220,0),MAX(0,AK176-IF($A221&gt;='1-Input'!$C$12,'1-Input'!$B$12,0)))))*(1/(1-'P-Parametri'!$B$6*AK221))))</f>
        <v>838.18465165447685</v>
      </c>
      <c r="AM221" s="18">
        <f>IF($A221&gt;'1-Input'!$B$26,AO220,(AO220-MAX(0,AK176-IF($A221&gt;='1-Input'!$C$12,'1-Input'!$B$12,0))+AL221*(1-'P-Parametri'!$B$6*AK221))*(1+'1-Input'!$B$27))</f>
        <v>11704.846452376074</v>
      </c>
      <c r="AN221" s="18">
        <f>IF($A221&gt;'1-Input'!$B$26,AP220,(AP220-AL221)*(1+$B$4))</f>
        <v>0</v>
      </c>
      <c r="AO221" s="18">
        <f>IF($A221&gt;'1-Input'!$B$26,AM221,AM221-'P-Parametri'!$B$8*(AN221+AM221)+MIN(MAX(AN221,0),'P-Parametri'!$B$8*(AN221+AM221)))</f>
        <v>11681.436759471322</v>
      </c>
      <c r="AP221" s="18">
        <f>IF($A221&gt;'1-Input'!$B$26,AN221,AN221-MIN(MAX(AN221,0),'P-Parametri'!$B$8*(AN221+AM221)))</f>
        <v>0</v>
      </c>
      <c r="AQ221" s="18">
        <f>IF($A221&gt;'1-Input'!$B$26,AQ220,AQ220-AL221*(1-AK221))</f>
        <v>0</v>
      </c>
    </row>
    <row r="222" spans="1:43">
      <c r="A222" s="10">
        <f>44</f>
        <v>44</v>
      </c>
      <c r="B222" s="11">
        <f>IF($A222&gt;'1-Input'!$B$26,0,IF(G221&lt;=0,0,MAX(0,(G221-H221)/G221)))</f>
        <v>0.62902065708037913</v>
      </c>
      <c r="C222" s="18">
        <f>IF($A222&gt;'1-Input'!$B$26,0,(MAX(0,B176-IF($A222&gt;='1-Input'!$C$12,'1-Input'!$B$12,0))-MIN(MAX(F221,0),MAX(0,B176-IF($A222&gt;='1-Input'!$C$12,'1-Input'!$B$12,0))))*(1/(1-'P-Parametri'!$B$6*B222))+MIN(MAX(0,G221-(MAX(0,B176-IF($A222&gt;='1-Input'!$C$12,'1-Input'!$B$12,0))-MIN(MAX(F221,0),MAX(0,B176-IF($A222&gt;='1-Input'!$C$12,'1-Input'!$B$12,0))))*(1/(1-'P-Parametri'!$B$6*B222))),MAX(0,1*B176-(F221-MIN(MAX(F221,0),MAX(0,B176-IF($A222&gt;='1-Input'!$C$12,'1-Input'!$B$12,0)))))*(1/(1-'P-Parametri'!$B$6*B222))))</f>
        <v>6741.6772137749076</v>
      </c>
      <c r="D222" s="18">
        <f>IF($A222&gt;'1-Input'!$B$26,F221,(F221-MAX(0,B176-IF($A222&gt;='1-Input'!$C$12,'1-Input'!$B$12,0))+C222*(1-'P-Parametri'!$B$6*B222))*(1+'1-Input'!$B$27))</f>
        <v>16621.00351549315</v>
      </c>
      <c r="E222" s="18">
        <f>IF($A222&gt;'1-Input'!$B$26,G221,(G221-C222)*(1+$B$4))</f>
        <v>5597.1327035855575</v>
      </c>
      <c r="F222" s="18">
        <f>IF($A222&gt;'1-Input'!$B$26,D222,D222-'P-Parametri'!$B$8*(E222+D222)+MIN(MAX(E222,0),'P-Parametri'!$B$8*(E222+D222)))</f>
        <v>16621.00351549315</v>
      </c>
      <c r="G222" s="18">
        <f>IF($A222&gt;'1-Input'!$B$26,E222,E222-MIN(MAX(E222,0),'P-Parametri'!$B$8*(E222+D222)))</f>
        <v>5552.6964311474003</v>
      </c>
      <c r="H222" s="18">
        <f>IF($A222&gt;'1-Input'!$B$26,H221,H221-C222*(1-B222))</f>
        <v>2035.7064829510696</v>
      </c>
      <c r="I222" s="11">
        <f>IF($A222&gt;'1-Input'!$B$26,0,IF(N221&lt;=0,0,MAX(0,(N221-O221)/N221)))</f>
        <v>0</v>
      </c>
      <c r="J222" s="18">
        <f>IF($A222&gt;'1-Input'!$B$26,0,(MAX(0,I176-IF($A222&gt;='1-Input'!$C$12,'1-Input'!$B$12,0))-MIN(MAX(M221,0),MAX(0,I176-IF($A222&gt;='1-Input'!$C$12,'1-Input'!$B$12,0))))*(1/(1-'P-Parametri'!$B$6*I222))+MIN(MAX(0,N221-(MAX(0,I176-IF($A222&gt;='1-Input'!$C$12,'1-Input'!$B$12,0))-MIN(MAX(M221,0),MAX(0,I176-IF($A222&gt;='1-Input'!$C$12,'1-Input'!$B$12,0))))*(1/(1-'P-Parametri'!$B$6*I222))),MAX(0,1*I176-(M221-MIN(MAX(M221,0),MAX(0,I176-IF($A222&gt;='1-Input'!$C$12,'1-Input'!$B$12,0)))))*(1/(1-'P-Parametri'!$B$6*I222))))</f>
        <v>10846.756992928691</v>
      </c>
      <c r="K222" s="18">
        <f>IF($A222&gt;'1-Input'!$B$26,M221,(M221-MAX(0,I176-IF($A222&gt;='1-Input'!$C$12,'1-Input'!$B$12,0))+J222*(1-'P-Parametri'!$B$6*I222))*(1+'1-Input'!$B$27))</f>
        <v>0</v>
      </c>
      <c r="L222" s="18">
        <f>IF($A222&gt;'1-Input'!$B$26,N221,(N221-J222)*(1+$B$4))</f>
        <v>-314285.70585293462</v>
      </c>
      <c r="M222" s="18">
        <f>IF($A222&gt;'1-Input'!$B$26,K222,K222-'P-Parametri'!$B$8*(L222+K222)+MIN(MAX(L222,0),'P-Parametri'!$B$8*(L222+K222)))</f>
        <v>0</v>
      </c>
      <c r="N222" s="18">
        <f>IF($A222&gt;'1-Input'!$B$26,L222,L222-MIN(MAX(L222,0),'P-Parametri'!$B$8*(L222+K222)))</f>
        <v>-313657.13444122876</v>
      </c>
      <c r="O222" s="18">
        <f>IF($A222&gt;'1-Input'!$B$26,O221,O221-J222*(1-I222))</f>
        <v>-251211.72665009781</v>
      </c>
      <c r="P222" s="11">
        <f>IF($A222&gt;'1-Input'!$B$26,0,IF(U221&lt;=0,0,MAX(0,(U221-V221)/U221)))</f>
        <v>0</v>
      </c>
      <c r="Q222" s="18">
        <f>IF($A222&gt;'1-Input'!$B$26,0,(MAX(0,P176-IF($A222&gt;='1-Input'!$C$12,'1-Input'!$B$12,0))-MIN(MAX(T221,0),MAX(0,P176-IF($A222&gt;='1-Input'!$C$12,'1-Input'!$B$12,0))))*(1/(1-'P-Parametri'!$B$6*P222))+MIN(MAX(0,U221-(MAX(0,P176-IF($A222&gt;='1-Input'!$C$12,'1-Input'!$B$12,0))-MIN(MAX(T221,0),MAX(0,P176-IF($A222&gt;='1-Input'!$C$12,'1-Input'!$B$12,0))))*(1/(1-'P-Parametri'!$B$6*P222))),MAX(0,1*P176-(T221-MIN(MAX(T221,0),MAX(0,P176-IF($A222&gt;='1-Input'!$C$12,'1-Input'!$B$12,0)))))*(1/(1-'P-Parametri'!$B$6*P222))))</f>
        <v>0</v>
      </c>
      <c r="R222" s="18">
        <f>IF($A222&gt;'1-Input'!$B$26,T221,(T221-MAX(0,P176-IF($A222&gt;='1-Input'!$C$12,'1-Input'!$B$12,0))+Q222*(1-'P-Parametri'!$B$6*P222))*(1+'1-Input'!$B$27))</f>
        <v>6319.9035324209544</v>
      </c>
      <c r="S222" s="18">
        <f>IF($A222&gt;'1-Input'!$B$26,U221,(U221-Q222)*(1+$B$4))</f>
        <v>0</v>
      </c>
      <c r="T222" s="18">
        <f>IF($A222&gt;'1-Input'!$B$26,R222,R222-'P-Parametri'!$B$8*(S222+R222)+MIN(MAX(S222,0),'P-Parametri'!$B$8*(S222+R222)))</f>
        <v>6307.2637253561124</v>
      </c>
      <c r="U222" s="18">
        <f>IF($A222&gt;'1-Input'!$B$26,S222,S222-MIN(MAX(S222,0),'P-Parametri'!$B$8*(S222+R222)))</f>
        <v>0</v>
      </c>
      <c r="V222" s="18">
        <f>IF($A222&gt;'1-Input'!$B$26,V221,V221-Q222*(1-P222))</f>
        <v>0</v>
      </c>
      <c r="W222" s="11">
        <f>IF($A222&gt;'1-Input'!$B$26,0,IF(AB221&lt;=0,0,MAX(0,(AB221-AC221)/AB221)))</f>
        <v>0</v>
      </c>
      <c r="X222" s="18">
        <f>IF($A222&gt;'1-Input'!$B$26,0,(MAX(0,W176-IF($A222&gt;='1-Input'!$C$12,'1-Input'!$B$12,0))-MIN(MAX(AA221,0),MAX(0,W176-IF($A222&gt;='1-Input'!$C$12,'1-Input'!$B$12,0))))*(1/(1-'P-Parametri'!$B$6*W222))+MIN(MAX(0,AB221-(MAX(0,W176-IF($A222&gt;='1-Input'!$C$12,'1-Input'!$B$12,0))-MIN(MAX(AA221,0),MAX(0,W176-IF($A222&gt;='1-Input'!$C$12,'1-Input'!$B$12,0))))*(1/(1-'P-Parametri'!$B$6*W222))),MAX(0,1*W176-(AA221-MIN(MAX(AA221,0),MAX(0,W176-IF($A222&gt;='1-Input'!$C$12,'1-Input'!$B$12,0)))))*(1/(1-'P-Parametri'!$B$6*W222))))</f>
        <v>0</v>
      </c>
      <c r="Y222" s="18">
        <f>IF($A222&gt;'1-Input'!$B$26,AA221,(AA221-MAX(0,W176-IF($A222&gt;='1-Input'!$C$12,'1-Input'!$B$12,0))+X222*(1-'P-Parametri'!$B$6*W222))*(1+'1-Input'!$B$27))</f>
        <v>5862.066079755381</v>
      </c>
      <c r="Z222" s="18">
        <f>IF($A222&gt;'1-Input'!$B$26,AB221,(AB221-X222)*(1+$B$4))</f>
        <v>0</v>
      </c>
      <c r="AA222" s="18">
        <f>IF($A222&gt;'1-Input'!$B$26,Y222,Y222-'P-Parametri'!$B$8*(Z222+Y222)+MIN(MAX(Z222,0),'P-Parametri'!$B$8*(Z222+Y222)))</f>
        <v>5850.3419475958699</v>
      </c>
      <c r="AB222" s="18">
        <f>IF($A222&gt;'1-Input'!$B$26,Z222,Z222-MIN(MAX(Z222,0),'P-Parametri'!$B$8*(Z222+Y222)))</f>
        <v>0</v>
      </c>
      <c r="AC222" s="18">
        <f>IF($A222&gt;'1-Input'!$B$26,AC221,AC221-X222*(1-W222))</f>
        <v>0</v>
      </c>
      <c r="AD222" s="11">
        <f>IF($A222&gt;'1-Input'!$B$26,0,IF(AI221&lt;=0,0,MAX(0,(AI221-AJ221)/AI221)))</f>
        <v>0</v>
      </c>
      <c r="AE222" s="18">
        <f>IF($A222&gt;'1-Input'!$B$26,0,(MAX(0,AD176-IF($A222&gt;='1-Input'!$C$12,'1-Input'!$B$12,0))-MIN(MAX(AH221,0),MAX(0,AD176-IF($A222&gt;='1-Input'!$C$12,'1-Input'!$B$12,0))))*(1/(1-'P-Parametri'!$B$6*AD222))+MIN(MAX(0,AI221-(MAX(0,AD176-IF($A222&gt;='1-Input'!$C$12,'1-Input'!$B$12,0))-MIN(MAX(AH221,0),MAX(0,AD176-IF($A222&gt;='1-Input'!$C$12,'1-Input'!$B$12,0))))*(1/(1-'P-Parametri'!$B$6*AD222))),MAX(0,1*AD176-(AH221-MIN(MAX(AH221,0),MAX(0,AD176-IF($A222&gt;='1-Input'!$C$12,'1-Input'!$B$12,0)))))*(1/(1-'P-Parametri'!$B$6*AD222))))</f>
        <v>0</v>
      </c>
      <c r="AF222" s="18">
        <f>IF($A222&gt;'1-Input'!$B$26,AH221,(AH221-MAX(0,AD176-IF($A222&gt;='1-Input'!$C$12,'1-Input'!$B$12,0))+AE222*(1-'P-Parametri'!$B$6*AD222))*(1+'1-Input'!$B$27))</f>
        <v>5836.0116559394855</v>
      </c>
      <c r="AG222" s="18">
        <f>IF($A222&gt;'1-Input'!$B$26,AI221,(AI221-AE222)*(1+$B$4))</f>
        <v>0</v>
      </c>
      <c r="AH222" s="18">
        <f>IF($A222&gt;'1-Input'!$B$26,AF222,AF222-'P-Parametri'!$B$8*(AG222+AF222)+MIN(MAX(AG222,0),'P-Parametri'!$B$8*(AG222+AF222)))</f>
        <v>5824.339632627607</v>
      </c>
      <c r="AI222" s="18">
        <f>IF($A222&gt;'1-Input'!$B$26,AG222,AG222-MIN(MAX(AG222,0),'P-Parametri'!$B$8*(AG222+AF222)))</f>
        <v>0</v>
      </c>
      <c r="AJ222" s="18">
        <f>IF($A222&gt;'1-Input'!$B$26,AJ221,AJ221-AE222*(1-AD222))</f>
        <v>5.6843418860808015E-14</v>
      </c>
      <c r="AK222" s="11">
        <f>IF($A222&gt;'1-Input'!$B$26,0,IF(AP221&lt;=0,0,MAX(0,(AP221-AQ221)/AP221)))</f>
        <v>0</v>
      </c>
      <c r="AL222" s="18">
        <f>IF($A222&gt;'1-Input'!$B$26,0,(MAX(0,AK176-IF($A222&gt;='1-Input'!$C$12,'1-Input'!$B$12,0))-MIN(MAX(AO221,0),MAX(0,AK176-IF($A222&gt;='1-Input'!$C$12,'1-Input'!$B$12,0))))*(1/(1-'P-Parametri'!$B$6*AK222))+MIN(MAX(0,AP221-(MAX(0,AK176-IF($A222&gt;='1-Input'!$C$12,'1-Input'!$B$12,0))-MIN(MAX(AO221,0),MAX(0,AK176-IF($A222&gt;='1-Input'!$C$12,'1-Input'!$B$12,0))))*(1/(1-'P-Parametri'!$B$6*AK222))),MAX(0,1*AK176-(AO221-MIN(MAX(AO221,0),MAX(0,AK176-IF($A222&gt;='1-Input'!$C$12,'1-Input'!$B$12,0)))))*(1/(1-'P-Parametri'!$B$6*AK222))))</f>
        <v>0</v>
      </c>
      <c r="AM222" s="18">
        <f>IF($A222&gt;'1-Input'!$B$26,AO221,(AO221-MAX(0,AK176-IF($A222&gt;='1-Input'!$C$12,'1-Input'!$B$12,0))+AL222*(1-'P-Parametri'!$B$6*AK222))*(1+'1-Input'!$B$27))</f>
        <v>5836.0116164527954</v>
      </c>
      <c r="AN222" s="18">
        <f>IF($A222&gt;'1-Input'!$B$26,AP221,(AP221-AL222)*(1+$B$4))</f>
        <v>0</v>
      </c>
      <c r="AO222" s="18">
        <f>IF($A222&gt;'1-Input'!$B$26,AM222,AM222-'P-Parametri'!$B$8*(AN222+AM222)+MIN(MAX(AN222,0),'P-Parametri'!$B$8*(AN222+AM222)))</f>
        <v>5824.33959321989</v>
      </c>
      <c r="AP222" s="18">
        <f>IF($A222&gt;'1-Input'!$B$26,AN222,AN222-MIN(MAX(AN222,0),'P-Parametri'!$B$8*(AN222+AM222)))</f>
        <v>0</v>
      </c>
      <c r="AQ222" s="18">
        <f>IF($A222&gt;'1-Input'!$B$26,AQ221,AQ221-AL222*(1-AK222))</f>
        <v>0</v>
      </c>
    </row>
    <row r="223" spans="1:43">
      <c r="A223" s="10">
        <f>45</f>
        <v>45</v>
      </c>
      <c r="B223" s="11">
        <f>IF($A223&gt;'1-Input'!$B$26,0,IF(G222&lt;=0,0,MAX(0,(G222-H222)/G222)))</f>
        <v>0.63338415701388984</v>
      </c>
      <c r="C223" s="18">
        <f>IF($A223&gt;'1-Input'!$B$26,0,(MAX(0,B176-IF($A223&gt;='1-Input'!$C$12,'1-Input'!$B$12,0))-MIN(MAX(F222,0),MAX(0,B176-IF($A223&gt;='1-Input'!$C$12,'1-Input'!$B$12,0))))*(1/(1-'P-Parametri'!$B$6*B223))+MIN(MAX(0,G222-(MAX(0,B176-IF($A223&gt;='1-Input'!$C$12,'1-Input'!$B$12,0))-MIN(MAX(F222,0),MAX(0,B176-IF($A223&gt;='1-Input'!$C$12,'1-Input'!$B$12,0))))*(1/(1-'P-Parametri'!$B$6*B223))),MAX(0,1*B176-(F222-MIN(MAX(F222,0),MAX(0,B176-IF($A223&gt;='1-Input'!$C$12,'1-Input'!$B$12,0)))))*(1/(1-'P-Parametri'!$B$6*B223))))</f>
        <v>5552.6964311474003</v>
      </c>
      <c r="D223" s="18">
        <f>IF($A223&gt;'1-Input'!$B$26,F222,(F222-MAX(0,B176-IF($A223&gt;='1-Input'!$C$12,'1-Input'!$B$12,0))+C223*(1-'P-Parametri'!$B$6*B223))*(1+'1-Input'!$B$27))</f>
        <v>15623.77842739996</v>
      </c>
      <c r="E223" s="18">
        <f>IF($A223&gt;'1-Input'!$B$26,G222,(G222-C223)*(1+$B$4))</f>
        <v>0</v>
      </c>
      <c r="F223" s="18">
        <f>IF($A223&gt;'1-Input'!$B$26,D223,D223-'P-Parametri'!$B$8*(E223+D223)+MIN(MAX(E223,0),'P-Parametri'!$B$8*(E223+D223)))</f>
        <v>15592.530870545161</v>
      </c>
      <c r="G223" s="18">
        <f>IF($A223&gt;'1-Input'!$B$26,E223,E223-MIN(MAX(E223,0),'P-Parametri'!$B$8*(E223+D223)))</f>
        <v>0</v>
      </c>
      <c r="H223" s="18">
        <f>IF($A223&gt;'1-Input'!$B$26,H222,H222-C223*(1-B223))</f>
        <v>0</v>
      </c>
      <c r="I223" s="11">
        <f>IF($A223&gt;'1-Input'!$B$26,0,IF(N222&lt;=0,0,MAX(0,(N222-O222)/N222)))</f>
        <v>0</v>
      </c>
      <c r="J223" s="18">
        <f>IF($A223&gt;'1-Input'!$B$26,0,(MAX(0,I176-IF($A223&gt;='1-Input'!$C$12,'1-Input'!$B$12,0))-MIN(MAX(M222,0),MAX(0,I176-IF($A223&gt;='1-Input'!$C$12,'1-Input'!$B$12,0))))*(1/(1-'P-Parametri'!$B$6*I223))+MIN(MAX(0,N222-(MAX(0,I176-IF($A223&gt;='1-Input'!$C$12,'1-Input'!$B$12,0))-MIN(MAX(M222,0),MAX(0,I176-IF($A223&gt;='1-Input'!$C$12,'1-Input'!$B$12,0))))*(1/(1-'P-Parametri'!$B$6*I223))),MAX(0,1*I176-(M222-MIN(MAX(M222,0),MAX(0,I176-IF($A223&gt;='1-Input'!$C$12,'1-Input'!$B$12,0)))))*(1/(1-'P-Parametri'!$B$6*I223))))</f>
        <v>10846.756992928691</v>
      </c>
      <c r="K223" s="18">
        <f>IF($A223&gt;'1-Input'!$B$26,M222,(M222-MAX(0,I176-IF($A223&gt;='1-Input'!$C$12,'1-Input'!$B$12,0))+J223*(1-'P-Parametri'!$B$6*I223))*(1+'1-Input'!$B$27))</f>
        <v>0</v>
      </c>
      <c r="L223" s="18">
        <f>IF($A223&gt;'1-Input'!$B$26,N222,(N222-J223)*(1+$B$4))</f>
        <v>-330993.96926284058</v>
      </c>
      <c r="M223" s="18">
        <f>IF($A223&gt;'1-Input'!$B$26,K223,K223-'P-Parametri'!$B$8*(L223+K223)+MIN(MAX(L223,0),'P-Parametri'!$B$8*(L223+K223)))</f>
        <v>0</v>
      </c>
      <c r="N223" s="18">
        <f>IF($A223&gt;'1-Input'!$B$26,L223,L223-MIN(MAX(L223,0),'P-Parametri'!$B$8*(L223+K223)))</f>
        <v>-330331.9813243149</v>
      </c>
      <c r="O223" s="18">
        <f>IF($A223&gt;'1-Input'!$B$26,O222,O222-J223*(1-I223))</f>
        <v>-262058.4836430265</v>
      </c>
      <c r="P223" s="11">
        <f>IF($A223&gt;'1-Input'!$B$26,0,IF(U222&lt;=0,0,MAX(0,(U222-V222)/U222)))</f>
        <v>0</v>
      </c>
      <c r="Q223" s="18">
        <f>IF($A223&gt;'1-Input'!$B$26,0,(MAX(0,P176-IF($A223&gt;='1-Input'!$C$12,'1-Input'!$B$12,0))-MIN(MAX(T222,0),MAX(0,P176-IF($A223&gt;='1-Input'!$C$12,'1-Input'!$B$12,0))))*(1/(1-'P-Parametri'!$B$6*P223))+MIN(MAX(0,U222-(MAX(0,P176-IF($A223&gt;='1-Input'!$C$12,'1-Input'!$B$12,0))-MIN(MAX(T222,0),MAX(0,P176-IF($A223&gt;='1-Input'!$C$12,'1-Input'!$B$12,0))))*(1/(1-'P-Parametri'!$B$6*P223))),MAX(0,1*P176-(T222-MIN(MAX(T222,0),MAX(0,P176-IF($A223&gt;='1-Input'!$C$12,'1-Input'!$B$12,0)))))*(1/(1-'P-Parametri'!$B$6*P223))))</f>
        <v>0</v>
      </c>
      <c r="R223" s="18">
        <f>IF($A223&gt;'1-Input'!$B$26,T222,(T222-MAX(0,P176-IF($A223&gt;='1-Input'!$C$12,'1-Input'!$B$12,0))+Q223*(1-'P-Parametri'!$B$6*P223))*(1+'1-Input'!$B$27))</f>
        <v>489.00024786167671</v>
      </c>
      <c r="S223" s="18">
        <f>IF($A223&gt;'1-Input'!$B$26,U222,(U222-Q223)*(1+$B$4))</f>
        <v>0</v>
      </c>
      <c r="T223" s="18">
        <f>IF($A223&gt;'1-Input'!$B$26,R223,R223-'P-Parametri'!$B$8*(S223+R223)+MIN(MAX(S223,0),'P-Parametri'!$B$8*(S223+R223)))</f>
        <v>488.02224736595338</v>
      </c>
      <c r="U223" s="18">
        <f>IF($A223&gt;'1-Input'!$B$26,S223,S223-MIN(MAX(S223,0),'P-Parametri'!$B$8*(S223+R223)))</f>
        <v>0</v>
      </c>
      <c r="V223" s="18">
        <f>IF($A223&gt;'1-Input'!$B$26,V222,V222-Q223*(1-P223))</f>
        <v>0</v>
      </c>
      <c r="W223" s="11">
        <f>IF($A223&gt;'1-Input'!$B$26,0,IF(AB222&lt;=0,0,MAX(0,(AB222-AC222)/AB222)))</f>
        <v>0</v>
      </c>
      <c r="X223" s="18">
        <f>IF($A223&gt;'1-Input'!$B$26,0,(MAX(0,W176-IF($A223&gt;='1-Input'!$C$12,'1-Input'!$B$12,0))-MIN(MAX(AA222,0),MAX(0,W176-IF($A223&gt;='1-Input'!$C$12,'1-Input'!$B$12,0))))*(1/(1-'P-Parametri'!$B$6*W223))+MIN(MAX(0,AB222-(MAX(0,W176-IF($A223&gt;='1-Input'!$C$12,'1-Input'!$B$12,0))-MIN(MAX(AA222,0),MAX(0,W176-IF($A223&gt;='1-Input'!$C$12,'1-Input'!$B$12,0))))*(1/(1-'P-Parametri'!$B$6*W223))),MAX(0,1*W176-(AA222-MIN(MAX(AA222,0),MAX(0,W176-IF($A223&gt;='1-Input'!$C$12,'1-Input'!$B$12,0)))))*(1/(1-'P-Parametri'!$B$6*W223))))</f>
        <v>0</v>
      </c>
      <c r="Y223" s="18">
        <f>IF($A223&gt;'1-Input'!$B$26,AA222,(AA222-MAX(0,W176-IF($A223&gt;='1-Input'!$C$12,'1-Input'!$B$12,0))+X223*(1-'P-Parametri'!$B$6*W223))*(1+'1-Input'!$B$27))</f>
        <v>26.329514689279485</v>
      </c>
      <c r="Z223" s="18">
        <f>IF($A223&gt;'1-Input'!$B$26,AB222,(AB222-X223)*(1+$B$4))</f>
        <v>0</v>
      </c>
      <c r="AA223" s="18">
        <f>IF($A223&gt;'1-Input'!$B$26,Y223,Y223-'P-Parametri'!$B$8*(Z223+Y223)+MIN(MAX(Z223,0),'P-Parametri'!$B$8*(Z223+Y223)))</f>
        <v>26.276855659900924</v>
      </c>
      <c r="AB223" s="18">
        <f>IF($A223&gt;'1-Input'!$B$26,Z223,Z223-MIN(MAX(Z223,0),'P-Parametri'!$B$8*(Z223+Y223)))</f>
        <v>0</v>
      </c>
      <c r="AC223" s="18">
        <f>IF($A223&gt;'1-Input'!$B$26,AC222,AC222-X223*(1-W223))</f>
        <v>0</v>
      </c>
      <c r="AD223" s="11">
        <f>IF($A223&gt;'1-Input'!$B$26,0,IF(AI222&lt;=0,0,MAX(0,(AI222-AJ222)/AI222)))</f>
        <v>0</v>
      </c>
      <c r="AE223" s="18">
        <f>IF($A223&gt;'1-Input'!$B$26,0,(MAX(0,AD176-IF($A223&gt;='1-Input'!$C$12,'1-Input'!$B$12,0))-MIN(MAX(AH222,0),MAX(0,AD176-IF($A223&gt;='1-Input'!$C$12,'1-Input'!$B$12,0))))*(1/(1-'P-Parametri'!$B$6*AD223))+MIN(MAX(0,AI222-(MAX(0,AD176-IF($A223&gt;='1-Input'!$C$12,'1-Input'!$B$12,0))-MIN(MAX(AH222,0),MAX(0,AD176-IF($A223&gt;='1-Input'!$C$12,'1-Input'!$B$12,0))))*(1/(1-'P-Parametri'!$B$6*AD223))),MAX(0,1*AD176-(AH222-MIN(MAX(AH222,0),MAX(0,AD176-IF($A223&gt;='1-Input'!$C$12,'1-Input'!$B$12,0)))))*(1/(1-'P-Parametri'!$B$6*AD223))))</f>
        <v>0</v>
      </c>
      <c r="AF223" s="18">
        <f>IF($A223&gt;'1-Input'!$B$26,AH222,(AH222-MAX(0,AD176-IF($A223&gt;='1-Input'!$C$12,'1-Input'!$B$12,0))+AE223*(1-'P-Parametri'!$B$6*AD223))*(1+'1-Input'!$B$27))</f>
        <v>3.9903410638362398E-5</v>
      </c>
      <c r="AG223" s="18">
        <f>IF($A223&gt;'1-Input'!$B$26,AI222,(AI222-AE223)*(1+$B$4))</f>
        <v>0</v>
      </c>
      <c r="AH223" s="18">
        <f>IF($A223&gt;'1-Input'!$B$26,AF223,AF223-'P-Parametri'!$B$8*(AG223+AF223)+MIN(MAX(AG223,0),'P-Parametri'!$B$8*(AG223+AF223)))</f>
        <v>3.9823603817085675E-5</v>
      </c>
      <c r="AI223" s="18">
        <f>IF($A223&gt;'1-Input'!$B$26,AG223,AG223-MIN(MAX(AG223,0),'P-Parametri'!$B$8*(AG223+AF223)))</f>
        <v>0</v>
      </c>
      <c r="AJ223" s="18">
        <f>IF($A223&gt;'1-Input'!$B$26,AJ222,AJ222-AE223*(1-AD223))</f>
        <v>5.6843418860808015E-14</v>
      </c>
      <c r="AK223" s="11">
        <f>IF($A223&gt;'1-Input'!$B$26,0,IF(AP222&lt;=0,0,MAX(0,(AP222-AQ222)/AP222)))</f>
        <v>0</v>
      </c>
      <c r="AL223" s="18">
        <f>IF($A223&gt;'1-Input'!$B$26,0,(MAX(0,AK176-IF($A223&gt;='1-Input'!$C$12,'1-Input'!$B$12,0))-MIN(MAX(AO222,0),MAX(0,AK176-IF($A223&gt;='1-Input'!$C$12,'1-Input'!$B$12,0))))*(1/(1-'P-Parametri'!$B$6*AK223))+MIN(MAX(0,AP222-(MAX(0,AK176-IF($A223&gt;='1-Input'!$C$12,'1-Input'!$B$12,0))-MIN(MAX(AO222,0),MAX(0,AK176-IF($A223&gt;='1-Input'!$C$12,'1-Input'!$B$12,0))))*(1/(1-'P-Parametri'!$B$6*AK223))),MAX(0,1*AK176-(AO222-MIN(MAX(AO222,0),MAX(0,AK176-IF($A223&gt;='1-Input'!$C$12,'1-Input'!$B$12,0)))))*(1/(1-'P-Parametri'!$B$6*AK223))))</f>
        <v>1.3187673175707459E-10</v>
      </c>
      <c r="AM223" s="18">
        <f>IF($A223&gt;'1-Input'!$B$26,AO222,(AO222-MAX(0,AK176-IF($A223&gt;='1-Input'!$C$12,'1-Input'!$B$12,0))+AL223*(1-'P-Parametri'!$B$6*AK223))*(1+'1-Input'!$B$27))</f>
        <v>0</v>
      </c>
      <c r="AN223" s="18">
        <f>IF($A223&gt;'1-Input'!$B$26,AP222,(AP222-AL223)*(1+$B$4))</f>
        <v>-1.3451426639221609E-10</v>
      </c>
      <c r="AO223" s="18">
        <f>IF($A223&gt;'1-Input'!$B$26,AM223,AM223-'P-Parametri'!$B$8*(AN223+AM223)+MIN(MAX(AN223,0),'P-Parametri'!$B$8*(AN223+AM223)))</f>
        <v>0</v>
      </c>
      <c r="AP223" s="18">
        <f>IF($A223&gt;'1-Input'!$B$26,AN223,AN223-MIN(MAX(AN223,0),'P-Parametri'!$B$8*(AN223+AM223)))</f>
        <v>-1.3424523785943165E-10</v>
      </c>
      <c r="AQ223" s="18">
        <f>IF($A223&gt;'1-Input'!$B$26,AQ222,AQ222-AL223*(1-AK223))</f>
        <v>-1.3187673175707459E-10</v>
      </c>
    </row>
    <row r="224" spans="1:43">
      <c r="A224" s="10">
        <f>46</f>
        <v>46</v>
      </c>
      <c r="B224" s="11">
        <f>IF($A224&gt;'1-Input'!$B$26,0,IF(G223&lt;=0,0,MAX(0,(G223-H223)/G223)))</f>
        <v>0</v>
      </c>
      <c r="C224" s="18">
        <f>IF($A224&gt;'1-Input'!$B$26,0,(MAX(0,B176-IF($A224&gt;='1-Input'!$C$12,'1-Input'!$B$12,0))-MIN(MAX(F223,0),MAX(0,B176-IF($A224&gt;='1-Input'!$C$12,'1-Input'!$B$12,0))))*(1/(1-'P-Parametri'!$B$6*B224))+MIN(MAX(0,G223-(MAX(0,B176-IF($A224&gt;='1-Input'!$C$12,'1-Input'!$B$12,0))-MIN(MAX(F223,0),MAX(0,B176-IF($A224&gt;='1-Input'!$C$12,'1-Input'!$B$12,0))))*(1/(1-'P-Parametri'!$B$6*B224))),MAX(0,1*B176-(F223-MIN(MAX(F223,0),MAX(0,B176-IF($A224&gt;='1-Input'!$C$12,'1-Input'!$B$12,0)))))*(1/(1-'P-Parametri'!$B$6*B224))))</f>
        <v>0</v>
      </c>
      <c r="D224" s="18">
        <f>IF($A224&gt;'1-Input'!$B$26,F223,(F223-MAX(0,B176-IF($A224&gt;='1-Input'!$C$12,'1-Input'!$B$12,0))+C224*(1-'P-Parametri'!$B$6*B224))*(1+'1-Input'!$B$27))</f>
        <v>15592.530870545161</v>
      </c>
      <c r="E224" s="18">
        <f>IF($A224&gt;'1-Input'!$B$26,G223,(G223-C224)*(1+$B$4))</f>
        <v>0</v>
      </c>
      <c r="F224" s="18">
        <f>IF($A224&gt;'1-Input'!$B$26,D224,D224-'P-Parametri'!$B$8*(E224+D224)+MIN(MAX(E224,0),'P-Parametri'!$B$8*(E224+D224)))</f>
        <v>15592.530870545161</v>
      </c>
      <c r="G224" s="18">
        <f>IF($A224&gt;'1-Input'!$B$26,E224,E224-MIN(MAX(E224,0),'P-Parametri'!$B$8*(E224+D224)))</f>
        <v>0</v>
      </c>
      <c r="H224" s="18">
        <f>IF($A224&gt;'1-Input'!$B$26,H223,H223-C224*(1-B224))</f>
        <v>0</v>
      </c>
      <c r="I224" s="11">
        <f>IF($A224&gt;'1-Input'!$B$26,0,IF(N223&lt;=0,0,MAX(0,(N223-O223)/N223)))</f>
        <v>0</v>
      </c>
      <c r="J224" s="18">
        <f>IF($A224&gt;'1-Input'!$B$26,0,(MAX(0,I176-IF($A224&gt;='1-Input'!$C$12,'1-Input'!$B$12,0))-MIN(MAX(M223,0),MAX(0,I176-IF($A224&gt;='1-Input'!$C$12,'1-Input'!$B$12,0))))*(1/(1-'P-Parametri'!$B$6*I224))+MIN(MAX(0,N223-(MAX(0,I176-IF($A224&gt;='1-Input'!$C$12,'1-Input'!$B$12,0))-MIN(MAX(M223,0),MAX(0,I176-IF($A224&gt;='1-Input'!$C$12,'1-Input'!$B$12,0))))*(1/(1-'P-Parametri'!$B$6*I224))),MAX(0,1*I176-(M223-MIN(MAX(M223,0),MAX(0,I176-IF($A224&gt;='1-Input'!$C$12,'1-Input'!$B$12,0)))))*(1/(1-'P-Parametri'!$B$6*I224))))</f>
        <v>0</v>
      </c>
      <c r="K224" s="18">
        <f>IF($A224&gt;'1-Input'!$B$26,M223,(M223-MAX(0,I176-IF($A224&gt;='1-Input'!$C$12,'1-Input'!$B$12,0))+J224*(1-'P-Parametri'!$B$6*I224))*(1+'1-Input'!$B$27))</f>
        <v>0</v>
      </c>
      <c r="L224" s="18">
        <f>IF($A224&gt;'1-Input'!$B$26,N223,(N223-J224)*(1+$B$4))</f>
        <v>-330331.9813243149</v>
      </c>
      <c r="M224" s="18">
        <f>IF($A224&gt;'1-Input'!$B$26,K224,K224-'P-Parametri'!$B$8*(L224+K224)+MIN(MAX(L224,0),'P-Parametri'!$B$8*(L224+K224)))</f>
        <v>0</v>
      </c>
      <c r="N224" s="18">
        <f>IF($A224&gt;'1-Input'!$B$26,L224,L224-MIN(MAX(L224,0),'P-Parametri'!$B$8*(L224+K224)))</f>
        <v>-330331.9813243149</v>
      </c>
      <c r="O224" s="18">
        <f>IF($A224&gt;'1-Input'!$B$26,O223,O223-J224*(1-I224))</f>
        <v>-262058.4836430265</v>
      </c>
      <c r="P224" s="11">
        <f>IF($A224&gt;'1-Input'!$B$26,0,IF(U223&lt;=0,0,MAX(0,(U223-V223)/U223)))</f>
        <v>0</v>
      </c>
      <c r="Q224" s="18">
        <f>IF($A224&gt;'1-Input'!$B$26,0,(MAX(0,P176-IF($A224&gt;='1-Input'!$C$12,'1-Input'!$B$12,0))-MIN(MAX(T223,0),MAX(0,P176-IF($A224&gt;='1-Input'!$C$12,'1-Input'!$B$12,0))))*(1/(1-'P-Parametri'!$B$6*P224))+MIN(MAX(0,U223-(MAX(0,P176-IF($A224&gt;='1-Input'!$C$12,'1-Input'!$B$12,0))-MIN(MAX(T223,0),MAX(0,P176-IF($A224&gt;='1-Input'!$C$12,'1-Input'!$B$12,0))))*(1/(1-'P-Parametri'!$B$6*P224))),MAX(0,1*P176-(T223-MIN(MAX(T223,0),MAX(0,P176-IF($A224&gt;='1-Input'!$C$12,'1-Input'!$B$12,0)))))*(1/(1-'P-Parametri'!$B$6*P224))))</f>
        <v>0</v>
      </c>
      <c r="R224" s="18">
        <f>IF($A224&gt;'1-Input'!$B$26,T223,(T223-MAX(0,P176-IF($A224&gt;='1-Input'!$C$12,'1-Input'!$B$12,0))+Q224*(1-'P-Parametri'!$B$6*P224))*(1+'1-Input'!$B$27))</f>
        <v>488.02224736595338</v>
      </c>
      <c r="S224" s="18">
        <f>IF($A224&gt;'1-Input'!$B$26,U223,(U223-Q224)*(1+$B$4))</f>
        <v>0</v>
      </c>
      <c r="T224" s="18">
        <f>IF($A224&gt;'1-Input'!$B$26,R224,R224-'P-Parametri'!$B$8*(S224+R224)+MIN(MAX(S224,0),'P-Parametri'!$B$8*(S224+R224)))</f>
        <v>488.02224736595338</v>
      </c>
      <c r="U224" s="18">
        <f>IF($A224&gt;'1-Input'!$B$26,S224,S224-MIN(MAX(S224,0),'P-Parametri'!$B$8*(S224+R224)))</f>
        <v>0</v>
      </c>
      <c r="V224" s="18">
        <f>IF($A224&gt;'1-Input'!$B$26,V223,V223-Q224*(1-P224))</f>
        <v>0</v>
      </c>
      <c r="W224" s="11">
        <f>IF($A224&gt;'1-Input'!$B$26,0,IF(AB223&lt;=0,0,MAX(0,(AB223-AC223)/AB223)))</f>
        <v>0</v>
      </c>
      <c r="X224" s="18">
        <f>IF($A224&gt;'1-Input'!$B$26,0,(MAX(0,W176-IF($A224&gt;='1-Input'!$C$12,'1-Input'!$B$12,0))-MIN(MAX(AA223,0),MAX(0,W176-IF($A224&gt;='1-Input'!$C$12,'1-Input'!$B$12,0))))*(1/(1-'P-Parametri'!$B$6*W224))+MIN(MAX(0,AB223-(MAX(0,W176-IF($A224&gt;='1-Input'!$C$12,'1-Input'!$B$12,0))-MIN(MAX(AA223,0),MAX(0,W176-IF($A224&gt;='1-Input'!$C$12,'1-Input'!$B$12,0))))*(1/(1-'P-Parametri'!$B$6*W224))),MAX(0,1*W176-(AA223-MIN(MAX(AA223,0),MAX(0,W176-IF($A224&gt;='1-Input'!$C$12,'1-Input'!$B$12,0)))))*(1/(1-'P-Parametri'!$B$6*W224))))</f>
        <v>0</v>
      </c>
      <c r="Y224" s="18">
        <f>IF($A224&gt;'1-Input'!$B$26,AA223,(AA223-MAX(0,W176-IF($A224&gt;='1-Input'!$C$12,'1-Input'!$B$12,0))+X224*(1-'P-Parametri'!$B$6*W224))*(1+'1-Input'!$B$27))</f>
        <v>26.276855659900924</v>
      </c>
      <c r="Z224" s="18">
        <f>IF($A224&gt;'1-Input'!$B$26,AB223,(AB223-X224)*(1+$B$4))</f>
        <v>0</v>
      </c>
      <c r="AA224" s="18">
        <f>IF($A224&gt;'1-Input'!$B$26,Y224,Y224-'P-Parametri'!$B$8*(Z224+Y224)+MIN(MAX(Z224,0),'P-Parametri'!$B$8*(Z224+Y224)))</f>
        <v>26.276855659900924</v>
      </c>
      <c r="AB224" s="18">
        <f>IF($A224&gt;'1-Input'!$B$26,Z224,Z224-MIN(MAX(Z224,0),'P-Parametri'!$B$8*(Z224+Y224)))</f>
        <v>0</v>
      </c>
      <c r="AC224" s="18">
        <f>IF($A224&gt;'1-Input'!$B$26,AC223,AC223-X224*(1-W224))</f>
        <v>0</v>
      </c>
      <c r="AD224" s="11">
        <f>IF($A224&gt;'1-Input'!$B$26,0,IF(AI223&lt;=0,0,MAX(0,(AI223-AJ223)/AI223)))</f>
        <v>0</v>
      </c>
      <c r="AE224" s="18">
        <f>IF($A224&gt;'1-Input'!$B$26,0,(MAX(0,AD176-IF($A224&gt;='1-Input'!$C$12,'1-Input'!$B$12,0))-MIN(MAX(AH223,0),MAX(0,AD176-IF($A224&gt;='1-Input'!$C$12,'1-Input'!$B$12,0))))*(1/(1-'P-Parametri'!$B$6*AD224))+MIN(MAX(0,AI223-(MAX(0,AD176-IF($A224&gt;='1-Input'!$C$12,'1-Input'!$B$12,0))-MIN(MAX(AH223,0),MAX(0,AD176-IF($A224&gt;='1-Input'!$C$12,'1-Input'!$B$12,0))))*(1/(1-'P-Parametri'!$B$6*AD224))),MAX(0,1*AD176-(AH223-MIN(MAX(AH223,0),MAX(0,AD176-IF($A224&gt;='1-Input'!$C$12,'1-Input'!$B$12,0)))))*(1/(1-'P-Parametri'!$B$6*AD224))))</f>
        <v>0</v>
      </c>
      <c r="AF224" s="18">
        <f>IF($A224&gt;'1-Input'!$B$26,AH223,(AH223-MAX(0,AD176-IF($A224&gt;='1-Input'!$C$12,'1-Input'!$B$12,0))+AE224*(1-'P-Parametri'!$B$6*AD224))*(1+'1-Input'!$B$27))</f>
        <v>3.9823603817085675E-5</v>
      </c>
      <c r="AG224" s="18">
        <f>IF($A224&gt;'1-Input'!$B$26,AI223,(AI223-AE224)*(1+$B$4))</f>
        <v>0</v>
      </c>
      <c r="AH224" s="18">
        <f>IF($A224&gt;'1-Input'!$B$26,AF224,AF224-'P-Parametri'!$B$8*(AG224+AF224)+MIN(MAX(AG224,0),'P-Parametri'!$B$8*(AG224+AF224)))</f>
        <v>3.9823603817085675E-5</v>
      </c>
      <c r="AI224" s="18">
        <f>IF($A224&gt;'1-Input'!$B$26,AG224,AG224-MIN(MAX(AG224,0),'P-Parametri'!$B$8*(AG224+AF224)))</f>
        <v>0</v>
      </c>
      <c r="AJ224" s="18">
        <f>IF($A224&gt;'1-Input'!$B$26,AJ223,AJ223-AE224*(1-AD224))</f>
        <v>5.6843418860808015E-14</v>
      </c>
      <c r="AK224" s="11">
        <f>IF($A224&gt;'1-Input'!$B$26,0,IF(AP223&lt;=0,0,MAX(0,(AP223-AQ223)/AP223)))</f>
        <v>0</v>
      </c>
      <c r="AL224" s="18">
        <f>IF($A224&gt;'1-Input'!$B$26,0,(MAX(0,AK176-IF($A224&gt;='1-Input'!$C$12,'1-Input'!$B$12,0))-MIN(MAX(AO223,0),MAX(0,AK176-IF($A224&gt;='1-Input'!$C$12,'1-Input'!$B$12,0))))*(1/(1-'P-Parametri'!$B$6*AK224))+MIN(MAX(0,AP223-(MAX(0,AK176-IF($A224&gt;='1-Input'!$C$12,'1-Input'!$B$12,0))-MIN(MAX(AO223,0),MAX(0,AK176-IF($A224&gt;='1-Input'!$C$12,'1-Input'!$B$12,0))))*(1/(1-'P-Parametri'!$B$6*AK224))),MAX(0,1*AK176-(AO223-MIN(MAX(AO223,0),MAX(0,AK176-IF($A224&gt;='1-Input'!$C$12,'1-Input'!$B$12,0)))))*(1/(1-'P-Parametri'!$B$6*AK224))))</f>
        <v>0</v>
      </c>
      <c r="AM224" s="18">
        <f>IF($A224&gt;'1-Input'!$B$26,AO223,(AO223-MAX(0,AK176-IF($A224&gt;='1-Input'!$C$12,'1-Input'!$B$12,0))+AL224*(1-'P-Parametri'!$B$6*AK224))*(1+'1-Input'!$B$27))</f>
        <v>0</v>
      </c>
      <c r="AN224" s="18">
        <f>IF($A224&gt;'1-Input'!$B$26,AP223,(AP223-AL224)*(1+$B$4))</f>
        <v>-1.3424523785943165E-10</v>
      </c>
      <c r="AO224" s="18">
        <f>IF($A224&gt;'1-Input'!$B$26,AM224,AM224-'P-Parametri'!$B$8*(AN224+AM224)+MIN(MAX(AN224,0),'P-Parametri'!$B$8*(AN224+AM224)))</f>
        <v>0</v>
      </c>
      <c r="AP224" s="18">
        <f>IF($A224&gt;'1-Input'!$B$26,AN224,AN224-MIN(MAX(AN224,0),'P-Parametri'!$B$8*(AN224+AM224)))</f>
        <v>-1.3424523785943165E-10</v>
      </c>
      <c r="AQ224" s="18">
        <f>IF($A224&gt;'1-Input'!$B$26,AQ223,AQ223-AL224*(1-AK224))</f>
        <v>-1.3187673175707459E-10</v>
      </c>
    </row>
    <row r="225" spans="1:43">
      <c r="A225" s="10">
        <f>47</f>
        <v>47</v>
      </c>
      <c r="B225" s="11">
        <f>IF($A225&gt;'1-Input'!$B$26,0,IF(G224&lt;=0,0,MAX(0,(G224-H224)/G224)))</f>
        <v>0</v>
      </c>
      <c r="C225" s="18">
        <f>IF($A225&gt;'1-Input'!$B$26,0,(MAX(0,B176-IF($A225&gt;='1-Input'!$C$12,'1-Input'!$B$12,0))-MIN(MAX(F224,0),MAX(0,B176-IF($A225&gt;='1-Input'!$C$12,'1-Input'!$B$12,0))))*(1/(1-'P-Parametri'!$B$6*B225))+MIN(MAX(0,G224-(MAX(0,B176-IF($A225&gt;='1-Input'!$C$12,'1-Input'!$B$12,0))-MIN(MAX(F224,0),MAX(0,B176-IF($A225&gt;='1-Input'!$C$12,'1-Input'!$B$12,0))))*(1/(1-'P-Parametri'!$B$6*B225))),MAX(0,1*B176-(F224-MIN(MAX(F224,0),MAX(0,B176-IF($A225&gt;='1-Input'!$C$12,'1-Input'!$B$12,0)))))*(1/(1-'P-Parametri'!$B$6*B225))))</f>
        <v>0</v>
      </c>
      <c r="D225" s="18">
        <f>IF($A225&gt;'1-Input'!$B$26,F224,(F224-MAX(0,B176-IF($A225&gt;='1-Input'!$C$12,'1-Input'!$B$12,0))+C225*(1-'P-Parametri'!$B$6*B225))*(1+'1-Input'!$B$27))</f>
        <v>15592.530870545161</v>
      </c>
      <c r="E225" s="18">
        <f>IF($A225&gt;'1-Input'!$B$26,G224,(G224-C225)*(1+$B$4))</f>
        <v>0</v>
      </c>
      <c r="F225" s="18">
        <f>IF($A225&gt;'1-Input'!$B$26,D225,D225-'P-Parametri'!$B$8*(E225+D225)+MIN(MAX(E225,0),'P-Parametri'!$B$8*(E225+D225)))</f>
        <v>15592.530870545161</v>
      </c>
      <c r="G225" s="18">
        <f>IF($A225&gt;'1-Input'!$B$26,E225,E225-MIN(MAX(E225,0),'P-Parametri'!$B$8*(E225+D225)))</f>
        <v>0</v>
      </c>
      <c r="H225" s="18">
        <f>IF($A225&gt;'1-Input'!$B$26,H224,H224-C225*(1-B225))</f>
        <v>0</v>
      </c>
      <c r="I225" s="11">
        <f>IF($A225&gt;'1-Input'!$B$26,0,IF(N224&lt;=0,0,MAX(0,(N224-O224)/N224)))</f>
        <v>0</v>
      </c>
      <c r="J225" s="18">
        <f>IF($A225&gt;'1-Input'!$B$26,0,(MAX(0,I176-IF($A225&gt;='1-Input'!$C$12,'1-Input'!$B$12,0))-MIN(MAX(M224,0),MAX(0,I176-IF($A225&gt;='1-Input'!$C$12,'1-Input'!$B$12,0))))*(1/(1-'P-Parametri'!$B$6*I225))+MIN(MAX(0,N224-(MAX(0,I176-IF($A225&gt;='1-Input'!$C$12,'1-Input'!$B$12,0))-MIN(MAX(M224,0),MAX(0,I176-IF($A225&gt;='1-Input'!$C$12,'1-Input'!$B$12,0))))*(1/(1-'P-Parametri'!$B$6*I225))),MAX(0,1*I176-(M224-MIN(MAX(M224,0),MAX(0,I176-IF($A225&gt;='1-Input'!$C$12,'1-Input'!$B$12,0)))))*(1/(1-'P-Parametri'!$B$6*I225))))</f>
        <v>0</v>
      </c>
      <c r="K225" s="18">
        <f>IF($A225&gt;'1-Input'!$B$26,M224,(M224-MAX(0,I176-IF($A225&gt;='1-Input'!$C$12,'1-Input'!$B$12,0))+J225*(1-'P-Parametri'!$B$6*I225))*(1+'1-Input'!$B$27))</f>
        <v>0</v>
      </c>
      <c r="L225" s="18">
        <f>IF($A225&gt;'1-Input'!$B$26,N224,(N224-J225)*(1+$B$4))</f>
        <v>-330331.9813243149</v>
      </c>
      <c r="M225" s="18">
        <f>IF($A225&gt;'1-Input'!$B$26,K225,K225-'P-Parametri'!$B$8*(L225+K225)+MIN(MAX(L225,0),'P-Parametri'!$B$8*(L225+K225)))</f>
        <v>0</v>
      </c>
      <c r="N225" s="18">
        <f>IF($A225&gt;'1-Input'!$B$26,L225,L225-MIN(MAX(L225,0),'P-Parametri'!$B$8*(L225+K225)))</f>
        <v>-330331.9813243149</v>
      </c>
      <c r="O225" s="18">
        <f>IF($A225&gt;'1-Input'!$B$26,O224,O224-J225*(1-I225))</f>
        <v>-262058.4836430265</v>
      </c>
      <c r="P225" s="11">
        <f>IF($A225&gt;'1-Input'!$B$26,0,IF(U224&lt;=0,0,MAX(0,(U224-V224)/U224)))</f>
        <v>0</v>
      </c>
      <c r="Q225" s="18">
        <f>IF($A225&gt;'1-Input'!$B$26,0,(MAX(0,P176-IF($A225&gt;='1-Input'!$C$12,'1-Input'!$B$12,0))-MIN(MAX(T224,0),MAX(0,P176-IF($A225&gt;='1-Input'!$C$12,'1-Input'!$B$12,0))))*(1/(1-'P-Parametri'!$B$6*P225))+MIN(MAX(0,U224-(MAX(0,P176-IF($A225&gt;='1-Input'!$C$12,'1-Input'!$B$12,0))-MIN(MAX(T224,0),MAX(0,P176-IF($A225&gt;='1-Input'!$C$12,'1-Input'!$B$12,0))))*(1/(1-'P-Parametri'!$B$6*P225))),MAX(0,1*P176-(T224-MIN(MAX(T224,0),MAX(0,P176-IF($A225&gt;='1-Input'!$C$12,'1-Input'!$B$12,0)))))*(1/(1-'P-Parametri'!$B$6*P225))))</f>
        <v>0</v>
      </c>
      <c r="R225" s="18">
        <f>IF($A225&gt;'1-Input'!$B$26,T224,(T224-MAX(0,P176-IF($A225&gt;='1-Input'!$C$12,'1-Input'!$B$12,0))+Q225*(1-'P-Parametri'!$B$6*P225))*(1+'1-Input'!$B$27))</f>
        <v>488.02224736595338</v>
      </c>
      <c r="S225" s="18">
        <f>IF($A225&gt;'1-Input'!$B$26,U224,(U224-Q225)*(1+$B$4))</f>
        <v>0</v>
      </c>
      <c r="T225" s="18">
        <f>IF($A225&gt;'1-Input'!$B$26,R225,R225-'P-Parametri'!$B$8*(S225+R225)+MIN(MAX(S225,0),'P-Parametri'!$B$8*(S225+R225)))</f>
        <v>488.02224736595338</v>
      </c>
      <c r="U225" s="18">
        <f>IF($A225&gt;'1-Input'!$B$26,S225,S225-MIN(MAX(S225,0),'P-Parametri'!$B$8*(S225+R225)))</f>
        <v>0</v>
      </c>
      <c r="V225" s="18">
        <f>IF($A225&gt;'1-Input'!$B$26,V224,V224-Q225*(1-P225))</f>
        <v>0</v>
      </c>
      <c r="W225" s="11">
        <f>IF($A225&gt;'1-Input'!$B$26,0,IF(AB224&lt;=0,0,MAX(0,(AB224-AC224)/AB224)))</f>
        <v>0</v>
      </c>
      <c r="X225" s="18">
        <f>IF($A225&gt;'1-Input'!$B$26,0,(MAX(0,W176-IF($A225&gt;='1-Input'!$C$12,'1-Input'!$B$12,0))-MIN(MAX(AA224,0),MAX(0,W176-IF($A225&gt;='1-Input'!$C$12,'1-Input'!$B$12,0))))*(1/(1-'P-Parametri'!$B$6*W225))+MIN(MAX(0,AB224-(MAX(0,W176-IF($A225&gt;='1-Input'!$C$12,'1-Input'!$B$12,0))-MIN(MAX(AA224,0),MAX(0,W176-IF($A225&gt;='1-Input'!$C$12,'1-Input'!$B$12,0))))*(1/(1-'P-Parametri'!$B$6*W225))),MAX(0,1*W176-(AA224-MIN(MAX(AA224,0),MAX(0,W176-IF($A225&gt;='1-Input'!$C$12,'1-Input'!$B$12,0)))))*(1/(1-'P-Parametri'!$B$6*W225))))</f>
        <v>0</v>
      </c>
      <c r="Y225" s="18">
        <f>IF($A225&gt;'1-Input'!$B$26,AA224,(AA224-MAX(0,W176-IF($A225&gt;='1-Input'!$C$12,'1-Input'!$B$12,0))+X225*(1-'P-Parametri'!$B$6*W225))*(1+'1-Input'!$B$27))</f>
        <v>26.276855659900924</v>
      </c>
      <c r="Z225" s="18">
        <f>IF($A225&gt;'1-Input'!$B$26,AB224,(AB224-X225)*(1+$B$4))</f>
        <v>0</v>
      </c>
      <c r="AA225" s="18">
        <f>IF($A225&gt;'1-Input'!$B$26,Y225,Y225-'P-Parametri'!$B$8*(Z225+Y225)+MIN(MAX(Z225,0),'P-Parametri'!$B$8*(Z225+Y225)))</f>
        <v>26.276855659900924</v>
      </c>
      <c r="AB225" s="18">
        <f>IF($A225&gt;'1-Input'!$B$26,Z225,Z225-MIN(MAX(Z225,0),'P-Parametri'!$B$8*(Z225+Y225)))</f>
        <v>0</v>
      </c>
      <c r="AC225" s="18">
        <f>IF($A225&gt;'1-Input'!$B$26,AC224,AC224-X225*(1-W225))</f>
        <v>0</v>
      </c>
      <c r="AD225" s="11">
        <f>IF($A225&gt;'1-Input'!$B$26,0,IF(AI224&lt;=0,0,MAX(0,(AI224-AJ224)/AI224)))</f>
        <v>0</v>
      </c>
      <c r="AE225" s="18">
        <f>IF($A225&gt;'1-Input'!$B$26,0,(MAX(0,AD176-IF($A225&gt;='1-Input'!$C$12,'1-Input'!$B$12,0))-MIN(MAX(AH224,0),MAX(0,AD176-IF($A225&gt;='1-Input'!$C$12,'1-Input'!$B$12,0))))*(1/(1-'P-Parametri'!$B$6*AD225))+MIN(MAX(0,AI224-(MAX(0,AD176-IF($A225&gt;='1-Input'!$C$12,'1-Input'!$B$12,0))-MIN(MAX(AH224,0),MAX(0,AD176-IF($A225&gt;='1-Input'!$C$12,'1-Input'!$B$12,0))))*(1/(1-'P-Parametri'!$B$6*AD225))),MAX(0,1*AD176-(AH224-MIN(MAX(AH224,0),MAX(0,AD176-IF($A225&gt;='1-Input'!$C$12,'1-Input'!$B$12,0)))))*(1/(1-'P-Parametri'!$B$6*AD225))))</f>
        <v>0</v>
      </c>
      <c r="AF225" s="18">
        <f>IF($A225&gt;'1-Input'!$B$26,AH224,(AH224-MAX(0,AD176-IF($A225&gt;='1-Input'!$C$12,'1-Input'!$B$12,0))+AE225*(1-'P-Parametri'!$B$6*AD225))*(1+'1-Input'!$B$27))</f>
        <v>3.9823603817085675E-5</v>
      </c>
      <c r="AG225" s="18">
        <f>IF($A225&gt;'1-Input'!$B$26,AI224,(AI224-AE225)*(1+$B$4))</f>
        <v>0</v>
      </c>
      <c r="AH225" s="18">
        <f>IF($A225&gt;'1-Input'!$B$26,AF225,AF225-'P-Parametri'!$B$8*(AG225+AF225)+MIN(MAX(AG225,0),'P-Parametri'!$B$8*(AG225+AF225)))</f>
        <v>3.9823603817085675E-5</v>
      </c>
      <c r="AI225" s="18">
        <f>IF($A225&gt;'1-Input'!$B$26,AG225,AG225-MIN(MAX(AG225,0),'P-Parametri'!$B$8*(AG225+AF225)))</f>
        <v>0</v>
      </c>
      <c r="AJ225" s="18">
        <f>IF($A225&gt;'1-Input'!$B$26,AJ224,AJ224-AE225*(1-AD225))</f>
        <v>5.6843418860808015E-14</v>
      </c>
      <c r="AK225" s="11">
        <f>IF($A225&gt;'1-Input'!$B$26,0,IF(AP224&lt;=0,0,MAX(0,(AP224-AQ224)/AP224)))</f>
        <v>0</v>
      </c>
      <c r="AL225" s="18">
        <f>IF($A225&gt;'1-Input'!$B$26,0,(MAX(0,AK176-IF($A225&gt;='1-Input'!$C$12,'1-Input'!$B$12,0))-MIN(MAX(AO224,0),MAX(0,AK176-IF($A225&gt;='1-Input'!$C$12,'1-Input'!$B$12,0))))*(1/(1-'P-Parametri'!$B$6*AK225))+MIN(MAX(0,AP224-(MAX(0,AK176-IF($A225&gt;='1-Input'!$C$12,'1-Input'!$B$12,0))-MIN(MAX(AO224,0),MAX(0,AK176-IF($A225&gt;='1-Input'!$C$12,'1-Input'!$B$12,0))))*(1/(1-'P-Parametri'!$B$6*AK225))),MAX(0,1*AK176-(AO224-MIN(MAX(AO224,0),MAX(0,AK176-IF($A225&gt;='1-Input'!$C$12,'1-Input'!$B$12,0)))))*(1/(1-'P-Parametri'!$B$6*AK225))))</f>
        <v>0</v>
      </c>
      <c r="AM225" s="18">
        <f>IF($A225&gt;'1-Input'!$B$26,AO224,(AO224-MAX(0,AK176-IF($A225&gt;='1-Input'!$C$12,'1-Input'!$B$12,0))+AL225*(1-'P-Parametri'!$B$6*AK225))*(1+'1-Input'!$B$27))</f>
        <v>0</v>
      </c>
      <c r="AN225" s="18">
        <f>IF($A225&gt;'1-Input'!$B$26,AP224,(AP224-AL225)*(1+$B$4))</f>
        <v>-1.3424523785943165E-10</v>
      </c>
      <c r="AO225" s="18">
        <f>IF($A225&gt;'1-Input'!$B$26,AM225,AM225-'P-Parametri'!$B$8*(AN225+AM225)+MIN(MAX(AN225,0),'P-Parametri'!$B$8*(AN225+AM225)))</f>
        <v>0</v>
      </c>
      <c r="AP225" s="18">
        <f>IF($A225&gt;'1-Input'!$B$26,AN225,AN225-MIN(MAX(AN225,0),'P-Parametri'!$B$8*(AN225+AM225)))</f>
        <v>-1.3424523785943165E-10</v>
      </c>
      <c r="AQ225" s="18">
        <f>IF($A225&gt;'1-Input'!$B$26,AQ224,AQ224-AL225*(1-AK225))</f>
        <v>-1.3187673175707459E-10</v>
      </c>
    </row>
    <row r="226" spans="1:43">
      <c r="A226" s="10">
        <f>48</f>
        <v>48</v>
      </c>
      <c r="B226" s="11">
        <f>IF($A226&gt;'1-Input'!$B$26,0,IF(G225&lt;=0,0,MAX(0,(G225-H225)/G225)))</f>
        <v>0</v>
      </c>
      <c r="C226" s="18">
        <f>IF($A226&gt;'1-Input'!$B$26,0,(MAX(0,B176-IF($A226&gt;='1-Input'!$C$12,'1-Input'!$B$12,0))-MIN(MAX(F225,0),MAX(0,B176-IF($A226&gt;='1-Input'!$C$12,'1-Input'!$B$12,0))))*(1/(1-'P-Parametri'!$B$6*B226))+MIN(MAX(0,G225-(MAX(0,B176-IF($A226&gt;='1-Input'!$C$12,'1-Input'!$B$12,0))-MIN(MAX(F225,0),MAX(0,B176-IF($A226&gt;='1-Input'!$C$12,'1-Input'!$B$12,0))))*(1/(1-'P-Parametri'!$B$6*B226))),MAX(0,1*B176-(F225-MIN(MAX(F225,0),MAX(0,B176-IF($A226&gt;='1-Input'!$C$12,'1-Input'!$B$12,0)))))*(1/(1-'P-Parametri'!$B$6*B226))))</f>
        <v>0</v>
      </c>
      <c r="D226" s="18">
        <f>IF($A226&gt;'1-Input'!$B$26,F225,(F225-MAX(0,B176-IF($A226&gt;='1-Input'!$C$12,'1-Input'!$B$12,0))+C226*(1-'P-Parametri'!$B$6*B226))*(1+'1-Input'!$B$27))</f>
        <v>15592.530870545161</v>
      </c>
      <c r="E226" s="18">
        <f>IF($A226&gt;'1-Input'!$B$26,G225,(G225-C226)*(1+$B$4))</f>
        <v>0</v>
      </c>
      <c r="F226" s="18">
        <f>IF($A226&gt;'1-Input'!$B$26,D226,D226-'P-Parametri'!$B$8*(E226+D226)+MIN(MAX(E226,0),'P-Parametri'!$B$8*(E226+D226)))</f>
        <v>15592.530870545161</v>
      </c>
      <c r="G226" s="18">
        <f>IF($A226&gt;'1-Input'!$B$26,E226,E226-MIN(MAX(E226,0),'P-Parametri'!$B$8*(E226+D226)))</f>
        <v>0</v>
      </c>
      <c r="H226" s="18">
        <f>IF($A226&gt;'1-Input'!$B$26,H225,H225-C226*(1-B226))</f>
        <v>0</v>
      </c>
      <c r="I226" s="11">
        <f>IF($A226&gt;'1-Input'!$B$26,0,IF(N225&lt;=0,0,MAX(0,(N225-O225)/N225)))</f>
        <v>0</v>
      </c>
      <c r="J226" s="18">
        <f>IF($A226&gt;'1-Input'!$B$26,0,(MAX(0,I176-IF($A226&gt;='1-Input'!$C$12,'1-Input'!$B$12,0))-MIN(MAX(M225,0),MAX(0,I176-IF($A226&gt;='1-Input'!$C$12,'1-Input'!$B$12,0))))*(1/(1-'P-Parametri'!$B$6*I226))+MIN(MAX(0,N225-(MAX(0,I176-IF($A226&gt;='1-Input'!$C$12,'1-Input'!$B$12,0))-MIN(MAX(M225,0),MAX(0,I176-IF($A226&gt;='1-Input'!$C$12,'1-Input'!$B$12,0))))*(1/(1-'P-Parametri'!$B$6*I226))),MAX(0,1*I176-(M225-MIN(MAX(M225,0),MAX(0,I176-IF($A226&gt;='1-Input'!$C$12,'1-Input'!$B$12,0)))))*(1/(1-'P-Parametri'!$B$6*I226))))</f>
        <v>0</v>
      </c>
      <c r="K226" s="18">
        <f>IF($A226&gt;'1-Input'!$B$26,M225,(M225-MAX(0,I176-IF($A226&gt;='1-Input'!$C$12,'1-Input'!$B$12,0))+J226*(1-'P-Parametri'!$B$6*I226))*(1+'1-Input'!$B$27))</f>
        <v>0</v>
      </c>
      <c r="L226" s="18">
        <f>IF($A226&gt;'1-Input'!$B$26,N225,(N225-J226)*(1+$B$4))</f>
        <v>-330331.9813243149</v>
      </c>
      <c r="M226" s="18">
        <f>IF($A226&gt;'1-Input'!$B$26,K226,K226-'P-Parametri'!$B$8*(L226+K226)+MIN(MAX(L226,0),'P-Parametri'!$B$8*(L226+K226)))</f>
        <v>0</v>
      </c>
      <c r="N226" s="18">
        <f>IF($A226&gt;'1-Input'!$B$26,L226,L226-MIN(MAX(L226,0),'P-Parametri'!$B$8*(L226+K226)))</f>
        <v>-330331.9813243149</v>
      </c>
      <c r="O226" s="18">
        <f>IF($A226&gt;'1-Input'!$B$26,O225,O225-J226*(1-I226))</f>
        <v>-262058.4836430265</v>
      </c>
      <c r="P226" s="11">
        <f>IF($A226&gt;'1-Input'!$B$26,0,IF(U225&lt;=0,0,MAX(0,(U225-V225)/U225)))</f>
        <v>0</v>
      </c>
      <c r="Q226" s="18">
        <f>IF($A226&gt;'1-Input'!$B$26,0,(MAX(0,P176-IF($A226&gt;='1-Input'!$C$12,'1-Input'!$B$12,0))-MIN(MAX(T225,0),MAX(0,P176-IF($A226&gt;='1-Input'!$C$12,'1-Input'!$B$12,0))))*(1/(1-'P-Parametri'!$B$6*P226))+MIN(MAX(0,U225-(MAX(0,P176-IF($A226&gt;='1-Input'!$C$12,'1-Input'!$B$12,0))-MIN(MAX(T225,0),MAX(0,P176-IF($A226&gt;='1-Input'!$C$12,'1-Input'!$B$12,0))))*(1/(1-'P-Parametri'!$B$6*P226))),MAX(0,1*P176-(T225-MIN(MAX(T225,0),MAX(0,P176-IF($A226&gt;='1-Input'!$C$12,'1-Input'!$B$12,0)))))*(1/(1-'P-Parametri'!$B$6*P226))))</f>
        <v>0</v>
      </c>
      <c r="R226" s="18">
        <f>IF($A226&gt;'1-Input'!$B$26,T225,(T225-MAX(0,P176-IF($A226&gt;='1-Input'!$C$12,'1-Input'!$B$12,0))+Q226*(1-'P-Parametri'!$B$6*P226))*(1+'1-Input'!$B$27))</f>
        <v>488.02224736595338</v>
      </c>
      <c r="S226" s="18">
        <f>IF($A226&gt;'1-Input'!$B$26,U225,(U225-Q226)*(1+$B$4))</f>
        <v>0</v>
      </c>
      <c r="T226" s="18">
        <f>IF($A226&gt;'1-Input'!$B$26,R226,R226-'P-Parametri'!$B$8*(S226+R226)+MIN(MAX(S226,0),'P-Parametri'!$B$8*(S226+R226)))</f>
        <v>488.02224736595338</v>
      </c>
      <c r="U226" s="18">
        <f>IF($A226&gt;'1-Input'!$B$26,S226,S226-MIN(MAX(S226,0),'P-Parametri'!$B$8*(S226+R226)))</f>
        <v>0</v>
      </c>
      <c r="V226" s="18">
        <f>IF($A226&gt;'1-Input'!$B$26,V225,V225-Q226*(1-P226))</f>
        <v>0</v>
      </c>
      <c r="W226" s="11">
        <f>IF($A226&gt;'1-Input'!$B$26,0,IF(AB225&lt;=0,0,MAX(0,(AB225-AC225)/AB225)))</f>
        <v>0</v>
      </c>
      <c r="X226" s="18">
        <f>IF($A226&gt;'1-Input'!$B$26,0,(MAX(0,W176-IF($A226&gt;='1-Input'!$C$12,'1-Input'!$B$12,0))-MIN(MAX(AA225,0),MAX(0,W176-IF($A226&gt;='1-Input'!$C$12,'1-Input'!$B$12,0))))*(1/(1-'P-Parametri'!$B$6*W226))+MIN(MAX(0,AB225-(MAX(0,W176-IF($A226&gt;='1-Input'!$C$12,'1-Input'!$B$12,0))-MIN(MAX(AA225,0),MAX(0,W176-IF($A226&gt;='1-Input'!$C$12,'1-Input'!$B$12,0))))*(1/(1-'P-Parametri'!$B$6*W226))),MAX(0,1*W176-(AA225-MIN(MAX(AA225,0),MAX(0,W176-IF($A226&gt;='1-Input'!$C$12,'1-Input'!$B$12,0)))))*(1/(1-'P-Parametri'!$B$6*W226))))</f>
        <v>0</v>
      </c>
      <c r="Y226" s="18">
        <f>IF($A226&gt;'1-Input'!$B$26,AA225,(AA225-MAX(0,W176-IF($A226&gt;='1-Input'!$C$12,'1-Input'!$B$12,0))+X226*(1-'P-Parametri'!$B$6*W226))*(1+'1-Input'!$B$27))</f>
        <v>26.276855659900924</v>
      </c>
      <c r="Z226" s="18">
        <f>IF($A226&gt;'1-Input'!$B$26,AB225,(AB225-X226)*(1+$B$4))</f>
        <v>0</v>
      </c>
      <c r="AA226" s="18">
        <f>IF($A226&gt;'1-Input'!$B$26,Y226,Y226-'P-Parametri'!$B$8*(Z226+Y226)+MIN(MAX(Z226,0),'P-Parametri'!$B$8*(Z226+Y226)))</f>
        <v>26.276855659900924</v>
      </c>
      <c r="AB226" s="18">
        <f>IF($A226&gt;'1-Input'!$B$26,Z226,Z226-MIN(MAX(Z226,0),'P-Parametri'!$B$8*(Z226+Y226)))</f>
        <v>0</v>
      </c>
      <c r="AC226" s="18">
        <f>IF($A226&gt;'1-Input'!$B$26,AC225,AC225-X226*(1-W226))</f>
        <v>0</v>
      </c>
      <c r="AD226" s="11">
        <f>IF($A226&gt;'1-Input'!$B$26,0,IF(AI225&lt;=0,0,MAX(0,(AI225-AJ225)/AI225)))</f>
        <v>0</v>
      </c>
      <c r="AE226" s="18">
        <f>IF($A226&gt;'1-Input'!$B$26,0,(MAX(0,AD176-IF($A226&gt;='1-Input'!$C$12,'1-Input'!$B$12,0))-MIN(MAX(AH225,0),MAX(0,AD176-IF($A226&gt;='1-Input'!$C$12,'1-Input'!$B$12,0))))*(1/(1-'P-Parametri'!$B$6*AD226))+MIN(MAX(0,AI225-(MAX(0,AD176-IF($A226&gt;='1-Input'!$C$12,'1-Input'!$B$12,0))-MIN(MAX(AH225,0),MAX(0,AD176-IF($A226&gt;='1-Input'!$C$12,'1-Input'!$B$12,0))))*(1/(1-'P-Parametri'!$B$6*AD226))),MAX(0,1*AD176-(AH225-MIN(MAX(AH225,0),MAX(0,AD176-IF($A226&gt;='1-Input'!$C$12,'1-Input'!$B$12,0)))))*(1/(1-'P-Parametri'!$B$6*AD226))))</f>
        <v>0</v>
      </c>
      <c r="AF226" s="18">
        <f>IF($A226&gt;'1-Input'!$B$26,AH225,(AH225-MAX(0,AD176-IF($A226&gt;='1-Input'!$C$12,'1-Input'!$B$12,0))+AE226*(1-'P-Parametri'!$B$6*AD226))*(1+'1-Input'!$B$27))</f>
        <v>3.9823603817085675E-5</v>
      </c>
      <c r="AG226" s="18">
        <f>IF($A226&gt;'1-Input'!$B$26,AI225,(AI225-AE226)*(1+$B$4))</f>
        <v>0</v>
      </c>
      <c r="AH226" s="18">
        <f>IF($A226&gt;'1-Input'!$B$26,AF226,AF226-'P-Parametri'!$B$8*(AG226+AF226)+MIN(MAX(AG226,0),'P-Parametri'!$B$8*(AG226+AF226)))</f>
        <v>3.9823603817085675E-5</v>
      </c>
      <c r="AI226" s="18">
        <f>IF($A226&gt;'1-Input'!$B$26,AG226,AG226-MIN(MAX(AG226,0),'P-Parametri'!$B$8*(AG226+AF226)))</f>
        <v>0</v>
      </c>
      <c r="AJ226" s="18">
        <f>IF($A226&gt;'1-Input'!$B$26,AJ225,AJ225-AE226*(1-AD226))</f>
        <v>5.6843418860808015E-14</v>
      </c>
      <c r="AK226" s="11">
        <f>IF($A226&gt;'1-Input'!$B$26,0,IF(AP225&lt;=0,0,MAX(0,(AP225-AQ225)/AP225)))</f>
        <v>0</v>
      </c>
      <c r="AL226" s="18">
        <f>IF($A226&gt;'1-Input'!$B$26,0,(MAX(0,AK176-IF($A226&gt;='1-Input'!$C$12,'1-Input'!$B$12,0))-MIN(MAX(AO225,0),MAX(0,AK176-IF($A226&gt;='1-Input'!$C$12,'1-Input'!$B$12,0))))*(1/(1-'P-Parametri'!$B$6*AK226))+MIN(MAX(0,AP225-(MAX(0,AK176-IF($A226&gt;='1-Input'!$C$12,'1-Input'!$B$12,0))-MIN(MAX(AO225,0),MAX(0,AK176-IF($A226&gt;='1-Input'!$C$12,'1-Input'!$B$12,0))))*(1/(1-'P-Parametri'!$B$6*AK226))),MAX(0,1*AK176-(AO225-MIN(MAX(AO225,0),MAX(0,AK176-IF($A226&gt;='1-Input'!$C$12,'1-Input'!$B$12,0)))))*(1/(1-'P-Parametri'!$B$6*AK226))))</f>
        <v>0</v>
      </c>
      <c r="AM226" s="18">
        <f>IF($A226&gt;'1-Input'!$B$26,AO225,(AO225-MAX(0,AK176-IF($A226&gt;='1-Input'!$C$12,'1-Input'!$B$12,0))+AL226*(1-'P-Parametri'!$B$6*AK226))*(1+'1-Input'!$B$27))</f>
        <v>0</v>
      </c>
      <c r="AN226" s="18">
        <f>IF($A226&gt;'1-Input'!$B$26,AP225,(AP225-AL226)*(1+$B$4))</f>
        <v>-1.3424523785943165E-10</v>
      </c>
      <c r="AO226" s="18">
        <f>IF($A226&gt;'1-Input'!$B$26,AM226,AM226-'P-Parametri'!$B$8*(AN226+AM226)+MIN(MAX(AN226,0),'P-Parametri'!$B$8*(AN226+AM226)))</f>
        <v>0</v>
      </c>
      <c r="AP226" s="18">
        <f>IF($A226&gt;'1-Input'!$B$26,AN226,AN226-MIN(MAX(AN226,0),'P-Parametri'!$B$8*(AN226+AM226)))</f>
        <v>-1.3424523785943165E-10</v>
      </c>
      <c r="AQ226" s="18">
        <f>IF($A226&gt;'1-Input'!$B$26,AQ225,AQ225-AL226*(1-AK226))</f>
        <v>-1.3187673175707459E-10</v>
      </c>
    </row>
    <row r="227" spans="1:43">
      <c r="A227" s="4" t="s">
        <v>365</v>
      </c>
      <c r="B227" s="18">
        <f>F226+G226</f>
        <v>15592.530870545161</v>
      </c>
      <c r="I227" s="18">
        <f>M226+N226</f>
        <v>-330331.9813243149</v>
      </c>
      <c r="P227" s="18">
        <f>T226+U226</f>
        <v>488.02224736595338</v>
      </c>
      <c r="W227" s="18">
        <f>AA226+AB226</f>
        <v>26.276855659900924</v>
      </c>
      <c r="AD227" s="18">
        <f>AH226+AI226</f>
        <v>3.9823603817085675E-5</v>
      </c>
      <c r="AK227" s="18">
        <f>AO226+AP226</f>
        <v>-1.3424523785943165E-10</v>
      </c>
    </row>
    <row r="228" spans="1:43">
      <c r="A228" s="5" t="s">
        <v>266</v>
      </c>
      <c r="B228" s="18">
        <f>IFERROR(AK176-AK227*(AK176-AD176)/(AK227-AD227),AK176)</f>
        <v>16926.339593220018</v>
      </c>
    </row>
    <row r="230" spans="1:43">
      <c r="A230" s="2" t="s">
        <v>367</v>
      </c>
    </row>
    <row r="231" spans="1:43">
      <c r="A231" s="4" t="s">
        <v>360</v>
      </c>
      <c r="B231" s="9">
        <f>0.038*'2-Caso'!$B$12</f>
        <v>16681.055314625803</v>
      </c>
      <c r="I231" s="9">
        <f>0.05*'2-Caso'!$B$12</f>
        <v>21948.756992928691</v>
      </c>
      <c r="P231" s="18">
        <f>IFERROR(I231-I282*(I231-B231)/(I282-B282),I231)</f>
        <v>16657.931103542345</v>
      </c>
      <c r="W231" s="18">
        <f>IFERROR(P231-P282*(P231-I231)/(P282-I282),P231)</f>
        <v>16656.584690068816</v>
      </c>
      <c r="AD231" s="18">
        <f>IFERROR(W231-W282*(W231-P231)/(W282-P282),W231)</f>
        <v>16656.500351825551</v>
      </c>
      <c r="AK231" s="18">
        <f>IFERROR(AD231-AD282*(AD231-W231)/(AD282-W282),AD231)</f>
        <v>16656.500351872357</v>
      </c>
    </row>
    <row r="232" spans="1:43" ht="45">
      <c r="A232" s="25" t="s">
        <v>262</v>
      </c>
      <c r="B232" s="25" t="s">
        <v>361</v>
      </c>
      <c r="C232" s="25" t="s">
        <v>263</v>
      </c>
      <c r="D232" s="25" t="s">
        <v>362</v>
      </c>
      <c r="E232" s="25" t="s">
        <v>363</v>
      </c>
      <c r="F232" s="25" t="s">
        <v>264</v>
      </c>
      <c r="G232" s="25" t="s">
        <v>265</v>
      </c>
      <c r="H232" s="25" t="s">
        <v>364</v>
      </c>
      <c r="I232" s="25" t="s">
        <v>361</v>
      </c>
      <c r="J232" s="25" t="s">
        <v>263</v>
      </c>
      <c r="K232" s="25" t="s">
        <v>362</v>
      </c>
      <c r="L232" s="25" t="s">
        <v>363</v>
      </c>
      <c r="M232" s="25" t="s">
        <v>264</v>
      </c>
      <c r="N232" s="25" t="s">
        <v>265</v>
      </c>
      <c r="O232" s="25" t="s">
        <v>364</v>
      </c>
      <c r="P232" s="25" t="s">
        <v>361</v>
      </c>
      <c r="Q232" s="25" t="s">
        <v>263</v>
      </c>
      <c r="R232" s="25" t="s">
        <v>362</v>
      </c>
      <c r="S232" s="25" t="s">
        <v>363</v>
      </c>
      <c r="T232" s="25" t="s">
        <v>264</v>
      </c>
      <c r="U232" s="25" t="s">
        <v>265</v>
      </c>
      <c r="V232" s="25" t="s">
        <v>364</v>
      </c>
      <c r="W232" s="25" t="s">
        <v>361</v>
      </c>
      <c r="X232" s="25" t="s">
        <v>263</v>
      </c>
      <c r="Y232" s="25" t="s">
        <v>362</v>
      </c>
      <c r="Z232" s="25" t="s">
        <v>363</v>
      </c>
      <c r="AA232" s="25" t="s">
        <v>264</v>
      </c>
      <c r="AB232" s="25" t="s">
        <v>265</v>
      </c>
      <c r="AC232" s="25" t="s">
        <v>364</v>
      </c>
      <c r="AD232" s="25" t="s">
        <v>361</v>
      </c>
      <c r="AE232" s="25" t="s">
        <v>263</v>
      </c>
      <c r="AF232" s="25" t="s">
        <v>362</v>
      </c>
      <c r="AG232" s="25" t="s">
        <v>363</v>
      </c>
      <c r="AH232" s="25" t="s">
        <v>264</v>
      </c>
      <c r="AI232" s="25" t="s">
        <v>265</v>
      </c>
      <c r="AJ232" s="25" t="s">
        <v>364</v>
      </c>
      <c r="AK232" s="25" t="s">
        <v>361</v>
      </c>
      <c r="AL232" s="25" t="s">
        <v>263</v>
      </c>
      <c r="AM232" s="25" t="s">
        <v>362</v>
      </c>
      <c r="AN232" s="25" t="s">
        <v>363</v>
      </c>
      <c r="AO232" s="25" t="s">
        <v>264</v>
      </c>
      <c r="AP232" s="25" t="s">
        <v>265</v>
      </c>
      <c r="AQ232" s="25" t="s">
        <v>364</v>
      </c>
    </row>
    <row r="233" spans="1:43">
      <c r="A233" s="3">
        <v>0</v>
      </c>
      <c r="F233" s="18">
        <f>MIN(2*B231,'2-Caso'!$B$12)</f>
        <v>33362.110629251605</v>
      </c>
      <c r="G233" s="18">
        <f>'2-Caso'!$B$12-F233</f>
        <v>405613.02922932222</v>
      </c>
      <c r="H233" s="18">
        <f>'2-Caso'!$B$13*G233/'2-Caso'!$B$12</f>
        <v>317856</v>
      </c>
      <c r="M233" s="18">
        <f>MIN(2*I231,'2-Caso'!$B$12)</f>
        <v>43897.513985857382</v>
      </c>
      <c r="N233" s="18">
        <f>'2-Caso'!$B$12-M233</f>
        <v>395077.62587271642</v>
      </c>
      <c r="O233" s="18">
        <f>'2-Caso'!$B$13*N233/'2-Caso'!$B$12</f>
        <v>309600</v>
      </c>
      <c r="T233" s="18">
        <f>MIN(2*P231,'2-Caso'!$B$12)</f>
        <v>33315.86220708469</v>
      </c>
      <c r="U233" s="18">
        <f>'2-Caso'!$B$12-T233</f>
        <v>405659.27765148913</v>
      </c>
      <c r="V233" s="18">
        <f>'2-Caso'!$B$13*U233/'2-Caso'!$B$12</f>
        <v>317892.24227383483</v>
      </c>
      <c r="AA233" s="18">
        <f>MIN(2*W231,'2-Caso'!$B$12)</f>
        <v>33313.169380137631</v>
      </c>
      <c r="AB233" s="18">
        <f>'2-Caso'!$B$12-AA233</f>
        <v>405661.97047843615</v>
      </c>
      <c r="AC233" s="18">
        <f>'2-Caso'!$B$13*AB233/'2-Caso'!$B$12</f>
        <v>317894.35249007639</v>
      </c>
      <c r="AH233" s="18">
        <f>MIN(2*AD231,'2-Caso'!$B$12)</f>
        <v>33313.000703651102</v>
      </c>
      <c r="AI233" s="18">
        <f>'2-Caso'!$B$12-AH233</f>
        <v>405662.13915492268</v>
      </c>
      <c r="AJ233" s="18">
        <f>'2-Caso'!$B$13*AI233/'2-Caso'!$B$12</f>
        <v>317894.48467230285</v>
      </c>
      <c r="AO233" s="18">
        <f>MIN(2*AK231,'2-Caso'!$B$12)</f>
        <v>33313.000703744714</v>
      </c>
      <c r="AP233" s="18">
        <f>'2-Caso'!$B$12-AO233</f>
        <v>405662.13915482908</v>
      </c>
      <c r="AQ233" s="18">
        <f>'2-Caso'!$B$13*AP233/'2-Caso'!$B$12</f>
        <v>317894.4846722295</v>
      </c>
    </row>
    <row r="234" spans="1:43">
      <c r="A234" s="10">
        <f>1</f>
        <v>1</v>
      </c>
      <c r="B234" s="11">
        <f>IF($A234&gt;'1-Input'!$B$26,0,IF(G233&lt;=0,0,MAX(0,(G233-H233)/G233)))</f>
        <v>0.21635653419729486</v>
      </c>
      <c r="C234" s="18">
        <f>IF($A234&gt;'1-Input'!$B$26,0,(MAX(0,B231-IF($A234&gt;='1-Input'!$C$12,'1-Input'!$B$12,0))-MIN(MAX(F233,0),MAX(0,B231-IF($A234&gt;='1-Input'!$C$12,'1-Input'!$B$12,0))))*(1/(1-'P-Parametri'!$B$6*B234))+MIN(MAX(0,G233-(MAX(0,B231-IF($A234&gt;='1-Input'!$C$12,'1-Input'!$B$12,0))-MIN(MAX(F233,0),MAX(0,B231-IF($A234&gt;='1-Input'!$C$12,'1-Input'!$B$12,0))))*(1/(1-'P-Parametri'!$B$6*B234))),MAX(0,2*B231-(F233-MIN(MAX(F233,0),MAX(0,B231-IF($A234&gt;='1-Input'!$C$12,'1-Input'!$B$12,0)))))*(1/(1-'P-Parametri'!$B$6*B234))))</f>
        <v>17675.340946701614</v>
      </c>
      <c r="D234" s="18">
        <f>IF($A234&gt;'1-Input'!$B$26,F233,(F233-MAX(0,B231-IF($A234&gt;='1-Input'!$C$12,'1-Input'!$B$12,0))+C234*(1-'P-Parametri'!$B$6*B234))*(1+'1-Input'!$B$27))</f>
        <v>33242.0070309863</v>
      </c>
      <c r="E234" s="18">
        <f>IF($A234&gt;'1-Input'!$B$26,G233,(G233-C234)*(1+$B$4))</f>
        <v>395696.44204827305</v>
      </c>
      <c r="F234" s="18">
        <f>IF($A234&gt;'1-Input'!$B$26,D234,D234-'P-Parametri'!$B$8*(E234+D234)+MIN(MAX(E234,0),'P-Parametri'!$B$8*(E234+D234)))</f>
        <v>33242.0070309863</v>
      </c>
      <c r="G234" s="18">
        <f>IF($A234&gt;'1-Input'!$B$26,E234,E234-MIN(MAX(E234,0),'P-Parametri'!$B$8*(E234+D234)))</f>
        <v>394838.56515011453</v>
      </c>
      <c r="H234" s="18">
        <f>IF($A234&gt;'1-Input'!$B$26,H233,H233-C234*(1-B234))</f>
        <v>304004.8345612823</v>
      </c>
      <c r="I234" s="11">
        <f>IF($A234&gt;'1-Input'!$B$26,0,IF(N233&lt;=0,0,MAX(0,(N233-O233)/N233)))</f>
        <v>0.21635653419729484</v>
      </c>
      <c r="J234" s="18">
        <f>IF($A234&gt;'1-Input'!$B$26,0,(MAX(0,I231-IF($A234&gt;='1-Input'!$C$12,'1-Input'!$B$12,0))-MIN(MAX(M233,0),MAX(0,I231-IF($A234&gt;='1-Input'!$C$12,'1-Input'!$B$12,0))))*(1/(1-'P-Parametri'!$B$6*I234))+MIN(MAX(0,N233-(MAX(0,I231-IF($A234&gt;='1-Input'!$C$12,'1-Input'!$B$12,0))-MIN(MAX(M233,0),MAX(0,I231-IF($A234&gt;='1-Input'!$C$12,'1-Input'!$B$12,0))))*(1/(1-'P-Parametri'!$B$6*I234))),MAX(0,2*I231-(M233-MIN(MAX(M233,0),MAX(0,I231-IF($A234&gt;='1-Input'!$C$12,'1-Input'!$B$12,0)))))*(1/(1-'P-Parametri'!$B$6*I234))))</f>
        <v>23257.027561449497</v>
      </c>
      <c r="K234" s="18">
        <f>IF($A234&gt;'1-Input'!$B$26,M233,(M233-MAX(0,I231-IF($A234&gt;='1-Input'!$C$12,'1-Input'!$B$12,0))+J234*(1-'P-Parametri'!$B$6*I234))*(1+'1-Input'!$B$27))</f>
        <v>43739.482935508291</v>
      </c>
      <c r="L234" s="18">
        <f>IF($A234&gt;'1-Input'!$B$26,N233,(N233-J234)*(1+$B$4))</f>
        <v>379257.01027749229</v>
      </c>
      <c r="M234" s="18">
        <f>IF($A234&gt;'1-Input'!$B$26,K234,K234-'P-Parametri'!$B$8*(L234+K234)+MIN(MAX(L234,0),'P-Parametri'!$B$8*(L234+K234)))</f>
        <v>43739.482935508291</v>
      </c>
      <c r="N234" s="18">
        <f>IF($A234&gt;'1-Input'!$B$26,L234,L234-MIN(MAX(L234,0),'P-Parametri'!$B$8*(L234+K234)))</f>
        <v>378411.0172910663</v>
      </c>
      <c r="O234" s="18">
        <f>IF($A234&gt;'1-Input'!$B$26,O233,O233-J234*(1-I234))</f>
        <v>291374.7823174767</v>
      </c>
      <c r="P234" s="11">
        <f>IF($A234&gt;'1-Input'!$B$26,0,IF(U233&lt;=0,0,MAX(0,(U233-V233)/U233)))</f>
        <v>0.21635653419729478</v>
      </c>
      <c r="Q234" s="18">
        <f>IF($A234&gt;'1-Input'!$B$26,0,(MAX(0,P231-IF($A234&gt;='1-Input'!$C$12,'1-Input'!$B$12,0))-MIN(MAX(T233,0),MAX(0,P231-IF($A234&gt;='1-Input'!$C$12,'1-Input'!$B$12,0))))*(1/(1-'P-Parametri'!$B$6*P234))+MIN(MAX(0,U233-(MAX(0,P231-IF($A234&gt;='1-Input'!$C$12,'1-Input'!$B$12,0))-MIN(MAX(T233,0),MAX(0,P231-IF($A234&gt;='1-Input'!$C$12,'1-Input'!$B$12,0))))*(1/(1-'P-Parametri'!$B$6*P234))),MAX(0,2*P231-(T233-MIN(MAX(T233,0),MAX(0,P231-IF($A234&gt;='1-Input'!$C$12,'1-Input'!$B$12,0)))))*(1/(1-'P-Parametri'!$B$6*P234))))</f>
        <v>17650.838401310182</v>
      </c>
      <c r="R234" s="18">
        <f>IF($A234&gt;'1-Input'!$B$26,T233,(T233-MAX(0,P231-IF($A234&gt;='1-Input'!$C$12,'1-Input'!$B$12,0))+Q234*(1-'P-Parametri'!$B$6*P234))*(1+'1-Input'!$B$27))</f>
        <v>33195.925103139183</v>
      </c>
      <c r="S234" s="18">
        <f>IF($A234&gt;'1-Input'!$B$26,U233,(U233-Q234)*(1+$B$4))</f>
        <v>395768.60803518252</v>
      </c>
      <c r="T234" s="18">
        <f>IF($A234&gt;'1-Input'!$B$26,R234,R234-'P-Parametri'!$B$8*(S234+R234)+MIN(MAX(S234,0),'P-Parametri'!$B$8*(S234+R234)))</f>
        <v>33195.925103139183</v>
      </c>
      <c r="U234" s="18">
        <f>IF($A234&gt;'1-Input'!$B$26,S234,S234-MIN(MAX(S234,0),'P-Parametri'!$B$8*(S234+R234)))</f>
        <v>394910.67896890588</v>
      </c>
      <c r="V234" s="18">
        <f>IF($A234&gt;'1-Input'!$B$26,V233,V233-Q234*(1-P234))</f>
        <v>304060.27809470863</v>
      </c>
      <c r="W234" s="11">
        <f>IF($A234&gt;'1-Input'!$B$26,0,IF(AB233&lt;=0,0,MAX(0,(AB233-AC233)/AB233)))</f>
        <v>0.21635653419729481</v>
      </c>
      <c r="X234" s="18">
        <f>IF($A234&gt;'1-Input'!$B$26,0,(MAX(0,W231-IF($A234&gt;='1-Input'!$C$12,'1-Input'!$B$12,0))-MIN(MAX(AA233,0),MAX(0,W231-IF($A234&gt;='1-Input'!$C$12,'1-Input'!$B$12,0))))*(1/(1-'P-Parametri'!$B$6*W234))+MIN(MAX(0,AB233-(MAX(0,W231-IF($A234&gt;='1-Input'!$C$12,'1-Input'!$B$12,0))-MIN(MAX(AA233,0),MAX(0,W231-IF($A234&gt;='1-Input'!$C$12,'1-Input'!$B$12,0))))*(1/(1-'P-Parametri'!$B$6*W234))),MAX(0,2*W231-(AA233-MIN(MAX(AA233,0),MAX(0,W231-IF($A234&gt;='1-Input'!$C$12,'1-Input'!$B$12,0)))))*(1/(1-'P-Parametri'!$B$6*W234))))</f>
        <v>17649.411733947058</v>
      </c>
      <c r="Y234" s="18">
        <f>IF($A234&gt;'1-Input'!$B$26,AA233,(AA233-MAX(0,W231-IF($A234&gt;='1-Input'!$C$12,'1-Input'!$B$12,0))+X234*(1-'P-Parametri'!$B$6*W234))*(1+'1-Input'!$B$27))</f>
        <v>33193.241970369134</v>
      </c>
      <c r="Z234" s="18">
        <f>IF($A234&gt;'1-Input'!$B$26,AB233,(AB233-X234)*(1+$B$4))</f>
        <v>395772.80991937889</v>
      </c>
      <c r="AA234" s="18">
        <f>IF($A234&gt;'1-Input'!$B$26,Y234,Y234-'P-Parametri'!$B$8*(Z234+Y234)+MIN(MAX(Z234,0),'P-Parametri'!$B$8*(Z234+Y234)))</f>
        <v>33193.241970369134</v>
      </c>
      <c r="AB234" s="18">
        <f>IF($A234&gt;'1-Input'!$B$26,Z234,Z234-MIN(MAX(Z234,0),'P-Parametri'!$B$8*(Z234+Y234)))</f>
        <v>394914.87781559938</v>
      </c>
      <c r="AC234" s="18">
        <f>IF($A234&gt;'1-Input'!$B$26,AC233,AC233-X234*(1-W234))</f>
        <v>304063.50630950718</v>
      </c>
      <c r="AD234" s="11">
        <f>IF($A234&gt;'1-Input'!$B$26,0,IF(AI233&lt;=0,0,MAX(0,(AI233-AJ233)/AI233)))</f>
        <v>0.21635653419729492</v>
      </c>
      <c r="AE234" s="18">
        <f>IF($A234&gt;'1-Input'!$B$26,0,(MAX(0,AD231-IF($A234&gt;='1-Input'!$C$12,'1-Input'!$B$12,0))-MIN(MAX(AH233,0),MAX(0,AD231-IF($A234&gt;='1-Input'!$C$12,'1-Input'!$B$12,0))))*(1/(1-'P-Parametri'!$B$6*AD234))+MIN(MAX(0,AI233-(MAX(0,AD231-IF($A234&gt;='1-Input'!$C$12,'1-Input'!$B$12,0))-MIN(MAX(AH233,0),MAX(0,AD231-IF($A234&gt;='1-Input'!$C$12,'1-Input'!$B$12,0))))*(1/(1-'P-Parametri'!$B$6*AD234))),MAX(0,2*AD231-(AH233-MIN(MAX(AH233,0),MAX(0,AD231-IF($A234&gt;='1-Input'!$C$12,'1-Input'!$B$12,0)))))*(1/(1-'P-Parametri'!$B$6*AD234))))</f>
        <v>17649.322368665518</v>
      </c>
      <c r="AF234" s="18">
        <f>IF($A234&gt;'1-Input'!$B$26,AH233,(AH233-MAX(0,AD231-IF($A234&gt;='1-Input'!$C$12,'1-Input'!$B$12,0))+AE234*(1-'P-Parametri'!$B$6*AD234))*(1+'1-Input'!$B$27))</f>
        <v>33193.073901117954</v>
      </c>
      <c r="AG234" s="18">
        <f>IF($A234&gt;'1-Input'!$B$26,AI233,(AI233-AE234)*(1+$B$4))</f>
        <v>395773.07312198228</v>
      </c>
      <c r="AH234" s="18">
        <f>IF($A234&gt;'1-Input'!$B$26,AF234,AF234-'P-Parametri'!$B$8*(AG234+AF234)+MIN(MAX(AG234,0),'P-Parametri'!$B$8*(AG234+AF234)))</f>
        <v>33193.073901117954</v>
      </c>
      <c r="AI234" s="18">
        <f>IF($A234&gt;'1-Input'!$B$26,AG234,AG234-MIN(MAX(AG234,0),'P-Parametri'!$B$8*(AG234+AF234)))</f>
        <v>394915.14082793606</v>
      </c>
      <c r="AJ234" s="18">
        <f>IF($A234&gt;'1-Input'!$B$26,AJ233,AJ233-AE234*(1-AD234))</f>
        <v>304063.70852225256</v>
      </c>
      <c r="AK234" s="11">
        <f>IF($A234&gt;'1-Input'!$B$26,0,IF(AP233&lt;=0,0,MAX(0,(AP233-AQ233)/AP233)))</f>
        <v>0.21635653419729489</v>
      </c>
      <c r="AL234" s="18">
        <f>IF($A234&gt;'1-Input'!$B$26,0,(MAX(0,AK231-IF($A234&gt;='1-Input'!$C$12,'1-Input'!$B$12,0))-MIN(MAX(AO233,0),MAX(0,AK231-IF($A234&gt;='1-Input'!$C$12,'1-Input'!$B$12,0))))*(1/(1-'P-Parametri'!$B$6*AK234))+MIN(MAX(0,AP233-(MAX(0,AK231-IF($A234&gt;='1-Input'!$C$12,'1-Input'!$B$12,0))-MIN(MAX(AO233,0),MAX(0,AK231-IF($A234&gt;='1-Input'!$C$12,'1-Input'!$B$12,0))))*(1/(1-'P-Parametri'!$B$6*AK234))),MAX(0,2*AK231-(AO233-MIN(MAX(AO233,0),MAX(0,AK231-IF($A234&gt;='1-Input'!$C$12,'1-Input'!$B$12,0)))))*(1/(1-'P-Parametri'!$B$6*AK234))))</f>
        <v>17649.322368715115</v>
      </c>
      <c r="AM234" s="18">
        <f>IF($A234&gt;'1-Input'!$B$26,AO233,(AO233-MAX(0,AK231-IF($A234&gt;='1-Input'!$C$12,'1-Input'!$B$12,0))+AL234*(1-'P-Parametri'!$B$6*AK234))*(1+'1-Input'!$B$27))</f>
        <v>33193.073901211232</v>
      </c>
      <c r="AN234" s="18">
        <f>IF($A234&gt;'1-Input'!$B$26,AP233,(AP233-AL234)*(1+$B$4))</f>
        <v>395773.07312183623</v>
      </c>
      <c r="AO234" s="18">
        <f>IF($A234&gt;'1-Input'!$B$26,AM234,AM234-'P-Parametri'!$B$8*(AN234+AM234)+MIN(MAX(AN234,0),'P-Parametri'!$B$8*(AN234+AM234)))</f>
        <v>33193.073901211232</v>
      </c>
      <c r="AP234" s="18">
        <f>IF($A234&gt;'1-Input'!$B$26,AN234,AN234-MIN(MAX(AN234,0),'P-Parametri'!$B$8*(AN234+AM234)))</f>
        <v>394915.14082779014</v>
      </c>
      <c r="AQ234" s="18">
        <f>IF($A234&gt;'1-Input'!$B$26,AQ233,AQ233-AL234*(1-AK234))</f>
        <v>304063.7085221404</v>
      </c>
    </row>
    <row r="235" spans="1:43">
      <c r="A235" s="10">
        <f>2</f>
        <v>2</v>
      </c>
      <c r="B235" s="11">
        <f>IF($A235&gt;'1-Input'!$B$26,0,IF(G234&lt;=0,0,MAX(0,(G234-H234)/G234)))</f>
        <v>0.23005283324919884</v>
      </c>
      <c r="C235" s="18">
        <f>IF($A235&gt;'1-Input'!$B$26,0,(MAX(0,B231-IF($A235&gt;='1-Input'!$C$12,'1-Input'!$B$12,0))-MIN(MAX(F234,0),MAX(0,B231-IF($A235&gt;='1-Input'!$C$12,'1-Input'!$B$12,0))))*(1/(1-'P-Parametri'!$B$6*B235))+MIN(MAX(0,G234-(MAX(0,B231-IF($A235&gt;='1-Input'!$C$12,'1-Input'!$B$12,0))-MIN(MAX(F234,0),MAX(0,B231-IF($A235&gt;='1-Input'!$C$12,'1-Input'!$B$12,0))))*(1/(1-'P-Parametri'!$B$6*B235))),MAX(0,2*B231-(F234-MIN(MAX(F234,0),MAX(0,B231-IF($A235&gt;='1-Input'!$C$12,'1-Input'!$B$12,0)))))*(1/(1-'P-Parametri'!$B$6*B235))))</f>
        <v>17870.032319908001</v>
      </c>
      <c r="D235" s="18">
        <f>IF($A235&gt;'1-Input'!$B$26,F234,(F234-MAX(0,B231-IF($A235&gt;='1-Input'!$C$12,'1-Input'!$B$12,0))+C235*(1-'P-Parametri'!$B$6*B235))*(1+'1-Input'!$B$27))</f>
        <v>33242.0070309863</v>
      </c>
      <c r="E235" s="18">
        <f>IF($A235&gt;'1-Input'!$B$26,G234,(G234-C235)*(1+$B$4))</f>
        <v>384507.90348681068</v>
      </c>
      <c r="F235" s="18">
        <f>IF($A235&gt;'1-Input'!$B$26,D235,D235-'P-Parametri'!$B$8*(E235+D235)+MIN(MAX(E235,0),'P-Parametri'!$B$8*(E235+D235)))</f>
        <v>33242.0070309863</v>
      </c>
      <c r="G235" s="18">
        <f>IF($A235&gt;'1-Input'!$B$26,E235,E235-MIN(MAX(E235,0),'P-Parametri'!$B$8*(E235+D235)))</f>
        <v>383672.40366577508</v>
      </c>
      <c r="H235" s="18">
        <f>IF($A235&gt;'1-Input'!$B$26,H234,H234-C235*(1-B235))</f>
        <v>290245.8538068239</v>
      </c>
      <c r="I235" s="11">
        <f>IF($A235&gt;'1-Input'!$B$26,0,IF(N234&lt;=0,0,MAX(0,(N234-O234)/N234)))</f>
        <v>0.23000449510338394</v>
      </c>
      <c r="J235" s="18">
        <f>IF($A235&gt;'1-Input'!$B$26,0,(MAX(0,I231-IF($A235&gt;='1-Input'!$C$12,'1-Input'!$B$12,0))-MIN(MAX(M234,0),MAX(0,I231-IF($A235&gt;='1-Input'!$C$12,'1-Input'!$B$12,0))))*(1/(1-'P-Parametri'!$B$6*I235))+MIN(MAX(0,N234-(MAX(0,I231-IF($A235&gt;='1-Input'!$C$12,'1-Input'!$B$12,0))-MIN(MAX(M234,0),MAX(0,I231-IF($A235&gt;='1-Input'!$C$12,'1-Input'!$B$12,0))))*(1/(1-'P-Parametri'!$B$6*I235))),MAX(0,2*I231-(M234-MIN(MAX(M234,0),MAX(0,I231-IF($A235&gt;='1-Input'!$C$12,'1-Input'!$B$12,0)))))*(1/(1-'P-Parametri'!$B$6*I235))))</f>
        <v>23512.886112975757</v>
      </c>
      <c r="K235" s="18">
        <f>IF($A235&gt;'1-Input'!$B$26,M234,(M234-MAX(0,I231-IF($A235&gt;='1-Input'!$C$12,'1-Input'!$B$12,0))+J235*(1-'P-Parametri'!$B$6*I235))*(1+'1-Input'!$B$27))</f>
        <v>43739.482935508291</v>
      </c>
      <c r="L235" s="18">
        <f>IF($A235&gt;'1-Input'!$B$26,N234,(N234-J235)*(1+$B$4))</f>
        <v>361996.09380165231</v>
      </c>
      <c r="M235" s="18">
        <f>IF($A235&gt;'1-Input'!$B$26,K235,K235-'P-Parametri'!$B$8*(L235+K235)+MIN(MAX(L235,0),'P-Parametri'!$B$8*(L235+K235)))</f>
        <v>43739.482935508291</v>
      </c>
      <c r="N235" s="18">
        <f>IF($A235&gt;'1-Input'!$B$26,L235,L235-MIN(MAX(L235,0),'P-Parametri'!$B$8*(L235+K235)))</f>
        <v>361184.62264817802</v>
      </c>
      <c r="O235" s="18">
        <f>IF($A235&gt;'1-Input'!$B$26,O234,O234-J235*(1-I235))</f>
        <v>273269.96570333932</v>
      </c>
      <c r="P235" s="11">
        <f>IF($A235&gt;'1-Input'!$B$26,0,IF(U234&lt;=0,0,MAX(0,(U234-V234)/U234)))</f>
        <v>0.23005303657881215</v>
      </c>
      <c r="Q235" s="18">
        <f>IF($A235&gt;'1-Input'!$B$26,0,(MAX(0,P231-IF($A235&gt;='1-Input'!$C$12,'1-Input'!$B$12,0))-MIN(MAX(T234,0),MAX(0,P231-IF($A235&gt;='1-Input'!$C$12,'1-Input'!$B$12,0))))*(1/(1-'P-Parametri'!$B$6*P235))+MIN(MAX(0,U234-(MAX(0,P231-IF($A235&gt;='1-Input'!$C$12,'1-Input'!$B$12,0))-MIN(MAX(T234,0),MAX(0,P231-IF($A235&gt;='1-Input'!$C$12,'1-Input'!$B$12,0))))*(1/(1-'P-Parametri'!$B$6*P235))),MAX(0,2*P231-(T234-MIN(MAX(T234,0),MAX(0,P231-IF($A235&gt;='1-Input'!$C$12,'1-Input'!$B$12,0)))))*(1/(1-'P-Parametri'!$B$6*P235))))</f>
        <v>17845.260885875407</v>
      </c>
      <c r="R235" s="18">
        <f>IF($A235&gt;'1-Input'!$B$26,T234,(T234-MAX(0,P231-IF($A235&gt;='1-Input'!$C$12,'1-Input'!$B$12,0))+Q235*(1-'P-Parametri'!$B$6*P235))*(1+'1-Input'!$B$27))</f>
        <v>33195.925103139183</v>
      </c>
      <c r="S235" s="18">
        <f>IF($A235&gt;'1-Input'!$B$26,U234,(U234-Q235)*(1+$B$4))</f>
        <v>384606.72644469113</v>
      </c>
      <c r="T235" s="18">
        <f>IF($A235&gt;'1-Input'!$B$26,R235,R235-'P-Parametri'!$B$8*(S235+R235)+MIN(MAX(S235,0),'P-Parametri'!$B$8*(S235+R235)))</f>
        <v>33195.925103139183</v>
      </c>
      <c r="U235" s="18">
        <f>IF($A235&gt;'1-Input'!$B$26,S235,S235-MIN(MAX(S235,0),'P-Parametri'!$B$8*(S235+R235)))</f>
        <v>383771.12114159547</v>
      </c>
      <c r="V235" s="18">
        <f>IF($A235&gt;'1-Input'!$B$26,V234,V234-Q235*(1-P235))</f>
        <v>290320.37366416998</v>
      </c>
      <c r="W235" s="11">
        <f>IF($A235&gt;'1-Input'!$B$26,0,IF(AB234&lt;=0,0,MAX(0,(AB234-AC234)/AB234)))</f>
        <v>0.23005304841544644</v>
      </c>
      <c r="X235" s="18">
        <f>IF($A235&gt;'1-Input'!$B$26,0,(MAX(0,W231-IF($A235&gt;='1-Input'!$C$12,'1-Input'!$B$12,0))-MIN(MAX(AA234,0),MAX(0,W231-IF($A235&gt;='1-Input'!$C$12,'1-Input'!$B$12,0))))*(1/(1-'P-Parametri'!$B$6*W235))+MIN(MAX(0,AB234-(MAX(0,W231-IF($A235&gt;='1-Input'!$C$12,'1-Input'!$B$12,0))-MIN(MAX(AA234,0),MAX(0,W231-IF($A235&gt;='1-Input'!$C$12,'1-Input'!$B$12,0))))*(1/(1-'P-Parametri'!$B$6*W235))),MAX(0,2*W231-(AA234-MIN(MAX(AA234,0),MAX(0,W231-IF($A235&gt;='1-Input'!$C$12,'1-Input'!$B$12,0)))))*(1/(1-'P-Parametri'!$B$6*W235))))</f>
        <v>17843.818562300974</v>
      </c>
      <c r="Y235" s="18">
        <f>IF($A235&gt;'1-Input'!$B$26,AA234,(AA234-MAX(0,W231-IF($A235&gt;='1-Input'!$C$12,'1-Input'!$B$12,0))+X235*(1-'P-Parametri'!$B$6*W235))*(1+'1-Input'!$B$27))</f>
        <v>33193.241970369134</v>
      </c>
      <c r="Z235" s="18">
        <f>IF($A235&gt;'1-Input'!$B$26,AB234,(AB234-X235)*(1+$B$4))</f>
        <v>384612.48043836438</v>
      </c>
      <c r="AA235" s="18">
        <f>IF($A235&gt;'1-Input'!$B$26,Y235,Y235-'P-Parametri'!$B$8*(Z235+Y235)+MIN(MAX(Z235,0),'P-Parametri'!$B$8*(Z235+Y235)))</f>
        <v>33193.241970369134</v>
      </c>
      <c r="AB235" s="18">
        <f>IF($A235&gt;'1-Input'!$B$26,Z235,Z235-MIN(MAX(Z235,0),'P-Parametri'!$B$8*(Z235+Y235)))</f>
        <v>383776.86899354693</v>
      </c>
      <c r="AC235" s="18">
        <f>IF($A235&gt;'1-Input'!$B$26,AC234,AC234-X235*(1-W235))</f>
        <v>290324.71260283567</v>
      </c>
      <c r="AD235" s="11">
        <f>IF($A235&gt;'1-Input'!$B$26,0,IF(AI234&lt;=0,0,MAX(0,(AI234-AJ234)/AI234)))</f>
        <v>0.23005304915687527</v>
      </c>
      <c r="AE235" s="18">
        <f>IF($A235&gt;'1-Input'!$B$26,0,(MAX(0,AD231-IF($A235&gt;='1-Input'!$C$12,'1-Input'!$B$12,0))-MIN(MAX(AH234,0),MAX(0,AD231-IF($A235&gt;='1-Input'!$C$12,'1-Input'!$B$12,0))))*(1/(1-'P-Parametri'!$B$6*AD235))+MIN(MAX(0,AI234-(MAX(0,AD231-IF($A235&gt;='1-Input'!$C$12,'1-Input'!$B$12,0))-MIN(MAX(AH234,0),MAX(0,AD231-IF($A235&gt;='1-Input'!$C$12,'1-Input'!$B$12,0))))*(1/(1-'P-Parametri'!$B$6*AD235))),MAX(0,2*AD231-(AH234-MIN(MAX(AH234,0),MAX(0,AD231-IF($A235&gt;='1-Input'!$C$12,'1-Input'!$B$12,0)))))*(1/(1-'P-Parametri'!$B$6*AD235))))</f>
        <v>17843.728216326759</v>
      </c>
      <c r="AF235" s="18">
        <f>IF($A235&gt;'1-Input'!$B$26,AH234,(AH234-MAX(0,AD231-IF($A235&gt;='1-Input'!$C$12,'1-Input'!$B$12,0))+AE235*(1-'P-Parametri'!$B$6*AD235))*(1+'1-Input'!$B$27))</f>
        <v>33193.073901117954</v>
      </c>
      <c r="AG235" s="18">
        <f>IF($A235&gt;'1-Input'!$B$26,AI234,(AI234-AE235)*(1+$B$4))</f>
        <v>384612.84086384153</v>
      </c>
      <c r="AH235" s="18">
        <f>IF($A235&gt;'1-Input'!$B$26,AF235,AF235-'P-Parametri'!$B$8*(AG235+AF235)+MIN(MAX(AG235,0),'P-Parametri'!$B$8*(AG235+AF235)))</f>
        <v>33193.073901117954</v>
      </c>
      <c r="AI235" s="18">
        <f>IF($A235&gt;'1-Input'!$B$26,AG235,AG235-MIN(MAX(AG235,0),'P-Parametri'!$B$8*(AG235+AF235)))</f>
        <v>383777.2290343116</v>
      </c>
      <c r="AJ235" s="18">
        <f>IF($A235&gt;'1-Input'!$B$26,AJ234,AJ234-AE235*(1-AD235))</f>
        <v>290324.98439041834</v>
      </c>
      <c r="AK235" s="11">
        <f>IF($A235&gt;'1-Input'!$B$26,0,IF(AP234&lt;=0,0,MAX(0,(AP234-AQ234)/AP234)))</f>
        <v>0.2300530491568748</v>
      </c>
      <c r="AL235" s="18">
        <f>IF($A235&gt;'1-Input'!$B$26,0,(MAX(0,AK231-IF($A235&gt;='1-Input'!$C$12,'1-Input'!$B$12,0))-MIN(MAX(AO234,0),MAX(0,AK231-IF($A235&gt;='1-Input'!$C$12,'1-Input'!$B$12,0))))*(1/(1-'P-Parametri'!$B$6*AK235))+MIN(MAX(0,AP234-(MAX(0,AK231-IF($A235&gt;='1-Input'!$C$12,'1-Input'!$B$12,0))-MIN(MAX(AO234,0),MAX(0,AK231-IF($A235&gt;='1-Input'!$C$12,'1-Input'!$B$12,0))))*(1/(1-'P-Parametri'!$B$6*AK235))),MAX(0,2*AK231-(AO234-MIN(MAX(AO234,0),MAX(0,AK231-IF($A235&gt;='1-Input'!$C$12,'1-Input'!$B$12,0)))))*(1/(1-'P-Parametri'!$B$6*AK235))))</f>
        <v>17843.728216376898</v>
      </c>
      <c r="AM235" s="18">
        <f>IF($A235&gt;'1-Input'!$B$26,AO234,(AO234-MAX(0,AK231-IF($A235&gt;='1-Input'!$C$12,'1-Input'!$B$12,0))+AL235*(1-'P-Parametri'!$B$6*AK235))*(1+'1-Input'!$B$27))</f>
        <v>33193.073901211232</v>
      </c>
      <c r="AN235" s="18">
        <f>IF($A235&gt;'1-Input'!$B$26,AP234,(AP234-AL235)*(1+$B$4))</f>
        <v>384612.84086364147</v>
      </c>
      <c r="AO235" s="18">
        <f>IF($A235&gt;'1-Input'!$B$26,AM235,AM235-'P-Parametri'!$B$8*(AN235+AM235)+MIN(MAX(AN235,0),'P-Parametri'!$B$8*(AN235+AM235)))</f>
        <v>33193.073901211232</v>
      </c>
      <c r="AP235" s="18">
        <f>IF($A235&gt;'1-Input'!$B$26,AN235,AN235-MIN(MAX(AN235,0),'P-Parametri'!$B$8*(AN235+AM235)))</f>
        <v>383777.22903411178</v>
      </c>
      <c r="AQ235" s="18">
        <f>IF($A235&gt;'1-Input'!$B$26,AQ234,AQ234-AL235*(1-AK235))</f>
        <v>290324.98439026758</v>
      </c>
    </row>
    <row r="236" spans="1:43">
      <c r="A236" s="10">
        <f>3</f>
        <v>3</v>
      </c>
      <c r="B236" s="11">
        <f>IF($A236&gt;'1-Input'!$B$26,0,IF(G235&lt;=0,0,MAX(0,(G235-H235)/G235)))</f>
        <v>0.24350604569500645</v>
      </c>
      <c r="C236" s="18">
        <f>IF($A236&gt;'1-Input'!$B$26,0,(MAX(0,B231-IF($A236&gt;='1-Input'!$C$12,'1-Input'!$B$12,0))-MIN(MAX(F235,0),MAX(0,B231-IF($A236&gt;='1-Input'!$C$12,'1-Input'!$B$12,0))))*(1/(1-'P-Parametri'!$B$6*B236))+MIN(MAX(0,G235-(MAX(0,B231-IF($A236&gt;='1-Input'!$C$12,'1-Input'!$B$12,0))-MIN(MAX(F235,0),MAX(0,B231-IF($A236&gt;='1-Input'!$C$12,'1-Input'!$B$12,0))))*(1/(1-'P-Parametri'!$B$6*B236))),MAX(0,2*B231-(F235-MIN(MAX(F235,0),MAX(0,B231-IF($A236&gt;='1-Input'!$C$12,'1-Input'!$B$12,0)))))*(1/(1-'P-Parametri'!$B$6*B236))))</f>
        <v>17936.763611593677</v>
      </c>
      <c r="D236" s="18">
        <f>IF($A236&gt;'1-Input'!$B$26,F235,(F235-MAX(0,B231-IF($A236&gt;='1-Input'!$C$12,'1-Input'!$B$12,0))+C236*(1-'P-Parametri'!$B$6*B236))*(1+'1-Input'!$B$27))</f>
        <v>33242.0070309863</v>
      </c>
      <c r="E236" s="18">
        <f>IF($A236&gt;'1-Input'!$B$26,G235,(G235-C236)*(1+$B$4))</f>
        <v>373050.35285526502</v>
      </c>
      <c r="F236" s="18">
        <f>IF($A236&gt;'1-Input'!$B$26,D236,D236-'P-Parametri'!$B$8*(E236+D236)+MIN(MAX(E236,0),'P-Parametri'!$B$8*(E236+D236)))</f>
        <v>33242.0070309863</v>
      </c>
      <c r="G236" s="18">
        <f>IF($A236&gt;'1-Input'!$B$26,E236,E236-MIN(MAX(E236,0),'P-Parametri'!$B$8*(E236+D236)))</f>
        <v>372237.76813549252</v>
      </c>
      <c r="H236" s="18">
        <f>IF($A236&gt;'1-Input'!$B$26,H235,H235-C236*(1-B236))</f>
        <v>276676.80057485547</v>
      </c>
      <c r="I236" s="11">
        <f>IF($A236&gt;'1-Input'!$B$26,0,IF(N235&lt;=0,0,MAX(0,(N235-O235)/N235)))</f>
        <v>0.24340642273266</v>
      </c>
      <c r="J236" s="18">
        <f>IF($A236&gt;'1-Input'!$B$26,0,(MAX(0,I231-IF($A236&gt;='1-Input'!$C$12,'1-Input'!$B$12,0))-MIN(MAX(M235,0),MAX(0,I231-IF($A236&gt;='1-Input'!$C$12,'1-Input'!$B$12,0))))*(1/(1-'P-Parametri'!$B$6*I236))+MIN(MAX(0,N235-(MAX(0,I231-IF($A236&gt;='1-Input'!$C$12,'1-Input'!$B$12,0))-MIN(MAX(M235,0),MAX(0,I231-IF($A236&gt;='1-Input'!$C$12,'1-Input'!$B$12,0))))*(1/(1-'P-Parametri'!$B$6*I236))),MAX(0,2*I231-(M235-MIN(MAX(M235,0),MAX(0,I231-IF($A236&gt;='1-Input'!$C$12,'1-Input'!$B$12,0)))))*(1/(1-'P-Parametri'!$B$6*I236))))</f>
        <v>23600.35213848533</v>
      </c>
      <c r="K236" s="18">
        <f>IF($A236&gt;'1-Input'!$B$26,M235,(M235-MAX(0,I231-IF($A236&gt;='1-Input'!$C$12,'1-Input'!$B$12,0))+J236*(1-'P-Parametri'!$B$6*I236))*(1+'1-Input'!$B$27))</f>
        <v>43739.482935508291</v>
      </c>
      <c r="L236" s="18">
        <f>IF($A236&gt;'1-Input'!$B$26,N235,(N235-J236)*(1+$B$4))</f>
        <v>344335.95591988653</v>
      </c>
      <c r="M236" s="18">
        <f>IF($A236&gt;'1-Input'!$B$26,K236,K236-'P-Parametri'!$B$8*(L236+K236)+MIN(MAX(L236,0),'P-Parametri'!$B$8*(L236+K236)))</f>
        <v>43739.482935508291</v>
      </c>
      <c r="N236" s="18">
        <f>IF($A236&gt;'1-Input'!$B$26,L236,L236-MIN(MAX(L236,0),'P-Parametri'!$B$8*(L236+K236)))</f>
        <v>343559.80504217575</v>
      </c>
      <c r="O236" s="18">
        <f>IF($A236&gt;'1-Input'!$B$26,O235,O235-J236*(1-I236))</f>
        <v>255414.09085411378</v>
      </c>
      <c r="P236" s="11">
        <f>IF($A236&gt;'1-Input'!$B$26,0,IF(U235&lt;=0,0,MAX(0,(U235-V235)/U235)))</f>
        <v>0.24350646082863042</v>
      </c>
      <c r="Q236" s="18">
        <f>IF($A236&gt;'1-Input'!$B$26,0,(MAX(0,P231-IF($A236&gt;='1-Input'!$C$12,'1-Input'!$B$12,0))-MIN(MAX(T235,0),MAX(0,P231-IF($A236&gt;='1-Input'!$C$12,'1-Input'!$B$12,0))))*(1/(1-'P-Parametri'!$B$6*P236))+MIN(MAX(0,U235-(MAX(0,P231-IF($A236&gt;='1-Input'!$C$12,'1-Input'!$B$12,0))-MIN(MAX(T235,0),MAX(0,P231-IF($A236&gt;='1-Input'!$C$12,'1-Input'!$B$12,0))))*(1/(1-'P-Parametri'!$B$6*P236))),MAX(0,2*P231-(T235-MIN(MAX(T235,0),MAX(0,P231-IF($A236&gt;='1-Input'!$C$12,'1-Input'!$B$12,0)))))*(1/(1-'P-Parametri'!$B$6*P236))))</f>
        <v>17911.900731485694</v>
      </c>
      <c r="R236" s="18">
        <f>IF($A236&gt;'1-Input'!$B$26,T235,(T235-MAX(0,P231-IF($A236&gt;='1-Input'!$C$12,'1-Input'!$B$12,0))+Q236*(1-'P-Parametri'!$B$6*P236))*(1+'1-Input'!$B$27))</f>
        <v>33195.925103139183</v>
      </c>
      <c r="S236" s="18">
        <f>IF($A236&gt;'1-Input'!$B$26,U235,(U235-Q236)*(1+$B$4))</f>
        <v>373176.40481831197</v>
      </c>
      <c r="T236" s="18">
        <f>IF($A236&gt;'1-Input'!$B$26,R236,R236-'P-Parametri'!$B$8*(S236+R236)+MIN(MAX(S236,0),'P-Parametri'!$B$8*(S236+R236)))</f>
        <v>33195.925103139183</v>
      </c>
      <c r="U236" s="18">
        <f>IF($A236&gt;'1-Input'!$B$26,S236,S236-MIN(MAX(S236,0),'P-Parametri'!$B$8*(S236+R236)))</f>
        <v>372363.66015846905</v>
      </c>
      <c r="V236" s="18">
        <f>IF($A236&gt;'1-Input'!$B$26,V235,V235-Q236*(1-P236))</f>
        <v>276770.1364865221</v>
      </c>
      <c r="W236" s="11">
        <f>IF($A236&gt;'1-Input'!$B$26,0,IF(AB235&lt;=0,0,MAX(0,(AB235-AC235)/AB235)))</f>
        <v>0.24350648499423405</v>
      </c>
      <c r="X236" s="18">
        <f>IF($A236&gt;'1-Input'!$B$26,0,(MAX(0,W231-IF($A236&gt;='1-Input'!$C$12,'1-Input'!$B$12,0))-MIN(MAX(AA235,0),MAX(0,W231-IF($A236&gt;='1-Input'!$C$12,'1-Input'!$B$12,0))))*(1/(1-'P-Parametri'!$B$6*W236))+MIN(MAX(0,AB235-(MAX(0,W231-IF($A236&gt;='1-Input'!$C$12,'1-Input'!$B$12,0))-MIN(MAX(AA235,0),MAX(0,W231-IF($A236&gt;='1-Input'!$C$12,'1-Input'!$B$12,0))))*(1/(1-'P-Parametri'!$B$6*W236))),MAX(0,2*W231-(AA235-MIN(MAX(AA235,0),MAX(0,W231-IF($A236&gt;='1-Input'!$C$12,'1-Input'!$B$12,0)))))*(1/(1-'P-Parametri'!$B$6*W236))))</f>
        <v>17910.453083331096</v>
      </c>
      <c r="Y236" s="18">
        <f>IF($A236&gt;'1-Input'!$B$26,AA235,(AA235-MAX(0,W231-IF($A236&gt;='1-Input'!$C$12,'1-Input'!$B$12,0))+X236*(1-'P-Parametri'!$B$6*W236))*(1+'1-Input'!$B$27))</f>
        <v>33193.241970369134</v>
      </c>
      <c r="Z236" s="18">
        <f>IF($A236&gt;'1-Input'!$B$26,AB235,(AB235-X236)*(1+$B$4))</f>
        <v>373183.74422842014</v>
      </c>
      <c r="AA236" s="18">
        <f>IF($A236&gt;'1-Input'!$B$26,Y236,Y236-'P-Parametri'!$B$8*(Z236+Y236)+MIN(MAX(Z236,0),'P-Parametri'!$B$8*(Z236+Y236)))</f>
        <v>33193.241970369134</v>
      </c>
      <c r="AB236" s="18">
        <f>IF($A236&gt;'1-Input'!$B$26,Z236,Z236-MIN(MAX(Z236,0),'P-Parametri'!$B$8*(Z236+Y236)))</f>
        <v>372370.99025602255</v>
      </c>
      <c r="AC236" s="18">
        <f>IF($A236&gt;'1-Input'!$B$26,AC235,AC235-X236*(1-W236))</f>
        <v>276775.57099448069</v>
      </c>
      <c r="AD236" s="11">
        <f>IF($A236&gt;'1-Input'!$B$26,0,IF(AI235&lt;=0,0,MAX(0,(AI235-AJ235)/AI235)))</f>
        <v>0.24350648650792717</v>
      </c>
      <c r="AE236" s="18">
        <f>IF($A236&gt;'1-Input'!$B$26,0,(MAX(0,AD231-IF($A236&gt;='1-Input'!$C$12,'1-Input'!$B$12,0))-MIN(MAX(AH235,0),MAX(0,AD231-IF($A236&gt;='1-Input'!$C$12,'1-Input'!$B$12,0))))*(1/(1-'P-Parametri'!$B$6*AD236))+MIN(MAX(0,AI235-(MAX(0,AD231-IF($A236&gt;='1-Input'!$C$12,'1-Input'!$B$12,0))-MIN(MAX(AH235,0),MAX(0,AD231-IF($A236&gt;='1-Input'!$C$12,'1-Input'!$B$12,0))))*(1/(1-'P-Parametri'!$B$6*AD236))),MAX(0,2*AD231-(AH235-MIN(MAX(AH235,0),MAX(0,AD231-IF($A236&gt;='1-Input'!$C$12,'1-Input'!$B$12,0)))))*(1/(1-'P-Parametri'!$B$6*AD236))))</f>
        <v>17910.362403829124</v>
      </c>
      <c r="AF236" s="18">
        <f>IF($A236&gt;'1-Input'!$B$26,AH235,(AH235-MAX(0,AD231-IF($A236&gt;='1-Input'!$C$12,'1-Input'!$B$12,0))+AE236*(1-'P-Parametri'!$B$6*AD236))*(1+'1-Input'!$B$27))</f>
        <v>33193.073901117947</v>
      </c>
      <c r="AG236" s="18">
        <f>IF($A236&gt;'1-Input'!$B$26,AI235,(AI235-AE236)*(1+$B$4))</f>
        <v>373184.20396309212</v>
      </c>
      <c r="AH236" s="18">
        <f>IF($A236&gt;'1-Input'!$B$26,AF236,AF236-'P-Parametri'!$B$8*(AG236+AF236)+MIN(MAX(AG236,0),'P-Parametri'!$B$8*(AG236+AF236)))</f>
        <v>33193.073901117947</v>
      </c>
      <c r="AI236" s="18">
        <f>IF($A236&gt;'1-Input'!$B$26,AG236,AG236-MIN(MAX(AG236,0),'P-Parametri'!$B$8*(AG236+AF236)))</f>
        <v>372371.44940736372</v>
      </c>
      <c r="AJ236" s="18">
        <f>IF($A236&gt;'1-Input'!$B$26,AJ235,AJ235-AE236*(1-AD236))</f>
        <v>276775.91140762932</v>
      </c>
      <c r="AK236" s="11">
        <f>IF($A236&gt;'1-Input'!$B$26,0,IF(AP235&lt;=0,0,MAX(0,(AP235-AQ235)/AP235)))</f>
        <v>0.24350648650792608</v>
      </c>
      <c r="AL236" s="18">
        <f>IF($A236&gt;'1-Input'!$B$26,0,(MAX(0,AK231-IF($A236&gt;='1-Input'!$C$12,'1-Input'!$B$12,0))-MIN(MAX(AO235,0),MAX(0,AK231-IF($A236&gt;='1-Input'!$C$12,'1-Input'!$B$12,0))))*(1/(1-'P-Parametri'!$B$6*AK236))+MIN(MAX(0,AP235-(MAX(0,AK231-IF($A236&gt;='1-Input'!$C$12,'1-Input'!$B$12,0))-MIN(MAX(AO235,0),MAX(0,AK231-IF($A236&gt;='1-Input'!$C$12,'1-Input'!$B$12,0))))*(1/(1-'P-Parametri'!$B$6*AK236))),MAX(0,2*AK231-(AO235-MIN(MAX(AO235,0),MAX(0,AK231-IF($A236&gt;='1-Input'!$C$12,'1-Input'!$B$12,0)))))*(1/(1-'P-Parametri'!$B$6*AK236))))</f>
        <v>17910.362403879448</v>
      </c>
      <c r="AM236" s="18">
        <f>IF($A236&gt;'1-Input'!$B$26,AO235,(AO235-MAX(0,AK231-IF($A236&gt;='1-Input'!$C$12,'1-Input'!$B$12,0))+AL236*(1-'P-Parametri'!$B$6*AK236))*(1+'1-Input'!$B$27))</f>
        <v>33193.073901211232</v>
      </c>
      <c r="AN236" s="18">
        <f>IF($A236&gt;'1-Input'!$B$26,AP235,(AP235-AL236)*(1+$B$4))</f>
        <v>373184.20396283694</v>
      </c>
      <c r="AO236" s="18">
        <f>IF($A236&gt;'1-Input'!$B$26,AM236,AM236-'P-Parametri'!$B$8*(AN236+AM236)+MIN(MAX(AN236,0),'P-Parametri'!$B$8*(AN236+AM236)))</f>
        <v>33193.073901211232</v>
      </c>
      <c r="AP236" s="18">
        <f>IF($A236&gt;'1-Input'!$B$26,AN236,AN236-MIN(MAX(AN236,0),'P-Parametri'!$B$8*(AN236+AM236)))</f>
        <v>372371.44940710883</v>
      </c>
      <c r="AQ236" s="18">
        <f>IF($A236&gt;'1-Input'!$B$26,AQ235,AQ235-AL236*(1-AK236))</f>
        <v>276775.91140744049</v>
      </c>
    </row>
    <row r="237" spans="1:43">
      <c r="A237" s="10">
        <f>4</f>
        <v>4</v>
      </c>
      <c r="B237" s="11">
        <f>IF($A237&gt;'1-Input'!$B$26,0,IF(G236&lt;=0,0,MAX(0,(G236-H236)/G236)))</f>
        <v>0.25672023566897534</v>
      </c>
      <c r="C237" s="18">
        <f>IF($A237&gt;'1-Input'!$B$26,0,(MAX(0,B231-IF($A237&gt;='1-Input'!$C$12,'1-Input'!$B$12,0))-MIN(MAX(F236,0),MAX(0,B231-IF($A237&gt;='1-Input'!$C$12,'1-Input'!$B$12,0))))*(1/(1-'P-Parametri'!$B$6*B237))+MIN(MAX(0,G236-(MAX(0,B231-IF($A237&gt;='1-Input'!$C$12,'1-Input'!$B$12,0))-MIN(MAX(F236,0),MAX(0,B231-IF($A237&gt;='1-Input'!$C$12,'1-Input'!$B$12,0))))*(1/(1-'P-Parametri'!$B$6*B237))),MAX(0,2*B231-(F236-MIN(MAX(F236,0),MAX(0,B231-IF($A237&gt;='1-Input'!$C$12,'1-Input'!$B$12,0)))))*(1/(1-'P-Parametri'!$B$6*B237))))</f>
        <v>18002.796258412778</v>
      </c>
      <c r="D237" s="18">
        <f>IF($A237&gt;'1-Input'!$B$26,F236,(F236-MAX(0,B231-IF($A237&gt;='1-Input'!$C$12,'1-Input'!$B$12,0))+C237*(1-'P-Parametri'!$B$6*B237))*(1+'1-Input'!$B$27))</f>
        <v>33242.0070309863</v>
      </c>
      <c r="E237" s="18">
        <f>IF($A237&gt;'1-Input'!$B$26,G236,(G236-C237)*(1+$B$4))</f>
        <v>361319.67131462134</v>
      </c>
      <c r="F237" s="18">
        <f>IF($A237&gt;'1-Input'!$B$26,D237,D237-'P-Parametri'!$B$8*(E237+D237)+MIN(MAX(E237,0),'P-Parametri'!$B$8*(E237+D237)))</f>
        <v>33242.0070309863</v>
      </c>
      <c r="G237" s="18">
        <f>IF($A237&gt;'1-Input'!$B$26,E237,E237-MIN(MAX(E237,0),'P-Parametri'!$B$8*(E237+D237)))</f>
        <v>360530.54795793013</v>
      </c>
      <c r="H237" s="18">
        <f>IF($A237&gt;'1-Input'!$B$26,H236,H236-C237*(1-B237))</f>
        <v>263295.68641460297</v>
      </c>
      <c r="I237" s="11">
        <f>IF($A237&gt;'1-Input'!$B$26,0,IF(N236&lt;=0,0,MAX(0,(N236-O236)/N236)))</f>
        <v>0.25656585227495143</v>
      </c>
      <c r="J237" s="18">
        <f>IF($A237&gt;'1-Input'!$B$26,0,(MAX(0,I231-IF($A237&gt;='1-Input'!$C$12,'1-Input'!$B$12,0))-MIN(MAX(M236,0),MAX(0,I231-IF($A237&gt;='1-Input'!$C$12,'1-Input'!$B$12,0))))*(1/(1-'P-Parametri'!$B$6*I237))+MIN(MAX(0,N236-(MAX(0,I231-IF($A237&gt;='1-Input'!$C$12,'1-Input'!$B$12,0))-MIN(MAX(M236,0),MAX(0,I231-IF($A237&gt;='1-Input'!$C$12,'1-Input'!$B$12,0))))*(1/(1-'P-Parametri'!$B$6*I237))),MAX(0,2*I231-(M236-MIN(MAX(M236,0),MAX(0,I231-IF($A237&gt;='1-Input'!$C$12,'1-Input'!$B$12,0)))))*(1/(1-'P-Parametri'!$B$6*I237))))</f>
        <v>23686.871029140537</v>
      </c>
      <c r="K237" s="18">
        <f>IF($A237&gt;'1-Input'!$B$26,M236,(M236-MAX(0,I231-IF($A237&gt;='1-Input'!$C$12,'1-Input'!$B$12,0))+J237*(1-'P-Parametri'!$B$6*I237))*(1+'1-Input'!$B$27))</f>
        <v>43739.482935508291</v>
      </c>
      <c r="L237" s="18">
        <f>IF($A237&gt;'1-Input'!$B$26,N236,(N236-J237)*(1+$B$4))</f>
        <v>326270.3926932959</v>
      </c>
      <c r="M237" s="18">
        <f>IF($A237&gt;'1-Input'!$B$26,K237,K237-'P-Parametri'!$B$8*(L237+K237)+MIN(MAX(L237,0),'P-Parametri'!$B$8*(L237+K237)))</f>
        <v>43739.482935508291</v>
      </c>
      <c r="N237" s="18">
        <f>IF($A237&gt;'1-Input'!$B$26,L237,L237-MIN(MAX(L237,0),'P-Parametri'!$B$8*(L237+K237)))</f>
        <v>325530.37294203829</v>
      </c>
      <c r="O237" s="18">
        <f>IF($A237&gt;'1-Input'!$B$26,O236,O236-J237*(1-I237))</f>
        <v>237804.46207829154</v>
      </c>
      <c r="P237" s="11">
        <f>IF($A237&gt;'1-Input'!$B$26,0,IF(U236&lt;=0,0,MAX(0,(U236-V236)/U236)))</f>
        <v>0.25672087236242291</v>
      </c>
      <c r="Q237" s="18">
        <f>IF($A237&gt;'1-Input'!$B$26,0,(MAX(0,P231-IF($A237&gt;='1-Input'!$C$12,'1-Input'!$B$12,0))-MIN(MAX(T236,0),MAX(0,P231-IF($A237&gt;='1-Input'!$C$12,'1-Input'!$B$12,0))))*(1/(1-'P-Parametri'!$B$6*P237))+MIN(MAX(0,U236-(MAX(0,P231-IF($A237&gt;='1-Input'!$C$12,'1-Input'!$B$12,0))-MIN(MAX(T236,0),MAX(0,P231-IF($A237&gt;='1-Input'!$C$12,'1-Input'!$B$12,0))))*(1/(1-'P-Parametri'!$B$6*P237))),MAX(0,2*P231-(T236-MIN(MAX(T236,0),MAX(0,P231-IF($A237&gt;='1-Input'!$C$12,'1-Input'!$B$12,0)))))*(1/(1-'P-Parametri'!$B$6*P237))))</f>
        <v>17977.842965077052</v>
      </c>
      <c r="R237" s="18">
        <f>IF($A237&gt;'1-Input'!$B$26,T236,(T236-MAX(0,P231-IF($A237&gt;='1-Input'!$C$12,'1-Input'!$B$12,0))+Q237*(1-'P-Parametri'!$B$6*P237))*(1+'1-Input'!$B$27))</f>
        <v>33195.925103139183</v>
      </c>
      <c r="S237" s="18">
        <f>IF($A237&gt;'1-Input'!$B$26,U236,(U236-Q237)*(1+$B$4))</f>
        <v>361473.53353725985</v>
      </c>
      <c r="T237" s="18">
        <f>IF($A237&gt;'1-Input'!$B$26,R237,R237-'P-Parametri'!$B$8*(S237+R237)+MIN(MAX(S237,0),'P-Parametri'!$B$8*(S237+R237)))</f>
        <v>33195.925103139183</v>
      </c>
      <c r="U237" s="18">
        <f>IF($A237&gt;'1-Input'!$B$26,S237,S237-MIN(MAX(S237,0),'P-Parametri'!$B$8*(S237+R237)))</f>
        <v>360684.19461997907</v>
      </c>
      <c r="V237" s="18">
        <f>IF($A237&gt;'1-Input'!$B$26,V236,V236-Q237*(1-P237))</f>
        <v>263407.58105063427</v>
      </c>
      <c r="W237" s="11">
        <f>IF($A237&gt;'1-Input'!$B$26,0,IF(AB236&lt;=0,0,MAX(0,(AB236-AC236)/AB236)))</f>
        <v>0.25672090942373227</v>
      </c>
      <c r="X237" s="18">
        <f>IF($A237&gt;'1-Input'!$B$26,0,(MAX(0,W231-IF($A237&gt;='1-Input'!$C$12,'1-Input'!$B$12,0))-MIN(MAX(AA236,0),MAX(0,W231-IF($A237&gt;='1-Input'!$C$12,'1-Input'!$B$12,0))))*(1/(1-'P-Parametri'!$B$6*W237))+MIN(MAX(0,AB236-(MAX(0,W231-IF($A237&gt;='1-Input'!$C$12,'1-Input'!$B$12,0))-MIN(MAX(AA236,0),MAX(0,W231-IF($A237&gt;='1-Input'!$C$12,'1-Input'!$B$12,0))))*(1/(1-'P-Parametri'!$B$6*W237))),MAX(0,2*W231-(AA236-MIN(MAX(AA236,0),MAX(0,W231-IF($A237&gt;='1-Input'!$C$12,'1-Input'!$B$12,0)))))*(1/(1-'P-Parametri'!$B$6*W237))))</f>
        <v>17976.390052467887</v>
      </c>
      <c r="Y237" s="18">
        <f>IF($A237&gt;'1-Input'!$B$26,AA236,(AA236-MAX(0,W231-IF($A237&gt;='1-Input'!$C$12,'1-Input'!$B$12,0))+X237*(1-'P-Parametri'!$B$6*W237))*(1+'1-Input'!$B$27))</f>
        <v>33193.241970369134</v>
      </c>
      <c r="Z237" s="18">
        <f>IF($A237&gt;'1-Input'!$B$26,AB236,(AB236-X237)*(1+$B$4))</f>
        <v>361482.49220762576</v>
      </c>
      <c r="AA237" s="18">
        <f>IF($A237&gt;'1-Input'!$B$26,Y237,Y237-'P-Parametri'!$B$8*(Z237+Y237)+MIN(MAX(Z237,0),'P-Parametri'!$B$8*(Z237+Y237)))</f>
        <v>33193.241970369134</v>
      </c>
      <c r="AB237" s="18">
        <f>IF($A237&gt;'1-Input'!$B$26,Z237,Z237-MIN(MAX(Z237,0),'P-Parametri'!$B$8*(Z237+Y237)))</f>
        <v>360693.14073926979</v>
      </c>
      <c r="AC237" s="18">
        <f>IF($A237&gt;'1-Input'!$B$26,AC236,AC236-X237*(1-W237))</f>
        <v>263414.09614443808</v>
      </c>
      <c r="AD237" s="11">
        <f>IF($A237&gt;'1-Input'!$B$26,0,IF(AI236&lt;=0,0,MAX(0,(AI236-AJ236)/AI236)))</f>
        <v>0.25672091174518491</v>
      </c>
      <c r="AE237" s="18">
        <f>IF($A237&gt;'1-Input'!$B$26,0,(MAX(0,AD231-IF($A237&gt;='1-Input'!$C$12,'1-Input'!$B$12,0))-MIN(MAX(AH236,0),MAX(0,AD231-IF($A237&gt;='1-Input'!$C$12,'1-Input'!$B$12,0))))*(1/(1-'P-Parametri'!$B$6*AD237))+MIN(MAX(0,AI236-(MAX(0,AD231-IF($A237&gt;='1-Input'!$C$12,'1-Input'!$B$12,0))-MIN(MAX(AH236,0),MAX(0,AD231-IF($A237&gt;='1-Input'!$C$12,'1-Input'!$B$12,0))))*(1/(1-'P-Parametri'!$B$6*AD237))),MAX(0,2*AD231-(AH236-MIN(MAX(AH236,0),MAX(0,AD231-IF($A237&gt;='1-Input'!$C$12,'1-Input'!$B$12,0)))))*(1/(1-'P-Parametri'!$B$6*AD237))))</f>
        <v>17976.299043204337</v>
      </c>
      <c r="AF237" s="18">
        <f>IF($A237&gt;'1-Input'!$B$26,AH236,(AH236-MAX(0,AD231-IF($A237&gt;='1-Input'!$C$12,'1-Input'!$B$12,0))+AE237*(1-'P-Parametri'!$B$6*AD237))*(1+'1-Input'!$B$27))</f>
        <v>33193.073901117947</v>
      </c>
      <c r="AG237" s="18">
        <f>IF($A237&gt;'1-Input'!$B$26,AI236,(AI236-AE237)*(1+$B$4))</f>
        <v>361483.05337144254</v>
      </c>
      <c r="AH237" s="18">
        <f>IF($A237&gt;'1-Input'!$B$26,AF237,AF237-'P-Parametri'!$B$8*(AG237+AF237)+MIN(MAX(AG237,0),'P-Parametri'!$B$8*(AG237+AF237)))</f>
        <v>33193.073901117947</v>
      </c>
      <c r="AI237" s="18">
        <f>IF($A237&gt;'1-Input'!$B$26,AG237,AG237-MIN(MAX(AG237,0),'P-Parametri'!$B$8*(AG237+AF237)))</f>
        <v>360693.7011168974</v>
      </c>
      <c r="AJ237" s="18">
        <f>IF($A237&gt;'1-Input'!$B$26,AJ236,AJ236-AE237*(1-AD237))</f>
        <v>263414.50424460048</v>
      </c>
      <c r="AK237" s="11">
        <f>IF($A237&gt;'1-Input'!$B$26,0,IF(AP236&lt;=0,0,MAX(0,(AP236-AQ236)/AP236)))</f>
        <v>0.25672091174518319</v>
      </c>
      <c r="AL237" s="18">
        <f>IF($A237&gt;'1-Input'!$B$26,0,(MAX(0,AK231-IF($A237&gt;='1-Input'!$C$12,'1-Input'!$B$12,0))-MIN(MAX(AO236,0),MAX(0,AK231-IF($A237&gt;='1-Input'!$C$12,'1-Input'!$B$12,0))))*(1/(1-'P-Parametri'!$B$6*AK237))+MIN(MAX(0,AP236-(MAX(0,AK231-IF($A237&gt;='1-Input'!$C$12,'1-Input'!$B$12,0))-MIN(MAX(AO236,0),MAX(0,AK231-IF($A237&gt;='1-Input'!$C$12,'1-Input'!$B$12,0))))*(1/(1-'P-Parametri'!$B$6*AK237))),MAX(0,2*AK231-(AO236-MIN(MAX(AO236,0),MAX(0,AK231-IF($A237&gt;='1-Input'!$C$12,'1-Input'!$B$12,0)))))*(1/(1-'P-Parametri'!$B$6*AK237))))</f>
        <v>17976.299043254836</v>
      </c>
      <c r="AM237" s="18">
        <f>IF($A237&gt;'1-Input'!$B$26,AO236,(AO236-MAX(0,AK231-IF($A237&gt;='1-Input'!$C$12,'1-Input'!$B$12,0))+AL237*(1-'P-Parametri'!$B$6*AK237))*(1+'1-Input'!$B$27))</f>
        <v>33193.073901211232</v>
      </c>
      <c r="AN237" s="18">
        <f>IF($A237&gt;'1-Input'!$B$26,AP236,(AP236-AL237)*(1+$B$4))</f>
        <v>361483.05337113113</v>
      </c>
      <c r="AO237" s="18">
        <f>IF($A237&gt;'1-Input'!$B$26,AM237,AM237-'P-Parametri'!$B$8*(AN237+AM237)+MIN(MAX(AN237,0),'P-Parametri'!$B$8*(AN237+AM237)))</f>
        <v>33193.073901211232</v>
      </c>
      <c r="AP237" s="18">
        <f>IF($A237&gt;'1-Input'!$B$26,AN237,AN237-MIN(MAX(AN237,0),'P-Parametri'!$B$8*(AN237+AM237)))</f>
        <v>360693.70111658645</v>
      </c>
      <c r="AQ237" s="18">
        <f>IF($A237&gt;'1-Input'!$B$26,AQ236,AQ236-AL237*(1-AK237))</f>
        <v>263414.50424437411</v>
      </c>
    </row>
    <row r="238" spans="1:43">
      <c r="A238" s="10">
        <f>5</f>
        <v>5</v>
      </c>
      <c r="B238" s="11">
        <f>IF($A238&gt;'1-Input'!$B$26,0,IF(G237&lt;=0,0,MAX(0,(G237-H237)/G237)))</f>
        <v>0.26969936970409891</v>
      </c>
      <c r="C238" s="18">
        <f>IF($A238&gt;'1-Input'!$B$26,0,(MAX(0,B231-IF($A238&gt;='1-Input'!$C$12,'1-Input'!$B$12,0))-MIN(MAX(F237,0),MAX(0,B231-IF($A238&gt;='1-Input'!$C$12,'1-Input'!$B$12,0))))*(1/(1-'P-Parametri'!$B$6*B238))+MIN(MAX(0,G237-(MAX(0,B231-IF($A238&gt;='1-Input'!$C$12,'1-Input'!$B$12,0))-MIN(MAX(F237,0),MAX(0,B231-IF($A238&gt;='1-Input'!$C$12,'1-Input'!$B$12,0))))*(1/(1-'P-Parametri'!$B$6*B238))),MAX(0,2*B231-(F237-MIN(MAX(F237,0),MAX(0,B231-IF($A238&gt;='1-Input'!$C$12,'1-Input'!$B$12,0)))))*(1/(1-'P-Parametri'!$B$6*B238))))</f>
        <v>18068.129315825805</v>
      </c>
      <c r="D238" s="18">
        <f>IF($A238&gt;'1-Input'!$B$26,F237,(F237-MAX(0,B231-IF($A238&gt;='1-Input'!$C$12,'1-Input'!$B$12,0))+C238*(1-'P-Parametri'!$B$6*B238))*(1+'1-Input'!$B$27))</f>
        <v>33242.0070309863</v>
      </c>
      <c r="E238" s="18">
        <f>IF($A238&gt;'1-Input'!$B$26,G237,(G237-C238)*(1+$B$4))</f>
        <v>349311.6670149464</v>
      </c>
      <c r="F238" s="18">
        <f>IF($A238&gt;'1-Input'!$B$26,D238,D238-'P-Parametri'!$B$8*(E238+D238)+MIN(MAX(E238,0),'P-Parametri'!$B$8*(E238+D238)))</f>
        <v>33242.0070309863</v>
      </c>
      <c r="G238" s="18">
        <f>IF($A238&gt;'1-Input'!$B$26,E238,E238-MIN(MAX(E238,0),'P-Parametri'!$B$8*(E238+D238)))</f>
        <v>348546.55966685456</v>
      </c>
      <c r="H238" s="18">
        <f>IF($A238&gt;'1-Input'!$B$26,H237,H237-C238*(1-B238))</f>
        <v>250100.52018698753</v>
      </c>
      <c r="I238" s="11">
        <f>IF($A238&gt;'1-Input'!$B$26,0,IF(N237&lt;=0,0,MAX(0,(N237-O237)/N237)))</f>
        <v>0.26948610070055312</v>
      </c>
      <c r="J238" s="18">
        <f>IF($A238&gt;'1-Input'!$B$26,0,(MAX(0,I231-IF($A238&gt;='1-Input'!$C$12,'1-Input'!$B$12,0))-MIN(MAX(M237,0),MAX(0,I231-IF($A238&gt;='1-Input'!$C$12,'1-Input'!$B$12,0))))*(1/(1-'P-Parametri'!$B$6*I238))+MIN(MAX(0,N237-(MAX(0,I231-IF($A238&gt;='1-Input'!$C$12,'1-Input'!$B$12,0))-MIN(MAX(M237,0),MAX(0,I231-IF($A238&gt;='1-Input'!$C$12,'1-Input'!$B$12,0))))*(1/(1-'P-Parametri'!$B$6*I238))),MAX(0,2*I231-(M237-MIN(MAX(M237,0),MAX(0,I231-IF($A238&gt;='1-Input'!$C$12,'1-Input'!$B$12,0)))))*(1/(1-'P-Parametri'!$B$6*I238))))</f>
        <v>23772.436779135271</v>
      </c>
      <c r="K238" s="18">
        <f>IF($A238&gt;'1-Input'!$B$26,M237,(M237-MAX(0,I231-IF($A238&gt;='1-Input'!$C$12,'1-Input'!$B$12,0))+J238*(1-'P-Parametri'!$B$6*I238))*(1+'1-Input'!$B$27))</f>
        <v>43739.482935508291</v>
      </c>
      <c r="L238" s="18">
        <f>IF($A238&gt;'1-Input'!$B$26,N237,(N237-J238)*(1+$B$4))</f>
        <v>307793.0948861611</v>
      </c>
      <c r="M238" s="18">
        <f>IF($A238&gt;'1-Input'!$B$26,K238,K238-'P-Parametri'!$B$8*(L238+K238)+MIN(MAX(L238,0),'P-Parametri'!$B$8*(L238+K238)))</f>
        <v>43739.482935508291</v>
      </c>
      <c r="N238" s="18">
        <f>IF($A238&gt;'1-Input'!$B$26,L238,L238-MIN(MAX(L238,0),'P-Parametri'!$B$8*(L238+K238)))</f>
        <v>307090.02973051777</v>
      </c>
      <c r="O238" s="18">
        <f>IF($A238&gt;'1-Input'!$B$26,O237,O237-J238*(1-I238))</f>
        <v>220438.36659091586</v>
      </c>
      <c r="P238" s="11">
        <f>IF($A238&gt;'1-Input'!$B$26,0,IF(U237&lt;=0,0,MAX(0,(U237-V237)/U237)))</f>
        <v>0.26970023921296726</v>
      </c>
      <c r="Q238" s="18">
        <f>IF($A238&gt;'1-Input'!$B$26,0,(MAX(0,P231-IF($A238&gt;='1-Input'!$C$12,'1-Input'!$B$12,0))-MIN(MAX(T237,0),MAX(0,P231-IF($A238&gt;='1-Input'!$C$12,'1-Input'!$B$12,0))))*(1/(1-'P-Parametri'!$B$6*P238))+MIN(MAX(0,U237-(MAX(0,P231-IF($A238&gt;='1-Input'!$C$12,'1-Input'!$B$12,0))-MIN(MAX(T237,0),MAX(0,P231-IF($A238&gt;='1-Input'!$C$12,'1-Input'!$B$12,0))))*(1/(1-'P-Parametri'!$B$6*P238))),MAX(0,2*P231-(T237-MIN(MAX(T237,0),MAX(0,P231-IF($A238&gt;='1-Input'!$C$12,'1-Input'!$B$12,0)))))*(1/(1-'P-Parametri'!$B$6*P238))))</f>
        <v>18043.086651888025</v>
      </c>
      <c r="R238" s="18">
        <f>IF($A238&gt;'1-Input'!$B$26,T237,(T237-MAX(0,P231-IF($A238&gt;='1-Input'!$C$12,'1-Input'!$B$12,0))+Q238*(1-'P-Parametri'!$B$6*P238))*(1+'1-Input'!$B$27))</f>
        <v>33195.925103139183</v>
      </c>
      <c r="S238" s="18">
        <f>IF($A238&gt;'1-Input'!$B$26,U237,(U237-Q238)*(1+$B$4))</f>
        <v>349493.93012745288</v>
      </c>
      <c r="T238" s="18">
        <f>IF($A238&gt;'1-Input'!$B$26,R238,R238-'P-Parametri'!$B$8*(S238+R238)+MIN(MAX(S238,0),'P-Parametri'!$B$8*(S238+R238)))</f>
        <v>33195.925103139183</v>
      </c>
      <c r="U238" s="18">
        <f>IF($A238&gt;'1-Input'!$B$26,S238,S238-MIN(MAX(S238,0),'P-Parametri'!$B$8*(S238+R238)))</f>
        <v>348728.5504169917</v>
      </c>
      <c r="V238" s="18">
        <f>IF($A238&gt;'1-Input'!$B$26,V237,V237-Q238*(1-P238))</f>
        <v>250230.71918490075</v>
      </c>
      <c r="W238" s="11">
        <f>IF($A238&gt;'1-Input'!$B$26,0,IF(AB237&lt;=0,0,MAX(0,(AB237-AC237)/AB237)))</f>
        <v>0.26970028982378325</v>
      </c>
      <c r="X238" s="18">
        <f>IF($A238&gt;'1-Input'!$B$26,0,(MAX(0,W231-IF($A238&gt;='1-Input'!$C$12,'1-Input'!$B$12,0))-MIN(MAX(AA237,0),MAX(0,W231-IF($A238&gt;='1-Input'!$C$12,'1-Input'!$B$12,0))))*(1/(1-'P-Parametri'!$B$6*W238))+MIN(MAX(0,AB237-(MAX(0,W231-IF($A238&gt;='1-Input'!$C$12,'1-Input'!$B$12,0))-MIN(MAX(AA237,0),MAX(0,W231-IF($A238&gt;='1-Input'!$C$12,'1-Input'!$B$12,0))))*(1/(1-'P-Parametri'!$B$6*W238))),MAX(0,2*W231-(AA237-MIN(MAX(AA237,0),MAX(0,W231-IF($A238&gt;='1-Input'!$C$12,'1-Input'!$B$12,0)))))*(1/(1-'P-Parametri'!$B$6*W238))))</f>
        <v>18041.628535517029</v>
      </c>
      <c r="Y238" s="18">
        <f>IF($A238&gt;'1-Input'!$B$26,AA237,(AA237-MAX(0,W231-IF($A238&gt;='1-Input'!$C$12,'1-Input'!$B$12,0))+X238*(1-'P-Parametri'!$B$6*W238))*(1+'1-Input'!$B$27))</f>
        <v>33193.241970369134</v>
      </c>
      <c r="Z238" s="18">
        <f>IF($A238&gt;'1-Input'!$B$26,AB237,(AB237-X238)*(1+$B$4))</f>
        <v>349504.54244782781</v>
      </c>
      <c r="AA238" s="18">
        <f>IF($A238&gt;'1-Input'!$B$26,Y238,Y238-'P-Parametri'!$B$8*(Z238+Y238)+MIN(MAX(Z238,0),'P-Parametri'!$B$8*(Z238+Y238)))</f>
        <v>33193.241970369134</v>
      </c>
      <c r="AB238" s="18">
        <f>IF($A238&gt;'1-Input'!$B$26,Z238,Z238-MIN(MAX(Z238,0),'P-Parametri'!$B$8*(Z238+Y238)))</f>
        <v>348739.14687899139</v>
      </c>
      <c r="AC238" s="18">
        <f>IF($A238&gt;'1-Input'!$B$26,AC237,AC237-X238*(1-W238))</f>
        <v>250238.30005384304</v>
      </c>
      <c r="AD238" s="11">
        <f>IF($A238&gt;'1-Input'!$B$26,0,IF(AI237&lt;=0,0,MAX(0,(AI237-AJ237)/AI237)))</f>
        <v>0.26970029299394294</v>
      </c>
      <c r="AE238" s="18">
        <f>IF($A238&gt;'1-Input'!$B$26,0,(MAX(0,AD231-IF($A238&gt;='1-Input'!$C$12,'1-Input'!$B$12,0))-MIN(MAX(AH237,0),MAX(0,AD231-IF($A238&gt;='1-Input'!$C$12,'1-Input'!$B$12,0))))*(1/(1-'P-Parametri'!$B$6*AD238))+MIN(MAX(0,AI237-(MAX(0,AD231-IF($A238&gt;='1-Input'!$C$12,'1-Input'!$B$12,0))-MIN(MAX(AH237,0),MAX(0,AD231-IF($A238&gt;='1-Input'!$C$12,'1-Input'!$B$12,0))))*(1/(1-'P-Parametri'!$B$6*AD238))),MAX(0,2*AD231-(AH237-MIN(MAX(AH237,0),MAX(0,AD231-IF($A238&gt;='1-Input'!$C$12,'1-Input'!$B$12,0)))))*(1/(1-'P-Parametri'!$B$6*AD238))))</f>
        <v>18041.537200293584</v>
      </c>
      <c r="AF238" s="18">
        <f>IF($A238&gt;'1-Input'!$B$26,AH237,(AH237-MAX(0,AD231-IF($A238&gt;='1-Input'!$C$12,'1-Input'!$B$12,0))+AE238*(1-'P-Parametri'!$B$6*AD238))*(1+'1-Input'!$B$27))</f>
        <v>33193.073901117954</v>
      </c>
      <c r="AG238" s="18">
        <f>IF($A238&gt;'1-Input'!$B$26,AI237,(AI237-AE238)*(1+$B$4))</f>
        <v>349505.20719493594</v>
      </c>
      <c r="AH238" s="18">
        <f>IF($A238&gt;'1-Input'!$B$26,AF238,AF238-'P-Parametri'!$B$8*(AG238+AF238)+MIN(MAX(AG238,0),'P-Parametri'!$B$8*(AG238+AF238)))</f>
        <v>33193.073901117954</v>
      </c>
      <c r="AI238" s="18">
        <f>IF($A238&gt;'1-Input'!$B$26,AG238,AG238-MIN(MAX(AG238,0),'P-Parametri'!$B$8*(AG238+AF238)))</f>
        <v>348739.81063274381</v>
      </c>
      <c r="AJ238" s="18">
        <f>IF($A238&gt;'1-Input'!$B$26,AJ237,AJ237-AE238*(1-AD238))</f>
        <v>250238.7749132872</v>
      </c>
      <c r="AK238" s="11">
        <f>IF($A238&gt;'1-Input'!$B$26,0,IF(AP237&lt;=0,0,MAX(0,(AP237-AQ237)/AP237)))</f>
        <v>0.26970029299394099</v>
      </c>
      <c r="AL238" s="18">
        <f>IF($A238&gt;'1-Input'!$B$26,0,(MAX(0,AK231-IF($A238&gt;='1-Input'!$C$12,'1-Input'!$B$12,0))-MIN(MAX(AO237,0),MAX(0,AK231-IF($A238&gt;='1-Input'!$C$12,'1-Input'!$B$12,0))))*(1/(1-'P-Parametri'!$B$6*AK238))+MIN(MAX(0,AP237-(MAX(0,AK231-IF($A238&gt;='1-Input'!$C$12,'1-Input'!$B$12,0))-MIN(MAX(AO237,0),MAX(0,AK231-IF($A238&gt;='1-Input'!$C$12,'1-Input'!$B$12,0))))*(1/(1-'P-Parametri'!$B$6*AK238))),MAX(0,2*AK231-(AO237-MIN(MAX(AO237,0),MAX(0,AK231-IF($A238&gt;='1-Input'!$C$12,'1-Input'!$B$12,0)))))*(1/(1-'P-Parametri'!$B$6*AK238))))</f>
        <v>18041.537200344261</v>
      </c>
      <c r="AM238" s="18">
        <f>IF($A238&gt;'1-Input'!$B$26,AO237,(AO237-MAX(0,AK231-IF($A238&gt;='1-Input'!$C$12,'1-Input'!$B$12,0))+AL238*(1-'P-Parametri'!$B$6*AK238))*(1+'1-Input'!$B$27))</f>
        <v>33193.073901211232</v>
      </c>
      <c r="AN238" s="18">
        <f>IF($A238&gt;'1-Input'!$B$26,AP237,(AP237-AL238)*(1+$B$4))</f>
        <v>349505.20719456702</v>
      </c>
      <c r="AO238" s="18">
        <f>IF($A238&gt;'1-Input'!$B$26,AM238,AM238-'P-Parametri'!$B$8*(AN238+AM238)+MIN(MAX(AN238,0),'P-Parametri'!$B$8*(AN238+AM238)))</f>
        <v>33193.073901211232</v>
      </c>
      <c r="AP238" s="18">
        <f>IF($A238&gt;'1-Input'!$B$26,AN238,AN238-MIN(MAX(AN238,0),'P-Parametri'!$B$8*(AN238+AM238)))</f>
        <v>348739.81063237548</v>
      </c>
      <c r="AQ238" s="18">
        <f>IF($A238&gt;'1-Input'!$B$26,AQ237,AQ237-AL238*(1-AK238))</f>
        <v>250238.77491302378</v>
      </c>
    </row>
    <row r="239" spans="1:43">
      <c r="A239" s="10">
        <f>6</f>
        <v>6</v>
      </c>
      <c r="B239" s="11">
        <f>IF($A239&gt;'1-Input'!$B$26,0,IF(G238&lt;=0,0,MAX(0,(G238-H238)/G238)))</f>
        <v>0.28244731370742282</v>
      </c>
      <c r="C239" s="18">
        <f>IF($A239&gt;'1-Input'!$B$26,0,(MAX(0,B231-IF($A239&gt;='1-Input'!$C$12,'1-Input'!$B$12,0))-MIN(MAX(F238,0),MAX(0,B231-IF($A239&gt;='1-Input'!$C$12,'1-Input'!$B$12,0))))*(1/(1-'P-Parametri'!$B$6*B239))+MIN(MAX(0,G238-(MAX(0,B231-IF($A239&gt;='1-Input'!$C$12,'1-Input'!$B$12,0))-MIN(MAX(F238,0),MAX(0,B231-IF($A239&gt;='1-Input'!$C$12,'1-Input'!$B$12,0))))*(1/(1-'P-Parametri'!$B$6*B239))),MAX(0,2*B231-(F238-MIN(MAX(F238,0),MAX(0,B231-IF($A239&gt;='1-Input'!$C$12,'1-Input'!$B$12,0)))))*(1/(1-'P-Parametri'!$B$6*B239))))</f>
        <v>18132.761882695682</v>
      </c>
      <c r="D239" s="18">
        <f>IF($A239&gt;'1-Input'!$B$26,F238,(F238-MAX(0,B231-IF($A239&gt;='1-Input'!$C$12,'1-Input'!$B$12,0))+C239*(1-'P-Parametri'!$B$6*B239))*(1+'1-Input'!$B$27))</f>
        <v>33242.0070309863</v>
      </c>
      <c r="E239" s="18">
        <f>IF($A239&gt;'1-Input'!$B$26,G238,(G238-C239)*(1+$B$4))</f>
        <v>337022.0737398421</v>
      </c>
      <c r="F239" s="18">
        <f>IF($A239&gt;'1-Input'!$B$26,D239,D239-'P-Parametri'!$B$8*(E239+D239)+MIN(MAX(E239,0),'P-Parametri'!$B$8*(E239+D239)))</f>
        <v>33242.0070309863</v>
      </c>
      <c r="G239" s="18">
        <f>IF($A239&gt;'1-Input'!$B$26,E239,E239-MIN(MAX(E239,0),'P-Parametri'!$B$8*(E239+D239)))</f>
        <v>336281.54557830043</v>
      </c>
      <c r="H239" s="18">
        <f>IF($A239&gt;'1-Input'!$B$26,H238,H238-C239*(1-B239))</f>
        <v>237089.30818815558</v>
      </c>
      <c r="I239" s="11">
        <f>IF($A239&gt;'1-Input'!$B$26,0,IF(N238&lt;=0,0,MAX(0,(N238-O238)/N238)))</f>
        <v>0.28217022615694093</v>
      </c>
      <c r="J239" s="18">
        <f>IF($A239&gt;'1-Input'!$B$26,0,(MAX(0,I231-IF($A239&gt;='1-Input'!$C$12,'1-Input'!$B$12,0))-MIN(MAX(M238,0),MAX(0,I231-IF($A239&gt;='1-Input'!$C$12,'1-Input'!$B$12,0))))*(1/(1-'P-Parametri'!$B$6*I239))+MIN(MAX(0,N238-(MAX(0,I231-IF($A239&gt;='1-Input'!$C$12,'1-Input'!$B$12,0))-MIN(MAX(M238,0),MAX(0,I231-IF($A239&gt;='1-Input'!$C$12,'1-Input'!$B$12,0))))*(1/(1-'P-Parametri'!$B$6*I239))),MAX(0,2*I231-(M238-MIN(MAX(M238,0),MAX(0,I231-IF($A239&gt;='1-Input'!$C$12,'1-Input'!$B$12,0)))))*(1/(1-'P-Parametri'!$B$6*I239))))</f>
        <v>23857.04226632628</v>
      </c>
      <c r="K239" s="18">
        <f>IF($A239&gt;'1-Input'!$B$26,M238,(M238-MAX(0,I231-IF($A239&gt;='1-Input'!$C$12,'1-Input'!$B$12,0))+J239*(1-'P-Parametri'!$B$6*I239))*(1+'1-Input'!$B$27))</f>
        <v>43739.482935508291</v>
      </c>
      <c r="L239" s="18">
        <f>IF($A239&gt;'1-Input'!$B$26,N238,(N238-J239)*(1+$B$4))</f>
        <v>288897.64721347537</v>
      </c>
      <c r="M239" s="18">
        <f>IF($A239&gt;'1-Input'!$B$26,K239,K239-'P-Parametri'!$B$8*(L239+K239)+MIN(MAX(L239,0),'P-Parametri'!$B$8*(L239+K239)))</f>
        <v>43739.482935508291</v>
      </c>
      <c r="N239" s="18">
        <f>IF($A239&gt;'1-Input'!$B$26,L239,L239-MIN(MAX(L239,0),'P-Parametri'!$B$8*(L239+K239)))</f>
        <v>288232.37295317743</v>
      </c>
      <c r="O239" s="18">
        <f>IF($A239&gt;'1-Input'!$B$26,O238,O238-J239*(1-I239))</f>
        <v>203313.07133631458</v>
      </c>
      <c r="P239" s="11">
        <f>IF($A239&gt;'1-Input'!$B$26,0,IF(U238&lt;=0,0,MAX(0,(U238-V238)/U238)))</f>
        <v>0.28244842905552842</v>
      </c>
      <c r="Q239" s="18">
        <f>IF($A239&gt;'1-Input'!$B$26,0,(MAX(0,P231-IF($A239&gt;='1-Input'!$C$12,'1-Input'!$B$12,0))-MIN(MAX(T238,0),MAX(0,P231-IF($A239&gt;='1-Input'!$C$12,'1-Input'!$B$12,0))))*(1/(1-'P-Parametri'!$B$6*P239))+MIN(MAX(0,U238-(MAX(0,P231-IF($A239&gt;='1-Input'!$C$12,'1-Input'!$B$12,0))-MIN(MAX(T238,0),MAX(0,P231-IF($A239&gt;='1-Input'!$C$12,'1-Input'!$B$12,0))))*(1/(1-'P-Parametri'!$B$6*P239))),MAX(0,2*P231-(T238-MIN(MAX(T238,0),MAX(0,P231-IF($A239&gt;='1-Input'!$C$12,'1-Input'!$B$12,0)))))*(1/(1-'P-Parametri'!$B$6*P239))))</f>
        <v>18107.630902061017</v>
      </c>
      <c r="R239" s="18">
        <f>IF($A239&gt;'1-Input'!$B$26,T238,(T238-MAX(0,P231-IF($A239&gt;='1-Input'!$C$12,'1-Input'!$B$12,0))+Q239*(1-'P-Parametri'!$B$6*P239))*(1+'1-Input'!$B$27))</f>
        <v>33195.925103139183</v>
      </c>
      <c r="S239" s="18">
        <f>IF($A239&gt;'1-Input'!$B$26,U238,(U238-Q239)*(1+$B$4))</f>
        <v>337233.3379052293</v>
      </c>
      <c r="T239" s="18">
        <f>IF($A239&gt;'1-Input'!$B$26,R239,R239-'P-Parametri'!$B$8*(S239+R239)+MIN(MAX(S239,0),'P-Parametri'!$B$8*(S239+R239)))</f>
        <v>33195.925103139183</v>
      </c>
      <c r="U239" s="18">
        <f>IF($A239&gt;'1-Input'!$B$26,S239,S239-MIN(MAX(S239,0),'P-Parametri'!$B$8*(S239+R239)))</f>
        <v>336492.47937921254</v>
      </c>
      <c r="V239" s="18">
        <f>IF($A239&gt;'1-Input'!$B$26,V238,V238-Q239*(1-P239))</f>
        <v>237237.56018504422</v>
      </c>
      <c r="W239" s="11">
        <f>IF($A239&gt;'1-Input'!$B$26,0,IF(AB238&lt;=0,0,MAX(0,(AB238-AC238)/AB238)))</f>
        <v>0.2824484939722785</v>
      </c>
      <c r="X239" s="18">
        <f>IF($A239&gt;'1-Input'!$B$26,0,(MAX(0,W231-IF($A239&gt;='1-Input'!$C$12,'1-Input'!$B$12,0))-MIN(MAX(AA238,0),MAX(0,W231-IF($A239&gt;='1-Input'!$C$12,'1-Input'!$B$12,0))))*(1/(1-'P-Parametri'!$B$6*W239))+MIN(MAX(0,AB238-(MAX(0,W231-IF($A239&gt;='1-Input'!$C$12,'1-Input'!$B$12,0))-MIN(MAX(AA238,0),MAX(0,W231-IF($A239&gt;='1-Input'!$C$12,'1-Input'!$B$12,0))))*(1/(1-'P-Parametri'!$B$6*W239))),MAX(0,2*W231-(AA238-MIN(MAX(AA238,0),MAX(0,W231-IF($A239&gt;='1-Input'!$C$12,'1-Input'!$B$12,0)))))*(1/(1-'P-Parametri'!$B$6*W239))))</f>
        <v>18106.167643274995</v>
      </c>
      <c r="Y239" s="18">
        <f>IF($A239&gt;'1-Input'!$B$26,AA238,(AA238-MAX(0,W231-IF($A239&gt;='1-Input'!$C$12,'1-Input'!$B$12,0))+X239*(1-'P-Parametri'!$B$6*W239))*(1+'1-Input'!$B$27))</f>
        <v>33193.241970369134</v>
      </c>
      <c r="Z239" s="18">
        <f>IF($A239&gt;'1-Input'!$B$26,AB238,(AB238-X239)*(1+$B$4))</f>
        <v>337245.63882043073</v>
      </c>
      <c r="AA239" s="18">
        <f>IF($A239&gt;'1-Input'!$B$26,Y239,Y239-'P-Parametri'!$B$8*(Z239+Y239)+MIN(MAX(Z239,0),'P-Parametri'!$B$8*(Z239+Y239)))</f>
        <v>33193.241970369134</v>
      </c>
      <c r="AB239" s="18">
        <f>IF($A239&gt;'1-Input'!$B$26,Z239,Z239-MIN(MAX(Z239,0),'P-Parametri'!$B$8*(Z239+Y239)))</f>
        <v>336504.76105884911</v>
      </c>
      <c r="AC239" s="18">
        <f>IF($A239&gt;'1-Input'!$B$26,AC238,AC238-X239*(1-W239))</f>
        <v>237246.19219302066</v>
      </c>
      <c r="AD239" s="11">
        <f>IF($A239&gt;'1-Input'!$B$26,0,IF(AI238&lt;=0,0,MAX(0,(AI238-AJ238)/AI238)))</f>
        <v>0.28244849803852068</v>
      </c>
      <c r="AE239" s="18">
        <f>IF($A239&gt;'1-Input'!$B$26,0,(MAX(0,AD231-IF($A239&gt;='1-Input'!$C$12,'1-Input'!$B$12,0))-MIN(MAX(AH238,0),MAX(0,AD231-IF($A239&gt;='1-Input'!$C$12,'1-Input'!$B$12,0))))*(1/(1-'P-Parametri'!$B$6*AD239))+MIN(MAX(0,AI238-(MAX(0,AD231-IF($A239&gt;='1-Input'!$C$12,'1-Input'!$B$12,0))-MIN(MAX(AH238,0),MAX(0,AD231-IF($A239&gt;='1-Input'!$C$12,'1-Input'!$B$12,0))))*(1/(1-'P-Parametri'!$B$6*AD239))),MAX(0,2*AD231-(AH238-MIN(MAX(AH238,0),MAX(0,AD231-IF($A239&gt;='1-Input'!$C$12,'1-Input'!$B$12,0)))))*(1/(1-'P-Parametri'!$B$6*AD239))))</f>
        <v>18106.075985934302</v>
      </c>
      <c r="AF239" s="18">
        <f>IF($A239&gt;'1-Input'!$B$26,AH238,(AH238-MAX(0,AD231-IF($A239&gt;='1-Input'!$C$12,'1-Input'!$B$12,0))+AE239*(1-'P-Parametri'!$B$6*AD239))*(1+'1-Input'!$B$27))</f>
        <v>33193.073901117954</v>
      </c>
      <c r="AG239" s="18">
        <f>IF($A239&gt;'1-Input'!$B$26,AI238,(AI238-AE239)*(1+$B$4))</f>
        <v>337246.4093397457</v>
      </c>
      <c r="AH239" s="18">
        <f>IF($A239&gt;'1-Input'!$B$26,AF239,AF239-'P-Parametri'!$B$8*(AG239+AF239)+MIN(MAX(AG239,0),'P-Parametri'!$B$8*(AG239+AF239)))</f>
        <v>33193.073901117954</v>
      </c>
      <c r="AI239" s="18">
        <f>IF($A239&gt;'1-Input'!$B$26,AG239,AG239-MIN(MAX(AG239,0),'P-Parametri'!$B$8*(AG239+AF239)))</f>
        <v>336505.53037326399</v>
      </c>
      <c r="AJ239" s="18">
        <f>IF($A239&gt;'1-Input'!$B$26,AJ238,AJ238-AE239*(1-AD239))</f>
        <v>237246.73289495136</v>
      </c>
      <c r="AK239" s="11">
        <f>IF($A239&gt;'1-Input'!$B$26,0,IF(AP238&lt;=0,0,MAX(0,(AP238-AQ238)/AP238)))</f>
        <v>0.28244849803851818</v>
      </c>
      <c r="AL239" s="18">
        <f>IF($A239&gt;'1-Input'!$B$26,0,(MAX(0,AK231-IF($A239&gt;='1-Input'!$C$12,'1-Input'!$B$12,0))-MIN(MAX(AO238,0),MAX(0,AK231-IF($A239&gt;='1-Input'!$C$12,'1-Input'!$B$12,0))))*(1/(1-'P-Parametri'!$B$6*AK239))+MIN(MAX(0,AP238-(MAX(0,AK231-IF($A239&gt;='1-Input'!$C$12,'1-Input'!$B$12,0))-MIN(MAX(AO238,0),MAX(0,AK231-IF($A239&gt;='1-Input'!$C$12,'1-Input'!$B$12,0))))*(1/(1-'P-Parametri'!$B$6*AK239))),MAX(0,2*AK231-(AO238-MIN(MAX(AO238,0),MAX(0,AK231-IF($A239&gt;='1-Input'!$C$12,'1-Input'!$B$12,0)))))*(1/(1-'P-Parametri'!$B$6*AK239))))</f>
        <v>18106.075985985164</v>
      </c>
      <c r="AM239" s="18">
        <f>IF($A239&gt;'1-Input'!$B$26,AO238,(AO238-MAX(0,AK231-IF($A239&gt;='1-Input'!$C$12,'1-Input'!$B$12,0))+AL239*(1-'P-Parametri'!$B$6*AK239))*(1+'1-Input'!$B$27))</f>
        <v>33193.073901211232</v>
      </c>
      <c r="AN239" s="18">
        <f>IF($A239&gt;'1-Input'!$B$26,AP238,(AP238-AL239)*(1+$B$4))</f>
        <v>337246.40933931811</v>
      </c>
      <c r="AO239" s="18">
        <f>IF($A239&gt;'1-Input'!$B$26,AM239,AM239-'P-Parametri'!$B$8*(AN239+AM239)+MIN(MAX(AN239,0),'P-Parametri'!$B$8*(AN239+AM239)))</f>
        <v>33193.073901211232</v>
      </c>
      <c r="AP239" s="18">
        <f>IF($A239&gt;'1-Input'!$B$26,AN239,AN239-MIN(MAX(AN239,0),'P-Parametri'!$B$8*(AN239+AM239)))</f>
        <v>336505.53037283703</v>
      </c>
      <c r="AQ239" s="18">
        <f>IF($A239&gt;'1-Input'!$B$26,AQ238,AQ238-AL239*(1-AK239))</f>
        <v>237246.73289465142</v>
      </c>
    </row>
    <row r="240" spans="1:43">
      <c r="A240" s="10">
        <f>7</f>
        <v>7</v>
      </c>
      <c r="B240" s="11">
        <f>IF($A240&gt;'1-Input'!$B$26,0,IF(G239&lt;=0,0,MAX(0,(G239-H239)/G239)))</f>
        <v>0.29496782887554779</v>
      </c>
      <c r="C240" s="18">
        <f>IF($A240&gt;'1-Input'!$B$26,0,(MAX(0,B231-IF($A240&gt;='1-Input'!$C$12,'1-Input'!$B$12,0))-MIN(MAX(F239,0),MAX(0,B231-IF($A240&gt;='1-Input'!$C$12,'1-Input'!$B$12,0))))*(1/(1-'P-Parametri'!$B$6*B240))+MIN(MAX(0,G239-(MAX(0,B231-IF($A240&gt;='1-Input'!$C$12,'1-Input'!$B$12,0))-MIN(MAX(F239,0),MAX(0,B231-IF($A240&gt;='1-Input'!$C$12,'1-Input'!$B$12,0))))*(1/(1-'P-Parametri'!$B$6*B240))),MAX(0,2*B231-(F239-MIN(MAX(F239,0),MAX(0,B231-IF($A240&gt;='1-Input'!$C$12,'1-Input'!$B$12,0)))))*(1/(1-'P-Parametri'!$B$6*B240))))</f>
        <v>18196.693064866278</v>
      </c>
      <c r="D240" s="18">
        <f>IF($A240&gt;'1-Input'!$B$26,F239,(F239-MAX(0,B231-IF($A240&gt;='1-Input'!$C$12,'1-Input'!$B$12,0))+C240*(1-'P-Parametri'!$B$6*B240))*(1+'1-Input'!$B$27))</f>
        <v>33242.0070309863</v>
      </c>
      <c r="E240" s="18">
        <f>IF($A240&gt;'1-Input'!$B$26,G239,(G239-C240)*(1+$B$4))</f>
        <v>324446.54956370284</v>
      </c>
      <c r="F240" s="18">
        <f>IF($A240&gt;'1-Input'!$B$26,D240,D240-'P-Parametri'!$B$8*(E240+D240)+MIN(MAX(E240,0),'P-Parametri'!$B$8*(E240+D240)))</f>
        <v>33242.0070309863</v>
      </c>
      <c r="G240" s="18">
        <f>IF($A240&gt;'1-Input'!$B$26,E240,E240-MIN(MAX(E240,0),'P-Parametri'!$B$8*(E240+D240)))</f>
        <v>323731.17245051346</v>
      </c>
      <c r="H240" s="18">
        <f>IF($A240&gt;'1-Input'!$B$26,H239,H239-C240*(1-B240))</f>
        <v>224260.05416934766</v>
      </c>
      <c r="I240" s="11">
        <f>IF($A240&gt;'1-Input'!$B$26,0,IF(N239&lt;=0,0,MAX(0,(N239-O239)/N239)))</f>
        <v>0.29462097108244589</v>
      </c>
      <c r="J240" s="18">
        <f>IF($A240&gt;'1-Input'!$B$26,0,(MAX(0,I231-IF($A240&gt;='1-Input'!$C$12,'1-Input'!$B$12,0))-MIN(MAX(M239,0),MAX(0,I231-IF($A240&gt;='1-Input'!$C$12,'1-Input'!$B$12,0))))*(1/(1-'P-Parametri'!$B$6*I240))+MIN(MAX(0,N239-(MAX(0,I231-IF($A240&gt;='1-Input'!$C$12,'1-Input'!$B$12,0))-MIN(MAX(M239,0),MAX(0,I231-IF($A240&gt;='1-Input'!$C$12,'1-Input'!$B$12,0))))*(1/(1-'P-Parametri'!$B$6*I240))),MAX(0,2*I231-(M239-MIN(MAX(M239,0),MAX(0,I231-IF($A240&gt;='1-Input'!$C$12,'1-Input'!$B$12,0)))))*(1/(1-'P-Parametri'!$B$6*I240))))</f>
        <v>23940.678813806935</v>
      </c>
      <c r="K240" s="18">
        <f>IF($A240&gt;'1-Input'!$B$26,M239,(M239-MAX(0,I231-IF($A240&gt;='1-Input'!$C$12,'1-Input'!$B$12,0))+J240*(1-'P-Parametri'!$B$6*I240))*(1+'1-Input'!$B$27))</f>
        <v>43739.482935508291</v>
      </c>
      <c r="L240" s="18">
        <f>IF($A240&gt;'1-Input'!$B$26,N239,(N239-J240)*(1+$B$4))</f>
        <v>269577.52802215796</v>
      </c>
      <c r="M240" s="18">
        <f>IF($A240&gt;'1-Input'!$B$26,K240,K240-'P-Parametri'!$B$8*(L240+K240)+MIN(MAX(L240,0),'P-Parametri'!$B$8*(L240+K240)))</f>
        <v>43739.482935508291</v>
      </c>
      <c r="N240" s="18">
        <f>IF($A240&gt;'1-Input'!$B$26,L240,L240-MIN(MAX(L240,0),'P-Parametri'!$B$8*(L240+K240)))</f>
        <v>268950.89400024264</v>
      </c>
      <c r="O240" s="18">
        <f>IF($A240&gt;'1-Input'!$B$26,O239,O239-J240*(1-I240))</f>
        <v>186425.81856300437</v>
      </c>
      <c r="P240" s="11">
        <f>IF($A240&gt;'1-Input'!$B$26,0,IF(U239&lt;=0,0,MAX(0,(U239-V239)/U239)))</f>
        <v>0.29496920518782921</v>
      </c>
      <c r="Q240" s="18">
        <f>IF($A240&gt;'1-Input'!$B$26,0,(MAX(0,P231-IF($A240&gt;='1-Input'!$C$12,'1-Input'!$B$12,0))-MIN(MAX(T239,0),MAX(0,P231-IF($A240&gt;='1-Input'!$C$12,'1-Input'!$B$12,0))))*(1/(1-'P-Parametri'!$B$6*P240))+MIN(MAX(0,U239-(MAX(0,P231-IF($A240&gt;='1-Input'!$C$12,'1-Input'!$B$12,0))-MIN(MAX(T239,0),MAX(0,P231-IF($A240&gt;='1-Input'!$C$12,'1-Input'!$B$12,0))))*(1/(1-'P-Parametri'!$B$6*P240))),MAX(0,2*P231-(T239-MIN(MAX(T239,0),MAX(0,P231-IF($A240&gt;='1-Input'!$C$12,'1-Input'!$B$12,0)))))*(1/(1-'P-Parametri'!$B$6*P240))))</f>
        <v>18171.474834644978</v>
      </c>
      <c r="R240" s="18">
        <f>IF($A240&gt;'1-Input'!$B$26,T239,(T239-MAX(0,P231-IF($A240&gt;='1-Input'!$C$12,'1-Input'!$B$12,0))+Q240*(1-'P-Parametri'!$B$6*P240))*(1+'1-Input'!$B$27))</f>
        <v>33195.925103139183</v>
      </c>
      <c r="S240" s="18">
        <f>IF($A240&gt;'1-Input'!$B$26,U239,(U239-Q240)*(1+$B$4))</f>
        <v>324687.42463545891</v>
      </c>
      <c r="T240" s="18">
        <f>IF($A240&gt;'1-Input'!$B$26,R240,R240-'P-Parametri'!$B$8*(S240+R240)+MIN(MAX(S240,0),'P-Parametri'!$B$8*(S240+R240)))</f>
        <v>33195.925103139183</v>
      </c>
      <c r="U240" s="18">
        <f>IF($A240&gt;'1-Input'!$B$26,S240,S240-MIN(MAX(S240,0),'P-Parametri'!$B$8*(S240+R240)))</f>
        <v>323971.6579359817</v>
      </c>
      <c r="V240" s="18">
        <f>IF($A240&gt;'1-Input'!$B$26,V239,V239-Q240*(1-P240))</f>
        <v>224426.11083946511</v>
      </c>
      <c r="W240" s="11">
        <f>IF($A240&gt;'1-Input'!$B$26,0,IF(AB239&lt;=0,0,MAX(0,(AB239-AC239)/AB239)))</f>
        <v>0.29496928528886335</v>
      </c>
      <c r="X240" s="18">
        <f>IF($A240&gt;'1-Input'!$B$26,0,(MAX(0,W231-IF($A240&gt;='1-Input'!$C$12,'1-Input'!$B$12,0))-MIN(MAX(AA239,0),MAX(0,W231-IF($A240&gt;='1-Input'!$C$12,'1-Input'!$B$12,0))))*(1/(1-'P-Parametri'!$B$6*W240))+MIN(MAX(0,AB239-(MAX(0,W231-IF($A240&gt;='1-Input'!$C$12,'1-Input'!$B$12,0))-MIN(MAX(AA239,0),MAX(0,W231-IF($A240&gt;='1-Input'!$C$12,'1-Input'!$B$12,0))))*(1/(1-'P-Parametri'!$B$6*W240))),MAX(0,2*W231-(AA239-MIN(MAX(AA239,0),MAX(0,W231-IF($A240&gt;='1-Input'!$C$12,'1-Input'!$B$12,0)))))*(1/(1-'P-Parametri'!$B$6*W240))))</f>
        <v>18170.006495556256</v>
      </c>
      <c r="Y240" s="18">
        <f>IF($A240&gt;'1-Input'!$B$26,AA239,(AA239-MAX(0,W231-IF($A240&gt;='1-Input'!$C$12,'1-Input'!$B$12,0))+X240*(1-'P-Parametri'!$B$6*W240))*(1+'1-Input'!$B$27))</f>
        <v>33193.241970369134</v>
      </c>
      <c r="Z240" s="18">
        <f>IF($A240&gt;'1-Input'!$B$26,AB239,(AB239-X240)*(1+$B$4))</f>
        <v>324701.44965455867</v>
      </c>
      <c r="AA240" s="18">
        <f>IF($A240&gt;'1-Input'!$B$26,Y240,Y240-'P-Parametri'!$B$8*(Z240+Y240)+MIN(MAX(Z240,0),'P-Parametri'!$B$8*(Z240+Y240)))</f>
        <v>33193.241970369134</v>
      </c>
      <c r="AB240" s="18">
        <f>IF($A240&gt;'1-Input'!$B$26,Z240,Z240-MIN(MAX(Z240,0),'P-Parametri'!$B$8*(Z240+Y240)))</f>
        <v>323985.66027130879</v>
      </c>
      <c r="AC240" s="18">
        <f>IF($A240&gt;'1-Input'!$B$26,AC239,AC239-X240*(1-W240))</f>
        <v>224435.77952715263</v>
      </c>
      <c r="AD240" s="11">
        <f>IF($A240&gt;'1-Input'!$B$26,0,IF(AI239&lt;=0,0,MAX(0,(AI239-AJ239)/AI239)))</f>
        <v>0.29496929030619856</v>
      </c>
      <c r="AE240" s="18">
        <f>IF($A240&gt;'1-Input'!$B$26,0,(MAX(0,AD231-IF($A240&gt;='1-Input'!$C$12,'1-Input'!$B$12,0))-MIN(MAX(AH239,0),MAX(0,AD231-IF($A240&gt;='1-Input'!$C$12,'1-Input'!$B$12,0))))*(1/(1-'P-Parametri'!$B$6*AD240))+MIN(MAX(0,AI239-(MAX(0,AD231-IF($A240&gt;='1-Input'!$C$12,'1-Input'!$B$12,0))-MIN(MAX(AH239,0),MAX(0,AD231-IF($A240&gt;='1-Input'!$C$12,'1-Input'!$B$12,0))))*(1/(1-'P-Parametri'!$B$6*AD240))),MAX(0,2*AD231-(AH239-MIN(MAX(AH239,0),MAX(0,AD231-IF($A240&gt;='1-Input'!$C$12,'1-Input'!$B$12,0)))))*(1/(1-'P-Parametri'!$B$6*AD240))))</f>
        <v>18169.914519988906</v>
      </c>
      <c r="AF240" s="18">
        <f>IF($A240&gt;'1-Input'!$B$26,AH239,(AH239-MAX(0,AD231-IF($A240&gt;='1-Input'!$C$12,'1-Input'!$B$12,0))+AE240*(1-'P-Parametri'!$B$6*AD240))*(1+'1-Input'!$B$27))</f>
        <v>33193.073901117954</v>
      </c>
      <c r="AG240" s="18">
        <f>IF($A240&gt;'1-Input'!$B$26,AI239,(AI239-AE240)*(1+$B$4))</f>
        <v>324702.32817034057</v>
      </c>
      <c r="AH240" s="18">
        <f>IF($A240&gt;'1-Input'!$B$26,AF240,AF240-'P-Parametri'!$B$8*(AG240+AF240)+MIN(MAX(AG240,0),'P-Parametri'!$B$8*(AG240+AF240)))</f>
        <v>33193.073901117954</v>
      </c>
      <c r="AI240" s="18">
        <f>IF($A240&gt;'1-Input'!$B$26,AG240,AG240-MIN(MAX(AG240,0),'P-Parametri'!$B$8*(AG240+AF240)))</f>
        <v>323986.53736619768</v>
      </c>
      <c r="AJ240" s="18">
        <f>IF($A240&gt;'1-Input'!$B$26,AJ239,AJ239-AE240*(1-AD240))</f>
        <v>224436.38516584787</v>
      </c>
      <c r="AK240" s="11">
        <f>IF($A240&gt;'1-Input'!$B$26,0,IF(AP239&lt;=0,0,MAX(0,(AP239-AQ239)/AP239)))</f>
        <v>0.2949692903061954</v>
      </c>
      <c r="AL240" s="18">
        <f>IF($A240&gt;'1-Input'!$B$26,0,(MAX(0,AK231-IF($A240&gt;='1-Input'!$C$12,'1-Input'!$B$12,0))-MIN(MAX(AO239,0),MAX(0,AK231-IF($A240&gt;='1-Input'!$C$12,'1-Input'!$B$12,0))))*(1/(1-'P-Parametri'!$B$6*AK240))+MIN(MAX(0,AP239-(MAX(0,AK231-IF($A240&gt;='1-Input'!$C$12,'1-Input'!$B$12,0))-MIN(MAX(AO239,0),MAX(0,AK231-IF($A240&gt;='1-Input'!$C$12,'1-Input'!$B$12,0))))*(1/(1-'P-Parametri'!$B$6*AK240))),MAX(0,2*AK231-(AO239-MIN(MAX(AO239,0),MAX(0,AK231-IF($A240&gt;='1-Input'!$C$12,'1-Input'!$B$12,0)))))*(1/(1-'P-Parametri'!$B$6*AK240))))</f>
        <v>18169.914520039947</v>
      </c>
      <c r="AM240" s="18">
        <f>IF($A240&gt;'1-Input'!$B$26,AO239,(AO239-MAX(0,AK231-IF($A240&gt;='1-Input'!$C$12,'1-Input'!$B$12,0))+AL240*(1-'P-Parametri'!$B$6*AK240))*(1+'1-Input'!$B$27))</f>
        <v>33193.073901211232</v>
      </c>
      <c r="AN240" s="18">
        <f>IF($A240&gt;'1-Input'!$B$26,AP239,(AP239-AL240)*(1+$B$4))</f>
        <v>324702.32816985308</v>
      </c>
      <c r="AO240" s="18">
        <f>IF($A240&gt;'1-Input'!$B$26,AM240,AM240-'P-Parametri'!$B$8*(AN240+AM240)+MIN(MAX(AN240,0),'P-Parametri'!$B$8*(AN240+AM240)))</f>
        <v>33193.073901211232</v>
      </c>
      <c r="AP240" s="18">
        <f>IF($A240&gt;'1-Input'!$B$26,AN240,AN240-MIN(MAX(AN240,0),'P-Parametri'!$B$8*(AN240+AM240)))</f>
        <v>323986.53736571094</v>
      </c>
      <c r="AQ240" s="18">
        <f>IF($A240&gt;'1-Input'!$B$26,AQ239,AQ239-AL240*(1-AK240))</f>
        <v>224436.38516551189</v>
      </c>
    </row>
    <row r="241" spans="1:43">
      <c r="A241" s="10">
        <f>8</f>
        <v>8</v>
      </c>
      <c r="B241" s="11">
        <f>IF($A241&gt;'1-Input'!$B$26,0,IF(G240&lt;=0,0,MAX(0,(G240-H240)/G240)))</f>
        <v>0.30726456623935794</v>
      </c>
      <c r="C241" s="18">
        <f>IF($A241&gt;'1-Input'!$B$26,0,(MAX(0,B231-IF($A241&gt;='1-Input'!$C$12,'1-Input'!$B$12,0))-MIN(MAX(F240,0),MAX(0,B231-IF($A241&gt;='1-Input'!$C$12,'1-Input'!$B$12,0))))*(1/(1-'P-Parametri'!$B$6*B241))+MIN(MAX(0,G240-(MAX(0,B231-IF($A241&gt;='1-Input'!$C$12,'1-Input'!$B$12,0))-MIN(MAX(F240,0),MAX(0,B231-IF($A241&gt;='1-Input'!$C$12,'1-Input'!$B$12,0))))*(1/(1-'P-Parametri'!$B$6*B241))),MAX(0,2*B231-(F240-MIN(MAX(F240,0),MAX(0,B231-IF($A241&gt;='1-Input'!$C$12,'1-Input'!$B$12,0)))))*(1/(1-'P-Parametri'!$B$6*B241))))</f>
        <v>18259.921930708024</v>
      </c>
      <c r="D241" s="18">
        <f>IF($A241&gt;'1-Input'!$B$26,F240,(F240-MAX(0,B231-IF($A241&gt;='1-Input'!$C$12,'1-Input'!$B$12,0))+C241*(1-'P-Parametri'!$B$6*B241))*(1+'1-Input'!$B$27))</f>
        <v>33242.0070309863</v>
      </c>
      <c r="E241" s="18">
        <f>IF($A241&gt;'1-Input'!$B$26,G240,(G240-C241)*(1+$B$4))</f>
        <v>311580.67553020152</v>
      </c>
      <c r="F241" s="18">
        <f>IF($A241&gt;'1-Input'!$B$26,D241,D241-'P-Parametri'!$B$8*(E241+D241)+MIN(MAX(E241,0),'P-Parametri'!$B$8*(E241+D241)))</f>
        <v>33242.0070309863</v>
      </c>
      <c r="G241" s="18">
        <f>IF($A241&gt;'1-Input'!$B$26,E241,E241-MIN(MAX(E241,0),'P-Parametri'!$B$8*(E241+D241)))</f>
        <v>310891.03016507917</v>
      </c>
      <c r="H241" s="18">
        <f>IF($A241&gt;'1-Input'!$B$26,H240,H240-C241*(1-B241))</f>
        <v>211610.75923024316</v>
      </c>
      <c r="I241" s="11">
        <f>IF($A241&gt;'1-Input'!$B$26,0,IF(N240&lt;=0,0,MAX(0,(N240-O240)/N240)))</f>
        <v>0.3068406808759811</v>
      </c>
      <c r="J241" s="18">
        <f>IF($A241&gt;'1-Input'!$B$26,0,(MAX(0,I231-IF($A241&gt;='1-Input'!$C$12,'1-Input'!$B$12,0))-MIN(MAX(M240,0),MAX(0,I231-IF($A241&gt;='1-Input'!$C$12,'1-Input'!$B$12,0))))*(1/(1-'P-Parametri'!$B$6*I241))+MIN(MAX(0,N240-(MAX(0,I231-IF($A241&gt;='1-Input'!$C$12,'1-Input'!$B$12,0))-MIN(MAX(M240,0),MAX(0,I231-IF($A241&gt;='1-Input'!$C$12,'1-Input'!$B$12,0))))*(1/(1-'P-Parametri'!$B$6*I241))),MAX(0,2*I231-(M240-MIN(MAX(M240,0),MAX(0,I231-IF($A241&gt;='1-Input'!$C$12,'1-Input'!$B$12,0)))))*(1/(1-'P-Parametri'!$B$6*I241))))</f>
        <v>24023.335570557079</v>
      </c>
      <c r="K241" s="18">
        <f>IF($A241&gt;'1-Input'!$B$26,M240,(M240-MAX(0,I231-IF($A241&gt;='1-Input'!$C$12,'1-Input'!$B$12,0))+J241*(1-'P-Parametri'!$B$6*I241))*(1+'1-Input'!$B$27))</f>
        <v>43739.482935508291</v>
      </c>
      <c r="L241" s="18">
        <f>IF($A241&gt;'1-Input'!$B$26,N240,(N240-J241)*(1+$B$4))</f>
        <v>249826.10959827929</v>
      </c>
      <c r="M241" s="18">
        <f>IF($A241&gt;'1-Input'!$B$26,K241,K241-'P-Parametri'!$B$8*(L241+K241)+MIN(MAX(L241,0),'P-Parametri'!$B$8*(L241+K241)))</f>
        <v>43739.482935508291</v>
      </c>
      <c r="N241" s="18">
        <f>IF($A241&gt;'1-Input'!$B$26,L241,L241-MIN(MAX(L241,0),'P-Parametri'!$B$8*(L241+K241)))</f>
        <v>249238.97841321171</v>
      </c>
      <c r="O241" s="18">
        <f>IF($A241&gt;'1-Input'!$B$26,O240,O240-J241*(1-I241))</f>
        <v>169773.81963582919</v>
      </c>
      <c r="P241" s="11">
        <f>IF($A241&gt;'1-Input'!$B$26,0,IF(U240&lt;=0,0,MAX(0,(U240-V240)/U240)))</f>
        <v>0.30726622115872632</v>
      </c>
      <c r="Q241" s="18">
        <f>IF($A241&gt;'1-Input'!$B$26,0,(MAX(0,P231-IF($A241&gt;='1-Input'!$C$12,'1-Input'!$B$12,0))-MIN(MAX(T240,0),MAX(0,P231-IF($A241&gt;='1-Input'!$C$12,'1-Input'!$B$12,0))))*(1/(1-'P-Parametri'!$B$6*P241))+MIN(MAX(0,U240-(MAX(0,P231-IF($A241&gt;='1-Input'!$C$12,'1-Input'!$B$12,0))-MIN(MAX(T240,0),MAX(0,P231-IF($A241&gt;='1-Input'!$C$12,'1-Input'!$B$12,0))))*(1/(1-'P-Parametri'!$B$6*P241))),MAX(0,2*P231-(T240-MIN(MAX(T240,0),MAX(0,P231-IF($A241&gt;='1-Input'!$C$12,'1-Input'!$B$12,0)))))*(1/(1-'P-Parametri'!$B$6*P241))))</f>
        <v>18234.617533689201</v>
      </c>
      <c r="R241" s="18">
        <f>IF($A241&gt;'1-Input'!$B$26,T240,(T240-MAX(0,P231-IF($A241&gt;='1-Input'!$C$12,'1-Input'!$B$12,0))+Q241*(1-'P-Parametri'!$B$6*P241))*(1+'1-Input'!$B$27))</f>
        <v>33195.925103139183</v>
      </c>
      <c r="S241" s="18">
        <f>IF($A241&gt;'1-Input'!$B$26,U240,(U240-Q241)*(1+$B$4))</f>
        <v>311851.78121033835</v>
      </c>
      <c r="T241" s="18">
        <f>IF($A241&gt;'1-Input'!$B$26,R241,R241-'P-Parametri'!$B$8*(S241+R241)+MIN(MAX(S241,0),'P-Parametri'!$B$8*(S241+R241)))</f>
        <v>33195.925103139183</v>
      </c>
      <c r="U241" s="18">
        <f>IF($A241&gt;'1-Input'!$B$26,S241,S241-MIN(MAX(S241,0),'P-Parametri'!$B$8*(S241+R241)))</f>
        <v>311161.68579771137</v>
      </c>
      <c r="V241" s="18">
        <f>IF($A241&gt;'1-Input'!$B$26,V240,V240-Q241*(1-P241))</f>
        <v>211794.37532962725</v>
      </c>
      <c r="W241" s="11">
        <f>IF($A241&gt;'1-Input'!$B$26,0,IF(AB240&lt;=0,0,MAX(0,(AB240-AC240)/AB240)))</f>
        <v>0.307266317468471</v>
      </c>
      <c r="X241" s="18">
        <f>IF($A241&gt;'1-Input'!$B$26,0,(MAX(0,W231-IF($A241&gt;='1-Input'!$C$12,'1-Input'!$B$12,0))-MIN(MAX(AA240,0),MAX(0,W231-IF($A241&gt;='1-Input'!$C$12,'1-Input'!$B$12,0))))*(1/(1-'P-Parametri'!$B$6*W241))+MIN(MAX(0,AB240-(MAX(0,W231-IF($A241&gt;='1-Input'!$C$12,'1-Input'!$B$12,0))-MIN(MAX(AA240,0),MAX(0,W231-IF($A241&gt;='1-Input'!$C$12,'1-Input'!$B$12,0))))*(1/(1-'P-Parametri'!$B$6*W241))),MAX(0,2*W231-(AA240-MIN(MAX(AA240,0),MAX(0,W231-IF($A241&gt;='1-Input'!$C$12,'1-Input'!$B$12,0)))))*(1/(1-'P-Parametri'!$B$6*W241))))</f>
        <v>18233.144177318787</v>
      </c>
      <c r="Y241" s="18">
        <f>IF($A241&gt;'1-Input'!$B$26,AA240,(AA240-MAX(0,W231-IF($A241&gt;='1-Input'!$C$12,'1-Input'!$B$12,0))+X241*(1-'P-Parametri'!$B$6*W241))*(1+'1-Input'!$B$27))</f>
        <v>33193.241970369134</v>
      </c>
      <c r="Z241" s="18">
        <f>IF($A241&gt;'1-Input'!$B$26,AB240,(AB240-X241)*(1+$B$4))</f>
        <v>311867.56641586981</v>
      </c>
      <c r="AA241" s="18">
        <f>IF($A241&gt;'1-Input'!$B$26,Y241,Y241-'P-Parametri'!$B$8*(Z241+Y241)+MIN(MAX(Z241,0),'P-Parametri'!$B$8*(Z241+Y241)))</f>
        <v>33193.241970369134</v>
      </c>
      <c r="AB241" s="18">
        <f>IF($A241&gt;'1-Input'!$B$26,Z241,Z241-MIN(MAX(Z241,0),'P-Parametri'!$B$8*(Z241+Y241)))</f>
        <v>311177.44479909731</v>
      </c>
      <c r="AC241" s="18">
        <f>IF($A241&gt;'1-Input'!$B$26,AC240,AC240-X241*(1-W241))</f>
        <v>211805.06641707028</v>
      </c>
      <c r="AD241" s="11">
        <f>IF($A241&gt;'1-Input'!$B$26,0,IF(AI240&lt;=0,0,MAX(0,(AI240-AJ240)/AI240)))</f>
        <v>0.30726632350105831</v>
      </c>
      <c r="AE241" s="18">
        <f>IF($A241&gt;'1-Input'!$B$26,0,(MAX(0,AD231-IF($A241&gt;='1-Input'!$C$12,'1-Input'!$B$12,0))-MIN(MAX(AH240,0),MAX(0,AD231-IF($A241&gt;='1-Input'!$C$12,'1-Input'!$B$12,0))))*(1/(1-'P-Parametri'!$B$6*AD241))+MIN(MAX(0,AI240-(MAX(0,AD231-IF($A241&gt;='1-Input'!$C$12,'1-Input'!$B$12,0))-MIN(MAX(AH240,0),MAX(0,AD231-IF($A241&gt;='1-Input'!$C$12,'1-Input'!$B$12,0))))*(1/(1-'P-Parametri'!$B$6*AD241))),MAX(0,2*AD231-(AH240-MIN(MAX(AH240,0),MAX(0,AD231-IF($A241&gt;='1-Input'!$C$12,'1-Input'!$B$12,0)))))*(1/(1-'P-Parametri'!$B$6*AD241))))</f>
        <v>18233.051887472284</v>
      </c>
      <c r="AF241" s="18">
        <f>IF($A241&gt;'1-Input'!$B$26,AH240,(AH240-MAX(0,AD231-IF($A241&gt;='1-Input'!$C$12,'1-Input'!$B$12,0))+AE241*(1-'P-Parametri'!$B$6*AD241))*(1+'1-Input'!$B$27))</f>
        <v>33193.073901117954</v>
      </c>
      <c r="AG241" s="18">
        <f>IF($A241&gt;'1-Input'!$B$26,AI240,(AI240-AE241)*(1+$B$4))</f>
        <v>311868.55518829991</v>
      </c>
      <c r="AH241" s="18">
        <f>IF($A241&gt;'1-Input'!$B$26,AF241,AF241-'P-Parametri'!$B$8*(AG241+AF241)+MIN(MAX(AG241,0),'P-Parametri'!$B$8*(AG241+AF241)))</f>
        <v>33193.073901117954</v>
      </c>
      <c r="AI241" s="18">
        <f>IF($A241&gt;'1-Input'!$B$26,AG241,AG241-MIN(MAX(AG241,0),'P-Parametri'!$B$8*(AG241+AF241)))</f>
        <v>311178.43193012109</v>
      </c>
      <c r="AJ241" s="18">
        <f>IF($A241&gt;'1-Input'!$B$26,AJ240,AJ240-AE241*(1-AD241))</f>
        <v>211805.73609804321</v>
      </c>
      <c r="AK241" s="11">
        <f>IF($A241&gt;'1-Input'!$B$26,0,IF(AP240&lt;=0,0,MAX(0,(AP240-AQ240)/AP240)))</f>
        <v>0.30726632350105459</v>
      </c>
      <c r="AL241" s="18">
        <f>IF($A241&gt;'1-Input'!$B$26,0,(MAX(0,AK231-IF($A241&gt;='1-Input'!$C$12,'1-Input'!$B$12,0))-MIN(MAX(AO240,0),MAX(0,AK231-IF($A241&gt;='1-Input'!$C$12,'1-Input'!$B$12,0))))*(1/(1-'P-Parametri'!$B$6*AK241))+MIN(MAX(0,AP240-(MAX(0,AK231-IF($A241&gt;='1-Input'!$C$12,'1-Input'!$B$12,0))-MIN(MAX(AO240,0),MAX(0,AK231-IF($A241&gt;='1-Input'!$C$12,'1-Input'!$B$12,0))))*(1/(1-'P-Parametri'!$B$6*AK241))),MAX(0,2*AK231-(AO240-MIN(MAX(AO240,0),MAX(0,AK231-IF($A241&gt;='1-Input'!$C$12,'1-Input'!$B$12,0)))))*(1/(1-'P-Parametri'!$B$6*AK241))))</f>
        <v>18233.051887523499</v>
      </c>
      <c r="AM241" s="18">
        <f>IF($A241&gt;'1-Input'!$B$26,AO240,(AO240-MAX(0,AK231-IF($A241&gt;='1-Input'!$C$12,'1-Input'!$B$12,0))+AL241*(1-'P-Parametri'!$B$6*AK241))*(1+'1-Input'!$B$27))</f>
        <v>33193.073901211232</v>
      </c>
      <c r="AN241" s="18">
        <f>IF($A241&gt;'1-Input'!$B$26,AP240,(AP240-AL241)*(1+$B$4))</f>
        <v>311868.55518775119</v>
      </c>
      <c r="AO241" s="18">
        <f>IF($A241&gt;'1-Input'!$B$26,AM241,AM241-'P-Parametri'!$B$8*(AN241+AM241)+MIN(MAX(AN241,0),'P-Parametri'!$B$8*(AN241+AM241)))</f>
        <v>33193.073901211232</v>
      </c>
      <c r="AP241" s="18">
        <f>IF($A241&gt;'1-Input'!$B$26,AN241,AN241-MIN(MAX(AN241,0),'P-Parametri'!$B$8*(AN241+AM241)))</f>
        <v>311178.43192957324</v>
      </c>
      <c r="AQ241" s="18">
        <f>IF($A241&gt;'1-Input'!$B$26,AQ240,AQ240-AL241*(1-AK241))</f>
        <v>211805.7360976717</v>
      </c>
    </row>
    <row r="242" spans="1:43">
      <c r="A242" s="10">
        <f>9</f>
        <v>9</v>
      </c>
      <c r="B242" s="11">
        <f>IF($A242&gt;'1-Input'!$B$26,0,IF(G241&lt;=0,0,MAX(0,(G241-H241)/G241)))</f>
        <v>0.31934105941274488</v>
      </c>
      <c r="C242" s="18">
        <f>IF($A242&gt;'1-Input'!$B$26,0,(MAX(0,B231-IF($A242&gt;='1-Input'!$C$12,'1-Input'!$B$12,0))-MIN(MAX(F241,0),MAX(0,B231-IF($A242&gt;='1-Input'!$C$12,'1-Input'!$B$12,0))))*(1/(1-'P-Parametri'!$B$6*B242))+MIN(MAX(0,G241-(MAX(0,B231-IF($A242&gt;='1-Input'!$C$12,'1-Input'!$B$12,0))-MIN(MAX(F241,0),MAX(0,B231-IF($A242&gt;='1-Input'!$C$12,'1-Input'!$B$12,0))))*(1/(1-'P-Parametri'!$B$6*B242))),MAX(0,2*B231-(F241-MIN(MAX(F241,0),MAX(0,B231-IF($A242&gt;='1-Input'!$C$12,'1-Input'!$B$12,0)))))*(1/(1-'P-Parametri'!$B$6*B242))))</f>
        <v>18322.447456126272</v>
      </c>
      <c r="D242" s="18">
        <f>IF($A242&gt;'1-Input'!$B$26,F241,(F241-MAX(0,B231-IF($A242&gt;='1-Input'!$C$12,'1-Input'!$B$12,0))+C242*(1-'P-Parametri'!$B$6*B242))*(1+'1-Input'!$B$27))</f>
        <v>33242.0070309863</v>
      </c>
      <c r="E242" s="18">
        <f>IF($A242&gt;'1-Input'!$B$26,G241,(G241-C242)*(1+$B$4))</f>
        <v>298419.95436313195</v>
      </c>
      <c r="F242" s="18">
        <f>IF($A242&gt;'1-Input'!$B$26,D242,D242-'P-Parametri'!$B$8*(E242+D242)+MIN(MAX(E242,0),'P-Parametri'!$B$8*(E242+D242)))</f>
        <v>33242.0070309863</v>
      </c>
      <c r="G242" s="18">
        <f>IF($A242&gt;'1-Input'!$B$26,E242,E242-MIN(MAX(E242,0),'P-Parametri'!$B$8*(E242+D242)))</f>
        <v>297756.6304403437</v>
      </c>
      <c r="H242" s="18">
        <f>IF($A242&gt;'1-Input'!$B$26,H241,H241-C242*(1-B242))</f>
        <v>199139.42155579061</v>
      </c>
      <c r="I242" s="11">
        <f>IF($A242&gt;'1-Input'!$B$26,0,IF(N241&lt;=0,0,MAX(0,(N241-O241)/N241)))</f>
        <v>0.31883118476612327</v>
      </c>
      <c r="J242" s="18">
        <f>IF($A242&gt;'1-Input'!$B$26,0,(MAX(0,I231-IF($A242&gt;='1-Input'!$C$12,'1-Input'!$B$12,0))-MIN(MAX(M241,0),MAX(0,I231-IF($A242&gt;='1-Input'!$C$12,'1-Input'!$B$12,0))))*(1/(1-'P-Parametri'!$B$6*I242))+MIN(MAX(0,N241-(MAX(0,I231-IF($A242&gt;='1-Input'!$C$12,'1-Input'!$B$12,0))-MIN(MAX(M241,0),MAX(0,I231-IF($A242&gt;='1-Input'!$C$12,'1-Input'!$B$12,0))))*(1/(1-'P-Parametri'!$B$6*I242))),MAX(0,2*I231-(M241-MIN(MAX(M241,0),MAX(0,I231-IF($A242&gt;='1-Input'!$C$12,'1-Input'!$B$12,0)))))*(1/(1-'P-Parametri'!$B$6*I242))))</f>
        <v>24104.998612548148</v>
      </c>
      <c r="K242" s="18">
        <f>IF($A242&gt;'1-Input'!$B$26,M241,(M241-MAX(0,I231-IF($A242&gt;='1-Input'!$C$12,'1-Input'!$B$12,0))+J242*(1-'P-Parametri'!$B$6*I242))*(1+'1-Input'!$B$27))</f>
        <v>43739.482935508291</v>
      </c>
      <c r="L242" s="18">
        <f>IF($A242&gt;'1-Input'!$B$26,N241,(N241-J242)*(1+$B$4))</f>
        <v>229636.65939667684</v>
      </c>
      <c r="M242" s="18">
        <f>IF($A242&gt;'1-Input'!$B$26,K242,K242-'P-Parametri'!$B$8*(L242+K242)+MIN(MAX(L242,0),'P-Parametri'!$B$8*(L242+K242)))</f>
        <v>43739.482935508291</v>
      </c>
      <c r="N242" s="18">
        <f>IF($A242&gt;'1-Input'!$B$26,L242,L242-MIN(MAX(L242,0),'P-Parametri'!$B$8*(L242+K242)))</f>
        <v>229089.90711201247</v>
      </c>
      <c r="O242" s="18">
        <f>IF($A242&gt;'1-Input'!$B$26,O241,O241-J242*(1-I242))</f>
        <v>153354.24628970554</v>
      </c>
      <c r="P242" s="11">
        <f>IF($A242&gt;'1-Input'!$B$26,0,IF(U241&lt;=0,0,MAX(0,(U241-V241)/U241)))</f>
        <v>0.31934301362759548</v>
      </c>
      <c r="Q242" s="18">
        <f>IF($A242&gt;'1-Input'!$B$26,0,(MAX(0,P231-IF($A242&gt;='1-Input'!$C$12,'1-Input'!$B$12,0))-MIN(MAX(T241,0),MAX(0,P231-IF($A242&gt;='1-Input'!$C$12,'1-Input'!$B$12,0))))*(1/(1-'P-Parametri'!$B$6*P242))+MIN(MAX(0,U241-(MAX(0,P231-IF($A242&gt;='1-Input'!$C$12,'1-Input'!$B$12,0))-MIN(MAX(T241,0),MAX(0,P231-IF($A242&gt;='1-Input'!$C$12,'1-Input'!$B$12,0))))*(1/(1-'P-Parametri'!$B$6*P242))),MAX(0,2*P231-(T241-MIN(MAX(T241,0),MAX(0,P231-IF($A242&gt;='1-Input'!$C$12,'1-Input'!$B$12,0)))))*(1/(1-'P-Parametri'!$B$6*P242))))</f>
        <v>18297.05799396924</v>
      </c>
      <c r="R242" s="18">
        <f>IF($A242&gt;'1-Input'!$B$26,T241,(T241-MAX(0,P231-IF($A242&gt;='1-Input'!$C$12,'1-Input'!$B$12,0))+Q242*(1-'P-Parametri'!$B$6*P242))*(1+'1-Input'!$B$27))</f>
        <v>33195.925103139183</v>
      </c>
      <c r="S242" s="18">
        <f>IF($A242&gt;'1-Input'!$B$26,U241,(U241-Q242)*(1+$B$4))</f>
        <v>298721.92035981698</v>
      </c>
      <c r="T242" s="18">
        <f>IF($A242&gt;'1-Input'!$B$26,R242,R242-'P-Parametri'!$B$8*(S242+R242)+MIN(MAX(S242,0),'P-Parametri'!$B$8*(S242+R242)))</f>
        <v>33195.925103139183</v>
      </c>
      <c r="U242" s="18">
        <f>IF($A242&gt;'1-Input'!$B$26,S242,S242-MIN(MAX(S242,0),'P-Parametri'!$B$8*(S242+R242)))</f>
        <v>298058.0846688911</v>
      </c>
      <c r="V242" s="18">
        <f>IF($A242&gt;'1-Input'!$B$26,V241,V241-Q242*(1-P242))</f>
        <v>199340.35497597104</v>
      </c>
      <c r="W242" s="11">
        <f>IF($A242&gt;'1-Input'!$B$26,0,IF(AB241&lt;=0,0,MAX(0,(AB241-AC241)/AB241)))</f>
        <v>0.31934312734711195</v>
      </c>
      <c r="X242" s="18">
        <f>IF($A242&gt;'1-Input'!$B$26,0,(MAX(0,W231-IF($A242&gt;='1-Input'!$C$12,'1-Input'!$B$12,0))-MIN(MAX(AA241,0),MAX(0,W231-IF($A242&gt;='1-Input'!$C$12,'1-Input'!$B$12,0))))*(1/(1-'P-Parametri'!$B$6*W242))+MIN(MAX(0,AB241-(MAX(0,W231-IF($A242&gt;='1-Input'!$C$12,'1-Input'!$B$12,0))-MIN(MAX(AA241,0),MAX(0,W231-IF($A242&gt;='1-Input'!$C$12,'1-Input'!$B$12,0))))*(1/(1-'P-Parametri'!$B$6*W242))),MAX(0,2*W231-(AA241-MIN(MAX(AA241,0),MAX(0,W231-IF($A242&gt;='1-Input'!$C$12,'1-Input'!$B$12,0)))))*(1/(1-'P-Parametri'!$B$6*W242))))</f>
        <v>18295.579684431523</v>
      </c>
      <c r="Y242" s="18">
        <f>IF($A242&gt;'1-Input'!$B$26,AA241,(AA241-MAX(0,W231-IF($A242&gt;='1-Input'!$C$12,'1-Input'!$B$12,0))+X242*(1-'P-Parametri'!$B$6*W242))*(1+'1-Input'!$B$27))</f>
        <v>33193.241970369134</v>
      </c>
      <c r="Z242" s="18">
        <f>IF($A242&gt;'1-Input'!$B$26,AB241,(AB241-X242)*(1+$B$4))</f>
        <v>298739.50241695909</v>
      </c>
      <c r="AA242" s="18">
        <f>IF($A242&gt;'1-Input'!$B$26,Y242,Y242-'P-Parametri'!$B$8*(Z242+Y242)+MIN(MAX(Z242,0),'P-Parametri'!$B$8*(Z242+Y242)))</f>
        <v>33193.241970369134</v>
      </c>
      <c r="AB242" s="18">
        <f>IF($A242&gt;'1-Input'!$B$26,Z242,Z242-MIN(MAX(Z242,0),'P-Parametri'!$B$8*(Z242+Y242)))</f>
        <v>298075.63692818442</v>
      </c>
      <c r="AC242" s="18">
        <f>IF($A242&gt;'1-Input'!$B$26,AC241,AC241-X242*(1-W242))</f>
        <v>199352.05436569342</v>
      </c>
      <c r="AD242" s="11">
        <f>IF($A242&gt;'1-Input'!$B$26,0,IF(AI241&lt;=0,0,MAX(0,(AI241-AJ241)/AI241)))</f>
        <v>0.31934313447017187</v>
      </c>
      <c r="AE242" s="18">
        <f>IF($A242&gt;'1-Input'!$B$26,0,(MAX(0,AD231-IF($A242&gt;='1-Input'!$C$12,'1-Input'!$B$12,0))-MIN(MAX(AH241,0),MAX(0,AD231-IF($A242&gt;='1-Input'!$C$12,'1-Input'!$B$12,0))))*(1/(1-'P-Parametri'!$B$6*AD242))+MIN(MAX(0,AI241-(MAX(0,AD231-IF($A242&gt;='1-Input'!$C$12,'1-Input'!$B$12,0))-MIN(MAX(AH241,0),MAX(0,AD231-IF($A242&gt;='1-Input'!$C$12,'1-Input'!$B$12,0))))*(1/(1-'P-Parametri'!$B$6*AD242))),MAX(0,2*AD231-(AH241-MIN(MAX(AH241,0),MAX(0,AD231-IF($A242&gt;='1-Input'!$C$12,'1-Input'!$B$12,0)))))*(1/(1-'P-Parametri'!$B$6*AD242))))</f>
        <v>18295.487084321827</v>
      </c>
      <c r="AF242" s="18">
        <f>IF($A242&gt;'1-Input'!$B$26,AH241,(AH241-MAX(0,AD231-IF($A242&gt;='1-Input'!$C$12,'1-Input'!$B$12,0))+AE242*(1-'P-Parametri'!$B$6*AD242))*(1+'1-Input'!$B$27))</f>
        <v>33193.073901117954</v>
      </c>
      <c r="AG242" s="18">
        <f>IF($A242&gt;'1-Input'!$B$26,AI241,(AI241-AE242)*(1+$B$4))</f>
        <v>298740.6037427152</v>
      </c>
      <c r="AH242" s="18">
        <f>IF($A242&gt;'1-Input'!$B$26,AF242,AF242-'P-Parametri'!$B$8*(AG242+AF242)+MIN(MAX(AG242,0),'P-Parametri'!$B$8*(AG242+AF242)))</f>
        <v>33193.073901117954</v>
      </c>
      <c r="AI242" s="18">
        <f>IF($A242&gt;'1-Input'!$B$26,AG242,AG242-MIN(MAX(AG242,0),'P-Parametri'!$B$8*(AG242+AF242)))</f>
        <v>298076.73638742755</v>
      </c>
      <c r="AJ242" s="18">
        <f>IF($A242&gt;'1-Input'!$B$26,AJ241,AJ241-AE242*(1-AD242))</f>
        <v>199352.78720588726</v>
      </c>
      <c r="AK242" s="11">
        <f>IF($A242&gt;'1-Input'!$B$26,0,IF(AP241&lt;=0,0,MAX(0,(AP241-AQ241)/AP241)))</f>
        <v>0.31934313447016738</v>
      </c>
      <c r="AL242" s="18">
        <f>IF($A242&gt;'1-Input'!$B$26,0,(MAX(0,AK231-IF($A242&gt;='1-Input'!$C$12,'1-Input'!$B$12,0))-MIN(MAX(AO241,0),MAX(0,AK231-IF($A242&gt;='1-Input'!$C$12,'1-Input'!$B$12,0))))*(1/(1-'P-Parametri'!$B$6*AK242))+MIN(MAX(0,AP241-(MAX(0,AK231-IF($A242&gt;='1-Input'!$C$12,'1-Input'!$B$12,0))-MIN(MAX(AO241,0),MAX(0,AK231-IF($A242&gt;='1-Input'!$C$12,'1-Input'!$B$12,0))))*(1/(1-'P-Parametri'!$B$6*AK242))),MAX(0,2*AK231-(AO241-MIN(MAX(AO241,0),MAX(0,AK231-IF($A242&gt;='1-Input'!$C$12,'1-Input'!$B$12,0)))))*(1/(1-'P-Parametri'!$B$6*AK242))))</f>
        <v>18295.487084373213</v>
      </c>
      <c r="AM242" s="18">
        <f>IF($A242&gt;'1-Input'!$B$26,AO241,(AO241-MAX(0,AK231-IF($A242&gt;='1-Input'!$C$12,'1-Input'!$B$12,0))+AL242*(1-'P-Parametri'!$B$6*AK242))*(1+'1-Input'!$B$27))</f>
        <v>33193.073901211232</v>
      </c>
      <c r="AN242" s="18">
        <f>IF($A242&gt;'1-Input'!$B$26,AP241,(AP241-AL242)*(1+$B$4))</f>
        <v>298740.60374210408</v>
      </c>
      <c r="AO242" s="18">
        <f>IF($A242&gt;'1-Input'!$B$26,AM242,AM242-'P-Parametri'!$B$8*(AN242+AM242)+MIN(MAX(AN242,0),'P-Parametri'!$B$8*(AN242+AM242)))</f>
        <v>33193.073901211232</v>
      </c>
      <c r="AP242" s="18">
        <f>IF($A242&gt;'1-Input'!$B$26,AN242,AN242-MIN(MAX(AN242,0),'P-Parametri'!$B$8*(AN242+AM242)))</f>
        <v>298076.73638681747</v>
      </c>
      <c r="AQ242" s="18">
        <f>IF($A242&gt;'1-Input'!$B$26,AQ241,AQ241-AL242*(1-AK242))</f>
        <v>199352.78720548071</v>
      </c>
    </row>
    <row r="243" spans="1:43">
      <c r="A243" s="10">
        <f>10</f>
        <v>10</v>
      </c>
      <c r="B243" s="11">
        <f>IF($A243&gt;'1-Input'!$B$26,0,IF(G242&lt;=0,0,MAX(0,(G242-H242)/G242)))</f>
        <v>0.33120071495540143</v>
      </c>
      <c r="C243" s="18">
        <f>IF($A243&gt;'1-Input'!$B$26,0,(MAX(0,B231-IF($A243&gt;='1-Input'!$C$12,'1-Input'!$B$12,0))-MIN(MAX(F242,0),MAX(0,B231-IF($A243&gt;='1-Input'!$C$12,'1-Input'!$B$12,0))))*(1/(1-'P-Parametri'!$B$6*B243))+MIN(MAX(0,G242-(MAX(0,B231-IF($A243&gt;='1-Input'!$C$12,'1-Input'!$B$12,0))-MIN(MAX(F242,0),MAX(0,B231-IF($A243&gt;='1-Input'!$C$12,'1-Input'!$B$12,0))))*(1/(1-'P-Parametri'!$B$6*B243))),MAX(0,2*B231-(F242-MIN(MAX(F242,0),MAX(0,B231-IF($A243&gt;='1-Input'!$C$12,'1-Input'!$B$12,0)))))*(1/(1-'P-Parametri'!$B$6*B243))))</f>
        <v>18384.268455558489</v>
      </c>
      <c r="D243" s="18">
        <f>IF($A243&gt;'1-Input'!$B$26,F242,(F242-MAX(0,B231-IF($A243&gt;='1-Input'!$C$12,'1-Input'!$B$12,0))+C243*(1-'P-Parametri'!$B$6*B243))*(1+'1-Input'!$B$27))</f>
        <v>33242.0070309863</v>
      </c>
      <c r="E243" s="18">
        <f>IF($A243&gt;'1-Input'!$B$26,G242,(G242-C243)*(1+$B$4))</f>
        <v>284959.80922448088</v>
      </c>
      <c r="F243" s="18">
        <f>IF($A243&gt;'1-Input'!$B$26,D243,D243-'P-Parametri'!$B$8*(E243+D243)+MIN(MAX(E243,0),'P-Parametri'!$B$8*(E243+D243)))</f>
        <v>33242.0070309863</v>
      </c>
      <c r="G243" s="18">
        <f>IF($A243&gt;'1-Input'!$B$26,E243,E243-MIN(MAX(E243,0),'P-Parametri'!$B$8*(E243+D243)))</f>
        <v>284323.40559196996</v>
      </c>
      <c r="H243" s="18">
        <f>IF($A243&gt;'1-Input'!$B$26,H242,H242-C243*(1-B243))</f>
        <v>186844.03595664512</v>
      </c>
      <c r="I243" s="11">
        <f>IF($A243&gt;'1-Input'!$B$26,0,IF(N242&lt;=0,0,MAX(0,(N242-O242)/N242)))</f>
        <v>0.33059361617915506</v>
      </c>
      <c r="J243" s="18">
        <f>IF($A243&gt;'1-Input'!$B$26,0,(MAX(0,I231-IF($A243&gt;='1-Input'!$C$12,'1-Input'!$B$12,0))-MIN(MAX(M242,0),MAX(0,I231-IF($A243&gt;='1-Input'!$C$12,'1-Input'!$B$12,0))))*(1/(1-'P-Parametri'!$B$6*I243))+MIN(MAX(0,N242-(MAX(0,I231-IF($A243&gt;='1-Input'!$C$12,'1-Input'!$B$12,0))-MIN(MAX(M242,0),MAX(0,I231-IF($A243&gt;='1-Input'!$C$12,'1-Input'!$B$12,0))))*(1/(1-'P-Parametri'!$B$6*I243))),MAX(0,2*I231-(M242-MIN(MAX(M242,0),MAX(0,I231-IF($A243&gt;='1-Input'!$C$12,'1-Input'!$B$12,0)))))*(1/(1-'P-Parametri'!$B$6*I243))))</f>
        <v>24185.649596841871</v>
      </c>
      <c r="K243" s="18">
        <f>IF($A243&gt;'1-Input'!$B$26,M242,(M242-MAX(0,I231-IF($A243&gt;='1-Input'!$C$12,'1-Input'!$B$12,0))+J243*(1-'P-Parametri'!$B$6*I243))*(1+'1-Input'!$B$27))</f>
        <v>43739.482935508291</v>
      </c>
      <c r="L243" s="18">
        <f>IF($A243&gt;'1-Input'!$B$26,N242,(N242-J243)*(1+$B$4))</f>
        <v>209002.34266547402</v>
      </c>
      <c r="M243" s="18">
        <f>IF($A243&gt;'1-Input'!$B$26,K243,K243-'P-Parametri'!$B$8*(L243+K243)+MIN(MAX(L243,0),'P-Parametri'!$B$8*(L243+K243)))</f>
        <v>43739.482935508291</v>
      </c>
      <c r="N243" s="18">
        <f>IF($A243&gt;'1-Input'!$B$26,L243,L243-MIN(MAX(L243,0),'P-Parametri'!$B$8*(L243+K243)))</f>
        <v>208496.85901427205</v>
      </c>
      <c r="O243" s="18">
        <f>IF($A243&gt;'1-Input'!$B$26,O242,O242-J243*(1-I243))</f>
        <v>137164.21805272554</v>
      </c>
      <c r="P243" s="11">
        <f>IF($A243&gt;'1-Input'!$B$26,0,IF(U242&lt;=0,0,MAX(0,(U242-V242)/U242)))</f>
        <v>0.33120299287497706</v>
      </c>
      <c r="Q243" s="18">
        <f>IF($A243&gt;'1-Input'!$B$26,0,(MAX(0,P231-IF($A243&gt;='1-Input'!$C$12,'1-Input'!$B$12,0))-MIN(MAX(T242,0),MAX(0,P231-IF($A243&gt;='1-Input'!$C$12,'1-Input'!$B$12,0))))*(1/(1-'P-Parametri'!$B$6*P243))+MIN(MAX(0,U242-(MAX(0,P231-IF($A243&gt;='1-Input'!$C$12,'1-Input'!$B$12,0))-MIN(MAX(T242,0),MAX(0,P231-IF($A243&gt;='1-Input'!$C$12,'1-Input'!$B$12,0))))*(1/(1-'P-Parametri'!$B$6*P243))),MAX(0,2*P231-(T242-MIN(MAX(T242,0),MAX(0,P231-IF($A243&gt;='1-Input'!$C$12,'1-Input'!$B$12,0)))))*(1/(1-'P-Parametri'!$B$6*P243))))</f>
        <v>18358.795052936704</v>
      </c>
      <c r="R243" s="18">
        <f>IF($A243&gt;'1-Input'!$B$26,T242,(T242-MAX(0,P231-IF($A243&gt;='1-Input'!$C$12,'1-Input'!$B$12,0))+Q243*(1-'P-Parametri'!$B$6*P243))*(1+'1-Input'!$B$27))</f>
        <v>33195.925103139183</v>
      </c>
      <c r="S243" s="18">
        <f>IF($A243&gt;'1-Input'!$B$26,U242,(U242-Q243)*(1+$B$4))</f>
        <v>285293.2754082735</v>
      </c>
      <c r="T243" s="18">
        <f>IF($A243&gt;'1-Input'!$B$26,R243,R243-'P-Parametri'!$B$8*(S243+R243)+MIN(MAX(S243,0),'P-Parametri'!$B$8*(S243+R243)))</f>
        <v>33195.925103139183</v>
      </c>
      <c r="U243" s="18">
        <f>IF($A243&gt;'1-Input'!$B$26,S243,S243-MIN(MAX(S243,0),'P-Parametri'!$B$8*(S243+R243)))</f>
        <v>284656.29700725066</v>
      </c>
      <c r="V243" s="18">
        <f>IF($A243&gt;'1-Input'!$B$26,V242,V242-Q243*(1-P243))</f>
        <v>187062.0477901453</v>
      </c>
      <c r="W243" s="11">
        <f>IF($A243&gt;'1-Input'!$B$26,0,IF(AB242&lt;=0,0,MAX(0,(AB242-AC242)/AB242)))</f>
        <v>0.33120312542107072</v>
      </c>
      <c r="X243" s="18">
        <f>IF($A243&gt;'1-Input'!$B$26,0,(MAX(0,W231-IF($A243&gt;='1-Input'!$C$12,'1-Input'!$B$12,0))-MIN(MAX(AA242,0),MAX(0,W231-IF($A243&gt;='1-Input'!$C$12,'1-Input'!$B$12,0))))*(1/(1-'P-Parametri'!$B$6*W243))+MIN(MAX(0,AB242-(MAX(0,W231-IF($A243&gt;='1-Input'!$C$12,'1-Input'!$B$12,0))-MIN(MAX(AA242,0),MAX(0,W231-IF($A243&gt;='1-Input'!$C$12,'1-Input'!$B$12,0))))*(1/(1-'P-Parametri'!$B$6*W243))),MAX(0,2*W231-(AA242-MIN(MAX(AA242,0),MAX(0,W231-IF($A243&gt;='1-Input'!$C$12,'1-Input'!$B$12,0)))))*(1/(1-'P-Parametri'!$B$6*W243))))</f>
        <v>18357.311855679167</v>
      </c>
      <c r="Y243" s="18">
        <f>IF($A243&gt;'1-Input'!$B$26,AA242,(AA242-MAX(0,W231-IF($A243&gt;='1-Input'!$C$12,'1-Input'!$B$12,0))+X243*(1-'P-Parametri'!$B$6*W243))*(1+'1-Input'!$B$27))</f>
        <v>33193.241970369134</v>
      </c>
      <c r="Z243" s="18">
        <f>IF($A243&gt;'1-Input'!$B$26,AB242,(AB242-X243)*(1+$B$4))</f>
        <v>285312.69157395541</v>
      </c>
      <c r="AA243" s="18">
        <f>IF($A243&gt;'1-Input'!$B$26,Y243,Y243-'P-Parametri'!$B$8*(Z243+Y243)+MIN(MAX(Z243,0),'P-Parametri'!$B$8*(Z243+Y243)))</f>
        <v>33193.241970369134</v>
      </c>
      <c r="AB243" s="18">
        <f>IF($A243&gt;'1-Input'!$B$26,Z243,Z243-MIN(MAX(Z243,0),'P-Parametri'!$B$8*(Z243+Y243)))</f>
        <v>284675.67970686674</v>
      </c>
      <c r="AC243" s="18">
        <f>IF($A243&gt;'1-Input'!$B$26,AC242,AC242-X243*(1-W243))</f>
        <v>187074.74157094446</v>
      </c>
      <c r="AD243" s="11">
        <f>IF($A243&gt;'1-Input'!$B$26,0,IF(AI242&lt;=0,0,MAX(0,(AI242-AJ242)/AI242)))</f>
        <v>0.33120313372333449</v>
      </c>
      <c r="AE243" s="18">
        <f>IF($A243&gt;'1-Input'!$B$26,0,(MAX(0,AD231-IF($A243&gt;='1-Input'!$C$12,'1-Input'!$B$12,0))-MIN(MAX(AH242,0),MAX(0,AD231-IF($A243&gt;='1-Input'!$C$12,'1-Input'!$B$12,0))))*(1/(1-'P-Parametri'!$B$6*AD243))+MIN(MAX(0,AI242-(MAX(0,AD231-IF($A243&gt;='1-Input'!$C$12,'1-Input'!$B$12,0))-MIN(MAX(AH242,0),MAX(0,AD231-IF($A243&gt;='1-Input'!$C$12,'1-Input'!$B$12,0))))*(1/(1-'P-Parametri'!$B$6*AD243))),MAX(0,2*AD231-(AH242-MIN(MAX(AH242,0),MAX(0,AD231-IF($A243&gt;='1-Input'!$C$12,'1-Input'!$B$12,0)))))*(1/(1-'P-Parametri'!$B$6*AD243))))</f>
        <v>18357.218949405724</v>
      </c>
      <c r="AF243" s="18">
        <f>IF($A243&gt;'1-Input'!$B$26,AH242,(AH242-MAX(0,AD231-IF($A243&gt;='1-Input'!$C$12,'1-Input'!$B$12,0))+AE243*(1-'P-Parametri'!$B$6*AD243))*(1+'1-Input'!$B$27))</f>
        <v>33193.073901117954</v>
      </c>
      <c r="AG243" s="18">
        <f>IF($A243&gt;'1-Input'!$B$26,AI242,(AI242-AE243)*(1+$B$4))</f>
        <v>285313.90778678231</v>
      </c>
      <c r="AH243" s="18">
        <f>IF($A243&gt;'1-Input'!$B$26,AF243,AF243-'P-Parametri'!$B$8*(AG243+AF243)+MIN(MAX(AG243,0),'P-Parametri'!$B$8*(AG243+AF243)))</f>
        <v>33193.073901117954</v>
      </c>
      <c r="AI243" s="18">
        <f>IF($A243&gt;'1-Input'!$B$26,AG243,AG243-MIN(MAX(AG243,0),'P-Parametri'!$B$8*(AG243+AF243)))</f>
        <v>284676.89382340648</v>
      </c>
      <c r="AJ243" s="18">
        <f>IF($A243&gt;'1-Input'!$B$26,AJ242,AJ242-AE243*(1-AD243))</f>
        <v>187075.5366989701</v>
      </c>
      <c r="AK243" s="11">
        <f>IF($A243&gt;'1-Input'!$B$26,0,IF(AP242&lt;=0,0,MAX(0,(AP242-AQ242)/AP242)))</f>
        <v>0.33120313372332955</v>
      </c>
      <c r="AL243" s="18">
        <f>IF($A243&gt;'1-Input'!$B$26,0,(MAX(0,AK231-IF($A243&gt;='1-Input'!$C$12,'1-Input'!$B$12,0))-MIN(MAX(AO242,0),MAX(0,AK231-IF($A243&gt;='1-Input'!$C$12,'1-Input'!$B$12,0))))*(1/(1-'P-Parametri'!$B$6*AK243))+MIN(MAX(0,AP242-(MAX(0,AK231-IF($A243&gt;='1-Input'!$C$12,'1-Input'!$B$12,0))-MIN(MAX(AO242,0),MAX(0,AK231-IF($A243&gt;='1-Input'!$C$12,'1-Input'!$B$12,0))))*(1/(1-'P-Parametri'!$B$6*AK243))),MAX(0,2*AK231-(AO242-MIN(MAX(AO242,0),MAX(0,AK231-IF($A243&gt;='1-Input'!$C$12,'1-Input'!$B$12,0)))))*(1/(1-'P-Parametri'!$B$6*AK243))))</f>
        <v>18357.218949457281</v>
      </c>
      <c r="AM243" s="18">
        <f>IF($A243&gt;'1-Input'!$B$26,AO242,(AO242-MAX(0,AK231-IF($A243&gt;='1-Input'!$C$12,'1-Input'!$B$12,0))+AL243*(1-'P-Parametri'!$B$6*AK243))*(1+'1-Input'!$B$27))</f>
        <v>33193.073901211239</v>
      </c>
      <c r="AN243" s="18">
        <f>IF($A243&gt;'1-Input'!$B$26,AP242,(AP242-AL243)*(1+$B$4))</f>
        <v>285313.90778610739</v>
      </c>
      <c r="AO243" s="18">
        <f>IF($A243&gt;'1-Input'!$B$26,AM243,AM243-'P-Parametri'!$B$8*(AN243+AM243)+MIN(MAX(AN243,0),'P-Parametri'!$B$8*(AN243+AM243)))</f>
        <v>33193.073901211239</v>
      </c>
      <c r="AP243" s="18">
        <f>IF($A243&gt;'1-Input'!$B$26,AN243,AN243-MIN(MAX(AN243,0),'P-Parametri'!$B$8*(AN243+AM243)))</f>
        <v>284676.89382273273</v>
      </c>
      <c r="AQ243" s="18">
        <f>IF($A243&gt;'1-Input'!$B$26,AQ242,AQ242-AL243*(1-AK243))</f>
        <v>187075.53669852897</v>
      </c>
    </row>
    <row r="244" spans="1:43">
      <c r="A244" s="10">
        <f>11</f>
        <v>11</v>
      </c>
      <c r="B244" s="11">
        <f>IF($A244&gt;'1-Input'!$B$26,0,IF(G243&lt;=0,0,MAX(0,(G243-H243)/G243)))</f>
        <v>0.34284679951821001</v>
      </c>
      <c r="C244" s="18">
        <f>IF($A244&gt;'1-Input'!$B$26,0,(MAX(0,B231-IF($A244&gt;='1-Input'!$C$12,'1-Input'!$B$12,0))-MIN(MAX(F243,0),MAX(0,B231-IF($A244&gt;='1-Input'!$C$12,'1-Input'!$B$12,0))))*(1/(1-'P-Parametri'!$B$6*B244))+MIN(MAX(0,G243-(MAX(0,B231-IF($A244&gt;='1-Input'!$C$12,'1-Input'!$B$12,0))-MIN(MAX(F243,0),MAX(0,B231-IF($A244&gt;='1-Input'!$C$12,'1-Input'!$B$12,0))))*(1/(1-'P-Parametri'!$B$6*B244))),MAX(0,2*B231-(F243-MIN(MAX(F243,0),MAX(0,B231-IF($A244&gt;='1-Input'!$C$12,'1-Input'!$B$12,0)))))*(1/(1-'P-Parametri'!$B$6*B244))))</f>
        <v>18445.383494066009</v>
      </c>
      <c r="D244" s="18">
        <f>IF($A244&gt;'1-Input'!$B$26,F243,(F243-MAX(0,B231-IF($A244&gt;='1-Input'!$C$12,'1-Input'!$B$12,0))+C244*(1-'P-Parametri'!$B$6*B244))*(1+'1-Input'!$B$27))</f>
        <v>33242.0070309863</v>
      </c>
      <c r="E244" s="18">
        <f>IF($A244&gt;'1-Input'!$B$26,G243,(G243-C244)*(1+$B$4))</f>
        <v>271195.58253986202</v>
      </c>
      <c r="F244" s="18">
        <f>IF($A244&gt;'1-Input'!$B$26,D244,D244-'P-Parametri'!$B$8*(E244+D244)+MIN(MAX(E244,0),'P-Parametri'!$B$8*(E244+D244)))</f>
        <v>33242.0070309863</v>
      </c>
      <c r="G244" s="18">
        <f>IF($A244&gt;'1-Input'!$B$26,E244,E244-MIN(MAX(E244,0),'P-Parametri'!$B$8*(E244+D244)))</f>
        <v>270586.70736072032</v>
      </c>
      <c r="H244" s="18">
        <f>IF($A244&gt;'1-Input'!$B$26,H243,H243-C244*(1-B244))</f>
        <v>174722.59315940566</v>
      </c>
      <c r="I244" s="11">
        <f>IF($A244&gt;'1-Input'!$B$26,0,IF(N243&lt;=0,0,MAX(0,(N243-O243)/N243)))</f>
        <v>0.34212813228358341</v>
      </c>
      <c r="J244" s="18">
        <f>IF($A244&gt;'1-Input'!$B$26,0,(MAX(0,I231-IF($A244&gt;='1-Input'!$C$12,'1-Input'!$B$12,0))-MIN(MAX(M243,0),MAX(0,I231-IF($A244&gt;='1-Input'!$C$12,'1-Input'!$B$12,0))))*(1/(1-'P-Parametri'!$B$6*I244))+MIN(MAX(0,N243-(MAX(0,I231-IF($A244&gt;='1-Input'!$C$12,'1-Input'!$B$12,0))-MIN(MAX(M243,0),MAX(0,I231-IF($A244&gt;='1-Input'!$C$12,'1-Input'!$B$12,0))))*(1/(1-'P-Parametri'!$B$6*I244))),MAX(0,2*I231-(M243-MIN(MAX(M243,0),MAX(0,I231-IF($A244&gt;='1-Input'!$C$12,'1-Input'!$B$12,0)))))*(1/(1-'P-Parametri'!$B$6*I244))))</f>
        <v>24265.263671495079</v>
      </c>
      <c r="K244" s="18">
        <f>IF($A244&gt;'1-Input'!$B$26,M243,(M243-MAX(0,I231-IF($A244&gt;='1-Input'!$C$12,'1-Input'!$B$12,0))+J244*(1-'P-Parametri'!$B$6*I244))*(1+'1-Input'!$B$27))</f>
        <v>43739.482935508291</v>
      </c>
      <c r="L244" s="18">
        <f>IF($A244&gt;'1-Input'!$B$26,N243,(N243-J244)*(1+$B$4))</f>
        <v>187916.2272496325</v>
      </c>
      <c r="M244" s="18">
        <f>IF($A244&gt;'1-Input'!$B$26,K244,K244-'P-Parametri'!$B$8*(L244+K244)+MIN(MAX(L244,0),'P-Parametri'!$B$8*(L244+K244)))</f>
        <v>43739.482935508291</v>
      </c>
      <c r="N244" s="18">
        <f>IF($A244&gt;'1-Input'!$B$26,L244,L244-MIN(MAX(L244,0),'P-Parametri'!$B$8*(L244+K244)))</f>
        <v>187452.91582926223</v>
      </c>
      <c r="O244" s="18">
        <f>IF($A244&gt;'1-Input'!$B$26,O243,O243-J244*(1-I244))</f>
        <v>121200.78372052776</v>
      </c>
      <c r="P244" s="11">
        <f>IF($A244&gt;'1-Input'!$B$26,0,IF(U243&lt;=0,0,MAX(0,(U243-V243)/U243)))</f>
        <v>0.34284943014845543</v>
      </c>
      <c r="Q244" s="18">
        <f>IF($A244&gt;'1-Input'!$B$26,0,(MAX(0,P231-IF($A244&gt;='1-Input'!$C$12,'1-Input'!$B$12,0))-MIN(MAX(T243,0),MAX(0,P231-IF($A244&gt;='1-Input'!$C$12,'1-Input'!$B$12,0))))*(1/(1-'P-Parametri'!$B$6*P244))+MIN(MAX(0,U243-(MAX(0,P231-IF($A244&gt;='1-Input'!$C$12,'1-Input'!$B$12,0))-MIN(MAX(T243,0),MAX(0,P231-IF($A244&gt;='1-Input'!$C$12,'1-Input'!$B$12,0))))*(1/(1-'P-Parametri'!$B$6*P244))),MAX(0,2*P231-(T243-MIN(MAX(T243,0),MAX(0,P231-IF($A244&gt;='1-Input'!$C$12,'1-Input'!$B$12,0)))))*(1/(1-'P-Parametri'!$B$6*P244))))</f>
        <v>18419.827304094728</v>
      </c>
      <c r="R244" s="18">
        <f>IF($A244&gt;'1-Input'!$B$26,T243,(T243-MAX(0,P231-IF($A244&gt;='1-Input'!$C$12,'1-Input'!$B$12,0))+Q244*(1-'P-Parametri'!$B$6*P244))*(1+'1-Input'!$B$27))</f>
        <v>33195.925103139183</v>
      </c>
      <c r="S244" s="18">
        <f>IF($A244&gt;'1-Input'!$B$26,U243,(U243-Q244)*(1+$B$4))</f>
        <v>271561.19909721904</v>
      </c>
      <c r="T244" s="18">
        <f>IF($A244&gt;'1-Input'!$B$26,R244,R244-'P-Parametri'!$B$8*(S244+R244)+MIN(MAX(S244,0),'P-Parametri'!$B$8*(S244+R244)))</f>
        <v>33195.925103139183</v>
      </c>
      <c r="U244" s="18">
        <f>IF($A244&gt;'1-Input'!$B$26,S244,S244-MIN(MAX(S244,0),'P-Parametri'!$B$8*(S244+R244)))</f>
        <v>270951.68484881835</v>
      </c>
      <c r="V244" s="18">
        <f>IF($A244&gt;'1-Input'!$B$26,V243,V243-Q244*(1-P244))</f>
        <v>174957.4477806924</v>
      </c>
      <c r="W244" s="11">
        <f>IF($A244&gt;'1-Input'!$B$26,0,IF(AB243&lt;=0,0,MAX(0,(AB243-AC243)/AB243)))</f>
        <v>0.34284958320437803</v>
      </c>
      <c r="X244" s="18">
        <f>IF($A244&gt;'1-Input'!$B$26,0,(MAX(0,W231-IF($A244&gt;='1-Input'!$C$12,'1-Input'!$B$12,0))-MIN(MAX(AA243,0),MAX(0,W231-IF($A244&gt;='1-Input'!$C$12,'1-Input'!$B$12,0))))*(1/(1-'P-Parametri'!$B$6*W244))+MIN(MAX(0,AB243-(MAX(0,W231-IF($A244&gt;='1-Input'!$C$12,'1-Input'!$B$12,0))-MIN(MAX(AA243,0),MAX(0,W231-IF($A244&gt;='1-Input'!$C$12,'1-Input'!$B$12,0))))*(1/(1-'P-Parametri'!$B$6*W244))),MAX(0,2*W231-(AA243-MIN(MAX(AA243,0),MAX(0,W231-IF($A244&gt;='1-Input'!$C$12,'1-Input'!$B$12,0)))))*(1/(1-'P-Parametri'!$B$6*W244))))</f>
        <v>18418.339286211904</v>
      </c>
      <c r="Y244" s="18">
        <f>IF($A244&gt;'1-Input'!$B$26,AA243,(AA243-MAX(0,W231-IF($A244&gt;='1-Input'!$C$12,'1-Input'!$B$12,0))+X244*(1-'P-Parametri'!$B$6*W244))*(1+'1-Input'!$B$27))</f>
        <v>33193.241970369134</v>
      </c>
      <c r="Z244" s="18">
        <f>IF($A244&gt;'1-Input'!$B$26,AB243,(AB243-X244)*(1+$B$4))</f>
        <v>271582.48722906795</v>
      </c>
      <c r="AA244" s="18">
        <f>IF($A244&gt;'1-Input'!$B$26,Y244,Y244-'P-Parametri'!$B$8*(Z244+Y244)+MIN(MAX(Z244,0),'P-Parametri'!$B$8*(Z244+Y244)))</f>
        <v>33193.241970369134</v>
      </c>
      <c r="AB244" s="18">
        <f>IF($A244&gt;'1-Input'!$B$26,Z244,Z244-MIN(MAX(Z244,0),'P-Parametri'!$B$8*(Z244+Y244)))</f>
        <v>270972.93577066908</v>
      </c>
      <c r="AC244" s="18">
        <f>IF($A244&gt;'1-Input'!$B$26,AC243,AC243-X244*(1-W244))</f>
        <v>174971.12223232712</v>
      </c>
      <c r="AD244" s="11">
        <f>IF($A244&gt;'1-Input'!$B$26,0,IF(AI243&lt;=0,0,MAX(0,(AI243-AJ243)/AI243)))</f>
        <v>0.34284959279126248</v>
      </c>
      <c r="AE244" s="18">
        <f>IF($A244&gt;'1-Input'!$B$26,0,(MAX(0,AD231-IF($A244&gt;='1-Input'!$C$12,'1-Input'!$B$12,0))-MIN(MAX(AH243,0),MAX(0,AD231-IF($A244&gt;='1-Input'!$C$12,'1-Input'!$B$12,0))))*(1/(1-'P-Parametri'!$B$6*AD244))+MIN(MAX(0,AI243-(MAX(0,AD231-IF($A244&gt;='1-Input'!$C$12,'1-Input'!$B$12,0))-MIN(MAX(AH243,0),MAX(0,AD231-IF($A244&gt;='1-Input'!$C$12,'1-Input'!$B$12,0))))*(1/(1-'P-Parametri'!$B$6*AD244))),MAX(0,2*AD231-(AH243-MIN(MAX(AH243,0),MAX(0,AD231-IF($A244&gt;='1-Input'!$C$12,'1-Input'!$B$12,0)))))*(1/(1-'P-Parametri'!$B$6*AD244))))</f>
        <v>18418.246077977281</v>
      </c>
      <c r="AF244" s="18">
        <f>IF($A244&gt;'1-Input'!$B$26,AH243,(AH243-MAX(0,AD231-IF($A244&gt;='1-Input'!$C$12,'1-Input'!$B$12,0))+AE244*(1-'P-Parametri'!$B$6*AD244))*(1+'1-Input'!$B$27))</f>
        <v>33193.073901117954</v>
      </c>
      <c r="AG244" s="18">
        <f>IF($A244&gt;'1-Input'!$B$26,AI243,(AI243-AE244)*(1+$B$4))</f>
        <v>271583.82070033776</v>
      </c>
      <c r="AH244" s="18">
        <f>IF($A244&gt;'1-Input'!$B$26,AF244,AF244-'P-Parametri'!$B$8*(AG244+AF244)+MIN(MAX(AG244,0),'P-Parametri'!$B$8*(AG244+AF244)))</f>
        <v>33193.073901117954</v>
      </c>
      <c r="AI244" s="18">
        <f>IF($A244&gt;'1-Input'!$B$26,AG244,AG244-MIN(MAX(AG244,0),'P-Parametri'!$B$8*(AG244+AF244)))</f>
        <v>270974.26691113482</v>
      </c>
      <c r="AJ244" s="18">
        <f>IF($A244&gt;'1-Input'!$B$26,AJ243,AJ243-AE244*(1-AD244))</f>
        <v>174971.97878875659</v>
      </c>
      <c r="AK244" s="11">
        <f>IF($A244&gt;'1-Input'!$B$26,0,IF(AP243&lt;=0,0,MAX(0,(AP243-AQ243)/AP243)))</f>
        <v>0.34284959279125676</v>
      </c>
      <c r="AL244" s="18">
        <f>IF($A244&gt;'1-Input'!$B$26,0,(MAX(0,AK231-IF($A244&gt;='1-Input'!$C$12,'1-Input'!$B$12,0))-MIN(MAX(AO243,0),MAX(0,AK231-IF($A244&gt;='1-Input'!$C$12,'1-Input'!$B$12,0))))*(1/(1-'P-Parametri'!$B$6*AK244))+MIN(MAX(0,AP243-(MAX(0,AK231-IF($A244&gt;='1-Input'!$C$12,'1-Input'!$B$12,0))-MIN(MAX(AO243,0),MAX(0,AK231-IF($A244&gt;='1-Input'!$C$12,'1-Input'!$B$12,0))))*(1/(1-'P-Parametri'!$B$6*AK244))),MAX(0,2*AK231-(AO243-MIN(MAX(AO243,0),MAX(0,AK231-IF($A244&gt;='1-Input'!$C$12,'1-Input'!$B$12,0)))))*(1/(1-'P-Parametri'!$B$6*AK244))))</f>
        <v>18418.246078028998</v>
      </c>
      <c r="AM244" s="18">
        <f>IF($A244&gt;'1-Input'!$B$26,AO243,(AO243-MAX(0,AK231-IF($A244&gt;='1-Input'!$C$12,'1-Input'!$B$12,0))+AL244*(1-'P-Parametri'!$B$6*AK244))*(1+'1-Input'!$B$27))</f>
        <v>33193.073901211232</v>
      </c>
      <c r="AN244" s="18">
        <f>IF($A244&gt;'1-Input'!$B$26,AP243,(AP243-AL244)*(1+$B$4))</f>
        <v>271583.82069959783</v>
      </c>
      <c r="AO244" s="18">
        <f>IF($A244&gt;'1-Input'!$B$26,AM244,AM244-'P-Parametri'!$B$8*(AN244+AM244)+MIN(MAX(AN244,0),'P-Parametri'!$B$8*(AN244+AM244)))</f>
        <v>33193.073901211232</v>
      </c>
      <c r="AP244" s="18">
        <f>IF($A244&gt;'1-Input'!$B$26,AN244,AN244-MIN(MAX(AN244,0),'P-Parametri'!$B$8*(AN244+AM244)))</f>
        <v>270974.26691039623</v>
      </c>
      <c r="AQ244" s="18">
        <f>IF($A244&gt;'1-Input'!$B$26,AQ243,AQ243-AL244*(1-AK244))</f>
        <v>174971.97878828138</v>
      </c>
    </row>
    <row r="245" spans="1:43">
      <c r="A245" s="10">
        <f>12</f>
        <v>12</v>
      </c>
      <c r="B245" s="11">
        <f>IF($A245&gt;'1-Input'!$B$26,0,IF(G244&lt;=0,0,MAX(0,(G244-H244)/G244)))</f>
        <v>0.35428242257857034</v>
      </c>
      <c r="C245" s="18">
        <f>IF($A245&gt;'1-Input'!$B$26,0,(MAX(0,B231-IF($A245&gt;='1-Input'!$C$12,'1-Input'!$B$12,0))-MIN(MAX(F244,0),MAX(0,B231-IF($A245&gt;='1-Input'!$C$12,'1-Input'!$B$12,0))))*(1/(1-'P-Parametri'!$B$6*B245))+MIN(MAX(0,G244-(MAX(0,B231-IF($A245&gt;='1-Input'!$C$12,'1-Input'!$B$12,0))-MIN(MAX(F244,0),MAX(0,B231-IF($A245&gt;='1-Input'!$C$12,'1-Input'!$B$12,0))))*(1/(1-'P-Parametri'!$B$6*B245))),MAX(0,2*B231-(F244-MIN(MAX(F244,0),MAX(0,B231-IF($A245&gt;='1-Input'!$C$12,'1-Input'!$B$12,0)))))*(1/(1-'P-Parametri'!$B$6*B245))))</f>
        <v>18505.790773502995</v>
      </c>
      <c r="D245" s="18">
        <f>IF($A245&gt;'1-Input'!$B$26,F244,(F244-MAX(0,B231-IF($A245&gt;='1-Input'!$C$12,'1-Input'!$B$12,0))+C245*(1-'P-Parametri'!$B$6*B245))*(1+'1-Input'!$B$27))</f>
        <v>33242.0070309863</v>
      </c>
      <c r="E245" s="18">
        <f>IF($A245&gt;'1-Input'!$B$26,G244,(G244-C245)*(1+$B$4))</f>
        <v>257122.5349189617</v>
      </c>
      <c r="F245" s="18">
        <f>IF($A245&gt;'1-Input'!$B$26,D245,D245-'P-Parametri'!$B$8*(E245+D245)+MIN(MAX(E245,0),'P-Parametri'!$B$8*(E245+D245)))</f>
        <v>33242.0070309863</v>
      </c>
      <c r="G245" s="18">
        <f>IF($A245&gt;'1-Input'!$B$26,E245,E245-MIN(MAX(E245,0),'P-Parametri'!$B$8*(E245+D245)))</f>
        <v>256541.80583506179</v>
      </c>
      <c r="H245" s="18">
        <f>IF($A245&gt;'1-Input'!$B$26,H244,H244-C245*(1-B245))</f>
        <v>162773.07877287146</v>
      </c>
      <c r="I245" s="11">
        <f>IF($A245&gt;'1-Input'!$B$26,0,IF(N244&lt;=0,0,MAX(0,(N244-O244)/N244)))</f>
        <v>0.3534334572265545</v>
      </c>
      <c r="J245" s="18">
        <f>IF($A245&gt;'1-Input'!$B$26,0,(MAX(0,I231-IF($A245&gt;='1-Input'!$C$12,'1-Input'!$B$12,0))-MIN(MAX(M244,0),MAX(0,I231-IF($A245&gt;='1-Input'!$C$12,'1-Input'!$B$12,0))))*(1/(1-'P-Parametri'!$B$6*I245))+MIN(MAX(0,N244-(MAX(0,I231-IF($A245&gt;='1-Input'!$C$12,'1-Input'!$B$12,0))-MIN(MAX(M244,0),MAX(0,I231-IF($A245&gt;='1-Input'!$C$12,'1-Input'!$B$12,0))))*(1/(1-'P-Parametri'!$B$6*I245))),MAX(0,2*I231-(M244-MIN(MAX(M244,0),MAX(0,I231-IF($A245&gt;='1-Input'!$C$12,'1-Input'!$B$12,0)))))*(1/(1-'P-Parametri'!$B$6*I245))))</f>
        <v>24343.806085454926</v>
      </c>
      <c r="K245" s="18">
        <f>IF($A245&gt;'1-Input'!$B$26,M244,(M244-MAX(0,I231-IF($A245&gt;='1-Input'!$C$12,'1-Input'!$B$12,0))+J245*(1-'P-Parametri'!$B$6*I245))*(1+'1-Input'!$B$27))</f>
        <v>43739.482935508291</v>
      </c>
      <c r="L245" s="18">
        <f>IF($A245&gt;'1-Input'!$B$26,N244,(N244-J245)*(1+$B$4))</f>
        <v>166371.29193868343</v>
      </c>
      <c r="M245" s="18">
        <f>IF($A245&gt;'1-Input'!$B$26,K245,K245-'P-Parametri'!$B$8*(L245+K245)+MIN(MAX(L245,0),'P-Parametri'!$B$8*(L245+K245)))</f>
        <v>43739.482935508291</v>
      </c>
      <c r="N245" s="18">
        <f>IF($A245&gt;'1-Input'!$B$26,L245,L245-MIN(MAX(L245,0),'P-Parametri'!$B$8*(L245+K245)))</f>
        <v>165951.07038893504</v>
      </c>
      <c r="O245" s="18">
        <f>IF($A245&gt;'1-Input'!$B$26,O244,O244-J245*(1-I245))</f>
        <v>105460.893181908</v>
      </c>
      <c r="P245" s="11">
        <f>IF($A245&gt;'1-Input'!$B$26,0,IF(U244&lt;=0,0,MAX(0,(U244-V244)/U244)))</f>
        <v>0.35428544067436751</v>
      </c>
      <c r="Q245" s="18">
        <f>IF($A245&gt;'1-Input'!$B$26,0,(MAX(0,P231-IF($A245&gt;='1-Input'!$C$12,'1-Input'!$B$12,0))-MIN(MAX(T244,0),MAX(0,P231-IF($A245&gt;='1-Input'!$C$12,'1-Input'!$B$12,0))))*(1/(1-'P-Parametri'!$B$6*P245))+MIN(MAX(0,U244-(MAX(0,P231-IF($A245&gt;='1-Input'!$C$12,'1-Input'!$B$12,0))-MIN(MAX(T244,0),MAX(0,P231-IF($A245&gt;='1-Input'!$C$12,'1-Input'!$B$12,0))))*(1/(1-'P-Parametri'!$B$6*P245))),MAX(0,2*P231-(T244-MIN(MAX(T244,0),MAX(0,P231-IF($A245&gt;='1-Input'!$C$12,'1-Input'!$B$12,0)))))*(1/(1-'P-Parametri'!$B$6*P245))))</f>
        <v>18480.15298492639</v>
      </c>
      <c r="R245" s="18">
        <f>IF($A245&gt;'1-Input'!$B$26,T244,(T244-MAX(0,P231-IF($A245&gt;='1-Input'!$C$12,'1-Input'!$B$12,0))+Q245*(1-'P-Parametri'!$B$6*P245))*(1+'1-Input'!$B$27))</f>
        <v>33195.925103139183</v>
      </c>
      <c r="S245" s="18">
        <f>IF($A245&gt;'1-Input'!$B$26,U244,(U244-Q245)*(1+$B$4))</f>
        <v>257520.96250116979</v>
      </c>
      <c r="T245" s="18">
        <f>IF($A245&gt;'1-Input'!$B$26,R245,R245-'P-Parametri'!$B$8*(S245+R245)+MIN(MAX(S245,0),'P-Parametri'!$B$8*(S245+R245)))</f>
        <v>33195.925103139183</v>
      </c>
      <c r="U245" s="18">
        <f>IF($A245&gt;'1-Input'!$B$26,S245,S245-MIN(MAX(S245,0),'P-Parametri'!$B$8*(S245+R245)))</f>
        <v>256939.52872596117</v>
      </c>
      <c r="V245" s="18">
        <f>IF($A245&gt;'1-Input'!$B$26,V244,V244-Q245*(1-P245))</f>
        <v>163024.54393976039</v>
      </c>
      <c r="W245" s="11">
        <f>IF($A245&gt;'1-Input'!$B$26,0,IF(AB244&lt;=0,0,MAX(0,(AB244-AC244)/AB244)))</f>
        <v>0.35428561625649069</v>
      </c>
      <c r="X245" s="18">
        <f>IF($A245&gt;'1-Input'!$B$26,0,(MAX(0,W231-IF($A245&gt;='1-Input'!$C$12,'1-Input'!$B$12,0))-MIN(MAX(AA244,0),MAX(0,W231-IF($A245&gt;='1-Input'!$C$12,'1-Input'!$B$12,0))))*(1/(1-'P-Parametri'!$B$6*W245))+MIN(MAX(0,AB244-(MAX(0,W231-IF($A245&gt;='1-Input'!$C$12,'1-Input'!$B$12,0))-MIN(MAX(AA244,0),MAX(0,W231-IF($A245&gt;='1-Input'!$C$12,'1-Input'!$B$12,0))))*(1/(1-'P-Parametri'!$B$6*W245))),MAX(0,2*W231-(AA244-MIN(MAX(AA244,0),MAX(0,W231-IF($A245&gt;='1-Input'!$C$12,'1-Input'!$B$12,0)))))*(1/(1-'P-Parametri'!$B$6*W245))))</f>
        <v>18478.660215575361</v>
      </c>
      <c r="Y245" s="18">
        <f>IF($A245&gt;'1-Input'!$B$26,AA244,(AA244-MAX(0,W231-IF($A245&gt;='1-Input'!$C$12,'1-Input'!$B$12,0))+X245*(1-'P-Parametri'!$B$6*W245))*(1+'1-Input'!$B$27))</f>
        <v>33193.241970369134</v>
      </c>
      <c r="Z245" s="18">
        <f>IF($A245&gt;'1-Input'!$B$26,AB244,(AB244-X245)*(1+$B$4))</f>
        <v>257544.16106619561</v>
      </c>
      <c r="AA245" s="18">
        <f>IF($A245&gt;'1-Input'!$B$26,Y245,Y245-'P-Parametri'!$B$8*(Z245+Y245)+MIN(MAX(Z245,0),'P-Parametri'!$B$8*(Z245+Y245)))</f>
        <v>33193.241970369134</v>
      </c>
      <c r="AB245" s="18">
        <f>IF($A245&gt;'1-Input'!$B$26,Z245,Z245-MIN(MAX(Z245,0),'P-Parametri'!$B$8*(Z245+Y245)))</f>
        <v>256962.68626012249</v>
      </c>
      <c r="AC245" s="18">
        <f>IF($A245&gt;'1-Input'!$B$26,AC244,AC244-X245*(1-W245))</f>
        <v>163039.18553882118</v>
      </c>
      <c r="AD245" s="11">
        <f>IF($A245&gt;'1-Input'!$B$26,0,IF(AI244&lt;=0,0,MAX(0,(AI244-AJ244)/AI244)))</f>
        <v>0.35428562725427315</v>
      </c>
      <c r="AE245" s="18">
        <f>IF($A245&gt;'1-Input'!$B$26,0,(MAX(0,AD231-IF($A245&gt;='1-Input'!$C$12,'1-Input'!$B$12,0))-MIN(MAX(AH244,0),MAX(0,AD231-IF($A245&gt;='1-Input'!$C$12,'1-Input'!$B$12,0))))*(1/(1-'P-Parametri'!$B$6*AD245))+MIN(MAX(0,AI244-(MAX(0,AD231-IF($A245&gt;='1-Input'!$C$12,'1-Input'!$B$12,0))-MIN(MAX(AH244,0),MAX(0,AD231-IF($A245&gt;='1-Input'!$C$12,'1-Input'!$B$12,0))))*(1/(1-'P-Parametri'!$B$6*AD245))),MAX(0,2*AD231-(AH244-MIN(MAX(AH244,0),MAX(0,AD231-IF($A245&gt;='1-Input'!$C$12,'1-Input'!$B$12,0)))))*(1/(1-'P-Parametri'!$B$6*AD245))))</f>
        <v>18478.5667097113</v>
      </c>
      <c r="AF245" s="18">
        <f>IF($A245&gt;'1-Input'!$B$26,AH244,(AH244-MAX(0,AD231-IF($A245&gt;='1-Input'!$C$12,'1-Input'!$B$12,0))+AE245*(1-'P-Parametri'!$B$6*AD245))*(1+'1-Input'!$B$27))</f>
        <v>33193.073901117961</v>
      </c>
      <c r="AG245" s="18">
        <f>IF($A245&gt;'1-Input'!$B$26,AI244,(AI244-AE245)*(1+$B$4))</f>
        <v>257545.614205452</v>
      </c>
      <c r="AH245" s="18">
        <f>IF($A245&gt;'1-Input'!$B$26,AF245,AF245-'P-Parametri'!$B$8*(AG245+AF245)+MIN(MAX(AG245,0),'P-Parametri'!$B$8*(AG245+AF245)))</f>
        <v>33193.073901117961</v>
      </c>
      <c r="AI245" s="18">
        <f>IF($A245&gt;'1-Input'!$B$26,AG245,AG245-MIN(MAX(AG245,0),'P-Parametri'!$B$8*(AG245+AF245)))</f>
        <v>256964.13682923885</v>
      </c>
      <c r="AJ245" s="18">
        <f>IF($A245&gt;'1-Input'!$B$26,AJ244,AJ244-AE245*(1-AD245))</f>
        <v>163040.10267655528</v>
      </c>
      <c r="AK245" s="11">
        <f>IF($A245&gt;'1-Input'!$B$26,0,IF(AP244&lt;=0,0,MAX(0,(AP244-AQ244)/AP244)))</f>
        <v>0.35428562725426682</v>
      </c>
      <c r="AL245" s="18">
        <f>IF($A245&gt;'1-Input'!$B$26,0,(MAX(0,AK231-IF($A245&gt;='1-Input'!$C$12,'1-Input'!$B$12,0))-MIN(MAX(AO244,0),MAX(0,AK231-IF($A245&gt;='1-Input'!$C$12,'1-Input'!$B$12,0))))*(1/(1-'P-Parametri'!$B$6*AK245))+MIN(MAX(0,AP244-(MAX(0,AK231-IF($A245&gt;='1-Input'!$C$12,'1-Input'!$B$12,0))-MIN(MAX(AO244,0),MAX(0,AK231-IF($A245&gt;='1-Input'!$C$12,'1-Input'!$B$12,0))))*(1/(1-'P-Parametri'!$B$6*AK245))),MAX(0,2*AK231-(AO244-MIN(MAX(AO244,0),MAX(0,AK231-IF($A245&gt;='1-Input'!$C$12,'1-Input'!$B$12,0)))))*(1/(1-'P-Parametri'!$B$6*AK245))))</f>
        <v>18478.566709763189</v>
      </c>
      <c r="AM245" s="18">
        <f>IF($A245&gt;'1-Input'!$B$26,AO244,(AO244-MAX(0,AK231-IF($A245&gt;='1-Input'!$C$12,'1-Input'!$B$12,0))+AL245*(1-'P-Parametri'!$B$6*AK245))*(1+'1-Input'!$B$27))</f>
        <v>33193.073901211232</v>
      </c>
      <c r="AN245" s="18">
        <f>IF($A245&gt;'1-Input'!$B$26,AP244,(AP244-AL245)*(1+$B$4))</f>
        <v>257545.61420464568</v>
      </c>
      <c r="AO245" s="18">
        <f>IF($A245&gt;'1-Input'!$B$26,AM245,AM245-'P-Parametri'!$B$8*(AN245+AM245)+MIN(MAX(AN245,0),'P-Parametri'!$B$8*(AN245+AM245)))</f>
        <v>33193.073901211232</v>
      </c>
      <c r="AP245" s="18">
        <f>IF($A245&gt;'1-Input'!$B$26,AN245,AN245-MIN(MAX(AN245,0),'P-Parametri'!$B$8*(AN245+AM245)))</f>
        <v>256964.13682843396</v>
      </c>
      <c r="AQ245" s="18">
        <f>IF($A245&gt;'1-Input'!$B$26,AQ244,AQ244-AL245*(1-AK245))</f>
        <v>163040.10267604646</v>
      </c>
    </row>
    <row r="246" spans="1:43">
      <c r="A246" s="10">
        <f>13</f>
        <v>13</v>
      </c>
      <c r="B246" s="11">
        <f>IF($A246&gt;'1-Input'!$B$26,0,IF(G245&lt;=0,0,MAX(0,(G245-H245)/G245)))</f>
        <v>0.36551051302132403</v>
      </c>
      <c r="C246" s="18">
        <f>IF($A246&gt;'1-Input'!$B$26,0,(MAX(0,B231-IF($A246&gt;='1-Input'!$C$12,'1-Input'!$B$12,0))-MIN(MAX(F245,0),MAX(0,B231-IF($A246&gt;='1-Input'!$C$12,'1-Input'!$B$12,0))))*(1/(1-'P-Parametri'!$B$6*B246))+MIN(MAX(0,G245-(MAX(0,B231-IF($A246&gt;='1-Input'!$C$12,'1-Input'!$B$12,0))-MIN(MAX(F245,0),MAX(0,B231-IF($A246&gt;='1-Input'!$C$12,'1-Input'!$B$12,0))))*(1/(1-'P-Parametri'!$B$6*B246))),MAX(0,2*B231-(F245-MIN(MAX(F245,0),MAX(0,B231-IF($A246&gt;='1-Input'!$C$12,'1-Input'!$B$12,0)))))*(1/(1-'P-Parametri'!$B$6*B246))))</f>
        <v>18565.487982505034</v>
      </c>
      <c r="D246" s="18">
        <f>IF($A246&gt;'1-Input'!$B$26,F245,(F245-MAX(0,B231-IF($A246&gt;='1-Input'!$C$12,'1-Input'!$B$12,0))+C246*(1-'P-Parametri'!$B$6*B246))*(1+'1-Input'!$B$27))</f>
        <v>33242.0070309863</v>
      </c>
      <c r="E246" s="18">
        <f>IF($A246&gt;'1-Input'!$B$26,G245,(G245-C246)*(1+$B$4))</f>
        <v>242735.84420960789</v>
      </c>
      <c r="F246" s="18">
        <f>IF($A246&gt;'1-Input'!$B$26,D246,D246-'P-Parametri'!$B$8*(E246+D246)+MIN(MAX(E246,0),'P-Parametri'!$B$8*(E246+D246)))</f>
        <v>33242.0070309863</v>
      </c>
      <c r="G246" s="18">
        <f>IF($A246&gt;'1-Input'!$B$26,E246,E246-MIN(MAX(E246,0),'P-Parametri'!$B$8*(E246+D246)))</f>
        <v>242183.88850712671</v>
      </c>
      <c r="H246" s="18">
        <f>IF($A246&gt;'1-Input'!$B$26,H245,H245-C246*(1-B246))</f>
        <v>150993.47182734308</v>
      </c>
      <c r="I246" s="11">
        <f>IF($A246&gt;'1-Input'!$B$26,0,IF(N245&lt;=0,0,MAX(0,(N245-O245)/N245)))</f>
        <v>0.36450609848588411</v>
      </c>
      <c r="J246" s="18">
        <f>IF($A246&gt;'1-Input'!$B$26,0,(MAX(0,I231-IF($A246&gt;='1-Input'!$C$12,'1-Input'!$B$12,0))-MIN(MAX(M245,0),MAX(0,I231-IF($A246&gt;='1-Input'!$C$12,'1-Input'!$B$12,0))))*(1/(1-'P-Parametri'!$B$6*I246))+MIN(MAX(0,N245-(MAX(0,I231-IF($A246&gt;='1-Input'!$C$12,'1-Input'!$B$12,0))-MIN(MAX(M245,0),MAX(0,I231-IF($A246&gt;='1-Input'!$C$12,'1-Input'!$B$12,0))))*(1/(1-'P-Parametri'!$B$6*I246))),MAX(0,2*I231-(M245-MIN(MAX(M245,0),MAX(0,I231-IF($A246&gt;='1-Input'!$C$12,'1-Input'!$B$12,0)))))*(1/(1-'P-Parametri'!$B$6*I246))))</f>
        <v>24421.226390783482</v>
      </c>
      <c r="K246" s="18">
        <f>IF($A246&gt;'1-Input'!$B$26,M245,(M245-MAX(0,I231-IF($A246&gt;='1-Input'!$C$12,'1-Input'!$B$12,0))+J246*(1-'P-Parametri'!$B$6*I246))*(1+'1-Input'!$B$27))</f>
        <v>43739.482935508291</v>
      </c>
      <c r="L246" s="18">
        <f>IF($A246&gt;'1-Input'!$B$26,N245,(N245-J246)*(1+$B$4))</f>
        <v>144360.4408781146</v>
      </c>
      <c r="M246" s="18">
        <f>IF($A246&gt;'1-Input'!$B$26,K246,K246-'P-Parametri'!$B$8*(L246+K246)+MIN(MAX(L246,0),'P-Parametri'!$B$8*(L246+K246)))</f>
        <v>43739.482935508291</v>
      </c>
      <c r="N246" s="18">
        <f>IF($A246&gt;'1-Input'!$B$26,L246,L246-MIN(MAX(L246,0),'P-Parametri'!$B$8*(L246+K246)))</f>
        <v>143984.24103048735</v>
      </c>
      <c r="O246" s="18">
        <f>IF($A246&gt;'1-Input'!$B$26,O245,O245-J246*(1-I246))</f>
        <v>89941.35274306951</v>
      </c>
      <c r="P246" s="11">
        <f>IF($A246&gt;'1-Input'!$B$26,0,IF(U245&lt;=0,0,MAX(0,(U245-V245)/U245)))</f>
        <v>0.365513960626766</v>
      </c>
      <c r="Q246" s="18">
        <f>IF($A246&gt;'1-Input'!$B$26,0,(MAX(0,P231-IF($A246&gt;='1-Input'!$C$12,'1-Input'!$B$12,0))-MIN(MAX(T245,0),MAX(0,P231-IF($A246&gt;='1-Input'!$C$12,'1-Input'!$B$12,0))))*(1/(1-'P-Parametri'!$B$6*P246))+MIN(MAX(0,U245-(MAX(0,P231-IF($A246&gt;='1-Input'!$C$12,'1-Input'!$B$12,0))-MIN(MAX(T245,0),MAX(0,P231-IF($A246&gt;='1-Input'!$C$12,'1-Input'!$B$12,0))))*(1/(1-'P-Parametri'!$B$6*P246))),MAX(0,2*P231-(T245-MIN(MAX(T245,0),MAX(0,P231-IF($A246&gt;='1-Input'!$C$12,'1-Input'!$B$12,0)))))*(1/(1-'P-Parametri'!$B$6*P246))))</f>
        <v>18539.769829339813</v>
      </c>
      <c r="R246" s="18">
        <f>IF($A246&gt;'1-Input'!$B$26,T245,(T245-MAX(0,P231-IF($A246&gt;='1-Input'!$C$12,'1-Input'!$B$12,0))+Q246*(1-'P-Parametri'!$B$6*P246))*(1+'1-Input'!$B$27))</f>
        <v>33195.925103139183</v>
      </c>
      <c r="S246" s="18">
        <f>IF($A246&gt;'1-Input'!$B$26,U245,(U245-Q246)*(1+$B$4))</f>
        <v>243167.75407455378</v>
      </c>
      <c r="T246" s="18">
        <f>IF($A246&gt;'1-Input'!$B$26,R246,R246-'P-Parametri'!$B$8*(S246+R246)+MIN(MAX(S246,0),'P-Parametri'!$B$8*(S246+R246)))</f>
        <v>33195.925103139183</v>
      </c>
      <c r="U246" s="18">
        <f>IF($A246&gt;'1-Input'!$B$26,S246,S246-MIN(MAX(S246,0),'P-Parametri'!$B$8*(S246+R246)))</f>
        <v>242615.02671619839</v>
      </c>
      <c r="V246" s="18">
        <f>IF($A246&gt;'1-Input'!$B$26,V245,V245-Q246*(1-P246))</f>
        <v>151261.31880985119</v>
      </c>
      <c r="W246" s="11">
        <f>IF($A246&gt;'1-Input'!$B$26,0,IF(AB245&lt;=0,0,MAX(0,(AB245-AC245)/AB245)))</f>
        <v>0.36551416117366881</v>
      </c>
      <c r="X246" s="18">
        <f>IF($A246&gt;'1-Input'!$B$26,0,(MAX(0,W231-IF($A246&gt;='1-Input'!$C$12,'1-Input'!$B$12,0))-MIN(MAX(AA245,0),MAX(0,W231-IF($A246&gt;='1-Input'!$C$12,'1-Input'!$B$12,0))))*(1/(1-'P-Parametri'!$B$6*W246))+MIN(MAX(0,AB245-(MAX(0,W231-IF($A246&gt;='1-Input'!$C$12,'1-Input'!$B$12,0))-MIN(MAX(AA245,0),MAX(0,W231-IF($A246&gt;='1-Input'!$C$12,'1-Input'!$B$12,0))))*(1/(1-'P-Parametri'!$B$6*W246))),MAX(0,2*W231-(AA245-MIN(MAX(AA245,0),MAX(0,W231-IF($A246&gt;='1-Input'!$C$12,'1-Input'!$B$12,0)))))*(1/(1-'P-Parametri'!$B$6*W246))))</f>
        <v>18538.272380297618</v>
      </c>
      <c r="Y246" s="18">
        <f>IF($A246&gt;'1-Input'!$B$26,AA245,(AA245-MAX(0,W231-IF($A246&gt;='1-Input'!$C$12,'1-Input'!$B$12,0))+X246*(1-'P-Parametri'!$B$6*W246))*(1+'1-Input'!$B$27))</f>
        <v>33193.241970369134</v>
      </c>
      <c r="Z246" s="18">
        <f>IF($A246&gt;'1-Input'!$B$26,AB245,(AB245-X246)*(1+$B$4))</f>
        <v>243192.90215742137</v>
      </c>
      <c r="AA246" s="18">
        <f>IF($A246&gt;'1-Input'!$B$26,Y246,Y246-'P-Parametri'!$B$8*(Z246+Y246)+MIN(MAX(Z246,0),'P-Parametri'!$B$8*(Z246+Y246)))</f>
        <v>33193.241970369134</v>
      </c>
      <c r="AB246" s="18">
        <f>IF($A246&gt;'1-Input'!$B$26,Z246,Z246-MIN(MAX(Z246,0),'P-Parametri'!$B$8*(Z246+Y246)))</f>
        <v>242640.1298691658</v>
      </c>
      <c r="AC246" s="18">
        <f>IF($A246&gt;'1-Input'!$B$26,AC245,AC245-X246*(1-W246))</f>
        <v>151276.91423721705</v>
      </c>
      <c r="AD246" s="11">
        <f>IF($A246&gt;'1-Input'!$B$26,0,IF(AI245&lt;=0,0,MAX(0,(AI245-AJ245)/AI245)))</f>
        <v>0.36551417373506556</v>
      </c>
      <c r="AE246" s="18">
        <f>IF($A246&gt;'1-Input'!$B$26,0,(MAX(0,AD231-IF($A246&gt;='1-Input'!$C$12,'1-Input'!$B$12,0))-MIN(MAX(AH245,0),MAX(0,AD231-IF($A246&gt;='1-Input'!$C$12,'1-Input'!$B$12,0))))*(1/(1-'P-Parametri'!$B$6*AD246))+MIN(MAX(0,AI245-(MAX(0,AD231-IF($A246&gt;='1-Input'!$C$12,'1-Input'!$B$12,0))-MIN(MAX(AH245,0),MAX(0,AD231-IF($A246&gt;='1-Input'!$C$12,'1-Input'!$B$12,0))))*(1/(1-'P-Parametri'!$B$6*AD246))),MAX(0,2*AD231-(AH245-MIN(MAX(AH245,0),MAX(0,AD231-IF($A246&gt;='1-Input'!$C$12,'1-Input'!$B$12,0)))))*(1/(1-'P-Parametri'!$B$6*AD246))))</f>
        <v>18538.178581299893</v>
      </c>
      <c r="AF246" s="18">
        <f>IF($A246&gt;'1-Input'!$B$26,AH245,(AH245-MAX(0,AD231-IF($A246&gt;='1-Input'!$C$12,'1-Input'!$B$12,0))+AE246*(1-'P-Parametri'!$B$6*AD246))*(1+'1-Input'!$B$27))</f>
        <v>33193.073901117961</v>
      </c>
      <c r="AG246" s="18">
        <f>IF($A246&gt;'1-Input'!$B$26,AI245,(AI245-AE246)*(1+$B$4))</f>
        <v>243194.47741289774</v>
      </c>
      <c r="AH246" s="18">
        <f>IF($A246&gt;'1-Input'!$B$26,AF246,AF246-'P-Parametri'!$B$8*(AG246+AF246)+MIN(MAX(AG246,0),'P-Parametri'!$B$8*(AG246+AF246)))</f>
        <v>33193.073901117961</v>
      </c>
      <c r="AI246" s="18">
        <f>IF($A246&gt;'1-Input'!$B$26,AG246,AG246-MIN(MAX(AG246,0),'P-Parametri'!$B$8*(AG246+AF246)))</f>
        <v>242641.7023102697</v>
      </c>
      <c r="AJ246" s="18">
        <f>IF($A246&gt;'1-Input'!$B$26,AJ245,AJ245-AE246*(1-AD246))</f>
        <v>151277.8911219523</v>
      </c>
      <c r="AK246" s="11">
        <f>IF($A246&gt;'1-Input'!$B$26,0,IF(AP245&lt;=0,0,MAX(0,(AP245-AQ245)/AP245)))</f>
        <v>0.36551417373505829</v>
      </c>
      <c r="AL246" s="18">
        <f>IF($A246&gt;'1-Input'!$B$26,0,(MAX(0,AK231-IF($A246&gt;='1-Input'!$C$12,'1-Input'!$B$12,0))-MIN(MAX(AO245,0),MAX(0,AK231-IF($A246&gt;='1-Input'!$C$12,'1-Input'!$B$12,0))))*(1/(1-'P-Parametri'!$B$6*AK246))+MIN(MAX(0,AP245-(MAX(0,AK231-IF($A246&gt;='1-Input'!$C$12,'1-Input'!$B$12,0))-MIN(MAX(AO245,0),MAX(0,AK231-IF($A246&gt;='1-Input'!$C$12,'1-Input'!$B$12,0))))*(1/(1-'P-Parametri'!$B$6*AK246))),MAX(0,2*AK231-(AO245-MIN(MAX(AO245,0),MAX(0,AK231-IF($A246&gt;='1-Input'!$C$12,'1-Input'!$B$12,0)))))*(1/(1-'P-Parametri'!$B$6*AK246))))</f>
        <v>18538.178581351949</v>
      </c>
      <c r="AM246" s="18">
        <f>IF($A246&gt;'1-Input'!$B$26,AO245,(AO245-MAX(0,AK231-IF($A246&gt;='1-Input'!$C$12,'1-Input'!$B$12,0))+AL246*(1-'P-Parametri'!$B$6*AK246))*(1+'1-Input'!$B$27))</f>
        <v>33193.073901211232</v>
      </c>
      <c r="AN246" s="18">
        <f>IF($A246&gt;'1-Input'!$B$26,AP245,(AP245-AL246)*(1+$B$4))</f>
        <v>243194.47741202367</v>
      </c>
      <c r="AO246" s="18">
        <f>IF($A246&gt;'1-Input'!$B$26,AM246,AM246-'P-Parametri'!$B$8*(AN246+AM246)+MIN(MAX(AN246,0),'P-Parametri'!$B$8*(AN246+AM246)))</f>
        <v>33193.073901211232</v>
      </c>
      <c r="AP246" s="18">
        <f>IF($A246&gt;'1-Input'!$B$26,AN246,AN246-MIN(MAX(AN246,0),'P-Parametri'!$B$8*(AN246+AM246)))</f>
        <v>242641.70230939719</v>
      </c>
      <c r="AQ246" s="18">
        <f>IF($A246&gt;'1-Input'!$B$26,AQ245,AQ245-AL246*(1-AK246))</f>
        <v>151277.89112141033</v>
      </c>
    </row>
    <row r="247" spans="1:43">
      <c r="A247" s="10">
        <f>14</f>
        <v>14</v>
      </c>
      <c r="B247" s="11">
        <f>IF($A247&gt;'1-Input'!$B$26,0,IF(G246&lt;=0,0,MAX(0,(G246-H246)/G246)))</f>
        <v>0.37653378695792222</v>
      </c>
      <c r="C247" s="18">
        <f>IF($A247&gt;'1-Input'!$B$26,0,(MAX(0,B231-IF($A247&gt;='1-Input'!$C$12,'1-Input'!$B$12,0))-MIN(MAX(F246,0),MAX(0,B231-IF($A247&gt;='1-Input'!$C$12,'1-Input'!$B$12,0))))*(1/(1-'P-Parametri'!$B$6*B247))+MIN(MAX(0,G246-(MAX(0,B231-IF($A247&gt;='1-Input'!$C$12,'1-Input'!$B$12,0))-MIN(MAX(F246,0),MAX(0,B231-IF($A247&gt;='1-Input'!$C$12,'1-Input'!$B$12,0))))*(1/(1-'P-Parametri'!$B$6*B247))),MAX(0,2*B231-(F246-MIN(MAX(F246,0),MAX(0,B231-IF($A247&gt;='1-Input'!$C$12,'1-Input'!$B$12,0)))))*(1/(1-'P-Parametri'!$B$6*B247))))</f>
        <v>18624.472094974455</v>
      </c>
      <c r="D247" s="18">
        <f>IF($A247&gt;'1-Input'!$B$26,F246,(F246-MAX(0,B231-IF($A247&gt;='1-Input'!$C$12,'1-Input'!$B$12,0))+C247*(1-'P-Parametri'!$B$6*B247))*(1+'1-Input'!$B$27))</f>
        <v>33242.0070309863</v>
      </c>
      <c r="E247" s="18">
        <f>IF($A247&gt;'1-Input'!$B$26,G246,(G246-C247)*(1+$B$4))</f>
        <v>228030.6047403953</v>
      </c>
      <c r="F247" s="18">
        <f>IF($A247&gt;'1-Input'!$B$26,D247,D247-'P-Parametri'!$B$8*(E247+D247)+MIN(MAX(E247,0),'P-Parametri'!$B$8*(E247+D247)))</f>
        <v>33242.0070309863</v>
      </c>
      <c r="G247" s="18">
        <f>IF($A247&gt;'1-Input'!$B$26,E247,E247-MIN(MAX(E247,0),'P-Parametri'!$B$8*(E247+D247)))</f>
        <v>227508.05951685255</v>
      </c>
      <c r="H247" s="18">
        <f>IF($A247&gt;'1-Input'!$B$26,H246,H246-C247*(1-B247))</f>
        <v>139381.74274038151</v>
      </c>
      <c r="I247" s="11">
        <f>IF($A247&gt;'1-Input'!$B$26,0,IF(N246&lt;=0,0,MAX(0,(N246-O246)/N246)))</f>
        <v>0.3753389114019412</v>
      </c>
      <c r="J247" s="18">
        <f>IF($A247&gt;'1-Input'!$B$26,0,(MAX(0,I231-IF($A247&gt;='1-Input'!$C$12,'1-Input'!$B$12,0))-MIN(MAX(M246,0),MAX(0,I231-IF($A247&gt;='1-Input'!$C$12,'1-Input'!$B$12,0))))*(1/(1-'P-Parametri'!$B$6*I247))+MIN(MAX(0,N246-(MAX(0,I231-IF($A247&gt;='1-Input'!$C$12,'1-Input'!$B$12,0))-MIN(MAX(M246,0),MAX(0,I231-IF($A247&gt;='1-Input'!$C$12,'1-Input'!$B$12,0))))*(1/(1-'P-Parametri'!$B$6*I247))),MAX(0,2*I231-(M246-MIN(MAX(M246,0),MAX(0,I231-IF($A247&gt;='1-Input'!$C$12,'1-Input'!$B$12,0)))))*(1/(1-'P-Parametri'!$B$6*I247))))</f>
        <v>24497.447849330059</v>
      </c>
      <c r="K247" s="18">
        <f>IF($A247&gt;'1-Input'!$B$26,M246,(M246-MAX(0,I231-IF($A247&gt;='1-Input'!$C$12,'1-Input'!$B$12,0))+J247*(1-'P-Parametri'!$B$6*I247))*(1+'1-Input'!$B$27))</f>
        <v>43739.482935508291</v>
      </c>
      <c r="L247" s="18">
        <f>IF($A247&gt;'1-Input'!$B$26,N246,(N246-J247)*(1+$B$4))</f>
        <v>121876.52904478044</v>
      </c>
      <c r="M247" s="18">
        <f>IF($A247&gt;'1-Input'!$B$26,K247,K247-'P-Parametri'!$B$8*(L247+K247)+MIN(MAX(L247,0),'P-Parametri'!$B$8*(L247+K247)))</f>
        <v>43739.482935508291</v>
      </c>
      <c r="N247" s="18">
        <f>IF($A247&gt;'1-Input'!$B$26,L247,L247-MIN(MAX(L247,0),'P-Parametri'!$B$8*(L247+K247)))</f>
        <v>121545.29702081987</v>
      </c>
      <c r="O247" s="18">
        <f>IF($A247&gt;'1-Input'!$B$26,O246,O246-J247*(1-I247))</f>
        <v>74638.750301632826</v>
      </c>
      <c r="P247" s="11">
        <f>IF($A247&gt;'1-Input'!$B$26,0,IF(U246&lt;=0,0,MAX(0,(U246-V246)/U246)))</f>
        <v>0.37653771550271375</v>
      </c>
      <c r="Q247" s="18">
        <f>IF($A247&gt;'1-Input'!$B$26,0,(MAX(0,P231-IF($A247&gt;='1-Input'!$C$12,'1-Input'!$B$12,0))-MIN(MAX(T246,0),MAX(0,P231-IF($A247&gt;='1-Input'!$C$12,'1-Input'!$B$12,0))))*(1/(1-'P-Parametri'!$B$6*P247))+MIN(MAX(0,U246-(MAX(0,P231-IF($A247&gt;='1-Input'!$C$12,'1-Input'!$B$12,0))-MIN(MAX(T246,0),MAX(0,P231-IF($A247&gt;='1-Input'!$C$12,'1-Input'!$B$12,0))))*(1/(1-'P-Parametri'!$B$6*P247))),MAX(0,2*P231-(T246-MIN(MAX(T246,0),MAX(0,P231-IF($A247&gt;='1-Input'!$C$12,'1-Input'!$B$12,0)))))*(1/(1-'P-Parametri'!$B$6*P247))))</f>
        <v>18598.67486965526</v>
      </c>
      <c r="R247" s="18">
        <f>IF($A247&gt;'1-Input'!$B$26,T246,(T246-MAX(0,P231-IF($A247&gt;='1-Input'!$C$12,'1-Input'!$B$12,0))+Q247*(1-'P-Parametri'!$B$6*P247))*(1+'1-Input'!$B$27))</f>
        <v>33195.925103139183</v>
      </c>
      <c r="S247" s="18">
        <f>IF($A247&gt;'1-Input'!$B$26,U246,(U246-Q247)*(1+$B$4))</f>
        <v>228496.678883474</v>
      </c>
      <c r="T247" s="18">
        <f>IF($A247&gt;'1-Input'!$B$26,R247,R247-'P-Parametri'!$B$8*(S247+R247)+MIN(MAX(S247,0),'P-Parametri'!$B$8*(S247+R247)))</f>
        <v>33195.925103139183</v>
      </c>
      <c r="U247" s="18">
        <f>IF($A247&gt;'1-Input'!$B$26,S247,S247-MIN(MAX(S247,0),'P-Parametri'!$B$8*(S247+R247)))</f>
        <v>227973.29367550078</v>
      </c>
      <c r="V247" s="18">
        <f>IF($A247&gt;'1-Input'!$B$26,V246,V246-Q247*(1-P247))</f>
        <v>139665.74648699365</v>
      </c>
      <c r="W247" s="11">
        <f>IF($A247&gt;'1-Input'!$B$26,0,IF(AB246&lt;=0,0,MAX(0,(AB246-AC246)/AB246)))</f>
        <v>0.37653794399637353</v>
      </c>
      <c r="X247" s="18">
        <f>IF($A247&gt;'1-Input'!$B$26,0,(MAX(0,W231-IF($A247&gt;='1-Input'!$C$12,'1-Input'!$B$12,0))-MIN(MAX(AA246,0),MAX(0,W231-IF($A247&gt;='1-Input'!$C$12,'1-Input'!$B$12,0))))*(1/(1-'P-Parametri'!$B$6*W247))+MIN(MAX(0,AB246-(MAX(0,W231-IF($A247&gt;='1-Input'!$C$12,'1-Input'!$B$12,0))-MIN(MAX(AA246,0),MAX(0,W231-IF($A247&gt;='1-Input'!$C$12,'1-Input'!$B$12,0))))*(1/(1-'P-Parametri'!$B$6*W247))),MAX(0,2*W231-(AA246-MIN(MAX(AA246,0),MAX(0,W231-IF($A247&gt;='1-Input'!$C$12,'1-Input'!$B$12,0)))))*(1/(1-'P-Parametri'!$B$6*W247))))</f>
        <v>18597.17281607827</v>
      </c>
      <c r="Y247" s="18">
        <f>IF($A247&gt;'1-Input'!$B$26,AA246,(AA246-MAX(0,W231-IF($A247&gt;='1-Input'!$C$12,'1-Input'!$B$12,0))+X247*(1-'P-Parametri'!$B$6*W247))*(1+'1-Input'!$B$27))</f>
        <v>33193.241970369141</v>
      </c>
      <c r="Z247" s="18">
        <f>IF($A247&gt;'1-Input'!$B$26,AB246,(AB246-X247)*(1+$B$4))</f>
        <v>228523.81619414929</v>
      </c>
      <c r="AA247" s="18">
        <f>IF($A247&gt;'1-Input'!$B$26,Y247,Y247-'P-Parametri'!$B$8*(Z247+Y247)+MIN(MAX(Z247,0),'P-Parametri'!$B$8*(Z247+Y247)))</f>
        <v>33193.241970369141</v>
      </c>
      <c r="AB247" s="18">
        <f>IF($A247&gt;'1-Input'!$B$26,Z247,Z247-MIN(MAX(Z247,0),'P-Parametri'!$B$8*(Z247+Y247)))</f>
        <v>228000.38207782025</v>
      </c>
      <c r="AC247" s="18">
        <f>IF($A247&gt;'1-Input'!$B$26,AC246,AC246-X247*(1-W247))</f>
        <v>139682.28263745015</v>
      </c>
      <c r="AD247" s="11">
        <f>IF($A247&gt;'1-Input'!$B$26,0,IF(AI246&lt;=0,0,MAX(0,(AI246-AJ246)/AI246)))</f>
        <v>0.37653795830812742</v>
      </c>
      <c r="AE247" s="18">
        <f>IF($A247&gt;'1-Input'!$B$26,0,(MAX(0,AD231-IF($A247&gt;='1-Input'!$C$12,'1-Input'!$B$12,0))-MIN(MAX(AH246,0),MAX(0,AD231-IF($A247&gt;='1-Input'!$C$12,'1-Input'!$B$12,0))))*(1/(1-'P-Parametri'!$B$6*AD247))+MIN(MAX(0,AI246-(MAX(0,AD231-IF($A247&gt;='1-Input'!$C$12,'1-Input'!$B$12,0))-MIN(MAX(AH246,0),MAX(0,AD231-IF($A247&gt;='1-Input'!$C$12,'1-Input'!$B$12,0))))*(1/(1-'P-Parametri'!$B$6*AD247))),MAX(0,2*AD231-(AH246-MIN(MAX(AH246,0),MAX(0,AD231-IF($A247&gt;='1-Input'!$C$12,'1-Input'!$B$12,0)))))*(1/(1-'P-Parametri'!$B$6*AD247))))</f>
        <v>18597.078728654269</v>
      </c>
      <c r="AF247" s="18">
        <f>IF($A247&gt;'1-Input'!$B$26,AH246,(AH246-MAX(0,AD231-IF($A247&gt;='1-Input'!$C$12,'1-Input'!$B$12,0))+AE247*(1-'P-Parametri'!$B$6*AD247))*(1+'1-Input'!$B$27))</f>
        <v>33193.073901117954</v>
      </c>
      <c r="AG247" s="18">
        <f>IF($A247&gt;'1-Input'!$B$26,AI246,(AI246-AE247)*(1+$B$4))</f>
        <v>228525.51605324773</v>
      </c>
      <c r="AH247" s="18">
        <f>IF($A247&gt;'1-Input'!$B$26,AF247,AF247-'P-Parametri'!$B$8*(AG247+AF247)+MIN(MAX(AG247,0),'P-Parametri'!$B$8*(AG247+AF247)))</f>
        <v>33193.073901117954</v>
      </c>
      <c r="AI247" s="18">
        <f>IF($A247&gt;'1-Input'!$B$26,AG247,AG247-MIN(MAX(AG247,0),'P-Parametri'!$B$8*(AG247+AF247)))</f>
        <v>228002.07887333899</v>
      </c>
      <c r="AJ247" s="18">
        <f>IF($A247&gt;'1-Input'!$B$26,AJ246,AJ246-AE247*(1-AD247))</f>
        <v>139683.318448281</v>
      </c>
      <c r="AK247" s="11">
        <f>IF($A247&gt;'1-Input'!$B$26,0,IF(AP246&lt;=0,0,MAX(0,(AP246-AQ246)/AP246)))</f>
        <v>0.3765379583081192</v>
      </c>
      <c r="AL247" s="18">
        <f>IF($A247&gt;'1-Input'!$B$26,0,(MAX(0,AK231-IF($A247&gt;='1-Input'!$C$12,'1-Input'!$B$12,0))-MIN(MAX(AO246,0),MAX(0,AK231-IF($A247&gt;='1-Input'!$C$12,'1-Input'!$B$12,0))))*(1/(1-'P-Parametri'!$B$6*AK247))+MIN(MAX(0,AP246-(MAX(0,AK231-IF($A247&gt;='1-Input'!$C$12,'1-Input'!$B$12,0))-MIN(MAX(AO246,0),MAX(0,AK231-IF($A247&gt;='1-Input'!$C$12,'1-Input'!$B$12,0))))*(1/(1-'P-Parametri'!$B$6*AK247))),MAX(0,2*AK231-(AO246-MIN(MAX(AO246,0),MAX(0,AK231-IF($A247&gt;='1-Input'!$C$12,'1-Input'!$B$12,0)))))*(1/(1-'P-Parametri'!$B$6*AK247))))</f>
        <v>18597.078728706489</v>
      </c>
      <c r="AM247" s="18">
        <f>IF($A247&gt;'1-Input'!$B$26,AO246,(AO246-MAX(0,AK231-IF($A247&gt;='1-Input'!$C$12,'1-Input'!$B$12,0))+AL247*(1-'P-Parametri'!$B$6*AK247))*(1+'1-Input'!$B$27))</f>
        <v>33193.073901211232</v>
      </c>
      <c r="AN247" s="18">
        <f>IF($A247&gt;'1-Input'!$B$26,AP246,(AP246-AL247)*(1+$B$4))</f>
        <v>228525.51605230453</v>
      </c>
      <c r="AO247" s="18">
        <f>IF($A247&gt;'1-Input'!$B$26,AM247,AM247-'P-Parametri'!$B$8*(AN247+AM247)+MIN(MAX(AN247,0),'P-Parametri'!$B$8*(AN247+AM247)))</f>
        <v>33193.073901211232</v>
      </c>
      <c r="AP247" s="18">
        <f>IF($A247&gt;'1-Input'!$B$26,AN247,AN247-MIN(MAX(AN247,0),'P-Parametri'!$B$8*(AN247+AM247)))</f>
        <v>228002.07887239751</v>
      </c>
      <c r="AQ247" s="18">
        <f>IF($A247&gt;'1-Input'!$B$26,AQ246,AQ246-AL247*(1-AK247))</f>
        <v>139683.31844770635</v>
      </c>
    </row>
    <row r="248" spans="1:43">
      <c r="A248" s="10">
        <f>15</f>
        <v>15</v>
      </c>
      <c r="B248" s="11">
        <f>IF($A248&gt;'1-Input'!$B$26,0,IF(G247&lt;=0,0,MAX(0,(G247-H247)/G247)))</f>
        <v>0.38735470278996037</v>
      </c>
      <c r="C248" s="18">
        <f>IF($A248&gt;'1-Input'!$B$26,0,(MAX(0,B231-IF($A248&gt;='1-Input'!$C$12,'1-Input'!$B$12,0))-MIN(MAX(F247,0),MAX(0,B231-IF($A248&gt;='1-Input'!$C$12,'1-Input'!$B$12,0))))*(1/(1-'P-Parametri'!$B$6*B248))+MIN(MAX(0,G247-(MAX(0,B231-IF($A248&gt;='1-Input'!$C$12,'1-Input'!$B$12,0))-MIN(MAX(F247,0),MAX(0,B231-IF($A248&gt;='1-Input'!$C$12,'1-Input'!$B$12,0))))*(1/(1-'P-Parametri'!$B$6*B248))),MAX(0,2*B231-(F247-MIN(MAX(F247,0),MAX(0,B231-IF($A248&gt;='1-Input'!$C$12,'1-Input'!$B$12,0)))))*(1/(1-'P-Parametri'!$B$6*B248))))</f>
        <v>18682.739093606779</v>
      </c>
      <c r="D248" s="18">
        <f>IF($A248&gt;'1-Input'!$B$26,F247,(F247-MAX(0,B231-IF($A248&gt;='1-Input'!$C$12,'1-Input'!$B$12,0))+C248*(1-'P-Parametri'!$B$6*B248))*(1+'1-Input'!$B$27))</f>
        <v>33242.0070309863</v>
      </c>
      <c r="E248" s="18">
        <f>IF($A248&gt;'1-Input'!$B$26,G247,(G247-C248)*(1+$B$4))</f>
        <v>213001.8268317107</v>
      </c>
      <c r="F248" s="18">
        <f>IF($A248&gt;'1-Input'!$B$26,D248,D248-'P-Parametri'!$B$8*(E248+D248)+MIN(MAX(E248,0),'P-Parametri'!$B$8*(E248+D248)))</f>
        <v>33242.0070309863</v>
      </c>
      <c r="G248" s="18">
        <f>IF($A248&gt;'1-Input'!$B$26,E248,E248-MIN(MAX(E248,0),'P-Parametri'!$B$8*(E248+D248)))</f>
        <v>212509.33916398531</v>
      </c>
      <c r="H248" s="18">
        <f>IF($A248&gt;'1-Input'!$B$26,H247,H247-C248*(1-B248))</f>
        <v>127935.85049568117</v>
      </c>
      <c r="I248" s="11">
        <f>IF($A248&gt;'1-Input'!$B$26,0,IF(N247&lt;=0,0,MAX(0,(N247-O247)/N247)))</f>
        <v>0.3859182368129988</v>
      </c>
      <c r="J248" s="18">
        <f>IF($A248&gt;'1-Input'!$B$26,0,(MAX(0,I231-IF($A248&gt;='1-Input'!$C$12,'1-Input'!$B$12,0))-MIN(MAX(M247,0),MAX(0,I231-IF($A248&gt;='1-Input'!$C$12,'1-Input'!$B$12,0))))*(1/(1-'P-Parametri'!$B$6*I248))+MIN(MAX(0,N247-(MAX(0,I231-IF($A248&gt;='1-Input'!$C$12,'1-Input'!$B$12,0))-MIN(MAX(M247,0),MAX(0,I231-IF($A248&gt;='1-Input'!$C$12,'1-Input'!$B$12,0))))*(1/(1-'P-Parametri'!$B$6*I248))),MAX(0,2*I231-(M247-MIN(MAX(M247,0),MAX(0,I231-IF($A248&gt;='1-Input'!$C$12,'1-Input'!$B$12,0)))))*(1/(1-'P-Parametri'!$B$6*I248))))</f>
        <v>24572.346353882425</v>
      </c>
      <c r="K248" s="18">
        <f>IF($A248&gt;'1-Input'!$B$26,M247,(M247-MAX(0,I231-IF($A248&gt;='1-Input'!$C$12,'1-Input'!$B$12,0))+J248*(1-'P-Parametri'!$B$6*I248))*(1+'1-Input'!$B$27))</f>
        <v>43739.482935508291</v>
      </c>
      <c r="L248" s="18">
        <f>IF($A248&gt;'1-Input'!$B$26,N247,(N247-J248)*(1+$B$4))</f>
        <v>98912.409680276192</v>
      </c>
      <c r="M248" s="18">
        <f>IF($A248&gt;'1-Input'!$B$26,K248,K248-'P-Parametri'!$B$8*(L248+K248)+MIN(MAX(L248,0),'P-Parametri'!$B$8*(L248+K248)))</f>
        <v>43739.482935508291</v>
      </c>
      <c r="N248" s="18">
        <f>IF($A248&gt;'1-Input'!$B$26,L248,L248-MIN(MAX(L248,0),'P-Parametri'!$B$8*(L248+K248)))</f>
        <v>98627.105895044617</v>
      </c>
      <c r="O248" s="18">
        <f>IF($A248&gt;'1-Input'!$B$26,O247,O247-J248*(1-I248))</f>
        <v>59549.320526999029</v>
      </c>
      <c r="P248" s="11">
        <f>IF($A248&gt;'1-Input'!$B$26,0,IF(U247&lt;=0,0,MAX(0,(U247-V247)/U247)))</f>
        <v>0.38735917600157532</v>
      </c>
      <c r="Q248" s="18">
        <f>IF($A248&gt;'1-Input'!$B$26,0,(MAX(0,P231-IF($A248&gt;='1-Input'!$C$12,'1-Input'!$B$12,0))-MIN(MAX(T247,0),MAX(0,P231-IF($A248&gt;='1-Input'!$C$12,'1-Input'!$B$12,0))))*(1/(1-'P-Parametri'!$B$6*P248))+MIN(MAX(0,U247-(MAX(0,P231-IF($A248&gt;='1-Input'!$C$12,'1-Input'!$B$12,0))-MIN(MAX(T247,0),MAX(0,P231-IF($A248&gt;='1-Input'!$C$12,'1-Input'!$B$12,0))))*(1/(1-'P-Parametri'!$B$6*P248))),MAX(0,2*P231-(T247-MIN(MAX(T247,0),MAX(0,P231-IF($A248&gt;='1-Input'!$C$12,'1-Input'!$B$12,0)))))*(1/(1-'P-Parametri'!$B$6*P248))))</f>
        <v>18656.864165241364</v>
      </c>
      <c r="R248" s="18">
        <f>IF($A248&gt;'1-Input'!$B$26,T247,(T247-MAX(0,P231-IF($A248&gt;='1-Input'!$C$12,'1-Input'!$B$12,0))+Q248*(1-'P-Parametri'!$B$6*P248))*(1+'1-Input'!$B$27))</f>
        <v>33195.925103139183</v>
      </c>
      <c r="S248" s="18">
        <f>IF($A248&gt;'1-Input'!$B$26,U247,(U247-Q248)*(1+$B$4))</f>
        <v>213502.75810046462</v>
      </c>
      <c r="T248" s="18">
        <f>IF($A248&gt;'1-Input'!$B$26,R248,R248-'P-Parametri'!$B$8*(S248+R248)+MIN(MAX(S248,0),'P-Parametri'!$B$8*(S248+R248)))</f>
        <v>33195.925103139183</v>
      </c>
      <c r="U248" s="18">
        <f>IF($A248&gt;'1-Input'!$B$26,S248,S248-MIN(MAX(S248,0),'P-Parametri'!$B$8*(S248+R248)))</f>
        <v>213009.36073405741</v>
      </c>
      <c r="V248" s="18">
        <f>IF($A248&gt;'1-Input'!$B$26,V247,V247-Q248*(1-P248))</f>
        <v>128235.7898515735</v>
      </c>
      <c r="W248" s="11">
        <f>IF($A248&gt;'1-Input'!$B$26,0,IF(AB247&lt;=0,0,MAX(0,(AB247-AC247)/AB247)))</f>
        <v>0.38735943613561885</v>
      </c>
      <c r="X248" s="18">
        <f>IF($A248&gt;'1-Input'!$B$26,0,(MAX(0,W231-IF($A248&gt;='1-Input'!$C$12,'1-Input'!$B$12,0))-MIN(MAX(AA247,0),MAX(0,W231-IF($A248&gt;='1-Input'!$C$12,'1-Input'!$B$12,0))))*(1/(1-'P-Parametri'!$B$6*W248))+MIN(MAX(0,AB247-(MAX(0,W231-IF($A248&gt;='1-Input'!$C$12,'1-Input'!$B$12,0))-MIN(MAX(AA247,0),MAX(0,W231-IF($A248&gt;='1-Input'!$C$12,'1-Input'!$B$12,0))))*(1/(1-'P-Parametri'!$B$6*W248))),MAX(0,2*W231-(AA247-MIN(MAX(AA247,0),MAX(0,W231-IF($A248&gt;='1-Input'!$C$12,'1-Input'!$B$12,0)))))*(1/(1-'P-Parametri'!$B$6*W248))))</f>
        <v>18655.357586719285</v>
      </c>
      <c r="Y248" s="18">
        <f>IF($A248&gt;'1-Input'!$B$26,AA247,(AA247-MAX(0,W231-IF($A248&gt;='1-Input'!$C$12,'1-Input'!$B$12,0))+X248*(1-'P-Parametri'!$B$6*W248))*(1+'1-Input'!$B$27))</f>
        <v>33193.241970369134</v>
      </c>
      <c r="Z248" s="18">
        <f>IF($A248&gt;'1-Input'!$B$26,AB247,(AB247-X248)*(1+$B$4))</f>
        <v>213531.92498092301</v>
      </c>
      <c r="AA248" s="18">
        <f>IF($A248&gt;'1-Input'!$B$26,Y248,Y248-'P-Parametri'!$B$8*(Z248+Y248)+MIN(MAX(Z248,0),'P-Parametri'!$B$8*(Z248+Y248)))</f>
        <v>33193.241970369134</v>
      </c>
      <c r="AB248" s="18">
        <f>IF($A248&gt;'1-Input'!$B$26,Z248,Z248-MIN(MAX(Z248,0),'P-Parametri'!$B$8*(Z248+Y248)))</f>
        <v>213038.47464702043</v>
      </c>
      <c r="AC248" s="18">
        <f>IF($A248&gt;'1-Input'!$B$26,AC247,AC247-X248*(1-W248))</f>
        <v>128253.25384643079</v>
      </c>
      <c r="AD248" s="11">
        <f>IF($A248&gt;'1-Input'!$B$26,0,IF(AI247&lt;=0,0,MAX(0,(AI247-AJ247)/AI247)))</f>
        <v>0.38735945242903391</v>
      </c>
      <c r="AE248" s="18">
        <f>IF($A248&gt;'1-Input'!$B$26,0,(MAX(0,AD231-IF($A248&gt;='1-Input'!$C$12,'1-Input'!$B$12,0))-MIN(MAX(AH247,0),MAX(0,AD231-IF($A248&gt;='1-Input'!$C$12,'1-Input'!$B$12,0))))*(1/(1-'P-Parametri'!$B$6*AD248))+MIN(MAX(0,AI247-(MAX(0,AD231-IF($A248&gt;='1-Input'!$C$12,'1-Input'!$B$12,0))-MIN(MAX(AH247,0),MAX(0,AD231-IF($A248&gt;='1-Input'!$C$12,'1-Input'!$B$12,0))))*(1/(1-'P-Parametri'!$B$6*AD248))),MAX(0,2*AD231-(AH247-MIN(MAX(AH247,0),MAX(0,AD231-IF($A248&gt;='1-Input'!$C$12,'1-Input'!$B$12,0)))))*(1/(1-'P-Parametri'!$B$6*AD248))))</f>
        <v>18655.263215854004</v>
      </c>
      <c r="AF248" s="18">
        <f>IF($A248&gt;'1-Input'!$B$26,AH247,(AH247-MAX(0,AD231-IF($A248&gt;='1-Input'!$C$12,'1-Input'!$B$12,0))+AE248*(1-'P-Parametri'!$B$6*AD248))*(1+'1-Input'!$B$27))</f>
        <v>33193.073901117961</v>
      </c>
      <c r="AG248" s="18">
        <f>IF($A248&gt;'1-Input'!$B$26,AI247,(AI247-AE248)*(1+$B$4))</f>
        <v>213533.75197063468</v>
      </c>
      <c r="AH248" s="18">
        <f>IF($A248&gt;'1-Input'!$B$26,AF248,AF248-'P-Parametri'!$B$8*(AG248+AF248)+MIN(MAX(AG248,0),'P-Parametri'!$B$8*(AG248+AF248)))</f>
        <v>33193.073901117961</v>
      </c>
      <c r="AI248" s="18">
        <f>IF($A248&gt;'1-Input'!$B$26,AG248,AG248-MIN(MAX(AG248,0),'P-Parametri'!$B$8*(AG248+AF248)))</f>
        <v>213040.29831889117</v>
      </c>
      <c r="AJ248" s="18">
        <f>IF($A248&gt;'1-Input'!$B$26,AJ247,AJ247-AE248*(1-AD248))</f>
        <v>128254.34777663971</v>
      </c>
      <c r="AK248" s="11">
        <f>IF($A248&gt;'1-Input'!$B$26,0,IF(AP247&lt;=0,0,MAX(0,(AP247-AQ247)/AP247)))</f>
        <v>0.38735945242902453</v>
      </c>
      <c r="AL248" s="18">
        <f>IF($A248&gt;'1-Input'!$B$26,0,(MAX(0,AK231-IF($A248&gt;='1-Input'!$C$12,'1-Input'!$B$12,0))-MIN(MAX(AO247,0),MAX(0,AK231-IF($A248&gt;='1-Input'!$C$12,'1-Input'!$B$12,0))))*(1/(1-'P-Parametri'!$B$6*AK248))+MIN(MAX(0,AP247-(MAX(0,AK231-IF($A248&gt;='1-Input'!$C$12,'1-Input'!$B$12,0))-MIN(MAX(AO247,0),MAX(0,AK231-IF($A248&gt;='1-Input'!$C$12,'1-Input'!$B$12,0))))*(1/(1-'P-Parametri'!$B$6*AK248))),MAX(0,2*AK231-(AO247-MIN(MAX(AO247,0),MAX(0,AK231-IF($A248&gt;='1-Input'!$C$12,'1-Input'!$B$12,0)))))*(1/(1-'P-Parametri'!$B$6*AK248))))</f>
        <v>18655.263215906372</v>
      </c>
      <c r="AM248" s="18">
        <f>IF($A248&gt;'1-Input'!$B$26,AO247,(AO247-MAX(0,AK231-IF($A248&gt;='1-Input'!$C$12,'1-Input'!$B$12,0))+AL248*(1-'P-Parametri'!$B$6*AK248))*(1+'1-Input'!$B$27))</f>
        <v>33193.073901211232</v>
      </c>
      <c r="AN248" s="18">
        <f>IF($A248&gt;'1-Input'!$B$26,AP247,(AP247-AL248)*(1+$B$4))</f>
        <v>213533.75196962096</v>
      </c>
      <c r="AO248" s="18">
        <f>IF($A248&gt;'1-Input'!$B$26,AM248,AM248-'P-Parametri'!$B$8*(AN248+AM248)+MIN(MAX(AN248,0),'P-Parametri'!$B$8*(AN248+AM248)))</f>
        <v>33193.073901211232</v>
      </c>
      <c r="AP248" s="18">
        <f>IF($A248&gt;'1-Input'!$B$26,AN248,AN248-MIN(MAX(AN248,0),'P-Parametri'!$B$8*(AN248+AM248)))</f>
        <v>213040.29831787929</v>
      </c>
      <c r="AQ248" s="18">
        <f>IF($A248&gt;'1-Input'!$B$26,AQ247,AQ247-AL248*(1-AK248))</f>
        <v>128254.3477760328</v>
      </c>
    </row>
    <row r="249" spans="1:43">
      <c r="A249" s="10">
        <f>16</f>
        <v>16</v>
      </c>
      <c r="B249" s="11">
        <f>IF($A249&gt;'1-Input'!$B$26,0,IF(G248&lt;=0,0,MAX(0,(G248-H248)/G248)))</f>
        <v>0.39797539722732855</v>
      </c>
      <c r="C249" s="18">
        <f>IF($A249&gt;'1-Input'!$B$26,0,(MAX(0,B231-IF($A249&gt;='1-Input'!$C$12,'1-Input'!$B$12,0))-MIN(MAX(F248,0),MAX(0,B231-IF($A249&gt;='1-Input'!$C$12,'1-Input'!$B$12,0))))*(1/(1-'P-Parametri'!$B$6*B249))+MIN(MAX(0,G248-(MAX(0,B231-IF($A249&gt;='1-Input'!$C$12,'1-Input'!$B$12,0))-MIN(MAX(F248,0),MAX(0,B231-IF($A249&gt;='1-Input'!$C$12,'1-Input'!$B$12,0))))*(1/(1-'P-Parametri'!$B$6*B249))),MAX(0,2*B231-(F248-MIN(MAX(F248,0),MAX(0,B231-IF($A249&gt;='1-Input'!$C$12,'1-Input'!$B$12,0)))))*(1/(1-'P-Parametri'!$B$6*B249))))</f>
        <v>18740.283581545926</v>
      </c>
      <c r="D249" s="18">
        <f>IF($A249&gt;'1-Input'!$B$26,F248,(F248-MAX(0,B231-IF($A249&gt;='1-Input'!$C$12,'1-Input'!$B$12,0))+C249*(1-'P-Parametri'!$B$6*B249))*(1+'1-Input'!$B$27))</f>
        <v>33242.0070309863</v>
      </c>
      <c r="E249" s="18">
        <f>IF($A249&gt;'1-Input'!$B$26,G248,(G248-C249)*(1+$B$4))</f>
        <v>197644.43669408816</v>
      </c>
      <c r="F249" s="18">
        <f>IF($A249&gt;'1-Input'!$B$26,D249,D249-'P-Parametri'!$B$8*(E249+D249)+MIN(MAX(E249,0),'P-Parametri'!$B$8*(E249+D249)))</f>
        <v>33242.0070309863</v>
      </c>
      <c r="G249" s="18">
        <f>IF($A249&gt;'1-Input'!$B$26,E249,E249-MIN(MAX(E249,0),'P-Parametri'!$B$8*(E249+D249)))</f>
        <v>197182.66380663801</v>
      </c>
      <c r="H249" s="18">
        <f>IF($A249&gt;'1-Input'!$B$26,H248,H248-C249*(1-B249))</f>
        <v>116653.73871665377</v>
      </c>
      <c r="I249" s="11">
        <f>IF($A249&gt;'1-Input'!$B$26,0,IF(N248&lt;=0,0,MAX(0,(N248-O248)/N248)))</f>
        <v>0.39621750038605763</v>
      </c>
      <c r="J249" s="18">
        <f>IF($A249&gt;'1-Input'!$B$26,0,(MAX(0,I231-IF($A249&gt;='1-Input'!$C$12,'1-Input'!$B$12,0))-MIN(MAX(M248,0),MAX(0,I231-IF($A249&gt;='1-Input'!$C$12,'1-Input'!$B$12,0))))*(1/(1-'P-Parametri'!$B$6*I249))+MIN(MAX(0,N248-(MAX(0,I231-IF($A249&gt;='1-Input'!$C$12,'1-Input'!$B$12,0))-MIN(MAX(M248,0),MAX(0,I231-IF($A249&gt;='1-Input'!$C$12,'1-Input'!$B$12,0))))*(1/(1-'P-Parametri'!$B$6*I249))),MAX(0,2*I231-(M248-MIN(MAX(M248,0),MAX(0,I231-IF($A249&gt;='1-Input'!$C$12,'1-Input'!$B$12,0)))))*(1/(1-'P-Parametri'!$B$6*I249))))</f>
        <v>24645.703380314986</v>
      </c>
      <c r="K249" s="18">
        <f>IF($A249&gt;'1-Input'!$B$26,M248,(M248-MAX(0,I231-IF($A249&gt;='1-Input'!$C$12,'1-Input'!$B$12,0))+J249*(1-'P-Parametri'!$B$6*I249))*(1+'1-Input'!$B$27))</f>
        <v>43739.482935508291</v>
      </c>
      <c r="L249" s="18">
        <f>IF($A249&gt;'1-Input'!$B$26,N248,(N248-J249)*(1+$B$4))</f>
        <v>75461.030565024223</v>
      </c>
      <c r="M249" s="18">
        <f>IF($A249&gt;'1-Input'!$B$26,K249,K249-'P-Parametri'!$B$8*(L249+K249)+MIN(MAX(L249,0),'P-Parametri'!$B$8*(L249+K249)))</f>
        <v>43739.482935508291</v>
      </c>
      <c r="N249" s="18">
        <f>IF($A249&gt;'1-Input'!$B$26,L249,L249-MIN(MAX(L249,0),'P-Parametri'!$B$8*(L249+K249)))</f>
        <v>75222.62953802316</v>
      </c>
      <c r="O249" s="18">
        <f>IF($A249&gt;'1-Input'!$B$26,O248,O248-J249*(1-I249))</f>
        <v>44668.676135288653</v>
      </c>
      <c r="P249" s="11">
        <f>IF($A249&gt;'1-Input'!$B$26,0,IF(U248&lt;=0,0,MAX(0,(U248-V248)/U248)))</f>
        <v>0.3979804952718668</v>
      </c>
      <c r="Q249" s="18">
        <f>IF($A249&gt;'1-Input'!$B$26,0,(MAX(0,P231-IF($A249&gt;='1-Input'!$C$12,'1-Input'!$B$12,0))-MIN(MAX(T248,0),MAX(0,P231-IF($A249&gt;='1-Input'!$C$12,'1-Input'!$B$12,0))))*(1/(1-'P-Parametri'!$B$6*P249))+MIN(MAX(0,U248-(MAX(0,P231-IF($A249&gt;='1-Input'!$C$12,'1-Input'!$B$12,0))-MIN(MAX(T248,0),MAX(0,P231-IF($A249&gt;='1-Input'!$C$12,'1-Input'!$B$12,0))))*(1/(1-'P-Parametri'!$B$6*P249))),MAX(0,2*P231-(T248-MIN(MAX(T248,0),MAX(0,P231-IF($A249&gt;='1-Input'!$C$12,'1-Input'!$B$12,0)))))*(1/(1-'P-Parametri'!$B$6*P249))))</f>
        <v>18714.332421827366</v>
      </c>
      <c r="R249" s="18">
        <f>IF($A249&gt;'1-Input'!$B$26,T248,(T248-MAX(0,P231-IF($A249&gt;='1-Input'!$C$12,'1-Input'!$B$12,0))+Q249*(1-'P-Parametri'!$B$6*P249))*(1+'1-Input'!$B$27))</f>
        <v>33195.925103139183</v>
      </c>
      <c r="S249" s="18">
        <f>IF($A249&gt;'1-Input'!$B$26,U248,(U248-Q249)*(1+$B$4))</f>
        <v>198180.92887847466</v>
      </c>
      <c r="T249" s="18">
        <f>IF($A249&gt;'1-Input'!$B$26,R249,R249-'P-Parametri'!$B$8*(S249+R249)+MIN(MAX(S249,0),'P-Parametri'!$B$8*(S249+R249)))</f>
        <v>33195.925103139183</v>
      </c>
      <c r="U249" s="18">
        <f>IF($A249&gt;'1-Input'!$B$26,S249,S249-MIN(MAX(S249,0),'P-Parametri'!$B$8*(S249+R249)))</f>
        <v>197718.17517051144</v>
      </c>
      <c r="V249" s="18">
        <f>IF($A249&gt;'1-Input'!$B$26,V248,V248-Q249*(1-P249))</f>
        <v>116969.39671566735</v>
      </c>
      <c r="W249" s="11">
        <f>IF($A249&gt;'1-Input'!$B$26,0,IF(AB248&lt;=0,0,MAX(0,(AB248-AC248)/AB248)))</f>
        <v>0.39798079169064993</v>
      </c>
      <c r="X249" s="18">
        <f>IF($A249&gt;'1-Input'!$B$26,0,(MAX(0,W231-IF($A249&gt;='1-Input'!$C$12,'1-Input'!$B$12,0))-MIN(MAX(AA248,0),MAX(0,W231-IF($A249&gt;='1-Input'!$C$12,'1-Input'!$B$12,0))))*(1/(1-'P-Parametri'!$B$6*W249))+MIN(MAX(0,AB248-(MAX(0,W231-IF($A249&gt;='1-Input'!$C$12,'1-Input'!$B$12,0))-MIN(MAX(AA248,0),MAX(0,W231-IF($A249&gt;='1-Input'!$C$12,'1-Input'!$B$12,0))))*(1/(1-'P-Parametri'!$B$6*W249))),MAX(0,2*W231-(AA248-MIN(MAX(AA248,0),MAX(0,W231-IF($A249&gt;='1-Input'!$C$12,'1-Input'!$B$12,0)))))*(1/(1-'P-Parametri'!$B$6*W249))))</f>
        <v>18712.821403878446</v>
      </c>
      <c r="Y249" s="18">
        <f>IF($A249&gt;'1-Input'!$B$26,AA248,(AA248-MAX(0,W231-IF($A249&gt;='1-Input'!$C$12,'1-Input'!$B$12,0))+X249*(1-'P-Parametri'!$B$6*W249))*(1+'1-Input'!$B$27))</f>
        <v>33193.241970369134</v>
      </c>
      <c r="Z249" s="18">
        <f>IF($A249&gt;'1-Input'!$B$26,AB248,(AB248-X249)*(1+$B$4))</f>
        <v>198212.16630800482</v>
      </c>
      <c r="AA249" s="18">
        <f>IF($A249&gt;'1-Input'!$B$26,Y249,Y249-'P-Parametri'!$B$8*(Z249+Y249)+MIN(MAX(Z249,0),'P-Parametri'!$B$8*(Z249+Y249)))</f>
        <v>33193.241970369134</v>
      </c>
      <c r="AB249" s="18">
        <f>IF($A249&gt;'1-Input'!$B$26,Z249,Z249-MIN(MAX(Z249,0),'P-Parametri'!$B$8*(Z249+Y249)))</f>
        <v>197749.35549144808</v>
      </c>
      <c r="AC249" s="18">
        <f>IF($A249&gt;'1-Input'!$B$26,AC248,AC248-X249*(1-W249))</f>
        <v>116987.77591963363</v>
      </c>
      <c r="AD249" s="11">
        <f>IF($A249&gt;'1-Input'!$B$26,0,IF(AI248&lt;=0,0,MAX(0,(AI248-AJ248)/AI248)))</f>
        <v>0.39798081025655951</v>
      </c>
      <c r="AE249" s="18">
        <f>IF($A249&gt;'1-Input'!$B$26,0,(MAX(0,AD231-IF($A249&gt;='1-Input'!$C$12,'1-Input'!$B$12,0))-MIN(MAX(AH248,0),MAX(0,AD231-IF($A249&gt;='1-Input'!$C$12,'1-Input'!$B$12,0))))*(1/(1-'P-Parametri'!$B$6*AD249))+MIN(MAX(0,AI248-(MAX(0,AD231-IF($A249&gt;='1-Input'!$C$12,'1-Input'!$B$12,0))-MIN(MAX(AH248,0),MAX(0,AD231-IF($A249&gt;='1-Input'!$C$12,'1-Input'!$B$12,0))))*(1/(1-'P-Parametri'!$B$6*AD249))),MAX(0,2*AD231-(AH248-MIN(MAX(AH248,0),MAX(0,AD231-IF($A249&gt;='1-Input'!$C$12,'1-Input'!$B$12,0)))))*(1/(1-'P-Parametri'!$B$6*AD249))))</f>
        <v>18712.726754928015</v>
      </c>
      <c r="AF249" s="18">
        <f>IF($A249&gt;'1-Input'!$B$26,AH248,(AH248-MAX(0,AD231-IF($A249&gt;='1-Input'!$C$12,'1-Input'!$B$12,0))+AE249*(1-'P-Parametri'!$B$6*AD249))*(1+'1-Input'!$B$27))</f>
        <v>33193.073901117961</v>
      </c>
      <c r="AG249" s="18">
        <f>IF($A249&gt;'1-Input'!$B$26,AI248,(AI248-AE249)*(1+$B$4))</f>
        <v>198214.12299524245</v>
      </c>
      <c r="AH249" s="18">
        <f>IF($A249&gt;'1-Input'!$B$26,AF249,AF249-'P-Parametri'!$B$8*(AG249+AF249)+MIN(MAX(AG249,0),'P-Parametri'!$B$8*(AG249+AF249)))</f>
        <v>33193.073901117961</v>
      </c>
      <c r="AI249" s="18">
        <f>IF($A249&gt;'1-Input'!$B$26,AG249,AG249-MIN(MAX(AG249,0),'P-Parametri'!$B$8*(AG249+AF249)))</f>
        <v>197751.30860144974</v>
      </c>
      <c r="AJ249" s="18">
        <f>IF($A249&gt;'1-Input'!$B$26,AJ248,AJ248-AE249*(1-AD249))</f>
        <v>116988.92717774755</v>
      </c>
      <c r="AK249" s="11">
        <f>IF($A249&gt;'1-Input'!$B$26,0,IF(AP248&lt;=0,0,MAX(0,(AP248-AQ248)/AP248)))</f>
        <v>0.39798081025654891</v>
      </c>
      <c r="AL249" s="18">
        <f>IF($A249&gt;'1-Input'!$B$26,0,(MAX(0,AK231-IF($A249&gt;='1-Input'!$C$12,'1-Input'!$B$12,0))-MIN(MAX(AO248,0),MAX(0,AK231-IF($A249&gt;='1-Input'!$C$12,'1-Input'!$B$12,0))))*(1/(1-'P-Parametri'!$B$6*AK249))+MIN(MAX(0,AP248-(MAX(0,AK231-IF($A249&gt;='1-Input'!$C$12,'1-Input'!$B$12,0))-MIN(MAX(AO248,0),MAX(0,AK231-IF($A249&gt;='1-Input'!$C$12,'1-Input'!$B$12,0))))*(1/(1-'P-Parametri'!$B$6*AK249))),MAX(0,2*AK231-(AO248-MIN(MAX(AO248,0),MAX(0,AK231-IF($A249&gt;='1-Input'!$C$12,'1-Input'!$B$12,0)))))*(1/(1-'P-Parametri'!$B$6*AK249))))</f>
        <v>18712.726754980544</v>
      </c>
      <c r="AM249" s="18">
        <f>IF($A249&gt;'1-Input'!$B$26,AO248,(AO248-MAX(0,AK231-IF($A249&gt;='1-Input'!$C$12,'1-Input'!$B$12,0))+AL249*(1-'P-Parametri'!$B$6*AK249))*(1+'1-Input'!$B$27))</f>
        <v>33193.073901211232</v>
      </c>
      <c r="AN249" s="18">
        <f>IF($A249&gt;'1-Input'!$B$26,AP248,(AP248-AL249)*(1+$B$4))</f>
        <v>198214.12299415673</v>
      </c>
      <c r="AO249" s="18">
        <f>IF($A249&gt;'1-Input'!$B$26,AM249,AM249-'P-Parametri'!$B$8*(AN249+AM249)+MIN(MAX(AN249,0),'P-Parametri'!$B$8*(AN249+AM249)))</f>
        <v>33193.073901211232</v>
      </c>
      <c r="AP249" s="18">
        <f>IF($A249&gt;'1-Input'!$B$26,AN249,AN249-MIN(MAX(AN249,0),'P-Parametri'!$B$8*(AN249+AM249)))</f>
        <v>197751.308600366</v>
      </c>
      <c r="AQ249" s="18">
        <f>IF($A249&gt;'1-Input'!$B$26,AQ248,AQ248-AL249*(1-AK249))</f>
        <v>116988.92717710881</v>
      </c>
    </row>
    <row r="250" spans="1:43">
      <c r="A250" s="10">
        <f>17</f>
        <v>17</v>
      </c>
      <c r="B250" s="11">
        <f>IF($A250&gt;'1-Input'!$B$26,0,IF(G249&lt;=0,0,MAX(0,(G249-H249)/G249)))</f>
        <v>0.40839759203655357</v>
      </c>
      <c r="C250" s="18">
        <f>IF($A250&gt;'1-Input'!$B$26,0,(MAX(0,B231-IF($A250&gt;='1-Input'!$C$12,'1-Input'!$B$12,0))-MIN(MAX(F249,0),MAX(0,B231-IF($A250&gt;='1-Input'!$C$12,'1-Input'!$B$12,0))))*(1/(1-'P-Parametri'!$B$6*B250))+MIN(MAX(0,G249-(MAX(0,B231-IF($A250&gt;='1-Input'!$C$12,'1-Input'!$B$12,0))-MIN(MAX(F249,0),MAX(0,B231-IF($A250&gt;='1-Input'!$C$12,'1-Input'!$B$12,0))))*(1/(1-'P-Parametri'!$B$6*B250))),MAX(0,2*B231-(F249-MIN(MAX(F249,0),MAX(0,B231-IF($A250&gt;='1-Input'!$C$12,'1-Input'!$B$12,0)))))*(1/(1-'P-Parametri'!$B$6*B250))))</f>
        <v>18797.098222209606</v>
      </c>
      <c r="D250" s="18">
        <f>IF($A250&gt;'1-Input'!$B$26,F249,(F249-MAX(0,B231-IF($A250&gt;='1-Input'!$C$12,'1-Input'!$B$12,0))+C250*(1-'P-Parametri'!$B$6*B250))*(1+'1-Input'!$B$27))</f>
        <v>33242.0070309863</v>
      </c>
      <c r="E250" s="18">
        <f>IF($A250&gt;'1-Input'!$B$26,G249,(G249-C250)*(1+$B$4))</f>
        <v>181953.27689611696</v>
      </c>
      <c r="F250" s="18">
        <f>IF($A250&gt;'1-Input'!$B$26,D250,D250-'P-Parametri'!$B$8*(E250+D250)+MIN(MAX(E250,0),'P-Parametri'!$B$8*(E250+D250)))</f>
        <v>33242.0070309863</v>
      </c>
      <c r="G250" s="18">
        <f>IF($A250&gt;'1-Input'!$B$26,E250,E250-MIN(MAX(E250,0),'P-Parametri'!$B$8*(E250+D250)))</f>
        <v>181522.88632826277</v>
      </c>
      <c r="H250" s="18">
        <f>IF($A250&gt;'1-Input'!$B$26,H249,H249-C250*(1-B250))</f>
        <v>105533.33014566914</v>
      </c>
      <c r="I250" s="11">
        <f>IF($A250&gt;'1-Input'!$B$26,0,IF(N249&lt;=0,0,MAX(0,(N249-O249)/N249)))</f>
        <v>0.4061803421441183</v>
      </c>
      <c r="J250" s="18">
        <f>IF($A250&gt;'1-Input'!$B$26,0,(MAX(0,I231-IF($A250&gt;='1-Input'!$C$12,'1-Input'!$B$12,0))-MIN(MAX(M249,0),MAX(0,I231-IF($A250&gt;='1-Input'!$C$12,'1-Input'!$B$12,0))))*(1/(1-'P-Parametri'!$B$6*I250))+MIN(MAX(0,N249-(MAX(0,I231-IF($A250&gt;='1-Input'!$C$12,'1-Input'!$B$12,0))-MIN(MAX(M249,0),MAX(0,I231-IF($A250&gt;='1-Input'!$C$12,'1-Input'!$B$12,0))))*(1/(1-'P-Parametri'!$B$6*I250))),MAX(0,2*I231-(M249-MIN(MAX(M249,0),MAX(0,I231-IF($A250&gt;='1-Input'!$C$12,'1-Input'!$B$12,0)))))*(1/(1-'P-Parametri'!$B$6*I250))))</f>
        <v>24717.082198351796</v>
      </c>
      <c r="K250" s="18">
        <f>IF($A250&gt;'1-Input'!$B$26,M249,(M249-MAX(0,I231-IF($A250&gt;='1-Input'!$C$12,'1-Input'!$B$12,0))+J250*(1-'P-Parametri'!$B$6*I250))*(1+'1-Input'!$B$27))</f>
        <v>43739.482935508291</v>
      </c>
      <c r="L250" s="18">
        <f>IF($A250&gt;'1-Input'!$B$26,N249,(N249-J250)*(1+$B$4))</f>
        <v>51515.658286464793</v>
      </c>
      <c r="M250" s="18">
        <f>IF($A250&gt;'1-Input'!$B$26,K250,K250-'P-Parametri'!$B$8*(L250+K250)+MIN(MAX(L250,0),'P-Parametri'!$B$8*(L250+K250)))</f>
        <v>43739.482935508291</v>
      </c>
      <c r="N250" s="18">
        <f>IF($A250&gt;'1-Input'!$B$26,L250,L250-MIN(MAX(L250,0),'P-Parametri'!$B$8*(L250+K250)))</f>
        <v>51325.148004020848</v>
      </c>
      <c r="O250" s="18">
        <f>IF($A250&gt;'1-Input'!$B$26,O249,O249-J250*(1-I250))</f>
        <v>29991.186841067687</v>
      </c>
      <c r="P250" s="11">
        <f>IF($A250&gt;'1-Input'!$B$26,0,IF(U249&lt;=0,0,MAX(0,(U249-V249)/U249)))</f>
        <v>0.40840341756748788</v>
      </c>
      <c r="Q250" s="18">
        <f>IF($A250&gt;'1-Input'!$B$26,0,(MAX(0,P231-IF($A250&gt;='1-Input'!$C$12,'1-Input'!$B$12,0))-MIN(MAX(T249,0),MAX(0,P231-IF($A250&gt;='1-Input'!$C$12,'1-Input'!$B$12,0))))*(1/(1-'P-Parametri'!$B$6*P250))+MIN(MAX(0,U249-(MAX(0,P231-IF($A250&gt;='1-Input'!$C$12,'1-Input'!$B$12,0))-MIN(MAX(T249,0),MAX(0,P231-IF($A250&gt;='1-Input'!$C$12,'1-Input'!$B$12,0))))*(1/(1-'P-Parametri'!$B$6*P250))),MAX(0,2*P231-(T249-MIN(MAX(T249,0),MAX(0,P231-IF($A250&gt;='1-Input'!$C$12,'1-Input'!$B$12,0)))))*(1/(1-'P-Parametri'!$B$6*P250))))</f>
        <v>18771.072443157926</v>
      </c>
      <c r="R250" s="18">
        <f>IF($A250&gt;'1-Input'!$B$26,T249,(T249-MAX(0,P231-IF($A250&gt;='1-Input'!$C$12,'1-Input'!$B$12,0))+Q250*(1-'P-Parametri'!$B$6*P250))*(1+'1-Input'!$B$27))</f>
        <v>33195.925103139183</v>
      </c>
      <c r="S250" s="18">
        <f>IF($A250&gt;'1-Input'!$B$26,U249,(U249-Q250)*(1+$B$4))</f>
        <v>182526.04478190059</v>
      </c>
      <c r="T250" s="18">
        <f>IF($A250&gt;'1-Input'!$B$26,R250,R250-'P-Parametri'!$B$8*(S250+R250)+MIN(MAX(S250,0),'P-Parametri'!$B$8*(S250+R250)))</f>
        <v>33195.925103139183</v>
      </c>
      <c r="U250" s="18">
        <f>IF($A250&gt;'1-Input'!$B$26,S250,S250-MIN(MAX(S250,0),'P-Parametri'!$B$8*(S250+R250)))</f>
        <v>182094.60084213052</v>
      </c>
      <c r="V250" s="18">
        <f>IF($A250&gt;'1-Input'!$B$26,V249,V249-Q250*(1-P250))</f>
        <v>105864.49440970202</v>
      </c>
      <c r="W250" s="11">
        <f>IF($A250&gt;'1-Input'!$B$26,0,IF(AB249&lt;=0,0,MAX(0,(AB249-AC249)/AB249)))</f>
        <v>0.40840375621505925</v>
      </c>
      <c r="X250" s="18">
        <f>IF($A250&gt;'1-Input'!$B$26,0,(MAX(0,W231-IF($A250&gt;='1-Input'!$C$12,'1-Input'!$B$12,0))-MIN(MAX(AA249,0),MAX(0,W231-IF($A250&gt;='1-Input'!$C$12,'1-Input'!$B$12,0))))*(1/(1-'P-Parametri'!$B$6*W250))+MIN(MAX(0,AB249-(MAX(0,W231-IF($A250&gt;='1-Input'!$C$12,'1-Input'!$B$12,0))-MIN(MAX(AA249,0),MAX(0,W231-IF($A250&gt;='1-Input'!$C$12,'1-Input'!$B$12,0))))*(1/(1-'P-Parametri'!$B$6*W250))),MAX(0,2*W231-(AA249-MIN(MAX(AA249,0),MAX(0,W231-IF($A250&gt;='1-Input'!$C$12,'1-Input'!$B$12,0)))))*(1/(1-'P-Parametri'!$B$6*W250))))</f>
        <v>18769.557079405025</v>
      </c>
      <c r="Y250" s="18">
        <f>IF($A250&gt;'1-Input'!$B$26,AA249,(AA249-MAX(0,W231-IF($A250&gt;='1-Input'!$C$12,'1-Input'!$B$12,0))+X250*(1-'P-Parametri'!$B$6*W250))*(1+'1-Input'!$B$27))</f>
        <v>33193.241970369134</v>
      </c>
      <c r="Z250" s="18">
        <f>IF($A250&gt;'1-Input'!$B$26,AB249,(AB249-X250)*(1+$B$4))</f>
        <v>182559.39438028392</v>
      </c>
      <c r="AA250" s="18">
        <f>IF($A250&gt;'1-Input'!$B$26,Y250,Y250-'P-Parametri'!$B$8*(Z250+Y250)+MIN(MAX(Z250,0),'P-Parametri'!$B$8*(Z250+Y250)))</f>
        <v>33193.241970369134</v>
      </c>
      <c r="AB250" s="18">
        <f>IF($A250&gt;'1-Input'!$B$26,Z250,Z250-MIN(MAX(Z250,0),'P-Parametri'!$B$8*(Z250+Y250)))</f>
        <v>182127.88910758263</v>
      </c>
      <c r="AC250" s="18">
        <f>IF($A250&gt;'1-Input'!$B$26,AC249,AC249-X250*(1-W250))</f>
        <v>105883.77645395057</v>
      </c>
      <c r="AD250" s="11">
        <f>IF($A250&gt;'1-Input'!$B$26,0,IF(AI249&lt;=0,0,MAX(0,(AI249-AJ249)/AI249)))</f>
        <v>0.40840377742567369</v>
      </c>
      <c r="AE250" s="18">
        <f>IF($A250&gt;'1-Input'!$B$26,0,(MAX(0,AD231-IF($A250&gt;='1-Input'!$C$12,'1-Input'!$B$12,0))-MIN(MAX(AH249,0),MAX(0,AD231-IF($A250&gt;='1-Input'!$C$12,'1-Input'!$B$12,0))))*(1/(1-'P-Parametri'!$B$6*AD250))+MIN(MAX(0,AI249-(MAX(0,AD231-IF($A250&gt;='1-Input'!$C$12,'1-Input'!$B$12,0))-MIN(MAX(AH249,0),MAX(0,AD231-IF($A250&gt;='1-Input'!$C$12,'1-Input'!$B$12,0))))*(1/(1-'P-Parametri'!$B$6*AD250))),MAX(0,2*AD231-(AH249-MIN(MAX(AH249,0),MAX(0,AD231-IF($A250&gt;='1-Input'!$C$12,'1-Input'!$B$12,0)))))*(1/(1-'P-Parametri'!$B$6*AD250))))</f>
        <v>18769.462158233055</v>
      </c>
      <c r="AF250" s="18">
        <f>IF($A250&gt;'1-Input'!$B$26,AH249,(AH249-MAX(0,AD231-IF($A250&gt;='1-Input'!$C$12,'1-Input'!$B$12,0))+AE250*(1-'P-Parametri'!$B$6*AD250))*(1+'1-Input'!$B$27))</f>
        <v>33193.073901117961</v>
      </c>
      <c r="AG250" s="18">
        <f>IF($A250&gt;'1-Input'!$B$26,AI249,(AI249-AE250)*(1+$B$4))</f>
        <v>182561.48337208104</v>
      </c>
      <c r="AH250" s="18">
        <f>IF($A250&gt;'1-Input'!$B$26,AF250,AF250-'P-Parametri'!$B$8*(AG250+AF250)+MIN(MAX(AG250,0),'P-Parametri'!$B$8*(AG250+AF250)))</f>
        <v>33193.073901117961</v>
      </c>
      <c r="AI250" s="18">
        <f>IF($A250&gt;'1-Input'!$B$26,AG250,AG250-MIN(MAX(AG250,0),'P-Parametri'!$B$8*(AG250+AF250)))</f>
        <v>182129.97425753463</v>
      </c>
      <c r="AJ250" s="18">
        <f>IF($A250&gt;'1-Input'!$B$26,AJ249,AJ249-AE250*(1-AD250))</f>
        <v>105884.98426518511</v>
      </c>
      <c r="AK250" s="11">
        <f>IF($A250&gt;'1-Input'!$B$26,0,IF(AP249&lt;=0,0,MAX(0,(AP249-AQ249)/AP249)))</f>
        <v>0.40840377742566158</v>
      </c>
      <c r="AL250" s="18">
        <f>IF($A250&gt;'1-Input'!$B$26,0,(MAX(0,AK231-IF($A250&gt;='1-Input'!$C$12,'1-Input'!$B$12,0))-MIN(MAX(AO249,0),MAX(0,AK231-IF($A250&gt;='1-Input'!$C$12,'1-Input'!$B$12,0))))*(1/(1-'P-Parametri'!$B$6*AK250))+MIN(MAX(0,AP249-(MAX(0,AK231-IF($A250&gt;='1-Input'!$C$12,'1-Input'!$B$12,0))-MIN(MAX(AO249,0),MAX(0,AK231-IF($A250&gt;='1-Input'!$C$12,'1-Input'!$B$12,0))))*(1/(1-'P-Parametri'!$B$6*AK250))),MAX(0,2*AK231-(AO249-MIN(MAX(AO249,0),MAX(0,AK231-IF($A250&gt;='1-Input'!$C$12,'1-Input'!$B$12,0)))))*(1/(1-'P-Parametri'!$B$6*AK250))))</f>
        <v>18769.462158285733</v>
      </c>
      <c r="AM250" s="18">
        <f>IF($A250&gt;'1-Input'!$B$26,AO249,(AO249-MAX(0,AK231-IF($A250&gt;='1-Input'!$C$12,'1-Input'!$B$12,0))+AL250*(1-'P-Parametri'!$B$6*AK250))*(1+'1-Input'!$B$27))</f>
        <v>33193.073901211232</v>
      </c>
      <c r="AN250" s="18">
        <f>IF($A250&gt;'1-Input'!$B$26,AP249,(AP249-AL250)*(1+$B$4))</f>
        <v>182561.48337092189</v>
      </c>
      <c r="AO250" s="18">
        <f>IF($A250&gt;'1-Input'!$B$26,AM250,AM250-'P-Parametri'!$B$8*(AN250+AM250)+MIN(MAX(AN250,0),'P-Parametri'!$B$8*(AN250+AM250)))</f>
        <v>33193.073901211232</v>
      </c>
      <c r="AP250" s="18">
        <f>IF($A250&gt;'1-Input'!$B$26,AN250,AN250-MIN(MAX(AN250,0),'P-Parametri'!$B$8*(AN250+AM250)))</f>
        <v>182129.97425637764</v>
      </c>
      <c r="AQ250" s="18">
        <f>IF($A250&gt;'1-Input'!$B$26,AQ249,AQ249-AL250*(1-AK250))</f>
        <v>105884.98426451498</v>
      </c>
    </row>
    <row r="251" spans="1:43">
      <c r="A251" s="10">
        <f>18</f>
        <v>18</v>
      </c>
      <c r="B251" s="11">
        <f>IF($A251&gt;'1-Input'!$B$26,0,IF(G250&lt;=0,0,MAX(0,(G250-H250)/G250)))</f>
        <v>0.41862245427926625</v>
      </c>
      <c r="C251" s="18">
        <f>IF($A251&gt;'1-Input'!$B$26,0,(MAX(0,B231-IF($A251&gt;='1-Input'!$C$12,'1-Input'!$B$12,0))-MIN(MAX(F250,0),MAX(0,B231-IF($A251&gt;='1-Input'!$C$12,'1-Input'!$B$12,0))))*(1/(1-'P-Parametri'!$B$6*B251))+MIN(MAX(0,G250-(MAX(0,B231-IF($A251&gt;='1-Input'!$C$12,'1-Input'!$B$12,0))-MIN(MAX(F250,0),MAX(0,B231-IF($A251&gt;='1-Input'!$C$12,'1-Input'!$B$12,0))))*(1/(1-'P-Parametri'!$B$6*B251))),MAX(0,2*B231-(F250-MIN(MAX(F250,0),MAX(0,B231-IF($A251&gt;='1-Input'!$C$12,'1-Input'!$B$12,0)))))*(1/(1-'P-Parametri'!$B$6*B251))))</f>
        <v>18853.172906263691</v>
      </c>
      <c r="D251" s="18">
        <f>IF($A251&gt;'1-Input'!$B$26,F250,(F250-MAX(0,B231-IF($A251&gt;='1-Input'!$C$12,'1-Input'!$B$12,0))+C251*(1-'P-Parametri'!$B$6*B251))*(1+'1-Input'!$B$27))</f>
        <v>33242.0070309863</v>
      </c>
      <c r="E251" s="18">
        <f>IF($A251&gt;'1-Input'!$B$26,G250,(G250-C251)*(1+$B$4))</f>
        <v>165923.10769043906</v>
      </c>
      <c r="F251" s="18">
        <f>IF($A251&gt;'1-Input'!$B$26,D251,D251-'P-Parametri'!$B$8*(E251+D251)+MIN(MAX(E251,0),'P-Parametri'!$B$8*(E251+D251)))</f>
        <v>33242.0070309863</v>
      </c>
      <c r="G251" s="18">
        <f>IF($A251&gt;'1-Input'!$B$26,E251,E251-MIN(MAX(E251,0),'P-Parametri'!$B$8*(E251+D251)))</f>
        <v>165524.77746099621</v>
      </c>
      <c r="H251" s="18">
        <f>IF($A251&gt;'1-Input'!$B$26,H250,H250-C251*(1-B251))</f>
        <v>94572.518752376927</v>
      </c>
      <c r="I251" s="11">
        <f>IF($A251&gt;'1-Input'!$B$26,0,IF(N250&lt;=0,0,MAX(0,(N250-O250)/N250)))</f>
        <v>0.41566292534181964</v>
      </c>
      <c r="J251" s="18">
        <f>IF($A251&gt;'1-Input'!$B$26,0,(MAX(0,I231-IF($A251&gt;='1-Input'!$C$12,'1-Input'!$B$12,0))-MIN(MAX(M250,0),MAX(0,I231-IF($A251&gt;='1-Input'!$C$12,'1-Input'!$B$12,0))))*(1/(1-'P-Parametri'!$B$6*I251))+MIN(MAX(0,N250-(MAX(0,I231-IF($A251&gt;='1-Input'!$C$12,'1-Input'!$B$12,0))-MIN(MAX(M250,0),MAX(0,I231-IF($A251&gt;='1-Input'!$C$12,'1-Input'!$B$12,0))))*(1/(1-'P-Parametri'!$B$6*I251))),MAX(0,2*I231-(M250-MIN(MAX(M250,0),MAX(0,I231-IF($A251&gt;='1-Input'!$C$12,'1-Input'!$B$12,0)))))*(1/(1-'P-Parametri'!$B$6*I251))))</f>
        <v>24785.40530246741</v>
      </c>
      <c r="K251" s="18">
        <f>IF($A251&gt;'1-Input'!$B$26,M250,(M250-MAX(0,I231-IF($A251&gt;='1-Input'!$C$12,'1-Input'!$B$12,0))+J251*(1-'P-Parametri'!$B$6*I251))*(1+'1-Input'!$B$27))</f>
        <v>43739.482935508291</v>
      </c>
      <c r="L251" s="18">
        <f>IF($A251&gt;'1-Input'!$B$26,N250,(N250-J251)*(1+$B$4))</f>
        <v>27070.537555584506</v>
      </c>
      <c r="M251" s="18">
        <f>IF($A251&gt;'1-Input'!$B$26,K251,K251-'P-Parametri'!$B$8*(L251+K251)+MIN(MAX(L251,0),'P-Parametri'!$B$8*(L251+K251)))</f>
        <v>43739.482935508291</v>
      </c>
      <c r="N251" s="18">
        <f>IF($A251&gt;'1-Input'!$B$26,L251,L251-MIN(MAX(L251,0),'P-Parametri'!$B$8*(L251+K251)))</f>
        <v>26928.917514602319</v>
      </c>
      <c r="O251" s="18">
        <f>IF($A251&gt;'1-Input'!$B$26,O250,O250-J251*(1-I251))</f>
        <v>15508.155612406526</v>
      </c>
      <c r="P251" s="11">
        <f>IF($A251&gt;'1-Input'!$B$26,0,IF(U250&lt;=0,0,MAX(0,(U250-V250)/U250)))</f>
        <v>0.41862914155547787</v>
      </c>
      <c r="Q251" s="18">
        <f>IF($A251&gt;'1-Input'!$B$26,0,(MAX(0,P231-IF($A251&gt;='1-Input'!$C$12,'1-Input'!$B$12,0))-MIN(MAX(T250,0),MAX(0,P231-IF($A251&gt;='1-Input'!$C$12,'1-Input'!$B$12,0))))*(1/(1-'P-Parametri'!$B$6*P251))+MIN(MAX(0,U250-(MAX(0,P231-IF($A251&gt;='1-Input'!$C$12,'1-Input'!$B$12,0))-MIN(MAX(T250,0),MAX(0,P231-IF($A251&gt;='1-Input'!$C$12,'1-Input'!$B$12,0))))*(1/(1-'P-Parametri'!$B$6*P251))),MAX(0,2*P231-(T250-MIN(MAX(T250,0),MAX(0,P231-IF($A251&gt;='1-Input'!$C$12,'1-Input'!$B$12,0)))))*(1/(1-'P-Parametri'!$B$6*P251))))</f>
        <v>18827.074316902203</v>
      </c>
      <c r="R251" s="18">
        <f>IF($A251&gt;'1-Input'!$B$26,T250,(T250-MAX(0,P231-IF($A251&gt;='1-Input'!$C$12,'1-Input'!$B$12,0))+Q251*(1-'P-Parametri'!$B$6*P251))*(1+'1-Input'!$B$27))</f>
        <v>33195.925103139183</v>
      </c>
      <c r="S251" s="18">
        <f>IF($A251&gt;'1-Input'!$B$26,U250,(U250-Q251)*(1+$B$4))</f>
        <v>166532.87705573288</v>
      </c>
      <c r="T251" s="18">
        <f>IF($A251&gt;'1-Input'!$B$26,R251,R251-'P-Parametri'!$B$8*(S251+R251)+MIN(MAX(S251,0),'P-Parametri'!$B$8*(S251+R251)))</f>
        <v>33195.925103139183</v>
      </c>
      <c r="U251" s="18">
        <f>IF($A251&gt;'1-Input'!$B$26,S251,S251-MIN(MAX(S251,0),'P-Parametri'!$B$8*(S251+R251)))</f>
        <v>166133.41945141513</v>
      </c>
      <c r="V251" s="18">
        <f>IF($A251&gt;'1-Input'!$B$26,V250,V250-Q251*(1-P251))</f>
        <v>94918.982052085776</v>
      </c>
      <c r="W251" s="11">
        <f>IF($A251&gt;'1-Input'!$B$26,0,IF(AB250&lt;=0,0,MAX(0,(AB250-AC250)/AB250)))</f>
        <v>0.4186295302011368</v>
      </c>
      <c r="X251" s="18">
        <f>IF($A251&gt;'1-Input'!$B$26,0,(MAX(0,W231-IF($A251&gt;='1-Input'!$C$12,'1-Input'!$B$12,0))-MIN(MAX(AA250,0),MAX(0,W231-IF($A251&gt;='1-Input'!$C$12,'1-Input'!$B$12,0))))*(1/(1-'P-Parametri'!$B$6*W251))+MIN(MAX(0,AB250-(MAX(0,W231-IF($A251&gt;='1-Input'!$C$12,'1-Input'!$B$12,0))-MIN(MAX(AA250,0),MAX(0,W231-IF($A251&gt;='1-Input'!$C$12,'1-Input'!$B$12,0))))*(1/(1-'P-Parametri'!$B$6*W251))),MAX(0,2*W231-(AA250-MIN(MAX(AA250,0),MAX(0,W231-IF($A251&gt;='1-Input'!$C$12,'1-Input'!$B$12,0)))))*(1/(1-'P-Parametri'!$B$6*W251))))</f>
        <v>18825.554712337769</v>
      </c>
      <c r="Y251" s="18">
        <f>IF($A251&gt;'1-Input'!$B$26,AA250,(AA250-MAX(0,W231-IF($A251&gt;='1-Input'!$C$12,'1-Input'!$B$12,0))+X251*(1-'P-Parametri'!$B$6*W251))*(1+'1-Input'!$B$27))</f>
        <v>33193.241970369134</v>
      </c>
      <c r="Z251" s="18">
        <f>IF($A251&gt;'1-Input'!$B$26,AB250,(AB250-X251)*(1+$B$4))</f>
        <v>166568.38108314975</v>
      </c>
      <c r="AA251" s="18">
        <f>IF($A251&gt;'1-Input'!$B$26,Y251,Y251-'P-Parametri'!$B$8*(Z251+Y251)+MIN(MAX(Z251,0),'P-Parametri'!$B$8*(Z251+Y251)))</f>
        <v>33193.241970369134</v>
      </c>
      <c r="AB251" s="18">
        <f>IF($A251&gt;'1-Input'!$B$26,Z251,Z251-MIN(MAX(Z251,0),'P-Parametri'!$B$8*(Z251+Y251)))</f>
        <v>166168.85783704271</v>
      </c>
      <c r="AC251" s="18">
        <f>IF($A251&gt;'1-Input'!$B$26,AC250,AC250-X251*(1-W251))</f>
        <v>94939.154866614554</v>
      </c>
      <c r="AD251" s="11">
        <f>IF($A251&gt;'1-Input'!$B$26,0,IF(AI250&lt;=0,0,MAX(0,(AI250-AJ250)/AI250)))</f>
        <v>0.4186295545429437</v>
      </c>
      <c r="AE251" s="18">
        <f>IF($A251&gt;'1-Input'!$B$26,0,(MAX(0,AD231-IF($A251&gt;='1-Input'!$C$12,'1-Input'!$B$12,0))-MIN(MAX(AH250,0),MAX(0,AD231-IF($A251&gt;='1-Input'!$C$12,'1-Input'!$B$12,0))))*(1/(1-'P-Parametri'!$B$6*AD251))+MIN(MAX(0,AI250-(MAX(0,AD231-IF($A251&gt;='1-Input'!$C$12,'1-Input'!$B$12,0))-MIN(MAX(AH250,0),MAX(0,AD231-IF($A251&gt;='1-Input'!$C$12,'1-Input'!$B$12,0))))*(1/(1-'P-Parametri'!$B$6*AD251))),MAX(0,2*AD231-(AH250-MIN(MAX(AH250,0),MAX(0,AD231-IF($A251&gt;='1-Input'!$C$12,'1-Input'!$B$12,0)))))*(1/(1-'P-Parametri'!$B$6*AD251))))</f>
        <v>18825.459525519665</v>
      </c>
      <c r="AF251" s="18">
        <f>IF($A251&gt;'1-Input'!$B$26,AH250,(AH250-MAX(0,AD231-IF($A251&gt;='1-Input'!$C$12,'1-Input'!$B$12,0))+AE251*(1-'P-Parametri'!$B$6*AD251))*(1+'1-Input'!$B$27))</f>
        <v>33193.073901117954</v>
      </c>
      <c r="AG251" s="18">
        <f>IF($A251&gt;'1-Input'!$B$26,AI250,(AI250-AE251)*(1+$B$4))</f>
        <v>166570.60502665528</v>
      </c>
      <c r="AH251" s="18">
        <f>IF($A251&gt;'1-Input'!$B$26,AF251,AF251-'P-Parametri'!$B$8*(AG251+AF251)+MIN(MAX(AG251,0),'P-Parametri'!$B$8*(AG251+AF251)))</f>
        <v>33193.073901117954</v>
      </c>
      <c r="AI251" s="18">
        <f>IF($A251&gt;'1-Input'!$B$26,AG251,AG251-MIN(MAX(AG251,0),'P-Parametri'!$B$8*(AG251+AF251)))</f>
        <v>166171.07766879973</v>
      </c>
      <c r="AJ251" s="18">
        <f>IF($A251&gt;'1-Input'!$B$26,AJ250,AJ250-AE251*(1-AD251))</f>
        <v>94940.418474899954</v>
      </c>
      <c r="AK251" s="11">
        <f>IF($A251&gt;'1-Input'!$B$26,0,IF(AP250&lt;=0,0,MAX(0,(AP250-AQ250)/AP250)))</f>
        <v>0.41862955454292988</v>
      </c>
      <c r="AL251" s="18">
        <f>IF($A251&gt;'1-Input'!$B$26,0,(MAX(0,AK231-IF($A251&gt;='1-Input'!$C$12,'1-Input'!$B$12,0))-MIN(MAX(AO250,0),MAX(0,AK231-IF($A251&gt;='1-Input'!$C$12,'1-Input'!$B$12,0))))*(1/(1-'P-Parametri'!$B$6*AK251))+MIN(MAX(0,AP250-(MAX(0,AK231-IF($A251&gt;='1-Input'!$C$12,'1-Input'!$B$12,0))-MIN(MAX(AO250,0),MAX(0,AK231-IF($A251&gt;='1-Input'!$C$12,'1-Input'!$B$12,0))))*(1/(1-'P-Parametri'!$B$6*AK251))),MAX(0,2*AK231-(AO250-MIN(MAX(AO250,0),MAX(0,AK231-IF($A251&gt;='1-Input'!$C$12,'1-Input'!$B$12,0)))))*(1/(1-'P-Parametri'!$B$6*AK251))))</f>
        <v>18825.459525572493</v>
      </c>
      <c r="AM251" s="18">
        <f>IF($A251&gt;'1-Input'!$B$26,AO250,(AO250-MAX(0,AK231-IF($A251&gt;='1-Input'!$C$12,'1-Input'!$B$12,0))+AL251*(1-'P-Parametri'!$B$6*AK251))*(1+'1-Input'!$B$27))</f>
        <v>33193.073901211224</v>
      </c>
      <c r="AN251" s="18">
        <f>IF($A251&gt;'1-Input'!$B$26,AP250,(AP250-AL251)*(1+$B$4))</f>
        <v>166570.60502542125</v>
      </c>
      <c r="AO251" s="18">
        <f>IF($A251&gt;'1-Input'!$B$26,AM251,AM251-'P-Parametri'!$B$8*(AN251+AM251)+MIN(MAX(AN251,0),'P-Parametri'!$B$8*(AN251+AM251)))</f>
        <v>33193.073901211224</v>
      </c>
      <c r="AP251" s="18">
        <f>IF($A251&gt;'1-Input'!$B$26,AN251,AN251-MIN(MAX(AN251,0),'P-Parametri'!$B$8*(AN251+AM251)))</f>
        <v>166171.077667568</v>
      </c>
      <c r="AQ251" s="18">
        <f>IF($A251&gt;'1-Input'!$B$26,AQ250,AQ250-AL251*(1-AK251))</f>
        <v>94940.418474198857</v>
      </c>
    </row>
    <row r="252" spans="1:43">
      <c r="A252" s="10">
        <f>19</f>
        <v>19</v>
      </c>
      <c r="B252" s="11">
        <f>IF($A252&gt;'1-Input'!$B$26,0,IF(G251&lt;=0,0,MAX(0,(G251-H251)/G251)))</f>
        <v>0.42865037970124004</v>
      </c>
      <c r="C252" s="18">
        <f>IF($A252&gt;'1-Input'!$B$26,0,(MAX(0,B231-IF($A252&gt;='1-Input'!$C$12,'1-Input'!$B$12,0))-MIN(MAX(F251,0),MAX(0,B231-IF($A252&gt;='1-Input'!$C$12,'1-Input'!$B$12,0))))*(1/(1-'P-Parametri'!$B$6*B252))+MIN(MAX(0,G251-(MAX(0,B231-IF($A252&gt;='1-Input'!$C$12,'1-Input'!$B$12,0))-MIN(MAX(F251,0),MAX(0,B231-IF($A252&gt;='1-Input'!$C$12,'1-Input'!$B$12,0))))*(1/(1-'P-Parametri'!$B$6*B252))),MAX(0,2*B231-(F251-MIN(MAX(F251,0),MAX(0,B231-IF($A252&gt;='1-Input'!$C$12,'1-Input'!$B$12,0)))))*(1/(1-'P-Parametri'!$B$6*B252))))</f>
        <v>18908.493468108747</v>
      </c>
      <c r="D252" s="18">
        <f>IF($A252&gt;'1-Input'!$B$26,F251,(F251-MAX(0,B231-IF($A252&gt;='1-Input'!$C$12,'1-Input'!$B$12,0))+C252*(1-'P-Parametri'!$B$6*B252))*(1+'1-Input'!$B$27))</f>
        <v>33242.0070309863</v>
      </c>
      <c r="E252" s="18">
        <f>IF($A252&gt;'1-Input'!$B$26,G251,(G251-C252)*(1+$B$4))</f>
        <v>149548.60967274522</v>
      </c>
      <c r="F252" s="18">
        <f>IF($A252&gt;'1-Input'!$B$26,D252,D252-'P-Parametri'!$B$8*(E252+D252)+MIN(MAX(E252,0),'P-Parametri'!$B$8*(E252+D252)))</f>
        <v>33242.0070309863</v>
      </c>
      <c r="G252" s="18">
        <f>IF($A252&gt;'1-Input'!$B$26,E252,E252-MIN(MAX(E252,0),'P-Parametri'!$B$8*(E252+D252)))</f>
        <v>149183.02843933777</v>
      </c>
      <c r="H252" s="18">
        <f>IF($A252&gt;'1-Input'!$B$26,H251,H251-C252*(1-B252))</f>
        <v>83769.158188951405</v>
      </c>
      <c r="I252" s="11">
        <f>IF($A252&gt;'1-Input'!$B$26,0,IF(N251&lt;=0,0,MAX(0,(N251-O251)/N251)))</f>
        <v>0.42410772345389808</v>
      </c>
      <c r="J252" s="18">
        <f>IF($A252&gt;'1-Input'!$B$26,0,(MAX(0,I231-IF($A252&gt;='1-Input'!$C$12,'1-Input'!$B$12,0))-MIN(MAX(M251,0),MAX(0,I231-IF($A252&gt;='1-Input'!$C$12,'1-Input'!$B$12,0))))*(1/(1-'P-Parametri'!$B$6*I252))+MIN(MAX(0,N251-(MAX(0,I231-IF($A252&gt;='1-Input'!$C$12,'1-Input'!$B$12,0))-MIN(MAX(M251,0),MAX(0,I231-IF($A252&gt;='1-Input'!$C$12,'1-Input'!$B$12,0))))*(1/(1-'P-Parametri'!$B$6*I252))),MAX(0,2*I231-(M251-MIN(MAX(M251,0),MAX(0,I231-IF($A252&gt;='1-Input'!$C$12,'1-Input'!$B$12,0)))))*(1/(1-'P-Parametri'!$B$6*I252))))</f>
        <v>24846.569803587641</v>
      </c>
      <c r="K252" s="18">
        <f>IF($A252&gt;'1-Input'!$B$26,M251,(M251-MAX(0,I231-IF($A252&gt;='1-Input'!$C$12,'1-Input'!$B$12,0))+J252*(1-'P-Parametri'!$B$6*I252))*(1+'1-Input'!$B$27))</f>
        <v>43739.482935508291</v>
      </c>
      <c r="L252" s="18">
        <f>IF($A252&gt;'1-Input'!$B$26,N251,(N251-J252)*(1+$B$4))</f>
        <v>2123.9946652349713</v>
      </c>
      <c r="M252" s="18">
        <f>IF($A252&gt;'1-Input'!$B$26,K252,K252-'P-Parametri'!$B$8*(L252+K252)+MIN(MAX(L252,0),'P-Parametri'!$B$8*(L252+K252)))</f>
        <v>43739.482935508291</v>
      </c>
      <c r="N252" s="18">
        <f>IF($A252&gt;'1-Input'!$B$26,L252,L252-MIN(MAX(L252,0),'P-Parametri'!$B$8*(L252+K252)))</f>
        <v>2032.2677100334847</v>
      </c>
      <c r="O252" s="18">
        <f>IF($A252&gt;'1-Input'!$B$26,O251,O251-J252*(1-I252))</f>
        <v>1199.2079638568084</v>
      </c>
      <c r="P252" s="11">
        <f>IF($A252&gt;'1-Input'!$B$26,0,IF(U251&lt;=0,0,MAX(0,(U251-V251)/U251)))</f>
        <v>0.4286581088530213</v>
      </c>
      <c r="Q252" s="18">
        <f>IF($A252&gt;'1-Input'!$B$26,0,(MAX(0,P231-IF($A252&gt;='1-Input'!$C$12,'1-Input'!$B$12,0))-MIN(MAX(T251,0),MAX(0,P231-IF($A252&gt;='1-Input'!$C$12,'1-Input'!$B$12,0))))*(1/(1-'P-Parametri'!$B$6*P252))+MIN(MAX(0,U251-(MAX(0,P231-IF($A252&gt;='1-Input'!$C$12,'1-Input'!$B$12,0))-MIN(MAX(T251,0),MAX(0,P231-IF($A252&gt;='1-Input'!$C$12,'1-Input'!$B$12,0))))*(1/(1-'P-Parametri'!$B$6*P252))),MAX(0,2*P231-(T251-MIN(MAX(T251,0),MAX(0,P231-IF($A252&gt;='1-Input'!$C$12,'1-Input'!$B$12,0)))))*(1/(1-'P-Parametri'!$B$6*P252))))</f>
        <v>18882.32416273866</v>
      </c>
      <c r="R252" s="18">
        <f>IF($A252&gt;'1-Input'!$B$26,T251,(T251-MAX(0,P231-IF($A252&gt;='1-Input'!$C$12,'1-Input'!$B$12,0))+Q252*(1-'P-Parametri'!$B$6*P252))*(1+'1-Input'!$B$27))</f>
        <v>33195.925103139183</v>
      </c>
      <c r="S252" s="18">
        <f>IF($A252&gt;'1-Input'!$B$26,U251,(U251-Q252)*(1+$B$4))</f>
        <v>150196.11719444999</v>
      </c>
      <c r="T252" s="18">
        <f>IF($A252&gt;'1-Input'!$B$26,R252,R252-'P-Parametri'!$B$8*(S252+R252)+MIN(MAX(S252,0),'P-Parametri'!$B$8*(S252+R252)))</f>
        <v>33195.925103139183</v>
      </c>
      <c r="U252" s="18">
        <f>IF($A252&gt;'1-Input'!$B$26,S252,S252-MIN(MAX(S252,0),'P-Parametri'!$B$8*(S252+R252)))</f>
        <v>149829.33310985481</v>
      </c>
      <c r="V252" s="18">
        <f>IF($A252&gt;'1-Input'!$B$26,V251,V251-Q252*(1-P252))</f>
        <v>84130.719255696371</v>
      </c>
      <c r="W252" s="11">
        <f>IF($A252&gt;'1-Input'!$B$26,0,IF(AB251&lt;=0,0,MAX(0,(AB251-AC251)/AB251)))</f>
        <v>0.42865855791270585</v>
      </c>
      <c r="X252" s="18">
        <f>IF($A252&gt;'1-Input'!$B$26,0,(MAX(0,W231-IF($A252&gt;='1-Input'!$C$12,'1-Input'!$B$12,0))-MIN(MAX(AA251,0),MAX(0,W231-IF($A252&gt;='1-Input'!$C$12,'1-Input'!$B$12,0))))*(1/(1-'P-Parametri'!$B$6*W252))+MIN(MAX(0,AB251-(MAX(0,W231-IF($A252&gt;='1-Input'!$C$12,'1-Input'!$B$12,0))-MIN(MAX(AA251,0),MAX(0,W231-IF($A252&gt;='1-Input'!$C$12,'1-Input'!$B$12,0))))*(1/(1-'P-Parametri'!$B$6*W252))),MAX(0,2*W231-(AA251-MIN(MAX(AA251,0),MAX(0,W231-IF($A252&gt;='1-Input'!$C$12,'1-Input'!$B$12,0)))))*(1/(1-'P-Parametri'!$B$6*W252))))</f>
        <v>18880.800438804556</v>
      </c>
      <c r="Y252" s="18">
        <f>IF($A252&gt;'1-Input'!$B$26,AA251,(AA251-MAX(0,W231-IF($A252&gt;='1-Input'!$C$12,'1-Input'!$B$12,0))+X252*(1-'P-Parametri'!$B$6*W252))*(1+'1-Input'!$B$27))</f>
        <v>33193.241970369134</v>
      </c>
      <c r="Z252" s="18">
        <f>IF($A252&gt;'1-Input'!$B$26,AB251,(AB251-X252)*(1+$B$4))</f>
        <v>150233.81854620294</v>
      </c>
      <c r="AA252" s="18">
        <f>IF($A252&gt;'1-Input'!$B$26,Y252,Y252-'P-Parametri'!$B$8*(Z252+Y252)+MIN(MAX(Z252,0),'P-Parametri'!$B$8*(Z252+Y252)))</f>
        <v>33193.241970369134</v>
      </c>
      <c r="AB252" s="18">
        <f>IF($A252&gt;'1-Input'!$B$26,Z252,Z252-MIN(MAX(Z252,0),'P-Parametri'!$B$8*(Z252+Y252)))</f>
        <v>149866.9644251698</v>
      </c>
      <c r="AC252" s="18">
        <f>IF($A252&gt;'1-Input'!$B$26,AC251,AC251-X252*(1-W252))</f>
        <v>84151.771116145537</v>
      </c>
      <c r="AD252" s="11">
        <f>IF($A252&gt;'1-Input'!$B$26,0,IF(AI251&lt;=0,0,MAX(0,(AI251-AJ251)/AI251)))</f>
        <v>0.42865858603788809</v>
      </c>
      <c r="AE252" s="18">
        <f>IF($A252&gt;'1-Input'!$B$26,0,(MAX(0,AD231-IF($A252&gt;='1-Input'!$C$12,'1-Input'!$B$12,0))-MIN(MAX(AH251,0),MAX(0,AD231-IF($A252&gt;='1-Input'!$C$12,'1-Input'!$B$12,0))))*(1/(1-'P-Parametri'!$B$6*AD252))+MIN(MAX(0,AI251-(MAX(0,AD231-IF($A252&gt;='1-Input'!$C$12,'1-Input'!$B$12,0))-MIN(MAX(AH251,0),MAX(0,AD231-IF($A252&gt;='1-Input'!$C$12,'1-Input'!$B$12,0))))*(1/(1-'P-Parametri'!$B$6*AD252))),MAX(0,2*AD231-(AH251-MIN(MAX(AH251,0),MAX(0,AD231-IF($A252&gt;='1-Input'!$C$12,'1-Input'!$B$12,0)))))*(1/(1-'P-Parametri'!$B$6*AD252))))</f>
        <v>18880.704993945525</v>
      </c>
      <c r="AF252" s="18">
        <f>IF($A252&gt;'1-Input'!$B$26,AH251,(AH251-MAX(0,AD231-IF($A252&gt;='1-Input'!$C$12,'1-Input'!$B$12,0))+AE252*(1-'P-Parametri'!$B$6*AD252))*(1+'1-Input'!$B$27))</f>
        <v>33193.073901117954</v>
      </c>
      <c r="AG252" s="18">
        <f>IF($A252&gt;'1-Input'!$B$26,AI251,(AI251-AE252)*(1+$B$4))</f>
        <v>150236.18012835129</v>
      </c>
      <c r="AH252" s="18">
        <f>IF($A252&gt;'1-Input'!$B$26,AF252,AF252-'P-Parametri'!$B$8*(AG252+AF252)+MIN(MAX(AG252,0),'P-Parametri'!$B$8*(AG252+AF252)))</f>
        <v>33193.073901117954</v>
      </c>
      <c r="AI252" s="18">
        <f>IF($A252&gt;'1-Input'!$B$26,AG252,AG252-MIN(MAX(AG252,0),'P-Parametri'!$B$8*(AG252+AF252)))</f>
        <v>149869.32162029235</v>
      </c>
      <c r="AJ252" s="18">
        <f>IF($A252&gt;'1-Input'!$B$26,AJ251,AJ251-AE252*(1-AD252))</f>
        <v>84153.089787057615</v>
      </c>
      <c r="AK252" s="11">
        <f>IF($A252&gt;'1-Input'!$B$26,0,IF(AP251&lt;=0,0,MAX(0,(AP251-AQ251)/AP251)))</f>
        <v>0.42865858603787221</v>
      </c>
      <c r="AL252" s="18">
        <f>IF($A252&gt;'1-Input'!$B$26,0,(MAX(0,AK231-IF($A252&gt;='1-Input'!$C$12,'1-Input'!$B$12,0))-MIN(MAX(AO251,0),MAX(0,AK231-IF($A252&gt;='1-Input'!$C$12,'1-Input'!$B$12,0))))*(1/(1-'P-Parametri'!$B$6*AK252))+MIN(MAX(0,AP251-(MAX(0,AK231-IF($A252&gt;='1-Input'!$C$12,'1-Input'!$B$12,0))-MIN(MAX(AO251,0),MAX(0,AK231-IF($A252&gt;='1-Input'!$C$12,'1-Input'!$B$12,0))))*(1/(1-'P-Parametri'!$B$6*AK252))),MAX(0,2*AK231-(AO251-MIN(MAX(AO251,0),MAX(0,AK231-IF($A252&gt;='1-Input'!$C$12,'1-Input'!$B$12,0)))))*(1/(1-'P-Parametri'!$B$6*AK252))))</f>
        <v>18880.704993998497</v>
      </c>
      <c r="AM252" s="18">
        <f>IF($A252&gt;'1-Input'!$B$26,AO251,(AO251-MAX(0,AK231-IF($A252&gt;='1-Input'!$C$12,'1-Input'!$B$12,0))+AL252*(1-'P-Parametri'!$B$6*AK252))*(1+'1-Input'!$B$27))</f>
        <v>33193.073901211224</v>
      </c>
      <c r="AN252" s="18">
        <f>IF($A252&gt;'1-Input'!$B$26,AP251,(AP251-AL252)*(1+$B$4))</f>
        <v>150236.18012704089</v>
      </c>
      <c r="AO252" s="18">
        <f>IF($A252&gt;'1-Input'!$B$26,AM252,AM252-'P-Parametri'!$B$8*(AN252+AM252)+MIN(MAX(AN252,0),'P-Parametri'!$B$8*(AN252+AM252)))</f>
        <v>33193.073901211224</v>
      </c>
      <c r="AP252" s="18">
        <f>IF($A252&gt;'1-Input'!$B$26,AN252,AN252-MIN(MAX(AN252,0),'P-Parametri'!$B$8*(AN252+AM252)))</f>
        <v>149869.3216189844</v>
      </c>
      <c r="AQ252" s="18">
        <f>IF($A252&gt;'1-Input'!$B$26,AQ251,AQ251-AL252*(1-AK252))</f>
        <v>84153.089786325945</v>
      </c>
    </row>
    <row r="253" spans="1:43">
      <c r="A253" s="10">
        <f>20</f>
        <v>20</v>
      </c>
      <c r="B253" s="11">
        <f>IF($A253&gt;'1-Input'!$B$26,0,IF(G252&lt;=0,0,MAX(0,(G252-H252)/G252)))</f>
        <v>0.43848064310469187</v>
      </c>
      <c r="C253" s="18">
        <f>IF($A253&gt;'1-Input'!$B$26,0,(MAX(0,B231-IF($A253&gt;='1-Input'!$C$12,'1-Input'!$B$12,0))-MIN(MAX(F252,0),MAX(0,B231-IF($A253&gt;='1-Input'!$C$12,'1-Input'!$B$12,0))))*(1/(1-'P-Parametri'!$B$6*B253))+MIN(MAX(0,G252-(MAX(0,B231-IF($A253&gt;='1-Input'!$C$12,'1-Input'!$B$12,0))-MIN(MAX(F252,0),MAX(0,B231-IF($A253&gt;='1-Input'!$C$12,'1-Input'!$B$12,0))))*(1/(1-'P-Parametri'!$B$6*B253))),MAX(0,2*B231-(F252-MIN(MAX(F252,0),MAX(0,B231-IF($A253&gt;='1-Input'!$C$12,'1-Input'!$B$12,0)))))*(1/(1-'P-Parametri'!$B$6*B253))))</f>
        <v>18963.039623293946</v>
      </c>
      <c r="D253" s="18">
        <f>IF($A253&gt;'1-Input'!$B$26,F252,(F252-MAX(0,B231-IF($A253&gt;='1-Input'!$C$12,'1-Input'!$B$12,0))+C253*(1-'P-Parametri'!$B$6*B253))*(1+'1-Input'!$B$27))</f>
        <v>33242.0070309863</v>
      </c>
      <c r="E253" s="18">
        <f>IF($A253&gt;'1-Input'!$B$26,G252,(G252-C253)*(1+$B$4))</f>
        <v>132824.3885923647</v>
      </c>
      <c r="F253" s="18">
        <f>IF($A253&gt;'1-Input'!$B$26,D253,D253-'P-Parametri'!$B$8*(E253+D253)+MIN(MAX(E253,0),'P-Parametri'!$B$8*(E253+D253)))</f>
        <v>33242.0070309863</v>
      </c>
      <c r="G253" s="18">
        <f>IF($A253&gt;'1-Input'!$B$26,E253,E253-MIN(MAX(E253,0),'P-Parametri'!$B$8*(E253+D253)))</f>
        <v>132492.25580111801</v>
      </c>
      <c r="H253" s="18">
        <f>IF($A253&gt;'1-Input'!$B$26,H252,H252-C253*(1-B253))</f>
        <v>73121.044374899138</v>
      </c>
      <c r="I253" s="11">
        <f>IF($A253&gt;'1-Input'!$B$26,0,IF(N252&lt;=0,0,MAX(0,(N252-O252)/N252)))</f>
        <v>0.40991634225342799</v>
      </c>
      <c r="J253" s="18">
        <f>IF($A253&gt;'1-Input'!$B$26,0,(MAX(0,I231-IF($A253&gt;='1-Input'!$C$12,'1-Input'!$B$12,0))-MIN(MAX(M252,0),MAX(0,I231-IF($A253&gt;='1-Input'!$C$12,'1-Input'!$B$12,0))))*(1/(1-'P-Parametri'!$B$6*I253))+MIN(MAX(0,N252-(MAX(0,I231-IF($A253&gt;='1-Input'!$C$12,'1-Input'!$B$12,0))-MIN(MAX(M252,0),MAX(0,I231-IF($A253&gt;='1-Input'!$C$12,'1-Input'!$B$12,0))))*(1/(1-'P-Parametri'!$B$6*I253))),MAX(0,2*I231-(M252-MIN(MAX(M252,0),MAX(0,I231-IF($A253&gt;='1-Input'!$C$12,'1-Input'!$B$12,0)))))*(1/(1-'P-Parametri'!$B$6*I253))))</f>
        <v>2032.2677100334847</v>
      </c>
      <c r="K253" s="18">
        <f>IF($A253&gt;'1-Input'!$B$26,M252,(M252-MAX(0,I231-IF($A253&gt;='1-Input'!$C$12,'1-Input'!$B$12,0))+J253*(1-'P-Parametri'!$B$6*I253))*(1+'1-Input'!$B$27))</f>
        <v>23521.415085380162</v>
      </c>
      <c r="L253" s="18">
        <f>IF($A253&gt;'1-Input'!$B$26,N252,(N252-J253)*(1+$B$4))</f>
        <v>0</v>
      </c>
      <c r="M253" s="18">
        <f>IF($A253&gt;'1-Input'!$B$26,K253,K253-'P-Parametri'!$B$8*(L253+K253)+MIN(MAX(L253,0),'P-Parametri'!$B$8*(L253+K253)))</f>
        <v>23474.3722552094</v>
      </c>
      <c r="N253" s="18">
        <f>IF($A253&gt;'1-Input'!$B$26,L253,L253-MIN(MAX(L253,0),'P-Parametri'!$B$8*(L253+K253)))</f>
        <v>0</v>
      </c>
      <c r="O253" s="18">
        <f>IF($A253&gt;'1-Input'!$B$26,O252,O252-J253*(1-I253))</f>
        <v>0</v>
      </c>
      <c r="P253" s="11">
        <f>IF($A253&gt;'1-Input'!$B$26,0,IF(U252&lt;=0,0,MAX(0,(U252-V252)/U252)))</f>
        <v>0.43848966347589785</v>
      </c>
      <c r="Q253" s="18">
        <f>IF($A253&gt;'1-Input'!$B$26,0,(MAX(0,P231-IF($A253&gt;='1-Input'!$C$12,'1-Input'!$B$12,0))-MIN(MAX(T252,0),MAX(0,P231-IF($A253&gt;='1-Input'!$C$12,'1-Input'!$B$12,0))))*(1/(1-'P-Parametri'!$B$6*P253))+MIN(MAX(0,U252-(MAX(0,P231-IF($A253&gt;='1-Input'!$C$12,'1-Input'!$B$12,0))-MIN(MAX(T252,0),MAX(0,P231-IF($A253&gt;='1-Input'!$C$12,'1-Input'!$B$12,0))))*(1/(1-'P-Parametri'!$B$6*P253))),MAX(0,2*P231-(T252-MIN(MAX(T252,0),MAX(0,P231-IF($A253&gt;='1-Input'!$C$12,'1-Input'!$B$12,0)))))*(1/(1-'P-Parametri'!$B$6*P253))))</f>
        <v>18936.802125196493</v>
      </c>
      <c r="R253" s="18">
        <f>IF($A253&gt;'1-Input'!$B$26,T252,(T252-MAX(0,P231-IF($A253&gt;='1-Input'!$C$12,'1-Input'!$B$12,0))+Q253*(1-'P-Parametri'!$B$6*P253))*(1+'1-Input'!$B$27))</f>
        <v>33195.925103139183</v>
      </c>
      <c r="S253" s="18">
        <f>IF($A253&gt;'1-Input'!$B$26,U252,(U252-Q253)*(1+$B$4))</f>
        <v>133510.38160435148</v>
      </c>
      <c r="T253" s="18">
        <f>IF($A253&gt;'1-Input'!$B$26,R253,R253-'P-Parametri'!$B$8*(S253+R253)+MIN(MAX(S253,0),'P-Parametri'!$B$8*(S253+R253)))</f>
        <v>33195.925103139183</v>
      </c>
      <c r="U253" s="18">
        <f>IF($A253&gt;'1-Input'!$B$26,S253,S253-MIN(MAX(S253,0),'P-Parametri'!$B$8*(S253+R253)))</f>
        <v>133176.9689909365</v>
      </c>
      <c r="V253" s="18">
        <f>IF($A253&gt;'1-Input'!$B$26,V252,V252-Q253*(1-P253))</f>
        <v>73497.509121686962</v>
      </c>
      <c r="W253" s="11">
        <f>IF($A253&gt;'1-Input'!$B$26,0,IF(AB252&lt;=0,0,MAX(0,(AB252-AC252)/AB252)))</f>
        <v>0.43849018735437573</v>
      </c>
      <c r="X253" s="18">
        <f>IF($A253&gt;'1-Input'!$B$26,0,(MAX(0,W231-IF($A253&gt;='1-Input'!$C$12,'1-Input'!$B$12,0))-MIN(MAX(AA252,0),MAX(0,W231-IF($A253&gt;='1-Input'!$C$12,'1-Input'!$B$12,0))))*(1/(1-'P-Parametri'!$B$6*W253))+MIN(MAX(0,AB252-(MAX(0,W231-IF($A253&gt;='1-Input'!$C$12,'1-Input'!$B$12,0))-MIN(MAX(AA252,0),MAX(0,W231-IF($A253&gt;='1-Input'!$C$12,'1-Input'!$B$12,0))))*(1/(1-'P-Parametri'!$B$6*W253))),MAX(0,2*W231-(AA252-MIN(MAX(AA252,0),MAX(0,W231-IF($A253&gt;='1-Input'!$C$12,'1-Input'!$B$12,0)))))*(1/(1-'P-Parametri'!$B$6*W253))))</f>
        <v>18935.274428042638</v>
      </c>
      <c r="Y253" s="18">
        <f>IF($A253&gt;'1-Input'!$B$26,AA252,(AA252-MAX(0,W231-IF($A253&gt;='1-Input'!$C$12,'1-Input'!$B$12,0))+X253*(1-'P-Parametri'!$B$6*W253))*(1+'1-Input'!$B$27))</f>
        <v>33193.241970369141</v>
      </c>
      <c r="Z253" s="18">
        <f>IF($A253&gt;'1-Input'!$B$26,AB252,(AB252-X253)*(1+$B$4))</f>
        <v>133550.32379706972</v>
      </c>
      <c r="AA253" s="18">
        <f>IF($A253&gt;'1-Input'!$B$26,Y253,Y253-'P-Parametri'!$B$8*(Z253+Y253)+MIN(MAX(Z253,0),'P-Parametri'!$B$8*(Z253+Y253)))</f>
        <v>33193.241970369141</v>
      </c>
      <c r="AB253" s="18">
        <f>IF($A253&gt;'1-Input'!$B$26,Z253,Z253-MIN(MAX(Z253,0),'P-Parametri'!$B$8*(Z253+Y253)))</f>
        <v>133216.83666553485</v>
      </c>
      <c r="AC253" s="18">
        <f>IF($A253&gt;'1-Input'!$B$26,AC252,AC252-X253*(1-W253))</f>
        <v>73519.428719661839</v>
      </c>
      <c r="AD253" s="11">
        <f>IF($A253&gt;'1-Input'!$B$26,0,IF(AI252&lt;=0,0,MAX(0,(AI252-AJ252)/AI252)))</f>
        <v>0.43849022016482347</v>
      </c>
      <c r="AE253" s="18">
        <f>IF($A253&gt;'1-Input'!$B$26,0,(MAX(0,AD231-IF($A253&gt;='1-Input'!$C$12,'1-Input'!$B$12,0))-MIN(MAX(AH252,0),MAX(0,AD231-IF($A253&gt;='1-Input'!$C$12,'1-Input'!$B$12,0))))*(1/(1-'P-Parametri'!$B$6*AD253))+MIN(MAX(0,AI252-(MAX(0,AD231-IF($A253&gt;='1-Input'!$C$12,'1-Input'!$B$12,0))-MIN(MAX(AH252,0),MAX(0,AD231-IF($A253&gt;='1-Input'!$C$12,'1-Input'!$B$12,0))))*(1/(1-'P-Parametri'!$B$6*AD253))),MAX(0,2*AD231-(AH252-MIN(MAX(AH252,0),MAX(0,AD231-IF($A253&gt;='1-Input'!$C$12,'1-Input'!$B$12,0)))))*(1/(1-'P-Parametri'!$B$6*AD253))))</f>
        <v>18935.178734294586</v>
      </c>
      <c r="AF253" s="18">
        <f>IF($A253&gt;'1-Input'!$B$26,AH252,(AH252-MAX(0,AD231-IF($A253&gt;='1-Input'!$C$12,'1-Input'!$B$12,0))+AE253*(1-'P-Parametri'!$B$6*AD253))*(1+'1-Input'!$B$27))</f>
        <v>33193.073901117947</v>
      </c>
      <c r="AG253" s="18">
        <f>IF($A253&gt;'1-Input'!$B$26,AI252,(AI252-AE253)*(1+$B$4))</f>
        <v>133552.82574371772</v>
      </c>
      <c r="AH253" s="18">
        <f>IF($A253&gt;'1-Input'!$B$26,AF253,AF253-'P-Parametri'!$B$8*(AG253+AF253)+MIN(MAX(AG253,0),'P-Parametri'!$B$8*(AG253+AF253)))</f>
        <v>33193.073901117947</v>
      </c>
      <c r="AI253" s="18">
        <f>IF($A253&gt;'1-Input'!$B$26,AG253,AG253-MIN(MAX(AG253,0),'P-Parametri'!$B$8*(AG253+AF253)))</f>
        <v>133219.33394442804</v>
      </c>
      <c r="AJ253" s="18">
        <f>IF($A253&gt;'1-Input'!$B$26,AJ252,AJ252-AE253*(1-AD253))</f>
        <v>73520.801744824144</v>
      </c>
      <c r="AK253" s="11">
        <f>IF($A253&gt;'1-Input'!$B$26,0,IF(AP252&lt;=0,0,MAX(0,(AP252-AQ252)/AP252)))</f>
        <v>0.4384902201648051</v>
      </c>
      <c r="AL253" s="18">
        <f>IF($A253&gt;'1-Input'!$B$26,0,(MAX(0,AK231-IF($A253&gt;='1-Input'!$C$12,'1-Input'!$B$12,0))-MIN(MAX(AO252,0),MAX(0,AK231-IF($A253&gt;='1-Input'!$C$12,'1-Input'!$B$12,0))))*(1/(1-'P-Parametri'!$B$6*AK253))+MIN(MAX(0,AP252-(MAX(0,AK231-IF($A253&gt;='1-Input'!$C$12,'1-Input'!$B$12,0))-MIN(MAX(AO252,0),MAX(0,AK231-IF($A253&gt;='1-Input'!$C$12,'1-Input'!$B$12,0))))*(1/(1-'P-Parametri'!$B$6*AK253))),MAX(0,2*AK231-(AO252-MIN(MAX(AO252,0),MAX(0,AK231-IF($A253&gt;='1-Input'!$C$12,'1-Input'!$B$12,0)))))*(1/(1-'P-Parametri'!$B$6*AK253))))</f>
        <v>18935.178734347701</v>
      </c>
      <c r="AM253" s="18">
        <f>IF($A253&gt;'1-Input'!$B$26,AO252,(AO252-MAX(0,AK231-IF($A253&gt;='1-Input'!$C$12,'1-Input'!$B$12,0))+AL253*(1-'P-Parametri'!$B$6*AK253))*(1+'1-Input'!$B$27))</f>
        <v>33193.073901211232</v>
      </c>
      <c r="AN253" s="18">
        <f>IF($A253&gt;'1-Input'!$B$26,AP252,(AP252-AL253)*(1+$B$4))</f>
        <v>133552.82574232941</v>
      </c>
      <c r="AO253" s="18">
        <f>IF($A253&gt;'1-Input'!$B$26,AM253,AM253-'P-Parametri'!$B$8*(AN253+AM253)+MIN(MAX(AN253,0),'P-Parametri'!$B$8*(AN253+AM253)))</f>
        <v>33193.073901211232</v>
      </c>
      <c r="AP253" s="18">
        <f>IF($A253&gt;'1-Input'!$B$26,AN253,AN253-MIN(MAX(AN253,0),'P-Parametri'!$B$8*(AN253+AM253)))</f>
        <v>133219.33394304232</v>
      </c>
      <c r="AQ253" s="18">
        <f>IF($A253&gt;'1-Input'!$B$26,AQ252,AQ252-AL253*(1-AK253))</f>
        <v>73520.801744062308</v>
      </c>
    </row>
    <row r="254" spans="1:43">
      <c r="A254" s="10">
        <f>21</f>
        <v>21</v>
      </c>
      <c r="B254" s="11">
        <f>IF($A254&gt;'1-Input'!$B$26,0,IF(G253&lt;=0,0,MAX(0,(G253-H253)/G253)))</f>
        <v>0.44811080517294566</v>
      </c>
      <c r="C254" s="18">
        <f>IF($A254&gt;'1-Input'!$B$26,0,(MAX(0,B231-IF($A254&gt;='1-Input'!$C$12,'1-Input'!$B$12,0))-MIN(MAX(F253,0),MAX(0,B231-IF($A254&gt;='1-Input'!$C$12,'1-Input'!$B$12,0))))*(1/(1-'P-Parametri'!$B$6*B254))+MIN(MAX(0,G253-(MAX(0,B231-IF($A254&gt;='1-Input'!$C$12,'1-Input'!$B$12,0))-MIN(MAX(F253,0),MAX(0,B231-IF($A254&gt;='1-Input'!$C$12,'1-Input'!$B$12,0))))*(1/(1-'P-Parametri'!$B$6*B254))),MAX(0,2*B231-(F253-MIN(MAX(F253,0),MAX(0,B231-IF($A254&gt;='1-Input'!$C$12,'1-Input'!$B$12,0)))))*(1/(1-'P-Parametri'!$B$6*B254))))</f>
        <v>19016.781480791527</v>
      </c>
      <c r="D254" s="18">
        <f>IF($A254&gt;'1-Input'!$B$26,F253,(F253-MAX(0,B231-IF($A254&gt;='1-Input'!$C$12,'1-Input'!$B$12,0))+C254*(1-'P-Parametri'!$B$6*B254))*(1+'1-Input'!$B$27))</f>
        <v>33242.0070309863</v>
      </c>
      <c r="E254" s="18">
        <f>IF($A254&gt;'1-Input'!$B$26,G253,(G253-C254)*(1+$B$4))</f>
        <v>115744.98380673301</v>
      </c>
      <c r="F254" s="18">
        <f>IF($A254&gt;'1-Input'!$B$26,D254,D254-'P-Parametri'!$B$8*(E254+D254)+MIN(MAX(E254,0),'P-Parametri'!$B$8*(E254+D254)))</f>
        <v>33242.0070309863</v>
      </c>
      <c r="G254" s="18">
        <f>IF($A254&gt;'1-Input'!$B$26,E254,E254-MIN(MAX(E254,0),'P-Parametri'!$B$8*(E254+D254)))</f>
        <v>115447.00982505757</v>
      </c>
      <c r="H254" s="18">
        <f>IF($A254&gt;'1-Input'!$B$26,H253,H253-C254*(1-B254))</f>
        <v>62625.888155263063</v>
      </c>
      <c r="I254" s="11">
        <f>IF($A254&gt;'1-Input'!$B$26,0,IF(N253&lt;=0,0,MAX(0,(N253-O253)/N253)))</f>
        <v>0</v>
      </c>
      <c r="J254" s="18">
        <f>IF($A254&gt;'1-Input'!$B$26,0,(MAX(0,I231-IF($A254&gt;='1-Input'!$C$12,'1-Input'!$B$12,0))-MIN(MAX(M253,0),MAX(0,I231-IF($A254&gt;='1-Input'!$C$12,'1-Input'!$B$12,0))))*(1/(1-'P-Parametri'!$B$6*I254))+MIN(MAX(0,N253-(MAX(0,I231-IF($A254&gt;='1-Input'!$C$12,'1-Input'!$B$12,0))-MIN(MAX(M253,0),MAX(0,I231-IF($A254&gt;='1-Input'!$C$12,'1-Input'!$B$12,0))))*(1/(1-'P-Parametri'!$B$6*I254))),MAX(0,2*I231-(M253-MIN(MAX(M253,0),MAX(0,I231-IF($A254&gt;='1-Input'!$C$12,'1-Input'!$B$12,0)))))*(1/(1-'P-Parametri'!$B$6*I254))))</f>
        <v>0</v>
      </c>
      <c r="K254" s="18">
        <f>IF($A254&gt;'1-Input'!$B$26,M253,(M253-MAX(0,I231-IF($A254&gt;='1-Input'!$C$12,'1-Input'!$B$12,0))+J254*(1-'P-Parametri'!$B$6*I254))*(1+'1-Input'!$B$27))</f>
        <v>1520.1230473364988</v>
      </c>
      <c r="L254" s="18">
        <f>IF($A254&gt;'1-Input'!$B$26,N253,(N253-J254)*(1+$B$4))</f>
        <v>0</v>
      </c>
      <c r="M254" s="18">
        <f>IF($A254&gt;'1-Input'!$B$26,K254,K254-'P-Parametri'!$B$8*(L254+K254)+MIN(MAX(L254,0),'P-Parametri'!$B$8*(L254+K254)))</f>
        <v>1517.0828012418258</v>
      </c>
      <c r="N254" s="18">
        <f>IF($A254&gt;'1-Input'!$B$26,L254,L254-MIN(MAX(L254,0),'P-Parametri'!$B$8*(L254+K254)))</f>
        <v>0</v>
      </c>
      <c r="O254" s="18">
        <f>IF($A254&gt;'1-Input'!$B$26,O253,O253-J254*(1-I254))</f>
        <v>0</v>
      </c>
      <c r="P254" s="11">
        <f>IF($A254&gt;'1-Input'!$B$26,0,IF(U253&lt;=0,0,MAX(0,(U253-V253)/U253)))</f>
        <v>0.4481214756682973</v>
      </c>
      <c r="Q254" s="18">
        <f>IF($A254&gt;'1-Input'!$B$26,0,(MAX(0,P231-IF($A254&gt;='1-Input'!$C$12,'1-Input'!$B$12,0))-MIN(MAX(T253,0),MAX(0,P231-IF($A254&gt;='1-Input'!$C$12,'1-Input'!$B$12,0))))*(1/(1-'P-Parametri'!$B$6*P254))+MIN(MAX(0,U253-(MAX(0,P231-IF($A254&gt;='1-Input'!$C$12,'1-Input'!$B$12,0))-MIN(MAX(T253,0),MAX(0,P231-IF($A254&gt;='1-Input'!$C$12,'1-Input'!$B$12,0))))*(1/(1-'P-Parametri'!$B$6*P254))),MAX(0,2*P231-(T253-MIN(MAX(T253,0),MAX(0,P231-IF($A254&gt;='1-Input'!$C$12,'1-Input'!$B$12,0)))))*(1/(1-'P-Parametri'!$B$6*P254))))</f>
        <v>18990.4789892484</v>
      </c>
      <c r="R254" s="18">
        <f>IF($A254&gt;'1-Input'!$B$26,T253,(T253-MAX(0,P231-IF($A254&gt;='1-Input'!$C$12,'1-Input'!$B$12,0))+Q254*(1-'P-Parametri'!$B$6*P254))*(1+'1-Input'!$B$27))</f>
        <v>33195.925103139183</v>
      </c>
      <c r="S254" s="18">
        <f>IF($A254&gt;'1-Input'!$B$26,U253,(U253-Q254)*(1+$B$4))</f>
        <v>116470.21980172186</v>
      </c>
      <c r="T254" s="18">
        <f>IF($A254&gt;'1-Input'!$B$26,R254,R254-'P-Parametri'!$B$8*(S254+R254)+MIN(MAX(S254,0),'P-Parametri'!$B$8*(S254+R254)))</f>
        <v>33195.925103139183</v>
      </c>
      <c r="U254" s="18">
        <f>IF($A254&gt;'1-Input'!$B$26,S254,S254-MIN(MAX(S254,0),'P-Parametri'!$B$8*(S254+R254)))</f>
        <v>116170.88751191214</v>
      </c>
      <c r="V254" s="18">
        <f>IF($A254&gt;'1-Input'!$B$26,V253,V253-Q254*(1-P254))</f>
        <v>63017.07160074835</v>
      </c>
      <c r="W254" s="11">
        <f>IF($A254&gt;'1-Input'!$B$26,0,IF(AB253&lt;=0,0,MAX(0,(AB253-AC253)/AB253)))</f>
        <v>0.44812209507537126</v>
      </c>
      <c r="X254" s="18">
        <f>IF($A254&gt;'1-Input'!$B$26,0,(MAX(0,W231-IF($A254&gt;='1-Input'!$C$12,'1-Input'!$B$12,0))-MIN(MAX(AA253,0),MAX(0,W231-IF($A254&gt;='1-Input'!$C$12,'1-Input'!$B$12,0))))*(1/(1-'P-Parametri'!$B$6*W254))+MIN(MAX(0,AB253-(MAX(0,W231-IF($A254&gt;='1-Input'!$C$12,'1-Input'!$B$12,0))-MIN(MAX(AA253,0),MAX(0,W231-IF($A254&gt;='1-Input'!$C$12,'1-Input'!$B$12,0))))*(1/(1-'P-Parametri'!$B$6*W254))),MAX(0,2*W231-(AA253-MIN(MAX(AA253,0),MAX(0,W231-IF($A254&gt;='1-Input'!$C$12,'1-Input'!$B$12,0)))))*(1/(1-'P-Parametri'!$B$6*W254))))</f>
        <v>18988.947503906249</v>
      </c>
      <c r="Y254" s="18">
        <f>IF($A254&gt;'1-Input'!$B$26,AA253,(AA253-MAX(0,W231-IF($A254&gt;='1-Input'!$C$12,'1-Input'!$B$12,0))+X254*(1-'P-Parametri'!$B$6*W254))*(1+'1-Input'!$B$27))</f>
        <v>33193.241970369127</v>
      </c>
      <c r="Z254" s="18">
        <f>IF($A254&gt;'1-Input'!$B$26,AB253,(AB253-X254)*(1+$B$4))</f>
        <v>116512.44694486118</v>
      </c>
      <c r="AA254" s="18">
        <f>IF($A254&gt;'1-Input'!$B$26,Y254,Y254-'P-Parametri'!$B$8*(Z254+Y254)+MIN(MAX(Z254,0),'P-Parametri'!$B$8*(Z254+Y254)))</f>
        <v>33193.241970369127</v>
      </c>
      <c r="AB254" s="18">
        <f>IF($A254&gt;'1-Input'!$B$26,Z254,Z254-MIN(MAX(Z254,0),'P-Parametri'!$B$8*(Z254+Y254)))</f>
        <v>116213.03556703072</v>
      </c>
      <c r="AC254" s="18">
        <f>IF($A254&gt;'1-Input'!$B$26,AC253,AC253-X254*(1-W254))</f>
        <v>63039.848154482301</v>
      </c>
      <c r="AD254" s="11">
        <f>IF($A254&gt;'1-Input'!$B$26,0,IF(AI253&lt;=0,0,MAX(0,(AI253-AJ253)/AI253)))</f>
        <v>0.4481221338676481</v>
      </c>
      <c r="AE254" s="18">
        <f>IF($A254&gt;'1-Input'!$B$26,0,(MAX(0,AD231-IF($A254&gt;='1-Input'!$C$12,'1-Input'!$B$12,0))-MIN(MAX(AH253,0),MAX(0,AD231-IF($A254&gt;='1-Input'!$C$12,'1-Input'!$B$12,0))))*(1/(1-'P-Parametri'!$B$6*AD254))+MIN(MAX(0,AI253-(MAX(0,AD231-IF($A254&gt;='1-Input'!$C$12,'1-Input'!$B$12,0))-MIN(MAX(AH253,0),MAX(0,AD231-IF($A254&gt;='1-Input'!$C$12,'1-Input'!$B$12,0))))*(1/(1-'P-Parametri'!$B$6*AD254))),MAX(0,2*AD231-(AH253-MIN(MAX(AH253,0),MAX(0,AD231-IF($A254&gt;='1-Input'!$C$12,'1-Input'!$B$12,0)))))*(1/(1-'P-Parametri'!$B$6*AD254))))</f>
        <v>18988.851572854888</v>
      </c>
      <c r="AF254" s="18">
        <f>IF($A254&gt;'1-Input'!$B$26,AH253,(AH253-MAX(0,AD231-IF($A254&gt;='1-Input'!$C$12,'1-Input'!$B$12,0))+AE254*(1-'P-Parametri'!$B$6*AD254))*(1+'1-Input'!$B$27))</f>
        <v>33193.073901117954</v>
      </c>
      <c r="AG254" s="18">
        <f>IF($A254&gt;'1-Input'!$B$26,AI253,(AI253-AE254)*(1+$B$4))</f>
        <v>116515.09201900463</v>
      </c>
      <c r="AH254" s="18">
        <f>IF($A254&gt;'1-Input'!$B$26,AF254,AF254-'P-Parametri'!$B$8*(AG254+AF254)+MIN(MAX(AG254,0),'P-Parametri'!$B$8*(AG254+AF254)))</f>
        <v>33193.073901117954</v>
      </c>
      <c r="AI254" s="18">
        <f>IF($A254&gt;'1-Input'!$B$26,AG254,AG254-MIN(MAX(AG254,0),'P-Parametri'!$B$8*(AG254+AF254)))</f>
        <v>116215.67568716439</v>
      </c>
      <c r="AJ254" s="18">
        <f>IF($A254&gt;'1-Input'!$B$26,AJ253,AJ253-AE254*(1-AD254))</f>
        <v>63041.274858493038</v>
      </c>
      <c r="AK254" s="11">
        <f>IF($A254&gt;'1-Input'!$B$26,0,IF(AP253&lt;=0,0,MAX(0,(AP253-AQ253)/AP253)))</f>
        <v>0.44812213386762623</v>
      </c>
      <c r="AL254" s="18">
        <f>IF($A254&gt;'1-Input'!$B$26,0,(MAX(0,AK231-IF($A254&gt;='1-Input'!$C$12,'1-Input'!$B$12,0))-MIN(MAX(AO253,0),MAX(0,AK231-IF($A254&gt;='1-Input'!$C$12,'1-Input'!$B$12,0))))*(1/(1-'P-Parametri'!$B$6*AK254))+MIN(MAX(0,AP253-(MAX(0,AK231-IF($A254&gt;='1-Input'!$C$12,'1-Input'!$B$12,0))-MIN(MAX(AO253,0),MAX(0,AK231-IF($A254&gt;='1-Input'!$C$12,'1-Input'!$B$12,0))))*(1/(1-'P-Parametri'!$B$6*AK254))),MAX(0,2*AK231-(AO253-MIN(MAX(AO253,0),MAX(0,AK231-IF($A254&gt;='1-Input'!$C$12,'1-Input'!$B$12,0)))))*(1/(1-'P-Parametri'!$B$6*AK254))))</f>
        <v>18988.851572908119</v>
      </c>
      <c r="AM254" s="18">
        <f>IF($A254&gt;'1-Input'!$B$26,AO253,(AO253-MAX(0,AK231-IF($A254&gt;='1-Input'!$C$12,'1-Input'!$B$12,0))+AL254*(1-'P-Parametri'!$B$6*AK254))*(1+'1-Input'!$B$27))</f>
        <v>33193.073901211239</v>
      </c>
      <c r="AN254" s="18">
        <f>IF($A254&gt;'1-Input'!$B$26,AP253,(AP253-AL254)*(1+$B$4))</f>
        <v>116515.0920175369</v>
      </c>
      <c r="AO254" s="18">
        <f>IF($A254&gt;'1-Input'!$B$26,AM254,AM254-'P-Parametri'!$B$8*(AN254+AM254)+MIN(MAX(AN254,0),'P-Parametri'!$B$8*(AN254+AM254)))</f>
        <v>33193.073901211239</v>
      </c>
      <c r="AP254" s="18">
        <f>IF($A254&gt;'1-Input'!$B$26,AN254,AN254-MIN(MAX(AN254,0),'P-Parametri'!$B$8*(AN254+AM254)))</f>
        <v>116215.6756856994</v>
      </c>
      <c r="AQ254" s="18">
        <f>IF($A254&gt;'1-Input'!$B$26,AQ253,AQ253-AL254*(1-AK254))</f>
        <v>63041.274857701406</v>
      </c>
    </row>
    <row r="255" spans="1:43">
      <c r="A255" s="10">
        <f>22</f>
        <v>22</v>
      </c>
      <c r="B255" s="11">
        <f>IF($A255&gt;'1-Input'!$B$26,0,IF(G254&lt;=0,0,MAX(0,(G254-H254)/G254)))</f>
        <v>0.4575356412421327</v>
      </c>
      <c r="C255" s="18">
        <f>IF($A255&gt;'1-Input'!$B$26,0,(MAX(0,B231-IF($A255&gt;='1-Input'!$C$12,'1-Input'!$B$12,0))-MIN(MAX(F254,0),MAX(0,B231-IF($A255&gt;='1-Input'!$C$12,'1-Input'!$B$12,0))))*(1/(1-'P-Parametri'!$B$6*B255))+MIN(MAX(0,G254-(MAX(0,B231-IF($A255&gt;='1-Input'!$C$12,'1-Input'!$B$12,0))-MIN(MAX(F254,0),MAX(0,B231-IF($A255&gt;='1-Input'!$C$12,'1-Input'!$B$12,0))))*(1/(1-'P-Parametri'!$B$6*B255))),MAX(0,2*B231-(F254-MIN(MAX(F254,0),MAX(0,B231-IF($A255&gt;='1-Input'!$C$12,'1-Input'!$B$12,0)))))*(1/(1-'P-Parametri'!$B$6*B255))))</f>
        <v>19069.673260620904</v>
      </c>
      <c r="D255" s="18">
        <f>IF($A255&gt;'1-Input'!$B$26,F254,(F254-MAX(0,B231-IF($A255&gt;='1-Input'!$C$12,'1-Input'!$B$12,0))+C255*(1-'P-Parametri'!$B$6*B255))*(1+'1-Input'!$B$27))</f>
        <v>33242.0070309863</v>
      </c>
      <c r="E255" s="18">
        <f>IF($A255&gt;'1-Input'!$B$26,G254,(G254-C255)*(1+$B$4))</f>
        <v>98304.883295725405</v>
      </c>
      <c r="F255" s="18">
        <f>IF($A255&gt;'1-Input'!$B$26,D255,D255-'P-Parametri'!$B$8*(E255+D255)+MIN(MAX(E255,0),'P-Parametri'!$B$8*(E255+D255)))</f>
        <v>33242.0070309863</v>
      </c>
      <c r="G255" s="18">
        <f>IF($A255&gt;'1-Input'!$B$26,E255,E255-MIN(MAX(E255,0),'P-Parametri'!$B$8*(E255+D255)))</f>
        <v>98041.789515071985</v>
      </c>
      <c r="H255" s="18">
        <f>IF($A255&gt;'1-Input'!$B$26,H254,H254-C255*(1-B255))</f>
        <v>52281.270078218295</v>
      </c>
      <c r="I255" s="11">
        <f>IF($A255&gt;'1-Input'!$B$26,0,IF(N254&lt;=0,0,MAX(0,(N254-O254)/N254)))</f>
        <v>0</v>
      </c>
      <c r="J255" s="18">
        <f>IF($A255&gt;'1-Input'!$B$26,0,(MAX(0,I231-IF($A255&gt;='1-Input'!$C$12,'1-Input'!$B$12,0))-MIN(MAX(M254,0),MAX(0,I231-IF($A255&gt;='1-Input'!$C$12,'1-Input'!$B$12,0))))*(1/(1-'P-Parametri'!$B$6*I255))+MIN(MAX(0,N254-(MAX(0,I231-IF($A255&gt;='1-Input'!$C$12,'1-Input'!$B$12,0))-MIN(MAX(M254,0),MAX(0,I231-IF($A255&gt;='1-Input'!$C$12,'1-Input'!$B$12,0))))*(1/(1-'P-Parametri'!$B$6*I255))),MAX(0,2*I231-(M254-MIN(MAX(M254,0),MAX(0,I231-IF($A255&gt;='1-Input'!$C$12,'1-Input'!$B$12,0)))))*(1/(1-'P-Parametri'!$B$6*I255))))</f>
        <v>20431.674191686867</v>
      </c>
      <c r="K255" s="18">
        <f>IF($A255&gt;'1-Input'!$B$26,M254,(M254-MAX(0,I231-IF($A255&gt;='1-Input'!$C$12,'1-Input'!$B$12,0))+J255*(1-'P-Parametri'!$B$6*I255))*(1+'1-Input'!$B$27))</f>
        <v>0</v>
      </c>
      <c r="L255" s="18">
        <f>IF($A255&gt;'1-Input'!$B$26,N254,(N254-J255)*(1+$B$4))</f>
        <v>-20840.307675520606</v>
      </c>
      <c r="M255" s="18">
        <f>IF($A255&gt;'1-Input'!$B$26,K255,K255-'P-Parametri'!$B$8*(L255+K255)+MIN(MAX(L255,0),'P-Parametri'!$B$8*(L255+K255)))</f>
        <v>0</v>
      </c>
      <c r="N255" s="18">
        <f>IF($A255&gt;'1-Input'!$B$26,L255,L255-MIN(MAX(L255,0),'P-Parametri'!$B$8*(L255+K255)))</f>
        <v>-20798.627060169565</v>
      </c>
      <c r="O255" s="18">
        <f>IF($A255&gt;'1-Input'!$B$26,O254,O254-J255*(1-I255))</f>
        <v>-20431.674191686867</v>
      </c>
      <c r="P255" s="11">
        <f>IF($A255&gt;'1-Input'!$B$26,0,IF(U254&lt;=0,0,MAX(0,(U254-V254)/U254)))</f>
        <v>0.45754850504790545</v>
      </c>
      <c r="Q255" s="18">
        <f>IF($A255&gt;'1-Input'!$B$26,0,(MAX(0,P231-IF($A255&gt;='1-Input'!$C$12,'1-Input'!$B$12,0))-MIN(MAX(T254,0),MAX(0,P231-IF($A255&gt;='1-Input'!$C$12,'1-Input'!$B$12,0))))*(1/(1-'P-Parametri'!$B$6*P255))+MIN(MAX(0,U254-(MAX(0,P231-IF($A255&gt;='1-Input'!$C$12,'1-Input'!$B$12,0))-MIN(MAX(T254,0),MAX(0,P231-IF($A255&gt;='1-Input'!$C$12,'1-Input'!$B$12,0))))*(1/(1-'P-Parametri'!$B$6*P255))),MAX(0,2*P231-(T254-MIN(MAX(T254,0),MAX(0,P231-IF($A255&gt;='1-Input'!$C$12,'1-Input'!$B$12,0)))))*(1/(1-'P-Parametri'!$B$6*P255))))</f>
        <v>19043.310105694094</v>
      </c>
      <c r="R255" s="18">
        <f>IF($A255&gt;'1-Input'!$B$26,T254,(T254-MAX(0,P231-IF($A255&gt;='1-Input'!$C$12,'1-Input'!$B$12,0))+Q255*(1-'P-Parametri'!$B$6*P255))*(1+'1-Input'!$B$27))</f>
        <v>33195.925103139183</v>
      </c>
      <c r="S255" s="18">
        <f>IF($A255&gt;'1-Input'!$B$26,U254,(U254-Q255)*(1+$B$4))</f>
        <v>99070.128954342406</v>
      </c>
      <c r="T255" s="18">
        <f>IF($A255&gt;'1-Input'!$B$26,R255,R255-'P-Parametri'!$B$8*(S255+R255)+MIN(MAX(S255,0),'P-Parametri'!$B$8*(S255+R255)))</f>
        <v>33195.925103139176</v>
      </c>
      <c r="U255" s="18">
        <f>IF($A255&gt;'1-Input'!$B$26,S255,S255-MIN(MAX(S255,0),'P-Parametri'!$B$8*(S255+R255)))</f>
        <v>98805.596846227447</v>
      </c>
      <c r="V255" s="18">
        <f>IF($A255&gt;'1-Input'!$B$26,V254,V254-Q255*(1-P255))</f>
        <v>52686.999565078258</v>
      </c>
      <c r="W255" s="11">
        <f>IF($A255&gt;'1-Input'!$B$26,0,IF(AB254&lt;=0,0,MAX(0,(AB254-AC254)/AB254)))</f>
        <v>0.45754925127894591</v>
      </c>
      <c r="X255" s="18">
        <f>IF($A255&gt;'1-Input'!$B$26,0,(MAX(0,W231-IF($A255&gt;='1-Input'!$C$12,'1-Input'!$B$12,0))-MIN(MAX(AA254,0),MAX(0,W231-IF($A255&gt;='1-Input'!$C$12,'1-Input'!$B$12,0))))*(1/(1-'P-Parametri'!$B$6*W255))+MIN(MAX(0,AB254-(MAX(0,W231-IF($A255&gt;='1-Input'!$C$12,'1-Input'!$B$12,0))-MIN(MAX(AA254,0),MAX(0,W231-IF($A255&gt;='1-Input'!$C$12,'1-Input'!$B$12,0))))*(1/(1-'P-Parametri'!$B$6*W255))),MAX(0,2*W231-(AA254-MIN(MAX(AA254,0),MAX(0,W231-IF($A255&gt;='1-Input'!$C$12,'1-Input'!$B$12,0)))))*(1/(1-'P-Parametri'!$B$6*W255))))</f>
        <v>19041.775082116939</v>
      </c>
      <c r="Y255" s="18">
        <f>IF($A255&gt;'1-Input'!$B$26,AA254,(AA254-MAX(0,W231-IF($A255&gt;='1-Input'!$C$12,'1-Input'!$B$12,0))+X255*(1-'P-Parametri'!$B$6*W255))*(1+'1-Input'!$B$27))</f>
        <v>33193.241970369134</v>
      </c>
      <c r="Z255" s="18">
        <f>IF($A255&gt;'1-Input'!$B$26,AB254,(AB254-X255)*(1+$B$4))</f>
        <v>99114.685694612053</v>
      </c>
      <c r="AA255" s="18">
        <f>IF($A255&gt;'1-Input'!$B$26,Y255,Y255-'P-Parametri'!$B$8*(Z255+Y255)+MIN(MAX(Z255,0),'P-Parametri'!$B$8*(Z255+Y255)))</f>
        <v>33193.241970369134</v>
      </c>
      <c r="AB255" s="18">
        <f>IF($A255&gt;'1-Input'!$B$26,Z255,Z255-MIN(MAX(Z255,0),'P-Parametri'!$B$8*(Z255+Y255)))</f>
        <v>98850.069839282092</v>
      </c>
      <c r="AC255" s="18">
        <f>IF($A255&gt;'1-Input'!$B$26,AC254,AC254-X255*(1-W255))</f>
        <v>52710.623004210051</v>
      </c>
      <c r="AD255" s="11">
        <f>IF($A255&gt;'1-Input'!$B$26,0,IF(AI254&lt;=0,0,MAX(0,(AI254-AJ254)/AI254)))</f>
        <v>0.45754929801216376</v>
      </c>
      <c r="AE255" s="18">
        <f>IF($A255&gt;'1-Input'!$B$26,0,(MAX(0,AD231-IF($A255&gt;='1-Input'!$C$12,'1-Input'!$B$12,0))-MIN(MAX(AH254,0),MAX(0,AD231-IF($A255&gt;='1-Input'!$C$12,'1-Input'!$B$12,0))))*(1/(1-'P-Parametri'!$B$6*AD255))+MIN(MAX(0,AI254-(MAX(0,AD231-IF($A255&gt;='1-Input'!$C$12,'1-Input'!$B$12,0))-MIN(MAX(AH254,0),MAX(0,AD231-IF($A255&gt;='1-Input'!$C$12,'1-Input'!$B$12,0))))*(1/(1-'P-Parametri'!$B$6*AD255))),MAX(0,2*AD231-(AH254-MIN(MAX(AH254,0),MAX(0,AD231-IF($A255&gt;='1-Input'!$C$12,'1-Input'!$B$12,0)))))*(1/(1-'P-Parametri'!$B$6*AD255))))</f>
        <v>19041.678929411231</v>
      </c>
      <c r="AF255" s="18">
        <f>IF($A255&gt;'1-Input'!$B$26,AH254,(AH254-MAX(0,AD231-IF($A255&gt;='1-Input'!$C$12,'1-Input'!$B$12,0))+AE255*(1-'P-Parametri'!$B$6*AD255))*(1+'1-Input'!$B$27))</f>
        <v>33193.073901117954</v>
      </c>
      <c r="AG255" s="18">
        <f>IF($A255&gt;'1-Input'!$B$26,AI254,(AI254-AE255)*(1+$B$4))</f>
        <v>99117.476692908225</v>
      </c>
      <c r="AH255" s="18">
        <f>IF($A255&gt;'1-Input'!$B$26,AF255,AF255-'P-Parametri'!$B$8*(AG255+AF255)+MIN(MAX(AG255,0),'P-Parametri'!$B$8*(AG255+AF255)))</f>
        <v>33193.073901117954</v>
      </c>
      <c r="AI255" s="18">
        <f>IF($A255&gt;'1-Input'!$B$26,AG255,AG255-MIN(MAX(AG255,0),'P-Parametri'!$B$8*(AG255+AF255)))</f>
        <v>98852.855591720174</v>
      </c>
      <c r="AJ255" s="18">
        <f>IF($A255&gt;'1-Input'!$B$26,AJ254,AJ254-AE255*(1-AD255))</f>
        <v>52712.102756206928</v>
      </c>
      <c r="AK255" s="11">
        <f>IF($A255&gt;'1-Input'!$B$26,0,IF(AP254&lt;=0,0,MAX(0,(AP254-AQ254)/AP254)))</f>
        <v>0.45754929801213751</v>
      </c>
      <c r="AL255" s="18">
        <f>IF($A255&gt;'1-Input'!$B$26,0,(MAX(0,AK231-IF($A255&gt;='1-Input'!$C$12,'1-Input'!$B$12,0))-MIN(MAX(AO254,0),MAX(0,AK231-IF($A255&gt;='1-Input'!$C$12,'1-Input'!$B$12,0))))*(1/(1-'P-Parametri'!$B$6*AK255))+MIN(MAX(0,AP254-(MAX(0,AK231-IF($A255&gt;='1-Input'!$C$12,'1-Input'!$B$12,0))-MIN(MAX(AO254,0),MAX(0,AK231-IF($A255&gt;='1-Input'!$C$12,'1-Input'!$B$12,0))))*(1/(1-'P-Parametri'!$B$6*AK255))),MAX(0,2*AK231-(AO254-MIN(MAX(AO254,0),MAX(0,AK231-IF($A255&gt;='1-Input'!$C$12,'1-Input'!$B$12,0)))))*(1/(1-'P-Parametri'!$B$6*AK255))))</f>
        <v>19041.678929464579</v>
      </c>
      <c r="AM255" s="18">
        <f>IF($A255&gt;'1-Input'!$B$26,AO254,(AO254-MAX(0,AK231-IF($A255&gt;='1-Input'!$C$12,'1-Input'!$B$12,0))+AL255*(1-'P-Parametri'!$B$6*AK255))*(1+'1-Input'!$B$27))</f>
        <v>33193.073901211232</v>
      </c>
      <c r="AN255" s="18">
        <f>IF($A255&gt;'1-Input'!$B$26,AP254,(AP254-AL255)*(1+$B$4))</f>
        <v>99117.476691359509</v>
      </c>
      <c r="AO255" s="18">
        <f>IF($A255&gt;'1-Input'!$B$26,AM255,AM255-'P-Parametri'!$B$8*(AN255+AM255)+MIN(MAX(AN255,0),'P-Parametri'!$B$8*(AN255+AM255)))</f>
        <v>33193.073901211232</v>
      </c>
      <c r="AP255" s="18">
        <f>IF($A255&gt;'1-Input'!$B$26,AN255,AN255-MIN(MAX(AN255,0),'P-Parametri'!$B$8*(AN255+AM255)))</f>
        <v>98852.855590174368</v>
      </c>
      <c r="AQ255" s="18">
        <f>IF($A255&gt;'1-Input'!$B$26,AQ254,AQ254-AL255*(1-AK255))</f>
        <v>52712.102755385858</v>
      </c>
    </row>
    <row r="256" spans="1:43">
      <c r="A256" s="10">
        <f>23</f>
        <v>23</v>
      </c>
      <c r="B256" s="11">
        <f>IF($A256&gt;'1-Input'!$B$26,0,IF(G255&lt;=0,0,MAX(0,(G255-H255)/G255)))</f>
        <v>0.46674504477316703</v>
      </c>
      <c r="C256" s="18">
        <f>IF($A256&gt;'1-Input'!$B$26,0,(MAX(0,B231-IF($A256&gt;='1-Input'!$C$12,'1-Input'!$B$12,0))-MIN(MAX(F255,0),MAX(0,B231-IF($A256&gt;='1-Input'!$C$12,'1-Input'!$B$12,0))))*(1/(1-'P-Parametri'!$B$6*B256))+MIN(MAX(0,G255-(MAX(0,B231-IF($A256&gt;='1-Input'!$C$12,'1-Input'!$B$12,0))-MIN(MAX(F255,0),MAX(0,B231-IF($A256&gt;='1-Input'!$C$12,'1-Input'!$B$12,0))))*(1/(1-'P-Parametri'!$B$6*B256))),MAX(0,2*B231-(F255-MIN(MAX(F255,0),MAX(0,B231-IF($A256&gt;='1-Input'!$C$12,'1-Input'!$B$12,0)))))*(1/(1-'P-Parametri'!$B$6*B256))))</f>
        <v>6486.2948701863515</v>
      </c>
      <c r="D256" s="18">
        <f>IF($A256&gt;'1-Input'!$B$26,F255,(F255-MAX(0,B231-IF($A256&gt;='1-Input'!$C$12,'1-Input'!$B$12,0))+C256*(1-'P-Parametri'!$B$6*B256))*(1+'1-Input'!$B$27))</f>
        <v>33242.0070309863</v>
      </c>
      <c r="E256" s="18">
        <f>IF($A256&gt;'1-Input'!$B$26,G255,(G255-C256)*(1+$B$4))</f>
        <v>93386.604537783351</v>
      </c>
      <c r="F256" s="18">
        <f>IF($A256&gt;'1-Input'!$B$26,D256,D256-'P-Parametri'!$B$8*(E256+D256)+MIN(MAX(E256,0),'P-Parametri'!$B$8*(E256+D256)))</f>
        <v>33242.0070309863</v>
      </c>
      <c r="G256" s="18">
        <f>IF($A256&gt;'1-Input'!$B$26,E256,E256-MIN(MAX(E256,0),'P-Parametri'!$B$8*(E256+D256)))</f>
        <v>93133.347314645813</v>
      </c>
      <c r="H256" s="18">
        <f>IF($A256&gt;'1-Input'!$B$26,H255,H255-C256*(1-B256))</f>
        <v>48822.421197629039</v>
      </c>
      <c r="I256" s="11">
        <f>IF($A256&gt;'1-Input'!$B$26,0,IF(N255&lt;=0,0,MAX(0,(N255-O255)/N255)))</f>
        <v>0</v>
      </c>
      <c r="J256" s="18">
        <f>IF($A256&gt;'1-Input'!$B$26,0,(MAX(0,I231-IF($A256&gt;='1-Input'!$C$12,'1-Input'!$B$12,0))-MIN(MAX(M255,0),MAX(0,I231-IF($A256&gt;='1-Input'!$C$12,'1-Input'!$B$12,0))))*(1/(1-'P-Parametri'!$B$6*I256))+MIN(MAX(0,N255-(MAX(0,I231-IF($A256&gt;='1-Input'!$C$12,'1-Input'!$B$12,0))-MIN(MAX(M255,0),MAX(0,I231-IF($A256&gt;='1-Input'!$C$12,'1-Input'!$B$12,0))))*(1/(1-'P-Parametri'!$B$6*I256))),MAX(0,2*I231-(M255-MIN(MAX(M255,0),MAX(0,I231-IF($A256&gt;='1-Input'!$C$12,'1-Input'!$B$12,0)))))*(1/(1-'P-Parametri'!$B$6*I256))))</f>
        <v>10846.756992928691</v>
      </c>
      <c r="K256" s="18">
        <f>IF($A256&gt;'1-Input'!$B$26,M255,(M255-MAX(0,I231-IF($A256&gt;='1-Input'!$C$12,'1-Input'!$B$12,0))+J256*(1-'P-Parametri'!$B$6*I256))*(1+'1-Input'!$B$27))</f>
        <v>0</v>
      </c>
      <c r="L256" s="18">
        <f>IF($A256&gt;'1-Input'!$B$26,N255,(N255-J256)*(1+$B$4))</f>
        <v>-32278.291734160222</v>
      </c>
      <c r="M256" s="18">
        <f>IF($A256&gt;'1-Input'!$B$26,K256,K256-'P-Parametri'!$B$8*(L256+K256)+MIN(MAX(L256,0),'P-Parametri'!$B$8*(L256+K256)))</f>
        <v>0</v>
      </c>
      <c r="N256" s="18">
        <f>IF($A256&gt;'1-Input'!$B$26,L256,L256-MIN(MAX(L256,0),'P-Parametri'!$B$8*(L256+K256)))</f>
        <v>-32213.7351506919</v>
      </c>
      <c r="O256" s="18">
        <f>IF($A256&gt;'1-Input'!$B$26,O255,O255-J256*(1-I256))</f>
        <v>-31278.431184615558</v>
      </c>
      <c r="P256" s="11">
        <f>IF($A256&gt;'1-Input'!$B$26,0,IF(U255&lt;=0,0,MAX(0,(U255-V255)/U255)))</f>
        <v>0.46676098068537775</v>
      </c>
      <c r="Q256" s="18">
        <f>IF($A256&gt;'1-Input'!$B$26,0,(MAX(0,P231-IF($A256&gt;='1-Input'!$C$12,'1-Input'!$B$12,0))-MIN(MAX(T255,0),MAX(0,P231-IF($A256&gt;='1-Input'!$C$12,'1-Input'!$B$12,0))))*(1/(1-'P-Parametri'!$B$6*P256))+MIN(MAX(0,U255-(MAX(0,P231-IF($A256&gt;='1-Input'!$C$12,'1-Input'!$B$12,0))-MIN(MAX(T255,0),MAX(0,P231-IF($A256&gt;='1-Input'!$C$12,'1-Input'!$B$12,0))))*(1/(1-'P-Parametri'!$B$6*P256))),MAX(0,2*P231-(T255-MIN(MAX(T255,0),MAX(0,P231-IF($A256&gt;='1-Input'!$C$12,'1-Input'!$B$12,0)))))*(1/(1-'P-Parametri'!$B$6*P256))))</f>
        <v>6459.8178446664697</v>
      </c>
      <c r="R256" s="18">
        <f>IF($A256&gt;'1-Input'!$B$26,T255,(T255-MAX(0,P231-IF($A256&gt;='1-Input'!$C$12,'1-Input'!$B$12,0))+Q256*(1-'P-Parametri'!$B$6*P256))*(1+'1-Input'!$B$27))</f>
        <v>33195.925103139183</v>
      </c>
      <c r="S256" s="18">
        <f>IF($A256&gt;'1-Input'!$B$26,U255,(U255-Q256)*(1+$B$4))</f>
        <v>94192.694581592194</v>
      </c>
      <c r="T256" s="18">
        <f>IF($A256&gt;'1-Input'!$B$26,R256,R256-'P-Parametri'!$B$8*(S256+R256)+MIN(MAX(S256,0),'P-Parametri'!$B$8*(S256+R256)))</f>
        <v>33195.925103139183</v>
      </c>
      <c r="U256" s="18">
        <f>IF($A256&gt;'1-Input'!$B$26,S256,S256-MIN(MAX(S256,0),'P-Parametri'!$B$8*(S256+R256)))</f>
        <v>93937.917342222732</v>
      </c>
      <c r="V256" s="18">
        <f>IF($A256&gt;'1-Input'!$B$26,V255,V255-Q256*(1-P256))</f>
        <v>49242.372632637213</v>
      </c>
      <c r="W256" s="11">
        <f>IF($A256&gt;'1-Input'!$B$26,0,IF(AB255&lt;=0,0,MAX(0,(AB255-AC255)/AB255)))</f>
        <v>0.46676190426662356</v>
      </c>
      <c r="X256" s="18">
        <f>IF($A256&gt;'1-Input'!$B$26,0,(MAX(0,W231-IF($A256&gt;='1-Input'!$C$12,'1-Input'!$B$12,0))-MIN(MAX(AA255,0),MAX(0,W231-IF($A256&gt;='1-Input'!$C$12,'1-Input'!$B$12,0))))*(1/(1-'P-Parametri'!$B$6*W256))+MIN(MAX(0,AB255-(MAX(0,W231-IF($A256&gt;='1-Input'!$C$12,'1-Input'!$B$12,0))-MIN(MAX(AA255,0),MAX(0,W231-IF($A256&gt;='1-Input'!$C$12,'1-Input'!$B$12,0))))*(1/(1-'P-Parametri'!$B$6*W256))),MAX(0,2*W231-(AA255-MIN(MAX(AA255,0),MAX(0,W231-IF($A256&gt;='1-Input'!$C$12,'1-Input'!$B$12,0)))))*(1/(1-'P-Parametri'!$B$6*W256))))</f>
        <v>6458.2761967668112</v>
      </c>
      <c r="Y256" s="18">
        <f>IF($A256&gt;'1-Input'!$B$26,AA255,(AA255-MAX(0,W231-IF($A256&gt;='1-Input'!$C$12,'1-Input'!$B$12,0))+X256*(1-'P-Parametri'!$B$6*W256))*(1+'1-Input'!$B$27))</f>
        <v>33193.241970369134</v>
      </c>
      <c r="Z256" s="18">
        <f>IF($A256&gt;'1-Input'!$B$26,AB255,(AB255-X256)*(1+$B$4))</f>
        <v>94239.629515365596</v>
      </c>
      <c r="AA256" s="18">
        <f>IF($A256&gt;'1-Input'!$B$26,Y256,Y256-'P-Parametri'!$B$8*(Z256+Y256)+MIN(MAX(Z256,0),'P-Parametri'!$B$8*(Z256+Y256)))</f>
        <v>33193.241970369134</v>
      </c>
      <c r="AB256" s="18">
        <f>IF($A256&gt;'1-Input'!$B$26,Z256,Z256-MIN(MAX(Z256,0),'P-Parametri'!$B$8*(Z256+Y256)))</f>
        <v>93984.76377239413</v>
      </c>
      <c r="AC256" s="18">
        <f>IF($A256&gt;'1-Input'!$B$26,AC255,AC255-X256*(1-W256))</f>
        <v>49266.824103325926</v>
      </c>
      <c r="AD256" s="11">
        <f>IF($A256&gt;'1-Input'!$B$26,0,IF(AI255&lt;=0,0,MAX(0,(AI255-AJ255)/AI255)))</f>
        <v>0.46676196210337856</v>
      </c>
      <c r="AE256" s="18">
        <f>IF($A256&gt;'1-Input'!$B$26,0,(MAX(0,AD231-IF($A256&gt;='1-Input'!$C$12,'1-Input'!$B$12,0))-MIN(MAX(AH255,0),MAX(0,AD231-IF($A256&gt;='1-Input'!$C$12,'1-Input'!$B$12,0))))*(1/(1-'P-Parametri'!$B$6*AD256))+MIN(MAX(0,AI255-(MAX(0,AD231-IF($A256&gt;='1-Input'!$C$12,'1-Input'!$B$12,0))-MIN(MAX(AH255,0),MAX(0,AD231-IF($A256&gt;='1-Input'!$C$12,'1-Input'!$B$12,0))))*(1/(1-'P-Parametri'!$B$6*AD256))),MAX(0,2*AD231-(AH255-MIN(MAX(AH255,0),MAX(0,AD231-IF($A256&gt;='1-Input'!$C$12,'1-Input'!$B$12,0)))))*(1/(1-'P-Parametri'!$B$6*AD256))))</f>
        <v>6458.1796291402243</v>
      </c>
      <c r="AF256" s="18">
        <f>IF($A256&gt;'1-Input'!$B$26,AH255,(AH255-MAX(0,AD231-IF($A256&gt;='1-Input'!$C$12,'1-Input'!$B$12,0))+AE256*(1-'P-Parametri'!$B$6*AD256))*(1+'1-Input'!$B$27))</f>
        <v>33193.073901117954</v>
      </c>
      <c r="AG256" s="18">
        <f>IF($A256&gt;'1-Input'!$B$26,AI255,(AI255-AE256)*(1+$B$4))</f>
        <v>94242.569481831553</v>
      </c>
      <c r="AH256" s="18">
        <f>IF($A256&gt;'1-Input'!$B$26,AF256,AF256-'P-Parametri'!$B$8*(AG256+AF256)+MIN(MAX(AG256,0),'P-Parametri'!$B$8*(AG256+AF256)))</f>
        <v>33193.073901117954</v>
      </c>
      <c r="AI256" s="18">
        <f>IF($A256&gt;'1-Input'!$B$26,AG256,AG256-MIN(MAX(AG256,0),'P-Parametri'!$B$8*(AG256+AF256)))</f>
        <v>93987.698195065648</v>
      </c>
      <c r="AJ256" s="18">
        <f>IF($A256&gt;'1-Input'!$B$26,AJ255,AJ255-AE256*(1-AD256))</f>
        <v>49268.355722380264</v>
      </c>
      <c r="AK256" s="11">
        <f>IF($A256&gt;'1-Input'!$B$26,0,IF(AP255&lt;=0,0,MAX(0,(AP255-AQ255)/AP255)))</f>
        <v>0.46676196210334608</v>
      </c>
      <c r="AL256" s="18">
        <f>IF($A256&gt;'1-Input'!$B$26,0,(MAX(0,AK231-IF($A256&gt;='1-Input'!$C$12,'1-Input'!$B$12,0))-MIN(MAX(AO255,0),MAX(0,AK231-IF($A256&gt;='1-Input'!$C$12,'1-Input'!$B$12,0))))*(1/(1-'P-Parametri'!$B$6*AK256))+MIN(MAX(0,AP255-(MAX(0,AK231-IF($A256&gt;='1-Input'!$C$12,'1-Input'!$B$12,0))-MIN(MAX(AO255,0),MAX(0,AK231-IF($A256&gt;='1-Input'!$C$12,'1-Input'!$B$12,0))))*(1/(1-'P-Parametri'!$B$6*AK256))),MAX(0,2*AK231-(AO255-MIN(MAX(AO255,0),MAX(0,AK231-IF($A256&gt;='1-Input'!$C$12,'1-Input'!$B$12,0)))))*(1/(1-'P-Parametri'!$B$6*AK256))))</f>
        <v>6458.1796291938135</v>
      </c>
      <c r="AM256" s="18">
        <f>IF($A256&gt;'1-Input'!$B$26,AO255,(AO255-MAX(0,AK231-IF($A256&gt;='1-Input'!$C$12,'1-Input'!$B$12,0))+AL256*(1-'P-Parametri'!$B$6*AK256))*(1+'1-Input'!$B$27))</f>
        <v>33193.073901211232</v>
      </c>
      <c r="AN256" s="18">
        <f>IF($A256&gt;'1-Input'!$B$26,AP255,(AP255-AL256)*(1+$B$4))</f>
        <v>94242.569480200167</v>
      </c>
      <c r="AO256" s="18">
        <f>IF($A256&gt;'1-Input'!$B$26,AM256,AM256-'P-Parametri'!$B$8*(AN256+AM256)+MIN(MAX(AN256,0),'P-Parametri'!$B$8*(AN256+AM256)))</f>
        <v>33193.073901211232</v>
      </c>
      <c r="AP256" s="18">
        <f>IF($A256&gt;'1-Input'!$B$26,AN256,AN256-MIN(MAX(AN256,0),'P-Parametri'!$B$8*(AN256+AM256)))</f>
        <v>93987.698193437347</v>
      </c>
      <c r="AQ256" s="18">
        <f>IF($A256&gt;'1-Input'!$B$26,AQ255,AQ255-AL256*(1-AK256))</f>
        <v>49268.35572153041</v>
      </c>
    </row>
    <row r="257" spans="1:43">
      <c r="A257" s="10">
        <f>24</f>
        <v>24</v>
      </c>
      <c r="B257" s="11">
        <f>IF($A257&gt;'1-Input'!$B$26,0,IF(G256&lt;=0,0,MAX(0,(G256-H256)/G256)))</f>
        <v>0.47577937865064363</v>
      </c>
      <c r="C257" s="18">
        <f>IF($A257&gt;'1-Input'!$B$26,0,(MAX(0,B231-IF($A257&gt;='1-Input'!$C$12,'1-Input'!$B$12,0))-MIN(MAX(F256,0),MAX(0,B231-IF($A257&gt;='1-Input'!$C$12,'1-Input'!$B$12,0))))*(1/(1-'P-Parametri'!$B$6*B257))+MIN(MAX(0,G256-(MAX(0,B231-IF($A257&gt;='1-Input'!$C$12,'1-Input'!$B$12,0))-MIN(MAX(F256,0),MAX(0,B231-IF($A257&gt;='1-Input'!$C$12,'1-Input'!$B$12,0))))*(1/(1-'P-Parametri'!$B$6*B257))),MAX(0,2*B231-(F256-MIN(MAX(F256,0),MAX(0,B231-IF($A257&gt;='1-Input'!$C$12,'1-Input'!$B$12,0)))))*(1/(1-'P-Parametri'!$B$6*B257))))</f>
        <v>6503.6814704143189</v>
      </c>
      <c r="D257" s="18">
        <f>IF($A257&gt;'1-Input'!$B$26,F256,(F256-MAX(0,B231-IF($A257&gt;='1-Input'!$C$12,'1-Input'!$B$12,0))+C257*(1-'P-Parametri'!$B$6*B257))*(1+'1-Input'!$B$27))</f>
        <v>33242.0070309863</v>
      </c>
      <c r="E257" s="18">
        <f>IF($A257&gt;'1-Input'!$B$26,G256,(G256-C257)*(1+$B$4))</f>
        <v>88362.259161116133</v>
      </c>
      <c r="F257" s="18">
        <f>IF($A257&gt;'1-Input'!$B$26,D257,D257-'P-Parametri'!$B$8*(E257+D257)+MIN(MAX(E257,0),'P-Parametri'!$B$8*(E257+D257)))</f>
        <v>33242.0070309863</v>
      </c>
      <c r="G257" s="18">
        <f>IF($A257&gt;'1-Input'!$B$26,E257,E257-MIN(MAX(E257,0),'P-Parametri'!$B$8*(E257+D257)))</f>
        <v>88119.050628731929</v>
      </c>
      <c r="H257" s="18">
        <f>IF($A257&gt;'1-Input'!$B$26,H256,H256-C257*(1-B257))</f>
        <v>45413.057256150147</v>
      </c>
      <c r="I257" s="11">
        <f>IF($A257&gt;'1-Input'!$B$26,0,IF(N256&lt;=0,0,MAX(0,(N256-O256)/N256)))</f>
        <v>0</v>
      </c>
      <c r="J257" s="18">
        <f>IF($A257&gt;'1-Input'!$B$26,0,(MAX(0,I231-IF($A257&gt;='1-Input'!$C$12,'1-Input'!$B$12,0))-MIN(MAX(M256,0),MAX(0,I231-IF($A257&gt;='1-Input'!$C$12,'1-Input'!$B$12,0))))*(1/(1-'P-Parametri'!$B$6*I257))+MIN(MAX(0,N256-(MAX(0,I231-IF($A257&gt;='1-Input'!$C$12,'1-Input'!$B$12,0))-MIN(MAX(M256,0),MAX(0,I231-IF($A257&gt;='1-Input'!$C$12,'1-Input'!$B$12,0))))*(1/(1-'P-Parametri'!$B$6*I257))),MAX(0,2*I231-(M256-MIN(MAX(M256,0),MAX(0,I231-IF($A257&gt;='1-Input'!$C$12,'1-Input'!$B$12,0)))))*(1/(1-'P-Parametri'!$B$6*I257))))</f>
        <v>10846.756992928691</v>
      </c>
      <c r="K257" s="18">
        <f>IF($A257&gt;'1-Input'!$B$26,M256,(M256-MAX(0,I231-IF($A257&gt;='1-Input'!$C$12,'1-Input'!$B$12,0))+J257*(1-'P-Parametri'!$B$6*I257))*(1+'1-Input'!$B$27))</f>
        <v>0</v>
      </c>
      <c r="L257" s="18">
        <f>IF($A257&gt;'1-Input'!$B$26,N256,(N256-J257)*(1+$B$4))</f>
        <v>-43921.701986493004</v>
      </c>
      <c r="M257" s="18">
        <f>IF($A257&gt;'1-Input'!$B$26,K257,K257-'P-Parametri'!$B$8*(L257+K257)+MIN(MAX(L257,0),'P-Parametri'!$B$8*(L257+K257)))</f>
        <v>0</v>
      </c>
      <c r="N257" s="18">
        <f>IF($A257&gt;'1-Input'!$B$26,L257,L257-MIN(MAX(L257,0),'P-Parametri'!$B$8*(L257+K257)))</f>
        <v>-43833.858582520021</v>
      </c>
      <c r="O257" s="18">
        <f>IF($A257&gt;'1-Input'!$B$26,O256,O256-J257*(1-I257))</f>
        <v>-42125.188177544245</v>
      </c>
      <c r="P257" s="11">
        <f>IF($A257&gt;'1-Input'!$B$26,0,IF(U256&lt;=0,0,MAX(0,(U256-V256)/U256)))</f>
        <v>0.47579876128993115</v>
      </c>
      <c r="Q257" s="18">
        <f>IF($A257&gt;'1-Input'!$B$26,0,(MAX(0,P231-IF($A257&gt;='1-Input'!$C$12,'1-Input'!$B$12,0))-MIN(MAX(T256,0),MAX(0,P231-IF($A257&gt;='1-Input'!$C$12,'1-Input'!$B$12,0))))*(1/(1-'P-Parametri'!$B$6*P257))+MIN(MAX(0,U256-(MAX(0,P231-IF($A257&gt;='1-Input'!$C$12,'1-Input'!$B$12,0))-MIN(MAX(T256,0),MAX(0,P231-IF($A257&gt;='1-Input'!$C$12,'1-Input'!$B$12,0))))*(1/(1-'P-Parametri'!$B$6*P257))),MAX(0,2*P231-(T256-MIN(MAX(T256,0),MAX(0,P231-IF($A257&gt;='1-Input'!$C$12,'1-Input'!$B$12,0)))))*(1/(1-'P-Parametri'!$B$6*P257))))</f>
        <v>6477.1401786506958</v>
      </c>
      <c r="R257" s="18">
        <f>IF($A257&gt;'1-Input'!$B$26,T256,(T256-MAX(0,P231-IF($A257&gt;='1-Input'!$C$12,'1-Input'!$B$12,0))+Q257*(1-'P-Parametri'!$B$6*P257))*(1+'1-Input'!$B$27))</f>
        <v>33195.925103139183</v>
      </c>
      <c r="S257" s="18">
        <f>IF($A257&gt;'1-Input'!$B$26,U256,(U256-Q257)*(1+$B$4))</f>
        <v>89209.992706843477</v>
      </c>
      <c r="T257" s="18">
        <f>IF($A257&gt;'1-Input'!$B$26,R257,R257-'P-Parametri'!$B$8*(S257+R257)+MIN(MAX(S257,0),'P-Parametri'!$B$8*(S257+R257)))</f>
        <v>33195.925103139183</v>
      </c>
      <c r="U257" s="18">
        <f>IF($A257&gt;'1-Input'!$B$26,S257,S257-MIN(MAX(S257,0),'P-Parametri'!$B$8*(S257+R257)))</f>
        <v>88965.180871223507</v>
      </c>
      <c r="V257" s="18">
        <f>IF($A257&gt;'1-Input'!$B$26,V256,V256-Q257*(1-P257))</f>
        <v>45847.047727689758</v>
      </c>
      <c r="W257" s="11">
        <f>IF($A257&gt;'1-Input'!$B$26,0,IF(AB256&lt;=0,0,MAX(0,(AB256-AC256)/AB256)))</f>
        <v>0.47579988366372927</v>
      </c>
      <c r="X257" s="18">
        <f>IF($A257&gt;'1-Input'!$B$26,0,(MAX(0,W231-IF($A257&gt;='1-Input'!$C$12,'1-Input'!$B$12,0))-MIN(MAX(AA256,0),MAX(0,W231-IF($A257&gt;='1-Input'!$C$12,'1-Input'!$B$12,0))))*(1/(1-'P-Parametri'!$B$6*W257))+MIN(MAX(0,AB256-(MAX(0,W231-IF($A257&gt;='1-Input'!$C$12,'1-Input'!$B$12,0))-MIN(MAX(AA256,0),MAX(0,W231-IF($A257&gt;='1-Input'!$C$12,'1-Input'!$B$12,0))))*(1/(1-'P-Parametri'!$B$6*W257))),MAX(0,2*W231-(AA256-MIN(MAX(AA256,0),MAX(0,W231-IF($A257&gt;='1-Input'!$C$12,'1-Input'!$B$12,0)))))*(1/(1-'P-Parametri'!$B$6*W257))))</f>
        <v>6475.5947834365834</v>
      </c>
      <c r="Y257" s="18">
        <f>IF($A257&gt;'1-Input'!$B$26,AA256,(AA256-MAX(0,W231-IF($A257&gt;='1-Input'!$C$12,'1-Input'!$B$12,0))+X257*(1-'P-Parametri'!$B$6*W257))*(1+'1-Input'!$B$27))</f>
        <v>33193.241970369134</v>
      </c>
      <c r="Z257" s="18">
        <f>IF($A257&gt;'1-Input'!$B$26,AB256,(AB256-X257)*(1+$B$4))</f>
        <v>89259.352368736698</v>
      </c>
      <c r="AA257" s="18">
        <f>IF($A257&gt;'1-Input'!$B$26,Y257,Y257-'P-Parametri'!$B$8*(Z257+Y257)+MIN(MAX(Z257,0),'P-Parametri'!$B$8*(Z257+Y257)))</f>
        <v>33193.241970369134</v>
      </c>
      <c r="AB257" s="18">
        <f>IF($A257&gt;'1-Input'!$B$26,Z257,Z257-MIN(MAX(Z257,0),'P-Parametri'!$B$8*(Z257+Y257)))</f>
        <v>89014.447180058487</v>
      </c>
      <c r="AC257" s="18">
        <f>IF($A257&gt;'1-Input'!$B$26,AC256,AC256-X257*(1-W257))</f>
        <v>45872.316564501918</v>
      </c>
      <c r="AD257" s="11">
        <f>IF($A257&gt;'1-Input'!$B$26,0,IF(AI256&lt;=0,0,MAX(0,(AI256-AJ256)/AI256)))</f>
        <v>0.47579995394581487</v>
      </c>
      <c r="AE257" s="18">
        <f>IF($A257&gt;'1-Input'!$B$26,0,(MAX(0,AD231-IF($A257&gt;='1-Input'!$C$12,'1-Input'!$B$12,0))-MIN(MAX(AH256,0),MAX(0,AD231-IF($A257&gt;='1-Input'!$C$12,'1-Input'!$B$12,0))))*(1/(1-'P-Parametri'!$B$6*AD257))+MIN(MAX(0,AI256-(MAX(0,AD231-IF($A257&gt;='1-Input'!$C$12,'1-Input'!$B$12,0))-MIN(MAX(AH256,0),MAX(0,AD231-IF($A257&gt;='1-Input'!$C$12,'1-Input'!$B$12,0))))*(1/(1-'P-Parametri'!$B$6*AD257))),MAX(0,2*AD231-(AH256-MIN(MAX(AH256,0),MAX(0,AD231-IF($A257&gt;='1-Input'!$C$12,'1-Input'!$B$12,0)))))*(1/(1-'P-Parametri'!$B$6*AD257))))</f>
        <v>6475.4979810616951</v>
      </c>
      <c r="AF257" s="18">
        <f>IF($A257&gt;'1-Input'!$B$26,AH256,(AH256-MAX(0,AD231-IF($A257&gt;='1-Input'!$C$12,'1-Input'!$B$12,0))+AE257*(1-'P-Parametri'!$B$6*AD257))*(1+'1-Input'!$B$27))</f>
        <v>33193.073901117954</v>
      </c>
      <c r="AG257" s="18">
        <f>IF($A257&gt;'1-Input'!$B$26,AI256,(AI256-AE257)*(1+$B$4))</f>
        <v>89262.444218284028</v>
      </c>
      <c r="AH257" s="18">
        <f>IF($A257&gt;'1-Input'!$B$26,AF257,AF257-'P-Parametri'!$B$8*(AG257+AF257)+MIN(MAX(AG257,0),'P-Parametri'!$B$8*(AG257+AF257)))</f>
        <v>33193.073901117954</v>
      </c>
      <c r="AI257" s="18">
        <f>IF($A257&gt;'1-Input'!$B$26,AG257,AG257-MIN(MAX(AG257,0),'P-Parametri'!$B$8*(AG257+AF257)))</f>
        <v>89017.533182045227</v>
      </c>
      <c r="AJ257" s="18">
        <f>IF($A257&gt;'1-Input'!$B$26,AJ256,AJ256-AE257*(1-AD257))</f>
        <v>45873.899382483942</v>
      </c>
      <c r="AK257" s="11">
        <f>IF($A257&gt;'1-Input'!$B$26,0,IF(AP256&lt;=0,0,MAX(0,(AP256-AQ256)/AP256)))</f>
        <v>0.47579995394577551</v>
      </c>
      <c r="AL257" s="18">
        <f>IF($A257&gt;'1-Input'!$B$26,0,(MAX(0,AK231-IF($A257&gt;='1-Input'!$C$12,'1-Input'!$B$12,0))-MIN(MAX(AO256,0),MAX(0,AK231-IF($A257&gt;='1-Input'!$C$12,'1-Input'!$B$12,0))))*(1/(1-'P-Parametri'!$B$6*AK257))+MIN(MAX(0,AP256-(MAX(0,AK231-IF($A257&gt;='1-Input'!$C$12,'1-Input'!$B$12,0))-MIN(MAX(AO256,0),MAX(0,AK231-IF($A257&gt;='1-Input'!$C$12,'1-Input'!$B$12,0))))*(1/(1-'P-Parametri'!$B$6*AK257))),MAX(0,2*AK231-(AO256-MIN(MAX(AO256,0),MAX(0,AK231-IF($A257&gt;='1-Input'!$C$12,'1-Input'!$B$12,0)))))*(1/(1-'P-Parametri'!$B$6*AK257))))</f>
        <v>6475.4979811154153</v>
      </c>
      <c r="AM257" s="18">
        <f>IF($A257&gt;'1-Input'!$B$26,AO256,(AO256-MAX(0,AK231-IF($A257&gt;='1-Input'!$C$12,'1-Input'!$B$12,0))+AL257*(1-'P-Parametri'!$B$6*AK257))*(1+'1-Input'!$B$27))</f>
        <v>33193.073901211232</v>
      </c>
      <c r="AN257" s="18">
        <f>IF($A257&gt;'1-Input'!$B$26,AP256,(AP256-AL257)*(1+$B$4))</f>
        <v>89262.444216568372</v>
      </c>
      <c r="AO257" s="18">
        <f>IF($A257&gt;'1-Input'!$B$26,AM257,AM257-'P-Parametri'!$B$8*(AN257+AM257)+MIN(MAX(AN257,0),'P-Parametri'!$B$8*(AN257+AM257)))</f>
        <v>33193.073901211232</v>
      </c>
      <c r="AP257" s="18">
        <f>IF($A257&gt;'1-Input'!$B$26,AN257,AN257-MIN(MAX(AN257,0),'P-Parametri'!$B$8*(AN257+AM257)))</f>
        <v>89017.533180332815</v>
      </c>
      <c r="AQ257" s="18">
        <f>IF($A257&gt;'1-Input'!$B$26,AQ256,AQ256-AL257*(1-AK257))</f>
        <v>45873.899381605675</v>
      </c>
    </row>
    <row r="258" spans="1:43">
      <c r="A258" s="10">
        <f>25</f>
        <v>25</v>
      </c>
      <c r="B258" s="11">
        <f>IF($A258&gt;'1-Input'!$B$26,0,IF(G257&lt;=0,0,MAX(0,(G257-H257)/G257)))</f>
        <v>0.48463973531118759</v>
      </c>
      <c r="C258" s="18">
        <f>IF($A258&gt;'1-Input'!$B$26,0,(MAX(0,B231-IF($A258&gt;='1-Input'!$C$12,'1-Input'!$B$12,0))-MIN(MAX(F257,0),MAX(0,B231-IF($A258&gt;='1-Input'!$C$12,'1-Input'!$B$12,0))))*(1/(1-'P-Parametri'!$B$6*B258))+MIN(MAX(0,G257-(MAX(0,B231-IF($A258&gt;='1-Input'!$C$12,'1-Input'!$B$12,0))-MIN(MAX(F257,0),MAX(0,B231-IF($A258&gt;='1-Input'!$C$12,'1-Input'!$B$12,0))))*(1/(1-'P-Parametri'!$B$6*B258))),MAX(0,2*B231-(F257-MIN(MAX(F257,0),MAX(0,B231-IF($A258&gt;='1-Input'!$C$12,'1-Input'!$B$12,0)))))*(1/(1-'P-Parametri'!$B$6*B258))))</f>
        <v>6520.8240244939143</v>
      </c>
      <c r="D258" s="18">
        <f>IF($A258&gt;'1-Input'!$B$26,F257,(F257-MAX(0,B231-IF($A258&gt;='1-Input'!$C$12,'1-Input'!$B$12,0))+C258*(1-'P-Parametri'!$B$6*B258))*(1+'1-Input'!$B$27))</f>
        <v>33242.0070309863</v>
      </c>
      <c r="E258" s="18">
        <f>IF($A258&gt;'1-Input'!$B$26,G257,(G257-C258)*(1+$B$4))</f>
        <v>83230.191136322785</v>
      </c>
      <c r="F258" s="18">
        <f>IF($A258&gt;'1-Input'!$B$26,D258,D258-'P-Parametri'!$B$8*(E258+D258)+MIN(MAX(E258,0),'P-Parametri'!$B$8*(E258+D258)))</f>
        <v>33242.0070309863</v>
      </c>
      <c r="G258" s="18">
        <f>IF($A258&gt;'1-Input'!$B$26,E258,E258-MIN(MAX(E258,0),'P-Parametri'!$B$8*(E258+D258)))</f>
        <v>82997.246739988172</v>
      </c>
      <c r="H258" s="18">
        <f>IF($A258&gt;'1-Input'!$B$26,H257,H257-C258*(1-B258))</f>
        <v>42052.483660897793</v>
      </c>
      <c r="I258" s="11">
        <f>IF($A258&gt;'1-Input'!$B$26,0,IF(N257&lt;=0,0,MAX(0,(N257-O257)/N257)))</f>
        <v>0</v>
      </c>
      <c r="J258" s="18">
        <f>IF($A258&gt;'1-Input'!$B$26,0,(MAX(0,I231-IF($A258&gt;='1-Input'!$C$12,'1-Input'!$B$12,0))-MIN(MAX(M257,0),MAX(0,I231-IF($A258&gt;='1-Input'!$C$12,'1-Input'!$B$12,0))))*(1/(1-'P-Parametri'!$B$6*I258))+MIN(MAX(0,N257-(MAX(0,I231-IF($A258&gt;='1-Input'!$C$12,'1-Input'!$B$12,0))-MIN(MAX(M257,0),MAX(0,I231-IF($A258&gt;='1-Input'!$C$12,'1-Input'!$B$12,0))))*(1/(1-'P-Parametri'!$B$6*I258))),MAX(0,2*I231-(M257-MIN(MAX(M257,0),MAX(0,I231-IF($A258&gt;='1-Input'!$C$12,'1-Input'!$B$12,0)))))*(1/(1-'P-Parametri'!$B$6*I258))))</f>
        <v>10846.756992928691</v>
      </c>
      <c r="K258" s="18">
        <f>IF($A258&gt;'1-Input'!$B$26,M257,(M257-MAX(0,I231-IF($A258&gt;='1-Input'!$C$12,'1-Input'!$B$12,0))+J258*(1-'P-Parametri'!$B$6*I258))*(1+'1-Input'!$B$27))</f>
        <v>0</v>
      </c>
      <c r="L258" s="18">
        <f>IF($A258&gt;'1-Input'!$B$26,N257,(N257-J258)*(1+$B$4))</f>
        <v>-55774.227886957684</v>
      </c>
      <c r="M258" s="18">
        <f>IF($A258&gt;'1-Input'!$B$26,K258,K258-'P-Parametri'!$B$8*(L258+K258)+MIN(MAX(L258,0),'P-Parametri'!$B$8*(L258+K258)))</f>
        <v>0</v>
      </c>
      <c r="N258" s="18">
        <f>IF($A258&gt;'1-Input'!$B$26,L258,L258-MIN(MAX(L258,0),'P-Parametri'!$B$8*(L258+K258)))</f>
        <v>-55662.679431183766</v>
      </c>
      <c r="O258" s="18">
        <f>IF($A258&gt;'1-Input'!$B$26,O257,O257-J258*(1-I258))</f>
        <v>-52971.945170472936</v>
      </c>
      <c r="P258" s="11">
        <f>IF($A258&gt;'1-Input'!$B$26,0,IF(U257&lt;=0,0,MAX(0,(U257-V257)/U257)))</f>
        <v>0.48466301896184477</v>
      </c>
      <c r="Q258" s="18">
        <f>IF($A258&gt;'1-Input'!$B$26,0,(MAX(0,P231-IF($A258&gt;='1-Input'!$C$12,'1-Input'!$B$12,0))-MIN(MAX(T257,0),MAX(0,P231-IF($A258&gt;='1-Input'!$C$12,'1-Input'!$B$12,0))))*(1/(1-'P-Parametri'!$B$6*P258))+MIN(MAX(0,U257-(MAX(0,P231-IF($A258&gt;='1-Input'!$C$12,'1-Input'!$B$12,0))-MIN(MAX(T257,0),MAX(0,P231-IF($A258&gt;='1-Input'!$C$12,'1-Input'!$B$12,0))))*(1/(1-'P-Parametri'!$B$6*P258))),MAX(0,2*P231-(T257-MIN(MAX(T257,0),MAX(0,P231-IF($A258&gt;='1-Input'!$C$12,'1-Input'!$B$12,0)))))*(1/(1-'P-Parametri'!$B$6*P258))))</f>
        <v>6494.2204095578336</v>
      </c>
      <c r="R258" s="18">
        <f>IF($A258&gt;'1-Input'!$B$26,T257,(T257-MAX(0,P231-IF($A258&gt;='1-Input'!$C$12,'1-Input'!$B$12,0))+Q258*(1-'P-Parametri'!$B$6*P258))*(1+'1-Input'!$B$27))</f>
        <v>33195.925103139183</v>
      </c>
      <c r="S258" s="18">
        <f>IF($A258&gt;'1-Input'!$B$26,U257,(U257-Q258)*(1+$B$4))</f>
        <v>84120.379670898983</v>
      </c>
      <c r="T258" s="18">
        <f>IF($A258&gt;'1-Input'!$B$26,R258,R258-'P-Parametri'!$B$8*(S258+R258)+MIN(MAX(S258,0),'P-Parametri'!$B$8*(S258+R258)))</f>
        <v>33195.925103139183</v>
      </c>
      <c r="U258" s="18">
        <f>IF($A258&gt;'1-Input'!$B$26,S258,S258-MIN(MAX(S258,0),'P-Parametri'!$B$8*(S258+R258)))</f>
        <v>83885.747061350907</v>
      </c>
      <c r="V258" s="18">
        <f>IF($A258&gt;'1-Input'!$B$26,V257,V257-Q258*(1-P258))</f>
        <v>42500.335787631855</v>
      </c>
      <c r="W258" s="11">
        <f>IF($A258&gt;'1-Input'!$B$26,0,IF(AB257&lt;=0,0,MAX(0,(AB257-AC257)/AB257)))</f>
        <v>0.48466436609204161</v>
      </c>
      <c r="X258" s="18">
        <f>IF($A258&gt;'1-Input'!$B$26,0,(MAX(0,W231-IF($A258&gt;='1-Input'!$C$12,'1-Input'!$B$12,0))-MIN(MAX(AA257,0),MAX(0,W231-IF($A258&gt;='1-Input'!$C$12,'1-Input'!$B$12,0))))*(1/(1-'P-Parametri'!$B$6*W258))+MIN(MAX(0,AB257-(MAX(0,W231-IF($A258&gt;='1-Input'!$C$12,'1-Input'!$B$12,0))-MIN(MAX(AA257,0),MAX(0,W231-IF($A258&gt;='1-Input'!$C$12,'1-Input'!$B$12,0))))*(1/(1-'P-Parametri'!$B$6*W258))),MAX(0,2*W231-(AA257-MIN(MAX(AA257,0),MAX(0,W231-IF($A258&gt;='1-Input'!$C$12,'1-Input'!$B$12,0)))))*(1/(1-'P-Parametri'!$B$6*W258))))</f>
        <v>6492.671378949115</v>
      </c>
      <c r="Y258" s="18">
        <f>IF($A258&gt;'1-Input'!$B$26,AA257,(AA257-MAX(0,W231-IF($A258&gt;='1-Input'!$C$12,'1-Input'!$B$12,0))+X258*(1-'P-Parametri'!$B$6*W258))*(1+'1-Input'!$B$27))</f>
        <v>33193.241970369134</v>
      </c>
      <c r="Z258" s="18">
        <f>IF($A258&gt;'1-Input'!$B$26,AB257,(AB257-X258)*(1+$B$4))</f>
        <v>84172.211317131558</v>
      </c>
      <c r="AA258" s="18">
        <f>IF($A258&gt;'1-Input'!$B$26,Y258,Y258-'P-Parametri'!$B$8*(Z258+Y258)+MIN(MAX(Z258,0),'P-Parametri'!$B$8*(Z258+Y258)))</f>
        <v>33193.241970369134</v>
      </c>
      <c r="AB258" s="18">
        <f>IF($A258&gt;'1-Input'!$B$26,Z258,Z258-MIN(MAX(Z258,0),'P-Parametri'!$B$8*(Z258+Y258)))</f>
        <v>83937.480410556556</v>
      </c>
      <c r="AC258" s="18">
        <f>IF($A258&gt;'1-Input'!$B$26,AC257,AC257-X258*(1-W258))</f>
        <v>42526.411643675121</v>
      </c>
      <c r="AD258" s="11">
        <f>IF($A258&gt;'1-Input'!$B$26,0,IF(AI257&lt;=0,0,MAX(0,(AI257-AJ257)/AI257)))</f>
        <v>0.48466445044405393</v>
      </c>
      <c r="AE258" s="18">
        <f>IF($A258&gt;'1-Input'!$B$26,0,(MAX(0,AD231-IF($A258&gt;='1-Input'!$C$12,'1-Input'!$B$12,0))-MIN(MAX(AH257,0),MAX(0,AD231-IF($A258&gt;='1-Input'!$C$12,'1-Input'!$B$12,0))))*(1/(1-'P-Parametri'!$B$6*AD258))+MIN(MAX(0,AI257-(MAX(0,AD231-IF($A258&gt;='1-Input'!$C$12,'1-Input'!$B$12,0))-MIN(MAX(AH257,0),MAX(0,AD231-IF($A258&gt;='1-Input'!$C$12,'1-Input'!$B$12,0))))*(1/(1-'P-Parametri'!$B$6*AD258))),MAX(0,2*AD231-(AH257-MIN(MAX(AH257,0),MAX(0,AD231-IF($A258&gt;='1-Input'!$C$12,'1-Input'!$B$12,0)))))*(1/(1-'P-Parametri'!$B$6*AD258))))</f>
        <v>6492.5743488321059</v>
      </c>
      <c r="AF258" s="18">
        <f>IF($A258&gt;'1-Input'!$B$26,AH257,(AH257-MAX(0,AD231-IF($A258&gt;='1-Input'!$C$12,'1-Input'!$B$12,0))+AE258*(1-'P-Parametri'!$B$6*AD258))*(1+'1-Input'!$B$27))</f>
        <v>33193.073901117954</v>
      </c>
      <c r="AG258" s="18">
        <f>IF($A258&gt;'1-Input'!$B$26,AI257,(AI257-AE258)*(1+$B$4))</f>
        <v>84175.458009877388</v>
      </c>
      <c r="AH258" s="18">
        <f>IF($A258&gt;'1-Input'!$B$26,AF258,AF258-'P-Parametri'!$B$8*(AG258+AF258)+MIN(MAX(AG258,0),'P-Parametri'!$B$8*(AG258+AF258)))</f>
        <v>33193.073901117954</v>
      </c>
      <c r="AI258" s="18">
        <f>IF($A258&gt;'1-Input'!$B$26,AG258,AG258-MIN(MAX(AG258,0),'P-Parametri'!$B$8*(AG258+AF258)))</f>
        <v>83940.7209460554</v>
      </c>
      <c r="AJ258" s="18">
        <f>IF($A258&gt;'1-Input'!$B$26,AJ257,AJ257-AE258*(1-AD258))</f>
        <v>42528.045012395713</v>
      </c>
      <c r="AK258" s="11">
        <f>IF($A258&gt;'1-Input'!$B$26,0,IF(AP257&lt;=0,0,MAX(0,(AP257-AQ257)/AP257)))</f>
        <v>0.48466445044400674</v>
      </c>
      <c r="AL258" s="18">
        <f>IF($A258&gt;'1-Input'!$B$26,0,(MAX(0,AK231-IF($A258&gt;='1-Input'!$C$12,'1-Input'!$B$12,0))-MIN(MAX(AO257,0),MAX(0,AK231-IF($A258&gt;='1-Input'!$C$12,'1-Input'!$B$12,0))))*(1/(1-'P-Parametri'!$B$6*AK258))+MIN(MAX(0,AP257-(MAX(0,AK231-IF($A258&gt;='1-Input'!$C$12,'1-Input'!$B$12,0))-MIN(MAX(AO257,0),MAX(0,AK231-IF($A258&gt;='1-Input'!$C$12,'1-Input'!$B$12,0))))*(1/(1-'P-Parametri'!$B$6*AK258))),MAX(0,2*AK231-(AO257-MIN(MAX(AO257,0),MAX(0,AK231-IF($A258&gt;='1-Input'!$C$12,'1-Input'!$B$12,0)))))*(1/(1-'P-Parametri'!$B$6*AK258))))</f>
        <v>6492.5743488859525</v>
      </c>
      <c r="AM258" s="18">
        <f>IF($A258&gt;'1-Input'!$B$26,AO257,(AO257-MAX(0,AK231-IF($A258&gt;='1-Input'!$C$12,'1-Input'!$B$12,0))+AL258*(1-'P-Parametri'!$B$6*AK258))*(1+'1-Input'!$B$27))</f>
        <v>33193.073901211232</v>
      </c>
      <c r="AN258" s="18">
        <f>IF($A258&gt;'1-Input'!$B$26,AP257,(AP257-AL258)*(1+$B$4))</f>
        <v>84175.458008075802</v>
      </c>
      <c r="AO258" s="18">
        <f>IF($A258&gt;'1-Input'!$B$26,AM258,AM258-'P-Parametri'!$B$8*(AN258+AM258)+MIN(MAX(AN258,0),'P-Parametri'!$B$8*(AN258+AM258)))</f>
        <v>33193.073901211232</v>
      </c>
      <c r="AP258" s="18">
        <f>IF($A258&gt;'1-Input'!$B$26,AN258,AN258-MIN(MAX(AN258,0),'P-Parametri'!$B$8*(AN258+AM258)))</f>
        <v>83940.720944257235</v>
      </c>
      <c r="AQ258" s="18">
        <f>IF($A258&gt;'1-Input'!$B$26,AQ257,AQ257-AL258*(1-AK258))</f>
        <v>42528.04501148939</v>
      </c>
    </row>
    <row r="259" spans="1:43">
      <c r="A259" s="10">
        <f>26</f>
        <v>26</v>
      </c>
      <c r="B259" s="11">
        <f>IF($A259&gt;'1-Input'!$B$26,0,IF(G258&lt;=0,0,MAX(0,(G258-H258)/G258)))</f>
        <v>0.49332676308361373</v>
      </c>
      <c r="C259" s="18">
        <f>IF($A259&gt;'1-Input'!$B$26,0,(MAX(0,B231-IF($A259&gt;='1-Input'!$C$12,'1-Input'!$B$12,0))-MIN(MAX(F258,0),MAX(0,B231-IF($A259&gt;='1-Input'!$C$12,'1-Input'!$B$12,0))))*(1/(1-'P-Parametri'!$B$6*B259))+MIN(MAX(0,G258-(MAX(0,B231-IF($A259&gt;='1-Input'!$C$12,'1-Input'!$B$12,0))-MIN(MAX(F258,0),MAX(0,B231-IF($A259&gt;='1-Input'!$C$12,'1-Input'!$B$12,0))))*(1/(1-'P-Parametri'!$B$6*B259))),MAX(0,2*B231-(F258-MIN(MAX(F258,0),MAX(0,B231-IF($A259&gt;='1-Input'!$C$12,'1-Input'!$B$12,0)))))*(1/(1-'P-Parametri'!$B$6*B259))))</f>
        <v>6537.7191932563928</v>
      </c>
      <c r="D259" s="18">
        <f>IF($A259&gt;'1-Input'!$B$26,F258,(F258-MAX(0,B231-IF($A259&gt;='1-Input'!$C$12,'1-Input'!$B$12,0))+C259*(1-'P-Parametri'!$B$6*B259))*(1+'1-Input'!$B$27))</f>
        <v>33242.0070309863</v>
      </c>
      <c r="E259" s="18">
        <f>IF($A259&gt;'1-Input'!$B$26,G258,(G258-C259)*(1+$B$4))</f>
        <v>77988.718097666424</v>
      </c>
      <c r="F259" s="18">
        <f>IF($A259&gt;'1-Input'!$B$26,D259,D259-'P-Parametri'!$B$8*(E259+D259)+MIN(MAX(E259,0),'P-Parametri'!$B$8*(E259+D259)))</f>
        <v>33242.0070309863</v>
      </c>
      <c r="G259" s="18">
        <f>IF($A259&gt;'1-Input'!$B$26,E259,E259-MIN(MAX(E259,0),'P-Parametri'!$B$8*(E259+D259)))</f>
        <v>77766.256647409115</v>
      </c>
      <c r="H259" s="18">
        <f>IF($A259&gt;'1-Input'!$B$26,H258,H258-C259*(1-B259))</f>
        <v>38739.996315200195</v>
      </c>
      <c r="I259" s="11">
        <f>IF($A259&gt;'1-Input'!$B$26,0,IF(N258&lt;=0,0,MAX(0,(N258-O258)/N258)))</f>
        <v>0</v>
      </c>
      <c r="J259" s="18">
        <f>IF($A259&gt;'1-Input'!$B$26,0,(MAX(0,I231-IF($A259&gt;='1-Input'!$C$12,'1-Input'!$B$12,0))-MIN(MAX(M258,0),MAX(0,I231-IF($A259&gt;='1-Input'!$C$12,'1-Input'!$B$12,0))))*(1/(1-'P-Parametri'!$B$6*I259))+MIN(MAX(0,N258-(MAX(0,I231-IF($A259&gt;='1-Input'!$C$12,'1-Input'!$B$12,0))-MIN(MAX(M258,0),MAX(0,I231-IF($A259&gt;='1-Input'!$C$12,'1-Input'!$B$12,0))))*(1/(1-'P-Parametri'!$B$6*I259))),MAX(0,2*I231-(M258-MIN(MAX(M258,0),MAX(0,I231-IF($A259&gt;='1-Input'!$C$12,'1-Input'!$B$12,0)))))*(1/(1-'P-Parametri'!$B$6*I259))))</f>
        <v>10846.756992928691</v>
      </c>
      <c r="K259" s="18">
        <f>IF($A259&gt;'1-Input'!$B$26,M258,(M258-MAX(0,I231-IF($A259&gt;='1-Input'!$C$12,'1-Input'!$B$12,0))+J259*(1-'P-Parametri'!$B$6*I259))*(1+'1-Input'!$B$27))</f>
        <v>0</v>
      </c>
      <c r="L259" s="18">
        <f>IF($A259&gt;'1-Input'!$B$26,N258,(N258-J259)*(1+$B$4))</f>
        <v>-67839.625152594701</v>
      </c>
      <c r="M259" s="18">
        <f>IF($A259&gt;'1-Input'!$B$26,K259,K259-'P-Parametri'!$B$8*(L259+K259)+MIN(MAX(L259,0),'P-Parametri'!$B$8*(L259+K259)))</f>
        <v>0</v>
      </c>
      <c r="N259" s="18">
        <f>IF($A259&gt;'1-Input'!$B$26,L259,L259-MIN(MAX(L259,0),'P-Parametri'!$B$8*(L259+K259)))</f>
        <v>-67703.945902289517</v>
      </c>
      <c r="O259" s="18">
        <f>IF($A259&gt;'1-Input'!$B$26,O258,O258-J259*(1-I259))</f>
        <v>-63818.702163401627</v>
      </c>
      <c r="P259" s="11">
        <f>IF($A259&gt;'1-Input'!$B$26,0,IF(U258&lt;=0,0,MAX(0,(U258-V258)/U258)))</f>
        <v>0.49335450566413036</v>
      </c>
      <c r="Q259" s="18">
        <f>IF($A259&gt;'1-Input'!$B$26,0,(MAX(0,P231-IF($A259&gt;='1-Input'!$C$12,'1-Input'!$B$12,0))-MIN(MAX(T258,0),MAX(0,P231-IF($A259&gt;='1-Input'!$C$12,'1-Input'!$B$12,0))))*(1/(1-'P-Parametri'!$B$6*P259))+MIN(MAX(0,U258-(MAX(0,P231-IF($A259&gt;='1-Input'!$C$12,'1-Input'!$B$12,0))-MIN(MAX(T258,0),MAX(0,P231-IF($A259&gt;='1-Input'!$C$12,'1-Input'!$B$12,0))))*(1/(1-'P-Parametri'!$B$6*P259))),MAX(0,2*P231-(T258-MIN(MAX(T258,0),MAX(0,P231-IF($A259&gt;='1-Input'!$C$12,'1-Input'!$B$12,0)))))*(1/(1-'P-Parametri'!$B$6*P259))))</f>
        <v>6511.0554254950357</v>
      </c>
      <c r="R259" s="18">
        <f>IF($A259&gt;'1-Input'!$B$26,T258,(T258-MAX(0,P231-IF($A259&gt;='1-Input'!$C$12,'1-Input'!$B$12,0))+Q259*(1-'P-Parametri'!$B$6*P259))*(1+'1-Input'!$B$27))</f>
        <v>33195.925103139183</v>
      </c>
      <c r="S259" s="18">
        <f>IF($A259&gt;'1-Input'!$B$26,U258,(U258-Q259)*(1+$B$4))</f>
        <v>78922.185468572992</v>
      </c>
      <c r="T259" s="18">
        <f>IF($A259&gt;'1-Input'!$B$26,R259,R259-'P-Parametri'!$B$8*(S259+R259)+MIN(MAX(S259,0),'P-Parametri'!$B$8*(S259+R259)))</f>
        <v>33195.925103139183</v>
      </c>
      <c r="U259" s="18">
        <f>IF($A259&gt;'1-Input'!$B$26,S259,S259-MIN(MAX(S259,0),'P-Parametri'!$B$8*(S259+R259)))</f>
        <v>78697.949247429569</v>
      </c>
      <c r="V259" s="18">
        <f>IF($A259&gt;'1-Input'!$B$26,V258,V258-Q259*(1-P259))</f>
        <v>39201.538892933677</v>
      </c>
      <c r="W259" s="11">
        <f>IF($A259&gt;'1-Input'!$B$26,0,IF(AB258&lt;=0,0,MAX(0,(AB258-AC258)/AB258)))</f>
        <v>0.49335610938439955</v>
      </c>
      <c r="X259" s="18">
        <f>IF($A259&gt;'1-Input'!$B$26,0,(MAX(0,W231-IF($A259&gt;='1-Input'!$C$12,'1-Input'!$B$12,0))-MIN(MAX(AA258,0),MAX(0,W231-IF($A259&gt;='1-Input'!$C$12,'1-Input'!$B$12,0))))*(1/(1-'P-Parametri'!$B$6*W259))+MIN(MAX(0,AB258-(MAX(0,W231-IF($A259&gt;='1-Input'!$C$12,'1-Input'!$B$12,0))-MIN(MAX(AA258,0),MAX(0,W231-IF($A259&gt;='1-Input'!$C$12,'1-Input'!$B$12,0))))*(1/(1-'P-Parametri'!$B$6*W259))),MAX(0,2*W231-(AA258-MIN(MAX(AA258,0),MAX(0,W231-IF($A259&gt;='1-Input'!$C$12,'1-Input'!$B$12,0)))))*(1/(1-'P-Parametri'!$B$6*W259))))</f>
        <v>6509.5028842584206</v>
      </c>
      <c r="Y259" s="18">
        <f>IF($A259&gt;'1-Input'!$B$26,AA258,(AA258-MAX(0,W231-IF($A259&gt;='1-Input'!$C$12,'1-Input'!$B$12,0))+X259*(1-'P-Parametri'!$B$6*W259))*(1+'1-Input'!$B$27))</f>
        <v>33193.241970369134</v>
      </c>
      <c r="Z259" s="18">
        <f>IF($A259&gt;'1-Input'!$B$26,AB258,(AB258-X259)*(1+$B$4))</f>
        <v>78976.537076824112</v>
      </c>
      <c r="AA259" s="18">
        <f>IF($A259&gt;'1-Input'!$B$26,Y259,Y259-'P-Parametri'!$B$8*(Z259+Y259)+MIN(MAX(Z259,0),'P-Parametri'!$B$8*(Z259+Y259)))</f>
        <v>33193.241970369134</v>
      </c>
      <c r="AB259" s="18">
        <f>IF($A259&gt;'1-Input'!$B$26,Z259,Z259-MIN(MAX(Z259,0),'P-Parametri'!$B$8*(Z259+Y259)))</f>
        <v>78752.197518729721</v>
      </c>
      <c r="AC259" s="18">
        <f>IF($A259&gt;'1-Input'!$B$26,AC258,AC258-X259*(1-W259))</f>
        <v>39228.411776420966</v>
      </c>
      <c r="AD259" s="11">
        <f>IF($A259&gt;'1-Input'!$B$26,0,IF(AI258&lt;=0,0,MAX(0,(AI258-AJ258)/AI258)))</f>
        <v>0.4933562097980263</v>
      </c>
      <c r="AE259" s="18">
        <f>IF($A259&gt;'1-Input'!$B$26,0,(MAX(0,AD231-IF($A259&gt;='1-Input'!$C$12,'1-Input'!$B$12,0))-MIN(MAX(AH258,0),MAX(0,AD231-IF($A259&gt;='1-Input'!$C$12,'1-Input'!$B$12,0))))*(1/(1-'P-Parametri'!$B$6*AD259))+MIN(MAX(0,AI258-(MAX(0,AD231-IF($A259&gt;='1-Input'!$C$12,'1-Input'!$B$12,0))-MIN(MAX(AH258,0),MAX(0,AD231-IF($A259&gt;='1-Input'!$C$12,'1-Input'!$B$12,0))))*(1/(1-'P-Parametri'!$B$6*AD259))),MAX(0,2*AD231-(AH258-MIN(MAX(AH258,0),MAX(0,AD231-IF($A259&gt;='1-Input'!$C$12,'1-Input'!$B$12,0)))))*(1/(1-'P-Parametri'!$B$6*AD259))))</f>
        <v>6509.4056342088033</v>
      </c>
      <c r="AF259" s="18">
        <f>IF($A259&gt;'1-Input'!$B$26,AH258,(AH258-MAX(0,AD231-IF($A259&gt;='1-Input'!$C$12,'1-Input'!$B$12,0))+AE259*(1-'P-Parametri'!$B$6*AD259))*(1+'1-Input'!$B$27))</f>
        <v>33193.073901117954</v>
      </c>
      <c r="AG259" s="18">
        <f>IF($A259&gt;'1-Input'!$B$26,AI258,(AI258-AE259)*(1+$B$4))</f>
        <v>78979.94161808354</v>
      </c>
      <c r="AH259" s="18">
        <f>IF($A259&gt;'1-Input'!$B$26,AF259,AF259-'P-Parametri'!$B$8*(AG259+AF259)+MIN(MAX(AG259,0),'P-Parametri'!$B$8*(AG259+AF259)))</f>
        <v>33193.073901117954</v>
      </c>
      <c r="AI259" s="18">
        <f>IF($A259&gt;'1-Input'!$B$26,AG259,AG259-MIN(MAX(AG259,0),'P-Parametri'!$B$8*(AG259+AF259)))</f>
        <v>78755.595587045143</v>
      </c>
      <c r="AJ259" s="18">
        <f>IF($A259&gt;'1-Input'!$B$26,AJ258,AJ258-AE259*(1-AD259))</f>
        <v>39230.095069918083</v>
      </c>
      <c r="AK259" s="11">
        <f>IF($A259&gt;'1-Input'!$B$26,0,IF(AP258&lt;=0,0,MAX(0,(AP258-AQ258)/AP258)))</f>
        <v>0.49335620979797024</v>
      </c>
      <c r="AL259" s="18">
        <f>IF($A259&gt;'1-Input'!$B$26,0,(MAX(0,AK231-IF($A259&gt;='1-Input'!$C$12,'1-Input'!$B$12,0))-MIN(MAX(AO258,0),MAX(0,AK231-IF($A259&gt;='1-Input'!$C$12,'1-Input'!$B$12,0))))*(1/(1-'P-Parametri'!$B$6*AK259))+MIN(MAX(0,AP258-(MAX(0,AK231-IF($A259&gt;='1-Input'!$C$12,'1-Input'!$B$12,0))-MIN(MAX(AO258,0),MAX(0,AK231-IF($A259&gt;='1-Input'!$C$12,'1-Input'!$B$12,0))))*(1/(1-'P-Parametri'!$B$6*AK259))),MAX(0,2*AK231-(AO258-MIN(MAX(AO258,0),MAX(0,AK231-IF($A259&gt;='1-Input'!$C$12,'1-Input'!$B$12,0)))))*(1/(1-'P-Parametri'!$B$6*AK259))))</f>
        <v>6509.4056342627719</v>
      </c>
      <c r="AM259" s="18">
        <f>IF($A259&gt;'1-Input'!$B$26,AO258,(AO258-MAX(0,AK231-IF($A259&gt;='1-Input'!$C$12,'1-Input'!$B$12,0))+AL259*(1-'P-Parametri'!$B$6*AK259))*(1+'1-Input'!$B$27))</f>
        <v>33193.073901211232</v>
      </c>
      <c r="AN259" s="18">
        <f>IF($A259&gt;'1-Input'!$B$26,AP258,(AP258-AL259)*(1+$B$4))</f>
        <v>78979.941616194352</v>
      </c>
      <c r="AO259" s="18">
        <f>IF($A259&gt;'1-Input'!$B$26,AM259,AM259-'P-Parametri'!$B$8*(AN259+AM259)+MIN(MAX(AN259,0),'P-Parametri'!$B$8*(AN259+AM259)))</f>
        <v>33193.073901211232</v>
      </c>
      <c r="AP259" s="18">
        <f>IF($A259&gt;'1-Input'!$B$26,AN259,AN259-MIN(MAX(AN259,0),'P-Parametri'!$B$8*(AN259+AM259)))</f>
        <v>78755.595585159535</v>
      </c>
      <c r="AQ259" s="18">
        <f>IF($A259&gt;'1-Input'!$B$26,AQ258,AQ258-AL259*(1-AK259))</f>
        <v>39230.095068984054</v>
      </c>
    </row>
    <row r="260" spans="1:43">
      <c r="A260" s="10">
        <f>27</f>
        <v>27</v>
      </c>
      <c r="B260" s="11">
        <f>IF($A260&gt;'1-Input'!$B$26,0,IF(G259&lt;=0,0,MAX(0,(G259-H259)/G259)))</f>
        <v>0.50184054131798217</v>
      </c>
      <c r="C260" s="18">
        <f>IF($A260&gt;'1-Input'!$B$26,0,(MAX(0,B231-IF($A260&gt;='1-Input'!$C$12,'1-Input'!$B$12,0))-MIN(MAX(F259,0),MAX(0,B231-IF($A260&gt;='1-Input'!$C$12,'1-Input'!$B$12,0))))*(1/(1-'P-Parametri'!$B$6*B260))+MIN(MAX(0,G259-(MAX(0,B231-IF($A260&gt;='1-Input'!$C$12,'1-Input'!$B$12,0))-MIN(MAX(F259,0),MAX(0,B231-IF($A260&gt;='1-Input'!$C$12,'1-Input'!$B$12,0))))*(1/(1-'P-Parametri'!$B$6*B260))),MAX(0,2*B231-(F259-MIN(MAX(F259,0),MAX(0,B231-IF($A260&gt;='1-Input'!$C$12,'1-Input'!$B$12,0)))))*(1/(1-'P-Parametri'!$B$6*B260))))</f>
        <v>6554.3625775019636</v>
      </c>
      <c r="D260" s="18">
        <f>IF($A260&gt;'1-Input'!$B$26,F259,(F259-MAX(0,B231-IF($A260&gt;='1-Input'!$C$12,'1-Input'!$B$12,0))+C260*(1-'P-Parametri'!$B$6*B260))*(1+'1-Input'!$B$27))</f>
        <v>33242.0070309863</v>
      </c>
      <c r="E260" s="18">
        <f>IF($A260&gt;'1-Input'!$B$26,G259,(G259-C260)*(1+$B$4))</f>
        <v>72636.131951305302</v>
      </c>
      <c r="F260" s="18">
        <f>IF($A260&gt;'1-Input'!$B$26,D260,D260-'P-Parametri'!$B$8*(E260+D260)+MIN(MAX(E260,0),'P-Parametri'!$B$8*(E260+D260)))</f>
        <v>33242.0070309863</v>
      </c>
      <c r="G260" s="18">
        <f>IF($A260&gt;'1-Input'!$B$26,E260,E260-MIN(MAX(E260,0),'P-Parametri'!$B$8*(E260+D260)))</f>
        <v>72424.375673340721</v>
      </c>
      <c r="H260" s="18">
        <f>IF($A260&gt;'1-Input'!$B$26,H259,H259-C260*(1-B260))</f>
        <v>35474.878601586141</v>
      </c>
      <c r="I260" s="11">
        <f>IF($A260&gt;'1-Input'!$B$26,0,IF(N259&lt;=0,0,MAX(0,(N259-O259)/N259)))</f>
        <v>0</v>
      </c>
      <c r="J260" s="18">
        <f>IF($A260&gt;'1-Input'!$B$26,0,(MAX(0,I231-IF($A260&gt;='1-Input'!$C$12,'1-Input'!$B$12,0))-MIN(MAX(M259,0),MAX(0,I231-IF($A260&gt;='1-Input'!$C$12,'1-Input'!$B$12,0))))*(1/(1-'P-Parametri'!$B$6*I260))+MIN(MAX(0,N259-(MAX(0,I231-IF($A260&gt;='1-Input'!$C$12,'1-Input'!$B$12,0))-MIN(MAX(M259,0),MAX(0,I231-IF($A260&gt;='1-Input'!$C$12,'1-Input'!$B$12,0))))*(1/(1-'P-Parametri'!$B$6*I260))),MAX(0,2*I231-(M259-MIN(MAX(M259,0),MAX(0,I231-IF($A260&gt;='1-Input'!$C$12,'1-Input'!$B$12,0)))))*(1/(1-'P-Parametri'!$B$6*I260))))</f>
        <v>10846.756992928691</v>
      </c>
      <c r="K260" s="18">
        <f>IF($A260&gt;'1-Input'!$B$26,M259,(M259-MAX(0,I231-IF($A260&gt;='1-Input'!$C$12,'1-Input'!$B$12,0))+J260*(1-'P-Parametri'!$B$6*I260))*(1+'1-Input'!$B$27))</f>
        <v>0</v>
      </c>
      <c r="L260" s="18">
        <f>IF($A260&gt;'1-Input'!$B$26,N259,(N259-J260)*(1+$B$4))</f>
        <v>-80121.716953122581</v>
      </c>
      <c r="M260" s="18">
        <f>IF($A260&gt;'1-Input'!$B$26,K260,K260-'P-Parametri'!$B$8*(L260+K260)+MIN(MAX(L260,0),'P-Parametri'!$B$8*(L260+K260)))</f>
        <v>0</v>
      </c>
      <c r="N260" s="18">
        <f>IF($A260&gt;'1-Input'!$B$26,L260,L260-MIN(MAX(L260,0),'P-Parametri'!$B$8*(L260+K260)))</f>
        <v>-79961.473519216335</v>
      </c>
      <c r="O260" s="18">
        <f>IF($A260&gt;'1-Input'!$B$26,O259,O259-J260*(1-I260))</f>
        <v>-74665.459156330326</v>
      </c>
      <c r="P260" s="11">
        <f>IF($A260&gt;'1-Input'!$B$26,0,IF(U259&lt;=0,0,MAX(0,(U259-V259)/U259)))</f>
        <v>0.50187343802717865</v>
      </c>
      <c r="Q260" s="18">
        <f>IF($A260&gt;'1-Input'!$B$26,0,(MAX(0,P231-IF($A260&gt;='1-Input'!$C$12,'1-Input'!$B$12,0))-MIN(MAX(T259,0),MAX(0,P231-IF($A260&gt;='1-Input'!$C$12,'1-Input'!$B$12,0))))*(1/(1-'P-Parametri'!$B$6*P260))+MIN(MAX(0,U259-(MAX(0,P231-IF($A260&gt;='1-Input'!$C$12,'1-Input'!$B$12,0))-MIN(MAX(T259,0),MAX(0,P231-IF($A260&gt;='1-Input'!$C$12,'1-Input'!$B$12,0))))*(1/(1-'P-Parametri'!$B$6*P260))),MAX(0,2*P231-(T259-MIN(MAX(T259,0),MAX(0,P231-IF($A260&gt;='1-Input'!$C$12,'1-Input'!$B$12,0)))))*(1/(1-'P-Parametri'!$B$6*P260))))</f>
        <v>6527.6411282510198</v>
      </c>
      <c r="R260" s="18">
        <f>IF($A260&gt;'1-Input'!$B$26,T259,(T259-MAX(0,P231-IF($A260&gt;='1-Input'!$C$12,'1-Input'!$B$12,0))+Q260*(1-'P-Parametri'!$B$6*P260))*(1+'1-Input'!$B$27))</f>
        <v>33195.925103139183</v>
      </c>
      <c r="S260" s="18">
        <f>IF($A260&gt;'1-Input'!$B$26,U259,(U259-Q260)*(1+$B$4))</f>
        <v>73613.714281562119</v>
      </c>
      <c r="T260" s="18">
        <f>IF($A260&gt;'1-Input'!$B$26,R260,R260-'P-Parametri'!$B$8*(S260+R260)+MIN(MAX(S260,0),'P-Parametri'!$B$8*(S260+R260)))</f>
        <v>33195.925103139183</v>
      </c>
      <c r="U260" s="18">
        <f>IF($A260&gt;'1-Input'!$B$26,S260,S260-MIN(MAX(S260,0),'P-Parametri'!$B$8*(S260+R260)))</f>
        <v>73400.095002792717</v>
      </c>
      <c r="V260" s="18">
        <f>IF($A260&gt;'1-Input'!$B$26,V259,V259-Q260*(1-P260))</f>
        <v>35949.947459925606</v>
      </c>
      <c r="W260" s="11">
        <f>IF($A260&gt;'1-Input'!$B$26,0,IF(AB259&lt;=0,0,MAX(0,(AB259-AC259)/AB259)))</f>
        <v>0.50187533792830064</v>
      </c>
      <c r="X260" s="18">
        <f>IF($A260&gt;'1-Input'!$B$26,0,(MAX(0,W231-IF($A260&gt;='1-Input'!$C$12,'1-Input'!$B$12,0))-MIN(MAX(AA259,0),MAX(0,W231-IF($A260&gt;='1-Input'!$C$12,'1-Input'!$B$12,0))))*(1/(1-'P-Parametri'!$B$6*W260))+MIN(MAX(0,AB259-(MAX(0,W231-IF($A260&gt;='1-Input'!$C$12,'1-Input'!$B$12,0))-MIN(MAX(AA259,0),MAX(0,W231-IF($A260&gt;='1-Input'!$C$12,'1-Input'!$B$12,0))))*(1/(1-'P-Parametri'!$B$6*W260))),MAX(0,2*W231-(AA259-MIN(MAX(AA259,0),MAX(0,W231-IF($A260&gt;='1-Input'!$C$12,'1-Input'!$B$12,0)))))*(1/(1-'P-Parametri'!$B$6*W260))))</f>
        <v>6526.0852181285763</v>
      </c>
      <c r="Y260" s="18">
        <f>IF($A260&gt;'1-Input'!$B$26,AA259,(AA259-MAX(0,W231-IF($A260&gt;='1-Input'!$C$12,'1-Input'!$B$12,0))+X260*(1-'P-Parametri'!$B$6*W260))*(1+'1-Input'!$B$27))</f>
        <v>33193.241970369134</v>
      </c>
      <c r="Z260" s="18">
        <f>IF($A260&gt;'1-Input'!$B$26,AB259,(AB259-X260)*(1+$B$4))</f>
        <v>73670.634546613175</v>
      </c>
      <c r="AA260" s="18">
        <f>IF($A260&gt;'1-Input'!$B$26,Y260,Y260-'P-Parametri'!$B$8*(Z260+Y260)+MIN(MAX(Z260,0),'P-Parametri'!$B$8*(Z260+Y260)))</f>
        <v>33193.241970369134</v>
      </c>
      <c r="AB260" s="18">
        <f>IF($A260&gt;'1-Input'!$B$26,Z260,Z260-MIN(MAX(Z260,0),'P-Parametri'!$B$8*(Z260+Y260)))</f>
        <v>73456.906793579212</v>
      </c>
      <c r="AC260" s="18">
        <f>IF($A260&gt;'1-Input'!$B$26,AC259,AC259-X260*(1-W260))</f>
        <v>35977.607782489555</v>
      </c>
      <c r="AD260" s="11">
        <f>IF($A260&gt;'1-Input'!$B$26,0,IF(AI259&lt;=0,0,MAX(0,(AI259-AJ259)/AI259)))</f>
        <v>0.50187545688028279</v>
      </c>
      <c r="AE260" s="18">
        <f>IF($A260&gt;'1-Input'!$B$26,0,(MAX(0,AD231-IF($A260&gt;='1-Input'!$C$12,'1-Input'!$B$12,0))-MIN(MAX(AH259,0),MAX(0,AD231-IF($A260&gt;='1-Input'!$C$12,'1-Input'!$B$12,0))))*(1/(1-'P-Parametri'!$B$6*AD260))+MIN(MAX(0,AI259-(MAX(0,AD231-IF($A260&gt;='1-Input'!$C$12,'1-Input'!$B$12,0))-MIN(MAX(AH259,0),MAX(0,AD231-IF($A260&gt;='1-Input'!$C$12,'1-Input'!$B$12,0))))*(1/(1-'P-Parametri'!$B$6*AD260))),MAX(0,2*AD231-(AH259-MIN(MAX(AH259,0),MAX(0,AD231-IF($A260&gt;='1-Input'!$C$12,'1-Input'!$B$12,0)))))*(1/(1-'P-Parametri'!$B$6*AD260))))</f>
        <v>6525.9877570172166</v>
      </c>
      <c r="AF260" s="18">
        <f>IF($A260&gt;'1-Input'!$B$26,AH259,(AH259-MAX(0,AD231-IF($A260&gt;='1-Input'!$C$12,'1-Input'!$B$12,0))+AE260*(1-'P-Parametri'!$B$6*AD260))*(1+'1-Input'!$B$27))</f>
        <v>33193.073901117954</v>
      </c>
      <c r="AG260" s="18">
        <f>IF($A260&gt;'1-Input'!$B$26,AI259,(AI259-AE260)*(1+$B$4))</f>
        <v>73674.19998662849</v>
      </c>
      <c r="AH260" s="18">
        <f>IF($A260&gt;'1-Input'!$B$26,AF260,AF260-'P-Parametri'!$B$8*(AG260+AF260)+MIN(MAX(AG260,0),'P-Parametri'!$B$8*(AG260+AF260)))</f>
        <v>33193.073901117954</v>
      </c>
      <c r="AI260" s="18">
        <f>IF($A260&gt;'1-Input'!$B$26,AG260,AG260-MIN(MAX(AG260,0),'P-Parametri'!$B$8*(AG260+AF260)))</f>
        <v>73460.465438853003</v>
      </c>
      <c r="AJ260" s="18">
        <f>IF($A260&gt;'1-Input'!$B$26,AJ259,AJ259-AE260*(1-AD260))</f>
        <v>35979.340400049012</v>
      </c>
      <c r="AK260" s="11">
        <f>IF($A260&gt;'1-Input'!$B$26,0,IF(AP259&lt;=0,0,MAX(0,(AP259-AQ259)/AP259)))</f>
        <v>0.50187545688021618</v>
      </c>
      <c r="AL260" s="18">
        <f>IF($A260&gt;'1-Input'!$B$26,0,(MAX(0,AK231-IF($A260&gt;='1-Input'!$C$12,'1-Input'!$B$12,0))-MIN(MAX(AO259,0),MAX(0,AK231-IF($A260&gt;='1-Input'!$C$12,'1-Input'!$B$12,0))))*(1/(1-'P-Parametri'!$B$6*AK260))+MIN(MAX(0,AP259-(MAX(0,AK231-IF($A260&gt;='1-Input'!$C$12,'1-Input'!$B$12,0))-MIN(MAX(AO259,0),MAX(0,AK231-IF($A260&gt;='1-Input'!$C$12,'1-Input'!$B$12,0))))*(1/(1-'P-Parametri'!$B$6*AK260))),MAX(0,2*AK231-(AO259-MIN(MAX(AO259,0),MAX(0,AK231-IF($A260&gt;='1-Input'!$C$12,'1-Input'!$B$12,0)))))*(1/(1-'P-Parametri'!$B$6*AK260))))</f>
        <v>6525.9877570713024</v>
      </c>
      <c r="AM260" s="18">
        <f>IF($A260&gt;'1-Input'!$B$26,AO259,(AO259-MAX(0,AK231-IF($A260&gt;='1-Input'!$C$12,'1-Input'!$B$12,0))+AL260*(1-'P-Parametri'!$B$6*AK260))*(1+'1-Input'!$B$27))</f>
        <v>33193.073901211232</v>
      </c>
      <c r="AN260" s="18">
        <f>IF($A260&gt;'1-Input'!$B$26,AP259,(AP259-AL260)*(1+$B$4))</f>
        <v>73674.199984649997</v>
      </c>
      <c r="AO260" s="18">
        <f>IF($A260&gt;'1-Input'!$B$26,AM260,AM260-'P-Parametri'!$B$8*(AN260+AM260)+MIN(MAX(AN260,0),'P-Parametri'!$B$8*(AN260+AM260)))</f>
        <v>33193.073901211232</v>
      </c>
      <c r="AP260" s="18">
        <f>IF($A260&gt;'1-Input'!$B$26,AN260,AN260-MIN(MAX(AN260,0),'P-Parametri'!$B$8*(AN260+AM260)))</f>
        <v>73460.465436878279</v>
      </c>
      <c r="AQ260" s="18">
        <f>IF($A260&gt;'1-Input'!$B$26,AQ259,AQ259-AL260*(1-AK260))</f>
        <v>35979.34039908761</v>
      </c>
    </row>
    <row r="261" spans="1:43">
      <c r="A261" s="10">
        <f>28</f>
        <v>28</v>
      </c>
      <c r="B261" s="11">
        <f>IF($A261&gt;'1-Input'!$B$26,0,IF(G260&lt;=0,0,MAX(0,(G260-H260)/G260)))</f>
        <v>0.510180401670423</v>
      </c>
      <c r="C261" s="18">
        <f>IF($A261&gt;'1-Input'!$B$26,0,(MAX(0,B231-IF($A261&gt;='1-Input'!$C$12,'1-Input'!$B$12,0))-MIN(MAX(F260,0),MAX(0,B231-IF($A261&gt;='1-Input'!$C$12,'1-Input'!$B$12,0))))*(1/(1-'P-Parametri'!$B$6*B261))+MIN(MAX(0,G260-(MAX(0,B231-IF($A261&gt;='1-Input'!$C$12,'1-Input'!$B$12,0))-MIN(MAX(F260,0),MAX(0,B231-IF($A261&gt;='1-Input'!$C$12,'1-Input'!$B$12,0))))*(1/(1-'P-Parametri'!$B$6*B261))),MAX(0,2*B231-(F260-MIN(MAX(F260,0),MAX(0,B231-IF($A261&gt;='1-Input'!$C$12,'1-Input'!$B$12,0)))))*(1/(1-'P-Parametri'!$B$6*B261))))</f>
        <v>6570.748340010362</v>
      </c>
      <c r="D261" s="18">
        <f>IF($A261&gt;'1-Input'!$B$26,F260,(F260-MAX(0,B231-IF($A261&gt;='1-Input'!$C$12,'1-Input'!$B$12,0))+C261*(1-'P-Parametri'!$B$6*B261))*(1+'1-Input'!$B$27))</f>
        <v>33242.0070309863</v>
      </c>
      <c r="E261" s="18">
        <f>IF($A261&gt;'1-Input'!$B$26,G260,(G260-C261)*(1+$B$4))</f>
        <v>67170.699879996959</v>
      </c>
      <c r="F261" s="18">
        <f>IF($A261&gt;'1-Input'!$B$26,D261,D261-'P-Parametri'!$B$8*(E261+D261)+MIN(MAX(E261,0),'P-Parametri'!$B$8*(E261+D261)))</f>
        <v>33242.0070309863</v>
      </c>
      <c r="G261" s="18">
        <f>IF($A261&gt;'1-Input'!$B$26,E261,E261-MIN(MAX(E261,0),'P-Parametri'!$B$8*(E261+D261)))</f>
        <v>66969.874466174995</v>
      </c>
      <c r="H261" s="18">
        <f>IF($A261&gt;'1-Input'!$B$26,H260,H260-C261*(1-B261))</f>
        <v>32256.397288957531</v>
      </c>
      <c r="I261" s="11">
        <f>IF($A261&gt;'1-Input'!$B$26,0,IF(N260&lt;=0,0,MAX(0,(N260-O260)/N260)))</f>
        <v>0</v>
      </c>
      <c r="J261" s="18">
        <f>IF($A261&gt;'1-Input'!$B$26,0,(MAX(0,I231-IF($A261&gt;='1-Input'!$C$12,'1-Input'!$B$12,0))-MIN(MAX(M260,0),MAX(0,I231-IF($A261&gt;='1-Input'!$C$12,'1-Input'!$B$12,0))))*(1/(1-'P-Parametri'!$B$6*I261))+MIN(MAX(0,N260-(MAX(0,I231-IF($A261&gt;='1-Input'!$C$12,'1-Input'!$B$12,0))-MIN(MAX(M260,0),MAX(0,I231-IF($A261&gt;='1-Input'!$C$12,'1-Input'!$B$12,0))))*(1/(1-'P-Parametri'!$B$6*I261))),MAX(0,2*I231-(M260-MIN(MAX(M260,0),MAX(0,I231-IF($A261&gt;='1-Input'!$C$12,'1-Input'!$B$12,0)))))*(1/(1-'P-Parametri'!$B$6*I261))))</f>
        <v>10846.756992928691</v>
      </c>
      <c r="K261" s="18">
        <f>IF($A261&gt;'1-Input'!$B$26,M260,(M260-MAX(0,I231-IF($A261&gt;='1-Input'!$C$12,'1-Input'!$B$12,0))+J261*(1-'P-Parametri'!$B$6*I261))*(1+'1-Input'!$B$27))</f>
        <v>0</v>
      </c>
      <c r="L261" s="18">
        <f>IF($A261&gt;'1-Input'!$B$26,N260,(N260-J261)*(1+$B$4))</f>
        <v>-92624.395122387941</v>
      </c>
      <c r="M261" s="18">
        <f>IF($A261&gt;'1-Input'!$B$26,K261,K261-'P-Parametri'!$B$8*(L261+K261)+MIN(MAX(L261,0),'P-Parametri'!$B$8*(L261+K261)))</f>
        <v>0</v>
      </c>
      <c r="N261" s="18">
        <f>IF($A261&gt;'1-Input'!$B$26,L261,L261-MIN(MAX(L261,0),'P-Parametri'!$B$8*(L261+K261)))</f>
        <v>-92439.146332143166</v>
      </c>
      <c r="O261" s="18">
        <f>IF($A261&gt;'1-Input'!$B$26,O260,O260-J261*(1-I261))</f>
        <v>-85512.216149259009</v>
      </c>
      <c r="P261" s="11">
        <f>IF($A261&gt;'1-Input'!$B$26,0,IF(U260&lt;=0,0,MAX(0,(U260-V260)/U260)))</f>
        <v>0.51021933338699643</v>
      </c>
      <c r="Q261" s="18">
        <f>IF($A261&gt;'1-Input'!$B$26,0,(MAX(0,P231-IF($A261&gt;='1-Input'!$C$12,'1-Input'!$B$12,0))-MIN(MAX(T260,0),MAX(0,P231-IF($A261&gt;='1-Input'!$C$12,'1-Input'!$B$12,0))))*(1/(1-'P-Parametri'!$B$6*P261))+MIN(MAX(0,U260-(MAX(0,P231-IF($A261&gt;='1-Input'!$C$12,'1-Input'!$B$12,0))-MIN(MAX(T260,0),MAX(0,P231-IF($A261&gt;='1-Input'!$C$12,'1-Input'!$B$12,0))))*(1/(1-'P-Parametri'!$B$6*P261))),MAX(0,2*P231-(T260-MIN(MAX(T260,0),MAX(0,P231-IF($A261&gt;='1-Input'!$C$12,'1-Input'!$B$12,0)))))*(1/(1-'P-Parametri'!$B$6*P261))))</f>
        <v>6543.9720872654525</v>
      </c>
      <c r="R261" s="18">
        <f>IF($A261&gt;'1-Input'!$B$26,T260,(T260-MAX(0,P231-IF($A261&gt;='1-Input'!$C$12,'1-Input'!$B$12,0))+Q261*(1-'P-Parametri'!$B$6*P261))*(1+'1-Input'!$B$27))</f>
        <v>33195.925103139183</v>
      </c>
      <c r="S261" s="18">
        <f>IF($A261&gt;'1-Input'!$B$26,U260,(U260-Q261)*(1+$B$4))</f>
        <v>68193.24537383781</v>
      </c>
      <c r="T261" s="18">
        <f>IF($A261&gt;'1-Input'!$B$26,R261,R261-'P-Parametri'!$B$8*(S261+R261)+MIN(MAX(S261,0),'P-Parametri'!$B$8*(S261+R261)))</f>
        <v>33195.925103139183</v>
      </c>
      <c r="U261" s="18">
        <f>IF($A261&gt;'1-Input'!$B$26,S261,S261-MIN(MAX(S261,0),'P-Parametri'!$B$8*(S261+R261)))</f>
        <v>67990.467032883855</v>
      </c>
      <c r="V261" s="18">
        <f>IF($A261&gt;'1-Input'!$B$26,V260,V260-Q261*(1-P261))</f>
        <v>32744.836448727845</v>
      </c>
      <c r="W261" s="11">
        <f>IF($A261&gt;'1-Input'!$B$26,0,IF(AB260&lt;=0,0,MAX(0,(AB260-AC260)/AB260)))</f>
        <v>0.51022157952294389</v>
      </c>
      <c r="X261" s="18">
        <f>IF($A261&gt;'1-Input'!$B$26,0,(MAX(0,W231-IF($A261&gt;='1-Input'!$C$12,'1-Input'!$B$12,0))-MIN(MAX(AA260,0),MAX(0,W231-IF($A261&gt;='1-Input'!$C$12,'1-Input'!$B$12,0))))*(1/(1-'P-Parametri'!$B$6*W261))+MIN(MAX(0,AB260-(MAX(0,W231-IF($A261&gt;='1-Input'!$C$12,'1-Input'!$B$12,0))-MIN(MAX(AA260,0),MAX(0,W231-IF($A261&gt;='1-Input'!$C$12,'1-Input'!$B$12,0))))*(1/(1-'P-Parametri'!$B$6*W261))),MAX(0,2*W231-(AA260-MIN(MAX(AA260,0),MAX(0,W231-IF($A261&gt;='1-Input'!$C$12,'1-Input'!$B$12,0)))))*(1/(1-'P-Parametri'!$B$6*W261))))</f>
        <v>6542.412972874251</v>
      </c>
      <c r="Y261" s="18">
        <f>IF($A261&gt;'1-Input'!$B$26,AA260,(AA260-MAX(0,W231-IF($A261&gt;='1-Input'!$C$12,'1-Input'!$B$12,0))+X261*(1-'P-Parametri'!$B$6*W261))*(1+'1-Input'!$B$27))</f>
        <v>33193.241970369134</v>
      </c>
      <c r="Z261" s="18">
        <f>IF($A261&gt;'1-Input'!$B$26,AB260,(AB260-X261)*(1+$B$4))</f>
        <v>68252.783697119055</v>
      </c>
      <c r="AA261" s="18">
        <f>IF($A261&gt;'1-Input'!$B$26,Y261,Y261-'P-Parametri'!$B$8*(Z261+Y261)+MIN(MAX(Z261,0),'P-Parametri'!$B$8*(Z261+Y261)))</f>
        <v>33193.241970369134</v>
      </c>
      <c r="AB261" s="18">
        <f>IF($A261&gt;'1-Input'!$B$26,Z261,Z261-MIN(MAX(Z261,0),'P-Parametri'!$B$8*(Z261+Y261)))</f>
        <v>68049.891645784082</v>
      </c>
      <c r="AC261" s="18">
        <f>IF($A261&gt;'1-Input'!$B$26,AC260,AC260-X261*(1-W261))</f>
        <v>32773.2750905266</v>
      </c>
      <c r="AD261" s="11">
        <f>IF($A261&gt;'1-Input'!$B$26,0,IF(AI260&lt;=0,0,MAX(0,(AI260-AJ260)/AI260)))</f>
        <v>0.51022172014418443</v>
      </c>
      <c r="AE261" s="18">
        <f>IF($A261&gt;'1-Input'!$B$26,0,(MAX(0,AD231-IF($A261&gt;='1-Input'!$C$12,'1-Input'!$B$12,0))-MIN(MAX(AH260,0),MAX(0,AD231-IF($A261&gt;='1-Input'!$C$12,'1-Input'!$B$12,0))))*(1/(1-'P-Parametri'!$B$6*AD261))+MIN(MAX(0,AI260-(MAX(0,AD231-IF($A261&gt;='1-Input'!$C$12,'1-Input'!$B$12,0))-MIN(MAX(AH260,0),MAX(0,AD231-IF($A261&gt;='1-Input'!$C$12,'1-Input'!$B$12,0))))*(1/(1-'P-Parametri'!$B$6*AD261))),MAX(0,2*AD231-(AH260-MIN(MAX(AH260,0),MAX(0,AD231-IF($A261&gt;='1-Input'!$C$12,'1-Input'!$B$12,0)))))*(1/(1-'P-Parametri'!$B$6*AD261))))</f>
        <v>6542.3153110020203</v>
      </c>
      <c r="AF261" s="18">
        <f>IF($A261&gt;'1-Input'!$B$26,AH260,(AH260-MAX(0,AD231-IF($A261&gt;='1-Input'!$C$12,'1-Input'!$B$12,0))+AE261*(1-'P-Parametri'!$B$6*AD261))*(1+'1-Input'!$B$27))</f>
        <v>33193.073901117954</v>
      </c>
      <c r="AG261" s="18">
        <f>IF($A261&gt;'1-Input'!$B$26,AI260,(AI260-AE261)*(1+$B$4))</f>
        <v>68256.513130407999</v>
      </c>
      <c r="AH261" s="18">
        <f>IF($A261&gt;'1-Input'!$B$26,AF261,AF261-'P-Parametri'!$B$8*(AG261+AF261)+MIN(MAX(AG261,0),'P-Parametri'!$B$8*(AG261+AF261)))</f>
        <v>33193.073901117954</v>
      </c>
      <c r="AI261" s="18">
        <f>IF($A261&gt;'1-Input'!$B$26,AG261,AG261-MIN(MAX(AG261,0),'P-Parametri'!$B$8*(AG261+AF261)))</f>
        <v>68053.61395634494</v>
      </c>
      <c r="AJ261" s="18">
        <f>IF($A261&gt;'1-Input'!$B$26,AJ260,AJ260-AE261*(1-AD261))</f>
        <v>32775.056460752079</v>
      </c>
      <c r="AK261" s="11">
        <f>IF($A261&gt;'1-Input'!$B$26,0,IF(AP260&lt;=0,0,MAX(0,(AP260-AQ260)/AP260)))</f>
        <v>0.51022172014410583</v>
      </c>
      <c r="AL261" s="18">
        <f>IF($A261&gt;'1-Input'!$B$26,0,(MAX(0,AK231-IF($A261&gt;='1-Input'!$C$12,'1-Input'!$B$12,0))-MIN(MAX(AO260,0),MAX(0,AK231-IF($A261&gt;='1-Input'!$C$12,'1-Input'!$B$12,0))))*(1/(1-'P-Parametri'!$B$6*AK261))+MIN(MAX(0,AP260-(MAX(0,AK231-IF($A261&gt;='1-Input'!$C$12,'1-Input'!$B$12,0))-MIN(MAX(AO260,0),MAX(0,AK231-IF($A261&gt;='1-Input'!$C$12,'1-Input'!$B$12,0))))*(1/(1-'P-Parametri'!$B$6*AK261))),MAX(0,2*AK231-(AO260-MIN(MAX(AO260,0),MAX(0,AK231-IF($A261&gt;='1-Input'!$C$12,'1-Input'!$B$12,0)))))*(1/(1-'P-Parametri'!$B$6*AK261))))</f>
        <v>6542.3153110562171</v>
      </c>
      <c r="AM261" s="18">
        <f>IF($A261&gt;'1-Input'!$B$26,AO260,(AO260-MAX(0,AK231-IF($A261&gt;='1-Input'!$C$12,'1-Input'!$B$12,0))+AL261*(1-'P-Parametri'!$B$6*AK261))*(1+'1-Input'!$B$27))</f>
        <v>33193.073901211232</v>
      </c>
      <c r="AN261" s="18">
        <f>IF($A261&gt;'1-Input'!$B$26,AP260,(AP260-AL261)*(1+$B$4))</f>
        <v>68256.513128338513</v>
      </c>
      <c r="AO261" s="18">
        <f>IF($A261&gt;'1-Input'!$B$26,AM261,AM261-'P-Parametri'!$B$8*(AN261+AM261)+MIN(MAX(AN261,0),'P-Parametri'!$B$8*(AN261+AM261)))</f>
        <v>33193.073901211232</v>
      </c>
      <c r="AP261" s="18">
        <f>IF($A261&gt;'1-Input'!$B$26,AN261,AN261-MIN(MAX(AN261,0),'P-Parametri'!$B$8*(AN261+AM261)))</f>
        <v>68053.613954279412</v>
      </c>
      <c r="AQ261" s="18">
        <f>IF($A261&gt;'1-Input'!$B$26,AQ260,AQ260-AL261*(1-AK261))</f>
        <v>32775.056459763618</v>
      </c>
    </row>
    <row r="262" spans="1:43">
      <c r="A262" s="10">
        <f>29</f>
        <v>29</v>
      </c>
      <c r="B262" s="11">
        <f>IF($A262&gt;'1-Input'!$B$26,0,IF(G261&lt;=0,0,MAX(0,(G261-H261)/G261)))</f>
        <v>0.51834466547716873</v>
      </c>
      <c r="C262" s="18">
        <f>IF($A262&gt;'1-Input'!$B$26,0,(MAX(0,B231-IF($A262&gt;='1-Input'!$C$12,'1-Input'!$B$12,0))-MIN(MAX(F261,0),MAX(0,B231-IF($A262&gt;='1-Input'!$C$12,'1-Input'!$B$12,0))))*(1/(1-'P-Parametri'!$B$6*B262))+MIN(MAX(0,G261-(MAX(0,B231-IF($A262&gt;='1-Input'!$C$12,'1-Input'!$B$12,0))-MIN(MAX(F261,0),MAX(0,B231-IF($A262&gt;='1-Input'!$C$12,'1-Input'!$B$12,0))))*(1/(1-'P-Parametri'!$B$6*B262))),MAX(0,2*B231-(F261-MIN(MAX(F261,0),MAX(0,B231-IF($A262&gt;='1-Input'!$C$12,'1-Input'!$B$12,0)))))*(1/(1-'P-Parametri'!$B$6*B262))))</f>
        <v>6586.8686521866375</v>
      </c>
      <c r="D262" s="18">
        <f>IF($A262&gt;'1-Input'!$B$26,F261,(F261-MAX(0,B231-IF($A262&gt;='1-Input'!$C$12,'1-Input'!$B$12,0))+C262*(1-'P-Parametri'!$B$6*B262))*(1+'1-Input'!$B$27))</f>
        <v>33242.0070309863</v>
      </c>
      <c r="E262" s="18">
        <f>IF($A262&gt;'1-Input'!$B$26,G261,(G261-C262)*(1+$B$4))</f>
        <v>61590.665930268122</v>
      </c>
      <c r="F262" s="18">
        <f>IF($A262&gt;'1-Input'!$B$26,D262,D262-'P-Parametri'!$B$8*(E262+D262)+MIN(MAX(E262,0),'P-Parametri'!$B$8*(E262+D262)))</f>
        <v>33242.0070309863</v>
      </c>
      <c r="G262" s="18">
        <f>IF($A262&gt;'1-Input'!$B$26,E262,E262-MIN(MAX(E262,0),'P-Parametri'!$B$8*(E262+D262)))</f>
        <v>61401.000584345617</v>
      </c>
      <c r="H262" s="18">
        <f>IF($A262&gt;'1-Input'!$B$26,H261,H261-C262*(1-B262))</f>
        <v>29083.796864830627</v>
      </c>
      <c r="I262" s="11">
        <f>IF($A262&gt;'1-Input'!$B$26,0,IF(N261&lt;=0,0,MAX(0,(N261-O261)/N261)))</f>
        <v>0</v>
      </c>
      <c r="J262" s="18">
        <f>IF($A262&gt;'1-Input'!$B$26,0,(MAX(0,I231-IF($A262&gt;='1-Input'!$C$12,'1-Input'!$B$12,0))-MIN(MAX(M261,0),MAX(0,I231-IF($A262&gt;='1-Input'!$C$12,'1-Input'!$B$12,0))))*(1/(1-'P-Parametri'!$B$6*I262))+MIN(MAX(0,N261-(MAX(0,I231-IF($A262&gt;='1-Input'!$C$12,'1-Input'!$B$12,0))-MIN(MAX(M261,0),MAX(0,I231-IF($A262&gt;='1-Input'!$C$12,'1-Input'!$B$12,0))))*(1/(1-'P-Parametri'!$B$6*I262))),MAX(0,2*I231-(M261-MIN(MAX(M261,0),MAX(0,I231-IF($A262&gt;='1-Input'!$C$12,'1-Input'!$B$12,0)))))*(1/(1-'P-Parametri'!$B$6*I262))))</f>
        <v>10846.756992928691</v>
      </c>
      <c r="K262" s="18">
        <f>IF($A262&gt;'1-Input'!$B$26,M261,(M261-MAX(0,I231-IF($A262&gt;='1-Input'!$C$12,'1-Input'!$B$12,0))+J262*(1-'P-Parametri'!$B$6*I262))*(1+'1-Input'!$B$27))</f>
        <v>0</v>
      </c>
      <c r="L262" s="18">
        <f>IF($A262&gt;'1-Input'!$B$26,N261,(N261-J262)*(1+$B$4))</f>
        <v>-105351.6213915733</v>
      </c>
      <c r="M262" s="18">
        <f>IF($A262&gt;'1-Input'!$B$26,K262,K262-'P-Parametri'!$B$8*(L262+K262)+MIN(MAX(L262,0),'P-Parametri'!$B$8*(L262+K262)))</f>
        <v>0</v>
      </c>
      <c r="N262" s="18">
        <f>IF($A262&gt;'1-Input'!$B$26,L262,L262-MIN(MAX(L262,0),'P-Parametri'!$B$8*(L262+K262)))</f>
        <v>-105140.91814879015</v>
      </c>
      <c r="O262" s="18">
        <f>IF($A262&gt;'1-Input'!$B$26,O261,O261-J262*(1-I262))</f>
        <v>-96358.973142187693</v>
      </c>
      <c r="P262" s="11">
        <f>IF($A262&gt;'1-Input'!$B$26,0,IF(U261&lt;=0,0,MAX(0,(U261-V261)/U261)))</f>
        <v>0.51839077038710912</v>
      </c>
      <c r="Q262" s="18">
        <f>IF($A262&gt;'1-Input'!$B$26,0,(MAX(0,P231-IF($A262&gt;='1-Input'!$C$12,'1-Input'!$B$12,0))-MIN(MAX(T261,0),MAX(0,P231-IF($A262&gt;='1-Input'!$C$12,'1-Input'!$B$12,0))))*(1/(1-'P-Parametri'!$B$6*P262))+MIN(MAX(0,U261-(MAX(0,P231-IF($A262&gt;='1-Input'!$C$12,'1-Input'!$B$12,0))-MIN(MAX(T261,0),MAX(0,P231-IF($A262&gt;='1-Input'!$C$12,'1-Input'!$B$12,0))))*(1/(1-'P-Parametri'!$B$6*P262))),MAX(0,2*P231-(T261-MIN(MAX(T261,0),MAX(0,P231-IF($A262&gt;='1-Input'!$C$12,'1-Input'!$B$12,0)))))*(1/(1-'P-Parametri'!$B$6*P262))))</f>
        <v>6560.0410364136023</v>
      </c>
      <c r="R262" s="18">
        <f>IF($A262&gt;'1-Input'!$B$26,T261,(T261-MAX(0,P231-IF($A262&gt;='1-Input'!$C$12,'1-Input'!$B$12,0))+Q262*(1-'P-Parametri'!$B$6*P262))*(1+'1-Input'!$B$27))</f>
        <v>33195.925103139183</v>
      </c>
      <c r="S262" s="18">
        <f>IF($A262&gt;'1-Input'!$B$26,U261,(U261-Q262)*(1+$B$4))</f>
        <v>62659.034516399654</v>
      </c>
      <c r="T262" s="18">
        <f>IF($A262&gt;'1-Input'!$B$26,R262,R262-'P-Parametri'!$B$8*(S262+R262)+MIN(MAX(S262,0),'P-Parametri'!$B$8*(S262+R262)))</f>
        <v>33195.925103139183</v>
      </c>
      <c r="U262" s="18">
        <f>IF($A262&gt;'1-Input'!$B$26,S262,S262-MIN(MAX(S262,0),'P-Parametri'!$B$8*(S262+R262)))</f>
        <v>62467.324597160579</v>
      </c>
      <c r="V262" s="18">
        <f>IF($A262&gt;'1-Input'!$B$26,V261,V261-Q262*(1-P262))</f>
        <v>29585.460138951741</v>
      </c>
      <c r="W262" s="11">
        <f>IF($A262&gt;'1-Input'!$B$26,0,IF(AB261&lt;=0,0,MAX(0,(AB261-AC261)/AB261)))</f>
        <v>0.51839342726481752</v>
      </c>
      <c r="X262" s="18">
        <f>IF($A262&gt;'1-Input'!$B$26,0,(MAX(0,W231-IF($A262&gt;='1-Input'!$C$12,'1-Input'!$B$12,0))-MIN(MAX(AA261,0),MAX(0,W231-IF($A262&gt;='1-Input'!$C$12,'1-Input'!$B$12,0))))*(1/(1-'P-Parametri'!$B$6*W262))+MIN(MAX(0,AB261-(MAX(0,W231-IF($A262&gt;='1-Input'!$C$12,'1-Input'!$B$12,0))-MIN(MAX(AA261,0),MAX(0,W231-IF($A262&gt;='1-Input'!$C$12,'1-Input'!$B$12,0))))*(1/(1-'P-Parametri'!$B$6*W262))),MAX(0,2*W231-(AA261-MIN(MAX(AA261,0),MAX(0,W231-IF($A262&gt;='1-Input'!$C$12,'1-Input'!$B$12,0)))))*(1/(1-'P-Parametri'!$B$6*W262))))</f>
        <v>6558.4789139123495</v>
      </c>
      <c r="Y262" s="18">
        <f>IF($A262&gt;'1-Input'!$B$26,AA261,(AA261-MAX(0,W231-IF($A262&gt;='1-Input'!$C$12,'1-Input'!$B$12,0))+X262*(1-'P-Parametri'!$B$6*W262))*(1+'1-Input'!$B$27))</f>
        <v>33193.241970369134</v>
      </c>
      <c r="Z262" s="18">
        <f>IF($A262&gt;'1-Input'!$B$26,AB261,(AB261-X262)*(1+$B$4))</f>
        <v>62721.240986509176</v>
      </c>
      <c r="AA262" s="18">
        <f>IF($A262&gt;'1-Input'!$B$26,Y262,Y262-'P-Parametri'!$B$8*(Z262+Y262)+MIN(MAX(Z262,0),'P-Parametri'!$B$8*(Z262+Y262)))</f>
        <v>33193.241970369134</v>
      </c>
      <c r="AB262" s="18">
        <f>IF($A262&gt;'1-Input'!$B$26,Z262,Z262-MIN(MAX(Z262,0),'P-Parametri'!$B$8*(Z262+Y262)))</f>
        <v>62529.412020595417</v>
      </c>
      <c r="AC262" s="18">
        <f>IF($A262&gt;'1-Input'!$B$26,AC261,AC261-X262*(1-W262))</f>
        <v>29614.66853844131</v>
      </c>
      <c r="AD262" s="11">
        <f>IF($A262&gt;'1-Input'!$B$26,0,IF(AI261&lt;=0,0,MAX(0,(AI261-AJ261)/AI261)))</f>
        <v>0.51839359358965664</v>
      </c>
      <c r="AE262" s="18">
        <f>IF($A262&gt;'1-Input'!$B$26,0,(MAX(0,AD231-IF($A262&gt;='1-Input'!$C$12,'1-Input'!$B$12,0))-MIN(MAX(AH261,0),MAX(0,AD231-IF($A262&gt;='1-Input'!$C$12,'1-Input'!$B$12,0))))*(1/(1-'P-Parametri'!$B$6*AD262))+MIN(MAX(0,AI261-(MAX(0,AD231-IF($A262&gt;='1-Input'!$C$12,'1-Input'!$B$12,0))-MIN(MAX(AH261,0),MAX(0,AD231-IF($A262&gt;='1-Input'!$C$12,'1-Input'!$B$12,0))))*(1/(1-'P-Parametri'!$B$6*AD262))),MAX(0,2*AD231-(AH261-MIN(MAX(AH261,0),MAX(0,AD231-IF($A262&gt;='1-Input'!$C$12,'1-Input'!$B$12,0)))))*(1/(1-'P-Parametri'!$B$6*AD262))))</f>
        <v>6558.3810635515592</v>
      </c>
      <c r="AF262" s="18">
        <f>IF($A262&gt;'1-Input'!$B$26,AH261,(AH261-MAX(0,AD231-IF($A262&gt;='1-Input'!$C$12,'1-Input'!$B$12,0))+AE262*(1-'P-Parametri'!$B$6*AD262))*(1+'1-Input'!$B$27))</f>
        <v>33193.073901117954</v>
      </c>
      <c r="AG262" s="18">
        <f>IF($A262&gt;'1-Input'!$B$26,AI261,(AI261-AE262)*(1+$B$4))</f>
        <v>62725.137550649248</v>
      </c>
      <c r="AH262" s="18">
        <f>IF($A262&gt;'1-Input'!$B$26,AF262,AF262-'P-Parametri'!$B$8*(AG262+AF262)+MIN(MAX(AG262,0),'P-Parametri'!$B$8*(AG262+AF262)))</f>
        <v>33193.073901117954</v>
      </c>
      <c r="AI262" s="18">
        <f>IF($A262&gt;'1-Input'!$B$26,AG262,AG262-MIN(MAX(AG262,0),'P-Parametri'!$B$8*(AG262+AF262)))</f>
        <v>62533.301127745712</v>
      </c>
      <c r="AJ262" s="18">
        <f>IF($A262&gt;'1-Input'!$B$26,AJ261,AJ261-AE262*(1-AD262))</f>
        <v>29616.498124865368</v>
      </c>
      <c r="AK262" s="11">
        <f>IF($A262&gt;'1-Input'!$B$26,0,IF(AP261&lt;=0,0,MAX(0,(AP261-AQ261)/AP261)))</f>
        <v>0.51839359358956383</v>
      </c>
      <c r="AL262" s="18">
        <f>IF($A262&gt;'1-Input'!$B$26,0,(MAX(0,AK231-IF($A262&gt;='1-Input'!$C$12,'1-Input'!$B$12,0))-MIN(MAX(AO261,0),MAX(0,AK231-IF($A262&gt;='1-Input'!$C$12,'1-Input'!$B$12,0))))*(1/(1-'P-Parametri'!$B$6*AK262))+MIN(MAX(0,AP261-(MAX(0,AK231-IF($A262&gt;='1-Input'!$C$12,'1-Input'!$B$12,0))-MIN(MAX(AO261,0),MAX(0,AK231-IF($A262&gt;='1-Input'!$C$12,'1-Input'!$B$12,0))))*(1/(1-'P-Parametri'!$B$6*AK262))),MAX(0,2*AK231-(AO261-MIN(MAX(AO261,0),MAX(0,AK231-IF($A262&gt;='1-Input'!$C$12,'1-Input'!$B$12,0)))))*(1/(1-'P-Parametri'!$B$6*AK262))))</f>
        <v>6558.3810636058597</v>
      </c>
      <c r="AM262" s="18">
        <f>IF($A262&gt;'1-Input'!$B$26,AO261,(AO261-MAX(0,AK231-IF($A262&gt;='1-Input'!$C$12,'1-Input'!$B$12,0))+AL262*(1-'P-Parametri'!$B$6*AK262))*(1+'1-Input'!$B$27))</f>
        <v>33193.073901211232</v>
      </c>
      <c r="AN262" s="18">
        <f>IF($A262&gt;'1-Input'!$B$26,AP261,(AP261-AL262)*(1+$B$4))</f>
        <v>62725.137548487022</v>
      </c>
      <c r="AO262" s="18">
        <f>IF($A262&gt;'1-Input'!$B$26,AM262,AM262-'P-Parametri'!$B$8*(AN262+AM262)+MIN(MAX(AN262,0),'P-Parametri'!$B$8*(AN262+AM262)))</f>
        <v>33193.073901211232</v>
      </c>
      <c r="AP262" s="18">
        <f>IF($A262&gt;'1-Input'!$B$26,AN262,AN262-MIN(MAX(AN262,0),'P-Parametri'!$B$8*(AN262+AM262)))</f>
        <v>62533.301125587626</v>
      </c>
      <c r="AQ262" s="18">
        <f>IF($A262&gt;'1-Input'!$B$26,AQ261,AQ261-AL262*(1-AK262))</f>
        <v>29616.498123850146</v>
      </c>
    </row>
    <row r="263" spans="1:43">
      <c r="A263" s="10">
        <f>30</f>
        <v>30</v>
      </c>
      <c r="B263" s="11">
        <f>IF($A263&gt;'1-Input'!$B$26,0,IF(G262&lt;=0,0,MAX(0,(G262-H262)/G262)))</f>
        <v>0.5263302456304656</v>
      </c>
      <c r="C263" s="18">
        <f>IF($A263&gt;'1-Input'!$B$26,0,(MAX(0,B231-IF($A263&gt;='1-Input'!$C$12,'1-Input'!$B$12,0))-MIN(MAX(F262,0),MAX(0,B231-IF($A263&gt;='1-Input'!$C$12,'1-Input'!$B$12,0))))*(1/(1-'P-Parametri'!$B$6*B263))+MIN(MAX(0,G262-(MAX(0,B231-IF($A263&gt;='1-Input'!$C$12,'1-Input'!$B$12,0))-MIN(MAX(F262,0),MAX(0,B231-IF($A263&gt;='1-Input'!$C$12,'1-Input'!$B$12,0))))*(1/(1-'P-Parametri'!$B$6*B263))),MAX(0,2*B231-(F262-MIN(MAX(F262,0),MAX(0,B231-IF($A263&gt;='1-Input'!$C$12,'1-Input'!$B$12,0)))))*(1/(1-'P-Parametri'!$B$6*B263))))</f>
        <v>6602.7128577561698</v>
      </c>
      <c r="D263" s="18">
        <f>IF($A263&gt;'1-Input'!$B$26,F262,(F262-MAX(0,B231-IF($A263&gt;='1-Input'!$C$12,'1-Input'!$B$12,0))+C263*(1-'P-Parametri'!$B$6*B263))*(1+'1-Input'!$B$27))</f>
        <v>33242.0070309863</v>
      </c>
      <c r="E263" s="18">
        <f>IF($A263&gt;'1-Input'!$B$26,G262,(G262-C263)*(1+$B$4))</f>
        <v>55894.253481121239</v>
      </c>
      <c r="F263" s="18">
        <f>IF($A263&gt;'1-Input'!$B$26,D263,D263-'P-Parametri'!$B$8*(E263+D263)+MIN(MAX(E263,0),'P-Parametri'!$B$8*(E263+D263)))</f>
        <v>33242.0070309863</v>
      </c>
      <c r="G263" s="18">
        <f>IF($A263&gt;'1-Input'!$B$26,E263,E263-MIN(MAX(E263,0),'P-Parametri'!$B$8*(E263+D263)))</f>
        <v>55715.980960097026</v>
      </c>
      <c r="H263" s="18">
        <f>IF($A263&gt;'1-Input'!$B$26,H262,H262-C263*(1-B263))</f>
        <v>25956.291487324695</v>
      </c>
      <c r="I263" s="11">
        <f>IF($A263&gt;'1-Input'!$B$26,0,IF(N262&lt;=0,0,MAX(0,(N262-O262)/N262)))</f>
        <v>0</v>
      </c>
      <c r="J263" s="18">
        <f>IF($A263&gt;'1-Input'!$B$26,0,(MAX(0,I231-IF($A263&gt;='1-Input'!$C$12,'1-Input'!$B$12,0))-MIN(MAX(M262,0),MAX(0,I231-IF($A263&gt;='1-Input'!$C$12,'1-Input'!$B$12,0))))*(1/(1-'P-Parametri'!$B$6*I263))+MIN(MAX(0,N262-(MAX(0,I231-IF($A263&gt;='1-Input'!$C$12,'1-Input'!$B$12,0))-MIN(MAX(M262,0),MAX(0,I231-IF($A263&gt;='1-Input'!$C$12,'1-Input'!$B$12,0))))*(1/(1-'P-Parametri'!$B$6*I263))),MAX(0,2*I231-(M262-MIN(MAX(M262,0),MAX(0,I231-IF($A263&gt;='1-Input'!$C$12,'1-Input'!$B$12,0)))))*(1/(1-'P-Parametri'!$B$6*I263))))</f>
        <v>10846.756992928691</v>
      </c>
      <c r="K263" s="18">
        <f>IF($A263&gt;'1-Input'!$B$26,M262,(M262-MAX(0,I231-IF($A263&gt;='1-Input'!$C$12,'1-Input'!$B$12,0))+J263*(1-'P-Parametri'!$B$6*I263))*(1+'1-Input'!$B$27))</f>
        <v>0</v>
      </c>
      <c r="L263" s="18">
        <f>IF($A263&gt;'1-Input'!$B$26,N262,(N262-J263)*(1+$B$4))</f>
        <v>-118307.42864455323</v>
      </c>
      <c r="M263" s="18">
        <f>IF($A263&gt;'1-Input'!$B$26,K263,K263-'P-Parametri'!$B$8*(L263+K263)+MIN(MAX(L263,0),'P-Parametri'!$B$8*(L263+K263)))</f>
        <v>0</v>
      </c>
      <c r="N263" s="18">
        <f>IF($A263&gt;'1-Input'!$B$26,L263,L263-MIN(MAX(L263,0),'P-Parametri'!$B$8*(L263+K263)))</f>
        <v>-118070.81378726412</v>
      </c>
      <c r="O263" s="18">
        <f>IF($A263&gt;'1-Input'!$B$26,O262,O262-J263*(1-I263))</f>
        <v>-107205.73013511638</v>
      </c>
      <c r="P263" s="11">
        <f>IF($A263&gt;'1-Input'!$B$26,0,IF(U262&lt;=0,0,MAX(0,(U262-V262)/U262)))</f>
        <v>0.5263850288171853</v>
      </c>
      <c r="Q263" s="18">
        <f>IF($A263&gt;'1-Input'!$B$26,0,(MAX(0,P231-IF($A263&gt;='1-Input'!$C$12,'1-Input'!$B$12,0))-MIN(MAX(T262,0),MAX(0,P231-IF($A263&gt;='1-Input'!$C$12,'1-Input'!$B$12,0))))*(1/(1-'P-Parametri'!$B$6*P263))+MIN(MAX(0,U262-(MAX(0,P231-IF($A263&gt;='1-Input'!$C$12,'1-Input'!$B$12,0))-MIN(MAX(T262,0),MAX(0,P231-IF($A263&gt;='1-Input'!$C$12,'1-Input'!$B$12,0))))*(1/(1-'P-Parametri'!$B$6*P263))),MAX(0,2*P231-(T262-MIN(MAX(T262,0),MAX(0,P231-IF($A263&gt;='1-Input'!$C$12,'1-Input'!$B$12,0)))))*(1/(1-'P-Parametri'!$B$6*P263))))</f>
        <v>6575.8381193559826</v>
      </c>
      <c r="R263" s="18">
        <f>IF($A263&gt;'1-Input'!$B$26,T262,(T262-MAX(0,P231-IF($A263&gt;='1-Input'!$C$12,'1-Input'!$B$12,0))+Q263*(1-'P-Parametri'!$B$6*P263))*(1+'1-Input'!$B$27))</f>
        <v>33195.925103139183</v>
      </c>
      <c r="S263" s="18">
        <f>IF($A263&gt;'1-Input'!$B$26,U262,(U262-Q263)*(1+$B$4))</f>
        <v>57009.316207360687</v>
      </c>
      <c r="T263" s="18">
        <f>IF($A263&gt;'1-Input'!$B$26,R263,R263-'P-Parametri'!$B$8*(S263+R263)+MIN(MAX(S263,0),'P-Parametri'!$B$8*(S263+R263)))</f>
        <v>33195.925103139183</v>
      </c>
      <c r="U263" s="18">
        <f>IF($A263&gt;'1-Input'!$B$26,S263,S263-MIN(MAX(S263,0),'P-Parametri'!$B$8*(S263+R263)))</f>
        <v>56828.905724739685</v>
      </c>
      <c r="V263" s="18">
        <f>IF($A263&gt;'1-Input'!$B$26,V262,V262-Q263*(1-P263))</f>
        <v>26471.044757550102</v>
      </c>
      <c r="W263" s="11">
        <f>IF($A263&gt;'1-Input'!$B$26,0,IF(AB262&lt;=0,0,MAX(0,(AB262-AC262)/AB262)))</f>
        <v>0.52638818147391064</v>
      </c>
      <c r="X263" s="18">
        <f>IF($A263&gt;'1-Input'!$B$26,0,(MAX(0,W231-IF($A263&gt;='1-Input'!$C$12,'1-Input'!$B$12,0))-MIN(MAX(AA262,0),MAX(0,W231-IF($A263&gt;='1-Input'!$C$12,'1-Input'!$B$12,0))))*(1/(1-'P-Parametri'!$B$6*W263))+MIN(MAX(0,AB262-(MAX(0,W231-IF($A263&gt;='1-Input'!$C$12,'1-Input'!$B$12,0))-MIN(MAX(AA262,0),MAX(0,W231-IF($A263&gt;='1-Input'!$C$12,'1-Input'!$B$12,0))))*(1/(1-'P-Parametri'!$B$6*W263))),MAX(0,2*W231-(AA262-MIN(MAX(AA262,0),MAX(0,W231-IF($A263&gt;='1-Input'!$C$12,'1-Input'!$B$12,0)))))*(1/(1-'P-Parametri'!$B$6*W263))))</f>
        <v>6574.273229595563</v>
      </c>
      <c r="Y263" s="18">
        <f>IF($A263&gt;'1-Input'!$B$26,AA262,(AA262-MAX(0,W231-IF($A263&gt;='1-Input'!$C$12,'1-Input'!$B$12,0))+X263*(1-'P-Parametri'!$B$6*W263))*(1+'1-Input'!$B$27))</f>
        <v>33193.241970369134</v>
      </c>
      <c r="Z263" s="18">
        <f>IF($A263&gt;'1-Input'!$B$26,AB262,(AB262-X263)*(1+$B$4))</f>
        <v>57074.241566819852</v>
      </c>
      <c r="AA263" s="18">
        <f>IF($A263&gt;'1-Input'!$B$26,Y263,Y263-'P-Parametri'!$B$8*(Z263+Y263)+MIN(MAX(Z263,0),'P-Parametri'!$B$8*(Z263+Y263)))</f>
        <v>33193.241970369134</v>
      </c>
      <c r="AB263" s="18">
        <f>IF($A263&gt;'1-Input'!$B$26,Z263,Z263-MIN(MAX(Z263,0),'P-Parametri'!$B$8*(Z263+Y263)))</f>
        <v>56893.706599745477</v>
      </c>
      <c r="AC263" s="18">
        <f>IF($A263&gt;'1-Input'!$B$26,AC262,AC262-X263*(1-W263))</f>
        <v>26501.015038685167</v>
      </c>
      <c r="AD263" s="11">
        <f>IF($A263&gt;'1-Input'!$B$26,0,IF(AI262&lt;=0,0,MAX(0,(AI262-AJ262)/AI262)))</f>
        <v>0.52638837881973466</v>
      </c>
      <c r="AE263" s="18">
        <f>IF($A263&gt;'1-Input'!$B$26,0,(MAX(0,AD231-IF($A263&gt;='1-Input'!$C$12,'1-Input'!$B$12,0))-MIN(MAX(AH262,0),MAX(0,AD231-IF($A263&gt;='1-Input'!$C$12,'1-Input'!$B$12,0))))*(1/(1-'P-Parametri'!$B$6*AD263))+MIN(MAX(0,AI262-(MAX(0,AD231-IF($A263&gt;='1-Input'!$C$12,'1-Input'!$B$12,0))-MIN(MAX(AH262,0),MAX(0,AD231-IF($A263&gt;='1-Input'!$C$12,'1-Input'!$B$12,0))))*(1/(1-'P-Parametri'!$B$6*AD263))),MAX(0,2*AD231-(AH262-MIN(MAX(AH262,0),MAX(0,AD231-IF($A263&gt;='1-Input'!$C$12,'1-Input'!$B$12,0)))))*(1/(1-'P-Parametri'!$B$6*AD263))))</f>
        <v>6574.1752058113161</v>
      </c>
      <c r="AF263" s="18">
        <f>IF($A263&gt;'1-Input'!$B$26,AH262,(AH262-MAX(0,AD231-IF($A263&gt;='1-Input'!$C$12,'1-Input'!$B$12,0))+AE263*(1-'P-Parametri'!$B$6*AD263))*(1+'1-Input'!$B$27))</f>
        <v>33193.073901117954</v>
      </c>
      <c r="AG263" s="18">
        <f>IF($A263&gt;'1-Input'!$B$26,AI262,(AI262-AE263)*(1+$B$4))</f>
        <v>57078.308440373083</v>
      </c>
      <c r="AH263" s="18">
        <f>IF($A263&gt;'1-Input'!$B$26,AF263,AF263-'P-Parametri'!$B$8*(AG263+AF263)+MIN(MAX(AG263,0),'P-Parametri'!$B$8*(AG263+AF263)))</f>
        <v>33193.073901117954</v>
      </c>
      <c r="AI263" s="18">
        <f>IF($A263&gt;'1-Input'!$B$26,AG263,AG263-MIN(MAX(AG263,0),'P-Parametri'!$B$8*(AG263+AF263)))</f>
        <v>56897.765675690098</v>
      </c>
      <c r="AJ263" s="18">
        <f>IF($A263&gt;'1-Input'!$B$26,AJ262,AJ262-AE263*(1-AD263))</f>
        <v>26502.892347717967</v>
      </c>
      <c r="AK263" s="11">
        <f>IF($A263&gt;'1-Input'!$B$26,0,IF(AP262&lt;=0,0,MAX(0,(AP262-AQ262)/AP262)))</f>
        <v>0.52638837881962475</v>
      </c>
      <c r="AL263" s="18">
        <f>IF($A263&gt;'1-Input'!$B$26,0,(MAX(0,AK231-IF($A263&gt;='1-Input'!$C$12,'1-Input'!$B$12,0))-MIN(MAX(AO262,0),MAX(0,AK231-IF($A263&gt;='1-Input'!$C$12,'1-Input'!$B$12,0))))*(1/(1-'P-Parametri'!$B$6*AK263))+MIN(MAX(0,AP262-(MAX(0,AK231-IF($A263&gt;='1-Input'!$C$12,'1-Input'!$B$12,0))-MIN(MAX(AO262,0),MAX(0,AK231-IF($A263&gt;='1-Input'!$C$12,'1-Input'!$B$12,0))))*(1/(1-'P-Parametri'!$B$6*AK263))),MAX(0,2*AK231-(AO262-MIN(MAX(AO262,0),MAX(0,AK231-IF($A263&gt;='1-Input'!$C$12,'1-Input'!$B$12,0)))))*(1/(1-'P-Parametri'!$B$6*AK263))))</f>
        <v>6574.1752058657139</v>
      </c>
      <c r="AM263" s="18">
        <f>IF($A263&gt;'1-Input'!$B$26,AO262,(AO262-MAX(0,AK231-IF($A263&gt;='1-Input'!$C$12,'1-Input'!$B$12,0))+AL263*(1-'P-Parametri'!$B$6*AK263))*(1+'1-Input'!$B$27))</f>
        <v>33193.073901211232</v>
      </c>
      <c r="AN263" s="18">
        <f>IF($A263&gt;'1-Input'!$B$26,AP262,(AP262-AL263)*(1+$B$4))</f>
        <v>57078.30843811635</v>
      </c>
      <c r="AO263" s="18">
        <f>IF($A263&gt;'1-Input'!$B$26,AM263,AM263-'P-Parametri'!$B$8*(AN263+AM263)+MIN(MAX(AN263,0),'P-Parametri'!$B$8*(AN263+AM263)))</f>
        <v>33193.073901211232</v>
      </c>
      <c r="AP263" s="18">
        <f>IF($A263&gt;'1-Input'!$B$26,AN263,AN263-MIN(MAX(AN263,0),'P-Parametri'!$B$8*(AN263+AM263)))</f>
        <v>56897.765673437694</v>
      </c>
      <c r="AQ263" s="18">
        <f>IF($A263&gt;'1-Input'!$B$26,AQ262,AQ262-AL263*(1-AK263))</f>
        <v>26502.892346676257</v>
      </c>
    </row>
    <row r="264" spans="1:43">
      <c r="A264" s="10">
        <f>31</f>
        <v>31</v>
      </c>
      <c r="B264" s="11">
        <f>IF($A264&gt;'1-Input'!$B$26,0,IF(G263&lt;=0,0,MAX(0,(G263-H263)/G263)))</f>
        <v>0.5341320202920915</v>
      </c>
      <c r="C264" s="18">
        <f>IF($A264&gt;'1-Input'!$B$26,0,(MAX(0,B231-IF($A264&gt;='1-Input'!$C$12,'1-Input'!$B$12,0))-MIN(MAX(F263,0),MAX(0,B231-IF($A264&gt;='1-Input'!$C$12,'1-Input'!$B$12,0))))*(1/(1-'P-Parametri'!$B$6*B264))+MIN(MAX(0,G263-(MAX(0,B231-IF($A264&gt;='1-Input'!$C$12,'1-Input'!$B$12,0))-MIN(MAX(F263,0),MAX(0,B231-IF($A264&gt;='1-Input'!$C$12,'1-Input'!$B$12,0))))*(1/(1-'P-Parametri'!$B$6*B264))),MAX(0,2*B231-(F263-MIN(MAX(F263,0),MAX(0,B231-IF($A264&gt;='1-Input'!$C$12,'1-Input'!$B$12,0)))))*(1/(1-'P-Parametri'!$B$6*B264))))</f>
        <v>6618.2661604154082</v>
      </c>
      <c r="D264" s="18">
        <f>IF($A264&gt;'1-Input'!$B$26,F263,(F263-MAX(0,B231-IF($A264&gt;='1-Input'!$C$12,'1-Input'!$B$12,0))+C264*(1-'P-Parametri'!$B$6*B264))*(1+'1-Input'!$B$27))</f>
        <v>33242.0070309863</v>
      </c>
      <c r="E264" s="18">
        <f>IF($A264&gt;'1-Input'!$B$26,G263,(G263-C264)*(1+$B$4))</f>
        <v>50079.66909567525</v>
      </c>
      <c r="F264" s="18">
        <f>IF($A264&gt;'1-Input'!$B$26,D264,D264-'P-Parametri'!$B$8*(E264+D264)+MIN(MAX(E264,0),'P-Parametri'!$B$8*(E264+D264)))</f>
        <v>33242.0070309863</v>
      </c>
      <c r="G264" s="18">
        <f>IF($A264&gt;'1-Input'!$B$26,E264,E264-MIN(MAX(E264,0),'P-Parametri'!$B$8*(E264+D264)))</f>
        <v>49913.025743421924</v>
      </c>
      <c r="H264" s="18">
        <f>IF($A264&gt;'1-Input'!$B$26,H263,H263-C264*(1-B264))</f>
        <v>22873.053202002753</v>
      </c>
      <c r="I264" s="11">
        <f>IF($A264&gt;'1-Input'!$B$26,0,IF(N263&lt;=0,0,MAX(0,(N263-O263)/N263)))</f>
        <v>0</v>
      </c>
      <c r="J264" s="18">
        <f>IF($A264&gt;'1-Input'!$B$26,0,(MAX(0,I231-IF($A264&gt;='1-Input'!$C$12,'1-Input'!$B$12,0))-MIN(MAX(M263,0),MAX(0,I231-IF($A264&gt;='1-Input'!$C$12,'1-Input'!$B$12,0))))*(1/(1-'P-Parametri'!$B$6*I264))+MIN(MAX(0,N263-(MAX(0,I231-IF($A264&gt;='1-Input'!$C$12,'1-Input'!$B$12,0))-MIN(MAX(M263,0),MAX(0,I231-IF($A264&gt;='1-Input'!$C$12,'1-Input'!$B$12,0))))*(1/(1-'P-Parametri'!$B$6*I264))),MAX(0,2*I231-(M263-MIN(MAX(M263,0),MAX(0,I231-IF($A264&gt;='1-Input'!$C$12,'1-Input'!$B$12,0)))))*(1/(1-'P-Parametri'!$B$6*I264))))</f>
        <v>10846.756992928691</v>
      </c>
      <c r="K264" s="18">
        <f>IF($A264&gt;'1-Input'!$B$26,M263,(M263-MAX(0,I231-IF($A264&gt;='1-Input'!$C$12,'1-Input'!$B$12,0))+J264*(1-'P-Parametri'!$B$6*I264))*(1+'1-Input'!$B$27))</f>
        <v>0</v>
      </c>
      <c r="L264" s="18">
        <f>IF($A264&gt;'1-Input'!$B$26,N263,(N263-J264)*(1+$B$4))</f>
        <v>-131495.92219579668</v>
      </c>
      <c r="M264" s="18">
        <f>IF($A264&gt;'1-Input'!$B$26,K264,K264-'P-Parametri'!$B$8*(L264+K264)+MIN(MAX(L264,0),'P-Parametri'!$B$8*(L264+K264)))</f>
        <v>0</v>
      </c>
      <c r="N264" s="18">
        <f>IF($A264&gt;'1-Input'!$B$26,L264,L264-MIN(MAX(L264,0),'P-Parametri'!$B$8*(L264+K264)))</f>
        <v>-131232.93035140508</v>
      </c>
      <c r="O264" s="18">
        <f>IF($A264&gt;'1-Input'!$B$26,O263,O263-J264*(1-I264))</f>
        <v>-118052.48712804506</v>
      </c>
      <c r="P264" s="11">
        <f>IF($A264&gt;'1-Input'!$B$26,0,IF(U263&lt;=0,0,MAX(0,(U263-V263)/U263)))</f>
        <v>0.53419752817752575</v>
      </c>
      <c r="Q264" s="18">
        <f>IF($A264&gt;'1-Input'!$B$26,0,(MAX(0,P231-IF($A264&gt;='1-Input'!$C$12,'1-Input'!$B$12,0))-MIN(MAX(T263,0),MAX(0,P231-IF($A264&gt;='1-Input'!$C$12,'1-Input'!$B$12,0))))*(1/(1-'P-Parametri'!$B$6*P264))+MIN(MAX(0,U263-(MAX(0,P231-IF($A264&gt;='1-Input'!$C$12,'1-Input'!$B$12,0))-MIN(MAX(T263,0),MAX(0,P231-IF($A264&gt;='1-Input'!$C$12,'1-Input'!$B$12,0))))*(1/(1-'P-Parametri'!$B$6*P264))),MAX(0,2*P231-(T263-MIN(MAX(T263,0),MAX(0,P231-IF($A264&gt;='1-Input'!$C$12,'1-Input'!$B$12,0)))))*(1/(1-'P-Parametri'!$B$6*P264))))</f>
        <v>6591.3497161793848</v>
      </c>
      <c r="R264" s="18">
        <f>IF($A264&gt;'1-Input'!$B$26,T263,(T263-MAX(0,P231-IF($A264&gt;='1-Input'!$C$12,'1-Input'!$B$12,0))+Q264*(1-'P-Parametri'!$B$6*P264))*(1+'1-Input'!$B$27))</f>
        <v>33195.925103139183</v>
      </c>
      <c r="S264" s="18">
        <f>IF($A264&gt;'1-Input'!$B$26,U263,(U263-Q264)*(1+$B$4))</f>
        <v>51242.307128731503</v>
      </c>
      <c r="T264" s="18">
        <f>IF($A264&gt;'1-Input'!$B$26,R264,R264-'P-Parametri'!$B$8*(S264+R264)+MIN(MAX(S264,0),'P-Parametri'!$B$8*(S264+R264)))</f>
        <v>33195.925103139183</v>
      </c>
      <c r="U264" s="18">
        <f>IF($A264&gt;'1-Input'!$B$26,S264,S264-MIN(MAX(S264,0),'P-Parametri'!$B$8*(S264+R264)))</f>
        <v>51073.430664267762</v>
      </c>
      <c r="V264" s="18">
        <f>IF($A264&gt;'1-Input'!$B$26,V263,V263-Q264*(1-P264))</f>
        <v>23400.777767107382</v>
      </c>
      <c r="W264" s="11">
        <f>IF($A264&gt;'1-Input'!$B$26,0,IF(AB263&lt;=0,0,MAX(0,(AB263-AC263)/AB263)))</f>
        <v>0.53420129180327081</v>
      </c>
      <c r="X264" s="18">
        <f>IF($A264&gt;'1-Input'!$B$26,0,(MAX(0,W231-IF($A264&gt;='1-Input'!$C$12,'1-Input'!$B$12,0))-MIN(MAX(AA263,0),MAX(0,W231-IF($A264&gt;='1-Input'!$C$12,'1-Input'!$B$12,0))))*(1/(1-'P-Parametri'!$B$6*W264))+MIN(MAX(0,AB263-(MAX(0,W231-IF($A264&gt;='1-Input'!$C$12,'1-Input'!$B$12,0))-MIN(MAX(AA263,0),MAX(0,W231-IF($A264&gt;='1-Input'!$C$12,'1-Input'!$B$12,0))))*(1/(1-'P-Parametri'!$B$6*W264))),MAX(0,2*W231-(AA263-MIN(MAX(AA263,0),MAX(0,W231-IF($A264&gt;='1-Input'!$C$12,'1-Input'!$B$12,0)))))*(1/(1-'P-Parametri'!$B$6*W264))))</f>
        <v>6589.7823654407357</v>
      </c>
      <c r="Y264" s="18">
        <f>IF($A264&gt;'1-Input'!$B$26,AA263,(AA263-MAX(0,W231-IF($A264&gt;='1-Input'!$C$12,'1-Input'!$B$12,0))+X264*(1-'P-Parametri'!$B$6*W264))*(1+'1-Input'!$B$27))</f>
        <v>33193.241970369134</v>
      </c>
      <c r="Z264" s="18">
        <f>IF($A264&gt;'1-Input'!$B$26,AB263,(AB263-X264)*(1+$B$4))</f>
        <v>51310.002718990843</v>
      </c>
      <c r="AA264" s="18">
        <f>IF($A264&gt;'1-Input'!$B$26,Y264,Y264-'P-Parametri'!$B$8*(Z264+Y264)+MIN(MAX(Z264,0),'P-Parametri'!$B$8*(Z264+Y264)))</f>
        <v>33193.241970369134</v>
      </c>
      <c r="AB264" s="18">
        <f>IF($A264&gt;'1-Input'!$B$26,Z264,Z264-MIN(MAX(Z264,0),'P-Parametri'!$B$8*(Z264+Y264)))</f>
        <v>51140.996229612123</v>
      </c>
      <c r="AC264" s="18">
        <f>IF($A264&gt;'1-Input'!$B$26,AC263,AC263-X264*(1-W264))</f>
        <v>23431.502925565284</v>
      </c>
      <c r="AD264" s="11">
        <f>IF($A264&gt;'1-Input'!$B$26,0,IF(AI263&lt;=0,0,MAX(0,(AI263-AJ263)/AI263)))</f>
        <v>0.53420152737137305</v>
      </c>
      <c r="AE264" s="18">
        <f>IF($A264&gt;'1-Input'!$B$26,0,(MAX(0,AD231-IF($A264&gt;='1-Input'!$C$12,'1-Input'!$B$12,0))-MIN(MAX(AH263,0),MAX(0,AD231-IF($A264&gt;='1-Input'!$C$12,'1-Input'!$B$12,0))))*(1/(1-'P-Parametri'!$B$6*AD264))+MIN(MAX(0,AI263-(MAX(0,AD231-IF($A264&gt;='1-Input'!$C$12,'1-Input'!$B$12,0))-MIN(MAX(AH263,0),MAX(0,AD231-IF($A264&gt;='1-Input'!$C$12,'1-Input'!$B$12,0))))*(1/(1-'P-Parametri'!$B$6*AD264))),MAX(0,2*AD231-(AH263-MIN(MAX(AH263,0),MAX(0,AD231-IF($A264&gt;='1-Input'!$C$12,'1-Input'!$B$12,0)))))*(1/(1-'P-Parametri'!$B$6*AD264))))</f>
        <v>6589.6841873857802</v>
      </c>
      <c r="AF264" s="18">
        <f>IF($A264&gt;'1-Input'!$B$26,AH263,(AH263-MAX(0,AD231-IF($A264&gt;='1-Input'!$C$12,'1-Input'!$B$12,0))+AE264*(1-'P-Parametri'!$B$6*AD264))*(1+'1-Input'!$B$27))</f>
        <v>33193.073901117954</v>
      </c>
      <c r="AG264" s="18">
        <f>IF($A264&gt;'1-Input'!$B$26,AI263,(AI263-AE264)*(1+$B$4))</f>
        <v>51314.243118070408</v>
      </c>
      <c r="AH264" s="18">
        <f>IF($A264&gt;'1-Input'!$B$26,AF264,AF264-'P-Parametri'!$B$8*(AG264+AF264)+MIN(MAX(AG264,0),'P-Parametri'!$B$8*(AG264+AF264)))</f>
        <v>33193.073901117954</v>
      </c>
      <c r="AI264" s="18">
        <f>IF($A264&gt;'1-Input'!$B$26,AG264,AG264-MIN(MAX(AG264,0),'P-Parametri'!$B$8*(AG264+AF264)))</f>
        <v>51145.228484032028</v>
      </c>
      <c r="AJ264" s="18">
        <f>IF($A264&gt;'1-Input'!$B$26,AJ263,AJ263-AE264*(1-AD264))</f>
        <v>23433.427518128658</v>
      </c>
      <c r="AK264" s="11">
        <f>IF($A264&gt;'1-Input'!$B$26,0,IF(AP263&lt;=0,0,MAX(0,(AP263-AQ263)/AP263)))</f>
        <v>0.53420152737124194</v>
      </c>
      <c r="AL264" s="18">
        <f>IF($A264&gt;'1-Input'!$B$26,0,(MAX(0,AK231-IF($A264&gt;='1-Input'!$C$12,'1-Input'!$B$12,0))-MIN(MAX(AO263,0),MAX(0,AK231-IF($A264&gt;='1-Input'!$C$12,'1-Input'!$B$12,0))))*(1/(1-'P-Parametri'!$B$6*AK264))+MIN(MAX(0,AP263-(MAX(0,AK231-IF($A264&gt;='1-Input'!$C$12,'1-Input'!$B$12,0))-MIN(MAX(AO263,0),MAX(0,AK231-IF($A264&gt;='1-Input'!$C$12,'1-Input'!$B$12,0))))*(1/(1-'P-Parametri'!$B$6*AK264))),MAX(0,2*AK231-(AO263-MIN(MAX(AO263,0),MAX(0,AK231-IF($A264&gt;='1-Input'!$C$12,'1-Input'!$B$12,0)))))*(1/(1-'P-Parametri'!$B$6*AK264))))</f>
        <v>6589.6841874402635</v>
      </c>
      <c r="AM264" s="18">
        <f>IF($A264&gt;'1-Input'!$B$26,AO263,(AO263-MAX(0,AK231-IF($A264&gt;='1-Input'!$C$12,'1-Input'!$B$12,0))+AL264*(1-'P-Parametri'!$B$6*AK264))*(1+'1-Input'!$B$27))</f>
        <v>33193.073901211232</v>
      </c>
      <c r="AN264" s="18">
        <f>IF($A264&gt;'1-Input'!$B$26,AP263,(AP263-AL264)*(1+$B$4))</f>
        <v>51314.243115717385</v>
      </c>
      <c r="AO264" s="18">
        <f>IF($A264&gt;'1-Input'!$B$26,AM264,AM264-'P-Parametri'!$B$8*(AN264+AM264)+MIN(MAX(AN264,0),'P-Parametri'!$B$8*(AN264+AM264)))</f>
        <v>33193.073901211232</v>
      </c>
      <c r="AP264" s="18">
        <f>IF($A264&gt;'1-Input'!$B$26,AN264,AN264-MIN(MAX(AN264,0),'P-Parametri'!$B$8*(AN264+AM264)))</f>
        <v>51145.228481683531</v>
      </c>
      <c r="AQ264" s="18">
        <f>IF($A264&gt;'1-Input'!$B$26,AQ263,AQ263-AL264*(1-AK264))</f>
        <v>23433.427517060703</v>
      </c>
    </row>
    <row r="265" spans="1:43">
      <c r="A265" s="10">
        <f>32</f>
        <v>32</v>
      </c>
      <c r="B265" s="11">
        <f>IF($A265&gt;'1-Input'!$B$26,0,IF(G264&lt;=0,0,MAX(0,(G264-H264)/G264)))</f>
        <v>0.54174180263921967</v>
      </c>
      <c r="C265" s="18">
        <f>IF($A265&gt;'1-Input'!$B$26,0,(MAX(0,B231-IF($A265&gt;='1-Input'!$C$12,'1-Input'!$B$12,0))-MIN(MAX(F264,0),MAX(0,B231-IF($A265&gt;='1-Input'!$C$12,'1-Input'!$B$12,0))))*(1/(1-'P-Parametri'!$B$6*B265))+MIN(MAX(0,G264-(MAX(0,B231-IF($A265&gt;='1-Input'!$C$12,'1-Input'!$B$12,0))-MIN(MAX(F264,0),MAX(0,B231-IF($A265&gt;='1-Input'!$C$12,'1-Input'!$B$12,0))))*(1/(1-'P-Parametri'!$B$6*B265))),MAX(0,2*B231-(F264-MIN(MAX(F264,0),MAX(0,B231-IF($A265&gt;='1-Input'!$C$12,'1-Input'!$B$12,0)))))*(1/(1-'P-Parametri'!$B$6*B265))))</f>
        <v>6633.5074694086288</v>
      </c>
      <c r="D265" s="18">
        <f>IF($A265&gt;'1-Input'!$B$26,F264,(F264-MAX(0,B231-IF($A265&gt;='1-Input'!$C$12,'1-Input'!$B$12,0))+C265*(1-'P-Parametri'!$B$6*B265))*(1+'1-Input'!$B$27))</f>
        <v>33242.0070309863</v>
      </c>
      <c r="E265" s="18">
        <f>IF($A265&gt;'1-Input'!$B$26,G264,(G264-C265)*(1+$B$4))</f>
        <v>44145.108639493563</v>
      </c>
      <c r="F265" s="18">
        <f>IF($A265&gt;'1-Input'!$B$26,D265,D265-'P-Parametri'!$B$8*(E265+D265)+MIN(MAX(E265,0),'P-Parametri'!$B$8*(E265+D265)))</f>
        <v>33242.0070309863</v>
      </c>
      <c r="G265" s="18">
        <f>IF($A265&gt;'1-Input'!$B$26,E265,E265-MIN(MAX(E265,0),'P-Parametri'!$B$8*(E265+D265)))</f>
        <v>43990.334408152601</v>
      </c>
      <c r="H265" s="18">
        <f>IF($A265&gt;'1-Input'!$B$26,H264,H264-C265*(1-B265))</f>
        <v>19833.194026892284</v>
      </c>
      <c r="I265" s="11">
        <f>IF($A265&gt;'1-Input'!$B$26,0,IF(N264&lt;=0,0,MAX(0,(N264-O264)/N264)))</f>
        <v>0</v>
      </c>
      <c r="J265" s="18">
        <f>IF($A265&gt;'1-Input'!$B$26,0,(MAX(0,I231-IF($A265&gt;='1-Input'!$C$12,'1-Input'!$B$12,0))-MIN(MAX(M264,0),MAX(0,I231-IF($A265&gt;='1-Input'!$C$12,'1-Input'!$B$12,0))))*(1/(1-'P-Parametri'!$B$6*I265))+MIN(MAX(0,N264-(MAX(0,I231-IF($A265&gt;='1-Input'!$C$12,'1-Input'!$B$12,0))-MIN(MAX(M264,0),MAX(0,I231-IF($A265&gt;='1-Input'!$C$12,'1-Input'!$B$12,0))))*(1/(1-'P-Parametri'!$B$6*I265))),MAX(0,2*I231-(M264-MIN(MAX(M264,0),MAX(0,I231-IF($A265&gt;='1-Input'!$C$12,'1-Input'!$B$12,0)))))*(1/(1-'P-Parametri'!$B$6*I265))))</f>
        <v>10846.756992928691</v>
      </c>
      <c r="K265" s="18">
        <f>IF($A265&gt;'1-Input'!$B$26,M264,(M264-MAX(0,I231-IF($A265&gt;='1-Input'!$C$12,'1-Input'!$B$12,0))+J265*(1-'P-Parametri'!$B$6*I265))*(1+'1-Input'!$B$27))</f>
        <v>0</v>
      </c>
      <c r="L265" s="18">
        <f>IF($A265&gt;'1-Input'!$B$26,N264,(N264-J265)*(1+$B$4))</f>
        <v>-144921.28109122044</v>
      </c>
      <c r="M265" s="18">
        <f>IF($A265&gt;'1-Input'!$B$26,K265,K265-'P-Parametri'!$B$8*(L265+K265)+MIN(MAX(L265,0),'P-Parametri'!$B$8*(L265+K265)))</f>
        <v>0</v>
      </c>
      <c r="N265" s="18">
        <f>IF($A265&gt;'1-Input'!$B$26,L265,L265-MIN(MAX(L265,0),'P-Parametri'!$B$8*(L265+K265)))</f>
        <v>-144631.43852903802</v>
      </c>
      <c r="O265" s="18">
        <f>IF($A265&gt;'1-Input'!$B$26,O264,O264-J265*(1-I265))</f>
        <v>-128899.24412097374</v>
      </c>
      <c r="P265" s="11">
        <f>IF($A265&gt;'1-Input'!$B$26,0,IF(U264&lt;=0,0,MAX(0,(U264-V264)/U264)))</f>
        <v>0.54182091426493606</v>
      </c>
      <c r="Q265" s="18">
        <f>IF($A265&gt;'1-Input'!$B$26,0,(MAX(0,P231-IF($A265&gt;='1-Input'!$C$12,'1-Input'!$B$12,0))-MIN(MAX(T264,0),MAX(0,P231-IF($A265&gt;='1-Input'!$C$12,'1-Input'!$B$12,0))))*(1/(1-'P-Parametri'!$B$6*P265))+MIN(MAX(0,U264-(MAX(0,P231-IF($A265&gt;='1-Input'!$C$12,'1-Input'!$B$12,0))-MIN(MAX(T264,0),MAX(0,P231-IF($A265&gt;='1-Input'!$C$12,'1-Input'!$B$12,0))))*(1/(1-'P-Parametri'!$B$6*P265))),MAX(0,2*P231-(T264-MIN(MAX(T264,0),MAX(0,P231-IF($A265&gt;='1-Input'!$C$12,'1-Input'!$B$12,0)))))*(1/(1-'P-Parametri'!$B$6*P265))))</f>
        <v>6606.5565384818983</v>
      </c>
      <c r="R265" s="18">
        <f>IF($A265&gt;'1-Input'!$B$26,T264,(T264-MAX(0,P231-IF($A265&gt;='1-Input'!$C$12,'1-Input'!$B$12,0))+Q265*(1-'P-Parametri'!$B$6*P265))*(1+'1-Input'!$B$27))</f>
        <v>33195.925103139183</v>
      </c>
      <c r="S265" s="18">
        <f>IF($A265&gt;'1-Input'!$B$26,U264,(U264-Q265)*(1+$B$4))</f>
        <v>45356.211608301579</v>
      </c>
      <c r="T265" s="18">
        <f>IF($A265&gt;'1-Input'!$B$26,R265,R265-'P-Parametri'!$B$8*(S265+R265)+MIN(MAX(S265,0),'P-Parametri'!$B$8*(S265+R265)))</f>
        <v>33195.925103139183</v>
      </c>
      <c r="U265" s="18">
        <f>IF($A265&gt;'1-Input'!$B$26,S265,S265-MIN(MAX(S265,0),'P-Parametri'!$B$8*(S265+R265)))</f>
        <v>45199.107334878696</v>
      </c>
      <c r="V265" s="18">
        <f>IF($A265&gt;'1-Input'!$B$26,V264,V264-Q265*(1-P265))</f>
        <v>20373.791732448735</v>
      </c>
      <c r="W265" s="11">
        <f>IF($A265&gt;'1-Input'!$B$26,0,IF(AB264&lt;=0,0,MAX(0,(AB264-AC264)/AB264)))</f>
        <v>0.54182545016599104</v>
      </c>
      <c r="X265" s="18">
        <f>IF($A265&gt;'1-Input'!$B$26,0,(MAX(0,W231-IF($A265&gt;='1-Input'!$C$12,'1-Input'!$B$12,0))-MIN(MAX(AA264,0),MAX(0,W231-IF($A265&gt;='1-Input'!$C$12,'1-Input'!$B$12,0))))*(1/(1-'P-Parametri'!$B$6*W265))+MIN(MAX(0,AB264-(MAX(0,W231-IF($A265&gt;='1-Input'!$C$12,'1-Input'!$B$12,0))-MIN(MAX(AA264,0),MAX(0,W231-IF($A265&gt;='1-Input'!$C$12,'1-Input'!$B$12,0))))*(1/(1-'P-Parametri'!$B$6*W265))),MAX(0,2*W231-(AA264-MIN(MAX(AA264,0),MAX(0,W231-IF($A265&gt;='1-Input'!$C$12,'1-Input'!$B$12,0)))))*(1/(1-'P-Parametri'!$B$6*W265))))</f>
        <v>6604.9871327365599</v>
      </c>
      <c r="Y265" s="18">
        <f>IF($A265&gt;'1-Input'!$B$26,AA264,(AA264-MAX(0,W231-IF($A265&gt;='1-Input'!$C$12,'1-Input'!$B$12,0))+X265*(1-'P-Parametri'!$B$6*W265))*(1+'1-Input'!$B$27))</f>
        <v>33193.241970369134</v>
      </c>
      <c r="Z265" s="18">
        <f>IF($A265&gt;'1-Input'!$B$26,AB264,(AB264-X265)*(1+$B$4))</f>
        <v>45426.729278813073</v>
      </c>
      <c r="AA265" s="18">
        <f>IF($A265&gt;'1-Input'!$B$26,Y265,Y265-'P-Parametri'!$B$8*(Z265+Y265)+MIN(MAX(Z265,0),'P-Parametri'!$B$8*(Z265+Y265)))</f>
        <v>33193.241970369134</v>
      </c>
      <c r="AB265" s="18">
        <f>IF($A265&gt;'1-Input'!$B$26,Z265,Z265-MIN(MAX(Z265,0),'P-Parametri'!$B$8*(Z265+Y265)))</f>
        <v>45269.489336314706</v>
      </c>
      <c r="AC265" s="18">
        <f>IF($A265&gt;'1-Input'!$B$26,AC264,AC264-X265*(1-W265))</f>
        <v>20405.26591936429</v>
      </c>
      <c r="AD265" s="11">
        <f>IF($A265&gt;'1-Input'!$B$26,0,IF(AI264&lt;=0,0,MAX(0,(AI264-AJ264)/AI264)))</f>
        <v>0.54182573403802914</v>
      </c>
      <c r="AE265" s="18">
        <f>IF($A265&gt;'1-Input'!$B$26,0,(MAX(0,AD231-IF($A265&gt;='1-Input'!$C$12,'1-Input'!$B$12,0))-MIN(MAX(AH264,0),MAX(0,AD231-IF($A265&gt;='1-Input'!$C$12,'1-Input'!$B$12,0))))*(1/(1-'P-Parametri'!$B$6*AD265))+MIN(MAX(0,AI264-(MAX(0,AD231-IF($A265&gt;='1-Input'!$C$12,'1-Input'!$B$12,0))-MIN(MAX(AH264,0),MAX(0,AD231-IF($A265&gt;='1-Input'!$C$12,'1-Input'!$B$12,0))))*(1/(1-'P-Parametri'!$B$6*AD265))),MAX(0,2*AD231-(AH264-MIN(MAX(AH264,0),MAX(0,AD231-IF($A265&gt;='1-Input'!$C$12,'1-Input'!$B$12,0)))))*(1/(1-'P-Parametri'!$B$6*AD265))))</f>
        <v>6604.8888257896988</v>
      </c>
      <c r="AF265" s="18">
        <f>IF($A265&gt;'1-Input'!$B$26,AH264,(AH264-MAX(0,AD231-IF($A265&gt;='1-Input'!$C$12,'1-Input'!$B$12,0))+AE265*(1-'P-Parametri'!$B$6*AD265))*(1+'1-Input'!$B$27))</f>
        <v>33193.073901117954</v>
      </c>
      <c r="AG265" s="18">
        <f>IF($A265&gt;'1-Input'!$B$26,AI264,(AI264-AE265)*(1+$B$4))</f>
        <v>45431.146451407178</v>
      </c>
      <c r="AH265" s="18">
        <f>IF($A265&gt;'1-Input'!$B$26,AF265,AF265-'P-Parametri'!$B$8*(AG265+AF265)+MIN(MAX(AG265,0),'P-Parametri'!$B$8*(AG265+AF265)))</f>
        <v>33193.073901117954</v>
      </c>
      <c r="AI265" s="18">
        <f>IF($A265&gt;'1-Input'!$B$26,AG265,AG265-MIN(MAX(AG265,0),'P-Parametri'!$B$8*(AG265+AF265)))</f>
        <v>45273.898010702127</v>
      </c>
      <c r="AJ265" s="18">
        <f>IF($A265&gt;'1-Input'!$B$26,AJ264,AJ264-AE265*(1-AD265))</f>
        <v>20407.237428612039</v>
      </c>
      <c r="AK265" s="11">
        <f>IF($A265&gt;'1-Input'!$B$26,0,IF(AP264&lt;=0,0,MAX(0,(AP264-AQ264)/AP264)))</f>
        <v>0.54182573403787138</v>
      </c>
      <c r="AL265" s="18">
        <f>IF($A265&gt;'1-Input'!$B$26,0,(MAX(0,AK231-IF($A265&gt;='1-Input'!$C$12,'1-Input'!$B$12,0))-MIN(MAX(AO264,0),MAX(0,AK231-IF($A265&gt;='1-Input'!$C$12,'1-Input'!$B$12,0))))*(1/(1-'P-Parametri'!$B$6*AK265))+MIN(MAX(0,AP264-(MAX(0,AK231-IF($A265&gt;='1-Input'!$C$12,'1-Input'!$B$12,0))-MIN(MAX(AO264,0),MAX(0,AK231-IF($A265&gt;='1-Input'!$C$12,'1-Input'!$B$12,0))))*(1/(1-'P-Parametri'!$B$6*AK265))),MAX(0,2*AK231-(AO264-MIN(MAX(AO264,0),MAX(0,AK231-IF($A265&gt;='1-Input'!$C$12,'1-Input'!$B$12,0)))))*(1/(1-'P-Parametri'!$B$6*AK265))))</f>
        <v>6604.8888258442548</v>
      </c>
      <c r="AM265" s="18">
        <f>IF($A265&gt;'1-Input'!$B$26,AO264,(AO264-MAX(0,AK231-IF($A265&gt;='1-Input'!$C$12,'1-Input'!$B$12,0))+AL265*(1-'P-Parametri'!$B$6*AK265))*(1+'1-Input'!$B$27))</f>
        <v>33193.073901211232</v>
      </c>
      <c r="AN265" s="18">
        <f>IF($A265&gt;'1-Input'!$B$26,AP264,(AP264-AL265)*(1+$B$4))</f>
        <v>45431.146448956068</v>
      </c>
      <c r="AO265" s="18">
        <f>IF($A265&gt;'1-Input'!$B$26,AM265,AM265-'P-Parametri'!$B$8*(AN265+AM265)+MIN(MAX(AN265,0),'P-Parametri'!$B$8*(AN265+AM265)))</f>
        <v>33193.073901211232</v>
      </c>
      <c r="AP265" s="18">
        <f>IF($A265&gt;'1-Input'!$B$26,AN265,AN265-MIN(MAX(AN265,0),'P-Parametri'!$B$8*(AN265+AM265)))</f>
        <v>45273.898008255732</v>
      </c>
      <c r="AQ265" s="18">
        <f>IF($A265&gt;'1-Input'!$B$26,AQ264,AQ264-AL265*(1-AK265))</f>
        <v>20407.237427518048</v>
      </c>
    </row>
    <row r="266" spans="1:43">
      <c r="A266" s="10">
        <f>33</f>
        <v>33</v>
      </c>
      <c r="B266" s="11">
        <f>IF($A266&gt;'1-Input'!$B$26,0,IF(G265&lt;=0,0,MAX(0,(G265-H265)/G265)))</f>
        <v>0.54914655017451619</v>
      </c>
      <c r="C266" s="18">
        <f>IF($A266&gt;'1-Input'!$B$26,0,(MAX(0,B231-IF($A266&gt;='1-Input'!$C$12,'1-Input'!$B$12,0))-MIN(MAX(F265,0),MAX(0,B231-IF($A266&gt;='1-Input'!$C$12,'1-Input'!$B$12,0))))*(1/(1-'P-Parametri'!$B$6*B266))+MIN(MAX(0,G265-(MAX(0,B231-IF($A266&gt;='1-Input'!$C$12,'1-Input'!$B$12,0))-MIN(MAX(F265,0),MAX(0,B231-IF($A266&gt;='1-Input'!$C$12,'1-Input'!$B$12,0))))*(1/(1-'P-Parametri'!$B$6*B266))),MAX(0,2*B231-(F265-MIN(MAX(F265,0),MAX(0,B231-IF($A266&gt;='1-Input'!$C$12,'1-Input'!$B$12,0)))))*(1/(1-'P-Parametri'!$B$6*B266))))</f>
        <v>6648.405661518902</v>
      </c>
      <c r="D266" s="18">
        <f>IF($A266&gt;'1-Input'!$B$26,F265,(F265-MAX(0,B231-IF($A266&gt;='1-Input'!$C$12,'1-Input'!$B$12,0))+C266*(1-'P-Parametri'!$B$6*B266))*(1+'1-Input'!$B$27))</f>
        <v>33242.0070309863</v>
      </c>
      <c r="E266" s="18">
        <f>IF($A266&gt;'1-Input'!$B$26,G265,(G265-C266)*(1+$B$4))</f>
        <v>38088.767321566374</v>
      </c>
      <c r="F266" s="18">
        <f>IF($A266&gt;'1-Input'!$B$26,D266,D266-'P-Parametri'!$B$8*(E266+D266)+MIN(MAX(E266,0),'P-Parametri'!$B$8*(E266+D266)))</f>
        <v>33242.0070309863</v>
      </c>
      <c r="G266" s="18">
        <f>IF($A266&gt;'1-Input'!$B$26,E266,E266-MIN(MAX(E266,0),'P-Parametri'!$B$8*(E266+D266)))</f>
        <v>37946.105772861272</v>
      </c>
      <c r="H266" s="18">
        <f>IF($A266&gt;'1-Input'!$B$26,H265,H265-C266*(1-B266))</f>
        <v>16835.737398557209</v>
      </c>
      <c r="I266" s="11">
        <f>IF($A266&gt;'1-Input'!$B$26,0,IF(N265&lt;=0,0,MAX(0,(N265-O265)/N265)))</f>
        <v>0</v>
      </c>
      <c r="J266" s="18">
        <f>IF($A266&gt;'1-Input'!$B$26,0,(MAX(0,I231-IF($A266&gt;='1-Input'!$C$12,'1-Input'!$B$12,0))-MIN(MAX(M265,0),MAX(0,I231-IF($A266&gt;='1-Input'!$C$12,'1-Input'!$B$12,0))))*(1/(1-'P-Parametri'!$B$6*I266))+MIN(MAX(0,N265-(MAX(0,I231-IF($A266&gt;='1-Input'!$C$12,'1-Input'!$B$12,0))-MIN(MAX(M265,0),MAX(0,I231-IF($A266&gt;='1-Input'!$C$12,'1-Input'!$B$12,0))))*(1/(1-'P-Parametri'!$B$6*I266))),MAX(0,2*I231-(M265-MIN(MAX(M265,0),MAX(0,I231-IF($A266&gt;='1-Input'!$C$12,'1-Input'!$B$12,0)))))*(1/(1-'P-Parametri'!$B$6*I266))))</f>
        <v>10846.756992928691</v>
      </c>
      <c r="K266" s="18">
        <f>IF($A266&gt;'1-Input'!$B$26,M265,(M265-MAX(0,I231-IF($A266&gt;='1-Input'!$C$12,'1-Input'!$B$12,0))+J266*(1-'P-Parametri'!$B$6*I266))*(1+'1-Input'!$B$27))</f>
        <v>0</v>
      </c>
      <c r="L266" s="18">
        <f>IF($A266&gt;'1-Input'!$B$26,N265,(N265-J266)*(1+$B$4))</f>
        <v>-158587.75943240605</v>
      </c>
      <c r="M266" s="18">
        <f>IF($A266&gt;'1-Input'!$B$26,K266,K266-'P-Parametri'!$B$8*(L266+K266)+MIN(MAX(L266,0),'P-Parametri'!$B$8*(L266+K266)))</f>
        <v>0</v>
      </c>
      <c r="N266" s="18">
        <f>IF($A266&gt;'1-Input'!$B$26,L266,L266-MIN(MAX(L266,0),'P-Parametri'!$B$8*(L266+K266)))</f>
        <v>-158270.58391354122</v>
      </c>
      <c r="O266" s="18">
        <f>IF($A266&gt;'1-Input'!$B$26,O265,O265-J266*(1-I266))</f>
        <v>-139746.00111390243</v>
      </c>
      <c r="P266" s="11">
        <f>IF($A266&gt;'1-Input'!$B$26,0,IF(U265&lt;=0,0,MAX(0,(U265-V265)/U265)))</f>
        <v>0.54924349320662502</v>
      </c>
      <c r="Q266" s="18">
        <f>IF($A266&gt;'1-Input'!$B$26,0,(MAX(0,P231-IF($A266&gt;='1-Input'!$C$12,'1-Input'!$B$12,0))-MIN(MAX(T265,0),MAX(0,P231-IF($A266&gt;='1-Input'!$C$12,'1-Input'!$B$12,0))))*(1/(1-'P-Parametri'!$B$6*P266))+MIN(MAX(0,U265-(MAX(0,P231-IF($A266&gt;='1-Input'!$C$12,'1-Input'!$B$12,0))-MIN(MAX(T265,0),MAX(0,P231-IF($A266&gt;='1-Input'!$C$12,'1-Input'!$B$12,0))))*(1/(1-'P-Parametri'!$B$6*P266))),MAX(0,2*P231-(T265-MIN(MAX(T265,0),MAX(0,P231-IF($A266&gt;='1-Input'!$C$12,'1-Input'!$B$12,0)))))*(1/(1-'P-Parametri'!$B$6*P266))))</f>
        <v>6621.4303694903083</v>
      </c>
      <c r="R266" s="18">
        <f>IF($A266&gt;'1-Input'!$B$26,T265,(T265-MAX(0,P231-IF($A266&gt;='1-Input'!$C$12,'1-Input'!$B$12,0))+Q266*(1-'P-Parametri'!$B$6*P266))*(1+'1-Input'!$B$27))</f>
        <v>33195.925103139183</v>
      </c>
      <c r="S266" s="18">
        <f>IF($A266&gt;'1-Input'!$B$26,U265,(U265-Q266)*(1+$B$4))</f>
        <v>39349.230504696156</v>
      </c>
      <c r="T266" s="18">
        <f>IF($A266&gt;'1-Input'!$B$26,R266,R266-'P-Parametri'!$B$8*(S266+R266)+MIN(MAX(S266,0),'P-Parametri'!$B$8*(S266+R266)))</f>
        <v>33195.925103139183</v>
      </c>
      <c r="U266" s="18">
        <f>IF($A266&gt;'1-Input'!$B$26,S266,S266-MIN(MAX(S266,0),'P-Parametri'!$B$8*(S266+R266)))</f>
        <v>39204.140193480482</v>
      </c>
      <c r="V266" s="18">
        <f>IF($A266&gt;'1-Input'!$B$26,V265,V265-Q266*(1-P266))</f>
        <v>17389.138909121717</v>
      </c>
      <c r="W266" s="11">
        <f>IF($A266&gt;'1-Input'!$B$26,0,IF(AB265&lt;=0,0,MAX(0,(AB265-AC265)/AB265)))</f>
        <v>0.54924903685636672</v>
      </c>
      <c r="X266" s="18">
        <f>IF($A266&gt;'1-Input'!$B$26,0,(MAX(0,W231-IF($A266&gt;='1-Input'!$C$12,'1-Input'!$B$12,0))-MIN(MAX(AA265,0),MAX(0,W231-IF($A266&gt;='1-Input'!$C$12,'1-Input'!$B$12,0))))*(1/(1-'P-Parametri'!$B$6*W266))+MIN(MAX(0,AB265-(MAX(0,W231-IF($A266&gt;='1-Input'!$C$12,'1-Input'!$B$12,0))-MIN(MAX(AA265,0),MAX(0,W231-IF($A266&gt;='1-Input'!$C$12,'1-Input'!$B$12,0))))*(1/(1-'P-Parametri'!$B$6*W266))),MAX(0,2*W231-(AA265-MIN(MAX(AA265,0),MAX(0,W231-IF($A266&gt;='1-Input'!$C$12,'1-Input'!$B$12,0)))))*(1/(1-'P-Parametri'!$B$6*W266))))</f>
        <v>6619.8594743432723</v>
      </c>
      <c r="Y266" s="18">
        <f>IF($A266&gt;'1-Input'!$B$26,AA265,(AA265-MAX(0,W231-IF($A266&gt;='1-Input'!$C$12,'1-Input'!$B$12,0))+X266*(1-'P-Parametri'!$B$6*W266))*(1+'1-Input'!$B$27))</f>
        <v>33193.241970369134</v>
      </c>
      <c r="Z266" s="18">
        <f>IF($A266&gt;'1-Input'!$B$26,AB265,(AB265-X266)*(1+$B$4))</f>
        <v>39422.622459210863</v>
      </c>
      <c r="AA266" s="18">
        <f>IF($A266&gt;'1-Input'!$B$26,Y266,Y266-'P-Parametri'!$B$8*(Z266+Y266)+MIN(MAX(Z266,0),'P-Parametri'!$B$8*(Z266+Y266)))</f>
        <v>33193.241970369134</v>
      </c>
      <c r="AB266" s="18">
        <f>IF($A266&gt;'1-Input'!$B$26,Z266,Z266-MIN(MAX(Z266,0),'P-Parametri'!$B$8*(Z266+Y266)))</f>
        <v>39277.390730351704</v>
      </c>
      <c r="AC266" s="18">
        <f>IF($A266&gt;'1-Input'!$B$26,AC265,AC265-X266*(1-W266))</f>
        <v>17421.357885428555</v>
      </c>
      <c r="AD266" s="11">
        <f>IF($A266&gt;'1-Input'!$B$26,0,IF(AI265&lt;=0,0,MAX(0,(AI265-AJ265)/AI265)))</f>
        <v>0.54924938374451326</v>
      </c>
      <c r="AE266" s="18">
        <f>IF($A266&gt;'1-Input'!$B$26,0,(MAX(0,AD231-IF($A266&gt;='1-Input'!$C$12,'1-Input'!$B$12,0))-MIN(MAX(AH265,0),MAX(0,AD231-IF($A266&gt;='1-Input'!$C$12,'1-Input'!$B$12,0))))*(1/(1-'P-Parametri'!$B$6*AD266))+MIN(MAX(0,AI265-(MAX(0,AD231-IF($A266&gt;='1-Input'!$C$12,'1-Input'!$B$12,0))-MIN(MAX(AH265,0),MAX(0,AD231-IF($A266&gt;='1-Input'!$C$12,'1-Input'!$B$12,0))))*(1/(1-'P-Parametri'!$B$6*AD266))),MAX(0,2*AD231-(AH265-MIN(MAX(AH265,0),MAX(0,AD231-IF($A266&gt;='1-Input'!$C$12,'1-Input'!$B$12,0)))))*(1/(1-'P-Parametri'!$B$6*AD266))))</f>
        <v>6619.7610738490512</v>
      </c>
      <c r="AF266" s="18">
        <f>IF($A266&gt;'1-Input'!$B$26,AH265,(AH265-MAX(0,AD231-IF($A266&gt;='1-Input'!$C$12,'1-Input'!$B$12,0))+AE266*(1-'P-Parametri'!$B$6*AD266))*(1+'1-Input'!$B$27))</f>
        <v>33193.073901117954</v>
      </c>
      <c r="AG266" s="18">
        <f>IF($A266&gt;'1-Input'!$B$26,AI265,(AI265-AE266)*(1+$B$4))</f>
        <v>39427.219675590131</v>
      </c>
      <c r="AH266" s="18">
        <f>IF($A266&gt;'1-Input'!$B$26,AF266,AF266-'P-Parametri'!$B$8*(AG266+AF266)+MIN(MAX(AG266,0),'P-Parametri'!$B$8*(AG266+AF266)))</f>
        <v>33193.073901117954</v>
      </c>
      <c r="AI266" s="18">
        <f>IF($A266&gt;'1-Input'!$B$26,AG266,AG266-MIN(MAX(AG266,0),'P-Parametri'!$B$8*(AG266+AF266)))</f>
        <v>39281.979088436718</v>
      </c>
      <c r="AJ266" s="18">
        <f>IF($A266&gt;'1-Input'!$B$26,AJ265,AJ265-AE266*(1-AD266))</f>
        <v>17423.376045110497</v>
      </c>
      <c r="AK266" s="11">
        <f>IF($A266&gt;'1-Input'!$B$26,0,IF(AP265&lt;=0,0,MAX(0,(AP265-AQ265)/AP265)))</f>
        <v>0.54924938374432053</v>
      </c>
      <c r="AL266" s="18">
        <f>IF($A266&gt;'1-Input'!$B$26,0,(MAX(0,AK231-IF($A266&gt;='1-Input'!$C$12,'1-Input'!$B$12,0))-MIN(MAX(AO265,0),MAX(0,AK231-IF($A266&gt;='1-Input'!$C$12,'1-Input'!$B$12,0))))*(1/(1-'P-Parametri'!$B$6*AK266))+MIN(MAX(0,AP265-(MAX(0,AK231-IF($A266&gt;='1-Input'!$C$12,'1-Input'!$B$12,0))-MIN(MAX(AO265,0),MAX(0,AK231-IF($A266&gt;='1-Input'!$C$12,'1-Input'!$B$12,0))))*(1/(1-'P-Parametri'!$B$6*AK266))),MAX(0,2*AK231-(AO265-MIN(MAX(AO265,0),MAX(0,AK231-IF($A266&gt;='1-Input'!$C$12,'1-Input'!$B$12,0)))))*(1/(1-'P-Parametri'!$B$6*AK266))))</f>
        <v>6619.7610739036572</v>
      </c>
      <c r="AM266" s="18">
        <f>IF($A266&gt;'1-Input'!$B$26,AO265,(AO265-MAX(0,AK231-IF($A266&gt;='1-Input'!$C$12,'1-Input'!$B$12,0))+AL266*(1-'P-Parametri'!$B$6*AK266))*(1+'1-Input'!$B$27))</f>
        <v>33193.073901211232</v>
      </c>
      <c r="AN266" s="18">
        <f>IF($A266&gt;'1-Input'!$B$26,AP265,(AP265-AL266)*(1+$B$4))</f>
        <v>39427.219673039122</v>
      </c>
      <c r="AO266" s="18">
        <f>IF($A266&gt;'1-Input'!$B$26,AM266,AM266-'P-Parametri'!$B$8*(AN266+AM266)+MIN(MAX(AN266,0),'P-Parametri'!$B$8*(AN266+AM266)))</f>
        <v>33193.073901211232</v>
      </c>
      <c r="AP266" s="18">
        <f>IF($A266&gt;'1-Input'!$B$26,AN266,AN266-MIN(MAX(AN266,0),'P-Parametri'!$B$8*(AN266+AM266)))</f>
        <v>39281.97908589062</v>
      </c>
      <c r="AQ266" s="18">
        <f>IF($A266&gt;'1-Input'!$B$26,AQ265,AQ265-AL266*(1-AK266))</f>
        <v>17423.376043990618</v>
      </c>
    </row>
    <row r="267" spans="1:43">
      <c r="A267" s="10">
        <f>34</f>
        <v>34</v>
      </c>
      <c r="B267" s="11">
        <f>IF($A267&gt;'1-Input'!$B$26,0,IF(G266&lt;=0,0,MAX(0,(G266-H266)/G266)))</f>
        <v>0.55632502846713761</v>
      </c>
      <c r="C267" s="18">
        <f>IF($A267&gt;'1-Input'!$B$26,0,(MAX(0,B231-IF($A267&gt;='1-Input'!$C$12,'1-Input'!$B$12,0))-MIN(MAX(F266,0),MAX(0,B231-IF($A267&gt;='1-Input'!$C$12,'1-Input'!$B$12,0))))*(1/(1-'P-Parametri'!$B$6*B267))+MIN(MAX(0,G266-(MAX(0,B231-IF($A267&gt;='1-Input'!$C$12,'1-Input'!$B$12,0))-MIN(MAX(F266,0),MAX(0,B231-IF($A267&gt;='1-Input'!$C$12,'1-Input'!$B$12,0))))*(1/(1-'P-Parametri'!$B$6*B267))),MAX(0,2*B231-(F266-MIN(MAX(F266,0),MAX(0,B231-IF($A267&gt;='1-Input'!$C$12,'1-Input'!$B$12,0)))))*(1/(1-'P-Parametri'!$B$6*B267))))</f>
        <v>6662.9126277978694</v>
      </c>
      <c r="D267" s="18">
        <f>IF($A267&gt;'1-Input'!$B$26,F266,(F266-MAX(0,B231-IF($A267&gt;='1-Input'!$C$12,'1-Input'!$B$12,0))+C267*(1-'P-Parametri'!$B$6*B267))*(1+'1-Input'!$B$27))</f>
        <v>33242.0070309863</v>
      </c>
      <c r="E267" s="18">
        <f>IF($A267&gt;'1-Input'!$B$26,G266,(G266-C267)*(1+$B$4))</f>
        <v>31908.857007964671</v>
      </c>
      <c r="F267" s="18">
        <f>IF($A267&gt;'1-Input'!$B$26,D267,D267-'P-Parametri'!$B$8*(E267+D267)+MIN(MAX(E267,0),'P-Parametri'!$B$8*(E267+D267)))</f>
        <v>33242.0070309863</v>
      </c>
      <c r="G267" s="18">
        <f>IF($A267&gt;'1-Input'!$B$26,E267,E267-MIN(MAX(E267,0),'P-Parametri'!$B$8*(E267+D267)))</f>
        <v>31778.555279886768</v>
      </c>
      <c r="H267" s="18">
        <f>IF($A267&gt;'1-Input'!$B$26,H266,H266-C267*(1-B267))</f>
        <v>13879.569828093039</v>
      </c>
      <c r="I267" s="11">
        <f>IF($A267&gt;'1-Input'!$B$26,0,IF(N266&lt;=0,0,MAX(0,(N266-O266)/N266)))</f>
        <v>0</v>
      </c>
      <c r="J267" s="18">
        <f>IF($A267&gt;'1-Input'!$B$26,0,(MAX(0,I231-IF($A267&gt;='1-Input'!$C$12,'1-Input'!$B$12,0))-MIN(MAX(M266,0),MAX(0,I231-IF($A267&gt;='1-Input'!$C$12,'1-Input'!$B$12,0))))*(1/(1-'P-Parametri'!$B$6*I267))+MIN(MAX(0,N266-(MAX(0,I231-IF($A267&gt;='1-Input'!$C$12,'1-Input'!$B$12,0))-MIN(MAX(M266,0),MAX(0,I231-IF($A267&gt;='1-Input'!$C$12,'1-Input'!$B$12,0))))*(1/(1-'P-Parametri'!$B$6*I267))),MAX(0,2*I231-(M266-MIN(MAX(M266,0),MAX(0,I231-IF($A267&gt;='1-Input'!$C$12,'1-Input'!$B$12,0)))))*(1/(1-'P-Parametri'!$B$6*I267))))</f>
        <v>10846.756992928691</v>
      </c>
      <c r="K267" s="18">
        <f>IF($A267&gt;'1-Input'!$B$26,M266,(M266-MAX(0,I231-IF($A267&gt;='1-Input'!$C$12,'1-Input'!$B$12,0))+J267*(1-'P-Parametri'!$B$6*I267))*(1+'1-Input'!$B$27))</f>
        <v>0</v>
      </c>
      <c r="L267" s="18">
        <f>IF($A267&gt;'1-Input'!$B$26,N266,(N266-J267)*(1+$B$4))</f>
        <v>-172499.68772459932</v>
      </c>
      <c r="M267" s="18">
        <f>IF($A267&gt;'1-Input'!$B$26,K267,K267-'P-Parametri'!$B$8*(L267+K267)+MIN(MAX(L267,0),'P-Parametri'!$B$8*(L267+K267)))</f>
        <v>0</v>
      </c>
      <c r="N267" s="18">
        <f>IF($A267&gt;'1-Input'!$B$26,L267,L267-MIN(MAX(L267,0),'P-Parametri'!$B$8*(L267+K267)))</f>
        <v>-172154.68834915012</v>
      </c>
      <c r="O267" s="18">
        <f>IF($A267&gt;'1-Input'!$B$26,O266,O266-J267*(1-I267))</f>
        <v>-150592.75810683111</v>
      </c>
      <c r="P267" s="11">
        <f>IF($A267&gt;'1-Input'!$B$26,0,IF(U266&lt;=0,0,MAX(0,(U266-V266)/U266)))</f>
        <v>0.5564463645088823</v>
      </c>
      <c r="Q267" s="18">
        <f>IF($A267&gt;'1-Input'!$B$26,0,(MAX(0,P231-IF($A267&gt;='1-Input'!$C$12,'1-Input'!$B$12,0))-MIN(MAX(T266,0),MAX(0,P231-IF($A267&gt;='1-Input'!$C$12,'1-Input'!$B$12,0))))*(1/(1-'P-Parametri'!$B$6*P267))+MIN(MAX(0,U266-(MAX(0,P231-IF($A267&gt;='1-Input'!$C$12,'1-Input'!$B$12,0))-MIN(MAX(T266,0),MAX(0,P231-IF($A267&gt;='1-Input'!$C$12,'1-Input'!$B$12,0))))*(1/(1-'P-Parametri'!$B$6*P267))),MAX(0,2*P231-(T266-MIN(MAX(T266,0),MAX(0,P231-IF($A267&gt;='1-Input'!$C$12,'1-Input'!$B$12,0)))))*(1/(1-'P-Parametri'!$B$6*P267))))</f>
        <v>6635.9281055517677</v>
      </c>
      <c r="R267" s="18">
        <f>IF($A267&gt;'1-Input'!$B$26,T266,(T266-MAX(0,P231-IF($A267&gt;='1-Input'!$C$12,'1-Input'!$B$12,0))+Q267*(1-'P-Parametri'!$B$6*P267))*(1+'1-Input'!$B$27))</f>
        <v>33195.925103139183</v>
      </c>
      <c r="S267" s="18">
        <f>IF($A267&gt;'1-Input'!$B$26,U266,(U266-Q267)*(1+$B$4))</f>
        <v>33219.57632968729</v>
      </c>
      <c r="T267" s="18">
        <f>IF($A267&gt;'1-Input'!$B$26,R267,R267-'P-Parametri'!$B$8*(S267+R267)+MIN(MAX(S267,0),'P-Parametri'!$B$8*(S267+R267)))</f>
        <v>33195.925103139183</v>
      </c>
      <c r="U267" s="18">
        <f>IF($A267&gt;'1-Input'!$B$26,S267,S267-MIN(MAX(S267,0),'P-Parametri'!$B$8*(S267+R267)))</f>
        <v>33086.745326821634</v>
      </c>
      <c r="V267" s="18">
        <f>IF($A267&gt;'1-Input'!$B$26,V266,V266-Q267*(1-P267))</f>
        <v>14445.748873046545</v>
      </c>
      <c r="W267" s="11">
        <f>IF($A267&gt;'1-Input'!$B$26,0,IF(AB266&lt;=0,0,MAX(0,(AB266-AC266)/AB266)))</f>
        <v>0.55645327855329874</v>
      </c>
      <c r="X267" s="18">
        <f>IF($A267&gt;'1-Input'!$B$26,0,(MAX(0,W231-IF($A267&gt;='1-Input'!$C$12,'1-Input'!$B$12,0))-MIN(MAX(AA266,0),MAX(0,W231-IF($A267&gt;='1-Input'!$C$12,'1-Input'!$B$12,0))))*(1/(1-'P-Parametri'!$B$6*W267))+MIN(MAX(0,AB266-(MAX(0,W231-IF($A267&gt;='1-Input'!$C$12,'1-Input'!$B$12,0))-MIN(MAX(AA266,0),MAX(0,W231-IF($A267&gt;='1-Input'!$C$12,'1-Input'!$B$12,0))))*(1/(1-'P-Parametri'!$B$6*W267))),MAX(0,2*W231-(AA266-MIN(MAX(AA266,0),MAX(0,W231-IF($A267&gt;='1-Input'!$C$12,'1-Input'!$B$12,0)))))*(1/(1-'P-Parametri'!$B$6*W267))))</f>
        <v>6634.3565590088474</v>
      </c>
      <c r="Y267" s="18">
        <f>IF($A267&gt;'1-Input'!$B$26,AA266,(AA266-MAX(0,W231-IF($A267&gt;='1-Input'!$C$12,'1-Input'!$B$12,0))+X267*(1-'P-Parametri'!$B$6*W267))*(1+'1-Input'!$B$27))</f>
        <v>33193.241970369134</v>
      </c>
      <c r="Z267" s="18">
        <f>IF($A267&gt;'1-Input'!$B$26,AB266,(AB266-X267)*(1+$B$4))</f>
        <v>33295.894854769715</v>
      </c>
      <c r="AA267" s="18">
        <f>IF($A267&gt;'1-Input'!$B$26,Y267,Y267-'P-Parametri'!$B$8*(Z267+Y267)+MIN(MAX(Z267,0),'P-Parametri'!$B$8*(Z267+Y267)))</f>
        <v>33193.241970369134</v>
      </c>
      <c r="AB267" s="18">
        <f>IF($A267&gt;'1-Input'!$B$26,Z267,Z267-MIN(MAX(Z267,0),'P-Parametri'!$B$8*(Z267+Y267)))</f>
        <v>33162.91658111944</v>
      </c>
      <c r="AC267" s="18">
        <f>IF($A267&gt;'1-Input'!$B$26,AC266,AC266-X267*(1-W267))</f>
        <v>14478.710784771763</v>
      </c>
      <c r="AD267" s="11">
        <f>IF($A267&gt;'1-Input'!$B$26,0,IF(AI266&lt;=0,0,MAX(0,(AI266-AJ266)/AI266)))</f>
        <v>0.55645371110542263</v>
      </c>
      <c r="AE267" s="18">
        <f>IF($A267&gt;'1-Input'!$B$26,0,(MAX(0,AD231-IF($A267&gt;='1-Input'!$C$12,'1-Input'!$B$12,0))-MIN(MAX(AH266,0),MAX(0,AD231-IF($A267&gt;='1-Input'!$C$12,'1-Input'!$B$12,0))))*(1/(1-'P-Parametri'!$B$6*AD267))+MIN(MAX(0,AI266-(MAX(0,AD231-IF($A267&gt;='1-Input'!$C$12,'1-Input'!$B$12,0))-MIN(MAX(AH266,0),MAX(0,AD231-IF($A267&gt;='1-Input'!$C$12,'1-Input'!$B$12,0))))*(1/(1-'P-Parametri'!$B$6*AD267))),MAX(0,2*AD231-(AH266-MIN(MAX(AH266,0),MAX(0,AD231-IF($A267&gt;='1-Input'!$C$12,'1-Input'!$B$12,0)))))*(1/(1-'P-Parametri'!$B$6*AD267))))</f>
        <v>6634.258117308701</v>
      </c>
      <c r="AF267" s="18">
        <f>IF($A267&gt;'1-Input'!$B$26,AH266,(AH266-MAX(0,AD231-IF($A267&gt;='1-Input'!$C$12,'1-Input'!$B$12,0))+AE267*(1-'P-Parametri'!$B$6*AD267))*(1+'1-Input'!$B$27))</f>
        <v>33193.073901117954</v>
      </c>
      <c r="AG267" s="18">
        <f>IF($A267&gt;'1-Input'!$B$26,AI266,(AI266-AE267)*(1+$B$4))</f>
        <v>33300.675390550576</v>
      </c>
      <c r="AH267" s="18">
        <f>IF($A267&gt;'1-Input'!$B$26,AF267,AF267-'P-Parametri'!$B$8*(AG267+AF267)+MIN(MAX(AG267,0),'P-Parametri'!$B$8*(AG267+AF267)))</f>
        <v>33193.073901117954</v>
      </c>
      <c r="AI267" s="18">
        <f>IF($A267&gt;'1-Input'!$B$26,AG267,AG267-MIN(MAX(AG267,0),'P-Parametri'!$B$8*(AG267+AF267)))</f>
        <v>33167.687891967238</v>
      </c>
      <c r="AJ267" s="18">
        <f>IF($A267&gt;'1-Input'!$B$26,AJ266,AJ266-AE267*(1-AD267))</f>
        <v>14480.775477609497</v>
      </c>
      <c r="AK267" s="11">
        <f>IF($A267&gt;'1-Input'!$B$26,0,IF(AP266&lt;=0,0,MAX(0,(AP266-AQ266)/AP266)))</f>
        <v>0.55645371110518249</v>
      </c>
      <c r="AL267" s="18">
        <f>IF($A267&gt;'1-Input'!$B$26,0,(MAX(0,AK231-IF($A267&gt;='1-Input'!$C$12,'1-Input'!$B$12,0))-MIN(MAX(AO266,0),MAX(0,AK231-IF($A267&gt;='1-Input'!$C$12,'1-Input'!$B$12,0))))*(1/(1-'P-Parametri'!$B$6*AK267))+MIN(MAX(0,AP266-(MAX(0,AK231-IF($A267&gt;='1-Input'!$C$12,'1-Input'!$B$12,0))-MIN(MAX(AO266,0),MAX(0,AK231-IF($A267&gt;='1-Input'!$C$12,'1-Input'!$B$12,0))))*(1/(1-'P-Parametri'!$B$6*AK267))),MAX(0,2*AK231-(AO266-MIN(MAX(AO266,0),MAX(0,AK231-IF($A267&gt;='1-Input'!$C$12,'1-Input'!$B$12,0)))))*(1/(1-'P-Parametri'!$B$6*AK267))))</f>
        <v>6634.2581173633316</v>
      </c>
      <c r="AM267" s="18">
        <f>IF($A267&gt;'1-Input'!$B$26,AO266,(AO266-MAX(0,AK231-IF($A267&gt;='1-Input'!$C$12,'1-Input'!$B$12,0))+AL267*(1-'P-Parametri'!$B$6*AK267))*(1+'1-Input'!$B$27))</f>
        <v>33193.073901211232</v>
      </c>
      <c r="AN267" s="18">
        <f>IF($A267&gt;'1-Input'!$B$26,AP266,(AP266-AL267)*(1+$B$4))</f>
        <v>33300.675387897834</v>
      </c>
      <c r="AO267" s="18">
        <f>IF($A267&gt;'1-Input'!$B$26,AM267,AM267-'P-Parametri'!$B$8*(AN267+AM267)+MIN(MAX(AN267,0),'P-Parametri'!$B$8*(AN267+AM267)))</f>
        <v>33193.073901211232</v>
      </c>
      <c r="AP267" s="18">
        <f>IF($A267&gt;'1-Input'!$B$26,AN267,AN267-MIN(MAX(AN267,0),'P-Parametri'!$B$8*(AN267+AM267)))</f>
        <v>33167.687889319619</v>
      </c>
      <c r="AQ267" s="18">
        <f>IF($A267&gt;'1-Input'!$B$26,AQ266,AQ266-AL267*(1-AK267))</f>
        <v>14480.775476463794</v>
      </c>
    </row>
    <row r="268" spans="1:43">
      <c r="A268" s="10">
        <f>35</f>
        <v>35</v>
      </c>
      <c r="B268" s="11">
        <f>IF($A268&gt;'1-Input'!$B$26,0,IF(G267&lt;=0,0,MAX(0,(G267-H267)/G267)))</f>
        <v>0.56324100621157958</v>
      </c>
      <c r="C268" s="18">
        <f>IF($A268&gt;'1-Input'!$B$26,0,(MAX(0,B231-IF($A268&gt;='1-Input'!$C$12,'1-Input'!$B$12,0))-MIN(MAX(F267,0),MAX(0,B231-IF($A268&gt;='1-Input'!$C$12,'1-Input'!$B$12,0))))*(1/(1-'P-Parametri'!$B$6*B268))+MIN(MAX(0,G267-(MAX(0,B231-IF($A268&gt;='1-Input'!$C$12,'1-Input'!$B$12,0))-MIN(MAX(F267,0),MAX(0,B231-IF($A268&gt;='1-Input'!$C$12,'1-Input'!$B$12,0))))*(1/(1-'P-Parametri'!$B$6*B268))),MAX(0,2*B231-(F267-MIN(MAX(F267,0),MAX(0,B231-IF($A268&gt;='1-Input'!$C$12,'1-Input'!$B$12,0)))))*(1/(1-'P-Parametri'!$B$6*B268))))</f>
        <v>6676.9491123753342</v>
      </c>
      <c r="D268" s="18">
        <f>IF($A268&gt;'1-Input'!$B$26,F267,(F267-MAX(0,B231-IF($A268&gt;='1-Input'!$C$12,'1-Input'!$B$12,0))+C268*(1-'P-Parametri'!$B$6*B268))*(1+'1-Input'!$B$27))</f>
        <v>33242.0070309863</v>
      </c>
      <c r="E268" s="18">
        <f>IF($A268&gt;'1-Input'!$B$26,G267,(G267-C268)*(1+$B$4))</f>
        <v>25603.638290861662</v>
      </c>
      <c r="F268" s="18">
        <f>IF($A268&gt;'1-Input'!$B$26,D268,D268-'P-Parametri'!$B$8*(E268+D268)+MIN(MAX(E268,0),'P-Parametri'!$B$8*(E268+D268)))</f>
        <v>33242.0070309863</v>
      </c>
      <c r="G268" s="18">
        <f>IF($A268&gt;'1-Input'!$B$26,E268,E268-MIN(MAX(E268,0),'P-Parametri'!$B$8*(E268+D268)))</f>
        <v>25485.947000217966</v>
      </c>
      <c r="H268" s="18">
        <f>IF($A268&gt;'1-Input'!$B$26,H267,H267-C268*(1-B268))</f>
        <v>10963.352252195502</v>
      </c>
      <c r="I268" s="11">
        <f>IF($A268&gt;'1-Input'!$B$26,0,IF(N267&lt;=0,0,MAX(0,(N267-O267)/N267)))</f>
        <v>0</v>
      </c>
      <c r="J268" s="18">
        <f>IF($A268&gt;'1-Input'!$B$26,0,(MAX(0,I231-IF($A268&gt;='1-Input'!$C$12,'1-Input'!$B$12,0))-MIN(MAX(M267,0),MAX(0,I231-IF($A268&gt;='1-Input'!$C$12,'1-Input'!$B$12,0))))*(1/(1-'P-Parametri'!$B$6*I268))+MIN(MAX(0,N267-(MAX(0,I231-IF($A268&gt;='1-Input'!$C$12,'1-Input'!$B$12,0))-MIN(MAX(M267,0),MAX(0,I231-IF($A268&gt;='1-Input'!$C$12,'1-Input'!$B$12,0))))*(1/(1-'P-Parametri'!$B$6*I268))),MAX(0,2*I231-(M267-MIN(MAX(M267,0),MAX(0,I231-IF($A268&gt;='1-Input'!$C$12,'1-Input'!$B$12,0)))))*(1/(1-'P-Parametri'!$B$6*I268))))</f>
        <v>10846.756992928691</v>
      </c>
      <c r="K268" s="18">
        <f>IF($A268&gt;'1-Input'!$B$26,M267,(M267-MAX(0,I231-IF($A268&gt;='1-Input'!$C$12,'1-Input'!$B$12,0))+J268*(1-'P-Parametri'!$B$6*I268))*(1+'1-Input'!$B$27))</f>
        <v>0</v>
      </c>
      <c r="L268" s="18">
        <f>IF($A268&gt;'1-Input'!$B$26,N267,(N267-J268)*(1+$B$4))</f>
        <v>-186661.47424892039</v>
      </c>
      <c r="M268" s="18">
        <f>IF($A268&gt;'1-Input'!$B$26,K268,K268-'P-Parametri'!$B$8*(L268+K268)+MIN(MAX(L268,0),'P-Parametri'!$B$8*(L268+K268)))</f>
        <v>0</v>
      </c>
      <c r="N268" s="18">
        <f>IF($A268&gt;'1-Input'!$B$26,L268,L268-MIN(MAX(L268,0),'P-Parametri'!$B$8*(L268+K268)))</f>
        <v>-186288.15130042256</v>
      </c>
      <c r="O268" s="18">
        <f>IF($A268&gt;'1-Input'!$B$26,O267,O267-J268*(1-I268))</f>
        <v>-161439.5150997598</v>
      </c>
      <c r="P268" s="11">
        <f>IF($A268&gt;'1-Input'!$B$26,0,IF(U267&lt;=0,0,MAX(0,(U267-V267)/U267)))</f>
        <v>0.56339770713754189</v>
      </c>
      <c r="Q268" s="18">
        <f>IF($A268&gt;'1-Input'!$B$26,0,(MAX(0,P231-IF($A268&gt;='1-Input'!$C$12,'1-Input'!$B$12,0))-MIN(MAX(T267,0),MAX(0,P231-IF($A268&gt;='1-Input'!$C$12,'1-Input'!$B$12,0))))*(1/(1-'P-Parametri'!$B$6*P268))+MIN(MAX(0,U267-(MAX(0,P231-IF($A268&gt;='1-Input'!$C$12,'1-Input'!$B$12,0))-MIN(MAX(T267,0),MAX(0,P231-IF($A268&gt;='1-Input'!$C$12,'1-Input'!$B$12,0))))*(1/(1-'P-Parametri'!$B$6*P268))),MAX(0,2*P231-(T267-MIN(MAX(T267,0),MAX(0,P231-IF($A268&gt;='1-Input'!$C$12,'1-Input'!$B$12,0)))))*(1/(1-'P-Parametri'!$B$6*P268))))</f>
        <v>6649.9798986083979</v>
      </c>
      <c r="R268" s="18">
        <f>IF($A268&gt;'1-Input'!$B$26,T267,(T267-MAX(0,P231-IF($A268&gt;='1-Input'!$C$12,'1-Input'!$B$12,0))+Q268*(1-'P-Parametri'!$B$6*P268))*(1+'1-Input'!$B$27))</f>
        <v>33195.925103139183</v>
      </c>
      <c r="S268" s="18">
        <f>IF($A268&gt;'1-Input'!$B$26,U267,(U267-Q268)*(1+$B$4))</f>
        <v>26965.5007367775</v>
      </c>
      <c r="T268" s="18">
        <f>IF($A268&gt;'1-Input'!$B$26,R268,R268-'P-Parametri'!$B$8*(S268+R268)+MIN(MAX(S268,0),'P-Parametri'!$B$8*(S268+R268)))</f>
        <v>33195.925103139183</v>
      </c>
      <c r="U268" s="18">
        <f>IF($A268&gt;'1-Input'!$B$26,S268,S268-MIN(MAX(S268,0),'P-Parametri'!$B$8*(S268+R268)))</f>
        <v>26845.177885097666</v>
      </c>
      <c r="V268" s="18">
        <f>IF($A268&gt;'1-Input'!$B$26,V267,V267-Q268*(1-P268))</f>
        <v>11542.352401824861</v>
      </c>
      <c r="W268" s="11">
        <f>IF($A268&gt;'1-Input'!$B$26,0,IF(AB267&lt;=0,0,MAX(0,(AB267-AC267)/AB267)))</f>
        <v>0.56340659153559214</v>
      </c>
      <c r="X268" s="18">
        <f>IF($A268&gt;'1-Input'!$B$26,0,(MAX(0,W231-IF($A268&gt;='1-Input'!$C$12,'1-Input'!$B$12,0))-MIN(MAX(AA267,0),MAX(0,W231-IF($A268&gt;='1-Input'!$C$12,'1-Input'!$B$12,0))))*(1/(1-'P-Parametri'!$B$6*W268))+MIN(MAX(0,AB267-(MAX(0,W231-IF($A268&gt;='1-Input'!$C$12,'1-Input'!$B$12,0))-MIN(MAX(AA267,0),MAX(0,W231-IF($A268&gt;='1-Input'!$C$12,'1-Input'!$B$12,0))))*(1/(1-'P-Parametri'!$B$6*W268))),MAX(0,2*W231-(AA267-MIN(MAX(AA267,0),MAX(0,W231-IF($A268&gt;='1-Input'!$C$12,'1-Input'!$B$12,0)))))*(1/(1-'P-Parametri'!$B$6*W268))))</f>
        <v>6648.4090443246214</v>
      </c>
      <c r="Y268" s="18">
        <f>IF($A268&gt;'1-Input'!$B$26,AA267,(AA267-MAX(0,W231-IF($A268&gt;='1-Input'!$C$12,'1-Input'!$B$12,0))+X268*(1-'P-Parametri'!$B$6*W268))*(1+'1-Input'!$B$27))</f>
        <v>33193.241970369134</v>
      </c>
      <c r="Z268" s="18">
        <f>IF($A268&gt;'1-Input'!$B$26,AB267,(AB267-X268)*(1+$B$4))</f>
        <v>27044.797687530718</v>
      </c>
      <c r="AA268" s="18">
        <f>IF($A268&gt;'1-Input'!$B$26,Y268,Y268-'P-Parametri'!$B$8*(Z268+Y268)+MIN(MAX(Z268,0),'P-Parametri'!$B$8*(Z268+Y268)))</f>
        <v>33193.241970369134</v>
      </c>
      <c r="AB268" s="18">
        <f>IF($A268&gt;'1-Input'!$B$26,Z268,Z268-MIN(MAX(Z268,0),'P-Parametri'!$B$8*(Z268+Y268)))</f>
        <v>26924.321608214919</v>
      </c>
      <c r="AC268" s="18">
        <f>IF($A268&gt;'1-Input'!$B$26,AC267,AC267-X268*(1-W268))</f>
        <v>11576.05921924448</v>
      </c>
      <c r="AD268" s="11">
        <f>IF($A268&gt;'1-Input'!$B$26,0,IF(AI267&lt;=0,0,MAX(0,(AI267-AJ267)/AI267)))</f>
        <v>0.56340714719772367</v>
      </c>
      <c r="AE268" s="18">
        <f>IF($A268&gt;'1-Input'!$B$26,0,(MAX(0,AD231-IF($A268&gt;='1-Input'!$C$12,'1-Input'!$B$12,0))-MIN(MAX(AH267,0),MAX(0,AD231-IF($A268&gt;='1-Input'!$C$12,'1-Input'!$B$12,0))))*(1/(1-'P-Parametri'!$B$6*AD268))+MIN(MAX(0,AI267-(MAX(0,AD231-IF($A268&gt;='1-Input'!$C$12,'1-Input'!$B$12,0))-MIN(MAX(AH267,0),MAX(0,AD231-IF($A268&gt;='1-Input'!$C$12,'1-Input'!$B$12,0))))*(1/(1-'P-Parametri'!$B$6*AD268))),MAX(0,2*AD231-(AH267-MIN(MAX(AH267,0),MAX(0,AD231-IF($A268&gt;='1-Input'!$C$12,'1-Input'!$B$12,0)))))*(1/(1-'P-Parametri'!$B$6*AD268))))</f>
        <v>6648.3106452887623</v>
      </c>
      <c r="AF268" s="18">
        <f>IF($A268&gt;'1-Input'!$B$26,AH267,(AH267-MAX(0,AD231-IF($A268&gt;='1-Input'!$C$12,'1-Input'!$B$12,0))+AE268*(1-'P-Parametri'!$B$6*AD268))*(1+'1-Input'!$B$27))</f>
        <v>33193.073901117954</v>
      </c>
      <c r="AG268" s="18">
        <f>IF($A268&gt;'1-Input'!$B$26,AI267,(AI267-AE268)*(1+$B$4))</f>
        <v>27049.764791612044</v>
      </c>
      <c r="AH268" s="18">
        <f>IF($A268&gt;'1-Input'!$B$26,AF268,AF268-'P-Parametri'!$B$8*(AG268+AF268)+MIN(MAX(AG268,0),'P-Parametri'!$B$8*(AG268+AF268)))</f>
        <v>33193.073901117954</v>
      </c>
      <c r="AI268" s="18">
        <f>IF($A268&gt;'1-Input'!$B$26,AG268,AG268-MIN(MAX(AG268,0),'P-Parametri'!$B$8*(AG268+AF268)))</f>
        <v>26929.279114226585</v>
      </c>
      <c r="AJ268" s="18">
        <f>IF($A268&gt;'1-Input'!$B$26,AJ267,AJ267-AE268*(1-AD268))</f>
        <v>11578.170566667133</v>
      </c>
      <c r="AK268" s="11">
        <f>IF($A268&gt;'1-Input'!$B$26,0,IF(AP267&lt;=0,0,MAX(0,(AP267-AQ267)/AP267)))</f>
        <v>0.56340714719741525</v>
      </c>
      <c r="AL268" s="18">
        <f>IF($A268&gt;'1-Input'!$B$26,0,(MAX(0,AK231-IF($A268&gt;='1-Input'!$C$12,'1-Input'!$B$12,0))-MIN(MAX(AO267,0),MAX(0,AK231-IF($A268&gt;='1-Input'!$C$12,'1-Input'!$B$12,0))))*(1/(1-'P-Parametri'!$B$6*AK268))+MIN(MAX(0,AP267-(MAX(0,AK231-IF($A268&gt;='1-Input'!$C$12,'1-Input'!$B$12,0))-MIN(MAX(AO267,0),MAX(0,AK231-IF($A268&gt;='1-Input'!$C$12,'1-Input'!$B$12,0))))*(1/(1-'P-Parametri'!$B$6*AK268))),MAX(0,2*AK231-(AO267-MIN(MAX(AO267,0),MAX(0,AK231-IF($A268&gt;='1-Input'!$C$12,'1-Input'!$B$12,0)))))*(1/(1-'P-Parametri'!$B$6*AK268))))</f>
        <v>6648.3106453433684</v>
      </c>
      <c r="AM268" s="18">
        <f>IF($A268&gt;'1-Input'!$B$26,AO267,(AO267-MAX(0,AK231-IF($A268&gt;='1-Input'!$C$12,'1-Input'!$B$12,0))+AL268*(1-'P-Parametri'!$B$6*AK268))*(1+'1-Input'!$B$27))</f>
        <v>33193.073901211232</v>
      </c>
      <c r="AN268" s="18">
        <f>IF($A268&gt;'1-Input'!$B$26,AP267,(AP267-AL268)*(1+$B$4))</f>
        <v>27049.764788855777</v>
      </c>
      <c r="AO268" s="18">
        <f>IF($A268&gt;'1-Input'!$B$26,AM268,AM268-'P-Parametri'!$B$8*(AN268+AM268)+MIN(MAX(AN268,0),'P-Parametri'!$B$8*(AN268+AM268)))</f>
        <v>33193.073901211232</v>
      </c>
      <c r="AP268" s="18">
        <f>IF($A268&gt;'1-Input'!$B$26,AN268,AN268-MIN(MAX(AN268,0),'P-Parametri'!$B$8*(AN268+AM268)))</f>
        <v>26929.279111475644</v>
      </c>
      <c r="AQ268" s="18">
        <f>IF($A268&gt;'1-Input'!$B$26,AQ267,AQ267-AL268*(1-AK268))</f>
        <v>11578.17056549554</v>
      </c>
    </row>
    <row r="269" spans="1:43">
      <c r="A269" s="10">
        <f>36</f>
        <v>36</v>
      </c>
      <c r="B269" s="11">
        <f>IF($A269&gt;'1-Input'!$B$26,0,IF(G268&lt;=0,0,MAX(0,(G268-H268)/G268)))</f>
        <v>0.56982755037112265</v>
      </c>
      <c r="C269" s="18">
        <f>IF($A269&gt;'1-Input'!$B$26,0,(MAX(0,B231-IF($A269&gt;='1-Input'!$C$12,'1-Input'!$B$12,0))-MIN(MAX(F268,0),MAX(0,B231-IF($A269&gt;='1-Input'!$C$12,'1-Input'!$B$12,0))))*(1/(1-'P-Parametri'!$B$6*B269))+MIN(MAX(0,G268-(MAX(0,B231-IF($A269&gt;='1-Input'!$C$12,'1-Input'!$B$12,0))-MIN(MAX(F268,0),MAX(0,B231-IF($A269&gt;='1-Input'!$C$12,'1-Input'!$B$12,0))))*(1/(1-'P-Parametri'!$B$6*B269))),MAX(0,2*B231-(F268-MIN(MAX(F268,0),MAX(0,B231-IF($A269&gt;='1-Input'!$C$12,'1-Input'!$B$12,0)))))*(1/(1-'P-Parametri'!$B$6*B269))))</f>
        <v>6690.3720795066274</v>
      </c>
      <c r="D269" s="18">
        <f>IF($A269&gt;'1-Input'!$B$26,F268,(F268-MAX(0,B231-IF($A269&gt;='1-Input'!$C$12,'1-Input'!$B$12,0))+C269*(1-'P-Parametri'!$B$6*B269))*(1+'1-Input'!$B$27))</f>
        <v>33242.0070309863</v>
      </c>
      <c r="E269" s="18">
        <f>IF($A269&gt;'1-Input'!$B$26,G268,(G268-C269)*(1+$B$4))</f>
        <v>19171.486419125569</v>
      </c>
      <c r="F269" s="18">
        <f>IF($A269&gt;'1-Input'!$B$26,D269,D269-'P-Parametri'!$B$8*(E269+D269)+MIN(MAX(E269,0),'P-Parametri'!$B$8*(E269+D269)))</f>
        <v>33242.0070309863</v>
      </c>
      <c r="G269" s="18">
        <f>IF($A269&gt;'1-Input'!$B$26,E269,E269-MIN(MAX(E269,0),'P-Parametri'!$B$8*(E269+D269)))</f>
        <v>19066.659432225344</v>
      </c>
      <c r="H269" s="18">
        <f>IF($A269&gt;'1-Input'!$B$26,H268,H268-C269*(1-B269))</f>
        <v>8085.3385058254898</v>
      </c>
      <c r="I269" s="11">
        <f>IF($A269&gt;'1-Input'!$B$26,0,IF(N268&lt;=0,0,MAX(0,(N268-O268)/N268)))</f>
        <v>0</v>
      </c>
      <c r="J269" s="18">
        <f>IF($A269&gt;'1-Input'!$B$26,0,(MAX(0,I231-IF($A269&gt;='1-Input'!$C$12,'1-Input'!$B$12,0))-MIN(MAX(M268,0),MAX(0,I231-IF($A269&gt;='1-Input'!$C$12,'1-Input'!$B$12,0))))*(1/(1-'P-Parametri'!$B$6*I269))+MIN(MAX(0,N268-(MAX(0,I231-IF($A269&gt;='1-Input'!$C$12,'1-Input'!$B$12,0))-MIN(MAX(M268,0),MAX(0,I231-IF($A269&gt;='1-Input'!$C$12,'1-Input'!$B$12,0))))*(1/(1-'P-Parametri'!$B$6*I269))),MAX(0,2*I231-(M268-MIN(MAX(M268,0),MAX(0,I231-IF($A269&gt;='1-Input'!$C$12,'1-Input'!$B$12,0)))))*(1/(1-'P-Parametri'!$B$6*I269))))</f>
        <v>10846.756992928691</v>
      </c>
      <c r="K269" s="18">
        <f>IF($A269&gt;'1-Input'!$B$26,M268,(M268-MAX(0,I231-IF($A269&gt;='1-Input'!$C$12,'1-Input'!$B$12,0))+J269*(1-'P-Parametri'!$B$6*I269))*(1+'1-Input'!$B$27))</f>
        <v>0</v>
      </c>
      <c r="L269" s="18">
        <f>IF($A269&gt;'1-Input'!$B$26,N268,(N268-J269)*(1+$B$4))</f>
        <v>-201077.60645921828</v>
      </c>
      <c r="M269" s="18">
        <f>IF($A269&gt;'1-Input'!$B$26,K269,K269-'P-Parametri'!$B$8*(L269+K269)+MIN(MAX(L269,0),'P-Parametri'!$B$8*(L269+K269)))</f>
        <v>0</v>
      </c>
      <c r="N269" s="18">
        <f>IF($A269&gt;'1-Input'!$B$26,L269,L269-MIN(MAX(L269,0),'P-Parametri'!$B$8*(L269+K269)))</f>
        <v>-200675.45124629984</v>
      </c>
      <c r="O269" s="18">
        <f>IF($A269&gt;'1-Input'!$B$26,O268,O268-J269*(1-I269))</f>
        <v>-172286.27209268848</v>
      </c>
      <c r="P269" s="11">
        <f>IF($A269&gt;'1-Input'!$B$26,0,IF(U268&lt;=0,0,MAX(0,(U268-V268)/U268)))</f>
        <v>0.57004001049170672</v>
      </c>
      <c r="Q269" s="18">
        <f>IF($A269&gt;'1-Input'!$B$26,0,(MAX(0,P231-IF($A269&gt;='1-Input'!$C$12,'1-Input'!$B$12,0))-MIN(MAX(T268,0),MAX(0,P231-IF($A269&gt;='1-Input'!$C$12,'1-Input'!$B$12,0))))*(1/(1-'P-Parametri'!$B$6*P269))+MIN(MAX(0,U268-(MAX(0,P231-IF($A269&gt;='1-Input'!$C$12,'1-Input'!$B$12,0))-MIN(MAX(T268,0),MAX(0,P231-IF($A269&gt;='1-Input'!$C$12,'1-Input'!$B$12,0))))*(1/(1-'P-Parametri'!$B$6*P269))),MAX(0,2*P231-(T268-MIN(MAX(T268,0),MAX(0,P231-IF($A269&gt;='1-Input'!$C$12,'1-Input'!$B$12,0)))))*(1/(1-'P-Parametri'!$B$6*P269))))</f>
        <v>6663.4626974369457</v>
      </c>
      <c r="R269" s="18">
        <f>IF($A269&gt;'1-Input'!$B$26,T268,(T268-MAX(0,P231-IF($A269&gt;='1-Input'!$C$12,'1-Input'!$B$12,0))+Q269*(1-'P-Parametri'!$B$6*P269))*(1+'1-Input'!$B$27))</f>
        <v>33195.925103139183</v>
      </c>
      <c r="S269" s="18">
        <f>IF($A269&gt;'1-Input'!$B$26,U268,(U268-Q269)*(1+$B$4))</f>
        <v>20585.349491413934</v>
      </c>
      <c r="T269" s="18">
        <f>IF($A269&gt;'1-Input'!$B$26,R269,R269-'P-Parametri'!$B$8*(S269+R269)+MIN(MAX(S269,0),'P-Parametri'!$B$8*(S269+R269)))</f>
        <v>33195.925103139183</v>
      </c>
      <c r="U269" s="18">
        <f>IF($A269&gt;'1-Input'!$B$26,S269,S269-MIN(MAX(S269,0),'P-Parametri'!$B$8*(S269+R269)))</f>
        <v>20477.786942224826</v>
      </c>
      <c r="V269" s="18">
        <f>IF($A269&gt;'1-Input'!$B$26,V268,V268-Q269*(1-P269))</f>
        <v>8677.3300503459686</v>
      </c>
      <c r="W269" s="11">
        <f>IF($A269&gt;'1-Input'!$B$26,0,IF(AB268&lt;=0,0,MAX(0,(AB268-AC268)/AB268)))</f>
        <v>0.57005196313980699</v>
      </c>
      <c r="X269" s="18">
        <f>IF($A269&gt;'1-Input'!$B$26,0,(MAX(0,W231-IF($A269&gt;='1-Input'!$C$12,'1-Input'!$B$12,0))-MIN(MAX(AA268,0),MAX(0,W231-IF($A269&gt;='1-Input'!$C$12,'1-Input'!$B$12,0))))*(1/(1-'P-Parametri'!$B$6*W269))+MIN(MAX(0,AB268-(MAX(0,W231-IF($A269&gt;='1-Input'!$C$12,'1-Input'!$B$12,0))-MIN(MAX(AA268,0),MAX(0,W231-IF($A269&gt;='1-Input'!$C$12,'1-Input'!$B$12,0))))*(1/(1-'P-Parametri'!$B$6*W269))),MAX(0,2*W231-(AA268-MIN(MAX(AA268,0),MAX(0,W231-IF($A269&gt;='1-Input'!$C$12,'1-Input'!$B$12,0)))))*(1/(1-'P-Parametri'!$B$6*W269))))</f>
        <v>6661.8949340356312</v>
      </c>
      <c r="Y269" s="18">
        <f>IF($A269&gt;'1-Input'!$B$26,AA268,(AA268-MAX(0,W231-IF($A269&gt;='1-Input'!$C$12,'1-Input'!$B$12,0))+X269*(1-'P-Parametri'!$B$6*W269))*(1+'1-Input'!$B$27))</f>
        <v>33193.241970369134</v>
      </c>
      <c r="Z269" s="18">
        <f>IF($A269&gt;'1-Input'!$B$26,AB268,(AB268-X269)*(1+$B$4))</f>
        <v>20667.675207662876</v>
      </c>
      <c r="AA269" s="18">
        <f>IF($A269&gt;'1-Input'!$B$26,Y269,Y269-'P-Parametri'!$B$8*(Z269+Y269)+MIN(MAX(Z269,0),'P-Parametri'!$B$8*(Z269+Y269)))</f>
        <v>33193.241970369134</v>
      </c>
      <c r="AB269" s="18">
        <f>IF($A269&gt;'1-Input'!$B$26,Z269,Z269-MIN(MAX(Z269,0),'P-Parametri'!$B$8*(Z269+Y269)))</f>
        <v>20559.953373306813</v>
      </c>
      <c r="AC269" s="18">
        <f>IF($A269&gt;'1-Input'!$B$26,AC268,AC268-X269*(1-W269))</f>
        <v>8711.7905705869962</v>
      </c>
      <c r="AD269" s="11">
        <f>IF($A269&gt;'1-Input'!$B$26,0,IF(AI268&lt;=0,0,MAX(0,(AI268-AJ268)/AI268)))</f>
        <v>0.57005271037684591</v>
      </c>
      <c r="AE269" s="18">
        <f>IF($A269&gt;'1-Input'!$B$26,0,(MAX(0,AD231-IF($A269&gt;='1-Input'!$C$12,'1-Input'!$B$12,0))-MIN(MAX(AH268,0),MAX(0,AD231-IF($A269&gt;='1-Input'!$C$12,'1-Input'!$B$12,0))))*(1/(1-'P-Parametri'!$B$6*AD269))+MIN(MAX(0,AI268-(MAX(0,AD231-IF($A269&gt;='1-Input'!$C$12,'1-Input'!$B$12,0))-MIN(MAX(AH268,0),MAX(0,AD231-IF($A269&gt;='1-Input'!$C$12,'1-Input'!$B$12,0))))*(1/(1-'P-Parametri'!$B$6*AD269))),MAX(0,2*AD231-(AH268-MIN(MAX(AH268,0),MAX(0,AD231-IF($A269&gt;='1-Input'!$C$12,'1-Input'!$B$12,0)))))*(1/(1-'P-Parametri'!$B$6*AD269))))</f>
        <v>6661.7967272491769</v>
      </c>
      <c r="AF269" s="18">
        <f>IF($A269&gt;'1-Input'!$B$26,AH268,(AH268-MAX(0,AD231-IF($A269&gt;='1-Input'!$C$12,'1-Input'!$B$12,0))+AE269*(1-'P-Parametri'!$B$6*AD269))*(1+'1-Input'!$B$27))</f>
        <v>33193.073901117954</v>
      </c>
      <c r="AG269" s="18">
        <f>IF($A269&gt;'1-Input'!$B$26,AI268,(AI268-AE269)*(1+$B$4))</f>
        <v>20672.832034716957</v>
      </c>
      <c r="AH269" s="18">
        <f>IF($A269&gt;'1-Input'!$B$26,AF269,AF269-'P-Parametri'!$B$8*(AG269+AF269)+MIN(MAX(AG269,0),'P-Parametri'!$B$8*(AG269+AF269)))</f>
        <v>33193.073901117954</v>
      </c>
      <c r="AI269" s="18">
        <f>IF($A269&gt;'1-Input'!$B$26,AG269,AG269-MIN(MAX(AG269,0),'P-Parametri'!$B$8*(AG269+AF269)))</f>
        <v>20565.100222845289</v>
      </c>
      <c r="AJ269" s="18">
        <f>IF($A269&gt;'1-Input'!$B$26,AJ268,AJ268-AE269*(1-AD269))</f>
        <v>8713.9491197659518</v>
      </c>
      <c r="AK269" s="11">
        <f>IF($A269&gt;'1-Input'!$B$26,0,IF(AP268&lt;=0,0,MAX(0,(AP268-AQ268)/AP268)))</f>
        <v>0.57005271037643124</v>
      </c>
      <c r="AL269" s="18">
        <f>IF($A269&gt;'1-Input'!$B$26,0,(MAX(0,AK231-IF($A269&gt;='1-Input'!$C$12,'1-Input'!$B$12,0))-MIN(MAX(AO268,0),MAX(0,AK231-IF($A269&gt;='1-Input'!$C$12,'1-Input'!$B$12,0))))*(1/(1-'P-Parametri'!$B$6*AK269))+MIN(MAX(0,AP268-(MAX(0,AK231-IF($A269&gt;='1-Input'!$C$12,'1-Input'!$B$12,0))-MIN(MAX(AO268,0),MAX(0,AK231-IF($A269&gt;='1-Input'!$C$12,'1-Input'!$B$12,0))))*(1/(1-'P-Parametri'!$B$6*AK269))),MAX(0,2*AK231-(AO268-MIN(MAX(AO268,0),MAX(0,AK231-IF($A269&gt;='1-Input'!$C$12,'1-Input'!$B$12,0)))))*(1/(1-'P-Parametri'!$B$6*AK269))))</f>
        <v>6661.7967273036775</v>
      </c>
      <c r="AM269" s="18">
        <f>IF($A269&gt;'1-Input'!$B$26,AO268,(AO268-MAX(0,AK231-IF($A269&gt;='1-Input'!$C$12,'1-Input'!$B$12,0))+AL269*(1-'P-Parametri'!$B$6*AK269))*(1+'1-Input'!$B$27))</f>
        <v>33193.073901211232</v>
      </c>
      <c r="AN269" s="18">
        <f>IF($A269&gt;'1-Input'!$B$26,AP268,(AP268-AL269)*(1+$B$4))</f>
        <v>20672.832031855407</v>
      </c>
      <c r="AO269" s="18">
        <f>IF($A269&gt;'1-Input'!$B$26,AM269,AM269-'P-Parametri'!$B$8*(AN269+AM269)+MIN(MAX(AN269,0),'P-Parametri'!$B$8*(AN269+AM269)))</f>
        <v>33193.073901211232</v>
      </c>
      <c r="AP269" s="18">
        <f>IF($A269&gt;'1-Input'!$B$26,AN269,AN269-MIN(MAX(AN269,0),'P-Parametri'!$B$8*(AN269+AM269)))</f>
        <v>20565.100219989276</v>
      </c>
      <c r="AQ269" s="18">
        <f>IF($A269&gt;'1-Input'!$B$26,AQ268,AQ268-AL269*(1-AK269))</f>
        <v>8713.9491185681636</v>
      </c>
    </row>
    <row r="270" spans="1:43">
      <c r="A270" s="10">
        <f>37</f>
        <v>37</v>
      </c>
      <c r="B270" s="11">
        <f>IF($A270&gt;'1-Input'!$B$26,0,IF(G269&lt;=0,0,MAX(0,(G269-H269)/G269)))</f>
        <v>0.57594362376032548</v>
      </c>
      <c r="C270" s="18">
        <f>IF($A270&gt;'1-Input'!$B$26,0,(MAX(0,B231-IF($A270&gt;='1-Input'!$C$12,'1-Input'!$B$12,0))-MIN(MAX(F269,0),MAX(0,B231-IF($A270&gt;='1-Input'!$C$12,'1-Input'!$B$12,0))))*(1/(1-'P-Parametri'!$B$6*B270))+MIN(MAX(0,G269-(MAX(0,B231-IF($A270&gt;='1-Input'!$C$12,'1-Input'!$B$12,0))-MIN(MAX(F269,0),MAX(0,B231-IF($A270&gt;='1-Input'!$C$12,'1-Input'!$B$12,0))))*(1/(1-'P-Parametri'!$B$6*B270))),MAX(0,2*B231-(F269-MIN(MAX(F269,0),MAX(0,B231-IF($A270&gt;='1-Input'!$C$12,'1-Input'!$B$12,0)))))*(1/(1-'P-Parametri'!$B$6*B270))))</f>
        <v>6702.8846716204725</v>
      </c>
      <c r="D270" s="18">
        <f>IF($A270&gt;'1-Input'!$B$26,F269,(F269-MAX(0,B231-IF($A270&gt;='1-Input'!$C$12,'1-Input'!$B$12,0))+C270*(1-'P-Parametri'!$B$6*B270))*(1+'1-Input'!$B$27))</f>
        <v>33242.0070309863</v>
      </c>
      <c r="E270" s="18">
        <f>IF($A270&gt;'1-Input'!$B$26,G269,(G269-C270)*(1+$B$4))</f>
        <v>12611.05025581697</v>
      </c>
      <c r="F270" s="18">
        <f>IF($A270&gt;'1-Input'!$B$26,D270,D270-'P-Parametri'!$B$8*(E270+D270)+MIN(MAX(E270,0),'P-Parametri'!$B$8*(E270+D270)))</f>
        <v>33242.0070309863</v>
      </c>
      <c r="G270" s="18">
        <f>IF($A270&gt;'1-Input'!$B$26,E270,E270-MIN(MAX(E270,0),'P-Parametri'!$B$8*(E270+D270)))</f>
        <v>12519.344141243364</v>
      </c>
      <c r="H270" s="18">
        <f>IF($A270&gt;'1-Input'!$B$26,H269,H269-C270*(1-B270))</f>
        <v>5242.9375216256522</v>
      </c>
      <c r="I270" s="11">
        <f>IF($A270&gt;'1-Input'!$B$26,0,IF(N269&lt;=0,0,MAX(0,(N269-O269)/N269)))</f>
        <v>0</v>
      </c>
      <c r="J270" s="18">
        <f>IF($A270&gt;'1-Input'!$B$26,0,(MAX(0,I231-IF($A270&gt;='1-Input'!$C$12,'1-Input'!$B$12,0))-MIN(MAX(M269,0),MAX(0,I231-IF($A270&gt;='1-Input'!$C$12,'1-Input'!$B$12,0))))*(1/(1-'P-Parametri'!$B$6*I270))+MIN(MAX(0,N269-(MAX(0,I231-IF($A270&gt;='1-Input'!$C$12,'1-Input'!$B$12,0))-MIN(MAX(M269,0),MAX(0,I231-IF($A270&gt;='1-Input'!$C$12,'1-Input'!$B$12,0))))*(1/(1-'P-Parametri'!$B$6*I270))),MAX(0,2*I231-(M269-MIN(MAX(M269,0),MAX(0,I231-IF($A270&gt;='1-Input'!$C$12,'1-Input'!$B$12,0)))))*(1/(1-'P-Parametri'!$B$6*I270))))</f>
        <v>10846.756992928691</v>
      </c>
      <c r="K270" s="18">
        <f>IF($A270&gt;'1-Input'!$B$26,M269,(M269-MAX(0,I231-IF($A270&gt;='1-Input'!$C$12,'1-Input'!$B$12,0))+J270*(1-'P-Parametri'!$B$6*I270))*(1+'1-Input'!$B$27))</f>
        <v>0</v>
      </c>
      <c r="L270" s="18">
        <f>IF($A270&gt;'1-Input'!$B$26,N269,(N269-J270)*(1+$B$4))</f>
        <v>-215752.65240401309</v>
      </c>
      <c r="M270" s="18">
        <f>IF($A270&gt;'1-Input'!$B$26,K270,K270-'P-Parametri'!$B$8*(L270+K270)+MIN(MAX(L270,0),'P-Parametri'!$B$8*(L270+K270)))</f>
        <v>0</v>
      </c>
      <c r="N270" s="18">
        <f>IF($A270&gt;'1-Input'!$B$26,L270,L270-MIN(MAX(L270,0),'P-Parametri'!$B$8*(L270+K270)))</f>
        <v>-215321.14709920506</v>
      </c>
      <c r="O270" s="18">
        <f>IF($A270&gt;'1-Input'!$B$26,O269,O269-J270*(1-I270))</f>
        <v>-183133.02908561716</v>
      </c>
      <c r="P270" s="11">
        <f>IF($A270&gt;'1-Input'!$B$26,0,IF(U269&lt;=0,0,MAX(0,(U269-V269)/U269)))</f>
        <v>0.57625645413599502</v>
      </c>
      <c r="Q270" s="18">
        <f>IF($A270&gt;'1-Input'!$B$26,0,(MAX(0,P231-IF($A270&gt;='1-Input'!$C$12,'1-Input'!$B$12,0))-MIN(MAX(T269,0),MAX(0,P231-IF($A270&gt;='1-Input'!$C$12,'1-Input'!$B$12,0))))*(1/(1-'P-Parametri'!$B$6*P270))+MIN(MAX(0,U269-(MAX(0,P231-IF($A270&gt;='1-Input'!$C$12,'1-Input'!$B$12,0))-MIN(MAX(T269,0),MAX(0,P231-IF($A270&gt;='1-Input'!$C$12,'1-Input'!$B$12,0))))*(1/(1-'P-Parametri'!$B$6*P270))),MAX(0,2*P231-(T269-MIN(MAX(T269,0),MAX(0,P231-IF($A270&gt;='1-Input'!$C$12,'1-Input'!$B$12,0)))))*(1/(1-'P-Parametri'!$B$6*P270))))</f>
        <v>6676.1306913732551</v>
      </c>
      <c r="R270" s="18">
        <f>IF($A270&gt;'1-Input'!$B$26,T269,(T269-MAX(0,P231-IF($A270&gt;='1-Input'!$C$12,'1-Input'!$B$12,0))+Q270*(1-'P-Parametri'!$B$6*P270))*(1+'1-Input'!$B$27))</f>
        <v>33195.925103139183</v>
      </c>
      <c r="S270" s="18">
        <f>IF($A270&gt;'1-Input'!$B$26,U269,(U269-Q270)*(1+$B$4))</f>
        <v>14077.689375868602</v>
      </c>
      <c r="T270" s="18">
        <f>IF($A270&gt;'1-Input'!$B$26,R270,R270-'P-Parametri'!$B$8*(S270+R270)+MIN(MAX(S270,0),'P-Parametri'!$B$8*(S270+R270)))</f>
        <v>33195.925103139183</v>
      </c>
      <c r="U270" s="18">
        <f>IF($A270&gt;'1-Input'!$B$26,S270,S270-MIN(MAX(S270,0),'P-Parametri'!$B$8*(S270+R270)))</f>
        <v>13983.142146910586</v>
      </c>
      <c r="V270" s="18">
        <f>IF($A270&gt;'1-Input'!$B$26,V269,V269-Q270*(1-P270))</f>
        <v>5848.3627585319546</v>
      </c>
      <c r="W270" s="11">
        <f>IF($A270&gt;'1-Input'!$B$26,0,IF(AB269&lt;=0,0,MAX(0,(AB269-AC269)/AB269)))</f>
        <v>0.57627381675400113</v>
      </c>
      <c r="X270" s="18">
        <f>IF($A270&gt;'1-Input'!$B$26,0,(MAX(0,W231-IF($A270&gt;='1-Input'!$C$12,'1-Input'!$B$12,0))-MIN(MAX(AA269,0),MAX(0,W231-IF($A270&gt;='1-Input'!$C$12,'1-Input'!$B$12,0))))*(1/(1-'P-Parametri'!$B$6*W270))+MIN(MAX(0,AB269-(MAX(0,W231-IF($A270&gt;='1-Input'!$C$12,'1-Input'!$B$12,0))-MIN(MAX(AA269,0),MAX(0,W231-IF($A270&gt;='1-Input'!$C$12,'1-Input'!$B$12,0))))*(1/(1-'P-Parametri'!$B$6*W270))),MAX(0,2*W231-(AA269-MIN(MAX(AA269,0),MAX(0,W231-IF($A270&gt;='1-Input'!$C$12,'1-Input'!$B$12,0)))))*(1/(1-'P-Parametri'!$B$6*W270))))</f>
        <v>6674.5710367366592</v>
      </c>
      <c r="Y270" s="18">
        <f>IF($A270&gt;'1-Input'!$B$26,AA269,(AA269-MAX(0,W231-IF($A270&gt;='1-Input'!$C$12,'1-Input'!$B$12,0))+X270*(1-'P-Parametri'!$B$6*W270))*(1+'1-Input'!$B$27))</f>
        <v>33193.241970369134</v>
      </c>
      <c r="Z270" s="18">
        <f>IF($A270&gt;'1-Input'!$B$26,AB269,(AB269-X270)*(1+$B$4))</f>
        <v>14163.089983301557</v>
      </c>
      <c r="AA270" s="18">
        <f>IF($A270&gt;'1-Input'!$B$26,Y270,Y270-'P-Parametri'!$B$8*(Z270+Y270)+MIN(MAX(Z270,0),'P-Parametri'!$B$8*(Z270+Y270)))</f>
        <v>33193.241970369134</v>
      </c>
      <c r="AB270" s="18">
        <f>IF($A270&gt;'1-Input'!$B$26,Z270,Z270-MIN(MAX(Z270,0),'P-Parametri'!$B$8*(Z270+Y270)))</f>
        <v>14068.377319394216</v>
      </c>
      <c r="AC270" s="18">
        <f>IF($A270&gt;'1-Input'!$B$26,AC269,AC269-X270*(1-W270))</f>
        <v>5883.6000603862813</v>
      </c>
      <c r="AD270" s="11">
        <f>IF($A270&gt;'1-Input'!$B$26,0,IF(AI269&lt;=0,0,MAX(0,(AI269-AJ269)/AI269)))</f>
        <v>0.57627490139407012</v>
      </c>
      <c r="AE270" s="18">
        <f>IF($A270&gt;'1-Input'!$B$26,0,(MAX(0,AD231-IF($A270&gt;='1-Input'!$C$12,'1-Input'!$B$12,0))-MIN(MAX(AH269,0),MAX(0,AD231-IF($A270&gt;='1-Input'!$C$12,'1-Input'!$B$12,0))))*(1/(1-'P-Parametri'!$B$6*AD270))+MIN(MAX(0,AI269-(MAX(0,AD231-IF($A270&gt;='1-Input'!$C$12,'1-Input'!$B$12,0))-MIN(MAX(AH269,0),MAX(0,AD231-IF($A270&gt;='1-Input'!$C$12,'1-Input'!$B$12,0))))*(1/(1-'P-Parametri'!$B$6*AD270))),MAX(0,2*AD231-(AH269-MIN(MAX(AH269,0),MAX(0,AD231-IF($A270&gt;='1-Input'!$C$12,'1-Input'!$B$12,0)))))*(1/(1-'P-Parametri'!$B$6*AD270))))</f>
        <v>6674.4733346878993</v>
      </c>
      <c r="AF270" s="18">
        <f>IF($A270&gt;'1-Input'!$B$26,AH269,(AH269-MAX(0,AD231-IF($A270&gt;='1-Input'!$C$12,'1-Input'!$B$12,0))+AE270*(1-'P-Parametri'!$B$6*AD270))*(1+'1-Input'!$B$27))</f>
        <v>33193.073901117954</v>
      </c>
      <c r="AG270" s="18">
        <f>IF($A270&gt;'1-Input'!$B$26,AI269,(AI269-AE270)*(1+$B$4))</f>
        <v>14168.439425920536</v>
      </c>
      <c r="AH270" s="18">
        <f>IF($A270&gt;'1-Input'!$B$26,AF270,AF270-'P-Parametri'!$B$8*(AG270+AF270)+MIN(MAX(AG270,0),'P-Parametri'!$B$8*(AG270+AF270)))</f>
        <v>33193.073901117954</v>
      </c>
      <c r="AI270" s="18">
        <f>IF($A270&gt;'1-Input'!$B$26,AG270,AG270-MIN(MAX(AG270,0),'P-Parametri'!$B$8*(AG270+AF270)))</f>
        <v>14073.716399266459</v>
      </c>
      <c r="AJ270" s="18">
        <f>IF($A270&gt;'1-Input'!$B$26,AJ269,AJ269-AE270*(1-AD270))</f>
        <v>5885.8072478826725</v>
      </c>
      <c r="AK270" s="11">
        <f>IF($A270&gt;'1-Input'!$B$26,0,IF(AP269&lt;=0,0,MAX(0,(AP269-AQ269)/AP269)))</f>
        <v>0.57627490139346826</v>
      </c>
      <c r="AL270" s="18">
        <f>IF($A270&gt;'1-Input'!$B$26,0,(MAX(0,AK231-IF($A270&gt;='1-Input'!$C$12,'1-Input'!$B$12,0))-MIN(MAX(AO269,0),MAX(0,AK231-IF($A270&gt;='1-Input'!$C$12,'1-Input'!$B$12,0))))*(1/(1-'P-Parametri'!$B$6*AK270))+MIN(MAX(0,AP269-(MAX(0,AK231-IF($A270&gt;='1-Input'!$C$12,'1-Input'!$B$12,0))-MIN(MAX(AO269,0),MAX(0,AK231-IF($A270&gt;='1-Input'!$C$12,'1-Input'!$B$12,0))))*(1/(1-'P-Parametri'!$B$6*AK270))),MAX(0,2*AK231-(AO269-MIN(MAX(AO269,0),MAX(0,AK231-IF($A270&gt;='1-Input'!$C$12,'1-Input'!$B$12,0)))))*(1/(1-'P-Parametri'!$B$6*AK270))))</f>
        <v>6674.4733347421197</v>
      </c>
      <c r="AM270" s="18">
        <f>IF($A270&gt;'1-Input'!$B$26,AO269,(AO269-MAX(0,AK231-IF($A270&gt;='1-Input'!$C$12,'1-Input'!$B$12,0))+AL270*(1-'P-Parametri'!$B$6*AK270))*(1+'1-Input'!$B$27))</f>
        <v>33193.073901211232</v>
      </c>
      <c r="AN270" s="18">
        <f>IF($A270&gt;'1-Input'!$B$26,AP269,(AP269-AL270)*(1+$B$4))</f>
        <v>14168.439422952099</v>
      </c>
      <c r="AO270" s="18">
        <f>IF($A270&gt;'1-Input'!$B$26,AM270,AM270-'P-Parametri'!$B$8*(AN270+AM270)+MIN(MAX(AN270,0),'P-Parametri'!$B$8*(AN270+AM270)))</f>
        <v>33193.073901211232</v>
      </c>
      <c r="AP270" s="18">
        <f>IF($A270&gt;'1-Input'!$B$26,AN270,AN270-MIN(MAX(AN270,0),'P-Parametri'!$B$8*(AN270+AM270)))</f>
        <v>14073.716396303771</v>
      </c>
      <c r="AQ270" s="18">
        <f>IF($A270&gt;'1-Input'!$B$26,AQ269,AQ269-AL270*(1-AK270))</f>
        <v>5885.8072466578924</v>
      </c>
    </row>
    <row r="271" spans="1:43">
      <c r="A271" s="10">
        <f>38</f>
        <v>38</v>
      </c>
      <c r="B271" s="11">
        <f>IF($A271&gt;'1-Input'!$B$26,0,IF(G270&lt;=0,0,MAX(0,(G270-H270)/G270)))</f>
        <v>0.58121308413006467</v>
      </c>
      <c r="C271" s="18">
        <f>IF($A271&gt;'1-Input'!$B$26,0,(MAX(0,B231-IF($A271&gt;='1-Input'!$C$12,'1-Input'!$B$12,0))-MIN(MAX(F270,0),MAX(0,B231-IF($A271&gt;='1-Input'!$C$12,'1-Input'!$B$12,0))))*(1/(1-'P-Parametri'!$B$6*B271))+MIN(MAX(0,G270-(MAX(0,B231-IF($A271&gt;='1-Input'!$C$12,'1-Input'!$B$12,0))-MIN(MAX(F270,0),MAX(0,B231-IF($A271&gt;='1-Input'!$C$12,'1-Input'!$B$12,0))))*(1/(1-'P-Parametri'!$B$6*B271))),MAX(0,2*B231-(F270-MIN(MAX(F270,0),MAX(0,B231-IF($A271&gt;='1-Input'!$C$12,'1-Input'!$B$12,0)))))*(1/(1-'P-Parametri'!$B$6*B271))))</f>
        <v>6713.7028112788912</v>
      </c>
      <c r="D271" s="18">
        <f>IF($A271&gt;'1-Input'!$B$26,F270,(F270-MAX(0,B231-IF($A271&gt;='1-Input'!$C$12,'1-Input'!$B$12,0))+C271*(1-'P-Parametri'!$B$6*B271))*(1+'1-Input'!$B$27))</f>
        <v>33242.0070309863</v>
      </c>
      <c r="E271" s="18">
        <f>IF($A271&gt;'1-Input'!$B$26,G270,(G270-C271)*(1+$B$4))</f>
        <v>5921.7541565637621</v>
      </c>
      <c r="F271" s="18">
        <f>IF($A271&gt;'1-Input'!$B$26,D271,D271-'P-Parametri'!$B$8*(E271+D271)+MIN(MAX(E271,0),'P-Parametri'!$B$8*(E271+D271)))</f>
        <v>33242.0070309863</v>
      </c>
      <c r="G271" s="18">
        <f>IF($A271&gt;'1-Input'!$B$26,E271,E271-MIN(MAX(E271,0),'P-Parametri'!$B$8*(E271+D271)))</f>
        <v>5843.4266341886623</v>
      </c>
      <c r="H271" s="18">
        <f>IF($A271&gt;'1-Input'!$B$26,H270,H270-C271*(1-B271))</f>
        <v>2431.3266272228507</v>
      </c>
      <c r="I271" s="11">
        <f>IF($A271&gt;'1-Input'!$B$26,0,IF(N270&lt;=0,0,MAX(0,(N270-O270)/N270)))</f>
        <v>0</v>
      </c>
      <c r="J271" s="18">
        <f>IF($A271&gt;'1-Input'!$B$26,0,(MAX(0,I231-IF($A271&gt;='1-Input'!$C$12,'1-Input'!$B$12,0))-MIN(MAX(M270,0),MAX(0,I231-IF($A271&gt;='1-Input'!$C$12,'1-Input'!$B$12,0))))*(1/(1-'P-Parametri'!$B$6*I271))+MIN(MAX(0,N270-(MAX(0,I231-IF($A271&gt;='1-Input'!$C$12,'1-Input'!$B$12,0))-MIN(MAX(M270,0),MAX(0,I231-IF($A271&gt;='1-Input'!$C$12,'1-Input'!$B$12,0))))*(1/(1-'P-Parametri'!$B$6*I271))),MAX(0,2*I231-(M270-MIN(MAX(M270,0),MAX(0,I231-IF($A271&gt;='1-Input'!$C$12,'1-Input'!$B$12,0)))))*(1/(1-'P-Parametri'!$B$6*I271))))</f>
        <v>10846.756992928691</v>
      </c>
      <c r="K271" s="18">
        <f>IF($A271&gt;'1-Input'!$B$26,M270,(M270-MAX(0,I231-IF($A271&gt;='1-Input'!$C$12,'1-Input'!$B$12,0))+J271*(1-'P-Parametri'!$B$6*I271))*(1+'1-Input'!$B$27))</f>
        <v>0</v>
      </c>
      <c r="L271" s="18">
        <f>IF($A271&gt;'1-Input'!$B$26,N270,(N270-J271)*(1+$B$4))</f>
        <v>-230691.26217397643</v>
      </c>
      <c r="M271" s="18">
        <f>IF($A271&gt;'1-Input'!$B$26,K271,K271-'P-Parametri'!$B$8*(L271+K271)+MIN(MAX(L271,0),'P-Parametri'!$B$8*(L271+K271)))</f>
        <v>0</v>
      </c>
      <c r="N271" s="18">
        <f>IF($A271&gt;'1-Input'!$B$26,L271,L271-MIN(MAX(L271,0),'P-Parametri'!$B$8*(L271+K271)))</f>
        <v>-230229.87964962848</v>
      </c>
      <c r="O271" s="18">
        <f>IF($A271&gt;'1-Input'!$B$26,O270,O270-J271*(1-I271))</f>
        <v>-193979.78607854585</v>
      </c>
      <c r="P271" s="11">
        <f>IF($A271&gt;'1-Input'!$B$26,0,IF(U270&lt;=0,0,MAX(0,(U270-V270)/U270)))</f>
        <v>0.58175618204495738</v>
      </c>
      <c r="Q271" s="18">
        <f>IF($A271&gt;'1-Input'!$B$26,0,(MAX(0,P231-IF($A271&gt;='1-Input'!$C$12,'1-Input'!$B$12,0))-MIN(MAX(T270,0),MAX(0,P231-IF($A271&gt;='1-Input'!$C$12,'1-Input'!$B$12,0))))*(1/(1-'P-Parametri'!$B$6*P271))+MIN(MAX(0,U270-(MAX(0,P231-IF($A271&gt;='1-Input'!$C$12,'1-Input'!$B$12,0))-MIN(MAX(T270,0),MAX(0,P231-IF($A271&gt;='1-Input'!$C$12,'1-Input'!$B$12,0))))*(1/(1-'P-Parametri'!$B$6*P271))),MAX(0,2*P231-(T270-MIN(MAX(T270,0),MAX(0,P231-IF($A271&gt;='1-Input'!$C$12,'1-Input'!$B$12,0)))))*(1/(1-'P-Parametri'!$B$6*P271))))</f>
        <v>6687.3783719763005</v>
      </c>
      <c r="R271" s="18">
        <f>IF($A271&gt;'1-Input'!$B$26,T270,(T270-MAX(0,P231-IF($A271&gt;='1-Input'!$C$12,'1-Input'!$B$12,0))+Q271*(1-'P-Parametri'!$B$6*P271))*(1+'1-Input'!$B$27))</f>
        <v>33195.925103139183</v>
      </c>
      <c r="S271" s="18">
        <f>IF($A271&gt;'1-Input'!$B$26,U270,(U270-Q271)*(1+$B$4))</f>
        <v>7441.679050432972</v>
      </c>
      <c r="T271" s="18">
        <f>IF($A271&gt;'1-Input'!$B$26,R271,R271-'P-Parametri'!$B$8*(S271+R271)+MIN(MAX(S271,0),'P-Parametri'!$B$8*(S271+R271)))</f>
        <v>33195.925103139183</v>
      </c>
      <c r="U271" s="18">
        <f>IF($A271&gt;'1-Input'!$B$26,S271,S271-MIN(MAX(S271,0),'P-Parametri'!$B$8*(S271+R271)))</f>
        <v>7360.4038421258274</v>
      </c>
      <c r="V271" s="18">
        <f>IF($A271&gt;'1-Input'!$B$26,V270,V270-Q271*(1-P271))</f>
        <v>3051.4080961266095</v>
      </c>
      <c r="W271" s="11">
        <f>IF($A271&gt;'1-Input'!$B$26,0,IF(AB270&lt;=0,0,MAX(0,(AB270-AC270)/AB270)))</f>
        <v>0.58178545209508004</v>
      </c>
      <c r="X271" s="18">
        <f>IF($A271&gt;'1-Input'!$B$26,0,(MAX(0,W231-IF($A271&gt;='1-Input'!$C$12,'1-Input'!$B$12,0))-MIN(MAX(AA270,0),MAX(0,W231-IF($A271&gt;='1-Input'!$C$12,'1-Input'!$B$12,0))))*(1/(1-'P-Parametri'!$B$6*W271))+MIN(MAX(0,AB270-(MAX(0,W231-IF($A271&gt;='1-Input'!$C$12,'1-Input'!$B$12,0))-MIN(MAX(AA270,0),MAX(0,W231-IF($A271&gt;='1-Input'!$C$12,'1-Input'!$B$12,0))))*(1/(1-'P-Parametri'!$B$6*W271))),MAX(0,2*W231-(AA270-MIN(MAX(AA270,0),MAX(0,W231-IF($A271&gt;='1-Input'!$C$12,'1-Input'!$B$12,0)))))*(1/(1-'P-Parametri'!$B$6*W271))))</f>
        <v>6685.84053734804</v>
      </c>
      <c r="Y271" s="18">
        <f>IF($A271&gt;'1-Input'!$B$26,AA270,(AA270-MAX(0,W231-IF($A271&gt;='1-Input'!$C$12,'1-Input'!$B$12,0))+X271*(1-'P-Parametri'!$B$6*W271))*(1+'1-Input'!$B$27))</f>
        <v>33193.241970369134</v>
      </c>
      <c r="Z271" s="18">
        <f>IF($A271&gt;'1-Input'!$B$26,AB270,(AB270-X271)*(1+$B$4))</f>
        <v>7530.1875176870999</v>
      </c>
      <c r="AA271" s="18">
        <f>IF($A271&gt;'1-Input'!$B$26,Y271,Y271-'P-Parametri'!$B$8*(Z271+Y271)+MIN(MAX(Z271,0),'P-Parametri'!$B$8*(Z271+Y271)))</f>
        <v>33193.241970369134</v>
      </c>
      <c r="AB271" s="18">
        <f>IF($A271&gt;'1-Input'!$B$26,Z271,Z271-MIN(MAX(Z271,0),'P-Parametri'!$B$8*(Z271+Y271)))</f>
        <v>7448.7406587109872</v>
      </c>
      <c r="AC271" s="18">
        <f>IF($A271&gt;'1-Input'!$B$26,AC270,AC270-X271*(1-W271))</f>
        <v>3087.4842826948834</v>
      </c>
      <c r="AD271" s="11">
        <f>IF($A271&gt;'1-Input'!$B$26,0,IF(AI270&lt;=0,0,MAX(0,(AI270-AJ270)/AI270)))</f>
        <v>0.58178727772364036</v>
      </c>
      <c r="AE271" s="18">
        <f>IF($A271&gt;'1-Input'!$B$26,0,(MAX(0,AD231-IF($A271&gt;='1-Input'!$C$12,'1-Input'!$B$12,0))-MIN(MAX(AH270,0),MAX(0,AD231-IF($A271&gt;='1-Input'!$C$12,'1-Input'!$B$12,0))))*(1/(1-'P-Parametri'!$B$6*AD271))+MIN(MAX(0,AI270-(MAX(0,AD231-IF($A271&gt;='1-Input'!$C$12,'1-Input'!$B$12,0))-MIN(MAX(AH270,0),MAX(0,AD231-IF($A271&gt;='1-Input'!$C$12,'1-Input'!$B$12,0))))*(1/(1-'P-Parametri'!$B$6*AD271))),MAX(0,2*AD231-(AH270-MIN(MAX(AH270,0),MAX(0,AD231-IF($A271&gt;='1-Input'!$C$12,'1-Input'!$B$12,0)))))*(1/(1-'P-Parametri'!$B$6*AD271))))</f>
        <v>6685.7441916983535</v>
      </c>
      <c r="AF271" s="18">
        <f>IF($A271&gt;'1-Input'!$B$26,AH270,(AH270-MAX(0,AD231-IF($A271&gt;='1-Input'!$C$12,'1-Input'!$B$12,0))+AE271*(1-'P-Parametri'!$B$6*AD271))*(1+'1-Input'!$B$27))</f>
        <v>33193.073901117954</v>
      </c>
      <c r="AG271" s="18">
        <f>IF($A271&gt;'1-Input'!$B$26,AI270,(AI270-AE271)*(1+$B$4))</f>
        <v>7535.7316517194677</v>
      </c>
      <c r="AH271" s="18">
        <f>IF($A271&gt;'1-Input'!$B$26,AF271,AF271-'P-Parametri'!$B$8*(AG271+AF271)+MIN(MAX(AG271,0),'P-Parametri'!$B$8*(AG271+AF271)))</f>
        <v>33193.073901117954</v>
      </c>
      <c r="AI271" s="18">
        <f>IF($A271&gt;'1-Input'!$B$26,AG271,AG271-MIN(MAX(AG271,0),'P-Parametri'!$B$8*(AG271+AF271)))</f>
        <v>7454.2740406137927</v>
      </c>
      <c r="AJ271" s="18">
        <f>IF($A271&gt;'1-Input'!$B$26,AJ270,AJ270-AE271*(1-AD271))</f>
        <v>3089.7439690291444</v>
      </c>
      <c r="AK271" s="11">
        <f>IF($A271&gt;'1-Input'!$B$26,0,IF(AP270&lt;=0,0,MAX(0,(AP270-AQ270)/AP270)))</f>
        <v>0.5817872777226275</v>
      </c>
      <c r="AL271" s="18">
        <f>IF($A271&gt;'1-Input'!$B$26,0,(MAX(0,AK231-IF($A271&gt;='1-Input'!$C$12,'1-Input'!$B$12,0))-MIN(MAX(AO270,0),MAX(0,AK231-IF($A271&gt;='1-Input'!$C$12,'1-Input'!$B$12,0))))*(1/(1-'P-Parametri'!$B$6*AK271))+MIN(MAX(0,AP270-(MAX(0,AK231-IF($A271&gt;='1-Input'!$C$12,'1-Input'!$B$12,0))-MIN(MAX(AO270,0),MAX(0,AK231-IF($A271&gt;='1-Input'!$C$12,'1-Input'!$B$12,0))))*(1/(1-'P-Parametri'!$B$6*AK271))),MAX(0,2*AK231-(AO270-MIN(MAX(AO270,0),MAX(0,AK231-IF($A271&gt;='1-Input'!$C$12,'1-Input'!$B$12,0)))))*(1/(1-'P-Parametri'!$B$6*AK271))))</f>
        <v>6685.7441917518208</v>
      </c>
      <c r="AM271" s="18">
        <f>IF($A271&gt;'1-Input'!$B$26,AO270,(AO270-MAX(0,AK231-IF($A271&gt;='1-Input'!$C$12,'1-Input'!$B$12,0))+AL271*(1-'P-Parametri'!$B$6*AK271))*(1+'1-Input'!$B$27))</f>
        <v>33193.073901211232</v>
      </c>
      <c r="AN271" s="18">
        <f>IF($A271&gt;'1-Input'!$B$26,AP270,(AP270-AL271)*(1+$B$4))</f>
        <v>7535.7316486429891</v>
      </c>
      <c r="AO271" s="18">
        <f>IF($A271&gt;'1-Input'!$B$26,AM271,AM271-'P-Parametri'!$B$8*(AN271+AM271)+MIN(MAX(AN271,0),'P-Parametri'!$B$8*(AN271+AM271)))</f>
        <v>33193.073901211232</v>
      </c>
      <c r="AP271" s="18">
        <f>IF($A271&gt;'1-Input'!$B$26,AN271,AN271-MIN(MAX(AN271,0),'P-Parametri'!$B$8*(AN271+AM271)))</f>
        <v>7454.2740375432804</v>
      </c>
      <c r="AQ271" s="18">
        <f>IF($A271&gt;'1-Input'!$B$26,AQ270,AQ270-AL271*(1-AK271))</f>
        <v>3089.7439677752318</v>
      </c>
    </row>
    <row r="272" spans="1:43">
      <c r="A272" s="10">
        <f>39</f>
        <v>39</v>
      </c>
      <c r="B272" s="11">
        <f>IF($A272&gt;'1-Input'!$B$26,0,IF(G271&lt;=0,0,MAX(0,(G271-H271)/G271)))</f>
        <v>0.58392108270895893</v>
      </c>
      <c r="C272" s="18">
        <f>IF($A272&gt;'1-Input'!$B$26,0,(MAX(0,B231-IF($A272&gt;='1-Input'!$C$12,'1-Input'!$B$12,0))-MIN(MAX(F271,0),MAX(0,B231-IF($A272&gt;='1-Input'!$C$12,'1-Input'!$B$12,0))))*(1/(1-'P-Parametri'!$B$6*B272))+MIN(MAX(0,G271-(MAX(0,B231-IF($A272&gt;='1-Input'!$C$12,'1-Input'!$B$12,0))-MIN(MAX(F271,0),MAX(0,B231-IF($A272&gt;='1-Input'!$C$12,'1-Input'!$B$12,0))))*(1/(1-'P-Parametri'!$B$6*B272))),MAX(0,2*B231-(F271-MIN(MAX(F271,0),MAX(0,B231-IF($A272&gt;='1-Input'!$C$12,'1-Input'!$B$12,0)))))*(1/(1-'P-Parametri'!$B$6*B272))))</f>
        <v>5843.4266341886623</v>
      </c>
      <c r="D272" s="18">
        <f>IF($A272&gt;'1-Input'!$B$26,F271,(F271-MAX(0,B231-IF($A272&gt;='1-Input'!$C$12,'1-Input'!$B$12,0))+C272*(1-'P-Parametri'!$B$6*B272))*(1+'1-Input'!$B$27))</f>
        <v>32501.803112282589</v>
      </c>
      <c r="E272" s="18">
        <f>IF($A272&gt;'1-Input'!$B$26,G271,(G271-C272)*(1+$B$4))</f>
        <v>0</v>
      </c>
      <c r="F272" s="18">
        <f>IF($A272&gt;'1-Input'!$B$26,D272,D272-'P-Parametri'!$B$8*(E272+D272)+MIN(MAX(E272,0),'P-Parametri'!$B$8*(E272+D272)))</f>
        <v>32436.799506058025</v>
      </c>
      <c r="G272" s="18">
        <f>IF($A272&gt;'1-Input'!$B$26,E272,E272-MIN(MAX(E272,0),'P-Parametri'!$B$8*(E272+D272)))</f>
        <v>0</v>
      </c>
      <c r="H272" s="18">
        <f>IF($A272&gt;'1-Input'!$B$26,H271,H271-C272*(1-B272))</f>
        <v>-4.5474735088646412E-13</v>
      </c>
      <c r="I272" s="11">
        <f>IF($A272&gt;'1-Input'!$B$26,0,IF(N271&lt;=0,0,MAX(0,(N271-O271)/N271)))</f>
        <v>0</v>
      </c>
      <c r="J272" s="18">
        <f>IF($A272&gt;'1-Input'!$B$26,0,(MAX(0,I231-IF($A272&gt;='1-Input'!$C$12,'1-Input'!$B$12,0))-MIN(MAX(M271,0),MAX(0,I231-IF($A272&gt;='1-Input'!$C$12,'1-Input'!$B$12,0))))*(1/(1-'P-Parametri'!$B$6*I272))+MIN(MAX(0,N271-(MAX(0,I231-IF($A272&gt;='1-Input'!$C$12,'1-Input'!$B$12,0))-MIN(MAX(M271,0),MAX(0,I231-IF($A272&gt;='1-Input'!$C$12,'1-Input'!$B$12,0))))*(1/(1-'P-Parametri'!$B$6*I272))),MAX(0,2*I231-(M271-MIN(MAX(M271,0),MAX(0,I231-IF($A272&gt;='1-Input'!$C$12,'1-Input'!$B$12,0)))))*(1/(1-'P-Parametri'!$B$6*I272))))</f>
        <v>10846.756992928691</v>
      </c>
      <c r="K272" s="18">
        <f>IF($A272&gt;'1-Input'!$B$26,M271,(M271-MAX(0,I231-IF($A272&gt;='1-Input'!$C$12,'1-Input'!$B$12,0))+J272*(1-'P-Parametri'!$B$6*I272))*(1+'1-Input'!$B$27))</f>
        <v>0</v>
      </c>
      <c r="L272" s="18">
        <f>IF($A272&gt;'1-Input'!$B$26,N271,(N271-J272)*(1+$B$4))</f>
        <v>-245898.1693754083</v>
      </c>
      <c r="M272" s="18">
        <f>IF($A272&gt;'1-Input'!$B$26,K272,K272-'P-Parametri'!$B$8*(L272+K272)+MIN(MAX(L272,0),'P-Parametri'!$B$8*(L272+K272)))</f>
        <v>0</v>
      </c>
      <c r="N272" s="18">
        <f>IF($A272&gt;'1-Input'!$B$26,L272,L272-MIN(MAX(L272,0),'P-Parametri'!$B$8*(L272+K272)))</f>
        <v>-245406.37303665749</v>
      </c>
      <c r="O272" s="18">
        <f>IF($A272&gt;'1-Input'!$B$26,O271,O271-J272*(1-I272))</f>
        <v>-204826.54307147453</v>
      </c>
      <c r="P272" s="11">
        <f>IF($A272&gt;'1-Input'!$B$26,0,IF(U271&lt;=0,0,MAX(0,(U271-V271)/U271)))</f>
        <v>0.58542925611466134</v>
      </c>
      <c r="Q272" s="18">
        <f>IF($A272&gt;'1-Input'!$B$26,0,(MAX(0,P231-IF($A272&gt;='1-Input'!$C$12,'1-Input'!$B$12,0))-MIN(MAX(T271,0),MAX(0,P231-IF($A272&gt;='1-Input'!$C$12,'1-Input'!$B$12,0))))*(1/(1-'P-Parametri'!$B$6*P272))+MIN(MAX(0,U271-(MAX(0,P231-IF($A272&gt;='1-Input'!$C$12,'1-Input'!$B$12,0))-MIN(MAX(T271,0),MAX(0,P231-IF($A272&gt;='1-Input'!$C$12,'1-Input'!$B$12,0))))*(1/(1-'P-Parametri'!$B$6*P272))),MAX(0,2*P231-(T271-MIN(MAX(T271,0),MAX(0,P231-IF($A272&gt;='1-Input'!$C$12,'1-Input'!$B$12,0)))))*(1/(1-'P-Parametri'!$B$6*P272))))</f>
        <v>6694.9114326240606</v>
      </c>
      <c r="R272" s="18">
        <f>IF($A272&gt;'1-Input'!$B$26,T271,(T271-MAX(0,P231-IF($A272&gt;='1-Input'!$C$12,'1-Input'!$B$12,0))+Q272*(1-'P-Parametri'!$B$6*P272))*(1+'1-Input'!$B$27))</f>
        <v>33195.925103139183</v>
      </c>
      <c r="S272" s="18">
        <f>IF($A272&gt;'1-Input'!$B$26,U271,(U271-Q272)*(1+$B$4))</f>
        <v>678.8022576918022</v>
      </c>
      <c r="T272" s="18">
        <f>IF($A272&gt;'1-Input'!$B$26,R272,R272-'P-Parametri'!$B$8*(S272+R272)+MIN(MAX(S272,0),'P-Parametri'!$B$8*(S272+R272)))</f>
        <v>33195.925103139183</v>
      </c>
      <c r="U272" s="18">
        <f>IF($A272&gt;'1-Input'!$B$26,S272,S272-MIN(MAX(S272,0),'P-Parametri'!$B$8*(S272+R272)))</f>
        <v>611.05280297014019</v>
      </c>
      <c r="V272" s="18">
        <f>IF($A272&gt;'1-Input'!$B$26,V271,V271-Q272*(1-P272))</f>
        <v>275.89368325719443</v>
      </c>
      <c r="W272" s="11">
        <f>IF($A272&gt;'1-Input'!$B$26,0,IF(AB271&lt;=0,0,MAX(0,(AB271-AC271)/AB271)))</f>
        <v>0.58550251322225844</v>
      </c>
      <c r="X272" s="18">
        <f>IF($A272&gt;'1-Input'!$B$26,0,(MAX(0,W231-IF($A272&gt;='1-Input'!$C$12,'1-Input'!$B$12,0))-MIN(MAX(AA271,0),MAX(0,W231-IF($A272&gt;='1-Input'!$C$12,'1-Input'!$B$12,0))))*(1/(1-'P-Parametri'!$B$6*W272))+MIN(MAX(0,AB271-(MAX(0,W231-IF($A272&gt;='1-Input'!$C$12,'1-Input'!$B$12,0))-MIN(MAX(AA271,0),MAX(0,W231-IF($A272&gt;='1-Input'!$C$12,'1-Input'!$B$12,0))))*(1/(1-'P-Parametri'!$B$6*W272))),MAX(0,2*W231-(AA271-MIN(MAX(AA271,0),MAX(0,W231-IF($A272&gt;='1-Input'!$C$12,'1-Input'!$B$12,0)))))*(1/(1-'P-Parametri'!$B$6*W272))))</f>
        <v>6693.4622286686954</v>
      </c>
      <c r="Y272" s="18">
        <f>IF($A272&gt;'1-Input'!$B$26,AA271,(AA271-MAX(0,W231-IF($A272&gt;='1-Input'!$C$12,'1-Input'!$B$12,0))+X272*(1-'P-Parametri'!$B$6*W272))*(1+'1-Input'!$B$27))</f>
        <v>33193.241970369134</v>
      </c>
      <c r="Z272" s="18">
        <f>IF($A272&gt;'1-Input'!$B$26,AB271,(AB271-X272)*(1+$B$4))</f>
        <v>770.3839986431376</v>
      </c>
      <c r="AA272" s="18">
        <f>IF($A272&gt;'1-Input'!$B$26,Y272,Y272-'P-Parametri'!$B$8*(Z272+Y272)+MIN(MAX(Z272,0),'P-Parametri'!$B$8*(Z272+Y272)))</f>
        <v>33193.241970369134</v>
      </c>
      <c r="AB272" s="18">
        <f>IF($A272&gt;'1-Input'!$B$26,Z272,Z272-MIN(MAX(Z272,0),'P-Parametri'!$B$8*(Z272+Y272)))</f>
        <v>702.45674670511312</v>
      </c>
      <c r="AC272" s="18">
        <f>IF($A272&gt;'1-Input'!$B$26,AC271,AC271-X272*(1-W272))</f>
        <v>313.06101106996812</v>
      </c>
      <c r="AD272" s="11">
        <f>IF($A272&gt;'1-Input'!$B$26,0,IF(AI271&lt;=0,0,MAX(0,(AI271-AJ271)/AI271)))</f>
        <v>0.58550705914552992</v>
      </c>
      <c r="AE272" s="18">
        <f>IF($A272&gt;'1-Input'!$B$26,0,(MAX(0,AD231-IF($A272&gt;='1-Input'!$C$12,'1-Input'!$B$12,0))-MIN(MAX(AH271,0),MAX(0,AD231-IF($A272&gt;='1-Input'!$C$12,'1-Input'!$B$12,0))))*(1/(1-'P-Parametri'!$B$6*AD272))+MIN(MAX(0,AI271-(MAX(0,AD231-IF($A272&gt;='1-Input'!$C$12,'1-Input'!$B$12,0))-MIN(MAX(AH271,0),MAX(0,AD231-IF($A272&gt;='1-Input'!$C$12,'1-Input'!$B$12,0))))*(1/(1-'P-Parametri'!$B$6*AD272))),MAX(0,2*AD231-(AH271-MIN(MAX(AH271,0),MAX(0,AD231-IF($A272&gt;='1-Input'!$C$12,'1-Input'!$B$12,0)))))*(1/(1-'P-Parametri'!$B$6*AD272))))</f>
        <v>6693.3713616006171</v>
      </c>
      <c r="AF272" s="18">
        <f>IF($A272&gt;'1-Input'!$B$26,AH271,(AH271-MAX(0,AD231-IF($A272&gt;='1-Input'!$C$12,'1-Input'!$B$12,0))+AE272*(1-'P-Parametri'!$B$6*AD272))*(1+'1-Input'!$B$27))</f>
        <v>33193.073901117954</v>
      </c>
      <c r="AG272" s="18">
        <f>IF($A272&gt;'1-Input'!$B$26,AI271,(AI271-AE272)*(1+$B$4))</f>
        <v>776.12073259343913</v>
      </c>
      <c r="AH272" s="18">
        <f>IF($A272&gt;'1-Input'!$B$26,AF272,AF272-'P-Parametri'!$B$8*(AG272+AF272)+MIN(MAX(AG272,0),'P-Parametri'!$B$8*(AG272+AF272)))</f>
        <v>33193.073901117954</v>
      </c>
      <c r="AI272" s="18">
        <f>IF($A272&gt;'1-Input'!$B$26,AG272,AG272-MIN(MAX(AG272,0),'P-Parametri'!$B$8*(AG272+AF272)))</f>
        <v>708.18234332601639</v>
      </c>
      <c r="AJ272" s="18">
        <f>IF($A272&gt;'1-Input'!$B$26,AJ271,AJ271-AE272*(1-AD272))</f>
        <v>315.3887891282161</v>
      </c>
      <c r="AK272" s="11">
        <f>IF($A272&gt;'1-Input'!$B$26,0,IF(AP271&lt;=0,0,MAX(0,(AP271-AQ271)/AP271)))</f>
        <v>0.58550705914300882</v>
      </c>
      <c r="AL272" s="18">
        <f>IF($A272&gt;'1-Input'!$B$26,0,(MAX(0,AK231-IF($A272&gt;='1-Input'!$C$12,'1-Input'!$B$12,0))-MIN(MAX(AO271,0),MAX(0,AK231-IF($A272&gt;='1-Input'!$C$12,'1-Input'!$B$12,0))))*(1/(1-'P-Parametri'!$B$6*AK272))+MIN(MAX(0,AP271-(MAX(0,AK231-IF($A272&gt;='1-Input'!$C$12,'1-Input'!$B$12,0))-MIN(MAX(AO271,0),MAX(0,AK231-IF($A272&gt;='1-Input'!$C$12,'1-Input'!$B$12,0))))*(1/(1-'P-Parametri'!$B$6*AK272))),MAX(0,2*AK231-(AO271-MIN(MAX(AO271,0),MAX(0,AK231-IF($A272&gt;='1-Input'!$C$12,'1-Input'!$B$12,0)))))*(1/(1-'P-Parametri'!$B$6*AK272))))</f>
        <v>6693.3713616510486</v>
      </c>
      <c r="AM272" s="18">
        <f>IF($A272&gt;'1-Input'!$B$26,AO271,(AO271-MAX(0,AK231-IF($A272&gt;='1-Input'!$C$12,'1-Input'!$B$12,0))+AL272*(1-'P-Parametri'!$B$6*AK272))*(1+'1-Input'!$B$27))</f>
        <v>33193.073901211232</v>
      </c>
      <c r="AN272" s="18">
        <f>IF($A272&gt;'1-Input'!$B$26,AP271,(AP271-AL272)*(1+$B$4))</f>
        <v>776.12072941007648</v>
      </c>
      <c r="AO272" s="18">
        <f>IF($A272&gt;'1-Input'!$B$26,AM272,AM272-'P-Parametri'!$B$8*(AN272+AM272)+MIN(MAX(AN272,0),'P-Parametri'!$B$8*(AN272+AM272)))</f>
        <v>33193.073901211232</v>
      </c>
      <c r="AP272" s="18">
        <f>IF($A272&gt;'1-Input'!$B$26,AN272,AN272-MIN(MAX(AN272,0),'P-Parametri'!$B$8*(AN272+AM272)))</f>
        <v>708.18234014883387</v>
      </c>
      <c r="AQ272" s="18">
        <f>IF($A272&gt;'1-Input'!$B$26,AQ271,AQ271-AL272*(1-AK272))</f>
        <v>315.38878783652535</v>
      </c>
    </row>
    <row r="273" spans="1:43">
      <c r="A273" s="10">
        <f>40</f>
        <v>40</v>
      </c>
      <c r="B273" s="11">
        <f>IF($A273&gt;'1-Input'!$B$26,0,IF(G272&lt;=0,0,MAX(0,(G272-H272)/G272)))</f>
        <v>0</v>
      </c>
      <c r="C273" s="18">
        <f>IF($A273&gt;'1-Input'!$B$26,0,(MAX(0,B231-IF($A273&gt;='1-Input'!$C$12,'1-Input'!$B$12,0))-MIN(MAX(F272,0),MAX(0,B231-IF($A273&gt;='1-Input'!$C$12,'1-Input'!$B$12,0))))*(1/(1-'P-Parametri'!$B$6*B273))+MIN(MAX(0,G272-(MAX(0,B231-IF($A273&gt;='1-Input'!$C$12,'1-Input'!$B$12,0))-MIN(MAX(F272,0),MAX(0,B231-IF($A273&gt;='1-Input'!$C$12,'1-Input'!$B$12,0))))*(1/(1-'P-Parametri'!$B$6*B273))),MAX(0,2*B231-(F272-MIN(MAX(F272,0),MAX(0,B231-IF($A273&gt;='1-Input'!$C$12,'1-Input'!$B$12,0)))))*(1/(1-'P-Parametri'!$B$6*B273))))</f>
        <v>0</v>
      </c>
      <c r="D273" s="18">
        <f>IF($A273&gt;'1-Input'!$B$26,F272,(F272-MAX(0,B231-IF($A273&gt;='1-Input'!$C$12,'1-Input'!$B$12,0))+C273*(1-'P-Parametri'!$B$6*B273))*(1+'1-Input'!$B$27))</f>
        <v>26761.056312343066</v>
      </c>
      <c r="E273" s="18">
        <f>IF($A273&gt;'1-Input'!$B$26,G272,(G272-C273)*(1+$B$4))</f>
        <v>0</v>
      </c>
      <c r="F273" s="18">
        <f>IF($A273&gt;'1-Input'!$B$26,D273,D273-'P-Parametri'!$B$8*(E273+D273)+MIN(MAX(E273,0),'P-Parametri'!$B$8*(E273+D273)))</f>
        <v>26707.534199718379</v>
      </c>
      <c r="G273" s="18">
        <f>IF($A273&gt;'1-Input'!$B$26,E273,E273-MIN(MAX(E273,0),'P-Parametri'!$B$8*(E273+D273)))</f>
        <v>0</v>
      </c>
      <c r="H273" s="18">
        <f>IF($A273&gt;'1-Input'!$B$26,H272,H272-C273*(1-B273))</f>
        <v>-4.5474735088646412E-13</v>
      </c>
      <c r="I273" s="11">
        <f>IF($A273&gt;'1-Input'!$B$26,0,IF(N272&lt;=0,0,MAX(0,(N272-O272)/N272)))</f>
        <v>0</v>
      </c>
      <c r="J273" s="18">
        <f>IF($A273&gt;'1-Input'!$B$26,0,(MAX(0,I231-IF($A273&gt;='1-Input'!$C$12,'1-Input'!$B$12,0))-MIN(MAX(M272,0),MAX(0,I231-IF($A273&gt;='1-Input'!$C$12,'1-Input'!$B$12,0))))*(1/(1-'P-Parametri'!$B$6*I273))+MIN(MAX(0,N272-(MAX(0,I231-IF($A273&gt;='1-Input'!$C$12,'1-Input'!$B$12,0))-MIN(MAX(M272,0),MAX(0,I231-IF($A273&gt;='1-Input'!$C$12,'1-Input'!$B$12,0))))*(1/(1-'P-Parametri'!$B$6*I273))),MAX(0,2*I231-(M272-MIN(MAX(M272,0),MAX(0,I231-IF($A273&gt;='1-Input'!$C$12,'1-Input'!$B$12,0)))))*(1/(1-'P-Parametri'!$B$6*I273))))</f>
        <v>10846.756992928691</v>
      </c>
      <c r="K273" s="18">
        <f>IF($A273&gt;'1-Input'!$B$26,M272,(M272-MAX(0,I231-IF($A273&gt;='1-Input'!$C$12,'1-Input'!$B$12,0))+J273*(1-'P-Parametri'!$B$6*I273))*(1+'1-Input'!$B$27))</f>
        <v>0</v>
      </c>
      <c r="L273" s="18">
        <f>IF($A273&gt;'1-Input'!$B$26,N272,(N272-J273)*(1+$B$4))</f>
        <v>-261378.19263017789</v>
      </c>
      <c r="M273" s="18">
        <f>IF($A273&gt;'1-Input'!$B$26,K273,K273-'P-Parametri'!$B$8*(L273+K273)+MIN(MAX(L273,0),'P-Parametri'!$B$8*(L273+K273)))</f>
        <v>0</v>
      </c>
      <c r="N273" s="18">
        <f>IF($A273&gt;'1-Input'!$B$26,L273,L273-MIN(MAX(L273,0),'P-Parametri'!$B$8*(L273+K273)))</f>
        <v>-260855.43624491754</v>
      </c>
      <c r="O273" s="18">
        <f>IF($A273&gt;'1-Input'!$B$26,O272,O272-J273*(1-I273))</f>
        <v>-215673.30006440321</v>
      </c>
      <c r="P273" s="11">
        <f>IF($A273&gt;'1-Input'!$B$26,0,IF(U272&lt;=0,0,MAX(0,(U272-V272)/U272)))</f>
        <v>0.5484945295788517</v>
      </c>
      <c r="Q273" s="18">
        <f>IF($A273&gt;'1-Input'!$B$26,0,(MAX(0,P231-IF($A273&gt;='1-Input'!$C$12,'1-Input'!$B$12,0))-MIN(MAX(T272,0),MAX(0,P231-IF($A273&gt;='1-Input'!$C$12,'1-Input'!$B$12,0))))*(1/(1-'P-Parametri'!$B$6*P273))+MIN(MAX(0,U272-(MAX(0,P231-IF($A273&gt;='1-Input'!$C$12,'1-Input'!$B$12,0))-MIN(MAX(T272,0),MAX(0,P231-IF($A273&gt;='1-Input'!$C$12,'1-Input'!$B$12,0))))*(1/(1-'P-Parametri'!$B$6*P273))),MAX(0,2*P231-(T272-MIN(MAX(T272,0),MAX(0,P231-IF($A273&gt;='1-Input'!$C$12,'1-Input'!$B$12,0)))))*(1/(1-'P-Parametri'!$B$6*P273))))</f>
        <v>611.05280297014019</v>
      </c>
      <c r="R273" s="18">
        <f>IF($A273&gt;'1-Input'!$B$26,T272,(T272-MAX(0,P231-IF($A273&gt;='1-Input'!$C$12,'1-Input'!$B$12,0))+Q273*(1-'P-Parametri'!$B$6*P273))*(1+'1-Input'!$B$27))</f>
        <v>28062.515371888421</v>
      </c>
      <c r="S273" s="18">
        <f>IF($A273&gt;'1-Input'!$B$26,U272,(U272-Q273)*(1+$B$4))</f>
        <v>0</v>
      </c>
      <c r="T273" s="18">
        <f>IF($A273&gt;'1-Input'!$B$26,R273,R273-'P-Parametri'!$B$8*(S273+R273)+MIN(MAX(S273,0),'P-Parametri'!$B$8*(S273+R273)))</f>
        <v>28006.390341144644</v>
      </c>
      <c r="U273" s="18">
        <f>IF($A273&gt;'1-Input'!$B$26,S273,S273-MIN(MAX(S273,0),'P-Parametri'!$B$8*(S273+R273)))</f>
        <v>0</v>
      </c>
      <c r="V273" s="18">
        <f>IF($A273&gt;'1-Input'!$B$26,V272,V272-Q273*(1-P273))</f>
        <v>5.6843418860808015E-14</v>
      </c>
      <c r="W273" s="11">
        <f>IF($A273&gt;'1-Input'!$B$26,0,IF(AB272&lt;=0,0,MAX(0,(AB272-AC272)/AB272)))</f>
        <v>0.55433411019484569</v>
      </c>
      <c r="X273" s="18">
        <f>IF($A273&gt;'1-Input'!$B$26,0,(MAX(0,W231-IF($A273&gt;='1-Input'!$C$12,'1-Input'!$B$12,0))-MIN(MAX(AA272,0),MAX(0,W231-IF($A273&gt;='1-Input'!$C$12,'1-Input'!$B$12,0))))*(1/(1-'P-Parametri'!$B$6*W273))+MIN(MAX(0,AB272-(MAX(0,W231-IF($A273&gt;='1-Input'!$C$12,'1-Input'!$B$12,0))-MIN(MAX(AA272,0),MAX(0,W231-IF($A273&gt;='1-Input'!$C$12,'1-Input'!$B$12,0))))*(1/(1-'P-Parametri'!$B$6*W273))),MAX(0,2*W231-(AA272-MIN(MAX(AA272,0),MAX(0,W231-IF($A273&gt;='1-Input'!$C$12,'1-Input'!$B$12,0)))))*(1/(1-'P-Parametri'!$B$6*W273))))</f>
        <v>702.45674670511312</v>
      </c>
      <c r="Y273" s="18">
        <f>IF($A273&gt;'1-Input'!$B$26,AA272,(AA272-MAX(0,W231-IF($A273&gt;='1-Input'!$C$12,'1-Input'!$B$12,0))+X273*(1-'P-Parametri'!$B$6*W273))*(1+'1-Input'!$B$27))</f>
        <v>28138.207599651629</v>
      </c>
      <c r="Z273" s="18">
        <f>IF($A273&gt;'1-Input'!$B$26,AB272,(AB272-X273)*(1+$B$4))</f>
        <v>0</v>
      </c>
      <c r="AA273" s="18">
        <f>IF($A273&gt;'1-Input'!$B$26,Y273,Y273-'P-Parametri'!$B$8*(Z273+Y273)+MIN(MAX(Z273,0),'P-Parametri'!$B$8*(Z273+Y273)))</f>
        <v>28081.931184452325</v>
      </c>
      <c r="AB273" s="18">
        <f>IF($A273&gt;'1-Input'!$B$26,Z273,Z273-MIN(MAX(Z273,0),'P-Parametri'!$B$8*(Z273+Y273)))</f>
        <v>0</v>
      </c>
      <c r="AC273" s="18">
        <f>IF($A273&gt;'1-Input'!$B$26,AC272,AC272-X273*(1-W273))</f>
        <v>0</v>
      </c>
      <c r="AD273" s="11">
        <f>IF($A273&gt;'1-Input'!$B$26,0,IF(AI272&lt;=0,0,MAX(0,(AI272-AJ272)/AI272)))</f>
        <v>0.5546503070847888</v>
      </c>
      <c r="AE273" s="18">
        <f>IF($A273&gt;'1-Input'!$B$26,0,(MAX(0,AD231-IF($A273&gt;='1-Input'!$C$12,'1-Input'!$B$12,0))-MIN(MAX(AH272,0),MAX(0,AD231-IF($A273&gt;='1-Input'!$C$12,'1-Input'!$B$12,0))))*(1/(1-'P-Parametri'!$B$6*AD273))+MIN(MAX(0,AI272-(MAX(0,AD231-IF($A273&gt;='1-Input'!$C$12,'1-Input'!$B$12,0))-MIN(MAX(AH272,0),MAX(0,AD231-IF($A273&gt;='1-Input'!$C$12,'1-Input'!$B$12,0))))*(1/(1-'P-Parametri'!$B$6*AD273))),MAX(0,2*AD231-(AH272-MIN(MAX(AH272,0),MAX(0,AD231-IF($A273&gt;='1-Input'!$C$12,'1-Input'!$B$12,0)))))*(1/(1-'P-Parametri'!$B$6*AD273))))</f>
        <v>708.18234332601639</v>
      </c>
      <c r="AF273" s="18">
        <f>IF($A273&gt;'1-Input'!$B$26,AH272,(AH272-MAX(0,AD231-IF($A273&gt;='1-Input'!$C$12,'1-Input'!$B$12,0))+AE273*(1-'P-Parametri'!$B$6*AD273))*(1+'1-Input'!$B$27))</f>
        <v>28142.948902080294</v>
      </c>
      <c r="AG273" s="18">
        <f>IF($A273&gt;'1-Input'!$B$26,AI272,(AI272-AE273)*(1+$B$4))</f>
        <v>0</v>
      </c>
      <c r="AH273" s="18">
        <f>IF($A273&gt;'1-Input'!$B$26,AF273,AF273-'P-Parametri'!$B$8*(AG273+AF273)+MIN(MAX(AG273,0),'P-Parametri'!$B$8*(AG273+AF273)))</f>
        <v>28086.663004276132</v>
      </c>
      <c r="AI273" s="18">
        <f>IF($A273&gt;'1-Input'!$B$26,AG273,AG273-MIN(MAX(AG273,0),'P-Parametri'!$B$8*(AG273+AF273)))</f>
        <v>0</v>
      </c>
      <c r="AJ273" s="18">
        <f>IF($A273&gt;'1-Input'!$B$26,AJ272,AJ272-AE273*(1-AD273))</f>
        <v>5.6843418860808015E-14</v>
      </c>
      <c r="AK273" s="11">
        <f>IF($A273&gt;'1-Input'!$B$26,0,IF(AP272&lt;=0,0,MAX(0,(AP272-AQ272)/AP272)))</f>
        <v>0.55465030691072836</v>
      </c>
      <c r="AL273" s="18">
        <f>IF($A273&gt;'1-Input'!$B$26,0,(MAX(0,AK231-IF($A273&gt;='1-Input'!$C$12,'1-Input'!$B$12,0))-MIN(MAX(AO272,0),MAX(0,AK231-IF($A273&gt;='1-Input'!$C$12,'1-Input'!$B$12,0))))*(1/(1-'P-Parametri'!$B$6*AK273))+MIN(MAX(0,AP272-(MAX(0,AK231-IF($A273&gt;='1-Input'!$C$12,'1-Input'!$B$12,0))-MIN(MAX(AO272,0),MAX(0,AK231-IF($A273&gt;='1-Input'!$C$12,'1-Input'!$B$12,0))))*(1/(1-'P-Parametri'!$B$6*AK273))),MAX(0,2*AK231-(AO272-MIN(MAX(AO272,0),MAX(0,AK231-IF($A273&gt;='1-Input'!$C$12,'1-Input'!$B$12,0)))))*(1/(1-'P-Parametri'!$B$6*AK273))))</f>
        <v>708.18234014883387</v>
      </c>
      <c r="AM273" s="18">
        <f>IF($A273&gt;'1-Input'!$B$26,AO272,(AO272-MAX(0,AK231-IF($A273&gt;='1-Input'!$C$12,'1-Input'!$B$12,0))+AL273*(1-'P-Parametri'!$B$6*AK273))*(1+'1-Input'!$B$27))</f>
        <v>28142.948899449315</v>
      </c>
      <c r="AN273" s="18">
        <f>IF($A273&gt;'1-Input'!$B$26,AP272,(AP272-AL273)*(1+$B$4))</f>
        <v>0</v>
      </c>
      <c r="AO273" s="18">
        <f>IF($A273&gt;'1-Input'!$B$26,AM273,AM273-'P-Parametri'!$B$8*(AN273+AM273)+MIN(MAX(AN273,0),'P-Parametri'!$B$8*(AN273+AM273)))</f>
        <v>28086.663001650417</v>
      </c>
      <c r="AP273" s="18">
        <f>IF($A273&gt;'1-Input'!$B$26,AN273,AN273-MIN(MAX(AN273,0),'P-Parametri'!$B$8*(AN273+AM273)))</f>
        <v>0</v>
      </c>
      <c r="AQ273" s="18">
        <f>IF($A273&gt;'1-Input'!$B$26,AQ272,AQ272-AL273*(1-AK273))</f>
        <v>0</v>
      </c>
    </row>
    <row r="274" spans="1:43">
      <c r="A274" s="10">
        <f>41</f>
        <v>41</v>
      </c>
      <c r="B274" s="11">
        <f>IF($A274&gt;'1-Input'!$B$26,0,IF(G273&lt;=0,0,MAX(0,(G273-H273)/G273)))</f>
        <v>0</v>
      </c>
      <c r="C274" s="18">
        <f>IF($A274&gt;'1-Input'!$B$26,0,(MAX(0,B231-IF($A274&gt;='1-Input'!$C$12,'1-Input'!$B$12,0))-MIN(MAX(F273,0),MAX(0,B231-IF($A274&gt;='1-Input'!$C$12,'1-Input'!$B$12,0))))*(1/(1-'P-Parametri'!$B$6*B274))+MIN(MAX(0,G273-(MAX(0,B231-IF($A274&gt;='1-Input'!$C$12,'1-Input'!$B$12,0))-MIN(MAX(F273,0),MAX(0,B231-IF($A274&gt;='1-Input'!$C$12,'1-Input'!$B$12,0))))*(1/(1-'P-Parametri'!$B$6*B274))),MAX(0,2*B231-(F273-MIN(MAX(F273,0),MAX(0,B231-IF($A274&gt;='1-Input'!$C$12,'1-Input'!$B$12,0)))))*(1/(1-'P-Parametri'!$B$6*B274))))</f>
        <v>0</v>
      </c>
      <c r="D274" s="18">
        <f>IF($A274&gt;'1-Input'!$B$26,F273,(F273-MAX(0,B231-IF($A274&gt;='1-Input'!$C$12,'1-Input'!$B$12,0))+C274*(1-'P-Parametri'!$B$6*B274))*(1+'1-Input'!$B$27))</f>
        <v>21052.416361106243</v>
      </c>
      <c r="E274" s="18">
        <f>IF($A274&gt;'1-Input'!$B$26,G273,(G273-C274)*(1+$B$4))</f>
        <v>0</v>
      </c>
      <c r="F274" s="18">
        <f>IF($A274&gt;'1-Input'!$B$26,D274,D274-'P-Parametri'!$B$8*(E274+D274)+MIN(MAX(E274,0),'P-Parametri'!$B$8*(E274+D274)))</f>
        <v>21010.311528384031</v>
      </c>
      <c r="G274" s="18">
        <f>IF($A274&gt;'1-Input'!$B$26,E274,E274-MIN(MAX(E274,0),'P-Parametri'!$B$8*(E274+D274)))</f>
        <v>0</v>
      </c>
      <c r="H274" s="18">
        <f>IF($A274&gt;'1-Input'!$B$26,H273,H273-C274*(1-B274))</f>
        <v>-4.5474735088646412E-13</v>
      </c>
      <c r="I274" s="11">
        <f>IF($A274&gt;'1-Input'!$B$26,0,IF(N273&lt;=0,0,MAX(0,(N273-O273)/N273)))</f>
        <v>0</v>
      </c>
      <c r="J274" s="18">
        <f>IF($A274&gt;'1-Input'!$B$26,0,(MAX(0,I231-IF($A274&gt;='1-Input'!$C$12,'1-Input'!$B$12,0))-MIN(MAX(M273,0),MAX(0,I231-IF($A274&gt;='1-Input'!$C$12,'1-Input'!$B$12,0))))*(1/(1-'P-Parametri'!$B$6*I274))+MIN(MAX(0,N273-(MAX(0,I231-IF($A274&gt;='1-Input'!$C$12,'1-Input'!$B$12,0))-MIN(MAX(M273,0),MAX(0,I231-IF($A274&gt;='1-Input'!$C$12,'1-Input'!$B$12,0))))*(1/(1-'P-Parametri'!$B$6*I274))),MAX(0,2*I231-(M273-MIN(MAX(M273,0),MAX(0,I231-IF($A274&gt;='1-Input'!$C$12,'1-Input'!$B$12,0)))))*(1/(1-'P-Parametri'!$B$6*I274))))</f>
        <v>10846.756992928691</v>
      </c>
      <c r="K274" s="18">
        <f>IF($A274&gt;'1-Input'!$B$26,M273,(M273-MAX(0,I231-IF($A274&gt;='1-Input'!$C$12,'1-Input'!$B$12,0))+J274*(1-'P-Parametri'!$B$6*I274))*(1+'1-Input'!$B$27))</f>
        <v>0</v>
      </c>
      <c r="L274" s="18">
        <f>IF($A274&gt;'1-Input'!$B$26,N273,(N273-J274)*(1+$B$4))</f>
        <v>-277136.23710260319</v>
      </c>
      <c r="M274" s="18">
        <f>IF($A274&gt;'1-Input'!$B$26,K274,K274-'P-Parametri'!$B$8*(L274+K274)+MIN(MAX(L274,0),'P-Parametri'!$B$8*(L274+K274)))</f>
        <v>0</v>
      </c>
      <c r="N274" s="18">
        <f>IF($A274&gt;'1-Input'!$B$26,L274,L274-MIN(MAX(L274,0),'P-Parametri'!$B$8*(L274+K274)))</f>
        <v>-276581.96462839801</v>
      </c>
      <c r="O274" s="18">
        <f>IF($A274&gt;'1-Input'!$B$26,O273,O273-J274*(1-I274))</f>
        <v>-226520.0570573319</v>
      </c>
      <c r="P274" s="11">
        <f>IF($A274&gt;'1-Input'!$B$26,0,IF(U273&lt;=0,0,MAX(0,(U273-V273)/U273)))</f>
        <v>0</v>
      </c>
      <c r="Q274" s="18">
        <f>IF($A274&gt;'1-Input'!$B$26,0,(MAX(0,P231-IF($A274&gt;='1-Input'!$C$12,'1-Input'!$B$12,0))-MIN(MAX(T273,0),MAX(0,P231-IF($A274&gt;='1-Input'!$C$12,'1-Input'!$B$12,0))))*(1/(1-'P-Parametri'!$B$6*P274))+MIN(MAX(0,U273-(MAX(0,P231-IF($A274&gt;='1-Input'!$C$12,'1-Input'!$B$12,0))-MIN(MAX(T273,0),MAX(0,P231-IF($A274&gt;='1-Input'!$C$12,'1-Input'!$B$12,0))))*(1/(1-'P-Parametri'!$B$6*P274))),MAX(0,2*P231-(T273-MIN(MAX(T273,0),MAX(0,P231-IF($A274&gt;='1-Input'!$C$12,'1-Input'!$B$12,0)))))*(1/(1-'P-Parametri'!$B$6*P274))))</f>
        <v>0</v>
      </c>
      <c r="R274" s="18">
        <f>IF($A274&gt;'1-Input'!$B$26,T273,(T273-MAX(0,P231-IF($A274&gt;='1-Input'!$C$12,'1-Input'!$B$12,0))+Q274*(1-'P-Parametri'!$B$6*P274))*(1+'1-Input'!$B$27))</f>
        <v>22369.637584346929</v>
      </c>
      <c r="S274" s="18">
        <f>IF($A274&gt;'1-Input'!$B$26,U273,(U273-Q274)*(1+$B$4))</f>
        <v>0</v>
      </c>
      <c r="T274" s="18">
        <f>IF($A274&gt;'1-Input'!$B$26,R274,R274-'P-Parametri'!$B$8*(S274+R274)+MIN(MAX(S274,0),'P-Parametri'!$B$8*(S274+R274)))</f>
        <v>22324.898309178236</v>
      </c>
      <c r="U274" s="18">
        <f>IF($A274&gt;'1-Input'!$B$26,S274,S274-MIN(MAX(S274,0),'P-Parametri'!$B$8*(S274+R274)))</f>
        <v>0</v>
      </c>
      <c r="V274" s="18">
        <f>IF($A274&gt;'1-Input'!$B$26,V273,V273-Q274*(1-P274))</f>
        <v>5.6843418860808015E-14</v>
      </c>
      <c r="W274" s="11">
        <f>IF($A274&gt;'1-Input'!$B$26,0,IF(AB273&lt;=0,0,MAX(0,(AB273-AC273)/AB273)))</f>
        <v>0</v>
      </c>
      <c r="X274" s="18">
        <f>IF($A274&gt;'1-Input'!$B$26,0,(MAX(0,W231-IF($A274&gt;='1-Input'!$C$12,'1-Input'!$B$12,0))-MIN(MAX(AA273,0),MAX(0,W231-IF($A274&gt;='1-Input'!$C$12,'1-Input'!$B$12,0))))*(1/(1-'P-Parametri'!$B$6*W274))+MIN(MAX(0,AB273-(MAX(0,W231-IF($A274&gt;='1-Input'!$C$12,'1-Input'!$B$12,0))-MIN(MAX(AA273,0),MAX(0,W231-IF($A274&gt;='1-Input'!$C$12,'1-Input'!$B$12,0))))*(1/(1-'P-Parametri'!$B$6*W274))),MAX(0,2*W231-(AA273-MIN(MAX(AA273,0),MAX(0,W231-IF($A274&gt;='1-Input'!$C$12,'1-Input'!$B$12,0)))))*(1/(1-'P-Parametri'!$B$6*W274))))</f>
        <v>0</v>
      </c>
      <c r="Y274" s="18">
        <f>IF($A274&gt;'1-Input'!$B$26,AA273,(AA273-MAX(0,W231-IF($A274&gt;='1-Input'!$C$12,'1-Input'!$B$12,0))+X274*(1-'P-Parametri'!$B$6*W274))*(1+'1-Input'!$B$27))</f>
        <v>22446.248047003726</v>
      </c>
      <c r="Z274" s="18">
        <f>IF($A274&gt;'1-Input'!$B$26,AB273,(AB273-X274)*(1+$B$4))</f>
        <v>0</v>
      </c>
      <c r="AA274" s="18">
        <f>IF($A274&gt;'1-Input'!$B$26,Y274,Y274-'P-Parametri'!$B$8*(Z274+Y274)+MIN(MAX(Z274,0),'P-Parametri'!$B$8*(Z274+Y274)))</f>
        <v>22401.35555090972</v>
      </c>
      <c r="AB274" s="18">
        <f>IF($A274&gt;'1-Input'!$B$26,Z274,Z274-MIN(MAX(Z274,0),'P-Parametri'!$B$8*(Z274+Y274)))</f>
        <v>0</v>
      </c>
      <c r="AC274" s="18">
        <f>IF($A274&gt;'1-Input'!$B$26,AC273,AC273-X274*(1-W274))</f>
        <v>0</v>
      </c>
      <c r="AD274" s="11">
        <f>IF($A274&gt;'1-Input'!$B$26,0,IF(AI273&lt;=0,0,MAX(0,(AI273-AJ273)/AI273)))</f>
        <v>0</v>
      </c>
      <c r="AE274" s="18">
        <f>IF($A274&gt;'1-Input'!$B$26,0,(MAX(0,AD231-IF($A274&gt;='1-Input'!$C$12,'1-Input'!$B$12,0))-MIN(MAX(AH273,0),MAX(0,AD231-IF($A274&gt;='1-Input'!$C$12,'1-Input'!$B$12,0))))*(1/(1-'P-Parametri'!$B$6*AD274))+MIN(MAX(0,AI273-(MAX(0,AD231-IF($A274&gt;='1-Input'!$C$12,'1-Input'!$B$12,0))-MIN(MAX(AH273,0),MAX(0,AD231-IF($A274&gt;='1-Input'!$C$12,'1-Input'!$B$12,0))))*(1/(1-'P-Parametri'!$B$6*AD274))),MAX(0,2*AD231-(AH273-MIN(MAX(AH273,0),MAX(0,AD231-IF($A274&gt;='1-Input'!$C$12,'1-Input'!$B$12,0)))))*(1/(1-'P-Parametri'!$B$6*AD274))))</f>
        <v>0</v>
      </c>
      <c r="AF274" s="18">
        <f>IF($A274&gt;'1-Input'!$B$26,AH273,(AH273-MAX(0,AD231-IF($A274&gt;='1-Input'!$C$12,'1-Input'!$B$12,0))+AE274*(1-'P-Parametri'!$B$6*AD274))*(1+'1-Input'!$B$27))</f>
        <v>22451.046866901757</v>
      </c>
      <c r="AG274" s="18">
        <f>IF($A274&gt;'1-Input'!$B$26,AI273,(AI273-AE274)*(1+$B$4))</f>
        <v>0</v>
      </c>
      <c r="AH274" s="18">
        <f>IF($A274&gt;'1-Input'!$B$26,AF274,AF274-'P-Parametri'!$B$8*(AG274+AF274)+MIN(MAX(AG274,0),'P-Parametri'!$B$8*(AG274+AF274)))</f>
        <v>22406.144773167955</v>
      </c>
      <c r="AI274" s="18">
        <f>IF($A274&gt;'1-Input'!$B$26,AG274,AG274-MIN(MAX(AG274,0),'P-Parametri'!$B$8*(AG274+AF274)))</f>
        <v>0</v>
      </c>
      <c r="AJ274" s="18">
        <f>IF($A274&gt;'1-Input'!$B$26,AJ273,AJ273-AE274*(1-AD274))</f>
        <v>5.6843418860808015E-14</v>
      </c>
      <c r="AK274" s="11">
        <f>IF($A274&gt;'1-Input'!$B$26,0,IF(AP273&lt;=0,0,MAX(0,(AP273-AQ273)/AP273)))</f>
        <v>0</v>
      </c>
      <c r="AL274" s="18">
        <f>IF($A274&gt;'1-Input'!$B$26,0,(MAX(0,AK231-IF($A274&gt;='1-Input'!$C$12,'1-Input'!$B$12,0))-MIN(MAX(AO273,0),MAX(0,AK231-IF($A274&gt;='1-Input'!$C$12,'1-Input'!$B$12,0))))*(1/(1-'P-Parametri'!$B$6*AK274))+MIN(MAX(0,AP273-(MAX(0,AK231-IF($A274&gt;='1-Input'!$C$12,'1-Input'!$B$12,0))-MIN(MAX(AO273,0),MAX(0,AK231-IF($A274&gt;='1-Input'!$C$12,'1-Input'!$B$12,0))))*(1/(1-'P-Parametri'!$B$6*AK274))),MAX(0,2*AK231-(AO273-MIN(MAX(AO273,0),MAX(0,AK231-IF($A274&gt;='1-Input'!$C$12,'1-Input'!$B$12,0)))))*(1/(1-'P-Parametri'!$B$6*AK274))))</f>
        <v>0</v>
      </c>
      <c r="AM274" s="18">
        <f>IF($A274&gt;'1-Input'!$B$26,AO273,(AO273-MAX(0,AK231-IF($A274&gt;='1-Input'!$C$12,'1-Input'!$B$12,0))+AL274*(1-'P-Parametri'!$B$6*AK274))*(1+'1-Input'!$B$27))</f>
        <v>22451.046864238859</v>
      </c>
      <c r="AN274" s="18">
        <f>IF($A274&gt;'1-Input'!$B$26,AP273,(AP273-AL274)*(1+$B$4))</f>
        <v>0</v>
      </c>
      <c r="AO274" s="18">
        <f>IF($A274&gt;'1-Input'!$B$26,AM274,AM274-'P-Parametri'!$B$8*(AN274+AM274)+MIN(MAX(AN274,0),'P-Parametri'!$B$8*(AN274+AM274)))</f>
        <v>22406.144770510382</v>
      </c>
      <c r="AP274" s="18">
        <f>IF($A274&gt;'1-Input'!$B$26,AN274,AN274-MIN(MAX(AN274,0),'P-Parametri'!$B$8*(AN274+AM274)))</f>
        <v>0</v>
      </c>
      <c r="AQ274" s="18">
        <f>IF($A274&gt;'1-Input'!$B$26,AQ273,AQ273-AL274*(1-AK274))</f>
        <v>0</v>
      </c>
    </row>
    <row r="275" spans="1:43">
      <c r="A275" s="10">
        <f>42</f>
        <v>42</v>
      </c>
      <c r="B275" s="11">
        <f>IF($A275&gt;'1-Input'!$B$26,0,IF(G274&lt;=0,0,MAX(0,(G274-H274)/G274)))</f>
        <v>0</v>
      </c>
      <c r="C275" s="18">
        <f>IF($A275&gt;'1-Input'!$B$26,0,(MAX(0,B231-IF($A275&gt;='1-Input'!$C$12,'1-Input'!$B$12,0))-MIN(MAX(F274,0),MAX(0,B231-IF($A275&gt;='1-Input'!$C$12,'1-Input'!$B$12,0))))*(1/(1-'P-Parametri'!$B$6*B275))+MIN(MAX(0,G274-(MAX(0,B231-IF($A275&gt;='1-Input'!$C$12,'1-Input'!$B$12,0))-MIN(MAX(F274,0),MAX(0,B231-IF($A275&gt;='1-Input'!$C$12,'1-Input'!$B$12,0))))*(1/(1-'P-Parametri'!$B$6*B275))),MAX(0,2*B231-(F274-MIN(MAX(F274,0),MAX(0,B231-IF($A275&gt;='1-Input'!$C$12,'1-Input'!$B$12,0)))))*(1/(1-'P-Parametri'!$B$6*B275))))</f>
        <v>0</v>
      </c>
      <c r="D275" s="18">
        <f>IF($A275&gt;'1-Input'!$B$26,F274,(F274-MAX(0,B231-IF($A275&gt;='1-Input'!$C$12,'1-Input'!$B$12,0))+C275*(1-'P-Parametri'!$B$6*B275))*(1+'1-Input'!$B$27))</f>
        <v>15375.703691388699</v>
      </c>
      <c r="E275" s="18">
        <f>IF($A275&gt;'1-Input'!$B$26,G274,(G274-C275)*(1+$B$4))</f>
        <v>0</v>
      </c>
      <c r="F275" s="18">
        <f>IF($A275&gt;'1-Input'!$B$26,D275,D275-'P-Parametri'!$B$8*(E275+D275)+MIN(MAX(E275,0),'P-Parametri'!$B$8*(E275+D275)))</f>
        <v>15344.952284005922</v>
      </c>
      <c r="G275" s="18">
        <f>IF($A275&gt;'1-Input'!$B$26,E275,E275-MIN(MAX(E275,0),'P-Parametri'!$B$8*(E275+D275)))</f>
        <v>0</v>
      </c>
      <c r="H275" s="18">
        <f>IF($A275&gt;'1-Input'!$B$26,H274,H274-C275*(1-B275))</f>
        <v>-4.5474735088646412E-13</v>
      </c>
      <c r="I275" s="11">
        <f>IF($A275&gt;'1-Input'!$B$26,0,IF(N274&lt;=0,0,MAX(0,(N274-O274)/N274)))</f>
        <v>0</v>
      </c>
      <c r="J275" s="18">
        <f>IF($A275&gt;'1-Input'!$B$26,0,(MAX(0,I231-IF($A275&gt;='1-Input'!$C$12,'1-Input'!$B$12,0))-MIN(MAX(M274,0),MAX(0,I231-IF($A275&gt;='1-Input'!$C$12,'1-Input'!$B$12,0))))*(1/(1-'P-Parametri'!$B$6*I275))+MIN(MAX(0,N274-(MAX(0,I231-IF($A275&gt;='1-Input'!$C$12,'1-Input'!$B$12,0))-MIN(MAX(M274,0),MAX(0,I231-IF($A275&gt;='1-Input'!$C$12,'1-Input'!$B$12,0))))*(1/(1-'P-Parametri'!$B$6*I275))),MAX(0,2*I231-(M274-MIN(MAX(M274,0),MAX(0,I231-IF($A275&gt;='1-Input'!$C$12,'1-Input'!$B$12,0)))))*(1/(1-'P-Parametri'!$B$6*I275))))</f>
        <v>10846.756992928691</v>
      </c>
      <c r="K275" s="18">
        <f>IF($A275&gt;'1-Input'!$B$26,M274,(M274-MAX(0,I231-IF($A275&gt;='1-Input'!$C$12,'1-Input'!$B$12,0))+J275*(1-'P-Parametri'!$B$6*I275))*(1+'1-Input'!$B$27))</f>
        <v>0</v>
      </c>
      <c r="L275" s="18">
        <f>IF($A275&gt;'1-Input'!$B$26,N274,(N274-J275)*(1+$B$4))</f>
        <v>-293177.29605375323</v>
      </c>
      <c r="M275" s="18">
        <f>IF($A275&gt;'1-Input'!$B$26,K275,K275-'P-Parametri'!$B$8*(L275+K275)+MIN(MAX(L275,0),'P-Parametri'!$B$8*(L275+K275)))</f>
        <v>0</v>
      </c>
      <c r="N275" s="18">
        <f>IF($A275&gt;'1-Input'!$B$26,L275,L275-MIN(MAX(L275,0),'P-Parametri'!$B$8*(L275+K275)))</f>
        <v>-292590.94146164571</v>
      </c>
      <c r="O275" s="18">
        <f>IF($A275&gt;'1-Input'!$B$26,O274,O274-J275*(1-I275))</f>
        <v>-237366.81405026058</v>
      </c>
      <c r="P275" s="11">
        <f>IF($A275&gt;'1-Input'!$B$26,0,IF(U274&lt;=0,0,MAX(0,(U274-V274)/U274)))</f>
        <v>0</v>
      </c>
      <c r="Q275" s="18">
        <f>IF($A275&gt;'1-Input'!$B$26,0,(MAX(0,P231-IF($A275&gt;='1-Input'!$C$12,'1-Input'!$B$12,0))-MIN(MAX(T274,0),MAX(0,P231-IF($A275&gt;='1-Input'!$C$12,'1-Input'!$B$12,0))))*(1/(1-'P-Parametri'!$B$6*P275))+MIN(MAX(0,U274-(MAX(0,P231-IF($A275&gt;='1-Input'!$C$12,'1-Input'!$B$12,0))-MIN(MAX(T274,0),MAX(0,P231-IF($A275&gt;='1-Input'!$C$12,'1-Input'!$B$12,0))))*(1/(1-'P-Parametri'!$B$6*P275))),MAX(0,2*P231-(T274-MIN(MAX(T274,0),MAX(0,P231-IF($A275&gt;='1-Input'!$C$12,'1-Input'!$B$12,0)))))*(1/(1-'P-Parametri'!$B$6*P275))))</f>
        <v>0</v>
      </c>
      <c r="R275" s="18">
        <f>IF($A275&gt;'1-Input'!$B$26,T274,(T274-MAX(0,P231-IF($A275&gt;='1-Input'!$C$12,'1-Input'!$B$12,0))+Q275*(1-'P-Parametri'!$B$6*P275))*(1+'1-Input'!$B$27))</f>
        <v>16708.598923695601</v>
      </c>
      <c r="S275" s="18">
        <f>IF($A275&gt;'1-Input'!$B$26,U274,(U274-Q275)*(1+$B$4))</f>
        <v>0</v>
      </c>
      <c r="T275" s="18">
        <f>IF($A275&gt;'1-Input'!$B$26,R275,R275-'P-Parametri'!$B$8*(S275+R275)+MIN(MAX(S275,0),'P-Parametri'!$B$8*(S275+R275)))</f>
        <v>16675.181725848211</v>
      </c>
      <c r="U275" s="18">
        <f>IF($A275&gt;'1-Input'!$B$26,S275,S275-MIN(MAX(S275,0),'P-Parametri'!$B$8*(S275+R275)))</f>
        <v>0</v>
      </c>
      <c r="V275" s="18">
        <f>IF($A275&gt;'1-Input'!$B$26,V274,V274-Q275*(1-P275))</f>
        <v>5.6843418860808015E-14</v>
      </c>
      <c r="W275" s="11">
        <f>IF($A275&gt;'1-Input'!$B$26,0,IF(AB274&lt;=0,0,MAX(0,(AB274-AC274)/AB274)))</f>
        <v>0</v>
      </c>
      <c r="X275" s="18">
        <f>IF($A275&gt;'1-Input'!$B$26,0,(MAX(0,W231-IF($A275&gt;='1-Input'!$C$12,'1-Input'!$B$12,0))-MIN(MAX(AA274,0),MAX(0,W231-IF($A275&gt;='1-Input'!$C$12,'1-Input'!$B$12,0))))*(1/(1-'P-Parametri'!$B$6*W275))+MIN(MAX(0,AB274-(MAX(0,W231-IF($A275&gt;='1-Input'!$C$12,'1-Input'!$B$12,0))-MIN(MAX(AA274,0),MAX(0,W231-IF($A275&gt;='1-Input'!$C$12,'1-Input'!$B$12,0))))*(1/(1-'P-Parametri'!$B$6*W275))),MAX(0,2*W231-(AA274-MIN(MAX(AA274,0),MAX(0,W231-IF($A275&gt;='1-Input'!$C$12,'1-Input'!$B$12,0)))))*(1/(1-'P-Parametri'!$B$6*W275))))</f>
        <v>0</v>
      </c>
      <c r="Y275" s="18">
        <f>IF($A275&gt;'1-Input'!$B$26,AA274,(AA274-MAX(0,W231-IF($A275&gt;='1-Input'!$C$12,'1-Input'!$B$12,0))+X275*(1-'P-Parametri'!$B$6*W275))*(1+'1-Input'!$B$27))</f>
        <v>16786.122485741878</v>
      </c>
      <c r="Z275" s="18">
        <f>IF($A275&gt;'1-Input'!$B$26,AB274,(AB274-X275)*(1+$B$4))</f>
        <v>0</v>
      </c>
      <c r="AA275" s="18">
        <f>IF($A275&gt;'1-Input'!$B$26,Y275,Y275-'P-Parametri'!$B$8*(Z275+Y275)+MIN(MAX(Z275,0),'P-Parametri'!$B$8*(Z275+Y275)))</f>
        <v>16752.550240770393</v>
      </c>
      <c r="AB275" s="18">
        <f>IF($A275&gt;'1-Input'!$B$26,Z275,Z275-MIN(MAX(Z275,0),'P-Parametri'!$B$8*(Z275+Y275)))</f>
        <v>0</v>
      </c>
      <c r="AC275" s="18">
        <f>IF($A275&gt;'1-Input'!$B$26,AC274,AC274-X275*(1-W275))</f>
        <v>0</v>
      </c>
      <c r="AD275" s="11">
        <f>IF($A275&gt;'1-Input'!$B$26,0,IF(AI274&lt;=0,0,MAX(0,(AI274-AJ274)/AI274)))</f>
        <v>0</v>
      </c>
      <c r="AE275" s="18">
        <f>IF($A275&gt;'1-Input'!$B$26,0,(MAX(0,AD231-IF($A275&gt;='1-Input'!$C$12,'1-Input'!$B$12,0))-MIN(MAX(AH274,0),MAX(0,AD231-IF($A275&gt;='1-Input'!$C$12,'1-Input'!$B$12,0))))*(1/(1-'P-Parametri'!$B$6*AD275))+MIN(MAX(0,AI274-(MAX(0,AD231-IF($A275&gt;='1-Input'!$C$12,'1-Input'!$B$12,0))-MIN(MAX(AH274,0),MAX(0,AD231-IF($A275&gt;='1-Input'!$C$12,'1-Input'!$B$12,0))))*(1/(1-'P-Parametri'!$B$6*AD275))),MAX(0,2*AD231-(AH274-MIN(MAX(AH274,0),MAX(0,AD231-IF($A275&gt;='1-Input'!$C$12,'1-Input'!$B$12,0)))))*(1/(1-'P-Parametri'!$B$6*AD275))))</f>
        <v>0</v>
      </c>
      <c r="AF275" s="18">
        <f>IF($A275&gt;'1-Input'!$B$26,AH274,(AH274-MAX(0,AD231-IF($A275&gt;='1-Input'!$C$12,'1-Input'!$B$12,0))+AE275*(1-'P-Parametri'!$B$6*AD275))*(1+'1-Input'!$B$27))</f>
        <v>16790.978501425569</v>
      </c>
      <c r="AG275" s="18">
        <f>IF($A275&gt;'1-Input'!$B$26,AI274,(AI274-AE275)*(1+$B$4))</f>
        <v>0</v>
      </c>
      <c r="AH275" s="18">
        <f>IF($A275&gt;'1-Input'!$B$26,AF275,AF275-'P-Parametri'!$B$8*(AG275+AF275)+MIN(MAX(AG275,0),'P-Parametri'!$B$8*(AG275+AF275)))</f>
        <v>16757.396544422718</v>
      </c>
      <c r="AI275" s="18">
        <f>IF($A275&gt;'1-Input'!$B$26,AG275,AG275-MIN(MAX(AG275,0),'P-Parametri'!$B$8*(AG275+AF275)))</f>
        <v>0</v>
      </c>
      <c r="AJ275" s="18">
        <f>IF($A275&gt;'1-Input'!$B$26,AJ274,AJ274-AE275*(1-AD275))</f>
        <v>5.6843418860808015E-14</v>
      </c>
      <c r="AK275" s="11">
        <f>IF($A275&gt;'1-Input'!$B$26,0,IF(AP274&lt;=0,0,MAX(0,(AP274-AQ274)/AP274)))</f>
        <v>0</v>
      </c>
      <c r="AL275" s="18">
        <f>IF($A275&gt;'1-Input'!$B$26,0,(MAX(0,AK231-IF($A275&gt;='1-Input'!$C$12,'1-Input'!$B$12,0))-MIN(MAX(AO274,0),MAX(0,AK231-IF($A275&gt;='1-Input'!$C$12,'1-Input'!$B$12,0))))*(1/(1-'P-Parametri'!$B$6*AK275))+MIN(MAX(0,AP274-(MAX(0,AK231-IF($A275&gt;='1-Input'!$C$12,'1-Input'!$B$12,0))-MIN(MAX(AO274,0),MAX(0,AK231-IF($A275&gt;='1-Input'!$C$12,'1-Input'!$B$12,0))))*(1/(1-'P-Parametri'!$B$6*AK275))),MAX(0,2*AK231-(AO274-MIN(MAX(AO274,0),MAX(0,AK231-IF($A275&gt;='1-Input'!$C$12,'1-Input'!$B$12,0)))))*(1/(1-'P-Parametri'!$B$6*AK275))))</f>
        <v>0</v>
      </c>
      <c r="AM275" s="18">
        <f>IF($A275&gt;'1-Input'!$B$26,AO274,(AO274-MAX(0,AK231-IF($A275&gt;='1-Input'!$C$12,'1-Input'!$B$12,0))+AL275*(1-'P-Parametri'!$B$6*AK275))*(1+'1-Input'!$B$27))</f>
        <v>16790.978498730929</v>
      </c>
      <c r="AN275" s="18">
        <f>IF($A275&gt;'1-Input'!$B$26,AP274,(AP274-AL275)*(1+$B$4))</f>
        <v>0</v>
      </c>
      <c r="AO275" s="18">
        <f>IF($A275&gt;'1-Input'!$B$26,AM275,AM275-'P-Parametri'!$B$8*(AN275+AM275)+MIN(MAX(AN275,0),'P-Parametri'!$B$8*(AN275+AM275)))</f>
        <v>16757.396541733466</v>
      </c>
      <c r="AP275" s="18">
        <f>IF($A275&gt;'1-Input'!$B$26,AN275,AN275-MIN(MAX(AN275,0),'P-Parametri'!$B$8*(AN275+AM275)))</f>
        <v>0</v>
      </c>
      <c r="AQ275" s="18">
        <f>IF($A275&gt;'1-Input'!$B$26,AQ274,AQ274-AL275*(1-AK275))</f>
        <v>0</v>
      </c>
    </row>
    <row r="276" spans="1:43">
      <c r="A276" s="10">
        <f>43</f>
        <v>43</v>
      </c>
      <c r="B276" s="11">
        <f>IF($A276&gt;'1-Input'!$B$26,0,IF(G275&lt;=0,0,MAX(0,(G275-H275)/G275)))</f>
        <v>0</v>
      </c>
      <c r="C276" s="18">
        <f>IF($A276&gt;'1-Input'!$B$26,0,(MAX(0,B231-IF($A276&gt;='1-Input'!$C$12,'1-Input'!$B$12,0))-MIN(MAX(F275,0),MAX(0,B231-IF($A276&gt;='1-Input'!$C$12,'1-Input'!$B$12,0))))*(1/(1-'P-Parametri'!$B$6*B276))+MIN(MAX(0,G275-(MAX(0,B231-IF($A276&gt;='1-Input'!$C$12,'1-Input'!$B$12,0))-MIN(MAX(F275,0),MAX(0,B231-IF($A276&gt;='1-Input'!$C$12,'1-Input'!$B$12,0))))*(1/(1-'P-Parametri'!$B$6*B276))),MAX(0,2*B231-(F275-MIN(MAX(F275,0),MAX(0,B231-IF($A276&gt;='1-Input'!$C$12,'1-Input'!$B$12,0)))))*(1/(1-'P-Parametri'!$B$6*B276))))</f>
        <v>0</v>
      </c>
      <c r="D276" s="18">
        <f>IF($A276&gt;'1-Input'!$B$26,F275,(F275-MAX(0,B231-IF($A276&gt;='1-Input'!$C$12,'1-Input'!$B$12,0))+C276*(1-'P-Parametri'!$B$6*B276))*(1+'1-Input'!$B$27))</f>
        <v>9730.7397402903498</v>
      </c>
      <c r="E276" s="18">
        <f>IF($A276&gt;'1-Input'!$B$26,G275,(G275-C276)*(1+$B$4))</f>
        <v>0</v>
      </c>
      <c r="F276" s="18">
        <f>IF($A276&gt;'1-Input'!$B$26,D276,D276-'P-Parametri'!$B$8*(E276+D276)+MIN(MAX(E276,0),'P-Parametri'!$B$8*(E276+D276)))</f>
        <v>9711.2782608097696</v>
      </c>
      <c r="G276" s="18">
        <f>IF($A276&gt;'1-Input'!$B$26,E276,E276-MIN(MAX(E276,0),'P-Parametri'!$B$8*(E276+D276)))</f>
        <v>0</v>
      </c>
      <c r="H276" s="18">
        <f>IF($A276&gt;'1-Input'!$B$26,H275,H275-C276*(1-B276))</f>
        <v>-4.5474735088646412E-13</v>
      </c>
      <c r="I276" s="11">
        <f>IF($A276&gt;'1-Input'!$B$26,0,IF(N275&lt;=0,0,MAX(0,(N275-O275)/N275)))</f>
        <v>0</v>
      </c>
      <c r="J276" s="18">
        <f>IF($A276&gt;'1-Input'!$B$26,0,(MAX(0,I231-IF($A276&gt;='1-Input'!$C$12,'1-Input'!$B$12,0))-MIN(MAX(M275,0),MAX(0,I231-IF($A276&gt;='1-Input'!$C$12,'1-Input'!$B$12,0))))*(1/(1-'P-Parametri'!$B$6*I276))+MIN(MAX(0,N275-(MAX(0,I231-IF($A276&gt;='1-Input'!$C$12,'1-Input'!$B$12,0))-MIN(MAX(M275,0),MAX(0,I231-IF($A276&gt;='1-Input'!$C$12,'1-Input'!$B$12,0))))*(1/(1-'P-Parametri'!$B$6*I276))),MAX(0,2*I231-(M275-MIN(MAX(M275,0),MAX(0,I231-IF($A276&gt;='1-Input'!$C$12,'1-Input'!$B$12,0)))))*(1/(1-'P-Parametri'!$B$6*I276))))</f>
        <v>10846.756992928691</v>
      </c>
      <c r="K276" s="18">
        <f>IF($A276&gt;'1-Input'!$B$26,M275,(M275-MAX(0,I231-IF($A276&gt;='1-Input'!$C$12,'1-Input'!$B$12,0))+J276*(1-'P-Parametri'!$B$6*I276))*(1+'1-Input'!$B$27))</f>
        <v>0</v>
      </c>
      <c r="L276" s="18">
        <f>IF($A276&gt;'1-Input'!$B$26,N275,(N275-J276)*(1+$B$4))</f>
        <v>-309506.45242366591</v>
      </c>
      <c r="M276" s="18">
        <f>IF($A276&gt;'1-Input'!$B$26,K276,K276-'P-Parametri'!$B$8*(L276+K276)+MIN(MAX(L276,0),'P-Parametri'!$B$8*(L276+K276)))</f>
        <v>0</v>
      </c>
      <c r="N276" s="18">
        <f>IF($A276&gt;'1-Input'!$B$26,L276,L276-MIN(MAX(L276,0),'P-Parametri'!$B$8*(L276+K276)))</f>
        <v>-308887.43951881857</v>
      </c>
      <c r="O276" s="18">
        <f>IF($A276&gt;'1-Input'!$B$26,O275,O275-J276*(1-I276))</f>
        <v>-248213.57104318927</v>
      </c>
      <c r="P276" s="11">
        <f>IF($A276&gt;'1-Input'!$B$26,0,IF(U275&lt;=0,0,MAX(0,(U275-V275)/U275)))</f>
        <v>0</v>
      </c>
      <c r="Q276" s="18">
        <f>IF($A276&gt;'1-Input'!$B$26,0,(MAX(0,P231-IF($A276&gt;='1-Input'!$C$12,'1-Input'!$B$12,0))-MIN(MAX(T275,0),MAX(0,P231-IF($A276&gt;='1-Input'!$C$12,'1-Input'!$B$12,0))))*(1/(1-'P-Parametri'!$B$6*P276))+MIN(MAX(0,U275-(MAX(0,P231-IF($A276&gt;='1-Input'!$C$12,'1-Input'!$B$12,0))-MIN(MAX(T275,0),MAX(0,P231-IF($A276&gt;='1-Input'!$C$12,'1-Input'!$B$12,0))))*(1/(1-'P-Parametri'!$B$6*P276))),MAX(0,2*P231-(T275-MIN(MAX(T275,0),MAX(0,P231-IF($A276&gt;='1-Input'!$C$12,'1-Input'!$B$12,0)))))*(1/(1-'P-Parametri'!$B$6*P276))))</f>
        <v>0</v>
      </c>
      <c r="R276" s="18">
        <f>IF($A276&gt;'1-Input'!$B$26,T275,(T275-MAX(0,P231-IF($A276&gt;='1-Input'!$C$12,'1-Input'!$B$12,0))+Q276*(1-'P-Parametri'!$B$6*P276))*(1+'1-Input'!$B$27))</f>
        <v>11079.221320065564</v>
      </c>
      <c r="S276" s="18">
        <f>IF($A276&gt;'1-Input'!$B$26,U275,(U275-Q276)*(1+$B$4))</f>
        <v>0</v>
      </c>
      <c r="T276" s="18">
        <f>IF($A276&gt;'1-Input'!$B$26,R276,R276-'P-Parametri'!$B$8*(S276+R276)+MIN(MAX(S276,0),'P-Parametri'!$B$8*(S276+R276)))</f>
        <v>11057.062877425433</v>
      </c>
      <c r="U276" s="18">
        <f>IF($A276&gt;'1-Input'!$B$26,S276,S276-MIN(MAX(S276,0),'P-Parametri'!$B$8*(S276+R276)))</f>
        <v>0</v>
      </c>
      <c r="V276" s="18">
        <f>IF($A276&gt;'1-Input'!$B$26,V275,V275-Q276*(1-P276))</f>
        <v>5.6843418860808015E-14</v>
      </c>
      <c r="W276" s="11">
        <f>IF($A276&gt;'1-Input'!$B$26,0,IF(AB275&lt;=0,0,MAX(0,(AB275-AC275)/AB275)))</f>
        <v>0</v>
      </c>
      <c r="X276" s="18">
        <f>IF($A276&gt;'1-Input'!$B$26,0,(MAX(0,W231-IF($A276&gt;='1-Input'!$C$12,'1-Input'!$B$12,0))-MIN(MAX(AA275,0),MAX(0,W231-IF($A276&gt;='1-Input'!$C$12,'1-Input'!$B$12,0))))*(1/(1-'P-Parametri'!$B$6*W276))+MIN(MAX(0,AB275-(MAX(0,W231-IF($A276&gt;='1-Input'!$C$12,'1-Input'!$B$12,0))-MIN(MAX(AA275,0),MAX(0,W231-IF($A276&gt;='1-Input'!$C$12,'1-Input'!$B$12,0))))*(1/(1-'P-Parametri'!$B$6*W276))),MAX(0,2*W231-(AA275-MIN(MAX(AA275,0),MAX(0,W231-IF($A276&gt;='1-Input'!$C$12,'1-Input'!$B$12,0)))))*(1/(1-'P-Parametri'!$B$6*W276))))</f>
        <v>0</v>
      </c>
      <c r="Y276" s="18">
        <f>IF($A276&gt;'1-Input'!$B$26,AA275,(AA275-MAX(0,W231-IF($A276&gt;='1-Input'!$C$12,'1-Input'!$B$12,0))+X276*(1-'P-Parametri'!$B$6*W276))*(1+'1-Input'!$B$27))</f>
        <v>11157.652874719051</v>
      </c>
      <c r="Z276" s="18">
        <f>IF($A276&gt;'1-Input'!$B$26,AB275,(AB275-X276)*(1+$B$4))</f>
        <v>0</v>
      </c>
      <c r="AA276" s="18">
        <f>IF($A276&gt;'1-Input'!$B$26,Y276,Y276-'P-Parametri'!$B$8*(Z276+Y276)+MIN(MAX(Z276,0),'P-Parametri'!$B$8*(Z276+Y276)))</f>
        <v>11135.337568969613</v>
      </c>
      <c r="AB276" s="18">
        <f>IF($A276&gt;'1-Input'!$B$26,Z276,Z276-MIN(MAX(Z276,0),'P-Parametri'!$B$8*(Z276+Y276)))</f>
        <v>0</v>
      </c>
      <c r="AC276" s="18">
        <f>IF($A276&gt;'1-Input'!$B$26,AC275,AC275-X276*(1-W276))</f>
        <v>0</v>
      </c>
      <c r="AD276" s="11">
        <f>IF($A276&gt;'1-Input'!$B$26,0,IF(AI275&lt;=0,0,MAX(0,(AI275-AJ275)/AI275)))</f>
        <v>0</v>
      </c>
      <c r="AE276" s="18">
        <f>IF($A276&gt;'1-Input'!$B$26,0,(MAX(0,AD231-IF($A276&gt;='1-Input'!$C$12,'1-Input'!$B$12,0))-MIN(MAX(AH275,0),MAX(0,AD231-IF($A276&gt;='1-Input'!$C$12,'1-Input'!$B$12,0))))*(1/(1-'P-Parametri'!$B$6*AD276))+MIN(MAX(0,AI275-(MAX(0,AD231-IF($A276&gt;='1-Input'!$C$12,'1-Input'!$B$12,0))-MIN(MAX(AH275,0),MAX(0,AD231-IF($A276&gt;='1-Input'!$C$12,'1-Input'!$B$12,0))))*(1/(1-'P-Parametri'!$B$6*AD276))),MAX(0,2*AD231-(AH275-MIN(MAX(AH275,0),MAX(0,AD231-IF($A276&gt;='1-Input'!$C$12,'1-Input'!$B$12,0)))))*(1/(1-'P-Parametri'!$B$6*AD276))))</f>
        <v>0</v>
      </c>
      <c r="AF276" s="18">
        <f>IF($A276&gt;'1-Input'!$B$26,AH275,(AH275-MAX(0,AD231-IF($A276&gt;='1-Input'!$C$12,'1-Input'!$B$12,0))+AE276*(1-'P-Parametri'!$B$6*AD276))*(1+'1-Input'!$B$27))</f>
        <v>11162.565766303816</v>
      </c>
      <c r="AG276" s="18">
        <f>IF($A276&gt;'1-Input'!$B$26,AI275,(AI275-AE276)*(1+$B$4))</f>
        <v>0</v>
      </c>
      <c r="AH276" s="18">
        <f>IF($A276&gt;'1-Input'!$B$26,AF276,AF276-'P-Parametri'!$B$8*(AG276+AF276)+MIN(MAX(AG276,0),'P-Parametri'!$B$8*(AG276+AF276)))</f>
        <v>11140.240634771209</v>
      </c>
      <c r="AI276" s="18">
        <f>IF($A276&gt;'1-Input'!$B$26,AG276,AG276-MIN(MAX(AG276,0),'P-Parametri'!$B$8*(AG276+AF276)))</f>
        <v>0</v>
      </c>
      <c r="AJ276" s="18">
        <f>IF($A276&gt;'1-Input'!$B$26,AJ275,AJ275-AE276*(1-AD276))</f>
        <v>5.6843418860808015E-14</v>
      </c>
      <c r="AK276" s="11">
        <f>IF($A276&gt;'1-Input'!$B$26,0,IF(AP275&lt;=0,0,MAX(0,(AP275-AQ275)/AP275)))</f>
        <v>0</v>
      </c>
      <c r="AL276" s="18">
        <f>IF($A276&gt;'1-Input'!$B$26,0,(MAX(0,AK231-IF($A276&gt;='1-Input'!$C$12,'1-Input'!$B$12,0))-MIN(MAX(AO275,0),MAX(0,AK231-IF($A276&gt;='1-Input'!$C$12,'1-Input'!$B$12,0))))*(1/(1-'P-Parametri'!$B$6*AK276))+MIN(MAX(0,AP275-(MAX(0,AK231-IF($A276&gt;='1-Input'!$C$12,'1-Input'!$B$12,0))-MIN(MAX(AO275,0),MAX(0,AK231-IF($A276&gt;='1-Input'!$C$12,'1-Input'!$B$12,0))))*(1/(1-'P-Parametri'!$B$6*AK276))),MAX(0,2*AK231-(AO275-MIN(MAX(AO275,0),MAX(0,AK231-IF($A276&gt;='1-Input'!$C$12,'1-Input'!$B$12,0)))))*(1/(1-'P-Parametri'!$B$6*AK276))))</f>
        <v>0</v>
      </c>
      <c r="AM276" s="18">
        <f>IF($A276&gt;'1-Input'!$B$26,AO275,(AO275-MAX(0,AK231-IF($A276&gt;='1-Input'!$C$12,'1-Input'!$B$12,0))+AL276*(1-'P-Parametri'!$B$6*AK276))*(1+'1-Input'!$B$27))</f>
        <v>11162.565763577608</v>
      </c>
      <c r="AN276" s="18">
        <f>IF($A276&gt;'1-Input'!$B$26,AP275,(AP275-AL276)*(1+$B$4))</f>
        <v>0</v>
      </c>
      <c r="AO276" s="18">
        <f>IF($A276&gt;'1-Input'!$B$26,AM276,AM276-'P-Parametri'!$B$8*(AN276+AM276)+MIN(MAX(AN276,0),'P-Parametri'!$B$8*(AN276+AM276)))</f>
        <v>11140.240632050452</v>
      </c>
      <c r="AP276" s="18">
        <f>IF($A276&gt;'1-Input'!$B$26,AN276,AN276-MIN(MAX(AN276,0),'P-Parametri'!$B$8*(AN276+AM276)))</f>
        <v>0</v>
      </c>
      <c r="AQ276" s="18">
        <f>IF($A276&gt;'1-Input'!$B$26,AQ275,AQ275-AL276*(1-AK276))</f>
        <v>0</v>
      </c>
    </row>
    <row r="277" spans="1:43">
      <c r="A277" s="10">
        <f>44</f>
        <v>44</v>
      </c>
      <c r="B277" s="11">
        <f>IF($A277&gt;'1-Input'!$B$26,0,IF(G276&lt;=0,0,MAX(0,(G276-H276)/G276)))</f>
        <v>0</v>
      </c>
      <c r="C277" s="18">
        <f>IF($A277&gt;'1-Input'!$B$26,0,(MAX(0,B231-IF($A277&gt;='1-Input'!$C$12,'1-Input'!$B$12,0))-MIN(MAX(F276,0),MAX(0,B231-IF($A277&gt;='1-Input'!$C$12,'1-Input'!$B$12,0))))*(1/(1-'P-Parametri'!$B$6*B277))+MIN(MAX(0,G276-(MAX(0,B231-IF($A277&gt;='1-Input'!$C$12,'1-Input'!$B$12,0))-MIN(MAX(F276,0),MAX(0,B231-IF($A277&gt;='1-Input'!$C$12,'1-Input'!$B$12,0))))*(1/(1-'P-Parametri'!$B$6*B277))),MAX(0,2*B231-(F276-MIN(MAX(F276,0),MAX(0,B231-IF($A277&gt;='1-Input'!$C$12,'1-Input'!$B$12,0)))))*(1/(1-'P-Parametri'!$B$6*B277))))</f>
        <v>0</v>
      </c>
      <c r="D277" s="18">
        <f>IF($A277&gt;'1-Input'!$B$26,F276,(F276-MAX(0,B231-IF($A277&gt;='1-Input'!$C$12,'1-Input'!$B$12,0))+C277*(1-'P-Parametri'!$B$6*B277))*(1+'1-Input'!$B$27))</f>
        <v>4117.3469435777042</v>
      </c>
      <c r="E277" s="18">
        <f>IF($A277&gt;'1-Input'!$B$26,G276,(G276-C277)*(1+$B$4))</f>
        <v>0</v>
      </c>
      <c r="F277" s="18">
        <f>IF($A277&gt;'1-Input'!$B$26,D277,D277-'P-Parametri'!$B$8*(E277+D277)+MIN(MAX(E277,0),'P-Parametri'!$B$8*(E277+D277)))</f>
        <v>4109.1122496905491</v>
      </c>
      <c r="G277" s="18">
        <f>IF($A277&gt;'1-Input'!$B$26,E277,E277-MIN(MAX(E277,0),'P-Parametri'!$B$8*(E277+D277)))</f>
        <v>0</v>
      </c>
      <c r="H277" s="18">
        <f>IF($A277&gt;'1-Input'!$B$26,H276,H276-C277*(1-B277))</f>
        <v>-4.5474735088646412E-13</v>
      </c>
      <c r="I277" s="11">
        <f>IF($A277&gt;'1-Input'!$B$26,0,IF(N276&lt;=0,0,MAX(0,(N276-O276)/N276)))</f>
        <v>0</v>
      </c>
      <c r="J277" s="18">
        <f>IF($A277&gt;'1-Input'!$B$26,0,(MAX(0,I231-IF($A277&gt;='1-Input'!$C$12,'1-Input'!$B$12,0))-MIN(MAX(M276,0),MAX(0,I231-IF($A277&gt;='1-Input'!$C$12,'1-Input'!$B$12,0))))*(1/(1-'P-Parametri'!$B$6*I277))+MIN(MAX(0,N276-(MAX(0,I231-IF($A277&gt;='1-Input'!$C$12,'1-Input'!$B$12,0))-MIN(MAX(M276,0),MAX(0,I231-IF($A277&gt;='1-Input'!$C$12,'1-Input'!$B$12,0))))*(1/(1-'P-Parametri'!$B$6*I277))),MAX(0,2*I231-(M276-MIN(MAX(M276,0),MAX(0,I231-IF($A277&gt;='1-Input'!$C$12,'1-Input'!$B$12,0)))))*(1/(1-'P-Parametri'!$B$6*I277))))</f>
        <v>10846.756992928691</v>
      </c>
      <c r="K277" s="18">
        <f>IF($A277&gt;'1-Input'!$B$26,M276,(M276-MAX(0,I231-IF($A277&gt;='1-Input'!$C$12,'1-Input'!$B$12,0))+J277*(1-'P-Parametri'!$B$6*I277))*(1+'1-Input'!$B$27))</f>
        <v>0</v>
      </c>
      <c r="L277" s="18">
        <f>IF($A277&gt;'1-Input'!$B$26,N276,(N276-J277)*(1+$B$4))</f>
        <v>-326128.88044198218</v>
      </c>
      <c r="M277" s="18">
        <f>IF($A277&gt;'1-Input'!$B$26,K277,K277-'P-Parametri'!$B$8*(L277+K277)+MIN(MAX(L277,0),'P-Parametri'!$B$8*(L277+K277)))</f>
        <v>0</v>
      </c>
      <c r="N277" s="18">
        <f>IF($A277&gt;'1-Input'!$B$26,L277,L277-MIN(MAX(L277,0),'P-Parametri'!$B$8*(L277+K277)))</f>
        <v>-325476.62268109823</v>
      </c>
      <c r="O277" s="18">
        <f>IF($A277&gt;'1-Input'!$B$26,O276,O276-J277*(1-I277))</f>
        <v>-259060.32803611795</v>
      </c>
      <c r="P277" s="11">
        <f>IF($A277&gt;'1-Input'!$B$26,0,IF(U276&lt;=0,0,MAX(0,(U276-V276)/U276)))</f>
        <v>0</v>
      </c>
      <c r="Q277" s="18">
        <f>IF($A277&gt;'1-Input'!$B$26,0,(MAX(0,P231-IF($A277&gt;='1-Input'!$C$12,'1-Input'!$B$12,0))-MIN(MAX(T276,0),MAX(0,P231-IF($A277&gt;='1-Input'!$C$12,'1-Input'!$B$12,0))))*(1/(1-'P-Parametri'!$B$6*P277))+MIN(MAX(0,U276-(MAX(0,P231-IF($A277&gt;='1-Input'!$C$12,'1-Input'!$B$12,0))-MIN(MAX(T276,0),MAX(0,P231-IF($A277&gt;='1-Input'!$C$12,'1-Input'!$B$12,0))))*(1/(1-'P-Parametri'!$B$6*P277))),MAX(0,2*P231-(T276-MIN(MAX(T276,0),MAX(0,P231-IF($A277&gt;='1-Input'!$C$12,'1-Input'!$B$12,0)))))*(1/(1-'P-Parametri'!$B$6*P277))))</f>
        <v>0</v>
      </c>
      <c r="R277" s="18">
        <f>IF($A277&gt;'1-Input'!$B$26,T276,(T276-MAX(0,P231-IF($A277&gt;='1-Input'!$C$12,'1-Input'!$B$12,0))+Q277*(1-'P-Parametri'!$B$6*P277))*(1+'1-Input'!$B$27))</f>
        <v>5481.3276994971084</v>
      </c>
      <c r="S277" s="18">
        <f>IF($A277&gt;'1-Input'!$B$26,U276,(U276-Q277)*(1+$B$4))</f>
        <v>0</v>
      </c>
      <c r="T277" s="18">
        <f>IF($A277&gt;'1-Input'!$B$26,R277,R277-'P-Parametri'!$B$8*(S277+R277)+MIN(MAX(S277,0),'P-Parametri'!$B$8*(S277+R277)))</f>
        <v>5470.3650440981146</v>
      </c>
      <c r="U277" s="18">
        <f>IF($A277&gt;'1-Input'!$B$26,S277,S277-MIN(MAX(S277,0),'P-Parametri'!$B$8*(S277+R277)))</f>
        <v>0</v>
      </c>
      <c r="V277" s="18">
        <f>IF($A277&gt;'1-Input'!$B$26,V276,V276-Q277*(1-P277))</f>
        <v>5.6843418860808015E-14</v>
      </c>
      <c r="W277" s="11">
        <f>IF($A277&gt;'1-Input'!$B$26,0,IF(AB276&lt;=0,0,MAX(0,(AB276-AC276)/AB276)))</f>
        <v>0</v>
      </c>
      <c r="X277" s="18">
        <f>IF($A277&gt;'1-Input'!$B$26,0,(MAX(0,W231-IF($A277&gt;='1-Input'!$C$12,'1-Input'!$B$12,0))-MIN(MAX(AA276,0),MAX(0,W231-IF($A277&gt;='1-Input'!$C$12,'1-Input'!$B$12,0))))*(1/(1-'P-Parametri'!$B$6*W277))+MIN(MAX(0,AB276-(MAX(0,W231-IF($A277&gt;='1-Input'!$C$12,'1-Input'!$B$12,0))-MIN(MAX(AA276,0),MAX(0,W231-IF($A277&gt;='1-Input'!$C$12,'1-Input'!$B$12,0))))*(1/(1-'P-Parametri'!$B$6*W277))),MAX(0,2*W231-(AA276-MIN(MAX(AA276,0),MAX(0,W231-IF($A277&gt;='1-Input'!$C$12,'1-Input'!$B$12,0)))))*(1/(1-'P-Parametri'!$B$6*W277))))</f>
        <v>0</v>
      </c>
      <c r="Y277" s="18">
        <f>IF($A277&gt;'1-Input'!$B$26,AA276,(AA276-MAX(0,W231-IF($A277&gt;='1-Input'!$C$12,'1-Input'!$B$12,0))+X277*(1-'P-Parametri'!$B$6*W277))*(1+'1-Input'!$B$27))</f>
        <v>5560.6621685367545</v>
      </c>
      <c r="Z277" s="18">
        <f>IF($A277&gt;'1-Input'!$B$26,AB276,(AB276-X277)*(1+$B$4))</f>
        <v>0</v>
      </c>
      <c r="AA277" s="18">
        <f>IF($A277&gt;'1-Input'!$B$26,Y277,Y277-'P-Parametri'!$B$8*(Z277+Y277)+MIN(MAX(Z277,0),'P-Parametri'!$B$8*(Z277+Y277)))</f>
        <v>5549.5408441996806</v>
      </c>
      <c r="AB277" s="18">
        <f>IF($A277&gt;'1-Input'!$B$26,Z277,Z277-MIN(MAX(Z277,0),'P-Parametri'!$B$8*(Z277+Y277)))</f>
        <v>0</v>
      </c>
      <c r="AC277" s="18">
        <f>IF($A277&gt;'1-Input'!$B$26,AC276,AC276-X277*(1-W277))</f>
        <v>0</v>
      </c>
      <c r="AD277" s="11">
        <f>IF($A277&gt;'1-Input'!$B$26,0,IF(AI276&lt;=0,0,MAX(0,(AI276-AJ276)/AI276)))</f>
        <v>0</v>
      </c>
      <c r="AE277" s="18">
        <f>IF($A277&gt;'1-Input'!$B$26,0,(MAX(0,AD231-IF($A277&gt;='1-Input'!$C$12,'1-Input'!$B$12,0))-MIN(MAX(AH276,0),MAX(0,AD231-IF($A277&gt;='1-Input'!$C$12,'1-Input'!$B$12,0))))*(1/(1-'P-Parametri'!$B$6*AD277))+MIN(MAX(0,AI276-(MAX(0,AD231-IF($A277&gt;='1-Input'!$C$12,'1-Input'!$B$12,0))-MIN(MAX(AH276,0),MAX(0,AD231-IF($A277&gt;='1-Input'!$C$12,'1-Input'!$B$12,0))))*(1/(1-'P-Parametri'!$B$6*AD277))),MAX(0,2*AD231-(AH276-MIN(MAX(AH276,0),MAX(0,AD231-IF($A277&gt;='1-Input'!$C$12,'1-Input'!$B$12,0)))))*(1/(1-'P-Parametri'!$B$6*AD277))))</f>
        <v>0</v>
      </c>
      <c r="AF277" s="18">
        <f>IF($A277&gt;'1-Input'!$B$26,AH276,(AH276-MAX(0,AD231-IF($A277&gt;='1-Input'!$C$12,'1-Input'!$B$12,0))+AE277*(1-'P-Parametri'!$B$6*AD277))*(1+'1-Input'!$B$27))</f>
        <v>5565.6316179270543</v>
      </c>
      <c r="AG277" s="18">
        <f>IF($A277&gt;'1-Input'!$B$26,AI276,(AI276-AE277)*(1+$B$4))</f>
        <v>0</v>
      </c>
      <c r="AH277" s="18">
        <f>IF($A277&gt;'1-Input'!$B$26,AF277,AF277-'P-Parametri'!$B$8*(AG277+AF277)+MIN(MAX(AG277,0),'P-Parametri'!$B$8*(AG277+AF277)))</f>
        <v>5554.5003546912003</v>
      </c>
      <c r="AI277" s="18">
        <f>IF($A277&gt;'1-Input'!$B$26,AG277,AG277-MIN(MAX(AG277,0),'P-Parametri'!$B$8*(AG277+AF277)))</f>
        <v>0</v>
      </c>
      <c r="AJ277" s="18">
        <f>IF($A277&gt;'1-Input'!$B$26,AJ276,AJ276-AE277*(1-AD277))</f>
        <v>5.6843418860808015E-14</v>
      </c>
      <c r="AK277" s="11">
        <f>IF($A277&gt;'1-Input'!$B$26,0,IF(AP276&lt;=0,0,MAX(0,(AP276-AQ276)/AP276)))</f>
        <v>0</v>
      </c>
      <c r="AL277" s="18">
        <f>IF($A277&gt;'1-Input'!$B$26,0,(MAX(0,AK231-IF($A277&gt;='1-Input'!$C$12,'1-Input'!$B$12,0))-MIN(MAX(AO276,0),MAX(0,AK231-IF($A277&gt;='1-Input'!$C$12,'1-Input'!$B$12,0))))*(1/(1-'P-Parametri'!$B$6*AK277))+MIN(MAX(0,AP276-(MAX(0,AK231-IF($A277&gt;='1-Input'!$C$12,'1-Input'!$B$12,0))-MIN(MAX(AO276,0),MAX(0,AK231-IF($A277&gt;='1-Input'!$C$12,'1-Input'!$B$12,0))))*(1/(1-'P-Parametri'!$B$6*AK277))),MAX(0,2*AK231-(AO276-MIN(MAX(AO276,0),MAX(0,AK231-IF($A277&gt;='1-Input'!$C$12,'1-Input'!$B$12,0)))))*(1/(1-'P-Parametri'!$B$6*AK277))))</f>
        <v>0</v>
      </c>
      <c r="AM277" s="18">
        <f>IF($A277&gt;'1-Input'!$B$26,AO276,(AO276-MAX(0,AK231-IF($A277&gt;='1-Input'!$C$12,'1-Input'!$B$12,0))+AL277*(1-'P-Parametri'!$B$6*AK277))*(1+'1-Input'!$B$27))</f>
        <v>5565.6316151694537</v>
      </c>
      <c r="AN277" s="18">
        <f>IF($A277&gt;'1-Input'!$B$26,AP276,(AP276-AL277)*(1+$B$4))</f>
        <v>0</v>
      </c>
      <c r="AO277" s="18">
        <f>IF($A277&gt;'1-Input'!$B$26,AM277,AM277-'P-Parametri'!$B$8*(AN277+AM277)+MIN(MAX(AN277,0),'P-Parametri'!$B$8*(AN277+AM277)))</f>
        <v>5554.5003519391148</v>
      </c>
      <c r="AP277" s="18">
        <f>IF($A277&gt;'1-Input'!$B$26,AN277,AN277-MIN(MAX(AN277,0),'P-Parametri'!$B$8*(AN277+AM277)))</f>
        <v>0</v>
      </c>
      <c r="AQ277" s="18">
        <f>IF($A277&gt;'1-Input'!$B$26,AQ276,AQ276-AL277*(1-AK277))</f>
        <v>0</v>
      </c>
    </row>
    <row r="278" spans="1:43">
      <c r="A278" s="10">
        <f>45</f>
        <v>45</v>
      </c>
      <c r="B278" s="11">
        <f>IF($A278&gt;'1-Input'!$B$26,0,IF(G277&lt;=0,0,MAX(0,(G277-H277)/G277)))</f>
        <v>0</v>
      </c>
      <c r="C278" s="18">
        <f>IF($A278&gt;'1-Input'!$B$26,0,(MAX(0,B231-IF($A278&gt;='1-Input'!$C$12,'1-Input'!$B$12,0))-MIN(MAX(F277,0),MAX(0,B231-IF($A278&gt;='1-Input'!$C$12,'1-Input'!$B$12,0))))*(1/(1-'P-Parametri'!$B$6*B278))+MIN(MAX(0,G277-(MAX(0,B231-IF($A278&gt;='1-Input'!$C$12,'1-Input'!$B$12,0))-MIN(MAX(F277,0),MAX(0,B231-IF($A278&gt;='1-Input'!$C$12,'1-Input'!$B$12,0))))*(1/(1-'P-Parametri'!$B$6*B278))),MAX(0,2*B231-(F277-MIN(MAX(F277,0),MAX(0,B231-IF($A278&gt;='1-Input'!$C$12,'1-Input'!$B$12,0)))))*(1/(1-'P-Parametri'!$B$6*B278))))</f>
        <v>1469.9430649352535</v>
      </c>
      <c r="D278" s="18">
        <f>IF($A278&gt;'1-Input'!$B$26,F277,(F277-MAX(0,B231-IF($A278&gt;='1-Input'!$C$12,'1-Input'!$B$12,0))+C278*(1-'P-Parametri'!$B$6*B278))*(1+'1-Input'!$B$27))</f>
        <v>0</v>
      </c>
      <c r="E278" s="18">
        <f>IF($A278&gt;'1-Input'!$B$26,G277,(G277-C278)*(1+$B$4))</f>
        <v>-1499.3419262339585</v>
      </c>
      <c r="F278" s="18">
        <f>IF($A278&gt;'1-Input'!$B$26,D278,D278-'P-Parametri'!$B$8*(E278+D278)+MIN(MAX(E278,0),'P-Parametri'!$B$8*(E278+D278)))</f>
        <v>0</v>
      </c>
      <c r="G278" s="18">
        <f>IF($A278&gt;'1-Input'!$B$26,E278,E278-MIN(MAX(E278,0),'P-Parametri'!$B$8*(E278+D278)))</f>
        <v>-1496.3432423814907</v>
      </c>
      <c r="H278" s="18">
        <f>IF($A278&gt;'1-Input'!$B$26,H277,H277-C278*(1-B278))</f>
        <v>-1469.9430649352539</v>
      </c>
      <c r="I278" s="11">
        <f>IF($A278&gt;'1-Input'!$B$26,0,IF(N277&lt;=0,0,MAX(0,(N277-O277)/N277)))</f>
        <v>0</v>
      </c>
      <c r="J278" s="18">
        <f>IF($A278&gt;'1-Input'!$B$26,0,(MAX(0,I231-IF($A278&gt;='1-Input'!$C$12,'1-Input'!$B$12,0))-MIN(MAX(M277,0),MAX(0,I231-IF($A278&gt;='1-Input'!$C$12,'1-Input'!$B$12,0))))*(1/(1-'P-Parametri'!$B$6*I278))+MIN(MAX(0,N277-(MAX(0,I231-IF($A278&gt;='1-Input'!$C$12,'1-Input'!$B$12,0))-MIN(MAX(M277,0),MAX(0,I231-IF($A278&gt;='1-Input'!$C$12,'1-Input'!$B$12,0))))*(1/(1-'P-Parametri'!$B$6*I278))),MAX(0,2*I231-(M277-MIN(MAX(M277,0),MAX(0,I231-IF($A278&gt;='1-Input'!$C$12,'1-Input'!$B$12,0)))))*(1/(1-'P-Parametri'!$B$6*I278))))</f>
        <v>10846.756992928691</v>
      </c>
      <c r="K278" s="18">
        <f>IF($A278&gt;'1-Input'!$B$26,M277,(M277-MAX(0,I231-IF($A278&gt;='1-Input'!$C$12,'1-Input'!$B$12,0))+J278*(1-'P-Parametri'!$B$6*I278))*(1+'1-Input'!$B$27))</f>
        <v>0</v>
      </c>
      <c r="L278" s="18">
        <f>IF($A278&gt;'1-Input'!$B$26,N277,(N277-J278)*(1+$B$4))</f>
        <v>-343049.84726750746</v>
      </c>
      <c r="M278" s="18">
        <f>IF($A278&gt;'1-Input'!$B$26,K278,K278-'P-Parametri'!$B$8*(L278+K278)+MIN(MAX(L278,0),'P-Parametri'!$B$8*(L278+K278)))</f>
        <v>0</v>
      </c>
      <c r="N278" s="18">
        <f>IF($A278&gt;'1-Input'!$B$26,L278,L278-MIN(MAX(L278,0),'P-Parametri'!$B$8*(L278+K278)))</f>
        <v>-342363.74757297244</v>
      </c>
      <c r="O278" s="18">
        <f>IF($A278&gt;'1-Input'!$B$26,O277,O277-J278*(1-I278))</f>
        <v>-269907.08502904663</v>
      </c>
      <c r="P278" s="11">
        <f>IF($A278&gt;'1-Input'!$B$26,0,IF(U277&lt;=0,0,MAX(0,(U277-V277)/U277)))</f>
        <v>0</v>
      </c>
      <c r="Q278" s="18">
        <f>IF($A278&gt;'1-Input'!$B$26,0,(MAX(0,P231-IF($A278&gt;='1-Input'!$C$12,'1-Input'!$B$12,0))-MIN(MAX(T277,0),MAX(0,P231-IF($A278&gt;='1-Input'!$C$12,'1-Input'!$B$12,0))))*(1/(1-'P-Parametri'!$B$6*P278))+MIN(MAX(0,U277-(MAX(0,P231-IF($A278&gt;='1-Input'!$C$12,'1-Input'!$B$12,0))-MIN(MAX(T277,0),MAX(0,P231-IF($A278&gt;='1-Input'!$C$12,'1-Input'!$B$12,0))))*(1/(1-'P-Parametri'!$B$6*P278))),MAX(0,2*P231-(T277-MIN(MAX(T277,0),MAX(0,P231-IF($A278&gt;='1-Input'!$C$12,'1-Input'!$B$12,0)))))*(1/(1-'P-Parametri'!$B$6*P278))))</f>
        <v>85.566059444230632</v>
      </c>
      <c r="R278" s="18">
        <f>IF($A278&gt;'1-Input'!$B$26,T277,(T277-MAX(0,P231-IF($A278&gt;='1-Input'!$C$12,'1-Input'!$B$12,0))+Q278*(1-'P-Parametri'!$B$6*P278))*(1+'1-Input'!$B$27))</f>
        <v>0</v>
      </c>
      <c r="S278" s="18">
        <f>IF($A278&gt;'1-Input'!$B$26,U277,(U277-Q278)*(1+$B$4))</f>
        <v>-87.277380633115243</v>
      </c>
      <c r="T278" s="18">
        <f>IF($A278&gt;'1-Input'!$B$26,R278,R278-'P-Parametri'!$B$8*(S278+R278)+MIN(MAX(S278,0),'P-Parametri'!$B$8*(S278+R278)))</f>
        <v>0</v>
      </c>
      <c r="U278" s="18">
        <f>IF($A278&gt;'1-Input'!$B$26,S278,S278-MIN(MAX(S278,0),'P-Parametri'!$B$8*(S278+R278)))</f>
        <v>-87.102825871849006</v>
      </c>
      <c r="V278" s="18">
        <f>IF($A278&gt;'1-Input'!$B$26,V277,V277-Q278*(1-P278))</f>
        <v>-85.566059444230575</v>
      </c>
      <c r="W278" s="11">
        <f>IF($A278&gt;'1-Input'!$B$26,0,IF(AB277&lt;=0,0,MAX(0,(AB277-AC277)/AB277)))</f>
        <v>0</v>
      </c>
      <c r="X278" s="18">
        <f>IF($A278&gt;'1-Input'!$B$26,0,(MAX(0,W231-IF($A278&gt;='1-Input'!$C$12,'1-Input'!$B$12,0))-MIN(MAX(AA277,0),MAX(0,W231-IF($A278&gt;='1-Input'!$C$12,'1-Input'!$B$12,0))))*(1/(1-'P-Parametri'!$B$6*W278))+MIN(MAX(0,AB277-(MAX(0,W231-IF($A278&gt;='1-Input'!$C$12,'1-Input'!$B$12,0))-MIN(MAX(AA277,0),MAX(0,W231-IF($A278&gt;='1-Input'!$C$12,'1-Input'!$B$12,0))))*(1/(1-'P-Parametri'!$B$6*W278))),MAX(0,2*W231-(AA277-MIN(MAX(AA277,0),MAX(0,W231-IF($A278&gt;='1-Input'!$C$12,'1-Input'!$B$12,0)))))*(1/(1-'P-Parametri'!$B$6*W278))))</f>
        <v>5.0438458691351116</v>
      </c>
      <c r="Y278" s="18">
        <f>IF($A278&gt;'1-Input'!$B$26,AA277,(AA277-MAX(0,W231-IF($A278&gt;='1-Input'!$C$12,'1-Input'!$B$12,0))+X278*(1-'P-Parametri'!$B$6*W278))*(1+'1-Input'!$B$27))</f>
        <v>0</v>
      </c>
      <c r="Z278" s="18">
        <f>IF($A278&gt;'1-Input'!$B$26,AB277,(AB277-X278)*(1+$B$4))</f>
        <v>-5.1447227865178142</v>
      </c>
      <c r="AA278" s="18">
        <f>IF($A278&gt;'1-Input'!$B$26,Y278,Y278-'P-Parametri'!$B$8*(Z278+Y278)+MIN(MAX(Z278,0),'P-Parametri'!$B$8*(Z278+Y278)))</f>
        <v>0</v>
      </c>
      <c r="AB278" s="18">
        <f>IF($A278&gt;'1-Input'!$B$26,Z278,Z278-MIN(MAX(Z278,0),'P-Parametri'!$B$8*(Z278+Y278)))</f>
        <v>-5.1344333409447787</v>
      </c>
      <c r="AC278" s="18">
        <f>IF($A278&gt;'1-Input'!$B$26,AC277,AC277-X278*(1-W278))</f>
        <v>-5.0438458691351116</v>
      </c>
      <c r="AD278" s="11">
        <f>IF($A278&gt;'1-Input'!$B$26,0,IF(AI277&lt;=0,0,MAX(0,(AI277-AJ277)/AI277)))</f>
        <v>0</v>
      </c>
      <c r="AE278" s="18">
        <f>IF($A278&gt;'1-Input'!$B$26,0,(MAX(0,AD231-IF($A278&gt;='1-Input'!$C$12,'1-Input'!$B$12,0))-MIN(MAX(AH277,0),MAX(0,AD231-IF($A278&gt;='1-Input'!$C$12,'1-Input'!$B$12,0))))*(1/(1-'P-Parametri'!$B$6*AD278))+MIN(MAX(0,AI277-(MAX(0,AD231-IF($A278&gt;='1-Input'!$C$12,'1-Input'!$B$12,0))-MIN(MAX(AH277,0),MAX(0,AD231-IF($A278&gt;='1-Input'!$C$12,'1-Input'!$B$12,0))))*(1/(1-'P-Parametri'!$B$6*AD278))),MAX(0,2*AD231-(AH277-MIN(MAX(AH277,0),MAX(0,AD231-IF($A278&gt;='1-Input'!$C$12,'1-Input'!$B$12,0)))))*(1/(1-'P-Parametri'!$B$6*AD278))))</f>
        <v>0</v>
      </c>
      <c r="AF278" s="18">
        <f>IF($A278&gt;'1-Input'!$B$26,AH277,(AH277-MAX(0,AD231-IF($A278&gt;='1-Input'!$C$12,'1-Input'!$B$12,0))+AE278*(1-'P-Parametri'!$B$6*AD278))*(1+'1-Input'!$B$27))</f>
        <v>2.8553332103911086E-6</v>
      </c>
      <c r="AG278" s="18">
        <f>IF($A278&gt;'1-Input'!$B$26,AI277,(AI277-AE278)*(1+$B$4))</f>
        <v>0</v>
      </c>
      <c r="AH278" s="18">
        <f>IF($A278&gt;'1-Input'!$B$26,AF278,AF278-'P-Parametri'!$B$8*(AG278+AF278)+MIN(MAX(AG278,0),'P-Parametri'!$B$8*(AG278+AF278)))</f>
        <v>2.8496225439703261E-6</v>
      </c>
      <c r="AI278" s="18">
        <f>IF($A278&gt;'1-Input'!$B$26,AG278,AG278-MIN(MAX(AG278,0),'P-Parametri'!$B$8*(AG278+AF278)))</f>
        <v>0</v>
      </c>
      <c r="AJ278" s="18">
        <f>IF($A278&gt;'1-Input'!$B$26,AJ277,AJ277-AE278*(1-AD278))</f>
        <v>5.6843418860808015E-14</v>
      </c>
      <c r="AK278" s="11">
        <f>IF($A278&gt;'1-Input'!$B$26,0,IF(AP277&lt;=0,0,MAX(0,(AP277-AQ277)/AP277)))</f>
        <v>0</v>
      </c>
      <c r="AL278" s="18">
        <f>IF($A278&gt;'1-Input'!$B$26,0,(MAX(0,AK231-IF($A278&gt;='1-Input'!$C$12,'1-Input'!$B$12,0))-MIN(MAX(AO277,0),MAX(0,AK231-IF($A278&gt;='1-Input'!$C$12,'1-Input'!$B$12,0))))*(1/(1-'P-Parametri'!$B$6*AK278))+MIN(MAX(0,AP277-(MAX(0,AK231-IF($A278&gt;='1-Input'!$C$12,'1-Input'!$B$12,0))-MIN(MAX(AO277,0),MAX(0,AK231-IF($A278&gt;='1-Input'!$C$12,'1-Input'!$B$12,0))))*(1/(1-'P-Parametri'!$B$6*AK278))),MAX(0,2*AK231-(AO277-MIN(MAX(AO277,0),MAX(0,AK231-IF($A278&gt;='1-Input'!$C$12,'1-Input'!$B$12,0)))))*(1/(1-'P-Parametri'!$B$6*AK278))))</f>
        <v>0</v>
      </c>
      <c r="AM278" s="18">
        <f>IF($A278&gt;'1-Input'!$B$26,AO277,(AO277-MAX(0,AK231-IF($A278&gt;='1-Input'!$C$12,'1-Input'!$B$12,0))+AL278*(1-'P-Parametri'!$B$6*AK278))*(1+'1-Input'!$B$27))</f>
        <v>6.6517492450657299E-8</v>
      </c>
      <c r="AN278" s="18">
        <f>IF($A278&gt;'1-Input'!$B$26,AP277,(AP277-AL278)*(1+$B$4))</f>
        <v>0</v>
      </c>
      <c r="AO278" s="18">
        <f>IF($A278&gt;'1-Input'!$B$26,AM278,AM278-'P-Parametri'!$B$8*(AN278+AM278)+MIN(MAX(AN278,0),'P-Parametri'!$B$8*(AN278+AM278)))</f>
        <v>6.6384457465755979E-8</v>
      </c>
      <c r="AP278" s="18">
        <f>IF($A278&gt;'1-Input'!$B$26,AN278,AN278-MIN(MAX(AN278,0),'P-Parametri'!$B$8*(AN278+AM278)))</f>
        <v>0</v>
      </c>
      <c r="AQ278" s="18">
        <f>IF($A278&gt;'1-Input'!$B$26,AQ277,AQ277-AL278*(1-AK278))</f>
        <v>0</v>
      </c>
    </row>
    <row r="279" spans="1:43">
      <c r="A279" s="10">
        <f>46</f>
        <v>46</v>
      </c>
      <c r="B279" s="11">
        <f>IF($A279&gt;'1-Input'!$B$26,0,IF(G278&lt;=0,0,MAX(0,(G278-H278)/G278)))</f>
        <v>0</v>
      </c>
      <c r="C279" s="18">
        <f>IF($A279&gt;'1-Input'!$B$26,0,(MAX(0,B231-IF($A279&gt;='1-Input'!$C$12,'1-Input'!$B$12,0))-MIN(MAX(F278,0),MAX(0,B231-IF($A279&gt;='1-Input'!$C$12,'1-Input'!$B$12,0))))*(1/(1-'P-Parametri'!$B$6*B279))+MIN(MAX(0,G278-(MAX(0,B231-IF($A279&gt;='1-Input'!$C$12,'1-Input'!$B$12,0))-MIN(MAX(F278,0),MAX(0,B231-IF($A279&gt;='1-Input'!$C$12,'1-Input'!$B$12,0))))*(1/(1-'P-Parametri'!$B$6*B279))),MAX(0,2*B231-(F278-MIN(MAX(F278,0),MAX(0,B231-IF($A279&gt;='1-Input'!$C$12,'1-Input'!$B$12,0)))))*(1/(1-'P-Parametri'!$B$6*B279))))</f>
        <v>0</v>
      </c>
      <c r="D279" s="18">
        <f>IF($A279&gt;'1-Input'!$B$26,F278,(F278-MAX(0,B231-IF($A279&gt;='1-Input'!$C$12,'1-Input'!$B$12,0))+C279*(1-'P-Parametri'!$B$6*B279))*(1+'1-Input'!$B$27))</f>
        <v>0</v>
      </c>
      <c r="E279" s="18">
        <f>IF($A279&gt;'1-Input'!$B$26,G278,(G278-C279)*(1+$B$4))</f>
        <v>-1496.3432423814907</v>
      </c>
      <c r="F279" s="18">
        <f>IF($A279&gt;'1-Input'!$B$26,D279,D279-'P-Parametri'!$B$8*(E279+D279)+MIN(MAX(E279,0),'P-Parametri'!$B$8*(E279+D279)))</f>
        <v>0</v>
      </c>
      <c r="G279" s="18">
        <f>IF($A279&gt;'1-Input'!$B$26,E279,E279-MIN(MAX(E279,0),'P-Parametri'!$B$8*(E279+D279)))</f>
        <v>-1496.3432423814907</v>
      </c>
      <c r="H279" s="18">
        <f>IF($A279&gt;'1-Input'!$B$26,H278,H278-C279*(1-B279))</f>
        <v>-1469.9430649352539</v>
      </c>
      <c r="I279" s="11">
        <f>IF($A279&gt;'1-Input'!$B$26,0,IF(N278&lt;=0,0,MAX(0,(N278-O278)/N278)))</f>
        <v>0</v>
      </c>
      <c r="J279" s="18">
        <f>IF($A279&gt;'1-Input'!$B$26,0,(MAX(0,I231-IF($A279&gt;='1-Input'!$C$12,'1-Input'!$B$12,0))-MIN(MAX(M278,0),MAX(0,I231-IF($A279&gt;='1-Input'!$C$12,'1-Input'!$B$12,0))))*(1/(1-'P-Parametri'!$B$6*I279))+MIN(MAX(0,N278-(MAX(0,I231-IF($A279&gt;='1-Input'!$C$12,'1-Input'!$B$12,0))-MIN(MAX(M278,0),MAX(0,I231-IF($A279&gt;='1-Input'!$C$12,'1-Input'!$B$12,0))))*(1/(1-'P-Parametri'!$B$6*I279))),MAX(0,2*I231-(M278-MIN(MAX(M278,0),MAX(0,I231-IF($A279&gt;='1-Input'!$C$12,'1-Input'!$B$12,0)))))*(1/(1-'P-Parametri'!$B$6*I279))))</f>
        <v>0</v>
      </c>
      <c r="K279" s="18">
        <f>IF($A279&gt;'1-Input'!$B$26,M278,(M278-MAX(0,I231-IF($A279&gt;='1-Input'!$C$12,'1-Input'!$B$12,0))+J279*(1-'P-Parametri'!$B$6*I279))*(1+'1-Input'!$B$27))</f>
        <v>0</v>
      </c>
      <c r="L279" s="18">
        <f>IF($A279&gt;'1-Input'!$B$26,N278,(N278-J279)*(1+$B$4))</f>
        <v>-342363.74757297244</v>
      </c>
      <c r="M279" s="18">
        <f>IF($A279&gt;'1-Input'!$B$26,K279,K279-'P-Parametri'!$B$8*(L279+K279)+MIN(MAX(L279,0),'P-Parametri'!$B$8*(L279+K279)))</f>
        <v>0</v>
      </c>
      <c r="N279" s="18">
        <f>IF($A279&gt;'1-Input'!$B$26,L279,L279-MIN(MAX(L279,0),'P-Parametri'!$B$8*(L279+K279)))</f>
        <v>-342363.74757297244</v>
      </c>
      <c r="O279" s="18">
        <f>IF($A279&gt;'1-Input'!$B$26,O278,O278-J279*(1-I279))</f>
        <v>-269907.08502904663</v>
      </c>
      <c r="P279" s="11">
        <f>IF($A279&gt;'1-Input'!$B$26,0,IF(U278&lt;=0,0,MAX(0,(U278-V278)/U278)))</f>
        <v>0</v>
      </c>
      <c r="Q279" s="18">
        <f>IF($A279&gt;'1-Input'!$B$26,0,(MAX(0,P231-IF($A279&gt;='1-Input'!$C$12,'1-Input'!$B$12,0))-MIN(MAX(T278,0),MAX(0,P231-IF($A279&gt;='1-Input'!$C$12,'1-Input'!$B$12,0))))*(1/(1-'P-Parametri'!$B$6*P279))+MIN(MAX(0,U278-(MAX(0,P231-IF($A279&gt;='1-Input'!$C$12,'1-Input'!$B$12,0))-MIN(MAX(T278,0),MAX(0,P231-IF($A279&gt;='1-Input'!$C$12,'1-Input'!$B$12,0))))*(1/(1-'P-Parametri'!$B$6*P279))),MAX(0,2*P231-(T278-MIN(MAX(T278,0),MAX(0,P231-IF($A279&gt;='1-Input'!$C$12,'1-Input'!$B$12,0)))))*(1/(1-'P-Parametri'!$B$6*P279))))</f>
        <v>0</v>
      </c>
      <c r="R279" s="18">
        <f>IF($A279&gt;'1-Input'!$B$26,T278,(T278-MAX(0,P231-IF($A279&gt;='1-Input'!$C$12,'1-Input'!$B$12,0))+Q279*(1-'P-Parametri'!$B$6*P279))*(1+'1-Input'!$B$27))</f>
        <v>0</v>
      </c>
      <c r="S279" s="18">
        <f>IF($A279&gt;'1-Input'!$B$26,U278,(U278-Q279)*(1+$B$4))</f>
        <v>-87.102825871849006</v>
      </c>
      <c r="T279" s="18">
        <f>IF($A279&gt;'1-Input'!$B$26,R279,R279-'P-Parametri'!$B$8*(S279+R279)+MIN(MAX(S279,0),'P-Parametri'!$B$8*(S279+R279)))</f>
        <v>0</v>
      </c>
      <c r="U279" s="18">
        <f>IF($A279&gt;'1-Input'!$B$26,S279,S279-MIN(MAX(S279,0),'P-Parametri'!$B$8*(S279+R279)))</f>
        <v>-87.102825871849006</v>
      </c>
      <c r="V279" s="18">
        <f>IF($A279&gt;'1-Input'!$B$26,V278,V278-Q279*(1-P279))</f>
        <v>-85.566059444230575</v>
      </c>
      <c r="W279" s="11">
        <f>IF($A279&gt;'1-Input'!$B$26,0,IF(AB278&lt;=0,0,MAX(0,(AB278-AC278)/AB278)))</f>
        <v>0</v>
      </c>
      <c r="X279" s="18">
        <f>IF($A279&gt;'1-Input'!$B$26,0,(MAX(0,W231-IF($A279&gt;='1-Input'!$C$12,'1-Input'!$B$12,0))-MIN(MAX(AA278,0),MAX(0,W231-IF($A279&gt;='1-Input'!$C$12,'1-Input'!$B$12,0))))*(1/(1-'P-Parametri'!$B$6*W279))+MIN(MAX(0,AB278-(MAX(0,W231-IF($A279&gt;='1-Input'!$C$12,'1-Input'!$B$12,0))-MIN(MAX(AA278,0),MAX(0,W231-IF($A279&gt;='1-Input'!$C$12,'1-Input'!$B$12,0))))*(1/(1-'P-Parametri'!$B$6*W279))),MAX(0,2*W231-(AA278-MIN(MAX(AA278,0),MAX(0,W231-IF($A279&gt;='1-Input'!$C$12,'1-Input'!$B$12,0)))))*(1/(1-'P-Parametri'!$B$6*W279))))</f>
        <v>0</v>
      </c>
      <c r="Y279" s="18">
        <f>IF($A279&gt;'1-Input'!$B$26,AA278,(AA278-MAX(0,W231-IF($A279&gt;='1-Input'!$C$12,'1-Input'!$B$12,0))+X279*(1-'P-Parametri'!$B$6*W279))*(1+'1-Input'!$B$27))</f>
        <v>0</v>
      </c>
      <c r="Z279" s="18">
        <f>IF($A279&gt;'1-Input'!$B$26,AB278,(AB278-X279)*(1+$B$4))</f>
        <v>-5.1344333409447787</v>
      </c>
      <c r="AA279" s="18">
        <f>IF($A279&gt;'1-Input'!$B$26,Y279,Y279-'P-Parametri'!$B$8*(Z279+Y279)+MIN(MAX(Z279,0),'P-Parametri'!$B$8*(Z279+Y279)))</f>
        <v>0</v>
      </c>
      <c r="AB279" s="18">
        <f>IF($A279&gt;'1-Input'!$B$26,Z279,Z279-MIN(MAX(Z279,0),'P-Parametri'!$B$8*(Z279+Y279)))</f>
        <v>-5.1344333409447787</v>
      </c>
      <c r="AC279" s="18">
        <f>IF($A279&gt;'1-Input'!$B$26,AC278,AC278-X279*(1-W279))</f>
        <v>-5.0438458691351116</v>
      </c>
      <c r="AD279" s="11">
        <f>IF($A279&gt;'1-Input'!$B$26,0,IF(AI278&lt;=0,0,MAX(0,(AI278-AJ278)/AI278)))</f>
        <v>0</v>
      </c>
      <c r="AE279" s="18">
        <f>IF($A279&gt;'1-Input'!$B$26,0,(MAX(0,AD231-IF($A279&gt;='1-Input'!$C$12,'1-Input'!$B$12,0))-MIN(MAX(AH278,0),MAX(0,AD231-IF($A279&gt;='1-Input'!$C$12,'1-Input'!$B$12,0))))*(1/(1-'P-Parametri'!$B$6*AD279))+MIN(MAX(0,AI278-(MAX(0,AD231-IF($A279&gt;='1-Input'!$C$12,'1-Input'!$B$12,0))-MIN(MAX(AH278,0),MAX(0,AD231-IF($A279&gt;='1-Input'!$C$12,'1-Input'!$B$12,0))))*(1/(1-'P-Parametri'!$B$6*AD279))),MAX(0,2*AD231-(AH278-MIN(MAX(AH278,0),MAX(0,AD231-IF($A279&gt;='1-Input'!$C$12,'1-Input'!$B$12,0)))))*(1/(1-'P-Parametri'!$B$6*AD279))))</f>
        <v>0</v>
      </c>
      <c r="AF279" s="18">
        <f>IF($A279&gt;'1-Input'!$B$26,AH278,(AH278-MAX(0,AD231-IF($A279&gt;='1-Input'!$C$12,'1-Input'!$B$12,0))+AE279*(1-'P-Parametri'!$B$6*AD279))*(1+'1-Input'!$B$27))</f>
        <v>2.8496225439703261E-6</v>
      </c>
      <c r="AG279" s="18">
        <f>IF($A279&gt;'1-Input'!$B$26,AI278,(AI278-AE279)*(1+$B$4))</f>
        <v>0</v>
      </c>
      <c r="AH279" s="18">
        <f>IF($A279&gt;'1-Input'!$B$26,AF279,AF279-'P-Parametri'!$B$8*(AG279+AF279)+MIN(MAX(AG279,0),'P-Parametri'!$B$8*(AG279+AF279)))</f>
        <v>2.8496225439703261E-6</v>
      </c>
      <c r="AI279" s="18">
        <f>IF($A279&gt;'1-Input'!$B$26,AG279,AG279-MIN(MAX(AG279,0),'P-Parametri'!$B$8*(AG279+AF279)))</f>
        <v>0</v>
      </c>
      <c r="AJ279" s="18">
        <f>IF($A279&gt;'1-Input'!$B$26,AJ278,AJ278-AE279*(1-AD279))</f>
        <v>5.6843418860808015E-14</v>
      </c>
      <c r="AK279" s="11">
        <f>IF($A279&gt;'1-Input'!$B$26,0,IF(AP278&lt;=0,0,MAX(0,(AP278-AQ278)/AP278)))</f>
        <v>0</v>
      </c>
      <c r="AL279" s="18">
        <f>IF($A279&gt;'1-Input'!$B$26,0,(MAX(0,AK231-IF($A279&gt;='1-Input'!$C$12,'1-Input'!$B$12,0))-MIN(MAX(AO278,0),MAX(0,AK231-IF($A279&gt;='1-Input'!$C$12,'1-Input'!$B$12,0))))*(1/(1-'P-Parametri'!$B$6*AK279))+MIN(MAX(0,AP278-(MAX(0,AK231-IF($A279&gt;='1-Input'!$C$12,'1-Input'!$B$12,0))-MIN(MAX(AO278,0),MAX(0,AK231-IF($A279&gt;='1-Input'!$C$12,'1-Input'!$B$12,0))))*(1/(1-'P-Parametri'!$B$6*AK279))),MAX(0,2*AK231-(AO278-MIN(MAX(AO278,0),MAX(0,AK231-IF($A279&gt;='1-Input'!$C$12,'1-Input'!$B$12,0)))))*(1/(1-'P-Parametri'!$B$6*AK279))))</f>
        <v>0</v>
      </c>
      <c r="AM279" s="18">
        <f>IF($A279&gt;'1-Input'!$B$26,AO278,(AO278-MAX(0,AK231-IF($A279&gt;='1-Input'!$C$12,'1-Input'!$B$12,0))+AL279*(1-'P-Parametri'!$B$6*AK279))*(1+'1-Input'!$B$27))</f>
        <v>6.6384457465755979E-8</v>
      </c>
      <c r="AN279" s="18">
        <f>IF($A279&gt;'1-Input'!$B$26,AP278,(AP278-AL279)*(1+$B$4))</f>
        <v>0</v>
      </c>
      <c r="AO279" s="18">
        <f>IF($A279&gt;'1-Input'!$B$26,AM279,AM279-'P-Parametri'!$B$8*(AN279+AM279)+MIN(MAX(AN279,0),'P-Parametri'!$B$8*(AN279+AM279)))</f>
        <v>6.6384457465755979E-8</v>
      </c>
      <c r="AP279" s="18">
        <f>IF($A279&gt;'1-Input'!$B$26,AN279,AN279-MIN(MAX(AN279,0),'P-Parametri'!$B$8*(AN279+AM279)))</f>
        <v>0</v>
      </c>
      <c r="AQ279" s="18">
        <f>IF($A279&gt;'1-Input'!$B$26,AQ278,AQ278-AL279*(1-AK279))</f>
        <v>0</v>
      </c>
    </row>
    <row r="280" spans="1:43">
      <c r="A280" s="10">
        <f>47</f>
        <v>47</v>
      </c>
      <c r="B280" s="11">
        <f>IF($A280&gt;'1-Input'!$B$26,0,IF(G279&lt;=0,0,MAX(0,(G279-H279)/G279)))</f>
        <v>0</v>
      </c>
      <c r="C280" s="18">
        <f>IF($A280&gt;'1-Input'!$B$26,0,(MAX(0,B231-IF($A280&gt;='1-Input'!$C$12,'1-Input'!$B$12,0))-MIN(MAX(F279,0),MAX(0,B231-IF($A280&gt;='1-Input'!$C$12,'1-Input'!$B$12,0))))*(1/(1-'P-Parametri'!$B$6*B280))+MIN(MAX(0,G279-(MAX(0,B231-IF($A280&gt;='1-Input'!$C$12,'1-Input'!$B$12,0))-MIN(MAX(F279,0),MAX(0,B231-IF($A280&gt;='1-Input'!$C$12,'1-Input'!$B$12,0))))*(1/(1-'P-Parametri'!$B$6*B280))),MAX(0,2*B231-(F279-MIN(MAX(F279,0),MAX(0,B231-IF($A280&gt;='1-Input'!$C$12,'1-Input'!$B$12,0)))))*(1/(1-'P-Parametri'!$B$6*B280))))</f>
        <v>0</v>
      </c>
      <c r="D280" s="18">
        <f>IF($A280&gt;'1-Input'!$B$26,F279,(F279-MAX(0,B231-IF($A280&gt;='1-Input'!$C$12,'1-Input'!$B$12,0))+C280*(1-'P-Parametri'!$B$6*B280))*(1+'1-Input'!$B$27))</f>
        <v>0</v>
      </c>
      <c r="E280" s="18">
        <f>IF($A280&gt;'1-Input'!$B$26,G279,(G279-C280)*(1+$B$4))</f>
        <v>-1496.3432423814907</v>
      </c>
      <c r="F280" s="18">
        <f>IF($A280&gt;'1-Input'!$B$26,D280,D280-'P-Parametri'!$B$8*(E280+D280)+MIN(MAX(E280,0),'P-Parametri'!$B$8*(E280+D280)))</f>
        <v>0</v>
      </c>
      <c r="G280" s="18">
        <f>IF($A280&gt;'1-Input'!$B$26,E280,E280-MIN(MAX(E280,0),'P-Parametri'!$B$8*(E280+D280)))</f>
        <v>-1496.3432423814907</v>
      </c>
      <c r="H280" s="18">
        <f>IF($A280&gt;'1-Input'!$B$26,H279,H279-C280*(1-B280))</f>
        <v>-1469.9430649352539</v>
      </c>
      <c r="I280" s="11">
        <f>IF($A280&gt;'1-Input'!$B$26,0,IF(N279&lt;=0,0,MAX(0,(N279-O279)/N279)))</f>
        <v>0</v>
      </c>
      <c r="J280" s="18">
        <f>IF($A280&gt;'1-Input'!$B$26,0,(MAX(0,I231-IF($A280&gt;='1-Input'!$C$12,'1-Input'!$B$12,0))-MIN(MAX(M279,0),MAX(0,I231-IF($A280&gt;='1-Input'!$C$12,'1-Input'!$B$12,0))))*(1/(1-'P-Parametri'!$B$6*I280))+MIN(MAX(0,N279-(MAX(0,I231-IF($A280&gt;='1-Input'!$C$12,'1-Input'!$B$12,0))-MIN(MAX(M279,0),MAX(0,I231-IF($A280&gt;='1-Input'!$C$12,'1-Input'!$B$12,0))))*(1/(1-'P-Parametri'!$B$6*I280))),MAX(0,2*I231-(M279-MIN(MAX(M279,0),MAX(0,I231-IF($A280&gt;='1-Input'!$C$12,'1-Input'!$B$12,0)))))*(1/(1-'P-Parametri'!$B$6*I280))))</f>
        <v>0</v>
      </c>
      <c r="K280" s="18">
        <f>IF($A280&gt;'1-Input'!$B$26,M279,(M279-MAX(0,I231-IF($A280&gt;='1-Input'!$C$12,'1-Input'!$B$12,0))+J280*(1-'P-Parametri'!$B$6*I280))*(1+'1-Input'!$B$27))</f>
        <v>0</v>
      </c>
      <c r="L280" s="18">
        <f>IF($A280&gt;'1-Input'!$B$26,N279,(N279-J280)*(1+$B$4))</f>
        <v>-342363.74757297244</v>
      </c>
      <c r="M280" s="18">
        <f>IF($A280&gt;'1-Input'!$B$26,K280,K280-'P-Parametri'!$B$8*(L280+K280)+MIN(MAX(L280,0),'P-Parametri'!$B$8*(L280+K280)))</f>
        <v>0</v>
      </c>
      <c r="N280" s="18">
        <f>IF($A280&gt;'1-Input'!$B$26,L280,L280-MIN(MAX(L280,0),'P-Parametri'!$B$8*(L280+K280)))</f>
        <v>-342363.74757297244</v>
      </c>
      <c r="O280" s="18">
        <f>IF($A280&gt;'1-Input'!$B$26,O279,O279-J280*(1-I280))</f>
        <v>-269907.08502904663</v>
      </c>
      <c r="P280" s="11">
        <f>IF($A280&gt;'1-Input'!$B$26,0,IF(U279&lt;=0,0,MAX(0,(U279-V279)/U279)))</f>
        <v>0</v>
      </c>
      <c r="Q280" s="18">
        <f>IF($A280&gt;'1-Input'!$B$26,0,(MAX(0,P231-IF($A280&gt;='1-Input'!$C$12,'1-Input'!$B$12,0))-MIN(MAX(T279,0),MAX(0,P231-IF($A280&gt;='1-Input'!$C$12,'1-Input'!$B$12,0))))*(1/(1-'P-Parametri'!$B$6*P280))+MIN(MAX(0,U279-(MAX(0,P231-IF($A280&gt;='1-Input'!$C$12,'1-Input'!$B$12,0))-MIN(MAX(T279,0),MAX(0,P231-IF($A280&gt;='1-Input'!$C$12,'1-Input'!$B$12,0))))*(1/(1-'P-Parametri'!$B$6*P280))),MAX(0,2*P231-(T279-MIN(MAX(T279,0),MAX(0,P231-IF($A280&gt;='1-Input'!$C$12,'1-Input'!$B$12,0)))))*(1/(1-'P-Parametri'!$B$6*P280))))</f>
        <v>0</v>
      </c>
      <c r="R280" s="18">
        <f>IF($A280&gt;'1-Input'!$B$26,T279,(T279-MAX(0,P231-IF($A280&gt;='1-Input'!$C$12,'1-Input'!$B$12,0))+Q280*(1-'P-Parametri'!$B$6*P280))*(1+'1-Input'!$B$27))</f>
        <v>0</v>
      </c>
      <c r="S280" s="18">
        <f>IF($A280&gt;'1-Input'!$B$26,U279,(U279-Q280)*(1+$B$4))</f>
        <v>-87.102825871849006</v>
      </c>
      <c r="T280" s="18">
        <f>IF($A280&gt;'1-Input'!$B$26,R280,R280-'P-Parametri'!$B$8*(S280+R280)+MIN(MAX(S280,0),'P-Parametri'!$B$8*(S280+R280)))</f>
        <v>0</v>
      </c>
      <c r="U280" s="18">
        <f>IF($A280&gt;'1-Input'!$B$26,S280,S280-MIN(MAX(S280,0),'P-Parametri'!$B$8*(S280+R280)))</f>
        <v>-87.102825871849006</v>
      </c>
      <c r="V280" s="18">
        <f>IF($A280&gt;'1-Input'!$B$26,V279,V279-Q280*(1-P280))</f>
        <v>-85.566059444230575</v>
      </c>
      <c r="W280" s="11">
        <f>IF($A280&gt;'1-Input'!$B$26,0,IF(AB279&lt;=0,0,MAX(0,(AB279-AC279)/AB279)))</f>
        <v>0</v>
      </c>
      <c r="X280" s="18">
        <f>IF($A280&gt;'1-Input'!$B$26,0,(MAX(0,W231-IF($A280&gt;='1-Input'!$C$12,'1-Input'!$B$12,0))-MIN(MAX(AA279,0),MAX(0,W231-IF($A280&gt;='1-Input'!$C$12,'1-Input'!$B$12,0))))*(1/(1-'P-Parametri'!$B$6*W280))+MIN(MAX(0,AB279-(MAX(0,W231-IF($A280&gt;='1-Input'!$C$12,'1-Input'!$B$12,0))-MIN(MAX(AA279,0),MAX(0,W231-IF($A280&gt;='1-Input'!$C$12,'1-Input'!$B$12,0))))*(1/(1-'P-Parametri'!$B$6*W280))),MAX(0,2*W231-(AA279-MIN(MAX(AA279,0),MAX(0,W231-IF($A280&gt;='1-Input'!$C$12,'1-Input'!$B$12,0)))))*(1/(1-'P-Parametri'!$B$6*W280))))</f>
        <v>0</v>
      </c>
      <c r="Y280" s="18">
        <f>IF($A280&gt;'1-Input'!$B$26,AA279,(AA279-MAX(0,W231-IF($A280&gt;='1-Input'!$C$12,'1-Input'!$B$12,0))+X280*(1-'P-Parametri'!$B$6*W280))*(1+'1-Input'!$B$27))</f>
        <v>0</v>
      </c>
      <c r="Z280" s="18">
        <f>IF($A280&gt;'1-Input'!$B$26,AB279,(AB279-X280)*(1+$B$4))</f>
        <v>-5.1344333409447787</v>
      </c>
      <c r="AA280" s="18">
        <f>IF($A280&gt;'1-Input'!$B$26,Y280,Y280-'P-Parametri'!$B$8*(Z280+Y280)+MIN(MAX(Z280,0),'P-Parametri'!$B$8*(Z280+Y280)))</f>
        <v>0</v>
      </c>
      <c r="AB280" s="18">
        <f>IF($A280&gt;'1-Input'!$B$26,Z280,Z280-MIN(MAX(Z280,0),'P-Parametri'!$B$8*(Z280+Y280)))</f>
        <v>-5.1344333409447787</v>
      </c>
      <c r="AC280" s="18">
        <f>IF($A280&gt;'1-Input'!$B$26,AC279,AC279-X280*(1-W280))</f>
        <v>-5.0438458691351116</v>
      </c>
      <c r="AD280" s="11">
        <f>IF($A280&gt;'1-Input'!$B$26,0,IF(AI279&lt;=0,0,MAX(0,(AI279-AJ279)/AI279)))</f>
        <v>0</v>
      </c>
      <c r="AE280" s="18">
        <f>IF($A280&gt;'1-Input'!$B$26,0,(MAX(0,AD231-IF($A280&gt;='1-Input'!$C$12,'1-Input'!$B$12,0))-MIN(MAX(AH279,0),MAX(0,AD231-IF($A280&gt;='1-Input'!$C$12,'1-Input'!$B$12,0))))*(1/(1-'P-Parametri'!$B$6*AD280))+MIN(MAX(0,AI279-(MAX(0,AD231-IF($A280&gt;='1-Input'!$C$12,'1-Input'!$B$12,0))-MIN(MAX(AH279,0),MAX(0,AD231-IF($A280&gt;='1-Input'!$C$12,'1-Input'!$B$12,0))))*(1/(1-'P-Parametri'!$B$6*AD280))),MAX(0,2*AD231-(AH279-MIN(MAX(AH279,0),MAX(0,AD231-IF($A280&gt;='1-Input'!$C$12,'1-Input'!$B$12,0)))))*(1/(1-'P-Parametri'!$B$6*AD280))))</f>
        <v>0</v>
      </c>
      <c r="AF280" s="18">
        <f>IF($A280&gt;'1-Input'!$B$26,AH279,(AH279-MAX(0,AD231-IF($A280&gt;='1-Input'!$C$12,'1-Input'!$B$12,0))+AE280*(1-'P-Parametri'!$B$6*AD280))*(1+'1-Input'!$B$27))</f>
        <v>2.8496225439703261E-6</v>
      </c>
      <c r="AG280" s="18">
        <f>IF($A280&gt;'1-Input'!$B$26,AI279,(AI279-AE280)*(1+$B$4))</f>
        <v>0</v>
      </c>
      <c r="AH280" s="18">
        <f>IF($A280&gt;'1-Input'!$B$26,AF280,AF280-'P-Parametri'!$B$8*(AG280+AF280)+MIN(MAX(AG280,0),'P-Parametri'!$B$8*(AG280+AF280)))</f>
        <v>2.8496225439703261E-6</v>
      </c>
      <c r="AI280" s="18">
        <f>IF($A280&gt;'1-Input'!$B$26,AG280,AG280-MIN(MAX(AG280,0),'P-Parametri'!$B$8*(AG280+AF280)))</f>
        <v>0</v>
      </c>
      <c r="AJ280" s="18">
        <f>IF($A280&gt;'1-Input'!$B$26,AJ279,AJ279-AE280*(1-AD280))</f>
        <v>5.6843418860808015E-14</v>
      </c>
      <c r="AK280" s="11">
        <f>IF($A280&gt;'1-Input'!$B$26,0,IF(AP279&lt;=0,0,MAX(0,(AP279-AQ279)/AP279)))</f>
        <v>0</v>
      </c>
      <c r="AL280" s="18">
        <f>IF($A280&gt;'1-Input'!$B$26,0,(MAX(0,AK231-IF($A280&gt;='1-Input'!$C$12,'1-Input'!$B$12,0))-MIN(MAX(AO279,0),MAX(0,AK231-IF($A280&gt;='1-Input'!$C$12,'1-Input'!$B$12,0))))*(1/(1-'P-Parametri'!$B$6*AK280))+MIN(MAX(0,AP279-(MAX(0,AK231-IF($A280&gt;='1-Input'!$C$12,'1-Input'!$B$12,0))-MIN(MAX(AO279,0),MAX(0,AK231-IF($A280&gt;='1-Input'!$C$12,'1-Input'!$B$12,0))))*(1/(1-'P-Parametri'!$B$6*AK280))),MAX(0,2*AK231-(AO279-MIN(MAX(AO279,0),MAX(0,AK231-IF($A280&gt;='1-Input'!$C$12,'1-Input'!$B$12,0)))))*(1/(1-'P-Parametri'!$B$6*AK280))))</f>
        <v>0</v>
      </c>
      <c r="AM280" s="18">
        <f>IF($A280&gt;'1-Input'!$B$26,AO279,(AO279-MAX(0,AK231-IF($A280&gt;='1-Input'!$C$12,'1-Input'!$B$12,0))+AL280*(1-'P-Parametri'!$B$6*AK280))*(1+'1-Input'!$B$27))</f>
        <v>6.6384457465755979E-8</v>
      </c>
      <c r="AN280" s="18">
        <f>IF($A280&gt;'1-Input'!$B$26,AP279,(AP279-AL280)*(1+$B$4))</f>
        <v>0</v>
      </c>
      <c r="AO280" s="18">
        <f>IF($A280&gt;'1-Input'!$B$26,AM280,AM280-'P-Parametri'!$B$8*(AN280+AM280)+MIN(MAX(AN280,0),'P-Parametri'!$B$8*(AN280+AM280)))</f>
        <v>6.6384457465755979E-8</v>
      </c>
      <c r="AP280" s="18">
        <f>IF($A280&gt;'1-Input'!$B$26,AN280,AN280-MIN(MAX(AN280,0),'P-Parametri'!$B$8*(AN280+AM280)))</f>
        <v>0</v>
      </c>
      <c r="AQ280" s="18">
        <f>IF($A280&gt;'1-Input'!$B$26,AQ279,AQ279-AL280*(1-AK280))</f>
        <v>0</v>
      </c>
    </row>
    <row r="281" spans="1:43">
      <c r="A281" s="10">
        <f>48</f>
        <v>48</v>
      </c>
      <c r="B281" s="11">
        <f>IF($A281&gt;'1-Input'!$B$26,0,IF(G280&lt;=0,0,MAX(0,(G280-H280)/G280)))</f>
        <v>0</v>
      </c>
      <c r="C281" s="18">
        <f>IF($A281&gt;'1-Input'!$B$26,0,(MAX(0,B231-IF($A281&gt;='1-Input'!$C$12,'1-Input'!$B$12,0))-MIN(MAX(F280,0),MAX(0,B231-IF($A281&gt;='1-Input'!$C$12,'1-Input'!$B$12,0))))*(1/(1-'P-Parametri'!$B$6*B281))+MIN(MAX(0,G280-(MAX(0,B231-IF($A281&gt;='1-Input'!$C$12,'1-Input'!$B$12,0))-MIN(MAX(F280,0),MAX(0,B231-IF($A281&gt;='1-Input'!$C$12,'1-Input'!$B$12,0))))*(1/(1-'P-Parametri'!$B$6*B281))),MAX(0,2*B231-(F280-MIN(MAX(F280,0),MAX(0,B231-IF($A281&gt;='1-Input'!$C$12,'1-Input'!$B$12,0)))))*(1/(1-'P-Parametri'!$B$6*B281))))</f>
        <v>0</v>
      </c>
      <c r="D281" s="18">
        <f>IF($A281&gt;'1-Input'!$B$26,F280,(F280-MAX(0,B231-IF($A281&gt;='1-Input'!$C$12,'1-Input'!$B$12,0))+C281*(1-'P-Parametri'!$B$6*B281))*(1+'1-Input'!$B$27))</f>
        <v>0</v>
      </c>
      <c r="E281" s="18">
        <f>IF($A281&gt;'1-Input'!$B$26,G280,(G280-C281)*(1+$B$4))</f>
        <v>-1496.3432423814907</v>
      </c>
      <c r="F281" s="18">
        <f>IF($A281&gt;'1-Input'!$B$26,D281,D281-'P-Parametri'!$B$8*(E281+D281)+MIN(MAX(E281,0),'P-Parametri'!$B$8*(E281+D281)))</f>
        <v>0</v>
      </c>
      <c r="G281" s="18">
        <f>IF($A281&gt;'1-Input'!$B$26,E281,E281-MIN(MAX(E281,0),'P-Parametri'!$B$8*(E281+D281)))</f>
        <v>-1496.3432423814907</v>
      </c>
      <c r="H281" s="18">
        <f>IF($A281&gt;'1-Input'!$B$26,H280,H280-C281*(1-B281))</f>
        <v>-1469.9430649352539</v>
      </c>
      <c r="I281" s="11">
        <f>IF($A281&gt;'1-Input'!$B$26,0,IF(N280&lt;=0,0,MAX(0,(N280-O280)/N280)))</f>
        <v>0</v>
      </c>
      <c r="J281" s="18">
        <f>IF($A281&gt;'1-Input'!$B$26,0,(MAX(0,I231-IF($A281&gt;='1-Input'!$C$12,'1-Input'!$B$12,0))-MIN(MAX(M280,0),MAX(0,I231-IF($A281&gt;='1-Input'!$C$12,'1-Input'!$B$12,0))))*(1/(1-'P-Parametri'!$B$6*I281))+MIN(MAX(0,N280-(MAX(0,I231-IF($A281&gt;='1-Input'!$C$12,'1-Input'!$B$12,0))-MIN(MAX(M280,0),MAX(0,I231-IF($A281&gt;='1-Input'!$C$12,'1-Input'!$B$12,0))))*(1/(1-'P-Parametri'!$B$6*I281))),MAX(0,2*I231-(M280-MIN(MAX(M280,0),MAX(0,I231-IF($A281&gt;='1-Input'!$C$12,'1-Input'!$B$12,0)))))*(1/(1-'P-Parametri'!$B$6*I281))))</f>
        <v>0</v>
      </c>
      <c r="K281" s="18">
        <f>IF($A281&gt;'1-Input'!$B$26,M280,(M280-MAX(0,I231-IF($A281&gt;='1-Input'!$C$12,'1-Input'!$B$12,0))+J281*(1-'P-Parametri'!$B$6*I281))*(1+'1-Input'!$B$27))</f>
        <v>0</v>
      </c>
      <c r="L281" s="18">
        <f>IF($A281&gt;'1-Input'!$B$26,N280,(N280-J281)*(1+$B$4))</f>
        <v>-342363.74757297244</v>
      </c>
      <c r="M281" s="18">
        <f>IF($A281&gt;'1-Input'!$B$26,K281,K281-'P-Parametri'!$B$8*(L281+K281)+MIN(MAX(L281,0),'P-Parametri'!$B$8*(L281+K281)))</f>
        <v>0</v>
      </c>
      <c r="N281" s="18">
        <f>IF($A281&gt;'1-Input'!$B$26,L281,L281-MIN(MAX(L281,0),'P-Parametri'!$B$8*(L281+K281)))</f>
        <v>-342363.74757297244</v>
      </c>
      <c r="O281" s="18">
        <f>IF($A281&gt;'1-Input'!$B$26,O280,O280-J281*(1-I281))</f>
        <v>-269907.08502904663</v>
      </c>
      <c r="P281" s="11">
        <f>IF($A281&gt;'1-Input'!$B$26,0,IF(U280&lt;=0,0,MAX(0,(U280-V280)/U280)))</f>
        <v>0</v>
      </c>
      <c r="Q281" s="18">
        <f>IF($A281&gt;'1-Input'!$B$26,0,(MAX(0,P231-IF($A281&gt;='1-Input'!$C$12,'1-Input'!$B$12,0))-MIN(MAX(T280,0),MAX(0,P231-IF($A281&gt;='1-Input'!$C$12,'1-Input'!$B$12,0))))*(1/(1-'P-Parametri'!$B$6*P281))+MIN(MAX(0,U280-(MAX(0,P231-IF($A281&gt;='1-Input'!$C$12,'1-Input'!$B$12,0))-MIN(MAX(T280,0),MAX(0,P231-IF($A281&gt;='1-Input'!$C$12,'1-Input'!$B$12,0))))*(1/(1-'P-Parametri'!$B$6*P281))),MAX(0,2*P231-(T280-MIN(MAX(T280,0),MAX(0,P231-IF($A281&gt;='1-Input'!$C$12,'1-Input'!$B$12,0)))))*(1/(1-'P-Parametri'!$B$6*P281))))</f>
        <v>0</v>
      </c>
      <c r="R281" s="18">
        <f>IF($A281&gt;'1-Input'!$B$26,T280,(T280-MAX(0,P231-IF($A281&gt;='1-Input'!$C$12,'1-Input'!$B$12,0))+Q281*(1-'P-Parametri'!$B$6*P281))*(1+'1-Input'!$B$27))</f>
        <v>0</v>
      </c>
      <c r="S281" s="18">
        <f>IF($A281&gt;'1-Input'!$B$26,U280,(U280-Q281)*(1+$B$4))</f>
        <v>-87.102825871849006</v>
      </c>
      <c r="T281" s="18">
        <f>IF($A281&gt;'1-Input'!$B$26,R281,R281-'P-Parametri'!$B$8*(S281+R281)+MIN(MAX(S281,0),'P-Parametri'!$B$8*(S281+R281)))</f>
        <v>0</v>
      </c>
      <c r="U281" s="18">
        <f>IF($A281&gt;'1-Input'!$B$26,S281,S281-MIN(MAX(S281,0),'P-Parametri'!$B$8*(S281+R281)))</f>
        <v>-87.102825871849006</v>
      </c>
      <c r="V281" s="18">
        <f>IF($A281&gt;'1-Input'!$B$26,V280,V280-Q281*(1-P281))</f>
        <v>-85.566059444230575</v>
      </c>
      <c r="W281" s="11">
        <f>IF($A281&gt;'1-Input'!$B$26,0,IF(AB280&lt;=0,0,MAX(0,(AB280-AC280)/AB280)))</f>
        <v>0</v>
      </c>
      <c r="X281" s="18">
        <f>IF($A281&gt;'1-Input'!$B$26,0,(MAX(0,W231-IF($A281&gt;='1-Input'!$C$12,'1-Input'!$B$12,0))-MIN(MAX(AA280,0),MAX(0,W231-IF($A281&gt;='1-Input'!$C$12,'1-Input'!$B$12,0))))*(1/(1-'P-Parametri'!$B$6*W281))+MIN(MAX(0,AB280-(MAX(0,W231-IF($A281&gt;='1-Input'!$C$12,'1-Input'!$B$12,0))-MIN(MAX(AA280,0),MAX(0,W231-IF($A281&gt;='1-Input'!$C$12,'1-Input'!$B$12,0))))*(1/(1-'P-Parametri'!$B$6*W281))),MAX(0,2*W231-(AA280-MIN(MAX(AA280,0),MAX(0,W231-IF($A281&gt;='1-Input'!$C$12,'1-Input'!$B$12,0)))))*(1/(1-'P-Parametri'!$B$6*W281))))</f>
        <v>0</v>
      </c>
      <c r="Y281" s="18">
        <f>IF($A281&gt;'1-Input'!$B$26,AA280,(AA280-MAX(0,W231-IF($A281&gt;='1-Input'!$C$12,'1-Input'!$B$12,0))+X281*(1-'P-Parametri'!$B$6*W281))*(1+'1-Input'!$B$27))</f>
        <v>0</v>
      </c>
      <c r="Z281" s="18">
        <f>IF($A281&gt;'1-Input'!$B$26,AB280,(AB280-X281)*(1+$B$4))</f>
        <v>-5.1344333409447787</v>
      </c>
      <c r="AA281" s="18">
        <f>IF($A281&gt;'1-Input'!$B$26,Y281,Y281-'P-Parametri'!$B$8*(Z281+Y281)+MIN(MAX(Z281,0),'P-Parametri'!$B$8*(Z281+Y281)))</f>
        <v>0</v>
      </c>
      <c r="AB281" s="18">
        <f>IF($A281&gt;'1-Input'!$B$26,Z281,Z281-MIN(MAX(Z281,0),'P-Parametri'!$B$8*(Z281+Y281)))</f>
        <v>-5.1344333409447787</v>
      </c>
      <c r="AC281" s="18">
        <f>IF($A281&gt;'1-Input'!$B$26,AC280,AC280-X281*(1-W281))</f>
        <v>-5.0438458691351116</v>
      </c>
      <c r="AD281" s="11">
        <f>IF($A281&gt;'1-Input'!$B$26,0,IF(AI280&lt;=0,0,MAX(0,(AI280-AJ280)/AI280)))</f>
        <v>0</v>
      </c>
      <c r="AE281" s="18">
        <f>IF($A281&gt;'1-Input'!$B$26,0,(MAX(0,AD231-IF($A281&gt;='1-Input'!$C$12,'1-Input'!$B$12,0))-MIN(MAX(AH280,0),MAX(0,AD231-IF($A281&gt;='1-Input'!$C$12,'1-Input'!$B$12,0))))*(1/(1-'P-Parametri'!$B$6*AD281))+MIN(MAX(0,AI280-(MAX(0,AD231-IF($A281&gt;='1-Input'!$C$12,'1-Input'!$B$12,0))-MIN(MAX(AH280,0),MAX(0,AD231-IF($A281&gt;='1-Input'!$C$12,'1-Input'!$B$12,0))))*(1/(1-'P-Parametri'!$B$6*AD281))),MAX(0,2*AD231-(AH280-MIN(MAX(AH280,0),MAX(0,AD231-IF($A281&gt;='1-Input'!$C$12,'1-Input'!$B$12,0)))))*(1/(1-'P-Parametri'!$B$6*AD281))))</f>
        <v>0</v>
      </c>
      <c r="AF281" s="18">
        <f>IF($A281&gt;'1-Input'!$B$26,AH280,(AH280-MAX(0,AD231-IF($A281&gt;='1-Input'!$C$12,'1-Input'!$B$12,0))+AE281*(1-'P-Parametri'!$B$6*AD281))*(1+'1-Input'!$B$27))</f>
        <v>2.8496225439703261E-6</v>
      </c>
      <c r="AG281" s="18">
        <f>IF($A281&gt;'1-Input'!$B$26,AI280,(AI280-AE281)*(1+$B$4))</f>
        <v>0</v>
      </c>
      <c r="AH281" s="18">
        <f>IF($A281&gt;'1-Input'!$B$26,AF281,AF281-'P-Parametri'!$B$8*(AG281+AF281)+MIN(MAX(AG281,0),'P-Parametri'!$B$8*(AG281+AF281)))</f>
        <v>2.8496225439703261E-6</v>
      </c>
      <c r="AI281" s="18">
        <f>IF($A281&gt;'1-Input'!$B$26,AG281,AG281-MIN(MAX(AG281,0),'P-Parametri'!$B$8*(AG281+AF281)))</f>
        <v>0</v>
      </c>
      <c r="AJ281" s="18">
        <f>IF($A281&gt;'1-Input'!$B$26,AJ280,AJ280-AE281*(1-AD281))</f>
        <v>5.6843418860808015E-14</v>
      </c>
      <c r="AK281" s="11">
        <f>IF($A281&gt;'1-Input'!$B$26,0,IF(AP280&lt;=0,0,MAX(0,(AP280-AQ280)/AP280)))</f>
        <v>0</v>
      </c>
      <c r="AL281" s="18">
        <f>IF($A281&gt;'1-Input'!$B$26,0,(MAX(0,AK231-IF($A281&gt;='1-Input'!$C$12,'1-Input'!$B$12,0))-MIN(MAX(AO280,0),MAX(0,AK231-IF($A281&gt;='1-Input'!$C$12,'1-Input'!$B$12,0))))*(1/(1-'P-Parametri'!$B$6*AK281))+MIN(MAX(0,AP280-(MAX(0,AK231-IF($A281&gt;='1-Input'!$C$12,'1-Input'!$B$12,0))-MIN(MAX(AO280,0),MAX(0,AK231-IF($A281&gt;='1-Input'!$C$12,'1-Input'!$B$12,0))))*(1/(1-'P-Parametri'!$B$6*AK281))),MAX(0,2*AK231-(AO280-MIN(MAX(AO280,0),MAX(0,AK231-IF($A281&gt;='1-Input'!$C$12,'1-Input'!$B$12,0)))))*(1/(1-'P-Parametri'!$B$6*AK281))))</f>
        <v>0</v>
      </c>
      <c r="AM281" s="18">
        <f>IF($A281&gt;'1-Input'!$B$26,AO280,(AO280-MAX(0,AK231-IF($A281&gt;='1-Input'!$C$12,'1-Input'!$B$12,0))+AL281*(1-'P-Parametri'!$B$6*AK281))*(1+'1-Input'!$B$27))</f>
        <v>6.6384457465755979E-8</v>
      </c>
      <c r="AN281" s="18">
        <f>IF($A281&gt;'1-Input'!$B$26,AP280,(AP280-AL281)*(1+$B$4))</f>
        <v>0</v>
      </c>
      <c r="AO281" s="18">
        <f>IF($A281&gt;'1-Input'!$B$26,AM281,AM281-'P-Parametri'!$B$8*(AN281+AM281)+MIN(MAX(AN281,0),'P-Parametri'!$B$8*(AN281+AM281)))</f>
        <v>6.6384457465755979E-8</v>
      </c>
      <c r="AP281" s="18">
        <f>IF($A281&gt;'1-Input'!$B$26,AN281,AN281-MIN(MAX(AN281,0),'P-Parametri'!$B$8*(AN281+AM281)))</f>
        <v>0</v>
      </c>
      <c r="AQ281" s="18">
        <f>IF($A281&gt;'1-Input'!$B$26,AQ280,AQ280-AL281*(1-AK281))</f>
        <v>0</v>
      </c>
    </row>
    <row r="282" spans="1:43">
      <c r="A282" s="4" t="s">
        <v>365</v>
      </c>
      <c r="B282" s="18">
        <f>F281+G281</f>
        <v>-1496.3432423814907</v>
      </c>
      <c r="I282" s="18">
        <f>M281+N281</f>
        <v>-342363.74757297244</v>
      </c>
      <c r="P282" s="18">
        <f>T281+U281</f>
        <v>-87.102825871849006</v>
      </c>
      <c r="W282" s="18">
        <f>AA281+AB281</f>
        <v>-5.1344333409447787</v>
      </c>
      <c r="AD282" s="18">
        <f>AH281+AI281</f>
        <v>2.8496225439703261E-6</v>
      </c>
      <c r="AK282" s="18">
        <f>AO281+AP281</f>
        <v>6.6384457465755979E-8</v>
      </c>
    </row>
    <row r="283" spans="1:43">
      <c r="A283" s="5" t="s">
        <v>266</v>
      </c>
      <c r="B283" s="18">
        <f>IFERROR(AK231-AK282*(AK231-AD231)/(AK282-AD282),AK231)</f>
        <v>16656.500351873474</v>
      </c>
    </row>
    <row r="285" spans="1:43">
      <c r="A285" s="2" t="s">
        <v>368</v>
      </c>
    </row>
    <row r="286" spans="1:43">
      <c r="A286" s="4" t="s">
        <v>360</v>
      </c>
      <c r="B286" s="9">
        <f>0.038*'2-Caso'!$B$12</f>
        <v>16681.055314625803</v>
      </c>
      <c r="I286" s="9">
        <f>0.05*'2-Caso'!$B$12</f>
        <v>21948.756992928691</v>
      </c>
      <c r="P286" s="18">
        <f>IFERROR(I286-I337*(I286-B286)/(I337-B337),I286)</f>
        <v>16438.991807476574</v>
      </c>
      <c r="W286" s="18">
        <f>IFERROR(P286-P337*(P286-I286)/(P337-I337),P286)</f>
        <v>16414.935725223666</v>
      </c>
      <c r="AD286" s="18">
        <f>IFERROR(W286-W337*(W286-P286)/(W337-P337),W286)</f>
        <v>16412.12401417135</v>
      </c>
      <c r="AK286" s="18">
        <f>IFERROR(AD286-AD337*(AD286-W286)/(AD337-W337),AD286)</f>
        <v>16412.124034003915</v>
      </c>
    </row>
    <row r="287" spans="1:43" ht="45">
      <c r="A287" s="25" t="s">
        <v>262</v>
      </c>
      <c r="B287" s="25" t="s">
        <v>361</v>
      </c>
      <c r="C287" s="25" t="s">
        <v>263</v>
      </c>
      <c r="D287" s="25" t="s">
        <v>362</v>
      </c>
      <c r="E287" s="25" t="s">
        <v>363</v>
      </c>
      <c r="F287" s="25" t="s">
        <v>264</v>
      </c>
      <c r="G287" s="25" t="s">
        <v>265</v>
      </c>
      <c r="H287" s="25" t="s">
        <v>364</v>
      </c>
      <c r="I287" s="25" t="s">
        <v>361</v>
      </c>
      <c r="J287" s="25" t="s">
        <v>263</v>
      </c>
      <c r="K287" s="25" t="s">
        <v>362</v>
      </c>
      <c r="L287" s="25" t="s">
        <v>363</v>
      </c>
      <c r="M287" s="25" t="s">
        <v>264</v>
      </c>
      <c r="N287" s="25" t="s">
        <v>265</v>
      </c>
      <c r="O287" s="25" t="s">
        <v>364</v>
      </c>
      <c r="P287" s="25" t="s">
        <v>361</v>
      </c>
      <c r="Q287" s="25" t="s">
        <v>263</v>
      </c>
      <c r="R287" s="25" t="s">
        <v>362</v>
      </c>
      <c r="S287" s="25" t="s">
        <v>363</v>
      </c>
      <c r="T287" s="25" t="s">
        <v>264</v>
      </c>
      <c r="U287" s="25" t="s">
        <v>265</v>
      </c>
      <c r="V287" s="25" t="s">
        <v>364</v>
      </c>
      <c r="W287" s="25" t="s">
        <v>361</v>
      </c>
      <c r="X287" s="25" t="s">
        <v>263</v>
      </c>
      <c r="Y287" s="25" t="s">
        <v>362</v>
      </c>
      <c r="Z287" s="25" t="s">
        <v>363</v>
      </c>
      <c r="AA287" s="25" t="s">
        <v>264</v>
      </c>
      <c r="AB287" s="25" t="s">
        <v>265</v>
      </c>
      <c r="AC287" s="25" t="s">
        <v>364</v>
      </c>
      <c r="AD287" s="25" t="s">
        <v>361</v>
      </c>
      <c r="AE287" s="25" t="s">
        <v>263</v>
      </c>
      <c r="AF287" s="25" t="s">
        <v>362</v>
      </c>
      <c r="AG287" s="25" t="s">
        <v>363</v>
      </c>
      <c r="AH287" s="25" t="s">
        <v>264</v>
      </c>
      <c r="AI287" s="25" t="s">
        <v>265</v>
      </c>
      <c r="AJ287" s="25" t="s">
        <v>364</v>
      </c>
      <c r="AK287" s="25" t="s">
        <v>361</v>
      </c>
      <c r="AL287" s="25" t="s">
        <v>263</v>
      </c>
      <c r="AM287" s="25" t="s">
        <v>362</v>
      </c>
      <c r="AN287" s="25" t="s">
        <v>363</v>
      </c>
      <c r="AO287" s="25" t="s">
        <v>264</v>
      </c>
      <c r="AP287" s="25" t="s">
        <v>265</v>
      </c>
      <c r="AQ287" s="25" t="s">
        <v>364</v>
      </c>
    </row>
    <row r="288" spans="1:43">
      <c r="A288" s="3">
        <v>0</v>
      </c>
      <c r="F288" s="18">
        <f>MIN(3*B286,'2-Caso'!$B$12)</f>
        <v>50043.165943877408</v>
      </c>
      <c r="G288" s="18">
        <f>'2-Caso'!$B$12-F288</f>
        <v>388931.97391469637</v>
      </c>
      <c r="H288" s="18">
        <f>'2-Caso'!$B$13*G288/'2-Caso'!$B$12</f>
        <v>304784</v>
      </c>
      <c r="M288" s="18">
        <f>MIN(3*I286,'2-Caso'!$B$12)</f>
        <v>65846.27097878608</v>
      </c>
      <c r="N288" s="18">
        <f>'2-Caso'!$B$12-M288</f>
        <v>373128.86887978774</v>
      </c>
      <c r="O288" s="18">
        <f>'2-Caso'!$B$13*N288/'2-Caso'!$B$12</f>
        <v>292400</v>
      </c>
      <c r="T288" s="18">
        <f>MIN(3*P286,'2-Caso'!$B$12)</f>
        <v>49316.975422429721</v>
      </c>
      <c r="U288" s="18">
        <f>'2-Caso'!$B$12-T288</f>
        <v>389658.16443614406</v>
      </c>
      <c r="V288" s="18">
        <f>'2-Caso'!$B$13*U288/'2-Caso'!$B$12</f>
        <v>305353.07445706031</v>
      </c>
      <c r="AA288" s="18">
        <f>MIN(3*W286,'2-Caso'!$B$12)</f>
        <v>49244.807175670998</v>
      </c>
      <c r="AB288" s="18">
        <f>'2-Caso'!$B$12-AA288</f>
        <v>389730.33268290281</v>
      </c>
      <c r="AC288" s="18">
        <f>'2-Caso'!$B$13*AB288/'2-Caso'!$B$12</f>
        <v>305409.62863207125</v>
      </c>
      <c r="AH288" s="18">
        <f>MIN(3*AD286,'2-Caso'!$B$12)</f>
        <v>49236.372042514049</v>
      </c>
      <c r="AI288" s="18">
        <f>'2-Caso'!$B$12-AH288</f>
        <v>389738.76781605976</v>
      </c>
      <c r="AJ288" s="18">
        <f>'2-Caso'!$B$13*AI288/'2-Caso'!$B$12</f>
        <v>305416.2387690529</v>
      </c>
      <c r="AO288" s="18">
        <f>MIN(3*AK286,'2-Caso'!$B$12)</f>
        <v>49236.372102011745</v>
      </c>
      <c r="AP288" s="18">
        <f>'2-Caso'!$B$12-AO288</f>
        <v>389738.76775656204</v>
      </c>
      <c r="AQ288" s="18">
        <f>'2-Caso'!$B$13*AP288/'2-Caso'!$B$12</f>
        <v>305416.23872242786</v>
      </c>
    </row>
    <row r="289" spans="1:43">
      <c r="A289" s="10">
        <f>1</f>
        <v>1</v>
      </c>
      <c r="B289" s="11">
        <f>IF($A289&gt;'1-Input'!$B$26,0,IF(G288&lt;=0,0,MAX(0,(G288-H288)/G288)))</f>
        <v>0.21635653419729478</v>
      </c>
      <c r="C289" s="18">
        <f>IF($A289&gt;'1-Input'!$B$26,0,(MAX(0,B286-IF($A289&gt;='1-Input'!$C$12,'1-Input'!$B$12,0))-MIN(MAX(F288,0),MAX(0,B286-IF($A289&gt;='1-Input'!$C$12,'1-Input'!$B$12,0))))*(1/(1-'P-Parametri'!$B$6*B289))+MIN(MAX(0,G288-(MAX(0,B286-IF($A289&gt;='1-Input'!$C$12,'1-Input'!$B$12,0))-MIN(MAX(F288,0),MAX(0,B286-IF($A289&gt;='1-Input'!$C$12,'1-Input'!$B$12,0))))*(1/(1-'P-Parametri'!$B$6*B289))),MAX(0,3*B286-(F288-MIN(MAX(F288,0),MAX(0,B286-IF($A289&gt;='1-Input'!$C$12,'1-Input'!$B$12,0)))))*(1/(1-'P-Parametri'!$B$6*B289))))</f>
        <v>17675.340946701614</v>
      </c>
      <c r="D289" s="18">
        <f>IF($A289&gt;'1-Input'!$B$26,F288,(F288-MAX(0,B286-IF($A289&gt;='1-Input'!$C$12,'1-Input'!$B$12,0))+C289*(1-'P-Parametri'!$B$6*B289))*(1+'1-Input'!$B$27))</f>
        <v>49863.010546479447</v>
      </c>
      <c r="E289" s="18">
        <f>IF($A289&gt;'1-Input'!$B$26,G288,(G288-C289)*(1+$B$4))</f>
        <v>378681.76562735467</v>
      </c>
      <c r="F289" s="18">
        <f>IF($A289&gt;'1-Input'!$B$26,D289,D289-'P-Parametri'!$B$8*(E289+D289)+MIN(MAX(E289,0),'P-Parametri'!$B$8*(E289+D289)))</f>
        <v>49863.010546479447</v>
      </c>
      <c r="G289" s="18">
        <f>IF($A289&gt;'1-Input'!$B$26,E289,E289-MIN(MAX(E289,0),'P-Parametri'!$B$8*(E289+D289)))</f>
        <v>377824.67607500701</v>
      </c>
      <c r="H289" s="18">
        <f>IF($A289&gt;'1-Input'!$B$26,H288,H288-C289*(1-B289))</f>
        <v>290932.8345612823</v>
      </c>
      <c r="I289" s="11">
        <f>IF($A289&gt;'1-Input'!$B$26,0,IF(N288&lt;=0,0,MAX(0,(N288-O288)/N288)))</f>
        <v>0.21635653419729484</v>
      </c>
      <c r="J289" s="18">
        <f>IF($A289&gt;'1-Input'!$B$26,0,(MAX(0,I286-IF($A289&gt;='1-Input'!$C$12,'1-Input'!$B$12,0))-MIN(MAX(M288,0),MAX(0,I286-IF($A289&gt;='1-Input'!$C$12,'1-Input'!$B$12,0))))*(1/(1-'P-Parametri'!$B$6*I289))+MIN(MAX(0,N288-(MAX(0,I286-IF($A289&gt;='1-Input'!$C$12,'1-Input'!$B$12,0))-MIN(MAX(M288,0),MAX(0,I286-IF($A289&gt;='1-Input'!$C$12,'1-Input'!$B$12,0))))*(1/(1-'P-Parametri'!$B$6*I289))),MAX(0,3*I286-(M288-MIN(MAX(M288,0),MAX(0,I286-IF($A289&gt;='1-Input'!$C$12,'1-Input'!$B$12,0)))))*(1/(1-'P-Parametri'!$B$6*I289))))</f>
        <v>23257.027561449497</v>
      </c>
      <c r="K289" s="18">
        <f>IF($A289&gt;'1-Input'!$B$26,M288,(M288-MAX(0,I286-IF($A289&gt;='1-Input'!$C$12,'1-Input'!$B$12,0))+J289*(1-'P-Parametri'!$B$6*I289))*(1+'1-Input'!$B$27))</f>
        <v>65609.224403262444</v>
      </c>
      <c r="L289" s="18">
        <f>IF($A289&gt;'1-Input'!$B$26,N288,(N288-J289)*(1+$B$4))</f>
        <v>356869.27814470499</v>
      </c>
      <c r="M289" s="18">
        <f>IF($A289&gt;'1-Input'!$B$26,K289,K289-'P-Parametri'!$B$8*(L289+K289)+MIN(MAX(L289,0),'P-Parametri'!$B$8*(L289+K289)))</f>
        <v>65609.224403262444</v>
      </c>
      <c r="N289" s="18">
        <f>IF($A289&gt;'1-Input'!$B$26,L289,L289-MIN(MAX(L289,0),'P-Parametri'!$B$8*(L289+K289)))</f>
        <v>356024.32113960903</v>
      </c>
      <c r="O289" s="18">
        <f>IF($A289&gt;'1-Input'!$B$26,O288,O288-J289*(1-I289))</f>
        <v>274174.7823174767</v>
      </c>
      <c r="P289" s="11">
        <f>IF($A289&gt;'1-Input'!$B$26,0,IF(U288&lt;=0,0,MAX(0,(U288-V288)/U288)))</f>
        <v>0.21635653419729486</v>
      </c>
      <c r="Q289" s="18">
        <f>IF($A289&gt;'1-Input'!$B$26,0,(MAX(0,P286-IF($A289&gt;='1-Input'!$C$12,'1-Input'!$B$12,0))-MIN(MAX(T288,0),MAX(0,P286-IF($A289&gt;='1-Input'!$C$12,'1-Input'!$B$12,0))))*(1/(1-'P-Parametri'!$B$6*P289))+MIN(MAX(0,U288-(MAX(0,P286-IF($A289&gt;='1-Input'!$C$12,'1-Input'!$B$12,0))-MIN(MAX(T288,0),MAX(0,P286-IF($A289&gt;='1-Input'!$C$12,'1-Input'!$B$12,0))))*(1/(1-'P-Parametri'!$B$6*P289))),MAX(0,3*P286-(T288-MIN(MAX(T288,0),MAX(0,P286-IF($A289&gt;='1-Input'!$C$12,'1-Input'!$B$12,0)))))*(1/(1-'P-Parametri'!$B$6*P289))))</f>
        <v>17418.849079795236</v>
      </c>
      <c r="R289" s="18">
        <f>IF($A289&gt;'1-Input'!$B$26,T288,(T288-MAX(0,P286-IF($A289&gt;='1-Input'!$C$12,'1-Input'!$B$12,0))+Q289*(1-'P-Parametri'!$B$6*P289))*(1+'1-Input'!$B$27))</f>
        <v>49139.434310908975</v>
      </c>
      <c r="S289" s="18">
        <f>IF($A289&gt;'1-Input'!$B$26,U288,(U288-Q289)*(1+$B$4))</f>
        <v>379684.1016634758</v>
      </c>
      <c r="T289" s="18">
        <f>IF($A289&gt;'1-Input'!$B$26,R289,R289-'P-Parametri'!$B$8*(S289+R289)+MIN(MAX(S289,0),'P-Parametri'!$B$8*(S289+R289)))</f>
        <v>49139.434310908975</v>
      </c>
      <c r="U289" s="18">
        <f>IF($A289&gt;'1-Input'!$B$26,S289,S289-MIN(MAX(S289,0),'P-Parametri'!$B$8*(S289+R289)))</f>
        <v>378826.45459152706</v>
      </c>
      <c r="V289" s="18">
        <f>IF($A289&gt;'1-Input'!$B$26,V288,V288-Q289*(1-P289))</f>
        <v>291702.90719387529</v>
      </c>
      <c r="W289" s="11">
        <f>IF($A289&gt;'1-Input'!$B$26,0,IF(AB288&lt;=0,0,MAX(0,(AB288-AC288)/AB288)))</f>
        <v>0.21635653419729484</v>
      </c>
      <c r="X289" s="18">
        <f>IF($A289&gt;'1-Input'!$B$26,0,(MAX(0,W286-IF($A289&gt;='1-Input'!$C$12,'1-Input'!$B$12,0))-MIN(MAX(AA288,0),MAX(0,W286-IF($A289&gt;='1-Input'!$C$12,'1-Input'!$B$12,0))))*(1/(1-'P-Parametri'!$B$6*W289))+MIN(MAX(0,AB288-(MAX(0,W286-IF($A289&gt;='1-Input'!$C$12,'1-Input'!$B$12,0))-MIN(MAX(AA288,0),MAX(0,W286-IF($A289&gt;='1-Input'!$C$12,'1-Input'!$B$12,0))))*(1/(1-'P-Parametri'!$B$6*W289))),MAX(0,3*W286-(AA288-MIN(MAX(AA288,0),MAX(0,W286-IF($A289&gt;='1-Input'!$C$12,'1-Input'!$B$12,0)))))*(1/(1-'P-Parametri'!$B$6*W289))))</f>
        <v>17393.359118420354</v>
      </c>
      <c r="Y289" s="18">
        <f>IF($A289&gt;'1-Input'!$B$26,AA288,(AA288-MAX(0,W286-IF($A289&gt;='1-Input'!$C$12,'1-Input'!$B$12,0))+X289*(1-'P-Parametri'!$B$6*W289))*(1+'1-Input'!$B$27))</f>
        <v>49067.525869838581</v>
      </c>
      <c r="Z289" s="18">
        <f>IF($A289&gt;'1-Input'!$B$26,AB288,(AB288-X289)*(1+$B$4))</f>
        <v>379783.71303577215</v>
      </c>
      <c r="AA289" s="18">
        <f>IF($A289&gt;'1-Input'!$B$26,Y289,Y289-'P-Parametri'!$B$8*(Z289+Y289)+MIN(MAX(Z289,0),'P-Parametri'!$B$8*(Z289+Y289)))</f>
        <v>49067.525869838581</v>
      </c>
      <c r="AB289" s="18">
        <f>IF($A289&gt;'1-Input'!$B$26,Z289,Z289-MIN(MAX(Z289,0),'P-Parametri'!$B$8*(Z289+Y289)))</f>
        <v>378926.01055796095</v>
      </c>
      <c r="AC289" s="18">
        <f>IF($A289&gt;'1-Input'!$B$26,AC288,AC288-X289*(1-W289))</f>
        <v>291779.43641056126</v>
      </c>
      <c r="AD289" s="11">
        <f>IF($A289&gt;'1-Input'!$B$26,0,IF(AI288&lt;=0,0,MAX(0,(AI288-AJ288)/AI288)))</f>
        <v>0.21635653419729475</v>
      </c>
      <c r="AE289" s="18">
        <f>IF($A289&gt;'1-Input'!$B$26,0,(MAX(0,AD286-IF($A289&gt;='1-Input'!$C$12,'1-Input'!$B$12,0))-MIN(MAX(AH288,0),MAX(0,AD286-IF($A289&gt;='1-Input'!$C$12,'1-Input'!$B$12,0))))*(1/(1-'P-Parametri'!$B$6*AD289))+MIN(MAX(0,AI288-(MAX(0,AD286-IF($A289&gt;='1-Input'!$C$12,'1-Input'!$B$12,0))-MIN(MAX(AH288,0),MAX(0,AD286-IF($A289&gt;='1-Input'!$C$12,'1-Input'!$B$12,0))))*(1/(1-'P-Parametri'!$B$6*AD289))),MAX(0,3*AD286-(AH288-MIN(MAX(AH288,0),MAX(0,AD286-IF($A289&gt;='1-Input'!$C$12,'1-Input'!$B$12,0)))))*(1/(1-'P-Parametri'!$B$6*AD289))))</f>
        <v>17390.379813421005</v>
      </c>
      <c r="AF289" s="18">
        <f>IF($A289&gt;'1-Input'!$B$26,AH288,(AH288-MAX(0,AD286-IF($A289&gt;='1-Input'!$C$12,'1-Input'!$B$12,0))+AE289*(1-'P-Parametri'!$B$6*AD289))*(1+'1-Input'!$B$27))</f>
        <v>49059.121103160993</v>
      </c>
      <c r="AG289" s="18">
        <f>IF($A289&gt;'1-Input'!$B$26,AI288,(AI288-AE289)*(1+$B$4))</f>
        <v>379795.35576269153</v>
      </c>
      <c r="AH289" s="18">
        <f>IF($A289&gt;'1-Input'!$B$26,AF289,AF289-'P-Parametri'!$B$8*(AG289+AF289)+MIN(MAX(AG289,0),'P-Parametri'!$B$8*(AG289+AF289)))</f>
        <v>49059.121103160993</v>
      </c>
      <c r="AI289" s="18">
        <f>IF($A289&gt;'1-Input'!$B$26,AG289,AG289-MIN(MAX(AG289,0),'P-Parametri'!$B$8*(AG289+AF289)))</f>
        <v>378937.64680895983</v>
      </c>
      <c r="AJ289" s="18">
        <f>IF($A289&gt;'1-Input'!$B$26,AJ288,AJ288-AE289*(1-AD289))</f>
        <v>291788.38126043824</v>
      </c>
      <c r="AK289" s="11">
        <f>IF($A289&gt;'1-Input'!$B$26,0,IF(AP288&lt;=0,0,MAX(0,(AP288-AQ288)/AP288)))</f>
        <v>0.21635653419729486</v>
      </c>
      <c r="AL289" s="18">
        <f>IF($A289&gt;'1-Input'!$B$26,0,(MAX(0,AK286-IF($A289&gt;='1-Input'!$C$12,'1-Input'!$B$12,0))-MIN(MAX(AO288,0),MAX(0,AK286-IF($A289&gt;='1-Input'!$C$12,'1-Input'!$B$12,0))))*(1/(1-'P-Parametri'!$B$6*AK289))+MIN(MAX(0,AP288-(MAX(0,AK286-IF($A289&gt;='1-Input'!$C$12,'1-Input'!$B$12,0))-MIN(MAX(AO288,0),MAX(0,AK286-IF($A289&gt;='1-Input'!$C$12,'1-Input'!$B$12,0))))*(1/(1-'P-Parametri'!$B$6*AK289))),MAX(0,3*AK286-(AO288-MIN(MAX(AO288,0),MAX(0,AK286-IF($A289&gt;='1-Input'!$C$12,'1-Input'!$B$12,0)))))*(1/(1-'P-Parametri'!$B$6*AK289))))</f>
        <v>17390.379834435706</v>
      </c>
      <c r="AM289" s="18">
        <f>IF($A289&gt;'1-Input'!$B$26,AO288,(AO288-MAX(0,AK286-IF($A289&gt;='1-Input'!$C$12,'1-Input'!$B$12,0))+AL289*(1-'P-Parametri'!$B$6*AK289))*(1+'1-Input'!$B$27))</f>
        <v>49059.121162444499</v>
      </c>
      <c r="AN289" s="18">
        <f>IF($A289&gt;'1-Input'!$B$26,AP288,(AP288-AL289)*(1+$B$4))</f>
        <v>379795.35568056884</v>
      </c>
      <c r="AO289" s="18">
        <f>IF($A289&gt;'1-Input'!$B$26,AM289,AM289-'P-Parametri'!$B$8*(AN289+AM289)+MIN(MAX(AN289,0),'P-Parametri'!$B$8*(AN289+AM289)))</f>
        <v>49059.121162444499</v>
      </c>
      <c r="AP289" s="18">
        <f>IF($A289&gt;'1-Input'!$B$26,AN289,AN289-MIN(MAX(AN289,0),'P-Parametri'!$B$8*(AN289+AM289)))</f>
        <v>378937.64672688284</v>
      </c>
      <c r="AQ289" s="18">
        <f>IF($A289&gt;'1-Input'!$B$26,AQ288,AQ288-AL289*(1-AK289))</f>
        <v>291788.38119734521</v>
      </c>
    </row>
    <row r="290" spans="1:43">
      <c r="A290" s="10">
        <f>2</f>
        <v>2</v>
      </c>
      <c r="B290" s="11">
        <f>IF($A290&gt;'1-Input'!$B$26,0,IF(G289&lt;=0,0,MAX(0,(G289-H289)/G289)))</f>
        <v>0.22997926555880815</v>
      </c>
      <c r="C290" s="18">
        <f>IF($A290&gt;'1-Input'!$B$26,0,(MAX(0,B286-IF($A290&gt;='1-Input'!$C$12,'1-Input'!$B$12,0))-MIN(MAX(F289,0),MAX(0,B286-IF($A290&gt;='1-Input'!$C$12,'1-Input'!$B$12,0))))*(1/(1-'P-Parametri'!$B$6*B290))+MIN(MAX(0,G289-(MAX(0,B286-IF($A290&gt;='1-Input'!$C$12,'1-Input'!$B$12,0))-MIN(MAX(F289,0),MAX(0,B286-IF($A290&gt;='1-Input'!$C$12,'1-Input'!$B$12,0))))*(1/(1-'P-Parametri'!$B$6*B290))),MAX(0,3*B286-(F289-MIN(MAX(F289,0),MAX(0,B286-IF($A290&gt;='1-Input'!$C$12,'1-Input'!$B$12,0)))))*(1/(1-'P-Parametri'!$B$6*B290))))</f>
        <v>17933.539707640302</v>
      </c>
      <c r="D290" s="18">
        <f>IF($A290&gt;'1-Input'!$B$26,F289,(F289-MAX(0,B286-IF($A290&gt;='1-Input'!$C$12,'1-Input'!$B$12,0))+C290*(1-'P-Parametri'!$B$6*B290))*(1+'1-Input'!$B$27))</f>
        <v>49863.010546479447</v>
      </c>
      <c r="E290" s="18">
        <f>IF($A290&gt;'1-Input'!$B$26,G289,(G289-C290)*(1+$B$4))</f>
        <v>367088.95909471402</v>
      </c>
      <c r="F290" s="18">
        <f>IF($A290&gt;'1-Input'!$B$26,D290,D290-'P-Parametri'!$B$8*(E290+D290)+MIN(MAX(E290,0),'P-Parametri'!$B$8*(E290+D290)))</f>
        <v>49863.010546479447</v>
      </c>
      <c r="G290" s="18">
        <f>IF($A290&gt;'1-Input'!$B$26,E290,E290-MIN(MAX(E290,0),'P-Parametri'!$B$8*(E290+D290)))</f>
        <v>366255.05515543162</v>
      </c>
      <c r="H290" s="18">
        <f>IF($A290&gt;'1-Input'!$B$26,H289,H289-C290*(1-B290))</f>
        <v>277123.63714447484</v>
      </c>
      <c r="I290" s="11">
        <f>IF($A290&gt;'1-Input'!$B$26,0,IF(N289&lt;=0,0,MAX(0,(N289-O289)/N289)))</f>
        <v>0.22989872871644743</v>
      </c>
      <c r="J290" s="18">
        <f>IF($A290&gt;'1-Input'!$B$26,0,(MAX(0,I286-IF($A290&gt;='1-Input'!$C$12,'1-Input'!$B$12,0))-MIN(MAX(M289,0),MAX(0,I286-IF($A290&gt;='1-Input'!$C$12,'1-Input'!$B$12,0))))*(1/(1-'P-Parametri'!$B$6*I290))+MIN(MAX(0,N289-(MAX(0,I286-IF($A290&gt;='1-Input'!$C$12,'1-Input'!$B$12,0))-MIN(MAX(M289,0),MAX(0,I286-IF($A290&gt;='1-Input'!$C$12,'1-Input'!$B$12,0))))*(1/(1-'P-Parametri'!$B$6*I290))),MAX(0,3*I286-(M289-MIN(MAX(M289,0),MAX(0,I286-IF($A290&gt;='1-Input'!$C$12,'1-Input'!$B$12,0)))))*(1/(1-'P-Parametri'!$B$6*I290))))</f>
        <v>23596.23725476658</v>
      </c>
      <c r="K290" s="18">
        <f>IF($A290&gt;'1-Input'!$B$26,M289,(M289-MAX(0,I286-IF($A290&gt;='1-Input'!$C$12,'1-Input'!$B$12,0))+J290*(1-'P-Parametri'!$B$6*I290))*(1+'1-Input'!$B$27))</f>
        <v>65609.224403262444</v>
      </c>
      <c r="L290" s="18">
        <f>IF($A290&gt;'1-Input'!$B$26,N289,(N289-J290)*(1+$B$4))</f>
        <v>339076.64556253934</v>
      </c>
      <c r="M290" s="18">
        <f>IF($A290&gt;'1-Input'!$B$26,K290,K290-'P-Parametri'!$B$8*(L290+K290)+MIN(MAX(L290,0),'P-Parametri'!$B$8*(L290+K290)))</f>
        <v>65609.224403262444</v>
      </c>
      <c r="N290" s="18">
        <f>IF($A290&gt;'1-Input'!$B$26,L290,L290-MIN(MAX(L290,0),'P-Parametri'!$B$8*(L290+K290)))</f>
        <v>338267.27382260776</v>
      </c>
      <c r="O290" s="18">
        <f>IF($A290&gt;'1-Input'!$B$26,O289,O289-J290*(1-I290))</f>
        <v>256003.29001007264</v>
      </c>
      <c r="P290" s="11">
        <f>IF($A290&gt;'1-Input'!$B$26,0,IF(U289&lt;=0,0,MAX(0,(U289-V289)/U289)))</f>
        <v>0.22998274365921328</v>
      </c>
      <c r="Q290" s="18">
        <f>IF($A290&gt;'1-Input'!$B$26,0,(MAX(0,P286-IF($A290&gt;='1-Input'!$C$12,'1-Input'!$B$12,0))-MIN(MAX(T289,0),MAX(0,P286-IF($A290&gt;='1-Input'!$C$12,'1-Input'!$B$12,0))))*(1/(1-'P-Parametri'!$B$6*P290))+MIN(MAX(0,U289-(MAX(0,P286-IF($A290&gt;='1-Input'!$C$12,'1-Input'!$B$12,0))-MIN(MAX(T289,0),MAX(0,P286-IF($A290&gt;='1-Input'!$C$12,'1-Input'!$B$12,0))))*(1/(1-'P-Parametri'!$B$6*P290))),MAX(0,3*P286-(T289-MIN(MAX(T289,0),MAX(0,P286-IF($A290&gt;='1-Input'!$C$12,'1-Input'!$B$12,0)))))*(1/(1-'P-Parametri'!$B$6*P290))))</f>
        <v>17673.318044064647</v>
      </c>
      <c r="R290" s="18">
        <f>IF($A290&gt;'1-Input'!$B$26,T289,(T289-MAX(0,P286-IF($A290&gt;='1-Input'!$C$12,'1-Input'!$B$12,0))+Q290*(1-'P-Parametri'!$B$6*P290))*(1+'1-Input'!$B$27))</f>
        <v>49139.434310908975</v>
      </c>
      <c r="S290" s="18">
        <f>IF($A290&gt;'1-Input'!$B$26,U289,(U289-Q290)*(1+$B$4))</f>
        <v>368376.19927841169</v>
      </c>
      <c r="T290" s="18">
        <f>IF($A290&gt;'1-Input'!$B$26,R290,R290-'P-Parametri'!$B$8*(S290+R290)+MIN(MAX(S290,0),'P-Parametri'!$B$8*(S290+R290)))</f>
        <v>49139.434310908975</v>
      </c>
      <c r="U290" s="18">
        <f>IF($A290&gt;'1-Input'!$B$26,S290,S290-MIN(MAX(S290,0),'P-Parametri'!$B$8*(S290+R290)))</f>
        <v>367541.16801123304</v>
      </c>
      <c r="V290" s="18">
        <f>IF($A290&gt;'1-Input'!$B$26,V289,V289-Q290*(1-P290))</f>
        <v>278094.14732314652</v>
      </c>
      <c r="W290" s="11">
        <f>IF($A290&gt;'1-Input'!$B$26,0,IF(AB289&lt;=0,0,MAX(0,(AB289-AC289)/AB289)))</f>
        <v>0.22998308830549297</v>
      </c>
      <c r="X290" s="18">
        <f>IF($A290&gt;'1-Input'!$B$26,0,(MAX(0,W286-IF($A290&gt;='1-Input'!$C$12,'1-Input'!$B$12,0))-MIN(MAX(AA289,0),MAX(0,W286-IF($A290&gt;='1-Input'!$C$12,'1-Input'!$B$12,0))))*(1/(1-'P-Parametri'!$B$6*W290))+MIN(MAX(0,AB289-(MAX(0,W286-IF($A290&gt;='1-Input'!$C$12,'1-Input'!$B$12,0))-MIN(MAX(AA289,0),MAX(0,W286-IF($A290&gt;='1-Input'!$C$12,'1-Input'!$B$12,0))))*(1/(1-'P-Parametri'!$B$6*W290))),MAX(0,3*W286-(AA289-MIN(MAX(AA289,0),MAX(0,W286-IF($A290&gt;='1-Input'!$C$12,'1-Input'!$B$12,0)))))*(1/(1-'P-Parametri'!$B$6*W290))))</f>
        <v>17647.457386162485</v>
      </c>
      <c r="Y290" s="18">
        <f>IF($A290&gt;'1-Input'!$B$26,AA289,(AA289-MAX(0,W286-IF($A290&gt;='1-Input'!$C$12,'1-Input'!$B$12,0))+X290*(1-'P-Parametri'!$B$6*W290))*(1+'1-Input'!$B$27))</f>
        <v>49067.525869838581</v>
      </c>
      <c r="Z290" s="18">
        <f>IF($A290&gt;'1-Input'!$B$26,AB289,(AB289-X290)*(1+$B$4))</f>
        <v>368504.12423523446</v>
      </c>
      <c r="AA290" s="18">
        <f>IF($A290&gt;'1-Input'!$B$26,Y290,Y290-'P-Parametri'!$B$8*(Z290+Y290)+MIN(MAX(Z290,0),'P-Parametri'!$B$8*(Z290+Y290)))</f>
        <v>49067.525869838581</v>
      </c>
      <c r="AB290" s="18">
        <f>IF($A290&gt;'1-Input'!$B$26,Z290,Z290-MIN(MAX(Z290,0),'P-Parametri'!$B$8*(Z290+Y290)))</f>
        <v>367668.98093502433</v>
      </c>
      <c r="AC290" s="18">
        <f>IF($A290&gt;'1-Input'!$B$26,AC289,AC289-X290*(1-W290))</f>
        <v>278190.59577480803</v>
      </c>
      <c r="AD290" s="11">
        <f>IF($A290&gt;'1-Input'!$B$26,0,IF(AI289&lt;=0,0,MAX(0,(AI289-AJ289)/AI289)))</f>
        <v>0.22998312857644784</v>
      </c>
      <c r="AE290" s="18">
        <f>IF($A290&gt;'1-Input'!$B$26,0,(MAX(0,AD286-IF($A290&gt;='1-Input'!$C$12,'1-Input'!$B$12,0))-MIN(MAX(AH289,0),MAX(0,AD286-IF($A290&gt;='1-Input'!$C$12,'1-Input'!$B$12,0))))*(1/(1-'P-Parametri'!$B$6*AD290))+MIN(MAX(0,AI289-(MAX(0,AD286-IF($A290&gt;='1-Input'!$C$12,'1-Input'!$B$12,0))-MIN(MAX(AH289,0),MAX(0,AD286-IF($A290&gt;='1-Input'!$C$12,'1-Input'!$B$12,0))))*(1/(1-'P-Parametri'!$B$6*AD290))),MAX(0,3*AD286-(AH289-MIN(MAX(AH289,0),MAX(0,AD286-IF($A290&gt;='1-Input'!$C$12,'1-Input'!$B$12,0)))))*(1/(1-'P-Parametri'!$B$6*AD290))))</f>
        <v>17644.43475321641</v>
      </c>
      <c r="AF290" s="18">
        <f>IF($A290&gt;'1-Input'!$B$26,AH289,(AH289-MAX(0,AD286-IF($A290&gt;='1-Input'!$C$12,'1-Input'!$B$12,0))+AE290*(1-'P-Parametri'!$B$6*AD290))*(1+'1-Input'!$B$27))</f>
        <v>49059.121103160993</v>
      </c>
      <c r="AG290" s="18">
        <f>IF($A290&gt;'1-Input'!$B$26,AI289,(AI289-AE290)*(1+$B$4))</f>
        <v>368519.07629685831</v>
      </c>
      <c r="AH290" s="18">
        <f>IF($A290&gt;'1-Input'!$B$26,AF290,AF290-'P-Parametri'!$B$8*(AG290+AF290)+MIN(MAX(AG290,0),'P-Parametri'!$B$8*(AG290+AF290)))</f>
        <v>49059.121103160993</v>
      </c>
      <c r="AI290" s="18">
        <f>IF($A290&gt;'1-Input'!$B$26,AG290,AG290-MIN(MAX(AG290,0),'P-Parametri'!$B$8*(AG290+AF290)))</f>
        <v>367683.91990205826</v>
      </c>
      <c r="AJ290" s="18">
        <f>IF($A290&gt;'1-Input'!$B$26,AJ289,AJ289-AE290*(1-AD290))</f>
        <v>278201.86881372955</v>
      </c>
      <c r="AK290" s="11">
        <f>IF($A290&gt;'1-Input'!$B$26,0,IF(AP289&lt;=0,0,MAX(0,(AP289-AQ289)/AP289)))</f>
        <v>0.22998312857616379</v>
      </c>
      <c r="AL290" s="18">
        <f>IF($A290&gt;'1-Input'!$B$26,0,(MAX(0,AK286-IF($A290&gt;='1-Input'!$C$12,'1-Input'!$B$12,0))-MIN(MAX(AO289,0),MAX(0,AK286-IF($A290&gt;='1-Input'!$C$12,'1-Input'!$B$12,0))))*(1/(1-'P-Parametri'!$B$6*AK290))+MIN(MAX(0,AP289-(MAX(0,AK286-IF($A290&gt;='1-Input'!$C$12,'1-Input'!$B$12,0))-MIN(MAX(AO289,0),MAX(0,AK286-IF($A290&gt;='1-Input'!$C$12,'1-Input'!$B$12,0))))*(1/(1-'P-Parametri'!$B$6*AK290))),MAX(0,3*AK286-(AO289-MIN(MAX(AO289,0),MAX(0,AK286-IF($A290&gt;='1-Input'!$C$12,'1-Input'!$B$12,0)))))*(1/(1-'P-Parametri'!$B$6*AK290))))</f>
        <v>17644.434774536727</v>
      </c>
      <c r="AM290" s="18">
        <f>IF($A290&gt;'1-Input'!$B$26,AO289,(AO289-MAX(0,AK286-IF($A290&gt;='1-Input'!$C$12,'1-Input'!$B$12,0))+AL290*(1-'P-Parametri'!$B$6*AK290))*(1+'1-Input'!$B$27))</f>
        <v>49059.121162444506</v>
      </c>
      <c r="AN290" s="18">
        <f>IF($A290&gt;'1-Input'!$B$26,AP289,(AP289-AL290)*(1+$B$4))</f>
        <v>368519.07619139308</v>
      </c>
      <c r="AO290" s="18">
        <f>IF($A290&gt;'1-Input'!$B$26,AM290,AM290-'P-Parametri'!$B$8*(AN290+AM290)+MIN(MAX(AN290,0),'P-Parametri'!$B$8*(AN290+AM290)))</f>
        <v>49059.121162444506</v>
      </c>
      <c r="AP290" s="18">
        <f>IF($A290&gt;'1-Input'!$B$26,AN290,AN290-MIN(MAX(AN290,0),'P-Parametri'!$B$8*(AN290+AM290)))</f>
        <v>367683.9197966854</v>
      </c>
      <c r="AQ290" s="18">
        <f>IF($A290&gt;'1-Input'!$B$26,AQ289,AQ289-AL290*(1-AK290))</f>
        <v>278201.86873421451</v>
      </c>
    </row>
    <row r="291" spans="1:43">
      <c r="A291" s="10">
        <f>3</f>
        <v>3</v>
      </c>
      <c r="B291" s="11">
        <f>IF($A291&gt;'1-Input'!$B$26,0,IF(G290&lt;=0,0,MAX(0,(G290-H290)/G290)))</f>
        <v>0.2433588745229226</v>
      </c>
      <c r="C291" s="18">
        <f>IF($A291&gt;'1-Input'!$B$26,0,(MAX(0,B286-IF($A291&gt;='1-Input'!$C$12,'1-Input'!$B$12,0))-MIN(MAX(F290,0),MAX(0,B286-IF($A291&gt;='1-Input'!$C$12,'1-Input'!$B$12,0))))*(1/(1-'P-Parametri'!$B$6*B291))+MIN(MAX(0,G290-(MAX(0,B286-IF($A291&gt;='1-Input'!$C$12,'1-Input'!$B$12,0))-MIN(MAX(F290,0),MAX(0,B286-IF($A291&gt;='1-Input'!$C$12,'1-Input'!$B$12,0))))*(1/(1-'P-Parametri'!$B$6*B291))),MAX(0,3*B286-(F290-MIN(MAX(F290,0),MAX(0,B286-IF($A291&gt;='1-Input'!$C$12,'1-Input'!$B$12,0)))))*(1/(1-'P-Parametri'!$B$6*B291))))</f>
        <v>18000.139042467847</v>
      </c>
      <c r="D291" s="18">
        <f>IF($A291&gt;'1-Input'!$B$26,F290,(F290-MAX(0,B286-IF($A291&gt;='1-Input'!$C$12,'1-Input'!$B$12,0))+C291*(1-'P-Parametri'!$B$6*B291))*(1+'1-Input'!$B$27))</f>
        <v>49863.010546479447</v>
      </c>
      <c r="E291" s="18">
        <f>IF($A291&gt;'1-Input'!$B$26,G290,(G290-C291)*(1+$B$4))</f>
        <v>355220.01443522301</v>
      </c>
      <c r="F291" s="18">
        <f>IF($A291&gt;'1-Input'!$B$26,D291,D291-'P-Parametri'!$B$8*(E291+D291)+MIN(MAX(E291,0),'P-Parametri'!$B$8*(E291+D291)))</f>
        <v>49863.010546479447</v>
      </c>
      <c r="G291" s="18">
        <f>IF($A291&gt;'1-Input'!$B$26,E291,E291-MIN(MAX(E291,0),'P-Parametri'!$B$8*(E291+D291)))</f>
        <v>354409.84838525963</v>
      </c>
      <c r="H291" s="18">
        <f>IF($A291&gt;'1-Input'!$B$26,H290,H290-C291*(1-B291))</f>
        <v>263503.99168063811</v>
      </c>
      <c r="I291" s="11">
        <f>IF($A291&gt;'1-Input'!$B$26,0,IF(N290&lt;=0,0,MAX(0,(N290-O290)/N290)))</f>
        <v>0.24319226297863961</v>
      </c>
      <c r="J291" s="18">
        <f>IF($A291&gt;'1-Input'!$B$26,0,(MAX(0,I286-IF($A291&gt;='1-Input'!$C$12,'1-Input'!$B$12,0))-MIN(MAX(M290,0),MAX(0,I286-IF($A291&gt;='1-Input'!$C$12,'1-Input'!$B$12,0))))*(1/(1-'P-Parametri'!$B$6*I291))+MIN(MAX(0,N290-(MAX(0,I286-IF($A291&gt;='1-Input'!$C$12,'1-Input'!$B$12,0))-MIN(MAX(M290,0),MAX(0,I286-IF($A291&gt;='1-Input'!$C$12,'1-Input'!$B$12,0))))*(1/(1-'P-Parametri'!$B$6*I291))),MAX(0,3*I286-(M290-MIN(MAX(M290,0),MAX(0,I286-IF($A291&gt;='1-Input'!$C$12,'1-Input'!$B$12,0)))))*(1/(1-'P-Parametri'!$B$6*I291))))</f>
        <v>23683.298240892502</v>
      </c>
      <c r="K291" s="18">
        <f>IF($A291&gt;'1-Input'!$B$26,M290,(M290-MAX(0,I286-IF($A291&gt;='1-Input'!$C$12,'1-Input'!$B$12,0))+J291*(1-'P-Parametri'!$B$6*I291))*(1+'1-Input'!$B$27))</f>
        <v>65609.224403262444</v>
      </c>
      <c r="L291" s="18">
        <f>IF($A291&gt;'1-Input'!$B$26,N290,(N290-J291)*(1+$B$4))</f>
        <v>320875.65509334952</v>
      </c>
      <c r="M291" s="18">
        <f>IF($A291&gt;'1-Input'!$B$26,K291,K291-'P-Parametri'!$B$8*(L291+K291)+MIN(MAX(L291,0),'P-Parametri'!$B$8*(L291+K291)))</f>
        <v>65609.224403262444</v>
      </c>
      <c r="N291" s="18">
        <f>IF($A291&gt;'1-Input'!$B$26,L291,L291-MIN(MAX(L291,0),'P-Parametri'!$B$8*(L291+K291)))</f>
        <v>320102.68533435627</v>
      </c>
      <c r="O291" s="18">
        <f>IF($A291&gt;'1-Input'!$B$26,O290,O290-J291*(1-I291))</f>
        <v>238079.58666318082</v>
      </c>
      <c r="P291" s="11">
        <f>IF($A291&gt;'1-Input'!$B$26,0,IF(U290&lt;=0,0,MAX(0,(U290-V290)/U290)))</f>
        <v>0.2433659912767997</v>
      </c>
      <c r="Q291" s="18">
        <f>IF($A291&gt;'1-Input'!$B$26,0,(MAX(0,P286-IF($A291&gt;='1-Input'!$C$12,'1-Input'!$B$12,0))-MIN(MAX(T290,0),MAX(0,P286-IF($A291&gt;='1-Input'!$C$12,'1-Input'!$B$12,0))))*(1/(1-'P-Parametri'!$B$6*P291))+MIN(MAX(0,U290-(MAX(0,P286-IF($A291&gt;='1-Input'!$C$12,'1-Input'!$B$12,0))-MIN(MAX(T290,0),MAX(0,P286-IF($A291&gt;='1-Input'!$C$12,'1-Input'!$B$12,0))))*(1/(1-'P-Parametri'!$B$6*P291))),MAX(0,3*P286-(T290-MIN(MAX(T290,0),MAX(0,P286-IF($A291&gt;='1-Input'!$C$12,'1-Input'!$B$12,0)))))*(1/(1-'P-Parametri'!$B$6*P291))))</f>
        <v>17738.968979155896</v>
      </c>
      <c r="R291" s="18">
        <f>IF($A291&gt;'1-Input'!$B$26,T290,(T290-MAX(0,P286-IF($A291&gt;='1-Input'!$C$12,'1-Input'!$B$12,0))+Q291*(1-'P-Parametri'!$B$6*P291))*(1+'1-Input'!$B$27))</f>
        <v>49139.434310908975</v>
      </c>
      <c r="S291" s="18">
        <f>IF($A291&gt;'1-Input'!$B$26,U290,(U290-Q291)*(1+$B$4))</f>
        <v>356798.24301271868</v>
      </c>
      <c r="T291" s="18">
        <f>IF($A291&gt;'1-Input'!$B$26,R291,R291-'P-Parametri'!$B$8*(S291+R291)+MIN(MAX(S291,0),'P-Parametri'!$B$8*(S291+R291)))</f>
        <v>49139.434310908975</v>
      </c>
      <c r="U291" s="18">
        <f>IF($A291&gt;'1-Input'!$B$26,S291,S291-MIN(MAX(S291,0),'P-Parametri'!$B$8*(S291+R291)))</f>
        <v>355986.36765807145</v>
      </c>
      <c r="V291" s="18">
        <f>IF($A291&gt;'1-Input'!$B$26,V290,V290-Q291*(1-P291))</f>
        <v>264672.2401138313</v>
      </c>
      <c r="W291" s="11">
        <f>IF($A291&gt;'1-Input'!$B$26,0,IF(AB290&lt;=0,0,MAX(0,(AB290-AC290)/AB290)))</f>
        <v>0.2433666961315652</v>
      </c>
      <c r="X291" s="18">
        <f>IF($A291&gt;'1-Input'!$B$26,0,(MAX(0,W286-IF($A291&gt;='1-Input'!$C$12,'1-Input'!$B$12,0))-MIN(MAX(AA290,0),MAX(0,W286-IF($A291&gt;='1-Input'!$C$12,'1-Input'!$B$12,0))))*(1/(1-'P-Parametri'!$B$6*W291))+MIN(MAX(0,AB290-(MAX(0,W286-IF($A291&gt;='1-Input'!$C$12,'1-Input'!$B$12,0))-MIN(MAX(AA290,0),MAX(0,W286-IF($A291&gt;='1-Input'!$C$12,'1-Input'!$B$12,0))))*(1/(1-'P-Parametri'!$B$6*W291))),MAX(0,3*W286-(AA290-MIN(MAX(AA290,0),MAX(0,W286-IF($A291&gt;='1-Input'!$C$12,'1-Input'!$B$12,0)))))*(1/(1-'P-Parametri'!$B$6*W291))))</f>
        <v>17713.014034098862</v>
      </c>
      <c r="Y291" s="18">
        <f>IF($A291&gt;'1-Input'!$B$26,AA290,(AA290-MAX(0,W286-IF($A291&gt;='1-Input'!$C$12,'1-Input'!$B$12,0))+X291*(1-'P-Parametri'!$B$6*W291))*(1+'1-Input'!$B$27))</f>
        <v>49067.525869838581</v>
      </c>
      <c r="Z291" s="18">
        <f>IF($A291&gt;'1-Input'!$B$26,AB290,(AB290-X291)*(1+$B$4))</f>
        <v>356955.08623894397</v>
      </c>
      <c r="AA291" s="18">
        <f>IF($A291&gt;'1-Input'!$B$26,Y291,Y291-'P-Parametri'!$B$8*(Z291+Y291)+MIN(MAX(Z291,0),'P-Parametri'!$B$8*(Z291+Y291)))</f>
        <v>49067.525869838581</v>
      </c>
      <c r="AB291" s="18">
        <f>IF($A291&gt;'1-Input'!$B$26,Z291,Z291-MIN(MAX(Z291,0),'P-Parametri'!$B$8*(Z291+Y291)))</f>
        <v>356143.04101472639</v>
      </c>
      <c r="AC291" s="18">
        <f>IF($A291&gt;'1-Input'!$B$26,AC290,AC290-X291*(1-W291))</f>
        <v>264788.33944471984</v>
      </c>
      <c r="AD291" s="11">
        <f>IF($A291&gt;'1-Input'!$B$26,0,IF(AI290&lt;=0,0,MAX(0,(AI290-AJ290)/AI290)))</f>
        <v>0.24336677848779592</v>
      </c>
      <c r="AE291" s="18">
        <f>IF($A291&gt;'1-Input'!$B$26,0,(MAX(0,AD286-IF($A291&gt;='1-Input'!$C$12,'1-Input'!$B$12,0))-MIN(MAX(AH290,0),MAX(0,AD286-IF($A291&gt;='1-Input'!$C$12,'1-Input'!$B$12,0))))*(1/(1-'P-Parametri'!$B$6*AD291))+MIN(MAX(0,AI290-(MAX(0,AD286-IF($A291&gt;='1-Input'!$C$12,'1-Input'!$B$12,0))-MIN(MAX(AH290,0),MAX(0,AD286-IF($A291&gt;='1-Input'!$C$12,'1-Input'!$B$12,0))))*(1/(1-'P-Parametri'!$B$6*AD291))),MAX(0,3*AD286-(AH290-MIN(MAX(AH290,0),MAX(0,AD286-IF($A291&gt;='1-Input'!$C$12,'1-Input'!$B$12,0)))))*(1/(1-'P-Parametri'!$B$6*AD291))))</f>
        <v>17709.980380306068</v>
      </c>
      <c r="AF291" s="18">
        <f>IF($A291&gt;'1-Input'!$B$26,AH290,(AH290-MAX(0,AD286-IF($A291&gt;='1-Input'!$C$12,'1-Input'!$B$12,0))+AE291*(1-'P-Parametri'!$B$6*AD291))*(1+'1-Input'!$B$27))</f>
        <v>49059.121103160993</v>
      </c>
      <c r="AG291" s="18">
        <f>IF($A291&gt;'1-Input'!$B$26,AI290,(AI290-AE291)*(1+$B$4))</f>
        <v>356973.41831218725</v>
      </c>
      <c r="AH291" s="18">
        <f>IF($A291&gt;'1-Input'!$B$26,AF291,AF291-'P-Parametri'!$B$8*(AG291+AF291)+MIN(MAX(AG291,0),'P-Parametri'!$B$8*(AG291+AF291)))</f>
        <v>49059.121103160993</v>
      </c>
      <c r="AI291" s="18">
        <f>IF($A291&gt;'1-Input'!$B$26,AG291,AG291-MIN(MAX(AG291,0),'P-Parametri'!$B$8*(AG291+AF291)))</f>
        <v>356161.35323335655</v>
      </c>
      <c r="AJ291" s="18">
        <f>IF($A291&gt;'1-Input'!$B$26,AJ290,AJ290-AE291*(1-AD291))</f>
        <v>264801.90930566064</v>
      </c>
      <c r="AK291" s="11">
        <f>IF($A291&gt;'1-Input'!$B$26,0,IF(AP290&lt;=0,0,MAX(0,(AP290-AQ290)/AP290)))</f>
        <v>0.24336677848721505</v>
      </c>
      <c r="AL291" s="18">
        <f>IF($A291&gt;'1-Input'!$B$26,0,(MAX(0,AK286-IF($A291&gt;='1-Input'!$C$12,'1-Input'!$B$12,0))-MIN(MAX(AO290,0),MAX(0,AK286-IF($A291&gt;='1-Input'!$C$12,'1-Input'!$B$12,0))))*(1/(1-'P-Parametri'!$B$6*AK291))+MIN(MAX(0,AP290-(MAX(0,AK286-IF($A291&gt;='1-Input'!$C$12,'1-Input'!$B$12,0))-MIN(MAX(AO290,0),MAX(0,AK286-IF($A291&gt;='1-Input'!$C$12,'1-Input'!$B$12,0))))*(1/(1-'P-Parametri'!$B$6*AK291))),MAX(0,3*AK286-(AO290-MIN(MAX(AO290,0),MAX(0,AK286-IF($A291&gt;='1-Input'!$C$12,'1-Input'!$B$12,0)))))*(1/(1-'P-Parametri'!$B$6*AK291))))</f>
        <v>17709.98040170411</v>
      </c>
      <c r="AM291" s="18">
        <f>IF($A291&gt;'1-Input'!$B$26,AO290,(AO290-MAX(0,AK286-IF($A291&gt;='1-Input'!$C$12,'1-Input'!$B$12,0))+AL291*(1-'P-Parametri'!$B$6*AK291))*(1+'1-Input'!$B$27))</f>
        <v>49059.121162444499</v>
      </c>
      <c r="AN291" s="18">
        <f>IF($A291&gt;'1-Input'!$B$26,AP290,(AP290-AL291)*(1+$B$4))</f>
        <v>356973.41818288097</v>
      </c>
      <c r="AO291" s="18">
        <f>IF($A291&gt;'1-Input'!$B$26,AM291,AM291-'P-Parametri'!$B$8*(AN291+AM291)+MIN(MAX(AN291,0),'P-Parametri'!$B$8*(AN291+AM291)))</f>
        <v>49059.121162444499</v>
      </c>
      <c r="AP291" s="18">
        <f>IF($A291&gt;'1-Input'!$B$26,AN291,AN291-MIN(MAX(AN291,0),'P-Parametri'!$B$8*(AN291+AM291)))</f>
        <v>356161.35310419032</v>
      </c>
      <c r="AQ291" s="18">
        <f>IF($A291&gt;'1-Input'!$B$26,AQ290,AQ290-AL291*(1-AK291))</f>
        <v>264801.90920994483</v>
      </c>
    </row>
    <row r="292" spans="1:43">
      <c r="A292" s="10">
        <f>4</f>
        <v>4</v>
      </c>
      <c r="B292" s="11">
        <f>IF($A292&gt;'1-Input'!$B$26,0,IF(G291&lt;=0,0,MAX(0,(G291-H291)/G291)))</f>
        <v>0.25649923984562278</v>
      </c>
      <c r="C292" s="18">
        <f>IF($A292&gt;'1-Input'!$B$26,0,(MAX(0,B286-IF($A292&gt;='1-Input'!$C$12,'1-Input'!$B$12,0))-MIN(MAX(F291,0),MAX(0,B286-IF($A292&gt;='1-Input'!$C$12,'1-Input'!$B$12,0))))*(1/(1-'P-Parametri'!$B$6*B292))+MIN(MAX(0,G291-(MAX(0,B286-IF($A292&gt;='1-Input'!$C$12,'1-Input'!$B$12,0))-MIN(MAX(F291,0),MAX(0,B286-IF($A292&gt;='1-Input'!$C$12,'1-Input'!$B$12,0))))*(1/(1-'P-Parametri'!$B$6*B292))),MAX(0,3*B286-(F291-MIN(MAX(F291,0),MAX(0,B286-IF($A292&gt;='1-Input'!$C$12,'1-Input'!$B$12,0)))))*(1/(1-'P-Parametri'!$B$6*B292))))</f>
        <v>18066.030730894294</v>
      </c>
      <c r="D292" s="18">
        <f>IF($A292&gt;'1-Input'!$B$26,F291,(F291-MAX(0,B286-IF($A292&gt;='1-Input'!$C$12,'1-Input'!$B$12,0))+C292*(1-'P-Parametri'!$B$6*B292))*(1+'1-Input'!$B$27))</f>
        <v>49863.010546479447</v>
      </c>
      <c r="E292" s="18">
        <f>IF($A292&gt;'1-Input'!$B$26,G291,(G291-C292)*(1+$B$4))</f>
        <v>343070.69400745264</v>
      </c>
      <c r="F292" s="18">
        <f>IF($A292&gt;'1-Input'!$B$26,D292,D292-'P-Parametri'!$B$8*(E292+D292)+MIN(MAX(E292,0),'P-Parametri'!$B$8*(E292+D292)))</f>
        <v>49863.010546479447</v>
      </c>
      <c r="G292" s="18">
        <f>IF($A292&gt;'1-Input'!$B$26,E292,E292-MIN(MAX(E292,0),'P-Parametri'!$B$8*(E292+D292)))</f>
        <v>342284.82659834478</v>
      </c>
      <c r="H292" s="18">
        <f>IF($A292&gt;'1-Input'!$B$26,H291,H291-C292*(1-B292))</f>
        <v>250071.88409924586</v>
      </c>
      <c r="I292" s="11">
        <f>IF($A292&gt;'1-Input'!$B$26,0,IF(N291&lt;=0,0,MAX(0,(N291-O291)/N291)))</f>
        <v>0.25623995807938948</v>
      </c>
      <c r="J292" s="18">
        <f>IF($A292&gt;'1-Input'!$B$26,0,(MAX(0,I286-IF($A292&gt;='1-Input'!$C$12,'1-Input'!$B$12,0))-MIN(MAX(M291,0),MAX(0,I286-IF($A292&gt;='1-Input'!$C$12,'1-Input'!$B$12,0))))*(1/(1-'P-Parametri'!$B$6*I292))+MIN(MAX(0,N291-(MAX(0,I286-IF($A292&gt;='1-Input'!$C$12,'1-Input'!$B$12,0))-MIN(MAX(M291,0),MAX(0,I286-IF($A292&gt;='1-Input'!$C$12,'1-Input'!$B$12,0))))*(1/(1-'P-Parametri'!$B$6*I292))),MAX(0,3*I286-(M291-MIN(MAX(M291,0),MAX(0,I286-IF($A292&gt;='1-Input'!$C$12,'1-Input'!$B$12,0)))))*(1/(1-'P-Parametri'!$B$6*I292))))</f>
        <v>23769.376198208924</v>
      </c>
      <c r="K292" s="18">
        <f>IF($A292&gt;'1-Input'!$B$26,M291,(M291-MAX(0,I286-IF($A292&gt;='1-Input'!$C$12,'1-Input'!$B$12,0))+J292*(1-'P-Parametri'!$B$6*I292))*(1+'1-Input'!$B$27))</f>
        <v>65609.224403262444</v>
      </c>
      <c r="L292" s="18">
        <f>IF($A292&gt;'1-Input'!$B$26,N291,(N291-J292)*(1+$B$4))</f>
        <v>302259.97531887027</v>
      </c>
      <c r="M292" s="18">
        <f>IF($A292&gt;'1-Input'!$B$26,K292,K292-'P-Parametri'!$B$8*(L292+K292)+MIN(MAX(L292,0),'P-Parametri'!$B$8*(L292+K292)))</f>
        <v>65609.224403262444</v>
      </c>
      <c r="N292" s="18">
        <f>IF($A292&gt;'1-Input'!$B$26,L292,L292-MIN(MAX(L292,0),'P-Parametri'!$B$8*(L292+K292)))</f>
        <v>301524.23691942601</v>
      </c>
      <c r="O292" s="18">
        <f>IF($A292&gt;'1-Input'!$B$26,O291,O291-J292*(1-I292))</f>
        <v>220400.87442557418</v>
      </c>
      <c r="P292" s="11">
        <f>IF($A292&gt;'1-Input'!$B$26,0,IF(U291&lt;=0,0,MAX(0,(U291-V291)/U291)))</f>
        <v>0.25651018083913907</v>
      </c>
      <c r="Q292" s="18">
        <f>IF($A292&gt;'1-Input'!$B$26,0,(MAX(0,P286-IF($A292&gt;='1-Input'!$C$12,'1-Input'!$B$12,0))-MIN(MAX(T291,0),MAX(0,P286-IF($A292&gt;='1-Input'!$C$12,'1-Input'!$B$12,0))))*(1/(1-'P-Parametri'!$B$6*P292))+MIN(MAX(0,U291-(MAX(0,P286-IF($A292&gt;='1-Input'!$C$12,'1-Input'!$B$12,0))-MIN(MAX(T291,0),MAX(0,P286-IF($A292&gt;='1-Input'!$C$12,'1-Input'!$B$12,0))))*(1/(1-'P-Parametri'!$B$6*P292))),MAX(0,3*P286-(T291-MIN(MAX(T291,0),MAX(0,P286-IF($A292&gt;='1-Input'!$C$12,'1-Input'!$B$12,0)))))*(1/(1-'P-Parametri'!$B$6*P292))))</f>
        <v>17803.923719136204</v>
      </c>
      <c r="R292" s="18">
        <f>IF($A292&gt;'1-Input'!$B$26,T291,(T291-MAX(0,P286-IF($A292&gt;='1-Input'!$C$12,'1-Input'!$B$12,0))+Q292*(1-'P-Parametri'!$B$6*P292))*(1+'1-Input'!$B$27))</f>
        <v>49139.434310908975</v>
      </c>
      <c r="S292" s="18">
        <f>IF($A292&gt;'1-Input'!$B$26,U291,(U291-Q292)*(1+$B$4))</f>
        <v>344946.09281771397</v>
      </c>
      <c r="T292" s="18">
        <f>IF($A292&gt;'1-Input'!$B$26,R292,R292-'P-Parametri'!$B$8*(S292+R292)+MIN(MAX(S292,0),'P-Parametri'!$B$8*(S292+R292)))</f>
        <v>49139.434310908975</v>
      </c>
      <c r="U292" s="18">
        <f>IF($A292&gt;'1-Input'!$B$26,S292,S292-MIN(MAX(S292,0),'P-Parametri'!$B$8*(S292+R292)))</f>
        <v>344157.92176345672</v>
      </c>
      <c r="V292" s="18">
        <f>IF($A292&gt;'1-Input'!$B$26,V291,V291-Q292*(1-P292))</f>
        <v>251435.20408753696</v>
      </c>
      <c r="W292" s="11">
        <f>IF($A292&gt;'1-Input'!$B$26,0,IF(AB291&lt;=0,0,MAX(0,(AB291-AC291)/AB291)))</f>
        <v>0.25651126387228512</v>
      </c>
      <c r="X292" s="18">
        <f>IF($A292&gt;'1-Input'!$B$26,0,(MAX(0,W286-IF($A292&gt;='1-Input'!$C$12,'1-Input'!$B$12,0))-MIN(MAX(AA291,0),MAX(0,W286-IF($A292&gt;='1-Input'!$C$12,'1-Input'!$B$12,0))))*(1/(1-'P-Parametri'!$B$6*W292))+MIN(MAX(0,AB291-(MAX(0,W286-IF($A292&gt;='1-Input'!$C$12,'1-Input'!$B$12,0))-MIN(MAX(AA291,0),MAX(0,W286-IF($A292&gt;='1-Input'!$C$12,'1-Input'!$B$12,0))))*(1/(1-'P-Parametri'!$B$6*W292))),MAX(0,3*W286-(AA291-MIN(MAX(AA291,0),MAX(0,W286-IF($A292&gt;='1-Input'!$C$12,'1-Input'!$B$12,0)))))*(1/(1-'P-Parametri'!$B$6*W292))))</f>
        <v>17777.875620601313</v>
      </c>
      <c r="Y292" s="18">
        <f>IF($A292&gt;'1-Input'!$B$26,AA291,(AA291-MAX(0,W286-IF($A292&gt;='1-Input'!$C$12,'1-Input'!$B$12,0))+X292*(1-'P-Parametri'!$B$6*W292))*(1+'1-Input'!$B$27))</f>
        <v>49067.525869838581</v>
      </c>
      <c r="Z292" s="18">
        <f>IF($A292&gt;'1-Input'!$B$26,AB291,(AB291-X292)*(1+$B$4))</f>
        <v>345132.46870200761</v>
      </c>
      <c r="AA292" s="18">
        <f>IF($A292&gt;'1-Input'!$B$26,Y292,Y292-'P-Parametri'!$B$8*(Z292+Y292)+MIN(MAX(Z292,0),'P-Parametri'!$B$8*(Z292+Y292)))</f>
        <v>49067.525869838581</v>
      </c>
      <c r="AB292" s="18">
        <f>IF($A292&gt;'1-Input'!$B$26,Z292,Z292-MIN(MAX(Z292,0),'P-Parametri'!$B$8*(Z292+Y292)))</f>
        <v>344344.0687128639</v>
      </c>
      <c r="AC292" s="18">
        <f>IF($A292&gt;'1-Input'!$B$26,AC291,AC291-X292*(1-W292))</f>
        <v>251570.68916852324</v>
      </c>
      <c r="AD292" s="11">
        <f>IF($A292&gt;'1-Input'!$B$26,0,IF(AI291&lt;=0,0,MAX(0,(AI291-AJ291)/AI291)))</f>
        <v>0.25651139040859749</v>
      </c>
      <c r="AE292" s="18">
        <f>IF($A292&gt;'1-Input'!$B$26,0,(MAX(0,AD286-IF($A292&gt;='1-Input'!$C$12,'1-Input'!$B$12,0))-MIN(MAX(AH291,0),MAX(0,AD286-IF($A292&gt;='1-Input'!$C$12,'1-Input'!$B$12,0))))*(1/(1-'P-Parametri'!$B$6*AD292))+MIN(MAX(0,AI291-(MAX(0,AD286-IF($A292&gt;='1-Input'!$C$12,'1-Input'!$B$12,0))-MIN(MAX(AH291,0),MAX(0,AD286-IF($A292&gt;='1-Input'!$C$12,'1-Input'!$B$12,0))))*(1/(1-'P-Parametri'!$B$6*AD292))),MAX(0,3*AD286-(AH291-MIN(MAX(AH291,0),MAX(0,AD286-IF($A292&gt;='1-Input'!$C$12,'1-Input'!$B$12,0)))))*(1/(1-'P-Parametri'!$B$6*AD292))))</f>
        <v>17774.831078417115</v>
      </c>
      <c r="AF292" s="18">
        <f>IF($A292&gt;'1-Input'!$B$26,AH291,(AH291-MAX(0,AD286-IF($A292&gt;='1-Input'!$C$12,'1-Input'!$B$12,0))+AE292*(1-'P-Parametri'!$B$6*AD292))*(1+'1-Input'!$B$27))</f>
        <v>49059.121103160993</v>
      </c>
      <c r="AG292" s="18">
        <f>IF($A292&gt;'1-Input'!$B$26,AI291,(AI291-AE292)*(1+$B$4))</f>
        <v>345154.25259803823</v>
      </c>
      <c r="AH292" s="18">
        <f>IF($A292&gt;'1-Input'!$B$26,AF292,AF292-'P-Parametri'!$B$8*(AG292+AF292)+MIN(MAX(AG292,0),'P-Parametri'!$B$8*(AG292+AF292)))</f>
        <v>49059.121103160993</v>
      </c>
      <c r="AI292" s="18">
        <f>IF($A292&gt;'1-Input'!$B$26,AG292,AG292-MIN(MAX(AG292,0),'P-Parametri'!$B$8*(AG292+AF292)))</f>
        <v>344365.82585063583</v>
      </c>
      <c r="AJ292" s="18">
        <f>IF($A292&gt;'1-Input'!$B$26,AJ291,AJ291-AE292*(1-AD292))</f>
        <v>251586.52486144623</v>
      </c>
      <c r="AK292" s="11">
        <f>IF($A292&gt;'1-Input'!$B$26,0,IF(AP291&lt;=0,0,MAX(0,(AP291-AQ291)/AP291)))</f>
        <v>0.25651139040770515</v>
      </c>
      <c r="AL292" s="18">
        <f>IF($A292&gt;'1-Input'!$B$26,0,(MAX(0,AK286-IF($A292&gt;='1-Input'!$C$12,'1-Input'!$B$12,0))-MIN(MAX(AO291,0),MAX(0,AK286-IF($A292&gt;='1-Input'!$C$12,'1-Input'!$B$12,0))))*(1/(1-'P-Parametri'!$B$6*AK292))+MIN(MAX(0,AP291-(MAX(0,AK286-IF($A292&gt;='1-Input'!$C$12,'1-Input'!$B$12,0))-MIN(MAX(AO291,0),MAX(0,AK286-IF($A292&gt;='1-Input'!$C$12,'1-Input'!$B$12,0))))*(1/(1-'P-Parametri'!$B$6*AK292))),MAX(0,3*AK286-(AO291-MIN(MAX(AO291,0),MAX(0,AK286-IF($A292&gt;='1-Input'!$C$12,'1-Input'!$B$12,0)))))*(1/(1-'P-Parametri'!$B$6*AK292))))</f>
        <v>17774.831099891966</v>
      </c>
      <c r="AM292" s="18">
        <f>IF($A292&gt;'1-Input'!$B$26,AO291,(AO291-MAX(0,AK286-IF($A292&gt;='1-Input'!$C$12,'1-Input'!$B$12,0))+AL292*(1-'P-Parametri'!$B$6*AK292))*(1+'1-Input'!$B$27))</f>
        <v>49059.121162444499</v>
      </c>
      <c r="AN292" s="18">
        <f>IF($A292&gt;'1-Input'!$B$26,AP291,(AP291-AL292)*(1+$B$4))</f>
        <v>345154.25244438433</v>
      </c>
      <c r="AO292" s="18">
        <f>IF($A292&gt;'1-Input'!$B$26,AM292,AM292-'P-Parametri'!$B$8*(AN292+AM292)+MIN(MAX(AN292,0),'P-Parametri'!$B$8*(AN292+AM292)))</f>
        <v>49059.121162444499</v>
      </c>
      <c r="AP292" s="18">
        <f>IF($A292&gt;'1-Input'!$B$26,AN292,AN292-MIN(MAX(AN292,0),'P-Parametri'!$B$8*(AN292+AM292)))</f>
        <v>344365.82569717069</v>
      </c>
      <c r="AQ292" s="18">
        <f>IF($A292&gt;'1-Input'!$B$26,AQ291,AQ291-AL292*(1-AK292))</f>
        <v>251586.52474974826</v>
      </c>
    </row>
    <row r="293" spans="1:43">
      <c r="A293" s="10">
        <f>5</f>
        <v>5</v>
      </c>
      <c r="B293" s="11">
        <f>IF($A293&gt;'1-Input'!$B$26,0,IF(G292&lt;=0,0,MAX(0,(G292-H292)/G292)))</f>
        <v>0.26940412000005626</v>
      </c>
      <c r="C293" s="18">
        <f>IF($A293&gt;'1-Input'!$B$26,0,(MAX(0,B286-IF($A293&gt;='1-Input'!$C$12,'1-Input'!$B$12,0))-MIN(MAX(F292,0),MAX(0,B286-IF($A293&gt;='1-Input'!$C$12,'1-Input'!$B$12,0))))*(1/(1-'P-Parametri'!$B$6*B293))+MIN(MAX(0,G292-(MAX(0,B286-IF($A293&gt;='1-Input'!$C$12,'1-Input'!$B$12,0))-MIN(MAX(F292,0),MAX(0,B286-IF($A293&gt;='1-Input'!$C$12,'1-Input'!$B$12,0))))*(1/(1-'P-Parametri'!$B$6*B293))),MAX(0,3*B286-(F292-MIN(MAX(F292,0),MAX(0,B286-IF($A293&gt;='1-Input'!$C$12,'1-Input'!$B$12,0)))))*(1/(1-'P-Parametri'!$B$6*B293))))</f>
        <v>18131.212803809194</v>
      </c>
      <c r="D293" s="18">
        <f>IF($A293&gt;'1-Input'!$B$26,F292,(F292-MAX(0,B286-IF($A293&gt;='1-Input'!$C$12,'1-Input'!$B$12,0))+C293*(1-'P-Parametri'!$B$6*B293))*(1+'1-Input'!$B$27))</f>
        <v>49863.010546479447</v>
      </c>
      <c r="E293" s="18">
        <f>IF($A293&gt;'1-Input'!$B$26,G292,(G292-C293)*(1+$B$4))</f>
        <v>330636.68607042631</v>
      </c>
      <c r="F293" s="18">
        <f>IF($A293&gt;'1-Input'!$B$26,D293,D293-'P-Parametri'!$B$8*(E293+D293)+MIN(MAX(E293,0),'P-Parametri'!$B$8*(E293+D293)))</f>
        <v>49863.010546479447</v>
      </c>
      <c r="G293" s="18">
        <f>IF($A293&gt;'1-Input'!$B$26,E293,E293-MIN(MAX(E293,0),'P-Parametri'!$B$8*(E293+D293)))</f>
        <v>329875.68667719251</v>
      </c>
      <c r="H293" s="18">
        <f>IF($A293&gt;'1-Input'!$B$26,H292,H292-C293*(1-B293))</f>
        <v>236825.29472538063</v>
      </c>
      <c r="I293" s="11">
        <f>IF($A293&gt;'1-Input'!$B$26,0,IF(N292&lt;=0,0,MAX(0,(N292-O292)/N292)))</f>
        <v>0.26904425104483326</v>
      </c>
      <c r="J293" s="18">
        <f>IF($A293&gt;'1-Input'!$B$26,0,(MAX(0,I286-IF($A293&gt;='1-Input'!$C$12,'1-Input'!$B$12,0))-MIN(MAX(M292,0),MAX(0,I286-IF($A293&gt;='1-Input'!$C$12,'1-Input'!$B$12,0))))*(1/(1-'P-Parametri'!$B$6*I293))+MIN(MAX(0,N292-(MAX(0,I286-IF($A293&gt;='1-Input'!$C$12,'1-Input'!$B$12,0))-MIN(MAX(M292,0),MAX(0,I286-IF($A293&gt;='1-Input'!$C$12,'1-Input'!$B$12,0))))*(1/(1-'P-Parametri'!$B$6*I293))),MAX(0,3*I286-(M292-MIN(MAX(M292,0),MAX(0,I286-IF($A293&gt;='1-Input'!$C$12,'1-Input'!$B$12,0)))))*(1/(1-'P-Parametri'!$B$6*I293))))</f>
        <v>23854.458874139189</v>
      </c>
      <c r="K293" s="18">
        <f>IF($A293&gt;'1-Input'!$B$26,M292,(M292-MAX(0,I286-IF($A293&gt;='1-Input'!$C$12,'1-Input'!$B$12,0))+J293*(1-'P-Parametri'!$B$6*I293))*(1+'1-Input'!$B$27))</f>
        <v>65609.224403262444</v>
      </c>
      <c r="L293" s="18">
        <f>IF($A293&gt;'1-Input'!$B$26,N292,(N292-J293)*(1+$B$4))</f>
        <v>283223.17360619258</v>
      </c>
      <c r="M293" s="18">
        <f>IF($A293&gt;'1-Input'!$B$26,K293,K293-'P-Parametri'!$B$8*(L293+K293)+MIN(MAX(L293,0),'P-Parametri'!$B$8*(L293+K293)))</f>
        <v>65609.224403262444</v>
      </c>
      <c r="N293" s="18">
        <f>IF($A293&gt;'1-Input'!$B$26,L293,L293-MIN(MAX(L293,0),'P-Parametri'!$B$8*(L293+K293)))</f>
        <v>282525.50881017366</v>
      </c>
      <c r="O293" s="18">
        <f>IF($A293&gt;'1-Input'!$B$26,O292,O292-J293*(1-I293))</f>
        <v>202964.32057330754</v>
      </c>
      <c r="P293" s="11">
        <f>IF($A293&gt;'1-Input'!$B$26,0,IF(U292&lt;=0,0,MAX(0,(U292-V292)/U292)))</f>
        <v>0.26941910039673311</v>
      </c>
      <c r="Q293" s="18">
        <f>IF($A293&gt;'1-Input'!$B$26,0,(MAX(0,P286-IF($A293&gt;='1-Input'!$C$12,'1-Input'!$B$12,0))-MIN(MAX(T292,0),MAX(0,P286-IF($A293&gt;='1-Input'!$C$12,'1-Input'!$B$12,0))))*(1/(1-'P-Parametri'!$B$6*P293))+MIN(MAX(0,U292-(MAX(0,P286-IF($A293&gt;='1-Input'!$C$12,'1-Input'!$B$12,0))-MIN(MAX(T292,0),MAX(0,P286-IF($A293&gt;='1-Input'!$C$12,'1-Input'!$B$12,0))))*(1/(1-'P-Parametri'!$B$6*P293))),MAX(0,3*P286-(T292-MIN(MAX(T292,0),MAX(0,P286-IF($A293&gt;='1-Input'!$C$12,'1-Input'!$B$12,0)))))*(1/(1-'P-Parametri'!$B$6*P293))))</f>
        <v>17868.180488350779</v>
      </c>
      <c r="R293" s="18">
        <f>IF($A293&gt;'1-Input'!$B$26,T292,(T292-MAX(0,P286-IF($A293&gt;='1-Input'!$C$12,'1-Input'!$B$12,0))+Q293*(1-'P-Parametri'!$B$6*P293))*(1+'1-Input'!$B$27))</f>
        <v>49139.434310908975</v>
      </c>
      <c r="S293" s="18">
        <f>IF($A293&gt;'1-Input'!$B$26,U292,(U292-Q293)*(1+$B$4))</f>
        <v>332815.53610060806</v>
      </c>
      <c r="T293" s="18">
        <f>IF($A293&gt;'1-Input'!$B$26,R293,R293-'P-Parametri'!$B$8*(S293+R293)+MIN(MAX(S293,0),'P-Parametri'!$B$8*(S293+R293)))</f>
        <v>49139.434310908975</v>
      </c>
      <c r="U293" s="18">
        <f>IF($A293&gt;'1-Input'!$B$26,S293,S293-MIN(MAX(S293,0),'P-Parametri'!$B$8*(S293+R293)))</f>
        <v>332051.62615978502</v>
      </c>
      <c r="V293" s="18">
        <f>IF($A293&gt;'1-Input'!$B$26,V292,V292-Q293*(1-P293))</f>
        <v>238381.05271208411</v>
      </c>
      <c r="W293" s="11">
        <f>IF($A293&gt;'1-Input'!$B$26,0,IF(AB292&lt;=0,0,MAX(0,(AB292-AC292)/AB292)))</f>
        <v>0.26942058241665556</v>
      </c>
      <c r="X293" s="18">
        <f>IF($A293&gt;'1-Input'!$B$26,0,(MAX(0,W286-IF($A293&gt;='1-Input'!$C$12,'1-Input'!$B$12,0))-MIN(MAX(AA292,0),MAX(0,W286-IF($A293&gt;='1-Input'!$C$12,'1-Input'!$B$12,0))))*(1/(1-'P-Parametri'!$B$6*W293))+MIN(MAX(0,AB292-(MAX(0,W286-IF($A293&gt;='1-Input'!$C$12,'1-Input'!$B$12,0))-MIN(MAX(AA292,0),MAX(0,W286-IF($A293&gt;='1-Input'!$C$12,'1-Input'!$B$12,0))))*(1/(1-'P-Parametri'!$B$6*W293))),MAX(0,3*W286-(AA292-MIN(MAX(AA292,0),MAX(0,W286-IF($A293&gt;='1-Input'!$C$12,'1-Input'!$B$12,0)))))*(1/(1-'P-Parametri'!$B$6*W293))))</f>
        <v>17842.040388423207</v>
      </c>
      <c r="Y293" s="18">
        <f>IF($A293&gt;'1-Input'!$B$26,AA292,(AA292-MAX(0,W286-IF($A293&gt;='1-Input'!$C$12,'1-Input'!$B$12,0))+X293*(1-'P-Parametri'!$B$6*W293))*(1+'1-Input'!$B$27))</f>
        <v>49067.525869838581</v>
      </c>
      <c r="Z293" s="18">
        <f>IF($A293&gt;'1-Input'!$B$26,AB292,(AB292-X293)*(1+$B$4))</f>
        <v>333032.06889092951</v>
      </c>
      <c r="AA293" s="18">
        <f>IF($A293&gt;'1-Input'!$B$26,Y293,Y293-'P-Parametri'!$B$8*(Z293+Y293)+MIN(MAX(Z293,0),'P-Parametri'!$B$8*(Z293+Y293)))</f>
        <v>49067.525869838581</v>
      </c>
      <c r="AB293" s="18">
        <f>IF($A293&gt;'1-Input'!$B$26,Z293,Z293-MIN(MAX(Z293,0),'P-Parametri'!$B$8*(Z293+Y293)))</f>
        <v>332267.86970140797</v>
      </c>
      <c r="AC293" s="18">
        <f>IF($A293&gt;'1-Input'!$B$26,AC292,AC292-X293*(1-W293))</f>
        <v>238535.6616930505</v>
      </c>
      <c r="AD293" s="11">
        <f>IF($A293&gt;'1-Input'!$B$26,0,IF(AI292&lt;=0,0,MAX(0,(AI292-AJ292)/AI292)))</f>
        <v>0.26942075555845485</v>
      </c>
      <c r="AE293" s="18">
        <f>IF($A293&gt;'1-Input'!$B$26,0,(MAX(0,AD286-IF($A293&gt;='1-Input'!$C$12,'1-Input'!$B$12,0))-MIN(MAX(AH292,0),MAX(0,AD286-IF($A293&gt;='1-Input'!$C$12,'1-Input'!$B$12,0))))*(1/(1-'P-Parametri'!$B$6*AD293))+MIN(MAX(0,AI292-(MAX(0,AD286-IF($A293&gt;='1-Input'!$C$12,'1-Input'!$B$12,0))-MIN(MAX(AH292,0),MAX(0,AD286-IF($A293&gt;='1-Input'!$C$12,'1-Input'!$B$12,0))))*(1/(1-'P-Parametri'!$B$6*AD293))),MAX(0,3*AD286-(AH292-MIN(MAX(AH292,0),MAX(0,AD286-IF($A293&gt;='1-Input'!$C$12,'1-Input'!$B$12,0)))))*(1/(1-'P-Parametri'!$B$6*AD293))))</f>
        <v>17838.985092445073</v>
      </c>
      <c r="AF293" s="18">
        <f>IF($A293&gt;'1-Input'!$B$26,AH292,(AH292-MAX(0,AD286-IF($A293&gt;='1-Input'!$C$12,'1-Input'!$B$12,0))+AE293*(1-'P-Parametri'!$B$6*AD293))*(1+'1-Input'!$B$27))</f>
        <v>49059.121103160993</v>
      </c>
      <c r="AG293" s="18">
        <f>IF($A293&gt;'1-Input'!$B$26,AI292,(AI292-AE293)*(1+$B$4))</f>
        <v>333057.37757335452</v>
      </c>
      <c r="AH293" s="18">
        <f>IF($A293&gt;'1-Input'!$B$26,AF293,AF293-'P-Parametri'!$B$8*(AG293+AF293)+MIN(MAX(AG293,0),'P-Parametri'!$B$8*(AG293+AF293)))</f>
        <v>49059.121103160993</v>
      </c>
      <c r="AI293" s="18">
        <f>IF($A293&gt;'1-Input'!$B$26,AG293,AG293-MIN(MAX(AG293,0),'P-Parametri'!$B$8*(AG293+AF293)))</f>
        <v>332293.1445760015</v>
      </c>
      <c r="AJ293" s="18">
        <f>IF($A293&gt;'1-Input'!$B$26,AJ292,AJ292-AE293*(1-AD293))</f>
        <v>238553.73261100374</v>
      </c>
      <c r="AK293" s="11">
        <f>IF($A293&gt;'1-Input'!$B$26,0,IF(AP292&lt;=0,0,MAX(0,(AP292-AQ292)/AP292)))</f>
        <v>0.26942075555723383</v>
      </c>
      <c r="AL293" s="18">
        <f>IF($A293&gt;'1-Input'!$B$26,0,(MAX(0,AK286-IF($A293&gt;='1-Input'!$C$12,'1-Input'!$B$12,0))-MIN(MAX(AO292,0),MAX(0,AK286-IF($A293&gt;='1-Input'!$C$12,'1-Input'!$B$12,0))))*(1/(1-'P-Parametri'!$B$6*AK293))+MIN(MAX(0,AP292-(MAX(0,AK286-IF($A293&gt;='1-Input'!$C$12,'1-Input'!$B$12,0))-MIN(MAX(AO292,0),MAX(0,AK286-IF($A293&gt;='1-Input'!$C$12,'1-Input'!$B$12,0))))*(1/(1-'P-Parametri'!$B$6*AK293))),MAX(0,3*AK286-(AO292-MIN(MAX(AO292,0),MAX(0,AK286-IF($A293&gt;='1-Input'!$C$12,'1-Input'!$B$12,0)))))*(1/(1-'P-Parametri'!$B$6*AK293))))</f>
        <v>17838.985113995779</v>
      </c>
      <c r="AM293" s="18">
        <f>IF($A293&gt;'1-Input'!$B$26,AO292,(AO292-MAX(0,AK286-IF($A293&gt;='1-Input'!$C$12,'1-Input'!$B$12,0))+AL293*(1-'P-Parametri'!$B$6*AK293))*(1+'1-Input'!$B$27))</f>
        <v>49059.121162444499</v>
      </c>
      <c r="AN293" s="18">
        <f>IF($A293&gt;'1-Input'!$B$26,AP292,(AP292-AL293)*(1+$B$4))</f>
        <v>333057.37739483838</v>
      </c>
      <c r="AO293" s="18">
        <f>IF($A293&gt;'1-Input'!$B$26,AM293,AM293-'P-Parametri'!$B$8*(AN293+AM293)+MIN(MAX(AN293,0),'P-Parametri'!$B$8*(AN293+AM293)))</f>
        <v>49059.121162444499</v>
      </c>
      <c r="AP293" s="18">
        <f>IF($A293&gt;'1-Input'!$B$26,AN293,AN293-MIN(MAX(AN293,0),'P-Parametri'!$B$8*(AN293+AM293)))</f>
        <v>332293.14439772384</v>
      </c>
      <c r="AQ293" s="18">
        <f>IF($A293&gt;'1-Input'!$B$26,AQ292,AQ292-AL293*(1-AK293))</f>
        <v>238553.73248353947</v>
      </c>
    </row>
    <row r="294" spans="1:43">
      <c r="A294" s="10">
        <f>6</f>
        <v>6</v>
      </c>
      <c r="B294" s="11">
        <f>IF($A294&gt;'1-Input'!$B$26,0,IF(G293&lt;=0,0,MAX(0,(G293-H293)/G293)))</f>
        <v>0.28207714514852528</v>
      </c>
      <c r="C294" s="18">
        <f>IF($A294&gt;'1-Input'!$B$26,0,(MAX(0,B286-IF($A294&gt;='1-Input'!$C$12,'1-Input'!$B$12,0))-MIN(MAX(F293,0),MAX(0,B286-IF($A294&gt;='1-Input'!$C$12,'1-Input'!$B$12,0))))*(1/(1-'P-Parametri'!$B$6*B294))+MIN(MAX(0,G293-(MAX(0,B286-IF($A294&gt;='1-Input'!$C$12,'1-Input'!$B$12,0))-MIN(MAX(F293,0),MAX(0,B286-IF($A294&gt;='1-Input'!$C$12,'1-Input'!$B$12,0))))*(1/(1-'P-Parametri'!$B$6*B294))),MAX(0,3*B286-(F293-MIN(MAX(F293,0),MAX(0,B286-IF($A294&gt;='1-Input'!$C$12,'1-Input'!$B$12,0)))))*(1/(1-'P-Parametri'!$B$6*B294))))</f>
        <v>18195.683166012706</v>
      </c>
      <c r="D294" s="18">
        <f>IF($A294&gt;'1-Input'!$B$26,F293,(F293-MAX(0,B286-IF($A294&gt;='1-Input'!$C$12,'1-Input'!$B$12,0))+C294*(1-'P-Parametri'!$B$6*B294))*(1+'1-Input'!$B$27))</f>
        <v>49863.010546479447</v>
      </c>
      <c r="E294" s="18">
        <f>IF($A294&gt;'1-Input'!$B$26,G293,(G293-C294)*(1+$B$4))</f>
        <v>317913.60358140344</v>
      </c>
      <c r="F294" s="18">
        <f>IF($A294&gt;'1-Input'!$B$26,D294,D294-'P-Parametri'!$B$8*(E294+D294)+MIN(MAX(E294,0),'P-Parametri'!$B$8*(E294+D294)))</f>
        <v>49863.010546479447</v>
      </c>
      <c r="G294" s="18">
        <f>IF($A294&gt;'1-Input'!$B$26,E294,E294-MIN(MAX(E294,0),'P-Parametri'!$B$8*(E294+D294)))</f>
        <v>317178.05035314767</v>
      </c>
      <c r="H294" s="18">
        <f>IF($A294&gt;'1-Input'!$B$26,H293,H293-C294*(1-B294))</f>
        <v>223762.19792086387</v>
      </c>
      <c r="I294" s="11">
        <f>IF($A294&gt;'1-Input'!$B$26,0,IF(N293&lt;=0,0,MAX(0,(N293-O293)/N293)))</f>
        <v>0.28160709654830696</v>
      </c>
      <c r="J294" s="18">
        <f>IF($A294&gt;'1-Input'!$B$26,0,(MAX(0,I286-IF($A294&gt;='1-Input'!$C$12,'1-Input'!$B$12,0))-MIN(MAX(M293,0),MAX(0,I286-IF($A294&gt;='1-Input'!$C$12,'1-Input'!$B$12,0))))*(1/(1-'P-Parametri'!$B$6*I294))+MIN(MAX(0,N293-(MAX(0,I286-IF($A294&gt;='1-Input'!$C$12,'1-Input'!$B$12,0))-MIN(MAX(M293,0),MAX(0,I286-IF($A294&gt;='1-Input'!$C$12,'1-Input'!$B$12,0))))*(1/(1-'P-Parametri'!$B$6*I294))),MAX(0,3*I286-(M293-MIN(MAX(M293,0),MAX(0,I286-IF($A294&gt;='1-Input'!$C$12,'1-Input'!$B$12,0)))))*(1/(1-'P-Parametri'!$B$6*I294))))</f>
        <v>23938.531240825909</v>
      </c>
      <c r="K294" s="18">
        <f>IF($A294&gt;'1-Input'!$B$26,M293,(M293-MAX(0,I286-IF($A294&gt;='1-Input'!$C$12,'1-Input'!$B$12,0))+J294*(1-'P-Parametri'!$B$6*I294))*(1+'1-Input'!$B$27))</f>
        <v>65609.224403262444</v>
      </c>
      <c r="L294" s="18">
        <f>IF($A294&gt;'1-Input'!$B$26,N293,(N293-J294)*(1+$B$4))</f>
        <v>263758.71712073468</v>
      </c>
      <c r="M294" s="18">
        <f>IF($A294&gt;'1-Input'!$B$26,K294,K294-'P-Parametri'!$B$8*(L294+K294)+MIN(MAX(L294,0),'P-Parametri'!$B$8*(L294+K294)))</f>
        <v>65609.224403262444</v>
      </c>
      <c r="N294" s="18">
        <f>IF($A294&gt;'1-Input'!$B$26,L294,L294-MIN(MAX(L294,0),'P-Parametri'!$B$8*(L294+K294)))</f>
        <v>263099.9812376867</v>
      </c>
      <c r="O294" s="18">
        <f>IF($A294&gt;'1-Input'!$B$26,O293,O293-J294*(1-I294))</f>
        <v>185767.04961084155</v>
      </c>
      <c r="P294" s="11">
        <f>IF($A294&gt;'1-Input'!$B$26,0,IF(U293&lt;=0,0,MAX(0,(U293-V293)/U293)))</f>
        <v>0.28209641534062574</v>
      </c>
      <c r="Q294" s="18">
        <f>IF($A294&gt;'1-Input'!$B$26,0,(MAX(0,P286-IF($A294&gt;='1-Input'!$C$12,'1-Input'!$B$12,0))-MIN(MAX(T293,0),MAX(0,P286-IF($A294&gt;='1-Input'!$C$12,'1-Input'!$B$12,0))))*(1/(1-'P-Parametri'!$B$6*P294))+MIN(MAX(0,U293-(MAX(0,P286-IF($A294&gt;='1-Input'!$C$12,'1-Input'!$B$12,0))-MIN(MAX(T293,0),MAX(0,P286-IF($A294&gt;='1-Input'!$C$12,'1-Input'!$B$12,0))))*(1/(1-'P-Parametri'!$B$6*P294))),MAX(0,3*P286-(T293-MIN(MAX(T293,0),MAX(0,P286-IF($A294&gt;='1-Input'!$C$12,'1-Input'!$B$12,0)))))*(1/(1-'P-Parametri'!$B$6*P294))))</f>
        <v>17931.737419158559</v>
      </c>
      <c r="R294" s="18">
        <f>IF($A294&gt;'1-Input'!$B$26,T293,(T293-MAX(0,P286-IF($A294&gt;='1-Input'!$C$12,'1-Input'!$B$12,0))+Q294*(1-'P-Parametri'!$B$6*P294))*(1+'1-Input'!$B$27))</f>
        <v>49139.434310908975</v>
      </c>
      <c r="S294" s="18">
        <f>IF($A294&gt;'1-Input'!$B$26,U293,(U293-Q294)*(1+$B$4))</f>
        <v>320402.28651543899</v>
      </c>
      <c r="T294" s="18">
        <f>IF($A294&gt;'1-Input'!$B$26,R294,R294-'P-Parametri'!$B$8*(S294+R294)+MIN(MAX(S294,0),'P-Parametri'!$B$8*(S294+R294)))</f>
        <v>49139.434310908968</v>
      </c>
      <c r="U294" s="18">
        <f>IF($A294&gt;'1-Input'!$B$26,S294,S294-MIN(MAX(S294,0),'P-Parametri'!$B$8*(S294+R294)))</f>
        <v>319663.20307378628</v>
      </c>
      <c r="V294" s="18">
        <f>IF($A294&gt;'1-Input'!$B$26,V293,V293-Q294*(1-P294))</f>
        <v>225507.79413969954</v>
      </c>
      <c r="W294" s="11">
        <f>IF($A294&gt;'1-Input'!$B$26,0,IF(AB293&lt;=0,0,MAX(0,(AB293-AC293)/AB293)))</f>
        <v>0.28209832052852352</v>
      </c>
      <c r="X294" s="18">
        <f>IF($A294&gt;'1-Input'!$B$26,0,(MAX(0,W286-IF($A294&gt;='1-Input'!$C$12,'1-Input'!$B$12,0))-MIN(MAX(AA293,0),MAX(0,W286-IF($A294&gt;='1-Input'!$C$12,'1-Input'!$B$12,0))))*(1/(1-'P-Parametri'!$B$6*W294))+MIN(MAX(0,AB293-(MAX(0,W286-IF($A294&gt;='1-Input'!$C$12,'1-Input'!$B$12,0))-MIN(MAX(AA293,0),MAX(0,W286-IF($A294&gt;='1-Input'!$C$12,'1-Input'!$B$12,0))))*(1/(1-'P-Parametri'!$B$6*W294))),MAX(0,3*W286-(AA293-MIN(MAX(AA293,0),MAX(0,W286-IF($A294&gt;='1-Input'!$C$12,'1-Input'!$B$12,0)))))*(1/(1-'P-Parametri'!$B$6*W294))))</f>
        <v>17905.506491518248</v>
      </c>
      <c r="Y294" s="18">
        <f>IF($A294&gt;'1-Input'!$B$26,AA293,(AA293-MAX(0,W286-IF($A294&gt;='1-Input'!$C$12,'1-Input'!$B$12,0))+X294*(1-'P-Parametri'!$B$6*W294))*(1+'1-Input'!$B$27))</f>
        <v>49067.525869838581</v>
      </c>
      <c r="Z294" s="18">
        <f>IF($A294&gt;'1-Input'!$B$26,AB293,(AB293-X294)*(1+$B$4))</f>
        <v>320649.61047408753</v>
      </c>
      <c r="AA294" s="18">
        <f>IF($A294&gt;'1-Input'!$B$26,Y294,Y294-'P-Parametri'!$B$8*(Z294+Y294)+MIN(MAX(Z294,0),'P-Parametri'!$B$8*(Z294+Y294)))</f>
        <v>49067.525869838581</v>
      </c>
      <c r="AB294" s="18">
        <f>IF($A294&gt;'1-Input'!$B$26,Z294,Z294-MIN(MAX(Z294,0),'P-Parametri'!$B$8*(Z294+Y294)))</f>
        <v>319910.17620139971</v>
      </c>
      <c r="AC294" s="18">
        <f>IF($A294&gt;'1-Input'!$B$26,AC293,AC293-X294*(1-W294))</f>
        <v>225681.26851100213</v>
      </c>
      <c r="AD294" s="11">
        <f>IF($A294&gt;'1-Input'!$B$26,0,IF(AI293&lt;=0,0,MAX(0,(AI293-AJ293)/AI293)))</f>
        <v>0.28209854309395133</v>
      </c>
      <c r="AE294" s="18">
        <f>IF($A294&gt;'1-Input'!$B$26,0,(MAX(0,AD286-IF($A294&gt;='1-Input'!$C$12,'1-Input'!$B$12,0))-MIN(MAX(AH293,0),MAX(0,AD286-IF($A294&gt;='1-Input'!$C$12,'1-Input'!$B$12,0))))*(1/(1-'P-Parametri'!$B$6*AD294))+MIN(MAX(0,AI293-(MAX(0,AD286-IF($A294&gt;='1-Input'!$C$12,'1-Input'!$B$12,0))-MIN(MAX(AH293,0),MAX(0,AD286-IF($A294&gt;='1-Input'!$C$12,'1-Input'!$B$12,0))))*(1/(1-'P-Parametri'!$B$6*AD294))),MAX(0,3*AD286-(AH293-MIN(MAX(AH293,0),MAX(0,AD286-IF($A294&gt;='1-Input'!$C$12,'1-Input'!$B$12,0)))))*(1/(1-'P-Parametri'!$B$6*AD294))))</f>
        <v>17902.440578855942</v>
      </c>
      <c r="AF294" s="18">
        <f>IF($A294&gt;'1-Input'!$B$26,AH293,(AH293-MAX(0,AD286-IF($A294&gt;='1-Input'!$C$12,'1-Input'!$B$12,0))+AE294*(1-'P-Parametri'!$B$6*AD294))*(1+'1-Input'!$B$27))</f>
        <v>49059.121103160993</v>
      </c>
      <c r="AG294" s="18">
        <f>IF($A294&gt;'1-Input'!$B$26,AI293,(AI293-AE294)*(1+$B$4))</f>
        <v>320678.51807708852</v>
      </c>
      <c r="AH294" s="18">
        <f>IF($A294&gt;'1-Input'!$B$26,AF294,AF294-'P-Parametri'!$B$8*(AG294+AF294)+MIN(MAX(AG294,0),'P-Parametri'!$B$8*(AG294+AF294)))</f>
        <v>49059.121103160993</v>
      </c>
      <c r="AI294" s="18">
        <f>IF($A294&gt;'1-Input'!$B$26,AG294,AG294-MIN(MAX(AG294,0),'P-Parametri'!$B$8*(AG294+AF294)))</f>
        <v>319939.04279872804</v>
      </c>
      <c r="AJ294" s="18">
        <f>IF($A294&gt;'1-Input'!$B$26,AJ293,AJ293-AE294*(1-AD294))</f>
        <v>225701.5444372691</v>
      </c>
      <c r="AK294" s="11">
        <f>IF($A294&gt;'1-Input'!$B$26,0,IF(AP293&lt;=0,0,MAX(0,(AP293-AQ293)/AP293)))</f>
        <v>0.28209854309238186</v>
      </c>
      <c r="AL294" s="18">
        <f>IF($A294&gt;'1-Input'!$B$26,0,(MAX(0,AK286-IF($A294&gt;='1-Input'!$C$12,'1-Input'!$B$12,0))-MIN(MAX(AO293,0),MAX(0,AK286-IF($A294&gt;='1-Input'!$C$12,'1-Input'!$B$12,0))))*(1/(1-'P-Parametri'!$B$6*AK294))+MIN(MAX(0,AP293-(MAX(0,AK286-IF($A294&gt;='1-Input'!$C$12,'1-Input'!$B$12,0))-MIN(MAX(AO293,0),MAX(0,AK286-IF($A294&gt;='1-Input'!$C$12,'1-Input'!$B$12,0))))*(1/(1-'P-Parametri'!$B$6*AK294))),MAX(0,3*AK286-(AO293-MIN(MAX(AO293,0),MAX(0,AK286-IF($A294&gt;='1-Input'!$C$12,'1-Input'!$B$12,0)))))*(1/(1-'P-Parametri'!$B$6*AK294))))</f>
        <v>17902.440600481536</v>
      </c>
      <c r="AM294" s="18">
        <f>IF($A294&gt;'1-Input'!$B$26,AO293,(AO293-MAX(0,AK286-IF($A294&gt;='1-Input'!$C$12,'1-Input'!$B$12,0))+AL294*(1-'P-Parametri'!$B$6*AK294))*(1+'1-Input'!$B$27))</f>
        <v>49059.121162444499</v>
      </c>
      <c r="AN294" s="18">
        <f>IF($A294&gt;'1-Input'!$B$26,AP293,(AP293-AL294)*(1+$B$4))</f>
        <v>320678.51787318714</v>
      </c>
      <c r="AO294" s="18">
        <f>IF($A294&gt;'1-Input'!$B$26,AM294,AM294-'P-Parametri'!$B$8*(AN294+AM294)+MIN(MAX(AN294,0),'P-Parametri'!$B$8*(AN294+AM294)))</f>
        <v>49059.121162444499</v>
      </c>
      <c r="AP294" s="18">
        <f>IF($A294&gt;'1-Input'!$B$26,AN294,AN294-MIN(MAX(AN294,0),'P-Parametri'!$B$8*(AN294+AM294)))</f>
        <v>319939.0425951159</v>
      </c>
      <c r="AQ294" s="18">
        <f>IF($A294&gt;'1-Input'!$B$26,AQ293,AQ293-AL294*(1-AK294))</f>
        <v>225701.54429425168</v>
      </c>
    </row>
    <row r="295" spans="1:43">
      <c r="A295" s="10">
        <f>7</f>
        <v>7</v>
      </c>
      <c r="B295" s="11">
        <f>IF($A295&gt;'1-Input'!$B$26,0,IF(G294&lt;=0,0,MAX(0,(G294-H294)/G294)))</f>
        <v>0.29452180668956796</v>
      </c>
      <c r="C295" s="18">
        <f>IF($A295&gt;'1-Input'!$B$26,0,(MAX(0,B286-IF($A295&gt;='1-Input'!$C$12,'1-Input'!$B$12,0))-MIN(MAX(F294,0),MAX(0,B286-IF($A295&gt;='1-Input'!$C$12,'1-Input'!$B$12,0))))*(1/(1-'P-Parametri'!$B$6*B295))+MIN(MAX(0,G294-(MAX(0,B286-IF($A295&gt;='1-Input'!$C$12,'1-Input'!$B$12,0))-MIN(MAX(F294,0),MAX(0,B286-IF($A295&gt;='1-Input'!$C$12,'1-Input'!$B$12,0))))*(1/(1-'P-Parametri'!$B$6*B295))),MAX(0,3*B286-(F294-MIN(MAX(F294,0),MAX(0,B286-IF($A295&gt;='1-Input'!$C$12,'1-Input'!$B$12,0)))))*(1/(1-'P-Parametri'!$B$6*B295))))</f>
        <v>18259.439522525143</v>
      </c>
      <c r="D295" s="18">
        <f>IF($A295&gt;'1-Input'!$B$26,F294,(F294-MAX(0,B286-IF($A295&gt;='1-Input'!$C$12,'1-Input'!$B$12,0))+C295*(1-'P-Parametri'!$B$6*B295))*(1+'1-Input'!$B$27))</f>
        <v>49863.010546479447</v>
      </c>
      <c r="E295" s="18">
        <f>IF($A295&gt;'1-Input'!$B$26,G294,(G294-C295)*(1+$B$4))</f>
        <v>304896.983047235</v>
      </c>
      <c r="F295" s="18">
        <f>IF($A295&gt;'1-Input'!$B$26,D295,D295-'P-Parametri'!$B$8*(E295+D295)+MIN(MAX(E295,0),'P-Parametri'!$B$8*(E295+D295)))</f>
        <v>49863.010546479447</v>
      </c>
      <c r="G295" s="18">
        <f>IF($A295&gt;'1-Input'!$B$26,E295,E295-MIN(MAX(E295,0),'P-Parametri'!$B$8*(E295+D295)))</f>
        <v>304187.46306004759</v>
      </c>
      <c r="H295" s="18">
        <f>IF($A295&gt;'1-Input'!$B$26,H294,H294-C295*(1-B295))</f>
        <v>210880.56151565173</v>
      </c>
      <c r="I295" s="11">
        <f>IF($A295&gt;'1-Input'!$B$26,0,IF(N294&lt;=0,0,MAX(0,(N294-O294)/N294)))</f>
        <v>0.29392982569991877</v>
      </c>
      <c r="J295" s="18">
        <f>IF($A295&gt;'1-Input'!$B$26,0,(MAX(0,I286-IF($A295&gt;='1-Input'!$C$12,'1-Input'!$B$12,0))-MIN(MAX(M294,0),MAX(0,I286-IF($A295&gt;='1-Input'!$C$12,'1-Input'!$B$12,0))))*(1/(1-'P-Parametri'!$B$6*I295))+MIN(MAX(0,N294-(MAX(0,I286-IF($A295&gt;='1-Input'!$C$12,'1-Input'!$B$12,0))-MIN(MAX(M294,0),MAX(0,I286-IF($A295&gt;='1-Input'!$C$12,'1-Input'!$B$12,0))))*(1/(1-'P-Parametri'!$B$6*I295))),MAX(0,3*I286-(M294-MIN(MAX(M294,0),MAX(0,I286-IF($A295&gt;='1-Input'!$C$12,'1-Input'!$B$12,0)))))*(1/(1-'P-Parametri'!$B$6*I295))))</f>
        <v>24021.574437164185</v>
      </c>
      <c r="K295" s="18">
        <f>IF($A295&gt;'1-Input'!$B$26,M294,(M294-MAX(0,I286-IF($A295&gt;='1-Input'!$C$12,'1-Input'!$B$12,0))+J295*(1-'P-Parametri'!$B$6*I295))*(1+'1-Input'!$B$27))</f>
        <v>65609.224403262444</v>
      </c>
      <c r="L295" s="18">
        <f>IF($A295&gt;'1-Input'!$B$26,N294,(N294-J295)*(1+$B$4))</f>
        <v>243859.97493653299</v>
      </c>
      <c r="M295" s="18">
        <f>IF($A295&gt;'1-Input'!$B$26,K295,K295-'P-Parametri'!$B$8*(L295+K295)+MIN(MAX(L295,0),'P-Parametri'!$B$8*(L295+K295)))</f>
        <v>65609.224403262444</v>
      </c>
      <c r="N295" s="18">
        <f>IF($A295&gt;'1-Input'!$B$26,L295,L295-MIN(MAX(L295,0),'P-Parametri'!$B$8*(L295+K295)))</f>
        <v>243241.03653785339</v>
      </c>
      <c r="O295" s="18">
        <f>IF($A295&gt;'1-Input'!$B$26,O294,O294-J295*(1-I295))</f>
        <v>168806.13236103067</v>
      </c>
      <c r="P295" s="11">
        <f>IF($A295&gt;'1-Input'!$B$26,0,IF(U294&lt;=0,0,MAX(0,(U294-V294)/U294)))</f>
        <v>0.2945456593962531</v>
      </c>
      <c r="Q295" s="18">
        <f>IF($A295&gt;'1-Input'!$B$26,0,(MAX(0,P286-IF($A295&gt;='1-Input'!$C$12,'1-Input'!$B$12,0))-MIN(MAX(T294,0),MAX(0,P286-IF($A295&gt;='1-Input'!$C$12,'1-Input'!$B$12,0))))*(1/(1-'P-Parametri'!$B$6*P295))+MIN(MAX(0,U294-(MAX(0,P286-IF($A295&gt;='1-Input'!$C$12,'1-Input'!$B$12,0))-MIN(MAX(T294,0),MAX(0,P286-IF($A295&gt;='1-Input'!$C$12,'1-Input'!$B$12,0))))*(1/(1-'P-Parametri'!$B$6*P295))),MAX(0,3*P286-(T294-MIN(MAX(T294,0),MAX(0,P286-IF($A295&gt;='1-Input'!$C$12,'1-Input'!$B$12,0)))))*(1/(1-'P-Parametri'!$B$6*P295))))</f>
        <v>17994.592487548394</v>
      </c>
      <c r="R295" s="18">
        <f>IF($A295&gt;'1-Input'!$B$26,T294,(T294-MAX(0,P286-IF($A295&gt;='1-Input'!$C$12,'1-Input'!$B$12,0))+Q295*(1-'P-Parametri'!$B$6*P295))*(1+'1-Input'!$B$27))</f>
        <v>49139.434310908975</v>
      </c>
      <c r="S295" s="18">
        <f>IF($A295&gt;'1-Input'!$B$26,U294,(U294-Q295)*(1+$B$4))</f>
        <v>307701.98279796261</v>
      </c>
      <c r="T295" s="18">
        <f>IF($A295&gt;'1-Input'!$B$26,R295,R295-'P-Parametri'!$B$8*(S295+R295)+MIN(MAX(S295,0),'P-Parametri'!$B$8*(S295+R295)))</f>
        <v>49139.434310908975</v>
      </c>
      <c r="U295" s="18">
        <f>IF($A295&gt;'1-Input'!$B$26,S295,S295-MIN(MAX(S295,0),'P-Parametri'!$B$8*(S295+R295)))</f>
        <v>306988.29996374488</v>
      </c>
      <c r="V295" s="18">
        <f>IF($A295&gt;'1-Input'!$B$26,V294,V294-Q295*(1-P295))</f>
        <v>212813.43076196295</v>
      </c>
      <c r="W295" s="11">
        <f>IF($A295&gt;'1-Input'!$B$26,0,IF(AB294&lt;=0,0,MAX(0,(AB294-AC294)/AB294)))</f>
        <v>0.29454801597519581</v>
      </c>
      <c r="X295" s="18">
        <f>IF($A295&gt;'1-Input'!$B$26,0,(MAX(0,W286-IF($A295&gt;='1-Input'!$C$12,'1-Input'!$B$12,0))-MIN(MAX(AA294,0),MAX(0,W286-IF($A295&gt;='1-Input'!$C$12,'1-Input'!$B$12,0))))*(1/(1-'P-Parametri'!$B$6*W295))+MIN(MAX(0,AB294-(MAX(0,W286-IF($A295&gt;='1-Input'!$C$12,'1-Input'!$B$12,0))-MIN(MAX(AA294,0),MAX(0,W286-IF($A295&gt;='1-Input'!$C$12,'1-Input'!$B$12,0))))*(1/(1-'P-Parametri'!$B$6*W295))),MAX(0,3*W286-(AA294-MIN(MAX(AA294,0),MAX(0,W286-IF($A295&gt;='1-Input'!$C$12,'1-Input'!$B$12,0)))))*(1/(1-'P-Parametri'!$B$6*W295))))</f>
        <v>17968.271931518277</v>
      </c>
      <c r="Y295" s="18">
        <f>IF($A295&gt;'1-Input'!$B$26,AA294,(AA294-MAX(0,W286-IF($A295&gt;='1-Input'!$C$12,'1-Input'!$B$12,0))+X295*(1-'P-Parametri'!$B$6*W295))*(1+'1-Input'!$B$27))</f>
        <v>49067.525869838581</v>
      </c>
      <c r="Z295" s="18">
        <f>IF($A295&gt;'1-Input'!$B$26,AB294,(AB294-X295)*(1+$B$4))</f>
        <v>307980.74235527904</v>
      </c>
      <c r="AA295" s="18">
        <f>IF($A295&gt;'1-Input'!$B$26,Y295,Y295-'P-Parametri'!$B$8*(Z295+Y295)+MIN(MAX(Z295,0),'P-Parametri'!$B$8*(Z295+Y295)))</f>
        <v>49067.525869838581</v>
      </c>
      <c r="AB295" s="18">
        <f>IF($A295&gt;'1-Input'!$B$26,Z295,Z295-MIN(MAX(Z295,0),'P-Parametri'!$B$8*(Z295+Y295)))</f>
        <v>307266.64581882878</v>
      </c>
      <c r="AC295" s="18">
        <f>IF($A295&gt;'1-Input'!$B$26,AC294,AC294-X295*(1-W295))</f>
        <v>213005.51542741535</v>
      </c>
      <c r="AD295" s="11">
        <f>IF($A295&gt;'1-Input'!$B$26,0,IF(AI294&lt;=0,0,MAX(0,(AI294-AJ294)/AI294)))</f>
        <v>0.29454829125291609</v>
      </c>
      <c r="AE295" s="18">
        <f>IF($A295&gt;'1-Input'!$B$26,0,(MAX(0,AD286-IF($A295&gt;='1-Input'!$C$12,'1-Input'!$B$12,0))-MIN(MAX(AH294,0),MAX(0,AD286-IF($A295&gt;='1-Input'!$C$12,'1-Input'!$B$12,0))))*(1/(1-'P-Parametri'!$B$6*AD295))+MIN(MAX(0,AI294-(MAX(0,AD286-IF($A295&gt;='1-Input'!$C$12,'1-Input'!$B$12,0))-MIN(MAX(AH294,0),MAX(0,AD286-IF($A295&gt;='1-Input'!$C$12,'1-Input'!$B$12,0))))*(1/(1-'P-Parametri'!$B$6*AD295))),MAX(0,3*AD286-(AH294-MIN(MAX(AH294,0),MAX(0,AD286-IF($A295&gt;='1-Input'!$C$12,'1-Input'!$B$12,0)))))*(1/(1-'P-Parametri'!$B$6*AD295))))</f>
        <v>17965.19554226398</v>
      </c>
      <c r="AF295" s="18">
        <f>IF($A295&gt;'1-Input'!$B$26,AH294,(AH294-MAX(0,AD286-IF($A295&gt;='1-Input'!$C$12,'1-Input'!$B$12,0))+AE295*(1-'P-Parametri'!$B$6*AD295))*(1+'1-Input'!$B$27))</f>
        <v>49059.121103160993</v>
      </c>
      <c r="AG295" s="18">
        <f>IF($A295&gt;'1-Input'!$B$26,AI294,(AI294-AE295)*(1+$B$4))</f>
        <v>308013.32420159335</v>
      </c>
      <c r="AH295" s="18">
        <f>IF($A295&gt;'1-Input'!$B$26,AF295,AF295-'P-Parametri'!$B$8*(AG295+AF295)+MIN(MAX(AG295,0),'P-Parametri'!$B$8*(AG295+AF295)))</f>
        <v>49059.121103160993</v>
      </c>
      <c r="AI295" s="18">
        <f>IF($A295&gt;'1-Input'!$B$26,AG295,AG295-MIN(MAX(AG295,0),'P-Parametri'!$B$8*(AG295+AF295)))</f>
        <v>307299.17931098386</v>
      </c>
      <c r="AJ295" s="18">
        <f>IF($A295&gt;'1-Input'!$B$26,AJ294,AJ294-AE295*(1-AD295))</f>
        <v>213027.96654400349</v>
      </c>
      <c r="AK295" s="11">
        <f>IF($A295&gt;'1-Input'!$B$26,0,IF(AP294&lt;=0,0,MAX(0,(AP294-AQ294)/AP294)))</f>
        <v>0.29454829125097476</v>
      </c>
      <c r="AL295" s="18">
        <f>IF($A295&gt;'1-Input'!$B$26,0,(MAX(0,AK286-IF($A295&gt;='1-Input'!$C$12,'1-Input'!$B$12,0))-MIN(MAX(AO294,0),MAX(0,AK286-IF($A295&gt;='1-Input'!$C$12,'1-Input'!$B$12,0))))*(1/(1-'P-Parametri'!$B$6*AK295))+MIN(MAX(0,AP294-(MAX(0,AK286-IF($A295&gt;='1-Input'!$C$12,'1-Input'!$B$12,0))-MIN(MAX(AO294,0),MAX(0,AK286-IF($A295&gt;='1-Input'!$C$12,'1-Input'!$B$12,0))))*(1/(1-'P-Parametri'!$B$6*AK295))),MAX(0,3*AK286-(AO294-MIN(MAX(AO294,0),MAX(0,AK286-IF($A295&gt;='1-Input'!$C$12,'1-Input'!$B$12,0)))))*(1/(1-'P-Parametri'!$B$6*AK295))))</f>
        <v>17965.195563963469</v>
      </c>
      <c r="AM295" s="18">
        <f>IF($A295&gt;'1-Input'!$B$26,AO294,(AO294-MAX(0,AK286-IF($A295&gt;='1-Input'!$C$12,'1-Input'!$B$12,0))+AL295*(1-'P-Parametri'!$B$6*AK295))*(1+'1-Input'!$B$27))</f>
        <v>49059.121162444499</v>
      </c>
      <c r="AN295" s="18">
        <f>IF($A295&gt;'1-Input'!$B$26,AP294,(AP294-AL295)*(1+$B$4))</f>
        <v>308013.32397177554</v>
      </c>
      <c r="AO295" s="18">
        <f>IF($A295&gt;'1-Input'!$B$26,AM295,AM295-'P-Parametri'!$B$8*(AN295+AM295)+MIN(MAX(AN295,0),'P-Parametri'!$B$8*(AN295+AM295)))</f>
        <v>49059.121162444499</v>
      </c>
      <c r="AP295" s="18">
        <f>IF($A295&gt;'1-Input'!$B$26,AN295,AN295-MIN(MAX(AN295,0),'P-Parametri'!$B$8*(AN295+AM295)))</f>
        <v>307299.17908150709</v>
      </c>
      <c r="AQ295" s="18">
        <f>IF($A295&gt;'1-Input'!$B$26,AQ294,AQ294-AL295*(1-AK295))</f>
        <v>213027.96638564323</v>
      </c>
    </row>
    <row r="296" spans="1:43">
      <c r="A296" s="10">
        <f>8</f>
        <v>8</v>
      </c>
      <c r="B296" s="11">
        <f>IF($A296&gt;'1-Input'!$B$26,0,IF(G295&lt;=0,0,MAX(0,(G295-H295)/G295)))</f>
        <v>0.30674144360110195</v>
      </c>
      <c r="C296" s="18">
        <f>IF($A296&gt;'1-Input'!$B$26,0,(MAX(0,B286-IF($A296&gt;='1-Input'!$C$12,'1-Input'!$B$12,0))-MIN(MAX(F295,0),MAX(0,B286-IF($A296&gt;='1-Input'!$C$12,'1-Input'!$B$12,0))))*(1/(1-'P-Parametri'!$B$6*B296))+MIN(MAX(0,G295-(MAX(0,B286-IF($A296&gt;='1-Input'!$C$12,'1-Input'!$B$12,0))-MIN(MAX(F295,0),MAX(0,B286-IF($A296&gt;='1-Input'!$C$12,'1-Input'!$B$12,0))))*(1/(1-'P-Parametri'!$B$6*B296))),MAX(0,3*B286-(F295-MIN(MAX(F295,0),MAX(0,B286-IF($A296&gt;='1-Input'!$C$12,'1-Input'!$B$12,0)))))*(1/(1-'P-Parametri'!$B$6*B296))))</f>
        <v>18322.479286134621</v>
      </c>
      <c r="D296" s="18">
        <f>IF($A296&gt;'1-Input'!$B$26,F295,(F295-MAX(0,B286-IF($A296&gt;='1-Input'!$C$12,'1-Input'!$B$12,0))+C296*(1-'P-Parametri'!$B$6*B296))*(1+'1-Input'!$B$27))</f>
        <v>49863.010546479447</v>
      </c>
      <c r="E296" s="18">
        <f>IF($A296&gt;'1-Input'!$B$26,G295,(G295-C296)*(1+$B$4))</f>
        <v>291582.28344939125</v>
      </c>
      <c r="F296" s="18">
        <f>IF($A296&gt;'1-Input'!$B$26,D296,D296-'P-Parametri'!$B$8*(E296+D296)+MIN(MAX(E296,0),'P-Parametri'!$B$8*(E296+D296)))</f>
        <v>49863.010546479447</v>
      </c>
      <c r="G296" s="18">
        <f>IF($A296&gt;'1-Input'!$B$26,E296,E296-MIN(MAX(E296,0),'P-Parametri'!$B$8*(E296+D296)))</f>
        <v>290899.39286139951</v>
      </c>
      <c r="H296" s="18">
        <f>IF($A296&gt;'1-Input'!$B$26,H295,H295-C296*(1-B296))</f>
        <v>198178.34597609733</v>
      </c>
      <c r="I296" s="11">
        <f>IF($A296&gt;'1-Input'!$B$26,0,IF(N295&lt;=0,0,MAX(0,(N295-O295)/N295)))</f>
        <v>0.30601293776857874</v>
      </c>
      <c r="J296" s="18">
        <f>IF($A296&gt;'1-Input'!$B$26,0,(MAX(0,I286-IF($A296&gt;='1-Input'!$C$12,'1-Input'!$B$12,0))-MIN(MAX(M295,0),MAX(0,I286-IF($A296&gt;='1-Input'!$C$12,'1-Input'!$B$12,0))))*(1/(1-'P-Parametri'!$B$6*I296))+MIN(MAX(0,N295-(MAX(0,I286-IF($A296&gt;='1-Input'!$C$12,'1-Input'!$B$12,0))-MIN(MAX(M295,0),MAX(0,I286-IF($A296&gt;='1-Input'!$C$12,'1-Input'!$B$12,0))))*(1/(1-'P-Parametri'!$B$6*I296))),MAX(0,3*I286-(M295-MIN(MAX(M295,0),MAX(0,I286-IF($A296&gt;='1-Input'!$C$12,'1-Input'!$B$12,0)))))*(1/(1-'P-Parametri'!$B$6*I296))))</f>
        <v>24103.564217656367</v>
      </c>
      <c r="K296" s="18">
        <f>IF($A296&gt;'1-Input'!$B$26,M295,(M295-MAX(0,I286-IF($A296&gt;='1-Input'!$C$12,'1-Input'!$B$12,0))+J296*(1-'P-Parametri'!$B$6*I296))*(1+'1-Input'!$B$27))</f>
        <v>65609.224403262444</v>
      </c>
      <c r="L296" s="18">
        <f>IF($A296&gt;'1-Input'!$B$26,N295,(N295-J296)*(1+$B$4))</f>
        <v>223520.22176660097</v>
      </c>
      <c r="M296" s="18">
        <f>IF($A296&gt;'1-Input'!$B$26,K296,K296-'P-Parametri'!$B$8*(L296+K296)+MIN(MAX(L296,0),'P-Parametri'!$B$8*(L296+K296)))</f>
        <v>65609.224403262444</v>
      </c>
      <c r="N296" s="18">
        <f>IF($A296&gt;'1-Input'!$B$26,L296,L296-MIN(MAX(L296,0),'P-Parametri'!$B$8*(L296+K296)))</f>
        <v>222941.96287426125</v>
      </c>
      <c r="O296" s="18">
        <f>IF($A296&gt;'1-Input'!$B$26,O295,O295-J296*(1-I296))</f>
        <v>152078.57064031292</v>
      </c>
      <c r="P296" s="11">
        <f>IF($A296&gt;'1-Input'!$B$26,0,IF(U295&lt;=0,0,MAX(0,(U295-V295)/U295)))</f>
        <v>0.30677022288114536</v>
      </c>
      <c r="Q296" s="18">
        <f>IF($A296&gt;'1-Input'!$B$26,0,(MAX(0,P286-IF($A296&gt;='1-Input'!$C$12,'1-Input'!$B$12,0))-MIN(MAX(T295,0),MAX(0,P286-IF($A296&gt;='1-Input'!$C$12,'1-Input'!$B$12,0))))*(1/(1-'P-Parametri'!$B$6*P296))+MIN(MAX(0,U295-(MAX(0,P286-IF($A296&gt;='1-Input'!$C$12,'1-Input'!$B$12,0))-MIN(MAX(T295,0),MAX(0,P286-IF($A296&gt;='1-Input'!$C$12,'1-Input'!$B$12,0))))*(1/(1-'P-Parametri'!$B$6*P296))),MAX(0,3*P286-(T295-MIN(MAX(T295,0),MAX(0,P286-IF($A296&gt;='1-Input'!$C$12,'1-Input'!$B$12,0)))))*(1/(1-'P-Parametri'!$B$6*P296))))</f>
        <v>18056.743432928364</v>
      </c>
      <c r="R296" s="18">
        <f>IF($A296&gt;'1-Input'!$B$26,T295,(T295-MAX(0,P286-IF($A296&gt;='1-Input'!$C$12,'1-Input'!$B$12,0))+Q296*(1-'P-Parametri'!$B$6*P296))*(1+'1-Input'!$B$27))</f>
        <v>49139.434310908975</v>
      </c>
      <c r="S296" s="18">
        <f>IF($A296&gt;'1-Input'!$B$26,U295,(U295-Q296)*(1+$B$4))</f>
        <v>294710.18766143289</v>
      </c>
      <c r="T296" s="18">
        <f>IF($A296&gt;'1-Input'!$B$26,R296,R296-'P-Parametri'!$B$8*(S296+R296)+MIN(MAX(S296,0),'P-Parametri'!$B$8*(S296+R296)))</f>
        <v>49139.434310908975</v>
      </c>
      <c r="U296" s="18">
        <f>IF($A296&gt;'1-Input'!$B$26,S296,S296-MIN(MAX(S296,0),'P-Parametri'!$B$8*(S296+R296)))</f>
        <v>294022.48841748823</v>
      </c>
      <c r="V296" s="18">
        <f>IF($A296&gt;'1-Input'!$B$26,V295,V295-Q296*(1-P296))</f>
        <v>200295.95853646169</v>
      </c>
      <c r="W296" s="11">
        <f>IF($A296&gt;'1-Input'!$B$26,0,IF(AB295&lt;=0,0,MAX(0,(AB295-AC295)/AB295)))</f>
        <v>0.3067730639627963</v>
      </c>
      <c r="X296" s="18">
        <f>IF($A296&gt;'1-Input'!$B$26,0,(MAX(0,W286-IF($A296&gt;='1-Input'!$C$12,'1-Input'!$B$12,0))-MIN(MAX(AA295,0),MAX(0,W286-IF($A296&gt;='1-Input'!$C$12,'1-Input'!$B$12,0))))*(1/(1-'P-Parametri'!$B$6*W296))+MIN(MAX(0,AB295-(MAX(0,W286-IF($A296&gt;='1-Input'!$C$12,'1-Input'!$B$12,0))-MIN(MAX(AA295,0),MAX(0,W286-IF($A296&gt;='1-Input'!$C$12,'1-Input'!$B$12,0))))*(1/(1-'P-Parametri'!$B$6*W296))),MAX(0,3*W286-(AA295-MIN(MAX(AA295,0),MAX(0,W286-IF($A296&gt;='1-Input'!$C$12,'1-Input'!$B$12,0)))))*(1/(1-'P-Parametri'!$B$6*W296))))</f>
        <v>18030.334478651472</v>
      </c>
      <c r="Y296" s="18">
        <f>IF($A296&gt;'1-Input'!$B$26,AA295,(AA295-MAX(0,W286-IF($A296&gt;='1-Input'!$C$12,'1-Input'!$B$12,0))+X296*(1-'P-Parametri'!$B$6*W296))*(1+'1-Input'!$B$27))</f>
        <v>49067.525869838581</v>
      </c>
      <c r="Z296" s="18">
        <f>IF($A296&gt;'1-Input'!$B$26,AB295,(AB295-X296)*(1+$B$4))</f>
        <v>295021.03756698087</v>
      </c>
      <c r="AA296" s="18">
        <f>IF($A296&gt;'1-Input'!$B$26,Y296,Y296-'P-Parametri'!$B$8*(Z296+Y296)+MIN(MAX(Z296,0),'P-Parametri'!$B$8*(Z296+Y296)))</f>
        <v>49067.525869838581</v>
      </c>
      <c r="AB296" s="18">
        <f>IF($A296&gt;'1-Input'!$B$26,Z296,Z296-MIN(MAX(Z296,0),'P-Parametri'!$B$8*(Z296+Y296)))</f>
        <v>294332.86044010724</v>
      </c>
      <c r="AC296" s="18">
        <f>IF($A296&gt;'1-Input'!$B$26,AC295,AC295-X296*(1-W296))</f>
        <v>200506.40190105385</v>
      </c>
      <c r="AD296" s="11">
        <f>IF($A296&gt;'1-Input'!$B$26,0,IF(AI295&lt;=0,0,MAX(0,(AI295-AJ295)/AI295)))</f>
        <v>0.30677339581040275</v>
      </c>
      <c r="AE296" s="18">
        <f>IF($A296&gt;'1-Input'!$B$26,0,(MAX(0,AD286-IF($A296&gt;='1-Input'!$C$12,'1-Input'!$B$12,0))-MIN(MAX(AH295,0),MAX(0,AD286-IF($A296&gt;='1-Input'!$C$12,'1-Input'!$B$12,0))))*(1/(1-'P-Parametri'!$B$6*AD296))+MIN(MAX(0,AI295-(MAX(0,AD286-IF($A296&gt;='1-Input'!$C$12,'1-Input'!$B$12,0))-MIN(MAX(AH295,0),MAX(0,AD286-IF($A296&gt;='1-Input'!$C$12,'1-Input'!$B$12,0))))*(1/(1-'P-Parametri'!$B$6*AD296))),MAX(0,3*AD286-(AH295-MIN(MAX(AH295,0),MAX(0,AD286-IF($A296&gt;='1-Input'!$C$12,'1-Input'!$B$12,0)))))*(1/(1-'P-Parametri'!$B$6*AD296))))</f>
        <v>18027.247756480894</v>
      </c>
      <c r="AF296" s="18">
        <f>IF($A296&gt;'1-Input'!$B$26,AH295,(AH295-MAX(0,AD286-IF($A296&gt;='1-Input'!$C$12,'1-Input'!$B$12,0))+AE296*(1-'P-Parametri'!$B$6*AD296))*(1+'1-Input'!$B$27))</f>
        <v>49059.121103160993</v>
      </c>
      <c r="AG296" s="18">
        <f>IF($A296&gt;'1-Input'!$B$26,AI295,(AI295-AE296)*(1+$B$4))</f>
        <v>295057.37018559303</v>
      </c>
      <c r="AH296" s="18">
        <f>IF($A296&gt;'1-Input'!$B$26,AF296,AF296-'P-Parametri'!$B$8*(AG296+AF296)+MIN(MAX(AG296,0),'P-Parametri'!$B$8*(AG296+AF296)))</f>
        <v>49059.121103160993</v>
      </c>
      <c r="AI296" s="18">
        <f>IF($A296&gt;'1-Input'!$B$26,AG296,AG296-MIN(MAX(AG296,0),'P-Parametri'!$B$8*(AG296+AF296)))</f>
        <v>294369.1372030155</v>
      </c>
      <c r="AJ296" s="18">
        <f>IF($A296&gt;'1-Input'!$B$26,AJ295,AJ295-AE296*(1-AD296))</f>
        <v>200530.99879889371</v>
      </c>
      <c r="AK296" s="11">
        <f>IF($A296&gt;'1-Input'!$B$26,0,IF(AP295&lt;=0,0,MAX(0,(AP295-AQ295)/AP295)))</f>
        <v>0.30677339580806251</v>
      </c>
      <c r="AL296" s="18">
        <f>IF($A296&gt;'1-Input'!$B$26,0,(MAX(0,AK286-IF($A296&gt;='1-Input'!$C$12,'1-Input'!$B$12,0))-MIN(MAX(AO295,0),MAX(0,AK286-IF($A296&gt;='1-Input'!$C$12,'1-Input'!$B$12,0))))*(1/(1-'P-Parametri'!$B$6*AK296))+MIN(MAX(0,AP295-(MAX(0,AK286-IF($A296&gt;='1-Input'!$C$12,'1-Input'!$B$12,0))-MIN(MAX(AO295,0),MAX(0,AK286-IF($A296&gt;='1-Input'!$C$12,'1-Input'!$B$12,0))))*(1/(1-'P-Parametri'!$B$6*AK296))),MAX(0,3*AK286-(AO295-MIN(MAX(AO295,0),MAX(0,AK286-IF($A296&gt;='1-Input'!$C$12,'1-Input'!$B$12,0)))))*(1/(1-'P-Parametri'!$B$6*AK296))))</f>
        <v>18027.24777825327</v>
      </c>
      <c r="AM296" s="18">
        <f>IF($A296&gt;'1-Input'!$B$26,AO295,(AO295-MAX(0,AK286-IF($A296&gt;='1-Input'!$C$12,'1-Input'!$B$12,0))+AL296*(1-'P-Parametri'!$B$6*AK296))*(1+'1-Input'!$B$27))</f>
        <v>49059.121162444499</v>
      </c>
      <c r="AN296" s="18">
        <f>IF($A296&gt;'1-Input'!$B$26,AP295,(AP295-AL296)*(1+$B$4))</f>
        <v>295057.3699293189</v>
      </c>
      <c r="AO296" s="18">
        <f>IF($A296&gt;'1-Input'!$B$26,AM296,AM296-'P-Parametri'!$B$8*(AN296+AM296)+MIN(MAX(AN296,0),'P-Parametri'!$B$8*(AN296+AM296)))</f>
        <v>49059.121162444499</v>
      </c>
      <c r="AP296" s="18">
        <f>IF($A296&gt;'1-Input'!$B$26,AN296,AN296-MIN(MAX(AN296,0),'P-Parametri'!$B$8*(AN296+AM296)))</f>
        <v>294369.13694713538</v>
      </c>
      <c r="AQ296" s="18">
        <f>IF($A296&gt;'1-Input'!$B$26,AQ295,AQ295-AL296*(1-AK296))</f>
        <v>200530.99862539806</v>
      </c>
    </row>
    <row r="297" spans="1:43">
      <c r="A297" s="10">
        <f>9</f>
        <v>9</v>
      </c>
      <c r="B297" s="11">
        <f>IF($A297&gt;'1-Input'!$B$26,0,IF(G296&lt;=0,0,MAX(0,(G296-H296)/G296)))</f>
        <v>0.31873922449016451</v>
      </c>
      <c r="C297" s="18">
        <f>IF($A297&gt;'1-Input'!$B$26,0,(MAX(0,B286-IF($A297&gt;='1-Input'!$C$12,'1-Input'!$B$12,0))-MIN(MAX(F296,0),MAX(0,B286-IF($A297&gt;='1-Input'!$C$12,'1-Input'!$B$12,0))))*(1/(1-'P-Parametri'!$B$6*B297))+MIN(MAX(0,G296-(MAX(0,B286-IF($A297&gt;='1-Input'!$C$12,'1-Input'!$B$12,0))-MIN(MAX(F296,0),MAX(0,B286-IF($A297&gt;='1-Input'!$C$12,'1-Input'!$B$12,0))))*(1/(1-'P-Parametri'!$B$6*B297))),MAX(0,3*B286-(F296-MIN(MAX(F296,0),MAX(0,B286-IF($A297&gt;='1-Input'!$C$12,'1-Input'!$B$12,0)))))*(1/(1-'P-Parametri'!$B$6*B297))))</f>
        <v>18384.799459802143</v>
      </c>
      <c r="D297" s="18">
        <f>IF($A297&gt;'1-Input'!$B$26,F296,(F296-MAX(0,B286-IF($A297&gt;='1-Input'!$C$12,'1-Input'!$B$12,0))+C297*(1-'P-Parametri'!$B$6*B297))*(1+'1-Input'!$B$27))</f>
        <v>49863.010546479447</v>
      </c>
      <c r="E297" s="18">
        <f>IF($A297&gt;'1-Input'!$B$26,G296,(G296-C297)*(1+$B$4))</f>
        <v>277964.8852696293</v>
      </c>
      <c r="F297" s="18">
        <f>IF($A297&gt;'1-Input'!$B$26,D297,D297-'P-Parametri'!$B$8*(E297+D297)+MIN(MAX(E297,0),'P-Parametri'!$B$8*(E297+D297)))</f>
        <v>49863.010546479447</v>
      </c>
      <c r="G297" s="18">
        <f>IF($A297&gt;'1-Input'!$B$26,E297,E297-MIN(MAX(E297,0),'P-Parametri'!$B$8*(E297+D297)))</f>
        <v>277309.22947799711</v>
      </c>
      <c r="H297" s="18">
        <f>IF($A297&gt;'1-Input'!$B$26,H296,H296-C297*(1-B297))</f>
        <v>185653.50323851971</v>
      </c>
      <c r="I297" s="11">
        <f>IF($A297&gt;'1-Input'!$B$26,0,IF(N296&lt;=0,0,MAX(0,(N296-O296)/N296)))</f>
        <v>0.31785578327358283</v>
      </c>
      <c r="J297" s="18">
        <f>IF($A297&gt;'1-Input'!$B$26,0,(MAX(0,I286-IF($A297&gt;='1-Input'!$C$12,'1-Input'!$B$12,0))-MIN(MAX(M296,0),MAX(0,I286-IF($A297&gt;='1-Input'!$C$12,'1-Input'!$B$12,0))))*(1/(1-'P-Parametri'!$B$6*I297))+MIN(MAX(0,N296-(MAX(0,I286-IF($A297&gt;='1-Input'!$C$12,'1-Input'!$B$12,0))-MIN(MAX(M296,0),MAX(0,I286-IF($A297&gt;='1-Input'!$C$12,'1-Input'!$B$12,0))))*(1/(1-'P-Parametri'!$B$6*I297))),MAX(0,3*I286-(M296-MIN(MAX(M296,0),MAX(0,I286-IF($A297&gt;='1-Input'!$C$12,'1-Input'!$B$12,0)))))*(1/(1-'P-Parametri'!$B$6*I297))))</f>
        <v>24184.468603301331</v>
      </c>
      <c r="K297" s="18">
        <f>IF($A297&gt;'1-Input'!$B$26,M296,(M296-MAX(0,I286-IF($A297&gt;='1-Input'!$C$12,'1-Input'!$B$12,0))+J297*(1-'P-Parametri'!$B$6*I297))*(1+'1-Input'!$B$27))</f>
        <v>65609.224403262444</v>
      </c>
      <c r="L297" s="18">
        <f>IF($A297&gt;'1-Input'!$B$26,N296,(N296-J297)*(1+$B$4))</f>
        <v>202732.64415637913</v>
      </c>
      <c r="M297" s="18">
        <f>IF($A297&gt;'1-Input'!$B$26,K297,K297-'P-Parametri'!$B$8*(L297+K297)+MIN(MAX(L297,0),'P-Parametri'!$B$8*(L297+K297)))</f>
        <v>65609.224403262444</v>
      </c>
      <c r="N297" s="18">
        <f>IF($A297&gt;'1-Input'!$B$26,L297,L297-MIN(MAX(L297,0),'P-Parametri'!$B$8*(L297+K297)))</f>
        <v>202195.96041925985</v>
      </c>
      <c r="O297" s="18">
        <f>IF($A297&gt;'1-Input'!$B$26,O296,O296-J297*(1-I297))</f>
        <v>135581.27524796932</v>
      </c>
      <c r="P297" s="11">
        <f>IF($A297&gt;'1-Input'!$B$26,0,IF(U296&lt;=0,0,MAX(0,(U296-V296)/U296)))</f>
        <v>0.3187733373235806</v>
      </c>
      <c r="Q297" s="18">
        <f>IF($A297&gt;'1-Input'!$B$26,0,(MAX(0,P286-IF($A297&gt;='1-Input'!$C$12,'1-Input'!$B$12,0))-MIN(MAX(T296,0),MAX(0,P286-IF($A297&gt;='1-Input'!$C$12,'1-Input'!$B$12,0))))*(1/(1-'P-Parametri'!$B$6*P297))+MIN(MAX(0,U296-(MAX(0,P286-IF($A297&gt;='1-Input'!$C$12,'1-Input'!$B$12,0))-MIN(MAX(T296,0),MAX(0,P286-IF($A297&gt;='1-Input'!$C$12,'1-Input'!$B$12,0))))*(1/(1-'P-Parametri'!$B$6*P297))),MAX(0,3*P286-(T296-MIN(MAX(T296,0),MAX(0,P286-IF($A297&gt;='1-Input'!$C$12,'1-Input'!$B$12,0)))))*(1/(1-'P-Parametri'!$B$6*P297))))</f>
        <v>18118.187656861835</v>
      </c>
      <c r="R297" s="18">
        <f>IF($A297&gt;'1-Input'!$B$26,T296,(T296-MAX(0,P286-IF($A297&gt;='1-Input'!$C$12,'1-Input'!$B$12,0))+Q297*(1-'P-Parametri'!$B$6*P297))*(1+'1-Input'!$B$27))</f>
        <v>49139.434310908975</v>
      </c>
      <c r="S297" s="18">
        <f>IF($A297&gt;'1-Input'!$B$26,U296,(U296-Q297)*(1+$B$4))</f>
        <v>281422.38677583891</v>
      </c>
      <c r="T297" s="18">
        <f>IF($A297&gt;'1-Input'!$B$26,R297,R297-'P-Parametri'!$B$8*(S297+R297)+MIN(MAX(S297,0),'P-Parametri'!$B$8*(S297+R297)))</f>
        <v>49139.434310908975</v>
      </c>
      <c r="U297" s="18">
        <f>IF($A297&gt;'1-Input'!$B$26,S297,S297-MIN(MAX(S297,0),'P-Parametri'!$B$8*(S297+R297)))</f>
        <v>280761.26313366543</v>
      </c>
      <c r="V297" s="18">
        <f>IF($A297&gt;'1-Input'!$B$26,V296,V296-Q297*(1-P297))</f>
        <v>187953.36602523262</v>
      </c>
      <c r="W297" s="11">
        <f>IF($A297&gt;'1-Input'!$B$26,0,IF(AB296&lt;=0,0,MAX(0,(AB296-AC296)/AB296)))</f>
        <v>0.31877670199228675</v>
      </c>
      <c r="X297" s="18">
        <f>IF($A297&gt;'1-Input'!$B$26,0,(MAX(0,W286-IF($A297&gt;='1-Input'!$C$12,'1-Input'!$B$12,0))-MIN(MAX(AA296,0),MAX(0,W286-IF($A297&gt;='1-Input'!$C$12,'1-Input'!$B$12,0))))*(1/(1-'P-Parametri'!$B$6*W297))+MIN(MAX(0,AB296-(MAX(0,W286-IF($A297&gt;='1-Input'!$C$12,'1-Input'!$B$12,0))-MIN(MAX(AA296,0),MAX(0,W286-IF($A297&gt;='1-Input'!$C$12,'1-Input'!$B$12,0))))*(1/(1-'P-Parametri'!$B$6*W297))),MAX(0,3*W286-(AA296-MIN(MAX(AA296,0),MAX(0,W286-IF($A297&gt;='1-Input'!$C$12,'1-Input'!$B$12,0)))))*(1/(1-'P-Parametri'!$B$6*W297))))</f>
        <v>18091.691571978055</v>
      </c>
      <c r="Y297" s="18">
        <f>IF($A297&gt;'1-Input'!$B$26,AA296,(AA296-MAX(0,W286-IF($A297&gt;='1-Input'!$C$12,'1-Input'!$B$12,0))+X297*(1-'P-Parametri'!$B$6*W297))*(1+'1-Input'!$B$27))</f>
        <v>49067.525869838581</v>
      </c>
      <c r="Z297" s="18">
        <f>IF($A297&gt;'1-Input'!$B$26,AB296,(AB296-X297)*(1+$B$4))</f>
        <v>281765.99224549177</v>
      </c>
      <c r="AA297" s="18">
        <f>IF($A297&gt;'1-Input'!$B$26,Y297,Y297-'P-Parametri'!$B$8*(Z297+Y297)+MIN(MAX(Z297,0),'P-Parametri'!$B$8*(Z297+Y297)))</f>
        <v>49067.525869838581</v>
      </c>
      <c r="AB297" s="18">
        <f>IF($A297&gt;'1-Input'!$B$26,Z297,Z297-MIN(MAX(Z297,0),'P-Parametri'!$B$8*(Z297+Y297)))</f>
        <v>281104.32520926109</v>
      </c>
      <c r="AC297" s="18">
        <f>IF($A297&gt;'1-Input'!$B$26,AC296,AC296-X297*(1-W297))</f>
        <v>188181.92010185259</v>
      </c>
      <c r="AD297" s="11">
        <f>IF($A297&gt;'1-Input'!$B$26,0,IF(AI296&lt;=0,0,MAX(0,(AI296-AJ296)/AI296)))</f>
        <v>0.31877709496225176</v>
      </c>
      <c r="AE297" s="18">
        <f>IF($A297&gt;'1-Input'!$B$26,0,(MAX(0,AD286-IF($A297&gt;='1-Input'!$C$12,'1-Input'!$B$12,0))-MIN(MAX(AH296,0),MAX(0,AD286-IF($A297&gt;='1-Input'!$C$12,'1-Input'!$B$12,0))))*(1/(1-'P-Parametri'!$B$6*AD297))+MIN(MAX(0,AI296-(MAX(0,AD286-IF($A297&gt;='1-Input'!$C$12,'1-Input'!$B$12,0))-MIN(MAX(AH296,0),MAX(0,AD286-IF($A297&gt;='1-Input'!$C$12,'1-Input'!$B$12,0))))*(1/(1-'P-Parametri'!$B$6*AD297))),MAX(0,3*AD286-(AH296-MIN(MAX(AH296,0),MAX(0,AD286-IF($A297&gt;='1-Input'!$C$12,'1-Input'!$B$12,0)))))*(1/(1-'P-Parametri'!$B$6*AD297))))</f>
        <v>18088.594664925404</v>
      </c>
      <c r="AF297" s="18">
        <f>IF($A297&gt;'1-Input'!$B$26,AH296,(AH296-MAX(0,AD286-IF($A297&gt;='1-Input'!$C$12,'1-Input'!$B$12,0))+AE297*(1-'P-Parametri'!$B$6*AD297))*(1+'1-Input'!$B$27))</f>
        <v>49059.121103160993</v>
      </c>
      <c r="AG297" s="18">
        <f>IF($A297&gt;'1-Input'!$B$26,AI296,(AI296-AE297)*(1+$B$4))</f>
        <v>281806.1533888519</v>
      </c>
      <c r="AH297" s="18">
        <f>IF($A297&gt;'1-Input'!$B$26,AF297,AF297-'P-Parametri'!$B$8*(AG297+AF297)+MIN(MAX(AG297,0),'P-Parametri'!$B$8*(AG297+AF297)))</f>
        <v>49059.121103160993</v>
      </c>
      <c r="AI297" s="18">
        <f>IF($A297&gt;'1-Input'!$B$26,AG297,AG297-MIN(MAX(AG297,0),'P-Parametri'!$B$8*(AG297+AF297)))</f>
        <v>281144.42283986788</v>
      </c>
      <c r="AJ297" s="18">
        <f>IF($A297&gt;'1-Input'!$B$26,AJ296,AJ296-AE297*(1-AD297))</f>
        <v>188208.6337932029</v>
      </c>
      <c r="AK297" s="11">
        <f>IF($A297&gt;'1-Input'!$B$26,0,IF(AP296&lt;=0,0,MAX(0,(AP296-AQ296)/AP296)))</f>
        <v>0.31877709495948059</v>
      </c>
      <c r="AL297" s="18">
        <f>IF($A297&gt;'1-Input'!$B$26,0,(MAX(0,AK286-IF($A297&gt;='1-Input'!$C$12,'1-Input'!$B$12,0))-MIN(MAX(AO296,0),MAX(0,AK286-IF($A297&gt;='1-Input'!$C$12,'1-Input'!$B$12,0))))*(1/(1-'P-Parametri'!$B$6*AK297))+MIN(MAX(0,AP296-(MAX(0,AK286-IF($A297&gt;='1-Input'!$C$12,'1-Input'!$B$12,0))-MIN(MAX(AO296,0),MAX(0,AK286-IF($A297&gt;='1-Input'!$C$12,'1-Input'!$B$12,0))))*(1/(1-'P-Parametri'!$B$6*AK297))),MAX(0,3*AK286-(AO296-MIN(MAX(AO296,0),MAX(0,AK286-IF($A297&gt;='1-Input'!$C$12,'1-Input'!$B$12,0)))))*(1/(1-'P-Parametri'!$B$6*AK297))))</f>
        <v>18088.594686769618</v>
      </c>
      <c r="AM297" s="18">
        <f>IF($A297&gt;'1-Input'!$B$26,AO296,(AO296-MAX(0,AK286-IF($A297&gt;='1-Input'!$C$12,'1-Input'!$B$12,0))+AL297*(1-'P-Parametri'!$B$6*AK297))*(1+'1-Input'!$B$27))</f>
        <v>49059.121162444499</v>
      </c>
      <c r="AN297" s="18">
        <f>IF($A297&gt;'1-Input'!$B$26,AP296,(AP296-AL297)*(1+$B$4))</f>
        <v>281806.15310557309</v>
      </c>
      <c r="AO297" s="18">
        <f>IF($A297&gt;'1-Input'!$B$26,AM297,AM297-'P-Parametri'!$B$8*(AN297+AM297)+MIN(MAX(AN297,0),'P-Parametri'!$B$8*(AN297+AM297)))</f>
        <v>49059.121162444499</v>
      </c>
      <c r="AP297" s="18">
        <f>IF($A297&gt;'1-Input'!$B$26,AN297,AN297-MIN(MAX(AN297,0),'P-Parametri'!$B$8*(AN297+AM297)))</f>
        <v>281144.42255703703</v>
      </c>
      <c r="AQ297" s="18">
        <f>IF($A297&gt;'1-Input'!$B$26,AQ296,AQ296-AL297*(1-AK297))</f>
        <v>188208.63360477635</v>
      </c>
    </row>
    <row r="298" spans="1:43">
      <c r="A298" s="10">
        <f>10</f>
        <v>10</v>
      </c>
      <c r="B298" s="11">
        <f>IF($A298&gt;'1-Input'!$B$26,0,IF(G297&lt;=0,0,MAX(0,(G297-H297)/G297)))</f>
        <v>0.33051812379995005</v>
      </c>
      <c r="C298" s="18">
        <f>IF($A298&gt;'1-Input'!$B$26,0,(MAX(0,B286-IF($A298&gt;='1-Input'!$C$12,'1-Input'!$B$12,0))-MIN(MAX(F297,0),MAX(0,B286-IF($A298&gt;='1-Input'!$C$12,'1-Input'!$B$12,0))))*(1/(1-'P-Parametri'!$B$6*B298))+MIN(MAX(0,G297-(MAX(0,B286-IF($A298&gt;='1-Input'!$C$12,'1-Input'!$B$12,0))-MIN(MAX(F297,0),MAX(0,B286-IF($A298&gt;='1-Input'!$C$12,'1-Input'!$B$12,0))))*(1/(1-'P-Parametri'!$B$6*B298))),MAX(0,3*B286-(F297-MIN(MAX(F297,0),MAX(0,B286-IF($A298&gt;='1-Input'!$C$12,'1-Input'!$B$12,0)))))*(1/(1-'P-Parametri'!$B$6*B298))))</f>
        <v>18446.396484855297</v>
      </c>
      <c r="D298" s="18">
        <f>IF($A298&gt;'1-Input'!$B$26,F297,(F297-MAX(0,B286-IF($A298&gt;='1-Input'!$C$12,'1-Input'!$B$12,0))+C298*(1-'P-Parametri'!$B$6*B298))*(1+'1-Input'!$B$27))</f>
        <v>49863.010546479447</v>
      </c>
      <c r="E298" s="18">
        <f>IF($A298&gt;'1-Input'!$B$26,G297,(G297-C298)*(1+$B$4))</f>
        <v>264040.08965300466</v>
      </c>
      <c r="F298" s="18">
        <f>IF($A298&gt;'1-Input'!$B$26,D298,D298-'P-Parametri'!$B$8*(E298+D298)+MIN(MAX(E298,0),'P-Parametri'!$B$8*(E298+D298)))</f>
        <v>49863.010546479447</v>
      </c>
      <c r="G298" s="18">
        <f>IF($A298&gt;'1-Input'!$B$26,E298,E298-MIN(MAX(E298,0),'P-Parametri'!$B$8*(E298+D298)))</f>
        <v>263412.28345260571</v>
      </c>
      <c r="H298" s="18">
        <f>IF($A298&gt;'1-Input'!$B$26,H297,H297-C298*(1-B298))</f>
        <v>173303.97511070879</v>
      </c>
      <c r="I298" s="11">
        <f>IF($A298&gt;'1-Input'!$B$26,0,IF(N297&lt;=0,0,MAX(0,(N297-O297)/N297)))</f>
        <v>0.32945606348001627</v>
      </c>
      <c r="J298" s="18">
        <f>IF($A298&gt;'1-Input'!$B$26,0,(MAX(0,I286-IF($A298&gt;='1-Input'!$C$12,'1-Input'!$B$12,0))-MIN(MAX(M297,0),MAX(0,I286-IF($A298&gt;='1-Input'!$C$12,'1-Input'!$B$12,0))))*(1/(1-'P-Parametri'!$B$6*I298))+MIN(MAX(0,N297-(MAX(0,I286-IF($A298&gt;='1-Input'!$C$12,'1-Input'!$B$12,0))-MIN(MAX(M297,0),MAX(0,I286-IF($A298&gt;='1-Input'!$C$12,'1-Input'!$B$12,0))))*(1/(1-'P-Parametri'!$B$6*I298))),MAX(0,3*I286-(M297-MIN(MAX(M297,0),MAX(0,I286-IF($A298&gt;='1-Input'!$C$12,'1-Input'!$B$12,0)))))*(1/(1-'P-Parametri'!$B$6*I298))))</f>
        <v>24264.244185332918</v>
      </c>
      <c r="K298" s="18">
        <f>IF($A298&gt;'1-Input'!$B$26,M297,(M297-MAX(0,I286-IF($A298&gt;='1-Input'!$C$12,'1-Input'!$B$12,0))+J298*(1-'P-Parametri'!$B$6*I298))*(1+'1-Input'!$B$27))</f>
        <v>65609.224403262444</v>
      </c>
      <c r="L298" s="18">
        <f>IF($A298&gt;'1-Input'!$B$26,N297,(N297-J298)*(1+$B$4))</f>
        <v>181490.35055860548</v>
      </c>
      <c r="M298" s="18">
        <f>IF($A298&gt;'1-Input'!$B$26,K298,K298-'P-Parametri'!$B$8*(L298+K298)+MIN(MAX(L298,0),'P-Parametri'!$B$8*(L298+K298)))</f>
        <v>65609.224403262444</v>
      </c>
      <c r="N298" s="18">
        <f>IF($A298&gt;'1-Input'!$B$26,L298,L298-MIN(MAX(L298,0),'P-Parametri'!$B$8*(L298+K298)))</f>
        <v>180996.15140868173</v>
      </c>
      <c r="O298" s="18">
        <f>IF($A298&gt;'1-Input'!$B$26,O297,O297-J298*(1-I298))</f>
        <v>119311.03343525405</v>
      </c>
      <c r="P298" s="11">
        <f>IF($A298&gt;'1-Input'!$B$26,0,IF(U297&lt;=0,0,MAX(0,(U297-V297)/U297)))</f>
        <v>0.33055805516962866</v>
      </c>
      <c r="Q298" s="18">
        <f>IF($A298&gt;'1-Input'!$B$26,0,(MAX(0,P286-IF($A298&gt;='1-Input'!$C$12,'1-Input'!$B$12,0))-MIN(MAX(T297,0),MAX(0,P286-IF($A298&gt;='1-Input'!$C$12,'1-Input'!$B$12,0))))*(1/(1-'P-Parametri'!$B$6*P298))+MIN(MAX(0,U297-(MAX(0,P286-IF($A298&gt;='1-Input'!$C$12,'1-Input'!$B$12,0))-MIN(MAX(T297,0),MAX(0,P286-IF($A298&gt;='1-Input'!$C$12,'1-Input'!$B$12,0))))*(1/(1-'P-Parametri'!$B$6*P298))),MAX(0,3*P286-(T297-MIN(MAX(T297,0),MAX(0,P286-IF($A298&gt;='1-Input'!$C$12,'1-Input'!$B$12,0)))))*(1/(1-'P-Parametri'!$B$6*P298))))</f>
        <v>18178.922093387624</v>
      </c>
      <c r="R298" s="18">
        <f>IF($A298&gt;'1-Input'!$B$26,T297,(T297-MAX(0,P286-IF($A298&gt;='1-Input'!$C$12,'1-Input'!$B$12,0))+Q298*(1-'P-Parametri'!$B$6*P298))*(1+'1-Input'!$B$27))</f>
        <v>49139.434310908975</v>
      </c>
      <c r="S298" s="18">
        <f>IF($A298&gt;'1-Input'!$B$26,U297,(U297-Q298)*(1+$B$4))</f>
        <v>267833.98786108335</v>
      </c>
      <c r="T298" s="18">
        <f>IF($A298&gt;'1-Input'!$B$26,R298,R298-'P-Parametri'!$B$8*(S298+R298)+MIN(MAX(S298,0),'P-Parametri'!$B$8*(S298+R298)))</f>
        <v>49139.434310908975</v>
      </c>
      <c r="U298" s="18">
        <f>IF($A298&gt;'1-Input'!$B$26,S298,S298-MIN(MAX(S298,0),'P-Parametri'!$B$8*(S298+R298)))</f>
        <v>267200.04101673939</v>
      </c>
      <c r="V298" s="18">
        <f>IF($A298&gt;'1-Input'!$B$26,V297,V297-Q298*(1-P298))</f>
        <v>175783.63306411542</v>
      </c>
      <c r="W298" s="11">
        <f>IF($A298&gt;'1-Input'!$B$26,0,IF(AB297&lt;=0,0,MAX(0,(AB297-AC297)/AB297)))</f>
        <v>0.33056198988839725</v>
      </c>
      <c r="X298" s="18">
        <f>IF($A298&gt;'1-Input'!$B$26,0,(MAX(0,W286-IF($A298&gt;='1-Input'!$C$12,'1-Input'!$B$12,0))-MIN(MAX(AA297,0),MAX(0,W286-IF($A298&gt;='1-Input'!$C$12,'1-Input'!$B$12,0))))*(1/(1-'P-Parametri'!$B$6*W298))+MIN(MAX(0,AB297-(MAX(0,W286-IF($A298&gt;='1-Input'!$C$12,'1-Input'!$B$12,0))-MIN(MAX(AA297,0),MAX(0,W286-IF($A298&gt;='1-Input'!$C$12,'1-Input'!$B$12,0))))*(1/(1-'P-Parametri'!$B$6*W298))),MAX(0,3*W286-(AA297-MIN(MAX(AA297,0),MAX(0,W286-IF($A298&gt;='1-Input'!$C$12,'1-Input'!$B$12,0)))))*(1/(1-'P-Parametri'!$B$6*W298))))</f>
        <v>18152.340191732761</v>
      </c>
      <c r="Y298" s="18">
        <f>IF($A298&gt;'1-Input'!$B$26,AA297,(AA297-MAX(0,W286-IF($A298&gt;='1-Input'!$C$12,'1-Input'!$B$12,0))+X298*(1-'P-Parametri'!$B$6*W298))*(1+'1-Input'!$B$27))</f>
        <v>49067.525869838581</v>
      </c>
      <c r="Z298" s="18">
        <f>IF($A298&gt;'1-Input'!$B$26,AB297,(AB297-X298)*(1+$B$4))</f>
        <v>268211.0247178789</v>
      </c>
      <c r="AA298" s="18">
        <f>IF($A298&gt;'1-Input'!$B$26,Y298,Y298-'P-Parametri'!$B$8*(Z298+Y298)+MIN(MAX(Z298,0),'P-Parametri'!$B$8*(Z298+Y298)))</f>
        <v>49067.525869838581</v>
      </c>
      <c r="AB298" s="18">
        <f>IF($A298&gt;'1-Input'!$B$26,Z298,Z298-MIN(MAX(Z298,0),'P-Parametri'!$B$8*(Z298+Y298)))</f>
        <v>267576.46761670348</v>
      </c>
      <c r="AC298" s="18">
        <f>IF($A298&gt;'1-Input'!$B$26,AC297,AC297-X298*(1-W298))</f>
        <v>176030.05360503015</v>
      </c>
      <c r="AD298" s="11">
        <f>IF($A298&gt;'1-Input'!$B$26,0,IF(AI297&lt;=0,0,MAX(0,(AI297-AJ297)/AI297)))</f>
        <v>0.33056244939135304</v>
      </c>
      <c r="AE298" s="18">
        <f>IF($A298&gt;'1-Input'!$B$26,0,(MAX(0,AD286-IF($A298&gt;='1-Input'!$C$12,'1-Input'!$B$12,0))-MIN(MAX(AH297,0),MAX(0,AD286-IF($A298&gt;='1-Input'!$C$12,'1-Input'!$B$12,0))))*(1/(1-'P-Parametri'!$B$6*AD298))+MIN(MAX(0,AI297-(MAX(0,AD286-IF($A298&gt;='1-Input'!$C$12,'1-Input'!$B$12,0))-MIN(MAX(AH297,0),MAX(0,AD286-IF($A298&gt;='1-Input'!$C$12,'1-Input'!$B$12,0))))*(1/(1-'P-Parametri'!$B$6*AD298))),MAX(0,3*AD286-(AH297-MIN(MAX(AH297,0),MAX(0,AD286-IF($A298&gt;='1-Input'!$C$12,'1-Input'!$B$12,0)))))*(1/(1-'P-Parametri'!$B$6*AD298))))</f>
        <v>18149.233253200142</v>
      </c>
      <c r="AF298" s="18">
        <f>IF($A298&gt;'1-Input'!$B$26,AH297,(AH297-MAX(0,AD286-IF($A298&gt;='1-Input'!$C$12,'1-Input'!$B$12,0))+AE298*(1-'P-Parametri'!$B$6*AD298))*(1+'1-Input'!$B$27))</f>
        <v>49059.121103160993</v>
      </c>
      <c r="AG298" s="18">
        <f>IF($A298&gt;'1-Input'!$B$26,AI297,(AI297-AE298)*(1+$B$4))</f>
        <v>268255.09337840113</v>
      </c>
      <c r="AH298" s="18">
        <f>IF($A298&gt;'1-Input'!$B$26,AF298,AF298-'P-Parametri'!$B$8*(AG298+AF298)+MIN(MAX(AG298,0),'P-Parametri'!$B$8*(AG298+AF298)))</f>
        <v>49059.121103160993</v>
      </c>
      <c r="AI298" s="18">
        <f>IF($A298&gt;'1-Input'!$B$26,AG298,AG298-MIN(MAX(AG298,0),'P-Parametri'!$B$8*(AG298+AF298)))</f>
        <v>267620.464949438</v>
      </c>
      <c r="AJ298" s="18">
        <f>IF($A298&gt;'1-Input'!$B$26,AJ297,AJ297-AE298*(1-AD298))</f>
        <v>176058.8555387556</v>
      </c>
      <c r="AK298" s="11">
        <f>IF($A298&gt;'1-Input'!$B$26,0,IF(AP297&lt;=0,0,MAX(0,(AP297-AQ297)/AP297)))</f>
        <v>0.33056244938811258</v>
      </c>
      <c r="AL298" s="18">
        <f>IF($A298&gt;'1-Input'!$B$26,0,(MAX(0,AK286-IF($A298&gt;='1-Input'!$C$12,'1-Input'!$B$12,0))-MIN(MAX(AO297,0),MAX(0,AK286-IF($A298&gt;='1-Input'!$C$12,'1-Input'!$B$12,0))))*(1/(1-'P-Parametri'!$B$6*AK298))+MIN(MAX(0,AP297-(MAX(0,AK286-IF($A298&gt;='1-Input'!$C$12,'1-Input'!$B$12,0))-MIN(MAX(AO297,0),MAX(0,AK286-IF($A298&gt;='1-Input'!$C$12,'1-Input'!$B$12,0))))*(1/(1-'P-Parametri'!$B$6*AK298))),MAX(0,3*AK286-(AO297-MIN(MAX(AO297,0),MAX(0,AK286-IF($A298&gt;='1-Input'!$C$12,'1-Input'!$B$12,0)))))*(1/(1-'P-Parametri'!$B$6*AK298))))</f>
        <v>18149.233275115119</v>
      </c>
      <c r="AM298" s="18">
        <f>IF($A298&gt;'1-Input'!$B$26,AO297,(AO297-MAX(0,AK286-IF($A298&gt;='1-Input'!$C$12,'1-Input'!$B$12,0))+AL298*(1-'P-Parametri'!$B$6*AK298))*(1+'1-Input'!$B$27))</f>
        <v>49059.121162444506</v>
      </c>
      <c r="AN298" s="18">
        <f>IF($A298&gt;'1-Input'!$B$26,AP297,(AP297-AL298)*(1+$B$4))</f>
        <v>268255.09306756034</v>
      </c>
      <c r="AO298" s="18">
        <f>IF($A298&gt;'1-Input'!$B$26,AM298,AM298-'P-Parametri'!$B$8*(AN298+AM298)+MIN(MAX(AN298,0),'P-Parametri'!$B$8*(AN298+AM298)))</f>
        <v>49059.121162444506</v>
      </c>
      <c r="AP298" s="18">
        <f>IF($A298&gt;'1-Input'!$B$26,AN298,AN298-MIN(MAX(AN298,0),'P-Parametri'!$B$8*(AN298+AM298)))</f>
        <v>267620.46463910036</v>
      </c>
      <c r="AQ298" s="18">
        <f>IF($A298&gt;'1-Input'!$B$26,AQ297,AQ297-AL298*(1-AK298))</f>
        <v>176058.85533559951</v>
      </c>
    </row>
    <row r="299" spans="1:43">
      <c r="A299" s="10">
        <f>11</f>
        <v>11</v>
      </c>
      <c r="B299" s="11">
        <f>IF($A299&gt;'1-Input'!$B$26,0,IF(G298&lt;=0,0,MAX(0,(G298-H298)/G298)))</f>
        <v>0.3420808899297576</v>
      </c>
      <c r="C299" s="18">
        <f>IF($A299&gt;'1-Input'!$B$26,0,(MAX(0,B286-IF($A299&gt;='1-Input'!$C$12,'1-Input'!$B$12,0))-MIN(MAX(F298,0),MAX(0,B286-IF($A299&gt;='1-Input'!$C$12,'1-Input'!$B$12,0))))*(1/(1-'P-Parametri'!$B$6*B299))+MIN(MAX(0,G298-(MAX(0,B286-IF($A299&gt;='1-Input'!$C$12,'1-Input'!$B$12,0))-MIN(MAX(F298,0),MAX(0,B286-IF($A299&gt;='1-Input'!$C$12,'1-Input'!$B$12,0))))*(1/(1-'P-Parametri'!$B$6*B299))),MAX(0,3*B286-(F298-MIN(MAX(F298,0),MAX(0,B286-IF($A299&gt;='1-Input'!$C$12,'1-Input'!$B$12,0)))))*(1/(1-'P-Parametri'!$B$6*B299))))</f>
        <v>18507.266041841329</v>
      </c>
      <c r="D299" s="18">
        <f>IF($A299&gt;'1-Input'!$B$26,F298,(F298-MAX(0,B286-IF($A299&gt;='1-Input'!$C$12,'1-Input'!$B$12,0))+C299*(1-'P-Parametri'!$B$6*B299))*(1+'1-Input'!$B$27))</f>
        <v>49863.010546479447</v>
      </c>
      <c r="E299" s="18">
        <f>IF($A299&gt;'1-Input'!$B$26,G298,(G298-C299)*(1+$B$4))</f>
        <v>249803.11775897967</v>
      </c>
      <c r="F299" s="18">
        <f>IF($A299&gt;'1-Input'!$B$26,D299,D299-'P-Parametri'!$B$8*(E299+D299)+MIN(MAX(E299,0),'P-Parametri'!$B$8*(E299+D299)))</f>
        <v>49863.010546479447</v>
      </c>
      <c r="G299" s="18">
        <f>IF($A299&gt;'1-Input'!$B$26,E299,E299-MIN(MAX(E299,0),'P-Parametri'!$B$8*(E299+D299)))</f>
        <v>249203.78550236876</v>
      </c>
      <c r="H299" s="18">
        <f>IF($A299&gt;'1-Input'!$B$26,H298,H298-C299*(1-B299))</f>
        <v>161127.69110662732</v>
      </c>
      <c r="I299" s="11">
        <f>IF($A299&gt;'1-Input'!$B$26,0,IF(N298&lt;=0,0,MAX(0,(N298-O298)/N298)))</f>
        <v>0.34080900335911157</v>
      </c>
      <c r="J299" s="18">
        <f>IF($A299&gt;'1-Input'!$B$26,0,(MAX(0,I286-IF($A299&gt;='1-Input'!$C$12,'1-Input'!$B$12,0))-MIN(MAX(M298,0),MAX(0,I286-IF($A299&gt;='1-Input'!$C$12,'1-Input'!$B$12,0))))*(1/(1-'P-Parametri'!$B$6*I299))+MIN(MAX(0,N298-(MAX(0,I286-IF($A299&gt;='1-Input'!$C$12,'1-Input'!$B$12,0))-MIN(MAX(M298,0),MAX(0,I286-IF($A299&gt;='1-Input'!$C$12,'1-Input'!$B$12,0))))*(1/(1-'P-Parametri'!$B$6*I299))),MAX(0,3*I286-(M298-MIN(MAX(M298,0),MAX(0,I286-IF($A299&gt;='1-Input'!$C$12,'1-Input'!$B$12,0)))))*(1/(1-'P-Parametri'!$B$6*I299))))</f>
        <v>24342.830035741907</v>
      </c>
      <c r="K299" s="18">
        <f>IF($A299&gt;'1-Input'!$B$26,M298,(M298-MAX(0,I286-IF($A299&gt;='1-Input'!$C$12,'1-Input'!$B$12,0))+J299*(1-'P-Parametri'!$B$6*I299))*(1+'1-Input'!$B$27))</f>
        <v>65609.224403262444</v>
      </c>
      <c r="L299" s="18">
        <f>IF($A299&gt;'1-Input'!$B$26,N298,(N298-J299)*(1+$B$4))</f>
        <v>159786.38780039863</v>
      </c>
      <c r="M299" s="18">
        <f>IF($A299&gt;'1-Input'!$B$26,K299,K299-'P-Parametri'!$B$8*(L299+K299)+MIN(MAX(L299,0),'P-Parametri'!$B$8*(L299+K299)))</f>
        <v>65609.224403262444</v>
      </c>
      <c r="N299" s="18">
        <f>IF($A299&gt;'1-Input'!$B$26,L299,L299-MIN(MAX(L299,0),'P-Parametri'!$B$8*(L299+K299)))</f>
        <v>159335.59657599131</v>
      </c>
      <c r="O299" s="18">
        <f>IF($A299&gt;'1-Input'!$B$26,O298,O298-J299*(1-I299))</f>
        <v>103264.45904293359</v>
      </c>
      <c r="P299" s="11">
        <f>IF($A299&gt;'1-Input'!$B$26,0,IF(U298&lt;=0,0,MAX(0,(U298-V298)/U298)))</f>
        <v>0.34212722275329654</v>
      </c>
      <c r="Q299" s="18">
        <f>IF($A299&gt;'1-Input'!$B$26,0,(MAX(0,P286-IF($A299&gt;='1-Input'!$C$12,'1-Input'!$B$12,0))-MIN(MAX(T298,0),MAX(0,P286-IF($A299&gt;='1-Input'!$C$12,'1-Input'!$B$12,0))))*(1/(1-'P-Parametri'!$B$6*P299))+MIN(MAX(0,U298-(MAX(0,P286-IF($A299&gt;='1-Input'!$C$12,'1-Input'!$B$12,0))-MIN(MAX(T298,0),MAX(0,P286-IF($A299&gt;='1-Input'!$C$12,'1-Input'!$B$12,0))))*(1/(1-'P-Parametri'!$B$6*P299))),MAX(0,3*P286-(T298-MIN(MAX(T298,0),MAX(0,P286-IF($A299&gt;='1-Input'!$C$12,'1-Input'!$B$12,0)))))*(1/(1-'P-Parametri'!$B$6*P299))))</f>
        <v>18238.943040370254</v>
      </c>
      <c r="R299" s="18">
        <f>IF($A299&gt;'1-Input'!$B$26,T298,(T298-MAX(0,P286-IF($A299&gt;='1-Input'!$C$12,'1-Input'!$B$12,0))+Q299*(1-'P-Parametri'!$B$6*P299))*(1+'1-Input'!$B$27))</f>
        <v>49139.434310908975</v>
      </c>
      <c r="S299" s="18">
        <f>IF($A299&gt;'1-Input'!$B$26,U298,(U298-Q299)*(1+$B$4))</f>
        <v>253940.31993589652</v>
      </c>
      <c r="T299" s="18">
        <f>IF($A299&gt;'1-Input'!$B$26,R299,R299-'P-Parametri'!$B$8*(S299+R299)+MIN(MAX(S299,0),'P-Parametri'!$B$8*(S299+R299)))</f>
        <v>49139.434310908975</v>
      </c>
      <c r="U299" s="18">
        <f>IF($A299&gt;'1-Input'!$B$26,S299,S299-MIN(MAX(S299,0),'P-Parametri'!$B$8*(S299+R299)))</f>
        <v>253334.16042740291</v>
      </c>
      <c r="V299" s="18">
        <f>IF($A299&gt;'1-Input'!$B$26,V298,V298-Q299*(1-P299))</f>
        <v>163784.7289521026</v>
      </c>
      <c r="W299" s="11">
        <f>IF($A299&gt;'1-Input'!$B$26,0,IF(AB298&lt;=0,0,MAX(0,(AB298-AC298)/AB298)))</f>
        <v>0.34213178321350463</v>
      </c>
      <c r="X299" s="18">
        <f>IF($A299&gt;'1-Input'!$B$26,0,(MAX(0,W286-IF($A299&gt;='1-Input'!$C$12,'1-Input'!$B$12,0))-MIN(MAX(AA298,0),MAX(0,W286-IF($A299&gt;='1-Input'!$C$12,'1-Input'!$B$12,0))))*(1/(1-'P-Parametri'!$B$6*W299))+MIN(MAX(0,AB298-(MAX(0,W286-IF($A299&gt;='1-Input'!$C$12,'1-Input'!$B$12,0))-MIN(MAX(AA298,0),MAX(0,W286-IF($A299&gt;='1-Input'!$C$12,'1-Input'!$B$12,0))))*(1/(1-'P-Parametri'!$B$6*W299))),MAX(0,3*W286-(AA298-MIN(MAX(AA298,0),MAX(0,W286-IF($A299&gt;='1-Input'!$C$12,'1-Input'!$B$12,0)))))*(1/(1-'P-Parametri'!$B$6*W299))))</f>
        <v>18212.276693447926</v>
      </c>
      <c r="Y299" s="18">
        <f>IF($A299&gt;'1-Input'!$B$26,AA298,(AA298-MAX(0,W286-IF($A299&gt;='1-Input'!$C$12,'1-Input'!$B$12,0))+X299*(1-'P-Parametri'!$B$6*W299))*(1+'1-Input'!$B$27))</f>
        <v>49067.525869838581</v>
      </c>
      <c r="Z299" s="18">
        <f>IF($A299&gt;'1-Input'!$B$26,AB298,(AB298-X299)*(1+$B$4))</f>
        <v>254351.47474172065</v>
      </c>
      <c r="AA299" s="18">
        <f>IF($A299&gt;'1-Input'!$B$26,Y299,Y299-'P-Parametri'!$B$8*(Z299+Y299)+MIN(MAX(Z299,0),'P-Parametri'!$B$8*(Z299+Y299)))</f>
        <v>49067.525869838581</v>
      </c>
      <c r="AB299" s="18">
        <f>IF($A299&gt;'1-Input'!$B$26,Z299,Z299-MIN(MAX(Z299,0),'P-Parametri'!$B$8*(Z299+Y299)))</f>
        <v>253744.63674049755</v>
      </c>
      <c r="AC299" s="18">
        <f>IF($A299&gt;'1-Input'!$B$26,AC298,AC298-X299*(1-W299))</f>
        <v>164048.7756130893</v>
      </c>
      <c r="AD299" s="11">
        <f>IF($A299&gt;'1-Input'!$B$26,0,IF(AI298&lt;=0,0,MAX(0,(AI298-AJ298)/AI298)))</f>
        <v>0.34213231573295899</v>
      </c>
      <c r="AE299" s="18">
        <f>IF($A299&gt;'1-Input'!$B$26,0,(MAX(0,AD286-IF($A299&gt;='1-Input'!$C$12,'1-Input'!$B$12,0))-MIN(MAX(AH298,0),MAX(0,AD286-IF($A299&gt;='1-Input'!$C$12,'1-Input'!$B$12,0))))*(1/(1-'P-Parametri'!$B$6*AD299))+MIN(MAX(0,AI298-(MAX(0,AD286-IF($A299&gt;='1-Input'!$C$12,'1-Input'!$B$12,0))-MIN(MAX(AH298,0),MAX(0,AD286-IF($A299&gt;='1-Input'!$C$12,'1-Input'!$B$12,0))))*(1/(1-'P-Parametri'!$B$6*AD299))),MAX(0,3*AD286-(AH298-MIN(MAX(AH298,0),MAX(0,AD286-IF($A299&gt;='1-Input'!$C$12,'1-Input'!$B$12,0)))))*(1/(1-'P-Parametri'!$B$6*AD299))))</f>
        <v>18209.159883535929</v>
      </c>
      <c r="AF299" s="18">
        <f>IF($A299&gt;'1-Input'!$B$26,AH298,(AH298-MAX(0,AD286-IF($A299&gt;='1-Input'!$C$12,'1-Input'!$B$12,0))+AE299*(1-'P-Parametri'!$B$6*AD299))*(1+'1-Input'!$B$27))</f>
        <v>49059.121103160993</v>
      </c>
      <c r="AG299" s="18">
        <f>IF($A299&gt;'1-Input'!$B$26,AI298,(AI298-AE299)*(1+$B$4))</f>
        <v>254399.53116722012</v>
      </c>
      <c r="AH299" s="18">
        <f>IF($A299&gt;'1-Input'!$B$26,AF299,AF299-'P-Parametri'!$B$8*(AG299+AF299)+MIN(MAX(AG299,0),'P-Parametri'!$B$8*(AG299+AF299)))</f>
        <v>49059.121103160993</v>
      </c>
      <c r="AI299" s="18">
        <f>IF($A299&gt;'1-Input'!$B$26,AG299,AG299-MIN(MAX(AG299,0),'P-Parametri'!$B$8*(AG299+AF299)))</f>
        <v>253792.61386267937</v>
      </c>
      <c r="AJ299" s="18">
        <f>IF($A299&gt;'1-Input'!$B$26,AJ298,AJ298-AE299*(1-AD299))</f>
        <v>164079.63769372553</v>
      </c>
      <c r="AK299" s="11">
        <f>IF($A299&gt;'1-Input'!$B$26,0,IF(AP298&lt;=0,0,MAX(0,(AP298-AQ298)/AP298)))</f>
        <v>0.34213231572920361</v>
      </c>
      <c r="AL299" s="18">
        <f>IF($A299&gt;'1-Input'!$B$26,0,(MAX(0,AK286-IF($A299&gt;='1-Input'!$C$12,'1-Input'!$B$12,0))-MIN(MAX(AO298,0),MAX(0,AK286-IF($A299&gt;='1-Input'!$C$12,'1-Input'!$B$12,0))))*(1/(1-'P-Parametri'!$B$6*AK299))+MIN(MAX(0,AP298-(MAX(0,AK286-IF($A299&gt;='1-Input'!$C$12,'1-Input'!$B$12,0))-MIN(MAX(AO298,0),MAX(0,AK286-IF($A299&gt;='1-Input'!$C$12,'1-Input'!$B$12,0))))*(1/(1-'P-Parametri'!$B$6*AK299))),MAX(0,3*AK286-(AO298-MIN(MAX(AO298,0),MAX(0,AK286-IF($A299&gt;='1-Input'!$C$12,'1-Input'!$B$12,0)))))*(1/(1-'P-Parametri'!$B$6*AK299))))</f>
        <v>18209.159905520519</v>
      </c>
      <c r="AM299" s="18">
        <f>IF($A299&gt;'1-Input'!$B$26,AO298,(AO298-MAX(0,AK286-IF($A299&gt;='1-Input'!$C$12,'1-Input'!$B$12,0))+AL299*(1-'P-Parametri'!$B$6*AK299))*(1+'1-Input'!$B$27))</f>
        <v>49059.121162444499</v>
      </c>
      <c r="AN299" s="18">
        <f>IF($A299&gt;'1-Input'!$B$26,AP298,(AP298-AL299)*(1+$B$4))</f>
        <v>254399.53082825145</v>
      </c>
      <c r="AO299" s="18">
        <f>IF($A299&gt;'1-Input'!$B$26,AM299,AM299-'P-Parametri'!$B$8*(AN299+AM299)+MIN(MAX(AN299,0),'P-Parametri'!$B$8*(AN299+AM299)))</f>
        <v>49059.121162444499</v>
      </c>
      <c r="AP299" s="18">
        <f>IF($A299&gt;'1-Input'!$B$26,AN299,AN299-MIN(MAX(AN299,0),'P-Parametri'!$B$8*(AN299+AM299)))</f>
        <v>253792.61352427004</v>
      </c>
      <c r="AQ299" s="18">
        <f>IF($A299&gt;'1-Input'!$B$26,AQ298,AQ298-AL299*(1-AK299))</f>
        <v>164079.6374760381</v>
      </c>
    </row>
    <row r="300" spans="1:43">
      <c r="A300" s="10">
        <f>12</f>
        <v>12</v>
      </c>
      <c r="B300" s="11">
        <f>IF($A300&gt;'1-Input'!$B$26,0,IF(G299&lt;=0,0,MAX(0,(G299-H299)/G299)))</f>
        <v>0.35343000194876356</v>
      </c>
      <c r="C300" s="18">
        <f>IF($A300&gt;'1-Input'!$B$26,0,(MAX(0,B286-IF($A300&gt;='1-Input'!$C$12,'1-Input'!$B$12,0))-MIN(MAX(F299,0),MAX(0,B286-IF($A300&gt;='1-Input'!$C$12,'1-Input'!$B$12,0))))*(1/(1-'P-Parametri'!$B$6*B300))+MIN(MAX(0,G299-(MAX(0,B286-IF($A300&gt;='1-Input'!$C$12,'1-Input'!$B$12,0))-MIN(MAX(F299,0),MAX(0,B286-IF($A300&gt;='1-Input'!$C$12,'1-Input'!$B$12,0))))*(1/(1-'P-Parametri'!$B$6*B300))),MAX(0,3*B286-(F299-MIN(MAX(F299,0),MAX(0,B286-IF($A300&gt;='1-Input'!$C$12,'1-Input'!$B$12,0)))))*(1/(1-'P-Parametri'!$B$6*B300))))</f>
        <v>18567.402784636753</v>
      </c>
      <c r="D300" s="18">
        <f>IF($A300&gt;'1-Input'!$B$26,F299,(F299-MAX(0,B286-IF($A300&gt;='1-Input'!$C$12,'1-Input'!$B$12,0))+C300*(1-'P-Parametri'!$B$6*B300))*(1+'1-Input'!$B$27))</f>
        <v>49863.010546479447</v>
      </c>
      <c r="E300" s="18">
        <f>IF($A300&gt;'1-Input'!$B$26,G299,(G299-C300)*(1+$B$4))</f>
        <v>235249.11037208664</v>
      </c>
      <c r="F300" s="18">
        <f>IF($A300&gt;'1-Input'!$B$26,D300,D300-'P-Parametri'!$B$8*(E300+D300)+MIN(MAX(E300,0),'P-Parametri'!$B$8*(E300+D300)))</f>
        <v>49863.010546479447</v>
      </c>
      <c r="G300" s="18">
        <f>IF($A300&gt;'1-Input'!$B$26,E300,E300-MIN(MAX(E300,0),'P-Parametri'!$B$8*(E300+D300)))</f>
        <v>234678.88613024951</v>
      </c>
      <c r="H300" s="18">
        <f>IF($A300&gt;'1-Input'!$B$26,H299,H299-C300*(1-B300))</f>
        <v>149122.5655243482</v>
      </c>
      <c r="I300" s="11">
        <f>IF($A300&gt;'1-Input'!$B$26,0,IF(N299&lt;=0,0,MAX(0,(N299-O299)/N299)))</f>
        <v>0.35190590638869529</v>
      </c>
      <c r="J300" s="18">
        <f>IF($A300&gt;'1-Input'!$B$26,0,(MAX(0,I286-IF($A300&gt;='1-Input'!$C$12,'1-Input'!$B$12,0))-MIN(MAX(M299,0),MAX(0,I286-IF($A300&gt;='1-Input'!$C$12,'1-Input'!$B$12,0))))*(1/(1-'P-Parametri'!$B$6*I300))+MIN(MAX(0,N299-(MAX(0,I286-IF($A300&gt;='1-Input'!$C$12,'1-Input'!$B$12,0))-MIN(MAX(M299,0),MAX(0,I286-IF($A300&gt;='1-Input'!$C$12,'1-Input'!$B$12,0))))*(1/(1-'P-Parametri'!$B$6*I300))),MAX(0,3*I286-(M299-MIN(MAX(M299,0),MAX(0,I286-IF($A300&gt;='1-Input'!$C$12,'1-Input'!$B$12,0)))))*(1/(1-'P-Parametri'!$B$6*I300))))</f>
        <v>24420.137092661975</v>
      </c>
      <c r="K300" s="18">
        <f>IF($A300&gt;'1-Input'!$B$26,M299,(M299-MAX(0,I286-IF($A300&gt;='1-Input'!$C$12,'1-Input'!$B$12,0))+J300*(1-'P-Parametri'!$B$6*I300))*(1+'1-Input'!$B$27))</f>
        <v>65609.224403262444</v>
      </c>
      <c r="L300" s="18">
        <f>IF($A300&gt;'1-Input'!$B$26,N299,(N299-J300)*(1+$B$4))</f>
        <v>137613.76867299591</v>
      </c>
      <c r="M300" s="18">
        <f>IF($A300&gt;'1-Input'!$B$26,K300,K300-'P-Parametri'!$B$8*(L300+K300)+MIN(MAX(L300,0),'P-Parametri'!$B$8*(L300+K300)))</f>
        <v>65609.224403262444</v>
      </c>
      <c r="N300" s="18">
        <f>IF($A300&gt;'1-Input'!$B$26,L300,L300-MIN(MAX(L300,0),'P-Parametri'!$B$8*(L300+K300)))</f>
        <v>137207.3226868434</v>
      </c>
      <c r="O300" s="18">
        <f>IF($A300&gt;'1-Input'!$B$26,O299,O299-J300*(1-I300))</f>
        <v>87437.912428001029</v>
      </c>
      <c r="P300" s="11">
        <f>IF($A300&gt;'1-Input'!$B$26,0,IF(U299&lt;=0,0,MAX(0,(U299-V299)/U299)))</f>
        <v>0.35348344386015867</v>
      </c>
      <c r="Q300" s="18">
        <f>IF($A300&gt;'1-Input'!$B$26,0,(MAX(0,P286-IF($A300&gt;='1-Input'!$C$12,'1-Input'!$B$12,0))-MIN(MAX(T299,0),MAX(0,P286-IF($A300&gt;='1-Input'!$C$12,'1-Input'!$B$12,0))))*(1/(1-'P-Parametri'!$B$6*P300))+MIN(MAX(0,U299-(MAX(0,P286-IF($A300&gt;='1-Input'!$C$12,'1-Input'!$B$12,0))-MIN(MAX(T299,0),MAX(0,P286-IF($A300&gt;='1-Input'!$C$12,'1-Input'!$B$12,0))))*(1/(1-'P-Parametri'!$B$6*P300))),MAX(0,3*P286-(T299-MIN(MAX(T299,0),MAX(0,P286-IF($A300&gt;='1-Input'!$C$12,'1-Input'!$B$12,0)))))*(1/(1-'P-Parametri'!$B$6*P300))))</f>
        <v>18298.245936453975</v>
      </c>
      <c r="R300" s="18">
        <f>IF($A300&gt;'1-Input'!$B$26,T299,(T299-MAX(0,P286-IF($A300&gt;='1-Input'!$C$12,'1-Input'!$B$12,0))+Q300*(1-'P-Parametri'!$B$6*P300))*(1+'1-Input'!$B$27))</f>
        <v>49139.434310908975</v>
      </c>
      <c r="S300" s="18">
        <f>IF($A300&gt;'1-Input'!$B$26,U299,(U299-Q300)*(1+$B$4))</f>
        <v>239736.63278076792</v>
      </c>
      <c r="T300" s="18">
        <f>IF($A300&gt;'1-Input'!$B$26,R300,R300-'P-Parametri'!$B$8*(S300+R300)+MIN(MAX(S300,0),'P-Parametri'!$B$8*(S300+R300)))</f>
        <v>49139.434310908975</v>
      </c>
      <c r="U300" s="18">
        <f>IF($A300&gt;'1-Input'!$B$26,S300,S300-MIN(MAX(S300,0),'P-Parametri'!$B$8*(S300+R300)))</f>
        <v>239158.88064658456</v>
      </c>
      <c r="V300" s="18">
        <f>IF($A300&gt;'1-Input'!$B$26,V299,V299-Q300*(1-P300))</f>
        <v>151954.61000586653</v>
      </c>
      <c r="W300" s="11">
        <f>IF($A300&gt;'1-Input'!$B$26,0,IF(AB299&lt;=0,0,MAX(0,(AB299-AC299)/AB299)))</f>
        <v>0.3534886974542813</v>
      </c>
      <c r="X300" s="18">
        <f>IF($A300&gt;'1-Input'!$B$26,0,(MAX(0,W286-IF($A300&gt;='1-Input'!$C$12,'1-Input'!$B$12,0))-MIN(MAX(AA299,0),MAX(0,W286-IF($A300&gt;='1-Input'!$C$12,'1-Input'!$B$12,0))))*(1/(1-'P-Parametri'!$B$6*W300))+MIN(MAX(0,AB299-(MAX(0,W286-IF($A300&gt;='1-Input'!$C$12,'1-Input'!$B$12,0))-MIN(MAX(AA299,0),MAX(0,W286-IF($A300&gt;='1-Input'!$C$12,'1-Input'!$B$12,0))))*(1/(1-'P-Parametri'!$B$6*W300))),MAX(0,3*W286-(AA299-MIN(MAX(AA299,0),MAX(0,W286-IF($A300&gt;='1-Input'!$C$12,'1-Input'!$B$12,0)))))*(1/(1-'P-Parametri'!$B$6*W300))))</f>
        <v>18271.496588780232</v>
      </c>
      <c r="Y300" s="18">
        <f>IF($A300&gt;'1-Input'!$B$26,AA299,(AA299-MAX(0,W286-IF($A300&gt;='1-Input'!$C$12,'1-Input'!$B$12,0))+X300*(1-'P-Parametri'!$B$6*W300))*(1+'1-Input'!$B$27))</f>
        <v>49067.525869838581</v>
      </c>
      <c r="Z300" s="18">
        <f>IF($A300&gt;'1-Input'!$B$26,AB299,(AB299-X300)*(1+$B$4))</f>
        <v>240182.60295475167</v>
      </c>
      <c r="AA300" s="18">
        <f>IF($A300&gt;'1-Input'!$B$26,Y300,Y300-'P-Parametri'!$B$8*(Z300+Y300)+MIN(MAX(Z300,0),'P-Parametri'!$B$8*(Z300+Y300)))</f>
        <v>49067.525869838581</v>
      </c>
      <c r="AB300" s="18">
        <f>IF($A300&gt;'1-Input'!$B$26,Z300,Z300-MIN(MAX(Z300,0),'P-Parametri'!$B$8*(Z300+Y300)))</f>
        <v>239604.1026971025</v>
      </c>
      <c r="AC300" s="18">
        <f>IF($A300&gt;'1-Input'!$B$26,AC299,AC299-X300*(1-W300))</f>
        <v>152236.04655401735</v>
      </c>
      <c r="AD300" s="11">
        <f>IF($A300&gt;'1-Input'!$B$26,0,IF(AI299&lt;=0,0,MAX(0,(AI299-AJ299)/AI299)))</f>
        <v>0.35348931083351076</v>
      </c>
      <c r="AE300" s="18">
        <f>IF($A300&gt;'1-Input'!$B$26,0,(MAX(0,AD286-IF($A300&gt;='1-Input'!$C$12,'1-Input'!$B$12,0))-MIN(MAX(AH299,0),MAX(0,AD286-IF($A300&gt;='1-Input'!$C$12,'1-Input'!$B$12,0))))*(1/(1-'P-Parametri'!$B$6*AD300))+MIN(MAX(0,AI299-(MAX(0,AD286-IF($A300&gt;='1-Input'!$C$12,'1-Input'!$B$12,0))-MIN(MAX(AH299,0),MAX(0,AD286-IF($A300&gt;='1-Input'!$C$12,'1-Input'!$B$12,0))))*(1/(1-'P-Parametri'!$B$6*AD300))),MAX(0,3*AD286-(AH299-MIN(MAX(AH299,0),MAX(0,AD286-IF($A300&gt;='1-Input'!$C$12,'1-Input'!$B$12,0)))))*(1/(1-'P-Parametri'!$B$6*AD300))))</f>
        <v>18268.370076066916</v>
      </c>
      <c r="AF300" s="18">
        <f>IF($A300&gt;'1-Input'!$B$26,AH299,(AH299-MAX(0,AD286-IF($A300&gt;='1-Input'!$C$12,'1-Input'!$B$12,0))+AE300*(1-'P-Parametri'!$B$6*AD300))*(1+'1-Input'!$B$27))</f>
        <v>49059.121103160993</v>
      </c>
      <c r="AG300" s="18">
        <f>IF($A300&gt;'1-Input'!$B$26,AI299,(AI299-AE300)*(1+$B$4))</f>
        <v>240234.72866234471</v>
      </c>
      <c r="AH300" s="18">
        <f>IF($A300&gt;'1-Input'!$B$26,AF300,AF300-'P-Parametri'!$B$8*(AG300+AF300)+MIN(MAX(AG300,0),'P-Parametri'!$B$8*(AG300+AF300)))</f>
        <v>49059.121103160993</v>
      </c>
      <c r="AI300" s="18">
        <f>IF($A300&gt;'1-Input'!$B$26,AG300,AG300-MIN(MAX(AG300,0),'P-Parametri'!$B$8*(AG300+AF300)))</f>
        <v>239656.14096281369</v>
      </c>
      <c r="AJ300" s="18">
        <f>IF($A300&gt;'1-Input'!$B$26,AJ299,AJ299-AE300*(1-AD300))</f>
        <v>152268.94116589904</v>
      </c>
      <c r="AK300" s="11">
        <f>IF($A300&gt;'1-Input'!$B$26,0,IF(AP299&lt;=0,0,MAX(0,(AP299-AQ299)/AP299)))</f>
        <v>0.35348931082918511</v>
      </c>
      <c r="AL300" s="18">
        <f>IF($A300&gt;'1-Input'!$B$26,0,(MAX(0,AK286-IF($A300&gt;='1-Input'!$C$12,'1-Input'!$B$12,0))-MIN(MAX(AO299,0),MAX(0,AK286-IF($A300&gt;='1-Input'!$C$12,'1-Input'!$B$12,0))))*(1/(1-'P-Parametri'!$B$6*AK300))+MIN(MAX(0,AP299-(MAX(0,AK286-IF($A300&gt;='1-Input'!$C$12,'1-Input'!$B$12,0))-MIN(MAX(AO299,0),MAX(0,AK286-IF($A300&gt;='1-Input'!$C$12,'1-Input'!$B$12,0))))*(1/(1-'P-Parametri'!$B$6*AK300))),MAX(0,3*AK286-(AO299-MIN(MAX(AO299,0),MAX(0,AK286-IF($A300&gt;='1-Input'!$C$12,'1-Input'!$B$12,0)))))*(1/(1-'P-Parametri'!$B$6*AK300))))</f>
        <v>18268.370098119962</v>
      </c>
      <c r="AM300" s="18">
        <f>IF($A300&gt;'1-Input'!$B$26,AO299,(AO299-MAX(0,AK286-IF($A300&gt;='1-Input'!$C$12,'1-Input'!$B$12,0))+AL300*(1-'P-Parametri'!$B$6*AK300))*(1+'1-Input'!$B$27))</f>
        <v>49059.121162444506</v>
      </c>
      <c r="AN300" s="18">
        <f>IF($A300&gt;'1-Input'!$B$26,AP299,(AP299-AL300)*(1+$B$4))</f>
        <v>240234.72829467308</v>
      </c>
      <c r="AO300" s="18">
        <f>IF($A300&gt;'1-Input'!$B$26,AM300,AM300-'P-Parametri'!$B$8*(AN300+AM300)+MIN(MAX(AN300,0),'P-Parametri'!$B$8*(AN300+AM300)))</f>
        <v>49059.121162444506</v>
      </c>
      <c r="AP300" s="18">
        <f>IF($A300&gt;'1-Input'!$B$26,AN300,AN300-MIN(MAX(AN300,0),'P-Parametri'!$B$8*(AN300+AM300)))</f>
        <v>239656.14059575886</v>
      </c>
      <c r="AQ300" s="18">
        <f>IF($A300&gt;'1-Input'!$B$26,AQ299,AQ299-AL300*(1-AK300))</f>
        <v>152268.94093387507</v>
      </c>
    </row>
    <row r="301" spans="1:43">
      <c r="A301" s="10">
        <f>13</f>
        <v>13</v>
      </c>
      <c r="B301" s="11">
        <f>IF($A301&gt;'1-Input'!$B$26,0,IF(G300&lt;=0,0,MAX(0,(G300-H300)/G300)))</f>
        <v>0.36456760988040721</v>
      </c>
      <c r="C301" s="18">
        <f>IF($A301&gt;'1-Input'!$B$26,0,(MAX(0,B286-IF($A301&gt;='1-Input'!$C$12,'1-Input'!$B$12,0))-MIN(MAX(F300,0),MAX(0,B286-IF($A301&gt;='1-Input'!$C$12,'1-Input'!$B$12,0))))*(1/(1-'P-Parametri'!$B$6*B301))+MIN(MAX(0,G300-(MAX(0,B286-IF($A301&gt;='1-Input'!$C$12,'1-Input'!$B$12,0))-MIN(MAX(F300,0),MAX(0,B286-IF($A301&gt;='1-Input'!$C$12,'1-Input'!$B$12,0))))*(1/(1-'P-Parametri'!$B$6*B301))),MAX(0,3*B286-(F300-MIN(MAX(F300,0),MAX(0,B286-IF($A301&gt;='1-Input'!$C$12,'1-Input'!$B$12,0)))))*(1/(1-'P-Parametri'!$B$6*B301))))</f>
        <v>18626.79997847031</v>
      </c>
      <c r="D301" s="18">
        <f>IF($A301&gt;'1-Input'!$B$26,F300,(F300-MAX(0,B286-IF($A301&gt;='1-Input'!$C$12,'1-Input'!$B$12,0))+C301*(1-'P-Parametri'!$B$6*B301))*(1+'1-Input'!$B$27))</f>
        <v>49863.010546479447</v>
      </c>
      <c r="E301" s="18">
        <f>IF($A301&gt;'1-Input'!$B$26,G300,(G300-C301)*(1+$B$4))</f>
        <v>220373.12787481479</v>
      </c>
      <c r="F301" s="18">
        <f>IF($A301&gt;'1-Input'!$B$26,D301,D301-'P-Parametri'!$B$8*(E301+D301)+MIN(MAX(E301,0),'P-Parametri'!$B$8*(E301+D301)))</f>
        <v>49863.010546479447</v>
      </c>
      <c r="G301" s="18">
        <f>IF($A301&gt;'1-Input'!$B$26,E301,E301-MIN(MAX(E301,0),'P-Parametri'!$B$8*(E301+D301)))</f>
        <v>219832.65559797219</v>
      </c>
      <c r="H301" s="18">
        <f>IF($A301&gt;'1-Input'!$B$26,H300,H300-C301*(1-B301))</f>
        <v>137286.49349374924</v>
      </c>
      <c r="I301" s="11">
        <f>IF($A301&gt;'1-Input'!$B$26,0,IF(N300&lt;=0,0,MAX(0,(N300-O300)/N300)))</f>
        <v>0.36273144380518318</v>
      </c>
      <c r="J301" s="18">
        <f>IF($A301&gt;'1-Input'!$B$26,0,(MAX(0,I286-IF($A301&gt;='1-Input'!$C$12,'1-Input'!$B$12,0))-MIN(MAX(M300,0),MAX(0,I286-IF($A301&gt;='1-Input'!$C$12,'1-Input'!$B$12,0))))*(1/(1-'P-Parametri'!$B$6*I301))+MIN(MAX(0,N300-(MAX(0,I286-IF($A301&gt;='1-Input'!$C$12,'1-Input'!$B$12,0))-MIN(MAX(M300,0),MAX(0,I286-IF($A301&gt;='1-Input'!$C$12,'1-Input'!$B$12,0))))*(1/(1-'P-Parametri'!$B$6*I301))),MAX(0,3*I286-(M300-MIN(MAX(M300,0),MAX(0,I286-IF($A301&gt;='1-Input'!$C$12,'1-Input'!$B$12,0)))))*(1/(1-'P-Parametri'!$B$6*I301))))</f>
        <v>24496.028293118783</v>
      </c>
      <c r="K301" s="18">
        <f>IF($A301&gt;'1-Input'!$B$26,M300,(M300-MAX(0,I286-IF($A301&gt;='1-Input'!$C$12,'1-Input'!$B$12,0))+J301*(1-'P-Parametri'!$B$6*I301))*(1+'1-Input'!$B$27))</f>
        <v>65609.224403262444</v>
      </c>
      <c r="L301" s="18">
        <f>IF($A301&gt;'1-Input'!$B$26,N300,(N300-J301)*(1+$B$4))</f>
        <v>114965.52028159911</v>
      </c>
      <c r="M301" s="18">
        <f>IF($A301&gt;'1-Input'!$B$26,K301,K301-'P-Parametri'!$B$8*(L301+K301)+MIN(MAX(L301,0),'P-Parametri'!$B$8*(L301+K301)))</f>
        <v>65609.224403262444</v>
      </c>
      <c r="N301" s="18">
        <f>IF($A301&gt;'1-Input'!$B$26,L301,L301-MIN(MAX(L301,0),'P-Parametri'!$B$8*(L301+K301)))</f>
        <v>114604.37079222938</v>
      </c>
      <c r="O301" s="18">
        <f>IF($A301&gt;'1-Input'!$B$26,O300,O300-J301*(1-I301))</f>
        <v>71827.363845137836</v>
      </c>
      <c r="P301" s="11">
        <f>IF($A301&gt;'1-Input'!$B$26,0,IF(U300&lt;=0,0,MAX(0,(U300-V300)/U300)))</f>
        <v>0.3646290298940793</v>
      </c>
      <c r="Q301" s="18">
        <f>IF($A301&gt;'1-Input'!$B$26,0,(MAX(0,P286-IF($A301&gt;='1-Input'!$C$12,'1-Input'!$B$12,0))-MIN(MAX(T300,0),MAX(0,P286-IF($A301&gt;='1-Input'!$C$12,'1-Input'!$B$12,0))))*(1/(1-'P-Parametri'!$B$6*P301))+MIN(MAX(0,U300-(MAX(0,P286-IF($A301&gt;='1-Input'!$C$12,'1-Input'!$B$12,0))-MIN(MAX(T300,0),MAX(0,P286-IF($A301&gt;='1-Input'!$C$12,'1-Input'!$B$12,0))))*(1/(1-'P-Parametri'!$B$6*P301))),MAX(0,3*P286-(T300-MIN(MAX(T300,0),MAX(0,P286-IF($A301&gt;='1-Input'!$C$12,'1-Input'!$B$12,0)))))*(1/(1-'P-Parametri'!$B$6*P301))))</f>
        <v>18356.825060578583</v>
      </c>
      <c r="R301" s="18">
        <f>IF($A301&gt;'1-Input'!$B$26,T300,(T300-MAX(0,P286-IF($A301&gt;='1-Input'!$C$12,'1-Input'!$B$12,0))+Q301*(1-'P-Parametri'!$B$6*P301))*(1+'1-Input'!$B$27))</f>
        <v>49139.434310908975</v>
      </c>
      <c r="S301" s="18">
        <f>IF($A301&gt;'1-Input'!$B$26,U300,(U300-Q301)*(1+$B$4))</f>
        <v>225218.09669772608</v>
      </c>
      <c r="T301" s="18">
        <f>IF($A301&gt;'1-Input'!$B$26,R301,R301-'P-Parametri'!$B$8*(S301+R301)+MIN(MAX(S301,0),'P-Parametri'!$B$8*(S301+R301)))</f>
        <v>49139.434310908975</v>
      </c>
      <c r="U301" s="18">
        <f>IF($A301&gt;'1-Input'!$B$26,S301,S301-MIN(MAX(S301,0),'P-Parametri'!$B$8*(S301+R301)))</f>
        <v>224669.38163570882</v>
      </c>
      <c r="V301" s="18">
        <f>IF($A301&gt;'1-Input'!$B$26,V300,V300-Q301*(1-P301))</f>
        <v>140291.21625906203</v>
      </c>
      <c r="W301" s="11">
        <f>IF($A301&gt;'1-Input'!$B$26,0,IF(AB300&lt;=0,0,MAX(0,(AB300-AC300)/AB300)))</f>
        <v>0.36463505908132215</v>
      </c>
      <c r="X301" s="18">
        <f>IF($A301&gt;'1-Input'!$B$26,0,(MAX(0,W286-IF($A301&gt;='1-Input'!$C$12,'1-Input'!$B$12,0))-MIN(MAX(AA300,0),MAX(0,W286-IF($A301&gt;='1-Input'!$C$12,'1-Input'!$B$12,0))))*(1/(1-'P-Parametri'!$B$6*W301))+MIN(MAX(0,AB300-(MAX(0,W286-IF($A301&gt;='1-Input'!$C$12,'1-Input'!$B$12,0))-MIN(MAX(AA300,0),MAX(0,W286-IF($A301&gt;='1-Input'!$C$12,'1-Input'!$B$12,0))))*(1/(1-'P-Parametri'!$B$6*W301))),MAX(0,3*W286-(AA300-MIN(MAX(AA300,0),MAX(0,W286-IF($A301&gt;='1-Input'!$C$12,'1-Input'!$B$12,0)))))*(1/(1-'P-Parametri'!$B$6*W301))))</f>
        <v>18329.994250548429</v>
      </c>
      <c r="Y301" s="18">
        <f>IF($A301&gt;'1-Input'!$B$26,AA300,(AA300-MAX(0,W286-IF($A301&gt;='1-Input'!$C$12,'1-Input'!$B$12,0))+X301*(1-'P-Parametri'!$B$6*W301))*(1+'1-Input'!$B$27))</f>
        <v>49067.525869838581</v>
      </c>
      <c r="Z301" s="18">
        <f>IF($A301&gt;'1-Input'!$B$26,AB300,(AB300-X301)*(1+$B$4))</f>
        <v>225699.59061548515</v>
      </c>
      <c r="AA301" s="18">
        <f>IF($A301&gt;'1-Input'!$B$26,Y301,Y301-'P-Parametri'!$B$8*(Z301+Y301)+MIN(MAX(Z301,0),'P-Parametri'!$B$8*(Z301+Y301)))</f>
        <v>49067.525869838581</v>
      </c>
      <c r="AB301" s="18">
        <f>IF($A301&gt;'1-Input'!$B$26,Z301,Z301-MIN(MAX(Z301,0),'P-Parametri'!$B$8*(Z301+Y301)))</f>
        <v>225150.05638251451</v>
      </c>
      <c r="AC301" s="18">
        <f>IF($A301&gt;'1-Input'!$B$26,AC300,AC300-X301*(1-W301))</f>
        <v>140589.81083997793</v>
      </c>
      <c r="AD301" s="11">
        <f>IF($A301&gt;'1-Input'!$B$26,0,IF(AI300&lt;=0,0,MAX(0,(AI300-AJ300)/AI300)))</f>
        <v>0.36463576291364097</v>
      </c>
      <c r="AE301" s="18">
        <f>IF($A301&gt;'1-Input'!$B$26,0,(MAX(0,AD286-IF($A301&gt;='1-Input'!$C$12,'1-Input'!$B$12,0))-MIN(MAX(AH300,0),MAX(0,AD286-IF($A301&gt;='1-Input'!$C$12,'1-Input'!$B$12,0))))*(1/(1-'P-Parametri'!$B$6*AD301))+MIN(MAX(0,AI300-(MAX(0,AD286-IF($A301&gt;='1-Input'!$C$12,'1-Input'!$B$12,0))-MIN(MAX(AH300,0),MAX(0,AD286-IF($A301&gt;='1-Input'!$C$12,'1-Input'!$B$12,0))))*(1/(1-'P-Parametri'!$B$6*AD301))),MAX(0,3*AD286-(AH300-MIN(MAX(AH300,0),MAX(0,AD286-IF($A301&gt;='1-Input'!$C$12,'1-Input'!$B$12,0)))))*(1/(1-'P-Parametri'!$B$6*AD301))))</f>
        <v>18326.858214507218</v>
      </c>
      <c r="AF301" s="18">
        <f>IF($A301&gt;'1-Input'!$B$26,AH300,(AH300-MAX(0,AD286-IF($A301&gt;='1-Input'!$C$12,'1-Input'!$B$12,0))+AE301*(1-'P-Parametri'!$B$6*AD301))*(1+'1-Input'!$B$27))</f>
        <v>49059.121103160993</v>
      </c>
      <c r="AG301" s="18">
        <f>IF($A301&gt;'1-Input'!$B$26,AI300,(AI300-AE301)*(1+$B$4))</f>
        <v>225755.86840327259</v>
      </c>
      <c r="AH301" s="18">
        <f>IF($A301&gt;'1-Input'!$B$26,AF301,AF301-'P-Parametri'!$B$8*(AG301+AF301)+MIN(MAX(AG301,0),'P-Parametri'!$B$8*(AG301+AF301)))</f>
        <v>49059.121103160993</v>
      </c>
      <c r="AI301" s="18">
        <f>IF($A301&gt;'1-Input'!$B$26,AG301,AG301-MIN(MAX(AG301,0),'P-Parametri'!$B$8*(AG301+AF301)))</f>
        <v>225206.23842425973</v>
      </c>
      <c r="AJ301" s="18">
        <f>IF($A301&gt;'1-Input'!$B$26,AJ300,AJ300-AE301*(1-AD301))</f>
        <v>140624.71087824879</v>
      </c>
      <c r="AK301" s="11">
        <f>IF($A301&gt;'1-Input'!$B$26,0,IF(AP300&lt;=0,0,MAX(0,(AP300-AQ300)/AP300)))</f>
        <v>0.36463576290867744</v>
      </c>
      <c r="AL301" s="18">
        <f>IF($A301&gt;'1-Input'!$B$26,0,(MAX(0,AK286-IF($A301&gt;='1-Input'!$C$12,'1-Input'!$B$12,0))-MIN(MAX(AO300,0),MAX(0,AK286-IF($A301&gt;='1-Input'!$C$12,'1-Input'!$B$12,0))))*(1/(1-'P-Parametri'!$B$6*AK301))+MIN(MAX(0,AP300-(MAX(0,AK286-IF($A301&gt;='1-Input'!$C$12,'1-Input'!$B$12,0))-MIN(MAX(AO300,0),MAX(0,AK286-IF($A301&gt;='1-Input'!$C$12,'1-Input'!$B$12,0))))*(1/(1-'P-Parametri'!$B$6*AK301))),MAX(0,3*AK286-(AO300-MIN(MAX(AO300,0),MAX(0,AK286-IF($A301&gt;='1-Input'!$C$12,'1-Input'!$B$12,0)))))*(1/(1-'P-Parametri'!$B$6*AK301))))</f>
        <v>18326.858236627428</v>
      </c>
      <c r="AM301" s="18">
        <f>IF($A301&gt;'1-Input'!$B$26,AO300,(AO300-MAX(0,AK286-IF($A301&gt;='1-Input'!$C$12,'1-Input'!$B$12,0))+AL301*(1-'P-Parametri'!$B$6*AK301))*(1+'1-Input'!$B$27))</f>
        <v>49059.121162444499</v>
      </c>
      <c r="AN301" s="18">
        <f>IF($A301&gt;'1-Input'!$B$26,AP300,(AP300-AL301)*(1+$B$4))</f>
        <v>225755.86800631406</v>
      </c>
      <c r="AO301" s="18">
        <f>IF($A301&gt;'1-Input'!$B$26,AM301,AM301-'P-Parametri'!$B$8*(AN301+AM301)+MIN(MAX(AN301,0),'P-Parametri'!$B$8*(AN301+AM301)))</f>
        <v>49059.121162444499</v>
      </c>
      <c r="AP301" s="18">
        <f>IF($A301&gt;'1-Input'!$B$26,AN301,AN301-MIN(MAX(AN301,0),'P-Parametri'!$B$8*(AN301+AM301)))</f>
        <v>225206.23802797653</v>
      </c>
      <c r="AQ301" s="18">
        <f>IF($A301&gt;'1-Input'!$B$26,AQ300,AQ300-AL301*(1-AK301))</f>
        <v>140624.71063207946</v>
      </c>
    </row>
    <row r="302" spans="1:43">
      <c r="A302" s="10">
        <f>14</f>
        <v>14</v>
      </c>
      <c r="B302" s="11">
        <f>IF($A302&gt;'1-Input'!$B$26,0,IF(G301&lt;=0,0,MAX(0,(G301-H301)/G301)))</f>
        <v>0.3754954507540616</v>
      </c>
      <c r="C302" s="18">
        <f>IF($A302&gt;'1-Input'!$B$26,0,(MAX(0,B286-IF($A302&gt;='1-Input'!$C$12,'1-Input'!$B$12,0))-MIN(MAX(F301,0),MAX(0,B286-IF($A302&gt;='1-Input'!$C$12,'1-Input'!$B$12,0))))*(1/(1-'P-Parametri'!$B$6*B302))+MIN(MAX(0,G301-(MAX(0,B286-IF($A302&gt;='1-Input'!$C$12,'1-Input'!$B$12,0))-MIN(MAX(F301,0),MAX(0,B286-IF($A302&gt;='1-Input'!$C$12,'1-Input'!$B$12,0))))*(1/(1-'P-Parametri'!$B$6*B302))),MAX(0,3*B286-(F301-MIN(MAX(F301,0),MAX(0,B286-IF($A302&gt;='1-Input'!$C$12,'1-Input'!$B$12,0)))))*(1/(1-'P-Parametri'!$B$6*B302))))</f>
        <v>18685.448996310821</v>
      </c>
      <c r="D302" s="18">
        <f>IF($A302&gt;'1-Input'!$B$26,F301,(F301-MAX(0,B286-IF($A302&gt;='1-Input'!$C$12,'1-Input'!$B$12,0))+C302*(1-'P-Parametri'!$B$6*B302))*(1+'1-Input'!$B$27))</f>
        <v>49863.010546479447</v>
      </c>
      <c r="E302" s="18">
        <f>IF($A302&gt;'1-Input'!$B$26,G301,(G301-C302)*(1+$B$4))</f>
        <v>205170.15073369461</v>
      </c>
      <c r="F302" s="18">
        <f>IF($A302&gt;'1-Input'!$B$26,D302,D302-'P-Parametri'!$B$8*(E302+D302)+MIN(MAX(E302,0),'P-Parametri'!$B$8*(E302+D302)))</f>
        <v>49863.010546479447</v>
      </c>
      <c r="G302" s="18">
        <f>IF($A302&gt;'1-Input'!$B$26,E302,E302-MIN(MAX(E302,0),'P-Parametri'!$B$8*(E302+D302)))</f>
        <v>204660.08441113427</v>
      </c>
      <c r="H302" s="18">
        <f>IF($A302&gt;'1-Input'!$B$26,H301,H301-C302*(1-B302))</f>
        <v>125617.34559085018</v>
      </c>
      <c r="I302" s="11">
        <f>IF($A302&gt;'1-Input'!$B$26,0,IF(N301&lt;=0,0,MAX(0,(N301-O301)/N301)))</f>
        <v>0.37325807603484518</v>
      </c>
      <c r="J302" s="18">
        <f>IF($A302&gt;'1-Input'!$B$26,0,(MAX(0,I286-IF($A302&gt;='1-Input'!$C$12,'1-Input'!$B$12,0))-MIN(MAX(M301,0),MAX(0,I286-IF($A302&gt;='1-Input'!$C$12,'1-Input'!$B$12,0))))*(1/(1-'P-Parametri'!$B$6*I302))+MIN(MAX(0,N301-(MAX(0,I286-IF($A302&gt;='1-Input'!$C$12,'1-Input'!$B$12,0))-MIN(MAX(M301,0),MAX(0,I286-IF($A302&gt;='1-Input'!$C$12,'1-Input'!$B$12,0))))*(1/(1-'P-Parametri'!$B$6*I302))),MAX(0,3*I286-(M301-MIN(MAX(M301,0),MAX(0,I286-IF($A302&gt;='1-Input'!$C$12,'1-Input'!$B$12,0)))))*(1/(1-'P-Parametri'!$B$6*I302))))</f>
        <v>24570.277766180341</v>
      </c>
      <c r="K302" s="18">
        <f>IF($A302&gt;'1-Input'!$B$26,M301,(M301-MAX(0,I286-IF($A302&gt;='1-Input'!$C$12,'1-Input'!$B$12,0))+J302*(1-'P-Parametri'!$B$6*I302))*(1+'1-Input'!$B$27))</f>
        <v>65609.224403262444</v>
      </c>
      <c r="L302" s="18">
        <f>IF($A302&gt;'1-Input'!$B$26,N301,(N301-J302)*(1+$B$4))</f>
        <v>91834.774886570027</v>
      </c>
      <c r="M302" s="18">
        <f>IF($A302&gt;'1-Input'!$B$26,K302,K302-'P-Parametri'!$B$8*(L302+K302)+MIN(MAX(L302,0),'P-Parametri'!$B$8*(L302+K302)))</f>
        <v>65609.224403262444</v>
      </c>
      <c r="N302" s="18">
        <f>IF($A302&gt;'1-Input'!$B$26,L302,L302-MIN(MAX(L302,0),'P-Parametri'!$B$8*(L302+K302)))</f>
        <v>91519.88688799036</v>
      </c>
      <c r="O302" s="18">
        <f>IF($A302&gt;'1-Input'!$B$26,O301,O301-J302*(1-I302))</f>
        <v>56428.140685603707</v>
      </c>
      <c r="P302" s="11">
        <f>IF($A302&gt;'1-Input'!$B$26,0,IF(U301&lt;=0,0,MAX(0,(U301-V301)/U301)))</f>
        <v>0.37556593053459392</v>
      </c>
      <c r="Q302" s="18">
        <f>IF($A302&gt;'1-Input'!$B$26,0,(MAX(0,P286-IF($A302&gt;='1-Input'!$C$12,'1-Input'!$B$12,0))-MIN(MAX(T301,0),MAX(0,P286-IF($A302&gt;='1-Input'!$C$12,'1-Input'!$B$12,0))))*(1/(1-'P-Parametri'!$B$6*P302))+MIN(MAX(0,U301-(MAX(0,P286-IF($A302&gt;='1-Input'!$C$12,'1-Input'!$B$12,0))-MIN(MAX(T301,0),MAX(0,P286-IF($A302&gt;='1-Input'!$C$12,'1-Input'!$B$12,0))))*(1/(1-'P-Parametri'!$B$6*P302))),MAX(0,3*P286-(T301-MIN(MAX(T301,0),MAX(0,P286-IF($A302&gt;='1-Input'!$C$12,'1-Input'!$B$12,0)))))*(1/(1-'P-Parametri'!$B$6*P302))))</f>
        <v>18414.673118787774</v>
      </c>
      <c r="R302" s="18">
        <f>IF($A302&gt;'1-Input'!$B$26,T301,(T301-MAX(0,P286-IF($A302&gt;='1-Input'!$C$12,'1-Input'!$B$12,0))+Q302*(1-'P-Parametri'!$B$6*P302))*(1+'1-Input'!$B$27))</f>
        <v>49139.434310908975</v>
      </c>
      <c r="S302" s="18">
        <f>IF($A302&gt;'1-Input'!$B$26,U301,(U301-Q302)*(1+$B$4))</f>
        <v>210379.80268725945</v>
      </c>
      <c r="T302" s="18">
        <f>IF($A302&gt;'1-Input'!$B$26,R302,R302-'P-Parametri'!$B$8*(S302+R302)+MIN(MAX(S302,0),'P-Parametri'!$B$8*(S302+R302)))</f>
        <v>49139.434310908975</v>
      </c>
      <c r="U302" s="18">
        <f>IF($A302&gt;'1-Input'!$B$26,S302,S302-MIN(MAX(S302,0),'P-Parametri'!$B$8*(S302+R302)))</f>
        <v>209860.76421326312</v>
      </c>
      <c r="V302" s="18">
        <f>IF($A302&gt;'1-Input'!$B$26,V301,V301-Q302*(1-P302))</f>
        <v>128792.46698562216</v>
      </c>
      <c r="W302" s="11">
        <f>IF($A302&gt;'1-Input'!$B$26,0,IF(AB301&lt;=0,0,MAX(0,(AB301-AC301)/AB301)))</f>
        <v>0.37557283751630299</v>
      </c>
      <c r="X302" s="18">
        <f>IF($A302&gt;'1-Input'!$B$26,0,(MAX(0,W286-IF($A302&gt;='1-Input'!$C$12,'1-Input'!$B$12,0))-MIN(MAX(AA301,0),MAX(0,W286-IF($A302&gt;='1-Input'!$C$12,'1-Input'!$B$12,0))))*(1/(1-'P-Parametri'!$B$6*W302))+MIN(MAX(0,AB301-(MAX(0,W286-IF($A302&gt;='1-Input'!$C$12,'1-Input'!$B$12,0))-MIN(MAX(AA301,0),MAX(0,W286-IF($A302&gt;='1-Input'!$C$12,'1-Input'!$B$12,0))))*(1/(1-'P-Parametri'!$B$6*W302))),MAX(0,3*W286-(AA301-MIN(MAX(AA301,0),MAX(0,W286-IF($A302&gt;='1-Input'!$C$12,'1-Input'!$B$12,0)))))*(1/(1-'P-Parametri'!$B$6*W302))))</f>
        <v>18387.762507600488</v>
      </c>
      <c r="Y302" s="18">
        <f>IF($A302&gt;'1-Input'!$B$26,AA301,(AA301-MAX(0,W286-IF($A302&gt;='1-Input'!$C$12,'1-Input'!$B$12,0))+X302*(1-'P-Parametri'!$B$6*W302))*(1+'1-Input'!$B$27))</f>
        <v>49067.525869838581</v>
      </c>
      <c r="Z302" s="18">
        <f>IF($A302&gt;'1-Input'!$B$26,AB301,(AB301-X302)*(1+$B$4))</f>
        <v>210897.53975241233</v>
      </c>
      <c r="AA302" s="18">
        <f>IF($A302&gt;'1-Input'!$B$26,Y302,Y302-'P-Parametri'!$B$8*(Z302+Y302)+MIN(MAX(Z302,0),'P-Parametri'!$B$8*(Z302+Y302)))</f>
        <v>49067.525869838581</v>
      </c>
      <c r="AB302" s="18">
        <f>IF($A302&gt;'1-Input'!$B$26,Z302,Z302-MIN(MAX(Z302,0),'P-Parametri'!$B$8*(Z302+Y302)))</f>
        <v>210377.60962116782</v>
      </c>
      <c r="AC302" s="18">
        <f>IF($A302&gt;'1-Input'!$B$26,AC301,AC301-X302*(1-W302))</f>
        <v>129107.99247293285</v>
      </c>
      <c r="AD302" s="11">
        <f>IF($A302&gt;'1-Input'!$B$26,0,IF(AI301&lt;=0,0,MAX(0,(AI301-AJ301)/AI301)))</f>
        <v>0.37557364368685991</v>
      </c>
      <c r="AE302" s="18">
        <f>IF($A302&gt;'1-Input'!$B$26,0,(MAX(0,AD286-IF($A302&gt;='1-Input'!$C$12,'1-Input'!$B$12,0))-MIN(MAX(AH301,0),MAX(0,AD286-IF($A302&gt;='1-Input'!$C$12,'1-Input'!$B$12,0))))*(1/(1-'P-Parametri'!$B$6*AD302))+MIN(MAX(0,AI301-(MAX(0,AD286-IF($A302&gt;='1-Input'!$C$12,'1-Input'!$B$12,0))-MIN(MAX(AH301,0),MAX(0,AD286-IF($A302&gt;='1-Input'!$C$12,'1-Input'!$B$12,0))))*(1/(1-'P-Parametri'!$B$6*AD302))),MAX(0,3*AD286-(AH301-MIN(MAX(AH301,0),MAX(0,AD286-IF($A302&gt;='1-Input'!$C$12,'1-Input'!$B$12,0)))))*(1/(1-'P-Parametri'!$B$6*AD302))))</f>
        <v>18384.617141949802</v>
      </c>
      <c r="AF302" s="18">
        <f>IF($A302&gt;'1-Input'!$B$26,AH301,(AH301-MAX(0,AD286-IF($A302&gt;='1-Input'!$C$12,'1-Input'!$B$12,0))+AE302*(1-'P-Parametri'!$B$6*AD302))*(1+'1-Input'!$B$27))</f>
        <v>49059.121103160993</v>
      </c>
      <c r="AG302" s="18">
        <f>IF($A302&gt;'1-Input'!$B$26,AI301,(AI301-AE302)*(1+$B$4))</f>
        <v>210958.05370795613</v>
      </c>
      <c r="AH302" s="18">
        <f>IF($A302&gt;'1-Input'!$B$26,AF302,AF302-'P-Parametri'!$B$8*(AG302+AF302)+MIN(MAX(AG302,0),'P-Parametri'!$B$8*(AG302+AF302)))</f>
        <v>49059.121103160993</v>
      </c>
      <c r="AI302" s="18">
        <f>IF($A302&gt;'1-Input'!$B$26,AG302,AG302-MIN(MAX(AG302,0),'P-Parametri'!$B$8*(AG302+AF302)))</f>
        <v>210438.0193583339</v>
      </c>
      <c r="AJ302" s="18">
        <f>IF($A302&gt;'1-Input'!$B$26,AJ301,AJ301-AE302*(1-AD302))</f>
        <v>129144.87138408898</v>
      </c>
      <c r="AK302" s="11">
        <f>IF($A302&gt;'1-Input'!$B$26,0,IF(AP301&lt;=0,0,MAX(0,(AP301-AQ301)/AP301)))</f>
        <v>0.37557364368117474</v>
      </c>
      <c r="AL302" s="18">
        <f>IF($A302&gt;'1-Input'!$B$26,0,(MAX(0,AK286-IF($A302&gt;='1-Input'!$C$12,'1-Input'!$B$12,0))-MIN(MAX(AO301,0),MAX(0,AK286-IF($A302&gt;='1-Input'!$C$12,'1-Input'!$B$12,0))))*(1/(1-'P-Parametri'!$B$6*AK302))+MIN(MAX(0,AP301-(MAX(0,AK286-IF($A302&gt;='1-Input'!$C$12,'1-Input'!$B$12,0))-MIN(MAX(AO301,0),MAX(0,AK286-IF($A302&gt;='1-Input'!$C$12,'1-Input'!$B$12,0))))*(1/(1-'P-Parametri'!$B$6*AK302))),MAX(0,3*AK286-(AO301-MIN(MAX(AO301,0),MAX(0,AK286-IF($A302&gt;='1-Input'!$C$12,'1-Input'!$B$12,0)))))*(1/(1-'P-Parametri'!$B$6*AK302))))</f>
        <v>18384.617164135827</v>
      </c>
      <c r="AM302" s="18">
        <f>IF($A302&gt;'1-Input'!$B$26,AO301,(AO301-MAX(0,AK286-IF($A302&gt;='1-Input'!$C$12,'1-Input'!$B$12,0))+AL302*(1-'P-Parametri'!$B$6*AK302))*(1+'1-Input'!$B$27))</f>
        <v>49059.121162444491</v>
      </c>
      <c r="AN302" s="18">
        <f>IF($A302&gt;'1-Input'!$B$26,AP301,(AP301-AL302)*(1+$B$4))</f>
        <v>210958.05328111752</v>
      </c>
      <c r="AO302" s="18">
        <f>IF($A302&gt;'1-Input'!$B$26,AM302,AM302-'P-Parametri'!$B$8*(AN302+AM302)+MIN(MAX(AN302,0),'P-Parametri'!$B$8*(AN302+AM302)))</f>
        <v>49059.121162444491</v>
      </c>
      <c r="AP302" s="18">
        <f>IF($A302&gt;'1-Input'!$B$26,AN302,AN302-MIN(MAX(AN302,0),'P-Parametri'!$B$8*(AN302+AM302)))</f>
        <v>210438.01893223039</v>
      </c>
      <c r="AQ302" s="18">
        <f>IF($A302&gt;'1-Input'!$B$26,AQ301,AQ301-AL302*(1-AK302))</f>
        <v>129144.87112396158</v>
      </c>
    </row>
    <row r="303" spans="1:43">
      <c r="A303" s="10">
        <f>15</f>
        <v>15</v>
      </c>
      <c r="B303" s="11">
        <f>IF($A303&gt;'1-Input'!$B$26,0,IF(G302&lt;=0,0,MAX(0,(G302-H302)/G302)))</f>
        <v>0.38621472793638639</v>
      </c>
      <c r="C303" s="18">
        <f>IF($A303&gt;'1-Input'!$B$26,0,(MAX(0,B286-IF($A303&gt;='1-Input'!$C$12,'1-Input'!$B$12,0))-MIN(MAX(F302,0),MAX(0,B286-IF($A303&gt;='1-Input'!$C$12,'1-Input'!$B$12,0))))*(1/(1-'P-Parametri'!$B$6*B303))+MIN(MAX(0,G302-(MAX(0,B286-IF($A303&gt;='1-Input'!$C$12,'1-Input'!$B$12,0))-MIN(MAX(F302,0),MAX(0,B286-IF($A303&gt;='1-Input'!$C$12,'1-Input'!$B$12,0))))*(1/(1-'P-Parametri'!$B$6*B303))),MAX(0,3*B286-(F302-MIN(MAX(F302,0),MAX(0,B286-IF($A303&gt;='1-Input'!$C$12,'1-Input'!$B$12,0)))))*(1/(1-'P-Parametri'!$B$6*B303))))</f>
        <v>18743.338600787687</v>
      </c>
      <c r="D303" s="18">
        <f>IF($A303&gt;'1-Input'!$B$26,F302,(F302-MAX(0,B286-IF($A303&gt;='1-Input'!$C$12,'1-Input'!$B$12,0))+C303*(1-'P-Parametri'!$B$6*B303))*(1+'1-Input'!$B$27))</f>
        <v>49863.010546479447</v>
      </c>
      <c r="E303" s="18">
        <f>IF($A303&gt;'1-Input'!$B$26,G302,(G302-C303)*(1+$B$4))</f>
        <v>189635.08072655351</v>
      </c>
      <c r="F303" s="18">
        <f>IF($A303&gt;'1-Input'!$B$26,D303,D303-'P-Parametri'!$B$8*(E303+D303)+MIN(MAX(E303,0),'P-Parametri'!$B$8*(E303+D303)))</f>
        <v>49863.010546479447</v>
      </c>
      <c r="G303" s="18">
        <f>IF($A303&gt;'1-Input'!$B$26,E303,E303-MIN(MAX(E303,0),'P-Parametri'!$B$8*(E303+D303)))</f>
        <v>189156.08454400743</v>
      </c>
      <c r="H303" s="18">
        <f>IF($A303&gt;'1-Input'!$B$26,H302,H302-C303*(1-B303))</f>
        <v>114112.96040838528</v>
      </c>
      <c r="I303" s="11">
        <f>IF($A303&gt;'1-Input'!$B$26,0,IF(N302&lt;=0,0,MAX(0,(N302-O302)/N302)))</f>
        <v>0.38343301544215025</v>
      </c>
      <c r="J303" s="18">
        <f>IF($A303&gt;'1-Input'!$B$26,0,(MAX(0,I286-IF($A303&gt;='1-Input'!$C$12,'1-Input'!$B$12,0))-MIN(MAX(M302,0),MAX(0,I286-IF($A303&gt;='1-Input'!$C$12,'1-Input'!$B$12,0))))*(1/(1-'P-Parametri'!$B$6*I303))+MIN(MAX(0,N302-(MAX(0,I286-IF($A303&gt;='1-Input'!$C$12,'1-Input'!$B$12,0))-MIN(MAX(M302,0),MAX(0,I286-IF($A303&gt;='1-Input'!$C$12,'1-Input'!$B$12,0))))*(1/(1-'P-Parametri'!$B$6*I303))),MAX(0,3*I286-(M302-MIN(MAX(M302,0),MAX(0,I286-IF($A303&gt;='1-Input'!$C$12,'1-Input'!$B$12,0)))))*(1/(1-'P-Parametri'!$B$6*I303))))</f>
        <v>24642.475641698984</v>
      </c>
      <c r="K303" s="18">
        <f>IF($A303&gt;'1-Input'!$B$26,M302,(M302-MAX(0,I286-IF($A303&gt;='1-Input'!$C$12,'1-Input'!$B$12,0))+J303*(1-'P-Parametri'!$B$6*I303))*(1+'1-Input'!$B$27))</f>
        <v>65609.224403262444</v>
      </c>
      <c r="L303" s="18">
        <f>IF($A303&gt;'1-Input'!$B$26,N302,(N302-J303)*(1+$B$4))</f>
        <v>68214.959471217211</v>
      </c>
      <c r="M303" s="18">
        <f>IF($A303&gt;'1-Input'!$B$26,K303,K303-'P-Parametri'!$B$8*(L303+K303)+MIN(MAX(L303,0),'P-Parametri'!$B$8*(L303+K303)))</f>
        <v>65609.224403262444</v>
      </c>
      <c r="N303" s="18">
        <f>IF($A303&gt;'1-Input'!$B$26,L303,L303-MIN(MAX(L303,0),'P-Parametri'!$B$8*(L303+K303)))</f>
        <v>67947.311103468252</v>
      </c>
      <c r="O303" s="18">
        <f>IF($A303&gt;'1-Input'!$B$26,O302,O302-J303*(1-I303))</f>
        <v>41234.4037871611</v>
      </c>
      <c r="P303" s="11">
        <f>IF($A303&gt;'1-Input'!$B$26,0,IF(U302&lt;=0,0,MAX(0,(U302-V302)/U302)))</f>
        <v>0.38629563525871063</v>
      </c>
      <c r="Q303" s="18">
        <f>IF($A303&gt;'1-Input'!$B$26,0,(MAX(0,P286-IF($A303&gt;='1-Input'!$C$12,'1-Input'!$B$12,0))-MIN(MAX(T302,0),MAX(0,P286-IF($A303&gt;='1-Input'!$C$12,'1-Input'!$B$12,0))))*(1/(1-'P-Parametri'!$B$6*P303))+MIN(MAX(0,U302-(MAX(0,P286-IF($A303&gt;='1-Input'!$C$12,'1-Input'!$B$12,0))-MIN(MAX(T302,0),MAX(0,P286-IF($A303&gt;='1-Input'!$C$12,'1-Input'!$B$12,0))))*(1/(1-'P-Parametri'!$B$6*P303))),MAX(0,3*P286-(T302-MIN(MAX(T302,0),MAX(0,P286-IF($A303&gt;='1-Input'!$C$12,'1-Input'!$B$12,0)))))*(1/(1-'P-Parametri'!$B$6*P303))))</f>
        <v>18471.780662829184</v>
      </c>
      <c r="R303" s="18">
        <f>IF($A303&gt;'1-Input'!$B$26,T302,(T302-MAX(0,P286-IF($A303&gt;='1-Input'!$C$12,'1-Input'!$B$12,0))+Q303*(1-'P-Parametri'!$B$6*P303))*(1+'1-Input'!$B$27))</f>
        <v>49139.434310908975</v>
      </c>
      <c r="S303" s="18">
        <f>IF($A303&gt;'1-Input'!$B$26,U302,(U302-Q303)*(1+$B$4))</f>
        <v>195216.76322144261</v>
      </c>
      <c r="T303" s="18">
        <f>IF($A303&gt;'1-Input'!$B$26,R303,R303-'P-Parametri'!$B$8*(S303+R303)+MIN(MAX(S303,0),'P-Parametri'!$B$8*(S303+R303)))</f>
        <v>49139.434310908975</v>
      </c>
      <c r="U303" s="18">
        <f>IF($A303&gt;'1-Input'!$B$26,S303,S303-MIN(MAX(S303,0),'P-Parametri'!$B$8*(S303+R303)))</f>
        <v>194728.0508263779</v>
      </c>
      <c r="V303" s="18">
        <f>IF($A303&gt;'1-Input'!$B$26,V302,V302-Q303*(1-P303))</f>
        <v>117456.25456830014</v>
      </c>
      <c r="W303" s="11">
        <f>IF($A303&gt;'1-Input'!$B$26,0,IF(AB302&lt;=0,0,MAX(0,(AB302-AC302)/AB302)))</f>
        <v>0.38630354862658239</v>
      </c>
      <c r="X303" s="18">
        <f>IF($A303&gt;'1-Input'!$B$26,0,(MAX(0,W286-IF($A303&gt;='1-Input'!$C$12,'1-Input'!$B$12,0))-MIN(MAX(AA302,0),MAX(0,W286-IF($A303&gt;='1-Input'!$C$12,'1-Input'!$B$12,0))))*(1/(1-'P-Parametri'!$B$6*W303))+MIN(MAX(0,AB302-(MAX(0,W286-IF($A303&gt;='1-Input'!$C$12,'1-Input'!$B$12,0))-MIN(MAX(AA302,0),MAX(0,W286-IF($A303&gt;='1-Input'!$C$12,'1-Input'!$B$12,0))))*(1/(1-'P-Parametri'!$B$6*W303))),MAX(0,3*W286-(AA302-MIN(MAX(AA302,0),MAX(0,W286-IF($A303&gt;='1-Input'!$C$12,'1-Input'!$B$12,0)))))*(1/(1-'P-Parametri'!$B$6*W303))))</f>
        <v>18444.792075490899</v>
      </c>
      <c r="Y303" s="18">
        <f>IF($A303&gt;'1-Input'!$B$26,AA302,(AA302-MAX(0,W286-IF($A303&gt;='1-Input'!$C$12,'1-Input'!$B$12,0))+X303*(1-'P-Parametri'!$B$6*W303))*(1+'1-Input'!$B$27))</f>
        <v>49067.525869838581</v>
      </c>
      <c r="Z303" s="18">
        <f>IF($A303&gt;'1-Input'!$B$26,AB302,(AB302-X303)*(1+$B$4))</f>
        <v>195771.47389659047</v>
      </c>
      <c r="AA303" s="18">
        <f>IF($A303&gt;'1-Input'!$B$26,Y303,Y303-'P-Parametri'!$B$8*(Z303+Y303)+MIN(MAX(Z303,0),'P-Parametri'!$B$8*(Z303+Y303)))</f>
        <v>49067.525869838581</v>
      </c>
      <c r="AB303" s="18">
        <f>IF($A303&gt;'1-Input'!$B$26,Z303,Z303-MIN(MAX(Z303,0),'P-Parametri'!$B$8*(Z303+Y303)))</f>
        <v>195281.7958970576</v>
      </c>
      <c r="AC303" s="18">
        <f>IF($A303&gt;'1-Input'!$B$26,AC302,AC302-X303*(1-W303))</f>
        <v>117788.48902988355</v>
      </c>
      <c r="AD303" s="11">
        <f>IF($A303&gt;'1-Input'!$B$26,0,IF(AI302&lt;=0,0,MAX(0,(AI302-AJ302)/AI302)))</f>
        <v>0.38630447208219981</v>
      </c>
      <c r="AE303" s="18">
        <f>IF($A303&gt;'1-Input'!$B$26,0,(MAX(0,AD286-IF($A303&gt;='1-Input'!$C$12,'1-Input'!$B$12,0))-MIN(MAX(AH302,0),MAX(0,AD286-IF($A303&gt;='1-Input'!$C$12,'1-Input'!$B$12,0))))*(1/(1-'P-Parametri'!$B$6*AD303))+MIN(MAX(0,AI302-(MAX(0,AD286-IF($A303&gt;='1-Input'!$C$12,'1-Input'!$B$12,0))-MIN(MAX(AH302,0),MAX(0,AD286-IF($A303&gt;='1-Input'!$C$12,'1-Input'!$B$12,0))))*(1/(1-'P-Parametri'!$B$6*AD303))),MAX(0,3*AD286-(AH302-MIN(MAX(AH302,0),MAX(0,AD286-IF($A303&gt;='1-Input'!$C$12,'1-Input'!$B$12,0)))))*(1/(1-'P-Parametri'!$B$6*AD303))))</f>
        <v>18441.637592939012</v>
      </c>
      <c r="AF303" s="18">
        <f>IF($A303&gt;'1-Input'!$B$26,AH302,(AH302-MAX(0,AD286-IF($A303&gt;='1-Input'!$C$12,'1-Input'!$B$12,0))+AE303*(1-'P-Parametri'!$B$6*AD303))*(1+'1-Input'!$B$27))</f>
        <v>49059.121103160993</v>
      </c>
      <c r="AG303" s="18">
        <f>IF($A303&gt;'1-Input'!$B$26,AI302,(AI302-AE303)*(1+$B$4))</f>
        <v>195836.30940070277</v>
      </c>
      <c r="AH303" s="18">
        <f>IF($A303&gt;'1-Input'!$B$26,AF303,AF303-'P-Parametri'!$B$8*(AG303+AF303)+MIN(MAX(AG303,0),'P-Parametri'!$B$8*(AG303+AF303)))</f>
        <v>49059.121103160993</v>
      </c>
      <c r="AI303" s="18">
        <f>IF($A303&gt;'1-Input'!$B$26,AG303,AG303-MIN(MAX(AG303,0),'P-Parametri'!$B$8*(AG303+AF303)))</f>
        <v>195346.51853969504</v>
      </c>
      <c r="AJ303" s="18">
        <f>IF($A303&gt;'1-Input'!$B$26,AJ302,AJ302-AE303*(1-AD303))</f>
        <v>117827.32086582153</v>
      </c>
      <c r="AK303" s="11">
        <f>IF($A303&gt;'1-Input'!$B$26,0,IF(AP302&lt;=0,0,MAX(0,(AP302-AQ302)/AP302)))</f>
        <v>0.38630447207568758</v>
      </c>
      <c r="AL303" s="18">
        <f>IF($A303&gt;'1-Input'!$B$26,0,(MAX(0,AK286-IF($A303&gt;='1-Input'!$C$12,'1-Input'!$B$12,0))-MIN(MAX(AO302,0),MAX(0,AK286-IF($A303&gt;='1-Input'!$C$12,'1-Input'!$B$12,0))))*(1/(1-'P-Parametri'!$B$6*AK303))+MIN(MAX(0,AP302-(MAX(0,AK286-IF($A303&gt;='1-Input'!$C$12,'1-Input'!$B$12,0))-MIN(MAX(AO302,0),MAX(0,AK286-IF($A303&gt;='1-Input'!$C$12,'1-Input'!$B$12,0))))*(1/(1-'P-Parametri'!$B$6*AK303))),MAX(0,3*AK286-(AO302-MIN(MAX(AO302,0),MAX(0,AK286-IF($A303&gt;='1-Input'!$C$12,'1-Input'!$B$12,0)))))*(1/(1-'P-Parametri'!$B$6*AK303))))</f>
        <v>18441.637615189356</v>
      </c>
      <c r="AM303" s="18">
        <f>IF($A303&gt;'1-Input'!$B$26,AO302,(AO302-MAX(0,AK286-IF($A303&gt;='1-Input'!$C$12,'1-Input'!$B$12,0))+AL303*(1-'P-Parametri'!$B$6*AK303))*(1+'1-Input'!$B$27))</f>
        <v>49059.121162444506</v>
      </c>
      <c r="AN303" s="18">
        <f>IF($A303&gt;'1-Input'!$B$26,AP302,(AP302-AL303)*(1+$B$4))</f>
        <v>195836.30894338185</v>
      </c>
      <c r="AO303" s="18">
        <f>IF($A303&gt;'1-Input'!$B$26,AM303,AM303-'P-Parametri'!$B$8*(AN303+AM303)+MIN(MAX(AN303,0),'P-Parametri'!$B$8*(AN303+AM303)))</f>
        <v>49059.121162444506</v>
      </c>
      <c r="AP303" s="18">
        <f>IF($A303&gt;'1-Input'!$B$26,AN303,AN303-MIN(MAX(AN303,0),'P-Parametri'!$B$8*(AN303+AM303)))</f>
        <v>195346.5180831702</v>
      </c>
      <c r="AQ303" s="18">
        <f>IF($A303&gt;'1-Input'!$B$26,AQ302,AQ302-AL303*(1-AK303))</f>
        <v>117827.3205919191</v>
      </c>
    </row>
    <row r="304" spans="1:43">
      <c r="A304" s="10">
        <f>16</f>
        <v>16</v>
      </c>
      <c r="B304" s="11">
        <f>IF($A304&gt;'1-Input'!$B$26,0,IF(G303&lt;=0,0,MAX(0,(G303-H303)/G303)))</f>
        <v>0.39672593306488785</v>
      </c>
      <c r="C304" s="18">
        <f>IF($A304&gt;'1-Input'!$B$26,0,(MAX(0,B286-IF($A304&gt;='1-Input'!$C$12,'1-Input'!$B$12,0))-MIN(MAX(F303,0),MAX(0,B286-IF($A304&gt;='1-Input'!$C$12,'1-Input'!$B$12,0))))*(1/(1-'P-Parametri'!$B$6*B304))+MIN(MAX(0,G303-(MAX(0,B286-IF($A304&gt;='1-Input'!$C$12,'1-Input'!$B$12,0))-MIN(MAX(F303,0),MAX(0,B286-IF($A304&gt;='1-Input'!$C$12,'1-Input'!$B$12,0))))*(1/(1-'P-Parametri'!$B$6*B304))),MAX(0,3*B286-(F303-MIN(MAX(F303,0),MAX(0,B286-IF($A304&gt;='1-Input'!$C$12,'1-Input'!$B$12,0)))))*(1/(1-'P-Parametri'!$B$6*B304))))</f>
        <v>18800.453891145913</v>
      </c>
      <c r="D304" s="18">
        <f>IF($A304&gt;'1-Input'!$B$26,F303,(F303-MAX(0,B286-IF($A304&gt;='1-Input'!$C$12,'1-Input'!$B$12,0))+C304*(1-'P-Parametri'!$B$6*B304))*(1+'1-Input'!$B$27))</f>
        <v>49863.010546479447</v>
      </c>
      <c r="E304" s="18">
        <f>IF($A304&gt;'1-Input'!$B$26,G303,(G303-C304)*(1+$B$4))</f>
        <v>173762.74326591875</v>
      </c>
      <c r="F304" s="18">
        <f>IF($A304&gt;'1-Input'!$B$26,D304,D304-'P-Parametri'!$B$8*(E304+D304)+MIN(MAX(E304,0),'P-Parametri'!$B$8*(E304+D304)))</f>
        <v>49863.010546479447</v>
      </c>
      <c r="G304" s="18">
        <f>IF($A304&gt;'1-Input'!$B$26,E304,E304-MIN(MAX(E304,0),'P-Parametri'!$B$8*(E304+D304)))</f>
        <v>173315.49175829394</v>
      </c>
      <c r="H304" s="18">
        <f>IF($A304&gt;'1-Input'!$B$26,H303,H303-C304*(1-B304))</f>
        <v>102771.13412924763</v>
      </c>
      <c r="I304" s="11">
        <f>IF($A304&gt;'1-Input'!$B$26,0,IF(N303&lt;=0,0,MAX(0,(N303-O303)/N303)))</f>
        <v>0.39314149276090543</v>
      </c>
      <c r="J304" s="18">
        <f>IF($A304&gt;'1-Input'!$B$26,0,(MAX(0,I286-IF($A304&gt;='1-Input'!$C$12,'1-Input'!$B$12,0))-MIN(MAX(M303,0),MAX(0,I286-IF($A304&gt;='1-Input'!$C$12,'1-Input'!$B$12,0))))*(1/(1-'P-Parametri'!$B$6*I304))+MIN(MAX(0,N303-(MAX(0,I286-IF($A304&gt;='1-Input'!$C$12,'1-Input'!$B$12,0))-MIN(MAX(M303,0),MAX(0,I286-IF($A304&gt;='1-Input'!$C$12,'1-Input'!$B$12,0))))*(1/(1-'P-Parametri'!$B$6*I304))),MAX(0,3*I286-(M303-MIN(MAX(M303,0),MAX(0,I286-IF($A304&gt;='1-Input'!$C$12,'1-Input'!$B$12,0)))))*(1/(1-'P-Parametri'!$B$6*I304))))</f>
        <v>24711.760339047472</v>
      </c>
      <c r="K304" s="18">
        <f>IF($A304&gt;'1-Input'!$B$26,M303,(M303-MAX(0,I286-IF($A304&gt;='1-Input'!$C$12,'1-Input'!$B$12,0))+J304*(1-'P-Parametri'!$B$6*I304))*(1+'1-Input'!$B$27))</f>
        <v>65609.224403262444</v>
      </c>
      <c r="L304" s="18">
        <f>IF($A304&gt;'1-Input'!$B$26,N303,(N303-J304)*(1+$B$4))</f>
        <v>44100.261779709203</v>
      </c>
      <c r="M304" s="18">
        <f>IF($A304&gt;'1-Input'!$B$26,K304,K304-'P-Parametri'!$B$8*(L304+K304)+MIN(MAX(L304,0),'P-Parametri'!$B$8*(L304+K304)))</f>
        <v>65609.224403262444</v>
      </c>
      <c r="N304" s="18">
        <f>IF($A304&gt;'1-Input'!$B$26,L304,L304-MIN(MAX(L304,0),'P-Parametri'!$B$8*(L304+K304)))</f>
        <v>43880.842807343259</v>
      </c>
      <c r="O304" s="18">
        <f>IF($A304&gt;'1-Input'!$B$26,O303,O303-J304*(1-I304))</f>
        <v>26237.861796556488</v>
      </c>
      <c r="P304" s="11">
        <f>IF($A304&gt;'1-Input'!$B$26,0,IF(U303&lt;=0,0,MAX(0,(U303-V303)/U303)))</f>
        <v>0.39681903007889868</v>
      </c>
      <c r="Q304" s="18">
        <f>IF($A304&gt;'1-Input'!$B$26,0,(MAX(0,P286-IF($A304&gt;='1-Input'!$C$12,'1-Input'!$B$12,0))-MIN(MAX(T303,0),MAX(0,P286-IF($A304&gt;='1-Input'!$C$12,'1-Input'!$B$12,0))))*(1/(1-'P-Parametri'!$B$6*P304))+MIN(MAX(0,U303-(MAX(0,P286-IF($A304&gt;='1-Input'!$C$12,'1-Input'!$B$12,0))-MIN(MAX(T303,0),MAX(0,P286-IF($A304&gt;='1-Input'!$C$12,'1-Input'!$B$12,0))))*(1/(1-'P-Parametri'!$B$6*P304))),MAX(0,3*P286-(T303-MIN(MAX(T303,0),MAX(0,P286-IF($A304&gt;='1-Input'!$C$12,'1-Input'!$B$12,0)))))*(1/(1-'P-Parametri'!$B$6*P304))))</f>
        <v>18528.13525039806</v>
      </c>
      <c r="R304" s="18">
        <f>IF($A304&gt;'1-Input'!$B$26,T303,(T303-MAX(0,P286-IF($A304&gt;='1-Input'!$C$12,'1-Input'!$B$12,0))+Q304*(1-'P-Parametri'!$B$6*P304))*(1+'1-Input'!$B$27))</f>
        <v>49139.434310908975</v>
      </c>
      <c r="S304" s="18">
        <f>IF($A304&gt;'1-Input'!$B$26,U303,(U303-Q304)*(1+$B$4))</f>
        <v>179723.91388749945</v>
      </c>
      <c r="T304" s="18">
        <f>IF($A304&gt;'1-Input'!$B$26,R304,R304-'P-Parametri'!$B$8*(S304+R304)+MIN(MAX(S304,0),'P-Parametri'!$B$8*(S304+R304)))</f>
        <v>49139.434310908975</v>
      </c>
      <c r="U304" s="18">
        <f>IF($A304&gt;'1-Input'!$B$26,S304,S304-MIN(MAX(S304,0),'P-Parametri'!$B$8*(S304+R304)))</f>
        <v>179266.18719110262</v>
      </c>
      <c r="V304" s="18">
        <f>IF($A304&gt;'1-Input'!$B$26,V303,V303-Q304*(1-P304))</f>
        <v>106280.43597713568</v>
      </c>
      <c r="W304" s="11">
        <f>IF($A304&gt;'1-Input'!$B$26,0,IF(AB303&lt;=0,0,MAX(0,(AB303-AC303)/AB303)))</f>
        <v>0.39682811452647887</v>
      </c>
      <c r="X304" s="18">
        <f>IF($A304&gt;'1-Input'!$B$26,0,(MAX(0,W286-IF($A304&gt;='1-Input'!$C$12,'1-Input'!$B$12,0))-MIN(MAX(AA303,0),MAX(0,W286-IF($A304&gt;='1-Input'!$C$12,'1-Input'!$B$12,0))))*(1/(1-'P-Parametri'!$B$6*W304))+MIN(MAX(0,AB303-(MAX(0,W286-IF($A304&gt;='1-Input'!$C$12,'1-Input'!$B$12,0))-MIN(MAX(AA303,0),MAX(0,W286-IF($A304&gt;='1-Input'!$C$12,'1-Input'!$B$12,0))))*(1/(1-'P-Parametri'!$B$6*W304))),MAX(0,3*W286-(AA303-MIN(MAX(AA303,0),MAX(0,W286-IF($A304&gt;='1-Input'!$C$12,'1-Input'!$B$12,0)))))*(1/(1-'P-Parametri'!$B$6*W304))))</f>
        <v>18501.070735383306</v>
      </c>
      <c r="Y304" s="18">
        <f>IF($A304&gt;'1-Input'!$B$26,AA303,(AA303-MAX(0,W286-IF($A304&gt;='1-Input'!$C$12,'1-Input'!$B$12,0))+X304*(1-'P-Parametri'!$B$6*W304))*(1+'1-Input'!$B$27))</f>
        <v>49067.525869838581</v>
      </c>
      <c r="Z304" s="18">
        <f>IF($A304&gt;'1-Input'!$B$26,AB303,(AB303-X304)*(1+$B$4))</f>
        <v>180316.33966490778</v>
      </c>
      <c r="AA304" s="18">
        <f>IF($A304&gt;'1-Input'!$B$26,Y304,Y304-'P-Parametri'!$B$8*(Z304+Y304)+MIN(MAX(Z304,0),'P-Parametri'!$B$8*(Z304+Y304)))</f>
        <v>49067.525869838581</v>
      </c>
      <c r="AB304" s="18">
        <f>IF($A304&gt;'1-Input'!$B$26,Z304,Z304-MIN(MAX(Z304,0),'P-Parametri'!$B$8*(Z304+Y304)))</f>
        <v>179857.57193383828</v>
      </c>
      <c r="AC304" s="18">
        <f>IF($A304&gt;'1-Input'!$B$26,AC303,AC303-X304*(1-W304))</f>
        <v>106629.16331114342</v>
      </c>
      <c r="AD304" s="11">
        <f>IF($A304&gt;'1-Input'!$B$26,0,IF(AI303&lt;=0,0,MAX(0,(AI303-AJ303)/AI303)))</f>
        <v>0.39682917439924253</v>
      </c>
      <c r="AE304" s="18">
        <f>IF($A304&gt;'1-Input'!$B$26,0,(MAX(0,AD286-IF($A304&gt;='1-Input'!$C$12,'1-Input'!$B$12,0))-MIN(MAX(AH303,0),MAX(0,AD286-IF($A304&gt;='1-Input'!$C$12,'1-Input'!$B$12,0))))*(1/(1-'P-Parametri'!$B$6*AD304))+MIN(MAX(0,AI303-(MAX(0,AD286-IF($A304&gt;='1-Input'!$C$12,'1-Input'!$B$12,0))-MIN(MAX(AH303,0),MAX(0,AD286-IF($A304&gt;='1-Input'!$C$12,'1-Input'!$B$12,0))))*(1/(1-'P-Parametri'!$B$6*AD304))),MAX(0,3*AD286-(AH303-MIN(MAX(AH303,0),MAX(0,AD286-IF($A304&gt;='1-Input'!$C$12,'1-Input'!$B$12,0)))))*(1/(1-'P-Parametri'!$B$6*AD304))))</f>
        <v>18497.907374526643</v>
      </c>
      <c r="AF304" s="18">
        <f>IF($A304&gt;'1-Input'!$B$26,AH303,(AH303-MAX(0,AD286-IF($A304&gt;='1-Input'!$C$12,'1-Input'!$B$12,0))+AE304*(1-'P-Parametri'!$B$6*AD304))*(1+'1-Input'!$B$27))</f>
        <v>49059.121103160993</v>
      </c>
      <c r="AG304" s="18">
        <f>IF($A304&gt;'1-Input'!$B$26,AI303,(AI303-AE304)*(1+$B$4))</f>
        <v>180385.58338847177</v>
      </c>
      <c r="AH304" s="18">
        <f>IF($A304&gt;'1-Input'!$B$26,AF304,AF304-'P-Parametri'!$B$8*(AG304+AF304)+MIN(MAX(AG304,0),'P-Parametri'!$B$8*(AG304+AF304)))</f>
        <v>49059.121103160993</v>
      </c>
      <c r="AI304" s="18">
        <f>IF($A304&gt;'1-Input'!$B$26,AG304,AG304-MIN(MAX(AG304,0),'P-Parametri'!$B$8*(AG304+AF304)))</f>
        <v>179926.69397948851</v>
      </c>
      <c r="AJ304" s="18">
        <f>IF($A304&gt;'1-Input'!$B$26,AJ303,AJ303-AE304*(1-AD304))</f>
        <v>106669.92280284196</v>
      </c>
      <c r="AK304" s="11">
        <f>IF($A304&gt;'1-Input'!$B$26,0,IF(AP303&lt;=0,0,MAX(0,(AP303-AQ303)/AP303)))</f>
        <v>0.39682917439176851</v>
      </c>
      <c r="AL304" s="18">
        <f>IF($A304&gt;'1-Input'!$B$26,0,(MAX(0,AK286-IF($A304&gt;='1-Input'!$C$12,'1-Input'!$B$12,0))-MIN(MAX(AO303,0),MAX(0,AK286-IF($A304&gt;='1-Input'!$C$12,'1-Input'!$B$12,0))))*(1/(1-'P-Parametri'!$B$6*AK304))+MIN(MAX(0,AP303-(MAX(0,AK286-IF($A304&gt;='1-Input'!$C$12,'1-Input'!$B$12,0))-MIN(MAX(AO303,0),MAX(0,AK286-IF($A304&gt;='1-Input'!$C$12,'1-Input'!$B$12,0))))*(1/(1-'P-Parametri'!$B$6*AK304))),MAX(0,3*AK286-(AO303-MIN(MAX(AO303,0),MAX(0,AK286-IF($A304&gt;='1-Input'!$C$12,'1-Input'!$B$12,0)))))*(1/(1-'P-Parametri'!$B$6*AK304))))</f>
        <v>18497.907396839597</v>
      </c>
      <c r="AM304" s="18">
        <f>IF($A304&gt;'1-Input'!$B$26,AO303,(AO303-MAX(0,AK286-IF($A304&gt;='1-Input'!$C$12,'1-Input'!$B$12,0))+AL304*(1-'P-Parametri'!$B$6*AK304))*(1+'1-Input'!$B$27))</f>
        <v>49059.121162444499</v>
      </c>
      <c r="AN304" s="18">
        <f>IF($A304&gt;'1-Input'!$B$26,AP303,(AP303-AL304)*(1+$B$4))</f>
        <v>180385.5829000572</v>
      </c>
      <c r="AO304" s="18">
        <f>IF($A304&gt;'1-Input'!$B$26,AM304,AM304-'P-Parametri'!$B$8*(AN304+AM304)+MIN(MAX(AN304,0),'P-Parametri'!$B$8*(AN304+AM304)))</f>
        <v>49059.121162444499</v>
      </c>
      <c r="AP304" s="18">
        <f>IF($A304&gt;'1-Input'!$B$26,AN304,AN304-MIN(MAX(AN304,0),'P-Parametri'!$B$8*(AN304+AM304)))</f>
        <v>179926.69349193221</v>
      </c>
      <c r="AQ304" s="18">
        <f>IF($A304&gt;'1-Input'!$B$26,AQ303,AQ303-AL304*(1-AK304))</f>
        <v>106669.92251534274</v>
      </c>
    </row>
    <row r="305" spans="1:43">
      <c r="A305" s="10">
        <f>17</f>
        <v>17</v>
      </c>
      <c r="B305" s="11">
        <f>IF($A305&gt;'1-Input'!$B$26,0,IF(G304&lt;=0,0,MAX(0,(G304-H304)/G304)))</f>
        <v>0.40702857496101724</v>
      </c>
      <c r="C305" s="18">
        <f>IF($A305&gt;'1-Input'!$B$26,0,(MAX(0,B286-IF($A305&gt;='1-Input'!$C$12,'1-Input'!$B$12,0))-MIN(MAX(F304,0),MAX(0,B286-IF($A305&gt;='1-Input'!$C$12,'1-Input'!$B$12,0))))*(1/(1-'P-Parametri'!$B$6*B305))+MIN(MAX(0,G304-(MAX(0,B286-IF($A305&gt;='1-Input'!$C$12,'1-Input'!$B$12,0))-MIN(MAX(F304,0),MAX(0,B286-IF($A305&gt;='1-Input'!$C$12,'1-Input'!$B$12,0))))*(1/(1-'P-Parametri'!$B$6*B305))),MAX(0,3*B286-(F304-MIN(MAX(F304,0),MAX(0,B286-IF($A305&gt;='1-Input'!$C$12,'1-Input'!$B$12,0)))))*(1/(1-'P-Parametri'!$B$6*B305))))</f>
        <v>18856.774707822064</v>
      </c>
      <c r="D305" s="18">
        <f>IF($A305&gt;'1-Input'!$B$26,F304,(F304-MAX(0,B286-IF($A305&gt;='1-Input'!$C$12,'1-Input'!$B$12,0))+C305*(1-'P-Parametri'!$B$6*B305))*(1+'1-Input'!$B$27))</f>
        <v>49863.010546479447</v>
      </c>
      <c r="E305" s="18">
        <f>IF($A305&gt;'1-Input'!$B$26,G304,(G304-C305)*(1+$B$4))</f>
        <v>157547.8913914813</v>
      </c>
      <c r="F305" s="18">
        <f>IF($A305&gt;'1-Input'!$B$26,D305,D305-'P-Parametri'!$B$8*(E305+D305)+MIN(MAX(E305,0),'P-Parametri'!$B$8*(E305+D305)))</f>
        <v>49863.010546479447</v>
      </c>
      <c r="G305" s="18">
        <f>IF($A305&gt;'1-Input'!$B$26,E305,E305-MIN(MAX(E305,0),'P-Parametri'!$B$8*(E305+D305)))</f>
        <v>157133.06958760539</v>
      </c>
      <c r="H305" s="18">
        <f>IF($A305&gt;'1-Input'!$B$26,H304,H304-C305*(1-B305))</f>
        <v>91589.605559111325</v>
      </c>
      <c r="I305" s="11">
        <f>IF($A305&gt;'1-Input'!$B$26,0,IF(N304&lt;=0,0,MAX(0,(N304-O304)/N304)))</f>
        <v>0.40206568247213104</v>
      </c>
      <c r="J305" s="18">
        <f>IF($A305&gt;'1-Input'!$B$26,0,(MAX(0,I286-IF($A305&gt;='1-Input'!$C$12,'1-Input'!$B$12,0))-MIN(MAX(M304,0),MAX(0,I286-IF($A305&gt;='1-Input'!$C$12,'1-Input'!$B$12,0))))*(1/(1-'P-Parametri'!$B$6*I305))+MIN(MAX(0,N304-(MAX(0,I286-IF($A305&gt;='1-Input'!$C$12,'1-Input'!$B$12,0))-MIN(MAX(M304,0),MAX(0,I286-IF($A305&gt;='1-Input'!$C$12,'1-Input'!$B$12,0))))*(1/(1-'P-Parametri'!$B$6*I305))),MAX(0,3*I286-(M304-MIN(MAX(M304,0),MAX(0,I286-IF($A305&gt;='1-Input'!$C$12,'1-Input'!$B$12,0)))))*(1/(1-'P-Parametri'!$B$6*I305))))</f>
        <v>24775.792508632894</v>
      </c>
      <c r="K305" s="18">
        <f>IF($A305&gt;'1-Input'!$B$26,M304,(M304-MAX(0,I286-IF($A305&gt;='1-Input'!$C$12,'1-Input'!$B$12,0))+J305*(1-'P-Parametri'!$B$6*I305))*(1+'1-Input'!$B$27))</f>
        <v>65609.224403262444</v>
      </c>
      <c r="L305" s="18">
        <f>IF($A305&gt;'1-Input'!$B$26,N304,(N304-J305)*(1+$B$4))</f>
        <v>19487.151304684572</v>
      </c>
      <c r="M305" s="18">
        <f>IF($A305&gt;'1-Input'!$B$26,K305,K305-'P-Parametri'!$B$8*(L305+K305)+MIN(MAX(L305,0),'P-Parametri'!$B$8*(L305+K305)))</f>
        <v>65609.224403262444</v>
      </c>
      <c r="N305" s="18">
        <f>IF($A305&gt;'1-Input'!$B$26,L305,L305-MIN(MAX(L305,0),'P-Parametri'!$B$8*(L305+K305)))</f>
        <v>19316.95855326868</v>
      </c>
      <c r="O305" s="18">
        <f>IF($A305&gt;'1-Input'!$B$26,O304,O304-J305*(1-I305))</f>
        <v>11423.56521169499</v>
      </c>
      <c r="P305" s="11">
        <f>IF($A305&gt;'1-Input'!$B$26,0,IF(U304&lt;=0,0,MAX(0,(U304-V304)/U304)))</f>
        <v>0.40713618311166594</v>
      </c>
      <c r="Q305" s="18">
        <f>IF($A305&gt;'1-Input'!$B$26,0,(MAX(0,P286-IF($A305&gt;='1-Input'!$C$12,'1-Input'!$B$12,0))-MIN(MAX(T304,0),MAX(0,P286-IF($A305&gt;='1-Input'!$C$12,'1-Input'!$B$12,0))))*(1/(1-'P-Parametri'!$B$6*P305))+MIN(MAX(0,U304-(MAX(0,P286-IF($A305&gt;='1-Input'!$C$12,'1-Input'!$B$12,0))-MIN(MAX(T304,0),MAX(0,P286-IF($A305&gt;='1-Input'!$C$12,'1-Input'!$B$12,0))))*(1/(1-'P-Parametri'!$B$6*P305))),MAX(0,3*P286-(T304-MIN(MAX(T304,0),MAX(0,P286-IF($A305&gt;='1-Input'!$C$12,'1-Input'!$B$12,0)))))*(1/(1-'P-Parametri'!$B$6*P305))))</f>
        <v>18583.720195146805</v>
      </c>
      <c r="R305" s="18">
        <f>IF($A305&gt;'1-Input'!$B$26,T304,(T304-MAX(0,P286-IF($A305&gt;='1-Input'!$C$12,'1-Input'!$B$12,0))+Q305*(1-'P-Parametri'!$B$6*P305))*(1+'1-Input'!$B$27))</f>
        <v>49139.434310908975</v>
      </c>
      <c r="S305" s="18">
        <f>IF($A305&gt;'1-Input'!$B$26,U304,(U304-Q305)*(1+$B$4))</f>
        <v>163896.11633587495</v>
      </c>
      <c r="T305" s="18">
        <f>IF($A305&gt;'1-Input'!$B$26,R305,R305-'P-Parametri'!$B$8*(S305+R305)+MIN(MAX(S305,0),'P-Parametri'!$B$8*(S305+R305)))</f>
        <v>49139.434310908975</v>
      </c>
      <c r="U305" s="18">
        <f>IF($A305&gt;'1-Input'!$B$26,S305,S305-MIN(MAX(S305,0),'P-Parametri'!$B$8*(S305+R305)))</f>
        <v>163470.04523458137</v>
      </c>
      <c r="V305" s="18">
        <f>IF($A305&gt;'1-Input'!$B$26,V304,V304-Q305*(1-P305))</f>
        <v>95262.820690256136</v>
      </c>
      <c r="W305" s="11">
        <f>IF($A305&gt;'1-Input'!$B$26,0,IF(AB304&lt;=0,0,MAX(0,(AB304-AC304)/AB304)))</f>
        <v>0.4071466540737711</v>
      </c>
      <c r="X305" s="18">
        <f>IF($A305&gt;'1-Input'!$B$26,0,(MAX(0,W286-IF($A305&gt;='1-Input'!$C$12,'1-Input'!$B$12,0))-MIN(MAX(AA304,0),MAX(0,W286-IF($A305&gt;='1-Input'!$C$12,'1-Input'!$B$12,0))))*(1/(1-'P-Parametri'!$B$6*W305))+MIN(MAX(0,AB304-(MAX(0,W286-IF($A305&gt;='1-Input'!$C$12,'1-Input'!$B$12,0))-MIN(MAX(AA304,0),MAX(0,W286-IF($A305&gt;='1-Input'!$C$12,'1-Input'!$B$12,0))))*(1/(1-'P-Parametri'!$B$6*W305))),MAX(0,3*W286-(AA304-MIN(MAX(AA304,0),MAX(0,W286-IF($A305&gt;='1-Input'!$C$12,'1-Input'!$B$12,0)))))*(1/(1-'P-Parametri'!$B$6*W305))))</f>
        <v>18556.582113925917</v>
      </c>
      <c r="Y305" s="18">
        <f>IF($A305&gt;'1-Input'!$B$26,AA304,(AA304-MAX(0,W286-IF($A305&gt;='1-Input'!$C$12,'1-Input'!$B$12,0))+X305*(1-'P-Parametri'!$B$6*W305))*(1+'1-Input'!$B$27))</f>
        <v>49067.525869838581</v>
      </c>
      <c r="Z305" s="18">
        <f>IF($A305&gt;'1-Input'!$B$26,AB304,(AB304-X305)*(1+$B$4))</f>
        <v>164527.00961631059</v>
      </c>
      <c r="AA305" s="18">
        <f>IF($A305&gt;'1-Input'!$B$26,Y305,Y305-'P-Parametri'!$B$8*(Z305+Y305)+MIN(MAX(Z305,0),'P-Parametri'!$B$8*(Z305+Y305)))</f>
        <v>49067.525869838581</v>
      </c>
      <c r="AB305" s="18">
        <f>IF($A305&gt;'1-Input'!$B$26,Z305,Z305-MIN(MAX(Z305,0),'P-Parametri'!$B$8*(Z305+Y305)))</f>
        <v>164099.8205453383</v>
      </c>
      <c r="AC305" s="18">
        <f>IF($A305&gt;'1-Input'!$B$26,AC304,AC304-X305*(1-W305))</f>
        <v>95627.831515947633</v>
      </c>
      <c r="AD305" s="11">
        <f>IF($A305&gt;'1-Input'!$B$26,0,IF(AI304&lt;=0,0,MAX(0,(AI304-AJ304)/AI304)))</f>
        <v>0.40714787537305475</v>
      </c>
      <c r="AE305" s="18">
        <f>IF($A305&gt;'1-Input'!$B$26,0,(MAX(0,AD286-IF($A305&gt;='1-Input'!$C$12,'1-Input'!$B$12,0))-MIN(MAX(AH304,0),MAX(0,AD286-IF($A305&gt;='1-Input'!$C$12,'1-Input'!$B$12,0))))*(1/(1-'P-Parametri'!$B$6*AD305))+MIN(MAX(0,AI304-(MAX(0,AD286-IF($A305&gt;='1-Input'!$C$12,'1-Input'!$B$12,0))-MIN(MAX(AH304,0),MAX(0,AD286-IF($A305&gt;='1-Input'!$C$12,'1-Input'!$B$12,0))))*(1/(1-'P-Parametri'!$B$6*AD305))),MAX(0,3*AD286-(AH304-MIN(MAX(AH304,0),MAX(0,AD286-IF($A305&gt;='1-Input'!$C$12,'1-Input'!$B$12,0)))))*(1/(1-'P-Parametri'!$B$6*AD305))))</f>
        <v>18553.41014959036</v>
      </c>
      <c r="AF305" s="18">
        <f>IF($A305&gt;'1-Input'!$B$26,AH304,(AH304-MAX(0,AD286-IF($A305&gt;='1-Input'!$C$12,'1-Input'!$B$12,0))+AE305*(1-'P-Parametri'!$B$6*AD305))*(1+'1-Input'!$B$27))</f>
        <v>49059.121103160993</v>
      </c>
      <c r="AG305" s="18">
        <f>IF($A305&gt;'1-Input'!$B$26,AI304,(AI304-AE305)*(1+$B$4))</f>
        <v>164600.74950649613</v>
      </c>
      <c r="AH305" s="18">
        <f>IF($A305&gt;'1-Input'!$B$26,AF305,AF305-'P-Parametri'!$B$8*(AG305+AF305)+MIN(MAX(AG305,0),'P-Parametri'!$B$8*(AG305+AF305)))</f>
        <v>49059.121103160993</v>
      </c>
      <c r="AI305" s="18">
        <f>IF($A305&gt;'1-Input'!$B$26,AG305,AG305-MIN(MAX(AG305,0),'P-Parametri'!$B$8*(AG305+AF305)))</f>
        <v>164173.42976527681</v>
      </c>
      <c r="AJ305" s="18">
        <f>IF($A305&gt;'1-Input'!$B$26,AJ304,AJ304-AE305*(1-AD305))</f>
        <v>95670.494176582186</v>
      </c>
      <c r="AK305" s="11">
        <f>IF($A305&gt;'1-Input'!$B$26,0,IF(AP304&lt;=0,0,MAX(0,(AP304-AQ304)/AP304)))</f>
        <v>0.40714787536444252</v>
      </c>
      <c r="AL305" s="18">
        <f>IF($A305&gt;'1-Input'!$B$26,0,(MAX(0,AK286-IF($A305&gt;='1-Input'!$C$12,'1-Input'!$B$12,0))-MIN(MAX(AO304,0),MAX(0,AK286-IF($A305&gt;='1-Input'!$C$12,'1-Input'!$B$12,0))))*(1/(1-'P-Parametri'!$B$6*AK305))+MIN(MAX(0,AP304-(MAX(0,AK286-IF($A305&gt;='1-Input'!$C$12,'1-Input'!$B$12,0))-MIN(MAX(AO304,0),MAX(0,AK286-IF($A305&gt;='1-Input'!$C$12,'1-Input'!$B$12,0))))*(1/(1-'P-Parametri'!$B$6*AK305))),MAX(0,3*AK286-(AO304-MIN(MAX(AO304,0),MAX(0,AK286-IF($A305&gt;='1-Input'!$C$12,'1-Input'!$B$12,0)))))*(1/(1-'P-Parametri'!$B$6*AK305))))</f>
        <v>18553.410171964006</v>
      </c>
      <c r="AM305" s="18">
        <f>IF($A305&gt;'1-Input'!$B$26,AO304,(AO304-MAX(0,AK286-IF($A305&gt;='1-Input'!$C$12,'1-Input'!$B$12,0))+AL305*(1-'P-Parametri'!$B$6*AK305))*(1+'1-Input'!$B$27))</f>
        <v>49059.121162444491</v>
      </c>
      <c r="AN305" s="18">
        <f>IF($A305&gt;'1-Input'!$B$26,AP304,(AP304-AL305)*(1+$B$4))</f>
        <v>164600.74898636757</v>
      </c>
      <c r="AO305" s="18">
        <f>IF($A305&gt;'1-Input'!$B$26,AM305,AM305-'P-Parametri'!$B$8*(AN305+AM305)+MIN(MAX(AN305,0),'P-Parametri'!$B$8*(AN305+AM305)))</f>
        <v>49059.121162444491</v>
      </c>
      <c r="AP305" s="18">
        <f>IF($A305&gt;'1-Input'!$B$26,AN305,AN305-MIN(MAX(AN305,0),'P-Parametri'!$B$8*(AN305+AM305)))</f>
        <v>164173.42924606995</v>
      </c>
      <c r="AQ305" s="18">
        <f>IF($A305&gt;'1-Input'!$B$26,AQ304,AQ304-AL305*(1-AK305))</f>
        <v>95670.493875658911</v>
      </c>
    </row>
    <row r="306" spans="1:43">
      <c r="A306" s="10">
        <f>18</f>
        <v>18</v>
      </c>
      <c r="B306" s="11">
        <f>IF($A306&gt;'1-Input'!$B$26,0,IF(G305&lt;=0,0,MAX(0,(G305-H305)/G305)))</f>
        <v>0.4171207512238666</v>
      </c>
      <c r="C306" s="18">
        <f>IF($A306&gt;'1-Input'!$B$26,0,(MAX(0,B286-IF($A306&gt;='1-Input'!$C$12,'1-Input'!$B$12,0))-MIN(MAX(F305,0),MAX(0,B286-IF($A306&gt;='1-Input'!$C$12,'1-Input'!$B$12,0))))*(1/(1-'P-Parametri'!$B$6*B306))+MIN(MAX(0,G305-(MAX(0,B286-IF($A306&gt;='1-Input'!$C$12,'1-Input'!$B$12,0))-MIN(MAX(F305,0),MAX(0,B286-IF($A306&gt;='1-Input'!$C$12,'1-Input'!$B$12,0))))*(1/(1-'P-Parametri'!$B$6*B306))),MAX(0,3*B286-(F305-MIN(MAX(F305,0),MAX(0,B286-IF($A306&gt;='1-Input'!$C$12,'1-Input'!$B$12,0)))))*(1/(1-'P-Parametri'!$B$6*B306))))</f>
        <v>18912.273120590828</v>
      </c>
      <c r="D306" s="18">
        <f>IF($A306&gt;'1-Input'!$B$26,F305,(F305-MAX(0,B286-IF($A306&gt;='1-Input'!$C$12,'1-Input'!$B$12,0))+C306*(1-'P-Parametri'!$B$6*B306))*(1+'1-Input'!$B$27))</f>
        <v>49863.010546479447</v>
      </c>
      <c r="E306" s="18">
        <f>IF($A306&gt;'1-Input'!$B$26,G305,(G305-C306)*(1+$B$4))</f>
        <v>140985.21239635485</v>
      </c>
      <c r="F306" s="18">
        <f>IF($A306&gt;'1-Input'!$B$26,D306,D306-'P-Parametri'!$B$8*(E306+D306)+MIN(MAX(E306,0),'P-Parametri'!$B$8*(E306+D306)))</f>
        <v>49863.010546479447</v>
      </c>
      <c r="G306" s="18">
        <f>IF($A306&gt;'1-Input'!$B$26,E306,E306-MIN(MAX(E306,0),'P-Parametri'!$B$8*(E306+D306)))</f>
        <v>140603.51595046918</v>
      </c>
      <c r="H306" s="18">
        <f>IF($A306&gt;'1-Input'!$B$26,H305,H305-C306*(1-B306))</f>
        <v>80566.034009932278</v>
      </c>
      <c r="I306" s="11">
        <f>IF($A306&gt;'1-Input'!$B$26,0,IF(N305&lt;=0,0,MAX(0,(N305-O305)/N305)))</f>
        <v>0.40862505967524715</v>
      </c>
      <c r="J306" s="18">
        <f>IF($A306&gt;'1-Input'!$B$26,0,(MAX(0,I286-IF($A306&gt;='1-Input'!$C$12,'1-Input'!$B$12,0))-MIN(MAX(M305,0),MAX(0,I286-IF($A306&gt;='1-Input'!$C$12,'1-Input'!$B$12,0))))*(1/(1-'P-Parametri'!$B$6*I306))+MIN(MAX(0,N305-(MAX(0,I286-IF($A306&gt;='1-Input'!$C$12,'1-Input'!$B$12,0))-MIN(MAX(M305,0),MAX(0,I286-IF($A306&gt;='1-Input'!$C$12,'1-Input'!$B$12,0))))*(1/(1-'P-Parametri'!$B$6*I306))),MAX(0,3*I286-(M305-MIN(MAX(M305,0),MAX(0,I286-IF($A306&gt;='1-Input'!$C$12,'1-Input'!$B$12,0)))))*(1/(1-'P-Parametri'!$B$6*I306))))</f>
        <v>19316.95855326868</v>
      </c>
      <c r="K306" s="18">
        <f>IF($A306&gt;'1-Input'!$B$26,M305,(M305-MAX(0,I286-IF($A306&gt;='1-Input'!$C$12,'1-Input'!$B$12,0))+J306*(1-'P-Parametri'!$B$6*I306))*(1+'1-Input'!$B$27))</f>
        <v>60705.813177492011</v>
      </c>
      <c r="L306" s="18">
        <f>IF($A306&gt;'1-Input'!$B$26,N305,(N305-J306)*(1+$B$4))</f>
        <v>0</v>
      </c>
      <c r="M306" s="18">
        <f>IF($A306&gt;'1-Input'!$B$26,K306,K306-'P-Parametri'!$B$8*(L306+K306)+MIN(MAX(L306,0),'P-Parametri'!$B$8*(L306+K306)))</f>
        <v>60584.401551137031</v>
      </c>
      <c r="N306" s="18">
        <f>IF($A306&gt;'1-Input'!$B$26,L306,L306-MIN(MAX(L306,0),'P-Parametri'!$B$8*(L306+K306)))</f>
        <v>0</v>
      </c>
      <c r="O306" s="18">
        <f>IF($A306&gt;'1-Input'!$B$26,O305,O305-J306*(1-I306))</f>
        <v>1.8189894035458565E-12</v>
      </c>
      <c r="P306" s="11">
        <f>IF($A306&gt;'1-Input'!$B$26,0,IF(U305&lt;=0,0,MAX(0,(U305-V305)/U305)))</f>
        <v>0.41724601254283067</v>
      </c>
      <c r="Q306" s="18">
        <f>IF($A306&gt;'1-Input'!$B$26,0,(MAX(0,P286-IF($A306&gt;='1-Input'!$C$12,'1-Input'!$B$12,0))-MIN(MAX(T305,0),MAX(0,P286-IF($A306&gt;='1-Input'!$C$12,'1-Input'!$B$12,0))))*(1/(1-'P-Parametri'!$B$6*P306))+MIN(MAX(0,U305-(MAX(0,P286-IF($A306&gt;='1-Input'!$C$12,'1-Input'!$B$12,0))-MIN(MAX(T305,0),MAX(0,P286-IF($A306&gt;='1-Input'!$C$12,'1-Input'!$B$12,0))))*(1/(1-'P-Parametri'!$B$6*P306))),MAX(0,3*P286-(T305-MIN(MAX(T305,0),MAX(0,P286-IF($A306&gt;='1-Input'!$C$12,'1-Input'!$B$12,0)))))*(1/(1-'P-Parametri'!$B$6*P306))))</f>
        <v>18638.512639413693</v>
      </c>
      <c r="R306" s="18">
        <f>IF($A306&gt;'1-Input'!$B$26,T305,(T305-MAX(0,P286-IF($A306&gt;='1-Input'!$C$12,'1-Input'!$B$12,0))+Q306*(1-'P-Parametri'!$B$6*P306))*(1+'1-Input'!$B$27))</f>
        <v>49139.434310908975</v>
      </c>
      <c r="S306" s="18">
        <f>IF($A306&gt;'1-Input'!$B$26,U305,(U305-Q306)*(1+$B$4))</f>
        <v>147728.16324707103</v>
      </c>
      <c r="T306" s="18">
        <f>IF($A306&gt;'1-Input'!$B$26,R306,R306-'P-Parametri'!$B$8*(S306+R306)+MIN(MAX(S306,0),'P-Parametri'!$B$8*(S306+R306)))</f>
        <v>49139.434310908975</v>
      </c>
      <c r="U306" s="18">
        <f>IF($A306&gt;'1-Input'!$B$26,S306,S306-MIN(MAX(S306,0),'P-Parametri'!$B$8*(S306+R306)))</f>
        <v>147334.42805195507</v>
      </c>
      <c r="V306" s="18">
        <f>IF($A306&gt;'1-Input'!$B$26,V305,V305-Q306*(1-P306))</f>
        <v>84401.153129366954</v>
      </c>
      <c r="W306" s="11">
        <f>IF($A306&gt;'1-Input'!$B$26,0,IF(AB305&lt;=0,0,MAX(0,(AB305-AC305)/AB305)))</f>
        <v>0.4172581591000149</v>
      </c>
      <c r="X306" s="18">
        <f>IF($A306&gt;'1-Input'!$B$26,0,(MAX(0,W286-IF($A306&gt;='1-Input'!$C$12,'1-Input'!$B$12,0))-MIN(MAX(AA305,0),MAX(0,W286-IF($A306&gt;='1-Input'!$C$12,'1-Input'!$B$12,0))))*(1/(1-'P-Parametri'!$B$6*W306))+MIN(MAX(0,AB305-(MAX(0,W286-IF($A306&gt;='1-Input'!$C$12,'1-Input'!$B$12,0))-MIN(MAX(AA305,0),MAX(0,W286-IF($A306&gt;='1-Input'!$C$12,'1-Input'!$B$12,0))))*(1/(1-'P-Parametri'!$B$6*W306))),MAX(0,3*W286-(AA305-MIN(MAX(AA305,0),MAX(0,W286-IF($A306&gt;='1-Input'!$C$12,'1-Input'!$B$12,0)))))*(1/(1-'P-Parametri'!$B$6*W306))))</f>
        <v>18611.303805817359</v>
      </c>
      <c r="Y306" s="18">
        <f>IF($A306&gt;'1-Input'!$B$26,AA305,(AA305-MAX(0,W286-IF($A306&gt;='1-Input'!$C$12,'1-Input'!$B$12,0))+X306*(1-'P-Parametri'!$B$6*W306))*(1+'1-Input'!$B$27))</f>
        <v>49067.525869838581</v>
      </c>
      <c r="Z306" s="18">
        <f>IF($A306&gt;'1-Input'!$B$26,AB305,(AB305-X306)*(1+$B$4))</f>
        <v>148398.28707431137</v>
      </c>
      <c r="AA306" s="18">
        <f>IF($A306&gt;'1-Input'!$B$26,Y306,Y306-'P-Parametri'!$B$8*(Z306+Y306)+MIN(MAX(Z306,0),'P-Parametri'!$B$8*(Z306+Y306)))</f>
        <v>49067.525869838581</v>
      </c>
      <c r="AB306" s="18">
        <f>IF($A306&gt;'1-Input'!$B$26,Z306,Z306-MIN(MAX(Z306,0),'P-Parametri'!$B$8*(Z306+Y306)))</f>
        <v>148003.35544842307</v>
      </c>
      <c r="AC306" s="18">
        <f>IF($A306&gt;'1-Input'!$B$26,AC305,AC305-X306*(1-W306))</f>
        <v>84782.246074596726</v>
      </c>
      <c r="AD306" s="11">
        <f>IF($A306&gt;'1-Input'!$B$26,0,IF(AI305&lt;=0,0,MAX(0,(AI305-AJ305)/AI305)))</f>
        <v>0.41725957535659164</v>
      </c>
      <c r="AE306" s="18">
        <f>IF($A306&gt;'1-Input'!$B$26,0,(MAX(0,AD286-IF($A306&gt;='1-Input'!$C$12,'1-Input'!$B$12,0))-MIN(MAX(AH305,0),MAX(0,AD286-IF($A306&gt;='1-Input'!$C$12,'1-Input'!$B$12,0))))*(1/(1-'P-Parametri'!$B$6*AD306))+MIN(MAX(0,AI305-(MAX(0,AD286-IF($A306&gt;='1-Input'!$C$12,'1-Input'!$B$12,0))-MIN(MAX(AH305,0),MAX(0,AD286-IF($A306&gt;='1-Input'!$C$12,'1-Input'!$B$12,0))))*(1/(1-'P-Parametri'!$B$6*AD306))),MAX(0,3*AD286-(AH305-MIN(MAX(AH305,0),MAX(0,AD286-IF($A306&gt;='1-Input'!$C$12,'1-Input'!$B$12,0)))))*(1/(1-'P-Parametri'!$B$6*AD306))))</f>
        <v>18608.123565137153</v>
      </c>
      <c r="AF306" s="18">
        <f>IF($A306&gt;'1-Input'!$B$26,AH305,(AH305-MAX(0,AD286-IF($A306&gt;='1-Input'!$C$12,'1-Input'!$B$12,0))+AE306*(1-'P-Parametri'!$B$6*AD306))*(1+'1-Input'!$B$27))</f>
        <v>49059.121103160993</v>
      </c>
      <c r="AG306" s="18">
        <f>IF($A306&gt;'1-Input'!$B$26,AI305,(AI305-AE306)*(1+$B$4))</f>
        <v>148476.61232414245</v>
      </c>
      <c r="AH306" s="18">
        <f>IF($A306&gt;'1-Input'!$B$26,AF306,AF306-'P-Parametri'!$B$8*(AG306+AF306)+MIN(MAX(AG306,0),'P-Parametri'!$B$8*(AG306+AF306)))</f>
        <v>49059.121103160993</v>
      </c>
      <c r="AI306" s="18">
        <f>IF($A306&gt;'1-Input'!$B$26,AG306,AG306-MIN(MAX(AG306,0),'P-Parametri'!$B$8*(AG306+AF306)))</f>
        <v>148081.54085728785</v>
      </c>
      <c r="AJ306" s="18">
        <f>IF($A306&gt;'1-Input'!$B$26,AJ305,AJ305-AE306*(1-AD306))</f>
        <v>84826.788348417147</v>
      </c>
      <c r="AK306" s="11">
        <f>IF($A306&gt;'1-Input'!$B$26,0,IF(AP305&lt;=0,0,MAX(0,(AP305-AQ305)/AP305)))</f>
        <v>0.41725957534660496</v>
      </c>
      <c r="AL306" s="18">
        <f>IF($A306&gt;'1-Input'!$B$26,0,(MAX(0,AK286-IF($A306&gt;='1-Input'!$C$12,'1-Input'!$B$12,0))-MIN(MAX(AO305,0),MAX(0,AK286-IF($A306&gt;='1-Input'!$C$12,'1-Input'!$B$12,0))))*(1/(1-'P-Parametri'!$B$6*AK306))+MIN(MAX(0,AP305-(MAX(0,AK286-IF($A306&gt;='1-Input'!$C$12,'1-Input'!$B$12,0))-MIN(MAX(AO305,0),MAX(0,AK286-IF($A306&gt;='1-Input'!$C$12,'1-Input'!$B$12,0))))*(1/(1-'P-Parametri'!$B$6*AK306))),MAX(0,3*AK286-(AO305-MIN(MAX(AO305,0),MAX(0,AK286-IF($A306&gt;='1-Input'!$C$12,'1-Input'!$B$12,0)))))*(1/(1-'P-Parametri'!$B$6*AK306))))</f>
        <v>18608.1235875692</v>
      </c>
      <c r="AM306" s="18">
        <f>IF($A306&gt;'1-Input'!$B$26,AO305,(AO305-MAX(0,AK286-IF($A306&gt;='1-Input'!$C$12,'1-Input'!$B$12,0))+AL306*(1-'P-Parametri'!$B$6*AK306))*(1+'1-Input'!$B$27))</f>
        <v>49059.121162444499</v>
      </c>
      <c r="AN306" s="18">
        <f>IF($A306&gt;'1-Input'!$B$26,AP305,(AP305-AL306)*(1+$B$4))</f>
        <v>148476.61177167078</v>
      </c>
      <c r="AO306" s="18">
        <f>IF($A306&gt;'1-Input'!$B$26,AM306,AM306-'P-Parametri'!$B$8*(AN306+AM306)+MIN(MAX(AN306,0),'P-Parametri'!$B$8*(AN306+AM306)))</f>
        <v>49059.121162444499</v>
      </c>
      <c r="AP306" s="18">
        <f>IF($A306&gt;'1-Input'!$B$26,AN306,AN306-MIN(MAX(AN306,0),'P-Parametri'!$B$8*(AN306+AM306)))</f>
        <v>148081.54030580254</v>
      </c>
      <c r="AQ306" s="18">
        <f>IF($A306&gt;'1-Input'!$B$26,AQ305,AQ305-AL306*(1-AK306))</f>
        <v>84826.788034235971</v>
      </c>
    </row>
    <row r="307" spans="1:43">
      <c r="A307" s="10">
        <f>19</f>
        <v>19</v>
      </c>
      <c r="B307" s="11">
        <f>IF($A307&gt;'1-Input'!$B$26,0,IF(G306&lt;=0,0,MAX(0,(G306-H306)/G306)))</f>
        <v>0.42699843979496566</v>
      </c>
      <c r="C307" s="18">
        <f>IF($A307&gt;'1-Input'!$B$26,0,(MAX(0,B286-IF($A307&gt;='1-Input'!$C$12,'1-Input'!$B$12,0))-MIN(MAX(F306,0),MAX(0,B286-IF($A307&gt;='1-Input'!$C$12,'1-Input'!$B$12,0))))*(1/(1-'P-Parametri'!$B$6*B307))+MIN(MAX(0,G306-(MAX(0,B286-IF($A307&gt;='1-Input'!$C$12,'1-Input'!$B$12,0))-MIN(MAX(F306,0),MAX(0,B286-IF($A307&gt;='1-Input'!$C$12,'1-Input'!$B$12,0))))*(1/(1-'P-Parametri'!$B$6*B307))),MAX(0,3*B286-(F306-MIN(MAX(F306,0),MAX(0,B286-IF($A307&gt;='1-Input'!$C$12,'1-Input'!$B$12,0)))))*(1/(1-'P-Parametri'!$B$6*B307))))</f>
        <v>18966.909287086604</v>
      </c>
      <c r="D307" s="18">
        <f>IF($A307&gt;'1-Input'!$B$26,F306,(F306-MAX(0,B286-IF($A307&gt;='1-Input'!$C$12,'1-Input'!$B$12,0))+C307*(1-'P-Parametri'!$B$6*B307))*(1+'1-Input'!$B$27))</f>
        <v>49863.010546479447</v>
      </c>
      <c r="E307" s="18">
        <f>IF($A307&gt;'1-Input'!$B$26,G306,(G306-C307)*(1+$B$4))</f>
        <v>124069.33879665023</v>
      </c>
      <c r="F307" s="18">
        <f>IF($A307&gt;'1-Input'!$B$26,D307,D307-'P-Parametri'!$B$8*(E307+D307)+MIN(MAX(E307,0),'P-Parametri'!$B$8*(E307+D307)))</f>
        <v>49863.010546479447</v>
      </c>
      <c r="G307" s="18">
        <f>IF($A307&gt;'1-Input'!$B$26,E307,E307-MIN(MAX(E307,0),'P-Parametri'!$B$8*(E307+D307)))</f>
        <v>123721.47409796398</v>
      </c>
      <c r="H307" s="18">
        <f>IF($A307&gt;'1-Input'!$B$26,H306,H306-C307*(1-B307))</f>
        <v>69697.965396164305</v>
      </c>
      <c r="I307" s="11">
        <f>IF($A307&gt;'1-Input'!$B$26,0,IF(N306&lt;=0,0,MAX(0,(N306-O306)/N306)))</f>
        <v>0</v>
      </c>
      <c r="J307" s="18">
        <f>IF($A307&gt;'1-Input'!$B$26,0,(MAX(0,I286-IF($A307&gt;='1-Input'!$C$12,'1-Input'!$B$12,0))-MIN(MAX(M306,0),MAX(0,I286-IF($A307&gt;='1-Input'!$C$12,'1-Input'!$B$12,0))))*(1/(1-'P-Parametri'!$B$6*I307))+MIN(MAX(0,N306-(MAX(0,I286-IF($A307&gt;='1-Input'!$C$12,'1-Input'!$B$12,0))-MIN(MAX(M306,0),MAX(0,I286-IF($A307&gt;='1-Input'!$C$12,'1-Input'!$B$12,0))))*(1/(1-'P-Parametri'!$B$6*I307))),MAX(0,3*I286-(M306-MIN(MAX(M306,0),MAX(0,I286-IF($A307&gt;='1-Input'!$C$12,'1-Input'!$B$12,0)))))*(1/(1-'P-Parametri'!$B$6*I307))))</f>
        <v>0</v>
      </c>
      <c r="K307" s="18">
        <f>IF($A307&gt;'1-Input'!$B$26,M306,(M306-MAX(0,I286-IF($A307&gt;='1-Input'!$C$12,'1-Input'!$B$12,0))+J307*(1-'P-Parametri'!$B$6*I307))*(1+'1-Input'!$B$27))</f>
        <v>38496.556237798788</v>
      </c>
      <c r="L307" s="18">
        <f>IF($A307&gt;'1-Input'!$B$26,N306,(N306-J307)*(1+$B$4))</f>
        <v>0</v>
      </c>
      <c r="M307" s="18">
        <f>IF($A307&gt;'1-Input'!$B$26,K307,K307-'P-Parametri'!$B$8*(L307+K307)+MIN(MAX(L307,0),'P-Parametri'!$B$8*(L307+K307)))</f>
        <v>38419.563125323191</v>
      </c>
      <c r="N307" s="18">
        <f>IF($A307&gt;'1-Input'!$B$26,L307,L307-MIN(MAX(L307,0),'P-Parametri'!$B$8*(L307+K307)))</f>
        <v>0</v>
      </c>
      <c r="O307" s="18">
        <f>IF($A307&gt;'1-Input'!$B$26,O306,O306-J307*(1-I307))</f>
        <v>1.8189894035458565E-12</v>
      </c>
      <c r="P307" s="11">
        <f>IF($A307&gt;'1-Input'!$B$26,0,IF(U306&lt;=0,0,MAX(0,(U306-V306)/U306)))</f>
        <v>0.42714575102837288</v>
      </c>
      <c r="Q307" s="18">
        <f>IF($A307&gt;'1-Input'!$B$26,0,(MAX(0,P286-IF($A307&gt;='1-Input'!$C$12,'1-Input'!$B$12,0))-MIN(MAX(T306,0),MAX(0,P286-IF($A307&gt;='1-Input'!$C$12,'1-Input'!$B$12,0))))*(1/(1-'P-Parametri'!$B$6*P307))+MIN(MAX(0,U306-(MAX(0,P286-IF($A307&gt;='1-Input'!$C$12,'1-Input'!$B$12,0))-MIN(MAX(T306,0),MAX(0,P286-IF($A307&gt;='1-Input'!$C$12,'1-Input'!$B$12,0))))*(1/(1-'P-Parametri'!$B$6*P307))),MAX(0,3*P286-(T306-MIN(MAX(T306,0),MAX(0,P286-IF($A307&gt;='1-Input'!$C$12,'1-Input'!$B$12,0)))))*(1/(1-'P-Parametri'!$B$6*P307))))</f>
        <v>18692.480455738183</v>
      </c>
      <c r="R307" s="18">
        <f>IF($A307&gt;'1-Input'!$B$26,T306,(T306-MAX(0,P286-IF($A307&gt;='1-Input'!$C$12,'1-Input'!$B$12,0))+Q307*(1-'P-Parametri'!$B$6*P307))*(1+'1-Input'!$B$27))</f>
        <v>49139.434310908975</v>
      </c>
      <c r="S307" s="18">
        <f>IF($A307&gt;'1-Input'!$B$26,U306,(U306-Q307)*(1+$B$4))</f>
        <v>131214.78654814122</v>
      </c>
      <c r="T307" s="18">
        <f>IF($A307&gt;'1-Input'!$B$26,R307,R307-'P-Parametri'!$B$8*(S307+R307)+MIN(MAX(S307,0),'P-Parametri'!$B$8*(S307+R307)))</f>
        <v>49139.434310908975</v>
      </c>
      <c r="U307" s="18">
        <f>IF($A307&gt;'1-Input'!$B$26,S307,S307-MIN(MAX(S307,0),'P-Parametri'!$B$8*(S307+R307)))</f>
        <v>130854.07810642311</v>
      </c>
      <c r="V307" s="18">
        <f>IF($A307&gt;'1-Input'!$B$26,V306,V306-Q307*(1-P307))</f>
        <v>73693.086276478236</v>
      </c>
      <c r="W307" s="11">
        <f>IF($A307&gt;'1-Input'!$B$26,0,IF(AB306&lt;=0,0,MAX(0,(AB306-AC306)/AB306)))</f>
        <v>0.42715997338221123</v>
      </c>
      <c r="X307" s="18">
        <f>IF($A307&gt;'1-Input'!$B$26,0,(MAX(0,W286-IF($A307&gt;='1-Input'!$C$12,'1-Input'!$B$12,0))-MIN(MAX(AA306,0),MAX(0,W286-IF($A307&gt;='1-Input'!$C$12,'1-Input'!$B$12,0))))*(1/(1-'P-Parametri'!$B$6*W307))+MIN(MAX(0,AB306-(MAX(0,W286-IF($A307&gt;='1-Input'!$C$12,'1-Input'!$B$12,0))-MIN(MAX(AA306,0),MAX(0,W286-IF($A307&gt;='1-Input'!$C$12,'1-Input'!$B$12,0))))*(1/(1-'P-Parametri'!$B$6*W307))),MAX(0,3*W286-(AA306-MIN(MAX(AA306,0),MAX(0,W286-IF($A307&gt;='1-Input'!$C$12,'1-Input'!$B$12,0)))))*(1/(1-'P-Parametri'!$B$6*W307))))</f>
        <v>18665.204362733348</v>
      </c>
      <c r="Y307" s="18">
        <f>IF($A307&gt;'1-Input'!$B$26,AA306,(AA306-MAX(0,W286-IF($A307&gt;='1-Input'!$C$12,'1-Input'!$B$12,0))+X307*(1-'P-Parametri'!$B$6*W307))*(1+'1-Input'!$B$27))</f>
        <v>49067.525869838581</v>
      </c>
      <c r="Z307" s="18">
        <f>IF($A307&gt;'1-Input'!$B$26,AB306,(AB306-X307)*(1+$B$4))</f>
        <v>131924.91410740351</v>
      </c>
      <c r="AA307" s="18">
        <f>IF($A307&gt;'1-Input'!$B$26,Y307,Y307-'P-Parametri'!$B$8*(Z307+Y307)+MIN(MAX(Z307,0),'P-Parametri'!$B$8*(Z307+Y307)))</f>
        <v>49067.525869838581</v>
      </c>
      <c r="AB307" s="18">
        <f>IF($A307&gt;'1-Input'!$B$26,Z307,Z307-MIN(MAX(Z307,0),'P-Parametri'!$B$8*(Z307+Y307)))</f>
        <v>131562.92922744903</v>
      </c>
      <c r="AC307" s="18">
        <f>IF($A307&gt;'1-Input'!$B$26,AC306,AC306-X307*(1-W307))</f>
        <v>74090.069910622085</v>
      </c>
      <c r="AD307" s="11">
        <f>IF($A307&gt;'1-Input'!$B$26,0,IF(AI306&lt;=0,0,MAX(0,(AI306-AJ306)/AI306)))</f>
        <v>0.42716163096811544</v>
      </c>
      <c r="AE307" s="18">
        <f>IF($A307&gt;'1-Input'!$B$26,0,(MAX(0,AD286-IF($A307&gt;='1-Input'!$C$12,'1-Input'!$B$12,0))-MIN(MAX(AH306,0),MAX(0,AD286-IF($A307&gt;='1-Input'!$C$12,'1-Input'!$B$12,0))))*(1/(1-'P-Parametri'!$B$6*AD307))+MIN(MAX(0,AI306-(MAX(0,AD286-IF($A307&gt;='1-Input'!$C$12,'1-Input'!$B$12,0))-MIN(MAX(AH306,0),MAX(0,AD286-IF($A307&gt;='1-Input'!$C$12,'1-Input'!$B$12,0))))*(1/(1-'P-Parametri'!$B$6*AD307))),MAX(0,3*AD286-(AH306-MIN(MAX(AH306,0),MAX(0,AD286-IF($A307&gt;='1-Input'!$C$12,'1-Input'!$B$12,0)))))*(1/(1-'P-Parametri'!$B$6*AD307))))</f>
        <v>18662.016251277153</v>
      </c>
      <c r="AF307" s="18">
        <f>IF($A307&gt;'1-Input'!$B$26,AH306,(AH306-MAX(0,AD286-IF($A307&gt;='1-Input'!$C$12,'1-Input'!$B$12,0))+AE307*(1-'P-Parametri'!$B$6*AD307))*(1+'1-Input'!$B$27))</f>
        <v>49059.121103160993</v>
      </c>
      <c r="AG307" s="18">
        <f>IF($A307&gt;'1-Input'!$B$26,AI306,(AI306-AE307)*(1+$B$4))</f>
        <v>132007.91509813091</v>
      </c>
      <c r="AH307" s="18">
        <f>IF($A307&gt;'1-Input'!$B$26,AF307,AF307-'P-Parametri'!$B$8*(AG307+AF307)+MIN(MAX(AG307,0),'P-Parametri'!$B$8*(AG307+AF307)))</f>
        <v>49059.121103160993</v>
      </c>
      <c r="AI307" s="18">
        <f>IF($A307&gt;'1-Input'!$B$26,AG307,AG307-MIN(MAX(AG307,0),'P-Parametri'!$B$8*(AG307+AF307)))</f>
        <v>131645.78102572833</v>
      </c>
      <c r="AJ307" s="18">
        <f>IF($A307&gt;'1-Input'!$B$26,AJ306,AJ306-AE307*(1-AD307))</f>
        <v>74136.469396189015</v>
      </c>
      <c r="AK307" s="11">
        <f>IF($A307&gt;'1-Input'!$B$26,0,IF(AP306&lt;=0,0,MAX(0,(AP306-AQ306)/AP306)))</f>
        <v>0.42716163095642751</v>
      </c>
      <c r="AL307" s="18">
        <f>IF($A307&gt;'1-Input'!$B$26,0,(MAX(0,AK286-IF($A307&gt;='1-Input'!$C$12,'1-Input'!$B$12,0))-MIN(MAX(AO306,0),MAX(0,AK286-IF($A307&gt;='1-Input'!$C$12,'1-Input'!$B$12,0))))*(1/(1-'P-Parametri'!$B$6*AK307))+MIN(MAX(0,AP306-(MAX(0,AK286-IF($A307&gt;='1-Input'!$C$12,'1-Input'!$B$12,0))-MIN(MAX(AO306,0),MAX(0,AK286-IF($A307&gt;='1-Input'!$C$12,'1-Input'!$B$12,0))))*(1/(1-'P-Parametri'!$B$6*AK307))),MAX(0,3*AK286-(AO306-MIN(MAX(AO306,0),MAX(0,AK286-IF($A307&gt;='1-Input'!$C$12,'1-Input'!$B$12,0)))))*(1/(1-'P-Parametri'!$B$6*AK307))))</f>
        <v>18662.016273764708</v>
      </c>
      <c r="AM307" s="18">
        <f>IF($A307&gt;'1-Input'!$B$26,AO306,(AO306-MAX(0,AK286-IF($A307&gt;='1-Input'!$C$12,'1-Input'!$B$12,0))+AL307*(1-'P-Parametri'!$B$6*AK307))*(1+'1-Input'!$B$27))</f>
        <v>49059.121162444499</v>
      </c>
      <c r="AN307" s="18">
        <f>IF($A307&gt;'1-Input'!$B$26,AP306,(AP306-AL307)*(1+$B$4))</f>
        <v>132007.9145126786</v>
      </c>
      <c r="AO307" s="18">
        <f>IF($A307&gt;'1-Input'!$B$26,AM307,AM307-'P-Parametri'!$B$8*(AN307+AM307)+MIN(MAX(AN307,0),'P-Parametri'!$B$8*(AN307+AM307)))</f>
        <v>49059.121162444499</v>
      </c>
      <c r="AP307" s="18">
        <f>IF($A307&gt;'1-Input'!$B$26,AN307,AN307-MIN(MAX(AN307,0),'P-Parametri'!$B$8*(AN307+AM307)))</f>
        <v>131645.78044132836</v>
      </c>
      <c r="AQ307" s="18">
        <f>IF($A307&gt;'1-Input'!$B$26,AQ306,AQ306-AL307*(1-AK307))</f>
        <v>74136.469068907987</v>
      </c>
    </row>
    <row r="308" spans="1:43">
      <c r="A308" s="10">
        <f>20</f>
        <v>20</v>
      </c>
      <c r="B308" s="11">
        <f>IF($A308&gt;'1-Input'!$B$26,0,IF(G307&lt;=0,0,MAX(0,(G307-H307)/G307)))</f>
        <v>0.43665425986618367</v>
      </c>
      <c r="C308" s="18">
        <f>IF($A308&gt;'1-Input'!$B$26,0,(MAX(0,B286-IF($A308&gt;='1-Input'!$C$12,'1-Input'!$B$12,0))-MIN(MAX(F307,0),MAX(0,B286-IF($A308&gt;='1-Input'!$C$12,'1-Input'!$B$12,0))))*(1/(1-'P-Parametri'!$B$6*B308))+MIN(MAX(0,G307-(MAX(0,B286-IF($A308&gt;='1-Input'!$C$12,'1-Input'!$B$12,0))-MIN(MAX(F307,0),MAX(0,B286-IF($A308&gt;='1-Input'!$C$12,'1-Input'!$B$12,0))))*(1/(1-'P-Parametri'!$B$6*B308))),MAX(0,3*B286-(F307-MIN(MAX(F307,0),MAX(0,B286-IF($A308&gt;='1-Input'!$C$12,'1-Input'!$B$12,0)))))*(1/(1-'P-Parametri'!$B$6*B308))))</f>
        <v>19020.624226404911</v>
      </c>
      <c r="D308" s="18">
        <f>IF($A308&gt;'1-Input'!$B$26,F307,(F307-MAX(0,B286-IF($A308&gt;='1-Input'!$C$12,'1-Input'!$B$12,0))+C308*(1-'P-Parametri'!$B$6*B308))*(1+'1-Input'!$B$27))</f>
        <v>49863.010546479447</v>
      </c>
      <c r="E308" s="18">
        <f>IF($A308&gt;'1-Input'!$B$26,G307,(G307-C308)*(1+$B$4))</f>
        <v>106794.86686899026</v>
      </c>
      <c r="F308" s="18">
        <f>IF($A308&gt;'1-Input'!$B$26,D308,D308-'P-Parametri'!$B$8*(E308+D308)+MIN(MAX(E308,0),'P-Parametri'!$B$8*(E308+D308)))</f>
        <v>49863.010546479447</v>
      </c>
      <c r="G308" s="18">
        <f>IF($A308&gt;'1-Input'!$B$26,E308,E308-MIN(MAX(E308,0),'P-Parametri'!$B$8*(E308+D308)))</f>
        <v>106481.55111415932</v>
      </c>
      <c r="H308" s="18">
        <f>IF($A308&gt;'1-Input'!$B$26,H307,H307-C308*(1-B308))</f>
        <v>58982.777763533035</v>
      </c>
      <c r="I308" s="11">
        <f>IF($A308&gt;'1-Input'!$B$26,0,IF(N307&lt;=0,0,MAX(0,(N307-O307)/N307)))</f>
        <v>0</v>
      </c>
      <c r="J308" s="18">
        <f>IF($A308&gt;'1-Input'!$B$26,0,(MAX(0,I286-IF($A308&gt;='1-Input'!$C$12,'1-Input'!$B$12,0))-MIN(MAX(M307,0),MAX(0,I286-IF($A308&gt;='1-Input'!$C$12,'1-Input'!$B$12,0))))*(1/(1-'P-Parametri'!$B$6*I308))+MIN(MAX(0,N307-(MAX(0,I286-IF($A308&gt;='1-Input'!$C$12,'1-Input'!$B$12,0))-MIN(MAX(M307,0),MAX(0,I286-IF($A308&gt;='1-Input'!$C$12,'1-Input'!$B$12,0))))*(1/(1-'P-Parametri'!$B$6*I308))),MAX(0,3*I286-(M307-MIN(MAX(M307,0),MAX(0,I286-IF($A308&gt;='1-Input'!$C$12,'1-Input'!$B$12,0)))))*(1/(1-'P-Parametri'!$B$6*I308))))</f>
        <v>0</v>
      </c>
      <c r="K308" s="18">
        <f>IF($A308&gt;'1-Input'!$B$26,M307,(M307-MAX(0,I286-IF($A308&gt;='1-Input'!$C$12,'1-Input'!$B$12,0))+J308*(1-'P-Parametri'!$B$6*I308))*(1+'1-Input'!$B$27))</f>
        <v>16411.511230317879</v>
      </c>
      <c r="L308" s="18">
        <f>IF($A308&gt;'1-Input'!$B$26,N307,(N307-J308)*(1+$B$4))</f>
        <v>0</v>
      </c>
      <c r="M308" s="18">
        <f>IF($A308&gt;'1-Input'!$B$26,K308,K308-'P-Parametri'!$B$8*(L308+K308)+MIN(MAX(L308,0),'P-Parametri'!$B$8*(L308+K308)))</f>
        <v>16378.688207857243</v>
      </c>
      <c r="N308" s="18">
        <f>IF($A308&gt;'1-Input'!$B$26,L308,L308-MIN(MAX(L308,0),'P-Parametri'!$B$8*(L308+K308)))</f>
        <v>0</v>
      </c>
      <c r="O308" s="18">
        <f>IF($A308&gt;'1-Input'!$B$26,O307,O307-J308*(1-I308))</f>
        <v>1.8189894035458565E-12</v>
      </c>
      <c r="P308" s="11">
        <f>IF($A308&gt;'1-Input'!$B$26,0,IF(U307&lt;=0,0,MAX(0,(U307-V307)/U307)))</f>
        <v>0.43683003737534315</v>
      </c>
      <c r="Q308" s="18">
        <f>IF($A308&gt;'1-Input'!$B$26,0,(MAX(0,P286-IF($A308&gt;='1-Input'!$C$12,'1-Input'!$B$12,0))-MIN(MAX(T307,0),MAX(0,P286-IF($A308&gt;='1-Input'!$C$12,'1-Input'!$B$12,0))))*(1/(1-'P-Parametri'!$B$6*P308))+MIN(MAX(0,U307-(MAX(0,P286-IF($A308&gt;='1-Input'!$C$12,'1-Input'!$B$12,0))-MIN(MAX(T307,0),MAX(0,P286-IF($A308&gt;='1-Input'!$C$12,'1-Input'!$B$12,0))))*(1/(1-'P-Parametri'!$B$6*P308))),MAX(0,3*P286-(T307-MIN(MAX(T307,0),MAX(0,P286-IF($A308&gt;='1-Input'!$C$12,'1-Input'!$B$12,0)))))*(1/(1-'P-Parametri'!$B$6*P308))))</f>
        <v>18745.577006087078</v>
      </c>
      <c r="R308" s="18">
        <f>IF($A308&gt;'1-Input'!$B$26,T307,(T307-MAX(0,P286-IF($A308&gt;='1-Input'!$C$12,'1-Input'!$B$12,0))+Q308*(1-'P-Parametri'!$B$6*P308))*(1+'1-Input'!$B$27))</f>
        <v>49139.434310908975</v>
      </c>
      <c r="S308" s="18">
        <f>IF($A308&gt;'1-Input'!$B$26,U307,(U307-Q308)*(1+$B$4))</f>
        <v>114350.67112234276</v>
      </c>
      <c r="T308" s="18">
        <f>IF($A308&gt;'1-Input'!$B$26,R308,R308-'P-Parametri'!$B$8*(S308+R308)+MIN(MAX(S308,0),'P-Parametri'!$B$8*(S308+R308)))</f>
        <v>49139.434310908975</v>
      </c>
      <c r="U308" s="18">
        <f>IF($A308&gt;'1-Input'!$B$26,S308,S308-MIN(MAX(S308,0),'P-Parametri'!$B$8*(S308+R308)))</f>
        <v>114023.69091147625</v>
      </c>
      <c r="V308" s="18">
        <f>IF($A308&gt;'1-Input'!$B$26,V307,V307-Q308*(1-P308))</f>
        <v>63136.140374582552</v>
      </c>
      <c r="W308" s="11">
        <f>IF($A308&gt;'1-Input'!$B$26,0,IF(AB307&lt;=0,0,MAX(0,(AB307-AC307)/AB307)))</f>
        <v>0.43684691162102768</v>
      </c>
      <c r="X308" s="18">
        <f>IF($A308&gt;'1-Input'!$B$26,0,(MAX(0,W286-IF($A308&gt;='1-Input'!$C$12,'1-Input'!$B$12,0))-MIN(MAX(AA307,0),MAX(0,W286-IF($A308&gt;='1-Input'!$C$12,'1-Input'!$B$12,0))))*(1/(1-'P-Parametri'!$B$6*W308))+MIN(MAX(0,AB307-(MAX(0,W286-IF($A308&gt;='1-Input'!$C$12,'1-Input'!$B$12,0))-MIN(MAX(AA307,0),MAX(0,W286-IF($A308&gt;='1-Input'!$C$12,'1-Input'!$B$12,0))))*(1/(1-'P-Parametri'!$B$6*W308))),MAX(0,3*W286-(AA307-MIN(MAX(AA307,0),MAX(0,W286-IF($A308&gt;='1-Input'!$C$12,'1-Input'!$B$12,0)))))*(1/(1-'P-Parametri'!$B$6*W308))))</f>
        <v>18718.238215463141</v>
      </c>
      <c r="Y308" s="18">
        <f>IF($A308&gt;'1-Input'!$B$26,AA307,(AA307-MAX(0,W286-IF($A308&gt;='1-Input'!$C$12,'1-Input'!$B$12,0))+X308*(1-'P-Parametri'!$B$6*W308))*(1+'1-Input'!$B$27))</f>
        <v>49067.525869838581</v>
      </c>
      <c r="Z308" s="18">
        <f>IF($A308&gt;'1-Input'!$B$26,AB307,(AB307-X308)*(1+$B$4))</f>
        <v>115101.58483222561</v>
      </c>
      <c r="AA308" s="18">
        <f>IF($A308&gt;'1-Input'!$B$26,Y308,Y308-'P-Parametri'!$B$8*(Z308+Y308)+MIN(MAX(Z308,0),'P-Parametri'!$B$8*(Z308+Y308)))</f>
        <v>49067.525869838581</v>
      </c>
      <c r="AB308" s="18">
        <f>IF($A308&gt;'1-Input'!$B$26,Z308,Z308-MIN(MAX(Z308,0),'P-Parametri'!$B$8*(Z308+Y308)))</f>
        <v>114773.24661082147</v>
      </c>
      <c r="AC308" s="18">
        <f>IF($A308&gt;'1-Input'!$B$26,AC307,AC307-X308*(1-W308))</f>
        <v>63548.836250570712</v>
      </c>
      <c r="AD308" s="11">
        <f>IF($A308&gt;'1-Input'!$B$26,0,IF(AI307&lt;=0,0,MAX(0,(AI307-AJ307)/AI307)))</f>
        <v>0.43684887720252819</v>
      </c>
      <c r="AE308" s="18">
        <f>IF($A308&gt;'1-Input'!$B$26,0,(MAX(0,AD286-IF($A308&gt;='1-Input'!$C$12,'1-Input'!$B$12,0))-MIN(MAX(AH307,0),MAX(0,AD286-IF($A308&gt;='1-Input'!$C$12,'1-Input'!$B$12,0))))*(1/(1-'P-Parametri'!$B$6*AD308))+MIN(MAX(0,AI307-(MAX(0,AD286-IF($A308&gt;='1-Input'!$C$12,'1-Input'!$B$12,0))-MIN(MAX(AH307,0),MAX(0,AD286-IF($A308&gt;='1-Input'!$C$12,'1-Input'!$B$12,0))))*(1/(1-'P-Parametri'!$B$6*AD308))),MAX(0,3*AD286-(AH307-MIN(MAX(AH307,0),MAX(0,AD286-IF($A308&gt;='1-Input'!$C$12,'1-Input'!$B$12,0)))))*(1/(1-'P-Parametri'!$B$6*AD308))))</f>
        <v>18715.042762047862</v>
      </c>
      <c r="AF308" s="18">
        <f>IF($A308&gt;'1-Input'!$B$26,AH307,(AH307-MAX(0,AD286-IF($A308&gt;='1-Input'!$C$12,'1-Input'!$B$12,0))+AE308*(1-'P-Parametri'!$B$6*AD308))*(1+'1-Input'!$B$27))</f>
        <v>49059.121103160993</v>
      </c>
      <c r="AG308" s="18">
        <f>IF($A308&gt;'1-Input'!$B$26,AI307,(AI307-AE308)*(1+$B$4))</f>
        <v>115189.35302895408</v>
      </c>
      <c r="AH308" s="18">
        <f>IF($A308&gt;'1-Input'!$B$26,AF308,AF308-'P-Parametri'!$B$8*(AG308+AF308)+MIN(MAX(AG308,0),'P-Parametri'!$B$8*(AG308+AF308)))</f>
        <v>49059.121103160993</v>
      </c>
      <c r="AI308" s="18">
        <f>IF($A308&gt;'1-Input'!$B$26,AG308,AG308-MIN(MAX(AG308,0),'P-Parametri'!$B$8*(AG308+AF308)))</f>
        <v>114860.85608068985</v>
      </c>
      <c r="AJ308" s="18">
        <f>IF($A308&gt;'1-Input'!$B$26,AJ307,AJ307-AE308*(1-AD308))</f>
        <v>63597.072051539064</v>
      </c>
      <c r="AK308" s="11">
        <f>IF($A308&gt;'1-Input'!$B$26,0,IF(AP307&lt;=0,0,MAX(0,(AP307-AQ307)/AP307)))</f>
        <v>0.43684887718866927</v>
      </c>
      <c r="AL308" s="18">
        <f>IF($A308&gt;'1-Input'!$B$26,0,(MAX(0,AK286-IF($A308&gt;='1-Input'!$C$12,'1-Input'!$B$12,0))-MIN(MAX(AO307,0),MAX(0,AK286-IF($A308&gt;='1-Input'!$C$12,'1-Input'!$B$12,0))))*(1/(1-'P-Parametri'!$B$6*AK308))+MIN(MAX(0,AP307-(MAX(0,AK286-IF($A308&gt;='1-Input'!$C$12,'1-Input'!$B$12,0))-MIN(MAX(AO307,0),MAX(0,AK286-IF($A308&gt;='1-Input'!$C$12,'1-Input'!$B$12,0))))*(1/(1-'P-Parametri'!$B$6*AK308))),MAX(0,3*AK286-(AO307-MIN(MAX(AO307,0),MAX(0,AK286-IF($A308&gt;='1-Input'!$C$12,'1-Input'!$B$12,0)))))*(1/(1-'P-Parametri'!$B$6*AK308))))</f>
        <v>18715.042784587218</v>
      </c>
      <c r="AM308" s="18">
        <f>IF($A308&gt;'1-Input'!$B$26,AO307,(AO307-MAX(0,AK286-IF($A308&gt;='1-Input'!$C$12,'1-Input'!$B$12,0))+AL308*(1-'P-Parametri'!$B$6*AK308))*(1+'1-Input'!$B$27))</f>
        <v>49059.121162444499</v>
      </c>
      <c r="AN308" s="18">
        <f>IF($A308&gt;'1-Input'!$B$26,AP307,(AP307-AL308)*(1+$B$4))</f>
        <v>115189.35240987597</v>
      </c>
      <c r="AO308" s="18">
        <f>IF($A308&gt;'1-Input'!$B$26,AM308,AM308-'P-Parametri'!$B$8*(AN308+AM308)+MIN(MAX(AN308,0),'P-Parametri'!$B$8*(AN308+AM308)))</f>
        <v>49059.121162444499</v>
      </c>
      <c r="AP308" s="18">
        <f>IF($A308&gt;'1-Input'!$B$26,AN308,AN308-MIN(MAX(AN308,0),'P-Parametri'!$B$8*(AN308+AM308)))</f>
        <v>114860.85546273133</v>
      </c>
      <c r="AQ308" s="18">
        <f>IF($A308&gt;'1-Input'!$B$26,AQ307,AQ307-AL308*(1-AK308))</f>
        <v>63597.071711305602</v>
      </c>
    </row>
    <row r="309" spans="1:43">
      <c r="A309" s="10">
        <f>21</f>
        <v>21</v>
      </c>
      <c r="B309" s="11">
        <f>IF($A309&gt;'1-Input'!$B$26,0,IF(G308&lt;=0,0,MAX(0,(G308-H308)/G308)))</f>
        <v>0.44607514497701717</v>
      </c>
      <c r="C309" s="18">
        <f>IF($A309&gt;'1-Input'!$B$26,0,(MAX(0,B286-IF($A309&gt;='1-Input'!$C$12,'1-Input'!$B$12,0))-MIN(MAX(F308,0),MAX(0,B286-IF($A309&gt;='1-Input'!$C$12,'1-Input'!$B$12,0))))*(1/(1-'P-Parametri'!$B$6*B309))+MIN(MAX(0,G308-(MAX(0,B286-IF($A309&gt;='1-Input'!$C$12,'1-Input'!$B$12,0))-MIN(MAX(F308,0),MAX(0,B286-IF($A309&gt;='1-Input'!$C$12,'1-Input'!$B$12,0))))*(1/(1-'P-Parametri'!$B$6*B309))),MAX(0,3*B286-(F308-MIN(MAX(F308,0),MAX(0,B286-IF($A309&gt;='1-Input'!$C$12,'1-Input'!$B$12,0)))))*(1/(1-'P-Parametri'!$B$6*B309))))</f>
        <v>19073.326275775496</v>
      </c>
      <c r="D309" s="18">
        <f>IF($A309&gt;'1-Input'!$B$26,F308,(F308-MAX(0,B286-IF($A309&gt;='1-Input'!$C$12,'1-Input'!$B$12,0))+C309*(1-'P-Parametri'!$B$6*B309))*(1+'1-Input'!$B$27))</f>
        <v>49863.010546479447</v>
      </c>
      <c r="E309" s="18">
        <f>IF($A309&gt;'1-Input'!$B$26,G308,(G308-C309)*(1+$B$4))</f>
        <v>89156.3893351515</v>
      </c>
      <c r="F309" s="18">
        <f>IF($A309&gt;'1-Input'!$B$26,D309,D309-'P-Parametri'!$B$8*(E309+D309)+MIN(MAX(E309,0),'P-Parametri'!$B$8*(E309+D309)))</f>
        <v>49863.010546479447</v>
      </c>
      <c r="G309" s="18">
        <f>IF($A309&gt;'1-Input'!$B$26,E309,E309-MIN(MAX(E309,0),'P-Parametri'!$B$8*(E309+D309)))</f>
        <v>88878.350535388236</v>
      </c>
      <c r="H309" s="18">
        <f>IF($A309&gt;'1-Input'!$B$26,H308,H308-C309*(1-B309))</f>
        <v>48417.588271418048</v>
      </c>
      <c r="I309" s="11">
        <f>IF($A309&gt;'1-Input'!$B$26,0,IF(N308&lt;=0,0,MAX(0,(N308-O308)/N308)))</f>
        <v>0</v>
      </c>
      <c r="J309" s="18">
        <f>IF($A309&gt;'1-Input'!$B$26,0,(MAX(0,I286-IF($A309&gt;='1-Input'!$C$12,'1-Input'!$B$12,0))-MIN(MAX(M308,0),MAX(0,I286-IF($A309&gt;='1-Input'!$C$12,'1-Input'!$B$12,0))))*(1/(1-'P-Parametri'!$B$6*I309))+MIN(MAX(0,N308-(MAX(0,I286-IF($A309&gt;='1-Input'!$C$12,'1-Input'!$B$12,0))-MIN(MAX(M308,0),MAX(0,I286-IF($A309&gt;='1-Input'!$C$12,'1-Input'!$B$12,0))))*(1/(1-'P-Parametri'!$B$6*I309))),MAX(0,3*I286-(M308-MIN(MAX(M308,0),MAX(0,I286-IF($A309&gt;='1-Input'!$C$12,'1-Input'!$B$12,0)))))*(1/(1-'P-Parametri'!$B$6*I309))))</f>
        <v>5570.0687850714476</v>
      </c>
      <c r="K309" s="18">
        <f>IF($A309&gt;'1-Input'!$B$26,M308,(M308-MAX(0,I286-IF($A309&gt;='1-Input'!$C$12,'1-Input'!$B$12,0))+J309*(1-'P-Parametri'!$B$6*I309))*(1+'1-Input'!$B$27))</f>
        <v>0</v>
      </c>
      <c r="L309" s="18">
        <f>IF($A309&gt;'1-Input'!$B$26,N308,(N308-J309)*(1+$B$4))</f>
        <v>-5681.4701607728766</v>
      </c>
      <c r="M309" s="18">
        <f>IF($A309&gt;'1-Input'!$B$26,K309,K309-'P-Parametri'!$B$8*(L309+K309)+MIN(MAX(L309,0),'P-Parametri'!$B$8*(L309+K309)))</f>
        <v>0</v>
      </c>
      <c r="N309" s="18">
        <f>IF($A309&gt;'1-Input'!$B$26,L309,L309-MIN(MAX(L309,0),'P-Parametri'!$B$8*(L309+K309)))</f>
        <v>-5670.1072204513312</v>
      </c>
      <c r="O309" s="18">
        <f>IF($A309&gt;'1-Input'!$B$26,O308,O308-J309*(1-I309))</f>
        <v>-5570.0687850714457</v>
      </c>
      <c r="P309" s="11">
        <f>IF($A309&gt;'1-Input'!$B$26,0,IF(U308&lt;=0,0,MAX(0,(U308-V308)/U308)))</f>
        <v>0.44628927664164897</v>
      </c>
      <c r="Q309" s="18">
        <f>IF($A309&gt;'1-Input'!$B$26,0,(MAX(0,P286-IF($A309&gt;='1-Input'!$C$12,'1-Input'!$B$12,0))-MIN(MAX(T308,0),MAX(0,P286-IF($A309&gt;='1-Input'!$C$12,'1-Input'!$B$12,0))))*(1/(1-'P-Parametri'!$B$6*P309))+MIN(MAX(0,U308-(MAX(0,P286-IF($A309&gt;='1-Input'!$C$12,'1-Input'!$B$12,0))-MIN(MAX(T308,0),MAX(0,P286-IF($A309&gt;='1-Input'!$C$12,'1-Input'!$B$12,0))))*(1/(1-'P-Parametri'!$B$6*P309))),MAX(0,3*P286-(T308-MIN(MAX(T308,0),MAX(0,P286-IF($A309&gt;='1-Input'!$C$12,'1-Input'!$B$12,0)))))*(1/(1-'P-Parametri'!$B$6*P309))))</f>
        <v>18797.731700622746</v>
      </c>
      <c r="R309" s="18">
        <f>IF($A309&gt;'1-Input'!$B$26,T308,(T308-MAX(0,P286-IF($A309&gt;='1-Input'!$C$12,'1-Input'!$B$12,0))+Q309*(1-'P-Parametri'!$B$6*P309))*(1+'1-Input'!$B$27))</f>
        <v>49139.434310908975</v>
      </c>
      <c r="S309" s="18">
        <f>IF($A309&gt;'1-Input'!$B$26,U308,(U308-Q309)*(1+$B$4))</f>
        <v>97130.478395070575</v>
      </c>
      <c r="T309" s="18">
        <f>IF($A309&gt;'1-Input'!$B$26,R309,R309-'P-Parametri'!$B$8*(S309+R309)+MIN(MAX(S309,0),'P-Parametri'!$B$8*(S309+R309)))</f>
        <v>49139.434310908975</v>
      </c>
      <c r="U309" s="18">
        <f>IF($A309&gt;'1-Input'!$B$26,S309,S309-MIN(MAX(S309,0),'P-Parametri'!$B$8*(S309+R309)))</f>
        <v>96837.938569658611</v>
      </c>
      <c r="V309" s="18">
        <f>IF($A309&gt;'1-Input'!$B$26,V308,V308-Q309*(1-P309))</f>
        <v>52727.634757134525</v>
      </c>
      <c r="W309" s="11">
        <f>IF($A309&gt;'1-Input'!$B$26,0,IF(AB308&lt;=0,0,MAX(0,(AB308-AC308)/AB308)))</f>
        <v>0.44630967470968996</v>
      </c>
      <c r="X309" s="18">
        <f>IF($A309&gt;'1-Input'!$B$26,0,(MAX(0,W286-IF($A309&gt;='1-Input'!$C$12,'1-Input'!$B$12,0))-MIN(MAX(AA308,0),MAX(0,W286-IF($A309&gt;='1-Input'!$C$12,'1-Input'!$B$12,0))))*(1/(1-'P-Parametri'!$B$6*W309))+MIN(MAX(0,AB308-(MAX(0,W286-IF($A309&gt;='1-Input'!$C$12,'1-Input'!$B$12,0))-MIN(MAX(AA308,0),MAX(0,W286-IF($A309&gt;='1-Input'!$C$12,'1-Input'!$B$12,0))))*(1/(1-'P-Parametri'!$B$6*W309))),MAX(0,3*W286-(AA308-MIN(MAX(AA308,0),MAX(0,W286-IF($A309&gt;='1-Input'!$C$12,'1-Input'!$B$12,0)))))*(1/(1-'P-Parametri'!$B$6*W309))))</f>
        <v>18770.336560192525</v>
      </c>
      <c r="Y309" s="18">
        <f>IF($A309&gt;'1-Input'!$B$26,AA308,(AA308-MAX(0,W286-IF($A309&gt;='1-Input'!$C$12,'1-Input'!$B$12,0))+X309*(1-'P-Parametri'!$B$6*W309))*(1+'1-Input'!$B$27))</f>
        <v>49067.525869838581</v>
      </c>
      <c r="Z309" s="18">
        <f>IF($A309&gt;'1-Input'!$B$26,AB308,(AB308-X309)*(1+$B$4))</f>
        <v>97922.96825164152</v>
      </c>
      <c r="AA309" s="18">
        <f>IF($A309&gt;'1-Input'!$B$26,Y309,Y309-'P-Parametri'!$B$8*(Z309+Y309)+MIN(MAX(Z309,0),'P-Parametri'!$B$8*(Z309+Y309)))</f>
        <v>49067.525869838581</v>
      </c>
      <c r="AB309" s="18">
        <f>IF($A309&gt;'1-Input'!$B$26,Z309,Z309-MIN(MAX(Z309,0),'P-Parametri'!$B$8*(Z309+Y309)))</f>
        <v>97628.987263398565</v>
      </c>
      <c r="AC309" s="18">
        <f>IF($A309&gt;'1-Input'!$B$26,AC308,AC308-X309*(1-W309))</f>
        <v>53155.882494749116</v>
      </c>
      <c r="AD309" s="11">
        <f>IF($A309&gt;'1-Input'!$B$26,0,IF(AI308&lt;=0,0,MAX(0,(AI308-AJ308)/AI308)))</f>
        <v>0.44631204901640237</v>
      </c>
      <c r="AE309" s="18">
        <f>IF($A309&gt;'1-Input'!$B$26,0,(MAX(0,AD286-IF($A309&gt;='1-Input'!$C$12,'1-Input'!$B$12,0))-MIN(MAX(AH308,0),MAX(0,AD286-IF($A309&gt;='1-Input'!$C$12,'1-Input'!$B$12,0))))*(1/(1-'P-Parametri'!$B$6*AD309))+MIN(MAX(0,AI308-(MAX(0,AD286-IF($A309&gt;='1-Input'!$C$12,'1-Input'!$B$12,0))-MIN(MAX(AH308,0),MAX(0,AD286-IF($A309&gt;='1-Input'!$C$12,'1-Input'!$B$12,0))))*(1/(1-'P-Parametri'!$B$6*AD309))),MAX(0,3*AD286-(AH308-MIN(MAX(AH308,0),MAX(0,AD286-IF($A309&gt;='1-Input'!$C$12,'1-Input'!$B$12,0)))))*(1/(1-'P-Parametri'!$B$6*AD309))))</f>
        <v>18767.134499172331</v>
      </c>
      <c r="AF309" s="18">
        <f>IF($A309&gt;'1-Input'!$B$26,AH308,(AH308-MAX(0,AD286-IF($A309&gt;='1-Input'!$C$12,'1-Input'!$B$12,0))+AE309*(1-'P-Parametri'!$B$6*AD309))*(1+'1-Input'!$B$27))</f>
        <v>49059.121103160993</v>
      </c>
      <c r="AG309" s="18">
        <f>IF($A309&gt;'1-Input'!$B$26,AI308,(AI308-AE309)*(1+$B$4))</f>
        <v>98015.596013147864</v>
      </c>
      <c r="AH309" s="18">
        <f>IF($A309&gt;'1-Input'!$B$26,AF309,AF309-'P-Parametri'!$B$8*(AG309+AF309)+MIN(MAX(AG309,0),'P-Parametri'!$B$8*(AG309+AF309)))</f>
        <v>49059.121103160993</v>
      </c>
      <c r="AI309" s="18">
        <f>IF($A309&gt;'1-Input'!$B$26,AG309,AG309-MIN(MAX(AG309,0),'P-Parametri'!$B$8*(AG309+AF309)))</f>
        <v>97721.446578915245</v>
      </c>
      <c r="AJ309" s="18">
        <f>IF($A309&gt;'1-Input'!$B$26,AJ308,AJ308-AE309*(1-AD309))</f>
        <v>53205.935804858746</v>
      </c>
      <c r="AK309" s="11">
        <f>IF($A309&gt;'1-Input'!$B$26,0,IF(AP308&lt;=0,0,MAX(0,(AP308-AQ308)/AP308)))</f>
        <v>0.44631204899966276</v>
      </c>
      <c r="AL309" s="18">
        <f>IF($A309&gt;'1-Input'!$B$26,0,(MAX(0,AK286-IF($A309&gt;='1-Input'!$C$12,'1-Input'!$B$12,0))-MIN(MAX(AO308,0),MAX(0,AK286-IF($A309&gt;='1-Input'!$C$12,'1-Input'!$B$12,0))))*(1/(1-'P-Parametri'!$B$6*AK309))+MIN(MAX(0,AP308-(MAX(0,AK286-IF($A309&gt;='1-Input'!$C$12,'1-Input'!$B$12,0))-MIN(MAX(AO308,0),MAX(0,AK286-IF($A309&gt;='1-Input'!$C$12,'1-Input'!$B$12,0))))*(1/(1-'P-Parametri'!$B$6*AK309))),MAX(0,3*AK286-(AO308-MIN(MAX(AO308,0),MAX(0,AK286-IF($A309&gt;='1-Input'!$C$12,'1-Input'!$B$12,0)))))*(1/(1-'P-Parametri'!$B$6*AK309))))</f>
        <v>18767.134521758308</v>
      </c>
      <c r="AM309" s="18">
        <f>IF($A309&gt;'1-Input'!$B$26,AO308,(AO308-MAX(0,AK286-IF($A309&gt;='1-Input'!$C$12,'1-Input'!$B$12,0))+AL309*(1-'P-Parametri'!$B$6*AK309))*(1+'1-Input'!$B$27))</f>
        <v>49059.121162444499</v>
      </c>
      <c r="AN309" s="18">
        <f>IF($A309&gt;'1-Input'!$B$26,AP308,(AP308-AL309)*(1+$B$4))</f>
        <v>98015.595359792496</v>
      </c>
      <c r="AO309" s="18">
        <f>IF($A309&gt;'1-Input'!$B$26,AM309,AM309-'P-Parametri'!$B$8*(AN309+AM309)+MIN(MAX(AN309,0),'P-Parametri'!$B$8*(AN309+AM309)))</f>
        <v>49059.121162444499</v>
      </c>
      <c r="AP309" s="18">
        <f>IF($A309&gt;'1-Input'!$B$26,AN309,AN309-MIN(MAX(AN309,0),'P-Parametri'!$B$8*(AN309+AM309)))</f>
        <v>97721.445926748027</v>
      </c>
      <c r="AQ309" s="18">
        <f>IF($A309&gt;'1-Input'!$B$26,AQ308,AQ308-AL309*(1-AK309))</f>
        <v>53205.935451805548</v>
      </c>
    </row>
    <row r="310" spans="1:43">
      <c r="A310" s="10">
        <f>22</f>
        <v>22</v>
      </c>
      <c r="B310" s="11">
        <f>IF($A310&gt;'1-Input'!$B$26,0,IF(G309&lt;=0,0,MAX(0,(G309-H309)/G309)))</f>
        <v>0.45523754682936124</v>
      </c>
      <c r="C310" s="18">
        <f>IF($A310&gt;'1-Input'!$B$26,0,(MAX(0,B286-IF($A310&gt;='1-Input'!$C$12,'1-Input'!$B$12,0))-MIN(MAX(F309,0),MAX(0,B286-IF($A310&gt;='1-Input'!$C$12,'1-Input'!$B$12,0))))*(1/(1-'P-Parametri'!$B$6*B310))+MIN(MAX(0,G309-(MAX(0,B286-IF($A310&gt;='1-Input'!$C$12,'1-Input'!$B$12,0))-MIN(MAX(F309,0),MAX(0,B286-IF($A310&gt;='1-Input'!$C$12,'1-Input'!$B$12,0))))*(1/(1-'P-Parametri'!$B$6*B310))),MAX(0,3*B286-(F309-MIN(MAX(F309,0),MAX(0,B286-IF($A310&gt;='1-Input'!$C$12,'1-Input'!$B$12,0)))))*(1/(1-'P-Parametri'!$B$6*B310))))</f>
        <v>19124.863224662829</v>
      </c>
      <c r="D310" s="18">
        <f>IF($A310&gt;'1-Input'!$B$26,F309,(F309-MAX(0,B286-IF($A310&gt;='1-Input'!$C$12,'1-Input'!$B$12,0))+C310*(1-'P-Parametri'!$B$6*B310))*(1+'1-Input'!$B$27))</f>
        <v>49863.010546479447</v>
      </c>
      <c r="E310" s="18">
        <f>IF($A310&gt;'1-Input'!$B$26,G309,(G309-C310)*(1+$B$4))</f>
        <v>71148.557056939913</v>
      </c>
      <c r="F310" s="18">
        <f>IF($A310&gt;'1-Input'!$B$26,D310,D310-'P-Parametri'!$B$8*(E310+D310)+MIN(MAX(E310,0),'P-Parametri'!$B$8*(E310+D310)))</f>
        <v>49863.010546479447</v>
      </c>
      <c r="G310" s="18">
        <f>IF($A310&gt;'1-Input'!$B$26,E310,E310-MIN(MAX(E310,0),'P-Parametri'!$B$8*(E310+D310)))</f>
        <v>70906.533921733077</v>
      </c>
      <c r="H310" s="18">
        <f>IF($A310&gt;'1-Input'!$B$26,H309,H309-C310*(1-B310))</f>
        <v>37999.080864597796</v>
      </c>
      <c r="I310" s="11">
        <f>IF($A310&gt;'1-Input'!$B$26,0,IF(N309&lt;=0,0,MAX(0,(N309-O309)/N309)))</f>
        <v>0</v>
      </c>
      <c r="J310" s="18">
        <f>IF($A310&gt;'1-Input'!$B$26,0,(MAX(0,I286-IF($A310&gt;='1-Input'!$C$12,'1-Input'!$B$12,0))-MIN(MAX(M309,0),MAX(0,I286-IF($A310&gt;='1-Input'!$C$12,'1-Input'!$B$12,0))))*(1/(1-'P-Parametri'!$B$6*I310))+MIN(MAX(0,N309-(MAX(0,I286-IF($A310&gt;='1-Input'!$C$12,'1-Input'!$B$12,0))-MIN(MAX(M309,0),MAX(0,I286-IF($A310&gt;='1-Input'!$C$12,'1-Input'!$B$12,0))))*(1/(1-'P-Parametri'!$B$6*I310))),MAX(0,3*I286-(M309-MIN(MAX(M309,0),MAX(0,I286-IF($A310&gt;='1-Input'!$C$12,'1-Input'!$B$12,0)))))*(1/(1-'P-Parametri'!$B$6*I310))))</f>
        <v>21948.756992928691</v>
      </c>
      <c r="K310" s="18">
        <f>IF($A310&gt;'1-Input'!$B$26,M309,(M309-MAX(0,I286-IF($A310&gt;='1-Input'!$C$12,'1-Input'!$B$12,0))+J310*(1-'P-Parametri'!$B$6*I310))*(1+'1-Input'!$B$27))</f>
        <v>0</v>
      </c>
      <c r="L310" s="18">
        <f>IF($A310&gt;'1-Input'!$B$26,N309,(N309-J310)*(1+$B$4))</f>
        <v>-28171.241497647625</v>
      </c>
      <c r="M310" s="18">
        <f>IF($A310&gt;'1-Input'!$B$26,K310,K310-'P-Parametri'!$B$8*(L310+K310)+MIN(MAX(L310,0),'P-Parametri'!$B$8*(L310+K310)))</f>
        <v>0</v>
      </c>
      <c r="N310" s="18">
        <f>IF($A310&gt;'1-Input'!$B$26,L310,L310-MIN(MAX(L310,0),'P-Parametri'!$B$8*(L310+K310)))</f>
        <v>-28114.899014652328</v>
      </c>
      <c r="O310" s="18">
        <f>IF($A310&gt;'1-Input'!$B$26,O309,O309-J310*(1-I310))</f>
        <v>-27518.825778000137</v>
      </c>
      <c r="P310" s="11">
        <f>IF($A310&gt;'1-Input'!$B$26,0,IF(U309&lt;=0,0,MAX(0,(U309-V309)/U309)))</f>
        <v>0.45550643130217133</v>
      </c>
      <c r="Q310" s="18">
        <f>IF($A310&gt;'1-Input'!$B$26,0,(MAX(0,P286-IF($A310&gt;='1-Input'!$C$12,'1-Input'!$B$12,0))-MIN(MAX(T309,0),MAX(0,P286-IF($A310&gt;='1-Input'!$C$12,'1-Input'!$B$12,0))))*(1/(1-'P-Parametri'!$B$6*P310))+MIN(MAX(0,U309-(MAX(0,P286-IF($A310&gt;='1-Input'!$C$12,'1-Input'!$B$12,0))-MIN(MAX(T309,0),MAX(0,P286-IF($A310&gt;='1-Input'!$C$12,'1-Input'!$B$12,0))))*(1/(1-'P-Parametri'!$B$6*P310))),MAX(0,3*P286-(T309-MIN(MAX(T309,0),MAX(0,P286-IF($A310&gt;='1-Input'!$C$12,'1-Input'!$B$12,0)))))*(1/(1-'P-Parametri'!$B$6*P310))))</f>
        <v>18848.831558305596</v>
      </c>
      <c r="R310" s="18">
        <f>IF($A310&gt;'1-Input'!$B$26,T309,(T309-MAX(0,P286-IF($A310&gt;='1-Input'!$C$12,'1-Input'!$B$12,0))+Q310*(1-'P-Parametri'!$B$6*P310))*(1+'1-Input'!$B$27))</f>
        <v>49139.434310908975</v>
      </c>
      <c r="S310" s="18">
        <f>IF($A310&gt;'1-Input'!$B$26,U309,(U309-Q310)*(1+$B$4))</f>
        <v>79548.889151580079</v>
      </c>
      <c r="T310" s="18">
        <f>IF($A310&gt;'1-Input'!$B$26,R310,R310-'P-Parametri'!$B$8*(S310+R310)+MIN(MAX(S310,0),'P-Parametri'!$B$8*(S310+R310)))</f>
        <v>49139.434310908975</v>
      </c>
      <c r="U310" s="18">
        <f>IF($A310&gt;'1-Input'!$B$26,S310,S310-MIN(MAX(S310,0),'P-Parametri'!$B$8*(S310+R310)))</f>
        <v>79291.512504655097</v>
      </c>
      <c r="V310" s="18">
        <f>IF($A310&gt;'1-Input'!$B$26,V309,V309-Q310*(1-P310))</f>
        <v>42464.567196168457</v>
      </c>
      <c r="W310" s="11">
        <f>IF($A310&gt;'1-Input'!$B$26,0,IF(AB309&lt;=0,0,MAX(0,(AB309-AC309)/AB309)))</f>
        <v>0.45553176382607591</v>
      </c>
      <c r="X310" s="18">
        <f>IF($A310&gt;'1-Input'!$B$26,0,(MAX(0,W286-IF($A310&gt;='1-Input'!$C$12,'1-Input'!$B$12,0))-MIN(MAX(AA309,0),MAX(0,W286-IF($A310&gt;='1-Input'!$C$12,'1-Input'!$B$12,0))))*(1/(1-'P-Parametri'!$B$6*W310))+MIN(MAX(0,AB309-(MAX(0,W286-IF($A310&gt;='1-Input'!$C$12,'1-Input'!$B$12,0))-MIN(MAX(AA309,0),MAX(0,W286-IF($A310&gt;='1-Input'!$C$12,'1-Input'!$B$12,0))))*(1/(1-'P-Parametri'!$B$6*W310))),MAX(0,3*W286-(AA309-MIN(MAX(AA309,0),MAX(0,W286-IF($A310&gt;='1-Input'!$C$12,'1-Input'!$B$12,0)))))*(1/(1-'P-Parametri'!$B$6*W310))))</f>
        <v>18821.389644936138</v>
      </c>
      <c r="Y310" s="18">
        <f>IF($A310&gt;'1-Input'!$B$26,AA309,(AA309-MAX(0,W286-IF($A310&gt;='1-Input'!$C$12,'1-Input'!$B$12,0))+X310*(1-'P-Parametri'!$B$6*W310))*(1+'1-Input'!$B$27))</f>
        <v>49067.525869838581</v>
      </c>
      <c r="Z310" s="18">
        <f>IF($A310&gt;'1-Input'!$B$26,AB309,(AB309-X310)*(1+$B$4))</f>
        <v>80383.749570831686</v>
      </c>
      <c r="AA310" s="18">
        <f>IF($A310&gt;'1-Input'!$B$26,Y310,Y310-'P-Parametri'!$B$8*(Z310+Y310)+MIN(MAX(Z310,0),'P-Parametri'!$B$8*(Z310+Y310)))</f>
        <v>49067.525869838581</v>
      </c>
      <c r="AB310" s="18">
        <f>IF($A310&gt;'1-Input'!$B$26,Z310,Z310-MIN(MAX(Z310,0),'P-Parametri'!$B$8*(Z310+Y310)))</f>
        <v>80124.84701995035</v>
      </c>
      <c r="AC310" s="18">
        <f>IF($A310&gt;'1-Input'!$B$26,AC309,AC309-X310*(1-W310))</f>
        <v>42908.233672428578</v>
      </c>
      <c r="AD310" s="11">
        <f>IF($A310&gt;'1-Input'!$B$26,0,IF(AI309&lt;=0,0,MAX(0,(AI309-AJ309)/AI309)))</f>
        <v>0.45553470944689572</v>
      </c>
      <c r="AE310" s="18">
        <f>IF($A310&gt;'1-Input'!$B$26,0,(MAX(0,AD286-IF($A310&gt;='1-Input'!$C$12,'1-Input'!$B$12,0))-MIN(MAX(AH309,0),MAX(0,AD286-IF($A310&gt;='1-Input'!$C$12,'1-Input'!$B$12,0))))*(1/(1-'P-Parametri'!$B$6*AD310))+MIN(MAX(0,AI309-(MAX(0,AD286-IF($A310&gt;='1-Input'!$C$12,'1-Input'!$B$12,0))-MIN(MAX(AH309,0),MAX(0,AD286-IF($A310&gt;='1-Input'!$C$12,'1-Input'!$B$12,0))))*(1/(1-'P-Parametri'!$B$6*AD310))),MAX(0,3*AD286-(AH309-MIN(MAX(AH309,0),MAX(0,AD286-IF($A310&gt;='1-Input'!$C$12,'1-Input'!$B$12,0)))))*(1/(1-'P-Parametri'!$B$6*AD310))))</f>
        <v>18818.182081268907</v>
      </c>
      <c r="AF310" s="18">
        <f>IF($A310&gt;'1-Input'!$B$26,AH309,(AH309-MAX(0,AD286-IF($A310&gt;='1-Input'!$C$12,'1-Input'!$B$12,0))+AE310*(1-'P-Parametri'!$B$6*AD310))*(1+'1-Input'!$B$27))</f>
        <v>49059.121103160993</v>
      </c>
      <c r="AG310" s="18">
        <f>IF($A310&gt;'1-Input'!$B$26,AI309,(AI309-AE310)*(1+$B$4))</f>
        <v>80481.329787599258</v>
      </c>
      <c r="AH310" s="18">
        <f>IF($A310&gt;'1-Input'!$B$26,AF310,AF310-'P-Parametri'!$B$8*(AG310+AF310)+MIN(MAX(AG310,0),'P-Parametri'!$B$8*(AG310+AF310)))</f>
        <v>49059.121103160993</v>
      </c>
      <c r="AI310" s="18">
        <f>IF($A310&gt;'1-Input'!$B$26,AG310,AG310-MIN(MAX(AG310,0),'P-Parametri'!$B$8*(AG310+AF310)))</f>
        <v>80222.248885817738</v>
      </c>
      <c r="AJ310" s="18">
        <f>IF($A310&gt;'1-Input'!$B$26,AJ309,AJ309-AE310*(1-AD310))</f>
        <v>42960.08883029945</v>
      </c>
      <c r="AK310" s="11">
        <f>IF($A310&gt;'1-Input'!$B$26,0,IF(AP309&lt;=0,0,MAX(0,(AP309-AQ309)/AP309)))</f>
        <v>0.45553470942613045</v>
      </c>
      <c r="AL310" s="18">
        <f>IF($A310&gt;'1-Input'!$B$26,0,(MAX(0,AK286-IF($A310&gt;='1-Input'!$C$12,'1-Input'!$B$12,0))-MIN(MAX(AO309,0),MAX(0,AK286-IF($A310&gt;='1-Input'!$C$12,'1-Input'!$B$12,0))))*(1/(1-'P-Parametri'!$B$6*AK310))+MIN(MAX(0,AP309-(MAX(0,AK286-IF($A310&gt;='1-Input'!$C$12,'1-Input'!$B$12,0))-MIN(MAX(AO309,0),MAX(0,AK286-IF($A310&gt;='1-Input'!$C$12,'1-Input'!$B$12,0))))*(1/(1-'P-Parametri'!$B$6*AK310))),MAX(0,3*AK286-(AO309-MIN(MAX(AO309,0),MAX(0,AK286-IF($A310&gt;='1-Input'!$C$12,'1-Input'!$B$12,0)))))*(1/(1-'P-Parametri'!$B$6*AK310))))</f>
        <v>18818.18210389372</v>
      </c>
      <c r="AM310" s="18">
        <f>IF($A310&gt;'1-Input'!$B$26,AO309,(AO309-MAX(0,AK286-IF($A310&gt;='1-Input'!$C$12,'1-Input'!$B$12,0))+AL310*(1-'P-Parametri'!$B$6*AK310))*(1+'1-Input'!$B$27))</f>
        <v>49059.121162444499</v>
      </c>
      <c r="AN310" s="18">
        <f>IF($A310&gt;'1-Input'!$B$26,AP309,(AP309-AL310)*(1+$B$4))</f>
        <v>80481.329099311391</v>
      </c>
      <c r="AO310" s="18">
        <f>IF($A310&gt;'1-Input'!$B$26,AM310,AM310-'P-Parametri'!$B$8*(AN310+AM310)+MIN(MAX(AN310,0),'P-Parametri'!$B$8*(AN310+AM310)))</f>
        <v>49059.121162444499</v>
      </c>
      <c r="AP310" s="18">
        <f>IF($A310&gt;'1-Input'!$B$26,AN310,AN310-MIN(MAX(AN310,0),'P-Parametri'!$B$8*(AN310+AM310)))</f>
        <v>80222.248198787885</v>
      </c>
      <c r="AQ310" s="18">
        <f>IF($A310&gt;'1-Input'!$B$26,AQ309,AQ309-AL310*(1-AK310))</f>
        <v>42960.088464537061</v>
      </c>
    </row>
    <row r="311" spans="1:43">
      <c r="A311" s="10">
        <f>23</f>
        <v>23</v>
      </c>
      <c r="B311" s="11">
        <f>IF($A311&gt;'1-Input'!$B$26,0,IF(G310&lt;=0,0,MAX(0,(G310-H310)/G310)))</f>
        <v>0.46409620153565345</v>
      </c>
      <c r="C311" s="18">
        <f>IF($A311&gt;'1-Input'!$B$26,0,(MAX(0,B286-IF($A311&gt;='1-Input'!$C$12,'1-Input'!$B$12,0))-MIN(MAX(F310,0),MAX(0,B286-IF($A311&gt;='1-Input'!$C$12,'1-Input'!$B$12,0))))*(1/(1-'P-Parametri'!$B$6*B311))+MIN(MAX(0,G310-(MAX(0,B286-IF($A311&gt;='1-Input'!$C$12,'1-Input'!$B$12,0))-MIN(MAX(F310,0),MAX(0,B286-IF($A311&gt;='1-Input'!$C$12,'1-Input'!$B$12,0))))*(1/(1-'P-Parametri'!$B$6*B311))),MAX(0,3*B286-(F310-MIN(MAX(F310,0),MAX(0,B286-IF($A311&gt;='1-Input'!$C$12,'1-Input'!$B$12,0)))))*(1/(1-'P-Parametri'!$B$6*B311))))</f>
        <v>6549.5070629883594</v>
      </c>
      <c r="D311" s="18">
        <f>IF($A311&gt;'1-Input'!$B$26,F310,(F310-MAX(0,B286-IF($A311&gt;='1-Input'!$C$12,'1-Input'!$B$12,0))+C311*(1-'P-Parametri'!$B$6*B311))*(1+'1-Input'!$B$27))</f>
        <v>49863.010546479447</v>
      </c>
      <c r="E311" s="18">
        <f>IF($A311&gt;'1-Input'!$B$26,G310,(G310-C311)*(1+$B$4))</f>
        <v>65644.16739591962</v>
      </c>
      <c r="F311" s="18">
        <f>IF($A311&gt;'1-Input'!$B$26,D311,D311-'P-Parametri'!$B$8*(E311+D311)+MIN(MAX(E311,0),'P-Parametri'!$B$8*(E311+D311)))</f>
        <v>49863.010546479447</v>
      </c>
      <c r="G311" s="18">
        <f>IF($A311&gt;'1-Input'!$B$26,E311,E311-MIN(MAX(E311,0),'P-Parametri'!$B$8*(E311+D311)))</f>
        <v>65413.15304003482</v>
      </c>
      <c r="H311" s="18">
        <f>IF($A311&gt;'1-Input'!$B$26,H310,H310-C311*(1-B311))</f>
        <v>34489.175151473268</v>
      </c>
      <c r="I311" s="11">
        <f>IF($A311&gt;'1-Input'!$B$26,0,IF(N310&lt;=0,0,MAX(0,(N310-O310)/N310)))</f>
        <v>0</v>
      </c>
      <c r="J311" s="18">
        <f>IF($A311&gt;'1-Input'!$B$26,0,(MAX(0,I286-IF($A311&gt;='1-Input'!$C$12,'1-Input'!$B$12,0))-MIN(MAX(M310,0),MAX(0,I286-IF($A311&gt;='1-Input'!$C$12,'1-Input'!$B$12,0))))*(1/(1-'P-Parametri'!$B$6*I311))+MIN(MAX(0,N310-(MAX(0,I286-IF($A311&gt;='1-Input'!$C$12,'1-Input'!$B$12,0))-MIN(MAX(M310,0),MAX(0,I286-IF($A311&gt;='1-Input'!$C$12,'1-Input'!$B$12,0))))*(1/(1-'P-Parametri'!$B$6*I311))),MAX(0,3*I286-(M310-MIN(MAX(M310,0),MAX(0,I286-IF($A311&gt;='1-Input'!$C$12,'1-Input'!$B$12,0)))))*(1/(1-'P-Parametri'!$B$6*I311))))</f>
        <v>10846.756992928691</v>
      </c>
      <c r="K311" s="18">
        <f>IF($A311&gt;'1-Input'!$B$26,M310,(M310-MAX(0,I286-IF($A311&gt;='1-Input'!$C$12,'1-Input'!$B$12,0))+J311*(1-'P-Parametri'!$B$6*I311))*(1+'1-Input'!$B$27))</f>
        <v>0</v>
      </c>
      <c r="L311" s="18">
        <f>IF($A311&gt;'1-Input'!$B$26,N310,(N310-J311)*(1+$B$4))</f>
        <v>-39740.88912773264</v>
      </c>
      <c r="M311" s="18">
        <f>IF($A311&gt;'1-Input'!$B$26,K311,K311-'P-Parametri'!$B$8*(L311+K311)+MIN(MAX(L311,0),'P-Parametri'!$B$8*(L311+K311)))</f>
        <v>0</v>
      </c>
      <c r="N311" s="18">
        <f>IF($A311&gt;'1-Input'!$B$26,L311,L311-MIN(MAX(L311,0),'P-Parametri'!$B$8*(L311+K311)))</f>
        <v>-39661.407349477173</v>
      </c>
      <c r="O311" s="18">
        <f>IF($A311&gt;'1-Input'!$B$26,O310,O310-J311*(1-I311))</f>
        <v>-38365.582770928828</v>
      </c>
      <c r="P311" s="11">
        <f>IF($A311&gt;'1-Input'!$B$26,0,IF(U310&lt;=0,0,MAX(0,(U310-V310)/U310)))</f>
        <v>0.46445002933100288</v>
      </c>
      <c r="Q311" s="18">
        <f>IF($A311&gt;'1-Input'!$B$26,0,(MAX(0,P286-IF($A311&gt;='1-Input'!$C$12,'1-Input'!$B$12,0))-MIN(MAX(T310,0),MAX(0,P286-IF($A311&gt;='1-Input'!$C$12,'1-Input'!$B$12,0))))*(1/(1-'P-Parametri'!$B$6*P311))+MIN(MAX(0,U310-(MAX(0,P286-IF($A311&gt;='1-Input'!$C$12,'1-Input'!$B$12,0))-MIN(MAX(T310,0),MAX(0,P286-IF($A311&gt;='1-Input'!$C$12,'1-Input'!$B$12,0))))*(1/(1-'P-Parametri'!$B$6*P311))),MAX(0,3*P286-(T310-MIN(MAX(T310,0),MAX(0,P286-IF($A311&gt;='1-Input'!$C$12,'1-Input'!$B$12,0)))))*(1/(1-'P-Parametri'!$B$6*P311))))</f>
        <v>6271.9100030677373</v>
      </c>
      <c r="R311" s="18">
        <f>IF($A311&gt;'1-Input'!$B$26,T310,(T310-MAX(0,P286-IF($A311&gt;='1-Input'!$C$12,'1-Input'!$B$12,0))+Q311*(1-'P-Parametri'!$B$6*P311))*(1+'1-Input'!$B$27))</f>
        <v>49139.434310908975</v>
      </c>
      <c r="S311" s="18">
        <f>IF($A311&gt;'1-Input'!$B$26,U310,(U310-Q311)*(1+$B$4))</f>
        <v>74479.994551619107</v>
      </c>
      <c r="T311" s="18">
        <f>IF($A311&gt;'1-Input'!$B$26,R311,R311-'P-Parametri'!$B$8*(S311+R311)+MIN(MAX(S311,0),'P-Parametri'!$B$8*(S311+R311)))</f>
        <v>49139.434310908975</v>
      </c>
      <c r="U311" s="18">
        <f>IF($A311&gt;'1-Input'!$B$26,S311,S311-MIN(MAX(S311,0),'P-Parametri'!$B$8*(S311+R311)))</f>
        <v>74232.755693894054</v>
      </c>
      <c r="V311" s="18">
        <f>IF($A311&gt;'1-Input'!$B$26,V310,V310-Q311*(1-P311))</f>
        <v>39105.64597798694</v>
      </c>
      <c r="W311" s="11">
        <f>IF($A311&gt;'1-Input'!$B$26,0,IF(AB310&lt;=0,0,MAX(0,(AB310-AC310)/AB310)))</f>
        <v>0.46448280067549058</v>
      </c>
      <c r="X311" s="18">
        <f>IF($A311&gt;'1-Input'!$B$26,0,(MAX(0,W286-IF($A311&gt;='1-Input'!$C$12,'1-Input'!$B$12,0))-MIN(MAX(AA310,0),MAX(0,W286-IF($A311&gt;='1-Input'!$C$12,'1-Input'!$B$12,0))))*(1/(1-'P-Parametri'!$B$6*W311))+MIN(MAX(0,AB310-(MAX(0,W286-IF($A311&gt;='1-Input'!$C$12,'1-Input'!$B$12,0))-MIN(MAX(AA310,0),MAX(0,W286-IF($A311&gt;='1-Input'!$C$12,'1-Input'!$B$12,0))))*(1/(1-'P-Parametri'!$B$6*W311))),MAX(0,3*W286-(AA310-MIN(MAX(AA310,0),MAX(0,W286-IF($A311&gt;='1-Input'!$C$12,'1-Input'!$B$12,0)))))*(1/(1-'P-Parametri'!$B$6*W311))))</f>
        <v>6244.3150342639856</v>
      </c>
      <c r="Y311" s="18">
        <f>IF($A311&gt;'1-Input'!$B$26,AA310,(AA310-MAX(0,W286-IF($A311&gt;='1-Input'!$C$12,'1-Input'!$B$12,0))+X311*(1-'P-Parametri'!$B$6*W311))*(1+'1-Input'!$B$27))</f>
        <v>49067.525869838581</v>
      </c>
      <c r="Z311" s="18">
        <f>IF($A311&gt;'1-Input'!$B$26,AB310,(AB310-X311)*(1+$B$4))</f>
        <v>75358.142625400098</v>
      </c>
      <c r="AA311" s="18">
        <f>IF($A311&gt;'1-Input'!$B$26,Y311,Y311-'P-Parametri'!$B$8*(Z311+Y311)+MIN(MAX(Z311,0),'P-Parametri'!$B$8*(Z311+Y311)))</f>
        <v>49067.525869838581</v>
      </c>
      <c r="AB311" s="18">
        <f>IF($A311&gt;'1-Input'!$B$26,Z311,Z311-MIN(MAX(Z311,0),'P-Parametri'!$B$8*(Z311+Y311)))</f>
        <v>75109.291288409615</v>
      </c>
      <c r="AC311" s="18">
        <f>IF($A311&gt;'1-Input'!$B$26,AC310,AC310-X311*(1-W311))</f>
        <v>39564.295573579599</v>
      </c>
      <c r="AD311" s="11">
        <f>IF($A311&gt;'1-Input'!$B$26,0,IF(AI310&lt;=0,0,MAX(0,(AI310-AJ310)/AI310)))</f>
        <v>0.46448660531262864</v>
      </c>
      <c r="AE311" s="18">
        <f>IF($A311&gt;'1-Input'!$B$26,0,(MAX(0,AD286-IF($A311&gt;='1-Input'!$C$12,'1-Input'!$B$12,0))-MIN(MAX(AH310,0),MAX(0,AD286-IF($A311&gt;='1-Input'!$C$12,'1-Input'!$B$12,0))))*(1/(1-'P-Parametri'!$B$6*AD311))+MIN(MAX(0,AI310-(MAX(0,AD286-IF($A311&gt;='1-Input'!$C$12,'1-Input'!$B$12,0))-MIN(MAX(AH310,0),MAX(0,AD286-IF($A311&gt;='1-Input'!$C$12,'1-Input'!$B$12,0))))*(1/(1-'P-Parametri'!$B$6*AD311))),MAX(0,3*AD286-(AH310-MIN(MAX(AH310,0),MAX(0,AD286-IF($A311&gt;='1-Input'!$C$12,'1-Input'!$B$12,0)))))*(1/(1-'P-Parametri'!$B$6*AD311))))</f>
        <v>6241.0896104419971</v>
      </c>
      <c r="AF311" s="18">
        <f>IF($A311&gt;'1-Input'!$B$26,AH310,(AH310-MAX(0,AD286-IF($A311&gt;='1-Input'!$C$12,'1-Input'!$B$12,0))+AE311*(1-'P-Parametri'!$B$6*AD311))*(1+'1-Input'!$B$27))</f>
        <v>49059.121103160993</v>
      </c>
      <c r="AG311" s="18">
        <f>IF($A311&gt;'1-Input'!$B$26,AI310,(AI310-AE311)*(1+$B$4))</f>
        <v>75460.78246088326</v>
      </c>
      <c r="AH311" s="18">
        <f>IF($A311&gt;'1-Input'!$B$26,AF311,AF311-'P-Parametri'!$B$8*(AG311+AF311)+MIN(MAX(AG311,0),'P-Parametri'!$B$8*(AG311+AF311)))</f>
        <v>49059.121103160993</v>
      </c>
      <c r="AI311" s="18">
        <f>IF($A311&gt;'1-Input'!$B$26,AG311,AG311-MIN(MAX(AG311,0),'P-Parametri'!$B$8*(AG311+AF311)))</f>
        <v>75211.742653755166</v>
      </c>
      <c r="AJ311" s="18">
        <f>IF($A311&gt;'1-Input'!$B$26,AJ310,AJ310-AE311*(1-AD311))</f>
        <v>39617.901746463569</v>
      </c>
      <c r="AK311" s="11">
        <f>IF($A311&gt;'1-Input'!$B$26,0,IF(AP310&lt;=0,0,MAX(0,(AP310-AQ310)/AP310)))</f>
        <v>0.46448660528581193</v>
      </c>
      <c r="AL311" s="18">
        <f>IF($A311&gt;'1-Input'!$B$26,0,(MAX(0,AK286-IF($A311&gt;='1-Input'!$C$12,'1-Input'!$B$12,0))-MIN(MAX(AO310,0),MAX(0,AK286-IF($A311&gt;='1-Input'!$C$12,'1-Input'!$B$12,0))))*(1/(1-'P-Parametri'!$B$6*AK311))+MIN(MAX(0,AP310-(MAX(0,AK286-IF($A311&gt;='1-Input'!$C$12,'1-Input'!$B$12,0))-MIN(MAX(AO310,0),MAX(0,AK286-IF($A311&gt;='1-Input'!$C$12,'1-Input'!$B$12,0))))*(1/(1-'P-Parametri'!$B$6*AK311))),MAX(0,3*AK286-(AO310-MIN(MAX(AO310,0),MAX(0,AK286-IF($A311&gt;='1-Input'!$C$12,'1-Input'!$B$12,0)))))*(1/(1-'P-Parametri'!$B$6*AK311))))</f>
        <v>6241.0896331927688</v>
      </c>
      <c r="AM311" s="18">
        <f>IF($A311&gt;'1-Input'!$B$26,AO310,(AO310-MAX(0,AK286-IF($A311&gt;='1-Input'!$C$12,'1-Input'!$B$12,0))+AL311*(1-'P-Parametri'!$B$6*AK311))*(1+'1-Input'!$B$27))</f>
        <v>49059.121162444499</v>
      </c>
      <c r="AN311" s="18">
        <f>IF($A311&gt;'1-Input'!$B$26,AP310,(AP310-AL311)*(1+$B$4))</f>
        <v>75460.781736907025</v>
      </c>
      <c r="AO311" s="18">
        <f>IF($A311&gt;'1-Input'!$B$26,AM311,AM311-'P-Parametri'!$B$8*(AN311+AM311)+MIN(MAX(AN311,0),'P-Parametri'!$B$8*(AN311+AM311)))</f>
        <v>49059.121162444499</v>
      </c>
      <c r="AP311" s="18">
        <f>IF($A311&gt;'1-Input'!$B$26,AN311,AN311-MIN(MAX(AN311,0),'P-Parametri'!$B$8*(AN311+AM311)))</f>
        <v>75211.741931108321</v>
      </c>
      <c r="AQ311" s="18">
        <f>IF($A311&gt;'1-Input'!$B$26,AQ310,AQ310-AL311*(1-AK311))</f>
        <v>39617.901368350475</v>
      </c>
    </row>
    <row r="312" spans="1:43">
      <c r="A312" s="10">
        <f>24</f>
        <v>24</v>
      </c>
      <c r="B312" s="11">
        <f>IF($A312&gt;'1-Input'!$B$26,0,IF(G311&lt;=0,0,MAX(0,(G311-H311)/G311)))</f>
        <v>0.47274862090251402</v>
      </c>
      <c r="C312" s="18">
        <f>IF($A312&gt;'1-Input'!$B$26,0,(MAX(0,B286-IF($A312&gt;='1-Input'!$C$12,'1-Input'!$B$12,0))-MIN(MAX(F311,0),MAX(0,B286-IF($A312&gt;='1-Input'!$C$12,'1-Input'!$B$12,0))))*(1/(1-'P-Parametri'!$B$6*B312))+MIN(MAX(0,G311-(MAX(0,B286-IF($A312&gt;='1-Input'!$C$12,'1-Input'!$B$12,0))-MIN(MAX(F311,0),MAX(0,B286-IF($A312&gt;='1-Input'!$C$12,'1-Input'!$B$12,0))))*(1/(1-'P-Parametri'!$B$6*B312))),MAX(0,3*B286-(F311-MIN(MAX(F311,0),MAX(0,B286-IF($A312&gt;='1-Input'!$C$12,'1-Input'!$B$12,0)))))*(1/(1-'P-Parametri'!$B$6*B312))))</f>
        <v>6566.30583988329</v>
      </c>
      <c r="D312" s="18">
        <f>IF($A312&gt;'1-Input'!$B$26,F311,(F311-MAX(0,B286-IF($A312&gt;='1-Input'!$C$12,'1-Input'!$B$12,0))+C312*(1-'P-Parametri'!$B$6*B312))*(1+'1-Input'!$B$27))</f>
        <v>49863.010546479447</v>
      </c>
      <c r="E312" s="18">
        <f>IF($A312&gt;'1-Input'!$B$26,G311,(G311-C312)*(1+$B$4))</f>
        <v>60023.784144154568</v>
      </c>
      <c r="F312" s="18">
        <f>IF($A312&gt;'1-Input'!$B$26,D312,D312-'P-Parametri'!$B$8*(E312+D312)+MIN(MAX(E312,0),'P-Parametri'!$B$8*(E312+D312)))</f>
        <v>49863.010546479447</v>
      </c>
      <c r="G312" s="18">
        <f>IF($A312&gt;'1-Input'!$B$26,E312,E312-MIN(MAX(E312,0),'P-Parametri'!$B$8*(E312+D312)))</f>
        <v>59804.010554773296</v>
      </c>
      <c r="H312" s="18">
        <f>IF($A312&gt;'1-Input'!$B$26,H311,H311-C312*(1-B312))</f>
        <v>31027.081341818928</v>
      </c>
      <c r="I312" s="11">
        <f>IF($A312&gt;'1-Input'!$B$26,0,IF(N311&lt;=0,0,MAX(0,(N311-O311)/N311)))</f>
        <v>0</v>
      </c>
      <c r="J312" s="18">
        <f>IF($A312&gt;'1-Input'!$B$26,0,(MAX(0,I286-IF($A312&gt;='1-Input'!$C$12,'1-Input'!$B$12,0))-MIN(MAX(M311,0),MAX(0,I286-IF($A312&gt;='1-Input'!$C$12,'1-Input'!$B$12,0))))*(1/(1-'P-Parametri'!$B$6*I312))+MIN(MAX(0,N311-(MAX(0,I286-IF($A312&gt;='1-Input'!$C$12,'1-Input'!$B$12,0))-MIN(MAX(M311,0),MAX(0,I286-IF($A312&gt;='1-Input'!$C$12,'1-Input'!$B$12,0))))*(1/(1-'P-Parametri'!$B$6*I312))),MAX(0,3*I286-(M311-MIN(MAX(M311,0),MAX(0,I286-IF($A312&gt;='1-Input'!$C$12,'1-Input'!$B$12,0)))))*(1/(1-'P-Parametri'!$B$6*I312))))</f>
        <v>10846.756992928691</v>
      </c>
      <c r="K312" s="18">
        <f>IF($A312&gt;'1-Input'!$B$26,M311,(M311-MAX(0,I286-IF($A312&gt;='1-Input'!$C$12,'1-Input'!$B$12,0))+J312*(1-'P-Parametri'!$B$6*I312))*(1+'1-Input'!$B$27))</f>
        <v>0</v>
      </c>
      <c r="L312" s="18">
        <f>IF($A312&gt;'1-Input'!$B$26,N311,(N311-J312)*(1+$B$4))</f>
        <v>-51518.327629253981</v>
      </c>
      <c r="M312" s="18">
        <f>IF($A312&gt;'1-Input'!$B$26,K312,K312-'P-Parametri'!$B$8*(L312+K312)+MIN(MAX(L312,0),'P-Parametri'!$B$8*(L312+K312)))</f>
        <v>0</v>
      </c>
      <c r="N312" s="18">
        <f>IF($A312&gt;'1-Input'!$B$26,L312,L312-MIN(MAX(L312,0),'P-Parametri'!$B$8*(L312+K312)))</f>
        <v>-51415.29097399547</v>
      </c>
      <c r="O312" s="18">
        <f>IF($A312&gt;'1-Input'!$B$26,O311,O311-J312*(1-I312))</f>
        <v>-49212.339763857519</v>
      </c>
      <c r="P312" s="11">
        <f>IF($A312&gt;'1-Input'!$B$26,0,IF(U311&lt;=0,0,MAX(0,(U311-V311)/U311)))</f>
        <v>0.47320228634320338</v>
      </c>
      <c r="Q312" s="18">
        <f>IF($A312&gt;'1-Input'!$B$26,0,(MAX(0,P286-IF($A312&gt;='1-Input'!$C$12,'1-Input'!$B$12,0))-MIN(MAX(T311,0),MAX(0,P286-IF($A312&gt;='1-Input'!$C$12,'1-Input'!$B$12,0))))*(1/(1-'P-Parametri'!$B$6*P312))+MIN(MAX(0,U311-(MAX(0,P286-IF($A312&gt;='1-Input'!$C$12,'1-Input'!$B$12,0))-MIN(MAX(T311,0),MAX(0,P286-IF($A312&gt;='1-Input'!$C$12,'1-Input'!$B$12,0))))*(1/(1-'P-Parametri'!$B$6*P312))),MAX(0,3*P286-(T311-MIN(MAX(T311,0),MAX(0,P286-IF($A312&gt;='1-Input'!$C$12,'1-Input'!$B$12,0)))))*(1/(1-'P-Parametri'!$B$6*P312))))</f>
        <v>6288.184582566093</v>
      </c>
      <c r="R312" s="18">
        <f>IF($A312&gt;'1-Input'!$B$26,T311,(T311-MAX(0,P286-IF($A312&gt;='1-Input'!$C$12,'1-Input'!$B$12,0))+Q312*(1-'P-Parametri'!$B$6*P312))*(1+'1-Input'!$B$27))</f>
        <v>49139.434310908975</v>
      </c>
      <c r="S312" s="18">
        <f>IF($A312&gt;'1-Input'!$B$26,U311,(U311-Q312)*(1+$B$4))</f>
        <v>69303.462533554528</v>
      </c>
      <c r="T312" s="18">
        <f>IF($A312&gt;'1-Input'!$B$26,R312,R312-'P-Parametri'!$B$8*(S312+R312)+MIN(MAX(S312,0),'P-Parametri'!$B$8*(S312+R312)))</f>
        <v>49139.434310908975</v>
      </c>
      <c r="U312" s="18">
        <f>IF($A312&gt;'1-Input'!$B$26,S312,S312-MIN(MAX(S312,0),'P-Parametri'!$B$8*(S312+R312)))</f>
        <v>69066.576739865603</v>
      </c>
      <c r="V312" s="18">
        <f>IF($A312&gt;'1-Input'!$B$26,V311,V311-Q312*(1-P312))</f>
        <v>35793.044716839206</v>
      </c>
      <c r="W312" s="11">
        <f>IF($A312&gt;'1-Input'!$B$26,0,IF(AB311&lt;=0,0,MAX(0,(AB311-AC311)/AB311)))</f>
        <v>0.47324365741039942</v>
      </c>
      <c r="X312" s="18">
        <f>IF($A312&gt;'1-Input'!$B$26,0,(MAX(0,W286-IF($A312&gt;='1-Input'!$C$12,'1-Input'!$B$12,0))-MIN(MAX(AA311,0),MAX(0,W286-IF($A312&gt;='1-Input'!$C$12,'1-Input'!$B$12,0))))*(1/(1-'P-Parametri'!$B$6*W312))+MIN(MAX(0,AB311-(MAX(0,W286-IF($A312&gt;='1-Input'!$C$12,'1-Input'!$B$12,0))-MIN(MAX(AA311,0),MAX(0,W286-IF($A312&gt;='1-Input'!$C$12,'1-Input'!$B$12,0))))*(1/(1-'P-Parametri'!$B$6*W312))),MAX(0,3*W286-(AA311-MIN(MAX(AA311,0),MAX(0,W286-IF($A312&gt;='1-Input'!$C$12,'1-Input'!$B$12,0)))))*(1/(1-'P-Parametri'!$B$6*W312))))</f>
        <v>6260.5341288622922</v>
      </c>
      <c r="Y312" s="18">
        <f>IF($A312&gt;'1-Input'!$B$26,AA311,(AA311-MAX(0,W286-IF($A312&gt;='1-Input'!$C$12,'1-Input'!$B$12,0))+X312*(1-'P-Parametri'!$B$6*W312))*(1+'1-Input'!$B$27))</f>
        <v>49067.525869838581</v>
      </c>
      <c r="Z312" s="18">
        <f>IF($A312&gt;'1-Input'!$B$26,AB311,(AB311-X312)*(1+$B$4))</f>
        <v>70225.732302738281</v>
      </c>
      <c r="AA312" s="18">
        <f>IF($A312&gt;'1-Input'!$B$26,Y312,Y312-'P-Parametri'!$B$8*(Z312+Y312)+MIN(MAX(Z312,0),'P-Parametri'!$B$8*(Z312+Y312)))</f>
        <v>49067.525869838581</v>
      </c>
      <c r="AB312" s="18">
        <f>IF($A312&gt;'1-Input'!$B$26,Z312,Z312-MIN(MAX(Z312,0),'P-Parametri'!$B$8*(Z312+Y312)))</f>
        <v>69987.145786393128</v>
      </c>
      <c r="AC312" s="18">
        <f>IF($A312&gt;'1-Input'!$B$26,AC311,AC311-X312*(1-W312))</f>
        <v>36266.519513202729</v>
      </c>
      <c r="AD312" s="11">
        <f>IF($A312&gt;'1-Input'!$B$26,0,IF(AI311&lt;=0,0,MAX(0,(AI311-AJ311)/AI311)))</f>
        <v>0.47324845365106655</v>
      </c>
      <c r="AE312" s="18">
        <f>IF($A312&gt;'1-Input'!$B$26,0,(MAX(0,AD286-IF($A312&gt;='1-Input'!$C$12,'1-Input'!$B$12,0))-MIN(MAX(AH311,0),MAX(0,AD286-IF($A312&gt;='1-Input'!$C$12,'1-Input'!$B$12,0))))*(1/(1-'P-Parametri'!$B$6*AD312))+MIN(MAX(0,AI311-(MAX(0,AD286-IF($A312&gt;='1-Input'!$C$12,'1-Input'!$B$12,0))-MIN(MAX(AH311,0),MAX(0,AD286-IF($A312&gt;='1-Input'!$C$12,'1-Input'!$B$12,0))))*(1/(1-'P-Parametri'!$B$6*AD312))),MAX(0,3*AD286-(AH311-MIN(MAX(AH311,0),MAX(0,AD286-IF($A312&gt;='1-Input'!$C$12,'1-Input'!$B$12,0)))))*(1/(1-'P-Parametri'!$B$6*AD312))))</f>
        <v>6257.3021851423855</v>
      </c>
      <c r="AF312" s="18">
        <f>IF($A312&gt;'1-Input'!$B$26,AH311,(AH311-MAX(0,AD286-IF($A312&gt;='1-Input'!$C$12,'1-Input'!$B$12,0))+AE312*(1-'P-Parametri'!$B$6*AD312))*(1+'1-Input'!$B$27))</f>
        <v>49059.121103160993</v>
      </c>
      <c r="AG312" s="18">
        <f>IF($A312&gt;'1-Input'!$B$26,AI311,(AI311-AE312)*(1+$B$4))</f>
        <v>70333.529277985042</v>
      </c>
      <c r="AH312" s="18">
        <f>IF($A312&gt;'1-Input'!$B$26,AF312,AF312-'P-Parametri'!$B$8*(AG312+AF312)+MIN(MAX(AG312,0),'P-Parametri'!$B$8*(AG312+AF312)))</f>
        <v>49059.121103160993</v>
      </c>
      <c r="AI312" s="18">
        <f>IF($A312&gt;'1-Input'!$B$26,AG312,AG312-MIN(MAX(AG312,0),'P-Parametri'!$B$8*(AG312+AF312)))</f>
        <v>70094.743977222752</v>
      </c>
      <c r="AJ312" s="18">
        <f>IF($A312&gt;'1-Input'!$B$26,AJ311,AJ311-AE312*(1-AD312))</f>
        <v>36321.85814446726</v>
      </c>
      <c r="AK312" s="11">
        <f>IF($A312&gt;'1-Input'!$B$26,0,IF(AP311&lt;=0,0,MAX(0,(AP311-AQ311)/AP311)))</f>
        <v>0.47324845361726536</v>
      </c>
      <c r="AL312" s="18">
        <f>IF($A312&gt;'1-Input'!$B$26,0,(MAX(0,AK286-IF($A312&gt;='1-Input'!$C$12,'1-Input'!$B$12,0))-MIN(MAX(AO311,0),MAX(0,AK286-IF($A312&gt;='1-Input'!$C$12,'1-Input'!$B$12,0))))*(1/(1-'P-Parametri'!$B$6*AK312))+MIN(MAX(0,AP311-(MAX(0,AK286-IF($A312&gt;='1-Input'!$C$12,'1-Input'!$B$12,0))-MIN(MAX(AO311,0),MAX(0,AK286-IF($A312&gt;='1-Input'!$C$12,'1-Input'!$B$12,0))))*(1/(1-'P-Parametri'!$B$6*AK312))),MAX(0,3*AK286-(AO311-MIN(MAX(AO311,0),MAX(0,AK286-IF($A312&gt;='1-Input'!$C$12,'1-Input'!$B$12,0)))))*(1/(1-'P-Parametri'!$B$6*AK312))))</f>
        <v>6257.3022079391712</v>
      </c>
      <c r="AM312" s="18">
        <f>IF($A312&gt;'1-Input'!$B$26,AO311,(AO311-MAX(0,AK286-IF($A312&gt;='1-Input'!$C$12,'1-Input'!$B$12,0))+AL312*(1-'P-Parametri'!$B$6*AK312))*(1+'1-Input'!$B$27))</f>
        <v>49059.121162444499</v>
      </c>
      <c r="AN312" s="18">
        <f>IF($A312&gt;'1-Input'!$B$26,AP311,(AP311-AL312)*(1+$B$4))</f>
        <v>70333.528517632541</v>
      </c>
      <c r="AO312" s="18">
        <f>IF($A312&gt;'1-Input'!$B$26,AM312,AM312-'P-Parametri'!$B$8*(AN312+AM312)+MIN(MAX(AN312,0),'P-Parametri'!$B$8*(AN312+AM312)))</f>
        <v>49059.121162444499</v>
      </c>
      <c r="AP312" s="18">
        <f>IF($A312&gt;'1-Input'!$B$26,AN312,AN312-MIN(MAX(AN312,0),'P-Parametri'!$B$8*(AN312+AM312)))</f>
        <v>70094.743218272386</v>
      </c>
      <c r="AQ312" s="18">
        <f>IF($A312&gt;'1-Input'!$B$26,AQ311,AQ311-AL312*(1-AK312))</f>
        <v>36321.857754134413</v>
      </c>
    </row>
    <row r="313" spans="1:43">
      <c r="A313" s="10">
        <f>25</f>
        <v>25</v>
      </c>
      <c r="B313" s="11">
        <f>IF($A313&gt;'1-Input'!$B$26,0,IF(G312&lt;=0,0,MAX(0,(G312-H312)/G312)))</f>
        <v>0.48118728068576866</v>
      </c>
      <c r="C313" s="18">
        <f>IF($A313&gt;'1-Input'!$B$26,0,(MAX(0,B286-IF($A313&gt;='1-Input'!$C$12,'1-Input'!$B$12,0))-MIN(MAX(F312,0),MAX(0,B286-IF($A313&gt;='1-Input'!$C$12,'1-Input'!$B$12,0))))*(1/(1-'P-Parametri'!$B$6*B313))+MIN(MAX(0,G312-(MAX(0,B286-IF($A313&gt;='1-Input'!$C$12,'1-Input'!$B$12,0))-MIN(MAX(F312,0),MAX(0,B286-IF($A313&gt;='1-Input'!$C$12,'1-Input'!$B$12,0))))*(1/(1-'P-Parametri'!$B$6*B313))),MAX(0,3*B286-(F312-MIN(MAX(F312,0),MAX(0,B286-IF($A313&gt;='1-Input'!$C$12,'1-Input'!$B$12,0)))))*(1/(1-'P-Parametri'!$B$6*B313))))</f>
        <v>6582.7728150931507</v>
      </c>
      <c r="D313" s="18">
        <f>IF($A313&gt;'1-Input'!$B$26,F312,(F312-MAX(0,B286-IF($A313&gt;='1-Input'!$C$12,'1-Input'!$B$12,0))+C313*(1-'P-Parametri'!$B$6*B313))*(1+'1-Input'!$B$27))</f>
        <v>49863.010546479447</v>
      </c>
      <c r="E313" s="18">
        <f>IF($A313&gt;'1-Input'!$B$26,G312,(G312-C313)*(1+$B$4))</f>
        <v>54285.662494473749</v>
      </c>
      <c r="F313" s="18">
        <f>IF($A313&gt;'1-Input'!$B$26,D313,D313-'P-Parametri'!$B$8*(E313+D313)+MIN(MAX(E313,0),'P-Parametri'!$B$8*(E313+D313)))</f>
        <v>49863.010546479447</v>
      </c>
      <c r="G313" s="18">
        <f>IF($A313&gt;'1-Input'!$B$26,E313,E313-MIN(MAX(E313,0),'P-Parametri'!$B$8*(E313+D313)))</f>
        <v>54077.365148391844</v>
      </c>
      <c r="H313" s="18">
        <f>IF($A313&gt;'1-Input'!$B$26,H312,H312-C313*(1-B313))</f>
        <v>27611.855076992651</v>
      </c>
      <c r="I313" s="11">
        <f>IF($A313&gt;'1-Input'!$B$26,0,IF(N312&lt;=0,0,MAX(0,(N312-O312)/N312)))</f>
        <v>0</v>
      </c>
      <c r="J313" s="18">
        <f>IF($A313&gt;'1-Input'!$B$26,0,(MAX(0,I286-IF($A313&gt;='1-Input'!$C$12,'1-Input'!$B$12,0))-MIN(MAX(M312,0),MAX(0,I286-IF($A313&gt;='1-Input'!$C$12,'1-Input'!$B$12,0))))*(1/(1-'P-Parametri'!$B$6*I313))+MIN(MAX(0,N312-(MAX(0,I286-IF($A313&gt;='1-Input'!$C$12,'1-Input'!$B$12,0))-MIN(MAX(M312,0),MAX(0,I286-IF($A313&gt;='1-Input'!$C$12,'1-Input'!$B$12,0))))*(1/(1-'P-Parametri'!$B$6*I313))),MAX(0,3*I286-(M312-MIN(MAX(M312,0),MAX(0,I286-IF($A313&gt;='1-Input'!$C$12,'1-Input'!$B$12,0)))))*(1/(1-'P-Parametri'!$B$6*I313))))</f>
        <v>10846.756992928691</v>
      </c>
      <c r="K313" s="18">
        <f>IF($A313&gt;'1-Input'!$B$26,M312,(M312-MAX(0,I286-IF($A313&gt;='1-Input'!$C$12,'1-Input'!$B$12,0))+J313*(1-'P-Parametri'!$B$6*I313))*(1+'1-Input'!$B$27))</f>
        <v>0</v>
      </c>
      <c r="L313" s="18">
        <f>IF($A313&gt;'1-Input'!$B$26,N312,(N312-J313)*(1+$B$4))</f>
        <v>-63507.288926262649</v>
      </c>
      <c r="M313" s="18">
        <f>IF($A313&gt;'1-Input'!$B$26,K313,K313-'P-Parametri'!$B$8*(L313+K313)+MIN(MAX(L313,0),'P-Parametri'!$B$8*(L313+K313)))</f>
        <v>0</v>
      </c>
      <c r="N313" s="18">
        <f>IF($A313&gt;'1-Input'!$B$26,L313,L313-MIN(MAX(L313,0),'P-Parametri'!$B$8*(L313+K313)))</f>
        <v>-63380.274348410123</v>
      </c>
      <c r="O313" s="18">
        <f>IF($A313&gt;'1-Input'!$B$26,O312,O312-J313*(1-I313))</f>
        <v>-60059.09675678621</v>
      </c>
      <c r="P313" s="11">
        <f>IF($A313&gt;'1-Input'!$B$26,0,IF(U312&lt;=0,0,MAX(0,(U312-V312)/U312)))</f>
        <v>0.48176026080384454</v>
      </c>
      <c r="Q313" s="18">
        <f>IF($A313&gt;'1-Input'!$B$26,0,(MAX(0,P286-IF($A313&gt;='1-Input'!$C$12,'1-Input'!$B$12,0))-MIN(MAX(T312,0),MAX(0,P286-IF($A313&gt;='1-Input'!$C$12,'1-Input'!$B$12,0))))*(1/(1-'P-Parametri'!$B$6*P313))+MIN(MAX(0,U312-(MAX(0,P286-IF($A313&gt;='1-Input'!$C$12,'1-Input'!$B$12,0))-MIN(MAX(T312,0),MAX(0,P286-IF($A313&gt;='1-Input'!$C$12,'1-Input'!$B$12,0))))*(1/(1-'P-Parametri'!$B$6*P313))),MAX(0,3*P286-(T312-MIN(MAX(T312,0),MAX(0,P286-IF($A313&gt;='1-Input'!$C$12,'1-Input'!$B$12,0)))))*(1/(1-'P-Parametri'!$B$6*P313))))</f>
        <v>6304.1797750714304</v>
      </c>
      <c r="R313" s="18">
        <f>IF($A313&gt;'1-Input'!$B$26,T312,(T312-MAX(0,P286-IF($A313&gt;='1-Input'!$C$12,'1-Input'!$B$12,0))+Q313*(1-'P-Parametri'!$B$6*P313))*(1+'1-Input'!$B$27))</f>
        <v>49139.434310908975</v>
      </c>
      <c r="S313" s="18">
        <f>IF($A313&gt;'1-Input'!$B$26,U312,(U312-Q313)*(1+$B$4))</f>
        <v>64017.644904090055</v>
      </c>
      <c r="T313" s="18">
        <f>IF($A313&gt;'1-Input'!$B$26,R313,R313-'P-Parametri'!$B$8*(S313+R313)+MIN(MAX(S313,0),'P-Parametri'!$B$8*(S313+R313)))</f>
        <v>49139.434310908975</v>
      </c>
      <c r="U313" s="18">
        <f>IF($A313&gt;'1-Input'!$B$26,S313,S313-MIN(MAX(S313,0),'P-Parametri'!$B$8*(S313+R313)))</f>
        <v>63791.33074566006</v>
      </c>
      <c r="V313" s="18">
        <f>IF($A313&gt;'1-Input'!$B$26,V312,V312-Q313*(1-P313))</f>
        <v>32525.968234360509</v>
      </c>
      <c r="W313" s="11">
        <f>IF($A313&gt;'1-Input'!$B$26,0,IF(AB312&lt;=0,0,MAX(0,(AB312-AC312)/AB312)))</f>
        <v>0.48181170834010995</v>
      </c>
      <c r="X313" s="18">
        <f>IF($A313&gt;'1-Input'!$B$26,0,(MAX(0,W286-IF($A313&gt;='1-Input'!$C$12,'1-Input'!$B$12,0))-MIN(MAX(AA312,0),MAX(0,W286-IF($A313&gt;='1-Input'!$C$12,'1-Input'!$B$12,0))))*(1/(1-'P-Parametri'!$B$6*W313))+MIN(MAX(0,AB312-(MAX(0,W286-IF($A313&gt;='1-Input'!$C$12,'1-Input'!$B$12,0))-MIN(MAX(AA312,0),MAX(0,W286-IF($A313&gt;='1-Input'!$C$12,'1-Input'!$B$12,0))))*(1/(1-'P-Parametri'!$B$6*W313))),MAX(0,3*W286-(AA312-MIN(MAX(AA312,0),MAX(0,W286-IF($A313&gt;='1-Input'!$C$12,'1-Input'!$B$12,0)))))*(1/(1-'P-Parametri'!$B$6*W313))))</f>
        <v>6276.4779814985595</v>
      </c>
      <c r="Y313" s="18">
        <f>IF($A313&gt;'1-Input'!$B$26,AA312,(AA312-MAX(0,W286-IF($A313&gt;='1-Input'!$C$12,'1-Input'!$B$12,0))+X313*(1-'P-Parametri'!$B$6*W313))*(1+'1-Input'!$B$27))</f>
        <v>49067.525869838581</v>
      </c>
      <c r="Z313" s="18">
        <f>IF($A313&gt;'1-Input'!$B$26,AB312,(AB312-X313)*(1+$B$4))</f>
        <v>64984.88116099246</v>
      </c>
      <c r="AA313" s="18">
        <f>IF($A313&gt;'1-Input'!$B$26,Y313,Y313-'P-Parametri'!$B$8*(Z313+Y313)+MIN(MAX(Z313,0),'P-Parametri'!$B$8*(Z313+Y313)))</f>
        <v>49067.525869838581</v>
      </c>
      <c r="AB313" s="18">
        <f>IF($A313&gt;'1-Input'!$B$26,Z313,Z313-MIN(MAX(Z313,0),'P-Parametri'!$B$8*(Z313+Y313)))</f>
        <v>64756.776346930797</v>
      </c>
      <c r="AC313" s="18">
        <f>IF($A313&gt;'1-Input'!$B$26,AC312,AC312-X313*(1-W313))</f>
        <v>33014.122110329074</v>
      </c>
      <c r="AD313" s="11">
        <f>IF($A313&gt;'1-Input'!$B$26,0,IF(AI312&lt;=0,0,MAX(0,(AI312-AJ312)/AI312)))</f>
        <v>0.48181766444185847</v>
      </c>
      <c r="AE313" s="18">
        <f>IF($A313&gt;'1-Input'!$B$26,0,(MAX(0,AD286-IF($A313&gt;='1-Input'!$C$12,'1-Input'!$B$12,0))-MIN(MAX(AH312,0),MAX(0,AD286-IF($A313&gt;='1-Input'!$C$12,'1-Input'!$B$12,0))))*(1/(1-'P-Parametri'!$B$6*AD313))+MIN(MAX(0,AI312-(MAX(0,AD286-IF($A313&gt;='1-Input'!$C$12,'1-Input'!$B$12,0))-MIN(MAX(AH312,0),MAX(0,AD286-IF($A313&gt;='1-Input'!$C$12,'1-Input'!$B$12,0))))*(1/(1-'P-Parametri'!$B$6*AD313))),MAX(0,3*AD286-(AH312-MIN(MAX(AH312,0),MAX(0,AD286-IF($A313&gt;='1-Input'!$C$12,'1-Input'!$B$12,0)))))*(1/(1-'P-Parametri'!$B$6*AD313))))</f>
        <v>6273.2399923382418</v>
      </c>
      <c r="AF313" s="18">
        <f>IF($A313&gt;'1-Input'!$B$26,AH312,(AH312-MAX(0,AD286-IF($A313&gt;='1-Input'!$C$12,'1-Input'!$B$12,0))+AE313*(1-'P-Parametri'!$B$6*AD313))*(1+'1-Input'!$B$27))</f>
        <v>49059.121103160993</v>
      </c>
      <c r="AG313" s="18">
        <f>IF($A313&gt;'1-Input'!$B$26,AI312,(AI312-AE313)*(1+$B$4))</f>
        <v>65097.934064582201</v>
      </c>
      <c r="AH313" s="18">
        <f>IF($A313&gt;'1-Input'!$B$26,AF313,AF313-'P-Parametri'!$B$8*(AG313+AF313)+MIN(MAX(AG313,0),'P-Parametri'!$B$8*(AG313+AF313)))</f>
        <v>49059.121103160993</v>
      </c>
      <c r="AI313" s="18">
        <f>IF($A313&gt;'1-Input'!$B$26,AG313,AG313-MIN(MAX(AG313,0),'P-Parametri'!$B$8*(AG313+AF313)))</f>
        <v>64869.619954246715</v>
      </c>
      <c r="AJ313" s="18">
        <f>IF($A313&gt;'1-Input'!$B$26,AJ312,AJ312-AE313*(1-AD313))</f>
        <v>33071.175993720695</v>
      </c>
      <c r="AK313" s="11">
        <f>IF($A313&gt;'1-Input'!$B$26,0,IF(AP312&lt;=0,0,MAX(0,(AP312-AQ312)/AP312)))</f>
        <v>0.48181766439988921</v>
      </c>
      <c r="AL313" s="18">
        <f>IF($A313&gt;'1-Input'!$B$26,0,(MAX(0,AK286-IF($A313&gt;='1-Input'!$C$12,'1-Input'!$B$12,0))-MIN(MAX(AO312,0),MAX(0,AK286-IF($A313&gt;='1-Input'!$C$12,'1-Input'!$B$12,0))))*(1/(1-'P-Parametri'!$B$6*AK313))+MIN(MAX(0,AP312-(MAX(0,AK286-IF($A313&gt;='1-Input'!$C$12,'1-Input'!$B$12,0))-MIN(MAX(AO312,0),MAX(0,AK286-IF($A313&gt;='1-Input'!$C$12,'1-Input'!$B$12,0))))*(1/(1-'P-Parametri'!$B$6*AK313))),MAX(0,3*AK286-(AO312-MIN(MAX(AO312,0),MAX(0,AK286-IF($A313&gt;='1-Input'!$C$12,'1-Input'!$B$12,0)))))*(1/(1-'P-Parametri'!$B$6*AK313))))</f>
        <v>6273.2400151777001</v>
      </c>
      <c r="AM313" s="18">
        <f>IF($A313&gt;'1-Input'!$B$26,AO312,(AO312-MAX(0,AK286-IF($A313&gt;='1-Input'!$C$12,'1-Input'!$B$12,0))+AL313*(1-'P-Parametri'!$B$6*AK313))*(1+'1-Input'!$B$27))</f>
        <v>49059.121162444499</v>
      </c>
      <c r="AN313" s="18">
        <f>IF($A313&gt;'1-Input'!$B$26,AP312,(AP312-AL313)*(1+$B$4))</f>
        <v>65097.933267156586</v>
      </c>
      <c r="AO313" s="18">
        <f>IF($A313&gt;'1-Input'!$B$26,AM313,AM313-'P-Parametri'!$B$8*(AN313+AM313)+MIN(MAX(AN313,0),'P-Parametri'!$B$8*(AN313+AM313)))</f>
        <v>49059.121162444499</v>
      </c>
      <c r="AP313" s="18">
        <f>IF($A313&gt;'1-Input'!$B$26,AN313,AN313-MIN(MAX(AN313,0),'P-Parametri'!$B$8*(AN313+AM313)))</f>
        <v>64869.619158297384</v>
      </c>
      <c r="AQ313" s="18">
        <f>IF($A313&gt;'1-Input'!$B$26,AQ312,AQ312-AL313*(1-AK313))</f>
        <v>33071.175591289561</v>
      </c>
    </row>
    <row r="314" spans="1:43">
      <c r="A314" s="10">
        <f>26</f>
        <v>26</v>
      </c>
      <c r="B314" s="11">
        <f>IF($A314&gt;'1-Input'!$B$26,0,IF(G313&lt;=0,0,MAX(0,(G313-H313)/G313)))</f>
        <v>0.48940087962451745</v>
      </c>
      <c r="C314" s="18">
        <f>IF($A314&gt;'1-Input'!$B$26,0,(MAX(0,B286-IF($A314&gt;='1-Input'!$C$12,'1-Input'!$B$12,0))-MIN(MAX(F313,0),MAX(0,B286-IF($A314&gt;='1-Input'!$C$12,'1-Input'!$B$12,0))))*(1/(1-'P-Parametri'!$B$6*B314))+MIN(MAX(0,G313-(MAX(0,B286-IF($A314&gt;='1-Input'!$C$12,'1-Input'!$B$12,0))-MIN(MAX(F313,0),MAX(0,B286-IF($A314&gt;='1-Input'!$C$12,'1-Input'!$B$12,0))))*(1/(1-'P-Parametri'!$B$6*B314))),MAX(0,3*B286-(F313-MIN(MAX(F313,0),MAX(0,B286-IF($A314&gt;='1-Input'!$C$12,'1-Input'!$B$12,0)))))*(1/(1-'P-Parametri'!$B$6*B314))))</f>
        <v>6598.8801236580639</v>
      </c>
      <c r="D314" s="18">
        <f>IF($A314&gt;'1-Input'!$B$26,F313,(F313-MAX(0,B286-IF($A314&gt;='1-Input'!$C$12,'1-Input'!$B$12,0))+C314*(1-'P-Parametri'!$B$6*B314))*(1+'1-Input'!$B$27))</f>
        <v>49863.010546479447</v>
      </c>
      <c r="E314" s="18">
        <f>IF($A314&gt;'1-Input'!$B$26,G313,(G313-C314)*(1+$B$4))</f>
        <v>48428.05472522846</v>
      </c>
      <c r="F314" s="18">
        <f>IF($A314&gt;'1-Input'!$B$26,D314,D314-'P-Parametri'!$B$8*(E314+D314)+MIN(MAX(E314,0),'P-Parametri'!$B$8*(E314+D314)))</f>
        <v>49863.010546479447</v>
      </c>
      <c r="G314" s="18">
        <f>IF($A314&gt;'1-Input'!$B$26,E314,E314-MIN(MAX(E314,0),'P-Parametri'!$B$8*(E314+D314)))</f>
        <v>48231.472594685045</v>
      </c>
      <c r="H314" s="18">
        <f>IF($A314&gt;'1-Input'!$B$26,H313,H313-C314*(1-B314))</f>
        <v>24242.47269038959</v>
      </c>
      <c r="I314" s="11">
        <f>IF($A314&gt;'1-Input'!$B$26,0,IF(N313&lt;=0,0,MAX(0,(N313-O313)/N313)))</f>
        <v>0</v>
      </c>
      <c r="J314" s="18">
        <f>IF($A314&gt;'1-Input'!$B$26,0,(MAX(0,I286-IF($A314&gt;='1-Input'!$C$12,'1-Input'!$B$12,0))-MIN(MAX(M313,0),MAX(0,I286-IF($A314&gt;='1-Input'!$C$12,'1-Input'!$B$12,0))))*(1/(1-'P-Parametri'!$B$6*I314))+MIN(MAX(0,N313-(MAX(0,I286-IF($A314&gt;='1-Input'!$C$12,'1-Input'!$B$12,0))-MIN(MAX(M313,0),MAX(0,I286-IF($A314&gt;='1-Input'!$C$12,'1-Input'!$B$12,0))))*(1/(1-'P-Parametri'!$B$6*I314))),MAX(0,3*I286-(M313-MIN(MAX(M313,0),MAX(0,I286-IF($A314&gt;='1-Input'!$C$12,'1-Input'!$B$12,0)))))*(1/(1-'P-Parametri'!$B$6*I314))))</f>
        <v>10846.756992928691</v>
      </c>
      <c r="K314" s="18">
        <f>IF($A314&gt;'1-Input'!$B$26,M313,(M313-MAX(0,I286-IF($A314&gt;='1-Input'!$C$12,'1-Input'!$B$12,0))+J314*(1-'P-Parametri'!$B$6*I314))*(1+'1-Input'!$B$27))</f>
        <v>0</v>
      </c>
      <c r="L314" s="18">
        <f>IF($A314&gt;'1-Input'!$B$26,N313,(N313-J314)*(1+$B$4))</f>
        <v>-75711.571968165605</v>
      </c>
      <c r="M314" s="18">
        <f>IF($A314&gt;'1-Input'!$B$26,K314,K314-'P-Parametri'!$B$8*(L314+K314)+MIN(MAX(L314,0),'P-Parametri'!$B$8*(L314+K314)))</f>
        <v>0</v>
      </c>
      <c r="N314" s="18">
        <f>IF($A314&gt;'1-Input'!$B$26,L314,L314-MIN(MAX(L314,0),'P-Parametri'!$B$8*(L314+K314)))</f>
        <v>-75560.148824229269</v>
      </c>
      <c r="O314" s="18">
        <f>IF($A314&gt;'1-Input'!$B$26,O313,O313-J314*(1-I314))</f>
        <v>-70905.853749714908</v>
      </c>
      <c r="P314" s="11">
        <f>IF($A314&gt;'1-Input'!$B$26,0,IF(U313&lt;=0,0,MAX(0,(U313-V313)/U313)))</f>
        <v>0.49011930219729172</v>
      </c>
      <c r="Q314" s="18">
        <f>IF($A314&gt;'1-Input'!$B$26,0,(MAX(0,P286-IF($A314&gt;='1-Input'!$C$12,'1-Input'!$B$12,0))-MIN(MAX(T313,0),MAX(0,P286-IF($A314&gt;='1-Input'!$C$12,'1-Input'!$B$12,0))))*(1/(1-'P-Parametri'!$B$6*P314))+MIN(MAX(0,U313-(MAX(0,P286-IF($A314&gt;='1-Input'!$C$12,'1-Input'!$B$12,0))-MIN(MAX(T313,0),MAX(0,P286-IF($A314&gt;='1-Input'!$C$12,'1-Input'!$B$12,0))))*(1/(1-'P-Parametri'!$B$6*P314))),MAX(0,3*P286-(T313-MIN(MAX(T313,0),MAX(0,P286-IF($A314&gt;='1-Input'!$C$12,'1-Input'!$B$12,0)))))*(1/(1-'P-Parametri'!$B$6*P314))))</f>
        <v>6319.8819077525295</v>
      </c>
      <c r="R314" s="18">
        <f>IF($A314&gt;'1-Input'!$B$26,T313,(T313-MAX(0,P286-IF($A314&gt;='1-Input'!$C$12,'1-Input'!$B$12,0))+Q314*(1-'P-Parametri'!$B$6*P314))*(1+'1-Input'!$B$27))</f>
        <v>49139.434310908975</v>
      </c>
      <c r="S314" s="18">
        <f>IF($A314&gt;'1-Input'!$B$26,U313,(U313-Q314)*(1+$B$4))</f>
        <v>58620.877814665684</v>
      </c>
      <c r="T314" s="18">
        <f>IF($A314&gt;'1-Input'!$B$26,R314,R314-'P-Parametri'!$B$8*(S314+R314)+MIN(MAX(S314,0),'P-Parametri'!$B$8*(S314+R314)))</f>
        <v>49139.434310908975</v>
      </c>
      <c r="U314" s="18">
        <f>IF($A314&gt;'1-Input'!$B$26,S314,S314-MIN(MAX(S314,0),'P-Parametri'!$B$8*(S314+R314)))</f>
        <v>58405.357190414536</v>
      </c>
      <c r="V314" s="18">
        <f>IF($A314&gt;'1-Input'!$B$26,V313,V313-Q314*(1-P314))</f>
        <v>29303.582437204939</v>
      </c>
      <c r="W314" s="11">
        <f>IF($A314&gt;'1-Input'!$B$26,0,IF(AB313&lt;=0,0,MAX(0,(AB313-AC313)/AB313)))</f>
        <v>0.49018274267610595</v>
      </c>
      <c r="X314" s="18">
        <f>IF($A314&gt;'1-Input'!$B$26,0,(MAX(0,W286-IF($A314&gt;='1-Input'!$C$12,'1-Input'!$B$12,0))-MIN(MAX(AA313,0),MAX(0,W286-IF($A314&gt;='1-Input'!$C$12,'1-Input'!$B$12,0))))*(1/(1-'P-Parametri'!$B$6*W314))+MIN(MAX(0,AB313-(MAX(0,W286-IF($A314&gt;='1-Input'!$C$12,'1-Input'!$B$12,0))-MIN(MAX(AA313,0),MAX(0,W286-IF($A314&gt;='1-Input'!$C$12,'1-Input'!$B$12,0))))*(1/(1-'P-Parametri'!$B$6*W314))),MAX(0,3*W286-(AA313-MIN(MAX(AA313,0),MAX(0,W286-IF($A314&gt;='1-Input'!$C$12,'1-Input'!$B$12,0)))))*(1/(1-'P-Parametri'!$B$6*W314))))</f>
        <v>6292.1338411803663</v>
      </c>
      <c r="Y314" s="18">
        <f>IF($A314&gt;'1-Input'!$B$26,AA313,(AA313-MAX(0,W286-IF($A314&gt;='1-Input'!$C$12,'1-Input'!$B$12,0))+X314*(1-'P-Parametri'!$B$6*W314))*(1+'1-Input'!$B$27))</f>
        <v>49067.525869838581</v>
      </c>
      <c r="Z314" s="18">
        <f>IF($A314&gt;'1-Input'!$B$26,AB313,(AB313-X314)*(1+$B$4))</f>
        <v>59633.93535586544</v>
      </c>
      <c r="AA314" s="18">
        <f>IF($A314&gt;'1-Input'!$B$26,Y314,Y314-'P-Parametri'!$B$8*(Z314+Y314)+MIN(MAX(Z314,0),'P-Parametri'!$B$8*(Z314+Y314)))</f>
        <v>49067.525869838581</v>
      </c>
      <c r="AB314" s="18">
        <f>IF($A314&gt;'1-Input'!$B$26,Z314,Z314-MIN(MAX(Z314,0),'P-Parametri'!$B$8*(Z314+Y314)))</f>
        <v>59416.532433414031</v>
      </c>
      <c r="AC314" s="18">
        <f>IF($A314&gt;'1-Input'!$B$26,AC313,AC313-X314*(1-W314))</f>
        <v>29806.283692703641</v>
      </c>
      <c r="AD314" s="11">
        <f>IF($A314&gt;'1-Input'!$B$26,0,IF(AI313&lt;=0,0,MAX(0,(AI313-AJ313)/AI313)))</f>
        <v>0.49019007638635503</v>
      </c>
      <c r="AE314" s="18">
        <f>IF($A314&gt;'1-Input'!$B$26,0,(MAX(0,AD286-IF($A314&gt;='1-Input'!$C$12,'1-Input'!$B$12,0))-MIN(MAX(AH313,0),MAX(0,AD286-IF($A314&gt;='1-Input'!$C$12,'1-Input'!$B$12,0))))*(1/(1-'P-Parametri'!$B$6*AD314))+MIN(MAX(0,AI313-(MAX(0,AD286-IF($A314&gt;='1-Input'!$C$12,'1-Input'!$B$12,0))-MIN(MAX(AH313,0),MAX(0,AD286-IF($A314&gt;='1-Input'!$C$12,'1-Input'!$B$12,0))))*(1/(1-'P-Parametri'!$B$6*AD314))),MAX(0,3*AD286-(AH313-MIN(MAX(AH313,0),MAX(0,AD286-IF($A314&gt;='1-Input'!$C$12,'1-Input'!$B$12,0)))))*(1/(1-'P-Parametri'!$B$6*AD314))))</f>
        <v>6288.8903846087705</v>
      </c>
      <c r="AF314" s="18">
        <f>IF($A314&gt;'1-Input'!$B$26,AH313,(AH313-MAX(0,AD286-IF($A314&gt;='1-Input'!$C$12,'1-Input'!$B$12,0))+AE314*(1-'P-Parametri'!$B$6*AD314))*(1+'1-Input'!$B$27))</f>
        <v>49059.121103160993</v>
      </c>
      <c r="AG314" s="18">
        <f>IF($A314&gt;'1-Input'!$B$26,AI313,(AI313-AE314)*(1+$B$4))</f>
        <v>59752.344161030705</v>
      </c>
      <c r="AH314" s="18">
        <f>IF($A314&gt;'1-Input'!$B$26,AF314,AF314-'P-Parametri'!$B$8*(AG314+AF314)+MIN(MAX(AG314,0),'P-Parametri'!$B$8*(AG314+AF314)))</f>
        <v>49059.121103160993</v>
      </c>
      <c r="AI314" s="18">
        <f>IF($A314&gt;'1-Input'!$B$26,AG314,AG314-MIN(MAX(AG314,0),'P-Parametri'!$B$8*(AG314+AF314)))</f>
        <v>59534.72123050232</v>
      </c>
      <c r="AJ314" s="18">
        <f>IF($A314&gt;'1-Input'!$B$26,AJ313,AJ313-AE314*(1-AD314))</f>
        <v>29865.037267128711</v>
      </c>
      <c r="AK314" s="11">
        <f>IF($A314&gt;'1-Input'!$B$26,0,IF(AP313&lt;=0,0,MAX(0,(AP313-AQ313)/AP313)))</f>
        <v>0.49019007633468631</v>
      </c>
      <c r="AL314" s="18">
        <f>IF($A314&gt;'1-Input'!$B$26,0,(MAX(0,AK286-IF($A314&gt;='1-Input'!$C$12,'1-Input'!$B$12,0))-MIN(MAX(AO313,0),MAX(0,AK286-IF($A314&gt;='1-Input'!$C$12,'1-Input'!$B$12,0))))*(1/(1-'P-Parametri'!$B$6*AK314))+MIN(MAX(0,AP313-(MAX(0,AK286-IF($A314&gt;='1-Input'!$C$12,'1-Input'!$B$12,0))-MIN(MAX(AO313,0),MAX(0,AK286-IF($A314&gt;='1-Input'!$C$12,'1-Input'!$B$12,0))))*(1/(1-'P-Parametri'!$B$6*AK314))),MAX(0,3*AK286-(AO313-MIN(MAX(AO313,0),MAX(0,AK286-IF($A314&gt;='1-Input'!$C$12,'1-Input'!$B$12,0)))))*(1/(1-'P-Parametri'!$B$6*AK314))))</f>
        <v>6288.8904074868378</v>
      </c>
      <c r="AM314" s="18">
        <f>IF($A314&gt;'1-Input'!$B$26,AO313,(AO313-MAX(0,AK286-IF($A314&gt;='1-Input'!$C$12,'1-Input'!$B$12,0))+AL314*(1-'P-Parametri'!$B$6*AK314))*(1+'1-Input'!$B$27))</f>
        <v>49059.121162444499</v>
      </c>
      <c r="AN314" s="18">
        <f>IF($A314&gt;'1-Input'!$B$26,AP313,(AP313-AL314)*(1+$B$4))</f>
        <v>59752.343325826754</v>
      </c>
      <c r="AO314" s="18">
        <f>IF($A314&gt;'1-Input'!$B$26,AM314,AM314-'P-Parametri'!$B$8*(AN314+AM314)+MIN(MAX(AN314,0),'P-Parametri'!$B$8*(AN314+AM314)))</f>
        <v>49059.121162444499</v>
      </c>
      <c r="AP314" s="18">
        <f>IF($A314&gt;'1-Input'!$B$26,AN314,AN314-MIN(MAX(AN314,0),'P-Parametri'!$B$8*(AN314+AM314)))</f>
        <v>59534.720396850214</v>
      </c>
      <c r="AQ314" s="18">
        <f>IF($A314&gt;'1-Input'!$B$26,AQ313,AQ313-AL314*(1-AK314))</f>
        <v>29865.03685270917</v>
      </c>
    </row>
    <row r="315" spans="1:43">
      <c r="A315" s="10">
        <f>27</f>
        <v>27</v>
      </c>
      <c r="B315" s="11">
        <f>IF($A315&gt;'1-Input'!$B$26,0,IF(G314&lt;=0,0,MAX(0,(G314-H314)/G314)))</f>
        <v>0.49737233001131642</v>
      </c>
      <c r="C315" s="18">
        <f>IF($A315&gt;'1-Input'!$B$26,0,(MAX(0,B286-IF($A315&gt;='1-Input'!$C$12,'1-Input'!$B$12,0))-MIN(MAX(F314,0),MAX(0,B286-IF($A315&gt;='1-Input'!$C$12,'1-Input'!$B$12,0))))*(1/(1-'P-Parametri'!$B$6*B315))+MIN(MAX(0,G314-(MAX(0,B286-IF($A315&gt;='1-Input'!$C$12,'1-Input'!$B$12,0))-MIN(MAX(F314,0),MAX(0,B286-IF($A315&gt;='1-Input'!$C$12,'1-Input'!$B$12,0))))*(1/(1-'P-Parametri'!$B$6*B315))),MAX(0,3*B286-(F314-MIN(MAX(F314,0),MAX(0,B286-IF($A315&gt;='1-Input'!$C$12,'1-Input'!$B$12,0)))))*(1/(1-'P-Parametri'!$B$6*B315))))</f>
        <v>6614.5881193157702</v>
      </c>
      <c r="D315" s="18">
        <f>IF($A315&gt;'1-Input'!$B$26,F314,(F314-MAX(0,B286-IF($A315&gt;='1-Input'!$C$12,'1-Input'!$B$12,0))+C315*(1-'P-Parametri'!$B$6*B315))*(1+'1-Input'!$B$27))</f>
        <v>49863.010546479447</v>
      </c>
      <c r="E315" s="18">
        <f>IF($A315&gt;'1-Input'!$B$26,G314,(G314-C315)*(1+$B$4))</f>
        <v>42449.222164876664</v>
      </c>
      <c r="F315" s="18">
        <f>IF($A315&gt;'1-Input'!$B$26,D315,D315-'P-Parametri'!$B$8*(E315+D315)+MIN(MAX(E315,0),'P-Parametri'!$B$8*(E315+D315)))</f>
        <v>49863.010546479447</v>
      </c>
      <c r="G315" s="18">
        <f>IF($A315&gt;'1-Input'!$B$26,E315,E315-MIN(MAX(E315,0),'P-Parametri'!$B$8*(E315+D315)))</f>
        <v>42264.597699453952</v>
      </c>
      <c r="H315" s="18">
        <f>IF($A315&gt;'1-Input'!$B$26,H314,H314-C315*(1-B315))</f>
        <v>20917.797676043076</v>
      </c>
      <c r="I315" s="11">
        <f>IF($A315&gt;'1-Input'!$B$26,0,IF(N314&lt;=0,0,MAX(0,(N314-O314)/N314)))</f>
        <v>0</v>
      </c>
      <c r="J315" s="18">
        <f>IF($A315&gt;'1-Input'!$B$26,0,(MAX(0,I286-IF($A315&gt;='1-Input'!$C$12,'1-Input'!$B$12,0))-MIN(MAX(M314,0),MAX(0,I286-IF($A315&gt;='1-Input'!$C$12,'1-Input'!$B$12,0))))*(1/(1-'P-Parametri'!$B$6*I315))+MIN(MAX(0,N314-(MAX(0,I286-IF($A315&gt;='1-Input'!$C$12,'1-Input'!$B$12,0))-MIN(MAX(M314,0),MAX(0,I286-IF($A315&gt;='1-Input'!$C$12,'1-Input'!$B$12,0))))*(1/(1-'P-Parametri'!$B$6*I315))),MAX(0,3*I286-(M314-MIN(MAX(M314,0),MAX(0,I286-IF($A315&gt;='1-Input'!$C$12,'1-Input'!$B$12,0)))))*(1/(1-'P-Parametri'!$B$6*I315))))</f>
        <v>10846.756992928691</v>
      </c>
      <c r="K315" s="18">
        <f>IF($A315&gt;'1-Input'!$B$26,M314,(M314-MAX(0,I286-IF($A315&gt;='1-Input'!$C$12,'1-Input'!$B$12,0))+J315*(1-'P-Parametri'!$B$6*I315))*(1+'1-Input'!$B$27))</f>
        <v>0</v>
      </c>
      <c r="L315" s="18">
        <f>IF($A315&gt;'1-Input'!$B$26,N314,(N314-J315)*(1+$B$4))</f>
        <v>-88135.043933501132</v>
      </c>
      <c r="M315" s="18">
        <f>IF($A315&gt;'1-Input'!$B$26,K315,K315-'P-Parametri'!$B$8*(L315+K315)+MIN(MAX(L315,0),'P-Parametri'!$B$8*(L315+K315)))</f>
        <v>0</v>
      </c>
      <c r="N315" s="18">
        <f>IF($A315&gt;'1-Input'!$B$26,L315,L315-MIN(MAX(L315,0),'P-Parametri'!$B$8*(L315+K315)))</f>
        <v>-87958.773845634132</v>
      </c>
      <c r="O315" s="18">
        <f>IF($A315&gt;'1-Input'!$B$26,O314,O314-J315*(1-I315))</f>
        <v>-81752.610742643592</v>
      </c>
      <c r="P315" s="11">
        <f>IF($A315&gt;'1-Input'!$B$26,0,IF(U314&lt;=0,0,MAX(0,(U314-V314)/U314)))</f>
        <v>0.49827235296808986</v>
      </c>
      <c r="Q315" s="18">
        <f>IF($A315&gt;'1-Input'!$B$26,0,(MAX(0,P286-IF($A315&gt;='1-Input'!$C$12,'1-Input'!$B$12,0))-MIN(MAX(T314,0),MAX(0,P286-IF($A315&gt;='1-Input'!$C$12,'1-Input'!$B$12,0))))*(1/(1-'P-Parametri'!$B$6*P315))+MIN(MAX(0,U314-(MAX(0,P286-IF($A315&gt;='1-Input'!$C$12,'1-Input'!$B$12,0))-MIN(MAX(T314,0),MAX(0,P286-IF($A315&gt;='1-Input'!$C$12,'1-Input'!$B$12,0))))*(1/(1-'P-Parametri'!$B$6*P315))),MAX(0,3*P286-(T314-MIN(MAX(T314,0),MAX(0,P286-IF($A315&gt;='1-Input'!$C$12,'1-Input'!$B$12,0)))))*(1/(1-'P-Parametri'!$B$6*P315))))</f>
        <v>6335.2726311590268</v>
      </c>
      <c r="R315" s="18">
        <f>IF($A315&gt;'1-Input'!$B$26,T314,(T314-MAX(0,P286-IF($A315&gt;='1-Input'!$C$12,'1-Input'!$B$12,0))+Q315*(1-'P-Parametri'!$B$6*P315))*(1+'1-Input'!$B$27))</f>
        <v>49139.434310908975</v>
      </c>
      <c r="S315" s="18">
        <f>IF($A315&gt;'1-Input'!$B$26,U314,(U314-Q315)*(1+$B$4))</f>
        <v>53111.486250440626</v>
      </c>
      <c r="T315" s="18">
        <f>IF($A315&gt;'1-Input'!$B$26,R315,R315-'P-Parametri'!$B$8*(S315+R315)+MIN(MAX(S315,0),'P-Parametri'!$B$8*(S315+R315)))</f>
        <v>49139.434310908975</v>
      </c>
      <c r="U315" s="18">
        <f>IF($A315&gt;'1-Input'!$B$26,S315,S315-MIN(MAX(S315,0),'P-Parametri'!$B$8*(S315+R315)))</f>
        <v>52906.984409317927</v>
      </c>
      <c r="V315" s="18">
        <f>IF($A315&gt;'1-Input'!$B$26,V314,V314-Q315*(1-P315))</f>
        <v>26125.001006667862</v>
      </c>
      <c r="W315" s="11">
        <f>IF($A315&gt;'1-Input'!$B$26,0,IF(AB314&lt;=0,0,MAX(0,(AB314-AC314)/AB314)))</f>
        <v>0.4983503332829719</v>
      </c>
      <c r="X315" s="18">
        <f>IF($A315&gt;'1-Input'!$B$26,0,(MAX(0,W286-IF($A315&gt;='1-Input'!$C$12,'1-Input'!$B$12,0))-MIN(MAX(AA314,0),MAX(0,W286-IF($A315&gt;='1-Input'!$C$12,'1-Input'!$B$12,0))))*(1/(1-'P-Parametri'!$B$6*W315))+MIN(MAX(0,AB314-(MAX(0,W286-IF($A315&gt;='1-Input'!$C$12,'1-Input'!$B$12,0))-MIN(MAX(AA314,0),MAX(0,W286-IF($A315&gt;='1-Input'!$C$12,'1-Input'!$B$12,0))))*(1/(1-'P-Parametri'!$B$6*W315))),MAX(0,3*W286-(AA314-MIN(MAX(AA314,0),MAX(0,W286-IF($A315&gt;='1-Input'!$C$12,'1-Input'!$B$12,0)))))*(1/(1-'P-Parametri'!$B$6*W315))))</f>
        <v>6307.4846743642092</v>
      </c>
      <c r="Y315" s="18">
        <f>IF($A315&gt;'1-Input'!$B$26,AA314,(AA314-MAX(0,W286-IF($A315&gt;='1-Input'!$C$12,'1-Input'!$B$12,0))+X315*(1-'P-Parametri'!$B$6*W315))*(1+'1-Input'!$B$27))</f>
        <v>49067.525869838581</v>
      </c>
      <c r="Z315" s="18">
        <f>IF($A315&gt;'1-Input'!$B$26,AB314,(AB314-X315)*(1+$B$4))</f>
        <v>54171.22871423082</v>
      </c>
      <c r="AA315" s="18">
        <f>IF($A315&gt;'1-Input'!$B$26,Y315,Y315-'P-Parametri'!$B$8*(Z315+Y315)+MIN(MAX(Z315,0),'P-Parametri'!$B$8*(Z315+Y315)))</f>
        <v>49067.525869838581</v>
      </c>
      <c r="AB315" s="18">
        <f>IF($A315&gt;'1-Input'!$B$26,Z315,Z315-MIN(MAX(Z315,0),'P-Parametri'!$B$8*(Z315+Y315)))</f>
        <v>53964.751205062683</v>
      </c>
      <c r="AC315" s="18">
        <f>IF($A315&gt;'1-Input'!$B$26,AC314,AC314-X315*(1-W315))</f>
        <v>26642.136107986073</v>
      </c>
      <c r="AD315" s="11">
        <f>IF($A315&gt;'1-Input'!$B$26,0,IF(AI314&lt;=0,0,MAX(0,(AI314-AJ314)/AI314)))</f>
        <v>0.49835933301007029</v>
      </c>
      <c r="AE315" s="18">
        <f>IF($A315&gt;'1-Input'!$B$26,0,(MAX(0,AD286-IF($A315&gt;='1-Input'!$C$12,'1-Input'!$B$12,0))-MIN(MAX(AH314,0),MAX(0,AD286-IF($A315&gt;='1-Input'!$C$12,'1-Input'!$B$12,0))))*(1/(1-'P-Parametri'!$B$6*AD315))+MIN(MAX(0,AI314-(MAX(0,AD286-IF($A315&gt;='1-Input'!$C$12,'1-Input'!$B$12,0))-MIN(MAX(AH314,0),MAX(0,AD286-IF($A315&gt;='1-Input'!$C$12,'1-Input'!$B$12,0))))*(1/(1-'P-Parametri'!$B$6*AD315))),MAX(0,3*AD286-(AH314-MIN(MAX(AH314,0),MAX(0,AD286-IF($A315&gt;='1-Input'!$C$12,'1-Input'!$B$12,0)))))*(1/(1-'P-Parametri'!$B$6*AD315))))</f>
        <v>6304.2364756632187</v>
      </c>
      <c r="AF315" s="18">
        <f>IF($A315&gt;'1-Input'!$B$26,AH314,(AH314-MAX(0,AD286-IF($A315&gt;='1-Input'!$C$12,'1-Input'!$B$12,0))+AE315*(1-'P-Parametri'!$B$6*AD315))*(1+'1-Input'!$B$27))</f>
        <v>49059.121103160993</v>
      </c>
      <c r="AG315" s="18">
        <f>IF($A315&gt;'1-Input'!$B$26,AI314,(AI314-AE315)*(1+$B$4))</f>
        <v>54295.094449935888</v>
      </c>
      <c r="AH315" s="18">
        <f>IF($A315&gt;'1-Input'!$B$26,AF315,AF315-'P-Parametri'!$B$8*(AG315+AF315)+MIN(MAX(AG315,0),'P-Parametri'!$B$8*(AG315+AF315)))</f>
        <v>49059.121103160993</v>
      </c>
      <c r="AI315" s="18">
        <f>IF($A315&gt;'1-Input'!$B$26,AG315,AG315-MIN(MAX(AG315,0),'P-Parametri'!$B$8*(AG315+AF315)))</f>
        <v>54088.386018829697</v>
      </c>
      <c r="AJ315" s="18">
        <f>IF($A315&gt;'1-Input'!$B$26,AJ314,AJ314-AE315*(1-AD315))</f>
        <v>26702.57587661477</v>
      </c>
      <c r="AK315" s="11">
        <f>IF($A315&gt;'1-Input'!$B$26,0,IF(AP314&lt;=0,0,MAX(0,(AP314-AQ314)/AP314)))</f>
        <v>0.49835933294667439</v>
      </c>
      <c r="AL315" s="18">
        <f>IF($A315&gt;'1-Input'!$B$26,0,(MAX(0,AK286-IF($A315&gt;='1-Input'!$C$12,'1-Input'!$B$12,0))-MIN(MAX(AO314,0),MAX(0,AK286-IF($A315&gt;='1-Input'!$C$12,'1-Input'!$B$12,0))))*(1/(1-'P-Parametri'!$B$6*AK315))+MIN(MAX(0,AP314-(MAX(0,AK286-IF($A315&gt;='1-Input'!$C$12,'1-Input'!$B$12,0))-MIN(MAX(AO314,0),MAX(0,AK286-IF($A315&gt;='1-Input'!$C$12,'1-Input'!$B$12,0))))*(1/(1-'P-Parametri'!$B$6*AK315))),MAX(0,3*AK286-(AO314-MIN(MAX(AO314,0),MAX(0,AK286-IF($A315&gt;='1-Input'!$C$12,'1-Input'!$B$12,0)))))*(1/(1-'P-Parametri'!$B$6*AK315))))</f>
        <v>6304.2364985747909</v>
      </c>
      <c r="AM315" s="18">
        <f>IF($A315&gt;'1-Input'!$B$26,AO314,(AO314-MAX(0,AK286-IF($A315&gt;='1-Input'!$C$12,'1-Input'!$B$12,0))+AL315*(1-'P-Parametri'!$B$6*AK315))*(1+'1-Input'!$B$27))</f>
        <v>49059.121162444499</v>
      </c>
      <c r="AN315" s="18">
        <f>IF($A315&gt;'1-Input'!$B$26,AP314,(AP314-AL315)*(1+$B$4))</f>
        <v>54295.093576240935</v>
      </c>
      <c r="AO315" s="18">
        <f>IF($A315&gt;'1-Input'!$B$26,AM315,AM315-'P-Parametri'!$B$8*(AN315+AM315)+MIN(MAX(AN315,0),'P-Parametri'!$B$8*(AN315+AM315)))</f>
        <v>49059.121162444499</v>
      </c>
      <c r="AP315" s="18">
        <f>IF($A315&gt;'1-Input'!$B$26,AN315,AN315-MIN(MAX(AN315,0),'P-Parametri'!$B$8*(AN315+AM315)))</f>
        <v>54088.385146763561</v>
      </c>
      <c r="AQ315" s="18">
        <f>IF($A315&gt;'1-Input'!$B$26,AQ314,AQ314-AL315*(1-AK315))</f>
        <v>26702.575450302189</v>
      </c>
    </row>
    <row r="316" spans="1:43">
      <c r="A316" s="10">
        <f>28</f>
        <v>28</v>
      </c>
      <c r="B316" s="11">
        <f>IF($A316&gt;'1-Input'!$B$26,0,IF(G315&lt;=0,0,MAX(0,(G315-H315)/G315)))</f>
        <v>0.50507519733676942</v>
      </c>
      <c r="C316" s="18">
        <f>IF($A316&gt;'1-Input'!$B$26,0,(MAX(0,B286-IF($A316&gt;='1-Input'!$C$12,'1-Input'!$B$12,0))-MIN(MAX(F315,0),MAX(0,B286-IF($A316&gt;='1-Input'!$C$12,'1-Input'!$B$12,0))))*(1/(1-'P-Parametri'!$B$6*B316))+MIN(MAX(0,G315-(MAX(0,B286-IF($A316&gt;='1-Input'!$C$12,'1-Input'!$B$12,0))-MIN(MAX(F315,0),MAX(0,B286-IF($A316&gt;='1-Input'!$C$12,'1-Input'!$B$12,0))))*(1/(1-'P-Parametri'!$B$6*B316))),MAX(0,3*B286-(F315-MIN(MAX(F315,0),MAX(0,B286-IF($A316&gt;='1-Input'!$C$12,'1-Input'!$B$12,0)))))*(1/(1-'P-Parametri'!$B$6*B316))))</f>
        <v>6629.8380730137005</v>
      </c>
      <c r="D316" s="18">
        <f>IF($A316&gt;'1-Input'!$B$26,F315,(F315-MAX(0,B286-IF($A316&gt;='1-Input'!$C$12,'1-Input'!$B$12,0))+C316*(1-'P-Parametri'!$B$6*B316))*(1+'1-Input'!$B$27))</f>
        <v>49863.010546479447</v>
      </c>
      <c r="E316" s="18">
        <f>IF($A316&gt;'1-Input'!$B$26,G315,(G315-C316)*(1+$B$4))</f>
        <v>36347.454818969061</v>
      </c>
      <c r="F316" s="18">
        <f>IF($A316&gt;'1-Input'!$B$26,D316,D316-'P-Parametri'!$B$8*(E316+D316)+MIN(MAX(E316,0),'P-Parametri'!$B$8*(E316+D316)))</f>
        <v>49863.010546479447</v>
      </c>
      <c r="G316" s="18">
        <f>IF($A316&gt;'1-Input'!$B$26,E316,E316-MIN(MAX(E316,0),'P-Parametri'!$B$8*(E316+D316)))</f>
        <v>36175.033888238162</v>
      </c>
      <c r="H316" s="18">
        <f>IF($A316&gt;'1-Input'!$B$26,H315,H315-C316*(1-B316))</f>
        <v>17636.526376067595</v>
      </c>
      <c r="I316" s="11">
        <f>IF($A316&gt;'1-Input'!$B$26,0,IF(N315&lt;=0,0,MAX(0,(N315-O315)/N315)))</f>
        <v>0</v>
      </c>
      <c r="J316" s="18">
        <f>IF($A316&gt;'1-Input'!$B$26,0,(MAX(0,I286-IF($A316&gt;='1-Input'!$C$12,'1-Input'!$B$12,0))-MIN(MAX(M315,0),MAX(0,I286-IF($A316&gt;='1-Input'!$C$12,'1-Input'!$B$12,0))))*(1/(1-'P-Parametri'!$B$6*I316))+MIN(MAX(0,N315-(MAX(0,I286-IF($A316&gt;='1-Input'!$C$12,'1-Input'!$B$12,0))-MIN(MAX(M315,0),MAX(0,I286-IF($A316&gt;='1-Input'!$C$12,'1-Input'!$B$12,0))))*(1/(1-'P-Parametri'!$B$6*I316))),MAX(0,3*I286-(M315-MIN(MAX(M315,0),MAX(0,I286-IF($A316&gt;='1-Input'!$C$12,'1-Input'!$B$12,0)))))*(1/(1-'P-Parametri'!$B$6*I316))))</f>
        <v>10846.756992928691</v>
      </c>
      <c r="K316" s="18">
        <f>IF($A316&gt;'1-Input'!$B$26,M315,(M315-MAX(0,I286-IF($A316&gt;='1-Input'!$C$12,'1-Input'!$B$12,0))+J316*(1-'P-Parametri'!$B$6*I316))*(1+'1-Input'!$B$27))</f>
        <v>0</v>
      </c>
      <c r="L316" s="18">
        <f>IF($A316&gt;'1-Input'!$B$26,N315,(N315-J316)*(1+$B$4))</f>
        <v>-100781.64145533407</v>
      </c>
      <c r="M316" s="18">
        <f>IF($A316&gt;'1-Input'!$B$26,K316,K316-'P-Parametri'!$B$8*(L316+K316)+MIN(MAX(L316,0),'P-Parametri'!$B$8*(L316+K316)))</f>
        <v>0</v>
      </c>
      <c r="N316" s="18">
        <f>IF($A316&gt;'1-Input'!$B$26,L316,L316-MIN(MAX(L316,0),'P-Parametri'!$B$8*(L316+K316)))</f>
        <v>-100580.07817242341</v>
      </c>
      <c r="O316" s="18">
        <f>IF($A316&gt;'1-Input'!$B$26,O315,O315-J316*(1-I316))</f>
        <v>-92599.367735572276</v>
      </c>
      <c r="P316" s="11">
        <f>IF($A316&gt;'1-Input'!$B$26,0,IF(U315&lt;=0,0,MAX(0,(U315-V315)/U315)))</f>
        <v>0.50620884372183661</v>
      </c>
      <c r="Q316" s="18">
        <f>IF($A316&gt;'1-Input'!$B$26,0,(MAX(0,P286-IF($A316&gt;='1-Input'!$C$12,'1-Input'!$B$12,0))-MIN(MAX(T315,0),MAX(0,P286-IF($A316&gt;='1-Input'!$C$12,'1-Input'!$B$12,0))))*(1/(1-'P-Parametri'!$B$6*P316))+MIN(MAX(0,U315-(MAX(0,P286-IF($A316&gt;='1-Input'!$C$12,'1-Input'!$B$12,0))-MIN(MAX(T315,0),MAX(0,P286-IF($A316&gt;='1-Input'!$C$12,'1-Input'!$B$12,0))))*(1/(1-'P-Parametri'!$B$6*P316))),MAX(0,3*P286-(T315-MIN(MAX(T315,0),MAX(0,P286-IF($A316&gt;='1-Input'!$C$12,'1-Input'!$B$12,0)))))*(1/(1-'P-Parametri'!$B$6*P316))))</f>
        <v>6350.326721158428</v>
      </c>
      <c r="R316" s="18">
        <f>IF($A316&gt;'1-Input'!$B$26,T315,(T315-MAX(0,P286-IF($A316&gt;='1-Input'!$C$12,'1-Input'!$B$12,0))+Q316*(1-'P-Parametri'!$B$6*P316))*(1+'1-Input'!$B$27))</f>
        <v>49139.434310908975</v>
      </c>
      <c r="S316" s="18">
        <f>IF($A316&gt;'1-Input'!$B$26,U315,(U315-Q316)*(1+$B$4))</f>
        <v>47487.790841922688</v>
      </c>
      <c r="T316" s="18">
        <f>IF($A316&gt;'1-Input'!$B$26,R316,R316-'P-Parametri'!$B$8*(S316+R316)+MIN(MAX(S316,0),'P-Parametri'!$B$8*(S316+R316)))</f>
        <v>49139.434310908975</v>
      </c>
      <c r="U316" s="18">
        <f>IF($A316&gt;'1-Input'!$B$26,S316,S316-MIN(MAX(S316,0),'P-Parametri'!$B$8*(S316+R316)))</f>
        <v>47294.536391617024</v>
      </c>
      <c r="V316" s="18">
        <f>IF($A316&gt;'1-Input'!$B$26,V315,V315-Q316*(1-P316))</f>
        <v>22989.265832282923</v>
      </c>
      <c r="W316" s="11">
        <f>IF($A316&gt;'1-Input'!$B$26,0,IF(AB315&lt;=0,0,MAX(0,(AB315-AC315)/AB315)))</f>
        <v>0.50630484690372013</v>
      </c>
      <c r="X316" s="18">
        <f>IF($A316&gt;'1-Input'!$B$26,0,(MAX(0,W286-IF($A316&gt;='1-Input'!$C$12,'1-Input'!$B$12,0))-MIN(MAX(AA315,0),MAX(0,W286-IF($A316&gt;='1-Input'!$C$12,'1-Input'!$B$12,0))))*(1/(1-'P-Parametri'!$B$6*W316))+MIN(MAX(0,AB315-(MAX(0,W286-IF($A316&gt;='1-Input'!$C$12,'1-Input'!$B$12,0))-MIN(MAX(AA315,0),MAX(0,W286-IF($A316&gt;='1-Input'!$C$12,'1-Input'!$B$12,0))))*(1/(1-'P-Parametri'!$B$6*W316))),MAX(0,3*W286-(AA315-MIN(MAX(AA315,0),MAX(0,W286-IF($A316&gt;='1-Input'!$C$12,'1-Input'!$B$12,0)))))*(1/(1-'P-Parametri'!$B$6*W316))))</f>
        <v>6322.5072016599515</v>
      </c>
      <c r="Y316" s="18">
        <f>IF($A316&gt;'1-Input'!$B$26,AA315,(AA315-MAX(0,W286-IF($A316&gt;='1-Input'!$C$12,'1-Input'!$B$12,0))+X316*(1-'P-Parametri'!$B$6*W316))*(1+'1-Input'!$B$27))</f>
        <v>49067.525869838581</v>
      </c>
      <c r="Z316" s="18">
        <f>IF($A316&gt;'1-Input'!$B$26,AB315,(AB315-X316)*(1+$B$4))</f>
        <v>48595.088883470788</v>
      </c>
      <c r="AA316" s="18">
        <f>IF($A316&gt;'1-Input'!$B$26,Y316,Y316-'P-Parametri'!$B$8*(Z316+Y316)+MIN(MAX(Z316,0),'P-Parametri'!$B$8*(Z316+Y316)))</f>
        <v>49067.525869838581</v>
      </c>
      <c r="AB316" s="18">
        <f>IF($A316&gt;'1-Input'!$B$26,Z316,Z316-MIN(MAX(Z316,0),'P-Parametri'!$B$8*(Z316+Y316)))</f>
        <v>48399.763653964168</v>
      </c>
      <c r="AC316" s="18">
        <f>IF($A316&gt;'1-Input'!$B$26,AC315,AC315-X316*(1-W316))</f>
        <v>23520.74494711023</v>
      </c>
      <c r="AD316" s="11">
        <f>IF($A316&gt;'1-Input'!$B$26,0,IF(AI315&lt;=0,0,MAX(0,(AI315-AJ315)/AI315)))</f>
        <v>0.50631590546408889</v>
      </c>
      <c r="AE316" s="18">
        <f>IF($A316&gt;'1-Input'!$B$26,0,(MAX(0,AD286-IF($A316&gt;='1-Input'!$C$12,'1-Input'!$B$12,0))-MIN(MAX(AH315,0),MAX(0,AD286-IF($A316&gt;='1-Input'!$C$12,'1-Input'!$B$12,0))))*(1/(1-'P-Parametri'!$B$6*AD316))+MIN(MAX(0,AI315-(MAX(0,AD286-IF($A316&gt;='1-Input'!$C$12,'1-Input'!$B$12,0))-MIN(MAX(AH315,0),MAX(0,AD286-IF($A316&gt;='1-Input'!$C$12,'1-Input'!$B$12,0))))*(1/(1-'P-Parametri'!$B$6*AD316))),MAX(0,3*AD286-(AH315-MIN(MAX(AH315,0),MAX(0,AD286-IF($A316&gt;='1-Input'!$C$12,'1-Input'!$B$12,0)))))*(1/(1-'P-Parametri'!$B$6*AD316))))</f>
        <v>6319.255202672327</v>
      </c>
      <c r="AF316" s="18">
        <f>IF($A316&gt;'1-Input'!$B$26,AH315,(AH315-MAX(0,AD286-IF($A316&gt;='1-Input'!$C$12,'1-Input'!$B$12,0))+AE316*(1-'P-Parametri'!$B$6*AD316))*(1+'1-Input'!$B$27))</f>
        <v>49059.121103160993</v>
      </c>
      <c r="AG316" s="18">
        <f>IF($A316&gt;'1-Input'!$B$26,AI315,(AI315-AE316)*(1+$B$4))</f>
        <v>48724.513432480519</v>
      </c>
      <c r="AH316" s="18">
        <f>IF($A316&gt;'1-Input'!$B$26,AF316,AF316-'P-Parametri'!$B$8*(AG316+AF316)+MIN(MAX(AG316,0),'P-Parametri'!$B$8*(AG316+AF316)))</f>
        <v>49059.121103160993</v>
      </c>
      <c r="AI316" s="18">
        <f>IF($A316&gt;'1-Input'!$B$26,AG316,AG316-MIN(MAX(AG316,0),'P-Parametri'!$B$8*(AG316+AF316)))</f>
        <v>48528.946163409237</v>
      </c>
      <c r="AJ316" s="18">
        <f>IF($A316&gt;'1-Input'!$B$26,AJ315,AJ315-AE316*(1-AD316))</f>
        <v>23582.860093742136</v>
      </c>
      <c r="AK316" s="11">
        <f>IF($A316&gt;'1-Input'!$B$26,0,IF(AP315&lt;=0,0,MAX(0,(AP315-AQ315)/AP315)))</f>
        <v>0.5063159053862053</v>
      </c>
      <c r="AL316" s="18">
        <f>IF($A316&gt;'1-Input'!$B$26,0,(MAX(0,AK286-IF($A316&gt;='1-Input'!$C$12,'1-Input'!$B$12,0))-MIN(MAX(AO315,0),MAX(0,AK286-IF($A316&gt;='1-Input'!$C$12,'1-Input'!$B$12,0))))*(1/(1-'P-Parametri'!$B$6*AK316))+MIN(MAX(0,AP315-(MAX(0,AK286-IF($A316&gt;='1-Input'!$C$12,'1-Input'!$B$12,0))-MIN(MAX(AO315,0),MAX(0,AK286-IF($A316&gt;='1-Input'!$C$12,'1-Input'!$B$12,0))))*(1/(1-'P-Parametri'!$B$6*AK316))),MAX(0,3*AK286-(AO315-MIN(MAX(AO315,0),MAX(0,AK286-IF($A316&gt;='1-Input'!$C$12,'1-Input'!$B$12,0)))))*(1/(1-'P-Parametri'!$B$6*AK316))))</f>
        <v>6319.2552256107847</v>
      </c>
      <c r="AM316" s="18">
        <f>IF($A316&gt;'1-Input'!$B$26,AO315,(AO315-MAX(0,AK286-IF($A316&gt;='1-Input'!$C$12,'1-Input'!$B$12,0))+AL316*(1-'P-Parametri'!$B$6*AK316))*(1+'1-Input'!$B$27))</f>
        <v>49059.121162444499</v>
      </c>
      <c r="AN316" s="18">
        <f>IF($A316&gt;'1-Input'!$B$26,AP315,(AP315-AL316)*(1+$B$4))</f>
        <v>48724.512519575837</v>
      </c>
      <c r="AO316" s="18">
        <f>IF($A316&gt;'1-Input'!$B$26,AM316,AM316-'P-Parametri'!$B$8*(AN316+AM316)+MIN(MAX(AN316,0),'P-Parametri'!$B$8*(AN316+AM316)))</f>
        <v>49059.121162444499</v>
      </c>
      <c r="AP316" s="18">
        <f>IF($A316&gt;'1-Input'!$B$26,AN316,AN316-MIN(MAX(AN316,0),'P-Parametri'!$B$8*(AN316+AM316)))</f>
        <v>48528.945252211794</v>
      </c>
      <c r="AQ316" s="18">
        <f>IF($A316&gt;'1-Input'!$B$26,AQ315,AQ315-AL316*(1-AK316))</f>
        <v>23582.859655613036</v>
      </c>
    </row>
    <row r="317" spans="1:43">
      <c r="A317" s="10">
        <f>29</f>
        <v>29</v>
      </c>
      <c r="B317" s="11">
        <f>IF($A317&gt;'1-Input'!$B$26,0,IF(G316&lt;=0,0,MAX(0,(G316-H316)/G316)))</f>
        <v>0.51246690105238901</v>
      </c>
      <c r="C317" s="18">
        <f>IF($A317&gt;'1-Input'!$B$26,0,(MAX(0,B286-IF($A317&gt;='1-Input'!$C$12,'1-Input'!$B$12,0))-MIN(MAX(F316,0),MAX(0,B286-IF($A317&gt;='1-Input'!$C$12,'1-Input'!$B$12,0))))*(1/(1-'P-Parametri'!$B$6*B317))+MIN(MAX(0,G316-(MAX(0,B286-IF($A317&gt;='1-Input'!$C$12,'1-Input'!$B$12,0))-MIN(MAX(F316,0),MAX(0,B286-IF($A317&gt;='1-Input'!$C$12,'1-Input'!$B$12,0))))*(1/(1-'P-Parametri'!$B$6*B317))),MAX(0,3*B286-(F316-MIN(MAX(F316,0),MAX(0,B286-IF($A317&gt;='1-Input'!$C$12,'1-Input'!$B$12,0)))))*(1/(1-'P-Parametri'!$B$6*B317))))</f>
        <v>6644.538253182166</v>
      </c>
      <c r="D317" s="18">
        <f>IF($A317&gt;'1-Input'!$B$26,F316,(F316-MAX(0,B286-IF($A317&gt;='1-Input'!$C$12,'1-Input'!$B$12,0))+C317*(1-'P-Parametri'!$B$6*B317))*(1+'1-Input'!$B$27))</f>
        <v>49863.010546479447</v>
      </c>
      <c r="E317" s="18">
        <f>IF($A317&gt;'1-Input'!$B$26,G316,(G316-C317)*(1+$B$4))</f>
        <v>30121.105547757117</v>
      </c>
      <c r="F317" s="18">
        <f>IF($A317&gt;'1-Input'!$B$26,D317,D317-'P-Parametri'!$B$8*(E317+D317)+MIN(MAX(E317,0),'P-Parametri'!$B$8*(E317+D317)))</f>
        <v>49863.010546479447</v>
      </c>
      <c r="G317" s="18">
        <f>IF($A317&gt;'1-Input'!$B$26,E317,E317-MIN(MAX(E317,0),'P-Parametri'!$B$8*(E317+D317)))</f>
        <v>29961.137315568645</v>
      </c>
      <c r="H317" s="18">
        <f>IF($A317&gt;'1-Input'!$B$26,H316,H316-C317*(1-B317))</f>
        <v>14397.094050417749</v>
      </c>
      <c r="I317" s="11">
        <f>IF($A317&gt;'1-Input'!$B$26,0,IF(N316&lt;=0,0,MAX(0,(N316-O316)/N316)))</f>
        <v>0</v>
      </c>
      <c r="J317" s="18">
        <f>IF($A317&gt;'1-Input'!$B$26,0,(MAX(0,I286-IF($A317&gt;='1-Input'!$C$12,'1-Input'!$B$12,0))-MIN(MAX(M316,0),MAX(0,I286-IF($A317&gt;='1-Input'!$C$12,'1-Input'!$B$12,0))))*(1/(1-'P-Parametri'!$B$6*I317))+MIN(MAX(0,N316-(MAX(0,I286-IF($A317&gt;='1-Input'!$C$12,'1-Input'!$B$12,0))-MIN(MAX(M316,0),MAX(0,I286-IF($A317&gt;='1-Input'!$C$12,'1-Input'!$B$12,0))))*(1/(1-'P-Parametri'!$B$6*I317))),MAX(0,3*I286-(M316-MIN(MAX(M316,0),MAX(0,I286-IF($A317&gt;='1-Input'!$C$12,'1-Input'!$B$12,0)))))*(1/(1-'P-Parametri'!$B$6*I317))))</f>
        <v>10846.756992928691</v>
      </c>
      <c r="K317" s="18">
        <f>IF($A317&gt;'1-Input'!$B$26,M316,(M316-MAX(0,I286-IF($A317&gt;='1-Input'!$C$12,'1-Input'!$B$12,0))+J317*(1-'P-Parametri'!$B$6*I317))*(1+'1-Input'!$B$27))</f>
        <v>0</v>
      </c>
      <c r="L317" s="18">
        <f>IF($A317&gt;'1-Input'!$B$26,N316,(N316-J317)*(1+$B$4))</f>
        <v>-113655.37186865915</v>
      </c>
      <c r="M317" s="18">
        <f>IF($A317&gt;'1-Input'!$B$26,K317,K317-'P-Parametri'!$B$8*(L317+K317)+MIN(MAX(L317,0),'P-Parametri'!$B$8*(L317+K317)))</f>
        <v>0</v>
      </c>
      <c r="N317" s="18">
        <f>IF($A317&gt;'1-Input'!$B$26,L317,L317-MIN(MAX(L317,0),'P-Parametri'!$B$8*(L317+K317)))</f>
        <v>-113428.06112492182</v>
      </c>
      <c r="O317" s="18">
        <f>IF($A317&gt;'1-Input'!$B$26,O316,O316-J317*(1-I317))</f>
        <v>-103446.12472850096</v>
      </c>
      <c r="P317" s="11">
        <f>IF($A317&gt;'1-Input'!$B$26,0,IF(U316&lt;=0,0,MAX(0,(U316-V316)/U316)))</f>
        <v>0.51391286211322751</v>
      </c>
      <c r="Q317" s="18">
        <f>IF($A317&gt;'1-Input'!$B$26,0,(MAX(0,P286-IF($A317&gt;='1-Input'!$C$12,'1-Input'!$B$12,0))-MIN(MAX(T316,0),MAX(0,P286-IF($A317&gt;='1-Input'!$C$12,'1-Input'!$B$12,0))))*(1/(1-'P-Parametri'!$B$6*P317))+MIN(MAX(0,U316-(MAX(0,P286-IF($A317&gt;='1-Input'!$C$12,'1-Input'!$B$12,0))-MIN(MAX(T316,0),MAX(0,P286-IF($A317&gt;='1-Input'!$C$12,'1-Input'!$B$12,0))))*(1/(1-'P-Parametri'!$B$6*P317))),MAX(0,3*P286-(T316-MIN(MAX(T316,0),MAX(0,P286-IF($A317&gt;='1-Input'!$C$12,'1-Input'!$B$12,0)))))*(1/(1-'P-Parametri'!$B$6*P317))))</f>
        <v>6365.008442584176</v>
      </c>
      <c r="R317" s="18">
        <f>IF($A317&gt;'1-Input'!$B$26,T316,(T316-MAX(0,P286-IF($A317&gt;='1-Input'!$C$12,'1-Input'!$B$12,0))+Q317*(1-'P-Parametri'!$B$6*P317))*(1+'1-Input'!$B$27))</f>
        <v>49139.434310908975</v>
      </c>
      <c r="S317" s="18">
        <f>IF($A317&gt;'1-Input'!$B$26,U316,(U316-Q317)*(1+$B$4))</f>
        <v>41748.118508013504</v>
      </c>
      <c r="T317" s="18">
        <f>IF($A317&gt;'1-Input'!$B$26,R317,R317-'P-Parametri'!$B$8*(S317+R317)+MIN(MAX(S317,0),'P-Parametri'!$B$8*(S317+R317)))</f>
        <v>49139.434310908975</v>
      </c>
      <c r="U317" s="18">
        <f>IF($A317&gt;'1-Input'!$B$26,S317,S317-MIN(MAX(S317,0),'P-Parametri'!$B$8*(S317+R317)))</f>
        <v>41566.343402375656</v>
      </c>
      <c r="V317" s="18">
        <f>IF($A317&gt;'1-Input'!$B$26,V316,V316-Q317*(1-P317))</f>
        <v>19895.317095802038</v>
      </c>
      <c r="W317" s="11">
        <f>IF($A317&gt;'1-Input'!$B$26,0,IF(AB316&lt;=0,0,MAX(0,(AB316-AC316)/AB316)))</f>
        <v>0.51403182223631028</v>
      </c>
      <c r="X317" s="18">
        <f>IF($A317&gt;'1-Input'!$B$26,0,(MAX(0,W286-IF($A317&gt;='1-Input'!$C$12,'1-Input'!$B$12,0))-MIN(MAX(AA316,0),MAX(0,W286-IF($A317&gt;='1-Input'!$C$12,'1-Input'!$B$12,0))))*(1/(1-'P-Parametri'!$B$6*W317))+MIN(MAX(0,AB316-(MAX(0,W286-IF($A317&gt;='1-Input'!$C$12,'1-Input'!$B$12,0))-MIN(MAX(AA316,0),MAX(0,W286-IF($A317&gt;='1-Input'!$C$12,'1-Input'!$B$12,0))))*(1/(1-'P-Parametri'!$B$6*W317))),MAX(0,3*W286-(AA316-MIN(MAX(AA316,0),MAX(0,W286-IF($A317&gt;='1-Input'!$C$12,'1-Input'!$B$12,0)))))*(1/(1-'P-Parametri'!$B$6*W317))))</f>
        <v>6337.1686866946184</v>
      </c>
      <c r="Y317" s="18">
        <f>IF($A317&gt;'1-Input'!$B$26,AA316,(AA316-MAX(0,W286-IF($A317&gt;='1-Input'!$C$12,'1-Input'!$B$12,0))+X317*(1-'P-Parametri'!$B$6*W317))*(1+'1-Input'!$B$27))</f>
        <v>49067.525869838581</v>
      </c>
      <c r="Z317" s="18">
        <f>IF($A317&gt;'1-Input'!$B$26,AB316,(AB316-X317)*(1+$B$4))</f>
        <v>42903.846866614942</v>
      </c>
      <c r="AA317" s="18">
        <f>IF($A317&gt;'1-Input'!$B$26,Y317,Y317-'P-Parametri'!$B$8*(Z317+Y317)+MIN(MAX(Z317,0),'P-Parametri'!$B$8*(Z317+Y317)))</f>
        <v>49067.525869838581</v>
      </c>
      <c r="AB317" s="18">
        <f>IF($A317&gt;'1-Input'!$B$26,Z317,Z317-MIN(MAX(Z317,0),'P-Parametri'!$B$8*(Z317+Y317)))</f>
        <v>42719.904121142034</v>
      </c>
      <c r="AC317" s="18">
        <f>IF($A317&gt;'1-Input'!$B$26,AC316,AC316-X317*(1-W317))</f>
        <v>20441.082628256132</v>
      </c>
      <c r="AD317" s="11">
        <f>IF($A317&gt;'1-Input'!$B$26,0,IF(AI316&lt;=0,0,MAX(0,(AI316-AJ316)/AI316)))</f>
        <v>0.51404549329522464</v>
      </c>
      <c r="AE317" s="18">
        <f>IF($A317&gt;'1-Input'!$B$26,0,(MAX(0,AD286-IF($A317&gt;='1-Input'!$C$12,'1-Input'!$B$12,0))-MIN(MAX(AH316,0),MAX(0,AD286-IF($A317&gt;='1-Input'!$C$12,'1-Input'!$B$12,0))))*(1/(1-'P-Parametri'!$B$6*AD317))+MIN(MAX(0,AI316-(MAX(0,AD286-IF($A317&gt;='1-Input'!$C$12,'1-Input'!$B$12,0))-MIN(MAX(AH316,0),MAX(0,AD286-IF($A317&gt;='1-Input'!$C$12,'1-Input'!$B$12,0))))*(1/(1-'P-Parametri'!$B$6*AD317))),MAX(0,3*AD286-(AH316-MIN(MAX(AH316,0),MAX(0,AD286-IF($A317&gt;='1-Input'!$C$12,'1-Input'!$B$12,0)))))*(1/(1-'P-Parametri'!$B$6*AD317))))</f>
        <v>6333.9141611886407</v>
      </c>
      <c r="AF317" s="18">
        <f>IF($A317&gt;'1-Input'!$B$26,AH316,(AH316-MAX(0,AD286-IF($A317&gt;='1-Input'!$C$12,'1-Input'!$B$12,0))+AE317*(1-'P-Parametri'!$B$6*AD317))*(1+'1-Input'!$B$27))</f>
        <v>49059.121103160993</v>
      </c>
      <c r="AG317" s="18">
        <f>IF($A317&gt;'1-Input'!$B$26,AI316,(AI316-AE317)*(1+$B$4))</f>
        <v>43038.932642265012</v>
      </c>
      <c r="AH317" s="18">
        <f>IF($A317&gt;'1-Input'!$B$26,AF317,AF317-'P-Parametri'!$B$8*(AG317+AF317)+MIN(MAX(AG317,0),'P-Parametri'!$B$8*(AG317+AF317)))</f>
        <v>49059.121103160993</v>
      </c>
      <c r="AI317" s="18">
        <f>IF($A317&gt;'1-Input'!$B$26,AG317,AG317-MIN(MAX(AG317,0),'P-Parametri'!$B$8*(AG317+AF317)))</f>
        <v>42854.736534774158</v>
      </c>
      <c r="AJ317" s="18">
        <f>IF($A317&gt;'1-Input'!$B$26,AJ316,AJ316-AE317*(1-AD317))</f>
        <v>20504.865962031319</v>
      </c>
      <c r="AK317" s="11">
        <f>IF($A317&gt;'1-Input'!$B$26,0,IF(AP316&lt;=0,0,MAX(0,(AP316-AQ316)/AP316)))</f>
        <v>0.51404549319896453</v>
      </c>
      <c r="AL317" s="18">
        <f>IF($A317&gt;'1-Input'!$B$26,0,(MAX(0,AK286-IF($A317&gt;='1-Input'!$C$12,'1-Input'!$B$12,0))-MIN(MAX(AO316,0),MAX(0,AK286-IF($A317&gt;='1-Input'!$C$12,'1-Input'!$B$12,0))))*(1/(1-'P-Parametri'!$B$6*AK317))+MIN(MAX(0,AP316-(MAX(0,AK286-IF($A317&gt;='1-Input'!$C$12,'1-Input'!$B$12,0))-MIN(MAX(AO316,0),MAX(0,AK286-IF($A317&gt;='1-Input'!$C$12,'1-Input'!$B$12,0))))*(1/(1-'P-Parametri'!$B$6*AK317))),MAX(0,3*AK286-(AO316-MIN(MAX(AO316,0),MAX(0,AK286-IF($A317&gt;='1-Input'!$C$12,'1-Input'!$B$12,0)))))*(1/(1-'P-Parametri'!$B$6*AK317))))</f>
        <v>6333.9141841450364</v>
      </c>
      <c r="AM317" s="18">
        <f>IF($A317&gt;'1-Input'!$B$26,AO316,(AO316-MAX(0,AK286-IF($A317&gt;='1-Input'!$C$12,'1-Input'!$B$12,0))+AL317*(1-'P-Parametri'!$B$6*AK317))*(1+'1-Input'!$B$27))</f>
        <v>49059.121162444499</v>
      </c>
      <c r="AN317" s="18">
        <f>IF($A317&gt;'1-Input'!$B$26,AP316,(AP316-AL317)*(1+$B$4))</f>
        <v>43038.9316894281</v>
      </c>
      <c r="AO317" s="18">
        <f>IF($A317&gt;'1-Input'!$B$26,AM317,AM317-'P-Parametri'!$B$8*(AN317+AM317)+MIN(MAX(AN317,0),'P-Parametri'!$B$8*(AN317+AM317)))</f>
        <v>49059.121162444499</v>
      </c>
      <c r="AP317" s="18">
        <f>IF($A317&gt;'1-Input'!$B$26,AN317,AN317-MIN(MAX(AN317,0),'P-Parametri'!$B$8*(AN317+AM317)))</f>
        <v>42854.735583724352</v>
      </c>
      <c r="AQ317" s="18">
        <f>IF($A317&gt;'1-Input'!$B$26,AQ316,AQ316-AL317*(1-AK317))</f>
        <v>20504.865512136752</v>
      </c>
    </row>
    <row r="318" spans="1:43">
      <c r="A318" s="10">
        <f>30</f>
        <v>30</v>
      </c>
      <c r="B318" s="11">
        <f>IF($A318&gt;'1-Input'!$B$26,0,IF(G317&lt;=0,0,MAX(0,(G317-H317)/G317)))</f>
        <v>0.5194743811365059</v>
      </c>
      <c r="C318" s="18">
        <f>IF($A318&gt;'1-Input'!$B$26,0,(MAX(0,B286-IF($A318&gt;='1-Input'!$C$12,'1-Input'!$B$12,0))-MIN(MAX(F317,0),MAX(0,B286-IF($A318&gt;='1-Input'!$C$12,'1-Input'!$B$12,0))))*(1/(1-'P-Parametri'!$B$6*B318))+MIN(MAX(0,G317-(MAX(0,B286-IF($A318&gt;='1-Input'!$C$12,'1-Input'!$B$12,0))-MIN(MAX(F317,0),MAX(0,B286-IF($A318&gt;='1-Input'!$C$12,'1-Input'!$B$12,0))))*(1/(1-'P-Parametri'!$B$6*B318))),MAX(0,3*B286-(F317-MIN(MAX(F317,0),MAX(0,B286-IF($A318&gt;='1-Input'!$C$12,'1-Input'!$B$12,0)))))*(1/(1-'P-Parametri'!$B$6*B318))))</f>
        <v>6658.5346330459188</v>
      </c>
      <c r="D318" s="18">
        <f>IF($A318&gt;'1-Input'!$B$26,F317,(F317-MAX(0,B286-IF($A318&gt;='1-Input'!$C$12,'1-Input'!$B$12,0))+C318*(1-'P-Parametri'!$B$6*B318))*(1+'1-Input'!$B$27))</f>
        <v>49863.010546479447</v>
      </c>
      <c r="E318" s="18">
        <f>IF($A318&gt;'1-Input'!$B$26,G317,(G317-C318)*(1+$B$4))</f>
        <v>23768.654736173183</v>
      </c>
      <c r="F318" s="18">
        <f>IF($A318&gt;'1-Input'!$B$26,D318,D318-'P-Parametri'!$B$8*(E318+D318)+MIN(MAX(E318,0),'P-Parametri'!$B$8*(E318+D318)))</f>
        <v>49863.010546479447</v>
      </c>
      <c r="G318" s="18">
        <f>IF($A318&gt;'1-Input'!$B$26,E318,E318-MIN(MAX(E318,0),'P-Parametri'!$B$8*(E318+D318)))</f>
        <v>23621.391405607879</v>
      </c>
      <c r="H318" s="18">
        <f>IF($A318&gt;'1-Input'!$B$26,H317,H317-C318*(1-B318))</f>
        <v>11197.497575149351</v>
      </c>
      <c r="I318" s="11">
        <f>IF($A318&gt;'1-Input'!$B$26,0,IF(N317&lt;=0,0,MAX(0,(N317-O317)/N317)))</f>
        <v>0</v>
      </c>
      <c r="J318" s="18">
        <f>IF($A318&gt;'1-Input'!$B$26,0,(MAX(0,I286-IF($A318&gt;='1-Input'!$C$12,'1-Input'!$B$12,0))-MIN(MAX(M317,0),MAX(0,I286-IF($A318&gt;='1-Input'!$C$12,'1-Input'!$B$12,0))))*(1/(1-'P-Parametri'!$B$6*I318))+MIN(MAX(0,N317-(MAX(0,I286-IF($A318&gt;='1-Input'!$C$12,'1-Input'!$B$12,0))-MIN(MAX(M317,0),MAX(0,I286-IF($A318&gt;='1-Input'!$C$12,'1-Input'!$B$12,0))))*(1/(1-'P-Parametri'!$B$6*I318))),MAX(0,3*I286-(M317-MIN(MAX(M317,0),MAX(0,I286-IF($A318&gt;='1-Input'!$C$12,'1-Input'!$B$12,0)))))*(1/(1-'P-Parametri'!$B$6*I318))))</f>
        <v>10846.756992928691</v>
      </c>
      <c r="K318" s="18">
        <f>IF($A318&gt;'1-Input'!$B$26,M317,(M317-MAX(0,I286-IF($A318&gt;='1-Input'!$C$12,'1-Input'!$B$12,0))+J318*(1-'P-Parametri'!$B$6*I318))*(1+'1-Input'!$B$27))</f>
        <v>0</v>
      </c>
      <c r="L318" s="18">
        <f>IF($A318&gt;'1-Input'!$B$26,N317,(N317-J318)*(1+$B$4))</f>
        <v>-126760.31448020753</v>
      </c>
      <c r="M318" s="18">
        <f>IF($A318&gt;'1-Input'!$B$26,K318,K318-'P-Parametri'!$B$8*(L318+K318)+MIN(MAX(L318,0),'P-Parametri'!$B$8*(L318+K318)))</f>
        <v>0</v>
      </c>
      <c r="N318" s="18">
        <f>IF($A318&gt;'1-Input'!$B$26,L318,L318-MIN(MAX(L318,0),'P-Parametri'!$B$8*(L318+K318)))</f>
        <v>-126506.79385124712</v>
      </c>
      <c r="O318" s="18">
        <f>IF($A318&gt;'1-Input'!$B$26,O317,O317-J318*(1-I318))</f>
        <v>-114292.88172142964</v>
      </c>
      <c r="P318" s="11">
        <f>IF($A318&gt;'1-Input'!$B$26,0,IF(U317&lt;=0,0,MAX(0,(U317-V317)/U317)))</f>
        <v>0.52135994010324815</v>
      </c>
      <c r="Q318" s="18">
        <f>IF($A318&gt;'1-Input'!$B$26,0,(MAX(0,P286-IF($A318&gt;='1-Input'!$C$12,'1-Input'!$B$12,0))-MIN(MAX(T317,0),MAX(0,P286-IF($A318&gt;='1-Input'!$C$12,'1-Input'!$B$12,0))))*(1/(1-'P-Parametri'!$B$6*P318))+MIN(MAX(0,U317-(MAX(0,P286-IF($A318&gt;='1-Input'!$C$12,'1-Input'!$B$12,0))-MIN(MAX(T317,0),MAX(0,P286-IF($A318&gt;='1-Input'!$C$12,'1-Input'!$B$12,0))))*(1/(1-'P-Parametri'!$B$6*P318))),MAX(0,3*P286-(T317-MIN(MAX(T317,0),MAX(0,P286-IF($A318&gt;='1-Input'!$C$12,'1-Input'!$B$12,0)))))*(1/(1-'P-Parametri'!$B$6*P318))))</f>
        <v>6379.2651801800912</v>
      </c>
      <c r="R318" s="18">
        <f>IF($A318&gt;'1-Input'!$B$26,T317,(T317-MAX(0,P286-IF($A318&gt;='1-Input'!$C$12,'1-Input'!$B$12,0))+Q318*(1-'P-Parametri'!$B$6*P318))*(1+'1-Input'!$B$27))</f>
        <v>49139.434310908975</v>
      </c>
      <c r="S318" s="18">
        <f>IF($A318&gt;'1-Input'!$B$26,U317,(U317-Q318)*(1+$B$4))</f>
        <v>35890.819786639477</v>
      </c>
      <c r="T318" s="18">
        <f>IF($A318&gt;'1-Input'!$B$26,R318,R318-'P-Parametri'!$B$8*(S318+R318)+MIN(MAX(S318,0),'P-Parametri'!$B$8*(S318+R318)))</f>
        <v>49139.434310908975</v>
      </c>
      <c r="U318" s="18">
        <f>IF($A318&gt;'1-Input'!$B$26,S318,S318-MIN(MAX(S318,0),'P-Parametri'!$B$8*(S318+R318)))</f>
        <v>35720.759278444377</v>
      </c>
      <c r="V318" s="18">
        <f>IF($A318&gt;'1-Input'!$B$26,V317,V317-Q318*(1-P318))</f>
        <v>16841.945227863376</v>
      </c>
      <c r="W318" s="11">
        <f>IF($A318&gt;'1-Input'!$B$26,0,IF(AB317&lt;=0,0,MAX(0,(AB317-AC317)/AB317)))</f>
        <v>0.52150916419918036</v>
      </c>
      <c r="X318" s="18">
        <f>IF($A318&gt;'1-Input'!$B$26,0,(MAX(0,W286-IF($A318&gt;='1-Input'!$C$12,'1-Input'!$B$12,0))-MIN(MAX(AA317,0),MAX(0,W286-IF($A318&gt;='1-Input'!$C$12,'1-Input'!$B$12,0))))*(1/(1-'P-Parametri'!$B$6*W318))+MIN(MAX(0,AB317-(MAX(0,W286-IF($A318&gt;='1-Input'!$C$12,'1-Input'!$B$12,0))-MIN(MAX(AA317,0),MAX(0,W286-IF($A318&gt;='1-Input'!$C$12,'1-Input'!$B$12,0))))*(1/(1-'P-Parametri'!$B$6*W318))),MAX(0,3*W286-(AA317-MIN(MAX(AA317,0),MAX(0,W286-IF($A318&gt;='1-Input'!$C$12,'1-Input'!$B$12,0)))))*(1/(1-'P-Parametri'!$B$6*W318))))</f>
        <v>6351.421390932157</v>
      </c>
      <c r="Y318" s="18">
        <f>IF($A318&gt;'1-Input'!$B$26,AA317,(AA317-MAX(0,W286-IF($A318&gt;='1-Input'!$C$12,'1-Input'!$B$12,0))+X318*(1-'P-Parametri'!$B$6*W318))*(1+'1-Input'!$B$27))</f>
        <v>49067.525869838581</v>
      </c>
      <c r="Z318" s="18">
        <f>IF($A318&gt;'1-Input'!$B$26,AB317,(AB317-X318)*(1+$B$4))</f>
        <v>37095.852384814076</v>
      </c>
      <c r="AA318" s="18">
        <f>IF($A318&gt;'1-Input'!$B$26,Y318,Y318-'P-Parametri'!$B$8*(Z318+Y318)+MIN(MAX(Z318,0),'P-Parametri'!$B$8*(Z318+Y318)))</f>
        <v>49067.525869838581</v>
      </c>
      <c r="AB318" s="18">
        <f>IF($A318&gt;'1-Input'!$B$26,Z318,Z318-MIN(MAX(Z318,0),'P-Parametri'!$B$8*(Z318+Y318)))</f>
        <v>36923.525628304771</v>
      </c>
      <c r="AC318" s="18">
        <f>IF($A318&gt;'1-Input'!$B$26,AC317,AC317-X318*(1-W318))</f>
        <v>17401.985698385801</v>
      </c>
      <c r="AD318" s="11">
        <f>IF($A318&gt;'1-Input'!$B$26,0,IF(AI317&lt;=0,0,MAX(0,(AI317-AJ317)/AI317)))</f>
        <v>0.52152626243792688</v>
      </c>
      <c r="AE318" s="18">
        <f>IF($A318&gt;'1-Input'!$B$26,0,(MAX(0,AD286-IF($A318&gt;='1-Input'!$C$12,'1-Input'!$B$12,0))-MIN(MAX(AH317,0),MAX(0,AD286-IF($A318&gt;='1-Input'!$C$12,'1-Input'!$B$12,0))))*(1/(1-'P-Parametri'!$B$6*AD318))+MIN(MAX(0,AI317-(MAX(0,AD286-IF($A318&gt;='1-Input'!$C$12,'1-Input'!$B$12,0))-MIN(MAX(AH317,0),MAX(0,AD286-IF($A318&gt;='1-Input'!$C$12,'1-Input'!$B$12,0))))*(1/(1-'P-Parametri'!$B$6*AD318))),MAX(0,3*AD286-(AH317-MIN(MAX(AH317,0),MAX(0,AD286-IF($A318&gt;='1-Input'!$C$12,'1-Input'!$B$12,0)))))*(1/(1-'P-Parametri'!$B$6*AD318))))</f>
        <v>6348.1661483410126</v>
      </c>
      <c r="AF318" s="18">
        <f>IF($A318&gt;'1-Input'!$B$26,AH317,(AH317-MAX(0,AD286-IF($A318&gt;='1-Input'!$C$12,'1-Input'!$B$12,0))+AE318*(1-'P-Parametri'!$B$6*AD318))*(1+'1-Input'!$B$27))</f>
        <v>49059.121103160993</v>
      </c>
      <c r="AG318" s="18">
        <f>IF($A318&gt;'1-Input'!$B$26,AI317,(AI317-AE318)*(1+$B$4))</f>
        <v>37236.701794161811</v>
      </c>
      <c r="AH318" s="18">
        <f>IF($A318&gt;'1-Input'!$B$26,AF318,AF318-'P-Parametri'!$B$8*(AG318+AF318)+MIN(MAX(AG318,0),'P-Parametri'!$B$8*(AG318+AF318)))</f>
        <v>49059.121103160993</v>
      </c>
      <c r="AI318" s="18">
        <f>IF($A318&gt;'1-Input'!$B$26,AG318,AG318-MIN(MAX(AG318,0),'P-Parametri'!$B$8*(AG318+AF318)))</f>
        <v>37064.110148367166</v>
      </c>
      <c r="AJ318" s="18">
        <f>IF($A318&gt;'1-Input'!$B$26,AJ317,AJ317-AE318*(1-AD318))</f>
        <v>17467.435178369564</v>
      </c>
      <c r="AK318" s="11">
        <f>IF($A318&gt;'1-Input'!$B$26,0,IF(AP317&lt;=0,0,MAX(0,(AP317-AQ317)/AP317)))</f>
        <v>0.52152626231757171</v>
      </c>
      <c r="AL318" s="18">
        <f>IF($A318&gt;'1-Input'!$B$26,0,(MAX(0,AK286-IF($A318&gt;='1-Input'!$C$12,'1-Input'!$B$12,0))-MIN(MAX(AO317,0),MAX(0,AK286-IF($A318&gt;='1-Input'!$C$12,'1-Input'!$B$12,0))))*(1/(1-'P-Parametri'!$B$6*AK318))+MIN(MAX(0,AP317-(MAX(0,AK286-IF($A318&gt;='1-Input'!$C$12,'1-Input'!$B$12,0))-MIN(MAX(AO317,0),MAX(0,AK286-IF($A318&gt;='1-Input'!$C$12,'1-Input'!$B$12,0))))*(1/(1-'P-Parametri'!$B$6*AK318))),MAX(0,3*AK286-(AO317-MIN(MAX(AO317,0),MAX(0,AK286-IF($A318&gt;='1-Input'!$C$12,'1-Input'!$B$12,0)))))*(1/(1-'P-Parametri'!$B$6*AK318))))</f>
        <v>6348.1661713026433</v>
      </c>
      <c r="AM318" s="18">
        <f>IF($A318&gt;'1-Input'!$B$26,AO317,(AO317-MAX(0,AK286-IF($A318&gt;='1-Input'!$C$12,'1-Input'!$B$12,0))+AL318*(1-'P-Parametri'!$B$6*AK318))*(1+'1-Input'!$B$27))</f>
        <v>49059.121162444499</v>
      </c>
      <c r="AN318" s="18">
        <f>IF($A318&gt;'1-Input'!$B$26,AP317,(AP317-AL318)*(1+$B$4))</f>
        <v>37236.700800670144</v>
      </c>
      <c r="AO318" s="18">
        <f>IF($A318&gt;'1-Input'!$B$26,AM318,AM318-'P-Parametri'!$B$8*(AN318+AM318)+MIN(MAX(AN318,0),'P-Parametri'!$B$8*(AN318+AM318)))</f>
        <v>49059.121162444499</v>
      </c>
      <c r="AP318" s="18">
        <f>IF($A318&gt;'1-Input'!$B$26,AN318,AN318-MIN(MAX(AN318,0),'P-Parametri'!$B$8*(AN318+AM318)))</f>
        <v>37064.109156743914</v>
      </c>
      <c r="AQ318" s="18">
        <f>IF($A318&gt;'1-Input'!$B$26,AQ317,AQ317-AL318*(1-AK318))</f>
        <v>17467.434716724427</v>
      </c>
    </row>
    <row r="319" spans="1:43">
      <c r="A319" s="10">
        <f>31</f>
        <v>31</v>
      </c>
      <c r="B319" s="11">
        <f>IF($A319&gt;'1-Input'!$B$26,0,IF(G318&lt;=0,0,MAX(0,(G318-H318)/G318)))</f>
        <v>0.52595944147087847</v>
      </c>
      <c r="C319" s="18">
        <f>IF($A319&gt;'1-Input'!$B$26,0,(MAX(0,B286-IF($A319&gt;='1-Input'!$C$12,'1-Input'!$B$12,0))-MIN(MAX(F318,0),MAX(0,B286-IF($A319&gt;='1-Input'!$C$12,'1-Input'!$B$12,0))))*(1/(1-'P-Parametri'!$B$6*B319))+MIN(MAX(0,G318-(MAX(0,B286-IF($A319&gt;='1-Input'!$C$12,'1-Input'!$B$12,0))-MIN(MAX(F318,0),MAX(0,B286-IF($A319&gt;='1-Input'!$C$12,'1-Input'!$B$12,0))))*(1/(1-'P-Parametri'!$B$6*B319))),MAX(0,3*B286-(F318-MIN(MAX(F318,0),MAX(0,B286-IF($A319&gt;='1-Input'!$C$12,'1-Input'!$B$12,0)))))*(1/(1-'P-Parametri'!$B$6*B319))))</f>
        <v>6671.5401964469365</v>
      </c>
      <c r="D319" s="18">
        <f>IF($A319&gt;'1-Input'!$B$26,F318,(F318-MAX(0,B286-IF($A319&gt;='1-Input'!$C$12,'1-Input'!$B$12,0))+C319*(1-'P-Parametri'!$B$6*B319))*(1+'1-Input'!$B$27))</f>
        <v>49863.010546479447</v>
      </c>
      <c r="E319" s="18">
        <f>IF($A319&gt;'1-Input'!$B$26,G318,(G318-C319)*(1+$B$4))</f>
        <v>17288.848233344164</v>
      </c>
      <c r="F319" s="18">
        <f>IF($A319&gt;'1-Input'!$B$26,D319,D319-'P-Parametri'!$B$8*(E319+D319)+MIN(MAX(E319,0),'P-Parametri'!$B$8*(E319+D319)))</f>
        <v>49863.010546479447</v>
      </c>
      <c r="G319" s="18">
        <f>IF($A319&gt;'1-Input'!$B$26,E319,E319-MIN(MAX(E319,0),'P-Parametri'!$B$8*(E319+D319)))</f>
        <v>17154.544515784517</v>
      </c>
      <c r="H319" s="18">
        <f>IF($A319&gt;'1-Input'!$B$26,H318,H318-C319*(1-B319))</f>
        <v>8034.9169341761608</v>
      </c>
      <c r="I319" s="11">
        <f>IF($A319&gt;'1-Input'!$B$26,0,IF(N318&lt;=0,0,MAX(0,(N318-O318)/N318)))</f>
        <v>0</v>
      </c>
      <c r="J319" s="18">
        <f>IF($A319&gt;'1-Input'!$B$26,0,(MAX(0,I286-IF($A319&gt;='1-Input'!$C$12,'1-Input'!$B$12,0))-MIN(MAX(M318,0),MAX(0,I286-IF($A319&gt;='1-Input'!$C$12,'1-Input'!$B$12,0))))*(1/(1-'P-Parametri'!$B$6*I319))+MIN(MAX(0,N318-(MAX(0,I286-IF($A319&gt;='1-Input'!$C$12,'1-Input'!$B$12,0))-MIN(MAX(M318,0),MAX(0,I286-IF($A319&gt;='1-Input'!$C$12,'1-Input'!$B$12,0))))*(1/(1-'P-Parametri'!$B$6*I319))),MAX(0,3*I286-(M318-MIN(MAX(M318,0),MAX(0,I286-IF($A319&gt;='1-Input'!$C$12,'1-Input'!$B$12,0)))))*(1/(1-'P-Parametri'!$B$6*I319))))</f>
        <v>10846.756992928691</v>
      </c>
      <c r="K319" s="18">
        <f>IF($A319&gt;'1-Input'!$B$26,M318,(M318-MAX(0,I286-IF($A319&gt;='1-Input'!$C$12,'1-Input'!$B$12,0))+J319*(1-'P-Parametri'!$B$6*I319))*(1+'1-Input'!$B$27))</f>
        <v>0</v>
      </c>
      <c r="L319" s="18">
        <f>IF($A319&gt;'1-Input'!$B$26,N318,(N318-J319)*(1+$B$4))</f>
        <v>-140100.62186105931</v>
      </c>
      <c r="M319" s="18">
        <f>IF($A319&gt;'1-Input'!$B$26,K319,K319-'P-Parametri'!$B$8*(L319+K319)+MIN(MAX(L319,0),'P-Parametri'!$B$8*(L319+K319)))</f>
        <v>0</v>
      </c>
      <c r="N319" s="18">
        <f>IF($A319&gt;'1-Input'!$B$26,L319,L319-MIN(MAX(L319,0),'P-Parametri'!$B$8*(L319+K319)))</f>
        <v>-139820.42061733719</v>
      </c>
      <c r="O319" s="18">
        <f>IF($A319&gt;'1-Input'!$B$26,O318,O318-J319*(1-I319))</f>
        <v>-125139.63871435833</v>
      </c>
      <c r="P319" s="11">
        <f>IF($A319&gt;'1-Input'!$B$26,0,IF(U318&lt;=0,0,MAX(0,(U318-V318)/U318)))</f>
        <v>0.52851099562078419</v>
      </c>
      <c r="Q319" s="18">
        <f>IF($A319&gt;'1-Input'!$B$26,0,(MAX(0,P286-IF($A319&gt;='1-Input'!$C$12,'1-Input'!$B$12,0))-MIN(MAX(T318,0),MAX(0,P286-IF($A319&gt;='1-Input'!$C$12,'1-Input'!$B$12,0))))*(1/(1-'P-Parametri'!$B$6*P319))+MIN(MAX(0,U318-(MAX(0,P286-IF($A319&gt;='1-Input'!$C$12,'1-Input'!$B$12,0))-MIN(MAX(T318,0),MAX(0,P286-IF($A319&gt;='1-Input'!$C$12,'1-Input'!$B$12,0))))*(1/(1-'P-Parametri'!$B$6*P319))),MAX(0,3*P286-(T318-MIN(MAX(T318,0),MAX(0,P286-IF($A319&gt;='1-Input'!$C$12,'1-Input'!$B$12,0)))))*(1/(1-'P-Parametri'!$B$6*P319))))</f>
        <v>6393.0154485241428</v>
      </c>
      <c r="R319" s="18">
        <f>IF($A319&gt;'1-Input'!$B$26,T318,(T318-MAX(0,P286-IF($A319&gt;='1-Input'!$C$12,'1-Input'!$B$12,0))+Q319*(1-'P-Parametri'!$B$6*P319))*(1+'1-Input'!$B$27))</f>
        <v>49139.434310908975</v>
      </c>
      <c r="S319" s="18">
        <f>IF($A319&gt;'1-Input'!$B$26,U318,(U318-Q319)*(1+$B$4))</f>
        <v>29914.298706518639</v>
      </c>
      <c r="T319" s="18">
        <f>IF($A319&gt;'1-Input'!$B$26,R319,R319-'P-Parametri'!$B$8*(S319+R319)+MIN(MAX(S319,0),'P-Parametri'!$B$8*(S319+R319)))</f>
        <v>49139.434310908975</v>
      </c>
      <c r="U319" s="18">
        <f>IF($A319&gt;'1-Input'!$B$26,S319,S319-MIN(MAX(S319,0),'P-Parametri'!$B$8*(S319+R319)))</f>
        <v>29756.191240483782</v>
      </c>
      <c r="V319" s="18">
        <f>IF($A319&gt;'1-Input'!$B$26,V318,V318-Q319*(1-P319))</f>
        <v>13827.708739057782</v>
      </c>
      <c r="W319" s="11">
        <f>IF($A319&gt;'1-Input'!$B$26,0,IF(AB318&lt;=0,0,MAX(0,(AB318-AC318)/AB318)))</f>
        <v>0.52870194808683657</v>
      </c>
      <c r="X319" s="18">
        <f>IF($A319&gt;'1-Input'!$B$26,0,(MAX(0,W286-IF($A319&gt;='1-Input'!$C$12,'1-Input'!$B$12,0))-MIN(MAX(AA318,0),MAX(0,W286-IF($A319&gt;='1-Input'!$C$12,'1-Input'!$B$12,0))))*(1/(1-'P-Parametri'!$B$6*W319))+MIN(MAX(0,AB318-(MAX(0,W286-IF($A319&gt;='1-Input'!$C$12,'1-Input'!$B$12,0))-MIN(MAX(AA318,0),MAX(0,W286-IF($A319&gt;='1-Input'!$C$12,'1-Input'!$B$12,0))))*(1/(1-'P-Parametri'!$B$6*W319))),MAX(0,3*W286-(AA318-MIN(MAX(AA318,0),MAX(0,W286-IF($A319&gt;='1-Input'!$C$12,'1-Input'!$B$12,0)))))*(1/(1-'P-Parametri'!$B$6*W319))))</f>
        <v>6365.1923220106255</v>
      </c>
      <c r="Y319" s="18">
        <f>IF($A319&gt;'1-Input'!$B$26,AA318,(AA318-MAX(0,W286-IF($A319&gt;='1-Input'!$C$12,'1-Input'!$B$12,0))+X319*(1-'P-Parametri'!$B$6*W319))*(1+'1-Input'!$B$27))</f>
        <v>49067.525869838581</v>
      </c>
      <c r="Z319" s="18">
        <f>IF($A319&gt;'1-Input'!$B$26,AB318,(AB318-X319)*(1+$B$4))</f>
        <v>31169.499972420028</v>
      </c>
      <c r="AA319" s="18">
        <f>IF($A319&gt;'1-Input'!$B$26,Y319,Y319-'P-Parametri'!$B$8*(Z319+Y319)+MIN(MAX(Z319,0),'P-Parametri'!$B$8*(Z319+Y319)))</f>
        <v>49067.525869838581</v>
      </c>
      <c r="AB319" s="18">
        <f>IF($A319&gt;'1-Input'!$B$26,Z319,Z319-MIN(MAX(Z319,0),'P-Parametri'!$B$8*(Z319+Y319)))</f>
        <v>31009.025920735512</v>
      </c>
      <c r="AC319" s="18">
        <f>IF($A319&gt;'1-Input'!$B$26,AC318,AC318-X319*(1-W319))</f>
        <v>14402.082956969567</v>
      </c>
      <c r="AD319" s="11">
        <f>IF($A319&gt;'1-Input'!$B$26,0,IF(AI318&lt;=0,0,MAX(0,(AI318-AJ318)/AI318)))</f>
        <v>0.52872374087904339</v>
      </c>
      <c r="AE319" s="18">
        <f>IF($A319&gt;'1-Input'!$B$26,0,(MAX(0,AD286-IF($A319&gt;='1-Input'!$C$12,'1-Input'!$B$12,0))-MIN(MAX(AH318,0),MAX(0,AD286-IF($A319&gt;='1-Input'!$C$12,'1-Input'!$B$12,0))))*(1/(1-'P-Parametri'!$B$6*AD319))+MIN(MAX(0,AI318-(MAX(0,AD286-IF($A319&gt;='1-Input'!$C$12,'1-Input'!$B$12,0))-MIN(MAX(AH318,0),MAX(0,AD286-IF($A319&gt;='1-Input'!$C$12,'1-Input'!$B$12,0))))*(1/(1-'P-Parametri'!$B$6*AD319))),MAX(0,3*AD286-(AH318-MIN(MAX(AH318,0),MAX(0,AD286-IF($A319&gt;='1-Input'!$C$12,'1-Input'!$B$12,0)))))*(1/(1-'P-Parametri'!$B$6*AD319))))</f>
        <v>6361.9390953341263</v>
      </c>
      <c r="AF319" s="18">
        <f>IF($A319&gt;'1-Input'!$B$26,AH318,(AH318-MAX(0,AD286-IF($A319&gt;='1-Input'!$C$12,'1-Input'!$B$12,0))+AE319*(1-'P-Parametri'!$B$6*AD319))*(1+'1-Input'!$B$27))</f>
        <v>49059.121103160993</v>
      </c>
      <c r="AG319" s="18">
        <f>IF($A319&gt;'1-Input'!$B$26,AI318,(AI318-AE319)*(1+$B$4))</f>
        <v>31316.2144740937</v>
      </c>
      <c r="AH319" s="18">
        <f>IF($A319&gt;'1-Input'!$B$26,AF319,AF319-'P-Parametri'!$B$8*(AG319+AF319)+MIN(MAX(AG319,0),'P-Parametri'!$B$8*(AG319+AF319)))</f>
        <v>49059.121103160993</v>
      </c>
      <c r="AI319" s="18">
        <f>IF($A319&gt;'1-Input'!$B$26,AG319,AG319-MIN(MAX(AG319,0),'P-Parametri'!$B$8*(AG319+AF319)))</f>
        <v>31155.46380293919</v>
      </c>
      <c r="AJ319" s="18">
        <f>IF($A319&gt;'1-Input'!$B$26,AJ318,AJ318-AE319*(1-AD319))</f>
        <v>14469.204320765133</v>
      </c>
      <c r="AK319" s="11">
        <f>IF($A319&gt;'1-Input'!$B$26,0,IF(AP318&lt;=0,0,MAX(0,(AP318-AQ318)/AP318)))</f>
        <v>0.52872374072570472</v>
      </c>
      <c r="AL319" s="18">
        <f>IF($A319&gt;'1-Input'!$B$26,0,(MAX(0,AK286-IF($A319&gt;='1-Input'!$C$12,'1-Input'!$B$12,0))-MIN(MAX(AO318,0),MAX(0,AK286-IF($A319&gt;='1-Input'!$C$12,'1-Input'!$B$12,0))))*(1/(1-'P-Parametri'!$B$6*AK319))+MIN(MAX(0,AP318-(MAX(0,AK286-IF($A319&gt;='1-Input'!$C$12,'1-Input'!$B$12,0))-MIN(MAX(AO318,0),MAX(0,AK286-IF($A319&gt;='1-Input'!$C$12,'1-Input'!$B$12,0))))*(1/(1-'P-Parametri'!$B$6*AK319))),MAX(0,3*AK286-(AO318-MIN(MAX(AO318,0),MAX(0,AK286-IF($A319&gt;='1-Input'!$C$12,'1-Input'!$B$12,0)))))*(1/(1-'P-Parametri'!$B$6*AK319))))</f>
        <v>6361.9391182818217</v>
      </c>
      <c r="AM319" s="18">
        <f>IF($A319&gt;'1-Input'!$B$26,AO318,(AO318-MAX(0,AK286-IF($A319&gt;='1-Input'!$C$12,'1-Input'!$B$12,0))+AL319*(1-'P-Parametri'!$B$6*AK319))*(1+'1-Input'!$B$27))</f>
        <v>49059.121162444499</v>
      </c>
      <c r="AN319" s="18">
        <f>IF($A319&gt;'1-Input'!$B$26,AP318,(AP318-AL319)*(1+$B$4))</f>
        <v>31316.213439231335</v>
      </c>
      <c r="AO319" s="18">
        <f>IF($A319&gt;'1-Input'!$B$26,AM319,AM319-'P-Parametri'!$B$8*(AN319+AM319)+MIN(MAX(AN319,0),'P-Parametri'!$B$8*(AN319+AM319)))</f>
        <v>49059.121162444499</v>
      </c>
      <c r="AP319" s="18">
        <f>IF($A319&gt;'1-Input'!$B$26,AN319,AN319-MIN(MAX(AN319,0),'P-Parametri'!$B$8*(AN319+AM319)))</f>
        <v>31155.462770027982</v>
      </c>
      <c r="AQ319" s="18">
        <f>IF($A319&gt;'1-Input'!$B$26,AQ318,AQ318-AL319*(1-AK319))</f>
        <v>14469.203847329762</v>
      </c>
    </row>
    <row r="320" spans="1:43">
      <c r="A320" s="10">
        <f>32</f>
        <v>32</v>
      </c>
      <c r="B320" s="11">
        <f>IF($A320&gt;'1-Input'!$B$26,0,IF(G319&lt;=0,0,MAX(0,(G319-H319)/G319)))</f>
        <v>0.53161583936064616</v>
      </c>
      <c r="C320" s="18">
        <f>IF($A320&gt;'1-Input'!$B$26,0,(MAX(0,B286-IF($A320&gt;='1-Input'!$C$12,'1-Input'!$B$12,0))-MIN(MAX(F319,0),MAX(0,B286-IF($A320&gt;='1-Input'!$C$12,'1-Input'!$B$12,0))))*(1/(1-'P-Parametri'!$B$6*B320))+MIN(MAX(0,G319-(MAX(0,B286-IF($A320&gt;='1-Input'!$C$12,'1-Input'!$B$12,0))-MIN(MAX(F319,0),MAX(0,B286-IF($A320&gt;='1-Input'!$C$12,'1-Input'!$B$12,0))))*(1/(1-'P-Parametri'!$B$6*B320))),MAX(0,3*B286-(F319-MIN(MAX(F319,0),MAX(0,B286-IF($A320&gt;='1-Input'!$C$12,'1-Input'!$B$12,0)))))*(1/(1-'P-Parametri'!$B$6*B320))))</f>
        <v>6682.925459132518</v>
      </c>
      <c r="D320" s="18">
        <f>IF($A320&gt;'1-Input'!$B$26,F319,(F319-MAX(0,B286-IF($A320&gt;='1-Input'!$C$12,'1-Input'!$B$12,0))+C320*(1-'P-Parametri'!$B$6*B320))*(1+'1-Input'!$B$27))</f>
        <v>49863.010546479447</v>
      </c>
      <c r="E320" s="18">
        <f>IF($A320&gt;'1-Input'!$B$26,G319,(G319-C320)*(1+$B$4))</f>
        <v>10681.051437785038</v>
      </c>
      <c r="F320" s="18">
        <f>IF($A320&gt;'1-Input'!$B$26,D320,D320-'P-Parametri'!$B$8*(E320+D320)+MIN(MAX(E320,0),'P-Parametri'!$B$8*(E320+D320)))</f>
        <v>49863.010546479447</v>
      </c>
      <c r="G320" s="18">
        <f>IF($A320&gt;'1-Input'!$B$26,E320,E320-MIN(MAX(E320,0),'P-Parametri'!$B$8*(E320+D320)))</f>
        <v>10559.963313816508</v>
      </c>
      <c r="H320" s="18">
        <f>IF($A320&gt;'1-Input'!$B$26,H319,H319-C320*(1-B320))</f>
        <v>4904.7405023850079</v>
      </c>
      <c r="I320" s="11">
        <f>IF($A320&gt;'1-Input'!$B$26,0,IF(N319&lt;=0,0,MAX(0,(N319-O319)/N319)))</f>
        <v>0</v>
      </c>
      <c r="J320" s="18">
        <f>IF($A320&gt;'1-Input'!$B$26,0,(MAX(0,I286-IF($A320&gt;='1-Input'!$C$12,'1-Input'!$B$12,0))-MIN(MAX(M319,0),MAX(0,I286-IF($A320&gt;='1-Input'!$C$12,'1-Input'!$B$12,0))))*(1/(1-'P-Parametri'!$B$6*I320))+MIN(MAX(0,N319-(MAX(0,I286-IF($A320&gt;='1-Input'!$C$12,'1-Input'!$B$12,0))-MIN(MAX(M319,0),MAX(0,I286-IF($A320&gt;='1-Input'!$C$12,'1-Input'!$B$12,0))))*(1/(1-'P-Parametri'!$B$6*I320))),MAX(0,3*I286-(M319-MIN(MAX(M319,0),MAX(0,I286-IF($A320&gt;='1-Input'!$C$12,'1-Input'!$B$12,0)))))*(1/(1-'P-Parametri'!$B$6*I320))))</f>
        <v>10846.756992928691</v>
      </c>
      <c r="K320" s="18">
        <f>IF($A320&gt;'1-Input'!$B$26,M319,(M319-MAX(0,I286-IF($A320&gt;='1-Input'!$C$12,'1-Input'!$B$12,0))+J320*(1-'P-Parametri'!$B$6*I320))*(1+'1-Input'!$B$27))</f>
        <v>0</v>
      </c>
      <c r="L320" s="18">
        <f>IF($A320&gt;'1-Input'!$B$26,N319,(N319-J320)*(1+$B$4))</f>
        <v>-153680.52116247121</v>
      </c>
      <c r="M320" s="18">
        <f>IF($A320&gt;'1-Input'!$B$26,K320,K320-'P-Parametri'!$B$8*(L320+K320)+MIN(MAX(L320,0),'P-Parametri'!$B$8*(L320+K320)))</f>
        <v>0</v>
      </c>
      <c r="N320" s="18">
        <f>IF($A320&gt;'1-Input'!$B$26,L320,L320-MIN(MAX(L320,0),'P-Parametri'!$B$8*(L320+K320)))</f>
        <v>-153373.16012014626</v>
      </c>
      <c r="O320" s="18">
        <f>IF($A320&gt;'1-Input'!$B$26,O319,O319-J320*(1-I320))</f>
        <v>-135986.39570728701</v>
      </c>
      <c r="P320" s="11">
        <f>IF($A320&gt;'1-Input'!$B$26,0,IF(U319&lt;=0,0,MAX(0,(U319-V319)/U319)))</f>
        <v>0.53529977585824362</v>
      </c>
      <c r="Q320" s="18">
        <f>IF($A320&gt;'1-Input'!$B$26,0,(MAX(0,P286-IF($A320&gt;='1-Input'!$C$12,'1-Input'!$B$12,0))-MIN(MAX(T319,0),MAX(0,P286-IF($A320&gt;='1-Input'!$C$12,'1-Input'!$B$12,0))))*(1/(1-'P-Parametri'!$B$6*P320))+MIN(MAX(0,U319-(MAX(0,P286-IF($A320&gt;='1-Input'!$C$12,'1-Input'!$B$12,0))-MIN(MAX(T319,0),MAX(0,P286-IF($A320&gt;='1-Input'!$C$12,'1-Input'!$B$12,0))))*(1/(1-'P-Parametri'!$B$6*P320))),MAX(0,3*P286-(T319-MIN(MAX(T319,0),MAX(0,P286-IF($A320&gt;='1-Input'!$C$12,'1-Input'!$B$12,0)))))*(1/(1-'P-Parametri'!$B$6*P320))))</f>
        <v>6406.1240833395814</v>
      </c>
      <c r="R320" s="18">
        <f>IF($A320&gt;'1-Input'!$B$26,T319,(T319-MAX(0,P286-IF($A320&gt;='1-Input'!$C$12,'1-Input'!$B$12,0))+Q320*(1-'P-Parametri'!$B$6*P320))*(1+'1-Input'!$B$27))</f>
        <v>49139.434310908975</v>
      </c>
      <c r="S320" s="18">
        <f>IF($A320&gt;'1-Input'!$B$26,U319,(U319-Q320)*(1+$B$4))</f>
        <v>23817.068500287085</v>
      </c>
      <c r="T320" s="18">
        <f>IF($A320&gt;'1-Input'!$B$26,R320,R320-'P-Parametri'!$B$8*(S320+R320)+MIN(MAX(S320,0),'P-Parametri'!$B$8*(S320+R320)))</f>
        <v>49139.434310908975</v>
      </c>
      <c r="U320" s="18">
        <f>IF($A320&gt;'1-Input'!$B$26,S320,S320-MIN(MAX(S320,0),'P-Parametri'!$B$8*(S320+R320)))</f>
        <v>23671.155494664694</v>
      </c>
      <c r="V320" s="18">
        <f>IF($A320&gt;'1-Input'!$B$26,V319,V319-Q320*(1-P320))</f>
        <v>10850.781441649975</v>
      </c>
      <c r="W320" s="11">
        <f>IF($A320&gt;'1-Input'!$B$26,0,IF(AB319&lt;=0,0,MAX(0,(AB319-AC319)/AB319)))</f>
        <v>0.53555190692594445</v>
      </c>
      <c r="X320" s="18">
        <f>IF($A320&gt;'1-Input'!$B$26,0,(MAX(0,W286-IF($A320&gt;='1-Input'!$C$12,'1-Input'!$B$12,0))-MIN(MAX(AA319,0),MAX(0,W286-IF($A320&gt;='1-Input'!$C$12,'1-Input'!$B$12,0))))*(1/(1-'P-Parametri'!$B$6*W320))+MIN(MAX(0,AB319-(MAX(0,W286-IF($A320&gt;='1-Input'!$C$12,'1-Input'!$B$12,0))-MIN(MAX(AA319,0),MAX(0,W286-IF($A320&gt;='1-Input'!$C$12,'1-Input'!$B$12,0))))*(1/(1-'P-Parametri'!$B$6*W320))),MAX(0,3*W286-(AA319-MIN(MAX(AA319,0),MAX(0,W286-IF($A320&gt;='1-Input'!$C$12,'1-Input'!$B$12,0)))))*(1/(1-'P-Parametri'!$B$6*W320))))</f>
        <v>6378.3625267676935</v>
      </c>
      <c r="Y320" s="18">
        <f>IF($A320&gt;'1-Input'!$B$26,AA319,(AA319-MAX(0,W286-IF($A320&gt;='1-Input'!$C$12,'1-Input'!$B$12,0))+X320*(1-'P-Parametri'!$B$6*W320))*(1+'1-Input'!$B$27))</f>
        <v>49067.525869838581</v>
      </c>
      <c r="Z320" s="18">
        <f>IF($A320&gt;'1-Input'!$B$26,AB319,(AB319-X320)*(1+$B$4))</f>
        <v>25123.276661847176</v>
      </c>
      <c r="AA320" s="18">
        <f>IF($A320&gt;'1-Input'!$B$26,Y320,Y320-'P-Parametri'!$B$8*(Z320+Y320)+MIN(MAX(Z320,0),'P-Parametri'!$B$8*(Z320+Y320)))</f>
        <v>49067.525869838581</v>
      </c>
      <c r="AB320" s="18">
        <f>IF($A320&gt;'1-Input'!$B$26,Z320,Z320-MIN(MAX(Z320,0),'P-Parametri'!$B$8*(Z320+Y320)))</f>
        <v>24974.895056783804</v>
      </c>
      <c r="AC320" s="18">
        <f>IF($A320&gt;'1-Input'!$B$26,AC319,AC319-X320*(1-W320))</f>
        <v>11439.664644477298</v>
      </c>
      <c r="AD320" s="11">
        <f>IF($A320&gt;'1-Input'!$B$26,0,IF(AI319&lt;=0,0,MAX(0,(AI319-AJ319)/AI319)))</f>
        <v>0.53558051928599071</v>
      </c>
      <c r="AE320" s="18">
        <f>IF($A320&gt;'1-Input'!$B$26,0,(MAX(0,AD286-IF($A320&gt;='1-Input'!$C$12,'1-Input'!$B$12,0))-MIN(MAX(AH319,0),MAX(0,AD286-IF($A320&gt;='1-Input'!$C$12,'1-Input'!$B$12,0))))*(1/(1-'P-Parametri'!$B$6*AD320))+MIN(MAX(0,AI319-(MAX(0,AD286-IF($A320&gt;='1-Input'!$C$12,'1-Input'!$B$12,0))-MIN(MAX(AH319,0),MAX(0,AD286-IF($A320&gt;='1-Input'!$C$12,'1-Input'!$B$12,0))))*(1/(1-'P-Parametri'!$B$6*AD320))),MAX(0,3*AD286-(AH319-MIN(MAX(AH319,0),MAX(0,AD286-IF($A320&gt;='1-Input'!$C$12,'1-Input'!$B$12,0)))))*(1/(1-'P-Parametri'!$B$6*AD320))))</f>
        <v>6375.115787800406</v>
      </c>
      <c r="AF320" s="18">
        <f>IF($A320&gt;'1-Input'!$B$26,AH319,(AH319-MAX(0,AD286-IF($A320&gt;='1-Input'!$C$12,'1-Input'!$B$12,0))+AE320*(1-'P-Parametri'!$B$6*AD320))*(1+'1-Input'!$B$27))</f>
        <v>49059.121103160993</v>
      </c>
      <c r="AG320" s="18">
        <f>IF($A320&gt;'1-Input'!$B$26,AI319,(AI319-AE320)*(1+$B$4))</f>
        <v>25275.95497544156</v>
      </c>
      <c r="AH320" s="18">
        <f>IF($A320&gt;'1-Input'!$B$26,AF320,AF320-'P-Parametri'!$B$8*(AG320+AF320)+MIN(MAX(AG320,0),'P-Parametri'!$B$8*(AG320+AF320)))</f>
        <v>49059.121103160993</v>
      </c>
      <c r="AI320" s="18">
        <f>IF($A320&gt;'1-Input'!$B$26,AG320,AG320-MIN(MAX(AG320,0),'P-Parametri'!$B$8*(AG320+AF320)))</f>
        <v>25127.284823284353</v>
      </c>
      <c r="AJ320" s="18">
        <f>IF($A320&gt;'1-Input'!$B$26,AJ319,AJ319-AE320*(1-AD320))</f>
        <v>11508.476357103187</v>
      </c>
      <c r="AK320" s="11">
        <f>IF($A320&gt;'1-Input'!$B$26,0,IF(AP319&lt;=0,0,MAX(0,(AP319-AQ319)/AP319)))</f>
        <v>0.5355805190847831</v>
      </c>
      <c r="AL320" s="18">
        <f>IF($A320&gt;'1-Input'!$B$26,0,(MAX(0,AK286-IF($A320&gt;='1-Input'!$C$12,'1-Input'!$B$12,0))-MIN(MAX(AO319,0),MAX(0,AK286-IF($A320&gt;='1-Input'!$C$12,'1-Input'!$B$12,0))))*(1/(1-'P-Parametri'!$B$6*AK320))+MIN(MAX(0,AP319-(MAX(0,AK286-IF($A320&gt;='1-Input'!$C$12,'1-Input'!$B$12,0))-MIN(MAX(AO319,0),MAX(0,AK286-IF($A320&gt;='1-Input'!$C$12,'1-Input'!$B$12,0))))*(1/(1-'P-Parametri'!$B$6*AK320))),MAX(0,3*AK286-(AO319-MIN(MAX(AO319,0),MAX(0,AK286-IF($A320&gt;='1-Input'!$C$12,'1-Input'!$B$12,0)))))*(1/(1-'P-Parametri'!$B$6*AK320))))</f>
        <v>6375.1158107028377</v>
      </c>
      <c r="AM320" s="18">
        <f>IF($A320&gt;'1-Input'!$B$26,AO319,(AO319-MAX(0,AK286-IF($A320&gt;='1-Input'!$C$12,'1-Input'!$B$12,0))+AL320*(1-'P-Parametri'!$B$6*AK320))*(1+'1-Input'!$B$27))</f>
        <v>49059.121162444499</v>
      </c>
      <c r="AN320" s="18">
        <f>IF($A320&gt;'1-Input'!$B$26,AP319,(AP319-AL320)*(1+$B$4))</f>
        <v>25275.953898511645</v>
      </c>
      <c r="AO320" s="18">
        <f>IF($A320&gt;'1-Input'!$B$26,AM320,AM320-'P-Parametri'!$B$8*(AN320+AM320)+MIN(MAX(AN320,0),'P-Parametri'!$B$8*(AN320+AM320)))</f>
        <v>49059.121162444499</v>
      </c>
      <c r="AP320" s="18">
        <f>IF($A320&gt;'1-Input'!$B$26,AN320,AN320-MIN(MAX(AN320,0),'P-Parametri'!$B$8*(AN320+AM320)))</f>
        <v>25127.283748389731</v>
      </c>
      <c r="AQ320" s="18">
        <f>IF($A320&gt;'1-Input'!$B$26,AQ319,AQ319-AL320*(1-AK320))</f>
        <v>11508.475871748757</v>
      </c>
    </row>
    <row r="321" spans="1:43">
      <c r="A321" s="10">
        <f>33</f>
        <v>33</v>
      </c>
      <c r="B321" s="11">
        <f>IF($A321&gt;'1-Input'!$B$26,0,IF(G320&lt;=0,0,MAX(0,(G320-H320)/G320)))</f>
        <v>0.53553432368768605</v>
      </c>
      <c r="C321" s="18">
        <f>IF($A321&gt;'1-Input'!$B$26,0,(MAX(0,B286-IF($A321&gt;='1-Input'!$C$12,'1-Input'!$B$12,0))-MIN(MAX(F320,0),MAX(0,B286-IF($A321&gt;='1-Input'!$C$12,'1-Input'!$B$12,0))))*(1/(1-'P-Parametri'!$B$6*B321))+MIN(MAX(0,G320-(MAX(0,B286-IF($A321&gt;='1-Input'!$C$12,'1-Input'!$B$12,0))-MIN(MAX(F320,0),MAX(0,B286-IF($A321&gt;='1-Input'!$C$12,'1-Input'!$B$12,0))))*(1/(1-'P-Parametri'!$B$6*B321))),MAX(0,3*B286-(F320-MIN(MAX(F320,0),MAX(0,B286-IF($A321&gt;='1-Input'!$C$12,'1-Input'!$B$12,0)))))*(1/(1-'P-Parametri'!$B$6*B321))))</f>
        <v>6690.8354404797192</v>
      </c>
      <c r="D321" s="18">
        <f>IF($A321&gt;'1-Input'!$B$26,F320,(F320-MAX(0,B286-IF($A321&gt;='1-Input'!$C$12,'1-Input'!$B$12,0))+C321*(1-'P-Parametri'!$B$6*B321))*(1+'1-Input'!$B$27))</f>
        <v>49863.010546479447</v>
      </c>
      <c r="E321" s="18">
        <f>IF($A321&gt;'1-Input'!$B$26,G320,(G320-C321)*(1+$B$4))</f>
        <v>3946.5104308035247</v>
      </c>
      <c r="F321" s="18">
        <f>IF($A321&gt;'1-Input'!$B$26,D321,D321-'P-Parametri'!$B$8*(E321+D321)+MIN(MAX(E321,0),'P-Parametri'!$B$8*(E321+D321)))</f>
        <v>49863.010546479447</v>
      </c>
      <c r="G321" s="18">
        <f>IF($A321&gt;'1-Input'!$B$26,E321,E321-MIN(MAX(E321,0),'P-Parametri'!$B$8*(E321+D321)))</f>
        <v>3838.8913888489587</v>
      </c>
      <c r="H321" s="18">
        <f>IF($A321&gt;'1-Input'!$B$26,H320,H320-C321*(1-B321))</f>
        <v>1797.0770944281962</v>
      </c>
      <c r="I321" s="11">
        <f>IF($A321&gt;'1-Input'!$B$26,0,IF(N320&lt;=0,0,MAX(0,(N320-O320)/N320)))</f>
        <v>0</v>
      </c>
      <c r="J321" s="18">
        <f>IF($A321&gt;'1-Input'!$B$26,0,(MAX(0,I286-IF($A321&gt;='1-Input'!$C$12,'1-Input'!$B$12,0))-MIN(MAX(M320,0),MAX(0,I286-IF($A321&gt;='1-Input'!$C$12,'1-Input'!$B$12,0))))*(1/(1-'P-Parametri'!$B$6*I321))+MIN(MAX(0,N320-(MAX(0,I286-IF($A321&gt;='1-Input'!$C$12,'1-Input'!$B$12,0))-MIN(MAX(M320,0),MAX(0,I286-IF($A321&gt;='1-Input'!$C$12,'1-Input'!$B$12,0))))*(1/(1-'P-Parametri'!$B$6*I321))),MAX(0,3*I286-(M320-MIN(MAX(M320,0),MAX(0,I286-IF($A321&gt;='1-Input'!$C$12,'1-Input'!$B$12,0)))))*(1/(1-'P-Parametri'!$B$6*I321))))</f>
        <v>10846.756992928691</v>
      </c>
      <c r="K321" s="18">
        <f>IF($A321&gt;'1-Input'!$B$26,M320,(M320-MAX(0,I286-IF($A321&gt;='1-Input'!$C$12,'1-Input'!$B$12,0))+J321*(1-'P-Parametri'!$B$6*I321))*(1+'1-Input'!$B$27))</f>
        <v>0</v>
      </c>
      <c r="L321" s="18">
        <f>IF($A321&gt;'1-Input'!$B$26,N320,(N320-J321)*(1+$B$4))</f>
        <v>-167504.31545533644</v>
      </c>
      <c r="M321" s="18">
        <f>IF($A321&gt;'1-Input'!$B$26,K321,K321-'P-Parametri'!$B$8*(L321+K321)+MIN(MAX(L321,0),'P-Parametri'!$B$8*(L321+K321)))</f>
        <v>0</v>
      </c>
      <c r="N321" s="18">
        <f>IF($A321&gt;'1-Input'!$B$26,L321,L321-MIN(MAX(L321,0),'P-Parametri'!$B$8*(L321+K321)))</f>
        <v>-167169.30682442576</v>
      </c>
      <c r="O321" s="18">
        <f>IF($A321&gt;'1-Input'!$B$26,O320,O320-J321*(1-I321))</f>
        <v>-146833.15270021569</v>
      </c>
      <c r="P321" s="11">
        <f>IF($A321&gt;'1-Input'!$B$26,0,IF(U320&lt;=0,0,MAX(0,(U320-V320)/U320)))</f>
        <v>0.54160322067523647</v>
      </c>
      <c r="Q321" s="18">
        <f>IF($A321&gt;'1-Input'!$B$26,0,(MAX(0,P286-IF($A321&gt;='1-Input'!$C$12,'1-Input'!$B$12,0))-MIN(MAX(T320,0),MAX(0,P286-IF($A321&gt;='1-Input'!$C$12,'1-Input'!$B$12,0))))*(1/(1-'P-Parametri'!$B$6*P321))+MIN(MAX(0,U320-(MAX(0,P286-IF($A321&gt;='1-Input'!$C$12,'1-Input'!$B$12,0))-MIN(MAX(T320,0),MAX(0,P286-IF($A321&gt;='1-Input'!$C$12,'1-Input'!$B$12,0))))*(1/(1-'P-Parametri'!$B$6*P321))),MAX(0,3*P286-(T320-MIN(MAX(T320,0),MAX(0,P286-IF($A321&gt;='1-Input'!$C$12,'1-Input'!$B$12,0)))))*(1/(1-'P-Parametri'!$B$6*P321))))</f>
        <v>6418.343793135763</v>
      </c>
      <c r="R321" s="18">
        <f>IF($A321&gt;'1-Input'!$B$26,T320,(T320-MAX(0,P286-IF($A321&gt;='1-Input'!$C$12,'1-Input'!$B$12,0))+Q321*(1-'P-Parametri'!$B$6*P321))*(1+'1-Input'!$B$27))</f>
        <v>49139.434310908975</v>
      </c>
      <c r="S321" s="18">
        <f>IF($A321&gt;'1-Input'!$B$26,U320,(U320-Q321)*(1+$B$4))</f>
        <v>17597.867935559512</v>
      </c>
      <c r="T321" s="18">
        <f>IF($A321&gt;'1-Input'!$B$26,R321,R321-'P-Parametri'!$B$8*(S321+R321)+MIN(MAX(S321,0),'P-Parametri'!$B$8*(S321+R321)))</f>
        <v>49139.434310908975</v>
      </c>
      <c r="U321" s="18">
        <f>IF($A321&gt;'1-Input'!$B$26,S321,S321-MIN(MAX(S321,0),'P-Parametri'!$B$8*(S321+R321)))</f>
        <v>17464.393331066574</v>
      </c>
      <c r="V321" s="18">
        <f>IF($A321&gt;'1-Input'!$B$26,V320,V320-Q321*(1-P321))</f>
        <v>7908.6333182774551</v>
      </c>
      <c r="W321" s="11">
        <f>IF($A321&gt;'1-Input'!$B$26,0,IF(AB320&lt;=0,0,MAX(0,(AB320-AC320)/AB320)))</f>
        <v>0.54195344491067243</v>
      </c>
      <c r="X321" s="18">
        <f>IF($A321&gt;'1-Input'!$B$26,0,(MAX(0,W286-IF($A321&gt;='1-Input'!$C$12,'1-Input'!$B$12,0))-MIN(MAX(AA320,0),MAX(0,W286-IF($A321&gt;='1-Input'!$C$12,'1-Input'!$B$12,0))))*(1/(1-'P-Parametri'!$B$6*W321))+MIN(MAX(0,AB320-(MAX(0,W286-IF($A321&gt;='1-Input'!$C$12,'1-Input'!$B$12,0))-MIN(MAX(AA320,0),MAX(0,W286-IF($A321&gt;='1-Input'!$C$12,'1-Input'!$B$12,0))))*(1/(1-'P-Parametri'!$B$6*W321))),MAX(0,3*W286-(AA320-MIN(MAX(AA320,0),MAX(0,W286-IF($A321&gt;='1-Input'!$C$12,'1-Input'!$B$12,0)))))*(1/(1-'P-Parametri'!$B$6*W321))))</f>
        <v>6390.7199279653041</v>
      </c>
      <c r="Y321" s="18">
        <f>IF($A321&gt;'1-Input'!$B$26,AA320,(AA320-MAX(0,W286-IF($A321&gt;='1-Input'!$C$12,'1-Input'!$B$12,0))+X321*(1-'P-Parametri'!$B$6*W321))*(1+'1-Input'!$B$27))</f>
        <v>49067.525869838581</v>
      </c>
      <c r="Z321" s="18">
        <f>IF($A321&gt;'1-Input'!$B$26,AB320,(AB320-X321)*(1+$B$4))</f>
        <v>18955.858631394873</v>
      </c>
      <c r="AA321" s="18">
        <f>IF($A321&gt;'1-Input'!$B$26,Y321,Y321-'P-Parametri'!$B$8*(Z321+Y321)+MIN(MAX(Z321,0),'P-Parametri'!$B$8*(Z321+Y321)))</f>
        <v>49067.525869838581</v>
      </c>
      <c r="AB321" s="18">
        <f>IF($A321&gt;'1-Input'!$B$26,Z321,Z321-MIN(MAX(Z321,0),'P-Parametri'!$B$8*(Z321+Y321)))</f>
        <v>18819.811862392406</v>
      </c>
      <c r="AC321" s="18">
        <f>IF($A321&gt;'1-Input'!$B$26,AC320,AC320-X321*(1-W321))</f>
        <v>8512.4173969320746</v>
      </c>
      <c r="AD321" s="11">
        <f>IF($A321&gt;'1-Input'!$B$26,0,IF(AI320&lt;=0,0,MAX(0,(AI320-AJ320)/AI320)))</f>
        <v>0.54199284013214244</v>
      </c>
      <c r="AE321" s="18">
        <f>IF($A321&gt;'1-Input'!$B$26,0,(MAX(0,AD286-IF($A321&gt;='1-Input'!$C$12,'1-Input'!$B$12,0))-MIN(MAX(AH320,0),MAX(0,AD286-IF($A321&gt;='1-Input'!$C$12,'1-Input'!$B$12,0))))*(1/(1-'P-Parametri'!$B$6*AD321))+MIN(MAX(0,AI320-(MAX(0,AD286-IF($A321&gt;='1-Input'!$C$12,'1-Input'!$B$12,0))-MIN(MAX(AH320,0),MAX(0,AD286-IF($A321&gt;='1-Input'!$C$12,'1-Input'!$B$12,0))))*(1/(1-'P-Parametri'!$B$6*AD321))),MAX(0,3*AD286-(AH320-MIN(MAX(AH320,0),MAX(0,AD286-IF($A321&gt;='1-Input'!$C$12,'1-Input'!$B$12,0)))))*(1/(1-'P-Parametri'!$B$6*AD321))))</f>
        <v>6387.4878507199319</v>
      </c>
      <c r="AF321" s="18">
        <f>IF($A321&gt;'1-Input'!$B$26,AH320,(AH320-MAX(0,AD286-IF($A321&gt;='1-Input'!$C$12,'1-Input'!$B$12,0))+AE321*(1-'P-Parametri'!$B$6*AD321))*(1+'1-Input'!$B$27))</f>
        <v>49059.121103160993</v>
      </c>
      <c r="AG321" s="18">
        <f>IF($A321&gt;'1-Input'!$B$26,AI320,(AI320-AE321)*(1+$B$4))</f>
        <v>19114.592912015709</v>
      </c>
      <c r="AH321" s="18">
        <f>IF($A321&gt;'1-Input'!$B$26,AF321,AF321-'P-Parametri'!$B$8*(AG321+AF321)+MIN(MAX(AG321,0),'P-Parametri'!$B$8*(AG321+AF321)))</f>
        <v>49059.121103160993</v>
      </c>
      <c r="AI321" s="18">
        <f>IF($A321&gt;'1-Input'!$B$26,AG321,AG321-MIN(MAX(AG321,0),'P-Parametri'!$B$8*(AG321+AF321)))</f>
        <v>18978.245483985356</v>
      </c>
      <c r="AJ321" s="18">
        <f>IF($A321&gt;'1-Input'!$B$26,AJ320,AJ320-AE321*(1-AD321))</f>
        <v>8582.961187904506</v>
      </c>
      <c r="AK321" s="11">
        <f>IF($A321&gt;'1-Input'!$B$26,0,IF(AP320&lt;=0,0,MAX(0,(AP320-AQ320)/AP320)))</f>
        <v>0.54199283985535163</v>
      </c>
      <c r="AL321" s="18">
        <f>IF($A321&gt;'1-Input'!$B$26,0,(MAX(0,AK286-IF($A321&gt;='1-Input'!$C$12,'1-Input'!$B$12,0))-MIN(MAX(AO320,0),MAX(0,AK286-IF($A321&gt;='1-Input'!$C$12,'1-Input'!$B$12,0))))*(1/(1-'P-Parametri'!$B$6*AK321))+MIN(MAX(0,AP320-(MAX(0,AK286-IF($A321&gt;='1-Input'!$C$12,'1-Input'!$B$12,0))-MIN(MAX(AO320,0),MAX(0,AK286-IF($A321&gt;='1-Input'!$C$12,'1-Input'!$B$12,0))))*(1/(1-'P-Parametri'!$B$6*AK321))),MAX(0,3*AK286-(AO320-MIN(MAX(AO320,0),MAX(0,AK286-IF($A321&gt;='1-Input'!$C$12,'1-Input'!$B$12,0)))))*(1/(1-'P-Parametri'!$B$6*AK321))))</f>
        <v>6387.4878735199418</v>
      </c>
      <c r="AM321" s="18">
        <f>IF($A321&gt;'1-Input'!$B$26,AO320,(AO320-MAX(0,AK286-IF($A321&gt;='1-Input'!$C$12,'1-Input'!$B$12,0))+AL321*(1-'P-Parametri'!$B$6*AK321))*(1+'1-Input'!$B$27))</f>
        <v>49059.121162444499</v>
      </c>
      <c r="AN321" s="18">
        <f>IF($A321&gt;'1-Input'!$B$26,AP320,(AP320-AL321)*(1+$B$4))</f>
        <v>19114.591792367184</v>
      </c>
      <c r="AO321" s="18">
        <f>IF($A321&gt;'1-Input'!$B$26,AM321,AM321-'P-Parametri'!$B$8*(AN321+AM321)+MIN(MAX(AN321,0),'P-Parametri'!$B$8*(AN321+AM321)))</f>
        <v>49059.121162444499</v>
      </c>
      <c r="AP321" s="18">
        <f>IF($A321&gt;'1-Input'!$B$26,AN321,AN321-MIN(MAX(AN321,0),'P-Parametri'!$B$8*(AN321+AM321)))</f>
        <v>18978.244366457562</v>
      </c>
      <c r="AQ321" s="18">
        <f>IF($A321&gt;'1-Input'!$B$26,AQ320,AQ320-AL321*(1-AK321))</f>
        <v>8582.9606903395088</v>
      </c>
    </row>
    <row r="322" spans="1:43">
      <c r="A322" s="10">
        <f>34</f>
        <v>34</v>
      </c>
      <c r="B322" s="11">
        <f>IF($A322&gt;'1-Input'!$B$26,0,IF(G321&lt;=0,0,MAX(0,(G321-H321)/G321)))</f>
        <v>0.53187602555043212</v>
      </c>
      <c r="C322" s="18">
        <f>IF($A322&gt;'1-Input'!$B$26,0,(MAX(0,B286-IF($A322&gt;='1-Input'!$C$12,'1-Input'!$B$12,0))-MIN(MAX(F321,0),MAX(0,B286-IF($A322&gt;='1-Input'!$C$12,'1-Input'!$B$12,0))))*(1/(1-'P-Parametri'!$B$6*B322))+MIN(MAX(0,G321-(MAX(0,B286-IF($A322&gt;='1-Input'!$C$12,'1-Input'!$B$12,0))-MIN(MAX(F321,0),MAX(0,B286-IF($A322&gt;='1-Input'!$C$12,'1-Input'!$B$12,0))))*(1/(1-'P-Parametri'!$B$6*B322))),MAX(0,3*B286-(F321-MIN(MAX(F321,0),MAX(0,B286-IF($A322&gt;='1-Input'!$C$12,'1-Input'!$B$12,0)))))*(1/(1-'P-Parametri'!$B$6*B322))))</f>
        <v>3838.8913888489587</v>
      </c>
      <c r="D322" s="18">
        <f>IF($A322&gt;'1-Input'!$B$26,F321,(F321-MAX(0,B286-IF($A322&gt;='1-Input'!$C$12,'1-Input'!$B$12,0))+C322*(1-'P-Parametri'!$B$6*B322))*(1+'1-Input'!$B$27))</f>
        <v>47420.643794498254</v>
      </c>
      <c r="E322" s="18">
        <f>IF($A322&gt;'1-Input'!$B$26,G321,(G321-C322)*(1+$B$4))</f>
        <v>0</v>
      </c>
      <c r="F322" s="18">
        <f>IF($A322&gt;'1-Input'!$B$26,D322,D322-'P-Parametri'!$B$8*(E322+D322)+MIN(MAX(E322,0),'P-Parametri'!$B$8*(E322+D322)))</f>
        <v>47325.802506909255</v>
      </c>
      <c r="G322" s="18">
        <f>IF($A322&gt;'1-Input'!$B$26,E322,E322-MIN(MAX(E322,0),'P-Parametri'!$B$8*(E322+D322)))</f>
        <v>0</v>
      </c>
      <c r="H322" s="18">
        <f>IF($A322&gt;'1-Input'!$B$26,H321,H321-C322*(1-B322))</f>
        <v>0</v>
      </c>
      <c r="I322" s="11">
        <f>IF($A322&gt;'1-Input'!$B$26,0,IF(N321&lt;=0,0,MAX(0,(N321-O321)/N321)))</f>
        <v>0</v>
      </c>
      <c r="J322" s="18">
        <f>IF($A322&gt;'1-Input'!$B$26,0,(MAX(0,I286-IF($A322&gt;='1-Input'!$C$12,'1-Input'!$B$12,0))-MIN(MAX(M321,0),MAX(0,I286-IF($A322&gt;='1-Input'!$C$12,'1-Input'!$B$12,0))))*(1/(1-'P-Parametri'!$B$6*I322))+MIN(MAX(0,N321-(MAX(0,I286-IF($A322&gt;='1-Input'!$C$12,'1-Input'!$B$12,0))-MIN(MAX(M321,0),MAX(0,I286-IF($A322&gt;='1-Input'!$C$12,'1-Input'!$B$12,0))))*(1/(1-'P-Parametri'!$B$6*I322))),MAX(0,3*I286-(M321-MIN(MAX(M321,0),MAX(0,I286-IF($A322&gt;='1-Input'!$C$12,'1-Input'!$B$12,0)))))*(1/(1-'P-Parametri'!$B$6*I322))))</f>
        <v>10846.756992928691</v>
      </c>
      <c r="K322" s="18">
        <f>IF($A322&gt;'1-Input'!$B$26,M321,(M321-MAX(0,I286-IF($A322&gt;='1-Input'!$C$12,'1-Input'!$B$12,0))+J322*(1-'P-Parametri'!$B$6*I322))*(1+'1-Input'!$B$27))</f>
        <v>0</v>
      </c>
      <c r="L322" s="18">
        <f>IF($A322&gt;'1-Input'!$B$26,N321,(N321-J322)*(1+$B$4))</f>
        <v>-181576.38509370154</v>
      </c>
      <c r="M322" s="18">
        <f>IF($A322&gt;'1-Input'!$B$26,K322,K322-'P-Parametri'!$B$8*(L322+K322)+MIN(MAX(L322,0),'P-Parametri'!$B$8*(L322+K322)))</f>
        <v>0</v>
      </c>
      <c r="N322" s="18">
        <f>IF($A322&gt;'1-Input'!$B$26,L322,L322-MIN(MAX(L322,0),'P-Parametri'!$B$8*(L322+K322)))</f>
        <v>-181213.23232351412</v>
      </c>
      <c r="O322" s="18">
        <f>IF($A322&gt;'1-Input'!$B$26,O321,O321-J322*(1-I322))</f>
        <v>-157679.90969314438</v>
      </c>
      <c r="P322" s="11">
        <f>IF($A322&gt;'1-Input'!$B$26,0,IF(U321&lt;=0,0,MAX(0,(U321-V321)/U321)))</f>
        <v>0.54715671089420759</v>
      </c>
      <c r="Q322" s="18">
        <f>IF($A322&gt;'1-Input'!$B$26,0,(MAX(0,P286-IF($A322&gt;='1-Input'!$C$12,'1-Input'!$B$12,0))-MIN(MAX(T321,0),MAX(0,P286-IF($A322&gt;='1-Input'!$C$12,'1-Input'!$B$12,0))))*(1/(1-'P-Parametri'!$B$6*P322))+MIN(MAX(0,U321-(MAX(0,P286-IF($A322&gt;='1-Input'!$C$12,'1-Input'!$B$12,0))-MIN(MAX(T321,0),MAX(0,P286-IF($A322&gt;='1-Input'!$C$12,'1-Input'!$B$12,0))))*(1/(1-'P-Parametri'!$B$6*P322))),MAX(0,3*P286-(T321-MIN(MAX(T321,0),MAX(0,P286-IF($A322&gt;='1-Input'!$C$12,'1-Input'!$B$12,0)))))*(1/(1-'P-Parametri'!$B$6*P322))))</f>
        <v>6429.1483522231929</v>
      </c>
      <c r="R322" s="18">
        <f>IF($A322&gt;'1-Input'!$B$26,T321,(T321-MAX(0,P286-IF($A322&gt;='1-Input'!$C$12,'1-Input'!$B$12,0))+Q322*(1-'P-Parametri'!$B$6*P322))*(1+'1-Input'!$B$27))</f>
        <v>49139.434310908975</v>
      </c>
      <c r="S322" s="18">
        <f>IF($A322&gt;'1-Input'!$B$26,U321,(U321-Q322)*(1+$B$4))</f>
        <v>11255.949878420248</v>
      </c>
      <c r="T322" s="18">
        <f>IF($A322&gt;'1-Input'!$B$26,R322,R322-'P-Parametri'!$B$8*(S322+R322)+MIN(MAX(S322,0),'P-Parametri'!$B$8*(S322+R322)))</f>
        <v>49139.434310908975</v>
      </c>
      <c r="U322" s="18">
        <f>IF($A322&gt;'1-Input'!$B$26,S322,S322-MIN(MAX(S322,0),'P-Parametri'!$B$8*(S322+R322)))</f>
        <v>11135.15911004159</v>
      </c>
      <c r="V322" s="18">
        <f>IF($A322&gt;'1-Input'!$B$26,V321,V321-Q322*(1-P322))</f>
        <v>4997.2366323076185</v>
      </c>
      <c r="W322" s="11">
        <f>IF($A322&gt;'1-Input'!$B$26,0,IF(AB321&lt;=0,0,MAX(0,(AB321-AC321)/AB321)))</f>
        <v>0.54768849661337893</v>
      </c>
      <c r="X322" s="18">
        <f>IF($A322&gt;'1-Input'!$B$26,0,(MAX(0,W286-IF($A322&gt;='1-Input'!$C$12,'1-Input'!$B$12,0))-MIN(MAX(AA321,0),MAX(0,W286-IF($A322&gt;='1-Input'!$C$12,'1-Input'!$B$12,0))))*(1/(1-'P-Parametri'!$B$6*W322))+MIN(MAX(0,AB321-(MAX(0,W286-IF($A322&gt;='1-Input'!$C$12,'1-Input'!$B$12,0))-MIN(MAX(AA321,0),MAX(0,W286-IF($A322&gt;='1-Input'!$C$12,'1-Input'!$B$12,0))))*(1/(1-'P-Parametri'!$B$6*W322))),MAX(0,3*W286-(AA321-MIN(MAX(AA321,0),MAX(0,W286-IF($A322&gt;='1-Input'!$C$12,'1-Input'!$B$12,0)))))*(1/(1-'P-Parametri'!$B$6*W322))))</f>
        <v>6401.8314920778403</v>
      </c>
      <c r="Y322" s="18">
        <f>IF($A322&gt;'1-Input'!$B$26,AA321,(AA321-MAX(0,W286-IF($A322&gt;='1-Input'!$C$12,'1-Input'!$B$12,0))+X322*(1-'P-Parametri'!$B$6*W322))*(1+'1-Input'!$B$27))</f>
        <v>49067.525869838581</v>
      </c>
      <c r="Z322" s="18">
        <f>IF($A322&gt;'1-Input'!$B$26,AB321,(AB321-X322)*(1+$B$4))</f>
        <v>12666.339977720858</v>
      </c>
      <c r="AA322" s="18">
        <f>IF($A322&gt;'1-Input'!$B$26,Y322,Y322-'P-Parametri'!$B$8*(Z322+Y322)+MIN(MAX(Z322,0),'P-Parametri'!$B$8*(Z322+Y322)))</f>
        <v>49067.525869838581</v>
      </c>
      <c r="AB322" s="18">
        <f>IF($A322&gt;'1-Input'!$B$26,Z322,Z322-MIN(MAX(Z322,0),'P-Parametri'!$B$8*(Z322+Y322)))</f>
        <v>12542.87224602574</v>
      </c>
      <c r="AC322" s="18">
        <f>IF($A322&gt;'1-Input'!$B$26,AC321,AC321-X322*(1-W322))</f>
        <v>5616.7953703225312</v>
      </c>
      <c r="AD322" s="11">
        <f>IF($A322&gt;'1-Input'!$B$26,0,IF(AI321&lt;=0,0,MAX(0,(AI321-AJ321)/AI321)))</f>
        <v>0.54774738291022895</v>
      </c>
      <c r="AE322" s="18">
        <f>IF($A322&gt;'1-Input'!$B$26,0,(MAX(0,AD286-IF($A322&gt;='1-Input'!$C$12,'1-Input'!$B$12,0))-MIN(MAX(AH321,0),MAX(0,AD286-IF($A322&gt;='1-Input'!$C$12,'1-Input'!$B$12,0))))*(1/(1-'P-Parametri'!$B$6*AD322))+MIN(MAX(0,AI321-(MAX(0,AD286-IF($A322&gt;='1-Input'!$C$12,'1-Input'!$B$12,0))-MIN(MAX(AH321,0),MAX(0,AD286-IF($A322&gt;='1-Input'!$C$12,'1-Input'!$B$12,0))))*(1/(1-'P-Parametri'!$B$6*AD322))),MAX(0,3*AD286-(AH321-MIN(MAX(AH321,0),MAX(0,AD286-IF($A322&gt;='1-Input'!$C$12,'1-Input'!$B$12,0)))))*(1/(1-'P-Parametri'!$B$6*AD322))))</f>
        <v>6398.6317386825222</v>
      </c>
      <c r="AF322" s="18">
        <f>IF($A322&gt;'1-Input'!$B$26,AH321,(AH321-MAX(0,AD286-IF($A322&gt;='1-Input'!$C$12,'1-Input'!$B$12,0))+AE322*(1-'P-Parametri'!$B$6*AD322))*(1+'1-Input'!$B$27))</f>
        <v>49059.121103160993</v>
      </c>
      <c r="AG322" s="18">
        <f>IF($A322&gt;'1-Input'!$B$26,AI321,(AI321-AE322)*(1+$B$4))</f>
        <v>12831.206020208892</v>
      </c>
      <c r="AH322" s="18">
        <f>IF($A322&gt;'1-Input'!$B$26,AF322,AF322-'P-Parametri'!$B$8*(AG322+AF322)+MIN(MAX(AG322,0),'P-Parametri'!$B$8*(AG322+AF322)))</f>
        <v>49059.121103160993</v>
      </c>
      <c r="AI322" s="18">
        <f>IF($A322&gt;'1-Input'!$B$26,AG322,AG322-MIN(MAX(AG322,0),'P-Parametri'!$B$8*(AG322+AF322)))</f>
        <v>12707.425365962152</v>
      </c>
      <c r="AJ322" s="18">
        <f>IF($A322&gt;'1-Input'!$B$26,AJ321,AJ321-AE322*(1-AD322))</f>
        <v>5689.1632382916632</v>
      </c>
      <c r="AK322" s="11">
        <f>IF($A322&gt;'1-Input'!$B$26,0,IF(AP321&lt;=0,0,MAX(0,(AP321-AQ321)/AP321)))</f>
        <v>0.54774738249713106</v>
      </c>
      <c r="AL322" s="18">
        <f>IF($A322&gt;'1-Input'!$B$26,0,(MAX(0,AK286-IF($A322&gt;='1-Input'!$C$12,'1-Input'!$B$12,0))-MIN(MAX(AO321,0),MAX(0,AK286-IF($A322&gt;='1-Input'!$C$12,'1-Input'!$B$12,0))))*(1/(1-'P-Parametri'!$B$6*AK322))+MIN(MAX(0,AP321-(MAX(0,AK286-IF($A322&gt;='1-Input'!$C$12,'1-Input'!$B$12,0))-MIN(MAX(AO321,0),MAX(0,AK286-IF($A322&gt;='1-Input'!$C$12,'1-Input'!$B$12,0))))*(1/(1-'P-Parametri'!$B$6*AK322))),MAX(0,3*AK286-(AO321-MIN(MAX(AO321,0),MAX(0,AK286-IF($A322&gt;='1-Input'!$C$12,'1-Input'!$B$12,0)))))*(1/(1-'P-Parametri'!$B$6*AK322))))</f>
        <v>6398.6317612569519</v>
      </c>
      <c r="AM322" s="18">
        <f>IF($A322&gt;'1-Input'!$B$26,AO321,(AO321-MAX(0,AK286-IF($A322&gt;='1-Input'!$C$12,'1-Input'!$B$12,0))+AL322*(1-'P-Parametri'!$B$6*AK322))*(1+'1-Input'!$B$27))</f>
        <v>49059.121162444499</v>
      </c>
      <c r="AN322" s="18">
        <f>IF($A322&gt;'1-Input'!$B$26,AP321,(AP321-AL322)*(1+$B$4))</f>
        <v>12831.204857304623</v>
      </c>
      <c r="AO322" s="18">
        <f>IF($A322&gt;'1-Input'!$B$26,AM322,AM322-'P-Parametri'!$B$8*(AN322+AM322)+MIN(MAX(AN322,0),'P-Parametri'!$B$8*(AN322+AM322)))</f>
        <v>49059.121162444499</v>
      </c>
      <c r="AP322" s="18">
        <f>IF($A322&gt;'1-Input'!$B$26,AN322,AN322-MIN(MAX(AN322,0),'P-Parametri'!$B$8*(AN322+AM322)))</f>
        <v>12707.424205265124</v>
      </c>
      <c r="AQ322" s="18">
        <f>IF($A322&gt;'1-Input'!$B$26,AQ321,AQ321-AL322*(1-AK322))</f>
        <v>5689.1627278740598</v>
      </c>
    </row>
    <row r="323" spans="1:43">
      <c r="A323" s="10">
        <f>35</f>
        <v>35</v>
      </c>
      <c r="B323" s="11">
        <f>IF($A323&gt;'1-Input'!$B$26,0,IF(G322&lt;=0,0,MAX(0,(G322-H322)/G322)))</f>
        <v>0</v>
      </c>
      <c r="C323" s="18">
        <f>IF($A323&gt;'1-Input'!$B$26,0,(MAX(0,B286-IF($A323&gt;='1-Input'!$C$12,'1-Input'!$B$12,0))-MIN(MAX(F322,0),MAX(0,B286-IF($A323&gt;='1-Input'!$C$12,'1-Input'!$B$12,0))))*(1/(1-'P-Parametri'!$B$6*B323))+MIN(MAX(0,G322-(MAX(0,B286-IF($A323&gt;='1-Input'!$C$12,'1-Input'!$B$12,0))-MIN(MAX(F322,0),MAX(0,B286-IF($A323&gt;='1-Input'!$C$12,'1-Input'!$B$12,0))))*(1/(1-'P-Parametri'!$B$6*B323))),MAX(0,3*B286-(F322-MIN(MAX(F322,0),MAX(0,B286-IF($A323&gt;='1-Input'!$C$12,'1-Input'!$B$12,0)))))*(1/(1-'P-Parametri'!$B$6*B323))))</f>
        <v>0</v>
      </c>
      <c r="D323" s="18">
        <f>IF($A323&gt;'1-Input'!$B$26,F322,(F322-MAX(0,B286-IF($A323&gt;='1-Input'!$C$12,'1-Input'!$B$12,0))+C323*(1-'P-Parametri'!$B$6*B323))*(1+'1-Input'!$B$27))</f>
        <v>41596.458902391227</v>
      </c>
      <c r="E323" s="18">
        <f>IF($A323&gt;'1-Input'!$B$26,G322,(G322-C323)*(1+$B$4))</f>
        <v>0</v>
      </c>
      <c r="F323" s="18">
        <f>IF($A323&gt;'1-Input'!$B$26,D323,D323-'P-Parametri'!$B$8*(E323+D323)+MIN(MAX(E323,0),'P-Parametri'!$B$8*(E323+D323)))</f>
        <v>41513.265984586447</v>
      </c>
      <c r="G323" s="18">
        <f>IF($A323&gt;'1-Input'!$B$26,E323,E323-MIN(MAX(E323,0),'P-Parametri'!$B$8*(E323+D323)))</f>
        <v>0</v>
      </c>
      <c r="H323" s="18">
        <f>IF($A323&gt;'1-Input'!$B$26,H322,H322-C323*(1-B323))</f>
        <v>0</v>
      </c>
      <c r="I323" s="11">
        <f>IF($A323&gt;'1-Input'!$B$26,0,IF(N322&lt;=0,0,MAX(0,(N322-O322)/N322)))</f>
        <v>0</v>
      </c>
      <c r="J323" s="18">
        <f>IF($A323&gt;'1-Input'!$B$26,0,(MAX(0,I286-IF($A323&gt;='1-Input'!$C$12,'1-Input'!$B$12,0))-MIN(MAX(M322,0),MAX(0,I286-IF($A323&gt;='1-Input'!$C$12,'1-Input'!$B$12,0))))*(1/(1-'P-Parametri'!$B$6*I323))+MIN(MAX(0,N322-(MAX(0,I286-IF($A323&gt;='1-Input'!$C$12,'1-Input'!$B$12,0))-MIN(MAX(M322,0),MAX(0,I286-IF($A323&gt;='1-Input'!$C$12,'1-Input'!$B$12,0))))*(1/(1-'P-Parametri'!$B$6*I323))),MAX(0,3*I286-(M322-MIN(MAX(M322,0),MAX(0,I286-IF($A323&gt;='1-Input'!$C$12,'1-Input'!$B$12,0)))))*(1/(1-'P-Parametri'!$B$6*I323))))</f>
        <v>10846.756992928691</v>
      </c>
      <c r="K323" s="18">
        <f>IF($A323&gt;'1-Input'!$B$26,M322,(M322-MAX(0,I286-IF($A323&gt;='1-Input'!$C$12,'1-Input'!$B$12,0))+J323*(1-'P-Parametri'!$B$6*I323))*(1+'1-Input'!$B$27))</f>
        <v>0</v>
      </c>
      <c r="L323" s="18">
        <f>IF($A323&gt;'1-Input'!$B$26,N322,(N322-J323)*(1+$B$4))</f>
        <v>-195901.18910277166</v>
      </c>
      <c r="M323" s="18">
        <f>IF($A323&gt;'1-Input'!$B$26,K323,K323-'P-Parametri'!$B$8*(L323+K323)+MIN(MAX(L323,0),'P-Parametri'!$B$8*(L323+K323)))</f>
        <v>0</v>
      </c>
      <c r="N323" s="18">
        <f>IF($A323&gt;'1-Input'!$B$26,L323,L323-MIN(MAX(L323,0),'P-Parametri'!$B$8*(L323+K323)))</f>
        <v>-195509.38672456611</v>
      </c>
      <c r="O323" s="18">
        <f>IF($A323&gt;'1-Input'!$B$26,O322,O322-J323*(1-I323))</f>
        <v>-168526.66668607306</v>
      </c>
      <c r="P323" s="11">
        <f>IF($A323&gt;'1-Input'!$B$26,0,IF(U322&lt;=0,0,MAX(0,(U322-V322)/U322)))</f>
        <v>0.55122000656450842</v>
      </c>
      <c r="Q323" s="18">
        <f>IF($A323&gt;'1-Input'!$B$26,0,(MAX(0,P286-IF($A323&gt;='1-Input'!$C$12,'1-Input'!$B$12,0))-MIN(MAX(T322,0),MAX(0,P286-IF($A323&gt;='1-Input'!$C$12,'1-Input'!$B$12,0))))*(1/(1-'P-Parametri'!$B$6*P323))+MIN(MAX(0,U322-(MAX(0,P286-IF($A323&gt;='1-Input'!$C$12,'1-Input'!$B$12,0))-MIN(MAX(T322,0),MAX(0,P286-IF($A323&gt;='1-Input'!$C$12,'1-Input'!$B$12,0))))*(1/(1-'P-Parametri'!$B$6*P323))),MAX(0,3*P286-(T322-MIN(MAX(T322,0),MAX(0,P286-IF($A323&gt;='1-Input'!$C$12,'1-Input'!$B$12,0)))))*(1/(1-'P-Parametri'!$B$6*P323))))</f>
        <v>6437.0767453063645</v>
      </c>
      <c r="R323" s="18">
        <f>IF($A323&gt;'1-Input'!$B$26,T322,(T322-MAX(0,P286-IF($A323&gt;='1-Input'!$C$12,'1-Input'!$B$12,0))+Q323*(1-'P-Parametri'!$B$6*P323))*(1+'1-Input'!$B$27))</f>
        <v>49139.434310908975</v>
      </c>
      <c r="S323" s="18">
        <f>IF($A323&gt;'1-Input'!$B$26,U322,(U322-Q323)*(1+$B$4))</f>
        <v>4792.0440120299299</v>
      </c>
      <c r="T323" s="18">
        <f>IF($A323&gt;'1-Input'!$B$26,R323,R323-'P-Parametri'!$B$8*(S323+R323)+MIN(MAX(S323,0),'P-Parametri'!$B$8*(S323+R323)))</f>
        <v>49139.434310908975</v>
      </c>
      <c r="U323" s="18">
        <f>IF($A323&gt;'1-Input'!$B$26,S323,S323-MIN(MAX(S323,0),'P-Parametri'!$B$8*(S323+R323)))</f>
        <v>4684.1810553840523</v>
      </c>
      <c r="V323" s="18">
        <f>IF($A323&gt;'1-Input'!$B$26,V322,V322-Q323*(1-P323))</f>
        <v>2108.4053728052727</v>
      </c>
      <c r="W323" s="11">
        <f>IF($A323&gt;'1-Input'!$B$26,0,IF(AB322&lt;=0,0,MAX(0,(AB322-AC322)/AB322)))</f>
        <v>0.55219225228876612</v>
      </c>
      <c r="X323" s="18">
        <f>IF($A323&gt;'1-Input'!$B$26,0,(MAX(0,W286-IF($A323&gt;='1-Input'!$C$12,'1-Input'!$B$12,0))-MIN(MAX(AA322,0),MAX(0,W286-IF($A323&gt;='1-Input'!$C$12,'1-Input'!$B$12,0))))*(1/(1-'P-Parametri'!$B$6*W323))+MIN(MAX(0,AB322-(MAX(0,W286-IF($A323&gt;='1-Input'!$C$12,'1-Input'!$B$12,0))-MIN(MAX(AA322,0),MAX(0,W286-IF($A323&gt;='1-Input'!$C$12,'1-Input'!$B$12,0))))*(1/(1-'P-Parametri'!$B$6*W323))),MAX(0,3*W286-(AA322-MIN(MAX(AA322,0),MAX(0,W286-IF($A323&gt;='1-Input'!$C$12,'1-Input'!$B$12,0)))))*(1/(1-'P-Parametri'!$B$6*W323))))</f>
        <v>6410.5845646604166</v>
      </c>
      <c r="Y323" s="18">
        <f>IF($A323&gt;'1-Input'!$B$26,AA322,(AA322-MAX(0,W286-IF($A323&gt;='1-Input'!$C$12,'1-Input'!$B$12,0))+X323*(1-'P-Parametri'!$B$6*W323))*(1+'1-Input'!$B$27))</f>
        <v>49067.525869838581</v>
      </c>
      <c r="Z323" s="18">
        <f>IF($A323&gt;'1-Input'!$B$26,AB322,(AB322-X323)*(1+$B$4))</f>
        <v>6254.9334349926294</v>
      </c>
      <c r="AA323" s="18">
        <f>IF($A323&gt;'1-Input'!$B$26,Y323,Y323-'P-Parametri'!$B$8*(Z323+Y323)+MIN(MAX(Z323,0),'P-Parametri'!$B$8*(Z323+Y323)))</f>
        <v>49067.525869838581</v>
      </c>
      <c r="AB323" s="18">
        <f>IF($A323&gt;'1-Input'!$B$26,Z323,Z323-MIN(MAX(Z323,0),'P-Parametri'!$B$8*(Z323+Y323)))</f>
        <v>6144.2885163829669</v>
      </c>
      <c r="AC323" s="18">
        <f>IF($A323&gt;'1-Input'!$B$26,AC322,AC322-X323*(1-W323))</f>
        <v>2746.0859349095495</v>
      </c>
      <c r="AD323" s="11">
        <f>IF($A323&gt;'1-Input'!$B$26,0,IF(AI322&lt;=0,0,MAX(0,(AI322-AJ322)/AI322)))</f>
        <v>0.55229615170272506</v>
      </c>
      <c r="AE323" s="18">
        <f>IF($A323&gt;'1-Input'!$B$26,0,(MAX(0,AD286-IF($A323&gt;='1-Input'!$C$12,'1-Input'!$B$12,0))-MIN(MAX(AH322,0),MAX(0,AD286-IF($A323&gt;='1-Input'!$C$12,'1-Input'!$B$12,0))))*(1/(1-'P-Parametri'!$B$6*AD323))+MIN(MAX(0,AI322-(MAX(0,AD286-IF($A323&gt;='1-Input'!$C$12,'1-Input'!$B$12,0))-MIN(MAX(AH322,0),MAX(0,AD286-IF($A323&gt;='1-Input'!$C$12,'1-Input'!$B$12,0))))*(1/(1-'P-Parametri'!$B$6*AD323))),MAX(0,3*AD286-(AH322-MIN(MAX(AH322,0),MAX(0,AD286-IF($A323&gt;='1-Input'!$C$12,'1-Input'!$B$12,0)))))*(1/(1-'P-Parametri'!$B$6*AD323))))</f>
        <v>6407.4681545412368</v>
      </c>
      <c r="AF323" s="18">
        <f>IF($A323&gt;'1-Input'!$B$26,AH322,(AH322-MAX(0,AD286-IF($A323&gt;='1-Input'!$C$12,'1-Input'!$B$12,0))+AE323*(1-'P-Parametri'!$B$6*AD323))*(1+'1-Input'!$B$27))</f>
        <v>49059.121103160993</v>
      </c>
      <c r="AG323" s="18">
        <f>IF($A323&gt;'1-Input'!$B$26,AI322,(AI322-AE323)*(1+$B$4))</f>
        <v>6425.9563556493331</v>
      </c>
      <c r="AH323" s="18">
        <f>IF($A323&gt;'1-Input'!$B$26,AF323,AF323-'P-Parametri'!$B$8*(AG323+AF323)+MIN(MAX(AG323,0),'P-Parametri'!$B$8*(AG323+AF323)))</f>
        <v>49059.121103160993</v>
      </c>
      <c r="AI323" s="18">
        <f>IF($A323&gt;'1-Input'!$B$26,AG323,AG323-MIN(MAX(AG323,0),'P-Parametri'!$B$8*(AG323+AF323)))</f>
        <v>6314.9862007317124</v>
      </c>
      <c r="AJ323" s="18">
        <f>IF($A323&gt;'1-Input'!$B$26,AJ322,AJ322-AE323*(1-AD323))</f>
        <v>2820.5150876613129</v>
      </c>
      <c r="AK323" s="11">
        <f>IF($A323&gt;'1-Input'!$B$26,0,IF(AP322&lt;=0,0,MAX(0,(AP322-AQ322)/AP322)))</f>
        <v>0.55229615097630536</v>
      </c>
      <c r="AL323" s="18">
        <f>IF($A323&gt;'1-Input'!$B$26,0,(MAX(0,AK286-IF($A323&gt;='1-Input'!$C$12,'1-Input'!$B$12,0))-MIN(MAX(AO322,0),MAX(0,AK286-IF($A323&gt;='1-Input'!$C$12,'1-Input'!$B$12,0))))*(1/(1-'P-Parametri'!$B$6*AK323))+MIN(MAX(0,AP322-(MAX(0,AK286-IF($A323&gt;='1-Input'!$C$12,'1-Input'!$B$12,0))-MIN(MAX(AO322,0),MAX(0,AK286-IF($A323&gt;='1-Input'!$C$12,'1-Input'!$B$12,0))))*(1/(1-'P-Parametri'!$B$6*AK323))),MAX(0,3*AK286-(AO322-MIN(MAX(AO322,0),MAX(0,AK286-IF($A323&gt;='1-Input'!$C$12,'1-Input'!$B$12,0)))))*(1/(1-'P-Parametri'!$B$6*AK323))))</f>
        <v>6407.4681765362338</v>
      </c>
      <c r="AM323" s="18">
        <f>IF($A323&gt;'1-Input'!$B$26,AO322,(AO322-MAX(0,AK286-IF($A323&gt;='1-Input'!$C$12,'1-Input'!$B$12,0))+AL323*(1-'P-Parametri'!$B$6*AK323))*(1+'1-Input'!$B$27))</f>
        <v>49059.121162444499</v>
      </c>
      <c r="AN323" s="18">
        <f>IF($A323&gt;'1-Input'!$B$26,AP322,(AP322-AL323)*(1+$B$4))</f>
        <v>6425.9551493034687</v>
      </c>
      <c r="AO323" s="18">
        <f>IF($A323&gt;'1-Input'!$B$26,AM323,AM323-'P-Parametri'!$B$8*(AN323+AM323)+MIN(MAX(AN323,0),'P-Parametri'!$B$8*(AN323+AM323)))</f>
        <v>49059.121162444499</v>
      </c>
      <c r="AP323" s="18">
        <f>IF($A323&gt;'1-Input'!$B$26,AN323,AN323-MIN(MAX(AN323,0),'P-Parametri'!$B$8*(AN323+AM323)))</f>
        <v>6314.9849966799729</v>
      </c>
      <c r="AQ323" s="18">
        <f>IF($A323&gt;'1-Input'!$B$26,AQ322,AQ322-AL323*(1-AK323))</f>
        <v>2820.5145627419538</v>
      </c>
    </row>
    <row r="324" spans="1:43">
      <c r="A324" s="10">
        <f>36</f>
        <v>36</v>
      </c>
      <c r="B324" s="11">
        <f>IF($A324&gt;'1-Input'!$B$26,0,IF(G323&lt;=0,0,MAX(0,(G323-H323)/G323)))</f>
        <v>0</v>
      </c>
      <c r="C324" s="18">
        <f>IF($A324&gt;'1-Input'!$B$26,0,(MAX(0,B286-IF($A324&gt;='1-Input'!$C$12,'1-Input'!$B$12,0))-MIN(MAX(F323,0),MAX(0,B286-IF($A324&gt;='1-Input'!$C$12,'1-Input'!$B$12,0))))*(1/(1-'P-Parametri'!$B$6*B324))+MIN(MAX(0,G323-(MAX(0,B286-IF($A324&gt;='1-Input'!$C$12,'1-Input'!$B$12,0))-MIN(MAX(F323,0),MAX(0,B286-IF($A324&gt;='1-Input'!$C$12,'1-Input'!$B$12,0))))*(1/(1-'P-Parametri'!$B$6*B324))),MAX(0,3*B286-(F323-MIN(MAX(F323,0),MAX(0,B286-IF($A324&gt;='1-Input'!$C$12,'1-Input'!$B$12,0)))))*(1/(1-'P-Parametri'!$B$6*B324))))</f>
        <v>0</v>
      </c>
      <c r="D324" s="18">
        <f>IF($A324&gt;'1-Input'!$B$26,F323,(F323-MAX(0,B286-IF($A324&gt;='1-Input'!$C$12,'1-Input'!$B$12,0))+C324*(1-'P-Parametri'!$B$6*B324))*(1+'1-Input'!$B$27))</f>
        <v>35804.847511548782</v>
      </c>
      <c r="E324" s="18">
        <f>IF($A324&gt;'1-Input'!$B$26,G323,(G323-C324)*(1+$B$4))</f>
        <v>0</v>
      </c>
      <c r="F324" s="18">
        <f>IF($A324&gt;'1-Input'!$B$26,D324,D324-'P-Parametri'!$B$8*(E324+D324)+MIN(MAX(E324,0),'P-Parametri'!$B$8*(E324+D324)))</f>
        <v>35733.237816525681</v>
      </c>
      <c r="G324" s="18">
        <f>IF($A324&gt;'1-Input'!$B$26,E324,E324-MIN(MAX(E324,0),'P-Parametri'!$B$8*(E324+D324)))</f>
        <v>0</v>
      </c>
      <c r="H324" s="18">
        <f>IF($A324&gt;'1-Input'!$B$26,H323,H323-C324*(1-B324))</f>
        <v>0</v>
      </c>
      <c r="I324" s="11">
        <f>IF($A324&gt;'1-Input'!$B$26,0,IF(N323&lt;=0,0,MAX(0,(N323-O323)/N323)))</f>
        <v>0</v>
      </c>
      <c r="J324" s="18">
        <f>IF($A324&gt;'1-Input'!$B$26,0,(MAX(0,I286-IF($A324&gt;='1-Input'!$C$12,'1-Input'!$B$12,0))-MIN(MAX(M323,0),MAX(0,I286-IF($A324&gt;='1-Input'!$C$12,'1-Input'!$B$12,0))))*(1/(1-'P-Parametri'!$B$6*I324))+MIN(MAX(0,N323-(MAX(0,I286-IF($A324&gt;='1-Input'!$C$12,'1-Input'!$B$12,0))-MIN(MAX(M323,0),MAX(0,I286-IF($A324&gt;='1-Input'!$C$12,'1-Input'!$B$12,0))))*(1/(1-'P-Parametri'!$B$6*I324))),MAX(0,3*I286-(M323-MIN(MAX(M323,0),MAX(0,I286-IF($A324&gt;='1-Input'!$C$12,'1-Input'!$B$12,0)))))*(1/(1-'P-Parametri'!$B$6*I324))))</f>
        <v>10846.756992928691</v>
      </c>
      <c r="K324" s="18">
        <f>IF($A324&gt;'1-Input'!$B$26,M323,(M323-MAX(0,I286-IF($A324&gt;='1-Input'!$C$12,'1-Input'!$B$12,0))+J324*(1-'P-Parametri'!$B$6*I324))*(1+'1-Input'!$B$27))</f>
        <v>0</v>
      </c>
      <c r="L324" s="18">
        <f>IF($A324&gt;'1-Input'!$B$26,N323,(N323-J324)*(1+$B$4))</f>
        <v>-210483.2665918447</v>
      </c>
      <c r="M324" s="18">
        <f>IF($A324&gt;'1-Input'!$B$26,K324,K324-'P-Parametri'!$B$8*(L324+K324)+MIN(MAX(L324,0),'P-Parametri'!$B$8*(L324+K324)))</f>
        <v>0</v>
      </c>
      <c r="N324" s="18">
        <f>IF($A324&gt;'1-Input'!$B$26,L324,L324-MIN(MAX(L324,0),'P-Parametri'!$B$8*(L324+K324)))</f>
        <v>-210062.300058661</v>
      </c>
      <c r="O324" s="18">
        <f>IF($A324&gt;'1-Input'!$B$26,O323,O323-J324*(1-I324))</f>
        <v>-179373.42367900175</v>
      </c>
      <c r="P324" s="11">
        <f>IF($A324&gt;'1-Input'!$B$26,0,IF(U323&lt;=0,0,MAX(0,(U323-V323)/U323)))</f>
        <v>0.54988815592816442</v>
      </c>
      <c r="Q324" s="18">
        <f>IF($A324&gt;'1-Input'!$B$26,0,(MAX(0,P286-IF($A324&gt;='1-Input'!$C$12,'1-Input'!$B$12,0))-MIN(MAX(T323,0),MAX(0,P286-IF($A324&gt;='1-Input'!$C$12,'1-Input'!$B$12,0))))*(1/(1-'P-Parametri'!$B$6*P324))+MIN(MAX(0,U323-(MAX(0,P286-IF($A324&gt;='1-Input'!$C$12,'1-Input'!$B$12,0))-MIN(MAX(T323,0),MAX(0,P286-IF($A324&gt;='1-Input'!$C$12,'1-Input'!$B$12,0))))*(1/(1-'P-Parametri'!$B$6*P324))),MAX(0,3*P286-(T323-MIN(MAX(T323,0),MAX(0,P286-IF($A324&gt;='1-Input'!$C$12,'1-Input'!$B$12,0)))))*(1/(1-'P-Parametri'!$B$6*P324))))</f>
        <v>4684.1810553840523</v>
      </c>
      <c r="R324" s="18">
        <f>IF($A324&gt;'1-Input'!$B$26,T323,(T323-MAX(0,P286-IF($A324&gt;='1-Input'!$C$12,'1-Input'!$B$12,0))+Q324*(1-'P-Parametri'!$B$6*P324))*(1+'1-Input'!$B$27))</f>
        <v>47644.780962573124</v>
      </c>
      <c r="S324" s="18">
        <f>IF($A324&gt;'1-Input'!$B$26,U323,(U323-Q324)*(1+$B$4))</f>
        <v>0</v>
      </c>
      <c r="T324" s="18">
        <f>IF($A324&gt;'1-Input'!$B$26,R324,R324-'P-Parametri'!$B$8*(S324+R324)+MIN(MAX(S324,0),'P-Parametri'!$B$8*(S324+R324)))</f>
        <v>47549.491400647981</v>
      </c>
      <c r="U324" s="18">
        <f>IF($A324&gt;'1-Input'!$B$26,S324,S324-MIN(MAX(S324,0),'P-Parametri'!$B$8*(S324+R324)))</f>
        <v>0</v>
      </c>
      <c r="V324" s="18">
        <f>IF($A324&gt;'1-Input'!$B$26,V323,V323-Q324*(1-P324))</f>
        <v>0</v>
      </c>
      <c r="W324" s="11">
        <f>IF($A324&gt;'1-Input'!$B$26,0,IF(AB323&lt;=0,0,MAX(0,(AB323-AC323)/AB323)))</f>
        <v>0.553066896584127</v>
      </c>
      <c r="X324" s="18">
        <f>IF($A324&gt;'1-Input'!$B$26,0,(MAX(0,W286-IF($A324&gt;='1-Input'!$C$12,'1-Input'!$B$12,0))-MIN(MAX(AA323,0),MAX(0,W286-IF($A324&gt;='1-Input'!$C$12,'1-Input'!$B$12,0))))*(1/(1-'P-Parametri'!$B$6*W324))+MIN(MAX(0,AB323-(MAX(0,W286-IF($A324&gt;='1-Input'!$C$12,'1-Input'!$B$12,0))-MIN(MAX(AA323,0),MAX(0,W286-IF($A324&gt;='1-Input'!$C$12,'1-Input'!$B$12,0))))*(1/(1-'P-Parametri'!$B$6*W324))),MAX(0,3*W286-(AA323-MIN(MAX(AA323,0),MAX(0,W286-IF($A324&gt;='1-Input'!$C$12,'1-Input'!$B$12,0)))))*(1/(1-'P-Parametri'!$B$6*W324))))</f>
        <v>6144.2885163829669</v>
      </c>
      <c r="Y324" s="18">
        <f>IF($A324&gt;'1-Input'!$B$26,AA323,(AA323-MAX(0,W286-IF($A324&gt;='1-Input'!$C$12,'1-Input'!$B$12,0))+X324*(1-'P-Parametri'!$B$6*W324))*(1+'1-Input'!$B$27))</f>
        <v>48838.890744251454</v>
      </c>
      <c r="Z324" s="18">
        <f>IF($A324&gt;'1-Input'!$B$26,AB323,(AB323-X324)*(1+$B$4))</f>
        <v>0</v>
      </c>
      <c r="AA324" s="18">
        <f>IF($A324&gt;'1-Input'!$B$26,Y324,Y324-'P-Parametri'!$B$8*(Z324+Y324)+MIN(MAX(Z324,0),'P-Parametri'!$B$8*(Z324+Y324)))</f>
        <v>48741.212962762947</v>
      </c>
      <c r="AB324" s="18">
        <f>IF($A324&gt;'1-Input'!$B$26,Z324,Z324-MIN(MAX(Z324,0),'P-Parametri'!$B$8*(Z324+Y324)))</f>
        <v>0</v>
      </c>
      <c r="AC324" s="18">
        <f>IF($A324&gt;'1-Input'!$B$26,AC323,AC323-X324*(1-W324))</f>
        <v>0</v>
      </c>
      <c r="AD324" s="11">
        <f>IF($A324&gt;'1-Input'!$B$26,0,IF(AI323&lt;=0,0,MAX(0,(AI323-AJ323)/AI323)))</f>
        <v>0.55336163880540201</v>
      </c>
      <c r="AE324" s="18">
        <f>IF($A324&gt;'1-Input'!$B$26,0,(MAX(0,AD286-IF($A324&gt;='1-Input'!$C$12,'1-Input'!$B$12,0))-MIN(MAX(AH323,0),MAX(0,AD286-IF($A324&gt;='1-Input'!$C$12,'1-Input'!$B$12,0))))*(1/(1-'P-Parametri'!$B$6*AD324))+MIN(MAX(0,AI323-(MAX(0,AD286-IF($A324&gt;='1-Input'!$C$12,'1-Input'!$B$12,0))-MIN(MAX(AH323,0),MAX(0,AD286-IF($A324&gt;='1-Input'!$C$12,'1-Input'!$B$12,0))))*(1/(1-'P-Parametri'!$B$6*AD324))),MAX(0,3*AD286-(AH323-MIN(MAX(AH323,0),MAX(0,AD286-IF($A324&gt;='1-Input'!$C$12,'1-Input'!$B$12,0)))))*(1/(1-'P-Parametri'!$B$6*AD324))))</f>
        <v>6314.9862007317124</v>
      </c>
      <c r="AF324" s="18">
        <f>IF($A324&gt;'1-Input'!$B$26,AH323,(AH323-MAX(0,AD286-IF($A324&gt;='1-Input'!$C$12,'1-Input'!$B$12,0))+AE324*(1-'P-Parametri'!$B$6*AD324))*(1+'1-Input'!$B$27))</f>
        <v>48978.461285441888</v>
      </c>
      <c r="AG324" s="18">
        <f>IF($A324&gt;'1-Input'!$B$26,AI323,(AI323-AE324)*(1+$B$4))</f>
        <v>0</v>
      </c>
      <c r="AH324" s="18">
        <f>IF($A324&gt;'1-Input'!$B$26,AF324,AF324-'P-Parametri'!$B$8*(AG324+AF324)+MIN(MAX(AG324,0),'P-Parametri'!$B$8*(AG324+AF324)))</f>
        <v>48880.504362871005</v>
      </c>
      <c r="AI324" s="18">
        <f>IF($A324&gt;'1-Input'!$B$26,AG324,AG324-MIN(MAX(AG324,0),'P-Parametri'!$B$8*(AG324+AF324)))</f>
        <v>0</v>
      </c>
      <c r="AJ324" s="18">
        <f>IF($A324&gt;'1-Input'!$B$26,AJ323,AJ323-AE324*(1-AD324))</f>
        <v>4.5474735088646412E-13</v>
      </c>
      <c r="AK324" s="11">
        <f>IF($A324&gt;'1-Input'!$B$26,0,IF(AP323&lt;=0,0,MAX(0,(AP323-AQ323)/AP323)))</f>
        <v>0.55336163676955608</v>
      </c>
      <c r="AL324" s="18">
        <f>IF($A324&gt;'1-Input'!$B$26,0,(MAX(0,AK286-IF($A324&gt;='1-Input'!$C$12,'1-Input'!$B$12,0))-MIN(MAX(AO323,0),MAX(0,AK286-IF($A324&gt;='1-Input'!$C$12,'1-Input'!$B$12,0))))*(1/(1-'P-Parametri'!$B$6*AK324))+MIN(MAX(0,AP323-(MAX(0,AK286-IF($A324&gt;='1-Input'!$C$12,'1-Input'!$B$12,0))-MIN(MAX(AO323,0),MAX(0,AK286-IF($A324&gt;='1-Input'!$C$12,'1-Input'!$B$12,0))))*(1/(1-'P-Parametri'!$B$6*AK324))),MAX(0,3*AK286-(AO323-MIN(MAX(AO323,0),MAX(0,AK286-IF($A324&gt;='1-Input'!$C$12,'1-Input'!$B$12,0)))))*(1/(1-'P-Parametri'!$B$6*AK324))))</f>
        <v>6314.9849966799729</v>
      </c>
      <c r="AM324" s="18">
        <f>IF($A324&gt;'1-Input'!$B$26,AO323,(AO323-MAX(0,AK286-IF($A324&gt;='1-Input'!$C$12,'1-Input'!$B$12,0))+AL324*(1-'P-Parametri'!$B$6*AK324))*(1+'1-Input'!$B$27))</f>
        <v>48978.460300972401</v>
      </c>
      <c r="AN324" s="18">
        <f>IF($A324&gt;'1-Input'!$B$26,AP323,(AP323-AL324)*(1+$B$4))</f>
        <v>0</v>
      </c>
      <c r="AO324" s="18">
        <f>IF($A324&gt;'1-Input'!$B$26,AM324,AM324-'P-Parametri'!$B$8*(AN324+AM324)+MIN(MAX(AN324,0),'P-Parametri'!$B$8*(AN324+AM324)))</f>
        <v>48880.503380370457</v>
      </c>
      <c r="AP324" s="18">
        <f>IF($A324&gt;'1-Input'!$B$26,AN324,AN324-MIN(MAX(AN324,0),'P-Parametri'!$B$8*(AN324+AM324)))</f>
        <v>0</v>
      </c>
      <c r="AQ324" s="18">
        <f>IF($A324&gt;'1-Input'!$B$26,AQ323,AQ323-AL324*(1-AK324))</f>
        <v>4.5474735088646412E-13</v>
      </c>
    </row>
    <row r="325" spans="1:43">
      <c r="A325" s="10">
        <f>37</f>
        <v>37</v>
      </c>
      <c r="B325" s="11">
        <f>IF($A325&gt;'1-Input'!$B$26,0,IF(G324&lt;=0,0,MAX(0,(G324-H324)/G324)))</f>
        <v>0</v>
      </c>
      <c r="C325" s="18">
        <f>IF($A325&gt;'1-Input'!$B$26,0,(MAX(0,B286-IF($A325&gt;='1-Input'!$C$12,'1-Input'!$B$12,0))-MIN(MAX(F324,0),MAX(0,B286-IF($A325&gt;='1-Input'!$C$12,'1-Input'!$B$12,0))))*(1/(1-'P-Parametri'!$B$6*B325))+MIN(MAX(0,G324-(MAX(0,B286-IF($A325&gt;='1-Input'!$C$12,'1-Input'!$B$12,0))-MIN(MAX(F324,0),MAX(0,B286-IF($A325&gt;='1-Input'!$C$12,'1-Input'!$B$12,0))))*(1/(1-'P-Parametri'!$B$6*B325))),MAX(0,3*B286-(F324-MIN(MAX(F324,0),MAX(0,B286-IF($A325&gt;='1-Input'!$C$12,'1-Input'!$B$12,0)))))*(1/(1-'P-Parametri'!$B$6*B325))))</f>
        <v>0</v>
      </c>
      <c r="D325" s="18">
        <f>IF($A325&gt;'1-Input'!$B$26,F324,(F324-MAX(0,B286-IF($A325&gt;='1-Input'!$C$12,'1-Input'!$B$12,0))+C325*(1-'P-Parametri'!$B$6*B325))*(1+'1-Input'!$B$27))</f>
        <v>30045.627444893038</v>
      </c>
      <c r="E325" s="18">
        <f>IF($A325&gt;'1-Input'!$B$26,G324,(G324-C325)*(1+$B$4))</f>
        <v>0</v>
      </c>
      <c r="F325" s="18">
        <f>IF($A325&gt;'1-Input'!$B$26,D325,D325-'P-Parametri'!$B$8*(E325+D325)+MIN(MAX(E325,0),'P-Parametri'!$B$8*(E325+D325)))</f>
        <v>29985.536190003251</v>
      </c>
      <c r="G325" s="18">
        <f>IF($A325&gt;'1-Input'!$B$26,E325,E325-MIN(MAX(E325,0),'P-Parametri'!$B$8*(E325+D325)))</f>
        <v>0</v>
      </c>
      <c r="H325" s="18">
        <f>IF($A325&gt;'1-Input'!$B$26,H324,H324-C325*(1-B325))</f>
        <v>0</v>
      </c>
      <c r="I325" s="11">
        <f>IF($A325&gt;'1-Input'!$B$26,0,IF(N324&lt;=0,0,MAX(0,(N324-O324)/N324)))</f>
        <v>0</v>
      </c>
      <c r="J325" s="18">
        <f>IF($A325&gt;'1-Input'!$B$26,0,(MAX(0,I286-IF($A325&gt;='1-Input'!$C$12,'1-Input'!$B$12,0))-MIN(MAX(M324,0),MAX(0,I286-IF($A325&gt;='1-Input'!$C$12,'1-Input'!$B$12,0))))*(1/(1-'P-Parametri'!$B$6*I325))+MIN(MAX(0,N324-(MAX(0,I286-IF($A325&gt;='1-Input'!$C$12,'1-Input'!$B$12,0))-MIN(MAX(M324,0),MAX(0,I286-IF($A325&gt;='1-Input'!$C$12,'1-Input'!$B$12,0))))*(1/(1-'P-Parametri'!$B$6*I325))),MAX(0,3*I286-(M324-MIN(MAX(M324,0),MAX(0,I286-IF($A325&gt;='1-Input'!$C$12,'1-Input'!$B$12,0)))))*(1/(1-'P-Parametri'!$B$6*I325))))</f>
        <v>10846.756992928691</v>
      </c>
      <c r="K325" s="18">
        <f>IF($A325&gt;'1-Input'!$B$26,M324,(M324-MAX(0,I286-IF($A325&gt;='1-Input'!$C$12,'1-Input'!$B$12,0))+J325*(1-'P-Parametri'!$B$6*I325))*(1+'1-Input'!$B$27))</f>
        <v>0</v>
      </c>
      <c r="L325" s="18">
        <f>IF($A325&gt;'1-Input'!$B$26,N324,(N324-J325)*(1+$B$4))</f>
        <v>-225327.23819262147</v>
      </c>
      <c r="M325" s="18">
        <f>IF($A325&gt;'1-Input'!$B$26,K325,K325-'P-Parametri'!$B$8*(L325+K325)+MIN(MAX(L325,0),'P-Parametri'!$B$8*(L325+K325)))</f>
        <v>0</v>
      </c>
      <c r="N325" s="18">
        <f>IF($A325&gt;'1-Input'!$B$26,L325,L325-MIN(MAX(L325,0),'P-Parametri'!$B$8*(L325+K325)))</f>
        <v>-224876.58371623623</v>
      </c>
      <c r="O325" s="18">
        <f>IF($A325&gt;'1-Input'!$B$26,O324,O324-J325*(1-I325))</f>
        <v>-190220.18067193043</v>
      </c>
      <c r="P325" s="11">
        <f>IF($A325&gt;'1-Input'!$B$26,0,IF(U324&lt;=0,0,MAX(0,(U324-V324)/U324)))</f>
        <v>0</v>
      </c>
      <c r="Q325" s="18">
        <f>IF($A325&gt;'1-Input'!$B$26,0,(MAX(0,P286-IF($A325&gt;='1-Input'!$C$12,'1-Input'!$B$12,0))-MIN(MAX(T324,0),MAX(0,P286-IF($A325&gt;='1-Input'!$C$12,'1-Input'!$B$12,0))))*(1/(1-'P-Parametri'!$B$6*P325))+MIN(MAX(0,U324-(MAX(0,P286-IF($A325&gt;='1-Input'!$C$12,'1-Input'!$B$12,0))-MIN(MAX(T324,0),MAX(0,P286-IF($A325&gt;='1-Input'!$C$12,'1-Input'!$B$12,0))))*(1/(1-'P-Parametri'!$B$6*P325))),MAX(0,3*P286-(T324-MIN(MAX(T324,0),MAX(0,P286-IF($A325&gt;='1-Input'!$C$12,'1-Input'!$B$12,0)))))*(1/(1-'P-Parametri'!$B$6*P325))))</f>
        <v>0</v>
      </c>
      <c r="R325" s="18">
        <f>IF($A325&gt;'1-Input'!$B$26,T324,(T324-MAX(0,P286-IF($A325&gt;='1-Input'!$C$12,'1-Input'!$B$12,0))+Q325*(1-'P-Parametri'!$B$6*P325))*(1+'1-Input'!$B$27))</f>
        <v>42060.534594635988</v>
      </c>
      <c r="S325" s="18">
        <f>IF($A325&gt;'1-Input'!$B$26,U324,(U324-Q325)*(1+$B$4))</f>
        <v>0</v>
      </c>
      <c r="T325" s="18">
        <f>IF($A325&gt;'1-Input'!$B$26,R325,R325-'P-Parametri'!$B$8*(S325+R325)+MIN(MAX(S325,0),'P-Parametri'!$B$8*(S325+R325)))</f>
        <v>41976.413525446718</v>
      </c>
      <c r="U325" s="18">
        <f>IF($A325&gt;'1-Input'!$B$26,S325,S325-MIN(MAX(S325,0),'P-Parametri'!$B$8*(S325+R325)))</f>
        <v>0</v>
      </c>
      <c r="V325" s="18">
        <f>IF($A325&gt;'1-Input'!$B$26,V324,V324-Q325*(1-P325))</f>
        <v>0</v>
      </c>
      <c r="W325" s="11">
        <f>IF($A325&gt;'1-Input'!$B$26,0,IF(AB324&lt;=0,0,MAX(0,(AB324-AC324)/AB324)))</f>
        <v>0</v>
      </c>
      <c r="X325" s="18">
        <f>IF($A325&gt;'1-Input'!$B$26,0,(MAX(0,W286-IF($A325&gt;='1-Input'!$C$12,'1-Input'!$B$12,0))-MIN(MAX(AA324,0),MAX(0,W286-IF($A325&gt;='1-Input'!$C$12,'1-Input'!$B$12,0))))*(1/(1-'P-Parametri'!$B$6*W325))+MIN(MAX(0,AB324-(MAX(0,W286-IF($A325&gt;='1-Input'!$C$12,'1-Input'!$B$12,0))-MIN(MAX(AA324,0),MAX(0,W286-IF($A325&gt;='1-Input'!$C$12,'1-Input'!$B$12,0))))*(1/(1-'P-Parametri'!$B$6*W325))),MAX(0,3*W286-(AA324-MIN(MAX(AA324,0),MAX(0,W286-IF($A325&gt;='1-Input'!$C$12,'1-Input'!$B$12,0)))))*(1/(1-'P-Parametri'!$B$6*W325))))</f>
        <v>0</v>
      </c>
      <c r="Y325" s="18">
        <f>IF($A325&gt;'1-Input'!$B$26,AA324,(AA324-MAX(0,W286-IF($A325&gt;='1-Input'!$C$12,'1-Input'!$B$12,0))+X325*(1-'P-Parametri'!$B$6*W325))*(1+'1-Input'!$B$27))</f>
        <v>43271.935439484136</v>
      </c>
      <c r="Z325" s="18">
        <f>IF($A325&gt;'1-Input'!$B$26,AB324,(AB324-X325)*(1+$B$4))</f>
        <v>0</v>
      </c>
      <c r="AA325" s="18">
        <f>IF($A325&gt;'1-Input'!$B$26,Y325,Y325-'P-Parametri'!$B$8*(Z325+Y325)+MIN(MAX(Z325,0),'P-Parametri'!$B$8*(Z325+Y325)))</f>
        <v>43185.39156860517</v>
      </c>
      <c r="AB325" s="18">
        <f>IF($A325&gt;'1-Input'!$B$26,Z325,Z325-MIN(MAX(Z325,0),'P-Parametri'!$B$8*(Z325+Y325)))</f>
        <v>0</v>
      </c>
      <c r="AC325" s="18">
        <f>IF($A325&gt;'1-Input'!$B$26,AC324,AC324-X325*(1-W325))</f>
        <v>0</v>
      </c>
      <c r="AD325" s="11">
        <f>IF($A325&gt;'1-Input'!$B$26,0,IF(AI324&lt;=0,0,MAX(0,(AI324-AJ324)/AI324)))</f>
        <v>0</v>
      </c>
      <c r="AE325" s="18">
        <f>IF($A325&gt;'1-Input'!$B$26,0,(MAX(0,AD286-IF($A325&gt;='1-Input'!$C$12,'1-Input'!$B$12,0))-MIN(MAX(AH324,0),MAX(0,AD286-IF($A325&gt;='1-Input'!$C$12,'1-Input'!$B$12,0))))*(1/(1-'P-Parametri'!$B$6*AD325))+MIN(MAX(0,AI324-(MAX(0,AD286-IF($A325&gt;='1-Input'!$C$12,'1-Input'!$B$12,0))-MIN(MAX(AH324,0),MAX(0,AD286-IF($A325&gt;='1-Input'!$C$12,'1-Input'!$B$12,0))))*(1/(1-'P-Parametri'!$B$6*AD325))),MAX(0,3*AD286-(AH324-MIN(MAX(AH324,0),MAX(0,AD286-IF($A325&gt;='1-Input'!$C$12,'1-Input'!$B$12,0)))))*(1/(1-'P-Parametri'!$B$6*AD325))))</f>
        <v>0</v>
      </c>
      <c r="AF325" s="18">
        <f>IF($A325&gt;'1-Input'!$B$26,AH324,(AH324-MAX(0,AD286-IF($A325&gt;='1-Input'!$C$12,'1-Input'!$B$12,0))+AE325*(1-'P-Parametri'!$B$6*AD325))*(1+'1-Input'!$B$27))</f>
        <v>43413.526979444337</v>
      </c>
      <c r="AG325" s="18">
        <f>IF($A325&gt;'1-Input'!$B$26,AI324,(AI324-AE325)*(1+$B$4))</f>
        <v>0</v>
      </c>
      <c r="AH325" s="18">
        <f>IF($A325&gt;'1-Input'!$B$26,AF325,AF325-'P-Parametri'!$B$8*(AG325+AF325)+MIN(MAX(AG325,0),'P-Parametri'!$B$8*(AG325+AF325)))</f>
        <v>43326.699925485445</v>
      </c>
      <c r="AI325" s="18">
        <f>IF($A325&gt;'1-Input'!$B$26,AG325,AG325-MIN(MAX(AG325,0),'P-Parametri'!$B$8*(AG325+AF325)))</f>
        <v>0</v>
      </c>
      <c r="AJ325" s="18">
        <f>IF($A325&gt;'1-Input'!$B$26,AJ324,AJ324-AE325*(1-AD325))</f>
        <v>4.5474735088646412E-13</v>
      </c>
      <c r="AK325" s="11">
        <f>IF($A325&gt;'1-Input'!$B$26,0,IF(AP324&lt;=0,0,MAX(0,(AP324-AQ324)/AP324)))</f>
        <v>0</v>
      </c>
      <c r="AL325" s="18">
        <f>IF($A325&gt;'1-Input'!$B$26,0,(MAX(0,AK286-IF($A325&gt;='1-Input'!$C$12,'1-Input'!$B$12,0))-MIN(MAX(AO324,0),MAX(0,AK286-IF($A325&gt;='1-Input'!$C$12,'1-Input'!$B$12,0))))*(1/(1-'P-Parametri'!$B$6*AK325))+MIN(MAX(0,AP324-(MAX(0,AK286-IF($A325&gt;='1-Input'!$C$12,'1-Input'!$B$12,0))-MIN(MAX(AO324,0),MAX(0,AK286-IF($A325&gt;='1-Input'!$C$12,'1-Input'!$B$12,0))))*(1/(1-'P-Parametri'!$B$6*AK325))),MAX(0,3*AK286-(AO324-MIN(MAX(AO324,0),MAX(0,AK286-IF($A325&gt;='1-Input'!$C$12,'1-Input'!$B$12,0)))))*(1/(1-'P-Parametri'!$B$6*AK325))))</f>
        <v>0</v>
      </c>
      <c r="AM325" s="18">
        <f>IF($A325&gt;'1-Input'!$B$26,AO324,(AO324-MAX(0,AK286-IF($A325&gt;='1-Input'!$C$12,'1-Input'!$B$12,0))+AL325*(1-'P-Parametri'!$B$6*AK325))*(1+'1-Input'!$B$27))</f>
        <v>43413.52598071962</v>
      </c>
      <c r="AN325" s="18">
        <f>IF($A325&gt;'1-Input'!$B$26,AP324,(AP324-AL325)*(1+$B$4))</f>
        <v>0</v>
      </c>
      <c r="AO325" s="18">
        <f>IF($A325&gt;'1-Input'!$B$26,AM325,AM325-'P-Parametri'!$B$8*(AN325+AM325)+MIN(MAX(AN325,0),'P-Parametri'!$B$8*(AN325+AM325)))</f>
        <v>43326.698928758182</v>
      </c>
      <c r="AP325" s="18">
        <f>IF($A325&gt;'1-Input'!$B$26,AN325,AN325-MIN(MAX(AN325,0),'P-Parametri'!$B$8*(AN325+AM325)))</f>
        <v>0</v>
      </c>
      <c r="AQ325" s="18">
        <f>IF($A325&gt;'1-Input'!$B$26,AQ324,AQ324-AL325*(1-AK325))</f>
        <v>4.5474735088646412E-13</v>
      </c>
    </row>
    <row r="326" spans="1:43">
      <c r="A326" s="10">
        <f>38</f>
        <v>38</v>
      </c>
      <c r="B326" s="11">
        <f>IF($A326&gt;'1-Input'!$B$26,0,IF(G325&lt;=0,0,MAX(0,(G325-H325)/G325)))</f>
        <v>0</v>
      </c>
      <c r="C326" s="18">
        <f>IF($A326&gt;'1-Input'!$B$26,0,(MAX(0,B286-IF($A326&gt;='1-Input'!$C$12,'1-Input'!$B$12,0))-MIN(MAX(F325,0),MAX(0,B286-IF($A326&gt;='1-Input'!$C$12,'1-Input'!$B$12,0))))*(1/(1-'P-Parametri'!$B$6*B326))+MIN(MAX(0,G325-(MAX(0,B286-IF($A326&gt;='1-Input'!$C$12,'1-Input'!$B$12,0))-MIN(MAX(F325,0),MAX(0,B286-IF($A326&gt;='1-Input'!$C$12,'1-Input'!$B$12,0))))*(1/(1-'P-Parametri'!$B$6*B326))),MAX(0,3*B286-(F325-MIN(MAX(F325,0),MAX(0,B286-IF($A326&gt;='1-Input'!$C$12,'1-Input'!$B$12,0)))))*(1/(1-'P-Parametri'!$B$6*B326))))</f>
        <v>0</v>
      </c>
      <c r="D326" s="18">
        <f>IF($A326&gt;'1-Input'!$B$26,F325,(F325-MAX(0,B286-IF($A326&gt;='1-Input'!$C$12,'1-Input'!$B$12,0))+C326*(1-'P-Parametri'!$B$6*B326))*(1+'1-Input'!$B$27))</f>
        <v>24318.61754422609</v>
      </c>
      <c r="E326" s="18">
        <f>IF($A326&gt;'1-Input'!$B$26,G325,(G325-C326)*(1+$B$4))</f>
        <v>0</v>
      </c>
      <c r="F326" s="18">
        <f>IF($A326&gt;'1-Input'!$B$26,D326,D326-'P-Parametri'!$B$8*(E326+D326)+MIN(MAX(E326,0),'P-Parametri'!$B$8*(E326+D326)))</f>
        <v>24269.980309137638</v>
      </c>
      <c r="G326" s="18">
        <f>IF($A326&gt;'1-Input'!$B$26,E326,E326-MIN(MAX(E326,0),'P-Parametri'!$B$8*(E326+D326)))</f>
        <v>0</v>
      </c>
      <c r="H326" s="18">
        <f>IF($A326&gt;'1-Input'!$B$26,H325,H325-C326*(1-B326))</f>
        <v>0</v>
      </c>
      <c r="I326" s="11">
        <f>IF($A326&gt;'1-Input'!$B$26,0,IF(N325&lt;=0,0,MAX(0,(N325-O325)/N325)))</f>
        <v>0</v>
      </c>
      <c r="J326" s="18">
        <f>IF($A326&gt;'1-Input'!$B$26,0,(MAX(0,I286-IF($A326&gt;='1-Input'!$C$12,'1-Input'!$B$12,0))-MIN(MAX(M325,0),MAX(0,I286-IF($A326&gt;='1-Input'!$C$12,'1-Input'!$B$12,0))))*(1/(1-'P-Parametri'!$B$6*I326))+MIN(MAX(0,N325-(MAX(0,I286-IF($A326&gt;='1-Input'!$C$12,'1-Input'!$B$12,0))-MIN(MAX(M325,0),MAX(0,I286-IF($A326&gt;='1-Input'!$C$12,'1-Input'!$B$12,0))))*(1/(1-'P-Parametri'!$B$6*I326))),MAX(0,3*I286-(M325-MIN(MAX(M325,0),MAX(0,I286-IF($A326&gt;='1-Input'!$C$12,'1-Input'!$B$12,0)))))*(1/(1-'P-Parametri'!$B$6*I326))))</f>
        <v>10846.756992928691</v>
      </c>
      <c r="K326" s="18">
        <f>IF($A326&gt;'1-Input'!$B$26,M325,(M325-MAX(0,I286-IF($A326&gt;='1-Input'!$C$12,'1-Input'!$B$12,0))+J326*(1-'P-Parametri'!$B$6*I326))*(1+'1-Input'!$B$27))</f>
        <v>0</v>
      </c>
      <c r="L326" s="18">
        <f>IF($A326&gt;'1-Input'!$B$26,N325,(N325-J326)*(1+$B$4))</f>
        <v>-240437.80752334822</v>
      </c>
      <c r="M326" s="18">
        <f>IF($A326&gt;'1-Input'!$B$26,K326,K326-'P-Parametri'!$B$8*(L326+K326)+MIN(MAX(L326,0),'P-Parametri'!$B$8*(L326+K326)))</f>
        <v>0</v>
      </c>
      <c r="N326" s="18">
        <f>IF($A326&gt;'1-Input'!$B$26,L326,L326-MIN(MAX(L326,0),'P-Parametri'!$B$8*(L326+K326)))</f>
        <v>-239956.93190830151</v>
      </c>
      <c r="O326" s="18">
        <f>IF($A326&gt;'1-Input'!$B$26,O325,O325-J326*(1-I326))</f>
        <v>-201066.93766485911</v>
      </c>
      <c r="P326" s="11">
        <f>IF($A326&gt;'1-Input'!$B$26,0,IF(U325&lt;=0,0,MAX(0,(U325-V325)/U325)))</f>
        <v>0</v>
      </c>
      <c r="Q326" s="18">
        <f>IF($A326&gt;'1-Input'!$B$26,0,(MAX(0,P286-IF($A326&gt;='1-Input'!$C$12,'1-Input'!$B$12,0))-MIN(MAX(T325,0),MAX(0,P286-IF($A326&gt;='1-Input'!$C$12,'1-Input'!$B$12,0))))*(1/(1-'P-Parametri'!$B$6*P326))+MIN(MAX(0,U325-(MAX(0,P286-IF($A326&gt;='1-Input'!$C$12,'1-Input'!$B$12,0))-MIN(MAX(T325,0),MAX(0,P286-IF($A326&gt;='1-Input'!$C$12,'1-Input'!$B$12,0))))*(1/(1-'P-Parametri'!$B$6*P326))),MAX(0,3*P286-(T325-MIN(MAX(T325,0),MAX(0,P286-IF($A326&gt;='1-Input'!$C$12,'1-Input'!$B$12,0)))))*(1/(1-'P-Parametri'!$B$6*P326))))</f>
        <v>0</v>
      </c>
      <c r="R326" s="18">
        <f>IF($A326&gt;'1-Input'!$B$26,T325,(T325-MAX(0,P286-IF($A326&gt;='1-Input'!$C$12,'1-Input'!$B$12,0))+Q326*(1-'P-Parametri'!$B$6*P326))*(1+'1-Input'!$B$27))</f>
        <v>36507.519799785448</v>
      </c>
      <c r="S326" s="18">
        <f>IF($A326&gt;'1-Input'!$B$26,U325,(U325-Q326)*(1+$B$4))</f>
        <v>0</v>
      </c>
      <c r="T326" s="18">
        <f>IF($A326&gt;'1-Input'!$B$26,R326,R326-'P-Parametri'!$B$8*(S326+R326)+MIN(MAX(S326,0),'P-Parametri'!$B$8*(S326+R326)))</f>
        <v>36434.504760185875</v>
      </c>
      <c r="U326" s="18">
        <f>IF($A326&gt;'1-Input'!$B$26,S326,S326-MIN(MAX(S326,0),'P-Parametri'!$B$8*(S326+R326)))</f>
        <v>0</v>
      </c>
      <c r="V326" s="18">
        <f>IF($A326&gt;'1-Input'!$B$26,V325,V325-Q326*(1-P326))</f>
        <v>0</v>
      </c>
      <c r="W326" s="11">
        <f>IF($A326&gt;'1-Input'!$B$26,0,IF(AB325&lt;=0,0,MAX(0,(AB325-AC325)/AB325)))</f>
        <v>0</v>
      </c>
      <c r="X326" s="18">
        <f>IF($A326&gt;'1-Input'!$B$26,0,(MAX(0,W286-IF($A326&gt;='1-Input'!$C$12,'1-Input'!$B$12,0))-MIN(MAX(AA325,0),MAX(0,W286-IF($A326&gt;='1-Input'!$C$12,'1-Input'!$B$12,0))))*(1/(1-'P-Parametri'!$B$6*W326))+MIN(MAX(0,AB325-(MAX(0,W286-IF($A326&gt;='1-Input'!$C$12,'1-Input'!$B$12,0))-MIN(MAX(AA325,0),MAX(0,W286-IF($A326&gt;='1-Input'!$C$12,'1-Input'!$B$12,0))))*(1/(1-'P-Parametri'!$B$6*W326))),MAX(0,3*W286-(AA325-MIN(MAX(AA325,0),MAX(0,W286-IF($A326&gt;='1-Input'!$C$12,'1-Input'!$B$12,0)))))*(1/(1-'P-Parametri'!$B$6*W326))))</f>
        <v>0</v>
      </c>
      <c r="Y326" s="18">
        <f>IF($A326&gt;'1-Input'!$B$26,AA325,(AA325-MAX(0,W286-IF($A326&gt;='1-Input'!$C$12,'1-Input'!$B$12,0))+X326*(1-'P-Parametri'!$B$6*W326))*(1+'1-Input'!$B$27))</f>
        <v>37736.11500234533</v>
      </c>
      <c r="Z326" s="18">
        <f>IF($A326&gt;'1-Input'!$B$26,AB325,(AB325-X326)*(1+$B$4))</f>
        <v>0</v>
      </c>
      <c r="AA326" s="18">
        <f>IF($A326&gt;'1-Input'!$B$26,Y326,Y326-'P-Parametri'!$B$8*(Z326+Y326)+MIN(MAX(Z326,0),'P-Parametri'!$B$8*(Z326+Y326)))</f>
        <v>37660.642772340638</v>
      </c>
      <c r="AB326" s="18">
        <f>IF($A326&gt;'1-Input'!$B$26,Z326,Z326-MIN(MAX(Z326,0),'P-Parametri'!$B$8*(Z326+Y326)))</f>
        <v>0</v>
      </c>
      <c r="AC326" s="18">
        <f>IF($A326&gt;'1-Input'!$B$26,AC325,AC325-X326*(1-W326))</f>
        <v>0</v>
      </c>
      <c r="AD326" s="11">
        <f>IF($A326&gt;'1-Input'!$B$26,0,IF(AI325&lt;=0,0,MAX(0,(AI325-AJ325)/AI325)))</f>
        <v>0</v>
      </c>
      <c r="AE326" s="18">
        <f>IF($A326&gt;'1-Input'!$B$26,0,(MAX(0,AD286-IF($A326&gt;='1-Input'!$C$12,'1-Input'!$B$12,0))-MIN(MAX(AH325,0),MAX(0,AD286-IF($A326&gt;='1-Input'!$C$12,'1-Input'!$B$12,0))))*(1/(1-'P-Parametri'!$B$6*AD326))+MIN(MAX(0,AI325-(MAX(0,AD286-IF($A326&gt;='1-Input'!$C$12,'1-Input'!$B$12,0))-MIN(MAX(AH325,0),MAX(0,AD286-IF($A326&gt;='1-Input'!$C$12,'1-Input'!$B$12,0))))*(1/(1-'P-Parametri'!$B$6*AD326))),MAX(0,3*AD286-(AH325-MIN(MAX(AH325,0),MAX(0,AD286-IF($A326&gt;='1-Input'!$C$12,'1-Input'!$B$12,0)))))*(1/(1-'P-Parametri'!$B$6*AD326))))</f>
        <v>0</v>
      </c>
      <c r="AF326" s="18">
        <f>IF($A326&gt;'1-Input'!$B$26,AH325,(AH325-MAX(0,AD286-IF($A326&gt;='1-Input'!$C$12,'1-Input'!$B$12,0))+AE326*(1-'P-Parametri'!$B$6*AD326))*(1+'1-Input'!$B$27))</f>
        <v>37879.716238033361</v>
      </c>
      <c r="AG326" s="18">
        <f>IF($A326&gt;'1-Input'!$B$26,AI325,(AI325-AE326)*(1+$B$4))</f>
        <v>0</v>
      </c>
      <c r="AH326" s="18">
        <f>IF($A326&gt;'1-Input'!$B$26,AF326,AF326-'P-Parametri'!$B$8*(AG326+AF326)+MIN(MAX(AG326,0),'P-Parametri'!$B$8*(AG326+AF326)))</f>
        <v>37803.956805557296</v>
      </c>
      <c r="AI326" s="18">
        <f>IF($A326&gt;'1-Input'!$B$26,AG326,AG326-MIN(MAX(AG326,0),'P-Parametri'!$B$8*(AG326+AF326)))</f>
        <v>0</v>
      </c>
      <c r="AJ326" s="18">
        <f>IF($A326&gt;'1-Input'!$B$26,AJ325,AJ325-AE326*(1-AD326))</f>
        <v>4.5474735088646412E-13</v>
      </c>
      <c r="AK326" s="11">
        <f>IF($A326&gt;'1-Input'!$B$26,0,IF(AP325&lt;=0,0,MAX(0,(AP325-AQ325)/AP325)))</f>
        <v>0</v>
      </c>
      <c r="AL326" s="18">
        <f>IF($A326&gt;'1-Input'!$B$26,0,(MAX(0,AK286-IF($A326&gt;='1-Input'!$C$12,'1-Input'!$B$12,0))-MIN(MAX(AO325,0),MAX(0,AK286-IF($A326&gt;='1-Input'!$C$12,'1-Input'!$B$12,0))))*(1/(1-'P-Parametri'!$B$6*AK326))+MIN(MAX(0,AP325-(MAX(0,AK286-IF($A326&gt;='1-Input'!$C$12,'1-Input'!$B$12,0))-MIN(MAX(AO325,0),MAX(0,AK286-IF($A326&gt;='1-Input'!$C$12,'1-Input'!$B$12,0))))*(1/(1-'P-Parametri'!$B$6*AK326))),MAX(0,3*AK286-(AO325-MIN(MAX(AO325,0),MAX(0,AK286-IF($A326&gt;='1-Input'!$C$12,'1-Input'!$B$12,0)))))*(1/(1-'P-Parametri'!$B$6*AK326))))</f>
        <v>0</v>
      </c>
      <c r="AM326" s="18">
        <f>IF($A326&gt;'1-Input'!$B$26,AO325,(AO325-MAX(0,AK286-IF($A326&gt;='1-Input'!$C$12,'1-Input'!$B$12,0))+AL326*(1-'P-Parametri'!$B$6*AK326))*(1+'1-Input'!$B$27))</f>
        <v>37879.71522513315</v>
      </c>
      <c r="AN326" s="18">
        <f>IF($A326&gt;'1-Input'!$B$26,AP325,(AP325-AL326)*(1+$B$4))</f>
        <v>0</v>
      </c>
      <c r="AO326" s="18">
        <f>IF($A326&gt;'1-Input'!$B$26,AM326,AM326-'P-Parametri'!$B$8*(AN326+AM326)+MIN(MAX(AN326,0),'P-Parametri'!$B$8*(AN326+AM326)))</f>
        <v>37803.955794682886</v>
      </c>
      <c r="AP326" s="18">
        <f>IF($A326&gt;'1-Input'!$B$26,AN326,AN326-MIN(MAX(AN326,0),'P-Parametri'!$B$8*(AN326+AM326)))</f>
        <v>0</v>
      </c>
      <c r="AQ326" s="18">
        <f>IF($A326&gt;'1-Input'!$B$26,AQ325,AQ325-AL326*(1-AK326))</f>
        <v>4.5474735088646412E-13</v>
      </c>
    </row>
    <row r="327" spans="1:43">
      <c r="A327" s="10">
        <f>39</f>
        <v>39</v>
      </c>
      <c r="B327" s="11">
        <f>IF($A327&gt;'1-Input'!$B$26,0,IF(G326&lt;=0,0,MAX(0,(G326-H326)/G326)))</f>
        <v>0</v>
      </c>
      <c r="C327" s="18">
        <f>IF($A327&gt;'1-Input'!$B$26,0,(MAX(0,B286-IF($A327&gt;='1-Input'!$C$12,'1-Input'!$B$12,0))-MIN(MAX(F326,0),MAX(0,B286-IF($A327&gt;='1-Input'!$C$12,'1-Input'!$B$12,0))))*(1/(1-'P-Parametri'!$B$6*B327))+MIN(MAX(0,G326-(MAX(0,B286-IF($A327&gt;='1-Input'!$C$12,'1-Input'!$B$12,0))-MIN(MAX(F326,0),MAX(0,B286-IF($A327&gt;='1-Input'!$C$12,'1-Input'!$B$12,0))))*(1/(1-'P-Parametri'!$B$6*B327))),MAX(0,3*B286-(F326-MIN(MAX(F326,0),MAX(0,B286-IF($A327&gt;='1-Input'!$C$12,'1-Input'!$B$12,0)))))*(1/(1-'P-Parametri'!$B$6*B327))))</f>
        <v>0</v>
      </c>
      <c r="D327" s="18">
        <f>IF($A327&gt;'1-Input'!$B$26,F326,(F326-MAX(0,B286-IF($A327&gt;='1-Input'!$C$12,'1-Input'!$B$12,0))+C327*(1-'P-Parametri'!$B$6*B327))*(1+'1-Input'!$B$27))</f>
        <v>18623.63766453159</v>
      </c>
      <c r="E327" s="18">
        <f>IF($A327&gt;'1-Input'!$B$26,G326,(G326-C327)*(1+$B$4))</f>
        <v>0</v>
      </c>
      <c r="F327" s="18">
        <f>IF($A327&gt;'1-Input'!$B$26,D327,D327-'P-Parametri'!$B$8*(E327+D327)+MIN(MAX(E327,0),'P-Parametri'!$B$8*(E327+D327)))</f>
        <v>18586.390389202526</v>
      </c>
      <c r="G327" s="18">
        <f>IF($A327&gt;'1-Input'!$B$26,E327,E327-MIN(MAX(E327,0),'P-Parametri'!$B$8*(E327+D327)))</f>
        <v>0</v>
      </c>
      <c r="H327" s="18">
        <f>IF($A327&gt;'1-Input'!$B$26,H326,H326-C327*(1-B327))</f>
        <v>0</v>
      </c>
      <c r="I327" s="11">
        <f>IF($A327&gt;'1-Input'!$B$26,0,IF(N326&lt;=0,0,MAX(0,(N326-O326)/N326)))</f>
        <v>0</v>
      </c>
      <c r="J327" s="18">
        <f>IF($A327&gt;'1-Input'!$B$26,0,(MAX(0,I286-IF($A327&gt;='1-Input'!$C$12,'1-Input'!$B$12,0))-MIN(MAX(M326,0),MAX(0,I286-IF($A327&gt;='1-Input'!$C$12,'1-Input'!$B$12,0))))*(1/(1-'P-Parametri'!$B$6*I327))+MIN(MAX(0,N326-(MAX(0,I286-IF($A327&gt;='1-Input'!$C$12,'1-Input'!$B$12,0))-MIN(MAX(M326,0),MAX(0,I286-IF($A327&gt;='1-Input'!$C$12,'1-Input'!$B$12,0))))*(1/(1-'P-Parametri'!$B$6*I327))),MAX(0,3*I286-(M326-MIN(MAX(M326,0),MAX(0,I286-IF($A327&gt;='1-Input'!$C$12,'1-Input'!$B$12,0)))))*(1/(1-'P-Parametri'!$B$6*I327))))</f>
        <v>10846.756992928691</v>
      </c>
      <c r="K327" s="18">
        <f>IF($A327&gt;'1-Input'!$B$26,M326,(M326-MAX(0,I286-IF($A327&gt;='1-Input'!$C$12,'1-Input'!$B$12,0))+J327*(1-'P-Parametri'!$B$6*I327))*(1+'1-Input'!$B$27))</f>
        <v>0</v>
      </c>
      <c r="L327" s="18">
        <f>IF($A327&gt;'1-Input'!$B$26,N326,(N326-J327)*(1+$B$4))</f>
        <v>-255819.76267925481</v>
      </c>
      <c r="M327" s="18">
        <f>IF($A327&gt;'1-Input'!$B$26,K327,K327-'P-Parametri'!$B$8*(L327+K327)+MIN(MAX(L327,0),'P-Parametri'!$B$8*(L327+K327)))</f>
        <v>0</v>
      </c>
      <c r="N327" s="18">
        <f>IF($A327&gt;'1-Input'!$B$26,L327,L327-MIN(MAX(L327,0),'P-Parametri'!$B$8*(L327+K327)))</f>
        <v>-255308.1231538963</v>
      </c>
      <c r="O327" s="18">
        <f>IF($A327&gt;'1-Input'!$B$26,O326,O326-J327*(1-I327))</f>
        <v>-211913.6946577878</v>
      </c>
      <c r="P327" s="11">
        <f>IF($A327&gt;'1-Input'!$B$26,0,IF(U326&lt;=0,0,MAX(0,(U326-V326)/U326)))</f>
        <v>0</v>
      </c>
      <c r="Q327" s="18">
        <f>IF($A327&gt;'1-Input'!$B$26,0,(MAX(0,P286-IF($A327&gt;='1-Input'!$C$12,'1-Input'!$B$12,0))-MIN(MAX(T326,0),MAX(0,P286-IF($A327&gt;='1-Input'!$C$12,'1-Input'!$B$12,0))))*(1/(1-'P-Parametri'!$B$6*P327))+MIN(MAX(0,U326-(MAX(0,P286-IF($A327&gt;='1-Input'!$C$12,'1-Input'!$B$12,0))-MIN(MAX(T326,0),MAX(0,P286-IF($A327&gt;='1-Input'!$C$12,'1-Input'!$B$12,0))))*(1/(1-'P-Parametri'!$B$6*P327))),MAX(0,3*P286-(T326-MIN(MAX(T326,0),MAX(0,P286-IF($A327&gt;='1-Input'!$C$12,'1-Input'!$B$12,0)))))*(1/(1-'P-Parametri'!$B$6*P327))))</f>
        <v>0</v>
      </c>
      <c r="R327" s="18">
        <f>IF($A327&gt;'1-Input'!$B$26,T326,(T326-MAX(0,P286-IF($A327&gt;='1-Input'!$C$12,'1-Input'!$B$12,0))+Q327*(1-'P-Parametri'!$B$6*P327))*(1+'1-Input'!$B$27))</f>
        <v>30985.561906079547</v>
      </c>
      <c r="S327" s="18">
        <f>IF($A327&gt;'1-Input'!$B$26,U326,(U326-Q327)*(1+$B$4))</f>
        <v>0</v>
      </c>
      <c r="T327" s="18">
        <f>IF($A327&gt;'1-Input'!$B$26,R327,R327-'P-Parametri'!$B$8*(S327+R327)+MIN(MAX(S327,0),'P-Parametri'!$B$8*(S327+R327)))</f>
        <v>30923.590782267387</v>
      </c>
      <c r="U327" s="18">
        <f>IF($A327&gt;'1-Input'!$B$26,S327,S327-MIN(MAX(S327,0),'P-Parametri'!$B$8*(S327+R327)))</f>
        <v>0</v>
      </c>
      <c r="V327" s="18">
        <f>IF($A327&gt;'1-Input'!$B$26,V326,V326-Q327*(1-P327))</f>
        <v>0</v>
      </c>
      <c r="W327" s="11">
        <f>IF($A327&gt;'1-Input'!$B$26,0,IF(AB326&lt;=0,0,MAX(0,(AB326-AC326)/AB326)))</f>
        <v>0</v>
      </c>
      <c r="X327" s="18">
        <f>IF($A327&gt;'1-Input'!$B$26,0,(MAX(0,W286-IF($A327&gt;='1-Input'!$C$12,'1-Input'!$B$12,0))-MIN(MAX(AA326,0),MAX(0,W286-IF($A327&gt;='1-Input'!$C$12,'1-Input'!$B$12,0))))*(1/(1-'P-Parametri'!$B$6*W327))+MIN(MAX(0,AB326-(MAX(0,W286-IF($A327&gt;='1-Input'!$C$12,'1-Input'!$B$12,0))-MIN(MAX(AA326,0),MAX(0,W286-IF($A327&gt;='1-Input'!$C$12,'1-Input'!$B$12,0))))*(1/(1-'P-Parametri'!$B$6*W327))),MAX(0,3*W286-(AA326-MIN(MAX(AA326,0),MAX(0,W286-IF($A327&gt;='1-Input'!$C$12,'1-Input'!$B$12,0)))))*(1/(1-'P-Parametri'!$B$6*W327))))</f>
        <v>0</v>
      </c>
      <c r="Y327" s="18">
        <f>IF($A327&gt;'1-Input'!$B$26,AA326,(AA326-MAX(0,W286-IF($A327&gt;='1-Input'!$C$12,'1-Input'!$B$12,0))+X327*(1-'P-Parametri'!$B$6*W327))*(1+'1-Input'!$B$27))</f>
        <v>32231.255301747347</v>
      </c>
      <c r="Z327" s="18">
        <f>IF($A327&gt;'1-Input'!$B$26,AB326,(AB326-X327)*(1+$B$4))</f>
        <v>0</v>
      </c>
      <c r="AA327" s="18">
        <f>IF($A327&gt;'1-Input'!$B$26,Y327,Y327-'P-Parametri'!$B$8*(Z327+Y327)+MIN(MAX(Z327,0),'P-Parametri'!$B$8*(Z327+Y327)))</f>
        <v>32166.792791143853</v>
      </c>
      <c r="AB327" s="18">
        <f>IF($A327&gt;'1-Input'!$B$26,Z327,Z327-MIN(MAX(Z327,0),'P-Parametri'!$B$8*(Z327+Y327)))</f>
        <v>0</v>
      </c>
      <c r="AC327" s="18">
        <f>IF($A327&gt;'1-Input'!$B$26,AC326,AC326-X327*(1-W327))</f>
        <v>0</v>
      </c>
      <c r="AD327" s="11">
        <f>IF($A327&gt;'1-Input'!$B$26,0,IF(AI326&lt;=0,0,MAX(0,(AI326-AJ326)/AI326)))</f>
        <v>0</v>
      </c>
      <c r="AE327" s="18">
        <f>IF($A327&gt;'1-Input'!$B$26,0,(MAX(0,AD286-IF($A327&gt;='1-Input'!$C$12,'1-Input'!$B$12,0))-MIN(MAX(AH326,0),MAX(0,AD286-IF($A327&gt;='1-Input'!$C$12,'1-Input'!$B$12,0))))*(1/(1-'P-Parametri'!$B$6*AD327))+MIN(MAX(0,AI326-(MAX(0,AD286-IF($A327&gt;='1-Input'!$C$12,'1-Input'!$B$12,0))-MIN(MAX(AH326,0),MAX(0,AD286-IF($A327&gt;='1-Input'!$C$12,'1-Input'!$B$12,0))))*(1/(1-'P-Parametri'!$B$6*AD327))),MAX(0,3*AD286-(AH326-MIN(MAX(AH326,0),MAX(0,AD286-IF($A327&gt;='1-Input'!$C$12,'1-Input'!$B$12,0)))))*(1/(1-'P-Parametri'!$B$6*AD327))))</f>
        <v>0</v>
      </c>
      <c r="AF327" s="18">
        <f>IF($A327&gt;'1-Input'!$B$26,AH326,(AH326-MAX(0,AD286-IF($A327&gt;='1-Input'!$C$12,'1-Input'!$B$12,0))+AE327*(1-'P-Parametri'!$B$6*AD327))*(1+'1-Input'!$B$27))</f>
        <v>32376.854993336954</v>
      </c>
      <c r="AG327" s="18">
        <f>IF($A327&gt;'1-Input'!$B$26,AI326,(AI326-AE327)*(1+$B$4))</f>
        <v>0</v>
      </c>
      <c r="AH327" s="18">
        <f>IF($A327&gt;'1-Input'!$B$26,AF327,AF327-'P-Parametri'!$B$8*(AG327+AF327)+MIN(MAX(AG327,0),'P-Parametri'!$B$8*(AG327+AF327)))</f>
        <v>32312.101283350279</v>
      </c>
      <c r="AI327" s="18">
        <f>IF($A327&gt;'1-Input'!$B$26,AG327,AG327-MIN(MAX(AG327,0),'P-Parametri'!$B$8*(AG327+AF327)))</f>
        <v>0</v>
      </c>
      <c r="AJ327" s="18">
        <f>IF($A327&gt;'1-Input'!$B$26,AJ326,AJ326-AE327*(1-AD327))</f>
        <v>4.5474735088646412E-13</v>
      </c>
      <c r="AK327" s="11">
        <f>IF($A327&gt;'1-Input'!$B$26,0,IF(AP326&lt;=0,0,MAX(0,(AP326-AQ326)/AP326)))</f>
        <v>0</v>
      </c>
      <c r="AL327" s="18">
        <f>IF($A327&gt;'1-Input'!$B$26,0,(MAX(0,AK286-IF($A327&gt;='1-Input'!$C$12,'1-Input'!$B$12,0))-MIN(MAX(AO326,0),MAX(0,AK286-IF($A327&gt;='1-Input'!$C$12,'1-Input'!$B$12,0))))*(1/(1-'P-Parametri'!$B$6*AK327))+MIN(MAX(0,AP326-(MAX(0,AK286-IF($A327&gt;='1-Input'!$C$12,'1-Input'!$B$12,0))-MIN(MAX(AO326,0),MAX(0,AK286-IF($A327&gt;='1-Input'!$C$12,'1-Input'!$B$12,0))))*(1/(1-'P-Parametri'!$B$6*AK327))),MAX(0,3*AK286-(AO326-MIN(MAX(AO326,0),MAX(0,AK286-IF($A327&gt;='1-Input'!$C$12,'1-Input'!$B$12,0)))))*(1/(1-'P-Parametri'!$B$6*AK327))))</f>
        <v>0</v>
      </c>
      <c r="AM327" s="18">
        <f>IF($A327&gt;'1-Input'!$B$26,AO326,(AO326-MAX(0,AK286-IF($A327&gt;='1-Input'!$C$12,'1-Input'!$B$12,0))+AL327*(1-'P-Parametri'!$B$6*AK327))*(1+'1-Input'!$B$27))</f>
        <v>32376.853966340524</v>
      </c>
      <c r="AN327" s="18">
        <f>IF($A327&gt;'1-Input'!$B$26,AP326,(AP326-AL327)*(1+$B$4))</f>
        <v>0</v>
      </c>
      <c r="AO327" s="18">
        <f>IF($A327&gt;'1-Input'!$B$26,AM327,AM327-'P-Parametri'!$B$8*(AN327+AM327)+MIN(MAX(AN327,0),'P-Parametri'!$B$8*(AN327+AM327)))</f>
        <v>32312.100258407845</v>
      </c>
      <c r="AP327" s="18">
        <f>IF($A327&gt;'1-Input'!$B$26,AN327,AN327-MIN(MAX(AN327,0),'P-Parametri'!$B$8*(AN327+AM327)))</f>
        <v>0</v>
      </c>
      <c r="AQ327" s="18">
        <f>IF($A327&gt;'1-Input'!$B$26,AQ326,AQ326-AL327*(1-AK327))</f>
        <v>4.5474735088646412E-13</v>
      </c>
    </row>
    <row r="328" spans="1:43">
      <c r="A328" s="10">
        <f>40</f>
        <v>40</v>
      </c>
      <c r="B328" s="11">
        <f>IF($A328&gt;'1-Input'!$B$26,0,IF(G327&lt;=0,0,MAX(0,(G327-H327)/G327)))</f>
        <v>0</v>
      </c>
      <c r="C328" s="18">
        <f>IF($A328&gt;'1-Input'!$B$26,0,(MAX(0,B286-IF($A328&gt;='1-Input'!$C$12,'1-Input'!$B$12,0))-MIN(MAX(F327,0),MAX(0,B286-IF($A328&gt;='1-Input'!$C$12,'1-Input'!$B$12,0))))*(1/(1-'P-Parametri'!$B$6*B328))+MIN(MAX(0,G327-(MAX(0,B286-IF($A328&gt;='1-Input'!$C$12,'1-Input'!$B$12,0))-MIN(MAX(F327,0),MAX(0,B286-IF($A328&gt;='1-Input'!$C$12,'1-Input'!$B$12,0))))*(1/(1-'P-Parametri'!$B$6*B328))),MAX(0,3*B286-(F327-MIN(MAX(F327,0),MAX(0,B286-IF($A328&gt;='1-Input'!$C$12,'1-Input'!$B$12,0)))))*(1/(1-'P-Parametri'!$B$6*B328))))</f>
        <v>0</v>
      </c>
      <c r="D328" s="18">
        <f>IF($A328&gt;'1-Input'!$B$26,F327,(F327-MAX(0,B286-IF($A328&gt;='1-Input'!$C$12,'1-Input'!$B$12,0))+C328*(1-'P-Parametri'!$B$6*B328))*(1+'1-Input'!$B$27))</f>
        <v>12960.508668308246</v>
      </c>
      <c r="E328" s="18">
        <f>IF($A328&gt;'1-Input'!$B$26,G327,(G327-C328)*(1+$B$4))</f>
        <v>0</v>
      </c>
      <c r="F328" s="18">
        <f>IF($A328&gt;'1-Input'!$B$26,D328,D328-'P-Parametri'!$B$8*(E328+D328)+MIN(MAX(E328,0),'P-Parametri'!$B$8*(E328+D328)))</f>
        <v>12934.587650971629</v>
      </c>
      <c r="G328" s="18">
        <f>IF($A328&gt;'1-Input'!$B$26,E328,E328-MIN(MAX(E328,0),'P-Parametri'!$B$8*(E328+D328)))</f>
        <v>0</v>
      </c>
      <c r="H328" s="18">
        <f>IF($A328&gt;'1-Input'!$B$26,H327,H327-C328*(1-B328))</f>
        <v>0</v>
      </c>
      <c r="I328" s="11">
        <f>IF($A328&gt;'1-Input'!$B$26,0,IF(N327&lt;=0,0,MAX(0,(N327-O327)/N327)))</f>
        <v>0</v>
      </c>
      <c r="J328" s="18">
        <f>IF($A328&gt;'1-Input'!$B$26,0,(MAX(0,I286-IF($A328&gt;='1-Input'!$C$12,'1-Input'!$B$12,0))-MIN(MAX(M327,0),MAX(0,I286-IF($A328&gt;='1-Input'!$C$12,'1-Input'!$B$12,0))))*(1/(1-'P-Parametri'!$B$6*I328))+MIN(MAX(0,N327-(MAX(0,I286-IF($A328&gt;='1-Input'!$C$12,'1-Input'!$B$12,0))-MIN(MAX(M327,0),MAX(0,I286-IF($A328&gt;='1-Input'!$C$12,'1-Input'!$B$12,0))))*(1/(1-'P-Parametri'!$B$6*I328))),MAX(0,3*I286-(M327-MIN(MAX(M327,0),MAX(0,I286-IF($A328&gt;='1-Input'!$C$12,'1-Input'!$B$12,0)))))*(1/(1-'P-Parametri'!$B$6*I328))))</f>
        <v>10846.756992928691</v>
      </c>
      <c r="K328" s="18">
        <f>IF($A328&gt;'1-Input'!$B$26,M327,(M327-MAX(0,I286-IF($A328&gt;='1-Input'!$C$12,'1-Input'!$B$12,0))+J328*(1-'P-Parametri'!$B$6*I328))*(1+'1-Input'!$B$27))</f>
        <v>0</v>
      </c>
      <c r="L328" s="18">
        <f>IF($A328&gt;'1-Input'!$B$26,N327,(N327-J328)*(1+$B$4))</f>
        <v>-271477.97774976149</v>
      </c>
      <c r="M328" s="18">
        <f>IF($A328&gt;'1-Input'!$B$26,K328,K328-'P-Parametri'!$B$8*(L328+K328)+MIN(MAX(L328,0),'P-Parametri'!$B$8*(L328+K328)))</f>
        <v>0</v>
      </c>
      <c r="N328" s="18">
        <f>IF($A328&gt;'1-Input'!$B$26,L328,L328-MIN(MAX(L328,0),'P-Parametri'!$B$8*(L328+K328)))</f>
        <v>-270935.02179426193</v>
      </c>
      <c r="O328" s="18">
        <f>IF($A328&gt;'1-Input'!$B$26,O327,O327-J328*(1-I328))</f>
        <v>-222760.45165071648</v>
      </c>
      <c r="P328" s="11">
        <f>IF($A328&gt;'1-Input'!$B$26,0,IF(U327&lt;=0,0,MAX(0,(U327-V327)/U327)))</f>
        <v>0</v>
      </c>
      <c r="Q328" s="18">
        <f>IF($A328&gt;'1-Input'!$B$26,0,(MAX(0,P286-IF($A328&gt;='1-Input'!$C$12,'1-Input'!$B$12,0))-MIN(MAX(T327,0),MAX(0,P286-IF($A328&gt;='1-Input'!$C$12,'1-Input'!$B$12,0))))*(1/(1-'P-Parametri'!$B$6*P328))+MIN(MAX(0,U327-(MAX(0,P286-IF($A328&gt;='1-Input'!$C$12,'1-Input'!$B$12,0))-MIN(MAX(T327,0),MAX(0,P286-IF($A328&gt;='1-Input'!$C$12,'1-Input'!$B$12,0))))*(1/(1-'P-Parametri'!$B$6*P328))),MAX(0,3*P286-(T327-MIN(MAX(T327,0),MAX(0,P286-IF($A328&gt;='1-Input'!$C$12,'1-Input'!$B$12,0)))))*(1/(1-'P-Parametri'!$B$6*P328))))</f>
        <v>0</v>
      </c>
      <c r="R328" s="18">
        <f>IF($A328&gt;'1-Input'!$B$26,T327,(T327-MAX(0,P286-IF($A328&gt;='1-Input'!$C$12,'1-Input'!$B$12,0))+Q328*(1-'P-Parametri'!$B$6*P328))*(1+'1-Input'!$B$27))</f>
        <v>25494.487218481565</v>
      </c>
      <c r="S328" s="18">
        <f>IF($A328&gt;'1-Input'!$B$26,U327,(U327-Q328)*(1+$B$4))</f>
        <v>0</v>
      </c>
      <c r="T328" s="18">
        <f>IF($A328&gt;'1-Input'!$B$26,R328,R328-'P-Parametri'!$B$8*(S328+R328)+MIN(MAX(S328,0),'P-Parametri'!$B$8*(S328+R328)))</f>
        <v>25443.4982440446</v>
      </c>
      <c r="U328" s="18">
        <f>IF($A328&gt;'1-Input'!$B$26,S328,S328-MIN(MAX(S328,0),'P-Parametri'!$B$8*(S328+R328)))</f>
        <v>0</v>
      </c>
      <c r="V328" s="18">
        <f>IF($A328&gt;'1-Input'!$B$26,V327,V327-Q328*(1-P328))</f>
        <v>0</v>
      </c>
      <c r="W328" s="11">
        <f>IF($A328&gt;'1-Input'!$B$26,0,IF(AB327&lt;=0,0,MAX(0,(AB327-AC327)/AB327)))</f>
        <v>0</v>
      </c>
      <c r="X328" s="18">
        <f>IF($A328&gt;'1-Input'!$B$26,0,(MAX(0,W286-IF($A328&gt;='1-Input'!$C$12,'1-Input'!$B$12,0))-MIN(MAX(AA327,0),MAX(0,W286-IF($A328&gt;='1-Input'!$C$12,'1-Input'!$B$12,0))))*(1/(1-'P-Parametri'!$B$6*W328))+MIN(MAX(0,AB327-(MAX(0,W286-IF($A328&gt;='1-Input'!$C$12,'1-Input'!$B$12,0))-MIN(MAX(AA327,0),MAX(0,W286-IF($A328&gt;='1-Input'!$C$12,'1-Input'!$B$12,0))))*(1/(1-'P-Parametri'!$B$6*W328))),MAX(0,3*W286-(AA327-MIN(MAX(AA327,0),MAX(0,W286-IF($A328&gt;='1-Input'!$C$12,'1-Input'!$B$12,0)))))*(1/(1-'P-Parametri'!$B$6*W328))))</f>
        <v>0</v>
      </c>
      <c r="Y328" s="18">
        <f>IF($A328&gt;'1-Input'!$B$26,AA327,(AA327-MAX(0,W286-IF($A328&gt;='1-Input'!$C$12,'1-Input'!$B$12,0))+X328*(1-'P-Parametri'!$B$6*W328))*(1+'1-Input'!$B$27))</f>
        <v>26757.183180482873</v>
      </c>
      <c r="Z328" s="18">
        <f>IF($A328&gt;'1-Input'!$B$26,AB327,(AB327-X328)*(1+$B$4))</f>
        <v>0</v>
      </c>
      <c r="AA328" s="18">
        <f>IF($A328&gt;'1-Input'!$B$26,Y328,Y328-'P-Parametri'!$B$8*(Z328+Y328)+MIN(MAX(Z328,0),'P-Parametri'!$B$8*(Z328+Y328)))</f>
        <v>26703.668814121906</v>
      </c>
      <c r="AB328" s="18">
        <f>IF($A328&gt;'1-Input'!$B$26,Z328,Z328-MIN(MAX(Z328,0),'P-Parametri'!$B$8*(Z328+Y328)))</f>
        <v>0</v>
      </c>
      <c r="AC328" s="18">
        <f>IF($A328&gt;'1-Input'!$B$26,AC327,AC327-X328*(1-W328))</f>
        <v>0</v>
      </c>
      <c r="AD328" s="11">
        <f>IF($A328&gt;'1-Input'!$B$26,0,IF(AI327&lt;=0,0,MAX(0,(AI327-AJ327)/AI327)))</f>
        <v>0</v>
      </c>
      <c r="AE328" s="18">
        <f>IF($A328&gt;'1-Input'!$B$26,0,(MAX(0,AD286-IF($A328&gt;='1-Input'!$C$12,'1-Input'!$B$12,0))-MIN(MAX(AH327,0),MAX(0,AD286-IF($A328&gt;='1-Input'!$C$12,'1-Input'!$B$12,0))))*(1/(1-'P-Parametri'!$B$6*AD328))+MIN(MAX(0,AI327-(MAX(0,AD286-IF($A328&gt;='1-Input'!$C$12,'1-Input'!$B$12,0))-MIN(MAX(AH327,0),MAX(0,AD286-IF($A328&gt;='1-Input'!$C$12,'1-Input'!$B$12,0))))*(1/(1-'P-Parametri'!$B$6*AD328))),MAX(0,3*AD286-(AH327-MIN(MAX(AH327,0),MAX(0,AD286-IF($A328&gt;='1-Input'!$C$12,'1-Input'!$B$12,0)))))*(1/(1-'P-Parametri'!$B$6*AD328))))</f>
        <v>0</v>
      </c>
      <c r="AF328" s="18">
        <f>IF($A328&gt;'1-Input'!$B$26,AH327,(AH327-MAX(0,AD286-IF($A328&gt;='1-Input'!$C$12,'1-Input'!$B$12,0))+AE328*(1-'P-Parametri'!$B$6*AD328))*(1+'1-Input'!$B$27))</f>
        <v>26904.770151009885</v>
      </c>
      <c r="AG328" s="18">
        <f>IF($A328&gt;'1-Input'!$B$26,AI327,(AI327-AE328)*(1+$B$4))</f>
        <v>0</v>
      </c>
      <c r="AH328" s="18">
        <f>IF($A328&gt;'1-Input'!$B$26,AF328,AF328-'P-Parametri'!$B$8*(AG328+AF328)+MIN(MAX(AG328,0),'P-Parametri'!$B$8*(AG328+AF328)))</f>
        <v>26850.960610707865</v>
      </c>
      <c r="AI328" s="18">
        <f>IF($A328&gt;'1-Input'!$B$26,AG328,AG328-MIN(MAX(AG328,0),'P-Parametri'!$B$8*(AG328+AF328)))</f>
        <v>0</v>
      </c>
      <c r="AJ328" s="18">
        <f>IF($A328&gt;'1-Input'!$B$26,AJ327,AJ327-AE328*(1-AD328))</f>
        <v>4.5474735088646412E-13</v>
      </c>
      <c r="AK328" s="11">
        <f>IF($A328&gt;'1-Input'!$B$26,0,IF(AP327&lt;=0,0,MAX(0,(AP327-AQ327)/AP327)))</f>
        <v>0</v>
      </c>
      <c r="AL328" s="18">
        <f>IF($A328&gt;'1-Input'!$B$26,0,(MAX(0,AK286-IF($A328&gt;='1-Input'!$C$12,'1-Input'!$B$12,0))-MIN(MAX(AO327,0),MAX(0,AK286-IF($A328&gt;='1-Input'!$C$12,'1-Input'!$B$12,0))))*(1/(1-'P-Parametri'!$B$6*AK328))+MIN(MAX(0,AP327-(MAX(0,AK286-IF($A328&gt;='1-Input'!$C$12,'1-Input'!$B$12,0))-MIN(MAX(AO327,0),MAX(0,AK286-IF($A328&gt;='1-Input'!$C$12,'1-Input'!$B$12,0))))*(1/(1-'P-Parametri'!$B$6*AK328))),MAX(0,3*AK286-(AO327-MIN(MAX(AO327,0),MAX(0,AK286-IF($A328&gt;='1-Input'!$C$12,'1-Input'!$B$12,0)))))*(1/(1-'P-Parametri'!$B$6*AK328))))</f>
        <v>0</v>
      </c>
      <c r="AM328" s="18">
        <f>IF($A328&gt;'1-Input'!$B$26,AO327,(AO327-MAX(0,AK286-IF($A328&gt;='1-Input'!$C$12,'1-Input'!$B$12,0))+AL328*(1-'P-Parametri'!$B$6*AK328))*(1+'1-Input'!$B$27))</f>
        <v>26904.769109996076</v>
      </c>
      <c r="AN328" s="18">
        <f>IF($A328&gt;'1-Input'!$B$26,AP327,(AP327-AL328)*(1+$B$4))</f>
        <v>0</v>
      </c>
      <c r="AO328" s="18">
        <f>IF($A328&gt;'1-Input'!$B$26,AM328,AM328-'P-Parametri'!$B$8*(AN328+AM328)+MIN(MAX(AN328,0),'P-Parametri'!$B$8*(AN328+AM328)))</f>
        <v>26850.959571776082</v>
      </c>
      <c r="AP328" s="18">
        <f>IF($A328&gt;'1-Input'!$B$26,AN328,AN328-MIN(MAX(AN328,0),'P-Parametri'!$B$8*(AN328+AM328)))</f>
        <v>0</v>
      </c>
      <c r="AQ328" s="18">
        <f>IF($A328&gt;'1-Input'!$B$26,AQ327,AQ327-AL328*(1-AK328))</f>
        <v>4.5474735088646412E-13</v>
      </c>
    </row>
    <row r="329" spans="1:43">
      <c r="A329" s="10">
        <f>41</f>
        <v>41</v>
      </c>
      <c r="B329" s="11">
        <f>IF($A329&gt;'1-Input'!$B$26,0,IF(G328&lt;=0,0,MAX(0,(G328-H328)/G328)))</f>
        <v>0</v>
      </c>
      <c r="C329" s="18">
        <f>IF($A329&gt;'1-Input'!$B$26,0,(MAX(0,B286-IF($A329&gt;='1-Input'!$C$12,'1-Input'!$B$12,0))-MIN(MAX(F328,0),MAX(0,B286-IF($A329&gt;='1-Input'!$C$12,'1-Input'!$B$12,0))))*(1/(1-'P-Parametri'!$B$6*B329))+MIN(MAX(0,G328-(MAX(0,B286-IF($A329&gt;='1-Input'!$C$12,'1-Input'!$B$12,0))-MIN(MAX(F328,0),MAX(0,B286-IF($A329&gt;='1-Input'!$C$12,'1-Input'!$B$12,0))))*(1/(1-'P-Parametri'!$B$6*B329))),MAX(0,3*B286-(F328-MIN(MAX(F328,0),MAX(0,B286-IF($A329&gt;='1-Input'!$C$12,'1-Input'!$B$12,0)))))*(1/(1-'P-Parametri'!$B$6*B329))))</f>
        <v>0</v>
      </c>
      <c r="D329" s="18">
        <f>IF($A329&gt;'1-Input'!$B$26,F328,(F328-MAX(0,B286-IF($A329&gt;='1-Input'!$C$12,'1-Input'!$B$12,0))+C329*(1-'P-Parametri'!$B$6*B329))*(1+'1-Input'!$B$27))</f>
        <v>7329.0524199349811</v>
      </c>
      <c r="E329" s="18">
        <f>IF($A329&gt;'1-Input'!$B$26,G328,(G328-C329)*(1+$B$4))</f>
        <v>0</v>
      </c>
      <c r="F329" s="18">
        <f>IF($A329&gt;'1-Input'!$B$26,D329,D329-'P-Parametri'!$B$8*(E329+D329)+MIN(MAX(E329,0),'P-Parametri'!$B$8*(E329+D329)))</f>
        <v>7314.3943150951109</v>
      </c>
      <c r="G329" s="18">
        <f>IF($A329&gt;'1-Input'!$B$26,E329,E329-MIN(MAX(E329,0),'P-Parametri'!$B$8*(E329+D329)))</f>
        <v>0</v>
      </c>
      <c r="H329" s="18">
        <f>IF($A329&gt;'1-Input'!$B$26,H328,H328-C329*(1-B329))</f>
        <v>0</v>
      </c>
      <c r="I329" s="11">
        <f>IF($A329&gt;'1-Input'!$B$26,0,IF(N328&lt;=0,0,MAX(0,(N328-O328)/N328)))</f>
        <v>0</v>
      </c>
      <c r="J329" s="18">
        <f>IF($A329&gt;'1-Input'!$B$26,0,(MAX(0,I286-IF($A329&gt;='1-Input'!$C$12,'1-Input'!$B$12,0))-MIN(MAX(M328,0),MAX(0,I286-IF($A329&gt;='1-Input'!$C$12,'1-Input'!$B$12,0))))*(1/(1-'P-Parametri'!$B$6*I329))+MIN(MAX(0,N328-(MAX(0,I286-IF($A329&gt;='1-Input'!$C$12,'1-Input'!$B$12,0))-MIN(MAX(M328,0),MAX(0,I286-IF($A329&gt;='1-Input'!$C$12,'1-Input'!$B$12,0))))*(1/(1-'P-Parametri'!$B$6*I329))),MAX(0,3*I286-(M328-MIN(MAX(M328,0),MAX(0,I286-IF($A329&gt;='1-Input'!$C$12,'1-Input'!$B$12,0)))))*(1/(1-'P-Parametri'!$B$6*I329))))</f>
        <v>10846.756992928691</v>
      </c>
      <c r="K329" s="18">
        <f>IF($A329&gt;'1-Input'!$B$26,M328,(M328-MAX(0,I286-IF($A329&gt;='1-Input'!$C$12,'1-Input'!$B$12,0))+J329*(1-'P-Parametri'!$B$6*I329))*(1+'1-Input'!$B$27))</f>
        <v>0</v>
      </c>
      <c r="L329" s="18">
        <f>IF($A329&gt;'1-Input'!$B$26,N328,(N328-J329)*(1+$B$4))</f>
        <v>-287417.41436293442</v>
      </c>
      <c r="M329" s="18">
        <f>IF($A329&gt;'1-Input'!$B$26,K329,K329-'P-Parametri'!$B$8*(L329+K329)+MIN(MAX(L329,0),'P-Parametri'!$B$8*(L329+K329)))</f>
        <v>0</v>
      </c>
      <c r="N329" s="18">
        <f>IF($A329&gt;'1-Input'!$B$26,L329,L329-MIN(MAX(L329,0),'P-Parametri'!$B$8*(L329+K329)))</f>
        <v>-286842.57953420858</v>
      </c>
      <c r="O329" s="18">
        <f>IF($A329&gt;'1-Input'!$B$26,O328,O328-J329*(1-I329))</f>
        <v>-233607.20864364516</v>
      </c>
      <c r="P329" s="11">
        <f>IF($A329&gt;'1-Input'!$B$26,0,IF(U328&lt;=0,0,MAX(0,(U328-V328)/U328)))</f>
        <v>0</v>
      </c>
      <c r="Q329" s="18">
        <f>IF($A329&gt;'1-Input'!$B$26,0,(MAX(0,P286-IF($A329&gt;='1-Input'!$C$12,'1-Input'!$B$12,0))-MIN(MAX(T328,0),MAX(0,P286-IF($A329&gt;='1-Input'!$C$12,'1-Input'!$B$12,0))))*(1/(1-'P-Parametri'!$B$6*P329))+MIN(MAX(0,U328-(MAX(0,P286-IF($A329&gt;='1-Input'!$C$12,'1-Input'!$B$12,0))-MIN(MAX(T328,0),MAX(0,P286-IF($A329&gt;='1-Input'!$C$12,'1-Input'!$B$12,0))))*(1/(1-'P-Parametri'!$B$6*P329))),MAX(0,3*P286-(T328-MIN(MAX(T328,0),MAX(0,P286-IF($A329&gt;='1-Input'!$C$12,'1-Input'!$B$12,0)))))*(1/(1-'P-Parametri'!$B$6*P329))))</f>
        <v>0</v>
      </c>
      <c r="R329" s="18">
        <f>IF($A329&gt;'1-Input'!$B$26,T328,(T328-MAX(0,P286-IF($A329&gt;='1-Input'!$C$12,'1-Input'!$B$12,0))+Q329*(1-'P-Parametri'!$B$6*P329))*(1+'1-Input'!$B$27))</f>
        <v>20034.12301339638</v>
      </c>
      <c r="S329" s="18">
        <f>IF($A329&gt;'1-Input'!$B$26,U328,(U328-Q329)*(1+$B$4))</f>
        <v>0</v>
      </c>
      <c r="T329" s="18">
        <f>IF($A329&gt;'1-Input'!$B$26,R329,R329-'P-Parametri'!$B$8*(S329+R329)+MIN(MAX(S329,0),'P-Parametri'!$B$8*(S329+R329)))</f>
        <v>19994.054767369587</v>
      </c>
      <c r="U329" s="18">
        <f>IF($A329&gt;'1-Input'!$B$26,S329,S329-MIN(MAX(S329,0),'P-Parametri'!$B$8*(S329+R329)))</f>
        <v>0</v>
      </c>
      <c r="V329" s="18">
        <f>IF($A329&gt;'1-Input'!$B$26,V328,V328-Q329*(1-P329))</f>
        <v>0</v>
      </c>
      <c r="W329" s="11">
        <f>IF($A329&gt;'1-Input'!$B$26,0,IF(AB328&lt;=0,0,MAX(0,(AB328-AC328)/AB328)))</f>
        <v>0</v>
      </c>
      <c r="X329" s="18">
        <f>IF($A329&gt;'1-Input'!$B$26,0,(MAX(0,W286-IF($A329&gt;='1-Input'!$C$12,'1-Input'!$B$12,0))-MIN(MAX(AA328,0),MAX(0,W286-IF($A329&gt;='1-Input'!$C$12,'1-Input'!$B$12,0))))*(1/(1-'P-Parametri'!$B$6*W329))+MIN(MAX(0,AB328-(MAX(0,W286-IF($A329&gt;='1-Input'!$C$12,'1-Input'!$B$12,0))-MIN(MAX(AA328,0),MAX(0,W286-IF($A329&gt;='1-Input'!$C$12,'1-Input'!$B$12,0))))*(1/(1-'P-Parametri'!$B$6*W329))),MAX(0,3*W286-(AA328-MIN(MAX(AA328,0),MAX(0,W286-IF($A329&gt;='1-Input'!$C$12,'1-Input'!$B$12,0)))))*(1/(1-'P-Parametri'!$B$6*W329))))</f>
        <v>0</v>
      </c>
      <c r="Y329" s="18">
        <f>IF($A329&gt;'1-Input'!$B$26,AA328,(AA328-MAX(0,W286-IF($A329&gt;='1-Input'!$C$12,'1-Input'!$B$12,0))+X329*(1-'P-Parametri'!$B$6*W329))*(1+'1-Input'!$B$27))</f>
        <v>21313.726449778205</v>
      </c>
      <c r="Z329" s="18">
        <f>IF($A329&gt;'1-Input'!$B$26,AB328,(AB328-X329)*(1+$B$4))</f>
        <v>0</v>
      </c>
      <c r="AA329" s="18">
        <f>IF($A329&gt;'1-Input'!$B$26,Y329,Y329-'P-Parametri'!$B$8*(Z329+Y329)+MIN(MAX(Z329,0),'P-Parametri'!$B$8*(Z329+Y329)))</f>
        <v>21271.098996878649</v>
      </c>
      <c r="AB329" s="18">
        <f>IF($A329&gt;'1-Input'!$B$26,Z329,Z329-MIN(MAX(Z329,0),'P-Parametri'!$B$8*(Z329+Y329)))</f>
        <v>0</v>
      </c>
      <c r="AC329" s="18">
        <f>IF($A329&gt;'1-Input'!$B$26,AC328,AC328-X329*(1-W329))</f>
        <v>0</v>
      </c>
      <c r="AD329" s="11">
        <f>IF($A329&gt;'1-Input'!$B$26,0,IF(AI328&lt;=0,0,MAX(0,(AI328-AJ328)/AI328)))</f>
        <v>0</v>
      </c>
      <c r="AE329" s="18">
        <f>IF($A329&gt;'1-Input'!$B$26,0,(MAX(0,AD286-IF($A329&gt;='1-Input'!$C$12,'1-Input'!$B$12,0))-MIN(MAX(AH328,0),MAX(0,AD286-IF($A329&gt;='1-Input'!$C$12,'1-Input'!$B$12,0))))*(1/(1-'P-Parametri'!$B$6*AD329))+MIN(MAX(0,AI328-(MAX(0,AD286-IF($A329&gt;='1-Input'!$C$12,'1-Input'!$B$12,0))-MIN(MAX(AH328,0),MAX(0,AD286-IF($A329&gt;='1-Input'!$C$12,'1-Input'!$B$12,0))))*(1/(1-'P-Parametri'!$B$6*AD329))),MAX(0,3*AD286-(AH328-MIN(MAX(AH328,0),MAX(0,AD286-IF($A329&gt;='1-Input'!$C$12,'1-Input'!$B$12,0)))))*(1/(1-'P-Parametri'!$B$6*AD329))))</f>
        <v>0</v>
      </c>
      <c r="AF329" s="18">
        <f>IF($A329&gt;'1-Input'!$B$26,AH328,(AH328-MAX(0,AD286-IF($A329&gt;='1-Input'!$C$12,'1-Input'!$B$12,0))+AE329*(1-'P-Parametri'!$B$6*AD329))*(1+'1-Input'!$B$27))</f>
        <v>21463.289584788981</v>
      </c>
      <c r="AG329" s="18">
        <f>IF($A329&gt;'1-Input'!$B$26,AI328,(AI328-AE329)*(1+$B$4))</f>
        <v>0</v>
      </c>
      <c r="AH329" s="18">
        <f>IF($A329&gt;'1-Input'!$B$26,AF329,AF329-'P-Parametri'!$B$8*(AG329+AF329)+MIN(MAX(AG329,0),'P-Parametri'!$B$8*(AG329+AF329)))</f>
        <v>21420.363005619402</v>
      </c>
      <c r="AI329" s="18">
        <f>IF($A329&gt;'1-Input'!$B$26,AG329,AG329-MIN(MAX(AG329,0),'P-Parametri'!$B$8*(AG329+AF329)))</f>
        <v>0</v>
      </c>
      <c r="AJ329" s="18">
        <f>IF($A329&gt;'1-Input'!$B$26,AJ328,AJ328-AE329*(1-AD329))</f>
        <v>4.5474735088646412E-13</v>
      </c>
      <c r="AK329" s="11">
        <f>IF($A329&gt;'1-Input'!$B$26,0,IF(AP328&lt;=0,0,MAX(0,(AP328-AQ328)/AP328)))</f>
        <v>0</v>
      </c>
      <c r="AL329" s="18">
        <f>IF($A329&gt;'1-Input'!$B$26,0,(MAX(0,AK286-IF($A329&gt;='1-Input'!$C$12,'1-Input'!$B$12,0))-MIN(MAX(AO328,0),MAX(0,AK286-IF($A329&gt;='1-Input'!$C$12,'1-Input'!$B$12,0))))*(1/(1-'P-Parametri'!$B$6*AK329))+MIN(MAX(0,AP328-(MAX(0,AK286-IF($A329&gt;='1-Input'!$C$12,'1-Input'!$B$12,0))-MIN(MAX(AO328,0),MAX(0,AK286-IF($A329&gt;='1-Input'!$C$12,'1-Input'!$B$12,0))))*(1/(1-'P-Parametri'!$B$6*AK329))),MAX(0,3*AK286-(AO328-MIN(MAX(AO328,0),MAX(0,AK286-IF($A329&gt;='1-Input'!$C$12,'1-Input'!$B$12,0)))))*(1/(1-'P-Parametri'!$B$6*AK329))))</f>
        <v>0</v>
      </c>
      <c r="AM329" s="18">
        <f>IF($A329&gt;'1-Input'!$B$26,AO328,(AO328-MAX(0,AK286-IF($A329&gt;='1-Input'!$C$12,'1-Input'!$B$12,0))+AL329*(1-'P-Parametri'!$B$6*AK329))*(1+'1-Input'!$B$27))</f>
        <v>21463.288529836187</v>
      </c>
      <c r="AN329" s="18">
        <f>IF($A329&gt;'1-Input'!$B$26,AP328,(AP328-AL329)*(1+$B$4))</f>
        <v>0</v>
      </c>
      <c r="AO329" s="18">
        <f>IF($A329&gt;'1-Input'!$B$26,AM329,AM329-'P-Parametri'!$B$8*(AN329+AM329)+MIN(MAX(AN329,0),'P-Parametri'!$B$8*(AN329+AM329)))</f>
        <v>21420.361952776515</v>
      </c>
      <c r="AP329" s="18">
        <f>IF($A329&gt;'1-Input'!$B$26,AN329,AN329-MIN(MAX(AN329,0),'P-Parametri'!$B$8*(AN329+AM329)))</f>
        <v>0</v>
      </c>
      <c r="AQ329" s="18">
        <f>IF($A329&gt;'1-Input'!$B$26,AQ328,AQ328-AL329*(1-AK329))</f>
        <v>4.5474735088646412E-13</v>
      </c>
    </row>
    <row r="330" spans="1:43">
      <c r="A330" s="10">
        <f>42</f>
        <v>42</v>
      </c>
      <c r="B330" s="11">
        <f>IF($A330&gt;'1-Input'!$B$26,0,IF(G329&lt;=0,0,MAX(0,(G329-H329)/G329)))</f>
        <v>0</v>
      </c>
      <c r="C330" s="18">
        <f>IF($A330&gt;'1-Input'!$B$26,0,(MAX(0,B286-IF($A330&gt;='1-Input'!$C$12,'1-Input'!$B$12,0))-MIN(MAX(F329,0),MAX(0,B286-IF($A330&gt;='1-Input'!$C$12,'1-Input'!$B$12,0))))*(1/(1-'P-Parametri'!$B$6*B330))+MIN(MAX(0,G329-(MAX(0,B286-IF($A330&gt;='1-Input'!$C$12,'1-Input'!$B$12,0))-MIN(MAX(F329,0),MAX(0,B286-IF($A330&gt;='1-Input'!$C$12,'1-Input'!$B$12,0))))*(1/(1-'P-Parametri'!$B$6*B330))),MAX(0,3*B286-(F329-MIN(MAX(F329,0),MAX(0,B286-IF($A330&gt;='1-Input'!$C$12,'1-Input'!$B$12,0)))))*(1/(1-'P-Parametri'!$B$6*B330))))</f>
        <v>0</v>
      </c>
      <c r="D330" s="18">
        <f>IF($A330&gt;'1-Input'!$B$26,F329,(F329-MAX(0,B286-IF($A330&gt;='1-Input'!$C$12,'1-Input'!$B$12,0))+C330*(1-'P-Parametri'!$B$6*B330))*(1+'1-Input'!$B$27))</f>
        <v>1729.0917800676186</v>
      </c>
      <c r="E330" s="18">
        <f>IF($A330&gt;'1-Input'!$B$26,G329,(G329-C330)*(1+$B$4))</f>
        <v>0</v>
      </c>
      <c r="F330" s="18">
        <f>IF($A330&gt;'1-Input'!$B$26,D330,D330-'P-Parametri'!$B$8*(E330+D330)+MIN(MAX(E330,0),'P-Parametri'!$B$8*(E330+D330)))</f>
        <v>1725.6335965074834</v>
      </c>
      <c r="G330" s="18">
        <f>IF($A330&gt;'1-Input'!$B$26,E330,E330-MIN(MAX(E330,0),'P-Parametri'!$B$8*(E330+D330)))</f>
        <v>0</v>
      </c>
      <c r="H330" s="18">
        <f>IF($A330&gt;'1-Input'!$B$26,H329,H329-C330*(1-B330))</f>
        <v>0</v>
      </c>
      <c r="I330" s="11">
        <f>IF($A330&gt;'1-Input'!$B$26,0,IF(N329&lt;=0,0,MAX(0,(N329-O329)/N329)))</f>
        <v>0</v>
      </c>
      <c r="J330" s="18">
        <f>IF($A330&gt;'1-Input'!$B$26,0,(MAX(0,I286-IF($A330&gt;='1-Input'!$C$12,'1-Input'!$B$12,0))-MIN(MAX(M329,0),MAX(0,I286-IF($A330&gt;='1-Input'!$C$12,'1-Input'!$B$12,0))))*(1/(1-'P-Parametri'!$B$6*I330))+MIN(MAX(0,N329-(MAX(0,I286-IF($A330&gt;='1-Input'!$C$12,'1-Input'!$B$12,0))-MIN(MAX(M329,0),MAX(0,I286-IF($A330&gt;='1-Input'!$C$12,'1-Input'!$B$12,0))))*(1/(1-'P-Parametri'!$B$6*I330))),MAX(0,3*I286-(M329-MIN(MAX(M329,0),MAX(0,I286-IF($A330&gt;='1-Input'!$C$12,'1-Input'!$B$12,0)))))*(1/(1-'P-Parametri'!$B$6*I330))))</f>
        <v>10846.756992928691</v>
      </c>
      <c r="K330" s="18">
        <f>IF($A330&gt;'1-Input'!$B$26,M329,(M329-MAX(0,I286-IF($A330&gt;='1-Input'!$C$12,'1-Input'!$B$12,0))+J330*(1-'P-Parametri'!$B$6*I330))*(1+'1-Input'!$B$27))</f>
        <v>0</v>
      </c>
      <c r="L330" s="18">
        <f>IF($A330&gt;'1-Input'!$B$26,N329,(N329-J330)*(1+$B$4))</f>
        <v>-303643.12325768004</v>
      </c>
      <c r="M330" s="18">
        <f>IF($A330&gt;'1-Input'!$B$26,K330,K330-'P-Parametri'!$B$8*(L330+K330)+MIN(MAX(L330,0),'P-Parametri'!$B$8*(L330+K330)))</f>
        <v>0</v>
      </c>
      <c r="N330" s="18">
        <f>IF($A330&gt;'1-Input'!$B$26,L330,L330-MIN(MAX(L330,0),'P-Parametri'!$B$8*(L330+K330)))</f>
        <v>-303035.83701116469</v>
      </c>
      <c r="O330" s="18">
        <f>IF($A330&gt;'1-Input'!$B$26,O329,O329-J330*(1-I330))</f>
        <v>-244453.96563657385</v>
      </c>
      <c r="P330" s="11">
        <f>IF($A330&gt;'1-Input'!$B$26,0,IF(U329&lt;=0,0,MAX(0,(U329-V329)/U329)))</f>
        <v>0</v>
      </c>
      <c r="Q330" s="18">
        <f>IF($A330&gt;'1-Input'!$B$26,0,(MAX(0,P286-IF($A330&gt;='1-Input'!$C$12,'1-Input'!$B$12,0))-MIN(MAX(T329,0),MAX(0,P286-IF($A330&gt;='1-Input'!$C$12,'1-Input'!$B$12,0))))*(1/(1-'P-Parametri'!$B$6*P330))+MIN(MAX(0,U329-(MAX(0,P286-IF($A330&gt;='1-Input'!$C$12,'1-Input'!$B$12,0))-MIN(MAX(T329,0),MAX(0,P286-IF($A330&gt;='1-Input'!$C$12,'1-Input'!$B$12,0))))*(1/(1-'P-Parametri'!$B$6*P330))),MAX(0,3*P286-(T329-MIN(MAX(T329,0),MAX(0,P286-IF($A330&gt;='1-Input'!$C$12,'1-Input'!$B$12,0)))))*(1/(1-'P-Parametri'!$B$6*P330))))</f>
        <v>0</v>
      </c>
      <c r="R330" s="18">
        <f>IF($A330&gt;'1-Input'!$B$26,T329,(T329-MAX(0,P286-IF($A330&gt;='1-Input'!$C$12,'1-Input'!$B$12,0))+Q330*(1-'P-Parametri'!$B$6*P330))*(1+'1-Input'!$B$27))</f>
        <v>14604.297533237399</v>
      </c>
      <c r="S330" s="18">
        <f>IF($A330&gt;'1-Input'!$B$26,U329,(U329-Q330)*(1+$B$4))</f>
        <v>0</v>
      </c>
      <c r="T330" s="18">
        <f>IF($A330&gt;'1-Input'!$B$26,R330,R330-'P-Parametri'!$B$8*(S330+R330)+MIN(MAX(S330,0),'P-Parametri'!$B$8*(S330+R330)))</f>
        <v>14575.088938170924</v>
      </c>
      <c r="U330" s="18">
        <f>IF($A330&gt;'1-Input'!$B$26,S330,S330-MIN(MAX(S330,0),'P-Parametri'!$B$8*(S330+R330)))</f>
        <v>0</v>
      </c>
      <c r="V330" s="18">
        <f>IF($A330&gt;'1-Input'!$B$26,V329,V329-Q330*(1-P330))</f>
        <v>0</v>
      </c>
      <c r="W330" s="11">
        <f>IF($A330&gt;'1-Input'!$B$26,0,IF(AB329&lt;=0,0,MAX(0,(AB329-AC329)/AB329)))</f>
        <v>0</v>
      </c>
      <c r="X330" s="18">
        <f>IF($A330&gt;'1-Input'!$B$26,0,(MAX(0,W286-IF($A330&gt;='1-Input'!$C$12,'1-Input'!$B$12,0))-MIN(MAX(AA329,0),MAX(0,W286-IF($A330&gt;='1-Input'!$C$12,'1-Input'!$B$12,0))))*(1/(1-'P-Parametri'!$B$6*W330))+MIN(MAX(0,AB329-(MAX(0,W286-IF($A330&gt;='1-Input'!$C$12,'1-Input'!$B$12,0))-MIN(MAX(AA329,0),MAX(0,W286-IF($A330&gt;='1-Input'!$C$12,'1-Input'!$B$12,0))))*(1/(1-'P-Parametri'!$B$6*W330))),MAX(0,3*W286-(AA329-MIN(MAX(AA329,0),MAX(0,W286-IF($A330&gt;='1-Input'!$C$12,'1-Input'!$B$12,0)))))*(1/(1-'P-Parametri'!$B$6*W330))))</f>
        <v>0</v>
      </c>
      <c r="Y330" s="18">
        <f>IF($A330&gt;'1-Input'!$B$26,AA329,(AA329-MAX(0,W286-IF($A330&gt;='1-Input'!$C$12,'1-Input'!$B$12,0))+X330*(1-'P-Parametri'!$B$6*W330))*(1+'1-Input'!$B$27))</f>
        <v>15900.713883877024</v>
      </c>
      <c r="Z330" s="18">
        <f>IF($A330&gt;'1-Input'!$B$26,AB329,(AB329-X330)*(1+$B$4))</f>
        <v>0</v>
      </c>
      <c r="AA330" s="18">
        <f>IF($A330&gt;'1-Input'!$B$26,Y330,Y330-'P-Parametri'!$B$8*(Z330+Y330)+MIN(MAX(Z330,0),'P-Parametri'!$B$8*(Z330+Y330)))</f>
        <v>15868.91245610927</v>
      </c>
      <c r="AB330" s="18">
        <f>IF($A330&gt;'1-Input'!$B$26,Z330,Z330-MIN(MAX(Z330,0),'P-Parametri'!$B$8*(Z330+Y330)))</f>
        <v>0</v>
      </c>
      <c r="AC330" s="18">
        <f>IF($A330&gt;'1-Input'!$B$26,AC329,AC329-X330*(1-W330))</f>
        <v>0</v>
      </c>
      <c r="AD330" s="11">
        <f>IF($A330&gt;'1-Input'!$B$26,0,IF(AI329&lt;=0,0,MAX(0,(AI329-AJ329)/AI329)))</f>
        <v>0</v>
      </c>
      <c r="AE330" s="18">
        <f>IF($A330&gt;'1-Input'!$B$26,0,(MAX(0,AD286-IF($A330&gt;='1-Input'!$C$12,'1-Input'!$B$12,0))-MIN(MAX(AH329,0),MAX(0,AD286-IF($A330&gt;='1-Input'!$C$12,'1-Input'!$B$12,0))))*(1/(1-'P-Parametri'!$B$6*AD330))+MIN(MAX(0,AI329-(MAX(0,AD286-IF($A330&gt;='1-Input'!$C$12,'1-Input'!$B$12,0))-MIN(MAX(AH329,0),MAX(0,AD286-IF($A330&gt;='1-Input'!$C$12,'1-Input'!$B$12,0))))*(1/(1-'P-Parametri'!$B$6*AD330))),MAX(0,3*AD286-(AH329-MIN(MAX(AH329,0),MAX(0,AD286-IF($A330&gt;='1-Input'!$C$12,'1-Input'!$B$12,0)))))*(1/(1-'P-Parametri'!$B$6*AD330))))</f>
        <v>0</v>
      </c>
      <c r="AF330" s="18">
        <f>IF($A330&gt;'1-Input'!$B$26,AH329,(AH329-MAX(0,AD286-IF($A330&gt;='1-Input'!$C$12,'1-Input'!$B$12,0))+AE330*(1-'P-Parametri'!$B$6*AD330))*(1+'1-Input'!$B$27))</f>
        <v>16052.242131078838</v>
      </c>
      <c r="AG330" s="18">
        <f>IF($A330&gt;'1-Input'!$B$26,AI329,(AI329-AE330)*(1+$B$4))</f>
        <v>0</v>
      </c>
      <c r="AH330" s="18">
        <f>IF($A330&gt;'1-Input'!$B$26,AF330,AF330-'P-Parametri'!$B$8*(AG330+AF330)+MIN(MAX(AG330,0),'P-Parametri'!$B$8*(AG330+AF330)))</f>
        <v>16020.13764681668</v>
      </c>
      <c r="AI330" s="18">
        <f>IF($A330&gt;'1-Input'!$B$26,AG330,AG330-MIN(MAX(AG330,0),'P-Parametri'!$B$8*(AG330+AF330)))</f>
        <v>0</v>
      </c>
      <c r="AJ330" s="18">
        <f>IF($A330&gt;'1-Input'!$B$26,AJ329,AJ329-AE330*(1-AD330))</f>
        <v>4.5474735088646412E-13</v>
      </c>
      <c r="AK330" s="11">
        <f>IF($A330&gt;'1-Input'!$B$26,0,IF(AP329&lt;=0,0,MAX(0,(AP329-AQ329)/AP329)))</f>
        <v>0</v>
      </c>
      <c r="AL330" s="18">
        <f>IF($A330&gt;'1-Input'!$B$26,0,(MAX(0,AK286-IF($A330&gt;='1-Input'!$C$12,'1-Input'!$B$12,0))-MIN(MAX(AO329,0),MAX(0,AK286-IF($A330&gt;='1-Input'!$C$12,'1-Input'!$B$12,0))))*(1/(1-'P-Parametri'!$B$6*AK330))+MIN(MAX(0,AP329-(MAX(0,AK286-IF($A330&gt;='1-Input'!$C$12,'1-Input'!$B$12,0))-MIN(MAX(AO329,0),MAX(0,AK286-IF($A330&gt;='1-Input'!$C$12,'1-Input'!$B$12,0))))*(1/(1-'P-Parametri'!$B$6*AK330))),MAX(0,3*AK286-(AO329-MIN(MAX(AO329,0),MAX(0,AK286-IF($A330&gt;='1-Input'!$C$12,'1-Input'!$B$12,0)))))*(1/(1-'P-Parametri'!$B$6*AK330))))</f>
        <v>0</v>
      </c>
      <c r="AM330" s="18">
        <f>IF($A330&gt;'1-Input'!$B$26,AO329,(AO329-MAX(0,AK286-IF($A330&gt;='1-Input'!$C$12,'1-Input'!$B$12,0))+AL330*(1-'P-Parametri'!$B$6*AK330))*(1+'1-Input'!$B$27))</f>
        <v>16052.241062265019</v>
      </c>
      <c r="AN330" s="18">
        <f>IF($A330&gt;'1-Input'!$B$26,AP329,(AP329-AL330)*(1+$B$4))</f>
        <v>0</v>
      </c>
      <c r="AO330" s="18">
        <f>IF($A330&gt;'1-Input'!$B$26,AM330,AM330-'P-Parametri'!$B$8*(AN330+AM330)+MIN(MAX(AN330,0),'P-Parametri'!$B$8*(AN330+AM330)))</f>
        <v>16020.136580140488</v>
      </c>
      <c r="AP330" s="18">
        <f>IF($A330&gt;'1-Input'!$B$26,AN330,AN330-MIN(MAX(AN330,0),'P-Parametri'!$B$8*(AN330+AM330)))</f>
        <v>0</v>
      </c>
      <c r="AQ330" s="18">
        <f>IF($A330&gt;'1-Input'!$B$26,AQ329,AQ329-AL330*(1-AK330))</f>
        <v>4.5474735088646412E-13</v>
      </c>
    </row>
    <row r="331" spans="1:43">
      <c r="A331" s="10">
        <f>43</f>
        <v>43</v>
      </c>
      <c r="B331" s="11">
        <f>IF($A331&gt;'1-Input'!$B$26,0,IF(G330&lt;=0,0,MAX(0,(G330-H330)/G330)))</f>
        <v>0</v>
      </c>
      <c r="C331" s="18">
        <f>IF($A331&gt;'1-Input'!$B$26,0,(MAX(0,B286-IF($A331&gt;='1-Input'!$C$12,'1-Input'!$B$12,0))-MIN(MAX(F330,0),MAX(0,B286-IF($A331&gt;='1-Input'!$C$12,'1-Input'!$B$12,0))))*(1/(1-'P-Parametri'!$B$6*B331))+MIN(MAX(0,G330-(MAX(0,B286-IF($A331&gt;='1-Input'!$C$12,'1-Input'!$B$12,0))-MIN(MAX(F330,0),MAX(0,B286-IF($A331&gt;='1-Input'!$C$12,'1-Input'!$B$12,0))))*(1/(1-'P-Parametri'!$B$6*B331))),MAX(0,3*B286-(F330-MIN(MAX(F330,0),MAX(0,B286-IF($A331&gt;='1-Input'!$C$12,'1-Input'!$B$12,0)))))*(1/(1-'P-Parametri'!$B$6*B331))))</f>
        <v>3853.4217181183194</v>
      </c>
      <c r="D331" s="18">
        <f>IF($A331&gt;'1-Input'!$B$26,F330,(F330-MAX(0,B286-IF($A331&gt;='1-Input'!$C$12,'1-Input'!$B$12,0))+C331*(1-'P-Parametri'!$B$6*B331))*(1+'1-Input'!$B$27))</f>
        <v>0</v>
      </c>
      <c r="E331" s="18">
        <f>IF($A331&gt;'1-Input'!$B$26,G330,(G330-C331)*(1+$B$4))</f>
        <v>-3930.490152480686</v>
      </c>
      <c r="F331" s="18">
        <f>IF($A331&gt;'1-Input'!$B$26,D331,D331-'P-Parametri'!$B$8*(E331+D331)+MIN(MAX(E331,0),'P-Parametri'!$B$8*(E331+D331)))</f>
        <v>0</v>
      </c>
      <c r="G331" s="18">
        <f>IF($A331&gt;'1-Input'!$B$26,E331,E331-MIN(MAX(E331,0),'P-Parametri'!$B$8*(E331+D331)))</f>
        <v>-3922.6291721757248</v>
      </c>
      <c r="H331" s="18">
        <f>IF($A331&gt;'1-Input'!$B$26,H330,H330-C331*(1-B331))</f>
        <v>-3853.4217181183194</v>
      </c>
      <c r="I331" s="11">
        <f>IF($A331&gt;'1-Input'!$B$26,0,IF(N330&lt;=0,0,MAX(0,(N330-O330)/N330)))</f>
        <v>0</v>
      </c>
      <c r="J331" s="18">
        <f>IF($A331&gt;'1-Input'!$B$26,0,(MAX(0,I286-IF($A331&gt;='1-Input'!$C$12,'1-Input'!$B$12,0))-MIN(MAX(M330,0),MAX(0,I286-IF($A331&gt;='1-Input'!$C$12,'1-Input'!$B$12,0))))*(1/(1-'P-Parametri'!$B$6*I331))+MIN(MAX(0,N330-(MAX(0,I286-IF($A331&gt;='1-Input'!$C$12,'1-Input'!$B$12,0))-MIN(MAX(M330,0),MAX(0,I286-IF($A331&gt;='1-Input'!$C$12,'1-Input'!$B$12,0))))*(1/(1-'P-Parametri'!$B$6*I331))),MAX(0,3*I286-(M330-MIN(MAX(M330,0),MAX(0,I286-IF($A331&gt;='1-Input'!$C$12,'1-Input'!$B$12,0)))))*(1/(1-'P-Parametri'!$B$6*I331))))</f>
        <v>10846.756992928691</v>
      </c>
      <c r="K331" s="18">
        <f>IF($A331&gt;'1-Input'!$B$26,M330,(M330-MAX(0,I286-IF($A331&gt;='1-Input'!$C$12,'1-Input'!$B$12,0))+J331*(1-'P-Parametri'!$B$6*I331))*(1+'1-Input'!$B$27))</f>
        <v>0</v>
      </c>
      <c r="L331" s="18">
        <f>IF($A331&gt;'1-Input'!$B$26,N330,(N330-J331)*(1+$B$4))</f>
        <v>-320160.24588417524</v>
      </c>
      <c r="M331" s="18">
        <f>IF($A331&gt;'1-Input'!$B$26,K331,K331-'P-Parametri'!$B$8*(L331+K331)+MIN(MAX(L331,0),'P-Parametri'!$B$8*(L331+K331)))</f>
        <v>0</v>
      </c>
      <c r="N331" s="18">
        <f>IF($A331&gt;'1-Input'!$B$26,L331,L331-MIN(MAX(L331,0),'P-Parametri'!$B$8*(L331+K331)))</f>
        <v>-319519.92539240688</v>
      </c>
      <c r="O331" s="18">
        <f>IF($A331&gt;'1-Input'!$B$26,O330,O330-J331*(1-I331))</f>
        <v>-255300.72262950253</v>
      </c>
      <c r="P331" s="11">
        <f>IF($A331&gt;'1-Input'!$B$26,0,IF(U330&lt;=0,0,MAX(0,(U330-V330)/U330)))</f>
        <v>0</v>
      </c>
      <c r="Q331" s="18">
        <f>IF($A331&gt;'1-Input'!$B$26,0,(MAX(0,P286-IF($A331&gt;='1-Input'!$C$12,'1-Input'!$B$12,0))-MIN(MAX(T330,0),MAX(0,P286-IF($A331&gt;='1-Input'!$C$12,'1-Input'!$B$12,0))))*(1/(1-'P-Parametri'!$B$6*P331))+MIN(MAX(0,U330-(MAX(0,P286-IF($A331&gt;='1-Input'!$C$12,'1-Input'!$B$12,0))-MIN(MAX(T330,0),MAX(0,P286-IF($A331&gt;='1-Input'!$C$12,'1-Input'!$B$12,0))))*(1/(1-'P-Parametri'!$B$6*P331))),MAX(0,3*P286-(T330-MIN(MAX(T330,0),MAX(0,P286-IF($A331&gt;='1-Input'!$C$12,'1-Input'!$B$12,0)))))*(1/(1-'P-Parametri'!$B$6*P331))))</f>
        <v>0</v>
      </c>
      <c r="R331" s="18">
        <f>IF($A331&gt;'1-Input'!$B$26,T330,(T330-MAX(0,P286-IF($A331&gt;='1-Input'!$C$12,'1-Input'!$B$12,0))+Q331*(1-'P-Parametri'!$B$6*P331))*(1+'1-Input'!$B$27))</f>
        <v>9204.8399810238498</v>
      </c>
      <c r="S331" s="18">
        <f>IF($A331&gt;'1-Input'!$B$26,U330,(U330-Q331)*(1+$B$4))</f>
        <v>0</v>
      </c>
      <c r="T331" s="18">
        <f>IF($A331&gt;'1-Input'!$B$26,R331,R331-'P-Parametri'!$B$8*(S331+R331)+MIN(MAX(S331,0),'P-Parametri'!$B$8*(S331+R331)))</f>
        <v>9186.4303010618023</v>
      </c>
      <c r="U331" s="18">
        <f>IF($A331&gt;'1-Input'!$B$26,S331,S331-MIN(MAX(S331,0),'P-Parametri'!$B$8*(S331+R331)))</f>
        <v>0</v>
      </c>
      <c r="V331" s="18">
        <f>IF($A331&gt;'1-Input'!$B$26,V330,V330-Q331*(1-P331))</f>
        <v>0</v>
      </c>
      <c r="W331" s="11">
        <f>IF($A331&gt;'1-Input'!$B$26,0,IF(AB330&lt;=0,0,MAX(0,(AB330-AC330)/AB330)))</f>
        <v>0</v>
      </c>
      <c r="X331" s="18">
        <f>IF($A331&gt;'1-Input'!$B$26,0,(MAX(0,W286-IF($A331&gt;='1-Input'!$C$12,'1-Input'!$B$12,0))-MIN(MAX(AA330,0),MAX(0,W286-IF($A331&gt;='1-Input'!$C$12,'1-Input'!$B$12,0))))*(1/(1-'P-Parametri'!$B$6*W331))+MIN(MAX(0,AB330-(MAX(0,W286-IF($A331&gt;='1-Input'!$C$12,'1-Input'!$B$12,0))-MIN(MAX(AA330,0),MAX(0,W286-IF($A331&gt;='1-Input'!$C$12,'1-Input'!$B$12,0))))*(1/(1-'P-Parametri'!$B$6*W331))),MAX(0,3*W286-(AA330-MIN(MAX(AA330,0),MAX(0,W286-IF($A331&gt;='1-Input'!$C$12,'1-Input'!$B$12,0)))))*(1/(1-'P-Parametri'!$B$6*W331))))</f>
        <v>0</v>
      </c>
      <c r="Y331" s="18">
        <f>IF($A331&gt;'1-Input'!$B$26,AA330,(AA330-MAX(0,W286-IF($A331&gt;='1-Input'!$C$12,'1-Input'!$B$12,0))+X331*(1-'P-Parametri'!$B$6*W331))*(1+'1-Input'!$B$27))</f>
        <v>10517.975214654416</v>
      </c>
      <c r="Z331" s="18">
        <f>IF($A331&gt;'1-Input'!$B$26,AB330,(AB330-X331)*(1+$B$4))</f>
        <v>0</v>
      </c>
      <c r="AA331" s="18">
        <f>IF($A331&gt;'1-Input'!$B$26,Y331,Y331-'P-Parametri'!$B$8*(Z331+Y331)+MIN(MAX(Z331,0),'P-Parametri'!$B$8*(Z331+Y331)))</f>
        <v>10496.939264225108</v>
      </c>
      <c r="AB331" s="18">
        <f>IF($A331&gt;'1-Input'!$B$26,Z331,Z331-MIN(MAX(Z331,0),'P-Parametri'!$B$8*(Z331+Y331)))</f>
        <v>0</v>
      </c>
      <c r="AC331" s="18">
        <f>IF($A331&gt;'1-Input'!$B$26,AC330,AC330-X331*(1-W331))</f>
        <v>0</v>
      </c>
      <c r="AD331" s="11">
        <f>IF($A331&gt;'1-Input'!$B$26,0,IF(AI330&lt;=0,0,MAX(0,(AI330-AJ330)/AI330)))</f>
        <v>0</v>
      </c>
      <c r="AE331" s="18">
        <f>IF($A331&gt;'1-Input'!$B$26,0,(MAX(0,AD286-IF($A331&gt;='1-Input'!$C$12,'1-Input'!$B$12,0))-MIN(MAX(AH330,0),MAX(0,AD286-IF($A331&gt;='1-Input'!$C$12,'1-Input'!$B$12,0))))*(1/(1-'P-Parametri'!$B$6*AD331))+MIN(MAX(0,AI330-(MAX(0,AD286-IF($A331&gt;='1-Input'!$C$12,'1-Input'!$B$12,0))-MIN(MAX(AH330,0),MAX(0,AD286-IF($A331&gt;='1-Input'!$C$12,'1-Input'!$B$12,0))))*(1/(1-'P-Parametri'!$B$6*AD331))),MAX(0,3*AD286-(AH330-MIN(MAX(AH330,0),MAX(0,AD286-IF($A331&gt;='1-Input'!$C$12,'1-Input'!$B$12,0)))))*(1/(1-'P-Parametri'!$B$6*AD331))))</f>
        <v>0</v>
      </c>
      <c r="AF331" s="18">
        <f>IF($A331&gt;'1-Input'!$B$26,AH330,(AH330-MAX(0,AD286-IF($A331&gt;='1-Input'!$C$12,'1-Input'!$B$12,0))+AE331*(1-'P-Parametri'!$B$6*AD331))*(1+'1-Input'!$B$27))</f>
        <v>10671.457583567806</v>
      </c>
      <c r="AG331" s="18">
        <f>IF($A331&gt;'1-Input'!$B$26,AI330,(AI330-AE331)*(1+$B$4))</f>
        <v>0</v>
      </c>
      <c r="AH331" s="18">
        <f>IF($A331&gt;'1-Input'!$B$26,AF331,AF331-'P-Parametri'!$B$8*(AG331+AF331)+MIN(MAX(AG331,0),'P-Parametri'!$B$8*(AG331+AF331)))</f>
        <v>10650.114668400671</v>
      </c>
      <c r="AI331" s="18">
        <f>IF($A331&gt;'1-Input'!$B$26,AG331,AG331-MIN(MAX(AG331,0),'P-Parametri'!$B$8*(AG331+AF331)))</f>
        <v>0</v>
      </c>
      <c r="AJ331" s="18">
        <f>IF($A331&gt;'1-Input'!$B$26,AJ330,AJ330-AE331*(1-AD331))</f>
        <v>4.5474735088646412E-13</v>
      </c>
      <c r="AK331" s="11">
        <f>IF($A331&gt;'1-Input'!$B$26,0,IF(AP330&lt;=0,0,MAX(0,(AP330-AQ330)/AP330)))</f>
        <v>0</v>
      </c>
      <c r="AL331" s="18">
        <f>IF($A331&gt;'1-Input'!$B$26,0,(MAX(0,AK286-IF($A331&gt;='1-Input'!$C$12,'1-Input'!$B$12,0))-MIN(MAX(AO330,0),MAX(0,AK286-IF($A331&gt;='1-Input'!$C$12,'1-Input'!$B$12,0))))*(1/(1-'P-Parametri'!$B$6*AK331))+MIN(MAX(0,AP330-(MAX(0,AK286-IF($A331&gt;='1-Input'!$C$12,'1-Input'!$B$12,0))-MIN(MAX(AO330,0),MAX(0,AK286-IF($A331&gt;='1-Input'!$C$12,'1-Input'!$B$12,0))))*(1/(1-'P-Parametri'!$B$6*AK331))),MAX(0,3*AK286-(AO330-MIN(MAX(AO330,0),MAX(0,AK286-IF($A331&gt;='1-Input'!$C$12,'1-Input'!$B$12,0)))))*(1/(1-'P-Parametri'!$B$6*AK331))))</f>
        <v>0</v>
      </c>
      <c r="AM331" s="18">
        <f>IF($A331&gt;'1-Input'!$B$26,AO330,(AO330-MAX(0,AK286-IF($A331&gt;='1-Input'!$C$12,'1-Input'!$B$12,0))+AL331*(1-'P-Parametri'!$B$6*AK331))*(1+'1-Input'!$B$27))</f>
        <v>10671.456500970482</v>
      </c>
      <c r="AN331" s="18">
        <f>IF($A331&gt;'1-Input'!$B$26,AP330,(AP330-AL331)*(1+$B$4))</f>
        <v>0</v>
      </c>
      <c r="AO331" s="18">
        <f>IF($A331&gt;'1-Input'!$B$26,AM331,AM331-'P-Parametri'!$B$8*(AN331+AM331)+MIN(MAX(AN331,0),'P-Parametri'!$B$8*(AN331+AM331)))</f>
        <v>10650.113587968541</v>
      </c>
      <c r="AP331" s="18">
        <f>IF($A331&gt;'1-Input'!$B$26,AN331,AN331-MIN(MAX(AN331,0),'P-Parametri'!$B$8*(AN331+AM331)))</f>
        <v>0</v>
      </c>
      <c r="AQ331" s="18">
        <f>IF($A331&gt;'1-Input'!$B$26,AQ330,AQ330-AL331*(1-AK331))</f>
        <v>4.5474735088646412E-13</v>
      </c>
    </row>
    <row r="332" spans="1:43">
      <c r="A332" s="10">
        <f>44</f>
        <v>44</v>
      </c>
      <c r="B332" s="11">
        <f>IF($A332&gt;'1-Input'!$B$26,0,IF(G331&lt;=0,0,MAX(0,(G331-H331)/G331)))</f>
        <v>0</v>
      </c>
      <c r="C332" s="18">
        <f>IF($A332&gt;'1-Input'!$B$26,0,(MAX(0,B286-IF($A332&gt;='1-Input'!$C$12,'1-Input'!$B$12,0))-MIN(MAX(F331,0),MAX(0,B286-IF($A332&gt;='1-Input'!$C$12,'1-Input'!$B$12,0))))*(1/(1-'P-Parametri'!$B$6*B332))+MIN(MAX(0,G331-(MAX(0,B286-IF($A332&gt;='1-Input'!$C$12,'1-Input'!$B$12,0))-MIN(MAX(F331,0),MAX(0,B286-IF($A332&gt;='1-Input'!$C$12,'1-Input'!$B$12,0))))*(1/(1-'P-Parametri'!$B$6*B332))),MAX(0,3*B286-(F331-MIN(MAX(F331,0),MAX(0,B286-IF($A332&gt;='1-Input'!$C$12,'1-Input'!$B$12,0)))))*(1/(1-'P-Parametri'!$B$6*B332))))</f>
        <v>5579.0553146258026</v>
      </c>
      <c r="D332" s="18">
        <f>IF($A332&gt;'1-Input'!$B$26,F331,(F331-MAX(0,B286-IF($A332&gt;='1-Input'!$C$12,'1-Input'!$B$12,0))+C332*(1-'P-Parametri'!$B$6*B332))*(1+'1-Input'!$B$27))</f>
        <v>0</v>
      </c>
      <c r="E332" s="18">
        <f>IF($A332&gt;'1-Input'!$B$26,G331,(G331-C332)*(1+$B$4))</f>
        <v>-9691.7181765375572</v>
      </c>
      <c r="F332" s="18">
        <f>IF($A332&gt;'1-Input'!$B$26,D332,D332-'P-Parametri'!$B$8*(E332+D332)+MIN(MAX(E332,0),'P-Parametri'!$B$8*(E332+D332)))</f>
        <v>0</v>
      </c>
      <c r="G332" s="18">
        <f>IF($A332&gt;'1-Input'!$B$26,E332,E332-MIN(MAX(E332,0),'P-Parametri'!$B$8*(E332+D332)))</f>
        <v>-9672.3347401844821</v>
      </c>
      <c r="H332" s="18">
        <f>IF($A332&gt;'1-Input'!$B$26,H331,H331-C332*(1-B332))</f>
        <v>-9432.477032744122</v>
      </c>
      <c r="I332" s="11">
        <f>IF($A332&gt;'1-Input'!$B$26,0,IF(N331&lt;=0,0,MAX(0,(N331-O331)/N331)))</f>
        <v>0</v>
      </c>
      <c r="J332" s="18">
        <f>IF($A332&gt;'1-Input'!$B$26,0,(MAX(0,I286-IF($A332&gt;='1-Input'!$C$12,'1-Input'!$B$12,0))-MIN(MAX(M331,0),MAX(0,I286-IF($A332&gt;='1-Input'!$C$12,'1-Input'!$B$12,0))))*(1/(1-'P-Parametri'!$B$6*I332))+MIN(MAX(0,N331-(MAX(0,I286-IF($A332&gt;='1-Input'!$C$12,'1-Input'!$B$12,0))-MIN(MAX(M331,0),MAX(0,I286-IF($A332&gt;='1-Input'!$C$12,'1-Input'!$B$12,0))))*(1/(1-'P-Parametri'!$B$6*I332))),MAX(0,3*I286-(M331-MIN(MAX(M331,0),MAX(0,I286-IF($A332&gt;='1-Input'!$C$12,'1-Input'!$B$12,0)))))*(1/(1-'P-Parametri'!$B$6*I332))))</f>
        <v>10846.756992928691</v>
      </c>
      <c r="K332" s="18">
        <f>IF($A332&gt;'1-Input'!$B$26,M331,(M331-MAX(0,I286-IF($A332&gt;='1-Input'!$C$12,'1-Input'!$B$12,0))+J332*(1-'P-Parametri'!$B$6*I332))*(1+'1-Input'!$B$27))</f>
        <v>0</v>
      </c>
      <c r="L332" s="18">
        <f>IF($A332&gt;'1-Input'!$B$26,N331,(N331-J332)*(1+$B$4))</f>
        <v>-336974.01603304228</v>
      </c>
      <c r="M332" s="18">
        <f>IF($A332&gt;'1-Input'!$B$26,K332,K332-'P-Parametri'!$B$8*(L332+K332)+MIN(MAX(L332,0),'P-Parametri'!$B$8*(L332+K332)))</f>
        <v>0</v>
      </c>
      <c r="N332" s="18">
        <f>IF($A332&gt;'1-Input'!$B$26,L332,L332-MIN(MAX(L332,0),'P-Parametri'!$B$8*(L332+K332)))</f>
        <v>-336300.06800097617</v>
      </c>
      <c r="O332" s="18">
        <f>IF($A332&gt;'1-Input'!$B$26,O331,O331-J332*(1-I332))</f>
        <v>-266147.47962243122</v>
      </c>
      <c r="P332" s="11">
        <f>IF($A332&gt;'1-Input'!$B$26,0,IF(U331&lt;=0,0,MAX(0,(U331-V331)/U331)))</f>
        <v>0</v>
      </c>
      <c r="Q332" s="18">
        <f>IF($A332&gt;'1-Input'!$B$26,0,(MAX(0,P286-IF($A332&gt;='1-Input'!$C$12,'1-Input'!$B$12,0))-MIN(MAX(T331,0),MAX(0,P286-IF($A332&gt;='1-Input'!$C$12,'1-Input'!$B$12,0))))*(1/(1-'P-Parametri'!$B$6*P332))+MIN(MAX(0,U331-(MAX(0,P286-IF($A332&gt;='1-Input'!$C$12,'1-Input'!$B$12,0))-MIN(MAX(T331,0),MAX(0,P286-IF($A332&gt;='1-Input'!$C$12,'1-Input'!$B$12,0))))*(1/(1-'P-Parametri'!$B$6*P332))),MAX(0,3*P286-(T331-MIN(MAX(T331,0),MAX(0,P286-IF($A332&gt;='1-Input'!$C$12,'1-Input'!$B$12,0)))))*(1/(1-'P-Parametri'!$B$6*P332))))</f>
        <v>0</v>
      </c>
      <c r="R332" s="18">
        <f>IF($A332&gt;'1-Input'!$B$26,T331,(T331-MAX(0,P286-IF($A332&gt;='1-Input'!$C$12,'1-Input'!$B$12,0))+Q332*(1-'P-Parametri'!$B$6*P332))*(1+'1-Input'!$B$27))</f>
        <v>3835.5805150083215</v>
      </c>
      <c r="S332" s="18">
        <f>IF($A332&gt;'1-Input'!$B$26,U331,(U331-Q332)*(1+$B$4))</f>
        <v>0</v>
      </c>
      <c r="T332" s="18">
        <f>IF($A332&gt;'1-Input'!$B$26,R332,R332-'P-Parametri'!$B$8*(S332+R332)+MIN(MAX(S332,0),'P-Parametri'!$B$8*(S332+R332)))</f>
        <v>3827.9093539783048</v>
      </c>
      <c r="U332" s="18">
        <f>IF($A332&gt;'1-Input'!$B$26,S332,S332-MIN(MAX(S332,0),'P-Parametri'!$B$8*(S332+R332)))</f>
        <v>0</v>
      </c>
      <c r="V332" s="18">
        <f>IF($A332&gt;'1-Input'!$B$26,V331,V331-Q332*(1-P332))</f>
        <v>0</v>
      </c>
      <c r="W332" s="11">
        <f>IF($A332&gt;'1-Input'!$B$26,0,IF(AB331&lt;=0,0,MAX(0,(AB331-AC331)/AB331)))</f>
        <v>0</v>
      </c>
      <c r="X332" s="18">
        <f>IF($A332&gt;'1-Input'!$B$26,0,(MAX(0,W286-IF($A332&gt;='1-Input'!$C$12,'1-Input'!$B$12,0))-MIN(MAX(AA331,0),MAX(0,W286-IF($A332&gt;='1-Input'!$C$12,'1-Input'!$B$12,0))))*(1/(1-'P-Parametri'!$B$6*W332))+MIN(MAX(0,AB331-(MAX(0,W286-IF($A332&gt;='1-Input'!$C$12,'1-Input'!$B$12,0))-MIN(MAX(AA331,0),MAX(0,W286-IF($A332&gt;='1-Input'!$C$12,'1-Input'!$B$12,0))))*(1/(1-'P-Parametri'!$B$6*W332))),MAX(0,3*W286-(AA331-MIN(MAX(AA331,0),MAX(0,W286-IF($A332&gt;='1-Input'!$C$12,'1-Input'!$B$12,0)))))*(1/(1-'P-Parametri'!$B$6*W332))))</f>
        <v>0</v>
      </c>
      <c r="Y332" s="18">
        <f>IF($A332&gt;'1-Input'!$B$26,AA331,(AA331-MAX(0,W286-IF($A332&gt;='1-Input'!$C$12,'1-Input'!$B$12,0))+X332*(1-'P-Parametri'!$B$6*W332))*(1+'1-Input'!$B$27))</f>
        <v>5165.3411262610362</v>
      </c>
      <c r="Z332" s="18">
        <f>IF($A332&gt;'1-Input'!$B$26,AB331,(AB331-X332)*(1+$B$4))</f>
        <v>0</v>
      </c>
      <c r="AA332" s="18">
        <f>IF($A332&gt;'1-Input'!$B$26,Y332,Y332-'P-Parametri'!$B$8*(Z332+Y332)+MIN(MAX(Z332,0),'P-Parametri'!$B$8*(Z332+Y332)))</f>
        <v>5155.0104440085142</v>
      </c>
      <c r="AB332" s="18">
        <f>IF($A332&gt;'1-Input'!$B$26,Z332,Z332-MIN(MAX(Z332,0),'P-Parametri'!$B$8*(Z332+Y332)))</f>
        <v>0</v>
      </c>
      <c r="AC332" s="18">
        <f>IF($A332&gt;'1-Input'!$B$26,AC331,AC331-X332*(1-W332))</f>
        <v>0</v>
      </c>
      <c r="AD332" s="11">
        <f>IF($A332&gt;'1-Input'!$B$26,0,IF(AI331&lt;=0,0,MAX(0,(AI331-AJ331)/AI331)))</f>
        <v>0</v>
      </c>
      <c r="AE332" s="18">
        <f>IF($A332&gt;'1-Input'!$B$26,0,(MAX(0,AD286-IF($A332&gt;='1-Input'!$C$12,'1-Input'!$B$12,0))-MIN(MAX(AH331,0),MAX(0,AD286-IF($A332&gt;='1-Input'!$C$12,'1-Input'!$B$12,0))))*(1/(1-'P-Parametri'!$B$6*AD332))+MIN(MAX(0,AI331-(MAX(0,AD286-IF($A332&gt;='1-Input'!$C$12,'1-Input'!$B$12,0))-MIN(MAX(AH331,0),MAX(0,AD286-IF($A332&gt;='1-Input'!$C$12,'1-Input'!$B$12,0))))*(1/(1-'P-Parametri'!$B$6*AD332))),MAX(0,3*AD286-(AH331-MIN(MAX(AH331,0),MAX(0,AD286-IF($A332&gt;='1-Input'!$C$12,'1-Input'!$B$12,0)))))*(1/(1-'P-Parametri'!$B$6*AD332))))</f>
        <v>0</v>
      </c>
      <c r="AF332" s="18">
        <f>IF($A332&gt;'1-Input'!$B$26,AH331,(AH331-MAX(0,AD286-IF($A332&gt;='1-Input'!$C$12,'1-Input'!$B$12,0))+AE332*(1-'P-Parametri'!$B$6*AD332))*(1+'1-Input'!$B$27))</f>
        <v>5320.7666878740956</v>
      </c>
      <c r="AG332" s="18">
        <f>IF($A332&gt;'1-Input'!$B$26,AI331,(AI331-AE332)*(1+$B$4))</f>
        <v>0</v>
      </c>
      <c r="AH332" s="18">
        <f>IF($A332&gt;'1-Input'!$B$26,AF332,AF332-'P-Parametri'!$B$8*(AG332+AF332)+MIN(MAX(AG332,0),'P-Parametri'!$B$8*(AG332+AF332)))</f>
        <v>5310.125154498347</v>
      </c>
      <c r="AI332" s="18">
        <f>IF($A332&gt;'1-Input'!$B$26,AG332,AG332-MIN(MAX(AG332,0),'P-Parametri'!$B$8*(AG332+AF332)))</f>
        <v>0</v>
      </c>
      <c r="AJ332" s="18">
        <f>IF($A332&gt;'1-Input'!$B$26,AJ331,AJ331-AE332*(1-AD332))</f>
        <v>4.5474735088646412E-13</v>
      </c>
      <c r="AK332" s="11">
        <f>IF($A332&gt;'1-Input'!$B$26,0,IF(AP331&lt;=0,0,MAX(0,(AP331-AQ331)/AP331)))</f>
        <v>0</v>
      </c>
      <c r="AL332" s="18">
        <f>IF($A332&gt;'1-Input'!$B$26,0,(MAX(0,AK286-IF($A332&gt;='1-Input'!$C$12,'1-Input'!$B$12,0))-MIN(MAX(AO331,0),MAX(0,AK286-IF($A332&gt;='1-Input'!$C$12,'1-Input'!$B$12,0))))*(1/(1-'P-Parametri'!$B$6*AK332))+MIN(MAX(0,AP331-(MAX(0,AK286-IF($A332&gt;='1-Input'!$C$12,'1-Input'!$B$12,0))-MIN(MAX(AO331,0),MAX(0,AK286-IF($A332&gt;='1-Input'!$C$12,'1-Input'!$B$12,0))))*(1/(1-'P-Parametri'!$B$6*AK332))),MAX(0,3*AK286-(AO331-MIN(MAX(AO331,0),MAX(0,AK286-IF($A332&gt;='1-Input'!$C$12,'1-Input'!$B$12,0)))))*(1/(1-'P-Parametri'!$B$6*AK332))))</f>
        <v>0</v>
      </c>
      <c r="AM332" s="18">
        <f>IF($A332&gt;'1-Input'!$B$26,AO331,(AO331-MAX(0,AK286-IF($A332&gt;='1-Input'!$C$12,'1-Input'!$B$12,0))+AL332*(1-'P-Parametri'!$B$6*AK332))*(1+'1-Input'!$B$27))</f>
        <v>5320.7655915703526</v>
      </c>
      <c r="AN332" s="18">
        <f>IF($A332&gt;'1-Input'!$B$26,AP331,(AP331-AL332)*(1+$B$4))</f>
        <v>0</v>
      </c>
      <c r="AO332" s="18">
        <f>IF($A332&gt;'1-Input'!$B$26,AM332,AM332-'P-Parametri'!$B$8*(AN332+AM332)+MIN(MAX(AN332,0),'P-Parametri'!$B$8*(AN332+AM332)))</f>
        <v>5310.124060387212</v>
      </c>
      <c r="AP332" s="18">
        <f>IF($A332&gt;'1-Input'!$B$26,AN332,AN332-MIN(MAX(AN332,0),'P-Parametri'!$B$8*(AN332+AM332)))</f>
        <v>0</v>
      </c>
      <c r="AQ332" s="18">
        <f>IF($A332&gt;'1-Input'!$B$26,AQ331,AQ331-AL332*(1-AK332))</f>
        <v>4.5474735088646412E-13</v>
      </c>
    </row>
    <row r="333" spans="1:43">
      <c r="A333" s="10">
        <f>45</f>
        <v>45</v>
      </c>
      <c r="B333" s="11">
        <f>IF($A333&gt;'1-Input'!$B$26,0,IF(G332&lt;=0,0,MAX(0,(G332-H332)/G332)))</f>
        <v>0</v>
      </c>
      <c r="C333" s="18">
        <f>IF($A333&gt;'1-Input'!$B$26,0,(MAX(0,B286-IF($A333&gt;='1-Input'!$C$12,'1-Input'!$B$12,0))-MIN(MAX(F332,0),MAX(0,B286-IF($A333&gt;='1-Input'!$C$12,'1-Input'!$B$12,0))))*(1/(1-'P-Parametri'!$B$6*B333))+MIN(MAX(0,G332-(MAX(0,B286-IF($A333&gt;='1-Input'!$C$12,'1-Input'!$B$12,0))-MIN(MAX(F332,0),MAX(0,B286-IF($A333&gt;='1-Input'!$C$12,'1-Input'!$B$12,0))))*(1/(1-'P-Parametri'!$B$6*B333))),MAX(0,3*B286-(F332-MIN(MAX(F332,0),MAX(0,B286-IF($A333&gt;='1-Input'!$C$12,'1-Input'!$B$12,0)))))*(1/(1-'P-Parametri'!$B$6*B333))))</f>
        <v>5579.0553146258026</v>
      </c>
      <c r="D333" s="18">
        <f>IF($A333&gt;'1-Input'!$B$26,F332,(F332-MAX(0,B286-IF($A333&gt;='1-Input'!$C$12,'1-Input'!$B$12,0))+C333*(1-'P-Parametri'!$B$6*B333))*(1+'1-Input'!$B$27))</f>
        <v>0</v>
      </c>
      <c r="E333" s="18">
        <f>IF($A333&gt;'1-Input'!$B$26,G332,(G332-C333)*(1+$B$4))</f>
        <v>-15556.417855906491</v>
      </c>
      <c r="F333" s="18">
        <f>IF($A333&gt;'1-Input'!$B$26,D333,D333-'P-Parametri'!$B$8*(E333+D333)+MIN(MAX(E333,0),'P-Parametri'!$B$8*(E333+D333)))</f>
        <v>0</v>
      </c>
      <c r="G333" s="18">
        <f>IF($A333&gt;'1-Input'!$B$26,E333,E333-MIN(MAX(E333,0),'P-Parametri'!$B$8*(E333+D333)))</f>
        <v>-15525.305020194679</v>
      </c>
      <c r="H333" s="18">
        <f>IF($A333&gt;'1-Input'!$B$26,H332,H332-C333*(1-B333))</f>
        <v>-15011.532347369925</v>
      </c>
      <c r="I333" s="11">
        <f>IF($A333&gt;'1-Input'!$B$26,0,IF(N332&lt;=0,0,MAX(0,(N332-O332)/N332)))</f>
        <v>0</v>
      </c>
      <c r="J333" s="18">
        <f>IF($A333&gt;'1-Input'!$B$26,0,(MAX(0,I286-IF($A333&gt;='1-Input'!$C$12,'1-Input'!$B$12,0))-MIN(MAX(M332,0),MAX(0,I286-IF($A333&gt;='1-Input'!$C$12,'1-Input'!$B$12,0))))*(1/(1-'P-Parametri'!$B$6*I333))+MIN(MAX(0,N332-(MAX(0,I286-IF($A333&gt;='1-Input'!$C$12,'1-Input'!$B$12,0))-MIN(MAX(M332,0),MAX(0,I286-IF($A333&gt;='1-Input'!$C$12,'1-Input'!$B$12,0))))*(1/(1-'P-Parametri'!$B$6*I333))),MAX(0,3*I286-(M332-MIN(MAX(M332,0),MAX(0,I286-IF($A333&gt;='1-Input'!$C$12,'1-Input'!$B$12,0)))))*(1/(1-'P-Parametri'!$B$6*I333))))</f>
        <v>10846.756992928691</v>
      </c>
      <c r="K333" s="18">
        <f>IF($A333&gt;'1-Input'!$B$26,M332,(M332-MAX(0,I286-IF($A333&gt;='1-Input'!$C$12,'1-Input'!$B$12,0))+J333*(1-'P-Parametri'!$B$6*I333))*(1+'1-Input'!$B$27))</f>
        <v>0</v>
      </c>
      <c r="L333" s="18">
        <f>IF($A333&gt;'1-Input'!$B$26,N332,(N332-J333)*(1+$B$4))</f>
        <v>-354089.76149378298</v>
      </c>
      <c r="M333" s="18">
        <f>IF($A333&gt;'1-Input'!$B$26,K333,K333-'P-Parametri'!$B$8*(L333+K333)+MIN(MAX(L333,0),'P-Parametri'!$B$8*(L333+K333)))</f>
        <v>0</v>
      </c>
      <c r="N333" s="18">
        <f>IF($A333&gt;'1-Input'!$B$26,L333,L333-MIN(MAX(L333,0),'P-Parametri'!$B$8*(L333+K333)))</f>
        <v>-353381.58197079541</v>
      </c>
      <c r="O333" s="18">
        <f>IF($A333&gt;'1-Input'!$B$26,O332,O332-J333*(1-I333))</f>
        <v>-276994.2366153599</v>
      </c>
      <c r="P333" s="11">
        <f>IF($A333&gt;'1-Input'!$B$26,0,IF(U332&lt;=0,0,MAX(0,(U332-V332)/U332)))</f>
        <v>0</v>
      </c>
      <c r="Q333" s="18">
        <f>IF($A333&gt;'1-Input'!$B$26,0,(MAX(0,P286-IF($A333&gt;='1-Input'!$C$12,'1-Input'!$B$12,0))-MIN(MAX(T332,0),MAX(0,P286-IF($A333&gt;='1-Input'!$C$12,'1-Input'!$B$12,0))))*(1/(1-'P-Parametri'!$B$6*P333))+MIN(MAX(0,U332-(MAX(0,P286-IF($A333&gt;='1-Input'!$C$12,'1-Input'!$B$12,0))-MIN(MAX(T332,0),MAX(0,P286-IF($A333&gt;='1-Input'!$C$12,'1-Input'!$B$12,0))))*(1/(1-'P-Parametri'!$B$6*P333))),MAX(0,3*P286-(T332-MIN(MAX(T332,0),MAX(0,P286-IF($A333&gt;='1-Input'!$C$12,'1-Input'!$B$12,0)))))*(1/(1-'P-Parametri'!$B$6*P333))))</f>
        <v>1509.0824534982689</v>
      </c>
      <c r="R333" s="18">
        <f>IF($A333&gt;'1-Input'!$B$26,T332,(T332-MAX(0,P286-IF($A333&gt;='1-Input'!$C$12,'1-Input'!$B$12,0))+Q333*(1-'P-Parametri'!$B$6*P333))*(1+'1-Input'!$B$27))</f>
        <v>0</v>
      </c>
      <c r="S333" s="18">
        <f>IF($A333&gt;'1-Input'!$B$26,U332,(U332-Q333)*(1+$B$4))</f>
        <v>-1539.2641025682344</v>
      </c>
      <c r="T333" s="18">
        <f>IF($A333&gt;'1-Input'!$B$26,R333,R333-'P-Parametri'!$B$8*(S333+R333)+MIN(MAX(S333,0),'P-Parametri'!$B$8*(S333+R333)))</f>
        <v>0</v>
      </c>
      <c r="U333" s="18">
        <f>IF($A333&gt;'1-Input'!$B$26,S333,S333-MIN(MAX(S333,0),'P-Parametri'!$B$8*(S333+R333)))</f>
        <v>-1536.1855743630979</v>
      </c>
      <c r="V333" s="18">
        <f>IF($A333&gt;'1-Input'!$B$26,V332,V332-Q333*(1-P333))</f>
        <v>-1509.0824534982689</v>
      </c>
      <c r="W333" s="11">
        <f>IF($A333&gt;'1-Input'!$B$26,0,IF(AB332&lt;=0,0,MAX(0,(AB332-AC332)/AB332)))</f>
        <v>0</v>
      </c>
      <c r="X333" s="18">
        <f>IF($A333&gt;'1-Input'!$B$26,0,(MAX(0,W286-IF($A333&gt;='1-Input'!$C$12,'1-Input'!$B$12,0))-MIN(MAX(AA332,0),MAX(0,W286-IF($A333&gt;='1-Input'!$C$12,'1-Input'!$B$12,0))))*(1/(1-'P-Parametri'!$B$6*W333))+MIN(MAX(0,AB332-(MAX(0,W286-IF($A333&gt;='1-Input'!$C$12,'1-Input'!$B$12,0))-MIN(MAX(AA332,0),MAX(0,W286-IF($A333&gt;='1-Input'!$C$12,'1-Input'!$B$12,0))))*(1/(1-'P-Parametri'!$B$6*W333))),MAX(0,3*W286-(AA332-MIN(MAX(AA332,0),MAX(0,W286-IF($A333&gt;='1-Input'!$C$12,'1-Input'!$B$12,0)))))*(1/(1-'P-Parametri'!$B$6*W333))))</f>
        <v>157.9252812151517</v>
      </c>
      <c r="Y333" s="18">
        <f>IF($A333&gt;'1-Input'!$B$26,AA332,(AA332-MAX(0,W286-IF($A333&gt;='1-Input'!$C$12,'1-Input'!$B$12,0))+X333*(1-'P-Parametri'!$B$6*W333))*(1+'1-Input'!$B$27))</f>
        <v>0</v>
      </c>
      <c r="Z333" s="18">
        <f>IF($A333&gt;'1-Input'!$B$26,AB332,(AB332-X333)*(1+$B$4))</f>
        <v>-161.08378683945475</v>
      </c>
      <c r="AA333" s="18">
        <f>IF($A333&gt;'1-Input'!$B$26,Y333,Y333-'P-Parametri'!$B$8*(Z333+Y333)+MIN(MAX(Z333,0),'P-Parametri'!$B$8*(Z333+Y333)))</f>
        <v>0</v>
      </c>
      <c r="AB333" s="18">
        <f>IF($A333&gt;'1-Input'!$B$26,Z333,Z333-MIN(MAX(Z333,0),'P-Parametri'!$B$8*(Z333+Y333)))</f>
        <v>-160.76161926577583</v>
      </c>
      <c r="AC333" s="18">
        <f>IF($A333&gt;'1-Input'!$B$26,AC332,AC332-X333*(1-W333))</f>
        <v>-157.9252812151517</v>
      </c>
      <c r="AD333" s="11">
        <f>IF($A333&gt;'1-Input'!$B$26,0,IF(AI332&lt;=0,0,MAX(0,(AI332-AJ332)/AI332)))</f>
        <v>0</v>
      </c>
      <c r="AE333" s="18">
        <f>IF($A333&gt;'1-Input'!$B$26,0,(MAX(0,AD286-IF($A333&gt;='1-Input'!$C$12,'1-Input'!$B$12,0))-MIN(MAX(AH332,0),MAX(0,AD286-IF($A333&gt;='1-Input'!$C$12,'1-Input'!$B$12,0))))*(1/(1-'P-Parametri'!$B$6*AD333))+MIN(MAX(0,AI332-(MAX(0,AD286-IF($A333&gt;='1-Input'!$C$12,'1-Input'!$B$12,0))-MIN(MAX(AH332,0),MAX(0,AD286-IF($A333&gt;='1-Input'!$C$12,'1-Input'!$B$12,0))))*(1/(1-'P-Parametri'!$B$6*AD333))),MAX(0,3*AD286-(AH332-MIN(MAX(AH332,0),MAX(0,AD286-IF($A333&gt;='1-Input'!$C$12,'1-Input'!$B$12,0)))))*(1/(1-'P-Parametri'!$B$6*AD333))))</f>
        <v>0</v>
      </c>
      <c r="AF333" s="18">
        <f>IF($A333&gt;'1-Input'!$B$26,AH332,(AH332-MAX(0,AD286-IF($A333&gt;='1-Input'!$C$12,'1-Input'!$B$12,0))+AE333*(1-'P-Parametri'!$B$6*AD333))*(1+'1-Input'!$B$27))</f>
        <v>1.1362218201113137E-3</v>
      </c>
      <c r="AG333" s="18">
        <f>IF($A333&gt;'1-Input'!$B$26,AI332,(AI332-AE333)*(1+$B$4))</f>
        <v>0</v>
      </c>
      <c r="AH333" s="18">
        <f>IF($A333&gt;'1-Input'!$B$26,AF333,AF333-'P-Parametri'!$B$8*(AG333+AF333)+MIN(MAX(AG333,0),'P-Parametri'!$B$8*(AG333+AF333)))</f>
        <v>1.133949376471091E-3</v>
      </c>
      <c r="AI333" s="18">
        <f>IF($A333&gt;'1-Input'!$B$26,AG333,AG333-MIN(MAX(AG333,0),'P-Parametri'!$B$8*(AG333+AF333)))</f>
        <v>0</v>
      </c>
      <c r="AJ333" s="18">
        <f>IF($A333&gt;'1-Input'!$B$26,AJ332,AJ332-AE333*(1-AD333))</f>
        <v>4.5474735088646412E-13</v>
      </c>
      <c r="AK333" s="11">
        <f>IF($A333&gt;'1-Input'!$B$26,0,IF(AP332&lt;=0,0,MAX(0,(AP332-AQ332)/AP332)))</f>
        <v>0</v>
      </c>
      <c r="AL333" s="18">
        <f>IF($A333&gt;'1-Input'!$B$26,0,(MAX(0,AK286-IF($A333&gt;='1-Input'!$C$12,'1-Input'!$B$12,0))-MIN(MAX(AO332,0),MAX(0,AK286-IF($A333&gt;='1-Input'!$C$12,'1-Input'!$B$12,0))))*(1/(1-'P-Parametri'!$B$6*AK333))+MIN(MAX(0,AP332-(MAX(0,AK286-IF($A333&gt;='1-Input'!$C$12,'1-Input'!$B$12,0))-MIN(MAX(AO332,0),MAX(0,AK286-IF($A333&gt;='1-Input'!$C$12,'1-Input'!$B$12,0))))*(1/(1-'P-Parametri'!$B$6*AK333))),MAX(0,3*AK286-(AO332-MIN(MAX(AO332,0),MAX(0,AK286-IF($A333&gt;='1-Input'!$C$12,'1-Input'!$B$12,0)))))*(1/(1-'P-Parametri'!$B$6*AK333))))</f>
        <v>0</v>
      </c>
      <c r="AM333" s="18">
        <f>IF($A333&gt;'1-Input'!$B$26,AO332,(AO332-MAX(0,AK286-IF($A333&gt;='1-Input'!$C$12,'1-Input'!$B$12,0))+AL333*(1-'P-Parametri'!$B$6*AK333))*(1+'1-Input'!$B$27))</f>
        <v>2.6288317284343065E-5</v>
      </c>
      <c r="AN333" s="18">
        <f>IF($A333&gt;'1-Input'!$B$26,AP332,(AP332-AL333)*(1+$B$4))</f>
        <v>0</v>
      </c>
      <c r="AO333" s="18">
        <f>IF($A333&gt;'1-Input'!$B$26,AM333,AM333-'P-Parametri'!$B$8*(AN333+AM333)+MIN(MAX(AN333,0),'P-Parametri'!$B$8*(AN333+AM333)))</f>
        <v>2.6235740649774379E-5</v>
      </c>
      <c r="AP333" s="18">
        <f>IF($A333&gt;'1-Input'!$B$26,AN333,AN333-MIN(MAX(AN333,0),'P-Parametri'!$B$8*(AN333+AM333)))</f>
        <v>0</v>
      </c>
      <c r="AQ333" s="18">
        <f>IF($A333&gt;'1-Input'!$B$26,AQ332,AQ332-AL333*(1-AK333))</f>
        <v>4.5474735088646412E-13</v>
      </c>
    </row>
    <row r="334" spans="1:43">
      <c r="A334" s="10">
        <f>46</f>
        <v>46</v>
      </c>
      <c r="B334" s="11">
        <f>IF($A334&gt;'1-Input'!$B$26,0,IF(G333&lt;=0,0,MAX(0,(G333-H333)/G333)))</f>
        <v>0</v>
      </c>
      <c r="C334" s="18">
        <f>IF($A334&gt;'1-Input'!$B$26,0,(MAX(0,B286-IF($A334&gt;='1-Input'!$C$12,'1-Input'!$B$12,0))-MIN(MAX(F333,0),MAX(0,B286-IF($A334&gt;='1-Input'!$C$12,'1-Input'!$B$12,0))))*(1/(1-'P-Parametri'!$B$6*B334))+MIN(MAX(0,G333-(MAX(0,B286-IF($A334&gt;='1-Input'!$C$12,'1-Input'!$B$12,0))-MIN(MAX(F333,0),MAX(0,B286-IF($A334&gt;='1-Input'!$C$12,'1-Input'!$B$12,0))))*(1/(1-'P-Parametri'!$B$6*B334))),MAX(0,3*B286-(F333-MIN(MAX(F333,0),MAX(0,B286-IF($A334&gt;='1-Input'!$C$12,'1-Input'!$B$12,0)))))*(1/(1-'P-Parametri'!$B$6*B334))))</f>
        <v>0</v>
      </c>
      <c r="D334" s="18">
        <f>IF($A334&gt;'1-Input'!$B$26,F333,(F333-MAX(0,B286-IF($A334&gt;='1-Input'!$C$12,'1-Input'!$B$12,0))+C334*(1-'P-Parametri'!$B$6*B334))*(1+'1-Input'!$B$27))</f>
        <v>0</v>
      </c>
      <c r="E334" s="18">
        <f>IF($A334&gt;'1-Input'!$B$26,G333,(G333-C334)*(1+$B$4))</f>
        <v>-15525.305020194679</v>
      </c>
      <c r="F334" s="18">
        <f>IF($A334&gt;'1-Input'!$B$26,D334,D334-'P-Parametri'!$B$8*(E334+D334)+MIN(MAX(E334,0),'P-Parametri'!$B$8*(E334+D334)))</f>
        <v>0</v>
      </c>
      <c r="G334" s="18">
        <f>IF($A334&gt;'1-Input'!$B$26,E334,E334-MIN(MAX(E334,0),'P-Parametri'!$B$8*(E334+D334)))</f>
        <v>-15525.305020194679</v>
      </c>
      <c r="H334" s="18">
        <f>IF($A334&gt;'1-Input'!$B$26,H333,H333-C334*(1-B334))</f>
        <v>-15011.532347369925</v>
      </c>
      <c r="I334" s="11">
        <f>IF($A334&gt;'1-Input'!$B$26,0,IF(N333&lt;=0,0,MAX(0,(N333-O333)/N333)))</f>
        <v>0</v>
      </c>
      <c r="J334" s="18">
        <f>IF($A334&gt;'1-Input'!$B$26,0,(MAX(0,I286-IF($A334&gt;='1-Input'!$C$12,'1-Input'!$B$12,0))-MIN(MAX(M333,0),MAX(0,I286-IF($A334&gt;='1-Input'!$C$12,'1-Input'!$B$12,0))))*(1/(1-'P-Parametri'!$B$6*I334))+MIN(MAX(0,N333-(MAX(0,I286-IF($A334&gt;='1-Input'!$C$12,'1-Input'!$B$12,0))-MIN(MAX(M333,0),MAX(0,I286-IF($A334&gt;='1-Input'!$C$12,'1-Input'!$B$12,0))))*(1/(1-'P-Parametri'!$B$6*I334))),MAX(0,3*I286-(M333-MIN(MAX(M333,0),MAX(0,I286-IF($A334&gt;='1-Input'!$C$12,'1-Input'!$B$12,0)))))*(1/(1-'P-Parametri'!$B$6*I334))))</f>
        <v>0</v>
      </c>
      <c r="K334" s="18">
        <f>IF($A334&gt;'1-Input'!$B$26,M333,(M333-MAX(0,I286-IF($A334&gt;='1-Input'!$C$12,'1-Input'!$B$12,0))+J334*(1-'P-Parametri'!$B$6*I334))*(1+'1-Input'!$B$27))</f>
        <v>0</v>
      </c>
      <c r="L334" s="18">
        <f>IF($A334&gt;'1-Input'!$B$26,N333,(N333-J334)*(1+$B$4))</f>
        <v>-353381.58197079541</v>
      </c>
      <c r="M334" s="18">
        <f>IF($A334&gt;'1-Input'!$B$26,K334,K334-'P-Parametri'!$B$8*(L334+K334)+MIN(MAX(L334,0),'P-Parametri'!$B$8*(L334+K334)))</f>
        <v>0</v>
      </c>
      <c r="N334" s="18">
        <f>IF($A334&gt;'1-Input'!$B$26,L334,L334-MIN(MAX(L334,0),'P-Parametri'!$B$8*(L334+K334)))</f>
        <v>-353381.58197079541</v>
      </c>
      <c r="O334" s="18">
        <f>IF($A334&gt;'1-Input'!$B$26,O333,O333-J334*(1-I334))</f>
        <v>-276994.2366153599</v>
      </c>
      <c r="P334" s="11">
        <f>IF($A334&gt;'1-Input'!$B$26,0,IF(U333&lt;=0,0,MAX(0,(U333-V333)/U333)))</f>
        <v>0</v>
      </c>
      <c r="Q334" s="18">
        <f>IF($A334&gt;'1-Input'!$B$26,0,(MAX(0,P286-IF($A334&gt;='1-Input'!$C$12,'1-Input'!$B$12,0))-MIN(MAX(T333,0),MAX(0,P286-IF($A334&gt;='1-Input'!$C$12,'1-Input'!$B$12,0))))*(1/(1-'P-Parametri'!$B$6*P334))+MIN(MAX(0,U333-(MAX(0,P286-IF($A334&gt;='1-Input'!$C$12,'1-Input'!$B$12,0))-MIN(MAX(T333,0),MAX(0,P286-IF($A334&gt;='1-Input'!$C$12,'1-Input'!$B$12,0))))*(1/(1-'P-Parametri'!$B$6*P334))),MAX(0,3*P286-(T333-MIN(MAX(T333,0),MAX(0,P286-IF($A334&gt;='1-Input'!$C$12,'1-Input'!$B$12,0)))))*(1/(1-'P-Parametri'!$B$6*P334))))</f>
        <v>0</v>
      </c>
      <c r="R334" s="18">
        <f>IF($A334&gt;'1-Input'!$B$26,T333,(T333-MAX(0,P286-IF($A334&gt;='1-Input'!$C$12,'1-Input'!$B$12,0))+Q334*(1-'P-Parametri'!$B$6*P334))*(1+'1-Input'!$B$27))</f>
        <v>0</v>
      </c>
      <c r="S334" s="18">
        <f>IF($A334&gt;'1-Input'!$B$26,U333,(U333-Q334)*(1+$B$4))</f>
        <v>-1536.1855743630979</v>
      </c>
      <c r="T334" s="18">
        <f>IF($A334&gt;'1-Input'!$B$26,R334,R334-'P-Parametri'!$B$8*(S334+R334)+MIN(MAX(S334,0),'P-Parametri'!$B$8*(S334+R334)))</f>
        <v>0</v>
      </c>
      <c r="U334" s="18">
        <f>IF($A334&gt;'1-Input'!$B$26,S334,S334-MIN(MAX(S334,0),'P-Parametri'!$B$8*(S334+R334)))</f>
        <v>-1536.1855743630979</v>
      </c>
      <c r="V334" s="18">
        <f>IF($A334&gt;'1-Input'!$B$26,V333,V333-Q334*(1-P334))</f>
        <v>-1509.0824534982689</v>
      </c>
      <c r="W334" s="11">
        <f>IF($A334&gt;'1-Input'!$B$26,0,IF(AB333&lt;=0,0,MAX(0,(AB333-AC333)/AB333)))</f>
        <v>0</v>
      </c>
      <c r="X334" s="18">
        <f>IF($A334&gt;'1-Input'!$B$26,0,(MAX(0,W286-IF($A334&gt;='1-Input'!$C$12,'1-Input'!$B$12,0))-MIN(MAX(AA333,0),MAX(0,W286-IF($A334&gt;='1-Input'!$C$12,'1-Input'!$B$12,0))))*(1/(1-'P-Parametri'!$B$6*W334))+MIN(MAX(0,AB333-(MAX(0,W286-IF($A334&gt;='1-Input'!$C$12,'1-Input'!$B$12,0))-MIN(MAX(AA333,0),MAX(0,W286-IF($A334&gt;='1-Input'!$C$12,'1-Input'!$B$12,0))))*(1/(1-'P-Parametri'!$B$6*W334))),MAX(0,3*W286-(AA333-MIN(MAX(AA333,0),MAX(0,W286-IF($A334&gt;='1-Input'!$C$12,'1-Input'!$B$12,0)))))*(1/(1-'P-Parametri'!$B$6*W334))))</f>
        <v>0</v>
      </c>
      <c r="Y334" s="18">
        <f>IF($A334&gt;'1-Input'!$B$26,AA333,(AA333-MAX(0,W286-IF($A334&gt;='1-Input'!$C$12,'1-Input'!$B$12,0))+X334*(1-'P-Parametri'!$B$6*W334))*(1+'1-Input'!$B$27))</f>
        <v>0</v>
      </c>
      <c r="Z334" s="18">
        <f>IF($A334&gt;'1-Input'!$B$26,AB333,(AB333-X334)*(1+$B$4))</f>
        <v>-160.76161926577583</v>
      </c>
      <c r="AA334" s="18">
        <f>IF($A334&gt;'1-Input'!$B$26,Y334,Y334-'P-Parametri'!$B$8*(Z334+Y334)+MIN(MAX(Z334,0),'P-Parametri'!$B$8*(Z334+Y334)))</f>
        <v>0</v>
      </c>
      <c r="AB334" s="18">
        <f>IF($A334&gt;'1-Input'!$B$26,Z334,Z334-MIN(MAX(Z334,0),'P-Parametri'!$B$8*(Z334+Y334)))</f>
        <v>-160.76161926577583</v>
      </c>
      <c r="AC334" s="18">
        <f>IF($A334&gt;'1-Input'!$B$26,AC333,AC333-X334*(1-W334))</f>
        <v>-157.9252812151517</v>
      </c>
      <c r="AD334" s="11">
        <f>IF($A334&gt;'1-Input'!$B$26,0,IF(AI333&lt;=0,0,MAX(0,(AI333-AJ333)/AI333)))</f>
        <v>0</v>
      </c>
      <c r="AE334" s="18">
        <f>IF($A334&gt;'1-Input'!$B$26,0,(MAX(0,AD286-IF($A334&gt;='1-Input'!$C$12,'1-Input'!$B$12,0))-MIN(MAX(AH333,0),MAX(0,AD286-IF($A334&gt;='1-Input'!$C$12,'1-Input'!$B$12,0))))*(1/(1-'P-Parametri'!$B$6*AD334))+MIN(MAX(0,AI333-(MAX(0,AD286-IF($A334&gt;='1-Input'!$C$12,'1-Input'!$B$12,0))-MIN(MAX(AH333,0),MAX(0,AD286-IF($A334&gt;='1-Input'!$C$12,'1-Input'!$B$12,0))))*(1/(1-'P-Parametri'!$B$6*AD334))),MAX(0,3*AD286-(AH333-MIN(MAX(AH333,0),MAX(0,AD286-IF($A334&gt;='1-Input'!$C$12,'1-Input'!$B$12,0)))))*(1/(1-'P-Parametri'!$B$6*AD334))))</f>
        <v>0</v>
      </c>
      <c r="AF334" s="18">
        <f>IF($A334&gt;'1-Input'!$B$26,AH333,(AH333-MAX(0,AD286-IF($A334&gt;='1-Input'!$C$12,'1-Input'!$B$12,0))+AE334*(1-'P-Parametri'!$B$6*AD334))*(1+'1-Input'!$B$27))</f>
        <v>1.133949376471091E-3</v>
      </c>
      <c r="AG334" s="18">
        <f>IF($A334&gt;'1-Input'!$B$26,AI333,(AI333-AE334)*(1+$B$4))</f>
        <v>0</v>
      </c>
      <c r="AH334" s="18">
        <f>IF($A334&gt;'1-Input'!$B$26,AF334,AF334-'P-Parametri'!$B$8*(AG334+AF334)+MIN(MAX(AG334,0),'P-Parametri'!$B$8*(AG334+AF334)))</f>
        <v>1.133949376471091E-3</v>
      </c>
      <c r="AI334" s="18">
        <f>IF($A334&gt;'1-Input'!$B$26,AG334,AG334-MIN(MAX(AG334,0),'P-Parametri'!$B$8*(AG334+AF334)))</f>
        <v>0</v>
      </c>
      <c r="AJ334" s="18">
        <f>IF($A334&gt;'1-Input'!$B$26,AJ333,AJ333-AE334*(1-AD334))</f>
        <v>4.5474735088646412E-13</v>
      </c>
      <c r="AK334" s="11">
        <f>IF($A334&gt;'1-Input'!$B$26,0,IF(AP333&lt;=0,0,MAX(0,(AP333-AQ333)/AP333)))</f>
        <v>0</v>
      </c>
      <c r="AL334" s="18">
        <f>IF($A334&gt;'1-Input'!$B$26,0,(MAX(0,AK286-IF($A334&gt;='1-Input'!$C$12,'1-Input'!$B$12,0))-MIN(MAX(AO333,0),MAX(0,AK286-IF($A334&gt;='1-Input'!$C$12,'1-Input'!$B$12,0))))*(1/(1-'P-Parametri'!$B$6*AK334))+MIN(MAX(0,AP333-(MAX(0,AK286-IF($A334&gt;='1-Input'!$C$12,'1-Input'!$B$12,0))-MIN(MAX(AO333,0),MAX(0,AK286-IF($A334&gt;='1-Input'!$C$12,'1-Input'!$B$12,0))))*(1/(1-'P-Parametri'!$B$6*AK334))),MAX(0,3*AK286-(AO333-MIN(MAX(AO333,0),MAX(0,AK286-IF($A334&gt;='1-Input'!$C$12,'1-Input'!$B$12,0)))))*(1/(1-'P-Parametri'!$B$6*AK334))))</f>
        <v>0</v>
      </c>
      <c r="AM334" s="18">
        <f>IF($A334&gt;'1-Input'!$B$26,AO333,(AO333-MAX(0,AK286-IF($A334&gt;='1-Input'!$C$12,'1-Input'!$B$12,0))+AL334*(1-'P-Parametri'!$B$6*AK334))*(1+'1-Input'!$B$27))</f>
        <v>2.6235740649774379E-5</v>
      </c>
      <c r="AN334" s="18">
        <f>IF($A334&gt;'1-Input'!$B$26,AP333,(AP333-AL334)*(1+$B$4))</f>
        <v>0</v>
      </c>
      <c r="AO334" s="18">
        <f>IF($A334&gt;'1-Input'!$B$26,AM334,AM334-'P-Parametri'!$B$8*(AN334+AM334)+MIN(MAX(AN334,0),'P-Parametri'!$B$8*(AN334+AM334)))</f>
        <v>2.6235740649774379E-5</v>
      </c>
      <c r="AP334" s="18">
        <f>IF($A334&gt;'1-Input'!$B$26,AN334,AN334-MIN(MAX(AN334,0),'P-Parametri'!$B$8*(AN334+AM334)))</f>
        <v>0</v>
      </c>
      <c r="AQ334" s="18">
        <f>IF($A334&gt;'1-Input'!$B$26,AQ333,AQ333-AL334*(1-AK334))</f>
        <v>4.5474735088646412E-13</v>
      </c>
    </row>
    <row r="335" spans="1:43">
      <c r="A335" s="10">
        <f>47</f>
        <v>47</v>
      </c>
      <c r="B335" s="11">
        <f>IF($A335&gt;'1-Input'!$B$26,0,IF(G334&lt;=0,0,MAX(0,(G334-H334)/G334)))</f>
        <v>0</v>
      </c>
      <c r="C335" s="18">
        <f>IF($A335&gt;'1-Input'!$B$26,0,(MAX(0,B286-IF($A335&gt;='1-Input'!$C$12,'1-Input'!$B$12,0))-MIN(MAX(F334,0),MAX(0,B286-IF($A335&gt;='1-Input'!$C$12,'1-Input'!$B$12,0))))*(1/(1-'P-Parametri'!$B$6*B335))+MIN(MAX(0,G334-(MAX(0,B286-IF($A335&gt;='1-Input'!$C$12,'1-Input'!$B$12,0))-MIN(MAX(F334,0),MAX(0,B286-IF($A335&gt;='1-Input'!$C$12,'1-Input'!$B$12,0))))*(1/(1-'P-Parametri'!$B$6*B335))),MAX(0,3*B286-(F334-MIN(MAX(F334,0),MAX(0,B286-IF($A335&gt;='1-Input'!$C$12,'1-Input'!$B$12,0)))))*(1/(1-'P-Parametri'!$B$6*B335))))</f>
        <v>0</v>
      </c>
      <c r="D335" s="18">
        <f>IF($A335&gt;'1-Input'!$B$26,F334,(F334-MAX(0,B286-IF($A335&gt;='1-Input'!$C$12,'1-Input'!$B$12,0))+C335*(1-'P-Parametri'!$B$6*B335))*(1+'1-Input'!$B$27))</f>
        <v>0</v>
      </c>
      <c r="E335" s="18">
        <f>IF($A335&gt;'1-Input'!$B$26,G334,(G334-C335)*(1+$B$4))</f>
        <v>-15525.305020194679</v>
      </c>
      <c r="F335" s="18">
        <f>IF($A335&gt;'1-Input'!$B$26,D335,D335-'P-Parametri'!$B$8*(E335+D335)+MIN(MAX(E335,0),'P-Parametri'!$B$8*(E335+D335)))</f>
        <v>0</v>
      </c>
      <c r="G335" s="18">
        <f>IF($A335&gt;'1-Input'!$B$26,E335,E335-MIN(MAX(E335,0),'P-Parametri'!$B$8*(E335+D335)))</f>
        <v>-15525.305020194679</v>
      </c>
      <c r="H335" s="18">
        <f>IF($A335&gt;'1-Input'!$B$26,H334,H334-C335*(1-B335))</f>
        <v>-15011.532347369925</v>
      </c>
      <c r="I335" s="11">
        <f>IF($A335&gt;'1-Input'!$B$26,0,IF(N334&lt;=0,0,MAX(0,(N334-O334)/N334)))</f>
        <v>0</v>
      </c>
      <c r="J335" s="18">
        <f>IF($A335&gt;'1-Input'!$B$26,0,(MAX(0,I286-IF($A335&gt;='1-Input'!$C$12,'1-Input'!$B$12,0))-MIN(MAX(M334,0),MAX(0,I286-IF($A335&gt;='1-Input'!$C$12,'1-Input'!$B$12,0))))*(1/(1-'P-Parametri'!$B$6*I335))+MIN(MAX(0,N334-(MAX(0,I286-IF($A335&gt;='1-Input'!$C$12,'1-Input'!$B$12,0))-MIN(MAX(M334,0),MAX(0,I286-IF($A335&gt;='1-Input'!$C$12,'1-Input'!$B$12,0))))*(1/(1-'P-Parametri'!$B$6*I335))),MAX(0,3*I286-(M334-MIN(MAX(M334,0),MAX(0,I286-IF($A335&gt;='1-Input'!$C$12,'1-Input'!$B$12,0)))))*(1/(1-'P-Parametri'!$B$6*I335))))</f>
        <v>0</v>
      </c>
      <c r="K335" s="18">
        <f>IF($A335&gt;'1-Input'!$B$26,M334,(M334-MAX(0,I286-IF($A335&gt;='1-Input'!$C$12,'1-Input'!$B$12,0))+J335*(1-'P-Parametri'!$B$6*I335))*(1+'1-Input'!$B$27))</f>
        <v>0</v>
      </c>
      <c r="L335" s="18">
        <f>IF($A335&gt;'1-Input'!$B$26,N334,(N334-J335)*(1+$B$4))</f>
        <v>-353381.58197079541</v>
      </c>
      <c r="M335" s="18">
        <f>IF($A335&gt;'1-Input'!$B$26,K335,K335-'P-Parametri'!$B$8*(L335+K335)+MIN(MAX(L335,0),'P-Parametri'!$B$8*(L335+K335)))</f>
        <v>0</v>
      </c>
      <c r="N335" s="18">
        <f>IF($A335&gt;'1-Input'!$B$26,L335,L335-MIN(MAX(L335,0),'P-Parametri'!$B$8*(L335+K335)))</f>
        <v>-353381.58197079541</v>
      </c>
      <c r="O335" s="18">
        <f>IF($A335&gt;'1-Input'!$B$26,O334,O334-J335*(1-I335))</f>
        <v>-276994.2366153599</v>
      </c>
      <c r="P335" s="11">
        <f>IF($A335&gt;'1-Input'!$B$26,0,IF(U334&lt;=0,0,MAX(0,(U334-V334)/U334)))</f>
        <v>0</v>
      </c>
      <c r="Q335" s="18">
        <f>IF($A335&gt;'1-Input'!$B$26,0,(MAX(0,P286-IF($A335&gt;='1-Input'!$C$12,'1-Input'!$B$12,0))-MIN(MAX(T334,0),MAX(0,P286-IF($A335&gt;='1-Input'!$C$12,'1-Input'!$B$12,0))))*(1/(1-'P-Parametri'!$B$6*P335))+MIN(MAX(0,U334-(MAX(0,P286-IF($A335&gt;='1-Input'!$C$12,'1-Input'!$B$12,0))-MIN(MAX(T334,0),MAX(0,P286-IF($A335&gt;='1-Input'!$C$12,'1-Input'!$B$12,0))))*(1/(1-'P-Parametri'!$B$6*P335))),MAX(0,3*P286-(T334-MIN(MAX(T334,0),MAX(0,P286-IF($A335&gt;='1-Input'!$C$12,'1-Input'!$B$12,0)))))*(1/(1-'P-Parametri'!$B$6*P335))))</f>
        <v>0</v>
      </c>
      <c r="R335" s="18">
        <f>IF($A335&gt;'1-Input'!$B$26,T334,(T334-MAX(0,P286-IF($A335&gt;='1-Input'!$C$12,'1-Input'!$B$12,0))+Q335*(1-'P-Parametri'!$B$6*P335))*(1+'1-Input'!$B$27))</f>
        <v>0</v>
      </c>
      <c r="S335" s="18">
        <f>IF($A335&gt;'1-Input'!$B$26,U334,(U334-Q335)*(1+$B$4))</f>
        <v>-1536.1855743630979</v>
      </c>
      <c r="T335" s="18">
        <f>IF($A335&gt;'1-Input'!$B$26,R335,R335-'P-Parametri'!$B$8*(S335+R335)+MIN(MAX(S335,0),'P-Parametri'!$B$8*(S335+R335)))</f>
        <v>0</v>
      </c>
      <c r="U335" s="18">
        <f>IF($A335&gt;'1-Input'!$B$26,S335,S335-MIN(MAX(S335,0),'P-Parametri'!$B$8*(S335+R335)))</f>
        <v>-1536.1855743630979</v>
      </c>
      <c r="V335" s="18">
        <f>IF($A335&gt;'1-Input'!$B$26,V334,V334-Q335*(1-P335))</f>
        <v>-1509.0824534982689</v>
      </c>
      <c r="W335" s="11">
        <f>IF($A335&gt;'1-Input'!$B$26,0,IF(AB334&lt;=0,0,MAX(0,(AB334-AC334)/AB334)))</f>
        <v>0</v>
      </c>
      <c r="X335" s="18">
        <f>IF($A335&gt;'1-Input'!$B$26,0,(MAX(0,W286-IF($A335&gt;='1-Input'!$C$12,'1-Input'!$B$12,0))-MIN(MAX(AA334,0),MAX(0,W286-IF($A335&gt;='1-Input'!$C$12,'1-Input'!$B$12,0))))*(1/(1-'P-Parametri'!$B$6*W335))+MIN(MAX(0,AB334-(MAX(0,W286-IF($A335&gt;='1-Input'!$C$12,'1-Input'!$B$12,0))-MIN(MAX(AA334,0),MAX(0,W286-IF($A335&gt;='1-Input'!$C$12,'1-Input'!$B$12,0))))*(1/(1-'P-Parametri'!$B$6*W335))),MAX(0,3*W286-(AA334-MIN(MAX(AA334,0),MAX(0,W286-IF($A335&gt;='1-Input'!$C$12,'1-Input'!$B$12,0)))))*(1/(1-'P-Parametri'!$B$6*W335))))</f>
        <v>0</v>
      </c>
      <c r="Y335" s="18">
        <f>IF($A335&gt;'1-Input'!$B$26,AA334,(AA334-MAX(0,W286-IF($A335&gt;='1-Input'!$C$12,'1-Input'!$B$12,0))+X335*(1-'P-Parametri'!$B$6*W335))*(1+'1-Input'!$B$27))</f>
        <v>0</v>
      </c>
      <c r="Z335" s="18">
        <f>IF($A335&gt;'1-Input'!$B$26,AB334,(AB334-X335)*(1+$B$4))</f>
        <v>-160.76161926577583</v>
      </c>
      <c r="AA335" s="18">
        <f>IF($A335&gt;'1-Input'!$B$26,Y335,Y335-'P-Parametri'!$B$8*(Z335+Y335)+MIN(MAX(Z335,0),'P-Parametri'!$B$8*(Z335+Y335)))</f>
        <v>0</v>
      </c>
      <c r="AB335" s="18">
        <f>IF($A335&gt;'1-Input'!$B$26,Z335,Z335-MIN(MAX(Z335,0),'P-Parametri'!$B$8*(Z335+Y335)))</f>
        <v>-160.76161926577583</v>
      </c>
      <c r="AC335" s="18">
        <f>IF($A335&gt;'1-Input'!$B$26,AC334,AC334-X335*(1-W335))</f>
        <v>-157.9252812151517</v>
      </c>
      <c r="AD335" s="11">
        <f>IF($A335&gt;'1-Input'!$B$26,0,IF(AI334&lt;=0,0,MAX(0,(AI334-AJ334)/AI334)))</f>
        <v>0</v>
      </c>
      <c r="AE335" s="18">
        <f>IF($A335&gt;'1-Input'!$B$26,0,(MAX(0,AD286-IF($A335&gt;='1-Input'!$C$12,'1-Input'!$B$12,0))-MIN(MAX(AH334,0),MAX(0,AD286-IF($A335&gt;='1-Input'!$C$12,'1-Input'!$B$12,0))))*(1/(1-'P-Parametri'!$B$6*AD335))+MIN(MAX(0,AI334-(MAX(0,AD286-IF($A335&gt;='1-Input'!$C$12,'1-Input'!$B$12,0))-MIN(MAX(AH334,0),MAX(0,AD286-IF($A335&gt;='1-Input'!$C$12,'1-Input'!$B$12,0))))*(1/(1-'P-Parametri'!$B$6*AD335))),MAX(0,3*AD286-(AH334-MIN(MAX(AH334,0),MAX(0,AD286-IF($A335&gt;='1-Input'!$C$12,'1-Input'!$B$12,0)))))*(1/(1-'P-Parametri'!$B$6*AD335))))</f>
        <v>0</v>
      </c>
      <c r="AF335" s="18">
        <f>IF($A335&gt;'1-Input'!$B$26,AH334,(AH334-MAX(0,AD286-IF($A335&gt;='1-Input'!$C$12,'1-Input'!$B$12,0))+AE335*(1-'P-Parametri'!$B$6*AD335))*(1+'1-Input'!$B$27))</f>
        <v>1.133949376471091E-3</v>
      </c>
      <c r="AG335" s="18">
        <f>IF($A335&gt;'1-Input'!$B$26,AI334,(AI334-AE335)*(1+$B$4))</f>
        <v>0</v>
      </c>
      <c r="AH335" s="18">
        <f>IF($A335&gt;'1-Input'!$B$26,AF335,AF335-'P-Parametri'!$B$8*(AG335+AF335)+MIN(MAX(AG335,0),'P-Parametri'!$B$8*(AG335+AF335)))</f>
        <v>1.133949376471091E-3</v>
      </c>
      <c r="AI335" s="18">
        <f>IF($A335&gt;'1-Input'!$B$26,AG335,AG335-MIN(MAX(AG335,0),'P-Parametri'!$B$8*(AG335+AF335)))</f>
        <v>0</v>
      </c>
      <c r="AJ335" s="18">
        <f>IF($A335&gt;'1-Input'!$B$26,AJ334,AJ334-AE335*(1-AD335))</f>
        <v>4.5474735088646412E-13</v>
      </c>
      <c r="AK335" s="11">
        <f>IF($A335&gt;'1-Input'!$B$26,0,IF(AP334&lt;=0,0,MAX(0,(AP334-AQ334)/AP334)))</f>
        <v>0</v>
      </c>
      <c r="AL335" s="18">
        <f>IF($A335&gt;'1-Input'!$B$26,0,(MAX(0,AK286-IF($A335&gt;='1-Input'!$C$12,'1-Input'!$B$12,0))-MIN(MAX(AO334,0),MAX(0,AK286-IF($A335&gt;='1-Input'!$C$12,'1-Input'!$B$12,0))))*(1/(1-'P-Parametri'!$B$6*AK335))+MIN(MAX(0,AP334-(MAX(0,AK286-IF($A335&gt;='1-Input'!$C$12,'1-Input'!$B$12,0))-MIN(MAX(AO334,0),MAX(0,AK286-IF($A335&gt;='1-Input'!$C$12,'1-Input'!$B$12,0))))*(1/(1-'P-Parametri'!$B$6*AK335))),MAX(0,3*AK286-(AO334-MIN(MAX(AO334,0),MAX(0,AK286-IF($A335&gt;='1-Input'!$C$12,'1-Input'!$B$12,0)))))*(1/(1-'P-Parametri'!$B$6*AK335))))</f>
        <v>0</v>
      </c>
      <c r="AM335" s="18">
        <f>IF($A335&gt;'1-Input'!$B$26,AO334,(AO334-MAX(0,AK286-IF($A335&gt;='1-Input'!$C$12,'1-Input'!$B$12,0))+AL335*(1-'P-Parametri'!$B$6*AK335))*(1+'1-Input'!$B$27))</f>
        <v>2.6235740649774379E-5</v>
      </c>
      <c r="AN335" s="18">
        <f>IF($A335&gt;'1-Input'!$B$26,AP334,(AP334-AL335)*(1+$B$4))</f>
        <v>0</v>
      </c>
      <c r="AO335" s="18">
        <f>IF($A335&gt;'1-Input'!$B$26,AM335,AM335-'P-Parametri'!$B$8*(AN335+AM335)+MIN(MAX(AN335,0),'P-Parametri'!$B$8*(AN335+AM335)))</f>
        <v>2.6235740649774379E-5</v>
      </c>
      <c r="AP335" s="18">
        <f>IF($A335&gt;'1-Input'!$B$26,AN335,AN335-MIN(MAX(AN335,0),'P-Parametri'!$B$8*(AN335+AM335)))</f>
        <v>0</v>
      </c>
      <c r="AQ335" s="18">
        <f>IF($A335&gt;'1-Input'!$B$26,AQ334,AQ334-AL335*(1-AK335))</f>
        <v>4.5474735088646412E-13</v>
      </c>
    </row>
    <row r="336" spans="1:43">
      <c r="A336" s="10">
        <f>48</f>
        <v>48</v>
      </c>
      <c r="B336" s="11">
        <f>IF($A336&gt;'1-Input'!$B$26,0,IF(G335&lt;=0,0,MAX(0,(G335-H335)/G335)))</f>
        <v>0</v>
      </c>
      <c r="C336" s="18">
        <f>IF($A336&gt;'1-Input'!$B$26,0,(MAX(0,B286-IF($A336&gt;='1-Input'!$C$12,'1-Input'!$B$12,0))-MIN(MAX(F335,0),MAX(0,B286-IF($A336&gt;='1-Input'!$C$12,'1-Input'!$B$12,0))))*(1/(1-'P-Parametri'!$B$6*B336))+MIN(MAX(0,G335-(MAX(0,B286-IF($A336&gt;='1-Input'!$C$12,'1-Input'!$B$12,0))-MIN(MAX(F335,0),MAX(0,B286-IF($A336&gt;='1-Input'!$C$12,'1-Input'!$B$12,0))))*(1/(1-'P-Parametri'!$B$6*B336))),MAX(0,3*B286-(F335-MIN(MAX(F335,0),MAX(0,B286-IF($A336&gt;='1-Input'!$C$12,'1-Input'!$B$12,0)))))*(1/(1-'P-Parametri'!$B$6*B336))))</f>
        <v>0</v>
      </c>
      <c r="D336" s="18">
        <f>IF($A336&gt;'1-Input'!$B$26,F335,(F335-MAX(0,B286-IF($A336&gt;='1-Input'!$C$12,'1-Input'!$B$12,0))+C336*(1-'P-Parametri'!$B$6*B336))*(1+'1-Input'!$B$27))</f>
        <v>0</v>
      </c>
      <c r="E336" s="18">
        <f>IF($A336&gt;'1-Input'!$B$26,G335,(G335-C336)*(1+$B$4))</f>
        <v>-15525.305020194679</v>
      </c>
      <c r="F336" s="18">
        <f>IF($A336&gt;'1-Input'!$B$26,D336,D336-'P-Parametri'!$B$8*(E336+D336)+MIN(MAX(E336,0),'P-Parametri'!$B$8*(E336+D336)))</f>
        <v>0</v>
      </c>
      <c r="G336" s="18">
        <f>IF($A336&gt;'1-Input'!$B$26,E336,E336-MIN(MAX(E336,0),'P-Parametri'!$B$8*(E336+D336)))</f>
        <v>-15525.305020194679</v>
      </c>
      <c r="H336" s="18">
        <f>IF($A336&gt;'1-Input'!$B$26,H335,H335-C336*(1-B336))</f>
        <v>-15011.532347369925</v>
      </c>
      <c r="I336" s="11">
        <f>IF($A336&gt;'1-Input'!$B$26,0,IF(N335&lt;=0,0,MAX(0,(N335-O335)/N335)))</f>
        <v>0</v>
      </c>
      <c r="J336" s="18">
        <f>IF($A336&gt;'1-Input'!$B$26,0,(MAX(0,I286-IF($A336&gt;='1-Input'!$C$12,'1-Input'!$B$12,0))-MIN(MAX(M335,0),MAX(0,I286-IF($A336&gt;='1-Input'!$C$12,'1-Input'!$B$12,0))))*(1/(1-'P-Parametri'!$B$6*I336))+MIN(MAX(0,N335-(MAX(0,I286-IF($A336&gt;='1-Input'!$C$12,'1-Input'!$B$12,0))-MIN(MAX(M335,0),MAX(0,I286-IF($A336&gt;='1-Input'!$C$12,'1-Input'!$B$12,0))))*(1/(1-'P-Parametri'!$B$6*I336))),MAX(0,3*I286-(M335-MIN(MAX(M335,0),MAX(0,I286-IF($A336&gt;='1-Input'!$C$12,'1-Input'!$B$12,0)))))*(1/(1-'P-Parametri'!$B$6*I336))))</f>
        <v>0</v>
      </c>
      <c r="K336" s="18">
        <f>IF($A336&gt;'1-Input'!$B$26,M335,(M335-MAX(0,I286-IF($A336&gt;='1-Input'!$C$12,'1-Input'!$B$12,0))+J336*(1-'P-Parametri'!$B$6*I336))*(1+'1-Input'!$B$27))</f>
        <v>0</v>
      </c>
      <c r="L336" s="18">
        <f>IF($A336&gt;'1-Input'!$B$26,N335,(N335-J336)*(1+$B$4))</f>
        <v>-353381.58197079541</v>
      </c>
      <c r="M336" s="18">
        <f>IF($A336&gt;'1-Input'!$B$26,K336,K336-'P-Parametri'!$B$8*(L336+K336)+MIN(MAX(L336,0),'P-Parametri'!$B$8*(L336+K336)))</f>
        <v>0</v>
      </c>
      <c r="N336" s="18">
        <f>IF($A336&gt;'1-Input'!$B$26,L336,L336-MIN(MAX(L336,0),'P-Parametri'!$B$8*(L336+K336)))</f>
        <v>-353381.58197079541</v>
      </c>
      <c r="O336" s="18">
        <f>IF($A336&gt;'1-Input'!$B$26,O335,O335-J336*(1-I336))</f>
        <v>-276994.2366153599</v>
      </c>
      <c r="P336" s="11">
        <f>IF($A336&gt;'1-Input'!$B$26,0,IF(U335&lt;=0,0,MAX(0,(U335-V335)/U335)))</f>
        <v>0</v>
      </c>
      <c r="Q336" s="18">
        <f>IF($A336&gt;'1-Input'!$B$26,0,(MAX(0,P286-IF($A336&gt;='1-Input'!$C$12,'1-Input'!$B$12,0))-MIN(MAX(T335,0),MAX(0,P286-IF($A336&gt;='1-Input'!$C$12,'1-Input'!$B$12,0))))*(1/(1-'P-Parametri'!$B$6*P336))+MIN(MAX(0,U335-(MAX(0,P286-IF($A336&gt;='1-Input'!$C$12,'1-Input'!$B$12,0))-MIN(MAX(T335,0),MAX(0,P286-IF($A336&gt;='1-Input'!$C$12,'1-Input'!$B$12,0))))*(1/(1-'P-Parametri'!$B$6*P336))),MAX(0,3*P286-(T335-MIN(MAX(T335,0),MAX(0,P286-IF($A336&gt;='1-Input'!$C$12,'1-Input'!$B$12,0)))))*(1/(1-'P-Parametri'!$B$6*P336))))</f>
        <v>0</v>
      </c>
      <c r="R336" s="18">
        <f>IF($A336&gt;'1-Input'!$B$26,T335,(T335-MAX(0,P286-IF($A336&gt;='1-Input'!$C$12,'1-Input'!$B$12,0))+Q336*(1-'P-Parametri'!$B$6*P336))*(1+'1-Input'!$B$27))</f>
        <v>0</v>
      </c>
      <c r="S336" s="18">
        <f>IF($A336&gt;'1-Input'!$B$26,U335,(U335-Q336)*(1+$B$4))</f>
        <v>-1536.1855743630979</v>
      </c>
      <c r="T336" s="18">
        <f>IF($A336&gt;'1-Input'!$B$26,R336,R336-'P-Parametri'!$B$8*(S336+R336)+MIN(MAX(S336,0),'P-Parametri'!$B$8*(S336+R336)))</f>
        <v>0</v>
      </c>
      <c r="U336" s="18">
        <f>IF($A336&gt;'1-Input'!$B$26,S336,S336-MIN(MAX(S336,0),'P-Parametri'!$B$8*(S336+R336)))</f>
        <v>-1536.1855743630979</v>
      </c>
      <c r="V336" s="18">
        <f>IF($A336&gt;'1-Input'!$B$26,V335,V335-Q336*(1-P336))</f>
        <v>-1509.0824534982689</v>
      </c>
      <c r="W336" s="11">
        <f>IF($A336&gt;'1-Input'!$B$26,0,IF(AB335&lt;=0,0,MAX(0,(AB335-AC335)/AB335)))</f>
        <v>0</v>
      </c>
      <c r="X336" s="18">
        <f>IF($A336&gt;'1-Input'!$B$26,0,(MAX(0,W286-IF($A336&gt;='1-Input'!$C$12,'1-Input'!$B$12,0))-MIN(MAX(AA335,0),MAX(0,W286-IF($A336&gt;='1-Input'!$C$12,'1-Input'!$B$12,0))))*(1/(1-'P-Parametri'!$B$6*W336))+MIN(MAX(0,AB335-(MAX(0,W286-IF($A336&gt;='1-Input'!$C$12,'1-Input'!$B$12,0))-MIN(MAX(AA335,0),MAX(0,W286-IF($A336&gt;='1-Input'!$C$12,'1-Input'!$B$12,0))))*(1/(1-'P-Parametri'!$B$6*W336))),MAX(0,3*W286-(AA335-MIN(MAX(AA335,0),MAX(0,W286-IF($A336&gt;='1-Input'!$C$12,'1-Input'!$B$12,0)))))*(1/(1-'P-Parametri'!$B$6*W336))))</f>
        <v>0</v>
      </c>
      <c r="Y336" s="18">
        <f>IF($A336&gt;'1-Input'!$B$26,AA335,(AA335-MAX(0,W286-IF($A336&gt;='1-Input'!$C$12,'1-Input'!$B$12,0))+X336*(1-'P-Parametri'!$B$6*W336))*(1+'1-Input'!$B$27))</f>
        <v>0</v>
      </c>
      <c r="Z336" s="18">
        <f>IF($A336&gt;'1-Input'!$B$26,AB335,(AB335-X336)*(1+$B$4))</f>
        <v>-160.76161926577583</v>
      </c>
      <c r="AA336" s="18">
        <f>IF($A336&gt;'1-Input'!$B$26,Y336,Y336-'P-Parametri'!$B$8*(Z336+Y336)+MIN(MAX(Z336,0),'P-Parametri'!$B$8*(Z336+Y336)))</f>
        <v>0</v>
      </c>
      <c r="AB336" s="18">
        <f>IF($A336&gt;'1-Input'!$B$26,Z336,Z336-MIN(MAX(Z336,0),'P-Parametri'!$B$8*(Z336+Y336)))</f>
        <v>-160.76161926577583</v>
      </c>
      <c r="AC336" s="18">
        <f>IF($A336&gt;'1-Input'!$B$26,AC335,AC335-X336*(1-W336))</f>
        <v>-157.9252812151517</v>
      </c>
      <c r="AD336" s="11">
        <f>IF($A336&gt;'1-Input'!$B$26,0,IF(AI335&lt;=0,0,MAX(0,(AI335-AJ335)/AI335)))</f>
        <v>0</v>
      </c>
      <c r="AE336" s="18">
        <f>IF($A336&gt;'1-Input'!$B$26,0,(MAX(0,AD286-IF($A336&gt;='1-Input'!$C$12,'1-Input'!$B$12,0))-MIN(MAX(AH335,0),MAX(0,AD286-IF($A336&gt;='1-Input'!$C$12,'1-Input'!$B$12,0))))*(1/(1-'P-Parametri'!$B$6*AD336))+MIN(MAX(0,AI335-(MAX(0,AD286-IF($A336&gt;='1-Input'!$C$12,'1-Input'!$B$12,0))-MIN(MAX(AH335,0),MAX(0,AD286-IF($A336&gt;='1-Input'!$C$12,'1-Input'!$B$12,0))))*(1/(1-'P-Parametri'!$B$6*AD336))),MAX(0,3*AD286-(AH335-MIN(MAX(AH335,0),MAX(0,AD286-IF($A336&gt;='1-Input'!$C$12,'1-Input'!$B$12,0)))))*(1/(1-'P-Parametri'!$B$6*AD336))))</f>
        <v>0</v>
      </c>
      <c r="AF336" s="18">
        <f>IF($A336&gt;'1-Input'!$B$26,AH335,(AH335-MAX(0,AD286-IF($A336&gt;='1-Input'!$C$12,'1-Input'!$B$12,0))+AE336*(1-'P-Parametri'!$B$6*AD336))*(1+'1-Input'!$B$27))</f>
        <v>1.133949376471091E-3</v>
      </c>
      <c r="AG336" s="18">
        <f>IF($A336&gt;'1-Input'!$B$26,AI335,(AI335-AE336)*(1+$B$4))</f>
        <v>0</v>
      </c>
      <c r="AH336" s="18">
        <f>IF($A336&gt;'1-Input'!$B$26,AF336,AF336-'P-Parametri'!$B$8*(AG336+AF336)+MIN(MAX(AG336,0),'P-Parametri'!$B$8*(AG336+AF336)))</f>
        <v>1.133949376471091E-3</v>
      </c>
      <c r="AI336" s="18">
        <f>IF($A336&gt;'1-Input'!$B$26,AG336,AG336-MIN(MAX(AG336,0),'P-Parametri'!$B$8*(AG336+AF336)))</f>
        <v>0</v>
      </c>
      <c r="AJ336" s="18">
        <f>IF($A336&gt;'1-Input'!$B$26,AJ335,AJ335-AE336*(1-AD336))</f>
        <v>4.5474735088646412E-13</v>
      </c>
      <c r="AK336" s="11">
        <f>IF($A336&gt;'1-Input'!$B$26,0,IF(AP335&lt;=0,0,MAX(0,(AP335-AQ335)/AP335)))</f>
        <v>0</v>
      </c>
      <c r="AL336" s="18">
        <f>IF($A336&gt;'1-Input'!$B$26,0,(MAX(0,AK286-IF($A336&gt;='1-Input'!$C$12,'1-Input'!$B$12,0))-MIN(MAX(AO335,0),MAX(0,AK286-IF($A336&gt;='1-Input'!$C$12,'1-Input'!$B$12,0))))*(1/(1-'P-Parametri'!$B$6*AK336))+MIN(MAX(0,AP335-(MAX(0,AK286-IF($A336&gt;='1-Input'!$C$12,'1-Input'!$B$12,0))-MIN(MAX(AO335,0),MAX(0,AK286-IF($A336&gt;='1-Input'!$C$12,'1-Input'!$B$12,0))))*(1/(1-'P-Parametri'!$B$6*AK336))),MAX(0,3*AK286-(AO335-MIN(MAX(AO335,0),MAX(0,AK286-IF($A336&gt;='1-Input'!$C$12,'1-Input'!$B$12,0)))))*(1/(1-'P-Parametri'!$B$6*AK336))))</f>
        <v>0</v>
      </c>
      <c r="AM336" s="18">
        <f>IF($A336&gt;'1-Input'!$B$26,AO335,(AO335-MAX(0,AK286-IF($A336&gt;='1-Input'!$C$12,'1-Input'!$B$12,0))+AL336*(1-'P-Parametri'!$B$6*AK336))*(1+'1-Input'!$B$27))</f>
        <v>2.6235740649774379E-5</v>
      </c>
      <c r="AN336" s="18">
        <f>IF($A336&gt;'1-Input'!$B$26,AP335,(AP335-AL336)*(1+$B$4))</f>
        <v>0</v>
      </c>
      <c r="AO336" s="18">
        <f>IF($A336&gt;'1-Input'!$B$26,AM336,AM336-'P-Parametri'!$B$8*(AN336+AM336)+MIN(MAX(AN336,0),'P-Parametri'!$B$8*(AN336+AM336)))</f>
        <v>2.6235740649774379E-5</v>
      </c>
      <c r="AP336" s="18">
        <f>IF($A336&gt;'1-Input'!$B$26,AN336,AN336-MIN(MAX(AN336,0),'P-Parametri'!$B$8*(AN336+AM336)))</f>
        <v>0</v>
      </c>
      <c r="AQ336" s="18">
        <f>IF($A336&gt;'1-Input'!$B$26,AQ335,AQ335-AL336*(1-AK336))</f>
        <v>4.5474735088646412E-13</v>
      </c>
    </row>
    <row r="337" spans="1:43">
      <c r="A337" s="4" t="s">
        <v>365</v>
      </c>
      <c r="B337" s="18">
        <f>F336+G336</f>
        <v>-15525.305020194679</v>
      </c>
      <c r="I337" s="18">
        <f>M336+N336</f>
        <v>-353381.58197079541</v>
      </c>
      <c r="P337" s="18">
        <f>T336+U336</f>
        <v>-1536.1855743630979</v>
      </c>
      <c r="W337" s="18">
        <f>AA336+AB336</f>
        <v>-160.76161926577583</v>
      </c>
      <c r="AD337" s="18">
        <f>AH336+AI336</f>
        <v>1.133949376471091E-3</v>
      </c>
      <c r="AK337" s="18">
        <f>AO336+AP336</f>
        <v>2.6235740649774379E-5</v>
      </c>
    </row>
    <row r="338" spans="1:43">
      <c r="A338" s="5" t="s">
        <v>266</v>
      </c>
      <c r="B338" s="18">
        <f>IFERROR(AK286-AK337*(AK286-AD286)/(AK337-AD337),AK286)</f>
        <v>16412.12403447364</v>
      </c>
    </row>
    <row r="340" spans="1:43">
      <c r="A340" s="2" t="s">
        <v>369</v>
      </c>
    </row>
    <row r="341" spans="1:43">
      <c r="A341" s="4" t="s">
        <v>360</v>
      </c>
      <c r="B341" s="9">
        <f>0.038*'2-Caso'!$B$12</f>
        <v>16681.055314625803</v>
      </c>
      <c r="I341" s="9">
        <f>0.05*'2-Caso'!$B$12</f>
        <v>21948.756992928691</v>
      </c>
      <c r="P341" s="18">
        <f>IFERROR(I341-I392*(I341-B341)/(I392-B392),I341)</f>
        <v>16104.778025590367</v>
      </c>
      <c r="W341" s="18">
        <f>IFERROR(P341-P392*(P341-I341)/(P392-I392),P341)</f>
        <v>16018.315587347852</v>
      </c>
      <c r="AD341" s="18">
        <f>IFERROR(W341-W392*(W341-P341)/(W392-P392),W341)</f>
        <v>16001.833956960776</v>
      </c>
      <c r="AK341" s="18">
        <f>IFERROR(AD341-AD392*(AD341-W341)/(AD392-W392),AD341)</f>
        <v>16001.832107855278</v>
      </c>
    </row>
    <row r="342" spans="1:43" ht="45">
      <c r="A342" s="25" t="s">
        <v>262</v>
      </c>
      <c r="B342" s="25" t="s">
        <v>361</v>
      </c>
      <c r="C342" s="25" t="s">
        <v>263</v>
      </c>
      <c r="D342" s="25" t="s">
        <v>362</v>
      </c>
      <c r="E342" s="25" t="s">
        <v>363</v>
      </c>
      <c r="F342" s="25" t="s">
        <v>264</v>
      </c>
      <c r="G342" s="25" t="s">
        <v>265</v>
      </c>
      <c r="H342" s="25" t="s">
        <v>364</v>
      </c>
      <c r="I342" s="25" t="s">
        <v>361</v>
      </c>
      <c r="J342" s="25" t="s">
        <v>263</v>
      </c>
      <c r="K342" s="25" t="s">
        <v>362</v>
      </c>
      <c r="L342" s="25" t="s">
        <v>363</v>
      </c>
      <c r="M342" s="25" t="s">
        <v>264</v>
      </c>
      <c r="N342" s="25" t="s">
        <v>265</v>
      </c>
      <c r="O342" s="25" t="s">
        <v>364</v>
      </c>
      <c r="P342" s="25" t="s">
        <v>361</v>
      </c>
      <c r="Q342" s="25" t="s">
        <v>263</v>
      </c>
      <c r="R342" s="25" t="s">
        <v>362</v>
      </c>
      <c r="S342" s="25" t="s">
        <v>363</v>
      </c>
      <c r="T342" s="25" t="s">
        <v>264</v>
      </c>
      <c r="U342" s="25" t="s">
        <v>265</v>
      </c>
      <c r="V342" s="25" t="s">
        <v>364</v>
      </c>
      <c r="W342" s="25" t="s">
        <v>361</v>
      </c>
      <c r="X342" s="25" t="s">
        <v>263</v>
      </c>
      <c r="Y342" s="25" t="s">
        <v>362</v>
      </c>
      <c r="Z342" s="25" t="s">
        <v>363</v>
      </c>
      <c r="AA342" s="25" t="s">
        <v>264</v>
      </c>
      <c r="AB342" s="25" t="s">
        <v>265</v>
      </c>
      <c r="AC342" s="25" t="s">
        <v>364</v>
      </c>
      <c r="AD342" s="25" t="s">
        <v>361</v>
      </c>
      <c r="AE342" s="25" t="s">
        <v>263</v>
      </c>
      <c r="AF342" s="25" t="s">
        <v>362</v>
      </c>
      <c r="AG342" s="25" t="s">
        <v>363</v>
      </c>
      <c r="AH342" s="25" t="s">
        <v>264</v>
      </c>
      <c r="AI342" s="25" t="s">
        <v>265</v>
      </c>
      <c r="AJ342" s="25" t="s">
        <v>364</v>
      </c>
      <c r="AK342" s="25" t="s">
        <v>361</v>
      </c>
      <c r="AL342" s="25" t="s">
        <v>263</v>
      </c>
      <c r="AM342" s="25" t="s">
        <v>362</v>
      </c>
      <c r="AN342" s="25" t="s">
        <v>363</v>
      </c>
      <c r="AO342" s="25" t="s">
        <v>264</v>
      </c>
      <c r="AP342" s="25" t="s">
        <v>265</v>
      </c>
      <c r="AQ342" s="25" t="s">
        <v>364</v>
      </c>
    </row>
    <row r="343" spans="1:43">
      <c r="A343" s="3">
        <v>0</v>
      </c>
      <c r="F343" s="18">
        <f>MIN(5*B341,'2-Caso'!$B$12)</f>
        <v>83405.276573129013</v>
      </c>
      <c r="G343" s="18">
        <f>'2-Caso'!$B$12-F343</f>
        <v>355569.86328544479</v>
      </c>
      <c r="H343" s="18">
        <f>'2-Caso'!$B$13*G343/'2-Caso'!$B$12</f>
        <v>278640</v>
      </c>
      <c r="M343" s="18">
        <f>MIN(5*I341,'2-Caso'!$B$12)</f>
        <v>109743.78496464345</v>
      </c>
      <c r="N343" s="18">
        <f>'2-Caso'!$B$12-M343</f>
        <v>329231.35489393037</v>
      </c>
      <c r="O343" s="18">
        <f>'2-Caso'!$B$13*N343/'2-Caso'!$B$12</f>
        <v>258000.00000000003</v>
      </c>
      <c r="T343" s="18">
        <f>MIN(5*P341,'2-Caso'!$B$12)</f>
        <v>80523.890127951832</v>
      </c>
      <c r="U343" s="18">
        <f>'2-Caso'!$B$12-T343</f>
        <v>358451.24973062193</v>
      </c>
      <c r="V343" s="18">
        <f>'2-Caso'!$B$13*U343/'2-Caso'!$B$12</f>
        <v>280897.97966021555</v>
      </c>
      <c r="AA343" s="18">
        <f>MIN(5*W341,'2-Caso'!$B$12)</f>
        <v>80091.577936739253</v>
      </c>
      <c r="AB343" s="18">
        <f>'2-Caso'!$B$12-AA343</f>
        <v>358883.56192183454</v>
      </c>
      <c r="AC343" s="18">
        <f>'2-Caso'!$B$13*AB343/'2-Caso'!$B$12</f>
        <v>281236.7582840462</v>
      </c>
      <c r="AH343" s="18">
        <f>MIN(5*AD341,'2-Caso'!$B$12)</f>
        <v>80009.169784803875</v>
      </c>
      <c r="AI343" s="18">
        <f>'2-Caso'!$B$12-AH343</f>
        <v>358965.97007376992</v>
      </c>
      <c r="AJ343" s="18">
        <f>'2-Caso'!$B$13*AI343/'2-Caso'!$B$12</f>
        <v>281301.33689383918</v>
      </c>
      <c r="AO343" s="18">
        <f>MIN(5*AK341,'2-Caso'!$B$12)</f>
        <v>80009.160539276389</v>
      </c>
      <c r="AP343" s="18">
        <f>'2-Caso'!$B$12-AO343</f>
        <v>358965.97931929742</v>
      </c>
      <c r="AQ343" s="18">
        <f>'2-Caso'!$B$13*AP343/'2-Caso'!$B$12</f>
        <v>281301.34413903643</v>
      </c>
    </row>
    <row r="344" spans="1:43">
      <c r="A344" s="10">
        <f>1</f>
        <v>1</v>
      </c>
      <c r="B344" s="11">
        <f>IF($A344&gt;'1-Input'!$B$26,0,IF(G343&lt;=0,0,MAX(0,(G343-H343)/G343)))</f>
        <v>0.21635653419729486</v>
      </c>
      <c r="C344" s="18">
        <f>IF($A344&gt;'1-Input'!$B$26,0,(MAX(0,B341-IF($A344&gt;='1-Input'!$C$12,'1-Input'!$B$12,0))-MIN(MAX(F343,0),MAX(0,B341-IF($A344&gt;='1-Input'!$C$12,'1-Input'!$B$12,0))))*(1/(1-'P-Parametri'!$B$6*B344))+MIN(MAX(0,G343-(MAX(0,B341-IF($A344&gt;='1-Input'!$C$12,'1-Input'!$B$12,0))-MIN(MAX(F343,0),MAX(0,B341-IF($A344&gt;='1-Input'!$C$12,'1-Input'!$B$12,0))))*(1/(1-'P-Parametri'!$B$6*B344))),MAX(0,5*B341-(F343-MIN(MAX(F343,0),MAX(0,B341-IF($A344&gt;='1-Input'!$C$12,'1-Input'!$B$12,0)))))*(1/(1-'P-Parametri'!$B$6*B344))))</f>
        <v>17675.340946701614</v>
      </c>
      <c r="D344" s="18">
        <f>IF($A344&gt;'1-Input'!$B$26,F343,(F343-MAX(0,B341-IF($A344&gt;='1-Input'!$C$12,'1-Input'!$B$12,0))+C344*(1-'P-Parametri'!$B$6*B344))*(1+'1-Input'!$B$27))</f>
        <v>83105.01757746574</v>
      </c>
      <c r="E344" s="18">
        <f>IF($A344&gt;'1-Input'!$B$26,G343,(G343-C344)*(1+$B$4))</f>
        <v>344652.4127855181</v>
      </c>
      <c r="F344" s="18">
        <f>IF($A344&gt;'1-Input'!$B$26,D344,D344-'P-Parametri'!$B$8*(E344+D344)+MIN(MAX(E344,0),'P-Parametri'!$B$8*(E344+D344)))</f>
        <v>83105.01757746574</v>
      </c>
      <c r="G344" s="18">
        <f>IF($A344&gt;'1-Input'!$B$26,E344,E344-MIN(MAX(E344,0),'P-Parametri'!$B$8*(E344+D344)))</f>
        <v>343796.89792479214</v>
      </c>
      <c r="H344" s="18">
        <f>IF($A344&gt;'1-Input'!$B$26,H343,H343-C344*(1-B344))</f>
        <v>264788.8345612823</v>
      </c>
      <c r="I344" s="11">
        <f>IF($A344&gt;'1-Input'!$B$26,0,IF(N343&lt;=0,0,MAX(0,(N343-O343)/N343)))</f>
        <v>0.21635653419729478</v>
      </c>
      <c r="J344" s="18">
        <f>IF($A344&gt;'1-Input'!$B$26,0,(MAX(0,I341-IF($A344&gt;='1-Input'!$C$12,'1-Input'!$B$12,0))-MIN(MAX(M343,0),MAX(0,I341-IF($A344&gt;='1-Input'!$C$12,'1-Input'!$B$12,0))))*(1/(1-'P-Parametri'!$B$6*I344))+MIN(MAX(0,N343-(MAX(0,I341-IF($A344&gt;='1-Input'!$C$12,'1-Input'!$B$12,0))-MIN(MAX(M343,0),MAX(0,I341-IF($A344&gt;='1-Input'!$C$12,'1-Input'!$B$12,0))))*(1/(1-'P-Parametri'!$B$6*I344))),MAX(0,5*I341-(M343-MIN(MAX(M343,0),MAX(0,I341-IF($A344&gt;='1-Input'!$C$12,'1-Input'!$B$12,0)))))*(1/(1-'P-Parametri'!$B$6*I344))))</f>
        <v>23257.027561449489</v>
      </c>
      <c r="K344" s="18">
        <f>IF($A344&gt;'1-Input'!$B$26,M343,(M343-MAX(0,I341-IF($A344&gt;='1-Input'!$C$12,'1-Input'!$B$12,0))+J344*(1-'P-Parametri'!$B$6*I344))*(1+'1-Input'!$B$27))</f>
        <v>109348.70733877072</v>
      </c>
      <c r="L344" s="18">
        <f>IF($A344&gt;'1-Input'!$B$26,N343,(N343-J344)*(1+$B$4))</f>
        <v>312093.81387913047</v>
      </c>
      <c r="M344" s="18">
        <f>IF($A344&gt;'1-Input'!$B$26,K344,K344-'P-Parametri'!$B$8*(L344+K344)+MIN(MAX(L344,0),'P-Parametri'!$B$8*(L344+K344)))</f>
        <v>109348.70733877074</v>
      </c>
      <c r="N344" s="18">
        <f>IF($A344&gt;'1-Input'!$B$26,L344,L344-MIN(MAX(L344,0),'P-Parametri'!$B$8*(L344+K344)))</f>
        <v>311250.92883669469</v>
      </c>
      <c r="O344" s="18">
        <f>IF($A344&gt;'1-Input'!$B$26,O343,O343-J344*(1-I344))</f>
        <v>239774.78231747673</v>
      </c>
      <c r="P344" s="11">
        <f>IF($A344&gt;'1-Input'!$B$26,0,IF(U343&lt;=0,0,MAX(0,(U343-V343)/U343)))</f>
        <v>0.21635653419729484</v>
      </c>
      <c r="Q344" s="18">
        <f>IF($A344&gt;'1-Input'!$B$26,0,(MAX(0,P341-IF($A344&gt;='1-Input'!$C$12,'1-Input'!$B$12,0))-MIN(MAX(T343,0),MAX(0,P341-IF($A344&gt;='1-Input'!$C$12,'1-Input'!$B$12,0))))*(1/(1-'P-Parametri'!$B$6*P344))+MIN(MAX(0,U343-(MAX(0,P341-IF($A344&gt;='1-Input'!$C$12,'1-Input'!$B$12,0))-MIN(MAX(T343,0),MAX(0,P341-IF($A344&gt;='1-Input'!$C$12,'1-Input'!$B$12,0))))*(1/(1-'P-Parametri'!$B$6*P344))),MAX(0,5*P341-(T343-MIN(MAX(T343,0),MAX(0,P341-IF($A344&gt;='1-Input'!$C$12,'1-Input'!$B$12,0)))))*(1/(1-'P-Parametri'!$B$6*P344))))</f>
        <v>17064.71425843619</v>
      </c>
      <c r="R344" s="18">
        <f>IF($A344&gt;'1-Input'!$B$26,T343,(T343-MAX(0,P341-IF($A344&gt;='1-Input'!$C$12,'1-Input'!$B$12,0))+Q344*(1-'P-Parametri'!$B$6*P344))*(1+'1-Input'!$B$27))</f>
        <v>80234.004123491206</v>
      </c>
      <c r="S344" s="18">
        <f>IF($A344&gt;'1-Input'!$B$26,U343,(U343-Q344)*(1+$B$4))</f>
        <v>348214.2661816295</v>
      </c>
      <c r="T344" s="18">
        <f>IF($A344&gt;'1-Input'!$B$26,R344,R344-'P-Parametri'!$B$8*(S344+R344)+MIN(MAX(S344,0),'P-Parametri'!$B$8*(S344+R344)))</f>
        <v>80234.004123491206</v>
      </c>
      <c r="U344" s="18">
        <f>IF($A344&gt;'1-Input'!$B$26,S344,S344-MIN(MAX(S344,0),'P-Parametri'!$B$8*(S344+R344)))</f>
        <v>347357.36964101926</v>
      </c>
      <c r="V344" s="18">
        <f>IF($A344&gt;'1-Input'!$B$26,V343,V343-Q344*(1-P344))</f>
        <v>267525.32783580176</v>
      </c>
      <c r="W344" s="11">
        <f>IF($A344&gt;'1-Input'!$B$26,0,IF(AB343&lt;=0,0,MAX(0,(AB343-AC343)/AB343)))</f>
        <v>0.21635653419729475</v>
      </c>
      <c r="X344" s="18">
        <f>IF($A344&gt;'1-Input'!$B$26,0,(MAX(0,W341-IF($A344&gt;='1-Input'!$C$12,'1-Input'!$B$12,0))-MIN(MAX(AA343,0),MAX(0,W341-IF($A344&gt;='1-Input'!$C$12,'1-Input'!$B$12,0))))*(1/(1-'P-Parametri'!$B$6*W344))+MIN(MAX(0,AB343-(MAX(0,W341-IF($A344&gt;='1-Input'!$C$12,'1-Input'!$B$12,0))-MIN(MAX(AA343,0),MAX(0,W341-IF($A344&gt;='1-Input'!$C$12,'1-Input'!$B$12,0))))*(1/(1-'P-Parametri'!$B$6*W344))),MAX(0,5*W341-(AA343-MIN(MAX(AA343,0),MAX(0,W341-IF($A344&gt;='1-Input'!$C$12,'1-Input'!$B$12,0)))))*(1/(1-'P-Parametri'!$B$6*W344))))</f>
        <v>16973.098167835524</v>
      </c>
      <c r="Y344" s="18">
        <f>IF($A344&gt;'1-Input'!$B$26,AA343,(AA343-MAX(0,W341-IF($A344&gt;='1-Input'!$C$12,'1-Input'!$B$12,0))+X344*(1-'P-Parametri'!$B$6*W344))*(1+'1-Input'!$B$27))</f>
        <v>79803.248256166989</v>
      </c>
      <c r="Z344" s="18">
        <f>IF($A344&gt;'1-Input'!$B$26,AB343,(AB343-X344)*(1+$B$4))</f>
        <v>348748.67302907904</v>
      </c>
      <c r="AA344" s="18">
        <f>IF($A344&gt;'1-Input'!$B$26,Y344,Y344-'P-Parametri'!$B$8*(Z344+Y344)+MIN(MAX(Z344,0),'P-Parametri'!$B$8*(Z344+Y344)))</f>
        <v>79803.248256166989</v>
      </c>
      <c r="AB344" s="18">
        <f>IF($A344&gt;'1-Input'!$B$26,Z344,Z344-MIN(MAX(Z344,0),'P-Parametri'!$B$8*(Z344+Y344)))</f>
        <v>347891.56918650854</v>
      </c>
      <c r="AC344" s="18">
        <f>IF($A344&gt;'1-Input'!$B$26,AC343,AC343-X344*(1-W344))</f>
        <v>267935.90081039403</v>
      </c>
      <c r="AD344" s="11">
        <f>IF($A344&gt;'1-Input'!$B$26,0,IF(AI343&lt;=0,0,MAX(0,(AI343-AJ343)/AI343)))</f>
        <v>0.21635653419729489</v>
      </c>
      <c r="AE344" s="18">
        <f>IF($A344&gt;'1-Input'!$B$26,0,(MAX(0,AD341-IF($A344&gt;='1-Input'!$C$12,'1-Input'!$B$12,0))-MIN(MAX(AH343,0),MAX(0,AD341-IF($A344&gt;='1-Input'!$C$12,'1-Input'!$B$12,0))))*(1/(1-'P-Parametri'!$B$6*AD344))+MIN(MAX(0,AI343-(MAX(0,AD341-IF($A344&gt;='1-Input'!$C$12,'1-Input'!$B$12,0))-MIN(MAX(AH343,0),MAX(0,AD341-IF($A344&gt;='1-Input'!$C$12,'1-Input'!$B$12,0))))*(1/(1-'P-Parametri'!$B$6*AD344))),MAX(0,5*AD341-(AH343-MIN(MAX(AH343,0),MAX(0,AD341-IF($A344&gt;='1-Input'!$C$12,'1-Input'!$B$12,0)))))*(1/(1-'P-Parametri'!$B$6*AD344))))</f>
        <v>16955.634138674632</v>
      </c>
      <c r="AF344" s="18">
        <f>IF($A344&gt;'1-Input'!$B$26,AH343,(AH343-MAX(0,AD341-IF($A344&gt;='1-Input'!$C$12,'1-Input'!$B$12,0))+AE344*(1-'P-Parametri'!$B$6*AD344))*(1+'1-Input'!$B$27))</f>
        <v>79721.136773578575</v>
      </c>
      <c r="AG344" s="18">
        <f>IF($A344&gt;'1-Input'!$B$26,AI343,(AI343-AE344)*(1+$B$4))</f>
        <v>348850.54265379719</v>
      </c>
      <c r="AH344" s="18">
        <f>IF($A344&gt;'1-Input'!$B$26,AF344,AF344-'P-Parametri'!$B$8*(AG344+AF344)+MIN(MAX(AG344,0),'P-Parametri'!$B$8*(AG344+AF344)))</f>
        <v>79721.136773578575</v>
      </c>
      <c r="AI344" s="18">
        <f>IF($A344&gt;'1-Input'!$B$26,AG344,AG344-MIN(MAX(AG344,0),'P-Parametri'!$B$8*(AG344+AF344)))</f>
        <v>347993.39929494244</v>
      </c>
      <c r="AJ344" s="18">
        <f>IF($A344&gt;'1-Input'!$B$26,AJ343,AJ343-AE344*(1-AD344))</f>
        <v>268014.16499252553</v>
      </c>
      <c r="AK344" s="11">
        <f>IF($A344&gt;'1-Input'!$B$26,0,IF(AP343&lt;=0,0,MAX(0,(AP343-AQ343)/AP343)))</f>
        <v>0.21635653419729478</v>
      </c>
      <c r="AL344" s="18">
        <f>IF($A344&gt;'1-Input'!$B$26,0,(MAX(0,AK341-IF($A344&gt;='1-Input'!$C$12,'1-Input'!$B$12,0))-MIN(MAX(AO343,0),MAX(0,AK341-IF($A344&gt;='1-Input'!$C$12,'1-Input'!$B$12,0))))*(1/(1-'P-Parametri'!$B$6*AK344))+MIN(MAX(0,AP343-(MAX(0,AK341-IF($A344&gt;='1-Input'!$C$12,'1-Input'!$B$12,0))-MIN(MAX(AO343,0),MAX(0,AK341-IF($A344&gt;='1-Input'!$C$12,'1-Input'!$B$12,0))))*(1/(1-'P-Parametri'!$B$6*AK344))),MAX(0,5*AK341-(AO343-MIN(MAX(AO343,0),MAX(0,AK341-IF($A344&gt;='1-Input'!$C$12,'1-Input'!$B$12,0)))))*(1/(1-'P-Parametri'!$B$6*AK344))))</f>
        <v>16955.632179351942</v>
      </c>
      <c r="AM344" s="18">
        <f>IF($A344&gt;'1-Input'!$B$26,AO343,(AO343-MAX(0,AK341-IF($A344&gt;='1-Input'!$C$12,'1-Input'!$B$12,0))+AL344*(1-'P-Parametri'!$B$6*AK344))*(1+'1-Input'!$B$27))</f>
        <v>79721.127561334986</v>
      </c>
      <c r="AN344" s="18">
        <f>IF($A344&gt;'1-Input'!$B$26,AP343,(AP343-AL344)*(1+$B$4))</f>
        <v>348850.55408274441</v>
      </c>
      <c r="AO344" s="18">
        <f>IF($A344&gt;'1-Input'!$B$26,AM344,AM344-'P-Parametri'!$B$8*(AN344+AM344)+MIN(MAX(AN344,0),'P-Parametri'!$B$8*(AN344+AM344)))</f>
        <v>79721.127561334986</v>
      </c>
      <c r="AP344" s="18">
        <f>IF($A344&gt;'1-Input'!$B$26,AN344,AN344-MIN(MAX(AN344,0),'P-Parametri'!$B$8*(AN344+AM344)))</f>
        <v>347993.41071945627</v>
      </c>
      <c r="AQ344" s="18">
        <f>IF($A344&gt;'1-Input'!$B$26,AQ343,AQ343-AL344*(1-AK344))</f>
        <v>268014.1737731332</v>
      </c>
    </row>
    <row r="345" spans="1:43">
      <c r="A345" s="10">
        <f>2</f>
        <v>2</v>
      </c>
      <c r="B345" s="11">
        <f>IF($A345&gt;'1-Input'!$B$26,0,IF(G344&lt;=0,0,MAX(0,(G344-H344)/G344)))</f>
        <v>0.22981028578330387</v>
      </c>
      <c r="C345" s="18">
        <f>IF($A345&gt;'1-Input'!$B$26,0,(MAX(0,B341-IF($A345&gt;='1-Input'!$C$12,'1-Input'!$B$12,0))-MIN(MAX(F344,0),MAX(0,B341-IF($A345&gt;='1-Input'!$C$12,'1-Input'!$B$12,0))))*(1/(1-'P-Parametri'!$B$6*B345))+MIN(MAX(0,G344-(MAX(0,B341-IF($A345&gt;='1-Input'!$C$12,'1-Input'!$B$12,0))-MIN(MAX(F344,0),MAX(0,B341-IF($A345&gt;='1-Input'!$C$12,'1-Input'!$B$12,0))))*(1/(1-'P-Parametri'!$B$6*B345))),MAX(0,5*B341-(F344-MIN(MAX(F344,0),MAX(0,B341-IF($A345&gt;='1-Input'!$C$12,'1-Input'!$B$12,0)))))*(1/(1-'P-Parametri'!$B$6*B345))))</f>
        <v>18060.437637339281</v>
      </c>
      <c r="D345" s="18">
        <f>IF($A345&gt;'1-Input'!$B$26,F344,(F344-MAX(0,B341-IF($A345&gt;='1-Input'!$C$12,'1-Input'!$B$12,0))+C345*(1-'P-Parametri'!$B$6*B345))*(1+'1-Input'!$B$27))</f>
        <v>83105.01757746574</v>
      </c>
      <c r="E345" s="18">
        <f>IF($A345&gt;'1-Input'!$B$26,G344,(G344-C345)*(1+$B$4))</f>
        <v>332251.18949320191</v>
      </c>
      <c r="F345" s="18">
        <f>IF($A345&gt;'1-Input'!$B$26,D345,D345-'P-Parametri'!$B$8*(E345+D345)+MIN(MAX(E345,0),'P-Parametri'!$B$8*(E345+D345)))</f>
        <v>83105.01757746574</v>
      </c>
      <c r="G345" s="18">
        <f>IF($A345&gt;'1-Input'!$B$26,E345,E345-MIN(MAX(E345,0),'P-Parametri'!$B$8*(E345+D345)))</f>
        <v>331420.47707906057</v>
      </c>
      <c r="H345" s="18">
        <f>IF($A345&gt;'1-Input'!$B$26,H344,H344-C345*(1-B345))</f>
        <v>250878.87125875149</v>
      </c>
      <c r="I345" s="11">
        <f>IF($A345&gt;'1-Input'!$B$26,0,IF(N344&lt;=0,0,MAX(0,(N344-O344)/N344)))</f>
        <v>0.22964155251314816</v>
      </c>
      <c r="J345" s="18">
        <f>IF($A345&gt;'1-Input'!$B$26,0,(MAX(0,I341-IF($A345&gt;='1-Input'!$C$12,'1-Input'!$B$12,0))-MIN(MAX(M344,0),MAX(0,I341-IF($A345&gt;='1-Input'!$C$12,'1-Input'!$B$12,0))))*(1/(1-'P-Parametri'!$B$6*I345))+MIN(MAX(0,N344-(MAX(0,I341-IF($A345&gt;='1-Input'!$C$12,'1-Input'!$B$12,0))-MIN(MAX(M344,0),MAX(0,I341-IF($A345&gt;='1-Input'!$C$12,'1-Input'!$B$12,0))))*(1/(1-'P-Parametri'!$B$6*I345))),MAX(0,5*I341-(M344-MIN(MAX(M344,0),MAX(0,I341-IF($A345&gt;='1-Input'!$C$12,'1-Input'!$B$12,0)))))*(1/(1-'P-Parametri'!$B$6*I345))))</f>
        <v>23762.625004218055</v>
      </c>
      <c r="K345" s="18">
        <f>IF($A345&gt;'1-Input'!$B$26,M344,(M344-MAX(0,I341-IF($A345&gt;='1-Input'!$C$12,'1-Input'!$B$12,0))+J345*(1-'P-Parametri'!$B$6*I345))*(1+'1-Input'!$B$27))</f>
        <v>109348.70733877072</v>
      </c>
      <c r="L345" s="18">
        <f>IF($A345&gt;'1-Input'!$B$26,N344,(N344-J345)*(1+$B$4))</f>
        <v>293238.06990912615</v>
      </c>
      <c r="M345" s="18">
        <f>IF($A345&gt;'1-Input'!$B$26,K345,K345-'P-Parametri'!$B$8*(L345+K345)+MIN(MAX(L345,0),'P-Parametri'!$B$8*(L345+K345)))</f>
        <v>109348.70733877072</v>
      </c>
      <c r="N345" s="18">
        <f>IF($A345&gt;'1-Input'!$B$26,L345,L345-MIN(MAX(L345,0),'P-Parametri'!$B$8*(L345+K345)))</f>
        <v>292432.89635463036</v>
      </c>
      <c r="O345" s="18">
        <f>IF($A345&gt;'1-Input'!$B$26,O344,O344-J345*(1-I345))</f>
        <v>221469.04341101507</v>
      </c>
      <c r="P345" s="11">
        <f>IF($A345&gt;'1-Input'!$B$26,0,IF(U344&lt;=0,0,MAX(0,(U344-V344)/U344)))</f>
        <v>0.22982682615233099</v>
      </c>
      <c r="Q345" s="18">
        <f>IF($A345&gt;'1-Input'!$B$26,0,(MAX(0,P341-IF($A345&gt;='1-Input'!$C$12,'1-Input'!$B$12,0))-MIN(MAX(T344,0),MAX(0,P341-IF($A345&gt;='1-Input'!$C$12,'1-Input'!$B$12,0))))*(1/(1-'P-Parametri'!$B$6*P345))+MIN(MAX(0,U344-(MAX(0,P341-IF($A345&gt;='1-Input'!$C$12,'1-Input'!$B$12,0))-MIN(MAX(T344,0),MAX(0,P341-IF($A345&gt;='1-Input'!$C$12,'1-Input'!$B$12,0))))*(1/(1-'P-Parametri'!$B$6*P345))),MAX(0,5*P341-(T344-MIN(MAX(T344,0),MAX(0,P341-IF($A345&gt;='1-Input'!$C$12,'1-Input'!$B$12,0)))))*(1/(1-'P-Parametri'!$B$6*P345))))</f>
        <v>17436.5868370926</v>
      </c>
      <c r="R345" s="18">
        <f>IF($A345&gt;'1-Input'!$B$26,T344,(T344-MAX(0,P341-IF($A345&gt;='1-Input'!$C$12,'1-Input'!$B$12,0))+Q345*(1-'P-Parametri'!$B$6*P345))*(1+'1-Input'!$B$27))</f>
        <v>80234.004123491206</v>
      </c>
      <c r="S345" s="18">
        <f>IF($A345&gt;'1-Input'!$B$26,U344,(U344-Q345)*(1+$B$4))</f>
        <v>336519.19846000522</v>
      </c>
      <c r="T345" s="18">
        <f>IF($A345&gt;'1-Input'!$B$26,R345,R345-'P-Parametri'!$B$8*(S345+R345)+MIN(MAX(S345,0),'P-Parametri'!$B$8*(S345+R345)))</f>
        <v>80234.004123491206</v>
      </c>
      <c r="U345" s="18">
        <f>IF($A345&gt;'1-Input'!$B$26,S345,S345-MIN(MAX(S345,0),'P-Parametri'!$B$8*(S345+R345)))</f>
        <v>335685.69205483823</v>
      </c>
      <c r="V345" s="18">
        <f>IF($A345&gt;'1-Input'!$B$26,V344,V344-Q345*(1-P345))</f>
        <v>254096.13641040766</v>
      </c>
      <c r="W345" s="11">
        <f>IF($A345&gt;'1-Input'!$B$26,0,IF(AB344&lt;=0,0,MAX(0,(AB344-AC344)/AB344)))</f>
        <v>0.2298292785970027</v>
      </c>
      <c r="X345" s="18">
        <f>IF($A345&gt;'1-Input'!$B$26,0,(MAX(0,W341-IF($A345&gt;='1-Input'!$C$12,'1-Input'!$B$12,0))-MIN(MAX(AA344,0),MAX(0,W341-IF($A345&gt;='1-Input'!$C$12,'1-Input'!$B$12,0))))*(1/(1-'P-Parametri'!$B$6*W345))+MIN(MAX(0,AB344-(MAX(0,W341-IF($A345&gt;='1-Input'!$C$12,'1-Input'!$B$12,0))-MIN(MAX(AA344,0),MAX(0,W341-IF($A345&gt;='1-Input'!$C$12,'1-Input'!$B$12,0))))*(1/(1-'P-Parametri'!$B$6*W345))),MAX(0,5*W341-(AA344-MIN(MAX(AA344,0),MAX(0,W341-IF($A345&gt;='1-Input'!$C$12,'1-Input'!$B$12,0)))))*(1/(1-'P-Parametri'!$B$6*W345))))</f>
        <v>17342.986018937179</v>
      </c>
      <c r="Y345" s="18">
        <f>IF($A345&gt;'1-Input'!$B$26,AA344,(AA344-MAX(0,W341-IF($A345&gt;='1-Input'!$C$12,'1-Input'!$B$12,0))+X345*(1-'P-Parametri'!$B$6*W345))*(1+'1-Input'!$B$27))</f>
        <v>79803.248256166989</v>
      </c>
      <c r="Z345" s="18">
        <f>IF($A345&gt;'1-Input'!$B$26,AB344,(AB344-X345)*(1+$B$4))</f>
        <v>337159.5548309228</v>
      </c>
      <c r="AA345" s="18">
        <f>IF($A345&gt;'1-Input'!$B$26,Y345,Y345-'P-Parametri'!$B$8*(Z345+Y345)+MIN(MAX(Z345,0),'P-Parametri'!$B$8*(Z345+Y345)))</f>
        <v>79803.248256166989</v>
      </c>
      <c r="AB345" s="18">
        <f>IF($A345&gt;'1-Input'!$B$26,Z345,Z345-MIN(MAX(Z345,0),'P-Parametri'!$B$8*(Z345+Y345)))</f>
        <v>336325.62922474864</v>
      </c>
      <c r="AC345" s="18">
        <f>IF($A345&gt;'1-Input'!$B$26,AC344,AC344-X345*(1-W345))</f>
        <v>254578.84075690707</v>
      </c>
      <c r="AD345" s="11">
        <f>IF($A345&gt;'1-Input'!$B$26,0,IF(AI344&lt;=0,0,MAX(0,(AI344-AJ344)/AI344)))</f>
        <v>0.22982974523212252</v>
      </c>
      <c r="AE345" s="18">
        <f>IF($A345&gt;'1-Input'!$B$26,0,(MAX(0,AD341-IF($A345&gt;='1-Input'!$C$12,'1-Input'!$B$12,0))-MIN(MAX(AH344,0),MAX(0,AD341-IF($A345&gt;='1-Input'!$C$12,'1-Input'!$B$12,0))))*(1/(1-'P-Parametri'!$B$6*AD345))+MIN(MAX(0,AI344-(MAX(0,AD341-IF($A345&gt;='1-Input'!$C$12,'1-Input'!$B$12,0))-MIN(MAX(AH344,0),MAX(0,AD341-IF($A345&gt;='1-Input'!$C$12,'1-Input'!$B$12,0))))*(1/(1-'P-Parametri'!$B$6*AD345))),MAX(0,5*AD341-(AH344-MIN(MAX(AH344,0),MAX(0,AD341-IF($A345&gt;='1-Input'!$C$12,'1-Input'!$B$12,0)))))*(1/(1-'P-Parametri'!$B$6*AD345))))</f>
        <v>17325.143638827718</v>
      </c>
      <c r="AF345" s="18">
        <f>IF($A345&gt;'1-Input'!$B$26,AH344,(AH344-MAX(0,AD341-IF($A345&gt;='1-Input'!$C$12,'1-Input'!$B$12,0))+AE345*(1-'P-Parametri'!$B$6*AD345))*(1+'1-Input'!$B$27))</f>
        <v>79721.136773578575</v>
      </c>
      <c r="AG345" s="18">
        <f>IF($A345&gt;'1-Input'!$B$26,AI344,(AI344-AE345)*(1+$B$4))</f>
        <v>337281.62076923699</v>
      </c>
      <c r="AH345" s="18">
        <f>IF($A345&gt;'1-Input'!$B$26,AF345,AF345-'P-Parametri'!$B$8*(AG345+AF345)+MIN(MAX(AG345,0),'P-Parametri'!$B$8*(AG345+AF345)))</f>
        <v>79721.136773578575</v>
      </c>
      <c r="AI345" s="18">
        <f>IF($A345&gt;'1-Input'!$B$26,AG345,AG345-MIN(MAX(AG345,0),'P-Parametri'!$B$8*(AG345+AF345)))</f>
        <v>336447.61525415134</v>
      </c>
      <c r="AJ345" s="18">
        <f>IF($A345&gt;'1-Input'!$B$26,AJ344,AJ344-AE345*(1-AD345))</f>
        <v>254670.85470231951</v>
      </c>
      <c r="AK345" s="11">
        <f>IF($A345&gt;'1-Input'!$B$26,0,IF(AP344&lt;=0,0,MAX(0,(AP344-AQ344)/AP344)))</f>
        <v>0.2298297452844599</v>
      </c>
      <c r="AL345" s="18">
        <f>IF($A345&gt;'1-Input'!$B$26,0,(MAX(0,AK341-IF($A345&gt;='1-Input'!$C$12,'1-Input'!$B$12,0))-MIN(MAX(AO344,0),MAX(0,AK341-IF($A345&gt;='1-Input'!$C$12,'1-Input'!$B$12,0))))*(1/(1-'P-Parametri'!$B$6*AK345))+MIN(MAX(0,AP344-(MAX(0,AK341-IF($A345&gt;='1-Input'!$C$12,'1-Input'!$B$12,0))-MIN(MAX(AO344,0),MAX(0,AK341-IF($A345&gt;='1-Input'!$C$12,'1-Input'!$B$12,0))))*(1/(1-'P-Parametri'!$B$6*AK345))),MAX(0,5*AK341-(AO344-MIN(MAX(AO344,0),MAX(0,AK341-IF($A345&gt;='1-Input'!$C$12,'1-Input'!$B$12,0)))))*(1/(1-'P-Parametri'!$B$6*AK345))))</f>
        <v>17325.141637056786</v>
      </c>
      <c r="AM345" s="18">
        <f>IF($A345&gt;'1-Input'!$B$26,AO344,(AO344-MAX(0,AK341-IF($A345&gt;='1-Input'!$C$12,'1-Input'!$B$12,0))+AL345*(1-'P-Parametri'!$B$6*AK345))*(1+'1-Input'!$B$27))</f>
        <v>79721.127561334986</v>
      </c>
      <c r="AN345" s="18">
        <f>IF($A345&gt;'1-Input'!$B$26,AP344,(AP344-AL345)*(1+$B$4))</f>
        <v>337281.6344640475</v>
      </c>
      <c r="AO345" s="18">
        <f>IF($A345&gt;'1-Input'!$B$26,AM345,AM345-'P-Parametri'!$B$8*(AN345+AM345)+MIN(MAX(AN345,0),'P-Parametri'!$B$8*(AN345+AM345)))</f>
        <v>79721.127561334986</v>
      </c>
      <c r="AP345" s="18">
        <f>IF($A345&gt;'1-Input'!$B$26,AN345,AN345-MIN(MAX(AN345,0),'P-Parametri'!$B$8*(AN345+AM345)))</f>
        <v>336447.62893999671</v>
      </c>
      <c r="AQ345" s="18">
        <f>IF($A345&gt;'1-Input'!$B$26,AQ344,AQ344-AL345*(1-AK345))</f>
        <v>254670.86502553837</v>
      </c>
    </row>
    <row r="346" spans="1:43">
      <c r="A346" s="10">
        <f>3</f>
        <v>3</v>
      </c>
      <c r="B346" s="11">
        <f>IF($A346&gt;'1-Input'!$B$26,0,IF(G345&lt;=0,0,MAX(0,(G345-H345)/G345)))</f>
        <v>0.24301940100428926</v>
      </c>
      <c r="C346" s="18">
        <f>IF($A346&gt;'1-Input'!$B$26,0,(MAX(0,B341-IF($A346&gt;='1-Input'!$C$12,'1-Input'!$B$12,0))-MIN(MAX(F345,0),MAX(0,B341-IF($A346&gt;='1-Input'!$C$12,'1-Input'!$B$12,0))))*(1/(1-'P-Parametri'!$B$6*B346))+MIN(MAX(0,G345-(MAX(0,B341-IF($A346&gt;='1-Input'!$C$12,'1-Input'!$B$12,0))-MIN(MAX(F345,0),MAX(0,B341-IF($A346&gt;='1-Input'!$C$12,'1-Input'!$B$12,0))))*(1/(1-'P-Parametri'!$B$6*B346))),MAX(0,5*B341-(F345-MIN(MAX(F345,0),MAX(0,B341-IF($A346&gt;='1-Input'!$C$12,'1-Input'!$B$12,0)))))*(1/(1-'P-Parametri'!$B$6*B346))))</f>
        <v>18126.647323745565</v>
      </c>
      <c r="D346" s="18">
        <f>IF($A346&gt;'1-Input'!$B$26,F345,(F345-MAX(0,B341-IF($A346&gt;='1-Input'!$C$12,'1-Input'!$B$12,0))+C346*(1-'P-Parametri'!$B$6*B346))*(1+'1-Input'!$B$27))</f>
        <v>83105.01757746574</v>
      </c>
      <c r="E346" s="18">
        <f>IF($A346&gt;'1-Input'!$B$26,G345,(G345-C346)*(1+$B$4))</f>
        <v>319559.7063504213</v>
      </c>
      <c r="F346" s="18">
        <f>IF($A346&gt;'1-Input'!$B$26,D346,D346-'P-Parametri'!$B$8*(E346+D346)+MIN(MAX(E346,0),'P-Parametri'!$B$8*(E346+D346)))</f>
        <v>83105.01757746574</v>
      </c>
      <c r="G346" s="18">
        <f>IF($A346&gt;'1-Input'!$B$26,E346,E346-MIN(MAX(E346,0),'P-Parametri'!$B$8*(E346+D346)))</f>
        <v>318754.37690256553</v>
      </c>
      <c r="H346" s="18">
        <f>IF($A346&gt;'1-Input'!$B$26,H345,H345-C346*(1-B346))</f>
        <v>237157.35090983857</v>
      </c>
      <c r="I346" s="11">
        <f>IF($A346&gt;'1-Input'!$B$26,0,IF(N345&lt;=0,0,MAX(0,(N345-O345)/N345)))</f>
        <v>0.24266713433483952</v>
      </c>
      <c r="J346" s="18">
        <f>IF($A346&gt;'1-Input'!$B$26,0,(MAX(0,I341-IF($A346&gt;='1-Input'!$C$12,'1-Input'!$B$12,0))-MIN(MAX(M345,0),MAX(0,I341-IF($A346&gt;='1-Input'!$C$12,'1-Input'!$B$12,0))))*(1/(1-'P-Parametri'!$B$6*I346))+MIN(MAX(0,N345-(MAX(0,I341-IF($A346&gt;='1-Input'!$C$12,'1-Input'!$B$12,0))-MIN(MAX(M345,0),MAX(0,I341-IF($A346&gt;='1-Input'!$C$12,'1-Input'!$B$12,0))))*(1/(1-'P-Parametri'!$B$6*I346))),MAX(0,5*I341-(M345-MIN(MAX(M345,0),MAX(0,I341-IF($A346&gt;='1-Input'!$C$12,'1-Input'!$B$12,0)))))*(1/(1-'P-Parametri'!$B$6*I346))))</f>
        <v>23848.520149959968</v>
      </c>
      <c r="K346" s="18">
        <f>IF($A346&gt;'1-Input'!$B$26,M345,(M345-MAX(0,I341-IF($A346&gt;='1-Input'!$C$12,'1-Input'!$B$12,0))+J346*(1-'P-Parametri'!$B$6*I346))*(1+'1-Input'!$B$27))</f>
        <v>109348.70733877072</v>
      </c>
      <c r="L346" s="18">
        <f>IF($A346&gt;'1-Input'!$B$26,N345,(N345-J346)*(1+$B$4))</f>
        <v>273956.06372876384</v>
      </c>
      <c r="M346" s="18">
        <f>IF($A346&gt;'1-Input'!$B$26,K346,K346-'P-Parametri'!$B$8*(L346+K346)+MIN(MAX(L346,0),'P-Parametri'!$B$8*(L346+K346)))</f>
        <v>109348.70733877071</v>
      </c>
      <c r="N346" s="18">
        <f>IF($A346&gt;'1-Input'!$B$26,L346,L346-MIN(MAX(L346,0),'P-Parametri'!$B$8*(L346+K346)))</f>
        <v>273189.45418662875</v>
      </c>
      <c r="O346" s="18">
        <f>IF($A346&gt;'1-Input'!$B$26,O345,O345-J346*(1-I346))</f>
        <v>203407.77530397256</v>
      </c>
      <c r="P346" s="11">
        <f>IF($A346&gt;'1-Input'!$B$26,0,IF(U345&lt;=0,0,MAX(0,(U345-V345)/U345)))</f>
        <v>0.24305342043324846</v>
      </c>
      <c r="Q346" s="18">
        <f>IF($A346&gt;'1-Input'!$B$26,0,(MAX(0,P341-IF($A346&gt;='1-Input'!$C$12,'1-Input'!$B$12,0))-MIN(MAX(T345,0),MAX(0,P341-IF($A346&gt;='1-Input'!$C$12,'1-Input'!$B$12,0))))*(1/(1-'P-Parametri'!$B$6*P346))+MIN(MAX(0,U345-(MAX(0,P341-IF($A346&gt;='1-Input'!$C$12,'1-Input'!$B$12,0))-MIN(MAX(T345,0),MAX(0,P341-IF($A346&gt;='1-Input'!$C$12,'1-Input'!$B$12,0))))*(1/(1-'P-Parametri'!$B$6*P346))),MAX(0,5*P341-(T345-MIN(MAX(T345,0),MAX(0,P341-IF($A346&gt;='1-Input'!$C$12,'1-Input'!$B$12,0)))))*(1/(1-'P-Parametri'!$B$6*P346))))</f>
        <v>17500.594672703257</v>
      </c>
      <c r="R346" s="18">
        <f>IF($A346&gt;'1-Input'!$B$26,T345,(T345-MAX(0,P341-IF($A346&gt;='1-Input'!$C$12,'1-Input'!$B$12,0))+Q346*(1-'P-Parametri'!$B$6*P346))*(1+'1-Input'!$B$27))</f>
        <v>80234.004123491206</v>
      </c>
      <c r="S346" s="18">
        <f>IF($A346&gt;'1-Input'!$B$26,U345,(U345-Q346)*(1+$B$4))</f>
        <v>324548.79932977771</v>
      </c>
      <c r="T346" s="18">
        <f>IF($A346&gt;'1-Input'!$B$26,R346,R346-'P-Parametri'!$B$8*(S346+R346)+MIN(MAX(S346,0),'P-Parametri'!$B$8*(S346+R346)))</f>
        <v>80234.004123491206</v>
      </c>
      <c r="U346" s="18">
        <f>IF($A346&gt;'1-Input'!$B$26,S346,S346-MIN(MAX(S346,0),'P-Parametri'!$B$8*(S346+R346)))</f>
        <v>323739.23372287117</v>
      </c>
      <c r="V346" s="18">
        <f>IF($A346&gt;'1-Input'!$B$26,V345,V345-Q346*(1-P346))</f>
        <v>240849.12113252081</v>
      </c>
      <c r="W346" s="11">
        <f>IF($A346&gt;'1-Input'!$B$26,0,IF(AB345&lt;=0,0,MAX(0,(AB345-AC345)/AB345)))</f>
        <v>0.24305845693732284</v>
      </c>
      <c r="X346" s="18">
        <f>IF($A346&gt;'1-Input'!$B$26,0,(MAX(0,W341-IF($A346&gt;='1-Input'!$C$12,'1-Input'!$B$12,0))-MIN(MAX(AA345,0),MAX(0,W341-IF($A346&gt;='1-Input'!$C$12,'1-Input'!$B$12,0))))*(1/(1-'P-Parametri'!$B$6*W346))+MIN(MAX(0,AB345-(MAX(0,W341-IF($A346&gt;='1-Input'!$C$12,'1-Input'!$B$12,0))-MIN(MAX(AA345,0),MAX(0,W341-IF($A346&gt;='1-Input'!$C$12,'1-Input'!$B$12,0))))*(1/(1-'P-Parametri'!$B$6*W346))),MAX(0,5*W341-(AA345-MIN(MAX(AA345,0),MAX(0,W341-IF($A346&gt;='1-Input'!$C$12,'1-Input'!$B$12,0)))))*(1/(1-'P-Parametri'!$B$6*W346))))</f>
        <v>17406.662783000895</v>
      </c>
      <c r="Y346" s="18">
        <f>IF($A346&gt;'1-Input'!$B$26,AA345,(AA345-MAX(0,W341-IF($A346&gt;='1-Input'!$C$12,'1-Input'!$B$12,0))+X346*(1-'P-Parametri'!$B$6*W346))*(1+'1-Input'!$B$27))</f>
        <v>79803.248256166989</v>
      </c>
      <c r="Z346" s="18">
        <f>IF($A346&gt;'1-Input'!$B$26,AB345,(AB345-X346)*(1+$B$4))</f>
        <v>325297.34577058267</v>
      </c>
      <c r="AA346" s="18">
        <f>IF($A346&gt;'1-Input'!$B$26,Y346,Y346-'P-Parametri'!$B$8*(Z346+Y346)+MIN(MAX(Z346,0),'P-Parametri'!$B$8*(Z346+Y346)))</f>
        <v>79803.248256166989</v>
      </c>
      <c r="AB346" s="18">
        <f>IF($A346&gt;'1-Input'!$B$26,Z346,Z346-MIN(MAX(Z346,0),'P-Parametri'!$B$8*(Z346+Y346)))</f>
        <v>324487.14458252914</v>
      </c>
      <c r="AC346" s="18">
        <f>IF($A346&gt;'1-Input'!$B$26,AC345,AC345-X346*(1-W346))</f>
        <v>241403.01457037069</v>
      </c>
      <c r="AD346" s="11">
        <f>IF($A346&gt;'1-Input'!$B$26,0,IF(AI345&lt;=0,0,MAX(0,(AI345-AJ345)/AI345)))</f>
        <v>0.24305941502976014</v>
      </c>
      <c r="AE346" s="18">
        <f>IF($A346&gt;'1-Input'!$B$26,0,(MAX(0,AD341-IF($A346&gt;='1-Input'!$C$12,'1-Input'!$B$12,0))-MIN(MAX(AH345,0),MAX(0,AD341-IF($A346&gt;='1-Input'!$C$12,'1-Input'!$B$12,0))))*(1/(1-'P-Parametri'!$B$6*AD346))+MIN(MAX(0,AI345-(MAX(0,AD341-IF($A346&gt;='1-Input'!$C$12,'1-Input'!$B$12,0))-MIN(MAX(AH345,0),MAX(0,AD341-IF($A346&gt;='1-Input'!$C$12,'1-Input'!$B$12,0))))*(1/(1-'P-Parametri'!$B$6*AD346))),MAX(0,5*AD341-(AH345-MIN(MAX(AH345,0),MAX(0,AD341-IF($A346&gt;='1-Input'!$C$12,'1-Input'!$B$12,0)))))*(1/(1-'P-Parametri'!$B$6*AD346))))</f>
        <v>17388.757272586088</v>
      </c>
      <c r="AF346" s="18">
        <f>IF($A346&gt;'1-Input'!$B$26,AH345,(AH345-MAX(0,AD341-IF($A346&gt;='1-Input'!$C$12,'1-Input'!$B$12,0))+AE346*(1-'P-Parametri'!$B$6*AD346))*(1+'1-Input'!$B$27))</f>
        <v>79721.136773578575</v>
      </c>
      <c r="AG346" s="18">
        <f>IF($A346&gt;'1-Input'!$B$26,AI345,(AI345-AE346)*(1+$B$4))</f>
        <v>325440.03514119657</v>
      </c>
      <c r="AH346" s="18">
        <f>IF($A346&gt;'1-Input'!$B$26,AF346,AF346-'P-Parametri'!$B$8*(AG346+AF346)+MIN(MAX(AG346,0),'P-Parametri'!$B$8*(AG346+AF346)))</f>
        <v>79721.136773578575</v>
      </c>
      <c r="AI346" s="18">
        <f>IF($A346&gt;'1-Input'!$B$26,AG346,AG346-MIN(MAX(AG346,0),'P-Parametri'!$B$8*(AG346+AF346)))</f>
        <v>324629.71279736701</v>
      </c>
      <c r="AJ346" s="18">
        <f>IF($A346&gt;'1-Input'!$B$26,AJ345,AJ345-AE346*(1-AD346))</f>
        <v>241508.59860050268</v>
      </c>
      <c r="AK346" s="11">
        <f>IF($A346&gt;'1-Input'!$B$26,0,IF(AP345&lt;=0,0,MAX(0,(AP345-AQ345)/AP345)))</f>
        <v>0.24305941513721502</v>
      </c>
      <c r="AL346" s="18">
        <f>IF($A346&gt;'1-Input'!$B$26,0,(MAX(0,AK341-IF($A346&gt;='1-Input'!$C$12,'1-Input'!$B$12,0))-MIN(MAX(AO345,0),MAX(0,AK341-IF($A346&gt;='1-Input'!$C$12,'1-Input'!$B$12,0))))*(1/(1-'P-Parametri'!$B$6*AK346))+MIN(MAX(0,AP345-(MAX(0,AK341-IF($A346&gt;='1-Input'!$C$12,'1-Input'!$B$12,0))-MIN(MAX(AO345,0),MAX(0,AK341-IF($A346&gt;='1-Input'!$C$12,'1-Input'!$B$12,0))))*(1/(1-'P-Parametri'!$B$6*AK346))),MAX(0,5*AK341-(AO345-MIN(MAX(AO345,0),MAX(0,AK341-IF($A346&gt;='1-Input'!$C$12,'1-Input'!$B$12,0)))))*(1/(1-'P-Parametri'!$B$6*AK346))))</f>
        <v>17388.755263732066</v>
      </c>
      <c r="AM346" s="18">
        <f>IF($A346&gt;'1-Input'!$B$26,AO345,(AO345-MAX(0,AK341-IF($A346&gt;='1-Input'!$C$12,'1-Input'!$B$12,0))+AL346*(1-'P-Parametri'!$B$6*AK346))*(1+'1-Input'!$B$27))</f>
        <v>79721.127561334986</v>
      </c>
      <c r="AN346" s="18">
        <f>IF($A346&gt;'1-Input'!$B$26,AP345,(AP345-AL346)*(1+$B$4))</f>
        <v>325440.05114978994</v>
      </c>
      <c r="AO346" s="18">
        <f>IF($A346&gt;'1-Input'!$B$26,AM346,AM346-'P-Parametri'!$B$8*(AN346+AM346)+MIN(MAX(AN346,0),'P-Parametri'!$B$8*(AN346+AM346)))</f>
        <v>79721.127561334986</v>
      </c>
      <c r="AP346" s="18">
        <f>IF($A346&gt;'1-Input'!$B$26,AN346,AN346-MIN(MAX(AN346,0),'P-Parametri'!$B$8*(AN346+AM346)))</f>
        <v>324629.72879236768</v>
      </c>
      <c r="AQ346" s="18">
        <f>IF($A346&gt;'1-Input'!$B$26,AQ345,AQ345-AL346*(1-AK346))</f>
        <v>241508.61044617317</v>
      </c>
    </row>
    <row r="347" spans="1:43">
      <c r="A347" s="10">
        <f>4</f>
        <v>4</v>
      </c>
      <c r="B347" s="11">
        <f>IF($A347&gt;'1-Input'!$B$26,0,IF(G346&lt;=0,0,MAX(0,(G346-H346)/G346)))</f>
        <v>0.25598715470397743</v>
      </c>
      <c r="C347" s="18">
        <f>IF($A347&gt;'1-Input'!$B$26,0,(MAX(0,B341-IF($A347&gt;='1-Input'!$C$12,'1-Input'!$B$12,0))-MIN(MAX(F346,0),MAX(0,B341-IF($A347&gt;='1-Input'!$C$12,'1-Input'!$B$12,0))))*(1/(1-'P-Parametri'!$B$6*B347))+MIN(MAX(0,G346-(MAX(0,B341-IF($A347&gt;='1-Input'!$C$12,'1-Input'!$B$12,0))-MIN(MAX(F346,0),MAX(0,B341-IF($A347&gt;='1-Input'!$C$12,'1-Input'!$B$12,0))))*(1/(1-'P-Parametri'!$B$6*B347))),MAX(0,5*B341-(F346-MIN(MAX(F346,0),MAX(0,B341-IF($A347&gt;='1-Input'!$C$12,'1-Input'!$B$12,0)))))*(1/(1-'P-Parametri'!$B$6*B347))))</f>
        <v>18192.121135436606</v>
      </c>
      <c r="D347" s="18">
        <f>IF($A347&gt;'1-Input'!$B$26,F346,(F346-MAX(0,B341-IF($A347&gt;='1-Input'!$C$12,'1-Input'!$B$12,0))+C347*(1-'P-Parametri'!$B$6*B347))*(1+'1-Input'!$B$27))</f>
        <v>83105.01757746574</v>
      </c>
      <c r="E347" s="18">
        <f>IF($A347&gt;'1-Input'!$B$26,G346,(G346-C347)*(1+$B$4))</f>
        <v>306573.50088247156</v>
      </c>
      <c r="F347" s="18">
        <f>IF($A347&gt;'1-Input'!$B$26,D347,D347-'P-Parametri'!$B$8*(E347+D347)+MIN(MAX(E347,0),'P-Parametri'!$B$8*(E347+D347)))</f>
        <v>83105.01757746574</v>
      </c>
      <c r="G347" s="18">
        <f>IF($A347&gt;'1-Input'!$B$26,E347,E347-MIN(MAX(E347,0),'P-Parametri'!$B$8*(E347+D347)))</f>
        <v>305794.14384555171</v>
      </c>
      <c r="H347" s="18">
        <f>IF($A347&gt;'1-Input'!$B$26,H346,H346-C347*(1-B347))</f>
        <v>223622.17910189246</v>
      </c>
      <c r="I347" s="11">
        <f>IF($A347&gt;'1-Input'!$B$26,0,IF(N346&lt;=0,0,MAX(0,(N346-O346)/N346)))</f>
        <v>0.25543328197063198</v>
      </c>
      <c r="J347" s="18">
        <f>IF($A347&gt;'1-Input'!$B$26,0,(MAX(0,I341-IF($A347&gt;='1-Input'!$C$12,'1-Input'!$B$12,0))-MIN(MAX(M346,0),MAX(0,I341-IF($A347&gt;='1-Input'!$C$12,'1-Input'!$B$12,0))))*(1/(1-'P-Parametri'!$B$6*I347))+MIN(MAX(0,N346-(MAX(0,I341-IF($A347&gt;='1-Input'!$C$12,'1-Input'!$B$12,0))-MIN(MAX(M346,0),MAX(0,I341-IF($A347&gt;='1-Input'!$C$12,'1-Input'!$B$12,0))))*(1/(1-'P-Parametri'!$B$6*I347))),MAX(0,5*I341-(M346-MIN(MAX(M346,0),MAX(0,I341-IF($A347&gt;='1-Input'!$C$12,'1-Input'!$B$12,0)))))*(1/(1-'P-Parametri'!$B$6*I347))))</f>
        <v>23933.309184274254</v>
      </c>
      <c r="K347" s="18">
        <f>IF($A347&gt;'1-Input'!$B$26,M346,(M346-MAX(0,I341-IF($A347&gt;='1-Input'!$C$12,'1-Input'!$B$12,0))+J347*(1-'P-Parametri'!$B$6*I347))*(1+'1-Input'!$B$27))</f>
        <v>109348.70733877072</v>
      </c>
      <c r="L347" s="18">
        <f>IF($A347&gt;'1-Input'!$B$26,N346,(N346-J347)*(1+$B$4))</f>
        <v>254241.2679024016</v>
      </c>
      <c r="M347" s="18">
        <f>IF($A347&gt;'1-Input'!$B$26,K347,K347-'P-Parametri'!$B$8*(L347+K347)+MIN(MAX(L347,0),'P-Parametri'!$B$8*(L347+K347)))</f>
        <v>109348.70733877072</v>
      </c>
      <c r="N347" s="18">
        <f>IF($A347&gt;'1-Input'!$B$26,L347,L347-MIN(MAX(L347,0),'P-Parametri'!$B$8*(L347+K347)))</f>
        <v>253514.08795191924</v>
      </c>
      <c r="O347" s="18">
        <f>IF($A347&gt;'1-Input'!$B$26,O346,O346-J347*(1-I347))</f>
        <v>185587.82983305535</v>
      </c>
      <c r="P347" s="11">
        <f>IF($A347&gt;'1-Input'!$B$26,0,IF(U346&lt;=0,0,MAX(0,(U346-V346)/U346)))</f>
        <v>0.2560397503791782</v>
      </c>
      <c r="Q347" s="18">
        <f>IF($A347&gt;'1-Input'!$B$26,0,(MAX(0,P341-IF($A347&gt;='1-Input'!$C$12,'1-Input'!$B$12,0))-MIN(MAX(T346,0),MAX(0,P341-IF($A347&gt;='1-Input'!$C$12,'1-Input'!$B$12,0))))*(1/(1-'P-Parametri'!$B$6*P347))+MIN(MAX(0,U346-(MAX(0,P341-IF($A347&gt;='1-Input'!$C$12,'1-Input'!$B$12,0))-MIN(MAX(T346,0),MAX(0,P341-IF($A347&gt;='1-Input'!$C$12,'1-Input'!$B$12,0))))*(1/(1-'P-Parametri'!$B$6*P347))),MAX(0,5*P341-(T346-MIN(MAX(T346,0),MAX(0,P341-IF($A347&gt;='1-Input'!$C$12,'1-Input'!$B$12,0)))))*(1/(1-'P-Parametri'!$B$6*P347))))</f>
        <v>17563.898648734881</v>
      </c>
      <c r="R347" s="18">
        <f>IF($A347&gt;'1-Input'!$B$26,T346,(T346-MAX(0,P341-IF($A347&gt;='1-Input'!$C$12,'1-Input'!$B$12,0))+Q347*(1-'P-Parametri'!$B$6*P347))*(1+'1-Input'!$B$27))</f>
        <v>80234.004123491206</v>
      </c>
      <c r="S347" s="18">
        <f>IF($A347&gt;'1-Input'!$B$26,U346,(U346-Q347)*(1+$B$4))</f>
        <v>312298.84177561902</v>
      </c>
      <c r="T347" s="18">
        <f>IF($A347&gt;'1-Input'!$B$26,R347,R347-'P-Parametri'!$B$8*(S347+R347)+MIN(MAX(S347,0),'P-Parametri'!$B$8*(S347+R347)))</f>
        <v>80234.004123491206</v>
      </c>
      <c r="U347" s="18">
        <f>IF($A347&gt;'1-Input'!$B$26,S347,S347-MIN(MAX(S347,0),'P-Parametri'!$B$8*(S347+R347)))</f>
        <v>311513.77608382079</v>
      </c>
      <c r="V347" s="18">
        <f>IF($A347&gt;'1-Input'!$B$26,V346,V346-Q347*(1-P347))</f>
        <v>227782.2787094932</v>
      </c>
      <c r="W347" s="11">
        <f>IF($A347&gt;'1-Input'!$B$26,0,IF(AB346&lt;=0,0,MAX(0,(AB346-AC346)/AB346)))</f>
        <v>0.25604752422180183</v>
      </c>
      <c r="X347" s="18">
        <f>IF($A347&gt;'1-Input'!$B$26,0,(MAX(0,W341-IF($A347&gt;='1-Input'!$C$12,'1-Input'!$B$12,0))-MIN(MAX(AA346,0),MAX(0,W341-IF($A347&gt;='1-Input'!$C$12,'1-Input'!$B$12,0))))*(1/(1-'P-Parametri'!$B$6*W347))+MIN(MAX(0,AB346-(MAX(0,W341-IF($A347&gt;='1-Input'!$C$12,'1-Input'!$B$12,0))-MIN(MAX(AA346,0),MAX(0,W341-IF($A347&gt;='1-Input'!$C$12,'1-Input'!$B$12,0))))*(1/(1-'P-Parametri'!$B$6*W347))),MAX(0,5*W341-(AA346-MIN(MAX(AA346,0),MAX(0,W341-IF($A347&gt;='1-Input'!$C$12,'1-Input'!$B$12,0)))))*(1/(1-'P-Parametri'!$B$6*W347))))</f>
        <v>17469.640392523321</v>
      </c>
      <c r="Y347" s="18">
        <f>IF($A347&gt;'1-Input'!$B$26,AA346,(AA346-MAX(0,W341-IF($A347&gt;='1-Input'!$C$12,'1-Input'!$B$12,0))+X347*(1-'P-Parametri'!$B$6*W347))*(1+'1-Input'!$B$27))</f>
        <v>79803.248256166989</v>
      </c>
      <c r="Z347" s="18">
        <f>IF($A347&gt;'1-Input'!$B$26,AB346,(AB346-X347)*(1+$B$4))</f>
        <v>313157.85427380598</v>
      </c>
      <c r="AA347" s="18">
        <f>IF($A347&gt;'1-Input'!$B$26,Y347,Y347-'P-Parametri'!$B$8*(Z347+Y347)+MIN(MAX(Z347,0),'P-Parametri'!$B$8*(Z347+Y347)))</f>
        <v>79803.248256166989</v>
      </c>
      <c r="AB347" s="18">
        <f>IF($A347&gt;'1-Input'!$B$26,Z347,Z347-MIN(MAX(Z347,0),'P-Parametri'!$B$8*(Z347+Y347)))</f>
        <v>312371.93206874601</v>
      </c>
      <c r="AC347" s="18">
        <f>IF($A347&gt;'1-Input'!$B$26,AC346,AC346-X347*(1-W347))</f>
        <v>228406.43234939815</v>
      </c>
      <c r="AD347" s="11">
        <f>IF($A347&gt;'1-Input'!$B$26,0,IF(AI346&lt;=0,0,MAX(0,(AI346-AJ346)/AI346)))</f>
        <v>0.25604900266399305</v>
      </c>
      <c r="AE347" s="18">
        <f>IF($A347&gt;'1-Input'!$B$26,0,(MAX(0,AD341-IF($A347&gt;='1-Input'!$C$12,'1-Input'!$B$12,0))-MIN(MAX(AH346,0),MAX(0,AD341-IF($A347&gt;='1-Input'!$C$12,'1-Input'!$B$12,0))))*(1/(1-'P-Parametri'!$B$6*AD347))+MIN(MAX(0,AI346-(MAX(0,AD341-IF($A347&gt;='1-Input'!$C$12,'1-Input'!$B$12,0))-MIN(MAX(AH346,0),MAX(0,AD341-IF($A347&gt;='1-Input'!$C$12,'1-Input'!$B$12,0))))*(1/(1-'P-Parametri'!$B$6*AD347))),MAX(0,5*AD341-(AH346-MIN(MAX(AH346,0),MAX(0,AD341-IF($A347&gt;='1-Input'!$C$12,'1-Input'!$B$12,0)))))*(1/(1-'P-Parametri'!$B$6*AD347))))</f>
        <v>17451.672645893985</v>
      </c>
      <c r="AF347" s="18">
        <f>IF($A347&gt;'1-Input'!$B$26,AH346,(AH346-MAX(0,AD341-IF($A347&gt;='1-Input'!$C$12,'1-Input'!$B$12,0))+AE347*(1-'P-Parametri'!$B$6*AD347))*(1+'1-Input'!$B$27))</f>
        <v>79721.136773578575</v>
      </c>
      <c r="AG347" s="18">
        <f>IF($A347&gt;'1-Input'!$B$26,AI346,(AI346-AE347)*(1+$B$4))</f>
        <v>313321.60095450247</v>
      </c>
      <c r="AH347" s="18">
        <f>IF($A347&gt;'1-Input'!$B$26,AF347,AF347-'P-Parametri'!$B$8*(AG347+AF347)+MIN(MAX(AG347,0),'P-Parametri'!$B$8*(AG347+AF347)))</f>
        <v>79721.136773578575</v>
      </c>
      <c r="AI347" s="18">
        <f>IF($A347&gt;'1-Input'!$B$26,AG347,AG347-MIN(MAX(AG347,0),'P-Parametri'!$B$8*(AG347+AF347)))</f>
        <v>312535.51547904633</v>
      </c>
      <c r="AJ347" s="18">
        <f>IF($A347&gt;'1-Input'!$B$26,AJ346,AJ346-AE347*(1-AD347))</f>
        <v>228525.40933040832</v>
      </c>
      <c r="AK347" s="11">
        <f>IF($A347&gt;'1-Input'!$B$26,0,IF(AP346&lt;=0,0,MAX(0,(AP346-AQ346)/AP346)))</f>
        <v>0.25604900282980109</v>
      </c>
      <c r="AL347" s="18">
        <f>IF($A347&gt;'1-Input'!$B$26,0,(MAX(0,AK341-IF($A347&gt;='1-Input'!$C$12,'1-Input'!$B$12,0))-MIN(MAX(AO346,0),MAX(0,AK341-IF($A347&gt;='1-Input'!$C$12,'1-Input'!$B$12,0))))*(1/(1-'P-Parametri'!$B$6*AK347))+MIN(MAX(0,AP346-(MAX(0,AK341-IF($A347&gt;='1-Input'!$C$12,'1-Input'!$B$12,0))-MIN(MAX(AO346,0),MAX(0,AK341-IF($A347&gt;='1-Input'!$C$12,'1-Input'!$B$12,0))))*(1/(1-'P-Parametri'!$B$6*AK347))),MAX(0,5*AK341-(AO346-MIN(MAX(AO346,0),MAX(0,AK341-IF($A347&gt;='1-Input'!$C$12,'1-Input'!$B$12,0)))))*(1/(1-'P-Parametri'!$B$6*AK347))))</f>
        <v>17451.670630057146</v>
      </c>
      <c r="AM347" s="18">
        <f>IF($A347&gt;'1-Input'!$B$26,AO346,(AO346-MAX(0,AK341-IF($A347&gt;='1-Input'!$C$12,'1-Input'!$B$12,0))+AL347*(1-'P-Parametri'!$B$6*AK347))*(1+'1-Input'!$B$27))</f>
        <v>79721.127561334986</v>
      </c>
      <c r="AN347" s="18">
        <f>IF($A347&gt;'1-Input'!$B$26,AP346,(AP346-AL347)*(1+$B$4))</f>
        <v>313321.61932555673</v>
      </c>
      <c r="AO347" s="18">
        <f>IF($A347&gt;'1-Input'!$B$26,AM347,AM347-'P-Parametri'!$B$8*(AN347+AM347)+MIN(MAX(AN347,0),'P-Parametri'!$B$8*(AN347+AM347)))</f>
        <v>79721.127561334986</v>
      </c>
      <c r="AP347" s="18">
        <f>IF($A347&gt;'1-Input'!$B$26,AN347,AN347-MIN(MAX(AN347,0),'P-Parametri'!$B$8*(AN347+AM347)))</f>
        <v>312535.53383178293</v>
      </c>
      <c r="AQ347" s="18">
        <f>IF($A347&gt;'1-Input'!$B$26,AQ346,AQ346-AL347*(1-AK347))</f>
        <v>228525.42267865629</v>
      </c>
    </row>
    <row r="348" spans="1:43">
      <c r="A348" s="10">
        <f>5</f>
        <v>5</v>
      </c>
      <c r="B348" s="11">
        <f>IF($A348&gt;'1-Input'!$B$26,0,IF(G347&lt;=0,0,MAX(0,(G347-H347)/G347)))</f>
        <v>0.268716606898666</v>
      </c>
      <c r="C348" s="18">
        <f>IF($A348&gt;'1-Input'!$B$26,0,(MAX(0,B341-IF($A348&gt;='1-Input'!$C$12,'1-Input'!$B$12,0))-MIN(MAX(F347,0),MAX(0,B341-IF($A348&gt;='1-Input'!$C$12,'1-Input'!$B$12,0))))*(1/(1-'P-Parametri'!$B$6*B348))+MIN(MAX(0,G347-(MAX(0,B341-IF($A348&gt;='1-Input'!$C$12,'1-Input'!$B$12,0))-MIN(MAX(F347,0),MAX(0,B341-IF($A348&gt;='1-Input'!$C$12,'1-Input'!$B$12,0))))*(1/(1-'P-Parametri'!$B$6*B348))),MAX(0,5*B341-(F347-MIN(MAX(F347,0),MAX(0,B341-IF($A348&gt;='1-Input'!$C$12,'1-Input'!$B$12,0)))))*(1/(1-'P-Parametri'!$B$6*B348))))</f>
        <v>18256.853434237673</v>
      </c>
      <c r="D348" s="18">
        <f>IF($A348&gt;'1-Input'!$B$26,F347,(F347-MAX(0,B341-IF($A348&gt;='1-Input'!$C$12,'1-Input'!$B$12,0))+C348*(1-'P-Parametri'!$B$6*B348))*(1+'1-Input'!$B$27))</f>
        <v>83105.01757746574</v>
      </c>
      <c r="E348" s="18">
        <f>IF($A348&gt;'1-Input'!$B$26,G347,(G347-C348)*(1+$B$4))</f>
        <v>293288.03621954034</v>
      </c>
      <c r="F348" s="18">
        <f>IF($A348&gt;'1-Input'!$B$26,D348,D348-'P-Parametri'!$B$8*(E348+D348)+MIN(MAX(E348,0),'P-Parametri'!$B$8*(E348+D348)))</f>
        <v>83105.01757746574</v>
      </c>
      <c r="G348" s="18">
        <f>IF($A348&gt;'1-Input'!$B$26,E348,E348-MIN(MAX(E348,0),'P-Parametri'!$B$8*(E348+D348)))</f>
        <v>292535.25011194631</v>
      </c>
      <c r="H348" s="18">
        <f>IF($A348&gt;'1-Input'!$B$26,H347,H347-C348*(1-B348))</f>
        <v>210271.24537514939</v>
      </c>
      <c r="I348" s="11">
        <f>IF($A348&gt;'1-Input'!$B$26,0,IF(N347&lt;=0,0,MAX(0,(N347-O347)/N347)))</f>
        <v>0.26793879057224856</v>
      </c>
      <c r="J348" s="18">
        <f>IF($A348&gt;'1-Input'!$B$26,0,(MAX(0,I341-IF($A348&gt;='1-Input'!$C$12,'1-Input'!$B$12,0))-MIN(MAX(M347,0),MAX(0,I341-IF($A348&gt;='1-Input'!$C$12,'1-Input'!$B$12,0))))*(1/(1-'P-Parametri'!$B$6*I348))+MIN(MAX(0,N347-(MAX(0,I341-IF($A348&gt;='1-Input'!$C$12,'1-Input'!$B$12,0))-MIN(MAX(M347,0),MAX(0,I341-IF($A348&gt;='1-Input'!$C$12,'1-Input'!$B$12,0))))*(1/(1-'P-Parametri'!$B$6*I348))),MAX(0,5*I341-(M347-MIN(MAX(M347,0),MAX(0,I341-IF($A348&gt;='1-Input'!$C$12,'1-Input'!$B$12,0)))))*(1/(1-'P-Parametri'!$B$6*I348))))</f>
        <v>24016.953738673586</v>
      </c>
      <c r="K348" s="18">
        <f>IF($A348&gt;'1-Input'!$B$26,M347,(M347-MAX(0,I341-IF($A348&gt;='1-Input'!$C$12,'1-Input'!$B$12,0))+J348*(1-'P-Parametri'!$B$6*I348))*(1+'1-Input'!$B$27))</f>
        <v>109348.70733877072</v>
      </c>
      <c r="L348" s="18">
        <f>IF($A348&gt;'1-Input'!$B$26,N347,(N347-J348)*(1+$B$4))</f>
        <v>234087.07689751056</v>
      </c>
      <c r="M348" s="18">
        <f>IF($A348&gt;'1-Input'!$B$26,K348,K348-'P-Parametri'!$B$8*(L348+K348)+MIN(MAX(L348,0),'P-Parametri'!$B$8*(L348+K348)))</f>
        <v>109348.70733877072</v>
      </c>
      <c r="N348" s="18">
        <f>IF($A348&gt;'1-Input'!$B$26,L348,L348-MIN(MAX(L348,0),'P-Parametri'!$B$8*(L348+K348)))</f>
        <v>233400.205329038</v>
      </c>
      <c r="O348" s="18">
        <f>IF($A348&gt;'1-Input'!$B$26,O347,O347-J348*(1-I348))</f>
        <v>168005.94963235161</v>
      </c>
      <c r="P348" s="11">
        <f>IF($A348&gt;'1-Input'!$B$26,0,IF(U347&lt;=0,0,MAX(0,(U347-V347)/U347)))</f>
        <v>0.2687890674594034</v>
      </c>
      <c r="Q348" s="18">
        <f>IF($A348&gt;'1-Input'!$B$26,0,(MAX(0,P341-IF($A348&gt;='1-Input'!$C$12,'1-Input'!$B$12,0))-MIN(MAX(T347,0),MAX(0,P341-IF($A348&gt;='1-Input'!$C$12,'1-Input'!$B$12,0))))*(1/(1-'P-Parametri'!$B$6*P348))+MIN(MAX(0,U347-(MAX(0,P341-IF($A348&gt;='1-Input'!$C$12,'1-Input'!$B$12,0))-MIN(MAX(T347,0),MAX(0,P341-IF($A348&gt;='1-Input'!$C$12,'1-Input'!$B$12,0))))*(1/(1-'P-Parametri'!$B$6*P348))),MAX(0,5*P341-(T347-MIN(MAX(T347,0),MAX(0,P341-IF($A348&gt;='1-Input'!$C$12,'1-Input'!$B$12,0)))))*(1/(1-'P-Parametri'!$B$6*P348))))</f>
        <v>17626.494365663522</v>
      </c>
      <c r="R348" s="18">
        <f>IF($A348&gt;'1-Input'!$B$26,T347,(T347-MAX(0,P341-IF($A348&gt;='1-Input'!$C$12,'1-Input'!$B$12,0))+Q348*(1-'P-Parametri'!$B$6*P348))*(1+'1-Input'!$B$27))</f>
        <v>80234.004123491206</v>
      </c>
      <c r="S348" s="18">
        <f>IF($A348&gt;'1-Input'!$B$26,U347,(U347-Q348)*(1+$B$4))</f>
        <v>299765.02735252044</v>
      </c>
      <c r="T348" s="18">
        <f>IF($A348&gt;'1-Input'!$B$26,R348,R348-'P-Parametri'!$B$8*(S348+R348)+MIN(MAX(S348,0),'P-Parametri'!$B$8*(S348+R348)))</f>
        <v>80234.004123491206</v>
      </c>
      <c r="U348" s="18">
        <f>IF($A348&gt;'1-Input'!$B$26,S348,S348-MIN(MAX(S348,0),'P-Parametri'!$B$8*(S348+R348)))</f>
        <v>299005.02928956843</v>
      </c>
      <c r="V348" s="18">
        <f>IF($A348&gt;'1-Input'!$B$26,V347,V347-Q348*(1-P348))</f>
        <v>214893.59332695481</v>
      </c>
      <c r="W348" s="11">
        <f>IF($A348&gt;'1-Input'!$B$26,0,IF(AB347&lt;=0,0,MAX(0,(AB347-AC347)/AB347)))</f>
        <v>0.26879975791444971</v>
      </c>
      <c r="X348" s="18">
        <f>IF($A348&gt;'1-Input'!$B$26,0,(MAX(0,W341-IF($A348&gt;='1-Input'!$C$12,'1-Input'!$B$12,0))-MIN(MAX(AA347,0),MAX(0,W341-IF($A348&gt;='1-Input'!$C$12,'1-Input'!$B$12,0))))*(1/(1-'P-Parametri'!$B$6*W348))+MIN(MAX(0,AB347-(MAX(0,W341-IF($A348&gt;='1-Input'!$C$12,'1-Input'!$B$12,0))-MIN(MAX(AA347,0),MAX(0,W341-IF($A348&gt;='1-Input'!$C$12,'1-Input'!$B$12,0))))*(1/(1-'P-Parametri'!$B$6*W348))),MAX(0,5*W341-(AA347-MIN(MAX(AA347,0),MAX(0,W341-IF($A348&gt;='1-Input'!$C$12,'1-Input'!$B$12,0)))))*(1/(1-'P-Parametri'!$B$6*W348))))</f>
        <v>17531.914612887573</v>
      </c>
      <c r="Y348" s="18">
        <f>IF($A348&gt;'1-Input'!$B$26,AA347,(AA347-MAX(0,W341-IF($A348&gt;='1-Input'!$C$12,'1-Input'!$B$12,0))+X348*(1-'P-Parametri'!$B$6*W348))*(1+'1-Input'!$B$27))</f>
        <v>79803.248256166989</v>
      </c>
      <c r="Z348" s="18">
        <f>IF($A348&gt;'1-Input'!$B$26,AB347,(AB347-X348)*(1+$B$4))</f>
        <v>300736.81780497561</v>
      </c>
      <c r="AA348" s="18">
        <f>IF($A348&gt;'1-Input'!$B$26,Y348,Y348-'P-Parametri'!$B$8*(Z348+Y348)+MIN(MAX(Z348,0),'P-Parametri'!$B$8*(Z348+Y348)))</f>
        <v>79803.248256166989</v>
      </c>
      <c r="AB348" s="18">
        <f>IF($A348&gt;'1-Input'!$B$26,Z348,Z348-MIN(MAX(Z348,0),'P-Parametri'!$B$8*(Z348+Y348)))</f>
        <v>299975.73767285334</v>
      </c>
      <c r="AC348" s="18">
        <f>IF($A348&gt;'1-Input'!$B$26,AC347,AC347-X348*(1-W348))</f>
        <v>215587.09214023157</v>
      </c>
      <c r="AD348" s="11">
        <f>IF($A348&gt;'1-Input'!$B$26,0,IF(AI347&lt;=0,0,MAX(0,(AI347-AJ347)/AI347)))</f>
        <v>0.2688017904776982</v>
      </c>
      <c r="AE348" s="18">
        <f>IF($A348&gt;'1-Input'!$B$26,0,(MAX(0,AD341-IF($A348&gt;='1-Input'!$C$12,'1-Input'!$B$12,0))-MIN(MAX(AH347,0),MAX(0,AD341-IF($A348&gt;='1-Input'!$C$12,'1-Input'!$B$12,0))))*(1/(1-'P-Parametri'!$B$6*AD348))+MIN(MAX(0,AI347-(MAX(0,AD341-IF($A348&gt;='1-Input'!$C$12,'1-Input'!$B$12,0))-MIN(MAX(AH347,0),MAX(0,AD341-IF($A348&gt;='1-Input'!$C$12,'1-Input'!$B$12,0))))*(1/(1-'P-Parametri'!$B$6*AD348))),MAX(0,5*AD341-(AH347-MIN(MAX(AH347,0),MAX(0,AD341-IF($A348&gt;='1-Input'!$C$12,'1-Input'!$B$12,0)))))*(1/(1-'P-Parametri'!$B$6*AD348))))</f>
        <v>17513.885554990869</v>
      </c>
      <c r="AF348" s="18">
        <f>IF($A348&gt;'1-Input'!$B$26,AH347,(AH347-MAX(0,AD341-IF($A348&gt;='1-Input'!$C$12,'1-Input'!$B$12,0))+AE348*(1-'P-Parametri'!$B$6*AD348))*(1+'1-Input'!$B$27))</f>
        <v>79721.136773578575</v>
      </c>
      <c r="AG348" s="18">
        <f>IF($A348&gt;'1-Input'!$B$26,AI347,(AI347-AE348)*(1+$B$4))</f>
        <v>300922.06252253661</v>
      </c>
      <c r="AH348" s="18">
        <f>IF($A348&gt;'1-Input'!$B$26,AF348,AF348-'P-Parametri'!$B$8*(AG348+AF348)+MIN(MAX(AG348,0),'P-Parametri'!$B$8*(AG348+AF348)))</f>
        <v>79721.136773578575</v>
      </c>
      <c r="AI348" s="18">
        <f>IF($A348&gt;'1-Input'!$B$26,AG348,AG348-MIN(MAX(AG348,0),'P-Parametri'!$B$8*(AG348+AF348)))</f>
        <v>300160.77612394438</v>
      </c>
      <c r="AJ348" s="18">
        <f>IF($A348&gt;'1-Input'!$B$26,AJ347,AJ347-AE348*(1-AD348))</f>
        <v>215719.28757082048</v>
      </c>
      <c r="AK348" s="11">
        <f>IF($A348&gt;'1-Input'!$B$26,0,IF(AP347&lt;=0,0,MAX(0,(AP347-AQ347)/AP347)))</f>
        <v>0.26880179070564081</v>
      </c>
      <c r="AL348" s="18">
        <f>IF($A348&gt;'1-Input'!$B$26,0,(MAX(0,AK341-IF($A348&gt;='1-Input'!$C$12,'1-Input'!$B$12,0))-MIN(MAX(AO347,0),MAX(0,AK341-IF($A348&gt;='1-Input'!$C$12,'1-Input'!$B$12,0))))*(1/(1-'P-Parametri'!$B$6*AK348))+MIN(MAX(0,AP347-(MAX(0,AK341-IF($A348&gt;='1-Input'!$C$12,'1-Input'!$B$12,0))-MIN(MAX(AO347,0),MAX(0,AK341-IF($A348&gt;='1-Input'!$C$12,'1-Input'!$B$12,0))))*(1/(1-'P-Parametri'!$B$6*AK348))),MAX(0,5*AK341-(AO347-MIN(MAX(AO347,0),MAX(0,AK341-IF($A348&gt;='1-Input'!$C$12,'1-Input'!$B$12,0)))))*(1/(1-'P-Parametri'!$B$6*AK348))))</f>
        <v>17513.883532274915</v>
      </c>
      <c r="AM348" s="18">
        <f>IF($A348&gt;'1-Input'!$B$26,AO347,(AO347-MAX(0,AK341-IF($A348&gt;='1-Input'!$C$12,'1-Input'!$B$12,0))+AL348*(1-'P-Parametri'!$B$6*AK348))*(1+'1-Input'!$B$27))</f>
        <v>79721.127561334986</v>
      </c>
      <c r="AN348" s="18">
        <f>IF($A348&gt;'1-Input'!$B$26,AP347,(AP347-AL348)*(1+$B$4))</f>
        <v>300922.08330549818</v>
      </c>
      <c r="AO348" s="18">
        <f>IF($A348&gt;'1-Input'!$B$26,AM348,AM348-'P-Parametri'!$B$8*(AN348+AM348)+MIN(MAX(AN348,0),'P-Parametri'!$B$8*(AN348+AM348)))</f>
        <v>79721.127561334986</v>
      </c>
      <c r="AP348" s="18">
        <f>IF($A348&gt;'1-Input'!$B$26,AN348,AN348-MIN(MAX(AN348,0),'P-Parametri'!$B$8*(AN348+AM348)))</f>
        <v>300160.7968837645</v>
      </c>
      <c r="AQ348" s="18">
        <f>IF($A348&gt;'1-Input'!$B$26,AQ347,AQ347-AL348*(1-AK348))</f>
        <v>215719.30240206691</v>
      </c>
    </row>
    <row r="349" spans="1:43">
      <c r="A349" s="10">
        <f>6</f>
        <v>6</v>
      </c>
      <c r="B349" s="11">
        <f>IF($A349&gt;'1-Input'!$B$26,0,IF(G348&lt;=0,0,MAX(0,(G348-H348)/G348)))</f>
        <v>0.28121057105192088</v>
      </c>
      <c r="C349" s="18">
        <f>IF($A349&gt;'1-Input'!$B$26,0,(MAX(0,B341-IF($A349&gt;='1-Input'!$C$12,'1-Input'!$B$12,0))-MIN(MAX(F348,0),MAX(0,B341-IF($A349&gt;='1-Input'!$C$12,'1-Input'!$B$12,0))))*(1/(1-'P-Parametri'!$B$6*B349))+MIN(MAX(0,G348-(MAX(0,B341-IF($A349&gt;='1-Input'!$C$12,'1-Input'!$B$12,0))-MIN(MAX(F348,0),MAX(0,B341-IF($A349&gt;='1-Input'!$C$12,'1-Input'!$B$12,0))))*(1/(1-'P-Parametri'!$B$6*B349))),MAX(0,5*B341-(F348-MIN(MAX(F348,0),MAX(0,B341-IF($A349&gt;='1-Input'!$C$12,'1-Input'!$B$12,0)))))*(1/(1-'P-Parametri'!$B$6*B349))))</f>
        <v>18320.837754535747</v>
      </c>
      <c r="D349" s="18">
        <f>IF($A349&gt;'1-Input'!$B$26,F348,(F348-MAX(0,B341-IF($A349&gt;='1-Input'!$C$12,'1-Input'!$B$12,0))+C349*(1-'P-Parametri'!$B$6*B349))*(1+'1-Input'!$B$27))</f>
        <v>83105.01757746574</v>
      </c>
      <c r="E349" s="18">
        <f>IF($A349&gt;'1-Input'!$B$26,G348,(G348-C349)*(1+$B$4))</f>
        <v>279698.70060455881</v>
      </c>
      <c r="F349" s="18">
        <f>IF($A349&gt;'1-Input'!$B$26,D349,D349-'P-Parametri'!$B$8*(E349+D349)+MIN(MAX(E349,0),'P-Parametri'!$B$8*(E349+D349)))</f>
        <v>83105.01757746574</v>
      </c>
      <c r="G349" s="18">
        <f>IF($A349&gt;'1-Input'!$B$26,E349,E349-MIN(MAX(E349,0),'P-Parametri'!$B$8*(E349+D349)))</f>
        <v>278973.09316819475</v>
      </c>
      <c r="H349" s="18">
        <f>IF($A349&gt;'1-Input'!$B$26,H348,H348-C349*(1-B349))</f>
        <v>197102.42086771622</v>
      </c>
      <c r="I349" s="11">
        <f>IF($A349&gt;'1-Input'!$B$26,0,IF(N348&lt;=0,0,MAX(0,(N348-O348)/N348)))</f>
        <v>0.28018079763253106</v>
      </c>
      <c r="J349" s="18">
        <f>IF($A349&gt;'1-Input'!$B$26,0,(MAX(0,I341-IF($A349&gt;='1-Input'!$C$12,'1-Input'!$B$12,0))-MIN(MAX(M348,0),MAX(0,I341-IF($A349&gt;='1-Input'!$C$12,'1-Input'!$B$12,0))))*(1/(1-'P-Parametri'!$B$6*I349))+MIN(MAX(0,N348-(MAX(0,I341-IF($A349&gt;='1-Input'!$C$12,'1-Input'!$B$12,0))-MIN(MAX(M348,0),MAX(0,I341-IF($A349&gt;='1-Input'!$C$12,'1-Input'!$B$12,0))))*(1/(1-'P-Parametri'!$B$6*I349))),MAX(0,5*I341-(M348-MIN(MAX(M348,0),MAX(0,I341-IF($A349&gt;='1-Input'!$C$12,'1-Input'!$B$12,0)))))*(1/(1-'P-Parametri'!$B$6*I349))))</f>
        <v>24099.404086232225</v>
      </c>
      <c r="K349" s="18">
        <f>IF($A349&gt;'1-Input'!$B$26,M348,(M348-MAX(0,I341-IF($A349&gt;='1-Input'!$C$12,'1-Input'!$B$12,0))+J349*(1-'P-Parametri'!$B$6*I349))*(1+'1-Input'!$B$27))</f>
        <v>109348.70733877072</v>
      </c>
      <c r="L349" s="18">
        <f>IF($A349&gt;'1-Input'!$B$26,N348,(N348-J349)*(1+$B$4))</f>
        <v>213486.81726766191</v>
      </c>
      <c r="M349" s="18">
        <f>IF($A349&gt;'1-Input'!$B$26,K349,K349-'P-Parametri'!$B$8*(L349+K349)+MIN(MAX(L349,0),'P-Parametri'!$B$8*(L349+K349)))</f>
        <v>109348.70733877072</v>
      </c>
      <c r="N349" s="18">
        <f>IF($A349&gt;'1-Input'!$B$26,L349,L349-MIN(MAX(L349,0),'P-Parametri'!$B$8*(L349+K349)))</f>
        <v>212841.14621844905</v>
      </c>
      <c r="O349" s="18">
        <f>IF($A349&gt;'1-Input'!$B$26,O348,O348-J349*(1-I349))</f>
        <v>150658.7358054686</v>
      </c>
      <c r="P349" s="11">
        <f>IF($A349&gt;'1-Input'!$B$26,0,IF(U348&lt;=0,0,MAX(0,(U348-V348)/U348)))</f>
        <v>0.2813044187332272</v>
      </c>
      <c r="Q349" s="18">
        <f>IF($A349&gt;'1-Input'!$B$26,0,(MAX(0,P341-IF($A349&gt;='1-Input'!$C$12,'1-Input'!$B$12,0))-MIN(MAX(T348,0),MAX(0,P341-IF($A349&gt;='1-Input'!$C$12,'1-Input'!$B$12,0))))*(1/(1-'P-Parametri'!$B$6*P349))+MIN(MAX(0,U348-(MAX(0,P341-IF($A349&gt;='1-Input'!$C$12,'1-Input'!$B$12,0))-MIN(MAX(T348,0),MAX(0,P341-IF($A349&gt;='1-Input'!$C$12,'1-Input'!$B$12,0))))*(1/(1-'P-Parametri'!$B$6*P349))),MAX(0,5*P341-(T348-MIN(MAX(T348,0),MAX(0,P341-IF($A349&gt;='1-Input'!$C$12,'1-Input'!$B$12,0)))))*(1/(1-'P-Parametri'!$B$6*P349))))</f>
        <v>17688.376858375697</v>
      </c>
      <c r="R349" s="18">
        <f>IF($A349&gt;'1-Input'!$B$26,T348,(T348-MAX(0,P341-IF($A349&gt;='1-Input'!$C$12,'1-Input'!$B$12,0))+Q349*(1-'P-Parametri'!$B$6*P349))*(1+'1-Input'!$B$27))</f>
        <v>80234.004123491206</v>
      </c>
      <c r="S349" s="18">
        <f>IF($A349&gt;'1-Input'!$B$26,U348,(U348-Q349)*(1+$B$4))</f>
        <v>286942.98547981662</v>
      </c>
      <c r="T349" s="18">
        <f>IF($A349&gt;'1-Input'!$B$26,R349,R349-'P-Parametri'!$B$8*(S349+R349)+MIN(MAX(S349,0),'P-Parametri'!$B$8*(S349+R349)))</f>
        <v>80234.004123491206</v>
      </c>
      <c r="U349" s="18">
        <f>IF($A349&gt;'1-Input'!$B$26,S349,S349-MIN(MAX(S349,0),'P-Parametri'!$B$8*(S349+R349)))</f>
        <v>286208.63150060998</v>
      </c>
      <c r="V349" s="18">
        <f>IF($A349&gt;'1-Input'!$B$26,V348,V348-Q349*(1-P349))</f>
        <v>202181.03503905877</v>
      </c>
      <c r="W349" s="11">
        <f>IF($A349&gt;'1-Input'!$B$26,0,IF(AB348&lt;=0,0,MAX(0,(AB348-AC348)/AB348)))</f>
        <v>0.2813182365590316</v>
      </c>
      <c r="X349" s="18">
        <f>IF($A349&gt;'1-Input'!$B$26,0,(MAX(0,W341-IF($A349&gt;='1-Input'!$C$12,'1-Input'!$B$12,0))-MIN(MAX(AA348,0),MAX(0,W341-IF($A349&gt;='1-Input'!$C$12,'1-Input'!$B$12,0))))*(1/(1-'P-Parametri'!$B$6*W349))+MIN(MAX(0,AB348-(MAX(0,W341-IF($A349&gt;='1-Input'!$C$12,'1-Input'!$B$12,0))-MIN(MAX(AA348,0),MAX(0,W341-IF($A349&gt;='1-Input'!$C$12,'1-Input'!$B$12,0))))*(1/(1-'P-Parametri'!$B$6*W349))),MAX(0,5*W341-(AA348-MIN(MAX(AA348,0),MAX(0,W341-IF($A349&gt;='1-Input'!$C$12,'1-Input'!$B$12,0)))))*(1/(1-'P-Parametri'!$B$6*W349))))</f>
        <v>17593.48067727757</v>
      </c>
      <c r="Y349" s="18">
        <f>IF($A349&gt;'1-Input'!$B$26,AA348,(AA348-MAX(0,W341-IF($A349&gt;='1-Input'!$C$12,'1-Input'!$B$12,0))+X349*(1-'P-Parametri'!$B$6*W349))*(1+'1-Input'!$B$27))</f>
        <v>79803.248256166989</v>
      </c>
      <c r="Z349" s="18">
        <f>IF($A349&gt;'1-Input'!$B$26,AB348,(AB348-X349)*(1+$B$4))</f>
        <v>288029.9021354873</v>
      </c>
      <c r="AA349" s="18">
        <f>IF($A349&gt;'1-Input'!$B$26,Y349,Y349-'P-Parametri'!$B$8*(Z349+Y349)+MIN(MAX(Z349,0),'P-Parametri'!$B$8*(Z349+Y349)))</f>
        <v>79803.248256166989</v>
      </c>
      <c r="AB349" s="18">
        <f>IF($A349&gt;'1-Input'!$B$26,Z349,Z349-MIN(MAX(Z349,0),'P-Parametri'!$B$8*(Z349+Y349)))</f>
        <v>287294.23583470401</v>
      </c>
      <c r="AC349" s="18">
        <f>IF($A349&gt;'1-Input'!$B$26,AC348,AC348-X349*(1-W349))</f>
        <v>202942.97842202111</v>
      </c>
      <c r="AD349" s="11">
        <f>IF($A349&gt;'1-Input'!$B$26,0,IF(AI348&lt;=0,0,MAX(0,(AI348-AJ348)/AI348)))</f>
        <v>0.28132086291733122</v>
      </c>
      <c r="AE349" s="18">
        <f>IF($A349&gt;'1-Input'!$B$26,0,(MAX(0,AD341-IF($A349&gt;='1-Input'!$C$12,'1-Input'!$B$12,0))-MIN(MAX(AH348,0),MAX(0,AD341-IF($A349&gt;='1-Input'!$C$12,'1-Input'!$B$12,0))))*(1/(1-'P-Parametri'!$B$6*AD349))+MIN(MAX(0,AI348-(MAX(0,AD341-IF($A349&gt;='1-Input'!$C$12,'1-Input'!$B$12,0))-MIN(MAX(AH348,0),MAX(0,AD341-IF($A349&gt;='1-Input'!$C$12,'1-Input'!$B$12,0))))*(1/(1-'P-Parametri'!$B$6*AD349))),MAX(0,5*AD341-(AH348-MIN(MAX(AH348,0),MAX(0,AD341-IF($A349&gt;='1-Input'!$C$12,'1-Input'!$B$12,0)))))*(1/(1-'P-Parametri'!$B$6*AD349))))</f>
        <v>17575.391270123502</v>
      </c>
      <c r="AF349" s="18">
        <f>IF($A349&gt;'1-Input'!$B$26,AH348,(AH348-MAX(0,AD341-IF($A349&gt;='1-Input'!$C$12,'1-Input'!$B$12,0))+AE349*(1-'P-Parametri'!$B$6*AD349))*(1+'1-Input'!$B$27))</f>
        <v>79721.136773578575</v>
      </c>
      <c r="AG349" s="18">
        <f>IF($A349&gt;'1-Input'!$B$26,AI348,(AI348-AE349)*(1+$B$4))</f>
        <v>288237.09255089733</v>
      </c>
      <c r="AH349" s="18">
        <f>IF($A349&gt;'1-Input'!$B$26,AF349,AF349-'P-Parametri'!$B$8*(AG349+AF349)+MIN(MAX(AG349,0),'P-Parametri'!$B$8*(AG349+AF349)))</f>
        <v>79721.136773578575</v>
      </c>
      <c r="AI349" s="18">
        <f>IF($A349&gt;'1-Input'!$B$26,AG349,AG349-MIN(MAX(AG349,0),'P-Parametri'!$B$8*(AG349+AF349)))</f>
        <v>287501.17609224835</v>
      </c>
      <c r="AJ349" s="18">
        <f>IF($A349&gt;'1-Input'!$B$26,AJ348,AJ348-AE349*(1-AD349))</f>
        <v>203088.22053891784</v>
      </c>
      <c r="AK349" s="11">
        <f>IF($A349&gt;'1-Input'!$B$26,0,IF(AP348&lt;=0,0,MAX(0,(AP348-AQ348)/AP348)))</f>
        <v>0.28132086321185062</v>
      </c>
      <c r="AL349" s="18">
        <f>IF($A349&gt;'1-Input'!$B$26,0,(MAX(0,AK341-IF($A349&gt;='1-Input'!$C$12,'1-Input'!$B$12,0))-MIN(MAX(AO348,0),MAX(0,AK341-IF($A349&gt;='1-Input'!$C$12,'1-Input'!$B$12,0))))*(1/(1-'P-Parametri'!$B$6*AK349))+MIN(MAX(0,AP348-(MAX(0,AK341-IF($A349&gt;='1-Input'!$C$12,'1-Input'!$B$12,0))-MIN(MAX(AO348,0),MAX(0,AK341-IF($A349&gt;='1-Input'!$C$12,'1-Input'!$B$12,0))))*(1/(1-'P-Parametri'!$B$6*AK349))),MAX(0,5*AK341-(AO348-MIN(MAX(AO348,0),MAX(0,AK341-IF($A349&gt;='1-Input'!$C$12,'1-Input'!$B$12,0)))))*(1/(1-'P-Parametri'!$B$6*AK349))))</f>
        <v>17575.389240636297</v>
      </c>
      <c r="AM349" s="18">
        <f>IF($A349&gt;'1-Input'!$B$26,AO348,(AO348-MAX(0,AK341-IF($A349&gt;='1-Input'!$C$12,'1-Input'!$B$12,0))+AL349*(1-'P-Parametri'!$B$6*AK349))*(1+'1-Input'!$B$27))</f>
        <v>79721.127561334986</v>
      </c>
      <c r="AN349" s="18">
        <f>IF($A349&gt;'1-Input'!$B$26,AP348,(AP348-AL349)*(1+$B$4))</f>
        <v>288237.11579599074</v>
      </c>
      <c r="AO349" s="18">
        <f>IF($A349&gt;'1-Input'!$B$26,AM349,AM349-'P-Parametri'!$B$8*(AN349+AM349)+MIN(MAX(AN349,0),'P-Parametri'!$B$8*(AN349+AM349)))</f>
        <v>79721.127561334986</v>
      </c>
      <c r="AP349" s="18">
        <f>IF($A349&gt;'1-Input'!$B$26,AN349,AN349-MIN(MAX(AN349,0),'P-Parametri'!$B$8*(AN349+AM349)))</f>
        <v>287501.19930927607</v>
      </c>
      <c r="AQ349" s="18">
        <f>IF($A349&gt;'1-Input'!$B$26,AQ348,AQ348-AL349*(1-AK349))</f>
        <v>203088.2368338907</v>
      </c>
    </row>
    <row r="350" spans="1:43">
      <c r="A350" s="10">
        <f>7</f>
        <v>7</v>
      </c>
      <c r="B350" s="11">
        <f>IF($A350&gt;'1-Input'!$B$26,0,IF(G349&lt;=0,0,MAX(0,(G349-H349)/G349)))</f>
        <v>0.29347157236815719</v>
      </c>
      <c r="C350" s="18">
        <f>IF($A350&gt;'1-Input'!$B$26,0,(MAX(0,B341-IF($A350&gt;='1-Input'!$C$12,'1-Input'!$B$12,0))-MIN(MAX(F349,0),MAX(0,B341-IF($A350&gt;='1-Input'!$C$12,'1-Input'!$B$12,0))))*(1/(1-'P-Parametri'!$B$6*B350))+MIN(MAX(0,G349-(MAX(0,B341-IF($A350&gt;='1-Input'!$C$12,'1-Input'!$B$12,0))-MIN(MAX(F349,0),MAX(0,B341-IF($A350&gt;='1-Input'!$C$12,'1-Input'!$B$12,0))))*(1/(1-'P-Parametri'!$B$6*B350))),MAX(0,5*B341-(F349-MIN(MAX(F349,0),MAX(0,B341-IF($A350&gt;='1-Input'!$C$12,'1-Input'!$B$12,0)))))*(1/(1-'P-Parametri'!$B$6*B350))))</f>
        <v>18384.066548588176</v>
      </c>
      <c r="D350" s="18">
        <f>IF($A350&gt;'1-Input'!$B$26,F349,(F349-MAX(0,B341-IF($A350&gt;='1-Input'!$C$12,'1-Input'!$B$12,0))+C350*(1-'P-Parametri'!$B$6*B350))*(1+'1-Input'!$B$27))</f>
        <v>83105.01757746574</v>
      </c>
      <c r="E350" s="18">
        <f>IF($A350&gt;'1-Input'!$B$26,G349,(G349-C350)*(1+$B$4))</f>
        <v>265800.80715199874</v>
      </c>
      <c r="F350" s="18">
        <f>IF($A350&gt;'1-Input'!$B$26,D350,D350-'P-Parametri'!$B$8*(E350+D350)+MIN(MAX(E350,0),'P-Parametri'!$B$8*(E350+D350)))</f>
        <v>83105.01757746574</v>
      </c>
      <c r="G350" s="18">
        <f>IF($A350&gt;'1-Input'!$B$26,E350,E350-MIN(MAX(E350,0),'P-Parametri'!$B$8*(E350+D350)))</f>
        <v>265102.99550253979</v>
      </c>
      <c r="H350" s="18">
        <f>IF($A350&gt;'1-Input'!$B$26,H349,H349-C350*(1-B350))</f>
        <v>184113.55523566305</v>
      </c>
      <c r="I350" s="11">
        <f>IF($A350&gt;'1-Input'!$B$26,0,IF(N349&lt;=0,0,MAX(0,(N349-O349)/N349)))</f>
        <v>0.29215408541898974</v>
      </c>
      <c r="J350" s="18">
        <f>IF($A350&gt;'1-Input'!$B$26,0,(MAX(0,I341-IF($A350&gt;='1-Input'!$C$12,'1-Input'!$B$12,0))-MIN(MAX(M349,0),MAX(0,I341-IF($A350&gt;='1-Input'!$C$12,'1-Input'!$B$12,0))))*(1/(1-'P-Parametri'!$B$6*I350))+MIN(MAX(0,N349-(MAX(0,I341-IF($A350&gt;='1-Input'!$C$12,'1-Input'!$B$12,0))-MIN(MAX(M349,0),MAX(0,I341-IF($A350&gt;='1-Input'!$C$12,'1-Input'!$B$12,0))))*(1/(1-'P-Parametri'!$B$6*I350))),MAX(0,5*I341-(M349-MIN(MAX(M349,0),MAX(0,I341-IF($A350&gt;='1-Input'!$C$12,'1-Input'!$B$12,0)))))*(1/(1-'P-Parametri'!$B$6*I350))))</f>
        <v>24180.594046849146</v>
      </c>
      <c r="K350" s="18">
        <f>IF($A350&gt;'1-Input'!$B$26,M349,(M349-MAX(0,I341-IF($A350&gt;='1-Input'!$C$12,'1-Input'!$B$12,0))+J350*(1-'P-Parametri'!$B$6*I350))*(1+'1-Input'!$B$27))</f>
        <v>109348.70733877072</v>
      </c>
      <c r="L350" s="18">
        <f>IF($A350&gt;'1-Input'!$B$26,N349,(N349-J350)*(1+$B$4))</f>
        <v>192433.76321503191</v>
      </c>
      <c r="M350" s="18">
        <f>IF($A350&gt;'1-Input'!$B$26,K350,K350-'P-Parametri'!$B$8*(L350+K350)+MIN(MAX(L350,0),'P-Parametri'!$B$8*(L350+K350)))</f>
        <v>109348.70733877072</v>
      </c>
      <c r="N350" s="18">
        <f>IF($A350&gt;'1-Input'!$B$26,L350,L350-MIN(MAX(L350,0),'P-Parametri'!$B$8*(L350+K350)))</f>
        <v>191830.1982739243</v>
      </c>
      <c r="O350" s="18">
        <f>IF($A350&gt;'1-Input'!$B$26,O349,O349-J350*(1-I350))</f>
        <v>133542.60109726453</v>
      </c>
      <c r="P350" s="11">
        <f>IF($A350&gt;'1-Input'!$B$26,0,IF(U349&lt;=0,0,MAX(0,(U349-V349)/U349)))</f>
        <v>0.29358861757938326</v>
      </c>
      <c r="Q350" s="18">
        <f>IF($A350&gt;'1-Input'!$B$26,0,(MAX(0,P341-IF($A350&gt;='1-Input'!$C$12,'1-Input'!$B$12,0))-MIN(MAX(T349,0),MAX(0,P341-IF($A350&gt;='1-Input'!$C$12,'1-Input'!$B$12,0))))*(1/(1-'P-Parametri'!$B$6*P350))+MIN(MAX(0,U349-(MAX(0,P341-IF($A350&gt;='1-Input'!$C$12,'1-Input'!$B$12,0))-MIN(MAX(T349,0),MAX(0,P341-IF($A350&gt;='1-Input'!$C$12,'1-Input'!$B$12,0))))*(1/(1-'P-Parametri'!$B$6*P350))),MAX(0,5*P341-(T349-MIN(MAX(T349,0),MAX(0,P341-IF($A350&gt;='1-Input'!$C$12,'1-Input'!$B$12,0)))))*(1/(1-'P-Parametri'!$B$6*P350))))</f>
        <v>17749.540418961809</v>
      </c>
      <c r="R350" s="18">
        <f>IF($A350&gt;'1-Input'!$B$26,T349,(T349-MAX(0,P341-IF($A350&gt;='1-Input'!$C$12,'1-Input'!$B$12,0))+Q350*(1-'P-Parametri'!$B$6*P350))*(1+'1-Input'!$B$27))</f>
        <v>80234.004123491206</v>
      </c>
      <c r="S350" s="18">
        <f>IF($A350&gt;'1-Input'!$B$26,U349,(U349-Q350)*(1+$B$4))</f>
        <v>273828.27290328115</v>
      </c>
      <c r="T350" s="18">
        <f>IF($A350&gt;'1-Input'!$B$26,R350,R350-'P-Parametri'!$B$8*(S350+R350)+MIN(MAX(S350,0),'P-Parametri'!$B$8*(S350+R350)))</f>
        <v>80234.004123491206</v>
      </c>
      <c r="U350" s="18">
        <f>IF($A350&gt;'1-Input'!$B$26,S350,S350-MIN(MAX(S350,0),'P-Parametri'!$B$8*(S350+R350)))</f>
        <v>273120.14834922762</v>
      </c>
      <c r="V350" s="18">
        <f>IF($A350&gt;'1-Input'!$B$26,V349,V349-Q350*(1-P350))</f>
        <v>189642.55765436933</v>
      </c>
      <c r="W350" s="11">
        <f>IF($A350&gt;'1-Input'!$B$26,0,IF(AB349&lt;=0,0,MAX(0,(AB349-AC349)/AB349)))</f>
        <v>0.29360581206096581</v>
      </c>
      <c r="X350" s="18">
        <f>IF($A350&gt;'1-Input'!$B$26,0,(MAX(0,W341-IF($A350&gt;='1-Input'!$C$12,'1-Input'!$B$12,0))-MIN(MAX(AA349,0),MAX(0,W341-IF($A350&gt;='1-Input'!$C$12,'1-Input'!$B$12,0))))*(1/(1-'P-Parametri'!$B$6*W350))+MIN(MAX(0,AB349-(MAX(0,W341-IF($A350&gt;='1-Input'!$C$12,'1-Input'!$B$12,0))-MIN(MAX(AA349,0),MAX(0,W341-IF($A350&gt;='1-Input'!$C$12,'1-Input'!$B$12,0))))*(1/(1-'P-Parametri'!$B$6*W350))),MAX(0,5*W341-(AA349-MIN(MAX(AA349,0),MAX(0,W341-IF($A350&gt;='1-Input'!$C$12,'1-Input'!$B$12,0)))))*(1/(1-'P-Parametri'!$B$6*W350))))</f>
        <v>17654.333118986797</v>
      </c>
      <c r="Y350" s="18">
        <f>IF($A350&gt;'1-Input'!$B$26,AA349,(AA349-MAX(0,W341-IF($A350&gt;='1-Input'!$C$12,'1-Input'!$B$12,0))+X350*(1-'P-Parametri'!$B$6*W350))*(1+'1-Input'!$B$27))</f>
        <v>79803.248256166989</v>
      </c>
      <c r="Z350" s="18">
        <f>IF($A350&gt;'1-Input'!$B$26,AB349,(AB349-X350)*(1+$B$4))</f>
        <v>275032.70077003154</v>
      </c>
      <c r="AA350" s="18">
        <f>IF($A350&gt;'1-Input'!$B$26,Y350,Y350-'P-Parametri'!$B$8*(Z350+Y350)+MIN(MAX(Z350,0),'P-Parametri'!$B$8*(Z350+Y350)))</f>
        <v>79803.248256166989</v>
      </c>
      <c r="AB350" s="18">
        <f>IF($A350&gt;'1-Input'!$B$26,Z350,Z350-MIN(MAX(Z350,0),'P-Parametri'!$B$8*(Z350+Y350)))</f>
        <v>274323.02887197916</v>
      </c>
      <c r="AC350" s="18">
        <f>IF($A350&gt;'1-Input'!$B$26,AC349,AC349-X350*(1-W350))</f>
        <v>190472.06011482925</v>
      </c>
      <c r="AD350" s="11">
        <f>IF($A350&gt;'1-Input'!$B$26,0,IF(AI349&lt;=0,0,MAX(0,(AI349-AJ349)/AI349)))</f>
        <v>0.29360907910249923</v>
      </c>
      <c r="AE350" s="18">
        <f>IF($A350&gt;'1-Input'!$B$26,0,(MAX(0,AD341-IF($A350&gt;='1-Input'!$C$12,'1-Input'!$B$12,0))-MIN(MAX(AH349,0),MAX(0,AD341-IF($A350&gt;='1-Input'!$C$12,'1-Input'!$B$12,0))))*(1/(1-'P-Parametri'!$B$6*AD350))+MIN(MAX(0,AI349-(MAX(0,AD341-IF($A350&gt;='1-Input'!$C$12,'1-Input'!$B$12,0))-MIN(MAX(AH349,0),MAX(0,AD341-IF($A350&gt;='1-Input'!$C$12,'1-Input'!$B$12,0))))*(1/(1-'P-Parametri'!$B$6*AD350))),MAX(0,5*AD341-(AH349-MIN(MAX(AH349,0),MAX(0,AD341-IF($A350&gt;='1-Input'!$C$12,'1-Input'!$B$12,0)))))*(1/(1-'P-Parametri'!$B$6*AD350))))</f>
        <v>17636.184369613551</v>
      </c>
      <c r="AF350" s="18">
        <f>IF($A350&gt;'1-Input'!$B$26,AH349,(AH349-MAX(0,AD341-IF($A350&gt;='1-Input'!$C$12,'1-Input'!$B$12,0))+AE350*(1-'P-Parametri'!$B$6*AD350))*(1+'1-Input'!$B$27))</f>
        <v>79721.136773578575</v>
      </c>
      <c r="AG350" s="18">
        <f>IF($A350&gt;'1-Input'!$B$26,AI349,(AI349-AE350)*(1+$B$4))</f>
        <v>275262.2915570875</v>
      </c>
      <c r="AH350" s="18">
        <f>IF($A350&gt;'1-Input'!$B$26,AF350,AF350-'P-Parametri'!$B$8*(AG350+AF350)+MIN(MAX(AG350,0),'P-Parametri'!$B$8*(AG350+AF350)))</f>
        <v>79721.136773578575</v>
      </c>
      <c r="AI350" s="18">
        <f>IF($A350&gt;'1-Input'!$B$26,AG350,AG350-MIN(MAX(AG350,0),'P-Parametri'!$B$8*(AG350+AF350)))</f>
        <v>274552.32470042619</v>
      </c>
      <c r="AJ350" s="18">
        <f>IF($A350&gt;'1-Input'!$B$26,AJ349,AJ349-AE350*(1-AD350))</f>
        <v>190630.18002094841</v>
      </c>
      <c r="AK350" s="11">
        <f>IF($A350&gt;'1-Input'!$B$26,0,IF(AP349&lt;=0,0,MAX(0,(AP349-AQ349)/AP349)))</f>
        <v>0.29360907946884462</v>
      </c>
      <c r="AL350" s="18">
        <f>IF($A350&gt;'1-Input'!$B$26,0,(MAX(0,AK341-IF($A350&gt;='1-Input'!$C$12,'1-Input'!$B$12,0))-MIN(MAX(AO349,0),MAX(0,AK341-IF($A350&gt;='1-Input'!$C$12,'1-Input'!$B$12,0))))*(1/(1-'P-Parametri'!$B$6*AK350))+MIN(MAX(0,AP349-(MAX(0,AK341-IF($A350&gt;='1-Input'!$C$12,'1-Input'!$B$12,0))-MIN(MAX(AO349,0),MAX(0,AK341-IF($A350&gt;='1-Input'!$C$12,'1-Input'!$B$12,0))))*(1/(1-'P-Parametri'!$B$6*AK350))),MAX(0,5*AK341-(AO349-MIN(MAX(AO349,0),MAX(0,AK341-IF($A350&gt;='1-Input'!$C$12,'1-Input'!$B$12,0)))))*(1/(1-'P-Parametri'!$B$6*AK350))))</f>
        <v>17636.182333467979</v>
      </c>
      <c r="AM350" s="18">
        <f>IF($A350&gt;'1-Input'!$B$26,AO349,(AO349-MAX(0,AK341-IF($A350&gt;='1-Input'!$C$12,'1-Input'!$B$12,0))+AL350*(1-'P-Parametri'!$B$6*AK350))*(1+'1-Input'!$B$27))</f>
        <v>79721.127561334986</v>
      </c>
      <c r="AN350" s="18">
        <f>IF($A350&gt;'1-Input'!$B$26,AP349,(AP349-AL350)*(1+$B$4))</f>
        <v>275262.31731532427</v>
      </c>
      <c r="AO350" s="18">
        <f>IF($A350&gt;'1-Input'!$B$26,AM350,AM350-'P-Parametri'!$B$8*(AN350+AM350)+MIN(MAX(AN350,0),'P-Parametri'!$B$8*(AN350+AM350)))</f>
        <v>79721.127561334986</v>
      </c>
      <c r="AP350" s="18">
        <f>IF($A350&gt;'1-Input'!$B$26,AN350,AN350-MIN(MAX(AN350,0),'P-Parametri'!$B$8*(AN350+AM350)))</f>
        <v>274552.35042557097</v>
      </c>
      <c r="AQ350" s="18">
        <f>IF($A350&gt;'1-Input'!$B$26,AQ349,AQ349-AL350*(1-AK350))</f>
        <v>190630.19776069696</v>
      </c>
    </row>
    <row r="351" spans="1:43">
      <c r="A351" s="10">
        <f>8</f>
        <v>8</v>
      </c>
      <c r="B351" s="11">
        <f>IF($A351&gt;'1-Input'!$B$26,0,IF(G350&lt;=0,0,MAX(0,(G350-H350)/G350)))</f>
        <v>0.30550179228774815</v>
      </c>
      <c r="C351" s="18">
        <f>IF($A351&gt;'1-Input'!$B$26,0,(MAX(0,B341-IF($A351&gt;='1-Input'!$C$12,'1-Input'!$B$12,0))-MIN(MAX(F350,0),MAX(0,B341-IF($A351&gt;='1-Input'!$C$12,'1-Input'!$B$12,0))))*(1/(1-'P-Parametri'!$B$6*B351))+MIN(MAX(0,G350-(MAX(0,B341-IF($A351&gt;='1-Input'!$C$12,'1-Input'!$B$12,0))-MIN(MAX(F350,0),MAX(0,B341-IF($A351&gt;='1-Input'!$C$12,'1-Input'!$B$12,0))))*(1/(1-'P-Parametri'!$B$6*B351))),MAX(0,5*B341-(F350-MIN(MAX(F350,0),MAX(0,B341-IF($A351&gt;='1-Input'!$C$12,'1-Input'!$B$12,0)))))*(1/(1-'P-Parametri'!$B$6*B351))))</f>
        <v>18446.530851838314</v>
      </c>
      <c r="D351" s="18">
        <f>IF($A351&gt;'1-Input'!$B$26,F350,(F350-MAX(0,B341-IF($A351&gt;='1-Input'!$C$12,'1-Input'!$B$12,0))+C351*(1-'P-Parametri'!$B$6*B351))*(1+'1-Input'!$B$27))</f>
        <v>83105.01757746574</v>
      </c>
      <c r="E351" s="18">
        <f>IF($A351&gt;'1-Input'!$B$26,G350,(G350-C351)*(1+$B$4))</f>
        <v>251589.5939437155</v>
      </c>
      <c r="F351" s="18">
        <f>IF($A351&gt;'1-Input'!$B$26,D351,D351-'P-Parametri'!$B$8*(E351+D351)+MIN(MAX(E351,0),'P-Parametri'!$B$8*(E351+D351)))</f>
        <v>83105.01757746574</v>
      </c>
      <c r="G351" s="18">
        <f>IF($A351&gt;'1-Input'!$B$26,E351,E351-MIN(MAX(E351,0),'P-Parametri'!$B$8*(E351+D351)))</f>
        <v>250920.20472067315</v>
      </c>
      <c r="H351" s="18">
        <f>IF($A351&gt;'1-Input'!$B$26,H350,H350-C351*(1-B351))</f>
        <v>171302.47262055258</v>
      </c>
      <c r="I351" s="11">
        <f>IF($A351&gt;'1-Input'!$B$26,0,IF(N350&lt;=0,0,MAX(0,(N350-O350)/N350)))</f>
        <v>0.30384995533095305</v>
      </c>
      <c r="J351" s="18">
        <f>IF($A351&gt;'1-Input'!$B$26,0,(MAX(0,I341-IF($A351&gt;='1-Input'!$C$12,'1-Input'!$B$12,0))-MIN(MAX(M350,0),MAX(0,I341-IF($A351&gt;='1-Input'!$C$12,'1-Input'!$B$12,0))))*(1/(1-'P-Parametri'!$B$6*I351))+MIN(MAX(0,N350-(MAX(0,I341-IF($A351&gt;='1-Input'!$C$12,'1-Input'!$B$12,0))-MIN(MAX(M350,0),MAX(0,I341-IF($A351&gt;='1-Input'!$C$12,'1-Input'!$B$12,0))))*(1/(1-'P-Parametri'!$B$6*I351))),MAX(0,5*I341-(M350-MIN(MAX(M350,0),MAX(0,I341-IF($A351&gt;='1-Input'!$C$12,'1-Input'!$B$12,0)))))*(1/(1-'P-Parametri'!$B$6*I351))))</f>
        <v>24260.432787703267</v>
      </c>
      <c r="K351" s="18">
        <f>IF($A351&gt;'1-Input'!$B$26,M350,(M350-MAX(0,I341-IF($A351&gt;='1-Input'!$C$12,'1-Input'!$B$12,0))+J351*(1-'P-Parametri'!$B$6*I351))*(1+'1-Input'!$B$27))</f>
        <v>109348.70733877072</v>
      </c>
      <c r="L351" s="18">
        <f>IF($A351&gt;'1-Input'!$B$26,N350,(N350-J351)*(1+$B$4))</f>
        <v>170921.16079594547</v>
      </c>
      <c r="M351" s="18">
        <f>IF($A351&gt;'1-Input'!$B$26,K351,K351-'P-Parametri'!$B$8*(L351+K351)+MIN(MAX(L351,0),'P-Parametri'!$B$8*(L351+K351)))</f>
        <v>109348.70733877072</v>
      </c>
      <c r="N351" s="18">
        <f>IF($A351&gt;'1-Input'!$B$26,L351,L351-MIN(MAX(L351,0),'P-Parametri'!$B$8*(L351+K351)))</f>
        <v>170360.62105967605</v>
      </c>
      <c r="O351" s="18">
        <f>IF($A351&gt;'1-Input'!$B$26,O350,O350-J351*(1-I351))</f>
        <v>116653.69972841449</v>
      </c>
      <c r="P351" s="11">
        <f>IF($A351&gt;'1-Input'!$B$26,0,IF(U350&lt;=0,0,MAX(0,(U350-V350)/U350)))</f>
        <v>0.30564420530454195</v>
      </c>
      <c r="Q351" s="18">
        <f>IF($A351&gt;'1-Input'!$B$26,0,(MAX(0,P341-IF($A351&gt;='1-Input'!$C$12,'1-Input'!$B$12,0))-MIN(MAX(T350,0),MAX(0,P341-IF($A351&gt;='1-Input'!$C$12,'1-Input'!$B$12,0))))*(1/(1-'P-Parametri'!$B$6*P351))+MIN(MAX(0,U350-(MAX(0,P341-IF($A351&gt;='1-Input'!$C$12,'1-Input'!$B$12,0))-MIN(MAX(T350,0),MAX(0,P341-IF($A351&gt;='1-Input'!$C$12,'1-Input'!$B$12,0))))*(1/(1-'P-Parametri'!$B$6*P351))),MAX(0,5*P341-(T350-MIN(MAX(T350,0),MAX(0,P341-IF($A351&gt;='1-Input'!$C$12,'1-Input'!$B$12,0)))))*(1/(1-'P-Parametri'!$B$6*P351))))</f>
        <v>17809.978368101449</v>
      </c>
      <c r="R351" s="18">
        <f>IF($A351&gt;'1-Input'!$B$26,T350,(T350-MAX(0,P341-IF($A351&gt;='1-Input'!$C$12,'1-Input'!$B$12,0))+Q351*(1-'P-Parametri'!$B$6*P351))*(1+'1-Input'!$B$27))</f>
        <v>80234.004123491206</v>
      </c>
      <c r="S351" s="18">
        <f>IF($A351&gt;'1-Input'!$B$26,U350,(U350-Q351)*(1+$B$4))</f>
        <v>260416.3733807487</v>
      </c>
      <c r="T351" s="18">
        <f>IF($A351&gt;'1-Input'!$B$26,R351,R351-'P-Parametri'!$B$8*(S351+R351)+MIN(MAX(S351,0),'P-Parametri'!$B$8*(S351+R351)))</f>
        <v>80234.004123491206</v>
      </c>
      <c r="U351" s="18">
        <f>IF($A351&gt;'1-Input'!$B$26,S351,S351-MIN(MAX(S351,0),'P-Parametri'!$B$8*(S351+R351)))</f>
        <v>259735.07262574023</v>
      </c>
      <c r="V351" s="18">
        <f>IF($A351&gt;'1-Input'!$B$26,V350,V350-Q351*(1-P351))</f>
        <v>177276.09597107733</v>
      </c>
      <c r="W351" s="11">
        <f>IF($A351&gt;'1-Input'!$B$26,0,IF(AB350&lt;=0,0,MAX(0,(AB350-AC350)/AB350)))</f>
        <v>0.30566507340614635</v>
      </c>
      <c r="X351" s="18">
        <f>IF($A351&gt;'1-Input'!$B$26,0,(MAX(0,W341-IF($A351&gt;='1-Input'!$C$12,'1-Input'!$B$12,0))-MIN(MAX(AA350,0),MAX(0,W341-IF($A351&gt;='1-Input'!$C$12,'1-Input'!$B$12,0))))*(1/(1-'P-Parametri'!$B$6*W351))+MIN(MAX(0,AB350-(MAX(0,W341-IF($A351&gt;='1-Input'!$C$12,'1-Input'!$B$12,0))-MIN(MAX(AA350,0),MAX(0,W341-IF($A351&gt;='1-Input'!$C$12,'1-Input'!$B$12,0))))*(1/(1-'P-Parametri'!$B$6*W351))),MAX(0,5*W341-(AA350-MIN(MAX(AA350,0),MAX(0,W341-IF($A351&gt;='1-Input'!$C$12,'1-Input'!$B$12,0)))))*(1/(1-'P-Parametri'!$B$6*W351))))</f>
        <v>17714.465555670537</v>
      </c>
      <c r="Y351" s="18">
        <f>IF($A351&gt;'1-Input'!$B$26,AA350,(AA350-MAX(0,W341-IF($A351&gt;='1-Input'!$C$12,'1-Input'!$B$12,0))+X351*(1-'P-Parametri'!$B$6*W351))*(1+'1-Input'!$B$27))</f>
        <v>79803.248256166989</v>
      </c>
      <c r="Z351" s="18">
        <f>IF($A351&gt;'1-Input'!$B$26,AB350,(AB350-X351)*(1+$B$4))</f>
        <v>261740.73458263482</v>
      </c>
      <c r="AA351" s="18">
        <f>IF($A351&gt;'1-Input'!$B$26,Y351,Y351-'P-Parametri'!$B$8*(Z351+Y351)+MIN(MAX(Z351,0),'P-Parametri'!$B$8*(Z351+Y351)))</f>
        <v>79803.248256166989</v>
      </c>
      <c r="AB351" s="18">
        <f>IF($A351&gt;'1-Input'!$B$26,Z351,Z351-MIN(MAX(Z351,0),'P-Parametri'!$B$8*(Z351+Y351)))</f>
        <v>261057.64661695721</v>
      </c>
      <c r="AC351" s="18">
        <f>IF($A351&gt;'1-Input'!$B$26,AC350,AC350-X351*(1-W351))</f>
        <v>178172.28797358338</v>
      </c>
      <c r="AD351" s="11">
        <f>IF($A351&gt;'1-Input'!$B$26,0,IF(AI350&lt;=0,0,MAX(0,(AI350-AJ350)/AI350)))</f>
        <v>0.30566903693512054</v>
      </c>
      <c r="AE351" s="18">
        <f>IF($A351&gt;'1-Input'!$B$26,0,(MAX(0,AD341-IF($A351&gt;='1-Input'!$C$12,'1-Input'!$B$12,0))-MIN(MAX(AH350,0),MAX(0,AD341-IF($A351&gt;='1-Input'!$C$12,'1-Input'!$B$12,0))))*(1/(1-'P-Parametri'!$B$6*AD351))+MIN(MAX(0,AI350-(MAX(0,AD341-IF($A351&gt;='1-Input'!$C$12,'1-Input'!$B$12,0))-MIN(MAX(AH350,0),MAX(0,AD341-IF($A351&gt;='1-Input'!$C$12,'1-Input'!$B$12,0))))*(1/(1-'P-Parametri'!$B$6*AD351))),MAX(0,5*AD341-(AH350-MIN(MAX(AH350,0),MAX(0,AD341-IF($A351&gt;='1-Input'!$C$12,'1-Input'!$B$12,0)))))*(1/(1-'P-Parametri'!$B$6*AD351))))</f>
        <v>17696.258526483838</v>
      </c>
      <c r="AF351" s="18">
        <f>IF($A351&gt;'1-Input'!$B$26,AH350,(AH350-MAX(0,AD341-IF($A351&gt;='1-Input'!$C$12,'1-Input'!$B$12,0))+AE351*(1-'P-Parametri'!$B$6*AD351))*(1+'1-Input'!$B$27))</f>
        <v>79721.136773578575</v>
      </c>
      <c r="AG351" s="18">
        <f>IF($A351&gt;'1-Input'!$B$26,AI350,(AI350-AE351)*(1+$B$4))</f>
        <v>261993.1874974212</v>
      </c>
      <c r="AH351" s="18">
        <f>IF($A351&gt;'1-Input'!$B$26,AF351,AF351-'P-Parametri'!$B$8*(AG351+AF351)+MIN(MAX(AG351,0),'P-Parametri'!$B$8*(AG351+AF351)))</f>
        <v>79721.136773578575</v>
      </c>
      <c r="AI351" s="18">
        <f>IF($A351&gt;'1-Input'!$B$26,AG351,AG351-MIN(MAX(AG351,0),'P-Parametri'!$B$8*(AG351+AF351)))</f>
        <v>261309.7588488792</v>
      </c>
      <c r="AJ351" s="18">
        <f>IF($A351&gt;'1-Input'!$B$26,AJ350,AJ350-AE351*(1-AD351))</f>
        <v>178343.11979560979</v>
      </c>
      <c r="AK351" s="11">
        <f>IF($A351&gt;'1-Input'!$B$26,0,IF(AP350&lt;=0,0,MAX(0,(AP350-AQ350)/AP350)))</f>
        <v>0.30566903737953854</v>
      </c>
      <c r="AL351" s="18">
        <f>IF($A351&gt;'1-Input'!$B$26,0,(MAX(0,AK341-IF($A351&gt;='1-Input'!$C$12,'1-Input'!$B$12,0))-MIN(MAX(AO350,0),MAX(0,AK341-IF($A351&gt;='1-Input'!$C$12,'1-Input'!$B$12,0))))*(1/(1-'P-Parametri'!$B$6*AK351))+MIN(MAX(0,AP350-(MAX(0,AK341-IF($A351&gt;='1-Input'!$C$12,'1-Input'!$B$12,0))-MIN(MAX(AO350,0),MAX(0,AK341-IF($A351&gt;='1-Input'!$C$12,'1-Input'!$B$12,0))))*(1/(1-'P-Parametri'!$B$6*AK351))),MAX(0,5*AK341-(AO350-MIN(MAX(AO350,0),MAX(0,AK341-IF($A351&gt;='1-Input'!$C$12,'1-Input'!$B$12,0)))))*(1/(1-'P-Parametri'!$B$6*AK351))))</f>
        <v>17696.256483798985</v>
      </c>
      <c r="AM351" s="18">
        <f>IF($A351&gt;'1-Input'!$B$26,AO350,(AO350-MAX(0,AK341-IF($A351&gt;='1-Input'!$C$12,'1-Input'!$B$12,0))+AL351*(1-'P-Parametri'!$B$6*AK351))*(1+'1-Input'!$B$27))</f>
        <v>79721.127561334986</v>
      </c>
      <c r="AN351" s="18">
        <f>IF($A351&gt;'1-Input'!$B$26,AP350,(AP350-AL351)*(1+$B$4))</f>
        <v>261993.21582060741</v>
      </c>
      <c r="AO351" s="18">
        <f>IF($A351&gt;'1-Input'!$B$26,AM351,AM351-'P-Parametri'!$B$8*(AN351+AM351)+MIN(MAX(AN351,0),'P-Parametri'!$B$8*(AN351+AM351)))</f>
        <v>79721.127561334986</v>
      </c>
      <c r="AP351" s="18">
        <f>IF($A351&gt;'1-Input'!$B$26,AN351,AN351-MIN(MAX(AN351,0),'P-Parametri'!$B$8*(AN351+AM351)))</f>
        <v>261309.78713384352</v>
      </c>
      <c r="AQ351" s="18">
        <f>IF($A351&gt;'1-Input'!$B$26,AQ350,AQ350-AL351*(1-AK351))</f>
        <v>178343.13896152223</v>
      </c>
    </row>
    <row r="352" spans="1:43">
      <c r="A352" s="10">
        <f>9</f>
        <v>9</v>
      </c>
      <c r="B352" s="11">
        <f>IF($A352&gt;'1-Input'!$B$26,0,IF(G351&lt;=0,0,MAX(0,(G351-H351)/G351)))</f>
        <v>0.31730299355028752</v>
      </c>
      <c r="C352" s="18">
        <f>IF($A352&gt;'1-Input'!$B$26,0,(MAX(0,B341-IF($A352&gt;='1-Input'!$C$12,'1-Input'!$B$12,0))-MIN(MAX(F351,0),MAX(0,B341-IF($A352&gt;='1-Input'!$C$12,'1-Input'!$B$12,0))))*(1/(1-'P-Parametri'!$B$6*B352))+MIN(MAX(0,G351-(MAX(0,B341-IF($A352&gt;='1-Input'!$C$12,'1-Input'!$B$12,0))-MIN(MAX(F351,0),MAX(0,B341-IF($A352&gt;='1-Input'!$C$12,'1-Input'!$B$12,0))))*(1/(1-'P-Parametri'!$B$6*B352))),MAX(0,5*B341-(F351-MIN(MAX(F351,0),MAX(0,B341-IF($A352&gt;='1-Input'!$C$12,'1-Input'!$B$12,0)))))*(1/(1-'P-Parametri'!$B$6*B352))))</f>
        <v>18508.219835666456</v>
      </c>
      <c r="D352" s="18">
        <f>IF($A352&gt;'1-Input'!$B$26,F351,(F351-MAX(0,B341-IF($A352&gt;='1-Input'!$C$12,'1-Input'!$B$12,0))+C352*(1-'P-Parametri'!$B$6*B352))*(1+'1-Input'!$B$27))</f>
        <v>83105.01757746574</v>
      </c>
      <c r="E352" s="18">
        <f>IF($A352&gt;'1-Input'!$B$26,G351,(G351-C352)*(1+$B$4))</f>
        <v>237060.22458270684</v>
      </c>
      <c r="F352" s="18">
        <f>IF($A352&gt;'1-Input'!$B$26,D352,D352-'P-Parametri'!$B$8*(E352+D352)+MIN(MAX(E352,0),'P-Parametri'!$B$8*(E352+D352)))</f>
        <v>83105.01757746574</v>
      </c>
      <c r="G352" s="18">
        <f>IF($A352&gt;'1-Input'!$B$26,E352,E352-MIN(MAX(E352,0),'P-Parametri'!$B$8*(E352+D352)))</f>
        <v>236419.89409838649</v>
      </c>
      <c r="H352" s="18">
        <f>IF($A352&gt;'1-Input'!$B$26,H351,H351-C352*(1-B352))</f>
        <v>158666.9663440299</v>
      </c>
      <c r="I352" s="11">
        <f>IF($A352&gt;'1-Input'!$B$26,0,IF(N351&lt;=0,0,MAX(0,(N351-O351)/N351)))</f>
        <v>0.3152543175599743</v>
      </c>
      <c r="J352" s="18">
        <f>IF($A352&gt;'1-Input'!$B$26,0,(MAX(0,I341-IF($A352&gt;='1-Input'!$C$12,'1-Input'!$B$12,0))-MIN(MAX(M351,0),MAX(0,I341-IF($A352&gt;='1-Input'!$C$12,'1-Input'!$B$12,0))))*(1/(1-'P-Parametri'!$B$6*I352))+MIN(MAX(0,N351-(MAX(0,I341-IF($A352&gt;='1-Input'!$C$12,'1-Input'!$B$12,0))-MIN(MAX(M351,0),MAX(0,I341-IF($A352&gt;='1-Input'!$C$12,'1-Input'!$B$12,0))))*(1/(1-'P-Parametri'!$B$6*I352))),MAX(0,5*I341-(M351-MIN(MAX(M351,0),MAX(0,I341-IF($A352&gt;='1-Input'!$C$12,'1-Input'!$B$12,0)))))*(1/(1-'P-Parametri'!$B$6*I352))))</f>
        <v>24338.79094009566</v>
      </c>
      <c r="K352" s="18">
        <f>IF($A352&gt;'1-Input'!$B$26,M351,(M351-MAX(0,I341-IF($A352&gt;='1-Input'!$C$12,'1-Input'!$B$12,0))+J352*(1-'P-Parametri'!$B$6*I352))*(1+'1-Input'!$B$27))</f>
        <v>109348.70733877072</v>
      </c>
      <c r="L352" s="18">
        <f>IF($A352&gt;'1-Input'!$B$26,N351,(N351-J352)*(1+$B$4))</f>
        <v>148942.266721972</v>
      </c>
      <c r="M352" s="18">
        <f>IF($A352&gt;'1-Input'!$B$26,K352,K352-'P-Parametri'!$B$8*(L352+K352)+MIN(MAX(L352,0),'P-Parametri'!$B$8*(L352+K352)))</f>
        <v>109348.70733877072</v>
      </c>
      <c r="N352" s="18">
        <f>IF($A352&gt;'1-Input'!$B$26,L352,L352-MIN(MAX(L352,0),'P-Parametri'!$B$8*(L352+K352)))</f>
        <v>148425.68477385052</v>
      </c>
      <c r="O352" s="18">
        <f>IF($A352&gt;'1-Input'!$B$26,O351,O351-J352*(1-I352))</f>
        <v>99987.817716373567</v>
      </c>
      <c r="P352" s="11">
        <f>IF($A352&gt;'1-Input'!$B$26,0,IF(U351&lt;=0,0,MAX(0,(U351-V351)/U351)))</f>
        <v>0.31747340018835429</v>
      </c>
      <c r="Q352" s="18">
        <f>IF($A352&gt;'1-Input'!$B$26,0,(MAX(0,P341-IF($A352&gt;='1-Input'!$C$12,'1-Input'!$B$12,0))-MIN(MAX(T351,0),MAX(0,P341-IF($A352&gt;='1-Input'!$C$12,'1-Input'!$B$12,0))))*(1/(1-'P-Parametri'!$B$6*P352))+MIN(MAX(0,U351-(MAX(0,P341-IF($A352&gt;='1-Input'!$C$12,'1-Input'!$B$12,0))-MIN(MAX(T351,0),MAX(0,P341-IF($A352&gt;='1-Input'!$C$12,'1-Input'!$B$12,0))))*(1/(1-'P-Parametri'!$B$6*P352))),MAX(0,5*P341-(T351-MIN(MAX(T351,0),MAX(0,P341-IF($A352&gt;='1-Input'!$C$12,'1-Input'!$B$12,0)))))*(1/(1-'P-Parametri'!$B$6*P352))))</f>
        <v>17869.682755681693</v>
      </c>
      <c r="R352" s="18">
        <f>IF($A352&gt;'1-Input'!$B$26,T351,(T351-MAX(0,P341-IF($A352&gt;='1-Input'!$C$12,'1-Input'!$B$12,0))+Q352*(1-'P-Parametri'!$B$6*P352))*(1+'1-Input'!$B$27))</f>
        <v>80234.004123491206</v>
      </c>
      <c r="S352" s="18">
        <f>IF($A352&gt;'1-Input'!$B$26,U351,(U351-Q352)*(1+$B$4))</f>
        <v>246702.69766745972</v>
      </c>
      <c r="T352" s="18">
        <f>IF($A352&gt;'1-Input'!$B$26,R352,R352-'P-Parametri'!$B$8*(S352+R352)+MIN(MAX(S352,0),'P-Parametri'!$B$8*(S352+R352)))</f>
        <v>80234.004123491206</v>
      </c>
      <c r="U352" s="18">
        <f>IF($A352&gt;'1-Input'!$B$26,S352,S352-MIN(MAX(S352,0),'P-Parametri'!$B$8*(S352+R352)))</f>
        <v>246048.82426387782</v>
      </c>
      <c r="V352" s="18">
        <f>IF($A352&gt;'1-Input'!$B$26,V351,V351-Q352*(1-P352))</f>
        <v>165079.56216012911</v>
      </c>
      <c r="W352" s="11">
        <f>IF($A352&gt;'1-Input'!$B$26,0,IF(AB351&lt;=0,0,MAX(0,(AB351-AC351)/AB351)))</f>
        <v>0.31749829862286799</v>
      </c>
      <c r="X352" s="18">
        <f>IF($A352&gt;'1-Input'!$B$26,0,(MAX(0,W341-IF($A352&gt;='1-Input'!$C$12,'1-Input'!$B$12,0))-MIN(MAX(AA351,0),MAX(0,W341-IF($A352&gt;='1-Input'!$C$12,'1-Input'!$B$12,0))))*(1/(1-'P-Parametri'!$B$6*W352))+MIN(MAX(0,AB351-(MAX(0,W341-IF($A352&gt;='1-Input'!$C$12,'1-Input'!$B$12,0))-MIN(MAX(AA351,0),MAX(0,W341-IF($A352&gt;='1-Input'!$C$12,'1-Input'!$B$12,0))))*(1/(1-'P-Parametri'!$B$6*W352))),MAX(0,5*W341-(AA351-MIN(MAX(AA351,0),MAX(0,W341-IF($A352&gt;='1-Input'!$C$12,'1-Input'!$B$12,0)))))*(1/(1-'P-Parametri'!$B$6*W352))))</f>
        <v>17773.870407657516</v>
      </c>
      <c r="Y352" s="18">
        <f>IF($A352&gt;'1-Input'!$B$26,AA351,(AA351-MAX(0,W341-IF($A352&gt;='1-Input'!$C$12,'1-Input'!$B$12,0))+X352*(1-'P-Parametri'!$B$6*W352))*(1+'1-Input'!$B$27))</f>
        <v>79803.248256166989</v>
      </c>
      <c r="Z352" s="18">
        <f>IF($A352&gt;'1-Input'!$B$26,AB351,(AB351-X352)*(1+$B$4))</f>
        <v>248149.45173348568</v>
      </c>
      <c r="AA352" s="18">
        <f>IF($A352&gt;'1-Input'!$B$26,Y352,Y352-'P-Parametri'!$B$8*(Z352+Y352)+MIN(MAX(Z352,0),'P-Parametri'!$B$8*(Z352+Y352)))</f>
        <v>79803.248256166989</v>
      </c>
      <c r="AB352" s="18">
        <f>IF($A352&gt;'1-Input'!$B$26,Z352,Z352-MIN(MAX(Z352,0),'P-Parametri'!$B$8*(Z352+Y352)))</f>
        <v>247493.54633350638</v>
      </c>
      <c r="AC352" s="18">
        <f>IF($A352&gt;'1-Input'!$B$26,AC351,AC351-X352*(1-W352))</f>
        <v>166041.59118030049</v>
      </c>
      <c r="AD352" s="11">
        <f>IF($A352&gt;'1-Input'!$B$26,0,IF(AI351&lt;=0,0,MAX(0,(AI351-AJ351)/AI351)))</f>
        <v>0.31750302559978527</v>
      </c>
      <c r="AE352" s="18">
        <f>IF($A352&gt;'1-Input'!$B$26,0,(MAX(0,AD341-IF($A352&gt;='1-Input'!$C$12,'1-Input'!$B$12,0))-MIN(MAX(AH351,0),MAX(0,AD341-IF($A352&gt;='1-Input'!$C$12,'1-Input'!$B$12,0))))*(1/(1-'P-Parametri'!$B$6*AD352))+MIN(MAX(0,AI351-(MAX(0,AD341-IF($A352&gt;='1-Input'!$C$12,'1-Input'!$B$12,0))-MIN(MAX(AH351,0),MAX(0,AD341-IF($A352&gt;='1-Input'!$C$12,'1-Input'!$B$12,0))))*(1/(1-'P-Parametri'!$B$6*AD352))),MAX(0,5*AD341-(AH351-MIN(MAX(AH351,0),MAX(0,AD341-IF($A352&gt;='1-Input'!$C$12,'1-Input'!$B$12,0)))))*(1/(1-'P-Parametri'!$B$6*AD352))))</f>
        <v>17755.606230028079</v>
      </c>
      <c r="AF352" s="18">
        <f>IF($A352&gt;'1-Input'!$B$26,AH351,(AH351-MAX(0,AD341-IF($A352&gt;='1-Input'!$C$12,'1-Input'!$B$12,0))+AE352*(1-'P-Parametri'!$B$6*AD352))*(1+'1-Input'!$B$27))</f>
        <v>79721.136773578575</v>
      </c>
      <c r="AG352" s="18">
        <f>IF($A352&gt;'1-Input'!$B$26,AI351,(AI351-AE352)*(1+$B$4))</f>
        <v>248425.23567122812</v>
      </c>
      <c r="AH352" s="18">
        <f>IF($A352&gt;'1-Input'!$B$26,AF352,AF352-'P-Parametri'!$B$8*(AG352+AF352)+MIN(MAX(AG352,0),'P-Parametri'!$B$8*(AG352+AF352)))</f>
        <v>79721.136773578575</v>
      </c>
      <c r="AI352" s="18">
        <f>IF($A352&gt;'1-Input'!$B$26,AG352,AG352-MIN(MAX(AG352,0),'P-Parametri'!$B$8*(AG352+AF352)))</f>
        <v>247768.9429263385</v>
      </c>
      <c r="AJ352" s="18">
        <f>IF($A352&gt;'1-Input'!$B$26,AJ351,AJ351-AE352*(1-AD352))</f>
        <v>166224.97226497403</v>
      </c>
      <c r="AK352" s="11">
        <f>IF($A352&gt;'1-Input'!$B$26,0,IF(AP351&lt;=0,0,MAX(0,(AP351-AQ351)/AP351)))</f>
        <v>0.31750302612976977</v>
      </c>
      <c r="AL352" s="18">
        <f>IF($A352&gt;'1-Input'!$B$26,0,(MAX(0,AK341-IF($A352&gt;='1-Input'!$C$12,'1-Input'!$B$12,0))-MIN(MAX(AO351,0),MAX(0,AK341-IF($A352&gt;='1-Input'!$C$12,'1-Input'!$B$12,0))))*(1/(1-'P-Parametri'!$B$6*AK352))+MIN(MAX(0,AP351-(MAX(0,AK341-IF($A352&gt;='1-Input'!$C$12,'1-Input'!$B$12,0))-MIN(MAX(AO351,0),MAX(0,AK341-IF($A352&gt;='1-Input'!$C$12,'1-Input'!$B$12,0))))*(1/(1-'P-Parametri'!$B$6*AK352))),MAX(0,5*AK341-(AO351-MIN(MAX(AO351,0),MAX(0,AK341-IF($A352&gt;='1-Input'!$C$12,'1-Input'!$B$12,0)))))*(1/(1-'P-Parametri'!$B$6*AK352))))</f>
        <v>17755.604180930732</v>
      </c>
      <c r="AM352" s="18">
        <f>IF($A352&gt;'1-Input'!$B$26,AO351,(AO351-MAX(0,AK341-IF($A352&gt;='1-Input'!$C$12,'1-Input'!$B$12,0))+AL352*(1-'P-Parametri'!$B$6*AK352))*(1+'1-Input'!$B$27))</f>
        <v>79721.127561334986</v>
      </c>
      <c r="AN352" s="18">
        <f>IF($A352&gt;'1-Input'!$B$26,AP351,(AP351-AL352)*(1+$B$4))</f>
        <v>248425.26661197105</v>
      </c>
      <c r="AO352" s="18">
        <f>IF($A352&gt;'1-Input'!$B$26,AM352,AM352-'P-Parametri'!$B$8*(AN352+AM352)+MIN(MAX(AN352,0),'P-Parametri'!$B$8*(AN352+AM352)))</f>
        <v>79721.127561334986</v>
      </c>
      <c r="AP352" s="18">
        <f>IF($A352&gt;'1-Input'!$B$26,AN352,AN352-MIN(MAX(AN352,0),'P-Parametri'!$B$8*(AN352+AM352)))</f>
        <v>247768.97382362443</v>
      </c>
      <c r="AQ352" s="18">
        <f>IF($A352&gt;'1-Input'!$B$26,AQ351,AQ351-AL352*(1-AK352))</f>
        <v>166224.9928387994</v>
      </c>
    </row>
    <row r="353" spans="1:43">
      <c r="A353" s="10">
        <f>10</f>
        <v>10</v>
      </c>
      <c r="B353" s="11">
        <f>IF($A353&gt;'1-Input'!$B$26,0,IF(G352&lt;=0,0,MAX(0,(G352-H352)/G352)))</f>
        <v>0.32887641732044592</v>
      </c>
      <c r="C353" s="18">
        <f>IF($A353&gt;'1-Input'!$B$26,0,(MAX(0,B341-IF($A353&gt;='1-Input'!$C$12,'1-Input'!$B$12,0))-MIN(MAX(F352,0),MAX(0,B341-IF($A353&gt;='1-Input'!$C$12,'1-Input'!$B$12,0))))*(1/(1-'P-Parametri'!$B$6*B353))+MIN(MAX(0,G352-(MAX(0,B341-IF($A353&gt;='1-Input'!$C$12,'1-Input'!$B$12,0))-MIN(MAX(F352,0),MAX(0,B341-IF($A353&gt;='1-Input'!$C$12,'1-Input'!$B$12,0))))*(1/(1-'P-Parametri'!$B$6*B353))),MAX(0,5*B341-(F352-MIN(MAX(F352,0),MAX(0,B341-IF($A353&gt;='1-Input'!$C$12,'1-Input'!$B$12,0)))))*(1/(1-'P-Parametri'!$B$6*B353))))</f>
        <v>18569.120198439508</v>
      </c>
      <c r="D353" s="18">
        <f>IF($A353&gt;'1-Input'!$B$26,F352,(F352-MAX(0,B341-IF($A353&gt;='1-Input'!$C$12,'1-Input'!$B$12,0))+C353*(1-'P-Parametri'!$B$6*B353))*(1+'1-Input'!$B$27))</f>
        <v>83105.01757746574</v>
      </c>
      <c r="E353" s="18">
        <f>IF($A353&gt;'1-Input'!$B$26,G352,(G352-C353)*(1+$B$4))</f>
        <v>222207.78937794591</v>
      </c>
      <c r="F353" s="18">
        <f>IF($A353&gt;'1-Input'!$B$26,D353,D353-'P-Parametri'!$B$8*(E353+D353)+MIN(MAX(E353,0),'P-Parametri'!$B$8*(E353+D353)))</f>
        <v>83105.01757746574</v>
      </c>
      <c r="G353" s="18">
        <f>IF($A353&gt;'1-Input'!$B$26,E353,E353-MIN(MAX(E353,0),'P-Parametri'!$B$8*(E353+D353)))</f>
        <v>221597.1637640351</v>
      </c>
      <c r="H353" s="18">
        <f>IF($A353&gt;'1-Input'!$B$26,H352,H352-C353*(1-B353))</f>
        <v>146204.79186924591</v>
      </c>
      <c r="I353" s="11">
        <f>IF($A353&gt;'1-Input'!$B$26,0,IF(N352&lt;=0,0,MAX(0,(N352-O352)/N352)))</f>
        <v>0.32634423840644244</v>
      </c>
      <c r="J353" s="18">
        <f>IF($A353&gt;'1-Input'!$B$26,0,(MAX(0,I341-IF($A353&gt;='1-Input'!$C$12,'1-Input'!$B$12,0))-MIN(MAX(M352,0),MAX(0,I341-IF($A353&gt;='1-Input'!$C$12,'1-Input'!$B$12,0))))*(1/(1-'P-Parametri'!$B$6*I353))+MIN(MAX(0,N352-(MAX(0,I341-IF($A353&gt;='1-Input'!$C$12,'1-Input'!$B$12,0))-MIN(MAX(M352,0),MAX(0,I341-IF($A353&gt;='1-Input'!$C$12,'1-Input'!$B$12,0))))*(1/(1-'P-Parametri'!$B$6*I353))),MAX(0,5*I341-(M352-MIN(MAX(M352,0),MAX(0,I341-IF($A353&gt;='1-Input'!$C$12,'1-Input'!$B$12,0)))))*(1/(1-'P-Parametri'!$B$6*I353))))</f>
        <v>24415.475560886021</v>
      </c>
      <c r="K353" s="18">
        <f>IF($A353&gt;'1-Input'!$B$26,M352,(M352-MAX(0,I341-IF($A353&gt;='1-Input'!$C$12,'1-Input'!$B$12,0))+J353*(1-'P-Parametri'!$B$6*I353))*(1+'1-Input'!$B$27))</f>
        <v>109348.70733877072</v>
      </c>
      <c r="L353" s="18">
        <f>IF($A353&gt;'1-Input'!$B$26,N352,(N352-J353)*(1+$B$4))</f>
        <v>126490.41339722378</v>
      </c>
      <c r="M353" s="18">
        <f>IF($A353&gt;'1-Input'!$B$26,K353,K353-'P-Parametri'!$B$8*(L353+K353)+MIN(MAX(L353,0),'P-Parametri'!$B$8*(L353+K353)))</f>
        <v>109348.70733877072</v>
      </c>
      <c r="N353" s="18">
        <f>IF($A353&gt;'1-Input'!$B$26,L353,L353-MIN(MAX(L353,0),'P-Parametri'!$B$8*(L353+K353)))</f>
        <v>126018.73515575178</v>
      </c>
      <c r="O353" s="18">
        <f>IF($A353&gt;'1-Input'!$B$26,O352,O352-J353*(1-I353))</f>
        <v>83540.191932735994</v>
      </c>
      <c r="P353" s="11">
        <f>IF($A353&gt;'1-Input'!$B$26,0,IF(U352&lt;=0,0,MAX(0,(U352-V352)/U352)))</f>
        <v>0.32907802890743471</v>
      </c>
      <c r="Q353" s="18">
        <f>IF($A353&gt;'1-Input'!$B$26,0,(MAX(0,P341-IF($A353&gt;='1-Input'!$C$12,'1-Input'!$B$12,0))-MIN(MAX(T352,0),MAX(0,P341-IF($A353&gt;='1-Input'!$C$12,'1-Input'!$B$12,0))))*(1/(1-'P-Parametri'!$B$6*P353))+MIN(MAX(0,U352-(MAX(0,P341-IF($A353&gt;='1-Input'!$C$12,'1-Input'!$B$12,0))-MIN(MAX(T352,0),MAX(0,P341-IF($A353&gt;='1-Input'!$C$12,'1-Input'!$B$12,0))))*(1/(1-'P-Parametri'!$B$6*P353))),MAX(0,5*P341-(T352-MIN(MAX(T352,0),MAX(0,P341-IF($A353&gt;='1-Input'!$C$12,'1-Input'!$B$12,0)))))*(1/(1-'P-Parametri'!$B$6*P353))))</f>
        <v>17928.643962230202</v>
      </c>
      <c r="R353" s="18">
        <f>IF($A353&gt;'1-Input'!$B$26,T352,(T352-MAX(0,P341-IF($A353&gt;='1-Input'!$C$12,'1-Input'!$B$12,0))+Q353*(1-'P-Parametri'!$B$6*P353))*(1+'1-Input'!$B$27))</f>
        <v>80234.004123491206</v>
      </c>
      <c r="S353" s="18">
        <f>IF($A353&gt;'1-Input'!$B$26,U352,(U352-Q353)*(1+$B$4))</f>
        <v>232682.58390768056</v>
      </c>
      <c r="T353" s="18">
        <f>IF($A353&gt;'1-Input'!$B$26,R353,R353-'P-Parametri'!$B$8*(S353+R353)+MIN(MAX(S353,0),'P-Parametri'!$B$8*(S353+R353)))</f>
        <v>80234.004123491206</v>
      </c>
      <c r="U353" s="18">
        <f>IF($A353&gt;'1-Input'!$B$26,S353,S353-MIN(MAX(S353,0),'P-Parametri'!$B$8*(S353+R353)))</f>
        <v>232056.7507316182</v>
      </c>
      <c r="V353" s="18">
        <f>IF($A353&gt;'1-Input'!$B$26,V352,V352-Q353*(1-P353))</f>
        <v>153050.84101397279</v>
      </c>
      <c r="W353" s="11">
        <f>IF($A353&gt;'1-Input'!$B$26,0,IF(AB352&lt;=0,0,MAX(0,(AB352-AC352)/AB352)))</f>
        <v>0.32910739031330732</v>
      </c>
      <c r="X353" s="18">
        <f>IF($A353&gt;'1-Input'!$B$26,0,(MAX(0,W341-IF($A353&gt;='1-Input'!$C$12,'1-Input'!$B$12,0))-MIN(MAX(AA352,0),MAX(0,W341-IF($A353&gt;='1-Input'!$C$12,'1-Input'!$B$12,0))))*(1/(1-'P-Parametri'!$B$6*W353))+MIN(MAX(0,AB352-(MAX(0,W341-IF($A353&gt;='1-Input'!$C$12,'1-Input'!$B$12,0))-MIN(MAX(AA352,0),MAX(0,W341-IF($A353&gt;='1-Input'!$C$12,'1-Input'!$B$12,0))))*(1/(1-'P-Parametri'!$B$6*W353))),MAX(0,5*W341-(AA352-MIN(MAX(AA352,0),MAX(0,W341-IF($A353&gt;='1-Input'!$C$12,'1-Input'!$B$12,0)))))*(1/(1-'P-Parametri'!$B$6*W353))))</f>
        <v>17832.538524171538</v>
      </c>
      <c r="Y353" s="18">
        <f>IF($A353&gt;'1-Input'!$B$26,AA352,(AA352-MAX(0,W341-IF($A353&gt;='1-Input'!$C$12,'1-Input'!$B$12,0))+X353*(1-'P-Parametri'!$B$6*W353))*(1+'1-Input'!$B$27))</f>
        <v>79803.248256166989</v>
      </c>
      <c r="Z353" s="18">
        <f>IF($A353&gt;'1-Input'!$B$26,AB352,(AB352-X353)*(1+$B$4))</f>
        <v>234254.22796552154</v>
      </c>
      <c r="AA353" s="18">
        <f>IF($A353&gt;'1-Input'!$B$26,Y353,Y353-'P-Parametri'!$B$8*(Z353+Y353)+MIN(MAX(Z353,0),'P-Parametri'!$B$8*(Z353+Y353)))</f>
        <v>79803.248256166989</v>
      </c>
      <c r="AB353" s="18">
        <f>IF($A353&gt;'1-Input'!$B$26,Z353,Z353-MIN(MAX(Z353,0),'P-Parametri'!$B$8*(Z353+Y353)))</f>
        <v>233626.11301307817</v>
      </c>
      <c r="AC353" s="18">
        <f>IF($A353&gt;'1-Input'!$B$26,AC352,AC352-X353*(1-W353))</f>
        <v>154077.87287248057</v>
      </c>
      <c r="AD353" s="11">
        <f>IF($A353&gt;'1-Input'!$B$26,0,IF(AI352&lt;=0,0,MAX(0,(AI352-AJ352)/AI352)))</f>
        <v>0.32911296185174999</v>
      </c>
      <c r="AE353" s="18">
        <f>IF($A353&gt;'1-Input'!$B$26,0,(MAX(0,AD341-IF($A353&gt;='1-Input'!$C$12,'1-Input'!$B$12,0))-MIN(MAX(AH352,0),MAX(0,AD341-IF($A353&gt;='1-Input'!$C$12,'1-Input'!$B$12,0))))*(1/(1-'P-Parametri'!$B$6*AD353))+MIN(MAX(0,AI352-(MAX(0,AD341-IF($A353&gt;='1-Input'!$C$12,'1-Input'!$B$12,0))-MIN(MAX(AH352,0),MAX(0,AD341-IF($A353&gt;='1-Input'!$C$12,'1-Input'!$B$12,0))))*(1/(1-'P-Parametri'!$B$6*AD353))),MAX(0,5*AD341-(AH352-MIN(MAX(AH352,0),MAX(0,AD341-IF($A353&gt;='1-Input'!$C$12,'1-Input'!$B$12,0)))))*(1/(1-'P-Parametri'!$B$6*AD353))))</f>
        <v>17814.218416586871</v>
      </c>
      <c r="AF353" s="18">
        <f>IF($A353&gt;'1-Input'!$B$26,AH352,(AH352-MAX(0,AD341-IF($A353&gt;='1-Input'!$C$12,'1-Input'!$B$12,0))+AE353*(1-'P-Parametri'!$B$6*AD353))*(1+'1-Input'!$B$27))</f>
        <v>79721.136773578575</v>
      </c>
      <c r="AG353" s="18">
        <f>IF($A353&gt;'1-Input'!$B$26,AI352,(AI352-AE353)*(1+$B$4))</f>
        <v>234553.81899994667</v>
      </c>
      <c r="AH353" s="18">
        <f>IF($A353&gt;'1-Input'!$B$26,AF353,AF353-'P-Parametri'!$B$8*(AG353+AF353)+MIN(MAX(AG353,0),'P-Parametri'!$B$8*(AG353+AF353)))</f>
        <v>79721.136773578575</v>
      </c>
      <c r="AI353" s="18">
        <f>IF($A353&gt;'1-Input'!$B$26,AG353,AG353-MIN(MAX(AG353,0),'P-Parametri'!$B$8*(AG353+AF353)))</f>
        <v>233925.26908839963</v>
      </c>
      <c r="AJ353" s="18">
        <f>IF($A353&gt;'1-Input'!$B$26,AJ352,AJ352-AE353*(1-AD353))</f>
        <v>154273.64403454406</v>
      </c>
      <c r="AK353" s="11">
        <f>IF($A353&gt;'1-Input'!$B$26,0,IF(AP352&lt;=0,0,MAX(0,(AP352-AQ352)/AP352)))</f>
        <v>0.32911296247637734</v>
      </c>
      <c r="AL353" s="18">
        <f>IF($A353&gt;'1-Input'!$B$26,0,(MAX(0,AK341-IF($A353&gt;='1-Input'!$C$12,'1-Input'!$B$12,0))-MIN(MAX(AO352,0),MAX(0,AK341-IF($A353&gt;='1-Input'!$C$12,'1-Input'!$B$12,0))))*(1/(1-'P-Parametri'!$B$6*AK353))+MIN(MAX(0,AP352-(MAX(0,AK341-IF($A353&gt;='1-Input'!$C$12,'1-Input'!$B$12,0))-MIN(MAX(AO352,0),MAX(0,AK341-IF($A353&gt;='1-Input'!$C$12,'1-Input'!$B$12,0))))*(1/(1-'P-Parametri'!$B$6*AK353))),MAX(0,5*AK341-(AO352-MIN(MAX(AO352,0),MAX(0,AK341-IF($A353&gt;='1-Input'!$C$12,'1-Input'!$B$12,0)))))*(1/(1-'P-Parametri'!$B$6*AK353))))</f>
        <v>17814.216361213556</v>
      </c>
      <c r="AM353" s="18">
        <f>IF($A353&gt;'1-Input'!$B$26,AO352,(AO352-MAX(0,AK341-IF($A353&gt;='1-Input'!$C$12,'1-Input'!$B$12,0))+AL353*(1-'P-Parametri'!$B$6*AK353))*(1+'1-Input'!$B$27))</f>
        <v>79721.127561334986</v>
      </c>
      <c r="AN353" s="18">
        <f>IF($A353&gt;'1-Input'!$B$26,AP352,(AP352-AL353)*(1+$B$4))</f>
        <v>234553.85261165909</v>
      </c>
      <c r="AO353" s="18">
        <f>IF($A353&gt;'1-Input'!$B$26,AM353,AM353-'P-Parametri'!$B$8*(AN353+AM353)+MIN(MAX(AN353,0),'P-Parametri'!$B$8*(AN353+AM353)))</f>
        <v>79721.127561334986</v>
      </c>
      <c r="AP353" s="18">
        <f>IF($A353&gt;'1-Input'!$B$26,AN353,AN353-MIN(MAX(AN353,0),'P-Parametri'!$B$8*(AN353+AM353)))</f>
        <v>233925.3026513131</v>
      </c>
      <c r="AQ353" s="18">
        <f>IF($A353&gt;'1-Input'!$B$26,AQ352,AQ352-AL353*(1-AK353))</f>
        <v>154273.66599841998</v>
      </c>
    </row>
    <row r="354" spans="1:43">
      <c r="A354" s="10">
        <f>11</f>
        <v>11</v>
      </c>
      <c r="B354" s="11">
        <f>IF($A354&gt;'1-Input'!$B$26,0,IF(G353&lt;=0,0,MAX(0,(G353-H353)/G353)))</f>
        <v>0.3402226391988924</v>
      </c>
      <c r="C354" s="18">
        <f>IF($A354&gt;'1-Input'!$B$26,0,(MAX(0,B341-IF($A354&gt;='1-Input'!$C$12,'1-Input'!$B$12,0))-MIN(MAX(F353,0),MAX(0,B341-IF($A354&gt;='1-Input'!$C$12,'1-Input'!$B$12,0))))*(1/(1-'P-Parametri'!$B$6*B354))+MIN(MAX(0,G353-(MAX(0,B341-IF($A354&gt;='1-Input'!$C$12,'1-Input'!$B$12,0))-MIN(MAX(F353,0),MAX(0,B341-IF($A354&gt;='1-Input'!$C$12,'1-Input'!$B$12,0))))*(1/(1-'P-Parametri'!$B$6*B354))),MAX(0,5*B341-(F353-MIN(MAX(F353,0),MAX(0,B341-IF($A354&gt;='1-Input'!$C$12,'1-Input'!$B$12,0)))))*(1/(1-'P-Parametri'!$B$6*B354))))</f>
        <v>18629.215318800423</v>
      </c>
      <c r="D354" s="18">
        <f>IF($A354&gt;'1-Input'!$B$26,F353,(F353-MAX(0,B341-IF($A354&gt;='1-Input'!$C$12,'1-Input'!$B$12,0))+C354*(1-'P-Parametri'!$B$6*B354))*(1+'1-Input'!$B$27))</f>
        <v>83105.01757746574</v>
      </c>
      <c r="E354" s="18">
        <f>IF($A354&gt;'1-Input'!$B$26,G353,(G353-C354)*(1+$B$4))</f>
        <v>207027.30741413939</v>
      </c>
      <c r="F354" s="18">
        <f>IF($A354&gt;'1-Input'!$B$26,D354,D354-'P-Parametri'!$B$8*(E354+D354)+MIN(MAX(E354,0),'P-Parametri'!$B$8*(E354+D354)))</f>
        <v>83105.01757746574</v>
      </c>
      <c r="G354" s="18">
        <f>IF($A354&gt;'1-Input'!$B$26,E354,E354-MIN(MAX(E354,0),'P-Parametri'!$B$8*(E354+D354)))</f>
        <v>206447.04276415618</v>
      </c>
      <c r="H354" s="18">
        <f>IF($A354&gt;'1-Input'!$B$26,H353,H353-C354*(1-B354))</f>
        <v>133913.65735241221</v>
      </c>
      <c r="I354" s="11">
        <f>IF($A354&gt;'1-Input'!$B$26,0,IF(N353&lt;=0,0,MAX(0,(N353-O353)/N353)))</f>
        <v>0.33708117424377254</v>
      </c>
      <c r="J354" s="18">
        <f>IF($A354&gt;'1-Input'!$B$26,0,(MAX(0,I341-IF($A354&gt;='1-Input'!$C$12,'1-Input'!$B$12,0))-MIN(MAX(M353,0),MAX(0,I341-IF($A354&gt;='1-Input'!$C$12,'1-Input'!$B$12,0))))*(1/(1-'P-Parametri'!$B$6*I354))+MIN(MAX(0,N353-(MAX(0,I341-IF($A354&gt;='1-Input'!$C$12,'1-Input'!$B$12,0))-MIN(MAX(M353,0),MAX(0,I341-IF($A354&gt;='1-Input'!$C$12,'1-Input'!$B$12,0))))*(1/(1-'P-Parametri'!$B$6*I354))),MAX(0,5*I341-(M353-MIN(MAX(M353,0),MAX(0,I341-IF($A354&gt;='1-Input'!$C$12,'1-Input'!$B$12,0)))))*(1/(1-'P-Parametri'!$B$6*I354))))</f>
        <v>24490.181165199556</v>
      </c>
      <c r="K354" s="18">
        <f>IF($A354&gt;'1-Input'!$B$26,M353,(M353-MAX(0,I341-IF($A354&gt;='1-Input'!$C$12,'1-Input'!$B$12,0))+J354*(1-'P-Parametri'!$B$6*I354))*(1+'1-Input'!$B$27))</f>
        <v>109348.70733877072</v>
      </c>
      <c r="L354" s="18">
        <f>IF($A354&gt;'1-Input'!$B$26,N353,(N353-J354)*(1+$B$4))</f>
        <v>103559.12507036328</v>
      </c>
      <c r="M354" s="18">
        <f>IF($A354&gt;'1-Input'!$B$26,K354,K354-'P-Parametri'!$B$8*(L354+K354)+MIN(MAX(L354,0),'P-Parametri'!$B$8*(L354+K354)))</f>
        <v>109348.70733877072</v>
      </c>
      <c r="N354" s="18">
        <f>IF($A354&gt;'1-Input'!$B$26,L354,L354-MIN(MAX(L354,0),'P-Parametri'!$B$8*(L354+K354)))</f>
        <v>103133.30940554502</v>
      </c>
      <c r="O354" s="18">
        <f>IF($A354&gt;'1-Input'!$B$26,O353,O353-J354*(1-I354))</f>
        <v>67305.189792144622</v>
      </c>
      <c r="P354" s="11">
        <f>IF($A354&gt;'1-Input'!$B$26,0,IF(U353&lt;=0,0,MAX(0,(U353-V353)/U353)))</f>
        <v>0.34045943274030638</v>
      </c>
      <c r="Q354" s="18">
        <f>IF($A354&gt;'1-Input'!$B$26,0,(MAX(0,P341-IF($A354&gt;='1-Input'!$C$12,'1-Input'!$B$12,0))-MIN(MAX(T353,0),MAX(0,P341-IF($A354&gt;='1-Input'!$C$12,'1-Input'!$B$12,0))))*(1/(1-'P-Parametri'!$B$6*P354))+MIN(MAX(0,U353-(MAX(0,P341-IF($A354&gt;='1-Input'!$C$12,'1-Input'!$B$12,0))-MIN(MAX(T353,0),MAX(0,P341-IF($A354&gt;='1-Input'!$C$12,'1-Input'!$B$12,0))))*(1/(1-'P-Parametri'!$B$6*P354))),MAX(0,5*P341-(T353-MIN(MAX(T353,0),MAX(0,P341-IF($A354&gt;='1-Input'!$C$12,'1-Input'!$B$12,0)))))*(1/(1-'P-Parametri'!$B$6*P354))))</f>
        <v>17986.850158505942</v>
      </c>
      <c r="R354" s="18">
        <f>IF($A354&gt;'1-Input'!$B$26,T353,(T353-MAX(0,P341-IF($A354&gt;='1-Input'!$C$12,'1-Input'!$B$12,0))+Q354*(1-'P-Parametri'!$B$6*P354))*(1+'1-Input'!$B$27))</f>
        <v>80234.004123491206</v>
      </c>
      <c r="S354" s="18">
        <f>IF($A354&gt;'1-Input'!$B$26,U353,(U353-Q354)*(1+$B$4))</f>
        <v>218351.29858457448</v>
      </c>
      <c r="T354" s="18">
        <f>IF($A354&gt;'1-Input'!$B$26,R354,R354-'P-Parametri'!$B$8*(S354+R354)+MIN(MAX(S354,0),'P-Parametri'!$B$8*(S354+R354)))</f>
        <v>80234.004123491206</v>
      </c>
      <c r="U354" s="18">
        <f>IF($A354&gt;'1-Input'!$B$26,S354,S354-MIN(MAX(S354,0),'P-Parametri'!$B$8*(S354+R354)))</f>
        <v>217754.12797915837</v>
      </c>
      <c r="V354" s="18">
        <f>IF($A354&gt;'1-Input'!$B$26,V353,V353-Q354*(1-P354))</f>
        <v>141187.78365721667</v>
      </c>
      <c r="W354" s="11">
        <f>IF($A354&gt;'1-Input'!$B$26,0,IF(AB353&lt;=0,0,MAX(0,(AB353-AC353)/AB353)))</f>
        <v>0.34049378776483158</v>
      </c>
      <c r="X354" s="18">
        <f>IF($A354&gt;'1-Input'!$B$26,0,(MAX(0,W341-IF($A354&gt;='1-Input'!$C$12,'1-Input'!$B$12,0))-MIN(MAX(AA353,0),MAX(0,W341-IF($A354&gt;='1-Input'!$C$12,'1-Input'!$B$12,0))))*(1/(1-'P-Parametri'!$B$6*W354))+MIN(MAX(0,AB353-(MAX(0,W341-IF($A354&gt;='1-Input'!$C$12,'1-Input'!$B$12,0))-MIN(MAX(AA353,0),MAX(0,W341-IF($A354&gt;='1-Input'!$C$12,'1-Input'!$B$12,0))))*(1/(1-'P-Parametri'!$B$6*W354))),MAX(0,5*W341-(AA353-MIN(MAX(AA353,0),MAX(0,W341-IF($A354&gt;='1-Input'!$C$12,'1-Input'!$B$12,0)))))*(1/(1-'P-Parametri'!$B$6*W354))))</f>
        <v>17890.45867838613</v>
      </c>
      <c r="Y354" s="18">
        <f>IF($A354&gt;'1-Input'!$B$26,AA353,(AA353-MAX(0,W341-IF($A354&gt;='1-Input'!$C$12,'1-Input'!$B$12,0))+X354*(1-'P-Parametri'!$B$6*W354))*(1+'1-Input'!$B$27))</f>
        <v>79803.248256166989</v>
      </c>
      <c r="Z354" s="18">
        <f>IF($A354&gt;'1-Input'!$B$26,AB353,(AB353-X354)*(1+$B$4))</f>
        <v>220050.36742138589</v>
      </c>
      <c r="AA354" s="18">
        <f>IF($A354&gt;'1-Input'!$B$26,Y354,Y354-'P-Parametri'!$B$8*(Z354+Y354)+MIN(MAX(Z354,0),'P-Parametri'!$B$8*(Z354+Y354)))</f>
        <v>79803.248256166989</v>
      </c>
      <c r="AB354" s="18">
        <f>IF($A354&gt;'1-Input'!$B$26,Z354,Z354-MIN(MAX(Z354,0),'P-Parametri'!$B$8*(Z354+Y354)))</f>
        <v>219450.66019003079</v>
      </c>
      <c r="AC354" s="18">
        <f>IF($A354&gt;'1-Input'!$B$26,AC353,AC353-X354*(1-W354))</f>
        <v>142279.00423434834</v>
      </c>
      <c r="AD354" s="11">
        <f>IF($A354&gt;'1-Input'!$B$26,0,IF(AI353&lt;=0,0,MAX(0,(AI353-AJ353)/AI353)))</f>
        <v>0.34050030321331154</v>
      </c>
      <c r="AE354" s="18">
        <f>IF($A354&gt;'1-Input'!$B$26,0,(MAX(0,AD341-IF($A354&gt;='1-Input'!$C$12,'1-Input'!$B$12,0))-MIN(MAX(AH353,0),MAX(0,AD341-IF($A354&gt;='1-Input'!$C$12,'1-Input'!$B$12,0))))*(1/(1-'P-Parametri'!$B$6*AD354))+MIN(MAX(0,AI353-(MAX(0,AD341-IF($A354&gt;='1-Input'!$C$12,'1-Input'!$B$12,0))-MIN(MAX(AH353,0),MAX(0,AD341-IF($A354&gt;='1-Input'!$C$12,'1-Input'!$B$12,0))))*(1/(1-'P-Parametri'!$B$6*AD354))),MAX(0,5*AD341-(AH353-MIN(MAX(AH353,0),MAX(0,AD341-IF($A354&gt;='1-Input'!$C$12,'1-Input'!$B$12,0)))))*(1/(1-'P-Parametri'!$B$6*AD354))))</f>
        <v>17872.083971101689</v>
      </c>
      <c r="AF354" s="18">
        <f>IF($A354&gt;'1-Input'!$B$26,AH353,(AH353-MAX(0,AD341-IF($A354&gt;='1-Input'!$C$12,'1-Input'!$B$12,0))+AE354*(1-'P-Parametri'!$B$6*AD354))*(1+'1-Input'!$B$27))</f>
        <v>79721.136773578575</v>
      </c>
      <c r="AG354" s="18">
        <f>IF($A354&gt;'1-Input'!$B$26,AI353,(AI353-AE354)*(1+$B$4))</f>
        <v>220374.24881964389</v>
      </c>
      <c r="AH354" s="18">
        <f>IF($A354&gt;'1-Input'!$B$26,AF354,AF354-'P-Parametri'!$B$8*(AG354+AF354)+MIN(MAX(AG354,0),'P-Parametri'!$B$8*(AG354+AF354)))</f>
        <v>79721.136773578575</v>
      </c>
      <c r="AI354" s="18">
        <f>IF($A354&gt;'1-Input'!$B$26,AG354,AG354-MIN(MAX(AG354,0),'P-Parametri'!$B$8*(AG354+AF354)))</f>
        <v>219774.05804845746</v>
      </c>
      <c r="AJ354" s="18">
        <f>IF($A354&gt;'1-Input'!$B$26,AJ353,AJ353-AE354*(1-AD354))</f>
        <v>142487.01007465625</v>
      </c>
      <c r="AK354" s="11">
        <f>IF($A354&gt;'1-Input'!$B$26,0,IF(AP353&lt;=0,0,MAX(0,(AP353-AQ353)/AP353)))</f>
        <v>0.34050030394369574</v>
      </c>
      <c r="AL354" s="18">
        <f>IF($A354&gt;'1-Input'!$B$26,0,(MAX(0,AK341-IF($A354&gt;='1-Input'!$C$12,'1-Input'!$B$12,0))-MIN(MAX(AO353,0),MAX(0,AK341-IF($A354&gt;='1-Input'!$C$12,'1-Input'!$B$12,0))))*(1/(1-'P-Parametri'!$B$6*AK354))+MIN(MAX(0,AP353-(MAX(0,AK341-IF($A354&gt;='1-Input'!$C$12,'1-Input'!$B$12,0))-MIN(MAX(AO353,0),MAX(0,AK341-IF($A354&gt;='1-Input'!$C$12,'1-Input'!$B$12,0))))*(1/(1-'P-Parametri'!$B$6*AK354))),MAX(0,5*AK341-(AO353-MIN(MAX(AO353,0),MAX(0,AK341-IF($A354&gt;='1-Input'!$C$12,'1-Input'!$B$12,0)))))*(1/(1-'P-Parametri'!$B$6*AK354))))</f>
        <v>17872.081909601413</v>
      </c>
      <c r="AM354" s="18">
        <f>IF($A354&gt;'1-Input'!$B$26,AO353,(AO353-MAX(0,AK341-IF($A354&gt;='1-Input'!$C$12,'1-Input'!$B$12,0))+AL354*(1-'P-Parametri'!$B$6*AK354))*(1+'1-Input'!$B$27))</f>
        <v>79721.127561334986</v>
      </c>
      <c r="AN354" s="18">
        <f>IF($A354&gt;'1-Input'!$B$26,AP353,(AP353-AL354)*(1+$B$4))</f>
        <v>220374.28515654593</v>
      </c>
      <c r="AO354" s="18">
        <f>IF($A354&gt;'1-Input'!$B$26,AM354,AM354-'P-Parametri'!$B$8*(AN354+AM354)+MIN(MAX(AN354,0),'P-Parametri'!$B$8*(AN354+AM354)))</f>
        <v>79721.127561334986</v>
      </c>
      <c r="AP354" s="18">
        <f>IF($A354&gt;'1-Input'!$B$26,AN354,AN354-MIN(MAX(AN354,0),'P-Parametri'!$B$8*(AN354+AM354)))</f>
        <v>219774.09433111016</v>
      </c>
      <c r="AQ354" s="18">
        <f>IF($A354&gt;'1-Input'!$B$26,AQ353,AQ353-AL354*(1-AK354))</f>
        <v>142487.03341114448</v>
      </c>
    </row>
    <row r="355" spans="1:43">
      <c r="A355" s="10">
        <f>12</f>
        <v>12</v>
      </c>
      <c r="B355" s="11">
        <f>IF($A355&gt;'1-Input'!$B$26,0,IF(G354&lt;=0,0,MAX(0,(G354-H354)/G354)))</f>
        <v>0.35134136309525954</v>
      </c>
      <c r="C355" s="18">
        <f>IF($A355&gt;'1-Input'!$B$26,0,(MAX(0,B341-IF($A355&gt;='1-Input'!$C$12,'1-Input'!$B$12,0))-MIN(MAX(F354,0),MAX(0,B341-IF($A355&gt;='1-Input'!$C$12,'1-Input'!$B$12,0))))*(1/(1-'P-Parametri'!$B$6*B355))+MIN(MAX(0,G354-(MAX(0,B341-IF($A355&gt;='1-Input'!$C$12,'1-Input'!$B$12,0))-MIN(MAX(F354,0),MAX(0,B341-IF($A355&gt;='1-Input'!$C$12,'1-Input'!$B$12,0))))*(1/(1-'P-Parametri'!$B$6*B355))),MAX(0,5*B341-(F354-MIN(MAX(F354,0),MAX(0,B341-IF($A355&gt;='1-Input'!$C$12,'1-Input'!$B$12,0)))))*(1/(1-'P-Parametri'!$B$6*B355))))</f>
        <v>18688.484049966919</v>
      </c>
      <c r="D355" s="18">
        <f>IF($A355&gt;'1-Input'!$B$26,F354,(F354-MAX(0,B341-IF($A355&gt;='1-Input'!$C$12,'1-Input'!$B$12,0))+C355*(1-'P-Parametri'!$B$6*B355))*(1+'1-Input'!$B$27))</f>
        <v>83105.01757746574</v>
      </c>
      <c r="E355" s="18">
        <f>IF($A355&gt;'1-Input'!$B$26,G354,(G354-C355)*(1+$B$4))</f>
        <v>191513.72988847306</v>
      </c>
      <c r="F355" s="18">
        <f>IF($A355&gt;'1-Input'!$B$26,D355,D355-'P-Parametri'!$B$8*(E355+D355)+MIN(MAX(E355,0),'P-Parametri'!$B$8*(E355+D355)))</f>
        <v>83105.01757746574</v>
      </c>
      <c r="G355" s="18">
        <f>IF($A355&gt;'1-Input'!$B$26,E355,E355-MIN(MAX(E355,0),'P-Parametri'!$B$8*(E355+D355)))</f>
        <v>190964.49239354118</v>
      </c>
      <c r="H355" s="18">
        <f>IF($A355&gt;'1-Input'!$B$26,H354,H354-C355*(1-B355))</f>
        <v>121791.21076274468</v>
      </c>
      <c r="I355" s="11">
        <f>IF($A355&gt;'1-Input'!$B$26,0,IF(N354&lt;=0,0,MAX(0,(N354-O354)/N354)))</f>
        <v>0.34739619837578956</v>
      </c>
      <c r="J355" s="18">
        <f>IF($A355&gt;'1-Input'!$B$26,0,(MAX(0,I341-IF($A355&gt;='1-Input'!$C$12,'1-Input'!$B$12,0))-MIN(MAX(M354,0),MAX(0,I341-IF($A355&gt;='1-Input'!$C$12,'1-Input'!$B$12,0))))*(1/(1-'P-Parametri'!$B$6*I355))+MIN(MAX(0,N354-(MAX(0,I341-IF($A355&gt;='1-Input'!$C$12,'1-Input'!$B$12,0))-MIN(MAX(M354,0),MAX(0,I341-IF($A355&gt;='1-Input'!$C$12,'1-Input'!$B$12,0))))*(1/(1-'P-Parametri'!$B$6*I355))),MAX(0,5*I341-(M354-MIN(MAX(M354,0),MAX(0,I341-IF($A355&gt;='1-Input'!$C$12,'1-Input'!$B$12,0)))))*(1/(1-'P-Parametri'!$B$6*I355))))</f>
        <v>24562.383025158884</v>
      </c>
      <c r="K355" s="18">
        <f>IF($A355&gt;'1-Input'!$B$26,M354,(M354-MAX(0,I341-IF($A355&gt;='1-Input'!$C$12,'1-Input'!$B$12,0))+J355*(1-'P-Parametri'!$B$6*I355))*(1+'1-Input'!$B$27))</f>
        <v>109348.70733877072</v>
      </c>
      <c r="L355" s="18">
        <f>IF($A355&gt;'1-Input'!$B$26,N354,(N354-J355)*(1+$B$4))</f>
        <v>80142.344907993858</v>
      </c>
      <c r="M355" s="18">
        <f>IF($A355&gt;'1-Input'!$B$26,K355,K355-'P-Parametri'!$B$8*(L355+K355)+MIN(MAX(L355,0),'P-Parametri'!$B$8*(L355+K355)))</f>
        <v>109348.70733877072</v>
      </c>
      <c r="N355" s="18">
        <f>IF($A355&gt;'1-Input'!$B$26,L355,L355-MIN(MAX(L355,0),'P-Parametri'!$B$8*(L355+K355)))</f>
        <v>79763.362803500335</v>
      </c>
      <c r="O355" s="18">
        <f>IF($A355&gt;'1-Input'!$B$26,O354,O354-J355*(1-I355))</f>
        <v>51275.685252975964</v>
      </c>
      <c r="P355" s="11">
        <f>IF($A355&gt;'1-Input'!$B$26,0,IF(U354&lt;=0,0,MAX(0,(U354-V354)/U354)))</f>
        <v>0.35161833684856708</v>
      </c>
      <c r="Q355" s="18">
        <f>IF($A355&gt;'1-Input'!$B$26,0,(MAX(0,P341-IF($A355&gt;='1-Input'!$C$12,'1-Input'!$B$12,0))-MIN(MAX(T354,0),MAX(0,P341-IF($A355&gt;='1-Input'!$C$12,'1-Input'!$B$12,0))))*(1/(1-'P-Parametri'!$B$6*P355))+MIN(MAX(0,U354-(MAX(0,P341-IF($A355&gt;='1-Input'!$C$12,'1-Input'!$B$12,0))-MIN(MAX(T354,0),MAX(0,P341-IF($A355&gt;='1-Input'!$C$12,'1-Input'!$B$12,0))))*(1/(1-'P-Parametri'!$B$6*P355))),MAX(0,5*P341-(T354-MIN(MAX(T354,0),MAX(0,P341-IF($A355&gt;='1-Input'!$C$12,'1-Input'!$B$12,0)))))*(1/(1-'P-Parametri'!$B$6*P355))))</f>
        <v>18044.286557590734</v>
      </c>
      <c r="R355" s="18">
        <f>IF($A355&gt;'1-Input'!$B$26,T354,(T354-MAX(0,P341-IF($A355&gt;='1-Input'!$C$12,'1-Input'!$B$12,0))+Q355*(1-'P-Parametri'!$B$6*P355))*(1+'1-Input'!$B$27))</f>
        <v>80234.004123491206</v>
      </c>
      <c r="S355" s="18">
        <f>IF($A355&gt;'1-Input'!$B$26,U354,(U354-Q355)*(1+$B$4))</f>
        <v>203704.03824999899</v>
      </c>
      <c r="T355" s="18">
        <f>IF($A355&gt;'1-Input'!$B$26,R355,R355-'P-Parametri'!$B$8*(S355+R355)+MIN(MAX(S355,0),'P-Parametri'!$B$8*(S355+R355)))</f>
        <v>80234.004123491206</v>
      </c>
      <c r="U355" s="18">
        <f>IF($A355&gt;'1-Input'!$B$26,S355,S355-MIN(MAX(S355,0),'P-Parametri'!$B$8*(S355+R355)))</f>
        <v>203136.16216525203</v>
      </c>
      <c r="V355" s="18">
        <f>IF($A355&gt;'1-Input'!$B$26,V354,V354-Q355*(1-P355))</f>
        <v>129488.19912862494</v>
      </c>
      <c r="W355" s="11">
        <f>IF($A355&gt;'1-Input'!$B$26,0,IF(AB354&lt;=0,0,MAX(0,(AB354-AC354)/AB354)))</f>
        <v>0.35165834492754106</v>
      </c>
      <c r="X355" s="18">
        <f>IF($A355&gt;'1-Input'!$B$26,0,(MAX(0,W341-IF($A355&gt;='1-Input'!$C$12,'1-Input'!$B$12,0))-MIN(MAX(AA354,0),MAX(0,W341-IF($A355&gt;='1-Input'!$C$12,'1-Input'!$B$12,0))))*(1/(1-'P-Parametri'!$B$6*W355))+MIN(MAX(0,AB354-(MAX(0,W341-IF($A355&gt;='1-Input'!$C$12,'1-Input'!$B$12,0))-MIN(MAX(AA354,0),MAX(0,W341-IF($A355&gt;='1-Input'!$C$12,'1-Input'!$B$12,0))))*(1/(1-'P-Parametri'!$B$6*W355))),MAX(0,5*W341-(AA354-MIN(MAX(AA354,0),MAX(0,W341-IF($A355&gt;='1-Input'!$C$12,'1-Input'!$B$12,0)))))*(1/(1-'P-Parametri'!$B$6*W355))))</f>
        <v>17947.616871467748</v>
      </c>
      <c r="Y355" s="18">
        <f>IF($A355&gt;'1-Input'!$B$26,AA354,(AA354-MAX(0,W341-IF($A355&gt;='1-Input'!$C$12,'1-Input'!$B$12,0))+X355*(1-'P-Parametri'!$B$6*W355))*(1+'1-Input'!$B$27))</f>
        <v>79803.248256166989</v>
      </c>
      <c r="Z355" s="18">
        <f>IF($A355&gt;'1-Input'!$B$26,AB354,(AB354-X355)*(1+$B$4))</f>
        <v>205533.10418493429</v>
      </c>
      <c r="AA355" s="18">
        <f>IF($A355&gt;'1-Input'!$B$26,Y355,Y355-'P-Parametri'!$B$8*(Z355+Y355)+MIN(MAX(Z355,0),'P-Parametri'!$B$8*(Z355+Y355)))</f>
        <v>79803.248256166989</v>
      </c>
      <c r="AB355" s="18">
        <f>IF($A355&gt;'1-Input'!$B$26,Z355,Z355-MIN(MAX(Z355,0),'P-Parametri'!$B$8*(Z355+Y355)))</f>
        <v>204962.4314800521</v>
      </c>
      <c r="AC355" s="18">
        <f>IF($A355&gt;'1-Input'!$B$26,AC354,AC354-X355*(1-W355))</f>
        <v>130642.81660729455</v>
      </c>
      <c r="AD355" s="11">
        <f>IF($A355&gt;'1-Input'!$B$26,0,IF(AI354&lt;=0,0,MAX(0,(AI354-AJ354)/AI354)))</f>
        <v>0.35166592754437093</v>
      </c>
      <c r="AE355" s="18">
        <f>IF($A355&gt;'1-Input'!$B$26,0,(MAX(0,AD341-IF($A355&gt;='1-Input'!$C$12,'1-Input'!$B$12,0))-MIN(MAX(AH354,0),MAX(0,AD341-IF($A355&gt;='1-Input'!$C$12,'1-Input'!$B$12,0))))*(1/(1-'P-Parametri'!$B$6*AD355))+MIN(MAX(0,AI354-(MAX(0,AD341-IF($A355&gt;='1-Input'!$C$12,'1-Input'!$B$12,0))-MIN(MAX(AH354,0),MAX(0,AD341-IF($A355&gt;='1-Input'!$C$12,'1-Input'!$B$12,0))))*(1/(1-'P-Parametri'!$B$6*AD355))),MAX(0,5*AD341-(AH354-MIN(MAX(AH354,0),MAX(0,AD341-IF($A355&gt;='1-Input'!$C$12,'1-Input'!$B$12,0)))))*(1/(1-'P-Parametri'!$B$6*AD355))))</f>
        <v>17929.189040651872</v>
      </c>
      <c r="AF355" s="18">
        <f>IF($A355&gt;'1-Input'!$B$26,AH354,(AH354-MAX(0,AD341-IF($A355&gt;='1-Input'!$C$12,'1-Input'!$B$12,0))+AE355*(1-'P-Parametri'!$B$6*AD355))*(1+'1-Input'!$B$27))</f>
        <v>79721.136773578575</v>
      </c>
      <c r="AG355" s="18">
        <f>IF($A355&gt;'1-Input'!$B$26,AI354,(AI354-AE355)*(1+$B$4))</f>
        <v>205881.76638796172</v>
      </c>
      <c r="AH355" s="18">
        <f>IF($A355&gt;'1-Input'!$B$26,AF355,AF355-'P-Parametri'!$B$8*(AG355+AF355)+MIN(MAX(AG355,0),'P-Parametri'!$B$8*(AG355+AF355)))</f>
        <v>79721.136773578575</v>
      </c>
      <c r="AI355" s="18">
        <f>IF($A355&gt;'1-Input'!$B$26,AG355,AG355-MIN(MAX(AG355,0),'P-Parametri'!$B$8*(AG355+AF355)))</f>
        <v>205310.56058163862</v>
      </c>
      <c r="AJ355" s="18">
        <f>IF($A355&gt;'1-Input'!$B$26,AJ354,AJ354-AE355*(1-AD355))</f>
        <v>130862.90592810359</v>
      </c>
      <c r="AK355" s="11">
        <f>IF($A355&gt;'1-Input'!$B$26,0,IF(AP354&lt;=0,0,MAX(0,(AP354-AQ354)/AP354)))</f>
        <v>0.35166592839429706</v>
      </c>
      <c r="AL355" s="18">
        <f>IF($A355&gt;'1-Input'!$B$26,0,(MAX(0,AK341-IF($A355&gt;='1-Input'!$C$12,'1-Input'!$B$12,0))-MIN(MAX(AO354,0),MAX(0,AK341-IF($A355&gt;='1-Input'!$C$12,'1-Input'!$B$12,0))))*(1/(1-'P-Parametri'!$B$6*AK355))+MIN(MAX(0,AP354-(MAX(0,AK341-IF($A355&gt;='1-Input'!$C$12,'1-Input'!$B$12,0))-MIN(MAX(AO354,0),MAX(0,AK341-IF($A355&gt;='1-Input'!$C$12,'1-Input'!$B$12,0))))*(1/(1-'P-Parametri'!$B$6*AK355))),MAX(0,5*AK341-(AO354-MIN(MAX(AO354,0),MAX(0,AK341-IF($A355&gt;='1-Input'!$C$12,'1-Input'!$B$12,0)))))*(1/(1-'P-Parametri'!$B$6*AK355))))</f>
        <v>17929.186973189939</v>
      </c>
      <c r="AM355" s="18">
        <f>IF($A355&gt;'1-Input'!$B$26,AO354,(AO354-MAX(0,AK341-IF($A355&gt;='1-Input'!$C$12,'1-Input'!$B$12,0))+AL355*(1-'P-Parametri'!$B$6*AK355))*(1+'1-Input'!$B$27))</f>
        <v>79721.127561334986</v>
      </c>
      <c r="AN355" s="18">
        <f>IF($A355&gt;'1-Input'!$B$26,AP354,(AP354-AL355)*(1+$B$4))</f>
        <v>205881.80550507864</v>
      </c>
      <c r="AO355" s="18">
        <f>IF($A355&gt;'1-Input'!$B$26,AM355,AM355-'P-Parametri'!$B$8*(AN355+AM355)+MIN(MAX(AN355,0),'P-Parametri'!$B$8*(AN355+AM355)))</f>
        <v>79721.127561334986</v>
      </c>
      <c r="AP355" s="18">
        <f>IF($A355&gt;'1-Input'!$B$26,AN355,AN355-MIN(MAX(AN355,0),'P-Parametri'!$B$8*(AN355+AM355)))</f>
        <v>205310.5996389458</v>
      </c>
      <c r="AQ355" s="18">
        <f>IF($A355&gt;'1-Input'!$B$26,AQ354,AQ354-AL355*(1-AK355))</f>
        <v>130862.93062023632</v>
      </c>
    </row>
    <row r="356" spans="1:43">
      <c r="A356" s="10">
        <f>13</f>
        <v>13</v>
      </c>
      <c r="B356" s="11">
        <f>IF($A356&gt;'1-Input'!$B$26,0,IF(G355&lt;=0,0,MAX(0,(G355-H355)/G355)))</f>
        <v>0.3622311182763947</v>
      </c>
      <c r="C356" s="18">
        <f>IF($A356&gt;'1-Input'!$B$26,0,(MAX(0,B341-IF($A356&gt;='1-Input'!$C$12,'1-Input'!$B$12,0))-MIN(MAX(F355,0),MAX(0,B341-IF($A356&gt;='1-Input'!$C$12,'1-Input'!$B$12,0))))*(1/(1-'P-Parametri'!$B$6*B356))+MIN(MAX(0,G355-(MAX(0,B341-IF($A356&gt;='1-Input'!$C$12,'1-Input'!$B$12,0))-MIN(MAX(F355,0),MAX(0,B341-IF($A356&gt;='1-Input'!$C$12,'1-Input'!$B$12,0))))*(1/(1-'P-Parametri'!$B$6*B356))),MAX(0,5*B341-(F355-MIN(MAX(F355,0),MAX(0,B341-IF($A356&gt;='1-Input'!$C$12,'1-Input'!$B$12,0)))))*(1/(1-'P-Parametri'!$B$6*B356))))</f>
        <v>18746.898955206412</v>
      </c>
      <c r="D356" s="18">
        <f>IF($A356&gt;'1-Input'!$B$26,F355,(F355-MAX(0,B341-IF($A356&gt;='1-Input'!$C$12,'1-Input'!$B$12,0))+C356*(1-'P-Parametri'!$B$6*B356))*(1+'1-Input'!$B$27))</f>
        <v>83105.01757746574</v>
      </c>
      <c r="E356" s="18">
        <f>IF($A356&gt;'1-Input'!$B$26,G355,(G355-C356)*(1+$B$4))</f>
        <v>175661.94530710147</v>
      </c>
      <c r="F356" s="18">
        <f>IF($A356&gt;'1-Input'!$B$26,D356,D356-'P-Parametri'!$B$8*(E356+D356)+MIN(MAX(E356,0),'P-Parametri'!$B$8*(E356+D356)))</f>
        <v>83105.01757746574</v>
      </c>
      <c r="G356" s="18">
        <f>IF($A356&gt;'1-Input'!$B$26,E356,E356-MIN(MAX(E356,0),'P-Parametri'!$B$8*(E356+D356)))</f>
        <v>175144.41138133235</v>
      </c>
      <c r="H356" s="18">
        <f>IF($A356&gt;'1-Input'!$B$26,H355,H355-C356*(1-B356))</f>
        <v>109835.02198029726</v>
      </c>
      <c r="I356" s="11">
        <f>IF($A356&gt;'1-Input'!$B$26,0,IF(N355&lt;=0,0,MAX(0,(N355-O355)/N355)))</f>
        <v>0.35715241370533363</v>
      </c>
      <c r="J356" s="18">
        <f>IF($A356&gt;'1-Input'!$B$26,0,(MAX(0,I341-IF($A356&gt;='1-Input'!$C$12,'1-Input'!$B$12,0))-MIN(MAX(M355,0),MAX(0,I341-IF($A356&gt;='1-Input'!$C$12,'1-Input'!$B$12,0))))*(1/(1-'P-Parametri'!$B$6*I356))+MIN(MAX(0,N355-(MAX(0,I341-IF($A356&gt;='1-Input'!$C$12,'1-Input'!$B$12,0))-MIN(MAX(M355,0),MAX(0,I341-IF($A356&gt;='1-Input'!$C$12,'1-Input'!$B$12,0))))*(1/(1-'P-Parametri'!$B$6*I356))),MAX(0,5*I341-(M355-MIN(MAX(M355,0),MAX(0,I341-IF($A356&gt;='1-Input'!$C$12,'1-Input'!$B$12,0)))))*(1/(1-'P-Parametri'!$B$6*I356))))</f>
        <v>24631.066258009268</v>
      </c>
      <c r="K356" s="18">
        <f>IF($A356&gt;'1-Input'!$B$26,M355,(M355-MAX(0,I341-IF($A356&gt;='1-Input'!$C$12,'1-Input'!$B$12,0))+J356*(1-'P-Parametri'!$B$6*I356))*(1+'1-Input'!$B$27))</f>
        <v>109348.70733877072</v>
      </c>
      <c r="L356" s="18">
        <f>IF($A356&gt;'1-Input'!$B$26,N355,(N355-J356)*(1+$B$4))</f>
        <v>56234.942476400887</v>
      </c>
      <c r="M356" s="18">
        <f>IF($A356&gt;'1-Input'!$B$26,K356,K356-'P-Parametri'!$B$8*(L356+K356)+MIN(MAX(L356,0),'P-Parametri'!$B$8*(L356+K356)))</f>
        <v>109348.70733877072</v>
      </c>
      <c r="N356" s="18">
        <f>IF($A356&gt;'1-Input'!$B$26,L356,L356-MIN(MAX(L356,0),'P-Parametri'!$B$8*(L356+K356)))</f>
        <v>55903.775176770541</v>
      </c>
      <c r="O356" s="18">
        <f>IF($A356&gt;'1-Input'!$B$26,O355,O355-J356*(1-I356))</f>
        <v>35441.663761150703</v>
      </c>
      <c r="P356" s="11">
        <f>IF($A356&gt;'1-Input'!$B$26,0,IF(U355&lt;=0,0,MAX(0,(U355-V355)/U355)))</f>
        <v>0.36255466408149523</v>
      </c>
      <c r="Q356" s="18">
        <f>IF($A356&gt;'1-Input'!$B$26,0,(MAX(0,P341-IF($A356&gt;='1-Input'!$C$12,'1-Input'!$B$12,0))-MIN(MAX(T355,0),MAX(0,P341-IF($A356&gt;='1-Input'!$C$12,'1-Input'!$B$12,0))))*(1/(1-'P-Parametri'!$B$6*P356))+MIN(MAX(0,U355-(MAX(0,P341-IF($A356&gt;='1-Input'!$C$12,'1-Input'!$B$12,0))-MIN(MAX(T355,0),MAX(0,P341-IF($A356&gt;='1-Input'!$C$12,'1-Input'!$B$12,0))))*(1/(1-'P-Parametri'!$B$6*P356))),MAX(0,5*P341-(T355-MIN(MAX(T355,0),MAX(0,P341-IF($A356&gt;='1-Input'!$C$12,'1-Input'!$B$12,0)))))*(1/(1-'P-Parametri'!$B$6*P356))))</f>
        <v>18100.934355504483</v>
      </c>
      <c r="R356" s="18">
        <f>IF($A356&gt;'1-Input'!$B$26,T355,(T355-MAX(0,P341-IF($A356&gt;='1-Input'!$C$12,'1-Input'!$B$12,0))+Q356*(1-'P-Parametri'!$B$6*P356))*(1+'1-Input'!$B$27))</f>
        <v>80234.004123491206</v>
      </c>
      <c r="S356" s="18">
        <f>IF($A356&gt;'1-Input'!$B$26,U355,(U355-Q356)*(1+$B$4))</f>
        <v>188735.93236594248</v>
      </c>
      <c r="T356" s="18">
        <f>IF($A356&gt;'1-Input'!$B$26,R356,R356-'P-Parametri'!$B$8*(S356+R356)+MIN(MAX(S356,0),'P-Parametri'!$B$8*(S356+R356)))</f>
        <v>80234.004123491206</v>
      </c>
      <c r="U356" s="18">
        <f>IF($A356&gt;'1-Input'!$B$26,S356,S356-MIN(MAX(S356,0),'P-Parametri'!$B$8*(S356+R356)))</f>
        <v>188197.99249296362</v>
      </c>
      <c r="V356" s="18">
        <f>IF($A356&gt;'1-Input'!$B$26,V355,V355-Q356*(1-P356))</f>
        <v>117949.84294794158</v>
      </c>
      <c r="W356" s="11">
        <f>IF($A356&gt;'1-Input'!$B$26,0,IF(AB355&lt;=0,0,MAX(0,(AB355-AC355)/AB355)))</f>
        <v>0.36260115737351939</v>
      </c>
      <c r="X356" s="18">
        <f>IF($A356&gt;'1-Input'!$B$26,0,(MAX(0,W341-IF($A356&gt;='1-Input'!$C$12,'1-Input'!$B$12,0))-MIN(MAX(AA355,0),MAX(0,W341-IF($A356&gt;='1-Input'!$C$12,'1-Input'!$B$12,0))))*(1/(1-'P-Parametri'!$B$6*W356))+MIN(MAX(0,AB355-(MAX(0,W341-IF($A356&gt;='1-Input'!$C$12,'1-Input'!$B$12,0))-MIN(MAX(AA355,0),MAX(0,W341-IF($A356&gt;='1-Input'!$C$12,'1-Input'!$B$12,0))))*(1/(1-'P-Parametri'!$B$6*W356))),MAX(0,5*W341-(AA355-MIN(MAX(AA355,0),MAX(0,W341-IF($A356&gt;='1-Input'!$C$12,'1-Input'!$B$12,0)))))*(1/(1-'P-Parametri'!$B$6*W356))))</f>
        <v>18003.99535137686</v>
      </c>
      <c r="Y356" s="18">
        <f>IF($A356&gt;'1-Input'!$B$26,AA355,(AA355-MAX(0,W341-IF($A356&gt;='1-Input'!$C$12,'1-Input'!$B$12,0))+X356*(1-'P-Parametri'!$B$6*W356))*(1+'1-Input'!$B$27))</f>
        <v>79803.248256166989</v>
      </c>
      <c r="Z356" s="18">
        <f>IF($A356&gt;'1-Input'!$B$26,AB355,(AB355-X356)*(1+$B$4))</f>
        <v>190697.60485124876</v>
      </c>
      <c r="AA356" s="18">
        <f>IF($A356&gt;'1-Input'!$B$26,Y356,Y356-'P-Parametri'!$B$8*(Z356+Y356)+MIN(MAX(Z356,0),'P-Parametri'!$B$8*(Z356+Y356)))</f>
        <v>79803.248256166989</v>
      </c>
      <c r="AB356" s="18">
        <f>IF($A356&gt;'1-Input'!$B$26,Z356,Z356-MIN(MAX(Z356,0),'P-Parametri'!$B$8*(Z356+Y356)))</f>
        <v>190156.60314503394</v>
      </c>
      <c r="AC356" s="18">
        <f>IF($A356&gt;'1-Input'!$B$26,AC355,AC355-X356*(1-W356))</f>
        <v>119167.09080767439</v>
      </c>
      <c r="AD356" s="11">
        <f>IF($A356&gt;'1-Input'!$B$26,0,IF(AI355&lt;=0,0,MAX(0,(AI355-AJ355)/AI355)))</f>
        <v>0.36260996240342958</v>
      </c>
      <c r="AE356" s="18">
        <f>IF($A356&gt;'1-Input'!$B$26,0,(MAX(0,AD341-IF($A356&gt;='1-Input'!$C$12,'1-Input'!$B$12,0))-MIN(MAX(AH355,0),MAX(0,AD341-IF($A356&gt;='1-Input'!$C$12,'1-Input'!$B$12,0))))*(1/(1-'P-Parametri'!$B$6*AD356))+MIN(MAX(0,AI355-(MAX(0,AD341-IF($A356&gt;='1-Input'!$C$12,'1-Input'!$B$12,0))-MIN(MAX(AH355,0),MAX(0,AD341-IF($A356&gt;='1-Input'!$C$12,'1-Input'!$B$12,0))))*(1/(1-'P-Parametri'!$B$6*AD356))),MAX(0,5*AD341-(AH355-MIN(MAX(AH355,0),MAX(0,AD341-IF($A356&gt;='1-Input'!$C$12,'1-Input'!$B$12,0)))))*(1/(1-'P-Parametri'!$B$6*AD356))))</f>
        <v>17985.516067496814</v>
      </c>
      <c r="AF356" s="18">
        <f>IF($A356&gt;'1-Input'!$B$26,AH355,(AH355-MAX(0,AD341-IF($A356&gt;='1-Input'!$C$12,'1-Input'!$B$12,0))+AE356*(1-'P-Parametri'!$B$6*AD356))*(1+'1-Input'!$B$27))</f>
        <v>79721.136773578575</v>
      </c>
      <c r="AG356" s="18">
        <f>IF($A356&gt;'1-Input'!$B$26,AI355,(AI355-AE356)*(1+$B$4))</f>
        <v>191071.54540442463</v>
      </c>
      <c r="AH356" s="18">
        <f>IF($A356&gt;'1-Input'!$B$26,AF356,AF356-'P-Parametri'!$B$8*(AG356+AF356)+MIN(MAX(AG356,0),'P-Parametri'!$B$8*(AG356+AF356)))</f>
        <v>79721.136773578575</v>
      </c>
      <c r="AI356" s="18">
        <f>IF($A356&gt;'1-Input'!$B$26,AG356,AG356-MIN(MAX(AG356,0),'P-Parametri'!$B$8*(AG356+AF356)))</f>
        <v>190529.96004006863</v>
      </c>
      <c r="AJ356" s="18">
        <f>IF($A356&gt;'1-Input'!$B$26,AJ355,AJ355-AE356*(1-AD356))</f>
        <v>119399.11716564807</v>
      </c>
      <c r="AK356" s="11">
        <f>IF($A356&gt;'1-Input'!$B$26,0,IF(AP355&lt;=0,0,MAX(0,(AP355-AQ355)/AP355)))</f>
        <v>0.3626099633902552</v>
      </c>
      <c r="AL356" s="18">
        <f>IF($A356&gt;'1-Input'!$B$26,0,(MAX(0,AK341-IF($A356&gt;='1-Input'!$C$12,'1-Input'!$B$12,0))-MIN(MAX(AO355,0),MAX(0,AK341-IF($A356&gt;='1-Input'!$C$12,'1-Input'!$B$12,0))))*(1/(1-'P-Parametri'!$B$6*AK356))+MIN(MAX(0,AP355-(MAX(0,AK341-IF($A356&gt;='1-Input'!$C$12,'1-Input'!$B$12,0))-MIN(MAX(AO355,0),MAX(0,AK341-IF($A356&gt;='1-Input'!$C$12,'1-Input'!$B$12,0))))*(1/(1-'P-Parametri'!$B$6*AK356))),MAX(0,5*AK341-(AO355-MIN(MAX(AO355,0),MAX(0,AK341-IF($A356&gt;='1-Input'!$C$12,'1-Input'!$B$12,0)))))*(1/(1-'P-Parametri'!$B$6*AK356))))</f>
        <v>17985.513994260218</v>
      </c>
      <c r="AM356" s="18">
        <f>IF($A356&gt;'1-Input'!$B$26,AO355,(AO355-MAX(0,AK341-IF($A356&gt;='1-Input'!$C$12,'1-Input'!$B$12,0))+AL356*(1-'P-Parametri'!$B$6*AK356))*(1+'1-Input'!$B$27))</f>
        <v>79721.127561334986</v>
      </c>
      <c r="AN356" s="18">
        <f>IF($A356&gt;'1-Input'!$B$26,AP355,(AP355-AL356)*(1+$B$4))</f>
        <v>191071.58735757929</v>
      </c>
      <c r="AO356" s="18">
        <f>IF($A356&gt;'1-Input'!$B$26,AM356,AM356-'P-Parametri'!$B$8*(AN356+AM356)+MIN(MAX(AN356,0),'P-Parametri'!$B$8*(AN356+AM356)))</f>
        <v>79721.127561334986</v>
      </c>
      <c r="AP356" s="18">
        <f>IF($A356&gt;'1-Input'!$B$26,AN356,AN356-MIN(MAX(AN356,0),'P-Parametri'!$B$8*(AN356+AM356)))</f>
        <v>190530.00192774145</v>
      </c>
      <c r="AQ356" s="18">
        <f>IF($A356&gt;'1-Input'!$B$26,AQ355,AQ355-AL356*(1-AK356))</f>
        <v>119399.14319698972</v>
      </c>
    </row>
    <row r="357" spans="1:43">
      <c r="A357" s="10">
        <f>14</f>
        <v>14</v>
      </c>
      <c r="B357" s="11">
        <f>IF($A357&gt;'1-Input'!$B$26,0,IF(G356&lt;=0,0,MAX(0,(G356-H356)/G356)))</f>
        <v>0.37288880008189657</v>
      </c>
      <c r="C357" s="18">
        <f>IF($A357&gt;'1-Input'!$B$26,0,(MAX(0,B341-IF($A357&gt;='1-Input'!$C$12,'1-Input'!$B$12,0))-MIN(MAX(F356,0),MAX(0,B341-IF($A357&gt;='1-Input'!$C$12,'1-Input'!$B$12,0))))*(1/(1-'P-Parametri'!$B$6*B357))+MIN(MAX(0,G356-(MAX(0,B341-IF($A357&gt;='1-Input'!$C$12,'1-Input'!$B$12,0))-MIN(MAX(F356,0),MAX(0,B341-IF($A357&gt;='1-Input'!$C$12,'1-Input'!$B$12,0))))*(1/(1-'P-Parametri'!$B$6*B357))),MAX(0,5*B341-(F356-MIN(MAX(F356,0),MAX(0,B341-IF($A357&gt;='1-Input'!$C$12,'1-Input'!$B$12,0)))))*(1/(1-'P-Parametri'!$B$6*B357))))</f>
        <v>18804.423641993693</v>
      </c>
      <c r="D357" s="18">
        <f>IF($A357&gt;'1-Input'!$B$26,F356,(F356-MAX(0,B341-IF($A357&gt;='1-Input'!$C$12,'1-Input'!$B$12,0))+C357*(1-'P-Parametri'!$B$6*B357))*(1+'1-Input'!$B$27))</f>
        <v>83105.01757746574</v>
      </c>
      <c r="E357" s="18">
        <f>IF($A357&gt;'1-Input'!$B$26,G356,(G356-C357)*(1+$B$4))</f>
        <v>159466.78749412543</v>
      </c>
      <c r="F357" s="18">
        <f>IF($A357&gt;'1-Input'!$B$26,D357,D357-'P-Parametri'!$B$8*(E357+D357)+MIN(MAX(E357,0),'P-Parametri'!$B$8*(E357+D357)))</f>
        <v>83105.01757746574</v>
      </c>
      <c r="G357" s="18">
        <f>IF($A357&gt;'1-Input'!$B$26,E357,E357-MIN(MAX(E357,0),'P-Parametri'!$B$8*(E357+D357)))</f>
        <v>158981.64388398224</v>
      </c>
      <c r="H357" s="18">
        <f>IF($A357&gt;'1-Input'!$B$26,H356,H356-C357*(1-B357))</f>
        <v>98042.557306398245</v>
      </c>
      <c r="I357" s="11">
        <f>IF($A357&gt;'1-Input'!$B$26,0,IF(N356&lt;=0,0,MAX(0,(N356-O356)/N356)))</f>
        <v>0.36602378553000431</v>
      </c>
      <c r="J357" s="18">
        <f>IF($A357&gt;'1-Input'!$B$26,0,(MAX(0,I341-IF($A357&gt;='1-Input'!$C$12,'1-Input'!$B$12,0))-MIN(MAX(M356,0),MAX(0,I341-IF($A357&gt;='1-Input'!$C$12,'1-Input'!$B$12,0))))*(1/(1-'P-Parametri'!$B$6*I357))+MIN(MAX(0,N356-(MAX(0,I341-IF($A357&gt;='1-Input'!$C$12,'1-Input'!$B$12,0))-MIN(MAX(M356,0),MAX(0,I341-IF($A357&gt;='1-Input'!$C$12,'1-Input'!$B$12,0))))*(1/(1-'P-Parametri'!$B$6*I357))),MAX(0,5*I341-(M356-MIN(MAX(M356,0),MAX(0,I341-IF($A357&gt;='1-Input'!$C$12,'1-Input'!$B$12,0)))))*(1/(1-'P-Parametri'!$B$6*I357))))</f>
        <v>24693.854528391817</v>
      </c>
      <c r="K357" s="18">
        <f>IF($A357&gt;'1-Input'!$B$26,M356,(M356-MAX(0,I341-IF($A357&gt;='1-Input'!$C$12,'1-Input'!$B$12,0))+J357*(1-'P-Parametri'!$B$6*I357))*(1+'1-Input'!$B$27))</f>
        <v>109348.70733877072</v>
      </c>
      <c r="L357" s="18">
        <f>IF($A357&gt;'1-Input'!$B$26,N356,(N356-J357)*(1+$B$4))</f>
        <v>31834.1190613463</v>
      </c>
      <c r="M357" s="18">
        <f>IF($A357&gt;'1-Input'!$B$26,K357,K357-'P-Parametri'!$B$8*(L357+K357)+MIN(MAX(L357,0),'P-Parametri'!$B$8*(L357+K357)))</f>
        <v>109348.70733877072</v>
      </c>
      <c r="N357" s="18">
        <f>IF($A357&gt;'1-Input'!$B$26,L357,L357-MIN(MAX(L357,0),'P-Parametri'!$B$8*(L357+K357)))</f>
        <v>31551.753408546065</v>
      </c>
      <c r="O357" s="18">
        <f>IF($A357&gt;'1-Input'!$B$26,O356,O356-J357*(1-I357))</f>
        <v>19786.347346568102</v>
      </c>
      <c r="P357" s="11">
        <f>IF($A357&gt;'1-Input'!$B$26,0,IF(U356&lt;=0,0,MAX(0,(U356-V356)/U356)))</f>
        <v>0.37326726292071627</v>
      </c>
      <c r="Q357" s="18">
        <f>IF($A357&gt;'1-Input'!$B$26,0,(MAX(0,P341-IF($A357&gt;='1-Input'!$C$12,'1-Input'!$B$12,0))-MIN(MAX(T356,0),MAX(0,P341-IF($A357&gt;='1-Input'!$C$12,'1-Input'!$B$12,0))))*(1/(1-'P-Parametri'!$B$6*P357))+MIN(MAX(0,U356-(MAX(0,P341-IF($A357&gt;='1-Input'!$C$12,'1-Input'!$B$12,0))-MIN(MAX(T356,0),MAX(0,P341-IF($A357&gt;='1-Input'!$C$12,'1-Input'!$B$12,0))))*(1/(1-'P-Parametri'!$B$6*P357))),MAX(0,5*P341-(T356-MIN(MAX(T356,0),MAX(0,P341-IF($A357&gt;='1-Input'!$C$12,'1-Input'!$B$12,0)))))*(1/(1-'P-Parametri'!$B$6*P357))))</f>
        <v>18156.769190221446</v>
      </c>
      <c r="R357" s="18">
        <f>IF($A357&gt;'1-Input'!$B$26,T356,(T356-MAX(0,P341-IF($A357&gt;='1-Input'!$C$12,'1-Input'!$B$12,0))+Q357*(1-'P-Parametri'!$B$6*P357))*(1+'1-Input'!$B$27))</f>
        <v>80234.004123491206</v>
      </c>
      <c r="S357" s="18">
        <f>IF($A357&gt;'1-Input'!$B$26,U356,(U356-Q357)*(1+$B$4))</f>
        <v>173442.04776879703</v>
      </c>
      <c r="T357" s="18">
        <f>IF($A357&gt;'1-Input'!$B$26,R357,R357-'P-Parametri'!$B$8*(S357+R357)+MIN(MAX(S357,0),'P-Parametri'!$B$8*(S357+R357)))</f>
        <v>80234.004123491206</v>
      </c>
      <c r="U357" s="18">
        <f>IF($A357&gt;'1-Input'!$B$26,S357,S357-MIN(MAX(S357,0),'P-Parametri'!$B$8*(S357+R357)))</f>
        <v>172934.69566501246</v>
      </c>
      <c r="V357" s="18">
        <f>IF($A357&gt;'1-Input'!$B$26,V356,V356-Q357*(1-P357))</f>
        <v>106570.40129683728</v>
      </c>
      <c r="W357" s="11">
        <f>IF($A357&gt;'1-Input'!$B$26,0,IF(AB356&lt;=0,0,MAX(0,(AB356-AC356)/AB356)))</f>
        <v>0.37332131076834224</v>
      </c>
      <c r="X357" s="18">
        <f>IF($A357&gt;'1-Input'!$B$26,0,(MAX(0,W341-IF($A357&gt;='1-Input'!$C$12,'1-Input'!$B$12,0))-MIN(MAX(AA356,0),MAX(0,W341-IF($A357&gt;='1-Input'!$C$12,'1-Input'!$B$12,0))))*(1/(1-'P-Parametri'!$B$6*W357))+MIN(MAX(0,AB356-(MAX(0,W341-IF($A357&gt;='1-Input'!$C$12,'1-Input'!$B$12,0))-MIN(MAX(AA356,0),MAX(0,W341-IF($A357&gt;='1-Input'!$C$12,'1-Input'!$B$12,0))))*(1/(1-'P-Parametri'!$B$6*W357))),MAX(0,5*W341-(AA356-MIN(MAX(AA356,0),MAX(0,W341-IF($A357&gt;='1-Input'!$C$12,'1-Input'!$B$12,0)))))*(1/(1-'P-Parametri'!$B$6*W357))))</f>
        <v>18059.571193263811</v>
      </c>
      <c r="Y357" s="18">
        <f>IF($A357&gt;'1-Input'!$B$26,AA356,(AA356-MAX(0,W341-IF($A357&gt;='1-Input'!$C$12,'1-Input'!$B$12,0))+X357*(1-'P-Parametri'!$B$6*W357))*(1+'1-Input'!$B$27))</f>
        <v>79803.248256166989</v>
      </c>
      <c r="Z357" s="18">
        <f>IF($A357&gt;'1-Input'!$B$26,AB356,(AB356-X357)*(1+$B$4))</f>
        <v>175538.97259080553</v>
      </c>
      <c r="AA357" s="18">
        <f>IF($A357&gt;'1-Input'!$B$26,Y357,Y357-'P-Parametri'!$B$8*(Z357+Y357)+MIN(MAX(Z357,0),'P-Parametri'!$B$8*(Z357+Y357)))</f>
        <v>79803.248256166989</v>
      </c>
      <c r="AB357" s="18">
        <f>IF($A357&gt;'1-Input'!$B$26,Z357,Z357-MIN(MAX(Z357,0),'P-Parametri'!$B$8*(Z357+Y357)))</f>
        <v>175028.28814911158</v>
      </c>
      <c r="AC357" s="18">
        <f>IF($A357&gt;'1-Input'!$B$26,AC356,AC356-X357*(1-W357))</f>
        <v>107849.54240419403</v>
      </c>
      <c r="AD357" s="11">
        <f>IF($A357&gt;'1-Input'!$B$26,0,IF(AI356&lt;=0,0,MAX(0,(AI356-AJ356)/AI356)))</f>
        <v>0.37333153725252277</v>
      </c>
      <c r="AE357" s="18">
        <f>IF($A357&gt;'1-Input'!$B$26,0,(MAX(0,AD341-IF($A357&gt;='1-Input'!$C$12,'1-Input'!$B$12,0))-MIN(MAX(AH356,0),MAX(0,AD341-IF($A357&gt;='1-Input'!$C$12,'1-Input'!$B$12,0))))*(1/(1-'P-Parametri'!$B$6*AD357))+MIN(MAX(0,AI356-(MAX(0,AD341-IF($A357&gt;='1-Input'!$C$12,'1-Input'!$B$12,0))-MIN(MAX(AH356,0),MAX(0,AD341-IF($A357&gt;='1-Input'!$C$12,'1-Input'!$B$12,0))))*(1/(1-'P-Parametri'!$B$6*AD357))),MAX(0,5*AD341-(AH356-MIN(MAX(AH356,0),MAX(0,AD341-IF($A357&gt;='1-Input'!$C$12,'1-Input'!$B$12,0)))))*(1/(1-'P-Parametri'!$B$6*AD357))))</f>
        <v>18041.042391496456</v>
      </c>
      <c r="AF357" s="18">
        <f>IF($A357&gt;'1-Input'!$B$26,AH356,(AH356-MAX(0,AD341-IF($A357&gt;='1-Input'!$C$12,'1-Input'!$B$12,0))+AE357*(1-'P-Parametri'!$B$6*AD357))*(1+'1-Input'!$B$27))</f>
        <v>79721.136773578575</v>
      </c>
      <c r="AG357" s="18">
        <f>IF($A357&gt;'1-Input'!$B$26,AI356,(AI356-AE357)*(1+$B$4))</f>
        <v>175938.69600154363</v>
      </c>
      <c r="AH357" s="18">
        <f>IF($A357&gt;'1-Input'!$B$26,AF357,AF357-'P-Parametri'!$B$8*(AG357+AF357)+MIN(MAX(AG357,0),'P-Parametri'!$B$8*(AG357+AF357)))</f>
        <v>79721.136773578575</v>
      </c>
      <c r="AI357" s="18">
        <f>IF($A357&gt;'1-Input'!$B$26,AG357,AG357-MIN(MAX(AG357,0),'P-Parametri'!$B$8*(AG357+AF357)))</f>
        <v>175427.37633599338</v>
      </c>
      <c r="AJ357" s="18">
        <f>IF($A357&gt;'1-Input'!$B$26,AJ356,AJ356-AE357*(1-AD357))</f>
        <v>108093.36486380691</v>
      </c>
      <c r="AK357" s="11">
        <f>IF($A357&gt;'1-Input'!$B$26,0,IF(AP356&lt;=0,0,MAX(0,(AP356-AQ356)/AP356)))</f>
        <v>0.37333153839849392</v>
      </c>
      <c r="AL357" s="18">
        <f>IF($A357&gt;'1-Input'!$B$26,0,(MAX(0,AK341-IF($A357&gt;='1-Input'!$C$12,'1-Input'!$B$12,0))-MIN(MAX(AO356,0),MAX(0,AK341-IF($A357&gt;='1-Input'!$C$12,'1-Input'!$B$12,0))))*(1/(1-'P-Parametri'!$B$6*AK357))+MIN(MAX(0,AP356-(MAX(0,AK341-IF($A357&gt;='1-Input'!$C$12,'1-Input'!$B$12,0))-MIN(MAX(AO356,0),MAX(0,AK341-IF($A357&gt;='1-Input'!$C$12,'1-Input'!$B$12,0))))*(1/(1-'P-Parametri'!$B$6*AK357))),MAX(0,5*AK341-(AO356-MIN(MAX(AO356,0),MAX(0,AK341-IF($A357&gt;='1-Input'!$C$12,'1-Input'!$B$12,0)))))*(1/(1-'P-Parametri'!$B$6*AK357))))</f>
        <v>18041.040312701723</v>
      </c>
      <c r="AM357" s="18">
        <f>IF($A357&gt;'1-Input'!$B$26,AO356,(AO356-MAX(0,AK341-IF($A357&gt;='1-Input'!$C$12,'1-Input'!$B$12,0))+AL357*(1-'P-Parametri'!$B$6*AK357))*(1+'1-Input'!$B$27))</f>
        <v>79721.127561334986</v>
      </c>
      <c r="AN357" s="18">
        <f>IF($A357&gt;'1-Input'!$B$26,AP356,(AP356-AL357)*(1+$B$4))</f>
        <v>175938.74084734052</v>
      </c>
      <c r="AO357" s="18">
        <f>IF($A357&gt;'1-Input'!$B$26,AM357,AM357-'P-Parametri'!$B$8*(AN357+AM357)+MIN(MAX(AN357,0),'P-Parametri'!$B$8*(AN357+AM357)))</f>
        <v>79721.127561334986</v>
      </c>
      <c r="AP357" s="18">
        <f>IF($A357&gt;'1-Input'!$B$26,AN357,AN357-MIN(MAX(AN357,0),'P-Parametri'!$B$8*(AN357+AM357)))</f>
        <v>175427.42111052317</v>
      </c>
      <c r="AQ357" s="18">
        <f>IF($A357&gt;'1-Input'!$B$26,AQ356,AQ356-AL357*(1-AK357))</f>
        <v>108093.39221853818</v>
      </c>
    </row>
    <row r="358" spans="1:43">
      <c r="A358" s="10">
        <f>15</f>
        <v>15</v>
      </c>
      <c r="B358" s="11">
        <f>IF($A358&gt;'1-Input'!$B$26,0,IF(G357&lt;=0,0,MAX(0,(G357-H357)/G357)))</f>
        <v>0.38330894742826183</v>
      </c>
      <c r="C358" s="18">
        <f>IF($A358&gt;'1-Input'!$B$26,0,(MAX(0,B341-IF($A358&gt;='1-Input'!$C$12,'1-Input'!$B$12,0))-MIN(MAX(F357,0),MAX(0,B341-IF($A358&gt;='1-Input'!$C$12,'1-Input'!$B$12,0))))*(1/(1-'P-Parametri'!$B$6*B358))+MIN(MAX(0,G357-(MAX(0,B341-IF($A358&gt;='1-Input'!$C$12,'1-Input'!$B$12,0))-MIN(MAX(F357,0),MAX(0,B341-IF($A358&gt;='1-Input'!$C$12,'1-Input'!$B$12,0))))*(1/(1-'P-Parametri'!$B$6*B358))),MAX(0,5*B341-(F357-MIN(MAX(F357,0),MAX(0,B341-IF($A358&gt;='1-Input'!$C$12,'1-Input'!$B$12,0)))))*(1/(1-'P-Parametri'!$B$6*B358))))</f>
        <v>18861.008580344573</v>
      </c>
      <c r="D358" s="18">
        <f>IF($A358&gt;'1-Input'!$B$26,F357,(F357-MAX(0,B341-IF($A358&gt;='1-Input'!$C$12,'1-Input'!$B$12,0))+C358*(1-'P-Parametri'!$B$6*B358))*(1+'1-Input'!$B$27))</f>
        <v>83105.01757746574</v>
      </c>
      <c r="E358" s="18">
        <f>IF($A358&gt;'1-Input'!$B$26,G357,(G357-C358)*(1+$B$4))</f>
        <v>142923.04800971042</v>
      </c>
      <c r="F358" s="18">
        <f>IF($A358&gt;'1-Input'!$B$26,D358,D358-'P-Parametri'!$B$8*(E358+D358)+MIN(MAX(E358,0),'P-Parametri'!$B$8*(E358+D358)))</f>
        <v>83105.01757746574</v>
      </c>
      <c r="G358" s="18">
        <f>IF($A358&gt;'1-Input'!$B$26,E358,E358-MIN(MAX(E358,0),'P-Parametri'!$B$8*(E358+D358)))</f>
        <v>142470.99187853606</v>
      </c>
      <c r="H358" s="18">
        <f>IF($A358&gt;'1-Input'!$B$26,H357,H357-C358*(1-B358))</f>
        <v>86411.14207242096</v>
      </c>
      <c r="I358" s="11">
        <f>IF($A358&gt;'1-Input'!$B$26,0,IF(N357&lt;=0,0,MAX(0,(N357-O357)/N357)))</f>
        <v>0.37289230521151329</v>
      </c>
      <c r="J358" s="18">
        <f>IF($A358&gt;'1-Input'!$B$26,0,(MAX(0,I341-IF($A358&gt;='1-Input'!$C$12,'1-Input'!$B$12,0))-MIN(MAX(M357,0),MAX(0,I341-IF($A358&gt;='1-Input'!$C$12,'1-Input'!$B$12,0))))*(1/(1-'P-Parametri'!$B$6*I358))+MIN(MAX(0,N357-(MAX(0,I341-IF($A358&gt;='1-Input'!$C$12,'1-Input'!$B$12,0))-MIN(MAX(M357,0),MAX(0,I341-IF($A358&gt;='1-Input'!$C$12,'1-Input'!$B$12,0))))*(1/(1-'P-Parametri'!$B$6*I358))),MAX(0,5*I341-(M357-MIN(MAX(M357,0),MAX(0,I341-IF($A358&gt;='1-Input'!$C$12,'1-Input'!$B$12,0)))))*(1/(1-'P-Parametri'!$B$6*I358))))</f>
        <v>24742.68765651685</v>
      </c>
      <c r="K358" s="18">
        <f>IF($A358&gt;'1-Input'!$B$26,M357,(M357-MAX(0,I341-IF($A358&gt;='1-Input'!$C$12,'1-Input'!$B$12,0))+J358*(1-'P-Parametri'!$B$6*I358))*(1+'1-Input'!$B$27))</f>
        <v>109348.70733877072</v>
      </c>
      <c r="L358" s="18">
        <f>IF($A358&gt;'1-Input'!$B$26,N357,(N357-J358)*(1+$B$4))</f>
        <v>6945.2470670697994</v>
      </c>
      <c r="M358" s="18">
        <f>IF($A358&gt;'1-Input'!$B$26,K358,K358-'P-Parametri'!$B$8*(L358+K358)+MIN(MAX(L358,0),'P-Parametri'!$B$8*(L358+K358)))</f>
        <v>109348.70733877072</v>
      </c>
      <c r="N358" s="18">
        <f>IF($A358&gt;'1-Input'!$B$26,L358,L358-MIN(MAX(L358,0),'P-Parametri'!$B$8*(L358+K358)))</f>
        <v>6712.6591582581186</v>
      </c>
      <c r="O358" s="18">
        <f>IF($A358&gt;'1-Input'!$B$26,O357,O357-J358*(1-I358))</f>
        <v>4270.0175274182766</v>
      </c>
      <c r="P358" s="11">
        <f>IF($A358&gt;'1-Input'!$B$26,0,IF(U357&lt;=0,0,MAX(0,(U357-V357)/U357)))</f>
        <v>0.38375349789106411</v>
      </c>
      <c r="Q358" s="18">
        <f>IF($A358&gt;'1-Input'!$B$26,0,(MAX(0,P341-IF($A358&gt;='1-Input'!$C$12,'1-Input'!$B$12,0))-MIN(MAX(T357,0),MAX(0,P341-IF($A358&gt;='1-Input'!$C$12,'1-Input'!$B$12,0))))*(1/(1-'P-Parametri'!$B$6*P358))+MIN(MAX(0,U357-(MAX(0,P341-IF($A358&gt;='1-Input'!$C$12,'1-Input'!$B$12,0))-MIN(MAX(T357,0),MAX(0,P341-IF($A358&gt;='1-Input'!$C$12,'1-Input'!$B$12,0))))*(1/(1-'P-Parametri'!$B$6*P358))),MAX(0,5*P341-(T357-MIN(MAX(T357,0),MAX(0,P341-IF($A358&gt;='1-Input'!$C$12,'1-Input'!$B$12,0)))))*(1/(1-'P-Parametri'!$B$6*P358))))</f>
        <v>18211.758830032039</v>
      </c>
      <c r="R358" s="18">
        <f>IF($A358&gt;'1-Input'!$B$26,T357,(T357-MAX(0,P341-IF($A358&gt;='1-Input'!$C$12,'1-Input'!$B$12,0))+Q358*(1-'P-Parametri'!$B$6*P358))*(1+'1-Input'!$B$27))</f>
        <v>80234.004123491206</v>
      </c>
      <c r="S358" s="18">
        <f>IF($A358&gt;'1-Input'!$B$26,U357,(U357-Q358)*(1+$B$4))</f>
        <v>157817.39557168001</v>
      </c>
      <c r="T358" s="18">
        <f>IF($A358&gt;'1-Input'!$B$26,R358,R358-'P-Parametri'!$B$8*(S358+R358)+MIN(MAX(S358,0),'P-Parametri'!$B$8*(S358+R358)))</f>
        <v>80234.004123491206</v>
      </c>
      <c r="U358" s="18">
        <f>IF($A358&gt;'1-Input'!$B$26,S358,S358-MIN(MAX(S358,0),'P-Parametri'!$B$8*(S358+R358)))</f>
        <v>157341.29277228966</v>
      </c>
      <c r="V358" s="18">
        <f>IF($A358&gt;'1-Input'!$B$26,V357,V357-Q358*(1-P358))</f>
        <v>95347.468620578511</v>
      </c>
      <c r="W358" s="11">
        <f>IF($A358&gt;'1-Input'!$B$26,0,IF(AB357&lt;=0,0,MAX(0,(AB357-AC357)/AB357)))</f>
        <v>0.38381650449375398</v>
      </c>
      <c r="X358" s="18">
        <f>IF($A358&gt;'1-Input'!$B$26,0,(MAX(0,W341-IF($A358&gt;='1-Input'!$C$12,'1-Input'!$B$12,0))-MIN(MAX(AA357,0),MAX(0,W341-IF($A358&gt;='1-Input'!$C$12,'1-Input'!$B$12,0))))*(1/(1-'P-Parametri'!$B$6*W358))+MIN(MAX(0,AB357-(MAX(0,W341-IF($A358&gt;='1-Input'!$C$12,'1-Input'!$B$12,0))-MIN(MAX(AA357,0),MAX(0,W341-IF($A358&gt;='1-Input'!$C$12,'1-Input'!$B$12,0))))*(1/(1-'P-Parametri'!$B$6*W358))),MAX(0,5*W341-(AA357-MIN(MAX(AA357,0),MAX(0,W341-IF($A358&gt;='1-Input'!$C$12,'1-Input'!$B$12,0)))))*(1/(1-'P-Parametri'!$B$6*W358))))</f>
        <v>18114.314183206061</v>
      </c>
      <c r="Y358" s="18">
        <f>IF($A358&gt;'1-Input'!$B$26,AA357,(AA357-MAX(0,W341-IF($A358&gt;='1-Input'!$C$12,'1-Input'!$B$12,0))+X358*(1-'P-Parametri'!$B$6*W358))*(1+'1-Input'!$B$27))</f>
        <v>79803.248256166989</v>
      </c>
      <c r="Z358" s="18">
        <f>IF($A358&gt;'1-Input'!$B$26,AB357,(AB357-X358)*(1+$B$4))</f>
        <v>160052.25344522364</v>
      </c>
      <c r="AA358" s="18">
        <f>IF($A358&gt;'1-Input'!$B$26,Y358,Y358-'P-Parametri'!$B$8*(Z358+Y358)+MIN(MAX(Z358,0),'P-Parametri'!$B$8*(Z358+Y358)))</f>
        <v>79803.248256166989</v>
      </c>
      <c r="AB358" s="18">
        <f>IF($A358&gt;'1-Input'!$B$26,Z358,Z358-MIN(MAX(Z358,0),'P-Parametri'!$B$8*(Z358+Y358)))</f>
        <v>159572.54244182087</v>
      </c>
      <c r="AC358" s="18">
        <f>IF($A358&gt;'1-Input'!$B$26,AC357,AC357-X358*(1-W358))</f>
        <v>96687.800972087745</v>
      </c>
      <c r="AD358" s="11">
        <f>IF($A358&gt;'1-Input'!$B$26,0,IF(AI357&lt;=0,0,MAX(0,(AI357-AJ357)/AI357)))</f>
        <v>0.3838284130934197</v>
      </c>
      <c r="AE358" s="18">
        <f>IF($A358&gt;'1-Input'!$B$26,0,(MAX(0,AD341-IF($A358&gt;='1-Input'!$C$12,'1-Input'!$B$12,0))-MIN(MAX(AH357,0),MAX(0,AD341-IF($A358&gt;='1-Input'!$C$12,'1-Input'!$B$12,0))))*(1/(1-'P-Parametri'!$B$6*AD358))+MIN(MAX(0,AI357-(MAX(0,AD341-IF($A358&gt;='1-Input'!$C$12,'1-Input'!$B$12,0))-MIN(MAX(AH357,0),MAX(0,AD341-IF($A358&gt;='1-Input'!$C$12,'1-Input'!$B$12,0))))*(1/(1-'P-Parametri'!$B$6*AD358))),MAX(0,5*AD341-(AH357-MIN(MAX(AH357,0),MAX(0,AD341-IF($A358&gt;='1-Input'!$C$12,'1-Input'!$B$12,0)))))*(1/(1-'P-Parametri'!$B$6*AD358))))</f>
        <v>18095.738169142209</v>
      </c>
      <c r="AF358" s="18">
        <f>IF($A358&gt;'1-Input'!$B$26,AH357,(AH357-MAX(0,AD341-IF($A358&gt;='1-Input'!$C$12,'1-Input'!$B$12,0))+AE358*(1-'P-Parametri'!$B$6*AD358))*(1+'1-Input'!$B$27))</f>
        <v>79721.136773578575</v>
      </c>
      <c r="AG358" s="18">
        <f>IF($A358&gt;'1-Input'!$B$26,AI357,(AI357-AE358)*(1+$B$4))</f>
        <v>160478.27093018818</v>
      </c>
      <c r="AH358" s="18">
        <f>IF($A358&gt;'1-Input'!$B$26,AF358,AF358-'P-Parametri'!$B$8*(AG358+AF358)+MIN(MAX(AG358,0),'P-Parametri'!$B$8*(AG358+AF358)))</f>
        <v>79721.136773578575</v>
      </c>
      <c r="AI358" s="18">
        <f>IF($A358&gt;'1-Input'!$B$26,AG358,AG358-MIN(MAX(AG358,0),'P-Parametri'!$B$8*(AG358+AF358)))</f>
        <v>159997.87211478065</v>
      </c>
      <c r="AJ358" s="18">
        <f>IF($A358&gt;'1-Input'!$B$26,AJ357,AJ357-AE358*(1-AD358))</f>
        <v>96943.285159880586</v>
      </c>
      <c r="AK358" s="11">
        <f>IF($A358&gt;'1-Input'!$B$26,0,IF(AP357&lt;=0,0,MAX(0,(AP357-AQ357)/AP357)))</f>
        <v>0.38382841442765697</v>
      </c>
      <c r="AL358" s="18">
        <f>IF($A358&gt;'1-Input'!$B$26,0,(MAX(0,AK341-IF($A358&gt;='1-Input'!$C$12,'1-Input'!$B$12,0))-MIN(MAX(AO357,0),MAX(0,AK341-IF($A358&gt;='1-Input'!$C$12,'1-Input'!$B$12,0))))*(1/(1-'P-Parametri'!$B$6*AK358))+MIN(MAX(0,AP357-(MAX(0,AK341-IF($A358&gt;='1-Input'!$C$12,'1-Input'!$B$12,0))-MIN(MAX(AO357,0),MAX(0,AK341-IF($A358&gt;='1-Input'!$C$12,'1-Input'!$B$12,0))))*(1/(1-'P-Parametri'!$B$6*AK358))),MAX(0,5*AK341-(AO357-MIN(MAX(AO357,0),MAX(0,AK341-IF($A358&gt;='1-Input'!$C$12,'1-Input'!$B$12,0)))))*(1/(1-'P-Parametri'!$B$6*AK358))))</f>
        <v>18095.736085047178</v>
      </c>
      <c r="AM358" s="18">
        <f>IF($A358&gt;'1-Input'!$B$26,AO357,(AO357-MAX(0,AK341-IF($A358&gt;='1-Input'!$C$12,'1-Input'!$B$12,0))+AL358*(1-'P-Parametri'!$B$6*AK358))*(1+'1-Input'!$B$27))</f>
        <v>79721.127561334986</v>
      </c>
      <c r="AN358" s="18">
        <f>IF($A358&gt;'1-Input'!$B$26,AP357,(AP357-AL358)*(1+$B$4))</f>
        <v>160478.3187259855</v>
      </c>
      <c r="AO358" s="18">
        <f>IF($A358&gt;'1-Input'!$B$26,AM358,AM358-'P-Parametri'!$B$8*(AN358+AM358)+MIN(MAX(AN358,0),'P-Parametri'!$B$8*(AN358+AM358)))</f>
        <v>79721.127561334986</v>
      </c>
      <c r="AP358" s="18">
        <f>IF($A358&gt;'1-Input'!$B$26,AN358,AN358-MIN(MAX(AN358,0),'P-Parametri'!$B$8*(AN358+AM358)))</f>
        <v>159997.91983341085</v>
      </c>
      <c r="AQ358" s="18">
        <f>IF($A358&gt;'1-Input'!$B$26,AQ357,AQ357-AL358*(1-AK358))</f>
        <v>96943.313822915996</v>
      </c>
    </row>
    <row r="359" spans="1:43">
      <c r="A359" s="10">
        <f>16</f>
        <v>16</v>
      </c>
      <c r="B359" s="11">
        <f>IF($A359&gt;'1-Input'!$B$26,0,IF(G358&lt;=0,0,MAX(0,(G358-H358)/G358)))</f>
        <v>0.39348255435681284</v>
      </c>
      <c r="C359" s="18">
        <f>IF($A359&gt;'1-Input'!$B$26,0,(MAX(0,B341-IF($A359&gt;='1-Input'!$C$12,'1-Input'!$B$12,0))-MIN(MAX(F358,0),MAX(0,B341-IF($A359&gt;='1-Input'!$C$12,'1-Input'!$B$12,0))))*(1/(1-'P-Parametri'!$B$6*B359))+MIN(MAX(0,G358-(MAX(0,B341-IF($A359&gt;='1-Input'!$C$12,'1-Input'!$B$12,0))-MIN(MAX(F358,0),MAX(0,B341-IF($A359&gt;='1-Input'!$C$12,'1-Input'!$B$12,0))))*(1/(1-'P-Parametri'!$B$6*B359))),MAX(0,5*B341-(F358-MIN(MAX(F358,0),MAX(0,B341-IF($A359&gt;='1-Input'!$C$12,'1-Input'!$B$12,0)))))*(1/(1-'P-Parametri'!$B$6*B359))))</f>
        <v>18916.584240856577</v>
      </c>
      <c r="D359" s="18">
        <f>IF($A359&gt;'1-Input'!$B$26,F358,(F358-MAX(0,B341-IF($A359&gt;='1-Input'!$C$12,'1-Input'!$B$12,0))+C359*(1-'P-Parametri'!$B$6*B359))*(1+'1-Input'!$B$27))</f>
        <v>83105.01757746574</v>
      </c>
      <c r="E359" s="18">
        <f>IF($A359&gt;'1-Input'!$B$26,G358,(G358-C359)*(1+$B$4))</f>
        <v>126025.49579043308</v>
      </c>
      <c r="F359" s="18">
        <f>IF($A359&gt;'1-Input'!$B$26,D359,D359-'P-Parametri'!$B$8*(E359+D359)+MIN(MAX(E359,0),'P-Parametri'!$B$8*(E359+D359)))</f>
        <v>83105.01757746574</v>
      </c>
      <c r="G359" s="18">
        <f>IF($A359&gt;'1-Input'!$B$26,E359,E359-MIN(MAX(E359,0),'P-Parametri'!$B$8*(E359+D359)))</f>
        <v>125607.23476369728</v>
      </c>
      <c r="H359" s="18">
        <f>IF($A359&gt;'1-Input'!$B$26,H358,H358-C359*(1-B359))</f>
        <v>74937.90371836246</v>
      </c>
      <c r="I359" s="11">
        <f>IF($A359&gt;'1-Input'!$B$26,0,IF(N358&lt;=0,0,MAX(0,(N358-O358)/N358)))</f>
        <v>0.36388584214570607</v>
      </c>
      <c r="J359" s="18">
        <f>IF($A359&gt;'1-Input'!$B$26,0,(MAX(0,I341-IF($A359&gt;='1-Input'!$C$12,'1-Input'!$B$12,0))-MIN(MAX(M358,0),MAX(0,I341-IF($A359&gt;='1-Input'!$C$12,'1-Input'!$B$12,0))))*(1/(1-'P-Parametri'!$B$6*I359))+MIN(MAX(0,N358-(MAX(0,I341-IF($A359&gt;='1-Input'!$C$12,'1-Input'!$B$12,0))-MIN(MAX(M358,0),MAX(0,I341-IF($A359&gt;='1-Input'!$C$12,'1-Input'!$B$12,0))))*(1/(1-'P-Parametri'!$B$6*I359))),MAX(0,5*I341-(M358-MIN(MAX(M358,0),MAX(0,I341-IF($A359&gt;='1-Input'!$C$12,'1-Input'!$B$12,0)))))*(1/(1-'P-Parametri'!$B$6*I359))))</f>
        <v>6712.6591582581186</v>
      </c>
      <c r="K359" s="18">
        <f>IF($A359&gt;'1-Input'!$B$26,M358,(M358-MAX(0,I341-IF($A359&gt;='1-Input'!$C$12,'1-Input'!$B$12,0))+J359*(1-'P-Parametri'!$B$6*I359))*(1+'1-Input'!$B$27))</f>
        <v>93141.003598433483</v>
      </c>
      <c r="L359" s="18">
        <f>IF($A359&gt;'1-Input'!$B$26,N358,(N358-J359)*(1+$B$4))</f>
        <v>0</v>
      </c>
      <c r="M359" s="18">
        <f>IF($A359&gt;'1-Input'!$B$26,K359,K359-'P-Parametri'!$B$8*(L359+K359)+MIN(MAX(L359,0),'P-Parametri'!$B$8*(L359+K359)))</f>
        <v>92954.721591236623</v>
      </c>
      <c r="N359" s="18">
        <f>IF($A359&gt;'1-Input'!$B$26,L359,L359-MIN(MAX(L359,0),'P-Parametri'!$B$8*(L359+K359)))</f>
        <v>0</v>
      </c>
      <c r="O359" s="18">
        <f>IF($A359&gt;'1-Input'!$B$26,O358,O358-J359*(1-I359))</f>
        <v>0</v>
      </c>
      <c r="P359" s="11">
        <f>IF($A359&gt;'1-Input'!$B$26,0,IF(U358&lt;=0,0,MAX(0,(U358-V358)/U358)))</f>
        <v>0.39400861057771391</v>
      </c>
      <c r="Q359" s="18">
        <f>IF($A359&gt;'1-Input'!$B$26,0,(MAX(0,P341-IF($A359&gt;='1-Input'!$C$12,'1-Input'!$B$12,0))-MIN(MAX(T358,0),MAX(0,P341-IF($A359&gt;='1-Input'!$C$12,'1-Input'!$B$12,0))))*(1/(1-'P-Parametri'!$B$6*P359))+MIN(MAX(0,U358-(MAX(0,P341-IF($A359&gt;='1-Input'!$C$12,'1-Input'!$B$12,0))-MIN(MAX(T358,0),MAX(0,P341-IF($A359&gt;='1-Input'!$C$12,'1-Input'!$B$12,0))))*(1/(1-'P-Parametri'!$B$6*P359))),MAX(0,5*P341-(T358-MIN(MAX(T358,0),MAX(0,P341-IF($A359&gt;='1-Input'!$C$12,'1-Input'!$B$12,0)))))*(1/(1-'P-Parametri'!$B$6*P359))))</f>
        <v>18265.859577908857</v>
      </c>
      <c r="R359" s="18">
        <f>IF($A359&gt;'1-Input'!$B$26,T358,(T358-MAX(0,P341-IF($A359&gt;='1-Input'!$C$12,'1-Input'!$B$12,0))+Q359*(1-'P-Parametri'!$B$6*P359))*(1+'1-Input'!$B$27))</f>
        <v>80234.004123491206</v>
      </c>
      <c r="S359" s="18">
        <f>IF($A359&gt;'1-Input'!$B$26,U358,(U358-Q359)*(1+$B$4))</f>
        <v>141856.94185826843</v>
      </c>
      <c r="T359" s="18">
        <f>IF($A359&gt;'1-Input'!$B$26,R359,R359-'P-Parametri'!$B$8*(S359+R359)+MIN(MAX(S359,0),'P-Parametri'!$B$8*(S359+R359)))</f>
        <v>80234.004123491206</v>
      </c>
      <c r="U359" s="18">
        <f>IF($A359&gt;'1-Input'!$B$26,S359,S359-MIN(MAX(S359,0),'P-Parametri'!$B$8*(S359+R359)))</f>
        <v>141412.7599663049</v>
      </c>
      <c r="V359" s="18">
        <f>IF($A359&gt;'1-Input'!$B$26,V358,V358-Q359*(1-P359))</f>
        <v>84278.514995969148</v>
      </c>
      <c r="W359" s="11">
        <f>IF($A359&gt;'1-Input'!$B$26,0,IF(AB358&lt;=0,0,MAX(0,(AB358-AC358)/AB358)))</f>
        <v>0.39408246874715619</v>
      </c>
      <c r="X359" s="18">
        <f>IF($A359&gt;'1-Input'!$B$26,0,(MAX(0,W341-IF($A359&gt;='1-Input'!$C$12,'1-Input'!$B$12,0))-MIN(MAX(AA358,0),MAX(0,W341-IF($A359&gt;='1-Input'!$C$12,'1-Input'!$B$12,0))))*(1/(1-'P-Parametri'!$B$6*W359))+MIN(MAX(0,AB358-(MAX(0,W341-IF($A359&gt;='1-Input'!$C$12,'1-Input'!$B$12,0))-MIN(MAX(AA358,0),MAX(0,W341-IF($A359&gt;='1-Input'!$C$12,'1-Input'!$B$12,0))))*(1/(1-'P-Parametri'!$B$6*W359))),MAX(0,5*W341-(AA358-MIN(MAX(AA358,0),MAX(0,W341-IF($A359&gt;='1-Input'!$C$12,'1-Input'!$B$12,0)))))*(1/(1-'P-Parametri'!$B$6*W359))))</f>
        <v>18168.183550768033</v>
      </c>
      <c r="Y359" s="18">
        <f>IF($A359&gt;'1-Input'!$B$26,AA358,(AA358-MAX(0,W341-IF($A359&gt;='1-Input'!$C$12,'1-Input'!$B$12,0))+X359*(1-'P-Parametri'!$B$6*W359))*(1+'1-Input'!$B$27))</f>
        <v>79803.248256166989</v>
      </c>
      <c r="Z359" s="18">
        <f>IF($A359&gt;'1-Input'!$B$26,AB358,(AB358-X359)*(1+$B$4))</f>
        <v>144232.44606887389</v>
      </c>
      <c r="AA359" s="18">
        <f>IF($A359&gt;'1-Input'!$B$26,Y359,Y359-'P-Parametri'!$B$8*(Z359+Y359)+MIN(MAX(Z359,0),'P-Parametri'!$B$8*(Z359+Y359)))</f>
        <v>79803.248256166989</v>
      </c>
      <c r="AB359" s="18">
        <f>IF($A359&gt;'1-Input'!$B$26,Z359,Z359-MIN(MAX(Z359,0),'P-Parametri'!$B$8*(Z359+Y359)))</f>
        <v>143784.37468022382</v>
      </c>
      <c r="AC359" s="18">
        <f>IF($A359&gt;'1-Input'!$B$26,AC358,AC358-X359*(1-W359))</f>
        <v>85679.380047657847</v>
      </c>
      <c r="AD359" s="11">
        <f>IF($A359&gt;'1-Input'!$B$26,0,IF(AI358&lt;=0,0,MAX(0,(AI358-AJ358)/AI358)))</f>
        <v>0.39409640966765747</v>
      </c>
      <c r="AE359" s="18">
        <f>IF($A359&gt;'1-Input'!$B$26,0,(MAX(0,AD341-IF($A359&gt;='1-Input'!$C$12,'1-Input'!$B$12,0))-MIN(MAX(AH358,0),MAX(0,AD341-IF($A359&gt;='1-Input'!$C$12,'1-Input'!$B$12,0))))*(1/(1-'P-Parametri'!$B$6*AD359))+MIN(MAX(0,AI358-(MAX(0,AD341-IF($A359&gt;='1-Input'!$C$12,'1-Input'!$B$12,0))-MIN(MAX(AH358,0),MAX(0,AD341-IF($A359&gt;='1-Input'!$C$12,'1-Input'!$B$12,0))))*(1/(1-'P-Parametri'!$B$6*AD359))),MAX(0,5*AD341-(AH358-MIN(MAX(AH358,0),MAX(0,AD341-IF($A359&gt;='1-Input'!$C$12,'1-Input'!$B$12,0)))))*(1/(1-'P-Parametri'!$B$6*AD359))))</f>
        <v>18149.563165089603</v>
      </c>
      <c r="AF359" s="18">
        <f>IF($A359&gt;'1-Input'!$B$26,AH358,(AH358-MAX(0,AD341-IF($A359&gt;='1-Input'!$C$12,'1-Input'!$B$12,0))+AE359*(1-'P-Parametri'!$B$6*AD359))*(1+'1-Input'!$B$27))</f>
        <v>79721.136773578575</v>
      </c>
      <c r="AG359" s="18">
        <f>IF($A359&gt;'1-Input'!$B$26,AI358,(AI358-AE359)*(1+$B$4))</f>
        <v>144685.27512868485</v>
      </c>
      <c r="AH359" s="18">
        <f>IF($A359&gt;'1-Input'!$B$26,AF359,AF359-'P-Parametri'!$B$8*(AG359+AF359)+MIN(MAX(AG359,0),'P-Parametri'!$B$8*(AG359+AF359)))</f>
        <v>79721.136773578575</v>
      </c>
      <c r="AI359" s="18">
        <f>IF($A359&gt;'1-Input'!$B$26,AG359,AG359-MIN(MAX(AG359,0),'P-Parametri'!$B$8*(AG359+AF359)))</f>
        <v>144236.46230488032</v>
      </c>
      <c r="AJ359" s="18">
        <f>IF($A359&gt;'1-Input'!$B$26,AJ358,AJ358-AE359*(1-AD359))</f>
        <v>85946.399675189168</v>
      </c>
      <c r="AK359" s="11">
        <f>IF($A359&gt;'1-Input'!$B$26,0,IF(AP358&lt;=0,0,MAX(0,(AP358-AQ358)/AP358)))</f>
        <v>0.39409641122926498</v>
      </c>
      <c r="AL359" s="18">
        <f>IF($A359&gt;'1-Input'!$B$26,0,(MAX(0,AK341-IF($A359&gt;='1-Input'!$C$12,'1-Input'!$B$12,0))-MIN(MAX(AO358,0),MAX(0,AK341-IF($A359&gt;='1-Input'!$C$12,'1-Input'!$B$12,0))))*(1/(1-'P-Parametri'!$B$6*AK359))+MIN(MAX(0,AP358-(MAX(0,AK341-IF($A359&gt;='1-Input'!$C$12,'1-Input'!$B$12,0))-MIN(MAX(AO358,0),MAX(0,AK341-IF($A359&gt;='1-Input'!$C$12,'1-Input'!$B$12,0))))*(1/(1-'P-Parametri'!$B$6*AK359))),MAX(0,5*AK341-(AO358-MIN(MAX(AO358,0),MAX(0,AK341-IF($A359&gt;='1-Input'!$C$12,'1-Input'!$B$12,0)))))*(1/(1-'P-Parametri'!$B$6*AK359))))</f>
        <v>18149.561076011749</v>
      </c>
      <c r="AM359" s="18">
        <f>IF($A359&gt;'1-Input'!$B$26,AO358,(AO358-MAX(0,AK341-IF($A359&gt;='1-Input'!$C$12,'1-Input'!$B$12,0))+AL359*(1-'P-Parametri'!$B$6*AK359))*(1+'1-Input'!$B$27))</f>
        <v>79721.127561334986</v>
      </c>
      <c r="AN359" s="18">
        <f>IF($A359&gt;'1-Input'!$B$26,AP358,(AP358-AL359)*(1+$B$4))</f>
        <v>144685.3259325471</v>
      </c>
      <c r="AO359" s="18">
        <f>IF($A359&gt;'1-Input'!$B$26,AM359,AM359-'P-Parametri'!$B$8*(AN359+AM359)+MIN(MAX(AN359,0),'P-Parametri'!$B$8*(AN359+AM359)))</f>
        <v>79721.127561334986</v>
      </c>
      <c r="AP359" s="18">
        <f>IF($A359&gt;'1-Input'!$B$26,AN359,AN359-MIN(MAX(AN359,0),'P-Parametri'!$B$8*(AN359+AM359)))</f>
        <v>144236.51302555934</v>
      </c>
      <c r="AQ359" s="18">
        <f>IF($A359&gt;'1-Input'!$B$26,AQ358,AQ358-AL359*(1-AK359))</f>
        <v>85946.42963234683</v>
      </c>
    </row>
    <row r="360" spans="1:43">
      <c r="A360" s="10">
        <f>17</f>
        <v>17</v>
      </c>
      <c r="B360" s="11">
        <f>IF($A360&gt;'1-Input'!$B$26,0,IF(G359&lt;=0,0,MAX(0,(G359-H359)/G359)))</f>
        <v>0.40339500460031746</v>
      </c>
      <c r="C360" s="18">
        <f>IF($A360&gt;'1-Input'!$B$26,0,(MAX(0,B341-IF($A360&gt;='1-Input'!$C$12,'1-Input'!$B$12,0))-MIN(MAX(F359,0),MAX(0,B341-IF($A360&gt;='1-Input'!$C$12,'1-Input'!$B$12,0))))*(1/(1-'P-Parametri'!$B$6*B360))+MIN(MAX(0,G359-(MAX(0,B341-IF($A360&gt;='1-Input'!$C$12,'1-Input'!$B$12,0))-MIN(MAX(F359,0),MAX(0,B341-IF($A360&gt;='1-Input'!$C$12,'1-Input'!$B$12,0))))*(1/(1-'P-Parametri'!$B$6*B360))),MAX(0,5*B341-(F359-MIN(MAX(F359,0),MAX(0,B341-IF($A360&gt;='1-Input'!$C$12,'1-Input'!$B$12,0)))))*(1/(1-'P-Parametri'!$B$6*B360))))</f>
        <v>18971.049194312316</v>
      </c>
      <c r="D360" s="18">
        <f>IF($A360&gt;'1-Input'!$B$26,F359,(F359-MAX(0,B341-IF($A360&gt;='1-Input'!$C$12,'1-Input'!$B$12,0))+C360*(1-'P-Parametri'!$B$6*B360))*(1+'1-Input'!$B$27))</f>
        <v>83105.01757746574</v>
      </c>
      <c r="E360" s="18">
        <f>IF($A360&gt;'1-Input'!$B$26,G359,(G359-C360)*(1+$B$4))</f>
        <v>108768.90928077267</v>
      </c>
      <c r="F360" s="18">
        <f>IF($A360&gt;'1-Input'!$B$26,D360,D360-'P-Parametri'!$B$8*(E360+D360)+MIN(MAX(E360,0),'P-Parametri'!$B$8*(E360+D360)))</f>
        <v>83105.01757746574</v>
      </c>
      <c r="G360" s="18">
        <f>IF($A360&gt;'1-Input'!$B$26,E360,E360-MIN(MAX(E360,0),'P-Parametri'!$B$8*(E360+D360)))</f>
        <v>108385.1614270562</v>
      </c>
      <c r="H360" s="18">
        <f>IF($A360&gt;'1-Input'!$B$26,H359,H359-C360*(1-B360))</f>
        <v>63619.681001062607</v>
      </c>
      <c r="I360" s="11">
        <f>IF($A360&gt;'1-Input'!$B$26,0,IF(N359&lt;=0,0,MAX(0,(N359-O359)/N359)))</f>
        <v>0</v>
      </c>
      <c r="J360" s="18">
        <f>IF($A360&gt;'1-Input'!$B$26,0,(MAX(0,I341-IF($A360&gt;='1-Input'!$C$12,'1-Input'!$B$12,0))-MIN(MAX(M359,0),MAX(0,I341-IF($A360&gt;='1-Input'!$C$12,'1-Input'!$B$12,0))))*(1/(1-'P-Parametri'!$B$6*I360))+MIN(MAX(0,N359-(MAX(0,I341-IF($A360&gt;='1-Input'!$C$12,'1-Input'!$B$12,0))-MIN(MAX(M359,0),MAX(0,I341-IF($A360&gt;='1-Input'!$C$12,'1-Input'!$B$12,0))))*(1/(1-'P-Parametri'!$B$6*I360))),MAX(0,5*I341-(M359-MIN(MAX(M359,0),MAX(0,I341-IF($A360&gt;='1-Input'!$C$12,'1-Input'!$B$12,0)))))*(1/(1-'P-Parametri'!$B$6*I360))))</f>
        <v>0</v>
      </c>
      <c r="K360" s="18">
        <f>IF($A360&gt;'1-Input'!$B$26,M359,(M359-MAX(0,I341-IF($A360&gt;='1-Input'!$C$12,'1-Input'!$B$12,0))+J360*(1-'P-Parametri'!$B$6*I360))*(1+'1-Input'!$B$27))</f>
        <v>70750.343125754021</v>
      </c>
      <c r="L360" s="18">
        <f>IF($A360&gt;'1-Input'!$B$26,N359,(N359-J360)*(1+$B$4))</f>
        <v>0</v>
      </c>
      <c r="M360" s="18">
        <f>IF($A360&gt;'1-Input'!$B$26,K360,K360-'P-Parametri'!$B$8*(L360+K360)+MIN(MAX(L360,0),'P-Parametri'!$B$8*(L360+K360)))</f>
        <v>70608.842439502507</v>
      </c>
      <c r="N360" s="18">
        <f>IF($A360&gt;'1-Input'!$B$26,L360,L360-MIN(MAX(L360,0),'P-Parametri'!$B$8*(L360+K360)))</f>
        <v>0</v>
      </c>
      <c r="O360" s="18">
        <f>IF($A360&gt;'1-Input'!$B$26,O359,O359-J360*(1-I360))</f>
        <v>0</v>
      </c>
      <c r="P360" s="11">
        <f>IF($A360&gt;'1-Input'!$B$26,0,IF(U359&lt;=0,0,MAX(0,(U359-V359)/U359)))</f>
        <v>0.40402467913043638</v>
      </c>
      <c r="Q360" s="18">
        <f>IF($A360&gt;'1-Input'!$B$26,0,(MAX(0,P341-IF($A360&gt;='1-Input'!$C$12,'1-Input'!$B$12,0))-MIN(MAX(T359,0),MAX(0,P341-IF($A360&gt;='1-Input'!$C$12,'1-Input'!$B$12,0))))*(1/(1-'P-Parametri'!$B$6*P360))+MIN(MAX(0,U359-(MAX(0,P341-IF($A360&gt;='1-Input'!$C$12,'1-Input'!$B$12,0))-MIN(MAX(T359,0),MAX(0,P341-IF($A360&gt;='1-Input'!$C$12,'1-Input'!$B$12,0))))*(1/(1-'P-Parametri'!$B$6*P360))),MAX(0,5*P341-(T359-MIN(MAX(T359,0),MAX(0,P341-IF($A360&gt;='1-Input'!$C$12,'1-Input'!$B$12,0)))))*(1/(1-'P-Parametri'!$B$6*P360))))</f>
        <v>18319.010431008581</v>
      </c>
      <c r="R360" s="18">
        <f>IF($A360&gt;'1-Input'!$B$26,T359,(T359-MAX(0,P341-IF($A360&gt;='1-Input'!$C$12,'1-Input'!$B$12,0))+Q360*(1-'P-Parametri'!$B$6*P360))*(1+'1-Input'!$B$27))</f>
        <v>80234.004123491206</v>
      </c>
      <c r="S360" s="18">
        <f>IF($A360&gt;'1-Input'!$B$26,U359,(U359-Q360)*(1+$B$4))</f>
        <v>125555.62452600224</v>
      </c>
      <c r="T360" s="18">
        <f>IF($A360&gt;'1-Input'!$B$26,R360,R360-'P-Parametri'!$B$8*(S360+R360)+MIN(MAX(S360,0),'P-Parametri'!$B$8*(S360+R360)))</f>
        <v>80234.004123491206</v>
      </c>
      <c r="U360" s="18">
        <f>IF($A360&gt;'1-Input'!$B$26,S360,S360-MIN(MAX(S360,0),'P-Parametri'!$B$8*(S360+R360)))</f>
        <v>125144.04526870325</v>
      </c>
      <c r="V360" s="18">
        <f>IF($A360&gt;'1-Input'!$B$26,V359,V359-Q360*(1-P360))</f>
        <v>73360.836876335932</v>
      </c>
      <c r="W360" s="11">
        <f>IF($A360&gt;'1-Input'!$B$26,0,IF(AB359&lt;=0,0,MAX(0,(AB359-AC359)/AB359)))</f>
        <v>0.40411202372852661</v>
      </c>
      <c r="X360" s="18">
        <f>IF($A360&gt;'1-Input'!$B$26,0,(MAX(0,W341-IF($A360&gt;='1-Input'!$C$12,'1-Input'!$B$12,0))-MIN(MAX(AA359,0),MAX(0,W341-IF($A360&gt;='1-Input'!$C$12,'1-Input'!$B$12,0))))*(1/(1-'P-Parametri'!$B$6*W360))+MIN(MAX(0,AB359-(MAX(0,W341-IF($A360&gt;='1-Input'!$C$12,'1-Input'!$B$12,0))-MIN(MAX(AA359,0),MAX(0,W341-IF($A360&gt;='1-Input'!$C$12,'1-Input'!$B$12,0))))*(1/(1-'P-Parametri'!$B$6*W360))),MAX(0,5*W341-(AA359-MIN(MAX(AA359,0),MAX(0,W341-IF($A360&gt;='1-Input'!$C$12,'1-Input'!$B$12,0)))))*(1/(1-'P-Parametri'!$B$6*W360))))</f>
        <v>18221.12270875469</v>
      </c>
      <c r="Y360" s="18">
        <f>IF($A360&gt;'1-Input'!$B$26,AA359,(AA359-MAX(0,W341-IF($A360&gt;='1-Input'!$C$12,'1-Input'!$B$12,0))+X360*(1-'P-Parametri'!$B$6*W360))*(1+'1-Input'!$B$27))</f>
        <v>79803.248256166989</v>
      </c>
      <c r="Z360" s="18">
        <f>IF($A360&gt;'1-Input'!$B$26,AB359,(AB359-X360)*(1+$B$4))</f>
        <v>128074.51701089852</v>
      </c>
      <c r="AA360" s="18">
        <f>IF($A360&gt;'1-Input'!$B$26,Y360,Y360-'P-Parametri'!$B$8*(Z360+Y360)+MIN(MAX(Z360,0),'P-Parametri'!$B$8*(Z360+Y360)))</f>
        <v>79803.248256166989</v>
      </c>
      <c r="AB360" s="18">
        <f>IF($A360&gt;'1-Input'!$B$26,Z360,Z360-MIN(MAX(Z360,0),'P-Parametri'!$B$8*(Z360+Y360)))</f>
        <v>127658.76148036438</v>
      </c>
      <c r="AC360" s="18">
        <f>IF($A360&gt;'1-Input'!$B$26,AC359,AC359-X360*(1-W360))</f>
        <v>74821.632111343832</v>
      </c>
      <c r="AD360" s="11">
        <f>IF($A360&gt;'1-Input'!$B$26,0,IF(AI359&lt;=0,0,MAX(0,(AI359-AJ359)/AI359)))</f>
        <v>0.40412848248094391</v>
      </c>
      <c r="AE360" s="18">
        <f>IF($A360&gt;'1-Input'!$B$26,0,(MAX(0,AD341-IF($A360&gt;='1-Input'!$C$12,'1-Input'!$B$12,0))-MIN(MAX(AH359,0),MAX(0,AD341-IF($A360&gt;='1-Input'!$C$12,'1-Input'!$B$12,0))))*(1/(1-'P-Parametri'!$B$6*AD360))+MIN(MAX(0,AI359-(MAX(0,AD341-IF($A360&gt;='1-Input'!$C$12,'1-Input'!$B$12,0))-MIN(MAX(AH359,0),MAX(0,AD341-IF($A360&gt;='1-Input'!$C$12,'1-Input'!$B$12,0))))*(1/(1-'P-Parametri'!$B$6*AD360))),MAX(0,5*AD341-(AH359-MIN(MAX(AH359,0),MAX(0,AD341-IF($A360&gt;='1-Input'!$C$12,'1-Input'!$B$12,0)))))*(1/(1-'P-Parametri'!$B$6*AD360))))</f>
        <v>18202.461595508848</v>
      </c>
      <c r="AF360" s="18">
        <f>IF($A360&gt;'1-Input'!$B$26,AH359,(AH359-MAX(0,AD341-IF($A360&gt;='1-Input'!$C$12,'1-Input'!$B$12,0))+AE360*(1-'P-Parametri'!$B$6*AD360))*(1+'1-Input'!$B$27))</f>
        <v>79721.136773578575</v>
      </c>
      <c r="AG360" s="18">
        <f>IF($A360&gt;'1-Input'!$B$26,AI359,(AI359-AE360)*(1+$B$4))</f>
        <v>128554.68072355889</v>
      </c>
      <c r="AH360" s="18">
        <f>IF($A360&gt;'1-Input'!$B$26,AF360,AF360-'P-Parametri'!$B$8*(AG360+AF360)+MIN(MAX(AG360,0),'P-Parametri'!$B$8*(AG360+AF360)))</f>
        <v>79721.136773578575</v>
      </c>
      <c r="AI360" s="18">
        <f>IF($A360&gt;'1-Input'!$B$26,AG360,AG360-MIN(MAX(AG360,0),'P-Parametri'!$B$8*(AG360+AF360)))</f>
        <v>128138.12908856462</v>
      </c>
      <c r="AJ360" s="18">
        <f>IF($A360&gt;'1-Input'!$B$26,AJ359,AJ359-AE360*(1-AD360))</f>
        <v>75100.071261690973</v>
      </c>
      <c r="AK360" s="11">
        <f>IF($A360&gt;'1-Input'!$B$26,0,IF(AP359&lt;=0,0,MAX(0,(AP359-AQ359)/AP359)))</f>
        <v>0.40412848432409937</v>
      </c>
      <c r="AL360" s="18">
        <f>IF($A360&gt;'1-Input'!$B$26,0,(MAX(0,AK341-IF($A360&gt;='1-Input'!$C$12,'1-Input'!$B$12,0))-MIN(MAX(AO359,0),MAX(0,AK341-IF($A360&gt;='1-Input'!$C$12,'1-Input'!$B$12,0))))*(1/(1-'P-Parametri'!$B$6*AK360))+MIN(MAX(0,AP359-(MAX(0,AK341-IF($A360&gt;='1-Input'!$C$12,'1-Input'!$B$12,0))-MIN(MAX(AO359,0),MAX(0,AK341-IF($A360&gt;='1-Input'!$C$12,'1-Input'!$B$12,0))))*(1/(1-'P-Parametri'!$B$6*AK360))),MAX(0,5*AK341-(AO359-MIN(MAX(AO359,0),MAX(0,AK341-IF($A360&gt;='1-Input'!$C$12,'1-Input'!$B$12,0)))))*(1/(1-'P-Parametri'!$B$6*AK360))))</f>
        <v>18202.459501855112</v>
      </c>
      <c r="AM360" s="18">
        <f>IF($A360&gt;'1-Input'!$B$26,AO359,(AO359-MAX(0,AK341-IF($A360&gt;='1-Input'!$C$12,'1-Input'!$B$12,0))+AL360*(1-'P-Parametri'!$B$6*AK360))*(1+'1-Input'!$B$27))</f>
        <v>79721.127561334986</v>
      </c>
      <c r="AN360" s="18">
        <f>IF($A360&gt;'1-Input'!$B$26,AP359,(AP359-AL360)*(1+$B$4))</f>
        <v>128554.73459417833</v>
      </c>
      <c r="AO360" s="18">
        <f>IF($A360&gt;'1-Input'!$B$26,AM360,AM360-'P-Parametri'!$B$8*(AN360+AM360)+MIN(MAX(AN360,0),'P-Parametri'!$B$8*(AN360+AM360)))</f>
        <v>79721.127561334986</v>
      </c>
      <c r="AP360" s="18">
        <f>IF($A360&gt;'1-Input'!$B$26,AN360,AN360-MIN(MAX(AN360,0),'P-Parametri'!$B$8*(AN360+AM360)))</f>
        <v>128138.18286986731</v>
      </c>
      <c r="AQ360" s="18">
        <f>IF($A360&gt;'1-Input'!$B$26,AQ359,AQ359-AL360*(1-AK360))</f>
        <v>75100.102499947228</v>
      </c>
    </row>
    <row r="361" spans="1:43">
      <c r="A361" s="10">
        <f>18</f>
        <v>18</v>
      </c>
      <c r="B361" s="11">
        <f>IF($A361&gt;'1-Input'!$B$26,0,IF(G360&lt;=0,0,MAX(0,(G360-H360)/G360)))</f>
        <v>0.41302222404421107</v>
      </c>
      <c r="C361" s="18">
        <f>IF($A361&gt;'1-Input'!$B$26,0,(MAX(0,B341-IF($A361&gt;='1-Input'!$C$12,'1-Input'!$B$12,0))-MIN(MAX(F360,0),MAX(0,B341-IF($A361&gt;='1-Input'!$C$12,'1-Input'!$B$12,0))))*(1/(1-'P-Parametri'!$B$6*B361))+MIN(MAX(0,G360-(MAX(0,B341-IF($A361&gt;='1-Input'!$C$12,'1-Input'!$B$12,0))-MIN(MAX(F360,0),MAX(0,B341-IF($A361&gt;='1-Input'!$C$12,'1-Input'!$B$12,0))))*(1/(1-'P-Parametri'!$B$6*B361))),MAX(0,5*B341-(F360-MIN(MAX(F360,0),MAX(0,B341-IF($A361&gt;='1-Input'!$C$12,'1-Input'!$B$12,0)))))*(1/(1-'P-Parametri'!$B$6*B361))))</f>
        <v>19024.247985904905</v>
      </c>
      <c r="D361" s="18">
        <f>IF($A361&gt;'1-Input'!$B$26,F360,(F360-MAX(0,B341-IF($A361&gt;='1-Input'!$C$12,'1-Input'!$B$12,0))+C361*(1-'P-Parametri'!$B$6*B361))*(1+'1-Input'!$B$27))</f>
        <v>83105.01757746574</v>
      </c>
      <c r="E361" s="18">
        <f>IF($A361&gt;'1-Input'!$B$26,G360,(G360-C361)*(1+$B$4))</f>
        <v>91148.131709974317</v>
      </c>
      <c r="F361" s="18">
        <f>IF($A361&gt;'1-Input'!$B$26,D361,D361-'P-Parametri'!$B$8*(E361+D361)+MIN(MAX(E361,0),'P-Parametri'!$B$8*(E361+D361)))</f>
        <v>83105.01757746574</v>
      </c>
      <c r="G361" s="18">
        <f>IF($A361&gt;'1-Input'!$B$26,E361,E361-MIN(MAX(E361,0),'P-Parametri'!$B$8*(E361+D361)))</f>
        <v>90799.625411399436</v>
      </c>
      <c r="H361" s="18">
        <f>IF($A361&gt;'1-Input'!$B$26,H360,H360-C361*(1-B361))</f>
        <v>52452.870229064749</v>
      </c>
      <c r="I361" s="11">
        <f>IF($A361&gt;'1-Input'!$B$26,0,IF(N360&lt;=0,0,MAX(0,(N360-O360)/N360)))</f>
        <v>0</v>
      </c>
      <c r="J361" s="18">
        <f>IF($A361&gt;'1-Input'!$B$26,0,(MAX(0,I341-IF($A361&gt;='1-Input'!$C$12,'1-Input'!$B$12,0))-MIN(MAX(M360,0),MAX(0,I341-IF($A361&gt;='1-Input'!$C$12,'1-Input'!$B$12,0))))*(1/(1-'P-Parametri'!$B$6*I361))+MIN(MAX(0,N360-(MAX(0,I341-IF($A361&gt;='1-Input'!$C$12,'1-Input'!$B$12,0))-MIN(MAX(M360,0),MAX(0,I341-IF($A361&gt;='1-Input'!$C$12,'1-Input'!$B$12,0))))*(1/(1-'P-Parametri'!$B$6*I361))),MAX(0,5*I341-(M360-MIN(MAX(M360,0),MAX(0,I341-IF($A361&gt;='1-Input'!$C$12,'1-Input'!$B$12,0)))))*(1/(1-'P-Parametri'!$B$6*I361))))</f>
        <v>0</v>
      </c>
      <c r="K361" s="18">
        <f>IF($A361&gt;'1-Input'!$B$26,M360,(M360-MAX(0,I341-IF($A361&gt;='1-Input'!$C$12,'1-Input'!$B$12,0))+J361*(1-'P-Parametri'!$B$6*I361))*(1+'1-Input'!$B$27))</f>
        <v>48484.909138966148</v>
      </c>
      <c r="L361" s="18">
        <f>IF($A361&gt;'1-Input'!$B$26,N360,(N360-J361)*(1+$B$4))</f>
        <v>0</v>
      </c>
      <c r="M361" s="18">
        <f>IF($A361&gt;'1-Input'!$B$26,K361,K361-'P-Parametri'!$B$8*(L361+K361)+MIN(MAX(L361,0),'P-Parametri'!$B$8*(L361+K361)))</f>
        <v>48387.939320688216</v>
      </c>
      <c r="N361" s="18">
        <f>IF($A361&gt;'1-Input'!$B$26,L361,L361-MIN(MAX(L361,0),'P-Parametri'!$B$8*(L361+K361)))</f>
        <v>0</v>
      </c>
      <c r="O361" s="18">
        <f>IF($A361&gt;'1-Input'!$B$26,O360,O360-J361*(1-I361))</f>
        <v>0</v>
      </c>
      <c r="P361" s="11">
        <f>IF($A361&gt;'1-Input'!$B$26,0,IF(U360&lt;=0,0,MAX(0,(U360-V360)/U360)))</f>
        <v>0.41378883255036958</v>
      </c>
      <c r="Q361" s="18">
        <f>IF($A361&gt;'1-Input'!$B$26,0,(MAX(0,P341-IF($A361&gt;='1-Input'!$C$12,'1-Input'!$B$12,0))-MIN(MAX(T360,0),MAX(0,P341-IF($A361&gt;='1-Input'!$C$12,'1-Input'!$B$12,0))))*(1/(1-'P-Parametri'!$B$6*P361))+MIN(MAX(0,U360-(MAX(0,P341-IF($A361&gt;='1-Input'!$C$12,'1-Input'!$B$12,0))-MIN(MAX(T360,0),MAX(0,P341-IF($A361&gt;='1-Input'!$C$12,'1-Input'!$B$12,0))))*(1/(1-'P-Parametri'!$B$6*P361))),MAX(0,5*P341-(T360-MIN(MAX(T360,0),MAX(0,P341-IF($A361&gt;='1-Input'!$C$12,'1-Input'!$B$12,0)))))*(1/(1-'P-Parametri'!$B$6*P361))))</f>
        <v>18371.123078597291</v>
      </c>
      <c r="R361" s="18">
        <f>IF($A361&gt;'1-Input'!$B$26,T360,(T360-MAX(0,P341-IF($A361&gt;='1-Input'!$C$12,'1-Input'!$B$12,0))+Q361*(1-'P-Parametri'!$B$6*P361))*(1+'1-Input'!$B$27))</f>
        <v>80234.004123491206</v>
      </c>
      <c r="S361" s="18">
        <f>IF($A361&gt;'1-Input'!$B$26,U360,(U360-Q361)*(1+$B$4))</f>
        <v>108908.38063390809</v>
      </c>
      <c r="T361" s="18">
        <f>IF($A361&gt;'1-Input'!$B$26,R361,R361-'P-Parametri'!$B$8*(S361+R361)+MIN(MAX(S361,0),'P-Parametri'!$B$8*(S361+R361)))</f>
        <v>80234.004123491206</v>
      </c>
      <c r="U361" s="18">
        <f>IF($A361&gt;'1-Input'!$B$26,S361,S361-MIN(MAX(S361,0),'P-Parametri'!$B$8*(S361+R361)))</f>
        <v>108530.0958643933</v>
      </c>
      <c r="V361" s="18">
        <f>IF($A361&gt;'1-Input'!$B$26,V360,V360-Q361*(1-P361))</f>
        <v>62591.47936907057</v>
      </c>
      <c r="W361" s="11">
        <f>IF($A361&gt;'1-Input'!$B$26,0,IF(AB360&lt;=0,0,MAX(0,(AB360-AC360)/AB360)))</f>
        <v>0.41389348256482655</v>
      </c>
      <c r="X361" s="18">
        <f>IF($A361&gt;'1-Input'!$B$26,0,(MAX(0,W341-IF($A361&gt;='1-Input'!$C$12,'1-Input'!$B$12,0))-MIN(MAX(AA360,0),MAX(0,W341-IF($A361&gt;='1-Input'!$C$12,'1-Input'!$B$12,0))))*(1/(1-'P-Parametri'!$B$6*W361))+MIN(MAX(0,AB360-(MAX(0,W341-IF($A361&gt;='1-Input'!$C$12,'1-Input'!$B$12,0))-MIN(MAX(AA360,0),MAX(0,W341-IF($A361&gt;='1-Input'!$C$12,'1-Input'!$B$12,0))))*(1/(1-'P-Parametri'!$B$6*W361))),MAX(0,5*W341-(AA360-MIN(MAX(AA360,0),MAX(0,W341-IF($A361&gt;='1-Input'!$C$12,'1-Input'!$B$12,0)))))*(1/(1-'P-Parametri'!$B$6*W361))))</f>
        <v>18273.050343271465</v>
      </c>
      <c r="Y361" s="18">
        <f>IF($A361&gt;'1-Input'!$B$26,AA360,(AA360-MAX(0,W341-IF($A361&gt;='1-Input'!$C$12,'1-Input'!$B$12,0))+X361*(1-'P-Parametri'!$B$6*W361))*(1+'1-Input'!$B$27))</f>
        <v>79803.248256166989</v>
      </c>
      <c r="Z361" s="18">
        <f>IF($A361&gt;'1-Input'!$B$26,AB360,(AB360-X361)*(1+$B$4))</f>
        <v>111573.42535983479</v>
      </c>
      <c r="AA361" s="18">
        <f>IF($A361&gt;'1-Input'!$B$26,Y361,Y361-'P-Parametri'!$B$8*(Z361+Y361)+MIN(MAX(Z361,0),'P-Parametri'!$B$8*(Z361+Y361)))</f>
        <v>79803.248256166989</v>
      </c>
      <c r="AB361" s="18">
        <f>IF($A361&gt;'1-Input'!$B$26,Z361,Z361-MIN(MAX(Z361,0),'P-Parametri'!$B$8*(Z361+Y361)))</f>
        <v>111190.67201260278</v>
      </c>
      <c r="AC361" s="18">
        <f>IF($A361&gt;'1-Input'!$B$26,AC360,AC360-X361*(1-W361))</f>
        <v>64111.678211731392</v>
      </c>
      <c r="AD361" s="11">
        <f>IF($A361&gt;'1-Input'!$B$26,0,IF(AI360&lt;=0,0,MAX(0,(AI360-AJ360)/AI360)))</f>
        <v>0.4139131592144254</v>
      </c>
      <c r="AE361" s="18">
        <f>IF($A361&gt;'1-Input'!$B$26,0,(MAX(0,AD341-IF($A361&gt;='1-Input'!$C$12,'1-Input'!$B$12,0))-MIN(MAX(AH360,0),MAX(0,AD341-IF($A361&gt;='1-Input'!$C$12,'1-Input'!$B$12,0))))*(1/(1-'P-Parametri'!$B$6*AD361))+MIN(MAX(0,AI360-(MAX(0,AD341-IF($A361&gt;='1-Input'!$C$12,'1-Input'!$B$12,0))-MIN(MAX(AH360,0),MAX(0,AD341-IF($A361&gt;='1-Input'!$C$12,'1-Input'!$B$12,0))))*(1/(1-'P-Parametri'!$B$6*AD361))),MAX(0,5*AD341-(AH360-MIN(MAX(AH360,0),MAX(0,AD341-IF($A361&gt;='1-Input'!$C$12,'1-Input'!$B$12,0)))))*(1/(1-'P-Parametri'!$B$6*AD361))))</f>
        <v>18254.35341158789</v>
      </c>
      <c r="AF361" s="18">
        <f>IF($A361&gt;'1-Input'!$B$26,AH360,(AH360-MAX(0,AD341-IF($A361&gt;='1-Input'!$C$12,'1-Input'!$B$12,0))+AE361*(1-'P-Parametri'!$B$6*AD361))*(1+'1-Input'!$B$27))</f>
        <v>79721.136773578575</v>
      </c>
      <c r="AG361" s="18">
        <f>IF($A361&gt;'1-Input'!$B$26,AI360,(AI360-AE361)*(1+$B$4))</f>
        <v>112081.45119051627</v>
      </c>
      <c r="AH361" s="18">
        <f>IF($A361&gt;'1-Input'!$B$26,AF361,AF361-'P-Parametri'!$B$8*(AG361+AF361)+MIN(MAX(AG361,0),'P-Parametri'!$B$8*(AG361+AF361)))</f>
        <v>79721.136773578575</v>
      </c>
      <c r="AI361" s="18">
        <f>IF($A361&gt;'1-Input'!$B$26,AG361,AG361-MIN(MAX(AG361,0),'P-Parametri'!$B$8*(AG361+AF361)))</f>
        <v>111697.84601458808</v>
      </c>
      <c r="AJ361" s="18">
        <f>IF($A361&gt;'1-Input'!$B$26,AJ360,AJ360-AE361*(1-AD361))</f>
        <v>64401.434940110048</v>
      </c>
      <c r="AK361" s="11">
        <f>IF($A361&gt;'1-Input'!$B$26,0,IF(AP360&lt;=0,0,MAX(0,(AP360-AQ360)/AP360)))</f>
        <v>0.41391316141718437</v>
      </c>
      <c r="AL361" s="18">
        <f>IF($A361&gt;'1-Input'!$B$26,0,(MAX(0,AK341-IF($A361&gt;='1-Input'!$C$12,'1-Input'!$B$12,0))-MIN(MAX(AO360,0),MAX(0,AK341-IF($A361&gt;='1-Input'!$C$12,'1-Input'!$B$12,0))))*(1/(1-'P-Parametri'!$B$6*AK361))+MIN(MAX(0,AP360-(MAX(0,AK341-IF($A361&gt;='1-Input'!$C$12,'1-Input'!$B$12,0))-MIN(MAX(AO360,0),MAX(0,AK341-IF($A361&gt;='1-Input'!$C$12,'1-Input'!$B$12,0))))*(1/(1-'P-Parametri'!$B$6*AK361))),MAX(0,5*AK341-(AO360-MIN(MAX(AO360,0),MAX(0,AK341-IF($A361&gt;='1-Input'!$C$12,'1-Input'!$B$12,0)))))*(1/(1-'P-Parametri'!$B$6*AK361))))</f>
        <v>18254.351313905954</v>
      </c>
      <c r="AM361" s="18">
        <f>IF($A361&gt;'1-Input'!$B$26,AO360,(AO360-MAX(0,AK341-IF($A361&gt;='1-Input'!$C$12,'1-Input'!$B$12,0))+AL361*(1-'P-Parametri'!$B$6*AK361))*(1+'1-Input'!$B$27))</f>
        <v>79721.127561334986</v>
      </c>
      <c r="AN361" s="18">
        <f>IF($A361&gt;'1-Input'!$B$26,AP360,(AP360-AL361)*(1+$B$4))</f>
        <v>112081.50818708059</v>
      </c>
      <c r="AO361" s="18">
        <f>IF($A361&gt;'1-Input'!$B$26,AM361,AM361-'P-Parametri'!$B$8*(AN361+AM361)+MIN(MAX(AN361,0),'P-Parametri'!$B$8*(AN361+AM361)))</f>
        <v>79721.127561334986</v>
      </c>
      <c r="AP361" s="18">
        <f>IF($A361&gt;'1-Input'!$B$26,AN361,AN361-MIN(MAX(AN361,0),'P-Parametri'!$B$8*(AN361+AM361)))</f>
        <v>111697.90291558376</v>
      </c>
      <c r="AQ361" s="18">
        <f>IF($A361&gt;'1-Input'!$B$26,AQ360,AQ360-AL361*(1-AK361))</f>
        <v>64401.467448000025</v>
      </c>
    </row>
    <row r="362" spans="1:43">
      <c r="A362" s="10">
        <f>19</f>
        <v>19</v>
      </c>
      <c r="B362" s="11">
        <f>IF($A362&gt;'1-Input'!$B$26,0,IF(G361&lt;=0,0,MAX(0,(G361-H361)/G361)))</f>
        <v>0.42232283457769026</v>
      </c>
      <c r="C362" s="18">
        <f>IF($A362&gt;'1-Input'!$B$26,0,(MAX(0,B341-IF($A362&gt;='1-Input'!$C$12,'1-Input'!$B$12,0))-MIN(MAX(F361,0),MAX(0,B341-IF($A362&gt;='1-Input'!$C$12,'1-Input'!$B$12,0))))*(1/(1-'P-Parametri'!$B$6*B362))+MIN(MAX(0,G361-(MAX(0,B341-IF($A362&gt;='1-Input'!$C$12,'1-Input'!$B$12,0))-MIN(MAX(F361,0),MAX(0,B341-IF($A362&gt;='1-Input'!$C$12,'1-Input'!$B$12,0))))*(1/(1-'P-Parametri'!$B$6*B362))),MAX(0,5*B341-(F361-MIN(MAX(F361,0),MAX(0,B341-IF($A362&gt;='1-Input'!$C$12,'1-Input'!$B$12,0)))))*(1/(1-'P-Parametri'!$B$6*B362))))</f>
        <v>19075.926097532207</v>
      </c>
      <c r="D362" s="18">
        <f>IF($A362&gt;'1-Input'!$B$26,F361,(F361-MAX(0,B341-IF($A362&gt;='1-Input'!$C$12,'1-Input'!$B$12,0))+C362*(1-'P-Parametri'!$B$6*B362))*(1+'1-Input'!$B$27))</f>
        <v>83105.01757746574</v>
      </c>
      <c r="E362" s="18">
        <f>IF($A362&gt;'1-Input'!$B$26,G361,(G361-C362)*(1+$B$4))</f>
        <v>73158.173300144568</v>
      </c>
      <c r="F362" s="18">
        <f>IF($A362&gt;'1-Input'!$B$26,D362,D362-'P-Parametri'!$B$8*(E362+D362)+MIN(MAX(E362,0),'P-Parametri'!$B$8*(E362+D362)))</f>
        <v>83105.01757746574</v>
      </c>
      <c r="G362" s="18">
        <f>IF($A362&gt;'1-Input'!$B$26,E362,E362-MIN(MAX(E362,0),'P-Parametri'!$B$8*(E362+D362)))</f>
        <v>72845.64691838935</v>
      </c>
      <c r="H362" s="18">
        <f>IF($A362&gt;'1-Input'!$B$26,H361,H361-C362*(1-B362))</f>
        <v>41433.143313236884</v>
      </c>
      <c r="I362" s="11">
        <f>IF($A362&gt;'1-Input'!$B$26,0,IF(N361&lt;=0,0,MAX(0,(N361-O361)/N361)))</f>
        <v>0</v>
      </c>
      <c r="J362" s="18">
        <f>IF($A362&gt;'1-Input'!$B$26,0,(MAX(0,I341-IF($A362&gt;='1-Input'!$C$12,'1-Input'!$B$12,0))-MIN(MAX(M361,0),MAX(0,I341-IF($A362&gt;='1-Input'!$C$12,'1-Input'!$B$12,0))))*(1/(1-'P-Parametri'!$B$6*I362))+MIN(MAX(0,N361-(MAX(0,I341-IF($A362&gt;='1-Input'!$C$12,'1-Input'!$B$12,0))-MIN(MAX(M361,0),MAX(0,I341-IF($A362&gt;='1-Input'!$C$12,'1-Input'!$B$12,0))))*(1/(1-'P-Parametri'!$B$6*I362))),MAX(0,5*I341-(M361-MIN(MAX(M361,0),MAX(0,I341-IF($A362&gt;='1-Input'!$C$12,'1-Input'!$B$12,0)))))*(1/(1-'P-Parametri'!$B$6*I362))))</f>
        <v>0</v>
      </c>
      <c r="K362" s="18">
        <f>IF($A362&gt;'1-Input'!$B$26,M361,(M361-MAX(0,I341-IF($A362&gt;='1-Input'!$C$12,'1-Input'!$B$12,0))+J362*(1-'P-Parametri'!$B$6*I362))*(1+'1-Input'!$B$27))</f>
        <v>26344.001271379588</v>
      </c>
      <c r="L362" s="18">
        <f>IF($A362&gt;'1-Input'!$B$26,N361,(N361-J362)*(1+$B$4))</f>
        <v>0</v>
      </c>
      <c r="M362" s="18">
        <f>IF($A362&gt;'1-Input'!$B$26,K362,K362-'P-Parametri'!$B$8*(L362+K362)+MIN(MAX(L362,0),'P-Parametri'!$B$8*(L362+K362)))</f>
        <v>26291.313268836828</v>
      </c>
      <c r="N362" s="18">
        <f>IF($A362&gt;'1-Input'!$B$26,L362,L362-MIN(MAX(L362,0),'P-Parametri'!$B$8*(L362+K362)))</f>
        <v>0</v>
      </c>
      <c r="O362" s="18">
        <f>IF($A362&gt;'1-Input'!$B$26,O361,O361-J362*(1-I362))</f>
        <v>0</v>
      </c>
      <c r="P362" s="11">
        <f>IF($A362&gt;'1-Input'!$B$26,0,IF(U361&lt;=0,0,MAX(0,(U361-V361)/U361)))</f>
        <v>0.4232799771293147</v>
      </c>
      <c r="Q362" s="18">
        <f>IF($A362&gt;'1-Input'!$B$26,0,(MAX(0,P341-IF($A362&gt;='1-Input'!$C$12,'1-Input'!$B$12,0))-MIN(MAX(T361,0),MAX(0,P341-IF($A362&gt;='1-Input'!$C$12,'1-Input'!$B$12,0))))*(1/(1-'P-Parametri'!$B$6*P362))+MIN(MAX(0,U361-(MAX(0,P341-IF($A362&gt;='1-Input'!$C$12,'1-Input'!$B$12,0))-MIN(MAX(T361,0),MAX(0,P341-IF($A362&gt;='1-Input'!$C$12,'1-Input'!$B$12,0))))*(1/(1-'P-Parametri'!$B$6*P362))),MAX(0,5*P341-(T361-MIN(MAX(T361,0),MAX(0,P341-IF($A362&gt;='1-Input'!$C$12,'1-Input'!$B$12,0)))))*(1/(1-'P-Parametri'!$B$6*P362))))</f>
        <v>18422.063601645616</v>
      </c>
      <c r="R362" s="18">
        <f>IF($A362&gt;'1-Input'!$B$26,T361,(T361-MAX(0,P341-IF($A362&gt;='1-Input'!$C$12,'1-Input'!$B$12,0))+Q362*(1-'P-Parametri'!$B$6*P362))*(1+'1-Input'!$B$27))</f>
        <v>80234.004123491206</v>
      </c>
      <c r="S362" s="18">
        <f>IF($A362&gt;'1-Input'!$B$26,U361,(U361-Q362)*(1+$B$4))</f>
        <v>91910.192908002646</v>
      </c>
      <c r="T362" s="18">
        <f>IF($A362&gt;'1-Input'!$B$26,R362,R362-'P-Parametri'!$B$8*(S362+R362)+MIN(MAX(S362,0),'P-Parametri'!$B$8*(S362+R362)))</f>
        <v>80234.004123491206</v>
      </c>
      <c r="U362" s="18">
        <f>IF($A362&gt;'1-Input'!$B$26,S362,S362-MIN(MAX(S362,0),'P-Parametri'!$B$8*(S362+R362)))</f>
        <v>91565.904513939662</v>
      </c>
      <c r="V362" s="18">
        <f>IF($A362&gt;'1-Input'!$B$26,V361,V361-Q362*(1-P362))</f>
        <v>51967.106427404295</v>
      </c>
      <c r="W362" s="11">
        <f>IF($A362&gt;'1-Input'!$B$26,0,IF(AB361&lt;=0,0,MAX(0,(AB361-AC361)/AB361)))</f>
        <v>0.42340776387730861</v>
      </c>
      <c r="X362" s="18">
        <f>IF($A362&gt;'1-Input'!$B$26,0,(MAX(0,W341-IF($A362&gt;='1-Input'!$C$12,'1-Input'!$B$12,0))-MIN(MAX(AA361,0),MAX(0,W341-IF($A362&gt;='1-Input'!$C$12,'1-Input'!$B$12,0))))*(1/(1-'P-Parametri'!$B$6*W362))+MIN(MAX(0,AB361-(MAX(0,W341-IF($A362&gt;='1-Input'!$C$12,'1-Input'!$B$12,0))-MIN(MAX(AA361,0),MAX(0,W341-IF($A362&gt;='1-Input'!$C$12,'1-Input'!$B$12,0))))*(1/(1-'P-Parametri'!$B$6*W362))),MAX(0,5*W341-(AA361-MIN(MAX(AA361,0),MAX(0,W341-IF($A362&gt;='1-Input'!$C$12,'1-Input'!$B$12,0)))))*(1/(1-'P-Parametri'!$B$6*W362))))</f>
        <v>18323.844336522463</v>
      </c>
      <c r="Y362" s="18">
        <f>IF($A362&gt;'1-Input'!$B$26,AA361,(AA361-MAX(0,W341-IF($A362&gt;='1-Input'!$C$12,'1-Input'!$B$12,0))+X362*(1-'P-Parametri'!$B$6*W362))*(1+'1-Input'!$B$27))</f>
        <v>79803.248256166989</v>
      </c>
      <c r="Z362" s="18">
        <f>IF($A362&gt;'1-Input'!$B$26,AB361,(AB361-X362)*(1+$B$4))</f>
        <v>94724.164229601927</v>
      </c>
      <c r="AA362" s="18">
        <f>IF($A362&gt;'1-Input'!$B$26,Y362,Y362-'P-Parametri'!$B$8*(Z362+Y362)+MIN(MAX(Z362,0),'P-Parametri'!$B$8*(Z362+Y362)))</f>
        <v>79803.248256166989</v>
      </c>
      <c r="AB362" s="18">
        <f>IF($A362&gt;'1-Input'!$B$26,Z362,Z362-MIN(MAX(Z362,0),'P-Parametri'!$B$8*(Z362+Y362)))</f>
        <v>94375.109404630392</v>
      </c>
      <c r="AC362" s="18">
        <f>IF($A362&gt;'1-Input'!$B$26,AC361,AC361-X362*(1-W362))</f>
        <v>53546.291831371789</v>
      </c>
      <c r="AD362" s="11">
        <f>IF($A362&gt;'1-Input'!$B$26,0,IF(AI361&lt;=0,0,MAX(0,(AI361-AJ361)/AI361)))</f>
        <v>0.42343172014526564</v>
      </c>
      <c r="AE362" s="18">
        <f>IF($A362&gt;'1-Input'!$B$26,0,(MAX(0,AD341-IF($A362&gt;='1-Input'!$C$12,'1-Input'!$B$12,0))-MIN(MAX(AH361,0),MAX(0,AD341-IF($A362&gt;='1-Input'!$C$12,'1-Input'!$B$12,0))))*(1/(1-'P-Parametri'!$B$6*AD362))+MIN(MAX(0,AI361-(MAX(0,AD341-IF($A362&gt;='1-Input'!$C$12,'1-Input'!$B$12,0))-MIN(MAX(AH361,0),MAX(0,AD341-IF($A362&gt;='1-Input'!$C$12,'1-Input'!$B$12,0))))*(1/(1-'P-Parametri'!$B$6*AD362))),MAX(0,5*AD341-(AH361-MIN(MAX(AH361,0),MAX(0,AD341-IF($A362&gt;='1-Input'!$C$12,'1-Input'!$B$12,0)))))*(1/(1-'P-Parametri'!$B$6*AD362))))</f>
        <v>18305.118612151782</v>
      </c>
      <c r="AF362" s="18">
        <f>IF($A362&gt;'1-Input'!$B$26,AH361,(AH361-MAX(0,AD341-IF($A362&gt;='1-Input'!$C$12,'1-Input'!$B$12,0))+AE362*(1-'P-Parametri'!$B$6*AD362))*(1+'1-Input'!$B$27))</f>
        <v>79721.136773578575</v>
      </c>
      <c r="AG362" s="18">
        <f>IF($A362&gt;'1-Input'!$B$26,AI361,(AI361-AE362)*(1+$B$4))</f>
        <v>95260.581950485022</v>
      </c>
      <c r="AH362" s="18">
        <f>IF($A362&gt;'1-Input'!$B$26,AF362,AF362-'P-Parametri'!$B$8*(AG362+AF362)+MIN(MAX(AG362,0),'P-Parametri'!$B$8*(AG362+AF362)))</f>
        <v>79721.136773578575</v>
      </c>
      <c r="AI362" s="18">
        <f>IF($A362&gt;'1-Input'!$B$26,AG362,AG362-MIN(MAX(AG362,0),'P-Parametri'!$B$8*(AG362+AF362)))</f>
        <v>94910.618513036898</v>
      </c>
      <c r="AJ362" s="18">
        <f>IF($A362&gt;'1-Input'!$B$26,AJ361,AJ361-AE362*(1-AD362))</f>
        <v>53847.284189364815</v>
      </c>
      <c r="AK362" s="11">
        <f>IF($A362&gt;'1-Input'!$B$26,0,IF(AP361&lt;=0,0,MAX(0,(AP361-AQ361)/AP361)))</f>
        <v>0.42343172282588198</v>
      </c>
      <c r="AL362" s="18">
        <f>IF($A362&gt;'1-Input'!$B$26,0,(MAX(0,AK341-IF($A362&gt;='1-Input'!$C$12,'1-Input'!$B$12,0))-MIN(MAX(AO361,0),MAX(0,AK341-IF($A362&gt;='1-Input'!$C$12,'1-Input'!$B$12,0))))*(1/(1-'P-Parametri'!$B$6*AK362))+MIN(MAX(0,AP361-(MAX(0,AK341-IF($A362&gt;='1-Input'!$C$12,'1-Input'!$B$12,0))-MIN(MAX(AO361,0),MAX(0,AK341-IF($A362&gt;='1-Input'!$C$12,'1-Input'!$B$12,0))))*(1/(1-'P-Parametri'!$B$6*AK362))),MAX(0,5*AK341-(AO361-MIN(MAX(AO361,0),MAX(0,AK341-IF($A362&gt;='1-Input'!$C$12,'1-Input'!$B$12,0)))))*(1/(1-'P-Parametri'!$B$6*AK362))))</f>
        <v>18305.116511224514</v>
      </c>
      <c r="AM362" s="18">
        <f>IF($A362&gt;'1-Input'!$B$26,AO361,(AO361-MAX(0,AK341-IF($A362&gt;='1-Input'!$C$12,'1-Input'!$B$12,0))+AL362*(1-'P-Parametri'!$B$6*AK362))*(1+'1-Input'!$B$27))</f>
        <v>79721.127561334986</v>
      </c>
      <c r="AN362" s="18">
        <f>IF($A362&gt;'1-Input'!$B$26,AP361,(AP361-AL362)*(1+$B$4))</f>
        <v>95260.642132446432</v>
      </c>
      <c r="AO362" s="18">
        <f>IF($A362&gt;'1-Input'!$B$26,AM362,AM362-'P-Parametri'!$B$8*(AN362+AM362)+MIN(MAX(AN362,0),'P-Parametri'!$B$8*(AN362+AM362)))</f>
        <v>79721.127561334986</v>
      </c>
      <c r="AP362" s="18">
        <f>IF($A362&gt;'1-Input'!$B$26,AN362,AN362-MIN(MAX(AN362,0),'P-Parametri'!$B$8*(AN362+AM362)))</f>
        <v>94910.678593058867</v>
      </c>
      <c r="AQ362" s="18">
        <f>IF($A362&gt;'1-Input'!$B$26,AQ361,AQ361-AL362*(1-AK362))</f>
        <v>53847.317957651801</v>
      </c>
    </row>
    <row r="363" spans="1:43">
      <c r="A363" s="10">
        <f>20</f>
        <v>20</v>
      </c>
      <c r="B363" s="11">
        <f>IF($A363&gt;'1-Input'!$B$26,0,IF(G362&lt;=0,0,MAX(0,(G362-H362)/G362)))</f>
        <v>0.43122005135522529</v>
      </c>
      <c r="C363" s="18">
        <f>IF($A363&gt;'1-Input'!$B$26,0,(MAX(0,B341-IF($A363&gt;='1-Input'!$C$12,'1-Input'!$B$12,0))-MIN(MAX(F362,0),MAX(0,B341-IF($A363&gt;='1-Input'!$C$12,'1-Input'!$B$12,0))))*(1/(1-'P-Parametri'!$B$6*B363))+MIN(MAX(0,G362-(MAX(0,B341-IF($A363&gt;='1-Input'!$C$12,'1-Input'!$B$12,0))-MIN(MAX(F362,0),MAX(0,B341-IF($A363&gt;='1-Input'!$C$12,'1-Input'!$B$12,0))))*(1/(1-'P-Parametri'!$B$6*B363))),MAX(0,5*B341-(F362-MIN(MAX(F362,0),MAX(0,B341-IF($A363&gt;='1-Input'!$C$12,'1-Input'!$B$12,0)))))*(1/(1-'P-Parametri'!$B$6*B363))))</f>
        <v>19125.626226413322</v>
      </c>
      <c r="D363" s="18">
        <f>IF($A363&gt;'1-Input'!$B$26,F362,(F362-MAX(0,B341-IF($A363&gt;='1-Input'!$C$12,'1-Input'!$B$12,0))+C363*(1-'P-Parametri'!$B$6*B363))*(1+'1-Input'!$B$27))</f>
        <v>83105.01757746574</v>
      </c>
      <c r="E363" s="18">
        <f>IF($A363&gt;'1-Input'!$B$26,G362,(G362-C363)*(1+$B$4))</f>
        <v>54794.421105815549</v>
      </c>
      <c r="F363" s="18">
        <f>IF($A363&gt;'1-Input'!$B$26,D363,D363-'P-Parametri'!$B$8*(E363+D363)+MIN(MAX(E363,0),'P-Parametri'!$B$8*(E363+D363)))</f>
        <v>83105.01757746574</v>
      </c>
      <c r="G363" s="18">
        <f>IF($A363&gt;'1-Input'!$B$26,E363,E363-MIN(MAX(E363,0),'P-Parametri'!$B$8*(E363+D363)))</f>
        <v>54518.622228448985</v>
      </c>
      <c r="H363" s="18">
        <f>IF($A363&gt;'1-Input'!$B$26,H362,H362-C363*(1-B363))</f>
        <v>30554.870610378359</v>
      </c>
      <c r="I363" s="11">
        <f>IF($A363&gt;'1-Input'!$B$26,0,IF(N362&lt;=0,0,MAX(0,(N362-O362)/N362)))</f>
        <v>0</v>
      </c>
      <c r="J363" s="18">
        <f>IF($A363&gt;'1-Input'!$B$26,0,(MAX(0,I341-IF($A363&gt;='1-Input'!$C$12,'1-Input'!$B$12,0))-MIN(MAX(M362,0),MAX(0,I341-IF($A363&gt;='1-Input'!$C$12,'1-Input'!$B$12,0))))*(1/(1-'P-Parametri'!$B$6*I363))+MIN(MAX(0,N362-(MAX(0,I341-IF($A363&gt;='1-Input'!$C$12,'1-Input'!$B$12,0))-MIN(MAX(M362,0),MAX(0,I341-IF($A363&gt;='1-Input'!$C$12,'1-Input'!$B$12,0))))*(1/(1-'P-Parametri'!$B$6*I363))),MAX(0,5*I341-(M362-MIN(MAX(M362,0),MAX(0,I341-IF($A363&gt;='1-Input'!$C$12,'1-Input'!$B$12,0)))))*(1/(1-'P-Parametri'!$B$6*I363))))</f>
        <v>0</v>
      </c>
      <c r="K363" s="18">
        <f>IF($A363&gt;'1-Input'!$B$26,M362,(M362-MAX(0,I341-IF($A363&gt;='1-Input'!$C$12,'1-Input'!$B$12,0))+J363*(1-'P-Parametri'!$B$6*I363))*(1+'1-Input'!$B$27))</f>
        <v>4326.923073314867</v>
      </c>
      <c r="L363" s="18">
        <f>IF($A363&gt;'1-Input'!$B$26,N362,(N362-J363)*(1+$B$4))</f>
        <v>0</v>
      </c>
      <c r="M363" s="18">
        <f>IF($A363&gt;'1-Input'!$B$26,K363,K363-'P-Parametri'!$B$8*(L363+K363)+MIN(MAX(L363,0),'P-Parametri'!$B$8*(L363+K363)))</f>
        <v>4318.2692271682372</v>
      </c>
      <c r="N363" s="18">
        <f>IF($A363&gt;'1-Input'!$B$26,L363,L363-MIN(MAX(L363,0),'P-Parametri'!$B$8*(L363+K363)))</f>
        <v>0</v>
      </c>
      <c r="O363" s="18">
        <f>IF($A363&gt;'1-Input'!$B$26,O362,O362-J363*(1-I363))</f>
        <v>0</v>
      </c>
      <c r="P363" s="11">
        <f>IF($A363&gt;'1-Input'!$B$26,0,IF(U362&lt;=0,0,MAX(0,(U362-V362)/U362)))</f>
        <v>0.4324622608899909</v>
      </c>
      <c r="Q363" s="18">
        <f>IF($A363&gt;'1-Input'!$B$26,0,(MAX(0,P341-IF($A363&gt;='1-Input'!$C$12,'1-Input'!$B$12,0))-MIN(MAX(T362,0),MAX(0,P341-IF($A363&gt;='1-Input'!$C$12,'1-Input'!$B$12,0))))*(1/(1-'P-Parametri'!$B$6*P363))+MIN(MAX(0,U362-(MAX(0,P341-IF($A363&gt;='1-Input'!$C$12,'1-Input'!$B$12,0))-MIN(MAX(T362,0),MAX(0,P341-IF($A363&gt;='1-Input'!$C$12,'1-Input'!$B$12,0))))*(1/(1-'P-Parametri'!$B$6*P363))),MAX(0,5*P341-(T362-MIN(MAX(T362,0),MAX(0,P341-IF($A363&gt;='1-Input'!$C$12,'1-Input'!$B$12,0)))))*(1/(1-'P-Parametri'!$B$6*P363))))</f>
        <v>18471.616002974941</v>
      </c>
      <c r="R363" s="18">
        <f>IF($A363&gt;'1-Input'!$B$26,T362,(T362-MAX(0,P341-IF($A363&gt;='1-Input'!$C$12,'1-Input'!$B$12,0))+Q363*(1-'P-Parametri'!$B$6*P363))*(1+'1-Input'!$B$27))</f>
        <v>80234.004123491206</v>
      </c>
      <c r="S363" s="18">
        <f>IF($A363&gt;'1-Input'!$B$26,U362,(U362-Q363)*(1+$B$4))</f>
        <v>74556.174281184009</v>
      </c>
      <c r="T363" s="18">
        <f>IF($A363&gt;'1-Input'!$B$26,R363,R363-'P-Parametri'!$B$8*(S363+R363)+MIN(MAX(S363,0),'P-Parametri'!$B$8*(S363+R363)))</f>
        <v>80234.004123491206</v>
      </c>
      <c r="U363" s="18">
        <f>IF($A363&gt;'1-Input'!$B$26,S363,S363-MIN(MAX(S363,0),'P-Parametri'!$B$8*(S363+R363)))</f>
        <v>74246.593924374654</v>
      </c>
      <c r="V363" s="18">
        <f>IF($A363&gt;'1-Input'!$B$26,V362,V362-Q363*(1-P363))</f>
        <v>41483.767243367634</v>
      </c>
      <c r="W363" s="11">
        <f>IF($A363&gt;'1-Input'!$B$26,0,IF(AB362&lt;=0,0,MAX(0,(AB362-AC362)/AB362)))</f>
        <v>0.43262273104454158</v>
      </c>
      <c r="X363" s="18">
        <f>IF($A363&gt;'1-Input'!$B$26,0,(MAX(0,W341-IF($A363&gt;='1-Input'!$C$12,'1-Input'!$B$12,0))-MIN(MAX(AA362,0),MAX(0,W341-IF($A363&gt;='1-Input'!$C$12,'1-Input'!$B$12,0))))*(1/(1-'P-Parametri'!$B$6*W363))+MIN(MAX(0,AB362-(MAX(0,W341-IF($A363&gt;='1-Input'!$C$12,'1-Input'!$B$12,0))-MIN(MAX(AA362,0),MAX(0,W341-IF($A363&gt;='1-Input'!$C$12,'1-Input'!$B$12,0))))*(1/(1-'P-Parametri'!$B$6*W363))),MAX(0,5*W341-(AA362-MIN(MAX(AA362,0),MAX(0,W341-IF($A363&gt;='1-Input'!$C$12,'1-Input'!$B$12,0)))))*(1/(1-'P-Parametri'!$B$6*W363))))</f>
        <v>18373.31030541056</v>
      </c>
      <c r="Y363" s="18">
        <f>IF($A363&gt;'1-Input'!$B$26,AA362,(AA362-MAX(0,W341-IF($A363&gt;='1-Input'!$C$12,'1-Input'!$B$12,0))+X363*(1-'P-Parametri'!$B$6*W363))*(1+'1-Input'!$B$27))</f>
        <v>79803.248256166989</v>
      </c>
      <c r="Z363" s="18">
        <f>IF($A363&gt;'1-Input'!$B$26,AB362,(AB362-X363)*(1+$B$4))</f>
        <v>77521.835081204234</v>
      </c>
      <c r="AA363" s="18">
        <f>IF($A363&gt;'1-Input'!$B$26,Y363,Y363-'P-Parametri'!$B$8*(Z363+Y363)+MIN(MAX(Z363,0),'P-Parametri'!$B$8*(Z363+Y363)))</f>
        <v>79803.248256166989</v>
      </c>
      <c r="AB363" s="18">
        <f>IF($A363&gt;'1-Input'!$B$26,Z363,Z363-MIN(MAX(Z363,0),'P-Parametri'!$B$8*(Z363+Y363)))</f>
        <v>77207.184914529498</v>
      </c>
      <c r="AC363" s="18">
        <f>IF($A363&gt;'1-Input'!$B$26,AC362,AC362-X363*(1-W363))</f>
        <v>43121.693208616765</v>
      </c>
      <c r="AD363" s="11">
        <f>IF($A363&gt;'1-Input'!$B$26,0,IF(AI362&lt;=0,0,MAX(0,(AI362-AJ362)/AI362)))</f>
        <v>0.43265268909855048</v>
      </c>
      <c r="AE363" s="18">
        <f>IF($A363&gt;'1-Input'!$B$26,0,(MAX(0,AD341-IF($A363&gt;='1-Input'!$C$12,'1-Input'!$B$12,0))-MIN(MAX(AH362,0),MAX(0,AD341-IF($A363&gt;='1-Input'!$C$12,'1-Input'!$B$12,0))))*(1/(1-'P-Parametri'!$B$6*AD363))+MIN(MAX(0,AI362-(MAX(0,AD341-IF($A363&gt;='1-Input'!$C$12,'1-Input'!$B$12,0))-MIN(MAX(AH362,0),MAX(0,AD341-IF($A363&gt;='1-Input'!$C$12,'1-Input'!$B$12,0))))*(1/(1-'P-Parametri'!$B$6*AD363))),MAX(0,5*AD341-(AH362-MIN(MAX(AH362,0),MAX(0,AD341-IF($A363&gt;='1-Input'!$C$12,'1-Input'!$B$12,0)))))*(1/(1-'P-Parametri'!$B$6*AD363))))</f>
        <v>18354.566648828131</v>
      </c>
      <c r="AF363" s="18">
        <f>IF($A363&gt;'1-Input'!$B$26,AH362,(AH362-MAX(0,AD341-IF($A363&gt;='1-Input'!$C$12,'1-Input'!$B$12,0))+AE363*(1-'P-Parametri'!$B$6*AD363))*(1+'1-Input'!$B$27))</f>
        <v>79721.136773578575</v>
      </c>
      <c r="AG363" s="18">
        <f>IF($A363&gt;'1-Input'!$B$26,AI362,(AI362-AE363)*(1+$B$4))</f>
        <v>78087.172901492944</v>
      </c>
      <c r="AH363" s="18">
        <f>IF($A363&gt;'1-Input'!$B$26,AF363,AF363-'P-Parametri'!$B$8*(AG363+AF363)+MIN(MAX(AG363,0),'P-Parametri'!$B$8*(AG363+AF363)))</f>
        <v>79721.136773578575</v>
      </c>
      <c r="AI363" s="18">
        <f>IF($A363&gt;'1-Input'!$B$26,AG363,AG363-MIN(MAX(AG363,0),'P-Parametri'!$B$8*(AG363+AF363)))</f>
        <v>77771.556282142803</v>
      </c>
      <c r="AJ363" s="18">
        <f>IF($A363&gt;'1-Input'!$B$26,AJ362,AJ362-AE363*(1-AD363))</f>
        <v>43433.870158390746</v>
      </c>
      <c r="AK363" s="11">
        <f>IF($A363&gt;'1-Input'!$B$26,0,IF(AP362&lt;=0,0,MAX(0,(AP362-AQ362)/AP362)))</f>
        <v>0.43265269244856253</v>
      </c>
      <c r="AL363" s="18">
        <f>IF($A363&gt;'1-Input'!$B$26,0,(MAX(0,AK341-IF($A363&gt;='1-Input'!$C$12,'1-Input'!$B$12,0))-MIN(MAX(AO362,0),MAX(0,AK341-IF($A363&gt;='1-Input'!$C$12,'1-Input'!$B$12,0))))*(1/(1-'P-Parametri'!$B$6*AK363))+MIN(MAX(0,AP362-(MAX(0,AK341-IF($A363&gt;='1-Input'!$C$12,'1-Input'!$B$12,0))-MIN(MAX(AO362,0),MAX(0,AK341-IF($A363&gt;='1-Input'!$C$12,'1-Input'!$B$12,0))))*(1/(1-'P-Parametri'!$B$6*AK363))),MAX(0,5*AK341-(AO362-MIN(MAX(AO362,0),MAX(0,AK341-IF($A363&gt;='1-Input'!$C$12,'1-Input'!$B$12,0)))))*(1/(1-'P-Parametri'!$B$6*AK363))))</f>
        <v>18354.564545863792</v>
      </c>
      <c r="AM363" s="18">
        <f>IF($A363&gt;'1-Input'!$B$26,AO362,(AO362-MAX(0,AK341-IF($A363&gt;='1-Input'!$C$12,'1-Input'!$B$12,0))+AL363*(1-'P-Parametri'!$B$6*AK363))*(1+'1-Input'!$B$27))</f>
        <v>79721.127561334986</v>
      </c>
      <c r="AN363" s="18">
        <f>IF($A363&gt;'1-Input'!$B$26,AP362,(AP362-AL363)*(1+$B$4))</f>
        <v>78087.236328138984</v>
      </c>
      <c r="AO363" s="18">
        <f>IF($A363&gt;'1-Input'!$B$26,AM363,AM363-'P-Parametri'!$B$8*(AN363+AM363)+MIN(MAX(AN363,0),'P-Parametri'!$B$8*(AN363+AM363)))</f>
        <v>79721.127561334986</v>
      </c>
      <c r="AP363" s="18">
        <f>IF($A363&gt;'1-Input'!$B$26,AN363,AN363-MIN(MAX(AN363,0),'P-Parametri'!$B$8*(AN363+AM363)))</f>
        <v>77771.619600360034</v>
      </c>
      <c r="AQ363" s="18">
        <f>IF($A363&gt;'1-Input'!$B$26,AQ362,AQ362-AL363*(1-AK363))</f>
        <v>43433.905181276903</v>
      </c>
    </row>
    <row r="364" spans="1:43">
      <c r="A364" s="10">
        <f>21</f>
        <v>21</v>
      </c>
      <c r="B364" s="11">
        <f>IF($A364&gt;'1-Input'!$B$26,0,IF(G363&lt;=0,0,MAX(0,(G363-H363)/G363)))</f>
        <v>0.43955167314492088</v>
      </c>
      <c r="C364" s="18">
        <f>IF($A364&gt;'1-Input'!$B$26,0,(MAX(0,B341-IF($A364&gt;='1-Input'!$C$12,'1-Input'!$B$12,0))-MIN(MAX(F363,0),MAX(0,B341-IF($A364&gt;='1-Input'!$C$12,'1-Input'!$B$12,0))))*(1/(1-'P-Parametri'!$B$6*B364))+MIN(MAX(0,G363-(MAX(0,B341-IF($A364&gt;='1-Input'!$C$12,'1-Input'!$B$12,0))-MIN(MAX(F363,0),MAX(0,B341-IF($A364&gt;='1-Input'!$C$12,'1-Input'!$B$12,0))))*(1/(1-'P-Parametri'!$B$6*B364))),MAX(0,5*B341-(F363-MIN(MAX(F363,0),MAX(0,B341-IF($A364&gt;='1-Input'!$C$12,'1-Input'!$B$12,0)))))*(1/(1-'P-Parametri'!$B$6*B364))))</f>
        <v>19172.402303018949</v>
      </c>
      <c r="D364" s="18">
        <f>IF($A364&gt;'1-Input'!$B$26,F363,(F363-MAX(0,B341-IF($A364&gt;='1-Input'!$C$12,'1-Input'!$B$12,0))+C364*(1-'P-Parametri'!$B$6*B364))*(1+'1-Input'!$B$27))</f>
        <v>83105.01757746574</v>
      </c>
      <c r="E364" s="18">
        <f>IF($A364&gt;'1-Input'!$B$26,G363,(G363-C364)*(1+$B$4))</f>
        <v>36053.144323938635</v>
      </c>
      <c r="F364" s="18">
        <f>IF($A364&gt;'1-Input'!$B$26,D364,D364-'P-Parametri'!$B$8*(E364+D364)+MIN(MAX(E364,0),'P-Parametri'!$B$8*(E364+D364)))</f>
        <v>83105.01757746574</v>
      </c>
      <c r="G364" s="18">
        <f>IF($A364&gt;'1-Input'!$B$26,E364,E364-MIN(MAX(E364,0),'P-Parametri'!$B$8*(E364+D364)))</f>
        <v>35814.828000135829</v>
      </c>
      <c r="H364" s="18">
        <f>IF($A364&gt;'1-Input'!$B$26,H363,H363-C364*(1-B364))</f>
        <v>19809.729817858926</v>
      </c>
      <c r="I364" s="11">
        <f>IF($A364&gt;'1-Input'!$B$26,0,IF(N363&lt;=0,0,MAX(0,(N363-O363)/N363)))</f>
        <v>0</v>
      </c>
      <c r="J364" s="18">
        <f>IF($A364&gt;'1-Input'!$B$26,0,(MAX(0,I341-IF($A364&gt;='1-Input'!$C$12,'1-Input'!$B$12,0))-MIN(MAX(M363,0),MAX(0,I341-IF($A364&gt;='1-Input'!$C$12,'1-Input'!$B$12,0))))*(1/(1-'P-Parametri'!$B$6*I364))+MIN(MAX(0,N363-(MAX(0,I341-IF($A364&gt;='1-Input'!$C$12,'1-Input'!$B$12,0))-MIN(MAX(M363,0),MAX(0,I341-IF($A364&gt;='1-Input'!$C$12,'1-Input'!$B$12,0))))*(1/(1-'P-Parametri'!$B$6*I364))),MAX(0,5*I341-(M363-MIN(MAX(M363,0),MAX(0,I341-IF($A364&gt;='1-Input'!$C$12,'1-Input'!$B$12,0)))))*(1/(1-'P-Parametri'!$B$6*I364))))</f>
        <v>17630.487765760452</v>
      </c>
      <c r="K364" s="18">
        <f>IF($A364&gt;'1-Input'!$B$26,M363,(M363-MAX(0,I341-IF($A364&gt;='1-Input'!$C$12,'1-Input'!$B$12,0))+J364*(1-'P-Parametri'!$B$6*I364))*(1+'1-Input'!$B$27))</f>
        <v>0</v>
      </c>
      <c r="L364" s="18">
        <f>IF($A364&gt;'1-Input'!$B$26,N363,(N363-J364)*(1+$B$4))</f>
        <v>-17983.097521075662</v>
      </c>
      <c r="M364" s="18">
        <f>IF($A364&gt;'1-Input'!$B$26,K364,K364-'P-Parametri'!$B$8*(L364+K364)+MIN(MAX(L364,0),'P-Parametri'!$B$8*(L364+K364)))</f>
        <v>0</v>
      </c>
      <c r="N364" s="18">
        <f>IF($A364&gt;'1-Input'!$B$26,L364,L364-MIN(MAX(L364,0),'P-Parametri'!$B$8*(L364+K364)))</f>
        <v>-17947.131326033512</v>
      </c>
      <c r="O364" s="18">
        <f>IF($A364&gt;'1-Input'!$B$26,O363,O363-J364*(1-I364))</f>
        <v>-17630.487765760452</v>
      </c>
      <c r="P364" s="11">
        <f>IF($A364&gt;'1-Input'!$B$26,0,IF(U363&lt;=0,0,MAX(0,(U363-V363)/U363)))</f>
        <v>0.44127043342053168</v>
      </c>
      <c r="Q364" s="18">
        <f>IF($A364&gt;'1-Input'!$B$26,0,(MAX(0,P341-IF($A364&gt;='1-Input'!$C$12,'1-Input'!$B$12,0))-MIN(MAX(T363,0),MAX(0,P341-IF($A364&gt;='1-Input'!$C$12,'1-Input'!$B$12,0))))*(1/(1-'P-Parametri'!$B$6*P364))+MIN(MAX(0,U363-(MAX(0,P341-IF($A364&gt;='1-Input'!$C$12,'1-Input'!$B$12,0))-MIN(MAX(T363,0),MAX(0,P341-IF($A364&gt;='1-Input'!$C$12,'1-Input'!$B$12,0))))*(1/(1-'P-Parametri'!$B$6*P364))),MAX(0,5*P341-(T363-MIN(MAX(T363,0),MAX(0,P341-IF($A364&gt;='1-Input'!$C$12,'1-Input'!$B$12,0)))))*(1/(1-'P-Parametri'!$B$6*P364))))</f>
        <v>18519.400658409442</v>
      </c>
      <c r="R364" s="18">
        <f>IF($A364&gt;'1-Input'!$B$26,T363,(T363-MAX(0,P341-IF($A364&gt;='1-Input'!$C$12,'1-Input'!$B$12,0))+Q364*(1-'P-Parametri'!$B$6*P364))*(1+'1-Input'!$B$27))</f>
        <v>80234.004123491206</v>
      </c>
      <c r="S364" s="18">
        <f>IF($A364&gt;'1-Input'!$B$26,U363,(U363-Q364)*(1+$B$4))</f>
        <v>56841.737131284513</v>
      </c>
      <c r="T364" s="18">
        <f>IF($A364&gt;'1-Input'!$B$26,R364,R364-'P-Parametri'!$B$8*(S364+R364)+MIN(MAX(S364,0),'P-Parametri'!$B$8*(S364+R364)))</f>
        <v>80234.004123491206</v>
      </c>
      <c r="U364" s="18">
        <f>IF($A364&gt;'1-Input'!$B$26,S364,S364-MIN(MAX(S364,0),'P-Parametri'!$B$8*(S364+R364)))</f>
        <v>56567.585648774962</v>
      </c>
      <c r="V364" s="18">
        <f>IF($A364&gt;'1-Input'!$B$26,V363,V363-Q364*(1-P364))</f>
        <v>31136.430540183006</v>
      </c>
      <c r="W364" s="11">
        <f>IF($A364&gt;'1-Input'!$B$26,0,IF(AB363&lt;=0,0,MAX(0,(AB363-AC363)/AB363)))</f>
        <v>0.4414808251802772</v>
      </c>
      <c r="X364" s="18">
        <f>IF($A364&gt;'1-Input'!$B$26,0,(MAX(0,W341-IF($A364&gt;='1-Input'!$C$12,'1-Input'!$B$12,0))-MIN(MAX(AA363,0),MAX(0,W341-IF($A364&gt;='1-Input'!$C$12,'1-Input'!$B$12,0))))*(1/(1-'P-Parametri'!$B$6*W364))+MIN(MAX(0,AB363-(MAX(0,W341-IF($A364&gt;='1-Input'!$C$12,'1-Input'!$B$12,0))-MIN(MAX(AA363,0),MAX(0,W341-IF($A364&gt;='1-Input'!$C$12,'1-Input'!$B$12,0))))*(1/(1-'P-Parametri'!$B$6*W364))),MAX(0,5*W341-(AA363-MIN(MAX(AA363,0),MAX(0,W341-IF($A364&gt;='1-Input'!$C$12,'1-Input'!$B$12,0)))))*(1/(1-'P-Parametri'!$B$6*W364))))</f>
        <v>18421.112990504782</v>
      </c>
      <c r="Y364" s="18">
        <f>IF($A364&gt;'1-Input'!$B$26,AA363,(AA363-MAX(0,W341-IF($A364&gt;='1-Input'!$C$12,'1-Input'!$B$12,0))+X364*(1-'P-Parametri'!$B$6*W364))*(1+'1-Input'!$B$27))</f>
        <v>79803.248256166989</v>
      </c>
      <c r="Z364" s="18">
        <f>IF($A364&gt;'1-Input'!$B$26,AB363,(AB363-X364)*(1+$B$4))</f>
        <v>59961.79336250521</v>
      </c>
      <c r="AA364" s="18">
        <f>IF($A364&gt;'1-Input'!$B$26,Y364,Y364-'P-Parametri'!$B$8*(Z364+Y364)+MIN(MAX(Z364,0),'P-Parametri'!$B$8*(Z364+Y364)))</f>
        <v>79803.248256166989</v>
      </c>
      <c r="AB364" s="18">
        <f>IF($A364&gt;'1-Input'!$B$26,Z364,Z364-MIN(MAX(Z364,0),'P-Parametri'!$B$8*(Z364+Y364)))</f>
        <v>59682.263279267863</v>
      </c>
      <c r="AC364" s="18">
        <f>IF($A364&gt;'1-Input'!$B$26,AC363,AC363-X364*(1-W364))</f>
        <v>32833.148381899155</v>
      </c>
      <c r="AD364" s="11">
        <f>IF($A364&gt;'1-Input'!$B$26,0,IF(AI363&lt;=0,0,MAX(0,(AI363-AJ363)/AI363)))</f>
        <v>0.44151985334047333</v>
      </c>
      <c r="AE364" s="18">
        <f>IF($A364&gt;'1-Input'!$B$26,0,(MAX(0,AD341-IF($A364&gt;='1-Input'!$C$12,'1-Input'!$B$12,0))-MIN(MAX(AH363,0),MAX(0,AD341-IF($A364&gt;='1-Input'!$C$12,'1-Input'!$B$12,0))))*(1/(1-'P-Parametri'!$B$6*AD364))+MIN(MAX(0,AI363-(MAX(0,AD341-IF($A364&gt;='1-Input'!$C$12,'1-Input'!$B$12,0))-MIN(MAX(AH363,0),MAX(0,AD341-IF($A364&gt;='1-Input'!$C$12,'1-Input'!$B$12,0))))*(1/(1-'P-Parametri'!$B$6*AD364))),MAX(0,5*AD341-(AH363-MIN(MAX(AH363,0),MAX(0,AD341-IF($A364&gt;='1-Input'!$C$12,'1-Input'!$B$12,0)))))*(1/(1-'P-Parametri'!$B$6*AD364))))</f>
        <v>18402.370012540068</v>
      </c>
      <c r="AF364" s="18">
        <f>IF($A364&gt;'1-Input'!$B$26,AH363,(AH363-MAX(0,AD341-IF($A364&gt;='1-Input'!$C$12,'1-Input'!$B$12,0))+AE364*(1-'P-Parametri'!$B$6*AD364))*(1+'1-Input'!$B$27))</f>
        <v>79721.136773578575</v>
      </c>
      <c r="AG364" s="18">
        <f>IF($A364&gt;'1-Input'!$B$26,AI363,(AI363-AE364)*(1+$B$4))</f>
        <v>60556.569994994796</v>
      </c>
      <c r="AH364" s="18">
        <f>IF($A364&gt;'1-Input'!$B$26,AF364,AF364-'P-Parametri'!$B$8*(AG364+AF364)+MIN(MAX(AG364,0),'P-Parametri'!$B$8*(AG364+AF364)))</f>
        <v>79721.136773578575</v>
      </c>
      <c r="AI364" s="18">
        <f>IF($A364&gt;'1-Input'!$B$26,AG364,AG364-MIN(MAX(AG364,0),'P-Parametri'!$B$8*(AG364+AF364)))</f>
        <v>60276.014581457646</v>
      </c>
      <c r="AJ364" s="18">
        <f>IF($A364&gt;'1-Input'!$B$26,AJ363,AJ363-AE364*(1-AD364))</f>
        <v>33156.511854904493</v>
      </c>
      <c r="AK364" s="11">
        <f>IF($A364&gt;'1-Input'!$B$26,0,IF(AP363&lt;=0,0,MAX(0,(AP363-AQ363)/AP363)))</f>
        <v>0.44151985770043251</v>
      </c>
      <c r="AL364" s="18">
        <f>IF($A364&gt;'1-Input'!$B$26,0,(MAX(0,AK341-IF($A364&gt;='1-Input'!$C$12,'1-Input'!$B$12,0))-MIN(MAX(AO363,0),MAX(0,AK341-IF($A364&gt;='1-Input'!$C$12,'1-Input'!$B$12,0))))*(1/(1-'P-Parametri'!$B$6*AK364))+MIN(MAX(0,AP363-(MAX(0,AK341-IF($A364&gt;='1-Input'!$C$12,'1-Input'!$B$12,0))-MIN(MAX(AO363,0),MAX(0,AK341-IF($A364&gt;='1-Input'!$C$12,'1-Input'!$B$12,0))))*(1/(1-'P-Parametri'!$B$6*AK364))),MAX(0,5*AK341-(AO363-MIN(MAX(AO363,0),MAX(0,AK341-IF($A364&gt;='1-Input'!$C$12,'1-Input'!$B$12,0)))))*(1/(1-'P-Parametri'!$B$6*AK364))))</f>
        <v>18402.367909604582</v>
      </c>
      <c r="AM364" s="18">
        <f>IF($A364&gt;'1-Input'!$B$26,AO363,(AO363-MAX(0,AK341-IF($A364&gt;='1-Input'!$C$12,'1-Input'!$B$12,0))+AL364*(1-'P-Parametri'!$B$6*AK364))*(1+'1-Input'!$B$27))</f>
        <v>79721.127561334986</v>
      </c>
      <c r="AN364" s="18">
        <f>IF($A364&gt;'1-Input'!$B$26,AP363,(AP363-AL364)*(1+$B$4))</f>
        <v>60556.636724570562</v>
      </c>
      <c r="AO364" s="18">
        <f>IF($A364&gt;'1-Input'!$B$26,AM364,AM364-'P-Parametri'!$B$8*(AN364+AM364)+MIN(MAX(AN364,0),'P-Parametri'!$B$8*(AN364+AM364)))</f>
        <v>79721.127561334986</v>
      </c>
      <c r="AP364" s="18">
        <f>IF($A364&gt;'1-Input'!$B$26,AN364,AN364-MIN(MAX(AN364,0),'P-Parametri'!$B$8*(AN364+AM364)))</f>
        <v>60276.081195998748</v>
      </c>
      <c r="AQ364" s="18">
        <f>IF($A364&gt;'1-Input'!$B$26,AQ363,AQ363-AL364*(1-AK364))</f>
        <v>33156.548132471944</v>
      </c>
    </row>
    <row r="365" spans="1:43">
      <c r="A365" s="10">
        <f>22</f>
        <v>22</v>
      </c>
      <c r="B365" s="11">
        <f>IF($A365&gt;'1-Input'!$B$26,0,IF(G364&lt;=0,0,MAX(0,(G364-H364)/G364)))</f>
        <v>0.4468846864828222</v>
      </c>
      <c r="C365" s="18">
        <f>IF($A365&gt;'1-Input'!$B$26,0,(MAX(0,B341-IF($A365&gt;='1-Input'!$C$12,'1-Input'!$B$12,0))-MIN(MAX(F364,0),MAX(0,B341-IF($A365&gt;='1-Input'!$C$12,'1-Input'!$B$12,0))))*(1/(1-'P-Parametri'!$B$6*B365))+MIN(MAX(0,G364-(MAX(0,B341-IF($A365&gt;='1-Input'!$C$12,'1-Input'!$B$12,0))-MIN(MAX(F364,0),MAX(0,B341-IF($A365&gt;='1-Input'!$C$12,'1-Input'!$B$12,0))))*(1/(1-'P-Parametri'!$B$6*B365))),MAX(0,5*B341-(F364-MIN(MAX(F364,0),MAX(0,B341-IF($A365&gt;='1-Input'!$C$12,'1-Input'!$B$12,0)))))*(1/(1-'P-Parametri'!$B$6*B365))))</f>
        <v>19213.761629157529</v>
      </c>
      <c r="D365" s="18">
        <f>IF($A365&gt;'1-Input'!$B$26,F364,(F364-MAX(0,B341-IF($A365&gt;='1-Input'!$C$12,'1-Input'!$B$12,0))+C365*(1-'P-Parametri'!$B$6*B365))*(1+'1-Input'!$B$27))</f>
        <v>83105.01757746574</v>
      </c>
      <c r="E365" s="18">
        <f>IF($A365&gt;'1-Input'!$B$26,G364,(G364-C365)*(1+$B$4))</f>
        <v>16933.087698397867</v>
      </c>
      <c r="F365" s="18">
        <f>IF($A365&gt;'1-Input'!$B$26,D365,D365-'P-Parametri'!$B$8*(E365+D365)+MIN(MAX(E365,0),'P-Parametri'!$B$8*(E365+D365)))</f>
        <v>83105.01757746574</v>
      </c>
      <c r="G365" s="18">
        <f>IF($A365&gt;'1-Input'!$B$26,E365,E365-MIN(MAX(E365,0),'P-Parametri'!$B$8*(E365+D365)))</f>
        <v>16733.011487846139</v>
      </c>
      <c r="H365" s="18">
        <f>IF($A365&gt;'1-Input'!$B$26,H364,H364-C365*(1-B365))</f>
        <v>9182.3040305031391</v>
      </c>
      <c r="I365" s="11">
        <f>IF($A365&gt;'1-Input'!$B$26,0,IF(N364&lt;=0,0,MAX(0,(N364-O364)/N364)))</f>
        <v>0</v>
      </c>
      <c r="J365" s="18">
        <f>IF($A365&gt;'1-Input'!$B$26,0,(MAX(0,I341-IF($A365&gt;='1-Input'!$C$12,'1-Input'!$B$12,0))-MIN(MAX(M364,0),MAX(0,I341-IF($A365&gt;='1-Input'!$C$12,'1-Input'!$B$12,0))))*(1/(1-'P-Parametri'!$B$6*I365))+MIN(MAX(0,N364-(MAX(0,I341-IF($A365&gt;='1-Input'!$C$12,'1-Input'!$B$12,0))-MIN(MAX(M364,0),MAX(0,I341-IF($A365&gt;='1-Input'!$C$12,'1-Input'!$B$12,0))))*(1/(1-'P-Parametri'!$B$6*I365))),MAX(0,5*I341-(M364-MIN(MAX(M364,0),MAX(0,I341-IF($A365&gt;='1-Input'!$C$12,'1-Input'!$B$12,0)))))*(1/(1-'P-Parametri'!$B$6*I365))))</f>
        <v>21948.756992928691</v>
      </c>
      <c r="K365" s="18">
        <f>IF($A365&gt;'1-Input'!$B$26,M364,(M364-MAX(0,I341-IF($A365&gt;='1-Input'!$C$12,'1-Input'!$B$12,0))+J365*(1-'P-Parametri'!$B$6*I365))*(1+'1-Input'!$B$27))</f>
        <v>0</v>
      </c>
      <c r="L365" s="18">
        <f>IF($A365&gt;'1-Input'!$B$26,N364,(N364-J365)*(1+$B$4))</f>
        <v>-40693.806085341443</v>
      </c>
      <c r="M365" s="18">
        <f>IF($A365&gt;'1-Input'!$B$26,K365,K365-'P-Parametri'!$B$8*(L365+K365)+MIN(MAX(L365,0),'P-Parametri'!$B$8*(L365+K365)))</f>
        <v>0</v>
      </c>
      <c r="N365" s="18">
        <f>IF($A365&gt;'1-Input'!$B$26,L365,L365-MIN(MAX(L365,0),'P-Parametri'!$B$8*(L365+K365)))</f>
        <v>-40612.418473170757</v>
      </c>
      <c r="O365" s="18">
        <f>IF($A365&gt;'1-Input'!$B$26,O364,O364-J365*(1-I365))</f>
        <v>-39579.244758689143</v>
      </c>
      <c r="P365" s="11">
        <f>IF($A365&gt;'1-Input'!$B$26,0,IF(U364&lt;=0,0,MAX(0,(U364-V364)/U364)))</f>
        <v>0.44957116017806742</v>
      </c>
      <c r="Q365" s="18">
        <f>IF($A365&gt;'1-Input'!$B$26,0,(MAX(0,P341-IF($A365&gt;='1-Input'!$C$12,'1-Input'!$B$12,0))-MIN(MAX(T364,0),MAX(0,P341-IF($A365&gt;='1-Input'!$C$12,'1-Input'!$B$12,0))))*(1/(1-'P-Parametri'!$B$6*P365))+MIN(MAX(0,U364-(MAX(0,P341-IF($A365&gt;='1-Input'!$C$12,'1-Input'!$B$12,0))-MIN(MAX(T364,0),MAX(0,P341-IF($A365&gt;='1-Input'!$C$12,'1-Input'!$B$12,0))))*(1/(1-'P-Parametri'!$B$6*P365))),MAX(0,5*P341-(T364-MIN(MAX(T364,0),MAX(0,P341-IF($A365&gt;='1-Input'!$C$12,'1-Input'!$B$12,0)))))*(1/(1-'P-Parametri'!$B$6*P365))))</f>
        <v>18564.659231154779</v>
      </c>
      <c r="R365" s="18">
        <f>IF($A365&gt;'1-Input'!$B$26,T364,(T364-MAX(0,P341-IF($A365&gt;='1-Input'!$C$12,'1-Input'!$B$12,0))+Q365*(1-'P-Parametri'!$B$6*P365))*(1+'1-Input'!$B$27))</f>
        <v>80234.004123491206</v>
      </c>
      <c r="S365" s="18">
        <f>IF($A365&gt;'1-Input'!$B$26,U364,(U364-Q365)*(1+$B$4))</f>
        <v>38762.984945972588</v>
      </c>
      <c r="T365" s="18">
        <f>IF($A365&gt;'1-Input'!$B$26,R365,R365-'P-Parametri'!$B$8*(S365+R365)+MIN(MAX(S365,0),'P-Parametri'!$B$8*(S365+R365)))</f>
        <v>80234.004123491206</v>
      </c>
      <c r="U365" s="18">
        <f>IF($A365&gt;'1-Input'!$B$26,S365,S365-MIN(MAX(S365,0),'P-Parametri'!$B$8*(S365+R365)))</f>
        <v>38524.990967833663</v>
      </c>
      <c r="V365" s="18">
        <f>IF($A365&gt;'1-Input'!$B$26,V364,V364-Q365*(1-P365))</f>
        <v>20917.90669788895</v>
      </c>
      <c r="W365" s="11">
        <f>IF($A365&gt;'1-Input'!$B$26,0,IF(AB364&lt;=0,0,MAX(0,(AB364-AC364)/AB364)))</f>
        <v>0.44986757240983227</v>
      </c>
      <c r="X365" s="18">
        <f>IF($A365&gt;'1-Input'!$B$26,0,(MAX(0,W341-IF($A365&gt;='1-Input'!$C$12,'1-Input'!$B$12,0))-MIN(MAX(AA364,0),MAX(0,W341-IF($A365&gt;='1-Input'!$C$12,'1-Input'!$B$12,0))))*(1/(1-'P-Parametri'!$B$6*W365))+MIN(MAX(0,AB364-(MAX(0,W341-IF($A365&gt;='1-Input'!$C$12,'1-Input'!$B$12,0))-MIN(MAX(AA364,0),MAX(0,W341-IF($A365&gt;='1-Input'!$C$12,'1-Input'!$B$12,0))))*(1/(1-'P-Parametri'!$B$6*W365))),MAX(0,5*W341-(AA364-MIN(MAX(AA364,0),MAX(0,W341-IF($A365&gt;='1-Input'!$C$12,'1-Input'!$B$12,0)))))*(1/(1-'P-Parametri'!$B$6*W365))))</f>
        <v>18466.601858605445</v>
      </c>
      <c r="Y365" s="18">
        <f>IF($A365&gt;'1-Input'!$B$26,AA364,(AA364-MAX(0,W341-IF($A365&gt;='1-Input'!$C$12,'1-Input'!$B$12,0))+X365*(1-'P-Parametri'!$B$6*W365))*(1+'1-Input'!$B$27))</f>
        <v>79803.248256166989</v>
      </c>
      <c r="Z365" s="18">
        <f>IF($A365&gt;'1-Input'!$B$26,AB364,(AB364-X365)*(1+$B$4))</f>
        <v>42039.974649075673</v>
      </c>
      <c r="AA365" s="18">
        <f>IF($A365&gt;'1-Input'!$B$26,Y365,Y365-'P-Parametri'!$B$8*(Z365+Y365)+MIN(MAX(Z365,0),'P-Parametri'!$B$8*(Z365+Y365)))</f>
        <v>79803.248256166989</v>
      </c>
      <c r="AB365" s="18">
        <f>IF($A365&gt;'1-Input'!$B$26,Z365,Z365-MIN(MAX(Z365,0),'P-Parametri'!$B$8*(Z365+Y365)))</f>
        <v>41796.288203265191</v>
      </c>
      <c r="AC365" s="18">
        <f>IF($A365&gt;'1-Input'!$B$26,AC364,AC364-X365*(1-W365))</f>
        <v>22674.071872083437</v>
      </c>
      <c r="AD365" s="11">
        <f>IF($A365&gt;'1-Input'!$B$26,0,IF(AI364&lt;=0,0,MAX(0,(AI364-AJ364)/AI364)))</f>
        <v>0.44992196174323318</v>
      </c>
      <c r="AE365" s="18">
        <f>IF($A365&gt;'1-Input'!$B$26,0,(MAX(0,AD341-IF($A365&gt;='1-Input'!$C$12,'1-Input'!$B$12,0))-MIN(MAX(AH364,0),MAX(0,AD341-IF($A365&gt;='1-Input'!$C$12,'1-Input'!$B$12,0))))*(1/(1-'P-Parametri'!$B$6*AD365))+MIN(MAX(0,AI364-(MAX(0,AD341-IF($A365&gt;='1-Input'!$C$12,'1-Input'!$B$12,0))-MIN(MAX(AH364,0),MAX(0,AD341-IF($A365&gt;='1-Input'!$C$12,'1-Input'!$B$12,0))))*(1/(1-'P-Parametri'!$B$6*AD365))),MAX(0,5*AD341-(AH364-MIN(MAX(AH364,0),MAX(0,AD341-IF($A365&gt;='1-Input'!$C$12,'1-Input'!$B$12,0)))))*(1/(1-'P-Parametri'!$B$6*AD365))))</f>
        <v>18447.896558716962</v>
      </c>
      <c r="AF365" s="18">
        <f>IF($A365&gt;'1-Input'!$B$26,AH364,(AH364-MAX(0,AD341-IF($A365&gt;='1-Input'!$C$12,'1-Input'!$B$12,0))+AE365*(1-'P-Parametri'!$B$6*AD365))*(1+'1-Input'!$B$27))</f>
        <v>79721.136773578575</v>
      </c>
      <c r="AG365" s="18">
        <f>IF($A365&gt;'1-Input'!$B$26,AI364,(AI364-AE365)*(1+$B$4))</f>
        <v>42664.680383195504</v>
      </c>
      <c r="AH365" s="18">
        <f>IF($A365&gt;'1-Input'!$B$26,AF365,AF365-'P-Parametri'!$B$8*(AG365+AF365)+MIN(MAX(AG365,0),'P-Parametri'!$B$8*(AG365+AF365)))</f>
        <v>79721.136773578575</v>
      </c>
      <c r="AI365" s="18">
        <f>IF($A365&gt;'1-Input'!$B$26,AG365,AG365-MIN(MAX(AG365,0),'P-Parametri'!$B$8*(AG365+AF365)))</f>
        <v>42419.908748881957</v>
      </c>
      <c r="AJ365" s="18">
        <f>IF($A365&gt;'1-Input'!$B$26,AJ364,AJ364-AE365*(1-AD365))</f>
        <v>23008.729105921706</v>
      </c>
      <c r="AK365" s="11">
        <f>IF($A365&gt;'1-Input'!$B$26,0,IF(AP364&lt;=0,0,MAX(0,(AP364-AQ364)/AP364)))</f>
        <v>0.44992196780913246</v>
      </c>
      <c r="AL365" s="18">
        <f>IF($A365&gt;'1-Input'!$B$26,0,(MAX(0,AK341-IF($A365&gt;='1-Input'!$C$12,'1-Input'!$B$12,0))-MIN(MAX(AO364,0),MAX(0,AK341-IF($A365&gt;='1-Input'!$C$12,'1-Input'!$B$12,0))))*(1/(1-'P-Parametri'!$B$6*AK365))+MIN(MAX(0,AP364-(MAX(0,AK341-IF($A365&gt;='1-Input'!$C$12,'1-Input'!$B$12,0))-MIN(MAX(AO364,0),MAX(0,AK341-IF($A365&gt;='1-Input'!$C$12,'1-Input'!$B$12,0))))*(1/(1-'P-Parametri'!$B$6*AK365))),MAX(0,5*AK341-(AO364-MIN(MAX(AO364,0),MAX(0,AK341-IF($A365&gt;='1-Input'!$C$12,'1-Input'!$B$12,0)))))*(1/(1-'P-Parametri'!$B$6*AK365))))</f>
        <v>18447.894459903811</v>
      </c>
      <c r="AM365" s="18">
        <f>IF($A365&gt;'1-Input'!$B$26,AO364,(AO364-MAX(0,AK341-IF($A365&gt;='1-Input'!$C$12,'1-Input'!$B$12,0))+AL365*(1-'P-Parametri'!$B$6*AK365))*(1+'1-Input'!$B$27))</f>
        <v>79721.127561334986</v>
      </c>
      <c r="AN365" s="18">
        <f>IF($A365&gt;'1-Input'!$B$26,AP364,(AP364-AL365)*(1+$B$4))</f>
        <v>42664.750470816842</v>
      </c>
      <c r="AO365" s="18">
        <f>IF($A365&gt;'1-Input'!$B$26,AM365,AM365-'P-Parametri'!$B$8*(AN365+AM365)+MIN(MAX(AN365,0),'P-Parametri'!$B$8*(AN365+AM365)))</f>
        <v>79721.127561334986</v>
      </c>
      <c r="AP365" s="18">
        <f>IF($A365&gt;'1-Input'!$B$26,AN365,AN365-MIN(MAX(AN365,0),'P-Parametri'!$B$8*(AN365+AM365)))</f>
        <v>42419.978714752535</v>
      </c>
      <c r="AQ365" s="18">
        <f>IF($A365&gt;'1-Input'!$B$26,AQ364,AQ364-AL365*(1-AK365))</f>
        <v>23008.766649903249</v>
      </c>
    </row>
    <row r="366" spans="1:43">
      <c r="A366" s="10">
        <f>23</f>
        <v>23</v>
      </c>
      <c r="B366" s="11">
        <f>IF($A366&gt;'1-Input'!$B$26,0,IF(G365&lt;=0,0,MAX(0,(G365-H365)/G365)))</f>
        <v>0.45124617662680644</v>
      </c>
      <c r="C366" s="18">
        <f>IF($A366&gt;'1-Input'!$B$26,0,(MAX(0,B341-IF($A366&gt;='1-Input'!$C$12,'1-Input'!$B$12,0))-MIN(MAX(F365,0),MAX(0,B341-IF($A366&gt;='1-Input'!$C$12,'1-Input'!$B$12,0))))*(1/(1-'P-Parametri'!$B$6*B366))+MIN(MAX(0,G365-(MAX(0,B341-IF($A366&gt;='1-Input'!$C$12,'1-Input'!$B$12,0))-MIN(MAX(F365,0),MAX(0,B341-IF($A366&gt;='1-Input'!$C$12,'1-Input'!$B$12,0))))*(1/(1-'P-Parametri'!$B$6*B366))),MAX(0,5*B341-(F365-MIN(MAX(F365,0),MAX(0,B341-IF($A366&gt;='1-Input'!$C$12,'1-Input'!$B$12,0)))))*(1/(1-'P-Parametri'!$B$6*B366))))</f>
        <v>6660.7841945863465</v>
      </c>
      <c r="D366" s="18">
        <f>IF($A366&gt;'1-Input'!$B$26,F365,(F365-MAX(0,B341-IF($A366&gt;='1-Input'!$C$12,'1-Input'!$B$12,0))+C366*(1-'P-Parametri'!$B$6*B366))*(1+'1-Input'!$B$27))</f>
        <v>83105.01757746574</v>
      </c>
      <c r="E366" s="18">
        <f>IF($A366&gt;'1-Input'!$B$26,G365,(G365-C366)*(1+$B$4))</f>
        <v>10273.671839124987</v>
      </c>
      <c r="F366" s="18">
        <f>IF($A366&gt;'1-Input'!$B$26,D366,D366-'P-Parametri'!$B$8*(E366+D366)+MIN(MAX(E366,0),'P-Parametri'!$B$8*(E366+D366)))</f>
        <v>83105.01757746574</v>
      </c>
      <c r="G366" s="18">
        <f>IF($A366&gt;'1-Input'!$B$26,E366,E366-MIN(MAX(E366,0),'P-Parametri'!$B$8*(E366+D366)))</f>
        <v>10086.914460291806</v>
      </c>
      <c r="H366" s="18">
        <f>IF($A366&gt;'1-Input'!$B$26,H365,H365-C366*(1-B366))</f>
        <v>5527.1732370601439</v>
      </c>
      <c r="I366" s="11">
        <f>IF($A366&gt;'1-Input'!$B$26,0,IF(N365&lt;=0,0,MAX(0,(N365-O365)/N365)))</f>
        <v>0</v>
      </c>
      <c r="J366" s="18">
        <f>IF($A366&gt;'1-Input'!$B$26,0,(MAX(0,I341-IF($A366&gt;='1-Input'!$C$12,'1-Input'!$B$12,0))-MIN(MAX(M365,0),MAX(0,I341-IF($A366&gt;='1-Input'!$C$12,'1-Input'!$B$12,0))))*(1/(1-'P-Parametri'!$B$6*I366))+MIN(MAX(0,N365-(MAX(0,I341-IF($A366&gt;='1-Input'!$C$12,'1-Input'!$B$12,0))-MIN(MAX(M365,0),MAX(0,I341-IF($A366&gt;='1-Input'!$C$12,'1-Input'!$B$12,0))))*(1/(1-'P-Parametri'!$B$6*I366))),MAX(0,5*I341-(M365-MIN(MAX(M365,0),MAX(0,I341-IF($A366&gt;='1-Input'!$C$12,'1-Input'!$B$12,0)))))*(1/(1-'P-Parametri'!$B$6*I366))))</f>
        <v>10846.756992928691</v>
      </c>
      <c r="K366" s="18">
        <f>IF($A366&gt;'1-Input'!$B$26,M365,(M365-MAX(0,I341-IF($A366&gt;='1-Input'!$C$12,'1-Input'!$B$12,0))+J366*(1-'P-Parametri'!$B$6*I366))*(1+'1-Input'!$B$27))</f>
        <v>0</v>
      </c>
      <c r="L366" s="18">
        <f>IF($A366&gt;'1-Input'!$B$26,N365,(N365-J366)*(1+$B$4))</f>
        <v>-52488.358975421441</v>
      </c>
      <c r="M366" s="18">
        <f>IF($A366&gt;'1-Input'!$B$26,K366,K366-'P-Parametri'!$B$8*(L366+K366)+MIN(MAX(L366,0),'P-Parametri'!$B$8*(L366+K366)))</f>
        <v>0</v>
      </c>
      <c r="N366" s="18">
        <f>IF($A366&gt;'1-Input'!$B$26,L366,L366-MIN(MAX(L366,0),'P-Parametri'!$B$8*(L366+K366)))</f>
        <v>-52383.382257470599</v>
      </c>
      <c r="O366" s="18">
        <f>IF($A366&gt;'1-Input'!$B$26,O365,O365-J366*(1-I366))</f>
        <v>-50426.001751617834</v>
      </c>
      <c r="P366" s="11">
        <f>IF($A366&gt;'1-Input'!$B$26,0,IF(U365&lt;=0,0,MAX(0,(U365-V365)/U365)))</f>
        <v>0.45703019851829946</v>
      </c>
      <c r="Q366" s="18">
        <f>IF($A366&gt;'1-Input'!$B$26,0,(MAX(0,P341-IF($A366&gt;='1-Input'!$C$12,'1-Input'!$B$12,0))-MIN(MAX(T365,0),MAX(0,P341-IF($A366&gt;='1-Input'!$C$12,'1-Input'!$B$12,0))))*(1/(1-'P-Parametri'!$B$6*P366))+MIN(MAX(0,U365-(MAX(0,P341-IF($A366&gt;='1-Input'!$C$12,'1-Input'!$B$12,0))-MIN(MAX(T365,0),MAX(0,P341-IF($A366&gt;='1-Input'!$C$12,'1-Input'!$B$12,0))))*(1/(1-'P-Parametri'!$B$6*P366))),MAX(0,5*P341-(T365-MIN(MAX(T365,0),MAX(0,P341-IF($A366&gt;='1-Input'!$C$12,'1-Input'!$B$12,0)))))*(1/(1-'P-Parametri'!$B$6*P366))))</f>
        <v>6006.3905103558436</v>
      </c>
      <c r="R366" s="18">
        <f>IF($A366&gt;'1-Input'!$B$26,T365,(T365-MAX(0,P341-IF($A366&gt;='1-Input'!$C$12,'1-Input'!$B$12,0))+Q366*(1-'P-Parametri'!$B$6*P366))*(1+'1-Input'!$B$27))</f>
        <v>80234.004123491206</v>
      </c>
      <c r="S366" s="18">
        <f>IF($A366&gt;'1-Input'!$B$26,U365,(U365-Q366)*(1+$B$4))</f>
        <v>33168.972466627376</v>
      </c>
      <c r="T366" s="18">
        <f>IF($A366&gt;'1-Input'!$B$26,R366,R366-'P-Parametri'!$B$8*(S366+R366)+MIN(MAX(S366,0),'P-Parametri'!$B$8*(S366+R366)))</f>
        <v>80234.004123491206</v>
      </c>
      <c r="U366" s="18">
        <f>IF($A366&gt;'1-Input'!$B$26,S366,S366-MIN(MAX(S366,0),'P-Parametri'!$B$8*(S366+R366)))</f>
        <v>32942.16651344714</v>
      </c>
      <c r="V366" s="18">
        <f>IF($A366&gt;'1-Input'!$B$26,V365,V365-Q366*(1-P366))</f>
        <v>17656.618034859468</v>
      </c>
      <c r="W366" s="11">
        <f>IF($A366&gt;'1-Input'!$B$26,0,IF(AB365&lt;=0,0,MAX(0,(AB365-AC365)/AB365)))</f>
        <v>0.45750991662670887</v>
      </c>
      <c r="X366" s="18">
        <f>IF($A366&gt;'1-Input'!$B$26,0,(MAX(0,W341-IF($A366&gt;='1-Input'!$C$12,'1-Input'!$B$12,0))-MIN(MAX(AA365,0),MAX(0,W341-IF($A366&gt;='1-Input'!$C$12,'1-Input'!$B$12,0))))*(1/(1-'P-Parametri'!$B$6*W366))+MIN(MAX(0,AB365-(MAX(0,W341-IF($A366&gt;='1-Input'!$C$12,'1-Input'!$B$12,0))-MIN(MAX(AA365,0),MAX(0,W341-IF($A366&gt;='1-Input'!$C$12,'1-Input'!$B$12,0))))*(1/(1-'P-Parametri'!$B$6*W366))),MAX(0,5*W341-(AA365-MIN(MAX(AA365,0),MAX(0,W341-IF($A366&gt;='1-Input'!$C$12,'1-Input'!$B$12,0)))))*(1/(1-'P-Parametri'!$B$6*W366))))</f>
        <v>5907.33840184582</v>
      </c>
      <c r="Y366" s="18">
        <f>IF($A366&gt;'1-Input'!$B$26,AA365,(AA365-MAX(0,W341-IF($A366&gt;='1-Input'!$C$12,'1-Input'!$B$12,0))+X366*(1-'P-Parametri'!$B$6*W366))*(1+'1-Input'!$B$27))</f>
        <v>79803.248256166989</v>
      </c>
      <c r="Z366" s="18">
        <f>IF($A366&gt;'1-Input'!$B$26,AB365,(AB365-X366)*(1+$B$4))</f>
        <v>36606.728797447751</v>
      </c>
      <c r="AA366" s="18">
        <f>IF($A366&gt;'1-Input'!$B$26,Y366,Y366-'P-Parametri'!$B$8*(Z366+Y366)+MIN(MAX(Z366,0),'P-Parametri'!$B$8*(Z366+Y366)))</f>
        <v>79803.248256166989</v>
      </c>
      <c r="AB366" s="18">
        <f>IF($A366&gt;'1-Input'!$B$26,Z366,Z366-MIN(MAX(Z366,0),'P-Parametri'!$B$8*(Z366+Y366)))</f>
        <v>36373.90884334052</v>
      </c>
      <c r="AC366" s="18">
        <f>IF($A366&gt;'1-Input'!$B$26,AC365,AC365-X366*(1-W366))</f>
        <v>19469.399369951854</v>
      </c>
      <c r="AD366" s="11">
        <f>IF($A366&gt;'1-Input'!$B$26,0,IF(AI365&lt;=0,0,MAX(0,(AI365-AJ365)/AI365)))</f>
        <v>0.45759597829101561</v>
      </c>
      <c r="AE366" s="18">
        <f>IF($A366&gt;'1-Input'!$B$26,0,(MAX(0,AD341-IF($A366&gt;='1-Input'!$C$12,'1-Input'!$B$12,0))-MIN(MAX(AH365,0),MAX(0,AD341-IF($A366&gt;='1-Input'!$C$12,'1-Input'!$B$12,0))))*(1/(1-'P-Parametri'!$B$6*AD366))+MIN(MAX(0,AI365-(MAX(0,AD341-IF($A366&gt;='1-Input'!$C$12,'1-Input'!$B$12,0))-MIN(MAX(AH365,0),MAX(0,AD341-IF($A366&gt;='1-Input'!$C$12,'1-Input'!$B$12,0))))*(1/(1-'P-Parametri'!$B$6*AD366))),MAX(0,5*AD341-(AH365-MIN(MAX(AH365,0),MAX(0,AD341-IF($A366&gt;='1-Input'!$C$12,'1-Input'!$B$12,0)))))*(1/(1-'P-Parametri'!$B$6*AD366))))</f>
        <v>5888.44436810754</v>
      </c>
      <c r="AF366" s="18">
        <f>IF($A366&gt;'1-Input'!$B$26,AH365,(AH365-MAX(0,AD341-IF($A366&gt;='1-Input'!$C$12,'1-Input'!$B$12,0))+AE366*(1-'P-Parametri'!$B$6*AD366))*(1+'1-Input'!$B$27))</f>
        <v>79721.136773578575</v>
      </c>
      <c r="AG366" s="18">
        <f>IF($A366&gt;'1-Input'!$B$26,AI365,(AI365-AE366)*(1+$B$4))</f>
        <v>37262.093668389905</v>
      </c>
      <c r="AH366" s="18">
        <f>IF($A366&gt;'1-Input'!$B$26,AF366,AF366-'P-Parametri'!$B$8*(AG366+AF366)+MIN(MAX(AG366,0),'P-Parametri'!$B$8*(AG366+AF366)))</f>
        <v>79721.136773578575</v>
      </c>
      <c r="AI366" s="18">
        <f>IF($A366&gt;'1-Input'!$B$26,AG366,AG366-MIN(MAX(AG366,0),'P-Parametri'!$B$8*(AG366+AF366)))</f>
        <v>37028.127207505968</v>
      </c>
      <c r="AJ366" s="18">
        <f>IF($A366&gt;'1-Input'!$B$26,AJ365,AJ365-AE366*(1-AD366))</f>
        <v>19814.813199050557</v>
      </c>
      <c r="AK366" s="11">
        <f>IF($A366&gt;'1-Input'!$B$26,0,IF(AP365&lt;=0,0,MAX(0,(AP365-AQ365)/AP365)))</f>
        <v>0.4575959878569808</v>
      </c>
      <c r="AL366" s="18">
        <f>IF($A366&gt;'1-Input'!$B$26,0,(MAX(0,AK341-IF($A366&gt;='1-Input'!$C$12,'1-Input'!$B$12,0))-MIN(MAX(AO365,0),MAX(0,AK341-IF($A366&gt;='1-Input'!$C$12,'1-Input'!$B$12,0))))*(1/(1-'P-Parametri'!$B$6*AK366))+MIN(MAX(0,AP365-(MAX(0,AK341-IF($A366&gt;='1-Input'!$C$12,'1-Input'!$B$12,0))-MIN(MAX(AO365,0),MAX(0,AK341-IF($A366&gt;='1-Input'!$C$12,'1-Input'!$B$12,0))))*(1/(1-'P-Parametri'!$B$6*AK366))),MAX(0,5*AK341-(AO365-MIN(MAX(AO365,0),MAX(0,AK341-IF($A366&gt;='1-Input'!$C$12,'1-Input'!$B$12,0)))))*(1/(1-'P-Parametri'!$B$6*AK366))))</f>
        <v>5888.4422481406245</v>
      </c>
      <c r="AM366" s="18">
        <f>IF($A366&gt;'1-Input'!$B$26,AO365,(AO365-MAX(0,AK341-IF($A366&gt;='1-Input'!$C$12,'1-Input'!$B$12,0))+AL366*(1-'P-Parametri'!$B$6*AK366))*(1+'1-Input'!$B$27))</f>
        <v>79721.127561334986</v>
      </c>
      <c r="AN366" s="18">
        <f>IF($A366&gt;'1-Input'!$B$26,AP365,(AP365-AL366)*(1+$B$4))</f>
        <v>37262.167195944152</v>
      </c>
      <c r="AO366" s="18">
        <f>IF($A366&gt;'1-Input'!$B$26,AM366,AM366-'P-Parametri'!$B$8*(AN366+AM366)+MIN(MAX(AN366,0),'P-Parametri'!$B$8*(AN366+AM366)))</f>
        <v>79721.127561334986</v>
      </c>
      <c r="AP366" s="18">
        <f>IF($A366&gt;'1-Input'!$B$26,AN366,AN366-MIN(MAX(AN366,0),'P-Parametri'!$B$8*(AN366+AM366)))</f>
        <v>37028.200606429593</v>
      </c>
      <c r="AQ366" s="18">
        <f>IF($A366&gt;'1-Input'!$B$26,AQ365,AQ365-AL366*(1-AK366))</f>
        <v>19814.851949239317</v>
      </c>
    </row>
    <row r="367" spans="1:43">
      <c r="A367" s="10">
        <f>24</f>
        <v>24</v>
      </c>
      <c r="B367" s="11">
        <f>IF($A367&gt;'1-Input'!$B$26,0,IF(G366&lt;=0,0,MAX(0,(G366-H366)/G366)))</f>
        <v>0.45204519590024883</v>
      </c>
      <c r="C367" s="18">
        <f>IF($A367&gt;'1-Input'!$B$26,0,(MAX(0,B341-IF($A367&gt;='1-Input'!$C$12,'1-Input'!$B$12,0))-MIN(MAX(F366,0),MAX(0,B341-IF($A367&gt;='1-Input'!$C$12,'1-Input'!$B$12,0))))*(1/(1-'P-Parametri'!$B$6*B367))+MIN(MAX(0,G366-(MAX(0,B341-IF($A367&gt;='1-Input'!$C$12,'1-Input'!$B$12,0))-MIN(MAX(F366,0),MAX(0,B341-IF($A367&gt;='1-Input'!$C$12,'1-Input'!$B$12,0))))*(1/(1-'P-Parametri'!$B$6*B367))),MAX(0,5*B341-(F366-MIN(MAX(F366,0),MAX(0,B341-IF($A367&gt;='1-Input'!$C$12,'1-Input'!$B$12,0)))))*(1/(1-'P-Parametri'!$B$6*B367))))</f>
        <v>6662.3522336493625</v>
      </c>
      <c r="D367" s="18">
        <f>IF($A367&gt;'1-Input'!$B$26,F366,(F366-MAX(0,B341-IF($A367&gt;='1-Input'!$C$12,'1-Input'!$B$12,0))+C367*(1-'P-Parametri'!$B$6*B367))*(1+'1-Input'!$B$27))</f>
        <v>83105.01757746574</v>
      </c>
      <c r="E367" s="18">
        <f>IF($A367&gt;'1-Input'!$B$26,G366,(G366-C367)*(1+$B$4))</f>
        <v>3493.0534711752925</v>
      </c>
      <c r="F367" s="18">
        <f>IF($A367&gt;'1-Input'!$B$26,D367,D367-'P-Parametri'!$B$8*(E367+D367)+MIN(MAX(E367,0),'P-Parametri'!$B$8*(E367+D367)))</f>
        <v>83105.01757746574</v>
      </c>
      <c r="G367" s="18">
        <f>IF($A367&gt;'1-Input'!$B$26,E367,E367-MIN(MAX(E367,0),'P-Parametri'!$B$8*(E367+D367)))</f>
        <v>3319.8573290780105</v>
      </c>
      <c r="H367" s="18">
        <f>IF($A367&gt;'1-Input'!$B$26,H366,H366-C367*(1-B367))</f>
        <v>1876.5053240272678</v>
      </c>
      <c r="I367" s="11">
        <f>IF($A367&gt;'1-Input'!$B$26,0,IF(N366&lt;=0,0,MAX(0,(N366-O366)/N366)))</f>
        <v>0</v>
      </c>
      <c r="J367" s="18">
        <f>IF($A367&gt;'1-Input'!$B$26,0,(MAX(0,I341-IF($A367&gt;='1-Input'!$C$12,'1-Input'!$B$12,0))-MIN(MAX(M366,0),MAX(0,I341-IF($A367&gt;='1-Input'!$C$12,'1-Input'!$B$12,0))))*(1/(1-'P-Parametri'!$B$6*I367))+MIN(MAX(0,N366-(MAX(0,I341-IF($A367&gt;='1-Input'!$C$12,'1-Input'!$B$12,0))-MIN(MAX(M366,0),MAX(0,I341-IF($A367&gt;='1-Input'!$C$12,'1-Input'!$B$12,0))))*(1/(1-'P-Parametri'!$B$6*I367))),MAX(0,5*I341-(M366-MIN(MAX(M366,0),MAX(0,I341-IF($A367&gt;='1-Input'!$C$12,'1-Input'!$B$12,0)))))*(1/(1-'P-Parametri'!$B$6*I367))))</f>
        <v>10846.756992928691</v>
      </c>
      <c r="K367" s="18">
        <f>IF($A367&gt;'1-Input'!$B$26,M366,(M366-MAX(0,I341-IF($A367&gt;='1-Input'!$C$12,'1-Input'!$B$12,0))+J367*(1-'P-Parametri'!$B$6*I367))*(1+'1-Input'!$B$27))</f>
        <v>0</v>
      </c>
      <c r="L367" s="18">
        <f>IF($A367&gt;'1-Input'!$B$26,N366,(N366-J367)*(1+$B$4))</f>
        <v>-64494.742035407275</v>
      </c>
      <c r="M367" s="18">
        <f>IF($A367&gt;'1-Input'!$B$26,K367,K367-'P-Parametri'!$B$8*(L367+K367)+MIN(MAX(L367,0),'P-Parametri'!$B$8*(L367+K367)))</f>
        <v>0</v>
      </c>
      <c r="N367" s="18">
        <f>IF($A367&gt;'1-Input'!$B$26,L367,L367-MIN(MAX(L367,0),'P-Parametri'!$B$8*(L367+K367)))</f>
        <v>-64365.75255133646</v>
      </c>
      <c r="O367" s="18">
        <f>IF($A367&gt;'1-Input'!$B$26,O366,O366-J367*(1-I367))</f>
        <v>-61272.758744546525</v>
      </c>
      <c r="P367" s="11">
        <f>IF($A367&gt;'1-Input'!$B$26,0,IF(U366&lt;=0,0,MAX(0,(U366-V366)/U366)))</f>
        <v>0.46401163300379905</v>
      </c>
      <c r="Q367" s="18">
        <f>IF($A367&gt;'1-Input'!$B$26,0,(MAX(0,P341-IF($A367&gt;='1-Input'!$C$12,'1-Input'!$B$12,0))-MIN(MAX(T366,0),MAX(0,P341-IF($A367&gt;='1-Input'!$C$12,'1-Input'!$B$12,0))))*(1/(1-'P-Parametri'!$B$6*P367))+MIN(MAX(0,U366-(MAX(0,P341-IF($A367&gt;='1-Input'!$C$12,'1-Input'!$B$12,0))-MIN(MAX(T366,0),MAX(0,P341-IF($A367&gt;='1-Input'!$C$12,'1-Input'!$B$12,0))))*(1/(1-'P-Parametri'!$B$6*P367))),MAX(0,5*P341-(T366-MIN(MAX(T366,0),MAX(0,P341-IF($A367&gt;='1-Input'!$C$12,'1-Input'!$B$12,0)))))*(1/(1-'P-Parametri'!$B$6*P367))))</f>
        <v>6018.7889310015917</v>
      </c>
      <c r="R367" s="18">
        <f>IF($A367&gt;'1-Input'!$B$26,T366,(T366-MAX(0,P341-IF($A367&gt;='1-Input'!$C$12,'1-Input'!$B$12,0))+Q367*(1-'P-Parametri'!$B$6*P367))*(1+'1-Input'!$B$27))</f>
        <v>80234.004123491206</v>
      </c>
      <c r="S367" s="18">
        <f>IF($A367&gt;'1-Input'!$B$26,U366,(U366-Q367)*(1+$B$4))</f>
        <v>27461.845134094459</v>
      </c>
      <c r="T367" s="18">
        <f>IF($A367&gt;'1-Input'!$B$26,R367,R367-'P-Parametri'!$B$8*(S367+R367)+MIN(MAX(S367,0),'P-Parametri'!$B$8*(S367+R367)))</f>
        <v>80234.004123491206</v>
      </c>
      <c r="U367" s="18">
        <f>IF($A367&gt;'1-Input'!$B$26,S367,S367-MIN(MAX(S367,0),'P-Parametri'!$B$8*(S367+R367)))</f>
        <v>27246.453435579289</v>
      </c>
      <c r="V367" s="18">
        <f>IF($A367&gt;'1-Input'!$B$26,V366,V366-Q367*(1-P367))</f>
        <v>14430.617184437115</v>
      </c>
      <c r="W367" s="11">
        <f>IF($A367&gt;'1-Input'!$B$26,0,IF(AB366&lt;=0,0,MAX(0,(AB366-AC366)/AB366)))</f>
        <v>0.46474272386272863</v>
      </c>
      <c r="X367" s="18">
        <f>IF($A367&gt;'1-Input'!$B$26,0,(MAX(0,W341-IF($A367&gt;='1-Input'!$C$12,'1-Input'!$B$12,0))-MIN(MAX(AA366,0),MAX(0,W341-IF($A367&gt;='1-Input'!$C$12,'1-Input'!$B$12,0))))*(1/(1-'P-Parametri'!$B$6*W367))+MIN(MAX(0,AB366-(MAX(0,W341-IF($A367&gt;='1-Input'!$C$12,'1-Input'!$B$12,0))-MIN(MAX(AA366,0),MAX(0,W341-IF($A367&gt;='1-Input'!$C$12,'1-Input'!$B$12,0))))*(1/(1-'P-Parametri'!$B$6*W367))),MAX(0,5*W341-(AA366-MIN(MAX(AA366,0),MAX(0,W341-IF($A367&gt;='1-Input'!$C$12,'1-Input'!$B$12,0)))))*(1/(1-'P-Parametri'!$B$6*W367))))</f>
        <v>5919.9741442602271</v>
      </c>
      <c r="Y367" s="18">
        <f>IF($A367&gt;'1-Input'!$B$26,AA366,(AA366-MAX(0,W341-IF($A367&gt;='1-Input'!$C$12,'1-Input'!$B$12,0))+X367*(1-'P-Parametri'!$B$6*W367))*(1+'1-Input'!$B$27))</f>
        <v>79803.248256166989</v>
      </c>
      <c r="Z367" s="18">
        <f>IF($A367&gt;'1-Input'!$B$26,AB366,(AB366-X367)*(1+$B$4))</f>
        <v>31063.013393061898</v>
      </c>
      <c r="AA367" s="18">
        <f>IF($A367&gt;'1-Input'!$B$26,Y367,Y367-'P-Parametri'!$B$8*(Z367+Y367)+MIN(MAX(Z367,0),'P-Parametri'!$B$8*(Z367+Y367)))</f>
        <v>79803.248256166989</v>
      </c>
      <c r="AB367" s="18">
        <f>IF($A367&gt;'1-Input'!$B$26,Z367,Z367-MIN(MAX(Z367,0),'P-Parametri'!$B$8*(Z367+Y367)))</f>
        <v>30841.280869763439</v>
      </c>
      <c r="AC367" s="18">
        <f>IF($A367&gt;'1-Input'!$B$26,AC366,AC366-X367*(1-W367))</f>
        <v>16300.690134692051</v>
      </c>
      <c r="AD367" s="11">
        <f>IF($A367&gt;'1-Input'!$B$26,0,IF(AI366&lt;=0,0,MAX(0,(AI366-AJ366)/AI366)))</f>
        <v>0.46487131017974093</v>
      </c>
      <c r="AE367" s="18">
        <f>IF($A367&gt;'1-Input'!$B$26,0,(MAX(0,AD341-IF($A367&gt;='1-Input'!$C$12,'1-Input'!$B$12,0))-MIN(MAX(AH366,0),MAX(0,AD341-IF($A367&gt;='1-Input'!$C$12,'1-Input'!$B$12,0))))*(1/(1-'P-Parametri'!$B$6*AD367))+MIN(MAX(0,AI366-(MAX(0,AD341-IF($A367&gt;='1-Input'!$C$12,'1-Input'!$B$12,0))-MIN(MAX(AH366,0),MAX(0,AD341-IF($A367&gt;='1-Input'!$C$12,'1-Input'!$B$12,0))))*(1/(1-'P-Parametri'!$B$6*AD367))),MAX(0,5*AD341-(AH366-MIN(MAX(AH366,0),MAX(0,AD341-IF($A367&gt;='1-Input'!$C$12,'1-Input'!$B$12,0)))))*(1/(1-'P-Parametri'!$B$6*AD367))))</f>
        <v>5901.1142312823822</v>
      </c>
      <c r="AF367" s="18">
        <f>IF($A367&gt;'1-Input'!$B$26,AH366,(AH366-MAX(0,AD341-IF($A367&gt;='1-Input'!$C$12,'1-Input'!$B$12,0))+AE367*(1-'P-Parametri'!$B$6*AD367))*(1+'1-Input'!$B$27))</f>
        <v>79721.136773578575</v>
      </c>
      <c r="AG367" s="18">
        <f>IF($A367&gt;'1-Input'!$B$26,AI366,(AI366-AE367)*(1+$B$4))</f>
        <v>31749.553235748055</v>
      </c>
      <c r="AH367" s="18">
        <f>IF($A367&gt;'1-Input'!$B$26,AF367,AF367-'P-Parametri'!$B$8*(AG367+AF367)+MIN(MAX(AG367,0),'P-Parametri'!$B$8*(AG367+AF367)))</f>
        <v>79721.136773578575</v>
      </c>
      <c r="AI367" s="18">
        <f>IF($A367&gt;'1-Input'!$B$26,AG367,AG367-MIN(MAX(AG367,0),'P-Parametri'!$B$8*(AG367+AF367)))</f>
        <v>31526.611855729403</v>
      </c>
      <c r="AJ367" s="18">
        <f>IF($A367&gt;'1-Input'!$B$26,AJ366,AJ366-AE367*(1-AD367))</f>
        <v>16656.957671984732</v>
      </c>
      <c r="AK367" s="11">
        <f>IF($A367&gt;'1-Input'!$B$26,0,IF(AP366&lt;=0,0,MAX(0,(AP366-AQ366)/AP366)))</f>
        <v>0.46487132443052992</v>
      </c>
      <c r="AL367" s="18">
        <f>IF($A367&gt;'1-Input'!$B$26,0,(MAX(0,AK341-IF($A367&gt;='1-Input'!$C$12,'1-Input'!$B$12,0))-MIN(MAX(AO366,0),MAX(0,AK341-IF($A367&gt;='1-Input'!$C$12,'1-Input'!$B$12,0))))*(1/(1-'P-Parametri'!$B$6*AK367))+MIN(MAX(0,AP366-(MAX(0,AK341-IF($A367&gt;='1-Input'!$C$12,'1-Input'!$B$12,0))-MIN(MAX(AO366,0),MAX(0,AK341-IF($A367&gt;='1-Input'!$C$12,'1-Input'!$B$12,0))))*(1/(1-'P-Parametri'!$B$6*AK367))),MAX(0,5*AK341-(AO366-MIN(MAX(AO366,0),MAX(0,AK341-IF($A367&gt;='1-Input'!$C$12,'1-Input'!$B$12,0)))))*(1/(1-'P-Parametri'!$B$6*AK367))))</f>
        <v>5901.1121149659784</v>
      </c>
      <c r="AM367" s="18">
        <f>IF($A367&gt;'1-Input'!$B$26,AO366,(AO366-MAX(0,AK341-IF($A367&gt;='1-Input'!$C$12,'1-Input'!$B$12,0))+AL367*(1-'P-Parametri'!$B$6*AK367))*(1+'1-Input'!$B$27))</f>
        <v>79721.127561334986</v>
      </c>
      <c r="AN367" s="18">
        <f>IF($A367&gt;'1-Input'!$B$26,AP366,(AP366-AL367)*(1+$B$4))</f>
        <v>31749.630261292888</v>
      </c>
      <c r="AO367" s="18">
        <f>IF($A367&gt;'1-Input'!$B$26,AM367,AM367-'P-Parametri'!$B$8*(AN367+AM367)+MIN(MAX(AN367,0),'P-Parametri'!$B$8*(AN367+AM367)))</f>
        <v>79721.127561334986</v>
      </c>
      <c r="AP367" s="18">
        <f>IF($A367&gt;'1-Input'!$B$26,AN367,AN367-MIN(MAX(AN367,0),'P-Parametri'!$B$8*(AN367+AM367)))</f>
        <v>31526.688745647632</v>
      </c>
      <c r="AQ367" s="18">
        <f>IF($A367&gt;'1-Input'!$B$26,AQ366,AQ366-AL367*(1-AK367))</f>
        <v>16656.997638770619</v>
      </c>
    </row>
    <row r="368" spans="1:43">
      <c r="A368" s="10">
        <f>25</f>
        <v>25</v>
      </c>
      <c r="B368" s="11">
        <f>IF($A368&gt;'1-Input'!$B$26,0,IF(G367&lt;=0,0,MAX(0,(G367-H367)/G367)))</f>
        <v>0.43476326298985563</v>
      </c>
      <c r="C368" s="18">
        <f>IF($A368&gt;'1-Input'!$B$26,0,(MAX(0,B341-IF($A368&gt;='1-Input'!$C$12,'1-Input'!$B$12,0))-MIN(MAX(F367,0),MAX(0,B341-IF($A368&gt;='1-Input'!$C$12,'1-Input'!$B$12,0))))*(1/(1-'P-Parametri'!$B$6*B368))+MIN(MAX(0,G367-(MAX(0,B341-IF($A368&gt;='1-Input'!$C$12,'1-Input'!$B$12,0))-MIN(MAX(F367,0),MAX(0,B341-IF($A368&gt;='1-Input'!$C$12,'1-Input'!$B$12,0))))*(1/(1-'P-Parametri'!$B$6*B368))),MAX(0,5*B341-(F367-MIN(MAX(F367,0),MAX(0,B341-IF($A368&gt;='1-Input'!$C$12,'1-Input'!$B$12,0)))))*(1/(1-'P-Parametri'!$B$6*B368))))</f>
        <v>3319.8573290780105</v>
      </c>
      <c r="D368" s="18">
        <f>IF($A368&gt;'1-Input'!$B$26,F367,(F367-MAX(0,B341-IF($A368&gt;='1-Input'!$C$12,'1-Input'!$B$12,0))+C368*(1-'P-Parametri'!$B$6*B368))*(1+'1-Input'!$B$27))</f>
        <v>80180.854097550575</v>
      </c>
      <c r="E368" s="18">
        <f>IF($A368&gt;'1-Input'!$B$26,G367,(G367-C368)*(1+$B$4))</f>
        <v>0</v>
      </c>
      <c r="F368" s="18">
        <f>IF($A368&gt;'1-Input'!$B$26,D368,D368-'P-Parametri'!$B$8*(E368+D368)+MIN(MAX(E368,0),'P-Parametri'!$B$8*(E368+D368)))</f>
        <v>80020.492389355481</v>
      </c>
      <c r="G368" s="18">
        <f>IF($A368&gt;'1-Input'!$B$26,E368,E368-MIN(MAX(E368,0),'P-Parametri'!$B$8*(E368+D368)))</f>
        <v>0</v>
      </c>
      <c r="H368" s="18">
        <f>IF($A368&gt;'1-Input'!$B$26,H367,H367-C368*(1-B368))</f>
        <v>2.2737367544323206E-13</v>
      </c>
      <c r="I368" s="11">
        <f>IF($A368&gt;'1-Input'!$B$26,0,IF(N367&lt;=0,0,MAX(0,(N367-O367)/N367)))</f>
        <v>0</v>
      </c>
      <c r="J368" s="18">
        <f>IF($A368&gt;'1-Input'!$B$26,0,(MAX(0,I341-IF($A368&gt;='1-Input'!$C$12,'1-Input'!$B$12,0))-MIN(MAX(M367,0),MAX(0,I341-IF($A368&gt;='1-Input'!$C$12,'1-Input'!$B$12,0))))*(1/(1-'P-Parametri'!$B$6*I368))+MIN(MAX(0,N367-(MAX(0,I341-IF($A368&gt;='1-Input'!$C$12,'1-Input'!$B$12,0))-MIN(MAX(M367,0),MAX(0,I341-IF($A368&gt;='1-Input'!$C$12,'1-Input'!$B$12,0))))*(1/(1-'P-Parametri'!$B$6*I368))),MAX(0,5*I341-(M367-MIN(MAX(M367,0),MAX(0,I341-IF($A368&gt;='1-Input'!$C$12,'1-Input'!$B$12,0)))))*(1/(1-'P-Parametri'!$B$6*I368))))</f>
        <v>10846.756992928691</v>
      </c>
      <c r="K368" s="18">
        <f>IF($A368&gt;'1-Input'!$B$26,M367,(M367-MAX(0,I341-IF($A368&gt;='1-Input'!$C$12,'1-Input'!$B$12,0))+J368*(1-'P-Parametri'!$B$6*I368))*(1+'1-Input'!$B$27))</f>
        <v>0</v>
      </c>
      <c r="L368" s="18">
        <f>IF($A368&gt;'1-Input'!$B$26,N367,(N367-J368)*(1+$B$4))</f>
        <v>-76716.759735150452</v>
      </c>
      <c r="M368" s="18">
        <f>IF($A368&gt;'1-Input'!$B$26,K368,K368-'P-Parametri'!$B$8*(L368+K368)+MIN(MAX(L368,0),'P-Parametri'!$B$8*(L368+K368)))</f>
        <v>0</v>
      </c>
      <c r="N368" s="18">
        <f>IF($A368&gt;'1-Input'!$B$26,L368,L368-MIN(MAX(L368,0),'P-Parametri'!$B$8*(L368+K368)))</f>
        <v>-76563.32621568015</v>
      </c>
      <c r="O368" s="18">
        <f>IF($A368&gt;'1-Input'!$B$26,O367,O367-J368*(1-I368))</f>
        <v>-72119.515737475216</v>
      </c>
      <c r="P368" s="11">
        <f>IF($A368&gt;'1-Input'!$B$26,0,IF(U367&lt;=0,0,MAX(0,(U367-V367)/U367)))</f>
        <v>0.47036713535739832</v>
      </c>
      <c r="Q368" s="18">
        <f>IF($A368&gt;'1-Input'!$B$26,0,(MAX(0,P341-IF($A368&gt;='1-Input'!$C$12,'1-Input'!$B$12,0))-MIN(MAX(T367,0),MAX(0,P341-IF($A368&gt;='1-Input'!$C$12,'1-Input'!$B$12,0))))*(1/(1-'P-Parametri'!$B$6*P368))+MIN(MAX(0,U367-(MAX(0,P341-IF($A368&gt;='1-Input'!$C$12,'1-Input'!$B$12,0))-MIN(MAX(T367,0),MAX(0,P341-IF($A368&gt;='1-Input'!$C$12,'1-Input'!$B$12,0))))*(1/(1-'P-Parametri'!$B$6*P368))),MAX(0,5*P341-(T367-MIN(MAX(T367,0),MAX(0,P341-IF($A368&gt;='1-Input'!$C$12,'1-Input'!$B$12,0)))))*(1/(1-'P-Parametri'!$B$6*P368))))</f>
        <v>6030.1203421640512</v>
      </c>
      <c r="R368" s="18">
        <f>IF($A368&gt;'1-Input'!$B$26,T367,(T367-MAX(0,P341-IF($A368&gt;='1-Input'!$C$12,'1-Input'!$B$12,0))+Q368*(1-'P-Parametri'!$B$6*P368))*(1+'1-Input'!$B$27))</f>
        <v>80234.004123491206</v>
      </c>
      <c r="S368" s="18">
        <f>IF($A368&gt;'1-Input'!$B$26,U367,(U367-Q368)*(1+$B$4))</f>
        <v>21640.659755283545</v>
      </c>
      <c r="T368" s="18">
        <f>IF($A368&gt;'1-Input'!$B$26,R368,R368-'P-Parametri'!$B$8*(S368+R368)+MIN(MAX(S368,0),'P-Parametri'!$B$8*(S368+R368)))</f>
        <v>80234.004123491206</v>
      </c>
      <c r="U368" s="18">
        <f>IF($A368&gt;'1-Input'!$B$26,S368,S368-MIN(MAX(S368,0),'P-Parametri'!$B$8*(S368+R368)))</f>
        <v>21436.910427525996</v>
      </c>
      <c r="V368" s="18">
        <f>IF($A368&gt;'1-Input'!$B$26,V367,V367-Q368*(1-P368))</f>
        <v>11236.867273477143</v>
      </c>
      <c r="W368" s="11">
        <f>IF($A368&gt;'1-Input'!$B$26,0,IF(AB367&lt;=0,0,MAX(0,(AB367-AC367)/AB367)))</f>
        <v>0.47146520264425446</v>
      </c>
      <c r="X368" s="18">
        <f>IF($A368&gt;'1-Input'!$B$26,0,(MAX(0,W341-IF($A368&gt;='1-Input'!$C$12,'1-Input'!$B$12,0))-MIN(MAX(AA367,0),MAX(0,W341-IF($A368&gt;='1-Input'!$C$12,'1-Input'!$B$12,0))))*(1/(1-'P-Parametri'!$B$6*W368))+MIN(MAX(0,AB367-(MAX(0,W341-IF($A368&gt;='1-Input'!$C$12,'1-Input'!$B$12,0))-MIN(MAX(AA367,0),MAX(0,W341-IF($A368&gt;='1-Input'!$C$12,'1-Input'!$B$12,0))))*(1/(1-'P-Parametri'!$B$6*W368))),MAX(0,5*W341-(AA367-MIN(MAX(AA367,0),MAX(0,W341-IF($A368&gt;='1-Input'!$C$12,'1-Input'!$B$12,0)))))*(1/(1-'P-Parametri'!$B$6*W368))))</f>
        <v>5931.7669064306019</v>
      </c>
      <c r="Y368" s="18">
        <f>IF($A368&gt;'1-Input'!$B$26,AA367,(AA367-MAX(0,W341-IF($A368&gt;='1-Input'!$C$12,'1-Input'!$B$12,0))+X368*(1-'P-Parametri'!$B$6*W368))*(1+'1-Input'!$B$27))</f>
        <v>79803.248256166989</v>
      </c>
      <c r="Z368" s="18">
        <f>IF($A368&gt;'1-Input'!$B$26,AB367,(AB367-X368)*(1+$B$4))</f>
        <v>25407.704242599495</v>
      </c>
      <c r="AA368" s="18">
        <f>IF($A368&gt;'1-Input'!$B$26,Y368,Y368-'P-Parametri'!$B$8*(Z368+Y368)+MIN(MAX(Z368,0),'P-Parametri'!$B$8*(Z368+Y368)))</f>
        <v>79803.248256166989</v>
      </c>
      <c r="AB368" s="18">
        <f>IF($A368&gt;'1-Input'!$B$26,Z368,Z368-MIN(MAX(Z368,0),'P-Parametri'!$B$8*(Z368+Y368)))</f>
        <v>25197.282337601962</v>
      </c>
      <c r="AC368" s="18">
        <f>IF($A368&gt;'1-Input'!$B$26,AC367,AC367-X368*(1-W368))</f>
        <v>13165.544914840237</v>
      </c>
      <c r="AD368" s="11">
        <f>IF($A368&gt;'1-Input'!$B$26,0,IF(AI367&lt;=0,0,MAX(0,(AI367-AJ367)/AI367)))</f>
        <v>0.4716540506093862</v>
      </c>
      <c r="AE368" s="18">
        <f>IF($A368&gt;'1-Input'!$B$26,0,(MAX(0,AD341-IF($A368&gt;='1-Input'!$C$12,'1-Input'!$B$12,0))-MIN(MAX(AH367,0),MAX(0,AD341-IF($A368&gt;='1-Input'!$C$12,'1-Input'!$B$12,0))))*(1/(1-'P-Parametri'!$B$6*AD368))+MIN(MAX(0,AI367-(MAX(0,AD341-IF($A368&gt;='1-Input'!$C$12,'1-Input'!$B$12,0))-MIN(MAX(AH367,0),MAX(0,AD341-IF($A368&gt;='1-Input'!$C$12,'1-Input'!$B$12,0))))*(1/(1-'P-Parametri'!$B$6*AD368))),MAX(0,5*AD341-(AH367-MIN(MAX(AH367,0),MAX(0,AD341-IF($A368&gt;='1-Input'!$C$12,'1-Input'!$B$12,0)))))*(1/(1-'P-Parametri'!$B$6*AD368))))</f>
        <v>5912.9754636135631</v>
      </c>
      <c r="AF368" s="18">
        <f>IF($A368&gt;'1-Input'!$B$26,AH367,(AH367-MAX(0,AD341-IF($A368&gt;='1-Input'!$C$12,'1-Input'!$B$12,0))+AE368*(1-'P-Parametri'!$B$6*AD368))*(1+'1-Input'!$B$27))</f>
        <v>79721.136773578575</v>
      </c>
      <c r="AG368" s="18">
        <f>IF($A368&gt;'1-Input'!$B$26,AI367,(AI367-AE368)*(1+$B$4))</f>
        <v>26125.90911995816</v>
      </c>
      <c r="AH368" s="18">
        <f>IF($A368&gt;'1-Input'!$B$26,AF368,AF368-'P-Parametri'!$B$8*(AG368+AF368)+MIN(MAX(AG368,0),'P-Parametri'!$B$8*(AG368+AF368)))</f>
        <v>79721.136773578575</v>
      </c>
      <c r="AI368" s="18">
        <f>IF($A368&gt;'1-Input'!$B$26,AG368,AG368-MIN(MAX(AG368,0),'P-Parametri'!$B$8*(AG368+AF368)))</f>
        <v>25914.215028171086</v>
      </c>
      <c r="AJ368" s="18">
        <f>IF($A368&gt;'1-Input'!$B$26,AJ367,AJ367-AE368*(1-AD368))</f>
        <v>13532.861036938419</v>
      </c>
      <c r="AK368" s="11">
        <f>IF($A368&gt;'1-Input'!$B$26,0,IF(AP367&lt;=0,0,MAX(0,(AP367-AQ367)/AP367)))</f>
        <v>0.47165407147078919</v>
      </c>
      <c r="AL368" s="18">
        <f>IF($A368&gt;'1-Input'!$B$26,0,(MAX(0,AK341-IF($A368&gt;='1-Input'!$C$12,'1-Input'!$B$12,0))-MIN(MAX(AO367,0),MAX(0,AK341-IF($A368&gt;='1-Input'!$C$12,'1-Input'!$B$12,0))))*(1/(1-'P-Parametri'!$B$6*AK368))+MIN(MAX(0,AP367-(MAX(0,AK341-IF($A368&gt;='1-Input'!$C$12,'1-Input'!$B$12,0))-MIN(MAX(AO367,0),MAX(0,AK341-IF($A368&gt;='1-Input'!$C$12,'1-Input'!$B$12,0))))*(1/(1-'P-Parametri'!$B$6*AK368))),MAX(0,5*AK341-(AO367-MIN(MAX(AO367,0),MAX(0,AK341-IF($A368&gt;='1-Input'!$C$12,'1-Input'!$B$12,0)))))*(1/(1-'P-Parametri'!$B$6*AK368))))</f>
        <v>5912.9733546769166</v>
      </c>
      <c r="AM368" s="18">
        <f>IF($A368&gt;'1-Input'!$B$26,AO367,(AO367-MAX(0,AK341-IF($A368&gt;='1-Input'!$C$12,'1-Input'!$B$12,0))+AL368*(1-'P-Parametri'!$B$6*AK368))*(1+'1-Input'!$B$27))</f>
        <v>79721.127561334986</v>
      </c>
      <c r="AN368" s="18">
        <f>IF($A368&gt;'1-Input'!$B$26,AP367,(AP367-AL368)*(1+$B$4))</f>
        <v>26125.98969879013</v>
      </c>
      <c r="AO368" s="18">
        <f>IF($A368&gt;'1-Input'!$B$26,AM368,AM368-'P-Parametri'!$B$8*(AN368+AM368)+MIN(MAX(AN368,0),'P-Parametri'!$B$8*(AN368+AM368)))</f>
        <v>79721.127561334986</v>
      </c>
      <c r="AP368" s="18">
        <f>IF($A368&gt;'1-Input'!$B$26,AN368,AN368-MIN(MAX(AN368,0),'P-Parametri'!$B$8*(AN368+AM368)))</f>
        <v>25914.295464269879</v>
      </c>
      <c r="AQ368" s="18">
        <f>IF($A368&gt;'1-Input'!$B$26,AQ367,AQ367-AL368*(1-AK368))</f>
        <v>13532.902241325361</v>
      </c>
    </row>
    <row r="369" spans="1:43">
      <c r="A369" s="10">
        <f>26</f>
        <v>26</v>
      </c>
      <c r="B369" s="11">
        <f>IF($A369&gt;'1-Input'!$B$26,0,IF(G368&lt;=0,0,MAX(0,(G368-H368)/G368)))</f>
        <v>0</v>
      </c>
      <c r="C369" s="18">
        <f>IF($A369&gt;'1-Input'!$B$26,0,(MAX(0,B341-IF($A369&gt;='1-Input'!$C$12,'1-Input'!$B$12,0))-MIN(MAX(F368,0),MAX(0,B341-IF($A369&gt;='1-Input'!$C$12,'1-Input'!$B$12,0))))*(1/(1-'P-Parametri'!$B$6*B369))+MIN(MAX(0,G368-(MAX(0,B341-IF($A369&gt;='1-Input'!$C$12,'1-Input'!$B$12,0))-MIN(MAX(F368,0),MAX(0,B341-IF($A369&gt;='1-Input'!$C$12,'1-Input'!$B$12,0))))*(1/(1-'P-Parametri'!$B$6*B369))),MAX(0,5*B341-(F368-MIN(MAX(F368,0),MAX(0,B341-IF($A369&gt;='1-Input'!$C$12,'1-Input'!$B$12,0)))))*(1/(1-'P-Parametri'!$B$6*B369))))</f>
        <v>0</v>
      </c>
      <c r="D369" s="18">
        <f>IF($A369&gt;'1-Input'!$B$26,F368,(F368-MAX(0,B341-IF($A369&gt;='1-Input'!$C$12,'1-Input'!$B$12,0))+C369*(1-'P-Parametri'!$B$6*B369))*(1+'1-Input'!$B$27))</f>
        <v>74173.447901260646</v>
      </c>
      <c r="E369" s="18">
        <f>IF($A369&gt;'1-Input'!$B$26,G368,(G368-C369)*(1+$B$4))</f>
        <v>0</v>
      </c>
      <c r="F369" s="18">
        <f>IF($A369&gt;'1-Input'!$B$26,D369,D369-'P-Parametri'!$B$8*(E369+D369)+MIN(MAX(E369,0),'P-Parametri'!$B$8*(E369+D369)))</f>
        <v>74025.101005458127</v>
      </c>
      <c r="G369" s="18">
        <f>IF($A369&gt;'1-Input'!$B$26,E369,E369-MIN(MAX(E369,0),'P-Parametri'!$B$8*(E369+D369)))</f>
        <v>0</v>
      </c>
      <c r="H369" s="18">
        <f>IF($A369&gt;'1-Input'!$B$26,H368,H368-C369*(1-B369))</f>
        <v>2.2737367544323206E-13</v>
      </c>
      <c r="I369" s="11">
        <f>IF($A369&gt;'1-Input'!$B$26,0,IF(N368&lt;=0,0,MAX(0,(N368-O368)/N368)))</f>
        <v>0</v>
      </c>
      <c r="J369" s="18">
        <f>IF($A369&gt;'1-Input'!$B$26,0,(MAX(0,I341-IF($A369&gt;='1-Input'!$C$12,'1-Input'!$B$12,0))-MIN(MAX(M368,0),MAX(0,I341-IF($A369&gt;='1-Input'!$C$12,'1-Input'!$B$12,0))))*(1/(1-'P-Parametri'!$B$6*I369))+MIN(MAX(0,N368-(MAX(0,I341-IF($A369&gt;='1-Input'!$C$12,'1-Input'!$B$12,0))-MIN(MAX(M368,0),MAX(0,I341-IF($A369&gt;='1-Input'!$C$12,'1-Input'!$B$12,0))))*(1/(1-'P-Parametri'!$B$6*I369))),MAX(0,5*I341-(M368-MIN(MAX(M368,0),MAX(0,I341-IF($A369&gt;='1-Input'!$C$12,'1-Input'!$B$12,0)))))*(1/(1-'P-Parametri'!$B$6*I369))))</f>
        <v>10846.756992928691</v>
      </c>
      <c r="K369" s="18">
        <f>IF($A369&gt;'1-Input'!$B$26,M368,(M368-MAX(0,I341-IF($A369&gt;='1-Input'!$C$12,'1-Input'!$B$12,0))+J369*(1-'P-Parametri'!$B$6*I369))*(1+'1-Input'!$B$27))</f>
        <v>0</v>
      </c>
      <c r="L369" s="18">
        <f>IF($A369&gt;'1-Input'!$B$26,N368,(N368-J369)*(1+$B$4))</f>
        <v>-89158.284872781034</v>
      </c>
      <c r="M369" s="18">
        <f>IF($A369&gt;'1-Input'!$B$26,K369,K369-'P-Parametri'!$B$8*(L369+K369)+MIN(MAX(L369,0),'P-Parametri'!$B$8*(L369+K369)))</f>
        <v>0</v>
      </c>
      <c r="N369" s="18">
        <f>IF($A369&gt;'1-Input'!$B$26,L369,L369-MIN(MAX(L369,0),'P-Parametri'!$B$8*(L369+K369)))</f>
        <v>-88979.968303035479</v>
      </c>
      <c r="O369" s="18">
        <f>IF($A369&gt;'1-Input'!$B$26,O368,O368-J369*(1-I369))</f>
        <v>-82966.2727304039</v>
      </c>
      <c r="P369" s="11">
        <f>IF($A369&gt;'1-Input'!$B$26,0,IF(U368&lt;=0,0,MAX(0,(U368-V368)/U368)))</f>
        <v>0.47581684816630671</v>
      </c>
      <c r="Q369" s="18">
        <f>IF($A369&gt;'1-Input'!$B$26,0,(MAX(0,P341-IF($A369&gt;='1-Input'!$C$12,'1-Input'!$B$12,0))-MIN(MAX(T368,0),MAX(0,P341-IF($A369&gt;='1-Input'!$C$12,'1-Input'!$B$12,0))))*(1/(1-'P-Parametri'!$B$6*P369))+MIN(MAX(0,U368-(MAX(0,P341-IF($A369&gt;='1-Input'!$C$12,'1-Input'!$B$12,0))-MIN(MAX(T368,0),MAX(0,P341-IF($A369&gt;='1-Input'!$C$12,'1-Input'!$B$12,0))))*(1/(1-'P-Parametri'!$B$6*P369))),MAX(0,5*P341-(T368-MIN(MAX(T368,0),MAX(0,P341-IF($A369&gt;='1-Input'!$C$12,'1-Input'!$B$12,0)))))*(1/(1-'P-Parametri'!$B$6*P369))))</f>
        <v>6039.8708282690222</v>
      </c>
      <c r="R369" s="18">
        <f>IF($A369&gt;'1-Input'!$B$26,T368,(T368-MAX(0,P341-IF($A369&gt;='1-Input'!$C$12,'1-Input'!$B$12,0))+Q369*(1-'P-Parametri'!$B$6*P369))*(1+'1-Input'!$B$27))</f>
        <v>80234.004123491206</v>
      </c>
      <c r="S369" s="18">
        <f>IF($A369&gt;'1-Input'!$B$26,U368,(U368-Q369)*(1+$B$4))</f>
        <v>15704.980391242114</v>
      </c>
      <c r="T369" s="18">
        <f>IF($A369&gt;'1-Input'!$B$26,R369,R369-'P-Parametri'!$B$8*(S369+R369)+MIN(MAX(S369,0),'P-Parametri'!$B$8*(S369+R369)))</f>
        <v>80234.004123491206</v>
      </c>
      <c r="U369" s="18">
        <f>IF($A369&gt;'1-Input'!$B$26,S369,S369-MIN(MAX(S369,0),'P-Parametri'!$B$8*(S369+R369)))</f>
        <v>15513.102422212647</v>
      </c>
      <c r="V369" s="18">
        <f>IF($A369&gt;'1-Input'!$B$26,V368,V368-Q369*(1-P369))</f>
        <v>8070.8687460467072</v>
      </c>
      <c r="W369" s="11">
        <f>IF($A369&gt;'1-Input'!$B$26,0,IF(AB368&lt;=0,0,MAX(0,(AB368-AC368)/AB368)))</f>
        <v>0.47750139326758806</v>
      </c>
      <c r="X369" s="18">
        <f>IF($A369&gt;'1-Input'!$B$26,0,(MAX(0,W341-IF($A369&gt;='1-Input'!$C$12,'1-Input'!$B$12,0))-MIN(MAX(AA368,0),MAX(0,W341-IF($A369&gt;='1-Input'!$C$12,'1-Input'!$B$12,0))))*(1/(1-'P-Parametri'!$B$6*W369))+MIN(MAX(0,AB368-(MAX(0,W341-IF($A369&gt;='1-Input'!$C$12,'1-Input'!$B$12,0))-MIN(MAX(AA368,0),MAX(0,W341-IF($A369&gt;='1-Input'!$C$12,'1-Input'!$B$12,0))))*(1/(1-'P-Parametri'!$B$6*W369))),MAX(0,5*W341-(AA368-MIN(MAX(AA368,0),MAX(0,W341-IF($A369&gt;='1-Input'!$C$12,'1-Input'!$B$12,0)))))*(1/(1-'P-Parametri'!$B$6*W369))))</f>
        <v>5942.3958675006934</v>
      </c>
      <c r="Y369" s="18">
        <f>IF($A369&gt;'1-Input'!$B$26,AA368,(AA368-MAX(0,W341-IF($A369&gt;='1-Input'!$C$12,'1-Input'!$B$12,0))+X369*(1-'P-Parametri'!$B$6*W369))*(1+'1-Input'!$B$27))</f>
        <v>79803.248256166989</v>
      </c>
      <c r="Z369" s="18">
        <f>IF($A369&gt;'1-Input'!$B$26,AB368,(AB368-X369)*(1+$B$4))</f>
        <v>19639.984199503295</v>
      </c>
      <c r="AA369" s="18">
        <f>IF($A369&gt;'1-Input'!$B$26,Y369,Y369-'P-Parametri'!$B$8*(Z369+Y369)+MIN(MAX(Z369,0),'P-Parametri'!$B$8*(Z369+Y369)))</f>
        <v>79803.248256166989</v>
      </c>
      <c r="AB369" s="18">
        <f>IF($A369&gt;'1-Input'!$B$26,Z369,Z369-MIN(MAX(Z369,0),'P-Parametri'!$B$8*(Z369+Y369)))</f>
        <v>19441.097734591953</v>
      </c>
      <c r="AC369" s="18">
        <f>IF($A369&gt;'1-Input'!$B$26,AC368,AC368-X369*(1-W369))</f>
        <v>10060.651353418682</v>
      </c>
      <c r="AD369" s="11">
        <f>IF($A369&gt;'1-Input'!$B$26,0,IF(AI368&lt;=0,0,MAX(0,(AI368-AJ368)/AI368)))</f>
        <v>0.47778232826165179</v>
      </c>
      <c r="AE369" s="18">
        <f>IF($A369&gt;'1-Input'!$B$26,0,(MAX(0,AD341-IF($A369&gt;='1-Input'!$C$12,'1-Input'!$B$12,0))-MIN(MAX(AH368,0),MAX(0,AD341-IF($A369&gt;='1-Input'!$C$12,'1-Input'!$B$12,0))))*(1/(1-'P-Parametri'!$B$6*AD369))+MIN(MAX(0,AI368-(MAX(0,AD341-IF($A369&gt;='1-Input'!$C$12,'1-Input'!$B$12,0))-MIN(MAX(AH368,0),MAX(0,AD341-IF($A369&gt;='1-Input'!$C$12,'1-Input'!$B$12,0))))*(1/(1-'P-Parametri'!$B$6*AD369))),MAX(0,5*AD341-(AH368-MIN(MAX(AH368,0),MAX(0,AD341-IF($A369&gt;='1-Input'!$C$12,'1-Input'!$B$12,0)))))*(1/(1-'P-Parametri'!$B$6*AD369))))</f>
        <v>5923.7332898211462</v>
      </c>
      <c r="AF369" s="18">
        <f>IF($A369&gt;'1-Input'!$B$26,AH368,(AH368-MAX(0,AD341-IF($A369&gt;='1-Input'!$C$12,'1-Input'!$B$12,0))+AE369*(1-'P-Parametri'!$B$6*AD369))*(1+'1-Input'!$B$27))</f>
        <v>79721.136773578575</v>
      </c>
      <c r="AG369" s="18">
        <f>IF($A369&gt;'1-Input'!$B$26,AI368,(AI368-AE369)*(1+$B$4))</f>
        <v>20390.291373116939</v>
      </c>
      <c r="AH369" s="18">
        <f>IF($A369&gt;'1-Input'!$B$26,AF369,AF369-'P-Parametri'!$B$8*(AG369+AF369)+MIN(MAX(AG369,0),'P-Parametri'!$B$8*(AG369+AF369)))</f>
        <v>79721.136773578575</v>
      </c>
      <c r="AI369" s="18">
        <f>IF($A369&gt;'1-Input'!$B$26,AG369,AG369-MIN(MAX(AG369,0),'P-Parametri'!$B$8*(AG369+AF369)))</f>
        <v>20190.068516823547</v>
      </c>
      <c r="AJ369" s="18">
        <f>IF($A369&gt;'1-Input'!$B$26,AJ368,AJ368-AE369*(1-AD369))</f>
        <v>10439.382830329074</v>
      </c>
      <c r="AK369" s="11">
        <f>IF($A369&gt;'1-Input'!$B$26,0,IF(AP368&lt;=0,0,MAX(0,(AP368-AQ368)/AP368)))</f>
        <v>0.47778235916217515</v>
      </c>
      <c r="AL369" s="18">
        <f>IF($A369&gt;'1-Input'!$B$26,0,(MAX(0,AK341-IF($A369&gt;='1-Input'!$C$12,'1-Input'!$B$12,0))-MIN(MAX(AO368,0),MAX(0,AK341-IF($A369&gt;='1-Input'!$C$12,'1-Input'!$B$12,0))))*(1/(1-'P-Parametri'!$B$6*AK369))+MIN(MAX(0,AP368-(MAX(0,AK341-IF($A369&gt;='1-Input'!$C$12,'1-Input'!$B$12,0))-MIN(MAX(AO368,0),MAX(0,AK341-IF($A369&gt;='1-Input'!$C$12,'1-Input'!$B$12,0))))*(1/(1-'P-Parametri'!$B$6*AK369))),MAX(0,5*AK341-(AO368-MIN(MAX(AO368,0),MAX(0,AK341-IF($A369&gt;='1-Input'!$C$12,'1-Input'!$B$12,0)))))*(1/(1-'P-Parametri'!$B$6*AK369))))</f>
        <v>5923.7311947693479</v>
      </c>
      <c r="AM369" s="18">
        <f>IF($A369&gt;'1-Input'!$B$26,AO368,(AO368-MAX(0,AK341-IF($A369&gt;='1-Input'!$C$12,'1-Input'!$B$12,0))+AL369*(1-'P-Parametri'!$B$6*AK369))*(1+'1-Input'!$B$27))</f>
        <v>79721.127561334986</v>
      </c>
      <c r="AN369" s="18">
        <f>IF($A369&gt;'1-Input'!$B$26,AP368,(AP368-AL369)*(1+$B$4))</f>
        <v>20390.375554890539</v>
      </c>
      <c r="AO369" s="18">
        <f>IF($A369&gt;'1-Input'!$B$26,AM369,AM369-'P-Parametri'!$B$8*(AN369+AM369)+MIN(MAX(AN369,0),'P-Parametri'!$B$8*(AN369+AM369)))</f>
        <v>79721.127561334986</v>
      </c>
      <c r="AP369" s="18">
        <f>IF($A369&gt;'1-Input'!$B$26,AN369,AN369-MIN(MAX(AN369,0),'P-Parametri'!$B$8*(AN369+AM369)))</f>
        <v>20190.152548658087</v>
      </c>
      <c r="AQ369" s="18">
        <f>IF($A369&gt;'1-Input'!$B$26,AQ368,AQ368-AL369*(1-AK369))</f>
        <v>10439.425311835483</v>
      </c>
    </row>
    <row r="370" spans="1:43">
      <c r="A370" s="10">
        <f>27</f>
        <v>27</v>
      </c>
      <c r="B370" s="11">
        <f>IF($A370&gt;'1-Input'!$B$26,0,IF(G369&lt;=0,0,MAX(0,(G369-H369)/G369)))</f>
        <v>0</v>
      </c>
      <c r="C370" s="18">
        <f>IF($A370&gt;'1-Input'!$B$26,0,(MAX(0,B341-IF($A370&gt;='1-Input'!$C$12,'1-Input'!$B$12,0))-MIN(MAX(F369,0),MAX(0,B341-IF($A370&gt;='1-Input'!$C$12,'1-Input'!$B$12,0))))*(1/(1-'P-Parametri'!$B$6*B370))+MIN(MAX(0,G369-(MAX(0,B341-IF($A370&gt;='1-Input'!$C$12,'1-Input'!$B$12,0))-MIN(MAX(F369,0),MAX(0,B341-IF($A370&gt;='1-Input'!$C$12,'1-Input'!$B$12,0))))*(1/(1-'P-Parametri'!$B$6*B370))),MAX(0,5*B341-(F369-MIN(MAX(F369,0),MAX(0,B341-IF($A370&gt;='1-Input'!$C$12,'1-Input'!$B$12,0)))))*(1/(1-'P-Parametri'!$B$6*B370))))</f>
        <v>0</v>
      </c>
      <c r="D370" s="18">
        <f>IF($A370&gt;'1-Input'!$B$26,F369,(F369-MAX(0,B341-IF($A370&gt;='1-Input'!$C$12,'1-Input'!$B$12,0))+C370*(1-'P-Parametri'!$B$6*B370))*(1+'1-Input'!$B$27))</f>
        <v>68199.63992634532</v>
      </c>
      <c r="E370" s="18">
        <f>IF($A370&gt;'1-Input'!$B$26,G369,(G369-C370)*(1+$B$4))</f>
        <v>0</v>
      </c>
      <c r="F370" s="18">
        <f>IF($A370&gt;'1-Input'!$B$26,D370,D370-'P-Parametri'!$B$8*(E370+D370)+MIN(MAX(E370,0),'P-Parametri'!$B$8*(E370+D370)))</f>
        <v>68063.240646492632</v>
      </c>
      <c r="G370" s="18">
        <f>IF($A370&gt;'1-Input'!$B$26,E370,E370-MIN(MAX(E370,0),'P-Parametri'!$B$8*(E370+D370)))</f>
        <v>0</v>
      </c>
      <c r="H370" s="18">
        <f>IF($A370&gt;'1-Input'!$B$26,H369,H369-C370*(1-B370))</f>
        <v>2.2737367544323206E-13</v>
      </c>
      <c r="I370" s="11">
        <f>IF($A370&gt;'1-Input'!$B$26,0,IF(N369&lt;=0,0,MAX(0,(N369-O369)/N369)))</f>
        <v>0</v>
      </c>
      <c r="J370" s="18">
        <f>IF($A370&gt;'1-Input'!$B$26,0,(MAX(0,I341-IF($A370&gt;='1-Input'!$C$12,'1-Input'!$B$12,0))-MIN(MAX(M369,0),MAX(0,I341-IF($A370&gt;='1-Input'!$C$12,'1-Input'!$B$12,0))))*(1/(1-'P-Parametri'!$B$6*I370))+MIN(MAX(0,N369-(MAX(0,I341-IF($A370&gt;='1-Input'!$C$12,'1-Input'!$B$12,0))-MIN(MAX(M369,0),MAX(0,I341-IF($A370&gt;='1-Input'!$C$12,'1-Input'!$B$12,0))))*(1/(1-'P-Parametri'!$B$6*I370))),MAX(0,5*I341-(M369-MIN(MAX(M369,0),MAX(0,I341-IF($A370&gt;='1-Input'!$C$12,'1-Input'!$B$12,0)))))*(1/(1-'P-Parametri'!$B$6*I370))))</f>
        <v>10846.756992928691</v>
      </c>
      <c r="K370" s="18">
        <f>IF($A370&gt;'1-Input'!$B$26,M369,(M369-MAX(0,I341-IF($A370&gt;='1-Input'!$C$12,'1-Input'!$B$12,0))+J370*(1-'P-Parametri'!$B$6*I370))*(1+'1-Input'!$B$27))</f>
        <v>0</v>
      </c>
      <c r="L370" s="18">
        <f>IF($A370&gt;'1-Input'!$B$26,N369,(N369-J370)*(1+$B$4))</f>
        <v>-101823.25980188345</v>
      </c>
      <c r="M370" s="18">
        <f>IF($A370&gt;'1-Input'!$B$26,K370,K370-'P-Parametri'!$B$8*(L370+K370)+MIN(MAX(L370,0),'P-Parametri'!$B$8*(L370+K370)))</f>
        <v>0</v>
      </c>
      <c r="N370" s="18">
        <f>IF($A370&gt;'1-Input'!$B$26,L370,L370-MIN(MAX(L370,0),'P-Parametri'!$B$8*(L370+K370)))</f>
        <v>-101619.61328227969</v>
      </c>
      <c r="O370" s="18">
        <f>IF($A370&gt;'1-Input'!$B$26,O369,O369-J370*(1-I370))</f>
        <v>-93813.029723332584</v>
      </c>
      <c r="P370" s="11">
        <f>IF($A370&gt;'1-Input'!$B$26,0,IF(U369&lt;=0,0,MAX(0,(U369-V369)/U369)))</f>
        <v>0.47973857669563735</v>
      </c>
      <c r="Q370" s="18">
        <f>IF($A370&gt;'1-Input'!$B$26,0,(MAX(0,P341-IF($A370&gt;='1-Input'!$C$12,'1-Input'!$B$12,0))-MIN(MAX(T369,0),MAX(0,P341-IF($A370&gt;='1-Input'!$C$12,'1-Input'!$B$12,0))))*(1/(1-'P-Parametri'!$B$6*P370))+MIN(MAX(0,U369-(MAX(0,P341-IF($A370&gt;='1-Input'!$C$12,'1-Input'!$B$12,0))-MIN(MAX(T369,0),MAX(0,P341-IF($A370&gt;='1-Input'!$C$12,'1-Input'!$B$12,0))))*(1/(1-'P-Parametri'!$B$6*P370))),MAX(0,5*P341-(T369-MIN(MAX(T369,0),MAX(0,P341-IF($A370&gt;='1-Input'!$C$12,'1-Input'!$B$12,0)))))*(1/(1-'P-Parametri'!$B$6*P370))))</f>
        <v>6046.9070171657377</v>
      </c>
      <c r="R370" s="18">
        <f>IF($A370&gt;'1-Input'!$B$26,T369,(T369-MAX(0,P341-IF($A370&gt;='1-Input'!$C$12,'1-Input'!$B$12,0))+Q370*(1-'P-Parametri'!$B$6*P370))*(1+'1-Input'!$B$27))</f>
        <v>80234.004123491206</v>
      </c>
      <c r="S370" s="18">
        <f>IF($A370&gt;'1-Input'!$B$26,U369,(U369-Q370)*(1+$B$4))</f>
        <v>9655.5193131478482</v>
      </c>
      <c r="T370" s="18">
        <f>IF($A370&gt;'1-Input'!$B$26,R370,R370-'P-Parametri'!$B$8*(S370+R370)+MIN(MAX(S370,0),'P-Parametri'!$B$8*(S370+R370)))</f>
        <v>80234.004123491206</v>
      </c>
      <c r="U370" s="18">
        <f>IF($A370&gt;'1-Input'!$B$26,S370,S370-MIN(MAX(S370,0),'P-Parametri'!$B$8*(S370+R370)))</f>
        <v>9475.7402662745699</v>
      </c>
      <c r="V370" s="18">
        <f>IF($A370&gt;'1-Input'!$B$26,V369,V369-Q370*(1-P370))</f>
        <v>4924.8962947069231</v>
      </c>
      <c r="W370" s="11">
        <f>IF($A370&gt;'1-Input'!$B$26,0,IF(AB369&lt;=0,0,MAX(0,(AB369-AC369)/AB369)))</f>
        <v>0.48250600399392296</v>
      </c>
      <c r="X370" s="18">
        <f>IF($A370&gt;'1-Input'!$B$26,0,(MAX(0,W341-IF($A370&gt;='1-Input'!$C$12,'1-Input'!$B$12,0))-MIN(MAX(AA369,0),MAX(0,W341-IF($A370&gt;='1-Input'!$C$12,'1-Input'!$B$12,0))))*(1/(1-'P-Parametri'!$B$6*W370))+MIN(MAX(0,AB369-(MAX(0,W341-IF($A370&gt;='1-Input'!$C$12,'1-Input'!$B$12,0))-MIN(MAX(AA369,0),MAX(0,W341-IF($A370&gt;='1-Input'!$C$12,'1-Input'!$B$12,0))))*(1/(1-'P-Parametri'!$B$6*W370))),MAX(0,5*W341-(AA369-MIN(MAX(AA369,0),MAX(0,W341-IF($A370&gt;='1-Input'!$C$12,'1-Input'!$B$12,0)))))*(1/(1-'P-Parametri'!$B$6*W370))))</f>
        <v>5951.2372740611154</v>
      </c>
      <c r="Y370" s="18">
        <f>IF($A370&gt;'1-Input'!$B$26,AA369,(AA369-MAX(0,W341-IF($A370&gt;='1-Input'!$C$12,'1-Input'!$B$12,0))+X370*(1-'P-Parametri'!$B$6*W370))*(1+'1-Input'!$B$27))</f>
        <v>79803.248256166989</v>
      </c>
      <c r="Z370" s="18">
        <f>IF($A370&gt;'1-Input'!$B$26,AB369,(AB369-X370)*(1+$B$4))</f>
        <v>13759.657669741455</v>
      </c>
      <c r="AA370" s="18">
        <f>IF($A370&gt;'1-Input'!$B$26,Y370,Y370-'P-Parametri'!$B$8*(Z370+Y370)+MIN(MAX(Z370,0),'P-Parametri'!$B$8*(Z370+Y370)))</f>
        <v>79803.248256166989</v>
      </c>
      <c r="AB370" s="18">
        <f>IF($A370&gt;'1-Input'!$B$26,Z370,Z370-MIN(MAX(Z370,0),'P-Parametri'!$B$8*(Z370+Y370)))</f>
        <v>13572.531857889639</v>
      </c>
      <c r="AC370" s="18">
        <f>IF($A370&gt;'1-Input'!$B$26,AC369,AC369-X370*(1-W370))</f>
        <v>6980.921795284482</v>
      </c>
      <c r="AD370" s="11">
        <f>IF($A370&gt;'1-Input'!$B$26,0,IF(AI369&lt;=0,0,MAX(0,(AI369-AJ369)/AI369)))</f>
        <v>0.48294465560479061</v>
      </c>
      <c r="AE370" s="18">
        <f>IF($A370&gt;'1-Input'!$B$26,0,(MAX(0,AD341-IF($A370&gt;='1-Input'!$C$12,'1-Input'!$B$12,0))-MIN(MAX(AH369,0),MAX(0,AD341-IF($A370&gt;='1-Input'!$C$12,'1-Input'!$B$12,0))))*(1/(1-'P-Parametri'!$B$6*AD370))+MIN(MAX(0,AI369-(MAX(0,AD341-IF($A370&gt;='1-Input'!$C$12,'1-Input'!$B$12,0))-MIN(MAX(AH369,0),MAX(0,AD341-IF($A370&gt;='1-Input'!$C$12,'1-Input'!$B$12,0))))*(1/(1-'P-Parametri'!$B$6*AD370))),MAX(0,5*AD341-(AH369-MIN(MAX(AH369,0),MAX(0,AD341-IF($A370&gt;='1-Input'!$C$12,'1-Input'!$B$12,0)))))*(1/(1-'P-Parametri'!$B$6*AD370))))</f>
        <v>5932.8258703306892</v>
      </c>
      <c r="AF370" s="18">
        <f>IF($A370&gt;'1-Input'!$B$26,AH369,(AH369-MAX(0,AD341-IF($A370&gt;='1-Input'!$C$12,'1-Input'!$B$12,0))+AE370*(1-'P-Parametri'!$B$6*AD370))*(1+'1-Input'!$B$27))</f>
        <v>79721.136773578575</v>
      </c>
      <c r="AG370" s="18">
        <f>IF($A370&gt;'1-Input'!$B$26,AI369,(AI369-AE370)*(1+$B$4))</f>
        <v>14542.387499422715</v>
      </c>
      <c r="AH370" s="18">
        <f>IF($A370&gt;'1-Input'!$B$26,AF370,AF370-'P-Parametri'!$B$8*(AG370+AF370)+MIN(MAX(AG370,0),'P-Parametri'!$B$8*(AG370+AF370)))</f>
        <v>79721.136773578575</v>
      </c>
      <c r="AI370" s="18">
        <f>IF($A370&gt;'1-Input'!$B$26,AG370,AG370-MIN(MAX(AG370,0),'P-Parametri'!$B$8*(AG370+AF370)))</f>
        <v>14353.860450876713</v>
      </c>
      <c r="AJ370" s="18">
        <f>IF($A370&gt;'1-Input'!$B$26,AJ369,AJ369-AE370*(1-AD370))</f>
        <v>7371.7835067084316</v>
      </c>
      <c r="AK370" s="11">
        <f>IF($A370&gt;'1-Input'!$B$26,0,IF(AP369&lt;=0,0,MAX(0,(AP369-AQ369)/AP369)))</f>
        <v>0.48294470352927937</v>
      </c>
      <c r="AL370" s="18">
        <f>IF($A370&gt;'1-Input'!$B$26,0,(MAX(0,AK341-IF($A370&gt;='1-Input'!$C$12,'1-Input'!$B$12,0))-MIN(MAX(AO369,0),MAX(0,AK341-IF($A370&gt;='1-Input'!$C$12,'1-Input'!$B$12,0))))*(1/(1-'P-Parametri'!$B$6*AK370))+MIN(MAX(0,AP369-(MAX(0,AK341-IF($A370&gt;='1-Input'!$C$12,'1-Input'!$B$12,0))-MIN(MAX(AO369,0),MAX(0,AK341-IF($A370&gt;='1-Input'!$C$12,'1-Input'!$B$12,0))))*(1/(1-'P-Parametri'!$B$6*AK370))),MAX(0,5*AK341-(AO369-MIN(MAX(AO369,0),MAX(0,AK341-IF($A370&gt;='1-Input'!$C$12,'1-Input'!$B$12,0)))))*(1/(1-'P-Parametri'!$B$6*AK370))))</f>
        <v>5932.8238021775487</v>
      </c>
      <c r="AM370" s="18">
        <f>IF($A370&gt;'1-Input'!$B$26,AO369,(AO369-MAX(0,AK341-IF($A370&gt;='1-Input'!$C$12,'1-Input'!$B$12,0))+AL370*(1-'P-Parametri'!$B$6*AK370))*(1+'1-Input'!$B$27))</f>
        <v>79721.127561334986</v>
      </c>
      <c r="AN370" s="18">
        <f>IF($A370&gt;'1-Input'!$B$26,AP369,(AP369-AL370)*(1+$B$4))</f>
        <v>14542.475321410149</v>
      </c>
      <c r="AO370" s="18">
        <f>IF($A370&gt;'1-Input'!$B$26,AM370,AM370-'P-Parametri'!$B$8*(AN370+AM370)+MIN(MAX(AN370,0),'P-Parametri'!$B$8*(AN370+AM370)))</f>
        <v>79721.127561334986</v>
      </c>
      <c r="AP370" s="18">
        <f>IF($A370&gt;'1-Input'!$B$26,AN370,AN370-MIN(MAX(AN370,0),'P-Parametri'!$B$8*(AN370+AM370)))</f>
        <v>14353.948115644658</v>
      </c>
      <c r="AQ370" s="18">
        <f>IF($A370&gt;'1-Input'!$B$26,AQ369,AQ369-AL370*(1-AK370))</f>
        <v>7371.8273418920216</v>
      </c>
    </row>
    <row r="371" spans="1:43">
      <c r="A371" s="10">
        <f>28</f>
        <v>28</v>
      </c>
      <c r="B371" s="11">
        <f>IF($A371&gt;'1-Input'!$B$26,0,IF(G370&lt;=0,0,MAX(0,(G370-H370)/G370)))</f>
        <v>0</v>
      </c>
      <c r="C371" s="18">
        <f>IF($A371&gt;'1-Input'!$B$26,0,(MAX(0,B341-IF($A371&gt;='1-Input'!$C$12,'1-Input'!$B$12,0))-MIN(MAX(F370,0),MAX(0,B341-IF($A371&gt;='1-Input'!$C$12,'1-Input'!$B$12,0))))*(1/(1-'P-Parametri'!$B$6*B371))+MIN(MAX(0,G370-(MAX(0,B341-IF($A371&gt;='1-Input'!$C$12,'1-Input'!$B$12,0))-MIN(MAX(F370,0),MAX(0,B341-IF($A371&gt;='1-Input'!$C$12,'1-Input'!$B$12,0))))*(1/(1-'P-Parametri'!$B$6*B371))),MAX(0,5*B341-(F370-MIN(MAX(F370,0),MAX(0,B341-IF($A371&gt;='1-Input'!$C$12,'1-Input'!$B$12,0)))))*(1/(1-'P-Parametri'!$B$6*B371))))</f>
        <v>0</v>
      </c>
      <c r="D371" s="18">
        <f>IF($A371&gt;'1-Input'!$B$26,F370,(F370-MAX(0,B341-IF($A371&gt;='1-Input'!$C$12,'1-Input'!$B$12,0))+C371*(1-'P-Parametri'!$B$6*B371))*(1+'1-Input'!$B$27))</f>
        <v>62259.242264672102</v>
      </c>
      <c r="E371" s="18">
        <f>IF($A371&gt;'1-Input'!$B$26,G370,(G370-C371)*(1+$B$4))</f>
        <v>0</v>
      </c>
      <c r="F371" s="18">
        <f>IF($A371&gt;'1-Input'!$B$26,D371,D371-'P-Parametri'!$B$8*(E371+D371)+MIN(MAX(E371,0),'P-Parametri'!$B$8*(E371+D371)))</f>
        <v>62134.723780142762</v>
      </c>
      <c r="G371" s="18">
        <f>IF($A371&gt;'1-Input'!$B$26,E371,E371-MIN(MAX(E371,0),'P-Parametri'!$B$8*(E371+D371)))</f>
        <v>0</v>
      </c>
      <c r="H371" s="18">
        <f>IF($A371&gt;'1-Input'!$B$26,H370,H370-C371*(1-B371))</f>
        <v>2.2737367544323206E-13</v>
      </c>
      <c r="I371" s="11">
        <f>IF($A371&gt;'1-Input'!$B$26,0,IF(N370&lt;=0,0,MAX(0,(N370-O370)/N370)))</f>
        <v>0</v>
      </c>
      <c r="J371" s="18">
        <f>IF($A371&gt;'1-Input'!$B$26,0,(MAX(0,I341-IF($A371&gt;='1-Input'!$C$12,'1-Input'!$B$12,0))-MIN(MAX(M370,0),MAX(0,I341-IF($A371&gt;='1-Input'!$C$12,'1-Input'!$B$12,0))))*(1/(1-'P-Parametri'!$B$6*I371))+MIN(MAX(0,N370-(MAX(0,I341-IF($A371&gt;='1-Input'!$C$12,'1-Input'!$B$12,0))-MIN(MAX(M370,0),MAX(0,I341-IF($A371&gt;='1-Input'!$C$12,'1-Input'!$B$12,0))))*(1/(1-'P-Parametri'!$B$6*I371))),MAX(0,5*I341-(M370-MIN(MAX(M370,0),MAX(0,I341-IF($A371&gt;='1-Input'!$C$12,'1-Input'!$B$12,0)))))*(1/(1-'P-Parametri'!$B$6*I371))))</f>
        <v>10846.756992928691</v>
      </c>
      <c r="K371" s="18">
        <f>IF($A371&gt;'1-Input'!$B$26,M370,(M370-MAX(0,I341-IF($A371&gt;='1-Input'!$C$12,'1-Input'!$B$12,0))+J371*(1-'P-Parametri'!$B$6*I371))*(1+'1-Input'!$B$27))</f>
        <v>0</v>
      </c>
      <c r="L371" s="18">
        <f>IF($A371&gt;'1-Input'!$B$26,N370,(N370-J371)*(1+$B$4))</f>
        <v>-114715.69768071255</v>
      </c>
      <c r="M371" s="18">
        <f>IF($A371&gt;'1-Input'!$B$26,K371,K371-'P-Parametri'!$B$8*(L371+K371)+MIN(MAX(L371,0),'P-Parametri'!$B$8*(L371+K371)))</f>
        <v>0</v>
      </c>
      <c r="N371" s="18">
        <f>IF($A371&gt;'1-Input'!$B$26,L371,L371-MIN(MAX(L371,0),'P-Parametri'!$B$8*(L371+K371)))</f>
        <v>-114486.26628535113</v>
      </c>
      <c r="O371" s="18">
        <f>IF($A371&gt;'1-Input'!$B$26,O370,O370-J371*(1-I371))</f>
        <v>-104659.78671626127</v>
      </c>
      <c r="P371" s="11">
        <f>IF($A371&gt;'1-Input'!$B$26,0,IF(U370&lt;=0,0,MAX(0,(U370-V370)/U370)))</f>
        <v>0.48026263317544809</v>
      </c>
      <c r="Q371" s="18">
        <f>IF($A371&gt;'1-Input'!$B$26,0,(MAX(0,P341-IF($A371&gt;='1-Input'!$C$12,'1-Input'!$B$12,0))-MIN(MAX(T370,0),MAX(0,P341-IF($A371&gt;='1-Input'!$C$12,'1-Input'!$B$12,0))))*(1/(1-'P-Parametri'!$B$6*P371))+MIN(MAX(0,U370-(MAX(0,P341-IF($A371&gt;='1-Input'!$C$12,'1-Input'!$B$12,0))-MIN(MAX(T370,0),MAX(0,P341-IF($A371&gt;='1-Input'!$C$12,'1-Input'!$B$12,0))))*(1/(1-'P-Parametri'!$B$6*P371))),MAX(0,5*P341-(T370-MIN(MAX(T370,0),MAX(0,P341-IF($A371&gt;='1-Input'!$C$12,'1-Input'!$B$12,0)))))*(1/(1-'P-Parametri'!$B$6*P371))))</f>
        <v>6047.8484976250402</v>
      </c>
      <c r="R371" s="18">
        <f>IF($A371&gt;'1-Input'!$B$26,T370,(T370-MAX(0,P341-IF($A371&gt;='1-Input'!$C$12,'1-Input'!$B$12,0))+Q371*(1-'P-Parametri'!$B$6*P371))*(1+'1-Input'!$B$27))</f>
        <v>80234.004123491206</v>
      </c>
      <c r="S371" s="18">
        <f>IF($A371&gt;'1-Input'!$B$26,U370,(U370-Q371)*(1+$B$4))</f>
        <v>3496.4496040225204</v>
      </c>
      <c r="T371" s="18">
        <f>IF($A371&gt;'1-Input'!$B$26,R371,R371-'P-Parametri'!$B$8*(S371+R371)+MIN(MAX(S371,0),'P-Parametri'!$B$8*(S371+R371)))</f>
        <v>80234.004123491206</v>
      </c>
      <c r="U371" s="18">
        <f>IF($A371&gt;'1-Input'!$B$26,S371,S371-MIN(MAX(S371,0),'P-Parametri'!$B$8*(S371+R371)))</f>
        <v>3328.9886965674928</v>
      </c>
      <c r="V371" s="18">
        <f>IF($A371&gt;'1-Input'!$B$26,V370,V370-Q371*(1-P371))</f>
        <v>1781.6034415974623</v>
      </c>
      <c r="W371" s="11">
        <f>IF($A371&gt;'1-Input'!$B$26,0,IF(AB370&lt;=0,0,MAX(0,(AB370-AC370)/AB370)))</f>
        <v>0.48565810208605181</v>
      </c>
      <c r="X371" s="18">
        <f>IF($A371&gt;'1-Input'!$B$26,0,(MAX(0,W341-IF($A371&gt;='1-Input'!$C$12,'1-Input'!$B$12,0))-MIN(MAX(AA370,0),MAX(0,W341-IF($A371&gt;='1-Input'!$C$12,'1-Input'!$B$12,0))))*(1/(1-'P-Parametri'!$B$6*W371))+MIN(MAX(0,AB370-(MAX(0,W341-IF($A371&gt;='1-Input'!$C$12,'1-Input'!$B$12,0))-MIN(MAX(AA370,0),MAX(0,W341-IF($A371&gt;='1-Input'!$C$12,'1-Input'!$B$12,0))))*(1/(1-'P-Parametri'!$B$6*W371))),MAX(0,5*W341-(AA370-MIN(MAX(AA370,0),MAX(0,W341-IF($A371&gt;='1-Input'!$C$12,'1-Input'!$B$12,0)))))*(1/(1-'P-Parametri'!$B$6*W371))))</f>
        <v>5956.8194515390924</v>
      </c>
      <c r="Y371" s="18">
        <f>IF($A371&gt;'1-Input'!$B$26,AA370,(AA370-MAX(0,W341-IF($A371&gt;='1-Input'!$C$12,'1-Input'!$B$12,0))+X371*(1-'P-Parametri'!$B$6*W371))*(1+'1-Input'!$B$27))</f>
        <v>79803.248256166989</v>
      </c>
      <c r="Z371" s="18">
        <f>IF($A371&gt;'1-Input'!$B$26,AB370,(AB370-X371)*(1+$B$4))</f>
        <v>7768.0266544775568</v>
      </c>
      <c r="AA371" s="18">
        <f>IF($A371&gt;'1-Input'!$B$26,Y371,Y371-'P-Parametri'!$B$8*(Z371+Y371)+MIN(MAX(Z371,0),'P-Parametri'!$B$8*(Z371+Y371)))</f>
        <v>79803.248256166989</v>
      </c>
      <c r="AB371" s="18">
        <f>IF($A371&gt;'1-Input'!$B$26,Z371,Z371-MIN(MAX(Z371,0),'P-Parametri'!$B$8*(Z371+Y371)))</f>
        <v>7592.8841046562675</v>
      </c>
      <c r="AC371" s="18">
        <f>IF($A371&gt;'1-Input'!$B$26,AC370,AC370-X371*(1-W371))</f>
        <v>3917.0799730491408</v>
      </c>
      <c r="AD371" s="11">
        <f>IF($A371&gt;'1-Input'!$B$26,0,IF(AI370&lt;=0,0,MAX(0,(AI370-AJ370)/AI370)))</f>
        <v>0.48642502608013205</v>
      </c>
      <c r="AE371" s="18">
        <f>IF($A371&gt;'1-Input'!$B$26,0,(MAX(0,AD341-IF($A371&gt;='1-Input'!$C$12,'1-Input'!$B$12,0))-MIN(MAX(AH370,0),MAX(0,AD341-IF($A371&gt;='1-Input'!$C$12,'1-Input'!$B$12,0))))*(1/(1-'P-Parametri'!$B$6*AD371))+MIN(MAX(0,AI370-(MAX(0,AD341-IF($A371&gt;='1-Input'!$C$12,'1-Input'!$B$12,0))-MIN(MAX(AH370,0),MAX(0,AD341-IF($A371&gt;='1-Input'!$C$12,'1-Input'!$B$12,0))))*(1/(1-'P-Parametri'!$B$6*AD371))),MAX(0,5*AD341-(AH370-MIN(MAX(AH370,0),MAX(0,AD341-IF($A371&gt;='1-Input'!$C$12,'1-Input'!$B$12,0)))))*(1/(1-'P-Parametri'!$B$6*AD371))))</f>
        <v>5938.971733017901</v>
      </c>
      <c r="AF371" s="18">
        <f>IF($A371&gt;'1-Input'!$B$26,AH370,(AH370-MAX(0,AD341-IF($A371&gt;='1-Input'!$C$12,'1-Input'!$B$12,0))+AE371*(1-'P-Parametri'!$B$6*AD371))*(1+'1-Input'!$B$27))</f>
        <v>79721.136773578575</v>
      </c>
      <c r="AG371" s="18">
        <f>IF($A371&gt;'1-Input'!$B$26,AI370,(AI370-AE371)*(1+$B$4))</f>
        <v>8583.1864922159875</v>
      </c>
      <c r="AH371" s="18">
        <f>IF($A371&gt;'1-Input'!$B$26,AF371,AF371-'P-Parametri'!$B$8*(AG371+AF371)+MIN(MAX(AG371,0),'P-Parametri'!$B$8*(AG371+AF371)))</f>
        <v>79721.136773578575</v>
      </c>
      <c r="AI371" s="18">
        <f>IF($A371&gt;'1-Input'!$B$26,AG371,AG371-MIN(MAX(AG371,0),'P-Parametri'!$B$8*(AG371+AF371)))</f>
        <v>8406.5778456843982</v>
      </c>
      <c r="AJ371" s="18">
        <f>IF($A371&gt;'1-Input'!$B$26,AJ370,AJ370-AE371*(1-AD371))</f>
        <v>4321.6762538129296</v>
      </c>
      <c r="AK371" s="11">
        <f>IF($A371&gt;'1-Input'!$B$26,0,IF(AP370&lt;=0,0,MAX(0,(AP370-AQ370)/AP370)))</f>
        <v>0.48642510879238038</v>
      </c>
      <c r="AL371" s="18">
        <f>IF($A371&gt;'1-Input'!$B$26,0,(MAX(0,AK341-IF($A371&gt;='1-Input'!$C$12,'1-Input'!$B$12,0))-MIN(MAX(AO370,0),MAX(0,AK341-IF($A371&gt;='1-Input'!$C$12,'1-Input'!$B$12,0))))*(1/(1-'P-Parametri'!$B$6*AK371))+MIN(MAX(0,AP370-(MAX(0,AK341-IF($A371&gt;='1-Input'!$C$12,'1-Input'!$B$12,0))-MIN(MAX(AO370,0),MAX(0,AK341-IF($A371&gt;='1-Input'!$C$12,'1-Input'!$B$12,0))))*(1/(1-'P-Parametri'!$B$6*AK371))),MAX(0,5*AK341-(AO370-MIN(MAX(AO370,0),MAX(0,AK341-IF($A371&gt;='1-Input'!$C$12,'1-Input'!$B$12,0)))))*(1/(1-'P-Parametri'!$B$6*AK371))))</f>
        <v>5938.9697243040973</v>
      </c>
      <c r="AM371" s="18">
        <f>IF($A371&gt;'1-Input'!$B$26,AO370,(AO370-MAX(0,AK341-IF($A371&gt;='1-Input'!$C$12,'1-Input'!$B$12,0))+AL371*(1-'P-Parametri'!$B$6*AK371))*(1+'1-Input'!$B$27))</f>
        <v>79721.127561334986</v>
      </c>
      <c r="AN371" s="18">
        <f>IF($A371&gt;'1-Input'!$B$26,AP370,(AP370-AL371)*(1+$B$4))</f>
        <v>8583.2779591673716</v>
      </c>
      <c r="AO371" s="18">
        <f>IF($A371&gt;'1-Input'!$B$26,AM371,AM371-'P-Parametri'!$B$8*(AN371+AM371)+MIN(MAX(AN371,0),'P-Parametri'!$B$8*(AN371+AM371)))</f>
        <v>79721.127561334986</v>
      </c>
      <c r="AP371" s="18">
        <f>IF($A371&gt;'1-Input'!$B$26,AN371,AN371-MIN(MAX(AN371,0),'P-Parametri'!$B$8*(AN371+AM371)))</f>
        <v>8406.6691481263661</v>
      </c>
      <c r="AQ371" s="18">
        <f>IF($A371&gt;'1-Input'!$B$26,AQ370,AQ370-AL371*(1-AK371))</f>
        <v>4321.7216118471979</v>
      </c>
    </row>
    <row r="372" spans="1:43">
      <c r="A372" s="10">
        <f>29</f>
        <v>29</v>
      </c>
      <c r="B372" s="11">
        <f>IF($A372&gt;'1-Input'!$B$26,0,IF(G371&lt;=0,0,MAX(0,(G371-H371)/G371)))</f>
        <v>0</v>
      </c>
      <c r="C372" s="18">
        <f>IF($A372&gt;'1-Input'!$B$26,0,(MAX(0,B341-IF($A372&gt;='1-Input'!$C$12,'1-Input'!$B$12,0))-MIN(MAX(F371,0),MAX(0,B341-IF($A372&gt;='1-Input'!$C$12,'1-Input'!$B$12,0))))*(1/(1-'P-Parametri'!$B$6*B372))+MIN(MAX(0,G371-(MAX(0,B341-IF($A372&gt;='1-Input'!$C$12,'1-Input'!$B$12,0))-MIN(MAX(F371,0),MAX(0,B341-IF($A372&gt;='1-Input'!$C$12,'1-Input'!$B$12,0))))*(1/(1-'P-Parametri'!$B$6*B372))),MAX(0,5*B341-(F371-MIN(MAX(F371,0),MAX(0,B341-IF($A372&gt;='1-Input'!$C$12,'1-Input'!$B$12,0)))))*(1/(1-'P-Parametri'!$B$6*B372))))</f>
        <v>0</v>
      </c>
      <c r="D372" s="18">
        <f>IF($A372&gt;'1-Input'!$B$26,F371,(F371-MAX(0,B341-IF($A372&gt;='1-Input'!$C$12,'1-Input'!$B$12,0))+C372*(1-'P-Parametri'!$B$6*B372))*(1+'1-Input'!$B$27))</f>
        <v>56352.068059041092</v>
      </c>
      <c r="E372" s="18">
        <f>IF($A372&gt;'1-Input'!$B$26,G371,(G371-C372)*(1+$B$4))</f>
        <v>0</v>
      </c>
      <c r="F372" s="18">
        <f>IF($A372&gt;'1-Input'!$B$26,D372,D372-'P-Parametri'!$B$8*(E372+D372)+MIN(MAX(E372,0),'P-Parametri'!$B$8*(E372+D372)))</f>
        <v>56239.36392292301</v>
      </c>
      <c r="G372" s="18">
        <f>IF($A372&gt;'1-Input'!$B$26,E372,E372-MIN(MAX(E372,0),'P-Parametri'!$B$8*(E372+D372)))</f>
        <v>0</v>
      </c>
      <c r="H372" s="18">
        <f>IF($A372&gt;'1-Input'!$B$26,H371,H371-C372*(1-B372))</f>
        <v>2.2737367544323206E-13</v>
      </c>
      <c r="I372" s="11">
        <f>IF($A372&gt;'1-Input'!$B$26,0,IF(N371&lt;=0,0,MAX(0,(N371-O371)/N371)))</f>
        <v>0</v>
      </c>
      <c r="J372" s="18">
        <f>IF($A372&gt;'1-Input'!$B$26,0,(MAX(0,I341-IF($A372&gt;='1-Input'!$C$12,'1-Input'!$B$12,0))-MIN(MAX(M371,0),MAX(0,I341-IF($A372&gt;='1-Input'!$C$12,'1-Input'!$B$12,0))))*(1/(1-'P-Parametri'!$B$6*I372))+MIN(MAX(0,N371-(MAX(0,I341-IF($A372&gt;='1-Input'!$C$12,'1-Input'!$B$12,0))-MIN(MAX(M371,0),MAX(0,I341-IF($A372&gt;='1-Input'!$C$12,'1-Input'!$B$12,0))))*(1/(1-'P-Parametri'!$B$6*I372))),MAX(0,5*I341-(M371-MIN(MAX(M371,0),MAX(0,I341-IF($A372&gt;='1-Input'!$C$12,'1-Input'!$B$12,0)))))*(1/(1-'P-Parametri'!$B$6*I372))))</f>
        <v>10846.756992928691</v>
      </c>
      <c r="K372" s="18">
        <f>IF($A372&gt;'1-Input'!$B$26,M371,(M371-MAX(0,I341-IF($A372&gt;='1-Input'!$C$12,'1-Input'!$B$12,0))+J372*(1-'P-Parametri'!$B$6*I372))*(1+'1-Input'!$B$27))</f>
        <v>0</v>
      </c>
      <c r="L372" s="18">
        <f>IF($A372&gt;'1-Input'!$B$26,N371,(N371-J372)*(1+$B$4))</f>
        <v>-127839.68374384541</v>
      </c>
      <c r="M372" s="18">
        <f>IF($A372&gt;'1-Input'!$B$26,K372,K372-'P-Parametri'!$B$8*(L372+K372)+MIN(MAX(L372,0),'P-Parametri'!$B$8*(L372+K372)))</f>
        <v>0</v>
      </c>
      <c r="N372" s="18">
        <f>IF($A372&gt;'1-Input'!$B$26,L372,L372-MIN(MAX(L372,0),'P-Parametri'!$B$8*(L372+K372)))</f>
        <v>-127584.00437635771</v>
      </c>
      <c r="O372" s="18">
        <f>IF($A372&gt;'1-Input'!$B$26,O371,O371-J372*(1-I372))</f>
        <v>-115506.54370918995</v>
      </c>
      <c r="P372" s="11">
        <f>IF($A372&gt;'1-Input'!$B$26,0,IF(U371&lt;=0,0,MAX(0,(U371-V371)/U371)))</f>
        <v>0.46482142056100501</v>
      </c>
      <c r="Q372" s="18">
        <f>IF($A372&gt;'1-Input'!$B$26,0,(MAX(0,P341-IF($A372&gt;='1-Input'!$C$12,'1-Input'!$B$12,0))-MIN(MAX(T371,0),MAX(0,P341-IF($A372&gt;='1-Input'!$C$12,'1-Input'!$B$12,0))))*(1/(1-'P-Parametri'!$B$6*P372))+MIN(MAX(0,U371-(MAX(0,P341-IF($A372&gt;='1-Input'!$C$12,'1-Input'!$B$12,0))-MIN(MAX(T371,0),MAX(0,P341-IF($A372&gt;='1-Input'!$C$12,'1-Input'!$B$12,0))))*(1/(1-'P-Parametri'!$B$6*P372))),MAX(0,5*P341-(T371-MIN(MAX(T371,0),MAX(0,P341-IF($A372&gt;='1-Input'!$C$12,'1-Input'!$B$12,0)))))*(1/(1-'P-Parametri'!$B$6*P372))))</f>
        <v>3328.9886965674928</v>
      </c>
      <c r="R372" s="18">
        <f>IF($A372&gt;'1-Input'!$B$26,T371,(T371-MAX(0,P341-IF($A372&gt;='1-Input'!$C$12,'1-Input'!$B$12,0))+Q372*(1-'P-Parametri'!$B$6*P372))*(1+'1-Input'!$B$27))</f>
        <v>77876.526207514689</v>
      </c>
      <c r="S372" s="18">
        <f>IF($A372&gt;'1-Input'!$B$26,U371,(U371-Q372)*(1+$B$4))</f>
        <v>0</v>
      </c>
      <c r="T372" s="18">
        <f>IF($A372&gt;'1-Input'!$B$26,R372,R372-'P-Parametri'!$B$8*(S372+R372)+MIN(MAX(S372,0),'P-Parametri'!$B$8*(S372+R372)))</f>
        <v>77720.773155099654</v>
      </c>
      <c r="U372" s="18">
        <f>IF($A372&gt;'1-Input'!$B$26,S372,S372-MIN(MAX(S372,0),'P-Parametri'!$B$8*(S372+R372)))</f>
        <v>0</v>
      </c>
      <c r="V372" s="18">
        <f>IF($A372&gt;'1-Input'!$B$26,V371,V371-Q372*(1-P372))</f>
        <v>2.2737367544323206E-13</v>
      </c>
      <c r="W372" s="11">
        <f>IF($A372&gt;'1-Input'!$B$26,0,IF(AB371&lt;=0,0,MAX(0,(AB371-AC371)/AB371)))</f>
        <v>0.48411171314375429</v>
      </c>
      <c r="X372" s="18">
        <f>IF($A372&gt;'1-Input'!$B$26,0,(MAX(0,W341-IF($A372&gt;='1-Input'!$C$12,'1-Input'!$B$12,0))-MIN(MAX(AA371,0),MAX(0,W341-IF($A372&gt;='1-Input'!$C$12,'1-Input'!$B$12,0))))*(1/(1-'P-Parametri'!$B$6*W372))+MIN(MAX(0,AB371-(MAX(0,W341-IF($A372&gt;='1-Input'!$C$12,'1-Input'!$B$12,0))-MIN(MAX(AA371,0),MAX(0,W341-IF($A372&gt;='1-Input'!$C$12,'1-Input'!$B$12,0))))*(1/(1-'P-Parametri'!$B$6*W372))),MAX(0,5*W341-(AA371-MIN(MAX(AA371,0),MAX(0,W341-IF($A372&gt;='1-Input'!$C$12,'1-Input'!$B$12,0)))))*(1/(1-'P-Parametri'!$B$6*W372))))</f>
        <v>5954.0795811369107</v>
      </c>
      <c r="Y372" s="18">
        <f>IF($A372&gt;'1-Input'!$B$26,AA371,(AA371-MAX(0,W341-IF($A372&gt;='1-Input'!$C$12,'1-Input'!$B$12,0))+X372*(1-'P-Parametri'!$B$6*W372))*(1+'1-Input'!$B$27))</f>
        <v>79803.248256166989</v>
      </c>
      <c r="Z372" s="18">
        <f>IF($A372&gt;'1-Input'!$B$26,AB371,(AB371-X372)*(1+$B$4))</f>
        <v>1671.5806139897438</v>
      </c>
      <c r="AA372" s="18">
        <f>IF($A372&gt;'1-Input'!$B$26,Y372,Y372-'P-Parametri'!$B$8*(Z372+Y372)+MIN(MAX(Z372,0),'P-Parametri'!$B$8*(Z372+Y372)))</f>
        <v>79803.248256166989</v>
      </c>
      <c r="AB372" s="18">
        <f>IF($A372&gt;'1-Input'!$B$26,Z372,Z372-MIN(MAX(Z372,0),'P-Parametri'!$B$8*(Z372+Y372)))</f>
        <v>1508.6309562494303</v>
      </c>
      <c r="AC372" s="18">
        <f>IF($A372&gt;'1-Input'!$B$26,AC371,AC371-X372*(1-W372))</f>
        <v>845.44005813066633</v>
      </c>
      <c r="AD372" s="11">
        <f>IF($A372&gt;'1-Input'!$B$26,0,IF(AI371&lt;=0,0,MAX(0,(AI371-AJ371)/AI371)))</f>
        <v>0.48591729796072658</v>
      </c>
      <c r="AE372" s="18">
        <f>IF($A372&gt;'1-Input'!$B$26,0,(MAX(0,AD341-IF($A372&gt;='1-Input'!$C$12,'1-Input'!$B$12,0))-MIN(MAX(AH371,0),MAX(0,AD341-IF($A372&gt;='1-Input'!$C$12,'1-Input'!$B$12,0))))*(1/(1-'P-Parametri'!$B$6*AD372))+MIN(MAX(0,AI371-(MAX(0,AD341-IF($A372&gt;='1-Input'!$C$12,'1-Input'!$B$12,0))-MIN(MAX(AH371,0),MAX(0,AD341-IF($A372&gt;='1-Input'!$C$12,'1-Input'!$B$12,0))))*(1/(1-'P-Parametri'!$B$6*AD372))),MAX(0,5*AD341-(AH371-MIN(MAX(AH371,0),MAX(0,AD341-IF($A372&gt;='1-Input'!$C$12,'1-Input'!$B$12,0)))))*(1/(1-'P-Parametri'!$B$6*AD372))))</f>
        <v>5938.074360792476</v>
      </c>
      <c r="AF372" s="18">
        <f>IF($A372&gt;'1-Input'!$B$26,AH371,(AH371-MAX(0,AD341-IF($A372&gt;='1-Input'!$C$12,'1-Input'!$B$12,0))+AE372*(1-'P-Parametri'!$B$6*AD372))*(1+'1-Input'!$B$27))</f>
        <v>79721.136773578575</v>
      </c>
      <c r="AG372" s="18">
        <f>IF($A372&gt;'1-Input'!$B$26,AI371,(AI371-AE372)*(1+$B$4))</f>
        <v>2517.8735545897607</v>
      </c>
      <c r="AH372" s="18">
        <f>IF($A372&gt;'1-Input'!$B$26,AF372,AF372-'P-Parametri'!$B$8*(AG372+AF372)+MIN(MAX(AG372,0),'P-Parametri'!$B$8*(AG372+AF372)))</f>
        <v>79721.136773578575</v>
      </c>
      <c r="AI372" s="18">
        <f>IF($A372&gt;'1-Input'!$B$26,AG372,AG372-MIN(MAX(AG372,0),'P-Parametri'!$B$8*(AG372+AF372)))</f>
        <v>2353.3955339334238</v>
      </c>
      <c r="AJ372" s="18">
        <f>IF($A372&gt;'1-Input'!$B$26,AJ371,AJ371-AE372*(1-AD372))</f>
        <v>1269.0149415066021</v>
      </c>
      <c r="AK372" s="11">
        <f>IF($A372&gt;'1-Input'!$B$26,0,IF(AP371&lt;=0,0,MAX(0,(AP371-AQ371)/AP371)))</f>
        <v>0.48591748578443816</v>
      </c>
      <c r="AL372" s="18">
        <f>IF($A372&gt;'1-Input'!$B$26,0,(MAX(0,AK341-IF($A372&gt;='1-Input'!$C$12,'1-Input'!$B$12,0))-MIN(MAX(AO371,0),MAX(0,AK341-IF($A372&gt;='1-Input'!$C$12,'1-Input'!$B$12,0))))*(1/(1-'P-Parametri'!$B$6*AK372))+MIN(MAX(0,AP371-(MAX(0,AK341-IF($A372&gt;='1-Input'!$C$12,'1-Input'!$B$12,0))-MIN(MAX(AO371,0),MAX(0,AK341-IF($A372&gt;='1-Input'!$C$12,'1-Input'!$B$12,0))))*(1/(1-'P-Parametri'!$B$6*AK372))),MAX(0,5*AK341-(AO371-MIN(MAX(AO371,0),MAX(0,AK341-IF($A372&gt;='1-Input'!$C$12,'1-Input'!$B$12,0)))))*(1/(1-'P-Parametri'!$B$6*AK372))))</f>
        <v>5938.0725381087796</v>
      </c>
      <c r="AM372" s="18">
        <f>IF($A372&gt;'1-Input'!$B$26,AO371,(AO371-MAX(0,AK341-IF($A372&gt;='1-Input'!$C$12,'1-Input'!$B$12,0))+AL372*(1-'P-Parametri'!$B$6*AK372))*(1+'1-Input'!$B$27))</f>
        <v>79721.127561334986</v>
      </c>
      <c r="AN372" s="18">
        <f>IF($A372&gt;'1-Input'!$B$26,AP371,(AP371-AL372)*(1+$B$4))</f>
        <v>2517.9685422179382</v>
      </c>
      <c r="AO372" s="18">
        <f>IF($A372&gt;'1-Input'!$B$26,AM372,AM372-'P-Parametri'!$B$8*(AN372+AM372)+MIN(MAX(AN372,0),'P-Parametri'!$B$8*(AN372+AM372)))</f>
        <v>79721.127561334986</v>
      </c>
      <c r="AP372" s="18">
        <f>IF($A372&gt;'1-Input'!$B$26,AN372,AN372-MIN(MAX(AN372,0),'P-Parametri'!$B$8*(AN372+AM372)))</f>
        <v>2353.4903500108321</v>
      </c>
      <c r="AQ372" s="18">
        <f>IF($A372&gt;'1-Input'!$B$26,AQ371,AQ371-AL372*(1-AK372))</f>
        <v>1269.062351861854</v>
      </c>
    </row>
    <row r="373" spans="1:43">
      <c r="A373" s="10">
        <f>30</f>
        <v>30</v>
      </c>
      <c r="B373" s="11">
        <f>IF($A373&gt;'1-Input'!$B$26,0,IF(G372&lt;=0,0,MAX(0,(G372-H372)/G372)))</f>
        <v>0</v>
      </c>
      <c r="C373" s="18">
        <f>IF($A373&gt;'1-Input'!$B$26,0,(MAX(0,B341-IF($A373&gt;='1-Input'!$C$12,'1-Input'!$B$12,0))-MIN(MAX(F372,0),MAX(0,B341-IF($A373&gt;='1-Input'!$C$12,'1-Input'!$B$12,0))))*(1/(1-'P-Parametri'!$B$6*B373))+MIN(MAX(0,G372-(MAX(0,B341-IF($A373&gt;='1-Input'!$C$12,'1-Input'!$B$12,0))-MIN(MAX(F372,0),MAX(0,B341-IF($A373&gt;='1-Input'!$C$12,'1-Input'!$B$12,0))))*(1/(1-'P-Parametri'!$B$6*B373))),MAX(0,5*B341-(F372-MIN(MAX(F372,0),MAX(0,B341-IF($A373&gt;='1-Input'!$C$12,'1-Input'!$B$12,0)))))*(1/(1-'P-Parametri'!$B$6*B373))))</f>
        <v>0</v>
      </c>
      <c r="D373" s="18">
        <f>IF($A373&gt;'1-Input'!$B$26,F372,(F372-MAX(0,B341-IF($A373&gt;='1-Input'!$C$12,'1-Input'!$B$12,0))+C373*(1-'P-Parametri'!$B$6*B373))*(1+'1-Input'!$B$27))</f>
        <v>50477.931497307334</v>
      </c>
      <c r="E373" s="18">
        <f>IF($A373&gt;'1-Input'!$B$26,G372,(G372-C373)*(1+$B$4))</f>
        <v>0</v>
      </c>
      <c r="F373" s="18">
        <f>IF($A373&gt;'1-Input'!$B$26,D373,D373-'P-Parametri'!$B$8*(E373+D373)+MIN(MAX(E373,0),'P-Parametri'!$B$8*(E373+D373)))</f>
        <v>50376.975634312723</v>
      </c>
      <c r="G373" s="18">
        <f>IF($A373&gt;'1-Input'!$B$26,E373,E373-MIN(MAX(E373,0),'P-Parametri'!$B$8*(E373+D373)))</f>
        <v>0</v>
      </c>
      <c r="H373" s="18">
        <f>IF($A373&gt;'1-Input'!$B$26,H372,H372-C373*(1-B373))</f>
        <v>2.2737367544323206E-13</v>
      </c>
      <c r="I373" s="11">
        <f>IF($A373&gt;'1-Input'!$B$26,0,IF(N372&lt;=0,0,MAX(0,(N372-O372)/N372)))</f>
        <v>0</v>
      </c>
      <c r="J373" s="18">
        <f>IF($A373&gt;'1-Input'!$B$26,0,(MAX(0,I341-IF($A373&gt;='1-Input'!$C$12,'1-Input'!$B$12,0))-MIN(MAX(M372,0),MAX(0,I341-IF($A373&gt;='1-Input'!$C$12,'1-Input'!$B$12,0))))*(1/(1-'P-Parametri'!$B$6*I373))+MIN(MAX(0,N372-(MAX(0,I341-IF($A373&gt;='1-Input'!$C$12,'1-Input'!$B$12,0))-MIN(MAX(M372,0),MAX(0,I341-IF($A373&gt;='1-Input'!$C$12,'1-Input'!$B$12,0))))*(1/(1-'P-Parametri'!$B$6*I373))),MAX(0,5*I341-(M372-MIN(MAX(M372,0),MAX(0,I341-IF($A373&gt;='1-Input'!$C$12,'1-Input'!$B$12,0)))))*(1/(1-'P-Parametri'!$B$6*I373))))</f>
        <v>10846.756992928691</v>
      </c>
      <c r="K373" s="18">
        <f>IF($A373&gt;'1-Input'!$B$26,M372,(M372-MAX(0,I341-IF($A373&gt;='1-Input'!$C$12,'1-Input'!$B$12,0))+J373*(1-'P-Parametri'!$B$6*I373))*(1+'1-Input'!$B$27))</f>
        <v>0</v>
      </c>
      <c r="L373" s="18">
        <f>IF($A373&gt;'1-Input'!$B$26,N372,(N372-J373)*(1+$B$4))</f>
        <v>-141199.37659667214</v>
      </c>
      <c r="M373" s="18">
        <f>IF($A373&gt;'1-Input'!$B$26,K373,K373-'P-Parametri'!$B$8*(L373+K373)+MIN(MAX(L373,0),'P-Parametri'!$B$8*(L373+K373)))</f>
        <v>0</v>
      </c>
      <c r="N373" s="18">
        <f>IF($A373&gt;'1-Input'!$B$26,L373,L373-MIN(MAX(L373,0),'P-Parametri'!$B$8*(L373+K373)))</f>
        <v>-140916.97784347879</v>
      </c>
      <c r="O373" s="18">
        <f>IF($A373&gt;'1-Input'!$B$26,O372,O372-J373*(1-I373))</f>
        <v>-126353.30070211863</v>
      </c>
      <c r="P373" s="11">
        <f>IF($A373&gt;'1-Input'!$B$26,0,IF(U372&lt;=0,0,MAX(0,(U372-V372)/U372)))</f>
        <v>0</v>
      </c>
      <c r="Q373" s="18">
        <f>IF($A373&gt;'1-Input'!$B$26,0,(MAX(0,P341-IF($A373&gt;='1-Input'!$C$12,'1-Input'!$B$12,0))-MIN(MAX(T372,0),MAX(0,P341-IF($A373&gt;='1-Input'!$C$12,'1-Input'!$B$12,0))))*(1/(1-'P-Parametri'!$B$6*P373))+MIN(MAX(0,U372-(MAX(0,P341-IF($A373&gt;='1-Input'!$C$12,'1-Input'!$B$12,0))-MIN(MAX(T372,0),MAX(0,P341-IF($A373&gt;='1-Input'!$C$12,'1-Input'!$B$12,0))))*(1/(1-'P-Parametri'!$B$6*P373))),MAX(0,5*P341-(T372-MIN(MAX(T372,0),MAX(0,P341-IF($A373&gt;='1-Input'!$C$12,'1-Input'!$B$12,0)))))*(1/(1-'P-Parametri'!$B$6*P373))))</f>
        <v>0</v>
      </c>
      <c r="R373" s="18">
        <f>IF($A373&gt;'1-Input'!$B$26,T372,(T372-MAX(0,P341-IF($A373&gt;='1-Input'!$C$12,'1-Input'!$B$12,0))+Q373*(1-'P-Parametri'!$B$6*P373))*(1+'1-Input'!$B$27))</f>
        <v>72456.210347043059</v>
      </c>
      <c r="S373" s="18">
        <f>IF($A373&gt;'1-Input'!$B$26,U372,(U372-Q373)*(1+$B$4))</f>
        <v>0</v>
      </c>
      <c r="T373" s="18">
        <f>IF($A373&gt;'1-Input'!$B$26,R373,R373-'P-Parametri'!$B$8*(S373+R373)+MIN(MAX(S373,0),'P-Parametri'!$B$8*(S373+R373)))</f>
        <v>72311.297926348969</v>
      </c>
      <c r="U373" s="18">
        <f>IF($A373&gt;'1-Input'!$B$26,S373,S373-MIN(MAX(S373,0),'P-Parametri'!$B$8*(S373+R373)))</f>
        <v>0</v>
      </c>
      <c r="V373" s="18">
        <f>IF($A373&gt;'1-Input'!$B$26,V372,V372-Q373*(1-P373))</f>
        <v>2.2737367544323206E-13</v>
      </c>
      <c r="W373" s="11">
        <f>IF($A373&gt;'1-Input'!$B$26,0,IF(AB372&lt;=0,0,MAX(0,(AB372-AC372)/AB372)))</f>
        <v>0.43959783230718413</v>
      </c>
      <c r="X373" s="18">
        <f>IF($A373&gt;'1-Input'!$B$26,0,(MAX(0,W341-IF($A373&gt;='1-Input'!$C$12,'1-Input'!$B$12,0))-MIN(MAX(AA372,0),MAX(0,W341-IF($A373&gt;='1-Input'!$C$12,'1-Input'!$B$12,0))))*(1/(1-'P-Parametri'!$B$6*W373))+MIN(MAX(0,AB372-(MAX(0,W341-IF($A373&gt;='1-Input'!$C$12,'1-Input'!$B$12,0))-MIN(MAX(AA372,0),MAX(0,W341-IF($A373&gt;='1-Input'!$C$12,'1-Input'!$B$12,0))))*(1/(1-'P-Parametri'!$B$6*W373))),MAX(0,5*W341-(AA372-MIN(MAX(AA372,0),MAX(0,W341-IF($A373&gt;='1-Input'!$C$12,'1-Input'!$B$12,0)))))*(1/(1-'P-Parametri'!$B$6*W373))))</f>
        <v>1508.6309562494303</v>
      </c>
      <c r="Y373" s="18">
        <f>IF($A373&gt;'1-Input'!$B$26,AA372,(AA372-MAX(0,W341-IF($A373&gt;='1-Input'!$C$12,'1-Input'!$B$12,0))+X373*(1-'P-Parametri'!$B$6*W373))*(1+'1-Input'!$B$27))</f>
        <v>75948.730709188065</v>
      </c>
      <c r="Z373" s="18">
        <f>IF($A373&gt;'1-Input'!$B$26,AB372,(AB372-X373)*(1+$B$4))</f>
        <v>0</v>
      </c>
      <c r="AA373" s="18">
        <f>IF($A373&gt;'1-Input'!$B$26,Y373,Y373-'P-Parametri'!$B$8*(Z373+Y373)+MIN(MAX(Z373,0),'P-Parametri'!$B$8*(Z373+Y373)))</f>
        <v>75796.833247769682</v>
      </c>
      <c r="AB373" s="18">
        <f>IF($A373&gt;'1-Input'!$B$26,Z373,Z373-MIN(MAX(Z373,0),'P-Parametri'!$B$8*(Z373+Y373)))</f>
        <v>0</v>
      </c>
      <c r="AC373" s="18">
        <f>IF($A373&gt;'1-Input'!$B$26,AC372,AC372-X373*(1-W373))</f>
        <v>-1.1368683772161603E-13</v>
      </c>
      <c r="AD373" s="11">
        <f>IF($A373&gt;'1-Input'!$B$26,0,IF(AI372&lt;=0,0,MAX(0,(AI372-AJ372)/AI372)))</f>
        <v>0.46077277567294739</v>
      </c>
      <c r="AE373" s="18">
        <f>IF($A373&gt;'1-Input'!$B$26,0,(MAX(0,AD341-IF($A373&gt;='1-Input'!$C$12,'1-Input'!$B$12,0))-MIN(MAX(AH372,0),MAX(0,AD341-IF($A373&gt;='1-Input'!$C$12,'1-Input'!$B$12,0))))*(1/(1-'P-Parametri'!$B$6*AD373))+MIN(MAX(0,AI372-(MAX(0,AD341-IF($A373&gt;='1-Input'!$C$12,'1-Input'!$B$12,0))-MIN(MAX(AH372,0),MAX(0,AD341-IF($A373&gt;='1-Input'!$C$12,'1-Input'!$B$12,0))))*(1/(1-'P-Parametri'!$B$6*AD373))),MAX(0,5*AD341-(AH372-MIN(MAX(AH372,0),MAX(0,AD341-IF($A373&gt;='1-Input'!$C$12,'1-Input'!$B$12,0)))))*(1/(1-'P-Parametri'!$B$6*AD373))))</f>
        <v>2353.3955339334238</v>
      </c>
      <c r="AF373" s="18">
        <f>IF($A373&gt;'1-Input'!$B$26,AH372,(AH372-MAX(0,AD341-IF($A373&gt;='1-Input'!$C$12,'1-Input'!$B$12,0))+AE373*(1-'P-Parametri'!$B$6*AD373))*(1+'1-Input'!$B$27))</f>
        <v>76615.945462692776</v>
      </c>
      <c r="AG373" s="18">
        <f>IF($A373&gt;'1-Input'!$B$26,AI372,(AI372-AE373)*(1+$B$4))</f>
        <v>0</v>
      </c>
      <c r="AH373" s="18">
        <f>IF($A373&gt;'1-Input'!$B$26,AF373,AF373-'P-Parametri'!$B$8*(AG373+AF373)+MIN(MAX(AG373,0),'P-Parametri'!$B$8*(AG373+AF373)))</f>
        <v>76462.713571767395</v>
      </c>
      <c r="AI373" s="18">
        <f>IF($A373&gt;'1-Input'!$B$26,AG373,AG373-MIN(MAX(AG373,0),'P-Parametri'!$B$8*(AG373+AF373)))</f>
        <v>0</v>
      </c>
      <c r="AJ373" s="18">
        <f>IF($A373&gt;'1-Input'!$B$26,AJ372,AJ372-AE373*(1-AD373))</f>
        <v>0</v>
      </c>
      <c r="AK373" s="11">
        <f>IF($A373&gt;'1-Input'!$B$26,0,IF(AP372&lt;=0,0,MAX(0,(AP372-AQ372)/AP372)))</f>
        <v>0.4607743550526931</v>
      </c>
      <c r="AL373" s="18">
        <f>IF($A373&gt;'1-Input'!$B$26,0,(MAX(0,AK341-IF($A373&gt;='1-Input'!$C$12,'1-Input'!$B$12,0))-MIN(MAX(AO372,0),MAX(0,AK341-IF($A373&gt;='1-Input'!$C$12,'1-Input'!$B$12,0))))*(1/(1-'P-Parametri'!$B$6*AK373))+MIN(MAX(0,AP372-(MAX(0,AK341-IF($A373&gt;='1-Input'!$C$12,'1-Input'!$B$12,0))-MIN(MAX(AO372,0),MAX(0,AK341-IF($A373&gt;='1-Input'!$C$12,'1-Input'!$B$12,0))))*(1/(1-'P-Parametri'!$B$6*AK373))),MAX(0,5*AK341-(AO372-MIN(MAX(AO372,0),MAX(0,AK341-IF($A373&gt;='1-Input'!$C$12,'1-Input'!$B$12,0)))))*(1/(1-'P-Parametri'!$B$6*AK373))))</f>
        <v>2353.4903500108321</v>
      </c>
      <c r="AM373" s="18">
        <f>IF($A373&gt;'1-Input'!$B$26,AO372,(AO372-MAX(0,AK341-IF($A373&gt;='1-Input'!$C$12,'1-Input'!$B$12,0))+AL373*(1-'P-Parametri'!$B$6*AK373))*(1+'1-Input'!$B$27))</f>
        <v>76616.0203196855</v>
      </c>
      <c r="AN373" s="18">
        <f>IF($A373&gt;'1-Input'!$B$26,AP372,(AP372-AL373)*(1+$B$4))</f>
        <v>0</v>
      </c>
      <c r="AO373" s="18">
        <f>IF($A373&gt;'1-Input'!$B$26,AM373,AM373-'P-Parametri'!$B$8*(AN373+AM373)+MIN(MAX(AN373,0),'P-Parametri'!$B$8*(AN373+AM373)))</f>
        <v>76462.78827904613</v>
      </c>
      <c r="AP373" s="18">
        <f>IF($A373&gt;'1-Input'!$B$26,AN373,AN373-MIN(MAX(AN373,0),'P-Parametri'!$B$8*(AN373+AM373)))</f>
        <v>0</v>
      </c>
      <c r="AQ373" s="18">
        <f>IF($A373&gt;'1-Input'!$B$26,AQ372,AQ372-AL373*(1-AK373))</f>
        <v>0</v>
      </c>
    </row>
    <row r="374" spans="1:43">
      <c r="A374" s="10">
        <f>31</f>
        <v>31</v>
      </c>
      <c r="B374" s="11">
        <f>IF($A374&gt;'1-Input'!$B$26,0,IF(G373&lt;=0,0,MAX(0,(G373-H373)/G373)))</f>
        <v>0</v>
      </c>
      <c r="C374" s="18">
        <f>IF($A374&gt;'1-Input'!$B$26,0,(MAX(0,B341-IF($A374&gt;='1-Input'!$C$12,'1-Input'!$B$12,0))-MIN(MAX(F373,0),MAX(0,B341-IF($A374&gt;='1-Input'!$C$12,'1-Input'!$B$12,0))))*(1/(1-'P-Parametri'!$B$6*B374))+MIN(MAX(0,G373-(MAX(0,B341-IF($A374&gt;='1-Input'!$C$12,'1-Input'!$B$12,0))-MIN(MAX(F373,0),MAX(0,B341-IF($A374&gt;='1-Input'!$C$12,'1-Input'!$B$12,0))))*(1/(1-'P-Parametri'!$B$6*B374))),MAX(0,5*B341-(F373-MIN(MAX(F373,0),MAX(0,B341-IF($A374&gt;='1-Input'!$C$12,'1-Input'!$B$12,0)))))*(1/(1-'P-Parametri'!$B$6*B374))))</f>
        <v>0</v>
      </c>
      <c r="D374" s="18">
        <f>IF($A374&gt;'1-Input'!$B$26,F373,(F373-MAX(0,B341-IF($A374&gt;='1-Input'!$C$12,'1-Input'!$B$12,0))+C374*(1-'P-Parametri'!$B$6*B374))*(1+'1-Input'!$B$27))</f>
        <v>44636.647806536042</v>
      </c>
      <c r="E374" s="18">
        <f>IF($A374&gt;'1-Input'!$B$26,G373,(G373-C374)*(1+$B$4))</f>
        <v>0</v>
      </c>
      <c r="F374" s="18">
        <f>IF($A374&gt;'1-Input'!$B$26,D374,D374-'P-Parametri'!$B$8*(E374+D374)+MIN(MAX(E374,0),'P-Parametri'!$B$8*(E374+D374)))</f>
        <v>44547.374510922971</v>
      </c>
      <c r="G374" s="18">
        <f>IF($A374&gt;'1-Input'!$B$26,E374,E374-MIN(MAX(E374,0),'P-Parametri'!$B$8*(E374+D374)))</f>
        <v>0</v>
      </c>
      <c r="H374" s="18">
        <f>IF($A374&gt;'1-Input'!$B$26,H373,H373-C374*(1-B374))</f>
        <v>2.2737367544323206E-13</v>
      </c>
      <c r="I374" s="11">
        <f>IF($A374&gt;'1-Input'!$B$26,0,IF(N373&lt;=0,0,MAX(0,(N373-O373)/N373)))</f>
        <v>0</v>
      </c>
      <c r="J374" s="18">
        <f>IF($A374&gt;'1-Input'!$B$26,0,(MAX(0,I341-IF($A374&gt;='1-Input'!$C$12,'1-Input'!$B$12,0))-MIN(MAX(M373,0),MAX(0,I341-IF($A374&gt;='1-Input'!$C$12,'1-Input'!$B$12,0))))*(1/(1-'P-Parametri'!$B$6*I374))+MIN(MAX(0,N373-(MAX(0,I341-IF($A374&gt;='1-Input'!$C$12,'1-Input'!$B$12,0))-MIN(MAX(M373,0),MAX(0,I341-IF($A374&gt;='1-Input'!$C$12,'1-Input'!$B$12,0))))*(1/(1-'P-Parametri'!$B$6*I374))),MAX(0,5*I341-(M373-MIN(MAX(M373,0),MAX(0,I341-IF($A374&gt;='1-Input'!$C$12,'1-Input'!$B$12,0)))))*(1/(1-'P-Parametri'!$B$6*I374))))</f>
        <v>10846.756992928691</v>
      </c>
      <c r="K374" s="18">
        <f>IF($A374&gt;'1-Input'!$B$26,M373,(M373-MAX(0,I341-IF($A374&gt;='1-Input'!$C$12,'1-Input'!$B$12,0))+J374*(1-'P-Parametri'!$B$6*I374))*(1+'1-Input'!$B$27))</f>
        <v>0</v>
      </c>
      <c r="L374" s="18">
        <f>IF($A374&gt;'1-Input'!$B$26,N373,(N373-J374)*(1+$B$4))</f>
        <v>-154799.00953313563</v>
      </c>
      <c r="M374" s="18">
        <f>IF($A374&gt;'1-Input'!$B$26,K374,K374-'P-Parametri'!$B$8*(L374+K374)+MIN(MAX(L374,0),'P-Parametri'!$B$8*(L374+K374)))</f>
        <v>0</v>
      </c>
      <c r="N374" s="18">
        <f>IF($A374&gt;'1-Input'!$B$26,L374,L374-MIN(MAX(L374,0),'P-Parametri'!$B$8*(L374+K374)))</f>
        <v>-154489.41151406936</v>
      </c>
      <c r="O374" s="18">
        <f>IF($A374&gt;'1-Input'!$B$26,O373,O373-J374*(1-I374))</f>
        <v>-137200.05769504732</v>
      </c>
      <c r="P374" s="11">
        <f>IF($A374&gt;'1-Input'!$B$26,0,IF(U373&lt;=0,0,MAX(0,(U373-V373)/U373)))</f>
        <v>0</v>
      </c>
      <c r="Q374" s="18">
        <f>IF($A374&gt;'1-Input'!$B$26,0,(MAX(0,P341-IF($A374&gt;='1-Input'!$C$12,'1-Input'!$B$12,0))-MIN(MAX(T373,0),MAX(0,P341-IF($A374&gt;='1-Input'!$C$12,'1-Input'!$B$12,0))))*(1/(1-'P-Parametri'!$B$6*P374))+MIN(MAX(0,U373-(MAX(0,P341-IF($A374&gt;='1-Input'!$C$12,'1-Input'!$B$12,0))-MIN(MAX(T373,0),MAX(0,P341-IF($A374&gt;='1-Input'!$C$12,'1-Input'!$B$12,0))))*(1/(1-'P-Parametri'!$B$6*P374))),MAX(0,5*P341-(T373-MIN(MAX(T373,0),MAX(0,P341-IF($A374&gt;='1-Input'!$C$12,'1-Input'!$B$12,0)))))*(1/(1-'P-Parametri'!$B$6*P374))))</f>
        <v>0</v>
      </c>
      <c r="R374" s="18">
        <f>IF($A374&gt;'1-Input'!$B$26,T373,(T373-MAX(0,P341-IF($A374&gt;='1-Input'!$C$12,'1-Input'!$B$12,0))+Q374*(1-'P-Parametri'!$B$6*P374))*(1+'1-Input'!$B$27))</f>
        <v>67066.209229115877</v>
      </c>
      <c r="S374" s="18">
        <f>IF($A374&gt;'1-Input'!$B$26,U373,(U373-Q374)*(1+$B$4))</f>
        <v>0</v>
      </c>
      <c r="T374" s="18">
        <f>IF($A374&gt;'1-Input'!$B$26,R374,R374-'P-Parametri'!$B$8*(S374+R374)+MIN(MAX(S374,0),'P-Parametri'!$B$8*(S374+R374)))</f>
        <v>66932.076810657643</v>
      </c>
      <c r="U374" s="18">
        <f>IF($A374&gt;'1-Input'!$B$26,S374,S374-MIN(MAX(S374,0),'P-Parametri'!$B$8*(S374+R374)))</f>
        <v>0</v>
      </c>
      <c r="V374" s="18">
        <f>IF($A374&gt;'1-Input'!$B$26,V373,V373-Q374*(1-P374))</f>
        <v>2.2737367544323206E-13</v>
      </c>
      <c r="W374" s="11">
        <f>IF($A374&gt;'1-Input'!$B$26,0,IF(AB373&lt;=0,0,MAX(0,(AB373-AC373)/AB373)))</f>
        <v>0</v>
      </c>
      <c r="X374" s="18">
        <f>IF($A374&gt;'1-Input'!$B$26,0,(MAX(0,W341-IF($A374&gt;='1-Input'!$C$12,'1-Input'!$B$12,0))-MIN(MAX(AA373,0),MAX(0,W341-IF($A374&gt;='1-Input'!$C$12,'1-Input'!$B$12,0))))*(1/(1-'P-Parametri'!$B$6*W374))+MIN(MAX(0,AB373-(MAX(0,W341-IF($A374&gt;='1-Input'!$C$12,'1-Input'!$B$12,0))-MIN(MAX(AA373,0),MAX(0,W341-IF($A374&gt;='1-Input'!$C$12,'1-Input'!$B$12,0))))*(1/(1-'P-Parametri'!$B$6*W374))),MAX(0,5*W341-(AA373-MIN(MAX(AA373,0),MAX(0,W341-IF($A374&gt;='1-Input'!$C$12,'1-Input'!$B$12,0)))))*(1/(1-'P-Parametri'!$B$6*W374))))</f>
        <v>0</v>
      </c>
      <c r="Y374" s="18">
        <f>IF($A374&gt;'1-Input'!$B$26,AA373,(AA373-MAX(0,W341-IF($A374&gt;='1-Input'!$C$12,'1-Input'!$B$12,0))+X374*(1-'P-Parametri'!$B$6*W374))*(1+'1-Input'!$B$27))</f>
        <v>70625.347796844304</v>
      </c>
      <c r="Z374" s="18">
        <f>IF($A374&gt;'1-Input'!$B$26,AB373,(AB373-X374)*(1+$B$4))</f>
        <v>0</v>
      </c>
      <c r="AA374" s="18">
        <f>IF($A374&gt;'1-Input'!$B$26,Y374,Y374-'P-Parametri'!$B$8*(Z374+Y374)+MIN(MAX(Z374,0),'P-Parametri'!$B$8*(Z374+Y374)))</f>
        <v>70484.09710125062</v>
      </c>
      <c r="AB374" s="18">
        <f>IF($A374&gt;'1-Input'!$B$26,Z374,Z374-MIN(MAX(Z374,0),'P-Parametri'!$B$8*(Z374+Y374)))</f>
        <v>0</v>
      </c>
      <c r="AC374" s="18">
        <f>IF($A374&gt;'1-Input'!$B$26,AC373,AC373-X374*(1-W374))</f>
        <v>-1.1368683772161603E-13</v>
      </c>
      <c r="AD374" s="11">
        <f>IF($A374&gt;'1-Input'!$B$26,0,IF(AI373&lt;=0,0,MAX(0,(AI373-AJ373)/AI373)))</f>
        <v>0</v>
      </c>
      <c r="AE374" s="18">
        <f>IF($A374&gt;'1-Input'!$B$26,0,(MAX(0,AD341-IF($A374&gt;='1-Input'!$C$12,'1-Input'!$B$12,0))-MIN(MAX(AH373,0),MAX(0,AD341-IF($A374&gt;='1-Input'!$C$12,'1-Input'!$B$12,0))))*(1/(1-'P-Parametri'!$B$6*AD374))+MIN(MAX(0,AI373-(MAX(0,AD341-IF($A374&gt;='1-Input'!$C$12,'1-Input'!$B$12,0))-MIN(MAX(AH373,0),MAX(0,AD341-IF($A374&gt;='1-Input'!$C$12,'1-Input'!$B$12,0))))*(1/(1-'P-Parametri'!$B$6*AD374))),MAX(0,5*AD341-(AH373-MIN(MAX(AH373,0),MAX(0,AD341-IF($A374&gt;='1-Input'!$C$12,'1-Input'!$B$12,0)))))*(1/(1-'P-Parametri'!$B$6*AD374))))</f>
        <v>0</v>
      </c>
      <c r="AF374" s="18">
        <f>IF($A374&gt;'1-Input'!$B$26,AH373,(AH373-MAX(0,AD341-IF($A374&gt;='1-Input'!$C$12,'1-Input'!$B$12,0))+AE374*(1-'P-Parametri'!$B$6*AD374))*(1+'1-Input'!$B$27))</f>
        <v>71305.253248193316</v>
      </c>
      <c r="AG374" s="18">
        <f>IF($A374&gt;'1-Input'!$B$26,AI373,(AI373-AE374)*(1+$B$4))</f>
        <v>0</v>
      </c>
      <c r="AH374" s="18">
        <f>IF($A374&gt;'1-Input'!$B$26,AF374,AF374-'P-Parametri'!$B$8*(AG374+AF374)+MIN(MAX(AG374,0),'P-Parametri'!$B$8*(AG374+AF374)))</f>
        <v>71162.642741696924</v>
      </c>
      <c r="AI374" s="18">
        <f>IF($A374&gt;'1-Input'!$B$26,AG374,AG374-MIN(MAX(AG374,0),'P-Parametri'!$B$8*(AG374+AF374)))</f>
        <v>0</v>
      </c>
      <c r="AJ374" s="18">
        <f>IF($A374&gt;'1-Input'!$B$26,AJ373,AJ373-AE374*(1-AD374))</f>
        <v>0</v>
      </c>
      <c r="AK374" s="11">
        <f>IF($A374&gt;'1-Input'!$B$26,0,IF(AP373&lt;=0,0,MAX(0,(AP373-AQ373)/AP373)))</f>
        <v>0</v>
      </c>
      <c r="AL374" s="18">
        <f>IF($A374&gt;'1-Input'!$B$26,0,(MAX(0,AK341-IF($A374&gt;='1-Input'!$C$12,'1-Input'!$B$12,0))-MIN(MAX(AO373,0),MAX(0,AK341-IF($A374&gt;='1-Input'!$C$12,'1-Input'!$B$12,0))))*(1/(1-'P-Parametri'!$B$6*AK374))+MIN(MAX(0,AP373-(MAX(0,AK341-IF($A374&gt;='1-Input'!$C$12,'1-Input'!$B$12,0))-MIN(MAX(AO373,0),MAX(0,AK341-IF($A374&gt;='1-Input'!$C$12,'1-Input'!$B$12,0))))*(1/(1-'P-Parametri'!$B$6*AK374))),MAX(0,5*AK341-(AO373-MIN(MAX(AO373,0),MAX(0,AK341-IF($A374&gt;='1-Input'!$C$12,'1-Input'!$B$12,0)))))*(1/(1-'P-Parametri'!$B$6*AK374))))</f>
        <v>0</v>
      </c>
      <c r="AM374" s="18">
        <f>IF($A374&gt;'1-Input'!$B$26,AO373,(AO373-MAX(0,AK341-IF($A374&gt;='1-Input'!$C$12,'1-Input'!$B$12,0))+AL374*(1-'P-Parametri'!$B$6*AK374))*(1+'1-Input'!$B$27))</f>
        <v>71305.329528974558</v>
      </c>
      <c r="AN374" s="18">
        <f>IF($A374&gt;'1-Input'!$B$26,AP373,(AP373-AL374)*(1+$B$4))</f>
        <v>0</v>
      </c>
      <c r="AO374" s="18">
        <f>IF($A374&gt;'1-Input'!$B$26,AM374,AM374-'P-Parametri'!$B$8*(AN374+AM374)+MIN(MAX(AN374,0),'P-Parametri'!$B$8*(AN374+AM374)))</f>
        <v>71162.718869916614</v>
      </c>
      <c r="AP374" s="18">
        <f>IF($A374&gt;'1-Input'!$B$26,AN374,AN374-MIN(MAX(AN374,0),'P-Parametri'!$B$8*(AN374+AM374)))</f>
        <v>0</v>
      </c>
      <c r="AQ374" s="18">
        <f>IF($A374&gt;'1-Input'!$B$26,AQ373,AQ373-AL374*(1-AK374))</f>
        <v>0</v>
      </c>
    </row>
    <row r="375" spans="1:43">
      <c r="A375" s="10">
        <f>32</f>
        <v>32</v>
      </c>
      <c r="B375" s="11">
        <f>IF($A375&gt;'1-Input'!$B$26,0,IF(G374&lt;=0,0,MAX(0,(G374-H374)/G374)))</f>
        <v>0</v>
      </c>
      <c r="C375" s="18">
        <f>IF($A375&gt;'1-Input'!$B$26,0,(MAX(0,B341-IF($A375&gt;='1-Input'!$C$12,'1-Input'!$B$12,0))-MIN(MAX(F374,0),MAX(0,B341-IF($A375&gt;='1-Input'!$C$12,'1-Input'!$B$12,0))))*(1/(1-'P-Parametri'!$B$6*B375))+MIN(MAX(0,G374-(MAX(0,B341-IF($A375&gt;='1-Input'!$C$12,'1-Input'!$B$12,0))-MIN(MAX(F374,0),MAX(0,B341-IF($A375&gt;='1-Input'!$C$12,'1-Input'!$B$12,0))))*(1/(1-'P-Parametri'!$B$6*B375))),MAX(0,5*B341-(F374-MIN(MAX(F374,0),MAX(0,B341-IF($A375&gt;='1-Input'!$C$12,'1-Input'!$B$12,0)))))*(1/(1-'P-Parametri'!$B$6*B375))))</f>
        <v>0</v>
      </c>
      <c r="D375" s="18">
        <f>IF($A375&gt;'1-Input'!$B$26,F374,(F374-MAX(0,B341-IF($A375&gt;='1-Input'!$C$12,'1-Input'!$B$12,0))+C375*(1-'P-Parametri'!$B$6*B375))*(1+'1-Input'!$B$27))</f>
        <v>38828.033247190499</v>
      </c>
      <c r="E375" s="18">
        <f>IF($A375&gt;'1-Input'!$B$26,G374,(G374-C375)*(1+$B$4))</f>
        <v>0</v>
      </c>
      <c r="F375" s="18">
        <f>IF($A375&gt;'1-Input'!$B$26,D375,D375-'P-Parametri'!$B$8*(E375+D375)+MIN(MAX(E375,0),'P-Parametri'!$B$8*(E375+D375)))</f>
        <v>38750.377180696116</v>
      </c>
      <c r="G375" s="18">
        <f>IF($A375&gt;'1-Input'!$B$26,E375,E375-MIN(MAX(E375,0),'P-Parametri'!$B$8*(E375+D375)))</f>
        <v>0</v>
      </c>
      <c r="H375" s="18">
        <f>IF($A375&gt;'1-Input'!$B$26,H374,H374-C375*(1-B375))</f>
        <v>2.2737367544323206E-13</v>
      </c>
      <c r="I375" s="11">
        <f>IF($A375&gt;'1-Input'!$B$26,0,IF(N374&lt;=0,0,MAX(0,(N374-O374)/N374)))</f>
        <v>0</v>
      </c>
      <c r="J375" s="18">
        <f>IF($A375&gt;'1-Input'!$B$26,0,(MAX(0,I341-IF($A375&gt;='1-Input'!$C$12,'1-Input'!$B$12,0))-MIN(MAX(M374,0),MAX(0,I341-IF($A375&gt;='1-Input'!$C$12,'1-Input'!$B$12,0))))*(1/(1-'P-Parametri'!$B$6*I375))+MIN(MAX(0,N374-(MAX(0,I341-IF($A375&gt;='1-Input'!$C$12,'1-Input'!$B$12,0))-MIN(MAX(M374,0),MAX(0,I341-IF($A375&gt;='1-Input'!$C$12,'1-Input'!$B$12,0))))*(1/(1-'P-Parametri'!$B$6*I375))),MAX(0,5*I341-(M374-MIN(MAX(M374,0),MAX(0,I341-IF($A375&gt;='1-Input'!$C$12,'1-Input'!$B$12,0)))))*(1/(1-'P-Parametri'!$B$6*I375))))</f>
        <v>10846.756992928691</v>
      </c>
      <c r="K375" s="18">
        <f>IF($A375&gt;'1-Input'!$B$26,M374,(M374-MAX(0,I341-IF($A375&gt;='1-Input'!$C$12,'1-Input'!$B$12,0))+J375*(1-'P-Parametri'!$B$6*I375))*(1+'1-Input'!$B$27))</f>
        <v>0</v>
      </c>
      <c r="L375" s="18">
        <f>IF($A375&gt;'1-Input'!$B$26,N374,(N374-J375)*(1+$B$4))</f>
        <v>-168642.891877138</v>
      </c>
      <c r="M375" s="18">
        <f>IF($A375&gt;'1-Input'!$B$26,K375,K375-'P-Parametri'!$B$8*(L375+K375)+MIN(MAX(L375,0),'P-Parametri'!$B$8*(L375+K375)))</f>
        <v>0</v>
      </c>
      <c r="N375" s="18">
        <f>IF($A375&gt;'1-Input'!$B$26,L375,L375-MIN(MAX(L375,0),'P-Parametri'!$B$8*(L375+K375)))</f>
        <v>-168305.60609338371</v>
      </c>
      <c r="O375" s="18">
        <f>IF($A375&gt;'1-Input'!$B$26,O374,O374-J375*(1-I375))</f>
        <v>-148046.814687976</v>
      </c>
      <c r="P375" s="11">
        <f>IF($A375&gt;'1-Input'!$B$26,0,IF(U374&lt;=0,0,MAX(0,(U374-V374)/U374)))</f>
        <v>0</v>
      </c>
      <c r="Q375" s="18">
        <f>IF($A375&gt;'1-Input'!$B$26,0,(MAX(0,P341-IF($A375&gt;='1-Input'!$C$12,'1-Input'!$B$12,0))-MIN(MAX(T374,0),MAX(0,P341-IF($A375&gt;='1-Input'!$C$12,'1-Input'!$B$12,0))))*(1/(1-'P-Parametri'!$B$6*P375))+MIN(MAX(0,U374-(MAX(0,P341-IF($A375&gt;='1-Input'!$C$12,'1-Input'!$B$12,0))-MIN(MAX(T374,0),MAX(0,P341-IF($A375&gt;='1-Input'!$C$12,'1-Input'!$B$12,0))))*(1/(1-'P-Parametri'!$B$6*P375))),MAX(0,5*P341-(T374-MIN(MAX(T374,0),MAX(0,P341-IF($A375&gt;='1-Input'!$C$12,'1-Input'!$B$12,0)))))*(1/(1-'P-Parametri'!$B$6*P375))))</f>
        <v>0</v>
      </c>
      <c r="R375" s="18">
        <f>IF($A375&gt;'1-Input'!$B$26,T374,(T374-MAX(0,P341-IF($A375&gt;='1-Input'!$C$12,'1-Input'!$B$12,0))+Q375*(1-'P-Parametri'!$B$6*P375))*(1+'1-Input'!$B$27))</f>
        <v>61706.353309441038</v>
      </c>
      <c r="S375" s="18">
        <f>IF($A375&gt;'1-Input'!$B$26,U374,(U374-Q375)*(1+$B$4))</f>
        <v>0</v>
      </c>
      <c r="T375" s="18">
        <f>IF($A375&gt;'1-Input'!$B$26,R375,R375-'P-Parametri'!$B$8*(S375+R375)+MIN(MAX(S375,0),'P-Parametri'!$B$8*(S375+R375)))</f>
        <v>61582.940602822157</v>
      </c>
      <c r="U375" s="18">
        <f>IF($A375&gt;'1-Input'!$B$26,S375,S375-MIN(MAX(S375,0),'P-Parametri'!$B$8*(S375+R375)))</f>
        <v>0</v>
      </c>
      <c r="V375" s="18">
        <f>IF($A375&gt;'1-Input'!$B$26,V374,V374-Q375*(1-P375))</f>
        <v>2.2737367544323206E-13</v>
      </c>
      <c r="W375" s="11">
        <f>IF($A375&gt;'1-Input'!$B$26,0,IF(AB374&lt;=0,0,MAX(0,(AB374-AC374)/AB374)))</f>
        <v>0</v>
      </c>
      <c r="X375" s="18">
        <f>IF($A375&gt;'1-Input'!$B$26,0,(MAX(0,W341-IF($A375&gt;='1-Input'!$C$12,'1-Input'!$B$12,0))-MIN(MAX(AA374,0),MAX(0,W341-IF($A375&gt;='1-Input'!$C$12,'1-Input'!$B$12,0))))*(1/(1-'P-Parametri'!$B$6*W375))+MIN(MAX(0,AB374-(MAX(0,W341-IF($A375&gt;='1-Input'!$C$12,'1-Input'!$B$12,0))-MIN(MAX(AA374,0),MAX(0,W341-IF($A375&gt;='1-Input'!$C$12,'1-Input'!$B$12,0))))*(1/(1-'P-Parametri'!$B$6*W375))),MAX(0,5*W341-(AA374-MIN(MAX(AA374,0),MAX(0,W341-IF($A375&gt;='1-Input'!$C$12,'1-Input'!$B$12,0)))))*(1/(1-'P-Parametri'!$B$6*W375))))</f>
        <v>0</v>
      </c>
      <c r="Y375" s="18">
        <f>IF($A375&gt;'1-Input'!$B$26,AA374,(AA374-MAX(0,W341-IF($A375&gt;='1-Input'!$C$12,'1-Input'!$B$12,0))+X375*(1-'P-Parametri'!$B$6*W375))*(1+'1-Input'!$B$27))</f>
        <v>65331.737500452713</v>
      </c>
      <c r="Z375" s="18">
        <f>IF($A375&gt;'1-Input'!$B$26,AB374,(AB374-X375)*(1+$B$4))</f>
        <v>0</v>
      </c>
      <c r="AA375" s="18">
        <f>IF($A375&gt;'1-Input'!$B$26,Y375,Y375-'P-Parametri'!$B$8*(Z375+Y375)+MIN(MAX(Z375,0),'P-Parametri'!$B$8*(Z375+Y375)))</f>
        <v>65201.07402545181</v>
      </c>
      <c r="AB375" s="18">
        <f>IF($A375&gt;'1-Input'!$B$26,Z375,Z375-MIN(MAX(Z375,0),'P-Parametri'!$B$8*(Z375+Y375)))</f>
        <v>0</v>
      </c>
      <c r="AC375" s="18">
        <f>IF($A375&gt;'1-Input'!$B$26,AC374,AC374-X375*(1-W375))</f>
        <v>-1.1368683772161603E-13</v>
      </c>
      <c r="AD375" s="11">
        <f>IF($A375&gt;'1-Input'!$B$26,0,IF(AI374&lt;=0,0,MAX(0,(AI374-AJ374)/AI374)))</f>
        <v>0</v>
      </c>
      <c r="AE375" s="18">
        <f>IF($A375&gt;'1-Input'!$B$26,0,(MAX(0,AD341-IF($A375&gt;='1-Input'!$C$12,'1-Input'!$B$12,0))-MIN(MAX(AH374,0),MAX(0,AD341-IF($A375&gt;='1-Input'!$C$12,'1-Input'!$B$12,0))))*(1/(1-'P-Parametri'!$B$6*AD375))+MIN(MAX(0,AI374-(MAX(0,AD341-IF($A375&gt;='1-Input'!$C$12,'1-Input'!$B$12,0))-MIN(MAX(AH374,0),MAX(0,AD341-IF($A375&gt;='1-Input'!$C$12,'1-Input'!$B$12,0))))*(1/(1-'P-Parametri'!$B$6*AD375))),MAX(0,5*AD341-(AH374-MIN(MAX(AH374,0),MAX(0,AD341-IF($A375&gt;='1-Input'!$C$12,'1-Input'!$B$12,0)))))*(1/(1-'P-Parametri'!$B$6*AD375))))</f>
        <v>0</v>
      </c>
      <c r="AF375" s="18">
        <f>IF($A375&gt;'1-Input'!$B$26,AH374,(AH374-MAX(0,AD341-IF($A375&gt;='1-Input'!$C$12,'1-Input'!$B$12,0))+AE375*(1-'P-Parametri'!$B$6*AD375))*(1+'1-Input'!$B$27))</f>
        <v>66024.262673111094</v>
      </c>
      <c r="AG375" s="18">
        <f>IF($A375&gt;'1-Input'!$B$26,AI374,(AI374-AE375)*(1+$B$4))</f>
        <v>0</v>
      </c>
      <c r="AH375" s="18">
        <f>IF($A375&gt;'1-Input'!$B$26,AF375,AF375-'P-Parametri'!$B$8*(AG375+AF375)+MIN(MAX(AG375,0),'P-Parametri'!$B$8*(AG375+AF375)))</f>
        <v>65892.214147764869</v>
      </c>
      <c r="AI375" s="18">
        <f>IF($A375&gt;'1-Input'!$B$26,AG375,AG375-MIN(MAX(AG375,0),'P-Parametri'!$B$8*(AG375+AF375)))</f>
        <v>0</v>
      </c>
      <c r="AJ375" s="18">
        <f>IF($A375&gt;'1-Input'!$B$26,AJ374,AJ374-AE375*(1-AD375))</f>
        <v>0</v>
      </c>
      <c r="AK375" s="11">
        <f>IF($A375&gt;'1-Input'!$B$26,0,IF(AP374&lt;=0,0,MAX(0,(AP374-AQ374)/AP374)))</f>
        <v>0</v>
      </c>
      <c r="AL375" s="18">
        <f>IF($A375&gt;'1-Input'!$B$26,0,(MAX(0,AK341-IF($A375&gt;='1-Input'!$C$12,'1-Input'!$B$12,0))-MIN(MAX(AO374,0),MAX(0,AK341-IF($A375&gt;='1-Input'!$C$12,'1-Input'!$B$12,0))))*(1/(1-'P-Parametri'!$B$6*AK375))+MIN(MAX(0,AP374-(MAX(0,AK341-IF($A375&gt;='1-Input'!$C$12,'1-Input'!$B$12,0))-MIN(MAX(AO374,0),MAX(0,AK341-IF($A375&gt;='1-Input'!$C$12,'1-Input'!$B$12,0))))*(1/(1-'P-Parametri'!$B$6*AK375))),MAX(0,5*AK341-(AO374-MIN(MAX(AO374,0),MAX(0,AK341-IF($A375&gt;='1-Input'!$C$12,'1-Input'!$B$12,0)))))*(1/(1-'P-Parametri'!$B$6*AK375))))</f>
        <v>0</v>
      </c>
      <c r="AM375" s="18">
        <f>IF($A375&gt;'1-Input'!$B$26,AO374,(AO374-MAX(0,AK341-IF($A375&gt;='1-Input'!$C$12,'1-Input'!$B$12,0))+AL375*(1-'P-Parametri'!$B$6*AK375))*(1+'1-Input'!$B$27))</f>
        <v>66024.340369717902</v>
      </c>
      <c r="AN375" s="18">
        <f>IF($A375&gt;'1-Input'!$B$26,AP374,(AP374-AL375)*(1+$B$4))</f>
        <v>0</v>
      </c>
      <c r="AO375" s="18">
        <f>IF($A375&gt;'1-Input'!$B$26,AM375,AM375-'P-Parametri'!$B$8*(AN375+AM375)+MIN(MAX(AN375,0),'P-Parametri'!$B$8*(AN375+AM375)))</f>
        <v>65892.291688978468</v>
      </c>
      <c r="AP375" s="18">
        <f>IF($A375&gt;'1-Input'!$B$26,AN375,AN375-MIN(MAX(AN375,0),'P-Parametri'!$B$8*(AN375+AM375)))</f>
        <v>0</v>
      </c>
      <c r="AQ375" s="18">
        <f>IF($A375&gt;'1-Input'!$B$26,AQ374,AQ374-AL375*(1-AK375))</f>
        <v>0</v>
      </c>
    </row>
    <row r="376" spans="1:43">
      <c r="A376" s="10">
        <f>33</f>
        <v>33</v>
      </c>
      <c r="B376" s="11">
        <f>IF($A376&gt;'1-Input'!$B$26,0,IF(G375&lt;=0,0,MAX(0,(G375-H375)/G375)))</f>
        <v>0</v>
      </c>
      <c r="C376" s="18">
        <f>IF($A376&gt;'1-Input'!$B$26,0,(MAX(0,B341-IF($A376&gt;='1-Input'!$C$12,'1-Input'!$B$12,0))-MIN(MAX(F375,0),MAX(0,B341-IF($A376&gt;='1-Input'!$C$12,'1-Input'!$B$12,0))))*(1/(1-'P-Parametri'!$B$6*B376))+MIN(MAX(0,G375-(MAX(0,B341-IF($A376&gt;='1-Input'!$C$12,'1-Input'!$B$12,0))-MIN(MAX(F375,0),MAX(0,B341-IF($A376&gt;='1-Input'!$C$12,'1-Input'!$B$12,0))))*(1/(1-'P-Parametri'!$B$6*B376))),MAX(0,5*B341-(F375-MIN(MAX(F375,0),MAX(0,B341-IF($A376&gt;='1-Input'!$C$12,'1-Input'!$B$12,0)))))*(1/(1-'P-Parametri'!$B$6*B376))))</f>
        <v>0</v>
      </c>
      <c r="D376" s="18">
        <f>IF($A376&gt;'1-Input'!$B$26,F375,(F375-MAX(0,B341-IF($A376&gt;='1-Input'!$C$12,'1-Input'!$B$12,0))+C376*(1-'P-Parametri'!$B$6*B376))*(1+'1-Input'!$B$27))</f>
        <v>33051.905107352461</v>
      </c>
      <c r="E376" s="18">
        <f>IF($A376&gt;'1-Input'!$B$26,G375,(G375-C376)*(1+$B$4))</f>
        <v>0</v>
      </c>
      <c r="F376" s="18">
        <f>IF($A376&gt;'1-Input'!$B$26,D376,D376-'P-Parametri'!$B$8*(E376+D376)+MIN(MAX(E376,0),'P-Parametri'!$B$8*(E376+D376)))</f>
        <v>32985.801297137754</v>
      </c>
      <c r="G376" s="18">
        <f>IF($A376&gt;'1-Input'!$B$26,E376,E376-MIN(MAX(E376,0),'P-Parametri'!$B$8*(E376+D376)))</f>
        <v>0</v>
      </c>
      <c r="H376" s="18">
        <f>IF($A376&gt;'1-Input'!$B$26,H375,H375-C376*(1-B376))</f>
        <v>2.2737367544323206E-13</v>
      </c>
      <c r="I376" s="11">
        <f>IF($A376&gt;'1-Input'!$B$26,0,IF(N375&lt;=0,0,MAX(0,(N375-O375)/N375)))</f>
        <v>0</v>
      </c>
      <c r="J376" s="18">
        <f>IF($A376&gt;'1-Input'!$B$26,0,(MAX(0,I341-IF($A376&gt;='1-Input'!$C$12,'1-Input'!$B$12,0))-MIN(MAX(M375,0),MAX(0,I341-IF($A376&gt;='1-Input'!$C$12,'1-Input'!$B$12,0))))*(1/(1-'P-Parametri'!$B$6*I376))+MIN(MAX(0,N375-(MAX(0,I341-IF($A376&gt;='1-Input'!$C$12,'1-Input'!$B$12,0))-MIN(MAX(M375,0),MAX(0,I341-IF($A376&gt;='1-Input'!$C$12,'1-Input'!$B$12,0))))*(1/(1-'P-Parametri'!$B$6*I376))),MAX(0,5*I341-(M375-MIN(MAX(M375,0),MAX(0,I341-IF($A376&gt;='1-Input'!$C$12,'1-Input'!$B$12,0)))))*(1/(1-'P-Parametri'!$B$6*I376))))</f>
        <v>10846.756992928691</v>
      </c>
      <c r="K376" s="18">
        <f>IF($A376&gt;'1-Input'!$B$26,M375,(M375-MAX(0,I341-IF($A376&gt;='1-Input'!$C$12,'1-Input'!$B$12,0))+J376*(1-'P-Parametri'!$B$6*I376))*(1+'1-Input'!$B$27))</f>
        <v>0</v>
      </c>
      <c r="L376" s="18">
        <f>IF($A376&gt;'1-Input'!$B$26,N375,(N375-J376)*(1+$B$4))</f>
        <v>-182735.41034803865</v>
      </c>
      <c r="M376" s="18">
        <f>IF($A376&gt;'1-Input'!$B$26,K376,K376-'P-Parametri'!$B$8*(L376+K376)+MIN(MAX(L376,0),'P-Parametri'!$B$8*(L376+K376)))</f>
        <v>0</v>
      </c>
      <c r="N376" s="18">
        <f>IF($A376&gt;'1-Input'!$B$26,L376,L376-MIN(MAX(L376,0),'P-Parametri'!$B$8*(L376+K376)))</f>
        <v>-182369.93952734259</v>
      </c>
      <c r="O376" s="18">
        <f>IF($A376&gt;'1-Input'!$B$26,O375,O375-J376*(1-I376))</f>
        <v>-158893.57168090469</v>
      </c>
      <c r="P376" s="11">
        <f>IF($A376&gt;'1-Input'!$B$26,0,IF(U375&lt;=0,0,MAX(0,(U375-V375)/U375)))</f>
        <v>0</v>
      </c>
      <c r="Q376" s="18">
        <f>IF($A376&gt;'1-Input'!$B$26,0,(MAX(0,P341-IF($A376&gt;='1-Input'!$C$12,'1-Input'!$B$12,0))-MIN(MAX(T375,0),MAX(0,P341-IF($A376&gt;='1-Input'!$C$12,'1-Input'!$B$12,0))))*(1/(1-'P-Parametri'!$B$6*P376))+MIN(MAX(0,U375-(MAX(0,P341-IF($A376&gt;='1-Input'!$C$12,'1-Input'!$B$12,0))-MIN(MAX(T375,0),MAX(0,P341-IF($A376&gt;='1-Input'!$C$12,'1-Input'!$B$12,0))))*(1/(1-'P-Parametri'!$B$6*P376))),MAX(0,5*P341-(T375-MIN(MAX(T375,0),MAX(0,P341-IF($A376&gt;='1-Input'!$C$12,'1-Input'!$B$12,0)))))*(1/(1-'P-Parametri'!$B$6*P376))))</f>
        <v>0</v>
      </c>
      <c r="R376" s="18">
        <f>IF($A376&gt;'1-Input'!$B$26,T375,(T375-MAX(0,P341-IF($A376&gt;='1-Input'!$C$12,'1-Input'!$B$12,0))+Q376*(1-'P-Parametri'!$B$6*P376))*(1+'1-Input'!$B$27))</f>
        <v>56376.473991953753</v>
      </c>
      <c r="S376" s="18">
        <f>IF($A376&gt;'1-Input'!$B$26,U375,(U375-Q376)*(1+$B$4))</f>
        <v>0</v>
      </c>
      <c r="T376" s="18">
        <f>IF($A376&gt;'1-Input'!$B$26,R376,R376-'P-Parametri'!$B$8*(S376+R376)+MIN(MAX(S376,0),'P-Parametri'!$B$8*(S376+R376)))</f>
        <v>56263.721043969847</v>
      </c>
      <c r="U376" s="18">
        <f>IF($A376&gt;'1-Input'!$B$26,S376,S376-MIN(MAX(S376,0),'P-Parametri'!$B$8*(S376+R376)))</f>
        <v>0</v>
      </c>
      <c r="V376" s="18">
        <f>IF($A376&gt;'1-Input'!$B$26,V375,V375-Q376*(1-P376))</f>
        <v>2.2737367544323206E-13</v>
      </c>
      <c r="W376" s="11">
        <f>IF($A376&gt;'1-Input'!$B$26,0,IF(AB375&lt;=0,0,MAX(0,(AB375-AC375)/AB375)))</f>
        <v>0</v>
      </c>
      <c r="X376" s="18">
        <f>IF($A376&gt;'1-Input'!$B$26,0,(MAX(0,W341-IF($A376&gt;='1-Input'!$C$12,'1-Input'!$B$12,0))-MIN(MAX(AA375,0),MAX(0,W341-IF($A376&gt;='1-Input'!$C$12,'1-Input'!$B$12,0))))*(1/(1-'P-Parametri'!$B$6*W376))+MIN(MAX(0,AB375-(MAX(0,W341-IF($A376&gt;='1-Input'!$C$12,'1-Input'!$B$12,0))-MIN(MAX(AA375,0),MAX(0,W341-IF($A376&gt;='1-Input'!$C$12,'1-Input'!$B$12,0))))*(1/(1-'P-Parametri'!$B$6*W376))),MAX(0,5*W341-(AA375-MIN(MAX(AA375,0),MAX(0,W341-IF($A376&gt;='1-Input'!$C$12,'1-Input'!$B$12,0)))))*(1/(1-'P-Parametri'!$B$6*W376))))</f>
        <v>0</v>
      </c>
      <c r="Y376" s="18">
        <f>IF($A376&gt;'1-Input'!$B$26,AA375,(AA375-MAX(0,W341-IF($A376&gt;='1-Input'!$C$12,'1-Input'!$B$12,0))+X376*(1-'P-Parametri'!$B$6*W376))*(1+'1-Input'!$B$27))</f>
        <v>60067.733307726776</v>
      </c>
      <c r="Z376" s="18">
        <f>IF($A376&gt;'1-Input'!$B$26,AB375,(AB375-X376)*(1+$B$4))</f>
        <v>0</v>
      </c>
      <c r="AA376" s="18">
        <f>IF($A376&gt;'1-Input'!$B$26,Y376,Y376-'P-Parametri'!$B$8*(Z376+Y376)+MIN(MAX(Z376,0),'P-Parametri'!$B$8*(Z376+Y376)))</f>
        <v>59947.597841111325</v>
      </c>
      <c r="AB376" s="18">
        <f>IF($A376&gt;'1-Input'!$B$26,Z376,Z376-MIN(MAX(Z376,0),'P-Parametri'!$B$8*(Z376+Y376)))</f>
        <v>0</v>
      </c>
      <c r="AC376" s="18">
        <f>IF($A376&gt;'1-Input'!$B$26,AC375,AC375-X376*(1-W376))</f>
        <v>-1.1368683772161603E-13</v>
      </c>
      <c r="AD376" s="11">
        <f>IF($A376&gt;'1-Input'!$B$26,0,IF(AI375&lt;=0,0,MAX(0,(AI375-AJ375)/AI375)))</f>
        <v>0</v>
      </c>
      <c r="AE376" s="18">
        <f>IF($A376&gt;'1-Input'!$B$26,0,(MAX(0,AD341-IF($A376&gt;='1-Input'!$C$12,'1-Input'!$B$12,0))-MIN(MAX(AH375,0),MAX(0,AD341-IF($A376&gt;='1-Input'!$C$12,'1-Input'!$B$12,0))))*(1/(1-'P-Parametri'!$B$6*AD376))+MIN(MAX(0,AI375-(MAX(0,AD341-IF($A376&gt;='1-Input'!$C$12,'1-Input'!$B$12,0))-MIN(MAX(AH375,0),MAX(0,AD341-IF($A376&gt;='1-Input'!$C$12,'1-Input'!$B$12,0))))*(1/(1-'P-Parametri'!$B$6*AD376))),MAX(0,5*AD341-(AH375-MIN(MAX(AH375,0),MAX(0,AD341-IF($A376&gt;='1-Input'!$C$12,'1-Input'!$B$12,0)))))*(1/(1-'P-Parametri'!$B$6*AD376))))</f>
        <v>0</v>
      </c>
      <c r="AF376" s="18">
        <f>IF($A376&gt;'1-Input'!$B$26,AH375,(AH375-MAX(0,AD341-IF($A376&gt;='1-Input'!$C$12,'1-Input'!$B$12,0))+AE376*(1-'P-Parametri'!$B$6*AD376))*(1+'1-Input'!$B$27))</f>
        <v>60772.807622117194</v>
      </c>
      <c r="AG376" s="18">
        <f>IF($A376&gt;'1-Input'!$B$26,AI375,(AI375-AE376)*(1+$B$4))</f>
        <v>0</v>
      </c>
      <c r="AH376" s="18">
        <f>IF($A376&gt;'1-Input'!$B$26,AF376,AF376-'P-Parametri'!$B$8*(AG376+AF376)+MIN(MAX(AG376,0),'P-Parametri'!$B$8*(AG376+AF376)))</f>
        <v>60651.262006872959</v>
      </c>
      <c r="AI376" s="18">
        <f>IF($A376&gt;'1-Input'!$B$26,AG376,AG376-MIN(MAX(AG376,0),'P-Parametri'!$B$8*(AG376+AF376)))</f>
        <v>0</v>
      </c>
      <c r="AJ376" s="18">
        <f>IF($A376&gt;'1-Input'!$B$26,AJ375,AJ375-AE376*(1-AD376))</f>
        <v>0</v>
      </c>
      <c r="AK376" s="11">
        <f>IF($A376&gt;'1-Input'!$B$26,0,IF(AP375&lt;=0,0,MAX(0,(AP375-AQ375)/AP375)))</f>
        <v>0</v>
      </c>
      <c r="AL376" s="18">
        <f>IF($A376&gt;'1-Input'!$B$26,0,(MAX(0,AK341-IF($A376&gt;='1-Input'!$C$12,'1-Input'!$B$12,0))-MIN(MAX(AO375,0),MAX(0,AK341-IF($A376&gt;='1-Input'!$C$12,'1-Input'!$B$12,0))))*(1/(1-'P-Parametri'!$B$6*AK376))+MIN(MAX(0,AP375-(MAX(0,AK341-IF($A376&gt;='1-Input'!$C$12,'1-Input'!$B$12,0))-MIN(MAX(AO375,0),MAX(0,AK341-IF($A376&gt;='1-Input'!$C$12,'1-Input'!$B$12,0))))*(1/(1-'P-Parametri'!$B$6*AK376))),MAX(0,5*AK341-(AO375-MIN(MAX(AO375,0),MAX(0,AK341-IF($A376&gt;='1-Input'!$C$12,'1-Input'!$B$12,0)))))*(1/(1-'P-Parametri'!$B$6*AK376))))</f>
        <v>0</v>
      </c>
      <c r="AM376" s="18">
        <f>IF($A376&gt;'1-Input'!$B$26,AO375,(AO375-MAX(0,AK341-IF($A376&gt;='1-Input'!$C$12,'1-Input'!$B$12,0))+AL376*(1-'P-Parametri'!$B$6*AK376))*(1+'1-Input'!$B$27))</f>
        <v>60772.886726631143</v>
      </c>
      <c r="AN376" s="18">
        <f>IF($A376&gt;'1-Input'!$B$26,AP375,(AP375-AL376)*(1+$B$4))</f>
        <v>0</v>
      </c>
      <c r="AO376" s="18">
        <f>IF($A376&gt;'1-Input'!$B$26,AM376,AM376-'P-Parametri'!$B$8*(AN376+AM376)+MIN(MAX(AN376,0),'P-Parametri'!$B$8*(AN376+AM376)))</f>
        <v>60651.340953177882</v>
      </c>
      <c r="AP376" s="18">
        <f>IF($A376&gt;'1-Input'!$B$26,AN376,AN376-MIN(MAX(AN376,0),'P-Parametri'!$B$8*(AN376+AM376)))</f>
        <v>0</v>
      </c>
      <c r="AQ376" s="18">
        <f>IF($A376&gt;'1-Input'!$B$26,AQ375,AQ375-AL376*(1-AK376))</f>
        <v>0</v>
      </c>
    </row>
    <row r="377" spans="1:43">
      <c r="A377" s="10">
        <f>34</f>
        <v>34</v>
      </c>
      <c r="B377" s="11">
        <f>IF($A377&gt;'1-Input'!$B$26,0,IF(G376&lt;=0,0,MAX(0,(G376-H376)/G376)))</f>
        <v>0</v>
      </c>
      <c r="C377" s="18">
        <f>IF($A377&gt;'1-Input'!$B$26,0,(MAX(0,B341-IF($A377&gt;='1-Input'!$C$12,'1-Input'!$B$12,0))-MIN(MAX(F376,0),MAX(0,B341-IF($A377&gt;='1-Input'!$C$12,'1-Input'!$B$12,0))))*(1/(1-'P-Parametri'!$B$6*B377))+MIN(MAX(0,G376-(MAX(0,B341-IF($A377&gt;='1-Input'!$C$12,'1-Input'!$B$12,0))-MIN(MAX(F376,0),MAX(0,B341-IF($A377&gt;='1-Input'!$C$12,'1-Input'!$B$12,0))))*(1/(1-'P-Parametri'!$B$6*B377))),MAX(0,5*B341-(F376-MIN(MAX(F376,0),MAX(0,B341-IF($A377&gt;='1-Input'!$C$12,'1-Input'!$B$12,0)))))*(1/(1-'P-Parametri'!$B$6*B377))))</f>
        <v>0</v>
      </c>
      <c r="D377" s="18">
        <f>IF($A377&gt;'1-Input'!$B$26,F376,(F376-MAX(0,B341-IF($A377&gt;='1-Input'!$C$12,'1-Input'!$B$12,0))+C377*(1-'P-Parametri'!$B$6*B377))*(1+'1-Input'!$B$27))</f>
        <v>27308.081696974907</v>
      </c>
      <c r="E377" s="18">
        <f>IF($A377&gt;'1-Input'!$B$26,G376,(G376-C377)*(1+$B$4))</f>
        <v>0</v>
      </c>
      <c r="F377" s="18">
        <f>IF($A377&gt;'1-Input'!$B$26,D377,D377-'P-Parametri'!$B$8*(E377+D377)+MIN(MAX(E377,0),'P-Parametri'!$B$8*(E377+D377)))</f>
        <v>27253.465533580958</v>
      </c>
      <c r="G377" s="18">
        <f>IF($A377&gt;'1-Input'!$B$26,E377,E377-MIN(MAX(E377,0),'P-Parametri'!$B$8*(E377+D377)))</f>
        <v>0</v>
      </c>
      <c r="H377" s="18">
        <f>IF($A377&gt;'1-Input'!$B$26,H376,H376-C377*(1-B377))</f>
        <v>2.2737367544323206E-13</v>
      </c>
      <c r="I377" s="11">
        <f>IF($A377&gt;'1-Input'!$B$26,0,IF(N376&lt;=0,0,MAX(0,(N376-O376)/N376)))</f>
        <v>0</v>
      </c>
      <c r="J377" s="18">
        <f>IF($A377&gt;'1-Input'!$B$26,0,(MAX(0,I341-IF($A377&gt;='1-Input'!$C$12,'1-Input'!$B$12,0))-MIN(MAX(M376,0),MAX(0,I341-IF($A377&gt;='1-Input'!$C$12,'1-Input'!$B$12,0))))*(1/(1-'P-Parametri'!$B$6*I377))+MIN(MAX(0,N376-(MAX(0,I341-IF($A377&gt;='1-Input'!$C$12,'1-Input'!$B$12,0))-MIN(MAX(M376,0),MAX(0,I341-IF($A377&gt;='1-Input'!$C$12,'1-Input'!$B$12,0))))*(1/(1-'P-Parametri'!$B$6*I377))),MAX(0,5*I341-(M376-MIN(MAX(M376,0),MAX(0,I341-IF($A377&gt;='1-Input'!$C$12,'1-Input'!$B$12,0)))))*(1/(1-'P-Parametri'!$B$6*I377))))</f>
        <v>10846.756992928691</v>
      </c>
      <c r="K377" s="18">
        <f>IF($A377&gt;'1-Input'!$B$26,M376,(M376-MAX(0,I341-IF($A377&gt;='1-Input'!$C$12,'1-Input'!$B$12,0))+J377*(1-'P-Parametri'!$B$6*I377))*(1+'1-Input'!$B$27))</f>
        <v>0</v>
      </c>
      <c r="L377" s="18">
        <f>IF($A377&gt;'1-Input'!$B$26,N376,(N376-J377)*(1+$B$4))</f>
        <v>-197081.03045067671</v>
      </c>
      <c r="M377" s="18">
        <f>IF($A377&gt;'1-Input'!$B$26,K377,K377-'P-Parametri'!$B$8*(L377+K377)+MIN(MAX(L377,0),'P-Parametri'!$B$8*(L377+K377)))</f>
        <v>0</v>
      </c>
      <c r="N377" s="18">
        <f>IF($A377&gt;'1-Input'!$B$26,L377,L377-MIN(MAX(L377,0),'P-Parametri'!$B$8*(L377+K377)))</f>
        <v>-196686.86838977537</v>
      </c>
      <c r="O377" s="18">
        <f>IF($A377&gt;'1-Input'!$B$26,O376,O376-J377*(1-I377))</f>
        <v>-169740.32867383337</v>
      </c>
      <c r="P377" s="11">
        <f>IF($A377&gt;'1-Input'!$B$26,0,IF(U376&lt;=0,0,MAX(0,(U376-V376)/U376)))</f>
        <v>0</v>
      </c>
      <c r="Q377" s="18">
        <f>IF($A377&gt;'1-Input'!$B$26,0,(MAX(0,P341-IF($A377&gt;='1-Input'!$C$12,'1-Input'!$B$12,0))-MIN(MAX(T376,0),MAX(0,P341-IF($A377&gt;='1-Input'!$C$12,'1-Input'!$B$12,0))))*(1/(1-'P-Parametri'!$B$6*P377))+MIN(MAX(0,U376-(MAX(0,P341-IF($A377&gt;='1-Input'!$C$12,'1-Input'!$B$12,0))-MIN(MAX(T376,0),MAX(0,P341-IF($A377&gt;='1-Input'!$C$12,'1-Input'!$B$12,0))))*(1/(1-'P-Parametri'!$B$6*P377))),MAX(0,5*P341-(T376-MIN(MAX(T376,0),MAX(0,P341-IF($A377&gt;='1-Input'!$C$12,'1-Input'!$B$12,0)))))*(1/(1-'P-Parametri'!$B$6*P377))))</f>
        <v>0</v>
      </c>
      <c r="R377" s="18">
        <f>IF($A377&gt;'1-Input'!$B$26,T376,(T376-MAX(0,P341-IF($A377&gt;='1-Input'!$C$12,'1-Input'!$B$12,0))+Q377*(1-'P-Parametri'!$B$6*P377))*(1+'1-Input'!$B$27))</f>
        <v>51076.40362351331</v>
      </c>
      <c r="S377" s="18">
        <f>IF($A377&gt;'1-Input'!$B$26,U376,(U376-Q377)*(1+$B$4))</f>
        <v>0</v>
      </c>
      <c r="T377" s="18">
        <f>IF($A377&gt;'1-Input'!$B$26,R377,R377-'P-Parametri'!$B$8*(S377+R377)+MIN(MAX(S377,0),'P-Parametri'!$B$8*(S377+R377)))</f>
        <v>50974.250816266285</v>
      </c>
      <c r="U377" s="18">
        <f>IF($A377&gt;'1-Input'!$B$26,S377,S377-MIN(MAX(S377,0),'P-Parametri'!$B$8*(S377+R377)))</f>
        <v>0</v>
      </c>
      <c r="V377" s="18">
        <f>IF($A377&gt;'1-Input'!$B$26,V376,V376-Q377*(1-P377))</f>
        <v>2.2737367544323206E-13</v>
      </c>
      <c r="W377" s="11">
        <f>IF($A377&gt;'1-Input'!$B$26,0,IF(AB376&lt;=0,0,MAX(0,(AB376-AC376)/AB376)))</f>
        <v>0</v>
      </c>
      <c r="X377" s="18">
        <f>IF($A377&gt;'1-Input'!$B$26,0,(MAX(0,W341-IF($A377&gt;='1-Input'!$C$12,'1-Input'!$B$12,0))-MIN(MAX(AA376,0),MAX(0,W341-IF($A377&gt;='1-Input'!$C$12,'1-Input'!$B$12,0))))*(1/(1-'P-Parametri'!$B$6*W377))+MIN(MAX(0,AB376-(MAX(0,W341-IF($A377&gt;='1-Input'!$C$12,'1-Input'!$B$12,0))-MIN(MAX(AA376,0),MAX(0,W341-IF($A377&gt;='1-Input'!$C$12,'1-Input'!$B$12,0))))*(1/(1-'P-Parametri'!$B$6*W377))),MAX(0,5*W341-(AA376-MIN(MAX(AA376,0),MAX(0,W341-IF($A377&gt;='1-Input'!$C$12,'1-Input'!$B$12,0)))))*(1/(1-'P-Parametri'!$B$6*W377))))</f>
        <v>0</v>
      </c>
      <c r="Y377" s="18">
        <f>IF($A377&gt;'1-Input'!$B$26,AA376,(AA376-MAX(0,W341-IF($A377&gt;='1-Input'!$C$12,'1-Input'!$B$12,0))+X377*(1-'P-Parametri'!$B$6*W377))*(1+'1-Input'!$B$27))</f>
        <v>54833.169637649917</v>
      </c>
      <c r="Z377" s="18">
        <f>IF($A377&gt;'1-Input'!$B$26,AB376,(AB376-X377)*(1+$B$4))</f>
        <v>0</v>
      </c>
      <c r="AA377" s="18">
        <f>IF($A377&gt;'1-Input'!$B$26,Y377,Y377-'P-Parametri'!$B$8*(Z377+Y377)+MIN(MAX(Z377,0),'P-Parametri'!$B$8*(Z377+Y377)))</f>
        <v>54723.50329837462</v>
      </c>
      <c r="AB377" s="18">
        <f>IF($A377&gt;'1-Input'!$B$26,Z377,Z377-MIN(MAX(Z377,0),'P-Parametri'!$B$8*(Z377+Y377)))</f>
        <v>0</v>
      </c>
      <c r="AC377" s="18">
        <f>IF($A377&gt;'1-Input'!$B$26,AC376,AC376-X377*(1-W377))</f>
        <v>-1.1368683772161603E-13</v>
      </c>
      <c r="AD377" s="11">
        <f>IF($A377&gt;'1-Input'!$B$26,0,IF(AI376&lt;=0,0,MAX(0,(AI376-AJ376)/AI376)))</f>
        <v>0</v>
      </c>
      <c r="AE377" s="18">
        <f>IF($A377&gt;'1-Input'!$B$26,0,(MAX(0,AD341-IF($A377&gt;='1-Input'!$C$12,'1-Input'!$B$12,0))-MIN(MAX(AH376,0),MAX(0,AD341-IF($A377&gt;='1-Input'!$C$12,'1-Input'!$B$12,0))))*(1/(1-'P-Parametri'!$B$6*AD377))+MIN(MAX(0,AI376-(MAX(0,AD341-IF($A377&gt;='1-Input'!$C$12,'1-Input'!$B$12,0))-MIN(MAX(AH376,0),MAX(0,AD341-IF($A377&gt;='1-Input'!$C$12,'1-Input'!$B$12,0))))*(1/(1-'P-Parametri'!$B$6*AD377))),MAX(0,5*AD341-(AH376-MIN(MAX(AH376,0),MAX(0,AD341-IF($A377&gt;='1-Input'!$C$12,'1-Input'!$B$12,0)))))*(1/(1-'P-Parametri'!$B$6*AD377))))</f>
        <v>0</v>
      </c>
      <c r="AF377" s="18">
        <f>IF($A377&gt;'1-Input'!$B$26,AH376,(AH376-MAX(0,AD341-IF($A377&gt;='1-Input'!$C$12,'1-Input'!$B$12,0))+AE377*(1-'P-Parametri'!$B$6*AD377))*(1+'1-Input'!$B$27))</f>
        <v>55550.722908932497</v>
      </c>
      <c r="AG377" s="18">
        <f>IF($A377&gt;'1-Input'!$B$26,AI376,(AI376-AE377)*(1+$B$4))</f>
        <v>0</v>
      </c>
      <c r="AH377" s="18">
        <f>IF($A377&gt;'1-Input'!$B$26,AF377,AF377-'P-Parametri'!$B$8*(AG377+AF377)+MIN(MAX(AG377,0),'P-Parametri'!$B$8*(AG377+AF377)))</f>
        <v>55439.621463114636</v>
      </c>
      <c r="AI377" s="18">
        <f>IF($A377&gt;'1-Input'!$B$26,AG377,AG377-MIN(MAX(AG377,0),'P-Parametri'!$B$8*(AG377+AF377)))</f>
        <v>0</v>
      </c>
      <c r="AJ377" s="18">
        <f>IF($A377&gt;'1-Input'!$B$26,AJ376,AJ376-AE377*(1-AD377))</f>
        <v>0</v>
      </c>
      <c r="AK377" s="11">
        <f>IF($A377&gt;'1-Input'!$B$26,0,IF(AP376&lt;=0,0,MAX(0,(AP376-AQ376)/AP376)))</f>
        <v>0</v>
      </c>
      <c r="AL377" s="18">
        <f>IF($A377&gt;'1-Input'!$B$26,0,(MAX(0,AK341-IF($A377&gt;='1-Input'!$C$12,'1-Input'!$B$12,0))-MIN(MAX(AO376,0),MAX(0,AK341-IF($A377&gt;='1-Input'!$C$12,'1-Input'!$B$12,0))))*(1/(1-'P-Parametri'!$B$6*AK377))+MIN(MAX(0,AP376-(MAX(0,AK341-IF($A377&gt;='1-Input'!$C$12,'1-Input'!$B$12,0))-MIN(MAX(AO376,0),MAX(0,AK341-IF($A377&gt;='1-Input'!$C$12,'1-Input'!$B$12,0))))*(1/(1-'P-Parametri'!$B$6*AK377))),MAX(0,5*AK341-(AO376-MIN(MAX(AO376,0),MAX(0,AK341-IF($A377&gt;='1-Input'!$C$12,'1-Input'!$B$12,0)))))*(1/(1-'P-Parametri'!$B$6*AK377))))</f>
        <v>0</v>
      </c>
      <c r="AM377" s="18">
        <f>IF($A377&gt;'1-Input'!$B$26,AO376,(AO376-MAX(0,AK341-IF($A377&gt;='1-Input'!$C$12,'1-Input'!$B$12,0))+AL377*(1-'P-Parametri'!$B$6*AK377))*(1+'1-Input'!$B$27))</f>
        <v>55550.803413479443</v>
      </c>
      <c r="AN377" s="18">
        <f>IF($A377&gt;'1-Input'!$B$26,AP376,(AP376-AL377)*(1+$B$4))</f>
        <v>0</v>
      </c>
      <c r="AO377" s="18">
        <f>IF($A377&gt;'1-Input'!$B$26,AM377,AM377-'P-Parametri'!$B$8*(AN377+AM377)+MIN(MAX(AN377,0),'P-Parametri'!$B$8*(AN377+AM377)))</f>
        <v>55439.701806652483</v>
      </c>
      <c r="AP377" s="18">
        <f>IF($A377&gt;'1-Input'!$B$26,AN377,AN377-MIN(MAX(AN377,0),'P-Parametri'!$B$8*(AN377+AM377)))</f>
        <v>0</v>
      </c>
      <c r="AQ377" s="18">
        <f>IF($A377&gt;'1-Input'!$B$26,AQ376,AQ376-AL377*(1-AK377))</f>
        <v>0</v>
      </c>
    </row>
    <row r="378" spans="1:43">
      <c r="A378" s="10">
        <f>35</f>
        <v>35</v>
      </c>
      <c r="B378" s="11">
        <f>IF($A378&gt;'1-Input'!$B$26,0,IF(G377&lt;=0,0,MAX(0,(G377-H377)/G377)))</f>
        <v>0</v>
      </c>
      <c r="C378" s="18">
        <f>IF($A378&gt;'1-Input'!$B$26,0,(MAX(0,B341-IF($A378&gt;='1-Input'!$C$12,'1-Input'!$B$12,0))-MIN(MAX(F377,0),MAX(0,B341-IF($A378&gt;='1-Input'!$C$12,'1-Input'!$B$12,0))))*(1/(1-'P-Parametri'!$B$6*B378))+MIN(MAX(0,G377-(MAX(0,B341-IF($A378&gt;='1-Input'!$C$12,'1-Input'!$B$12,0))-MIN(MAX(F377,0),MAX(0,B341-IF($A378&gt;='1-Input'!$C$12,'1-Input'!$B$12,0))))*(1/(1-'P-Parametri'!$B$6*B378))),MAX(0,5*B341-(F377-MIN(MAX(F377,0),MAX(0,B341-IF($A378&gt;='1-Input'!$C$12,'1-Input'!$B$12,0)))))*(1/(1-'P-Parametri'!$B$6*B378))))</f>
        <v>0</v>
      </c>
      <c r="D378" s="18">
        <f>IF($A378&gt;'1-Input'!$B$26,F377,(F377-MAX(0,B341-IF($A378&gt;='1-Input'!$C$12,'1-Input'!$B$12,0))+C378*(1-'P-Parametri'!$B$6*B378))*(1+'1-Input'!$B$27))</f>
        <v>21596.382342166915</v>
      </c>
      <c r="E378" s="18">
        <f>IF($A378&gt;'1-Input'!$B$26,G377,(G377-C378)*(1+$B$4))</f>
        <v>0</v>
      </c>
      <c r="F378" s="18">
        <f>IF($A378&gt;'1-Input'!$B$26,D378,D378-'P-Parametri'!$B$8*(E378+D378)+MIN(MAX(E378,0),'P-Parametri'!$B$8*(E378+D378)))</f>
        <v>21553.189577482583</v>
      </c>
      <c r="G378" s="18">
        <f>IF($A378&gt;'1-Input'!$B$26,E378,E378-MIN(MAX(E378,0),'P-Parametri'!$B$8*(E378+D378)))</f>
        <v>0</v>
      </c>
      <c r="H378" s="18">
        <f>IF($A378&gt;'1-Input'!$B$26,H377,H377-C378*(1-B378))</f>
        <v>2.2737367544323206E-13</v>
      </c>
      <c r="I378" s="11">
        <f>IF($A378&gt;'1-Input'!$B$26,0,IF(N377&lt;=0,0,MAX(0,(N377-O377)/N377)))</f>
        <v>0</v>
      </c>
      <c r="J378" s="18">
        <f>IF($A378&gt;'1-Input'!$B$26,0,(MAX(0,I341-IF($A378&gt;='1-Input'!$C$12,'1-Input'!$B$12,0))-MIN(MAX(M377,0),MAX(0,I341-IF($A378&gt;='1-Input'!$C$12,'1-Input'!$B$12,0))))*(1/(1-'P-Parametri'!$B$6*I378))+MIN(MAX(0,N377-(MAX(0,I341-IF($A378&gt;='1-Input'!$C$12,'1-Input'!$B$12,0))-MIN(MAX(M377,0),MAX(0,I341-IF($A378&gt;='1-Input'!$C$12,'1-Input'!$B$12,0))))*(1/(1-'P-Parametri'!$B$6*I378))),MAX(0,5*I341-(M377-MIN(MAX(M377,0),MAX(0,I341-IF($A378&gt;='1-Input'!$C$12,'1-Input'!$B$12,0)))))*(1/(1-'P-Parametri'!$B$6*I378))))</f>
        <v>10846.756992928691</v>
      </c>
      <c r="K378" s="18">
        <f>IF($A378&gt;'1-Input'!$B$26,M377,(M377-MAX(0,I341-IF($A378&gt;='1-Input'!$C$12,'1-Input'!$B$12,0))+J378*(1-'P-Parametri'!$B$6*I378))*(1+'1-Input'!$B$27))</f>
        <v>0</v>
      </c>
      <c r="L378" s="18">
        <f>IF($A378&gt;'1-Input'!$B$26,N377,(N377-J378)*(1+$B$4))</f>
        <v>-211684.29789035814</v>
      </c>
      <c r="M378" s="18">
        <f>IF($A378&gt;'1-Input'!$B$26,K378,K378-'P-Parametri'!$B$8*(L378+K378)+MIN(MAX(L378,0),'P-Parametri'!$B$8*(L378+K378)))</f>
        <v>0</v>
      </c>
      <c r="N378" s="18">
        <f>IF($A378&gt;'1-Input'!$B$26,L378,L378-MIN(MAX(L378,0),'P-Parametri'!$B$8*(L378+K378)))</f>
        <v>-211260.92929457742</v>
      </c>
      <c r="O378" s="18">
        <f>IF($A378&gt;'1-Input'!$B$26,O377,O377-J378*(1-I378))</f>
        <v>-180587.08566676205</v>
      </c>
      <c r="P378" s="11">
        <f>IF($A378&gt;'1-Input'!$B$26,0,IF(U377&lt;=0,0,MAX(0,(U377-V377)/U377)))</f>
        <v>0</v>
      </c>
      <c r="Q378" s="18">
        <f>IF($A378&gt;'1-Input'!$B$26,0,(MAX(0,P341-IF($A378&gt;='1-Input'!$C$12,'1-Input'!$B$12,0))-MIN(MAX(T377,0),MAX(0,P341-IF($A378&gt;='1-Input'!$C$12,'1-Input'!$B$12,0))))*(1/(1-'P-Parametri'!$B$6*P378))+MIN(MAX(0,U377-(MAX(0,P341-IF($A378&gt;='1-Input'!$C$12,'1-Input'!$B$12,0))-MIN(MAX(T377,0),MAX(0,P341-IF($A378&gt;='1-Input'!$C$12,'1-Input'!$B$12,0))))*(1/(1-'P-Parametri'!$B$6*P378))),MAX(0,5*P341-(T377-MIN(MAX(T377,0),MAX(0,P341-IF($A378&gt;='1-Input'!$C$12,'1-Input'!$B$12,0)))))*(1/(1-'P-Parametri'!$B$6*P378))))</f>
        <v>0</v>
      </c>
      <c r="R378" s="18">
        <f>IF($A378&gt;'1-Input'!$B$26,T377,(T377-MAX(0,P341-IF($A378&gt;='1-Input'!$C$12,'1-Input'!$B$12,0))+Q378*(1-'P-Parametri'!$B$6*P378))*(1+'1-Input'!$B$27))</f>
        <v>45805.975488629483</v>
      </c>
      <c r="S378" s="18">
        <f>IF($A378&gt;'1-Input'!$B$26,U377,(U377-Q378)*(1+$B$4))</f>
        <v>0</v>
      </c>
      <c r="T378" s="18">
        <f>IF($A378&gt;'1-Input'!$B$26,R378,R378-'P-Parametri'!$B$8*(S378+R378)+MIN(MAX(S378,0),'P-Parametri'!$B$8*(S378+R378)))</f>
        <v>45714.363537652222</v>
      </c>
      <c r="U378" s="18">
        <f>IF($A378&gt;'1-Input'!$B$26,S378,S378-MIN(MAX(S378,0),'P-Parametri'!$B$8*(S378+R378)))</f>
        <v>0</v>
      </c>
      <c r="V378" s="18">
        <f>IF($A378&gt;'1-Input'!$B$26,V377,V377-Q378*(1-P378))</f>
        <v>2.2737367544323206E-13</v>
      </c>
      <c r="W378" s="11">
        <f>IF($A378&gt;'1-Input'!$B$26,0,IF(AB377&lt;=0,0,MAX(0,(AB377-AC377)/AB377)))</f>
        <v>0</v>
      </c>
      <c r="X378" s="18">
        <f>IF($A378&gt;'1-Input'!$B$26,0,(MAX(0,W341-IF($A378&gt;='1-Input'!$C$12,'1-Input'!$B$12,0))-MIN(MAX(AA377,0),MAX(0,W341-IF($A378&gt;='1-Input'!$C$12,'1-Input'!$B$12,0))))*(1/(1-'P-Parametri'!$B$6*W378))+MIN(MAX(0,AB377-(MAX(0,W341-IF($A378&gt;='1-Input'!$C$12,'1-Input'!$B$12,0))-MIN(MAX(AA377,0),MAX(0,W341-IF($A378&gt;='1-Input'!$C$12,'1-Input'!$B$12,0))))*(1/(1-'P-Parametri'!$B$6*W378))),MAX(0,5*W341-(AA377-MIN(MAX(AA377,0),MAX(0,W341-IF($A378&gt;='1-Input'!$C$12,'1-Input'!$B$12,0)))))*(1/(1-'P-Parametri'!$B$6*W378))))</f>
        <v>0</v>
      </c>
      <c r="Y378" s="18">
        <f>IF($A378&gt;'1-Input'!$B$26,AA377,(AA377-MAX(0,W341-IF($A378&gt;='1-Input'!$C$12,'1-Input'!$B$12,0))+X378*(1-'P-Parametri'!$B$6*W378))*(1+'1-Input'!$B$27))</f>
        <v>49627.881835267071</v>
      </c>
      <c r="Z378" s="18">
        <f>IF($A378&gt;'1-Input'!$B$26,AB377,(AB377-X378)*(1+$B$4))</f>
        <v>0</v>
      </c>
      <c r="AA378" s="18">
        <f>IF($A378&gt;'1-Input'!$B$26,Y378,Y378-'P-Parametri'!$B$8*(Z378+Y378)+MIN(MAX(Z378,0),'P-Parametri'!$B$8*(Z378+Y378)))</f>
        <v>49528.62607159654</v>
      </c>
      <c r="AB378" s="18">
        <f>IF($A378&gt;'1-Input'!$B$26,Z378,Z378-MIN(MAX(Z378,0),'P-Parametri'!$B$8*(Z378+Y378)))</f>
        <v>0</v>
      </c>
      <c r="AC378" s="18">
        <f>IF($A378&gt;'1-Input'!$B$26,AC377,AC377-X378*(1-W378))</f>
        <v>-1.1368683772161603E-13</v>
      </c>
      <c r="AD378" s="11">
        <f>IF($A378&gt;'1-Input'!$B$26,0,IF(AI377&lt;=0,0,MAX(0,(AI377-AJ377)/AI377)))</f>
        <v>0</v>
      </c>
      <c r="AE378" s="18">
        <f>IF($A378&gt;'1-Input'!$B$26,0,(MAX(0,AD341-IF($A378&gt;='1-Input'!$C$12,'1-Input'!$B$12,0))-MIN(MAX(AH377,0),MAX(0,AD341-IF($A378&gt;='1-Input'!$C$12,'1-Input'!$B$12,0))))*(1/(1-'P-Parametri'!$B$6*AD378))+MIN(MAX(0,AI377-(MAX(0,AD341-IF($A378&gt;='1-Input'!$C$12,'1-Input'!$B$12,0))-MIN(MAX(AH377,0),MAX(0,AD341-IF($A378&gt;='1-Input'!$C$12,'1-Input'!$B$12,0))))*(1/(1-'P-Parametri'!$B$6*AD378))),MAX(0,5*AD341-(AH377-MIN(MAX(AH377,0),MAX(0,AD341-IF($A378&gt;='1-Input'!$C$12,'1-Input'!$B$12,0)))))*(1/(1-'P-Parametri'!$B$6*AD378))))</f>
        <v>0</v>
      </c>
      <c r="AF378" s="18">
        <f>IF($A378&gt;'1-Input'!$B$26,AH377,(AH377-MAX(0,AD341-IF($A378&gt;='1-Input'!$C$12,'1-Input'!$B$12,0))+AE378*(1-'P-Parametri'!$B$6*AD378))*(1+'1-Input'!$B$27))</f>
        <v>50357.844271131704</v>
      </c>
      <c r="AG378" s="18">
        <f>IF($A378&gt;'1-Input'!$B$26,AI377,(AI377-AE378)*(1+$B$4))</f>
        <v>0</v>
      </c>
      <c r="AH378" s="18">
        <f>IF($A378&gt;'1-Input'!$B$26,AF378,AF378-'P-Parametri'!$B$8*(AG378+AF378)+MIN(MAX(AG378,0),'P-Parametri'!$B$8*(AG378+AF378)))</f>
        <v>50257.128582589437</v>
      </c>
      <c r="AI378" s="18">
        <f>IF($A378&gt;'1-Input'!$B$26,AG378,AG378-MIN(MAX(AG378,0),'P-Parametri'!$B$8*(AG378+AF378)))</f>
        <v>0</v>
      </c>
      <c r="AJ378" s="18">
        <f>IF($A378&gt;'1-Input'!$B$26,AJ377,AJ377-AE378*(1-AD378))</f>
        <v>0</v>
      </c>
      <c r="AK378" s="11">
        <f>IF($A378&gt;'1-Input'!$B$26,0,IF(AP377&lt;=0,0,MAX(0,(AP377-AQ377)/AP377)))</f>
        <v>0</v>
      </c>
      <c r="AL378" s="18">
        <f>IF($A378&gt;'1-Input'!$B$26,0,(MAX(0,AK341-IF($A378&gt;='1-Input'!$C$12,'1-Input'!$B$12,0))-MIN(MAX(AO377,0),MAX(0,AK341-IF($A378&gt;='1-Input'!$C$12,'1-Input'!$B$12,0))))*(1/(1-'P-Parametri'!$B$6*AK378))+MIN(MAX(0,AP377-(MAX(0,AK341-IF($A378&gt;='1-Input'!$C$12,'1-Input'!$B$12,0))-MIN(MAX(AO377,0),MAX(0,AK341-IF($A378&gt;='1-Input'!$C$12,'1-Input'!$B$12,0))))*(1/(1-'P-Parametri'!$B$6*AK378))),MAX(0,5*AK341-(AO377-MIN(MAX(AO377,0),MAX(0,AK341-IF($A378&gt;='1-Input'!$C$12,'1-Input'!$B$12,0)))))*(1/(1-'P-Parametri'!$B$6*AK378))))</f>
        <v>0</v>
      </c>
      <c r="AM378" s="18">
        <f>IF($A378&gt;'1-Input'!$B$26,AO377,(AO377-MAX(0,AK341-IF($A378&gt;='1-Input'!$C$12,'1-Input'!$B$12,0))+AL378*(1-'P-Parametri'!$B$6*AK378))*(1+'1-Input'!$B$27))</f>
        <v>50357.926167881538</v>
      </c>
      <c r="AN378" s="18">
        <f>IF($A378&gt;'1-Input'!$B$26,AP377,(AP377-AL378)*(1+$B$4))</f>
        <v>0</v>
      </c>
      <c r="AO378" s="18">
        <f>IF($A378&gt;'1-Input'!$B$26,AM378,AM378-'P-Parametri'!$B$8*(AN378+AM378)+MIN(MAX(AN378,0),'P-Parametri'!$B$8*(AN378+AM378)))</f>
        <v>50257.210315545773</v>
      </c>
      <c r="AP378" s="18">
        <f>IF($A378&gt;'1-Input'!$B$26,AN378,AN378-MIN(MAX(AN378,0),'P-Parametri'!$B$8*(AN378+AM378)))</f>
        <v>0</v>
      </c>
      <c r="AQ378" s="18">
        <f>IF($A378&gt;'1-Input'!$B$26,AQ377,AQ377-AL378*(1-AK378))</f>
        <v>0</v>
      </c>
    </row>
    <row r="379" spans="1:43">
      <c r="A379" s="10">
        <f>36</f>
        <v>36</v>
      </c>
      <c r="B379" s="11">
        <f>IF($A379&gt;'1-Input'!$B$26,0,IF(G378&lt;=0,0,MAX(0,(G378-H378)/G378)))</f>
        <v>0</v>
      </c>
      <c r="C379" s="18">
        <f>IF($A379&gt;'1-Input'!$B$26,0,(MAX(0,B341-IF($A379&gt;='1-Input'!$C$12,'1-Input'!$B$12,0))-MIN(MAX(F378,0),MAX(0,B341-IF($A379&gt;='1-Input'!$C$12,'1-Input'!$B$12,0))))*(1/(1-'P-Parametri'!$B$6*B379))+MIN(MAX(0,G378-(MAX(0,B341-IF($A379&gt;='1-Input'!$C$12,'1-Input'!$B$12,0))-MIN(MAX(F378,0),MAX(0,B341-IF($A379&gt;='1-Input'!$C$12,'1-Input'!$B$12,0))))*(1/(1-'P-Parametri'!$B$6*B379))),MAX(0,5*B341-(F378-MIN(MAX(F378,0),MAX(0,B341-IF($A379&gt;='1-Input'!$C$12,'1-Input'!$B$12,0)))))*(1/(1-'P-Parametri'!$B$6*B379))))</f>
        <v>0</v>
      </c>
      <c r="D379" s="18">
        <f>IF($A379&gt;'1-Input'!$B$26,F378,(F378-MAX(0,B341-IF($A379&gt;='1-Input'!$C$12,'1-Input'!$B$12,0))+C379*(1-'P-Parametri'!$B$6*B379))*(1+'1-Input'!$B$27))</f>
        <v>15916.627379510495</v>
      </c>
      <c r="E379" s="18">
        <f>IF($A379&gt;'1-Input'!$B$26,G378,(G378-C379)*(1+$B$4))</f>
        <v>0</v>
      </c>
      <c r="F379" s="18">
        <f>IF($A379&gt;'1-Input'!$B$26,D379,D379-'P-Parametri'!$B$8*(E379+D379)+MIN(MAX(E379,0),'P-Parametri'!$B$8*(E379+D379)))</f>
        <v>15884.794124751474</v>
      </c>
      <c r="G379" s="18">
        <f>IF($A379&gt;'1-Input'!$B$26,E379,E379-MIN(MAX(E379,0),'P-Parametri'!$B$8*(E379+D379)))</f>
        <v>0</v>
      </c>
      <c r="H379" s="18">
        <f>IF($A379&gt;'1-Input'!$B$26,H378,H378-C379*(1-B379))</f>
        <v>2.2737367544323206E-13</v>
      </c>
      <c r="I379" s="11">
        <f>IF($A379&gt;'1-Input'!$B$26,0,IF(N378&lt;=0,0,MAX(0,(N378-O378)/N378)))</f>
        <v>0</v>
      </c>
      <c r="J379" s="18">
        <f>IF($A379&gt;'1-Input'!$B$26,0,(MAX(0,I341-IF($A379&gt;='1-Input'!$C$12,'1-Input'!$B$12,0))-MIN(MAX(M378,0),MAX(0,I341-IF($A379&gt;='1-Input'!$C$12,'1-Input'!$B$12,0))))*(1/(1-'P-Parametri'!$B$6*I379))+MIN(MAX(0,N378-(MAX(0,I341-IF($A379&gt;='1-Input'!$C$12,'1-Input'!$B$12,0))-MIN(MAX(M378,0),MAX(0,I341-IF($A379&gt;='1-Input'!$C$12,'1-Input'!$B$12,0))))*(1/(1-'P-Parametri'!$B$6*I379))),MAX(0,5*I341-(M378-MIN(MAX(M378,0),MAX(0,I341-IF($A379&gt;='1-Input'!$C$12,'1-Input'!$B$12,0)))))*(1/(1-'P-Parametri'!$B$6*I379))))</f>
        <v>10846.756992928691</v>
      </c>
      <c r="K379" s="18">
        <f>IF($A379&gt;'1-Input'!$B$26,M378,(M378-MAX(0,I341-IF($A379&gt;='1-Input'!$C$12,'1-Input'!$B$12,0))+J379*(1-'P-Parametri'!$B$6*I379))*(1+'1-Input'!$B$27))</f>
        <v>0</v>
      </c>
      <c r="L379" s="18">
        <f>IF($A379&gt;'1-Input'!$B$26,N378,(N378-J379)*(1+$B$4))</f>
        <v>-226549.84001325624</v>
      </c>
      <c r="M379" s="18">
        <f>IF($A379&gt;'1-Input'!$B$26,K379,K379-'P-Parametri'!$B$8*(L379+K379)+MIN(MAX(L379,0),'P-Parametri'!$B$8*(L379+K379)))</f>
        <v>0</v>
      </c>
      <c r="N379" s="18">
        <f>IF($A379&gt;'1-Input'!$B$26,L379,L379-MIN(MAX(L379,0),'P-Parametri'!$B$8*(L379+K379)))</f>
        <v>-226096.74033322974</v>
      </c>
      <c r="O379" s="18">
        <f>IF($A379&gt;'1-Input'!$B$26,O378,O378-J379*(1-I379))</f>
        <v>-191433.84265969074</v>
      </c>
      <c r="P379" s="11">
        <f>IF($A379&gt;'1-Input'!$B$26,0,IF(U378&lt;=0,0,MAX(0,(U378-V378)/U378)))</f>
        <v>0</v>
      </c>
      <c r="Q379" s="18">
        <f>IF($A379&gt;'1-Input'!$B$26,0,(MAX(0,P341-IF($A379&gt;='1-Input'!$C$12,'1-Input'!$B$12,0))-MIN(MAX(T378,0),MAX(0,P341-IF($A379&gt;='1-Input'!$C$12,'1-Input'!$B$12,0))))*(1/(1-'P-Parametri'!$B$6*P379))+MIN(MAX(0,U378-(MAX(0,P341-IF($A379&gt;='1-Input'!$C$12,'1-Input'!$B$12,0))-MIN(MAX(T378,0),MAX(0,P341-IF($A379&gt;='1-Input'!$C$12,'1-Input'!$B$12,0))))*(1/(1-'P-Parametri'!$B$6*P379))),MAX(0,5*P341-(T378-MIN(MAX(T378,0),MAX(0,P341-IF($A379&gt;='1-Input'!$C$12,'1-Input'!$B$12,0)))))*(1/(1-'P-Parametri'!$B$6*P379))))</f>
        <v>0</v>
      </c>
      <c r="R379" s="18">
        <f>IF($A379&gt;'1-Input'!$B$26,T378,(T378-MAX(0,P341-IF($A379&gt;='1-Input'!$C$12,'1-Input'!$B$12,0))+Q379*(1-'P-Parametri'!$B$6*P379))*(1+'1-Input'!$B$27))</f>
        <v>40565.023804218428</v>
      </c>
      <c r="S379" s="18">
        <f>IF($A379&gt;'1-Input'!$B$26,U378,(U378-Q379)*(1+$B$4))</f>
        <v>0</v>
      </c>
      <c r="T379" s="18">
        <f>IF($A379&gt;'1-Input'!$B$26,R379,R379-'P-Parametri'!$B$8*(S379+R379)+MIN(MAX(S379,0),'P-Parametri'!$B$8*(S379+R379)))</f>
        <v>40483.893756609992</v>
      </c>
      <c r="U379" s="18">
        <f>IF($A379&gt;'1-Input'!$B$26,S379,S379-MIN(MAX(S379,0),'P-Parametri'!$B$8*(S379+R379)))</f>
        <v>0</v>
      </c>
      <c r="V379" s="18">
        <f>IF($A379&gt;'1-Input'!$B$26,V378,V378-Q379*(1-P379))</f>
        <v>2.2737367544323206E-13</v>
      </c>
      <c r="W379" s="11">
        <f>IF($A379&gt;'1-Input'!$B$26,0,IF(AB378&lt;=0,0,MAX(0,(AB378-AC378)/AB378)))</f>
        <v>0</v>
      </c>
      <c r="X379" s="18">
        <f>IF($A379&gt;'1-Input'!$B$26,0,(MAX(0,W341-IF($A379&gt;='1-Input'!$C$12,'1-Input'!$B$12,0))-MIN(MAX(AA378,0),MAX(0,W341-IF($A379&gt;='1-Input'!$C$12,'1-Input'!$B$12,0))))*(1/(1-'P-Parametri'!$B$6*W379))+MIN(MAX(0,AB378-(MAX(0,W341-IF($A379&gt;='1-Input'!$C$12,'1-Input'!$B$12,0))-MIN(MAX(AA378,0),MAX(0,W341-IF($A379&gt;='1-Input'!$C$12,'1-Input'!$B$12,0))))*(1/(1-'P-Parametri'!$B$6*W379))),MAX(0,5*W341-(AA378-MIN(MAX(AA378,0),MAX(0,W341-IF($A379&gt;='1-Input'!$C$12,'1-Input'!$B$12,0)))))*(1/(1-'P-Parametri'!$B$6*W379))))</f>
        <v>0</v>
      </c>
      <c r="Y379" s="18">
        <f>IF($A379&gt;'1-Input'!$B$26,AA378,(AA378-MAX(0,W341-IF($A379&gt;='1-Input'!$C$12,'1-Input'!$B$12,0))+X379*(1-'P-Parametri'!$B$6*W379))*(1+'1-Input'!$B$27))</f>
        <v>44451.706166505392</v>
      </c>
      <c r="Z379" s="18">
        <f>IF($A379&gt;'1-Input'!$B$26,AB378,(AB378-X379)*(1+$B$4))</f>
        <v>0</v>
      </c>
      <c r="AA379" s="18">
        <f>IF($A379&gt;'1-Input'!$B$26,Y379,Y379-'P-Parametri'!$B$8*(Z379+Y379)+MIN(MAX(Z379,0),'P-Parametri'!$B$8*(Z379+Y379)))</f>
        <v>44362.802754172379</v>
      </c>
      <c r="AB379" s="18">
        <f>IF($A379&gt;'1-Input'!$B$26,Z379,Z379-MIN(MAX(Z379,0),'P-Parametri'!$B$8*(Z379+Y379)))</f>
        <v>0</v>
      </c>
      <c r="AC379" s="18">
        <f>IF($A379&gt;'1-Input'!$B$26,AC378,AC378-X379*(1-W379))</f>
        <v>-1.1368683772161603E-13</v>
      </c>
      <c r="AD379" s="11">
        <f>IF($A379&gt;'1-Input'!$B$26,0,IF(AI378&lt;=0,0,MAX(0,(AI378-AJ378)/AI378)))</f>
        <v>0</v>
      </c>
      <c r="AE379" s="18">
        <f>IF($A379&gt;'1-Input'!$B$26,0,(MAX(0,AD341-IF($A379&gt;='1-Input'!$C$12,'1-Input'!$B$12,0))-MIN(MAX(AH378,0),MAX(0,AD341-IF($A379&gt;='1-Input'!$C$12,'1-Input'!$B$12,0))))*(1/(1-'P-Parametri'!$B$6*AD379))+MIN(MAX(0,AI378-(MAX(0,AD341-IF($A379&gt;='1-Input'!$C$12,'1-Input'!$B$12,0))-MIN(MAX(AH378,0),MAX(0,AD341-IF($A379&gt;='1-Input'!$C$12,'1-Input'!$B$12,0))))*(1/(1-'P-Parametri'!$B$6*AD379))),MAX(0,5*AD341-(AH378-MIN(MAX(AH378,0),MAX(0,AD341-IF($A379&gt;='1-Input'!$C$12,'1-Input'!$B$12,0)))))*(1/(1-'P-Parametri'!$B$6*AD379))))</f>
        <v>0</v>
      </c>
      <c r="AF379" s="18">
        <f>IF($A379&gt;'1-Input'!$B$26,AH378,(AH378-MAX(0,AD341-IF($A379&gt;='1-Input'!$C$12,'1-Input'!$B$12,0))+AE379*(1-'P-Parametri'!$B$6*AD379))*(1+'1-Input'!$B$27))</f>
        <v>45194.008364976391</v>
      </c>
      <c r="AG379" s="18">
        <f>IF($A379&gt;'1-Input'!$B$26,AI378,(AI378-AE379)*(1+$B$4))</f>
        <v>0</v>
      </c>
      <c r="AH379" s="18">
        <f>IF($A379&gt;'1-Input'!$B$26,AF379,AF379-'P-Parametri'!$B$8*(AG379+AF379)+MIN(MAX(AG379,0),'P-Parametri'!$B$8*(AG379+AF379)))</f>
        <v>45103.620348246441</v>
      </c>
      <c r="AI379" s="18">
        <f>IF($A379&gt;'1-Input'!$B$26,AG379,AG379-MIN(MAX(AG379,0),'P-Parametri'!$B$8*(AG379+AF379)))</f>
        <v>0</v>
      </c>
      <c r="AJ379" s="18">
        <f>IF($A379&gt;'1-Input'!$B$26,AJ378,AJ378-AE379*(1-AD379))</f>
        <v>0</v>
      </c>
      <c r="AK379" s="11">
        <f>IF($A379&gt;'1-Input'!$B$26,0,IF(AP378&lt;=0,0,MAX(0,(AP378-AQ378)/AP378)))</f>
        <v>0</v>
      </c>
      <c r="AL379" s="18">
        <f>IF($A379&gt;'1-Input'!$B$26,0,(MAX(0,AK341-IF($A379&gt;='1-Input'!$C$12,'1-Input'!$B$12,0))-MIN(MAX(AO378,0),MAX(0,AK341-IF($A379&gt;='1-Input'!$C$12,'1-Input'!$B$12,0))))*(1/(1-'P-Parametri'!$B$6*AK379))+MIN(MAX(0,AP378-(MAX(0,AK341-IF($A379&gt;='1-Input'!$C$12,'1-Input'!$B$12,0))-MIN(MAX(AO378,0),MAX(0,AK341-IF($A379&gt;='1-Input'!$C$12,'1-Input'!$B$12,0))))*(1/(1-'P-Parametri'!$B$6*AK379))),MAX(0,5*AK341-(AO378-MIN(MAX(AO378,0),MAX(0,AK341-IF($A379&gt;='1-Input'!$C$12,'1-Input'!$B$12,0)))))*(1/(1-'P-Parametri'!$B$6*AK379))))</f>
        <v>0</v>
      </c>
      <c r="AM379" s="18">
        <f>IF($A379&gt;'1-Input'!$B$26,AO378,(AO378-MAX(0,AK341-IF($A379&gt;='1-Input'!$C$12,'1-Input'!$B$12,0))+AL379*(1-'P-Parametri'!$B$6*AK379))*(1+'1-Input'!$B$27))</f>
        <v>45194.091646142806</v>
      </c>
      <c r="AN379" s="18">
        <f>IF($A379&gt;'1-Input'!$B$26,AP378,(AP378-AL379)*(1+$B$4))</f>
        <v>0</v>
      </c>
      <c r="AO379" s="18">
        <f>IF($A379&gt;'1-Input'!$B$26,AM379,AM379-'P-Parametri'!$B$8*(AN379+AM379)+MIN(MAX(AN379,0),'P-Parametri'!$B$8*(AN379+AM379)))</f>
        <v>45103.703462850521</v>
      </c>
      <c r="AP379" s="18">
        <f>IF($A379&gt;'1-Input'!$B$26,AN379,AN379-MIN(MAX(AN379,0),'P-Parametri'!$B$8*(AN379+AM379)))</f>
        <v>0</v>
      </c>
      <c r="AQ379" s="18">
        <f>IF($A379&gt;'1-Input'!$B$26,AQ378,AQ378-AL379*(1-AK379))</f>
        <v>0</v>
      </c>
    </row>
    <row r="380" spans="1:43">
      <c r="A380" s="10">
        <f>37</f>
        <v>37</v>
      </c>
      <c r="B380" s="11">
        <f>IF($A380&gt;'1-Input'!$B$26,0,IF(G379&lt;=0,0,MAX(0,(G379-H379)/G379)))</f>
        <v>0</v>
      </c>
      <c r="C380" s="18">
        <f>IF($A380&gt;'1-Input'!$B$26,0,(MAX(0,B341-IF($A380&gt;='1-Input'!$C$12,'1-Input'!$B$12,0))-MIN(MAX(F379,0),MAX(0,B341-IF($A380&gt;='1-Input'!$C$12,'1-Input'!$B$12,0))))*(1/(1-'P-Parametri'!$B$6*B380))+MIN(MAX(0,G379-(MAX(0,B341-IF($A380&gt;='1-Input'!$C$12,'1-Input'!$B$12,0))-MIN(MAX(F379,0),MAX(0,B341-IF($A380&gt;='1-Input'!$C$12,'1-Input'!$B$12,0))))*(1/(1-'P-Parametri'!$B$6*B380))),MAX(0,5*B341-(F379-MIN(MAX(F379,0),MAX(0,B341-IF($A380&gt;='1-Input'!$C$12,'1-Input'!$B$12,0)))))*(1/(1-'P-Parametri'!$B$6*B380))))</f>
        <v>0</v>
      </c>
      <c r="D380" s="18">
        <f>IF($A380&gt;'1-Input'!$B$26,F379,(F379-MAX(0,B341-IF($A380&gt;='1-Input'!$C$12,'1-Input'!$B$12,0))+C380*(1-'P-Parametri'!$B$6*B380))*(1+'1-Input'!$B$27))</f>
        <v>10268.638150409219</v>
      </c>
      <c r="E380" s="18">
        <f>IF($A380&gt;'1-Input'!$B$26,G379,(G379-C380)*(1+$B$4))</f>
        <v>0</v>
      </c>
      <c r="F380" s="18">
        <f>IF($A380&gt;'1-Input'!$B$26,D380,D380-'P-Parametri'!$B$8*(E380+D380)+MIN(MAX(E380,0),'P-Parametri'!$B$8*(E380+D380)))</f>
        <v>10248.100874108401</v>
      </c>
      <c r="G380" s="18">
        <f>IF($A380&gt;'1-Input'!$B$26,E380,E380-MIN(MAX(E380,0),'P-Parametri'!$B$8*(E380+D380)))</f>
        <v>0</v>
      </c>
      <c r="H380" s="18">
        <f>IF($A380&gt;'1-Input'!$B$26,H379,H379-C380*(1-B380))</f>
        <v>2.2737367544323206E-13</v>
      </c>
      <c r="I380" s="11">
        <f>IF($A380&gt;'1-Input'!$B$26,0,IF(N379&lt;=0,0,MAX(0,(N379-O379)/N379)))</f>
        <v>0</v>
      </c>
      <c r="J380" s="18">
        <f>IF($A380&gt;'1-Input'!$B$26,0,(MAX(0,I341-IF($A380&gt;='1-Input'!$C$12,'1-Input'!$B$12,0))-MIN(MAX(M379,0),MAX(0,I341-IF($A380&gt;='1-Input'!$C$12,'1-Input'!$B$12,0))))*(1/(1-'P-Parametri'!$B$6*I380))+MIN(MAX(0,N379-(MAX(0,I341-IF($A380&gt;='1-Input'!$C$12,'1-Input'!$B$12,0))-MIN(MAX(M379,0),MAX(0,I341-IF($A380&gt;='1-Input'!$C$12,'1-Input'!$B$12,0))))*(1/(1-'P-Parametri'!$B$6*I380))),MAX(0,5*I341-(M379-MIN(MAX(M379,0),MAX(0,I341-IF($A380&gt;='1-Input'!$C$12,'1-Input'!$B$12,0)))))*(1/(1-'P-Parametri'!$B$6*I380))))</f>
        <v>10846.756992928691</v>
      </c>
      <c r="K380" s="18">
        <f>IF($A380&gt;'1-Input'!$B$26,M379,(M379-MAX(0,I341-IF($A380&gt;='1-Input'!$C$12,'1-Input'!$B$12,0))+J380*(1-'P-Parametri'!$B$6*I380))*(1+'1-Input'!$B$27))</f>
        <v>0</v>
      </c>
      <c r="L380" s="18">
        <f>IF($A380&gt;'1-Input'!$B$26,N379,(N379-J380)*(1+$B$4))</f>
        <v>-241682.36727268159</v>
      </c>
      <c r="M380" s="18">
        <f>IF($A380&gt;'1-Input'!$B$26,K380,K380-'P-Parametri'!$B$8*(L380+K380)+MIN(MAX(L380,0),'P-Parametri'!$B$8*(L380+K380)))</f>
        <v>0</v>
      </c>
      <c r="N380" s="18">
        <f>IF($A380&gt;'1-Input'!$B$26,L380,L380-MIN(MAX(L380,0),'P-Parametri'!$B$8*(L380+K380)))</f>
        <v>-241199.00253813624</v>
      </c>
      <c r="O380" s="18">
        <f>IF($A380&gt;'1-Input'!$B$26,O379,O379-J380*(1-I380))</f>
        <v>-202280.59965261942</v>
      </c>
      <c r="P380" s="11">
        <f>IF($A380&gt;'1-Input'!$B$26,0,IF(U379&lt;=0,0,MAX(0,(U379-V379)/U379)))</f>
        <v>0</v>
      </c>
      <c r="Q380" s="18">
        <f>IF($A380&gt;'1-Input'!$B$26,0,(MAX(0,P341-IF($A380&gt;='1-Input'!$C$12,'1-Input'!$B$12,0))-MIN(MAX(T379,0),MAX(0,P341-IF($A380&gt;='1-Input'!$C$12,'1-Input'!$B$12,0))))*(1/(1-'P-Parametri'!$B$6*P380))+MIN(MAX(0,U379-(MAX(0,P341-IF($A380&gt;='1-Input'!$C$12,'1-Input'!$B$12,0))-MIN(MAX(T379,0),MAX(0,P341-IF($A380&gt;='1-Input'!$C$12,'1-Input'!$B$12,0))))*(1/(1-'P-Parametri'!$B$6*P380))),MAX(0,5*P341-(T379-MIN(MAX(T379,0),MAX(0,P341-IF($A380&gt;='1-Input'!$C$12,'1-Input'!$B$12,0)))))*(1/(1-'P-Parametri'!$B$6*P380))))</f>
        <v>0</v>
      </c>
      <c r="R380" s="18">
        <f>IF($A380&gt;'1-Input'!$B$26,T379,(T379-MAX(0,P341-IF($A380&gt;='1-Input'!$C$12,'1-Input'!$B$12,0))+Q380*(1-'P-Parametri'!$B$6*P380))*(1+'1-Input'!$B$27))</f>
        <v>35353.383714387957</v>
      </c>
      <c r="S380" s="18">
        <f>IF($A380&gt;'1-Input'!$B$26,U379,(U379-Q380)*(1+$B$4))</f>
        <v>0</v>
      </c>
      <c r="T380" s="18">
        <f>IF($A380&gt;'1-Input'!$B$26,R380,R380-'P-Parametri'!$B$8*(S380+R380)+MIN(MAX(S380,0),'P-Parametri'!$B$8*(S380+R380)))</f>
        <v>35282.676946959182</v>
      </c>
      <c r="U380" s="18">
        <f>IF($A380&gt;'1-Input'!$B$26,S380,S380-MIN(MAX(S380,0),'P-Parametri'!$B$8*(S380+R380)))</f>
        <v>0</v>
      </c>
      <c r="V380" s="18">
        <f>IF($A380&gt;'1-Input'!$B$26,V379,V379-Q380*(1-P380))</f>
        <v>2.2737367544323206E-13</v>
      </c>
      <c r="W380" s="11">
        <f>IF($A380&gt;'1-Input'!$B$26,0,IF(AB379&lt;=0,0,MAX(0,(AB379-AC379)/AB379)))</f>
        <v>0</v>
      </c>
      <c r="X380" s="18">
        <f>IF($A380&gt;'1-Input'!$B$26,0,(MAX(0,W341-IF($A380&gt;='1-Input'!$C$12,'1-Input'!$B$12,0))-MIN(MAX(AA379,0),MAX(0,W341-IF($A380&gt;='1-Input'!$C$12,'1-Input'!$B$12,0))))*(1/(1-'P-Parametri'!$B$6*W380))+MIN(MAX(0,AB379-(MAX(0,W341-IF($A380&gt;='1-Input'!$C$12,'1-Input'!$B$12,0))-MIN(MAX(AA379,0),MAX(0,W341-IF($A380&gt;='1-Input'!$C$12,'1-Input'!$B$12,0))))*(1/(1-'P-Parametri'!$B$6*W380))),MAX(0,5*W341-(AA379-MIN(MAX(AA379,0),MAX(0,W341-IF($A380&gt;='1-Input'!$C$12,'1-Input'!$B$12,0)))))*(1/(1-'P-Parametri'!$B$6*W380))))</f>
        <v>0</v>
      </c>
      <c r="Y380" s="18">
        <f>IF($A380&gt;'1-Input'!$B$26,AA379,(AA379-MAX(0,W341-IF($A380&gt;='1-Input'!$C$12,'1-Input'!$B$12,0))+X380*(1-'P-Parametri'!$B$6*W380))*(1+'1-Input'!$B$27))</f>
        <v>39304.479813023958</v>
      </c>
      <c r="Z380" s="18">
        <f>IF($A380&gt;'1-Input'!$B$26,AB379,(AB379-X380)*(1+$B$4))</f>
        <v>0</v>
      </c>
      <c r="AA380" s="18">
        <f>IF($A380&gt;'1-Input'!$B$26,Y380,Y380-'P-Parametri'!$B$8*(Z380+Y380)+MIN(MAX(Z380,0),'P-Parametri'!$B$8*(Z380+Y380)))</f>
        <v>39225.870853397908</v>
      </c>
      <c r="AB380" s="18">
        <f>IF($A380&gt;'1-Input'!$B$26,Z380,Z380-MIN(MAX(Z380,0),'P-Parametri'!$B$8*(Z380+Y380)))</f>
        <v>0</v>
      </c>
      <c r="AC380" s="18">
        <f>IF($A380&gt;'1-Input'!$B$26,AC379,AC379-X380*(1-W380))</f>
        <v>-1.1368683772161603E-13</v>
      </c>
      <c r="AD380" s="11">
        <f>IF($A380&gt;'1-Input'!$B$26,0,IF(AI379&lt;=0,0,MAX(0,(AI379-AJ379)/AI379)))</f>
        <v>0</v>
      </c>
      <c r="AE380" s="18">
        <f>IF($A380&gt;'1-Input'!$B$26,0,(MAX(0,AD341-IF($A380&gt;='1-Input'!$C$12,'1-Input'!$B$12,0))-MIN(MAX(AH379,0),MAX(0,AD341-IF($A380&gt;='1-Input'!$C$12,'1-Input'!$B$12,0))))*(1/(1-'P-Parametri'!$B$6*AD380))+MIN(MAX(0,AI379-(MAX(0,AD341-IF($A380&gt;='1-Input'!$C$12,'1-Input'!$B$12,0))-MIN(MAX(AH379,0),MAX(0,AD341-IF($A380&gt;='1-Input'!$C$12,'1-Input'!$B$12,0))))*(1/(1-'P-Parametri'!$B$6*AD380))),MAX(0,5*AD341-(AH379-MIN(MAX(AH379,0),MAX(0,AD341-IF($A380&gt;='1-Input'!$C$12,'1-Input'!$B$12,0)))))*(1/(1-'P-Parametri'!$B$6*AD380))))</f>
        <v>0</v>
      </c>
      <c r="AF380" s="18">
        <f>IF($A380&gt;'1-Input'!$B$26,AH379,(AH379-MAX(0,AD341-IF($A380&gt;='1-Input'!$C$12,'1-Input'!$B$12,0))+AE380*(1-'P-Parametri'!$B$6*AD380))*(1+'1-Input'!$B$27))</f>
        <v>40059.052760277031</v>
      </c>
      <c r="AG380" s="18">
        <f>IF($A380&gt;'1-Input'!$B$26,AI379,(AI379-AE380)*(1+$B$4))</f>
        <v>0</v>
      </c>
      <c r="AH380" s="18">
        <f>IF($A380&gt;'1-Input'!$B$26,AF380,AF380-'P-Parametri'!$B$8*(AG380+AF380)+MIN(MAX(AG380,0),'P-Parametri'!$B$8*(AG380+AF380)))</f>
        <v>39978.934654756478</v>
      </c>
      <c r="AI380" s="18">
        <f>IF($A380&gt;'1-Input'!$B$26,AG380,AG380-MIN(MAX(AG380,0),'P-Parametri'!$B$8*(AG380+AF380)))</f>
        <v>0</v>
      </c>
      <c r="AJ380" s="18">
        <f>IF($A380&gt;'1-Input'!$B$26,AJ379,AJ379-AE380*(1-AD380))</f>
        <v>0</v>
      </c>
      <c r="AK380" s="11">
        <f>IF($A380&gt;'1-Input'!$B$26,0,IF(AP379&lt;=0,0,MAX(0,(AP379-AQ379)/AP379)))</f>
        <v>0</v>
      </c>
      <c r="AL380" s="18">
        <f>IF($A380&gt;'1-Input'!$B$26,0,(MAX(0,AK341-IF($A380&gt;='1-Input'!$C$12,'1-Input'!$B$12,0))-MIN(MAX(AO379,0),MAX(0,AK341-IF($A380&gt;='1-Input'!$C$12,'1-Input'!$B$12,0))))*(1/(1-'P-Parametri'!$B$6*AK380))+MIN(MAX(0,AP379-(MAX(0,AK341-IF($A380&gt;='1-Input'!$C$12,'1-Input'!$B$12,0))-MIN(MAX(AO379,0),MAX(0,AK341-IF($A380&gt;='1-Input'!$C$12,'1-Input'!$B$12,0))))*(1/(1-'P-Parametri'!$B$6*AK380))),MAX(0,5*AK341-(AO379-MIN(MAX(AO379,0),MAX(0,AK341-IF($A380&gt;='1-Input'!$C$12,'1-Input'!$B$12,0)))))*(1/(1-'P-Parametri'!$B$6*AK380))))</f>
        <v>0</v>
      </c>
      <c r="AM380" s="18">
        <f>IF($A380&gt;'1-Input'!$B$26,AO379,(AO379-MAX(0,AK341-IF($A380&gt;='1-Input'!$C$12,'1-Input'!$B$12,0))+AL380*(1-'P-Parametri'!$B$6*AK380))*(1+'1-Input'!$B$27))</f>
        <v>40059.137418117258</v>
      </c>
      <c r="AN380" s="18">
        <f>IF($A380&gt;'1-Input'!$B$26,AP379,(AP379-AL380)*(1+$B$4))</f>
        <v>0</v>
      </c>
      <c r="AO380" s="18">
        <f>IF($A380&gt;'1-Input'!$B$26,AM380,AM380-'P-Parametri'!$B$8*(AN380+AM380)+MIN(MAX(AN380,0),'P-Parametri'!$B$8*(AN380+AM380)))</f>
        <v>39979.019143281024</v>
      </c>
      <c r="AP380" s="18">
        <f>IF($A380&gt;'1-Input'!$B$26,AN380,AN380-MIN(MAX(AN380,0),'P-Parametri'!$B$8*(AN380+AM380)))</f>
        <v>0</v>
      </c>
      <c r="AQ380" s="18">
        <f>IF($A380&gt;'1-Input'!$B$26,AQ379,AQ379-AL380*(1-AK380))</f>
        <v>0</v>
      </c>
    </row>
    <row r="381" spans="1:43">
      <c r="A381" s="10">
        <f>38</f>
        <v>38</v>
      </c>
      <c r="B381" s="11">
        <f>IF($A381&gt;'1-Input'!$B$26,0,IF(G380&lt;=0,0,MAX(0,(G380-H380)/G380)))</f>
        <v>0</v>
      </c>
      <c r="C381" s="18">
        <f>IF($A381&gt;'1-Input'!$B$26,0,(MAX(0,B341-IF($A381&gt;='1-Input'!$C$12,'1-Input'!$B$12,0))-MIN(MAX(F380,0),MAX(0,B341-IF($A381&gt;='1-Input'!$C$12,'1-Input'!$B$12,0))))*(1/(1-'P-Parametri'!$B$6*B381))+MIN(MAX(0,G380-(MAX(0,B341-IF($A381&gt;='1-Input'!$C$12,'1-Input'!$B$12,0))-MIN(MAX(F380,0),MAX(0,B341-IF($A381&gt;='1-Input'!$C$12,'1-Input'!$B$12,0))))*(1/(1-'P-Parametri'!$B$6*B381))),MAX(0,5*B341-(F380-MIN(MAX(F380,0),MAX(0,B341-IF($A381&gt;='1-Input'!$C$12,'1-Input'!$B$12,0)))))*(1/(1-'P-Parametri'!$B$6*B381))))</f>
        <v>0</v>
      </c>
      <c r="D381" s="18">
        <f>IF($A381&gt;'1-Input'!$B$26,F380,(F380-MAX(0,B341-IF($A381&gt;='1-Input'!$C$12,'1-Input'!$B$12,0))+C381*(1-'P-Parametri'!$B$6*B381))*(1+'1-Input'!$B$27))</f>
        <v>4652.23699546846</v>
      </c>
      <c r="E381" s="18">
        <f>IF($A381&gt;'1-Input'!$B$26,G380,(G380-C381)*(1+$B$4))</f>
        <v>0</v>
      </c>
      <c r="F381" s="18">
        <f>IF($A381&gt;'1-Input'!$B$26,D381,D381-'P-Parametri'!$B$8*(E381+D381)+MIN(MAX(E381,0),'P-Parametri'!$B$8*(E381+D381)))</f>
        <v>4642.9325214775226</v>
      </c>
      <c r="G381" s="18">
        <f>IF($A381&gt;'1-Input'!$B$26,E381,E381-MIN(MAX(E381,0),'P-Parametri'!$B$8*(E381+D381)))</f>
        <v>0</v>
      </c>
      <c r="H381" s="18">
        <f>IF($A381&gt;'1-Input'!$B$26,H380,H380-C381*(1-B381))</f>
        <v>2.2737367544323206E-13</v>
      </c>
      <c r="I381" s="11">
        <f>IF($A381&gt;'1-Input'!$B$26,0,IF(N380&lt;=0,0,MAX(0,(N380-O380)/N380)))</f>
        <v>0</v>
      </c>
      <c r="J381" s="18">
        <f>IF($A381&gt;'1-Input'!$B$26,0,(MAX(0,I341-IF($A381&gt;='1-Input'!$C$12,'1-Input'!$B$12,0))-MIN(MAX(M380,0),MAX(0,I341-IF($A381&gt;='1-Input'!$C$12,'1-Input'!$B$12,0))))*(1/(1-'P-Parametri'!$B$6*I381))+MIN(MAX(0,N380-(MAX(0,I341-IF($A381&gt;='1-Input'!$C$12,'1-Input'!$B$12,0))-MIN(MAX(M380,0),MAX(0,I341-IF($A381&gt;='1-Input'!$C$12,'1-Input'!$B$12,0))))*(1/(1-'P-Parametri'!$B$6*I381))),MAX(0,5*I341-(M380-MIN(MAX(M380,0),MAX(0,I341-IF($A381&gt;='1-Input'!$C$12,'1-Input'!$B$12,0)))))*(1/(1-'P-Parametri'!$B$6*I381))))</f>
        <v>10846.756992928691</v>
      </c>
      <c r="K381" s="18">
        <f>IF($A381&gt;'1-Input'!$B$26,M380,(M380-MAX(0,I341-IF($A381&gt;='1-Input'!$C$12,'1-Input'!$B$12,0))+J381*(1-'P-Parametri'!$B$6*I381))*(1+'1-Input'!$B$27))</f>
        <v>0</v>
      </c>
      <c r="L381" s="18">
        <f>IF($A381&gt;'1-Input'!$B$26,N380,(N380-J381)*(1+$B$4))</f>
        <v>-257086.67472168623</v>
      </c>
      <c r="M381" s="18">
        <f>IF($A381&gt;'1-Input'!$B$26,K381,K381-'P-Parametri'!$B$8*(L381+K381)+MIN(MAX(L381,0),'P-Parametri'!$B$8*(L381+K381)))</f>
        <v>0</v>
      </c>
      <c r="N381" s="18">
        <f>IF($A381&gt;'1-Input'!$B$26,L381,L381-MIN(MAX(L381,0),'P-Parametri'!$B$8*(L381+K381)))</f>
        <v>-256572.50137224284</v>
      </c>
      <c r="O381" s="18">
        <f>IF($A381&gt;'1-Input'!$B$26,O380,O380-J381*(1-I381))</f>
        <v>-213127.35664554811</v>
      </c>
      <c r="P381" s="11">
        <f>IF($A381&gt;'1-Input'!$B$26,0,IF(U380&lt;=0,0,MAX(0,(U380-V380)/U380)))</f>
        <v>0</v>
      </c>
      <c r="Q381" s="18">
        <f>IF($A381&gt;'1-Input'!$B$26,0,(MAX(0,P341-IF($A381&gt;='1-Input'!$C$12,'1-Input'!$B$12,0))-MIN(MAX(T380,0),MAX(0,P341-IF($A381&gt;='1-Input'!$C$12,'1-Input'!$B$12,0))))*(1/(1-'P-Parametri'!$B$6*P381))+MIN(MAX(0,U380-(MAX(0,P341-IF($A381&gt;='1-Input'!$C$12,'1-Input'!$B$12,0))-MIN(MAX(T380,0),MAX(0,P341-IF($A381&gt;='1-Input'!$C$12,'1-Input'!$B$12,0))))*(1/(1-'P-Parametri'!$B$6*P381))),MAX(0,5*P341-(T380-MIN(MAX(T380,0),MAX(0,P341-IF($A381&gt;='1-Input'!$C$12,'1-Input'!$B$12,0)))))*(1/(1-'P-Parametri'!$B$6*P381))))</f>
        <v>0</v>
      </c>
      <c r="R381" s="18">
        <f>IF($A381&gt;'1-Input'!$B$26,T380,(T380-MAX(0,P341-IF($A381&gt;='1-Input'!$C$12,'1-Input'!$B$12,0))+Q381*(1-'P-Parametri'!$B$6*P381))*(1+'1-Input'!$B$27))</f>
        <v>30170.891285251884</v>
      </c>
      <c r="S381" s="18">
        <f>IF($A381&gt;'1-Input'!$B$26,U380,(U380-Q381)*(1+$B$4))</f>
        <v>0</v>
      </c>
      <c r="T381" s="18">
        <f>IF($A381&gt;'1-Input'!$B$26,R381,R381-'P-Parametri'!$B$8*(S381+R381)+MIN(MAX(S381,0),'P-Parametri'!$B$8*(S381+R381)))</f>
        <v>30110.549502681381</v>
      </c>
      <c r="U381" s="18">
        <f>IF($A381&gt;'1-Input'!$B$26,S381,S381-MIN(MAX(S381,0),'P-Parametri'!$B$8*(S381+R381)))</f>
        <v>0</v>
      </c>
      <c r="V381" s="18">
        <f>IF($A381&gt;'1-Input'!$B$26,V380,V380-Q381*(1-P381))</f>
        <v>2.2737367544323206E-13</v>
      </c>
      <c r="W381" s="11">
        <f>IF($A381&gt;'1-Input'!$B$26,0,IF(AB380&lt;=0,0,MAX(0,(AB380-AC380)/AB380)))</f>
        <v>0</v>
      </c>
      <c r="X381" s="18">
        <f>IF($A381&gt;'1-Input'!$B$26,0,(MAX(0,W341-IF($A381&gt;='1-Input'!$C$12,'1-Input'!$B$12,0))-MIN(MAX(AA380,0),MAX(0,W341-IF($A381&gt;='1-Input'!$C$12,'1-Input'!$B$12,0))))*(1/(1-'P-Parametri'!$B$6*W381))+MIN(MAX(0,AB380-(MAX(0,W341-IF($A381&gt;='1-Input'!$C$12,'1-Input'!$B$12,0))-MIN(MAX(AA380,0),MAX(0,W341-IF($A381&gt;='1-Input'!$C$12,'1-Input'!$B$12,0))))*(1/(1-'P-Parametri'!$B$6*W381))),MAX(0,5*W341-(AA380-MIN(MAX(AA380,0),MAX(0,W341-IF($A381&gt;='1-Input'!$C$12,'1-Input'!$B$12,0)))))*(1/(1-'P-Parametri'!$B$6*W381))))</f>
        <v>0</v>
      </c>
      <c r="Y381" s="18">
        <f>IF($A381&gt;'1-Input'!$B$26,AA380,(AA380-MAX(0,W341-IF($A381&gt;='1-Input'!$C$12,'1-Input'!$B$12,0))+X381*(1-'P-Parametri'!$B$6*W381))*(1+'1-Input'!$B$27))</f>
        <v>34186.04086709227</v>
      </c>
      <c r="Z381" s="18">
        <f>IF($A381&gt;'1-Input'!$B$26,AB380,(AB380-X381)*(1+$B$4))</f>
        <v>0</v>
      </c>
      <c r="AA381" s="18">
        <f>IF($A381&gt;'1-Input'!$B$26,Y381,Y381-'P-Parametri'!$B$8*(Z381+Y381)+MIN(MAX(Z381,0),'P-Parametri'!$B$8*(Z381+Y381)))</f>
        <v>34117.668785358088</v>
      </c>
      <c r="AB381" s="18">
        <f>IF($A381&gt;'1-Input'!$B$26,Z381,Z381-MIN(MAX(Z381,0),'P-Parametri'!$B$8*(Z381+Y381)))</f>
        <v>0</v>
      </c>
      <c r="AC381" s="18">
        <f>IF($A381&gt;'1-Input'!$B$26,AC380,AC380-X381*(1-W381))</f>
        <v>-1.1368683772161603E-13</v>
      </c>
      <c r="AD381" s="11">
        <f>IF($A381&gt;'1-Input'!$B$26,0,IF(AI380&lt;=0,0,MAX(0,(AI380-AJ380)/AI380)))</f>
        <v>0</v>
      </c>
      <c r="AE381" s="18">
        <f>IF($A381&gt;'1-Input'!$B$26,0,(MAX(0,AD341-IF($A381&gt;='1-Input'!$C$12,'1-Input'!$B$12,0))-MIN(MAX(AH380,0),MAX(0,AD341-IF($A381&gt;='1-Input'!$C$12,'1-Input'!$B$12,0))))*(1/(1-'P-Parametri'!$B$6*AD381))+MIN(MAX(0,AI380-(MAX(0,AD341-IF($A381&gt;='1-Input'!$C$12,'1-Input'!$B$12,0))-MIN(MAX(AH380,0),MAX(0,AD341-IF($A381&gt;='1-Input'!$C$12,'1-Input'!$B$12,0))))*(1/(1-'P-Parametri'!$B$6*AD381))),MAX(0,5*AD341-(AH380-MIN(MAX(AH380,0),MAX(0,AD341-IF($A381&gt;='1-Input'!$C$12,'1-Input'!$B$12,0)))))*(1/(1-'P-Parametri'!$B$6*AD381))))</f>
        <v>0</v>
      </c>
      <c r="AF381" s="18">
        <f>IF($A381&gt;'1-Input'!$B$26,AH380,(AH380-MAX(0,AD341-IF($A381&gt;='1-Input'!$C$12,'1-Input'!$B$12,0))+AE381*(1-'P-Parametri'!$B$6*AD381))*(1+'1-Input'!$B$27))</f>
        <v>34952.815935283637</v>
      </c>
      <c r="AG381" s="18">
        <f>IF($A381&gt;'1-Input'!$B$26,AI380,(AI380-AE381)*(1+$B$4))</f>
        <v>0</v>
      </c>
      <c r="AH381" s="18">
        <f>IF($A381&gt;'1-Input'!$B$26,AF381,AF381-'P-Parametri'!$B$8*(AG381+AF381)+MIN(MAX(AG381,0),'P-Parametri'!$B$8*(AG381+AF381)))</f>
        <v>34882.910303413068</v>
      </c>
      <c r="AI381" s="18">
        <f>IF($A381&gt;'1-Input'!$B$26,AG381,AG381-MIN(MAX(AG381,0),'P-Parametri'!$B$8*(AG381+AF381)))</f>
        <v>0</v>
      </c>
      <c r="AJ381" s="18">
        <f>IF($A381&gt;'1-Input'!$B$26,AJ380,AJ380-AE381*(1-AD381))</f>
        <v>0</v>
      </c>
      <c r="AK381" s="11">
        <f>IF($A381&gt;'1-Input'!$B$26,0,IF(AP380&lt;=0,0,MAX(0,(AP380-AQ380)/AP380)))</f>
        <v>0</v>
      </c>
      <c r="AL381" s="18">
        <f>IF($A381&gt;'1-Input'!$B$26,0,(MAX(0,AK341-IF($A381&gt;='1-Input'!$C$12,'1-Input'!$B$12,0))-MIN(MAX(AO380,0),MAX(0,AK341-IF($A381&gt;='1-Input'!$C$12,'1-Input'!$B$12,0))))*(1/(1-'P-Parametri'!$B$6*AK381))+MIN(MAX(0,AP380-(MAX(0,AK341-IF($A381&gt;='1-Input'!$C$12,'1-Input'!$B$12,0))-MIN(MAX(AO380,0),MAX(0,AK341-IF($A381&gt;='1-Input'!$C$12,'1-Input'!$B$12,0))))*(1/(1-'P-Parametri'!$B$6*AK381))),MAX(0,5*AK341-(AO380-MIN(MAX(AO380,0),MAX(0,AK341-IF($A381&gt;='1-Input'!$C$12,'1-Input'!$B$12,0)))))*(1/(1-'P-Parametri'!$B$6*AK381))))</f>
        <v>0</v>
      </c>
      <c r="AM381" s="18">
        <f>IF($A381&gt;'1-Input'!$B$26,AO380,(AO380-MAX(0,AK341-IF($A381&gt;='1-Input'!$C$12,'1-Input'!$B$12,0))+AL381*(1-'P-Parametri'!$B$6*AK381))*(1+'1-Input'!$B$27))</f>
        <v>34952.901962098214</v>
      </c>
      <c r="AN381" s="18">
        <f>IF($A381&gt;'1-Input'!$B$26,AP380,(AP380-AL381)*(1+$B$4))</f>
        <v>0</v>
      </c>
      <c r="AO381" s="18">
        <f>IF($A381&gt;'1-Input'!$B$26,AM381,AM381-'P-Parametri'!$B$8*(AN381+AM381)+MIN(MAX(AN381,0),'P-Parametri'!$B$8*(AN381+AM381)))</f>
        <v>34882.996158174021</v>
      </c>
      <c r="AP381" s="18">
        <f>IF($A381&gt;'1-Input'!$B$26,AN381,AN381-MIN(MAX(AN381,0),'P-Parametri'!$B$8*(AN381+AM381)))</f>
        <v>0</v>
      </c>
      <c r="AQ381" s="18">
        <f>IF($A381&gt;'1-Input'!$B$26,AQ380,AQ380-AL381*(1-AK381))</f>
        <v>0</v>
      </c>
    </row>
    <row r="382" spans="1:43">
      <c r="A382" s="10">
        <f>39</f>
        <v>39</v>
      </c>
      <c r="B382" s="11">
        <f>IF($A382&gt;'1-Input'!$B$26,0,IF(G381&lt;=0,0,MAX(0,(G381-H381)/G381)))</f>
        <v>0</v>
      </c>
      <c r="C382" s="18">
        <f>IF($A382&gt;'1-Input'!$B$26,0,(MAX(0,B341-IF($A382&gt;='1-Input'!$C$12,'1-Input'!$B$12,0))-MIN(MAX(F381,0),MAX(0,B341-IF($A382&gt;='1-Input'!$C$12,'1-Input'!$B$12,0))))*(1/(1-'P-Parametri'!$B$6*B382))+MIN(MAX(0,G381-(MAX(0,B341-IF($A382&gt;='1-Input'!$C$12,'1-Input'!$B$12,0))-MIN(MAX(F381,0),MAX(0,B341-IF($A382&gt;='1-Input'!$C$12,'1-Input'!$B$12,0))))*(1/(1-'P-Parametri'!$B$6*B382))),MAX(0,5*B341-(F381-MIN(MAX(F381,0),MAX(0,B341-IF($A382&gt;='1-Input'!$C$12,'1-Input'!$B$12,0)))))*(1/(1-'P-Parametri'!$B$6*B382))))</f>
        <v>936.12279314827992</v>
      </c>
      <c r="D382" s="18">
        <f>IF($A382&gt;'1-Input'!$B$26,F381,(F381-MAX(0,B341-IF($A382&gt;='1-Input'!$C$12,'1-Input'!$B$12,0))+C382*(1-'P-Parametri'!$B$6*B382))*(1+'1-Input'!$B$27))</f>
        <v>0</v>
      </c>
      <c r="E382" s="18">
        <f>IF($A382&gt;'1-Input'!$B$26,G381,(G381-C382)*(1+$B$4))</f>
        <v>-954.84524901124553</v>
      </c>
      <c r="F382" s="18">
        <f>IF($A382&gt;'1-Input'!$B$26,D382,D382-'P-Parametri'!$B$8*(E382+D382)+MIN(MAX(E382,0),'P-Parametri'!$B$8*(E382+D382)))</f>
        <v>0</v>
      </c>
      <c r="G382" s="18">
        <f>IF($A382&gt;'1-Input'!$B$26,E382,E382-MIN(MAX(E382,0),'P-Parametri'!$B$8*(E382+D382)))</f>
        <v>-952.93555851322299</v>
      </c>
      <c r="H382" s="18">
        <f>IF($A382&gt;'1-Input'!$B$26,H381,H381-C382*(1-B382))</f>
        <v>-936.1227931482797</v>
      </c>
      <c r="I382" s="11">
        <f>IF($A382&gt;'1-Input'!$B$26,0,IF(N381&lt;=0,0,MAX(0,(N381-O381)/N381)))</f>
        <v>0</v>
      </c>
      <c r="J382" s="18">
        <f>IF($A382&gt;'1-Input'!$B$26,0,(MAX(0,I341-IF($A382&gt;='1-Input'!$C$12,'1-Input'!$B$12,0))-MIN(MAX(M381,0),MAX(0,I341-IF($A382&gt;='1-Input'!$C$12,'1-Input'!$B$12,0))))*(1/(1-'P-Parametri'!$B$6*I382))+MIN(MAX(0,N381-(MAX(0,I341-IF($A382&gt;='1-Input'!$C$12,'1-Input'!$B$12,0))-MIN(MAX(M381,0),MAX(0,I341-IF($A382&gt;='1-Input'!$C$12,'1-Input'!$B$12,0))))*(1/(1-'P-Parametri'!$B$6*I382))),MAX(0,5*I341-(M381-MIN(MAX(M381,0),MAX(0,I341-IF($A382&gt;='1-Input'!$C$12,'1-Input'!$B$12,0)))))*(1/(1-'P-Parametri'!$B$6*I382))))</f>
        <v>10846.756992928691</v>
      </c>
      <c r="K382" s="18">
        <f>IF($A382&gt;'1-Input'!$B$26,M381,(M381-MAX(0,I341-IF($A382&gt;='1-Input'!$C$12,'1-Input'!$B$12,0))+J382*(1-'P-Parametri'!$B$6*I382))*(1+'1-Input'!$B$27))</f>
        <v>0</v>
      </c>
      <c r="L382" s="18">
        <f>IF($A382&gt;'1-Input'!$B$26,N381,(N381-J382)*(1+$B$4))</f>
        <v>-272767.64353247499</v>
      </c>
      <c r="M382" s="18">
        <f>IF($A382&gt;'1-Input'!$B$26,K382,K382-'P-Parametri'!$B$8*(L382+K382)+MIN(MAX(L382,0),'P-Parametri'!$B$8*(L382+K382)))</f>
        <v>0</v>
      </c>
      <c r="N382" s="18">
        <f>IF($A382&gt;'1-Input'!$B$26,L382,L382-MIN(MAX(L382,0),'P-Parametri'!$B$8*(L382+K382)))</f>
        <v>-272222.10824541003</v>
      </c>
      <c r="O382" s="18">
        <f>IF($A382&gt;'1-Input'!$B$26,O381,O381-J382*(1-I382))</f>
        <v>-223974.11363847679</v>
      </c>
      <c r="P382" s="11">
        <f>IF($A382&gt;'1-Input'!$B$26,0,IF(U381&lt;=0,0,MAX(0,(U381-V381)/U381)))</f>
        <v>0</v>
      </c>
      <c r="Q382" s="18">
        <f>IF($A382&gt;'1-Input'!$B$26,0,(MAX(0,P341-IF($A382&gt;='1-Input'!$C$12,'1-Input'!$B$12,0))-MIN(MAX(T381,0),MAX(0,P341-IF($A382&gt;='1-Input'!$C$12,'1-Input'!$B$12,0))))*(1/(1-'P-Parametri'!$B$6*P382))+MIN(MAX(0,U381-(MAX(0,P341-IF($A382&gt;='1-Input'!$C$12,'1-Input'!$B$12,0))-MIN(MAX(T381,0),MAX(0,P341-IF($A382&gt;='1-Input'!$C$12,'1-Input'!$B$12,0))))*(1/(1-'P-Parametri'!$B$6*P382))),MAX(0,5*P341-(T381-MIN(MAX(T381,0),MAX(0,P341-IF($A382&gt;='1-Input'!$C$12,'1-Input'!$B$12,0)))))*(1/(1-'P-Parametri'!$B$6*P382))))</f>
        <v>0</v>
      </c>
      <c r="R382" s="18">
        <f>IF($A382&gt;'1-Input'!$B$26,T381,(T381-MAX(0,P341-IF($A382&gt;='1-Input'!$C$12,'1-Input'!$B$12,0))+Q382*(1-'P-Parametri'!$B$6*P382))*(1+'1-Input'!$B$27))</f>
        <v>25017.383499773485</v>
      </c>
      <c r="S382" s="18">
        <f>IF($A382&gt;'1-Input'!$B$26,U381,(U381-Q382)*(1+$B$4))</f>
        <v>0</v>
      </c>
      <c r="T382" s="18">
        <f>IF($A382&gt;'1-Input'!$B$26,R382,R382-'P-Parametri'!$B$8*(S382+R382)+MIN(MAX(S382,0),'P-Parametri'!$B$8*(S382+R382)))</f>
        <v>24967.348732773939</v>
      </c>
      <c r="U382" s="18">
        <f>IF($A382&gt;'1-Input'!$B$26,S382,S382-MIN(MAX(S382,0),'P-Parametri'!$B$8*(S382+R382)))</f>
        <v>0</v>
      </c>
      <c r="V382" s="18">
        <f>IF($A382&gt;'1-Input'!$B$26,V381,V381-Q382*(1-P382))</f>
        <v>2.2737367544323206E-13</v>
      </c>
      <c r="W382" s="11">
        <f>IF($A382&gt;'1-Input'!$B$26,0,IF(AB381&lt;=0,0,MAX(0,(AB381-AC381)/AB381)))</f>
        <v>0</v>
      </c>
      <c r="X382" s="18">
        <f>IF($A382&gt;'1-Input'!$B$26,0,(MAX(0,W341-IF($A382&gt;='1-Input'!$C$12,'1-Input'!$B$12,0))-MIN(MAX(AA381,0),MAX(0,W341-IF($A382&gt;='1-Input'!$C$12,'1-Input'!$B$12,0))))*(1/(1-'P-Parametri'!$B$6*W382))+MIN(MAX(0,AB381-(MAX(0,W341-IF($A382&gt;='1-Input'!$C$12,'1-Input'!$B$12,0))-MIN(MAX(AA381,0),MAX(0,W341-IF($A382&gt;='1-Input'!$C$12,'1-Input'!$B$12,0))))*(1/(1-'P-Parametri'!$B$6*W382))),MAX(0,5*W341-(AA381-MIN(MAX(AA381,0),MAX(0,W341-IF($A382&gt;='1-Input'!$C$12,'1-Input'!$B$12,0)))))*(1/(1-'P-Parametri'!$B$6*W382))))</f>
        <v>0</v>
      </c>
      <c r="Y382" s="18">
        <f>IF($A382&gt;'1-Input'!$B$26,AA381,(AA381-MAX(0,W341-IF($A382&gt;='1-Input'!$C$12,'1-Input'!$B$12,0))+X382*(1-'P-Parametri'!$B$6*W382))*(1+'1-Input'!$B$27))</f>
        <v>29096.228326497396</v>
      </c>
      <c r="Z382" s="18">
        <f>IF($A382&gt;'1-Input'!$B$26,AB381,(AB381-X382)*(1+$B$4))</f>
        <v>0</v>
      </c>
      <c r="AA382" s="18">
        <f>IF($A382&gt;'1-Input'!$B$26,Y382,Y382-'P-Parametri'!$B$8*(Z382+Y382)+MIN(MAX(Z382,0),'P-Parametri'!$B$8*(Z382+Y382)))</f>
        <v>29038.0358698444</v>
      </c>
      <c r="AB382" s="18">
        <f>IF($A382&gt;'1-Input'!$B$26,Z382,Z382-MIN(MAX(Z382,0),'P-Parametri'!$B$8*(Z382+Y382)))</f>
        <v>0</v>
      </c>
      <c r="AC382" s="18">
        <f>IF($A382&gt;'1-Input'!$B$26,AC381,AC381-X382*(1-W382))</f>
        <v>-1.1368683772161603E-13</v>
      </c>
      <c r="AD382" s="11">
        <f>IF($A382&gt;'1-Input'!$B$26,0,IF(AI381&lt;=0,0,MAX(0,(AI381-AJ381)/AI381)))</f>
        <v>0</v>
      </c>
      <c r="AE382" s="18">
        <f>IF($A382&gt;'1-Input'!$B$26,0,(MAX(0,AD341-IF($A382&gt;='1-Input'!$C$12,'1-Input'!$B$12,0))-MIN(MAX(AH381,0),MAX(0,AD341-IF($A382&gt;='1-Input'!$C$12,'1-Input'!$B$12,0))))*(1/(1-'P-Parametri'!$B$6*AD382))+MIN(MAX(0,AI381-(MAX(0,AD341-IF($A382&gt;='1-Input'!$C$12,'1-Input'!$B$12,0))-MIN(MAX(AH381,0),MAX(0,AD341-IF($A382&gt;='1-Input'!$C$12,'1-Input'!$B$12,0))))*(1/(1-'P-Parametri'!$B$6*AD382))),MAX(0,5*AD341-(AH381-MIN(MAX(AH381,0),MAX(0,AD341-IF($A382&gt;='1-Input'!$C$12,'1-Input'!$B$12,0)))))*(1/(1-'P-Parametri'!$B$6*AD382))))</f>
        <v>0</v>
      </c>
      <c r="AF382" s="18">
        <f>IF($A382&gt;'1-Input'!$B$26,AH381,(AH381-MAX(0,AD341-IF($A382&gt;='1-Input'!$C$12,'1-Input'!$B$12,0))+AE382*(1-'P-Parametri'!$B$6*AD382))*(1+'1-Input'!$B$27))</f>
        <v>29875.137271605061</v>
      </c>
      <c r="AG382" s="18">
        <f>IF($A382&gt;'1-Input'!$B$26,AI381,(AI381-AE382)*(1+$B$4))</f>
        <v>0</v>
      </c>
      <c r="AH382" s="18">
        <f>IF($A382&gt;'1-Input'!$B$26,AF382,AF382-'P-Parametri'!$B$8*(AG382+AF382)+MIN(MAX(AG382,0),'P-Parametri'!$B$8*(AG382+AF382)))</f>
        <v>29815.386997061851</v>
      </c>
      <c r="AI382" s="18">
        <f>IF($A382&gt;'1-Input'!$B$26,AG382,AG382-MIN(MAX(AG382,0),'P-Parametri'!$B$8*(AG382+AF382)))</f>
        <v>0</v>
      </c>
      <c r="AJ382" s="18">
        <f>IF($A382&gt;'1-Input'!$B$26,AJ381,AJ381-AE382*(1-AD382))</f>
        <v>0</v>
      </c>
      <c r="AK382" s="11">
        <f>IF($A382&gt;'1-Input'!$B$26,0,IF(AP381&lt;=0,0,MAX(0,(AP381-AQ381)/AP381)))</f>
        <v>0</v>
      </c>
      <c r="AL382" s="18">
        <f>IF($A382&gt;'1-Input'!$B$26,0,(MAX(0,AK341-IF($A382&gt;='1-Input'!$C$12,'1-Input'!$B$12,0))-MIN(MAX(AO381,0),MAX(0,AK341-IF($A382&gt;='1-Input'!$C$12,'1-Input'!$B$12,0))))*(1/(1-'P-Parametri'!$B$6*AK382))+MIN(MAX(0,AP381-(MAX(0,AK341-IF($A382&gt;='1-Input'!$C$12,'1-Input'!$B$12,0))-MIN(MAX(AO381,0),MAX(0,AK341-IF($A382&gt;='1-Input'!$C$12,'1-Input'!$B$12,0))))*(1/(1-'P-Parametri'!$B$6*AK382))),MAX(0,5*AK341-(AO381-MIN(MAX(AO381,0),MAX(0,AK341-IF($A382&gt;='1-Input'!$C$12,'1-Input'!$B$12,0)))))*(1/(1-'P-Parametri'!$B$6*AK382))))</f>
        <v>0</v>
      </c>
      <c r="AM382" s="18">
        <f>IF($A382&gt;'1-Input'!$B$26,AO381,(AO381-MAX(0,AK341-IF($A382&gt;='1-Input'!$C$12,'1-Input'!$B$12,0))+AL382*(1-'P-Parametri'!$B$6*AK382))*(1+'1-Input'!$B$27))</f>
        <v>29875.224659737596</v>
      </c>
      <c r="AN382" s="18">
        <f>IF($A382&gt;'1-Input'!$B$26,AP381,(AP381-AL382)*(1+$B$4))</f>
        <v>0</v>
      </c>
      <c r="AO382" s="18">
        <f>IF($A382&gt;'1-Input'!$B$26,AM382,AM382-'P-Parametri'!$B$8*(AN382+AM382)+MIN(MAX(AN382,0),'P-Parametri'!$B$8*(AN382+AM382)))</f>
        <v>29815.47421041812</v>
      </c>
      <c r="AP382" s="18">
        <f>IF($A382&gt;'1-Input'!$B$26,AN382,AN382-MIN(MAX(AN382,0),'P-Parametri'!$B$8*(AN382+AM382)))</f>
        <v>0</v>
      </c>
      <c r="AQ382" s="18">
        <f>IF($A382&gt;'1-Input'!$B$26,AQ381,AQ381-AL382*(1-AK382))</f>
        <v>0</v>
      </c>
    </row>
    <row r="383" spans="1:43">
      <c r="A383" s="10">
        <f>40</f>
        <v>40</v>
      </c>
      <c r="B383" s="11">
        <f>IF($A383&gt;'1-Input'!$B$26,0,IF(G382&lt;=0,0,MAX(0,(G382-H382)/G382)))</f>
        <v>0</v>
      </c>
      <c r="C383" s="18">
        <f>IF($A383&gt;'1-Input'!$B$26,0,(MAX(0,B341-IF($A383&gt;='1-Input'!$C$12,'1-Input'!$B$12,0))-MIN(MAX(F382,0),MAX(0,B341-IF($A383&gt;='1-Input'!$C$12,'1-Input'!$B$12,0))))*(1/(1-'P-Parametri'!$B$6*B383))+MIN(MAX(0,G382-(MAX(0,B341-IF($A383&gt;='1-Input'!$C$12,'1-Input'!$B$12,0))-MIN(MAX(F382,0),MAX(0,B341-IF($A383&gt;='1-Input'!$C$12,'1-Input'!$B$12,0))))*(1/(1-'P-Parametri'!$B$6*B383))),MAX(0,5*B341-(F382-MIN(MAX(F382,0),MAX(0,B341-IF($A383&gt;='1-Input'!$C$12,'1-Input'!$B$12,0)))))*(1/(1-'P-Parametri'!$B$6*B383))))</f>
        <v>5579.0553146258026</v>
      </c>
      <c r="D383" s="18">
        <f>IF($A383&gt;'1-Input'!$B$26,F382,(F382-MAX(0,B341-IF($A383&gt;='1-Input'!$C$12,'1-Input'!$B$12,0))+C383*(1-'P-Parametri'!$B$6*B383))*(1+'1-Input'!$B$27))</f>
        <v>0</v>
      </c>
      <c r="E383" s="18">
        <f>IF($A383&gt;'1-Input'!$B$26,G382,(G382-C383)*(1+$B$4))</f>
        <v>-6662.6306906018062</v>
      </c>
      <c r="F383" s="18">
        <f>IF($A383&gt;'1-Input'!$B$26,D383,D383-'P-Parametri'!$B$8*(E383+D383)+MIN(MAX(E383,0),'P-Parametri'!$B$8*(E383+D383)))</f>
        <v>0</v>
      </c>
      <c r="G383" s="18">
        <f>IF($A383&gt;'1-Input'!$B$26,E383,E383-MIN(MAX(E383,0),'P-Parametri'!$B$8*(E383+D383)))</f>
        <v>-6649.3054292206025</v>
      </c>
      <c r="H383" s="18">
        <f>IF($A383&gt;'1-Input'!$B$26,H382,H382-C383*(1-B383))</f>
        <v>-6515.1781077740825</v>
      </c>
      <c r="I383" s="11">
        <f>IF($A383&gt;'1-Input'!$B$26,0,IF(N382&lt;=0,0,MAX(0,(N382-O382)/N382)))</f>
        <v>0</v>
      </c>
      <c r="J383" s="18">
        <f>IF($A383&gt;'1-Input'!$B$26,0,(MAX(0,I341-IF($A383&gt;='1-Input'!$C$12,'1-Input'!$B$12,0))-MIN(MAX(M382,0),MAX(0,I341-IF($A383&gt;='1-Input'!$C$12,'1-Input'!$B$12,0))))*(1/(1-'P-Parametri'!$B$6*I383))+MIN(MAX(0,N382-(MAX(0,I341-IF($A383&gt;='1-Input'!$C$12,'1-Input'!$B$12,0))-MIN(MAX(M382,0),MAX(0,I341-IF($A383&gt;='1-Input'!$C$12,'1-Input'!$B$12,0))))*(1/(1-'P-Parametri'!$B$6*I383))),MAX(0,5*I341-(M382-MIN(MAX(M382,0),MAX(0,I341-IF($A383&gt;='1-Input'!$C$12,'1-Input'!$B$12,0)))))*(1/(1-'P-Parametri'!$B$6*I383))))</f>
        <v>10846.756992928691</v>
      </c>
      <c r="K383" s="18">
        <f>IF($A383&gt;'1-Input'!$B$26,M382,(M382-MAX(0,I341-IF($A383&gt;='1-Input'!$C$12,'1-Input'!$B$12,0))+J383*(1-'P-Parametri'!$B$6*I383))*(1+'1-Input'!$B$27))</f>
        <v>0</v>
      </c>
      <c r="L383" s="18">
        <f>IF($A383&gt;'1-Input'!$B$26,N382,(N382-J383)*(1+$B$4))</f>
        <v>-288730.2425431055</v>
      </c>
      <c r="M383" s="18">
        <f>IF($A383&gt;'1-Input'!$B$26,K383,K383-'P-Parametri'!$B$8*(L383+K383)+MIN(MAX(L383,0),'P-Parametri'!$B$8*(L383+K383)))</f>
        <v>0</v>
      </c>
      <c r="N383" s="18">
        <f>IF($A383&gt;'1-Input'!$B$26,L383,L383-MIN(MAX(L383,0),'P-Parametri'!$B$8*(L383+K383)))</f>
        <v>-288152.78205801931</v>
      </c>
      <c r="O383" s="18">
        <f>IF($A383&gt;'1-Input'!$B$26,O382,O382-J383*(1-I383))</f>
        <v>-234820.87063140547</v>
      </c>
      <c r="P383" s="11">
        <f>IF($A383&gt;'1-Input'!$B$26,0,IF(U382&lt;=0,0,MAX(0,(U382-V382)/U382)))</f>
        <v>0</v>
      </c>
      <c r="Q383" s="18">
        <f>IF($A383&gt;'1-Input'!$B$26,0,(MAX(0,P341-IF($A383&gt;='1-Input'!$C$12,'1-Input'!$B$12,0))-MIN(MAX(T382,0),MAX(0,P341-IF($A383&gt;='1-Input'!$C$12,'1-Input'!$B$12,0))))*(1/(1-'P-Parametri'!$B$6*P383))+MIN(MAX(0,U382-(MAX(0,P341-IF($A383&gt;='1-Input'!$C$12,'1-Input'!$B$12,0))-MIN(MAX(T382,0),MAX(0,P341-IF($A383&gt;='1-Input'!$C$12,'1-Input'!$B$12,0))))*(1/(1-'P-Parametri'!$B$6*P383))),MAX(0,5*P341-(T382-MIN(MAX(T382,0),MAX(0,P341-IF($A383&gt;='1-Input'!$C$12,'1-Input'!$B$12,0)))))*(1/(1-'P-Parametri'!$B$6*P383))))</f>
        <v>0</v>
      </c>
      <c r="R383" s="18">
        <f>IF($A383&gt;'1-Input'!$B$26,T382,(T382-MAX(0,P341-IF($A383&gt;='1-Input'!$C$12,'1-Input'!$B$12,0))+Q383*(1-'P-Parametri'!$B$6*P383))*(1+'1-Input'!$B$27))</f>
        <v>19892.698252637711</v>
      </c>
      <c r="S383" s="18">
        <f>IF($A383&gt;'1-Input'!$B$26,U382,(U382-Q383)*(1+$B$4))</f>
        <v>0</v>
      </c>
      <c r="T383" s="18">
        <f>IF($A383&gt;'1-Input'!$B$26,R383,R383-'P-Parametri'!$B$8*(S383+R383)+MIN(MAX(S383,0),'P-Parametri'!$B$8*(S383+R383)))</f>
        <v>19852.912856132436</v>
      </c>
      <c r="U383" s="18">
        <f>IF($A383&gt;'1-Input'!$B$26,S383,S383-MIN(MAX(S383,0),'P-Parametri'!$B$8*(S383+R383)))</f>
        <v>0</v>
      </c>
      <c r="V383" s="18">
        <f>IF($A383&gt;'1-Input'!$B$26,V382,V382-Q383*(1-P383))</f>
        <v>2.2737367544323206E-13</v>
      </c>
      <c r="W383" s="11">
        <f>IF($A383&gt;'1-Input'!$B$26,0,IF(AB382&lt;=0,0,MAX(0,(AB382-AC382)/AB382)))</f>
        <v>0</v>
      </c>
      <c r="X383" s="18">
        <f>IF($A383&gt;'1-Input'!$B$26,0,(MAX(0,W341-IF($A383&gt;='1-Input'!$C$12,'1-Input'!$B$12,0))-MIN(MAX(AA382,0),MAX(0,W341-IF($A383&gt;='1-Input'!$C$12,'1-Input'!$B$12,0))))*(1/(1-'P-Parametri'!$B$6*W383))+MIN(MAX(0,AB382-(MAX(0,W341-IF($A383&gt;='1-Input'!$C$12,'1-Input'!$B$12,0))-MIN(MAX(AA382,0),MAX(0,W341-IF($A383&gt;='1-Input'!$C$12,'1-Input'!$B$12,0))))*(1/(1-'P-Parametri'!$B$6*W383))),MAX(0,5*W341-(AA382-MIN(MAX(AA382,0),MAX(0,W341-IF($A383&gt;='1-Input'!$C$12,'1-Input'!$B$12,0)))))*(1/(1-'P-Parametri'!$B$6*W383))))</f>
        <v>0</v>
      </c>
      <c r="Y383" s="18">
        <f>IF($A383&gt;'1-Input'!$B$26,AA382,(AA382-MAX(0,W341-IF($A383&gt;='1-Input'!$C$12,'1-Input'!$B$12,0))+X383*(1-'P-Parametri'!$B$6*W383))*(1+'1-Input'!$B$27))</f>
        <v>24034.882089479561</v>
      </c>
      <c r="Z383" s="18">
        <f>IF($A383&gt;'1-Input'!$B$26,AB382,(AB382-X383)*(1+$B$4))</f>
        <v>0</v>
      </c>
      <c r="AA383" s="18">
        <f>IF($A383&gt;'1-Input'!$B$26,Y383,Y383-'P-Parametri'!$B$8*(Z383+Y383)+MIN(MAX(Z383,0),'P-Parametri'!$B$8*(Z383+Y383)))</f>
        <v>23986.812325300602</v>
      </c>
      <c r="AB383" s="18">
        <f>IF($A383&gt;'1-Input'!$B$26,Z383,Z383-MIN(MAX(Z383,0),'P-Parametri'!$B$8*(Z383+Y383)))</f>
        <v>0</v>
      </c>
      <c r="AC383" s="18">
        <f>IF($A383&gt;'1-Input'!$B$26,AC382,AC382-X383*(1-W383))</f>
        <v>-1.1368683772161603E-13</v>
      </c>
      <c r="AD383" s="11">
        <f>IF($A383&gt;'1-Input'!$B$26,0,IF(AI382&lt;=0,0,MAX(0,(AI382-AJ382)/AI382)))</f>
        <v>0</v>
      </c>
      <c r="AE383" s="18">
        <f>IF($A383&gt;'1-Input'!$B$26,0,(MAX(0,AD341-IF($A383&gt;='1-Input'!$C$12,'1-Input'!$B$12,0))-MIN(MAX(AH382,0),MAX(0,AD341-IF($A383&gt;='1-Input'!$C$12,'1-Input'!$B$12,0))))*(1/(1-'P-Parametri'!$B$6*AD383))+MIN(MAX(0,AI382-(MAX(0,AD341-IF($A383&gt;='1-Input'!$C$12,'1-Input'!$B$12,0))-MIN(MAX(AH382,0),MAX(0,AD341-IF($A383&gt;='1-Input'!$C$12,'1-Input'!$B$12,0))))*(1/(1-'P-Parametri'!$B$6*AD383))),MAX(0,5*AD341-(AH382-MIN(MAX(AH382,0),MAX(0,AD341-IF($A383&gt;='1-Input'!$C$12,'1-Input'!$B$12,0)))))*(1/(1-'P-Parametri'!$B$6*AD383))))</f>
        <v>0</v>
      </c>
      <c r="AF383" s="18">
        <f>IF($A383&gt;'1-Input'!$B$26,AH382,(AH382-MAX(0,AD341-IF($A383&gt;='1-Input'!$C$12,'1-Input'!$B$12,0))+AE383*(1-'P-Parametri'!$B$6*AD383))*(1+'1-Input'!$B$27))</f>
        <v>24825.857049156712</v>
      </c>
      <c r="AG383" s="18">
        <f>IF($A383&gt;'1-Input'!$B$26,AI382,(AI382-AE383)*(1+$B$4))</f>
        <v>0</v>
      </c>
      <c r="AH383" s="18">
        <f>IF($A383&gt;'1-Input'!$B$26,AF383,AF383-'P-Parametri'!$B$8*(AG383+AF383)+MIN(MAX(AG383,0),'P-Parametri'!$B$8*(AG383+AF383)))</f>
        <v>24776.205335058399</v>
      </c>
      <c r="AI383" s="18">
        <f>IF($A383&gt;'1-Input'!$B$26,AG383,AG383-MIN(MAX(AG383,0),'P-Parametri'!$B$8*(AG383+AF383)))</f>
        <v>0</v>
      </c>
      <c r="AJ383" s="18">
        <f>IF($A383&gt;'1-Input'!$B$26,AJ382,AJ382-AE383*(1-AD383))</f>
        <v>0</v>
      </c>
      <c r="AK383" s="11">
        <f>IF($A383&gt;'1-Input'!$B$26,0,IF(AP382&lt;=0,0,MAX(0,(AP382-AQ382)/AP382)))</f>
        <v>0</v>
      </c>
      <c r="AL383" s="18">
        <f>IF($A383&gt;'1-Input'!$B$26,0,(MAX(0,AK341-IF($A383&gt;='1-Input'!$C$12,'1-Input'!$B$12,0))-MIN(MAX(AO382,0),MAX(0,AK341-IF($A383&gt;='1-Input'!$C$12,'1-Input'!$B$12,0))))*(1/(1-'P-Parametri'!$B$6*AK383))+MIN(MAX(0,AP382-(MAX(0,AK341-IF($A383&gt;='1-Input'!$C$12,'1-Input'!$B$12,0))-MIN(MAX(AO382,0),MAX(0,AK341-IF($A383&gt;='1-Input'!$C$12,'1-Input'!$B$12,0))))*(1/(1-'P-Parametri'!$B$6*AK383))),MAX(0,5*AK341-(AO382-MIN(MAX(AO382,0),MAX(0,AK341-IF($A383&gt;='1-Input'!$C$12,'1-Input'!$B$12,0)))))*(1/(1-'P-Parametri'!$B$6*AK383))))</f>
        <v>0</v>
      </c>
      <c r="AM383" s="18">
        <f>IF($A383&gt;'1-Input'!$B$26,AO382,(AO382-MAX(0,AK341-IF($A383&gt;='1-Input'!$C$12,'1-Input'!$B$12,0))+AL383*(1-'P-Parametri'!$B$6*AK383))*(1+'1-Input'!$B$27))</f>
        <v>24825.945790993617</v>
      </c>
      <c r="AN383" s="18">
        <f>IF($A383&gt;'1-Input'!$B$26,AP382,(AP382-AL383)*(1+$B$4))</f>
        <v>0</v>
      </c>
      <c r="AO383" s="18">
        <f>IF($A383&gt;'1-Input'!$B$26,AM383,AM383-'P-Parametri'!$B$8*(AN383+AM383)+MIN(MAX(AN383,0),'P-Parametri'!$B$8*(AN383+AM383)))</f>
        <v>24776.29389941163</v>
      </c>
      <c r="AP383" s="18">
        <f>IF($A383&gt;'1-Input'!$B$26,AN383,AN383-MIN(MAX(AN383,0),'P-Parametri'!$B$8*(AN383+AM383)))</f>
        <v>0</v>
      </c>
      <c r="AQ383" s="18">
        <f>IF($A383&gt;'1-Input'!$B$26,AQ382,AQ382-AL383*(1-AK383))</f>
        <v>0</v>
      </c>
    </row>
    <row r="384" spans="1:43">
      <c r="A384" s="10">
        <f>41</f>
        <v>41</v>
      </c>
      <c r="B384" s="11">
        <f>IF($A384&gt;'1-Input'!$B$26,0,IF(G383&lt;=0,0,MAX(0,(G383-H383)/G383)))</f>
        <v>0</v>
      </c>
      <c r="C384" s="18">
        <f>IF($A384&gt;'1-Input'!$B$26,0,(MAX(0,B341-IF($A384&gt;='1-Input'!$C$12,'1-Input'!$B$12,0))-MIN(MAX(F383,0),MAX(0,B341-IF($A384&gt;='1-Input'!$C$12,'1-Input'!$B$12,0))))*(1/(1-'P-Parametri'!$B$6*B384))+MIN(MAX(0,G383-(MAX(0,B341-IF($A384&gt;='1-Input'!$C$12,'1-Input'!$B$12,0))-MIN(MAX(F383,0),MAX(0,B341-IF($A384&gt;='1-Input'!$C$12,'1-Input'!$B$12,0))))*(1/(1-'P-Parametri'!$B$6*B384))),MAX(0,5*B341-(F383-MIN(MAX(F383,0),MAX(0,B341-IF($A384&gt;='1-Input'!$C$12,'1-Input'!$B$12,0)))))*(1/(1-'P-Parametri'!$B$6*B384))))</f>
        <v>5579.0553146258026</v>
      </c>
      <c r="D384" s="18">
        <f>IF($A384&gt;'1-Input'!$B$26,F383,(F383-MAX(0,B341-IF($A384&gt;='1-Input'!$C$12,'1-Input'!$B$12,0))+C384*(1-'P-Parametri'!$B$6*B384))*(1+'1-Input'!$B$27))</f>
        <v>0</v>
      </c>
      <c r="E384" s="18">
        <f>IF($A384&gt;'1-Input'!$B$26,G383,(G383-C384)*(1+$B$4))</f>
        <v>-12472.927958723334</v>
      </c>
      <c r="F384" s="18">
        <f>IF($A384&gt;'1-Input'!$B$26,D384,D384-'P-Parametri'!$B$8*(E384+D384)+MIN(MAX(E384,0),'P-Parametri'!$B$8*(E384+D384)))</f>
        <v>0</v>
      </c>
      <c r="G384" s="18">
        <f>IF($A384&gt;'1-Input'!$B$26,E384,E384-MIN(MAX(E384,0),'P-Parametri'!$B$8*(E384+D384)))</f>
        <v>-12447.982102805887</v>
      </c>
      <c r="H384" s="18">
        <f>IF($A384&gt;'1-Input'!$B$26,H383,H383-C384*(1-B384))</f>
        <v>-12094.233422399884</v>
      </c>
      <c r="I384" s="11">
        <f>IF($A384&gt;'1-Input'!$B$26,0,IF(N383&lt;=0,0,MAX(0,(N383-O383)/N383)))</f>
        <v>0</v>
      </c>
      <c r="J384" s="18">
        <f>IF($A384&gt;'1-Input'!$B$26,0,(MAX(0,I341-IF($A384&gt;='1-Input'!$C$12,'1-Input'!$B$12,0))-MIN(MAX(M383,0),MAX(0,I341-IF($A384&gt;='1-Input'!$C$12,'1-Input'!$B$12,0))))*(1/(1-'P-Parametri'!$B$6*I384))+MIN(MAX(0,N383-(MAX(0,I341-IF($A384&gt;='1-Input'!$C$12,'1-Input'!$B$12,0))-MIN(MAX(M383,0),MAX(0,I341-IF($A384&gt;='1-Input'!$C$12,'1-Input'!$B$12,0))))*(1/(1-'P-Parametri'!$B$6*I384))),MAX(0,5*I341-(M383-MIN(MAX(M383,0),MAX(0,I341-IF($A384&gt;='1-Input'!$C$12,'1-Input'!$B$12,0)))))*(1/(1-'P-Parametri'!$B$6*I384))))</f>
        <v>10846.756992928691</v>
      </c>
      <c r="K384" s="18">
        <f>IF($A384&gt;'1-Input'!$B$26,M383,(M383-MAX(0,I341-IF($A384&gt;='1-Input'!$C$12,'1-Input'!$B$12,0))+J384*(1-'P-Parametri'!$B$6*I384))*(1+'1-Input'!$B$27))</f>
        <v>0</v>
      </c>
      <c r="L384" s="18">
        <f>IF($A384&gt;'1-Input'!$B$26,N383,(N383-J384)*(1+$B$4))</f>
        <v>-304979.52983196697</v>
      </c>
      <c r="M384" s="18">
        <f>IF($A384&gt;'1-Input'!$B$26,K384,K384-'P-Parametri'!$B$8*(L384+K384)+MIN(MAX(L384,0),'P-Parametri'!$B$8*(L384+K384)))</f>
        <v>0</v>
      </c>
      <c r="N384" s="18">
        <f>IF($A384&gt;'1-Input'!$B$26,L384,L384-MIN(MAX(L384,0),'P-Parametri'!$B$8*(L384+K384)))</f>
        <v>-304369.57077230304</v>
      </c>
      <c r="O384" s="18">
        <f>IF($A384&gt;'1-Input'!$B$26,O383,O383-J384*(1-I384))</f>
        <v>-245667.62762433416</v>
      </c>
      <c r="P384" s="11">
        <f>IF($A384&gt;'1-Input'!$B$26,0,IF(U383&lt;=0,0,MAX(0,(U383-V383)/U383)))</f>
        <v>0</v>
      </c>
      <c r="Q384" s="18">
        <f>IF($A384&gt;'1-Input'!$B$26,0,(MAX(0,P341-IF($A384&gt;='1-Input'!$C$12,'1-Input'!$B$12,0))-MIN(MAX(T383,0),MAX(0,P341-IF($A384&gt;='1-Input'!$C$12,'1-Input'!$B$12,0))))*(1/(1-'P-Parametri'!$B$6*P384))+MIN(MAX(0,U383-(MAX(0,P341-IF($A384&gt;='1-Input'!$C$12,'1-Input'!$B$12,0))-MIN(MAX(T383,0),MAX(0,P341-IF($A384&gt;='1-Input'!$C$12,'1-Input'!$B$12,0))))*(1/(1-'P-Parametri'!$B$6*P384))),MAX(0,5*P341-(T383-MIN(MAX(T383,0),MAX(0,P341-IF($A384&gt;='1-Input'!$C$12,'1-Input'!$B$12,0)))))*(1/(1-'P-Parametri'!$B$6*P384))))</f>
        <v>0</v>
      </c>
      <c r="R384" s="18">
        <f>IF($A384&gt;'1-Input'!$B$26,T383,(T383-MAX(0,P341-IF($A384&gt;='1-Input'!$C$12,'1-Input'!$B$12,0))+Q384*(1-'P-Parametri'!$B$6*P384))*(1+'1-Input'!$B$27))</f>
        <v>14796.674345152116</v>
      </c>
      <c r="S384" s="18">
        <f>IF($A384&gt;'1-Input'!$B$26,U383,(U383-Q384)*(1+$B$4))</f>
        <v>0</v>
      </c>
      <c r="T384" s="18">
        <f>IF($A384&gt;'1-Input'!$B$26,R384,R384-'P-Parametri'!$B$8*(S384+R384)+MIN(MAX(S384,0),'P-Parametri'!$B$8*(S384+R384)))</f>
        <v>14767.080996461811</v>
      </c>
      <c r="U384" s="18">
        <f>IF($A384&gt;'1-Input'!$B$26,S384,S384-MIN(MAX(S384,0),'P-Parametri'!$B$8*(S384+R384)))</f>
        <v>0</v>
      </c>
      <c r="V384" s="18">
        <f>IF($A384&gt;'1-Input'!$B$26,V383,V383-Q384*(1-P384))</f>
        <v>2.2737367544323206E-13</v>
      </c>
      <c r="W384" s="11">
        <f>IF($A384&gt;'1-Input'!$B$26,0,IF(AB383&lt;=0,0,MAX(0,(AB383-AC383)/AB383)))</f>
        <v>0</v>
      </c>
      <c r="X384" s="18">
        <f>IF($A384&gt;'1-Input'!$B$26,0,(MAX(0,W341-IF($A384&gt;='1-Input'!$C$12,'1-Input'!$B$12,0))-MIN(MAX(AA383,0),MAX(0,W341-IF($A384&gt;='1-Input'!$C$12,'1-Input'!$B$12,0))))*(1/(1-'P-Parametri'!$B$6*W384))+MIN(MAX(0,AB383-(MAX(0,W341-IF($A384&gt;='1-Input'!$C$12,'1-Input'!$B$12,0))-MIN(MAX(AA383,0),MAX(0,W341-IF($A384&gt;='1-Input'!$C$12,'1-Input'!$B$12,0))))*(1/(1-'P-Parametri'!$B$6*W384))),MAX(0,5*W341-(AA383-MIN(MAX(AA383,0),MAX(0,W341-IF($A384&gt;='1-Input'!$C$12,'1-Input'!$B$12,0)))))*(1/(1-'P-Parametri'!$B$6*W384))))</f>
        <v>0</v>
      </c>
      <c r="Y384" s="18">
        <f>IF($A384&gt;'1-Input'!$B$26,AA383,(AA383-MAX(0,W341-IF($A384&gt;='1-Input'!$C$12,'1-Input'!$B$12,0))+X384*(1-'P-Parametri'!$B$6*W384))*(1+'1-Input'!$B$27))</f>
        <v>19001.842949696122</v>
      </c>
      <c r="Z384" s="18">
        <f>IF($A384&gt;'1-Input'!$B$26,AB383,(AB383-X384)*(1+$B$4))</f>
        <v>0</v>
      </c>
      <c r="AA384" s="18">
        <f>IF($A384&gt;'1-Input'!$B$26,Y384,Y384-'P-Parametri'!$B$8*(Z384+Y384)+MIN(MAX(Z384,0),'P-Parametri'!$B$8*(Z384+Y384)))</f>
        <v>18963.83926379673</v>
      </c>
      <c r="AB384" s="18">
        <f>IF($A384&gt;'1-Input'!$B$26,Z384,Z384-MIN(MAX(Z384,0),'P-Parametri'!$B$8*(Z384+Y384)))</f>
        <v>0</v>
      </c>
      <c r="AC384" s="18">
        <f>IF($A384&gt;'1-Input'!$B$26,AC383,AC383-X384*(1-W384))</f>
        <v>-1.1368683772161603E-13</v>
      </c>
      <c r="AD384" s="11">
        <f>IF($A384&gt;'1-Input'!$B$26,0,IF(AI383&lt;=0,0,MAX(0,(AI383-AJ383)/AI383)))</f>
        <v>0</v>
      </c>
      <c r="AE384" s="18">
        <f>IF($A384&gt;'1-Input'!$B$26,0,(MAX(0,AD341-IF($A384&gt;='1-Input'!$C$12,'1-Input'!$B$12,0))-MIN(MAX(AH383,0),MAX(0,AD341-IF($A384&gt;='1-Input'!$C$12,'1-Input'!$B$12,0))))*(1/(1-'P-Parametri'!$B$6*AD384))+MIN(MAX(0,AI383-(MAX(0,AD341-IF($A384&gt;='1-Input'!$C$12,'1-Input'!$B$12,0))-MIN(MAX(AH383,0),MAX(0,AD341-IF($A384&gt;='1-Input'!$C$12,'1-Input'!$B$12,0))))*(1/(1-'P-Parametri'!$B$6*AD384))),MAX(0,5*AD341-(AH383-MIN(MAX(AH383,0),MAX(0,AD341-IF($A384&gt;='1-Input'!$C$12,'1-Input'!$B$12,0)))))*(1/(1-'P-Parametri'!$B$6*AD384))))</f>
        <v>0</v>
      </c>
      <c r="AF384" s="18">
        <f>IF($A384&gt;'1-Input'!$B$26,AH383,(AH383-MAX(0,AD341-IF($A384&gt;='1-Input'!$C$12,'1-Input'!$B$12,0))+AE384*(1-'P-Parametri'!$B$6*AD384))*(1+'1-Input'!$B$27))</f>
        <v>19804.816441136474</v>
      </c>
      <c r="AG384" s="18">
        <f>IF($A384&gt;'1-Input'!$B$26,AI383,(AI383-AE384)*(1+$B$4))</f>
        <v>0</v>
      </c>
      <c r="AH384" s="18">
        <f>IF($A384&gt;'1-Input'!$B$26,AF384,AF384-'P-Parametri'!$B$8*(AG384+AF384)+MIN(MAX(AG384,0),'P-Parametri'!$B$8*(AG384+AF384)))</f>
        <v>19765.206808254203</v>
      </c>
      <c r="AI384" s="18">
        <f>IF($A384&gt;'1-Input'!$B$26,AG384,AG384-MIN(MAX(AG384,0),'P-Parametri'!$B$8*(AG384+AF384)))</f>
        <v>0</v>
      </c>
      <c r="AJ384" s="18">
        <f>IF($A384&gt;'1-Input'!$B$26,AJ383,AJ383-AE384*(1-AD384))</f>
        <v>0</v>
      </c>
      <c r="AK384" s="11">
        <f>IF($A384&gt;'1-Input'!$B$26,0,IF(AP383&lt;=0,0,MAX(0,(AP383-AQ383)/AP383)))</f>
        <v>0</v>
      </c>
      <c r="AL384" s="18">
        <f>IF($A384&gt;'1-Input'!$B$26,0,(MAX(0,AK341-IF($A384&gt;='1-Input'!$C$12,'1-Input'!$B$12,0))-MIN(MAX(AO383,0),MAX(0,AK341-IF($A384&gt;='1-Input'!$C$12,'1-Input'!$B$12,0))))*(1/(1-'P-Parametri'!$B$6*AK384))+MIN(MAX(0,AP383-(MAX(0,AK341-IF($A384&gt;='1-Input'!$C$12,'1-Input'!$B$12,0))-MIN(MAX(AO383,0),MAX(0,AK341-IF($A384&gt;='1-Input'!$C$12,'1-Input'!$B$12,0))))*(1/(1-'P-Parametri'!$B$6*AK384))),MAX(0,5*AK341-(AO383-MIN(MAX(AO383,0),MAX(0,AK341-IF($A384&gt;='1-Input'!$C$12,'1-Input'!$B$12,0)))))*(1/(1-'P-Parametri'!$B$6*AK384))))</f>
        <v>0</v>
      </c>
      <c r="AM384" s="18">
        <f>IF($A384&gt;'1-Input'!$B$26,AO383,(AO383-MAX(0,AK341-IF($A384&gt;='1-Input'!$C$12,'1-Input'!$B$12,0))+AL384*(1-'P-Parametri'!$B$6*AK384))*(1+'1-Input'!$B$27))</f>
        <v>19804.906529106745</v>
      </c>
      <c r="AN384" s="18">
        <f>IF($A384&gt;'1-Input'!$B$26,AP383,(AP383-AL384)*(1+$B$4))</f>
        <v>0</v>
      </c>
      <c r="AO384" s="18">
        <f>IF($A384&gt;'1-Input'!$B$26,AM384,AM384-'P-Parametri'!$B$8*(AN384+AM384)+MIN(MAX(AN384,0),'P-Parametri'!$B$8*(AN384+AM384)))</f>
        <v>19765.296716048531</v>
      </c>
      <c r="AP384" s="18">
        <f>IF($A384&gt;'1-Input'!$B$26,AN384,AN384-MIN(MAX(AN384,0),'P-Parametri'!$B$8*(AN384+AM384)))</f>
        <v>0</v>
      </c>
      <c r="AQ384" s="18">
        <f>IF($A384&gt;'1-Input'!$B$26,AQ383,AQ383-AL384*(1-AK384))</f>
        <v>0</v>
      </c>
    </row>
    <row r="385" spans="1:43">
      <c r="A385" s="10">
        <f>42</f>
        <v>42</v>
      </c>
      <c r="B385" s="11">
        <f>IF($A385&gt;'1-Input'!$B$26,0,IF(G384&lt;=0,0,MAX(0,(G384-H384)/G384)))</f>
        <v>0</v>
      </c>
      <c r="C385" s="18">
        <f>IF($A385&gt;'1-Input'!$B$26,0,(MAX(0,B341-IF($A385&gt;='1-Input'!$C$12,'1-Input'!$B$12,0))-MIN(MAX(F384,0),MAX(0,B341-IF($A385&gt;='1-Input'!$C$12,'1-Input'!$B$12,0))))*(1/(1-'P-Parametri'!$B$6*B385))+MIN(MAX(0,G384-(MAX(0,B341-IF($A385&gt;='1-Input'!$C$12,'1-Input'!$B$12,0))-MIN(MAX(F384,0),MAX(0,B341-IF($A385&gt;='1-Input'!$C$12,'1-Input'!$B$12,0))))*(1/(1-'P-Parametri'!$B$6*B385))),MAX(0,5*B341-(F384-MIN(MAX(F384,0),MAX(0,B341-IF($A385&gt;='1-Input'!$C$12,'1-Input'!$B$12,0)))))*(1/(1-'P-Parametri'!$B$6*B385))))</f>
        <v>5579.0553146258026</v>
      </c>
      <c r="D385" s="18">
        <f>IF($A385&gt;'1-Input'!$B$26,F384,(F384-MAX(0,B341-IF($A385&gt;='1-Input'!$C$12,'1-Input'!$B$12,0))+C385*(1-'P-Parametri'!$B$6*B385))*(1+'1-Input'!$B$27))</f>
        <v>0</v>
      </c>
      <c r="E385" s="18">
        <f>IF($A385&gt;'1-Input'!$B$26,G384,(G384-C385)*(1+$B$4))</f>
        <v>-18387.578165780324</v>
      </c>
      <c r="F385" s="18">
        <f>IF($A385&gt;'1-Input'!$B$26,D385,D385-'P-Parametri'!$B$8*(E385+D385)+MIN(MAX(E385,0),'P-Parametri'!$B$8*(E385+D385)))</f>
        <v>0</v>
      </c>
      <c r="G385" s="18">
        <f>IF($A385&gt;'1-Input'!$B$26,E385,E385-MIN(MAX(E385,0),'P-Parametri'!$B$8*(E385+D385)))</f>
        <v>-18350.803009448762</v>
      </c>
      <c r="H385" s="18">
        <f>IF($A385&gt;'1-Input'!$B$26,H384,H384-C385*(1-B385))</f>
        <v>-17673.288737025687</v>
      </c>
      <c r="I385" s="11">
        <f>IF($A385&gt;'1-Input'!$B$26,0,IF(N384&lt;=0,0,MAX(0,(N384-O384)/N384)))</f>
        <v>0</v>
      </c>
      <c r="J385" s="18">
        <f>IF($A385&gt;'1-Input'!$B$26,0,(MAX(0,I341-IF($A385&gt;='1-Input'!$C$12,'1-Input'!$B$12,0))-MIN(MAX(M384,0),MAX(0,I341-IF($A385&gt;='1-Input'!$C$12,'1-Input'!$B$12,0))))*(1/(1-'P-Parametri'!$B$6*I385))+MIN(MAX(0,N384-(MAX(0,I341-IF($A385&gt;='1-Input'!$C$12,'1-Input'!$B$12,0))-MIN(MAX(M384,0),MAX(0,I341-IF($A385&gt;='1-Input'!$C$12,'1-Input'!$B$12,0))))*(1/(1-'P-Parametri'!$B$6*I385))),MAX(0,5*I341-(M384-MIN(MAX(M384,0),MAX(0,I341-IF($A385&gt;='1-Input'!$C$12,'1-Input'!$B$12,0)))))*(1/(1-'P-Parametri'!$B$6*I385))))</f>
        <v>10846.756992928691</v>
      </c>
      <c r="K385" s="18">
        <f>IF($A385&gt;'1-Input'!$B$26,M384,(M384-MAX(0,I341-IF($A385&gt;='1-Input'!$C$12,'1-Input'!$B$12,0))+J385*(1-'P-Parametri'!$B$6*I385))*(1+'1-Input'!$B$27))</f>
        <v>0</v>
      </c>
      <c r="L385" s="18">
        <f>IF($A385&gt;'1-Input'!$B$26,N384,(N384-J385)*(1+$B$4))</f>
        <v>-321520.65432053636</v>
      </c>
      <c r="M385" s="18">
        <f>IF($A385&gt;'1-Input'!$B$26,K385,K385-'P-Parametri'!$B$8*(L385+K385)+MIN(MAX(L385,0),'P-Parametri'!$B$8*(L385+K385)))</f>
        <v>0</v>
      </c>
      <c r="N385" s="18">
        <f>IF($A385&gt;'1-Input'!$B$26,L385,L385-MIN(MAX(L385,0),'P-Parametri'!$B$8*(L385+K385)))</f>
        <v>-320877.61301189527</v>
      </c>
      <c r="O385" s="18">
        <f>IF($A385&gt;'1-Input'!$B$26,O384,O384-J385*(1-I385))</f>
        <v>-256514.38461726284</v>
      </c>
      <c r="P385" s="11">
        <f>IF($A385&gt;'1-Input'!$B$26,0,IF(U384&lt;=0,0,MAX(0,(U384-V384)/U384)))</f>
        <v>0</v>
      </c>
      <c r="Q385" s="18">
        <f>IF($A385&gt;'1-Input'!$B$26,0,(MAX(0,P341-IF($A385&gt;='1-Input'!$C$12,'1-Input'!$B$12,0))-MIN(MAX(T384,0),MAX(0,P341-IF($A385&gt;='1-Input'!$C$12,'1-Input'!$B$12,0))))*(1/(1-'P-Parametri'!$B$6*P385))+MIN(MAX(0,U384-(MAX(0,P341-IF($A385&gt;='1-Input'!$C$12,'1-Input'!$B$12,0))-MIN(MAX(T384,0),MAX(0,P341-IF($A385&gt;='1-Input'!$C$12,'1-Input'!$B$12,0))))*(1/(1-'P-Parametri'!$B$6*P385))),MAX(0,5*P341-(T384-MIN(MAX(T384,0),MAX(0,P341-IF($A385&gt;='1-Input'!$C$12,'1-Input'!$B$12,0)))))*(1/(1-'P-Parametri'!$B$6*P385))))</f>
        <v>0</v>
      </c>
      <c r="R385" s="18">
        <f>IF($A385&gt;'1-Input'!$B$26,T384,(T384-MAX(0,P341-IF($A385&gt;='1-Input'!$C$12,'1-Input'!$B$12,0))+Q385*(1-'P-Parametri'!$B$6*P385))*(1+'1-Input'!$B$27))</f>
        <v>9729.151480176306</v>
      </c>
      <c r="S385" s="18">
        <f>IF($A385&gt;'1-Input'!$B$26,U384,(U384-Q385)*(1+$B$4))</f>
        <v>0</v>
      </c>
      <c r="T385" s="18">
        <f>IF($A385&gt;'1-Input'!$B$26,R385,R385-'P-Parametri'!$B$8*(S385+R385)+MIN(MAX(S385,0),'P-Parametri'!$B$8*(S385+R385)))</f>
        <v>9709.6931772159533</v>
      </c>
      <c r="U385" s="18">
        <f>IF($A385&gt;'1-Input'!$B$26,S385,S385-MIN(MAX(S385,0),'P-Parametri'!$B$8*(S385+R385)))</f>
        <v>0</v>
      </c>
      <c r="V385" s="18">
        <f>IF($A385&gt;'1-Input'!$B$26,V384,V384-Q385*(1-P385))</f>
        <v>2.2737367544323206E-13</v>
      </c>
      <c r="W385" s="11">
        <f>IF($A385&gt;'1-Input'!$B$26,0,IF(AB384&lt;=0,0,MAX(0,(AB384-AC384)/AB384)))</f>
        <v>0</v>
      </c>
      <c r="X385" s="18">
        <f>IF($A385&gt;'1-Input'!$B$26,0,(MAX(0,W341-IF($A385&gt;='1-Input'!$C$12,'1-Input'!$B$12,0))-MIN(MAX(AA384,0),MAX(0,W341-IF($A385&gt;='1-Input'!$C$12,'1-Input'!$B$12,0))))*(1/(1-'P-Parametri'!$B$6*W385))+MIN(MAX(0,AB384-(MAX(0,W341-IF($A385&gt;='1-Input'!$C$12,'1-Input'!$B$12,0))-MIN(MAX(AA384,0),MAX(0,W341-IF($A385&gt;='1-Input'!$C$12,'1-Input'!$B$12,0))))*(1/(1-'P-Parametri'!$B$6*W385))),MAX(0,5*W341-(AA384-MIN(MAX(AA384,0),MAX(0,W341-IF($A385&gt;='1-Input'!$C$12,'1-Input'!$B$12,0)))))*(1/(1-'P-Parametri'!$B$6*W385))))</f>
        <v>0</v>
      </c>
      <c r="Y385" s="18">
        <f>IF($A385&gt;'1-Input'!$B$26,AA384,(AA384-MAX(0,W341-IF($A385&gt;='1-Input'!$C$12,'1-Input'!$B$12,0))+X385*(1-'P-Parametri'!$B$6*W385))*(1+'1-Input'!$B$27))</f>
        <v>13996.952591213661</v>
      </c>
      <c r="Z385" s="18">
        <f>IF($A385&gt;'1-Input'!$B$26,AB384,(AB384-X385)*(1+$B$4))</f>
        <v>0</v>
      </c>
      <c r="AA385" s="18">
        <f>IF($A385&gt;'1-Input'!$B$26,Y385,Y385-'P-Parametri'!$B$8*(Z385+Y385)+MIN(MAX(Z385,0),'P-Parametri'!$B$8*(Z385+Y385)))</f>
        <v>13968.958686031234</v>
      </c>
      <c r="AB385" s="18">
        <f>IF($A385&gt;'1-Input'!$B$26,Z385,Z385-MIN(MAX(Z385,0),'P-Parametri'!$B$8*(Z385+Y385)))</f>
        <v>0</v>
      </c>
      <c r="AC385" s="18">
        <f>IF($A385&gt;'1-Input'!$B$26,AC384,AC384-X385*(1-W385))</f>
        <v>-1.1368683772161603E-13</v>
      </c>
      <c r="AD385" s="11">
        <f>IF($A385&gt;'1-Input'!$B$26,0,IF(AI384&lt;=0,0,MAX(0,(AI384-AJ384)/AI384)))</f>
        <v>0</v>
      </c>
      <c r="AE385" s="18">
        <f>IF($A385&gt;'1-Input'!$B$26,0,(MAX(0,AD341-IF($A385&gt;='1-Input'!$C$12,'1-Input'!$B$12,0))-MIN(MAX(AH384,0),MAX(0,AD341-IF($A385&gt;='1-Input'!$C$12,'1-Input'!$B$12,0))))*(1/(1-'P-Parametri'!$B$6*AD385))+MIN(MAX(0,AI384-(MAX(0,AD341-IF($A385&gt;='1-Input'!$C$12,'1-Input'!$B$12,0))-MIN(MAX(AH384,0),MAX(0,AD341-IF($A385&gt;='1-Input'!$C$12,'1-Input'!$B$12,0))))*(1/(1-'P-Parametri'!$B$6*AD385))),MAX(0,5*AD341-(AH384-MIN(MAX(AH384,0),MAX(0,AD341-IF($A385&gt;='1-Input'!$C$12,'1-Input'!$B$12,0)))))*(1/(1-'P-Parametri'!$B$6*AD385))))</f>
        <v>0</v>
      </c>
      <c r="AF385" s="18">
        <f>IF($A385&gt;'1-Input'!$B$26,AH384,(AH384-MAX(0,AD341-IF($A385&gt;='1-Input'!$C$12,'1-Input'!$B$12,0))+AE385*(1-'P-Parametri'!$B$6*AD385))*(1+'1-Input'!$B$27))</f>
        <v>14811.85750902877</v>
      </c>
      <c r="AG385" s="18">
        <f>IF($A385&gt;'1-Input'!$B$26,AI384,(AI384-AE385)*(1+$B$4))</f>
        <v>0</v>
      </c>
      <c r="AH385" s="18">
        <f>IF($A385&gt;'1-Input'!$B$26,AF385,AF385-'P-Parametri'!$B$8*(AG385+AF385)+MIN(MAX(AG385,0),'P-Parametri'!$B$8*(AG385+AF385)))</f>
        <v>14782.233794010714</v>
      </c>
      <c r="AI385" s="18">
        <f>IF($A385&gt;'1-Input'!$B$26,AG385,AG385-MIN(MAX(AG385,0),'P-Parametri'!$B$8*(AG385+AF385)))</f>
        <v>0</v>
      </c>
      <c r="AJ385" s="18">
        <f>IF($A385&gt;'1-Input'!$B$26,AJ384,AJ384-AE385*(1-AD385))</f>
        <v>0</v>
      </c>
      <c r="AK385" s="11">
        <f>IF($A385&gt;'1-Input'!$B$26,0,IF(AP384&lt;=0,0,MAX(0,(AP384-AQ384)/AP384)))</f>
        <v>0</v>
      </c>
      <c r="AL385" s="18">
        <f>IF($A385&gt;'1-Input'!$B$26,0,(MAX(0,AK341-IF($A385&gt;='1-Input'!$C$12,'1-Input'!$B$12,0))-MIN(MAX(AO384,0),MAX(0,AK341-IF($A385&gt;='1-Input'!$C$12,'1-Input'!$B$12,0))))*(1/(1-'P-Parametri'!$B$6*AK385))+MIN(MAX(0,AP384-(MAX(0,AK341-IF($A385&gt;='1-Input'!$C$12,'1-Input'!$B$12,0))-MIN(MAX(AO384,0),MAX(0,AK341-IF($A385&gt;='1-Input'!$C$12,'1-Input'!$B$12,0))))*(1/(1-'P-Parametri'!$B$6*AK385))),MAX(0,5*AK341-(AO384-MIN(MAX(AO384,0),MAX(0,AK341-IF($A385&gt;='1-Input'!$C$12,'1-Input'!$B$12,0)))))*(1/(1-'P-Parametri'!$B$6*AK385))))</f>
        <v>0</v>
      </c>
      <c r="AM385" s="18">
        <f>IF($A385&gt;'1-Input'!$B$26,AO384,(AO384-MAX(0,AK341-IF($A385&gt;='1-Input'!$C$12,'1-Input'!$B$12,0))+AL385*(1-'P-Parametri'!$B$6*AK385))*(1+'1-Input'!$B$27))</f>
        <v>14811.948935603757</v>
      </c>
      <c r="AN385" s="18">
        <f>IF($A385&gt;'1-Input'!$B$26,AP384,(AP384-AL385)*(1+$B$4))</f>
        <v>0</v>
      </c>
      <c r="AO385" s="18">
        <f>IF($A385&gt;'1-Input'!$B$26,AM385,AM385-'P-Parametri'!$B$8*(AN385+AM385)+MIN(MAX(AN385,0),'P-Parametri'!$B$8*(AN385+AM385)))</f>
        <v>14782.325037732549</v>
      </c>
      <c r="AP385" s="18">
        <f>IF($A385&gt;'1-Input'!$B$26,AN385,AN385-MIN(MAX(AN385,0),'P-Parametri'!$B$8*(AN385+AM385)))</f>
        <v>0</v>
      </c>
      <c r="AQ385" s="18">
        <f>IF($A385&gt;'1-Input'!$B$26,AQ384,AQ384-AL385*(1-AK385))</f>
        <v>0</v>
      </c>
    </row>
    <row r="386" spans="1:43">
      <c r="A386" s="10">
        <f>43</f>
        <v>43</v>
      </c>
      <c r="B386" s="11">
        <f>IF($A386&gt;'1-Input'!$B$26,0,IF(G385&lt;=0,0,MAX(0,(G385-H385)/G385)))</f>
        <v>0</v>
      </c>
      <c r="C386" s="18">
        <f>IF($A386&gt;'1-Input'!$B$26,0,(MAX(0,B341-IF($A386&gt;='1-Input'!$C$12,'1-Input'!$B$12,0))-MIN(MAX(F385,0),MAX(0,B341-IF($A386&gt;='1-Input'!$C$12,'1-Input'!$B$12,0))))*(1/(1-'P-Parametri'!$B$6*B386))+MIN(MAX(0,G385-(MAX(0,B341-IF($A386&gt;='1-Input'!$C$12,'1-Input'!$B$12,0))-MIN(MAX(F385,0),MAX(0,B341-IF($A386&gt;='1-Input'!$C$12,'1-Input'!$B$12,0))))*(1/(1-'P-Parametri'!$B$6*B386))),MAX(0,5*B341-(F385-MIN(MAX(F385,0),MAX(0,B341-IF($A386&gt;='1-Input'!$C$12,'1-Input'!$B$12,0)))))*(1/(1-'P-Parametri'!$B$6*B386))))</f>
        <v>5579.0553146258026</v>
      </c>
      <c r="D386" s="18">
        <f>IF($A386&gt;'1-Input'!$B$26,F385,(F385-MAX(0,B341-IF($A386&gt;='1-Input'!$C$12,'1-Input'!$B$12,0))+C386*(1-'P-Parametri'!$B$6*B386))*(1+'1-Input'!$B$27))</f>
        <v>0</v>
      </c>
      <c r="E386" s="18">
        <f>IF($A386&gt;'1-Input'!$B$26,G385,(G385-C386)*(1+$B$4))</f>
        <v>-24408.455490556058</v>
      </c>
      <c r="F386" s="18">
        <f>IF($A386&gt;'1-Input'!$B$26,D386,D386-'P-Parametri'!$B$8*(E386+D386)+MIN(MAX(E386,0),'P-Parametri'!$B$8*(E386+D386)))</f>
        <v>0</v>
      </c>
      <c r="G386" s="18">
        <f>IF($A386&gt;'1-Input'!$B$26,E386,E386-MIN(MAX(E386,0),'P-Parametri'!$B$8*(E386+D386)))</f>
        <v>-24359.638579574945</v>
      </c>
      <c r="H386" s="18">
        <f>IF($A386&gt;'1-Input'!$B$26,H385,H385-C386*(1-B386))</f>
        <v>-23252.344051651489</v>
      </c>
      <c r="I386" s="11">
        <f>IF($A386&gt;'1-Input'!$B$26,0,IF(N385&lt;=0,0,MAX(0,(N385-O385)/N385)))</f>
        <v>0</v>
      </c>
      <c r="J386" s="18">
        <f>IF($A386&gt;'1-Input'!$B$26,0,(MAX(0,I341-IF($A386&gt;='1-Input'!$C$12,'1-Input'!$B$12,0))-MIN(MAX(M385,0),MAX(0,I341-IF($A386&gt;='1-Input'!$C$12,'1-Input'!$B$12,0))))*(1/(1-'P-Parametri'!$B$6*I386))+MIN(MAX(0,N385-(MAX(0,I341-IF($A386&gt;='1-Input'!$C$12,'1-Input'!$B$12,0))-MIN(MAX(M385,0),MAX(0,I341-IF($A386&gt;='1-Input'!$C$12,'1-Input'!$B$12,0))))*(1/(1-'P-Parametri'!$B$6*I386))),MAX(0,5*I341-(M385-MIN(MAX(M385,0),MAX(0,I341-IF($A386&gt;='1-Input'!$C$12,'1-Input'!$B$12,0)))))*(1/(1-'P-Parametri'!$B$6*I386))))</f>
        <v>10846.756992928691</v>
      </c>
      <c r="K386" s="18">
        <f>IF($A386&gt;'1-Input'!$B$26,M385,(M385-MAX(0,I341-IF($A386&gt;='1-Input'!$C$12,'1-Input'!$B$12,0))+J386*(1-'P-Parametri'!$B$6*I386))*(1+'1-Input'!$B$27))</f>
        <v>0</v>
      </c>
      <c r="L386" s="18">
        <f>IF($A386&gt;'1-Input'!$B$26,N385,(N385-J386)*(1+$B$4))</f>
        <v>-338358.85740492045</v>
      </c>
      <c r="M386" s="18">
        <f>IF($A386&gt;'1-Input'!$B$26,K386,K386-'P-Parametri'!$B$8*(L386+K386)+MIN(MAX(L386,0),'P-Parametri'!$B$8*(L386+K386)))</f>
        <v>0</v>
      </c>
      <c r="N386" s="18">
        <f>IF($A386&gt;'1-Input'!$B$26,L386,L386-MIN(MAX(L386,0),'P-Parametri'!$B$8*(L386+K386)))</f>
        <v>-337682.13969011063</v>
      </c>
      <c r="O386" s="18">
        <f>IF($A386&gt;'1-Input'!$B$26,O385,O385-J386*(1-I386))</f>
        <v>-267361.14161019155</v>
      </c>
      <c r="P386" s="11">
        <f>IF($A386&gt;'1-Input'!$B$26,0,IF(U385&lt;=0,0,MAX(0,(U385-V385)/U385)))</f>
        <v>0</v>
      </c>
      <c r="Q386" s="18">
        <f>IF($A386&gt;'1-Input'!$B$26,0,(MAX(0,P341-IF($A386&gt;='1-Input'!$C$12,'1-Input'!$B$12,0))-MIN(MAX(T385,0),MAX(0,P341-IF($A386&gt;='1-Input'!$C$12,'1-Input'!$B$12,0))))*(1/(1-'P-Parametri'!$B$6*P386))+MIN(MAX(0,U385-(MAX(0,P341-IF($A386&gt;='1-Input'!$C$12,'1-Input'!$B$12,0))-MIN(MAX(T385,0),MAX(0,P341-IF($A386&gt;='1-Input'!$C$12,'1-Input'!$B$12,0))))*(1/(1-'P-Parametri'!$B$6*P386))),MAX(0,5*P341-(T385-MIN(MAX(T385,0),MAX(0,P341-IF($A386&gt;='1-Input'!$C$12,'1-Input'!$B$12,0)))))*(1/(1-'P-Parametri'!$B$6*P386))))</f>
        <v>0</v>
      </c>
      <c r="R386" s="18">
        <f>IF($A386&gt;'1-Input'!$B$26,T385,(T385-MAX(0,P341-IF($A386&gt;='1-Input'!$C$12,'1-Input'!$B$12,0))+Q386*(1-'P-Parametri'!$B$6*P386))*(1+'1-Input'!$B$27))</f>
        <v>4689.9702570797335</v>
      </c>
      <c r="S386" s="18">
        <f>IF($A386&gt;'1-Input'!$B$26,U385,(U385-Q386)*(1+$B$4))</f>
        <v>0</v>
      </c>
      <c r="T386" s="18">
        <f>IF($A386&gt;'1-Input'!$B$26,R386,R386-'P-Parametri'!$B$8*(S386+R386)+MIN(MAX(S386,0),'P-Parametri'!$B$8*(S386+R386)))</f>
        <v>4680.5903165655736</v>
      </c>
      <c r="U386" s="18">
        <f>IF($A386&gt;'1-Input'!$B$26,S386,S386-MIN(MAX(S386,0),'P-Parametri'!$B$8*(S386+R386)))</f>
        <v>0</v>
      </c>
      <c r="V386" s="18">
        <f>IF($A386&gt;'1-Input'!$B$26,V385,V385-Q386*(1-P386))</f>
        <v>2.2737367544323206E-13</v>
      </c>
      <c r="W386" s="11">
        <f>IF($A386&gt;'1-Input'!$B$26,0,IF(AB385&lt;=0,0,MAX(0,(AB385-AC385)/AB385)))</f>
        <v>0</v>
      </c>
      <c r="X386" s="18">
        <f>IF($A386&gt;'1-Input'!$B$26,0,(MAX(0,W341-IF($A386&gt;='1-Input'!$C$12,'1-Input'!$B$12,0))-MIN(MAX(AA385,0),MAX(0,W341-IF($A386&gt;='1-Input'!$C$12,'1-Input'!$B$12,0))))*(1/(1-'P-Parametri'!$B$6*W386))+MIN(MAX(0,AB385-(MAX(0,W341-IF($A386&gt;='1-Input'!$C$12,'1-Input'!$B$12,0))-MIN(MAX(AA385,0),MAX(0,W341-IF($A386&gt;='1-Input'!$C$12,'1-Input'!$B$12,0))))*(1/(1-'P-Parametri'!$B$6*W386))),MAX(0,5*W341-(AA385-MIN(MAX(AA385,0),MAX(0,W341-IF($A386&gt;='1-Input'!$C$12,'1-Input'!$B$12,0)))))*(1/(1-'P-Parametri'!$B$6*W386))))</f>
        <v>0</v>
      </c>
      <c r="Y386" s="18">
        <f>IF($A386&gt;'1-Input'!$B$26,AA385,(AA385-MAX(0,W341-IF($A386&gt;='1-Input'!$C$12,'1-Input'!$B$12,0))+X386*(1-'P-Parametri'!$B$6*W386))*(1+'1-Input'!$B$27))</f>
        <v>9020.0535835281207</v>
      </c>
      <c r="Z386" s="18">
        <f>IF($A386&gt;'1-Input'!$B$26,AB385,(AB385-X386)*(1+$B$4))</f>
        <v>0</v>
      </c>
      <c r="AA386" s="18">
        <f>IF($A386&gt;'1-Input'!$B$26,Y386,Y386-'P-Parametri'!$B$8*(Z386+Y386)+MIN(MAX(Z386,0),'P-Parametri'!$B$8*(Z386+Y386)))</f>
        <v>9002.013476361064</v>
      </c>
      <c r="AB386" s="18">
        <f>IF($A386&gt;'1-Input'!$B$26,Z386,Z386-MIN(MAX(Z386,0),'P-Parametri'!$B$8*(Z386+Y386)))</f>
        <v>0</v>
      </c>
      <c r="AC386" s="18">
        <f>IF($A386&gt;'1-Input'!$B$26,AC385,AC385-X386*(1-W386))</f>
        <v>-1.1368683772161603E-13</v>
      </c>
      <c r="AD386" s="11">
        <f>IF($A386&gt;'1-Input'!$B$26,0,IF(AI385&lt;=0,0,MAX(0,(AI385-AJ385)/AI385)))</f>
        <v>0</v>
      </c>
      <c r="AE386" s="18">
        <f>IF($A386&gt;'1-Input'!$B$26,0,(MAX(0,AD341-IF($A386&gt;='1-Input'!$C$12,'1-Input'!$B$12,0))-MIN(MAX(AH385,0),MAX(0,AD341-IF($A386&gt;='1-Input'!$C$12,'1-Input'!$B$12,0))))*(1/(1-'P-Parametri'!$B$6*AD386))+MIN(MAX(0,AI385-(MAX(0,AD341-IF($A386&gt;='1-Input'!$C$12,'1-Input'!$B$12,0))-MIN(MAX(AH385,0),MAX(0,AD341-IF($A386&gt;='1-Input'!$C$12,'1-Input'!$B$12,0))))*(1/(1-'P-Parametri'!$B$6*AD386))),MAX(0,5*AD341-(AH385-MIN(MAX(AH385,0),MAX(0,AD341-IF($A386&gt;='1-Input'!$C$12,'1-Input'!$B$12,0)))))*(1/(1-'P-Parametri'!$B$6*AD386))))</f>
        <v>0</v>
      </c>
      <c r="AF386" s="18">
        <f>IF($A386&gt;'1-Input'!$B$26,AH385,(AH385-MAX(0,AD341-IF($A386&gt;='1-Input'!$C$12,'1-Input'!$B$12,0))+AE386*(1-'P-Parametri'!$B$6*AD386))*(1+'1-Input'!$B$27))</f>
        <v>9846.8231976365569</v>
      </c>
      <c r="AG386" s="18">
        <f>IF($A386&gt;'1-Input'!$B$26,AI385,(AI385-AE386)*(1+$B$4))</f>
        <v>0</v>
      </c>
      <c r="AH386" s="18">
        <f>IF($A386&gt;'1-Input'!$B$26,AF386,AF386-'P-Parametri'!$B$8*(AG386+AF386)+MIN(MAX(AG386,0),'P-Parametri'!$B$8*(AG386+AF386)))</f>
        <v>9827.1295512412835</v>
      </c>
      <c r="AI386" s="18">
        <f>IF($A386&gt;'1-Input'!$B$26,AG386,AG386-MIN(MAX(AG386,0),'P-Parametri'!$B$8*(AG386+AF386)))</f>
        <v>0</v>
      </c>
      <c r="AJ386" s="18">
        <f>IF($A386&gt;'1-Input'!$B$26,AJ385,AJ385-AE386*(1-AD386))</f>
        <v>0</v>
      </c>
      <c r="AK386" s="11">
        <f>IF($A386&gt;'1-Input'!$B$26,0,IF(AP385&lt;=0,0,MAX(0,(AP385-AQ385)/AP385)))</f>
        <v>0</v>
      </c>
      <c r="AL386" s="18">
        <f>IF($A386&gt;'1-Input'!$B$26,0,(MAX(0,AK341-IF($A386&gt;='1-Input'!$C$12,'1-Input'!$B$12,0))-MIN(MAX(AO385,0),MAX(0,AK341-IF($A386&gt;='1-Input'!$C$12,'1-Input'!$B$12,0))))*(1/(1-'P-Parametri'!$B$6*AK386))+MIN(MAX(0,AP385-(MAX(0,AK341-IF($A386&gt;='1-Input'!$C$12,'1-Input'!$B$12,0))-MIN(MAX(AO385,0),MAX(0,AK341-IF($A386&gt;='1-Input'!$C$12,'1-Input'!$B$12,0))))*(1/(1-'P-Parametri'!$B$6*AK386))),MAX(0,5*AK341-(AO385-MIN(MAX(AO385,0),MAX(0,AK341-IF($A386&gt;='1-Input'!$C$12,'1-Input'!$B$12,0)))))*(1/(1-'P-Parametri'!$B$6*AK386))))</f>
        <v>0</v>
      </c>
      <c r="AM386" s="18">
        <f>IF($A386&gt;'1-Input'!$B$26,AO385,(AO385-MAX(0,AK341-IF($A386&gt;='1-Input'!$C$12,'1-Input'!$B$12,0))+AL386*(1-'P-Parametri'!$B$6*AK386))*(1+'1-Input'!$B$27))</f>
        <v>9846.9159553297122</v>
      </c>
      <c r="AN386" s="18">
        <f>IF($A386&gt;'1-Input'!$B$26,AP385,(AP385-AL386)*(1+$B$4))</f>
        <v>0</v>
      </c>
      <c r="AO386" s="18">
        <f>IF($A386&gt;'1-Input'!$B$26,AM386,AM386-'P-Parametri'!$B$8*(AN386+AM386)+MIN(MAX(AN386,0),'P-Parametri'!$B$8*(AN386+AM386)))</f>
        <v>9827.2221234190529</v>
      </c>
      <c r="AP386" s="18">
        <f>IF($A386&gt;'1-Input'!$B$26,AN386,AN386-MIN(MAX(AN386,0),'P-Parametri'!$B$8*(AN386+AM386)))</f>
        <v>0</v>
      </c>
      <c r="AQ386" s="18">
        <f>IF($A386&gt;'1-Input'!$B$26,AQ385,AQ385-AL386*(1-AK386))</f>
        <v>0</v>
      </c>
    </row>
    <row r="387" spans="1:43">
      <c r="A387" s="10">
        <f>44</f>
        <v>44</v>
      </c>
      <c r="B387" s="11">
        <f>IF($A387&gt;'1-Input'!$B$26,0,IF(G386&lt;=0,0,MAX(0,(G386-H386)/G386)))</f>
        <v>0</v>
      </c>
      <c r="C387" s="18">
        <f>IF($A387&gt;'1-Input'!$B$26,0,(MAX(0,B341-IF($A387&gt;='1-Input'!$C$12,'1-Input'!$B$12,0))-MIN(MAX(F386,0),MAX(0,B341-IF($A387&gt;='1-Input'!$C$12,'1-Input'!$B$12,0))))*(1/(1-'P-Parametri'!$B$6*B387))+MIN(MAX(0,G386-(MAX(0,B341-IF($A387&gt;='1-Input'!$C$12,'1-Input'!$B$12,0))-MIN(MAX(F386,0),MAX(0,B341-IF($A387&gt;='1-Input'!$C$12,'1-Input'!$B$12,0))))*(1/(1-'P-Parametri'!$B$6*B387))),MAX(0,5*B341-(F386-MIN(MAX(F386,0),MAX(0,B341-IF($A387&gt;='1-Input'!$C$12,'1-Input'!$B$12,0)))))*(1/(1-'P-Parametri'!$B$6*B387))))</f>
        <v>5579.0553146258026</v>
      </c>
      <c r="D387" s="18">
        <f>IF($A387&gt;'1-Input'!$B$26,F386,(F386-MAX(0,B341-IF($A387&gt;='1-Input'!$C$12,'1-Input'!$B$12,0))+C387*(1-'P-Parametri'!$B$6*B387))*(1+'1-Input'!$B$27))</f>
        <v>0</v>
      </c>
      <c r="E387" s="18">
        <f>IF($A387&gt;'1-Input'!$B$26,G386,(G386-C387)*(1+$B$4))</f>
        <v>-30537.467772084761</v>
      </c>
      <c r="F387" s="18">
        <f>IF($A387&gt;'1-Input'!$B$26,D387,D387-'P-Parametri'!$B$8*(E387+D387)+MIN(MAX(E387,0),'P-Parametri'!$B$8*(E387+D387)))</f>
        <v>0</v>
      </c>
      <c r="G387" s="18">
        <f>IF($A387&gt;'1-Input'!$B$26,E387,E387-MIN(MAX(E387,0),'P-Parametri'!$B$8*(E387+D387)))</f>
        <v>-30476.392836540592</v>
      </c>
      <c r="H387" s="18">
        <f>IF($A387&gt;'1-Input'!$B$26,H386,H386-C387*(1-B387))</f>
        <v>-28831.399366277292</v>
      </c>
      <c r="I387" s="11">
        <f>IF($A387&gt;'1-Input'!$B$26,0,IF(N386&lt;=0,0,MAX(0,(N386-O386)/N386)))</f>
        <v>0</v>
      </c>
      <c r="J387" s="18">
        <f>IF($A387&gt;'1-Input'!$B$26,0,(MAX(0,I341-IF($A387&gt;='1-Input'!$C$12,'1-Input'!$B$12,0))-MIN(MAX(M386,0),MAX(0,I341-IF($A387&gt;='1-Input'!$C$12,'1-Input'!$B$12,0))))*(1/(1-'P-Parametri'!$B$6*I387))+MIN(MAX(0,N386-(MAX(0,I341-IF($A387&gt;='1-Input'!$C$12,'1-Input'!$B$12,0))-MIN(MAX(M386,0),MAX(0,I341-IF($A387&gt;='1-Input'!$C$12,'1-Input'!$B$12,0))))*(1/(1-'P-Parametri'!$B$6*I387))),MAX(0,5*I341-(M386-MIN(MAX(M386,0),MAX(0,I341-IF($A387&gt;='1-Input'!$C$12,'1-Input'!$B$12,0)))))*(1/(1-'P-Parametri'!$B$6*I387))))</f>
        <v>10846.756992928691</v>
      </c>
      <c r="K387" s="18">
        <f>IF($A387&gt;'1-Input'!$B$26,M386,(M386-MAX(0,I341-IF($A387&gt;='1-Input'!$C$12,'1-Input'!$B$12,0))+J387*(1-'P-Parametri'!$B$6*I387))*(1+'1-Input'!$B$27))</f>
        <v>0</v>
      </c>
      <c r="L387" s="18">
        <f>IF($A387&gt;'1-Input'!$B$26,N386,(N386-J387)*(1+$B$4))</f>
        <v>-355499.47461670008</v>
      </c>
      <c r="M387" s="18">
        <f>IF($A387&gt;'1-Input'!$B$26,K387,K387-'P-Parametri'!$B$8*(L387+K387)+MIN(MAX(L387,0),'P-Parametri'!$B$8*(L387+K387)))</f>
        <v>0</v>
      </c>
      <c r="N387" s="18">
        <f>IF($A387&gt;'1-Input'!$B$26,L387,L387-MIN(MAX(L387,0),'P-Parametri'!$B$8*(L387+K387)))</f>
        <v>-354788.4756674667</v>
      </c>
      <c r="O387" s="18">
        <f>IF($A387&gt;'1-Input'!$B$26,O386,O386-J387*(1-I387))</f>
        <v>-278207.89860312024</v>
      </c>
      <c r="P387" s="11">
        <f>IF($A387&gt;'1-Input'!$B$26,0,IF(U386&lt;=0,0,MAX(0,(U386-V386)/U386)))</f>
        <v>0</v>
      </c>
      <c r="Q387" s="18">
        <f>IF($A387&gt;'1-Input'!$B$26,0,(MAX(0,P341-IF($A387&gt;='1-Input'!$C$12,'1-Input'!$B$12,0))-MIN(MAX(T386,0),MAX(0,P341-IF($A387&gt;='1-Input'!$C$12,'1-Input'!$B$12,0))))*(1/(1-'P-Parametri'!$B$6*P387))+MIN(MAX(0,U386-(MAX(0,P341-IF($A387&gt;='1-Input'!$C$12,'1-Input'!$B$12,0))-MIN(MAX(T386,0),MAX(0,P341-IF($A387&gt;='1-Input'!$C$12,'1-Input'!$B$12,0))))*(1/(1-'P-Parametri'!$B$6*P387))),MAX(0,5*P341-(T386-MIN(MAX(T386,0),MAX(0,P341-IF($A387&gt;='1-Input'!$C$12,'1-Input'!$B$12,0)))))*(1/(1-'P-Parametri'!$B$6*P387))))</f>
        <v>322.18770902479355</v>
      </c>
      <c r="R387" s="18">
        <f>IF($A387&gt;'1-Input'!$B$26,T386,(T386-MAX(0,P341-IF($A387&gt;='1-Input'!$C$12,'1-Input'!$B$12,0))+Q387*(1-'P-Parametri'!$B$6*P387))*(1+'1-Input'!$B$27))</f>
        <v>0</v>
      </c>
      <c r="S387" s="18">
        <f>IF($A387&gt;'1-Input'!$B$26,U386,(U386-Q387)*(1+$B$4))</f>
        <v>-328.63146320528944</v>
      </c>
      <c r="T387" s="18">
        <f>IF($A387&gt;'1-Input'!$B$26,R387,R387-'P-Parametri'!$B$8*(S387+R387)+MIN(MAX(S387,0),'P-Parametri'!$B$8*(S387+R387)))</f>
        <v>0</v>
      </c>
      <c r="U387" s="18">
        <f>IF($A387&gt;'1-Input'!$B$26,S387,S387-MIN(MAX(S387,0),'P-Parametri'!$B$8*(S387+R387)))</f>
        <v>-327.97420027887887</v>
      </c>
      <c r="V387" s="18">
        <f>IF($A387&gt;'1-Input'!$B$26,V386,V386-Q387*(1-P387))</f>
        <v>-322.18770902479332</v>
      </c>
      <c r="W387" s="11">
        <f>IF($A387&gt;'1-Input'!$B$26,0,IF(AB386&lt;=0,0,MAX(0,(AB386-AC386)/AB386)))</f>
        <v>0</v>
      </c>
      <c r="X387" s="18">
        <f>IF($A387&gt;'1-Input'!$B$26,0,(MAX(0,W341-IF($A387&gt;='1-Input'!$C$12,'1-Input'!$B$12,0))-MIN(MAX(AA386,0),MAX(0,W341-IF($A387&gt;='1-Input'!$C$12,'1-Input'!$B$12,0))))*(1/(1-'P-Parametri'!$B$6*W387))+MIN(MAX(0,AB386-(MAX(0,W341-IF($A387&gt;='1-Input'!$C$12,'1-Input'!$B$12,0))-MIN(MAX(AA386,0),MAX(0,W341-IF($A387&gt;='1-Input'!$C$12,'1-Input'!$B$12,0))))*(1/(1-'P-Parametri'!$B$6*W387))),MAX(0,5*W341-(AA386-MIN(MAX(AA386,0),MAX(0,W341-IF($A387&gt;='1-Input'!$C$12,'1-Input'!$B$12,0)))))*(1/(1-'P-Parametri'!$B$6*W387))))</f>
        <v>0</v>
      </c>
      <c r="Y387" s="18">
        <f>IF($A387&gt;'1-Input'!$B$26,AA386,(AA386-MAX(0,W341-IF($A387&gt;='1-Input'!$C$12,'1-Input'!$B$12,0))+X387*(1-'P-Parametri'!$B$6*W387))*(1+'1-Input'!$B$27))</f>
        <v>4070.9893766127643</v>
      </c>
      <c r="Z387" s="18">
        <f>IF($A387&gt;'1-Input'!$B$26,AB386,(AB386-X387)*(1+$B$4))</f>
        <v>0</v>
      </c>
      <c r="AA387" s="18">
        <f>IF($A387&gt;'1-Input'!$B$26,Y387,Y387-'P-Parametri'!$B$8*(Z387+Y387)+MIN(MAX(Z387,0),'P-Parametri'!$B$8*(Z387+Y387)))</f>
        <v>4062.8473978595389</v>
      </c>
      <c r="AB387" s="18">
        <f>IF($A387&gt;'1-Input'!$B$26,Z387,Z387-MIN(MAX(Z387,0),'P-Parametri'!$B$8*(Z387+Y387)))</f>
        <v>0</v>
      </c>
      <c r="AC387" s="18">
        <f>IF($A387&gt;'1-Input'!$B$26,AC386,AC386-X387*(1-W387))</f>
        <v>-1.1368683772161603E-13</v>
      </c>
      <c r="AD387" s="11">
        <f>IF($A387&gt;'1-Input'!$B$26,0,IF(AI386&lt;=0,0,MAX(0,(AI386-AJ386)/AI386)))</f>
        <v>0</v>
      </c>
      <c r="AE387" s="18">
        <f>IF($A387&gt;'1-Input'!$B$26,0,(MAX(0,AD341-IF($A387&gt;='1-Input'!$C$12,'1-Input'!$B$12,0))-MIN(MAX(AH386,0),MAX(0,AD341-IF($A387&gt;='1-Input'!$C$12,'1-Input'!$B$12,0))))*(1/(1-'P-Parametri'!$B$6*AD387))+MIN(MAX(0,AI386-(MAX(0,AD341-IF($A387&gt;='1-Input'!$C$12,'1-Input'!$B$12,0))-MIN(MAX(AH386,0),MAX(0,AD341-IF($A387&gt;='1-Input'!$C$12,'1-Input'!$B$12,0))))*(1/(1-'P-Parametri'!$B$6*AD387))),MAX(0,5*AD341-(AH386-MIN(MAX(AH386,0),MAX(0,AD341-IF($A387&gt;='1-Input'!$C$12,'1-Input'!$B$12,0)))))*(1/(1-'P-Parametri'!$B$6*AD387))))</f>
        <v>0</v>
      </c>
      <c r="AF387" s="18">
        <f>IF($A387&gt;'1-Input'!$B$26,AH386,(AH386-MAX(0,AD341-IF($A387&gt;='1-Input'!$C$12,'1-Input'!$B$12,0))+AE387*(1-'P-Parametri'!$B$6*AD387))*(1+'1-Input'!$B$27))</f>
        <v>4909.5573301410977</v>
      </c>
      <c r="AG387" s="18">
        <f>IF($A387&gt;'1-Input'!$B$26,AI386,(AI386-AE387)*(1+$B$4))</f>
        <v>0</v>
      </c>
      <c r="AH387" s="18">
        <f>IF($A387&gt;'1-Input'!$B$26,AF387,AF387-'P-Parametri'!$B$8*(AG387+AF387)+MIN(MAX(AG387,0),'P-Parametri'!$B$8*(AG387+AF387)))</f>
        <v>4899.7382154808156</v>
      </c>
      <c r="AI387" s="18">
        <f>IF($A387&gt;'1-Input'!$B$26,AG387,AG387-MIN(MAX(AG387,0),'P-Parametri'!$B$8*(AG387+AF387)))</f>
        <v>0</v>
      </c>
      <c r="AJ387" s="18">
        <f>IF($A387&gt;'1-Input'!$B$26,AJ386,AJ386-AE387*(1-AD387))</f>
        <v>0</v>
      </c>
      <c r="AK387" s="11">
        <f>IF($A387&gt;'1-Input'!$B$26,0,IF(AP386&lt;=0,0,MAX(0,(AP386-AQ386)/AP386)))</f>
        <v>0</v>
      </c>
      <c r="AL387" s="18">
        <f>IF($A387&gt;'1-Input'!$B$26,0,(MAX(0,AK341-IF($A387&gt;='1-Input'!$C$12,'1-Input'!$B$12,0))-MIN(MAX(AO386,0),MAX(0,AK341-IF($A387&gt;='1-Input'!$C$12,'1-Input'!$B$12,0))))*(1/(1-'P-Parametri'!$B$6*AK387))+MIN(MAX(0,AP386-(MAX(0,AK341-IF($A387&gt;='1-Input'!$C$12,'1-Input'!$B$12,0))-MIN(MAX(AO386,0),MAX(0,AK341-IF($A387&gt;='1-Input'!$C$12,'1-Input'!$B$12,0))))*(1/(1-'P-Parametri'!$B$6*AK387))),MAX(0,5*AK341-(AO386-MIN(MAX(AO386,0),MAX(0,AK341-IF($A387&gt;='1-Input'!$C$12,'1-Input'!$B$12,0)))))*(1/(1-'P-Parametri'!$B$6*AK387))))</f>
        <v>0</v>
      </c>
      <c r="AM387" s="18">
        <f>IF($A387&gt;'1-Input'!$B$26,AO386,(AO386-MAX(0,AK341-IF($A387&gt;='1-Input'!$C$12,'1-Input'!$B$12,0))+AL387*(1-'P-Parametri'!$B$6*AK387))*(1+'1-Input'!$B$27))</f>
        <v>4909.6514115077453</v>
      </c>
      <c r="AN387" s="18">
        <f>IF($A387&gt;'1-Input'!$B$26,AP386,(AP386-AL387)*(1+$B$4))</f>
        <v>0</v>
      </c>
      <c r="AO387" s="18">
        <f>IF($A387&gt;'1-Input'!$B$26,AM387,AM387-'P-Parametri'!$B$8*(AN387+AM387)+MIN(MAX(AN387,0),'P-Parametri'!$B$8*(AN387+AM387)))</f>
        <v>4899.83210868473</v>
      </c>
      <c r="AP387" s="18">
        <f>IF($A387&gt;'1-Input'!$B$26,AN387,AN387-MIN(MAX(AN387,0),'P-Parametri'!$B$8*(AN387+AM387)))</f>
        <v>0</v>
      </c>
      <c r="AQ387" s="18">
        <f>IF($A387&gt;'1-Input'!$B$26,AQ386,AQ386-AL387*(1-AK387))</f>
        <v>0</v>
      </c>
    </row>
    <row r="388" spans="1:43">
      <c r="A388" s="10">
        <f>45</f>
        <v>45</v>
      </c>
      <c r="B388" s="11">
        <f>IF($A388&gt;'1-Input'!$B$26,0,IF(G387&lt;=0,0,MAX(0,(G387-H387)/G387)))</f>
        <v>0</v>
      </c>
      <c r="C388" s="18">
        <f>IF($A388&gt;'1-Input'!$B$26,0,(MAX(0,B341-IF($A388&gt;='1-Input'!$C$12,'1-Input'!$B$12,0))-MIN(MAX(F387,0),MAX(0,B341-IF($A388&gt;='1-Input'!$C$12,'1-Input'!$B$12,0))))*(1/(1-'P-Parametri'!$B$6*B388))+MIN(MAX(0,G387-(MAX(0,B341-IF($A388&gt;='1-Input'!$C$12,'1-Input'!$B$12,0))-MIN(MAX(F387,0),MAX(0,B341-IF($A388&gt;='1-Input'!$C$12,'1-Input'!$B$12,0))))*(1/(1-'P-Parametri'!$B$6*B388))),MAX(0,5*B341-(F387-MIN(MAX(F387,0),MAX(0,B341-IF($A388&gt;='1-Input'!$C$12,'1-Input'!$B$12,0)))))*(1/(1-'P-Parametri'!$B$6*B388))))</f>
        <v>5579.0553146258026</v>
      </c>
      <c r="D388" s="18">
        <f>IF($A388&gt;'1-Input'!$B$26,F387,(F387-MAX(0,B341-IF($A388&gt;='1-Input'!$C$12,'1-Input'!$B$12,0))+C388*(1-'P-Parametri'!$B$6*B388))*(1+'1-Input'!$B$27))</f>
        <v>0</v>
      </c>
      <c r="E388" s="18">
        <f>IF($A388&gt;'1-Input'!$B$26,G387,(G387-C388)*(1+$B$4))</f>
        <v>-36776.557114189716</v>
      </c>
      <c r="F388" s="18">
        <f>IF($A388&gt;'1-Input'!$B$26,D388,D388-'P-Parametri'!$B$8*(E388+D388)+MIN(MAX(E388,0),'P-Parametri'!$B$8*(E388+D388)))</f>
        <v>0</v>
      </c>
      <c r="G388" s="18">
        <f>IF($A388&gt;'1-Input'!$B$26,E388,E388-MIN(MAX(E388,0),'P-Parametri'!$B$8*(E388+D388)))</f>
        <v>-36703.003999961336</v>
      </c>
      <c r="H388" s="18">
        <f>IF($A388&gt;'1-Input'!$B$26,H387,H387-C388*(1-B388))</f>
        <v>-34410.454680903094</v>
      </c>
      <c r="I388" s="11">
        <f>IF($A388&gt;'1-Input'!$B$26,0,IF(N387&lt;=0,0,MAX(0,(N387-O387)/N387)))</f>
        <v>0</v>
      </c>
      <c r="J388" s="18">
        <f>IF($A388&gt;'1-Input'!$B$26,0,(MAX(0,I341-IF($A388&gt;='1-Input'!$C$12,'1-Input'!$B$12,0))-MIN(MAX(M387,0),MAX(0,I341-IF($A388&gt;='1-Input'!$C$12,'1-Input'!$B$12,0))))*(1/(1-'P-Parametri'!$B$6*I388))+MIN(MAX(0,N387-(MAX(0,I341-IF($A388&gt;='1-Input'!$C$12,'1-Input'!$B$12,0))-MIN(MAX(M387,0),MAX(0,I341-IF($A388&gt;='1-Input'!$C$12,'1-Input'!$B$12,0))))*(1/(1-'P-Parametri'!$B$6*I388))),MAX(0,5*I341-(M387-MIN(MAX(M387,0),MAX(0,I341-IF($A388&gt;='1-Input'!$C$12,'1-Input'!$B$12,0)))))*(1/(1-'P-Parametri'!$B$6*I388))))</f>
        <v>10846.756992928691</v>
      </c>
      <c r="K388" s="18">
        <f>IF($A388&gt;'1-Input'!$B$26,M387,(M387-MAX(0,I341-IF($A388&gt;='1-Input'!$C$12,'1-Input'!$B$12,0))+J388*(1-'P-Parametri'!$B$6*I388))*(1+'1-Input'!$B$27))</f>
        <v>0</v>
      </c>
      <c r="L388" s="18">
        <f>IF($A388&gt;'1-Input'!$B$26,N387,(N387-J388)*(1+$B$4))</f>
        <v>-372947.9373136033</v>
      </c>
      <c r="M388" s="18">
        <f>IF($A388&gt;'1-Input'!$B$26,K388,K388-'P-Parametri'!$B$8*(L388+K388)+MIN(MAX(L388,0),'P-Parametri'!$B$8*(L388+K388)))</f>
        <v>0</v>
      </c>
      <c r="N388" s="18">
        <f>IF($A388&gt;'1-Input'!$B$26,L388,L388-MIN(MAX(L388,0),'P-Parametri'!$B$8*(L388+K388)))</f>
        <v>-372202.04143897607</v>
      </c>
      <c r="O388" s="18">
        <f>IF($A388&gt;'1-Input'!$B$26,O387,O387-J388*(1-I388))</f>
        <v>-289054.65559604892</v>
      </c>
      <c r="P388" s="11">
        <f>IF($A388&gt;'1-Input'!$B$26,0,IF(U387&lt;=0,0,MAX(0,(U387-V387)/U387)))</f>
        <v>0</v>
      </c>
      <c r="Q388" s="18">
        <f>IF($A388&gt;'1-Input'!$B$26,0,(MAX(0,P341-IF($A388&gt;='1-Input'!$C$12,'1-Input'!$B$12,0))-MIN(MAX(T387,0),MAX(0,P341-IF($A388&gt;='1-Input'!$C$12,'1-Input'!$B$12,0))))*(1/(1-'P-Parametri'!$B$6*P388))+MIN(MAX(0,U387-(MAX(0,P341-IF($A388&gt;='1-Input'!$C$12,'1-Input'!$B$12,0))-MIN(MAX(T387,0),MAX(0,P341-IF($A388&gt;='1-Input'!$C$12,'1-Input'!$B$12,0))))*(1/(1-'P-Parametri'!$B$6*P388))),MAX(0,5*P341-(T387-MIN(MAX(T387,0),MAX(0,P341-IF($A388&gt;='1-Input'!$C$12,'1-Input'!$B$12,0)))))*(1/(1-'P-Parametri'!$B$6*P388))))</f>
        <v>5002.7780255903672</v>
      </c>
      <c r="R388" s="18">
        <f>IF($A388&gt;'1-Input'!$B$26,T387,(T387-MAX(0,P341-IF($A388&gt;='1-Input'!$C$12,'1-Input'!$B$12,0))+Q388*(1-'P-Parametri'!$B$6*P388))*(1+'1-Input'!$B$27))</f>
        <v>0</v>
      </c>
      <c r="S388" s="18">
        <f>IF($A388&gt;'1-Input'!$B$26,U387,(U387-Q388)*(1+$B$4))</f>
        <v>-5437.3672703866314</v>
      </c>
      <c r="T388" s="18">
        <f>IF($A388&gt;'1-Input'!$B$26,R388,R388-'P-Parametri'!$B$8*(S388+R388)+MIN(MAX(S388,0),'P-Parametri'!$B$8*(S388+R388)))</f>
        <v>0</v>
      </c>
      <c r="U388" s="18">
        <f>IF($A388&gt;'1-Input'!$B$26,S388,S388-MIN(MAX(S388,0),'P-Parametri'!$B$8*(S388+R388)))</f>
        <v>-5426.4925358458577</v>
      </c>
      <c r="V388" s="18">
        <f>IF($A388&gt;'1-Input'!$B$26,V387,V387-Q388*(1-P388))</f>
        <v>-5324.9657346151607</v>
      </c>
      <c r="W388" s="11">
        <f>IF($A388&gt;'1-Input'!$B$26,0,IF(AB387&lt;=0,0,MAX(0,(AB387-AC387)/AB387)))</f>
        <v>0</v>
      </c>
      <c r="X388" s="18">
        <f>IF($A388&gt;'1-Input'!$B$26,0,(MAX(0,W341-IF($A388&gt;='1-Input'!$C$12,'1-Input'!$B$12,0))-MIN(MAX(AA387,0),MAX(0,W341-IF($A388&gt;='1-Input'!$C$12,'1-Input'!$B$12,0))))*(1/(1-'P-Parametri'!$B$6*W388))+MIN(MAX(0,AB387-(MAX(0,W341-IF($A388&gt;='1-Input'!$C$12,'1-Input'!$B$12,0))-MIN(MAX(AA387,0),MAX(0,W341-IF($A388&gt;='1-Input'!$C$12,'1-Input'!$B$12,0))))*(1/(1-'P-Parametri'!$B$6*W388))),MAX(0,5*W341-(AA387-MIN(MAX(AA387,0),MAX(0,W341-IF($A388&gt;='1-Input'!$C$12,'1-Input'!$B$12,0)))))*(1/(1-'P-Parametri'!$B$6*W388))))</f>
        <v>853.46818948831287</v>
      </c>
      <c r="Y388" s="18">
        <f>IF($A388&gt;'1-Input'!$B$26,AA387,(AA387-MAX(0,W341-IF($A388&gt;='1-Input'!$C$12,'1-Input'!$B$12,0))+X388*(1-'P-Parametri'!$B$6*W388))*(1+'1-Input'!$B$27))</f>
        <v>0</v>
      </c>
      <c r="Z388" s="18">
        <f>IF($A388&gt;'1-Input'!$B$26,AB387,(AB387-X388)*(1+$B$4))</f>
        <v>-870.53755327807914</v>
      </c>
      <c r="AA388" s="18">
        <f>IF($A388&gt;'1-Input'!$B$26,Y388,Y388-'P-Parametri'!$B$8*(Z388+Y388)+MIN(MAX(Z388,0),'P-Parametri'!$B$8*(Z388+Y388)))</f>
        <v>0</v>
      </c>
      <c r="AB388" s="18">
        <f>IF($A388&gt;'1-Input'!$B$26,Z388,Z388-MIN(MAX(Z388,0),'P-Parametri'!$B$8*(Z388+Y388)))</f>
        <v>-868.79647817152295</v>
      </c>
      <c r="AC388" s="18">
        <f>IF($A388&gt;'1-Input'!$B$26,AC387,AC387-X388*(1-W388))</f>
        <v>-853.46818948831299</v>
      </c>
      <c r="AD388" s="11">
        <f>IF($A388&gt;'1-Input'!$B$26,0,IF(AI387&lt;=0,0,MAX(0,(AI387-AJ387)/AI387)))</f>
        <v>0</v>
      </c>
      <c r="AE388" s="18">
        <f>IF($A388&gt;'1-Input'!$B$26,0,(MAX(0,AD341-IF($A388&gt;='1-Input'!$C$12,'1-Input'!$B$12,0))-MIN(MAX(AH387,0),MAX(0,AD341-IF($A388&gt;='1-Input'!$C$12,'1-Input'!$B$12,0))))*(1/(1-'P-Parametri'!$B$6*AD388))+MIN(MAX(0,AI387-(MAX(0,AD341-IF($A388&gt;='1-Input'!$C$12,'1-Input'!$B$12,0))-MIN(MAX(AH387,0),MAX(0,AD341-IF($A388&gt;='1-Input'!$C$12,'1-Input'!$B$12,0))))*(1/(1-'P-Parametri'!$B$6*AD388))),MAX(0,5*AD341-(AH387-MIN(MAX(AH387,0),MAX(0,AD341-IF($A388&gt;='1-Input'!$C$12,'1-Input'!$B$12,0)))))*(1/(1-'P-Parametri'!$B$6*AD388))))</f>
        <v>9.5741479960452125E-2</v>
      </c>
      <c r="AF388" s="18">
        <f>IF($A388&gt;'1-Input'!$B$26,AH387,(AH387-MAX(0,AD341-IF($A388&gt;='1-Input'!$C$12,'1-Input'!$B$12,0))+AE388*(1-'P-Parametri'!$B$6*AD388))*(1+'1-Input'!$B$27))</f>
        <v>0</v>
      </c>
      <c r="AG388" s="18">
        <f>IF($A388&gt;'1-Input'!$B$26,AI387,(AI387-AE388)*(1+$B$4))</f>
        <v>-9.7656309559661175E-2</v>
      </c>
      <c r="AH388" s="18">
        <f>IF($A388&gt;'1-Input'!$B$26,AF388,AF388-'P-Parametri'!$B$8*(AG388+AF388)+MIN(MAX(AG388,0),'P-Parametri'!$B$8*(AG388+AF388)))</f>
        <v>0</v>
      </c>
      <c r="AI388" s="18">
        <f>IF($A388&gt;'1-Input'!$B$26,AG388,AG388-MIN(MAX(AG388,0),'P-Parametri'!$B$8*(AG388+AF388)))</f>
        <v>-9.7460996940541847E-2</v>
      </c>
      <c r="AJ388" s="18">
        <f>IF($A388&gt;'1-Input'!$B$26,AJ387,AJ387-AE388*(1-AD388))</f>
        <v>-9.5741479960452125E-2</v>
      </c>
      <c r="AK388" s="11">
        <f>IF($A388&gt;'1-Input'!$B$26,0,IF(AP387&lt;=0,0,MAX(0,(AP387-AQ387)/AP387)))</f>
        <v>0</v>
      </c>
      <c r="AL388" s="18">
        <f>IF($A388&gt;'1-Input'!$B$26,0,(MAX(0,AK341-IF($A388&gt;='1-Input'!$C$12,'1-Input'!$B$12,0))-MIN(MAX(AO387,0),MAX(0,AK341-IF($A388&gt;='1-Input'!$C$12,'1-Input'!$B$12,0))))*(1/(1-'P-Parametri'!$B$6*AK388))+MIN(MAX(0,AP387-(MAX(0,AK341-IF($A388&gt;='1-Input'!$C$12,'1-Input'!$B$12,0))-MIN(MAX(AO387,0),MAX(0,AK341-IF($A388&gt;='1-Input'!$C$12,'1-Input'!$B$12,0))))*(1/(1-'P-Parametri'!$B$6*AK388))),MAX(0,5*AK341-(AO387-MIN(MAX(AO387,0),MAX(0,AK341-IF($A388&gt;='1-Input'!$C$12,'1-Input'!$B$12,0)))))*(1/(1-'P-Parametri'!$B$6*AK388))))</f>
        <v>0</v>
      </c>
      <c r="AM388" s="18">
        <f>IF($A388&gt;'1-Input'!$B$26,AO387,(AO387-MAX(0,AK341-IF($A388&gt;='1-Input'!$C$12,'1-Input'!$B$12,0))+AL388*(1-'P-Parametri'!$B$6*AK388))*(1+'1-Input'!$B$27))</f>
        <v>8.2646586524788281E-7</v>
      </c>
      <c r="AN388" s="18">
        <f>IF($A388&gt;'1-Input'!$B$26,AP387,(AP387-AL388)*(1+$B$4))</f>
        <v>0</v>
      </c>
      <c r="AO388" s="18">
        <f>IF($A388&gt;'1-Input'!$B$26,AM388,AM388-'P-Parametri'!$B$8*(AN388+AM388)+MIN(MAX(AN388,0),'P-Parametri'!$B$8*(AN388+AM388)))</f>
        <v>8.2481293351738703E-7</v>
      </c>
      <c r="AP388" s="18">
        <f>IF($A388&gt;'1-Input'!$B$26,AN388,AN388-MIN(MAX(AN388,0),'P-Parametri'!$B$8*(AN388+AM388)))</f>
        <v>0</v>
      </c>
      <c r="AQ388" s="18">
        <f>IF($A388&gt;'1-Input'!$B$26,AQ387,AQ387-AL388*(1-AK388))</f>
        <v>0</v>
      </c>
    </row>
    <row r="389" spans="1:43">
      <c r="A389" s="10">
        <f>46</f>
        <v>46</v>
      </c>
      <c r="B389" s="11">
        <f>IF($A389&gt;'1-Input'!$B$26,0,IF(G388&lt;=0,0,MAX(0,(G388-H388)/G388)))</f>
        <v>0</v>
      </c>
      <c r="C389" s="18">
        <f>IF($A389&gt;'1-Input'!$B$26,0,(MAX(0,B341-IF($A389&gt;='1-Input'!$C$12,'1-Input'!$B$12,0))-MIN(MAX(F388,0),MAX(0,B341-IF($A389&gt;='1-Input'!$C$12,'1-Input'!$B$12,0))))*(1/(1-'P-Parametri'!$B$6*B389))+MIN(MAX(0,G388-(MAX(0,B341-IF($A389&gt;='1-Input'!$C$12,'1-Input'!$B$12,0))-MIN(MAX(F388,0),MAX(0,B341-IF($A389&gt;='1-Input'!$C$12,'1-Input'!$B$12,0))))*(1/(1-'P-Parametri'!$B$6*B389))),MAX(0,5*B341-(F388-MIN(MAX(F388,0),MAX(0,B341-IF($A389&gt;='1-Input'!$C$12,'1-Input'!$B$12,0)))))*(1/(1-'P-Parametri'!$B$6*B389))))</f>
        <v>0</v>
      </c>
      <c r="D389" s="18">
        <f>IF($A389&gt;'1-Input'!$B$26,F388,(F388-MAX(0,B341-IF($A389&gt;='1-Input'!$C$12,'1-Input'!$B$12,0))+C389*(1-'P-Parametri'!$B$6*B389))*(1+'1-Input'!$B$27))</f>
        <v>0</v>
      </c>
      <c r="E389" s="18">
        <f>IF($A389&gt;'1-Input'!$B$26,G388,(G388-C389)*(1+$B$4))</f>
        <v>-36703.003999961336</v>
      </c>
      <c r="F389" s="18">
        <f>IF($A389&gt;'1-Input'!$B$26,D389,D389-'P-Parametri'!$B$8*(E389+D389)+MIN(MAX(E389,0),'P-Parametri'!$B$8*(E389+D389)))</f>
        <v>0</v>
      </c>
      <c r="G389" s="18">
        <f>IF($A389&gt;'1-Input'!$B$26,E389,E389-MIN(MAX(E389,0),'P-Parametri'!$B$8*(E389+D389)))</f>
        <v>-36703.003999961336</v>
      </c>
      <c r="H389" s="18">
        <f>IF($A389&gt;'1-Input'!$B$26,H388,H388-C389*(1-B389))</f>
        <v>-34410.454680903094</v>
      </c>
      <c r="I389" s="11">
        <f>IF($A389&gt;'1-Input'!$B$26,0,IF(N388&lt;=0,0,MAX(0,(N388-O388)/N388)))</f>
        <v>0</v>
      </c>
      <c r="J389" s="18">
        <f>IF($A389&gt;'1-Input'!$B$26,0,(MAX(0,I341-IF($A389&gt;='1-Input'!$C$12,'1-Input'!$B$12,0))-MIN(MAX(M388,0),MAX(0,I341-IF($A389&gt;='1-Input'!$C$12,'1-Input'!$B$12,0))))*(1/(1-'P-Parametri'!$B$6*I389))+MIN(MAX(0,N388-(MAX(0,I341-IF($A389&gt;='1-Input'!$C$12,'1-Input'!$B$12,0))-MIN(MAX(M388,0),MAX(0,I341-IF($A389&gt;='1-Input'!$C$12,'1-Input'!$B$12,0))))*(1/(1-'P-Parametri'!$B$6*I389))),MAX(0,5*I341-(M388-MIN(MAX(M388,0),MAX(0,I341-IF($A389&gt;='1-Input'!$C$12,'1-Input'!$B$12,0)))))*(1/(1-'P-Parametri'!$B$6*I389))))</f>
        <v>0</v>
      </c>
      <c r="K389" s="18">
        <f>IF($A389&gt;'1-Input'!$B$26,M388,(M388-MAX(0,I341-IF($A389&gt;='1-Input'!$C$12,'1-Input'!$B$12,0))+J389*(1-'P-Parametri'!$B$6*I389))*(1+'1-Input'!$B$27))</f>
        <v>0</v>
      </c>
      <c r="L389" s="18">
        <f>IF($A389&gt;'1-Input'!$B$26,N388,(N388-J389)*(1+$B$4))</f>
        <v>-372202.04143897607</v>
      </c>
      <c r="M389" s="18">
        <f>IF($A389&gt;'1-Input'!$B$26,K389,K389-'P-Parametri'!$B$8*(L389+K389)+MIN(MAX(L389,0),'P-Parametri'!$B$8*(L389+K389)))</f>
        <v>0</v>
      </c>
      <c r="N389" s="18">
        <f>IF($A389&gt;'1-Input'!$B$26,L389,L389-MIN(MAX(L389,0),'P-Parametri'!$B$8*(L389+K389)))</f>
        <v>-372202.04143897607</v>
      </c>
      <c r="O389" s="18">
        <f>IF($A389&gt;'1-Input'!$B$26,O388,O388-J389*(1-I389))</f>
        <v>-289054.65559604892</v>
      </c>
      <c r="P389" s="11">
        <f>IF($A389&gt;'1-Input'!$B$26,0,IF(U388&lt;=0,0,MAX(0,(U388-V388)/U388)))</f>
        <v>0</v>
      </c>
      <c r="Q389" s="18">
        <f>IF($A389&gt;'1-Input'!$B$26,0,(MAX(0,P341-IF($A389&gt;='1-Input'!$C$12,'1-Input'!$B$12,0))-MIN(MAX(T388,0),MAX(0,P341-IF($A389&gt;='1-Input'!$C$12,'1-Input'!$B$12,0))))*(1/(1-'P-Parametri'!$B$6*P389))+MIN(MAX(0,U388-(MAX(0,P341-IF($A389&gt;='1-Input'!$C$12,'1-Input'!$B$12,0))-MIN(MAX(T388,0),MAX(0,P341-IF($A389&gt;='1-Input'!$C$12,'1-Input'!$B$12,0))))*(1/(1-'P-Parametri'!$B$6*P389))),MAX(0,5*P341-(T388-MIN(MAX(T388,0),MAX(0,P341-IF($A389&gt;='1-Input'!$C$12,'1-Input'!$B$12,0)))))*(1/(1-'P-Parametri'!$B$6*P389))))</f>
        <v>0</v>
      </c>
      <c r="R389" s="18">
        <f>IF($A389&gt;'1-Input'!$B$26,T388,(T388-MAX(0,P341-IF($A389&gt;='1-Input'!$C$12,'1-Input'!$B$12,0))+Q389*(1-'P-Parametri'!$B$6*P389))*(1+'1-Input'!$B$27))</f>
        <v>0</v>
      </c>
      <c r="S389" s="18">
        <f>IF($A389&gt;'1-Input'!$B$26,U388,(U388-Q389)*(1+$B$4))</f>
        <v>-5426.4925358458577</v>
      </c>
      <c r="T389" s="18">
        <f>IF($A389&gt;'1-Input'!$B$26,R389,R389-'P-Parametri'!$B$8*(S389+R389)+MIN(MAX(S389,0),'P-Parametri'!$B$8*(S389+R389)))</f>
        <v>0</v>
      </c>
      <c r="U389" s="18">
        <f>IF($A389&gt;'1-Input'!$B$26,S389,S389-MIN(MAX(S389,0),'P-Parametri'!$B$8*(S389+R389)))</f>
        <v>-5426.4925358458577</v>
      </c>
      <c r="V389" s="18">
        <f>IF($A389&gt;'1-Input'!$B$26,V388,V388-Q389*(1-P389))</f>
        <v>-5324.9657346151607</v>
      </c>
      <c r="W389" s="11">
        <f>IF($A389&gt;'1-Input'!$B$26,0,IF(AB388&lt;=0,0,MAX(0,(AB388-AC388)/AB388)))</f>
        <v>0</v>
      </c>
      <c r="X389" s="18">
        <f>IF($A389&gt;'1-Input'!$B$26,0,(MAX(0,W341-IF($A389&gt;='1-Input'!$C$12,'1-Input'!$B$12,0))-MIN(MAX(AA388,0),MAX(0,W341-IF($A389&gt;='1-Input'!$C$12,'1-Input'!$B$12,0))))*(1/(1-'P-Parametri'!$B$6*W389))+MIN(MAX(0,AB388-(MAX(0,W341-IF($A389&gt;='1-Input'!$C$12,'1-Input'!$B$12,0))-MIN(MAX(AA388,0),MAX(0,W341-IF($A389&gt;='1-Input'!$C$12,'1-Input'!$B$12,0))))*(1/(1-'P-Parametri'!$B$6*W389))),MAX(0,5*W341-(AA388-MIN(MAX(AA388,0),MAX(0,W341-IF($A389&gt;='1-Input'!$C$12,'1-Input'!$B$12,0)))))*(1/(1-'P-Parametri'!$B$6*W389))))</f>
        <v>0</v>
      </c>
      <c r="Y389" s="18">
        <f>IF($A389&gt;'1-Input'!$B$26,AA388,(AA388-MAX(0,W341-IF($A389&gt;='1-Input'!$C$12,'1-Input'!$B$12,0))+X389*(1-'P-Parametri'!$B$6*W389))*(1+'1-Input'!$B$27))</f>
        <v>0</v>
      </c>
      <c r="Z389" s="18">
        <f>IF($A389&gt;'1-Input'!$B$26,AB388,(AB388-X389)*(1+$B$4))</f>
        <v>-868.79647817152295</v>
      </c>
      <c r="AA389" s="18">
        <f>IF($A389&gt;'1-Input'!$B$26,Y389,Y389-'P-Parametri'!$B$8*(Z389+Y389)+MIN(MAX(Z389,0),'P-Parametri'!$B$8*(Z389+Y389)))</f>
        <v>0</v>
      </c>
      <c r="AB389" s="18">
        <f>IF($A389&gt;'1-Input'!$B$26,Z389,Z389-MIN(MAX(Z389,0),'P-Parametri'!$B$8*(Z389+Y389)))</f>
        <v>-868.79647817152295</v>
      </c>
      <c r="AC389" s="18">
        <f>IF($A389&gt;'1-Input'!$B$26,AC388,AC388-X389*(1-W389))</f>
        <v>-853.46818948831299</v>
      </c>
      <c r="AD389" s="11">
        <f>IF($A389&gt;'1-Input'!$B$26,0,IF(AI388&lt;=0,0,MAX(0,(AI388-AJ388)/AI388)))</f>
        <v>0</v>
      </c>
      <c r="AE389" s="18">
        <f>IF($A389&gt;'1-Input'!$B$26,0,(MAX(0,AD341-IF($A389&gt;='1-Input'!$C$12,'1-Input'!$B$12,0))-MIN(MAX(AH388,0),MAX(0,AD341-IF($A389&gt;='1-Input'!$C$12,'1-Input'!$B$12,0))))*(1/(1-'P-Parametri'!$B$6*AD389))+MIN(MAX(0,AI388-(MAX(0,AD341-IF($A389&gt;='1-Input'!$C$12,'1-Input'!$B$12,0))-MIN(MAX(AH388,0),MAX(0,AD341-IF($A389&gt;='1-Input'!$C$12,'1-Input'!$B$12,0))))*(1/(1-'P-Parametri'!$B$6*AD389))),MAX(0,5*AD341-(AH388-MIN(MAX(AH388,0),MAX(0,AD341-IF($A389&gt;='1-Input'!$C$12,'1-Input'!$B$12,0)))))*(1/(1-'P-Parametri'!$B$6*AD389))))</f>
        <v>0</v>
      </c>
      <c r="AF389" s="18">
        <f>IF($A389&gt;'1-Input'!$B$26,AH388,(AH388-MAX(0,AD341-IF($A389&gt;='1-Input'!$C$12,'1-Input'!$B$12,0))+AE389*(1-'P-Parametri'!$B$6*AD389))*(1+'1-Input'!$B$27))</f>
        <v>0</v>
      </c>
      <c r="AG389" s="18">
        <f>IF($A389&gt;'1-Input'!$B$26,AI388,(AI388-AE389)*(1+$B$4))</f>
        <v>-9.7460996940541847E-2</v>
      </c>
      <c r="AH389" s="18">
        <f>IF($A389&gt;'1-Input'!$B$26,AF389,AF389-'P-Parametri'!$B$8*(AG389+AF389)+MIN(MAX(AG389,0),'P-Parametri'!$B$8*(AG389+AF389)))</f>
        <v>0</v>
      </c>
      <c r="AI389" s="18">
        <f>IF($A389&gt;'1-Input'!$B$26,AG389,AG389-MIN(MAX(AG389,0),'P-Parametri'!$B$8*(AG389+AF389)))</f>
        <v>-9.7460996940541847E-2</v>
      </c>
      <c r="AJ389" s="18">
        <f>IF($A389&gt;'1-Input'!$B$26,AJ388,AJ388-AE389*(1-AD389))</f>
        <v>-9.5741479960452125E-2</v>
      </c>
      <c r="AK389" s="11">
        <f>IF($A389&gt;'1-Input'!$B$26,0,IF(AP388&lt;=0,0,MAX(0,(AP388-AQ388)/AP388)))</f>
        <v>0</v>
      </c>
      <c r="AL389" s="18">
        <f>IF($A389&gt;'1-Input'!$B$26,0,(MAX(0,AK341-IF($A389&gt;='1-Input'!$C$12,'1-Input'!$B$12,0))-MIN(MAX(AO388,0),MAX(0,AK341-IF($A389&gt;='1-Input'!$C$12,'1-Input'!$B$12,0))))*(1/(1-'P-Parametri'!$B$6*AK389))+MIN(MAX(0,AP388-(MAX(0,AK341-IF($A389&gt;='1-Input'!$C$12,'1-Input'!$B$12,0))-MIN(MAX(AO388,0),MAX(0,AK341-IF($A389&gt;='1-Input'!$C$12,'1-Input'!$B$12,0))))*(1/(1-'P-Parametri'!$B$6*AK389))),MAX(0,5*AK341-(AO388-MIN(MAX(AO388,0),MAX(0,AK341-IF($A389&gt;='1-Input'!$C$12,'1-Input'!$B$12,0)))))*(1/(1-'P-Parametri'!$B$6*AK389))))</f>
        <v>0</v>
      </c>
      <c r="AM389" s="18">
        <f>IF($A389&gt;'1-Input'!$B$26,AO388,(AO388-MAX(0,AK341-IF($A389&gt;='1-Input'!$C$12,'1-Input'!$B$12,0))+AL389*(1-'P-Parametri'!$B$6*AK389))*(1+'1-Input'!$B$27))</f>
        <v>8.2481293351738703E-7</v>
      </c>
      <c r="AN389" s="18">
        <f>IF($A389&gt;'1-Input'!$B$26,AP388,(AP388-AL389)*(1+$B$4))</f>
        <v>0</v>
      </c>
      <c r="AO389" s="18">
        <f>IF($A389&gt;'1-Input'!$B$26,AM389,AM389-'P-Parametri'!$B$8*(AN389+AM389)+MIN(MAX(AN389,0),'P-Parametri'!$B$8*(AN389+AM389)))</f>
        <v>8.2481293351738703E-7</v>
      </c>
      <c r="AP389" s="18">
        <f>IF($A389&gt;'1-Input'!$B$26,AN389,AN389-MIN(MAX(AN389,0),'P-Parametri'!$B$8*(AN389+AM389)))</f>
        <v>0</v>
      </c>
      <c r="AQ389" s="18">
        <f>IF($A389&gt;'1-Input'!$B$26,AQ388,AQ388-AL389*(1-AK389))</f>
        <v>0</v>
      </c>
    </row>
    <row r="390" spans="1:43">
      <c r="A390" s="10">
        <f>47</f>
        <v>47</v>
      </c>
      <c r="B390" s="11">
        <f>IF($A390&gt;'1-Input'!$B$26,0,IF(G389&lt;=0,0,MAX(0,(G389-H389)/G389)))</f>
        <v>0</v>
      </c>
      <c r="C390" s="18">
        <f>IF($A390&gt;'1-Input'!$B$26,0,(MAX(0,B341-IF($A390&gt;='1-Input'!$C$12,'1-Input'!$B$12,0))-MIN(MAX(F389,0),MAX(0,B341-IF($A390&gt;='1-Input'!$C$12,'1-Input'!$B$12,0))))*(1/(1-'P-Parametri'!$B$6*B390))+MIN(MAX(0,G389-(MAX(0,B341-IF($A390&gt;='1-Input'!$C$12,'1-Input'!$B$12,0))-MIN(MAX(F389,0),MAX(0,B341-IF($A390&gt;='1-Input'!$C$12,'1-Input'!$B$12,0))))*(1/(1-'P-Parametri'!$B$6*B390))),MAX(0,5*B341-(F389-MIN(MAX(F389,0),MAX(0,B341-IF($A390&gt;='1-Input'!$C$12,'1-Input'!$B$12,0)))))*(1/(1-'P-Parametri'!$B$6*B390))))</f>
        <v>0</v>
      </c>
      <c r="D390" s="18">
        <f>IF($A390&gt;'1-Input'!$B$26,F389,(F389-MAX(0,B341-IF($A390&gt;='1-Input'!$C$12,'1-Input'!$B$12,0))+C390*(1-'P-Parametri'!$B$6*B390))*(1+'1-Input'!$B$27))</f>
        <v>0</v>
      </c>
      <c r="E390" s="18">
        <f>IF($A390&gt;'1-Input'!$B$26,G389,(G389-C390)*(1+$B$4))</f>
        <v>-36703.003999961336</v>
      </c>
      <c r="F390" s="18">
        <f>IF($A390&gt;'1-Input'!$B$26,D390,D390-'P-Parametri'!$B$8*(E390+D390)+MIN(MAX(E390,0),'P-Parametri'!$B$8*(E390+D390)))</f>
        <v>0</v>
      </c>
      <c r="G390" s="18">
        <f>IF($A390&gt;'1-Input'!$B$26,E390,E390-MIN(MAX(E390,0),'P-Parametri'!$B$8*(E390+D390)))</f>
        <v>-36703.003999961336</v>
      </c>
      <c r="H390" s="18">
        <f>IF($A390&gt;'1-Input'!$B$26,H389,H389-C390*(1-B390))</f>
        <v>-34410.454680903094</v>
      </c>
      <c r="I390" s="11">
        <f>IF($A390&gt;'1-Input'!$B$26,0,IF(N389&lt;=0,0,MAX(0,(N389-O389)/N389)))</f>
        <v>0</v>
      </c>
      <c r="J390" s="18">
        <f>IF($A390&gt;'1-Input'!$B$26,0,(MAX(0,I341-IF($A390&gt;='1-Input'!$C$12,'1-Input'!$B$12,0))-MIN(MAX(M389,0),MAX(0,I341-IF($A390&gt;='1-Input'!$C$12,'1-Input'!$B$12,0))))*(1/(1-'P-Parametri'!$B$6*I390))+MIN(MAX(0,N389-(MAX(0,I341-IF($A390&gt;='1-Input'!$C$12,'1-Input'!$B$12,0))-MIN(MAX(M389,0),MAX(0,I341-IF($A390&gt;='1-Input'!$C$12,'1-Input'!$B$12,0))))*(1/(1-'P-Parametri'!$B$6*I390))),MAX(0,5*I341-(M389-MIN(MAX(M389,0),MAX(0,I341-IF($A390&gt;='1-Input'!$C$12,'1-Input'!$B$12,0)))))*(1/(1-'P-Parametri'!$B$6*I390))))</f>
        <v>0</v>
      </c>
      <c r="K390" s="18">
        <f>IF($A390&gt;'1-Input'!$B$26,M389,(M389-MAX(0,I341-IF($A390&gt;='1-Input'!$C$12,'1-Input'!$B$12,0))+J390*(1-'P-Parametri'!$B$6*I390))*(1+'1-Input'!$B$27))</f>
        <v>0</v>
      </c>
      <c r="L390" s="18">
        <f>IF($A390&gt;'1-Input'!$B$26,N389,(N389-J390)*(1+$B$4))</f>
        <v>-372202.04143897607</v>
      </c>
      <c r="M390" s="18">
        <f>IF($A390&gt;'1-Input'!$B$26,K390,K390-'P-Parametri'!$B$8*(L390+K390)+MIN(MAX(L390,0),'P-Parametri'!$B$8*(L390+K390)))</f>
        <v>0</v>
      </c>
      <c r="N390" s="18">
        <f>IF($A390&gt;'1-Input'!$B$26,L390,L390-MIN(MAX(L390,0),'P-Parametri'!$B$8*(L390+K390)))</f>
        <v>-372202.04143897607</v>
      </c>
      <c r="O390" s="18">
        <f>IF($A390&gt;'1-Input'!$B$26,O389,O389-J390*(1-I390))</f>
        <v>-289054.65559604892</v>
      </c>
      <c r="P390" s="11">
        <f>IF($A390&gt;'1-Input'!$B$26,0,IF(U389&lt;=0,0,MAX(0,(U389-V389)/U389)))</f>
        <v>0</v>
      </c>
      <c r="Q390" s="18">
        <f>IF($A390&gt;'1-Input'!$B$26,0,(MAX(0,P341-IF($A390&gt;='1-Input'!$C$12,'1-Input'!$B$12,0))-MIN(MAX(T389,0),MAX(0,P341-IF($A390&gt;='1-Input'!$C$12,'1-Input'!$B$12,0))))*(1/(1-'P-Parametri'!$B$6*P390))+MIN(MAX(0,U389-(MAX(0,P341-IF($A390&gt;='1-Input'!$C$12,'1-Input'!$B$12,0))-MIN(MAX(T389,0),MAX(0,P341-IF($A390&gt;='1-Input'!$C$12,'1-Input'!$B$12,0))))*(1/(1-'P-Parametri'!$B$6*P390))),MAX(0,5*P341-(T389-MIN(MAX(T389,0),MAX(0,P341-IF($A390&gt;='1-Input'!$C$12,'1-Input'!$B$12,0)))))*(1/(1-'P-Parametri'!$B$6*P390))))</f>
        <v>0</v>
      </c>
      <c r="R390" s="18">
        <f>IF($A390&gt;'1-Input'!$B$26,T389,(T389-MAX(0,P341-IF($A390&gt;='1-Input'!$C$12,'1-Input'!$B$12,0))+Q390*(1-'P-Parametri'!$B$6*P390))*(1+'1-Input'!$B$27))</f>
        <v>0</v>
      </c>
      <c r="S390" s="18">
        <f>IF($A390&gt;'1-Input'!$B$26,U389,(U389-Q390)*(1+$B$4))</f>
        <v>-5426.4925358458577</v>
      </c>
      <c r="T390" s="18">
        <f>IF($A390&gt;'1-Input'!$B$26,R390,R390-'P-Parametri'!$B$8*(S390+R390)+MIN(MAX(S390,0),'P-Parametri'!$B$8*(S390+R390)))</f>
        <v>0</v>
      </c>
      <c r="U390" s="18">
        <f>IF($A390&gt;'1-Input'!$B$26,S390,S390-MIN(MAX(S390,0),'P-Parametri'!$B$8*(S390+R390)))</f>
        <v>-5426.4925358458577</v>
      </c>
      <c r="V390" s="18">
        <f>IF($A390&gt;'1-Input'!$B$26,V389,V389-Q390*(1-P390))</f>
        <v>-5324.9657346151607</v>
      </c>
      <c r="W390" s="11">
        <f>IF($A390&gt;'1-Input'!$B$26,0,IF(AB389&lt;=0,0,MAX(0,(AB389-AC389)/AB389)))</f>
        <v>0</v>
      </c>
      <c r="X390" s="18">
        <f>IF($A390&gt;'1-Input'!$B$26,0,(MAX(0,W341-IF($A390&gt;='1-Input'!$C$12,'1-Input'!$B$12,0))-MIN(MAX(AA389,0),MAX(0,W341-IF($A390&gt;='1-Input'!$C$12,'1-Input'!$B$12,0))))*(1/(1-'P-Parametri'!$B$6*W390))+MIN(MAX(0,AB389-(MAX(0,W341-IF($A390&gt;='1-Input'!$C$12,'1-Input'!$B$12,0))-MIN(MAX(AA389,0),MAX(0,W341-IF($A390&gt;='1-Input'!$C$12,'1-Input'!$B$12,0))))*(1/(1-'P-Parametri'!$B$6*W390))),MAX(0,5*W341-(AA389-MIN(MAX(AA389,0),MAX(0,W341-IF($A390&gt;='1-Input'!$C$12,'1-Input'!$B$12,0)))))*(1/(1-'P-Parametri'!$B$6*W390))))</f>
        <v>0</v>
      </c>
      <c r="Y390" s="18">
        <f>IF($A390&gt;'1-Input'!$B$26,AA389,(AA389-MAX(0,W341-IF($A390&gt;='1-Input'!$C$12,'1-Input'!$B$12,0))+X390*(1-'P-Parametri'!$B$6*W390))*(1+'1-Input'!$B$27))</f>
        <v>0</v>
      </c>
      <c r="Z390" s="18">
        <f>IF($A390&gt;'1-Input'!$B$26,AB389,(AB389-X390)*(1+$B$4))</f>
        <v>-868.79647817152295</v>
      </c>
      <c r="AA390" s="18">
        <f>IF($A390&gt;'1-Input'!$B$26,Y390,Y390-'P-Parametri'!$B$8*(Z390+Y390)+MIN(MAX(Z390,0),'P-Parametri'!$B$8*(Z390+Y390)))</f>
        <v>0</v>
      </c>
      <c r="AB390" s="18">
        <f>IF($A390&gt;'1-Input'!$B$26,Z390,Z390-MIN(MAX(Z390,0),'P-Parametri'!$B$8*(Z390+Y390)))</f>
        <v>-868.79647817152295</v>
      </c>
      <c r="AC390" s="18">
        <f>IF($A390&gt;'1-Input'!$B$26,AC389,AC389-X390*(1-W390))</f>
        <v>-853.46818948831299</v>
      </c>
      <c r="AD390" s="11">
        <f>IF($A390&gt;'1-Input'!$B$26,0,IF(AI389&lt;=0,0,MAX(0,(AI389-AJ389)/AI389)))</f>
        <v>0</v>
      </c>
      <c r="AE390" s="18">
        <f>IF($A390&gt;'1-Input'!$B$26,0,(MAX(0,AD341-IF($A390&gt;='1-Input'!$C$12,'1-Input'!$B$12,0))-MIN(MAX(AH389,0),MAX(0,AD341-IF($A390&gt;='1-Input'!$C$12,'1-Input'!$B$12,0))))*(1/(1-'P-Parametri'!$B$6*AD390))+MIN(MAX(0,AI389-(MAX(0,AD341-IF($A390&gt;='1-Input'!$C$12,'1-Input'!$B$12,0))-MIN(MAX(AH389,0),MAX(0,AD341-IF($A390&gt;='1-Input'!$C$12,'1-Input'!$B$12,0))))*(1/(1-'P-Parametri'!$B$6*AD390))),MAX(0,5*AD341-(AH389-MIN(MAX(AH389,0),MAX(0,AD341-IF($A390&gt;='1-Input'!$C$12,'1-Input'!$B$12,0)))))*(1/(1-'P-Parametri'!$B$6*AD390))))</f>
        <v>0</v>
      </c>
      <c r="AF390" s="18">
        <f>IF($A390&gt;'1-Input'!$B$26,AH389,(AH389-MAX(0,AD341-IF($A390&gt;='1-Input'!$C$12,'1-Input'!$B$12,0))+AE390*(1-'P-Parametri'!$B$6*AD390))*(1+'1-Input'!$B$27))</f>
        <v>0</v>
      </c>
      <c r="AG390" s="18">
        <f>IF($A390&gt;'1-Input'!$B$26,AI389,(AI389-AE390)*(1+$B$4))</f>
        <v>-9.7460996940541847E-2</v>
      </c>
      <c r="AH390" s="18">
        <f>IF($A390&gt;'1-Input'!$B$26,AF390,AF390-'P-Parametri'!$B$8*(AG390+AF390)+MIN(MAX(AG390,0),'P-Parametri'!$B$8*(AG390+AF390)))</f>
        <v>0</v>
      </c>
      <c r="AI390" s="18">
        <f>IF($A390&gt;'1-Input'!$B$26,AG390,AG390-MIN(MAX(AG390,0),'P-Parametri'!$B$8*(AG390+AF390)))</f>
        <v>-9.7460996940541847E-2</v>
      </c>
      <c r="AJ390" s="18">
        <f>IF($A390&gt;'1-Input'!$B$26,AJ389,AJ389-AE390*(1-AD390))</f>
        <v>-9.5741479960452125E-2</v>
      </c>
      <c r="AK390" s="11">
        <f>IF($A390&gt;'1-Input'!$B$26,0,IF(AP389&lt;=0,0,MAX(0,(AP389-AQ389)/AP389)))</f>
        <v>0</v>
      </c>
      <c r="AL390" s="18">
        <f>IF($A390&gt;'1-Input'!$B$26,0,(MAX(0,AK341-IF($A390&gt;='1-Input'!$C$12,'1-Input'!$B$12,0))-MIN(MAX(AO389,0),MAX(0,AK341-IF($A390&gt;='1-Input'!$C$12,'1-Input'!$B$12,0))))*(1/(1-'P-Parametri'!$B$6*AK390))+MIN(MAX(0,AP389-(MAX(0,AK341-IF($A390&gt;='1-Input'!$C$12,'1-Input'!$B$12,0))-MIN(MAX(AO389,0),MAX(0,AK341-IF($A390&gt;='1-Input'!$C$12,'1-Input'!$B$12,0))))*(1/(1-'P-Parametri'!$B$6*AK390))),MAX(0,5*AK341-(AO389-MIN(MAX(AO389,0),MAX(0,AK341-IF($A390&gt;='1-Input'!$C$12,'1-Input'!$B$12,0)))))*(1/(1-'P-Parametri'!$B$6*AK390))))</f>
        <v>0</v>
      </c>
      <c r="AM390" s="18">
        <f>IF($A390&gt;'1-Input'!$B$26,AO389,(AO389-MAX(0,AK341-IF($A390&gt;='1-Input'!$C$12,'1-Input'!$B$12,0))+AL390*(1-'P-Parametri'!$B$6*AK390))*(1+'1-Input'!$B$27))</f>
        <v>8.2481293351738703E-7</v>
      </c>
      <c r="AN390" s="18">
        <f>IF($A390&gt;'1-Input'!$B$26,AP389,(AP389-AL390)*(1+$B$4))</f>
        <v>0</v>
      </c>
      <c r="AO390" s="18">
        <f>IF($A390&gt;'1-Input'!$B$26,AM390,AM390-'P-Parametri'!$B$8*(AN390+AM390)+MIN(MAX(AN390,0),'P-Parametri'!$B$8*(AN390+AM390)))</f>
        <v>8.2481293351738703E-7</v>
      </c>
      <c r="AP390" s="18">
        <f>IF($A390&gt;'1-Input'!$B$26,AN390,AN390-MIN(MAX(AN390,0),'P-Parametri'!$B$8*(AN390+AM390)))</f>
        <v>0</v>
      </c>
      <c r="AQ390" s="18">
        <f>IF($A390&gt;'1-Input'!$B$26,AQ389,AQ389-AL390*(1-AK390))</f>
        <v>0</v>
      </c>
    </row>
    <row r="391" spans="1:43">
      <c r="A391" s="10">
        <f>48</f>
        <v>48</v>
      </c>
      <c r="B391" s="11">
        <f>IF($A391&gt;'1-Input'!$B$26,0,IF(G390&lt;=0,0,MAX(0,(G390-H390)/G390)))</f>
        <v>0</v>
      </c>
      <c r="C391" s="18">
        <f>IF($A391&gt;'1-Input'!$B$26,0,(MAX(0,B341-IF($A391&gt;='1-Input'!$C$12,'1-Input'!$B$12,0))-MIN(MAX(F390,0),MAX(0,B341-IF($A391&gt;='1-Input'!$C$12,'1-Input'!$B$12,0))))*(1/(1-'P-Parametri'!$B$6*B391))+MIN(MAX(0,G390-(MAX(0,B341-IF($A391&gt;='1-Input'!$C$12,'1-Input'!$B$12,0))-MIN(MAX(F390,0),MAX(0,B341-IF($A391&gt;='1-Input'!$C$12,'1-Input'!$B$12,0))))*(1/(1-'P-Parametri'!$B$6*B391))),MAX(0,5*B341-(F390-MIN(MAX(F390,0),MAX(0,B341-IF($A391&gt;='1-Input'!$C$12,'1-Input'!$B$12,0)))))*(1/(1-'P-Parametri'!$B$6*B391))))</f>
        <v>0</v>
      </c>
      <c r="D391" s="18">
        <f>IF($A391&gt;'1-Input'!$B$26,F390,(F390-MAX(0,B341-IF($A391&gt;='1-Input'!$C$12,'1-Input'!$B$12,0))+C391*(1-'P-Parametri'!$B$6*B391))*(1+'1-Input'!$B$27))</f>
        <v>0</v>
      </c>
      <c r="E391" s="18">
        <f>IF($A391&gt;'1-Input'!$B$26,G390,(G390-C391)*(1+$B$4))</f>
        <v>-36703.003999961336</v>
      </c>
      <c r="F391" s="18">
        <f>IF($A391&gt;'1-Input'!$B$26,D391,D391-'P-Parametri'!$B$8*(E391+D391)+MIN(MAX(E391,0),'P-Parametri'!$B$8*(E391+D391)))</f>
        <v>0</v>
      </c>
      <c r="G391" s="18">
        <f>IF($A391&gt;'1-Input'!$B$26,E391,E391-MIN(MAX(E391,0),'P-Parametri'!$B$8*(E391+D391)))</f>
        <v>-36703.003999961336</v>
      </c>
      <c r="H391" s="18">
        <f>IF($A391&gt;'1-Input'!$B$26,H390,H390-C391*(1-B391))</f>
        <v>-34410.454680903094</v>
      </c>
      <c r="I391" s="11">
        <f>IF($A391&gt;'1-Input'!$B$26,0,IF(N390&lt;=0,0,MAX(0,(N390-O390)/N390)))</f>
        <v>0</v>
      </c>
      <c r="J391" s="18">
        <f>IF($A391&gt;'1-Input'!$B$26,0,(MAX(0,I341-IF($A391&gt;='1-Input'!$C$12,'1-Input'!$B$12,0))-MIN(MAX(M390,0),MAX(0,I341-IF($A391&gt;='1-Input'!$C$12,'1-Input'!$B$12,0))))*(1/(1-'P-Parametri'!$B$6*I391))+MIN(MAX(0,N390-(MAX(0,I341-IF($A391&gt;='1-Input'!$C$12,'1-Input'!$B$12,0))-MIN(MAX(M390,0),MAX(0,I341-IF($A391&gt;='1-Input'!$C$12,'1-Input'!$B$12,0))))*(1/(1-'P-Parametri'!$B$6*I391))),MAX(0,5*I341-(M390-MIN(MAX(M390,0),MAX(0,I341-IF($A391&gt;='1-Input'!$C$12,'1-Input'!$B$12,0)))))*(1/(1-'P-Parametri'!$B$6*I391))))</f>
        <v>0</v>
      </c>
      <c r="K391" s="18">
        <f>IF($A391&gt;'1-Input'!$B$26,M390,(M390-MAX(0,I341-IF($A391&gt;='1-Input'!$C$12,'1-Input'!$B$12,0))+J391*(1-'P-Parametri'!$B$6*I391))*(1+'1-Input'!$B$27))</f>
        <v>0</v>
      </c>
      <c r="L391" s="18">
        <f>IF($A391&gt;'1-Input'!$B$26,N390,(N390-J391)*(1+$B$4))</f>
        <v>-372202.04143897607</v>
      </c>
      <c r="M391" s="18">
        <f>IF($A391&gt;'1-Input'!$B$26,K391,K391-'P-Parametri'!$B$8*(L391+K391)+MIN(MAX(L391,0),'P-Parametri'!$B$8*(L391+K391)))</f>
        <v>0</v>
      </c>
      <c r="N391" s="18">
        <f>IF($A391&gt;'1-Input'!$B$26,L391,L391-MIN(MAX(L391,0),'P-Parametri'!$B$8*(L391+K391)))</f>
        <v>-372202.04143897607</v>
      </c>
      <c r="O391" s="18">
        <f>IF($A391&gt;'1-Input'!$B$26,O390,O390-J391*(1-I391))</f>
        <v>-289054.65559604892</v>
      </c>
      <c r="P391" s="11">
        <f>IF($A391&gt;'1-Input'!$B$26,0,IF(U390&lt;=0,0,MAX(0,(U390-V390)/U390)))</f>
        <v>0</v>
      </c>
      <c r="Q391" s="18">
        <f>IF($A391&gt;'1-Input'!$B$26,0,(MAX(0,P341-IF($A391&gt;='1-Input'!$C$12,'1-Input'!$B$12,0))-MIN(MAX(T390,0),MAX(0,P341-IF($A391&gt;='1-Input'!$C$12,'1-Input'!$B$12,0))))*(1/(1-'P-Parametri'!$B$6*P391))+MIN(MAX(0,U390-(MAX(0,P341-IF($A391&gt;='1-Input'!$C$12,'1-Input'!$B$12,0))-MIN(MAX(T390,0),MAX(0,P341-IF($A391&gt;='1-Input'!$C$12,'1-Input'!$B$12,0))))*(1/(1-'P-Parametri'!$B$6*P391))),MAX(0,5*P341-(T390-MIN(MAX(T390,0),MAX(0,P341-IF($A391&gt;='1-Input'!$C$12,'1-Input'!$B$12,0)))))*(1/(1-'P-Parametri'!$B$6*P391))))</f>
        <v>0</v>
      </c>
      <c r="R391" s="18">
        <f>IF($A391&gt;'1-Input'!$B$26,T390,(T390-MAX(0,P341-IF($A391&gt;='1-Input'!$C$12,'1-Input'!$B$12,0))+Q391*(1-'P-Parametri'!$B$6*P391))*(1+'1-Input'!$B$27))</f>
        <v>0</v>
      </c>
      <c r="S391" s="18">
        <f>IF($A391&gt;'1-Input'!$B$26,U390,(U390-Q391)*(1+$B$4))</f>
        <v>-5426.4925358458577</v>
      </c>
      <c r="T391" s="18">
        <f>IF($A391&gt;'1-Input'!$B$26,R391,R391-'P-Parametri'!$B$8*(S391+R391)+MIN(MAX(S391,0),'P-Parametri'!$B$8*(S391+R391)))</f>
        <v>0</v>
      </c>
      <c r="U391" s="18">
        <f>IF($A391&gt;'1-Input'!$B$26,S391,S391-MIN(MAX(S391,0),'P-Parametri'!$B$8*(S391+R391)))</f>
        <v>-5426.4925358458577</v>
      </c>
      <c r="V391" s="18">
        <f>IF($A391&gt;'1-Input'!$B$26,V390,V390-Q391*(1-P391))</f>
        <v>-5324.9657346151607</v>
      </c>
      <c r="W391" s="11">
        <f>IF($A391&gt;'1-Input'!$B$26,0,IF(AB390&lt;=0,0,MAX(0,(AB390-AC390)/AB390)))</f>
        <v>0</v>
      </c>
      <c r="X391" s="18">
        <f>IF($A391&gt;'1-Input'!$B$26,0,(MAX(0,W341-IF($A391&gt;='1-Input'!$C$12,'1-Input'!$B$12,0))-MIN(MAX(AA390,0),MAX(0,W341-IF($A391&gt;='1-Input'!$C$12,'1-Input'!$B$12,0))))*(1/(1-'P-Parametri'!$B$6*W391))+MIN(MAX(0,AB390-(MAX(0,W341-IF($A391&gt;='1-Input'!$C$12,'1-Input'!$B$12,0))-MIN(MAX(AA390,0),MAX(0,W341-IF($A391&gt;='1-Input'!$C$12,'1-Input'!$B$12,0))))*(1/(1-'P-Parametri'!$B$6*W391))),MAX(0,5*W341-(AA390-MIN(MAX(AA390,0),MAX(0,W341-IF($A391&gt;='1-Input'!$C$12,'1-Input'!$B$12,0)))))*(1/(1-'P-Parametri'!$B$6*W391))))</f>
        <v>0</v>
      </c>
      <c r="Y391" s="18">
        <f>IF($A391&gt;'1-Input'!$B$26,AA390,(AA390-MAX(0,W341-IF($A391&gt;='1-Input'!$C$12,'1-Input'!$B$12,0))+X391*(1-'P-Parametri'!$B$6*W391))*(1+'1-Input'!$B$27))</f>
        <v>0</v>
      </c>
      <c r="Z391" s="18">
        <f>IF($A391&gt;'1-Input'!$B$26,AB390,(AB390-X391)*(1+$B$4))</f>
        <v>-868.79647817152295</v>
      </c>
      <c r="AA391" s="18">
        <f>IF($A391&gt;'1-Input'!$B$26,Y391,Y391-'P-Parametri'!$B$8*(Z391+Y391)+MIN(MAX(Z391,0),'P-Parametri'!$B$8*(Z391+Y391)))</f>
        <v>0</v>
      </c>
      <c r="AB391" s="18">
        <f>IF($A391&gt;'1-Input'!$B$26,Z391,Z391-MIN(MAX(Z391,0),'P-Parametri'!$B$8*(Z391+Y391)))</f>
        <v>-868.79647817152295</v>
      </c>
      <c r="AC391" s="18">
        <f>IF($A391&gt;'1-Input'!$B$26,AC390,AC390-X391*(1-W391))</f>
        <v>-853.46818948831299</v>
      </c>
      <c r="AD391" s="11">
        <f>IF($A391&gt;'1-Input'!$B$26,0,IF(AI390&lt;=0,0,MAX(0,(AI390-AJ390)/AI390)))</f>
        <v>0</v>
      </c>
      <c r="AE391" s="18">
        <f>IF($A391&gt;'1-Input'!$B$26,0,(MAX(0,AD341-IF($A391&gt;='1-Input'!$C$12,'1-Input'!$B$12,0))-MIN(MAX(AH390,0),MAX(0,AD341-IF($A391&gt;='1-Input'!$C$12,'1-Input'!$B$12,0))))*(1/(1-'P-Parametri'!$B$6*AD391))+MIN(MAX(0,AI390-(MAX(0,AD341-IF($A391&gt;='1-Input'!$C$12,'1-Input'!$B$12,0))-MIN(MAX(AH390,0),MAX(0,AD341-IF($A391&gt;='1-Input'!$C$12,'1-Input'!$B$12,0))))*(1/(1-'P-Parametri'!$B$6*AD391))),MAX(0,5*AD341-(AH390-MIN(MAX(AH390,0),MAX(0,AD341-IF($A391&gt;='1-Input'!$C$12,'1-Input'!$B$12,0)))))*(1/(1-'P-Parametri'!$B$6*AD391))))</f>
        <v>0</v>
      </c>
      <c r="AF391" s="18">
        <f>IF($A391&gt;'1-Input'!$B$26,AH390,(AH390-MAX(0,AD341-IF($A391&gt;='1-Input'!$C$12,'1-Input'!$B$12,0))+AE391*(1-'P-Parametri'!$B$6*AD391))*(1+'1-Input'!$B$27))</f>
        <v>0</v>
      </c>
      <c r="AG391" s="18">
        <f>IF($A391&gt;'1-Input'!$B$26,AI390,(AI390-AE391)*(1+$B$4))</f>
        <v>-9.7460996940541847E-2</v>
      </c>
      <c r="AH391" s="18">
        <f>IF($A391&gt;'1-Input'!$B$26,AF391,AF391-'P-Parametri'!$B$8*(AG391+AF391)+MIN(MAX(AG391,0),'P-Parametri'!$B$8*(AG391+AF391)))</f>
        <v>0</v>
      </c>
      <c r="AI391" s="18">
        <f>IF($A391&gt;'1-Input'!$B$26,AG391,AG391-MIN(MAX(AG391,0),'P-Parametri'!$B$8*(AG391+AF391)))</f>
        <v>-9.7460996940541847E-2</v>
      </c>
      <c r="AJ391" s="18">
        <f>IF($A391&gt;'1-Input'!$B$26,AJ390,AJ390-AE391*(1-AD391))</f>
        <v>-9.5741479960452125E-2</v>
      </c>
      <c r="AK391" s="11">
        <f>IF($A391&gt;'1-Input'!$B$26,0,IF(AP390&lt;=0,0,MAX(0,(AP390-AQ390)/AP390)))</f>
        <v>0</v>
      </c>
      <c r="AL391" s="18">
        <f>IF($A391&gt;'1-Input'!$B$26,0,(MAX(0,AK341-IF($A391&gt;='1-Input'!$C$12,'1-Input'!$B$12,0))-MIN(MAX(AO390,0),MAX(0,AK341-IF($A391&gt;='1-Input'!$C$12,'1-Input'!$B$12,0))))*(1/(1-'P-Parametri'!$B$6*AK391))+MIN(MAX(0,AP390-(MAX(0,AK341-IF($A391&gt;='1-Input'!$C$12,'1-Input'!$B$12,0))-MIN(MAX(AO390,0),MAX(0,AK341-IF($A391&gt;='1-Input'!$C$12,'1-Input'!$B$12,0))))*(1/(1-'P-Parametri'!$B$6*AK391))),MAX(0,5*AK341-(AO390-MIN(MAX(AO390,0),MAX(0,AK341-IF($A391&gt;='1-Input'!$C$12,'1-Input'!$B$12,0)))))*(1/(1-'P-Parametri'!$B$6*AK391))))</f>
        <v>0</v>
      </c>
      <c r="AM391" s="18">
        <f>IF($A391&gt;'1-Input'!$B$26,AO390,(AO390-MAX(0,AK341-IF($A391&gt;='1-Input'!$C$12,'1-Input'!$B$12,0))+AL391*(1-'P-Parametri'!$B$6*AK391))*(1+'1-Input'!$B$27))</f>
        <v>8.2481293351738703E-7</v>
      </c>
      <c r="AN391" s="18">
        <f>IF($A391&gt;'1-Input'!$B$26,AP390,(AP390-AL391)*(1+$B$4))</f>
        <v>0</v>
      </c>
      <c r="AO391" s="18">
        <f>IF($A391&gt;'1-Input'!$B$26,AM391,AM391-'P-Parametri'!$B$8*(AN391+AM391)+MIN(MAX(AN391,0),'P-Parametri'!$B$8*(AN391+AM391)))</f>
        <v>8.2481293351738703E-7</v>
      </c>
      <c r="AP391" s="18">
        <f>IF($A391&gt;'1-Input'!$B$26,AN391,AN391-MIN(MAX(AN391,0),'P-Parametri'!$B$8*(AN391+AM391)))</f>
        <v>0</v>
      </c>
      <c r="AQ391" s="18">
        <f>IF($A391&gt;'1-Input'!$B$26,AQ390,AQ390-AL391*(1-AK391))</f>
        <v>0</v>
      </c>
    </row>
    <row r="392" spans="1:43">
      <c r="A392" s="4" t="s">
        <v>365</v>
      </c>
      <c r="B392" s="18">
        <f>F391+G391</f>
        <v>-36703.003999961336</v>
      </c>
      <c r="I392" s="18">
        <f>M391+N391</f>
        <v>-372202.04143897607</v>
      </c>
      <c r="P392" s="18">
        <f>T391+U391</f>
        <v>-5426.4925358458577</v>
      </c>
      <c r="W392" s="18">
        <f>AA391+AB391</f>
        <v>-868.79647817152295</v>
      </c>
      <c r="AD392" s="18">
        <f>AH391+AI391</f>
        <v>-9.7460996940541847E-2</v>
      </c>
      <c r="AK392" s="18">
        <f>AO391+AP391</f>
        <v>8.2481293351738703E-7</v>
      </c>
    </row>
    <row r="393" spans="1:43">
      <c r="A393" s="5" t="s">
        <v>266</v>
      </c>
      <c r="B393" s="18">
        <f>IFERROR(AK341-AK392*(AK341-AD341)/(AK392-AD392),AK341)</f>
        <v>16001.832107870927</v>
      </c>
    </row>
    <row r="395" spans="1:43">
      <c r="A395" s="2" t="s">
        <v>370</v>
      </c>
    </row>
    <row r="396" spans="1:43">
      <c r="A396" s="4" t="s">
        <v>360</v>
      </c>
      <c r="B396" s="9">
        <f>0.038*'2-Caso'!$B$12</f>
        <v>16681.055314625803</v>
      </c>
      <c r="I396" s="9">
        <f>0.05*'2-Caso'!$B$12</f>
        <v>21948.756992928691</v>
      </c>
      <c r="P396" s="18">
        <f>IFERROR(I396-I447*(I396-B396)/(I447-B447),I396)</f>
        <v>19095.039604288399</v>
      </c>
      <c r="W396" s="18">
        <f>IFERROR(P396-P447*(P396-I396)/(P447-I447),P396)</f>
        <v>18838.76358648574</v>
      </c>
      <c r="AD396" s="18">
        <f>IFERROR(W396-W447*(W396-P396)/(W447-P447),W396)</f>
        <v>18845.5470519671</v>
      </c>
      <c r="AK396" s="18">
        <f>IFERROR(AD396-AD447*(AD396-W396)/(AD447-W447),AD396)</f>
        <v>18844.49370476167</v>
      </c>
    </row>
    <row r="397" spans="1:43" ht="45">
      <c r="A397" s="25" t="s">
        <v>262</v>
      </c>
      <c r="B397" s="25" t="s">
        <v>361</v>
      </c>
      <c r="C397" s="25" t="s">
        <v>263</v>
      </c>
      <c r="D397" s="25" t="s">
        <v>362</v>
      </c>
      <c r="E397" s="25" t="s">
        <v>363</v>
      </c>
      <c r="F397" s="25" t="s">
        <v>264</v>
      </c>
      <c r="G397" s="25" t="s">
        <v>265</v>
      </c>
      <c r="H397" s="25" t="s">
        <v>364</v>
      </c>
      <c r="I397" s="25" t="s">
        <v>361</v>
      </c>
      <c r="J397" s="25" t="s">
        <v>263</v>
      </c>
      <c r="K397" s="25" t="s">
        <v>362</v>
      </c>
      <c r="L397" s="25" t="s">
        <v>363</v>
      </c>
      <c r="M397" s="25" t="s">
        <v>264</v>
      </c>
      <c r="N397" s="25" t="s">
        <v>265</v>
      </c>
      <c r="O397" s="25" t="s">
        <v>364</v>
      </c>
      <c r="P397" s="25" t="s">
        <v>361</v>
      </c>
      <c r="Q397" s="25" t="s">
        <v>263</v>
      </c>
      <c r="R397" s="25" t="s">
        <v>362</v>
      </c>
      <c r="S397" s="25" t="s">
        <v>363</v>
      </c>
      <c r="T397" s="25" t="s">
        <v>264</v>
      </c>
      <c r="U397" s="25" t="s">
        <v>265</v>
      </c>
      <c r="V397" s="25" t="s">
        <v>364</v>
      </c>
      <c r="W397" s="25" t="s">
        <v>361</v>
      </c>
      <c r="X397" s="25" t="s">
        <v>263</v>
      </c>
      <c r="Y397" s="25" t="s">
        <v>362</v>
      </c>
      <c r="Z397" s="25" t="s">
        <v>363</v>
      </c>
      <c r="AA397" s="25" t="s">
        <v>264</v>
      </c>
      <c r="AB397" s="25" t="s">
        <v>265</v>
      </c>
      <c r="AC397" s="25" t="s">
        <v>364</v>
      </c>
      <c r="AD397" s="25" t="s">
        <v>361</v>
      </c>
      <c r="AE397" s="25" t="s">
        <v>263</v>
      </c>
      <c r="AF397" s="25" t="s">
        <v>362</v>
      </c>
      <c r="AG397" s="25" t="s">
        <v>363</v>
      </c>
      <c r="AH397" s="25" t="s">
        <v>264</v>
      </c>
      <c r="AI397" s="25" t="s">
        <v>265</v>
      </c>
      <c r="AJ397" s="25" t="s">
        <v>364</v>
      </c>
      <c r="AK397" s="25" t="s">
        <v>361</v>
      </c>
      <c r="AL397" s="25" t="s">
        <v>263</v>
      </c>
      <c r="AM397" s="25" t="s">
        <v>362</v>
      </c>
      <c r="AN397" s="25" t="s">
        <v>363</v>
      </c>
      <c r="AO397" s="25" t="s">
        <v>264</v>
      </c>
      <c r="AP397" s="25" t="s">
        <v>265</v>
      </c>
      <c r="AQ397" s="25" t="s">
        <v>364</v>
      </c>
    </row>
    <row r="398" spans="1:43">
      <c r="A398" s="3">
        <v>0</v>
      </c>
      <c r="F398" s="18">
        <f>MIN(0*B396,'2-Caso'!$B$12)</f>
        <v>0</v>
      </c>
      <c r="G398" s="18">
        <f>'2-Caso'!$B$12-F398</f>
        <v>438975.13985857379</v>
      </c>
      <c r="H398" s="18">
        <f>'2-Caso'!$B$13*G398/'2-Caso'!$B$12</f>
        <v>344000</v>
      </c>
      <c r="M398" s="18">
        <f>MIN(0*I396,'2-Caso'!$B$12)</f>
        <v>0</v>
      </c>
      <c r="N398" s="18">
        <f>'2-Caso'!$B$12-M398</f>
        <v>438975.13985857379</v>
      </c>
      <c r="O398" s="18">
        <f>'2-Caso'!$B$13*N398/'2-Caso'!$B$12</f>
        <v>344000</v>
      </c>
      <c r="T398" s="18">
        <f>MIN(0*P396,'2-Caso'!$B$12)</f>
        <v>0</v>
      </c>
      <c r="U398" s="18">
        <f>'2-Caso'!$B$12-T398</f>
        <v>438975.13985857379</v>
      </c>
      <c r="V398" s="18">
        <f>'2-Caso'!$B$13*U398/'2-Caso'!$B$12</f>
        <v>344000</v>
      </c>
      <c r="AA398" s="18">
        <f>MIN(0*W396,'2-Caso'!$B$12)</f>
        <v>0</v>
      </c>
      <c r="AB398" s="18">
        <f>'2-Caso'!$B$12-AA398</f>
        <v>438975.13985857379</v>
      </c>
      <c r="AC398" s="18">
        <f>'2-Caso'!$B$13*AB398/'2-Caso'!$B$12</f>
        <v>344000</v>
      </c>
      <c r="AH398" s="18">
        <f>MIN(0*AD396,'2-Caso'!$B$12)</f>
        <v>0</v>
      </c>
      <c r="AI398" s="18">
        <f>'2-Caso'!$B$12-AH398</f>
        <v>438975.13985857379</v>
      </c>
      <c r="AJ398" s="18">
        <f>'2-Caso'!$B$13*AI398/'2-Caso'!$B$12</f>
        <v>344000</v>
      </c>
      <c r="AO398" s="18">
        <f>MIN(0*AK396,'2-Caso'!$B$12)</f>
        <v>0</v>
      </c>
      <c r="AP398" s="18">
        <f>'2-Caso'!$B$12-AO398</f>
        <v>438975.13985857379</v>
      </c>
      <c r="AQ398" s="18">
        <f>'2-Caso'!$B$13*AP398/'2-Caso'!$B$12</f>
        <v>344000</v>
      </c>
    </row>
    <row r="399" spans="1:43">
      <c r="A399" s="10">
        <f>1</f>
        <v>1</v>
      </c>
      <c r="B399" s="11">
        <f>IF($A399&gt;'1-Input'!$B$26,0,IF(G398&lt;=0,0,MAX(0,(G398-H398)/G398)))</f>
        <v>0.21635653419729481</v>
      </c>
      <c r="C399" s="18">
        <f>IF($A399&gt;'1-Input'!$B$26,0,(MAX(0,B396-IF($A399&gt;='1-Input'!$C$12,'1-Input'!$B$12,0))-MIN(MAX(F398,0),MAX(0,B396-IF($A399&gt;='1-Input'!$C$12,'1-Input'!$B$12,0))))*(1/(1-'P-Parametri'!$B$6*B399))+MIN(MAX(0,G398-(MAX(0,B396-IF($A399&gt;='1-Input'!$C$12,'1-Input'!$B$12,0))-MIN(MAX(F398,0),MAX(0,B396-IF($A399&gt;='1-Input'!$C$12,'1-Input'!$B$12,0))))*(1/(1-'P-Parametri'!$B$6*B399))),MAX(0,0*B396-(F398-MIN(MAX(F398,0),MAX(0,B396-IF($A399&gt;='1-Input'!$C$12,'1-Input'!$B$12,0)))))*(1/(1-'P-Parametri'!$B$6*B399))))</f>
        <v>17675.340946701614</v>
      </c>
      <c r="D399" s="18">
        <f>IF($A399&gt;'1-Input'!$B$26,F398,(F398-MAX(0,B396-IF($A399&gt;='1-Input'!$C$12,'1-Input'!$B$12,0))+C399*(1-'P-Parametri'!$B$6*B399))*(1+'1-Input'!$B$27))</f>
        <v>-3.6248820833861826E-12</v>
      </c>
      <c r="E399" s="18">
        <f>IF($A399&gt;'1-Input'!$B$26,G398,(G398-C399)*(1+$C$4))</f>
        <v>433938.79287922836</v>
      </c>
      <c r="F399" s="18">
        <f>IF($A399&gt;'1-Input'!$B$26,D399,D399-'P-Parametri'!$B$8*(E399+D399)+MIN(MAX(E399,0),'P-Parametri'!$B$8*(E399+D399)))</f>
        <v>-3.637978807091713E-12</v>
      </c>
      <c r="G399" s="18">
        <f>IF($A399&gt;'1-Input'!$B$26,E399,E399-MIN(MAX(E399,0),'P-Parametri'!$B$8*(E399+D399)))</f>
        <v>433070.91529346991</v>
      </c>
      <c r="H399" s="18">
        <f>IF($A399&gt;'1-Input'!$B$26,H398,H398-C399*(1-B399))</f>
        <v>330148.8345612823</v>
      </c>
      <c r="I399" s="11">
        <f>IF($A399&gt;'1-Input'!$B$26,0,IF(N398&lt;=0,0,MAX(0,(N398-O398)/N398)))</f>
        <v>0.21635653419729481</v>
      </c>
      <c r="J399" s="18">
        <f>IF($A399&gt;'1-Input'!$B$26,0,(MAX(0,I396-IF($A399&gt;='1-Input'!$C$12,'1-Input'!$B$12,0))-MIN(MAX(M398,0),MAX(0,I396-IF($A399&gt;='1-Input'!$C$12,'1-Input'!$B$12,0))))*(1/(1-'P-Parametri'!$B$6*I399))+MIN(MAX(0,N398-(MAX(0,I396-IF($A399&gt;='1-Input'!$C$12,'1-Input'!$B$12,0))-MIN(MAX(M398,0),MAX(0,I396-IF($A399&gt;='1-Input'!$C$12,'1-Input'!$B$12,0))))*(1/(1-'P-Parametri'!$B$6*I399))),MAX(0,0*I396-(M398-MIN(MAX(M398,0),MAX(0,I396-IF($A399&gt;='1-Input'!$C$12,'1-Input'!$B$12,0)))))*(1/(1-'P-Parametri'!$B$6*I399))))</f>
        <v>23257.027561449497</v>
      </c>
      <c r="K399" s="18">
        <f>IF($A399&gt;'1-Input'!$B$26,M398,(M398-MAX(0,I396-IF($A399&gt;='1-Input'!$C$12,'1-Input'!$B$12,0))+J399*(1-'P-Parametri'!$B$6*I399))*(1+'1-Input'!$B$27))</f>
        <v>0</v>
      </c>
      <c r="L399" s="18">
        <f>IF($A399&gt;'1-Input'!$B$26,N398,(N398-J399)*(1+$C$4))</f>
        <v>428189.65566603804</v>
      </c>
      <c r="M399" s="18">
        <f>IF($A399&gt;'1-Input'!$B$26,K399,K399-'P-Parametri'!$B$8*(L399+K399)+MIN(MAX(L399,0),'P-Parametri'!$B$8*(L399+K399)))</f>
        <v>0</v>
      </c>
      <c r="N399" s="18">
        <f>IF($A399&gt;'1-Input'!$B$26,L399,L399-MIN(MAX(L399,0),'P-Parametri'!$B$8*(L399+K399)))</f>
        <v>427333.27635470597</v>
      </c>
      <c r="O399" s="18">
        <f>IF($A399&gt;'1-Input'!$B$26,O398,O398-J399*(1-I399))</f>
        <v>325774.7823174767</v>
      </c>
      <c r="P399" s="11">
        <f>IF($A399&gt;'1-Input'!$B$26,0,IF(U398&lt;=0,0,MAX(0,(U398-V398)/U398)))</f>
        <v>0.21635653419729481</v>
      </c>
      <c r="Q399" s="18">
        <f>IF($A399&gt;'1-Input'!$B$26,0,(MAX(0,P396-IF($A399&gt;='1-Input'!$C$12,'1-Input'!$B$12,0))-MIN(MAX(T398,0),MAX(0,P396-IF($A399&gt;='1-Input'!$C$12,'1-Input'!$B$12,0))))*(1/(1-'P-Parametri'!$B$6*P399))+MIN(MAX(0,U398-(MAX(0,P396-IF($A399&gt;='1-Input'!$C$12,'1-Input'!$B$12,0))-MIN(MAX(T398,0),MAX(0,P396-IF($A399&gt;='1-Input'!$C$12,'1-Input'!$B$12,0))))*(1/(1-'P-Parametri'!$B$6*P399))),MAX(0,0*P396-(T398-MIN(MAX(T398,0),MAX(0,P396-IF($A399&gt;='1-Input'!$C$12,'1-Input'!$B$12,0)))))*(1/(1-'P-Parametri'!$B$6*P399))))</f>
        <v>20233.212409567444</v>
      </c>
      <c r="R399" s="18">
        <f>IF($A399&gt;'1-Input'!$B$26,T398,(T398-MAX(0,P396-IF($A399&gt;='1-Input'!$C$12,'1-Input'!$B$12,0))+Q399*(1-'P-Parametri'!$B$6*P399))*(1+'1-Input'!$B$27))</f>
        <v>0</v>
      </c>
      <c r="S399" s="18">
        <f>IF($A399&gt;'1-Input'!$B$26,U398,(U398-Q399)*(1+$C$4))</f>
        <v>431304.18527247658</v>
      </c>
      <c r="T399" s="18">
        <f>IF($A399&gt;'1-Input'!$B$26,R399,R399-'P-Parametri'!$B$8*(S399+R399)+MIN(MAX(S399,0),'P-Parametri'!$B$8*(S399+R399)))</f>
        <v>0</v>
      </c>
      <c r="U399" s="18">
        <f>IF($A399&gt;'1-Input'!$B$26,S399,S399-MIN(MAX(S399,0),'P-Parametri'!$B$8*(S399+R399)))</f>
        <v>430441.57690193161</v>
      </c>
      <c r="V399" s="18">
        <f>IF($A399&gt;'1-Input'!$B$26,V398,V398-Q399*(1-P399))</f>
        <v>328144.37530304427</v>
      </c>
      <c r="W399" s="11">
        <f>IF($A399&gt;'1-Input'!$B$26,0,IF(AB398&lt;=0,0,MAX(0,(AB398-AC398)/AB398)))</f>
        <v>0.21635653419729481</v>
      </c>
      <c r="X399" s="18">
        <f>IF($A399&gt;'1-Input'!$B$26,0,(MAX(0,W396-IF($A399&gt;='1-Input'!$C$12,'1-Input'!$B$12,0))-MIN(MAX(AA398,0),MAX(0,W396-IF($A399&gt;='1-Input'!$C$12,'1-Input'!$B$12,0))))*(1/(1-'P-Parametri'!$B$6*W399))+MIN(MAX(0,AB398-(MAX(0,W396-IF($A399&gt;='1-Input'!$C$12,'1-Input'!$B$12,0))-MIN(MAX(AA398,0),MAX(0,W396-IF($A399&gt;='1-Input'!$C$12,'1-Input'!$B$12,0))))*(1/(1-'P-Parametri'!$B$6*W399))),MAX(0,0*W396-(AA398-MIN(MAX(AA398,0),MAX(0,W396-IF($A399&gt;='1-Input'!$C$12,'1-Input'!$B$12,0)))))*(1/(1-'P-Parametri'!$B$6*W399))))</f>
        <v>19961.660885656765</v>
      </c>
      <c r="Y399" s="18">
        <f>IF($A399&gt;'1-Input'!$B$26,AA398,(AA398-MAX(0,W396-IF($A399&gt;='1-Input'!$C$12,'1-Input'!$B$12,0))+X399*(1-'P-Parametri'!$B$6*W399))*(1+'1-Input'!$B$27))</f>
        <v>0</v>
      </c>
      <c r="Z399" s="18">
        <f>IF($A399&gt;'1-Input'!$B$26,AB398,(AB398-X399)*(1+$C$4))</f>
        <v>431583.88334210456</v>
      </c>
      <c r="AA399" s="18">
        <f>IF($A399&gt;'1-Input'!$B$26,Y399,Y399-'P-Parametri'!$B$8*(Z399+Y399)+MIN(MAX(Z399,0),'P-Parametri'!$B$8*(Z399+Y399)))</f>
        <v>0</v>
      </c>
      <c r="AB399" s="18">
        <f>IF($A399&gt;'1-Input'!$B$26,Z399,Z399-MIN(MAX(Z399,0),'P-Parametri'!$B$8*(Z399+Y399)))</f>
        <v>430720.71557542036</v>
      </c>
      <c r="AC399" s="18">
        <f>IF($A399&gt;'1-Input'!$B$26,AC398,AC398-X399*(1-W399))</f>
        <v>328357.17488038563</v>
      </c>
      <c r="AD399" s="11">
        <f>IF($A399&gt;'1-Input'!$B$26,0,IF(AI398&lt;=0,0,MAX(0,(AI398-AJ398)/AI398)))</f>
        <v>0.21635653419729481</v>
      </c>
      <c r="AE399" s="18">
        <f>IF($A399&gt;'1-Input'!$B$26,0,(MAX(0,AD396-IF($A399&gt;='1-Input'!$C$12,'1-Input'!$B$12,0))-MIN(MAX(AH398,0),MAX(0,AD396-IF($A399&gt;='1-Input'!$C$12,'1-Input'!$B$12,0))))*(1/(1-'P-Parametri'!$B$6*AD399))+MIN(MAX(0,AI398-(MAX(0,AD396-IF($A399&gt;='1-Input'!$C$12,'1-Input'!$B$12,0))-MIN(MAX(AH398,0),MAX(0,AD396-IF($A399&gt;='1-Input'!$C$12,'1-Input'!$B$12,0))))*(1/(1-'P-Parametri'!$B$6*AD399))),MAX(0,0*AD396-(AH398-MIN(MAX(AH398,0),MAX(0,AD396-IF($A399&gt;='1-Input'!$C$12,'1-Input'!$B$12,0)))))*(1/(1-'P-Parametri'!$B$6*AD399))))</f>
        <v>19968.848684205583</v>
      </c>
      <c r="AF399" s="18">
        <f>IF($A399&gt;'1-Input'!$B$26,AH398,(AH398-MAX(0,AD396-IF($A399&gt;='1-Input'!$C$12,'1-Input'!$B$12,0))+AE399*(1-'P-Parametri'!$B$6*AD399))*(1+'1-Input'!$B$27))</f>
        <v>0</v>
      </c>
      <c r="AG399" s="18">
        <f>IF($A399&gt;'1-Input'!$B$26,AI398,(AI398-AE399)*(1+$C$4))</f>
        <v>431576.47990959929</v>
      </c>
      <c r="AH399" s="18">
        <f>IF($A399&gt;'1-Input'!$B$26,AF399,AF399-'P-Parametri'!$B$8*(AG399+AF399)+MIN(MAX(AG399,0),'P-Parametri'!$B$8*(AG399+AF399)))</f>
        <v>0</v>
      </c>
      <c r="AI399" s="18">
        <f>IF($A399&gt;'1-Input'!$B$26,AG399,AG399-MIN(MAX(AG399,0),'P-Parametri'!$B$8*(AG399+AF399)))</f>
        <v>430713.32694978011</v>
      </c>
      <c r="AJ399" s="18">
        <f>IF($A399&gt;'1-Input'!$B$26,AJ398,AJ398-AE399*(1-AD399))</f>
        <v>328351.54220901936</v>
      </c>
      <c r="AK399" s="11">
        <f>IF($A399&gt;'1-Input'!$B$26,0,IF(AP398&lt;=0,0,MAX(0,(AP398-AQ398)/AP398)))</f>
        <v>0.21635653419729481</v>
      </c>
      <c r="AL399" s="18">
        <f>IF($A399&gt;'1-Input'!$B$26,0,(MAX(0,AK396-IF($A399&gt;='1-Input'!$C$12,'1-Input'!$B$12,0))-MIN(MAX(AO398,0),MAX(0,AK396-IF($A399&gt;='1-Input'!$C$12,'1-Input'!$B$12,0))))*(1/(1-'P-Parametri'!$B$6*AK399))+MIN(MAX(0,AP398-(MAX(0,AK396-IF($A399&gt;='1-Input'!$C$12,'1-Input'!$B$12,0))-MIN(MAX(AO398,0),MAX(0,AK396-IF($A399&gt;='1-Input'!$C$12,'1-Input'!$B$12,0))))*(1/(1-'P-Parametri'!$B$6*AK399))),MAX(0,0*AK396-(AO398-MIN(MAX(AO398,0),MAX(0,AK396-IF($A399&gt;='1-Input'!$C$12,'1-Input'!$B$12,0)))))*(1/(1-'P-Parametri'!$B$6*AK399))))</f>
        <v>19967.732551524521</v>
      </c>
      <c r="AM399" s="18">
        <f>IF($A399&gt;'1-Input'!$B$26,AO398,(AO398-MAX(0,AK396-IF($A399&gt;='1-Input'!$C$12,'1-Input'!$B$12,0))+AL399*(1-'P-Parametri'!$B$6*AK399))*(1+'1-Input'!$B$27))</f>
        <v>0</v>
      </c>
      <c r="AN399" s="18">
        <f>IF($A399&gt;'1-Input'!$B$26,AP398,(AP398-AL399)*(1+$C$4))</f>
        <v>431577.62952626077</v>
      </c>
      <c r="AO399" s="18">
        <f>IF($A399&gt;'1-Input'!$B$26,AM399,AM399-'P-Parametri'!$B$8*(AN399+AM399)+MIN(MAX(AN399,0),'P-Parametri'!$B$8*(AN399+AM399)))</f>
        <v>0</v>
      </c>
      <c r="AP399" s="18">
        <f>IF($A399&gt;'1-Input'!$B$26,AN399,AN399-MIN(MAX(AN399,0),'P-Parametri'!$B$8*(AN399+AM399)))</f>
        <v>430714.47426720825</v>
      </c>
      <c r="AQ399" s="18">
        <f>IF($A399&gt;'1-Input'!$B$26,AQ398,AQ398-AL399*(1-AK399))</f>
        <v>328352.41685910185</v>
      </c>
    </row>
    <row r="400" spans="1:43">
      <c r="A400" s="10">
        <f>2</f>
        <v>2</v>
      </c>
      <c r="B400" s="11">
        <f>IF($A400&gt;'1-Input'!$B$26,0,IF(G399&lt;=0,0,MAX(0,(G399-H399)/G399)))</f>
        <v>0.23765641399040294</v>
      </c>
      <c r="C400" s="18">
        <f>IF($A400&gt;'1-Input'!$B$26,0,(MAX(0,B396-IF($A400&gt;='1-Input'!$C$12,'1-Input'!$B$12,0))-MIN(MAX(F399,0),MAX(0,B396-IF($A400&gt;='1-Input'!$C$12,'1-Input'!$B$12,0))))*(1/(1-'P-Parametri'!$B$6*B400))+MIN(MAX(0,G399-(MAX(0,B396-IF($A400&gt;='1-Input'!$C$12,'1-Input'!$B$12,0))-MIN(MAX(F399,0),MAX(0,B396-IF($A400&gt;='1-Input'!$C$12,'1-Input'!$B$12,0))))*(1/(1-'P-Parametri'!$B$6*B400))),MAX(0,0*B396-(F399-MIN(MAX(F399,0),MAX(0,B396-IF($A400&gt;='1-Input'!$C$12,'1-Input'!$B$12,0)))))*(1/(1-'P-Parametri'!$B$6*B400))))</f>
        <v>17779.673191505583</v>
      </c>
      <c r="D400" s="18">
        <f>IF($A400&gt;'1-Input'!$B$26,F399,(F399-MAX(0,B396-IF($A400&gt;='1-Input'!$C$12,'1-Input'!$B$12,0))+C400*(1-'P-Parametri'!$B$6*B400))*(1+'1-Input'!$B$27))</f>
        <v>0</v>
      </c>
      <c r="E400" s="18">
        <f>IF($A400&gt;'1-Input'!$B$26,G399,(G399-C400)*(1+$C$4))</f>
        <v>427749.97936502326</v>
      </c>
      <c r="F400" s="18">
        <f>IF($A400&gt;'1-Input'!$B$26,D400,D400-'P-Parametri'!$B$8*(E400+D400)+MIN(MAX(E400,0),'P-Parametri'!$B$8*(E400+D400)))</f>
        <v>0</v>
      </c>
      <c r="G400" s="18">
        <f>IF($A400&gt;'1-Input'!$B$26,E400,E400-MIN(MAX(E400,0),'P-Parametri'!$B$8*(E400+D400)))</f>
        <v>426894.47940629319</v>
      </c>
      <c r="H400" s="18">
        <f>IF($A400&gt;'1-Input'!$B$26,H399,H399-C400*(1-B400))</f>
        <v>316594.61474239122</v>
      </c>
      <c r="I400" s="11">
        <f>IF($A400&gt;'1-Input'!$B$26,0,IF(N399&lt;=0,0,MAX(0,(N399-O399)/N399)))</f>
        <v>0.23765641399040296</v>
      </c>
      <c r="J400" s="18">
        <f>IF($A400&gt;'1-Input'!$B$26,0,(MAX(0,I396-IF($A400&gt;='1-Input'!$C$12,'1-Input'!$B$12,0))-MIN(MAX(M399,0),MAX(0,I396-IF($A400&gt;='1-Input'!$C$12,'1-Input'!$B$12,0))))*(1/(1-'P-Parametri'!$B$6*I400))+MIN(MAX(0,N399-(MAX(0,I396-IF($A400&gt;='1-Input'!$C$12,'1-Input'!$B$12,0))-MIN(MAX(M399,0),MAX(0,I396-IF($A400&gt;='1-Input'!$C$12,'1-Input'!$B$12,0))))*(1/(1-'P-Parametri'!$B$6*I400))),MAX(0,0*I396-(M399-MIN(MAX(M399,0),MAX(0,I396-IF($A400&gt;='1-Input'!$C$12,'1-Input'!$B$12,0)))))*(1/(1-'P-Parametri'!$B$6*I400))))</f>
        <v>23394.306830928395</v>
      </c>
      <c r="K400" s="18">
        <f>IF($A400&gt;'1-Input'!$B$26,M399,(M399-MAX(0,I396-IF($A400&gt;='1-Input'!$C$12,'1-Input'!$B$12,0))+J400*(1-'P-Parametri'!$B$6*I400))*(1+'1-Input'!$B$27))</f>
        <v>0</v>
      </c>
      <c r="L400" s="18">
        <f>IF($A400&gt;'1-Input'!$B$26,N399,(N399-J400)*(1+$C$4))</f>
        <v>416057.13860949094</v>
      </c>
      <c r="M400" s="18">
        <f>IF($A400&gt;'1-Input'!$B$26,K400,K400-'P-Parametri'!$B$8*(L400+K400)+MIN(MAX(L400,0),'P-Parametri'!$B$8*(L400+K400)))</f>
        <v>0</v>
      </c>
      <c r="N400" s="18">
        <f>IF($A400&gt;'1-Input'!$B$26,L400,L400-MIN(MAX(L400,0),'P-Parametri'!$B$8*(L400+K400)))</f>
        <v>415225.02433227195</v>
      </c>
      <c r="O400" s="18">
        <f>IF($A400&gt;'1-Input'!$B$26,O399,O399-J400*(1-I400))</f>
        <v>307940.28255577793</v>
      </c>
      <c r="P400" s="11">
        <f>IF($A400&gt;'1-Input'!$B$26,0,IF(U399&lt;=0,0,MAX(0,(U399-V399)/U399)))</f>
        <v>0.23765641399040296</v>
      </c>
      <c r="Q400" s="18">
        <f>IF($A400&gt;'1-Input'!$B$26,0,(MAX(0,P396-IF($A400&gt;='1-Input'!$C$12,'1-Input'!$B$12,0))-MIN(MAX(T399,0),MAX(0,P396-IF($A400&gt;='1-Input'!$C$12,'1-Input'!$B$12,0))))*(1/(1-'P-Parametri'!$B$6*P400))+MIN(MAX(0,U399-(MAX(0,P396-IF($A400&gt;='1-Input'!$C$12,'1-Input'!$B$12,0))-MIN(MAX(T399,0),MAX(0,P396-IF($A400&gt;='1-Input'!$C$12,'1-Input'!$B$12,0))))*(1/(1-'P-Parametri'!$B$6*P400))),MAX(0,0*P396-(T399-MIN(MAX(T399,0),MAX(0,P396-IF($A400&gt;='1-Input'!$C$12,'1-Input'!$B$12,0)))))*(1/(1-'P-Parametri'!$B$6*P400))))</f>
        <v>20352.643003673154</v>
      </c>
      <c r="R400" s="18">
        <f>IF($A400&gt;'1-Input'!$B$26,T399,(T399-MAX(0,P396-IF($A400&gt;='1-Input'!$C$12,'1-Input'!$B$12,0))+Q400*(1-'P-Parametri'!$B$6*P400))*(1+'1-Input'!$B$27))</f>
        <v>3.6248820833861826E-12</v>
      </c>
      <c r="S400" s="18">
        <f>IF($A400&gt;'1-Input'!$B$26,U399,(U399-Q400)*(1+$C$4))</f>
        <v>422391.60191520618</v>
      </c>
      <c r="T400" s="18">
        <f>IF($A400&gt;'1-Input'!$B$26,R400,R400-'P-Parametri'!$B$8*(S400+R400)+MIN(MAX(S400,0),'P-Parametri'!$B$8*(S400+R400)))</f>
        <v>3.637978807091713E-12</v>
      </c>
      <c r="U400" s="18">
        <f>IF($A400&gt;'1-Input'!$B$26,S400,S400-MIN(MAX(S400,0),'P-Parametri'!$B$8*(S400+R400)))</f>
        <v>421546.81871137576</v>
      </c>
      <c r="V400" s="18">
        <f>IF($A400&gt;'1-Input'!$B$26,V399,V399-Q400*(1-P400))</f>
        <v>312628.66845085094</v>
      </c>
      <c r="W400" s="11">
        <f>IF($A400&gt;'1-Input'!$B$26,0,IF(AB399&lt;=0,0,MAX(0,(AB399-AC399)/AB399)))</f>
        <v>0.23765641399040299</v>
      </c>
      <c r="X400" s="18">
        <f>IF($A400&gt;'1-Input'!$B$26,0,(MAX(0,W396-IF($A400&gt;='1-Input'!$C$12,'1-Input'!$B$12,0))-MIN(MAX(AA399,0),MAX(0,W396-IF($A400&gt;='1-Input'!$C$12,'1-Input'!$B$12,0))))*(1/(1-'P-Parametri'!$B$6*W400))+MIN(MAX(0,AB399-(MAX(0,W396-IF($A400&gt;='1-Input'!$C$12,'1-Input'!$B$12,0))-MIN(MAX(AA399,0),MAX(0,W396-IF($A400&gt;='1-Input'!$C$12,'1-Input'!$B$12,0))))*(1/(1-'P-Parametri'!$B$6*W400))),MAX(0,0*W396-(AA399-MIN(MAX(AA399,0),MAX(0,W396-IF($A400&gt;='1-Input'!$C$12,'1-Input'!$B$12,0)))))*(1/(1-'P-Parametri'!$B$6*W400))))</f>
        <v>20079.48859243176</v>
      </c>
      <c r="Y400" s="18">
        <f>IF($A400&gt;'1-Input'!$B$26,AA399,(AA399-MAX(0,W396-IF($A400&gt;='1-Input'!$C$12,'1-Input'!$B$12,0))+X400*(1-'P-Parametri'!$B$6*W400))*(1+'1-Input'!$B$27))</f>
        <v>0</v>
      </c>
      <c r="Z400" s="18">
        <f>IF($A400&gt;'1-Input'!$B$26,AB399,(AB399-X400)*(1+$C$4))</f>
        <v>422960.46379247826</v>
      </c>
      <c r="AA400" s="18">
        <f>IF($A400&gt;'1-Input'!$B$26,Y400,Y400-'P-Parametri'!$B$8*(Z400+Y400)+MIN(MAX(Z400,0),'P-Parametri'!$B$8*(Z400+Y400)))</f>
        <v>0</v>
      </c>
      <c r="AB400" s="18">
        <f>IF($A400&gt;'1-Input'!$B$26,Z400,Z400-MIN(MAX(Z400,0),'P-Parametri'!$B$8*(Z400+Y400)))</f>
        <v>422114.54286489333</v>
      </c>
      <c r="AC400" s="18">
        <f>IF($A400&gt;'1-Input'!$B$26,AC399,AC399-X400*(1-W400))</f>
        <v>313049.70554159238</v>
      </c>
      <c r="AD400" s="11">
        <f>IF($A400&gt;'1-Input'!$B$26,0,IF(AI399&lt;=0,0,MAX(0,(AI399-AJ399)/AI399)))</f>
        <v>0.23765641399040302</v>
      </c>
      <c r="AE400" s="18">
        <f>IF($A400&gt;'1-Input'!$B$26,0,(MAX(0,AD396-IF($A400&gt;='1-Input'!$C$12,'1-Input'!$B$12,0))-MIN(MAX(AH399,0),MAX(0,AD396-IF($A400&gt;='1-Input'!$C$12,'1-Input'!$B$12,0))))*(1/(1-'P-Parametri'!$B$6*AD400))+MIN(MAX(0,AI399-(MAX(0,AD396-IF($A400&gt;='1-Input'!$C$12,'1-Input'!$B$12,0))-MIN(MAX(AH399,0),MAX(0,AD396-IF($A400&gt;='1-Input'!$C$12,'1-Input'!$B$12,0))))*(1/(1-'P-Parametri'!$B$6*AD400))),MAX(0,0*AD396-(AH399-MIN(MAX(AH399,0),MAX(0,AD396-IF($A400&gt;='1-Input'!$C$12,'1-Input'!$B$12,0)))))*(1/(1-'P-Parametri'!$B$6*AD400))))</f>
        <v>20086.718818403057</v>
      </c>
      <c r="AF400" s="18">
        <f>IF($A400&gt;'1-Input'!$B$26,AH399,(AH399-MAX(0,AD396-IF($A400&gt;='1-Input'!$C$12,'1-Input'!$B$12,0))+AE400*(1-'P-Parametri'!$B$6*AD400))*(1+'1-Input'!$B$27))</f>
        <v>0</v>
      </c>
      <c r="AG400" s="18">
        <f>IF($A400&gt;'1-Input'!$B$26,AI399,(AI399-AE400)*(1+$C$4))</f>
        <v>422945.40637531836</v>
      </c>
      <c r="AH400" s="18">
        <f>IF($A400&gt;'1-Input'!$B$26,AF400,AF400-'P-Parametri'!$B$8*(AG400+AF400)+MIN(MAX(AG400,0),'P-Parametri'!$B$8*(AG400+AF400)))</f>
        <v>0</v>
      </c>
      <c r="AI400" s="18">
        <f>IF($A400&gt;'1-Input'!$B$26,AG400,AG400-MIN(MAX(AG400,0),'P-Parametri'!$B$8*(AG400+AF400)))</f>
        <v>422099.51556256774</v>
      </c>
      <c r="AJ400" s="18">
        <f>IF($A400&gt;'1-Input'!$B$26,AJ399,AJ399-AE400*(1-AD400))</f>
        <v>313038.56095383153</v>
      </c>
      <c r="AK400" s="11">
        <f>IF($A400&gt;'1-Input'!$B$26,0,IF(AP399&lt;=0,0,MAX(0,(AP399-AQ399)/AP399)))</f>
        <v>0.23765641399040294</v>
      </c>
      <c r="AL400" s="18">
        <f>IF($A400&gt;'1-Input'!$B$26,0,(MAX(0,AK396-IF($A400&gt;='1-Input'!$C$12,'1-Input'!$B$12,0))-MIN(MAX(AO399,0),MAX(0,AK396-IF($A400&gt;='1-Input'!$C$12,'1-Input'!$B$12,0))))*(1/(1-'P-Parametri'!$B$6*AK400))+MIN(MAX(0,AP399-(MAX(0,AK396-IF($A400&gt;='1-Input'!$C$12,'1-Input'!$B$12,0))-MIN(MAX(AO399,0),MAX(0,AK396-IF($A400&gt;='1-Input'!$C$12,'1-Input'!$B$12,0))))*(1/(1-'P-Parametri'!$B$6*AK400))),MAX(0,0*AK396-(AO399-MIN(MAX(AO399,0),MAX(0,AK396-IF($A400&gt;='1-Input'!$C$12,'1-Input'!$B$12,0)))))*(1/(1-'P-Parametri'!$B$6*AK400))))</f>
        <v>20085.596097524998</v>
      </c>
      <c r="AM400" s="18">
        <f>IF($A400&gt;'1-Input'!$B$26,AO399,(AO399-MAX(0,AK396-IF($A400&gt;='1-Input'!$C$12,'1-Input'!$B$12,0))+AL400*(1-'P-Parametri'!$B$6*AK400))*(1+'1-Input'!$B$27))</f>
        <v>0</v>
      </c>
      <c r="AN400" s="18">
        <f>IF($A400&gt;'1-Input'!$B$26,AP399,(AP399-AL400)*(1+$C$4))</f>
        <v>422947.74451477377</v>
      </c>
      <c r="AO400" s="18">
        <f>IF($A400&gt;'1-Input'!$B$26,AM400,AM400-'P-Parametri'!$B$8*(AN400+AM400)+MIN(MAX(AN400,0),'P-Parametri'!$B$8*(AN400+AM400)))</f>
        <v>0</v>
      </c>
      <c r="AP400" s="18">
        <f>IF($A400&gt;'1-Input'!$B$26,AN400,AN400-MIN(MAX(AN400,0),'P-Parametri'!$B$8*(AN400+AM400)))</f>
        <v>422101.84902574425</v>
      </c>
      <c r="AQ400" s="18">
        <f>IF($A400&gt;'1-Input'!$B$26,AQ399,AQ399-AL400*(1-AK400))</f>
        <v>313040.29150297429</v>
      </c>
    </row>
    <row r="401" spans="1:43">
      <c r="A401" s="10">
        <f>3</f>
        <v>3</v>
      </c>
      <c r="B401" s="11">
        <f>IF($A401&gt;'1-Input'!$B$26,0,IF(G400&lt;=0,0,MAX(0,(G400-H400)/G400)))</f>
        <v>0.25837735080880492</v>
      </c>
      <c r="C401" s="18">
        <f>IF($A401&gt;'1-Input'!$B$26,0,(MAX(0,B396-IF($A401&gt;='1-Input'!$C$12,'1-Input'!$B$12,0))-MIN(MAX(F400,0),MAX(0,B396-IF($A401&gt;='1-Input'!$C$12,'1-Input'!$B$12,0))))*(1/(1-'P-Parametri'!$B$6*B401))+MIN(MAX(0,G400-(MAX(0,B396-IF($A401&gt;='1-Input'!$C$12,'1-Input'!$B$12,0))-MIN(MAX(F400,0),MAX(0,B396-IF($A401&gt;='1-Input'!$C$12,'1-Input'!$B$12,0))))*(1/(1-'P-Parametri'!$B$6*B401))),MAX(0,0*B396-(F400-MIN(MAX(F400,0),MAX(0,B396-IF($A401&gt;='1-Input'!$C$12,'1-Input'!$B$12,0)))))*(1/(1-'P-Parametri'!$B$6*B401))))</f>
        <v>17882.358374189342</v>
      </c>
      <c r="D401" s="18">
        <f>IF($A401&gt;'1-Input'!$B$26,F400,(F400-MAX(0,B396-IF($A401&gt;='1-Input'!$C$12,'1-Input'!$B$12,0))+C401*(1-'P-Parametri'!$B$6*B401))*(1+'1-Input'!$B$27))</f>
        <v>0</v>
      </c>
      <c r="E401" s="18">
        <f>IF($A401&gt;'1-Input'!$B$26,G400,(G400-C401)*(1+$C$4))</f>
        <v>421282.48466306698</v>
      </c>
      <c r="F401" s="18">
        <f>IF($A401&gt;'1-Input'!$B$26,D401,D401-'P-Parametri'!$B$8*(E401+D401)+MIN(MAX(E401,0),'P-Parametri'!$B$8*(E401+D401)))</f>
        <v>0</v>
      </c>
      <c r="G401" s="18">
        <f>IF($A401&gt;'1-Input'!$B$26,E401,E401-MIN(MAX(E401,0),'P-Parametri'!$B$8*(E401+D401)))</f>
        <v>420439.91969374084</v>
      </c>
      <c r="H401" s="18">
        <f>IF($A401&gt;'1-Input'!$B$26,H400,H400-C401*(1-B401))</f>
        <v>303332.65275113855</v>
      </c>
      <c r="I401" s="11">
        <f>IF($A401&gt;'1-Input'!$B$26,0,IF(N400&lt;=0,0,MAX(0,(N400-O400)/N400)))</f>
        <v>0.25837735080880497</v>
      </c>
      <c r="J401" s="18">
        <f>IF($A401&gt;'1-Input'!$B$26,0,(MAX(0,I396-IF($A401&gt;='1-Input'!$C$12,'1-Input'!$B$12,0))-MIN(MAX(M400,0),MAX(0,I396-IF($A401&gt;='1-Input'!$C$12,'1-Input'!$B$12,0))))*(1/(1-'P-Parametri'!$B$6*I401))+MIN(MAX(0,N400-(MAX(0,I396-IF($A401&gt;='1-Input'!$C$12,'1-Input'!$B$12,0))-MIN(MAX(M400,0),MAX(0,I396-IF($A401&gt;='1-Input'!$C$12,'1-Input'!$B$12,0))))*(1/(1-'P-Parametri'!$B$6*I401))),MAX(0,0*I396-(M400-MIN(MAX(M400,0),MAX(0,I396-IF($A401&gt;='1-Input'!$C$12,'1-Input'!$B$12,0)))))*(1/(1-'P-Parametri'!$B$6*I401))))</f>
        <v>23529.418913407029</v>
      </c>
      <c r="K401" s="18">
        <f>IF($A401&gt;'1-Input'!$B$26,M400,(M400-MAX(0,I396-IF($A401&gt;='1-Input'!$C$12,'1-Input'!$B$12,0))+J401*(1-'P-Parametri'!$B$6*I401))*(1+'1-Input'!$B$27))</f>
        <v>-3.6248820833861826E-12</v>
      </c>
      <c r="L401" s="18">
        <f>IF($A401&gt;'1-Input'!$B$26,N400,(N400-J401)*(1+$C$4))</f>
        <v>403446.47358143091</v>
      </c>
      <c r="M401" s="18">
        <f>IF($A401&gt;'1-Input'!$B$26,K401,K401-'P-Parametri'!$B$8*(L401+K401)+MIN(MAX(L401,0),'P-Parametri'!$B$8*(L401+K401)))</f>
        <v>-3.637978807091713E-12</v>
      </c>
      <c r="N401" s="18">
        <f>IF($A401&gt;'1-Input'!$B$26,L401,L401-MIN(MAX(L401,0),'P-Parametri'!$B$8*(L401+K401)))</f>
        <v>402639.58063426806</v>
      </c>
      <c r="O401" s="18">
        <f>IF($A401&gt;'1-Input'!$B$26,O400,O400-J401*(1-I401))</f>
        <v>290490.33256728761</v>
      </c>
      <c r="P401" s="11">
        <f>IF($A401&gt;'1-Input'!$B$26,0,IF(U400&lt;=0,0,MAX(0,(U400-V400)/U400)))</f>
        <v>0.25837735080880492</v>
      </c>
      <c r="Q401" s="18">
        <f>IF($A401&gt;'1-Input'!$B$26,0,(MAX(0,P396-IF($A401&gt;='1-Input'!$C$12,'1-Input'!$B$12,0))-MIN(MAX(T400,0),MAX(0,P396-IF($A401&gt;='1-Input'!$C$12,'1-Input'!$B$12,0))))*(1/(1-'P-Parametri'!$B$6*P401))+MIN(MAX(0,U400-(MAX(0,P396-IF($A401&gt;='1-Input'!$C$12,'1-Input'!$B$12,0))-MIN(MAX(T400,0),MAX(0,P396-IF($A401&gt;='1-Input'!$C$12,'1-Input'!$B$12,0))))*(1/(1-'P-Parametri'!$B$6*P401))),MAX(0,0*P396-(T400-MIN(MAX(T400,0),MAX(0,P396-IF($A401&gt;='1-Input'!$C$12,'1-Input'!$B$12,0)))))*(1/(1-'P-Parametri'!$B$6*P401))))</f>
        <v>20470.1881825085</v>
      </c>
      <c r="R401" s="18">
        <f>IF($A401&gt;'1-Input'!$B$26,T400,(T400-MAX(0,P396-IF($A401&gt;='1-Input'!$C$12,'1-Input'!$B$12,0))+Q401*(1-'P-Parametri'!$B$6*P401))*(1+'1-Input'!$B$27))</f>
        <v>0</v>
      </c>
      <c r="S401" s="18">
        <f>IF($A401&gt;'1-Input'!$B$26,U400,(U400-Q401)*(1+$C$4))</f>
        <v>413108.92944473325</v>
      </c>
      <c r="T401" s="18">
        <f>IF($A401&gt;'1-Input'!$B$26,R401,R401-'P-Parametri'!$B$8*(S401+R401)+MIN(MAX(S401,0),'P-Parametri'!$B$8*(S401+R401)))</f>
        <v>0</v>
      </c>
      <c r="U401" s="18">
        <f>IF($A401&gt;'1-Input'!$B$26,S401,S401-MIN(MAX(S401,0),'P-Parametri'!$B$8*(S401+R401)))</f>
        <v>412282.71158584376</v>
      </c>
      <c r="V401" s="18">
        <f>IF($A401&gt;'1-Input'!$B$26,V400,V400-Q401*(1-P401))</f>
        <v>297447.51326149667</v>
      </c>
      <c r="W401" s="11">
        <f>IF($A401&gt;'1-Input'!$B$26,0,IF(AB400&lt;=0,0,MAX(0,(AB400-AC400)/AB400)))</f>
        <v>0.25837735080880514</v>
      </c>
      <c r="X401" s="18">
        <f>IF($A401&gt;'1-Input'!$B$26,0,(MAX(0,W396-IF($A401&gt;='1-Input'!$C$12,'1-Input'!$B$12,0))-MIN(MAX(AA400,0),MAX(0,W396-IF($A401&gt;='1-Input'!$C$12,'1-Input'!$B$12,0))))*(1/(1-'P-Parametri'!$B$6*W401))+MIN(MAX(0,AB400-(MAX(0,W396-IF($A401&gt;='1-Input'!$C$12,'1-Input'!$B$12,0))-MIN(MAX(AA400,0),MAX(0,W396-IF($A401&gt;='1-Input'!$C$12,'1-Input'!$B$12,0))))*(1/(1-'P-Parametri'!$B$6*W401))),MAX(0,0*W396-(AA400-MIN(MAX(AA400,0),MAX(0,W396-IF($A401&gt;='1-Input'!$C$12,'1-Input'!$B$12,0)))))*(1/(1-'P-Parametri'!$B$6*W401))))</f>
        <v>20195.456188241988</v>
      </c>
      <c r="Y401" s="18">
        <f>IF($A401&gt;'1-Input'!$B$26,AA400,(AA400-MAX(0,W396-IF($A401&gt;='1-Input'!$C$12,'1-Input'!$B$12,0))+X401*(1-'P-Parametri'!$B$6*W401))*(1+'1-Input'!$B$27))</f>
        <v>0</v>
      </c>
      <c r="Z401" s="18">
        <f>IF($A401&gt;'1-Input'!$B$26,AB400,(AB400-X401)*(1+$C$4))</f>
        <v>413976.65927695087</v>
      </c>
      <c r="AA401" s="18">
        <f>IF($A401&gt;'1-Input'!$B$26,Y401,Y401-'P-Parametri'!$B$8*(Z401+Y401)+MIN(MAX(Z401,0),'P-Parametri'!$B$8*(Z401+Y401)))</f>
        <v>0</v>
      </c>
      <c r="AB401" s="18">
        <f>IF($A401&gt;'1-Input'!$B$26,Z401,Z401-MIN(MAX(Z401,0),'P-Parametri'!$B$8*(Z401+Y401)))</f>
        <v>413148.70595839695</v>
      </c>
      <c r="AC401" s="18">
        <f>IF($A401&gt;'1-Input'!$B$26,AC400,AC400-X401*(1-W401))</f>
        <v>298072.29782164365</v>
      </c>
      <c r="AD401" s="11">
        <f>IF($A401&gt;'1-Input'!$B$26,0,IF(AI400&lt;=0,0,MAX(0,(AI400-AJ400)/AI400)))</f>
        <v>0.25837735080880497</v>
      </c>
      <c r="AE401" s="18">
        <f>IF($A401&gt;'1-Input'!$B$26,0,(MAX(0,AD396-IF($A401&gt;='1-Input'!$C$12,'1-Input'!$B$12,0))-MIN(MAX(AH400,0),MAX(0,AD396-IF($A401&gt;='1-Input'!$C$12,'1-Input'!$B$12,0))))*(1/(1-'P-Parametri'!$B$6*AD401))+MIN(MAX(0,AI400-(MAX(0,AD396-IF($A401&gt;='1-Input'!$C$12,'1-Input'!$B$12,0))-MIN(MAX(AH400,0),MAX(0,AD396-IF($A401&gt;='1-Input'!$C$12,'1-Input'!$B$12,0))))*(1/(1-'P-Parametri'!$B$6*AD401))),MAX(0,0*AD396-(AH400-MIN(MAX(AH400,0),MAX(0,AD396-IF($A401&gt;='1-Input'!$C$12,'1-Input'!$B$12,0)))))*(1/(1-'P-Parametri'!$B$6*AD401))))</f>
        <v>20202.728171846658</v>
      </c>
      <c r="AF401" s="18">
        <f>IF($A401&gt;'1-Input'!$B$26,AH400,(AH400-MAX(0,AD396-IF($A401&gt;='1-Input'!$C$12,'1-Input'!$B$12,0))+AE401*(1-'P-Parametri'!$B$6*AD401))*(1+'1-Input'!$B$27))</f>
        <v>0</v>
      </c>
      <c r="AG401" s="18">
        <f>IF($A401&gt;'1-Input'!$B$26,AI400,(AI400-AE401)*(1+$C$4))</f>
        <v>413953.69101244275</v>
      </c>
      <c r="AH401" s="18">
        <f>IF($A401&gt;'1-Input'!$B$26,AF401,AF401-'P-Parametri'!$B$8*(AG401+AF401)+MIN(MAX(AG401,0),'P-Parametri'!$B$8*(AG401+AF401)))</f>
        <v>0</v>
      </c>
      <c r="AI401" s="18">
        <f>IF($A401&gt;'1-Input'!$B$26,AG401,AG401-MIN(MAX(AG401,0),'P-Parametri'!$B$8*(AG401+AF401)))</f>
        <v>413125.78363041789</v>
      </c>
      <c r="AJ401" s="18">
        <f>IF($A401&gt;'1-Input'!$B$26,AJ400,AJ400-AE401*(1-AD401))</f>
        <v>298055.76016613701</v>
      </c>
      <c r="AK401" s="11">
        <f>IF($A401&gt;'1-Input'!$B$26,0,IF(AP400&lt;=0,0,MAX(0,(AP400-AQ400)/AP400)))</f>
        <v>0.25837735080880497</v>
      </c>
      <c r="AL401" s="18">
        <f>IF($A401&gt;'1-Input'!$B$26,0,(MAX(0,AK396-IF($A401&gt;='1-Input'!$C$12,'1-Input'!$B$12,0))-MIN(MAX(AO400,0),MAX(0,AK396-IF($A401&gt;='1-Input'!$C$12,'1-Input'!$B$12,0))))*(1/(1-'P-Parametri'!$B$6*AK401))+MIN(MAX(0,AP400-(MAX(0,AK396-IF($A401&gt;='1-Input'!$C$12,'1-Input'!$B$12,0))-MIN(MAX(AO400,0),MAX(0,AK396-IF($A401&gt;='1-Input'!$C$12,'1-Input'!$B$12,0))))*(1/(1-'P-Parametri'!$B$6*AK401))),MAX(0,0*AK396-(AO400-MIN(MAX(AO400,0),MAX(0,AK396-IF($A401&gt;='1-Input'!$C$12,'1-Input'!$B$12,0)))))*(1/(1-'P-Parametri'!$B$6*AK401))))</f>
        <v>20201.598966777514</v>
      </c>
      <c r="AM401" s="18">
        <f>IF($A401&gt;'1-Input'!$B$26,AO400,(AO400-MAX(0,AK396-IF($A401&gt;='1-Input'!$C$12,'1-Input'!$B$12,0))+AL401*(1-'P-Parametri'!$B$6*AK401))*(1+'1-Input'!$B$27))</f>
        <v>0</v>
      </c>
      <c r="AN401" s="18">
        <f>IF($A401&gt;'1-Input'!$B$26,AP400,(AP400-AL401)*(1+$C$4))</f>
        <v>413957.25756073574</v>
      </c>
      <c r="AO401" s="18">
        <f>IF($A401&gt;'1-Input'!$B$26,AM401,AM401-'P-Parametri'!$B$8*(AN401+AM401)+MIN(MAX(AN401,0),'P-Parametri'!$B$8*(AN401+AM401)))</f>
        <v>0</v>
      </c>
      <c r="AP401" s="18">
        <f>IF($A401&gt;'1-Input'!$B$26,AN401,AN401-MIN(MAX(AN401,0),'P-Parametri'!$B$8*(AN401+AM401)))</f>
        <v>413129.34304561425</v>
      </c>
      <c r="AQ401" s="18">
        <f>IF($A401&gt;'1-Input'!$B$26,AQ400,AQ400-AL401*(1-AK401))</f>
        <v>298058.32815933466</v>
      </c>
    </row>
    <row r="402" spans="1:43">
      <c r="A402" s="10">
        <f>4</f>
        <v>4</v>
      </c>
      <c r="B402" s="11">
        <f>IF($A402&gt;'1-Input'!$B$26,0,IF(G401&lt;=0,0,MAX(0,(G401-H401)/G401)))</f>
        <v>0.27853508065529603</v>
      </c>
      <c r="C402" s="18">
        <f>IF($A402&gt;'1-Input'!$B$26,0,(MAX(0,B396-IF($A402&gt;='1-Input'!$C$12,'1-Input'!$B$12,0))-MIN(MAX(F401,0),MAX(0,B396-IF($A402&gt;='1-Input'!$C$12,'1-Input'!$B$12,0))))*(1/(1-'P-Parametri'!$B$6*B402))+MIN(MAX(0,G401-(MAX(0,B396-IF($A402&gt;='1-Input'!$C$12,'1-Input'!$B$12,0))-MIN(MAX(F401,0),MAX(0,B396-IF($A402&gt;='1-Input'!$C$12,'1-Input'!$B$12,0))))*(1/(1-'P-Parametri'!$B$6*B402))),MAX(0,0*B396-(F401-MIN(MAX(F401,0),MAX(0,B396-IF($A402&gt;='1-Input'!$C$12,'1-Input'!$B$12,0)))))*(1/(1-'P-Parametri'!$B$6*B402))))</f>
        <v>17983.397126595017</v>
      </c>
      <c r="D402" s="18">
        <f>IF($A402&gt;'1-Input'!$B$26,F401,(F401-MAX(0,B396-IF($A402&gt;='1-Input'!$C$12,'1-Input'!$B$12,0))+C402*(1-'P-Parametri'!$B$6*B402))*(1+'1-Input'!$B$27))</f>
        <v>0</v>
      </c>
      <c r="E402" s="18">
        <f>IF($A402&gt;'1-Input'!$B$26,G401,(G401-C402)*(1+$C$4))</f>
        <v>414530.21824416018</v>
      </c>
      <c r="F402" s="18">
        <f>IF($A402&gt;'1-Input'!$B$26,D402,D402-'P-Parametri'!$B$8*(E402+D402)+MIN(MAX(E402,0),'P-Parametri'!$B$8*(E402+D402)))</f>
        <v>0</v>
      </c>
      <c r="G402" s="18">
        <f>IF($A402&gt;'1-Input'!$B$26,E402,E402-MIN(MAX(E402,0),'P-Parametri'!$B$8*(E402+D402)))</f>
        <v>413701.15780767187</v>
      </c>
      <c r="H402" s="18">
        <f>IF($A402&gt;'1-Input'!$B$26,H401,H401-C402*(1-B402))</f>
        <v>290358.26259365591</v>
      </c>
      <c r="I402" s="11">
        <f>IF($A402&gt;'1-Input'!$B$26,0,IF(N401&lt;=0,0,MAX(0,(N401-O401)/N401)))</f>
        <v>0.27853508065529609</v>
      </c>
      <c r="J402" s="18">
        <f>IF($A402&gt;'1-Input'!$B$26,0,(MAX(0,I396-IF($A402&gt;='1-Input'!$C$12,'1-Input'!$B$12,0))-MIN(MAX(M401,0),MAX(0,I396-IF($A402&gt;='1-Input'!$C$12,'1-Input'!$B$12,0))))*(1/(1-'P-Parametri'!$B$6*I402))+MIN(MAX(0,N401-(MAX(0,I396-IF($A402&gt;='1-Input'!$C$12,'1-Input'!$B$12,0))-MIN(MAX(M401,0),MAX(0,I396-IF($A402&gt;='1-Input'!$C$12,'1-Input'!$B$12,0))))*(1/(1-'P-Parametri'!$B$6*I402))),MAX(0,0*I396-(M401-MIN(MAX(M401,0),MAX(0,I396-IF($A402&gt;='1-Input'!$C$12,'1-Input'!$B$12,0)))))*(1/(1-'P-Parametri'!$B$6*I402))))</f>
        <v>23662.364640256612</v>
      </c>
      <c r="K402" s="18">
        <f>IF($A402&gt;'1-Input'!$B$26,M401,(M401-MAX(0,I396-IF($A402&gt;='1-Input'!$C$12,'1-Input'!$B$12,0))+J402*(1-'P-Parametri'!$B$6*I402))*(1+'1-Input'!$B$27))</f>
        <v>3.6248820833861826E-12</v>
      </c>
      <c r="L402" s="18">
        <f>IF($A402&gt;'1-Input'!$B$26,N401,(N401-J402)*(1+$C$4))</f>
        <v>390346.53247383179</v>
      </c>
      <c r="M402" s="18">
        <f>IF($A402&gt;'1-Input'!$B$26,K402,K402-'P-Parametri'!$B$8*(L402+K402)+MIN(MAX(L402,0),'P-Parametri'!$B$8*(L402+K402)))</f>
        <v>3.637978807091713E-12</v>
      </c>
      <c r="N402" s="18">
        <f>IF($A402&gt;'1-Input'!$B$26,L402,L402-MIN(MAX(L402,0),'P-Parametri'!$B$8*(L402+K402)))</f>
        <v>389565.83940888412</v>
      </c>
      <c r="O402" s="18">
        <f>IF($A402&gt;'1-Input'!$B$26,O401,O401-J402*(1-I402))</f>
        <v>273418.76657059992</v>
      </c>
      <c r="P402" s="11">
        <f>IF($A402&gt;'1-Input'!$B$26,0,IF(U401&lt;=0,0,MAX(0,(U401-V401)/U401)))</f>
        <v>0.27853508065529592</v>
      </c>
      <c r="Q402" s="18">
        <f>IF($A402&gt;'1-Input'!$B$26,0,(MAX(0,P396-IF($A402&gt;='1-Input'!$C$12,'1-Input'!$B$12,0))-MIN(MAX(T401,0),MAX(0,P396-IF($A402&gt;='1-Input'!$C$12,'1-Input'!$B$12,0))))*(1/(1-'P-Parametri'!$B$6*P402))+MIN(MAX(0,U401-(MAX(0,P396-IF($A402&gt;='1-Input'!$C$12,'1-Input'!$B$12,0))-MIN(MAX(T401,0),MAX(0,P396-IF($A402&gt;='1-Input'!$C$12,'1-Input'!$B$12,0))))*(1/(1-'P-Parametri'!$B$6*P402))),MAX(0,0*P396-(T401-MIN(MAX(T401,0),MAX(0,P396-IF($A402&gt;='1-Input'!$C$12,'1-Input'!$B$12,0)))))*(1/(1-'P-Parametri'!$B$6*P402))))</f>
        <v>20585.848669352083</v>
      </c>
      <c r="R402" s="18">
        <f>IF($A402&gt;'1-Input'!$B$26,T401,(T401-MAX(0,P396-IF($A402&gt;='1-Input'!$C$12,'1-Input'!$B$12,0))+Q402*(1-'P-Parametri'!$B$6*P402))*(1+'1-Input'!$B$27))</f>
        <v>3.6248820833861826E-12</v>
      </c>
      <c r="S402" s="18">
        <f>IF($A402&gt;'1-Input'!$B$26,U401,(U401-Q402)*(1+$C$4))</f>
        <v>403447.76880398643</v>
      </c>
      <c r="T402" s="18">
        <f>IF($A402&gt;'1-Input'!$B$26,R402,R402-'P-Parametri'!$B$8*(S402+R402)+MIN(MAX(S402,0),'P-Parametri'!$B$8*(S402+R402)))</f>
        <v>3.637978807091713E-12</v>
      </c>
      <c r="U402" s="18">
        <f>IF($A402&gt;'1-Input'!$B$26,S402,S402-MIN(MAX(S402,0),'P-Parametri'!$B$8*(S402+R402)))</f>
        <v>402640.87326637848</v>
      </c>
      <c r="V402" s="18">
        <f>IF($A402&gt;'1-Input'!$B$26,V401,V401-Q402*(1-P402))</f>
        <v>282595.5456116203</v>
      </c>
      <c r="W402" s="11">
        <f>IF($A402&gt;'1-Input'!$B$26,0,IF(AB401&lt;=0,0,MAX(0,(AB401-AC401)/AB401)))</f>
        <v>0.27853508065529609</v>
      </c>
      <c r="X402" s="18">
        <f>IF($A402&gt;'1-Input'!$B$26,0,(MAX(0,W396-IF($A402&gt;='1-Input'!$C$12,'1-Input'!$B$12,0))-MIN(MAX(AA401,0),MAX(0,W396-IF($A402&gt;='1-Input'!$C$12,'1-Input'!$B$12,0))))*(1/(1-'P-Parametri'!$B$6*W402))+MIN(MAX(0,AB401-(MAX(0,W396-IF($A402&gt;='1-Input'!$C$12,'1-Input'!$B$12,0))-MIN(MAX(AA401,0),MAX(0,W396-IF($A402&gt;='1-Input'!$C$12,'1-Input'!$B$12,0))))*(1/(1-'P-Parametri'!$B$6*W402))),MAX(0,0*W396-(AA401-MIN(MAX(AA401,0),MAX(0,W396-IF($A402&gt;='1-Input'!$C$12,'1-Input'!$B$12,0)))))*(1/(1-'P-Parametri'!$B$6*W402))))</f>
        <v>20309.564386658847</v>
      </c>
      <c r="Y402" s="18">
        <f>IF($A402&gt;'1-Input'!$B$26,AA401,(AA401-MAX(0,W396-IF($A402&gt;='1-Input'!$C$12,'1-Input'!$B$12,0))+X402*(1-'P-Parametri'!$B$6*W402))*(1+'1-Input'!$B$27))</f>
        <v>0</v>
      </c>
      <c r="Z402" s="18">
        <f>IF($A402&gt;'1-Input'!$B$26,AB401,(AB401-X402)*(1+$C$4))</f>
        <v>404624.31581889029</v>
      </c>
      <c r="AA402" s="18">
        <f>IF($A402&gt;'1-Input'!$B$26,Y402,Y402-'P-Parametri'!$B$8*(Z402+Y402)+MIN(MAX(Z402,0),'P-Parametri'!$B$8*(Z402+Y402)))</f>
        <v>0</v>
      </c>
      <c r="AB402" s="18">
        <f>IF($A402&gt;'1-Input'!$B$26,Z402,Z402-MIN(MAX(Z402,0),'P-Parametri'!$B$8*(Z402+Y402)))</f>
        <v>403815.06718725251</v>
      </c>
      <c r="AC402" s="18">
        <f>IF($A402&gt;'1-Input'!$B$26,AC401,AC401-X402*(1-W402))</f>
        <v>283419.65958949673</v>
      </c>
      <c r="AD402" s="11">
        <f>IF($A402&gt;'1-Input'!$B$26,0,IF(AI401&lt;=0,0,MAX(0,(AI401-AJ401)/AI401)))</f>
        <v>0.27853508065529614</v>
      </c>
      <c r="AE402" s="18">
        <f>IF($A402&gt;'1-Input'!$B$26,0,(MAX(0,AD396-IF($A402&gt;='1-Input'!$C$12,'1-Input'!$B$12,0))-MIN(MAX(AH401,0),MAX(0,AD396-IF($A402&gt;='1-Input'!$C$12,'1-Input'!$B$12,0))))*(1/(1-'P-Parametri'!$B$6*AD402))+MIN(MAX(0,AI401-(MAX(0,AD396-IF($A402&gt;='1-Input'!$C$12,'1-Input'!$B$12,0))-MIN(MAX(AH401,0),MAX(0,AD396-IF($A402&gt;='1-Input'!$C$12,'1-Input'!$B$12,0))))*(1/(1-'P-Parametri'!$B$6*AD402))),MAX(0,0*AD396-(AH401-MIN(MAX(AH401,0),MAX(0,AD396-IF($A402&gt;='1-Input'!$C$12,'1-Input'!$B$12,0)))))*(1/(1-'P-Parametri'!$B$6*AD402))))</f>
        <v>20316.877458364743</v>
      </c>
      <c r="AF402" s="18">
        <f>IF($A402&gt;'1-Input'!$B$26,AH401,(AH401-MAX(0,AD396-IF($A402&gt;='1-Input'!$C$12,'1-Input'!$B$12,0))+AE402*(1-'P-Parametri'!$B$6*AD402))*(1+'1-Input'!$B$27))</f>
        <v>0</v>
      </c>
      <c r="AG402" s="18">
        <f>IF($A402&gt;'1-Input'!$B$26,AI401,(AI401-AE402)*(1+$C$4))</f>
        <v>404593.17335721472</v>
      </c>
      <c r="AH402" s="18">
        <f>IF($A402&gt;'1-Input'!$B$26,AF402,AF402-'P-Parametri'!$B$8*(AG402+AF402)+MIN(MAX(AG402,0),'P-Parametri'!$B$8*(AG402+AF402)))</f>
        <v>0</v>
      </c>
      <c r="AI402" s="18">
        <f>IF($A402&gt;'1-Input'!$B$26,AG402,AG402-MIN(MAX(AG402,0),'P-Parametri'!$B$8*(AG402+AF402)))</f>
        <v>403783.98701050028</v>
      </c>
      <c r="AJ402" s="18">
        <f>IF($A402&gt;'1-Input'!$B$26,AJ401,AJ401-AE402*(1-AD402))</f>
        <v>283397.84580930165</v>
      </c>
      <c r="AK402" s="11">
        <f>IF($A402&gt;'1-Input'!$B$26,0,IF(AP401&lt;=0,0,MAX(0,(AP401-AQ401)/AP401)))</f>
        <v>0.27853508065529592</v>
      </c>
      <c r="AL402" s="18">
        <f>IF($A402&gt;'1-Input'!$B$26,0,(MAX(0,AK396-IF($A402&gt;='1-Input'!$C$12,'1-Input'!$B$12,0))-MIN(MAX(AO401,0),MAX(0,AK396-IF($A402&gt;='1-Input'!$C$12,'1-Input'!$B$12,0))))*(1/(1-'P-Parametri'!$B$6*AK402))+MIN(MAX(0,AP401-(MAX(0,AK396-IF($A402&gt;='1-Input'!$C$12,'1-Input'!$B$12,0))-MIN(MAX(AO401,0),MAX(0,AK396-IF($A402&gt;='1-Input'!$C$12,'1-Input'!$B$12,0))))*(1/(1-'P-Parametri'!$B$6*AK402))),MAX(0,0*AK396-(AO401-MIN(MAX(AO401,0),MAX(0,AK396-IF($A402&gt;='1-Input'!$C$12,'1-Input'!$B$12,0)))))*(1/(1-'P-Parametri'!$B$6*AK402))))</f>
        <v>20315.741873070518</v>
      </c>
      <c r="AM402" s="18">
        <f>IF($A402&gt;'1-Input'!$B$26,AO401,(AO401-MAX(0,AK396-IF($A402&gt;='1-Input'!$C$12,'1-Input'!$B$12,0))+AL402*(1-'P-Parametri'!$B$6*AK402))*(1+'1-Input'!$B$27))</f>
        <v>3.6248820833861826E-12</v>
      </c>
      <c r="AN402" s="18">
        <f>IF($A402&gt;'1-Input'!$B$26,AP401,(AP401-AL402)*(1+$C$4))</f>
        <v>404598.00920772005</v>
      </c>
      <c r="AO402" s="18">
        <f>IF($A402&gt;'1-Input'!$B$26,AM402,AM402-'P-Parametri'!$B$8*(AN402+AM402)+MIN(MAX(AN402,0),'P-Parametri'!$B$8*(AN402+AM402)))</f>
        <v>3.637978807091713E-12</v>
      </c>
      <c r="AP402" s="18">
        <f>IF($A402&gt;'1-Input'!$B$26,AN402,AN402-MIN(MAX(AN402,0),'P-Parametri'!$B$8*(AN402+AM402)))</f>
        <v>403788.81318930461</v>
      </c>
      <c r="AQ402" s="18">
        <f>IF($A402&gt;'1-Input'!$B$26,AQ401,AQ401-AL402*(1-AK402))</f>
        <v>283401.23308745201</v>
      </c>
    </row>
    <row r="403" spans="1:43">
      <c r="A403" s="10">
        <f>5</f>
        <v>5</v>
      </c>
      <c r="B403" s="11">
        <f>IF($A403&gt;'1-Input'!$B$26,0,IF(G402&lt;=0,0,MAX(0,(G402-H402)/G402)))</f>
        <v>0.29814491181907116</v>
      </c>
      <c r="C403" s="18">
        <f>IF($A403&gt;'1-Input'!$B$26,0,(MAX(0,B396-IF($A403&gt;='1-Input'!$C$12,'1-Input'!$B$12,0))-MIN(MAX(F402,0),MAX(0,B396-IF($A403&gt;='1-Input'!$C$12,'1-Input'!$B$12,0))))*(1/(1-'P-Parametri'!$B$6*B403))+MIN(MAX(0,G402-(MAX(0,B396-IF($A403&gt;='1-Input'!$C$12,'1-Input'!$B$12,0))-MIN(MAX(F402,0),MAX(0,B396-IF($A403&gt;='1-Input'!$C$12,'1-Input'!$B$12,0))))*(1/(1-'P-Parametri'!$B$6*B403))),MAX(0,0*B396-(F402-MIN(MAX(F402,0),MAX(0,B396-IF($A403&gt;='1-Input'!$C$12,'1-Input'!$B$12,0)))))*(1/(1-'P-Parametri'!$B$6*B403))))</f>
        <v>18082.791290457168</v>
      </c>
      <c r="D403" s="18">
        <f>IF($A403&gt;'1-Input'!$B$26,F402,(F402-MAX(0,B396-IF($A403&gt;='1-Input'!$C$12,'1-Input'!$B$12,0))+C403*(1-'P-Parametri'!$B$6*B403))*(1+'1-Input'!$B$27))</f>
        <v>0</v>
      </c>
      <c r="E403" s="18">
        <f>IF($A403&gt;'1-Input'!$B$26,G402,(G402-C403)*(1+$C$4))</f>
        <v>407486.91751273116</v>
      </c>
      <c r="F403" s="18">
        <f>IF($A403&gt;'1-Input'!$B$26,D403,D403-'P-Parametri'!$B$8*(E403+D403)+MIN(MAX(E403,0),'P-Parametri'!$B$8*(E403+D403)))</f>
        <v>0</v>
      </c>
      <c r="G403" s="18">
        <f>IF($A403&gt;'1-Input'!$B$26,E403,E403-MIN(MAX(E403,0),'P-Parametri'!$B$8*(E403+D403)))</f>
        <v>406671.94367770571</v>
      </c>
      <c r="H403" s="18">
        <f>IF($A403&gt;'1-Input'!$B$26,H402,H402-C403*(1-B403))</f>
        <v>277666.76351793477</v>
      </c>
      <c r="I403" s="11">
        <f>IF($A403&gt;'1-Input'!$B$26,0,IF(N402&lt;=0,0,MAX(0,(N402-O402)/N402)))</f>
        <v>0.29814491181907116</v>
      </c>
      <c r="J403" s="18">
        <f>IF($A403&gt;'1-Input'!$B$26,0,(MAX(0,I396-IF($A403&gt;='1-Input'!$C$12,'1-Input'!$B$12,0))-MIN(MAX(M402,0),MAX(0,I396-IF($A403&gt;='1-Input'!$C$12,'1-Input'!$B$12,0))))*(1/(1-'P-Parametri'!$B$6*I403))+MIN(MAX(0,N402-(MAX(0,I396-IF($A403&gt;='1-Input'!$C$12,'1-Input'!$B$12,0))-MIN(MAX(M402,0),MAX(0,I396-IF($A403&gt;='1-Input'!$C$12,'1-Input'!$B$12,0))))*(1/(1-'P-Parametri'!$B$6*I403))),MAX(0,0*I396-(M402-MIN(MAX(M402,0),MAX(0,I396-IF($A403&gt;='1-Input'!$C$12,'1-Input'!$B$12,0)))))*(1/(1-'P-Parametri'!$B$6*I403))))</f>
        <v>23793.146434812061</v>
      </c>
      <c r="K403" s="18">
        <f>IF($A403&gt;'1-Input'!$B$26,M402,(M402-MAX(0,I396-IF($A403&gt;='1-Input'!$C$12,'1-Input'!$B$12,0))+J403*(1-'P-Parametri'!$B$6*I403))*(1+'1-Input'!$B$27))</f>
        <v>-3.6248820833861826E-12</v>
      </c>
      <c r="L403" s="18">
        <f>IF($A403&gt;'1-Input'!$B$26,N402,(N402-J403)*(1+$C$4))</f>
        <v>376745.87376329425</v>
      </c>
      <c r="M403" s="18">
        <f>IF($A403&gt;'1-Input'!$B$26,K403,K403-'P-Parametri'!$B$8*(L403+K403)+MIN(MAX(L403,0),'P-Parametri'!$B$8*(L403+K403)))</f>
        <v>-3.637978807091713E-12</v>
      </c>
      <c r="N403" s="18">
        <f>IF($A403&gt;'1-Input'!$B$26,L403,L403-MIN(MAX(L403,0),'P-Parametri'!$B$8*(L403+K403)))</f>
        <v>375992.38201576768</v>
      </c>
      <c r="O403" s="18">
        <f>IF($A403&gt;'1-Input'!$B$26,O402,O402-J403*(1-I403))</f>
        <v>256719.42568149316</v>
      </c>
      <c r="P403" s="11">
        <f>IF($A403&gt;'1-Input'!$B$26,0,IF(U402&lt;=0,0,MAX(0,(U402-V402)/U402)))</f>
        <v>0.29814491181907105</v>
      </c>
      <c r="Q403" s="18">
        <f>IF($A403&gt;'1-Input'!$B$26,0,(MAX(0,P396-IF($A403&gt;='1-Input'!$C$12,'1-Input'!$B$12,0))-MIN(MAX(T402,0),MAX(0,P396-IF($A403&gt;='1-Input'!$C$12,'1-Input'!$B$12,0))))*(1/(1-'P-Parametri'!$B$6*P403))+MIN(MAX(0,U402-(MAX(0,P396-IF($A403&gt;='1-Input'!$C$12,'1-Input'!$B$12,0))-MIN(MAX(T402,0),MAX(0,P396-IF($A403&gt;='1-Input'!$C$12,'1-Input'!$B$12,0))))*(1/(1-'P-Parametri'!$B$6*P403))),MAX(0,0*P396-(T402-MIN(MAX(T402,0),MAX(0,P396-IF($A403&gt;='1-Input'!$C$12,'1-Input'!$B$12,0)))))*(1/(1-'P-Parametri'!$B$6*P403))))</f>
        <v>20699.626572463447</v>
      </c>
      <c r="R403" s="18">
        <f>IF($A403&gt;'1-Input'!$B$26,T402,(T402-MAX(0,P396-IF($A403&gt;='1-Input'!$C$12,'1-Input'!$B$12,0))+Q403*(1-'P-Parametri'!$B$6*P403))*(1+'1-Input'!$B$27))</f>
        <v>0</v>
      </c>
      <c r="S403" s="18">
        <f>IF($A403&gt;'1-Input'!$B$26,U402,(U402-Q403)*(1+$C$4))</f>
        <v>393399.4840947325</v>
      </c>
      <c r="T403" s="18">
        <f>IF($A403&gt;'1-Input'!$B$26,R403,R403-'P-Parametri'!$B$8*(S403+R403)+MIN(MAX(S403,0),'P-Parametri'!$B$8*(S403+R403)))</f>
        <v>0</v>
      </c>
      <c r="U403" s="18">
        <f>IF($A403&gt;'1-Input'!$B$26,S403,S403-MIN(MAX(S403,0),'P-Parametri'!$B$8*(S403+R403)))</f>
        <v>392612.68512654305</v>
      </c>
      <c r="V403" s="18">
        <f>IF($A403&gt;'1-Input'!$B$26,V402,V402-Q403*(1-P403))</f>
        <v>268067.40737829165</v>
      </c>
      <c r="W403" s="11">
        <f>IF($A403&gt;'1-Input'!$B$26,0,IF(AB402&lt;=0,0,MAX(0,(AB402-AC402)/AB402)))</f>
        <v>0.29814491181907138</v>
      </c>
      <c r="X403" s="18">
        <f>IF($A403&gt;'1-Input'!$B$26,0,(MAX(0,W396-IF($A403&gt;='1-Input'!$C$12,'1-Input'!$B$12,0))-MIN(MAX(AA402,0),MAX(0,W396-IF($A403&gt;='1-Input'!$C$12,'1-Input'!$B$12,0))))*(1/(1-'P-Parametri'!$B$6*W403))+MIN(MAX(0,AB402-(MAX(0,W396-IF($A403&gt;='1-Input'!$C$12,'1-Input'!$B$12,0))-MIN(MAX(AA402,0),MAX(0,W396-IF($A403&gt;='1-Input'!$C$12,'1-Input'!$B$12,0))))*(1/(1-'P-Parametri'!$B$6*W403))),MAX(0,0*W396-(AA402-MIN(MAX(AA402,0),MAX(0,W396-IF($A403&gt;='1-Input'!$C$12,'1-Input'!$B$12,0)))))*(1/(1-'P-Parametri'!$B$6*W403))))</f>
        <v>20421.815267646798</v>
      </c>
      <c r="Y403" s="18">
        <f>IF($A403&gt;'1-Input'!$B$26,AA402,(AA402-MAX(0,W396-IF($A403&gt;='1-Input'!$C$12,'1-Input'!$B$12,0))+X403*(1-'P-Parametri'!$B$6*W403))*(1+'1-Input'!$B$27))</f>
        <v>0</v>
      </c>
      <c r="Z403" s="18">
        <f>IF($A403&gt;'1-Input'!$B$26,AB402,(AB402-X403)*(1+$C$4))</f>
        <v>394895.04947719391</v>
      </c>
      <c r="AA403" s="18">
        <f>IF($A403&gt;'1-Input'!$B$26,Y403,Y403-'P-Parametri'!$B$8*(Z403+Y403)+MIN(MAX(Z403,0),'P-Parametri'!$B$8*(Z403+Y403)))</f>
        <v>0</v>
      </c>
      <c r="AB403" s="18">
        <f>IF($A403&gt;'1-Input'!$B$26,Z403,Z403-MIN(MAX(Z403,0),'P-Parametri'!$B$8*(Z403+Y403)))</f>
        <v>394105.25937823951</v>
      </c>
      <c r="AC403" s="18">
        <f>IF($A403&gt;'1-Input'!$B$26,AC402,AC402-X403*(1-W403))</f>
        <v>269086.50463400787</v>
      </c>
      <c r="AD403" s="11">
        <f>IF($A403&gt;'1-Input'!$B$26,0,IF(AI402&lt;=0,0,MAX(0,(AI402-AJ402)/AI402)))</f>
        <v>0.29814491181907127</v>
      </c>
      <c r="AE403" s="18">
        <f>IF($A403&gt;'1-Input'!$B$26,0,(MAX(0,AD396-IF($A403&gt;='1-Input'!$C$12,'1-Input'!$B$12,0))-MIN(MAX(AH402,0),MAX(0,AD396-IF($A403&gt;='1-Input'!$C$12,'1-Input'!$B$12,0))))*(1/(1-'P-Parametri'!$B$6*AD403))+MIN(MAX(0,AI402-(MAX(0,AD396-IF($A403&gt;='1-Input'!$C$12,'1-Input'!$B$12,0))-MIN(MAX(AH402,0),MAX(0,AD396-IF($A403&gt;='1-Input'!$C$12,'1-Input'!$B$12,0))))*(1/(1-'P-Parametri'!$B$6*AD403))),MAX(0,0*AD396-(AH402-MIN(MAX(AH402,0),MAX(0,AD396-IF($A403&gt;='1-Input'!$C$12,'1-Input'!$B$12,0)))))*(1/(1-'P-Parametri'!$B$6*AD403))))</f>
        <v>20429.168758670708</v>
      </c>
      <c r="AF403" s="18">
        <f>IF($A403&gt;'1-Input'!$B$26,AH402,(AH402-MAX(0,AD396-IF($A403&gt;='1-Input'!$C$12,'1-Input'!$B$12,0))+AE403*(1-'P-Parametri'!$B$6*AD403))*(1+'1-Input'!$B$27))</f>
        <v>0</v>
      </c>
      <c r="AG403" s="18">
        <f>IF($A403&gt;'1-Input'!$B$26,AI402,(AI402-AE403)*(1+$C$4))</f>
        <v>394855.46279938449</v>
      </c>
      <c r="AH403" s="18">
        <f>IF($A403&gt;'1-Input'!$B$26,AF403,AF403-'P-Parametri'!$B$8*(AG403+AF403)+MIN(MAX(AG403,0),'P-Parametri'!$B$8*(AG403+AF403)))</f>
        <v>0</v>
      </c>
      <c r="AI403" s="18">
        <f>IF($A403&gt;'1-Input'!$B$26,AG403,AG403-MIN(MAX(AG403,0),'P-Parametri'!$B$8*(AG403+AF403)))</f>
        <v>394065.75187378575</v>
      </c>
      <c r="AJ403" s="18">
        <f>IF($A403&gt;'1-Input'!$B$26,AJ402,AJ402-AE403*(1-AD403))</f>
        <v>269059.52976872172</v>
      </c>
      <c r="AK403" s="11">
        <f>IF($A403&gt;'1-Input'!$B$26,0,IF(AP402&lt;=0,0,MAX(0,(AP402-AQ402)/AP402)))</f>
        <v>0.2981449118190711</v>
      </c>
      <c r="AL403" s="18">
        <f>IF($A403&gt;'1-Input'!$B$26,0,(MAX(0,AK396-IF($A403&gt;='1-Input'!$C$12,'1-Input'!$B$12,0))-MIN(MAX(AO402,0),MAX(0,AK396-IF($A403&gt;='1-Input'!$C$12,'1-Input'!$B$12,0))))*(1/(1-'P-Parametri'!$B$6*AK403))+MIN(MAX(0,AP402-(MAX(0,AK396-IF($A403&gt;='1-Input'!$C$12,'1-Input'!$B$12,0))-MIN(MAX(AO402,0),MAX(0,AK396-IF($A403&gt;='1-Input'!$C$12,'1-Input'!$B$12,0))))*(1/(1-'P-Parametri'!$B$6*AK403))),MAX(0,0*AK396-(AO402-MIN(MAX(AO402,0),MAX(0,AK396-IF($A403&gt;='1-Input'!$C$12,'1-Input'!$B$12,0)))))*(1/(1-'P-Parametri'!$B$6*AK403))))</f>
        <v>20428.026897001109</v>
      </c>
      <c r="AM403" s="18">
        <f>IF($A403&gt;'1-Input'!$B$26,AO402,(AO402-MAX(0,AK396-IF($A403&gt;='1-Input'!$C$12,'1-Input'!$B$12,0))+AL403*(1-'P-Parametri'!$B$6*AK403))*(1+'1-Input'!$B$27))</f>
        <v>0</v>
      </c>
      <c r="AN403" s="18">
        <f>IF($A403&gt;'1-Input'!$B$26,AP402,(AP402-AL403)*(1+$C$4))</f>
        <v>394861.6098810726</v>
      </c>
      <c r="AO403" s="18">
        <f>IF($A403&gt;'1-Input'!$B$26,AM403,AM403-'P-Parametri'!$B$8*(AN403+AM403)+MIN(MAX(AN403,0),'P-Parametri'!$B$8*(AN403+AM403)))</f>
        <v>0</v>
      </c>
      <c r="AP403" s="18">
        <f>IF($A403&gt;'1-Input'!$B$26,AN403,AN403-MIN(MAX(AN403,0),'P-Parametri'!$B$8*(AN403+AM403)))</f>
        <v>394071.88666131045</v>
      </c>
      <c r="AQ403" s="18">
        <f>IF($A403&gt;'1-Input'!$B$26,AQ402,AQ402-AL403*(1-AK403))</f>
        <v>269063.71846829489</v>
      </c>
    </row>
    <row r="404" spans="1:43">
      <c r="A404" s="10">
        <f>6</f>
        <v>6</v>
      </c>
      <c r="B404" s="11">
        <f>IF($A404&gt;'1-Input'!$B$26,0,IF(G403&lt;=0,0,MAX(0,(G403-H403)/G403)))</f>
        <v>0.31722173650122687</v>
      </c>
      <c r="C404" s="18">
        <f>IF($A404&gt;'1-Input'!$B$26,0,(MAX(0,B396-IF($A404&gt;='1-Input'!$C$12,'1-Input'!$B$12,0))-MIN(MAX(F403,0),MAX(0,B396-IF($A404&gt;='1-Input'!$C$12,'1-Input'!$B$12,0))))*(1/(1-'P-Parametri'!$B$6*B404))+MIN(MAX(0,G403-(MAX(0,B396-IF($A404&gt;='1-Input'!$C$12,'1-Input'!$B$12,0))-MIN(MAX(F403,0),MAX(0,B396-IF($A404&gt;='1-Input'!$C$12,'1-Input'!$B$12,0))))*(1/(1-'P-Parametri'!$B$6*B404))),MAX(0,0*B396-(F403-MIN(MAX(F403,0),MAX(0,B396-IF($A404&gt;='1-Input'!$C$12,'1-Input'!$B$12,0)))))*(1/(1-'P-Parametri'!$B$6*B404))))</f>
        <v>18180.543876365096</v>
      </c>
      <c r="D404" s="18">
        <f>IF($A404&gt;'1-Input'!$B$26,F403,(F403-MAX(0,B396-IF($A404&gt;='1-Input'!$C$12,'1-Input'!$B$12,0))+C404*(1-'P-Parametri'!$B$6*B404))*(1+'1-Input'!$B$27))</f>
        <v>0</v>
      </c>
      <c r="E404" s="18">
        <f>IF($A404&gt;'1-Input'!$B$26,G403,(G403-C404)*(1+$C$4))</f>
        <v>400146.1417953808</v>
      </c>
      <c r="F404" s="18">
        <f>IF($A404&gt;'1-Input'!$B$26,D404,D404-'P-Parametri'!$B$8*(E404+D404)+MIN(MAX(E404,0),'P-Parametri'!$B$8*(E404+D404)))</f>
        <v>0</v>
      </c>
      <c r="G404" s="18">
        <f>IF($A404&gt;'1-Input'!$B$26,E404,E404-MIN(MAX(E404,0),'P-Parametri'!$B$8*(E404+D404)))</f>
        <v>399345.84951179003</v>
      </c>
      <c r="H404" s="18">
        <f>IF($A404&gt;'1-Input'!$B$26,H403,H403-C404*(1-B404))</f>
        <v>265253.48334056698</v>
      </c>
      <c r="I404" s="11">
        <f>IF($A404&gt;'1-Input'!$B$26,0,IF(N403&lt;=0,0,MAX(0,(N403-O403)/N403)))</f>
        <v>0.31722173650122698</v>
      </c>
      <c r="J404" s="18">
        <f>IF($A404&gt;'1-Input'!$B$26,0,(MAX(0,I396-IF($A404&gt;='1-Input'!$C$12,'1-Input'!$B$12,0))-MIN(MAX(M403,0),MAX(0,I396-IF($A404&gt;='1-Input'!$C$12,'1-Input'!$B$12,0))))*(1/(1-'P-Parametri'!$B$6*I404))+MIN(MAX(0,N403-(MAX(0,I396-IF($A404&gt;='1-Input'!$C$12,'1-Input'!$B$12,0))-MIN(MAX(M403,0),MAX(0,I396-IF($A404&gt;='1-Input'!$C$12,'1-Input'!$B$12,0))))*(1/(1-'P-Parametri'!$B$6*I404))),MAX(0,0*I396-(M403-MIN(MAX(M403,0),MAX(0,I396-IF($A404&gt;='1-Input'!$C$12,'1-Input'!$B$12,0)))))*(1/(1-'P-Parametri'!$B$6*I404))))</f>
        <v>23921.768258375134</v>
      </c>
      <c r="K404" s="18">
        <f>IF($A404&gt;'1-Input'!$B$26,M403,(M403-MAX(0,I396-IF($A404&gt;='1-Input'!$C$12,'1-Input'!$B$12,0))+J404*(1-'P-Parametri'!$B$6*I404))*(1+'1-Input'!$B$27))</f>
        <v>0</v>
      </c>
      <c r="L404" s="18">
        <f>IF($A404&gt;'1-Input'!$B$26,N403,(N403-J404)*(1+$C$4))</f>
        <v>362632.73217011435</v>
      </c>
      <c r="M404" s="18">
        <f>IF($A404&gt;'1-Input'!$B$26,K404,K404-'P-Parametri'!$B$8*(L404+K404)+MIN(MAX(L404,0),'P-Parametri'!$B$8*(L404+K404)))</f>
        <v>0</v>
      </c>
      <c r="N404" s="18">
        <f>IF($A404&gt;'1-Input'!$B$26,L404,L404-MIN(MAX(L404,0),'P-Parametri'!$B$8*(L404+K404)))</f>
        <v>361907.46670577413</v>
      </c>
      <c r="O404" s="18">
        <f>IF($A404&gt;'1-Input'!$B$26,O403,O403-J404*(1-I404))</f>
        <v>240386.16229021971</v>
      </c>
      <c r="P404" s="11">
        <f>IF($A404&gt;'1-Input'!$B$26,0,IF(U403&lt;=0,0,MAX(0,(U403-V403)/U403)))</f>
        <v>0.31722173650122687</v>
      </c>
      <c r="Q404" s="18">
        <f>IF($A404&gt;'1-Input'!$B$26,0,(MAX(0,P396-IF($A404&gt;='1-Input'!$C$12,'1-Input'!$B$12,0))-MIN(MAX(T403,0),MAX(0,P396-IF($A404&gt;='1-Input'!$C$12,'1-Input'!$B$12,0))))*(1/(1-'P-Parametri'!$B$6*P404))+MIN(MAX(0,U403-(MAX(0,P396-IF($A404&gt;='1-Input'!$C$12,'1-Input'!$B$12,0))-MIN(MAX(T403,0),MAX(0,P396-IF($A404&gt;='1-Input'!$C$12,'1-Input'!$B$12,0))))*(1/(1-'P-Parametri'!$B$6*P404))),MAX(0,0*P396-(T403-MIN(MAX(T403,0),MAX(0,P396-IF($A404&gt;='1-Input'!$C$12,'1-Input'!$B$12,0)))))*(1/(1-'P-Parametri'!$B$6*P404))))</f>
        <v>20811.525338106709</v>
      </c>
      <c r="R404" s="18">
        <f>IF($A404&gt;'1-Input'!$B$26,T403,(T403-MAX(0,P396-IF($A404&gt;='1-Input'!$C$12,'1-Input'!$B$12,0))+Q404*(1-'P-Parametri'!$B$6*P404))*(1+'1-Input'!$B$27))</f>
        <v>3.6248820833861826E-12</v>
      </c>
      <c r="S404" s="18">
        <f>IF($A404&gt;'1-Input'!$B$26,U403,(U403-Q404)*(1+$C$4))</f>
        <v>382955.19458208943</v>
      </c>
      <c r="T404" s="18">
        <f>IF($A404&gt;'1-Input'!$B$26,R404,R404-'P-Parametri'!$B$8*(S404+R404)+MIN(MAX(S404,0),'P-Parametri'!$B$8*(S404+R404)))</f>
        <v>3.637978807091713E-12</v>
      </c>
      <c r="U404" s="18">
        <f>IF($A404&gt;'1-Input'!$B$26,S404,S404-MIN(MAX(S404,0),'P-Parametri'!$B$8*(S404+R404)))</f>
        <v>382189.28419292526</v>
      </c>
      <c r="V404" s="18">
        <f>IF($A404&gt;'1-Input'!$B$26,V403,V403-Q404*(1-P404))</f>
        <v>253857.75024717842</v>
      </c>
      <c r="W404" s="11">
        <f>IF($A404&gt;'1-Input'!$B$26,0,IF(AB403&lt;=0,0,MAX(0,(AB403-AC403)/AB403)))</f>
        <v>0.31722173650122709</v>
      </c>
      <c r="X404" s="18">
        <f>IF($A404&gt;'1-Input'!$B$26,0,(MAX(0,W396-IF($A404&gt;='1-Input'!$C$12,'1-Input'!$B$12,0))-MIN(MAX(AA403,0),MAX(0,W396-IF($A404&gt;='1-Input'!$C$12,'1-Input'!$B$12,0))))*(1/(1-'P-Parametri'!$B$6*W404))+MIN(MAX(0,AB403-(MAX(0,W396-IF($A404&gt;='1-Input'!$C$12,'1-Input'!$B$12,0))-MIN(MAX(AA403,0),MAX(0,W396-IF($A404&gt;='1-Input'!$C$12,'1-Input'!$B$12,0))))*(1/(1-'P-Parametri'!$B$6*W404))),MAX(0,0*W396-(AA403-MIN(MAX(AA403,0),MAX(0,W396-IF($A404&gt;='1-Input'!$C$12,'1-Input'!$B$12,0)))))*(1/(1-'P-Parametri'!$B$6*W404))))</f>
        <v>20532.212231217349</v>
      </c>
      <c r="Y404" s="18">
        <f>IF($A404&gt;'1-Input'!$B$26,AA403,(AA403-MAX(0,W396-IF($A404&gt;='1-Input'!$C$12,'1-Input'!$B$12,0))+X404*(1-'P-Parametri'!$B$6*W404))*(1+'1-Input'!$B$27))</f>
        <v>-3.6248820833861826E-12</v>
      </c>
      <c r="Z404" s="18">
        <f>IF($A404&gt;'1-Input'!$B$26,AB403,(AB403-X404)*(1+$C$4))</f>
        <v>384780.23856143281</v>
      </c>
      <c r="AA404" s="18">
        <f>IF($A404&gt;'1-Input'!$B$26,Y404,Y404-'P-Parametri'!$B$8*(Z404+Y404)+MIN(MAX(Z404,0),'P-Parametri'!$B$8*(Z404+Y404)))</f>
        <v>-3.637978807091713E-12</v>
      </c>
      <c r="AB404" s="18">
        <f>IF($A404&gt;'1-Input'!$B$26,Z404,Z404-MIN(MAX(Z404,0),'P-Parametri'!$B$8*(Z404+Y404)))</f>
        <v>384010.67808430997</v>
      </c>
      <c r="AC404" s="18">
        <f>IF($A404&gt;'1-Input'!$B$26,AC403,AC403-X404*(1-W404))</f>
        <v>255067.55642098901</v>
      </c>
      <c r="AD404" s="11">
        <f>IF($A404&gt;'1-Input'!$B$26,0,IF(AI403&lt;=0,0,MAX(0,(AI403-AJ403)/AI403)))</f>
        <v>0.31722173650122715</v>
      </c>
      <c r="AE404" s="18">
        <f>IF($A404&gt;'1-Input'!$B$26,0,(MAX(0,AD396-IF($A404&gt;='1-Input'!$C$12,'1-Input'!$B$12,0))-MIN(MAX(AH403,0),MAX(0,AD396-IF($A404&gt;='1-Input'!$C$12,'1-Input'!$B$12,0))))*(1/(1-'P-Parametri'!$B$6*AD404))+MIN(MAX(0,AI403-(MAX(0,AD396-IF($A404&gt;='1-Input'!$C$12,'1-Input'!$B$12,0))-MIN(MAX(AH403,0),MAX(0,AD396-IF($A404&gt;='1-Input'!$C$12,'1-Input'!$B$12,0))))*(1/(1-'P-Parametri'!$B$6*AD404))),MAX(0,0*AD396-(AH403-MIN(MAX(AH403,0),MAX(0,AD396-IF($A404&gt;='1-Input'!$C$12,'1-Input'!$B$12,0)))))*(1/(1-'P-Parametri'!$B$6*AD404))))</f>
        <v>20539.605474000349</v>
      </c>
      <c r="AF404" s="18">
        <f>IF($A404&gt;'1-Input'!$B$26,AH403,(AH403-MAX(0,AD396-IF($A404&gt;='1-Input'!$C$12,'1-Input'!$B$12,0))+AE404*(1-'P-Parametri'!$B$6*AD404))*(1+'1-Input'!$B$27))</f>
        <v>0</v>
      </c>
      <c r="AG404" s="18">
        <f>IF($A404&gt;'1-Input'!$B$26,AI403,(AI403-AE404)*(1+$C$4))</f>
        <v>384731.93079177901</v>
      </c>
      <c r="AH404" s="18">
        <f>IF($A404&gt;'1-Input'!$B$26,AF404,AF404-'P-Parametri'!$B$8*(AG404+AF404)+MIN(MAX(AG404,0),'P-Parametri'!$B$8*(AG404+AF404)))</f>
        <v>0</v>
      </c>
      <c r="AI404" s="18">
        <f>IF($A404&gt;'1-Input'!$B$26,AG404,AG404-MIN(MAX(AG404,0),'P-Parametri'!$B$8*(AG404+AF404)))</f>
        <v>383962.46693019546</v>
      </c>
      <c r="AJ404" s="18">
        <f>IF($A404&gt;'1-Input'!$B$26,AJ403,AJ403-AE404*(1-AD404))</f>
        <v>255035.53361023386</v>
      </c>
      <c r="AK404" s="11">
        <f>IF($A404&gt;'1-Input'!$B$26,0,IF(AP403&lt;=0,0,MAX(0,(AP403-AQ403)/AP403)))</f>
        <v>0.31722173650122687</v>
      </c>
      <c r="AL404" s="18">
        <f>IF($A404&gt;'1-Input'!$B$26,0,(MAX(0,AK396-IF($A404&gt;='1-Input'!$C$12,'1-Input'!$B$12,0))-MIN(MAX(AO403,0),MAX(0,AK396-IF($A404&gt;='1-Input'!$C$12,'1-Input'!$B$12,0))))*(1/(1-'P-Parametri'!$B$6*AK404))+MIN(MAX(0,AP403-(MAX(0,AK396-IF($A404&gt;='1-Input'!$C$12,'1-Input'!$B$12,0))-MIN(MAX(AO403,0),MAX(0,AK396-IF($A404&gt;='1-Input'!$C$12,'1-Input'!$B$12,0))))*(1/(1-'P-Parametri'!$B$6*AK404))),MAX(0,0*AK396-(AO403-MIN(MAX(AO403,0),MAX(0,AK396-IF($A404&gt;='1-Input'!$C$12,'1-Input'!$B$12,0)))))*(1/(1-'P-Parametri'!$B$6*AK404))))</f>
        <v>20538.457439614984</v>
      </c>
      <c r="AM404" s="18">
        <f>IF($A404&gt;'1-Input'!$B$26,AO403,(AO403-MAX(0,AK396-IF($A404&gt;='1-Input'!$C$12,'1-Input'!$B$12,0))+AL404*(1-'P-Parametri'!$B$6*AK404))*(1+'1-Input'!$B$27))</f>
        <v>0</v>
      </c>
      <c r="AN404" s="18">
        <f>IF($A404&gt;'1-Input'!$B$26,AP403,(AP403-AL404)*(1+$C$4))</f>
        <v>384739.43209834635</v>
      </c>
      <c r="AO404" s="18">
        <f>IF($A404&gt;'1-Input'!$B$26,AM404,AM404-'P-Parametri'!$B$8*(AN404+AM404)+MIN(MAX(AN404,0),'P-Parametri'!$B$8*(AN404+AM404)))</f>
        <v>0</v>
      </c>
      <c r="AP404" s="18">
        <f>IF($A404&gt;'1-Input'!$B$26,AN404,AN404-MIN(MAX(AN404,0),'P-Parametri'!$B$8*(AN404+AM404)))</f>
        <v>383969.95323414967</v>
      </c>
      <c r="AQ404" s="18">
        <f>IF($A404&gt;'1-Input'!$B$26,AQ403,AQ403-AL404*(1-AK404))</f>
        <v>255040.50616273112</v>
      </c>
    </row>
    <row r="405" spans="1:43">
      <c r="A405" s="10">
        <f>7</f>
        <v>7</v>
      </c>
      <c r="B405" s="11">
        <f>IF($A405&gt;'1-Input'!$B$26,0,IF(G404&lt;=0,0,MAX(0,(G404-H404)/G404)))</f>
        <v>0.33578004212427454</v>
      </c>
      <c r="C405" s="18">
        <f>IF($A405&gt;'1-Input'!$B$26,0,(MAX(0,B396-IF($A405&gt;='1-Input'!$C$12,'1-Input'!$B$12,0))-MIN(MAX(F404,0),MAX(0,B396-IF($A405&gt;='1-Input'!$C$12,'1-Input'!$B$12,0))))*(1/(1-'P-Parametri'!$B$6*B405))+MIN(MAX(0,G404-(MAX(0,B396-IF($A405&gt;='1-Input'!$C$12,'1-Input'!$B$12,0))-MIN(MAX(F404,0),MAX(0,B396-IF($A405&gt;='1-Input'!$C$12,'1-Input'!$B$12,0))))*(1/(1-'P-Parametri'!$B$6*B405))),MAX(0,0*B396-(F404-MIN(MAX(F404,0),MAX(0,B396-IF($A405&gt;='1-Input'!$C$12,'1-Input'!$B$12,0)))))*(1/(1-'P-Parametri'!$B$6*B405))))</f>
        <v>18276.659022069383</v>
      </c>
      <c r="D405" s="18">
        <f>IF($A405&gt;'1-Input'!$B$26,F404,(F404-MAX(0,B396-IF($A405&gt;='1-Input'!$C$12,'1-Input'!$B$12,0))+C405*(1-'P-Parametri'!$B$6*B405))*(1+'1-Input'!$B$27))</f>
        <v>0</v>
      </c>
      <c r="E405" s="18">
        <f>IF($A405&gt;'1-Input'!$B$26,G404,(G404-C405)*(1+$C$4))</f>
        <v>392501.26620441233</v>
      </c>
      <c r="F405" s="18">
        <f>IF($A405&gt;'1-Input'!$B$26,D405,D405-'P-Parametri'!$B$8*(E405+D405)+MIN(MAX(E405,0),'P-Parametri'!$B$8*(E405+D405)))</f>
        <v>0</v>
      </c>
      <c r="G405" s="18">
        <f>IF($A405&gt;'1-Input'!$B$26,E405,E405-MIN(MAX(E405,0),'P-Parametri'!$B$8*(E405+D405)))</f>
        <v>391716.26367200352</v>
      </c>
      <c r="H405" s="18">
        <f>IF($A405&gt;'1-Input'!$B$26,H404,H404-C405*(1-B405))</f>
        <v>253113.76165481904</v>
      </c>
      <c r="I405" s="11">
        <f>IF($A405&gt;'1-Input'!$B$26,0,IF(N404&lt;=0,0,MAX(0,(N404-O404)/N404)))</f>
        <v>0.33578004212427481</v>
      </c>
      <c r="J405" s="18">
        <f>IF($A405&gt;'1-Input'!$B$26,0,(MAX(0,I396-IF($A405&gt;='1-Input'!$C$12,'1-Input'!$B$12,0))-MIN(MAX(M404,0),MAX(0,I396-IF($A405&gt;='1-Input'!$C$12,'1-Input'!$B$12,0))))*(1/(1-'P-Parametri'!$B$6*I405))+MIN(MAX(0,N404-(MAX(0,I396-IF($A405&gt;='1-Input'!$C$12,'1-Input'!$B$12,0))-MIN(MAX(M404,0),MAX(0,I396-IF($A405&gt;='1-Input'!$C$12,'1-Input'!$B$12,0))))*(1/(1-'P-Parametri'!$B$6*I405))),MAX(0,0*I396-(M404-MIN(MAX(M404,0),MAX(0,I396-IF($A405&gt;='1-Input'!$C$12,'1-Input'!$B$12,0)))))*(1/(1-'P-Parametri'!$B$6*I405))))</f>
        <v>24048.235555354455</v>
      </c>
      <c r="K405" s="18">
        <f>IF($A405&gt;'1-Input'!$B$26,M404,(M404-MAX(0,I396-IF($A405&gt;='1-Input'!$C$12,'1-Input'!$B$12,0))+J405*(1-'P-Parametri'!$B$6*I405))*(1+'1-Input'!$B$27))</f>
        <v>-3.6248820833861826E-12</v>
      </c>
      <c r="L405" s="18">
        <f>IF($A405&gt;'1-Input'!$B$26,N404,(N404-J405)*(1+$C$4))</f>
        <v>347995.00808493228</v>
      </c>
      <c r="M405" s="18">
        <f>IF($A405&gt;'1-Input'!$B$26,K405,K405-'P-Parametri'!$B$8*(L405+K405)+MIN(MAX(L405,0),'P-Parametri'!$B$8*(L405+K405)))</f>
        <v>-3.637978807091713E-12</v>
      </c>
      <c r="N405" s="18">
        <f>IF($A405&gt;'1-Input'!$B$26,L405,L405-MIN(MAX(L405,0),'P-Parametri'!$B$8*(L405+K405)))</f>
        <v>347299.01806876244</v>
      </c>
      <c r="O405" s="18">
        <f>IF($A405&gt;'1-Input'!$B$26,O404,O404-J405*(1-I405))</f>
        <v>224412.84428265665</v>
      </c>
      <c r="P405" s="11">
        <f>IF($A405&gt;'1-Input'!$B$26,0,IF(U404&lt;=0,0,MAX(0,(U404-V404)/U404)))</f>
        <v>0.3357800421242747</v>
      </c>
      <c r="Q405" s="18">
        <f>IF($A405&gt;'1-Input'!$B$26,0,(MAX(0,P396-IF($A405&gt;='1-Input'!$C$12,'1-Input'!$B$12,0))-MIN(MAX(T404,0),MAX(0,P396-IF($A405&gt;='1-Input'!$C$12,'1-Input'!$B$12,0))))*(1/(1-'P-Parametri'!$B$6*P405))+MIN(MAX(0,U404-(MAX(0,P396-IF($A405&gt;='1-Input'!$C$12,'1-Input'!$B$12,0))-MIN(MAX(T404,0),MAX(0,P396-IF($A405&gt;='1-Input'!$C$12,'1-Input'!$B$12,0))))*(1/(1-'P-Parametri'!$B$6*P405))),MAX(0,0*P396-(T404-MIN(MAX(T404,0),MAX(0,P396-IF($A405&gt;='1-Input'!$C$12,'1-Input'!$B$12,0)))))*(1/(1-'P-Parametri'!$B$6*P405))))</f>
        <v>20921.549702823369</v>
      </c>
      <c r="R405" s="18">
        <f>IF($A405&gt;'1-Input'!$B$26,T404,(T404-MAX(0,P396-IF($A405&gt;='1-Input'!$C$12,'1-Input'!$B$12,0))+Q405*(1-'P-Parametri'!$B$6*P405))*(1+'1-Input'!$B$27))</f>
        <v>0</v>
      </c>
      <c r="S405" s="18">
        <f>IF($A405&gt;'1-Input'!$B$26,U404,(U404-Q405)*(1+$C$4))</f>
        <v>372105.76652480493</v>
      </c>
      <c r="T405" s="18">
        <f>IF($A405&gt;'1-Input'!$B$26,R405,R405-'P-Parametri'!$B$8*(S405+R405)+MIN(MAX(S405,0),'P-Parametri'!$B$8*(S405+R405)))</f>
        <v>0</v>
      </c>
      <c r="U405" s="18">
        <f>IF($A405&gt;'1-Input'!$B$26,S405,S405-MIN(MAX(S405,0),'P-Parametri'!$B$8*(S405+R405)))</f>
        <v>371361.55499175534</v>
      </c>
      <c r="V405" s="18">
        <f>IF($A405&gt;'1-Input'!$B$26,V404,V404-Q405*(1-P405))</f>
        <v>239961.23938487418</v>
      </c>
      <c r="W405" s="11">
        <f>IF($A405&gt;'1-Input'!$B$26,0,IF(AB404&lt;=0,0,MAX(0,(AB404-AC404)/AB404)))</f>
        <v>0.33578004212427487</v>
      </c>
      <c r="X405" s="18">
        <f>IF($A405&gt;'1-Input'!$B$26,0,(MAX(0,W396-IF($A405&gt;='1-Input'!$C$12,'1-Input'!$B$12,0))-MIN(MAX(AA404,0),MAX(0,W396-IF($A405&gt;='1-Input'!$C$12,'1-Input'!$B$12,0))))*(1/(1-'P-Parametri'!$B$6*W405))+MIN(MAX(0,AB404-(MAX(0,W396-IF($A405&gt;='1-Input'!$C$12,'1-Input'!$B$12,0))-MIN(MAX(AA404,0),MAX(0,W396-IF($A405&gt;='1-Input'!$C$12,'1-Input'!$B$12,0))))*(1/(1-'P-Parametri'!$B$6*W405))),MAX(0,0*W396-(AA404-MIN(MAX(AA404,0),MAX(0,W396-IF($A405&gt;='1-Input'!$C$12,'1-Input'!$B$12,0)))))*(1/(1-'P-Parametri'!$B$6*W405))))</f>
        <v>20640.759950342541</v>
      </c>
      <c r="Y405" s="18">
        <f>IF($A405&gt;'1-Input'!$B$26,AA404,(AA404-MAX(0,W396-IF($A405&gt;='1-Input'!$C$12,'1-Input'!$B$12,0))+X405*(1-'P-Parametri'!$B$6*W405))*(1+'1-Input'!$B$27))</f>
        <v>0</v>
      </c>
      <c r="Z405" s="18">
        <f>IF($A405&gt;'1-Input'!$B$26,AB404,(AB404-X405)*(1+$C$4))</f>
        <v>374271.01567798649</v>
      </c>
      <c r="AA405" s="18">
        <f>IF($A405&gt;'1-Input'!$B$26,Y405,Y405-'P-Parametri'!$B$8*(Z405+Y405)+MIN(MAX(Z405,0),'P-Parametri'!$B$8*(Z405+Y405)))</f>
        <v>0</v>
      </c>
      <c r="AB405" s="18">
        <f>IF($A405&gt;'1-Input'!$B$26,Z405,Z405-MIN(MAX(Z405,0),'P-Parametri'!$B$8*(Z405+Y405)))</f>
        <v>373522.47364663053</v>
      </c>
      <c r="AC405" s="18">
        <f>IF($A405&gt;'1-Input'!$B$26,AC404,AC404-X405*(1-W405))</f>
        <v>241357.55171624955</v>
      </c>
      <c r="AD405" s="11">
        <f>IF($A405&gt;'1-Input'!$B$26,0,IF(AI404&lt;=0,0,MAX(0,(AI404-AJ404)/AI404)))</f>
        <v>0.33578004212427504</v>
      </c>
      <c r="AE405" s="18">
        <f>IF($A405&gt;'1-Input'!$B$26,0,(MAX(0,AD396-IF($A405&gt;='1-Input'!$C$12,'1-Input'!$B$12,0))-MIN(MAX(AH404,0),MAX(0,AD396-IF($A405&gt;='1-Input'!$C$12,'1-Input'!$B$12,0))))*(1/(1-'P-Parametri'!$B$6*AD405))+MIN(MAX(0,AI404-(MAX(0,AD396-IF($A405&gt;='1-Input'!$C$12,'1-Input'!$B$12,0))-MIN(MAX(AH404,0),MAX(0,AD396-IF($A405&gt;='1-Input'!$C$12,'1-Input'!$B$12,0))))*(1/(1-'P-Parametri'!$B$6*AD405))),MAX(0,0*AD396-(AH404-MIN(MAX(AH404,0),MAX(0,AD396-IF($A405&gt;='1-Input'!$C$12,'1-Input'!$B$12,0)))))*(1/(1-'P-Parametri'!$B$6*AD405))))</f>
        <v>20648.192279008341</v>
      </c>
      <c r="AF405" s="18">
        <f>IF($A405&gt;'1-Input'!$B$26,AH404,(AH404-MAX(0,AD396-IF($A405&gt;='1-Input'!$C$12,'1-Input'!$B$12,0))+AE405*(1-'P-Parametri'!$B$6*AD405))*(1+'1-Input'!$B$27))</f>
        <v>-3.6248820833861826E-12</v>
      </c>
      <c r="AG405" s="18">
        <f>IF($A405&gt;'1-Input'!$B$26,AI404,(AI404-AE405)*(1+$C$4))</f>
        <v>374213.70289072272</v>
      </c>
      <c r="AH405" s="18">
        <f>IF($A405&gt;'1-Input'!$B$26,AF405,AF405-'P-Parametri'!$B$8*(AG405+AF405)+MIN(MAX(AG405,0),'P-Parametri'!$B$8*(AG405+AF405)))</f>
        <v>-3.637978807091713E-12</v>
      </c>
      <c r="AI405" s="18">
        <f>IF($A405&gt;'1-Input'!$B$26,AG405,AG405-MIN(MAX(AG405,0),'P-Parametri'!$B$8*(AG405+AF405)))</f>
        <v>373465.27548494126</v>
      </c>
      <c r="AJ405" s="18">
        <f>IF($A405&gt;'1-Input'!$B$26,AJ404,AJ404-AE405*(1-AD405))</f>
        <v>241320.59220446108</v>
      </c>
      <c r="AK405" s="11">
        <f>IF($A405&gt;'1-Input'!$B$26,0,IF(AP404&lt;=0,0,MAX(0,(AP404-AQ404)/AP404)))</f>
        <v>0.33578004212427465</v>
      </c>
      <c r="AL405" s="18">
        <f>IF($A405&gt;'1-Input'!$B$26,0,(MAX(0,AK396-IF($A405&gt;='1-Input'!$C$12,'1-Input'!$B$12,0))-MIN(MAX(AO404,0),MAX(0,AK396-IF($A405&gt;='1-Input'!$C$12,'1-Input'!$B$12,0))))*(1/(1-'P-Parametri'!$B$6*AK405))+MIN(MAX(0,AP404-(MAX(0,AK396-IF($A405&gt;='1-Input'!$C$12,'1-Input'!$B$12,0))-MIN(MAX(AO404,0),MAX(0,AK396-IF($A405&gt;='1-Input'!$C$12,'1-Input'!$B$12,0))))*(1/(1-'P-Parametri'!$B$6*AK405))),MAX(0,0*AK396-(AO404-MIN(MAX(AO404,0),MAX(0,AK396-IF($A405&gt;='1-Input'!$C$12,'1-Input'!$B$12,0)))))*(1/(1-'P-Parametri'!$B$6*AK405))))</f>
        <v>20647.038175305526</v>
      </c>
      <c r="AM405" s="18">
        <f>IF($A405&gt;'1-Input'!$B$26,AO404,(AO404-MAX(0,AK396-IF($A405&gt;='1-Input'!$C$12,'1-Input'!$B$12,0))+AL405*(1-'P-Parametri'!$B$6*AK405))*(1+'1-Input'!$B$27))</f>
        <v>0</v>
      </c>
      <c r="AN405" s="18">
        <f>IF($A405&gt;'1-Input'!$B$26,AP404,(AP404-AL405)*(1+$C$4))</f>
        <v>374222.60251060949</v>
      </c>
      <c r="AO405" s="18">
        <f>IF($A405&gt;'1-Input'!$B$26,AM405,AM405-'P-Parametri'!$B$8*(AN405+AM405)+MIN(MAX(AN405,0),'P-Parametri'!$B$8*(AN405+AM405)))</f>
        <v>0</v>
      </c>
      <c r="AP405" s="18">
        <f>IF($A405&gt;'1-Input'!$B$26,AN405,AN405-MIN(MAX(AN405,0),'P-Parametri'!$B$8*(AN405+AM405)))</f>
        <v>373474.15730558825</v>
      </c>
      <c r="AQ405" s="18">
        <f>IF($A405&gt;'1-Input'!$B$26,AQ404,AQ404-AL405*(1-AK405))</f>
        <v>241326.33133567119</v>
      </c>
    </row>
    <row r="406" spans="1:43">
      <c r="A406" s="10">
        <f>8</f>
        <v>8</v>
      </c>
      <c r="B406" s="11">
        <f>IF($A406&gt;'1-Input'!$B$26,0,IF(G405&lt;=0,0,MAX(0,(G405-H405)/G405)))</f>
        <v>0.35383392233425559</v>
      </c>
      <c r="C406" s="18">
        <f>IF($A406&gt;'1-Input'!$B$26,0,(MAX(0,B396-IF($A406&gt;='1-Input'!$C$12,'1-Input'!$B$12,0))-MIN(MAX(F405,0),MAX(0,B396-IF($A406&gt;='1-Input'!$C$12,'1-Input'!$B$12,0))))*(1/(1-'P-Parametri'!$B$6*B406))+MIN(MAX(0,G405-(MAX(0,B396-IF($A406&gt;='1-Input'!$C$12,'1-Input'!$B$12,0))-MIN(MAX(F405,0),MAX(0,B396-IF($A406&gt;='1-Input'!$C$12,'1-Input'!$B$12,0))))*(1/(1-'P-Parametri'!$B$6*B406))),MAX(0,0*B396-(F405-MIN(MAX(F405,0),MAX(0,B396-IF($A406&gt;='1-Input'!$C$12,'1-Input'!$B$12,0)))))*(1/(1-'P-Parametri'!$B$6*B406))))</f>
        <v>18371.141950272082</v>
      </c>
      <c r="D406" s="18">
        <f>IF($A406&gt;'1-Input'!$B$26,F405,(F405-MAX(0,B396-IF($A406&gt;='1-Input'!$C$12,'1-Input'!$B$12,0))+C406*(1-'P-Parametri'!$B$6*B406))*(1+'1-Input'!$B$27))</f>
        <v>0</v>
      </c>
      <c r="E406" s="18">
        <f>IF($A406&gt;'1-Input'!$B$26,G405,(G405-C406)*(1+$C$4))</f>
        <v>384545.47537338338</v>
      </c>
      <c r="F406" s="18">
        <f>IF($A406&gt;'1-Input'!$B$26,D406,D406-'P-Parametri'!$B$8*(E406+D406)+MIN(MAX(E406,0),'P-Parametri'!$B$8*(E406+D406)))</f>
        <v>0</v>
      </c>
      <c r="G406" s="18">
        <f>IF($A406&gt;'1-Input'!$B$26,E406,E406-MIN(MAX(E406,0),'P-Parametri'!$B$8*(E406+D406)))</f>
        <v>383776.38442263659</v>
      </c>
      <c r="H406" s="18">
        <f>IF($A406&gt;'1-Input'!$B$26,H405,H405-C406*(1-B406))</f>
        <v>241242.95291857113</v>
      </c>
      <c r="I406" s="11">
        <f>IF($A406&gt;'1-Input'!$B$26,0,IF(N405&lt;=0,0,MAX(0,(N405-O405)/N405)))</f>
        <v>0.35383392233425581</v>
      </c>
      <c r="J406" s="18">
        <f>IF($A406&gt;'1-Input'!$B$26,0,(MAX(0,I396-IF($A406&gt;='1-Input'!$C$12,'1-Input'!$B$12,0))-MIN(MAX(M405,0),MAX(0,I396-IF($A406&gt;='1-Input'!$C$12,'1-Input'!$B$12,0))))*(1/(1-'P-Parametri'!$B$6*I406))+MIN(MAX(0,N405-(MAX(0,I396-IF($A406&gt;='1-Input'!$C$12,'1-Input'!$B$12,0))-MIN(MAX(M405,0),MAX(0,I396-IF($A406&gt;='1-Input'!$C$12,'1-Input'!$B$12,0))))*(1/(1-'P-Parametri'!$B$6*I406))),MAX(0,0*I396-(M405-MIN(MAX(M405,0),MAX(0,I396-IF($A406&gt;='1-Input'!$C$12,'1-Input'!$B$12,0)))))*(1/(1-'P-Parametri'!$B$6*I406))))</f>
        <v>24172.555197726433</v>
      </c>
      <c r="K406" s="18">
        <f>IF($A406&gt;'1-Input'!$B$26,M405,(M405-MAX(0,I396-IF($A406&gt;='1-Input'!$C$12,'1-Input'!$B$12,0))+J406*(1-'P-Parametri'!$B$6*I406))*(1+'1-Input'!$B$27))</f>
        <v>-3.6248820833861826E-12</v>
      </c>
      <c r="L406" s="18">
        <f>IF($A406&gt;'1-Input'!$B$26,N405,(N405-J406)*(1+$C$4))</f>
        <v>332820.25675716711</v>
      </c>
      <c r="M406" s="18">
        <f>IF($A406&gt;'1-Input'!$B$26,K406,K406-'P-Parametri'!$B$8*(L406+K406)+MIN(MAX(L406,0),'P-Parametri'!$B$8*(L406+K406)))</f>
        <v>-3.637978807091713E-12</v>
      </c>
      <c r="N406" s="18">
        <f>IF($A406&gt;'1-Input'!$B$26,L406,L406-MIN(MAX(L406,0),'P-Parametri'!$B$8*(L406+K406)))</f>
        <v>332154.61624365277</v>
      </c>
      <c r="O406" s="18">
        <f>IF($A406&gt;'1-Input'!$B$26,O405,O405-J406*(1-I406))</f>
        <v>208793.35910338306</v>
      </c>
      <c r="P406" s="11">
        <f>IF($A406&gt;'1-Input'!$B$26,0,IF(U405&lt;=0,0,MAX(0,(U405-V405)/U405)))</f>
        <v>0.35383392233425565</v>
      </c>
      <c r="Q406" s="18">
        <f>IF($A406&gt;'1-Input'!$B$26,0,(MAX(0,P396-IF($A406&gt;='1-Input'!$C$12,'1-Input'!$B$12,0))-MIN(MAX(T405,0),MAX(0,P396-IF($A406&gt;='1-Input'!$C$12,'1-Input'!$B$12,0))))*(1/(1-'P-Parametri'!$B$6*P406))+MIN(MAX(0,U405-(MAX(0,P396-IF($A406&gt;='1-Input'!$C$12,'1-Input'!$B$12,0))-MIN(MAX(T405,0),MAX(0,P396-IF($A406&gt;='1-Input'!$C$12,'1-Input'!$B$12,0))))*(1/(1-'P-Parametri'!$B$6*P406))),MAX(0,0*P396-(T405-MIN(MAX(T405,0),MAX(0,P396-IF($A406&gt;='1-Input'!$C$12,'1-Input'!$B$12,0)))))*(1/(1-'P-Parametri'!$B$6*P406))))</f>
        <v>21029.70564511426</v>
      </c>
      <c r="R406" s="18">
        <f>IF($A406&gt;'1-Input'!$B$26,T405,(T405-MAX(0,P396-IF($A406&gt;='1-Input'!$C$12,'1-Input'!$B$12,0))+Q406*(1-'P-Parametri'!$B$6*P406))*(1+'1-Input'!$B$27))</f>
        <v>0</v>
      </c>
      <c r="S406" s="18">
        <f>IF($A406&gt;'1-Input'!$B$26,U405,(U405-Q406)*(1+$C$4))</f>
        <v>360841.80482704035</v>
      </c>
      <c r="T406" s="18">
        <f>IF($A406&gt;'1-Input'!$B$26,R406,R406-'P-Parametri'!$B$8*(S406+R406)+MIN(MAX(S406,0),'P-Parametri'!$B$8*(S406+R406)))</f>
        <v>0</v>
      </c>
      <c r="U406" s="18">
        <f>IF($A406&gt;'1-Input'!$B$26,S406,S406-MIN(MAX(S406,0),'P-Parametri'!$B$8*(S406+R406)))</f>
        <v>360120.12121738627</v>
      </c>
      <c r="V406" s="18">
        <f>IF($A406&gt;'1-Input'!$B$26,V405,V405-Q406*(1-P406))</f>
        <v>226372.55697370553</v>
      </c>
      <c r="W406" s="11">
        <f>IF($A406&gt;'1-Input'!$B$26,0,IF(AB405&lt;=0,0,MAX(0,(AB405-AC405)/AB405)))</f>
        <v>0.35383392233425581</v>
      </c>
      <c r="X406" s="18">
        <f>IF($A406&gt;'1-Input'!$B$26,0,(MAX(0,W396-IF($A406&gt;='1-Input'!$C$12,'1-Input'!$B$12,0))-MIN(MAX(AA405,0),MAX(0,W396-IF($A406&gt;='1-Input'!$C$12,'1-Input'!$B$12,0))))*(1/(1-'P-Parametri'!$B$6*W406))+MIN(MAX(0,AB405-(MAX(0,W396-IF($A406&gt;='1-Input'!$C$12,'1-Input'!$B$12,0))-MIN(MAX(AA405,0),MAX(0,W396-IF($A406&gt;='1-Input'!$C$12,'1-Input'!$B$12,0))))*(1/(1-'P-Parametri'!$B$6*W406))),MAX(0,0*W396-(AA405-MIN(MAX(AA405,0),MAX(0,W396-IF($A406&gt;='1-Input'!$C$12,'1-Input'!$B$12,0)))))*(1/(1-'P-Parametri'!$B$6*W406))))</f>
        <v>20747.464323285232</v>
      </c>
      <c r="Y406" s="18">
        <f>IF($A406&gt;'1-Input'!$B$26,AA405,(AA405-MAX(0,W396-IF($A406&gt;='1-Input'!$C$12,'1-Input'!$B$12,0))+X406*(1-'P-Parametri'!$B$6*W406))*(1+'1-Input'!$B$27))</f>
        <v>-3.6248820833861826E-12</v>
      </c>
      <c r="Z406" s="18">
        <f>IF($A406&gt;'1-Input'!$B$26,AB405,(AB405-X406)*(1+$C$4))</f>
        <v>363358.25960304571</v>
      </c>
      <c r="AA406" s="18">
        <f>IF($A406&gt;'1-Input'!$B$26,Y406,Y406-'P-Parametri'!$B$8*(Z406+Y406)+MIN(MAX(Z406,0),'P-Parametri'!$B$8*(Z406+Y406)))</f>
        <v>-3.637978807091713E-12</v>
      </c>
      <c r="AB406" s="18">
        <f>IF($A406&gt;'1-Input'!$B$26,Z406,Z406-MIN(MAX(Z406,0),'P-Parametri'!$B$8*(Z406+Y406)))</f>
        <v>362631.54308383964</v>
      </c>
      <c r="AC406" s="18">
        <f>IF($A406&gt;'1-Input'!$B$26,AC405,AC405-X406*(1-W406))</f>
        <v>227951.24407296238</v>
      </c>
      <c r="AD406" s="11">
        <f>IF($A406&gt;'1-Input'!$B$26,0,IF(AI405&lt;=0,0,MAX(0,(AI405-AJ405)/AI405)))</f>
        <v>0.35383392233425587</v>
      </c>
      <c r="AE406" s="18">
        <f>IF($A406&gt;'1-Input'!$B$26,0,(MAX(0,AD396-IF($A406&gt;='1-Input'!$C$12,'1-Input'!$B$12,0))-MIN(MAX(AH405,0),MAX(0,AD396-IF($A406&gt;='1-Input'!$C$12,'1-Input'!$B$12,0))))*(1/(1-'P-Parametri'!$B$6*AD406))+MIN(MAX(0,AI405-(MAX(0,AD396-IF($A406&gt;='1-Input'!$C$12,'1-Input'!$B$12,0))-MIN(MAX(AH405,0),MAX(0,AD396-IF($A406&gt;='1-Input'!$C$12,'1-Input'!$B$12,0))))*(1/(1-'P-Parametri'!$B$6*AD406))),MAX(0,0*AD396-(AH405-MIN(MAX(AH405,0),MAX(0,AD396-IF($A406&gt;='1-Input'!$C$12,'1-Input'!$B$12,0)))))*(1/(1-'P-Parametri'!$B$6*AD406))))</f>
        <v>20754.935074081415</v>
      </c>
      <c r="AF406" s="18">
        <f>IF($A406&gt;'1-Input'!$B$26,AH405,(AH405-MAX(0,AD396-IF($A406&gt;='1-Input'!$C$12,'1-Input'!$B$12,0))+AE406*(1-'P-Parametri'!$B$6*AD406))*(1+'1-Input'!$B$27))</f>
        <v>0</v>
      </c>
      <c r="AG406" s="18">
        <f>IF($A406&gt;'1-Input'!$B$26,AI405,(AI405-AE406)*(1+$C$4))</f>
        <v>363291.65062318568</v>
      </c>
      <c r="AH406" s="18">
        <f>IF($A406&gt;'1-Input'!$B$26,AF406,AF406-'P-Parametri'!$B$8*(AG406+AF406)+MIN(MAX(AG406,0),'P-Parametri'!$B$8*(AG406+AF406)))</f>
        <v>0</v>
      </c>
      <c r="AI406" s="18">
        <f>IF($A406&gt;'1-Input'!$B$26,AG406,AG406-MIN(MAX(AG406,0),'P-Parametri'!$B$8*(AG406+AF406)))</f>
        <v>362565.06732193928</v>
      </c>
      <c r="AJ406" s="18">
        <f>IF($A406&gt;'1-Input'!$B$26,AJ405,AJ405-AE406*(1-AD406))</f>
        <v>227909.4572154347</v>
      </c>
      <c r="AK406" s="11">
        <f>IF($A406&gt;'1-Input'!$B$26,0,IF(AP405&lt;=0,0,MAX(0,(AP405-AQ405)/AP405)))</f>
        <v>0.35383392233425559</v>
      </c>
      <c r="AL406" s="18">
        <f>IF($A406&gt;'1-Input'!$B$26,0,(MAX(0,AK396-IF($A406&gt;='1-Input'!$C$12,'1-Input'!$B$12,0))-MIN(MAX(AO405,0),MAX(0,AK396-IF($A406&gt;='1-Input'!$C$12,'1-Input'!$B$12,0))))*(1/(1-'P-Parametri'!$B$6*AK406))+MIN(MAX(0,AP405-(MAX(0,AK396-IF($A406&gt;='1-Input'!$C$12,'1-Input'!$B$12,0))-MIN(MAX(AO405,0),MAX(0,AK396-IF($A406&gt;='1-Input'!$C$12,'1-Input'!$B$12,0))))*(1/(1-'P-Parametri'!$B$6*AK406))),MAX(0,0*AK396-(AO405-MIN(MAX(AO405,0),MAX(0,AK396-IF($A406&gt;='1-Input'!$C$12,'1-Input'!$B$12,0)))))*(1/(1-'P-Parametri'!$B$6*AK406))))</f>
        <v>20753.775004129664</v>
      </c>
      <c r="AM406" s="18">
        <f>IF($A406&gt;'1-Input'!$B$26,AO405,(AO405-MAX(0,AK396-IF($A406&gt;='1-Input'!$C$12,'1-Input'!$B$12,0))+AL406*(1-'P-Parametri'!$B$6*AK406))*(1+'1-Input'!$B$27))</f>
        <v>0</v>
      </c>
      <c r="AN406" s="18">
        <f>IF($A406&gt;'1-Input'!$B$26,AP405,(AP405-AL406)*(1+$C$4))</f>
        <v>363301.99377050233</v>
      </c>
      <c r="AO406" s="18">
        <f>IF($A406&gt;'1-Input'!$B$26,AM406,AM406-'P-Parametri'!$B$8*(AN406+AM406)+MIN(MAX(AN406,0),'P-Parametri'!$B$8*(AN406+AM406)))</f>
        <v>0</v>
      </c>
      <c r="AP406" s="18">
        <f>IF($A406&gt;'1-Input'!$B$26,AN406,AN406-MIN(MAX(AN406,0),'P-Parametri'!$B$8*(AN406+AM406)))</f>
        <v>362575.38978296134</v>
      </c>
      <c r="AQ406" s="18">
        <f>IF($A406&gt;'1-Input'!$B$26,AQ405,AQ405-AL406*(1-AK406))</f>
        <v>227915.94594449535</v>
      </c>
    </row>
    <row r="407" spans="1:43">
      <c r="A407" s="10">
        <f>9</f>
        <v>9</v>
      </c>
      <c r="B407" s="11">
        <f>IF($A407&gt;'1-Input'!$B$26,0,IF(G406&lt;=0,0,MAX(0,(G406-H406)/G406)))</f>
        <v>0.37139708770381102</v>
      </c>
      <c r="C407" s="18">
        <f>IF($A407&gt;'1-Input'!$B$26,0,(MAX(0,B396-IF($A407&gt;='1-Input'!$C$12,'1-Input'!$B$12,0))-MIN(MAX(F406,0),MAX(0,B396-IF($A407&gt;='1-Input'!$C$12,'1-Input'!$B$12,0))))*(1/(1-'P-Parametri'!$B$6*B407))+MIN(MAX(0,G406-(MAX(0,B396-IF($A407&gt;='1-Input'!$C$12,'1-Input'!$B$12,0))-MIN(MAX(F406,0),MAX(0,B396-IF($A407&gt;='1-Input'!$C$12,'1-Input'!$B$12,0))))*(1/(1-'P-Parametri'!$B$6*B407))),MAX(0,0*B396-(F406-MIN(MAX(F406,0),MAX(0,B396-IF($A407&gt;='1-Input'!$C$12,'1-Input'!$B$12,0)))))*(1/(1-'P-Parametri'!$B$6*B407))))</f>
        <v>18463.998926034648</v>
      </c>
      <c r="D407" s="18">
        <f>IF($A407&gt;'1-Input'!$B$26,F406,(F406-MAX(0,B396-IF($A407&gt;='1-Input'!$C$12,'1-Input'!$B$12,0))+C407*(1-'P-Parametri'!$B$6*B407))*(1+'1-Input'!$B$27))</f>
        <v>0</v>
      </c>
      <c r="E407" s="18">
        <f>IF($A407&gt;'1-Input'!$B$26,G406,(G406-C407)*(1+$C$4))</f>
        <v>376271.75706149999</v>
      </c>
      <c r="F407" s="18">
        <f>IF($A407&gt;'1-Input'!$B$26,D407,D407-'P-Parametri'!$B$8*(E407+D407)+MIN(MAX(E407,0),'P-Parametri'!$B$8*(E407+D407)))</f>
        <v>0</v>
      </c>
      <c r="G407" s="18">
        <f>IF($A407&gt;'1-Input'!$B$26,E407,E407-MIN(MAX(E407,0),'P-Parametri'!$B$8*(E407+D407)))</f>
        <v>375519.21354737697</v>
      </c>
      <c r="H407" s="18">
        <f>IF($A407&gt;'1-Input'!$B$26,H406,H406-C407*(1-B407))</f>
        <v>229636.42942103205</v>
      </c>
      <c r="I407" s="11">
        <f>IF($A407&gt;'1-Input'!$B$26,0,IF(N406&lt;=0,0,MAX(0,(N406-O406)/N406)))</f>
        <v>0.37139708770381136</v>
      </c>
      <c r="J407" s="18">
        <f>IF($A407&gt;'1-Input'!$B$26,0,(MAX(0,I396-IF($A407&gt;='1-Input'!$C$12,'1-Input'!$B$12,0))-MIN(MAX(M406,0),MAX(0,I396-IF($A407&gt;='1-Input'!$C$12,'1-Input'!$B$12,0))))*(1/(1-'P-Parametri'!$B$6*I407))+MIN(MAX(0,N406-(MAX(0,I396-IF($A407&gt;='1-Input'!$C$12,'1-Input'!$B$12,0))-MIN(MAX(M406,0),MAX(0,I396-IF($A407&gt;='1-Input'!$C$12,'1-Input'!$B$12,0))))*(1/(1-'P-Parametri'!$B$6*I407))),MAX(0,0*I396-(M406-MIN(MAX(M406,0),MAX(0,I396-IF($A407&gt;='1-Input'!$C$12,'1-Input'!$B$12,0)))))*(1/(1-'P-Parametri'!$B$6*I407))))</f>
        <v>24294.735428992972</v>
      </c>
      <c r="K407" s="18">
        <f>IF($A407&gt;'1-Input'!$B$26,M406,(M406-MAX(0,I396-IF($A407&gt;='1-Input'!$C$12,'1-Input'!$B$12,0))+J407*(1-'P-Parametri'!$B$6*I407))*(1+'1-Input'!$B$27))</f>
        <v>0</v>
      </c>
      <c r="L407" s="18">
        <f>IF($A407&gt;'1-Input'!$B$26,N406,(N406-J407)*(1+$C$4))</f>
        <v>317095.67723909963</v>
      </c>
      <c r="M407" s="18">
        <f>IF($A407&gt;'1-Input'!$B$26,K407,K407-'P-Parametri'!$B$8*(L407+K407)+MIN(MAX(L407,0),'P-Parametri'!$B$8*(L407+K407)))</f>
        <v>0</v>
      </c>
      <c r="N407" s="18">
        <f>IF($A407&gt;'1-Input'!$B$26,L407,L407-MIN(MAX(L407,0),'P-Parametri'!$B$8*(L407+K407)))</f>
        <v>316461.48588462145</v>
      </c>
      <c r="O407" s="18">
        <f>IF($A407&gt;'1-Input'!$B$26,O406,O406-J407*(1-I407))</f>
        <v>193521.61765925269</v>
      </c>
      <c r="P407" s="11">
        <f>IF($A407&gt;'1-Input'!$B$26,0,IF(U406&lt;=0,0,MAX(0,(U406-V406)/U406)))</f>
        <v>0.37139708770381125</v>
      </c>
      <c r="Q407" s="18">
        <f>IF($A407&gt;'1-Input'!$B$26,0,(MAX(0,P396-IF($A407&gt;='1-Input'!$C$12,'1-Input'!$B$12,0))-MIN(MAX(T406,0),MAX(0,P396-IF($A407&gt;='1-Input'!$C$12,'1-Input'!$B$12,0))))*(1/(1-'P-Parametri'!$B$6*P407))+MIN(MAX(0,U406-(MAX(0,P396-IF($A407&gt;='1-Input'!$C$12,'1-Input'!$B$12,0))-MIN(MAX(T406,0),MAX(0,P396-IF($A407&gt;='1-Input'!$C$12,'1-Input'!$B$12,0))))*(1/(1-'P-Parametri'!$B$6*P407))),MAX(0,0*P396-(T406-MIN(MAX(T406,0),MAX(0,P396-IF($A407&gt;='1-Input'!$C$12,'1-Input'!$B$12,0)))))*(1/(1-'P-Parametri'!$B$6*P407))))</f>
        <v>21136.000336683683</v>
      </c>
      <c r="R407" s="18">
        <f>IF($A407&gt;'1-Input'!$B$26,T406,(T406-MAX(0,P396-IF($A407&gt;='1-Input'!$C$12,'1-Input'!$B$12,0))+Q407*(1-'P-Parametri'!$B$6*P407))*(1+'1-Input'!$B$27))</f>
        <v>0</v>
      </c>
      <c r="S407" s="18">
        <f>IF($A407&gt;'1-Input'!$B$26,U406,(U406-Q407)*(1+$C$4))</f>
        <v>349153.64450712368</v>
      </c>
      <c r="T407" s="18">
        <f>IF($A407&gt;'1-Input'!$B$26,R407,R407-'P-Parametri'!$B$8*(S407+R407)+MIN(MAX(S407,0),'P-Parametri'!$B$8*(S407+R407)))</f>
        <v>0</v>
      </c>
      <c r="U407" s="18">
        <f>IF($A407&gt;'1-Input'!$B$26,S407,S407-MIN(MAX(S407,0),'P-Parametri'!$B$8*(S407+R407)))</f>
        <v>348455.33721810946</v>
      </c>
      <c r="V407" s="18">
        <f>IF($A407&gt;'1-Input'!$B$26,V406,V406-Q407*(1-P407))</f>
        <v>213086.40560777293</v>
      </c>
      <c r="W407" s="11">
        <f>IF($A407&gt;'1-Input'!$B$26,0,IF(AB406&lt;=0,0,MAX(0,(AB406-AC406)/AB406)))</f>
        <v>0.37139708770381141</v>
      </c>
      <c r="X407" s="18">
        <f>IF($A407&gt;'1-Input'!$B$26,0,(MAX(0,W396-IF($A407&gt;='1-Input'!$C$12,'1-Input'!$B$12,0))-MIN(MAX(AA406,0),MAX(0,W396-IF($A407&gt;='1-Input'!$C$12,'1-Input'!$B$12,0))))*(1/(1-'P-Parametri'!$B$6*W407))+MIN(MAX(0,AB406-(MAX(0,W396-IF($A407&gt;='1-Input'!$C$12,'1-Input'!$B$12,0))-MIN(MAX(AA406,0),MAX(0,W396-IF($A407&gt;='1-Input'!$C$12,'1-Input'!$B$12,0))))*(1/(1-'P-Parametri'!$B$6*W407))),MAX(0,0*W396-(AA406-MIN(MAX(AA406,0),MAX(0,W396-IF($A407&gt;='1-Input'!$C$12,'1-Input'!$B$12,0)))))*(1/(1-'P-Parametri'!$B$6*W407))))</f>
        <v>20852.332425497767</v>
      </c>
      <c r="Y407" s="18">
        <f>IF($A407&gt;'1-Input'!$B$26,AA406,(AA406-MAX(0,W396-IF($A407&gt;='1-Input'!$C$12,'1-Input'!$B$12,0))+X407*(1-'P-Parametri'!$B$6*W407))*(1+'1-Input'!$B$27))</f>
        <v>0</v>
      </c>
      <c r="Z407" s="18">
        <f>IF($A407&gt;'1-Input'!$B$26,AB406,(AB406-X407)*(1+$C$4))</f>
        <v>352032.58697809215</v>
      </c>
      <c r="AA407" s="18">
        <f>IF($A407&gt;'1-Input'!$B$26,Y407,Y407-'P-Parametri'!$B$8*(Z407+Y407)+MIN(MAX(Z407,0),'P-Parametri'!$B$8*(Z407+Y407)))</f>
        <v>0</v>
      </c>
      <c r="AB407" s="18">
        <f>IF($A407&gt;'1-Input'!$B$26,Z407,Z407-MIN(MAX(Z407,0),'P-Parametri'!$B$8*(Z407+Y407)))</f>
        <v>351328.52180413599</v>
      </c>
      <c r="AC407" s="18">
        <f>IF($A407&gt;'1-Input'!$B$26,AC406,AC406-X407*(1-W407))</f>
        <v>214843.40718212625</v>
      </c>
      <c r="AD407" s="11">
        <f>IF($A407&gt;'1-Input'!$B$26,0,IF(AI406&lt;=0,0,MAX(0,(AI406-AJ406)/AI406)))</f>
        <v>0.37139708770381141</v>
      </c>
      <c r="AE407" s="18">
        <f>IF($A407&gt;'1-Input'!$B$26,0,(MAX(0,AD396-IF($A407&gt;='1-Input'!$C$12,'1-Input'!$B$12,0))-MIN(MAX(AH406,0),MAX(0,AD396-IF($A407&gt;='1-Input'!$C$12,'1-Input'!$B$12,0))))*(1/(1-'P-Parametri'!$B$6*AD407))+MIN(MAX(0,AI406-(MAX(0,AD396-IF($A407&gt;='1-Input'!$C$12,'1-Input'!$B$12,0))-MIN(MAX(AH406,0),MAX(0,AD396-IF($A407&gt;='1-Input'!$C$12,'1-Input'!$B$12,0))))*(1/(1-'P-Parametri'!$B$6*AD407))),MAX(0,0*AD396-(AH406-MIN(MAX(AH406,0),MAX(0,AD396-IF($A407&gt;='1-Input'!$C$12,'1-Input'!$B$12,0)))))*(1/(1-'P-Parametri'!$B$6*AD407))))</f>
        <v>20859.840937219607</v>
      </c>
      <c r="AF407" s="18">
        <f>IF($A407&gt;'1-Input'!$B$26,AH406,(AH406-MAX(0,AD396-IF($A407&gt;='1-Input'!$C$12,'1-Input'!$B$12,0))+AE407*(1-'P-Parametri'!$B$6*AD407))*(1+'1-Input'!$B$27))</f>
        <v>0</v>
      </c>
      <c r="AG407" s="18">
        <f>IF($A407&gt;'1-Input'!$B$26,AI406,(AI406-AE407)*(1+$C$4))</f>
        <v>351956.38317626127</v>
      </c>
      <c r="AH407" s="18">
        <f>IF($A407&gt;'1-Input'!$B$26,AF407,AF407-'P-Parametri'!$B$8*(AG407+AF407)+MIN(MAX(AG407,0),'P-Parametri'!$B$8*(AG407+AF407)))</f>
        <v>0</v>
      </c>
      <c r="AI407" s="18">
        <f>IF($A407&gt;'1-Input'!$B$26,AG407,AG407-MIN(MAX(AG407,0),'P-Parametri'!$B$8*(AG407+AF407)))</f>
        <v>351252.47040990874</v>
      </c>
      <c r="AJ407" s="18">
        <f>IF($A407&gt;'1-Input'!$B$26,AJ406,AJ406-AE407*(1-AD407))</f>
        <v>214796.90045226319</v>
      </c>
      <c r="AK407" s="11">
        <f>IF($A407&gt;'1-Input'!$B$26,0,IF(AP406&lt;=0,0,MAX(0,(AP406-AQ406)/AP406)))</f>
        <v>0.37139708770381108</v>
      </c>
      <c r="AL407" s="18">
        <f>IF($A407&gt;'1-Input'!$B$26,0,(MAX(0,AK396-IF($A407&gt;='1-Input'!$C$12,'1-Input'!$B$12,0))-MIN(MAX(AO406,0),MAX(0,AK396-IF($A407&gt;='1-Input'!$C$12,'1-Input'!$B$12,0))))*(1/(1-'P-Parametri'!$B$6*AK407))+MIN(MAX(0,AP406-(MAX(0,AK396-IF($A407&gt;='1-Input'!$C$12,'1-Input'!$B$12,0))-MIN(MAX(AO406,0),MAX(0,AK396-IF($A407&gt;='1-Input'!$C$12,'1-Input'!$B$12,0))))*(1/(1-'P-Parametri'!$B$6*AK407))),MAX(0,0*AK396-(AO406-MIN(MAX(AO406,0),MAX(0,AK396-IF($A407&gt;='1-Input'!$C$12,'1-Input'!$B$12,0)))))*(1/(1-'P-Parametri'!$B$6*AK407))))</f>
        <v>20858.675003691842</v>
      </c>
      <c r="AM407" s="18">
        <f>IF($A407&gt;'1-Input'!$B$26,AO406,(AO406-MAX(0,AK396-IF($A407&gt;='1-Input'!$C$12,'1-Input'!$B$12,0))+AL407*(1-'P-Parametri'!$B$6*AK407))*(1+'1-Input'!$B$27))</f>
        <v>0</v>
      </c>
      <c r="AN407" s="18">
        <f>IF($A407&gt;'1-Input'!$B$26,AP406,(AP406-AL407)*(1+$C$4))</f>
        <v>351968.21622264758</v>
      </c>
      <c r="AO407" s="18">
        <f>IF($A407&gt;'1-Input'!$B$26,AM407,AM407-'P-Parametri'!$B$8*(AN407+AM407)+MIN(MAX(AN407,0),'P-Parametri'!$B$8*(AN407+AM407)))</f>
        <v>0</v>
      </c>
      <c r="AP407" s="18">
        <f>IF($A407&gt;'1-Input'!$B$26,AN407,AN407-MIN(MAX(AN407,0),'P-Parametri'!$B$8*(AN407+AM407)))</f>
        <v>351264.27979020227</v>
      </c>
      <c r="AQ407" s="18">
        <f>IF($A407&gt;'1-Input'!$B$26,AQ406,AQ406-AL407*(1-AK407))</f>
        <v>214804.12209053495</v>
      </c>
    </row>
    <row r="408" spans="1:43">
      <c r="A408" s="10">
        <f>10</f>
        <v>10</v>
      </c>
      <c r="B408" s="11">
        <f>IF($A408&gt;'1-Input'!$B$26,0,IF(G407&lt;=0,0,MAX(0,(G407-H407)/G407)))</f>
        <v>0.38848287614433819</v>
      </c>
      <c r="C408" s="18">
        <f>IF($A408&gt;'1-Input'!$B$26,0,(MAX(0,B396-IF($A408&gt;='1-Input'!$C$12,'1-Input'!$B$12,0))-MIN(MAX(F407,0),MAX(0,B396-IF($A408&gt;='1-Input'!$C$12,'1-Input'!$B$12,0))))*(1/(1-'P-Parametri'!$B$6*B408))+MIN(MAX(0,G407-(MAX(0,B396-IF($A408&gt;='1-Input'!$C$12,'1-Input'!$B$12,0))-MIN(MAX(F407,0),MAX(0,B396-IF($A408&gt;='1-Input'!$C$12,'1-Input'!$B$12,0))))*(1/(1-'P-Parametri'!$B$6*B408))),MAX(0,0*B396-(F407-MIN(MAX(F407,0),MAX(0,B396-IF($A408&gt;='1-Input'!$C$12,'1-Input'!$B$12,0)))))*(1/(1-'P-Parametri'!$B$6*B408))))</f>
        <v>18555.237213932091</v>
      </c>
      <c r="D408" s="18">
        <f>IF($A408&gt;'1-Input'!$B$26,F407,(F407-MAX(0,B396-IF($A408&gt;='1-Input'!$C$12,'1-Input'!$B$12,0))+C408*(1-'P-Parametri'!$B$6*B408))*(1+'1-Input'!$B$27))</f>
        <v>0</v>
      </c>
      <c r="E408" s="18">
        <f>IF($A408&gt;'1-Input'!$B$26,G407,(G407-C408)*(1+$C$4))</f>
        <v>367672.89562344825</v>
      </c>
      <c r="F408" s="18">
        <f>IF($A408&gt;'1-Input'!$B$26,D408,D408-'P-Parametri'!$B$8*(E408+D408)+MIN(MAX(E408,0),'P-Parametri'!$B$8*(E408+D408)))</f>
        <v>0</v>
      </c>
      <c r="G408" s="18">
        <f>IF($A408&gt;'1-Input'!$B$26,E408,E408-MIN(MAX(E408,0),'P-Parametri'!$B$8*(E408+D408)))</f>
        <v>366937.54983220133</v>
      </c>
      <c r="H408" s="18">
        <f>IF($A408&gt;'1-Input'!$B$26,H407,H407-C408*(1-B408))</f>
        <v>218289.58412750874</v>
      </c>
      <c r="I408" s="11">
        <f>IF($A408&gt;'1-Input'!$B$26,0,IF(N407&lt;=0,0,MAX(0,(N407-O407)/N407)))</f>
        <v>0.38848287614433863</v>
      </c>
      <c r="J408" s="18">
        <f>IF($A408&gt;'1-Input'!$B$26,0,(MAX(0,I396-IF($A408&gt;='1-Input'!$C$12,'1-Input'!$B$12,0))-MIN(MAX(M407,0),MAX(0,I396-IF($A408&gt;='1-Input'!$C$12,'1-Input'!$B$12,0))))*(1/(1-'P-Parametri'!$B$6*I408))+MIN(MAX(0,N407-(MAX(0,I396-IF($A408&gt;='1-Input'!$C$12,'1-Input'!$B$12,0))-MIN(MAX(M407,0),MAX(0,I396-IF($A408&gt;='1-Input'!$C$12,'1-Input'!$B$12,0))))*(1/(1-'P-Parametri'!$B$6*I408))),MAX(0,0*I396-(M407-MIN(MAX(M407,0),MAX(0,I396-IF($A408&gt;='1-Input'!$C$12,'1-Input'!$B$12,0)))))*(1/(1-'P-Parametri'!$B$6*I408))))</f>
        <v>24414.785807805387</v>
      </c>
      <c r="K408" s="18">
        <f>IF($A408&gt;'1-Input'!$B$26,M407,(M407-MAX(0,I396-IF($A408&gt;='1-Input'!$C$12,'1-Input'!$B$12,0))+J408*(1-'P-Parametri'!$B$6*I408))*(1+'1-Input'!$B$27))</f>
        <v>0</v>
      </c>
      <c r="L408" s="18">
        <f>IF($A408&gt;'1-Input'!$B$26,N407,(N407-J408)*(1+$C$4))</f>
        <v>300808.10107912059</v>
      </c>
      <c r="M408" s="18">
        <f>IF($A408&gt;'1-Input'!$B$26,K408,K408-'P-Parametri'!$B$8*(L408+K408)+MIN(MAX(L408,0),'P-Parametri'!$B$8*(L408+K408)))</f>
        <v>0</v>
      </c>
      <c r="N408" s="18">
        <f>IF($A408&gt;'1-Input'!$B$26,L408,L408-MIN(MAX(L408,0),'P-Parametri'!$B$8*(L408+K408)))</f>
        <v>300206.48487696238</v>
      </c>
      <c r="O408" s="18">
        <f>IF($A408&gt;'1-Input'!$B$26,O407,O407-J408*(1-I408))</f>
        <v>178591.55806251153</v>
      </c>
      <c r="P408" s="11">
        <f>IF($A408&gt;'1-Input'!$B$26,0,IF(U407&lt;=0,0,MAX(0,(U407-V407)/U407)))</f>
        <v>0.38848287614433852</v>
      </c>
      <c r="Q408" s="18">
        <f>IF($A408&gt;'1-Input'!$B$26,0,(MAX(0,P396-IF($A408&gt;='1-Input'!$C$12,'1-Input'!$B$12,0))-MIN(MAX(T407,0),MAX(0,P396-IF($A408&gt;='1-Input'!$C$12,'1-Input'!$B$12,0))))*(1/(1-'P-Parametri'!$B$6*P408))+MIN(MAX(0,U407-(MAX(0,P396-IF($A408&gt;='1-Input'!$C$12,'1-Input'!$B$12,0))-MIN(MAX(T407,0),MAX(0,P396-IF($A408&gt;='1-Input'!$C$12,'1-Input'!$B$12,0))))*(1/(1-'P-Parametri'!$B$6*P408))),MAX(0,0*P396-(T407-MIN(MAX(T407,0),MAX(0,P396-IF($A408&gt;='1-Input'!$C$12,'1-Input'!$B$12,0)))))*(1/(1-'P-Parametri'!$B$6*P408))))</f>
        <v>21240.442093393256</v>
      </c>
      <c r="R408" s="18">
        <f>IF($A408&gt;'1-Input'!$B$26,T407,(T407-MAX(0,P396-IF($A408&gt;='1-Input'!$C$12,'1-Input'!$B$12,0))+Q408*(1-'P-Parametri'!$B$6*P408))*(1+'1-Input'!$B$27))</f>
        <v>0</v>
      </c>
      <c r="S408" s="18">
        <f>IF($A408&gt;'1-Input'!$B$26,U407,(U407-Q408)*(1+$C$4))</f>
        <v>337031.3419784577</v>
      </c>
      <c r="T408" s="18">
        <f>IF($A408&gt;'1-Input'!$B$26,R408,R408-'P-Parametri'!$B$8*(S408+R408)+MIN(MAX(S408,0),'P-Parametri'!$B$8*(S408+R408)))</f>
        <v>0</v>
      </c>
      <c r="U408" s="18">
        <f>IF($A408&gt;'1-Input'!$B$26,S408,S408-MIN(MAX(S408,0),'P-Parametri'!$B$8*(S408+R408)))</f>
        <v>336357.27929450077</v>
      </c>
      <c r="V408" s="18">
        <f>IF($A408&gt;'1-Input'!$B$26,V407,V407-Q408*(1-P408))</f>
        <v>200097.51154939836</v>
      </c>
      <c r="W408" s="11">
        <f>IF($A408&gt;'1-Input'!$B$26,0,IF(AB407&lt;=0,0,MAX(0,(AB407-AC407)/AB407)))</f>
        <v>0.38848287614433863</v>
      </c>
      <c r="X408" s="18">
        <f>IF($A408&gt;'1-Input'!$B$26,0,(MAX(0,W396-IF($A408&gt;='1-Input'!$C$12,'1-Input'!$B$12,0))-MIN(MAX(AA407,0),MAX(0,W396-IF($A408&gt;='1-Input'!$C$12,'1-Input'!$B$12,0))))*(1/(1-'P-Parametri'!$B$6*W408))+MIN(MAX(0,AB407-(MAX(0,W396-IF($A408&gt;='1-Input'!$C$12,'1-Input'!$B$12,0))-MIN(MAX(AA407,0),MAX(0,W396-IF($A408&gt;='1-Input'!$C$12,'1-Input'!$B$12,0))))*(1/(1-'P-Parametri'!$B$6*W408))),MAX(0,0*W396-(AA407-MIN(MAX(AA407,0),MAX(0,W396-IF($A408&gt;='1-Input'!$C$12,'1-Input'!$B$12,0)))))*(1/(1-'P-Parametri'!$B$6*W408))))</f>
        <v>20955.372461233903</v>
      </c>
      <c r="Y408" s="18">
        <f>IF($A408&gt;'1-Input'!$B$26,AA407,(AA407-MAX(0,W396-IF($A408&gt;='1-Input'!$C$12,'1-Input'!$B$12,0))+X408*(1-'P-Parametri'!$B$6*W408))*(1+'1-Input'!$B$27))</f>
        <v>0</v>
      </c>
      <c r="Z408" s="18">
        <f>IF($A408&gt;'1-Input'!$B$26,AB407,(AB407-X408)*(1+$C$4))</f>
        <v>340284.34382318915</v>
      </c>
      <c r="AA408" s="18">
        <f>IF($A408&gt;'1-Input'!$B$26,Y408,Y408-'P-Parametri'!$B$8*(Z408+Y408)+MIN(MAX(Z408,0),'P-Parametri'!$B$8*(Z408+Y408)))</f>
        <v>0</v>
      </c>
      <c r="AB408" s="18">
        <f>IF($A408&gt;'1-Input'!$B$26,Z408,Z408-MIN(MAX(Z408,0),'P-Parametri'!$B$8*(Z408+Y408)))</f>
        <v>339603.77513554279</v>
      </c>
      <c r="AC408" s="18">
        <f>IF($A408&gt;'1-Input'!$B$26,AC407,AC407-X408*(1-W408))</f>
        <v>202028.83808530835</v>
      </c>
      <c r="AD408" s="11">
        <f>IF($A408&gt;'1-Input'!$B$26,0,IF(AI407&lt;=0,0,MAX(0,(AI407-AJ407)/AI407)))</f>
        <v>0.38848287614433863</v>
      </c>
      <c r="AE408" s="18">
        <f>IF($A408&gt;'1-Input'!$B$26,0,(MAX(0,AD396-IF($A408&gt;='1-Input'!$C$12,'1-Input'!$B$12,0))-MIN(MAX(AH407,0),MAX(0,AD396-IF($A408&gt;='1-Input'!$C$12,'1-Input'!$B$12,0))))*(1/(1-'P-Parametri'!$B$6*AD408))+MIN(MAX(0,AI407-(MAX(0,AD396-IF($A408&gt;='1-Input'!$C$12,'1-Input'!$B$12,0))-MIN(MAX(AH407,0),MAX(0,AD396-IF($A408&gt;='1-Input'!$C$12,'1-Input'!$B$12,0))))*(1/(1-'P-Parametri'!$B$6*AD408))),MAX(0,0*AD396-(AH407-MIN(MAX(AH407,0),MAX(0,AD396-IF($A408&gt;='1-Input'!$C$12,'1-Input'!$B$12,0)))))*(1/(1-'P-Parametri'!$B$6*AD408))))</f>
        <v>20962.9180756309</v>
      </c>
      <c r="AF408" s="18">
        <f>IF($A408&gt;'1-Input'!$B$26,AH407,(AH407-MAX(0,AD396-IF($A408&gt;='1-Input'!$C$12,'1-Input'!$B$12,0))+AE408*(1-'P-Parametri'!$B$6*AD408))*(1+'1-Input'!$B$27))</f>
        <v>0</v>
      </c>
      <c r="AG408" s="18">
        <f>IF($A408&gt;'1-Input'!$B$26,AI407,(AI407-AE408)*(1+$C$4))</f>
        <v>340198.2389043062</v>
      </c>
      <c r="AH408" s="18">
        <f>IF($A408&gt;'1-Input'!$B$26,AF408,AF408-'P-Parametri'!$B$8*(AG408+AF408)+MIN(MAX(AG408,0),'P-Parametri'!$B$8*(AG408+AF408)))</f>
        <v>0</v>
      </c>
      <c r="AI408" s="18">
        <f>IF($A408&gt;'1-Input'!$B$26,AG408,AG408-MIN(MAX(AG408,0),'P-Parametri'!$B$8*(AG408+AF408)))</f>
        <v>339517.84242649761</v>
      </c>
      <c r="AJ408" s="18">
        <f>IF($A408&gt;'1-Input'!$B$26,AJ407,AJ407-AE408*(1-AD408))</f>
        <v>201977.71708303152</v>
      </c>
      <c r="AK408" s="11">
        <f>IF($A408&gt;'1-Input'!$B$26,0,IF(AP407&lt;=0,0,MAX(0,(AP407-AQ407)/AP407)))</f>
        <v>0.38848287614433824</v>
      </c>
      <c r="AL408" s="18">
        <f>IF($A408&gt;'1-Input'!$B$26,0,(MAX(0,AK396-IF($A408&gt;='1-Input'!$C$12,'1-Input'!$B$12,0))-MIN(MAX(AO407,0),MAX(0,AK396-IF($A408&gt;='1-Input'!$C$12,'1-Input'!$B$12,0))))*(1/(1-'P-Parametri'!$B$6*AK408))+MIN(MAX(0,AP407-(MAX(0,AK396-IF($A408&gt;='1-Input'!$C$12,'1-Input'!$B$12,0))-MIN(MAX(AO407,0),MAX(0,AK396-IF($A408&gt;='1-Input'!$C$12,'1-Input'!$B$12,0))))*(1/(1-'P-Parametri'!$B$6*AK408))),MAX(0,0*AK396-(AO407-MIN(MAX(AO407,0),MAX(0,AK396-IF($A408&gt;='1-Input'!$C$12,'1-Input'!$B$12,0)))))*(1/(1-'P-Parametri'!$B$6*AK408))))</f>
        <v>20961.746380741293</v>
      </c>
      <c r="AM408" s="18">
        <f>IF($A408&gt;'1-Input'!$B$26,AO407,(AO407-MAX(0,AK396-IF($A408&gt;='1-Input'!$C$12,'1-Input'!$B$12,0))+AL408*(1-'P-Parametri'!$B$6*AK408))*(1+'1-Input'!$B$27))</f>
        <v>0</v>
      </c>
      <c r="AN408" s="18">
        <f>IF($A408&gt;'1-Input'!$B$26,AP407,(AP407-AL408)*(1+$C$4))</f>
        <v>340211.60941174481</v>
      </c>
      <c r="AO408" s="18">
        <f>IF($A408&gt;'1-Input'!$B$26,AM408,AM408-'P-Parametri'!$B$8*(AN408+AM408)+MIN(MAX(AN408,0),'P-Parametri'!$B$8*(AN408+AM408)))</f>
        <v>0</v>
      </c>
      <c r="AP408" s="18">
        <f>IF($A408&gt;'1-Input'!$B$26,AN408,AN408-MIN(MAX(AN408,0),'P-Parametri'!$B$8*(AN408+AM408)))</f>
        <v>339531.1861929213</v>
      </c>
      <c r="AQ408" s="18">
        <f>IF($A408&gt;'1-Input'!$B$26,AQ407,AQ407-AL408*(1-AK408))</f>
        <v>201985.6552327922</v>
      </c>
    </row>
    <row r="409" spans="1:43">
      <c r="A409" s="10">
        <f>11</f>
        <v>11</v>
      </c>
      <c r="B409" s="11">
        <f>IF($A409&gt;'1-Input'!$B$26,0,IF(G408&lt;=0,0,MAX(0,(G408-H408)/G408)))</f>
        <v>0.40510426303513647</v>
      </c>
      <c r="C409" s="18">
        <f>IF($A409&gt;'1-Input'!$B$26,0,(MAX(0,B396-IF($A409&gt;='1-Input'!$C$12,'1-Input'!$B$12,0))-MIN(MAX(F408,0),MAX(0,B396-IF($A409&gt;='1-Input'!$C$12,'1-Input'!$B$12,0))))*(1/(1-'P-Parametri'!$B$6*B409))+MIN(MAX(0,G408-(MAX(0,B396-IF($A409&gt;='1-Input'!$C$12,'1-Input'!$B$12,0))-MIN(MAX(F408,0),MAX(0,B396-IF($A409&gt;='1-Input'!$C$12,'1-Input'!$B$12,0))))*(1/(1-'P-Parametri'!$B$6*B409))),MAX(0,0*B396-(F408-MIN(MAX(F408,0),MAX(0,B396-IF($A409&gt;='1-Input'!$C$12,'1-Input'!$B$12,0)))))*(1/(1-'P-Parametri'!$B$6*B409))))</f>
        <v>18644.865035076062</v>
      </c>
      <c r="D409" s="18">
        <f>IF($A409&gt;'1-Input'!$B$26,F408,(F408-MAX(0,B396-IF($A409&gt;='1-Input'!$C$12,'1-Input'!$B$12,0))+C409*(1-'P-Parametri'!$B$6*B409))*(1+'1-Input'!$B$27))</f>
        <v>0</v>
      </c>
      <c r="E409" s="18">
        <f>IF($A409&gt;'1-Input'!$B$26,G408,(G408-C409)*(1+$C$4))</f>
        <v>358741.46534103906</v>
      </c>
      <c r="F409" s="18">
        <f>IF($A409&gt;'1-Input'!$B$26,D409,D409-'P-Parametri'!$B$8*(E409+D409)+MIN(MAX(E409,0),'P-Parametri'!$B$8*(E409+D409)))</f>
        <v>0</v>
      </c>
      <c r="G409" s="18">
        <f>IF($A409&gt;'1-Input'!$B$26,E409,E409-MIN(MAX(E409,0),'P-Parametri'!$B$8*(E409+D409)))</f>
        <v>358023.98241035698</v>
      </c>
      <c r="H409" s="18">
        <f>IF($A409&gt;'1-Input'!$B$26,H408,H408-C409*(1-B409))</f>
        <v>207197.83340185677</v>
      </c>
      <c r="I409" s="11">
        <f>IF($A409&gt;'1-Input'!$B$26,0,IF(N408&lt;=0,0,MAX(0,(N408-O408)/N408)))</f>
        <v>0.40510426303513702</v>
      </c>
      <c r="J409" s="18">
        <f>IF($A409&gt;'1-Input'!$B$26,0,(MAX(0,I396-IF($A409&gt;='1-Input'!$C$12,'1-Input'!$B$12,0))-MIN(MAX(M408,0),MAX(0,I396-IF($A409&gt;='1-Input'!$C$12,'1-Input'!$B$12,0))))*(1/(1-'P-Parametri'!$B$6*I409))+MIN(MAX(0,N408-(MAX(0,I396-IF($A409&gt;='1-Input'!$C$12,'1-Input'!$B$12,0))-MIN(MAX(M408,0),MAX(0,I396-IF($A409&gt;='1-Input'!$C$12,'1-Input'!$B$12,0))))*(1/(1-'P-Parametri'!$B$6*I409))),MAX(0,0*I396-(M408-MIN(MAX(M408,0),MAX(0,I396-IF($A409&gt;='1-Input'!$C$12,'1-Input'!$B$12,0)))))*(1/(1-'P-Parametri'!$B$6*I409))))</f>
        <v>24532.71715141588</v>
      </c>
      <c r="K409" s="18">
        <f>IF($A409&gt;'1-Input'!$B$26,M408,(M408-MAX(0,I396-IF($A409&gt;='1-Input'!$C$12,'1-Input'!$B$12,0))+J409*(1-'P-Parametri'!$B$6*I409))*(1+'1-Input'!$B$27))</f>
        <v>3.6248820833861826E-12</v>
      </c>
      <c r="L409" s="18">
        <f>IF($A409&gt;'1-Input'!$B$26,N408,(N408-J409)*(1+$C$4))</f>
        <v>283943.98075731291</v>
      </c>
      <c r="M409" s="18">
        <f>IF($A409&gt;'1-Input'!$B$26,K409,K409-'P-Parametri'!$B$8*(L409+K409)+MIN(MAX(L409,0),'P-Parametri'!$B$8*(L409+K409)))</f>
        <v>3.637978807091713E-12</v>
      </c>
      <c r="N409" s="18">
        <f>IF($A409&gt;'1-Input'!$B$26,L409,L409-MIN(MAX(L409,0),'P-Parametri'!$B$8*(L409+K409)))</f>
        <v>283376.09279579826</v>
      </c>
      <c r="O409" s="18">
        <f>IF($A409&gt;'1-Input'!$B$26,O408,O408-J409*(1-I409))</f>
        <v>163997.14921296944</v>
      </c>
      <c r="P409" s="11">
        <f>IF($A409&gt;'1-Input'!$B$26,0,IF(U408&lt;=0,0,MAX(0,(U408-V408)/U408)))</f>
        <v>0.4051042630351368</v>
      </c>
      <c r="Q409" s="18">
        <f>IF($A409&gt;'1-Input'!$B$26,0,(MAX(0,P396-IF($A409&gt;='1-Input'!$C$12,'1-Input'!$B$12,0))-MIN(MAX(T408,0),MAX(0,P396-IF($A409&gt;='1-Input'!$C$12,'1-Input'!$B$12,0))))*(1/(1-'P-Parametri'!$B$6*P409))+MIN(MAX(0,U408-(MAX(0,P396-IF($A409&gt;='1-Input'!$C$12,'1-Input'!$B$12,0))-MIN(MAX(T408,0),MAX(0,P396-IF($A409&gt;='1-Input'!$C$12,'1-Input'!$B$12,0))))*(1/(1-'P-Parametri'!$B$6*P409))),MAX(0,0*P396-(T408-MIN(MAX(T408,0),MAX(0,P396-IF($A409&gt;='1-Input'!$C$12,'1-Input'!$B$12,0)))))*(1/(1-'P-Parametri'!$B$6*P409))))</f>
        <v>21343.040326065602</v>
      </c>
      <c r="R409" s="18">
        <f>IF($A409&gt;'1-Input'!$B$26,T408,(T408-MAX(0,P396-IF($A409&gt;='1-Input'!$C$12,'1-Input'!$B$12,0))+Q409*(1-'P-Parametri'!$B$6*P409))*(1+'1-Input'!$B$27))</f>
        <v>0</v>
      </c>
      <c r="S409" s="18">
        <f>IF($A409&gt;'1-Input'!$B$26,U408,(U408-Q409)*(1+$C$4))</f>
        <v>324464.66613748821</v>
      </c>
      <c r="T409" s="18">
        <f>IF($A409&gt;'1-Input'!$B$26,R409,R409-'P-Parametri'!$B$8*(S409+R409)+MIN(MAX(S409,0),'P-Parametri'!$B$8*(S409+R409)))</f>
        <v>0</v>
      </c>
      <c r="U409" s="18">
        <f>IF($A409&gt;'1-Input'!$B$26,S409,S409-MIN(MAX(S409,0),'P-Parametri'!$B$8*(S409+R409)))</f>
        <v>323815.73680521321</v>
      </c>
      <c r="V409" s="18">
        <f>IF($A409&gt;'1-Input'!$B$26,V408,V408-Q409*(1-P409))</f>
        <v>187400.62784555278</v>
      </c>
      <c r="W409" s="11">
        <f>IF($A409&gt;'1-Input'!$B$26,0,IF(AB408&lt;=0,0,MAX(0,(AB408-AC408)/AB408)))</f>
        <v>0.40510426303513697</v>
      </c>
      <c r="X409" s="18">
        <f>IF($A409&gt;'1-Input'!$B$26,0,(MAX(0,W396-IF($A409&gt;='1-Input'!$C$12,'1-Input'!$B$12,0))-MIN(MAX(AA408,0),MAX(0,W396-IF($A409&gt;='1-Input'!$C$12,'1-Input'!$B$12,0))))*(1/(1-'P-Parametri'!$B$6*W409))+MIN(MAX(0,AB408-(MAX(0,W396-IF($A409&gt;='1-Input'!$C$12,'1-Input'!$B$12,0))-MIN(MAX(AA408,0),MAX(0,W396-IF($A409&gt;='1-Input'!$C$12,'1-Input'!$B$12,0))))*(1/(1-'P-Parametri'!$B$6*W409))),MAX(0,0*W396-(AA408-MIN(MAX(AA408,0),MAX(0,W396-IF($A409&gt;='1-Input'!$C$12,'1-Input'!$B$12,0)))))*(1/(1-'P-Parametri'!$B$6*W409))))</f>
        <v>21056.593715012896</v>
      </c>
      <c r="Y409" s="18">
        <f>IF($A409&gt;'1-Input'!$B$26,AA408,(AA408-MAX(0,W396-IF($A409&gt;='1-Input'!$C$12,'1-Input'!$B$12,0))+X409*(1-'P-Parametri'!$B$6*W409))*(1+'1-Input'!$B$27))</f>
        <v>0</v>
      </c>
      <c r="Z409" s="18">
        <f>IF($A409&gt;'1-Input'!$B$26,AB408,(AB408-X409)*(1+$C$4))</f>
        <v>328103.59686314582</v>
      </c>
      <c r="AA409" s="18">
        <f>IF($A409&gt;'1-Input'!$B$26,Y409,Y409-'P-Parametri'!$B$8*(Z409+Y409)+MIN(MAX(Z409,0),'P-Parametri'!$B$8*(Z409+Y409)))</f>
        <v>0</v>
      </c>
      <c r="AB409" s="18">
        <f>IF($A409&gt;'1-Input'!$B$26,Z409,Z409-MIN(MAX(Z409,0),'P-Parametri'!$B$8*(Z409+Y409)))</f>
        <v>327447.38966941956</v>
      </c>
      <c r="AC409" s="18">
        <f>IF($A409&gt;'1-Input'!$B$26,AC408,AC408-X409*(1-W409))</f>
        <v>189502.36024924606</v>
      </c>
      <c r="AD409" s="11">
        <f>IF($A409&gt;'1-Input'!$B$26,0,IF(AI408&lt;=0,0,MAX(0,(AI408-AJ408)/AI408)))</f>
        <v>0.40510426303513702</v>
      </c>
      <c r="AE409" s="18">
        <f>IF($A409&gt;'1-Input'!$B$26,0,(MAX(0,AD396-IF($A409&gt;='1-Input'!$C$12,'1-Input'!$B$12,0))-MIN(MAX(AH408,0),MAX(0,AD396-IF($A409&gt;='1-Input'!$C$12,'1-Input'!$B$12,0))))*(1/(1-'P-Parametri'!$B$6*AD409))+MIN(MAX(0,AI408-(MAX(0,AD396-IF($A409&gt;='1-Input'!$C$12,'1-Input'!$B$12,0))-MIN(MAX(AH408,0),MAX(0,AD396-IF($A409&gt;='1-Input'!$C$12,'1-Input'!$B$12,0))))*(1/(1-'P-Parametri'!$B$6*AD409))),MAX(0,0*AD396-(AH408-MIN(MAX(AH408,0),MAX(0,AD396-IF($A409&gt;='1-Input'!$C$12,'1-Input'!$B$12,0)))))*(1/(1-'P-Parametri'!$B$6*AD409))))</f>
        <v>21064.175777177701</v>
      </c>
      <c r="AF409" s="18">
        <f>IF($A409&gt;'1-Input'!$B$26,AH408,(AH408-MAX(0,AD396-IF($A409&gt;='1-Input'!$C$12,'1-Input'!$B$12,0))+AE409*(1-'P-Parametri'!$B$6*AD409))*(1+'1-Input'!$B$27))</f>
        <v>0</v>
      </c>
      <c r="AG409" s="18">
        <f>IF($A409&gt;'1-Input'!$B$26,AI408,(AI408-AE409)*(1+$C$4))</f>
        <v>328007.27664879954</v>
      </c>
      <c r="AH409" s="18">
        <f>IF($A409&gt;'1-Input'!$B$26,AF409,AF409-'P-Parametri'!$B$8*(AG409+AF409)+MIN(MAX(AG409,0),'P-Parametri'!$B$8*(AG409+AF409)))</f>
        <v>0</v>
      </c>
      <c r="AI409" s="18">
        <f>IF($A409&gt;'1-Input'!$B$26,AG409,AG409-MIN(MAX(AG409,0),'P-Parametri'!$B$8*(AG409+AF409)))</f>
        <v>327351.26209550194</v>
      </c>
      <c r="AJ409" s="18">
        <f>IF($A409&gt;'1-Input'!$B$26,AJ408,AJ408-AE409*(1-AD409))</f>
        <v>189446.72871050998</v>
      </c>
      <c r="AK409" s="11">
        <f>IF($A409&gt;'1-Input'!$B$26,0,IF(AP408&lt;=0,0,MAX(0,(AP408-AQ408)/AP408)))</f>
        <v>0.40510426303513652</v>
      </c>
      <c r="AL409" s="18">
        <f>IF($A409&gt;'1-Input'!$B$26,0,(MAX(0,AK396-IF($A409&gt;='1-Input'!$C$12,'1-Input'!$B$12,0))-MIN(MAX(AO408,0),MAX(0,AK396-IF($A409&gt;='1-Input'!$C$12,'1-Input'!$B$12,0))))*(1/(1-'P-Parametri'!$B$6*AK409))+MIN(MAX(0,AP408-(MAX(0,AK396-IF($A409&gt;='1-Input'!$C$12,'1-Input'!$B$12,0))-MIN(MAX(AO408,0),MAX(0,AK396-IF($A409&gt;='1-Input'!$C$12,'1-Input'!$B$12,0))))*(1/(1-'P-Parametri'!$B$6*AK409))),MAX(0,0*AK396-(AO408-MIN(MAX(AO408,0),MAX(0,AK396-IF($A409&gt;='1-Input'!$C$12,'1-Input'!$B$12,0)))))*(1/(1-'P-Parametri'!$B$6*AK409))))</f>
        <v>21062.998422621291</v>
      </c>
      <c r="AM409" s="18">
        <f>IF($A409&gt;'1-Input'!$B$26,AO408,(AO408-MAX(0,AK396-IF($A409&gt;='1-Input'!$C$12,'1-Input'!$B$12,0))+AL409*(1-'P-Parametri'!$B$6*AK409))*(1+'1-Input'!$B$27))</f>
        <v>0</v>
      </c>
      <c r="AN409" s="18">
        <f>IF($A409&gt;'1-Input'!$B$26,AP408,(AP408-AL409)*(1+$C$4))</f>
        <v>328022.23340340902</v>
      </c>
      <c r="AO409" s="18">
        <f>IF($A409&gt;'1-Input'!$B$26,AM409,AM409-'P-Parametri'!$B$8*(AN409+AM409)+MIN(MAX(AN409,0),'P-Parametri'!$B$8*(AN409+AM409)))</f>
        <v>0</v>
      </c>
      <c r="AP409" s="18">
        <f>IF($A409&gt;'1-Input'!$B$26,AN409,AN409-MIN(MAX(AN409,0),'P-Parametri'!$B$8*(AN409+AM409)))</f>
        <v>327366.18893660221</v>
      </c>
      <c r="AQ409" s="18">
        <f>IF($A409&gt;'1-Input'!$B$26,AQ408,AQ408-AL409*(1-AK409))</f>
        <v>189455.36726347715</v>
      </c>
    </row>
    <row r="410" spans="1:43">
      <c r="A410" s="10">
        <f>12</f>
        <v>12</v>
      </c>
      <c r="B410" s="11">
        <f>IF($A410&gt;'1-Input'!$B$26,0,IF(G409&lt;=0,0,MAX(0,(G409-H409)/G409)))</f>
        <v>0.42127387107723846</v>
      </c>
      <c r="C410" s="18">
        <f>IF($A410&gt;'1-Input'!$B$26,0,(MAX(0,B396-IF($A410&gt;='1-Input'!$C$12,'1-Input'!$B$12,0))-MIN(MAX(F409,0),MAX(0,B396-IF($A410&gt;='1-Input'!$C$12,'1-Input'!$B$12,0))))*(1/(1-'P-Parametri'!$B$6*B410))+MIN(MAX(0,G409-(MAX(0,B396-IF($A410&gt;='1-Input'!$C$12,'1-Input'!$B$12,0))-MIN(MAX(F409,0),MAX(0,B396-IF($A410&gt;='1-Input'!$C$12,'1-Input'!$B$12,0))))*(1/(1-'P-Parametri'!$B$6*B410))),MAX(0,0*B396-(F409-MIN(MAX(F409,0),MAX(0,B396-IF($A410&gt;='1-Input'!$C$12,'1-Input'!$B$12,0)))))*(1/(1-'P-Parametri'!$B$6*B410))))</f>
        <v>18732.891524123559</v>
      </c>
      <c r="D410" s="18">
        <f>IF($A410&gt;'1-Input'!$B$26,F409,(F409-MAX(0,B396-IF($A410&gt;='1-Input'!$C$12,'1-Input'!$B$12,0))+C410*(1-'P-Parametri'!$B$6*B410))*(1+'1-Input'!$B$27))</f>
        <v>0</v>
      </c>
      <c r="E410" s="18">
        <f>IF($A410&gt;'1-Input'!$B$26,G409,(G409-C410)*(1+$C$4))</f>
        <v>349469.82361282047</v>
      </c>
      <c r="F410" s="18">
        <f>IF($A410&gt;'1-Input'!$B$26,D410,D410-'P-Parametri'!$B$8*(E410+D410)+MIN(MAX(E410,0),'P-Parametri'!$B$8*(E410+D410)))</f>
        <v>0</v>
      </c>
      <c r="G410" s="18">
        <f>IF($A410&gt;'1-Input'!$B$26,E410,E410-MIN(MAX(E410,0),'P-Parametri'!$B$8*(E410+D410)))</f>
        <v>348770.88396559481</v>
      </c>
      <c r="H410" s="18">
        <f>IF($A410&gt;'1-Input'!$B$26,H409,H409-C410*(1-B410))</f>
        <v>196356.61960657072</v>
      </c>
      <c r="I410" s="11">
        <f>IF($A410&gt;'1-Input'!$B$26,0,IF(N409&lt;=0,0,MAX(0,(N409-O409)/N409)))</f>
        <v>0.42127387107723896</v>
      </c>
      <c r="J410" s="18">
        <f>IF($A410&gt;'1-Input'!$B$26,0,(MAX(0,I396-IF($A410&gt;='1-Input'!$C$12,'1-Input'!$B$12,0))-MIN(MAX(M409,0),MAX(0,I396-IF($A410&gt;='1-Input'!$C$12,'1-Input'!$B$12,0))))*(1/(1-'P-Parametri'!$B$6*I410))+MIN(MAX(0,N409-(MAX(0,I396-IF($A410&gt;='1-Input'!$C$12,'1-Input'!$B$12,0))-MIN(MAX(M409,0),MAX(0,I396-IF($A410&gt;='1-Input'!$C$12,'1-Input'!$B$12,0))))*(1/(1-'P-Parametri'!$B$6*I410))),MAX(0,0*I396-(M409-MIN(MAX(M409,0),MAX(0,I396-IF($A410&gt;='1-Input'!$C$12,'1-Input'!$B$12,0)))))*(1/(1-'P-Parametri'!$B$6*I410))))</f>
        <v>24648.54147910995</v>
      </c>
      <c r="K410" s="18">
        <f>IF($A410&gt;'1-Input'!$B$26,M409,(M409-MAX(0,I396-IF($A410&gt;='1-Input'!$C$12,'1-Input'!$B$12,0))+J410*(1-'P-Parametri'!$B$6*I410))*(1+'1-Input'!$B$27))</f>
        <v>0</v>
      </c>
      <c r="L410" s="18">
        <f>IF($A410&gt;'1-Input'!$B$26,N409,(N409-J410)*(1+$C$4))</f>
        <v>266489.37785618898</v>
      </c>
      <c r="M410" s="18">
        <f>IF($A410&gt;'1-Input'!$B$26,K410,K410-'P-Parametri'!$B$8*(L410+K410)+MIN(MAX(L410,0),'P-Parametri'!$B$8*(L410+K410)))</f>
        <v>0</v>
      </c>
      <c r="N410" s="18">
        <f>IF($A410&gt;'1-Input'!$B$26,L410,L410-MIN(MAX(L410,0),'P-Parametri'!$B$8*(L410+K410)))</f>
        <v>265956.39910047658</v>
      </c>
      <c r="O410" s="18">
        <f>IF($A410&gt;'1-Input'!$B$26,O409,O409-J410*(1-I410))</f>
        <v>149732.39421917204</v>
      </c>
      <c r="P410" s="11">
        <f>IF($A410&gt;'1-Input'!$B$26,0,IF(U409&lt;=0,0,MAX(0,(U409-V409)/U409)))</f>
        <v>0.42127387107723863</v>
      </c>
      <c r="Q410" s="18">
        <f>IF($A410&gt;'1-Input'!$B$26,0,(MAX(0,P396-IF($A410&gt;='1-Input'!$C$12,'1-Input'!$B$12,0))-MIN(MAX(T409,0),MAX(0,P396-IF($A410&gt;='1-Input'!$C$12,'1-Input'!$B$12,0))))*(1/(1-'P-Parametri'!$B$6*P410))+MIN(MAX(0,U409-(MAX(0,P396-IF($A410&gt;='1-Input'!$C$12,'1-Input'!$B$12,0))-MIN(MAX(T409,0),MAX(0,P396-IF($A410&gt;='1-Input'!$C$12,'1-Input'!$B$12,0))))*(1/(1-'P-Parametri'!$B$6*P410))),MAX(0,0*P396-(T409-MIN(MAX(T409,0),MAX(0,P396-IF($A410&gt;='1-Input'!$C$12,'1-Input'!$B$12,0)))))*(1/(1-'P-Parametri'!$B$6*P410))))</f>
        <v>21443.805491271582</v>
      </c>
      <c r="R410" s="18">
        <f>IF($A410&gt;'1-Input'!$B$26,T409,(T409-MAX(0,P396-IF($A410&gt;='1-Input'!$C$12,'1-Input'!$B$12,0))+Q410*(1-'P-Parametri'!$B$6*P410))*(1+'1-Input'!$B$27))</f>
        <v>-3.6248820833861826E-12</v>
      </c>
      <c r="S410" s="18">
        <f>IF($A410&gt;'1-Input'!$B$26,U409,(U409-Q410)*(1+$C$4))</f>
        <v>311443.08925335988</v>
      </c>
      <c r="T410" s="18">
        <f>IF($A410&gt;'1-Input'!$B$26,R410,R410-'P-Parametri'!$B$8*(S410+R410)+MIN(MAX(S410,0),'P-Parametri'!$B$8*(S410+R410)))</f>
        <v>-3.637978807091713E-12</v>
      </c>
      <c r="U410" s="18">
        <f>IF($A410&gt;'1-Input'!$B$26,S410,S410-MIN(MAX(S410,0),'P-Parametri'!$B$8*(S410+R410)))</f>
        <v>310820.20307485317</v>
      </c>
      <c r="V410" s="18">
        <f>IF($A410&gt;'1-Input'!$B$26,V409,V409-Q410*(1-P410))</f>
        <v>174990.53730421653</v>
      </c>
      <c r="W410" s="11">
        <f>IF($A410&gt;'1-Input'!$B$26,0,IF(AB409&lt;=0,0,MAX(0,(AB409-AC409)/AB409)))</f>
        <v>0.42127387107723901</v>
      </c>
      <c r="X410" s="18">
        <f>IF($A410&gt;'1-Input'!$B$26,0,(MAX(0,W396-IF($A410&gt;='1-Input'!$C$12,'1-Input'!$B$12,0))-MIN(MAX(AA409,0),MAX(0,W396-IF($A410&gt;='1-Input'!$C$12,'1-Input'!$B$12,0))))*(1/(1-'P-Parametri'!$B$6*W410))+MIN(MAX(0,AB409-(MAX(0,W396-IF($A410&gt;='1-Input'!$C$12,'1-Input'!$B$12,0))-MIN(MAX(AA409,0),MAX(0,W396-IF($A410&gt;='1-Input'!$C$12,'1-Input'!$B$12,0))))*(1/(1-'P-Parametri'!$B$6*W410))),MAX(0,0*W396-(AA409-MIN(MAX(AA409,0),MAX(0,W396-IF($A410&gt;='1-Input'!$C$12,'1-Input'!$B$12,0)))))*(1/(1-'P-Parametri'!$B$6*W410))))</f>
        <v>21156.00650306715</v>
      </c>
      <c r="Y410" s="18">
        <f>IF($A410&gt;'1-Input'!$B$26,AA409,(AA409-MAX(0,W396-IF($A410&gt;='1-Input'!$C$12,'1-Input'!$B$12,0))+X410*(1-'P-Parametri'!$B$6*W410))*(1+'1-Input'!$B$27))</f>
        <v>0</v>
      </c>
      <c r="Z410" s="18">
        <f>IF($A410&gt;'1-Input'!$B$26,AB409,(AB409-X410)*(1+$C$4))</f>
        <v>315480.124661343</v>
      </c>
      <c r="AA410" s="18">
        <f>IF($A410&gt;'1-Input'!$B$26,Y410,Y410-'P-Parametri'!$B$8*(Z410+Y410)+MIN(MAX(Z410,0),'P-Parametri'!$B$8*(Z410+Y410)))</f>
        <v>0</v>
      </c>
      <c r="AB410" s="18">
        <f>IF($A410&gt;'1-Input'!$B$26,Z410,Z410-MIN(MAX(Z410,0),'P-Parametri'!$B$8*(Z410+Y410)))</f>
        <v>314849.1644120203</v>
      </c>
      <c r="AC410" s="18">
        <f>IF($A410&gt;'1-Input'!$B$26,AC409,AC409-X410*(1-W410))</f>
        <v>177258.82650226125</v>
      </c>
      <c r="AD410" s="11">
        <f>IF($A410&gt;'1-Input'!$B$26,0,IF(AI409&lt;=0,0,MAX(0,(AI409-AJ409)/AI409)))</f>
        <v>0.42127387107723901</v>
      </c>
      <c r="AE410" s="18">
        <f>IF($A410&gt;'1-Input'!$B$26,0,(MAX(0,AD396-IF($A410&gt;='1-Input'!$C$12,'1-Input'!$B$12,0))-MIN(MAX(AH409,0),MAX(0,AD396-IF($A410&gt;='1-Input'!$C$12,'1-Input'!$B$12,0))))*(1/(1-'P-Parametri'!$B$6*AD410))+MIN(MAX(0,AI409-(MAX(0,AD396-IF($A410&gt;='1-Input'!$C$12,'1-Input'!$B$12,0))-MIN(MAX(AH409,0),MAX(0,AD396-IF($A410&gt;='1-Input'!$C$12,'1-Input'!$B$12,0))))*(1/(1-'P-Parametri'!$B$6*AD410))),MAX(0,0*AD396-(AH409-MIN(MAX(AH409,0),MAX(0,AD396-IF($A410&gt;='1-Input'!$C$12,'1-Input'!$B$12,0)))))*(1/(1-'P-Parametri'!$B$6*AD410))))</f>
        <v>21163.624361807091</v>
      </c>
      <c r="AF410" s="18">
        <f>IF($A410&gt;'1-Input'!$B$26,AH409,(AH409-MAX(0,AD396-IF($A410&gt;='1-Input'!$C$12,'1-Input'!$B$12,0))+AE410*(1-'P-Parametri'!$B$6*AD410))*(1+'1-Input'!$B$27))</f>
        <v>0</v>
      </c>
      <c r="AG410" s="18">
        <f>IF($A410&gt;'1-Input'!$B$26,AI409,(AI409-AE410)*(1+$C$4))</f>
        <v>315373.26686570572</v>
      </c>
      <c r="AH410" s="18">
        <f>IF($A410&gt;'1-Input'!$B$26,AF410,AF410-'P-Parametri'!$B$8*(AG410+AF410)+MIN(MAX(AG410,0),'P-Parametri'!$B$8*(AG410+AF410)))</f>
        <v>0</v>
      </c>
      <c r="AI410" s="18">
        <f>IF($A410&gt;'1-Input'!$B$26,AG410,AG410-MIN(MAX(AG410,0),'P-Parametri'!$B$8*(AG410+AF410)))</f>
        <v>314742.52033197432</v>
      </c>
      <c r="AJ410" s="18">
        <f>IF($A410&gt;'1-Input'!$B$26,AJ409,AJ409-AE410*(1-AD410))</f>
        <v>177198.78630962592</v>
      </c>
      <c r="AK410" s="11">
        <f>IF($A410&gt;'1-Input'!$B$26,0,IF(AP409&lt;=0,0,MAX(0,(AP409-AQ409)/AP409)))</f>
        <v>0.42127387107723852</v>
      </c>
      <c r="AL410" s="18">
        <f>IF($A410&gt;'1-Input'!$B$26,0,(MAX(0,AK396-IF($A410&gt;='1-Input'!$C$12,'1-Input'!$B$12,0))-MIN(MAX(AO409,0),MAX(0,AK396-IF($A410&gt;='1-Input'!$C$12,'1-Input'!$B$12,0))))*(1/(1-'P-Parametri'!$B$6*AK410))+MIN(MAX(0,AP409-(MAX(0,AK396-IF($A410&gt;='1-Input'!$C$12,'1-Input'!$B$12,0))-MIN(MAX(AO409,0),MAX(0,AK396-IF($A410&gt;='1-Input'!$C$12,'1-Input'!$B$12,0))))*(1/(1-'P-Parametri'!$B$6*AK410))),MAX(0,0*AK396-(AO409-MIN(MAX(AO409,0),MAX(0,AK396-IF($A410&gt;='1-Input'!$C$12,'1-Input'!$B$12,0)))))*(1/(1-'P-Parametri'!$B$6*AK410))))</f>
        <v>21162.441448702106</v>
      </c>
      <c r="AM410" s="18">
        <f>IF($A410&gt;'1-Input'!$B$26,AO409,(AO409-MAX(0,AK396-IF($A410&gt;='1-Input'!$C$12,'1-Input'!$B$12,0))+AL410*(1-'P-Parametri'!$B$6*AK410))*(1+'1-Input'!$B$27))</f>
        <v>0</v>
      </c>
      <c r="AN410" s="18">
        <f>IF($A410&gt;'1-Input'!$B$26,AP409,(AP409-AL410)*(1+$C$4))</f>
        <v>315389.8599125371</v>
      </c>
      <c r="AO410" s="18">
        <f>IF($A410&gt;'1-Input'!$B$26,AM410,AM410-'P-Parametri'!$B$8*(AN410+AM410)+MIN(MAX(AN410,0),'P-Parametri'!$B$8*(AN410+AM410)))</f>
        <v>0</v>
      </c>
      <c r="AP410" s="18">
        <f>IF($A410&gt;'1-Input'!$B$26,AN410,AN410-MIN(MAX(AN410,0),'P-Parametri'!$B$8*(AN410+AM410)))</f>
        <v>314759.08019271202</v>
      </c>
      <c r="AQ410" s="18">
        <f>IF($A410&gt;'1-Input'!$B$26,AQ409,AQ409-AL410*(1-AK410))</f>
        <v>177208.10944531517</v>
      </c>
    </row>
    <row r="411" spans="1:43">
      <c r="A411" s="10">
        <f>13</f>
        <v>13</v>
      </c>
      <c r="B411" s="11">
        <f>IF($A411&gt;'1-Input'!$B$26,0,IF(G410&lt;=0,0,MAX(0,(G410-H410)/G410)))</f>
        <v>0.43700397987940787</v>
      </c>
      <c r="C411" s="18">
        <f>IF($A411&gt;'1-Input'!$B$26,0,(MAX(0,B396-IF($A411&gt;='1-Input'!$C$12,'1-Input'!$B$12,0))-MIN(MAX(F410,0),MAX(0,B396-IF($A411&gt;='1-Input'!$C$12,'1-Input'!$B$12,0))))*(1/(1-'P-Parametri'!$B$6*B411))+MIN(MAX(0,G410-(MAX(0,B396-IF($A411&gt;='1-Input'!$C$12,'1-Input'!$B$12,0))-MIN(MAX(F410,0),MAX(0,B396-IF($A411&gt;='1-Input'!$C$12,'1-Input'!$B$12,0))))*(1/(1-'P-Parametri'!$B$6*B411))),MAX(0,0*B396-(F410-MIN(MAX(F410,0),MAX(0,B396-IF($A411&gt;='1-Input'!$C$12,'1-Input'!$B$12,0)))))*(1/(1-'P-Parametri'!$B$6*B411))))</f>
        <v>18819.326686381686</v>
      </c>
      <c r="D411" s="18">
        <f>IF($A411&gt;'1-Input'!$B$26,F410,(F410-MAX(0,B396-IF($A411&gt;='1-Input'!$C$12,'1-Input'!$B$12,0))+C411*(1-'P-Parametri'!$B$6*B411))*(1+'1-Input'!$B$27))</f>
        <v>0</v>
      </c>
      <c r="E411" s="18">
        <f>IF($A411&gt;'1-Input'!$B$26,G410,(G410-C411)*(1+$C$4))</f>
        <v>339850.1039975895</v>
      </c>
      <c r="F411" s="18">
        <f>IF($A411&gt;'1-Input'!$B$26,D411,D411-'P-Parametri'!$B$8*(E411+D411)+MIN(MAX(E411,0),'P-Parametri'!$B$8*(E411+D411)))</f>
        <v>0</v>
      </c>
      <c r="G411" s="18">
        <f>IF($A411&gt;'1-Input'!$B$26,E411,E411-MIN(MAX(E411,0),'P-Parametri'!$B$8*(E411+D411)))</f>
        <v>339170.4037895943</v>
      </c>
      <c r="H411" s="18">
        <f>IF($A411&gt;'1-Input'!$B$26,H410,H410-C411*(1-B411))</f>
        <v>185761.41358078859</v>
      </c>
      <c r="I411" s="11">
        <f>IF($A411&gt;'1-Input'!$B$26,0,IF(N410&lt;=0,0,MAX(0,(N410-O410)/N410)))</f>
        <v>0.43700397987940826</v>
      </c>
      <c r="J411" s="18">
        <f>IF($A411&gt;'1-Input'!$B$26,0,(MAX(0,I396-IF($A411&gt;='1-Input'!$C$12,'1-Input'!$B$12,0))-MIN(MAX(M410,0),MAX(0,I396-IF($A411&gt;='1-Input'!$C$12,'1-Input'!$B$12,0))))*(1/(1-'P-Parametri'!$B$6*I411))+MIN(MAX(0,N410-(MAX(0,I396-IF($A411&gt;='1-Input'!$C$12,'1-Input'!$B$12,0))-MIN(MAX(M410,0),MAX(0,I396-IF($A411&gt;='1-Input'!$C$12,'1-Input'!$B$12,0))))*(1/(1-'P-Parametri'!$B$6*I411))),MAX(0,0*I396-(M410-MIN(MAX(M410,0),MAX(0,I396-IF($A411&gt;='1-Input'!$C$12,'1-Input'!$B$12,0)))))*(1/(1-'P-Parametri'!$B$6*I411))))</f>
        <v>24762.271955765384</v>
      </c>
      <c r="K411" s="18">
        <f>IF($A411&gt;'1-Input'!$B$26,M410,(M410-MAX(0,I396-IF($A411&gt;='1-Input'!$C$12,'1-Input'!$B$12,0))+J411*(1-'P-Parametri'!$B$6*I411))*(1+'1-Input'!$B$27))</f>
        <v>3.6248820833861826E-12</v>
      </c>
      <c r="L411" s="18">
        <f>IF($A411&gt;'1-Input'!$B$26,N410,(N410-J411)*(1+$C$4))</f>
        <v>248429.95095905254</v>
      </c>
      <c r="M411" s="18">
        <f>IF($A411&gt;'1-Input'!$B$26,K411,K411-'P-Parametri'!$B$8*(L411+K411)+MIN(MAX(L411,0),'P-Parametri'!$B$8*(L411+K411)))</f>
        <v>3.637978807091713E-12</v>
      </c>
      <c r="N411" s="18">
        <f>IF($A411&gt;'1-Input'!$B$26,L411,L411-MIN(MAX(L411,0),'P-Parametri'!$B$8*(L411+K411)))</f>
        <v>247933.09105713444</v>
      </c>
      <c r="O411" s="18">
        <f>IF($A411&gt;'1-Input'!$B$26,O410,O410-J411*(1-I411))</f>
        <v>135791.33365893239</v>
      </c>
      <c r="P411" s="11">
        <f>IF($A411&gt;'1-Input'!$B$26,0,IF(U410&lt;=0,0,MAX(0,(U410-V410)/U410)))</f>
        <v>0.43700397987940798</v>
      </c>
      <c r="Q411" s="18">
        <f>IF($A411&gt;'1-Input'!$B$26,0,(MAX(0,P396-IF($A411&gt;='1-Input'!$C$12,'1-Input'!$B$12,0))-MIN(MAX(T410,0),MAX(0,P396-IF($A411&gt;='1-Input'!$C$12,'1-Input'!$B$12,0))))*(1/(1-'P-Parametri'!$B$6*P411))+MIN(MAX(0,U410-(MAX(0,P396-IF($A411&gt;='1-Input'!$C$12,'1-Input'!$B$12,0))-MIN(MAX(T410,0),MAX(0,P396-IF($A411&gt;='1-Input'!$C$12,'1-Input'!$B$12,0))))*(1/(1-'P-Parametri'!$B$6*P411))),MAX(0,0*P396-(T410-MIN(MAX(T410,0),MAX(0,P396-IF($A411&gt;='1-Input'!$C$12,'1-Input'!$B$12,0)))))*(1/(1-'P-Parametri'!$B$6*P411))))</f>
        <v>21542.749042227555</v>
      </c>
      <c r="R411" s="18">
        <f>IF($A411&gt;'1-Input'!$B$26,T410,(T410-MAX(0,P396-IF($A411&gt;='1-Input'!$C$12,'1-Input'!$B$12,0))+Q411*(1-'P-Parametri'!$B$6*P411))*(1+'1-Input'!$B$27))</f>
        <v>0</v>
      </c>
      <c r="S411" s="18">
        <f>IF($A411&gt;'1-Input'!$B$26,U410,(U410-Q411)*(1+$C$4))</f>
        <v>297955.7776536044</v>
      </c>
      <c r="T411" s="18">
        <f>IF($A411&gt;'1-Input'!$B$26,R411,R411-'P-Parametri'!$B$8*(S411+R411)+MIN(MAX(S411,0),'P-Parametri'!$B$8*(S411+R411)))</f>
        <v>0</v>
      </c>
      <c r="U411" s="18">
        <f>IF($A411&gt;'1-Input'!$B$26,S411,S411-MIN(MAX(S411,0),'P-Parametri'!$B$8*(S411+R411)))</f>
        <v>297359.86609829718</v>
      </c>
      <c r="V411" s="18">
        <f>IF($A411&gt;'1-Input'!$B$26,V410,V410-Q411*(1-P411))</f>
        <v>162862.05533098572</v>
      </c>
      <c r="W411" s="11">
        <f>IF($A411&gt;'1-Input'!$B$26,0,IF(AB410&lt;=0,0,MAX(0,(AB410-AC410)/AB410)))</f>
        <v>0.43700397987940837</v>
      </c>
      <c r="X411" s="18">
        <f>IF($A411&gt;'1-Input'!$B$26,0,(MAX(0,W396-IF($A411&gt;='1-Input'!$C$12,'1-Input'!$B$12,0))-MIN(MAX(AA410,0),MAX(0,W396-IF($A411&gt;='1-Input'!$C$12,'1-Input'!$B$12,0))))*(1/(1-'P-Parametri'!$B$6*W411))+MIN(MAX(0,AB410-(MAX(0,W396-IF($A411&gt;='1-Input'!$C$12,'1-Input'!$B$12,0))-MIN(MAX(AA410,0),MAX(0,W396-IF($A411&gt;='1-Input'!$C$12,'1-Input'!$B$12,0))))*(1/(1-'P-Parametri'!$B$6*W411))),MAX(0,0*W396-(AA410-MIN(MAX(AA410,0),MAX(0,W396-IF($A411&gt;='1-Input'!$C$12,'1-Input'!$B$12,0)))))*(1/(1-'P-Parametri'!$B$6*W411))))</f>
        <v>21253.622124898502</v>
      </c>
      <c r="Y411" s="18">
        <f>IF($A411&gt;'1-Input'!$B$26,AA410,(AA410-MAX(0,W396-IF($A411&gt;='1-Input'!$C$12,'1-Input'!$B$12,0))+X411*(1-'P-Parametri'!$B$6*W411))*(1+'1-Input'!$B$27))</f>
        <v>3.6248820833861826E-12</v>
      </c>
      <c r="Z411" s="18">
        <f>IF($A411&gt;'1-Input'!$B$26,AB410,(AB410-X411)*(1+$C$4))</f>
        <v>302403.40855573548</v>
      </c>
      <c r="AA411" s="18">
        <f>IF($A411&gt;'1-Input'!$B$26,Y411,Y411-'P-Parametri'!$B$8*(Z411+Y411)+MIN(MAX(Z411,0),'P-Parametri'!$B$8*(Z411+Y411)))</f>
        <v>3.637978807091713E-12</v>
      </c>
      <c r="AB411" s="18">
        <f>IF($A411&gt;'1-Input'!$B$26,Z411,Z411-MIN(MAX(Z411,0),'P-Parametri'!$B$8*(Z411+Y411)))</f>
        <v>301798.60173862404</v>
      </c>
      <c r="AC411" s="18">
        <f>IF($A411&gt;'1-Input'!$B$26,AC410,AC410-X411*(1-W411))</f>
        <v>165293.12183279643</v>
      </c>
      <c r="AD411" s="11">
        <f>IF($A411&gt;'1-Input'!$B$26,0,IF(AI410&lt;=0,0,MAX(0,(AI410-AJ410)/AI410)))</f>
        <v>0.43700397987940842</v>
      </c>
      <c r="AE411" s="18">
        <f>IF($A411&gt;'1-Input'!$B$26,0,(MAX(0,AD396-IF($A411&gt;='1-Input'!$C$12,'1-Input'!$B$12,0))-MIN(MAX(AH410,0),MAX(0,AD396-IF($A411&gt;='1-Input'!$C$12,'1-Input'!$B$12,0))))*(1/(1-'P-Parametri'!$B$6*AD411))+MIN(MAX(0,AI410-(MAX(0,AD396-IF($A411&gt;='1-Input'!$C$12,'1-Input'!$B$12,0))-MIN(MAX(AH410,0),MAX(0,AD396-IF($A411&gt;='1-Input'!$C$12,'1-Input'!$B$12,0))))*(1/(1-'P-Parametri'!$B$6*AD411))),MAX(0,0*AD396-(AH410-MIN(MAX(AH410,0),MAX(0,AD396-IF($A411&gt;='1-Input'!$C$12,'1-Input'!$B$12,0)))))*(1/(1-'P-Parametri'!$B$6*AD411))))</f>
        <v>21261.275133089632</v>
      </c>
      <c r="AF411" s="18">
        <f>IF($A411&gt;'1-Input'!$B$26,AH410,(AH410-MAX(0,AD396-IF($A411&gt;='1-Input'!$C$12,'1-Input'!$B$12,0))+AE411*(1-'P-Parametri'!$B$6*AD411))*(1+'1-Input'!$B$27))</f>
        <v>3.6248820833861826E-12</v>
      </c>
      <c r="AG411" s="18">
        <f>IF($A411&gt;'1-Input'!$B$26,AI410,(AI410-AE411)*(1+$C$4))</f>
        <v>302285.68255485123</v>
      </c>
      <c r="AH411" s="18">
        <f>IF($A411&gt;'1-Input'!$B$26,AF411,AF411-'P-Parametri'!$B$8*(AG411+AF411)+MIN(MAX(AG411,0),'P-Parametri'!$B$8*(AG411+AF411)))</f>
        <v>3.637978807091713E-12</v>
      </c>
      <c r="AI411" s="18">
        <f>IF($A411&gt;'1-Input'!$B$26,AG411,AG411-MIN(MAX(AG411,0),'P-Parametri'!$B$8*(AG411+AF411)))</f>
        <v>301681.11118974152</v>
      </c>
      <c r="AJ411" s="18">
        <f>IF($A411&gt;'1-Input'!$B$26,AJ410,AJ410-AE411*(1-AD411))</f>
        <v>165228.77302700756</v>
      </c>
      <c r="AK411" s="11">
        <f>IF($A411&gt;'1-Input'!$B$26,0,IF(AP410&lt;=0,0,MAX(0,(AP410-AQ410)/AP410)))</f>
        <v>0.43700397987940787</v>
      </c>
      <c r="AL411" s="18">
        <f>IF($A411&gt;'1-Input'!$B$26,0,(MAX(0,AK396-IF($A411&gt;='1-Input'!$C$12,'1-Input'!$B$12,0))-MIN(MAX(AO410,0),MAX(0,AK396-IF($A411&gt;='1-Input'!$C$12,'1-Input'!$B$12,0))))*(1/(1-'P-Parametri'!$B$6*AK411))+MIN(MAX(0,AP410-(MAX(0,AK396-IF($A411&gt;='1-Input'!$C$12,'1-Input'!$B$12,0))-MIN(MAX(AO410,0),MAX(0,AK396-IF($A411&gt;='1-Input'!$C$12,'1-Input'!$B$12,0))))*(1/(1-'P-Parametri'!$B$6*AK411))),MAX(0,0*AK396-(AO410-MIN(MAX(AO410,0),MAX(0,AK396-IF($A411&gt;='1-Input'!$C$12,'1-Input'!$B$12,0)))))*(1/(1-'P-Parametri'!$B$6*AK411))))</f>
        <v>21260.086761922499</v>
      </c>
      <c r="AM411" s="18">
        <f>IF($A411&gt;'1-Input'!$B$26,AO410,(AO410-MAX(0,AK396-IF($A411&gt;='1-Input'!$C$12,'1-Input'!$B$12,0))+AL411*(1-'P-Parametri'!$B$6*AK411))*(1+'1-Input'!$B$27))</f>
        <v>3.6248820833861826E-12</v>
      </c>
      <c r="AN411" s="18">
        <f>IF($A411&gt;'1-Input'!$B$26,AP410,(AP410-AL411)*(1+$C$4))</f>
        <v>302303.96323371318</v>
      </c>
      <c r="AO411" s="18">
        <f>IF($A411&gt;'1-Input'!$B$26,AM411,AM411-'P-Parametri'!$B$8*(AN411+AM411)+MIN(MAX(AN411,0),'P-Parametri'!$B$8*(AN411+AM411)))</f>
        <v>3.637978807091713E-12</v>
      </c>
      <c r="AP411" s="18">
        <f>IF($A411&gt;'1-Input'!$B$26,AN411,AN411-MIN(MAX(AN411,0),'P-Parametri'!$B$8*(AN411+AM411)))</f>
        <v>301699.35530724574</v>
      </c>
      <c r="AQ411" s="18">
        <f>IF($A411&gt;'1-Input'!$B$26,AQ410,AQ410-AL411*(1-AK411))</f>
        <v>165238.76521093433</v>
      </c>
    </row>
    <row r="412" spans="1:43">
      <c r="A412" s="10">
        <f>14</f>
        <v>14</v>
      </c>
      <c r="B412" s="11">
        <f>IF($A412&gt;'1-Input'!$B$26,0,IF(G411&lt;=0,0,MAX(0,(G411-H411)/G411)))</f>
        <v>0.45230653528358444</v>
      </c>
      <c r="C412" s="18">
        <f>IF($A412&gt;'1-Input'!$B$26,0,(MAX(0,B396-IF($A412&gt;='1-Input'!$C$12,'1-Input'!$B$12,0))-MIN(MAX(F411,0),MAX(0,B396-IF($A412&gt;='1-Input'!$C$12,'1-Input'!$B$12,0))))*(1/(1-'P-Parametri'!$B$6*B412))+MIN(MAX(0,G411-(MAX(0,B396-IF($A412&gt;='1-Input'!$C$12,'1-Input'!$B$12,0))-MIN(MAX(F411,0),MAX(0,B396-IF($A412&gt;='1-Input'!$C$12,'1-Input'!$B$12,0))))*(1/(1-'P-Parametri'!$B$6*B412))),MAX(0,0*B396-(F411-MIN(MAX(F411,0),MAX(0,B396-IF($A412&gt;='1-Input'!$C$12,'1-Input'!$B$12,0)))))*(1/(1-'P-Parametri'!$B$6*B412))))</f>
        <v>18904.181355112731</v>
      </c>
      <c r="D412" s="18">
        <f>IF($A412&gt;'1-Input'!$B$26,F411,(F411-MAX(0,B396-IF($A412&gt;='1-Input'!$C$12,'1-Input'!$B$12,0))+C412*(1-'P-Parametri'!$B$6*B412))*(1+'1-Input'!$B$27))</f>
        <v>0</v>
      </c>
      <c r="E412" s="18">
        <f>IF($A412&gt;'1-Input'!$B$26,G411,(G411-C412)*(1+$C$4))</f>
        <v>329874.20910751598</v>
      </c>
      <c r="F412" s="18">
        <f>IF($A412&gt;'1-Input'!$B$26,D412,D412-'P-Parametri'!$B$8*(E412+D412)+MIN(MAX(E412,0),'P-Parametri'!$B$8*(E412+D412)))</f>
        <v>0</v>
      </c>
      <c r="G412" s="18">
        <f>IF($A412&gt;'1-Input'!$B$26,E412,E412-MIN(MAX(E412,0),'P-Parametri'!$B$8*(E412+D412)))</f>
        <v>329214.46068930096</v>
      </c>
      <c r="H412" s="18">
        <f>IF($A412&gt;'1-Input'!$B$26,H411,H411-C412*(1-B412))</f>
        <v>175407.71699677943</v>
      </c>
      <c r="I412" s="11">
        <f>IF($A412&gt;'1-Input'!$B$26,0,IF(N411&lt;=0,0,MAX(0,(N411-O411)/N411)))</f>
        <v>0.45230653528358494</v>
      </c>
      <c r="J412" s="18">
        <f>IF($A412&gt;'1-Input'!$B$26,0,(MAX(0,I396-IF($A412&gt;='1-Input'!$C$12,'1-Input'!$B$12,0))-MIN(MAX(M411,0),MAX(0,I396-IF($A412&gt;='1-Input'!$C$12,'1-Input'!$B$12,0))))*(1/(1-'P-Parametri'!$B$6*I412))+MIN(MAX(0,N411-(MAX(0,I396-IF($A412&gt;='1-Input'!$C$12,'1-Input'!$B$12,0))-MIN(MAX(M411,0),MAX(0,I396-IF($A412&gt;='1-Input'!$C$12,'1-Input'!$B$12,0))))*(1/(1-'P-Parametri'!$B$6*I412))),MAX(0,0*I396-(M411-MIN(MAX(M411,0),MAX(0,I396-IF($A412&gt;='1-Input'!$C$12,'1-Input'!$B$12,0)))))*(1/(1-'P-Parametri'!$B$6*I412))))</f>
        <v>24873.92283567465</v>
      </c>
      <c r="K412" s="18">
        <f>IF($A412&gt;'1-Input'!$B$26,M411,(M411-MAX(0,I396-IF($A412&gt;='1-Input'!$C$12,'1-Input'!$B$12,0))+J412*(1-'P-Parametri'!$B$6*I412))*(1+'1-Input'!$B$27))</f>
        <v>0</v>
      </c>
      <c r="L412" s="18">
        <f>IF($A412&gt;'1-Input'!$B$26,N411,(N411-J412)*(1+$C$4))</f>
        <v>229750.94326810358</v>
      </c>
      <c r="M412" s="18">
        <f>IF($A412&gt;'1-Input'!$B$26,K412,K412-'P-Parametri'!$B$8*(L412+K412)+MIN(MAX(L412,0),'P-Parametri'!$B$8*(L412+K412)))</f>
        <v>0</v>
      </c>
      <c r="N412" s="18">
        <f>IF($A412&gt;'1-Input'!$B$26,L412,L412-MIN(MAX(L412,0),'P-Parametri'!$B$8*(L412+K412)))</f>
        <v>229291.44138156739</v>
      </c>
      <c r="O412" s="18">
        <f>IF($A412&gt;'1-Input'!$B$26,O411,O411-J412*(1-I412))</f>
        <v>122168.04867997298</v>
      </c>
      <c r="P412" s="11">
        <f>IF($A412&gt;'1-Input'!$B$26,0,IF(U411&lt;=0,0,MAX(0,(U411-V411)/U411)))</f>
        <v>0.45230653528358467</v>
      </c>
      <c r="Q412" s="18">
        <f>IF($A412&gt;'1-Input'!$B$26,0,(MAX(0,P396-IF($A412&gt;='1-Input'!$C$12,'1-Input'!$B$12,0))-MIN(MAX(T411,0),MAX(0,P396-IF($A412&gt;='1-Input'!$C$12,'1-Input'!$B$12,0))))*(1/(1-'P-Parametri'!$B$6*P412))+MIN(MAX(0,U411-(MAX(0,P396-IF($A412&gt;='1-Input'!$C$12,'1-Input'!$B$12,0))-MIN(MAX(T411,0),MAX(0,P396-IF($A412&gt;='1-Input'!$C$12,'1-Input'!$B$12,0))))*(1/(1-'P-Parametri'!$B$6*P412))),MAX(0,0*P396-(T411-MIN(MAX(T411,0),MAX(0,P396-IF($A412&gt;='1-Input'!$C$12,'1-Input'!$B$12,0)))))*(1/(1-'P-Parametri'!$B$6*P412))))</f>
        <v>21639.883379921852</v>
      </c>
      <c r="R412" s="18">
        <f>IF($A412&gt;'1-Input'!$B$26,T411,(T411-MAX(0,P396-IF($A412&gt;='1-Input'!$C$12,'1-Input'!$B$12,0))+Q412*(1-'P-Parametri'!$B$6*P412))*(1+'1-Input'!$B$27))</f>
        <v>0</v>
      </c>
      <c r="S412" s="18">
        <f>IF($A412&gt;'1-Input'!$B$26,U411,(U411-Q412)*(1+$C$4))</f>
        <v>283991.5821999266</v>
      </c>
      <c r="T412" s="18">
        <f>IF($A412&gt;'1-Input'!$B$26,R412,R412-'P-Parametri'!$B$8*(S412+R412)+MIN(MAX(S412,0),'P-Parametri'!$B$8*(S412+R412)))</f>
        <v>0</v>
      </c>
      <c r="U412" s="18">
        <f>IF($A412&gt;'1-Input'!$B$26,S412,S412-MIN(MAX(S412,0),'P-Parametri'!$B$8*(S412+R412)))</f>
        <v>283423.59903552674</v>
      </c>
      <c r="V412" s="18">
        <f>IF($A412&gt;'1-Input'!$B$26,V411,V411-Q412*(1-P412))</f>
        <v>151010.03262657716</v>
      </c>
      <c r="W412" s="11">
        <f>IF($A412&gt;'1-Input'!$B$26,0,IF(AB411&lt;=0,0,MAX(0,(AB411-AC411)/AB411)))</f>
        <v>0.45230653528358511</v>
      </c>
      <c r="X412" s="18">
        <f>IF($A412&gt;'1-Input'!$B$26,0,(MAX(0,W396-IF($A412&gt;='1-Input'!$C$12,'1-Input'!$B$12,0))-MIN(MAX(AA411,0),MAX(0,W396-IF($A412&gt;='1-Input'!$C$12,'1-Input'!$B$12,0))))*(1/(1-'P-Parametri'!$B$6*W412))+MIN(MAX(0,AB411-(MAX(0,W396-IF($A412&gt;='1-Input'!$C$12,'1-Input'!$B$12,0))-MIN(MAX(AA411,0),MAX(0,W396-IF($A412&gt;='1-Input'!$C$12,'1-Input'!$B$12,0))))*(1/(1-'P-Parametri'!$B$6*W412))),MAX(0,0*W396-(AA411-MIN(MAX(AA411,0),MAX(0,W396-IF($A412&gt;='1-Input'!$C$12,'1-Input'!$B$12,0)))))*(1/(1-'P-Parametri'!$B$6*W412))))</f>
        <v>21349.452815060657</v>
      </c>
      <c r="Y412" s="18">
        <f>IF($A412&gt;'1-Input'!$B$26,AA411,(AA411-MAX(0,W396-IF($A412&gt;='1-Input'!$C$12,'1-Input'!$B$12,0))+X412*(1-'P-Parametri'!$B$6*W412))*(1+'1-Input'!$B$27))</f>
        <v>-3.6248820833861826E-12</v>
      </c>
      <c r="Z412" s="18">
        <f>IF($A412&gt;'1-Input'!$B$26,AB411,(AB411-X412)*(1+$C$4))</f>
        <v>288862.62339127029</v>
      </c>
      <c r="AA412" s="18">
        <f>IF($A412&gt;'1-Input'!$B$26,Y412,Y412-'P-Parametri'!$B$8*(Z412+Y412)+MIN(MAX(Z412,0),'P-Parametri'!$B$8*(Z412+Y412)))</f>
        <v>-3.637978807091713E-12</v>
      </c>
      <c r="AB412" s="18">
        <f>IF($A412&gt;'1-Input'!$B$26,Z412,Z412-MIN(MAX(Z412,0),'P-Parametri'!$B$8*(Z412+Y412)))</f>
        <v>288284.89814448776</v>
      </c>
      <c r="AC412" s="18">
        <f>IF($A412&gt;'1-Input'!$B$26,AC411,AC411-X412*(1-W412))</f>
        <v>153600.16605071625</v>
      </c>
      <c r="AD412" s="11">
        <f>IF($A412&gt;'1-Input'!$B$26,0,IF(AI411&lt;=0,0,MAX(0,(AI411-AJ411)/AI411)))</f>
        <v>0.45230653528358505</v>
      </c>
      <c r="AE412" s="18">
        <f>IF($A412&gt;'1-Input'!$B$26,0,(MAX(0,AD396-IF($A412&gt;='1-Input'!$C$12,'1-Input'!$B$12,0))-MIN(MAX(AH411,0),MAX(0,AD396-IF($A412&gt;='1-Input'!$C$12,'1-Input'!$B$12,0))))*(1/(1-'P-Parametri'!$B$6*AD412))+MIN(MAX(0,AI411-(MAX(0,AD396-IF($A412&gt;='1-Input'!$C$12,'1-Input'!$B$12,0))-MIN(MAX(AH411,0),MAX(0,AD396-IF($A412&gt;='1-Input'!$C$12,'1-Input'!$B$12,0))))*(1/(1-'P-Parametri'!$B$6*AD412))),MAX(0,0*AD396-(AH411-MIN(MAX(AH411,0),MAX(0,AD396-IF($A412&gt;='1-Input'!$C$12,'1-Input'!$B$12,0)))))*(1/(1-'P-Parametri'!$B$6*AD412))))</f>
        <v>21357.14032998445</v>
      </c>
      <c r="AF412" s="18">
        <f>IF($A412&gt;'1-Input'!$B$26,AH411,(AH411-MAX(0,AD396-IF($A412&gt;='1-Input'!$C$12,'1-Input'!$B$12,0))+AE412*(1-'P-Parametri'!$B$6*AD412))*(1+'1-Input'!$B$27))</f>
        <v>0</v>
      </c>
      <c r="AG412" s="18">
        <f>IF($A412&gt;'1-Input'!$B$26,AI411,(AI411-AE412)*(1+$C$4))</f>
        <v>288733.68998554983</v>
      </c>
      <c r="AH412" s="18">
        <f>IF($A412&gt;'1-Input'!$B$26,AF412,AF412-'P-Parametri'!$B$8*(AG412+AF412)+MIN(MAX(AG412,0),'P-Parametri'!$B$8*(AG412+AF412)))</f>
        <v>0</v>
      </c>
      <c r="AI412" s="18">
        <f>IF($A412&gt;'1-Input'!$B$26,AG412,AG412-MIN(MAX(AG412,0),'P-Parametri'!$B$8*(AG412+AF412)))</f>
        <v>288156.22260557872</v>
      </c>
      <c r="AJ412" s="18">
        <f>IF($A412&gt;'1-Input'!$B$26,AJ411,AJ411-AE412*(1-AD412))</f>
        <v>153531.6068432437</v>
      </c>
      <c r="AK412" s="11">
        <f>IF($A412&gt;'1-Input'!$B$26,0,IF(AP411&lt;=0,0,MAX(0,(AP411-AQ411)/AP411)))</f>
        <v>0.45230653528358439</v>
      </c>
      <c r="AL412" s="18">
        <f>IF($A412&gt;'1-Input'!$B$26,0,(MAX(0,AK396-IF($A412&gt;='1-Input'!$C$12,'1-Input'!$B$12,0))-MIN(MAX(AO411,0),MAX(0,AK396-IF($A412&gt;='1-Input'!$C$12,'1-Input'!$B$12,0))))*(1/(1-'P-Parametri'!$B$6*AK412))+MIN(MAX(0,AP411-(MAX(0,AK396-IF($A412&gt;='1-Input'!$C$12,'1-Input'!$B$12,0))-MIN(MAX(AO411,0),MAX(0,AK396-IF($A412&gt;='1-Input'!$C$12,'1-Input'!$B$12,0))))*(1/(1-'P-Parametri'!$B$6*AK412))),MAX(0,0*AK396-(AO411-MIN(MAX(AO411,0),MAX(0,AK396-IF($A412&gt;='1-Input'!$C$12,'1-Input'!$B$12,0)))))*(1/(1-'P-Parametri'!$B$6*AK412))))</f>
        <v>21355.946600557512</v>
      </c>
      <c r="AM412" s="18">
        <f>IF($A412&gt;'1-Input'!$B$26,AO411,(AO411-MAX(0,AK396-IF($A412&gt;='1-Input'!$C$12,'1-Input'!$B$12,0))+AL412*(1-'P-Parametri'!$B$6*AK412))*(1+'1-Input'!$B$27))</f>
        <v>0</v>
      </c>
      <c r="AN412" s="18">
        <f>IF($A412&gt;'1-Input'!$B$26,AP411,(AP411-AL412)*(1+$C$4))</f>
        <v>288753.71096788888</v>
      </c>
      <c r="AO412" s="18">
        <f>IF($A412&gt;'1-Input'!$B$26,AM412,AM412-'P-Parametri'!$B$8*(AN412+AM412)+MIN(MAX(AN412,0),'P-Parametri'!$B$8*(AN412+AM412)))</f>
        <v>0</v>
      </c>
      <c r="AP412" s="18">
        <f>IF($A412&gt;'1-Input'!$B$26,AN412,AN412-MIN(MAX(AN412,0),'P-Parametri'!$B$8*(AN412+AM412)))</f>
        <v>288176.20354595309</v>
      </c>
      <c r="AQ412" s="18">
        <f>IF($A412&gt;'1-Input'!$B$26,AQ411,AQ411-AL412*(1-AK412))</f>
        <v>153542.25282497623</v>
      </c>
    </row>
    <row r="413" spans="1:43">
      <c r="A413" s="10">
        <f>15</f>
        <v>15</v>
      </c>
      <c r="B413" s="11">
        <f>IF($A413&gt;'1-Input'!$B$26,0,IF(G412&lt;=0,0,MAX(0,(G412-H412)/G412)))</f>
        <v>0.46719315843685855</v>
      </c>
      <c r="C413" s="18">
        <f>IF($A413&gt;'1-Input'!$B$26,0,(MAX(0,B396-IF($A413&gt;='1-Input'!$C$12,'1-Input'!$B$12,0))-MIN(MAX(F412,0),MAX(0,B396-IF($A413&gt;='1-Input'!$C$12,'1-Input'!$B$12,0))))*(1/(1-'P-Parametri'!$B$6*B413))+MIN(MAX(0,G412-(MAX(0,B396-IF($A413&gt;='1-Input'!$C$12,'1-Input'!$B$12,0))-MIN(MAX(F412,0),MAX(0,B396-IF($A413&gt;='1-Input'!$C$12,'1-Input'!$B$12,0))))*(1/(1-'P-Parametri'!$B$6*B413))),MAX(0,0*B396-(F412-MIN(MAX(F412,0),MAX(0,B396-IF($A413&gt;='1-Input'!$C$12,'1-Input'!$B$12,0)))))*(1/(1-'P-Parametri'!$B$6*B413))))</f>
        <v>18987.467149137421</v>
      </c>
      <c r="D413" s="18">
        <f>IF($A413&gt;'1-Input'!$B$26,F412,(F412-MAX(0,B396-IF($A413&gt;='1-Input'!$C$12,'1-Input'!$B$12,0))+C413*(1-'P-Parametri'!$B$6*B413))*(1+'1-Input'!$B$27))</f>
        <v>0</v>
      </c>
      <c r="E413" s="18">
        <f>IF($A413&gt;'1-Input'!$B$26,G412,(G412-C413)*(1+$C$4))</f>
        <v>319533.80334636848</v>
      </c>
      <c r="F413" s="18">
        <f>IF($A413&gt;'1-Input'!$B$26,D413,D413-'P-Parametri'!$B$8*(E413+D413)+MIN(MAX(E413,0),'P-Parametri'!$B$8*(E413+D413)))</f>
        <v>0</v>
      </c>
      <c r="G413" s="18">
        <f>IF($A413&gt;'1-Input'!$B$26,E413,E413-MIN(MAX(E413,0),'P-Parametri'!$B$8*(E413+D413)))</f>
        <v>318894.73573967576</v>
      </c>
      <c r="H413" s="18">
        <f>IF($A413&gt;'1-Input'!$B$26,H412,H412-C413*(1-B413))</f>
        <v>165291.06459576363</v>
      </c>
      <c r="I413" s="11">
        <f>IF($A413&gt;'1-Input'!$B$26,0,IF(N412&lt;=0,0,MAX(0,(N412-O412)/N412)))</f>
        <v>0.4671931584368591</v>
      </c>
      <c r="J413" s="18">
        <f>IF($A413&gt;'1-Input'!$B$26,0,(MAX(0,I396-IF($A413&gt;='1-Input'!$C$12,'1-Input'!$B$12,0))-MIN(MAX(M412,0),MAX(0,I396-IF($A413&gt;='1-Input'!$C$12,'1-Input'!$B$12,0))))*(1/(1-'P-Parametri'!$B$6*I413))+MIN(MAX(0,N412-(MAX(0,I396-IF($A413&gt;='1-Input'!$C$12,'1-Input'!$B$12,0))-MIN(MAX(M412,0),MAX(0,I396-IF($A413&gt;='1-Input'!$C$12,'1-Input'!$B$12,0))))*(1/(1-'P-Parametri'!$B$6*I413))),MAX(0,0*I396-(M412-MIN(MAX(M412,0),MAX(0,I396-IF($A413&gt;='1-Input'!$C$12,'1-Input'!$B$12,0)))))*(1/(1-'P-Parametri'!$B$6*I413))))</f>
        <v>24983.509406759771</v>
      </c>
      <c r="K413" s="18">
        <f>IF($A413&gt;'1-Input'!$B$26,M412,(M412-MAX(0,I396-IF($A413&gt;='1-Input'!$C$12,'1-Input'!$B$12,0))+J413*(1-'P-Parametri'!$B$6*I413))*(1+'1-Input'!$B$27))</f>
        <v>0</v>
      </c>
      <c r="L413" s="18">
        <f>IF($A413&gt;'1-Input'!$B$26,N412,(N412-J413)*(1+$C$4))</f>
        <v>210437.16993405184</v>
      </c>
      <c r="M413" s="18">
        <f>IF($A413&gt;'1-Input'!$B$26,K413,K413-'P-Parametri'!$B$8*(L413+K413)+MIN(MAX(L413,0),'P-Parametri'!$B$8*(L413+K413)))</f>
        <v>0</v>
      </c>
      <c r="N413" s="18">
        <f>IF($A413&gt;'1-Input'!$B$26,L413,L413-MIN(MAX(L413,0),'P-Parametri'!$B$8*(L413+K413)))</f>
        <v>210016.29559418373</v>
      </c>
      <c r="O413" s="18">
        <f>IF($A413&gt;'1-Input'!$B$26,O412,O412-J413*(1-I413))</f>
        <v>108856.66394179429</v>
      </c>
      <c r="P413" s="11">
        <f>IF($A413&gt;'1-Input'!$B$26,0,IF(U412&lt;=0,0,MAX(0,(U412-V412)/U412)))</f>
        <v>0.46719315843685877</v>
      </c>
      <c r="Q413" s="18">
        <f>IF($A413&gt;'1-Input'!$B$26,0,(MAX(0,P396-IF($A413&gt;='1-Input'!$C$12,'1-Input'!$B$12,0))-MIN(MAX(T412,0),MAX(0,P396-IF($A413&gt;='1-Input'!$C$12,'1-Input'!$B$12,0))))*(1/(1-'P-Parametri'!$B$6*P413))+MIN(MAX(0,U412-(MAX(0,P396-IF($A413&gt;='1-Input'!$C$12,'1-Input'!$B$12,0))-MIN(MAX(T412,0),MAX(0,P396-IF($A413&gt;='1-Input'!$C$12,'1-Input'!$B$12,0))))*(1/(1-'P-Parametri'!$B$6*P413))),MAX(0,0*P396-(T412-MIN(MAX(T412,0),MAX(0,P396-IF($A413&gt;='1-Input'!$C$12,'1-Input'!$B$12,0)))))*(1/(1-'P-Parametri'!$B$6*P413))))</f>
        <v>21735.221804582645</v>
      </c>
      <c r="R413" s="18">
        <f>IF($A413&gt;'1-Input'!$B$26,T412,(T412-MAX(0,P396-IF($A413&gt;='1-Input'!$C$12,'1-Input'!$B$12,0))+Q413*(1-'P-Parametri'!$B$6*P413))*(1+'1-Input'!$B$27))</f>
        <v>-3.6248820833861826E-12</v>
      </c>
      <c r="S413" s="18">
        <f>IF($A413&gt;'1-Input'!$B$26,U412,(U412-Q413)*(1+$C$4))</f>
        <v>269539.02854787244</v>
      </c>
      <c r="T413" s="18">
        <f>IF($A413&gt;'1-Input'!$B$26,R413,R413-'P-Parametri'!$B$8*(S413+R413)+MIN(MAX(S413,0),'P-Parametri'!$B$8*(S413+R413)))</f>
        <v>-3.637978807091713E-12</v>
      </c>
      <c r="U413" s="18">
        <f>IF($A413&gt;'1-Input'!$B$26,S413,S413-MIN(MAX(S413,0),'P-Parametri'!$B$8*(S413+R413)))</f>
        <v>268999.95049077668</v>
      </c>
      <c r="V413" s="18">
        <f>IF($A413&gt;'1-Input'!$B$26,V412,V412-Q413*(1-P413))</f>
        <v>139429.35774620317</v>
      </c>
      <c r="W413" s="11">
        <f>IF($A413&gt;'1-Input'!$B$26,0,IF(AB412&lt;=0,0,MAX(0,(AB412-AC412)/AB412)))</f>
        <v>0.46719315843685927</v>
      </c>
      <c r="X413" s="18">
        <f>IF($A413&gt;'1-Input'!$B$26,0,(MAX(0,W396-IF($A413&gt;='1-Input'!$C$12,'1-Input'!$B$12,0))-MIN(MAX(AA412,0),MAX(0,W396-IF($A413&gt;='1-Input'!$C$12,'1-Input'!$B$12,0))))*(1/(1-'P-Parametri'!$B$6*W413))+MIN(MAX(0,AB412-(MAX(0,W396-IF($A413&gt;='1-Input'!$C$12,'1-Input'!$B$12,0))-MIN(MAX(AA412,0),MAX(0,W396-IF($A413&gt;='1-Input'!$C$12,'1-Input'!$B$12,0))))*(1/(1-'P-Parametri'!$B$6*W413))),MAX(0,0*W396-(AA412-MIN(MAX(AA412,0),MAX(0,W396-IF($A413&gt;='1-Input'!$C$12,'1-Input'!$B$12,0)))))*(1/(1-'P-Parametri'!$B$6*W413))))</f>
        <v>21443.511695278405</v>
      </c>
      <c r="Y413" s="18">
        <f>IF($A413&gt;'1-Input'!$B$26,AA412,(AA412-MAX(0,W396-IF($A413&gt;='1-Input'!$C$12,'1-Input'!$B$12,0))+X413*(1-'P-Parametri'!$B$6*W413))*(1+'1-Input'!$B$27))</f>
        <v>0</v>
      </c>
      <c r="Z413" s="18">
        <f>IF($A413&gt;'1-Input'!$B$26,AB412,(AB412-X413)*(1+$C$4))</f>
        <v>274846.62804268562</v>
      </c>
      <c r="AA413" s="18">
        <f>IF($A413&gt;'1-Input'!$B$26,Y413,Y413-'P-Parametri'!$B$8*(Z413+Y413)+MIN(MAX(Z413,0),'P-Parametri'!$B$8*(Z413+Y413)))</f>
        <v>0</v>
      </c>
      <c r="AB413" s="18">
        <f>IF($A413&gt;'1-Input'!$B$26,Z413,Z413-MIN(MAX(Z413,0),'P-Parametri'!$B$8*(Z413+Y413)))</f>
        <v>274296.93478660024</v>
      </c>
      <c r="AC413" s="18">
        <f>IF($A413&gt;'1-Input'!$B$26,AC412,AC412-X413*(1-W413))</f>
        <v>142174.9163123327</v>
      </c>
      <c r="AD413" s="11">
        <f>IF($A413&gt;'1-Input'!$B$26,0,IF(AI412&lt;=0,0,MAX(0,(AI412-AJ412)/AI412)))</f>
        <v>0.46719315843685921</v>
      </c>
      <c r="AE413" s="18">
        <f>IF($A413&gt;'1-Input'!$B$26,0,(MAX(0,AD396-IF($A413&gt;='1-Input'!$C$12,'1-Input'!$B$12,0))-MIN(MAX(AH412,0),MAX(0,AD396-IF($A413&gt;='1-Input'!$C$12,'1-Input'!$B$12,0))))*(1/(1-'P-Parametri'!$B$6*AD413))+MIN(MAX(0,AI412-(MAX(0,AD396-IF($A413&gt;='1-Input'!$C$12,'1-Input'!$B$12,0))-MIN(MAX(AH412,0),MAX(0,AD396-IF($A413&gt;='1-Input'!$C$12,'1-Input'!$B$12,0))))*(1/(1-'P-Parametri'!$B$6*AD413))),MAX(0,0*AD396-(AH412-MIN(MAX(AH412,0),MAX(0,AD396-IF($A413&gt;='1-Input'!$C$12,'1-Input'!$B$12,0)))))*(1/(1-'P-Parametri'!$B$6*AD413))))</f>
        <v>21451.233078941201</v>
      </c>
      <c r="AF413" s="18">
        <f>IF($A413&gt;'1-Input'!$B$26,AH412,(AH412-MAX(0,AD396-IF($A413&gt;='1-Input'!$C$12,'1-Input'!$B$12,0))+AE413*(1-'P-Parametri'!$B$6*AD413))*(1+'1-Input'!$B$27))</f>
        <v>0</v>
      </c>
      <c r="AG413" s="18">
        <f>IF($A413&gt;'1-Input'!$B$26,AI412,(AI412-AE413)*(1+$C$4))</f>
        <v>274706.13921243668</v>
      </c>
      <c r="AH413" s="18">
        <f>IF($A413&gt;'1-Input'!$B$26,AF413,AF413-'P-Parametri'!$B$8*(AG413+AF413)+MIN(MAX(AG413,0),'P-Parametri'!$B$8*(AG413+AF413)))</f>
        <v>0</v>
      </c>
      <c r="AI413" s="18">
        <f>IF($A413&gt;'1-Input'!$B$26,AG413,AG413-MIN(MAX(AG413,0),'P-Parametri'!$B$8*(AG413+AF413)))</f>
        <v>274156.72693401179</v>
      </c>
      <c r="AJ413" s="18">
        <f>IF($A413&gt;'1-Input'!$B$26,AJ412,AJ412-AE413*(1-AD413))</f>
        <v>142102.24309881826</v>
      </c>
      <c r="AK413" s="11">
        <f>IF($A413&gt;'1-Input'!$B$26,0,IF(AP412&lt;=0,0,MAX(0,(AP412-AQ412)/AP412)))</f>
        <v>0.46719315843685855</v>
      </c>
      <c r="AL413" s="18">
        <f>IF($A413&gt;'1-Input'!$B$26,0,(MAX(0,AK396-IF($A413&gt;='1-Input'!$C$12,'1-Input'!$B$12,0))-MIN(MAX(AO412,0),MAX(0,AK396-IF($A413&gt;='1-Input'!$C$12,'1-Input'!$B$12,0))))*(1/(1-'P-Parametri'!$B$6*AK413))+MIN(MAX(0,AP412-(MAX(0,AK396-IF($A413&gt;='1-Input'!$C$12,'1-Input'!$B$12,0))-MIN(MAX(AO412,0),MAX(0,AK396-IF($A413&gt;='1-Input'!$C$12,'1-Input'!$B$12,0))))*(1/(1-'P-Parametri'!$B$6*AK413))),MAX(0,0*AK396-(AO412-MIN(MAX(AO412,0),MAX(0,AK396-IF($A413&gt;='1-Input'!$C$12,'1-Input'!$B$12,0)))))*(1/(1-'P-Parametri'!$B$6*AK413))))</f>
        <v>21450.034090323119</v>
      </c>
      <c r="AM413" s="18">
        <f>IF($A413&gt;'1-Input'!$B$26,AO412,(AO412-MAX(0,AK396-IF($A413&gt;='1-Input'!$C$12,'1-Input'!$B$12,0))+AL413*(1-'P-Parametri'!$B$6*AK413))*(1+'1-Input'!$B$27))</f>
        <v>0</v>
      </c>
      <c r="AN413" s="18">
        <f>IF($A413&gt;'1-Input'!$B$26,AP412,(AP412-AL413)*(1+$C$4))</f>
        <v>274727.95453929884</v>
      </c>
      <c r="AO413" s="18">
        <f>IF($A413&gt;'1-Input'!$B$26,AM413,AM413-'P-Parametri'!$B$8*(AN413+AM413)+MIN(MAX(AN413,0),'P-Parametri'!$B$8*(AN413+AM413)))</f>
        <v>0</v>
      </c>
      <c r="AP413" s="18">
        <f>IF($A413&gt;'1-Input'!$B$26,AN413,AN413-MIN(MAX(AN413,0),'P-Parametri'!$B$8*(AN413+AM413)))</f>
        <v>274178.49863022025</v>
      </c>
      <c r="AQ413" s="18">
        <f>IF($A413&gt;'1-Input'!$B$26,AQ412,AQ412-AL413*(1-AK413))</f>
        <v>142113.52790988944</v>
      </c>
    </row>
    <row r="414" spans="1:43">
      <c r="A414" s="10">
        <f>16</f>
        <v>16</v>
      </c>
      <c r="B414" s="11">
        <f>IF($A414&gt;'1-Input'!$B$26,0,IF(G413&lt;=0,0,MAX(0,(G413-H413)/G413)))</f>
        <v>0.48167515461686344</v>
      </c>
      <c r="C414" s="18">
        <f>IF($A414&gt;'1-Input'!$B$26,0,(MAX(0,B396-IF($A414&gt;='1-Input'!$C$12,'1-Input'!$B$12,0))-MIN(MAX(F413,0),MAX(0,B396-IF($A414&gt;='1-Input'!$C$12,'1-Input'!$B$12,0))))*(1/(1-'P-Parametri'!$B$6*B414))+MIN(MAX(0,G413-(MAX(0,B396-IF($A414&gt;='1-Input'!$C$12,'1-Input'!$B$12,0))-MIN(MAX(F413,0),MAX(0,B396-IF($A414&gt;='1-Input'!$C$12,'1-Input'!$B$12,0))))*(1/(1-'P-Parametri'!$B$6*B414))),MAX(0,0*B396-(F413-MIN(MAX(F413,0),MAX(0,B396-IF($A414&gt;='1-Input'!$C$12,'1-Input'!$B$12,0)))))*(1/(1-'P-Parametri'!$B$6*B414))))</f>
        <v>19069.196430827764</v>
      </c>
      <c r="D414" s="18">
        <f>IF($A414&gt;'1-Input'!$B$26,F413,(F413-MAX(0,B396-IF($A414&gt;='1-Input'!$C$12,'1-Input'!$B$12,0))+C414*(1-'P-Parametri'!$B$6*B414))*(1+'1-Input'!$B$27))</f>
        <v>3.6248820833861826E-12</v>
      </c>
      <c r="E414" s="18">
        <f>IF($A414&gt;'1-Input'!$B$26,G413,(G413-C414)*(1+$C$4))</f>
        <v>308820.30548811343</v>
      </c>
      <c r="F414" s="18">
        <f>IF($A414&gt;'1-Input'!$B$26,D414,D414-'P-Parametri'!$B$8*(E414+D414)+MIN(MAX(E414,0),'P-Parametri'!$B$8*(E414+D414)))</f>
        <v>3.637978807091713E-12</v>
      </c>
      <c r="G414" s="18">
        <f>IF($A414&gt;'1-Input'!$B$26,E414,E414-MIN(MAX(E414,0),'P-Parametri'!$B$8*(E414+D414)))</f>
        <v>308202.66487713723</v>
      </c>
      <c r="H414" s="18">
        <f>IF($A414&gt;'1-Input'!$B$26,H413,H413-C414*(1-B414))</f>
        <v>155407.02630417416</v>
      </c>
      <c r="I414" s="11">
        <f>IF($A414&gt;'1-Input'!$B$26,0,IF(N413&lt;=0,0,MAX(0,(N413-O413)/N413)))</f>
        <v>0.48167515461686389</v>
      </c>
      <c r="J414" s="18">
        <f>IF($A414&gt;'1-Input'!$B$26,0,(MAX(0,I396-IF($A414&gt;='1-Input'!$C$12,'1-Input'!$B$12,0))-MIN(MAX(M413,0),MAX(0,I396-IF($A414&gt;='1-Input'!$C$12,'1-Input'!$B$12,0))))*(1/(1-'P-Parametri'!$B$6*I414))+MIN(MAX(0,N413-(MAX(0,I396-IF($A414&gt;='1-Input'!$C$12,'1-Input'!$B$12,0))-MIN(MAX(M413,0),MAX(0,I396-IF($A414&gt;='1-Input'!$C$12,'1-Input'!$B$12,0))))*(1/(1-'P-Parametri'!$B$6*I414))),MAX(0,0*I396-(M413-MIN(MAX(M413,0),MAX(0,I396-IF($A414&gt;='1-Input'!$C$12,'1-Input'!$B$12,0)))))*(1/(1-'P-Parametri'!$B$6*I414))))</f>
        <v>25091.047935299692</v>
      </c>
      <c r="K414" s="18">
        <f>IF($A414&gt;'1-Input'!$B$26,M413,(M413-MAX(0,I396-IF($A414&gt;='1-Input'!$C$12,'1-Input'!$B$12,0))+J414*(1-'P-Parametri'!$B$6*I414))*(1+'1-Input'!$B$27))</f>
        <v>0</v>
      </c>
      <c r="L414" s="18">
        <f>IF($A414&gt;'1-Input'!$B$26,N413,(N413-J414)*(1+$C$4))</f>
        <v>190473.00508865056</v>
      </c>
      <c r="M414" s="18">
        <f>IF($A414&gt;'1-Input'!$B$26,K414,K414-'P-Parametri'!$B$8*(L414+K414)+MIN(MAX(L414,0),'P-Parametri'!$B$8*(L414+K414)))</f>
        <v>0</v>
      </c>
      <c r="N414" s="18">
        <f>IF($A414&gt;'1-Input'!$B$26,L414,L414-MIN(MAX(L414,0),'P-Parametri'!$B$8*(L414+K414)))</f>
        <v>190092.05907847325</v>
      </c>
      <c r="O414" s="18">
        <f>IF($A414&gt;'1-Input'!$B$26,O413,O413-J414*(1-I414))</f>
        <v>95851.350400229217</v>
      </c>
      <c r="P414" s="11">
        <f>IF($A414&gt;'1-Input'!$B$26,0,IF(U413&lt;=0,0,MAX(0,(U413-V413)/U413)))</f>
        <v>0.48167515461686361</v>
      </c>
      <c r="Q414" s="18">
        <f>IF($A414&gt;'1-Input'!$B$26,0,(MAX(0,P396-IF($A414&gt;='1-Input'!$C$12,'1-Input'!$B$12,0))-MIN(MAX(T413,0),MAX(0,P396-IF($A414&gt;='1-Input'!$C$12,'1-Input'!$B$12,0))))*(1/(1-'P-Parametri'!$B$6*P414))+MIN(MAX(0,U413-(MAX(0,P396-IF($A414&gt;='1-Input'!$C$12,'1-Input'!$B$12,0))-MIN(MAX(T413,0),MAX(0,P396-IF($A414&gt;='1-Input'!$C$12,'1-Input'!$B$12,0))))*(1/(1-'P-Parametri'!$B$6*P414))),MAX(0,0*P396-(T413-MIN(MAX(T413,0),MAX(0,P396-IF($A414&gt;='1-Input'!$C$12,'1-Input'!$B$12,0)))))*(1/(1-'P-Parametri'!$B$6*P414))))</f>
        <v>21828.778467591783</v>
      </c>
      <c r="R414" s="18">
        <f>IF($A414&gt;'1-Input'!$B$26,T413,(T413-MAX(0,P396-IF($A414&gt;='1-Input'!$C$12,'1-Input'!$B$12,0))+Q414*(1-'P-Parametri'!$B$6*P414))*(1+'1-Input'!$B$27))</f>
        <v>3.6248820833861826E-12</v>
      </c>
      <c r="S414" s="18">
        <f>IF($A414&gt;'1-Input'!$B$26,U413,(U413-Q414)*(1+$C$4))</f>
        <v>254586.30718388045</v>
      </c>
      <c r="T414" s="18">
        <f>IF($A414&gt;'1-Input'!$B$26,R414,R414-'P-Parametri'!$B$8*(S414+R414)+MIN(MAX(S414,0),'P-Parametri'!$B$8*(S414+R414)))</f>
        <v>3.637978807091713E-12</v>
      </c>
      <c r="U414" s="18">
        <f>IF($A414&gt;'1-Input'!$B$26,S414,S414-MIN(MAX(S414,0),'P-Parametri'!$B$8*(S414+R414)))</f>
        <v>254077.13456951268</v>
      </c>
      <c r="V414" s="18">
        <f>IF($A414&gt;'1-Input'!$B$26,V413,V413-Q414*(1-P414))</f>
        <v>128114.95952208592</v>
      </c>
      <c r="W414" s="11">
        <f>IF($A414&gt;'1-Input'!$B$26,0,IF(AB413&lt;=0,0,MAX(0,(AB413-AC413)/AB413)))</f>
        <v>0.481675154616864</v>
      </c>
      <c r="X414" s="18">
        <f>IF($A414&gt;'1-Input'!$B$26,0,(MAX(0,W396-IF($A414&gt;='1-Input'!$C$12,'1-Input'!$B$12,0))-MIN(MAX(AA413,0),MAX(0,W396-IF($A414&gt;='1-Input'!$C$12,'1-Input'!$B$12,0))))*(1/(1-'P-Parametri'!$B$6*W414))+MIN(MAX(0,AB413-(MAX(0,W396-IF($A414&gt;='1-Input'!$C$12,'1-Input'!$B$12,0))-MIN(MAX(AA413,0),MAX(0,W396-IF($A414&gt;='1-Input'!$C$12,'1-Input'!$B$12,0))))*(1/(1-'P-Parametri'!$B$6*W414))),MAX(0,0*W396-(AA413-MIN(MAX(AA413,0),MAX(0,W396-IF($A414&gt;='1-Input'!$C$12,'1-Input'!$B$12,0)))))*(1/(1-'P-Parametri'!$B$6*W414))))</f>
        <v>21535.812727006749</v>
      </c>
      <c r="Y414" s="18">
        <f>IF($A414&gt;'1-Input'!$B$26,AA413,(AA413-MAX(0,W396-IF($A414&gt;='1-Input'!$C$12,'1-Input'!$B$12,0))+X414*(1-'P-Parametri'!$B$6*W414))*(1+'1-Input'!$B$27))</f>
        <v>0</v>
      </c>
      <c r="Z414" s="18">
        <f>IF($A414&gt;'1-Input'!$B$26,AB413,(AB413-X414)*(1+$C$4))</f>
        <v>260343.95572138132</v>
      </c>
      <c r="AA414" s="18">
        <f>IF($A414&gt;'1-Input'!$B$26,Y414,Y414-'P-Parametri'!$B$8*(Z414+Y414)+MIN(MAX(Z414,0),'P-Parametri'!$B$8*(Z414+Y414)))</f>
        <v>0</v>
      </c>
      <c r="AB414" s="18">
        <f>IF($A414&gt;'1-Input'!$B$26,Z414,Z414-MIN(MAX(Z414,0),'P-Parametri'!$B$8*(Z414+Y414)))</f>
        <v>259823.26780993855</v>
      </c>
      <c r="AC414" s="18">
        <f>IF($A414&gt;'1-Input'!$B$26,AC413,AC413-X414*(1-W414))</f>
        <v>131012.36951040676</v>
      </c>
      <c r="AD414" s="11">
        <f>IF($A414&gt;'1-Input'!$B$26,0,IF(AI413&lt;=0,0,MAX(0,(AI413-AJ413)/AI413)))</f>
        <v>0.48167515461686417</v>
      </c>
      <c r="AE414" s="18">
        <f>IF($A414&gt;'1-Input'!$B$26,0,(MAX(0,AD396-IF($A414&gt;='1-Input'!$C$12,'1-Input'!$B$12,0))-MIN(MAX(AH413,0),MAX(0,AD396-IF($A414&gt;='1-Input'!$C$12,'1-Input'!$B$12,0))))*(1/(1-'P-Parametri'!$B$6*AD414))+MIN(MAX(0,AI413-(MAX(0,AD396-IF($A414&gt;='1-Input'!$C$12,'1-Input'!$B$12,0))-MIN(MAX(AH413,0),MAX(0,AD396-IF($A414&gt;='1-Input'!$C$12,'1-Input'!$B$12,0))))*(1/(1-'P-Parametri'!$B$6*AD414))),MAX(0,0*AD396-(AH413-MIN(MAX(AH413,0),MAX(0,AD396-IF($A414&gt;='1-Input'!$C$12,'1-Input'!$B$12,0)))))*(1/(1-'P-Parametri'!$B$6*AD414))))</f>
        <v>21543.567346442149</v>
      </c>
      <c r="AF414" s="18">
        <f>IF($A414&gt;'1-Input'!$B$26,AH413,(AH413-MAX(0,AD396-IF($A414&gt;='1-Input'!$C$12,'1-Input'!$B$12,0))+AE414*(1-'P-Parametri'!$B$6*AD414))*(1+'1-Input'!$B$27))</f>
        <v>0</v>
      </c>
      <c r="AG414" s="18">
        <f>IF($A414&gt;'1-Input'!$B$26,AI413,(AI413-AE414)*(1+$C$4))</f>
        <v>260191.55437519675</v>
      </c>
      <c r="AH414" s="18">
        <f>IF($A414&gt;'1-Input'!$B$26,AF414,AF414-'P-Parametri'!$B$8*(AG414+AF414)+MIN(MAX(AG414,0),'P-Parametri'!$B$8*(AG414+AF414)))</f>
        <v>0</v>
      </c>
      <c r="AI414" s="18">
        <f>IF($A414&gt;'1-Input'!$B$26,AG414,AG414-MIN(MAX(AG414,0),'P-Parametri'!$B$8*(AG414+AF414)))</f>
        <v>259671.17126644636</v>
      </c>
      <c r="AJ414" s="18">
        <f>IF($A414&gt;'1-Input'!$B$26,AJ413,AJ413-AE414*(1-AD414))</f>
        <v>130935.67688497246</v>
      </c>
      <c r="AK414" s="11">
        <f>IF($A414&gt;'1-Input'!$B$26,0,IF(AP413&lt;=0,0,MAX(0,(AP413-AQ413)/AP413)))</f>
        <v>0.48167515461686339</v>
      </c>
      <c r="AL414" s="18">
        <f>IF($A414&gt;'1-Input'!$B$26,0,(MAX(0,AK396-IF($A414&gt;='1-Input'!$C$12,'1-Input'!$B$12,0))-MIN(MAX(AO413,0),MAX(0,AK396-IF($A414&gt;='1-Input'!$C$12,'1-Input'!$B$12,0))))*(1/(1-'P-Parametri'!$B$6*AK414))+MIN(MAX(0,AP413-(MAX(0,AK396-IF($A414&gt;='1-Input'!$C$12,'1-Input'!$B$12,0))-MIN(MAX(AO413,0),MAX(0,AK396-IF($A414&gt;='1-Input'!$C$12,'1-Input'!$B$12,0))))*(1/(1-'P-Parametri'!$B$6*AK414))),MAX(0,0*AK396-(AO413-MIN(MAX(AO413,0),MAX(0,AK396-IF($A414&gt;='1-Input'!$C$12,'1-Input'!$B$12,0)))))*(1/(1-'P-Parametri'!$B$6*AK414))))</f>
        <v>21542.363196920949</v>
      </c>
      <c r="AM414" s="18">
        <f>IF($A414&gt;'1-Input'!$B$26,AO413,(AO413-MAX(0,AK396-IF($A414&gt;='1-Input'!$C$12,'1-Input'!$B$12,0))+AL414*(1-'P-Parametri'!$B$6*AK414))*(1+'1-Input'!$B$27))</f>
        <v>3.6248820833861826E-12</v>
      </c>
      <c r="AN414" s="18">
        <f>IF($A414&gt;'1-Input'!$B$26,AP413,(AP413-AL414)*(1+$C$4))</f>
        <v>260215.21949629829</v>
      </c>
      <c r="AO414" s="18">
        <f>IF($A414&gt;'1-Input'!$B$26,AM414,AM414-'P-Parametri'!$B$8*(AN414+AM414)+MIN(MAX(AN414,0),'P-Parametri'!$B$8*(AN414+AM414)))</f>
        <v>3.637978807091713E-12</v>
      </c>
      <c r="AP414" s="18">
        <f>IF($A414&gt;'1-Input'!$B$26,AN414,AN414-MIN(MAX(AN414,0),'P-Parametri'!$B$8*(AN414+AM414)))</f>
        <v>259694.78905730569</v>
      </c>
      <c r="AQ414" s="18">
        <f>IF($A414&gt;'1-Input'!$B$26,AQ413,AQ413-AL414*(1-AK414))</f>
        <v>130947.58583665802</v>
      </c>
    </row>
    <row r="415" spans="1:43">
      <c r="A415" s="10">
        <f>17</f>
        <v>17</v>
      </c>
      <c r="B415" s="11">
        <f>IF($A415&gt;'1-Input'!$B$26,0,IF(G414&lt;=0,0,MAX(0,(G414-H414)/G414)))</f>
        <v>0.4957635218172885</v>
      </c>
      <c r="C415" s="18">
        <f>IF($A415&gt;'1-Input'!$B$26,0,(MAX(0,B396-IF($A415&gt;='1-Input'!$C$12,'1-Input'!$B$12,0))-MIN(MAX(F414,0),MAX(0,B396-IF($A415&gt;='1-Input'!$C$12,'1-Input'!$B$12,0))))*(1/(1-'P-Parametri'!$B$6*B415))+MIN(MAX(0,G414-(MAX(0,B396-IF($A415&gt;='1-Input'!$C$12,'1-Input'!$B$12,0))-MIN(MAX(F414,0),MAX(0,B396-IF($A415&gt;='1-Input'!$C$12,'1-Input'!$B$12,0))))*(1/(1-'P-Parametri'!$B$6*B415))),MAX(0,0*B396-(F414-MIN(MAX(F414,0),MAX(0,B396-IF($A415&gt;='1-Input'!$C$12,'1-Input'!$B$12,0)))))*(1/(1-'P-Parametri'!$B$6*B415))))</f>
        <v>19149.382264574673</v>
      </c>
      <c r="D415" s="18">
        <f>IF($A415&gt;'1-Input'!$B$26,F414,(F414-MAX(0,B396-IF($A415&gt;='1-Input'!$C$12,'1-Input'!$B$12,0))+C415*(1-'P-Parametri'!$B$6*B415))*(1+'1-Input'!$B$27))</f>
        <v>-3.6248820833861826E-12</v>
      </c>
      <c r="E415" s="18">
        <f>IF($A415&gt;'1-Input'!$B$26,G414,(G414-C415)*(1+$C$4))</f>
        <v>297724.88109093939</v>
      </c>
      <c r="F415" s="18">
        <f>IF($A415&gt;'1-Input'!$B$26,D415,D415-'P-Parametri'!$B$8*(E415+D415)+MIN(MAX(E415,0),'P-Parametri'!$B$8*(E415+D415)))</f>
        <v>-3.637978807091713E-12</v>
      </c>
      <c r="G415" s="18">
        <f>IF($A415&gt;'1-Input'!$B$26,E415,E415-MIN(MAX(E415,0),'P-Parametri'!$B$8*(E415+D415)))</f>
        <v>297129.43132875749</v>
      </c>
      <c r="H415" s="18">
        <f>IF($A415&gt;'1-Input'!$B$26,H414,H414-C415*(1-B415))</f>
        <v>145751.20923171056</v>
      </c>
      <c r="I415" s="11">
        <f>IF($A415&gt;'1-Input'!$B$26,0,IF(N414&lt;=0,0,MAX(0,(N414-O414)/N414)))</f>
        <v>0.49576352181728883</v>
      </c>
      <c r="J415" s="18">
        <f>IF($A415&gt;'1-Input'!$B$26,0,(MAX(0,I396-IF($A415&gt;='1-Input'!$C$12,'1-Input'!$B$12,0))-MIN(MAX(M414,0),MAX(0,I396-IF($A415&gt;='1-Input'!$C$12,'1-Input'!$B$12,0))))*(1/(1-'P-Parametri'!$B$6*I415))+MIN(MAX(0,N414-(MAX(0,I396-IF($A415&gt;='1-Input'!$C$12,'1-Input'!$B$12,0))-MIN(MAX(M414,0),MAX(0,I396-IF($A415&gt;='1-Input'!$C$12,'1-Input'!$B$12,0))))*(1/(1-'P-Parametri'!$B$6*I415))),MAX(0,0*I396-(M414-MIN(MAX(M414,0),MAX(0,I396-IF($A415&gt;='1-Input'!$C$12,'1-Input'!$B$12,0)))))*(1/(1-'P-Parametri'!$B$6*I415))))</f>
        <v>25196.555611282482</v>
      </c>
      <c r="K415" s="18">
        <f>IF($A415&gt;'1-Input'!$B$26,M414,(M414-MAX(0,I396-IF($A415&gt;='1-Input'!$C$12,'1-Input'!$B$12,0))+J415*(1-'P-Parametri'!$B$6*I415))*(1+'1-Input'!$B$27))</f>
        <v>0</v>
      </c>
      <c r="L415" s="18">
        <f>IF($A415&gt;'1-Input'!$B$26,N414,(N414-J415)*(1+$C$4))</f>
        <v>169842.36857120652</v>
      </c>
      <c r="M415" s="18">
        <f>IF($A415&gt;'1-Input'!$B$26,K415,K415-'P-Parametri'!$B$8*(L415+K415)+MIN(MAX(L415,0),'P-Parametri'!$B$8*(L415+K415)))</f>
        <v>0</v>
      </c>
      <c r="N415" s="18">
        <f>IF($A415&gt;'1-Input'!$B$26,L415,L415-MIN(MAX(L415,0),'P-Parametri'!$B$8*(L415+K415)))</f>
        <v>169502.68383406411</v>
      </c>
      <c r="O415" s="18">
        <f>IF($A415&gt;'1-Input'!$B$26,O414,O414-J415*(1-I415))</f>
        <v>83146.327936461312</v>
      </c>
      <c r="P415" s="11">
        <f>IF($A415&gt;'1-Input'!$B$26,0,IF(U414&lt;=0,0,MAX(0,(U414-V414)/U414)))</f>
        <v>0.49576352181728855</v>
      </c>
      <c r="Q415" s="18">
        <f>IF($A415&gt;'1-Input'!$B$26,0,(MAX(0,P396-IF($A415&gt;='1-Input'!$C$12,'1-Input'!$B$12,0))-MIN(MAX(T414,0),MAX(0,P396-IF($A415&gt;='1-Input'!$C$12,'1-Input'!$B$12,0))))*(1/(1-'P-Parametri'!$B$6*P415))+MIN(MAX(0,U414-(MAX(0,P396-IF($A415&gt;='1-Input'!$C$12,'1-Input'!$B$12,0))-MIN(MAX(T414,0),MAX(0,P396-IF($A415&gt;='1-Input'!$C$12,'1-Input'!$B$12,0))))*(1/(1-'P-Parametri'!$B$6*P415))),MAX(0,0*P396-(T414-MIN(MAX(T414,0),MAX(0,P396-IF($A415&gt;='1-Input'!$C$12,'1-Input'!$B$12,0)))))*(1/(1-'P-Parametri'!$B$6*P415))))</f>
        <v>21920.568323942032</v>
      </c>
      <c r="R415" s="18">
        <f>IF($A415&gt;'1-Input'!$B$26,T414,(T414-MAX(0,P396-IF($A415&gt;='1-Input'!$C$12,'1-Input'!$B$12,0))+Q415*(1-'P-Parametri'!$B$6*P415))*(1+'1-Input'!$B$27))</f>
        <v>-3.6248820833861826E-12</v>
      </c>
      <c r="S415" s="18">
        <f>IF($A415&gt;'1-Input'!$B$26,U414,(U414-Q415)*(1+$C$4))</f>
        <v>239121.26323293778</v>
      </c>
      <c r="T415" s="18">
        <f>IF($A415&gt;'1-Input'!$B$26,R415,R415-'P-Parametri'!$B$8*(S415+R415)+MIN(MAX(S415,0),'P-Parametri'!$B$8*(S415+R415)))</f>
        <v>-3.637978807091713E-12</v>
      </c>
      <c r="U415" s="18">
        <f>IF($A415&gt;'1-Input'!$B$26,S415,S415-MIN(MAX(S415,0),'P-Parametri'!$B$8*(S415+R415)))</f>
        <v>238643.0207064719</v>
      </c>
      <c r="V415" s="18">
        <f>IF($A415&gt;'1-Input'!$B$26,V414,V414-Q415*(1-P415))</f>
        <v>117061.80935065789</v>
      </c>
      <c r="W415" s="11">
        <f>IF($A415&gt;'1-Input'!$B$26,0,IF(AB414&lt;=0,0,MAX(0,(AB414-AC414)/AB414)))</f>
        <v>0.495763521817289</v>
      </c>
      <c r="X415" s="18">
        <f>IF($A415&gt;'1-Input'!$B$26,0,(MAX(0,W396-IF($A415&gt;='1-Input'!$C$12,'1-Input'!$B$12,0))-MIN(MAX(AA414,0),MAX(0,W396-IF($A415&gt;='1-Input'!$C$12,'1-Input'!$B$12,0))))*(1/(1-'P-Parametri'!$B$6*W415))+MIN(MAX(0,AB414-(MAX(0,W396-IF($A415&gt;='1-Input'!$C$12,'1-Input'!$B$12,0))-MIN(MAX(AA414,0),MAX(0,W396-IF($A415&gt;='1-Input'!$C$12,'1-Input'!$B$12,0))))*(1/(1-'P-Parametri'!$B$6*W415))),MAX(0,0*W396-(AA414-MIN(MAX(AA414,0),MAX(0,W396-IF($A415&gt;='1-Input'!$C$12,'1-Input'!$B$12,0)))))*(1/(1-'P-Parametri'!$B$6*W415))))</f>
        <v>21626.370664526385</v>
      </c>
      <c r="Y415" s="18">
        <f>IF($A415&gt;'1-Input'!$B$26,AA414,(AA414-MAX(0,W396-IF($A415&gt;='1-Input'!$C$12,'1-Input'!$B$12,0))+X415*(1-'P-Parametri'!$B$6*W415))*(1+'1-Input'!$B$27))</f>
        <v>0</v>
      </c>
      <c r="Z415" s="18">
        <f>IF($A415&gt;'1-Input'!$B$26,AB414,(AB414-X415)*(1+$C$4))</f>
        <v>245342.80405977453</v>
      </c>
      <c r="AA415" s="18">
        <f>IF($A415&gt;'1-Input'!$B$26,Y415,Y415-'P-Parametri'!$B$8*(Z415+Y415)+MIN(MAX(Z415,0),'P-Parametri'!$B$8*(Z415+Y415)))</f>
        <v>0</v>
      </c>
      <c r="AB415" s="18">
        <f>IF($A415&gt;'1-Input'!$B$26,Z415,Z415-MIN(MAX(Z415,0),'P-Parametri'!$B$8*(Z415+Y415)))</f>
        <v>244852.11845165497</v>
      </c>
      <c r="AC415" s="18">
        <f>IF($A415&gt;'1-Input'!$B$26,AC414,AC414-X415*(1-W415))</f>
        <v>120107.56453065207</v>
      </c>
      <c r="AD415" s="11">
        <f>IF($A415&gt;'1-Input'!$B$26,0,IF(AI414&lt;=0,0,MAX(0,(AI414-AJ414)/AI414)))</f>
        <v>0.49576352181728911</v>
      </c>
      <c r="AE415" s="18">
        <f>IF($A415&gt;'1-Input'!$B$26,0,(MAX(0,AD396-IF($A415&gt;='1-Input'!$C$12,'1-Input'!$B$12,0))-MIN(MAX(AH414,0),MAX(0,AD396-IF($A415&gt;='1-Input'!$C$12,'1-Input'!$B$12,0))))*(1/(1-'P-Parametri'!$B$6*AD415))+MIN(MAX(0,AI414-(MAX(0,AD396-IF($A415&gt;='1-Input'!$C$12,'1-Input'!$B$12,0))-MIN(MAX(AH414,0),MAX(0,AD396-IF($A415&gt;='1-Input'!$C$12,'1-Input'!$B$12,0))))*(1/(1-'P-Parametri'!$B$6*AD415))),MAX(0,0*AD396-(AH414-MIN(MAX(AH414,0),MAX(0,AD396-IF($A415&gt;='1-Input'!$C$12,'1-Input'!$B$12,0)))))*(1/(1-'P-Parametri'!$B$6*AD415))))</f>
        <v>21634.157892080697</v>
      </c>
      <c r="AF415" s="18">
        <f>IF($A415&gt;'1-Input'!$B$26,AH414,(AH414-MAX(0,AD396-IF($A415&gt;='1-Input'!$C$12,'1-Input'!$B$12,0))+AE415*(1-'P-Parametri'!$B$6*AD415))*(1+'1-Input'!$B$27))</f>
        <v>0</v>
      </c>
      <c r="AG415" s="18">
        <f>IF($A415&gt;'1-Input'!$B$26,AI414,(AI414-AE415)*(1+$C$4))</f>
        <v>245178.12377559664</v>
      </c>
      <c r="AH415" s="18">
        <f>IF($A415&gt;'1-Input'!$B$26,AF415,AF415-'P-Parametri'!$B$8*(AG415+AF415)+MIN(MAX(AG415,0),'P-Parametri'!$B$8*(AG415+AF415)))</f>
        <v>0</v>
      </c>
      <c r="AI415" s="18">
        <f>IF($A415&gt;'1-Input'!$B$26,AG415,AG415-MIN(MAX(AG415,0),'P-Parametri'!$B$8*(AG415+AF415)))</f>
        <v>244687.76752804546</v>
      </c>
      <c r="AJ415" s="18">
        <f>IF($A415&gt;'1-Input'!$B$26,AJ414,AJ414-AE415*(1-AD415))</f>
        <v>120026.94530102098</v>
      </c>
      <c r="AK415" s="11">
        <f>IF($A415&gt;'1-Input'!$B$26,0,IF(AP414&lt;=0,0,MAX(0,(AP414-AQ414)/AP414)))</f>
        <v>0.49576352181728839</v>
      </c>
      <c r="AL415" s="18">
        <f>IF($A415&gt;'1-Input'!$B$26,0,(MAX(0,AK396-IF($A415&gt;='1-Input'!$C$12,'1-Input'!$B$12,0))-MIN(MAX(AO414,0),MAX(0,AK396-IF($A415&gt;='1-Input'!$C$12,'1-Input'!$B$12,0))))*(1/(1-'P-Parametri'!$B$6*AK415))+MIN(MAX(0,AP414-(MAX(0,AK396-IF($A415&gt;='1-Input'!$C$12,'1-Input'!$B$12,0))-MIN(MAX(AO414,0),MAX(0,AK396-IF($A415&gt;='1-Input'!$C$12,'1-Input'!$B$12,0))))*(1/(1-'P-Parametri'!$B$6*AK415))),MAX(0,0*AK396-(AO414-MIN(MAX(AO414,0),MAX(0,AK396-IF($A415&gt;='1-Input'!$C$12,'1-Input'!$B$12,0)))))*(1/(1-'P-Parametri'!$B$6*AK415))))</f>
        <v>21632.948679119421</v>
      </c>
      <c r="AM415" s="18">
        <f>IF($A415&gt;'1-Input'!$B$26,AO414,(AO414-MAX(0,AK396-IF($A415&gt;='1-Input'!$C$12,'1-Input'!$B$12,0))+AL415*(1-'P-Parametri'!$B$6*AK415))*(1+'1-Input'!$B$27))</f>
        <v>0</v>
      </c>
      <c r="AN415" s="18">
        <f>IF($A415&gt;'1-Input'!$B$26,AP414,(AP414-AL415)*(1+$C$4))</f>
        <v>245203.69558953185</v>
      </c>
      <c r="AO415" s="18">
        <f>IF($A415&gt;'1-Input'!$B$26,AM415,AM415-'P-Parametri'!$B$8*(AN415+AM415)+MIN(MAX(AN415,0),'P-Parametri'!$B$8*(AN415+AM415)))</f>
        <v>0</v>
      </c>
      <c r="AP415" s="18">
        <f>IF($A415&gt;'1-Input'!$B$26,AN415,AN415-MIN(MAX(AN415,0),'P-Parametri'!$B$8*(AN415+AM415)))</f>
        <v>244713.28819835279</v>
      </c>
      <c r="AQ415" s="18">
        <f>IF($A415&gt;'1-Input'!$B$26,AQ414,AQ414-AL415*(1-AK415))</f>
        <v>120039.4639819915</v>
      </c>
    </row>
    <row r="416" spans="1:43">
      <c r="A416" s="10">
        <f>18</f>
        <v>18</v>
      </c>
      <c r="B416" s="11">
        <f>IF($A416&gt;'1-Input'!$B$26,0,IF(G415&lt;=0,0,MAX(0,(G415-H415)/G415)))</f>
        <v>0.50946895910003343</v>
      </c>
      <c r="C416" s="18">
        <f>IF($A416&gt;'1-Input'!$B$26,0,(MAX(0,B396-IF($A416&gt;='1-Input'!$C$12,'1-Input'!$B$12,0))-MIN(MAX(F415,0),MAX(0,B396-IF($A416&gt;='1-Input'!$C$12,'1-Input'!$B$12,0))))*(1/(1-'P-Parametri'!$B$6*B416))+MIN(MAX(0,G415-(MAX(0,B396-IF($A416&gt;='1-Input'!$C$12,'1-Input'!$B$12,0))-MIN(MAX(F415,0),MAX(0,B396-IF($A416&gt;='1-Input'!$C$12,'1-Input'!$B$12,0))))*(1/(1-'P-Parametri'!$B$6*B416))),MAX(0,0*B396-(F415-MIN(MAX(F415,0),MAX(0,B396-IF($A416&gt;='1-Input'!$C$12,'1-Input'!$B$12,0)))))*(1/(1-'P-Parametri'!$B$6*B416))))</f>
        <v>19228.038375809145</v>
      </c>
      <c r="D416" s="18">
        <f>IF($A416&gt;'1-Input'!$B$26,F415,(F415-MAX(0,B396-IF($A416&gt;='1-Input'!$C$12,'1-Input'!$B$12,0))+C416*(1-'P-Parametri'!$B$6*B416))*(1+'1-Input'!$B$27))</f>
        <v>3.6248820833861826E-12</v>
      </c>
      <c r="E416" s="18">
        <f>IF($A416&gt;'1-Input'!$B$26,G415,(G415-C416)*(1+$C$4))</f>
        <v>286238.4347415368</v>
      </c>
      <c r="F416" s="18">
        <f>IF($A416&gt;'1-Input'!$B$26,D416,D416-'P-Parametri'!$B$8*(E416+D416)+MIN(MAX(E416,0),'P-Parametri'!$B$8*(E416+D416)))</f>
        <v>3.637978807091713E-12</v>
      </c>
      <c r="G416" s="18">
        <f>IF($A416&gt;'1-Input'!$B$26,E416,E416-MIN(MAX(E416,0),'P-Parametri'!$B$8*(E416+D416)))</f>
        <v>285665.95787205372</v>
      </c>
      <c r="H416" s="18">
        <f>IF($A416&gt;'1-Input'!$B$26,H415,H415-C416*(1-B416))</f>
        <v>136319.2595527604</v>
      </c>
      <c r="I416" s="11">
        <f>IF($A416&gt;'1-Input'!$B$26,0,IF(N415&lt;=0,0,MAX(0,(N415-O415)/N415)))</f>
        <v>0.50946895910003398</v>
      </c>
      <c r="J416" s="18">
        <f>IF($A416&gt;'1-Input'!$B$26,0,(MAX(0,I396-IF($A416&gt;='1-Input'!$C$12,'1-Input'!$B$12,0))-MIN(MAX(M415,0),MAX(0,I396-IF($A416&gt;='1-Input'!$C$12,'1-Input'!$B$12,0))))*(1/(1-'P-Parametri'!$B$6*I416))+MIN(MAX(0,N415-(MAX(0,I396-IF($A416&gt;='1-Input'!$C$12,'1-Input'!$B$12,0))-MIN(MAX(M415,0),MAX(0,I396-IF($A416&gt;='1-Input'!$C$12,'1-Input'!$B$12,0))))*(1/(1-'P-Parametri'!$B$6*I416))),MAX(0,0*I396-(M415-MIN(MAX(M415,0),MAX(0,I396-IF($A416&gt;='1-Input'!$C$12,'1-Input'!$B$12,0)))))*(1/(1-'P-Parametri'!$B$6*I416))))</f>
        <v>25300.050494485713</v>
      </c>
      <c r="K416" s="18">
        <f>IF($A416&gt;'1-Input'!$B$26,M415,(M415-MAX(0,I396-IF($A416&gt;='1-Input'!$C$12,'1-Input'!$B$12,0))+J416*(1-'P-Parametri'!$B$6*I416))*(1+'1-Input'!$B$27))</f>
        <v>-3.6248820833861826E-12</v>
      </c>
      <c r="L416" s="18">
        <f>IF($A416&gt;'1-Input'!$B$26,N415,(N415-J416)*(1+$C$4))</f>
        <v>148528.71233976577</v>
      </c>
      <c r="M416" s="18">
        <f>IF($A416&gt;'1-Input'!$B$26,K416,K416-'P-Parametri'!$B$8*(L416+K416)+MIN(MAX(L416,0),'P-Parametri'!$B$8*(L416+K416)))</f>
        <v>-3.637978807091713E-12</v>
      </c>
      <c r="N416" s="18">
        <f>IF($A416&gt;'1-Input'!$B$26,L416,L416-MIN(MAX(L416,0),'P-Parametri'!$B$8*(L416+K416)))</f>
        <v>148231.65491508623</v>
      </c>
      <c r="O416" s="18">
        <f>IF($A416&gt;'1-Input'!$B$26,O415,O415-J416*(1-I416))</f>
        <v>70735.867832579534</v>
      </c>
      <c r="P416" s="11">
        <f>IF($A416&gt;'1-Input'!$B$26,0,IF(U415&lt;=0,0,MAX(0,(U415-V415)/U415)))</f>
        <v>0.50946895910003365</v>
      </c>
      <c r="Q416" s="18">
        <f>IF($A416&gt;'1-Input'!$B$26,0,(MAX(0,P396-IF($A416&gt;='1-Input'!$C$12,'1-Input'!$B$12,0))-MIN(MAX(T415,0),MAX(0,P396-IF($A416&gt;='1-Input'!$C$12,'1-Input'!$B$12,0))))*(1/(1-'P-Parametri'!$B$6*P416))+MIN(MAX(0,U415-(MAX(0,P396-IF($A416&gt;='1-Input'!$C$12,'1-Input'!$B$12,0))-MIN(MAX(T415,0),MAX(0,P396-IF($A416&gt;='1-Input'!$C$12,'1-Input'!$B$12,0))))*(1/(1-'P-Parametri'!$B$6*P416))),MAX(0,0*P396-(T415-MIN(MAX(T415,0),MAX(0,P396-IF($A416&gt;='1-Input'!$C$12,'1-Input'!$B$12,0)))))*(1/(1-'P-Parametri'!$B$6*P416))))</f>
        <v>22010.607085328105</v>
      </c>
      <c r="R416" s="18">
        <f>IF($A416&gt;'1-Input'!$B$26,T415,(T415-MAX(0,P396-IF($A416&gt;='1-Input'!$C$12,'1-Input'!$B$12,0))+Q416*(1-'P-Parametri'!$B$6*P416))*(1+'1-Input'!$B$27))</f>
        <v>0</v>
      </c>
      <c r="S416" s="18">
        <f>IF($A416&gt;'1-Input'!$B$26,U415,(U415-Q416)*(1+$C$4))</f>
        <v>223131.38602977811</v>
      </c>
      <c r="T416" s="18">
        <f>IF($A416&gt;'1-Input'!$B$26,R416,R416-'P-Parametri'!$B$8*(S416+R416)+MIN(MAX(S416,0),'P-Parametri'!$B$8*(S416+R416)))</f>
        <v>0</v>
      </c>
      <c r="U416" s="18">
        <f>IF($A416&gt;'1-Input'!$B$26,S416,S416-MIN(MAX(S416,0),'P-Parametri'!$B$8*(S416+R416)))</f>
        <v>222685.12325771854</v>
      </c>
      <c r="V416" s="18">
        <f>IF($A416&gt;'1-Input'!$B$26,V415,V415-Q416*(1-P416))</f>
        <v>106264.92334625171</v>
      </c>
      <c r="W416" s="11">
        <f>IF($A416&gt;'1-Input'!$B$26,0,IF(AB415&lt;=0,0,MAX(0,(AB415-AC415)/AB415)))</f>
        <v>0.50946895910003409</v>
      </c>
      <c r="X416" s="18">
        <f>IF($A416&gt;'1-Input'!$B$26,0,(MAX(0,W396-IF($A416&gt;='1-Input'!$C$12,'1-Input'!$B$12,0))-MIN(MAX(AA415,0),MAX(0,W396-IF($A416&gt;='1-Input'!$C$12,'1-Input'!$B$12,0))))*(1/(1-'P-Parametri'!$B$6*W416))+MIN(MAX(0,AB415-(MAX(0,W396-IF($A416&gt;='1-Input'!$C$12,'1-Input'!$B$12,0))-MIN(MAX(AA415,0),MAX(0,W396-IF($A416&gt;='1-Input'!$C$12,'1-Input'!$B$12,0))))*(1/(1-'P-Parametri'!$B$6*W416))),MAX(0,0*W396-(AA415-MIN(MAX(AA415,0),MAX(0,W396-IF($A416&gt;='1-Input'!$C$12,'1-Input'!$B$12,0)))))*(1/(1-'P-Parametri'!$B$6*W416))))</f>
        <v>21715.201008664088</v>
      </c>
      <c r="Y416" s="18">
        <f>IF($A416&gt;'1-Input'!$B$26,AA415,(AA415-MAX(0,W396-IF($A416&gt;='1-Input'!$C$12,'1-Input'!$B$12,0))+X416*(1-'P-Parametri'!$B$6*W416))*(1+'1-Input'!$B$27))</f>
        <v>0</v>
      </c>
      <c r="Z416" s="18">
        <f>IF($A416&gt;'1-Input'!$B$26,AB415,(AB415-X416)*(1+$C$4))</f>
        <v>229831.02496628062</v>
      </c>
      <c r="AA416" s="18">
        <f>IF($A416&gt;'1-Input'!$B$26,Y416,Y416-'P-Parametri'!$B$8*(Z416+Y416)+MIN(MAX(Z416,0),'P-Parametri'!$B$8*(Z416+Y416)))</f>
        <v>0</v>
      </c>
      <c r="AB416" s="18">
        <f>IF($A416&gt;'1-Input'!$B$26,Z416,Z416-MIN(MAX(Z416,0),'P-Parametri'!$B$8*(Z416+Y416)))</f>
        <v>229371.36291634807</v>
      </c>
      <c r="AC416" s="18">
        <f>IF($A416&gt;'1-Input'!$B$26,AC415,AC415-X416*(1-W416))</f>
        <v>109455.58437652008</v>
      </c>
      <c r="AD416" s="11">
        <f>IF($A416&gt;'1-Input'!$B$26,0,IF(AI415&lt;=0,0,MAX(0,(AI415-AJ415)/AI415)))</f>
        <v>0.5094689591000342</v>
      </c>
      <c r="AE416" s="18">
        <f>IF($A416&gt;'1-Input'!$B$26,0,(MAX(0,AD396-IF($A416&gt;='1-Input'!$C$12,'1-Input'!$B$12,0))-MIN(MAX(AH415,0),MAX(0,AD396-IF($A416&gt;='1-Input'!$C$12,'1-Input'!$B$12,0))))*(1/(1-'P-Parametri'!$B$6*AD416))+MIN(MAX(0,AI415-(MAX(0,AD396-IF($A416&gt;='1-Input'!$C$12,'1-Input'!$B$12,0))-MIN(MAX(AH415,0),MAX(0,AD396-IF($A416&gt;='1-Input'!$C$12,'1-Input'!$B$12,0))))*(1/(1-'P-Parametri'!$B$6*AD416))),MAX(0,0*AD396-(AH415-MIN(MAX(AH415,0),MAX(0,AD396-IF($A416&gt;='1-Input'!$C$12,'1-Input'!$B$12,0)))))*(1/(1-'P-Parametri'!$B$6*AD416))))</f>
        <v>21723.020222265171</v>
      </c>
      <c r="AF416" s="18">
        <f>IF($A416&gt;'1-Input'!$B$26,AH415,(AH415-MAX(0,AD396-IF($A416&gt;='1-Input'!$C$12,'1-Input'!$B$12,0))+AE416*(1-'P-Parametri'!$B$6*AD416))*(1+'1-Input'!$B$27))</f>
        <v>0</v>
      </c>
      <c r="AG416" s="18">
        <f>IF($A416&gt;'1-Input'!$B$26,AI415,(AI415-AE416)*(1+$C$4))</f>
        <v>229653.68972495373</v>
      </c>
      <c r="AH416" s="18">
        <f>IF($A416&gt;'1-Input'!$B$26,AF416,AF416-'P-Parametri'!$B$8*(AG416+AF416)+MIN(MAX(AG416,0),'P-Parametri'!$B$8*(AG416+AF416)))</f>
        <v>0</v>
      </c>
      <c r="AI416" s="18">
        <f>IF($A416&gt;'1-Input'!$B$26,AG416,AG416-MIN(MAX(AG416,0),'P-Parametri'!$B$8*(AG416+AF416)))</f>
        <v>229194.38234550381</v>
      </c>
      <c r="AJ416" s="18">
        <f>IF($A416&gt;'1-Input'!$B$26,AJ415,AJ415-AE416*(1-AD416))</f>
        <v>109371.12957990225</v>
      </c>
      <c r="AK416" s="11">
        <f>IF($A416&gt;'1-Input'!$B$26,0,IF(AP415&lt;=0,0,MAX(0,(AP415-AQ415)/AP415)))</f>
        <v>0.50946895910003343</v>
      </c>
      <c r="AL416" s="18">
        <f>IF($A416&gt;'1-Input'!$B$26,0,(MAX(0,AK396-IF($A416&gt;='1-Input'!$C$12,'1-Input'!$B$12,0))-MIN(MAX(AO415,0),MAX(0,AK396-IF($A416&gt;='1-Input'!$C$12,'1-Input'!$B$12,0))))*(1/(1-'P-Parametri'!$B$6*AK416))+MIN(MAX(0,AP415-(MAX(0,AK396-IF($A416&gt;='1-Input'!$C$12,'1-Input'!$B$12,0))-MIN(MAX(AO415,0),MAX(0,AK396-IF($A416&gt;='1-Input'!$C$12,'1-Input'!$B$12,0))))*(1/(1-'P-Parametri'!$B$6*AK416))),MAX(0,0*AK396-(AO415-MIN(MAX(AO415,0),MAX(0,AK396-IF($A416&gt;='1-Input'!$C$12,'1-Input'!$B$12,0)))))*(1/(1-'P-Parametri'!$B$6*AK416))))</f>
        <v>21721.806042460172</v>
      </c>
      <c r="AM416" s="18">
        <f>IF($A416&gt;'1-Input'!$B$26,AO415,(AO415-MAX(0,AK396-IF($A416&gt;='1-Input'!$C$12,'1-Input'!$B$12,0))+AL416*(1-'P-Parametri'!$B$6*AK416))*(1+'1-Input'!$B$27))</f>
        <v>0</v>
      </c>
      <c r="AN416" s="18">
        <f>IF($A416&gt;'1-Input'!$B$26,AP415,(AP415-AL416)*(1+$C$4))</f>
        <v>229681.22662056942</v>
      </c>
      <c r="AO416" s="18">
        <f>IF($A416&gt;'1-Input'!$B$26,AM416,AM416-'P-Parametri'!$B$8*(AN416+AM416)+MIN(MAX(AN416,0),'P-Parametri'!$B$8*(AN416+AM416)))</f>
        <v>0</v>
      </c>
      <c r="AP416" s="18">
        <f>IF($A416&gt;'1-Input'!$B$26,AN416,AN416-MIN(MAX(AN416,0),'P-Parametri'!$B$8*(AN416+AM416)))</f>
        <v>229221.86416732828</v>
      </c>
      <c r="AQ416" s="18">
        <f>IF($A416&gt;'1-Input'!$B$26,AQ415,AQ415-AL416*(1-AK416))</f>
        <v>109384.24385375633</v>
      </c>
    </row>
    <row r="417" spans="1:43">
      <c r="A417" s="10">
        <f>19</f>
        <v>19</v>
      </c>
      <c r="B417" s="11">
        <f>IF($A417&gt;'1-Input'!$B$26,0,IF(G416&lt;=0,0,MAX(0,(G416-H416)/G416)))</f>
        <v>0.52280187472034689</v>
      </c>
      <c r="C417" s="18">
        <f>IF($A417&gt;'1-Input'!$B$26,0,(MAX(0,B396-IF($A417&gt;='1-Input'!$C$12,'1-Input'!$B$12,0))-MIN(MAX(F416,0),MAX(0,B396-IF($A417&gt;='1-Input'!$C$12,'1-Input'!$B$12,0))))*(1/(1-'P-Parametri'!$B$6*B417))+MIN(MAX(0,G416-(MAX(0,B396-IF($A417&gt;='1-Input'!$C$12,'1-Input'!$B$12,0))-MIN(MAX(F416,0),MAX(0,B396-IF($A417&gt;='1-Input'!$C$12,'1-Input'!$B$12,0))))*(1/(1-'P-Parametri'!$B$6*B417))),MAX(0,0*B396-(F416-MIN(MAX(F416,0),MAX(0,B396-IF($A417&gt;='1-Input'!$C$12,'1-Input'!$B$12,0)))))*(1/(1-'P-Parametri'!$B$6*B417))))</f>
        <v>19305.179110649275</v>
      </c>
      <c r="D417" s="18">
        <f>IF($A417&gt;'1-Input'!$B$26,F416,(F416-MAX(0,B396-IF($A417&gt;='1-Input'!$C$12,'1-Input'!$B$12,0))+C417*(1-'P-Parametri'!$B$6*B417))*(1+'1-Input'!$B$27))</f>
        <v>0</v>
      </c>
      <c r="E417" s="18">
        <f>IF($A417&gt;'1-Input'!$B$26,G416,(G416-C417)*(1+$C$4))</f>
        <v>274351.60212424659</v>
      </c>
      <c r="F417" s="18">
        <f>IF($A417&gt;'1-Input'!$B$26,D417,D417-'P-Parametri'!$B$8*(E417+D417)+MIN(MAX(E417,0),'P-Parametri'!$B$8*(E417+D417)))</f>
        <v>0</v>
      </c>
      <c r="G417" s="18">
        <f>IF($A417&gt;'1-Input'!$B$26,E417,E417-MIN(MAX(E417,0),'P-Parametri'!$B$8*(E417+D417)))</f>
        <v>273802.89891999809</v>
      </c>
      <c r="H417" s="18">
        <f>IF($A417&gt;'1-Input'!$B$26,H416,H416-C417*(1-B417))</f>
        <v>127106.86427297065</v>
      </c>
      <c r="I417" s="11">
        <f>IF($A417&gt;'1-Input'!$B$26,0,IF(N416&lt;=0,0,MAX(0,(N416-O416)/N416)))</f>
        <v>0.52280187472034756</v>
      </c>
      <c r="J417" s="18">
        <f>IF($A417&gt;'1-Input'!$B$26,0,(MAX(0,I396-IF($A417&gt;='1-Input'!$C$12,'1-Input'!$B$12,0))-MIN(MAX(M416,0),MAX(0,I396-IF($A417&gt;='1-Input'!$C$12,'1-Input'!$B$12,0))))*(1/(1-'P-Parametri'!$B$6*I417))+MIN(MAX(0,N416-(MAX(0,I396-IF($A417&gt;='1-Input'!$C$12,'1-Input'!$B$12,0))-MIN(MAX(M416,0),MAX(0,I396-IF($A417&gt;='1-Input'!$C$12,'1-Input'!$B$12,0))))*(1/(1-'P-Parametri'!$B$6*I417))),MAX(0,0*I396-(M416-MIN(MAX(M416,0),MAX(0,I396-IF($A417&gt;='1-Input'!$C$12,'1-Input'!$B$12,0)))))*(1/(1-'P-Parametri'!$B$6*I417))))</f>
        <v>25401.551461380641</v>
      </c>
      <c r="K417" s="18">
        <f>IF($A417&gt;'1-Input'!$B$26,M416,(M416-MAX(0,I396-IF($A417&gt;='1-Input'!$C$12,'1-Input'!$B$12,0))+J417*(1-'P-Parametri'!$B$6*I417))*(1+'1-Input'!$B$27))</f>
        <v>0</v>
      </c>
      <c r="L417" s="18">
        <f>IF($A417&gt;'1-Input'!$B$26,N416,(N416-J417)*(1+$C$4))</f>
        <v>126515.00655731675</v>
      </c>
      <c r="M417" s="18">
        <f>IF($A417&gt;'1-Input'!$B$26,K417,K417-'P-Parametri'!$B$8*(L417+K417)+MIN(MAX(L417,0),'P-Parametri'!$B$8*(L417+K417)))</f>
        <v>0</v>
      </c>
      <c r="N417" s="18">
        <f>IF($A417&gt;'1-Input'!$B$26,L417,L417-MIN(MAX(L417,0),'P-Parametri'!$B$8*(L417+K417)))</f>
        <v>126261.97654420212</v>
      </c>
      <c r="O417" s="18">
        <f>IF($A417&gt;'1-Input'!$B$26,O416,O416-J417*(1-I417))</f>
        <v>58614.295096014073</v>
      </c>
      <c r="P417" s="11">
        <f>IF($A417&gt;'1-Input'!$B$26,0,IF(U416&lt;=0,0,MAX(0,(U416-V416)/U416)))</f>
        <v>0.52280187472034712</v>
      </c>
      <c r="Q417" s="18">
        <f>IF($A417&gt;'1-Input'!$B$26,0,(MAX(0,P396-IF($A417&gt;='1-Input'!$C$12,'1-Input'!$B$12,0))-MIN(MAX(T416,0),MAX(0,P396-IF($A417&gt;='1-Input'!$C$12,'1-Input'!$B$12,0))))*(1/(1-'P-Parametri'!$B$6*P417))+MIN(MAX(0,U416-(MAX(0,P396-IF($A417&gt;='1-Input'!$C$12,'1-Input'!$B$12,0))-MIN(MAX(T416,0),MAX(0,P396-IF($A417&gt;='1-Input'!$C$12,'1-Input'!$B$12,0))))*(1/(1-'P-Parametri'!$B$6*P417))),MAX(0,0*P396-(T416-MIN(MAX(T416,0),MAX(0,P396-IF($A417&gt;='1-Input'!$C$12,'1-Input'!$B$12,0)))))*(1/(1-'P-Parametri'!$B$6*P417))))</f>
        <v>22098.911173954009</v>
      </c>
      <c r="R417" s="18">
        <f>IF($A417&gt;'1-Input'!$B$26,T416,(T416-MAX(0,P396-IF($A417&gt;='1-Input'!$C$12,'1-Input'!$B$12,0))+Q417*(1-'P-Parametri'!$B$6*P417))*(1+'1-Input'!$B$27))</f>
        <v>0</v>
      </c>
      <c r="S417" s="18">
        <f>IF($A417&gt;'1-Input'!$B$26,U416,(U416-Q417)*(1+$C$4))</f>
        <v>206603.79844627748</v>
      </c>
      <c r="T417" s="18">
        <f>IF($A417&gt;'1-Input'!$B$26,R417,R417-'P-Parametri'!$B$8*(S417+R417)+MIN(MAX(S417,0),'P-Parametri'!$B$8*(S417+R417)))</f>
        <v>0</v>
      </c>
      <c r="U417" s="18">
        <f>IF($A417&gt;'1-Input'!$B$26,S417,S417-MIN(MAX(S417,0),'P-Parametri'!$B$8*(S417+R417)))</f>
        <v>206190.59084938493</v>
      </c>
      <c r="V417" s="18">
        <f>IF($A417&gt;'1-Input'!$B$26,V416,V416-Q417*(1-P417))</f>
        <v>95719.364363319284</v>
      </c>
      <c r="W417" s="11">
        <f>IF($A417&gt;'1-Input'!$B$26,0,IF(AB416&lt;=0,0,MAX(0,(AB416-AC416)/AB416)))</f>
        <v>0.52280187472034756</v>
      </c>
      <c r="X417" s="18">
        <f>IF($A417&gt;'1-Input'!$B$26,0,(MAX(0,W396-IF($A417&gt;='1-Input'!$C$12,'1-Input'!$B$12,0))-MIN(MAX(AA416,0),MAX(0,W396-IF($A417&gt;='1-Input'!$C$12,'1-Input'!$B$12,0))))*(1/(1-'P-Parametri'!$B$6*W417))+MIN(MAX(0,AB416-(MAX(0,W396-IF($A417&gt;='1-Input'!$C$12,'1-Input'!$B$12,0))-MIN(MAX(AA416,0),MAX(0,W396-IF($A417&gt;='1-Input'!$C$12,'1-Input'!$B$12,0))))*(1/(1-'P-Parametri'!$B$6*W417))),MAX(0,0*W396-(AA416-MIN(MAX(AA416,0),MAX(0,W396-IF($A417&gt;='1-Input'!$C$12,'1-Input'!$B$12,0)))))*(1/(1-'P-Parametri'!$B$6*W417))))</f>
        <v>21802.319961220226</v>
      </c>
      <c r="Y417" s="18">
        <f>IF($A417&gt;'1-Input'!$B$26,AA416,(AA416-MAX(0,W396-IF($A417&gt;='1-Input'!$C$12,'1-Input'!$B$12,0))+X417*(1-'P-Parametri'!$B$6*W417))*(1+'1-Input'!$B$27))</f>
        <v>0</v>
      </c>
      <c r="Z417" s="18">
        <f>IF($A417&gt;'1-Input'!$B$26,AB416,(AB416-X417)*(1+$C$4))</f>
        <v>213796.11424378169</v>
      </c>
      <c r="AA417" s="18">
        <f>IF($A417&gt;'1-Input'!$B$26,Y417,Y417-'P-Parametri'!$B$8*(Z417+Y417)+MIN(MAX(Z417,0),'P-Parametri'!$B$8*(Z417+Y417)))</f>
        <v>0</v>
      </c>
      <c r="AB417" s="18">
        <f>IF($A417&gt;'1-Input'!$B$26,Z417,Z417-MIN(MAX(Z417,0),'P-Parametri'!$B$8*(Z417+Y417)))</f>
        <v>213368.52201529412</v>
      </c>
      <c r="AC417" s="18">
        <f>IF($A417&gt;'1-Input'!$B$26,AC416,AC416-X417*(1-W417))</f>
        <v>99051.558164278642</v>
      </c>
      <c r="AD417" s="11">
        <f>IF($A417&gt;'1-Input'!$B$26,0,IF(AI416&lt;=0,0,MAX(0,(AI416-AJ416)/AI416)))</f>
        <v>0.52280187472034778</v>
      </c>
      <c r="AE417" s="18">
        <f>IF($A417&gt;'1-Input'!$B$26,0,(MAX(0,AD396-IF($A417&gt;='1-Input'!$C$12,'1-Input'!$B$12,0))-MIN(MAX(AH416,0),MAX(0,AD396-IF($A417&gt;='1-Input'!$C$12,'1-Input'!$B$12,0))))*(1/(1-'P-Parametri'!$B$6*AD417))+MIN(MAX(0,AI416-(MAX(0,AD396-IF($A417&gt;='1-Input'!$C$12,'1-Input'!$B$12,0))-MIN(MAX(AH416,0),MAX(0,AD396-IF($A417&gt;='1-Input'!$C$12,'1-Input'!$B$12,0))))*(1/(1-'P-Parametri'!$B$6*AD417))),MAX(0,0*AD396-(AH416-MIN(MAX(AH416,0),MAX(0,AD396-IF($A417&gt;='1-Input'!$C$12,'1-Input'!$B$12,0)))))*(1/(1-'P-Parametri'!$B$6*AD417))))</f>
        <v>21810.170544629884</v>
      </c>
      <c r="AF417" s="18">
        <f>IF($A417&gt;'1-Input'!$B$26,AH416,(AH416-MAX(0,AD396-IF($A417&gt;='1-Input'!$C$12,'1-Input'!$B$12,0))+AE417*(1-'P-Parametri'!$B$6*AD417))*(1+'1-Input'!$B$27))</f>
        <v>0</v>
      </c>
      <c r="AG417" s="18">
        <f>IF($A417&gt;'1-Input'!$B$26,AI416,(AI416-AE417)*(1+$C$4))</f>
        <v>213605.73815490014</v>
      </c>
      <c r="AH417" s="18">
        <f>IF($A417&gt;'1-Input'!$B$26,AF417,AF417-'P-Parametri'!$B$8*(AG417+AF417)+MIN(MAX(AG417,0),'P-Parametri'!$B$8*(AG417+AF417)))</f>
        <v>0</v>
      </c>
      <c r="AI417" s="18">
        <f>IF($A417&gt;'1-Input'!$B$26,AG417,AG417-MIN(MAX(AG417,0),'P-Parametri'!$B$8*(AG417+AF417)))</f>
        <v>213178.52667859034</v>
      </c>
      <c r="AJ417" s="18">
        <f>IF($A417&gt;'1-Input'!$B$26,AJ416,AJ416-AE417*(1-AD417))</f>
        <v>98963.357083975381</v>
      </c>
      <c r="AK417" s="11">
        <f>IF($A417&gt;'1-Input'!$B$26,0,IF(AP416&lt;=0,0,MAX(0,(AP416-AQ416)/AP416)))</f>
        <v>0.522801874720347</v>
      </c>
      <c r="AL417" s="18">
        <f>IF($A417&gt;'1-Input'!$B$26,0,(MAX(0,AK396-IF($A417&gt;='1-Input'!$C$12,'1-Input'!$B$12,0))-MIN(MAX(AO416,0),MAX(0,AK396-IF($A417&gt;='1-Input'!$C$12,'1-Input'!$B$12,0))))*(1/(1-'P-Parametri'!$B$6*AK417))+MIN(MAX(0,AP416-(MAX(0,AK396-IF($A417&gt;='1-Input'!$C$12,'1-Input'!$B$12,0))-MIN(MAX(AO416,0),MAX(0,AK396-IF($A417&gt;='1-Input'!$C$12,'1-Input'!$B$12,0))))*(1/(1-'P-Parametri'!$B$6*AK417))),MAX(0,0*AK396-(AO416-MIN(MAX(AO416,0),MAX(0,AK396-IF($A417&gt;='1-Input'!$C$12,'1-Input'!$B$12,0)))))*(1/(1-'P-Parametri'!$B$6*AK417))))</f>
        <v>21808.95149367159</v>
      </c>
      <c r="AM417" s="18">
        <f>IF($A417&gt;'1-Input'!$B$26,AO416,(AO416-MAX(0,AK396-IF($A417&gt;='1-Input'!$C$12,'1-Input'!$B$12,0))+AL417*(1-'P-Parametri'!$B$6*AK417))*(1+'1-Input'!$B$27))</f>
        <v>0</v>
      </c>
      <c r="AN417" s="18">
        <f>IF($A417&gt;'1-Input'!$B$26,AP416,(AP416-AL417)*(1+$C$4))</f>
        <v>213635.30005386638</v>
      </c>
      <c r="AO417" s="18">
        <f>IF($A417&gt;'1-Input'!$B$26,AM417,AM417-'P-Parametri'!$B$8*(AN417+AM417)+MIN(MAX(AN417,0),'P-Parametri'!$B$8*(AN417+AM417)))</f>
        <v>0</v>
      </c>
      <c r="AP417" s="18">
        <f>IF($A417&gt;'1-Input'!$B$26,AN417,AN417-MIN(MAX(AN417,0),'P-Parametri'!$B$8*(AN417+AM417)))</f>
        <v>213208.02945375865</v>
      </c>
      <c r="AQ417" s="18">
        <f>IF($A417&gt;'1-Input'!$B$26,AQ416,AQ416-AL417*(1-AK417))</f>
        <v>98977.053086661355</v>
      </c>
    </row>
    <row r="418" spans="1:43">
      <c r="A418" s="10">
        <f>20</f>
        <v>20</v>
      </c>
      <c r="B418" s="11">
        <f>IF($A418&gt;'1-Input'!$B$26,0,IF(G417&lt;=0,0,MAX(0,(G417-H417)/G417)))</f>
        <v>0.53577239403111743</v>
      </c>
      <c r="C418" s="18">
        <f>IF($A418&gt;'1-Input'!$B$26,0,(MAX(0,B396-IF($A418&gt;='1-Input'!$C$12,'1-Input'!$B$12,0))-MIN(MAX(F417,0),MAX(0,B396-IF($A418&gt;='1-Input'!$C$12,'1-Input'!$B$12,0))))*(1/(1-'P-Parametri'!$B$6*B418))+MIN(MAX(0,G417-(MAX(0,B396-IF($A418&gt;='1-Input'!$C$12,'1-Input'!$B$12,0))-MIN(MAX(F417,0),MAX(0,B396-IF($A418&gt;='1-Input'!$C$12,'1-Input'!$B$12,0))))*(1/(1-'P-Parametri'!$B$6*B418))),MAX(0,0*B396-(F417-MIN(MAX(F417,0),MAX(0,B396-IF($A418&gt;='1-Input'!$C$12,'1-Input'!$B$12,0)))))*(1/(1-'P-Parametri'!$B$6*B418))))</f>
        <v>19380.819396239931</v>
      </c>
      <c r="D418" s="18">
        <f>IF($A418&gt;'1-Input'!$B$26,F417,(F417-MAX(0,B396-IF($A418&gt;='1-Input'!$C$12,'1-Input'!$B$12,0))+C418*(1-'P-Parametri'!$B$6*B418))*(1+'1-Input'!$B$27))</f>
        <v>0</v>
      </c>
      <c r="E418" s="18">
        <f>IF($A418&gt;'1-Input'!$B$26,G417,(G417-C418)*(1+$C$4))</f>
        <v>262054.7419094709</v>
      </c>
      <c r="F418" s="18">
        <f>IF($A418&gt;'1-Input'!$B$26,D418,D418-'P-Parametri'!$B$8*(E418+D418)+MIN(MAX(E418,0),'P-Parametri'!$B$8*(E418+D418)))</f>
        <v>0</v>
      </c>
      <c r="G418" s="18">
        <f>IF($A418&gt;'1-Input'!$B$26,E418,E418-MIN(MAX(E418,0),'P-Parametri'!$B$8*(E418+D418)))</f>
        <v>261530.63242565197</v>
      </c>
      <c r="H418" s="18">
        <f>IF($A418&gt;'1-Input'!$B$26,H417,H417-C418*(1-B418))</f>
        <v>118109.7528829389</v>
      </c>
      <c r="I418" s="11">
        <f>IF($A418&gt;'1-Input'!$B$26,0,IF(N417&lt;=0,0,MAX(0,(N417-O417)/N417)))</f>
        <v>0.53577239403111809</v>
      </c>
      <c r="J418" s="18">
        <f>IF($A418&gt;'1-Input'!$B$26,0,(MAX(0,I396-IF($A418&gt;='1-Input'!$C$12,'1-Input'!$B$12,0))-MIN(MAX(M417,0),MAX(0,I396-IF($A418&gt;='1-Input'!$C$12,'1-Input'!$B$12,0))))*(1/(1-'P-Parametri'!$B$6*I418))+MIN(MAX(0,N417-(MAX(0,I396-IF($A418&gt;='1-Input'!$C$12,'1-Input'!$B$12,0))-MIN(MAX(M417,0),MAX(0,I396-IF($A418&gt;='1-Input'!$C$12,'1-Input'!$B$12,0))))*(1/(1-'P-Parametri'!$B$6*I418))),MAX(0,0*I396-(M417-MIN(MAX(M417,0),MAX(0,I396-IF($A418&gt;='1-Input'!$C$12,'1-Input'!$B$12,0)))))*(1/(1-'P-Parametri'!$B$6*I418))))</f>
        <v>25501.078152947288</v>
      </c>
      <c r="K418" s="18">
        <f>IF($A418&gt;'1-Input'!$B$26,M417,(M417-MAX(0,I396-IF($A418&gt;='1-Input'!$C$12,'1-Input'!$B$12,0))+J418*(1-'P-Parametri'!$B$6*I418))*(1+'1-Input'!$B$27))</f>
        <v>0</v>
      </c>
      <c r="L418" s="18">
        <f>IF($A418&gt;'1-Input'!$B$26,N417,(N417-J418)*(1+$C$4))</f>
        <v>103783.72534299247</v>
      </c>
      <c r="M418" s="18">
        <f>IF($A418&gt;'1-Input'!$B$26,K418,K418-'P-Parametri'!$B$8*(L418+K418)+MIN(MAX(L418,0),'P-Parametri'!$B$8*(L418+K418)))</f>
        <v>0</v>
      </c>
      <c r="N418" s="18">
        <f>IF($A418&gt;'1-Input'!$B$26,L418,L418-MIN(MAX(L418,0),'P-Parametri'!$B$8*(L418+K418)))</f>
        <v>103576.1578923065</v>
      </c>
      <c r="O418" s="18">
        <f>IF($A418&gt;'1-Input'!$B$26,O417,O417-J418*(1-I418))</f>
        <v>46775.990635445996</v>
      </c>
      <c r="P418" s="11">
        <f>IF($A418&gt;'1-Input'!$B$26,0,IF(U417&lt;=0,0,MAX(0,(U417-V417)/U417)))</f>
        <v>0.53577239403111776</v>
      </c>
      <c r="Q418" s="18">
        <f>IF($A418&gt;'1-Input'!$B$26,0,(MAX(0,P396-IF($A418&gt;='1-Input'!$C$12,'1-Input'!$B$12,0))-MIN(MAX(T417,0),MAX(0,P396-IF($A418&gt;='1-Input'!$C$12,'1-Input'!$B$12,0))))*(1/(1-'P-Parametri'!$B$6*P418))+MIN(MAX(0,U417-(MAX(0,P396-IF($A418&gt;='1-Input'!$C$12,'1-Input'!$B$12,0))-MIN(MAX(T417,0),MAX(0,P396-IF($A418&gt;='1-Input'!$C$12,'1-Input'!$B$12,0))))*(1/(1-'P-Parametri'!$B$6*P418))),MAX(0,0*P396-(T417-MIN(MAX(T417,0),MAX(0,P396-IF($A418&gt;='1-Input'!$C$12,'1-Input'!$B$12,0)))))*(1/(1-'P-Parametri'!$B$6*P418))))</f>
        <v>22185.497677133266</v>
      </c>
      <c r="R418" s="18">
        <f>IF($A418&gt;'1-Input'!$B$26,T417,(T417-MAX(0,P396-IF($A418&gt;='1-Input'!$C$12,'1-Input'!$B$12,0))+Q418*(1-'P-Parametri'!$B$6*P418))*(1+'1-Input'!$B$27))</f>
        <v>0</v>
      </c>
      <c r="S418" s="18">
        <f>IF($A418&gt;'1-Input'!$B$26,U417,(U417-Q418)*(1+$C$4))</f>
        <v>189525.24596741921</v>
      </c>
      <c r="T418" s="18">
        <f>IF($A418&gt;'1-Input'!$B$26,R418,R418-'P-Parametri'!$B$8*(S418+R418)+MIN(MAX(S418,0),'P-Parametri'!$B$8*(S418+R418)))</f>
        <v>0</v>
      </c>
      <c r="U418" s="18">
        <f>IF($A418&gt;'1-Input'!$B$26,S418,S418-MIN(MAX(S418,0),'P-Parametri'!$B$8*(S418+R418)))</f>
        <v>189146.19547548436</v>
      </c>
      <c r="V418" s="18">
        <f>IF($A418&gt;'1-Input'!$B$26,V417,V417-Q418*(1-P418))</f>
        <v>85420.243889435515</v>
      </c>
      <c r="W418" s="11">
        <f>IF($A418&gt;'1-Input'!$B$26,0,IF(AB417&lt;=0,0,MAX(0,(AB417-AC417)/AB417)))</f>
        <v>0.5357723940311182</v>
      </c>
      <c r="X418" s="18">
        <f>IF($A418&gt;'1-Input'!$B$26,0,(MAX(0,W396-IF($A418&gt;='1-Input'!$C$12,'1-Input'!$B$12,0))-MIN(MAX(AA417,0),MAX(0,W396-IF($A418&gt;='1-Input'!$C$12,'1-Input'!$B$12,0))))*(1/(1-'P-Parametri'!$B$6*W418))+MIN(MAX(0,AB417-(MAX(0,W396-IF($A418&gt;='1-Input'!$C$12,'1-Input'!$B$12,0))-MIN(MAX(AA417,0),MAX(0,W396-IF($A418&gt;='1-Input'!$C$12,'1-Input'!$B$12,0))))*(1/(1-'P-Parametri'!$B$6*W418))),MAX(0,0*W396-(AA417-MIN(MAX(AA417,0),MAX(0,W396-IF($A418&gt;='1-Input'!$C$12,'1-Input'!$B$12,0)))))*(1/(1-'P-Parametri'!$B$6*W418))))</f>
        <v>21887.74438017813</v>
      </c>
      <c r="Y418" s="18">
        <f>IF($A418&gt;'1-Input'!$B$26,AA417,(AA417-MAX(0,W396-IF($A418&gt;='1-Input'!$C$12,'1-Input'!$B$12,0))+X418*(1-'P-Parametri'!$B$6*W418))*(1+'1-Input'!$B$27))</f>
        <v>0</v>
      </c>
      <c r="Z418" s="18">
        <f>IF($A418&gt;'1-Input'!$B$26,AB417,(AB417-X418)*(1+$C$4))</f>
        <v>197225.20096416946</v>
      </c>
      <c r="AA418" s="18">
        <f>IF($A418&gt;'1-Input'!$B$26,Y418,Y418-'P-Parametri'!$B$8*(Z418+Y418)+MIN(MAX(Z418,0),'P-Parametri'!$B$8*(Z418+Y418)))</f>
        <v>0</v>
      </c>
      <c r="AB418" s="18">
        <f>IF($A418&gt;'1-Input'!$B$26,Z418,Z418-MIN(MAX(Z418,0),'P-Parametri'!$B$8*(Z418+Y418)))</f>
        <v>196830.75056224113</v>
      </c>
      <c r="AC418" s="18">
        <f>IF($A418&gt;'1-Input'!$B$26,AC417,AC417-X418*(1-W418))</f>
        <v>88890.662990609708</v>
      </c>
      <c r="AD418" s="11">
        <f>IF($A418&gt;'1-Input'!$B$26,0,IF(AI417&lt;=0,0,MAX(0,(AI417-AJ417)/AI417)))</f>
        <v>0.5357723940311182</v>
      </c>
      <c r="AE418" s="18">
        <f>IF($A418&gt;'1-Input'!$B$26,0,(MAX(0,AD396-IF($A418&gt;='1-Input'!$C$12,'1-Input'!$B$12,0))-MIN(MAX(AH417,0),MAX(0,AD396-IF($A418&gt;='1-Input'!$C$12,'1-Input'!$B$12,0))))*(1/(1-'P-Parametri'!$B$6*AD418))+MIN(MAX(0,AI417-(MAX(0,AD396-IF($A418&gt;='1-Input'!$C$12,'1-Input'!$B$12,0))-MIN(MAX(AH417,0),MAX(0,AD396-IF($A418&gt;='1-Input'!$C$12,'1-Input'!$B$12,0))))*(1/(1-'P-Parametri'!$B$6*AD418))),MAX(0,0*AD396-(AH417-MIN(MAX(AH417,0),MAX(0,AD396-IF($A418&gt;='1-Input'!$C$12,'1-Input'!$B$12,0)))))*(1/(1-'P-Parametri'!$B$6*AD418))))</f>
        <v>21895.625723228386</v>
      </c>
      <c r="AF418" s="18">
        <f>IF($A418&gt;'1-Input'!$B$26,AH417,(AH417-MAX(0,AD396-IF($A418&gt;='1-Input'!$C$12,'1-Input'!$B$12,0))+AE418*(1-'P-Parametri'!$B$6*AD418))*(1+'1-Input'!$B$27))</f>
        <v>0</v>
      </c>
      <c r="AG418" s="18">
        <f>IF($A418&gt;'1-Input'!$B$26,AI417,(AI417-AE418)*(1+$C$4))</f>
        <v>197021.38798402282</v>
      </c>
      <c r="AH418" s="18">
        <f>IF($A418&gt;'1-Input'!$B$26,AF418,AF418-'P-Parametri'!$B$8*(AG418+AF418)+MIN(MAX(AG418,0),'P-Parametri'!$B$8*(AG418+AF418)))</f>
        <v>0</v>
      </c>
      <c r="AI418" s="18">
        <f>IF($A418&gt;'1-Input'!$B$26,AG418,AG418-MIN(MAX(AG418,0),'P-Parametri'!$B$8*(AG418+AF418)))</f>
        <v>196627.34520805479</v>
      </c>
      <c r="AJ418" s="18">
        <f>IF($A418&gt;'1-Input'!$B$26,AJ417,AJ417-AE418*(1-AD418))</f>
        <v>88798.803173290406</v>
      </c>
      <c r="AK418" s="11">
        <f>IF($A418&gt;'1-Input'!$B$26,0,IF(AP417&lt;=0,0,MAX(0,(AP417-AQ417)/AP417)))</f>
        <v>0.53577239403111754</v>
      </c>
      <c r="AL418" s="18">
        <f>IF($A418&gt;'1-Input'!$B$26,0,(MAX(0,AK396-IF($A418&gt;='1-Input'!$C$12,'1-Input'!$B$12,0))-MIN(MAX(AO417,0),MAX(0,AK396-IF($A418&gt;='1-Input'!$C$12,'1-Input'!$B$12,0))))*(1/(1-'P-Parametri'!$B$6*AK418))+MIN(MAX(0,AP417-(MAX(0,AK396-IF($A418&gt;='1-Input'!$C$12,'1-Input'!$B$12,0))-MIN(MAX(AO417,0),MAX(0,AK396-IF($A418&gt;='1-Input'!$C$12,'1-Input'!$B$12,0))))*(1/(1-'P-Parametri'!$B$6*AK418))),MAX(0,0*AK396-(AO417-MIN(MAX(AO417,0),MAX(0,AK396-IF($A418&gt;='1-Input'!$C$12,'1-Input'!$B$12,0)))))*(1/(1-'P-Parametri'!$B$6*AK418))))</f>
        <v>21894.401895864648</v>
      </c>
      <c r="AM418" s="18">
        <f>IF($A418&gt;'1-Input'!$B$26,AO417,(AO417-MAX(0,AK396-IF($A418&gt;='1-Input'!$C$12,'1-Input'!$B$12,0))+AL418*(1-'P-Parametri'!$B$6*AK418))*(1+'1-Input'!$B$27))</f>
        <v>0</v>
      </c>
      <c r="AN418" s="18">
        <f>IF($A418&gt;'1-Input'!$B$26,AP417,(AP417-AL418)*(1+$C$4))</f>
        <v>197053.0363846308</v>
      </c>
      <c r="AO418" s="18">
        <f>IF($A418&gt;'1-Input'!$B$26,AM418,AM418-'P-Parametri'!$B$8*(AN418+AM418)+MIN(MAX(AN418,0),'P-Parametri'!$B$8*(AN418+AM418)))</f>
        <v>0</v>
      </c>
      <c r="AP418" s="18">
        <f>IF($A418&gt;'1-Input'!$B$26,AN418,AN418-MIN(MAX(AN418,0),'P-Parametri'!$B$8*(AN418+AM418)))</f>
        <v>196658.93031186154</v>
      </c>
      <c r="AQ418" s="18">
        <f>IF($A418&gt;'1-Input'!$B$26,AQ417,AQ417-AL418*(1-AK418))</f>
        <v>88813.067310423547</v>
      </c>
    </row>
    <row r="419" spans="1:43">
      <c r="A419" s="10">
        <f>21</f>
        <v>21</v>
      </c>
      <c r="B419" s="11">
        <f>IF($A419&gt;'1-Input'!$B$26,0,IF(G418&lt;=0,0,MAX(0,(G418-H418)/G418)))</f>
        <v>0.5483903671723227</v>
      </c>
      <c r="C419" s="18">
        <f>IF($A419&gt;'1-Input'!$B$26,0,(MAX(0,B396-IF($A419&gt;='1-Input'!$C$12,'1-Input'!$B$12,0))-MIN(MAX(F418,0),MAX(0,B396-IF($A419&gt;='1-Input'!$C$12,'1-Input'!$B$12,0))))*(1/(1-'P-Parametri'!$B$6*B419))+MIN(MAX(0,G418-(MAX(0,B396-IF($A419&gt;='1-Input'!$C$12,'1-Input'!$B$12,0))-MIN(MAX(F418,0),MAX(0,B396-IF($A419&gt;='1-Input'!$C$12,'1-Input'!$B$12,0))))*(1/(1-'P-Parametri'!$B$6*B419))),MAX(0,0*B396-(F418-MIN(MAX(F418,0),MAX(0,B396-IF($A419&gt;='1-Input'!$C$12,'1-Input'!$B$12,0)))))*(1/(1-'P-Parametri'!$B$6*B419))))</f>
        <v>19454.974701844756</v>
      </c>
      <c r="D419" s="18">
        <f>IF($A419&gt;'1-Input'!$B$26,F418,(F418-MAX(0,B396-IF($A419&gt;='1-Input'!$C$12,'1-Input'!$B$12,0))+C419*(1-'P-Parametri'!$B$6*B419))*(1+'1-Input'!$B$27))</f>
        <v>0</v>
      </c>
      <c r="E419" s="18">
        <f>IF($A419&gt;'1-Input'!$B$26,G418,(G418-C419)*(1+$C$4))</f>
        <v>249337.92745552142</v>
      </c>
      <c r="F419" s="18">
        <f>IF($A419&gt;'1-Input'!$B$26,D419,D419-'P-Parametri'!$B$8*(E419+D419)+MIN(MAX(E419,0),'P-Parametri'!$B$8*(E419+D419)))</f>
        <v>0</v>
      </c>
      <c r="G419" s="18">
        <f>IF($A419&gt;'1-Input'!$B$26,E419,E419-MIN(MAX(E419,0),'P-Parametri'!$B$8*(E419+D419)))</f>
        <v>248839.25160061038</v>
      </c>
      <c r="H419" s="18">
        <f>IF($A419&gt;'1-Input'!$B$26,H418,H418-C419*(1-B419))</f>
        <v>109323.69890116704</v>
      </c>
      <c r="I419" s="11">
        <f>IF($A419&gt;'1-Input'!$B$26,0,IF(N418&lt;=0,0,MAX(0,(N418-O418)/N418)))</f>
        <v>0.54839036717232337</v>
      </c>
      <c r="J419" s="18">
        <f>IF($A419&gt;'1-Input'!$B$26,0,(MAX(0,I396-IF($A419&gt;='1-Input'!$C$12,'1-Input'!$B$12,0))-MIN(MAX(M418,0),MAX(0,I396-IF($A419&gt;='1-Input'!$C$12,'1-Input'!$B$12,0))))*(1/(1-'P-Parametri'!$B$6*I419))+MIN(MAX(0,N418-(MAX(0,I396-IF($A419&gt;='1-Input'!$C$12,'1-Input'!$B$12,0))-MIN(MAX(M418,0),MAX(0,I396-IF($A419&gt;='1-Input'!$C$12,'1-Input'!$B$12,0))))*(1/(1-'P-Parametri'!$B$6*I419))),MAX(0,0*I396-(M418-MIN(MAX(M418,0),MAX(0,I396-IF($A419&gt;='1-Input'!$C$12,'1-Input'!$B$12,0)))))*(1/(1-'P-Parametri'!$B$6*I419))))</f>
        <v>25598.650923479952</v>
      </c>
      <c r="K419" s="18">
        <f>IF($A419&gt;'1-Input'!$B$26,M418,(M418-MAX(0,I396-IF($A419&gt;='1-Input'!$C$12,'1-Input'!$B$12,0))+J419*(1-'P-Parametri'!$B$6*I419))*(1+'1-Input'!$B$27))</f>
        <v>0</v>
      </c>
      <c r="L419" s="18">
        <f>IF($A419&gt;'1-Input'!$B$26,N418,(N418-J419)*(1+$C$4))</f>
        <v>80316.832177891352</v>
      </c>
      <c r="M419" s="18">
        <f>IF($A419&gt;'1-Input'!$B$26,K419,K419-'P-Parametri'!$B$8*(L419+K419)+MIN(MAX(L419,0),'P-Parametri'!$B$8*(L419+K419)))</f>
        <v>0</v>
      </c>
      <c r="N419" s="18">
        <f>IF($A419&gt;'1-Input'!$B$26,L419,L419-MIN(MAX(L419,0),'P-Parametri'!$B$8*(L419+K419)))</f>
        <v>80156.198513535564</v>
      </c>
      <c r="O419" s="18">
        <f>IF($A419&gt;'1-Input'!$B$26,O418,O418-J419*(1-I419))</f>
        <v>35215.39329100935</v>
      </c>
      <c r="P419" s="11">
        <f>IF($A419&gt;'1-Input'!$B$26,0,IF(U418&lt;=0,0,MAX(0,(U418-V418)/U418)))</f>
        <v>0.54839036717232303</v>
      </c>
      <c r="Q419" s="18">
        <f>IF($A419&gt;'1-Input'!$B$26,0,(MAX(0,P396-IF($A419&gt;='1-Input'!$C$12,'1-Input'!$B$12,0))-MIN(MAX(T418,0),MAX(0,P396-IF($A419&gt;='1-Input'!$C$12,'1-Input'!$B$12,0))))*(1/(1-'P-Parametri'!$B$6*P419))+MIN(MAX(0,U418-(MAX(0,P396-IF($A419&gt;='1-Input'!$C$12,'1-Input'!$B$12,0))-MIN(MAX(T418,0),MAX(0,P396-IF($A419&gt;='1-Input'!$C$12,'1-Input'!$B$12,0))))*(1/(1-'P-Parametri'!$B$6*P419))),MAX(0,0*P396-(T418-MIN(MAX(T418,0),MAX(0,P396-IF($A419&gt;='1-Input'!$C$12,'1-Input'!$B$12,0)))))*(1/(1-'P-Parametri'!$B$6*P419))))</f>
        <v>22270.384302750459</v>
      </c>
      <c r="R419" s="18">
        <f>IF($A419&gt;'1-Input'!$B$26,T418,(T418-MAX(0,P396-IF($A419&gt;='1-Input'!$C$12,'1-Input'!$B$12,0))+Q419*(1-'P-Parametri'!$B$6*P419))*(1+'1-Input'!$B$27))</f>
        <v>3.6248820833861826E-12</v>
      </c>
      <c r="S419" s="18">
        <f>IF($A419&gt;'1-Input'!$B$26,U418,(U418-Q419)*(1+$C$4))</f>
        <v>171882.08550791591</v>
      </c>
      <c r="T419" s="18">
        <f>IF($A419&gt;'1-Input'!$B$26,R419,R419-'P-Parametri'!$B$8*(S419+R419)+MIN(MAX(S419,0),'P-Parametri'!$B$8*(S419+R419)))</f>
        <v>3.637978807091713E-12</v>
      </c>
      <c r="U419" s="18">
        <f>IF($A419&gt;'1-Input'!$B$26,S419,S419-MIN(MAX(S419,0),'P-Parametri'!$B$8*(S419+R419)))</f>
        <v>171538.32133690009</v>
      </c>
      <c r="V419" s="18">
        <f>IF($A419&gt;'1-Input'!$B$26,V418,V418-Q419*(1-P419))</f>
        <v>75362.723811539123</v>
      </c>
      <c r="W419" s="11">
        <f>IF($A419&gt;'1-Input'!$B$26,0,IF(AB418&lt;=0,0,MAX(0,(AB418-AC418)/AB418)))</f>
        <v>0.54839036717232348</v>
      </c>
      <c r="X419" s="18">
        <f>IF($A419&gt;'1-Input'!$B$26,0,(MAX(0,W396-IF($A419&gt;='1-Input'!$C$12,'1-Input'!$B$12,0))-MIN(MAX(AA418,0),MAX(0,W396-IF($A419&gt;='1-Input'!$C$12,'1-Input'!$B$12,0))))*(1/(1-'P-Parametri'!$B$6*W419))+MIN(MAX(0,AB418-(MAX(0,W396-IF($A419&gt;='1-Input'!$C$12,'1-Input'!$B$12,0))-MIN(MAX(AA418,0),MAX(0,W396-IF($A419&gt;='1-Input'!$C$12,'1-Input'!$B$12,0))))*(1/(1-'P-Parametri'!$B$6*W419))),MAX(0,0*W396-(AA418-MIN(MAX(AA418,0),MAX(0,W396-IF($A419&gt;='1-Input'!$C$12,'1-Input'!$B$12,0)))))*(1/(1-'P-Parametri'!$B$6*W419))))</f>
        <v>21971.49173576348</v>
      </c>
      <c r="Y419" s="18">
        <f>IF($A419&gt;'1-Input'!$B$26,AA418,(AA418-MAX(0,W396-IF($A419&gt;='1-Input'!$C$12,'1-Input'!$B$12,0))+X419*(1-'P-Parametri'!$B$6*W419))*(1+'1-Input'!$B$27))</f>
        <v>-3.6248820833861826E-12</v>
      </c>
      <c r="Z419" s="18">
        <f>IF($A419&gt;'1-Input'!$B$26,AB418,(AB418-X419)*(1+$C$4))</f>
        <v>180105.03659127199</v>
      </c>
      <c r="AA419" s="18">
        <f>IF($A419&gt;'1-Input'!$B$26,Y419,Y419-'P-Parametri'!$B$8*(Z419+Y419)+MIN(MAX(Z419,0),'P-Parametri'!$B$8*(Z419+Y419)))</f>
        <v>-3.637978807091713E-12</v>
      </c>
      <c r="AB419" s="18">
        <f>IF($A419&gt;'1-Input'!$B$26,Z419,Z419-MIN(MAX(Z419,0),'P-Parametri'!$B$8*(Z419+Y419)))</f>
        <v>179744.82651808945</v>
      </c>
      <c r="AC419" s="18">
        <f>IF($A419&gt;'1-Input'!$B$26,AC418,AC418-X419*(1-W419))</f>
        <v>78968.125675145231</v>
      </c>
      <c r="AD419" s="11">
        <f>IF($A419&gt;'1-Input'!$B$26,0,IF(AI418&lt;=0,0,MAX(0,(AI418-AJ418)/AI418)))</f>
        <v>0.54839036717232359</v>
      </c>
      <c r="AE419" s="18">
        <f>IF($A419&gt;'1-Input'!$B$26,0,(MAX(0,AD396-IF($A419&gt;='1-Input'!$C$12,'1-Input'!$B$12,0))-MIN(MAX(AH418,0),MAX(0,AD396-IF($A419&gt;='1-Input'!$C$12,'1-Input'!$B$12,0))))*(1/(1-'P-Parametri'!$B$6*AD419))+MIN(MAX(0,AI418-(MAX(0,AD396-IF($A419&gt;='1-Input'!$C$12,'1-Input'!$B$12,0))-MIN(MAX(AH418,0),MAX(0,AD396-IF($A419&gt;='1-Input'!$C$12,'1-Input'!$B$12,0))))*(1/(1-'P-Parametri'!$B$6*AD419))),MAX(0,0*AD396-(AH418-MIN(MAX(AH418,0),MAX(0,AD396-IF($A419&gt;='1-Input'!$C$12,'1-Input'!$B$12,0)))))*(1/(1-'P-Parametri'!$B$6*AD419))))</f>
        <v>21979.403234577047</v>
      </c>
      <c r="AF419" s="18">
        <f>IF($A419&gt;'1-Input'!$B$26,AH418,(AH418-MAX(0,AD396-IF($A419&gt;='1-Input'!$C$12,'1-Input'!$B$12,0))+AE419*(1-'P-Parametri'!$B$6*AD419))*(1+'1-Input'!$B$27))</f>
        <v>-3.6248820833861826E-12</v>
      </c>
      <c r="AG419" s="18">
        <f>IF($A419&gt;'1-Input'!$B$26,AI418,(AI418-AE419)*(1+$C$4))</f>
        <v>179887.38023268207</v>
      </c>
      <c r="AH419" s="18">
        <f>IF($A419&gt;'1-Input'!$B$26,AF419,AF419-'P-Parametri'!$B$8*(AG419+AF419)+MIN(MAX(AG419,0),'P-Parametri'!$B$8*(AG419+AF419)))</f>
        <v>-3.637978807091713E-12</v>
      </c>
      <c r="AI419" s="18">
        <f>IF($A419&gt;'1-Input'!$B$26,AG419,AG419-MIN(MAX(AG419,0),'P-Parametri'!$B$8*(AG419+AF419)))</f>
        <v>179527.6054722167</v>
      </c>
      <c r="AJ419" s="18">
        <f>IF($A419&gt;'1-Input'!$B$26,AJ418,AJ418-AE419*(1-AD419))</f>
        <v>78872.692948751617</v>
      </c>
      <c r="AK419" s="11">
        <f>IF($A419&gt;'1-Input'!$B$26,0,IF(AP418&lt;=0,0,MAX(0,(AP418-AQ418)/AP418)))</f>
        <v>0.54839036717232281</v>
      </c>
      <c r="AL419" s="18">
        <f>IF($A419&gt;'1-Input'!$B$26,0,(MAX(0,AK396-IF($A419&gt;='1-Input'!$C$12,'1-Input'!$B$12,0))-MIN(MAX(AO418,0),MAX(0,AK396-IF($A419&gt;='1-Input'!$C$12,'1-Input'!$B$12,0))))*(1/(1-'P-Parametri'!$B$6*AK419))+MIN(MAX(0,AP418-(MAX(0,AK396-IF($A419&gt;='1-Input'!$C$12,'1-Input'!$B$12,0))-MIN(MAX(AO418,0),MAX(0,AK396-IF($A419&gt;='1-Input'!$C$12,'1-Input'!$B$12,0))))*(1/(1-'P-Parametri'!$B$6*AK419))),MAX(0,0*AK396-(AO418-MIN(MAX(AO418,0),MAX(0,AK396-IF($A419&gt;='1-Input'!$C$12,'1-Input'!$B$12,0)))))*(1/(1-'P-Parametri'!$B$6*AK419))))</f>
        <v>21978.174724578883</v>
      </c>
      <c r="AM419" s="18">
        <f>IF($A419&gt;'1-Input'!$B$26,AO418,(AO418-MAX(0,AK396-IF($A419&gt;='1-Input'!$C$12,'1-Input'!$B$12,0))+AL419*(1-'P-Parametri'!$B$6*AK419))*(1+'1-Input'!$B$27))</f>
        <v>0</v>
      </c>
      <c r="AN419" s="18">
        <f>IF($A419&gt;'1-Input'!$B$26,AP418,(AP418-AL419)*(1+$C$4))</f>
        <v>179921.17825490114</v>
      </c>
      <c r="AO419" s="18">
        <f>IF($A419&gt;'1-Input'!$B$26,AM419,AM419-'P-Parametri'!$B$8*(AN419+AM419)+MIN(MAX(AN419,0),'P-Parametri'!$B$8*(AN419+AM419)))</f>
        <v>0</v>
      </c>
      <c r="AP419" s="18">
        <f>IF($A419&gt;'1-Input'!$B$26,AN419,AN419-MIN(MAX(AN419,0),'P-Parametri'!$B$8*(AN419+AM419)))</f>
        <v>179561.33589839135</v>
      </c>
      <c r="AQ419" s="18">
        <f>IF($A419&gt;'1-Input'!$B$26,AQ418,AQ418-AL419*(1-AK419))</f>
        <v>78887.511892833936</v>
      </c>
    </row>
    <row r="420" spans="1:43">
      <c r="A420" s="10">
        <f>22</f>
        <v>22</v>
      </c>
      <c r="B420" s="11">
        <f>IF($A420&gt;'1-Input'!$B$26,0,IF(G419&lt;=0,0,MAX(0,(G419-H419)/G419)))</f>
        <v>0.56066537655147464</v>
      </c>
      <c r="C420" s="18">
        <f>IF($A420&gt;'1-Input'!$B$26,0,(MAX(0,B396-IF($A420&gt;='1-Input'!$C$12,'1-Input'!$B$12,0))-MIN(MAX(F419,0),MAX(0,B396-IF($A420&gt;='1-Input'!$C$12,'1-Input'!$B$12,0))))*(1/(1-'P-Parametri'!$B$6*B420))+MIN(MAX(0,G419-(MAX(0,B396-IF($A420&gt;='1-Input'!$C$12,'1-Input'!$B$12,0))-MIN(MAX(F419,0),MAX(0,B396-IF($A420&gt;='1-Input'!$C$12,'1-Input'!$B$12,0))))*(1/(1-'P-Parametri'!$B$6*B420))),MAX(0,0*B396-(F419-MIN(MAX(F419,0),MAX(0,B396-IF($A420&gt;='1-Input'!$C$12,'1-Input'!$B$12,0)))))*(1/(1-'P-Parametri'!$B$6*B420))))</f>
        <v>19527.661000745451</v>
      </c>
      <c r="D420" s="18">
        <f>IF($A420&gt;'1-Input'!$B$26,F419,(F419-MAX(0,B396-IF($A420&gt;='1-Input'!$C$12,'1-Input'!$B$12,0))+C420*(1-'P-Parametri'!$B$6*B420))*(1+'1-Input'!$B$27))</f>
        <v>0</v>
      </c>
      <c r="E420" s="18">
        <f>IF($A420&gt;'1-Input'!$B$26,G419,(G419-C420)*(1+$C$4))</f>
        <v>236190.93831786088</v>
      </c>
      <c r="F420" s="18">
        <f>IF($A420&gt;'1-Input'!$B$26,D420,D420-'P-Parametri'!$B$8*(E420+D420)+MIN(MAX(E420,0),'P-Parametri'!$B$8*(E420+D420)))</f>
        <v>0</v>
      </c>
      <c r="G420" s="18">
        <f>IF($A420&gt;'1-Input'!$B$26,E420,E420-MIN(MAX(E420,0),'P-Parametri'!$B$8*(E420+D420)))</f>
        <v>235718.55644122517</v>
      </c>
      <c r="H420" s="18">
        <f>IF($A420&gt;'1-Input'!$B$26,H419,H419-C420*(1-B420))</f>
        <v>100744.52130857408</v>
      </c>
      <c r="I420" s="11">
        <f>IF($A420&gt;'1-Input'!$B$26,0,IF(N419&lt;=0,0,MAX(0,(N419-O419)/N419)))</f>
        <v>0.56066537655147519</v>
      </c>
      <c r="J420" s="18">
        <f>IF($A420&gt;'1-Input'!$B$26,0,(MAX(0,I396-IF($A420&gt;='1-Input'!$C$12,'1-Input'!$B$12,0))-MIN(MAX(M419,0),MAX(0,I396-IF($A420&gt;='1-Input'!$C$12,'1-Input'!$B$12,0))))*(1/(1-'P-Parametri'!$B$6*I420))+MIN(MAX(0,N419-(MAX(0,I396-IF($A420&gt;='1-Input'!$C$12,'1-Input'!$B$12,0))-MIN(MAX(M419,0),MAX(0,I396-IF($A420&gt;='1-Input'!$C$12,'1-Input'!$B$12,0))))*(1/(1-'P-Parametri'!$B$6*I420))),MAX(0,0*I396-(M419-MIN(MAX(M419,0),MAX(0,I396-IF($A420&gt;='1-Input'!$C$12,'1-Input'!$B$12,0)))))*(1/(1-'P-Parametri'!$B$6*I420))))</f>
        <v>25694.290790454546</v>
      </c>
      <c r="K420" s="18">
        <f>IF($A420&gt;'1-Input'!$B$26,M419,(M419-MAX(0,I396-IF($A420&gt;='1-Input'!$C$12,'1-Input'!$B$12,0))+J420*(1-'P-Parametri'!$B$6*I420))*(1+'1-Input'!$B$27))</f>
        <v>0</v>
      </c>
      <c r="L420" s="18">
        <f>IF($A420&gt;'1-Input'!$B$26,N419,(N419-J420)*(1+$C$4))</f>
        <v>56095.764954773455</v>
      </c>
      <c r="M420" s="18">
        <f>IF($A420&gt;'1-Input'!$B$26,K420,K420-'P-Parametri'!$B$8*(L420+K420)+MIN(MAX(L420,0),'P-Parametri'!$B$8*(L420+K420)))</f>
        <v>0</v>
      </c>
      <c r="N420" s="18">
        <f>IF($A420&gt;'1-Input'!$B$26,L420,L420-MIN(MAX(L420,0),'P-Parametri'!$B$8*(L420+K420)))</f>
        <v>55983.573424863906</v>
      </c>
      <c r="O420" s="18">
        <f>IF($A420&gt;'1-Input'!$B$26,O419,O419-J420*(1-I420))</f>
        <v>23927.001721808105</v>
      </c>
      <c r="P420" s="11">
        <f>IF($A420&gt;'1-Input'!$B$26,0,IF(U419&lt;=0,0,MAX(0,(U419-V419)/U419)))</f>
        <v>0.56066537655147475</v>
      </c>
      <c r="Q420" s="18">
        <f>IF($A420&gt;'1-Input'!$B$26,0,(MAX(0,P396-IF($A420&gt;='1-Input'!$C$12,'1-Input'!$B$12,0))-MIN(MAX(T419,0),MAX(0,P396-IF($A420&gt;='1-Input'!$C$12,'1-Input'!$B$12,0))))*(1/(1-'P-Parametri'!$B$6*P420))+MIN(MAX(0,U419-(MAX(0,P396-IF($A420&gt;='1-Input'!$C$12,'1-Input'!$B$12,0))-MIN(MAX(T419,0),MAX(0,P396-IF($A420&gt;='1-Input'!$C$12,'1-Input'!$B$12,0))))*(1/(1-'P-Parametri'!$B$6*P420))),MAX(0,0*P396-(T419-MIN(MAX(T419,0),MAX(0,P396-IF($A420&gt;='1-Input'!$C$12,'1-Input'!$B$12,0)))))*(1/(1-'P-Parametri'!$B$6*P420))))</f>
        <v>22353.58933564672</v>
      </c>
      <c r="R420" s="18">
        <f>IF($A420&gt;'1-Input'!$B$26,T419,(T419-MAX(0,P396-IF($A420&gt;='1-Input'!$C$12,'1-Input'!$B$12,0))+Q420*(1-'P-Parametri'!$B$6*P420))*(1+'1-Input'!$B$27))</f>
        <v>0</v>
      </c>
      <c r="S420" s="18">
        <f>IF($A420&gt;'1-Input'!$B$26,U419,(U419-Q420)*(1+$C$4))</f>
        <v>153660.27396129098</v>
      </c>
      <c r="T420" s="18">
        <f>IF($A420&gt;'1-Input'!$B$26,R420,R420-'P-Parametri'!$B$8*(S420+R420)+MIN(MAX(S420,0),'P-Parametri'!$B$8*(S420+R420)))</f>
        <v>0</v>
      </c>
      <c r="U420" s="18">
        <f>IF($A420&gt;'1-Input'!$B$26,S420,S420-MIN(MAX(S420,0),'P-Parametri'!$B$8*(S420+R420)))</f>
        <v>153352.95341336841</v>
      </c>
      <c r="V420" s="18">
        <f>IF($A420&gt;'1-Input'!$B$26,V419,V419-Q420*(1-P420))</f>
        <v>65542.018058039801</v>
      </c>
      <c r="W420" s="11">
        <f>IF($A420&gt;'1-Input'!$B$26,0,IF(AB419&lt;=0,0,MAX(0,(AB419-AC419)/AB419)))</f>
        <v>0.5606653765514753</v>
      </c>
      <c r="X420" s="18">
        <f>IF($A420&gt;'1-Input'!$B$26,0,(MAX(0,W396-IF($A420&gt;='1-Input'!$C$12,'1-Input'!$B$12,0))-MIN(MAX(AA419,0),MAX(0,W396-IF($A420&gt;='1-Input'!$C$12,'1-Input'!$B$12,0))))*(1/(1-'P-Parametri'!$B$6*W420))+MIN(MAX(0,AB419-(MAX(0,W396-IF($A420&gt;='1-Input'!$C$12,'1-Input'!$B$12,0))-MIN(MAX(AA419,0),MAX(0,W396-IF($A420&gt;='1-Input'!$C$12,'1-Input'!$B$12,0))))*(1/(1-'P-Parametri'!$B$6*W420))),MAX(0,0*W396-(AA419-MIN(MAX(AA419,0),MAX(0,W396-IF($A420&gt;='1-Input'!$C$12,'1-Input'!$B$12,0)))))*(1/(1-'P-Parametri'!$B$6*W420))))</f>
        <v>22053.580067415158</v>
      </c>
      <c r="Y420" s="18">
        <f>IF($A420&gt;'1-Input'!$B$26,AA419,(AA419-MAX(0,W396-IF($A420&gt;='1-Input'!$C$12,'1-Input'!$B$12,0))+X420*(1-'P-Parametri'!$B$6*W420))*(1+'1-Input'!$B$27))</f>
        <v>0</v>
      </c>
      <c r="Z420" s="18">
        <f>IF($A420&gt;'1-Input'!$B$26,AB419,(AB419-X420)*(1+$C$4))</f>
        <v>162421.9838441945</v>
      </c>
      <c r="AA420" s="18">
        <f>IF($A420&gt;'1-Input'!$B$26,Y420,Y420-'P-Parametri'!$B$8*(Z420+Y420)+MIN(MAX(Z420,0),'P-Parametri'!$B$8*(Z420+Y420)))</f>
        <v>0</v>
      </c>
      <c r="AB420" s="18">
        <f>IF($A420&gt;'1-Input'!$B$26,Z420,Z420-MIN(MAX(Z420,0),'P-Parametri'!$B$8*(Z420+Y420)))</f>
        <v>162097.13987650612</v>
      </c>
      <c r="AC420" s="18">
        <f>IF($A420&gt;'1-Input'!$B$26,AC419,AC419-X420*(1-W420))</f>
        <v>69279.22438053551</v>
      </c>
      <c r="AD420" s="11">
        <f>IF($A420&gt;'1-Input'!$B$26,0,IF(AI419&lt;=0,0,MAX(0,(AI419-AJ419)/AI419)))</f>
        <v>0.5606653765514753</v>
      </c>
      <c r="AE420" s="18">
        <f>IF($A420&gt;'1-Input'!$B$26,0,(MAX(0,AD396-IF($A420&gt;='1-Input'!$C$12,'1-Input'!$B$12,0))-MIN(MAX(AH419,0),MAX(0,AD396-IF($A420&gt;='1-Input'!$C$12,'1-Input'!$B$12,0))))*(1/(1-'P-Parametri'!$B$6*AD420))+MIN(MAX(0,AI419-(MAX(0,AD396-IF($A420&gt;='1-Input'!$C$12,'1-Input'!$B$12,0))-MIN(MAX(AH419,0),MAX(0,AD396-IF($A420&gt;='1-Input'!$C$12,'1-Input'!$B$12,0))))*(1/(1-'P-Parametri'!$B$6*AD420))),MAX(0,0*AD396-(AH419-MIN(MAX(AH419,0),MAX(0,AD396-IF($A420&gt;='1-Input'!$C$12,'1-Input'!$B$12,0)))))*(1/(1-'P-Parametri'!$B$6*AD420))))</f>
        <v>22061.521124610386</v>
      </c>
      <c r="AF420" s="18">
        <f>IF($A420&gt;'1-Input'!$B$26,AH419,(AH419-MAX(0,AD396-IF($A420&gt;='1-Input'!$C$12,'1-Input'!$B$12,0))+AE420*(1-'P-Parametri'!$B$6*AD420))*(1+'1-Input'!$B$27))</f>
        <v>0</v>
      </c>
      <c r="AG420" s="18">
        <f>IF($A420&gt;'1-Input'!$B$26,AI419,(AI419-AE420)*(1+$C$4))</f>
        <v>162190.0668780345</v>
      </c>
      <c r="AH420" s="18">
        <f>IF($A420&gt;'1-Input'!$B$26,AF420,AF420-'P-Parametri'!$B$8*(AG420+AF420)+MIN(MAX(AG420,0),'P-Parametri'!$B$8*(AG420+AF420)))</f>
        <v>0</v>
      </c>
      <c r="AI420" s="18">
        <f>IF($A420&gt;'1-Input'!$B$26,AG420,AG420-MIN(MAX(AG420,0),'P-Parametri'!$B$8*(AG420+AF420)))</f>
        <v>161865.68674427844</v>
      </c>
      <c r="AJ420" s="18">
        <f>IF($A420&gt;'1-Input'!$B$26,AJ419,AJ419-AE420*(1-AD420))</f>
        <v>69180.302872769244</v>
      </c>
      <c r="AK420" s="11">
        <f>IF($A420&gt;'1-Input'!$B$26,0,IF(AP419&lt;=0,0,MAX(0,(AP419-AQ419)/AP419)))</f>
        <v>0.56066537655147464</v>
      </c>
      <c r="AL420" s="18">
        <f>IF($A420&gt;'1-Input'!$B$26,0,(MAX(0,AK396-IF($A420&gt;='1-Input'!$C$12,'1-Input'!$B$12,0))-MIN(MAX(AO419,0),MAX(0,AK396-IF($A420&gt;='1-Input'!$C$12,'1-Input'!$B$12,0))))*(1/(1-'P-Parametri'!$B$6*AK420))+MIN(MAX(0,AP419-(MAX(0,AK396-IF($A420&gt;='1-Input'!$C$12,'1-Input'!$B$12,0))-MIN(MAX(AO419,0),MAX(0,AK396-IF($A420&gt;='1-Input'!$C$12,'1-Input'!$B$12,0))))*(1/(1-'P-Parametri'!$B$6*AK420))),MAX(0,0*AK396-(AO419-MIN(MAX(AO419,0),MAX(0,AK396-IF($A420&gt;='1-Input'!$C$12,'1-Input'!$B$12,0)))))*(1/(1-'P-Parametri'!$B$6*AK420))))</f>
        <v>22060.288024740148</v>
      </c>
      <c r="AM420" s="18">
        <f>IF($A420&gt;'1-Input'!$B$26,AO419,(AO419-MAX(0,AK396-IF($A420&gt;='1-Input'!$C$12,'1-Input'!$B$12,0))+AL420*(1-'P-Parametri'!$B$6*AK420))*(1+'1-Input'!$B$27))</f>
        <v>0</v>
      </c>
      <c r="AN420" s="18">
        <f>IF($A420&gt;'1-Input'!$B$26,AP419,(AP419-AL420)*(1+$C$4))</f>
        <v>162226.07930986074</v>
      </c>
      <c r="AO420" s="18">
        <f>IF($A420&gt;'1-Input'!$B$26,AM420,AM420-'P-Parametri'!$B$8*(AN420+AM420)+MIN(MAX(AN420,0),'P-Parametri'!$B$8*(AN420+AM420)))</f>
        <v>0</v>
      </c>
      <c r="AP420" s="18">
        <f>IF($A420&gt;'1-Input'!$B$26,AN420,AN420-MIN(MAX(AN420,0),'P-Parametri'!$B$8*(AN420+AM420)))</f>
        <v>161901.62715124103</v>
      </c>
      <c r="AQ420" s="18">
        <f>IF($A420&gt;'1-Input'!$B$26,AQ419,AQ419-AL420*(1-AK420))</f>
        <v>69195.663560318702</v>
      </c>
    </row>
    <row r="421" spans="1:43">
      <c r="A421" s="10">
        <f>23</f>
        <v>23</v>
      </c>
      <c r="B421" s="11">
        <f>IF($A421&gt;'1-Input'!$B$26,0,IF(G420&lt;=0,0,MAX(0,(G420-H420)/G420)))</f>
        <v>0.5726067441207412</v>
      </c>
      <c r="C421" s="18">
        <f>IF($A421&gt;'1-Input'!$B$26,0,(MAX(0,B396-IF($A421&gt;='1-Input'!$C$12,'1-Input'!$B$12,0))-MIN(MAX(F420,0),MAX(0,B396-IF($A421&gt;='1-Input'!$C$12,'1-Input'!$B$12,0))))*(1/(1-'P-Parametri'!$B$6*B421))+MIN(MAX(0,G420-(MAX(0,B396-IF($A421&gt;='1-Input'!$C$12,'1-Input'!$B$12,0))-MIN(MAX(F420,0),MAX(0,B396-IF($A421&gt;='1-Input'!$C$12,'1-Input'!$B$12,0))))*(1/(1-'P-Parametri'!$B$6*B421))),MAX(0,0*B396-(F420-MIN(MAX(F420,0),MAX(0,B396-IF($A421&gt;='1-Input'!$C$12,'1-Input'!$B$12,0)))))*(1/(1-'P-Parametri'!$B$6*B421))))</f>
        <v>6554.9400657550368</v>
      </c>
      <c r="D421" s="18">
        <f>IF($A421&gt;'1-Input'!$B$26,F420,(F420-MAX(0,B396-IF($A421&gt;='1-Input'!$C$12,'1-Input'!$B$12,0))+C421*(1-'P-Parametri'!$B$6*B421))*(1+'1-Input'!$B$27))</f>
        <v>9.0622052084654565E-13</v>
      </c>
      <c r="E421" s="18">
        <f>IF($A421&gt;'1-Input'!$B$26,G420,(G420-C421)*(1+$C$4))</f>
        <v>236038.52486673422</v>
      </c>
      <c r="F421" s="18">
        <f>IF($A421&gt;'1-Input'!$B$26,D421,D421-'P-Parametri'!$B$8*(E421+D421)+MIN(MAX(E421,0),'P-Parametri'!$B$8*(E421+D421)))</f>
        <v>9.0949470177292824E-13</v>
      </c>
      <c r="G421" s="18">
        <f>IF($A421&gt;'1-Input'!$B$26,E421,E421-MIN(MAX(E421,0),'P-Parametri'!$B$8*(E421+D421)))</f>
        <v>235566.44781700076</v>
      </c>
      <c r="H421" s="18">
        <f>IF($A421&gt;'1-Input'!$B$26,H420,H420-C421*(1-B421))</f>
        <v>97942.98413177763</v>
      </c>
      <c r="I421" s="11">
        <f>IF($A421&gt;'1-Input'!$B$26,0,IF(N420&lt;=0,0,MAX(0,(N420-O420)/N420)))</f>
        <v>0.57260674412074164</v>
      </c>
      <c r="J421" s="18">
        <f>IF($A421&gt;'1-Input'!$B$26,0,(MAX(0,I396-IF($A421&gt;='1-Input'!$C$12,'1-Input'!$B$12,0))-MIN(MAX(M420,0),MAX(0,I396-IF($A421&gt;='1-Input'!$C$12,'1-Input'!$B$12,0))))*(1/(1-'P-Parametri'!$B$6*I421))+MIN(MAX(0,N420-(MAX(0,I396-IF($A421&gt;='1-Input'!$C$12,'1-Input'!$B$12,0))-MIN(MAX(M420,0),MAX(0,I396-IF($A421&gt;='1-Input'!$C$12,'1-Input'!$B$12,0))))*(1/(1-'P-Parametri'!$B$6*I421))),MAX(0,0*I396-(M420-MIN(MAX(M420,0),MAX(0,I396-IF($A421&gt;='1-Input'!$C$12,'1-Input'!$B$12,0)))))*(1/(1-'P-Parametri'!$B$6*I421))))</f>
        <v>12744.0647182803</v>
      </c>
      <c r="K421" s="18">
        <f>IF($A421&gt;'1-Input'!$B$26,M420,(M420-MAX(0,I396-IF($A421&gt;='1-Input'!$C$12,'1-Input'!$B$12,0))+J421*(1-'P-Parametri'!$B$6*I421))*(1+'1-Input'!$B$27))</f>
        <v>-1.8124410416930913E-12</v>
      </c>
      <c r="L421" s="18">
        <f>IF($A421&gt;'1-Input'!$B$26,N420,(N420-J421)*(1+$C$4))</f>
        <v>44536.693967781117</v>
      </c>
      <c r="M421" s="18">
        <f>IF($A421&gt;'1-Input'!$B$26,K421,K421-'P-Parametri'!$B$8*(L421+K421)+MIN(MAX(L421,0),'P-Parametri'!$B$8*(L421+K421)))</f>
        <v>-1.8189894035458565E-12</v>
      </c>
      <c r="N421" s="18">
        <f>IF($A421&gt;'1-Input'!$B$26,L421,L421-MIN(MAX(L421,0),'P-Parametri'!$B$8*(L421+K421)))</f>
        <v>44447.620579845556</v>
      </c>
      <c r="O421" s="18">
        <f>IF($A421&gt;'1-Input'!$B$26,O420,O420-J421*(1-I421))</f>
        <v>18480.274408726305</v>
      </c>
      <c r="P421" s="11">
        <f>IF($A421&gt;'1-Input'!$B$26,0,IF(U420&lt;=0,0,MAX(0,(U420-V420)/U420)))</f>
        <v>0.57260674412074131</v>
      </c>
      <c r="Q421" s="18">
        <f>IF($A421&gt;'1-Input'!$B$26,0,(MAX(0,P396-IF($A421&gt;='1-Input'!$C$12,'1-Input'!$B$12,0))-MIN(MAX(T420,0),MAX(0,P396-IF($A421&gt;='1-Input'!$C$12,'1-Input'!$B$12,0))))*(1/(1-'P-Parametri'!$B$6*P421))+MIN(MAX(0,U420-(MAX(0,P396-IF($A421&gt;='1-Input'!$C$12,'1-Input'!$B$12,0))-MIN(MAX(T420,0),MAX(0,P396-IF($A421&gt;='1-Input'!$C$12,'1-Input'!$B$12,0))))*(1/(1-'P-Parametri'!$B$6*P421))),MAX(0,0*P396-(T420-MIN(MAX(T420,0),MAX(0,P396-IF($A421&gt;='1-Input'!$C$12,'1-Input'!$B$12,0)))))*(1/(1-'P-Parametri'!$B$6*P421))))</f>
        <v>9391.1769277431795</v>
      </c>
      <c r="R421" s="18">
        <f>IF($A421&gt;'1-Input'!$B$26,T420,(T420-MAX(0,P396-IF($A421&gt;='1-Input'!$C$12,'1-Input'!$B$12,0))+Q421*(1-'P-Parametri'!$B$6*P421))*(1+'1-Input'!$B$27))</f>
        <v>0</v>
      </c>
      <c r="S421" s="18">
        <f>IF($A421&gt;'1-Input'!$B$26,U420,(U420-Q421)*(1+$C$4))</f>
        <v>148280.62978019397</v>
      </c>
      <c r="T421" s="18">
        <f>IF($A421&gt;'1-Input'!$B$26,R421,R421-'P-Parametri'!$B$8*(S421+R421)+MIN(MAX(S421,0),'P-Parametri'!$B$8*(S421+R421)))</f>
        <v>0</v>
      </c>
      <c r="U421" s="18">
        <f>IF($A421&gt;'1-Input'!$B$26,S421,S421-MIN(MAX(S421,0),'P-Parametri'!$B$8*(S421+R421)))</f>
        <v>147984.06852063359</v>
      </c>
      <c r="V421" s="18">
        <f>IF($A421&gt;'1-Input'!$B$26,V420,V420-Q421*(1-P421))</f>
        <v>61528.29237435347</v>
      </c>
      <c r="W421" s="11">
        <f>IF($A421&gt;'1-Input'!$B$26,0,IF(AB420&lt;=0,0,MAX(0,(AB420-AC420)/AB420)))</f>
        <v>0.57260674412074164</v>
      </c>
      <c r="X421" s="18">
        <f>IF($A421&gt;'1-Input'!$B$26,0,(MAX(0,W396-IF($A421&gt;='1-Input'!$C$12,'1-Input'!$B$12,0))-MIN(MAX(AA420,0),MAX(0,W396-IF($A421&gt;='1-Input'!$C$12,'1-Input'!$B$12,0))))*(1/(1-'P-Parametri'!$B$6*W421))+MIN(MAX(0,AB420-(MAX(0,W396-IF($A421&gt;='1-Input'!$C$12,'1-Input'!$B$12,0))-MIN(MAX(AA420,0),MAX(0,W396-IF($A421&gt;='1-Input'!$C$12,'1-Input'!$B$12,0))))*(1/(1-'P-Parametri'!$B$6*W421))),MAX(0,0*W396-(AA420-MIN(MAX(AA420,0),MAX(0,W396-IF($A421&gt;='1-Input'!$C$12,'1-Input'!$B$12,0)))))*(1/(1-'P-Parametri'!$B$6*W421))))</f>
        <v>9090.0732744807883</v>
      </c>
      <c r="Y421" s="18">
        <f>IF($A421&gt;'1-Input'!$B$26,AA420,(AA420-MAX(0,W396-IF($A421&gt;='1-Input'!$C$12,'1-Input'!$B$12,0))+X421*(1-'P-Parametri'!$B$6*W421))*(1+'1-Input'!$B$27))</f>
        <v>0</v>
      </c>
      <c r="Z421" s="18">
        <f>IF($A421&gt;'1-Input'!$B$26,AB420,(AB420-X421)*(1+$C$4))</f>
        <v>157597.27860008608</v>
      </c>
      <c r="AA421" s="18">
        <f>IF($A421&gt;'1-Input'!$B$26,Y421,Y421-'P-Parametri'!$B$8*(Z421+Y421)+MIN(MAX(Z421,0),'P-Parametri'!$B$8*(Z421+Y421)))</f>
        <v>0</v>
      </c>
      <c r="AB421" s="18">
        <f>IF($A421&gt;'1-Input'!$B$26,Z421,Z421-MIN(MAX(Z421,0),'P-Parametri'!$B$8*(Z421+Y421)))</f>
        <v>157282.08404288589</v>
      </c>
      <c r="AC421" s="18">
        <f>IF($A421&gt;'1-Input'!$B$26,AC420,AC420-X421*(1-W421))</f>
        <v>65394.188367574134</v>
      </c>
      <c r="AD421" s="11">
        <f>IF($A421&gt;'1-Input'!$B$26,0,IF(AI420&lt;=0,0,MAX(0,(AI420-AJ420)/AI420)))</f>
        <v>0.57260674412074186</v>
      </c>
      <c r="AE421" s="18">
        <f>IF($A421&gt;'1-Input'!$B$26,0,(MAX(0,AD396-IF($A421&gt;='1-Input'!$C$12,'1-Input'!$B$12,0))-MIN(MAX(AH420,0),MAX(0,AD396-IF($A421&gt;='1-Input'!$C$12,'1-Input'!$B$12,0))))*(1/(1-'P-Parametri'!$B$6*AD421))+MIN(MAX(0,AI420-(MAX(0,AD396-IF($A421&gt;='1-Input'!$C$12,'1-Input'!$B$12,0))-MIN(MAX(AH420,0),MAX(0,AD396-IF($A421&gt;='1-Input'!$C$12,'1-Input'!$B$12,0))))*(1/(1-'P-Parametri'!$B$6*AD421))),MAX(0,0*AD396-(AH420-MIN(MAX(AH420,0),MAX(0,AD396-IF($A421&gt;='1-Input'!$C$12,'1-Input'!$B$12,0)))))*(1/(1-'P-Parametri'!$B$6*AD421))))</f>
        <v>9098.0432993614977</v>
      </c>
      <c r="AF421" s="18">
        <f>IF($A421&gt;'1-Input'!$B$26,AH420,(AH420-MAX(0,AD396-IF($A421&gt;='1-Input'!$C$12,'1-Input'!$B$12,0))+AE421*(1-'P-Parametri'!$B$6*AD421))*(1+'1-Input'!$B$27))</f>
        <v>-9.0622052084654565E-13</v>
      </c>
      <c r="AG421" s="18">
        <f>IF($A421&gt;'1-Input'!$B$26,AI420,(AI420-AE421)*(1+$C$4))</f>
        <v>157350.67274826445</v>
      </c>
      <c r="AH421" s="18">
        <f>IF($A421&gt;'1-Input'!$B$26,AF421,AF421-'P-Parametri'!$B$8*(AG421+AF421)+MIN(MAX(AG421,0),'P-Parametri'!$B$8*(AG421+AF421)))</f>
        <v>-9.0949470177292824E-13</v>
      </c>
      <c r="AI421" s="18">
        <f>IF($A421&gt;'1-Input'!$B$26,AG421,AG421-MIN(MAX(AG421,0),'P-Parametri'!$B$8*(AG421+AF421)))</f>
        <v>157035.97140276793</v>
      </c>
      <c r="AJ421" s="18">
        <f>IF($A421&gt;'1-Input'!$B$26,AJ420,AJ420-AE421*(1-AD421))</f>
        <v>65291.860524924661</v>
      </c>
      <c r="AK421" s="11">
        <f>IF($A421&gt;'1-Input'!$B$26,0,IF(AP420&lt;=0,0,MAX(0,(AP420-AQ420)/AP420)))</f>
        <v>0.57260674412074131</v>
      </c>
      <c r="AL421" s="18">
        <f>IF($A421&gt;'1-Input'!$B$26,0,(MAX(0,AK396-IF($A421&gt;='1-Input'!$C$12,'1-Input'!$B$12,0))-MIN(MAX(AO420,0),MAX(0,AK396-IF($A421&gt;='1-Input'!$C$12,'1-Input'!$B$12,0))))*(1/(1-'P-Parametri'!$B$6*AK421))+MIN(MAX(0,AP420-(MAX(0,AK396-IF($A421&gt;='1-Input'!$C$12,'1-Input'!$B$12,0))-MIN(MAX(AO420,0),MAX(0,AK396-IF($A421&gt;='1-Input'!$C$12,'1-Input'!$B$12,0))))*(1/(1-'P-Parametri'!$B$6*AK421))),MAX(0,0*AK396-(AO420-MIN(MAX(AO420,0),MAX(0,AK396-IF($A421&gt;='1-Input'!$C$12,'1-Input'!$B$12,0)))))*(1/(1-'P-Parametri'!$B$6*AK421))))</f>
        <v>9096.8057013434391</v>
      </c>
      <c r="AM421" s="18">
        <f>IF($A421&gt;'1-Input'!$B$26,AO420,(AO420-MAX(0,AK396-IF($A421&gt;='1-Input'!$C$12,'1-Input'!$B$12,0))+AL421*(1-'P-Parametri'!$B$6*AK421))*(1+'1-Input'!$B$27))</f>
        <v>9.0622052084654565E-13</v>
      </c>
      <c r="AN421" s="18">
        <f>IF($A421&gt;'1-Input'!$B$26,AP420,(AP420-AL421)*(1+$C$4))</f>
        <v>157388.96609339453</v>
      </c>
      <c r="AO421" s="18">
        <f>IF($A421&gt;'1-Input'!$B$26,AM421,AM421-'P-Parametri'!$B$8*(AN421+AM421)+MIN(MAX(AN421,0),'P-Parametri'!$B$8*(AN421+AM421)))</f>
        <v>9.0949470177292824E-13</v>
      </c>
      <c r="AP421" s="18">
        <f>IF($A421&gt;'1-Input'!$B$26,AN421,AN421-MIN(MAX(AN421,0),'P-Parametri'!$B$8*(AN421+AM421)))</f>
        <v>157074.18816120774</v>
      </c>
      <c r="AQ421" s="18">
        <f>IF($A421&gt;'1-Input'!$B$26,AQ420,AQ420-AL421*(1-AK421))</f>
        <v>65307.750153520523</v>
      </c>
    </row>
    <row r="422" spans="1:43">
      <c r="A422" s="10">
        <f>24</f>
        <v>24</v>
      </c>
      <c r="B422" s="11">
        <f>IF($A422&gt;'1-Input'!$B$26,0,IF(G421&lt;=0,0,MAX(0,(G421-H421)/G421)))</f>
        <v>0.58422353845627284</v>
      </c>
      <c r="C422" s="18">
        <f>IF($A422&gt;'1-Input'!$B$26,0,(MAX(0,B396-IF($A422&gt;='1-Input'!$C$12,'1-Input'!$B$12,0))-MIN(MAX(F421,0),MAX(0,B396-IF($A422&gt;='1-Input'!$C$12,'1-Input'!$B$12,0))))*(1/(1-'P-Parametri'!$B$6*B422))+MIN(MAX(0,G421-(MAX(0,B396-IF($A422&gt;='1-Input'!$C$12,'1-Input'!$B$12,0))-MIN(MAX(F421,0),MAX(0,B396-IF($A422&gt;='1-Input'!$C$12,'1-Input'!$B$12,0))))*(1/(1-'P-Parametri'!$B$6*B422))),MAX(0,0*B396-(F421-MIN(MAX(F421,0),MAX(0,B396-IF($A422&gt;='1-Input'!$C$12,'1-Input'!$B$12,0)))))*(1/(1-'P-Parametri'!$B$6*B422))))</f>
        <v>6578.2843384532944</v>
      </c>
      <c r="D422" s="18">
        <f>IF($A422&gt;'1-Input'!$B$26,F421,(F421-MAX(0,B396-IF($A422&gt;='1-Input'!$C$12,'1-Input'!$B$12,0))+C422*(1-'P-Parametri'!$B$6*B422))*(1+'1-Input'!$B$27))</f>
        <v>0</v>
      </c>
      <c r="E422" s="18">
        <f>IF($A422&gt;'1-Input'!$B$26,G421,(G421-C422)*(1+$C$4))</f>
        <v>235857.8083829039</v>
      </c>
      <c r="F422" s="18">
        <f>IF($A422&gt;'1-Input'!$B$26,D422,D422-'P-Parametri'!$B$8*(E422+D422)+MIN(MAX(E422,0),'P-Parametri'!$B$8*(E422+D422)))</f>
        <v>0</v>
      </c>
      <c r="G422" s="18">
        <f>IF($A422&gt;'1-Input'!$B$26,E422,E422-MIN(MAX(E422,0),'P-Parametri'!$B$8*(E422+D422)))</f>
        <v>235386.09276613808</v>
      </c>
      <c r="H422" s="18">
        <f>IF($A422&gt;'1-Input'!$B$26,H421,H421-C422*(1-B422))</f>
        <v>95207.888346506996</v>
      </c>
      <c r="I422" s="11">
        <f>IF($A422&gt;'1-Input'!$B$26,0,IF(N421&lt;=0,0,MAX(0,(N421-O421)/N421)))</f>
        <v>0.58422353845627339</v>
      </c>
      <c r="J422" s="18">
        <f>IF($A422&gt;'1-Input'!$B$26,0,(MAX(0,I396-IF($A422&gt;='1-Input'!$C$12,'1-Input'!$B$12,0))-MIN(MAX(M421,0),MAX(0,I396-IF($A422&gt;='1-Input'!$C$12,'1-Input'!$B$12,0))))*(1/(1-'P-Parametri'!$B$6*I422))+MIN(MAX(0,N421-(MAX(0,I396-IF($A422&gt;='1-Input'!$C$12,'1-Input'!$B$12,0))-MIN(MAX(M421,0),MAX(0,I396-IF($A422&gt;='1-Input'!$C$12,'1-Input'!$B$12,0))))*(1/(1-'P-Parametri'!$B$6*I422))),MAX(0,0*I396-(M421-MIN(MAX(M421,0),MAX(0,I396-IF($A422&gt;='1-Input'!$C$12,'1-Input'!$B$12,0)))))*(1/(1-'P-Parametri'!$B$6*I422))))</f>
        <v>12789.450476057413</v>
      </c>
      <c r="K422" s="18">
        <f>IF($A422&gt;'1-Input'!$B$26,M421,(M421-MAX(0,I396-IF($A422&gt;='1-Input'!$C$12,'1-Input'!$B$12,0))+J422*(1-'P-Parametri'!$B$6*I422))*(1+'1-Input'!$B$27))</f>
        <v>1.8124410416930913E-12</v>
      </c>
      <c r="L422" s="18">
        <f>IF($A422&gt;'1-Input'!$B$26,N421,(N421-J422)*(1+$C$4))</f>
        <v>32607.915206901787</v>
      </c>
      <c r="M422" s="18">
        <f>IF($A422&gt;'1-Input'!$B$26,K422,K422-'P-Parametri'!$B$8*(L422+K422)+MIN(MAX(L422,0),'P-Parametri'!$B$8*(L422+K422)))</f>
        <v>1.8189894035458565E-12</v>
      </c>
      <c r="N422" s="18">
        <f>IF($A422&gt;'1-Input'!$B$26,L422,L422-MIN(MAX(L422,0),'P-Parametri'!$B$8*(L422+K422)))</f>
        <v>32542.699376487984</v>
      </c>
      <c r="O422" s="18">
        <f>IF($A422&gt;'1-Input'!$B$26,O421,O421-J422*(1-I422))</f>
        <v>13162.721944702425</v>
      </c>
      <c r="P422" s="11">
        <f>IF($A422&gt;'1-Input'!$B$26,0,IF(U421&lt;=0,0,MAX(0,(U421-V421)/U421)))</f>
        <v>0.58422353845627295</v>
      </c>
      <c r="Q422" s="18">
        <f>IF($A422&gt;'1-Input'!$B$26,0,(MAX(0,P396-IF($A422&gt;='1-Input'!$C$12,'1-Input'!$B$12,0))-MIN(MAX(T421,0),MAX(0,P396-IF($A422&gt;='1-Input'!$C$12,'1-Input'!$B$12,0))))*(1/(1-'P-Parametri'!$B$6*P422))+MIN(MAX(0,U421-(MAX(0,P396-IF($A422&gt;='1-Input'!$C$12,'1-Input'!$B$12,0))-MIN(MAX(T421,0),MAX(0,P396-IF($A422&gt;='1-Input'!$C$12,'1-Input'!$B$12,0))))*(1/(1-'P-Parametri'!$B$6*P422))),MAX(0,0*P396-(T421-MIN(MAX(T421,0),MAX(0,P396-IF($A422&gt;='1-Input'!$C$12,'1-Input'!$B$12,0)))))*(1/(1-'P-Parametri'!$B$6*P422))))</f>
        <v>9424.6219620165175</v>
      </c>
      <c r="R422" s="18">
        <f>IF($A422&gt;'1-Input'!$B$26,T421,(T421-MAX(0,P396-IF($A422&gt;='1-Input'!$C$12,'1-Input'!$B$12,0))+Q422*(1-'P-Parametri'!$B$6*P422))*(1+'1-Input'!$B$27))</f>
        <v>9.0622052084654565E-13</v>
      </c>
      <c r="S422" s="18">
        <f>IF($A422&gt;'1-Input'!$B$26,U421,(U421-Q422)*(1+$C$4))</f>
        <v>142716.2299553756</v>
      </c>
      <c r="T422" s="18">
        <f>IF($A422&gt;'1-Input'!$B$26,R422,R422-'P-Parametri'!$B$8*(S422+R422)+MIN(MAX(S422,0),'P-Parametri'!$B$8*(S422+R422)))</f>
        <v>9.0949470177292824E-13</v>
      </c>
      <c r="U422" s="18">
        <f>IF($A422&gt;'1-Input'!$B$26,S422,S422-MIN(MAX(S422,0),'P-Parametri'!$B$8*(S422+R422)))</f>
        <v>142430.79749546485</v>
      </c>
      <c r="V422" s="18">
        <f>IF($A422&gt;'1-Input'!$B$26,V421,V421-Q422*(1-P422))</f>
        <v>57609.756403598942</v>
      </c>
      <c r="W422" s="11">
        <f>IF($A422&gt;'1-Input'!$B$26,0,IF(AB421&lt;=0,0,MAX(0,(AB421-AC421)/AB421)))</f>
        <v>0.58422353845627339</v>
      </c>
      <c r="X422" s="18">
        <f>IF($A422&gt;'1-Input'!$B$26,0,(MAX(0,W396-IF($A422&gt;='1-Input'!$C$12,'1-Input'!$B$12,0))-MIN(MAX(AA421,0),MAX(0,W396-IF($A422&gt;='1-Input'!$C$12,'1-Input'!$B$12,0))))*(1/(1-'P-Parametri'!$B$6*W422))+MIN(MAX(0,AB421-(MAX(0,W396-IF($A422&gt;='1-Input'!$C$12,'1-Input'!$B$12,0))-MIN(MAX(AA421,0),MAX(0,W396-IF($A422&gt;='1-Input'!$C$12,'1-Input'!$B$12,0))))*(1/(1-'P-Parametri'!$B$6*W422))),MAX(0,0*W396-(AA421-MIN(MAX(AA421,0),MAX(0,W396-IF($A422&gt;='1-Input'!$C$12,'1-Input'!$B$12,0)))))*(1/(1-'P-Parametri'!$B$6*W422))))</f>
        <v>9122.4459807508665</v>
      </c>
      <c r="Y422" s="18">
        <f>IF($A422&gt;'1-Input'!$B$26,AA421,(AA421-MAX(0,W396-IF($A422&gt;='1-Input'!$C$12,'1-Input'!$B$12,0))+X422*(1-'P-Parametri'!$B$6*W422))*(1+'1-Input'!$B$27))</f>
        <v>9.0622052084654565E-13</v>
      </c>
      <c r="Z422" s="18">
        <f>IF($A422&gt;'1-Input'!$B$26,AB421,(AB421-X422)*(1+$C$4))</f>
        <v>152604.42720399908</v>
      </c>
      <c r="AA422" s="18">
        <f>IF($A422&gt;'1-Input'!$B$26,Y422,Y422-'P-Parametri'!$B$8*(Z422+Y422)+MIN(MAX(Z422,0),'P-Parametri'!$B$8*(Z422+Y422)))</f>
        <v>9.0949470177292824E-13</v>
      </c>
      <c r="AB422" s="18">
        <f>IF($A422&gt;'1-Input'!$B$26,Z422,Z422-MIN(MAX(Z422,0),'P-Parametri'!$B$8*(Z422+Y422)))</f>
        <v>152299.21834959107</v>
      </c>
      <c r="AC422" s="18">
        <f>IF($A422&gt;'1-Input'!$B$26,AC421,AC421-X422*(1-W422))</f>
        <v>61601.290057073747</v>
      </c>
      <c r="AD422" s="11">
        <f>IF($A422&gt;'1-Input'!$B$26,0,IF(AI421&lt;=0,0,MAX(0,(AI421-AJ421)/AI421)))</f>
        <v>0.58422353845627362</v>
      </c>
      <c r="AE422" s="18">
        <f>IF($A422&gt;'1-Input'!$B$26,0,(MAX(0,AD396-IF($A422&gt;='1-Input'!$C$12,'1-Input'!$B$12,0))-MIN(MAX(AH421,0),MAX(0,AD396-IF($A422&gt;='1-Input'!$C$12,'1-Input'!$B$12,0))))*(1/(1-'P-Parametri'!$B$6*AD422))+MIN(MAX(0,AI421-(MAX(0,AD396-IF($A422&gt;='1-Input'!$C$12,'1-Input'!$B$12,0))-MIN(MAX(AH421,0),MAX(0,AD396-IF($A422&gt;='1-Input'!$C$12,'1-Input'!$B$12,0))))*(1/(1-'P-Parametri'!$B$6*AD422))),MAX(0,0*AD396-(AH421-MIN(MAX(AH421,0),MAX(0,AD396-IF($A422&gt;='1-Input'!$C$12,'1-Input'!$B$12,0)))))*(1/(1-'P-Parametri'!$B$6*AD422))))</f>
        <v>9130.4443894813721</v>
      </c>
      <c r="AF422" s="18">
        <f>IF($A422&gt;'1-Input'!$B$26,AH421,(AH421-MAX(0,AD396-IF($A422&gt;='1-Input'!$C$12,'1-Input'!$B$12,0))+AE422*(1-'P-Parametri'!$B$6*AD422))*(1+'1-Input'!$B$27))</f>
        <v>1.8124410416930913E-12</v>
      </c>
      <c r="AG422" s="18">
        <f>IF($A422&gt;'1-Input'!$B$26,AI421,(AI421-AE422)*(1+$C$4))</f>
        <v>152342.69282368518</v>
      </c>
      <c r="AH422" s="18">
        <f>IF($A422&gt;'1-Input'!$B$26,AF422,AF422-'P-Parametri'!$B$8*(AG422+AF422)+MIN(MAX(AG422,0),'P-Parametri'!$B$8*(AG422+AF422)))</f>
        <v>1.8189894035458565E-12</v>
      </c>
      <c r="AI422" s="18">
        <f>IF($A422&gt;'1-Input'!$B$26,AG422,AG422-MIN(MAX(AG422,0),'P-Parametri'!$B$8*(AG422+AF422)))</f>
        <v>152038.00743803781</v>
      </c>
      <c r="AJ422" s="18">
        <f>IF($A422&gt;'1-Input'!$B$26,AJ421,AJ421-AE422*(1-AD422))</f>
        <v>61495.636664344325</v>
      </c>
      <c r="AK422" s="11">
        <f>IF($A422&gt;'1-Input'!$B$26,0,IF(AP421&lt;=0,0,MAX(0,(AP421-AQ421)/AP421)))</f>
        <v>0.58422353845627306</v>
      </c>
      <c r="AL422" s="18">
        <f>IF($A422&gt;'1-Input'!$B$26,0,(MAX(0,AK396-IF($A422&gt;='1-Input'!$C$12,'1-Input'!$B$12,0))-MIN(MAX(AO421,0),MAX(0,AK396-IF($A422&gt;='1-Input'!$C$12,'1-Input'!$B$12,0))))*(1/(1-'P-Parametri'!$B$6*AK422))+MIN(MAX(0,AP421-(MAX(0,AK396-IF($A422&gt;='1-Input'!$C$12,'1-Input'!$B$12,0))-MIN(MAX(AO421,0),MAX(0,AK396-IF($A422&gt;='1-Input'!$C$12,'1-Input'!$B$12,0))))*(1/(1-'P-Parametri'!$B$6*AK422))),MAX(0,0*AK396-(AO421-MIN(MAX(AO421,0),MAX(0,AK396-IF($A422&gt;='1-Input'!$C$12,'1-Input'!$B$12,0)))))*(1/(1-'P-Parametri'!$B$6*AK422))))</f>
        <v>9129.2023839744015</v>
      </c>
      <c r="AM422" s="18">
        <f>IF($A422&gt;'1-Input'!$B$26,AO421,(AO421-MAX(0,AK396-IF($A422&gt;='1-Input'!$C$12,'1-Input'!$B$12,0))+AL422*(1-'P-Parametri'!$B$6*AK422))*(1+'1-Input'!$B$27))</f>
        <v>9.0622052084654565E-13</v>
      </c>
      <c r="AN422" s="18">
        <f>IF($A422&gt;'1-Input'!$B$26,AP421,(AP421-AL422)*(1+$C$4))</f>
        <v>152383.33535055036</v>
      </c>
      <c r="AO422" s="18">
        <f>IF($A422&gt;'1-Input'!$B$26,AM422,AM422-'P-Parametri'!$B$8*(AN422+AM422)+MIN(MAX(AN422,0),'P-Parametri'!$B$8*(AN422+AM422)))</f>
        <v>9.0949470177292824E-13</v>
      </c>
      <c r="AP422" s="18">
        <f>IF($A422&gt;'1-Input'!$B$26,AN422,AN422-MIN(MAX(AN422,0),'P-Parametri'!$B$8*(AN422+AM422)))</f>
        <v>152078.56867984927</v>
      </c>
      <c r="AQ422" s="18">
        <f>IF($A422&gt;'1-Input'!$B$26,AQ421,AQ421-AL422*(1-AK422))</f>
        <v>61512.042689595088</v>
      </c>
    </row>
    <row r="423" spans="1:43">
      <c r="A423" s="10">
        <f>25</f>
        <v>25</v>
      </c>
      <c r="B423" s="11">
        <f>IF($A423&gt;'1-Input'!$B$26,0,IF(G422&lt;=0,0,MAX(0,(G422-H422)/G422)))</f>
        <v>0.59552458164510857</v>
      </c>
      <c r="C423" s="18">
        <f>IF($A423&gt;'1-Input'!$B$26,0,(MAX(0,B396-IF($A423&gt;='1-Input'!$C$12,'1-Input'!$B$12,0))-MIN(MAX(F422,0),MAX(0,B396-IF($A423&gt;='1-Input'!$C$12,'1-Input'!$B$12,0))))*(1/(1-'P-Parametri'!$B$6*B423))+MIN(MAX(0,G422-(MAX(0,B396-IF($A423&gt;='1-Input'!$C$12,'1-Input'!$B$12,0))-MIN(MAX(F422,0),MAX(0,B396-IF($A423&gt;='1-Input'!$C$12,'1-Input'!$B$12,0))))*(1/(1-'P-Parametri'!$B$6*B423))),MAX(0,0*B396-(F422-MIN(MAX(F422,0),MAX(0,B396-IF($A423&gt;='1-Input'!$C$12,'1-Input'!$B$12,0)))))*(1/(1-'P-Parametri'!$B$6*B423))))</f>
        <v>6601.1542105205235</v>
      </c>
      <c r="D423" s="18">
        <f>IF($A423&gt;'1-Input'!$B$26,F422,(F422-MAX(0,B396-IF($A423&gt;='1-Input'!$C$12,'1-Input'!$B$12,0))+C423*(1-'P-Parametri'!$B$6*B423))*(1+'1-Input'!$B$27))</f>
        <v>0</v>
      </c>
      <c r="E423" s="18">
        <f>IF($A423&gt;'1-Input'!$B$26,G422,(G422-C423)*(1+$C$4))</f>
        <v>235648.48671228607</v>
      </c>
      <c r="F423" s="18">
        <f>IF($A423&gt;'1-Input'!$B$26,D423,D423-'P-Parametri'!$B$8*(E423+D423)+MIN(MAX(E423,0),'P-Parametri'!$B$8*(E423+D423)))</f>
        <v>0</v>
      </c>
      <c r="G423" s="18">
        <f>IF($A423&gt;'1-Input'!$B$26,E423,E423-MIN(MAX(E423,0),'P-Parametri'!$B$8*(E423+D423)))</f>
        <v>235177.18973886149</v>
      </c>
      <c r="H423" s="18">
        <f>IF($A423&gt;'1-Input'!$B$26,H422,H422-C423*(1-B423))</f>
        <v>92537.883735581549</v>
      </c>
      <c r="I423" s="11">
        <f>IF($A423&gt;'1-Input'!$B$26,0,IF(N422&lt;=0,0,MAX(0,(N422-O422)/N422)))</f>
        <v>0.59552458164510913</v>
      </c>
      <c r="J423" s="18">
        <f>IF($A423&gt;'1-Input'!$B$26,0,(MAX(0,I396-IF($A423&gt;='1-Input'!$C$12,'1-Input'!$B$12,0))-MIN(MAX(M422,0),MAX(0,I396-IF($A423&gt;='1-Input'!$C$12,'1-Input'!$B$12,0))))*(1/(1-'P-Parametri'!$B$6*I423))+MIN(MAX(0,N422-(MAX(0,I396-IF($A423&gt;='1-Input'!$C$12,'1-Input'!$B$12,0))-MIN(MAX(M422,0),MAX(0,I396-IF($A423&gt;='1-Input'!$C$12,'1-Input'!$B$12,0))))*(1/(1-'P-Parametri'!$B$6*I423))),MAX(0,0*I396-(M422-MIN(MAX(M422,0),MAX(0,I396-IF($A423&gt;='1-Input'!$C$12,'1-Input'!$B$12,0)))))*(1/(1-'P-Parametri'!$B$6*I423))))</f>
        <v>12833.913907728764</v>
      </c>
      <c r="K423" s="18">
        <f>IF($A423&gt;'1-Input'!$B$26,M422,(M422-MAX(0,I396-IF($A423&gt;='1-Input'!$C$12,'1-Input'!$B$12,0))+J423*(1-'P-Parametri'!$B$6*I423))*(1+'1-Input'!$B$27))</f>
        <v>-1.8124410416930913E-12</v>
      </c>
      <c r="L423" s="18">
        <f>IF($A423&gt;'1-Input'!$B$26,N422,(N422-J423)*(1+$C$4))</f>
        <v>20300.049032821997</v>
      </c>
      <c r="M423" s="18">
        <f>IF($A423&gt;'1-Input'!$B$26,K423,K423-'P-Parametri'!$B$8*(L423+K423)+MIN(MAX(L423,0),'P-Parametri'!$B$8*(L423+K423)))</f>
        <v>-1.8118839761882555E-12</v>
      </c>
      <c r="N423" s="18">
        <f>IF($A423&gt;'1-Input'!$B$26,L423,L423-MIN(MAX(L423,0),'P-Parametri'!$B$8*(L423+K423)))</f>
        <v>20259.448934756354</v>
      </c>
      <c r="O423" s="18">
        <f>IF($A423&gt;'1-Input'!$B$26,O422,O422-J423*(1-I423))</f>
        <v>7971.7192477431818</v>
      </c>
      <c r="P423" s="11">
        <f>IF($A423&gt;'1-Input'!$B$26,0,IF(U422&lt;=0,0,MAX(0,(U422-V422)/U422)))</f>
        <v>0.5955245816451088</v>
      </c>
      <c r="Q423" s="18">
        <f>IF($A423&gt;'1-Input'!$B$26,0,(MAX(0,P396-IF($A423&gt;='1-Input'!$C$12,'1-Input'!$B$12,0))-MIN(MAX(T422,0),MAX(0,P396-IF($A423&gt;='1-Input'!$C$12,'1-Input'!$B$12,0))))*(1/(1-'P-Parametri'!$B$6*P423))+MIN(MAX(0,U422-(MAX(0,P396-IF($A423&gt;='1-Input'!$C$12,'1-Input'!$B$12,0))-MIN(MAX(T422,0),MAX(0,P396-IF($A423&gt;='1-Input'!$C$12,'1-Input'!$B$12,0))))*(1/(1-'P-Parametri'!$B$6*P423))),MAX(0,0*P396-(T422-MIN(MAX(T422,0),MAX(0,P396-IF($A423&gt;='1-Input'!$C$12,'1-Input'!$B$12,0)))))*(1/(1-'P-Parametri'!$B$6*P423))))</f>
        <v>9457.3873287084625</v>
      </c>
      <c r="R423" s="18">
        <f>IF($A423&gt;'1-Input'!$B$26,T422,(T422-MAX(0,P396-IF($A423&gt;='1-Input'!$C$12,'1-Input'!$B$12,0))+Q423*(1-'P-Parametri'!$B$6*P423))*(1+'1-Input'!$B$27))</f>
        <v>9.0622052084654565E-13</v>
      </c>
      <c r="S423" s="18">
        <f>IF($A423&gt;'1-Input'!$B$26,U422,(U422-Q423)*(1+$C$4))</f>
        <v>136962.61247175909</v>
      </c>
      <c r="T423" s="18">
        <f>IF($A423&gt;'1-Input'!$B$26,R423,R423-'P-Parametri'!$B$8*(S423+R423)+MIN(MAX(S423,0),'P-Parametri'!$B$8*(S423+R423)))</f>
        <v>9.0949470177292824E-13</v>
      </c>
      <c r="U423" s="18">
        <f>IF($A423&gt;'1-Input'!$B$26,S423,S423-MIN(MAX(S423,0),'P-Parametri'!$B$8*(S423+R423)))</f>
        <v>136688.68724681556</v>
      </c>
      <c r="V423" s="18">
        <f>IF($A423&gt;'1-Input'!$B$26,V422,V422-Q423*(1-P423))</f>
        <v>53784.475707275342</v>
      </c>
      <c r="W423" s="11">
        <f>IF($A423&gt;'1-Input'!$B$26,0,IF(AB422&lt;=0,0,MAX(0,(AB422-AC422)/AB422)))</f>
        <v>0.59552458164510891</v>
      </c>
      <c r="X423" s="18">
        <f>IF($A423&gt;'1-Input'!$B$26,0,(MAX(0,W396-IF($A423&gt;='1-Input'!$C$12,'1-Input'!$B$12,0))-MIN(MAX(AA422,0),MAX(0,W396-IF($A423&gt;='1-Input'!$C$12,'1-Input'!$B$12,0))))*(1/(1-'P-Parametri'!$B$6*W423))+MIN(MAX(0,AB422-(MAX(0,W396-IF($A423&gt;='1-Input'!$C$12,'1-Input'!$B$12,0))-MIN(MAX(AA422,0),MAX(0,W396-IF($A423&gt;='1-Input'!$C$12,'1-Input'!$B$12,0))))*(1/(1-'P-Parametri'!$B$6*W423))),MAX(0,0*W396-(AA422-MIN(MAX(AA422,0),MAX(0,W396-IF($A423&gt;='1-Input'!$C$12,'1-Input'!$B$12,0)))))*(1/(1-'P-Parametri'!$B$6*W423))))</f>
        <v>9154.1608112121176</v>
      </c>
      <c r="Y423" s="18">
        <f>IF($A423&gt;'1-Input'!$B$26,AA422,(AA422-MAX(0,W396-IF($A423&gt;='1-Input'!$C$12,'1-Input'!$B$12,0))+X423*(1-'P-Parametri'!$B$6*W423))*(1+'1-Input'!$B$27))</f>
        <v>0</v>
      </c>
      <c r="Z423" s="18">
        <f>IF($A423&gt;'1-Input'!$B$26,AB422,(AB422-X423)*(1+$C$4))</f>
        <v>147439.40926453032</v>
      </c>
      <c r="AA423" s="18">
        <f>IF($A423&gt;'1-Input'!$B$26,Y423,Y423-'P-Parametri'!$B$8*(Z423+Y423)+MIN(MAX(Z423,0),'P-Parametri'!$B$8*(Z423+Y423)))</f>
        <v>0</v>
      </c>
      <c r="AB423" s="18">
        <f>IF($A423&gt;'1-Input'!$B$26,Z423,Z423-MIN(MAX(Z423,0),'P-Parametri'!$B$8*(Z423+Y423)))</f>
        <v>147144.53044600127</v>
      </c>
      <c r="AC423" s="18">
        <f>IF($A423&gt;'1-Input'!$B$26,AC422,AC422-X423*(1-W423))</f>
        <v>57898.657033270778</v>
      </c>
      <c r="AD423" s="11">
        <f>IF($A423&gt;'1-Input'!$B$26,0,IF(AI422&lt;=0,0,MAX(0,(AI422-AJ422)/AI422)))</f>
        <v>0.59552458164510935</v>
      </c>
      <c r="AE423" s="18">
        <f>IF($A423&gt;'1-Input'!$B$26,0,(MAX(0,AD396-IF($A423&gt;='1-Input'!$C$12,'1-Input'!$B$12,0))-MIN(MAX(AH422,0),MAX(0,AD396-IF($A423&gt;='1-Input'!$C$12,'1-Input'!$B$12,0))))*(1/(1-'P-Parametri'!$B$6*AD423))+MIN(MAX(0,AI422-(MAX(0,AD396-IF($A423&gt;='1-Input'!$C$12,'1-Input'!$B$12,0))-MIN(MAX(AH422,0),MAX(0,AD396-IF($A423&gt;='1-Input'!$C$12,'1-Input'!$B$12,0))))*(1/(1-'P-Parametri'!$B$6*AD423))),MAX(0,0*AD396-(AH422-MIN(MAX(AH422,0),MAX(0,AD396-IF($A423&gt;='1-Input'!$C$12,'1-Input'!$B$12,0)))))*(1/(1-'P-Parametri'!$B$6*AD423))))</f>
        <v>9162.1870269778592</v>
      </c>
      <c r="AF423" s="18">
        <f>IF($A423&gt;'1-Input'!$B$26,AH422,(AH422-MAX(0,AD396-IF($A423&gt;='1-Input'!$C$12,'1-Input'!$B$12,0))+AE423*(1-'P-Parametri'!$B$6*AD423))*(1+'1-Input'!$B$27))</f>
        <v>0</v>
      </c>
      <c r="AG423" s="18">
        <f>IF($A423&gt;'1-Input'!$B$26,AI422,(AI422-AE423)*(1+$C$4))</f>
        <v>147162.09502339174</v>
      </c>
      <c r="AH423" s="18">
        <f>IF($A423&gt;'1-Input'!$B$26,AF423,AF423-'P-Parametri'!$B$8*(AG423+AF423)+MIN(MAX(AG423,0),'P-Parametri'!$B$8*(AG423+AF423)))</f>
        <v>0</v>
      </c>
      <c r="AI423" s="18">
        <f>IF($A423&gt;'1-Input'!$B$26,AG423,AG423-MIN(MAX(AG423,0),'P-Parametri'!$B$8*(AG423+AF423)))</f>
        <v>146867.77083334496</v>
      </c>
      <c r="AJ423" s="18">
        <f>IF($A423&gt;'1-Input'!$B$26,AJ422,AJ422-AE423*(1-AD423))</f>
        <v>57789.757233561701</v>
      </c>
      <c r="AK423" s="11">
        <f>IF($A423&gt;'1-Input'!$B$26,0,IF(AP422&lt;=0,0,MAX(0,(AP422-AQ422)/AP422)))</f>
        <v>0.5955245816451088</v>
      </c>
      <c r="AL423" s="18">
        <f>IF($A423&gt;'1-Input'!$B$26,0,(MAX(0,AK396-IF($A423&gt;='1-Input'!$C$12,'1-Input'!$B$12,0))-MIN(MAX(AO422,0),MAX(0,AK396-IF($A423&gt;='1-Input'!$C$12,'1-Input'!$B$12,0))))*(1/(1-'P-Parametri'!$B$6*AK423))+MIN(MAX(0,AP422-(MAX(0,AK396-IF($A423&gt;='1-Input'!$C$12,'1-Input'!$B$12,0))-MIN(MAX(AO422,0),MAX(0,AK396-IF($A423&gt;='1-Input'!$C$12,'1-Input'!$B$12,0))))*(1/(1-'P-Parametri'!$B$6*AK423))),MAX(0,0*AK396-(AO422-MIN(MAX(AO422,0),MAX(0,AK396-IF($A423&gt;='1-Input'!$C$12,'1-Input'!$B$12,0)))))*(1/(1-'P-Parametri'!$B$6*AK423))))</f>
        <v>9160.9407035506592</v>
      </c>
      <c r="AM423" s="18">
        <f>IF($A423&gt;'1-Input'!$B$26,AO422,(AO422-MAX(0,AK396-IF($A423&gt;='1-Input'!$C$12,'1-Input'!$B$12,0))+AL423*(1-'P-Parametri'!$B$6*AK423))*(1+'1-Input'!$B$27))</f>
        <v>0</v>
      </c>
      <c r="AN423" s="18">
        <f>IF($A423&gt;'1-Input'!$B$26,AP422,(AP422-AL423)*(1+$C$4))</f>
        <v>147205.15681558757</v>
      </c>
      <c r="AO423" s="18">
        <f>IF($A423&gt;'1-Input'!$B$26,AM423,AM423-'P-Parametri'!$B$8*(AN423+AM423)+MIN(MAX(AN423,0),'P-Parametri'!$B$8*(AN423+AM423)))</f>
        <v>0</v>
      </c>
      <c r="AP423" s="18">
        <f>IF($A423&gt;'1-Input'!$B$26,AN423,AN423-MIN(MAX(AN423,0),'P-Parametri'!$B$8*(AN423+AM423)))</f>
        <v>146910.7465019564</v>
      </c>
      <c r="AQ423" s="18">
        <f>IF($A423&gt;'1-Input'!$B$26,AQ422,AQ422-AL423*(1-AK423))</f>
        <v>57806.667366002082</v>
      </c>
    </row>
    <row r="424" spans="1:43">
      <c r="A424" s="10">
        <f>26</f>
        <v>26</v>
      </c>
      <c r="B424" s="11">
        <f>IF($A424&gt;'1-Input'!$B$26,0,IF(G423&lt;=0,0,MAX(0,(G423-H423)/G423)))</f>
        <v>0.60651845598489063</v>
      </c>
      <c r="C424" s="18">
        <f>IF($A424&gt;'1-Input'!$B$26,0,(MAX(0,B396-IF($A424&gt;='1-Input'!$C$12,'1-Input'!$B$12,0))-MIN(MAX(F423,0),MAX(0,B396-IF($A424&gt;='1-Input'!$C$12,'1-Input'!$B$12,0))))*(1/(1-'P-Parametri'!$B$6*B424))+MIN(MAX(0,G423-(MAX(0,B396-IF($A424&gt;='1-Input'!$C$12,'1-Input'!$B$12,0))-MIN(MAX(F423,0),MAX(0,B396-IF($A424&gt;='1-Input'!$C$12,'1-Input'!$B$12,0))))*(1/(1-'P-Parametri'!$B$6*B424))),MAX(0,0*B396-(F423-MIN(MAX(F423,0),MAX(0,B396-IF($A424&gt;='1-Input'!$C$12,'1-Input'!$B$12,0)))))*(1/(1-'P-Parametri'!$B$6*B424))))</f>
        <v>6623.5555770780738</v>
      </c>
      <c r="D424" s="18">
        <f>IF($A424&gt;'1-Input'!$B$26,F423,(F423-MAX(0,B396-IF($A424&gt;='1-Input'!$C$12,'1-Input'!$B$12,0))+C424*(1-'P-Parametri'!$B$6*B424))*(1+'1-Input'!$B$27))</f>
        <v>0</v>
      </c>
      <c r="E424" s="18">
        <f>IF($A424&gt;'1-Input'!$B$26,G423,(G423-C424)*(1+$C$4))</f>
        <v>235410.24318663692</v>
      </c>
      <c r="F424" s="18">
        <f>IF($A424&gt;'1-Input'!$B$26,D424,D424-'P-Parametri'!$B$8*(E424+D424)+MIN(MAX(E424,0),'P-Parametri'!$B$8*(E424+D424)))</f>
        <v>0</v>
      </c>
      <c r="G424" s="18">
        <f>IF($A424&gt;'1-Input'!$B$26,E424,E424-MIN(MAX(E424,0),'P-Parametri'!$B$8*(E424+D424)))</f>
        <v>234939.42270026365</v>
      </c>
      <c r="H424" s="18">
        <f>IF($A424&gt;'1-Input'!$B$26,H423,H423-C424*(1-B424))</f>
        <v>89931.636860242987</v>
      </c>
      <c r="I424" s="11">
        <f>IF($A424&gt;'1-Input'!$B$26,0,IF(N423&lt;=0,0,MAX(0,(N423-O423)/N423)))</f>
        <v>0.60651845598489118</v>
      </c>
      <c r="J424" s="18">
        <f>IF($A424&gt;'1-Input'!$B$26,0,(MAX(0,I396-IF($A424&gt;='1-Input'!$C$12,'1-Input'!$B$12,0))-MIN(MAX(M423,0),MAX(0,I396-IF($A424&gt;='1-Input'!$C$12,'1-Input'!$B$12,0))))*(1/(1-'P-Parametri'!$B$6*I424))+MIN(MAX(0,N423-(MAX(0,I396-IF($A424&gt;='1-Input'!$C$12,'1-Input'!$B$12,0))-MIN(MAX(M423,0),MAX(0,I396-IF($A424&gt;='1-Input'!$C$12,'1-Input'!$B$12,0))))*(1/(1-'P-Parametri'!$B$6*I424))),MAX(0,0*I396-(M423-MIN(MAX(M423,0),MAX(0,I396-IF($A424&gt;='1-Input'!$C$12,'1-Input'!$B$12,0)))))*(1/(1-'P-Parametri'!$B$6*I424))))</f>
        <v>12877.466474544564</v>
      </c>
      <c r="K424" s="18">
        <f>IF($A424&gt;'1-Input'!$B$26,M423,(M423-MAX(0,I396-IF($A424&gt;='1-Input'!$C$12,'1-Input'!$B$12,0))+J424*(1-'P-Parametri'!$B$6*I424))*(1+'1-Input'!$B$27))</f>
        <v>0</v>
      </c>
      <c r="L424" s="18">
        <f>IF($A424&gt;'1-Input'!$B$26,N423,(N423-J424)*(1+$C$4))</f>
        <v>7603.4419340181439</v>
      </c>
      <c r="M424" s="18">
        <f>IF($A424&gt;'1-Input'!$B$26,K424,K424-'P-Parametri'!$B$8*(L424+K424)+MIN(MAX(L424,0),'P-Parametri'!$B$8*(L424+K424)))</f>
        <v>0</v>
      </c>
      <c r="N424" s="18">
        <f>IF($A424&gt;'1-Input'!$B$26,L424,L424-MIN(MAX(L424,0),'P-Parametri'!$B$8*(L424+K424)))</f>
        <v>7588.2350501501078</v>
      </c>
      <c r="O424" s="18">
        <f>IF($A424&gt;'1-Input'!$B$26,O423,O423-J424*(1-I424))</f>
        <v>2904.6738563365861</v>
      </c>
      <c r="P424" s="11">
        <f>IF($A424&gt;'1-Input'!$B$26,0,IF(U423&lt;=0,0,MAX(0,(U423-V423)/U423)))</f>
        <v>0.60651845598489085</v>
      </c>
      <c r="Q424" s="18">
        <f>IF($A424&gt;'1-Input'!$B$26,0,(MAX(0,P396-IF($A424&gt;='1-Input'!$C$12,'1-Input'!$B$12,0))-MIN(MAX(T423,0),MAX(0,P396-IF($A424&gt;='1-Input'!$C$12,'1-Input'!$B$12,0))))*(1/(1-'P-Parametri'!$B$6*P424))+MIN(MAX(0,U423-(MAX(0,P396-IF($A424&gt;='1-Input'!$C$12,'1-Input'!$B$12,0))-MIN(MAX(T423,0),MAX(0,P396-IF($A424&gt;='1-Input'!$C$12,'1-Input'!$B$12,0))))*(1/(1-'P-Parametri'!$B$6*P424))),MAX(0,0*P396-(T423-MIN(MAX(T423,0),MAX(0,P396-IF($A424&gt;='1-Input'!$C$12,'1-Input'!$B$12,0)))))*(1/(1-'P-Parametri'!$B$6*P424))))</f>
        <v>9489.4814736823009</v>
      </c>
      <c r="R424" s="18">
        <f>IF($A424&gt;'1-Input'!$B$26,T423,(T423-MAX(0,P396-IF($A424&gt;='1-Input'!$C$12,'1-Input'!$B$12,0))+Q424*(1-'P-Parametri'!$B$6*P424))*(1+'1-Input'!$B$27))</f>
        <v>-9.0622052084654565E-13</v>
      </c>
      <c r="S424" s="18">
        <f>IF($A424&gt;'1-Input'!$B$26,U423,(U423-Q424)*(1+$C$4))</f>
        <v>131015.18194632725</v>
      </c>
      <c r="T424" s="18">
        <f>IF($A424&gt;'1-Input'!$B$26,R424,R424-'P-Parametri'!$B$8*(S424+R424)+MIN(MAX(S424,0),'P-Parametri'!$B$8*(S424+R424)))</f>
        <v>-9.0949470177292824E-13</v>
      </c>
      <c r="U424" s="18">
        <f>IF($A424&gt;'1-Input'!$B$26,S424,S424-MIN(MAX(S424,0),'P-Parametri'!$B$8*(S424+R424)))</f>
        <v>130753.1515824346</v>
      </c>
      <c r="V424" s="18">
        <f>IF($A424&gt;'1-Input'!$B$26,V423,V423-Q424*(1-P424))</f>
        <v>50050.539885108054</v>
      </c>
      <c r="W424" s="11">
        <f>IF($A424&gt;'1-Input'!$B$26,0,IF(AB423&lt;=0,0,MAX(0,(AB423-AC423)/AB423)))</f>
        <v>0.60651845598489107</v>
      </c>
      <c r="X424" s="18">
        <f>IF($A424&gt;'1-Input'!$B$26,0,(MAX(0,W396-IF($A424&gt;='1-Input'!$C$12,'1-Input'!$B$12,0))-MIN(MAX(AA423,0),MAX(0,W396-IF($A424&gt;='1-Input'!$C$12,'1-Input'!$B$12,0))))*(1/(1-'P-Parametri'!$B$6*W424))+MIN(MAX(0,AB423-(MAX(0,W396-IF($A424&gt;='1-Input'!$C$12,'1-Input'!$B$12,0))-MIN(MAX(AA423,0),MAX(0,W396-IF($A424&gt;='1-Input'!$C$12,'1-Input'!$B$12,0))))*(1/(1-'P-Parametri'!$B$6*W424))),MAX(0,0*W396-(AA423-MIN(MAX(AA423,0),MAX(0,W396-IF($A424&gt;='1-Input'!$C$12,'1-Input'!$B$12,0)))))*(1/(1-'P-Parametri'!$B$6*W424))))</f>
        <v>9185.2259409332055</v>
      </c>
      <c r="Y424" s="18">
        <f>IF($A424&gt;'1-Input'!$B$26,AA423,(AA423-MAX(0,W396-IF($A424&gt;='1-Input'!$C$12,'1-Input'!$B$12,0))+X424*(1-'P-Parametri'!$B$6*W424))*(1+'1-Input'!$B$27))</f>
        <v>-9.0622052084654565E-13</v>
      </c>
      <c r="Z424" s="18">
        <f>IF($A424&gt;'1-Input'!$B$26,AB423,(AB423-X424)*(1+$C$4))</f>
        <v>142098.08364022011</v>
      </c>
      <c r="AA424" s="18">
        <f>IF($A424&gt;'1-Input'!$B$26,Y424,Y424-'P-Parametri'!$B$8*(Z424+Y424)+MIN(MAX(Z424,0),'P-Parametri'!$B$8*(Z424+Y424)))</f>
        <v>-9.0949470177292824E-13</v>
      </c>
      <c r="AB424" s="18">
        <f>IF($A424&gt;'1-Input'!$B$26,Z424,Z424-MIN(MAX(Z424,0),'P-Parametri'!$B$8*(Z424+Y424)))</f>
        <v>141813.88747293968</v>
      </c>
      <c r="AC424" s="18">
        <f>IF($A424&gt;'1-Input'!$B$26,AC423,AC423-X424*(1-W424))</f>
        <v>54284.440147904752</v>
      </c>
      <c r="AD424" s="11">
        <f>IF($A424&gt;'1-Input'!$B$26,0,IF(AI423&lt;=0,0,MAX(0,(AI423-AJ423)/AI423)))</f>
        <v>0.6065184559848914</v>
      </c>
      <c r="AE424" s="18">
        <f>IF($A424&gt;'1-Input'!$B$26,0,(MAX(0,AD396-IF($A424&gt;='1-Input'!$C$12,'1-Input'!$B$12,0))-MIN(MAX(AH423,0),MAX(0,AD396-IF($A424&gt;='1-Input'!$C$12,'1-Input'!$B$12,0))))*(1/(1-'P-Parametri'!$B$6*AD424))+MIN(MAX(0,AI423-(MAX(0,AD396-IF($A424&gt;='1-Input'!$C$12,'1-Input'!$B$12,0))-MIN(MAX(AH423,0),MAX(0,AD396-IF($A424&gt;='1-Input'!$C$12,'1-Input'!$B$12,0))))*(1/(1-'P-Parametri'!$B$6*AD424))),MAX(0,0*AD396-(AH423-MIN(MAX(AH423,0),MAX(0,AD396-IF($A424&gt;='1-Input'!$C$12,'1-Input'!$B$12,0)))))*(1/(1-'P-Parametri'!$B$6*AD424))))</f>
        <v>9193.2793940873962</v>
      </c>
      <c r="AF424" s="18">
        <f>IF($A424&gt;'1-Input'!$B$26,AH423,(AH423-MAX(0,AD396-IF($A424&gt;='1-Input'!$C$12,'1-Input'!$B$12,0))+AE424*(1-'P-Parametri'!$B$6*AD424))*(1+'1-Input'!$B$27))</f>
        <v>-9.0622052084654565E-13</v>
      </c>
      <c r="AG424" s="18">
        <f>IF($A424&gt;'1-Input'!$B$26,AI423,(AI423-AE424)*(1+$C$4))</f>
        <v>141804.72618243532</v>
      </c>
      <c r="AH424" s="18">
        <f>IF($A424&gt;'1-Input'!$B$26,AF424,AF424-'P-Parametri'!$B$8*(AG424+AF424)+MIN(MAX(AG424,0),'P-Parametri'!$B$8*(AG424+AF424)))</f>
        <v>-9.0949470177292824E-13</v>
      </c>
      <c r="AI424" s="18">
        <f>IF($A424&gt;'1-Input'!$B$26,AG424,AG424-MIN(MAX(AG424,0),'P-Parametri'!$B$8*(AG424+AF424)))</f>
        <v>141521.11673007044</v>
      </c>
      <c r="AJ424" s="18">
        <f>IF($A424&gt;'1-Input'!$B$26,AJ423,AJ423-AE424*(1-AD424))</f>
        <v>54172.371463013907</v>
      </c>
      <c r="AK424" s="11">
        <f>IF($A424&gt;'1-Input'!$B$26,0,IF(AP423&lt;=0,0,MAX(0,(AP423-AQ423)/AP423)))</f>
        <v>0.60651845598489096</v>
      </c>
      <c r="AL424" s="18">
        <f>IF($A424&gt;'1-Input'!$B$26,0,(MAX(0,AK396-IF($A424&gt;='1-Input'!$C$12,'1-Input'!$B$12,0))-MIN(MAX(AO423,0),MAX(0,AK396-IF($A424&gt;='1-Input'!$C$12,'1-Input'!$B$12,0))))*(1/(1-'P-Parametri'!$B$6*AK424))+MIN(MAX(0,AP423-(MAX(0,AK396-IF($A424&gt;='1-Input'!$C$12,'1-Input'!$B$12,0))-MIN(MAX(AO423,0),MAX(0,AK396-IF($A424&gt;='1-Input'!$C$12,'1-Input'!$B$12,0))))*(1/(1-'P-Parametri'!$B$6*AK424))),MAX(0,0*AK396-(AO423-MIN(MAX(AO423,0),MAX(0,AK396-IF($A424&gt;='1-Input'!$C$12,'1-Input'!$B$12,0)))))*(1/(1-'P-Parametri'!$B$6*AK424))))</f>
        <v>9192.0288411956135</v>
      </c>
      <c r="AM424" s="18">
        <f>IF($A424&gt;'1-Input'!$B$26,AO423,(AO423-MAX(0,AK396-IF($A424&gt;='1-Input'!$C$12,'1-Input'!$B$12,0))+AL424*(1-'P-Parametri'!$B$6*AK424))*(1+'1-Input'!$B$27))</f>
        <v>0</v>
      </c>
      <c r="AN424" s="18">
        <f>IF($A424&gt;'1-Input'!$B$26,AP423,(AP423-AL424)*(1+$C$4))</f>
        <v>141850.27919058362</v>
      </c>
      <c r="AO424" s="18">
        <f>IF($A424&gt;'1-Input'!$B$26,AM424,AM424-'P-Parametri'!$B$8*(AN424+AM424)+MIN(MAX(AN424,0),'P-Parametri'!$B$8*(AN424+AM424)))</f>
        <v>0</v>
      </c>
      <c r="AP424" s="18">
        <f>IF($A424&gt;'1-Input'!$B$26,AN424,AN424-MIN(MAX(AN424,0),'P-Parametri'!$B$8*(AN424+AM424)))</f>
        <v>141566.57863220247</v>
      </c>
      <c r="AQ424" s="18">
        <f>IF($A424&gt;'1-Input'!$B$26,AQ423,AQ423-AL424*(1-AK424))</f>
        <v>54189.77366493702</v>
      </c>
    </row>
    <row r="425" spans="1:43">
      <c r="A425" s="10">
        <f>27</f>
        <v>27</v>
      </c>
      <c r="B425" s="11">
        <f>IF($A425&gt;'1-Input'!$B$26,0,IF(G424&lt;=0,0,MAX(0,(G424-H424)/G424)))</f>
        <v>0.61721351050147932</v>
      </c>
      <c r="C425" s="18">
        <f>IF($A425&gt;'1-Input'!$B$26,0,(MAX(0,B396-IF($A425&gt;='1-Input'!$C$12,'1-Input'!$B$12,0))-MIN(MAX(F424,0),MAX(0,B396-IF($A425&gt;='1-Input'!$C$12,'1-Input'!$B$12,0))))*(1/(1-'P-Parametri'!$B$6*B425))+MIN(MAX(0,G424-(MAX(0,B396-IF($A425&gt;='1-Input'!$C$12,'1-Input'!$B$12,0))-MIN(MAX(F424,0),MAX(0,B396-IF($A425&gt;='1-Input'!$C$12,'1-Input'!$B$12,0))))*(1/(1-'P-Parametri'!$B$6*B425))),MAX(0,0*B396-(F424-MIN(MAX(F424,0),MAX(0,B396-IF($A425&gt;='1-Input'!$C$12,'1-Input'!$B$12,0)))))*(1/(1-'P-Parametri'!$B$6*B425))))</f>
        <v>6645.4944426583179</v>
      </c>
      <c r="D425" s="18">
        <f>IF($A425&gt;'1-Input'!$B$26,F424,(F424-MAX(0,B396-IF($A425&gt;='1-Input'!$C$12,'1-Input'!$B$12,0))+C425*(1-'P-Parametri'!$B$6*B425))*(1+'1-Input'!$B$27))</f>
        <v>0</v>
      </c>
      <c r="E425" s="18">
        <f>IF($A425&gt;'1-Input'!$B$26,G424,(G424-C425)*(1+$C$4))</f>
        <v>235142.7461053335</v>
      </c>
      <c r="F425" s="18">
        <f>IF($A425&gt;'1-Input'!$B$26,D425,D425-'P-Parametri'!$B$8*(E425+D425)+MIN(MAX(E425,0),'P-Parametri'!$B$8*(E425+D425)))</f>
        <v>0</v>
      </c>
      <c r="G425" s="18">
        <f>IF($A425&gt;'1-Input'!$B$26,E425,E425-MIN(MAX(E425,0),'P-Parametri'!$B$8*(E425+D425)))</f>
        <v>234672.46061312282</v>
      </c>
      <c r="H425" s="18">
        <f>IF($A425&gt;'1-Input'!$B$26,H424,H424-C425*(1-B425))</f>
        <v>87387.831371555876</v>
      </c>
      <c r="I425" s="11">
        <f>IF($A425&gt;'1-Input'!$B$26,0,IF(N424&lt;=0,0,MAX(0,(N424-O424)/N424)))</f>
        <v>0.61721351050147988</v>
      </c>
      <c r="J425" s="18">
        <f>IF($A425&gt;'1-Input'!$B$26,0,(MAX(0,I396-IF($A425&gt;='1-Input'!$C$12,'1-Input'!$B$12,0))-MIN(MAX(M424,0),MAX(0,I396-IF($A425&gt;='1-Input'!$C$12,'1-Input'!$B$12,0))))*(1/(1-'P-Parametri'!$B$6*I425))+MIN(MAX(0,N424-(MAX(0,I396-IF($A425&gt;='1-Input'!$C$12,'1-Input'!$B$12,0))-MIN(MAX(M424,0),MAX(0,I396-IF($A425&gt;='1-Input'!$C$12,'1-Input'!$B$12,0))))*(1/(1-'P-Parametri'!$B$6*I425))),MAX(0,0*I396-(M424-MIN(MAX(M424,0),MAX(0,I396-IF($A425&gt;='1-Input'!$C$12,'1-Input'!$B$12,0)))))*(1/(1-'P-Parametri'!$B$6*I425))))</f>
        <v>12920.119850471056</v>
      </c>
      <c r="K425" s="18">
        <f>IF($A425&gt;'1-Input'!$B$26,M424,(M424-MAX(0,I396-IF($A425&gt;='1-Input'!$C$12,'1-Input'!$B$12,0))+J425*(1-'P-Parametri'!$B$6*I425))*(1+'1-Input'!$B$27))</f>
        <v>0</v>
      </c>
      <c r="L425" s="18">
        <f>IF($A425&gt;'1-Input'!$B$26,N424,(N424-J425)*(1+$C$4))</f>
        <v>-5491.8413443305762</v>
      </c>
      <c r="M425" s="18">
        <f>IF($A425&gt;'1-Input'!$B$26,K425,K425-'P-Parametri'!$B$8*(L425+K425)+MIN(MAX(L425,0),'P-Parametri'!$B$8*(L425+K425)))</f>
        <v>0</v>
      </c>
      <c r="N425" s="18">
        <f>IF($A425&gt;'1-Input'!$B$26,L425,L425-MIN(MAX(L425,0),'P-Parametri'!$B$8*(L425+K425)))</f>
        <v>-5480.857661641915</v>
      </c>
      <c r="O425" s="18">
        <f>IF($A425&gt;'1-Input'!$B$26,O424,O424-J425*(1-I425))</f>
        <v>-2040.9734651253739</v>
      </c>
      <c r="P425" s="11">
        <f>IF($A425&gt;'1-Input'!$B$26,0,IF(U424&lt;=0,0,MAX(0,(U424-V424)/U424)))</f>
        <v>0.61721351050147955</v>
      </c>
      <c r="Q425" s="18">
        <f>IF($A425&gt;'1-Input'!$B$26,0,(MAX(0,P396-IF($A425&gt;='1-Input'!$C$12,'1-Input'!$B$12,0))-MIN(MAX(T424,0),MAX(0,P396-IF($A425&gt;='1-Input'!$C$12,'1-Input'!$B$12,0))))*(1/(1-'P-Parametri'!$B$6*P425))+MIN(MAX(0,U424-(MAX(0,P396-IF($A425&gt;='1-Input'!$C$12,'1-Input'!$B$12,0))-MIN(MAX(T424,0),MAX(0,P396-IF($A425&gt;='1-Input'!$C$12,'1-Input'!$B$12,0))))*(1/(1-'P-Parametri'!$B$6*P425))),MAX(0,0*P396-(T424-MIN(MAX(T424,0),MAX(0,P396-IF($A425&gt;='1-Input'!$C$12,'1-Input'!$B$12,0)))))*(1/(1-'P-Parametri'!$B$6*P425))))</f>
        <v>9520.912999553062</v>
      </c>
      <c r="R425" s="18">
        <f>IF($A425&gt;'1-Input'!$B$26,T424,(T424-MAX(0,P396-IF($A425&gt;='1-Input'!$C$12,'1-Input'!$B$12,0))+Q425*(1-'P-Parametri'!$B$6*P425))*(1+'1-Input'!$B$27))</f>
        <v>0</v>
      </c>
      <c r="S425" s="18">
        <f>IF($A425&gt;'1-Input'!$B$26,U424,(U424-Q425)*(1+$C$4))</f>
        <v>124869.20574036798</v>
      </c>
      <c r="T425" s="18">
        <f>IF($A425&gt;'1-Input'!$B$26,R425,R425-'P-Parametri'!$B$8*(S425+R425)+MIN(MAX(S425,0),'P-Parametri'!$B$8*(S425+R425)))</f>
        <v>0</v>
      </c>
      <c r="U425" s="18">
        <f>IF($A425&gt;'1-Input'!$B$26,S425,S425-MIN(MAX(S425,0),'P-Parametri'!$B$8*(S425+R425)))</f>
        <v>124619.46732888724</v>
      </c>
      <c r="V425" s="18">
        <f>IF($A425&gt;'1-Input'!$B$26,V424,V424-Q425*(1-P425))</f>
        <v>46406.063021188311</v>
      </c>
      <c r="W425" s="11">
        <f>IF($A425&gt;'1-Input'!$B$26,0,IF(AB424&lt;=0,0,MAX(0,(AB424-AC424)/AB424)))</f>
        <v>0.61721351050147977</v>
      </c>
      <c r="X425" s="18">
        <f>IF($A425&gt;'1-Input'!$B$26,0,(MAX(0,W396-IF($A425&gt;='1-Input'!$C$12,'1-Input'!$B$12,0))-MIN(MAX(AA424,0),MAX(0,W396-IF($A425&gt;='1-Input'!$C$12,'1-Input'!$B$12,0))))*(1/(1-'P-Parametri'!$B$6*W425))+MIN(MAX(0,AB424-(MAX(0,W396-IF($A425&gt;='1-Input'!$C$12,'1-Input'!$B$12,0))-MIN(MAX(AA424,0),MAX(0,W396-IF($A425&gt;='1-Input'!$C$12,'1-Input'!$B$12,0))))*(1/(1-'P-Parametri'!$B$6*W425))),MAX(0,0*W396-(AA424-MIN(MAX(AA424,0),MAX(0,W396-IF($A425&gt;='1-Input'!$C$12,'1-Input'!$B$12,0)))))*(1/(1-'P-Parametri'!$B$6*W425))))</f>
        <v>9215.6496967086823</v>
      </c>
      <c r="Y425" s="18">
        <f>IF($A425&gt;'1-Input'!$B$26,AA424,(AA424-MAX(0,W396-IF($A425&gt;='1-Input'!$C$12,'1-Input'!$B$12,0))+X425*(1-'P-Parametri'!$B$6*W425))*(1+'1-Input'!$B$27))</f>
        <v>9.0622052084654565E-13</v>
      </c>
      <c r="Z425" s="18">
        <f>IF($A425&gt;'1-Input'!$B$26,AB424,(AB424-X425)*(1+$C$4))</f>
        <v>136576.18490951794</v>
      </c>
      <c r="AA425" s="18">
        <f>IF($A425&gt;'1-Input'!$B$26,Y425,Y425-'P-Parametri'!$B$8*(Z425+Y425)+MIN(MAX(Z425,0),'P-Parametri'!$B$8*(Z425+Y425)))</f>
        <v>9.0949470177292824E-13</v>
      </c>
      <c r="AB425" s="18">
        <f>IF($A425&gt;'1-Input'!$B$26,Z425,Z425-MIN(MAX(Z425,0),'P-Parametri'!$B$8*(Z425+Y425)))</f>
        <v>136303.03253969891</v>
      </c>
      <c r="AC425" s="18">
        <f>IF($A425&gt;'1-Input'!$B$26,AC424,AC424-X425*(1-W425))</f>
        <v>50756.813952053533</v>
      </c>
      <c r="AD425" s="11">
        <f>IF($A425&gt;'1-Input'!$B$26,0,IF(AI424&lt;=0,0,MAX(0,(AI424-AJ424)/AI424)))</f>
        <v>0.61721351050148021</v>
      </c>
      <c r="AE425" s="18">
        <f>IF($A425&gt;'1-Input'!$B$26,0,(MAX(0,AD396-IF($A425&gt;='1-Input'!$C$12,'1-Input'!$B$12,0))-MIN(MAX(AH424,0),MAX(0,AD396-IF($A425&gt;='1-Input'!$C$12,'1-Input'!$B$12,0))))*(1/(1-'P-Parametri'!$B$6*AD425))+MIN(MAX(0,AI424-(MAX(0,AD396-IF($A425&gt;='1-Input'!$C$12,'1-Input'!$B$12,0))-MIN(MAX(AH424,0),MAX(0,AD396-IF($A425&gt;='1-Input'!$C$12,'1-Input'!$B$12,0))))*(1/(1-'P-Parametri'!$B$6*AD425))),MAX(0,0*AD396-(AH424-MIN(MAX(AH424,0),MAX(0,AD396-IF($A425&gt;='1-Input'!$C$12,'1-Input'!$B$12,0)))))*(1/(1-'P-Parametri'!$B$6*AD425))))</f>
        <v>9223.7298249053256</v>
      </c>
      <c r="AF425" s="18">
        <f>IF($A425&gt;'1-Input'!$B$26,AH424,(AH424-MAX(0,AD396-IF($A425&gt;='1-Input'!$C$12,'1-Input'!$B$12,0))+AE425*(1-'P-Parametri'!$B$6*AD425))*(1+'1-Input'!$B$27))</f>
        <v>0</v>
      </c>
      <c r="AG425" s="18">
        <f>IF($A425&gt;'1-Input'!$B$26,AI424,(AI424-AE425)*(1+$C$4))</f>
        <v>136266.30851232007</v>
      </c>
      <c r="AH425" s="18">
        <f>IF($A425&gt;'1-Input'!$B$26,AF425,AF425-'P-Parametri'!$B$8*(AG425+AF425)+MIN(MAX(AG425,0),'P-Parametri'!$B$8*(AG425+AF425)))</f>
        <v>0</v>
      </c>
      <c r="AI425" s="18">
        <f>IF($A425&gt;'1-Input'!$B$26,AG425,AG425-MIN(MAX(AG425,0),'P-Parametri'!$B$8*(AG425+AF425)))</f>
        <v>135993.77589529543</v>
      </c>
      <c r="AJ425" s="18">
        <f>IF($A425&gt;'1-Input'!$B$26,AJ424,AJ424-AE425*(1-AD425))</f>
        <v>50641.6523032556</v>
      </c>
      <c r="AK425" s="11">
        <f>IF($A425&gt;'1-Input'!$B$26,0,IF(AP424&lt;=0,0,MAX(0,(AP424-AQ424)/AP424)))</f>
        <v>0.61721351050147966</v>
      </c>
      <c r="AL425" s="18">
        <f>IF($A425&gt;'1-Input'!$B$26,0,(MAX(0,AK396-IF($A425&gt;='1-Input'!$C$12,'1-Input'!$B$12,0))-MIN(MAX(AO424,0),MAX(0,AK396-IF($A425&gt;='1-Input'!$C$12,'1-Input'!$B$12,0))))*(1/(1-'P-Parametri'!$B$6*AK425))+MIN(MAX(0,AP424-(MAX(0,AK396-IF($A425&gt;='1-Input'!$C$12,'1-Input'!$B$12,0))-MIN(MAX(AO424,0),MAX(0,AK396-IF($A425&gt;='1-Input'!$C$12,'1-Input'!$B$12,0))))*(1/(1-'P-Parametri'!$B$6*AK425))),MAX(0,0*AK396-(AO424-MIN(MAX(AO424,0),MAX(0,AK396-IF($A425&gt;='1-Input'!$C$12,'1-Input'!$B$12,0)))))*(1/(1-'P-Parametri'!$B$6*AK425))))</f>
        <v>9222.475129870927</v>
      </c>
      <c r="AM425" s="18">
        <f>IF($A425&gt;'1-Input'!$B$26,AO424,(AO424-MAX(0,AK396-IF($A425&gt;='1-Input'!$C$12,'1-Input'!$B$12,0))+AL425*(1-'P-Parametri'!$B$6*AK425))*(1+'1-Input'!$B$27))</f>
        <v>-9.0622052084654565E-13</v>
      </c>
      <c r="AN425" s="18">
        <f>IF($A425&gt;'1-Input'!$B$26,AP424,(AP424-AL425)*(1+$C$4))</f>
        <v>136314.42660740149</v>
      </c>
      <c r="AO425" s="18">
        <f>IF($A425&gt;'1-Input'!$B$26,AM425,AM425-'P-Parametri'!$B$8*(AN425+AM425)+MIN(MAX(AN425,0),'P-Parametri'!$B$8*(AN425+AM425)))</f>
        <v>-9.0949470177292824E-13</v>
      </c>
      <c r="AP425" s="18">
        <f>IF($A425&gt;'1-Input'!$B$26,AN425,AN425-MIN(MAX(AN425,0),'P-Parametri'!$B$8*(AN425+AM425)))</f>
        <v>136041.79775418667</v>
      </c>
      <c r="AQ425" s="18">
        <f>IF($A425&gt;'1-Input'!$B$26,AQ424,AQ424-AL425*(1-AK425))</f>
        <v>50659.534785486314</v>
      </c>
    </row>
    <row r="426" spans="1:43">
      <c r="A426" s="10">
        <f>28</f>
        <v>28</v>
      </c>
      <c r="B426" s="11">
        <f>IF($A426&gt;'1-Input'!$B$26,0,IF(G425&lt;=0,0,MAX(0,(G425-H425)/G425)))</f>
        <v>0.62761786728941305</v>
      </c>
      <c r="C426" s="18">
        <f>IF($A426&gt;'1-Input'!$B$26,0,(MAX(0,B396-IF($A426&gt;='1-Input'!$C$12,'1-Input'!$B$12,0))-MIN(MAX(F425,0),MAX(0,B396-IF($A426&gt;='1-Input'!$C$12,'1-Input'!$B$12,0))))*(1/(1-'P-Parametri'!$B$6*B426))+MIN(MAX(0,G425-(MAX(0,B396-IF($A426&gt;='1-Input'!$C$12,'1-Input'!$B$12,0))-MIN(MAX(F425,0),MAX(0,B396-IF($A426&gt;='1-Input'!$C$12,'1-Input'!$B$12,0))))*(1/(1-'P-Parametri'!$B$6*B426))),MAX(0,0*B396-(F425-MIN(MAX(F425,0),MAX(0,B396-IF($A426&gt;='1-Input'!$C$12,'1-Input'!$B$12,0)))))*(1/(1-'P-Parametri'!$B$6*B426))))</f>
        <v>6666.9769103603076</v>
      </c>
      <c r="D426" s="18">
        <f>IF($A426&gt;'1-Input'!$B$26,F425,(F425-MAX(0,B396-IF($A426&gt;='1-Input'!$C$12,'1-Input'!$B$12,0))+C426*(1-'P-Parametri'!$B$6*B426))*(1+'1-Input'!$B$27))</f>
        <v>0</v>
      </c>
      <c r="E426" s="18">
        <f>IF($A426&gt;'1-Input'!$B$26,G425,(G425-C426)*(1+$C$4))</f>
        <v>234845.64821384539</v>
      </c>
      <c r="F426" s="18">
        <f>IF($A426&gt;'1-Input'!$B$26,D426,D426-'P-Parametri'!$B$8*(E426+D426)+MIN(MAX(E426,0),'P-Parametri'!$B$8*(E426+D426)))</f>
        <v>0</v>
      </c>
      <c r="G426" s="18">
        <f>IF($A426&gt;'1-Input'!$B$26,E426,E426-MIN(MAX(E426,0),'P-Parametri'!$B$8*(E426+D426)))</f>
        <v>234375.9569174177</v>
      </c>
      <c r="H426" s="18">
        <f>IF($A426&gt;'1-Input'!$B$26,H425,H425-C426*(1-B426))</f>
        <v>84905.168290943664</v>
      </c>
      <c r="I426" s="11">
        <f>IF($A426&gt;'1-Input'!$B$26,0,IF(N425&lt;=0,0,MAX(0,(N425-O425)/N425)))</f>
        <v>0</v>
      </c>
      <c r="J426" s="18">
        <f>IF($A426&gt;'1-Input'!$B$26,0,(MAX(0,I396-IF($A426&gt;='1-Input'!$C$12,'1-Input'!$B$12,0))-MIN(MAX(M425,0),MAX(0,I396-IF($A426&gt;='1-Input'!$C$12,'1-Input'!$B$12,0))))*(1/(1-'P-Parametri'!$B$6*I426))+MIN(MAX(0,N425-(MAX(0,I396-IF($A426&gt;='1-Input'!$C$12,'1-Input'!$B$12,0))-MIN(MAX(M425,0),MAX(0,I396-IF($A426&gt;='1-Input'!$C$12,'1-Input'!$B$12,0))))*(1/(1-'P-Parametri'!$B$6*I426))),MAX(0,0*I396-(M425-MIN(MAX(M425,0),MAX(0,I396-IF($A426&gt;='1-Input'!$C$12,'1-Input'!$B$12,0)))))*(1/(1-'P-Parametri'!$B$6*I426))))</f>
        <v>10846.756992928691</v>
      </c>
      <c r="K426" s="18">
        <f>IF($A426&gt;'1-Input'!$B$26,M425,(M425-MAX(0,I396-IF($A426&gt;='1-Input'!$C$12,'1-Input'!$B$12,0))+J426*(1-'P-Parametri'!$B$6*I426))*(1+'1-Input'!$B$27))</f>
        <v>0</v>
      </c>
      <c r="L426" s="18">
        <f>IF($A426&gt;'1-Input'!$B$26,N425,(N425-J426)*(1+$C$4))</f>
        <v>-16817.443094207727</v>
      </c>
      <c r="M426" s="18">
        <f>IF($A426&gt;'1-Input'!$B$26,K426,K426-'P-Parametri'!$B$8*(L426+K426)+MIN(MAX(L426,0),'P-Parametri'!$B$8*(L426+K426)))</f>
        <v>0</v>
      </c>
      <c r="N426" s="18">
        <f>IF($A426&gt;'1-Input'!$B$26,L426,L426-MIN(MAX(L426,0),'P-Parametri'!$B$8*(L426+K426)))</f>
        <v>-16783.808208019313</v>
      </c>
      <c r="O426" s="18">
        <f>IF($A426&gt;'1-Input'!$B$26,O425,O425-J426*(1-I426))</f>
        <v>-12887.730458054066</v>
      </c>
      <c r="P426" s="11">
        <f>IF($A426&gt;'1-Input'!$B$26,0,IF(U425&lt;=0,0,MAX(0,(U425-V425)/U425)))</f>
        <v>0.62761786728941327</v>
      </c>
      <c r="Q426" s="18">
        <f>IF($A426&gt;'1-Input'!$B$26,0,(MAX(0,P396-IF($A426&gt;='1-Input'!$C$12,'1-Input'!$B$12,0))-MIN(MAX(T425,0),MAX(0,P396-IF($A426&gt;='1-Input'!$C$12,'1-Input'!$B$12,0))))*(1/(1-'P-Parametri'!$B$6*P426))+MIN(MAX(0,U425-(MAX(0,P396-IF($A426&gt;='1-Input'!$C$12,'1-Input'!$B$12,0))-MIN(MAX(T425,0),MAX(0,P396-IF($A426&gt;='1-Input'!$C$12,'1-Input'!$B$12,0))))*(1/(1-'P-Parametri'!$B$6*P426))),MAX(0,0*P396-(T425-MIN(MAX(T425,0),MAX(0,P396-IF($A426&gt;='1-Input'!$C$12,'1-Input'!$B$12,0)))))*(1/(1-'P-Parametri'!$B$6*P426))))</f>
        <v>9551.6906501509511</v>
      </c>
      <c r="R426" s="18">
        <f>IF($A426&gt;'1-Input'!$B$26,T425,(T425-MAX(0,P396-IF($A426&gt;='1-Input'!$C$12,'1-Input'!$B$12,0))+Q426*(1-'P-Parametri'!$B$6*P426))*(1+'1-Input'!$B$27))</f>
        <v>0</v>
      </c>
      <c r="S426" s="18">
        <f>IF($A426&gt;'1-Input'!$B$26,U425,(U425-Q426)*(1+$C$4))</f>
        <v>118519.80997909838</v>
      </c>
      <c r="T426" s="18">
        <f>IF($A426&gt;'1-Input'!$B$26,R426,R426-'P-Parametri'!$B$8*(S426+R426)+MIN(MAX(S426,0),'P-Parametri'!$B$8*(S426+R426)))</f>
        <v>0</v>
      </c>
      <c r="U426" s="18">
        <f>IF($A426&gt;'1-Input'!$B$26,S426,S426-MIN(MAX(S426,0),'P-Parametri'!$B$8*(S426+R426)))</f>
        <v>118282.77035914018</v>
      </c>
      <c r="V426" s="18">
        <f>IF($A426&gt;'1-Input'!$B$26,V425,V425-Q426*(1-P426))</f>
        <v>42849.184085893328</v>
      </c>
      <c r="W426" s="11">
        <f>IF($A426&gt;'1-Input'!$B$26,0,IF(AB425&lt;=0,0,MAX(0,(AB425-AC425)/AB425)))</f>
        <v>0.6276178672894136</v>
      </c>
      <c r="X426" s="18">
        <f>IF($A426&gt;'1-Input'!$B$26,0,(MAX(0,W396-IF($A426&gt;='1-Input'!$C$12,'1-Input'!$B$12,0))-MIN(MAX(AA425,0),MAX(0,W396-IF($A426&gt;='1-Input'!$C$12,'1-Input'!$B$12,0))))*(1/(1-'P-Parametri'!$B$6*W426))+MIN(MAX(0,AB425-(MAX(0,W396-IF($A426&gt;='1-Input'!$C$12,'1-Input'!$B$12,0))-MIN(MAX(AA425,0),MAX(0,W396-IF($A426&gt;='1-Input'!$C$12,'1-Input'!$B$12,0))))*(1/(1-'P-Parametri'!$B$6*W426))),MAX(0,0*W396-(AA425-MIN(MAX(AA425,0),MAX(0,W396-IF($A426&gt;='1-Input'!$C$12,'1-Input'!$B$12,0)))))*(1/(1-'P-Parametri'!$B$6*W426))))</f>
        <v>9245.4405420205912</v>
      </c>
      <c r="Y426" s="18">
        <f>IF($A426&gt;'1-Input'!$B$26,AA425,(AA425-MAX(0,W396-IF($A426&gt;='1-Input'!$C$12,'1-Input'!$B$12,0))+X426*(1-'P-Parametri'!$B$6*W426))*(1+'1-Input'!$B$27))</f>
        <v>0</v>
      </c>
      <c r="Z426" s="18">
        <f>IF($A426&gt;'1-Input'!$B$26,AB425,(AB425-X426)*(1+$C$4))</f>
        <v>130869.31975760867</v>
      </c>
      <c r="AA426" s="18">
        <f>IF($A426&gt;'1-Input'!$B$26,Y426,Y426-'P-Parametri'!$B$8*(Z426+Y426)+MIN(MAX(Z426,0),'P-Parametri'!$B$8*(Z426+Y426)))</f>
        <v>0</v>
      </c>
      <c r="AB426" s="18">
        <f>IF($A426&gt;'1-Input'!$B$26,Z426,Z426-MIN(MAX(Z426,0),'P-Parametri'!$B$8*(Z426+Y426)))</f>
        <v>130607.58111809345</v>
      </c>
      <c r="AC426" s="18">
        <f>IF($A426&gt;'1-Input'!$B$26,AC425,AC425-X426*(1-W426))</f>
        <v>47313.977085166989</v>
      </c>
      <c r="AD426" s="11">
        <f>IF($A426&gt;'1-Input'!$B$26,0,IF(AI425&lt;=0,0,MAX(0,(AI425-AJ425)/AI425)))</f>
        <v>0.62761786728941393</v>
      </c>
      <c r="AE426" s="18">
        <f>IF($A426&gt;'1-Input'!$B$26,0,(MAX(0,AD396-IF($A426&gt;='1-Input'!$C$12,'1-Input'!$B$12,0))-MIN(MAX(AH425,0),MAX(0,AD396-IF($A426&gt;='1-Input'!$C$12,'1-Input'!$B$12,0))))*(1/(1-'P-Parametri'!$B$6*AD426))+MIN(MAX(0,AI425-(MAX(0,AD396-IF($A426&gt;='1-Input'!$C$12,'1-Input'!$B$12,0))-MIN(MAX(AH425,0),MAX(0,AD396-IF($A426&gt;='1-Input'!$C$12,'1-Input'!$B$12,0))))*(1/(1-'P-Parametri'!$B$6*AD426))),MAX(0,0*AD396-(AH425-MIN(MAX(AH425,0),MAX(0,AD396-IF($A426&gt;='1-Input'!$C$12,'1-Input'!$B$12,0)))))*(1/(1-'P-Parametri'!$B$6*AD426))))</f>
        <v>9253.5467903343324</v>
      </c>
      <c r="AF426" s="18">
        <f>IF($A426&gt;'1-Input'!$B$26,AH425,(AH425-MAX(0,AD396-IF($A426&gt;='1-Input'!$C$12,'1-Input'!$B$12,0))+AE426*(1-'P-Parametri'!$B$6*AD426))*(1+'1-Input'!$B$27))</f>
        <v>0</v>
      </c>
      <c r="AG426" s="18">
        <f>IF($A426&gt;'1-Input'!$B$26,AI425,(AI425-AE426)*(1+$C$4))</f>
        <v>130542.43597810993</v>
      </c>
      <c r="AH426" s="18">
        <f>IF($A426&gt;'1-Input'!$B$26,AF426,AF426-'P-Parametri'!$B$8*(AG426+AF426)+MIN(MAX(AG426,0),'P-Parametri'!$B$8*(AG426+AF426)))</f>
        <v>0</v>
      </c>
      <c r="AI426" s="18">
        <f>IF($A426&gt;'1-Input'!$B$26,AG426,AG426-MIN(MAX(AG426,0),'P-Parametri'!$B$8*(AG426+AF426)))</f>
        <v>130281.35110615371</v>
      </c>
      <c r="AJ426" s="18">
        <f>IF($A426&gt;'1-Input'!$B$26,AJ425,AJ425-AE426*(1-AD426))</f>
        <v>47195.796814333706</v>
      </c>
      <c r="AK426" s="11">
        <f>IF($A426&gt;'1-Input'!$B$26,0,IF(AP425&lt;=0,0,MAX(0,(AP425-AQ425)/AP425)))</f>
        <v>0.62761786728941338</v>
      </c>
      <c r="AL426" s="18">
        <f>IF($A426&gt;'1-Input'!$B$26,0,(MAX(0,AK396-IF($A426&gt;='1-Input'!$C$12,'1-Input'!$B$12,0))-MIN(MAX(AO425,0),MAX(0,AK396-IF($A426&gt;='1-Input'!$C$12,'1-Input'!$B$12,0))))*(1/(1-'P-Parametri'!$B$6*AK426))+MIN(MAX(0,AP425-(MAX(0,AK396-IF($A426&gt;='1-Input'!$C$12,'1-Input'!$B$12,0))-MIN(MAX(AO425,0),MAX(0,AK396-IF($A426&gt;='1-Input'!$C$12,'1-Input'!$B$12,0))))*(1/(1-'P-Parametri'!$B$6*AK426))),MAX(0,0*AK396-(AO425-MIN(MAX(AO425,0),MAX(0,AK396-IF($A426&gt;='1-Input'!$C$12,'1-Input'!$B$12,0)))))*(1/(1-'P-Parametri'!$B$6*AK426))))</f>
        <v>9252.2880393270116</v>
      </c>
      <c r="AM426" s="18">
        <f>IF($A426&gt;'1-Input'!$B$26,AO425,(AO425-MAX(0,AK396-IF($A426&gt;='1-Input'!$C$12,'1-Input'!$B$12,0))+AL426*(1-'P-Parametri'!$B$6*AK426))*(1+'1-Input'!$B$27))</f>
        <v>1.8124410416930913E-12</v>
      </c>
      <c r="AN426" s="18">
        <f>IF($A426&gt;'1-Input'!$B$26,AP425,(AP425-AL426)*(1+$C$4))</f>
        <v>130593.19500630545</v>
      </c>
      <c r="AO426" s="18">
        <f>IF($A426&gt;'1-Input'!$B$26,AM426,AM426-'P-Parametri'!$B$8*(AN426+AM426)+MIN(MAX(AN426,0),'P-Parametri'!$B$8*(AN426+AM426)))</f>
        <v>1.8189894035458565E-12</v>
      </c>
      <c r="AP426" s="18">
        <f>IF($A426&gt;'1-Input'!$B$26,AN426,AN426-MIN(MAX(AN426,0),'P-Parametri'!$B$8*(AN426+AM426)))</f>
        <v>130332.00861629285</v>
      </c>
      <c r="AQ426" s="18">
        <f>IF($A426&gt;'1-Input'!$B$26,AQ425,AQ425-AL426*(1-AK426))</f>
        <v>47214.148032949073</v>
      </c>
    </row>
    <row r="427" spans="1:43">
      <c r="A427" s="10">
        <f>29</f>
        <v>29</v>
      </c>
      <c r="B427" s="11">
        <f>IF($A427&gt;'1-Input'!$B$26,0,IF(G426&lt;=0,0,MAX(0,(G426-H426)/G426)))</f>
        <v>0.637739427680033</v>
      </c>
      <c r="C427" s="18">
        <f>IF($A427&gt;'1-Input'!$B$26,0,(MAX(0,B396-IF($A427&gt;='1-Input'!$C$12,'1-Input'!$B$12,0))-MIN(MAX(F426,0),MAX(0,B396-IF($A427&gt;='1-Input'!$C$12,'1-Input'!$B$12,0))))*(1/(1-'P-Parametri'!$B$6*B427))+MIN(MAX(0,G426-(MAX(0,B396-IF($A427&gt;='1-Input'!$C$12,'1-Input'!$B$12,0))-MIN(MAX(F426,0),MAX(0,B396-IF($A427&gt;='1-Input'!$C$12,'1-Input'!$B$12,0))))*(1/(1-'P-Parametri'!$B$6*B427))),MAX(0,0*B396-(F426-MIN(MAX(F426,0),MAX(0,B396-IF($A427&gt;='1-Input'!$C$12,'1-Input'!$B$12,0)))))*(1/(1-'P-Parametri'!$B$6*B427))))</f>
        <v>6688.0091713526954</v>
      </c>
      <c r="D427" s="18">
        <f>IF($A427&gt;'1-Input'!$B$26,F426,(F426-MAX(0,B396-IF($A427&gt;='1-Input'!$C$12,'1-Input'!$B$12,0))+C427*(1-'P-Parametri'!$B$6*B427))*(1+'1-Input'!$B$27))</f>
        <v>0</v>
      </c>
      <c r="E427" s="18">
        <f>IF($A427&gt;'1-Input'!$B$26,G426,(G426-C427)*(1+$C$4))</f>
        <v>234518.58617844697</v>
      </c>
      <c r="F427" s="18">
        <f>IF($A427&gt;'1-Input'!$B$26,D427,D427-'P-Parametri'!$B$8*(E427+D427)+MIN(MAX(E427,0),'P-Parametri'!$B$8*(E427+D427)))</f>
        <v>0</v>
      </c>
      <c r="G427" s="18">
        <f>IF($A427&gt;'1-Input'!$B$26,E427,E427-MIN(MAX(E427,0),'P-Parametri'!$B$8*(E427+D427)))</f>
        <v>234049.54900609009</v>
      </c>
      <c r="H427" s="18">
        <f>IF($A427&gt;'1-Input'!$B$26,H426,H426-C427*(1-B427))</f>
        <v>82482.366260848241</v>
      </c>
      <c r="I427" s="11">
        <f>IF($A427&gt;'1-Input'!$B$26,0,IF(N426&lt;=0,0,MAX(0,(N426-O426)/N426)))</f>
        <v>0</v>
      </c>
      <c r="J427" s="18">
        <f>IF($A427&gt;'1-Input'!$B$26,0,(MAX(0,I396-IF($A427&gt;='1-Input'!$C$12,'1-Input'!$B$12,0))-MIN(MAX(M426,0),MAX(0,I396-IF($A427&gt;='1-Input'!$C$12,'1-Input'!$B$12,0))))*(1/(1-'P-Parametri'!$B$6*I427))+MIN(MAX(0,N426-(MAX(0,I396-IF($A427&gt;='1-Input'!$C$12,'1-Input'!$B$12,0))-MIN(MAX(M426,0),MAX(0,I396-IF($A427&gt;='1-Input'!$C$12,'1-Input'!$B$12,0))))*(1/(1-'P-Parametri'!$B$6*I427))),MAX(0,0*I396-(M426-MIN(MAX(M426,0),MAX(0,I396-IF($A427&gt;='1-Input'!$C$12,'1-Input'!$B$12,0)))))*(1/(1-'P-Parametri'!$B$6*I427))))</f>
        <v>10846.756992928691</v>
      </c>
      <c r="K427" s="18">
        <f>IF($A427&gt;'1-Input'!$B$26,M426,(M426-MAX(0,I396-IF($A427&gt;='1-Input'!$C$12,'1-Input'!$B$12,0))+J427*(1-'P-Parametri'!$B$6*I427))*(1+'1-Input'!$B$27))</f>
        <v>0</v>
      </c>
      <c r="L427" s="18">
        <f>IF($A427&gt;'1-Input'!$B$26,N426,(N426-J427)*(1+$C$4))</f>
        <v>-28459.482156976446</v>
      </c>
      <c r="M427" s="18">
        <f>IF($A427&gt;'1-Input'!$B$26,K427,K427-'P-Parametri'!$B$8*(L427+K427)+MIN(MAX(L427,0),'P-Parametri'!$B$8*(L427+K427)))</f>
        <v>0</v>
      </c>
      <c r="N427" s="18">
        <f>IF($A427&gt;'1-Input'!$B$26,L427,L427-MIN(MAX(L427,0),'P-Parametri'!$B$8*(L427+K427)))</f>
        <v>-28402.563192662492</v>
      </c>
      <c r="O427" s="18">
        <f>IF($A427&gt;'1-Input'!$B$26,O426,O426-J427*(1-I427))</f>
        <v>-23734.487450982757</v>
      </c>
      <c r="P427" s="11">
        <f>IF($A427&gt;'1-Input'!$B$26,0,IF(U426&lt;=0,0,MAX(0,(U426-V426)/U426)))</f>
        <v>0.63773942768003322</v>
      </c>
      <c r="Q427" s="18">
        <f>IF($A427&gt;'1-Input'!$B$26,0,(MAX(0,P396-IF($A427&gt;='1-Input'!$C$12,'1-Input'!$B$12,0))-MIN(MAX(T426,0),MAX(0,P396-IF($A427&gt;='1-Input'!$C$12,'1-Input'!$B$12,0))))*(1/(1-'P-Parametri'!$B$6*P427))+MIN(MAX(0,U426-(MAX(0,P396-IF($A427&gt;='1-Input'!$C$12,'1-Input'!$B$12,0))-MIN(MAX(T426,0),MAX(0,P396-IF($A427&gt;='1-Input'!$C$12,'1-Input'!$B$12,0))))*(1/(1-'P-Parametri'!$B$6*P427))),MAX(0,0*P396-(T426-MIN(MAX(T426,0),MAX(0,P396-IF($A427&gt;='1-Input'!$C$12,'1-Input'!$B$12,0)))))*(1/(1-'P-Parametri'!$B$6*P427))))</f>
        <v>9581.8232954823525</v>
      </c>
      <c r="R427" s="18">
        <f>IF($A427&gt;'1-Input'!$B$26,T426,(T426-MAX(0,P396-IF($A427&gt;='1-Input'!$C$12,'1-Input'!$B$12,0))+Q427*(1-'P-Parametri'!$B$6*P427))*(1+'1-Input'!$B$27))</f>
        <v>9.0622052084654565E-13</v>
      </c>
      <c r="S427" s="18">
        <f>IF($A427&gt;'1-Input'!$B$26,U426,(U426-Q427)*(1+$C$4))</f>
        <v>111961.97547556757</v>
      </c>
      <c r="T427" s="18">
        <f>IF($A427&gt;'1-Input'!$B$26,R427,R427-'P-Parametri'!$B$8*(S427+R427)+MIN(MAX(S427,0),'P-Parametri'!$B$8*(S427+R427)))</f>
        <v>9.0949470177292824E-13</v>
      </c>
      <c r="U427" s="18">
        <f>IF($A427&gt;'1-Input'!$B$26,S427,S427-MIN(MAX(S427,0),'P-Parametri'!$B$8*(S427+R427)))</f>
        <v>111738.05152461643</v>
      </c>
      <c r="V427" s="18">
        <f>IF($A427&gt;'1-Input'!$B$26,V426,V426-Q427*(1-P427))</f>
        <v>39378.0672950031</v>
      </c>
      <c r="W427" s="11">
        <f>IF($A427&gt;'1-Input'!$B$26,0,IF(AB426&lt;=0,0,MAX(0,(AB426-AC426)/AB426)))</f>
        <v>0.63773942768003344</v>
      </c>
      <c r="X427" s="18">
        <f>IF($A427&gt;'1-Input'!$B$26,0,(MAX(0,W396-IF($A427&gt;='1-Input'!$C$12,'1-Input'!$B$12,0))-MIN(MAX(AA426,0),MAX(0,W396-IF($A427&gt;='1-Input'!$C$12,'1-Input'!$B$12,0))))*(1/(1-'P-Parametri'!$B$6*W427))+MIN(MAX(0,AB426-(MAX(0,W396-IF($A427&gt;='1-Input'!$C$12,'1-Input'!$B$12,0))-MIN(MAX(AA426,0),MAX(0,W396-IF($A427&gt;='1-Input'!$C$12,'1-Input'!$B$12,0))))*(1/(1-'P-Parametri'!$B$6*W427))),MAX(0,0*W396-(AA426-MIN(MAX(AA426,0),MAX(0,W396-IF($A427&gt;='1-Input'!$C$12,'1-Input'!$B$12,0)))))*(1/(1-'P-Parametri'!$B$6*W427))))</f>
        <v>9274.6070624816421</v>
      </c>
      <c r="Y427" s="18">
        <f>IF($A427&gt;'1-Input'!$B$26,AA426,(AA426-MAX(0,W396-IF($A427&gt;='1-Input'!$C$12,'1-Input'!$B$12,0))+X427*(1-'P-Parametri'!$B$6*W427))*(1+'1-Input'!$B$27))</f>
        <v>-9.0622052084654565E-13</v>
      </c>
      <c r="Z427" s="18">
        <f>IF($A427&gt;'1-Input'!$B$26,AB426,(AB426-X427)*(1+$C$4))</f>
        <v>124972.96327728017</v>
      </c>
      <c r="AA427" s="18">
        <f>IF($A427&gt;'1-Input'!$B$26,Y427,Y427-'P-Parametri'!$B$8*(Z427+Y427)+MIN(MAX(Z427,0),'P-Parametri'!$B$8*(Z427+Y427)))</f>
        <v>-9.0949470177292824E-13</v>
      </c>
      <c r="AB427" s="18">
        <f>IF($A427&gt;'1-Input'!$B$26,Z427,Z427-MIN(MAX(Z427,0),'P-Parametri'!$B$8*(Z427+Y427)))</f>
        <v>124723.01735072561</v>
      </c>
      <c r="AC427" s="18">
        <f>IF($A427&gt;'1-Input'!$B$26,AC426,AC426-X427*(1-W427))</f>
        <v>43954.152622669586</v>
      </c>
      <c r="AD427" s="11">
        <f>IF($A427&gt;'1-Input'!$B$26,0,IF(AI426&lt;=0,0,MAX(0,(AI426-AJ426)/AI426)))</f>
        <v>0.63773942768003378</v>
      </c>
      <c r="AE427" s="18">
        <f>IF($A427&gt;'1-Input'!$B$26,0,(MAX(0,AD396-IF($A427&gt;='1-Input'!$C$12,'1-Input'!$B$12,0))-MIN(MAX(AH426,0),MAX(0,AD396-IF($A427&gt;='1-Input'!$C$12,'1-Input'!$B$12,0))))*(1/(1-'P-Parametri'!$B$6*AD427))+MIN(MAX(0,AI426-(MAX(0,AD396-IF($A427&gt;='1-Input'!$C$12,'1-Input'!$B$12,0))-MIN(MAX(AH426,0),MAX(0,AD396-IF($A427&gt;='1-Input'!$C$12,'1-Input'!$B$12,0))))*(1/(1-'P-Parametri'!$B$6*AD427))),MAX(0,0*AD396-(AH426-MIN(MAX(AH426,0),MAX(0,AD396-IF($A427&gt;='1-Input'!$C$12,'1-Input'!$B$12,0)))))*(1/(1-'P-Parametri'!$B$6*AD427))))</f>
        <v>9282.7388835148467</v>
      </c>
      <c r="AF427" s="18">
        <f>IF($A427&gt;'1-Input'!$B$26,AH426,(AH426-MAX(0,AD396-IF($A427&gt;='1-Input'!$C$12,'1-Input'!$B$12,0))+AE427*(1-'P-Parametri'!$B$6*AD427))*(1+'1-Input'!$B$27))</f>
        <v>-9.0622052084654565E-13</v>
      </c>
      <c r="AG427" s="18">
        <f>IF($A427&gt;'1-Input'!$B$26,AI426,(AI426-AE427)*(1+$C$4))</f>
        <v>124628.57058931804</v>
      </c>
      <c r="AH427" s="18">
        <f>IF($A427&gt;'1-Input'!$B$26,AF427,AF427-'P-Parametri'!$B$8*(AG427+AF427)+MIN(MAX(AG427,0),'P-Parametri'!$B$8*(AG427+AF427)))</f>
        <v>-9.0949470177292824E-13</v>
      </c>
      <c r="AI427" s="18">
        <f>IF($A427&gt;'1-Input'!$B$26,AG427,AG427-MIN(MAX(AG427,0),'P-Parametri'!$B$8*(AG427+AF427)))</f>
        <v>124379.31344813941</v>
      </c>
      <c r="AJ427" s="18">
        <f>IF($A427&gt;'1-Input'!$B$26,AJ426,AJ426-AE427*(1-AD427))</f>
        <v>43833.026513694815</v>
      </c>
      <c r="AK427" s="11">
        <f>IF($A427&gt;'1-Input'!$B$26,0,IF(AP426&lt;=0,0,MAX(0,(AP426-AQ426)/AP426)))</f>
        <v>0.63773942768003333</v>
      </c>
      <c r="AL427" s="18">
        <f>IF($A427&gt;'1-Input'!$B$26,0,(MAX(0,AK396-IF($A427&gt;='1-Input'!$C$12,'1-Input'!$B$12,0))-MIN(MAX(AO426,0),MAX(0,AK396-IF($A427&gt;='1-Input'!$C$12,'1-Input'!$B$12,0))))*(1/(1-'P-Parametri'!$B$6*AK427))+MIN(MAX(0,AP426-(MAX(0,AK396-IF($A427&gt;='1-Input'!$C$12,'1-Input'!$B$12,0))-MIN(MAX(AO426,0),MAX(0,AK396-IF($A427&gt;='1-Input'!$C$12,'1-Input'!$B$12,0))))*(1/(1-'P-Parametri'!$B$6*AK427))),MAX(0,0*AK396-(AO426-MIN(MAX(AO426,0),MAX(0,AK396-IF($A427&gt;='1-Input'!$C$12,'1-Input'!$B$12,0)))))*(1/(1-'P-Parametri'!$B$6*AK427))))</f>
        <v>9281.47616153536</v>
      </c>
      <c r="AM427" s="18">
        <f>IF($A427&gt;'1-Input'!$B$26,AO426,(AO426-MAX(0,AK396-IF($A427&gt;='1-Input'!$C$12,'1-Input'!$B$12,0))+AL427*(1-'P-Parametri'!$B$6*AK427))*(1+'1-Input'!$B$27))</f>
        <v>0</v>
      </c>
      <c r="AN427" s="18">
        <f>IF($A427&gt;'1-Input'!$B$26,AP426,(AP426-AL427)*(1+$C$4))</f>
        <v>124682.04842840022</v>
      </c>
      <c r="AO427" s="18">
        <f>IF($A427&gt;'1-Input'!$B$26,AM427,AM427-'P-Parametri'!$B$8*(AN427+AM427)+MIN(MAX(AN427,0),'P-Parametri'!$B$8*(AN427+AM427)))</f>
        <v>0</v>
      </c>
      <c r="AP427" s="18">
        <f>IF($A427&gt;'1-Input'!$B$26,AN427,AN427-MIN(MAX(AN427,0),'P-Parametri'!$B$8*(AN427+AM427)))</f>
        <v>124432.68433154341</v>
      </c>
      <c r="AQ427" s="18">
        <f>IF($A427&gt;'1-Input'!$B$26,AQ426,AQ426-AL427*(1-AK427))</f>
        <v>43851.835166697143</v>
      </c>
    </row>
    <row r="428" spans="1:43">
      <c r="A428" s="10">
        <f>30</f>
        <v>30</v>
      </c>
      <c r="B428" s="11">
        <f>IF($A428&gt;'1-Input'!$B$26,0,IF(G427&lt;=0,0,MAX(0,(G427-H427)/G427)))</f>
        <v>0.64758587824195291</v>
      </c>
      <c r="C428" s="18">
        <f>IF($A428&gt;'1-Input'!$B$26,0,(MAX(0,B396-IF($A428&gt;='1-Input'!$C$12,'1-Input'!$B$12,0))-MIN(MAX(F427,0),MAX(0,B396-IF($A428&gt;='1-Input'!$C$12,'1-Input'!$B$12,0))))*(1/(1-'P-Parametri'!$B$6*B428))+MIN(MAX(0,G427-(MAX(0,B396-IF($A428&gt;='1-Input'!$C$12,'1-Input'!$B$12,0))-MIN(MAX(F427,0),MAX(0,B396-IF($A428&gt;='1-Input'!$C$12,'1-Input'!$B$12,0))))*(1/(1-'P-Parametri'!$B$6*B428))),MAX(0,0*B396-(F427-MIN(MAX(F427,0),MAX(0,B396-IF($A428&gt;='1-Input'!$C$12,'1-Input'!$B$12,0)))))*(1/(1-'P-Parametri'!$B$6*B428))))</f>
        <v>6708.5974947286659</v>
      </c>
      <c r="D428" s="18">
        <f>IF($A428&gt;'1-Input'!$B$26,F427,(F427-MAX(0,B396-IF($A428&gt;='1-Input'!$C$12,'1-Input'!$B$12,0))+C428*(1-'P-Parametri'!$B$6*B428))*(1+'1-Input'!$B$27))</f>
        <v>0</v>
      </c>
      <c r="E428" s="18">
        <f>IF($A428&gt;'1-Input'!$B$26,G427,(G427-C428)*(1+$C$4))</f>
        <v>234161.18005670229</v>
      </c>
      <c r="F428" s="18">
        <f>IF($A428&gt;'1-Input'!$B$26,D428,D428-'P-Parametri'!$B$8*(E428+D428)+MIN(MAX(E428,0),'P-Parametri'!$B$8*(E428+D428)))</f>
        <v>0</v>
      </c>
      <c r="G428" s="18">
        <f>IF($A428&gt;'1-Input'!$B$26,E428,E428-MIN(MAX(E428,0),'P-Parametri'!$B$8*(E428+D428)))</f>
        <v>233692.85769658888</v>
      </c>
      <c r="H428" s="18">
        <f>IF($A428&gt;'1-Input'!$B$26,H427,H427-C428*(1-B428))</f>
        <v>80118.161766515201</v>
      </c>
      <c r="I428" s="11">
        <f>IF($A428&gt;'1-Input'!$B$26,0,IF(N427&lt;=0,0,MAX(0,(N427-O427)/N427)))</f>
        <v>0</v>
      </c>
      <c r="J428" s="18">
        <f>IF($A428&gt;'1-Input'!$B$26,0,(MAX(0,I396-IF($A428&gt;='1-Input'!$C$12,'1-Input'!$B$12,0))-MIN(MAX(M427,0),MAX(0,I396-IF($A428&gt;='1-Input'!$C$12,'1-Input'!$B$12,0))))*(1/(1-'P-Parametri'!$B$6*I428))+MIN(MAX(0,N427-(MAX(0,I396-IF($A428&gt;='1-Input'!$C$12,'1-Input'!$B$12,0))-MIN(MAX(M427,0),MAX(0,I396-IF($A428&gt;='1-Input'!$C$12,'1-Input'!$B$12,0))))*(1/(1-'P-Parametri'!$B$6*I428))),MAX(0,0*I396-(M427-MIN(MAX(M427,0),MAX(0,I396-IF($A428&gt;='1-Input'!$C$12,'1-Input'!$B$12,0)))))*(1/(1-'P-Parametri'!$B$6*I428))))</f>
        <v>10846.756992928691</v>
      </c>
      <c r="K428" s="18">
        <f>IF($A428&gt;'1-Input'!$B$26,M427,(M427-MAX(0,I396-IF($A428&gt;='1-Input'!$C$12,'1-Input'!$B$12,0))+J428*(1-'P-Parametri'!$B$6*I428))*(1+'1-Input'!$B$27))</f>
        <v>0</v>
      </c>
      <c r="L428" s="18">
        <f>IF($A428&gt;'1-Input'!$B$26,N427,(N427-J428)*(1+$C$4))</f>
        <v>-40426.799791158919</v>
      </c>
      <c r="M428" s="18">
        <f>IF($A428&gt;'1-Input'!$B$26,K428,K428-'P-Parametri'!$B$8*(L428+K428)+MIN(MAX(L428,0),'P-Parametri'!$B$8*(L428+K428)))</f>
        <v>0</v>
      </c>
      <c r="N428" s="18">
        <f>IF($A428&gt;'1-Input'!$B$26,L428,L428-MIN(MAX(L428,0),'P-Parametri'!$B$8*(L428+K428)))</f>
        <v>-40345.946191576601</v>
      </c>
      <c r="O428" s="18">
        <f>IF($A428&gt;'1-Input'!$B$26,O427,O427-J428*(1-I428))</f>
        <v>-34581.244443911448</v>
      </c>
      <c r="P428" s="11">
        <f>IF($A428&gt;'1-Input'!$B$26,0,IF(U427&lt;=0,0,MAX(0,(U427-V427)/U427)))</f>
        <v>0.64758587824195302</v>
      </c>
      <c r="Q428" s="18">
        <f>IF($A428&gt;'1-Input'!$B$26,0,(MAX(0,P396-IF($A428&gt;='1-Input'!$C$12,'1-Input'!$B$12,0))-MIN(MAX(T427,0),MAX(0,P396-IF($A428&gt;='1-Input'!$C$12,'1-Input'!$B$12,0))))*(1/(1-'P-Parametri'!$B$6*P428))+MIN(MAX(0,U427-(MAX(0,P396-IF($A428&gt;='1-Input'!$C$12,'1-Input'!$B$12,0))-MIN(MAX(T427,0),MAX(0,P396-IF($A428&gt;='1-Input'!$C$12,'1-Input'!$B$12,0))))*(1/(1-'P-Parametri'!$B$6*P428))),MAX(0,0*P396-(T427-MIN(MAX(T427,0),MAX(0,P396-IF($A428&gt;='1-Input'!$C$12,'1-Input'!$B$12,0)))))*(1/(1-'P-Parametri'!$B$6*P428))))</f>
        <v>9611.3199171951001</v>
      </c>
      <c r="R428" s="18">
        <f>IF($A428&gt;'1-Input'!$B$26,T427,(T427-MAX(0,P396-IF($A428&gt;='1-Input'!$C$12,'1-Input'!$B$12,0))+Q428*(1-'P-Parametri'!$B$6*P428))*(1+'1-Input'!$B$27))</f>
        <v>-9.0622052084654565E-13</v>
      </c>
      <c r="S428" s="18">
        <f>IF($A428&gt;'1-Input'!$B$26,U427,(U427-Q428)*(1+$C$4))</f>
        <v>105190.53355564397</v>
      </c>
      <c r="T428" s="18">
        <f>IF($A428&gt;'1-Input'!$B$26,R428,R428-'P-Parametri'!$B$8*(S428+R428)+MIN(MAX(S428,0),'P-Parametri'!$B$8*(S428+R428)))</f>
        <v>-9.0949470177292824E-13</v>
      </c>
      <c r="U428" s="18">
        <f>IF($A428&gt;'1-Input'!$B$26,S428,S428-MIN(MAX(S428,0),'P-Parametri'!$B$8*(S428+R428)))</f>
        <v>104980.15248853268</v>
      </c>
      <c r="V428" s="18">
        <f>IF($A428&gt;'1-Input'!$B$26,V427,V427-Q428*(1-P428))</f>
        <v>35990.902427449168</v>
      </c>
      <c r="W428" s="11">
        <f>IF($A428&gt;'1-Input'!$B$26,0,IF(AB427&lt;=0,0,MAX(0,(AB427-AC427)/AB427)))</f>
        <v>0.64758587824195335</v>
      </c>
      <c r="X428" s="18">
        <f>IF($A428&gt;'1-Input'!$B$26,0,(MAX(0,W396-IF($A428&gt;='1-Input'!$C$12,'1-Input'!$B$12,0))-MIN(MAX(AA427,0),MAX(0,W396-IF($A428&gt;='1-Input'!$C$12,'1-Input'!$B$12,0))))*(1/(1-'P-Parametri'!$B$6*W428))+MIN(MAX(0,AB427-(MAX(0,W396-IF($A428&gt;='1-Input'!$C$12,'1-Input'!$B$12,0))-MIN(MAX(AA427,0),MAX(0,W396-IF($A428&gt;='1-Input'!$C$12,'1-Input'!$B$12,0))))*(1/(1-'P-Parametri'!$B$6*W428))),MAX(0,0*W396-(AA427-MIN(MAX(AA427,0),MAX(0,W396-IF($A428&gt;='1-Input'!$C$12,'1-Input'!$B$12,0)))))*(1/(1-'P-Parametri'!$B$6*W428))))</f>
        <v>9303.1579517665068</v>
      </c>
      <c r="Y428" s="18">
        <f>IF($A428&gt;'1-Input'!$B$26,AA427,(AA427-MAX(0,W396-IF($A428&gt;='1-Input'!$C$12,'1-Input'!$B$12,0))+X428*(1-'P-Parametri'!$B$6*W428))*(1+'1-Input'!$B$27))</f>
        <v>9.0622052084654565E-13</v>
      </c>
      <c r="Z428" s="18">
        <f>IF($A428&gt;'1-Input'!$B$26,AB427,(AB427-X428)*(1+$C$4))</f>
        <v>118882.45518092788</v>
      </c>
      <c r="AA428" s="18">
        <f>IF($A428&gt;'1-Input'!$B$26,Y428,Y428-'P-Parametri'!$B$8*(Z428+Y428)+MIN(MAX(Z428,0),'P-Parametri'!$B$8*(Z428+Y428)))</f>
        <v>9.0949470177292824E-13</v>
      </c>
      <c r="AB428" s="18">
        <f>IF($A428&gt;'1-Input'!$B$26,Z428,Z428-MIN(MAX(Z428,0),'P-Parametri'!$B$8*(Z428+Y428)))</f>
        <v>118644.69027056602</v>
      </c>
      <c r="AC428" s="18">
        <f>IF($A428&gt;'1-Input'!$B$26,AC427,AC427-X428*(1-W428))</f>
        <v>40675.588383521404</v>
      </c>
      <c r="AD428" s="11">
        <f>IF($A428&gt;'1-Input'!$B$26,0,IF(AI427&lt;=0,0,MAX(0,(AI427-AJ427)/AI427)))</f>
        <v>0.64758587824195368</v>
      </c>
      <c r="AE428" s="18">
        <f>IF($A428&gt;'1-Input'!$B$26,0,(MAX(0,AD396-IF($A428&gt;='1-Input'!$C$12,'1-Input'!$B$12,0))-MIN(MAX(AH427,0),MAX(0,AD396-IF($A428&gt;='1-Input'!$C$12,'1-Input'!$B$12,0))))*(1/(1-'P-Parametri'!$B$6*AD428))+MIN(MAX(0,AI427-(MAX(0,AD396-IF($A428&gt;='1-Input'!$C$12,'1-Input'!$B$12,0))-MIN(MAX(AH427,0),MAX(0,AD396-IF($A428&gt;='1-Input'!$C$12,'1-Input'!$B$12,0))))*(1/(1-'P-Parametri'!$B$6*AD428))),MAX(0,0*AD396-(AH427-MIN(MAX(AH427,0),MAX(0,AD396-IF($A428&gt;='1-Input'!$C$12,'1-Input'!$B$12,0)))))*(1/(1-'P-Parametri'!$B$6*AD428))))</f>
        <v>9311.3148057440121</v>
      </c>
      <c r="AF428" s="18">
        <f>IF($A428&gt;'1-Input'!$B$26,AH427,(AH427-MAX(0,AD396-IF($A428&gt;='1-Input'!$C$12,'1-Input'!$B$12,0))+AE428*(1-'P-Parametri'!$B$6*AD428))*(1+'1-Input'!$B$27))</f>
        <v>9.0622052084654565E-13</v>
      </c>
      <c r="AG428" s="18">
        <f>IF($A428&gt;'1-Input'!$B$26,AI427,(AI427-AE428)*(1+$C$4))</f>
        <v>118520.03860166726</v>
      </c>
      <c r="AH428" s="18">
        <f>IF($A428&gt;'1-Input'!$B$26,AF428,AF428-'P-Parametri'!$B$8*(AG428+AF428)+MIN(MAX(AG428,0),'P-Parametri'!$B$8*(AG428+AF428)))</f>
        <v>9.0949470177292824E-13</v>
      </c>
      <c r="AI428" s="18">
        <f>IF($A428&gt;'1-Input'!$B$26,AG428,AG428-MIN(MAX(AG428,0),'P-Parametri'!$B$8*(AG428+AF428)))</f>
        <v>118282.99852446392</v>
      </c>
      <c r="AJ428" s="18">
        <f>IF($A428&gt;'1-Input'!$B$26,AJ427,AJ427-AE428*(1-AD428))</f>
        <v>40551.587684015845</v>
      </c>
      <c r="AK428" s="11">
        <f>IF($A428&gt;'1-Input'!$B$26,0,IF(AP427&lt;=0,0,MAX(0,(AP427-AQ427)/AP427)))</f>
        <v>0.64758587824195324</v>
      </c>
      <c r="AL428" s="18">
        <f>IF($A428&gt;'1-Input'!$B$26,0,(MAX(0,AK396-IF($A428&gt;='1-Input'!$C$12,'1-Input'!$B$12,0))-MIN(MAX(AO427,0),MAX(0,AK396-IF($A428&gt;='1-Input'!$C$12,'1-Input'!$B$12,0))))*(1/(1-'P-Parametri'!$B$6*AK428))+MIN(MAX(0,AP427-(MAX(0,AK396-IF($A428&gt;='1-Input'!$C$12,'1-Input'!$B$12,0))-MIN(MAX(AO427,0),MAX(0,AK396-IF($A428&gt;='1-Input'!$C$12,'1-Input'!$B$12,0))))*(1/(1-'P-Parametri'!$B$6*AK428))),MAX(0,0*AK396-(AO427-MIN(MAX(AO427,0),MAX(0,AK396-IF($A428&gt;='1-Input'!$C$12,'1-Input'!$B$12,0)))))*(1/(1-'P-Parametri'!$B$6*AK428))))</f>
        <v>9310.0481966095012</v>
      </c>
      <c r="AM428" s="18">
        <f>IF($A428&gt;'1-Input'!$B$26,AO427,(AO427-MAX(0,AK396-IF($A428&gt;='1-Input'!$C$12,'1-Input'!$B$12,0))+AL428*(1-'P-Parametri'!$B$6*AK428))*(1+'1-Input'!$B$27))</f>
        <v>0</v>
      </c>
      <c r="AN428" s="18">
        <f>IF($A428&gt;'1-Input'!$B$26,AP427,(AP427-AL428)*(1+$C$4))</f>
        <v>118576.31521898194</v>
      </c>
      <c r="AO428" s="18">
        <f>IF($A428&gt;'1-Input'!$B$26,AM428,AM428-'P-Parametri'!$B$8*(AN428+AM428)+MIN(MAX(AN428,0),'P-Parametri'!$B$8*(AN428+AM428)))</f>
        <v>0</v>
      </c>
      <c r="AP428" s="18">
        <f>IF($A428&gt;'1-Input'!$B$26,AN428,AN428-MIN(MAX(AN428,0),'P-Parametri'!$B$8*(AN428+AM428)))</f>
        <v>118339.16258854397</v>
      </c>
      <c r="AQ428" s="18">
        <f>IF($A428&gt;'1-Input'!$B$26,AQ427,AQ427-AL428*(1-AK428))</f>
        <v>40570.842707963922</v>
      </c>
    </row>
    <row r="429" spans="1:43">
      <c r="A429" s="10">
        <f>31</f>
        <v>31</v>
      </c>
      <c r="B429" s="11">
        <f>IF($A429&gt;'1-Input'!$B$26,0,IF(G428&lt;=0,0,MAX(0,(G428-H428)/G428)))</f>
        <v>0.65716469661843391</v>
      </c>
      <c r="C429" s="18">
        <f>IF($A429&gt;'1-Input'!$B$26,0,(MAX(0,B396-IF($A429&gt;='1-Input'!$C$12,'1-Input'!$B$12,0))-MIN(MAX(F428,0),MAX(0,B396-IF($A429&gt;='1-Input'!$C$12,'1-Input'!$B$12,0))))*(1/(1-'P-Parametri'!$B$6*B429))+MIN(MAX(0,G428-(MAX(0,B396-IF($A429&gt;='1-Input'!$C$12,'1-Input'!$B$12,0))-MIN(MAX(F428,0),MAX(0,B396-IF($A429&gt;='1-Input'!$C$12,'1-Input'!$B$12,0))))*(1/(1-'P-Parametri'!$B$6*B429))),MAX(0,0*B396-(F428-MIN(MAX(F428,0),MAX(0,B396-IF($A429&gt;='1-Input'!$C$12,'1-Input'!$B$12,0)))))*(1/(1-'P-Parametri'!$B$6*B429))))</f>
        <v>6728.7482177163183</v>
      </c>
      <c r="D429" s="18">
        <f>IF($A429&gt;'1-Input'!$B$26,F428,(F428-MAX(0,B396-IF($A429&gt;='1-Input'!$C$12,'1-Input'!$B$12,0))+C429*(1-'P-Parametri'!$B$6*B429))*(1+'1-Input'!$B$27))</f>
        <v>-9.0622052084654565E-13</v>
      </c>
      <c r="E429" s="18">
        <f>IF($A429&gt;'1-Input'!$B$26,G428,(G428-C429)*(1+$C$4))</f>
        <v>233773.03276323873</v>
      </c>
      <c r="F429" s="18">
        <f>IF($A429&gt;'1-Input'!$B$26,D429,D429-'P-Parametri'!$B$8*(E429+D429)+MIN(MAX(E429,0),'P-Parametri'!$B$8*(E429+D429)))</f>
        <v>-9.0949470177292824E-13</v>
      </c>
      <c r="G429" s="18">
        <f>IF($A429&gt;'1-Input'!$B$26,E429,E429-MIN(MAX(E429,0),'P-Parametri'!$B$8*(E429+D429)))</f>
        <v>233305.48669771224</v>
      </c>
      <c r="H429" s="18">
        <f>IF($A429&gt;'1-Input'!$B$26,H428,H428-C429*(1-B429))</f>
        <v>77811.309329916257</v>
      </c>
      <c r="I429" s="11">
        <f>IF($A429&gt;'1-Input'!$B$26,0,IF(N428&lt;=0,0,MAX(0,(N428-O428)/N428)))</f>
        <v>0</v>
      </c>
      <c r="J429" s="18">
        <f>IF($A429&gt;'1-Input'!$B$26,0,(MAX(0,I396-IF($A429&gt;='1-Input'!$C$12,'1-Input'!$B$12,0))-MIN(MAX(M428,0),MAX(0,I396-IF($A429&gt;='1-Input'!$C$12,'1-Input'!$B$12,0))))*(1/(1-'P-Parametri'!$B$6*I429))+MIN(MAX(0,N428-(MAX(0,I396-IF($A429&gt;='1-Input'!$C$12,'1-Input'!$B$12,0))-MIN(MAX(M428,0),MAX(0,I396-IF($A429&gt;='1-Input'!$C$12,'1-Input'!$B$12,0))))*(1/(1-'P-Parametri'!$B$6*I429))),MAX(0,0*I396-(M428-MIN(MAX(M428,0),MAX(0,I396-IF($A429&gt;='1-Input'!$C$12,'1-Input'!$B$12,0)))))*(1/(1-'P-Parametri'!$B$6*I429))))</f>
        <v>10846.756992928691</v>
      </c>
      <c r="K429" s="18">
        <f>IF($A429&gt;'1-Input'!$B$26,M428,(M428-MAX(0,I396-IF($A429&gt;='1-Input'!$C$12,'1-Input'!$B$12,0))+J429*(1-'P-Parametri'!$B$6*I429))*(1+'1-Input'!$B$27))</f>
        <v>0</v>
      </c>
      <c r="L429" s="18">
        <f>IF($A429&gt;'1-Input'!$B$26,N428,(N428-J429)*(1+$C$4))</f>
        <v>-52728.484280040451</v>
      </c>
      <c r="M429" s="18">
        <f>IF($A429&gt;'1-Input'!$B$26,K429,K429-'P-Parametri'!$B$8*(L429+K429)+MIN(MAX(L429,0),'P-Parametri'!$B$8*(L429+K429)))</f>
        <v>0</v>
      </c>
      <c r="N429" s="18">
        <f>IF($A429&gt;'1-Input'!$B$26,L429,L429-MIN(MAX(L429,0),'P-Parametri'!$B$8*(L429+K429)))</f>
        <v>-52623.027311480371</v>
      </c>
      <c r="O429" s="18">
        <f>IF($A429&gt;'1-Input'!$B$26,O428,O428-J429*(1-I429))</f>
        <v>-45428.001436840139</v>
      </c>
      <c r="P429" s="11">
        <f>IF($A429&gt;'1-Input'!$B$26,0,IF(U428&lt;=0,0,MAX(0,(U428-V428)/U428)))</f>
        <v>0.65716469661843391</v>
      </c>
      <c r="Q429" s="18">
        <f>IF($A429&gt;'1-Input'!$B$26,0,(MAX(0,P396-IF($A429&gt;='1-Input'!$C$12,'1-Input'!$B$12,0))-MIN(MAX(T428,0),MAX(0,P396-IF($A429&gt;='1-Input'!$C$12,'1-Input'!$B$12,0))))*(1/(1-'P-Parametri'!$B$6*P429))+MIN(MAX(0,U428-(MAX(0,P396-IF($A429&gt;='1-Input'!$C$12,'1-Input'!$B$12,0))-MIN(MAX(T428,0),MAX(0,P396-IF($A429&gt;='1-Input'!$C$12,'1-Input'!$B$12,0))))*(1/(1-'P-Parametri'!$B$6*P429))),MAX(0,0*P396-(T428-MIN(MAX(T428,0),MAX(0,P396-IF($A429&gt;='1-Input'!$C$12,'1-Input'!$B$12,0)))))*(1/(1-'P-Parametri'!$B$6*P429))))</f>
        <v>9640.189594553045</v>
      </c>
      <c r="R429" s="18">
        <f>IF($A429&gt;'1-Input'!$B$26,T428,(T428-MAX(0,P396-IF($A429&gt;='1-Input'!$C$12,'1-Input'!$B$12,0))+Q429*(1-'P-Parametri'!$B$6*P429))*(1+'1-Input'!$B$27))</f>
        <v>9.0622052084654565E-13</v>
      </c>
      <c r="S429" s="18">
        <f>IF($A429&gt;'1-Input'!$B$26,U428,(U428-Q429)*(1+$C$4))</f>
        <v>98200.161780799026</v>
      </c>
      <c r="T429" s="18">
        <f>IF($A429&gt;'1-Input'!$B$26,R429,R429-'P-Parametri'!$B$8*(S429+R429)+MIN(MAX(S429,0),'P-Parametri'!$B$8*(S429+R429)))</f>
        <v>9.0949470177292824E-13</v>
      </c>
      <c r="U429" s="18">
        <f>IF($A429&gt;'1-Input'!$B$26,S429,S429-MIN(MAX(S429,0),'P-Parametri'!$B$8*(S429+R429)))</f>
        <v>98003.76145723743</v>
      </c>
      <c r="V429" s="18">
        <f>IF($A429&gt;'1-Input'!$B$26,V428,V428-Q429*(1-P429))</f>
        <v>32685.90510314476</v>
      </c>
      <c r="W429" s="11">
        <f>IF($A429&gt;'1-Input'!$B$26,0,IF(AB428&lt;=0,0,MAX(0,(AB428-AC428)/AB428)))</f>
        <v>0.65716469661843424</v>
      </c>
      <c r="X429" s="18">
        <f>IF($A429&gt;'1-Input'!$B$26,0,(MAX(0,W396-IF($A429&gt;='1-Input'!$C$12,'1-Input'!$B$12,0))-MIN(MAX(AA428,0),MAX(0,W396-IF($A429&gt;='1-Input'!$C$12,'1-Input'!$B$12,0))))*(1/(1-'P-Parametri'!$B$6*W429))+MIN(MAX(0,AB428-(MAX(0,W396-IF($A429&gt;='1-Input'!$C$12,'1-Input'!$B$12,0))-MIN(MAX(AA428,0),MAX(0,W396-IF($A429&gt;='1-Input'!$C$12,'1-Input'!$B$12,0))))*(1/(1-'P-Parametri'!$B$6*W429))),MAX(0,0*W396-(AA428-MIN(MAX(AA428,0),MAX(0,W396-IF($A429&gt;='1-Input'!$C$12,'1-Input'!$B$12,0)))))*(1/(1-'P-Parametri'!$B$6*W429))))</f>
        <v>9331.1019980360452</v>
      </c>
      <c r="Y429" s="18">
        <f>IF($A429&gt;'1-Input'!$B$26,AA428,(AA428-MAX(0,W396-IF($A429&gt;='1-Input'!$C$12,'1-Input'!$B$12,0))+X429*(1-'P-Parametri'!$B$6*W429))*(1+'1-Input'!$B$27))</f>
        <v>0</v>
      </c>
      <c r="Z429" s="18">
        <f>IF($A429&gt;'1-Input'!$B$26,AB428,(AB428-X429)*(1+$C$4))</f>
        <v>112592.99592070587</v>
      </c>
      <c r="AA429" s="18">
        <f>IF($A429&gt;'1-Input'!$B$26,Y429,Y429-'P-Parametri'!$B$8*(Z429+Y429)+MIN(MAX(Z429,0),'P-Parametri'!$B$8*(Z429+Y429)))</f>
        <v>0</v>
      </c>
      <c r="AB429" s="18">
        <f>IF($A429&gt;'1-Input'!$B$26,Z429,Z429-MIN(MAX(Z429,0),'P-Parametri'!$B$8*(Z429+Y429)))</f>
        <v>112367.80992886446</v>
      </c>
      <c r="AC429" s="18">
        <f>IF($A429&gt;'1-Input'!$B$26,AC428,AC428-X429*(1-W429))</f>
        <v>37476.557199140385</v>
      </c>
      <c r="AD429" s="11">
        <f>IF($A429&gt;'1-Input'!$B$26,0,IF(AI428&lt;=0,0,MAX(0,(AI428-AJ428)/AI428)))</f>
        <v>0.65716469661843457</v>
      </c>
      <c r="AE429" s="18">
        <f>IF($A429&gt;'1-Input'!$B$26,0,(MAX(0,AD396-IF($A429&gt;='1-Input'!$C$12,'1-Input'!$B$12,0))-MIN(MAX(AH428,0),MAX(0,AD396-IF($A429&gt;='1-Input'!$C$12,'1-Input'!$B$12,0))))*(1/(1-'P-Parametri'!$B$6*AD429))+MIN(MAX(0,AI428-(MAX(0,AD396-IF($A429&gt;='1-Input'!$C$12,'1-Input'!$B$12,0))-MIN(MAX(AH428,0),MAX(0,AD396-IF($A429&gt;='1-Input'!$C$12,'1-Input'!$B$12,0))))*(1/(1-'P-Parametri'!$B$6*AD429))),MAX(0,0*AD396-(AH428-MIN(MAX(AH428,0),MAX(0,AD396-IF($A429&gt;='1-Input'!$C$12,'1-Input'!$B$12,0)))))*(1/(1-'P-Parametri'!$B$6*AD429))))</f>
        <v>9339.2833528880019</v>
      </c>
      <c r="AF429" s="18">
        <f>IF($A429&gt;'1-Input'!$B$26,AH428,(AH428-MAX(0,AD396-IF($A429&gt;='1-Input'!$C$12,'1-Input'!$B$12,0))+AE429*(1-'P-Parametri'!$B$6*AD429))*(1+'1-Input'!$B$27))</f>
        <v>9.0622052084654565E-13</v>
      </c>
      <c r="AG429" s="18">
        <f>IF($A429&gt;'1-Input'!$B$26,AI428,(AI428-AE429)*(1+$C$4))</f>
        <v>112212.02662672321</v>
      </c>
      <c r="AH429" s="18">
        <f>IF($A429&gt;'1-Input'!$B$26,AF429,AF429-'P-Parametri'!$B$8*(AG429+AF429)+MIN(MAX(AG429,0),'P-Parametri'!$B$8*(AG429+AF429)))</f>
        <v>9.0949470177292824E-13</v>
      </c>
      <c r="AI429" s="18">
        <f>IF($A429&gt;'1-Input'!$B$26,AG429,AG429-MIN(MAX(AG429,0),'P-Parametri'!$B$8*(AG429+AF429)))</f>
        <v>111987.60257346976</v>
      </c>
      <c r="AJ429" s="18">
        <f>IF($A429&gt;'1-Input'!$B$26,AJ428,AJ428-AE429*(1-AD429))</f>
        <v>37349.751642362084</v>
      </c>
      <c r="AK429" s="11">
        <f>IF($A429&gt;'1-Input'!$B$26,0,IF(AP428&lt;=0,0,MAX(0,(AP428-AQ428)/AP428)))</f>
        <v>0.65716469661843413</v>
      </c>
      <c r="AL429" s="18">
        <f>IF($A429&gt;'1-Input'!$B$26,0,(MAX(0,AK396-IF($A429&gt;='1-Input'!$C$12,'1-Input'!$B$12,0))-MIN(MAX(AO428,0),MAX(0,AK396-IF($A429&gt;='1-Input'!$C$12,'1-Input'!$B$12,0))))*(1/(1-'P-Parametri'!$B$6*AK429))+MIN(MAX(0,AP428-(MAX(0,AK396-IF($A429&gt;='1-Input'!$C$12,'1-Input'!$B$12,0))-MIN(MAX(AO428,0),MAX(0,AK396-IF($A429&gt;='1-Input'!$C$12,'1-Input'!$B$12,0))))*(1/(1-'P-Parametri'!$B$6*AK429))),MAX(0,0*AK396-(AO428-MIN(MAX(AO428,0),MAX(0,AK396-IF($A429&gt;='1-Input'!$C$12,'1-Input'!$B$12,0)))))*(1/(1-'P-Parametri'!$B$6*AK429))))</f>
        <v>9338.0129392191138</v>
      </c>
      <c r="AM429" s="18">
        <f>IF($A429&gt;'1-Input'!$B$26,AO428,(AO428-MAX(0,AK396-IF($A429&gt;='1-Input'!$C$12,'1-Input'!$B$12,0))+AL429*(1-'P-Parametri'!$B$6*AK429))*(1+'1-Input'!$B$27))</f>
        <v>0</v>
      </c>
      <c r="AN429" s="18">
        <f>IF($A429&gt;'1-Input'!$B$26,AP428,(AP428-AL429)*(1+$C$4))</f>
        <v>112271.1841388046</v>
      </c>
      <c r="AO429" s="18">
        <f>IF($A429&gt;'1-Input'!$B$26,AM429,AM429-'P-Parametri'!$B$8*(AN429+AM429)+MIN(MAX(AN429,0),'P-Parametri'!$B$8*(AN429+AM429)))</f>
        <v>0</v>
      </c>
      <c r="AP429" s="18">
        <f>IF($A429&gt;'1-Input'!$B$26,AN429,AN429-MIN(MAX(AN429,0),'P-Parametri'!$B$8*(AN429+AM429)))</f>
        <v>112046.64177052699</v>
      </c>
      <c r="AQ429" s="18">
        <f>IF($A429&gt;'1-Input'!$B$26,AQ428,AQ428-AL429*(1-AK429))</f>
        <v>37369.442208965753</v>
      </c>
    </row>
    <row r="430" spans="1:43">
      <c r="A430" s="10">
        <f>32</f>
        <v>32</v>
      </c>
      <c r="B430" s="11">
        <f>IF($A430&gt;'1-Input'!$B$26,0,IF(G429&lt;=0,0,MAX(0,(G429-H429)/G429)))</f>
        <v>0.66648315720609552</v>
      </c>
      <c r="C430" s="18">
        <f>IF($A430&gt;'1-Input'!$B$26,0,(MAX(0,B396-IF($A430&gt;='1-Input'!$C$12,'1-Input'!$B$12,0))-MIN(MAX(F429,0),MAX(0,B396-IF($A430&gt;='1-Input'!$C$12,'1-Input'!$B$12,0))))*(1/(1-'P-Parametri'!$B$6*B430))+MIN(MAX(0,G429-(MAX(0,B396-IF($A430&gt;='1-Input'!$C$12,'1-Input'!$B$12,0))-MIN(MAX(F429,0),MAX(0,B396-IF($A430&gt;='1-Input'!$C$12,'1-Input'!$B$12,0))))*(1/(1-'P-Parametri'!$B$6*B430))),MAX(0,0*B396-(F429-MIN(MAX(F429,0),MAX(0,B396-IF($A430&gt;='1-Input'!$C$12,'1-Input'!$B$12,0)))))*(1/(1-'P-Parametri'!$B$6*B430))))</f>
        <v>6748.4677362466628</v>
      </c>
      <c r="D430" s="18">
        <f>IF($A430&gt;'1-Input'!$B$26,F429,(F429-MAX(0,B396-IF($A430&gt;='1-Input'!$C$12,'1-Input'!$B$12,0))+C430*(1-'P-Parametri'!$B$6*B430))*(1+'1-Input'!$B$27))</f>
        <v>0</v>
      </c>
      <c r="E430" s="18">
        <f>IF($A430&gt;'1-Input'!$B$26,G429,(G429-C430)*(1+$C$4))</f>
        <v>233353.72953030953</v>
      </c>
      <c r="F430" s="18">
        <f>IF($A430&gt;'1-Input'!$B$26,D430,D430-'P-Parametri'!$B$8*(E430+D430)+MIN(MAX(E430,0),'P-Parametri'!$B$8*(E430+D430)))</f>
        <v>0</v>
      </c>
      <c r="G430" s="18">
        <f>IF($A430&gt;'1-Input'!$B$26,E430,E430-MIN(MAX(E430,0),'P-Parametri'!$B$8*(E430+D430)))</f>
        <v>232887.02207124891</v>
      </c>
      <c r="H430" s="18">
        <f>IF($A430&gt;'1-Input'!$B$26,H429,H429-C430*(1-B430))</f>
        <v>75560.58167682674</v>
      </c>
      <c r="I430" s="11">
        <f>IF($A430&gt;'1-Input'!$B$26,0,IF(N429&lt;=0,0,MAX(0,(N429-O429)/N429)))</f>
        <v>0</v>
      </c>
      <c r="J430" s="18">
        <f>IF($A430&gt;'1-Input'!$B$26,0,(MAX(0,I396-IF($A430&gt;='1-Input'!$C$12,'1-Input'!$B$12,0))-MIN(MAX(M429,0),MAX(0,I396-IF($A430&gt;='1-Input'!$C$12,'1-Input'!$B$12,0))))*(1/(1-'P-Parametri'!$B$6*I430))+MIN(MAX(0,N429-(MAX(0,I396-IF($A430&gt;='1-Input'!$C$12,'1-Input'!$B$12,0))-MIN(MAX(M429,0),MAX(0,I396-IF($A430&gt;='1-Input'!$C$12,'1-Input'!$B$12,0))))*(1/(1-'P-Parametri'!$B$6*I430))),MAX(0,0*I396-(M429-MIN(MAX(M429,0),MAX(0,I396-IF($A430&gt;='1-Input'!$C$12,'1-Input'!$B$12,0)))))*(1/(1-'P-Parametri'!$B$6*I430))))</f>
        <v>10846.756992928691</v>
      </c>
      <c r="K430" s="18">
        <f>IF($A430&gt;'1-Input'!$B$26,M429,(M429-MAX(0,I396-IF($A430&gt;='1-Input'!$C$12,'1-Input'!$B$12,0))+J430*(1-'P-Parametri'!$B$6*I430))*(1+'1-Input'!$B$27))</f>
        <v>0</v>
      </c>
      <c r="L430" s="18">
        <f>IF($A430&gt;'1-Input'!$B$26,N429,(N429-J430)*(1+$C$4))</f>
        <v>-65373.877833541337</v>
      </c>
      <c r="M430" s="18">
        <f>IF($A430&gt;'1-Input'!$B$26,K430,K430-'P-Parametri'!$B$8*(L430+K430)+MIN(MAX(L430,0),'P-Parametri'!$B$8*(L430+K430)))</f>
        <v>0</v>
      </c>
      <c r="N430" s="18">
        <f>IF($A430&gt;'1-Input'!$B$26,L430,L430-MIN(MAX(L430,0),'P-Parametri'!$B$8*(L430+K430)))</f>
        <v>-65243.130077874252</v>
      </c>
      <c r="O430" s="18">
        <f>IF($A430&gt;'1-Input'!$B$26,O429,O429-J430*(1-I430))</f>
        <v>-56274.75842976883</v>
      </c>
      <c r="P430" s="11">
        <f>IF($A430&gt;'1-Input'!$B$26,0,IF(U429&lt;=0,0,MAX(0,(U429-V429)/U429)))</f>
        <v>0.66648315720609563</v>
      </c>
      <c r="Q430" s="18">
        <f>IF($A430&gt;'1-Input'!$B$26,0,(MAX(0,P396-IF($A430&gt;='1-Input'!$C$12,'1-Input'!$B$12,0))-MIN(MAX(T429,0),MAX(0,P396-IF($A430&gt;='1-Input'!$C$12,'1-Input'!$B$12,0))))*(1/(1-'P-Parametri'!$B$6*P430))+MIN(MAX(0,U429-(MAX(0,P396-IF($A430&gt;='1-Input'!$C$12,'1-Input'!$B$12,0))-MIN(MAX(T429,0),MAX(0,P396-IF($A430&gt;='1-Input'!$C$12,'1-Input'!$B$12,0))))*(1/(1-'P-Parametri'!$B$6*P430))),MAX(0,0*P396-(T429-MIN(MAX(T429,0),MAX(0,P396-IF($A430&gt;='1-Input'!$C$12,'1-Input'!$B$12,0)))))*(1/(1-'P-Parametri'!$B$6*P430))))</f>
        <v>9668.4414909229017</v>
      </c>
      <c r="R430" s="18">
        <f>IF($A430&gt;'1-Input'!$B$26,T429,(T429-MAX(0,P396-IF($A430&gt;='1-Input'!$C$12,'1-Input'!$B$12,0))+Q430*(1-'P-Parametri'!$B$6*P430))*(1+'1-Input'!$B$27))</f>
        <v>0</v>
      </c>
      <c r="S430" s="18">
        <f>IF($A430&gt;'1-Input'!$B$26,U429,(U429-Q430)*(1+$C$4))</f>
        <v>90985.379565303971</v>
      </c>
      <c r="T430" s="18">
        <f>IF($A430&gt;'1-Input'!$B$26,R430,R430-'P-Parametri'!$B$8*(S430+R430)+MIN(MAX(S430,0),'P-Parametri'!$B$8*(S430+R430)))</f>
        <v>0</v>
      </c>
      <c r="U430" s="18">
        <f>IF($A430&gt;'1-Input'!$B$26,S430,S430-MIN(MAX(S430,0),'P-Parametri'!$B$8*(S430+R430)))</f>
        <v>90803.408806173364</v>
      </c>
      <c r="V430" s="18">
        <f>IF($A430&gt;'1-Input'!$B$26,V429,V429-Q430*(1-P430))</f>
        <v>29461.317022354564</v>
      </c>
      <c r="W430" s="11">
        <f>IF($A430&gt;'1-Input'!$B$26,0,IF(AB429&lt;=0,0,MAX(0,(AB429-AC429)/AB429)))</f>
        <v>0.66648315720609586</v>
      </c>
      <c r="X430" s="18">
        <f>IF($A430&gt;'1-Input'!$B$26,0,(MAX(0,W396-IF($A430&gt;='1-Input'!$C$12,'1-Input'!$B$12,0))-MIN(MAX(AA429,0),MAX(0,W396-IF($A430&gt;='1-Input'!$C$12,'1-Input'!$B$12,0))))*(1/(1-'P-Parametri'!$B$6*W430))+MIN(MAX(0,AB429-(MAX(0,W396-IF($A430&gt;='1-Input'!$C$12,'1-Input'!$B$12,0))-MIN(MAX(AA429,0),MAX(0,W396-IF($A430&gt;='1-Input'!$C$12,'1-Input'!$B$12,0))))*(1/(1-'P-Parametri'!$B$6*W430))),MAX(0,0*W396-(AA429-MIN(MAX(AA429,0),MAX(0,W396-IF($A430&gt;='1-Input'!$C$12,'1-Input'!$B$12,0)))))*(1/(1-'P-Parametri'!$B$6*W430))))</f>
        <v>9358.4480708574829</v>
      </c>
      <c r="Y430" s="18">
        <f>IF($A430&gt;'1-Input'!$B$26,AA429,(AA429-MAX(0,W396-IF($A430&gt;='1-Input'!$C$12,'1-Input'!$B$12,0))+X430*(1-'P-Parametri'!$B$6*W430))*(1+'1-Input'!$B$27))</f>
        <v>9.0622052084654565E-13</v>
      </c>
      <c r="Z430" s="18">
        <f>IF($A430&gt;'1-Input'!$B$26,AB429,(AB429-X430)*(1+$C$4))</f>
        <v>106099.64271374719</v>
      </c>
      <c r="AA430" s="18">
        <f>IF($A430&gt;'1-Input'!$B$26,Y430,Y430-'P-Parametri'!$B$8*(Z430+Y430)+MIN(MAX(Z430,0),'P-Parametri'!$B$8*(Z430+Y430)))</f>
        <v>9.0949470177292824E-13</v>
      </c>
      <c r="AB430" s="18">
        <f>IF($A430&gt;'1-Input'!$B$26,Z430,Z430-MIN(MAX(Z430,0),'P-Parametri'!$B$8*(Z430+Y430)))</f>
        <v>105887.44342831969</v>
      </c>
      <c r="AC430" s="18">
        <f>IF($A430&gt;'1-Input'!$B$26,AC429,AC429-X430*(1-W430))</f>
        <v>34355.357145097296</v>
      </c>
      <c r="AD430" s="11">
        <f>IF($A430&gt;'1-Input'!$B$26,0,IF(AI429&lt;=0,0,MAX(0,(AI429-AJ429)/AI429)))</f>
        <v>0.6664831572060963</v>
      </c>
      <c r="AE430" s="18">
        <f>IF($A430&gt;'1-Input'!$B$26,0,(MAX(0,AD396-IF($A430&gt;='1-Input'!$C$12,'1-Input'!$B$12,0))-MIN(MAX(AH429,0),MAX(0,AD396-IF($A430&gt;='1-Input'!$C$12,'1-Input'!$B$12,0))))*(1/(1-'P-Parametri'!$B$6*AD430))+MIN(MAX(0,AI429-(MAX(0,AD396-IF($A430&gt;='1-Input'!$C$12,'1-Input'!$B$12,0))-MIN(MAX(AH429,0),MAX(0,AD396-IF($A430&gt;='1-Input'!$C$12,'1-Input'!$B$12,0))))*(1/(1-'P-Parametri'!$B$6*AD430))),MAX(0,0*AD396-(AH429-MIN(MAX(AH429,0),MAX(0,AD396-IF($A430&gt;='1-Input'!$C$12,'1-Input'!$B$12,0)))))*(1/(1-'P-Parametri'!$B$6*AD430))))</f>
        <v>9366.6534022907254</v>
      </c>
      <c r="AF430" s="18">
        <f>IF($A430&gt;'1-Input'!$B$26,AH429,(AH429-MAX(0,AD396-IF($A430&gt;='1-Input'!$C$12,'1-Input'!$B$12,0))+AE430*(1-'P-Parametri'!$B$6*AD430))*(1+'1-Input'!$B$27))</f>
        <v>9.0622052084654565E-13</v>
      </c>
      <c r="AG430" s="18">
        <f>IF($A430&gt;'1-Input'!$B$26,AI429,(AI429-AE430)*(1+$C$4))</f>
        <v>105699.5776463144</v>
      </c>
      <c r="AH430" s="18">
        <f>IF($A430&gt;'1-Input'!$B$26,AF430,AF430-'P-Parametri'!$B$8*(AG430+AF430)+MIN(MAX(AG430,0),'P-Parametri'!$B$8*(AG430+AF430)))</f>
        <v>9.0949470177292824E-13</v>
      </c>
      <c r="AI430" s="18">
        <f>IF($A430&gt;'1-Input'!$B$26,AG430,AG430-MIN(MAX(AG430,0),'P-Parametri'!$B$8*(AG430+AF430)))</f>
        <v>105488.17849102177</v>
      </c>
      <c r="AJ430" s="18">
        <f>IF($A430&gt;'1-Input'!$B$26,AJ429,AJ429-AE430*(1-AD430))</f>
        <v>34225.814972085303</v>
      </c>
      <c r="AK430" s="11">
        <f>IF($A430&gt;'1-Input'!$B$26,0,IF(AP429&lt;=0,0,MAX(0,(AP429-AQ429)/AP429)))</f>
        <v>0.66648315720609574</v>
      </c>
      <c r="AL430" s="18">
        <f>IF($A430&gt;'1-Input'!$B$26,0,(MAX(0,AK396-IF($A430&gt;='1-Input'!$C$12,'1-Input'!$B$12,0))-MIN(MAX(AO429,0),MAX(0,AK396-IF($A430&gt;='1-Input'!$C$12,'1-Input'!$B$12,0))))*(1/(1-'P-Parametri'!$B$6*AK430))+MIN(MAX(0,AP429-(MAX(0,AK396-IF($A430&gt;='1-Input'!$C$12,'1-Input'!$B$12,0))-MIN(MAX(AO429,0),MAX(0,AK396-IF($A430&gt;='1-Input'!$C$12,'1-Input'!$B$12,0))))*(1/(1-'P-Parametri'!$B$6*AK430))),MAX(0,0*AK396-(AO429-MIN(MAX(AO429,0),MAX(0,AK396-IF($A430&gt;='1-Input'!$C$12,'1-Input'!$B$12,0)))))*(1/(1-'P-Parametri'!$B$6*AK430))))</f>
        <v>9365.3792655005273</v>
      </c>
      <c r="AM430" s="18">
        <f>IF($A430&gt;'1-Input'!$B$26,AO429,(AO429-MAX(0,AK396-IF($A430&gt;='1-Input'!$C$12,'1-Input'!$B$12,0))+AL430*(1-'P-Parametri'!$B$6*AK430))*(1+'1-Input'!$B$27))</f>
        <v>0</v>
      </c>
      <c r="AN430" s="18">
        <f>IF($A430&gt;'1-Input'!$B$26,AP429,(AP429-AL430)*(1+$C$4))</f>
        <v>105761.70038017725</v>
      </c>
      <c r="AO430" s="18">
        <f>IF($A430&gt;'1-Input'!$B$26,AM430,AM430-'P-Parametri'!$B$8*(AN430+AM430)+MIN(MAX(AN430,0),'P-Parametri'!$B$8*(AN430+AM430)))</f>
        <v>0</v>
      </c>
      <c r="AP430" s="18">
        <f>IF($A430&gt;'1-Input'!$B$26,AN430,AN430-MIN(MAX(AN430,0),'P-Parametri'!$B$8*(AN430+AM430)))</f>
        <v>105550.17697941689</v>
      </c>
      <c r="AQ430" s="18">
        <f>IF($A430&gt;'1-Input'!$B$26,AQ429,AQ429-AL430*(1-AK430))</f>
        <v>34245.93048476852</v>
      </c>
    </row>
    <row r="431" spans="1:43">
      <c r="A431" s="10">
        <f>33</f>
        <v>33</v>
      </c>
      <c r="B431" s="11">
        <f>IF($A431&gt;'1-Input'!$B$26,0,IF(G430&lt;=0,0,MAX(0,(G430-H430)/G430)))</f>
        <v>0.6755483366792765</v>
      </c>
      <c r="C431" s="18">
        <f>IF($A431&gt;'1-Input'!$B$26,0,(MAX(0,B396-IF($A431&gt;='1-Input'!$C$12,'1-Input'!$B$12,0))-MIN(MAX(F430,0),MAX(0,B396-IF($A431&gt;='1-Input'!$C$12,'1-Input'!$B$12,0))))*(1/(1-'P-Parametri'!$B$6*B431))+MIN(MAX(0,G430-(MAX(0,B396-IF($A431&gt;='1-Input'!$C$12,'1-Input'!$B$12,0))-MIN(MAX(F430,0),MAX(0,B396-IF($A431&gt;='1-Input'!$C$12,'1-Input'!$B$12,0))))*(1/(1-'P-Parametri'!$B$6*B431))),MAX(0,0*B396-(F430-MIN(MAX(F430,0),MAX(0,B396-IF($A431&gt;='1-Input'!$C$12,'1-Input'!$B$12,0)))))*(1/(1-'P-Parametri'!$B$6*B431))))</f>
        <v>6767.762495880188</v>
      </c>
      <c r="D431" s="18">
        <f>IF($A431&gt;'1-Input'!$B$26,F430,(F430-MAX(0,B396-IF($A431&gt;='1-Input'!$C$12,'1-Input'!$B$12,0))+C431*(1-'P-Parametri'!$B$6*B431))*(1+'1-Input'!$B$27))</f>
        <v>0</v>
      </c>
      <c r="E431" s="18">
        <f>IF($A431&gt;'1-Input'!$B$26,G430,(G430-C431)*(1+$C$4))</f>
        <v>232902.8373626298</v>
      </c>
      <c r="F431" s="18">
        <f>IF($A431&gt;'1-Input'!$B$26,D431,D431-'P-Parametri'!$B$8*(E431+D431)+MIN(MAX(E431,0),'P-Parametri'!$B$8*(E431+D431)))</f>
        <v>0</v>
      </c>
      <c r="G431" s="18">
        <f>IF($A431&gt;'1-Input'!$B$26,E431,E431-MIN(MAX(E431,0),'P-Parametri'!$B$8*(E431+D431)))</f>
        <v>232437.03168790453</v>
      </c>
      <c r="H431" s="18">
        <f>IF($A431&gt;'1-Input'!$B$26,H430,H430-C431*(1-B431))</f>
        <v>73364.769878078805</v>
      </c>
      <c r="I431" s="11">
        <f>IF($A431&gt;'1-Input'!$B$26,0,IF(N430&lt;=0,0,MAX(0,(N430-O430)/N430)))</f>
        <v>0</v>
      </c>
      <c r="J431" s="18">
        <f>IF($A431&gt;'1-Input'!$B$26,0,(MAX(0,I396-IF($A431&gt;='1-Input'!$C$12,'1-Input'!$B$12,0))-MIN(MAX(M430,0),MAX(0,I396-IF($A431&gt;='1-Input'!$C$12,'1-Input'!$B$12,0))))*(1/(1-'P-Parametri'!$B$6*I431))+MIN(MAX(0,N430-(MAX(0,I396-IF($A431&gt;='1-Input'!$C$12,'1-Input'!$B$12,0))-MIN(MAX(M430,0),MAX(0,I396-IF($A431&gt;='1-Input'!$C$12,'1-Input'!$B$12,0))))*(1/(1-'P-Parametri'!$B$6*I431))),MAX(0,0*I396-(M430-MIN(MAX(M430,0),MAX(0,I396-IF($A431&gt;='1-Input'!$C$12,'1-Input'!$B$12,0)))))*(1/(1-'P-Parametri'!$B$6*I431))))</f>
        <v>10846.756992928691</v>
      </c>
      <c r="K431" s="18">
        <f>IF($A431&gt;'1-Input'!$B$26,M430,(M430-MAX(0,I396-IF($A431&gt;='1-Input'!$C$12,'1-Input'!$B$12,0))+J431*(1-'P-Parametri'!$B$6*I431))*(1+'1-Input'!$B$27))</f>
        <v>0</v>
      </c>
      <c r="L431" s="18">
        <f>IF($A431&gt;'1-Input'!$B$26,N430,(N430-J431)*(1+$C$4))</f>
        <v>-78372.583682927027</v>
      </c>
      <c r="M431" s="18">
        <f>IF($A431&gt;'1-Input'!$B$26,K431,K431-'P-Parametri'!$B$8*(L431+K431)+MIN(MAX(L431,0),'P-Parametri'!$B$8*(L431+K431)))</f>
        <v>0</v>
      </c>
      <c r="N431" s="18">
        <f>IF($A431&gt;'1-Input'!$B$26,L431,L431-MIN(MAX(L431,0),'P-Parametri'!$B$8*(L431+K431)))</f>
        <v>-78215.838515561176</v>
      </c>
      <c r="O431" s="18">
        <f>IF($A431&gt;'1-Input'!$B$26,O430,O430-J431*(1-I431))</f>
        <v>-67121.515422697528</v>
      </c>
      <c r="P431" s="11">
        <f>IF($A431&gt;'1-Input'!$B$26,0,IF(U430&lt;=0,0,MAX(0,(U430-V430)/U430)))</f>
        <v>0.67554833667927672</v>
      </c>
      <c r="Q431" s="18">
        <f>IF($A431&gt;'1-Input'!$B$26,0,(MAX(0,P396-IF($A431&gt;='1-Input'!$C$12,'1-Input'!$B$12,0))-MIN(MAX(T430,0),MAX(0,P396-IF($A431&gt;='1-Input'!$C$12,'1-Input'!$B$12,0))))*(1/(1-'P-Parametri'!$B$6*P431))+MIN(MAX(0,U430-(MAX(0,P396-IF($A431&gt;='1-Input'!$C$12,'1-Input'!$B$12,0))-MIN(MAX(T430,0),MAX(0,P396-IF($A431&gt;='1-Input'!$C$12,'1-Input'!$B$12,0))))*(1/(1-'P-Parametri'!$B$6*P431))),MAX(0,0*P396-(T430-MIN(MAX(T430,0),MAX(0,P396-IF($A431&gt;='1-Input'!$C$12,'1-Input'!$B$12,0)))))*(1/(1-'P-Parametri'!$B$6*P431))))</f>
        <v>9696.0848407749272</v>
      </c>
      <c r="R431" s="18">
        <f>IF($A431&gt;'1-Input'!$B$26,T430,(T430-MAX(0,P396-IF($A431&gt;='1-Input'!$C$12,'1-Input'!$B$12,0))+Q431*(1-'P-Parametri'!$B$6*P431))*(1+'1-Input'!$B$27))</f>
        <v>-9.0622052084654565E-13</v>
      </c>
      <c r="S431" s="18">
        <f>IF($A431&gt;'1-Input'!$B$26,U430,(U430-Q431)*(1+$C$4))</f>
        <v>83540.543684360397</v>
      </c>
      <c r="T431" s="18">
        <f>IF($A431&gt;'1-Input'!$B$26,R431,R431-'P-Parametri'!$B$8*(S431+R431)+MIN(MAX(S431,0),'P-Parametri'!$B$8*(S431+R431)))</f>
        <v>-9.0949470177292824E-13</v>
      </c>
      <c r="U431" s="18">
        <f>IF($A431&gt;'1-Input'!$B$26,S431,S431-MIN(MAX(S431,0),'P-Parametri'!$B$8*(S431+R431)))</f>
        <v>83373.462596991681</v>
      </c>
      <c r="V431" s="18">
        <f>IF($A431&gt;'1-Input'!$B$26,V430,V430-Q431*(1-P431))</f>
        <v>26315.406168066289</v>
      </c>
      <c r="W431" s="11">
        <f>IF($A431&gt;'1-Input'!$B$26,0,IF(AB430&lt;=0,0,MAX(0,(AB430-AC430)/AB430)))</f>
        <v>0.67554833667927683</v>
      </c>
      <c r="X431" s="18">
        <f>IF($A431&gt;'1-Input'!$B$26,0,(MAX(0,W396-IF($A431&gt;='1-Input'!$C$12,'1-Input'!$B$12,0))-MIN(MAX(AA430,0),MAX(0,W396-IF($A431&gt;='1-Input'!$C$12,'1-Input'!$B$12,0))))*(1/(1-'P-Parametri'!$B$6*W431))+MIN(MAX(0,AB430-(MAX(0,W396-IF($A431&gt;='1-Input'!$C$12,'1-Input'!$B$12,0))-MIN(MAX(AA430,0),MAX(0,W396-IF($A431&gt;='1-Input'!$C$12,'1-Input'!$B$12,0))))*(1/(1-'P-Parametri'!$B$6*W431))),MAX(0,0*W396-(AA430-MIN(MAX(AA430,0),MAX(0,W396-IF($A431&gt;='1-Input'!$C$12,'1-Input'!$B$12,0)))))*(1/(1-'P-Parametri'!$B$6*W431))))</f>
        <v>9385.2051086217998</v>
      </c>
      <c r="Y431" s="18">
        <f>IF($A431&gt;'1-Input'!$B$26,AA430,(AA430-MAX(0,W396-IF($A431&gt;='1-Input'!$C$12,'1-Input'!$B$12,0))+X431*(1-'P-Parametri'!$B$6*W431))*(1+'1-Input'!$B$27))</f>
        <v>0</v>
      </c>
      <c r="Z431" s="18">
        <f>IF($A431&gt;'1-Input'!$B$26,AB430,(AB430-X431)*(1+$C$4))</f>
        <v>99397.305469288825</v>
      </c>
      <c r="AA431" s="18">
        <f>IF($A431&gt;'1-Input'!$B$26,Y431,Y431-'P-Parametri'!$B$8*(Z431+Y431)+MIN(MAX(Z431,0),'P-Parametri'!$B$8*(Z431+Y431)))</f>
        <v>0</v>
      </c>
      <c r="AB431" s="18">
        <f>IF($A431&gt;'1-Input'!$B$26,Z431,Z431-MIN(MAX(Z431,0),'P-Parametri'!$B$8*(Z431+Y431)))</f>
        <v>99198.510858350244</v>
      </c>
      <c r="AC431" s="18">
        <f>IF($A431&gt;'1-Input'!$B$26,AC430,AC430-X431*(1-W431))</f>
        <v>31310.311736998803</v>
      </c>
      <c r="AD431" s="11">
        <f>IF($A431&gt;'1-Input'!$B$26,0,IF(AI430&lt;=0,0,MAX(0,(AI430-AJ430)/AI430)))</f>
        <v>0.67554833667927727</v>
      </c>
      <c r="AE431" s="18">
        <f>IF($A431&gt;'1-Input'!$B$26,0,(MAX(0,AD396-IF($A431&gt;='1-Input'!$C$12,'1-Input'!$B$12,0))-MIN(MAX(AH430,0),MAX(0,AD396-IF($A431&gt;='1-Input'!$C$12,'1-Input'!$B$12,0))))*(1/(1-'P-Parametri'!$B$6*AD431))+MIN(MAX(0,AI430-(MAX(0,AD396-IF($A431&gt;='1-Input'!$C$12,'1-Input'!$B$12,0))-MIN(MAX(AH430,0),MAX(0,AD396-IF($A431&gt;='1-Input'!$C$12,'1-Input'!$B$12,0))))*(1/(1-'P-Parametri'!$B$6*AD431))),MAX(0,0*AD396-(AH430-MIN(MAX(AH430,0),MAX(0,AD396-IF($A431&gt;='1-Input'!$C$12,'1-Input'!$B$12,0)))))*(1/(1-'P-Parametri'!$B$6*AD431))))</f>
        <v>9393.4339001802018</v>
      </c>
      <c r="AF431" s="18">
        <f>IF($A431&gt;'1-Input'!$B$26,AH430,(AH430-MAX(0,AD396-IF($A431&gt;='1-Input'!$C$12,'1-Input'!$B$12,0))+AE431*(1-'P-Parametri'!$B$6*AD431))*(1+'1-Input'!$B$27))</f>
        <v>0</v>
      </c>
      <c r="AG431" s="18">
        <f>IF($A431&gt;'1-Input'!$B$26,AI430,(AI430-AE431)*(1+$C$4))</f>
        <v>98977.586928566816</v>
      </c>
      <c r="AH431" s="18">
        <f>IF($A431&gt;'1-Input'!$B$26,AF431,AF431-'P-Parametri'!$B$8*(AG431+AF431)+MIN(MAX(AG431,0),'P-Parametri'!$B$8*(AG431+AF431)))</f>
        <v>0</v>
      </c>
      <c r="AI431" s="18">
        <f>IF($A431&gt;'1-Input'!$B$26,AG431,AG431-MIN(MAX(AG431,0),'P-Parametri'!$B$8*(AG431+AF431)))</f>
        <v>98779.631754709684</v>
      </c>
      <c r="AJ431" s="18">
        <f>IF($A431&gt;'1-Input'!$B$26,AJ430,AJ430-AE431*(1-AD431))</f>
        <v>31178.099718878573</v>
      </c>
      <c r="AK431" s="11">
        <f>IF($A431&gt;'1-Input'!$B$26,0,IF(AP430&lt;=0,0,MAX(0,(AP430-AQ430)/AP430)))</f>
        <v>0.67554833667927672</v>
      </c>
      <c r="AL431" s="18">
        <f>IF($A431&gt;'1-Input'!$B$26,0,(MAX(0,AK396-IF($A431&gt;='1-Input'!$C$12,'1-Input'!$B$12,0))-MIN(MAX(AO430,0),MAX(0,AK396-IF($A431&gt;='1-Input'!$C$12,'1-Input'!$B$12,0))))*(1/(1-'P-Parametri'!$B$6*AK431))+MIN(MAX(0,AP430-(MAX(0,AK396-IF($A431&gt;='1-Input'!$C$12,'1-Input'!$B$12,0))-MIN(MAX(AO430,0),MAX(0,AK396-IF($A431&gt;='1-Input'!$C$12,'1-Input'!$B$12,0))))*(1/(1-'P-Parametri'!$B$6*AK431))),MAX(0,0*AK396-(AO430-MIN(MAX(AO430,0),MAX(0,AK396-IF($A431&gt;='1-Input'!$C$12,'1-Input'!$B$12,0)))))*(1/(1-'P-Parametri'!$B$6*AK431))))</f>
        <v>9392.1561204648133</v>
      </c>
      <c r="AM431" s="18">
        <f>IF($A431&gt;'1-Input'!$B$26,AO430,(AO430-MAX(0,AK396-IF($A431&gt;='1-Input'!$C$12,'1-Input'!$B$12,0))+AL431*(1-'P-Parametri'!$B$6*AK431))*(1+'1-Input'!$B$27))</f>
        <v>-9.0622052084654565E-13</v>
      </c>
      <c r="AN431" s="18">
        <f>IF($A431&gt;'1-Input'!$B$26,AP430,(AP430-AL431)*(1+$C$4))</f>
        <v>99042.761484720642</v>
      </c>
      <c r="AO431" s="18">
        <f>IF($A431&gt;'1-Input'!$B$26,AM431,AM431-'P-Parametri'!$B$8*(AN431+AM431)+MIN(MAX(AN431,0),'P-Parametri'!$B$8*(AN431+AM431)))</f>
        <v>-9.0949470177292824E-13</v>
      </c>
      <c r="AP431" s="18">
        <f>IF($A431&gt;'1-Input'!$B$26,AN431,AN431-MIN(MAX(AN431,0),'P-Parametri'!$B$8*(AN431+AM431)))</f>
        <v>98844.6759617512</v>
      </c>
      <c r="AQ431" s="18">
        <f>IF($A431&gt;'1-Input'!$B$26,AQ430,AQ430-AL431*(1-AK431))</f>
        <v>31198.6298093158</v>
      </c>
    </row>
    <row r="432" spans="1:43">
      <c r="A432" s="10">
        <f>34</f>
        <v>34</v>
      </c>
      <c r="B432" s="11">
        <f>IF($A432&gt;'1-Input'!$B$26,0,IF(G431&lt;=0,0,MAX(0,(G431-H431)/G431)))</f>
        <v>0.68436711936423966</v>
      </c>
      <c r="C432" s="18">
        <f>IF($A432&gt;'1-Input'!$B$26,0,(MAX(0,B396-IF($A432&gt;='1-Input'!$C$12,'1-Input'!$B$12,0))-MIN(MAX(F431,0),MAX(0,B396-IF($A432&gt;='1-Input'!$C$12,'1-Input'!$B$12,0))))*(1/(1-'P-Parametri'!$B$6*B432))+MIN(MAX(0,G431-(MAX(0,B396-IF($A432&gt;='1-Input'!$C$12,'1-Input'!$B$12,0))-MIN(MAX(F431,0),MAX(0,B396-IF($A432&gt;='1-Input'!$C$12,'1-Input'!$B$12,0))))*(1/(1-'P-Parametri'!$B$6*B432))),MAX(0,0*B396-(F431-MIN(MAX(F431,0),MAX(0,B396-IF($A432&gt;='1-Input'!$C$12,'1-Input'!$B$12,0)))))*(1/(1-'P-Parametri'!$B$6*B432))))</f>
        <v>6786.6389830919652</v>
      </c>
      <c r="D432" s="18">
        <f>IF($A432&gt;'1-Input'!$B$26,F431,(F431-MAX(0,B396-IF($A432&gt;='1-Input'!$C$12,'1-Input'!$B$12,0))+C432*(1-'P-Parametri'!$B$6*B432))*(1+'1-Input'!$B$27))</f>
        <v>0</v>
      </c>
      <c r="E432" s="18">
        <f>IF($A432&gt;'1-Input'!$B$26,G431,(G431-C432)*(1+$C$4))</f>
        <v>232419.90448595697</v>
      </c>
      <c r="F432" s="18">
        <f>IF($A432&gt;'1-Input'!$B$26,D432,D432-'P-Parametri'!$B$8*(E432+D432)+MIN(MAX(E432,0),'P-Parametri'!$B$8*(E432+D432)))</f>
        <v>0</v>
      </c>
      <c r="G432" s="18">
        <f>IF($A432&gt;'1-Input'!$B$26,E432,E432-MIN(MAX(E432,0),'P-Parametri'!$B$8*(E432+D432)))</f>
        <v>231955.06467698506</v>
      </c>
      <c r="H432" s="18">
        <f>IF($A432&gt;'1-Input'!$B$26,H431,H431-C432*(1-B432))</f>
        <v>71222.683466010538</v>
      </c>
      <c r="I432" s="11">
        <f>IF($A432&gt;'1-Input'!$B$26,0,IF(N431&lt;=0,0,MAX(0,(N431-O431)/N431)))</f>
        <v>0</v>
      </c>
      <c r="J432" s="18">
        <f>IF($A432&gt;'1-Input'!$B$26,0,(MAX(0,I396-IF($A432&gt;='1-Input'!$C$12,'1-Input'!$B$12,0))-MIN(MAX(M431,0),MAX(0,I396-IF($A432&gt;='1-Input'!$C$12,'1-Input'!$B$12,0))))*(1/(1-'P-Parametri'!$B$6*I432))+MIN(MAX(0,N431-(MAX(0,I396-IF($A432&gt;='1-Input'!$C$12,'1-Input'!$B$12,0))-MIN(MAX(M431,0),MAX(0,I396-IF($A432&gt;='1-Input'!$C$12,'1-Input'!$B$12,0))))*(1/(1-'P-Parametri'!$B$6*I432))),MAX(0,0*I396-(M431-MIN(MAX(M431,0),MAX(0,I396-IF($A432&gt;='1-Input'!$C$12,'1-Input'!$B$12,0)))))*(1/(1-'P-Parametri'!$B$6*I432))))</f>
        <v>10846.756992928691</v>
      </c>
      <c r="K432" s="18">
        <f>IF($A432&gt;'1-Input'!$B$26,M431,(M431-MAX(0,I396-IF($A432&gt;='1-Input'!$C$12,'1-Input'!$B$12,0))+J432*(1-'P-Parametri'!$B$6*I432))*(1+'1-Input'!$B$27))</f>
        <v>0</v>
      </c>
      <c r="L432" s="18">
        <f>IF($A432&gt;'1-Input'!$B$26,N431,(N431-J432)*(1+$C$4))</f>
        <v>-91734.473373744579</v>
      </c>
      <c r="M432" s="18">
        <f>IF($A432&gt;'1-Input'!$B$26,K432,K432-'P-Parametri'!$B$8*(L432+K432)+MIN(MAX(L432,0),'P-Parametri'!$B$8*(L432+K432)))</f>
        <v>0</v>
      </c>
      <c r="N432" s="18">
        <f>IF($A432&gt;'1-Input'!$B$26,L432,L432-MIN(MAX(L432,0),'P-Parametri'!$B$8*(L432+K432)))</f>
        <v>-91551.004426997082</v>
      </c>
      <c r="O432" s="18">
        <f>IF($A432&gt;'1-Input'!$B$26,O431,O431-J432*(1-I432))</f>
        <v>-77968.272415626212</v>
      </c>
      <c r="P432" s="11">
        <f>IF($A432&gt;'1-Input'!$B$26,0,IF(U431&lt;=0,0,MAX(0,(U431-V431)/U431)))</f>
        <v>0.68436711936423988</v>
      </c>
      <c r="Q432" s="18">
        <f>IF($A432&gt;'1-Input'!$B$26,0,(MAX(0,P396-IF($A432&gt;='1-Input'!$C$12,'1-Input'!$B$12,0))-MIN(MAX(T431,0),MAX(0,P396-IF($A432&gt;='1-Input'!$C$12,'1-Input'!$B$12,0))))*(1/(1-'P-Parametri'!$B$6*P432))+MIN(MAX(0,U431-(MAX(0,P396-IF($A432&gt;='1-Input'!$C$12,'1-Input'!$B$12,0))-MIN(MAX(T431,0),MAX(0,P396-IF($A432&gt;='1-Input'!$C$12,'1-Input'!$B$12,0))))*(1/(1-'P-Parametri'!$B$6*P432))),MAX(0,0*P396-(T431-MIN(MAX(T431,0),MAX(0,P396-IF($A432&gt;='1-Input'!$C$12,'1-Input'!$B$12,0)))))*(1/(1-'P-Parametri'!$B$6*P432))))</f>
        <v>9723.1289371971397</v>
      </c>
      <c r="R432" s="18">
        <f>IF($A432&gt;'1-Input'!$B$26,T431,(T431-MAX(0,P396-IF($A432&gt;='1-Input'!$C$12,'1-Input'!$B$12,0))+Q432*(1-'P-Parametri'!$B$6*P432))*(1+'1-Input'!$B$27))</f>
        <v>0</v>
      </c>
      <c r="S432" s="18">
        <f>IF($A432&gt;'1-Input'!$B$26,U431,(U431-Q432)*(1+$C$4))</f>
        <v>75859.843669588387</v>
      </c>
      <c r="T432" s="18">
        <f>IF($A432&gt;'1-Input'!$B$26,R432,R432-'P-Parametri'!$B$8*(S432+R432)+MIN(MAX(S432,0),'P-Parametri'!$B$8*(S432+R432)))</f>
        <v>0</v>
      </c>
      <c r="U432" s="18">
        <f>IF($A432&gt;'1-Input'!$B$26,S432,S432-MIN(MAX(S432,0),'P-Parametri'!$B$8*(S432+R432)))</f>
        <v>75708.123982249206</v>
      </c>
      <c r="V432" s="18">
        <f>IF($A432&gt;'1-Input'!$B$26,V431,V431-Q432*(1-P432))</f>
        <v>23246.466972825838</v>
      </c>
      <c r="W432" s="11">
        <f>IF($A432&gt;'1-Input'!$B$26,0,IF(AB431&lt;=0,0,MAX(0,(AB431-AC431)/AB431)))</f>
        <v>0.68436711936424</v>
      </c>
      <c r="X432" s="18">
        <f>IF($A432&gt;'1-Input'!$B$26,0,(MAX(0,W396-IF($A432&gt;='1-Input'!$C$12,'1-Input'!$B$12,0))-MIN(MAX(AA431,0),MAX(0,W396-IF($A432&gt;='1-Input'!$C$12,'1-Input'!$B$12,0))))*(1/(1-'P-Parametri'!$B$6*W432))+MIN(MAX(0,AB431-(MAX(0,W396-IF($A432&gt;='1-Input'!$C$12,'1-Input'!$B$12,0))-MIN(MAX(AA431,0),MAX(0,W396-IF($A432&gt;='1-Input'!$C$12,'1-Input'!$B$12,0))))*(1/(1-'P-Parametri'!$B$6*W432))),MAX(0,0*W396-(AA431-MIN(MAX(AA431,0),MAX(0,W396-IF($A432&gt;='1-Input'!$C$12,'1-Input'!$B$12,0)))))*(1/(1-'P-Parametri'!$B$6*W432))))</f>
        <v>9411.3821064583299</v>
      </c>
      <c r="Y432" s="18">
        <f>IF($A432&gt;'1-Input'!$B$26,AA431,(AA431-MAX(0,W396-IF($A432&gt;='1-Input'!$C$12,'1-Input'!$B$12,0))+X432*(1-'P-Parametri'!$B$6*W432))*(1+'1-Input'!$B$27))</f>
        <v>-9.0622052084654565E-13</v>
      </c>
      <c r="Z432" s="18">
        <f>IF($A432&gt;'1-Input'!$B$26,AB431,(AB431-X432)*(1+$C$4))</f>
        <v>92480.742614448667</v>
      </c>
      <c r="AA432" s="18">
        <f>IF($A432&gt;'1-Input'!$B$26,Y432,Y432-'P-Parametri'!$B$8*(Z432+Y432)+MIN(MAX(Z432,0),'P-Parametri'!$B$8*(Z432+Y432)))</f>
        <v>-9.0949470177292824E-13</v>
      </c>
      <c r="AB432" s="18">
        <f>IF($A432&gt;'1-Input'!$B$26,Z432,Z432-MIN(MAX(Z432,0),'P-Parametri'!$B$8*(Z432+Y432)))</f>
        <v>92295.781129219773</v>
      </c>
      <c r="AC432" s="18">
        <f>IF($A432&gt;'1-Input'!$B$26,AC431,AC431-X432*(1-W432))</f>
        <v>28339.770091973514</v>
      </c>
      <c r="AD432" s="11">
        <f>IF($A432&gt;'1-Input'!$B$26,0,IF(AI431&lt;=0,0,MAX(0,(AI431-AJ431)/AI431)))</f>
        <v>0.68436711936424044</v>
      </c>
      <c r="AE432" s="18">
        <f>IF($A432&gt;'1-Input'!$B$26,0,(MAX(0,AD396-IF($A432&gt;='1-Input'!$C$12,'1-Input'!$B$12,0))-MIN(MAX(AH431,0),MAX(0,AD396-IF($A432&gt;='1-Input'!$C$12,'1-Input'!$B$12,0))))*(1/(1-'P-Parametri'!$B$6*AD432))+MIN(MAX(0,AI431-(MAX(0,AD396-IF($A432&gt;='1-Input'!$C$12,'1-Input'!$B$12,0))-MIN(MAX(AH431,0),MAX(0,AD396-IF($A432&gt;='1-Input'!$C$12,'1-Input'!$B$12,0))))*(1/(1-'P-Parametri'!$B$6*AD432))),MAX(0,0*AD396-(AH431-MIN(MAX(AH431,0),MAX(0,AD396-IF($A432&gt;='1-Input'!$C$12,'1-Input'!$B$12,0)))))*(1/(1-'P-Parametri'!$B$6*AD432))))</f>
        <v>9419.6338495725413</v>
      </c>
      <c r="AF432" s="18">
        <f>IF($A432&gt;'1-Input'!$B$26,AH431,(AH431-MAX(0,AD396-IF($A432&gt;='1-Input'!$C$12,'1-Input'!$B$12,0))+AE432*(1-'P-Parametri'!$B$6*AD432))*(1+'1-Input'!$B$27))</f>
        <v>0</v>
      </c>
      <c r="AG432" s="18">
        <f>IF($A432&gt;'1-Input'!$B$26,AI431,(AI431-AE432)*(1+$C$4))</f>
        <v>92040.797842291271</v>
      </c>
      <c r="AH432" s="18">
        <f>IF($A432&gt;'1-Input'!$B$26,AF432,AF432-'P-Parametri'!$B$8*(AG432+AF432)+MIN(MAX(AG432,0),'P-Parametri'!$B$8*(AG432+AF432)))</f>
        <v>0</v>
      </c>
      <c r="AI432" s="18">
        <f>IF($A432&gt;'1-Input'!$B$26,AG432,AG432-MIN(MAX(AG432,0),'P-Parametri'!$B$8*(AG432+AF432)))</f>
        <v>91856.716246606695</v>
      </c>
      <c r="AJ432" s="18">
        <f>IF($A432&gt;'1-Input'!$B$26,AJ431,AJ431-AE432*(1-AD432))</f>
        <v>28204.953552403884</v>
      </c>
      <c r="AK432" s="11">
        <f>IF($A432&gt;'1-Input'!$B$26,0,IF(AP431&lt;=0,0,MAX(0,(AP431-AQ431)/AP431)))</f>
        <v>0.68436711936424</v>
      </c>
      <c r="AL432" s="18">
        <f>IF($A432&gt;'1-Input'!$B$26,0,(MAX(0,AK396-IF($A432&gt;='1-Input'!$C$12,'1-Input'!$B$12,0))-MIN(MAX(AO431,0),MAX(0,AK396-IF($A432&gt;='1-Input'!$C$12,'1-Input'!$B$12,0))))*(1/(1-'P-Parametri'!$B$6*AK432))+MIN(MAX(0,AP431-(MAX(0,AK396-IF($A432&gt;='1-Input'!$C$12,'1-Input'!$B$12,0))-MIN(MAX(AO431,0),MAX(0,AK396-IF($A432&gt;='1-Input'!$C$12,'1-Input'!$B$12,0))))*(1/(1-'P-Parametri'!$B$6*AK432))),MAX(0,0*AK396-(AO431-MIN(MAX(AO431,0),MAX(0,AK396-IF($A432&gt;='1-Input'!$C$12,'1-Input'!$B$12,0)))))*(1/(1-'P-Parametri'!$B$6*AK432))))</f>
        <v>9418.3525059034146</v>
      </c>
      <c r="AM432" s="18">
        <f>IF($A432&gt;'1-Input'!$B$26,AO431,(AO431-MAX(0,AK396-IF($A432&gt;='1-Input'!$C$12,'1-Input'!$B$12,0))+AL432*(1-'P-Parametri'!$B$6*AK432))*(1+'1-Input'!$B$27))</f>
        <v>0</v>
      </c>
      <c r="AN432" s="18">
        <f>IF($A432&gt;'1-Input'!$B$26,AP431,(AP431-AL432)*(1+$C$4))</f>
        <v>92109.113159523215</v>
      </c>
      <c r="AO432" s="18">
        <f>IF($A432&gt;'1-Input'!$B$26,AM432,AM432-'P-Parametri'!$B$8*(AN432+AM432)+MIN(MAX(AN432,0),'P-Parametri'!$B$8*(AN432+AM432)))</f>
        <v>0</v>
      </c>
      <c r="AP432" s="18">
        <f>IF($A432&gt;'1-Input'!$B$26,AN432,AN432-MIN(MAX(AN432,0),'P-Parametri'!$B$8*(AN432+AM432)))</f>
        <v>91924.894933204167</v>
      </c>
      <c r="AQ432" s="18">
        <f>IF($A432&gt;'1-Input'!$B$26,AQ431,AQ431-AL432*(1-AK432))</f>
        <v>28225.888077034477</v>
      </c>
    </row>
    <row r="433" spans="1:43">
      <c r="A433" s="10">
        <f>35</f>
        <v>35</v>
      </c>
      <c r="B433" s="11">
        <f>IF($A433&gt;'1-Input'!$B$26,0,IF(G432&lt;=0,0,MAX(0,(G432-H432)/G432)))</f>
        <v>0.69294620246730332</v>
      </c>
      <c r="C433" s="18">
        <f>IF($A433&gt;'1-Input'!$B$26,0,(MAX(0,B396-IF($A433&gt;='1-Input'!$C$12,'1-Input'!$B$12,0))-MIN(MAX(F432,0),MAX(0,B396-IF($A433&gt;='1-Input'!$C$12,'1-Input'!$B$12,0))))*(1/(1-'P-Parametri'!$B$6*B433))+MIN(MAX(0,G432-(MAX(0,B396-IF($A433&gt;='1-Input'!$C$12,'1-Input'!$B$12,0))-MIN(MAX(F432,0),MAX(0,B396-IF($A433&gt;='1-Input'!$C$12,'1-Input'!$B$12,0))))*(1/(1-'P-Parametri'!$B$6*B433))),MAX(0,0*B396-(F432-MIN(MAX(F432,0),MAX(0,B396-IF($A433&gt;='1-Input'!$C$12,'1-Input'!$B$12,0)))))*(1/(1-'P-Parametri'!$B$6*B433))))</f>
        <v>6805.10371691405</v>
      </c>
      <c r="D433" s="18">
        <f>IF($A433&gt;'1-Input'!$B$26,F432,(F432-MAX(0,B396-IF($A433&gt;='1-Input'!$C$12,'1-Input'!$B$12,0))+C433*(1-'P-Parametri'!$B$6*B433))*(1+'1-Input'!$B$27))</f>
        <v>0</v>
      </c>
      <c r="E433" s="18">
        <f>IF($A433&gt;'1-Input'!$B$26,G432,(G432-C433)*(1+$C$4))</f>
        <v>231904.45978887315</v>
      </c>
      <c r="F433" s="18">
        <f>IF($A433&gt;'1-Input'!$B$26,D433,D433-'P-Parametri'!$B$8*(E433+D433)+MIN(MAX(E433,0),'P-Parametri'!$B$8*(E433+D433)))</f>
        <v>0</v>
      </c>
      <c r="G433" s="18">
        <f>IF($A433&gt;'1-Input'!$B$26,E433,E433-MIN(MAX(E433,0),'P-Parametri'!$B$8*(E433+D433)))</f>
        <v>231440.65086929541</v>
      </c>
      <c r="H433" s="18">
        <f>IF($A433&gt;'1-Input'!$B$26,H432,H432-C433*(1-B433))</f>
        <v>69133.150527128208</v>
      </c>
      <c r="I433" s="11">
        <f>IF($A433&gt;'1-Input'!$B$26,0,IF(N432&lt;=0,0,MAX(0,(N432-O432)/N432)))</f>
        <v>0</v>
      </c>
      <c r="J433" s="18">
        <f>IF($A433&gt;'1-Input'!$B$26,0,(MAX(0,I396-IF($A433&gt;='1-Input'!$C$12,'1-Input'!$B$12,0))-MIN(MAX(M432,0),MAX(0,I396-IF($A433&gt;='1-Input'!$C$12,'1-Input'!$B$12,0))))*(1/(1-'P-Parametri'!$B$6*I433))+MIN(MAX(0,N432-(MAX(0,I396-IF($A433&gt;='1-Input'!$C$12,'1-Input'!$B$12,0))-MIN(MAX(M432,0),MAX(0,I396-IF($A433&gt;='1-Input'!$C$12,'1-Input'!$B$12,0))))*(1/(1-'P-Parametri'!$B$6*I433))),MAX(0,0*I396-(M432-MIN(MAX(M432,0),MAX(0,I396-IF($A433&gt;='1-Input'!$C$12,'1-Input'!$B$12,0)))))*(1/(1-'P-Parametri'!$B$6*I433))))</f>
        <v>10846.756992928691</v>
      </c>
      <c r="K433" s="18">
        <f>IF($A433&gt;'1-Input'!$B$26,M432,(M432-MAX(0,I396-IF($A433&gt;='1-Input'!$C$12,'1-Input'!$B$12,0))+J433*(1-'P-Parametri'!$B$6*I433))*(1+'1-Input'!$B$27))</f>
        <v>0</v>
      </c>
      <c r="L433" s="18">
        <f>IF($A433&gt;'1-Input'!$B$26,N432,(N432-J433)*(1+$C$4))</f>
        <v>-105469.69426252355</v>
      </c>
      <c r="M433" s="18">
        <f>IF($A433&gt;'1-Input'!$B$26,K433,K433-'P-Parametri'!$B$8*(L433+K433)+MIN(MAX(L433,0),'P-Parametri'!$B$8*(L433+K433)))</f>
        <v>0</v>
      </c>
      <c r="N433" s="18">
        <f>IF($A433&gt;'1-Input'!$B$26,L433,L433-MIN(MAX(L433,0),'P-Parametri'!$B$8*(L433+K433)))</f>
        <v>-105258.75487399851</v>
      </c>
      <c r="O433" s="18">
        <f>IF($A433&gt;'1-Input'!$B$26,O432,O432-J433*(1-I433))</f>
        <v>-88815.029408554896</v>
      </c>
      <c r="P433" s="11">
        <f>IF($A433&gt;'1-Input'!$B$26,0,IF(U432&lt;=0,0,MAX(0,(U432-V432)/U432)))</f>
        <v>0.69294620246730343</v>
      </c>
      <c r="Q433" s="18">
        <f>IF($A433&gt;'1-Input'!$B$26,0,(MAX(0,P396-IF($A433&gt;='1-Input'!$C$12,'1-Input'!$B$12,0))-MIN(MAX(T432,0),MAX(0,P396-IF($A433&gt;='1-Input'!$C$12,'1-Input'!$B$12,0))))*(1/(1-'P-Parametri'!$B$6*P433))+MIN(MAX(0,U432-(MAX(0,P396-IF($A433&gt;='1-Input'!$C$12,'1-Input'!$B$12,0))-MIN(MAX(T432,0),MAX(0,P396-IF($A433&gt;='1-Input'!$C$12,'1-Input'!$B$12,0))))*(1/(1-'P-Parametri'!$B$6*P433))),MAX(0,0*P396-(T432-MIN(MAX(T432,0),MAX(0,P396-IF($A433&gt;='1-Input'!$C$12,'1-Input'!$B$12,0)))))*(1/(1-'P-Parametri'!$B$6*P433))))</f>
        <v>9749.5831199215245</v>
      </c>
      <c r="R433" s="18">
        <f>IF($A433&gt;'1-Input'!$B$26,T432,(T432-MAX(0,P396-IF($A433&gt;='1-Input'!$C$12,'1-Input'!$B$12,0))+Q433*(1-'P-Parametri'!$B$6*P433))*(1+'1-Input'!$B$27))</f>
        <v>0</v>
      </c>
      <c r="S433" s="18">
        <f>IF($A433&gt;'1-Input'!$B$26,U432,(U432-Q433)*(1+$C$4))</f>
        <v>67937.297088197505</v>
      </c>
      <c r="T433" s="18">
        <f>IF($A433&gt;'1-Input'!$B$26,R433,R433-'P-Parametri'!$B$8*(S433+R433)+MIN(MAX(S433,0),'P-Parametri'!$B$8*(S433+R433)))</f>
        <v>0</v>
      </c>
      <c r="U433" s="18">
        <f>IF($A433&gt;'1-Input'!$B$26,S433,S433-MIN(MAX(S433,0),'P-Parametri'!$B$8*(S433+R433)))</f>
        <v>67801.422494021113</v>
      </c>
      <c r="V433" s="18">
        <f>IF($A433&gt;'1-Input'!$B$26,V432,V432-Q433*(1-P433))</f>
        <v>20252.820451493259</v>
      </c>
      <c r="W433" s="11">
        <f>IF($A433&gt;'1-Input'!$B$26,0,IF(AB432&lt;=0,0,MAX(0,(AB432-AC432)/AB432)))</f>
        <v>0.69294620246730354</v>
      </c>
      <c r="X433" s="18">
        <f>IF($A433&gt;'1-Input'!$B$26,0,(MAX(0,W396-IF($A433&gt;='1-Input'!$C$12,'1-Input'!$B$12,0))-MIN(MAX(AA432,0),MAX(0,W396-IF($A433&gt;='1-Input'!$C$12,'1-Input'!$B$12,0))))*(1/(1-'P-Parametri'!$B$6*W433))+MIN(MAX(0,AB432-(MAX(0,W396-IF($A433&gt;='1-Input'!$C$12,'1-Input'!$B$12,0))-MIN(MAX(AA432,0),MAX(0,W396-IF($A433&gt;='1-Input'!$C$12,'1-Input'!$B$12,0))))*(1/(1-'P-Parametri'!$B$6*W433))),MAX(0,0*W396-(AA432-MIN(MAX(AA432,0),MAX(0,W396-IF($A433&gt;='1-Input'!$C$12,'1-Input'!$B$12,0)))))*(1/(1-'P-Parametri'!$B$6*W433))))</f>
        <v>9436.9881046448627</v>
      </c>
      <c r="Y433" s="18">
        <f>IF($A433&gt;'1-Input'!$B$26,AA432,(AA432-MAX(0,W396-IF($A433&gt;='1-Input'!$C$12,'1-Input'!$B$12,0))+X433*(1-'P-Parametri'!$B$6*W433))*(1+'1-Input'!$B$27))</f>
        <v>9.0622052084654565E-13</v>
      </c>
      <c r="Z433" s="18">
        <f>IF($A433&gt;'1-Input'!$B$26,AB432,(AB432-X433)*(1+$C$4))</f>
        <v>85344.556815312171</v>
      </c>
      <c r="AA433" s="18">
        <f>IF($A433&gt;'1-Input'!$B$26,Y433,Y433-'P-Parametri'!$B$8*(Z433+Y433)+MIN(MAX(Z433,0),'P-Parametri'!$B$8*(Z433+Y433)))</f>
        <v>9.0949470177292824E-13</v>
      </c>
      <c r="AB433" s="18">
        <f>IF($A433&gt;'1-Input'!$B$26,Z433,Z433-MIN(MAX(Z433,0),'P-Parametri'!$B$8*(Z433+Y433)))</f>
        <v>85173.867701681549</v>
      </c>
      <c r="AC433" s="18">
        <f>IF($A433&gt;'1-Input'!$B$26,AC432,AC432-X433*(1-W433))</f>
        <v>25442.107057171426</v>
      </c>
      <c r="AD433" s="11">
        <f>IF($A433&gt;'1-Input'!$B$26,0,IF(AI432&lt;=0,0,MAX(0,(AI432-AJ432)/AI432)))</f>
        <v>0.69294620246730398</v>
      </c>
      <c r="AE433" s="18">
        <f>IF($A433&gt;'1-Input'!$B$26,0,(MAX(0,AD396-IF($A433&gt;='1-Input'!$C$12,'1-Input'!$B$12,0))-MIN(MAX(AH432,0),MAX(0,AD396-IF($A433&gt;='1-Input'!$C$12,'1-Input'!$B$12,0))))*(1/(1-'P-Parametri'!$B$6*AD433))+MIN(MAX(0,AI432-(MAX(0,AD396-IF($A433&gt;='1-Input'!$C$12,'1-Input'!$B$12,0))-MIN(MAX(AH432,0),MAX(0,AD396-IF($A433&gt;='1-Input'!$C$12,'1-Input'!$B$12,0))))*(1/(1-'P-Parametri'!$B$6*AD433))),MAX(0,0*AD396-(AH432-MIN(MAX(AH432,0),MAX(0,AD396-IF($A433&gt;='1-Input'!$C$12,'1-Input'!$B$12,0)))))*(1/(1-'P-Parametri'!$B$6*AD433))))</f>
        <v>9445.2622986718943</v>
      </c>
      <c r="AF433" s="18">
        <f>IF($A433&gt;'1-Input'!$B$26,AH432,(AH432-MAX(0,AD396-IF($A433&gt;='1-Input'!$C$12,'1-Input'!$B$12,0))+AE433*(1-'P-Parametri'!$B$6*AD433))*(1+'1-Input'!$B$27))</f>
        <v>0</v>
      </c>
      <c r="AG433" s="18">
        <f>IF($A433&gt;'1-Input'!$B$26,AI432,(AI432-AE433)*(1+$C$4))</f>
        <v>84883.797566372843</v>
      </c>
      <c r="AH433" s="18">
        <f>IF($A433&gt;'1-Input'!$B$26,AF433,AF433-'P-Parametri'!$B$8*(AG433+AF433)+MIN(MAX(AG433,0),'P-Parametri'!$B$8*(AG433+AF433)))</f>
        <v>0</v>
      </c>
      <c r="AI433" s="18">
        <f>IF($A433&gt;'1-Input'!$B$26,AG433,AG433-MIN(MAX(AG433,0),'P-Parametri'!$B$8*(AG433+AF433)))</f>
        <v>84714.029971240103</v>
      </c>
      <c r="AJ433" s="18">
        <f>IF($A433&gt;'1-Input'!$B$26,AJ432,AJ432-AE433*(1-AD433))</f>
        <v>25304.749894904278</v>
      </c>
      <c r="AK433" s="11">
        <f>IF($A433&gt;'1-Input'!$B$26,0,IF(AP432&lt;=0,0,MAX(0,(AP432-AQ432)/AP432)))</f>
        <v>0.69294620246730343</v>
      </c>
      <c r="AL433" s="18">
        <f>IF($A433&gt;'1-Input'!$B$26,0,(MAX(0,AK396-IF($A433&gt;='1-Input'!$C$12,'1-Input'!$B$12,0))-MIN(MAX(AO432,0),MAX(0,AK396-IF($A433&gt;='1-Input'!$C$12,'1-Input'!$B$12,0))))*(1/(1-'P-Parametri'!$B$6*AK433))+MIN(MAX(0,AP432-(MAX(0,AK396-IF($A433&gt;='1-Input'!$C$12,'1-Input'!$B$12,0))-MIN(MAX(AO432,0),MAX(0,AK396-IF($A433&gt;='1-Input'!$C$12,'1-Input'!$B$12,0))))*(1/(1-'P-Parametri'!$B$6*AK433))),MAX(0,0*AK396-(AO432-MIN(MAX(AO432,0),MAX(0,AK396-IF($A433&gt;='1-Input'!$C$12,'1-Input'!$B$12,0)))))*(1/(1-'P-Parametri'!$B$6*AK433))))</f>
        <v>9443.977468789657</v>
      </c>
      <c r="AM433" s="18">
        <f>IF($A433&gt;'1-Input'!$B$26,AO432,(AO432-MAX(0,AK396-IF($A433&gt;='1-Input'!$C$12,'1-Input'!$B$12,0))+AL433*(1-'P-Parametri'!$B$6*AK433))*(1+'1-Input'!$B$27))</f>
        <v>-9.0622052084654565E-13</v>
      </c>
      <c r="AN433" s="18">
        <f>IF($A433&gt;'1-Input'!$B$26,AP432,(AP432-AL433)*(1+$C$4))</f>
        <v>84955.344988346944</v>
      </c>
      <c r="AO433" s="18">
        <f>IF($A433&gt;'1-Input'!$B$26,AM433,AM433-'P-Parametri'!$B$8*(AN433+AM433)+MIN(MAX(AN433,0),'P-Parametri'!$B$8*(AN433+AM433)))</f>
        <v>-9.0949470177292824E-13</v>
      </c>
      <c r="AP433" s="18">
        <f>IF($A433&gt;'1-Input'!$B$26,AN433,AN433-MIN(MAX(AN433,0),'P-Parametri'!$B$8*(AN433+AM433)))</f>
        <v>84785.434298370252</v>
      </c>
      <c r="AQ433" s="18">
        <f>IF($A433&gt;'1-Input'!$B$26,AQ432,AQ432-AL433*(1-AK433))</f>
        <v>25326.078931429391</v>
      </c>
    </row>
    <row r="434" spans="1:43">
      <c r="A434" s="10">
        <f>36</f>
        <v>36</v>
      </c>
      <c r="B434" s="11">
        <f>IF($A434&gt;'1-Input'!$B$26,0,IF(G433&lt;=0,0,MAX(0,(G433-H433)/G433)))</f>
        <v>0.70129210116086871</v>
      </c>
      <c r="C434" s="18">
        <f>IF($A434&gt;'1-Input'!$B$26,0,(MAX(0,B396-IF($A434&gt;='1-Input'!$C$12,'1-Input'!$B$12,0))-MIN(MAX(F433,0),MAX(0,B396-IF($A434&gt;='1-Input'!$C$12,'1-Input'!$B$12,0))))*(1/(1-'P-Parametri'!$B$6*B434))+MIN(MAX(0,G433-(MAX(0,B396-IF($A434&gt;='1-Input'!$C$12,'1-Input'!$B$12,0))-MIN(MAX(F433,0),MAX(0,B396-IF($A434&gt;='1-Input'!$C$12,'1-Input'!$B$12,0))))*(1/(1-'P-Parametri'!$B$6*B434))),MAX(0,0*B396-(F433-MIN(MAX(F433,0),MAX(0,B396-IF($A434&gt;='1-Input'!$C$12,'1-Input'!$B$12,0)))))*(1/(1-'P-Parametri'!$B$6*B434))))</f>
        <v>6823.1632409331896</v>
      </c>
      <c r="D434" s="18">
        <f>IF($A434&gt;'1-Input'!$B$26,F433,(F433-MAX(0,B396-IF($A434&gt;='1-Input'!$C$12,'1-Input'!$B$12,0))+C434*(1-'P-Parametri'!$B$6*B434))*(1+'1-Input'!$B$27))</f>
        <v>9.0622052084654565E-13</v>
      </c>
      <c r="E434" s="18">
        <f>IF($A434&gt;'1-Input'!$B$26,G433,(G433-C434)*(1+$C$4))</f>
        <v>231356.01225721309</v>
      </c>
      <c r="F434" s="18">
        <f>IF($A434&gt;'1-Input'!$B$26,D434,D434-'P-Parametri'!$B$8*(E434+D434)+MIN(MAX(E434,0),'P-Parametri'!$B$8*(E434+D434)))</f>
        <v>9.0949470177292824E-13</v>
      </c>
      <c r="G434" s="18">
        <f>IF($A434&gt;'1-Input'!$B$26,E434,E434-MIN(MAX(E434,0),'P-Parametri'!$B$8*(E434+D434)))</f>
        <v>230893.30023269868</v>
      </c>
      <c r="H434" s="18">
        <f>IF($A434&gt;'1-Input'!$B$26,H433,H433-C434*(1-B434))</f>
        <v>67095.017771992658</v>
      </c>
      <c r="I434" s="11">
        <f>IF($A434&gt;'1-Input'!$B$26,0,IF(N433&lt;=0,0,MAX(0,(N433-O433)/N433)))</f>
        <v>0</v>
      </c>
      <c r="J434" s="18">
        <f>IF($A434&gt;'1-Input'!$B$26,0,(MAX(0,I396-IF($A434&gt;='1-Input'!$C$12,'1-Input'!$B$12,0))-MIN(MAX(M433,0),MAX(0,I396-IF($A434&gt;='1-Input'!$C$12,'1-Input'!$B$12,0))))*(1/(1-'P-Parametri'!$B$6*I434))+MIN(MAX(0,N433-(MAX(0,I396-IF($A434&gt;='1-Input'!$C$12,'1-Input'!$B$12,0))-MIN(MAX(M433,0),MAX(0,I396-IF($A434&gt;='1-Input'!$C$12,'1-Input'!$B$12,0))))*(1/(1-'P-Parametri'!$B$6*I434))),MAX(0,0*I396-(M433-MIN(MAX(M433,0),MAX(0,I396-IF($A434&gt;='1-Input'!$C$12,'1-Input'!$B$12,0)))))*(1/(1-'P-Parametri'!$B$6*I434))))</f>
        <v>10846.756992928691</v>
      </c>
      <c r="K434" s="18">
        <f>IF($A434&gt;'1-Input'!$B$26,M433,(M433-MAX(0,I396-IF($A434&gt;='1-Input'!$C$12,'1-Input'!$B$12,0))+J434*(1-'P-Parametri'!$B$6*I434))*(1+'1-Input'!$B$27))</f>
        <v>0</v>
      </c>
      <c r="L434" s="18">
        <f>IF($A434&gt;'1-Input'!$B$26,N433,(N433-J434)*(1+$C$4))</f>
        <v>-119588.67722293502</v>
      </c>
      <c r="M434" s="18">
        <f>IF($A434&gt;'1-Input'!$B$26,K434,K434-'P-Parametri'!$B$8*(L434+K434)+MIN(MAX(L434,0),'P-Parametri'!$B$8*(L434+K434)))</f>
        <v>0</v>
      </c>
      <c r="N434" s="18">
        <f>IF($A434&gt;'1-Input'!$B$26,L434,L434-MIN(MAX(L434,0),'P-Parametri'!$B$8*(L434+K434)))</f>
        <v>-119349.49986848915</v>
      </c>
      <c r="O434" s="18">
        <f>IF($A434&gt;'1-Input'!$B$26,O433,O433-J434*(1-I434))</f>
        <v>-99661.78640148358</v>
      </c>
      <c r="P434" s="11">
        <f>IF($A434&gt;'1-Input'!$B$26,0,IF(U433&lt;=0,0,MAX(0,(U433-V433)/U433)))</f>
        <v>0.70129210116086871</v>
      </c>
      <c r="Q434" s="18">
        <f>IF($A434&gt;'1-Input'!$B$26,0,(MAX(0,P396-IF($A434&gt;='1-Input'!$C$12,'1-Input'!$B$12,0))-MIN(MAX(T433,0),MAX(0,P396-IF($A434&gt;='1-Input'!$C$12,'1-Input'!$B$12,0))))*(1/(1-'P-Parametri'!$B$6*P434))+MIN(MAX(0,U433-(MAX(0,P396-IF($A434&gt;='1-Input'!$C$12,'1-Input'!$B$12,0))-MIN(MAX(T433,0),MAX(0,P396-IF($A434&gt;='1-Input'!$C$12,'1-Input'!$B$12,0))))*(1/(1-'P-Parametri'!$B$6*P434))),MAX(0,0*P396-(T433-MIN(MAX(T433,0),MAX(0,P396-IF($A434&gt;='1-Input'!$C$12,'1-Input'!$B$12,0)))))*(1/(1-'P-Parametri'!$B$6*P434))))</f>
        <v>9775.4567638592634</v>
      </c>
      <c r="R434" s="18">
        <f>IF($A434&gt;'1-Input'!$B$26,T433,(T433-MAX(0,P396-IF($A434&gt;='1-Input'!$C$12,'1-Input'!$B$12,0))+Q434*(1-'P-Parametri'!$B$6*P434))*(1+'1-Input'!$B$27))</f>
        <v>9.0622052084654565E-13</v>
      </c>
      <c r="S434" s="18">
        <f>IF($A434&gt;'1-Input'!$B$26,U433,(U433-Q434)*(1+$C$4))</f>
        <v>59766.74470206671</v>
      </c>
      <c r="T434" s="18">
        <f>IF($A434&gt;'1-Input'!$B$26,R434,R434-'P-Parametri'!$B$8*(S434+R434)+MIN(MAX(S434,0),'P-Parametri'!$B$8*(S434+R434)))</f>
        <v>9.0949470177292824E-13</v>
      </c>
      <c r="U434" s="18">
        <f>IF($A434&gt;'1-Input'!$B$26,S434,S434-MIN(MAX(S434,0),'P-Parametri'!$B$8*(S434+R434)))</f>
        <v>59647.21121266258</v>
      </c>
      <c r="V434" s="18">
        <f>IF($A434&gt;'1-Input'!$B$26,V433,V433-Q434*(1-P434))</f>
        <v>17332.814301368082</v>
      </c>
      <c r="W434" s="11">
        <f>IF($A434&gt;'1-Input'!$B$26,0,IF(AB433&lt;=0,0,MAX(0,(AB433-AC433)/AB433)))</f>
        <v>0.70129210116086893</v>
      </c>
      <c r="X434" s="18">
        <f>IF($A434&gt;'1-Input'!$B$26,0,(MAX(0,W396-IF($A434&gt;='1-Input'!$C$12,'1-Input'!$B$12,0))-MIN(MAX(AA433,0),MAX(0,W396-IF($A434&gt;='1-Input'!$C$12,'1-Input'!$B$12,0))))*(1/(1-'P-Parametri'!$B$6*W434))+MIN(MAX(0,AB433-(MAX(0,W396-IF($A434&gt;='1-Input'!$C$12,'1-Input'!$B$12,0))-MIN(MAX(AA433,0),MAX(0,W396-IF($A434&gt;='1-Input'!$C$12,'1-Input'!$B$12,0))))*(1/(1-'P-Parametri'!$B$6*W434))),MAX(0,0*W396-(AA433-MIN(MAX(AA433,0),MAX(0,W396-IF($A434&gt;='1-Input'!$C$12,'1-Input'!$B$12,0)))))*(1/(1-'P-Parametri'!$B$6*W434))))</f>
        <v>9462.0321775104312</v>
      </c>
      <c r="Y434" s="18">
        <f>IF($A434&gt;'1-Input'!$B$26,AA433,(AA433-MAX(0,W396-IF($A434&gt;='1-Input'!$C$12,'1-Input'!$B$12,0))+X434*(1-'P-Parametri'!$B$6*W434))*(1+'1-Input'!$B$27))</f>
        <v>9.0622052084654565E-13</v>
      </c>
      <c r="Z434" s="18">
        <f>IF($A434&gt;'1-Input'!$B$26,AB433,(AB433-X434)*(1+$C$4))</f>
        <v>77983.190589896258</v>
      </c>
      <c r="AA434" s="18">
        <f>IF($A434&gt;'1-Input'!$B$26,Y434,Y434-'P-Parametri'!$B$8*(Z434+Y434)+MIN(MAX(Z434,0),'P-Parametri'!$B$8*(Z434+Y434)))</f>
        <v>9.0949470177292824E-13</v>
      </c>
      <c r="AB434" s="18">
        <f>IF($A434&gt;'1-Input'!$B$26,Z434,Z434-MIN(MAX(Z434,0),'P-Parametri'!$B$8*(Z434+Y434)))</f>
        <v>77827.224208716463</v>
      </c>
      <c r="AC434" s="18">
        <f>IF($A434&gt;'1-Input'!$B$26,AC433,AC433-X434*(1-W434))</f>
        <v>22615.723306679036</v>
      </c>
      <c r="AD434" s="11">
        <f>IF($A434&gt;'1-Input'!$B$26,0,IF(AI433&lt;=0,0,MAX(0,(AI433-AJ433)/AI433)))</f>
        <v>0.70129210116086926</v>
      </c>
      <c r="AE434" s="18">
        <f>IF($A434&gt;'1-Input'!$B$26,0,(MAX(0,AD396-IF($A434&gt;='1-Input'!$C$12,'1-Input'!$B$12,0))-MIN(MAX(AH433,0),MAX(0,AD396-IF($A434&gt;='1-Input'!$C$12,'1-Input'!$B$12,0))))*(1/(1-'P-Parametri'!$B$6*AD434))+MIN(MAX(0,AI433-(MAX(0,AD396-IF($A434&gt;='1-Input'!$C$12,'1-Input'!$B$12,0))-MIN(MAX(AH433,0),MAX(0,AD396-IF($A434&gt;='1-Input'!$C$12,'1-Input'!$B$12,0))))*(1/(1-'P-Parametri'!$B$6*AD434))),MAX(0,0*AD396-(AH433-MIN(MAX(AH433,0),MAX(0,AD396-IF($A434&gt;='1-Input'!$C$12,'1-Input'!$B$12,0)))))*(1/(1-'P-Parametri'!$B$6*AD434))))</f>
        <v>9470.3283297635226</v>
      </c>
      <c r="AF434" s="18">
        <f>IF($A434&gt;'1-Input'!$B$26,AH433,(AH433-MAX(0,AD396-IF($A434&gt;='1-Input'!$C$12,'1-Input'!$B$12,0))+AE434*(1-'P-Parametri'!$B$6*AD434))*(1+'1-Input'!$B$27))</f>
        <v>-9.0622052084654565E-13</v>
      </c>
      <c r="AG434" s="18">
        <f>IF($A434&gt;'1-Input'!$B$26,AI433,(AI433-AE434)*(1+$C$4))</f>
        <v>77501.012690720876</v>
      </c>
      <c r="AH434" s="18">
        <f>IF($A434&gt;'1-Input'!$B$26,AF434,AF434-'P-Parametri'!$B$8*(AG434+AF434)+MIN(MAX(AG434,0),'P-Parametri'!$B$8*(AG434+AF434)))</f>
        <v>-9.0949470177292824E-13</v>
      </c>
      <c r="AI434" s="18">
        <f>IF($A434&gt;'1-Input'!$B$26,AG434,AG434-MIN(MAX(AG434,0),'P-Parametri'!$B$8*(AG434+AF434)))</f>
        <v>77346.010665339432</v>
      </c>
      <c r="AJ434" s="18">
        <f>IF($A434&gt;'1-Input'!$B$26,AJ433,AJ433-AE434*(1-AD434))</f>
        <v>22475.888018203921</v>
      </c>
      <c r="AK434" s="11">
        <f>IF($A434&gt;'1-Input'!$B$26,0,IF(AP433&lt;=0,0,MAX(0,(AP433-AQ433)/AP433)))</f>
        <v>0.70129210116086871</v>
      </c>
      <c r="AL434" s="18">
        <f>IF($A434&gt;'1-Input'!$B$26,0,(MAX(0,AK396-IF($A434&gt;='1-Input'!$C$12,'1-Input'!$B$12,0))-MIN(MAX(AO433,0),MAX(0,AK396-IF($A434&gt;='1-Input'!$C$12,'1-Input'!$B$12,0))))*(1/(1-'P-Parametri'!$B$6*AK434))+MIN(MAX(0,AP433-(MAX(0,AK396-IF($A434&gt;='1-Input'!$C$12,'1-Input'!$B$12,0))-MIN(MAX(AO433,0),MAX(0,AK396-IF($A434&gt;='1-Input'!$C$12,'1-Input'!$B$12,0))))*(1/(1-'P-Parametri'!$B$6*AK434))),MAX(0,0*AK396-(AO433-MIN(MAX(AO433,0),MAX(0,AK396-IF($A434&gt;='1-Input'!$C$12,'1-Input'!$B$12,0)))))*(1/(1-'P-Parametri'!$B$6*AK434))))</f>
        <v>9469.0400901733574</v>
      </c>
      <c r="AM434" s="18">
        <f>IF($A434&gt;'1-Input'!$B$26,AO433,(AO433-MAX(0,AK396-IF($A434&gt;='1-Input'!$C$12,'1-Input'!$B$12,0))+AL434*(1-'P-Parametri'!$B$6*AK434))*(1+'1-Input'!$B$27))</f>
        <v>9.0622052084654565E-13</v>
      </c>
      <c r="AN434" s="18">
        <f>IF($A434&gt;'1-Input'!$B$26,AP433,(AP433-AL434)*(1+$C$4))</f>
        <v>77575.88603444281</v>
      </c>
      <c r="AO434" s="18">
        <f>IF($A434&gt;'1-Input'!$B$26,AM434,AM434-'P-Parametri'!$B$8*(AN434+AM434)+MIN(MAX(AN434,0),'P-Parametri'!$B$8*(AN434+AM434)))</f>
        <v>9.0949470177292824E-13</v>
      </c>
      <c r="AP434" s="18">
        <f>IF($A434&gt;'1-Input'!$B$26,AN434,AN434-MIN(MAX(AN434,0),'P-Parametri'!$B$8*(AN434+AM434)))</f>
        <v>77420.734262373924</v>
      </c>
      <c r="AQ434" s="18">
        <f>IF($A434&gt;'1-Input'!$B$26,AQ433,AQ433-AL434*(1-AK434))</f>
        <v>22497.601862070209</v>
      </c>
    </row>
    <row r="435" spans="1:43">
      <c r="A435" s="10">
        <f>37</f>
        <v>37</v>
      </c>
      <c r="B435" s="11">
        <f>IF($A435&gt;'1-Input'!$B$26,0,IF(G434&lt;=0,0,MAX(0,(G434-H434)/G434)))</f>
        <v>0.70941115353120676</v>
      </c>
      <c r="C435" s="18">
        <f>IF($A435&gt;'1-Input'!$B$26,0,(MAX(0,B396-IF($A435&gt;='1-Input'!$C$12,'1-Input'!$B$12,0))-MIN(MAX(F434,0),MAX(0,B396-IF($A435&gt;='1-Input'!$C$12,'1-Input'!$B$12,0))))*(1/(1-'P-Parametri'!$B$6*B435))+MIN(MAX(0,G434-(MAX(0,B396-IF($A435&gt;='1-Input'!$C$12,'1-Input'!$B$12,0))-MIN(MAX(F434,0),MAX(0,B396-IF($A435&gt;='1-Input'!$C$12,'1-Input'!$B$12,0))))*(1/(1-'P-Parametri'!$B$6*B435))),MAX(0,0*B396-(F434-MIN(MAX(F434,0),MAX(0,B396-IF($A435&gt;='1-Input'!$C$12,'1-Input'!$B$12,0)))))*(1/(1-'P-Parametri'!$B$6*B435))))</f>
        <v>6840.8241156408239</v>
      </c>
      <c r="D435" s="18">
        <f>IF($A435&gt;'1-Input'!$B$26,F434,(F434-MAX(0,B396-IF($A435&gt;='1-Input'!$C$12,'1-Input'!$B$12,0))+C435*(1-'P-Parametri'!$B$6*B435))*(1+'1-Input'!$B$27))</f>
        <v>0</v>
      </c>
      <c r="E435" s="18">
        <f>IF($A435&gt;'1-Input'!$B$26,G434,(G434-C435)*(1+$C$4))</f>
        <v>230774.05040056957</v>
      </c>
      <c r="F435" s="18">
        <f>IF($A435&gt;'1-Input'!$B$26,D435,D435-'P-Parametri'!$B$8*(E435+D435)+MIN(MAX(E435,0),'P-Parametri'!$B$8*(E435+D435)))</f>
        <v>0</v>
      </c>
      <c r="G435" s="18">
        <f>IF($A435&gt;'1-Input'!$B$26,E435,E435-MIN(MAX(E435,0),'P-Parametri'!$B$8*(E435+D435)))</f>
        <v>230312.50229976844</v>
      </c>
      <c r="H435" s="18">
        <f>IF($A435&gt;'1-Input'!$B$26,H434,H434-C435*(1-B435))</f>
        <v>65107.150583332688</v>
      </c>
      <c r="I435" s="11">
        <f>IF($A435&gt;'1-Input'!$B$26,0,IF(N434&lt;=0,0,MAX(0,(N434-O434)/N434)))</f>
        <v>0</v>
      </c>
      <c r="J435" s="18">
        <f>IF($A435&gt;'1-Input'!$B$26,0,(MAX(0,I396-IF($A435&gt;='1-Input'!$C$12,'1-Input'!$B$12,0))-MIN(MAX(M434,0),MAX(0,I396-IF($A435&gt;='1-Input'!$C$12,'1-Input'!$B$12,0))))*(1/(1-'P-Parametri'!$B$6*I435))+MIN(MAX(0,N434-(MAX(0,I396-IF($A435&gt;='1-Input'!$C$12,'1-Input'!$B$12,0))-MIN(MAX(M434,0),MAX(0,I396-IF($A435&gt;='1-Input'!$C$12,'1-Input'!$B$12,0))))*(1/(1-'P-Parametri'!$B$6*I435))),MAX(0,0*I396-(M434-MIN(MAX(M434,0),MAX(0,I396-IF($A435&gt;='1-Input'!$C$12,'1-Input'!$B$12,0)))))*(1/(1-'P-Parametri'!$B$6*I435))))</f>
        <v>10846.756992928691</v>
      </c>
      <c r="K435" s="18">
        <f>IF($A435&gt;'1-Input'!$B$26,M434,(M434-MAX(0,I396-IF($A435&gt;='1-Input'!$C$12,'1-Input'!$B$12,0))+J435*(1-'P-Parametri'!$B$6*I435))*(1+'1-Input'!$B$27))</f>
        <v>0</v>
      </c>
      <c r="L435" s="18">
        <f>IF($A435&gt;'1-Input'!$B$26,N434,(N434-J435)*(1+$C$4))</f>
        <v>-134102.14456726037</v>
      </c>
      <c r="M435" s="18">
        <f>IF($A435&gt;'1-Input'!$B$26,K435,K435-'P-Parametri'!$B$8*(L435+K435)+MIN(MAX(L435,0),'P-Parametri'!$B$8*(L435+K435)))</f>
        <v>0</v>
      </c>
      <c r="N435" s="18">
        <f>IF($A435&gt;'1-Input'!$B$26,L435,L435-MIN(MAX(L435,0),'P-Parametri'!$B$8*(L435+K435)))</f>
        <v>-133833.94027812584</v>
      </c>
      <c r="O435" s="18">
        <f>IF($A435&gt;'1-Input'!$B$26,O434,O434-J435*(1-I435))</f>
        <v>-110508.54339441226</v>
      </c>
      <c r="P435" s="11">
        <f>IF($A435&gt;'1-Input'!$B$26,0,IF(U434&lt;=0,0,MAX(0,(U434-V434)/U434)))</f>
        <v>0.70941115353120687</v>
      </c>
      <c r="Q435" s="18">
        <f>IF($A435&gt;'1-Input'!$B$26,0,(MAX(0,P396-IF($A435&gt;='1-Input'!$C$12,'1-Input'!$B$12,0))-MIN(MAX(T434,0),MAX(0,P396-IF($A435&gt;='1-Input'!$C$12,'1-Input'!$B$12,0))))*(1/(1-'P-Parametri'!$B$6*P435))+MIN(MAX(0,U434-(MAX(0,P396-IF($A435&gt;='1-Input'!$C$12,'1-Input'!$B$12,0))-MIN(MAX(T434,0),MAX(0,P396-IF($A435&gt;='1-Input'!$C$12,'1-Input'!$B$12,0))))*(1/(1-'P-Parametri'!$B$6*P435))),MAX(0,0*P396-(T434-MIN(MAX(T434,0),MAX(0,P396-IF($A435&gt;='1-Input'!$C$12,'1-Input'!$B$12,0)))))*(1/(1-'P-Parametri'!$B$6*P435))))</f>
        <v>9800.7592681406641</v>
      </c>
      <c r="R435" s="18">
        <f>IF($A435&gt;'1-Input'!$B$26,T434,(T434-MAX(0,P396-IF($A435&gt;='1-Input'!$C$12,'1-Input'!$B$12,0))+Q435*(1-'P-Parametri'!$B$6*P435))*(1+'1-Input'!$B$27))</f>
        <v>-9.0622052084654565E-13</v>
      </c>
      <c r="S435" s="18">
        <f>IF($A435&gt;'1-Input'!$B$26,U434,(U434-Q435)*(1+$C$4))</f>
        <v>51341.845502857577</v>
      </c>
      <c r="T435" s="18">
        <f>IF($A435&gt;'1-Input'!$B$26,R435,R435-'P-Parametri'!$B$8*(S435+R435)+MIN(MAX(S435,0),'P-Parametri'!$B$8*(S435+R435)))</f>
        <v>-9.0949470177292824E-13</v>
      </c>
      <c r="U435" s="18">
        <f>IF($A435&gt;'1-Input'!$B$26,S435,S435-MIN(MAX(S435,0),'P-Parametri'!$B$8*(S435+R435)))</f>
        <v>51239.16181185186</v>
      </c>
      <c r="V435" s="18">
        <f>IF($A435&gt;'1-Input'!$B$26,V434,V434-Q435*(1-P435))</f>
        <v>14484.822971120753</v>
      </c>
      <c r="W435" s="11">
        <f>IF($A435&gt;'1-Input'!$B$26,0,IF(AB434&lt;=0,0,MAX(0,(AB434-AC434)/AB434)))</f>
        <v>0.70941115353120698</v>
      </c>
      <c r="X435" s="18">
        <f>IF($A435&gt;'1-Input'!$B$26,0,(MAX(0,W396-IF($A435&gt;='1-Input'!$C$12,'1-Input'!$B$12,0))-MIN(MAX(AA434,0),MAX(0,W396-IF($A435&gt;='1-Input'!$C$12,'1-Input'!$B$12,0))))*(1/(1-'P-Parametri'!$B$6*W435))+MIN(MAX(0,AB434-(MAX(0,W396-IF($A435&gt;='1-Input'!$C$12,'1-Input'!$B$12,0))-MIN(MAX(AA434,0),MAX(0,W396-IF($A435&gt;='1-Input'!$C$12,'1-Input'!$B$12,0))))*(1/(1-'P-Parametri'!$B$6*W435))),MAX(0,0*W396-(AA434-MIN(MAX(AA434,0),MAX(0,W396-IF($A435&gt;='1-Input'!$C$12,'1-Input'!$B$12,0)))))*(1/(1-'P-Parametri'!$B$6*W435))))</f>
        <v>9486.5234228266963</v>
      </c>
      <c r="Y435" s="18">
        <f>IF($A435&gt;'1-Input'!$B$26,AA434,(AA434-MAX(0,W396-IF($A435&gt;='1-Input'!$C$12,'1-Input'!$B$12,0))+X435*(1-'P-Parametri'!$B$6*W435))*(1+'1-Input'!$B$27))</f>
        <v>-9.0622052084654565E-13</v>
      </c>
      <c r="Z435" s="18">
        <f>IF($A435&gt;'1-Input'!$B$26,AB434,(AB434-X435)*(1+$C$4))</f>
        <v>70390.921809466468</v>
      </c>
      <c r="AA435" s="18">
        <f>IF($A435&gt;'1-Input'!$B$26,Y435,Y435-'P-Parametri'!$B$8*(Z435+Y435)+MIN(MAX(Z435,0),'P-Parametri'!$B$8*(Z435+Y435)))</f>
        <v>-9.0949470177292824E-13</v>
      </c>
      <c r="AB435" s="18">
        <f>IF($A435&gt;'1-Input'!$B$26,Z435,Z435-MIN(MAX(Z435,0),'P-Parametri'!$B$8*(Z435+Y435)))</f>
        <v>70250.139965847542</v>
      </c>
      <c r="AC435" s="18">
        <f>IF($A435&gt;'1-Input'!$B$26,AC434,AC434-X435*(1-W435))</f>
        <v>19859.04540824064</v>
      </c>
      <c r="AD435" s="11">
        <f>IF($A435&gt;'1-Input'!$B$26,0,IF(AI434&lt;=0,0,MAX(0,(AI434-AJ434)/AI434)))</f>
        <v>0.70941115353120732</v>
      </c>
      <c r="AE435" s="18">
        <f>IF($A435&gt;'1-Input'!$B$26,0,(MAX(0,AD396-IF($A435&gt;='1-Input'!$C$12,'1-Input'!$B$12,0))-MIN(MAX(AH434,0),MAX(0,AD396-IF($A435&gt;='1-Input'!$C$12,'1-Input'!$B$12,0))))*(1/(1-'P-Parametri'!$B$6*AD435))+MIN(MAX(0,AI434-(MAX(0,AD396-IF($A435&gt;='1-Input'!$C$12,'1-Input'!$B$12,0))-MIN(MAX(AH434,0),MAX(0,AD396-IF($A435&gt;='1-Input'!$C$12,'1-Input'!$B$12,0))))*(1/(1-'P-Parametri'!$B$6*AD435))),MAX(0,0*AD396-(AH434-MIN(MAX(AH434,0),MAX(0,AD396-IF($A435&gt;='1-Input'!$C$12,'1-Input'!$B$12,0)))))*(1/(1-'P-Parametri'!$B$6*AD435))))</f>
        <v>9494.841048595863</v>
      </c>
      <c r="AF435" s="18">
        <f>IF($A435&gt;'1-Input'!$B$26,AH434,(AH434-MAX(0,AD396-IF($A435&gt;='1-Input'!$C$12,'1-Input'!$B$12,0))+AE435*(1-'P-Parametri'!$B$6*AD435))*(1+'1-Input'!$B$27))</f>
        <v>9.0622052084654565E-13</v>
      </c>
      <c r="AG435" s="18">
        <f>IF($A435&gt;'1-Input'!$B$26,AI434,(AI434-AE435)*(1+$C$4))</f>
        <v>69886.70470524588</v>
      </c>
      <c r="AH435" s="18">
        <f>IF($A435&gt;'1-Input'!$B$26,AF435,AF435-'P-Parametri'!$B$8*(AG435+AF435)+MIN(MAX(AG435,0),'P-Parametri'!$B$8*(AG435+AF435)))</f>
        <v>9.0949470177292824E-13</v>
      </c>
      <c r="AI435" s="18">
        <f>IF($A435&gt;'1-Input'!$B$26,AG435,AG435-MIN(MAX(AG435,0),'P-Parametri'!$B$8*(AG435+AF435)))</f>
        <v>69746.931295835384</v>
      </c>
      <c r="AJ435" s="18">
        <f>IF($A435&gt;'1-Input'!$B$26,AJ434,AJ434-AE435*(1-AD435))</f>
        <v>19716.793110487906</v>
      </c>
      <c r="AK435" s="11">
        <f>IF($A435&gt;'1-Input'!$B$26,0,IF(AP434&lt;=0,0,MAX(0,(AP434-AQ434)/AP434)))</f>
        <v>0.70941115353120687</v>
      </c>
      <c r="AL435" s="18">
        <f>IF($A435&gt;'1-Input'!$B$26,0,(MAX(0,AK396-IF($A435&gt;='1-Input'!$C$12,'1-Input'!$B$12,0))-MIN(MAX(AO434,0),MAX(0,AK396-IF($A435&gt;='1-Input'!$C$12,'1-Input'!$B$12,0))))*(1/(1-'P-Parametri'!$B$6*AK435))+MIN(MAX(0,AP434-(MAX(0,AK396-IF($A435&gt;='1-Input'!$C$12,'1-Input'!$B$12,0))-MIN(MAX(AO434,0),MAX(0,AK396-IF($A435&gt;='1-Input'!$C$12,'1-Input'!$B$12,0))))*(1/(1-'P-Parametri'!$B$6*AK435))),MAX(0,0*AK396-(AO434-MIN(MAX(AO434,0),MAX(0,AK396-IF($A435&gt;='1-Input'!$C$12,'1-Input'!$B$12,0)))))*(1/(1-'P-Parametri'!$B$6*AK435))))</f>
        <v>9493.54947456429</v>
      </c>
      <c r="AM435" s="18">
        <f>IF($A435&gt;'1-Input'!$B$26,AO434,(AO434-MAX(0,AK396-IF($A435&gt;='1-Input'!$C$12,'1-Input'!$B$12,0))+AL435*(1-'P-Parametri'!$B$6*AK435))*(1+'1-Input'!$B$27))</f>
        <v>0</v>
      </c>
      <c r="AN435" s="18">
        <f>IF($A435&gt;'1-Input'!$B$26,AP434,(AP434-AL435)*(1+$C$4))</f>
        <v>69965.000331443924</v>
      </c>
      <c r="AO435" s="18">
        <f>IF($A435&gt;'1-Input'!$B$26,AM435,AM435-'P-Parametri'!$B$8*(AN435+AM435)+MIN(MAX(AN435,0),'P-Parametri'!$B$8*(AN435+AM435)))</f>
        <v>0</v>
      </c>
      <c r="AP435" s="18">
        <f>IF($A435&gt;'1-Input'!$B$26,AN435,AN435-MIN(MAX(AN435,0),'P-Parametri'!$B$8*(AN435+AM435)))</f>
        <v>69825.070330781033</v>
      </c>
      <c r="AQ435" s="18">
        <f>IF($A435&gt;'1-Input'!$B$26,AQ434,AQ434-AL435*(1-AK435))</f>
        <v>19738.882271362156</v>
      </c>
    </row>
    <row r="436" spans="1:43">
      <c r="A436" s="10">
        <f>38</f>
        <v>38</v>
      </c>
      <c r="B436" s="11">
        <f>IF($A436&gt;'1-Input'!$B$26,0,IF(G435&lt;=0,0,MAX(0,(G435-H435)/G435)))</f>
        <v>0.71730952539176096</v>
      </c>
      <c r="C436" s="18">
        <f>IF($A436&gt;'1-Input'!$B$26,0,(MAX(0,B396-IF($A436&gt;='1-Input'!$C$12,'1-Input'!$B$12,0))-MIN(MAX(F435,0),MAX(0,B396-IF($A436&gt;='1-Input'!$C$12,'1-Input'!$B$12,0))))*(1/(1-'P-Parametri'!$B$6*B436))+MIN(MAX(0,G435-(MAX(0,B396-IF($A436&gt;='1-Input'!$C$12,'1-Input'!$B$12,0))-MIN(MAX(F435,0),MAX(0,B396-IF($A436&gt;='1-Input'!$C$12,'1-Input'!$B$12,0))))*(1/(1-'P-Parametri'!$B$6*B436))),MAX(0,0*B396-(F435-MIN(MAX(F435,0),MAX(0,B396-IF($A436&gt;='1-Input'!$C$12,'1-Input'!$B$12,0)))))*(1/(1-'P-Parametri'!$B$6*B436))))</f>
        <v>6858.0929111316846</v>
      </c>
      <c r="D436" s="18">
        <f>IF($A436&gt;'1-Input'!$B$26,F435,(F435-MAX(0,B396-IF($A436&gt;='1-Input'!$C$12,'1-Input'!$B$12,0))+C436*(1-'P-Parametri'!$B$6*B436))*(1+'1-Input'!$B$27))</f>
        <v>0</v>
      </c>
      <c r="E436" s="18">
        <f>IF($A436&gt;'1-Input'!$B$26,G435,(G435-C436)*(1+$C$4))</f>
        <v>230158.04167029588</v>
      </c>
      <c r="F436" s="18">
        <f>IF($A436&gt;'1-Input'!$B$26,D436,D436-'P-Parametri'!$B$8*(E436+D436)+MIN(MAX(E436,0),'P-Parametri'!$B$8*(E436+D436)))</f>
        <v>0</v>
      </c>
      <c r="G436" s="18">
        <f>IF($A436&gt;'1-Input'!$B$26,E436,E436-MIN(MAX(E436,0),'P-Parametri'!$B$8*(E436+D436)))</f>
        <v>229697.72558695529</v>
      </c>
      <c r="H436" s="18">
        <f>IF($A436&gt;'1-Input'!$B$26,H435,H435-C436*(1-B436))</f>
        <v>63168.433043377474</v>
      </c>
      <c r="I436" s="11">
        <f>IF($A436&gt;'1-Input'!$B$26,0,IF(N435&lt;=0,0,MAX(0,(N435-O435)/N435)))</f>
        <v>0</v>
      </c>
      <c r="J436" s="18">
        <f>IF($A436&gt;'1-Input'!$B$26,0,(MAX(0,I396-IF($A436&gt;='1-Input'!$C$12,'1-Input'!$B$12,0))-MIN(MAX(M435,0),MAX(0,I396-IF($A436&gt;='1-Input'!$C$12,'1-Input'!$B$12,0))))*(1/(1-'P-Parametri'!$B$6*I436))+MIN(MAX(0,N435-(MAX(0,I396-IF($A436&gt;='1-Input'!$C$12,'1-Input'!$B$12,0))-MIN(MAX(M435,0),MAX(0,I396-IF($A436&gt;='1-Input'!$C$12,'1-Input'!$B$12,0))))*(1/(1-'P-Parametri'!$B$6*I436))),MAX(0,0*I396-(M435-MIN(MAX(M435,0),MAX(0,I396-IF($A436&gt;='1-Input'!$C$12,'1-Input'!$B$12,0)))))*(1/(1-'P-Parametri'!$B$6*I436))))</f>
        <v>10846.756992928691</v>
      </c>
      <c r="K436" s="18">
        <f>IF($A436&gt;'1-Input'!$B$26,M435,(M435-MAX(0,I396-IF($A436&gt;='1-Input'!$C$12,'1-Input'!$B$12,0))+J436*(1-'P-Parametri'!$B$6*I436))*(1+'1-Input'!$B$27))</f>
        <v>0</v>
      </c>
      <c r="L436" s="18">
        <f>IF($A436&gt;'1-Input'!$B$26,N435,(N435-J436)*(1+$C$4))</f>
        <v>-149021.11818918615</v>
      </c>
      <c r="M436" s="18">
        <f>IF($A436&gt;'1-Input'!$B$26,K436,K436-'P-Parametri'!$B$8*(L436+K436)+MIN(MAX(L436,0),'P-Parametri'!$B$8*(L436+K436)))</f>
        <v>0</v>
      </c>
      <c r="N436" s="18">
        <f>IF($A436&gt;'1-Input'!$B$26,L436,L436-MIN(MAX(L436,0),'P-Parametri'!$B$8*(L436+K436)))</f>
        <v>-148723.07595280779</v>
      </c>
      <c r="O436" s="18">
        <f>IF($A436&gt;'1-Input'!$B$26,O435,O435-J436*(1-I436))</f>
        <v>-121355.30038734095</v>
      </c>
      <c r="P436" s="11">
        <f>IF($A436&gt;'1-Input'!$B$26,0,IF(U435&lt;=0,0,MAX(0,(U435-V435)/U435)))</f>
        <v>0.71730952539176107</v>
      </c>
      <c r="Q436" s="18">
        <f>IF($A436&gt;'1-Input'!$B$26,0,(MAX(0,P396-IF($A436&gt;='1-Input'!$C$12,'1-Input'!$B$12,0))-MIN(MAX(T435,0),MAX(0,P396-IF($A436&gt;='1-Input'!$C$12,'1-Input'!$B$12,0))))*(1/(1-'P-Parametri'!$B$6*P436))+MIN(MAX(0,U435-(MAX(0,P396-IF($A436&gt;='1-Input'!$C$12,'1-Input'!$B$12,0))-MIN(MAX(T435,0),MAX(0,P396-IF($A436&gt;='1-Input'!$C$12,'1-Input'!$B$12,0))))*(1/(1-'P-Parametri'!$B$6*P436))),MAX(0,0*P396-(T435-MIN(MAX(T435,0),MAX(0,P396-IF($A436&gt;='1-Input'!$C$12,'1-Input'!$B$12,0)))))*(1/(1-'P-Parametri'!$B$6*P436))))</f>
        <v>9825.5000456545495</v>
      </c>
      <c r="R436" s="18">
        <f>IF($A436&gt;'1-Input'!$B$26,T435,(T435-MAX(0,P396-IF($A436&gt;='1-Input'!$C$12,'1-Input'!$B$12,0))+Q436*(1-'P-Parametri'!$B$6*P436))*(1+'1-Input'!$B$27))</f>
        <v>0</v>
      </c>
      <c r="S436" s="18">
        <f>IF($A436&gt;'1-Input'!$B$26,U435,(U435-Q436)*(1+$C$4))</f>
        <v>42656.071619183233</v>
      </c>
      <c r="T436" s="18">
        <f>IF($A436&gt;'1-Input'!$B$26,R436,R436-'P-Parametri'!$B$8*(S436+R436)+MIN(MAX(S436,0),'P-Parametri'!$B$8*(S436+R436)))</f>
        <v>0</v>
      </c>
      <c r="U436" s="18">
        <f>IF($A436&gt;'1-Input'!$B$26,S436,S436-MIN(MAX(S436,0),'P-Parametri'!$B$8*(S436+R436)))</f>
        <v>42570.759475944869</v>
      </c>
      <c r="V436" s="18">
        <f>IF($A436&gt;'1-Input'!$B$26,V435,V435-Q436*(1-P436))</f>
        <v>11707.247699951395</v>
      </c>
      <c r="W436" s="11">
        <f>IF($A436&gt;'1-Input'!$B$26,0,IF(AB435&lt;=0,0,MAX(0,(AB435-AC435)/AB435)))</f>
        <v>0.71730952539176129</v>
      </c>
      <c r="X436" s="18">
        <f>IF($A436&gt;'1-Input'!$B$26,0,(MAX(0,W396-IF($A436&gt;='1-Input'!$C$12,'1-Input'!$B$12,0))-MIN(MAX(AA435,0),MAX(0,W396-IF($A436&gt;='1-Input'!$C$12,'1-Input'!$B$12,0))))*(1/(1-'P-Parametri'!$B$6*W436))+MIN(MAX(0,AB435-(MAX(0,W396-IF($A436&gt;='1-Input'!$C$12,'1-Input'!$B$12,0))-MIN(MAX(AA435,0),MAX(0,W396-IF($A436&gt;='1-Input'!$C$12,'1-Input'!$B$12,0))))*(1/(1-'P-Parametri'!$B$6*W436))),MAX(0,0*W396-(AA435-MIN(MAX(AA435,0),MAX(0,W396-IF($A436&gt;='1-Input'!$C$12,'1-Input'!$B$12,0)))))*(1/(1-'P-Parametri'!$B$6*W436))))</f>
        <v>9510.4709516826897</v>
      </c>
      <c r="Y436" s="18">
        <f>IF($A436&gt;'1-Input'!$B$26,AA435,(AA435-MAX(0,W396-IF($A436&gt;='1-Input'!$C$12,'1-Input'!$B$12,0))+X436*(1-'P-Parametri'!$B$6*W436))*(1+'1-Input'!$B$27))</f>
        <v>9.0622052084654565E-13</v>
      </c>
      <c r="Z436" s="18">
        <f>IF($A436&gt;'1-Input'!$B$26,AB435,(AB435-X436)*(1+$C$4))</f>
        <v>62561.8590845898</v>
      </c>
      <c r="AA436" s="18">
        <f>IF($A436&gt;'1-Input'!$B$26,Y436,Y436-'P-Parametri'!$B$8*(Z436+Y436)+MIN(MAX(Z436,0),'P-Parametri'!$B$8*(Z436+Y436)))</f>
        <v>9.0949470177292824E-13</v>
      </c>
      <c r="AB436" s="18">
        <f>IF($A436&gt;'1-Input'!$B$26,Z436,Z436-MIN(MAX(Z436,0),'P-Parametri'!$B$8*(Z436+Y436)))</f>
        <v>62436.735366420617</v>
      </c>
      <c r="AC436" s="18">
        <f>IF($A436&gt;'1-Input'!$B$26,AC435,AC435-X436*(1-W436))</f>
        <v>17170.525861161594</v>
      </c>
      <c r="AD436" s="11">
        <f>IF($A436&gt;'1-Input'!$B$26,0,IF(AI435&lt;=0,0,MAX(0,(AI435-AJ435)/AI435)))</f>
        <v>0.71730952539176152</v>
      </c>
      <c r="AE436" s="18">
        <f>IF($A436&gt;'1-Input'!$B$26,0,(MAX(0,AD396-IF($A436&gt;='1-Input'!$C$12,'1-Input'!$B$12,0))-MIN(MAX(AH435,0),MAX(0,AD396-IF($A436&gt;='1-Input'!$C$12,'1-Input'!$B$12,0))))*(1/(1-'P-Parametri'!$B$6*AD436))+MIN(MAX(0,AI435-(MAX(0,AD396-IF($A436&gt;='1-Input'!$C$12,'1-Input'!$B$12,0))-MIN(MAX(AH435,0),MAX(0,AD396-IF($A436&gt;='1-Input'!$C$12,'1-Input'!$B$12,0))))*(1/(1-'P-Parametri'!$B$6*AD436))),MAX(0,0*AD396-(AH435-MIN(MAX(AH435,0),MAX(0,AD396-IF($A436&gt;='1-Input'!$C$12,'1-Input'!$B$12,0)))))*(1/(1-'P-Parametri'!$B$6*AD436))))</f>
        <v>9518.8095742463775</v>
      </c>
      <c r="AF436" s="18">
        <f>IF($A436&gt;'1-Input'!$B$26,AH435,(AH435-MAX(0,AD396-IF($A436&gt;='1-Input'!$C$12,'1-Input'!$B$12,0))+AE436*(1-'P-Parametri'!$B$6*AD436))*(1+'1-Input'!$B$27))</f>
        <v>0</v>
      </c>
      <c r="AG436" s="18">
        <f>IF($A436&gt;'1-Input'!$B$26,AI435,(AI435-AE436)*(1+$C$4))</f>
        <v>62034.965373236679</v>
      </c>
      <c r="AH436" s="18">
        <f>IF($A436&gt;'1-Input'!$B$26,AF436,AF436-'P-Parametri'!$B$8*(AG436+AF436)+MIN(MAX(AG436,0),'P-Parametri'!$B$8*(AG436+AF436)))</f>
        <v>0</v>
      </c>
      <c r="AI436" s="18">
        <f>IF($A436&gt;'1-Input'!$B$26,AG436,AG436-MIN(MAX(AG436,0),'P-Parametri'!$B$8*(AG436+AF436)))</f>
        <v>61910.895442490204</v>
      </c>
      <c r="AJ436" s="18">
        <f>IF($A436&gt;'1-Input'!$B$26,AJ435,AJ435-AE436*(1-AD436))</f>
        <v>17025.916314238755</v>
      </c>
      <c r="AK436" s="11">
        <f>IF($A436&gt;'1-Input'!$B$26,0,IF(AP435&lt;=0,0,MAX(0,(AP435-AQ435)/AP435)))</f>
        <v>0.71730952539176107</v>
      </c>
      <c r="AL436" s="18">
        <f>IF($A436&gt;'1-Input'!$B$26,0,(MAX(0,AK396-IF($A436&gt;='1-Input'!$C$12,'1-Input'!$B$12,0))-MIN(MAX(AO435,0),MAX(0,AK396-IF($A436&gt;='1-Input'!$C$12,'1-Input'!$B$12,0))))*(1/(1-'P-Parametri'!$B$6*AK436))+MIN(MAX(0,AP435-(MAX(0,AK396-IF($A436&gt;='1-Input'!$C$12,'1-Input'!$B$12,0))-MIN(MAX(AO435,0),MAX(0,AK396-IF($A436&gt;='1-Input'!$C$12,'1-Input'!$B$12,0))))*(1/(1-'P-Parametri'!$B$6*AK436))),MAX(0,0*AK396-(AO435-MIN(MAX(AO435,0),MAX(0,AK396-IF($A436&gt;='1-Input'!$C$12,'1-Input'!$B$12,0)))))*(1/(1-'P-Parametri'!$B$6*AK436))))</f>
        <v>9517.5147397994788</v>
      </c>
      <c r="AM436" s="18">
        <f>IF($A436&gt;'1-Input'!$B$26,AO435,(AO435-MAX(0,AK396-IF($A436&gt;='1-Input'!$C$12,'1-Input'!$B$12,0))+AL436*(1-'P-Parametri'!$B$6*AK436))*(1+'1-Input'!$B$27))</f>
        <v>-9.0622052084654565E-13</v>
      </c>
      <c r="AN436" s="18">
        <f>IF($A436&gt;'1-Input'!$B$26,AP435,(AP435-AL436)*(1+$C$4))</f>
        <v>62116.782258710999</v>
      </c>
      <c r="AO436" s="18">
        <f>IF($A436&gt;'1-Input'!$B$26,AM436,AM436-'P-Parametri'!$B$8*(AN436+AM436)+MIN(MAX(AN436,0),'P-Parametri'!$B$8*(AN436+AM436)))</f>
        <v>-9.0949470177292824E-13</v>
      </c>
      <c r="AP436" s="18">
        <f>IF($A436&gt;'1-Input'!$B$26,AN436,AN436-MIN(MAX(AN436,0),'P-Parametri'!$B$8*(AN436+AM436)))</f>
        <v>61992.548694193574</v>
      </c>
      <c r="AQ436" s="18">
        <f>IF($A436&gt;'1-Input'!$B$26,AQ435,AQ435-AL436*(1-AK436))</f>
        <v>17048.37151247733</v>
      </c>
    </row>
    <row r="437" spans="1:43">
      <c r="A437" s="10">
        <f>39</f>
        <v>39</v>
      </c>
      <c r="B437" s="11">
        <f>IF($A437&gt;'1-Input'!$B$26,0,IF(G436&lt;=0,0,MAX(0,(G436-H436)/G436)))</f>
        <v>0.72499321496562152</v>
      </c>
      <c r="C437" s="18">
        <f>IF($A437&gt;'1-Input'!$B$26,0,(MAX(0,B396-IF($A437&gt;='1-Input'!$C$12,'1-Input'!$B$12,0))-MIN(MAX(F436,0),MAX(0,B396-IF($A437&gt;='1-Input'!$C$12,'1-Input'!$B$12,0))))*(1/(1-'P-Parametri'!$B$6*B437))+MIN(MAX(0,G436-(MAX(0,B396-IF($A437&gt;='1-Input'!$C$12,'1-Input'!$B$12,0))-MIN(MAX(F436,0),MAX(0,B396-IF($A437&gt;='1-Input'!$C$12,'1-Input'!$B$12,0))))*(1/(1-'P-Parametri'!$B$6*B437))),MAX(0,0*B396-(F436-MIN(MAX(F436,0),MAX(0,B396-IF($A437&gt;='1-Input'!$C$12,'1-Input'!$B$12,0)))))*(1/(1-'P-Parametri'!$B$6*B437))))</f>
        <v>6874.9762001464405</v>
      </c>
      <c r="D437" s="18">
        <f>IF($A437&gt;'1-Input'!$B$26,F436,(F436-MAX(0,B396-IF($A437&gt;='1-Input'!$C$12,'1-Input'!$B$12,0))+C437*(1-'P-Parametri'!$B$6*B437))*(1+'1-Input'!$B$27))</f>
        <v>0</v>
      </c>
      <c r="E437" s="18">
        <f>IF($A437&gt;'1-Input'!$B$26,G436,(G436-C437)*(1+$C$4))</f>
        <v>229507.43186841311</v>
      </c>
      <c r="F437" s="18">
        <f>IF($A437&gt;'1-Input'!$B$26,D437,D437-'P-Parametri'!$B$8*(E437+D437)+MIN(MAX(E437,0),'P-Parametri'!$B$8*(E437+D437)))</f>
        <v>0</v>
      </c>
      <c r="G437" s="18">
        <f>IF($A437&gt;'1-Input'!$B$26,E437,E437-MIN(MAX(E437,0),'P-Parametri'!$B$8*(E437+D437)))</f>
        <v>229048.41700467627</v>
      </c>
      <c r="H437" s="18">
        <f>IF($A437&gt;'1-Input'!$B$26,H436,H436-C437*(1-B437))</f>
        <v>61277.767941387334</v>
      </c>
      <c r="I437" s="11">
        <f>IF($A437&gt;'1-Input'!$B$26,0,IF(N436&lt;=0,0,MAX(0,(N436-O436)/N436)))</f>
        <v>0</v>
      </c>
      <c r="J437" s="18">
        <f>IF($A437&gt;'1-Input'!$B$26,0,(MAX(0,I396-IF($A437&gt;='1-Input'!$C$12,'1-Input'!$B$12,0))-MIN(MAX(M436,0),MAX(0,I396-IF($A437&gt;='1-Input'!$C$12,'1-Input'!$B$12,0))))*(1/(1-'P-Parametri'!$B$6*I437))+MIN(MAX(0,N436-(MAX(0,I396-IF($A437&gt;='1-Input'!$C$12,'1-Input'!$B$12,0))-MIN(MAX(M436,0),MAX(0,I396-IF($A437&gt;='1-Input'!$C$12,'1-Input'!$B$12,0))))*(1/(1-'P-Parametri'!$B$6*I437))),MAX(0,0*I396-(M436-MIN(MAX(M436,0),MAX(0,I396-IF($A437&gt;='1-Input'!$C$12,'1-Input'!$B$12,0)))))*(1/(1-'P-Parametri'!$B$6*I437))))</f>
        <v>10846.756992928691</v>
      </c>
      <c r="K437" s="18">
        <f>IF($A437&gt;'1-Input'!$B$26,M436,(M436-MAX(0,I396-IF($A437&gt;='1-Input'!$C$12,'1-Input'!$B$12,0))+J437*(1-'P-Parametri'!$B$6*I437))*(1+'1-Input'!$B$27))</f>
        <v>0</v>
      </c>
      <c r="L437" s="18">
        <f>IF($A437&gt;'1-Input'!$B$26,N436,(N436-J437)*(1+$C$4))</f>
        <v>-164356.92793410856</v>
      </c>
      <c r="M437" s="18">
        <f>IF($A437&gt;'1-Input'!$B$26,K437,K437-'P-Parametri'!$B$8*(L437+K437)+MIN(MAX(L437,0),'P-Parametri'!$B$8*(L437+K437)))</f>
        <v>0</v>
      </c>
      <c r="N437" s="18">
        <f>IF($A437&gt;'1-Input'!$B$26,L437,L437-MIN(MAX(L437,0),'P-Parametri'!$B$8*(L437+K437)))</f>
        <v>-164028.21407824036</v>
      </c>
      <c r="O437" s="18">
        <f>IF($A437&gt;'1-Input'!$B$26,O436,O436-J437*(1-I437))</f>
        <v>-132202.05738026963</v>
      </c>
      <c r="P437" s="11">
        <f>IF($A437&gt;'1-Input'!$B$26,0,IF(U436&lt;=0,0,MAX(0,(U436-V436)/U436)))</f>
        <v>0.72499321496562164</v>
      </c>
      <c r="Q437" s="18">
        <f>IF($A437&gt;'1-Input'!$B$26,0,(MAX(0,P396-IF($A437&gt;='1-Input'!$C$12,'1-Input'!$B$12,0))-MIN(MAX(T436,0),MAX(0,P396-IF($A437&gt;='1-Input'!$C$12,'1-Input'!$B$12,0))))*(1/(1-'P-Parametri'!$B$6*P437))+MIN(MAX(0,U436-(MAX(0,P396-IF($A437&gt;='1-Input'!$C$12,'1-Input'!$B$12,0))-MIN(MAX(T436,0),MAX(0,P396-IF($A437&gt;='1-Input'!$C$12,'1-Input'!$B$12,0))))*(1/(1-'P-Parametri'!$B$6*P437))),MAX(0,0*P396-(T436-MIN(MAX(T436,0),MAX(0,P396-IF($A437&gt;='1-Input'!$C$12,'1-Input'!$B$12,0)))))*(1/(1-'P-Parametri'!$B$6*P437))))</f>
        <v>9849.6885130805331</v>
      </c>
      <c r="R437" s="18">
        <f>IF($A437&gt;'1-Input'!$B$26,T436,(T436-MAX(0,P396-IF($A437&gt;='1-Input'!$C$12,'1-Input'!$B$12,0))+Q437*(1-'P-Parametri'!$B$6*P437))*(1+'1-Input'!$B$27))</f>
        <v>0</v>
      </c>
      <c r="S437" s="18">
        <f>IF($A437&gt;'1-Input'!$B$26,U436,(U436-Q437)*(1+$C$4))</f>
        <v>33702.703091750271</v>
      </c>
      <c r="T437" s="18">
        <f>IF($A437&gt;'1-Input'!$B$26,R437,R437-'P-Parametri'!$B$8*(S437+R437)+MIN(MAX(S437,0),'P-Parametri'!$B$8*(S437+R437)))</f>
        <v>0</v>
      </c>
      <c r="U437" s="18">
        <f>IF($A437&gt;'1-Input'!$B$26,S437,S437-MIN(MAX(S437,0),'P-Parametri'!$B$8*(S437+R437)))</f>
        <v>33635.297685566773</v>
      </c>
      <c r="V437" s="18">
        <f>IF($A437&gt;'1-Input'!$B$26,V436,V436-Q437*(1-P437))</f>
        <v>8998.5165283790702</v>
      </c>
      <c r="W437" s="11">
        <f>IF($A437&gt;'1-Input'!$B$26,0,IF(AB436&lt;=0,0,MAX(0,(AB436-AC436)/AB436)))</f>
        <v>0.72499321496562175</v>
      </c>
      <c r="X437" s="18">
        <f>IF($A437&gt;'1-Input'!$B$26,0,(MAX(0,W396-IF($A437&gt;='1-Input'!$C$12,'1-Input'!$B$12,0))-MIN(MAX(AA436,0),MAX(0,W396-IF($A437&gt;='1-Input'!$C$12,'1-Input'!$B$12,0))))*(1/(1-'P-Parametri'!$B$6*W437))+MIN(MAX(0,AB436-(MAX(0,W396-IF($A437&gt;='1-Input'!$C$12,'1-Input'!$B$12,0))-MIN(MAX(AA436,0),MAX(0,W396-IF($A437&gt;='1-Input'!$C$12,'1-Input'!$B$12,0))))*(1/(1-'P-Parametri'!$B$6*W437))),MAX(0,0*W396-(AA436-MIN(MAX(AA436,0),MAX(0,W396-IF($A437&gt;='1-Input'!$C$12,'1-Input'!$B$12,0)))))*(1/(1-'P-Parametri'!$B$6*W437))))</f>
        <v>9533.8838788366866</v>
      </c>
      <c r="Y437" s="18">
        <f>IF($A437&gt;'1-Input'!$B$26,AA436,(AA436-MAX(0,W396-IF($A437&gt;='1-Input'!$C$12,'1-Input'!$B$12,0))+X437*(1-'P-Parametri'!$B$6*W437))*(1+'1-Input'!$B$27))</f>
        <v>0</v>
      </c>
      <c r="Z437" s="18">
        <f>IF($A437&gt;'1-Input'!$B$26,AB436,(AB436-X437)*(1+$C$4))</f>
        <v>54489.937032211448</v>
      </c>
      <c r="AA437" s="18">
        <f>IF($A437&gt;'1-Input'!$B$26,Y437,Y437-'P-Parametri'!$B$8*(Z437+Y437)+MIN(MAX(Z437,0),'P-Parametri'!$B$8*(Z437+Y437)))</f>
        <v>0</v>
      </c>
      <c r="AB437" s="18">
        <f>IF($A437&gt;'1-Input'!$B$26,Z437,Z437-MIN(MAX(Z437,0),'P-Parametri'!$B$8*(Z437+Y437)))</f>
        <v>54380.957158147023</v>
      </c>
      <c r="AC437" s="18">
        <f>IF($A437&gt;'1-Input'!$B$26,AC436,AC436-X437*(1-W437))</f>
        <v>14548.643106751628</v>
      </c>
      <c r="AD437" s="11">
        <f>IF($A437&gt;'1-Input'!$B$26,0,IF(AI436&lt;=0,0,MAX(0,(AI436-AJ436)/AI436)))</f>
        <v>0.72499321496562197</v>
      </c>
      <c r="AE437" s="18">
        <f>IF($A437&gt;'1-Input'!$B$26,0,(MAX(0,AD396-IF($A437&gt;='1-Input'!$C$12,'1-Input'!$B$12,0))-MIN(MAX(AH436,0),MAX(0,AD396-IF($A437&gt;='1-Input'!$C$12,'1-Input'!$B$12,0))))*(1/(1-'P-Parametri'!$B$6*AD437))+MIN(MAX(0,AI436-(MAX(0,AD396-IF($A437&gt;='1-Input'!$C$12,'1-Input'!$B$12,0))-MIN(MAX(AH436,0),MAX(0,AD396-IF($A437&gt;='1-Input'!$C$12,'1-Input'!$B$12,0))))*(1/(1-'P-Parametri'!$B$6*AD437))),MAX(0,0*AD396-(AH436-MIN(MAX(AH436,0),MAX(0,AD396-IF($A437&gt;='1-Input'!$C$12,'1-Input'!$B$12,0)))))*(1/(1-'P-Parametri'!$B$6*AD437))))</f>
        <v>9542.2430294650403</v>
      </c>
      <c r="AF437" s="18">
        <f>IF($A437&gt;'1-Input'!$B$26,AH436,(AH436-MAX(0,AD396-IF($A437&gt;='1-Input'!$C$12,'1-Input'!$B$12,0))+AE437*(1-'P-Parametri'!$B$6*AD437))*(1+'1-Input'!$B$27))</f>
        <v>0</v>
      </c>
      <c r="AG437" s="18">
        <f>IF($A437&gt;'1-Input'!$B$26,AI436,(AI436-AE437)*(1+$C$4))</f>
        <v>53939.711985415917</v>
      </c>
      <c r="AH437" s="18">
        <f>IF($A437&gt;'1-Input'!$B$26,AF437,AF437-'P-Parametri'!$B$8*(AG437+AF437)+MIN(MAX(AG437,0),'P-Parametri'!$B$8*(AG437+AF437)))</f>
        <v>0</v>
      </c>
      <c r="AI437" s="18">
        <f>IF($A437&gt;'1-Input'!$B$26,AG437,AG437-MIN(MAX(AG437,0),'P-Parametri'!$B$8*(AG437+AF437)))</f>
        <v>53831.832561445088</v>
      </c>
      <c r="AJ437" s="18">
        <f>IF($A437&gt;'1-Input'!$B$26,AJ436,AJ436-AE437*(1-AD437))</f>
        <v>14401.734736688872</v>
      </c>
      <c r="AK437" s="11">
        <f>IF($A437&gt;'1-Input'!$B$26,0,IF(AP436&lt;=0,0,MAX(0,(AP436-AQ436)/AP436)))</f>
        <v>0.72499321496562152</v>
      </c>
      <c r="AL437" s="18">
        <f>IF($A437&gt;'1-Input'!$B$26,0,(MAX(0,AK396-IF($A437&gt;='1-Input'!$C$12,'1-Input'!$B$12,0))-MIN(MAX(AO436,0),MAX(0,AK396-IF($A437&gt;='1-Input'!$C$12,'1-Input'!$B$12,0))))*(1/(1-'P-Parametri'!$B$6*AK437))+MIN(MAX(0,AP436-(MAX(0,AK396-IF($A437&gt;='1-Input'!$C$12,'1-Input'!$B$12,0))-MIN(MAX(AO436,0),MAX(0,AK396-IF($A437&gt;='1-Input'!$C$12,'1-Input'!$B$12,0))))*(1/(1-'P-Parametri'!$B$6*AK437))),MAX(0,0*AK396-(AO436-MIN(MAX(AO436,0),MAX(0,AK396-IF($A437&gt;='1-Input'!$C$12,'1-Input'!$B$12,0)))))*(1/(1-'P-Parametri'!$B$6*AK437))))</f>
        <v>9540.945007387927</v>
      </c>
      <c r="AM437" s="18">
        <f>IF($A437&gt;'1-Input'!$B$26,AO436,(AO436-MAX(0,AK396-IF($A437&gt;='1-Input'!$C$12,'1-Input'!$B$12,0))+AL437*(1-'P-Parametri'!$B$6*AK437))*(1+'1-Input'!$B$27))</f>
        <v>0</v>
      </c>
      <c r="AN437" s="18">
        <f>IF($A437&gt;'1-Input'!$B$26,AP436,(AP436-AL437)*(1+$C$4))</f>
        <v>54025.151797409817</v>
      </c>
      <c r="AO437" s="18">
        <f>IF($A437&gt;'1-Input'!$B$26,AM437,AM437-'P-Parametri'!$B$8*(AN437+AM437)+MIN(MAX(AN437,0),'P-Parametri'!$B$8*(AN437+AM437)))</f>
        <v>0</v>
      </c>
      <c r="AP437" s="18">
        <f>IF($A437&gt;'1-Input'!$B$26,AN437,AN437-MIN(MAX(AN437,0),'P-Parametri'!$B$8*(AN437+AM437)))</f>
        <v>53917.101493814997</v>
      </c>
      <c r="AQ437" s="18">
        <f>IF($A437&gt;'1-Input'!$B$26,AQ436,AQ436-AL437*(1-AK437))</f>
        <v>14424.546899805771</v>
      </c>
    </row>
    <row r="438" spans="1:43">
      <c r="A438" s="10">
        <f>40</f>
        <v>40</v>
      </c>
      <c r="B438" s="11">
        <f>IF($A438&gt;'1-Input'!$B$26,0,IF(G437&lt;=0,0,MAX(0,(G437-H437)/G437)))</f>
        <v>0.73246805744072752</v>
      </c>
      <c r="C438" s="18">
        <f>IF($A438&gt;'1-Input'!$B$26,0,(MAX(0,B396-IF($A438&gt;='1-Input'!$C$12,'1-Input'!$B$12,0))-MIN(MAX(F437,0),MAX(0,B396-IF($A438&gt;='1-Input'!$C$12,'1-Input'!$B$12,0))))*(1/(1-'P-Parametri'!$B$6*B438))+MIN(MAX(0,G437-(MAX(0,B396-IF($A438&gt;='1-Input'!$C$12,'1-Input'!$B$12,0))-MIN(MAX(F437,0),MAX(0,B396-IF($A438&gt;='1-Input'!$C$12,'1-Input'!$B$12,0))))*(1/(1-'P-Parametri'!$B$6*B438))),MAX(0,0*B396-(F437-MIN(MAX(F437,0),MAX(0,B396-IF($A438&gt;='1-Input'!$C$12,'1-Input'!$B$12,0)))))*(1/(1-'P-Parametri'!$B$6*B438))))</f>
        <v>6891.4805514533327</v>
      </c>
      <c r="D438" s="18">
        <f>IF($A438&gt;'1-Input'!$B$26,F437,(F437-MAX(0,B396-IF($A438&gt;='1-Input'!$C$12,'1-Input'!$B$12,0))+C438*(1-'P-Parametri'!$B$6*B438))*(1+'1-Input'!$B$27))</f>
        <v>0</v>
      </c>
      <c r="E438" s="18">
        <f>IF($A438&gt;'1-Input'!$B$26,G437,(G437-C438)*(1+$C$4))</f>
        <v>228821.64454681962</v>
      </c>
      <c r="F438" s="18">
        <f>IF($A438&gt;'1-Input'!$B$26,D438,D438-'P-Parametri'!$B$8*(E438+D438)+MIN(MAX(E438,0),'P-Parametri'!$B$8*(E438+D438)))</f>
        <v>0</v>
      </c>
      <c r="G438" s="18">
        <f>IF($A438&gt;'1-Input'!$B$26,E438,E438-MIN(MAX(E438,0),'P-Parametri'!$B$8*(E438+D438)))</f>
        <v>228364.00125772599</v>
      </c>
      <c r="H438" s="18">
        <f>IF($A438&gt;'1-Input'!$B$26,H437,H437-C438*(1-B438))</f>
        <v>59434.076762347577</v>
      </c>
      <c r="I438" s="11">
        <f>IF($A438&gt;'1-Input'!$B$26,0,IF(N437&lt;=0,0,MAX(0,(N437-O437)/N437)))</f>
        <v>0</v>
      </c>
      <c r="J438" s="18">
        <f>IF($A438&gt;'1-Input'!$B$26,0,(MAX(0,I396-IF($A438&gt;='1-Input'!$C$12,'1-Input'!$B$12,0))-MIN(MAX(M437,0),MAX(0,I396-IF($A438&gt;='1-Input'!$C$12,'1-Input'!$B$12,0))))*(1/(1-'P-Parametri'!$B$6*I438))+MIN(MAX(0,N437-(MAX(0,I396-IF($A438&gt;='1-Input'!$C$12,'1-Input'!$B$12,0))-MIN(MAX(M437,0),MAX(0,I396-IF($A438&gt;='1-Input'!$C$12,'1-Input'!$B$12,0))))*(1/(1-'P-Parametri'!$B$6*I438))),MAX(0,0*I396-(M437-MIN(MAX(M437,0),MAX(0,I396-IF($A438&gt;='1-Input'!$C$12,'1-Input'!$B$12,0)))))*(1/(1-'P-Parametri'!$B$6*I438))))</f>
        <v>10846.756992928691</v>
      </c>
      <c r="K438" s="18">
        <f>IF($A438&gt;'1-Input'!$B$26,M437,(M437-MAX(0,I396-IF($A438&gt;='1-Input'!$C$12,'1-Input'!$B$12,0))+J438*(1-'P-Parametri'!$B$6*I438))*(1+'1-Input'!$B$27))</f>
        <v>0</v>
      </c>
      <c r="L438" s="18">
        <f>IF($A438&gt;'1-Input'!$B$26,N437,(N437-J438)*(1+$C$4))</f>
        <v>-180121.22020330411</v>
      </c>
      <c r="M438" s="18">
        <f>IF($A438&gt;'1-Input'!$B$26,K438,K438-'P-Parametri'!$B$8*(L438+K438)+MIN(MAX(L438,0),'P-Parametri'!$B$8*(L438+K438)))</f>
        <v>0</v>
      </c>
      <c r="N438" s="18">
        <f>IF($A438&gt;'1-Input'!$B$26,L438,L438-MIN(MAX(L438,0),'P-Parametri'!$B$8*(L438+K438)))</f>
        <v>-179760.9777628975</v>
      </c>
      <c r="O438" s="18">
        <f>IF($A438&gt;'1-Input'!$B$26,O437,O437-J438*(1-I438))</f>
        <v>-143048.81437319831</v>
      </c>
      <c r="P438" s="11">
        <f>IF($A438&gt;'1-Input'!$B$26,0,IF(U437&lt;=0,0,MAX(0,(U437-V437)/U437)))</f>
        <v>0.73246805744072785</v>
      </c>
      <c r="Q438" s="18">
        <f>IF($A438&gt;'1-Input'!$B$26,0,(MAX(0,P396-IF($A438&gt;='1-Input'!$C$12,'1-Input'!$B$12,0))-MIN(MAX(T437,0),MAX(0,P396-IF($A438&gt;='1-Input'!$C$12,'1-Input'!$B$12,0))))*(1/(1-'P-Parametri'!$B$6*P438))+MIN(MAX(0,U437-(MAX(0,P396-IF($A438&gt;='1-Input'!$C$12,'1-Input'!$B$12,0))-MIN(MAX(T437,0),MAX(0,P396-IF($A438&gt;='1-Input'!$C$12,'1-Input'!$B$12,0))))*(1/(1-'P-Parametri'!$B$6*P438))),MAX(0,0*P396-(T437-MIN(MAX(T437,0),MAX(0,P396-IF($A438&gt;='1-Input'!$C$12,'1-Input'!$B$12,0)))))*(1/(1-'P-Parametri'!$B$6*P438))))</f>
        <v>9873.3340814069907</v>
      </c>
      <c r="R438" s="18">
        <f>IF($A438&gt;'1-Input'!$B$26,T437,(T437-MAX(0,P396-IF($A438&gt;='1-Input'!$C$12,'1-Input'!$B$12,0))+Q438*(1-'P-Parametri'!$B$6*P438))*(1+'1-Input'!$B$27))</f>
        <v>-1.8124410416930913E-12</v>
      </c>
      <c r="S438" s="18">
        <f>IF($A438&gt;'1-Input'!$B$26,U437,(U437-Q438)*(1+$C$4))</f>
        <v>24474.82251228458</v>
      </c>
      <c r="T438" s="18">
        <f>IF($A438&gt;'1-Input'!$B$26,R438,R438-'P-Parametri'!$B$8*(S438+R438)+MIN(MAX(S438,0),'P-Parametri'!$B$8*(S438+R438)))</f>
        <v>-1.8118839761882555E-12</v>
      </c>
      <c r="U438" s="18">
        <f>IF($A438&gt;'1-Input'!$B$26,S438,S438-MIN(MAX(S438,0),'P-Parametri'!$B$8*(S438+R438)))</f>
        <v>24425.872867260012</v>
      </c>
      <c r="V438" s="18">
        <f>IF($A438&gt;'1-Input'!$B$26,V437,V437-Q438*(1-P438))</f>
        <v>6357.084282043591</v>
      </c>
      <c r="W438" s="11">
        <f>IF($A438&gt;'1-Input'!$B$26,0,IF(AB437&lt;=0,0,MAX(0,(AB437-AC437)/AB437)))</f>
        <v>0.73246805744072796</v>
      </c>
      <c r="X438" s="18">
        <f>IF($A438&gt;'1-Input'!$B$26,0,(MAX(0,W396-IF($A438&gt;='1-Input'!$C$12,'1-Input'!$B$12,0))-MIN(MAX(AA437,0),MAX(0,W396-IF($A438&gt;='1-Input'!$C$12,'1-Input'!$B$12,0))))*(1/(1-'P-Parametri'!$B$6*W438))+MIN(MAX(0,AB437-(MAX(0,W396-IF($A438&gt;='1-Input'!$C$12,'1-Input'!$B$12,0))-MIN(MAX(AA437,0),MAX(0,W396-IF($A438&gt;='1-Input'!$C$12,'1-Input'!$B$12,0))))*(1/(1-'P-Parametri'!$B$6*W438))),MAX(0,0*W396-(AA437-MIN(MAX(AA437,0),MAX(0,W396-IF($A438&gt;='1-Input'!$C$12,'1-Input'!$B$12,0)))))*(1/(1-'P-Parametri'!$B$6*W438))))</f>
        <v>9556.7713135382201</v>
      </c>
      <c r="Y438" s="18">
        <f>IF($A438&gt;'1-Input'!$B$26,AA437,(AA437-MAX(0,W396-IF($A438&gt;='1-Input'!$C$12,'1-Input'!$B$12,0))+X438*(1-'P-Parametri'!$B$6*W438))*(1+'1-Input'!$B$27))</f>
        <v>0</v>
      </c>
      <c r="Z438" s="18">
        <f>IF($A438&gt;'1-Input'!$B$26,AB437,(AB437-X438)*(1+$C$4))</f>
        <v>46168.911419947064</v>
      </c>
      <c r="AA438" s="18">
        <f>IF($A438&gt;'1-Input'!$B$26,Y438,Y438-'P-Parametri'!$B$8*(Z438+Y438)+MIN(MAX(Z438,0),'P-Parametri'!$B$8*(Z438+Y438)))</f>
        <v>0</v>
      </c>
      <c r="AB438" s="18">
        <f>IF($A438&gt;'1-Input'!$B$26,Z438,Z438-MIN(MAX(Z438,0),'P-Parametri'!$B$8*(Z438+Y438)))</f>
        <v>46076.57359710717</v>
      </c>
      <c r="AC438" s="18">
        <f>IF($A438&gt;'1-Input'!$B$26,AC437,AC437-X438*(1-W438))</f>
        <v>11991.901512646022</v>
      </c>
      <c r="AD438" s="11">
        <f>IF($A438&gt;'1-Input'!$B$26,0,IF(AI437&lt;=0,0,MAX(0,(AI437-AJ437)/AI437)))</f>
        <v>0.73246805744072807</v>
      </c>
      <c r="AE438" s="18">
        <f>IF($A438&gt;'1-Input'!$B$26,0,(MAX(0,AD396-IF($A438&gt;='1-Input'!$C$12,'1-Input'!$B$12,0))-MIN(MAX(AH437,0),MAX(0,AD396-IF($A438&gt;='1-Input'!$C$12,'1-Input'!$B$12,0))))*(1/(1-'P-Parametri'!$B$6*AD438))+MIN(MAX(0,AI437-(MAX(0,AD396-IF($A438&gt;='1-Input'!$C$12,'1-Input'!$B$12,0))-MIN(MAX(AH437,0),MAX(0,AD396-IF($A438&gt;='1-Input'!$C$12,'1-Input'!$B$12,0))))*(1/(1-'P-Parametri'!$B$6*AD438))),MAX(0,0*AD396-(AH437-MIN(MAX(AH437,0),MAX(0,AD396-IF($A438&gt;='1-Input'!$C$12,'1-Input'!$B$12,0)))))*(1/(1-'P-Parametri'!$B$6*AD438))))</f>
        <v>9565.1505314881997</v>
      </c>
      <c r="AF438" s="18">
        <f>IF($A438&gt;'1-Input'!$B$26,AH437,(AH437-MAX(0,AD396-IF($A438&gt;='1-Input'!$C$12,'1-Input'!$B$12,0))+AE438*(1-'P-Parametri'!$B$6*AD438))*(1+'1-Input'!$B$27))</f>
        <v>-9.0622052084654565E-13</v>
      </c>
      <c r="AG438" s="18">
        <f>IF($A438&gt;'1-Input'!$B$26,AI437,(AI437-AE438)*(1+$C$4))</f>
        <v>45594.682490855594</v>
      </c>
      <c r="AH438" s="18">
        <f>IF($A438&gt;'1-Input'!$B$26,AF438,AF438-'P-Parametri'!$B$8*(AG438+AF438)+MIN(MAX(AG438,0),'P-Parametri'!$B$8*(AG438+AF438)))</f>
        <v>-9.0949470177292824E-13</v>
      </c>
      <c r="AI438" s="18">
        <f>IF($A438&gt;'1-Input'!$B$26,AG438,AG438-MIN(MAX(AG438,0),'P-Parametri'!$B$8*(AG438+AF438)))</f>
        <v>45503.49312587388</v>
      </c>
      <c r="AJ438" s="18">
        <f>IF($A438&gt;'1-Input'!$B$26,AJ437,AJ437-AE438*(1-AD438))</f>
        <v>11842.751434127982</v>
      </c>
      <c r="AK438" s="11">
        <f>IF($A438&gt;'1-Input'!$B$26,0,IF(AP437&lt;=0,0,MAX(0,(AP437-AQ437)/AP437)))</f>
        <v>0.73246805744072763</v>
      </c>
      <c r="AL438" s="18">
        <f>IF($A438&gt;'1-Input'!$B$26,0,(MAX(0,AK396-IF($A438&gt;='1-Input'!$C$12,'1-Input'!$B$12,0))-MIN(MAX(AO437,0),MAX(0,AK396-IF($A438&gt;='1-Input'!$C$12,'1-Input'!$B$12,0))))*(1/(1-'P-Parametri'!$B$6*AK438))+MIN(MAX(0,AP437-(MAX(0,AK396-IF($A438&gt;='1-Input'!$C$12,'1-Input'!$B$12,0))-MIN(MAX(AO437,0),MAX(0,AK396-IF($A438&gt;='1-Input'!$C$12,'1-Input'!$B$12,0))))*(1/(1-'P-Parametri'!$B$6*AK438))),MAX(0,0*AK396-(AO437-MIN(MAX(AO437,0),MAX(0,AK396-IF($A438&gt;='1-Input'!$C$12,'1-Input'!$B$12,0)))))*(1/(1-'P-Parametri'!$B$6*AK438))))</f>
        <v>9563.8493933257723</v>
      </c>
      <c r="AM438" s="18">
        <f>IF($A438&gt;'1-Input'!$B$26,AO437,(AO437-MAX(0,AK396-IF($A438&gt;='1-Input'!$C$12,'1-Input'!$B$12,0))+AL438*(1-'P-Parametri'!$B$6*AK438))*(1+'1-Input'!$B$27))</f>
        <v>0</v>
      </c>
      <c r="AN438" s="18">
        <f>IF($A438&gt;'1-Input'!$B$26,AP437,(AP437-AL438)*(1+$C$4))</f>
        <v>45683.849663503905</v>
      </c>
      <c r="AO438" s="18">
        <f>IF($A438&gt;'1-Input'!$B$26,AM438,AM438-'P-Parametri'!$B$8*(AN438+AM438)+MIN(MAX(AN438,0),'P-Parametri'!$B$8*(AN438+AM438)))</f>
        <v>0</v>
      </c>
      <c r="AP438" s="18">
        <f>IF($A438&gt;'1-Input'!$B$26,AN438,AN438-MIN(MAX(AN438,0),'P-Parametri'!$B$8*(AN438+AM438)))</f>
        <v>45592.481964176899</v>
      </c>
      <c r="AQ438" s="18">
        <f>IF($A438&gt;'1-Input'!$B$26,AQ437,AQ437-AL438*(1-AK438))</f>
        <v>11865.911693265009</v>
      </c>
    </row>
    <row r="439" spans="1:43">
      <c r="A439" s="10">
        <f>41</f>
        <v>41</v>
      </c>
      <c r="B439" s="11">
        <f>IF($A439&gt;'1-Input'!$B$26,0,IF(G438&lt;=0,0,MAX(0,(G438-H438)/G438)))</f>
        <v>0.73973972940125654</v>
      </c>
      <c r="C439" s="18">
        <f>IF($A439&gt;'1-Input'!$B$26,0,(MAX(0,B396-IF($A439&gt;='1-Input'!$C$12,'1-Input'!$B$12,0))-MIN(MAX(F438,0),MAX(0,B396-IF($A439&gt;='1-Input'!$C$12,'1-Input'!$B$12,0))))*(1/(1-'P-Parametri'!$B$6*B439))+MIN(MAX(0,G438-(MAX(0,B396-IF($A439&gt;='1-Input'!$C$12,'1-Input'!$B$12,0))-MIN(MAX(F438,0),MAX(0,B396-IF($A439&gt;='1-Input'!$C$12,'1-Input'!$B$12,0))))*(1/(1-'P-Parametri'!$B$6*B439))),MAX(0,0*B396-(F438-MIN(MAX(F438,0),MAX(0,B396-IF($A439&gt;='1-Input'!$C$12,'1-Input'!$B$12,0)))))*(1/(1-'P-Parametri'!$B$6*B439))))</f>
        <v>6907.6125235630007</v>
      </c>
      <c r="D439" s="18">
        <f>IF($A439&gt;'1-Input'!$B$26,F438,(F438-MAX(0,B396-IF($A439&gt;='1-Input'!$C$12,'1-Input'!$B$12,0))+C439*(1-'P-Parametri'!$B$6*B439))*(1+'1-Input'!$B$27))</f>
        <v>0</v>
      </c>
      <c r="E439" s="18">
        <f>IF($A439&gt;'1-Input'!$B$26,G438,(G438-C439)*(1+$C$4))</f>
        <v>228100.08039618787</v>
      </c>
      <c r="F439" s="18">
        <f>IF($A439&gt;'1-Input'!$B$26,D439,D439-'P-Parametri'!$B$8*(E439+D439)+MIN(MAX(E439,0),'P-Parametri'!$B$8*(E439+D439)))</f>
        <v>0</v>
      </c>
      <c r="G439" s="18">
        <f>IF($A439&gt;'1-Input'!$B$26,E439,E439-MIN(MAX(E439,0),'P-Parametri'!$B$8*(E439+D439)))</f>
        <v>227643.88023539548</v>
      </c>
      <c r="H439" s="18">
        <f>IF($A439&gt;'1-Input'!$B$26,H438,H438-C439*(1-B439))</f>
        <v>57636.299657773801</v>
      </c>
      <c r="I439" s="11">
        <f>IF($A439&gt;'1-Input'!$B$26,0,IF(N438&lt;=0,0,MAX(0,(N438-O438)/N438)))</f>
        <v>0</v>
      </c>
      <c r="J439" s="18">
        <f>IF($A439&gt;'1-Input'!$B$26,0,(MAX(0,I396-IF($A439&gt;='1-Input'!$C$12,'1-Input'!$B$12,0))-MIN(MAX(M438,0),MAX(0,I396-IF($A439&gt;='1-Input'!$C$12,'1-Input'!$B$12,0))))*(1/(1-'P-Parametri'!$B$6*I439))+MIN(MAX(0,N438-(MAX(0,I396-IF($A439&gt;='1-Input'!$C$12,'1-Input'!$B$12,0))-MIN(MAX(M438,0),MAX(0,I396-IF($A439&gt;='1-Input'!$C$12,'1-Input'!$B$12,0))))*(1/(1-'P-Parametri'!$B$6*I439))),MAX(0,0*I396-(M438-MIN(MAX(M438,0),MAX(0,I396-IF($A439&gt;='1-Input'!$C$12,'1-Input'!$B$12,0)))))*(1/(1-'P-Parametri'!$B$6*I439))))</f>
        <v>10846.756992928691</v>
      </c>
      <c r="K439" s="18">
        <f>IF($A439&gt;'1-Input'!$B$26,M438,(M438-MAX(0,I396-IF($A439&gt;='1-Input'!$C$12,'1-Input'!$B$12,0))+J439*(1-'P-Parametri'!$B$6*I439))*(1+'1-Input'!$B$27))</f>
        <v>0</v>
      </c>
      <c r="L439" s="18">
        <f>IF($A439&gt;'1-Input'!$B$26,N438,(N438-J439)*(1+$C$4))</f>
        <v>-196325.96679850097</v>
      </c>
      <c r="M439" s="18">
        <f>IF($A439&gt;'1-Input'!$B$26,K439,K439-'P-Parametri'!$B$8*(L439+K439)+MIN(MAX(L439,0),'P-Parametri'!$B$8*(L439+K439)))</f>
        <v>0</v>
      </c>
      <c r="N439" s="18">
        <f>IF($A439&gt;'1-Input'!$B$26,L439,L439-MIN(MAX(L439,0),'P-Parametri'!$B$8*(L439+K439)))</f>
        <v>-195933.31486490398</v>
      </c>
      <c r="O439" s="18">
        <f>IF($A439&gt;'1-Input'!$B$26,O438,O438-J439*(1-I439))</f>
        <v>-153895.571366127</v>
      </c>
      <c r="P439" s="11">
        <f>IF($A439&gt;'1-Input'!$B$26,0,IF(U438&lt;=0,0,MAX(0,(U438-V438)/U438)))</f>
        <v>0.73973972940125676</v>
      </c>
      <c r="Q439" s="18">
        <f>IF($A439&gt;'1-Input'!$B$26,0,(MAX(0,P396-IF($A439&gt;='1-Input'!$C$12,'1-Input'!$B$12,0))-MIN(MAX(T438,0),MAX(0,P396-IF($A439&gt;='1-Input'!$C$12,'1-Input'!$B$12,0))))*(1/(1-'P-Parametri'!$B$6*P439))+MIN(MAX(0,U438-(MAX(0,P396-IF($A439&gt;='1-Input'!$C$12,'1-Input'!$B$12,0))-MIN(MAX(T438,0),MAX(0,P396-IF($A439&gt;='1-Input'!$C$12,'1-Input'!$B$12,0))))*(1/(1-'P-Parametri'!$B$6*P439))),MAX(0,0*P396-(T438-MIN(MAX(T438,0),MAX(0,P396-IF($A439&gt;='1-Input'!$C$12,'1-Input'!$B$12,0)))))*(1/(1-'P-Parametri'!$B$6*P439))))</f>
        <v>9896.4461469263715</v>
      </c>
      <c r="R439" s="18">
        <f>IF($A439&gt;'1-Input'!$B$26,T438,(T438-MAX(0,P396-IF($A439&gt;='1-Input'!$C$12,'1-Input'!$B$12,0))+Q439*(1-'P-Parametri'!$B$6*P439))*(1+'1-Input'!$B$27))</f>
        <v>9.0622052084654565E-13</v>
      </c>
      <c r="S439" s="18">
        <f>IF($A439&gt;'1-Input'!$B$26,U438,(U438-Q439)*(1+$C$4))</f>
        <v>14965.309521943649</v>
      </c>
      <c r="T439" s="18">
        <f>IF($A439&gt;'1-Input'!$B$26,R439,R439-'P-Parametri'!$B$8*(S439+R439)+MIN(MAX(S439,0),'P-Parametri'!$B$8*(S439+R439)))</f>
        <v>9.0594198809412774E-13</v>
      </c>
      <c r="U439" s="18">
        <f>IF($A439&gt;'1-Input'!$B$26,S439,S439-MIN(MAX(S439,0),'P-Parametri'!$B$8*(S439+R439)))</f>
        <v>14935.378902899762</v>
      </c>
      <c r="V439" s="18">
        <f>IF($A439&gt;'1-Input'!$B$26,V438,V438-Q439*(1-P439))</f>
        <v>3781.4325298786434</v>
      </c>
      <c r="W439" s="11">
        <f>IF($A439&gt;'1-Input'!$B$26,0,IF(AB438&lt;=0,0,MAX(0,(AB438-AC438)/AB438)))</f>
        <v>0.73973972940125676</v>
      </c>
      <c r="X439" s="18">
        <f>IF($A439&gt;'1-Input'!$B$26,0,(MAX(0,W396-IF($A439&gt;='1-Input'!$C$12,'1-Input'!$B$12,0))-MIN(MAX(AA438,0),MAX(0,W396-IF($A439&gt;='1-Input'!$C$12,'1-Input'!$B$12,0))))*(1/(1-'P-Parametri'!$B$6*W439))+MIN(MAX(0,AB438-(MAX(0,W396-IF($A439&gt;='1-Input'!$C$12,'1-Input'!$B$12,0))-MIN(MAX(AA438,0),MAX(0,W396-IF($A439&gt;='1-Input'!$C$12,'1-Input'!$B$12,0))))*(1/(1-'P-Parametri'!$B$6*W439))),MAX(0,0*W396-(AA438-MIN(MAX(AA438,0),MAX(0,W396-IF($A439&gt;='1-Input'!$C$12,'1-Input'!$B$12,0)))))*(1/(1-'P-Parametri'!$B$6*W439))))</f>
        <v>9579.142350812057</v>
      </c>
      <c r="Y439" s="18">
        <f>IF($A439&gt;'1-Input'!$B$26,AA438,(AA438-MAX(0,W396-IF($A439&gt;='1-Input'!$C$12,'1-Input'!$B$12,0))+X439*(1-'P-Parametri'!$B$6*W439))*(1+'1-Input'!$B$27))</f>
        <v>9.0622052084654565E-13</v>
      </c>
      <c r="Z439" s="18">
        <f>IF($A439&gt;'1-Input'!$B$26,AB438,(AB438-X439)*(1+$C$4))</f>
        <v>37592.354183683965</v>
      </c>
      <c r="AA439" s="18">
        <f>IF($A439&gt;'1-Input'!$B$26,Y439,Y439-'P-Parametri'!$B$8*(Z439+Y439)+MIN(MAX(Z439,0),'P-Parametri'!$B$8*(Z439+Y439)))</f>
        <v>9.0949470177292824E-13</v>
      </c>
      <c r="AB439" s="18">
        <f>IF($A439&gt;'1-Input'!$B$26,Z439,Z439-MIN(MAX(Z439,0),'P-Parametri'!$B$8*(Z439+Y439)))</f>
        <v>37517.169475316594</v>
      </c>
      <c r="AC439" s="18">
        <f>IF($A439&gt;'1-Input'!$B$26,AC438,AC438-X439*(1-W439))</f>
        <v>9498.8313323197945</v>
      </c>
      <c r="AD439" s="11">
        <f>IF($A439&gt;'1-Input'!$B$26,0,IF(AI438&lt;=0,0,MAX(0,(AI438-AJ438)/AI438)))</f>
        <v>0.73973972940125687</v>
      </c>
      <c r="AE439" s="18">
        <f>IF($A439&gt;'1-Input'!$B$26,0,(MAX(0,AD396-IF($A439&gt;='1-Input'!$C$12,'1-Input'!$B$12,0))-MIN(MAX(AH438,0),MAX(0,AD396-IF($A439&gt;='1-Input'!$C$12,'1-Input'!$B$12,0))))*(1/(1-'P-Parametri'!$B$6*AD439))+MIN(MAX(0,AI438-(MAX(0,AD396-IF($A439&gt;='1-Input'!$C$12,'1-Input'!$B$12,0))-MIN(MAX(AH438,0),MAX(0,AD396-IF($A439&gt;='1-Input'!$C$12,'1-Input'!$B$12,0))))*(1/(1-'P-Parametri'!$B$6*AD439))),MAX(0,0*AD396-(AH438-MIN(MAX(AH438,0),MAX(0,AD396-IF($A439&gt;='1-Input'!$C$12,'1-Input'!$B$12,0)))))*(1/(1-'P-Parametri'!$B$6*AD439))))</f>
        <v>9587.541183315001</v>
      </c>
      <c r="AF439" s="18">
        <f>IF($A439&gt;'1-Input'!$B$26,AH438,(AH438-MAX(0,AD396-IF($A439&gt;='1-Input'!$C$12,'1-Input'!$B$12,0))+AE439*(1-'P-Parametri'!$B$6*AD439))*(1+'1-Input'!$B$27))</f>
        <v>9.0622052084654565E-13</v>
      </c>
      <c r="AG439" s="18">
        <f>IF($A439&gt;'1-Input'!$B$26,AI438,(AI438-AE439)*(1+$C$4))</f>
        <v>36993.430500835646</v>
      </c>
      <c r="AH439" s="18">
        <f>IF($A439&gt;'1-Input'!$B$26,AF439,AF439-'P-Parametri'!$B$8*(AG439+AF439)+MIN(MAX(AG439,0),'P-Parametri'!$B$8*(AG439+AF439)))</f>
        <v>9.0949470177292824E-13</v>
      </c>
      <c r="AI439" s="18">
        <f>IF($A439&gt;'1-Input'!$B$26,AG439,AG439-MIN(MAX(AG439,0),'P-Parametri'!$B$8*(AG439+AF439)))</f>
        <v>36919.443639833975</v>
      </c>
      <c r="AJ439" s="18">
        <f>IF($A439&gt;'1-Input'!$B$26,AJ438,AJ438-AE439*(1-AD439))</f>
        <v>9347.495371381825</v>
      </c>
      <c r="AK439" s="11">
        <f>IF($A439&gt;'1-Input'!$B$26,0,IF(AP438&lt;=0,0,MAX(0,(AP438-AQ438)/AP438)))</f>
        <v>0.73973972940125665</v>
      </c>
      <c r="AL439" s="18">
        <f>IF($A439&gt;'1-Input'!$B$26,0,(MAX(0,AK396-IF($A439&gt;='1-Input'!$C$12,'1-Input'!$B$12,0))-MIN(MAX(AO438,0),MAX(0,AK396-IF($A439&gt;='1-Input'!$C$12,'1-Input'!$B$12,0))))*(1/(1-'P-Parametri'!$B$6*AK439))+MIN(MAX(0,AP438-(MAX(0,AK396-IF($A439&gt;='1-Input'!$C$12,'1-Input'!$B$12,0))-MIN(MAX(AO438,0),MAX(0,AK396-IF($A439&gt;='1-Input'!$C$12,'1-Input'!$B$12,0))))*(1/(1-'P-Parametri'!$B$6*AK439))),MAX(0,0*AK396-(AO438-MIN(MAX(AO438,0),MAX(0,AK396-IF($A439&gt;='1-Input'!$C$12,'1-Input'!$B$12,0)))))*(1/(1-'P-Parametri'!$B$6*AK439))))</f>
        <v>9586.2369993738903</v>
      </c>
      <c r="AM439" s="18">
        <f>IF($A439&gt;'1-Input'!$B$26,AO438,(AO438-MAX(0,AK396-IF($A439&gt;='1-Input'!$C$12,'1-Input'!$B$12,0))+AL439*(1-'P-Parametri'!$B$6*AK439))*(1+'1-Input'!$B$27))</f>
        <v>9.0622052084654565E-13</v>
      </c>
      <c r="AN439" s="18">
        <f>IF($A439&gt;'1-Input'!$B$26,AP438,(AP438-AL439)*(1+$C$4))</f>
        <v>37086.4323137471</v>
      </c>
      <c r="AO439" s="18">
        <f>IF($A439&gt;'1-Input'!$B$26,AM439,AM439-'P-Parametri'!$B$8*(AN439+AM439)+MIN(MAX(AN439,0),'P-Parametri'!$B$8*(AN439+AM439)))</f>
        <v>9.0949470177292824E-13</v>
      </c>
      <c r="AP439" s="18">
        <f>IF($A439&gt;'1-Input'!$B$26,AN439,AN439-MIN(MAX(AN439,0),'P-Parametri'!$B$8*(AN439+AM439)))</f>
        <v>37012.259449119607</v>
      </c>
      <c r="AQ439" s="18">
        <f>IF($A439&gt;'1-Input'!$B$26,AQ438,AQ438-AL439*(1-AK439))</f>
        <v>9370.9950577842756</v>
      </c>
    </row>
    <row r="440" spans="1:43">
      <c r="A440" s="10">
        <f>42</f>
        <v>42</v>
      </c>
      <c r="B440" s="11">
        <f>IF($A440&gt;'1-Input'!$B$26,0,IF(G439&lt;=0,0,MAX(0,(G439-H439)/G439)))</f>
        <v>0.74681375313856491</v>
      </c>
      <c r="C440" s="18">
        <f>IF($A440&gt;'1-Input'!$B$26,0,(MAX(0,B396-IF($A440&gt;='1-Input'!$C$12,'1-Input'!$B$12,0))-MIN(MAX(F439,0),MAX(0,B396-IF($A440&gt;='1-Input'!$C$12,'1-Input'!$B$12,0))))*(1/(1-'P-Parametri'!$B$6*B440))+MIN(MAX(0,G439-(MAX(0,B396-IF($A440&gt;='1-Input'!$C$12,'1-Input'!$B$12,0))-MIN(MAX(F439,0),MAX(0,B396-IF($A440&gt;='1-Input'!$C$12,'1-Input'!$B$12,0))))*(1/(1-'P-Parametri'!$B$6*B440))),MAX(0,0*B396-(F439-MIN(MAX(F439,0),MAX(0,B396-IF($A440&gt;='1-Input'!$C$12,'1-Input'!$B$12,0)))))*(1/(1-'P-Parametri'!$B$6*B440))))</f>
        <v>6923.3786587702771</v>
      </c>
      <c r="D440" s="18">
        <f>IF($A440&gt;'1-Input'!$B$26,F439,(F439-MAX(0,B396-IF($A440&gt;='1-Input'!$C$12,'1-Input'!$B$12,0))+C440*(1-'P-Parametri'!$B$6*B440))*(1+'1-Input'!$B$27))</f>
        <v>-9.0622052084654565E-13</v>
      </c>
      <c r="E440" s="18">
        <f>IF($A440&gt;'1-Input'!$B$26,G439,(G439-C440)*(1+$C$4))</f>
        <v>227342.11662392397</v>
      </c>
      <c r="F440" s="18">
        <f>IF($A440&gt;'1-Input'!$B$26,D440,D440-'P-Parametri'!$B$8*(E440+D440)+MIN(MAX(E440,0),'P-Parametri'!$B$8*(E440+D440)))</f>
        <v>-9.0949470177292824E-13</v>
      </c>
      <c r="G440" s="18">
        <f>IF($A440&gt;'1-Input'!$B$26,E440,E440-MIN(MAX(E440,0),'P-Parametri'!$B$8*(E440+D440)))</f>
        <v>226887.43239067611</v>
      </c>
      <c r="H440" s="18">
        <f>IF($A440&gt;'1-Input'!$B$26,H439,H439-C440*(1-B440))</f>
        <v>55883.395399559202</v>
      </c>
      <c r="I440" s="11">
        <f>IF($A440&gt;'1-Input'!$B$26,0,IF(N439&lt;=0,0,MAX(0,(N439-O439)/N439)))</f>
        <v>0</v>
      </c>
      <c r="J440" s="18">
        <f>IF($A440&gt;'1-Input'!$B$26,0,(MAX(0,I396-IF($A440&gt;='1-Input'!$C$12,'1-Input'!$B$12,0))-MIN(MAX(M439,0),MAX(0,I396-IF($A440&gt;='1-Input'!$C$12,'1-Input'!$B$12,0))))*(1/(1-'P-Parametri'!$B$6*I440))+MIN(MAX(0,N439-(MAX(0,I396-IF($A440&gt;='1-Input'!$C$12,'1-Input'!$B$12,0))-MIN(MAX(M439,0),MAX(0,I396-IF($A440&gt;='1-Input'!$C$12,'1-Input'!$B$12,0))))*(1/(1-'P-Parametri'!$B$6*I440))),MAX(0,0*I396-(M439-MIN(MAX(M439,0),MAX(0,I396-IF($A440&gt;='1-Input'!$C$12,'1-Input'!$B$12,0)))))*(1/(1-'P-Parametri'!$B$6*I440))))</f>
        <v>10846.756992928691</v>
      </c>
      <c r="K440" s="18">
        <f>IF($A440&gt;'1-Input'!$B$26,M439,(M439-MAX(0,I396-IF($A440&gt;='1-Input'!$C$12,'1-Input'!$B$12,0))+J440*(1-'P-Parametri'!$B$6*I440))*(1+'1-Input'!$B$27))</f>
        <v>0</v>
      </c>
      <c r="L440" s="18">
        <f>IF($A440&gt;'1-Input'!$B$26,N439,(N439-J440)*(1+$C$4))</f>
        <v>-212983.47401356764</v>
      </c>
      <c r="M440" s="18">
        <f>IF($A440&gt;'1-Input'!$B$26,K440,K440-'P-Parametri'!$B$8*(L440+K440)+MIN(MAX(L440,0),'P-Parametri'!$B$8*(L440+K440)))</f>
        <v>0</v>
      </c>
      <c r="N440" s="18">
        <f>IF($A440&gt;'1-Input'!$B$26,L440,L440-MIN(MAX(L440,0),'P-Parametri'!$B$8*(L440+K440)))</f>
        <v>-212557.5070655405</v>
      </c>
      <c r="O440" s="18">
        <f>IF($A440&gt;'1-Input'!$B$26,O439,O439-J440*(1-I440))</f>
        <v>-164742.32835905568</v>
      </c>
      <c r="P440" s="11">
        <f>IF($A440&gt;'1-Input'!$B$26,0,IF(U439&lt;=0,0,MAX(0,(U439-V439)/U439)))</f>
        <v>0.74681375313856524</v>
      </c>
      <c r="Q440" s="18">
        <f>IF($A440&gt;'1-Input'!$B$26,0,(MAX(0,P396-IF($A440&gt;='1-Input'!$C$12,'1-Input'!$B$12,0))-MIN(MAX(T439,0),MAX(0,P396-IF($A440&gt;='1-Input'!$C$12,'1-Input'!$B$12,0))))*(1/(1-'P-Parametri'!$B$6*P440))+MIN(MAX(0,U439-(MAX(0,P396-IF($A440&gt;='1-Input'!$C$12,'1-Input'!$B$12,0))-MIN(MAX(T439,0),MAX(0,P396-IF($A440&gt;='1-Input'!$C$12,'1-Input'!$B$12,0))))*(1/(1-'P-Parametri'!$B$6*P440))),MAX(0,0*P396-(T439-MIN(MAX(T439,0),MAX(0,P396-IF($A440&gt;='1-Input'!$C$12,'1-Input'!$B$12,0)))))*(1/(1-'P-Parametri'!$B$6*P440))))</f>
        <v>9919.0340826989286</v>
      </c>
      <c r="R440" s="18">
        <f>IF($A440&gt;'1-Input'!$B$26,T439,(T439-MAX(0,P396-IF($A440&gt;='1-Input'!$C$12,'1-Input'!$B$12,0))+Q440*(1-'P-Parametri'!$B$6*P440))*(1+'1-Input'!$B$27))</f>
        <v>9.0622052084654565E-13</v>
      </c>
      <c r="S440" s="18">
        <f>IF($A440&gt;'1-Input'!$B$26,U439,(U439-Q440)*(1+$C$4))</f>
        <v>5166.8351648068583</v>
      </c>
      <c r="T440" s="18">
        <f>IF($A440&gt;'1-Input'!$B$26,R440,R440-'P-Parametri'!$B$8*(S440+R440)+MIN(MAX(S440,0),'P-Parametri'!$B$8*(S440+R440)))</f>
        <v>9.0594198809412774E-13</v>
      </c>
      <c r="U440" s="18">
        <f>IF($A440&gt;'1-Input'!$B$26,S440,S440-MIN(MAX(S440,0),'P-Parametri'!$B$8*(S440+R440)))</f>
        <v>5156.5014944772447</v>
      </c>
      <c r="V440" s="18">
        <f>IF($A440&gt;'1-Input'!$B$26,V439,V439-Q440*(1-P440))</f>
        <v>1270.0695179894474</v>
      </c>
      <c r="W440" s="11">
        <f>IF($A440&gt;'1-Input'!$B$26,0,IF(AB439&lt;=0,0,MAX(0,(AB439-AC439)/AB439)))</f>
        <v>0.74681375313856513</v>
      </c>
      <c r="X440" s="18">
        <f>IF($A440&gt;'1-Input'!$B$26,0,(MAX(0,W396-IF($A440&gt;='1-Input'!$C$12,'1-Input'!$B$12,0))-MIN(MAX(AA439,0),MAX(0,W396-IF($A440&gt;='1-Input'!$C$12,'1-Input'!$B$12,0))))*(1/(1-'P-Parametri'!$B$6*W440))+MIN(MAX(0,AB439-(MAX(0,W396-IF($A440&gt;='1-Input'!$C$12,'1-Input'!$B$12,0))-MIN(MAX(AA439,0),MAX(0,W396-IF($A440&gt;='1-Input'!$C$12,'1-Input'!$B$12,0))))*(1/(1-'P-Parametri'!$B$6*W440))),MAX(0,0*W396-(AA439-MIN(MAX(AA439,0),MAX(0,W396-IF($A440&gt;='1-Input'!$C$12,'1-Input'!$B$12,0)))))*(1/(1-'P-Parametri'!$B$6*W440))))</f>
        <v>9601.0060631956712</v>
      </c>
      <c r="Y440" s="18">
        <f>IF($A440&gt;'1-Input'!$B$26,AA439,(AA439-MAX(0,W396-IF($A440&gt;='1-Input'!$C$12,'1-Input'!$B$12,0))+X440*(1-'P-Parametri'!$B$6*W440))*(1+'1-Input'!$B$27))</f>
        <v>-9.0622052084654565E-13</v>
      </c>
      <c r="Z440" s="18">
        <f>IF($A440&gt;'1-Input'!$B$26,AB439,(AB439-X440)*(1+$C$4))</f>
        <v>28753.648314484548</v>
      </c>
      <c r="AA440" s="18">
        <f>IF($A440&gt;'1-Input'!$B$26,Y440,Y440-'P-Parametri'!$B$8*(Z440+Y440)+MIN(MAX(Z440,0),'P-Parametri'!$B$8*(Z440+Y440)))</f>
        <v>-9.0949470177292824E-13</v>
      </c>
      <c r="AB440" s="18">
        <f>IF($A440&gt;'1-Input'!$B$26,Z440,Z440-MIN(MAX(Z440,0),'P-Parametri'!$B$8*(Z440+Y440)))</f>
        <v>28696.141017855578</v>
      </c>
      <c r="AC440" s="18">
        <f>IF($A440&gt;'1-Input'!$B$26,AC439,AC439-X440*(1-W440))</f>
        <v>7067.9886410854024</v>
      </c>
      <c r="AD440" s="11">
        <f>IF($A440&gt;'1-Input'!$B$26,0,IF(AI439&lt;=0,0,MAX(0,(AI439-AJ439)/AI439)))</f>
        <v>0.74681375313856546</v>
      </c>
      <c r="AE440" s="18">
        <f>IF($A440&gt;'1-Input'!$B$26,0,(MAX(0,AD396-IF($A440&gt;='1-Input'!$C$12,'1-Input'!$B$12,0))-MIN(MAX(AH439,0),MAX(0,AD396-IF($A440&gt;='1-Input'!$C$12,'1-Input'!$B$12,0))))*(1/(1-'P-Parametri'!$B$6*AD440))+MIN(MAX(0,AI439-(MAX(0,AD396-IF($A440&gt;='1-Input'!$C$12,'1-Input'!$B$12,0))-MIN(MAX(AH439,0),MAX(0,AD396-IF($A440&gt;='1-Input'!$C$12,'1-Input'!$B$12,0))))*(1/(1-'P-Parametri'!$B$6*AD440))),MAX(0,0*AD396-(AH439-MIN(MAX(AH439,0),MAX(0,AD396-IF($A440&gt;='1-Input'!$C$12,'1-Input'!$B$12,0)))))*(1/(1-'P-Parametri'!$B$6*AD440))))</f>
        <v>9609.4240654375644</v>
      </c>
      <c r="AF440" s="18">
        <f>IF($A440&gt;'1-Input'!$B$26,AH439,(AH439-MAX(0,AD396-IF($A440&gt;='1-Input'!$C$12,'1-Input'!$B$12,0))+AE440*(1-'P-Parametri'!$B$6*AD440))*(1+'1-Input'!$B$27))</f>
        <v>0</v>
      </c>
      <c r="AG440" s="18">
        <f>IF($A440&gt;'1-Input'!$B$26,AI439,(AI439-AE440)*(1+$C$4))</f>
        <v>28129.320161628304</v>
      </c>
      <c r="AH440" s="18">
        <f>IF($A440&gt;'1-Input'!$B$26,AF440,AF440-'P-Parametri'!$B$8*(AG440+AF440)+MIN(MAX(AG440,0),'P-Parametri'!$B$8*(AG440+AF440)))</f>
        <v>0</v>
      </c>
      <c r="AI440" s="18">
        <f>IF($A440&gt;'1-Input'!$B$26,AG440,AG440-MIN(MAX(AG440,0),'P-Parametri'!$B$8*(AG440+AF440)))</f>
        <v>28073.061521305048</v>
      </c>
      <c r="AJ440" s="18">
        <f>IF($A440&gt;'1-Input'!$B$26,AJ439,AJ439-AE440*(1-AD440))</f>
        <v>6914.5213577537397</v>
      </c>
      <c r="AK440" s="11">
        <f>IF($A440&gt;'1-Input'!$B$26,0,IF(AP439&lt;=0,0,MAX(0,(AP439-AQ439)/AP439)))</f>
        <v>0.74681375313856502</v>
      </c>
      <c r="AL440" s="18">
        <f>IF($A440&gt;'1-Input'!$B$26,0,(MAX(0,AK396-IF($A440&gt;='1-Input'!$C$12,'1-Input'!$B$12,0))-MIN(MAX(AO439,0),MAX(0,AK396-IF($A440&gt;='1-Input'!$C$12,'1-Input'!$B$12,0))))*(1/(1-'P-Parametri'!$B$6*AK440))+MIN(MAX(0,AP439-(MAX(0,AK396-IF($A440&gt;='1-Input'!$C$12,'1-Input'!$B$12,0))-MIN(MAX(AO439,0),MAX(0,AK396-IF($A440&gt;='1-Input'!$C$12,'1-Input'!$B$12,0))))*(1/(1-'P-Parametri'!$B$6*AK440))),MAX(0,0*AK396-(AO439-MIN(MAX(AO439,0),MAX(0,AK396-IF($A440&gt;='1-Input'!$C$12,'1-Input'!$B$12,0)))))*(1/(1-'P-Parametri'!$B$6*AK440))))</f>
        <v>9608.1169047891945</v>
      </c>
      <c r="AM440" s="18">
        <f>IF($A440&gt;'1-Input'!$B$26,AO439,(AO439-MAX(0,AK396-IF($A440&gt;='1-Input'!$C$12,'1-Input'!$B$12,0))+AL440*(1-'P-Parametri'!$B$6*AK440))*(1+'1-Input'!$B$27))</f>
        <v>9.0622052084654565E-13</v>
      </c>
      <c r="AN440" s="18">
        <f>IF($A440&gt;'1-Input'!$B$26,AP439,(AP439-AL440)*(1+$C$4))</f>
        <v>28226.266820660323</v>
      </c>
      <c r="AO440" s="18">
        <f>IF($A440&gt;'1-Input'!$B$26,AM440,AM440-'P-Parametri'!$B$8*(AN440+AM440)+MIN(MAX(AN440,0),'P-Parametri'!$B$8*(AN440+AM440)))</f>
        <v>9.0949470177292824E-13</v>
      </c>
      <c r="AP440" s="18">
        <f>IF($A440&gt;'1-Input'!$B$26,AN440,AN440-MIN(MAX(AN440,0),'P-Parametri'!$B$8*(AN440+AM440)))</f>
        <v>28169.814287019002</v>
      </c>
      <c r="AQ440" s="18">
        <f>IF($A440&gt;'1-Input'!$B$26,AQ439,AQ439-AL440*(1-AK440))</f>
        <v>6938.3519992547917</v>
      </c>
    </row>
    <row r="441" spans="1:43">
      <c r="A441" s="10">
        <f>43</f>
        <v>43</v>
      </c>
      <c r="B441" s="11">
        <f>IF($A441&gt;'1-Input'!$B$26,0,IF(G440&lt;=0,0,MAX(0,(G440-H440)/G440)))</f>
        <v>0.75369550084495684</v>
      </c>
      <c r="C441" s="18">
        <f>IF($A441&gt;'1-Input'!$B$26,0,(MAX(0,B396-IF($A441&gt;='1-Input'!$C$12,'1-Input'!$B$12,0))-MIN(MAX(F440,0),MAX(0,B396-IF($A441&gt;='1-Input'!$C$12,'1-Input'!$B$12,0))))*(1/(1-'P-Parametri'!$B$6*B441))+MIN(MAX(0,G440-(MAX(0,B396-IF($A441&gt;='1-Input'!$C$12,'1-Input'!$B$12,0))-MIN(MAX(F440,0),MAX(0,B396-IF($A441&gt;='1-Input'!$C$12,'1-Input'!$B$12,0))))*(1/(1-'P-Parametri'!$B$6*B441))),MAX(0,0*B396-(F440-MIN(MAX(F440,0),MAX(0,B396-IF($A441&gt;='1-Input'!$C$12,'1-Input'!$B$12,0)))))*(1/(1-'P-Parametri'!$B$6*B441))))</f>
        <v>6938.7854775161968</v>
      </c>
      <c r="D441" s="18">
        <f>IF($A441&gt;'1-Input'!$B$26,F440,(F440-MAX(0,B396-IF($A441&gt;='1-Input'!$C$12,'1-Input'!$B$12,0))+C441*(1-'P-Parametri'!$B$6*B441))*(1+'1-Input'!$B$27))</f>
        <v>0</v>
      </c>
      <c r="E441" s="18">
        <f>IF($A441&gt;'1-Input'!$B$26,G440,(G440-C441)*(1+$C$4))</f>
        <v>226547.10632055474</v>
      </c>
      <c r="F441" s="18">
        <f>IF($A441&gt;'1-Input'!$B$26,D441,D441-'P-Parametri'!$B$8*(E441+D441)+MIN(MAX(E441,0),'P-Parametri'!$B$8*(E441+D441)))</f>
        <v>0</v>
      </c>
      <c r="G441" s="18">
        <f>IF($A441&gt;'1-Input'!$B$26,E441,E441-MIN(MAX(E441,0),'P-Parametri'!$B$8*(E441+D441)))</f>
        <v>226094.01210791364</v>
      </c>
      <c r="H441" s="18">
        <f>IF($A441&gt;'1-Input'!$B$26,H440,H440-C441*(1-B441))</f>
        <v>54174.341317775288</v>
      </c>
      <c r="I441" s="11">
        <f>IF($A441&gt;'1-Input'!$B$26,0,IF(N440&lt;=0,0,MAX(0,(N440-O440)/N440)))</f>
        <v>0</v>
      </c>
      <c r="J441" s="18">
        <f>IF($A441&gt;'1-Input'!$B$26,0,(MAX(0,I396-IF($A441&gt;='1-Input'!$C$12,'1-Input'!$B$12,0))-MIN(MAX(M440,0),MAX(0,I396-IF($A441&gt;='1-Input'!$C$12,'1-Input'!$B$12,0))))*(1/(1-'P-Parametri'!$B$6*I441))+MIN(MAX(0,N440-(MAX(0,I396-IF($A441&gt;='1-Input'!$C$12,'1-Input'!$B$12,0))-MIN(MAX(M440,0),MAX(0,I396-IF($A441&gt;='1-Input'!$C$12,'1-Input'!$B$12,0))))*(1/(1-'P-Parametri'!$B$6*I441))),MAX(0,0*I396-(M440-MIN(MAX(M440,0),MAX(0,I396-IF($A441&gt;='1-Input'!$C$12,'1-Input'!$B$12,0)))))*(1/(1-'P-Parametri'!$B$6*I441))))</f>
        <v>10846.756992928691</v>
      </c>
      <c r="K441" s="18">
        <f>IF($A441&gt;'1-Input'!$B$26,M440,(M440-MAX(0,I396-IF($A441&gt;='1-Input'!$C$12,'1-Input'!$B$12,0))+J441*(1-'P-Parametri'!$B$6*I441))*(1+'1-Input'!$B$27))</f>
        <v>0</v>
      </c>
      <c r="L441" s="18">
        <f>IF($A441&gt;'1-Input'!$B$26,N440,(N440-J441)*(1+$C$4))</f>
        <v>-230106.39198022327</v>
      </c>
      <c r="M441" s="18">
        <f>IF($A441&gt;'1-Input'!$B$26,K441,K441-'P-Parametri'!$B$8*(L441+K441)+MIN(MAX(L441,0),'P-Parametri'!$B$8*(L441+K441)))</f>
        <v>0</v>
      </c>
      <c r="N441" s="18">
        <f>IF($A441&gt;'1-Input'!$B$26,L441,L441-MIN(MAX(L441,0),'P-Parametri'!$B$8*(L441+K441)))</f>
        <v>-229646.17919626282</v>
      </c>
      <c r="O441" s="18">
        <f>IF($A441&gt;'1-Input'!$B$26,O440,O440-J441*(1-I441))</f>
        <v>-175589.08535198437</v>
      </c>
      <c r="P441" s="11">
        <f>IF($A441&gt;'1-Input'!$B$26,0,IF(U440&lt;=0,0,MAX(0,(U440-V440)/U440)))</f>
        <v>0.75369550084495718</v>
      </c>
      <c r="Q441" s="18">
        <f>IF($A441&gt;'1-Input'!$B$26,0,(MAX(0,P396-IF($A441&gt;='1-Input'!$C$12,'1-Input'!$B$12,0))-MIN(MAX(T440,0),MAX(0,P396-IF($A441&gt;='1-Input'!$C$12,'1-Input'!$B$12,0))))*(1/(1-'P-Parametri'!$B$6*P441))+MIN(MAX(0,U440-(MAX(0,P396-IF($A441&gt;='1-Input'!$C$12,'1-Input'!$B$12,0))-MIN(MAX(T440,0),MAX(0,P396-IF($A441&gt;='1-Input'!$C$12,'1-Input'!$B$12,0))))*(1/(1-'P-Parametri'!$B$6*P441))),MAX(0,0*P396-(T440-MIN(MAX(T440,0),MAX(0,P396-IF($A441&gt;='1-Input'!$C$12,'1-Input'!$B$12,0)))))*(1/(1-'P-Parametri'!$B$6*P441))))</f>
        <v>9941.107230475287</v>
      </c>
      <c r="R441" s="18">
        <f>IF($A441&gt;'1-Input'!$B$26,T440,(T440-MAX(0,P396-IF($A441&gt;='1-Input'!$C$12,'1-Input'!$B$12,0))+Q441*(1-'P-Parametri'!$B$6*P441))*(1+'1-Input'!$B$27))</f>
        <v>0</v>
      </c>
      <c r="S441" s="18">
        <f>IF($A441&gt;'1-Input'!$B$26,U440,(U440-Q441)*(1+$C$4))</f>
        <v>-4928.1439080779837</v>
      </c>
      <c r="T441" s="18">
        <f>IF($A441&gt;'1-Input'!$B$26,R441,R441-'P-Parametri'!$B$8*(S441+R441)+MIN(MAX(S441,0),'P-Parametri'!$B$8*(S441+R441)))</f>
        <v>0</v>
      </c>
      <c r="U441" s="18">
        <f>IF($A441&gt;'1-Input'!$B$26,S441,S441-MIN(MAX(S441,0),'P-Parametri'!$B$8*(S441+R441)))</f>
        <v>-4918.2876202618281</v>
      </c>
      <c r="V441" s="18">
        <f>IF($A441&gt;'1-Input'!$B$26,V440,V440-Q441*(1-P441))</f>
        <v>-1178.4699194593431</v>
      </c>
      <c r="W441" s="11">
        <f>IF($A441&gt;'1-Input'!$B$26,0,IF(AB440&lt;=0,0,MAX(0,(AB440-AC440)/AB440)))</f>
        <v>0.75369550084495707</v>
      </c>
      <c r="X441" s="18">
        <f>IF($A441&gt;'1-Input'!$B$26,0,(MAX(0,W396-IF($A441&gt;='1-Input'!$C$12,'1-Input'!$B$12,0))-MIN(MAX(AA440,0),MAX(0,W396-IF($A441&gt;='1-Input'!$C$12,'1-Input'!$B$12,0))))*(1/(1-'P-Parametri'!$B$6*W441))+MIN(MAX(0,AB440-(MAX(0,W396-IF($A441&gt;='1-Input'!$C$12,'1-Input'!$B$12,0))-MIN(MAX(AA440,0),MAX(0,W396-IF($A441&gt;='1-Input'!$C$12,'1-Input'!$B$12,0))))*(1/(1-'P-Parametri'!$B$6*W441))),MAX(0,0*W396-(AA440-MIN(MAX(AA440,0),MAX(0,W396-IF($A441&gt;='1-Input'!$C$12,'1-Input'!$B$12,0)))))*(1/(1-'P-Parametri'!$B$6*W441))))</f>
        <v>9622.3714929207617</v>
      </c>
      <c r="Y441" s="18">
        <f>IF($A441&gt;'1-Input'!$B$26,AA440,(AA440-MAX(0,W396-IF($A441&gt;='1-Input'!$C$12,'1-Input'!$B$12,0))+X441*(1-'P-Parametri'!$B$6*W441))*(1+'1-Input'!$B$27))</f>
        <v>9.0622052084654565E-13</v>
      </c>
      <c r="Z441" s="18">
        <f>IF($A441&gt;'1-Input'!$B$26,AB440,(AB440-X441)*(1+$C$4))</f>
        <v>19645.982610682862</v>
      </c>
      <c r="AA441" s="18">
        <f>IF($A441&gt;'1-Input'!$B$26,Y441,Y441-'P-Parametri'!$B$8*(Z441+Y441)+MIN(MAX(Z441,0),'P-Parametri'!$B$8*(Z441+Y441)))</f>
        <v>9.0949470177292824E-13</v>
      </c>
      <c r="AB441" s="18">
        <f>IF($A441&gt;'1-Input'!$B$26,Z441,Z441-MIN(MAX(Z441,0),'P-Parametri'!$B$8*(Z441+Y441)))</f>
        <v>19606.690645461498</v>
      </c>
      <c r="AC441" s="18">
        <f>IF($A441&gt;'1-Input'!$B$26,AC440,AC440-X441*(1-W441))</f>
        <v>4697.9552498377916</v>
      </c>
      <c r="AD441" s="11">
        <f>IF($A441&gt;'1-Input'!$B$26,0,IF(AI440&lt;=0,0,MAX(0,(AI440-AJ440)/AI440)))</f>
        <v>0.75369550084495729</v>
      </c>
      <c r="AE441" s="18">
        <f>IF($A441&gt;'1-Input'!$B$26,0,(MAX(0,AD396-IF($A441&gt;='1-Input'!$C$12,'1-Input'!$B$12,0))-MIN(MAX(AH440,0),MAX(0,AD396-IF($A441&gt;='1-Input'!$C$12,'1-Input'!$B$12,0))))*(1/(1-'P-Parametri'!$B$6*AD441))+MIN(MAX(0,AI440-(MAX(0,AD396-IF($A441&gt;='1-Input'!$C$12,'1-Input'!$B$12,0))-MIN(MAX(AH440,0),MAX(0,AD396-IF($A441&gt;='1-Input'!$C$12,'1-Input'!$B$12,0))))*(1/(1-'P-Parametri'!$B$6*AD441))),MAX(0,0*AD396-(AH440-MIN(MAX(AH440,0),MAX(0,AD396-IF($A441&gt;='1-Input'!$C$12,'1-Input'!$B$12,0)))))*(1/(1-'P-Parametri'!$B$6*AD441))))</f>
        <v>9630.8082280156596</v>
      </c>
      <c r="AF441" s="18">
        <f>IF($A441&gt;'1-Input'!$B$26,AH440,(AH440-MAX(0,AD396-IF($A441&gt;='1-Input'!$C$12,'1-Input'!$B$12,0))+AE441*(1-'P-Parametri'!$B$6*AD441))*(1+'1-Input'!$B$27))</f>
        <v>0</v>
      </c>
      <c r="AG441" s="18">
        <f>IF($A441&gt;'1-Input'!$B$26,AI440,(AI440-AE441)*(1+$C$4))</f>
        <v>18995.520892088069</v>
      </c>
      <c r="AH441" s="18">
        <f>IF($A441&gt;'1-Input'!$B$26,AF441,AF441-'P-Parametri'!$B$8*(AG441+AF441)+MIN(MAX(AG441,0),'P-Parametri'!$B$8*(AG441+AF441)))</f>
        <v>0</v>
      </c>
      <c r="AI441" s="18">
        <f>IF($A441&gt;'1-Input'!$B$26,AG441,AG441-MIN(MAX(AG441,0),'P-Parametri'!$B$8*(AG441+AF441)))</f>
        <v>18957.529850303894</v>
      </c>
      <c r="AJ441" s="18">
        <f>IF($A441&gt;'1-Input'!$B$26,AJ440,AJ440-AE441*(1-AD441))</f>
        <v>4542.4099606940781</v>
      </c>
      <c r="AK441" s="11">
        <f>IF($A441&gt;'1-Input'!$B$26,0,IF(AP440&lt;=0,0,MAX(0,(AP440-AQ440)/AP440)))</f>
        <v>0.75369550084495696</v>
      </c>
      <c r="AL441" s="18">
        <f>IF($A441&gt;'1-Input'!$B$26,0,(MAX(0,AK396-IF($A441&gt;='1-Input'!$C$12,'1-Input'!$B$12,0))-MIN(MAX(AO440,0),MAX(0,AK396-IF($A441&gt;='1-Input'!$C$12,'1-Input'!$B$12,0))))*(1/(1-'P-Parametri'!$B$6*AK441))+MIN(MAX(0,AP440-(MAX(0,AK396-IF($A441&gt;='1-Input'!$C$12,'1-Input'!$B$12,0))-MIN(MAX(AO440,0),MAX(0,AK396-IF($A441&gt;='1-Input'!$C$12,'1-Input'!$B$12,0))))*(1/(1-'P-Parametri'!$B$6*AK441))),MAX(0,0*AK396-(AO440-MIN(MAX(AO440,0),MAX(0,AK396-IF($A441&gt;='1-Input'!$C$12,'1-Input'!$B$12,0)))))*(1/(1-'P-Parametri'!$B$6*AK441))))</f>
        <v>9629.4981585003643</v>
      </c>
      <c r="AM441" s="18">
        <f>IF($A441&gt;'1-Input'!$B$26,AO440,(AO440-MAX(0,AK396-IF($A441&gt;='1-Input'!$C$12,'1-Input'!$B$12,0))+AL441*(1-'P-Parametri'!$B$6*AK441))*(1+'1-Input'!$B$27))</f>
        <v>0</v>
      </c>
      <c r="AN441" s="18">
        <f>IF($A441&gt;'1-Input'!$B$26,AP440,(AP440-AL441)*(1+$C$4))</f>
        <v>19096.525612374196</v>
      </c>
      <c r="AO441" s="18">
        <f>IF($A441&gt;'1-Input'!$B$26,AM441,AM441-'P-Parametri'!$B$8*(AN441+AM441)+MIN(MAX(AN441,0),'P-Parametri'!$B$8*(AN441+AM441)))</f>
        <v>0</v>
      </c>
      <c r="AP441" s="18">
        <f>IF($A441&gt;'1-Input'!$B$26,AN441,AN441-MIN(MAX(AN441,0),'P-Parametri'!$B$8*(AN441+AM441)))</f>
        <v>19058.332561149447</v>
      </c>
      <c r="AQ441" s="18">
        <f>IF($A441&gt;'1-Input'!$B$26,AQ440,AQ440-AL441*(1-AK441))</f>
        <v>4566.5632782109496</v>
      </c>
    </row>
    <row r="442" spans="1:43">
      <c r="A442" s="10">
        <f>44</f>
        <v>44</v>
      </c>
      <c r="B442" s="11">
        <f>IF($A442&gt;'1-Input'!$B$26,0,IF(G441&lt;=0,0,MAX(0,(G441-H441)/G441)))</f>
        <v>0.76039019869346158</v>
      </c>
      <c r="C442" s="18">
        <f>IF($A442&gt;'1-Input'!$B$26,0,(MAX(0,B396-IF($A442&gt;='1-Input'!$C$12,'1-Input'!$B$12,0))-MIN(MAX(F441,0),MAX(0,B396-IF($A442&gt;='1-Input'!$C$12,'1-Input'!$B$12,0))))*(1/(1-'P-Parametri'!$B$6*B442))+MIN(MAX(0,G441-(MAX(0,B396-IF($A442&gt;='1-Input'!$C$12,'1-Input'!$B$12,0))-MIN(MAX(F441,0),MAX(0,B396-IF($A442&gt;='1-Input'!$C$12,'1-Input'!$B$12,0))))*(1/(1-'P-Parametri'!$B$6*B442))),MAX(0,0*B396-(F441-MIN(MAX(F441,0),MAX(0,B396-IF($A442&gt;='1-Input'!$C$12,'1-Input'!$B$12,0)))))*(1/(1-'P-Parametri'!$B$6*B442))))</f>
        <v>6953.8394730630662</v>
      </c>
      <c r="D442" s="18">
        <f>IF($A442&gt;'1-Input'!$B$26,F441,(F441-MAX(0,B396-IF($A442&gt;='1-Input'!$C$12,'1-Input'!$B$12,0))+C442*(1-'P-Parametri'!$B$6*B442))*(1+'1-Input'!$B$27))</f>
        <v>0</v>
      </c>
      <c r="E442" s="18">
        <f>IF($A442&gt;'1-Input'!$B$26,G441,(G441-C442)*(1+$C$4))</f>
        <v>225714.37781389611</v>
      </c>
      <c r="F442" s="18">
        <f>IF($A442&gt;'1-Input'!$B$26,D442,D442-'P-Parametri'!$B$8*(E442+D442)+MIN(MAX(E442,0),'P-Parametri'!$B$8*(E442+D442)))</f>
        <v>0</v>
      </c>
      <c r="G442" s="18">
        <f>IF($A442&gt;'1-Input'!$B$26,E442,E442-MIN(MAX(E442,0),'P-Parametri'!$B$8*(E442+D442)))</f>
        <v>225262.94905826831</v>
      </c>
      <c r="H442" s="18">
        <f>IF($A442&gt;'1-Input'!$B$26,H441,H441-C442*(1-B442))</f>
        <v>52508.133223317083</v>
      </c>
      <c r="I442" s="11">
        <f>IF($A442&gt;'1-Input'!$B$26,0,IF(N441&lt;=0,0,MAX(0,(N441-O441)/N441)))</f>
        <v>0</v>
      </c>
      <c r="J442" s="18">
        <f>IF($A442&gt;'1-Input'!$B$26,0,(MAX(0,I396-IF($A442&gt;='1-Input'!$C$12,'1-Input'!$B$12,0))-MIN(MAX(M441,0),MAX(0,I396-IF($A442&gt;='1-Input'!$C$12,'1-Input'!$B$12,0))))*(1/(1-'P-Parametri'!$B$6*I442))+MIN(MAX(0,N441-(MAX(0,I396-IF($A442&gt;='1-Input'!$C$12,'1-Input'!$B$12,0))-MIN(MAX(M441,0),MAX(0,I396-IF($A442&gt;='1-Input'!$C$12,'1-Input'!$B$12,0))))*(1/(1-'P-Parametri'!$B$6*I442))),MAX(0,0*I396-(M441-MIN(MAX(M441,0),MAX(0,I396-IF($A442&gt;='1-Input'!$C$12,'1-Input'!$B$12,0)))))*(1/(1-'P-Parametri'!$B$6*I442))))</f>
        <v>10846.756992928691</v>
      </c>
      <c r="K442" s="18">
        <f>IF($A442&gt;'1-Input'!$B$26,M441,(M441-MAX(0,I396-IF($A442&gt;='1-Input'!$C$12,'1-Input'!$B$12,0))+J442*(1-'P-Parametri'!$B$6*I442))*(1+'1-Input'!$B$27))</f>
        <v>0</v>
      </c>
      <c r="L442" s="18">
        <f>IF($A442&gt;'1-Input'!$B$26,N441,(N441-J442)*(1+$C$4))</f>
        <v>-247707.72427486724</v>
      </c>
      <c r="M442" s="18">
        <f>IF($A442&gt;'1-Input'!$B$26,K442,K442-'P-Parametri'!$B$8*(L442+K442)+MIN(MAX(L442,0),'P-Parametri'!$B$8*(L442+K442)))</f>
        <v>0</v>
      </c>
      <c r="N442" s="18">
        <f>IF($A442&gt;'1-Input'!$B$26,L442,L442-MIN(MAX(L442,0),'P-Parametri'!$B$8*(L442+K442)))</f>
        <v>-247212.30882631752</v>
      </c>
      <c r="O442" s="18">
        <f>IF($A442&gt;'1-Input'!$B$26,O441,O441-J442*(1-I442))</f>
        <v>-186435.84234491305</v>
      </c>
      <c r="P442" s="11">
        <f>IF($A442&gt;'1-Input'!$B$26,0,IF(U441&lt;=0,0,MAX(0,(U441-V441)/U441)))</f>
        <v>0</v>
      </c>
      <c r="Q442" s="18">
        <f>IF($A442&gt;'1-Input'!$B$26,0,(MAX(0,P396-IF($A442&gt;='1-Input'!$C$12,'1-Input'!$B$12,0))-MIN(MAX(T441,0),MAX(0,P396-IF($A442&gt;='1-Input'!$C$12,'1-Input'!$B$12,0))))*(1/(1-'P-Parametri'!$B$6*P442))+MIN(MAX(0,U441-(MAX(0,P396-IF($A442&gt;='1-Input'!$C$12,'1-Input'!$B$12,0))-MIN(MAX(T441,0),MAX(0,P396-IF($A442&gt;='1-Input'!$C$12,'1-Input'!$B$12,0))))*(1/(1-'P-Parametri'!$B$6*P442))),MAX(0,0*P396-(T441-MIN(MAX(T441,0),MAX(0,P396-IF($A442&gt;='1-Input'!$C$12,'1-Input'!$B$12,0)))))*(1/(1-'P-Parametri'!$B$6*P442))))</f>
        <v>7993.0396042883986</v>
      </c>
      <c r="R442" s="18">
        <f>IF($A442&gt;'1-Input'!$B$26,T441,(T441-MAX(0,P396-IF($A442&gt;='1-Input'!$C$12,'1-Input'!$B$12,0))+Q442*(1-'P-Parametri'!$B$6*P442))*(1+'1-Input'!$B$27))</f>
        <v>0</v>
      </c>
      <c r="S442" s="18">
        <f>IF($A442&gt;'1-Input'!$B$26,U441,(U441-Q442)*(1+$C$4))</f>
        <v>-13298.667041286733</v>
      </c>
      <c r="T442" s="18">
        <f>IF($A442&gt;'1-Input'!$B$26,R442,R442-'P-Parametri'!$B$8*(S442+R442)+MIN(MAX(S442,0),'P-Parametri'!$B$8*(S442+R442)))</f>
        <v>0</v>
      </c>
      <c r="U442" s="18">
        <f>IF($A442&gt;'1-Input'!$B$26,S442,S442-MIN(MAX(S442,0),'P-Parametri'!$B$8*(S442+R442)))</f>
        <v>-13272.06970720416</v>
      </c>
      <c r="V442" s="18">
        <f>IF($A442&gt;'1-Input'!$B$26,V441,V441-Q442*(1-P442))</f>
        <v>-9171.5095237477417</v>
      </c>
      <c r="W442" s="11">
        <f>IF($A442&gt;'1-Input'!$B$26,0,IF(AB441&lt;=0,0,MAX(0,(AB441-AC441)/AB441)))</f>
        <v>0.76039019869346169</v>
      </c>
      <c r="X442" s="18">
        <f>IF($A442&gt;'1-Input'!$B$26,0,(MAX(0,W396-IF($A442&gt;='1-Input'!$C$12,'1-Input'!$B$12,0))-MIN(MAX(AA441,0),MAX(0,W396-IF($A442&gt;='1-Input'!$C$12,'1-Input'!$B$12,0))))*(1/(1-'P-Parametri'!$B$6*W442))+MIN(MAX(0,AB441-(MAX(0,W396-IF($A442&gt;='1-Input'!$C$12,'1-Input'!$B$12,0))-MIN(MAX(AA441,0),MAX(0,W396-IF($A442&gt;='1-Input'!$C$12,'1-Input'!$B$12,0))))*(1/(1-'P-Parametri'!$B$6*W442))),MAX(0,0*W396-(AA441-MIN(MAX(AA441,0),MAX(0,W396-IF($A442&gt;='1-Input'!$C$12,'1-Input'!$B$12,0)))))*(1/(1-'P-Parametri'!$B$6*W442))))</f>
        <v>9643.2476445288648</v>
      </c>
      <c r="Y442" s="18">
        <f>IF($A442&gt;'1-Input'!$B$26,AA441,(AA441-MAX(0,W396-IF($A442&gt;='1-Input'!$C$12,'1-Input'!$B$12,0))+X442*(1-'P-Parametri'!$B$6*W442))*(1+'1-Input'!$B$27))</f>
        <v>0</v>
      </c>
      <c r="Z442" s="18">
        <f>IF($A442&gt;'1-Input'!$B$26,AB441,(AB441-X442)*(1+$C$4))</f>
        <v>10262.346290960613</v>
      </c>
      <c r="AA442" s="18">
        <f>IF($A442&gt;'1-Input'!$B$26,Y442,Y442-'P-Parametri'!$B$8*(Z442+Y442)+MIN(MAX(Z442,0),'P-Parametri'!$B$8*(Z442+Y442)))</f>
        <v>0</v>
      </c>
      <c r="AB442" s="18">
        <f>IF($A442&gt;'1-Input'!$B$26,Z442,Z442-MIN(MAX(Z442,0),'P-Parametri'!$B$8*(Z442+Y442)))</f>
        <v>10241.821598378692</v>
      </c>
      <c r="AC442" s="18">
        <f>IF($A442&gt;'1-Input'!$B$26,AC441,AC441-X442*(1-W442))</f>
        <v>2387.3385977824869</v>
      </c>
      <c r="AD442" s="11">
        <f>IF($A442&gt;'1-Input'!$B$26,0,IF(AI441&lt;=0,0,MAX(0,(AI441-AJ441)/AI441)))</f>
        <v>0.76039019869346203</v>
      </c>
      <c r="AE442" s="18">
        <f>IF($A442&gt;'1-Input'!$B$26,0,(MAX(0,AD396-IF($A442&gt;='1-Input'!$C$12,'1-Input'!$B$12,0))-MIN(MAX(AH441,0),MAX(0,AD396-IF($A442&gt;='1-Input'!$C$12,'1-Input'!$B$12,0))))*(1/(1-'P-Parametri'!$B$6*AD442))+MIN(MAX(0,AI441-(MAX(0,AD396-IF($A442&gt;='1-Input'!$C$12,'1-Input'!$B$12,0))-MIN(MAX(AH441,0),MAX(0,AD396-IF($A442&gt;='1-Input'!$C$12,'1-Input'!$B$12,0))))*(1/(1-'P-Parametri'!$B$6*AD442))),MAX(0,0*AD396-(AH441-MIN(MAX(AH441,0),MAX(0,AD396-IF($A442&gt;='1-Input'!$C$12,'1-Input'!$B$12,0)))))*(1/(1-'P-Parametri'!$B$6*AD442))))</f>
        <v>9651.7026834858716</v>
      </c>
      <c r="AF442" s="18">
        <f>IF($A442&gt;'1-Input'!$B$26,AH441,(AH441-MAX(0,AD396-IF($A442&gt;='1-Input'!$C$12,'1-Input'!$B$12,0))+AE442*(1-'P-Parametri'!$B$6*AD442))*(1+'1-Input'!$B$27))</f>
        <v>0</v>
      </c>
      <c r="AG442" s="18">
        <f>IF($A442&gt;'1-Input'!$B$26,AI441,(AI441-AE442)*(1+$C$4))</f>
        <v>9585.0019818225628</v>
      </c>
      <c r="AH442" s="18">
        <f>IF($A442&gt;'1-Input'!$B$26,AF442,AF442-'P-Parametri'!$B$8*(AG442+AF442)+MIN(MAX(AG442,0),'P-Parametri'!$B$8*(AG442+AF442)))</f>
        <v>0</v>
      </c>
      <c r="AI442" s="18">
        <f>IF($A442&gt;'1-Input'!$B$26,AG442,AG442-MIN(MAX(AG442,0),'P-Parametri'!$B$8*(AG442+AF442)))</f>
        <v>9565.8319778589175</v>
      </c>
      <c r="AJ442" s="18">
        <f>IF($A442&gt;'1-Input'!$B$26,AJ441,AJ441-AE442*(1-AD442))</f>
        <v>2229.7673984342491</v>
      </c>
      <c r="AK442" s="11">
        <f>IF($A442&gt;'1-Input'!$B$26,0,IF(AP441&lt;=0,0,MAX(0,(AP441-AQ441)/AP441)))</f>
        <v>0.76039019869346158</v>
      </c>
      <c r="AL442" s="18">
        <f>IF($A442&gt;'1-Input'!$B$26,0,(MAX(0,AK396-IF($A442&gt;='1-Input'!$C$12,'1-Input'!$B$12,0))-MIN(MAX(AO441,0),MAX(0,AK396-IF($A442&gt;='1-Input'!$C$12,'1-Input'!$B$12,0))))*(1/(1-'P-Parametri'!$B$6*AK442))+MIN(MAX(0,AP441-(MAX(0,AK396-IF($A442&gt;='1-Input'!$C$12,'1-Input'!$B$12,0))-MIN(MAX(AO441,0),MAX(0,AK396-IF($A442&gt;='1-Input'!$C$12,'1-Input'!$B$12,0))))*(1/(1-'P-Parametri'!$B$6*AK442))),MAX(0,0*AK396-(AO441-MIN(MAX(AO441,0),MAX(0,AK396-IF($A442&gt;='1-Input'!$C$12,'1-Input'!$B$12,0)))))*(1/(1-'P-Parametri'!$B$6*AK442))))</f>
        <v>9650.3897717180353</v>
      </c>
      <c r="AM442" s="18">
        <f>IF($A442&gt;'1-Input'!$B$26,AO441,(AO441-MAX(0,AK396-IF($A442&gt;='1-Input'!$C$12,'1-Input'!$B$12,0))+AL442*(1-'P-Parametri'!$B$6*AK442))*(1+'1-Input'!$B$27))</f>
        <v>-9.0622052084654565E-13</v>
      </c>
      <c r="AN442" s="18">
        <f>IF($A442&gt;'1-Input'!$B$26,AP441,(AP441-AL442)*(1+$C$4))</f>
        <v>9690.1810731143541</v>
      </c>
      <c r="AO442" s="18">
        <f>IF($A442&gt;'1-Input'!$B$26,AM442,AM442-'P-Parametri'!$B$8*(AN442+AM442)+MIN(MAX(AN442,0),'P-Parametri'!$B$8*(AN442+AM442)))</f>
        <v>-9.0594198809412774E-13</v>
      </c>
      <c r="AP442" s="18">
        <f>IF($A442&gt;'1-Input'!$B$26,AN442,AN442-MIN(MAX(AN442,0),'P-Parametri'!$B$8*(AN442+AM442)))</f>
        <v>9670.8007109681257</v>
      </c>
      <c r="AQ442" s="18">
        <f>IF($A442&gt;'1-Input'!$B$26,AQ441,AQ441-AL442*(1-AK442))</f>
        <v>2254.2353024789404</v>
      </c>
    </row>
    <row r="443" spans="1:43">
      <c r="A443" s="10">
        <f>45</f>
        <v>45</v>
      </c>
      <c r="B443" s="11">
        <f>IF($A443&gt;'1-Input'!$B$26,0,IF(G442&lt;=0,0,MAX(0,(G442-H442)/G442)))</f>
        <v>0.76690293080672178</v>
      </c>
      <c r="C443" s="18">
        <f>IF($A443&gt;'1-Input'!$B$26,0,(MAX(0,B396-IF($A443&gt;='1-Input'!$C$12,'1-Input'!$B$12,0))-MIN(MAX(F442,0),MAX(0,B396-IF($A443&gt;='1-Input'!$C$12,'1-Input'!$B$12,0))))*(1/(1-'P-Parametri'!$B$6*B443))+MIN(MAX(0,G442-(MAX(0,B396-IF($A443&gt;='1-Input'!$C$12,'1-Input'!$B$12,0))-MIN(MAX(F442,0),MAX(0,B396-IF($A443&gt;='1-Input'!$C$12,'1-Input'!$B$12,0))))*(1/(1-'P-Parametri'!$B$6*B443))),MAX(0,0*B396-(F442-MIN(MAX(F442,0),MAX(0,B396-IF($A443&gt;='1-Input'!$C$12,'1-Input'!$B$12,0)))))*(1/(1-'P-Parametri'!$B$6*B443))))</f>
        <v>6968.5471064751255</v>
      </c>
      <c r="D443" s="18">
        <f>IF($A443&gt;'1-Input'!$B$26,F442,(F442-MAX(0,B396-IF($A443&gt;='1-Input'!$C$12,'1-Input'!$B$12,0))+C443*(1-'P-Parametri'!$B$6*B443))*(1+'1-Input'!$B$27))</f>
        <v>-9.0622052084654565E-13</v>
      </c>
      <c r="E443" s="18">
        <f>IF($A443&gt;'1-Input'!$B$26,G442,(G442-C443)*(1+$C$4))</f>
        <v>224843.23401034696</v>
      </c>
      <c r="F443" s="18">
        <f>IF($A443&gt;'1-Input'!$B$26,D443,D443-'P-Parametri'!$B$8*(E443+D443)+MIN(MAX(E443,0),'P-Parametri'!$B$8*(E443+D443)))</f>
        <v>-9.0949470177292824E-13</v>
      </c>
      <c r="G443" s="18">
        <f>IF($A443&gt;'1-Input'!$B$26,E443,E443-MIN(MAX(E443,0),'P-Parametri'!$B$8*(E443+D443)))</f>
        <v>224393.54754232627</v>
      </c>
      <c r="H443" s="18">
        <f>IF($A443&gt;'1-Input'!$B$26,H442,H442-C443*(1-B443))</f>
        <v>50883.785316262431</v>
      </c>
      <c r="I443" s="11">
        <f>IF($A443&gt;'1-Input'!$B$26,0,IF(N442&lt;=0,0,MAX(0,(N442-O442)/N442)))</f>
        <v>0</v>
      </c>
      <c r="J443" s="18">
        <f>IF($A443&gt;'1-Input'!$B$26,0,(MAX(0,I396-IF($A443&gt;='1-Input'!$C$12,'1-Input'!$B$12,0))-MIN(MAX(M442,0),MAX(0,I396-IF($A443&gt;='1-Input'!$C$12,'1-Input'!$B$12,0))))*(1/(1-'P-Parametri'!$B$6*I443))+MIN(MAX(0,N442-(MAX(0,I396-IF($A443&gt;='1-Input'!$C$12,'1-Input'!$B$12,0))-MIN(MAX(M442,0),MAX(0,I396-IF($A443&gt;='1-Input'!$C$12,'1-Input'!$B$12,0))))*(1/(1-'P-Parametri'!$B$6*I443))),MAX(0,0*I396-(M442-MIN(MAX(M442,0),MAX(0,I396-IF($A443&gt;='1-Input'!$C$12,'1-Input'!$B$12,0)))))*(1/(1-'P-Parametri'!$B$6*I443))))</f>
        <v>10846.756992928691</v>
      </c>
      <c r="K443" s="18">
        <f>IF($A443&gt;'1-Input'!$B$26,M442,(M442-MAX(0,I396-IF($A443&gt;='1-Input'!$C$12,'1-Input'!$B$12,0))+J443*(1-'P-Parametri'!$B$6*I443))*(1+'1-Input'!$B$27))</f>
        <v>0</v>
      </c>
      <c r="L443" s="18">
        <f>IF($A443&gt;'1-Input'!$B$26,N442,(N442-J443)*(1+$C$4))</f>
        <v>-265800.83779382356</v>
      </c>
      <c r="M443" s="18">
        <f>IF($A443&gt;'1-Input'!$B$26,K443,K443-'P-Parametri'!$B$8*(L443+K443)+MIN(MAX(L443,0),'P-Parametri'!$B$8*(L443+K443)))</f>
        <v>0</v>
      </c>
      <c r="N443" s="18">
        <f>IF($A443&gt;'1-Input'!$B$26,L443,L443-MIN(MAX(L443,0),'P-Parametri'!$B$8*(L443+K443)))</f>
        <v>-265269.23611823592</v>
      </c>
      <c r="O443" s="18">
        <f>IF($A443&gt;'1-Input'!$B$26,O442,O442-J443*(1-I443))</f>
        <v>-197282.59933784173</v>
      </c>
      <c r="P443" s="11">
        <f>IF($A443&gt;'1-Input'!$B$26,0,IF(U442&lt;=0,0,MAX(0,(U442-V442)/U442)))</f>
        <v>0</v>
      </c>
      <c r="Q443" s="18">
        <f>IF($A443&gt;'1-Input'!$B$26,0,(MAX(0,P396-IF($A443&gt;='1-Input'!$C$12,'1-Input'!$B$12,0))-MIN(MAX(T442,0),MAX(0,P396-IF($A443&gt;='1-Input'!$C$12,'1-Input'!$B$12,0))))*(1/(1-'P-Parametri'!$B$6*P443))+MIN(MAX(0,U442-(MAX(0,P396-IF($A443&gt;='1-Input'!$C$12,'1-Input'!$B$12,0))-MIN(MAX(T442,0),MAX(0,P396-IF($A443&gt;='1-Input'!$C$12,'1-Input'!$B$12,0))))*(1/(1-'P-Parametri'!$B$6*P443))),MAX(0,0*P396-(T442-MIN(MAX(T442,0),MAX(0,P396-IF($A443&gt;='1-Input'!$C$12,'1-Input'!$B$12,0)))))*(1/(1-'P-Parametri'!$B$6*P443))))</f>
        <v>7993.0396042883986</v>
      </c>
      <c r="R443" s="18">
        <f>IF($A443&gt;'1-Input'!$B$26,T442,(T442-MAX(0,P396-IF($A443&gt;='1-Input'!$C$12,'1-Input'!$B$12,0))+Q443*(1-'P-Parametri'!$B$6*P443))*(1+'1-Input'!$B$27))</f>
        <v>0</v>
      </c>
      <c r="S443" s="18">
        <f>IF($A443&gt;'1-Input'!$B$26,U442,(U442-Q443)*(1+$C$4))</f>
        <v>-21903.062590837337</v>
      </c>
      <c r="T443" s="18">
        <f>IF($A443&gt;'1-Input'!$B$26,R443,R443-'P-Parametri'!$B$8*(S443+R443)+MIN(MAX(S443,0),'P-Parametri'!$B$8*(S443+R443)))</f>
        <v>0</v>
      </c>
      <c r="U443" s="18">
        <f>IF($A443&gt;'1-Input'!$B$26,S443,S443-MIN(MAX(S443,0),'P-Parametri'!$B$8*(S443+R443)))</f>
        <v>-21859.256465655661</v>
      </c>
      <c r="V443" s="18">
        <f>IF($A443&gt;'1-Input'!$B$26,V442,V442-Q443*(1-P443))</f>
        <v>-17164.549128036138</v>
      </c>
      <c r="W443" s="11">
        <f>IF($A443&gt;'1-Input'!$B$26,0,IF(AB442&lt;=0,0,MAX(0,(AB442-AC442)/AB442)))</f>
        <v>0.76690293080672201</v>
      </c>
      <c r="X443" s="18">
        <f>IF($A443&gt;'1-Input'!$B$26,0,(MAX(0,W396-IF($A443&gt;='1-Input'!$C$12,'1-Input'!$B$12,0))-MIN(MAX(AA442,0),MAX(0,W396-IF($A443&gt;='1-Input'!$C$12,'1-Input'!$B$12,0))))*(1/(1-'P-Parametri'!$B$6*W443))+MIN(MAX(0,AB442-(MAX(0,W396-IF($A443&gt;='1-Input'!$C$12,'1-Input'!$B$12,0))-MIN(MAX(AA442,0),MAX(0,W396-IF($A443&gt;='1-Input'!$C$12,'1-Input'!$B$12,0))))*(1/(1-'P-Parametri'!$B$6*W443))),MAX(0,0*W396-(AA442-MIN(MAX(AA442,0),MAX(0,W396-IF($A443&gt;='1-Input'!$C$12,'1-Input'!$B$12,0)))))*(1/(1-'P-Parametri'!$B$6*W443))))</f>
        <v>9663.6434779108185</v>
      </c>
      <c r="Y443" s="18">
        <f>IF($A443&gt;'1-Input'!$B$26,AA442,(AA442-MAX(0,W396-IF($A443&gt;='1-Input'!$C$12,'1-Input'!$B$12,0))+X443*(1-'P-Parametri'!$B$6*W443))*(1+'1-Input'!$B$27))</f>
        <v>0</v>
      </c>
      <c r="Z443" s="18">
        <f>IF($A443&gt;'1-Input'!$B$26,AB442,(AB442-X443)*(1+$C$4))</f>
        <v>595.52346408190988</v>
      </c>
      <c r="AA443" s="18">
        <f>IF($A443&gt;'1-Input'!$B$26,Y443,Y443-'P-Parametri'!$B$8*(Z443+Y443)+MIN(MAX(Z443,0),'P-Parametri'!$B$8*(Z443+Y443)))</f>
        <v>0</v>
      </c>
      <c r="AB443" s="18">
        <f>IF($A443&gt;'1-Input'!$B$26,Z443,Z443-MIN(MAX(Z443,0),'P-Parametri'!$B$8*(Z443+Y443)))</f>
        <v>594.33241715374606</v>
      </c>
      <c r="AC443" s="18">
        <f>IF($A443&gt;'1-Input'!$B$26,AC442,AC442-X443*(1-W443))</f>
        <v>134.77162535273919</v>
      </c>
      <c r="AD443" s="11">
        <f>IF($A443&gt;'1-Input'!$B$26,0,IF(AI442&lt;=0,0,MAX(0,(AI442-AJ442)/AI442)))</f>
        <v>0.76690293080672223</v>
      </c>
      <c r="AE443" s="18">
        <f>IF($A443&gt;'1-Input'!$B$26,0,(MAX(0,AD396-IF($A443&gt;='1-Input'!$C$12,'1-Input'!$B$12,0))-MIN(MAX(AH442,0),MAX(0,AD396-IF($A443&gt;='1-Input'!$C$12,'1-Input'!$B$12,0))))*(1/(1-'P-Parametri'!$B$6*AD443))+MIN(MAX(0,AI442-(MAX(0,AD396-IF($A443&gt;='1-Input'!$C$12,'1-Input'!$B$12,0))-MIN(MAX(AH442,0),MAX(0,AD396-IF($A443&gt;='1-Input'!$C$12,'1-Input'!$B$12,0))))*(1/(1-'P-Parametri'!$B$6*AD443))),MAX(0,0*AD396-(AH442-MIN(MAX(AH442,0),MAX(0,AD396-IF($A443&gt;='1-Input'!$C$12,'1-Input'!$B$12,0)))))*(1/(1-'P-Parametri'!$B$6*AD443))))</f>
        <v>9672.1163995949046</v>
      </c>
      <c r="AF443" s="18">
        <f>IF($A443&gt;'1-Input'!$B$26,AH442,(AH442-MAX(0,AD396-IF($A443&gt;='1-Input'!$C$12,'1-Input'!$B$12,0))+AE443*(1-'P-Parametri'!$B$6*AD443))*(1+'1-Input'!$B$27))</f>
        <v>0</v>
      </c>
      <c r="AG443" s="18">
        <f>IF($A443&gt;'1-Input'!$B$26,AI442,(AI442-AE443)*(1+$C$4))</f>
        <v>-109.47295438806667</v>
      </c>
      <c r="AH443" s="18">
        <f>IF($A443&gt;'1-Input'!$B$26,AF443,AF443-'P-Parametri'!$B$8*(AG443+AF443)+MIN(MAX(AG443,0),'P-Parametri'!$B$8*(AG443+AF443)))</f>
        <v>0</v>
      </c>
      <c r="AI443" s="18">
        <f>IF($A443&gt;'1-Input'!$B$26,AG443,AG443-MIN(MAX(AG443,0),'P-Parametri'!$B$8*(AG443+AF443)))</f>
        <v>-109.25400847929053</v>
      </c>
      <c r="AJ443" s="18">
        <f>IF($A443&gt;'1-Input'!$B$26,AJ442,AJ442-AE443*(1-AD443))</f>
        <v>-24.774587207561126</v>
      </c>
      <c r="AK443" s="11">
        <f>IF($A443&gt;'1-Input'!$B$26,0,IF(AP442&lt;=0,0,MAX(0,(AP442-AQ442)/AP442)))</f>
        <v>0.76690293080672178</v>
      </c>
      <c r="AL443" s="18">
        <f>IF($A443&gt;'1-Input'!$B$26,0,(MAX(0,AK396-IF($A443&gt;='1-Input'!$C$12,'1-Input'!$B$12,0))-MIN(MAX(AO442,0),MAX(0,AK396-IF($A443&gt;='1-Input'!$C$12,'1-Input'!$B$12,0))))*(1/(1-'P-Parametri'!$B$6*AK443))+MIN(MAX(0,AP442-(MAX(0,AK396-IF($A443&gt;='1-Input'!$C$12,'1-Input'!$B$12,0))-MIN(MAX(AO442,0),MAX(0,AK396-IF($A443&gt;='1-Input'!$C$12,'1-Input'!$B$12,0))))*(1/(1-'P-Parametri'!$B$6*AK443))),MAX(0,0*AK396-(AO442-MIN(MAX(AO442,0),MAX(0,AK396-IF($A443&gt;='1-Input'!$C$12,'1-Input'!$B$12,0)))))*(1/(1-'P-Parametri'!$B$6*AK443))))</f>
        <v>9670.8007109690388</v>
      </c>
      <c r="AM443" s="18">
        <f>IF($A443&gt;'1-Input'!$B$26,AO442,(AO442-MAX(0,AK396-IF($A443&gt;='1-Input'!$C$12,'1-Input'!$B$12,0))+AL443*(1-'P-Parametri'!$B$6*AK443))*(1+'1-Input'!$B$27))</f>
        <v>-1.8124410416930913E-12</v>
      </c>
      <c r="AN443" s="18">
        <f>IF($A443&gt;'1-Input'!$B$26,AP442,(AP442-AL443)*(1+$C$4))</f>
        <v>-9.4052666099742066E-10</v>
      </c>
      <c r="AO443" s="18">
        <f>IF($A443&gt;'1-Input'!$B$26,AM443,AM443-'P-Parametri'!$B$8*(AN443+AM443)+MIN(MAX(AN443,0),'P-Parametri'!$B$8*(AN443+AM443)))</f>
        <v>-1.8124410416930913E-12</v>
      </c>
      <c r="AP443" s="18">
        <f>IF($A443&gt;'1-Input'!$B$26,AN443,AN443-MIN(MAX(AN443,0),'P-Parametri'!$B$8*(AN443+AM443)))</f>
        <v>-9.3864198279334251E-10</v>
      </c>
      <c r="AQ443" s="18">
        <f>IF($A443&gt;'1-Input'!$B$26,AQ442,AQ442-AL443*(1-AK443))</f>
        <v>-2.1373125491663814E-10</v>
      </c>
    </row>
    <row r="444" spans="1:43">
      <c r="A444" s="10">
        <f>46</f>
        <v>46</v>
      </c>
      <c r="B444" s="11">
        <f>IF($A444&gt;'1-Input'!$B$26,0,IF(G443&lt;=0,0,MAX(0,(G443-H443)/G443)))</f>
        <v>0</v>
      </c>
      <c r="C444" s="18">
        <f>IF($A444&gt;'1-Input'!$B$26,0,(MAX(0,B396-IF($A444&gt;='1-Input'!$C$12,'1-Input'!$B$12,0))-MIN(MAX(F443,0),MAX(0,B396-IF($A444&gt;='1-Input'!$C$12,'1-Input'!$B$12,0))))*(1/(1-'P-Parametri'!$B$6*B444))+MIN(MAX(0,G443-(MAX(0,B396-IF($A444&gt;='1-Input'!$C$12,'1-Input'!$B$12,0))-MIN(MAX(F443,0),MAX(0,B396-IF($A444&gt;='1-Input'!$C$12,'1-Input'!$B$12,0))))*(1/(1-'P-Parametri'!$B$6*B444))),MAX(0,0*B396-(F443-MIN(MAX(F443,0),MAX(0,B396-IF($A444&gt;='1-Input'!$C$12,'1-Input'!$B$12,0)))))*(1/(1-'P-Parametri'!$B$6*B444))))</f>
        <v>0</v>
      </c>
      <c r="D444" s="18">
        <f>IF($A444&gt;'1-Input'!$B$26,F443,(F443-MAX(0,B396-IF($A444&gt;='1-Input'!$C$12,'1-Input'!$B$12,0))+C444*(1-'P-Parametri'!$B$6*B444))*(1+'1-Input'!$B$27))</f>
        <v>-9.0949470177292824E-13</v>
      </c>
      <c r="E444" s="18">
        <f>IF($A444&gt;'1-Input'!$B$26,G443,(G443-C444)*(1+$C$4))</f>
        <v>224393.54754232627</v>
      </c>
      <c r="F444" s="18">
        <f>IF($A444&gt;'1-Input'!$B$26,D444,D444-'P-Parametri'!$B$8*(E444+D444)+MIN(MAX(E444,0),'P-Parametri'!$B$8*(E444+D444)))</f>
        <v>-9.0949470177292824E-13</v>
      </c>
      <c r="G444" s="18">
        <f>IF($A444&gt;'1-Input'!$B$26,E444,E444-MIN(MAX(E444,0),'P-Parametri'!$B$8*(E444+D444)))</f>
        <v>224393.54754232627</v>
      </c>
      <c r="H444" s="18">
        <f>IF($A444&gt;'1-Input'!$B$26,H443,H443-C444*(1-B444))</f>
        <v>50883.785316262431</v>
      </c>
      <c r="I444" s="11">
        <f>IF($A444&gt;'1-Input'!$B$26,0,IF(N443&lt;=0,0,MAX(0,(N443-O443)/N443)))</f>
        <v>0</v>
      </c>
      <c r="J444" s="18">
        <f>IF($A444&gt;'1-Input'!$B$26,0,(MAX(0,I396-IF($A444&gt;='1-Input'!$C$12,'1-Input'!$B$12,0))-MIN(MAX(M443,0),MAX(0,I396-IF($A444&gt;='1-Input'!$C$12,'1-Input'!$B$12,0))))*(1/(1-'P-Parametri'!$B$6*I444))+MIN(MAX(0,N443-(MAX(0,I396-IF($A444&gt;='1-Input'!$C$12,'1-Input'!$B$12,0))-MIN(MAX(M443,0),MAX(0,I396-IF($A444&gt;='1-Input'!$C$12,'1-Input'!$B$12,0))))*(1/(1-'P-Parametri'!$B$6*I444))),MAX(0,0*I396-(M443-MIN(MAX(M443,0),MAX(0,I396-IF($A444&gt;='1-Input'!$C$12,'1-Input'!$B$12,0)))))*(1/(1-'P-Parametri'!$B$6*I444))))</f>
        <v>0</v>
      </c>
      <c r="K444" s="18">
        <f>IF($A444&gt;'1-Input'!$B$26,M443,(M443-MAX(0,I396-IF($A444&gt;='1-Input'!$C$12,'1-Input'!$B$12,0))+J444*(1-'P-Parametri'!$B$6*I444))*(1+'1-Input'!$B$27))</f>
        <v>0</v>
      </c>
      <c r="L444" s="18">
        <f>IF($A444&gt;'1-Input'!$B$26,N443,(N443-J444)*(1+$C$4))</f>
        <v>-265269.23611823592</v>
      </c>
      <c r="M444" s="18">
        <f>IF($A444&gt;'1-Input'!$B$26,K444,K444-'P-Parametri'!$B$8*(L444+K444)+MIN(MAX(L444,0),'P-Parametri'!$B$8*(L444+K444)))</f>
        <v>0</v>
      </c>
      <c r="N444" s="18">
        <f>IF($A444&gt;'1-Input'!$B$26,L444,L444-MIN(MAX(L444,0),'P-Parametri'!$B$8*(L444+K444)))</f>
        <v>-265269.23611823592</v>
      </c>
      <c r="O444" s="18">
        <f>IF($A444&gt;'1-Input'!$B$26,O443,O443-J444*(1-I444))</f>
        <v>-197282.59933784173</v>
      </c>
      <c r="P444" s="11">
        <f>IF($A444&gt;'1-Input'!$B$26,0,IF(U443&lt;=0,0,MAX(0,(U443-V443)/U443)))</f>
        <v>0</v>
      </c>
      <c r="Q444" s="18">
        <f>IF($A444&gt;'1-Input'!$B$26,0,(MAX(0,P396-IF($A444&gt;='1-Input'!$C$12,'1-Input'!$B$12,0))-MIN(MAX(T443,0),MAX(0,P396-IF($A444&gt;='1-Input'!$C$12,'1-Input'!$B$12,0))))*(1/(1-'P-Parametri'!$B$6*P444))+MIN(MAX(0,U443-(MAX(0,P396-IF($A444&gt;='1-Input'!$C$12,'1-Input'!$B$12,0))-MIN(MAX(T443,0),MAX(0,P396-IF($A444&gt;='1-Input'!$C$12,'1-Input'!$B$12,0))))*(1/(1-'P-Parametri'!$B$6*P444))),MAX(0,0*P396-(T443-MIN(MAX(T443,0),MAX(0,P396-IF($A444&gt;='1-Input'!$C$12,'1-Input'!$B$12,0)))))*(1/(1-'P-Parametri'!$B$6*P444))))</f>
        <v>0</v>
      </c>
      <c r="R444" s="18">
        <f>IF($A444&gt;'1-Input'!$B$26,T443,(T443-MAX(0,P396-IF($A444&gt;='1-Input'!$C$12,'1-Input'!$B$12,0))+Q444*(1-'P-Parametri'!$B$6*P444))*(1+'1-Input'!$B$27))</f>
        <v>0</v>
      </c>
      <c r="S444" s="18">
        <f>IF($A444&gt;'1-Input'!$B$26,U443,(U443-Q444)*(1+$C$4))</f>
        <v>-21859.256465655661</v>
      </c>
      <c r="T444" s="18">
        <f>IF($A444&gt;'1-Input'!$B$26,R444,R444-'P-Parametri'!$B$8*(S444+R444)+MIN(MAX(S444,0),'P-Parametri'!$B$8*(S444+R444)))</f>
        <v>0</v>
      </c>
      <c r="U444" s="18">
        <f>IF($A444&gt;'1-Input'!$B$26,S444,S444-MIN(MAX(S444,0),'P-Parametri'!$B$8*(S444+R444)))</f>
        <v>-21859.256465655661</v>
      </c>
      <c r="V444" s="18">
        <f>IF($A444&gt;'1-Input'!$B$26,V443,V443-Q444*(1-P444))</f>
        <v>-17164.549128036138</v>
      </c>
      <c r="W444" s="11">
        <f>IF($A444&gt;'1-Input'!$B$26,0,IF(AB443&lt;=0,0,MAX(0,(AB443-AC443)/AB443)))</f>
        <v>0</v>
      </c>
      <c r="X444" s="18">
        <f>IF($A444&gt;'1-Input'!$B$26,0,(MAX(0,W396-IF($A444&gt;='1-Input'!$C$12,'1-Input'!$B$12,0))-MIN(MAX(AA443,0),MAX(0,W396-IF($A444&gt;='1-Input'!$C$12,'1-Input'!$B$12,0))))*(1/(1-'P-Parametri'!$B$6*W444))+MIN(MAX(0,AB443-(MAX(0,W396-IF($A444&gt;='1-Input'!$C$12,'1-Input'!$B$12,0))-MIN(MAX(AA443,0),MAX(0,W396-IF($A444&gt;='1-Input'!$C$12,'1-Input'!$B$12,0))))*(1/(1-'P-Parametri'!$B$6*W444))),MAX(0,0*W396-(AA443-MIN(MAX(AA443,0),MAX(0,W396-IF($A444&gt;='1-Input'!$C$12,'1-Input'!$B$12,0)))))*(1/(1-'P-Parametri'!$B$6*W444))))</f>
        <v>0</v>
      </c>
      <c r="Y444" s="18">
        <f>IF($A444&gt;'1-Input'!$B$26,AA443,(AA443-MAX(0,W396-IF($A444&gt;='1-Input'!$C$12,'1-Input'!$B$12,0))+X444*(1-'P-Parametri'!$B$6*W444))*(1+'1-Input'!$B$27))</f>
        <v>0</v>
      </c>
      <c r="Z444" s="18">
        <f>IF($A444&gt;'1-Input'!$B$26,AB443,(AB443-X444)*(1+$C$4))</f>
        <v>594.33241715374606</v>
      </c>
      <c r="AA444" s="18">
        <f>IF($A444&gt;'1-Input'!$B$26,Y444,Y444-'P-Parametri'!$B$8*(Z444+Y444)+MIN(MAX(Z444,0),'P-Parametri'!$B$8*(Z444+Y444)))</f>
        <v>0</v>
      </c>
      <c r="AB444" s="18">
        <f>IF($A444&gt;'1-Input'!$B$26,Z444,Z444-MIN(MAX(Z444,0),'P-Parametri'!$B$8*(Z444+Y444)))</f>
        <v>594.33241715374606</v>
      </c>
      <c r="AC444" s="18">
        <f>IF($A444&gt;'1-Input'!$B$26,AC443,AC443-X444*(1-W444))</f>
        <v>134.77162535273919</v>
      </c>
      <c r="AD444" s="11">
        <f>IF($A444&gt;'1-Input'!$B$26,0,IF(AI443&lt;=0,0,MAX(0,(AI443-AJ443)/AI443)))</f>
        <v>0</v>
      </c>
      <c r="AE444" s="18">
        <f>IF($A444&gt;'1-Input'!$B$26,0,(MAX(0,AD396-IF($A444&gt;='1-Input'!$C$12,'1-Input'!$B$12,0))-MIN(MAX(AH443,0),MAX(0,AD396-IF($A444&gt;='1-Input'!$C$12,'1-Input'!$B$12,0))))*(1/(1-'P-Parametri'!$B$6*AD444))+MIN(MAX(0,AI443-(MAX(0,AD396-IF($A444&gt;='1-Input'!$C$12,'1-Input'!$B$12,0))-MIN(MAX(AH443,0),MAX(0,AD396-IF($A444&gt;='1-Input'!$C$12,'1-Input'!$B$12,0))))*(1/(1-'P-Parametri'!$B$6*AD444))),MAX(0,0*AD396-(AH443-MIN(MAX(AH443,0),MAX(0,AD396-IF($A444&gt;='1-Input'!$C$12,'1-Input'!$B$12,0)))))*(1/(1-'P-Parametri'!$B$6*AD444))))</f>
        <v>0</v>
      </c>
      <c r="AF444" s="18">
        <f>IF($A444&gt;'1-Input'!$B$26,AH443,(AH443-MAX(0,AD396-IF($A444&gt;='1-Input'!$C$12,'1-Input'!$B$12,0))+AE444*(1-'P-Parametri'!$B$6*AD444))*(1+'1-Input'!$B$27))</f>
        <v>0</v>
      </c>
      <c r="AG444" s="18">
        <f>IF($A444&gt;'1-Input'!$B$26,AI443,(AI443-AE444)*(1+$C$4))</f>
        <v>-109.25400847929053</v>
      </c>
      <c r="AH444" s="18">
        <f>IF($A444&gt;'1-Input'!$B$26,AF444,AF444-'P-Parametri'!$B$8*(AG444+AF444)+MIN(MAX(AG444,0),'P-Parametri'!$B$8*(AG444+AF444)))</f>
        <v>0</v>
      </c>
      <c r="AI444" s="18">
        <f>IF($A444&gt;'1-Input'!$B$26,AG444,AG444-MIN(MAX(AG444,0),'P-Parametri'!$B$8*(AG444+AF444)))</f>
        <v>-109.25400847929053</v>
      </c>
      <c r="AJ444" s="18">
        <f>IF($A444&gt;'1-Input'!$B$26,AJ443,AJ443-AE444*(1-AD444))</f>
        <v>-24.774587207561126</v>
      </c>
      <c r="AK444" s="11">
        <f>IF($A444&gt;'1-Input'!$B$26,0,IF(AP443&lt;=0,0,MAX(0,(AP443-AQ443)/AP443)))</f>
        <v>0</v>
      </c>
      <c r="AL444" s="18">
        <f>IF($A444&gt;'1-Input'!$B$26,0,(MAX(0,AK396-IF($A444&gt;='1-Input'!$C$12,'1-Input'!$B$12,0))-MIN(MAX(AO443,0),MAX(0,AK396-IF($A444&gt;='1-Input'!$C$12,'1-Input'!$B$12,0))))*(1/(1-'P-Parametri'!$B$6*AK444))+MIN(MAX(0,AP443-(MAX(0,AK396-IF($A444&gt;='1-Input'!$C$12,'1-Input'!$B$12,0))-MIN(MAX(AO443,0),MAX(0,AK396-IF($A444&gt;='1-Input'!$C$12,'1-Input'!$B$12,0))))*(1/(1-'P-Parametri'!$B$6*AK444))),MAX(0,0*AK396-(AO443-MIN(MAX(AO443,0),MAX(0,AK396-IF($A444&gt;='1-Input'!$C$12,'1-Input'!$B$12,0)))))*(1/(1-'P-Parametri'!$B$6*AK444))))</f>
        <v>0</v>
      </c>
      <c r="AM444" s="18">
        <f>IF($A444&gt;'1-Input'!$B$26,AO443,(AO443-MAX(0,AK396-IF($A444&gt;='1-Input'!$C$12,'1-Input'!$B$12,0))+AL444*(1-'P-Parametri'!$B$6*AK444))*(1+'1-Input'!$B$27))</f>
        <v>-1.8124410416930913E-12</v>
      </c>
      <c r="AN444" s="18">
        <f>IF($A444&gt;'1-Input'!$B$26,AP443,(AP443-AL444)*(1+$C$4))</f>
        <v>-9.3864198279334251E-10</v>
      </c>
      <c r="AO444" s="18">
        <f>IF($A444&gt;'1-Input'!$B$26,AM444,AM444-'P-Parametri'!$B$8*(AN444+AM444)+MIN(MAX(AN444,0),'P-Parametri'!$B$8*(AN444+AM444)))</f>
        <v>-1.8124410416930913E-12</v>
      </c>
      <c r="AP444" s="18">
        <f>IF($A444&gt;'1-Input'!$B$26,AN444,AN444-MIN(MAX(AN444,0),'P-Parametri'!$B$8*(AN444+AM444)))</f>
        <v>-9.3864198279334251E-10</v>
      </c>
      <c r="AQ444" s="18">
        <f>IF($A444&gt;'1-Input'!$B$26,AQ443,AQ443-AL444*(1-AK444))</f>
        <v>-2.1373125491663814E-10</v>
      </c>
    </row>
    <row r="445" spans="1:43">
      <c r="A445" s="10">
        <f>47</f>
        <v>47</v>
      </c>
      <c r="B445" s="11">
        <f>IF($A445&gt;'1-Input'!$B$26,0,IF(G444&lt;=0,0,MAX(0,(G444-H444)/G444)))</f>
        <v>0</v>
      </c>
      <c r="C445" s="18">
        <f>IF($A445&gt;'1-Input'!$B$26,0,(MAX(0,B396-IF($A445&gt;='1-Input'!$C$12,'1-Input'!$B$12,0))-MIN(MAX(F444,0),MAX(0,B396-IF($A445&gt;='1-Input'!$C$12,'1-Input'!$B$12,0))))*(1/(1-'P-Parametri'!$B$6*B445))+MIN(MAX(0,G444-(MAX(0,B396-IF($A445&gt;='1-Input'!$C$12,'1-Input'!$B$12,0))-MIN(MAX(F444,0),MAX(0,B396-IF($A445&gt;='1-Input'!$C$12,'1-Input'!$B$12,0))))*(1/(1-'P-Parametri'!$B$6*B445))),MAX(0,0*B396-(F444-MIN(MAX(F444,0),MAX(0,B396-IF($A445&gt;='1-Input'!$C$12,'1-Input'!$B$12,0)))))*(1/(1-'P-Parametri'!$B$6*B445))))</f>
        <v>0</v>
      </c>
      <c r="D445" s="18">
        <f>IF($A445&gt;'1-Input'!$B$26,F444,(F444-MAX(0,B396-IF($A445&gt;='1-Input'!$C$12,'1-Input'!$B$12,0))+C445*(1-'P-Parametri'!$B$6*B445))*(1+'1-Input'!$B$27))</f>
        <v>-9.0949470177292824E-13</v>
      </c>
      <c r="E445" s="18">
        <f>IF($A445&gt;'1-Input'!$B$26,G444,(G444-C445)*(1+$C$4))</f>
        <v>224393.54754232627</v>
      </c>
      <c r="F445" s="18">
        <f>IF($A445&gt;'1-Input'!$B$26,D445,D445-'P-Parametri'!$B$8*(E445+D445)+MIN(MAX(E445,0),'P-Parametri'!$B$8*(E445+D445)))</f>
        <v>-9.0949470177292824E-13</v>
      </c>
      <c r="G445" s="18">
        <f>IF($A445&gt;'1-Input'!$B$26,E445,E445-MIN(MAX(E445,0),'P-Parametri'!$B$8*(E445+D445)))</f>
        <v>224393.54754232627</v>
      </c>
      <c r="H445" s="18">
        <f>IF($A445&gt;'1-Input'!$B$26,H444,H444-C445*(1-B445))</f>
        <v>50883.785316262431</v>
      </c>
      <c r="I445" s="11">
        <f>IF($A445&gt;'1-Input'!$B$26,0,IF(N444&lt;=0,0,MAX(0,(N444-O444)/N444)))</f>
        <v>0</v>
      </c>
      <c r="J445" s="18">
        <f>IF($A445&gt;'1-Input'!$B$26,0,(MAX(0,I396-IF($A445&gt;='1-Input'!$C$12,'1-Input'!$B$12,0))-MIN(MAX(M444,0),MAX(0,I396-IF($A445&gt;='1-Input'!$C$12,'1-Input'!$B$12,0))))*(1/(1-'P-Parametri'!$B$6*I445))+MIN(MAX(0,N444-(MAX(0,I396-IF($A445&gt;='1-Input'!$C$12,'1-Input'!$B$12,0))-MIN(MAX(M444,0),MAX(0,I396-IF($A445&gt;='1-Input'!$C$12,'1-Input'!$B$12,0))))*(1/(1-'P-Parametri'!$B$6*I445))),MAX(0,0*I396-(M444-MIN(MAX(M444,0),MAX(0,I396-IF($A445&gt;='1-Input'!$C$12,'1-Input'!$B$12,0)))))*(1/(1-'P-Parametri'!$B$6*I445))))</f>
        <v>0</v>
      </c>
      <c r="K445" s="18">
        <f>IF($A445&gt;'1-Input'!$B$26,M444,(M444-MAX(0,I396-IF($A445&gt;='1-Input'!$C$12,'1-Input'!$B$12,0))+J445*(1-'P-Parametri'!$B$6*I445))*(1+'1-Input'!$B$27))</f>
        <v>0</v>
      </c>
      <c r="L445" s="18">
        <f>IF($A445&gt;'1-Input'!$B$26,N444,(N444-J445)*(1+$C$4))</f>
        <v>-265269.23611823592</v>
      </c>
      <c r="M445" s="18">
        <f>IF($A445&gt;'1-Input'!$B$26,K445,K445-'P-Parametri'!$B$8*(L445+K445)+MIN(MAX(L445,0),'P-Parametri'!$B$8*(L445+K445)))</f>
        <v>0</v>
      </c>
      <c r="N445" s="18">
        <f>IF($A445&gt;'1-Input'!$B$26,L445,L445-MIN(MAX(L445,0),'P-Parametri'!$B$8*(L445+K445)))</f>
        <v>-265269.23611823592</v>
      </c>
      <c r="O445" s="18">
        <f>IF($A445&gt;'1-Input'!$B$26,O444,O444-J445*(1-I445))</f>
        <v>-197282.59933784173</v>
      </c>
      <c r="P445" s="11">
        <f>IF($A445&gt;'1-Input'!$B$26,0,IF(U444&lt;=0,0,MAX(0,(U444-V444)/U444)))</f>
        <v>0</v>
      </c>
      <c r="Q445" s="18">
        <f>IF($A445&gt;'1-Input'!$B$26,0,(MAX(0,P396-IF($A445&gt;='1-Input'!$C$12,'1-Input'!$B$12,0))-MIN(MAX(T444,0),MAX(0,P396-IF($A445&gt;='1-Input'!$C$12,'1-Input'!$B$12,0))))*(1/(1-'P-Parametri'!$B$6*P445))+MIN(MAX(0,U444-(MAX(0,P396-IF($A445&gt;='1-Input'!$C$12,'1-Input'!$B$12,0))-MIN(MAX(T444,0),MAX(0,P396-IF($A445&gt;='1-Input'!$C$12,'1-Input'!$B$12,0))))*(1/(1-'P-Parametri'!$B$6*P445))),MAX(0,0*P396-(T444-MIN(MAX(T444,0),MAX(0,P396-IF($A445&gt;='1-Input'!$C$12,'1-Input'!$B$12,0)))))*(1/(1-'P-Parametri'!$B$6*P445))))</f>
        <v>0</v>
      </c>
      <c r="R445" s="18">
        <f>IF($A445&gt;'1-Input'!$B$26,T444,(T444-MAX(0,P396-IF($A445&gt;='1-Input'!$C$12,'1-Input'!$B$12,0))+Q445*(1-'P-Parametri'!$B$6*P445))*(1+'1-Input'!$B$27))</f>
        <v>0</v>
      </c>
      <c r="S445" s="18">
        <f>IF($A445&gt;'1-Input'!$B$26,U444,(U444-Q445)*(1+$C$4))</f>
        <v>-21859.256465655661</v>
      </c>
      <c r="T445" s="18">
        <f>IF($A445&gt;'1-Input'!$B$26,R445,R445-'P-Parametri'!$B$8*(S445+R445)+MIN(MAX(S445,0),'P-Parametri'!$B$8*(S445+R445)))</f>
        <v>0</v>
      </c>
      <c r="U445" s="18">
        <f>IF($A445&gt;'1-Input'!$B$26,S445,S445-MIN(MAX(S445,0),'P-Parametri'!$B$8*(S445+R445)))</f>
        <v>-21859.256465655661</v>
      </c>
      <c r="V445" s="18">
        <f>IF($A445&gt;'1-Input'!$B$26,V444,V444-Q445*(1-P445))</f>
        <v>-17164.549128036138</v>
      </c>
      <c r="W445" s="11">
        <f>IF($A445&gt;'1-Input'!$B$26,0,IF(AB444&lt;=0,0,MAX(0,(AB444-AC444)/AB444)))</f>
        <v>0</v>
      </c>
      <c r="X445" s="18">
        <f>IF($A445&gt;'1-Input'!$B$26,0,(MAX(0,W396-IF($A445&gt;='1-Input'!$C$12,'1-Input'!$B$12,0))-MIN(MAX(AA444,0),MAX(0,W396-IF($A445&gt;='1-Input'!$C$12,'1-Input'!$B$12,0))))*(1/(1-'P-Parametri'!$B$6*W445))+MIN(MAX(0,AB444-(MAX(0,W396-IF($A445&gt;='1-Input'!$C$12,'1-Input'!$B$12,0))-MIN(MAX(AA444,0),MAX(0,W396-IF($A445&gt;='1-Input'!$C$12,'1-Input'!$B$12,0))))*(1/(1-'P-Parametri'!$B$6*W445))),MAX(0,0*W396-(AA444-MIN(MAX(AA444,0),MAX(0,W396-IF($A445&gt;='1-Input'!$C$12,'1-Input'!$B$12,0)))))*(1/(1-'P-Parametri'!$B$6*W445))))</f>
        <v>0</v>
      </c>
      <c r="Y445" s="18">
        <f>IF($A445&gt;'1-Input'!$B$26,AA444,(AA444-MAX(0,W396-IF($A445&gt;='1-Input'!$C$12,'1-Input'!$B$12,0))+X445*(1-'P-Parametri'!$B$6*W445))*(1+'1-Input'!$B$27))</f>
        <v>0</v>
      </c>
      <c r="Z445" s="18">
        <f>IF($A445&gt;'1-Input'!$B$26,AB444,(AB444-X445)*(1+$C$4))</f>
        <v>594.33241715374606</v>
      </c>
      <c r="AA445" s="18">
        <f>IF($A445&gt;'1-Input'!$B$26,Y445,Y445-'P-Parametri'!$B$8*(Z445+Y445)+MIN(MAX(Z445,0),'P-Parametri'!$B$8*(Z445+Y445)))</f>
        <v>0</v>
      </c>
      <c r="AB445" s="18">
        <f>IF($A445&gt;'1-Input'!$B$26,Z445,Z445-MIN(MAX(Z445,0),'P-Parametri'!$B$8*(Z445+Y445)))</f>
        <v>594.33241715374606</v>
      </c>
      <c r="AC445" s="18">
        <f>IF($A445&gt;'1-Input'!$B$26,AC444,AC444-X445*(1-W445))</f>
        <v>134.77162535273919</v>
      </c>
      <c r="AD445" s="11">
        <f>IF($A445&gt;'1-Input'!$B$26,0,IF(AI444&lt;=0,0,MAX(0,(AI444-AJ444)/AI444)))</f>
        <v>0</v>
      </c>
      <c r="AE445" s="18">
        <f>IF($A445&gt;'1-Input'!$B$26,0,(MAX(0,AD396-IF($A445&gt;='1-Input'!$C$12,'1-Input'!$B$12,0))-MIN(MAX(AH444,0),MAX(0,AD396-IF($A445&gt;='1-Input'!$C$12,'1-Input'!$B$12,0))))*(1/(1-'P-Parametri'!$B$6*AD445))+MIN(MAX(0,AI444-(MAX(0,AD396-IF($A445&gt;='1-Input'!$C$12,'1-Input'!$B$12,0))-MIN(MAX(AH444,0),MAX(0,AD396-IF($A445&gt;='1-Input'!$C$12,'1-Input'!$B$12,0))))*(1/(1-'P-Parametri'!$B$6*AD445))),MAX(0,0*AD396-(AH444-MIN(MAX(AH444,0),MAX(0,AD396-IF($A445&gt;='1-Input'!$C$12,'1-Input'!$B$12,0)))))*(1/(1-'P-Parametri'!$B$6*AD445))))</f>
        <v>0</v>
      </c>
      <c r="AF445" s="18">
        <f>IF($A445&gt;'1-Input'!$B$26,AH444,(AH444-MAX(0,AD396-IF($A445&gt;='1-Input'!$C$12,'1-Input'!$B$12,0))+AE445*(1-'P-Parametri'!$B$6*AD445))*(1+'1-Input'!$B$27))</f>
        <v>0</v>
      </c>
      <c r="AG445" s="18">
        <f>IF($A445&gt;'1-Input'!$B$26,AI444,(AI444-AE445)*(1+$C$4))</f>
        <v>-109.25400847929053</v>
      </c>
      <c r="AH445" s="18">
        <f>IF($A445&gt;'1-Input'!$B$26,AF445,AF445-'P-Parametri'!$B$8*(AG445+AF445)+MIN(MAX(AG445,0),'P-Parametri'!$B$8*(AG445+AF445)))</f>
        <v>0</v>
      </c>
      <c r="AI445" s="18">
        <f>IF($A445&gt;'1-Input'!$B$26,AG445,AG445-MIN(MAX(AG445,0),'P-Parametri'!$B$8*(AG445+AF445)))</f>
        <v>-109.25400847929053</v>
      </c>
      <c r="AJ445" s="18">
        <f>IF($A445&gt;'1-Input'!$B$26,AJ444,AJ444-AE445*(1-AD445))</f>
        <v>-24.774587207561126</v>
      </c>
      <c r="AK445" s="11">
        <f>IF($A445&gt;'1-Input'!$B$26,0,IF(AP444&lt;=0,0,MAX(0,(AP444-AQ444)/AP444)))</f>
        <v>0</v>
      </c>
      <c r="AL445" s="18">
        <f>IF($A445&gt;'1-Input'!$B$26,0,(MAX(0,AK396-IF($A445&gt;='1-Input'!$C$12,'1-Input'!$B$12,0))-MIN(MAX(AO444,0),MAX(0,AK396-IF($A445&gt;='1-Input'!$C$12,'1-Input'!$B$12,0))))*(1/(1-'P-Parametri'!$B$6*AK445))+MIN(MAX(0,AP444-(MAX(0,AK396-IF($A445&gt;='1-Input'!$C$12,'1-Input'!$B$12,0))-MIN(MAX(AO444,0),MAX(0,AK396-IF($A445&gt;='1-Input'!$C$12,'1-Input'!$B$12,0))))*(1/(1-'P-Parametri'!$B$6*AK445))),MAX(0,0*AK396-(AO444-MIN(MAX(AO444,0),MAX(0,AK396-IF($A445&gt;='1-Input'!$C$12,'1-Input'!$B$12,0)))))*(1/(1-'P-Parametri'!$B$6*AK445))))</f>
        <v>0</v>
      </c>
      <c r="AM445" s="18">
        <f>IF($A445&gt;'1-Input'!$B$26,AO444,(AO444-MAX(0,AK396-IF($A445&gt;='1-Input'!$C$12,'1-Input'!$B$12,0))+AL445*(1-'P-Parametri'!$B$6*AK445))*(1+'1-Input'!$B$27))</f>
        <v>-1.8124410416930913E-12</v>
      </c>
      <c r="AN445" s="18">
        <f>IF($A445&gt;'1-Input'!$B$26,AP444,(AP444-AL445)*(1+$C$4))</f>
        <v>-9.3864198279334251E-10</v>
      </c>
      <c r="AO445" s="18">
        <f>IF($A445&gt;'1-Input'!$B$26,AM445,AM445-'P-Parametri'!$B$8*(AN445+AM445)+MIN(MAX(AN445,0),'P-Parametri'!$B$8*(AN445+AM445)))</f>
        <v>-1.8124410416930913E-12</v>
      </c>
      <c r="AP445" s="18">
        <f>IF($A445&gt;'1-Input'!$B$26,AN445,AN445-MIN(MAX(AN445,0),'P-Parametri'!$B$8*(AN445+AM445)))</f>
        <v>-9.3864198279334251E-10</v>
      </c>
      <c r="AQ445" s="18">
        <f>IF($A445&gt;'1-Input'!$B$26,AQ444,AQ444-AL445*(1-AK445))</f>
        <v>-2.1373125491663814E-10</v>
      </c>
    </row>
    <row r="446" spans="1:43">
      <c r="A446" s="10">
        <f>48</f>
        <v>48</v>
      </c>
      <c r="B446" s="11">
        <f>IF($A446&gt;'1-Input'!$B$26,0,IF(G445&lt;=0,0,MAX(0,(G445-H445)/G445)))</f>
        <v>0</v>
      </c>
      <c r="C446" s="18">
        <f>IF($A446&gt;'1-Input'!$B$26,0,(MAX(0,B396-IF($A446&gt;='1-Input'!$C$12,'1-Input'!$B$12,0))-MIN(MAX(F445,0),MAX(0,B396-IF($A446&gt;='1-Input'!$C$12,'1-Input'!$B$12,0))))*(1/(1-'P-Parametri'!$B$6*B446))+MIN(MAX(0,G445-(MAX(0,B396-IF($A446&gt;='1-Input'!$C$12,'1-Input'!$B$12,0))-MIN(MAX(F445,0),MAX(0,B396-IF($A446&gt;='1-Input'!$C$12,'1-Input'!$B$12,0))))*(1/(1-'P-Parametri'!$B$6*B446))),MAX(0,0*B396-(F445-MIN(MAX(F445,0),MAX(0,B396-IF($A446&gt;='1-Input'!$C$12,'1-Input'!$B$12,0)))))*(1/(1-'P-Parametri'!$B$6*B446))))</f>
        <v>0</v>
      </c>
      <c r="D446" s="18">
        <f>IF($A446&gt;'1-Input'!$B$26,F445,(F445-MAX(0,B396-IF($A446&gt;='1-Input'!$C$12,'1-Input'!$B$12,0))+C446*(1-'P-Parametri'!$B$6*B446))*(1+'1-Input'!$B$27))</f>
        <v>-9.0949470177292824E-13</v>
      </c>
      <c r="E446" s="18">
        <f>IF($A446&gt;'1-Input'!$B$26,G445,(G445-C446)*(1+$C$4))</f>
        <v>224393.54754232627</v>
      </c>
      <c r="F446" s="18">
        <f>IF($A446&gt;'1-Input'!$B$26,D446,D446-'P-Parametri'!$B$8*(E446+D446)+MIN(MAX(E446,0),'P-Parametri'!$B$8*(E446+D446)))</f>
        <v>-9.0949470177292824E-13</v>
      </c>
      <c r="G446" s="18">
        <f>IF($A446&gt;'1-Input'!$B$26,E446,E446-MIN(MAX(E446,0),'P-Parametri'!$B$8*(E446+D446)))</f>
        <v>224393.54754232627</v>
      </c>
      <c r="H446" s="18">
        <f>IF($A446&gt;'1-Input'!$B$26,H445,H445-C446*(1-B446))</f>
        <v>50883.785316262431</v>
      </c>
      <c r="I446" s="11">
        <f>IF($A446&gt;'1-Input'!$B$26,0,IF(N445&lt;=0,0,MAX(0,(N445-O445)/N445)))</f>
        <v>0</v>
      </c>
      <c r="J446" s="18">
        <f>IF($A446&gt;'1-Input'!$B$26,0,(MAX(0,I396-IF($A446&gt;='1-Input'!$C$12,'1-Input'!$B$12,0))-MIN(MAX(M445,0),MAX(0,I396-IF($A446&gt;='1-Input'!$C$12,'1-Input'!$B$12,0))))*(1/(1-'P-Parametri'!$B$6*I446))+MIN(MAX(0,N445-(MAX(0,I396-IF($A446&gt;='1-Input'!$C$12,'1-Input'!$B$12,0))-MIN(MAX(M445,0),MAX(0,I396-IF($A446&gt;='1-Input'!$C$12,'1-Input'!$B$12,0))))*(1/(1-'P-Parametri'!$B$6*I446))),MAX(0,0*I396-(M445-MIN(MAX(M445,0),MAX(0,I396-IF($A446&gt;='1-Input'!$C$12,'1-Input'!$B$12,0)))))*(1/(1-'P-Parametri'!$B$6*I446))))</f>
        <v>0</v>
      </c>
      <c r="K446" s="18">
        <f>IF($A446&gt;'1-Input'!$B$26,M445,(M445-MAX(0,I396-IF($A446&gt;='1-Input'!$C$12,'1-Input'!$B$12,0))+J446*(1-'P-Parametri'!$B$6*I446))*(1+'1-Input'!$B$27))</f>
        <v>0</v>
      </c>
      <c r="L446" s="18">
        <f>IF($A446&gt;'1-Input'!$B$26,N445,(N445-J446)*(1+$C$4))</f>
        <v>-265269.23611823592</v>
      </c>
      <c r="M446" s="18">
        <f>IF($A446&gt;'1-Input'!$B$26,K446,K446-'P-Parametri'!$B$8*(L446+K446)+MIN(MAX(L446,0),'P-Parametri'!$B$8*(L446+K446)))</f>
        <v>0</v>
      </c>
      <c r="N446" s="18">
        <f>IF($A446&gt;'1-Input'!$B$26,L446,L446-MIN(MAX(L446,0),'P-Parametri'!$B$8*(L446+K446)))</f>
        <v>-265269.23611823592</v>
      </c>
      <c r="O446" s="18">
        <f>IF($A446&gt;'1-Input'!$B$26,O445,O445-J446*(1-I446))</f>
        <v>-197282.59933784173</v>
      </c>
      <c r="P446" s="11">
        <f>IF($A446&gt;'1-Input'!$B$26,0,IF(U445&lt;=0,0,MAX(0,(U445-V445)/U445)))</f>
        <v>0</v>
      </c>
      <c r="Q446" s="18">
        <f>IF($A446&gt;'1-Input'!$B$26,0,(MAX(0,P396-IF($A446&gt;='1-Input'!$C$12,'1-Input'!$B$12,0))-MIN(MAX(T445,0),MAX(0,P396-IF($A446&gt;='1-Input'!$C$12,'1-Input'!$B$12,0))))*(1/(1-'P-Parametri'!$B$6*P446))+MIN(MAX(0,U445-(MAX(0,P396-IF($A446&gt;='1-Input'!$C$12,'1-Input'!$B$12,0))-MIN(MAX(T445,0),MAX(0,P396-IF($A446&gt;='1-Input'!$C$12,'1-Input'!$B$12,0))))*(1/(1-'P-Parametri'!$B$6*P446))),MAX(0,0*P396-(T445-MIN(MAX(T445,0),MAX(0,P396-IF($A446&gt;='1-Input'!$C$12,'1-Input'!$B$12,0)))))*(1/(1-'P-Parametri'!$B$6*P446))))</f>
        <v>0</v>
      </c>
      <c r="R446" s="18">
        <f>IF($A446&gt;'1-Input'!$B$26,T445,(T445-MAX(0,P396-IF($A446&gt;='1-Input'!$C$12,'1-Input'!$B$12,0))+Q446*(1-'P-Parametri'!$B$6*P446))*(1+'1-Input'!$B$27))</f>
        <v>0</v>
      </c>
      <c r="S446" s="18">
        <f>IF($A446&gt;'1-Input'!$B$26,U445,(U445-Q446)*(1+$C$4))</f>
        <v>-21859.256465655661</v>
      </c>
      <c r="T446" s="18">
        <f>IF($A446&gt;'1-Input'!$B$26,R446,R446-'P-Parametri'!$B$8*(S446+R446)+MIN(MAX(S446,0),'P-Parametri'!$B$8*(S446+R446)))</f>
        <v>0</v>
      </c>
      <c r="U446" s="18">
        <f>IF($A446&gt;'1-Input'!$B$26,S446,S446-MIN(MAX(S446,0),'P-Parametri'!$B$8*(S446+R446)))</f>
        <v>-21859.256465655661</v>
      </c>
      <c r="V446" s="18">
        <f>IF($A446&gt;'1-Input'!$B$26,V445,V445-Q446*(1-P446))</f>
        <v>-17164.549128036138</v>
      </c>
      <c r="W446" s="11">
        <f>IF($A446&gt;'1-Input'!$B$26,0,IF(AB445&lt;=0,0,MAX(0,(AB445-AC445)/AB445)))</f>
        <v>0</v>
      </c>
      <c r="X446" s="18">
        <f>IF($A446&gt;'1-Input'!$B$26,0,(MAX(0,W396-IF($A446&gt;='1-Input'!$C$12,'1-Input'!$B$12,0))-MIN(MAX(AA445,0),MAX(0,W396-IF($A446&gt;='1-Input'!$C$12,'1-Input'!$B$12,0))))*(1/(1-'P-Parametri'!$B$6*W446))+MIN(MAX(0,AB445-(MAX(0,W396-IF($A446&gt;='1-Input'!$C$12,'1-Input'!$B$12,0))-MIN(MAX(AA445,0),MAX(0,W396-IF($A446&gt;='1-Input'!$C$12,'1-Input'!$B$12,0))))*(1/(1-'P-Parametri'!$B$6*W446))),MAX(0,0*W396-(AA445-MIN(MAX(AA445,0),MAX(0,W396-IF($A446&gt;='1-Input'!$C$12,'1-Input'!$B$12,0)))))*(1/(1-'P-Parametri'!$B$6*W446))))</f>
        <v>0</v>
      </c>
      <c r="Y446" s="18">
        <f>IF($A446&gt;'1-Input'!$B$26,AA445,(AA445-MAX(0,W396-IF($A446&gt;='1-Input'!$C$12,'1-Input'!$B$12,0))+X446*(1-'P-Parametri'!$B$6*W446))*(1+'1-Input'!$B$27))</f>
        <v>0</v>
      </c>
      <c r="Z446" s="18">
        <f>IF($A446&gt;'1-Input'!$B$26,AB445,(AB445-X446)*(1+$C$4))</f>
        <v>594.33241715374606</v>
      </c>
      <c r="AA446" s="18">
        <f>IF($A446&gt;'1-Input'!$B$26,Y446,Y446-'P-Parametri'!$B$8*(Z446+Y446)+MIN(MAX(Z446,0),'P-Parametri'!$B$8*(Z446+Y446)))</f>
        <v>0</v>
      </c>
      <c r="AB446" s="18">
        <f>IF($A446&gt;'1-Input'!$B$26,Z446,Z446-MIN(MAX(Z446,0),'P-Parametri'!$B$8*(Z446+Y446)))</f>
        <v>594.33241715374606</v>
      </c>
      <c r="AC446" s="18">
        <f>IF($A446&gt;'1-Input'!$B$26,AC445,AC445-X446*(1-W446))</f>
        <v>134.77162535273919</v>
      </c>
      <c r="AD446" s="11">
        <f>IF($A446&gt;'1-Input'!$B$26,0,IF(AI445&lt;=0,0,MAX(0,(AI445-AJ445)/AI445)))</f>
        <v>0</v>
      </c>
      <c r="AE446" s="18">
        <f>IF($A446&gt;'1-Input'!$B$26,0,(MAX(0,AD396-IF($A446&gt;='1-Input'!$C$12,'1-Input'!$B$12,0))-MIN(MAX(AH445,0),MAX(0,AD396-IF($A446&gt;='1-Input'!$C$12,'1-Input'!$B$12,0))))*(1/(1-'P-Parametri'!$B$6*AD446))+MIN(MAX(0,AI445-(MAX(0,AD396-IF($A446&gt;='1-Input'!$C$12,'1-Input'!$B$12,0))-MIN(MAX(AH445,0),MAX(0,AD396-IF($A446&gt;='1-Input'!$C$12,'1-Input'!$B$12,0))))*(1/(1-'P-Parametri'!$B$6*AD446))),MAX(0,0*AD396-(AH445-MIN(MAX(AH445,0),MAX(0,AD396-IF($A446&gt;='1-Input'!$C$12,'1-Input'!$B$12,0)))))*(1/(1-'P-Parametri'!$B$6*AD446))))</f>
        <v>0</v>
      </c>
      <c r="AF446" s="18">
        <f>IF($A446&gt;'1-Input'!$B$26,AH445,(AH445-MAX(0,AD396-IF($A446&gt;='1-Input'!$C$12,'1-Input'!$B$12,0))+AE446*(1-'P-Parametri'!$B$6*AD446))*(1+'1-Input'!$B$27))</f>
        <v>0</v>
      </c>
      <c r="AG446" s="18">
        <f>IF($A446&gt;'1-Input'!$B$26,AI445,(AI445-AE446)*(1+$C$4))</f>
        <v>-109.25400847929053</v>
      </c>
      <c r="AH446" s="18">
        <f>IF($A446&gt;'1-Input'!$B$26,AF446,AF446-'P-Parametri'!$B$8*(AG446+AF446)+MIN(MAX(AG446,0),'P-Parametri'!$B$8*(AG446+AF446)))</f>
        <v>0</v>
      </c>
      <c r="AI446" s="18">
        <f>IF($A446&gt;'1-Input'!$B$26,AG446,AG446-MIN(MAX(AG446,0),'P-Parametri'!$B$8*(AG446+AF446)))</f>
        <v>-109.25400847929053</v>
      </c>
      <c r="AJ446" s="18">
        <f>IF($A446&gt;'1-Input'!$B$26,AJ445,AJ445-AE446*(1-AD446))</f>
        <v>-24.774587207561126</v>
      </c>
      <c r="AK446" s="11">
        <f>IF($A446&gt;'1-Input'!$B$26,0,IF(AP445&lt;=0,0,MAX(0,(AP445-AQ445)/AP445)))</f>
        <v>0</v>
      </c>
      <c r="AL446" s="18">
        <f>IF($A446&gt;'1-Input'!$B$26,0,(MAX(0,AK396-IF($A446&gt;='1-Input'!$C$12,'1-Input'!$B$12,0))-MIN(MAX(AO445,0),MAX(0,AK396-IF($A446&gt;='1-Input'!$C$12,'1-Input'!$B$12,0))))*(1/(1-'P-Parametri'!$B$6*AK446))+MIN(MAX(0,AP445-(MAX(0,AK396-IF($A446&gt;='1-Input'!$C$12,'1-Input'!$B$12,0))-MIN(MAX(AO445,0),MAX(0,AK396-IF($A446&gt;='1-Input'!$C$12,'1-Input'!$B$12,0))))*(1/(1-'P-Parametri'!$B$6*AK446))),MAX(0,0*AK396-(AO445-MIN(MAX(AO445,0),MAX(0,AK396-IF($A446&gt;='1-Input'!$C$12,'1-Input'!$B$12,0)))))*(1/(1-'P-Parametri'!$B$6*AK446))))</f>
        <v>0</v>
      </c>
      <c r="AM446" s="18">
        <f>IF($A446&gt;'1-Input'!$B$26,AO445,(AO445-MAX(0,AK396-IF($A446&gt;='1-Input'!$C$12,'1-Input'!$B$12,0))+AL446*(1-'P-Parametri'!$B$6*AK446))*(1+'1-Input'!$B$27))</f>
        <v>-1.8124410416930913E-12</v>
      </c>
      <c r="AN446" s="18">
        <f>IF($A446&gt;'1-Input'!$B$26,AP445,(AP445-AL446)*(1+$C$4))</f>
        <v>-9.3864198279334251E-10</v>
      </c>
      <c r="AO446" s="18">
        <f>IF($A446&gt;'1-Input'!$B$26,AM446,AM446-'P-Parametri'!$B$8*(AN446+AM446)+MIN(MAX(AN446,0),'P-Parametri'!$B$8*(AN446+AM446)))</f>
        <v>-1.8124410416930913E-12</v>
      </c>
      <c r="AP446" s="18">
        <f>IF($A446&gt;'1-Input'!$B$26,AN446,AN446-MIN(MAX(AN446,0),'P-Parametri'!$B$8*(AN446+AM446)))</f>
        <v>-9.3864198279334251E-10</v>
      </c>
      <c r="AQ446" s="18">
        <f>IF($A446&gt;'1-Input'!$B$26,AQ445,AQ445-AL446*(1-AK446))</f>
        <v>-2.1373125491663814E-10</v>
      </c>
    </row>
    <row r="447" spans="1:43">
      <c r="A447" s="4" t="s">
        <v>365</v>
      </c>
      <c r="B447" s="18">
        <f>F446+G446</f>
        <v>224393.54754232627</v>
      </c>
      <c r="I447" s="18">
        <f>M446+N446</f>
        <v>-265269.23611823592</v>
      </c>
      <c r="P447" s="18">
        <f>T446+U446</f>
        <v>-21859.256465655661</v>
      </c>
      <c r="W447" s="18">
        <f>AA446+AB446</f>
        <v>594.33241715374606</v>
      </c>
      <c r="AD447" s="18">
        <f>AH446+AI446</f>
        <v>-109.25400847929053</v>
      </c>
      <c r="AK447" s="18">
        <f>AO446+AP446</f>
        <v>-9.4045442383503559E-10</v>
      </c>
    </row>
    <row r="448" spans="1:43">
      <c r="A448" s="5" t="s">
        <v>266</v>
      </c>
      <c r="B448" s="18">
        <f>IFERROR(AK396-AK447*(AK396-AD396)/(AK447-AD447),AK396)</f>
        <v>18844.493704761662</v>
      </c>
    </row>
    <row r="450" spans="1:43">
      <c r="A450" s="2" t="s">
        <v>371</v>
      </c>
    </row>
    <row r="451" spans="1:43">
      <c r="A451" s="4" t="s">
        <v>360</v>
      </c>
      <c r="B451" s="9">
        <f>0.038*'2-Caso'!$B$12</f>
        <v>16681.055314625803</v>
      </c>
      <c r="I451" s="9">
        <f>0.05*'2-Caso'!$B$12</f>
        <v>21948.756992928691</v>
      </c>
      <c r="P451" s="18">
        <f>IFERROR(I451-I502*(I451-B451)/(I502-B502),I451)</f>
        <v>18642.720648189417</v>
      </c>
      <c r="W451" s="18">
        <f>IFERROR(P451-P502*(P451-I451)/(P502-I502),P451)</f>
        <v>18384.890920800441</v>
      </c>
      <c r="AD451" s="18">
        <f>IFERROR(W451-W502*(W451-P451)/(W502-P502),W451)</f>
        <v>18374.40761760798</v>
      </c>
      <c r="AK451" s="18">
        <f>IFERROR(AD451-AD502*(AD451-W451)/(AD502-W502),AD451)</f>
        <v>18374.496268836047</v>
      </c>
    </row>
    <row r="452" spans="1:43" ht="45">
      <c r="A452" s="25" t="s">
        <v>262</v>
      </c>
      <c r="B452" s="25" t="s">
        <v>361</v>
      </c>
      <c r="C452" s="25" t="s">
        <v>263</v>
      </c>
      <c r="D452" s="25" t="s">
        <v>362</v>
      </c>
      <c r="E452" s="25" t="s">
        <v>363</v>
      </c>
      <c r="F452" s="25" t="s">
        <v>264</v>
      </c>
      <c r="G452" s="25" t="s">
        <v>265</v>
      </c>
      <c r="H452" s="25" t="s">
        <v>364</v>
      </c>
      <c r="I452" s="25" t="s">
        <v>361</v>
      </c>
      <c r="J452" s="25" t="s">
        <v>263</v>
      </c>
      <c r="K452" s="25" t="s">
        <v>362</v>
      </c>
      <c r="L452" s="25" t="s">
        <v>363</v>
      </c>
      <c r="M452" s="25" t="s">
        <v>264</v>
      </c>
      <c r="N452" s="25" t="s">
        <v>265</v>
      </c>
      <c r="O452" s="25" t="s">
        <v>364</v>
      </c>
      <c r="P452" s="25" t="s">
        <v>361</v>
      </c>
      <c r="Q452" s="25" t="s">
        <v>263</v>
      </c>
      <c r="R452" s="25" t="s">
        <v>362</v>
      </c>
      <c r="S452" s="25" t="s">
        <v>363</v>
      </c>
      <c r="T452" s="25" t="s">
        <v>264</v>
      </c>
      <c r="U452" s="25" t="s">
        <v>265</v>
      </c>
      <c r="V452" s="25" t="s">
        <v>364</v>
      </c>
      <c r="W452" s="25" t="s">
        <v>361</v>
      </c>
      <c r="X452" s="25" t="s">
        <v>263</v>
      </c>
      <c r="Y452" s="25" t="s">
        <v>362</v>
      </c>
      <c r="Z452" s="25" t="s">
        <v>363</v>
      </c>
      <c r="AA452" s="25" t="s">
        <v>264</v>
      </c>
      <c r="AB452" s="25" t="s">
        <v>265</v>
      </c>
      <c r="AC452" s="25" t="s">
        <v>364</v>
      </c>
      <c r="AD452" s="25" t="s">
        <v>361</v>
      </c>
      <c r="AE452" s="25" t="s">
        <v>263</v>
      </c>
      <c r="AF452" s="25" t="s">
        <v>362</v>
      </c>
      <c r="AG452" s="25" t="s">
        <v>363</v>
      </c>
      <c r="AH452" s="25" t="s">
        <v>264</v>
      </c>
      <c r="AI452" s="25" t="s">
        <v>265</v>
      </c>
      <c r="AJ452" s="25" t="s">
        <v>364</v>
      </c>
      <c r="AK452" s="25" t="s">
        <v>361</v>
      </c>
      <c r="AL452" s="25" t="s">
        <v>263</v>
      </c>
      <c r="AM452" s="25" t="s">
        <v>362</v>
      </c>
      <c r="AN452" s="25" t="s">
        <v>363</v>
      </c>
      <c r="AO452" s="25" t="s">
        <v>264</v>
      </c>
      <c r="AP452" s="25" t="s">
        <v>265</v>
      </c>
      <c r="AQ452" s="25" t="s">
        <v>364</v>
      </c>
    </row>
    <row r="453" spans="1:43">
      <c r="A453" s="3">
        <v>0</v>
      </c>
      <c r="F453" s="18">
        <f>MIN(1*B451,'2-Caso'!$B$12)</f>
        <v>16681.055314625803</v>
      </c>
      <c r="G453" s="18">
        <f>'2-Caso'!$B$12-F453</f>
        <v>422294.084543948</v>
      </c>
      <c r="H453" s="18">
        <f>'2-Caso'!$B$13*G453/'2-Caso'!$B$12</f>
        <v>330928</v>
      </c>
      <c r="M453" s="18">
        <f>MIN(1*I451,'2-Caso'!$B$12)</f>
        <v>21948.756992928691</v>
      </c>
      <c r="N453" s="18">
        <f>'2-Caso'!$B$12-M453</f>
        <v>417026.38286564511</v>
      </c>
      <c r="O453" s="18">
        <f>'2-Caso'!$B$13*N453/'2-Caso'!$B$12</f>
        <v>326800</v>
      </c>
      <c r="T453" s="18">
        <f>MIN(1*P451,'2-Caso'!$B$12)</f>
        <v>18642.720648189417</v>
      </c>
      <c r="U453" s="18">
        <f>'2-Caso'!$B$12-T453</f>
        <v>420332.41921038437</v>
      </c>
      <c r="V453" s="18">
        <f>'2-Caso'!$B$13*U453/'2-Caso'!$B$12</f>
        <v>329390.7537792612</v>
      </c>
      <c r="AA453" s="18">
        <f>MIN(1*W451,'2-Caso'!$B$12)</f>
        <v>18384.890920800441</v>
      </c>
      <c r="AB453" s="18">
        <f>'2-Caso'!$B$12-AA453</f>
        <v>420590.24893777334</v>
      </c>
      <c r="AC453" s="18">
        <f>'2-Caso'!$B$13*AB453/'2-Caso'!$B$12</f>
        <v>329592.80036041926</v>
      </c>
      <c r="AH453" s="18">
        <f>MIN(1*AD451,'2-Caso'!$B$12)</f>
        <v>18374.40761760798</v>
      </c>
      <c r="AI453" s="18">
        <f>'2-Caso'!$B$12-AH453</f>
        <v>420600.73224096582</v>
      </c>
      <c r="AJ453" s="18">
        <f>'2-Caso'!$B$13*AI453/'2-Caso'!$B$12</f>
        <v>329601.01553246606</v>
      </c>
      <c r="AO453" s="18">
        <f>MIN(1*AK451,'2-Caso'!$B$12)</f>
        <v>18374.496268836047</v>
      </c>
      <c r="AP453" s="18">
        <f>'2-Caso'!$B$12-AO453</f>
        <v>420600.64358973777</v>
      </c>
      <c r="AQ453" s="18">
        <f>'2-Caso'!$B$13*AP453/'2-Caso'!$B$12</f>
        <v>329600.94606151042</v>
      </c>
    </row>
    <row r="454" spans="1:43">
      <c r="A454" s="10">
        <f>1</f>
        <v>1</v>
      </c>
      <c r="B454" s="11">
        <f>IF($A454&gt;'1-Input'!$B$26,0,IF(G453&lt;=0,0,MAX(0,(G453-H453)/G453)))</f>
        <v>0.21635653419729484</v>
      </c>
      <c r="C454" s="18">
        <f>IF($A454&gt;'1-Input'!$B$26,0,(MAX(0,B451-IF($A454&gt;='1-Input'!$C$12,'1-Input'!$B$12,0))-MIN(MAX(F453,0),MAX(0,B451-IF($A454&gt;='1-Input'!$C$12,'1-Input'!$B$12,0))))*(1/(1-'P-Parametri'!$B$6*B454))+MIN(MAX(0,G453-(MAX(0,B451-IF($A454&gt;='1-Input'!$C$12,'1-Input'!$B$12,0))-MIN(MAX(F453,0),MAX(0,B451-IF($A454&gt;='1-Input'!$C$12,'1-Input'!$B$12,0))))*(1/(1-'P-Parametri'!$B$6*B454))),MAX(0,1*B451-(F453-MIN(MAX(F453,0),MAX(0,B451-IF($A454&gt;='1-Input'!$C$12,'1-Input'!$B$12,0)))))*(1/(1-'P-Parametri'!$B$6*B454))))</f>
        <v>17675.340946701614</v>
      </c>
      <c r="D454" s="18">
        <f>IF($A454&gt;'1-Input'!$B$26,F453,(F453-MAX(0,B451-IF($A454&gt;='1-Input'!$C$12,'1-Input'!$B$12,0))+C454*(1-'P-Parametri'!$B$6*B454))*(1+'1-Input'!$B$27))</f>
        <v>16621.003515493147</v>
      </c>
      <c r="E454" s="18">
        <f>IF($A454&gt;'1-Input'!$B$26,G453,(G453-C454)*(1+$C$4))</f>
        <v>416757.30590516381</v>
      </c>
      <c r="F454" s="18">
        <f>IF($A454&gt;'1-Input'!$B$26,D454,D454-'P-Parametri'!$B$8*(E454+D454)+MIN(MAX(E454,0),'P-Parametri'!$B$8*(E454+D454)))</f>
        <v>16621.003515493147</v>
      </c>
      <c r="G454" s="18">
        <f>IF($A454&gt;'1-Input'!$B$26,E454,E454-MIN(MAX(E454,0),'P-Parametri'!$B$8*(E454+D454)))</f>
        <v>415890.54928632249</v>
      </c>
      <c r="H454" s="18">
        <f>IF($A454&gt;'1-Input'!$B$26,H453,H453-C454*(1-B454))</f>
        <v>317076.8345612823</v>
      </c>
      <c r="I454" s="11">
        <f>IF($A454&gt;'1-Input'!$B$26,0,IF(N453&lt;=0,0,MAX(0,(N453-O453)/N453)))</f>
        <v>0.21635653419729481</v>
      </c>
      <c r="J454" s="18">
        <f>IF($A454&gt;'1-Input'!$B$26,0,(MAX(0,I451-IF($A454&gt;='1-Input'!$C$12,'1-Input'!$B$12,0))-MIN(MAX(M453,0),MAX(0,I451-IF($A454&gt;='1-Input'!$C$12,'1-Input'!$B$12,0))))*(1/(1-'P-Parametri'!$B$6*I454))+MIN(MAX(0,N453-(MAX(0,I451-IF($A454&gt;='1-Input'!$C$12,'1-Input'!$B$12,0))-MIN(MAX(M453,0),MAX(0,I451-IF($A454&gt;='1-Input'!$C$12,'1-Input'!$B$12,0))))*(1/(1-'P-Parametri'!$B$6*I454))),MAX(0,1*I451-(M453-MIN(MAX(M453,0),MAX(0,I451-IF($A454&gt;='1-Input'!$C$12,'1-Input'!$B$12,0)))))*(1/(1-'P-Parametri'!$B$6*I454))))</f>
        <v>23257.027561449497</v>
      </c>
      <c r="K454" s="18">
        <f>IF($A454&gt;'1-Input'!$B$26,M453,(M453-MAX(0,I451-IF($A454&gt;='1-Input'!$C$12,'1-Input'!$B$12,0))+J454*(1-'P-Parametri'!$B$6*I454))*(1+'1-Input'!$B$27))</f>
        <v>21869.741467754146</v>
      </c>
      <c r="L454" s="18">
        <f>IF($A454&gt;'1-Input'!$B$26,N453,(N453-J454)*(1+$C$4))</f>
        <v>405582.43596332148</v>
      </c>
      <c r="M454" s="18">
        <f>IF($A454&gt;'1-Input'!$B$26,K454,K454-'P-Parametri'!$B$8*(L454+K454)+MIN(MAX(L454,0),'P-Parametri'!$B$8*(L454+K454)))</f>
        <v>21869.741467754146</v>
      </c>
      <c r="N454" s="18">
        <f>IF($A454&gt;'1-Input'!$B$26,L454,L454-MIN(MAX(L454,0),'P-Parametri'!$B$8*(L454+K454)))</f>
        <v>404727.53160845931</v>
      </c>
      <c r="O454" s="18">
        <f>IF($A454&gt;'1-Input'!$B$26,O453,O453-J454*(1-I454))</f>
        <v>308574.7823174767</v>
      </c>
      <c r="P454" s="11">
        <f>IF($A454&gt;'1-Input'!$B$26,0,IF(U453&lt;=0,0,MAX(0,(U453-V453)/U453)))</f>
        <v>0.21635653419729478</v>
      </c>
      <c r="Q454" s="18">
        <f>IF($A454&gt;'1-Input'!$B$26,0,(MAX(0,P451-IF($A454&gt;='1-Input'!$C$12,'1-Input'!$B$12,0))-MIN(MAX(T453,0),MAX(0,P451-IF($A454&gt;='1-Input'!$C$12,'1-Input'!$B$12,0))))*(1/(1-'P-Parametri'!$B$6*P454))+MIN(MAX(0,U453-(MAX(0,P451-IF($A454&gt;='1-Input'!$C$12,'1-Input'!$B$12,0))-MIN(MAX(T453,0),MAX(0,P451-IF($A454&gt;='1-Input'!$C$12,'1-Input'!$B$12,0))))*(1/(1-'P-Parametri'!$B$6*P454))),MAX(0,1*P451-(T453-MIN(MAX(T453,0),MAX(0,P451-IF($A454&gt;='1-Input'!$C$12,'1-Input'!$B$12,0)))))*(1/(1-'P-Parametri'!$B$6*P454))))</f>
        <v>19753.932674867698</v>
      </c>
      <c r="R454" s="18">
        <f>IF($A454&gt;'1-Input'!$B$26,T453,(T453-MAX(0,P451-IF($A454&gt;='1-Input'!$C$12,'1-Input'!$B$12,0))+Q454*(1-'P-Parametri'!$B$6*P454))*(1+'1-Input'!$B$27))</f>
        <v>18575.606853855934</v>
      </c>
      <c r="S454" s="18">
        <f>IF($A454&gt;'1-Input'!$B$26,U453,(U453-Q454)*(1+$C$4))</f>
        <v>412595.84113158222</v>
      </c>
      <c r="T454" s="18">
        <f>IF($A454&gt;'1-Input'!$B$26,R454,R454-'P-Parametri'!$B$8*(S454+R454)+MIN(MAX(S454,0),'P-Parametri'!$B$8*(S454+R454)))</f>
        <v>18575.606853855934</v>
      </c>
      <c r="U454" s="18">
        <f>IF($A454&gt;'1-Input'!$B$26,S454,S454-MIN(MAX(S454,0),'P-Parametri'!$B$8*(S454+R454)))</f>
        <v>411733.49823561136</v>
      </c>
      <c r="V454" s="18">
        <f>IF($A454&gt;'1-Input'!$B$26,V453,V453-Q454*(1-P454))</f>
        <v>313910.71351469459</v>
      </c>
      <c r="W454" s="11">
        <f>IF($A454&gt;'1-Input'!$B$26,0,IF(AB453&lt;=0,0,MAX(0,(AB453-AC453)/AB453)))</f>
        <v>0.21635653419729478</v>
      </c>
      <c r="X454" s="18">
        <f>IF($A454&gt;'1-Input'!$B$26,0,(MAX(0,W451-IF($A454&gt;='1-Input'!$C$12,'1-Input'!$B$12,0))-MIN(MAX(AA453,0),MAX(0,W451-IF($A454&gt;='1-Input'!$C$12,'1-Input'!$B$12,0))))*(1/(1-'P-Parametri'!$B$6*W454))+MIN(MAX(0,AB453-(MAX(0,W451-IF($A454&gt;='1-Input'!$C$12,'1-Input'!$B$12,0))-MIN(MAX(AA453,0),MAX(0,W451-IF($A454&gt;='1-Input'!$C$12,'1-Input'!$B$12,0))))*(1/(1-'P-Parametri'!$B$6*W454))),MAX(0,1*W451-(AA453-MIN(MAX(AA453,0),MAX(0,W451-IF($A454&gt;='1-Input'!$C$12,'1-Input'!$B$12,0)))))*(1/(1-'P-Parametri'!$B$6*W454))))</f>
        <v>19480.734831455502</v>
      </c>
      <c r="Y454" s="18">
        <f>IF($A454&gt;'1-Input'!$B$26,AA453,(AA453-MAX(0,W451-IF($A454&gt;='1-Input'!$C$12,'1-Input'!$B$12,0))+X454*(1-'P-Parametri'!$B$6*W454))*(1+'1-Input'!$B$27))</f>
        <v>18318.70531348556</v>
      </c>
      <c r="Z454" s="18">
        <f>IF($A454&gt;'1-Input'!$B$26,AB453,(AB453-X454)*(1+$C$4))</f>
        <v>413142.79952950735</v>
      </c>
      <c r="AA454" s="18">
        <f>IF($A454&gt;'1-Input'!$B$26,Y454,Y454-'P-Parametri'!$B$8*(Z454+Y454)+MIN(MAX(Z454,0),'P-Parametri'!$B$8*(Z454+Y454)))</f>
        <v>18318.70531348556</v>
      </c>
      <c r="AB454" s="18">
        <f>IF($A454&gt;'1-Input'!$B$26,Z454,Z454-MIN(MAX(Z454,0),'P-Parametri'!$B$8*(Z454+Y454)))</f>
        <v>412279.87651982135</v>
      </c>
      <c r="AC454" s="18">
        <f>IF($A454&gt;'1-Input'!$B$26,AC453,AC453-X454*(1-W454))</f>
        <v>314326.849800714</v>
      </c>
      <c r="AD454" s="11">
        <f>IF($A454&gt;'1-Input'!$B$26,0,IF(AI453&lt;=0,0,MAX(0,(AI453-AJ453)/AI453)))</f>
        <v>0.21635653419729481</v>
      </c>
      <c r="AE454" s="18">
        <f>IF($A454&gt;'1-Input'!$B$26,0,(MAX(0,AD451-IF($A454&gt;='1-Input'!$C$12,'1-Input'!$B$12,0))-MIN(MAX(AH453,0),MAX(0,AD451-IF($A454&gt;='1-Input'!$C$12,'1-Input'!$B$12,0))))*(1/(1-'P-Parametri'!$B$6*AD454))+MIN(MAX(0,AI453-(MAX(0,AD451-IF($A454&gt;='1-Input'!$C$12,'1-Input'!$B$12,0))-MIN(MAX(AH453,0),MAX(0,AD451-IF($A454&gt;='1-Input'!$C$12,'1-Input'!$B$12,0))))*(1/(1-'P-Parametri'!$B$6*AD454))),MAX(0,1*AD451-(AH453-MIN(MAX(AH453,0),MAX(0,AD451-IF($A454&gt;='1-Input'!$C$12,'1-Input'!$B$12,0)))))*(1/(1-'P-Parametri'!$B$6*AD454))))</f>
        <v>19469.626663855823</v>
      </c>
      <c r="AF454" s="18">
        <f>IF($A454&gt;'1-Input'!$B$26,AH453,(AH453-MAX(0,AD451-IF($A454&gt;='1-Input'!$C$12,'1-Input'!$B$12,0))+AE454*(1-'P-Parametri'!$B$6*AD454))*(1+'1-Input'!$B$27))</f>
        <v>18308.259750184588</v>
      </c>
      <c r="AG454" s="18">
        <f>IF($A454&gt;'1-Input'!$B$26,AI453,(AI453-AE454)*(1+$C$4))</f>
        <v>413165.03874442331</v>
      </c>
      <c r="AH454" s="18">
        <f>IF($A454&gt;'1-Input'!$B$26,AF454,AF454-'P-Parametri'!$B$8*(AG454+AF454)+MIN(MAX(AG454,0),'P-Parametri'!$B$8*(AG454+AF454)))</f>
        <v>18308.259750184588</v>
      </c>
      <c r="AI454" s="18">
        <f>IF($A454&gt;'1-Input'!$B$26,AG454,AG454-MIN(MAX(AG454,0),'P-Parametri'!$B$8*(AG454+AF454)))</f>
        <v>412302.09214743407</v>
      </c>
      <c r="AJ454" s="18">
        <f>IF($A454&gt;'1-Input'!$B$26,AJ453,AJ453-AE454*(1-AD454))</f>
        <v>314343.7698157173</v>
      </c>
      <c r="AK454" s="11">
        <f>IF($A454&gt;'1-Input'!$B$26,0,IF(AP453&lt;=0,0,MAX(0,(AP453-AQ453)/AP453)))</f>
        <v>0.21635653419729492</v>
      </c>
      <c r="AL454" s="18">
        <f>IF($A454&gt;'1-Input'!$B$26,0,(MAX(0,AK451-IF($A454&gt;='1-Input'!$C$12,'1-Input'!$B$12,0))-MIN(MAX(AO453,0),MAX(0,AK451-IF($A454&gt;='1-Input'!$C$12,'1-Input'!$B$12,0))))*(1/(1-'P-Parametri'!$B$6*AK454))+MIN(MAX(0,AP453-(MAX(0,AK451-IF($A454&gt;='1-Input'!$C$12,'1-Input'!$B$12,0))-MIN(MAX(AO453,0),MAX(0,AK451-IF($A454&gt;='1-Input'!$C$12,'1-Input'!$B$12,0))))*(1/(1-'P-Parametri'!$B$6*AK454))),MAX(0,1*AK451-(AO453-MIN(MAX(AO453,0),MAX(0,AK451-IF($A454&gt;='1-Input'!$C$12,'1-Input'!$B$12,0)))))*(1/(1-'P-Parametri'!$B$6*AK454))))</f>
        <v>19469.720599200551</v>
      </c>
      <c r="AM454" s="18">
        <f>IF($A454&gt;'1-Input'!$B$26,AO453,(AO453-MAX(0,AK451-IF($A454&gt;='1-Input'!$C$12,'1-Input'!$B$12,0))+AL454*(1-'P-Parametri'!$B$6*AK454))*(1+'1-Input'!$B$27))</f>
        <v>18308.348082268236</v>
      </c>
      <c r="AN454" s="18">
        <f>IF($A454&gt;'1-Input'!$B$26,AP453,(AP453-AL454)*(1+$C$4))</f>
        <v>413164.85068025329</v>
      </c>
      <c r="AO454" s="18">
        <f>IF($A454&gt;'1-Input'!$B$26,AM454,AM454-'P-Parametri'!$B$8*(AN454+AM454)+MIN(MAX(AN454,0),'P-Parametri'!$B$8*(AN454+AM454)))</f>
        <v>18308.348082268236</v>
      </c>
      <c r="AP454" s="18">
        <f>IF($A454&gt;'1-Input'!$B$26,AN454,AN454-MIN(MAX(AN454,0),'P-Parametri'!$B$8*(AN454+AM454)))</f>
        <v>412301.90428272827</v>
      </c>
      <c r="AQ454" s="18">
        <f>IF($A454&gt;'1-Input'!$B$26,AQ453,AQ453-AL454*(1-AK454))</f>
        <v>314343.62673294259</v>
      </c>
    </row>
    <row r="455" spans="1:43">
      <c r="A455" s="10">
        <f>2</f>
        <v>2</v>
      </c>
      <c r="B455" s="11">
        <f>IF($A455&gt;'1-Input'!$B$26,0,IF(G454&lt;=0,0,MAX(0,(G454-H454)/G454)))</f>
        <v>0.23759548009592124</v>
      </c>
      <c r="C455" s="18">
        <f>IF($A455&gt;'1-Input'!$B$26,0,(MAX(0,B451-IF($A455&gt;='1-Input'!$C$12,'1-Input'!$B$12,0))-MIN(MAX(F454,0),MAX(0,B451-IF($A455&gt;='1-Input'!$C$12,'1-Input'!$B$12,0))))*(1/(1-'P-Parametri'!$B$6*B455))+MIN(MAX(0,G454-(MAX(0,B451-IF($A455&gt;='1-Input'!$C$12,'1-Input'!$B$12,0))-MIN(MAX(F454,0),MAX(0,B451-IF($A455&gt;='1-Input'!$C$12,'1-Input'!$B$12,0))))*(1/(1-'P-Parametri'!$B$6*B455))),MAX(0,1*B451-(F454-MIN(MAX(F454,0),MAX(0,B451-IF($A455&gt;='1-Input'!$C$12,'1-Input'!$B$12,0)))))*(1/(1-'P-Parametri'!$B$6*B455))))</f>
        <v>17843.378707712451</v>
      </c>
      <c r="D455" s="18">
        <f>IF($A455&gt;'1-Input'!$B$26,F454,(F454-MAX(0,B451-IF($A455&gt;='1-Input'!$C$12,'1-Input'!$B$12,0))+C455*(1-'P-Parametri'!$B$6*B455))*(1+'1-Input'!$B$27))</f>
        <v>16621.00351549315</v>
      </c>
      <c r="E455" s="18">
        <f>IF($A455&gt;'1-Input'!$B$26,G454,(G454-C455)*(1+$C$4))</f>
        <v>409988.58569596836</v>
      </c>
      <c r="F455" s="18">
        <f>IF($A455&gt;'1-Input'!$B$26,D455,D455-'P-Parametri'!$B$8*(E455+D455)+MIN(MAX(E455,0),'P-Parametri'!$B$8*(E455+D455)))</f>
        <v>16621.00351549315</v>
      </c>
      <c r="G455" s="18">
        <f>IF($A455&gt;'1-Input'!$B$26,E455,E455-MIN(MAX(E455,0),'P-Parametri'!$B$8*(E455+D455)))</f>
        <v>409135.36651754542</v>
      </c>
      <c r="H455" s="18">
        <f>IF($A455&gt;'1-Input'!$B$26,H454,H454-C455*(1-B455))</f>
        <v>303472.9619841621</v>
      </c>
      <c r="I455" s="11">
        <f>IF($A455&gt;'1-Input'!$B$26,0,IF(N454&lt;=0,0,MAX(0,(N454-O454)/N454)))</f>
        <v>0.23757402642922376</v>
      </c>
      <c r="J455" s="18">
        <f>IF($A455&gt;'1-Input'!$B$26,0,(MAX(0,I451-IF($A455&gt;='1-Input'!$C$12,'1-Input'!$B$12,0))-MIN(MAX(M454,0),MAX(0,I451-IF($A455&gt;='1-Input'!$C$12,'1-Input'!$B$12,0))))*(1/(1-'P-Parametri'!$B$6*I455))+MIN(MAX(0,N454-(MAX(0,I451-IF($A455&gt;='1-Input'!$C$12,'1-Input'!$B$12,0))-MIN(MAX(M454,0),MAX(0,I451-IF($A455&gt;='1-Input'!$C$12,'1-Input'!$B$12,0))))*(1/(1-'P-Parametri'!$B$6*I455))),MAX(0,1*I451-(M454-MIN(MAX(M454,0),MAX(0,I451-IF($A455&gt;='1-Input'!$C$12,'1-Input'!$B$12,0)))))*(1/(1-'P-Parametri'!$B$6*I455))))</f>
        <v>23477.990296794953</v>
      </c>
      <c r="K455" s="18">
        <f>IF($A455&gt;'1-Input'!$B$26,M454,(M454-MAX(0,I451-IF($A455&gt;='1-Input'!$C$12,'1-Input'!$B$12,0))+J455*(1-'P-Parametri'!$B$6*I455))*(1+'1-Input'!$B$27))</f>
        <v>21869.741467754146</v>
      </c>
      <c r="L455" s="18">
        <f>IF($A455&gt;'1-Input'!$B$26,N454,(N454-J455)*(1+$C$4))</f>
        <v>392687.02755101427</v>
      </c>
      <c r="M455" s="18">
        <f>IF($A455&gt;'1-Input'!$B$26,K455,K455-'P-Parametri'!$B$8*(L455+K455)+MIN(MAX(L455,0),'P-Parametri'!$B$8*(L455+K455)))</f>
        <v>21869.741467754146</v>
      </c>
      <c r="N455" s="18">
        <f>IF($A455&gt;'1-Input'!$B$26,L455,L455-MIN(MAX(L455,0),'P-Parametri'!$B$8*(L455+K455)))</f>
        <v>391857.91401297675</v>
      </c>
      <c r="O455" s="18">
        <f>IF($A455&gt;'1-Input'!$B$26,O454,O454-J455*(1-I455))</f>
        <v>290674.55270795757</v>
      </c>
      <c r="P455" s="11">
        <f>IF($A455&gt;'1-Input'!$B$26,0,IF(U454&lt;=0,0,MAX(0,(U454-V454)/U454)))</f>
        <v>0.23758762680256446</v>
      </c>
      <c r="Q455" s="18">
        <f>IF($A455&gt;'1-Input'!$B$26,0,(MAX(0,P451-IF($A455&gt;='1-Input'!$C$12,'1-Input'!$B$12,0))-MIN(MAX(T454,0),MAX(0,P451-IF($A455&gt;='1-Input'!$C$12,'1-Input'!$B$12,0))))*(1/(1-'P-Parametri'!$B$6*P455))+MIN(MAX(0,U454-(MAX(0,P451-IF($A455&gt;='1-Input'!$C$12,'1-Input'!$B$12,0))-MIN(MAX(T454,0),MAX(0,P451-IF($A455&gt;='1-Input'!$C$12,'1-Input'!$B$12,0))))*(1/(1-'P-Parametri'!$B$6*P455))),MAX(0,1*P451-(T454-MIN(MAX(T454,0),MAX(0,P451-IF($A455&gt;='1-Input'!$C$12,'1-Input'!$B$12,0)))))*(1/(1-'P-Parametri'!$B$6*P455))))</f>
        <v>19941.688007861387</v>
      </c>
      <c r="R455" s="18">
        <f>IF($A455&gt;'1-Input'!$B$26,T454,(T454-MAX(0,P451-IF($A455&gt;='1-Input'!$C$12,'1-Input'!$B$12,0))+Q455*(1-'P-Parametri'!$B$6*P455))*(1+'1-Input'!$B$27))</f>
        <v>18575.606853855934</v>
      </c>
      <c r="S455" s="18">
        <f>IF($A455&gt;'1-Input'!$B$26,U454,(U454-Q455)*(1+$C$4))</f>
        <v>403545.56453458249</v>
      </c>
      <c r="T455" s="18">
        <f>IF($A455&gt;'1-Input'!$B$26,R455,R455-'P-Parametri'!$B$8*(S455+R455)+MIN(MAX(S455,0),'P-Parametri'!$B$8*(S455+R455)))</f>
        <v>18575.606853855934</v>
      </c>
      <c r="U455" s="18">
        <f>IF($A455&gt;'1-Input'!$B$26,S455,S455-MIN(MAX(S455,0),'P-Parametri'!$B$8*(S455+R455)))</f>
        <v>402701.32219180564</v>
      </c>
      <c r="V455" s="18">
        <f>IF($A455&gt;'1-Input'!$B$26,V454,V454-Q455*(1-P455))</f>
        <v>298706.92383505817</v>
      </c>
      <c r="W455" s="11">
        <f>IF($A455&gt;'1-Input'!$B$26,0,IF(AB454&lt;=0,0,MAX(0,(AB454-AC454)/AB454)))</f>
        <v>0.2375886680328867</v>
      </c>
      <c r="X455" s="18">
        <f>IF($A455&gt;'1-Input'!$B$26,0,(MAX(0,W451-IF($A455&gt;='1-Input'!$C$12,'1-Input'!$B$12,0))-MIN(MAX(AA454,0),MAX(0,W451-IF($A455&gt;='1-Input'!$C$12,'1-Input'!$B$12,0))))*(1/(1-'P-Parametri'!$B$6*W455))+MIN(MAX(0,AB454-(MAX(0,W451-IF($A455&gt;='1-Input'!$C$12,'1-Input'!$B$12,0))-MIN(MAX(AA454,0),MAX(0,W451-IF($A455&gt;='1-Input'!$C$12,'1-Input'!$B$12,0))))*(1/(1-'P-Parametri'!$B$6*W455))),MAX(0,1*W451-(AA454-MIN(MAX(AA454,0),MAX(0,W451-IF($A455&gt;='1-Input'!$C$12,'1-Input'!$B$12,0)))))*(1/(1-'P-Parametri'!$B$6*W455))))</f>
        <v>19665.899173599719</v>
      </c>
      <c r="Y455" s="18">
        <f>IF($A455&gt;'1-Input'!$B$26,AA454,(AA454-MAX(0,W451-IF($A455&gt;='1-Input'!$C$12,'1-Input'!$B$12,0))+X455*(1-'P-Parametri'!$B$6*W455))*(1+'1-Input'!$B$27))</f>
        <v>18318.70531348556</v>
      </c>
      <c r="Z455" s="18">
        <f>IF($A455&gt;'1-Input'!$B$26,AB454,(AB454-X455)*(1+$C$4))</f>
        <v>404392.39666660829</v>
      </c>
      <c r="AA455" s="18">
        <f>IF($A455&gt;'1-Input'!$B$26,Y455,Y455-'P-Parametri'!$B$8*(Z455+Y455)+MIN(MAX(Z455,0),'P-Parametri'!$B$8*(Z455+Y455)))</f>
        <v>18318.70531348556</v>
      </c>
      <c r="AB455" s="18">
        <f>IF($A455&gt;'1-Input'!$B$26,Z455,Z455-MIN(MAX(Z455,0),'P-Parametri'!$B$8*(Z455+Y455)))</f>
        <v>403546.9744626481</v>
      </c>
      <c r="AC455" s="18">
        <f>IF($A455&gt;'1-Input'!$B$26,AC454,AC454-X455*(1-W455))</f>
        <v>299333.34541743889</v>
      </c>
      <c r="AD455" s="11">
        <f>IF($A455&gt;'1-Input'!$B$26,0,IF(AI454&lt;=0,0,MAX(0,(AI454-AJ454)/AI454)))</f>
        <v>0.23758871031071097</v>
      </c>
      <c r="AE455" s="18">
        <f>IF($A455&gt;'1-Input'!$B$26,0,(MAX(0,AD451-IF($A455&gt;='1-Input'!$C$12,'1-Input'!$B$12,0))-MIN(MAX(AH454,0),MAX(0,AD451-IF($A455&gt;='1-Input'!$C$12,'1-Input'!$B$12,0))))*(1/(1-'P-Parametri'!$B$6*AD455))+MIN(MAX(0,AI454-(MAX(0,AD451-IF($A455&gt;='1-Input'!$C$12,'1-Input'!$B$12,0))-MIN(MAX(AH454,0),MAX(0,AD451-IF($A455&gt;='1-Input'!$C$12,'1-Input'!$B$12,0))))*(1/(1-'P-Parametri'!$B$6*AD455))),MAX(0,1*AD451-(AH454-MIN(MAX(AH454,0),MAX(0,AD451-IF($A455&gt;='1-Input'!$C$12,'1-Input'!$B$12,0)))))*(1/(1-'P-Parametri'!$B$6*AD455))))</f>
        <v>19654.685653164815</v>
      </c>
      <c r="AF455" s="18">
        <f>IF($A455&gt;'1-Input'!$B$26,AH454,(AH454-MAX(0,AD451-IF($A455&gt;='1-Input'!$C$12,'1-Input'!$B$12,0))+AE455*(1-'P-Parametri'!$B$6*AD455))*(1+'1-Input'!$B$27))</f>
        <v>18308.259750184588</v>
      </c>
      <c r="AG455" s="18">
        <f>IF($A455&gt;'1-Input'!$B$26,AI454,(AI454-AE455)*(1+$C$4))</f>
        <v>404426.82868909737</v>
      </c>
      <c r="AH455" s="18">
        <f>IF($A455&gt;'1-Input'!$B$26,AF455,AF455-'P-Parametri'!$B$8*(AG455+AF455)+MIN(MAX(AG455,0),'P-Parametri'!$B$8*(AG455+AF455)))</f>
        <v>18308.259750184588</v>
      </c>
      <c r="AI455" s="18">
        <f>IF($A455&gt;'1-Input'!$B$26,AG455,AG455-MIN(MAX(AG455,0),'P-Parametri'!$B$8*(AG455+AF455)))</f>
        <v>403581.35851221881</v>
      </c>
      <c r="AJ455" s="18">
        <f>IF($A455&gt;'1-Input'!$B$26,AJ454,AJ454-AE455*(1-AD455))</f>
        <v>299358.81557845033</v>
      </c>
      <c r="AK455" s="11">
        <f>IF($A455&gt;'1-Input'!$B$26,0,IF(AP454&lt;=0,0,MAX(0,(AP454-AQ454)/AP454)))</f>
        <v>0.23758870995321096</v>
      </c>
      <c r="AL455" s="18">
        <f>IF($A455&gt;'1-Input'!$B$26,0,(MAX(0,AK451-IF($A455&gt;='1-Input'!$C$12,'1-Input'!$B$12,0))-MIN(MAX(AO454,0),MAX(0,AK451-IF($A455&gt;='1-Input'!$C$12,'1-Input'!$B$12,0))))*(1/(1-'P-Parametri'!$B$6*AK455))+MIN(MAX(0,AP454-(MAX(0,AK451-IF($A455&gt;='1-Input'!$C$12,'1-Input'!$B$12,0))-MIN(MAX(AO454,0),MAX(0,AK451-IF($A455&gt;='1-Input'!$C$12,'1-Input'!$B$12,0))))*(1/(1-'P-Parametri'!$B$6*AK455))),MAX(0,1*AK451-(AO454-MIN(MAX(AO454,0),MAX(0,AK451-IF($A455&gt;='1-Input'!$C$12,'1-Input'!$B$12,0)))))*(1/(1-'P-Parametri'!$B$6*AK455))))</f>
        <v>19654.780479418703</v>
      </c>
      <c r="AM455" s="18">
        <f>IF($A455&gt;'1-Input'!$B$26,AO454,(AO454-MAX(0,AK451-IF($A455&gt;='1-Input'!$C$12,'1-Input'!$B$12,0))+AL455*(1-'P-Parametri'!$B$6*AK455))*(1+'1-Input'!$B$27))</f>
        <v>18308.348082268236</v>
      </c>
      <c r="AN455" s="18">
        <f>IF($A455&gt;'1-Input'!$B$26,AP454,(AP454-AL455)*(1+$C$4))</f>
        <v>404426.5375174089</v>
      </c>
      <c r="AO455" s="18">
        <f>IF($A455&gt;'1-Input'!$B$26,AM455,AM455-'P-Parametri'!$B$8*(AN455+AM455)+MIN(MAX(AN455,0),'P-Parametri'!$B$8*(AN455+AM455)))</f>
        <v>18308.348082268236</v>
      </c>
      <c r="AP455" s="18">
        <f>IF($A455&gt;'1-Input'!$B$26,AN455,AN455-MIN(MAX(AN455,0),'P-Parametri'!$B$8*(AN455+AM455)))</f>
        <v>403581.06774620956</v>
      </c>
      <c r="AQ455" s="18">
        <f>IF($A455&gt;'1-Input'!$B$26,AQ454,AQ454-AL455*(1-AK455))</f>
        <v>299358.60019204253</v>
      </c>
    </row>
    <row r="456" spans="1:43">
      <c r="A456" s="10">
        <f>3</f>
        <v>3</v>
      </c>
      <c r="B456" s="11">
        <f>IF($A456&gt;'1-Input'!$B$26,0,IF(G455&lt;=0,0,MAX(0,(G455-H455)/G455)))</f>
        <v>0.25825781191382796</v>
      </c>
      <c r="C456" s="18">
        <f>IF($A456&gt;'1-Input'!$B$26,0,(MAX(0,B451-IF($A456&gt;='1-Input'!$C$12,'1-Input'!$B$12,0))-MIN(MAX(F455,0),MAX(0,B451-IF($A456&gt;='1-Input'!$C$12,'1-Input'!$B$12,0))))*(1/(1-'P-Parametri'!$B$6*B456))+MIN(MAX(0,G455-(MAX(0,B451-IF($A456&gt;='1-Input'!$C$12,'1-Input'!$B$12,0))-MIN(MAX(F455,0),MAX(0,B451-IF($A456&gt;='1-Input'!$C$12,'1-Input'!$B$12,0))))*(1/(1-'P-Parametri'!$B$6*B456))),MAX(0,1*B451-(F455-MIN(MAX(F455,0),MAX(0,B451-IF($A456&gt;='1-Input'!$C$12,'1-Input'!$B$12,0)))))*(1/(1-'P-Parametri'!$B$6*B456))))</f>
        <v>17946.136928154981</v>
      </c>
      <c r="D456" s="18">
        <f>IF($A456&gt;'1-Input'!$B$26,F455,(F455-MAX(0,B451-IF($A456&gt;='1-Input'!$C$12,'1-Input'!$B$12,0))+C456*(1-'P-Parametri'!$B$6*B456))*(1+'1-Input'!$B$27))</f>
        <v>16621.00351549315</v>
      </c>
      <c r="E456" s="18">
        <f>IF($A456&gt;'1-Input'!$B$26,G455,(G455-C456)*(1+$C$4))</f>
        <v>402924.90647707216</v>
      </c>
      <c r="F456" s="18">
        <f>IF($A456&gt;'1-Input'!$B$26,D456,D456-'P-Parametri'!$B$8*(E456+D456)+MIN(MAX(E456,0),'P-Parametri'!$B$8*(E456+D456)))</f>
        <v>16621.00351549315</v>
      </c>
      <c r="G456" s="18">
        <f>IF($A456&gt;'1-Input'!$B$26,E456,E456-MIN(MAX(E456,0),'P-Parametri'!$B$8*(E456+D456)))</f>
        <v>402085.81465708703</v>
      </c>
      <c r="H456" s="18">
        <f>IF($A456&gt;'1-Input'!$B$26,H455,H455-C456*(1-B456))</f>
        <v>290161.55511137837</v>
      </c>
      <c r="I456" s="11">
        <f>IF($A456&gt;'1-Input'!$B$26,0,IF(N455&lt;=0,0,MAX(0,(N455-O455)/N455)))</f>
        <v>0.25821441314993676</v>
      </c>
      <c r="J456" s="18">
        <f>IF($A456&gt;'1-Input'!$B$26,0,(MAX(0,I451-IF($A456&gt;='1-Input'!$C$12,'1-Input'!$B$12,0))-MIN(MAX(M455,0),MAX(0,I451-IF($A456&gt;='1-Input'!$C$12,'1-Input'!$B$12,0))))*(1/(1-'P-Parametri'!$B$6*I456))+MIN(MAX(0,N455-(MAX(0,I451-IF($A456&gt;='1-Input'!$C$12,'1-Input'!$B$12,0))-MIN(MAX(M455,0),MAX(0,I451-IF($A456&gt;='1-Input'!$C$12,'1-Input'!$B$12,0))))*(1/(1-'P-Parametri'!$B$6*I456))),MAX(0,1*I451-(M455-MIN(MAX(M455,0),MAX(0,I451-IF($A456&gt;='1-Input'!$C$12,'1-Input'!$B$12,0)))))*(1/(1-'P-Parametri'!$B$6*I456))))</f>
        <v>23613.052442686661</v>
      </c>
      <c r="K456" s="18">
        <f>IF($A456&gt;'1-Input'!$B$26,M455,(M455-MAX(0,I451-IF($A456&gt;='1-Input'!$C$12,'1-Input'!$B$12,0))+J456*(1-'P-Parametri'!$B$6*I456))*(1+'1-Input'!$B$27))</f>
        <v>21869.741467754146</v>
      </c>
      <c r="L456" s="18">
        <f>IF($A456&gt;'1-Input'!$B$26,N455,(N455-J456)*(1+$C$4))</f>
        <v>379292.20741739875</v>
      </c>
      <c r="M456" s="18">
        <f>IF($A456&gt;'1-Input'!$B$26,K456,K456-'P-Parametri'!$B$8*(L456+K456)+MIN(MAX(L456,0),'P-Parametri'!$B$8*(L456+K456)))</f>
        <v>21869.741467754146</v>
      </c>
      <c r="N456" s="18">
        <f>IF($A456&gt;'1-Input'!$B$26,L456,L456-MIN(MAX(L456,0),'P-Parametri'!$B$8*(L456+K456)))</f>
        <v>378489.88351962843</v>
      </c>
      <c r="O456" s="18">
        <f>IF($A456&gt;'1-Input'!$B$26,O455,O455-J456*(1-I456))</f>
        <v>273158.7307444379</v>
      </c>
      <c r="P456" s="11">
        <f>IF($A456&gt;'1-Input'!$B$26,0,IF(U455&lt;=0,0,MAX(0,(U455-V455)/U455)))</f>
        <v>0.25824200871934361</v>
      </c>
      <c r="Q456" s="18">
        <f>IF($A456&gt;'1-Input'!$B$26,0,(MAX(0,P451-IF($A456&gt;='1-Input'!$C$12,'1-Input'!$B$12,0))-MIN(MAX(T455,0),MAX(0,P451-IF($A456&gt;='1-Input'!$C$12,'1-Input'!$B$12,0))))*(1/(1-'P-Parametri'!$B$6*P456))+MIN(MAX(0,U455-(MAX(0,P451-IF($A456&gt;='1-Input'!$C$12,'1-Input'!$B$12,0))-MIN(MAX(T455,0),MAX(0,P451-IF($A456&gt;='1-Input'!$C$12,'1-Input'!$B$12,0))))*(1/(1-'P-Parametri'!$B$6*P456))),MAX(0,1*P451-(T455-MIN(MAX(T455,0),MAX(0,P451-IF($A456&gt;='1-Input'!$C$12,'1-Input'!$B$12,0)))))*(1/(1-'P-Parametri'!$B$6*P456))))</f>
        <v>20056.485488636201</v>
      </c>
      <c r="R456" s="18">
        <f>IF($A456&gt;'1-Input'!$B$26,T455,(T455-MAX(0,P451-IF($A456&gt;='1-Input'!$C$12,'1-Input'!$B$12,0))+Q456*(1-'P-Parametri'!$B$6*P456))*(1+'1-Input'!$B$27))</f>
        <v>18575.60685385593</v>
      </c>
      <c r="S456" s="18">
        <f>IF($A456&gt;'1-Input'!$B$26,U455,(U455-Q456)*(1+$C$4))</f>
        <v>394124.18180426455</v>
      </c>
      <c r="T456" s="18">
        <f>IF($A456&gt;'1-Input'!$B$26,R456,R456-'P-Parametri'!$B$8*(S456+R456)+MIN(MAX(S456,0),'P-Parametri'!$B$8*(S456+R456)))</f>
        <v>18575.60685385593</v>
      </c>
      <c r="U456" s="18">
        <f>IF($A456&gt;'1-Input'!$B$26,S456,S456-MIN(MAX(S456,0),'P-Parametri'!$B$8*(S456+R456)))</f>
        <v>393298.7822269483</v>
      </c>
      <c r="V456" s="18">
        <f>IF($A456&gt;'1-Input'!$B$26,V455,V455-Q456*(1-P456))</f>
        <v>283829.86544685776</v>
      </c>
      <c r="W456" s="11">
        <f>IF($A456&gt;'1-Input'!$B$26,0,IF(AB455&lt;=0,0,MAX(0,(AB455-AC455)/AB455)))</f>
        <v>0.25824410945956705</v>
      </c>
      <c r="X456" s="18">
        <f>IF($A456&gt;'1-Input'!$B$26,0,(MAX(0,W451-IF($A456&gt;='1-Input'!$C$12,'1-Input'!$B$12,0))-MIN(MAX(AA455,0),MAX(0,W451-IF($A456&gt;='1-Input'!$C$12,'1-Input'!$B$12,0))))*(1/(1-'P-Parametri'!$B$6*W456))+MIN(MAX(0,AB455-(MAX(0,W451-IF($A456&gt;='1-Input'!$C$12,'1-Input'!$B$12,0))-MIN(MAX(AA455,0),MAX(0,W451-IF($A456&gt;='1-Input'!$C$12,'1-Input'!$B$12,0))))*(1/(1-'P-Parametri'!$B$6*W456))),MAX(0,1*W451-(AA455-MIN(MAX(AA455,0),MAX(0,W451-IF($A456&gt;='1-Input'!$C$12,'1-Input'!$B$12,0)))))*(1/(1-'P-Parametri'!$B$6*W456))))</f>
        <v>19779.114905960239</v>
      </c>
      <c r="Y456" s="18">
        <f>IF($A456&gt;'1-Input'!$B$26,AA455,(AA455-MAX(0,W451-IF($A456&gt;='1-Input'!$C$12,'1-Input'!$B$12,0))+X456*(1-'P-Parametri'!$B$6*W456))*(1+'1-Input'!$B$27))</f>
        <v>18318.70531348556</v>
      </c>
      <c r="Z456" s="18">
        <f>IF($A456&gt;'1-Input'!$B$26,AB455,(AB455-X456)*(1+$C$4))</f>
        <v>395280.89534338855</v>
      </c>
      <c r="AA456" s="18">
        <f>IF($A456&gt;'1-Input'!$B$26,Y456,Y456-'P-Parametri'!$B$8*(Z456+Y456)+MIN(MAX(Z456,0),'P-Parametri'!$B$8*(Z456+Y456)))</f>
        <v>18318.70531348556</v>
      </c>
      <c r="AB456" s="18">
        <f>IF($A456&gt;'1-Input'!$B$26,Z456,Z456-MIN(MAX(Z456,0),'P-Parametri'!$B$8*(Z456+Y456)))</f>
        <v>394453.69614207483</v>
      </c>
      <c r="AC456" s="18">
        <f>IF($A456&gt;'1-Input'!$B$26,AC455,AC455-X456*(1-W456))</f>
        <v>284662.07042626682</v>
      </c>
      <c r="AD456" s="11">
        <f>IF($A456&gt;'1-Input'!$B$26,0,IF(AI455&lt;=0,0,MAX(0,(AI455-AJ455)/AI455)))</f>
        <v>0.25824419472192506</v>
      </c>
      <c r="AE456" s="18">
        <f>IF($A456&gt;'1-Input'!$B$26,0,(MAX(0,AD451-IF($A456&gt;='1-Input'!$C$12,'1-Input'!$B$12,0))-MIN(MAX(AH455,0),MAX(0,AD451-IF($A456&gt;='1-Input'!$C$12,'1-Input'!$B$12,0))))*(1/(1-'P-Parametri'!$B$6*AD456))+MIN(MAX(0,AI455-(MAX(0,AD451-IF($A456&gt;='1-Input'!$C$12,'1-Input'!$B$12,0))-MIN(MAX(AH455,0),MAX(0,AD451-IF($A456&gt;='1-Input'!$C$12,'1-Input'!$B$12,0))))*(1/(1-'P-Parametri'!$B$6*AD456))),MAX(0,1*AD451-(AH455-MIN(MAX(AH455,0),MAX(0,AD451-IF($A456&gt;='1-Input'!$C$12,'1-Input'!$B$12,0)))))*(1/(1-'P-Parametri'!$B$6*AD456))))</f>
        <v>19767.837067931974</v>
      </c>
      <c r="AF456" s="18">
        <f>IF($A456&gt;'1-Input'!$B$26,AH455,(AH455-MAX(0,AD451-IF($A456&gt;='1-Input'!$C$12,'1-Input'!$B$12,0))+AE456*(1-'P-Parametri'!$B$6*AD456))*(1+'1-Input'!$B$27))</f>
        <v>18308.259750184588</v>
      </c>
      <c r="AG456" s="18">
        <f>IF($A456&gt;'1-Input'!$B$26,AI455,(AI455-AE456)*(1+$C$4))</f>
        <v>395327.92708761548</v>
      </c>
      <c r="AH456" s="18">
        <f>IF($A456&gt;'1-Input'!$B$26,AF456,AF456-'P-Parametri'!$B$8*(AG456+AF456)+MIN(MAX(AG456,0),'P-Parametri'!$B$8*(AG456+AF456)))</f>
        <v>18308.259750184588</v>
      </c>
      <c r="AI456" s="18">
        <f>IF($A456&gt;'1-Input'!$B$26,AG456,AG456-MIN(MAX(AG456,0),'P-Parametri'!$B$8*(AG456+AF456)))</f>
        <v>394500.65471393988</v>
      </c>
      <c r="AJ456" s="18">
        <f>IF($A456&gt;'1-Input'!$B$26,AJ455,AJ455-AE456*(1-AD456))</f>
        <v>284695.90767552069</v>
      </c>
      <c r="AK456" s="11">
        <f>IF($A456&gt;'1-Input'!$B$26,0,IF(AP455&lt;=0,0,MAX(0,(AP455-AQ455)/AP455)))</f>
        <v>0.25824419400096077</v>
      </c>
      <c r="AL456" s="18">
        <f>IF($A456&gt;'1-Input'!$B$26,0,(MAX(0,AK451-IF($A456&gt;='1-Input'!$C$12,'1-Input'!$B$12,0))-MIN(MAX(AO455,0),MAX(0,AK451-IF($A456&gt;='1-Input'!$C$12,'1-Input'!$B$12,0))))*(1/(1-'P-Parametri'!$B$6*AK456))+MIN(MAX(0,AP455-(MAX(0,AK451-IF($A456&gt;='1-Input'!$C$12,'1-Input'!$B$12,0))-MIN(MAX(AO455,0),MAX(0,AK451-IF($A456&gt;='1-Input'!$C$12,'1-Input'!$B$12,0))))*(1/(1-'P-Parametri'!$B$6*AK456))),MAX(0,1*AK451-(AO455-MIN(MAX(AO455,0),MAX(0,AK451-IF($A456&gt;='1-Input'!$C$12,'1-Input'!$B$12,0)))))*(1/(1-'P-Parametri'!$B$6*AK456))))</f>
        <v>19767.932438083844</v>
      </c>
      <c r="AM456" s="18">
        <f>IF($A456&gt;'1-Input'!$B$26,AO455,(AO455-MAX(0,AK451-IF($A456&gt;='1-Input'!$C$12,'1-Input'!$B$12,0))+AL456*(1-'P-Parametri'!$B$6*AK456))*(1+'1-Input'!$B$27))</f>
        <v>18308.348082268236</v>
      </c>
      <c r="AN456" s="18">
        <f>IF($A456&gt;'1-Input'!$B$26,AP455,(AP455-AL456)*(1+$C$4))</f>
        <v>395327.52936736948</v>
      </c>
      <c r="AO456" s="18">
        <f>IF($A456&gt;'1-Input'!$B$26,AM456,AM456-'P-Parametri'!$B$8*(AN456+AM456)+MIN(MAX(AN456,0),'P-Parametri'!$B$8*(AN456+AM456)))</f>
        <v>18308.348082268236</v>
      </c>
      <c r="AP456" s="18">
        <f>IF($A456&gt;'1-Input'!$B$26,AN456,AN456-MIN(MAX(AN456,0),'P-Parametri'!$B$8*(AN456+AM456)))</f>
        <v>394500.25761247019</v>
      </c>
      <c r="AQ456" s="18">
        <f>IF($A456&gt;'1-Input'!$B$26,AQ455,AQ455-AL456*(1-AK456))</f>
        <v>284695.62153349712</v>
      </c>
    </row>
    <row r="457" spans="1:43">
      <c r="A457" s="10">
        <f>4</f>
        <v>4</v>
      </c>
      <c r="B457" s="11">
        <f>IF($A457&gt;'1-Input'!$B$26,0,IF(G456&lt;=0,0,MAX(0,(G456-H456)/G456)))</f>
        <v>0.27835913495521253</v>
      </c>
      <c r="C457" s="18">
        <f>IF($A457&gt;'1-Input'!$B$26,0,(MAX(0,B451-IF($A457&gt;='1-Input'!$C$12,'1-Input'!$B$12,0))-MIN(MAX(F456,0),MAX(0,B451-IF($A457&gt;='1-Input'!$C$12,'1-Input'!$B$12,0))))*(1/(1-'P-Parametri'!$B$6*B457))+MIN(MAX(0,G456-(MAX(0,B451-IF($A457&gt;='1-Input'!$C$12,'1-Input'!$B$12,0))-MIN(MAX(F456,0),MAX(0,B451-IF($A457&gt;='1-Input'!$C$12,'1-Input'!$B$12,0))))*(1/(1-'P-Parametri'!$B$6*B457))),MAX(0,1*B451-(F456-MIN(MAX(F456,0),MAX(0,B451-IF($A457&gt;='1-Input'!$C$12,'1-Input'!$B$12,0)))))*(1/(1-'P-Parametri'!$B$6*B457))))</f>
        <v>18047.247312843167</v>
      </c>
      <c r="D457" s="18">
        <f>IF($A457&gt;'1-Input'!$B$26,F456,(F456-MAX(0,B451-IF($A457&gt;='1-Input'!$C$12,'1-Input'!$B$12,0))+C457*(1-'P-Parametri'!$B$6*B457))*(1+'1-Input'!$B$27))</f>
        <v>16621.00351549315</v>
      </c>
      <c r="E457" s="18">
        <f>IF($A457&gt;'1-Input'!$B$26,G456,(G456-C457)*(1+$C$4))</f>
        <v>395559.72436457122</v>
      </c>
      <c r="F457" s="18">
        <f>IF($A457&gt;'1-Input'!$B$26,D457,D457-'P-Parametri'!$B$8*(E457+D457)+MIN(MAX(E457,0),'P-Parametri'!$B$8*(E457+D457)))</f>
        <v>16621.00351549315</v>
      </c>
      <c r="G457" s="18">
        <f>IF($A457&gt;'1-Input'!$B$26,E457,E457-MIN(MAX(E457,0),'P-Parametri'!$B$8*(E457+D457)))</f>
        <v>394735.36290881108</v>
      </c>
      <c r="H457" s="18">
        <f>IF($A457&gt;'1-Input'!$B$26,H456,H456-C457*(1-B457))</f>
        <v>277137.92394886102</v>
      </c>
      <c r="I457" s="11">
        <f>IF($A457&gt;'1-Input'!$B$26,0,IF(N456&lt;=0,0,MAX(0,(N456-O456)/N456)))</f>
        <v>0.2782931786596301</v>
      </c>
      <c r="J457" s="18">
        <f>IF($A457&gt;'1-Input'!$B$26,0,(MAX(0,I451-IF($A457&gt;='1-Input'!$C$12,'1-Input'!$B$12,0))-MIN(MAX(M456,0),MAX(0,I451-IF($A457&gt;='1-Input'!$C$12,'1-Input'!$B$12,0))))*(1/(1-'P-Parametri'!$B$6*I457))+MIN(MAX(0,N456-(MAX(0,I451-IF($A457&gt;='1-Input'!$C$12,'1-Input'!$B$12,0))-MIN(MAX(M456,0),MAX(0,I451-IF($A457&gt;='1-Input'!$C$12,'1-Input'!$B$12,0))))*(1/(1-'P-Parametri'!$B$6*I457))),MAX(0,1*I451-(M456-MIN(MAX(M456,0),MAX(0,I451-IF($A457&gt;='1-Input'!$C$12,'1-Input'!$B$12,0)))))*(1/(1-'P-Parametri'!$B$6*I457))))</f>
        <v>23745.939062190722</v>
      </c>
      <c r="K457" s="18">
        <f>IF($A457&gt;'1-Input'!$B$26,M456,(M456-MAX(0,I451-IF($A457&gt;='1-Input'!$C$12,'1-Input'!$B$12,0))+J457*(1-'P-Parametri'!$B$6*I457))*(1+'1-Input'!$B$27))</f>
        <v>21869.741467754149</v>
      </c>
      <c r="L457" s="18">
        <f>IF($A457&gt;'1-Input'!$B$26,N456,(N456-J457)*(1+$C$4))</f>
        <v>365386.26279116084</v>
      </c>
      <c r="M457" s="18">
        <f>IF($A457&gt;'1-Input'!$B$26,K457,K457-'P-Parametri'!$B$8*(L457+K457)+MIN(MAX(L457,0),'P-Parametri'!$B$8*(L457+K457)))</f>
        <v>21869.741467754149</v>
      </c>
      <c r="N457" s="18">
        <f>IF($A457&gt;'1-Input'!$B$26,L457,L457-MIN(MAX(L457,0),'P-Parametri'!$B$8*(L457+K457)))</f>
        <v>364611.75078264304</v>
      </c>
      <c r="O457" s="18">
        <f>IF($A457&gt;'1-Input'!$B$26,O456,O456-J457*(1-I457))</f>
        <v>256021.12454412211</v>
      </c>
      <c r="P457" s="11">
        <f>IF($A457&gt;'1-Input'!$B$26,0,IF(U456&lt;=0,0,MAX(0,(U456-V456)/U456)))</f>
        <v>0.27833525484175753</v>
      </c>
      <c r="Q457" s="18">
        <f>IF($A457&gt;'1-Input'!$B$26,0,(MAX(0,P451-IF($A457&gt;='1-Input'!$C$12,'1-Input'!$B$12,0))-MIN(MAX(T456,0),MAX(0,P451-IF($A457&gt;='1-Input'!$C$12,'1-Input'!$B$12,0))))*(1/(1-'P-Parametri'!$B$6*P457))+MIN(MAX(0,U456-(MAX(0,P451-IF($A457&gt;='1-Input'!$C$12,'1-Input'!$B$12,0))-MIN(MAX(T456,0),MAX(0,P451-IF($A457&gt;='1-Input'!$C$12,'1-Input'!$B$12,0))))*(1/(1-'P-Parametri'!$B$6*P457))),MAX(0,1*P451-(T456-MIN(MAX(T456,0),MAX(0,P451-IF($A457&gt;='1-Input'!$C$12,'1-Input'!$B$12,0)))))*(1/(1-'P-Parametri'!$B$6*P457))))</f>
        <v>20169.439633853992</v>
      </c>
      <c r="R457" s="18">
        <f>IF($A457&gt;'1-Input'!$B$26,T456,(T456-MAX(0,P451-IF($A457&gt;='1-Input'!$C$12,'1-Input'!$B$12,0))+Q457*(1-'P-Parametri'!$B$6*P457))*(1+'1-Input'!$B$27))</f>
        <v>18575.60685385593</v>
      </c>
      <c r="S457" s="18">
        <f>IF($A457&gt;'1-Input'!$B$26,U456,(U456-Q457)*(1+$C$4))</f>
        <v>384323.2228708872</v>
      </c>
      <c r="T457" s="18">
        <f>IF($A457&gt;'1-Input'!$B$26,R457,R457-'P-Parametri'!$B$8*(S457+R457)+MIN(MAX(S457,0),'P-Parametri'!$B$8*(S457+R457)))</f>
        <v>18575.60685385593</v>
      </c>
      <c r="U457" s="18">
        <f>IF($A457&gt;'1-Input'!$B$26,S457,S457-MIN(MAX(S457,0),'P-Parametri'!$B$8*(S457+R457)))</f>
        <v>383517.42521143769</v>
      </c>
      <c r="V457" s="18">
        <f>IF($A457&gt;'1-Input'!$B$26,V456,V456-Q457*(1-P457))</f>
        <v>269274.29193350795</v>
      </c>
      <c r="W457" s="11">
        <f>IF($A457&gt;'1-Input'!$B$26,0,IF(AB456&lt;=0,0,MAX(0,(AB456-AC456)/AB456)))</f>
        <v>0.27833843817314141</v>
      </c>
      <c r="X457" s="18">
        <f>IF($A457&gt;'1-Input'!$B$26,0,(MAX(0,W451-IF($A457&gt;='1-Input'!$C$12,'1-Input'!$B$12,0))-MIN(MAX(AA456,0),MAX(0,W451-IF($A457&gt;='1-Input'!$C$12,'1-Input'!$B$12,0))))*(1/(1-'P-Parametri'!$B$6*W457))+MIN(MAX(0,AB456-(MAX(0,W451-IF($A457&gt;='1-Input'!$C$12,'1-Input'!$B$12,0))-MIN(MAX(AA456,0),MAX(0,W451-IF($A457&gt;='1-Input'!$C$12,'1-Input'!$B$12,0))))*(1/(1-'P-Parametri'!$B$6*W457))),MAX(0,1*W451-(AA456-MIN(MAX(AA456,0),MAX(0,W451-IF($A457&gt;='1-Input'!$C$12,'1-Input'!$B$12,0)))))*(1/(1-'P-Parametri'!$B$6*W457))))</f>
        <v>19890.513056126554</v>
      </c>
      <c r="Y457" s="18">
        <f>IF($A457&gt;'1-Input'!$B$26,AA456,(AA456-MAX(0,W451-IF($A457&gt;='1-Input'!$C$12,'1-Input'!$B$12,0))+X457*(1-'P-Parametri'!$B$6*W457))*(1+'1-Input'!$B$27))</f>
        <v>18318.70531348556</v>
      </c>
      <c r="Z457" s="18">
        <f>IF($A457&gt;'1-Input'!$B$26,AB456,(AB456-X457)*(1+$C$4))</f>
        <v>385800.07857852674</v>
      </c>
      <c r="AA457" s="18">
        <f>IF($A457&gt;'1-Input'!$B$26,Y457,Y457-'P-Parametri'!$B$8*(Z457+Y457)+MIN(MAX(Z457,0),'P-Parametri'!$B$8*(Z457+Y457)))</f>
        <v>18318.70531348556</v>
      </c>
      <c r="AB457" s="18">
        <f>IF($A457&gt;'1-Input'!$B$26,Z457,Z457-MIN(MAX(Z457,0),'P-Parametri'!$B$8*(Z457+Y457)))</f>
        <v>384991.8410107427</v>
      </c>
      <c r="AC457" s="18">
        <f>IF($A457&gt;'1-Input'!$B$26,AC456,AC456-X457*(1-W457))</f>
        <v>270307.851708645</v>
      </c>
      <c r="AD457" s="11">
        <f>IF($A457&gt;'1-Input'!$B$26,0,IF(AI456&lt;=0,0,MAX(0,(AI456-AJ456)/AI456)))</f>
        <v>0.27833856731629697</v>
      </c>
      <c r="AE457" s="18">
        <f>IF($A457&gt;'1-Input'!$B$26,0,(MAX(0,AD451-IF($A457&gt;='1-Input'!$C$12,'1-Input'!$B$12,0))-MIN(MAX(AH456,0),MAX(0,AD451-IF($A457&gt;='1-Input'!$C$12,'1-Input'!$B$12,0))))*(1/(1-'P-Parametri'!$B$6*AD457))+MIN(MAX(0,AI456-(MAX(0,AD451-IF($A457&gt;='1-Input'!$C$12,'1-Input'!$B$12,0))-MIN(MAX(AH456,0),MAX(0,AD451-IF($A457&gt;='1-Input'!$C$12,'1-Input'!$B$12,0))))*(1/(1-'P-Parametri'!$B$6*AD457))),MAX(0,1*AD451-(AH456-MIN(MAX(AH456,0),MAX(0,AD451-IF($A457&gt;='1-Input'!$C$12,'1-Input'!$B$12,0)))))*(1/(1-'P-Parametri'!$B$6*AD457))))</f>
        <v>19879.171947230228</v>
      </c>
      <c r="AF457" s="18">
        <f>IF($A457&gt;'1-Input'!$B$26,AH456,(AH456-MAX(0,AD451-IF($A457&gt;='1-Input'!$C$12,'1-Input'!$B$12,0))+AE457*(1-'P-Parametri'!$B$6*AD457))*(1+'1-Input'!$B$27))</f>
        <v>18308.259750184585</v>
      </c>
      <c r="AG457" s="18">
        <f>IF($A457&gt;'1-Input'!$B$26,AI456,(AI456-AE457)*(1+$C$4))</f>
        <v>385860.12724971096</v>
      </c>
      <c r="AH457" s="18">
        <f>IF($A457&gt;'1-Input'!$B$26,AF457,AF457-'P-Parametri'!$B$8*(AG457+AF457)+MIN(MAX(AG457,0),'P-Parametri'!$B$8*(AG457+AF457)))</f>
        <v>18308.259750184585</v>
      </c>
      <c r="AI457" s="18">
        <f>IF($A457&gt;'1-Input'!$B$26,AG457,AG457-MIN(MAX(AG457,0),'P-Parametri'!$B$8*(AG457+AF457)))</f>
        <v>385051.79047571117</v>
      </c>
      <c r="AJ457" s="18">
        <f>IF($A457&gt;'1-Input'!$B$26,AJ456,AJ456-AE457*(1-AD457))</f>
        <v>270349.87596751685</v>
      </c>
      <c r="AK457" s="11">
        <f>IF($A457&gt;'1-Input'!$B$26,0,IF(AP456&lt;=0,0,MAX(0,(AP456-AQ456)/AP456)))</f>
        <v>0.27833856622430286</v>
      </c>
      <c r="AL457" s="18">
        <f>IF($A457&gt;'1-Input'!$B$26,0,(MAX(0,AK451-IF($A457&gt;='1-Input'!$C$12,'1-Input'!$B$12,0))-MIN(MAX(AO456,0),MAX(0,AK451-IF($A457&gt;='1-Input'!$C$12,'1-Input'!$B$12,0))))*(1/(1-'P-Parametri'!$B$6*AK457))+MIN(MAX(0,AP456-(MAX(0,AK451-IF($A457&gt;='1-Input'!$C$12,'1-Input'!$B$12,0))-MIN(MAX(AO456,0),MAX(0,AK451-IF($A457&gt;='1-Input'!$C$12,'1-Input'!$B$12,0))))*(1/(1-'P-Parametri'!$B$6*AK457))),MAX(0,1*AK451-(AO456-MIN(MAX(AO456,0),MAX(0,AK451-IF($A457&gt;='1-Input'!$C$12,'1-Input'!$B$12,0)))))*(1/(1-'P-Parametri'!$B$6*AK457))))</f>
        <v>19879.26785242866</v>
      </c>
      <c r="AM457" s="18">
        <f>IF($A457&gt;'1-Input'!$B$26,AO456,(AO456-MAX(0,AK451-IF($A457&gt;='1-Input'!$C$12,'1-Input'!$B$12,0))+AL457*(1-'P-Parametri'!$B$6*AK457))*(1+'1-Input'!$B$27))</f>
        <v>18308.348082268232</v>
      </c>
      <c r="AN457" s="18">
        <f>IF($A457&gt;'1-Input'!$B$26,AP456,(AP456-AL457)*(1+$C$4))</f>
        <v>385859.6194528428</v>
      </c>
      <c r="AO457" s="18">
        <f>IF($A457&gt;'1-Input'!$B$26,AM457,AM457-'P-Parametri'!$B$8*(AN457+AM457)+MIN(MAX(AN457,0),'P-Parametri'!$B$8*(AN457+AM457)))</f>
        <v>18308.348082268232</v>
      </c>
      <c r="AP457" s="18">
        <f>IF($A457&gt;'1-Input'!$B$26,AN457,AN457-MIN(MAX(AN457,0),'P-Parametri'!$B$8*(AN457+AM457)))</f>
        <v>385051.28351777256</v>
      </c>
      <c r="AQ457" s="18">
        <f>IF($A457&gt;'1-Input'!$B$26,AQ456,AQ456-AL457*(1-AK457))</f>
        <v>270349.52059270232</v>
      </c>
    </row>
    <row r="458" spans="1:43">
      <c r="A458" s="10">
        <f>5</f>
        <v>5</v>
      </c>
      <c r="B458" s="11">
        <f>IF($A458&gt;'1-Input'!$B$26,0,IF(G457&lt;=0,0,MAX(0,(G457-H457)/G457)))</f>
        <v>0.29791462840666894</v>
      </c>
      <c r="C458" s="18">
        <f>IF($A458&gt;'1-Input'!$B$26,0,(MAX(0,B451-IF($A458&gt;='1-Input'!$C$12,'1-Input'!$B$12,0))-MIN(MAX(F457,0),MAX(0,B451-IF($A458&gt;='1-Input'!$C$12,'1-Input'!$B$12,0))))*(1/(1-'P-Parametri'!$B$6*B458))+MIN(MAX(0,G457-(MAX(0,B451-IF($A458&gt;='1-Input'!$C$12,'1-Input'!$B$12,0))-MIN(MAX(F457,0),MAX(0,B451-IF($A458&gt;='1-Input'!$C$12,'1-Input'!$B$12,0))))*(1/(1-'P-Parametri'!$B$6*B458))),MAX(0,1*B451-(F457-MIN(MAX(F457,0),MAX(0,B451-IF($A458&gt;='1-Input'!$C$12,'1-Input'!$B$12,0)))))*(1/(1-'P-Parametri'!$B$6*B458))))</f>
        <v>18146.711527340853</v>
      </c>
      <c r="D458" s="18">
        <f>IF($A458&gt;'1-Input'!$B$26,F457,(F457-MAX(0,B451-IF($A458&gt;='1-Input'!$C$12,'1-Input'!$B$12,0))+C458*(1-'P-Parametri'!$B$6*B458))*(1+'1-Input'!$B$27))</f>
        <v>16621.00351549315</v>
      </c>
      <c r="E458" s="18">
        <f>IF($A458&gt;'1-Input'!$B$26,G457,(G457-C458)*(1+$C$4))</f>
        <v>387886.3109229143</v>
      </c>
      <c r="F458" s="18">
        <f>IF($A458&gt;'1-Input'!$B$26,D458,D458-'P-Parametri'!$B$8*(E458+D458)+MIN(MAX(E458,0),'P-Parametri'!$B$8*(E458+D458)))</f>
        <v>16621.00351549315</v>
      </c>
      <c r="G458" s="18">
        <f>IF($A458&gt;'1-Input'!$B$26,E458,E458-MIN(MAX(E458,0),'P-Parametri'!$B$8*(E458+D458)))</f>
        <v>387077.29629403749</v>
      </c>
      <c r="H458" s="18">
        <f>IF($A458&gt;'1-Input'!$B$26,H457,H457-C458*(1-B458))</f>
        <v>264397.38324299094</v>
      </c>
      <c r="I458" s="11">
        <f>IF($A458&gt;'1-Input'!$B$26,0,IF(N457&lt;=0,0,MAX(0,(N457-O457)/N457)))</f>
        <v>0.2978253608267698</v>
      </c>
      <c r="J458" s="18">
        <f>IF($A458&gt;'1-Input'!$B$26,0,(MAX(0,I451-IF($A458&gt;='1-Input'!$C$12,'1-Input'!$B$12,0))-MIN(MAX(M457,0),MAX(0,I451-IF($A458&gt;='1-Input'!$C$12,'1-Input'!$B$12,0))))*(1/(1-'P-Parametri'!$B$6*I458))+MIN(MAX(0,N457-(MAX(0,I451-IF($A458&gt;='1-Input'!$C$12,'1-Input'!$B$12,0))-MIN(MAX(M457,0),MAX(0,I451-IF($A458&gt;='1-Input'!$C$12,'1-Input'!$B$12,0))))*(1/(1-'P-Parametri'!$B$6*I458))),MAX(0,1*I451-(M457-MIN(MAX(M457,0),MAX(0,I451-IF($A458&gt;='1-Input'!$C$12,'1-Input'!$B$12,0)))))*(1/(1-'P-Parametri'!$B$6*I458))))</f>
        <v>23876.651314286435</v>
      </c>
      <c r="K458" s="18">
        <f>IF($A458&gt;'1-Input'!$B$26,M457,(M457-MAX(0,I451-IF($A458&gt;='1-Input'!$C$12,'1-Input'!$B$12,0))+J458*(1-'P-Parametri'!$B$6*I458))*(1+'1-Input'!$B$27))</f>
        <v>21869.741467754146</v>
      </c>
      <c r="L458" s="18">
        <f>IF($A458&gt;'1-Input'!$B$26,N457,(N457-J458)*(1+$C$4))</f>
        <v>350957.15245240729</v>
      </c>
      <c r="M458" s="18">
        <f>IF($A458&gt;'1-Input'!$B$26,K458,K458-'P-Parametri'!$B$8*(L458+K458)+MIN(MAX(L458,0),'P-Parametri'!$B$8*(L458+K458)))</f>
        <v>21869.741467754146</v>
      </c>
      <c r="N458" s="18">
        <f>IF($A458&gt;'1-Input'!$B$26,L458,L458-MIN(MAX(L458,0),'P-Parametri'!$B$8*(L458+K458)))</f>
        <v>350211.49866456696</v>
      </c>
      <c r="O458" s="18">
        <f>IF($A458&gt;'1-Input'!$B$26,O457,O457-J458*(1-I458))</f>
        <v>239255.545522848</v>
      </c>
      <c r="P458" s="11">
        <f>IF($A458&gt;'1-Input'!$B$26,0,IF(U457&lt;=0,0,MAX(0,(U457-V457)/U457)))</f>
        <v>0.29788251007094696</v>
      </c>
      <c r="Q458" s="18">
        <f>IF($A458&gt;'1-Input'!$B$26,0,(MAX(0,P451-IF($A458&gt;='1-Input'!$C$12,'1-Input'!$B$12,0))-MIN(MAX(T457,0),MAX(0,P451-IF($A458&gt;='1-Input'!$C$12,'1-Input'!$B$12,0))))*(1/(1-'P-Parametri'!$B$6*P458))+MIN(MAX(0,U457-(MAX(0,P451-IF($A458&gt;='1-Input'!$C$12,'1-Input'!$B$12,0))-MIN(MAX(T457,0),MAX(0,P451-IF($A458&gt;='1-Input'!$C$12,'1-Input'!$B$12,0))))*(1/(1-'P-Parametri'!$B$6*P458))),MAX(0,1*P451-(T457-MIN(MAX(T457,0),MAX(0,P451-IF($A458&gt;='1-Input'!$C$12,'1-Input'!$B$12,0)))))*(1/(1-'P-Parametri'!$B$6*P458))))</f>
        <v>20280.552101591005</v>
      </c>
      <c r="R458" s="18">
        <f>IF($A458&gt;'1-Input'!$B$26,T457,(T457-MAX(0,P451-IF($A458&gt;='1-Input'!$C$12,'1-Input'!$B$12,0))+Q458*(1-'P-Parametri'!$B$6*P458))*(1+'1-Input'!$B$27))</f>
        <v>18575.606853855934</v>
      </c>
      <c r="S458" s="18">
        <f>IF($A458&gt;'1-Input'!$B$26,U457,(U457-Q458)*(1+$C$4))</f>
        <v>374133.97930314206</v>
      </c>
      <c r="T458" s="18">
        <f>IF($A458&gt;'1-Input'!$B$26,R458,R458-'P-Parametri'!$B$8*(S458+R458)+MIN(MAX(S458,0),'P-Parametri'!$B$8*(S458+R458)))</f>
        <v>18575.606853855934</v>
      </c>
      <c r="U458" s="18">
        <f>IF($A458&gt;'1-Input'!$B$26,S458,S458-MIN(MAX(S458,0),'P-Parametri'!$B$8*(S458+R458)))</f>
        <v>373348.56013082806</v>
      </c>
      <c r="V458" s="18">
        <f>IF($A458&gt;'1-Input'!$B$26,V457,V457-Q458*(1-P458))</f>
        <v>255034.9615975635</v>
      </c>
      <c r="W458" s="11">
        <f>IF($A458&gt;'1-Input'!$B$26,0,IF(AB457&lt;=0,0,MAX(0,(AB457-AC457)/AB457)))</f>
        <v>0.29788680456450917</v>
      </c>
      <c r="X458" s="18">
        <f>IF($A458&gt;'1-Input'!$B$26,0,(MAX(0,W451-IF($A458&gt;='1-Input'!$C$12,'1-Input'!$B$12,0))-MIN(MAX(AA457,0),MAX(0,W451-IF($A458&gt;='1-Input'!$C$12,'1-Input'!$B$12,0))))*(1/(1-'P-Parametri'!$B$6*W458))+MIN(MAX(0,AB457-(MAX(0,W451-IF($A458&gt;='1-Input'!$C$12,'1-Input'!$B$12,0))-MIN(MAX(AA457,0),MAX(0,W451-IF($A458&gt;='1-Input'!$C$12,'1-Input'!$B$12,0))))*(1/(1-'P-Parametri'!$B$6*W458))),MAX(0,1*W451-(AA457-MIN(MAX(AA457,0),MAX(0,W451-IF($A458&gt;='1-Input'!$C$12,'1-Input'!$B$12,0)))))*(1/(1-'P-Parametri'!$B$6*W458))))</f>
        <v>20000.095292293114</v>
      </c>
      <c r="Y458" s="18">
        <f>IF($A458&gt;'1-Input'!$B$26,AA457,(AA457-MAX(0,W451-IF($A458&gt;='1-Input'!$C$12,'1-Input'!$B$12,0))+X458*(1-'P-Parametri'!$B$6*W458))*(1+'1-Input'!$B$27))</f>
        <v>18318.705313485563</v>
      </c>
      <c r="Z458" s="18">
        <f>IF($A458&gt;'1-Input'!$B$26,AB457,(AB457-X458)*(1+$C$4))</f>
        <v>375941.49809000309</v>
      </c>
      <c r="AA458" s="18">
        <f>IF($A458&gt;'1-Input'!$B$26,Y458,Y458-'P-Parametri'!$B$8*(Z458+Y458)+MIN(MAX(Z458,0),'P-Parametri'!$B$8*(Z458+Y458)))</f>
        <v>18318.705313485563</v>
      </c>
      <c r="AB458" s="18">
        <f>IF($A458&gt;'1-Input'!$B$26,Z458,Z458-MIN(MAX(Z458,0),'P-Parametri'!$B$8*(Z458+Y458)))</f>
        <v>375152.97768319614</v>
      </c>
      <c r="AC458" s="18">
        <f>IF($A458&gt;'1-Input'!$B$26,AC457,AC457-X458*(1-W458))</f>
        <v>256265.52089395878</v>
      </c>
      <c r="AD458" s="11">
        <f>IF($A458&gt;'1-Input'!$B$26,0,IF(AI457&lt;=0,0,MAX(0,(AI457-AJ457)/AI457)))</f>
        <v>0.29788697870093306</v>
      </c>
      <c r="AE458" s="18">
        <f>IF($A458&gt;'1-Input'!$B$26,0,(MAX(0,AD451-IF($A458&gt;='1-Input'!$C$12,'1-Input'!$B$12,0))-MIN(MAX(AH457,0),MAX(0,AD451-IF($A458&gt;='1-Input'!$C$12,'1-Input'!$B$12,0))))*(1/(1-'P-Parametri'!$B$6*AD458))+MIN(MAX(0,AI457-(MAX(0,AD451-IF($A458&gt;='1-Input'!$C$12,'1-Input'!$B$12,0))-MIN(MAX(AH457,0),MAX(0,AD451-IF($A458&gt;='1-Input'!$C$12,'1-Input'!$B$12,0))))*(1/(1-'P-Parametri'!$B$6*AD458))),MAX(0,1*AD451-(AH457-MIN(MAX(AH457,0),MAX(0,AD451-IF($A458&gt;='1-Input'!$C$12,'1-Input'!$B$12,0)))))*(1/(1-'P-Parametri'!$B$6*AD458))))</f>
        <v>19988.691959598786</v>
      </c>
      <c r="AF458" s="18">
        <f>IF($A458&gt;'1-Input'!$B$26,AH457,(AH457-MAX(0,AD451-IF($A458&gt;='1-Input'!$C$12,'1-Input'!$B$12,0))+AE458*(1-'P-Parametri'!$B$6*AD458))*(1+'1-Input'!$B$27))</f>
        <v>18308.259750184585</v>
      </c>
      <c r="AG458" s="18">
        <f>IF($A458&gt;'1-Input'!$B$26,AI457,(AI457-AE458)*(1+$C$4))</f>
        <v>376014.99147159577</v>
      </c>
      <c r="AH458" s="18">
        <f>IF($A458&gt;'1-Input'!$B$26,AF458,AF458-'P-Parametri'!$B$8*(AG458+AF458)+MIN(MAX(AG458,0),'P-Parametri'!$B$8*(AG458+AF458)))</f>
        <v>18308.259750184585</v>
      </c>
      <c r="AI458" s="18">
        <f>IF($A458&gt;'1-Input'!$B$26,AG458,AG458-MIN(MAX(AG458,0),'P-Parametri'!$B$8*(AG458+AF458)))</f>
        <v>375226.34496915218</v>
      </c>
      <c r="AJ458" s="18">
        <f>IF($A458&gt;'1-Input'!$B$26,AJ457,AJ457-AE458*(1-AD458))</f>
        <v>256315.55506394658</v>
      </c>
      <c r="AK458" s="11">
        <f>IF($A458&gt;'1-Input'!$B$26,0,IF(AP457&lt;=0,0,MAX(0,(AP457-AQ457)/AP457)))</f>
        <v>0.29788697722851776</v>
      </c>
      <c r="AL458" s="18">
        <f>IF($A458&gt;'1-Input'!$B$26,0,(MAX(0,AK451-IF($A458&gt;='1-Input'!$C$12,'1-Input'!$B$12,0))-MIN(MAX(AO457,0),MAX(0,AK451-IF($A458&gt;='1-Input'!$C$12,'1-Input'!$B$12,0))))*(1/(1-'P-Parametri'!$B$6*AK458))+MIN(MAX(0,AP457-(MAX(0,AK451-IF($A458&gt;='1-Input'!$C$12,'1-Input'!$B$12,0))-MIN(MAX(AO457,0),MAX(0,AK451-IF($A458&gt;='1-Input'!$C$12,'1-Input'!$B$12,0))))*(1/(1-'P-Parametri'!$B$6*AK458))),MAX(0,1*AK451-(AO457-MIN(MAX(AO457,0),MAX(0,AK451-IF($A458&gt;='1-Input'!$C$12,'1-Input'!$B$12,0)))))*(1/(1-'P-Parametri'!$B$6*AK458))))</f>
        <v>19988.788390989474</v>
      </c>
      <c r="AM458" s="18">
        <f>IF($A458&gt;'1-Input'!$B$26,AO457,(AO457-MAX(0,AK451-IF($A458&gt;='1-Input'!$C$12,'1-Input'!$B$12,0))+AL458*(1-'P-Parametri'!$B$6*AK458))*(1+'1-Input'!$B$27))</f>
        <v>18308.34808226824</v>
      </c>
      <c r="AN458" s="18">
        <f>IF($A458&gt;'1-Input'!$B$26,AP457,(AP457-AL458)*(1+$C$4))</f>
        <v>376014.36998058658</v>
      </c>
      <c r="AO458" s="18">
        <f>IF($A458&gt;'1-Input'!$B$26,AM458,AM458-'P-Parametri'!$B$8*(AN458+AM458)+MIN(MAX(AN458,0),'P-Parametri'!$B$8*(AN458+AM458)))</f>
        <v>18308.34808226824</v>
      </c>
      <c r="AP458" s="18">
        <f>IF($A458&gt;'1-Input'!$B$26,AN458,AN458-MIN(MAX(AN458,0),'P-Parametri'!$B$8*(AN458+AM458)))</f>
        <v>375225.72454446089</v>
      </c>
      <c r="AQ458" s="18">
        <f>IF($A458&gt;'1-Input'!$B$26,AQ457,AQ457-AL458*(1-AK458))</f>
        <v>256315.13195396517</v>
      </c>
    </row>
    <row r="459" spans="1:43">
      <c r="A459" s="10">
        <f>6</f>
        <v>6</v>
      </c>
      <c r="B459" s="11">
        <f>IF($A459&gt;'1-Input'!$B$26,0,IF(G458&lt;=0,0,MAX(0,(G458-H458)/G458)))</f>
        <v>0.3169390564251916</v>
      </c>
      <c r="C459" s="18">
        <f>IF($A459&gt;'1-Input'!$B$26,0,(MAX(0,B451-IF($A459&gt;='1-Input'!$C$12,'1-Input'!$B$12,0))-MIN(MAX(F458,0),MAX(0,B451-IF($A459&gt;='1-Input'!$C$12,'1-Input'!$B$12,0))))*(1/(1-'P-Parametri'!$B$6*B459))+MIN(MAX(0,G458-(MAX(0,B451-IF($A459&gt;='1-Input'!$C$12,'1-Input'!$B$12,0))-MIN(MAX(F458,0),MAX(0,B451-IF($A459&gt;='1-Input'!$C$12,'1-Input'!$B$12,0))))*(1/(1-'P-Parametri'!$B$6*B459))),MAX(0,1*B451-(F458-MIN(MAX(F458,0),MAX(0,B451-IF($A459&gt;='1-Input'!$C$12,'1-Input'!$B$12,0)))))*(1/(1-'P-Parametri'!$B$6*B459))))</f>
        <v>18244.532382061723</v>
      </c>
      <c r="D459" s="18">
        <f>IF($A459&gt;'1-Input'!$B$26,F458,(F458-MAX(0,B451-IF($A459&gt;='1-Input'!$C$12,'1-Input'!$B$12,0))+C459*(1-'P-Parametri'!$B$6*B459))*(1+'1-Input'!$B$27))</f>
        <v>16621.00351549315</v>
      </c>
      <c r="E459" s="18">
        <f>IF($A459&gt;'1-Input'!$B$26,G458,(G458-C459)*(1+$C$4))</f>
        <v>379897.74682933505</v>
      </c>
      <c r="F459" s="18">
        <f>IF($A459&gt;'1-Input'!$B$26,D459,D459-'P-Parametri'!$B$8*(E459+D459)+MIN(MAX(E459,0),'P-Parametri'!$B$8*(E459+D459)))</f>
        <v>16621.00351549315</v>
      </c>
      <c r="G459" s="18">
        <f>IF($A459&gt;'1-Input'!$B$26,E459,E459-MIN(MAX(E459,0),'P-Parametri'!$B$8*(E459+D459)))</f>
        <v>379104.70932864537</v>
      </c>
      <c r="H459" s="18">
        <f>IF($A459&gt;'1-Input'!$B$26,H458,H458-C459*(1-B459))</f>
        <v>251935.2557390187</v>
      </c>
      <c r="I459" s="11">
        <f>IF($A459&gt;'1-Input'!$B$26,0,IF(N458&lt;=0,0,MAX(0,(N458-O458)/N458)))</f>
        <v>0.31682555702716292</v>
      </c>
      <c r="J459" s="18">
        <f>IF($A459&gt;'1-Input'!$B$26,0,(MAX(0,I451-IF($A459&gt;='1-Input'!$C$12,'1-Input'!$B$12,0))-MIN(MAX(M458,0),MAX(0,I451-IF($A459&gt;='1-Input'!$C$12,'1-Input'!$B$12,0))))*(1/(1-'P-Parametri'!$B$6*I459))+MIN(MAX(0,N458-(MAX(0,I451-IF($A459&gt;='1-Input'!$C$12,'1-Input'!$B$12,0))-MIN(MAX(M458,0),MAX(0,I451-IF($A459&gt;='1-Input'!$C$12,'1-Input'!$B$12,0))))*(1/(1-'P-Parametri'!$B$6*I459))),MAX(0,1*I451-(M458-MIN(MAX(M458,0),MAX(0,I451-IF($A459&gt;='1-Input'!$C$12,'1-Input'!$B$12,0)))))*(1/(1-'P-Parametri'!$B$6*I459))))</f>
        <v>24005.191654661543</v>
      </c>
      <c r="K459" s="18">
        <f>IF($A459&gt;'1-Input'!$B$26,M458,(M458-MAX(0,I451-IF($A459&gt;='1-Input'!$C$12,'1-Input'!$B$12,0))+J459*(1-'P-Parametri'!$B$6*I459))*(1+'1-Input'!$B$27))</f>
        <v>21869.741467754146</v>
      </c>
      <c r="L459" s="18">
        <f>IF($A459&gt;'1-Input'!$B$26,N458,(N458-J459)*(1+$C$4))</f>
        <v>335992.49622020259</v>
      </c>
      <c r="M459" s="18">
        <f>IF($A459&gt;'1-Input'!$B$26,K459,K459-'P-Parametri'!$B$8*(L459+K459)+MIN(MAX(L459,0),'P-Parametri'!$B$8*(L459+K459)))</f>
        <v>21869.741467754146</v>
      </c>
      <c r="N459" s="18">
        <f>IF($A459&gt;'1-Input'!$B$26,L459,L459-MIN(MAX(L459,0),'P-Parametri'!$B$8*(L459+K459)))</f>
        <v>335276.77174482669</v>
      </c>
      <c r="O459" s="18">
        <f>IF($A459&gt;'1-Input'!$B$26,O458,O458-J459*(1-I459))</f>
        <v>222855.81208571841</v>
      </c>
      <c r="P459" s="11">
        <f>IF($A459&gt;'1-Input'!$B$26,0,IF(U458&lt;=0,0,MAX(0,(U458-V458)/U458)))</f>
        <v>0.31689849959995919</v>
      </c>
      <c r="Q459" s="18">
        <f>IF($A459&gt;'1-Input'!$B$26,0,(MAX(0,P451-IF($A459&gt;='1-Input'!$C$12,'1-Input'!$B$12,0))-MIN(MAX(T458,0),MAX(0,P451-IF($A459&gt;='1-Input'!$C$12,'1-Input'!$B$12,0))))*(1/(1-'P-Parametri'!$B$6*P459))+MIN(MAX(0,U458-(MAX(0,P451-IF($A459&gt;='1-Input'!$C$12,'1-Input'!$B$12,0))-MIN(MAX(T458,0),MAX(0,P451-IF($A459&gt;='1-Input'!$C$12,'1-Input'!$B$12,0))))*(1/(1-'P-Parametri'!$B$6*P459))),MAX(0,1*P451-(T458-MIN(MAX(T458,0),MAX(0,P451-IF($A459&gt;='1-Input'!$C$12,'1-Input'!$B$12,0)))))*(1/(1-'P-Parametri'!$B$6*P459))))</f>
        <v>20389.825794916425</v>
      </c>
      <c r="R459" s="18">
        <f>IF($A459&gt;'1-Input'!$B$26,T458,(T458-MAX(0,P451-IF($A459&gt;='1-Input'!$C$12,'1-Input'!$B$12,0))+Q459*(1-'P-Parametri'!$B$6*P459))*(1+'1-Input'!$B$27))</f>
        <v>18575.606853855934</v>
      </c>
      <c r="S459" s="18">
        <f>IF($A459&gt;'1-Input'!$B$26,U458,(U458-Q459)*(1+$C$4))</f>
        <v>363547.49636598898</v>
      </c>
      <c r="T459" s="18">
        <f>IF($A459&gt;'1-Input'!$B$26,R459,R459-'P-Parametri'!$B$8*(S459+R459)+MIN(MAX(S459,0),'P-Parametri'!$B$8*(S459+R459)))</f>
        <v>18575.606853855934</v>
      </c>
      <c r="U459" s="18">
        <f>IF($A459&gt;'1-Input'!$B$26,S459,S459-MIN(MAX(S459,0),'P-Parametri'!$B$8*(S459+R459)))</f>
        <v>362783.25015954929</v>
      </c>
      <c r="V459" s="18">
        <f>IF($A459&gt;'1-Input'!$B$26,V458,V458-Q459*(1-P459))</f>
        <v>241106.64100416063</v>
      </c>
      <c r="W459" s="11">
        <f>IF($A459&gt;'1-Input'!$B$26,0,IF(AB458&lt;=0,0,MAX(0,(AB458-AC458)/AB458)))</f>
        <v>0.31690394015647066</v>
      </c>
      <c r="X459" s="18">
        <f>IF($A459&gt;'1-Input'!$B$26,0,(MAX(0,W451-IF($A459&gt;='1-Input'!$C$12,'1-Input'!$B$12,0))-MIN(MAX(AA458,0),MAX(0,W451-IF($A459&gt;='1-Input'!$C$12,'1-Input'!$B$12,0))))*(1/(1-'P-Parametri'!$B$6*W459))+MIN(MAX(0,AB458-(MAX(0,W451-IF($A459&gt;='1-Input'!$C$12,'1-Input'!$B$12,0))-MIN(MAX(AA458,0),MAX(0,W451-IF($A459&gt;='1-Input'!$C$12,'1-Input'!$B$12,0))))*(1/(1-'P-Parametri'!$B$6*W459))),MAX(0,1*W451-(AA458-MIN(MAX(AA458,0),MAX(0,W451-IF($A459&gt;='1-Input'!$C$12,'1-Input'!$B$12,0)))))*(1/(1-'P-Parametri'!$B$6*W459))))</f>
        <v>20107.864516393489</v>
      </c>
      <c r="Y459" s="18">
        <f>IF($A459&gt;'1-Input'!$B$26,AA458,(AA458-MAX(0,W451-IF($A459&gt;='1-Input'!$C$12,'1-Input'!$B$12,0))+X459*(1-'P-Parametri'!$B$6*W459))*(1+'1-Input'!$B$27))</f>
        <v>18318.70531348556</v>
      </c>
      <c r="Z459" s="18">
        <f>IF($A459&gt;'1-Input'!$B$26,AB458,(AB458-X459)*(1+$C$4))</f>
        <v>365696.46656180674</v>
      </c>
      <c r="AA459" s="18">
        <f>IF($A459&gt;'1-Input'!$B$26,Y459,Y459-'P-Parametri'!$B$8*(Z459+Y459)+MIN(MAX(Z459,0),'P-Parametri'!$B$8*(Z459+Y459)))</f>
        <v>18318.70531348556</v>
      </c>
      <c r="AB459" s="18">
        <f>IF($A459&gt;'1-Input'!$B$26,Z459,Z459-MIN(MAX(Z459,0),'P-Parametri'!$B$8*(Z459+Y459)))</f>
        <v>364928.43621805613</v>
      </c>
      <c r="AC459" s="18">
        <f>IF($A459&gt;'1-Input'!$B$26,AC458,AC458-X459*(1-W459))</f>
        <v>242529.91787094285</v>
      </c>
      <c r="AD459" s="11">
        <f>IF($A459&gt;'1-Input'!$B$26,0,IF(AI458&lt;=0,0,MAX(0,(AI458-AJ458)/AI458)))</f>
        <v>0.31690416064730587</v>
      </c>
      <c r="AE459" s="18">
        <f>IF($A459&gt;'1-Input'!$B$26,0,(MAX(0,AD451-IF($A459&gt;='1-Input'!$C$12,'1-Input'!$B$12,0))-MIN(MAX(AH458,0),MAX(0,AD451-IF($A459&gt;='1-Input'!$C$12,'1-Input'!$B$12,0))))*(1/(1-'P-Parametri'!$B$6*AD459))+MIN(MAX(0,AI458-(MAX(0,AD451-IF($A459&gt;='1-Input'!$C$12,'1-Input'!$B$12,0))-MIN(MAX(AH458,0),MAX(0,AD451-IF($A459&gt;='1-Input'!$C$12,'1-Input'!$B$12,0))))*(1/(1-'P-Parametri'!$B$6*AD459))),MAX(0,1*AD451-(AH458-MIN(MAX(AH458,0),MAX(0,AD451-IF($A459&gt;='1-Input'!$C$12,'1-Input'!$B$12,0)))))*(1/(1-'P-Parametri'!$B$6*AD459))))</f>
        <v>20096.40000684372</v>
      </c>
      <c r="AF459" s="18">
        <f>IF($A459&gt;'1-Input'!$B$26,AH458,(AH458-MAX(0,AD451-IF($A459&gt;='1-Input'!$C$12,'1-Input'!$B$12,0))+AE459*(1-'P-Parametri'!$B$6*AD459))*(1+'1-Input'!$B$27))</f>
        <v>18308.259750184588</v>
      </c>
      <c r="AG459" s="18">
        <f>IF($A459&gt;'1-Input'!$B$26,AI458,(AI458-AE459)*(1+$C$4))</f>
        <v>365783.84331117774</v>
      </c>
      <c r="AH459" s="18">
        <f>IF($A459&gt;'1-Input'!$B$26,AF459,AF459-'P-Parametri'!$B$8*(AG459+AF459)+MIN(MAX(AG459,0),'P-Parametri'!$B$8*(AG459+AF459)))</f>
        <v>18308.259750184588</v>
      </c>
      <c r="AI459" s="18">
        <f>IF($A459&gt;'1-Input'!$B$26,AG459,AG459-MIN(MAX(AG459,0),'P-Parametri'!$B$8*(AG459+AF459)))</f>
        <v>365015.65910505503</v>
      </c>
      <c r="AJ459" s="18">
        <f>IF($A459&gt;'1-Input'!$B$26,AJ458,AJ458-AE459*(1-AD459))</f>
        <v>242587.78783330417</v>
      </c>
      <c r="AK459" s="11">
        <f>IF($A459&gt;'1-Input'!$B$26,0,IF(AP458&lt;=0,0,MAX(0,(AP458-AQ458)/AP458)))</f>
        <v>0.31690415878297779</v>
      </c>
      <c r="AL459" s="18">
        <f>IF($A459&gt;'1-Input'!$B$26,0,(MAX(0,AK451-IF($A459&gt;='1-Input'!$C$12,'1-Input'!$B$12,0))-MIN(MAX(AO458,0),MAX(0,AK451-IF($A459&gt;='1-Input'!$C$12,'1-Input'!$B$12,0))))*(1/(1-'P-Parametri'!$B$6*AK459))+MIN(MAX(0,AP458-(MAX(0,AK451-IF($A459&gt;='1-Input'!$C$12,'1-Input'!$B$12,0))-MIN(MAX(AO458,0),MAX(0,AK451-IF($A459&gt;='1-Input'!$C$12,'1-Input'!$B$12,0))))*(1/(1-'P-Parametri'!$B$6*AK459))),MAX(0,1*AK451-(AO458-MIN(MAX(AO458,0),MAX(0,AK451-IF($A459&gt;='1-Input'!$C$12,'1-Input'!$B$12,0)))))*(1/(1-'P-Parametri'!$B$6*AK459))))</f>
        <v>20096.496955573428</v>
      </c>
      <c r="AM459" s="18">
        <f>IF($A459&gt;'1-Input'!$B$26,AO458,(AO458-MAX(0,AK451-IF($A459&gt;='1-Input'!$C$12,'1-Input'!$B$12,0))+AL459*(1-'P-Parametri'!$B$6*AK459))*(1+'1-Input'!$B$27))</f>
        <v>18308.348082268236</v>
      </c>
      <c r="AN459" s="18">
        <f>IF($A459&gt;'1-Input'!$B$26,AP458,(AP458-AL459)*(1+$C$4))</f>
        <v>365783.1044165541</v>
      </c>
      <c r="AO459" s="18">
        <f>IF($A459&gt;'1-Input'!$B$26,AM459,AM459-'P-Parametri'!$B$8*(AN459+AM459)+MIN(MAX(AN459,0),'P-Parametri'!$B$8*(AN459+AM459)))</f>
        <v>18308.348082268236</v>
      </c>
      <c r="AP459" s="18">
        <f>IF($A459&gt;'1-Input'!$B$26,AN459,AN459-MIN(MAX(AN459,0),'P-Parametri'!$B$8*(AN459+AM459)))</f>
        <v>365014.92151155643</v>
      </c>
      <c r="AQ459" s="18">
        <f>IF($A459&gt;'1-Input'!$B$26,AQ458,AQ458-AL459*(1-AK459))</f>
        <v>242587.29846058242</v>
      </c>
    </row>
    <row r="460" spans="1:43">
      <c r="A460" s="10">
        <f>7</f>
        <v>7</v>
      </c>
      <c r="B460" s="11">
        <f>IF($A460&gt;'1-Input'!$B$26,0,IF(G459&lt;=0,0,MAX(0,(G459-H459)/G459)))</f>
        <v>0.33544677884595636</v>
      </c>
      <c r="C460" s="18">
        <f>IF($A460&gt;'1-Input'!$B$26,0,(MAX(0,B451-IF($A460&gt;='1-Input'!$C$12,'1-Input'!$B$12,0))-MIN(MAX(F459,0),MAX(0,B451-IF($A460&gt;='1-Input'!$C$12,'1-Input'!$B$12,0))))*(1/(1-'P-Parametri'!$B$6*B460))+MIN(MAX(0,G459-(MAX(0,B451-IF($A460&gt;='1-Input'!$C$12,'1-Input'!$B$12,0))-MIN(MAX(F459,0),MAX(0,B451-IF($A460&gt;='1-Input'!$C$12,'1-Input'!$B$12,0))))*(1/(1-'P-Parametri'!$B$6*B460))),MAX(0,1*B451-(F459-MIN(MAX(F459,0),MAX(0,B451-IF($A460&gt;='1-Input'!$C$12,'1-Input'!$B$12,0)))))*(1/(1-'P-Parametri'!$B$6*B460))))</f>
        <v>18340.713787844117</v>
      </c>
      <c r="D460" s="18">
        <f>IF($A460&gt;'1-Input'!$B$26,F459,(F459-MAX(0,B451-IF($A460&gt;='1-Input'!$C$12,'1-Input'!$B$12,0))+C460*(1-'P-Parametri'!$B$6*B460))*(1+'1-Input'!$B$27))</f>
        <v>16621.00351549315</v>
      </c>
      <c r="E460" s="18">
        <f>IF($A460&gt;'1-Input'!$B$26,G459,(G459-C460)*(1+$C$4))</f>
        <v>371586.91540702531</v>
      </c>
      <c r="F460" s="18">
        <f>IF($A460&gt;'1-Input'!$B$26,D460,D460-'P-Parametri'!$B$8*(E460+D460)+MIN(MAX(E460,0),'P-Parametri'!$B$8*(E460+D460)))</f>
        <v>16621.00351549315</v>
      </c>
      <c r="G460" s="18">
        <f>IF($A460&gt;'1-Input'!$B$26,E460,E460-MIN(MAX(E460,0),'P-Parametri'!$B$8*(E460+D460)))</f>
        <v>370810.49956918031</v>
      </c>
      <c r="H460" s="18">
        <f>IF($A460&gt;'1-Input'!$B$26,H459,H459-C460*(1-B460))</f>
        <v>239746.87531304252</v>
      </c>
      <c r="I460" s="11">
        <f>IF($A460&gt;'1-Input'!$B$26,0,IF(N459&lt;=0,0,MAX(0,(N459-O459)/N459)))</f>
        <v>0.33530792805613718</v>
      </c>
      <c r="J460" s="18">
        <f>IF($A460&gt;'1-Input'!$B$26,0,(MAX(0,I451-IF($A460&gt;='1-Input'!$C$12,'1-Input'!$B$12,0))-MIN(MAX(M459,0),MAX(0,I451-IF($A460&gt;='1-Input'!$C$12,'1-Input'!$B$12,0))))*(1/(1-'P-Parametri'!$B$6*I460))+MIN(MAX(0,N459-(MAX(0,I451-IF($A460&gt;='1-Input'!$C$12,'1-Input'!$B$12,0))-MIN(MAX(M459,0),MAX(0,I451-IF($A460&gt;='1-Input'!$C$12,'1-Input'!$B$12,0))))*(1/(1-'P-Parametri'!$B$6*I460))),MAX(0,1*I451-(M459-MIN(MAX(M459,0),MAX(0,I451-IF($A460&gt;='1-Input'!$C$12,'1-Input'!$B$12,0)))))*(1/(1-'P-Parametri'!$B$6*I460))))</f>
        <v>24131.563722571456</v>
      </c>
      <c r="K460" s="18">
        <f>IF($A460&gt;'1-Input'!$B$26,M459,(M459-MAX(0,I451-IF($A460&gt;='1-Input'!$C$12,'1-Input'!$B$12,0))+J460*(1-'P-Parametri'!$B$6*I460))*(1+'1-Input'!$B$27))</f>
        <v>21869.741467754146</v>
      </c>
      <c r="L460" s="18">
        <f>IF($A460&gt;'1-Input'!$B$26,N459,(N459-J460)*(1+$C$4))</f>
        <v>320479.56426292291</v>
      </c>
      <c r="M460" s="18">
        <f>IF($A460&gt;'1-Input'!$B$26,K460,K460-'P-Parametri'!$B$8*(L460+K460)+MIN(MAX(L460,0),'P-Parametri'!$B$8*(L460+K460)))</f>
        <v>21869.741467754146</v>
      </c>
      <c r="N460" s="18">
        <f>IF($A460&gt;'1-Input'!$B$26,L460,L460-MIN(MAX(L460,0),'P-Parametri'!$B$8*(L460+K460)))</f>
        <v>319794.86565146153</v>
      </c>
      <c r="O460" s="18">
        <f>IF($A460&gt;'1-Input'!$B$26,O459,O459-J460*(1-I460))</f>
        <v>206815.75299571705</v>
      </c>
      <c r="P460" s="11">
        <f>IF($A460&gt;'1-Input'!$B$26,0,IF(U459&lt;=0,0,MAX(0,(U459-V459)/U459)))</f>
        <v>0.33539753861810384</v>
      </c>
      <c r="Q460" s="18">
        <f>IF($A460&gt;'1-Input'!$B$26,0,(MAX(0,P451-IF($A460&gt;='1-Input'!$C$12,'1-Input'!$B$12,0))-MIN(MAX(T459,0),MAX(0,P451-IF($A460&gt;='1-Input'!$C$12,'1-Input'!$B$12,0))))*(1/(1-'P-Parametri'!$B$6*P460))+MIN(MAX(0,U459-(MAX(0,P451-IF($A460&gt;='1-Input'!$C$12,'1-Input'!$B$12,0))-MIN(MAX(T459,0),MAX(0,P451-IF($A460&gt;='1-Input'!$C$12,'1-Input'!$B$12,0))))*(1/(1-'P-Parametri'!$B$6*P460))),MAX(0,1*P451-(T459-MIN(MAX(T459,0),MAX(0,P451-IF($A460&gt;='1-Input'!$C$12,'1-Input'!$B$12,0)))))*(1/(1-'P-Parametri'!$B$6*P460))))</f>
        <v>20497.264805178598</v>
      </c>
      <c r="R460" s="18">
        <f>IF($A460&gt;'1-Input'!$B$26,T459,(T459-MAX(0,P451-IF($A460&gt;='1-Input'!$C$12,'1-Input'!$B$12,0))+Q460*(1-'P-Parametri'!$B$6*P460))*(1+'1-Input'!$B$27))</f>
        <v>18575.60685385593</v>
      </c>
      <c r="S460" s="18">
        <f>IF($A460&gt;'1-Input'!$B$26,U459,(U459-Q460)*(1+$C$4))</f>
        <v>352554.5649150018</v>
      </c>
      <c r="T460" s="18">
        <f>IF($A460&gt;'1-Input'!$B$26,R460,R460-'P-Parametri'!$B$8*(S460+R460)+MIN(MAX(S460,0),'P-Parametri'!$B$8*(S460+R460)))</f>
        <v>18575.60685385593</v>
      </c>
      <c r="U460" s="18">
        <f>IF($A460&gt;'1-Input'!$B$26,S460,S460-MIN(MAX(S460,0),'P-Parametri'!$B$8*(S460+R460)))</f>
        <v>351812.30457146408</v>
      </c>
      <c r="V460" s="18">
        <f>IF($A460&gt;'1-Input'!$B$26,V459,V459-Q460*(1-P460))</f>
        <v>227484.10836304241</v>
      </c>
      <c r="W460" s="11">
        <f>IF($A460&gt;'1-Input'!$B$26,0,IF(AB459&lt;=0,0,MAX(0,(AB459-AC459)/AB459)))</f>
        <v>0.33540416750087498</v>
      </c>
      <c r="X460" s="18">
        <f>IF($A460&gt;'1-Input'!$B$26,0,(MAX(0,W451-IF($A460&gt;='1-Input'!$C$12,'1-Input'!$B$12,0))-MIN(MAX(AA459,0),MAX(0,W451-IF($A460&gt;='1-Input'!$C$12,'1-Input'!$B$12,0))))*(1/(1-'P-Parametri'!$B$6*W460))+MIN(MAX(0,AB459-(MAX(0,W451-IF($A460&gt;='1-Input'!$C$12,'1-Input'!$B$12,0))-MIN(MAX(AA459,0),MAX(0,W451-IF($A460&gt;='1-Input'!$C$12,'1-Input'!$B$12,0))))*(1/(1-'P-Parametri'!$B$6*W460))),MAX(0,1*W451-(AA459-MIN(MAX(AA459,0),MAX(0,W451-IF($A460&gt;='1-Input'!$C$12,'1-Input'!$B$12,0)))))*(1/(1-'P-Parametri'!$B$6*W460))))</f>
        <v>20213.824809497186</v>
      </c>
      <c r="Y460" s="18">
        <f>IF($A460&gt;'1-Input'!$B$26,AA459,(AA459-MAX(0,W451-IF($A460&gt;='1-Input'!$C$12,'1-Input'!$B$12,0))+X460*(1-'P-Parametri'!$B$6*W460))*(1+'1-Input'!$B$27))</f>
        <v>18318.70531348556</v>
      </c>
      <c r="Z460" s="18">
        <f>IF($A460&gt;'1-Input'!$B$26,AB459,(AB459-X460)*(1+$C$4))</f>
        <v>355056.04975081573</v>
      </c>
      <c r="AA460" s="18">
        <f>IF($A460&gt;'1-Input'!$B$26,Y460,Y460-'P-Parametri'!$B$8*(Z460+Y460)+MIN(MAX(Z460,0),'P-Parametri'!$B$8*(Z460+Y460)))</f>
        <v>18318.70531348556</v>
      </c>
      <c r="AB460" s="18">
        <f>IF($A460&gt;'1-Input'!$B$26,Z460,Z460-MIN(MAX(Z460,0),'P-Parametri'!$B$8*(Z460+Y460)))</f>
        <v>354309.30024068715</v>
      </c>
      <c r="AC460" s="18">
        <f>IF($A460&gt;'1-Input'!$B$26,AC459,AC459-X460*(1-W460))</f>
        <v>229095.8941436836</v>
      </c>
      <c r="AD460" s="11">
        <f>IF($A460&gt;'1-Input'!$B$26,0,IF(AI459&lt;=0,0,MAX(0,(AI459-AJ459)/AI459)))</f>
        <v>0.33540443599575803</v>
      </c>
      <c r="AE460" s="18">
        <f>IF($A460&gt;'1-Input'!$B$26,0,(MAX(0,AD451-IF($A460&gt;='1-Input'!$C$12,'1-Input'!$B$12,0))-MIN(MAX(AH459,0),MAX(0,AD451-IF($A460&gt;='1-Input'!$C$12,'1-Input'!$B$12,0))))*(1/(1-'P-Parametri'!$B$6*AD460))+MIN(MAX(0,AI459-(MAX(0,AD451-IF($A460&gt;='1-Input'!$C$12,'1-Input'!$B$12,0))-MIN(MAX(AH459,0),MAX(0,AD451-IF($A460&gt;='1-Input'!$C$12,'1-Input'!$B$12,0))))*(1/(1-'P-Parametri'!$B$6*AD460))),MAX(0,1*AD451-(AH459-MIN(MAX(AH459,0),MAX(0,AD451-IF($A460&gt;='1-Input'!$C$12,'1-Input'!$B$12,0)))))*(1/(1-'P-Parametri'!$B$6*AD460))))</f>
        <v>20202.300169516533</v>
      </c>
      <c r="AF460" s="18">
        <f>IF($A460&gt;'1-Input'!$B$26,AH459,(AH459-MAX(0,AD451-IF($A460&gt;='1-Input'!$C$12,'1-Input'!$B$12,0))+AE460*(1-'P-Parametri'!$B$6*AD460))*(1+'1-Input'!$B$27))</f>
        <v>18308.259750184588</v>
      </c>
      <c r="AG460" s="18">
        <f>IF($A460&gt;'1-Input'!$B$26,AI459,(AI459-AE460)*(1+$C$4))</f>
        <v>355157.75970360468</v>
      </c>
      <c r="AH460" s="18">
        <f>IF($A460&gt;'1-Input'!$B$26,AF460,AF460-'P-Parametri'!$B$8*(AG460+AF460)+MIN(MAX(AG460,0),'P-Parametri'!$B$8*(AG460+AF460)))</f>
        <v>18308.259750184588</v>
      </c>
      <c r="AI460" s="18">
        <f>IF($A460&gt;'1-Input'!$B$26,AG460,AG460-MIN(MAX(AG460,0),'P-Parametri'!$B$8*(AG460+AF460)))</f>
        <v>354410.82766469708</v>
      </c>
      <c r="AJ460" s="18">
        <f>IF($A460&gt;'1-Input'!$B$26,AJ459,AJ459-AE460*(1-AD460))</f>
        <v>229161.42875796134</v>
      </c>
      <c r="AK460" s="11">
        <f>IF($A460&gt;'1-Input'!$B$26,0,IF(AP459&lt;=0,0,MAX(0,(AP459-AQ459)/AP459)))</f>
        <v>0.33540443372558931</v>
      </c>
      <c r="AL460" s="18">
        <f>IF($A460&gt;'1-Input'!$B$26,0,(MAX(0,AK451-IF($A460&gt;='1-Input'!$C$12,'1-Input'!$B$12,0))-MIN(MAX(AO459,0),MAX(0,AK451-IF($A460&gt;='1-Input'!$C$12,'1-Input'!$B$12,0))))*(1/(1-'P-Parametri'!$B$6*AK460))+MIN(MAX(0,AP459-(MAX(0,AK451-IF($A460&gt;='1-Input'!$C$12,'1-Input'!$B$12,0))-MIN(MAX(AO459,0),MAX(0,AK451-IF($A460&gt;='1-Input'!$C$12,'1-Input'!$B$12,0))))*(1/(1-'P-Parametri'!$B$6*AK460))),MAX(0,1*AK451-(AO459-MIN(MAX(AO459,0),MAX(0,AK451-IF($A460&gt;='1-Input'!$C$12,'1-Input'!$B$12,0)))))*(1/(1-'P-Parametri'!$B$6*AK460))))</f>
        <v>20202.397626736489</v>
      </c>
      <c r="AM460" s="18">
        <f>IF($A460&gt;'1-Input'!$B$26,AO459,(AO459-MAX(0,AK451-IF($A460&gt;='1-Input'!$C$12,'1-Input'!$B$12,0))+AL460*(1-'P-Parametri'!$B$6*AK460))*(1+'1-Input'!$B$27))</f>
        <v>18308.348082268232</v>
      </c>
      <c r="AN460" s="18">
        <f>IF($A460&gt;'1-Input'!$B$26,AP459,(AP459-AL460)*(1+$C$4))</f>
        <v>355156.89960136457</v>
      </c>
      <c r="AO460" s="18">
        <f>IF($A460&gt;'1-Input'!$B$26,AM460,AM460-'P-Parametri'!$B$8*(AN460+AM460)+MIN(MAX(AN460,0),'P-Parametri'!$B$8*(AN460+AM460)))</f>
        <v>18308.348082268232</v>
      </c>
      <c r="AP460" s="18">
        <f>IF($A460&gt;'1-Input'!$B$26,AN460,AN460-MIN(MAX(AN460,0),'P-Parametri'!$B$8*(AN460+AM460)))</f>
        <v>354409.9691059973</v>
      </c>
      <c r="AQ460" s="18">
        <f>IF($A460&gt;'1-Input'!$B$26,AQ459,AQ459-AL460*(1-AK460))</f>
        <v>229160.87456974067</v>
      </c>
    </row>
    <row r="461" spans="1:43">
      <c r="A461" s="10">
        <f>8</f>
        <v>8</v>
      </c>
      <c r="B461" s="11">
        <f>IF($A461&gt;'1-Input'!$B$26,0,IF(G460&lt;=0,0,MAX(0,(G460-H460)/G460)))</f>
        <v>0.35345176150193097</v>
      </c>
      <c r="C461" s="18">
        <f>IF($A461&gt;'1-Input'!$B$26,0,(MAX(0,B451-IF($A461&gt;='1-Input'!$C$12,'1-Input'!$B$12,0))-MIN(MAX(F460,0),MAX(0,B451-IF($A461&gt;='1-Input'!$C$12,'1-Input'!$B$12,0))))*(1/(1-'P-Parametri'!$B$6*B461))+MIN(MAX(0,G460-(MAX(0,B451-IF($A461&gt;='1-Input'!$C$12,'1-Input'!$B$12,0))-MIN(MAX(F460,0),MAX(0,B451-IF($A461&gt;='1-Input'!$C$12,'1-Input'!$B$12,0))))*(1/(1-'P-Parametri'!$B$6*B461))),MAX(0,1*B451-(F460-MIN(MAX(F460,0),MAX(0,B451-IF($A461&gt;='1-Input'!$C$12,'1-Input'!$B$12,0)))))*(1/(1-'P-Parametri'!$B$6*B461))))</f>
        <v>18435.260710440078</v>
      </c>
      <c r="D461" s="18">
        <f>IF($A461&gt;'1-Input'!$B$26,F460,(F460-MAX(0,B451-IF($A461&gt;='1-Input'!$C$12,'1-Input'!$B$12,0))+C461*(1-'P-Parametri'!$B$6*B461))*(1+'1-Input'!$B$27))</f>
        <v>16621.003515493154</v>
      </c>
      <c r="E461" s="18">
        <f>IF($A461&gt;'1-Input'!$B$26,G460,(G460-C461)*(1+$C$4))</f>
        <v>362946.49602450244</v>
      </c>
      <c r="F461" s="18">
        <f>IF($A461&gt;'1-Input'!$B$26,D461,D461-'P-Parametri'!$B$8*(E461+D461)+MIN(MAX(E461,0),'P-Parametri'!$B$8*(E461+D461)))</f>
        <v>16621.003515493154</v>
      </c>
      <c r="G461" s="18">
        <f>IF($A461&gt;'1-Input'!$B$26,E461,E461-MIN(MAX(E461,0),'P-Parametri'!$B$8*(E461+D461)))</f>
        <v>362187.36102542246</v>
      </c>
      <c r="H461" s="18">
        <f>IF($A461&gt;'1-Input'!$B$26,H460,H460-C461*(1-B461))</f>
        <v>227827.58997445484</v>
      </c>
      <c r="I461" s="11">
        <f>IF($A461&gt;'1-Input'!$B$26,0,IF(N460&lt;=0,0,MAX(0,(N460-O460)/N460)))</f>
        <v>0.35328619934404548</v>
      </c>
      <c r="J461" s="18">
        <f>IF($A461&gt;'1-Input'!$B$26,0,(MAX(0,I451-IF($A461&gt;='1-Input'!$C$12,'1-Input'!$B$12,0))-MIN(MAX(M460,0),MAX(0,I451-IF($A461&gt;='1-Input'!$C$12,'1-Input'!$B$12,0))))*(1/(1-'P-Parametri'!$B$6*I461))+MIN(MAX(0,N460-(MAX(0,I451-IF($A461&gt;='1-Input'!$C$12,'1-Input'!$B$12,0))-MIN(MAX(M460,0),MAX(0,I451-IF($A461&gt;='1-Input'!$C$12,'1-Input'!$B$12,0))))*(1/(1-'P-Parametri'!$B$6*I461))),MAX(0,1*I451-(M460-MIN(MAX(M460,0),MAX(0,I451-IF($A461&gt;='1-Input'!$C$12,'1-Input'!$B$12,0)))))*(1/(1-'P-Parametri'!$B$6*I461))))</f>
        <v>24255.772207711765</v>
      </c>
      <c r="K461" s="18">
        <f>IF($A461&gt;'1-Input'!$B$26,M460,(M460-MAX(0,I451-IF($A461&gt;='1-Input'!$C$12,'1-Input'!$B$12,0))+J461*(1-'P-Parametri'!$B$6*I461))*(1+'1-Input'!$B$27))</f>
        <v>21869.741467754146</v>
      </c>
      <c r="L461" s="18">
        <f>IF($A461&gt;'1-Input'!$B$26,N460,(N460-J461)*(1+$C$4))</f>
        <v>304405.26624706225</v>
      </c>
      <c r="M461" s="18">
        <f>IF($A461&gt;'1-Input'!$B$26,K461,K461-'P-Parametri'!$B$8*(L461+K461)+MIN(MAX(L461,0),'P-Parametri'!$B$8*(L461+K461)))</f>
        <v>21869.741467754146</v>
      </c>
      <c r="N461" s="18">
        <f>IF($A461&gt;'1-Input'!$B$26,L461,L461-MIN(MAX(L461,0),'P-Parametri'!$B$8*(L461+K461)))</f>
        <v>303752.71623163263</v>
      </c>
      <c r="O461" s="18">
        <f>IF($A461&gt;'1-Input'!$B$26,O460,O460-J461*(1-I461))</f>
        <v>191129.2103634227</v>
      </c>
      <c r="P461" s="11">
        <f>IF($A461&gt;'1-Input'!$B$26,0,IF(U460&lt;=0,0,MAX(0,(U460-V460)/U460)))</f>
        <v>0.35339354136536949</v>
      </c>
      <c r="Q461" s="18">
        <f>IF($A461&gt;'1-Input'!$B$26,0,(MAX(0,P451-IF($A461&gt;='1-Input'!$C$12,'1-Input'!$B$12,0))-MIN(MAX(T460,0),MAX(0,P451-IF($A461&gt;='1-Input'!$C$12,'1-Input'!$B$12,0))))*(1/(1-'P-Parametri'!$B$6*P461))+MIN(MAX(0,U460-(MAX(0,P451-IF($A461&gt;='1-Input'!$C$12,'1-Input'!$B$12,0))-MIN(MAX(T460,0),MAX(0,P451-IF($A461&gt;='1-Input'!$C$12,'1-Input'!$B$12,0))))*(1/(1-'P-Parametri'!$B$6*P461))),MAX(0,1*P451-(T460-MIN(MAX(T460,0),MAX(0,P451-IF($A461&gt;='1-Input'!$C$12,'1-Input'!$B$12,0)))))*(1/(1-'P-Parametri'!$B$6*P461))))</f>
        <v>20602.874352229323</v>
      </c>
      <c r="R461" s="18">
        <f>IF($A461&gt;'1-Input'!$B$26,T460,(T460-MAX(0,P451-IF($A461&gt;='1-Input'!$C$12,'1-Input'!$B$12,0))+Q461*(1-'P-Parametri'!$B$6*P461))*(1+'1-Input'!$B$27))</f>
        <v>18575.606853855938</v>
      </c>
      <c r="S461" s="18">
        <f>IF($A461&gt;'1-Input'!$B$26,U460,(U460-Q461)*(1+$C$4))</f>
        <v>341145.71312581183</v>
      </c>
      <c r="T461" s="18">
        <f>IF($A461&gt;'1-Input'!$B$26,R461,R461-'P-Parametri'!$B$8*(S461+R461)+MIN(MAX(S461,0),'P-Parametri'!$B$8*(S461+R461)))</f>
        <v>18575.606853855938</v>
      </c>
      <c r="U461" s="18">
        <f>IF($A461&gt;'1-Input'!$B$26,S461,S461-MIN(MAX(S461,0),'P-Parametri'!$B$8*(S461+R461)))</f>
        <v>340426.2704858525</v>
      </c>
      <c r="V461" s="18">
        <f>IF($A461&gt;'1-Input'!$B$26,V460,V460-Q461*(1-P461))</f>
        <v>214162.15674045315</v>
      </c>
      <c r="W461" s="11">
        <f>IF($A461&gt;'1-Input'!$B$26,0,IF(AB460&lt;=0,0,MAX(0,(AB460-AC460)/AB460)))</f>
        <v>0.35340140948020382</v>
      </c>
      <c r="X461" s="18">
        <f>IF($A461&gt;'1-Input'!$B$26,0,(MAX(0,W451-IF($A461&gt;='1-Input'!$C$12,'1-Input'!$B$12,0))-MIN(MAX(AA460,0),MAX(0,W451-IF($A461&gt;='1-Input'!$C$12,'1-Input'!$B$12,0))))*(1/(1-'P-Parametri'!$B$6*W461))+MIN(MAX(0,AB460-(MAX(0,W451-IF($A461&gt;='1-Input'!$C$12,'1-Input'!$B$12,0))-MIN(MAX(AA460,0),MAX(0,W451-IF($A461&gt;='1-Input'!$C$12,'1-Input'!$B$12,0))))*(1/(1-'P-Parametri'!$B$6*W461))),MAX(0,1*W451-(AA460-MIN(MAX(AA460,0),MAX(0,W451-IF($A461&gt;='1-Input'!$C$12,'1-Input'!$B$12,0)))))*(1/(1-'P-Parametri'!$B$6*W461))))</f>
        <v>20317.981374561594</v>
      </c>
      <c r="Y461" s="18">
        <f>IF($A461&gt;'1-Input'!$B$26,AA460,(AA460-MAX(0,W451-IF($A461&gt;='1-Input'!$C$12,'1-Input'!$B$12,0))+X461*(1-'P-Parametri'!$B$6*W461))*(1+'1-Input'!$B$27))</f>
        <v>18318.705313485556</v>
      </c>
      <c r="Z461" s="18">
        <f>IF($A461&gt;'1-Input'!$B$26,AB460,(AB460-X461)*(1+$C$4))</f>
        <v>344011.0584321093</v>
      </c>
      <c r="AA461" s="18">
        <f>IF($A461&gt;'1-Input'!$B$26,Y461,Y461-'P-Parametri'!$B$8*(Z461+Y461)+MIN(MAX(Z461,0),'P-Parametri'!$B$8*(Z461+Y461)))</f>
        <v>18318.705313485556</v>
      </c>
      <c r="AB461" s="18">
        <f>IF($A461&gt;'1-Input'!$B$26,Z461,Z461-MIN(MAX(Z461,0),'P-Parametri'!$B$8*(Z461+Y461)))</f>
        <v>343286.39890461811</v>
      </c>
      <c r="AC461" s="18">
        <f>IF($A461&gt;'1-Input'!$B$26,AC460,AC460-X461*(1-W461))</f>
        <v>215958.31602468461</v>
      </c>
      <c r="AD461" s="11">
        <f>IF($A461&gt;'1-Input'!$B$26,0,IF(AI460&lt;=0,0,MAX(0,(AI460-AJ460)/AI460)))</f>
        <v>0.35340172796648406</v>
      </c>
      <c r="AE461" s="18">
        <f>IF($A461&gt;'1-Input'!$B$26,0,(MAX(0,AD451-IF($A461&gt;='1-Input'!$C$12,'1-Input'!$B$12,0))-MIN(MAX(AH460,0),MAX(0,AD451-IF($A461&gt;='1-Input'!$C$12,'1-Input'!$B$12,0))))*(1/(1-'P-Parametri'!$B$6*AD461))+MIN(MAX(0,AI460-(MAX(0,AD451-IF($A461&gt;='1-Input'!$C$12,'1-Input'!$B$12,0))-MIN(MAX(AH460,0),MAX(0,AD451-IF($A461&gt;='1-Input'!$C$12,'1-Input'!$B$12,0))))*(1/(1-'P-Parametri'!$B$6*AD461))),MAX(0,1*AD451-(AH460-MIN(MAX(AH460,0),MAX(0,AD451-IF($A461&gt;='1-Input'!$C$12,'1-Input'!$B$12,0)))))*(1/(1-'P-Parametri'!$B$6*AD461))))</f>
        <v>20306.397649763632</v>
      </c>
      <c r="AF461" s="18">
        <f>IF($A461&gt;'1-Input'!$B$26,AH460,(AH460-MAX(0,AD451-IF($A461&gt;='1-Input'!$C$12,'1-Input'!$B$12,0))+AE461*(1-'P-Parametri'!$B$6*AD461))*(1+'1-Input'!$B$27))</f>
        <v>18308.259750184585</v>
      </c>
      <c r="AG461" s="18">
        <f>IF($A461&gt;'1-Input'!$B$26,AI460,(AI460-AE461)*(1+$C$4))</f>
        <v>344127.56291538145</v>
      </c>
      <c r="AH461" s="18">
        <f>IF($A461&gt;'1-Input'!$B$26,AF461,AF461-'P-Parametri'!$B$8*(AG461+AF461)+MIN(MAX(AG461,0),'P-Parametri'!$B$8*(AG461+AF461)))</f>
        <v>18308.259750184585</v>
      </c>
      <c r="AI461" s="18">
        <f>IF($A461&gt;'1-Input'!$B$26,AG461,AG461-MIN(MAX(AG461,0),'P-Parametri'!$B$8*(AG461+AF461)))</f>
        <v>343402.6912700503</v>
      </c>
      <c r="AJ461" s="18">
        <f>IF($A461&gt;'1-Input'!$B$26,AJ460,AJ460-AE461*(1-AD461))</f>
        <v>216031.34712639873</v>
      </c>
      <c r="AK461" s="11">
        <f>IF($A461&gt;'1-Input'!$B$26,0,IF(AP460&lt;=0,0,MAX(0,(AP460-AQ460)/AP460)))</f>
        <v>0.35340172527369568</v>
      </c>
      <c r="AL461" s="18">
        <f>IF($A461&gt;'1-Input'!$B$26,0,(MAX(0,AK451-IF($A461&gt;='1-Input'!$C$12,'1-Input'!$B$12,0))-MIN(MAX(AO460,0),MAX(0,AK451-IF($A461&gt;='1-Input'!$C$12,'1-Input'!$B$12,0))))*(1/(1-'P-Parametri'!$B$6*AK461))+MIN(MAX(0,AP460-(MAX(0,AK451-IF($A461&gt;='1-Input'!$C$12,'1-Input'!$B$12,0))-MIN(MAX(AO460,0),MAX(0,AK451-IF($A461&gt;='1-Input'!$C$12,'1-Input'!$B$12,0))))*(1/(1-'P-Parametri'!$B$6*AK461))),MAX(0,1*AK451-(AO460-MIN(MAX(AO460,0),MAX(0,AK451-IF($A461&gt;='1-Input'!$C$12,'1-Input'!$B$12,0)))))*(1/(1-'P-Parametri'!$B$6*AK461))))</f>
        <v>20306.495606631936</v>
      </c>
      <c r="AM461" s="18">
        <f>IF($A461&gt;'1-Input'!$B$26,AO460,(AO460-MAX(0,AK451-IF($A461&gt;='1-Input'!$C$12,'1-Input'!$B$12,0))+AL461*(1-'P-Parametri'!$B$6*AK461))*(1+'1-Input'!$B$27))</f>
        <v>18308.348082268236</v>
      </c>
      <c r="AN461" s="18">
        <f>IF($A461&gt;'1-Input'!$B$26,AP460,(AP460-AL461)*(1+$C$4))</f>
        <v>344126.57770434633</v>
      </c>
      <c r="AO461" s="18">
        <f>IF($A461&gt;'1-Input'!$B$26,AM461,AM461-'P-Parametri'!$B$8*(AN461+AM461)+MIN(MAX(AN461,0),'P-Parametri'!$B$8*(AN461+AM461)))</f>
        <v>18308.348082268236</v>
      </c>
      <c r="AP461" s="18">
        <f>IF($A461&gt;'1-Input'!$B$26,AN461,AN461-MIN(MAX(AN461,0),'P-Parametri'!$B$8*(AN461+AM461)))</f>
        <v>343401.70785277308</v>
      </c>
      <c r="AQ461" s="18">
        <f>IF($A461&gt;'1-Input'!$B$26,AQ460,AQ460-AL461*(1-AK461))</f>
        <v>216030.72954475519</v>
      </c>
    </row>
    <row r="462" spans="1:43">
      <c r="A462" s="10">
        <f>9</f>
        <v>9</v>
      </c>
      <c r="B462" s="11">
        <f>IF($A462&gt;'1-Input'!$B$26,0,IF(G461&lt;=0,0,MAX(0,(G461-H461)/G461)))</f>
        <v>0.37096758614262276</v>
      </c>
      <c r="C462" s="18">
        <f>IF($A462&gt;'1-Input'!$B$26,0,(MAX(0,B451-IF($A462&gt;='1-Input'!$C$12,'1-Input'!$B$12,0))-MIN(MAX(F461,0),MAX(0,B451-IF($A462&gt;='1-Input'!$C$12,'1-Input'!$B$12,0))))*(1/(1-'P-Parametri'!$B$6*B462))+MIN(MAX(0,G461-(MAX(0,B451-IF($A462&gt;='1-Input'!$C$12,'1-Input'!$B$12,0))-MIN(MAX(F461,0),MAX(0,B451-IF($A462&gt;='1-Input'!$C$12,'1-Input'!$B$12,0))))*(1/(1-'P-Parametri'!$B$6*B462))),MAX(0,1*B451-(F461-MIN(MAX(F461,0),MAX(0,B451-IF($A462&gt;='1-Input'!$C$12,'1-Input'!$B$12,0)))))*(1/(1-'P-Parametri'!$B$6*B462))))</f>
        <v>18528.179123914826</v>
      </c>
      <c r="D462" s="18">
        <f>IF($A462&gt;'1-Input'!$B$26,F461,(F461-MAX(0,B451-IF($A462&gt;='1-Input'!$C$12,'1-Input'!$B$12,0))+C462*(1-'P-Parametri'!$B$6*B462))*(1+'1-Input'!$B$27))</f>
        <v>16621.003515493154</v>
      </c>
      <c r="E462" s="18">
        <f>IF($A462&gt;'1-Input'!$B$26,G461,(G461-C462)*(1+$C$4))</f>
        <v>353968.9573585529</v>
      </c>
      <c r="F462" s="18">
        <f>IF($A462&gt;'1-Input'!$B$26,D462,D462-'P-Parametri'!$B$8*(E462+D462)+MIN(MAX(E462,0),'P-Parametri'!$B$8*(E462+D462)))</f>
        <v>16621.003515493154</v>
      </c>
      <c r="G462" s="18">
        <f>IF($A462&gt;'1-Input'!$B$26,E462,E462-MIN(MAX(E462,0),'P-Parametri'!$B$8*(E462+D462)))</f>
        <v>353227.77743680478</v>
      </c>
      <c r="H462" s="18">
        <f>IF($A462&gt;'1-Input'!$B$26,H461,H461-C462*(1-B462))</f>
        <v>216172.76473575682</v>
      </c>
      <c r="I462" s="11">
        <f>IF($A462&gt;'1-Input'!$B$26,0,IF(N461&lt;=0,0,MAX(0,(N461-O461)/N461)))</f>
        <v>0.37077365847265925</v>
      </c>
      <c r="J462" s="18">
        <f>IF($A462&gt;'1-Input'!$B$26,0,(MAX(0,I451-IF($A462&gt;='1-Input'!$C$12,'1-Input'!$B$12,0))-MIN(MAX(M461,0),MAX(0,I451-IF($A462&gt;='1-Input'!$C$12,'1-Input'!$B$12,0))))*(1/(1-'P-Parametri'!$B$6*I462))+MIN(MAX(0,N461-(MAX(0,I451-IF($A462&gt;='1-Input'!$C$12,'1-Input'!$B$12,0))-MIN(MAX(M461,0),MAX(0,I451-IF($A462&gt;='1-Input'!$C$12,'1-Input'!$B$12,0))))*(1/(1-'P-Parametri'!$B$6*I462))),MAX(0,1*I451-(M461-MIN(MAX(M461,0),MAX(0,I451-IF($A462&gt;='1-Input'!$C$12,'1-Input'!$B$12,0)))))*(1/(1-'P-Parametri'!$B$6*I462))))</f>
        <v>24377.822689158038</v>
      </c>
      <c r="K462" s="18">
        <f>IF($A462&gt;'1-Input'!$B$26,M461,(M461-MAX(0,I451-IF($A462&gt;='1-Input'!$C$12,'1-Input'!$B$12,0))+J462*(1-'P-Parametri'!$B$6*I462))*(1+'1-Input'!$B$27))</f>
        <v>21869.741467754146</v>
      </c>
      <c r="L462" s="18">
        <f>IF($A462&gt;'1-Input'!$B$26,N461,(N461-J462)*(1+$C$4))</f>
        <v>287756.14034874883</v>
      </c>
      <c r="M462" s="18">
        <f>IF($A462&gt;'1-Input'!$B$26,K462,K462-'P-Parametri'!$B$8*(L462+K462)+MIN(MAX(L462,0),'P-Parametri'!$B$8*(L462+K462)))</f>
        <v>21869.741467754146</v>
      </c>
      <c r="N462" s="18">
        <f>IF($A462&gt;'1-Input'!$B$26,L462,L462-MIN(MAX(L462,0),'P-Parametri'!$B$8*(L462+K462)))</f>
        <v>287136.88858511584</v>
      </c>
      <c r="O462" s="18">
        <f>IF($A462&gt;'1-Input'!$B$26,O461,O461-J462*(1-I462))</f>
        <v>175790.04217832157</v>
      </c>
      <c r="P462" s="11">
        <f>IF($A462&gt;'1-Input'!$B$26,0,IF(U461&lt;=0,0,MAX(0,(U461-V461)/U461)))</f>
        <v>0.37090002944013878</v>
      </c>
      <c r="Q462" s="18">
        <f>IF($A462&gt;'1-Input'!$B$26,0,(MAX(0,P451-IF($A462&gt;='1-Input'!$C$12,'1-Input'!$B$12,0))-MIN(MAX(T461,0),MAX(0,P451-IF($A462&gt;='1-Input'!$C$12,'1-Input'!$B$12,0))))*(1/(1-'P-Parametri'!$B$6*P462))+MIN(MAX(0,U461-(MAX(0,P451-IF($A462&gt;='1-Input'!$C$12,'1-Input'!$B$12,0))-MIN(MAX(T461,0),MAX(0,P451-IF($A462&gt;='1-Input'!$C$12,'1-Input'!$B$12,0))))*(1/(1-'P-Parametri'!$B$6*P462))),MAX(0,1*P451-(T461-MIN(MAX(T461,0),MAX(0,P451-IF($A462&gt;='1-Input'!$C$12,'1-Input'!$B$12,0)))))*(1/(1-'P-Parametri'!$B$6*P462))))</f>
        <v>20706.660720988515</v>
      </c>
      <c r="R462" s="18">
        <f>IF($A462&gt;'1-Input'!$B$26,T461,(T461-MAX(0,P451-IF($A462&gt;='1-Input'!$C$12,'1-Input'!$B$12,0))+Q462*(1-'P-Parametri'!$B$6*P462))*(1+'1-Input'!$B$27))</f>
        <v>18575.606853855934</v>
      </c>
      <c r="S462" s="18">
        <f>IF($A462&gt;'1-Input'!$B$26,U461,(U461-Q462)*(1+$C$4))</f>
        <v>329311.1980578099</v>
      </c>
      <c r="T462" s="18">
        <f>IF($A462&gt;'1-Input'!$B$26,R462,R462-'P-Parametri'!$B$8*(S462+R462)+MIN(MAX(S462,0),'P-Parametri'!$B$8*(S462+R462)))</f>
        <v>18575.606853855934</v>
      </c>
      <c r="U462" s="18">
        <f>IF($A462&gt;'1-Input'!$B$26,S462,S462-MIN(MAX(S462,0),'P-Parametri'!$B$8*(S462+R462)))</f>
        <v>328615.42444798659</v>
      </c>
      <c r="V462" s="18">
        <f>IF($A462&gt;'1-Input'!$B$26,V461,V461-Q462*(1-P462))</f>
        <v>201135.59709048623</v>
      </c>
      <c r="W462" s="11">
        <f>IF($A462&gt;'1-Input'!$B$26,0,IF(AB461&lt;=0,0,MAX(0,(AB461-AC461)/AB461)))</f>
        <v>0.37090919793566163</v>
      </c>
      <c r="X462" s="18">
        <f>IF($A462&gt;'1-Input'!$B$26,0,(MAX(0,W451-IF($A462&gt;='1-Input'!$C$12,'1-Input'!$B$12,0))-MIN(MAX(AA461,0),MAX(0,W451-IF($A462&gt;='1-Input'!$C$12,'1-Input'!$B$12,0))))*(1/(1-'P-Parametri'!$B$6*W462))+MIN(MAX(0,AB461-(MAX(0,W451-IF($A462&gt;='1-Input'!$C$12,'1-Input'!$B$12,0))-MIN(MAX(AA461,0),MAX(0,W451-IF($A462&gt;='1-Input'!$C$12,'1-Input'!$B$12,0))))*(1/(1-'P-Parametri'!$B$6*W462))),MAX(0,1*W451-(AA461-MIN(MAX(AA461,0),MAX(0,W451-IF($A462&gt;='1-Input'!$C$12,'1-Input'!$B$12,0)))))*(1/(1-'P-Parametri'!$B$6*W462))))</f>
        <v>20420.340476079858</v>
      </c>
      <c r="Y462" s="18">
        <f>IF($A462&gt;'1-Input'!$B$26,AA461,(AA461-MAX(0,W451-IF($A462&gt;='1-Input'!$C$12,'1-Input'!$B$12,0))+X462*(1-'P-Parametri'!$B$6*W462))*(1+'1-Input'!$B$27))</f>
        <v>18318.705313485556</v>
      </c>
      <c r="Z462" s="18">
        <f>IF($A462&gt;'1-Input'!$B$26,AB461,(AB461-X462)*(1+$C$4))</f>
        <v>332552.04018139443</v>
      </c>
      <c r="AA462" s="18">
        <f>IF($A462&gt;'1-Input'!$B$26,Y462,Y462-'P-Parametri'!$B$8*(Z462+Y462)+MIN(MAX(Z462,0),'P-Parametri'!$B$8*(Z462+Y462)))</f>
        <v>18318.705313485556</v>
      </c>
      <c r="AB462" s="18">
        <f>IF($A462&gt;'1-Input'!$B$26,Z462,Z462-MIN(MAX(Z462,0),'P-Parametri'!$B$8*(Z462+Y462)))</f>
        <v>331850.29869040468</v>
      </c>
      <c r="AC462" s="18">
        <f>IF($A462&gt;'1-Input'!$B$26,AC461,AC461-X462*(1-W462))</f>
        <v>203112.06765616065</v>
      </c>
      <c r="AD462" s="11">
        <f>IF($A462&gt;'1-Input'!$B$26,0,IF(AI461&lt;=0,0,MAX(0,(AI461-AJ461)/AI461)))</f>
        <v>0.37090956879976034</v>
      </c>
      <c r="AE462" s="18">
        <f>IF($A462&gt;'1-Input'!$B$26,0,(MAX(0,AD451-IF($A462&gt;='1-Input'!$C$12,'1-Input'!$B$12,0))-MIN(MAX(AH461,0),MAX(0,AD451-IF($A462&gt;='1-Input'!$C$12,'1-Input'!$B$12,0))))*(1/(1-'P-Parametri'!$B$6*AD462))+MIN(MAX(0,AI461-(MAX(0,AD451-IF($A462&gt;='1-Input'!$C$12,'1-Input'!$B$12,0))-MIN(MAX(AH461,0),MAX(0,AD451-IF($A462&gt;='1-Input'!$C$12,'1-Input'!$B$12,0))))*(1/(1-'P-Parametri'!$B$6*AD462))),MAX(0,1*AD451-(AH461-MIN(MAX(AH461,0),MAX(0,AD451-IF($A462&gt;='1-Input'!$C$12,'1-Input'!$B$12,0)))))*(1/(1-'P-Parametri'!$B$6*AD462))))</f>
        <v>20408.698711092184</v>
      </c>
      <c r="AF462" s="18">
        <f>IF($A462&gt;'1-Input'!$B$26,AH461,(AH461-MAX(0,AD451-IF($A462&gt;='1-Input'!$C$12,'1-Input'!$B$12,0))+AE462*(1-'P-Parametri'!$B$6*AD462))*(1+'1-Input'!$B$27))</f>
        <v>18308.259750184588</v>
      </c>
      <c r="AG462" s="18">
        <f>IF($A462&gt;'1-Input'!$B$26,AI461,(AI461-AE462)*(1+$C$4))</f>
        <v>332683.81233572686</v>
      </c>
      <c r="AH462" s="18">
        <f>IF($A462&gt;'1-Input'!$B$26,AF462,AF462-'P-Parametri'!$B$8*(AG462+AF462)+MIN(MAX(AG462,0),'P-Parametri'!$B$8*(AG462+AF462)))</f>
        <v>18308.259750184588</v>
      </c>
      <c r="AI462" s="18">
        <f>IF($A462&gt;'1-Input'!$B$26,AG462,AG462-MIN(MAX(AG462,0),'P-Parametri'!$B$8*(AG462+AF462)))</f>
        <v>331981.82819155505</v>
      </c>
      <c r="AJ462" s="18">
        <f>IF($A462&gt;'1-Input'!$B$26,AJ461,AJ461-AE462*(1-AD462))</f>
        <v>203192.43005400198</v>
      </c>
      <c r="AK462" s="11">
        <f>IF($A462&gt;'1-Input'!$B$26,0,IF(AP461&lt;=0,0,MAX(0,(AP461-AQ461)/AP461)))</f>
        <v>0.37090956566420386</v>
      </c>
      <c r="AL462" s="18">
        <f>IF($A462&gt;'1-Input'!$B$26,0,(MAX(0,AK451-IF($A462&gt;='1-Input'!$C$12,'1-Input'!$B$12,0))-MIN(MAX(AO461,0),MAX(0,AK451-IF($A462&gt;='1-Input'!$C$12,'1-Input'!$B$12,0))))*(1/(1-'P-Parametri'!$B$6*AK462))+MIN(MAX(0,AP461-(MAX(0,AK451-IF($A462&gt;='1-Input'!$C$12,'1-Input'!$B$12,0))-MIN(MAX(AO461,0),MAX(0,AK451-IF($A462&gt;='1-Input'!$C$12,'1-Input'!$B$12,0))))*(1/(1-'P-Parametri'!$B$6*AK462))),MAX(0,1*AK451-(AO461-MIN(MAX(AO461,0),MAX(0,AK451-IF($A462&gt;='1-Input'!$C$12,'1-Input'!$B$12,0)))))*(1/(1-'P-Parametri'!$B$6*AK462))))</f>
        <v>20408.797158775305</v>
      </c>
      <c r="AM462" s="18">
        <f>IF($A462&gt;'1-Input'!$B$26,AO461,(AO461-MAX(0,AK451-IF($A462&gt;='1-Input'!$C$12,'1-Input'!$B$12,0))+AL462*(1-'P-Parametri'!$B$6*AK462))*(1+'1-Input'!$B$27))</f>
        <v>18308.348082268236</v>
      </c>
      <c r="AN462" s="18">
        <f>IF($A462&gt;'1-Input'!$B$26,AP461,(AP461-AL462)*(1+$C$4))</f>
        <v>332682.69801481767</v>
      </c>
      <c r="AO462" s="18">
        <f>IF($A462&gt;'1-Input'!$B$26,AM462,AM462-'P-Parametri'!$B$8*(AN462+AM462)+MIN(MAX(AN462,0),'P-Parametri'!$B$8*(AN462+AM462)))</f>
        <v>18308.348082268236</v>
      </c>
      <c r="AP462" s="18">
        <f>IF($A462&gt;'1-Input'!$B$26,AN462,AN462-MIN(MAX(AN462,0),'P-Parametri'!$B$8*(AN462+AM462)))</f>
        <v>331980.71592262352</v>
      </c>
      <c r="AQ462" s="18">
        <f>IF($A462&gt;'1-Input'!$B$26,AQ461,AQ461-AL462*(1-AK462))</f>
        <v>203191.75047587007</v>
      </c>
    </row>
    <row r="463" spans="1:43">
      <c r="A463" s="10">
        <f>10</f>
        <v>10</v>
      </c>
      <c r="B463" s="11">
        <f>IF($A463&gt;'1-Input'!$B$26,0,IF(G462&lt;=0,0,MAX(0,(G462-H462)/G462)))</f>
        <v>0.38800745993304048</v>
      </c>
      <c r="C463" s="18">
        <f>IF($A463&gt;'1-Input'!$B$26,0,(MAX(0,B451-IF($A463&gt;='1-Input'!$C$12,'1-Input'!$B$12,0))-MIN(MAX(F462,0),MAX(0,B451-IF($A463&gt;='1-Input'!$C$12,'1-Input'!$B$12,0))))*(1/(1-'P-Parametri'!$B$6*B463))+MIN(MAX(0,G462-(MAX(0,B451-IF($A463&gt;='1-Input'!$C$12,'1-Input'!$B$12,0))-MIN(MAX(F462,0),MAX(0,B451-IF($A463&gt;='1-Input'!$C$12,'1-Input'!$B$12,0))))*(1/(1-'P-Parametri'!$B$6*B463))),MAX(0,1*B451-(F462-MIN(MAX(F462,0),MAX(0,B451-IF($A463&gt;='1-Input'!$C$12,'1-Input'!$B$12,0)))))*(1/(1-'P-Parametri'!$B$6*B463))))</f>
        <v>18619.475962908036</v>
      </c>
      <c r="D463" s="18">
        <f>IF($A463&gt;'1-Input'!$B$26,F462,(F462-MAX(0,B451-IF($A463&gt;='1-Input'!$C$12,'1-Input'!$B$12,0))+C463*(1-'P-Parametri'!$B$6*B463))*(1+'1-Input'!$B$27))</f>
        <v>16621.00351549315</v>
      </c>
      <c r="E463" s="18">
        <f>IF($A463&gt;'1-Input'!$B$26,G462,(G462-C463)*(1+$C$4))</f>
        <v>344646.55051811365</v>
      </c>
      <c r="F463" s="18">
        <f>IF($A463&gt;'1-Input'!$B$26,D463,D463-'P-Parametri'!$B$8*(E463+D463)+MIN(MAX(E463,0),'P-Parametri'!$B$8*(E463+D463)))</f>
        <v>16621.00351549315</v>
      </c>
      <c r="G463" s="18">
        <f>IF($A463&gt;'1-Input'!$B$26,E463,E463-MIN(MAX(E463,0),'P-Parametri'!$B$8*(E463+D463)))</f>
        <v>343924.01541004644</v>
      </c>
      <c r="H463" s="18">
        <f>IF($A463&gt;'1-Input'!$B$26,H462,H462-C463*(1-B463))</f>
        <v>204777.78434650102</v>
      </c>
      <c r="I463" s="11">
        <f>IF($A463&gt;'1-Input'!$B$26,0,IF(N462&lt;=0,0,MAX(0,(N462-O462)/N462)))</f>
        <v>0.38778314745786407</v>
      </c>
      <c r="J463" s="18">
        <f>IF($A463&gt;'1-Input'!$B$26,0,(MAX(0,I451-IF($A463&gt;='1-Input'!$C$12,'1-Input'!$B$12,0))-MIN(MAX(M462,0),MAX(0,I451-IF($A463&gt;='1-Input'!$C$12,'1-Input'!$B$12,0))))*(1/(1-'P-Parametri'!$B$6*I463))+MIN(MAX(0,N462-(MAX(0,I451-IF($A463&gt;='1-Input'!$C$12,'1-Input'!$B$12,0))-MIN(MAX(M462,0),MAX(0,I451-IF($A463&gt;='1-Input'!$C$12,'1-Input'!$B$12,0))))*(1/(1-'P-Parametri'!$B$6*I463))),MAX(0,1*I451-(M462-MIN(MAX(M462,0),MAX(0,I451-IF($A463&gt;='1-Input'!$C$12,'1-Input'!$B$12,0)))))*(1/(1-'P-Parametri'!$B$6*I463))))</f>
        <v>24497.721434156905</v>
      </c>
      <c r="K463" s="18">
        <f>IF($A463&gt;'1-Input'!$B$26,M462,(M462-MAX(0,I451-IF($A463&gt;='1-Input'!$C$12,'1-Input'!$B$12,0))+J463*(1-'P-Parametri'!$B$6*I463))*(1+'1-Input'!$B$27))</f>
        <v>21869.741467754146</v>
      </c>
      <c r="L463" s="18">
        <f>IF($A463&gt;'1-Input'!$B$26,N462,(N462-J463)*(1+$C$4))</f>
        <v>270518.3421654877</v>
      </c>
      <c r="M463" s="18">
        <f>IF($A463&gt;'1-Input'!$B$26,K463,K463-'P-Parametri'!$B$8*(L463+K463)+MIN(MAX(L463,0),'P-Parametri'!$B$8*(L463+K463)))</f>
        <v>21869.741467754146</v>
      </c>
      <c r="N463" s="18">
        <f>IF($A463&gt;'1-Input'!$B$26,L463,L463-MIN(MAX(L463,0),'P-Parametri'!$B$8*(L463+K463)))</f>
        <v>269933.56599822122</v>
      </c>
      <c r="O463" s="18">
        <f>IF($A463&gt;'1-Input'!$B$26,O462,O462-J463*(1-I463))</f>
        <v>160792.124267448</v>
      </c>
      <c r="P463" s="11">
        <f>IF($A463&gt;'1-Input'!$B$26,0,IF(U462&lt;=0,0,MAX(0,(U462-V462)/U462)))</f>
        <v>0.38793013922472747</v>
      </c>
      <c r="Q463" s="18">
        <f>IF($A463&gt;'1-Input'!$B$26,0,(MAX(0,P451-IF($A463&gt;='1-Input'!$C$12,'1-Input'!$B$12,0))-MIN(MAX(T462,0),MAX(0,P451-IF($A463&gt;='1-Input'!$C$12,'1-Input'!$B$12,0))))*(1/(1-'P-Parametri'!$B$6*P463))+MIN(MAX(0,U462-(MAX(0,P451-IF($A463&gt;='1-Input'!$C$12,'1-Input'!$B$12,0))-MIN(MAX(T462,0),MAX(0,P451-IF($A463&gt;='1-Input'!$C$12,'1-Input'!$B$12,0))))*(1/(1-'P-Parametri'!$B$6*P463))),MAX(0,1*P451-(T462-MIN(MAX(T462,0),MAX(0,P451-IF($A463&gt;='1-Input'!$C$12,'1-Input'!$B$12,0)))))*(1/(1-'P-Parametri'!$B$6*P463))))</f>
        <v>20808.63119347244</v>
      </c>
      <c r="R463" s="18">
        <f>IF($A463&gt;'1-Input'!$B$26,T462,(T462-MAX(0,P451-IF($A463&gt;='1-Input'!$C$12,'1-Input'!$B$12,0))+Q463*(1-'P-Parametri'!$B$6*P463))*(1+'1-Input'!$B$27))</f>
        <v>18575.606853855934</v>
      </c>
      <c r="S463" s="18">
        <f>IF($A463&gt;'1-Input'!$B$26,U462,(U462-Q463)*(1+$C$4))</f>
        <v>317040.99705214961</v>
      </c>
      <c r="T463" s="18">
        <f>IF($A463&gt;'1-Input'!$B$26,R463,R463-'P-Parametri'!$B$8*(S463+R463)+MIN(MAX(S463,0),'P-Parametri'!$B$8*(S463+R463)))</f>
        <v>18575.606853855934</v>
      </c>
      <c r="U463" s="18">
        <f>IF($A463&gt;'1-Input'!$B$26,S463,S463-MIN(MAX(S463,0),'P-Parametri'!$B$8*(S463+R463)))</f>
        <v>316369.76384433761</v>
      </c>
      <c r="V463" s="18">
        <f>IF($A463&gt;'1-Input'!$B$26,V462,V462-Q463*(1-P463))</f>
        <v>188399.26109297355</v>
      </c>
      <c r="W463" s="11">
        <f>IF($A463&gt;'1-Input'!$B$26,0,IF(AB462&lt;=0,0,MAX(0,(AB462-AC462)/AB462)))</f>
        <v>0.38794068151298744</v>
      </c>
      <c r="X463" s="18">
        <f>IF($A463&gt;'1-Input'!$B$26,0,(MAX(0,W451-IF($A463&gt;='1-Input'!$C$12,'1-Input'!$B$12,0))-MIN(MAX(AA462,0),MAX(0,W451-IF($A463&gt;='1-Input'!$C$12,'1-Input'!$B$12,0))))*(1/(1-'P-Parametri'!$B$6*W463))+MIN(MAX(0,AB462-(MAX(0,W451-IF($A463&gt;='1-Input'!$C$12,'1-Input'!$B$12,0))-MIN(MAX(AA462,0),MAX(0,W451-IF($A463&gt;='1-Input'!$C$12,'1-Input'!$B$12,0))))*(1/(1-'P-Parametri'!$B$6*W463))),MAX(0,1*W451-(AA462-MIN(MAX(AA462,0),MAX(0,W451-IF($A463&gt;='1-Input'!$C$12,'1-Input'!$B$12,0)))))*(1/(1-'P-Parametri'!$B$6*W463))))</f>
        <v>20520.909375943462</v>
      </c>
      <c r="Y463" s="18">
        <f>IF($A463&gt;'1-Input'!$B$26,AA462,(AA462-MAX(0,W451-IF($A463&gt;='1-Input'!$C$12,'1-Input'!$B$12,0))+X463*(1-'P-Parametri'!$B$6*W463))*(1+'1-Input'!$B$27))</f>
        <v>18318.70531348556</v>
      </c>
      <c r="Z463" s="18">
        <f>IF($A463&gt;'1-Input'!$B$26,AB462,(AB462-X463)*(1+$C$4))</f>
        <v>320669.27099389507</v>
      </c>
      <c r="AA463" s="18">
        <f>IF($A463&gt;'1-Input'!$B$26,Y463,Y463-'P-Parametri'!$B$8*(Z463+Y463)+MIN(MAX(Z463,0),'P-Parametri'!$B$8*(Z463+Y463)))</f>
        <v>18318.70531348556</v>
      </c>
      <c r="AB463" s="18">
        <f>IF($A463&gt;'1-Input'!$B$26,Z463,Z463-MIN(MAX(Z463,0),'P-Parametri'!$B$8*(Z463+Y463)))</f>
        <v>319991.29504128033</v>
      </c>
      <c r="AC463" s="18">
        <f>IF($A463&gt;'1-Input'!$B$26,AC462,AC462-X463*(1-W463))</f>
        <v>190552.05384878695</v>
      </c>
      <c r="AD463" s="11">
        <f>IF($A463&gt;'1-Input'!$B$26,0,IF(AI462&lt;=0,0,MAX(0,(AI462-AJ462)/AI462)))</f>
        <v>0.38794110761761635</v>
      </c>
      <c r="AE463" s="18">
        <f>IF($A463&gt;'1-Input'!$B$26,0,(MAX(0,AD451-IF($A463&gt;='1-Input'!$C$12,'1-Input'!$B$12,0))-MIN(MAX(AH462,0),MAX(0,AD451-IF($A463&gt;='1-Input'!$C$12,'1-Input'!$B$12,0))))*(1/(1-'P-Parametri'!$B$6*AD463))+MIN(MAX(0,AI462-(MAX(0,AD451-IF($A463&gt;='1-Input'!$C$12,'1-Input'!$B$12,0))-MIN(MAX(AH462,0),MAX(0,AD451-IF($A463&gt;='1-Input'!$C$12,'1-Input'!$B$12,0))))*(1/(1-'P-Parametri'!$B$6*AD463))),MAX(0,1*AD451-(AH462-MIN(MAX(AH462,0),MAX(0,AD451-IF($A463&gt;='1-Input'!$C$12,'1-Input'!$B$12,0)))))*(1/(1-'P-Parametri'!$B$6*AD463))))</f>
        <v>20509.21061437868</v>
      </c>
      <c r="AF463" s="18">
        <f>IF($A463&gt;'1-Input'!$B$26,AH462,(AH462-MAX(0,AD451-IF($A463&gt;='1-Input'!$C$12,'1-Input'!$B$12,0))+AE463*(1-'P-Parametri'!$B$6*AD463))*(1+'1-Input'!$B$27))</f>
        <v>18308.259750184588</v>
      </c>
      <c r="AG463" s="18">
        <f>IF($A463&gt;'1-Input'!$B$26,AI462,(AI462-AE463)*(1+$C$4))</f>
        <v>320816.79610449169</v>
      </c>
      <c r="AH463" s="18">
        <f>IF($A463&gt;'1-Input'!$B$26,AF463,AF463-'P-Parametri'!$B$8*(AG463+AF463)+MIN(MAX(AG463,0),'P-Parametri'!$B$8*(AG463+AF463)))</f>
        <v>18308.259750184588</v>
      </c>
      <c r="AI463" s="18">
        <f>IF($A463&gt;'1-Input'!$B$26,AG463,AG463-MIN(MAX(AG463,0),'P-Parametri'!$B$8*(AG463+AF463)))</f>
        <v>320138.54599278234</v>
      </c>
      <c r="AJ463" s="18">
        <f>IF($A463&gt;'1-Input'!$B$26,AJ462,AJ462-AE463*(1-AD463))</f>
        <v>190639.58532172834</v>
      </c>
      <c r="AK463" s="11">
        <f>IF($A463&gt;'1-Input'!$B$26,0,IF(AP462&lt;=0,0,MAX(0,(AP462-AQ462)/AP462)))</f>
        <v>0.38794110401512288</v>
      </c>
      <c r="AL463" s="18">
        <f>IF($A463&gt;'1-Input'!$B$26,0,(MAX(0,AK451-IF($A463&gt;='1-Input'!$C$12,'1-Input'!$B$12,0))-MIN(MAX(AO462,0),MAX(0,AK451-IF($A463&gt;='1-Input'!$C$12,'1-Input'!$B$12,0))))*(1/(1-'P-Parametri'!$B$6*AK463))+MIN(MAX(0,AP462-(MAX(0,AK451-IF($A463&gt;='1-Input'!$C$12,'1-Input'!$B$12,0))-MIN(MAX(AO462,0),MAX(0,AK451-IF($A463&gt;='1-Input'!$C$12,'1-Input'!$B$12,0))))*(1/(1-'P-Parametri'!$B$6*AK463))),MAX(0,1*AK451-(AO462-MIN(MAX(AO462,0),MAX(0,AK451-IF($A463&gt;='1-Input'!$C$12,'1-Input'!$B$12,0)))))*(1/(1-'P-Parametri'!$B$6*AK463))))</f>
        <v>20509.309544051765</v>
      </c>
      <c r="AM463" s="18">
        <f>IF($A463&gt;'1-Input'!$B$26,AO462,(AO462-MAX(0,AK451-IF($A463&gt;='1-Input'!$C$12,'1-Input'!$B$12,0))+AL463*(1-'P-Parametri'!$B$6*AK463))*(1+'1-Input'!$B$27))</f>
        <v>18308.348082268236</v>
      </c>
      <c r="AN463" s="18">
        <f>IF($A463&gt;'1-Input'!$B$26,AP462,(AP462-AL463)*(1+$C$4))</f>
        <v>320815.54856992891</v>
      </c>
      <c r="AO463" s="18">
        <f>IF($A463&gt;'1-Input'!$B$26,AM463,AM463-'P-Parametri'!$B$8*(AN463+AM463)+MIN(MAX(AN463,0),'P-Parametri'!$B$8*(AN463+AM463)))</f>
        <v>18308.348082268236</v>
      </c>
      <c r="AP463" s="18">
        <f>IF($A463&gt;'1-Input'!$B$26,AN463,AN463-MIN(MAX(AN463,0),'P-Parametri'!$B$8*(AN463+AM463)))</f>
        <v>320137.30077662453</v>
      </c>
      <c r="AQ463" s="18">
        <f>IF($A463&gt;'1-Input'!$B$26,AQ462,AQ462-AL463*(1-AK463))</f>
        <v>190638.84511892564</v>
      </c>
    </row>
    <row r="464" spans="1:43">
      <c r="A464" s="10">
        <f>11</f>
        <v>11</v>
      </c>
      <c r="B464" s="11">
        <f>IF($A464&gt;'1-Input'!$B$26,0,IF(G463&lt;=0,0,MAX(0,(G463-H463)/G463)))</f>
        <v>0.40458422450565745</v>
      </c>
      <c r="C464" s="18">
        <f>IF($A464&gt;'1-Input'!$B$26,0,(MAX(0,B451-IF($A464&gt;='1-Input'!$C$12,'1-Input'!$B$12,0))-MIN(MAX(F463,0),MAX(0,B451-IF($A464&gt;='1-Input'!$C$12,'1-Input'!$B$12,0))))*(1/(1-'P-Parametri'!$B$6*B464))+MIN(MAX(0,G463-(MAX(0,B451-IF($A464&gt;='1-Input'!$C$12,'1-Input'!$B$12,0))-MIN(MAX(F463,0),MAX(0,B451-IF($A464&gt;='1-Input'!$C$12,'1-Input'!$B$12,0))))*(1/(1-'P-Parametri'!$B$6*B464))),MAX(0,1*B451-(F463-MIN(MAX(F463,0),MAX(0,B451-IF($A464&gt;='1-Input'!$C$12,'1-Input'!$B$12,0)))))*(1/(1-'P-Parametri'!$B$6*B464))))</f>
        <v>18709.159073649473</v>
      </c>
      <c r="D464" s="18">
        <f>IF($A464&gt;'1-Input'!$B$26,F463,(F463-MAX(0,B451-IF($A464&gt;='1-Input'!$C$12,'1-Input'!$B$12,0))+C464*(1-'P-Parametri'!$B$6*B464))*(1+'1-Input'!$B$27))</f>
        <v>16621.00351549315</v>
      </c>
      <c r="E464" s="18">
        <f>IF($A464&gt;'1-Input'!$B$26,G463,(G463-C464)*(1+$C$4))</f>
        <v>334971.30202648888</v>
      </c>
      <c r="F464" s="18">
        <f>IF($A464&gt;'1-Input'!$B$26,D464,D464-'P-Parametri'!$B$8*(E464+D464)+MIN(MAX(E464,0),'P-Parametri'!$B$8*(E464+D464)))</f>
        <v>16621.00351549315</v>
      </c>
      <c r="G464" s="18">
        <f>IF($A464&gt;'1-Input'!$B$26,E464,E464-MIN(MAX(E464,0),'P-Parametri'!$B$8*(E464+D464)))</f>
        <v>334268.11741540494</v>
      </c>
      <c r="H464" s="18">
        <f>IF($A464&gt;'1-Input'!$B$26,H463,H463-C464*(1-B464))</f>
        <v>193638.055887817</v>
      </c>
      <c r="I464" s="11">
        <f>IF($A464&gt;'1-Input'!$B$26,0,IF(N463&lt;=0,0,MAX(0,(N463-O463)/N463)))</f>
        <v>0.40432704738725389</v>
      </c>
      <c r="J464" s="18">
        <f>IF($A464&gt;'1-Input'!$B$26,0,(MAX(0,I451-IF($A464&gt;='1-Input'!$C$12,'1-Input'!$B$12,0))-MIN(MAX(M463,0),MAX(0,I451-IF($A464&gt;='1-Input'!$C$12,'1-Input'!$B$12,0))))*(1/(1-'P-Parametri'!$B$6*I464))+MIN(MAX(0,N463-(MAX(0,I451-IF($A464&gt;='1-Input'!$C$12,'1-Input'!$B$12,0))-MIN(MAX(M463,0),MAX(0,I451-IF($A464&gt;='1-Input'!$C$12,'1-Input'!$B$12,0))))*(1/(1-'P-Parametri'!$B$6*I464))),MAX(0,1*I451-(M463-MIN(MAX(M463,0),MAX(0,I451-IF($A464&gt;='1-Input'!$C$12,'1-Input'!$B$12,0)))))*(1/(1-'P-Parametri'!$B$6*I464))))</f>
        <v>24615.475137524547</v>
      </c>
      <c r="K464" s="18">
        <f>IF($A464&gt;'1-Input'!$B$26,M463,(M463-MAX(0,I451-IF($A464&gt;='1-Input'!$C$12,'1-Input'!$B$12,0))+J464*(1-'P-Parametri'!$B$6*I464))*(1+'1-Input'!$B$27))</f>
        <v>21869.741467754146</v>
      </c>
      <c r="L464" s="18">
        <f>IF($A464&gt;'1-Input'!$B$26,N463,(N463-J464)*(1+$C$4))</f>
        <v>252677.63358651759</v>
      </c>
      <c r="M464" s="18">
        <f>IF($A464&gt;'1-Input'!$B$26,K464,K464-'P-Parametri'!$B$8*(L464+K464)+MIN(MAX(L464,0),'P-Parametri'!$B$8*(L464+K464)))</f>
        <v>21869.741467754146</v>
      </c>
      <c r="N464" s="18">
        <f>IF($A464&gt;'1-Input'!$B$26,L464,L464-MIN(MAX(L464,0),'P-Parametri'!$B$8*(L464+K464)))</f>
        <v>252128.53883640905</v>
      </c>
      <c r="O464" s="18">
        <f>IF($A464&gt;'1-Input'!$B$26,O463,O463-J464*(1-I464))</f>
        <v>146129.35151231312</v>
      </c>
      <c r="P464" s="11">
        <f>IF($A464&gt;'1-Input'!$B$26,0,IF(U463&lt;=0,0,MAX(0,(U463-V463)/U463)))</f>
        <v>0.40449662823761173</v>
      </c>
      <c r="Q464" s="18">
        <f>IF($A464&gt;'1-Input'!$B$26,0,(MAX(0,P451-IF($A464&gt;='1-Input'!$C$12,'1-Input'!$B$12,0))-MIN(MAX(T463,0),MAX(0,P451-IF($A464&gt;='1-Input'!$C$12,'1-Input'!$B$12,0))))*(1/(1-'P-Parametri'!$B$6*P464))+MIN(MAX(0,U463-(MAX(0,P451-IF($A464&gt;='1-Input'!$C$12,'1-Input'!$B$12,0))-MIN(MAX(T463,0),MAX(0,P451-IF($A464&gt;='1-Input'!$C$12,'1-Input'!$B$12,0))))*(1/(1-'P-Parametri'!$B$6*P464))),MAX(0,1*P451-(T463-MIN(MAX(T463,0),MAX(0,P451-IF($A464&gt;='1-Input'!$C$12,'1-Input'!$B$12,0)))))*(1/(1-'P-Parametri'!$B$6*P464))))</f>
        <v>20908.793975008408</v>
      </c>
      <c r="R464" s="18">
        <f>IF($A464&gt;'1-Input'!$B$26,T463,(T463-MAX(0,P451-IF($A464&gt;='1-Input'!$C$12,'1-Input'!$B$12,0))+Q464*(1-'P-Parametri'!$B$6*P464))*(1+'1-Input'!$B$27))</f>
        <v>18575.606853855934</v>
      </c>
      <c r="S464" s="18">
        <f>IF($A464&gt;'1-Input'!$B$26,U463,(U463-Q464)*(1+$C$4))</f>
        <v>304324.79896540905</v>
      </c>
      <c r="T464" s="18">
        <f>IF($A464&gt;'1-Input'!$B$26,R464,R464-'P-Parametri'!$B$8*(S464+R464)+MIN(MAX(S464,0),'P-Parametri'!$B$8*(S464+R464)))</f>
        <v>18575.606853855934</v>
      </c>
      <c r="U464" s="18">
        <f>IF($A464&gt;'1-Input'!$B$26,S464,S464-MIN(MAX(S464,0),'P-Parametri'!$B$8*(S464+R464)))</f>
        <v>303678.99815377052</v>
      </c>
      <c r="V464" s="18">
        <f>IF($A464&gt;'1-Input'!$B$26,V463,V463-Q464*(1-P464))</f>
        <v>175948.00378137094</v>
      </c>
      <c r="W464" s="11">
        <f>IF($A464&gt;'1-Input'!$B$26,0,IF(AB463&lt;=0,0,MAX(0,(AB463-AC463)/AB463)))</f>
        <v>0.40450863257325526</v>
      </c>
      <c r="X464" s="18">
        <f>IF($A464&gt;'1-Input'!$B$26,0,(MAX(0,W451-IF($A464&gt;='1-Input'!$C$12,'1-Input'!$B$12,0))-MIN(MAX(AA463,0),MAX(0,W451-IF($A464&gt;='1-Input'!$C$12,'1-Input'!$B$12,0))))*(1/(1-'P-Parametri'!$B$6*W464))+MIN(MAX(0,AB463-(MAX(0,W451-IF($A464&gt;='1-Input'!$C$12,'1-Input'!$B$12,0))-MIN(MAX(AA463,0),MAX(0,W451-IF($A464&gt;='1-Input'!$C$12,'1-Input'!$B$12,0))))*(1/(1-'P-Parametri'!$B$6*W464))),MAX(0,1*W451-(AA463-MIN(MAX(AA463,0),MAX(0,W451-IF($A464&gt;='1-Input'!$C$12,'1-Input'!$B$12,0)))))*(1/(1-'P-Parametri'!$B$6*W464))))</f>
        <v>20619.696264525475</v>
      </c>
      <c r="Y464" s="18">
        <f>IF($A464&gt;'1-Input'!$B$26,AA463,(AA463-MAX(0,W451-IF($A464&gt;='1-Input'!$C$12,'1-Input'!$B$12,0))+X464*(1-'P-Parametri'!$B$6*W464))*(1+'1-Input'!$B$27))</f>
        <v>18318.705313485556</v>
      </c>
      <c r="Z464" s="18">
        <f>IF($A464&gt;'1-Input'!$B$26,AB463,(AB463-X464)*(1+$C$4))</f>
        <v>308352.74674005754</v>
      </c>
      <c r="AA464" s="18">
        <f>IF($A464&gt;'1-Input'!$B$26,Y464,Y464-'P-Parametri'!$B$8*(Z464+Y464)+MIN(MAX(Z464,0),'P-Parametri'!$B$8*(Z464+Y464)))</f>
        <v>18318.705313485556</v>
      </c>
      <c r="AB464" s="18">
        <f>IF($A464&gt;'1-Input'!$B$26,Z464,Z464-MIN(MAX(Z464,0),'P-Parametri'!$B$8*(Z464+Y464)))</f>
        <v>307699.40383595048</v>
      </c>
      <c r="AC464" s="18">
        <f>IF($A464&gt;'1-Input'!$B$26,AC463,AC463-X464*(1-W464))</f>
        <v>178273.20272430053</v>
      </c>
      <c r="AD464" s="11">
        <f>IF($A464&gt;'1-Input'!$B$26,0,IF(AI463&lt;=0,0,MAX(0,(AI463-AJ463)/AI463)))</f>
        <v>0.40450911735562639</v>
      </c>
      <c r="AE464" s="18">
        <f>IF($A464&gt;'1-Input'!$B$26,0,(MAX(0,AD451-IF($A464&gt;='1-Input'!$C$12,'1-Input'!$B$12,0))-MIN(MAX(AH463,0),MAX(0,AD451-IF($A464&gt;='1-Input'!$C$12,'1-Input'!$B$12,0))))*(1/(1-'P-Parametri'!$B$6*AD464))+MIN(MAX(0,AI463-(MAX(0,AD451-IF($A464&gt;='1-Input'!$C$12,'1-Input'!$B$12,0))-MIN(MAX(AH463,0),MAX(0,AD451-IF($A464&gt;='1-Input'!$C$12,'1-Input'!$B$12,0))))*(1/(1-'P-Parametri'!$B$6*AD464))),MAX(0,1*AD451-(AH463-MIN(MAX(AH463,0),MAX(0,AD451-IF($A464&gt;='1-Input'!$C$12,'1-Input'!$B$12,0)))))*(1/(1-'P-Parametri'!$B$6*AD464))))</f>
        <v>20607.941549136318</v>
      </c>
      <c r="AF464" s="18">
        <f>IF($A464&gt;'1-Input'!$B$26,AH463,(AH463-MAX(0,AD451-IF($A464&gt;='1-Input'!$C$12,'1-Input'!$B$12,0))+AE464*(1-'P-Parametri'!$B$6*AD464))*(1+'1-Input'!$B$27))</f>
        <v>18308.259750184592</v>
      </c>
      <c r="AG464" s="18">
        <f>IF($A464&gt;'1-Input'!$B$26,AI463,(AI463-AE464)*(1+$C$4))</f>
        <v>308516.52257695544</v>
      </c>
      <c r="AH464" s="18">
        <f>IF($A464&gt;'1-Input'!$B$26,AF464,AF464-'P-Parametri'!$B$8*(AG464+AF464)+MIN(MAX(AG464,0),'P-Parametri'!$B$8*(AG464+AF464)))</f>
        <v>18308.259750184592</v>
      </c>
      <c r="AI464" s="18">
        <f>IF($A464&gt;'1-Input'!$B$26,AG464,AG464-MIN(MAX(AG464,0),'P-Parametri'!$B$8*(AG464+AF464)))</f>
        <v>307862.87301230116</v>
      </c>
      <c r="AJ464" s="18">
        <f>IF($A464&gt;'1-Input'!$B$26,AJ463,AJ463-AE464*(1-AD464))</f>
        <v>178367.74401914951</v>
      </c>
      <c r="AK464" s="11">
        <f>IF($A464&gt;'1-Input'!$B$26,0,IF(AP463&lt;=0,0,MAX(0,(AP463-AQ463)/AP463)))</f>
        <v>0.40450911325717803</v>
      </c>
      <c r="AL464" s="18">
        <f>IF($A464&gt;'1-Input'!$B$26,0,(MAX(0,AK451-IF($A464&gt;='1-Input'!$C$12,'1-Input'!$B$12,0))-MIN(MAX(AO463,0),MAX(0,AK451-IF($A464&gt;='1-Input'!$C$12,'1-Input'!$B$12,0))))*(1/(1-'P-Parametri'!$B$6*AK464))+MIN(MAX(0,AP463-(MAX(0,AK451-IF($A464&gt;='1-Input'!$C$12,'1-Input'!$B$12,0))-MIN(MAX(AO463,0),MAX(0,AK451-IF($A464&gt;='1-Input'!$C$12,'1-Input'!$B$12,0))))*(1/(1-'P-Parametri'!$B$6*AK464))),MAX(0,1*AK451-(AO463-MIN(MAX(AO463,0),MAX(0,AK451-IF($A464&gt;='1-Input'!$C$12,'1-Input'!$B$12,0)))))*(1/(1-'P-Parametri'!$B$6*AK464))))</f>
        <v>20608.040951981842</v>
      </c>
      <c r="AM464" s="18">
        <f>IF($A464&gt;'1-Input'!$B$26,AO463,(AO463-MAX(0,AK451-IF($A464&gt;='1-Input'!$C$12,'1-Input'!$B$12,0))+AL464*(1-'P-Parametri'!$B$6*AK464))*(1+'1-Input'!$B$27))</f>
        <v>18308.348082268236</v>
      </c>
      <c r="AN464" s="18">
        <f>IF($A464&gt;'1-Input'!$B$26,AP463,(AP463-AL464)*(1+$C$4))</f>
        <v>308515.13761938195</v>
      </c>
      <c r="AO464" s="18">
        <f>IF($A464&gt;'1-Input'!$B$26,AM464,AM464-'P-Parametri'!$B$8*(AN464+AM464)+MIN(MAX(AN464,0),'P-Parametri'!$B$8*(AN464+AM464)))</f>
        <v>18308.348082268236</v>
      </c>
      <c r="AP464" s="18">
        <f>IF($A464&gt;'1-Input'!$B$26,AN464,AN464-MIN(MAX(AN464,0),'P-Parametri'!$B$8*(AN464+AM464)))</f>
        <v>307861.49064797867</v>
      </c>
      <c r="AQ464" s="18">
        <f>IF($A464&gt;'1-Input'!$B$26,AQ463,AQ463-AL464*(1-AK464))</f>
        <v>178366.9445383976</v>
      </c>
    </row>
    <row r="465" spans="1:43">
      <c r="A465" s="10">
        <f>12</f>
        <v>12</v>
      </c>
      <c r="B465" s="11">
        <f>IF($A465&gt;'1-Input'!$B$26,0,IF(G464&lt;=0,0,MAX(0,(G464-H464)/G464)))</f>
        <v>0.42071036452699667</v>
      </c>
      <c r="C465" s="18">
        <f>IF($A465&gt;'1-Input'!$B$26,0,(MAX(0,B451-IF($A465&gt;='1-Input'!$C$12,'1-Input'!$B$12,0))-MIN(MAX(F464,0),MAX(0,B451-IF($A465&gt;='1-Input'!$C$12,'1-Input'!$B$12,0))))*(1/(1-'P-Parametri'!$B$6*B465))+MIN(MAX(0,G464-(MAX(0,B451-IF($A465&gt;='1-Input'!$C$12,'1-Input'!$B$12,0))-MIN(MAX(F464,0),MAX(0,B451-IF($A465&gt;='1-Input'!$C$12,'1-Input'!$B$12,0))))*(1/(1-'P-Parametri'!$B$6*B465))),MAX(0,1*B451-(F464-MIN(MAX(F464,0),MAX(0,B451-IF($A465&gt;='1-Input'!$C$12,'1-Input'!$B$12,0)))))*(1/(1-'P-Parametri'!$B$6*B465))))</f>
        <v>18797.237163543952</v>
      </c>
      <c r="D465" s="18">
        <f>IF($A465&gt;'1-Input'!$B$26,F464,(F464-MAX(0,B451-IF($A465&gt;='1-Input'!$C$12,'1-Input'!$B$12,0))+C465*(1-'P-Parametri'!$B$6*B465))*(1+'1-Input'!$B$27))</f>
        <v>16621.00351549315</v>
      </c>
      <c r="E465" s="18">
        <f>IF($A465&gt;'1-Input'!$B$26,G464,(G464-C465)*(1+$C$4))</f>
        <v>324935.00665941683</v>
      </c>
      <c r="F465" s="18">
        <f>IF($A465&gt;'1-Input'!$B$26,D465,D465-'P-Parametri'!$B$8*(E465+D465)+MIN(MAX(E465,0),'P-Parametri'!$B$8*(E465+D465)))</f>
        <v>16621.00351549315</v>
      </c>
      <c r="G465" s="18">
        <f>IF($A465&gt;'1-Input'!$B$26,E465,E465-MIN(MAX(E465,0),'P-Parametri'!$B$8*(E465+D465)))</f>
        <v>324251.894639067</v>
      </c>
      <c r="H465" s="18">
        <f>IF($A465&gt;'1-Input'!$B$26,H464,H464-C465*(1-B465))</f>
        <v>182749.01122344803</v>
      </c>
      <c r="I465" s="11">
        <f>IF($A465&gt;'1-Input'!$B$26,0,IF(N464&lt;=0,0,MAX(0,(N464-O464)/N464)))</f>
        <v>0.42041725150706716</v>
      </c>
      <c r="J465" s="18">
        <f>IF($A465&gt;'1-Input'!$B$26,0,(MAX(0,I451-IF($A465&gt;='1-Input'!$C$12,'1-Input'!$B$12,0))-MIN(MAX(M464,0),MAX(0,I451-IF($A465&gt;='1-Input'!$C$12,'1-Input'!$B$12,0))))*(1/(1-'P-Parametri'!$B$6*I465))+MIN(MAX(0,N464-(MAX(0,I451-IF($A465&gt;='1-Input'!$C$12,'1-Input'!$B$12,0))-MIN(MAX(M464,0),MAX(0,I451-IF($A465&gt;='1-Input'!$C$12,'1-Input'!$B$12,0))))*(1/(1-'P-Parametri'!$B$6*I465))),MAX(0,1*I451-(M464-MIN(MAX(M464,0),MAX(0,I451-IF($A465&gt;='1-Input'!$C$12,'1-Input'!$B$12,0)))))*(1/(1-'P-Parametri'!$B$6*I465))))</f>
        <v>24731.09057044717</v>
      </c>
      <c r="K465" s="18">
        <f>IF($A465&gt;'1-Input'!$B$26,M464,(M464-MAX(0,I451-IF($A465&gt;='1-Input'!$C$12,'1-Input'!$B$12,0))+J465*(1-'P-Parametri'!$B$6*I465))*(1+'1-Input'!$B$27))</f>
        <v>21869.741467754146</v>
      </c>
      <c r="L465" s="18">
        <f>IF($A465&gt;'1-Input'!$B$26,N464,(N464-J465)*(1+$C$4))</f>
        <v>234219.37171394072</v>
      </c>
      <c r="M465" s="18">
        <f>IF($A465&gt;'1-Input'!$B$26,K465,K465-'P-Parametri'!$B$8*(L465+K465)+MIN(MAX(L465,0),'P-Parametri'!$B$8*(L465+K465)))</f>
        <v>21869.741467754146</v>
      </c>
      <c r="N465" s="18">
        <f>IF($A465&gt;'1-Input'!$B$26,L465,L465-MIN(MAX(L465,0),'P-Parametri'!$B$8*(L465+K465)))</f>
        <v>233707.19348757734</v>
      </c>
      <c r="O465" s="18">
        <f>IF($A465&gt;'1-Input'!$B$26,O464,O464-J465*(1-I465))</f>
        <v>131795.6380662657</v>
      </c>
      <c r="P465" s="11">
        <f>IF($A465&gt;'1-Input'!$B$26,0,IF(U464&lt;=0,0,MAX(0,(U464-V464)/U464)))</f>
        <v>0.42061188013970552</v>
      </c>
      <c r="Q465" s="18">
        <f>IF($A465&gt;'1-Input'!$B$26,0,(MAX(0,P451-IF($A465&gt;='1-Input'!$C$12,'1-Input'!$B$12,0))-MIN(MAX(T464,0),MAX(0,P451-IF($A465&gt;='1-Input'!$C$12,'1-Input'!$B$12,0))))*(1/(1-'P-Parametri'!$B$6*P465))+MIN(MAX(0,U464-(MAX(0,P451-IF($A465&gt;='1-Input'!$C$12,'1-Input'!$B$12,0))-MIN(MAX(T464,0),MAX(0,P451-IF($A465&gt;='1-Input'!$C$12,'1-Input'!$B$12,0))))*(1/(1-'P-Parametri'!$B$6*P465))),MAX(0,1*P451-(T464-MIN(MAX(T464,0),MAX(0,P451-IF($A465&gt;='1-Input'!$C$12,'1-Input'!$B$12,0)))))*(1/(1-'P-Parametri'!$B$6*P465))))</f>
        <v>21007.158112776746</v>
      </c>
      <c r="R465" s="18">
        <f>IF($A465&gt;'1-Input'!$B$26,T464,(T464-MAX(0,P451-IF($A465&gt;='1-Input'!$C$12,'1-Input'!$B$12,0))+Q465*(1-'P-Parametri'!$B$6*P465))*(1+'1-Input'!$B$27))</f>
        <v>18575.606853855934</v>
      </c>
      <c r="S465" s="18">
        <f>IF($A465&gt;'1-Input'!$B$26,U464,(U464-Q465)*(1+$C$4))</f>
        <v>291151.99524222361</v>
      </c>
      <c r="T465" s="18">
        <f>IF($A465&gt;'1-Input'!$B$26,R465,R465-'P-Parametri'!$B$8*(S465+R465)+MIN(MAX(S465,0),'P-Parametri'!$B$8*(S465+R465)))</f>
        <v>18575.606853855934</v>
      </c>
      <c r="U465" s="18">
        <f>IF($A465&gt;'1-Input'!$B$26,S465,S465-MIN(MAX(S465,0),'P-Parametri'!$B$8*(S465+R465)))</f>
        <v>290532.54003803147</v>
      </c>
      <c r="V465" s="18">
        <f>IF($A465&gt;'1-Input'!$B$26,V464,V464-Q465*(1-P465))</f>
        <v>163776.70593880129</v>
      </c>
      <c r="W465" s="11">
        <f>IF($A465&gt;'1-Input'!$B$26,0,IF(AB464&lt;=0,0,MAX(0,(AB464-AC464)/AB464)))</f>
        <v>0.42062545295230197</v>
      </c>
      <c r="X465" s="18">
        <f>IF($A465&gt;'1-Input'!$B$26,0,(MAX(0,W451-IF($A465&gt;='1-Input'!$C$12,'1-Input'!$B$12,0))-MIN(MAX(AA464,0),MAX(0,W451-IF($A465&gt;='1-Input'!$C$12,'1-Input'!$B$12,0))))*(1/(1-'P-Parametri'!$B$6*W465))+MIN(MAX(0,AB464-(MAX(0,W451-IF($A465&gt;='1-Input'!$C$12,'1-Input'!$B$12,0))-MIN(MAX(AA464,0),MAX(0,W451-IF($A465&gt;='1-Input'!$C$12,'1-Input'!$B$12,0))))*(1/(1-'P-Parametri'!$B$6*W465))),MAX(0,1*W451-(AA464-MIN(MAX(AA464,0),MAX(0,W451-IF($A465&gt;='1-Input'!$C$12,'1-Input'!$B$12,0)))))*(1/(1-'P-Parametri'!$B$6*W465))))</f>
        <v>20716.710185538483</v>
      </c>
      <c r="Y465" s="18">
        <f>IF($A465&gt;'1-Input'!$B$26,AA464,(AA464-MAX(0,W451-IF($A465&gt;='1-Input'!$C$12,'1-Input'!$B$12,0))+X465*(1-'P-Parametri'!$B$6*W465))*(1+'1-Input'!$B$27))</f>
        <v>18318.705313485556</v>
      </c>
      <c r="Z465" s="18">
        <f>IF($A465&gt;'1-Input'!$B$26,AB464,(AB464-X465)*(1+$C$4))</f>
        <v>295592.1744599244</v>
      </c>
      <c r="AA465" s="18">
        <f>IF($A465&gt;'1-Input'!$B$26,Y465,Y465-'P-Parametri'!$B$8*(Z465+Y465)+MIN(MAX(Z465,0),'P-Parametri'!$B$8*(Z465+Y465)))</f>
        <v>18318.705313485556</v>
      </c>
      <c r="AB465" s="18">
        <f>IF($A465&gt;'1-Input'!$B$26,Z465,Z465-MIN(MAX(Z465,0),'P-Parametri'!$B$8*(Z465+Y465)))</f>
        <v>294964.35270037758</v>
      </c>
      <c r="AC465" s="18">
        <f>IF($A465&gt;'1-Input'!$B$26,AC464,AC464-X465*(1-W465))</f>
        <v>166270.46814423573</v>
      </c>
      <c r="AD465" s="11">
        <f>IF($A465&gt;'1-Input'!$B$26,0,IF(AI464&lt;=0,0,MAX(0,(AI464-AJ464)/AI464)))</f>
        <v>0.42062600055050309</v>
      </c>
      <c r="AE465" s="18">
        <f>IF($A465&gt;'1-Input'!$B$26,0,(MAX(0,AD451-IF($A465&gt;='1-Input'!$C$12,'1-Input'!$B$12,0))-MIN(MAX(AH464,0),MAX(0,AD451-IF($A465&gt;='1-Input'!$C$12,'1-Input'!$B$12,0))))*(1/(1-'P-Parametri'!$B$6*AD465))+MIN(MAX(0,AI464-(MAX(0,AD451-IF($A465&gt;='1-Input'!$C$12,'1-Input'!$B$12,0))-MIN(MAX(AH464,0),MAX(0,AD451-IF($A465&gt;='1-Input'!$C$12,'1-Input'!$B$12,0))))*(1/(1-'P-Parametri'!$B$6*AD465))),MAX(0,1*AD451-(AH464-MIN(MAX(AH464,0),MAX(0,AD451-IF($A465&gt;='1-Input'!$C$12,'1-Input'!$B$12,0)))))*(1/(1-'P-Parametri'!$B$6*AD465))))</f>
        <v>20704.90055861001</v>
      </c>
      <c r="AF465" s="18">
        <f>IF($A465&gt;'1-Input'!$B$26,AH464,(AH464-MAX(0,AD451-IF($A465&gt;='1-Input'!$C$12,'1-Input'!$B$12,0))+AE465*(1-'P-Parametri'!$B$6*AD465))*(1+'1-Input'!$B$27))</f>
        <v>18308.259750184588</v>
      </c>
      <c r="AG465" s="18">
        <f>IF($A465&gt;'1-Input'!$B$26,AI464,(AI464-AE465)*(1+$C$4))</f>
        <v>295772.71162730193</v>
      </c>
      <c r="AH465" s="18">
        <f>IF($A465&gt;'1-Input'!$B$26,AF465,AF465-'P-Parametri'!$B$8*(AG465+AF465)+MIN(MAX(AG465,0),'P-Parametri'!$B$8*(AG465+AF465)))</f>
        <v>18308.259750184588</v>
      </c>
      <c r="AI465" s="18">
        <f>IF($A465&gt;'1-Input'!$B$26,AG465,AG465-MIN(MAX(AG465,0),'P-Parametri'!$B$8*(AG465+AF465)))</f>
        <v>295144.54968454695</v>
      </c>
      <c r="AJ465" s="18">
        <f>IF($A465&gt;'1-Input'!$B$26,AJ464,AJ464-AE465*(1-AD465))</f>
        <v>166371.86297430351</v>
      </c>
      <c r="AK465" s="11">
        <f>IF($A465&gt;'1-Input'!$B$26,0,IF(AP464&lt;=0,0,MAX(0,(AP464-AQ464)/AP464)))</f>
        <v>0.42062599592116701</v>
      </c>
      <c r="AL465" s="18">
        <f>IF($A465&gt;'1-Input'!$B$26,0,(MAX(0,AK451-IF($A465&gt;='1-Input'!$C$12,'1-Input'!$B$12,0))-MIN(MAX(AO464,0),MAX(0,AK451-IF($A465&gt;='1-Input'!$C$12,'1-Input'!$B$12,0))))*(1/(1-'P-Parametri'!$B$6*AK465))+MIN(MAX(0,AP464-(MAX(0,AK451-IF($A465&gt;='1-Input'!$C$12,'1-Input'!$B$12,0))-MIN(MAX(AO464,0),MAX(0,AK451-IF($A465&gt;='1-Input'!$C$12,'1-Input'!$B$12,0))))*(1/(1-'P-Parametri'!$B$6*AK465))),MAX(0,1*AK451-(AO464-MIN(MAX(AO464,0),MAX(0,AK451-IF($A465&gt;='1-Input'!$C$12,'1-Input'!$B$12,0)))))*(1/(1-'P-Parametri'!$B$6*AK465))))</f>
        <v>20705.000425814531</v>
      </c>
      <c r="AM465" s="18">
        <f>IF($A465&gt;'1-Input'!$B$26,AO464,(AO464-MAX(0,AK451-IF($A465&gt;='1-Input'!$C$12,'1-Input'!$B$12,0))+AL465*(1-'P-Parametri'!$B$6*AK465))*(1+'1-Input'!$B$27))</f>
        <v>18308.34808226824</v>
      </c>
      <c r="AN465" s="18">
        <f>IF($A465&gt;'1-Input'!$B$26,AP464,(AP464-AL465)*(1+$C$4))</f>
        <v>295771.18492882908</v>
      </c>
      <c r="AO465" s="18">
        <f>IF($A465&gt;'1-Input'!$B$26,AM465,AM465-'P-Parametri'!$B$8*(AN465+AM465)+MIN(MAX(AN465,0),'P-Parametri'!$B$8*(AN465+AM465)))</f>
        <v>18308.34808226824</v>
      </c>
      <c r="AP465" s="18">
        <f>IF($A465&gt;'1-Input'!$B$26,AN465,AN465-MIN(MAX(AN465,0),'P-Parametri'!$B$8*(AN465+AM465)))</f>
        <v>295143.02586280688</v>
      </c>
      <c r="AQ465" s="18">
        <f>IF($A465&gt;'1-Input'!$B$26,AQ464,AQ464-AL465*(1-AK465))</f>
        <v>166371.00553723949</v>
      </c>
    </row>
    <row r="466" spans="1:43">
      <c r="A466" s="10">
        <f>13</f>
        <v>13</v>
      </c>
      <c r="B466" s="11">
        <f>IF($A466&gt;'1-Input'!$B$26,0,IF(G465&lt;=0,0,MAX(0,(G465-H465)/G465)))</f>
        <v>0.43639801572518</v>
      </c>
      <c r="C466" s="18">
        <f>IF($A466&gt;'1-Input'!$B$26,0,(MAX(0,B451-IF($A466&gt;='1-Input'!$C$12,'1-Input'!$B$12,0))-MIN(MAX(F465,0),MAX(0,B451-IF($A466&gt;='1-Input'!$C$12,'1-Input'!$B$12,0))))*(1/(1-'P-Parametri'!$B$6*B466))+MIN(MAX(0,G465-(MAX(0,B451-IF($A466&gt;='1-Input'!$C$12,'1-Input'!$B$12,0))-MIN(MAX(F465,0),MAX(0,B451-IF($A466&gt;='1-Input'!$C$12,'1-Input'!$B$12,0))))*(1/(1-'P-Parametri'!$B$6*B466))),MAX(0,1*B451-(F465-MIN(MAX(F465,0),MAX(0,B451-IF($A466&gt;='1-Input'!$C$12,'1-Input'!$B$12,0)))))*(1/(1-'P-Parametri'!$B$6*B466))))</f>
        <v>18883.71974903575</v>
      </c>
      <c r="D466" s="18">
        <f>IF($A466&gt;'1-Input'!$B$26,F465,(F465-MAX(0,B451-IF($A466&gt;='1-Input'!$C$12,'1-Input'!$B$12,0))+C466*(1-'P-Parametri'!$B$6*B466))*(1+'1-Input'!$B$27))</f>
        <v>16621.00351549315</v>
      </c>
      <c r="E466" s="18">
        <f>IF($A466&gt;'1-Input'!$B$26,G465,(G465-C466)*(1+$C$4))</f>
        <v>314529.22013673215</v>
      </c>
      <c r="F466" s="18">
        <f>IF($A466&gt;'1-Input'!$B$26,D466,D466-'P-Parametri'!$B$8*(E466+D466)+MIN(MAX(E466,0),'P-Parametri'!$B$8*(E466+D466)))</f>
        <v>16621.00351549315</v>
      </c>
      <c r="G466" s="18">
        <f>IF($A466&gt;'1-Input'!$B$26,E466,E466-MIN(MAX(E466,0),'P-Parametri'!$B$8*(E466+D466)))</f>
        <v>313866.91968942771</v>
      </c>
      <c r="H466" s="18">
        <f>IF($A466&gt;'1-Input'!$B$26,H465,H465-C466*(1-B466))</f>
        <v>172106.10930240189</v>
      </c>
      <c r="I466" s="11">
        <f>IF($A466&gt;'1-Input'!$B$26,0,IF(N465&lt;=0,0,MAX(0,(N465-O465)/N465)))</f>
        <v>0.43606512020661753</v>
      </c>
      <c r="J466" s="18">
        <f>IF($A466&gt;'1-Input'!$B$26,0,(MAX(0,I451-IF($A466&gt;='1-Input'!$C$12,'1-Input'!$B$12,0))-MIN(MAX(M465,0),MAX(0,I451-IF($A466&gt;='1-Input'!$C$12,'1-Input'!$B$12,0))))*(1/(1-'P-Parametri'!$B$6*I466))+MIN(MAX(0,N465-(MAX(0,I451-IF($A466&gt;='1-Input'!$C$12,'1-Input'!$B$12,0))-MIN(MAX(M465,0),MAX(0,I451-IF($A466&gt;='1-Input'!$C$12,'1-Input'!$B$12,0))))*(1/(1-'P-Parametri'!$B$6*I466))),MAX(0,1*I451-(M465-MIN(MAX(M465,0),MAX(0,I451-IF($A466&gt;='1-Input'!$C$12,'1-Input'!$B$12,0)))))*(1/(1-'P-Parametri'!$B$6*I466))))</f>
        <v>24844.574086315381</v>
      </c>
      <c r="K466" s="18">
        <f>IF($A466&gt;'1-Input'!$B$26,M465,(M465-MAX(0,I451-IF($A466&gt;='1-Input'!$C$12,'1-Input'!$B$12,0))+J466*(1-'P-Parametri'!$B$6*I466))*(1+'1-Input'!$B$27))</f>
        <v>21869.741467754146</v>
      </c>
      <c r="L466" s="18">
        <f>IF($A466&gt;'1-Input'!$B$26,N465,(N465-J466)*(1+$C$4))</f>
        <v>215128.49798329984</v>
      </c>
      <c r="M466" s="18">
        <f>IF($A466&gt;'1-Input'!$B$26,K466,K466-'P-Parametri'!$B$8*(L466+K466)+MIN(MAX(L466,0),'P-Parametri'!$B$8*(L466+K466)))</f>
        <v>21869.741467754146</v>
      </c>
      <c r="N466" s="18">
        <f>IF($A466&gt;'1-Input'!$B$26,L466,L466-MIN(MAX(L466,0),'P-Parametri'!$B$8*(L466+K466)))</f>
        <v>214654.50150439772</v>
      </c>
      <c r="O466" s="18">
        <f>IF($A466&gt;'1-Input'!$B$26,O465,O465-J466*(1-I466))</f>
        <v>117784.91616538166</v>
      </c>
      <c r="P466" s="11">
        <f>IF($A466&gt;'1-Input'!$B$26,0,IF(U465&lt;=0,0,MAX(0,(U465-V465)/U465)))</f>
        <v>0.4362879080003827</v>
      </c>
      <c r="Q466" s="18">
        <f>IF($A466&gt;'1-Input'!$B$26,0,(MAX(0,P451-IF($A466&gt;='1-Input'!$C$12,'1-Input'!$B$12,0))-MIN(MAX(T465,0),MAX(0,P451-IF($A466&gt;='1-Input'!$C$12,'1-Input'!$B$12,0))))*(1/(1-'P-Parametri'!$B$6*P466))+MIN(MAX(0,U465-(MAX(0,P451-IF($A466&gt;='1-Input'!$C$12,'1-Input'!$B$12,0))-MIN(MAX(T465,0),MAX(0,P451-IF($A466&gt;='1-Input'!$C$12,'1-Input'!$B$12,0))))*(1/(1-'P-Parametri'!$B$6*P466))),MAX(0,1*P451-(T465-MIN(MAX(T465,0),MAX(0,P451-IF($A466&gt;='1-Input'!$C$12,'1-Input'!$B$12,0)))))*(1/(1-'P-Parametri'!$B$6*P466))))</f>
        <v>21103.733403953109</v>
      </c>
      <c r="R466" s="18">
        <f>IF($A466&gt;'1-Input'!$B$26,T465,(T465-MAX(0,P451-IF($A466&gt;='1-Input'!$C$12,'1-Input'!$B$12,0))+Q466*(1-'P-Parametri'!$B$6*P466))*(1+'1-Input'!$B$27))</f>
        <v>18575.606853855934</v>
      </c>
      <c r="S466" s="18">
        <f>IF($A466&gt;'1-Input'!$B$26,U465,(U465-Q466)*(1+$C$4))</f>
        <v>277511.67083310074</v>
      </c>
      <c r="T466" s="18">
        <f>IF($A466&gt;'1-Input'!$B$26,R466,R466-'P-Parametri'!$B$8*(S466+R466)+MIN(MAX(S466,0),'P-Parametri'!$B$8*(S466+R466)))</f>
        <v>18575.606853855934</v>
      </c>
      <c r="U466" s="18">
        <f>IF($A466&gt;'1-Input'!$B$26,S466,S466-MIN(MAX(S466,0),'P-Parametri'!$B$8*(S466+R466)))</f>
        <v>276919.49627772684</v>
      </c>
      <c r="V466" s="18">
        <f>IF($A466&gt;'1-Input'!$B$26,V465,V465-Q466*(1-P466))</f>
        <v>151880.27623265667</v>
      </c>
      <c r="W466" s="11">
        <f>IF($A466&gt;'1-Input'!$B$26,0,IF(AB465&lt;=0,0,MAX(0,(AB465-AC465)/AB465)))</f>
        <v>0.43630317825852016</v>
      </c>
      <c r="X466" s="18">
        <f>IF($A466&gt;'1-Input'!$B$26,0,(MAX(0,W451-IF($A466&gt;='1-Input'!$C$12,'1-Input'!$B$12,0))-MIN(MAX(AA465,0),MAX(0,W451-IF($A466&gt;='1-Input'!$C$12,'1-Input'!$B$12,0))))*(1/(1-'P-Parametri'!$B$6*W466))+MIN(MAX(0,AB465-(MAX(0,W451-IF($A466&gt;='1-Input'!$C$12,'1-Input'!$B$12,0))-MIN(MAX(AA465,0),MAX(0,W451-IF($A466&gt;='1-Input'!$C$12,'1-Input'!$B$12,0))))*(1/(1-'P-Parametri'!$B$6*W466))),MAX(0,1*W451-(AA465-MIN(MAX(AA465,0),MAX(0,W451-IF($A466&gt;='1-Input'!$C$12,'1-Input'!$B$12,0)))))*(1/(1-'P-Parametri'!$B$6*W466))))</f>
        <v>20811.960952557522</v>
      </c>
      <c r="Y466" s="18">
        <f>IF($A466&gt;'1-Input'!$B$26,AA465,(AA465-MAX(0,W451-IF($A466&gt;='1-Input'!$C$12,'1-Input'!$B$12,0))+X466*(1-'P-Parametri'!$B$6*W466))*(1+'1-Input'!$B$27))</f>
        <v>18318.70531348556</v>
      </c>
      <c r="Z466" s="18">
        <f>IF($A466&gt;'1-Input'!$B$26,AB465,(AB465-X466)*(1+$C$4))</f>
        <v>282376.96350025467</v>
      </c>
      <c r="AA466" s="18">
        <f>IF($A466&gt;'1-Input'!$B$26,Y466,Y466-'P-Parametri'!$B$8*(Z466+Y466)+MIN(MAX(Z466,0),'P-Parametri'!$B$8*(Z466+Y466)))</f>
        <v>18318.70531348556</v>
      </c>
      <c r="AB466" s="18">
        <f>IF($A466&gt;'1-Input'!$B$26,Z466,Z466-MIN(MAX(Z466,0),'P-Parametri'!$B$8*(Z466+Y466)))</f>
        <v>281775.57216262718</v>
      </c>
      <c r="AC466" s="18">
        <f>IF($A466&gt;'1-Input'!$B$26,AC465,AC465-X466*(1-W466))</f>
        <v>154538.83190107127</v>
      </c>
      <c r="AD466" s="11">
        <f>IF($A466&gt;'1-Input'!$B$26,0,IF(AI465&lt;=0,0,MAX(0,(AI465-AJ465)/AI465)))</f>
        <v>0.4363037936762742</v>
      </c>
      <c r="AE466" s="18">
        <f>IF($A466&gt;'1-Input'!$B$26,0,(MAX(0,AD451-IF($A466&gt;='1-Input'!$C$12,'1-Input'!$B$12,0))-MIN(MAX(AH465,0),MAX(0,AD451-IF($A466&gt;='1-Input'!$C$12,'1-Input'!$B$12,0))))*(1/(1-'P-Parametri'!$B$6*AD466))+MIN(MAX(0,AI465-(MAX(0,AD451-IF($A466&gt;='1-Input'!$C$12,'1-Input'!$B$12,0))-MIN(MAX(AH465,0),MAX(0,AD451-IF($A466&gt;='1-Input'!$C$12,'1-Input'!$B$12,0))))*(1/(1-'P-Parametri'!$B$6*AD466))),MAX(0,1*AD451-(AH465-MIN(MAX(AH465,0),MAX(0,AD451-IF($A466&gt;='1-Input'!$C$12,'1-Input'!$B$12,0)))))*(1/(1-'P-Parametri'!$B$6*AD466))))</f>
        <v>20800.097456611933</v>
      </c>
      <c r="AF466" s="18">
        <f>IF($A466&gt;'1-Input'!$B$26,AH465,(AH465-MAX(0,AD451-IF($A466&gt;='1-Input'!$C$12,'1-Input'!$B$12,0))+AE466*(1-'P-Parametri'!$B$6*AD466))*(1+'1-Input'!$B$27))</f>
        <v>18308.259750184588</v>
      </c>
      <c r="AG466" s="18">
        <f>IF($A466&gt;'1-Input'!$B$26,AI465,(AI465-AE466)*(1+$C$4))</f>
        <v>282574.78579477308</v>
      </c>
      <c r="AH466" s="18">
        <f>IF($A466&gt;'1-Input'!$B$26,AF466,AF466-'P-Parametri'!$B$8*(AG466+AF466)+MIN(MAX(AG466,0),'P-Parametri'!$B$8*(AG466+AF466)))</f>
        <v>18308.259750184588</v>
      </c>
      <c r="AI466" s="18">
        <f>IF($A466&gt;'1-Input'!$B$26,AG466,AG466-MIN(MAX(AG466,0),'P-Parametri'!$B$8*(AG466+AF466)))</f>
        <v>281973.01970368315</v>
      </c>
      <c r="AJ466" s="18">
        <f>IF($A466&gt;'1-Input'!$B$26,AJ465,AJ465-AE466*(1-AD466))</f>
        <v>154646.92694684758</v>
      </c>
      <c r="AK466" s="11">
        <f>IF($A466&gt;'1-Input'!$B$26,0,IF(AP465&lt;=0,0,MAX(0,(AP465-AQ465)/AP465)))</f>
        <v>0.43630378847381363</v>
      </c>
      <c r="AL466" s="18">
        <f>IF($A466&gt;'1-Input'!$B$26,0,(MAX(0,AK451-IF($A466&gt;='1-Input'!$C$12,'1-Input'!$B$12,0))-MIN(MAX(AO465,0),MAX(0,AK451-IF($A466&gt;='1-Input'!$C$12,'1-Input'!$B$12,0))))*(1/(1-'P-Parametri'!$B$6*AK466))+MIN(MAX(0,AP465-(MAX(0,AK451-IF($A466&gt;='1-Input'!$C$12,'1-Input'!$B$12,0))-MIN(MAX(AO465,0),MAX(0,AK451-IF($A466&gt;='1-Input'!$C$12,'1-Input'!$B$12,0))))*(1/(1-'P-Parametri'!$B$6*AK466))),MAX(0,1*AK451-(AO465-MIN(MAX(AO465,0),MAX(0,AK451-IF($A466&gt;='1-Input'!$C$12,'1-Input'!$B$12,0)))))*(1/(1-'P-Parametri'!$B$6*AK466))))</f>
        <v>20800.197779360104</v>
      </c>
      <c r="AM466" s="18">
        <f>IF($A466&gt;'1-Input'!$B$26,AO465,(AO465-MAX(0,AK451-IF($A466&gt;='1-Input'!$C$12,'1-Input'!$B$12,0))+AL466*(1-'P-Parametri'!$B$6*AK466))*(1+'1-Input'!$B$27))</f>
        <v>18308.348082268236</v>
      </c>
      <c r="AN466" s="18">
        <f>IF($A466&gt;'1-Input'!$B$26,AP465,(AP465-AL466)*(1+$C$4))</f>
        <v>282573.1129259502</v>
      </c>
      <c r="AO466" s="18">
        <f>IF($A466&gt;'1-Input'!$B$26,AM466,AM466-'P-Parametri'!$B$8*(AN466+AM466)+MIN(MAX(AN466,0),'P-Parametri'!$B$8*(AN466+AM466)))</f>
        <v>18308.348082268236</v>
      </c>
      <c r="AP466" s="18">
        <f>IF($A466&gt;'1-Input'!$B$26,AN466,AN466-MIN(MAX(AN466,0),'P-Parametri'!$B$8*(AN466+AM466)))</f>
        <v>281971.35000393377</v>
      </c>
      <c r="AQ466" s="18">
        <f>IF($A466&gt;'1-Input'!$B$26,AQ465,AQ465-AL466*(1-AK466))</f>
        <v>154646.0128500188</v>
      </c>
    </row>
    <row r="467" spans="1:43">
      <c r="A467" s="10">
        <f>14</f>
        <v>14</v>
      </c>
      <c r="B467" s="11">
        <f>IF($A467&gt;'1-Input'!$B$26,0,IF(G466&lt;=0,0,MAX(0,(G466-H466)/G466)))</f>
        <v>0.45165897230360746</v>
      </c>
      <c r="C467" s="18">
        <f>IF($A467&gt;'1-Input'!$B$26,0,(MAX(0,B451-IF($A467&gt;='1-Input'!$C$12,'1-Input'!$B$12,0))-MIN(MAX(F466,0),MAX(0,B451-IF($A467&gt;='1-Input'!$C$12,'1-Input'!$B$12,0))))*(1/(1-'P-Parametri'!$B$6*B467))+MIN(MAX(0,G466-(MAX(0,B451-IF($A467&gt;='1-Input'!$C$12,'1-Input'!$B$12,0))-MIN(MAX(F466,0),MAX(0,B451-IF($A467&gt;='1-Input'!$C$12,'1-Input'!$B$12,0))))*(1/(1-'P-Parametri'!$B$6*B467))),MAX(0,1*B451-(F466-MIN(MAX(F466,0),MAX(0,B451-IF($A467&gt;='1-Input'!$C$12,'1-Input'!$B$12,0)))))*(1/(1-'P-Parametri'!$B$6*B467))))</f>
        <v>18968.61710131908</v>
      </c>
      <c r="D467" s="18">
        <f>IF($A467&gt;'1-Input'!$B$26,F466,(F466-MAX(0,B451-IF($A467&gt;='1-Input'!$C$12,'1-Input'!$B$12,0))+C467*(1-'P-Parametri'!$B$6*B467))*(1+'1-Input'!$B$27))</f>
        <v>16621.00351549315</v>
      </c>
      <c r="E467" s="18">
        <f>IF($A467&gt;'1-Input'!$B$26,G466,(G466-C467)*(1+$C$4))</f>
        <v>303745.25166575192</v>
      </c>
      <c r="F467" s="18">
        <f>IF($A467&gt;'1-Input'!$B$26,D467,D467-'P-Parametri'!$B$8*(E467+D467)+MIN(MAX(E467,0),'P-Parametri'!$B$8*(E467+D467)))</f>
        <v>16621.00351549315</v>
      </c>
      <c r="G467" s="18">
        <f>IF($A467&gt;'1-Input'!$B$26,E467,E467-MIN(MAX(E467,0),'P-Parametri'!$B$8*(E467+D467)))</f>
        <v>303104.5191553894</v>
      </c>
      <c r="H467" s="18">
        <f>IF($A467&gt;'1-Input'!$B$26,H466,H466-C467*(1-B467))</f>
        <v>161704.83830708521</v>
      </c>
      <c r="I467" s="11">
        <f>IF($A467&gt;'1-Input'!$B$26,0,IF(N466&lt;=0,0,MAX(0,(N466-O466)/N466)))</f>
        <v>0.45128140644668219</v>
      </c>
      <c r="J467" s="18">
        <f>IF($A467&gt;'1-Input'!$B$26,0,(MAX(0,I451-IF($A467&gt;='1-Input'!$C$12,'1-Input'!$B$12,0))-MIN(MAX(M466,0),MAX(0,I451-IF($A467&gt;='1-Input'!$C$12,'1-Input'!$B$12,0))))*(1/(1-'P-Parametri'!$B$6*I467))+MIN(MAX(0,N466-(MAX(0,I451-IF($A467&gt;='1-Input'!$C$12,'1-Input'!$B$12,0))-MIN(MAX(M466,0),MAX(0,I451-IF($A467&gt;='1-Input'!$C$12,'1-Input'!$B$12,0))))*(1/(1-'P-Parametri'!$B$6*I467))),MAX(0,1*I451-(M466-MIN(MAX(M466,0),MAX(0,I451-IF($A467&gt;='1-Input'!$C$12,'1-Input'!$B$12,0)))))*(1/(1-'P-Parametri'!$B$6*I467))))</f>
        <v>24955.930892064018</v>
      </c>
      <c r="K467" s="18">
        <f>IF($A467&gt;'1-Input'!$B$26,M466,(M466-MAX(0,I451-IF($A467&gt;='1-Input'!$C$12,'1-Input'!$B$12,0))+J467*(1-'P-Parametri'!$B$6*I467))*(1+'1-Input'!$B$27))</f>
        <v>21869.741467754146</v>
      </c>
      <c r="L467" s="18">
        <f>IF($A467&gt;'1-Input'!$B$26,N466,(N466-J467)*(1+$C$4))</f>
        <v>195389.52773070373</v>
      </c>
      <c r="M467" s="18">
        <f>IF($A467&gt;'1-Input'!$B$26,K467,K467-'P-Parametri'!$B$8*(L467+K467)+MIN(MAX(L467,0),'P-Parametri'!$B$8*(L467+K467)))</f>
        <v>21869.741467754146</v>
      </c>
      <c r="N467" s="18">
        <f>IF($A467&gt;'1-Input'!$B$26,L467,L467-MIN(MAX(L467,0),'P-Parametri'!$B$8*(L467+K467)))</f>
        <v>194955.00919230681</v>
      </c>
      <c r="O467" s="18">
        <f>IF($A467&gt;'1-Input'!$B$26,O466,O466-J467*(1-I467))</f>
        <v>104091.13286547449</v>
      </c>
      <c r="P467" s="11">
        <f>IF($A467&gt;'1-Input'!$B$26,0,IF(U466&lt;=0,0,MAX(0,(U466-V466)/U466)))</f>
        <v>0.45153635524335345</v>
      </c>
      <c r="Q467" s="18">
        <f>IF($A467&gt;'1-Input'!$B$26,0,(MAX(0,P451-IF($A467&gt;='1-Input'!$C$12,'1-Input'!$B$12,0))-MIN(MAX(T466,0),MAX(0,P451-IF($A467&gt;='1-Input'!$C$12,'1-Input'!$B$12,0))))*(1/(1-'P-Parametri'!$B$6*P467))+MIN(MAX(0,U466-(MAX(0,P451-IF($A467&gt;='1-Input'!$C$12,'1-Input'!$B$12,0))-MIN(MAX(T466,0),MAX(0,P451-IF($A467&gt;='1-Input'!$C$12,'1-Input'!$B$12,0))))*(1/(1-'P-Parametri'!$B$6*P467))),MAX(0,1*P451-(T466-MIN(MAX(T466,0),MAX(0,P451-IF($A467&gt;='1-Input'!$C$12,'1-Input'!$B$12,0)))))*(1/(1-'P-Parametri'!$B$6*P467))))</f>
        <v>21198.530289405317</v>
      </c>
      <c r="R467" s="18">
        <f>IF($A467&gt;'1-Input'!$B$26,T466,(T466-MAX(0,P451-IF($A467&gt;='1-Input'!$C$12,'1-Input'!$B$12,0))+Q467*(1-'P-Parametri'!$B$6*P467))*(1+'1-Input'!$B$27))</f>
        <v>18575.606853855934</v>
      </c>
      <c r="S467" s="18">
        <f>IF($A467&gt;'1-Input'!$B$26,U466,(U466-Q467)*(1+$C$4))</f>
        <v>263392.59496797115</v>
      </c>
      <c r="T467" s="18">
        <f>IF($A467&gt;'1-Input'!$B$26,R467,R467-'P-Parametri'!$B$8*(S467+R467)+MIN(MAX(S467,0),'P-Parametri'!$B$8*(S467+R467)))</f>
        <v>18575.606853855934</v>
      </c>
      <c r="U467" s="18">
        <f>IF($A467&gt;'1-Input'!$B$26,S467,S467-MIN(MAX(S467,0),'P-Parametri'!$B$8*(S467+R467)))</f>
        <v>262828.65856432752</v>
      </c>
      <c r="V467" s="18">
        <f>IF($A467&gt;'1-Input'!$B$26,V466,V466-Q467*(1-P467))</f>
        <v>140253.65304664525</v>
      </c>
      <c r="W467" s="11">
        <f>IF($A467&gt;'1-Input'!$B$26,0,IF(AB466&lt;=0,0,MAX(0,(AB466-AC466)/AB466)))</f>
        <v>0.45155348025740516</v>
      </c>
      <c r="X467" s="18">
        <f>IF($A467&gt;'1-Input'!$B$26,0,(MAX(0,W451-IF($A467&gt;='1-Input'!$C$12,'1-Input'!$B$12,0))-MIN(MAX(AA466,0),MAX(0,W451-IF($A467&gt;='1-Input'!$C$12,'1-Input'!$B$12,0))))*(1/(1-'P-Parametri'!$B$6*W467))+MIN(MAX(0,AB466-(MAX(0,W451-IF($A467&gt;='1-Input'!$C$12,'1-Input'!$B$12,0))-MIN(MAX(AA466,0),MAX(0,W451-IF($A467&gt;='1-Input'!$C$12,'1-Input'!$B$12,0))))*(1/(1-'P-Parametri'!$B$6*W467))),MAX(0,1*W451-(AA466-MIN(MAX(AA466,0),MAX(0,W451-IF($A467&gt;='1-Input'!$C$12,'1-Input'!$B$12,0)))))*(1/(1-'P-Parametri'!$B$6*W467))))</f>
        <v>20905.459054102583</v>
      </c>
      <c r="Y467" s="18">
        <f>IF($A467&gt;'1-Input'!$B$26,AA466,(AA466-MAX(0,W451-IF($A467&gt;='1-Input'!$C$12,'1-Input'!$B$12,0))+X467*(1-'P-Parametri'!$B$6*W467))*(1+'1-Input'!$B$27))</f>
        <v>18318.70531348556</v>
      </c>
      <c r="Z467" s="18">
        <f>IF($A467&gt;'1-Input'!$B$26,AB466,(AB466-X467)*(1+$C$4))</f>
        <v>268696.21650178032</v>
      </c>
      <c r="AA467" s="18">
        <f>IF($A467&gt;'1-Input'!$B$26,Y467,Y467-'P-Parametri'!$B$8*(Z467+Y467)+MIN(MAX(Z467,0),'P-Parametri'!$B$8*(Z467+Y467)))</f>
        <v>18318.70531348556</v>
      </c>
      <c r="AB467" s="18">
        <f>IF($A467&gt;'1-Input'!$B$26,Z467,Z467-MIN(MAX(Z467,0),'P-Parametri'!$B$8*(Z467+Y467)))</f>
        <v>268122.18665814976</v>
      </c>
      <c r="AC467" s="18">
        <f>IF($A467&gt;'1-Input'!$B$26,AC466,AC466-X467*(1-W467))</f>
        <v>143073.30563922739</v>
      </c>
      <c r="AD467" s="11">
        <f>IF($A467&gt;'1-Input'!$B$26,0,IF(AI466&lt;=0,0,MAX(0,(AI466-AJ466)/AI466)))</f>
        <v>0.45155416958203548</v>
      </c>
      <c r="AE467" s="18">
        <f>IF($A467&gt;'1-Input'!$B$26,0,(MAX(0,AD451-IF($A467&gt;='1-Input'!$C$12,'1-Input'!$B$12,0))-MIN(MAX(AH466,0),MAX(0,AD451-IF($A467&gt;='1-Input'!$C$12,'1-Input'!$B$12,0))))*(1/(1-'P-Parametri'!$B$6*AD467))+MIN(MAX(0,AI466-(MAX(0,AD451-IF($A467&gt;='1-Input'!$C$12,'1-Input'!$B$12,0))-MIN(MAX(AH466,0),MAX(0,AD451-IF($A467&gt;='1-Input'!$C$12,'1-Input'!$B$12,0))))*(1/(1-'P-Parametri'!$B$6*AD467))),MAX(0,1*AD451-(AH466-MIN(MAX(AH466,0),MAX(0,AD451-IF($A467&gt;='1-Input'!$C$12,'1-Input'!$B$12,0)))))*(1/(1-'P-Parametri'!$B$6*AD467))))</f>
        <v>20893.54273302525</v>
      </c>
      <c r="AF467" s="18">
        <f>IF($A467&gt;'1-Input'!$B$26,AH466,(AH466-MAX(0,AD451-IF($A467&gt;='1-Input'!$C$12,'1-Input'!$B$12,0))+AE467*(1-'P-Parametri'!$B$6*AD467))*(1+'1-Input'!$B$27))</f>
        <v>18308.259750184592</v>
      </c>
      <c r="AG467" s="18">
        <f>IF($A467&gt;'1-Input'!$B$26,AI466,(AI466-AE467)*(1+$C$4))</f>
        <v>268911.86127977766</v>
      </c>
      <c r="AH467" s="18">
        <f>IF($A467&gt;'1-Input'!$B$26,AF467,AF467-'P-Parametri'!$B$8*(AG467+AF467)+MIN(MAX(AG467,0),'P-Parametri'!$B$8*(AG467+AF467)))</f>
        <v>18308.259750184592</v>
      </c>
      <c r="AI467" s="18">
        <f>IF($A467&gt;'1-Input'!$B$26,AG467,AG467-MIN(MAX(AG467,0),'P-Parametri'!$B$8*(AG467+AF467)))</f>
        <v>268337.42103771772</v>
      </c>
      <c r="AJ467" s="18">
        <f>IF($A467&gt;'1-Input'!$B$26,AJ466,AJ466-AE467*(1-AD467))</f>
        <v>143187.95055226033</v>
      </c>
      <c r="AK467" s="11">
        <f>IF($A467&gt;'1-Input'!$B$26,0,IF(AP466&lt;=0,0,MAX(0,(AP466-AQ466)/AP466)))</f>
        <v>0.45155416375507179</v>
      </c>
      <c r="AL467" s="18">
        <f>IF($A467&gt;'1-Input'!$B$26,0,(MAX(0,AK451-IF($A467&gt;='1-Input'!$C$12,'1-Input'!$B$12,0))-MIN(MAX(AO466,0),MAX(0,AK451-IF($A467&gt;='1-Input'!$C$12,'1-Input'!$B$12,0))))*(1/(1-'P-Parametri'!$B$6*AK467))+MIN(MAX(0,AP466-(MAX(0,AK451-IF($A467&gt;='1-Input'!$C$12,'1-Input'!$B$12,0))-MIN(MAX(AO466,0),MAX(0,AK451-IF($A467&gt;='1-Input'!$C$12,'1-Input'!$B$12,0))))*(1/(1-'P-Parametri'!$B$6*AK467))),MAX(0,1*AK451-(AO466-MIN(MAX(AO466,0),MAX(0,AK451-IF($A467&gt;='1-Input'!$C$12,'1-Input'!$B$12,0)))))*(1/(1-'P-Parametri'!$B$6*AK467))))</f>
        <v>20893.643502490406</v>
      </c>
      <c r="AM467" s="18">
        <f>IF($A467&gt;'1-Input'!$B$26,AO466,(AO466-MAX(0,AK451-IF($A467&gt;='1-Input'!$C$12,'1-Input'!$B$12,0))+AL467*(1-'P-Parametri'!$B$6*AK467))*(1+'1-Input'!$B$27))</f>
        <v>18308.34808226824</v>
      </c>
      <c r="AN467" s="18">
        <f>IF($A467&gt;'1-Input'!$B$26,AP466,(AP466-AL467)*(1+$C$4))</f>
        <v>268910.03769648663</v>
      </c>
      <c r="AO467" s="18">
        <f>IF($A467&gt;'1-Input'!$B$26,AM467,AM467-'P-Parametri'!$B$8*(AN467+AM467)+MIN(MAX(AN467,0),'P-Parametri'!$B$8*(AN467+AM467)))</f>
        <v>18308.34808226824</v>
      </c>
      <c r="AP467" s="18">
        <f>IF($A467&gt;'1-Input'!$B$26,AN467,AN467-MIN(MAX(AN467,0),'P-Parametri'!$B$8*(AN467+AM467)))</f>
        <v>268335.60092492914</v>
      </c>
      <c r="AQ467" s="18">
        <f>IF($A467&gt;'1-Input'!$B$26,AQ466,AQ466-AL467*(1-AK467))</f>
        <v>143186.98106709204</v>
      </c>
    </row>
    <row r="468" spans="1:43">
      <c r="A468" s="10">
        <f>15</f>
        <v>15</v>
      </c>
      <c r="B468" s="11">
        <f>IF($A468&gt;'1-Input'!$B$26,0,IF(G467&lt;=0,0,MAX(0,(G467-H467)/G467)))</f>
        <v>0.46650469363610608</v>
      </c>
      <c r="C468" s="18">
        <f>IF($A468&gt;'1-Input'!$B$26,0,(MAX(0,B451-IF($A468&gt;='1-Input'!$C$12,'1-Input'!$B$12,0))-MIN(MAX(F467,0),MAX(0,B451-IF($A468&gt;='1-Input'!$C$12,'1-Input'!$B$12,0))))*(1/(1-'P-Parametri'!$B$6*B468))+MIN(MAX(0,G467-(MAX(0,B451-IF($A468&gt;='1-Input'!$C$12,'1-Input'!$B$12,0))-MIN(MAX(F467,0),MAX(0,B451-IF($A468&gt;='1-Input'!$C$12,'1-Input'!$B$12,0))))*(1/(1-'P-Parametri'!$B$6*B468))),MAX(0,1*B451-(F467-MIN(MAX(F467,0),MAX(0,B451-IF($A468&gt;='1-Input'!$C$12,'1-Input'!$B$12,0)))))*(1/(1-'P-Parametri'!$B$6*B468))))</f>
        <v>19051.940189261291</v>
      </c>
      <c r="D468" s="18">
        <f>IF($A468&gt;'1-Input'!$B$26,F467,(F467-MAX(0,B451-IF($A468&gt;='1-Input'!$C$12,'1-Input'!$B$12,0))+C468*(1-'P-Parametri'!$B$6*B468))*(1+'1-Input'!$B$27))</f>
        <v>16621.00351549315</v>
      </c>
      <c r="E468" s="18">
        <f>IF($A468&gt;'1-Input'!$B$26,G467,(G467-C468)*(1+$C$4))</f>
        <v>292574.15633511194</v>
      </c>
      <c r="F468" s="18">
        <f>IF($A468&gt;'1-Input'!$B$26,D468,D468-'P-Parametri'!$B$8*(E468+D468)+MIN(MAX(E468,0),'P-Parametri'!$B$8*(E468+D468)))</f>
        <v>16621.00351549315</v>
      </c>
      <c r="G468" s="18">
        <f>IF($A468&gt;'1-Input'!$B$26,E468,E468-MIN(MAX(E468,0),'P-Parametri'!$B$8*(E468+D468)))</f>
        <v>291955.76601541071</v>
      </c>
      <c r="H468" s="18">
        <f>IF($A468&gt;'1-Input'!$B$26,H467,H467-C468*(1-B468))</f>
        <v>151540.71763898869</v>
      </c>
      <c r="I468" s="11">
        <f>IF($A468&gt;'1-Input'!$B$26,0,IF(N467&lt;=0,0,MAX(0,(N467-O467)/N467)))</f>
        <v>0.46607613060715308</v>
      </c>
      <c r="J468" s="18">
        <f>IF($A468&gt;'1-Input'!$B$26,0,(MAX(0,I451-IF($A468&gt;='1-Input'!$C$12,'1-Input'!$B$12,0))-MIN(MAX(M467,0),MAX(0,I451-IF($A468&gt;='1-Input'!$C$12,'1-Input'!$B$12,0))))*(1/(1-'P-Parametri'!$B$6*I468))+MIN(MAX(0,N467-(MAX(0,I451-IF($A468&gt;='1-Input'!$C$12,'1-Input'!$B$12,0))-MIN(MAX(M467,0),MAX(0,I451-IF($A468&gt;='1-Input'!$C$12,'1-Input'!$B$12,0))))*(1/(1-'P-Parametri'!$B$6*I468))),MAX(0,1*I451-(M467-MIN(MAX(M467,0),MAX(0,I451-IF($A468&gt;='1-Input'!$C$12,'1-Input'!$B$12,0)))))*(1/(1-'P-Parametri'!$B$6*I468))))</f>
        <v>25065.163917097041</v>
      </c>
      <c r="K468" s="18">
        <f>IF($A468&gt;'1-Input'!$B$26,M467,(M467-MAX(0,I451-IF($A468&gt;='1-Input'!$C$12,'1-Input'!$B$12,0))+J468*(1-'P-Parametri'!$B$6*I468))*(1+'1-Input'!$B$27))</f>
        <v>21869.741467754149</v>
      </c>
      <c r="L468" s="18">
        <f>IF($A468&gt;'1-Input'!$B$26,N467,(N467-J468)*(1+$C$4))</f>
        <v>174986.54063346607</v>
      </c>
      <c r="M468" s="18">
        <f>IF($A468&gt;'1-Input'!$B$26,K468,K468-'P-Parametri'!$B$8*(L468+K468)+MIN(MAX(L468,0),'P-Parametri'!$B$8*(L468+K468)))</f>
        <v>21869.741467754149</v>
      </c>
      <c r="N468" s="18">
        <f>IF($A468&gt;'1-Input'!$B$26,L468,L468-MIN(MAX(L468,0),'P-Parametri'!$B$8*(L468+K468)))</f>
        <v>174592.82806926363</v>
      </c>
      <c r="O468" s="18">
        <f>IF($A468&gt;'1-Input'!$B$26,O467,O467-J468*(1-I468))</f>
        <v>90708.243559892071</v>
      </c>
      <c r="P468" s="11">
        <f>IF($A468&gt;'1-Input'!$B$26,0,IF(U467&lt;=0,0,MAX(0,(U467-V467)/U467)))</f>
        <v>0.46636849340263986</v>
      </c>
      <c r="Q468" s="18">
        <f>IF($A468&gt;'1-Input'!$B$26,0,(MAX(0,P451-IF($A468&gt;='1-Input'!$C$12,'1-Input'!$B$12,0))-MIN(MAX(T467,0),MAX(0,P451-IF($A468&gt;='1-Input'!$C$12,'1-Input'!$B$12,0))))*(1/(1-'P-Parametri'!$B$6*P468))+MIN(MAX(0,U467-(MAX(0,P451-IF($A468&gt;='1-Input'!$C$12,'1-Input'!$B$12,0))-MIN(MAX(T467,0),MAX(0,P451-IF($A468&gt;='1-Input'!$C$12,'1-Input'!$B$12,0))))*(1/(1-'P-Parametri'!$B$6*P468))),MAX(0,1*P451-(T467-MIN(MAX(T467,0),MAX(0,P451-IF($A468&gt;='1-Input'!$C$12,'1-Input'!$B$12,0)))))*(1/(1-'P-Parametri'!$B$6*P468))))</f>
        <v>21291.559726842916</v>
      </c>
      <c r="R468" s="18">
        <f>IF($A468&gt;'1-Input'!$B$26,T467,(T467-MAX(0,P451-IF($A468&gt;='1-Input'!$C$12,'1-Input'!$B$12,0))+Q468*(1-'P-Parametri'!$B$6*P468))*(1+'1-Input'!$B$27))</f>
        <v>18575.606853855934</v>
      </c>
      <c r="S468" s="18">
        <f>IF($A468&gt;'1-Input'!$B$26,U467,(U467-Q468)*(1+$C$4))</f>
        <v>248783.21180260915</v>
      </c>
      <c r="T468" s="18">
        <f>IF($A468&gt;'1-Input'!$B$26,R468,R468-'P-Parametri'!$B$8*(S468+R468)+MIN(MAX(S468,0),'P-Parametri'!$B$8*(S468+R468)))</f>
        <v>18575.606853855934</v>
      </c>
      <c r="U468" s="18">
        <f>IF($A468&gt;'1-Input'!$B$26,S468,S468-MIN(MAX(S468,0),'P-Parametri'!$B$8*(S468+R468)))</f>
        <v>248248.49416529623</v>
      </c>
      <c r="V468" s="18">
        <f>IF($A468&gt;'1-Input'!$B$26,V467,V467-Q468*(1-P468))</f>
        <v>128891.80595180239</v>
      </c>
      <c r="W468" s="11">
        <f>IF($A468&gt;'1-Input'!$B$26,0,IF(AB467&lt;=0,0,MAX(0,(AB467-AC467)/AB467)))</f>
        <v>0.46638766667361664</v>
      </c>
      <c r="X468" s="18">
        <f>IF($A468&gt;'1-Input'!$B$26,0,(MAX(0,W451-IF($A468&gt;='1-Input'!$C$12,'1-Input'!$B$12,0))-MIN(MAX(AA467,0),MAX(0,W451-IF($A468&gt;='1-Input'!$C$12,'1-Input'!$B$12,0))))*(1/(1-'P-Parametri'!$B$6*W468))+MIN(MAX(0,AB467-(MAX(0,W451-IF($A468&gt;='1-Input'!$C$12,'1-Input'!$B$12,0))-MIN(MAX(AA467,0),MAX(0,W451-IF($A468&gt;='1-Input'!$C$12,'1-Input'!$B$12,0))))*(1/(1-'P-Parametri'!$B$6*W468))),MAX(0,1*W451-(AA467-MIN(MAX(AA467,0),MAX(0,W451-IF($A468&gt;='1-Input'!$C$12,'1-Input'!$B$12,0)))))*(1/(1-'P-Parametri'!$B$6*W468))))</f>
        <v>20997.215542645448</v>
      </c>
      <c r="Y468" s="18">
        <f>IF($A468&gt;'1-Input'!$B$26,AA467,(AA467-MAX(0,W451-IF($A468&gt;='1-Input'!$C$12,'1-Input'!$B$12,0))+X468*(1-'P-Parametri'!$B$6*W468))*(1+'1-Input'!$B$27))</f>
        <v>18318.70531348556</v>
      </c>
      <c r="Z468" s="18">
        <f>IF($A468&gt;'1-Input'!$B$26,AB467,(AB467-X468)*(1+$C$4))</f>
        <v>254538.72024896945</v>
      </c>
      <c r="AA468" s="18">
        <f>IF($A468&gt;'1-Input'!$B$26,Y468,Y468-'P-Parametri'!$B$8*(Z468+Y468)+MIN(MAX(Z468,0),'P-Parametri'!$B$8*(Z468+Y468)))</f>
        <v>18318.70531348556</v>
      </c>
      <c r="AB468" s="18">
        <f>IF($A468&gt;'1-Input'!$B$26,Z468,Z468-MIN(MAX(Z468,0),'P-Parametri'!$B$8*(Z468+Y468)))</f>
        <v>253993.00539784454</v>
      </c>
      <c r="AC468" s="18">
        <f>IF($A468&gt;'1-Input'!$B$26,AC467,AC467-X468*(1-W468))</f>
        <v>131868.93246015935</v>
      </c>
      <c r="AD468" s="11">
        <f>IF($A468&gt;'1-Input'!$B$26,0,IF(AI467&lt;=0,0,MAX(0,(AI467-AJ467)/AI467)))</f>
        <v>0.46638843736918184</v>
      </c>
      <c r="AE468" s="18">
        <f>IF($A468&gt;'1-Input'!$B$26,0,(MAX(0,AD451-IF($A468&gt;='1-Input'!$C$12,'1-Input'!$B$12,0))-MIN(MAX(AH467,0),MAX(0,AD451-IF($A468&gt;='1-Input'!$C$12,'1-Input'!$B$12,0))))*(1/(1-'P-Parametri'!$B$6*AD468))+MIN(MAX(0,AI467-(MAX(0,AD451-IF($A468&gt;='1-Input'!$C$12,'1-Input'!$B$12,0))-MIN(MAX(AH467,0),MAX(0,AD451-IF($A468&gt;='1-Input'!$C$12,'1-Input'!$B$12,0))))*(1/(1-'P-Parametri'!$B$6*AD468))),MAX(0,1*AD451-(AH467-MIN(MAX(AH467,0),MAX(0,AD451-IF($A468&gt;='1-Input'!$C$12,'1-Input'!$B$12,0)))))*(1/(1-'P-Parametri'!$B$6*AD468))))</f>
        <v>20985.247443393098</v>
      </c>
      <c r="AF468" s="18">
        <f>IF($A468&gt;'1-Input'!$B$26,AH467,(AH467-MAX(0,AD451-IF($A468&gt;='1-Input'!$C$12,'1-Input'!$B$12,0))+AE468*(1-'P-Parametri'!$B$6*AD468))*(1+'1-Input'!$B$27))</f>
        <v>18308.259750184588</v>
      </c>
      <c r="AG468" s="18">
        <f>IF($A468&gt;'1-Input'!$B$26,AI467,(AI467-AE468)*(1+$C$4))</f>
        <v>254772.73880215437</v>
      </c>
      <c r="AH468" s="18">
        <f>IF($A468&gt;'1-Input'!$B$26,AF468,AF468-'P-Parametri'!$B$8*(AG468+AF468)+MIN(MAX(AG468,0),'P-Parametri'!$B$8*(AG468+AF468)))</f>
        <v>18308.259750184588</v>
      </c>
      <c r="AI468" s="18">
        <f>IF($A468&gt;'1-Input'!$B$26,AG468,AG468-MIN(MAX(AG468,0),'P-Parametri'!$B$8*(AG468+AF468)))</f>
        <v>254226.5768050497</v>
      </c>
      <c r="AJ468" s="18">
        <f>IF($A468&gt;'1-Input'!$B$26,AJ467,AJ467-AE468*(1-AD468))</f>
        <v>131989.97987179697</v>
      </c>
      <c r="AK468" s="11">
        <f>IF($A468&gt;'1-Input'!$B$26,0,IF(AP467&lt;=0,0,MAX(0,(AP467-AQ467)/AP467)))</f>
        <v>0.46638843085472387</v>
      </c>
      <c r="AL468" s="18">
        <f>IF($A468&gt;'1-Input'!$B$26,0,(MAX(0,AK451-IF($A468&gt;='1-Input'!$C$12,'1-Input'!$B$12,0))-MIN(MAX(AO467,0),MAX(0,AK451-IF($A468&gt;='1-Input'!$C$12,'1-Input'!$B$12,0))))*(1/(1-'P-Parametri'!$B$6*AK468))+MIN(MAX(0,AP467-(MAX(0,AK451-IF($A468&gt;='1-Input'!$C$12,'1-Input'!$B$12,0))-MIN(MAX(AO467,0),MAX(0,AK451-IF($A468&gt;='1-Input'!$C$12,'1-Input'!$B$12,0))))*(1/(1-'P-Parametri'!$B$6*AK468))),MAX(0,1*AK451-(AO467-MIN(MAX(AO467,0),MAX(0,AK451-IF($A468&gt;='1-Input'!$C$12,'1-Input'!$B$12,0)))))*(1/(1-'P-Parametri'!$B$6*AK468))))</f>
        <v>20985.348650722834</v>
      </c>
      <c r="AM468" s="18">
        <f>IF($A468&gt;'1-Input'!$B$26,AO467,(AO467-MAX(0,AK451-IF($A468&gt;='1-Input'!$C$12,'1-Input'!$B$12,0))+AL468*(1-'P-Parametri'!$B$6*AK468))*(1+'1-Input'!$B$27))</f>
        <v>18308.348082268236</v>
      </c>
      <c r="AN468" s="18">
        <f>IF($A468&gt;'1-Input'!$B$26,AP467,(AP467-AL468)*(1+$C$4))</f>
        <v>254770.75984243251</v>
      </c>
      <c r="AO468" s="18">
        <f>IF($A468&gt;'1-Input'!$B$26,AM468,AM468-'P-Parametri'!$B$8*(AN468+AM468)+MIN(MAX(AN468,0),'P-Parametri'!$B$8*(AN468+AM468)))</f>
        <v>18308.348082268236</v>
      </c>
      <c r="AP468" s="18">
        <f>IF($A468&gt;'1-Input'!$B$26,AN468,AN468-MIN(MAX(AN468,0),'P-Parametri'!$B$8*(AN468+AM468)))</f>
        <v>254224.60162658311</v>
      </c>
      <c r="AQ468" s="18">
        <f>IF($A468&gt;'1-Input'!$B$26,AQ467,AQ467-AL468*(1-AK468))</f>
        <v>131988.95624451913</v>
      </c>
    </row>
    <row r="469" spans="1:43">
      <c r="A469" s="10">
        <f>16</f>
        <v>16</v>
      </c>
      <c r="B469" s="11">
        <f>IF($A469&gt;'1-Input'!$B$26,0,IF(G468&lt;=0,0,MAX(0,(G468-H468)/G468)))</f>
        <v>0.48094631009620237</v>
      </c>
      <c r="C469" s="18">
        <f>IF($A469&gt;'1-Input'!$B$26,0,(MAX(0,B451-IF($A469&gt;='1-Input'!$C$12,'1-Input'!$B$12,0))-MIN(MAX(F468,0),MAX(0,B451-IF($A469&gt;='1-Input'!$C$12,'1-Input'!$B$12,0))))*(1/(1-'P-Parametri'!$B$6*B469))+MIN(MAX(0,G468-(MAX(0,B451-IF($A469&gt;='1-Input'!$C$12,'1-Input'!$B$12,0))-MIN(MAX(F468,0),MAX(0,B451-IF($A469&gt;='1-Input'!$C$12,'1-Input'!$B$12,0))))*(1/(1-'P-Parametri'!$B$6*B469))),MAX(0,1*B451-(F468-MIN(MAX(F468,0),MAX(0,B451-IF($A469&gt;='1-Input'!$C$12,'1-Input'!$B$12,0)))))*(1/(1-'P-Parametri'!$B$6*B469))))</f>
        <v>19133.70061862142</v>
      </c>
      <c r="D469" s="18">
        <f>IF($A469&gt;'1-Input'!$B$26,F468,(F468-MAX(0,B451-IF($A469&gt;='1-Input'!$C$12,'1-Input'!$B$12,0))+C469*(1-'P-Parametri'!$B$6*B469))*(1+'1-Input'!$B$27))</f>
        <v>16621.00351549315</v>
      </c>
      <c r="E469" s="18">
        <f>IF($A469&gt;'1-Input'!$B$26,G468,(G468-C469)*(1+$C$4))</f>
        <v>281006.72735869297</v>
      </c>
      <c r="F469" s="18">
        <f>IF($A469&gt;'1-Input'!$B$26,D469,D469-'P-Parametri'!$B$8*(E469+D469)+MIN(MAX(E469,0),'P-Parametri'!$B$8*(E469+D469)))</f>
        <v>16621.00351549315</v>
      </c>
      <c r="G469" s="18">
        <f>IF($A469&gt;'1-Input'!$B$26,E469,E469-MIN(MAX(E469,0),'P-Parametri'!$B$8*(E469+D469)))</f>
        <v>280411.47189694457</v>
      </c>
      <c r="H469" s="18">
        <f>IF($A469&gt;'1-Input'!$B$26,H468,H468-C469*(1-B469))</f>
        <v>141609.29973137868</v>
      </c>
      <c r="I469" s="11">
        <f>IF($A469&gt;'1-Input'!$B$26,0,IF(N468&lt;=0,0,MAX(0,(N468-O468)/N468)))</f>
        <v>0.48045836382290152</v>
      </c>
      <c r="J469" s="18">
        <f>IF($A469&gt;'1-Input'!$B$26,0,(MAX(0,I451-IF($A469&gt;='1-Input'!$C$12,'1-Input'!$B$12,0))-MIN(MAX(M468,0),MAX(0,I451-IF($A469&gt;='1-Input'!$C$12,'1-Input'!$B$12,0))))*(1/(1-'P-Parametri'!$B$6*I469))+MIN(MAX(0,N468-(MAX(0,I451-IF($A469&gt;='1-Input'!$C$12,'1-Input'!$B$12,0))-MIN(MAX(M468,0),MAX(0,I451-IF($A469&gt;='1-Input'!$C$12,'1-Input'!$B$12,0))))*(1/(1-'P-Parametri'!$B$6*I469))),MAX(0,1*I451-(M468-MIN(MAX(M468,0),MAX(0,I451-IF($A469&gt;='1-Input'!$C$12,'1-Input'!$B$12,0)))))*(1/(1-'P-Parametri'!$B$6*I469))))</f>
        <v>25172.271953144606</v>
      </c>
      <c r="K469" s="18">
        <f>IF($A469&gt;'1-Input'!$B$26,M468,(M468-MAX(0,I451-IF($A469&gt;='1-Input'!$C$12,'1-Input'!$B$12,0))+J469*(1-'P-Parametri'!$B$6*I469))*(1+'1-Input'!$B$27))</f>
        <v>21869.741467754146</v>
      </c>
      <c r="L469" s="18">
        <f>IF($A469&gt;'1-Input'!$B$26,N468,(N468-J469)*(1+$C$4))</f>
        <v>153903.17279960259</v>
      </c>
      <c r="M469" s="18">
        <f>IF($A469&gt;'1-Input'!$B$26,K469,K469-'P-Parametri'!$B$8*(L469+K469)+MIN(MAX(L469,0),'P-Parametri'!$B$8*(L469+K469)))</f>
        <v>21869.741467754146</v>
      </c>
      <c r="N469" s="18">
        <f>IF($A469&gt;'1-Input'!$B$26,L469,L469-MIN(MAX(L469,0),'P-Parametri'!$B$8*(L469+K469)))</f>
        <v>153551.62697106786</v>
      </c>
      <c r="O469" s="18">
        <f>IF($A469&gt;'1-Input'!$B$26,O468,O468-J469*(1-I469))</f>
        <v>77630.200203060434</v>
      </c>
      <c r="P469" s="11">
        <f>IF($A469&gt;'1-Input'!$B$26,0,IF(U468&lt;=0,0,MAX(0,(U468-V468)/U468)))</f>
        <v>0.48079521535393566</v>
      </c>
      <c r="Q469" s="18">
        <f>IF($A469&gt;'1-Input'!$B$26,0,(MAX(0,P451-IF($A469&gt;='1-Input'!$C$12,'1-Input'!$B$12,0))-MIN(MAX(T468,0),MAX(0,P451-IF($A469&gt;='1-Input'!$C$12,'1-Input'!$B$12,0))))*(1/(1-'P-Parametri'!$B$6*P469))+MIN(MAX(0,U468-(MAX(0,P451-IF($A469&gt;='1-Input'!$C$12,'1-Input'!$B$12,0))-MIN(MAX(T468,0),MAX(0,P451-IF($A469&gt;='1-Input'!$C$12,'1-Input'!$B$12,0))))*(1/(1-'P-Parametri'!$B$6*P469))),MAX(0,1*P451-(T468-MIN(MAX(T468,0),MAX(0,P451-IF($A469&gt;='1-Input'!$C$12,'1-Input'!$B$12,0)))))*(1/(1-'P-Parametri'!$B$6*P469))))</f>
        <v>21382.833034025498</v>
      </c>
      <c r="R469" s="18">
        <f>IF($A469&gt;'1-Input'!$B$26,T468,(T468-MAX(0,P451-IF($A469&gt;='1-Input'!$C$12,'1-Input'!$B$12,0))+Q469*(1-'P-Parametri'!$B$6*P469))*(1+'1-Input'!$B$27))</f>
        <v>18575.60685385593</v>
      </c>
      <c r="S469" s="18">
        <f>IF($A469&gt;'1-Input'!$B$26,U468,(U468-Q469)*(1+$C$4))</f>
        <v>233671.63096520884</v>
      </c>
      <c r="T469" s="18">
        <f>IF($A469&gt;'1-Input'!$B$26,R469,R469-'P-Parametri'!$B$8*(S469+R469)+MIN(MAX(S469,0),'P-Parametri'!$B$8*(S469+R469)))</f>
        <v>18575.60685385593</v>
      </c>
      <c r="U469" s="18">
        <f>IF($A469&gt;'1-Input'!$B$26,S469,S469-MIN(MAX(S469,0),'P-Parametri'!$B$8*(S469+R469)))</f>
        <v>233167.13648957072</v>
      </c>
      <c r="V469" s="18">
        <f>IF($A469&gt;'1-Input'!$B$26,V468,V468-Q469*(1-P469))</f>
        <v>117789.73673124844</v>
      </c>
      <c r="W469" s="11">
        <f>IF($A469&gt;'1-Input'!$B$26,0,IF(AB468&lt;=0,0,MAX(0,(AB468-AC468)/AB468)))</f>
        <v>0.48081667739784761</v>
      </c>
      <c r="X469" s="18">
        <f>IF($A469&gt;'1-Input'!$B$26,0,(MAX(0,W451-IF($A469&gt;='1-Input'!$C$12,'1-Input'!$B$12,0))-MIN(MAX(AA468,0),MAX(0,W451-IF($A469&gt;='1-Input'!$C$12,'1-Input'!$B$12,0))))*(1/(1-'P-Parametri'!$B$6*W469))+MIN(MAX(0,AB468-(MAX(0,W451-IF($A469&gt;='1-Input'!$C$12,'1-Input'!$B$12,0))-MIN(MAX(AA468,0),MAX(0,W451-IF($A469&gt;='1-Input'!$C$12,'1-Input'!$B$12,0))))*(1/(1-'P-Parametri'!$B$6*W469))),MAX(0,1*W451-(AA468-MIN(MAX(AA468,0),MAX(0,W451-IF($A469&gt;='1-Input'!$C$12,'1-Input'!$B$12,0)))))*(1/(1-'P-Parametri'!$B$6*W469))))</f>
        <v>21087.24190049648</v>
      </c>
      <c r="Y469" s="18">
        <f>IF($A469&gt;'1-Input'!$B$26,AA468,(AA468-MAX(0,W451-IF($A469&gt;='1-Input'!$C$12,'1-Input'!$B$12,0))+X469*(1-'P-Parametri'!$B$6*W469))*(1+'1-Input'!$B$27))</f>
        <v>18318.705313485556</v>
      </c>
      <c r="Z469" s="18">
        <f>IF($A469&gt;'1-Input'!$B$26,AB468,(AB468-X469)*(1+$C$4))</f>
        <v>239892.9364022685</v>
      </c>
      <c r="AA469" s="18">
        <f>IF($A469&gt;'1-Input'!$B$26,Y469,Y469-'P-Parametri'!$B$8*(Z469+Y469)+MIN(MAX(Z469,0),'P-Parametri'!$B$8*(Z469+Y469)))</f>
        <v>18318.705313485556</v>
      </c>
      <c r="AB469" s="18">
        <f>IF($A469&gt;'1-Input'!$B$26,Z469,Z469-MIN(MAX(Z469,0),'P-Parametri'!$B$8*(Z469+Y469)))</f>
        <v>239376.513118837</v>
      </c>
      <c r="AC469" s="18">
        <f>IF($A469&gt;'1-Input'!$B$26,AC468,AC468-X469*(1-W469))</f>
        <v>120920.78814574427</v>
      </c>
      <c r="AD469" s="11">
        <f>IF($A469&gt;'1-Input'!$B$26,0,IF(AI468&lt;=0,0,MAX(0,(AI468-AJ468)/AI468)))</f>
        <v>0.48081753870677435</v>
      </c>
      <c r="AE469" s="18">
        <f>IF($A469&gt;'1-Input'!$B$26,0,(MAX(0,AD451-IF($A469&gt;='1-Input'!$C$12,'1-Input'!$B$12,0))-MIN(MAX(AH468,0),MAX(0,AD451-IF($A469&gt;='1-Input'!$C$12,'1-Input'!$B$12,0))))*(1/(1-'P-Parametri'!$B$6*AD469))+MIN(MAX(0,AI468-(MAX(0,AD451-IF($A469&gt;='1-Input'!$C$12,'1-Input'!$B$12,0))-MIN(MAX(AH468,0),MAX(0,AD451-IF($A469&gt;='1-Input'!$C$12,'1-Input'!$B$12,0))))*(1/(1-'P-Parametri'!$B$6*AD469))),MAX(0,1*AD451-(AH468-MIN(MAX(AH468,0),MAX(0,AD451-IF($A469&gt;='1-Input'!$C$12,'1-Input'!$B$12,0)))))*(1/(1-'P-Parametri'!$B$6*AD469))))</f>
        <v>21075.223075630842</v>
      </c>
      <c r="AF469" s="18">
        <f>IF($A469&gt;'1-Input'!$B$26,AH468,(AH468-MAX(0,AD451-IF($A469&gt;='1-Input'!$C$12,'1-Input'!$B$12,0))+AE469*(1-'P-Parametri'!$B$6*AD469))*(1+'1-Input'!$B$27))</f>
        <v>18308.259750184592</v>
      </c>
      <c r="AG469" s="18">
        <f>IF($A469&gt;'1-Input'!$B$26,AI468,(AI468-AE469)*(1+$C$4))</f>
        <v>240145.89434130143</v>
      </c>
      <c r="AH469" s="18">
        <f>IF($A469&gt;'1-Input'!$B$26,AF469,AF469-'P-Parametri'!$B$8*(AG469+AF469)+MIN(MAX(AG469,0),'P-Parametri'!$B$8*(AG469+AF469)))</f>
        <v>18308.259750184592</v>
      </c>
      <c r="AI469" s="18">
        <f>IF($A469&gt;'1-Input'!$B$26,AG469,AG469-MIN(MAX(AG469,0),'P-Parametri'!$B$8*(AG469+AF469)))</f>
        <v>239628.98603311848</v>
      </c>
      <c r="AJ469" s="18">
        <f>IF($A469&gt;'1-Input'!$B$26,AJ468,AJ468-AE469*(1-AD469))</f>
        <v>121048.09368308717</v>
      </c>
      <c r="AK469" s="11">
        <f>IF($A469&gt;'1-Input'!$B$26,0,IF(AP468&lt;=0,0,MAX(0,(AP468-AQ468)/AP468)))</f>
        <v>0.48081753142683403</v>
      </c>
      <c r="AL469" s="18">
        <f>IF($A469&gt;'1-Input'!$B$26,0,(MAX(0,AK451-IF($A469&gt;='1-Input'!$C$12,'1-Input'!$B$12,0))-MIN(MAX(AO468,0),MAX(0,AK451-IF($A469&gt;='1-Input'!$C$12,'1-Input'!$B$12,0))))*(1/(1-'P-Parametri'!$B$6*AK469))+MIN(MAX(0,AP468-(MAX(0,AK451-IF($A469&gt;='1-Input'!$C$12,'1-Input'!$B$12,0))-MIN(MAX(AO468,0),MAX(0,AK451-IF($A469&gt;='1-Input'!$C$12,'1-Input'!$B$12,0))))*(1/(1-'P-Parametri'!$B$6*AK469))),MAX(0,1*AK451-(AO468-MIN(MAX(AO468,0),MAX(0,AK451-IF($A469&gt;='1-Input'!$C$12,'1-Input'!$B$12,0)))))*(1/(1-'P-Parametri'!$B$6*AK469))))</f>
        <v>21075.324711925696</v>
      </c>
      <c r="AM469" s="18">
        <f>IF($A469&gt;'1-Input'!$B$26,AO468,(AO468-MAX(0,AK451-IF($A469&gt;='1-Input'!$C$12,'1-Input'!$B$12,0))+AL469*(1-'P-Parametri'!$B$6*AK469))*(1+'1-Input'!$B$27))</f>
        <v>18308.348082268236</v>
      </c>
      <c r="AN469" s="18">
        <f>IF($A469&gt;'1-Input'!$B$26,AP468,(AP468-AL469)*(1+$C$4))</f>
        <v>240143.75522209716</v>
      </c>
      <c r="AO469" s="18">
        <f>IF($A469&gt;'1-Input'!$B$26,AM469,AM469-'P-Parametri'!$B$8*(AN469+AM469)+MIN(MAX(AN469,0),'P-Parametri'!$B$8*(AN469+AM469)))</f>
        <v>18308.348082268236</v>
      </c>
      <c r="AP469" s="18">
        <f>IF($A469&gt;'1-Input'!$B$26,AN469,AN469-MIN(MAX(AN469,0),'P-Parametri'!$B$8*(AN469+AM469)))</f>
        <v>239626.85101548841</v>
      </c>
      <c r="AQ469" s="18">
        <f>IF($A469&gt;'1-Input'!$B$26,AQ468,AQ468-AL469*(1-AK469))</f>
        <v>121047.01713460049</v>
      </c>
    </row>
    <row r="470" spans="1:43">
      <c r="A470" s="10">
        <f>17</f>
        <v>17</v>
      </c>
      <c r="B470" s="11">
        <f>IF($A470&gt;'1-Input'!$B$26,0,IF(G469&lt;=0,0,MAX(0,(G469-H469)/G469)))</f>
        <v>0.49499462781101117</v>
      </c>
      <c r="C470" s="18">
        <f>IF($A470&gt;'1-Input'!$B$26,0,(MAX(0,B451-IF($A470&gt;='1-Input'!$C$12,'1-Input'!$B$12,0))-MIN(MAX(F469,0),MAX(0,B451-IF($A470&gt;='1-Input'!$C$12,'1-Input'!$B$12,0))))*(1/(1-'P-Parametri'!$B$6*B470))+MIN(MAX(0,G469-(MAX(0,B451-IF($A470&gt;='1-Input'!$C$12,'1-Input'!$B$12,0))-MIN(MAX(F469,0),MAX(0,B451-IF($A470&gt;='1-Input'!$C$12,'1-Input'!$B$12,0))))*(1/(1-'P-Parametri'!$B$6*B470))),MAX(0,1*B451-(F469-MIN(MAX(F469,0),MAX(0,B451-IF($A470&gt;='1-Input'!$C$12,'1-Input'!$B$12,0)))))*(1/(1-'P-Parametri'!$B$6*B470))))</f>
        <v>19213.910566235711</v>
      </c>
      <c r="D470" s="18">
        <f>IF($A470&gt;'1-Input'!$B$26,F469,(F469-MAX(0,B451-IF($A470&gt;='1-Input'!$C$12,'1-Input'!$B$12,0))+C470*(1-'P-Parametri'!$B$6*B470))*(1+'1-Input'!$B$27))</f>
        <v>16621.00351549315</v>
      </c>
      <c r="E470" s="18">
        <f>IF($A470&gt;'1-Input'!$B$26,G469,(G469-C470)*(1+$C$4))</f>
        <v>269033.48817063012</v>
      </c>
      <c r="F470" s="18">
        <f>IF($A470&gt;'1-Input'!$B$26,D470,D470-'P-Parametri'!$B$8*(E470+D470)+MIN(MAX(E470,0),'P-Parametri'!$B$8*(E470+D470)))</f>
        <v>16621.00351549315</v>
      </c>
      <c r="G470" s="18">
        <f>IF($A470&gt;'1-Input'!$B$26,E470,E470-MIN(MAX(E470,0),'P-Parametri'!$B$8*(E470+D470)))</f>
        <v>268462.17918725789</v>
      </c>
      <c r="H470" s="18">
        <f>IF($A470&gt;'1-Input'!$B$26,H469,H469-C470*(1-B470))</f>
        <v>131906.17167467086</v>
      </c>
      <c r="I470" s="11">
        <f>IF($A470&gt;'1-Input'!$B$26,0,IF(N469&lt;=0,0,MAX(0,(N469-O469)/N469)))</f>
        <v>0.49443583415962444</v>
      </c>
      <c r="J470" s="18">
        <f>IF($A470&gt;'1-Input'!$B$26,0,(MAX(0,I451-IF($A470&gt;='1-Input'!$C$12,'1-Input'!$B$12,0))-MIN(MAX(M469,0),MAX(0,I451-IF($A470&gt;='1-Input'!$C$12,'1-Input'!$B$12,0))))*(1/(1-'P-Parametri'!$B$6*I470))+MIN(MAX(0,N469-(MAX(0,I451-IF($A470&gt;='1-Input'!$C$12,'1-Input'!$B$12,0))-MIN(MAX(M469,0),MAX(0,I451-IF($A470&gt;='1-Input'!$C$12,'1-Input'!$B$12,0))))*(1/(1-'P-Parametri'!$B$6*I470))),MAX(0,1*I451-(M469-MIN(MAX(M469,0),MAX(0,I451-IF($A470&gt;='1-Input'!$C$12,'1-Input'!$B$12,0)))))*(1/(1-'P-Parametri'!$B$6*I470))))</f>
        <v>25277.246382160985</v>
      </c>
      <c r="K470" s="18">
        <f>IF($A470&gt;'1-Input'!$B$26,M469,(M469-MAX(0,I451-IF($A470&gt;='1-Input'!$C$12,'1-Input'!$B$12,0))+J470*(1-'P-Parametri'!$B$6*I470))*(1+'1-Input'!$B$27))</f>
        <v>21869.741467754142</v>
      </c>
      <c r="L470" s="18">
        <f>IF($A470&gt;'1-Input'!$B$26,N469,(N469-J470)*(1+$C$4))</f>
        <v>132122.61200657408</v>
      </c>
      <c r="M470" s="18">
        <f>IF($A470&gt;'1-Input'!$B$26,K470,K470-'P-Parametri'!$B$8*(L470+K470)+MIN(MAX(L470,0),'P-Parametri'!$B$8*(L470+K470)))</f>
        <v>21869.741467754142</v>
      </c>
      <c r="N470" s="18">
        <f>IF($A470&gt;'1-Input'!$B$26,L470,L470-MIN(MAX(L470,0),'P-Parametri'!$B$8*(L470+K470)))</f>
        <v>131814.62729962543</v>
      </c>
      <c r="O470" s="18">
        <f>IF($A470&gt;'1-Input'!$B$26,O469,O469-J470*(1-I470))</f>
        <v>64850.930221121569</v>
      </c>
      <c r="P470" s="11">
        <f>IF($A470&gt;'1-Input'!$B$26,0,IF(U469&lt;=0,0,MAX(0,(U469-V469)/U469)))</f>
        <v>0.49482702191817229</v>
      </c>
      <c r="Q470" s="18">
        <f>IF($A470&gt;'1-Input'!$B$26,0,(MAX(0,P451-IF($A470&gt;='1-Input'!$C$12,'1-Input'!$B$12,0))-MIN(MAX(T469,0),MAX(0,P451-IF($A470&gt;='1-Input'!$C$12,'1-Input'!$B$12,0))))*(1/(1-'P-Parametri'!$B$6*P470))+MIN(MAX(0,U469-(MAX(0,P451-IF($A470&gt;='1-Input'!$C$12,'1-Input'!$B$12,0))-MIN(MAX(T469,0),MAX(0,P451-IF($A470&gt;='1-Input'!$C$12,'1-Input'!$B$12,0))))*(1/(1-'P-Parametri'!$B$6*P470))),MAX(0,1*P451-(T469-MIN(MAX(T469,0),MAX(0,P451-IF($A470&gt;='1-Input'!$C$12,'1-Input'!$B$12,0)))))*(1/(1-'P-Parametri'!$B$6*P470))))</f>
        <v>21472.361687202218</v>
      </c>
      <c r="R470" s="18">
        <f>IF($A470&gt;'1-Input'!$B$26,T469,(T469-MAX(0,P451-IF($A470&gt;='1-Input'!$C$12,'1-Input'!$B$12,0))+Q470*(1-'P-Parametri'!$B$6*P470))*(1+'1-Input'!$B$27))</f>
        <v>18575.606853855934</v>
      </c>
      <c r="S470" s="18">
        <f>IF($A470&gt;'1-Input'!$B$26,U469,(U469-Q470)*(1+$C$4))</f>
        <v>218045.61804643957</v>
      </c>
      <c r="T470" s="18">
        <f>IF($A470&gt;'1-Input'!$B$26,R470,R470-'P-Parametri'!$B$8*(S470+R470)+MIN(MAX(S470,0),'P-Parametri'!$B$8*(S470+R470)))</f>
        <v>18575.606853855934</v>
      </c>
      <c r="U470" s="18">
        <f>IF($A470&gt;'1-Input'!$B$26,S470,S470-MIN(MAX(S470,0),'P-Parametri'!$B$8*(S470+R470)))</f>
        <v>217572.37559663897</v>
      </c>
      <c r="V470" s="18">
        <f>IF($A470&gt;'1-Input'!$B$26,V469,V469-Q470*(1-P470))</f>
        <v>106942.47983127437</v>
      </c>
      <c r="W470" s="11">
        <f>IF($A470&gt;'1-Input'!$B$26,0,IF(AB469&lt;=0,0,MAX(0,(AB469-AC469)/AB469)))</f>
        <v>0.49485107552839203</v>
      </c>
      <c r="X470" s="18">
        <f>IF($A470&gt;'1-Input'!$B$26,0,(MAX(0,W451-IF($A470&gt;='1-Input'!$C$12,'1-Input'!$B$12,0))-MIN(MAX(AA469,0),MAX(0,W451-IF($A470&gt;='1-Input'!$C$12,'1-Input'!$B$12,0))))*(1/(1-'P-Parametri'!$B$6*W470))+MIN(MAX(0,AB469-(MAX(0,W451-IF($A470&gt;='1-Input'!$C$12,'1-Input'!$B$12,0))-MIN(MAX(AA469,0),MAX(0,W451-IF($A470&gt;='1-Input'!$C$12,'1-Input'!$B$12,0))))*(1/(1-'P-Parametri'!$B$6*W470))),MAX(0,1*W451-(AA469-MIN(MAX(AA469,0),MAX(0,W451-IF($A470&gt;='1-Input'!$C$12,'1-Input'!$B$12,0)))))*(1/(1-'P-Parametri'!$B$6*W470))))</f>
        <v>21175.549871623618</v>
      </c>
      <c r="Y470" s="18">
        <f>IF($A470&gt;'1-Input'!$B$26,AA469,(AA469-MAX(0,W451-IF($A470&gt;='1-Input'!$C$12,'1-Input'!$B$12,0))+X470*(1-'P-Parametri'!$B$6*W470))*(1+'1-Input'!$B$27))</f>
        <v>18318.70531348556</v>
      </c>
      <c r="Z470" s="18">
        <f>IF($A470&gt;'1-Input'!$B$26,AB469,(AB469-X470)*(1+$C$4))</f>
        <v>224746.9921446298</v>
      </c>
      <c r="AA470" s="18">
        <f>IF($A470&gt;'1-Input'!$B$26,Y470,Y470-'P-Parametri'!$B$8*(Z470+Y470)+MIN(MAX(Z470,0),'P-Parametri'!$B$8*(Z470+Y470)))</f>
        <v>18318.70531348556</v>
      </c>
      <c r="AB470" s="18">
        <f>IF($A470&gt;'1-Input'!$B$26,Z470,Z470-MIN(MAX(Z470,0),'P-Parametri'!$B$8*(Z470+Y470)))</f>
        <v>224260.86074971355</v>
      </c>
      <c r="AC470" s="18">
        <f>IF($A470&gt;'1-Input'!$B$26,AC469,AC469-X470*(1-W470))</f>
        <v>110223.9819029987</v>
      </c>
      <c r="AD470" s="11">
        <f>IF($A470&gt;'1-Input'!$B$26,0,IF(AI469&lt;=0,0,MAX(0,(AI469-AJ469)/AI469)))</f>
        <v>0.49485203903355235</v>
      </c>
      <c r="AE470" s="18">
        <f>IF($A470&gt;'1-Input'!$B$26,0,(MAX(0,AD451-IF($A470&gt;='1-Input'!$C$12,'1-Input'!$B$12,0))-MIN(MAX(AH469,0),MAX(0,AD451-IF($A470&gt;='1-Input'!$C$12,'1-Input'!$B$12,0))))*(1/(1-'P-Parametri'!$B$6*AD470))+MIN(MAX(0,AI469-(MAX(0,AD451-IF($A470&gt;='1-Input'!$C$12,'1-Input'!$B$12,0))-MIN(MAX(AH469,0),MAX(0,AD451-IF($A470&gt;='1-Input'!$C$12,'1-Input'!$B$12,0))))*(1/(1-'P-Parametri'!$B$6*AD470))),MAX(0,1*AD451-(AH469-MIN(MAX(AH469,0),MAX(0,AD451-IF($A470&gt;='1-Input'!$C$12,'1-Input'!$B$12,0)))))*(1/(1-'P-Parametri'!$B$6*AD470))))</f>
        <v>21163.481383048402</v>
      </c>
      <c r="AF470" s="18">
        <f>IF($A470&gt;'1-Input'!$B$26,AH469,(AH469-MAX(0,AD451-IF($A470&gt;='1-Input'!$C$12,'1-Input'!$B$12,0))+AE470*(1-'P-Parametri'!$B$6*AD470))*(1+'1-Input'!$B$27))</f>
        <v>18308.259750184588</v>
      </c>
      <c r="AG470" s="18">
        <f>IF($A470&gt;'1-Input'!$B$26,AI469,(AI469-AE470)*(1+$C$4))</f>
        <v>225019.46978957218</v>
      </c>
      <c r="AH470" s="18">
        <f>IF($A470&gt;'1-Input'!$B$26,AF470,AF470-'P-Parametri'!$B$8*(AG470+AF470)+MIN(MAX(AG470,0),'P-Parametri'!$B$8*(AG470+AF470)))</f>
        <v>18308.259750184588</v>
      </c>
      <c r="AI470" s="18">
        <f>IF($A470&gt;'1-Input'!$B$26,AG470,AG470-MIN(MAX(AG470,0),'P-Parametri'!$B$8*(AG470+AF470)))</f>
        <v>224532.81433049266</v>
      </c>
      <c r="AJ470" s="18">
        <f>IF($A470&gt;'1-Input'!$B$26,AJ469,AJ469-AE470*(1-AD470))</f>
        <v>110357.40421548889</v>
      </c>
      <c r="AK470" s="11">
        <f>IF($A470&gt;'1-Input'!$B$26,0,IF(AP469&lt;=0,0,MAX(0,(AP469-AQ469)/AP469)))</f>
        <v>0.49485203089040908</v>
      </c>
      <c r="AL470" s="18">
        <f>IF($A470&gt;'1-Input'!$B$26,0,(MAX(0,AK451-IF($A470&gt;='1-Input'!$C$12,'1-Input'!$B$12,0))-MIN(MAX(AO469,0),MAX(0,AK451-IF($A470&gt;='1-Input'!$C$12,'1-Input'!$B$12,0))))*(1/(1-'P-Parametri'!$B$6*AK470))+MIN(MAX(0,AP469-(MAX(0,AK451-IF($A470&gt;='1-Input'!$C$12,'1-Input'!$B$12,0))-MIN(MAX(AO469,0),MAX(0,AK451-IF($A470&gt;='1-Input'!$C$12,'1-Input'!$B$12,0))))*(1/(1-'P-Parametri'!$B$6*AK470))),MAX(0,1*AK451-(AO469-MIN(MAX(AO469,0),MAX(0,AK451-IF($A470&gt;='1-Input'!$C$12,'1-Input'!$B$12,0)))))*(1/(1-'P-Parametri'!$B$6*AK470))))</f>
        <v>21163.583439330389</v>
      </c>
      <c r="AM470" s="18">
        <f>IF($A470&gt;'1-Input'!$B$26,AO469,(AO469-MAX(0,AK451-IF($A470&gt;='1-Input'!$C$12,'1-Input'!$B$12,0))+AL470*(1-'P-Parametri'!$B$6*AK470))*(1+'1-Input'!$B$27))</f>
        <v>18308.348082268236</v>
      </c>
      <c r="AN470" s="18">
        <f>IF($A470&gt;'1-Input'!$B$26,AP469,(AP469-AL470)*(1+$C$4))</f>
        <v>225017.16560344276</v>
      </c>
      <c r="AO470" s="18">
        <f>IF($A470&gt;'1-Input'!$B$26,AM470,AM470-'P-Parametri'!$B$8*(AN470+AM470)+MIN(MAX(AN470,0),'P-Parametri'!$B$8*(AN470+AM470)))</f>
        <v>18308.348082268236</v>
      </c>
      <c r="AP470" s="18">
        <f>IF($A470&gt;'1-Input'!$B$26,AN470,AN470-MIN(MAX(AN470,0),'P-Parametri'!$B$8*(AN470+AM470)))</f>
        <v>224530.51457607135</v>
      </c>
      <c r="AQ470" s="18">
        <f>IF($A470&gt;'1-Input'!$B$26,AQ469,AQ469-AL470*(1-AK470))</f>
        <v>110356.27594114137</v>
      </c>
    </row>
    <row r="471" spans="1:43">
      <c r="A471" s="10">
        <f>18</f>
        <v>18</v>
      </c>
      <c r="B471" s="11">
        <f>IF($A471&gt;'1-Input'!$B$26,0,IF(G470&lt;=0,0,MAX(0,(G470-H470)/G470)))</f>
        <v>0.50866013203795235</v>
      </c>
      <c r="C471" s="18">
        <f>IF($A471&gt;'1-Input'!$B$26,0,(MAX(0,B451-IF($A471&gt;='1-Input'!$C$12,'1-Input'!$B$12,0))-MIN(MAX(F470,0),MAX(0,B451-IF($A471&gt;='1-Input'!$C$12,'1-Input'!$B$12,0))))*(1/(1-'P-Parametri'!$B$6*B471))+MIN(MAX(0,G470-(MAX(0,B451-IF($A471&gt;='1-Input'!$C$12,'1-Input'!$B$12,0))-MIN(MAX(F470,0),MAX(0,B451-IF($A471&gt;='1-Input'!$C$12,'1-Input'!$B$12,0))))*(1/(1-'P-Parametri'!$B$6*B471))),MAX(0,1*B451-(F470-MIN(MAX(F470,0),MAX(0,B451-IF($A471&gt;='1-Input'!$C$12,'1-Input'!$B$12,0)))))*(1/(1-'P-Parametri'!$B$6*B471))))</f>
        <v>19292.582707234338</v>
      </c>
      <c r="D471" s="18">
        <f>IF($A471&gt;'1-Input'!$B$26,F470,(F470-MAX(0,B451-IF($A471&gt;='1-Input'!$C$12,'1-Input'!$B$12,0))+C471*(1-'P-Parametri'!$B$6*B471))*(1+'1-Input'!$B$27))</f>
        <v>16621.00351549315</v>
      </c>
      <c r="E471" s="18">
        <f>IF($A471&gt;'1-Input'!$B$26,G470,(G470-C471)*(1+$C$4))</f>
        <v>256644.68437442428</v>
      </c>
      <c r="F471" s="18">
        <f>IF($A471&gt;'1-Input'!$B$26,D471,D471-'P-Parametri'!$B$8*(E471+D471)+MIN(MAX(E471,0),'P-Parametri'!$B$8*(E471+D471)))</f>
        <v>16621.00351549315</v>
      </c>
      <c r="G471" s="18">
        <f>IF($A471&gt;'1-Input'!$B$26,E471,E471-MIN(MAX(E471,0),'P-Parametri'!$B$8*(E471+D471)))</f>
        <v>256098.15299864445</v>
      </c>
      <c r="H471" s="18">
        <f>IF($A471&gt;'1-Input'!$B$26,H470,H470-C471*(1-B471))</f>
        <v>122426.95663465145</v>
      </c>
      <c r="I471" s="11">
        <f>IF($A471&gt;'1-Input'!$B$26,0,IF(N470&lt;=0,0,MAX(0,(N470-O470)/N470)))</f>
        <v>0.50801415935645666</v>
      </c>
      <c r="J471" s="18">
        <f>IF($A471&gt;'1-Input'!$B$26,0,(MAX(0,I451-IF($A471&gt;='1-Input'!$C$12,'1-Input'!$B$12,0))-MIN(MAX(M470,0),MAX(0,I451-IF($A471&gt;='1-Input'!$C$12,'1-Input'!$B$12,0))))*(1/(1-'P-Parametri'!$B$6*I471))+MIN(MAX(0,N470-(MAX(0,I451-IF($A471&gt;='1-Input'!$C$12,'1-Input'!$B$12,0))-MIN(MAX(M470,0),MAX(0,I451-IF($A471&gt;='1-Input'!$C$12,'1-Input'!$B$12,0))))*(1/(1-'P-Parametri'!$B$6*I471))),MAX(0,1*I451-(M470-MIN(MAX(M470,0),MAX(0,I451-IF($A471&gt;='1-Input'!$C$12,'1-Input'!$B$12,0)))))*(1/(1-'P-Parametri'!$B$6*I471))))</f>
        <v>25380.064928914711</v>
      </c>
      <c r="K471" s="18">
        <f>IF($A471&gt;'1-Input'!$B$26,M470,(M470-MAX(0,I451-IF($A471&gt;='1-Input'!$C$12,'1-Input'!$B$12,0))+J471*(1-'P-Parametri'!$B$6*I471))*(1+'1-Input'!$B$27))</f>
        <v>21869.741467754146</v>
      </c>
      <c r="L471" s="18">
        <f>IF($A471&gt;'1-Input'!$B$26,N470,(N470-J471)*(1+$C$4))</f>
        <v>109627.59924183204</v>
      </c>
      <c r="M471" s="18">
        <f>IF($A471&gt;'1-Input'!$B$26,K471,K471-'P-Parametri'!$B$8*(L471+K471)+MIN(MAX(L471,0),'P-Parametri'!$B$8*(L471+K471)))</f>
        <v>21869.741467754146</v>
      </c>
      <c r="N471" s="18">
        <f>IF($A471&gt;'1-Input'!$B$26,L471,L471-MIN(MAX(L471,0),'P-Parametri'!$B$8*(L471+K471)))</f>
        <v>109364.60456041286</v>
      </c>
      <c r="O471" s="18">
        <f>IF($A471&gt;'1-Input'!$B$26,O470,O470-J471*(1-I471))</f>
        <v>52364.297641481753</v>
      </c>
      <c r="P471" s="11">
        <f>IF($A471&gt;'1-Input'!$B$26,0,IF(U470&lt;=0,0,MAX(0,(U470-V470)/U470)))</f>
        <v>0.50847399842001639</v>
      </c>
      <c r="Q471" s="18">
        <f>IF($A471&gt;'1-Input'!$B$26,0,(MAX(0,P451-IF($A471&gt;='1-Input'!$C$12,'1-Input'!$B$12,0))-MIN(MAX(T470,0),MAX(0,P451-IF($A471&gt;='1-Input'!$C$12,'1-Input'!$B$12,0))))*(1/(1-'P-Parametri'!$B$6*P471))+MIN(MAX(0,U470-(MAX(0,P451-IF($A471&gt;='1-Input'!$C$12,'1-Input'!$B$12,0))-MIN(MAX(T470,0),MAX(0,P451-IF($A471&gt;='1-Input'!$C$12,'1-Input'!$B$12,0))))*(1/(1-'P-Parametri'!$B$6*P471))),MAX(0,1*P451-(T470-MIN(MAX(T470,0),MAX(0,P451-IF($A471&gt;='1-Input'!$C$12,'1-Input'!$B$12,0)))))*(1/(1-'P-Parametri'!$B$6*P471))))</f>
        <v>21560.157050674032</v>
      </c>
      <c r="R471" s="18">
        <f>IF($A471&gt;'1-Input'!$B$26,T470,(T470-MAX(0,P451-IF($A471&gt;='1-Input'!$C$12,'1-Input'!$B$12,0))+Q471*(1-'P-Parametri'!$B$6*P471))*(1+'1-Input'!$B$27))</f>
        <v>18575.606853855934</v>
      </c>
      <c r="S471" s="18">
        <f>IF($A471&gt;'1-Input'!$B$26,U470,(U470-Q471)*(1+$C$4))</f>
        <v>201892.5851023439</v>
      </c>
      <c r="T471" s="18">
        <f>IF($A471&gt;'1-Input'!$B$26,R471,R471-'P-Parametri'!$B$8*(S471+R471)+MIN(MAX(S471,0),'P-Parametri'!$B$8*(S471+R471)))</f>
        <v>18575.606853855934</v>
      </c>
      <c r="U471" s="18">
        <f>IF($A471&gt;'1-Input'!$B$26,S471,S471-MIN(MAX(S471,0),'P-Parametri'!$B$8*(S471+R471)))</f>
        <v>201451.6487184315</v>
      </c>
      <c r="V471" s="18">
        <f>IF($A471&gt;'1-Input'!$B$26,V470,V470-Q471*(1-P471))</f>
        <v>96345.102042720071</v>
      </c>
      <c r="W471" s="11">
        <f>IF($A471&gt;'1-Input'!$B$26,0,IF(AB470&lt;=0,0,MAX(0,(AB470-AC470)/AB470)))</f>
        <v>0.50850103074377195</v>
      </c>
      <c r="X471" s="18">
        <f>IF($A471&gt;'1-Input'!$B$26,0,(MAX(0,W451-IF($A471&gt;='1-Input'!$C$12,'1-Input'!$B$12,0))-MIN(MAX(AA470,0),MAX(0,W451-IF($A471&gt;='1-Input'!$C$12,'1-Input'!$B$12,0))))*(1/(1-'P-Parametri'!$B$6*W471))+MIN(MAX(0,AB470-(MAX(0,W451-IF($A471&gt;='1-Input'!$C$12,'1-Input'!$B$12,0))-MIN(MAX(AA470,0),MAX(0,W451-IF($A471&gt;='1-Input'!$C$12,'1-Input'!$B$12,0))))*(1/(1-'P-Parametri'!$B$6*W471))),MAX(0,1*W451-(AA470-MIN(MAX(AA470,0),MAX(0,W451-IF($A471&gt;='1-Input'!$C$12,'1-Input'!$B$12,0)))))*(1/(1-'P-Parametri'!$B$6*W471))))</f>
        <v>21262.151241926174</v>
      </c>
      <c r="Y471" s="18">
        <f>IF($A471&gt;'1-Input'!$B$26,AA470,(AA470-MAX(0,W451-IF($A471&gt;='1-Input'!$C$12,'1-Input'!$B$12,0))+X471*(1-'P-Parametri'!$B$6*W471))*(1+'1-Input'!$B$27))</f>
        <v>18318.70531348556</v>
      </c>
      <c r="Z471" s="18">
        <f>IF($A471&gt;'1-Input'!$B$26,AB470,(AB470-X471)*(1+$C$4))</f>
        <v>209088.67079302098</v>
      </c>
      <c r="AA471" s="18">
        <f>IF($A471&gt;'1-Input'!$B$26,Y471,Y471-'P-Parametri'!$B$8*(Z471+Y471)+MIN(MAX(Z471,0),'P-Parametri'!$B$8*(Z471+Y471)))</f>
        <v>18318.70531348556</v>
      </c>
      <c r="AB471" s="18">
        <f>IF($A471&gt;'1-Input'!$B$26,Z471,Z471-MIN(MAX(Z471,0),'P-Parametri'!$B$8*(Z471+Y471)))</f>
        <v>208633.85604080796</v>
      </c>
      <c r="AC471" s="18">
        <f>IF($A471&gt;'1-Input'!$B$26,AC470,AC470-X471*(1-W471))</f>
        <v>99773.656483421946</v>
      </c>
      <c r="AD471" s="11">
        <f>IF($A471&gt;'1-Input'!$B$26,0,IF(AI470&lt;=0,0,MAX(0,(AI470-AJ470)/AI470)))</f>
        <v>0.50850211117448318</v>
      </c>
      <c r="AE471" s="18">
        <f>IF($A471&gt;'1-Input'!$B$26,0,(MAX(0,AD451-IF($A471&gt;='1-Input'!$C$12,'1-Input'!$B$12,0))-MIN(MAX(AH470,0),MAX(0,AD451-IF($A471&gt;='1-Input'!$C$12,'1-Input'!$B$12,0))))*(1/(1-'P-Parametri'!$B$6*AD471))+MIN(MAX(0,AI470-(MAX(0,AD451-IF($A471&gt;='1-Input'!$C$12,'1-Input'!$B$12,0))-MIN(MAX(AH470,0),MAX(0,AD451-IF($A471&gt;='1-Input'!$C$12,'1-Input'!$B$12,0))))*(1/(1-'P-Parametri'!$B$6*AD471))),MAX(0,1*AD451-(AH470-MIN(MAX(AH470,0),MAX(0,AD451-IF($A471&gt;='1-Input'!$C$12,'1-Input'!$B$12,0)))))*(1/(1-'P-Parametri'!$B$6*AD471))))</f>
        <v>21250.034166433292</v>
      </c>
      <c r="AF471" s="18">
        <f>IF($A471&gt;'1-Input'!$B$26,AH470,(AH470-MAX(0,AD451-IF($A471&gt;='1-Input'!$C$12,'1-Input'!$B$12,0))+AE471*(1-'P-Parametri'!$B$6*AD471))*(1+'1-Input'!$B$27))</f>
        <v>18308.259750184588</v>
      </c>
      <c r="AG471" s="18">
        <f>IF($A471&gt;'1-Input'!$B$26,AI470,(AI470-AE471)*(1+$C$4))</f>
        <v>209381.26356898114</v>
      </c>
      <c r="AH471" s="18">
        <f>IF($A471&gt;'1-Input'!$B$26,AF471,AF471-'P-Parametri'!$B$8*(AG471+AF471)+MIN(MAX(AG471,0),'P-Parametri'!$B$8*(AG471+AF471)))</f>
        <v>18308.259750184588</v>
      </c>
      <c r="AI471" s="18">
        <f>IF($A471&gt;'1-Input'!$B$26,AG471,AG471-MIN(MAX(AG471,0),'P-Parametri'!$B$8*(AG471+AF471)))</f>
        <v>208925.88452234282</v>
      </c>
      <c r="AJ471" s="18">
        <f>IF($A471&gt;'1-Input'!$B$26,AJ470,AJ470-AE471*(1-AD471))</f>
        <v>99913.057285216826</v>
      </c>
      <c r="AK471" s="11">
        <f>IF($A471&gt;'1-Input'!$B$26,0,IF(AP470&lt;=0,0,MAX(0,(AP470-AQ470)/AP470)))</f>
        <v>0.50850210204389634</v>
      </c>
      <c r="AL471" s="18">
        <f>IF($A471&gt;'1-Input'!$B$26,0,(MAX(0,AK451-IF($A471&gt;='1-Input'!$C$12,'1-Input'!$B$12,0))-MIN(MAX(AO470,0),MAX(0,AK451-IF($A471&gt;='1-Input'!$C$12,'1-Input'!$B$12,0))))*(1/(1-'P-Parametri'!$B$6*AK471))+MIN(MAX(0,AP470-(MAX(0,AK451-IF($A471&gt;='1-Input'!$C$12,'1-Input'!$B$12,0))-MIN(MAX(AO470,0),MAX(0,AK451-IF($A471&gt;='1-Input'!$C$12,'1-Input'!$B$12,0))))*(1/(1-'P-Parametri'!$B$6*AK471))),MAX(0,1*AK451-(AO470-MIN(MAX(AO470,0),MAX(0,AK451-IF($A471&gt;='1-Input'!$C$12,'1-Input'!$B$12,0)))))*(1/(1-'P-Parametri'!$B$6*AK471))))</f>
        <v>21250.13663359921</v>
      </c>
      <c r="AM471" s="18">
        <f>IF($A471&gt;'1-Input'!$B$26,AO470,(AO470-MAX(0,AK451-IF($A471&gt;='1-Input'!$C$12,'1-Input'!$B$12,0))+AL471*(1-'P-Parametri'!$B$6*AK471))*(1+'1-Input'!$B$27))</f>
        <v>18308.348082268236</v>
      </c>
      <c r="AN471" s="18">
        <f>IF($A471&gt;'1-Input'!$B$26,AP470,(AP470-AL471)*(1+$C$4))</f>
        <v>209378.78928074631</v>
      </c>
      <c r="AO471" s="18">
        <f>IF($A471&gt;'1-Input'!$B$26,AM471,AM471-'P-Parametri'!$B$8*(AN471+AM471)+MIN(MAX(AN471,0),'P-Parametri'!$B$8*(AN471+AM471)))</f>
        <v>18308.348082268236</v>
      </c>
      <c r="AP471" s="18">
        <f>IF($A471&gt;'1-Input'!$B$26,AN471,AN471-MIN(MAX(AN471,0),'P-Parametri'!$B$8*(AN471+AM471)))</f>
        <v>208923.41500602028</v>
      </c>
      <c r="AQ471" s="18">
        <f>IF($A471&gt;'1-Input'!$B$26,AQ470,AQ470-AL471*(1-AK471))</f>
        <v>99911.878454447375</v>
      </c>
    </row>
    <row r="472" spans="1:43">
      <c r="A472" s="10">
        <f>19</f>
        <v>19</v>
      </c>
      <c r="B472" s="11">
        <f>IF($A472&gt;'1-Input'!$B$26,0,IF(G471&lt;=0,0,MAX(0,(G471-H471)/G471)))</f>
        <v>0.52195298872265006</v>
      </c>
      <c r="C472" s="18">
        <f>IF($A472&gt;'1-Input'!$B$26,0,(MAX(0,B451-IF($A472&gt;='1-Input'!$C$12,'1-Input'!$B$12,0))-MIN(MAX(F471,0),MAX(0,B451-IF($A472&gt;='1-Input'!$C$12,'1-Input'!$B$12,0))))*(1/(1-'P-Parametri'!$B$6*B472))+MIN(MAX(0,G471-(MAX(0,B451-IF($A472&gt;='1-Input'!$C$12,'1-Input'!$B$12,0))-MIN(MAX(F471,0),MAX(0,B451-IF($A472&gt;='1-Input'!$C$12,'1-Input'!$B$12,0))))*(1/(1-'P-Parametri'!$B$6*B472))),MAX(0,1*B451-(F471-MIN(MAX(F471,0),MAX(0,B451-IF($A472&gt;='1-Input'!$C$12,'1-Input'!$B$12,0)))))*(1/(1-'P-Parametri'!$B$6*B472))))</f>
        <v>19369.730132436292</v>
      </c>
      <c r="D472" s="18">
        <f>IF($A472&gt;'1-Input'!$B$26,F471,(F471-MAX(0,B451-IF($A472&gt;='1-Input'!$C$12,'1-Input'!$B$12,0))+C472*(1-'P-Parametri'!$B$6*B472))*(1+'1-Input'!$B$27))</f>
        <v>16621.00351549315</v>
      </c>
      <c r="E472" s="18">
        <f>IF($A472&gt;'1-Input'!$B$26,G471,(G471-C472)*(1+$C$4))</f>
        <v>243830.27555219442</v>
      </c>
      <c r="F472" s="18">
        <f>IF($A472&gt;'1-Input'!$B$26,D472,D472-'P-Parametri'!$B$8*(E472+D472)+MIN(MAX(E472,0),'P-Parametri'!$B$8*(E472+D472)))</f>
        <v>16621.00351549315</v>
      </c>
      <c r="G472" s="18">
        <f>IF($A472&gt;'1-Input'!$B$26,E472,E472-MIN(MAX(E472,0),'P-Parametri'!$B$8*(E472+D472)))</f>
        <v>243309.37299405906</v>
      </c>
      <c r="H472" s="18">
        <f>IF($A472&gt;'1-Input'!$B$26,H471,H471-C472*(1-B472))</f>
        <v>113167.31503559145</v>
      </c>
      <c r="I472" s="11">
        <f>IF($A472&gt;'1-Input'!$B$26,0,IF(N471&lt;=0,0,MAX(0,(N471-O471)/N471)))</f>
        <v>0.52119519974530892</v>
      </c>
      <c r="J472" s="18">
        <f>IF($A472&gt;'1-Input'!$B$26,0,(MAX(0,I451-IF($A472&gt;='1-Input'!$C$12,'1-Input'!$B$12,0))-MIN(MAX(M471,0),MAX(0,I451-IF($A472&gt;='1-Input'!$C$12,'1-Input'!$B$12,0))))*(1/(1-'P-Parametri'!$B$6*I472))+MIN(MAX(0,N471-(MAX(0,I451-IF($A472&gt;='1-Input'!$C$12,'1-Input'!$B$12,0))-MIN(MAX(M471,0),MAX(0,I451-IF($A472&gt;='1-Input'!$C$12,'1-Input'!$B$12,0))))*(1/(1-'P-Parametri'!$B$6*I472))),MAX(0,1*I451-(M471-MIN(MAX(M471,0),MAX(0,I451-IF($A472&gt;='1-Input'!$C$12,'1-Input'!$B$12,0)))))*(1/(1-'P-Parametri'!$B$6*I472))))</f>
        <v>25480.678409103726</v>
      </c>
      <c r="K472" s="18">
        <f>IF($A472&gt;'1-Input'!$B$26,M471,(M471-MAX(0,I451-IF($A472&gt;='1-Input'!$C$12,'1-Input'!$B$12,0))+J472*(1-'P-Parametri'!$B$6*I472))*(1+'1-Input'!$B$27))</f>
        <v>21869.741467754146</v>
      </c>
      <c r="L472" s="18">
        <f>IF($A472&gt;'1-Input'!$B$26,N471,(N471-J472)*(1+$C$4))</f>
        <v>86400.443935848409</v>
      </c>
      <c r="M472" s="18">
        <f>IF($A472&gt;'1-Input'!$B$26,K472,K472-'P-Parametri'!$B$8*(L472+K472)+MIN(MAX(L472,0),'P-Parametri'!$B$8*(L472+K472)))</f>
        <v>21869.741467754146</v>
      </c>
      <c r="N472" s="18">
        <f>IF($A472&gt;'1-Input'!$B$26,L472,L472-MIN(MAX(L472,0),'P-Parametri'!$B$8*(L472+K472)))</f>
        <v>86183.903565041197</v>
      </c>
      <c r="O472" s="18">
        <f>IF($A472&gt;'1-Input'!$B$26,O471,O471-J472*(1-I472))</f>
        <v>40164.026505456823</v>
      </c>
      <c r="P472" s="11">
        <f>IF($A472&gt;'1-Input'!$B$26,0,IF(U471&lt;=0,0,MAX(0,(U471-V471)/U471)))</f>
        <v>0.52174577544718237</v>
      </c>
      <c r="Q472" s="18">
        <f>IF($A472&gt;'1-Input'!$B$26,0,(MAX(0,P451-IF($A472&gt;='1-Input'!$C$12,'1-Input'!$B$12,0))-MIN(MAX(T471,0),MAX(0,P451-IF($A472&gt;='1-Input'!$C$12,'1-Input'!$B$12,0))))*(1/(1-'P-Parametri'!$B$6*P472))+MIN(MAX(0,U471-(MAX(0,P451-IF($A472&gt;='1-Input'!$C$12,'1-Input'!$B$12,0))-MIN(MAX(T471,0),MAX(0,P451-IF($A472&gt;='1-Input'!$C$12,'1-Input'!$B$12,0))))*(1/(1-'P-Parametri'!$B$6*P472))),MAX(0,1*P451-(T471-MIN(MAX(T471,0),MAX(0,P451-IF($A472&gt;='1-Input'!$C$12,'1-Input'!$B$12,0)))))*(1/(1-'P-Parametri'!$B$6*P472))))</f>
        <v>21646.22999688319</v>
      </c>
      <c r="R472" s="18">
        <f>IF($A472&gt;'1-Input'!$B$26,T471,(T471-MAX(0,P451-IF($A472&gt;='1-Input'!$C$12,'1-Input'!$B$12,0))+Q472*(1-'P-Parametri'!$B$6*P472))*(1+'1-Input'!$B$27))</f>
        <v>18575.606853855934</v>
      </c>
      <c r="S472" s="18">
        <f>IF($A472&gt;'1-Input'!$B$26,U471,(U471-Q472)*(1+$C$4))</f>
        <v>185199.58128319477</v>
      </c>
      <c r="T472" s="18">
        <f>IF($A472&gt;'1-Input'!$B$26,R472,R472-'P-Parametri'!$B$8*(S472+R472)+MIN(MAX(S472,0),'P-Parametri'!$B$8*(S472+R472)))</f>
        <v>18575.606853855934</v>
      </c>
      <c r="U472" s="18">
        <f>IF($A472&gt;'1-Input'!$B$26,S472,S472-MIN(MAX(S472,0),'P-Parametri'!$B$8*(S472+R472)))</f>
        <v>184792.03090692067</v>
      </c>
      <c r="V472" s="18">
        <f>IF($A472&gt;'1-Input'!$B$26,V471,V471-Q472*(1-P472))</f>
        <v>85992.701101068757</v>
      </c>
      <c r="W472" s="11">
        <f>IF($A472&gt;'1-Input'!$B$26,0,IF(AB471&lt;=0,0,MAX(0,(AB471-AC471)/AB471)))</f>
        <v>0.5217762908820196</v>
      </c>
      <c r="X472" s="18">
        <f>IF($A472&gt;'1-Input'!$B$26,0,(MAX(0,W451-IF($A472&gt;='1-Input'!$C$12,'1-Input'!$B$12,0))-MIN(MAX(AA471,0),MAX(0,W451-IF($A472&gt;='1-Input'!$C$12,'1-Input'!$B$12,0))))*(1/(1-'P-Parametri'!$B$6*W472))+MIN(MAX(0,AB471-(MAX(0,W451-IF($A472&gt;='1-Input'!$C$12,'1-Input'!$B$12,0))-MIN(MAX(AA471,0),MAX(0,W451-IF($A472&gt;='1-Input'!$C$12,'1-Input'!$B$12,0))))*(1/(1-'P-Parametri'!$B$6*W472))),MAX(0,1*W451-(AA471-MIN(MAX(AA471,0),MAX(0,W451-IF($A472&gt;='1-Input'!$C$12,'1-Input'!$B$12,0)))))*(1/(1-'P-Parametri'!$B$6*W472))))</f>
        <v>21347.057539162997</v>
      </c>
      <c r="Y472" s="18">
        <f>IF($A472&gt;'1-Input'!$B$26,AA471,(AA471-MAX(0,W451-IF($A472&gt;='1-Input'!$C$12,'1-Input'!$B$12,0))+X472*(1-'P-Parametri'!$B$6*W472))*(1+'1-Input'!$B$27))</f>
        <v>18318.70531348556</v>
      </c>
      <c r="Z472" s="18">
        <f>IF($A472&gt;'1-Input'!$B$26,AB471,(AB471-X472)*(1+$C$4))</f>
        <v>192905.40245669434</v>
      </c>
      <c r="AA472" s="18">
        <f>IF($A472&gt;'1-Input'!$B$26,Y472,Y472-'P-Parametri'!$B$8*(Z472+Y472)+MIN(MAX(Z472,0),'P-Parametri'!$B$8*(Z472+Y472)))</f>
        <v>18318.70531348556</v>
      </c>
      <c r="AB472" s="18">
        <f>IF($A472&gt;'1-Input'!$B$26,Z472,Z472-MIN(MAX(Z472,0),'P-Parametri'!$B$8*(Z472+Y472)))</f>
        <v>192482.95424115399</v>
      </c>
      <c r="AC472" s="18">
        <f>IF($A472&gt;'1-Input'!$B$26,AC471,AC471-X472*(1-W472))</f>
        <v>89564.987448288477</v>
      </c>
      <c r="AD472" s="11">
        <f>IF($A472&gt;'1-Input'!$B$26,0,IF(AI471&lt;=0,0,MAX(0,(AI471-AJ471)/AI471)))</f>
        <v>0.52177750730292116</v>
      </c>
      <c r="AE472" s="18">
        <f>IF($A472&gt;'1-Input'!$B$26,0,(MAX(0,AD451-IF($A472&gt;='1-Input'!$C$12,'1-Input'!$B$12,0))-MIN(MAX(AH471,0),MAX(0,AD451-IF($A472&gt;='1-Input'!$C$12,'1-Input'!$B$12,0))))*(1/(1-'P-Parametri'!$B$6*AD472))+MIN(MAX(0,AI471-(MAX(0,AD451-IF($A472&gt;='1-Input'!$C$12,'1-Input'!$B$12,0))-MIN(MAX(AH471,0),MAX(0,AD451-IF($A472&gt;='1-Input'!$C$12,'1-Input'!$B$12,0))))*(1/(1-'P-Parametri'!$B$6*AD472))),MAX(0,1*AD451-(AH471-MIN(MAX(AH471,0),MAX(0,AD451-IF($A472&gt;='1-Input'!$C$12,'1-Input'!$B$12,0)))))*(1/(1-'P-Parametri'!$B$6*AD472))))</f>
        <v>21334.892976792817</v>
      </c>
      <c r="AF472" s="18">
        <f>IF($A472&gt;'1-Input'!$B$26,AH471,(AH471-MAX(0,AD451-IF($A472&gt;='1-Input'!$C$12,'1-Input'!$B$12,0))+AE472*(1-'P-Parametri'!$B$6*AD472))*(1+'1-Input'!$B$27))</f>
        <v>18308.259750184588</v>
      </c>
      <c r="AG472" s="18">
        <f>IF($A472&gt;'1-Input'!$B$26,AI471,(AI471-AE472)*(1+$C$4))</f>
        <v>193218.7212919165</v>
      </c>
      <c r="AH472" s="18">
        <f>IF($A472&gt;'1-Input'!$B$26,AF472,AF472-'P-Parametri'!$B$8*(AG472+AF472)+MIN(MAX(AG472,0),'P-Parametri'!$B$8*(AG472+AF472)))</f>
        <v>18308.259750184588</v>
      </c>
      <c r="AI472" s="18">
        <f>IF($A472&gt;'1-Input'!$B$26,AG472,AG472-MIN(MAX(AG472,0),'P-Parametri'!$B$8*(AG472+AF472)))</f>
        <v>192795.6673298323</v>
      </c>
      <c r="AJ472" s="18">
        <f>IF($A472&gt;'1-Input'!$B$26,AJ471,AJ471-AE472*(1-AD472))</f>
        <v>89710.231584429566</v>
      </c>
      <c r="AK472" s="11">
        <f>IF($A472&gt;'1-Input'!$B$26,0,IF(AP471&lt;=0,0,MAX(0,(AP471-AQ471)/AP471)))</f>
        <v>0.5217774970241208</v>
      </c>
      <c r="AL472" s="18">
        <f>IF($A472&gt;'1-Input'!$B$26,0,(MAX(0,AK451-IF($A472&gt;='1-Input'!$C$12,'1-Input'!$B$12,0))-MIN(MAX(AO471,0),MAX(0,AK451-IF($A472&gt;='1-Input'!$C$12,'1-Input'!$B$12,0))))*(1/(1-'P-Parametri'!$B$6*AK472))+MIN(MAX(0,AP471-(MAX(0,AK451-IF($A472&gt;='1-Input'!$C$12,'1-Input'!$B$12,0))-MIN(MAX(AO471,0),MAX(0,AK451-IF($A472&gt;='1-Input'!$C$12,'1-Input'!$B$12,0))))*(1/(1-'P-Parametri'!$B$6*AK472))),MAX(0,1*AK451-(AO471-MIN(MAX(AO471,0),MAX(0,AK451-IF($A472&gt;='1-Input'!$C$12,'1-Input'!$B$12,0)))))*(1/(1-'P-Parametri'!$B$6*AK472))))</f>
        <v>21334.995845543915</v>
      </c>
      <c r="AM472" s="18">
        <f>IF($A472&gt;'1-Input'!$B$26,AO471,(AO471-MAX(0,AK451-IF($A472&gt;='1-Input'!$C$12,'1-Input'!$B$12,0))+AL472*(1-'P-Parametri'!$B$6*AK472))*(1+'1-Input'!$B$27))</f>
        <v>18308.348082268236</v>
      </c>
      <c r="AN472" s="18">
        <f>IF($A472&gt;'1-Input'!$B$26,AP471,(AP471-AL472)*(1+$C$4))</f>
        <v>193216.07173529066</v>
      </c>
      <c r="AO472" s="18">
        <f>IF($A472&gt;'1-Input'!$B$26,AM472,AM472-'P-Parametri'!$B$8*(AN472+AM472)+MIN(MAX(AN472,0),'P-Parametri'!$B$8*(AN472+AM472)))</f>
        <v>18308.348082268236</v>
      </c>
      <c r="AP472" s="18">
        <f>IF($A472&gt;'1-Input'!$B$26,AN472,AN472-MIN(MAX(AN472,0),'P-Parametri'!$B$8*(AN472+AM472)))</f>
        <v>192793.02289565554</v>
      </c>
      <c r="AQ472" s="18">
        <f>IF($A472&gt;'1-Input'!$B$26,AQ471,AQ471-AL472*(1-AK472))</f>
        <v>89709.003340211377</v>
      </c>
    </row>
    <row r="473" spans="1:43">
      <c r="A473" s="10">
        <f>20</f>
        <v>20</v>
      </c>
      <c r="B473" s="11">
        <f>IF($A473&gt;'1-Input'!$B$26,0,IF(G472&lt;=0,0,MAX(0,(G472-H472)/G472)))</f>
        <v>0.53488304357944039</v>
      </c>
      <c r="C473" s="18">
        <f>IF($A473&gt;'1-Input'!$B$26,0,(MAX(0,B451-IF($A473&gt;='1-Input'!$C$12,'1-Input'!$B$12,0))-MIN(MAX(F472,0),MAX(0,B451-IF($A473&gt;='1-Input'!$C$12,'1-Input'!$B$12,0))))*(1/(1-'P-Parametri'!$B$6*B473))+MIN(MAX(0,G472-(MAX(0,B451-IF($A473&gt;='1-Input'!$C$12,'1-Input'!$B$12,0))-MIN(MAX(F472,0),MAX(0,B451-IF($A473&gt;='1-Input'!$C$12,'1-Input'!$B$12,0))))*(1/(1-'P-Parametri'!$B$6*B473))),MAX(0,1*B451-(F472-MIN(MAX(F472,0),MAX(0,B451-IF($A473&gt;='1-Input'!$C$12,'1-Input'!$B$12,0)))))*(1/(1-'P-Parametri'!$B$6*B473))))</f>
        <v>19445.366251650375</v>
      </c>
      <c r="D473" s="18">
        <f>IF($A473&gt;'1-Input'!$B$26,F472,(F472-MAX(0,B451-IF($A473&gt;='1-Input'!$C$12,'1-Input'!$B$12,0))+C473*(1-'P-Parametri'!$B$6*B473))*(1+'1-Input'!$B$27))</f>
        <v>16621.00351549315</v>
      </c>
      <c r="E473" s="18">
        <f>IF($A473&gt;'1-Input'!$B$26,G472,(G472-C473)*(1+$C$4))</f>
        <v>230579.92694468095</v>
      </c>
      <c r="F473" s="18">
        <f>IF($A473&gt;'1-Input'!$B$26,D473,D473-'P-Parametri'!$B$8*(E473+D473)+MIN(MAX(E473,0),'P-Parametri'!$B$8*(E473+D473)))</f>
        <v>16621.00351549315</v>
      </c>
      <c r="G473" s="18">
        <f>IF($A473&gt;'1-Input'!$B$26,E473,E473-MIN(MAX(E473,0),'P-Parametri'!$B$8*(E473+D473)))</f>
        <v>230085.52508376061</v>
      </c>
      <c r="H473" s="18">
        <f>IF($A473&gt;'1-Input'!$B$26,H472,H472-C473*(1-B473))</f>
        <v>104122.94546814077</v>
      </c>
      <c r="I473" s="11">
        <f>IF($A473&gt;'1-Input'!$B$26,0,IF(N472&lt;=0,0,MAX(0,(N472-O472)/N472)))</f>
        <v>0.53397299444500246</v>
      </c>
      <c r="J473" s="18">
        <f>IF($A473&gt;'1-Input'!$B$26,0,(MAX(0,I451-IF($A473&gt;='1-Input'!$C$12,'1-Input'!$B$12,0))-MIN(MAX(M472,0),MAX(0,I451-IF($A473&gt;='1-Input'!$C$12,'1-Input'!$B$12,0))))*(1/(1-'P-Parametri'!$B$6*I473))+MIN(MAX(0,N472-(MAX(0,I451-IF($A473&gt;='1-Input'!$C$12,'1-Input'!$B$12,0))-MIN(MAX(M472,0),MAX(0,I451-IF($A473&gt;='1-Input'!$C$12,'1-Input'!$B$12,0))))*(1/(1-'P-Parametri'!$B$6*I473))),MAX(0,1*I451-(M472-MIN(MAX(M472,0),MAX(0,I451-IF($A473&gt;='1-Input'!$C$12,'1-Input'!$B$12,0)))))*(1/(1-'P-Parametri'!$B$6*I473))))</f>
        <v>25578.978258084633</v>
      </c>
      <c r="K473" s="18">
        <f>IF($A473&gt;'1-Input'!$B$26,M472,(M472-MAX(0,I451-IF($A473&gt;='1-Input'!$C$12,'1-Input'!$B$12,0))+J473*(1-'P-Parametri'!$B$6*I473))*(1+'1-Input'!$B$27))</f>
        <v>21869.741467754146</v>
      </c>
      <c r="L473" s="18">
        <f>IF($A473&gt;'1-Input'!$B$26,N472,(N472-J473)*(1+$C$4))</f>
        <v>62423.073066165256</v>
      </c>
      <c r="M473" s="18">
        <f>IF($A473&gt;'1-Input'!$B$26,K473,K473-'P-Parametri'!$B$8*(L473+K473)+MIN(MAX(L473,0),'P-Parametri'!$B$8*(L473+K473)))</f>
        <v>21869.741467754146</v>
      </c>
      <c r="N473" s="18">
        <f>IF($A473&gt;'1-Input'!$B$26,L473,L473-MIN(MAX(L473,0),'P-Parametri'!$B$8*(L473+K473)))</f>
        <v>62254.487437097414</v>
      </c>
      <c r="O473" s="18">
        <f>IF($A473&gt;'1-Input'!$B$26,O472,O472-J473*(1-I473))</f>
        <v>28243.531862685253</v>
      </c>
      <c r="P473" s="11">
        <f>IF($A473&gt;'1-Input'!$B$26,0,IF(U472&lt;=0,0,MAX(0,(U472-V472)/U472)))</f>
        <v>0.53465146370741989</v>
      </c>
      <c r="Q473" s="18">
        <f>IF($A473&gt;'1-Input'!$B$26,0,(MAX(0,P451-IF($A473&gt;='1-Input'!$C$12,'1-Input'!$B$12,0))-MIN(MAX(T472,0),MAX(0,P451-IF($A473&gt;='1-Input'!$C$12,'1-Input'!$B$12,0))))*(1/(1-'P-Parametri'!$B$6*P473))+MIN(MAX(0,U472-(MAX(0,P451-IF($A473&gt;='1-Input'!$C$12,'1-Input'!$B$12,0))-MIN(MAX(T472,0),MAX(0,P451-IF($A473&gt;='1-Input'!$C$12,'1-Input'!$B$12,0))))*(1/(1-'P-Parametri'!$B$6*P473))),MAX(0,1*P451-(T472-MIN(MAX(T472,0),MAX(0,P451-IF($A473&gt;='1-Input'!$C$12,'1-Input'!$B$12,0)))))*(1/(1-'P-Parametri'!$B$6*P473))))</f>
        <v>21730.590345778004</v>
      </c>
      <c r="R473" s="18">
        <f>IF($A473&gt;'1-Input'!$B$26,T472,(T472-MAX(0,P451-IF($A473&gt;='1-Input'!$C$12,'1-Input'!$B$12,0))+Q473*(1-'P-Parametri'!$B$6*P473))*(1+'1-Input'!$B$27))</f>
        <v>18575.606853855938</v>
      </c>
      <c r="S473" s="18">
        <f>IF($A473&gt;'1-Input'!$B$26,U472,(U472-Q473)*(1+$C$4))</f>
        <v>167953.28377797693</v>
      </c>
      <c r="T473" s="18">
        <f>IF($A473&gt;'1-Input'!$B$26,R473,R473-'P-Parametri'!$B$8*(S473+R473)+MIN(MAX(S473,0),'P-Parametri'!$B$8*(S473+R473)))</f>
        <v>18575.606853855938</v>
      </c>
      <c r="U473" s="18">
        <f>IF($A473&gt;'1-Input'!$B$26,S473,S473-MIN(MAX(S473,0),'P-Parametri'!$B$8*(S473+R473)))</f>
        <v>167580.22599671327</v>
      </c>
      <c r="V473" s="18">
        <f>IF($A473&gt;'1-Input'!$B$26,V472,V472-Q473*(1-P473))</f>
        <v>75880.402690887291</v>
      </c>
      <c r="W473" s="11">
        <f>IF($A473&gt;'1-Input'!$B$26,0,IF(AB472&lt;=0,0,MAX(0,(AB472-AC472)/AB472)))</f>
        <v>0.53468613466896309</v>
      </c>
      <c r="X473" s="18">
        <f>IF($A473&gt;'1-Input'!$B$26,0,(MAX(0,W451-IF($A473&gt;='1-Input'!$C$12,'1-Input'!$B$12,0))-MIN(MAX(AA472,0),MAX(0,W451-IF($A473&gt;='1-Input'!$C$12,'1-Input'!$B$12,0))))*(1/(1-'P-Parametri'!$B$6*W473))+MIN(MAX(0,AB472-(MAX(0,W451-IF($A473&gt;='1-Input'!$C$12,'1-Input'!$B$12,0))-MIN(MAX(AA472,0),MAX(0,W451-IF($A473&gt;='1-Input'!$C$12,'1-Input'!$B$12,0))))*(1/(1-'P-Parametri'!$B$6*W473))),MAX(0,1*W451-(AA472-MIN(MAX(AA472,0),MAX(0,W451-IF($A473&gt;='1-Input'!$C$12,'1-Input'!$B$12,0)))))*(1/(1-'P-Parametri'!$B$6*W473))))</f>
        <v>21430.279603260344</v>
      </c>
      <c r="Y473" s="18">
        <f>IF($A473&gt;'1-Input'!$B$26,AA472,(AA472-MAX(0,W451-IF($A473&gt;='1-Input'!$C$12,'1-Input'!$B$12,0))+X473*(1-'P-Parametri'!$B$6*W473))*(1+'1-Input'!$B$27))</f>
        <v>18318.70531348556</v>
      </c>
      <c r="Z473" s="18">
        <f>IF($A473&gt;'1-Input'!$B$26,AB472,(AB472-X473)*(1+$C$4))</f>
        <v>176184.25487703047</v>
      </c>
      <c r="AA473" s="18">
        <f>IF($A473&gt;'1-Input'!$B$26,Y473,Y473-'P-Parametri'!$B$8*(Z473+Y473)+MIN(MAX(Z473,0),'P-Parametri'!$B$8*(Z473+Y473)))</f>
        <v>18318.70531348556</v>
      </c>
      <c r="AB473" s="18">
        <f>IF($A473&gt;'1-Input'!$B$26,Z473,Z473-MIN(MAX(Z473,0),'P-Parametri'!$B$8*(Z473+Y473)))</f>
        <v>175795.24895664945</v>
      </c>
      <c r="AC473" s="18">
        <f>IF($A473&gt;'1-Input'!$B$26,AC472,AC472-X473*(1-W473))</f>
        <v>79593.181210970521</v>
      </c>
      <c r="AD473" s="11">
        <f>IF($A473&gt;'1-Input'!$B$26,0,IF(AI472&lt;=0,0,MAX(0,(AI472-AJ472)/AI472)))</f>
        <v>0.53468751229271938</v>
      </c>
      <c r="AE473" s="18">
        <f>IF($A473&gt;'1-Input'!$B$26,0,(MAX(0,AD451-IF($A473&gt;='1-Input'!$C$12,'1-Input'!$B$12,0))-MIN(MAX(AH472,0),MAX(0,AD451-IF($A473&gt;='1-Input'!$C$12,'1-Input'!$B$12,0))))*(1/(1-'P-Parametri'!$B$6*AD473))+MIN(MAX(0,AI472-(MAX(0,AD451-IF($A473&gt;='1-Input'!$C$12,'1-Input'!$B$12,0))-MIN(MAX(AH472,0),MAX(0,AD451-IF($A473&gt;='1-Input'!$C$12,'1-Input'!$B$12,0))))*(1/(1-'P-Parametri'!$B$6*AD473))),MAX(0,1*AD451-(AH472-MIN(MAX(AH472,0),MAX(0,AD451-IF($A473&gt;='1-Input'!$C$12,'1-Input'!$B$12,0)))))*(1/(1-'P-Parametri'!$B$6*AD473))))</f>
        <v>21418.068690213418</v>
      </c>
      <c r="AF473" s="18">
        <f>IF($A473&gt;'1-Input'!$B$26,AH472,(AH472-MAX(0,AD451-IF($A473&gt;='1-Input'!$C$12,'1-Input'!$B$12,0))+AE473*(1-'P-Parametri'!$B$6*AD473))*(1+'1-Input'!$B$27))</f>
        <v>18308.259750184588</v>
      </c>
      <c r="AG473" s="18">
        <f>IF($A473&gt;'1-Input'!$B$26,AI472,(AI472-AE473)*(1+$C$4))</f>
        <v>176518.92659880748</v>
      </c>
      <c r="AH473" s="18">
        <f>IF($A473&gt;'1-Input'!$B$26,AF473,AF473-'P-Parametri'!$B$8*(AG473+AF473)+MIN(MAX(AG473,0),'P-Parametri'!$B$8*(AG473+AF473)))</f>
        <v>18308.259750184588</v>
      </c>
      <c r="AI473" s="18">
        <f>IF($A473&gt;'1-Input'!$B$26,AG473,AG473-MIN(MAX(AG473,0),'P-Parametri'!$B$8*(AG473+AF473)))</f>
        <v>176129.27222610949</v>
      </c>
      <c r="AJ473" s="18">
        <f>IF($A473&gt;'1-Input'!$B$26,AJ472,AJ472-AE473*(1-AD473))</f>
        <v>79744.136760300942</v>
      </c>
      <c r="AK473" s="11">
        <f>IF($A473&gt;'1-Input'!$B$26,0,IF(AP472&lt;=0,0,MAX(0,(AP472-AQ472)/AP472)))</f>
        <v>0.53468750065315296</v>
      </c>
      <c r="AL473" s="18">
        <f>IF($A473&gt;'1-Input'!$B$26,0,(MAX(0,AK451-IF($A473&gt;='1-Input'!$C$12,'1-Input'!$B$12,0))-MIN(MAX(AO472,0),MAX(0,AK451-IF($A473&gt;='1-Input'!$C$12,'1-Input'!$B$12,0))))*(1/(1-'P-Parametri'!$B$6*AK473))+MIN(MAX(0,AP472-(MAX(0,AK451-IF($A473&gt;='1-Input'!$C$12,'1-Input'!$B$12,0))-MIN(MAX(AO472,0),MAX(0,AK451-IF($A473&gt;='1-Input'!$C$12,'1-Input'!$B$12,0))))*(1/(1-'P-Parametri'!$B$6*AK473))),MAX(0,1*AK451-(AO472-MIN(MAX(AO472,0),MAX(0,AK451-IF($A473&gt;='1-Input'!$C$12,'1-Input'!$B$12,0)))))*(1/(1-'P-Parametri'!$B$6*AK473))))</f>
        <v>21418.171950946769</v>
      </c>
      <c r="AM473" s="18">
        <f>IF($A473&gt;'1-Input'!$B$26,AO472,(AO472-MAX(0,AK451-IF($A473&gt;='1-Input'!$C$12,'1-Input'!$B$12,0))+AL473*(1-'P-Parametri'!$B$6*AK473))*(1+'1-Input'!$B$27))</f>
        <v>18308.348082268236</v>
      </c>
      <c r="AN473" s="18">
        <f>IF($A473&gt;'1-Input'!$B$26,AP472,(AP472-AL473)*(1+$C$4))</f>
        <v>176516.09647305004</v>
      </c>
      <c r="AO473" s="18">
        <f>IF($A473&gt;'1-Input'!$B$26,AM473,AM473-'P-Parametri'!$B$8*(AN473+AM473)+MIN(MAX(AN473,0),'P-Parametri'!$B$8*(AN473+AM473)))</f>
        <v>18308.348082268236</v>
      </c>
      <c r="AP473" s="18">
        <f>IF($A473&gt;'1-Input'!$B$26,AN473,AN473-MIN(MAX(AN473,0),'P-Parametri'!$B$8*(AN473+AM473)))</f>
        <v>176126.44758393941</v>
      </c>
      <c r="AQ473" s="18">
        <f>IF($A473&gt;'1-Input'!$B$26,AQ472,AQ472-AL473*(1-AK473))</f>
        <v>79742.860218275804</v>
      </c>
    </row>
    <row r="474" spans="1:43">
      <c r="A474" s="10">
        <f>21</f>
        <v>21</v>
      </c>
      <c r="B474" s="11">
        <f>IF($A474&gt;'1-Input'!$B$26,0,IF(G473&lt;=0,0,MAX(0,(G473-H473)/G473)))</f>
        <v>0.54745981769067953</v>
      </c>
      <c r="C474" s="18">
        <f>IF($A474&gt;'1-Input'!$B$26,0,(MAX(0,B451-IF($A474&gt;='1-Input'!$C$12,'1-Input'!$B$12,0))-MIN(MAX(F473,0),MAX(0,B451-IF($A474&gt;='1-Input'!$C$12,'1-Input'!$B$12,0))))*(1/(1-'P-Parametri'!$B$6*B474))+MIN(MAX(0,G473-(MAX(0,B451-IF($A474&gt;='1-Input'!$C$12,'1-Input'!$B$12,0))-MIN(MAX(F473,0),MAX(0,B451-IF($A474&gt;='1-Input'!$C$12,'1-Input'!$B$12,0))))*(1/(1-'P-Parametri'!$B$6*B474))),MAX(0,1*B451-(F473-MIN(MAX(F473,0),MAX(0,B451-IF($A474&gt;='1-Input'!$C$12,'1-Input'!$B$12,0)))))*(1/(1-'P-Parametri'!$B$6*B474))))</f>
        <v>19519.504676356366</v>
      </c>
      <c r="D474" s="18">
        <f>IF($A474&gt;'1-Input'!$B$26,F473,(F473-MAX(0,B451-IF($A474&gt;='1-Input'!$C$12,'1-Input'!$B$12,0))+C474*(1-'P-Parametri'!$B$6*B474))*(1+'1-Input'!$B$27))</f>
        <v>16621.00351549315</v>
      </c>
      <c r="E474" s="18">
        <f>IF($A474&gt;'1-Input'!$B$26,G473,(G473-C474)*(1+$C$4))</f>
        <v>216883.00101962639</v>
      </c>
      <c r="F474" s="18">
        <f>IF($A474&gt;'1-Input'!$B$26,D474,D474-'P-Parametri'!$B$8*(E474+D474)+MIN(MAX(E474,0),'P-Parametri'!$B$8*(E474+D474)))</f>
        <v>16621.00351549315</v>
      </c>
      <c r="G474" s="18">
        <f>IF($A474&gt;'1-Input'!$B$26,E474,E474-MIN(MAX(E474,0),'P-Parametri'!$B$8*(E474+D474)))</f>
        <v>216415.99301055615</v>
      </c>
      <c r="H474" s="18">
        <f>IF($A474&gt;'1-Input'!$B$26,H473,H473-C474*(1-B474))</f>
        <v>95289.585263314817</v>
      </c>
      <c r="I474" s="11">
        <f>IF($A474&gt;'1-Input'!$B$26,0,IF(N473&lt;=0,0,MAX(0,(N473-O473)/N473)))</f>
        <v>0.54632134926461628</v>
      </c>
      <c r="J474" s="18">
        <f>IF($A474&gt;'1-Input'!$B$26,0,(MAX(0,I451-IF($A474&gt;='1-Input'!$C$12,'1-Input'!$B$12,0))-MIN(MAX(M473,0),MAX(0,I451-IF($A474&gt;='1-Input'!$C$12,'1-Input'!$B$12,0))))*(1/(1-'P-Parametri'!$B$6*I474))+MIN(MAX(0,N473-(MAX(0,I451-IF($A474&gt;='1-Input'!$C$12,'1-Input'!$B$12,0))-MIN(MAX(M473,0),MAX(0,I451-IF($A474&gt;='1-Input'!$C$12,'1-Input'!$B$12,0))))*(1/(1-'P-Parametri'!$B$6*I474))),MAX(0,1*I451-(M473-MIN(MAX(M473,0),MAX(0,I451-IF($A474&gt;='1-Input'!$C$12,'1-Input'!$B$12,0)))))*(1/(1-'P-Parametri'!$B$6*I474))))</f>
        <v>25674.697752862561</v>
      </c>
      <c r="K474" s="18">
        <f>IF($A474&gt;'1-Input'!$B$26,M473,(M473-MAX(0,I451-IF($A474&gt;='1-Input'!$C$12,'1-Input'!$B$12,0))+J474*(1-'P-Parametri'!$B$6*I474))*(1+'1-Input'!$B$27))</f>
        <v>21869.741467754146</v>
      </c>
      <c r="L474" s="18">
        <f>IF($A474&gt;'1-Input'!$B$26,N473,(N473-J474)*(1+$C$4))</f>
        <v>37677.183374761902</v>
      </c>
      <c r="M474" s="18">
        <f>IF($A474&gt;'1-Input'!$B$26,K474,K474-'P-Parametri'!$B$8*(L474+K474)+MIN(MAX(L474,0),'P-Parametri'!$B$8*(L474+K474)))</f>
        <v>21869.741467754146</v>
      </c>
      <c r="N474" s="18">
        <f>IF($A474&gt;'1-Input'!$B$26,L474,L474-MIN(MAX(L474,0),'P-Parametri'!$B$8*(L474+K474)))</f>
        <v>37558.089525076874</v>
      </c>
      <c r="O474" s="18">
        <f>IF($A474&gt;'1-Input'!$B$26,O473,O473-J474*(1-I474))</f>
        <v>16595.469628127779</v>
      </c>
      <c r="P474" s="11">
        <f>IF($A474&gt;'1-Input'!$B$26,0,IF(U473&lt;=0,0,MAX(0,(U473-V473)/U473)))</f>
        <v>0.54719954434018059</v>
      </c>
      <c r="Q474" s="18">
        <f>IF($A474&gt;'1-Input'!$B$26,0,(MAX(0,P451-IF($A474&gt;='1-Input'!$C$12,'1-Input'!$B$12,0))-MIN(MAX(T473,0),MAX(0,P451-IF($A474&gt;='1-Input'!$C$12,'1-Input'!$B$12,0))))*(1/(1-'P-Parametri'!$B$6*P474))+MIN(MAX(0,U473-(MAX(0,P451-IF($A474&gt;='1-Input'!$C$12,'1-Input'!$B$12,0))-MIN(MAX(T473,0),MAX(0,P451-IF($A474&gt;='1-Input'!$C$12,'1-Input'!$B$12,0))))*(1/(1-'P-Parametri'!$B$6*P474))),MAX(0,1*P451-(T473-MIN(MAX(T473,0),MAX(0,P451-IF($A474&gt;='1-Input'!$C$12,'1-Input'!$B$12,0)))))*(1/(1-'P-Parametri'!$B$6*P474))))</f>
        <v>21813.245992055487</v>
      </c>
      <c r="R474" s="18">
        <f>IF($A474&gt;'1-Input'!$B$26,T473,(T473-MAX(0,P451-IF($A474&gt;='1-Input'!$C$12,'1-Input'!$B$12,0))+Q474*(1-'P-Parametri'!$B$6*P474))*(1+'1-Input'!$B$27))</f>
        <v>18575.606853855934</v>
      </c>
      <c r="S474" s="18">
        <f>IF($A474&gt;'1-Input'!$B$26,U473,(U473-Q474)*(1+$C$4))</f>
        <v>150139.98940479752</v>
      </c>
      <c r="T474" s="18">
        <f>IF($A474&gt;'1-Input'!$B$26,R474,R474-'P-Parametri'!$B$8*(S474+R474)+MIN(MAX(S474,0),'P-Parametri'!$B$8*(S474+R474)))</f>
        <v>18575.606853855934</v>
      </c>
      <c r="U474" s="18">
        <f>IF($A474&gt;'1-Input'!$B$26,S474,S474-MIN(MAX(S474,0),'P-Parametri'!$B$8*(S474+R474)))</f>
        <v>149802.55821228022</v>
      </c>
      <c r="V474" s="18">
        <f>IF($A474&gt;'1-Input'!$B$26,V473,V473-Q474*(1-P474))</f>
        <v>66003.354966264829</v>
      </c>
      <c r="W474" s="11">
        <f>IF($A474&gt;'1-Input'!$B$26,0,IF(AB473&lt;=0,0,MAX(0,(AB473-AC473)/AB473)))</f>
        <v>0.54723929296520435</v>
      </c>
      <c r="X474" s="18">
        <f>IF($A474&gt;'1-Input'!$B$26,0,(MAX(0,W451-IF($A474&gt;='1-Input'!$C$12,'1-Input'!$B$12,0))-MIN(MAX(AA473,0),MAX(0,W451-IF($A474&gt;='1-Input'!$C$12,'1-Input'!$B$12,0))))*(1/(1-'P-Parametri'!$B$6*W474))+MIN(MAX(0,AB473-(MAX(0,W451-IF($A474&gt;='1-Input'!$C$12,'1-Input'!$B$12,0))-MIN(MAX(AA473,0),MAX(0,W451-IF($A474&gt;='1-Input'!$C$12,'1-Input'!$B$12,0))))*(1/(1-'P-Parametri'!$B$6*W474))),MAX(0,1*W451-(AA473-MIN(MAX(AA473,0),MAX(0,W451-IF($A474&gt;='1-Input'!$C$12,'1-Input'!$B$12,0)))))*(1/(1-'P-Parametri'!$B$6*W474))))</f>
        <v>21511.826938862716</v>
      </c>
      <c r="Y474" s="18">
        <f>IF($A474&gt;'1-Input'!$B$26,AA473,(AA473-MAX(0,W451-IF($A474&gt;='1-Input'!$C$12,'1-Input'!$B$12,0))+X474*(1-'P-Parametri'!$B$6*W474))*(1+'1-Input'!$B$27))</f>
        <v>18318.705313485556</v>
      </c>
      <c r="Z474" s="18">
        <f>IF($A474&gt;'1-Input'!$B$26,AB473,(AB473-X474)*(1+$C$4))</f>
        <v>158911.92467832036</v>
      </c>
      <c r="AA474" s="18">
        <f>IF($A474&gt;'1-Input'!$B$26,Y474,Y474-'P-Parametri'!$B$8*(Z474+Y474)+MIN(MAX(Z474,0),'P-Parametri'!$B$8*(Z474+Y474)))</f>
        <v>18318.705313485556</v>
      </c>
      <c r="AB474" s="18">
        <f>IF($A474&gt;'1-Input'!$B$26,Z474,Z474-MIN(MAX(Z474,0),'P-Parametri'!$B$8*(Z474+Y474)))</f>
        <v>158557.46341833673</v>
      </c>
      <c r="AC474" s="18">
        <f>IF($A474&gt;'1-Input'!$B$26,AC473,AC473-X474*(1-W474))</f>
        <v>69853.471236520869</v>
      </c>
      <c r="AD474" s="11">
        <f>IF($A474&gt;'1-Input'!$B$26,0,IF(AI473&lt;=0,0,MAX(0,(AI473-AJ473)/AI473)))</f>
        <v>0.54724086602749478</v>
      </c>
      <c r="AE474" s="18">
        <f>IF($A474&gt;'1-Input'!$B$26,0,(MAX(0,AD451-IF($A474&gt;='1-Input'!$C$12,'1-Input'!$B$12,0))-MIN(MAX(AH473,0),MAX(0,AD451-IF($A474&gt;='1-Input'!$C$12,'1-Input'!$B$12,0))))*(1/(1-'P-Parametri'!$B$6*AD474))+MIN(MAX(0,AI473-(MAX(0,AD451-IF($A474&gt;='1-Input'!$C$12,'1-Input'!$B$12,0))-MIN(MAX(AH473,0),MAX(0,AD451-IF($A474&gt;='1-Input'!$C$12,'1-Input'!$B$12,0))))*(1/(1-'P-Parametri'!$B$6*AD474))),MAX(0,1*AD451-(AH473-MIN(MAX(AH473,0),MAX(0,AD451-IF($A474&gt;='1-Input'!$C$12,'1-Input'!$B$12,0)))))*(1/(1-'P-Parametri'!$B$6*AD474))))</f>
        <v>21499.570868113744</v>
      </c>
      <c r="AF474" s="18">
        <f>IF($A474&gt;'1-Input'!$B$26,AH473,(AH473-MAX(0,AD451-IF($A474&gt;='1-Input'!$C$12,'1-Input'!$B$12,0))+AE474*(1-'P-Parametri'!$B$6*AD474))*(1+'1-Input'!$B$27))</f>
        <v>18308.259750184585</v>
      </c>
      <c r="AG474" s="18">
        <f>IF($A474&gt;'1-Input'!$B$26,AI473,(AI473-AE474)*(1+$C$4))</f>
        <v>159268.59239873561</v>
      </c>
      <c r="AH474" s="18">
        <f>IF($A474&gt;'1-Input'!$B$26,AF474,AF474-'P-Parametri'!$B$8*(AG474+AF474)+MIN(MAX(AG474,0),'P-Parametri'!$B$8*(AG474+AF474)))</f>
        <v>18308.259750184585</v>
      </c>
      <c r="AI474" s="18">
        <f>IF($A474&gt;'1-Input'!$B$26,AG474,AG474-MIN(MAX(AG474,0),'P-Parametri'!$B$8*(AG474+AF474)))</f>
        <v>158913.43869443776</v>
      </c>
      <c r="AJ474" s="18">
        <f>IF($A474&gt;'1-Input'!$B$26,AJ473,AJ473-AE474*(1-AD474))</f>
        <v>70010.009673273264</v>
      </c>
      <c r="AK474" s="11">
        <f>IF($A474&gt;'1-Input'!$B$26,0,IF(AP473&lt;=0,0,MAX(0,(AP473-AQ473)/AP473)))</f>
        <v>0.54724085273864698</v>
      </c>
      <c r="AL474" s="18">
        <f>IF($A474&gt;'1-Input'!$B$26,0,(MAX(0,AK451-IF($A474&gt;='1-Input'!$C$12,'1-Input'!$B$12,0))-MIN(MAX(AO473,0),MAX(0,AK451-IF($A474&gt;='1-Input'!$C$12,'1-Input'!$B$12,0))))*(1/(1-'P-Parametri'!$B$6*AK474))+MIN(MAX(0,AP473-(MAX(0,AK451-IF($A474&gt;='1-Input'!$C$12,'1-Input'!$B$12,0))-MIN(MAX(AO473,0),MAX(0,AK451-IF($A474&gt;='1-Input'!$C$12,'1-Input'!$B$12,0))))*(1/(1-'P-Parametri'!$B$6*AK474))),MAX(0,1*AK451-(AO473-MIN(MAX(AO473,0),MAX(0,AK451-IF($A474&gt;='1-Input'!$C$12,'1-Input'!$B$12,0)))))*(1/(1-'P-Parametri'!$B$6*AK474))))</f>
        <v>21499.674510748908</v>
      </c>
      <c r="AM474" s="18">
        <f>IF($A474&gt;'1-Input'!$B$26,AO473,(AO473-MAX(0,AK451-IF($A474&gt;='1-Input'!$C$12,'1-Input'!$B$12,0))+AL474*(1-'P-Parametri'!$B$6*AK474))*(1+'1-Input'!$B$27))</f>
        <v>18308.348082268236</v>
      </c>
      <c r="AN474" s="18">
        <f>IF($A474&gt;'1-Input'!$B$26,AP473,(AP473-AL474)*(1+$C$4))</f>
        <v>159265.57626538622</v>
      </c>
      <c r="AO474" s="18">
        <f>IF($A474&gt;'1-Input'!$B$26,AM474,AM474-'P-Parametri'!$B$8*(AN474+AM474)+MIN(MAX(AN474,0),'P-Parametri'!$B$8*(AN474+AM474)))</f>
        <v>18308.348082268236</v>
      </c>
      <c r="AP474" s="18">
        <f>IF($A474&gt;'1-Input'!$B$26,AN474,AN474-MIN(MAX(AN474,0),'P-Parametri'!$B$8*(AN474+AM474)))</f>
        <v>158910.42841669091</v>
      </c>
      <c r="AQ474" s="18">
        <f>IF($A474&gt;'1-Input'!$B$26,AQ473,AQ473-AL474*(1-AK474))</f>
        <v>70008.685920392483</v>
      </c>
    </row>
    <row r="475" spans="1:43">
      <c r="A475" s="10">
        <f>22</f>
        <v>22</v>
      </c>
      <c r="B475" s="11">
        <f>IF($A475&gt;'1-Input'!$B$26,0,IF(G474&lt;=0,0,MAX(0,(G474-H474)/G474)))</f>
        <v>0.55969249805550714</v>
      </c>
      <c r="C475" s="18">
        <f>IF($A475&gt;'1-Input'!$B$26,0,(MAX(0,B451-IF($A475&gt;='1-Input'!$C$12,'1-Input'!$B$12,0))-MIN(MAX(F474,0),MAX(0,B451-IF($A475&gt;='1-Input'!$C$12,'1-Input'!$B$12,0))))*(1/(1-'P-Parametri'!$B$6*B475))+MIN(MAX(0,G474-(MAX(0,B451-IF($A475&gt;='1-Input'!$C$12,'1-Input'!$B$12,0))-MIN(MAX(F474,0),MAX(0,B451-IF($A475&gt;='1-Input'!$C$12,'1-Input'!$B$12,0))))*(1/(1-'P-Parametri'!$B$6*B475))),MAX(0,1*B451-(F474-MIN(MAX(F474,0),MAX(0,B451-IF($A475&gt;='1-Input'!$C$12,'1-Input'!$B$12,0)))))*(1/(1-'P-Parametri'!$B$6*B475))))</f>
        <v>19592.159071553735</v>
      </c>
      <c r="D475" s="18">
        <f>IF($A475&gt;'1-Input'!$B$26,F474,(F474-MAX(0,B451-IF($A475&gt;='1-Input'!$C$12,'1-Input'!$B$12,0))+C475*(1-'P-Parametri'!$B$6*B475))*(1+'1-Input'!$B$27))</f>
        <v>16621.00351549315</v>
      </c>
      <c r="E475" s="18">
        <f>IF($A475&gt;'1-Input'!$B$26,G474,(G474-C475)*(1+$C$4))</f>
        <v>202728.54895717249</v>
      </c>
      <c r="F475" s="18">
        <f>IF($A475&gt;'1-Input'!$B$26,D475,D475-'P-Parametri'!$B$8*(E475+D475)+MIN(MAX(E475,0),'P-Parametri'!$B$8*(E475+D475)))</f>
        <v>16621.00351549315</v>
      </c>
      <c r="G475" s="18">
        <f>IF($A475&gt;'1-Input'!$B$26,E475,E475-MIN(MAX(E475,0),'P-Parametri'!$B$8*(E475+D475)))</f>
        <v>202289.84985222717</v>
      </c>
      <c r="H475" s="18">
        <f>IF($A475&gt;'1-Input'!$B$26,H474,H474-C475*(1-B475))</f>
        <v>86663.010644819849</v>
      </c>
      <c r="I475" s="11">
        <f>IF($A475&gt;'1-Input'!$B$26,0,IF(N474&lt;=0,0,MAX(0,(N474-O474)/N474)))</f>
        <v>0.55813861040383117</v>
      </c>
      <c r="J475" s="18">
        <f>IF($A475&gt;'1-Input'!$B$26,0,(MAX(0,I451-IF($A475&gt;='1-Input'!$C$12,'1-Input'!$B$12,0))-MIN(MAX(M474,0),MAX(0,I451-IF($A475&gt;='1-Input'!$C$12,'1-Input'!$B$12,0))))*(1/(1-'P-Parametri'!$B$6*I475))+MIN(MAX(0,N474-(MAX(0,I451-IF($A475&gt;='1-Input'!$C$12,'1-Input'!$B$12,0))-MIN(MAX(M474,0),MAX(0,I451-IF($A475&gt;='1-Input'!$C$12,'1-Input'!$B$12,0))))*(1/(1-'P-Parametri'!$B$6*I475))),MAX(0,1*I451-(M474-MIN(MAX(M474,0),MAX(0,I451-IF($A475&gt;='1-Input'!$C$12,'1-Input'!$B$12,0)))))*(1/(1-'P-Parametri'!$B$6*I475))))</f>
        <v>25766.973665917078</v>
      </c>
      <c r="K475" s="18">
        <f>IF($A475&gt;'1-Input'!$B$26,M474,(M474-MAX(0,I451-IF($A475&gt;='1-Input'!$C$12,'1-Input'!$B$12,0))+J475*(1-'P-Parametri'!$B$6*I475))*(1+'1-Input'!$B$27))</f>
        <v>21869.741467754149</v>
      </c>
      <c r="L475" s="18">
        <f>IF($A475&gt;'1-Input'!$B$26,N474,(N474-J475)*(1+$C$4))</f>
        <v>12144.84933493459</v>
      </c>
      <c r="M475" s="18">
        <f>IF($A475&gt;'1-Input'!$B$26,K475,K475-'P-Parametri'!$B$8*(L475+K475)+MIN(MAX(L475,0),'P-Parametri'!$B$8*(L475+K475)))</f>
        <v>21869.741467754149</v>
      </c>
      <c r="N475" s="18">
        <f>IF($A475&gt;'1-Input'!$B$26,L475,L475-MIN(MAX(L475,0),'P-Parametri'!$B$8*(L475+K475)))</f>
        <v>12076.820153329212</v>
      </c>
      <c r="O475" s="18">
        <f>IF($A475&gt;'1-Input'!$B$26,O474,O474-J475*(1-I475))</f>
        <v>5210.0388384177713</v>
      </c>
      <c r="P475" s="11">
        <f>IF($A475&gt;'1-Input'!$B$26,0,IF(U474&lt;=0,0,MAX(0,(U474-V474)/U474)))</f>
        <v>0.55939767815758079</v>
      </c>
      <c r="Q475" s="18">
        <f>IF($A475&gt;'1-Input'!$B$26,0,(MAX(0,P451-IF($A475&gt;='1-Input'!$C$12,'1-Input'!$B$12,0))-MIN(MAX(T474,0),MAX(0,P451-IF($A475&gt;='1-Input'!$C$12,'1-Input'!$B$12,0))))*(1/(1-'P-Parametri'!$B$6*P475))+MIN(MAX(0,U474-(MAX(0,P451-IF($A475&gt;='1-Input'!$C$12,'1-Input'!$B$12,0))-MIN(MAX(T474,0),MAX(0,P451-IF($A475&gt;='1-Input'!$C$12,'1-Input'!$B$12,0))))*(1/(1-'P-Parametri'!$B$6*P475))),MAX(0,1*P451-(T474-MIN(MAX(T474,0),MAX(0,P451-IF($A475&gt;='1-Input'!$C$12,'1-Input'!$B$12,0)))))*(1/(1-'P-Parametri'!$B$6*P475))))</f>
        <v>21894.201463043519</v>
      </c>
      <c r="R475" s="18">
        <f>IF($A475&gt;'1-Input'!$B$26,T474,(T474-MAX(0,P451-IF($A475&gt;='1-Input'!$C$12,'1-Input'!$B$12,0))+Q475*(1-'P-Parametri'!$B$6*P475))*(1+'1-Input'!$B$27))</f>
        <v>18575.60685385593</v>
      </c>
      <c r="S475" s="18">
        <f>IF($A475&gt;'1-Input'!$B$26,U474,(U474-Q475)*(1+$C$4))</f>
        <v>131745.60745171382</v>
      </c>
      <c r="T475" s="18">
        <f>IF($A475&gt;'1-Input'!$B$26,R475,R475-'P-Parametri'!$B$8*(S475+R475)+MIN(MAX(S475,0),'P-Parametri'!$B$8*(S475+R475)))</f>
        <v>18575.60685385593</v>
      </c>
      <c r="U475" s="18">
        <f>IF($A475&gt;'1-Input'!$B$26,S475,S475-MIN(MAX(S475,0),'P-Parametri'!$B$8*(S475+R475)))</f>
        <v>131444.96502310268</v>
      </c>
      <c r="V475" s="18">
        <f>IF($A475&gt;'1-Input'!$B$26,V474,V474-Q475*(1-P475))</f>
        <v>56356.718966762164</v>
      </c>
      <c r="W475" s="11">
        <f>IF($A475&gt;'1-Input'!$B$26,0,IF(AB474&lt;=0,0,MAX(0,(AB474-AC474)/AB474)))</f>
        <v>0.5594438146867925</v>
      </c>
      <c r="X475" s="18">
        <f>IF($A475&gt;'1-Input'!$B$26,0,(MAX(0,W451-IF($A475&gt;='1-Input'!$C$12,'1-Input'!$B$12,0))-MIN(MAX(AA474,0),MAX(0,W451-IF($A475&gt;='1-Input'!$C$12,'1-Input'!$B$12,0))))*(1/(1-'P-Parametri'!$B$6*W475))+MIN(MAX(0,AB474-(MAX(0,W451-IF($A475&gt;='1-Input'!$C$12,'1-Input'!$B$12,0))-MIN(MAX(AA474,0),MAX(0,W451-IF($A475&gt;='1-Input'!$C$12,'1-Input'!$B$12,0))))*(1/(1-'P-Parametri'!$B$6*W475))),MAX(0,1*W451-(AA474-MIN(MAX(AA474,0),MAX(0,W451-IF($A475&gt;='1-Input'!$C$12,'1-Input'!$B$12,0)))))*(1/(1-'P-Parametri'!$B$6*W475))))</f>
        <v>21591.706683845649</v>
      </c>
      <c r="Y475" s="18">
        <f>IF($A475&gt;'1-Input'!$B$26,AA474,(AA474-MAX(0,W451-IF($A475&gt;='1-Input'!$C$12,'1-Input'!$B$12,0))+X475*(1-'P-Parametri'!$B$6*W475))*(1+'1-Input'!$B$27))</f>
        <v>18318.705313485563</v>
      </c>
      <c r="Z475" s="18">
        <f>IF($A475&gt;'1-Input'!$B$26,AB474,(AB474-X475)*(1+$C$4))</f>
        <v>141074.72943652584</v>
      </c>
      <c r="AA475" s="18">
        <f>IF($A475&gt;'1-Input'!$B$26,Y475,Y475-'P-Parametri'!$B$8*(Z475+Y475)+MIN(MAX(Z475,0),'P-Parametri'!$B$8*(Z475+Y475)))</f>
        <v>18318.705313485563</v>
      </c>
      <c r="AB475" s="18">
        <f>IF($A475&gt;'1-Input'!$B$26,Z475,Z475-MIN(MAX(Z475,0),'P-Parametri'!$B$8*(Z475+Y475)))</f>
        <v>140755.94256702581</v>
      </c>
      <c r="AC475" s="18">
        <f>IF($A475&gt;'1-Input'!$B$26,AC474,AC474-X475*(1-W475))</f>
        <v>60341.111305484141</v>
      </c>
      <c r="AD475" s="11">
        <f>IF($A475&gt;'1-Input'!$B$26,0,IF(AI474&lt;=0,0,MAX(0,(AI474-AJ474)/AI474)))</f>
        <v>0.5594456312288979</v>
      </c>
      <c r="AE475" s="18">
        <f>IF($A475&gt;'1-Input'!$B$26,0,(MAX(0,AD451-IF($A475&gt;='1-Input'!$C$12,'1-Input'!$B$12,0))-MIN(MAX(AH474,0),MAX(0,AD451-IF($A475&gt;='1-Input'!$C$12,'1-Input'!$B$12,0))))*(1/(1-'P-Parametri'!$B$6*AD475))+MIN(MAX(0,AI474-(MAX(0,AD451-IF($A475&gt;='1-Input'!$C$12,'1-Input'!$B$12,0))-MIN(MAX(AH474,0),MAX(0,AD451-IF($A475&gt;='1-Input'!$C$12,'1-Input'!$B$12,0))))*(1/(1-'P-Parametri'!$B$6*AD475))),MAX(0,1*AD451-(AH474-MIN(MAX(AH474,0),MAX(0,AD451-IF($A475&gt;='1-Input'!$C$12,'1-Input'!$B$12,0)))))*(1/(1-'P-Parametri'!$B$6*AD475))))</f>
        <v>21579.406739513804</v>
      </c>
      <c r="AF475" s="18">
        <f>IF($A475&gt;'1-Input'!$B$26,AH474,(AH474-MAX(0,AD451-IF($A475&gt;='1-Input'!$C$12,'1-Input'!$B$12,0))+AE475*(1-'P-Parametri'!$B$6*AD475))*(1+'1-Input'!$B$27))</f>
        <v>18308.259750184588</v>
      </c>
      <c r="AG475" s="18">
        <f>IF($A475&gt;'1-Input'!$B$26,AI474,(AI474-AE475)*(1+$C$4))</f>
        <v>141454.05291357168</v>
      </c>
      <c r="AH475" s="18">
        <f>IF($A475&gt;'1-Input'!$B$26,AF475,AF475-'P-Parametri'!$B$8*(AG475+AF475)+MIN(MAX(AG475,0),'P-Parametri'!$B$8*(AG475+AF475)))</f>
        <v>18308.259750184588</v>
      </c>
      <c r="AI475" s="18">
        <f>IF($A475&gt;'1-Input'!$B$26,AG475,AG475-MIN(MAX(AG475,0),'P-Parametri'!$B$8*(AG475+AF475)))</f>
        <v>141134.52828824415</v>
      </c>
      <c r="AJ475" s="18">
        <f>IF($A475&gt;'1-Input'!$B$26,AJ474,AJ474-AE475*(1-AD475))</f>
        <v>60503.107758691891</v>
      </c>
      <c r="AK475" s="11">
        <f>IF($A475&gt;'1-Input'!$B$26,0,IF(AP474&lt;=0,0,MAX(0,(AP474-AQ474)/AP474)))</f>
        <v>0.55944561588609232</v>
      </c>
      <c r="AL475" s="18">
        <f>IF($A475&gt;'1-Input'!$B$26,0,(MAX(0,AK451-IF($A475&gt;='1-Input'!$C$12,'1-Input'!$B$12,0))-MIN(MAX(AO474,0),MAX(0,AK451-IF($A475&gt;='1-Input'!$C$12,'1-Input'!$B$12,0))))*(1/(1-'P-Parametri'!$B$6*AK475))+MIN(MAX(0,AP474-(MAX(0,AK451-IF($A475&gt;='1-Input'!$C$12,'1-Input'!$B$12,0))-MIN(MAX(AO474,0),MAX(0,AK451-IF($A475&gt;='1-Input'!$C$12,'1-Input'!$B$12,0))))*(1/(1-'P-Parametri'!$B$6*AK475))),MAX(0,1*AK451-(AO474-MIN(MAX(AO474,0),MAX(0,AK451-IF($A475&gt;='1-Input'!$C$12,'1-Input'!$B$12,0)))))*(1/(1-'P-Parametri'!$B$6*AK475))))</f>
        <v>21579.51075320402</v>
      </c>
      <c r="AM475" s="18">
        <f>IF($A475&gt;'1-Input'!$B$26,AO474,(AO474-MAX(0,AK451-IF($A475&gt;='1-Input'!$C$12,'1-Input'!$B$12,0))+AL475*(1-'P-Parametri'!$B$6*AK475))*(1+'1-Input'!$B$27))</f>
        <v>18308.348082268236</v>
      </c>
      <c r="AN475" s="18">
        <f>IF($A475&gt;'1-Input'!$B$26,AP474,(AP474-AL475)*(1+$C$4))</f>
        <v>141450.84519339149</v>
      </c>
      <c r="AO475" s="18">
        <f>IF($A475&gt;'1-Input'!$B$26,AM475,AM475-'P-Parametri'!$B$8*(AN475+AM475)+MIN(MAX(AN475,0),'P-Parametri'!$B$8*(AN475+AM475)))</f>
        <v>18308.348082268236</v>
      </c>
      <c r="AP475" s="18">
        <f>IF($A475&gt;'1-Input'!$B$26,AN475,AN475-MIN(MAX(AN475,0),'P-Parametri'!$B$8*(AN475+AM475)))</f>
        <v>141131.32680684017</v>
      </c>
      <c r="AQ475" s="18">
        <f>IF($A475&gt;'1-Input'!$B$26,AQ474,AQ474-AL475*(1-AK475))</f>
        <v>60501.737851035236</v>
      </c>
    </row>
    <row r="476" spans="1:43">
      <c r="A476" s="10">
        <f>23</f>
        <v>23</v>
      </c>
      <c r="B476" s="11">
        <f>IF($A476&gt;'1-Input'!$B$26,0,IF(G475&lt;=0,0,MAX(0,(G475-H475)/G475)))</f>
        <v>0.57158992056137659</v>
      </c>
      <c r="C476" s="18">
        <f>IF($A476&gt;'1-Input'!$B$26,0,(MAX(0,B451-IF($A476&gt;='1-Input'!$C$12,'1-Input'!$B$12,0))-MIN(MAX(F475,0),MAX(0,B451-IF($A476&gt;='1-Input'!$C$12,'1-Input'!$B$12,0))))*(1/(1-'P-Parametri'!$B$6*B476))+MIN(MAX(0,G475-(MAX(0,B451-IF($A476&gt;='1-Input'!$C$12,'1-Input'!$B$12,0))-MIN(MAX(F475,0),MAX(0,B451-IF($A476&gt;='1-Input'!$C$12,'1-Input'!$B$12,0))))*(1/(1-'P-Parametri'!$B$6*B476))),MAX(0,1*B451-(F475-MIN(MAX(F475,0),MAX(0,B451-IF($A476&gt;='1-Input'!$C$12,'1-Input'!$B$12,0)))))*(1/(1-'P-Parametri'!$B$6*B476))))</f>
        <v>6623.4387256713599</v>
      </c>
      <c r="D476" s="18">
        <f>IF($A476&gt;'1-Input'!$B$26,F475,(F475-MAX(0,B451-IF($A476&gt;='1-Input'!$C$12,'1-Input'!$B$12,0))+C476*(1-'P-Parametri'!$B$6*B476))*(1+'1-Input'!$B$27))</f>
        <v>16621.00351549315</v>
      </c>
      <c r="E476" s="18">
        <f>IF($A476&gt;'1-Input'!$B$26,G475,(G475-C476)*(1+$C$4))</f>
        <v>201536.40346035251</v>
      </c>
      <c r="F476" s="18">
        <f>IF($A476&gt;'1-Input'!$B$26,D476,D476-'P-Parametri'!$B$8*(E476+D476)+MIN(MAX(E476,0),'P-Parametri'!$B$8*(E476+D476)))</f>
        <v>16621.00351549315</v>
      </c>
      <c r="G476" s="18">
        <f>IF($A476&gt;'1-Input'!$B$26,E476,E476-MIN(MAX(E476,0),'P-Parametri'!$B$8*(E476+D476)))</f>
        <v>201100.08864640081</v>
      </c>
      <c r="H476" s="18">
        <f>IF($A476&gt;'1-Input'!$B$26,H475,H475-C476*(1-B476))</f>
        <v>83825.462734198125</v>
      </c>
      <c r="I476" s="11">
        <f>IF($A476&gt;'1-Input'!$B$26,0,IF(N475&lt;=0,0,MAX(0,(N475-O475)/N475)))</f>
        <v>0.56859183358944676</v>
      </c>
      <c r="J476" s="18">
        <f>IF($A476&gt;'1-Input'!$B$26,0,(MAX(0,I451-IF($A476&gt;='1-Input'!$C$12,'1-Input'!$B$12,0))-MIN(MAX(M475,0),MAX(0,I451-IF($A476&gt;='1-Input'!$C$12,'1-Input'!$B$12,0))))*(1/(1-'P-Parametri'!$B$6*I476))+MIN(MAX(0,N475-(MAX(0,I451-IF($A476&gt;='1-Input'!$C$12,'1-Input'!$B$12,0))-MIN(MAX(M475,0),MAX(0,I451-IF($A476&gt;='1-Input'!$C$12,'1-Input'!$B$12,0))))*(1/(1-'P-Parametri'!$B$6*I476))),MAX(0,1*I451-(M475-MIN(MAX(M475,0),MAX(0,I451-IF($A476&gt;='1-Input'!$C$12,'1-Input'!$B$12,0)))))*(1/(1-'P-Parametri'!$B$6*I476))))</f>
        <v>12076.820153329212</v>
      </c>
      <c r="K476" s="18">
        <f>IF($A476&gt;'1-Input'!$B$26,M475,(M475-MAX(0,I451-IF($A476&gt;='1-Input'!$C$12,'1-Input'!$B$12,0))+J476*(1-'P-Parametri'!$B$6*I476))*(1+'1-Input'!$B$27))</f>
        <v>21237.709496927098</v>
      </c>
      <c r="L476" s="18">
        <f>IF($A476&gt;'1-Input'!$B$26,N475,(N475-J476)*(1+$C$4))</f>
        <v>0</v>
      </c>
      <c r="M476" s="18">
        <f>IF($A476&gt;'1-Input'!$B$26,K476,K476-'P-Parametri'!$B$8*(L476+K476)+MIN(MAX(L476,0),'P-Parametri'!$B$8*(L476+K476)))</f>
        <v>21195.234077933244</v>
      </c>
      <c r="N476" s="18">
        <f>IF($A476&gt;'1-Input'!$B$26,L476,L476-MIN(MAX(L476,0),'P-Parametri'!$B$8*(L476+K476)))</f>
        <v>0</v>
      </c>
      <c r="O476" s="18">
        <f>IF($A476&gt;'1-Input'!$B$26,O475,O475-J476*(1-I476))</f>
        <v>-9.0949470177292824E-13</v>
      </c>
      <c r="P476" s="11">
        <f>IF($A476&gt;'1-Input'!$B$26,0,IF(U475&lt;=0,0,MAX(0,(U475-V475)/U475)))</f>
        <v>0.57125235678021646</v>
      </c>
      <c r="Q476" s="18">
        <f>IF($A476&gt;'1-Input'!$B$26,0,(MAX(0,P451-IF($A476&gt;='1-Input'!$C$12,'1-Input'!$B$12,0))-MIN(MAX(T475,0),MAX(0,P451-IF($A476&gt;='1-Input'!$C$12,'1-Input'!$B$12,0))))*(1/(1-'P-Parametri'!$B$6*P476))+MIN(MAX(0,U475-(MAX(0,P451-IF($A476&gt;='1-Input'!$C$12,'1-Input'!$B$12,0))-MIN(MAX(T475,0),MAX(0,P451-IF($A476&gt;='1-Input'!$C$12,'1-Input'!$B$12,0))))*(1/(1-'P-Parametri'!$B$6*P476))),MAX(0,1*P451-(T475-MIN(MAX(T475,0),MAX(0,P451-IF($A476&gt;='1-Input'!$C$12,'1-Input'!$B$12,0)))))*(1/(1-'P-Parametri'!$B$6*P476))))</f>
        <v>8934.8952317975582</v>
      </c>
      <c r="R476" s="18">
        <f>IF($A476&gt;'1-Input'!$B$26,T475,(T475-MAX(0,P451-IF($A476&gt;='1-Input'!$C$12,'1-Input'!$B$12,0))+Q476*(1-'P-Parametri'!$B$6*P476))*(1+'1-Input'!$B$27))</f>
        <v>18575.606853855934</v>
      </c>
      <c r="S476" s="18">
        <f>IF($A476&gt;'1-Input'!$B$26,U475,(U475-Q476)*(1+$C$4))</f>
        <v>126185.37188504427</v>
      </c>
      <c r="T476" s="18">
        <f>IF($A476&gt;'1-Input'!$B$26,R476,R476-'P-Parametri'!$B$8*(S476+R476)+MIN(MAX(S476,0),'P-Parametri'!$B$8*(S476+R476)))</f>
        <v>18575.606853855934</v>
      </c>
      <c r="U476" s="18">
        <f>IF($A476&gt;'1-Input'!$B$26,S476,S476-MIN(MAX(S476,0),'P-Parametri'!$B$8*(S476+R476)))</f>
        <v>125895.84992756647</v>
      </c>
      <c r="V476" s="18">
        <f>IF($A476&gt;'1-Input'!$B$26,V475,V475-Q476*(1-P476))</f>
        <v>52525.903693713277</v>
      </c>
      <c r="W476" s="11">
        <f>IF($A476&gt;'1-Input'!$B$26,0,IF(AB475&lt;=0,0,MAX(0,(AB475-AC475)/AB475)))</f>
        <v>0.57130682935997079</v>
      </c>
      <c r="X476" s="18">
        <f>IF($A476&gt;'1-Input'!$B$26,0,(MAX(0,W451-IF($A476&gt;='1-Input'!$C$12,'1-Input'!$B$12,0))-MIN(MAX(AA475,0),MAX(0,W451-IF($A476&gt;='1-Input'!$C$12,'1-Input'!$B$12,0))))*(1/(1-'P-Parametri'!$B$6*W476))+MIN(MAX(0,AB475-(MAX(0,W451-IF($A476&gt;='1-Input'!$C$12,'1-Input'!$B$12,0))-MIN(MAX(AA475,0),MAX(0,W451-IF($A476&gt;='1-Input'!$C$12,'1-Input'!$B$12,0))))*(1/(1-'P-Parametri'!$B$6*W476))),MAX(0,1*W451-(AA475-MIN(MAX(AA475,0),MAX(0,W451-IF($A476&gt;='1-Input'!$C$12,'1-Input'!$B$12,0)))))*(1/(1-'P-Parametri'!$B$6*W476))))</f>
        <v>8631.1448471758576</v>
      </c>
      <c r="Y476" s="18">
        <f>IF($A476&gt;'1-Input'!$B$26,AA475,(AA475-MAX(0,W451-IF($A476&gt;='1-Input'!$C$12,'1-Input'!$B$12,0))+X476*(1-'P-Parametri'!$B$6*W476))*(1+'1-Input'!$B$27))</f>
        <v>18318.70531348556</v>
      </c>
      <c r="Z476" s="18">
        <f>IF($A476&gt;'1-Input'!$B$26,AB475,(AB475-X476)*(1+$C$4))</f>
        <v>136088.54165144544</v>
      </c>
      <c r="AA476" s="18">
        <f>IF($A476&gt;'1-Input'!$B$26,Y476,Y476-'P-Parametri'!$B$8*(Z476+Y476)+MIN(MAX(Z476,0),'P-Parametri'!$B$8*(Z476+Y476)))</f>
        <v>18318.70531348556</v>
      </c>
      <c r="AB476" s="18">
        <f>IF($A476&gt;'1-Input'!$B$26,Z476,Z476-MIN(MAX(Z476,0),'P-Parametri'!$B$8*(Z476+Y476)))</f>
        <v>135779.72715751559</v>
      </c>
      <c r="AC476" s="18">
        <f>IF($A476&gt;'1-Input'!$B$26,AC475,AC475-X476*(1-W476))</f>
        <v>56640.998454694971</v>
      </c>
      <c r="AD476" s="11">
        <f>IF($A476&gt;'1-Input'!$B$26,0,IF(AI475&lt;=0,0,MAX(0,(AI475-AJ475)/AI475)))</f>
        <v>0.57130895966772777</v>
      </c>
      <c r="AE476" s="18">
        <f>IF($A476&gt;'1-Input'!$B$26,0,(MAX(0,AD451-IF($A476&gt;='1-Input'!$C$12,'1-Input'!$B$12,0))-MIN(MAX(AH475,0),MAX(0,AD451-IF($A476&gt;='1-Input'!$C$12,'1-Input'!$B$12,0))))*(1/(1-'P-Parametri'!$B$6*AD476))+MIN(MAX(0,AI475-(MAX(0,AD451-IF($A476&gt;='1-Input'!$C$12,'1-Input'!$B$12,0))-MIN(MAX(AH475,0),MAX(0,AD451-IF($A476&gt;='1-Input'!$C$12,'1-Input'!$B$12,0))))*(1/(1-'P-Parametri'!$B$6*AD476))),MAX(0,1*AD451-(AH475-MIN(MAX(AH475,0),MAX(0,AD451-IF($A476&gt;='1-Input'!$C$12,'1-Input'!$B$12,0)))))*(1/(1-'P-Parametri'!$B$6*AD476))))</f>
        <v>8618.7939833242708</v>
      </c>
      <c r="AF476" s="18">
        <f>IF($A476&gt;'1-Input'!$B$26,AH475,(AH475-MAX(0,AD451-IF($A476&gt;='1-Input'!$C$12,'1-Input'!$B$12,0))+AE476*(1-'P-Parametri'!$B$6*AD476))*(1+'1-Input'!$B$27))</f>
        <v>18308.259750184588</v>
      </c>
      <c r="AG476" s="18">
        <f>IF($A476&gt;'1-Input'!$B$26,AI475,(AI475-AE476)*(1+$C$4))</f>
        <v>136491.20633406751</v>
      </c>
      <c r="AH476" s="18">
        <f>IF($A476&gt;'1-Input'!$B$26,AF476,AF476-'P-Parametri'!$B$8*(AG476+AF476)+MIN(MAX(AG476,0),'P-Parametri'!$B$8*(AG476+AF476)))</f>
        <v>18308.259750184588</v>
      </c>
      <c r="AI476" s="18">
        <f>IF($A476&gt;'1-Input'!$B$26,AG476,AG476-MIN(MAX(AG476,0),'P-Parametri'!$B$8*(AG476+AF476)))</f>
        <v>136181.607401899</v>
      </c>
      <c r="AJ476" s="18">
        <f>IF($A476&gt;'1-Input'!$B$26,AJ475,AJ475-AE476*(1-AD476))</f>
        <v>56808.30799957108</v>
      </c>
      <c r="AK476" s="11">
        <f>IF($A476&gt;'1-Input'!$B$26,0,IF(AP475&lt;=0,0,MAX(0,(AP475-AQ475)/AP475)))</f>
        <v>0.57130894167925506</v>
      </c>
      <c r="AL476" s="18">
        <f>IF($A476&gt;'1-Input'!$B$26,0,(MAX(0,AK451-IF($A476&gt;='1-Input'!$C$12,'1-Input'!$B$12,0))-MIN(MAX(AO475,0),MAX(0,AK451-IF($A476&gt;='1-Input'!$C$12,'1-Input'!$B$12,0))))*(1/(1-'P-Parametri'!$B$6*AK476))+MIN(MAX(0,AP475-(MAX(0,AK451-IF($A476&gt;='1-Input'!$C$12,'1-Input'!$B$12,0))-MIN(MAX(AO475,0),MAX(0,AK451-IF($A476&gt;='1-Input'!$C$12,'1-Input'!$B$12,0))))*(1/(1-'P-Parametri'!$B$6*AK476))),MAX(0,1*AK451-(AO475-MIN(MAX(AO475,0),MAX(0,AK451-IF($A476&gt;='1-Input'!$C$12,'1-Input'!$B$12,0)))))*(1/(1-'P-Parametri'!$B$6*AK476))))</f>
        <v>8618.8984275686144</v>
      </c>
      <c r="AM476" s="18">
        <f>IF($A476&gt;'1-Input'!$B$26,AO475,(AO475-MAX(0,AK451-IF($A476&gt;='1-Input'!$C$12,'1-Input'!$B$12,0))+AL476*(1-'P-Parametri'!$B$6*AK476))*(1+'1-Input'!$B$27))</f>
        <v>18308.348082268236</v>
      </c>
      <c r="AN476" s="18">
        <f>IF($A476&gt;'1-Input'!$B$26,AP475,(AP475-AL476)*(1+$C$4))</f>
        <v>136487.8012306497</v>
      </c>
      <c r="AO476" s="18">
        <f>IF($A476&gt;'1-Input'!$B$26,AM476,AM476-'P-Parametri'!$B$8*(AN476+AM476)+MIN(MAX(AN476,0),'P-Parametri'!$B$8*(AN476+AM476)))</f>
        <v>18308.348082268236</v>
      </c>
      <c r="AP476" s="18">
        <f>IF($A476&gt;'1-Input'!$B$26,AN476,AN476-MIN(MAX(AN476,0),'P-Parametri'!$B$8*(AN476+AM476)))</f>
        <v>136178.20893202387</v>
      </c>
      <c r="AQ476" s="18">
        <f>IF($A476&gt;'1-Input'!$B$26,AQ475,AQ475-AL476*(1-AK476))</f>
        <v>56806.893162561842</v>
      </c>
    </row>
    <row r="477" spans="1:43">
      <c r="A477" s="10">
        <f>24</f>
        <v>24</v>
      </c>
      <c r="B477" s="11">
        <f>IF($A477&gt;'1-Input'!$B$26,0,IF(G476&lt;=0,0,MAX(0,(G476-H476)/G476)))</f>
        <v>0.58316546104765532</v>
      </c>
      <c r="C477" s="18">
        <f>IF($A477&gt;'1-Input'!$B$26,0,(MAX(0,B451-IF($A477&gt;='1-Input'!$C$12,'1-Input'!$B$12,0))-MIN(MAX(F476,0),MAX(0,B451-IF($A477&gt;='1-Input'!$C$12,'1-Input'!$B$12,0))))*(1/(1-'P-Parametri'!$B$6*B477))+MIN(MAX(0,G476-(MAX(0,B451-IF($A477&gt;='1-Input'!$C$12,'1-Input'!$B$12,0))-MIN(MAX(F476,0),MAX(0,B451-IF($A477&gt;='1-Input'!$C$12,'1-Input'!$B$12,0))))*(1/(1-'P-Parametri'!$B$6*B477))),MAX(0,1*B451-(F476-MIN(MAX(F476,0),MAX(0,B451-IF($A477&gt;='1-Input'!$C$12,'1-Input'!$B$12,0)))))*(1/(1-'P-Parametri'!$B$6*B477))))</f>
        <v>6646.9355555949214</v>
      </c>
      <c r="D477" s="18">
        <f>IF($A477&gt;'1-Input'!$B$26,F476,(F476-MAX(0,B451-IF($A477&gt;='1-Input'!$C$12,'1-Input'!$B$12,0))+C477*(1-'P-Parametri'!$B$6*B477))*(1+'1-Input'!$B$27))</f>
        <v>16621.00351549315</v>
      </c>
      <c r="E477" s="18">
        <f>IF($A477&gt;'1-Input'!$B$26,G476,(G476-C477)*(1+$C$4))</f>
        <v>200286.74768353006</v>
      </c>
      <c r="F477" s="18">
        <f>IF($A477&gt;'1-Input'!$B$26,D477,D477-'P-Parametri'!$B$8*(E477+D477)+MIN(MAX(E477,0),'P-Parametri'!$B$8*(E477+D477)))</f>
        <v>16621.00351549315</v>
      </c>
      <c r="G477" s="18">
        <f>IF($A477&gt;'1-Input'!$B$26,E477,E477-MIN(MAX(E477,0),'P-Parametri'!$B$8*(E477+D477)))</f>
        <v>199852.93218113203</v>
      </c>
      <c r="H477" s="18">
        <f>IF($A477&gt;'1-Input'!$B$26,H476,H476-C477*(1-B477))</f>
        <v>81054.790416435775</v>
      </c>
      <c r="I477" s="11">
        <f>IF($A477&gt;'1-Input'!$B$26,0,IF(N476&lt;=0,0,MAX(0,(N476-O476)/N476)))</f>
        <v>0</v>
      </c>
      <c r="J477" s="18">
        <f>IF($A477&gt;'1-Input'!$B$26,0,(MAX(0,I451-IF($A477&gt;='1-Input'!$C$12,'1-Input'!$B$12,0))-MIN(MAX(M476,0),MAX(0,I451-IF($A477&gt;='1-Input'!$C$12,'1-Input'!$B$12,0))))*(1/(1-'P-Parametri'!$B$6*I477))+MIN(MAX(0,N476-(MAX(0,I451-IF($A477&gt;='1-Input'!$C$12,'1-Input'!$B$12,0))-MIN(MAX(M476,0),MAX(0,I451-IF($A477&gt;='1-Input'!$C$12,'1-Input'!$B$12,0))))*(1/(1-'P-Parametri'!$B$6*I477))),MAX(0,1*I451-(M476-MIN(MAX(M476,0),MAX(0,I451-IF($A477&gt;='1-Input'!$C$12,'1-Input'!$B$12,0)))))*(1/(1-'P-Parametri'!$B$6*I477))))</f>
        <v>0</v>
      </c>
      <c r="K477" s="18">
        <f>IF($A477&gt;'1-Input'!$B$26,M476,(M476-MAX(0,I451-IF($A477&gt;='1-Input'!$C$12,'1-Input'!$B$12,0))+J477*(1-'P-Parametri'!$B$6*I477))*(1+'1-Input'!$B$27))</f>
        <v>10311.222567498537</v>
      </c>
      <c r="L477" s="18">
        <f>IF($A477&gt;'1-Input'!$B$26,N476,(N476-J477)*(1+$C$4))</f>
        <v>0</v>
      </c>
      <c r="M477" s="18">
        <f>IF($A477&gt;'1-Input'!$B$26,K477,K477-'P-Parametri'!$B$8*(L477+K477)+MIN(MAX(L477,0),'P-Parametri'!$B$8*(L477+K477)))</f>
        <v>10290.600122363539</v>
      </c>
      <c r="N477" s="18">
        <f>IF($A477&gt;'1-Input'!$B$26,L477,L477-MIN(MAX(L477,0),'P-Parametri'!$B$8*(L477+K477)))</f>
        <v>0</v>
      </c>
      <c r="O477" s="18">
        <f>IF($A477&gt;'1-Input'!$B$26,O476,O476-J477*(1-I477))</f>
        <v>-9.0949470177292824E-13</v>
      </c>
      <c r="P477" s="11">
        <f>IF($A477&gt;'1-Input'!$B$26,0,IF(U476&lt;=0,0,MAX(0,(U476-V476)/U476)))</f>
        <v>0.58278288185088079</v>
      </c>
      <c r="Q477" s="18">
        <f>IF($A477&gt;'1-Input'!$B$26,0,(MAX(0,P451-IF($A477&gt;='1-Input'!$C$12,'1-Input'!$B$12,0))-MIN(MAX(T476,0),MAX(0,P451-IF($A477&gt;='1-Input'!$C$12,'1-Input'!$B$12,0))))*(1/(1-'P-Parametri'!$B$6*P477))+MIN(MAX(0,U476-(MAX(0,P451-IF($A477&gt;='1-Input'!$C$12,'1-Input'!$B$12,0))-MIN(MAX(T476,0),MAX(0,P451-IF($A477&gt;='1-Input'!$C$12,'1-Input'!$B$12,0))))*(1/(1-'P-Parametri'!$B$6*P477))),MAX(0,1*P451-(T476-MIN(MAX(T476,0),MAX(0,P451-IF($A477&gt;='1-Input'!$C$12,'1-Input'!$B$12,0)))))*(1/(1-'P-Parametri'!$B$6*P477))))</f>
        <v>8966.4650516559013</v>
      </c>
      <c r="R477" s="18">
        <f>IF($A477&gt;'1-Input'!$B$26,T476,(T476-MAX(0,P451-IF($A477&gt;='1-Input'!$C$12,'1-Input'!$B$12,0))+Q477*(1-'P-Parametri'!$B$6*P477))*(1+'1-Input'!$B$27))</f>
        <v>18575.606853855934</v>
      </c>
      <c r="S477" s="18">
        <f>IF($A477&gt;'1-Input'!$B$26,U476,(U476-Q477)*(1+$C$4))</f>
        <v>120437.26642218788</v>
      </c>
      <c r="T477" s="18">
        <f>IF($A477&gt;'1-Input'!$B$26,R477,R477-'P-Parametri'!$B$8*(S477+R477)+MIN(MAX(S477,0),'P-Parametri'!$B$8*(S477+R477)))</f>
        <v>18575.606853855934</v>
      </c>
      <c r="U477" s="18">
        <f>IF($A477&gt;'1-Input'!$B$26,S477,S477-MIN(MAX(S477,0),'P-Parametri'!$B$8*(S477+R477)))</f>
        <v>120159.2406756358</v>
      </c>
      <c r="V477" s="18">
        <f>IF($A477&gt;'1-Input'!$B$26,V476,V476-Q477*(1-P477))</f>
        <v>48784.940984876608</v>
      </c>
      <c r="W477" s="11">
        <f>IF($A477&gt;'1-Input'!$B$26,0,IF(AB476&lt;=0,0,MAX(0,(AB476-AC476)/AB476)))</f>
        <v>0.58284642604277159</v>
      </c>
      <c r="X477" s="18">
        <f>IF($A477&gt;'1-Input'!$B$26,0,(MAX(0,W451-IF($A477&gt;='1-Input'!$C$12,'1-Input'!$B$12,0))-MIN(MAX(AA476,0),MAX(0,W451-IF($A477&gt;='1-Input'!$C$12,'1-Input'!$B$12,0))))*(1/(1-'P-Parametri'!$B$6*W477))+MIN(MAX(0,AB476-(MAX(0,W451-IF($A477&gt;='1-Input'!$C$12,'1-Input'!$B$12,0))-MIN(MAX(AA476,0),MAX(0,W451-IF($A477&gt;='1-Input'!$C$12,'1-Input'!$B$12,0))))*(1/(1-'P-Parametri'!$B$6*W477))),MAX(0,1*W451-(AA476-MIN(MAX(AA476,0),MAX(0,W451-IF($A477&gt;='1-Input'!$C$12,'1-Input'!$B$12,0)))))*(1/(1-'P-Parametri'!$B$6*W477))))</f>
        <v>8661.6660079569247</v>
      </c>
      <c r="Y477" s="18">
        <f>IF($A477&gt;'1-Input'!$B$26,AA476,(AA476-MAX(0,W451-IF($A477&gt;='1-Input'!$C$12,'1-Input'!$B$12,0))+X477*(1-'P-Parametri'!$B$6*W477))*(1+'1-Input'!$B$27))</f>
        <v>18318.70531348556</v>
      </c>
      <c r="Z477" s="18">
        <f>IF($A477&gt;'1-Input'!$B$26,AB476,(AB476-X477)*(1+$C$4))</f>
        <v>130931.60298404543</v>
      </c>
      <c r="AA477" s="18">
        <f>IF($A477&gt;'1-Input'!$B$26,Y477,Y477-'P-Parametri'!$B$8*(Z477+Y477)+MIN(MAX(Z477,0),'P-Parametri'!$B$8*(Z477+Y477)))</f>
        <v>18318.70531348556</v>
      </c>
      <c r="AB477" s="18">
        <f>IF($A477&gt;'1-Input'!$B$26,Z477,Z477-MIN(MAX(Z477,0),'P-Parametri'!$B$8*(Z477+Y477)))</f>
        <v>130633.10236745037</v>
      </c>
      <c r="AC477" s="18">
        <f>IF($A477&gt;'1-Input'!$B$26,AC476,AC476-X477*(1-W477))</f>
        <v>53027.753523051899</v>
      </c>
      <c r="AD477" s="11">
        <f>IF($A477&gt;'1-Input'!$B$26,0,IF(AI476&lt;=0,0,MAX(0,(AI476-AJ476)/AI476)))</f>
        <v>0.58284889506467297</v>
      </c>
      <c r="AE477" s="18">
        <f>IF($A477&gt;'1-Input'!$B$26,0,(MAX(0,AD451-IF($A477&gt;='1-Input'!$C$12,'1-Input'!$B$12,0))-MIN(MAX(AH476,0),MAX(0,AD451-IF($A477&gt;='1-Input'!$C$12,'1-Input'!$B$12,0))))*(1/(1-'P-Parametri'!$B$6*AD477))+MIN(MAX(0,AI476-(MAX(0,AD451-IF($A477&gt;='1-Input'!$C$12,'1-Input'!$B$12,0))-MIN(MAX(AH476,0),MAX(0,AD451-IF($A477&gt;='1-Input'!$C$12,'1-Input'!$B$12,0))))*(1/(1-'P-Parametri'!$B$6*AD477))),MAX(0,1*AD451-(AH476-MIN(MAX(AH476,0),MAX(0,AD451-IF($A477&gt;='1-Input'!$C$12,'1-Input'!$B$12,0)))))*(1/(1-'P-Parametri'!$B$6*AD477))))</f>
        <v>8649.272387046225</v>
      </c>
      <c r="AF477" s="18">
        <f>IF($A477&gt;'1-Input'!$B$26,AH476,(AH476-MAX(0,AD451-IF($A477&gt;='1-Input'!$C$12,'1-Input'!$B$12,0))+AE477*(1-'P-Parametri'!$B$6*AD477))*(1+'1-Input'!$B$27))</f>
        <v>18308.259750184588</v>
      </c>
      <c r="AG477" s="18">
        <f>IF($A477&gt;'1-Input'!$B$26,AI476,(AI476-AE477)*(1+$C$4))</f>
        <v>131358.30506529837</v>
      </c>
      <c r="AH477" s="18">
        <f>IF($A477&gt;'1-Input'!$B$26,AF477,AF477-'P-Parametri'!$B$8*(AG477+AF477)+MIN(MAX(AG477,0),'P-Parametri'!$B$8*(AG477+AF477)))</f>
        <v>18308.259750184588</v>
      </c>
      <c r="AI477" s="18">
        <f>IF($A477&gt;'1-Input'!$B$26,AG477,AG477-MIN(MAX(AG477,0),'P-Parametri'!$B$8*(AG477+AF477)))</f>
        <v>131058.9719356674</v>
      </c>
      <c r="AJ477" s="18">
        <f>IF($A477&gt;'1-Input'!$B$26,AJ476,AJ476-AE477*(1-AD477))</f>
        <v>53200.25446642813</v>
      </c>
      <c r="AK477" s="11">
        <f>IF($A477&gt;'1-Input'!$B$26,0,IF(AP476&lt;=0,0,MAX(0,(AP476-AQ476)/AP476)))</f>
        <v>0.5828488742209984</v>
      </c>
      <c r="AL477" s="18">
        <f>IF($A477&gt;'1-Input'!$B$26,0,(MAX(0,AK451-IF($A477&gt;='1-Input'!$C$12,'1-Input'!$B$12,0))-MIN(MAX(AO476,0),MAX(0,AK451-IF($A477&gt;='1-Input'!$C$12,'1-Input'!$B$12,0))))*(1/(1-'P-Parametri'!$B$6*AK477))+MIN(MAX(0,AP476-(MAX(0,AK451-IF($A477&gt;='1-Input'!$C$12,'1-Input'!$B$12,0))-MIN(MAX(AO476,0),MAX(0,AK451-IF($A477&gt;='1-Input'!$C$12,'1-Input'!$B$12,0))))*(1/(1-'P-Parametri'!$B$6*AK477))),MAX(0,1*AK451-(AO476-MIN(MAX(AO476,0),MAX(0,AK451-IF($A477&gt;='1-Input'!$C$12,'1-Input'!$B$12,0)))))*(1/(1-'P-Parametri'!$B$6*AK477))))</f>
        <v>8649.3771928981605</v>
      </c>
      <c r="AM477" s="18">
        <f>IF($A477&gt;'1-Input'!$B$26,AO476,(AO476-MAX(0,AK451-IF($A477&gt;='1-Input'!$C$12,'1-Input'!$B$12,0))+AL477*(1-'P-Parametri'!$B$6*AK477))*(1+'1-Input'!$B$27))</f>
        <v>18308.348082268236</v>
      </c>
      <c r="AN477" s="18">
        <f>IF($A477&gt;'1-Input'!$B$26,AP476,(AP476-AL477)*(1+$C$4))</f>
        <v>131354.6966912995</v>
      </c>
      <c r="AO477" s="18">
        <f>IF($A477&gt;'1-Input'!$B$26,AM477,AM477-'P-Parametri'!$B$8*(AN477+AM477)+MIN(MAX(AN477,0),'P-Parametri'!$B$8*(AN477+AM477)))</f>
        <v>18308.348082268236</v>
      </c>
      <c r="AP477" s="18">
        <f>IF($A477&gt;'1-Input'!$B$26,AN477,AN477-MIN(MAX(AN477,0),'P-Parametri'!$B$8*(AN477+AM477)))</f>
        <v>131055.37060175237</v>
      </c>
      <c r="AQ477" s="18">
        <f>IF($A477&gt;'1-Input'!$B$26,AQ476,AQ476-AL477*(1-AK477))</f>
        <v>53198.795729257152</v>
      </c>
    </row>
    <row r="478" spans="1:43">
      <c r="A478" s="10">
        <f>25</f>
        <v>25</v>
      </c>
      <c r="B478" s="11">
        <f>IF($A478&gt;'1-Input'!$B$26,0,IF(G477&lt;=0,0,MAX(0,(G477-H477)/G477)))</f>
        <v>0.59442781483449203</v>
      </c>
      <c r="C478" s="18">
        <f>IF($A478&gt;'1-Input'!$B$26,0,(MAX(0,B451-IF($A478&gt;='1-Input'!$C$12,'1-Input'!$B$12,0))-MIN(MAX(F477,0),MAX(0,B451-IF($A478&gt;='1-Input'!$C$12,'1-Input'!$B$12,0))))*(1/(1-'P-Parametri'!$B$6*B478))+MIN(MAX(0,G477-(MAX(0,B451-IF($A478&gt;='1-Input'!$C$12,'1-Input'!$B$12,0))-MIN(MAX(F477,0),MAX(0,B451-IF($A478&gt;='1-Input'!$C$12,'1-Input'!$B$12,0))))*(1/(1-'P-Parametri'!$B$6*B478))),MAX(0,1*B451-(F477-MIN(MAX(F477,0),MAX(0,B451-IF($A478&gt;='1-Input'!$C$12,'1-Input'!$B$12,0)))))*(1/(1-'P-Parametri'!$B$6*B478))))</f>
        <v>6669.9572182763377</v>
      </c>
      <c r="D478" s="18">
        <f>IF($A478&gt;'1-Input'!$B$26,F477,(F477-MAX(0,B451-IF($A478&gt;='1-Input'!$C$12,'1-Input'!$B$12,0))+C478*(1-'P-Parametri'!$B$6*B478))*(1+'1-Input'!$B$27))</f>
        <v>16621.00351549315</v>
      </c>
      <c r="E478" s="18">
        <f>IF($A478&gt;'1-Input'!$B$26,G477,(G477-C478)*(1+$C$4))</f>
        <v>198978.46421174138</v>
      </c>
      <c r="F478" s="18">
        <f>IF($A478&gt;'1-Input'!$B$26,D478,D478-'P-Parametri'!$B$8*(E478+D478)+MIN(MAX(E478,0),'P-Parametri'!$B$8*(E478+D478)))</f>
        <v>16621.00351549315</v>
      </c>
      <c r="G478" s="18">
        <f>IF($A478&gt;'1-Input'!$B$26,E478,E478-MIN(MAX(E478,0),'P-Parametri'!$B$8*(E478+D478)))</f>
        <v>198547.2652762869</v>
      </c>
      <c r="H478" s="18">
        <f>IF($A478&gt;'1-Input'!$B$26,H477,H477-C478*(1-B478))</f>
        <v>78349.641292458982</v>
      </c>
      <c r="I478" s="11">
        <f>IF($A478&gt;'1-Input'!$B$26,0,IF(N477&lt;=0,0,MAX(0,(N477-O477)/N477)))</f>
        <v>0</v>
      </c>
      <c r="J478" s="18">
        <f>IF($A478&gt;'1-Input'!$B$26,0,(MAX(0,I451-IF($A478&gt;='1-Input'!$C$12,'1-Input'!$B$12,0))-MIN(MAX(M477,0),MAX(0,I451-IF($A478&gt;='1-Input'!$C$12,'1-Input'!$B$12,0))))*(1/(1-'P-Parametri'!$B$6*I478))+MIN(MAX(0,N477-(MAX(0,I451-IF($A478&gt;='1-Input'!$C$12,'1-Input'!$B$12,0))-MIN(MAX(M477,0),MAX(0,I451-IF($A478&gt;='1-Input'!$C$12,'1-Input'!$B$12,0))))*(1/(1-'P-Parametri'!$B$6*I478))),MAX(0,1*I451-(M477-MIN(MAX(M477,0),MAX(0,I451-IF($A478&gt;='1-Input'!$C$12,'1-Input'!$B$12,0)))))*(1/(1-'P-Parametri'!$B$6*I478))))</f>
        <v>556.15687056515162</v>
      </c>
      <c r="K478" s="18">
        <f>IF($A478&gt;'1-Input'!$B$26,M477,(M477-MAX(0,I451-IF($A478&gt;='1-Input'!$C$12,'1-Input'!$B$12,0))+J478*(1-'P-Parametri'!$B$6*I478))*(1+'1-Input'!$B$27))</f>
        <v>0</v>
      </c>
      <c r="L478" s="18">
        <f>IF($A478&gt;'1-Input'!$B$26,N477,(N477-J478)*(1+$C$4))</f>
        <v>-572.84157668210617</v>
      </c>
      <c r="M478" s="18">
        <f>IF($A478&gt;'1-Input'!$B$26,K478,K478-'P-Parametri'!$B$8*(L478+K478)+MIN(MAX(L478,0),'P-Parametri'!$B$8*(L478+K478)))</f>
        <v>0</v>
      </c>
      <c r="N478" s="18">
        <f>IF($A478&gt;'1-Input'!$B$26,L478,L478-MIN(MAX(L478,0),'P-Parametri'!$B$8*(L478+K478)))</f>
        <v>-571.69589352874198</v>
      </c>
      <c r="O478" s="18">
        <f>IF($A478&gt;'1-Input'!$B$26,O477,O477-J478*(1-I478))</f>
        <v>-556.15687056515253</v>
      </c>
      <c r="P478" s="11">
        <f>IF($A478&gt;'1-Input'!$B$26,0,IF(U477&lt;=0,0,MAX(0,(U477-V477)/U477)))</f>
        <v>0.59399759260655405</v>
      </c>
      <c r="Q478" s="18">
        <f>IF($A478&gt;'1-Input'!$B$26,0,(MAX(0,P451-IF($A478&gt;='1-Input'!$C$12,'1-Input'!$B$12,0))-MIN(MAX(T477,0),MAX(0,P451-IF($A478&gt;='1-Input'!$C$12,'1-Input'!$B$12,0))))*(1/(1-'P-Parametri'!$B$6*P478))+MIN(MAX(0,U477-(MAX(0,P451-IF($A478&gt;='1-Input'!$C$12,'1-Input'!$B$12,0))-MIN(MAX(T477,0),MAX(0,P451-IF($A478&gt;='1-Input'!$C$12,'1-Input'!$B$12,0))))*(1/(1-'P-Parametri'!$B$6*P478))),MAX(0,1*P451-(T477-MIN(MAX(T477,0),MAX(0,P451-IF($A478&gt;='1-Input'!$C$12,'1-Input'!$B$12,0)))))*(1/(1-'P-Parametri'!$B$6*P478))))</f>
        <v>8997.3849411739684</v>
      </c>
      <c r="R478" s="18">
        <f>IF($A478&gt;'1-Input'!$B$26,T477,(T477-MAX(0,P451-IF($A478&gt;='1-Input'!$C$12,'1-Input'!$B$12,0))+Q478*(1-'P-Parametri'!$B$6*P478))*(1+'1-Input'!$B$27))</f>
        <v>18575.606853855934</v>
      </c>
      <c r="S478" s="18">
        <f>IF($A478&gt;'1-Input'!$B$26,U477,(U477-Q478)*(1+$C$4))</f>
        <v>114496.71140649568</v>
      </c>
      <c r="T478" s="18">
        <f>IF($A478&gt;'1-Input'!$B$26,R478,R478-'P-Parametri'!$B$8*(S478+R478)+MIN(MAX(S478,0),'P-Parametri'!$B$8*(S478+R478)))</f>
        <v>18575.606853855934</v>
      </c>
      <c r="U478" s="18">
        <f>IF($A478&gt;'1-Input'!$B$26,S478,S478-MIN(MAX(S478,0),'P-Parametri'!$B$8*(S478+R478)))</f>
        <v>114230.56676997498</v>
      </c>
      <c r="V478" s="18">
        <f>IF($A478&gt;'1-Input'!$B$26,V477,V477-Q478*(1-P478))</f>
        <v>45131.981038514437</v>
      </c>
      <c r="W478" s="11">
        <f>IF($A478&gt;'1-Input'!$B$26,0,IF(AB477&lt;=0,0,MAX(0,(AB477-AC477)/AB477)))</f>
        <v>0.59407108487791116</v>
      </c>
      <c r="X478" s="18">
        <f>IF($A478&gt;'1-Input'!$B$26,0,(MAX(0,W451-IF($A478&gt;='1-Input'!$C$12,'1-Input'!$B$12,0))-MIN(MAX(AA477,0),MAX(0,W451-IF($A478&gt;='1-Input'!$C$12,'1-Input'!$B$12,0))))*(1/(1-'P-Parametri'!$B$6*W478))+MIN(MAX(0,AB477-(MAX(0,W451-IF($A478&gt;='1-Input'!$C$12,'1-Input'!$B$12,0))-MIN(MAX(AA477,0),MAX(0,W451-IF($A478&gt;='1-Input'!$C$12,'1-Input'!$B$12,0))))*(1/(1-'P-Parametri'!$B$6*W478))),MAX(0,1*W451-(AA477-MIN(MAX(AA477,0),MAX(0,W451-IF($A478&gt;='1-Input'!$C$12,'1-Input'!$B$12,0)))))*(1/(1-'P-Parametri'!$B$6*W478))))</f>
        <v>8691.5620017000529</v>
      </c>
      <c r="Y478" s="18">
        <f>IF($A478&gt;'1-Input'!$B$26,AA477,(AA477-MAX(0,W451-IF($A478&gt;='1-Input'!$C$12,'1-Input'!$B$12,0))+X478*(1-'P-Parametri'!$B$6*W478))*(1+'1-Input'!$B$27))</f>
        <v>18318.70531348556</v>
      </c>
      <c r="Z478" s="18">
        <f>IF($A478&gt;'1-Input'!$B$26,AB477,(AB477-X478)*(1+$C$4))</f>
        <v>125599.78657672284</v>
      </c>
      <c r="AA478" s="18">
        <f>IF($A478&gt;'1-Input'!$B$26,Y478,Y478-'P-Parametri'!$B$8*(Z478+Y478)+MIN(MAX(Z478,0),'P-Parametri'!$B$8*(Z478+Y478)))</f>
        <v>18318.70531348556</v>
      </c>
      <c r="AB478" s="18">
        <f>IF($A478&gt;'1-Input'!$B$26,Z478,Z478-MIN(MAX(Z478,0),'P-Parametri'!$B$8*(Z478+Y478)))</f>
        <v>125311.94959294242</v>
      </c>
      <c r="AC478" s="18">
        <f>IF($A478&gt;'1-Input'!$B$26,AC477,AC477-X478*(1-W478))</f>
        <v>49499.597188985426</v>
      </c>
      <c r="AD478" s="11">
        <f>IF($A478&gt;'1-Input'!$B$26,0,IF(AI477&lt;=0,0,MAX(0,(AI477-AJ477)/AI477)))</f>
        <v>0.59407392198572706</v>
      </c>
      <c r="AE478" s="18">
        <f>IF($A478&gt;'1-Input'!$B$26,0,(MAX(0,AD451-IF($A478&gt;='1-Input'!$C$12,'1-Input'!$B$12,0))-MIN(MAX(AH477,0),MAX(0,AD451-IF($A478&gt;='1-Input'!$C$12,'1-Input'!$B$12,0))))*(1/(1-'P-Parametri'!$B$6*AD478))+MIN(MAX(0,AI477-(MAX(0,AD451-IF($A478&gt;='1-Input'!$C$12,'1-Input'!$B$12,0))-MIN(MAX(AH477,0),MAX(0,AD451-IF($A478&gt;='1-Input'!$C$12,'1-Input'!$B$12,0))))*(1/(1-'P-Parametri'!$B$6*AD478))),MAX(0,1*AD451-(AH477-MIN(MAX(AH477,0),MAX(0,AD451-IF($A478&gt;='1-Input'!$C$12,'1-Input'!$B$12,0)))))*(1/(1-'P-Parametri'!$B$6*AD478))))</f>
        <v>8679.1266088538141</v>
      </c>
      <c r="AF478" s="18">
        <f>IF($A478&gt;'1-Input'!$B$26,AH477,(AH477-MAX(0,AD451-IF($A478&gt;='1-Input'!$C$12,'1-Input'!$B$12,0))+AE478*(1-'P-Parametri'!$B$6*AD478))*(1+'1-Input'!$B$27))</f>
        <v>18308.259750184588</v>
      </c>
      <c r="AG478" s="18">
        <f>IF($A478&gt;'1-Input'!$B$26,AI477,(AI477-AE478)*(1+$C$4))</f>
        <v>126051.24068661801</v>
      </c>
      <c r="AH478" s="18">
        <f>IF($A478&gt;'1-Input'!$B$26,AF478,AF478-'P-Parametri'!$B$8*(AG478+AF478)+MIN(MAX(AG478,0),'P-Parametri'!$B$8*(AG478+AF478)))</f>
        <v>18308.259750184588</v>
      </c>
      <c r="AI478" s="18">
        <f>IF($A478&gt;'1-Input'!$B$26,AG478,AG478-MIN(MAX(AG478,0),'P-Parametri'!$B$8*(AG478+AF478)))</f>
        <v>125762.5216857444</v>
      </c>
      <c r="AJ478" s="18">
        <f>IF($A478&gt;'1-Input'!$B$26,AJ477,AJ477-AE478*(1-AD478))</f>
        <v>49677.170641506782</v>
      </c>
      <c r="AK478" s="11">
        <f>IF($A478&gt;'1-Input'!$B$26,0,IF(AP477&lt;=0,0,MAX(0,(AP477-AQ477)/AP477)))</f>
        <v>0.59407389804026989</v>
      </c>
      <c r="AL478" s="18">
        <f>IF($A478&gt;'1-Input'!$B$26,0,(MAX(0,AK451-IF($A478&gt;='1-Input'!$C$12,'1-Input'!$B$12,0))-MIN(MAX(AO477,0),MAX(0,AK451-IF($A478&gt;='1-Input'!$C$12,'1-Input'!$B$12,0))))*(1/(1-'P-Parametri'!$B$6*AK478))+MIN(MAX(0,AP477-(MAX(0,AK451-IF($A478&gt;='1-Input'!$C$12,'1-Input'!$B$12,0))-MIN(MAX(AO477,0),MAX(0,AK451-IF($A478&gt;='1-Input'!$C$12,'1-Input'!$B$12,0))))*(1/(1-'P-Parametri'!$B$6*AK478))),MAX(0,1*AK451-(AO477-MIN(MAX(AO477,0),MAX(0,AK451-IF($A478&gt;='1-Input'!$C$12,'1-Input'!$B$12,0)))))*(1/(1-'P-Parametri'!$B$6*AK478))))</f>
        <v>8679.2317679889311</v>
      </c>
      <c r="AM478" s="18">
        <f>IF($A478&gt;'1-Input'!$B$26,AO477,(AO477-MAX(0,AK451-IF($A478&gt;='1-Input'!$C$12,'1-Input'!$B$12,0))+AL478*(1-'P-Parametri'!$B$6*AK478))*(1+'1-Input'!$B$27))</f>
        <v>18308.348082268236</v>
      </c>
      <c r="AN478" s="18">
        <f>IF($A478&gt;'1-Input'!$B$26,AP477,(AP477-AL478)*(1+$C$4))</f>
        <v>126047.42299877634</v>
      </c>
      <c r="AO478" s="18">
        <f>IF($A478&gt;'1-Input'!$B$26,AM478,AM478-'P-Parametri'!$B$8*(AN478+AM478)+MIN(MAX(AN478,0),'P-Parametri'!$B$8*(AN478+AM478)))</f>
        <v>18308.348082268236</v>
      </c>
      <c r="AP478" s="18">
        <f>IF($A478&gt;'1-Input'!$B$26,AN478,AN478-MIN(MAX(AN478,0),'P-Parametri'!$B$8*(AN478+AM478)))</f>
        <v>125758.71145661426</v>
      </c>
      <c r="AQ478" s="18">
        <f>IF($A478&gt;'1-Input'!$B$26,AQ477,AQ477-AL478*(1-AK478))</f>
        <v>49675.669009672347</v>
      </c>
    </row>
    <row r="479" spans="1:43">
      <c r="A479" s="10">
        <f>26</f>
        <v>26</v>
      </c>
      <c r="B479" s="11">
        <f>IF($A479&gt;'1-Input'!$B$26,0,IF(G478&lt;=0,0,MAX(0,(G478-H478)/G478)))</f>
        <v>0.60538544218459944</v>
      </c>
      <c r="C479" s="18">
        <f>IF($A479&gt;'1-Input'!$B$26,0,(MAX(0,B451-IF($A479&gt;='1-Input'!$C$12,'1-Input'!$B$12,0))-MIN(MAX(F478,0),MAX(0,B451-IF($A479&gt;='1-Input'!$C$12,'1-Input'!$B$12,0))))*(1/(1-'P-Parametri'!$B$6*B479))+MIN(MAX(0,G478-(MAX(0,B451-IF($A479&gt;='1-Input'!$C$12,'1-Input'!$B$12,0))-MIN(MAX(F478,0),MAX(0,B451-IF($A479&gt;='1-Input'!$C$12,'1-Input'!$B$12,0))))*(1/(1-'P-Parametri'!$B$6*B479))),MAX(0,1*B451-(F478-MIN(MAX(F478,0),MAX(0,B451-IF($A479&gt;='1-Input'!$C$12,'1-Input'!$B$12,0)))))*(1/(1-'P-Parametri'!$B$6*B479))))</f>
        <v>6692.5095566506316</v>
      </c>
      <c r="D479" s="18">
        <f>IF($A479&gt;'1-Input'!$B$26,F478,(F478-MAX(0,B451-IF($A479&gt;='1-Input'!$C$12,'1-Input'!$B$12,0))+C479*(1-'P-Parametri'!$B$6*B479))*(1+'1-Input'!$B$27))</f>
        <v>16621.00351549315</v>
      </c>
      <c r="E479" s="18">
        <f>IF($A479&gt;'1-Input'!$B$26,G478,(G478-C479)*(1+$C$4))</f>
        <v>197610.39839122538</v>
      </c>
      <c r="F479" s="18">
        <f>IF($A479&gt;'1-Input'!$B$26,D479,D479-'P-Parametri'!$B$8*(E479+D479)+MIN(MAX(E479,0),'P-Parametri'!$B$8*(E479+D479)))</f>
        <v>16621.00351549315</v>
      </c>
      <c r="G479" s="18">
        <f>IF($A479&gt;'1-Input'!$B$26,E479,E479-MIN(MAX(E479,0),'P-Parametri'!$B$8*(E479+D479)))</f>
        <v>197181.93558741195</v>
      </c>
      <c r="H479" s="18">
        <f>IF($A479&gt;'1-Input'!$B$26,H478,H478-C479*(1-B479))</f>
        <v>75708.679593085952</v>
      </c>
      <c r="I479" s="11">
        <f>IF($A479&gt;'1-Input'!$B$26,0,IF(N478&lt;=0,0,MAX(0,(N478-O478)/N478)))</f>
        <v>0</v>
      </c>
      <c r="J479" s="18">
        <f>IF($A479&gt;'1-Input'!$B$26,0,(MAX(0,I451-IF($A479&gt;='1-Input'!$C$12,'1-Input'!$B$12,0))-MIN(MAX(M478,0),MAX(0,I451-IF($A479&gt;='1-Input'!$C$12,'1-Input'!$B$12,0))))*(1/(1-'P-Parametri'!$B$6*I479))+MIN(MAX(0,N478-(MAX(0,I451-IF($A479&gt;='1-Input'!$C$12,'1-Input'!$B$12,0))-MIN(MAX(M478,0),MAX(0,I451-IF($A479&gt;='1-Input'!$C$12,'1-Input'!$B$12,0))))*(1/(1-'P-Parametri'!$B$6*I479))),MAX(0,1*I451-(M478-MIN(MAX(M478,0),MAX(0,I451-IF($A479&gt;='1-Input'!$C$12,'1-Input'!$B$12,0)))))*(1/(1-'P-Parametri'!$B$6*I479))))</f>
        <v>10846.756992928691</v>
      </c>
      <c r="K479" s="18">
        <f>IF($A479&gt;'1-Input'!$B$26,M478,(M478-MAX(0,I451-IF($A479&gt;='1-Input'!$C$12,'1-Input'!$B$12,0))+J479*(1-'P-Parametri'!$B$6*I479))*(1+'1-Input'!$B$27))</f>
        <v>0</v>
      </c>
      <c r="L479" s="18">
        <f>IF($A479&gt;'1-Input'!$B$26,N478,(N478-J479)*(1+$C$4))</f>
        <v>-11761.006473051157</v>
      </c>
      <c r="M479" s="18">
        <f>IF($A479&gt;'1-Input'!$B$26,K479,K479-'P-Parametri'!$B$8*(L479+K479)+MIN(MAX(L479,0),'P-Parametri'!$B$8*(L479+K479)))</f>
        <v>0</v>
      </c>
      <c r="N479" s="18">
        <f>IF($A479&gt;'1-Input'!$B$26,L479,L479-MIN(MAX(L479,0),'P-Parametri'!$B$8*(L479+K479)))</f>
        <v>-11737.484460105054</v>
      </c>
      <c r="O479" s="18">
        <f>IF($A479&gt;'1-Input'!$B$26,O478,O478-J479*(1-I479))</f>
        <v>-11402.913863493843</v>
      </c>
      <c r="P479" s="11">
        <f>IF($A479&gt;'1-Input'!$B$26,0,IF(U478&lt;=0,0,MAX(0,(U478-V478)/U478)))</f>
        <v>0.60490451623691677</v>
      </c>
      <c r="Q479" s="18">
        <f>IF($A479&gt;'1-Input'!$B$26,0,(MAX(0,P451-IF($A479&gt;='1-Input'!$C$12,'1-Input'!$B$12,0))-MIN(MAX(T478,0),MAX(0,P451-IF($A479&gt;='1-Input'!$C$12,'1-Input'!$B$12,0))))*(1/(1-'P-Parametri'!$B$6*P479))+MIN(MAX(0,U478-(MAX(0,P451-IF($A479&gt;='1-Input'!$C$12,'1-Input'!$B$12,0))-MIN(MAX(T478,0),MAX(0,P451-IF($A479&gt;='1-Input'!$C$12,'1-Input'!$B$12,0))))*(1/(1-'P-Parametri'!$B$6*P479))),MAX(0,1*P451-(T478-MIN(MAX(T478,0),MAX(0,P451-IF($A479&gt;='1-Input'!$C$12,'1-Input'!$B$12,0)))))*(1/(1-'P-Parametri'!$B$6*P479))))</f>
        <v>9027.6614735963813</v>
      </c>
      <c r="R479" s="18">
        <f>IF($A479&gt;'1-Input'!$B$26,T478,(T478-MAX(0,P451-IF($A479&gt;='1-Input'!$C$12,'1-Input'!$B$12,0))+Q479*(1-'P-Parametri'!$B$6*P479))*(1+'1-Input'!$B$27))</f>
        <v>18575.606853855934</v>
      </c>
      <c r="S479" s="18">
        <f>IF($A479&gt;'1-Input'!$B$26,U478,(U478-Q479)*(1+$C$4))</f>
        <v>108358.99245526995</v>
      </c>
      <c r="T479" s="18">
        <f>IF($A479&gt;'1-Input'!$B$26,R479,R479-'P-Parametri'!$B$8*(S479+R479)+MIN(MAX(S479,0),'P-Parametri'!$B$8*(S479+R479)))</f>
        <v>18575.606853855934</v>
      </c>
      <c r="U479" s="18">
        <f>IF($A479&gt;'1-Input'!$B$26,S479,S479-MIN(MAX(S479,0),'P-Parametri'!$B$8*(S479+R479)))</f>
        <v>108105.1232566517</v>
      </c>
      <c r="V479" s="18">
        <f>IF($A479&gt;'1-Input'!$B$26,V478,V478-Q479*(1-P479))</f>
        <v>41565.192761354527</v>
      </c>
      <c r="W479" s="11">
        <f>IF($A479&gt;'1-Input'!$B$26,0,IF(AB478&lt;=0,0,MAX(0,(AB478-AC478)/AB478)))</f>
        <v>0.6049890106268585</v>
      </c>
      <c r="X479" s="18">
        <f>IF($A479&gt;'1-Input'!$B$26,0,(MAX(0,W451-IF($A479&gt;='1-Input'!$C$12,'1-Input'!$B$12,0))-MIN(MAX(AA478,0),MAX(0,W451-IF($A479&gt;='1-Input'!$C$12,'1-Input'!$B$12,0))))*(1/(1-'P-Parametri'!$B$6*W479))+MIN(MAX(0,AB478-(MAX(0,W451-IF($A479&gt;='1-Input'!$C$12,'1-Input'!$B$12,0))-MIN(MAX(AA478,0),MAX(0,W451-IF($A479&gt;='1-Input'!$C$12,'1-Input'!$B$12,0))))*(1/(1-'P-Parametri'!$B$6*W479))),MAX(0,1*W451-(AA478-MIN(MAX(AA478,0),MAX(0,W451-IF($A479&gt;='1-Input'!$C$12,'1-Input'!$B$12,0)))))*(1/(1-'P-Parametri'!$B$6*W479))))</f>
        <v>8720.8396945642926</v>
      </c>
      <c r="Y479" s="18">
        <f>IF($A479&gt;'1-Input'!$B$26,AA478,(AA478-MAX(0,W451-IF($A479&gt;='1-Input'!$C$12,'1-Input'!$B$12,0))+X479*(1-'P-Parametri'!$B$6*W479))*(1+'1-Input'!$B$27))</f>
        <v>18318.70531348556</v>
      </c>
      <c r="Z479" s="18">
        <f>IF($A479&gt;'1-Input'!$B$26,AB478,(AB478-X479)*(1+$C$4))</f>
        <v>120088.84319532948</v>
      </c>
      <c r="AA479" s="18">
        <f>IF($A479&gt;'1-Input'!$B$26,Y479,Y479-'P-Parametri'!$B$8*(Z479+Y479)+MIN(MAX(Z479,0),'P-Parametri'!$B$8*(Z479+Y479)))</f>
        <v>18318.70531348556</v>
      </c>
      <c r="AB479" s="18">
        <f>IF($A479&gt;'1-Input'!$B$26,Z479,Z479-MIN(MAX(Z479,0),'P-Parametri'!$B$8*(Z479+Y479)))</f>
        <v>119812.02809831184</v>
      </c>
      <c r="AC479" s="18">
        <f>IF($A479&gt;'1-Input'!$B$26,AC478,AC478-X479*(1-W479))</f>
        <v>46054.769673071023</v>
      </c>
      <c r="AD479" s="11">
        <f>IF($A479&gt;'1-Input'!$B$26,0,IF(AI478&lt;=0,0,MAX(0,(AI478-AJ478)/AI478)))</f>
        <v>0.60499225066717266</v>
      </c>
      <c r="AE479" s="18">
        <f>IF($A479&gt;'1-Input'!$B$26,0,(MAX(0,AD451-IF($A479&gt;='1-Input'!$C$12,'1-Input'!$B$12,0))-MIN(MAX(AH478,0),MAX(0,AD451-IF($A479&gt;='1-Input'!$C$12,'1-Input'!$B$12,0))))*(1/(1-'P-Parametri'!$B$6*AD479))+MIN(MAX(0,AI478-(MAX(0,AD451-IF($A479&gt;='1-Input'!$C$12,'1-Input'!$B$12,0))-MIN(MAX(AH478,0),MAX(0,AD451-IF($A479&gt;='1-Input'!$C$12,'1-Input'!$B$12,0))))*(1/(1-'P-Parametri'!$B$6*AD479))),MAX(0,1*AD451-(AH478-MIN(MAX(AH478,0),MAX(0,AD451-IF($A479&gt;='1-Input'!$C$12,'1-Input'!$B$12,0)))))*(1/(1-'P-Parametri'!$B$6*AD479))))</f>
        <v>8708.3635210507564</v>
      </c>
      <c r="AF479" s="18">
        <f>IF($A479&gt;'1-Input'!$B$26,AH478,(AH478-MAX(0,AD451-IF($A479&gt;='1-Input'!$C$12,'1-Input'!$B$12,0))+AE479*(1-'P-Parametri'!$B$6*AD479))*(1+'1-Input'!$B$27))</f>
        <v>18308.259750184588</v>
      </c>
      <c r="AG479" s="18">
        <f>IF($A479&gt;'1-Input'!$B$26,AI478,(AI478-AE479)*(1+$C$4))</f>
        <v>120565.78290963446</v>
      </c>
      <c r="AH479" s="18">
        <f>IF($A479&gt;'1-Input'!$B$26,AF479,AF479-'P-Parametri'!$B$8*(AG479+AF479)+MIN(MAX(AG479,0),'P-Parametri'!$B$8*(AG479+AF479)))</f>
        <v>18308.259750184588</v>
      </c>
      <c r="AI479" s="18">
        <f>IF($A479&gt;'1-Input'!$B$26,AG479,AG479-MIN(MAX(AG479,0),'P-Parametri'!$B$8*(AG479+AF479)))</f>
        <v>120288.03482431483</v>
      </c>
      <c r="AJ479" s="18">
        <f>IF($A479&gt;'1-Input'!$B$26,AJ478,AJ478-AE479*(1-AD479))</f>
        <v>46237.299566684429</v>
      </c>
      <c r="AK479" s="11">
        <f>IF($A479&gt;'1-Input'!$B$26,0,IF(AP478&lt;=0,0,MAX(0,(AP478-AQ478)/AP478)))</f>
        <v>0.60499222332752622</v>
      </c>
      <c r="AL479" s="18">
        <f>IF($A479&gt;'1-Input'!$B$26,0,(MAX(0,AK451-IF($A479&gt;='1-Input'!$C$12,'1-Input'!$B$12,0))-MIN(MAX(AO478,0),MAX(0,AK451-IF($A479&gt;='1-Input'!$C$12,'1-Input'!$B$12,0))))*(1/(1-'P-Parametri'!$B$6*AK479))+MIN(MAX(0,AP478-(MAX(0,AK451-IF($A479&gt;='1-Input'!$C$12,'1-Input'!$B$12,0))-MIN(MAX(AO478,0),MAX(0,AK451-IF($A479&gt;='1-Input'!$C$12,'1-Input'!$B$12,0))))*(1/(1-'P-Parametri'!$B$6*AK479))),MAX(0,1*AK451-(AO478-MIN(MAX(AO478,0),MAX(0,AK451-IF($A479&gt;='1-Input'!$C$12,'1-Input'!$B$12,0)))))*(1/(1-'P-Parametri'!$B$6*AK479))))</f>
        <v>8708.4690250942258</v>
      </c>
      <c r="AM479" s="18">
        <f>IF($A479&gt;'1-Input'!$B$26,AO478,(AO478-MAX(0,AK451-IF($A479&gt;='1-Input'!$C$12,'1-Input'!$B$12,0))+AL479*(1-'P-Parametri'!$B$6*AK479))*(1+'1-Input'!$B$27))</f>
        <v>18308.348082268236</v>
      </c>
      <c r="AN479" s="18">
        <f>IF($A479&gt;'1-Input'!$B$26,AP478,(AP478-AL479)*(1+$C$4))</f>
        <v>120561.74970446563</v>
      </c>
      <c r="AO479" s="18">
        <f>IF($A479&gt;'1-Input'!$B$26,AM479,AM479-'P-Parametri'!$B$8*(AN479+AM479)+MIN(MAX(AN479,0),'P-Parametri'!$B$8*(AN479+AM479)))</f>
        <v>18308.348082268236</v>
      </c>
      <c r="AP479" s="18">
        <f>IF($A479&gt;'1-Input'!$B$26,AN479,AN479-MIN(MAX(AN479,0),'P-Parametri'!$B$8*(AN479+AM479)))</f>
        <v>120284.00950889217</v>
      </c>
      <c r="AQ479" s="18">
        <f>IF($A479&gt;'1-Input'!$B$26,AQ478,AQ478-AL479*(1-AK479))</f>
        <v>46235.756021848771</v>
      </c>
    </row>
    <row r="480" spans="1:43">
      <c r="A480" s="10">
        <f>27</f>
        <v>27</v>
      </c>
      <c r="B480" s="11">
        <f>IF($A480&gt;'1-Input'!$B$26,0,IF(G479&lt;=0,0,MAX(0,(G479-H479)/G479)))</f>
        <v>0.61604657461370826</v>
      </c>
      <c r="C480" s="18">
        <f>IF($A480&gt;'1-Input'!$B$26,0,(MAX(0,B451-IF($A480&gt;='1-Input'!$C$12,'1-Input'!$B$12,0))-MIN(MAX(F479,0),MAX(0,B451-IF($A480&gt;='1-Input'!$C$12,'1-Input'!$B$12,0))))*(1/(1-'P-Parametri'!$B$6*B480))+MIN(MAX(0,G479-(MAX(0,B451-IF($A480&gt;='1-Input'!$C$12,'1-Input'!$B$12,0))-MIN(MAX(F479,0),MAX(0,B451-IF($A480&gt;='1-Input'!$C$12,'1-Input'!$B$12,0))))*(1/(1-'P-Parametri'!$B$6*B480))),MAX(0,1*B451-(F479-MIN(MAX(F479,0),MAX(0,B451-IF($A480&gt;='1-Input'!$C$12,'1-Input'!$B$12,0)))))*(1/(1-'P-Parametri'!$B$6*B480))))</f>
        <v>6714.5985229506605</v>
      </c>
      <c r="D480" s="18">
        <f>IF($A480&gt;'1-Input'!$B$26,F479,(F479-MAX(0,B451-IF($A480&gt;='1-Input'!$C$12,'1-Input'!$B$12,0))+C480*(1-'P-Parametri'!$B$6*B480))*(1+'1-Input'!$B$27))</f>
        <v>16621.00351549315</v>
      </c>
      <c r="E480" s="18">
        <f>IF($A480&gt;'1-Input'!$B$26,G479,(G479-C480)*(1+$C$4))</f>
        <v>196181.35717639513</v>
      </c>
      <c r="F480" s="18">
        <f>IF($A480&gt;'1-Input'!$B$26,D480,D480-'P-Parametri'!$B$8*(E480+D480)+MIN(MAX(E480,0),'P-Parametri'!$B$8*(E480+D480)))</f>
        <v>16621.00351549315</v>
      </c>
      <c r="G480" s="18">
        <f>IF($A480&gt;'1-Input'!$B$26,E480,E480-MIN(MAX(E480,0),'P-Parametri'!$B$8*(E480+D480)))</f>
        <v>195755.75245501136</v>
      </c>
      <c r="H480" s="18">
        <f>IF($A480&gt;'1-Input'!$B$26,H479,H479-C480*(1-B480))</f>
        <v>73130.586490105314</v>
      </c>
      <c r="I480" s="11">
        <f>IF($A480&gt;'1-Input'!$B$26,0,IF(N479&lt;=0,0,MAX(0,(N479-O479)/N479)))</f>
        <v>0</v>
      </c>
      <c r="J480" s="18">
        <f>IF($A480&gt;'1-Input'!$B$26,0,(MAX(0,I451-IF($A480&gt;='1-Input'!$C$12,'1-Input'!$B$12,0))-MIN(MAX(M479,0),MAX(0,I451-IF($A480&gt;='1-Input'!$C$12,'1-Input'!$B$12,0))))*(1/(1-'P-Parametri'!$B$6*I480))+MIN(MAX(0,N479-(MAX(0,I451-IF($A480&gt;='1-Input'!$C$12,'1-Input'!$B$12,0))-MIN(MAX(M479,0),MAX(0,I451-IF($A480&gt;='1-Input'!$C$12,'1-Input'!$B$12,0))))*(1/(1-'P-Parametri'!$B$6*I480))),MAX(0,1*I451-(M479-MIN(MAX(M479,0),MAX(0,I451-IF($A480&gt;='1-Input'!$C$12,'1-Input'!$B$12,0)))))*(1/(1-'P-Parametri'!$B$6*I480))))</f>
        <v>10846.756992928691</v>
      </c>
      <c r="K480" s="18">
        <f>IF($A480&gt;'1-Input'!$B$26,M479,(M479-MAX(0,I451-IF($A480&gt;='1-Input'!$C$12,'1-Input'!$B$12,0))+J480*(1-'P-Parametri'!$B$6*I480))*(1+'1-Input'!$B$27))</f>
        <v>0</v>
      </c>
      <c r="L480" s="18">
        <f>IF($A480&gt;'1-Input'!$B$26,N479,(N479-J480)*(1+$C$4))</f>
        <v>-23261.768696624757</v>
      </c>
      <c r="M480" s="18">
        <f>IF($A480&gt;'1-Input'!$B$26,K480,K480-'P-Parametri'!$B$8*(L480+K480)+MIN(MAX(L480,0),'P-Parametri'!$B$8*(L480+K480)))</f>
        <v>0</v>
      </c>
      <c r="N480" s="18">
        <f>IF($A480&gt;'1-Input'!$B$26,L480,L480-MIN(MAX(L480,0),'P-Parametri'!$B$8*(L480+K480)))</f>
        <v>-23215.245159231508</v>
      </c>
      <c r="O480" s="18">
        <f>IF($A480&gt;'1-Input'!$B$26,O479,O479-J480*(1-I480))</f>
        <v>-22249.670856422534</v>
      </c>
      <c r="P480" s="11">
        <f>IF($A480&gt;'1-Input'!$B$26,0,IF(U479&lt;=0,0,MAX(0,(U479-V479)/U479)))</f>
        <v>0.61551135127356671</v>
      </c>
      <c r="Q480" s="18">
        <f>IF($A480&gt;'1-Input'!$B$26,0,(MAX(0,P451-IF($A480&gt;='1-Input'!$C$12,'1-Input'!$B$12,0))-MIN(MAX(T479,0),MAX(0,P451-IF($A480&gt;='1-Input'!$C$12,'1-Input'!$B$12,0))))*(1/(1-'P-Parametri'!$B$6*P480))+MIN(MAX(0,U479-(MAX(0,P451-IF($A480&gt;='1-Input'!$C$12,'1-Input'!$B$12,0))-MIN(MAX(T479,0),MAX(0,P451-IF($A480&gt;='1-Input'!$C$12,'1-Input'!$B$12,0))))*(1/(1-'P-Parametri'!$B$6*P480))),MAX(0,1*P451-(T479-MIN(MAX(T479,0),MAX(0,P451-IF($A480&gt;='1-Input'!$C$12,'1-Input'!$B$12,0)))))*(1/(1-'P-Parametri'!$B$6*P480))))</f>
        <v>9057.3010626777832</v>
      </c>
      <c r="R480" s="18">
        <f>IF($A480&gt;'1-Input'!$B$26,T479,(T479-MAX(0,P451-IF($A480&gt;='1-Input'!$C$12,'1-Input'!$B$12,0))+Q480*(1-'P-Parametri'!$B$6*P480))*(1+'1-Input'!$B$27))</f>
        <v>18575.606853855934</v>
      </c>
      <c r="S480" s="18">
        <f>IF($A480&gt;'1-Input'!$B$26,U479,(U479-Q480)*(1+$C$4))</f>
        <v>102019.25685979314</v>
      </c>
      <c r="T480" s="18">
        <f>IF($A480&gt;'1-Input'!$B$26,R480,R480-'P-Parametri'!$B$8*(S480+R480)+MIN(MAX(S480,0),'P-Parametri'!$B$8*(S480+R480)))</f>
        <v>18575.606853855934</v>
      </c>
      <c r="U480" s="18">
        <f>IF($A480&gt;'1-Input'!$B$26,S480,S480-MIN(MAX(S480,0),'P-Parametri'!$B$8*(S480+R480)))</f>
        <v>101778.06713236585</v>
      </c>
      <c r="V480" s="18">
        <f>IF($A480&gt;'1-Input'!$B$26,V479,V479-Q480*(1-P480))</f>
        <v>38082.763314657059</v>
      </c>
      <c r="W480" s="11">
        <f>IF($A480&gt;'1-Input'!$B$26,0,IF(AB479&lt;=0,0,MAX(0,(AB479-AC479)/AB479)))</f>
        <v>0.61560812879921578</v>
      </c>
      <c r="X480" s="18">
        <f>IF($A480&gt;'1-Input'!$B$26,0,(MAX(0,W451-IF($A480&gt;='1-Input'!$C$12,'1-Input'!$B$12,0))-MIN(MAX(AA479,0),MAX(0,W451-IF($A480&gt;='1-Input'!$C$12,'1-Input'!$B$12,0))))*(1/(1-'P-Parametri'!$B$6*W480))+MIN(MAX(0,AB479-(MAX(0,W451-IF($A480&gt;='1-Input'!$C$12,'1-Input'!$B$12,0))-MIN(MAX(AA479,0),MAX(0,W451-IF($A480&gt;='1-Input'!$C$12,'1-Input'!$B$12,0))))*(1/(1-'P-Parametri'!$B$6*W480))),MAX(0,1*W451-(AA479-MIN(MAX(AA479,0),MAX(0,W451-IF($A480&gt;='1-Input'!$C$12,'1-Input'!$B$12,0)))))*(1/(1-'P-Parametri'!$B$6*W480))))</f>
        <v>8749.5059433597417</v>
      </c>
      <c r="Y480" s="18">
        <f>IF($A480&gt;'1-Input'!$B$26,AA479,(AA479-MAX(0,W451-IF($A480&gt;='1-Input'!$C$12,'1-Input'!$B$12,0))+X480*(1-'P-Parametri'!$B$6*W480))*(1+'1-Input'!$B$27))</f>
        <v>18318.70531348556</v>
      </c>
      <c r="Z480" s="18">
        <f>IF($A480&gt;'1-Input'!$B$26,AB479,(AB479-X480)*(1+$C$4))</f>
        <v>114394.39781960068</v>
      </c>
      <c r="AA480" s="18">
        <f>IF($A480&gt;'1-Input'!$B$26,Y480,Y480-'P-Parametri'!$B$8*(Z480+Y480)+MIN(MAX(Z480,0),'P-Parametri'!$B$8*(Z480+Y480)))</f>
        <v>18318.70531348556</v>
      </c>
      <c r="AB480" s="18">
        <f>IF($A480&gt;'1-Input'!$B$26,Z480,Z480-MIN(MAX(Z480,0),'P-Parametri'!$B$8*(Z480+Y480)))</f>
        <v>114128.97161333451</v>
      </c>
      <c r="AC480" s="18">
        <f>IF($A480&gt;'1-Input'!$B$26,AC479,AC479-X480*(1-W480))</f>
        <v>42691.530711420586</v>
      </c>
      <c r="AD480" s="11">
        <f>IF($A480&gt;'1-Input'!$B$26,0,IF(AI479&lt;=0,0,MAX(0,(AI479-AJ479)/AI479)))</f>
        <v>0.61561181347574823</v>
      </c>
      <c r="AE480" s="18">
        <f>IF($A480&gt;'1-Input'!$B$26,0,(MAX(0,AD451-IF($A480&gt;='1-Input'!$C$12,'1-Input'!$B$12,0))-MIN(MAX(AH479,0),MAX(0,AD451-IF($A480&gt;='1-Input'!$C$12,'1-Input'!$B$12,0))))*(1/(1-'P-Parametri'!$B$6*AD480))+MIN(MAX(0,AI479-(MAX(0,AD451-IF($A480&gt;='1-Input'!$C$12,'1-Input'!$B$12,0))-MIN(MAX(AH479,0),MAX(0,AD451-IF($A480&gt;='1-Input'!$C$12,'1-Input'!$B$12,0))))*(1/(1-'P-Parametri'!$B$6*AD480))),MAX(0,1*AD451-(AH479-MIN(MAX(AH479,0),MAX(0,AD451-IF($A480&gt;='1-Input'!$C$12,'1-Input'!$B$12,0)))))*(1/(1-'P-Parametri'!$B$6*AD480))))</f>
        <v>8736.9899906760529</v>
      </c>
      <c r="AF480" s="18">
        <f>IF($A480&gt;'1-Input'!$B$26,AH479,(AH479-MAX(0,AD451-IF($A480&gt;='1-Input'!$C$12,'1-Input'!$B$12,0))+AE480*(1-'P-Parametri'!$B$6*AD480))*(1+'1-Input'!$B$27))</f>
        <v>18308.259750184588</v>
      </c>
      <c r="AG480" s="18">
        <f>IF($A480&gt;'1-Input'!$B$26,AI479,(AI479-AE480)*(1+$C$4))</f>
        <v>114897.57617864794</v>
      </c>
      <c r="AH480" s="18">
        <f>IF($A480&gt;'1-Input'!$B$26,AF480,AF480-'P-Parametri'!$B$8*(AG480+AF480)+MIN(MAX(AG480,0),'P-Parametri'!$B$8*(AG480+AF480)))</f>
        <v>18308.259750184588</v>
      </c>
      <c r="AI480" s="18">
        <f>IF($A480&gt;'1-Input'!$B$26,AG480,AG480-MIN(MAX(AG480,0),'P-Parametri'!$B$8*(AG480+AF480)))</f>
        <v>114631.16450679027</v>
      </c>
      <c r="AJ480" s="18">
        <f>IF($A480&gt;'1-Input'!$B$26,AJ479,AJ479-AE480*(1-AD480))</f>
        <v>42878.903828487921</v>
      </c>
      <c r="AK480" s="11">
        <f>IF($A480&gt;'1-Input'!$B$26,0,IF(AP479&lt;=0,0,MAX(0,(AP479-AQ479)/AP479)))</f>
        <v>0.61561178239214986</v>
      </c>
      <c r="AL480" s="18">
        <f>IF($A480&gt;'1-Input'!$B$26,0,(MAX(0,AK451-IF($A480&gt;='1-Input'!$C$12,'1-Input'!$B$12,0))-MIN(MAX(AO479,0),MAX(0,AK451-IF($A480&gt;='1-Input'!$C$12,'1-Input'!$B$12,0))))*(1/(1-'P-Parametri'!$B$6*AK480))+MIN(MAX(0,AP479-(MAX(0,AK451-IF($A480&gt;='1-Input'!$C$12,'1-Input'!$B$12,0))-MIN(MAX(AO479,0),MAX(0,AK451-IF($A480&gt;='1-Input'!$C$12,'1-Input'!$B$12,0))))*(1/(1-'P-Parametri'!$B$6*AK480))),MAX(0,1*AK451-(AO479-MIN(MAX(AO479,0),MAX(0,AK451-IF($A480&gt;='1-Input'!$C$12,'1-Input'!$B$12,0)))))*(1/(1-'P-Parametri'!$B$6*AK480))))</f>
        <v>8737.0958311686063</v>
      </c>
      <c r="AM480" s="18">
        <f>IF($A480&gt;'1-Input'!$B$26,AO479,(AO479-MAX(0,AK451-IF($A480&gt;='1-Input'!$C$12,'1-Input'!$B$12,0))+AL480*(1-'P-Parametri'!$B$6*AK480))*(1+'1-Input'!$B$27))</f>
        <v>18308.348082268236</v>
      </c>
      <c r="AN480" s="18">
        <f>IF($A480&gt;'1-Input'!$B$26,AP479,(AP479-AL480)*(1+$C$4))</f>
        <v>114893.32108805527</v>
      </c>
      <c r="AO480" s="18">
        <f>IF($A480&gt;'1-Input'!$B$26,AM480,AM480-'P-Parametri'!$B$8*(AN480+AM480)+MIN(MAX(AN480,0),'P-Parametri'!$B$8*(AN480+AM480)))</f>
        <v>18308.348082268236</v>
      </c>
      <c r="AP480" s="18">
        <f>IF($A480&gt;'1-Input'!$B$26,AN480,AN480-MIN(MAX(AN480,0),'P-Parametri'!$B$8*(AN480+AM480)))</f>
        <v>114626.91774971462</v>
      </c>
      <c r="AQ480" s="18">
        <f>IF($A480&gt;'1-Input'!$B$26,AQ479,AQ479-AL480*(1-AK480))</f>
        <v>42877.319328236888</v>
      </c>
    </row>
    <row r="481" spans="1:43">
      <c r="A481" s="10">
        <f>28</f>
        <v>28</v>
      </c>
      <c r="B481" s="11">
        <f>IF($A481&gt;'1-Input'!$B$26,0,IF(G480&lt;=0,0,MAX(0,(G480-H480)/G480)))</f>
        <v>0.62641922102947034</v>
      </c>
      <c r="C481" s="18">
        <f>IF($A481&gt;'1-Input'!$B$26,0,(MAX(0,B451-IF($A481&gt;='1-Input'!$C$12,'1-Input'!$B$12,0))-MIN(MAX(F480,0),MAX(0,B451-IF($A481&gt;='1-Input'!$C$12,'1-Input'!$B$12,0))))*(1/(1-'P-Parametri'!$B$6*B481))+MIN(MAX(0,G480-(MAX(0,B451-IF($A481&gt;='1-Input'!$C$12,'1-Input'!$B$12,0))-MIN(MAX(F480,0),MAX(0,B451-IF($A481&gt;='1-Input'!$C$12,'1-Input'!$B$12,0))))*(1/(1-'P-Parametri'!$B$6*B481))),MAX(0,1*B451-(F480-MIN(MAX(F480,0),MAX(0,B451-IF($A481&gt;='1-Input'!$C$12,'1-Input'!$B$12,0)))))*(1/(1-'P-Parametri'!$B$6*B481))))</f>
        <v>6736.2301679188149</v>
      </c>
      <c r="D481" s="18">
        <f>IF($A481&gt;'1-Input'!$B$26,F480,(F480-MAX(0,B451-IF($A481&gt;='1-Input'!$C$12,'1-Input'!$B$12,0))+C481*(1-'P-Parametri'!$B$6*B481))*(1+'1-Input'!$B$27))</f>
        <v>16621.00351549315</v>
      </c>
      <c r="E481" s="18">
        <f>IF($A481&gt;'1-Input'!$B$26,G480,(G480-C481)*(1+$C$4))</f>
        <v>194690.10795570535</v>
      </c>
      <c r="F481" s="18">
        <f>IF($A481&gt;'1-Input'!$B$26,D481,D481-'P-Parametri'!$B$8*(E481+D481)+MIN(MAX(E481,0),'P-Parametri'!$B$8*(E481+D481)))</f>
        <v>16621.00351549315</v>
      </c>
      <c r="G481" s="18">
        <f>IF($A481&gt;'1-Input'!$B$26,E481,E481-MIN(MAX(E481,0),'P-Parametri'!$B$8*(E481+D481)))</f>
        <v>194267.48573276296</v>
      </c>
      <c r="H481" s="18">
        <f>IF($A481&gt;'1-Input'!$B$26,H480,H480-C481*(1-B481))</f>
        <v>70614.060376649417</v>
      </c>
      <c r="I481" s="11">
        <f>IF($A481&gt;'1-Input'!$B$26,0,IF(N480&lt;=0,0,MAX(0,(N480-O480)/N480)))</f>
        <v>0</v>
      </c>
      <c r="J481" s="18">
        <f>IF($A481&gt;'1-Input'!$B$26,0,(MAX(0,I451-IF($A481&gt;='1-Input'!$C$12,'1-Input'!$B$12,0))-MIN(MAX(M480,0),MAX(0,I451-IF($A481&gt;='1-Input'!$C$12,'1-Input'!$B$12,0))))*(1/(1-'P-Parametri'!$B$6*I481))+MIN(MAX(0,N480-(MAX(0,I451-IF($A481&gt;='1-Input'!$C$12,'1-Input'!$B$12,0))-MIN(MAX(M480,0),MAX(0,I451-IF($A481&gt;='1-Input'!$C$12,'1-Input'!$B$12,0))))*(1/(1-'P-Parametri'!$B$6*I481))),MAX(0,1*I451-(M480-MIN(MAX(M480,0),MAX(0,I451-IF($A481&gt;='1-Input'!$C$12,'1-Input'!$B$12,0)))))*(1/(1-'P-Parametri'!$B$6*I481))))</f>
        <v>10846.756992928691</v>
      </c>
      <c r="K481" s="18">
        <f>IF($A481&gt;'1-Input'!$B$26,M480,(M480-MAX(0,I451-IF($A481&gt;='1-Input'!$C$12,'1-Input'!$B$12,0))+J481*(1-'P-Parametri'!$B$6*I481))*(1+'1-Input'!$B$27))</f>
        <v>0</v>
      </c>
      <c r="L481" s="18">
        <f>IF($A481&gt;'1-Input'!$B$26,N480,(N480-J481)*(1+$C$4))</f>
        <v>-35083.862216725007</v>
      </c>
      <c r="M481" s="18">
        <f>IF($A481&gt;'1-Input'!$B$26,K481,K481-'P-Parametri'!$B$8*(L481+K481)+MIN(MAX(L481,0),'P-Parametri'!$B$8*(L481+K481)))</f>
        <v>0</v>
      </c>
      <c r="N481" s="18">
        <f>IF($A481&gt;'1-Input'!$B$26,L481,L481-MIN(MAX(L481,0),'P-Parametri'!$B$8*(L481+K481)))</f>
        <v>-35013.694492291557</v>
      </c>
      <c r="O481" s="18">
        <f>IF($A481&gt;'1-Input'!$B$26,O480,O480-J481*(1-I481))</f>
        <v>-33096.427849351225</v>
      </c>
      <c r="P481" s="11">
        <f>IF($A481&gt;'1-Input'!$B$26,0,IF(U480&lt;=0,0,MAX(0,(U480-V480)/U480)))</f>
        <v>0.62582544169237242</v>
      </c>
      <c r="Q481" s="18">
        <f>IF($A481&gt;'1-Input'!$B$26,0,(MAX(0,P451-IF($A481&gt;='1-Input'!$C$12,'1-Input'!$B$12,0))-MIN(MAX(T480,0),MAX(0,P451-IF($A481&gt;='1-Input'!$C$12,'1-Input'!$B$12,0))))*(1/(1-'P-Parametri'!$B$6*P481))+MIN(MAX(0,U480-(MAX(0,P451-IF($A481&gt;='1-Input'!$C$12,'1-Input'!$B$12,0))-MIN(MAX(T480,0),MAX(0,P451-IF($A481&gt;='1-Input'!$C$12,'1-Input'!$B$12,0))))*(1/(1-'P-Parametri'!$B$6*P481))),MAX(0,1*P451-(T480-MIN(MAX(T480,0),MAX(0,P451-IF($A481&gt;='1-Input'!$C$12,'1-Input'!$B$12,0)))))*(1/(1-'P-Parametri'!$B$6*P481))))</f>
        <v>9086.3098500987726</v>
      </c>
      <c r="R481" s="18">
        <f>IF($A481&gt;'1-Input'!$B$26,T480,(T480-MAX(0,P451-IF($A481&gt;='1-Input'!$C$12,'1-Input'!$B$12,0))+Q481*(1-'P-Parametri'!$B$6*P481))*(1+'1-Input'!$B$27))</f>
        <v>18575.606853855934</v>
      </c>
      <c r="S481" s="18">
        <f>IF($A481&gt;'1-Input'!$B$26,U480,(U480-Q481)*(1+$C$4))</f>
        <v>95472.510000735085</v>
      </c>
      <c r="T481" s="18">
        <f>IF($A481&gt;'1-Input'!$B$26,R481,R481-'P-Parametri'!$B$8*(S481+R481)+MIN(MAX(S481,0),'P-Parametri'!$B$8*(S481+R481)))</f>
        <v>18575.606853855934</v>
      </c>
      <c r="U481" s="18">
        <f>IF($A481&gt;'1-Input'!$B$26,S481,S481-MIN(MAX(S481,0),'P-Parametri'!$B$8*(S481+R481)))</f>
        <v>95244.413767025908</v>
      </c>
      <c r="V481" s="18">
        <f>IF($A481&gt;'1-Input'!$B$26,V480,V480-Q481*(1-P481))</f>
        <v>34682.897339850104</v>
      </c>
      <c r="W481" s="11">
        <f>IF($A481&gt;'1-Input'!$B$26,0,IF(AB480&lt;=0,0,MAX(0,(AB480-AC480)/AB480)))</f>
        <v>0.62593607821107677</v>
      </c>
      <c r="X481" s="18">
        <f>IF($A481&gt;'1-Input'!$B$26,0,(MAX(0,W451-IF($A481&gt;='1-Input'!$C$12,'1-Input'!$B$12,0))-MIN(MAX(AA480,0),MAX(0,W451-IF($A481&gt;='1-Input'!$C$12,'1-Input'!$B$12,0))))*(1/(1-'P-Parametri'!$B$6*W481))+MIN(MAX(0,AB480-(MAX(0,W451-IF($A481&gt;='1-Input'!$C$12,'1-Input'!$B$12,0))-MIN(MAX(AA480,0),MAX(0,W451-IF($A481&gt;='1-Input'!$C$12,'1-Input'!$B$12,0))))*(1/(1-'P-Parametri'!$B$6*W481))),MAX(0,1*W451-(AA480-MIN(MAX(AA480,0),MAX(0,W451-IF($A481&gt;='1-Input'!$C$12,'1-Input'!$B$12,0)))))*(1/(1-'P-Parametri'!$B$6*W481))))</f>
        <v>8777.5675408272709</v>
      </c>
      <c r="Y481" s="18">
        <f>IF($A481&gt;'1-Input'!$B$26,AA480,(AA480-MAX(0,W451-IF($A481&gt;='1-Input'!$C$12,'1-Input'!$B$12,0))+X481*(1-'P-Parametri'!$B$6*W481))*(1+'1-Input'!$B$27))</f>
        <v>18318.70531348556</v>
      </c>
      <c r="Z481" s="18">
        <f>IF($A481&gt;'1-Input'!$B$26,AB480,(AB480-X481)*(1+$C$4))</f>
        <v>108511.94619468246</v>
      </c>
      <c r="AA481" s="18">
        <f>IF($A481&gt;'1-Input'!$B$26,Y481,Y481-'P-Parametri'!$B$8*(Z481+Y481)+MIN(MAX(Z481,0),'P-Parametri'!$B$8*(Z481+Y481)))</f>
        <v>18318.70531348556</v>
      </c>
      <c r="AB481" s="18">
        <f>IF($A481&gt;'1-Input'!$B$26,Z481,Z481-MIN(MAX(Z481,0),'P-Parametri'!$B$8*(Z481+Y481)))</f>
        <v>108258.28489166612</v>
      </c>
      <c r="AC481" s="18">
        <f>IF($A481&gt;'1-Input'!$B$26,AC480,AC480-X481*(1-W481))</f>
        <v>39408.159373331582</v>
      </c>
      <c r="AD481" s="11">
        <f>IF($A481&gt;'1-Input'!$B$26,0,IF(AI480&lt;=0,0,MAX(0,(AI480-AJ480)/AI480)))</f>
        <v>0.62594025793092289</v>
      </c>
      <c r="AE481" s="18">
        <f>IF($A481&gt;'1-Input'!$B$26,0,(MAX(0,AD451-IF($A481&gt;='1-Input'!$C$12,'1-Input'!$B$12,0))-MIN(MAX(AH480,0),MAX(0,AD451-IF($A481&gt;='1-Input'!$C$12,'1-Input'!$B$12,0))))*(1/(1-'P-Parametri'!$B$6*AD481))+MIN(MAX(0,AI480-(MAX(0,AD451-IF($A481&gt;='1-Input'!$C$12,'1-Input'!$B$12,0))-MIN(MAX(AH480,0),MAX(0,AD451-IF($A481&gt;='1-Input'!$C$12,'1-Input'!$B$12,0))))*(1/(1-'P-Parametri'!$B$6*AD481))),MAX(0,1*AD451-(AH480-MIN(MAX(AH480,0),MAX(0,AD451-IF($A481&gt;='1-Input'!$C$12,'1-Input'!$B$12,0)))))*(1/(1-'P-Parametri'!$B$6*AD481))))</f>
        <v>8765.0128262277522</v>
      </c>
      <c r="AF481" s="18">
        <f>IF($A481&gt;'1-Input'!$B$26,AH480,(AH480-MAX(0,AD451-IF($A481&gt;='1-Input'!$C$12,'1-Input'!$B$12,0))+AE481*(1-'P-Parametri'!$B$6*AD481))*(1+'1-Input'!$B$27))</f>
        <v>18308.259750184588</v>
      </c>
      <c r="AG481" s="18">
        <f>IF($A481&gt;'1-Input'!$B$26,AI480,(AI480-AE481)*(1+$C$4))</f>
        <v>109042.13623097939</v>
      </c>
      <c r="AH481" s="18">
        <f>IF($A481&gt;'1-Input'!$B$26,AF481,AF481-'P-Parametri'!$B$8*(AG481+AF481)+MIN(MAX(AG481,0),'P-Parametri'!$B$8*(AG481+AF481)))</f>
        <v>18308.259750184588</v>
      </c>
      <c r="AI481" s="18">
        <f>IF($A481&gt;'1-Input'!$B$26,AG481,AG481-MIN(MAX(AG481,0),'P-Parametri'!$B$8*(AG481+AF481)))</f>
        <v>108787.43543901706</v>
      </c>
      <c r="AJ481" s="18">
        <f>IF($A481&gt;'1-Input'!$B$26,AJ480,AJ480-AE481*(1-AD481))</f>
        <v>39600.265391477013</v>
      </c>
      <c r="AK481" s="11">
        <f>IF($A481&gt;'1-Input'!$B$26,0,IF(AP480&lt;=0,0,MAX(0,(AP480-AQ480)/AP480)))</f>
        <v>0.62594022268086646</v>
      </c>
      <c r="AL481" s="18">
        <f>IF($A481&gt;'1-Input'!$B$26,0,(MAX(0,AK451-IF($A481&gt;='1-Input'!$C$12,'1-Input'!$B$12,0))-MIN(MAX(AO480,0),MAX(0,AK451-IF($A481&gt;='1-Input'!$C$12,'1-Input'!$B$12,0))))*(1/(1-'P-Parametri'!$B$6*AK481))+MIN(MAX(0,AP480-(MAX(0,AK451-IF($A481&gt;='1-Input'!$C$12,'1-Input'!$B$12,0))-MIN(MAX(AO480,0),MAX(0,AK451-IF($A481&gt;='1-Input'!$C$12,'1-Input'!$B$12,0))))*(1/(1-'P-Parametri'!$B$6*AK481))),MAX(0,1*AK451-(AO480-MIN(MAX(AO480,0),MAX(0,AK451-IF($A481&gt;='1-Input'!$C$12,'1-Input'!$B$12,0)))))*(1/(1-'P-Parametri'!$B$6*AK481))))</f>
        <v>8765.1189945796414</v>
      </c>
      <c r="AM481" s="18">
        <f>IF($A481&gt;'1-Input'!$B$26,AO480,(AO480-MAX(0,AK451-IF($A481&gt;='1-Input'!$C$12,'1-Input'!$B$12,0))+AL481*(1-'P-Parametri'!$B$6*AK481))*(1+'1-Input'!$B$27))</f>
        <v>18308.348082268236</v>
      </c>
      <c r="AN481" s="18">
        <f>IF($A481&gt;'1-Input'!$B$26,AP480,(AP480-AL481)*(1+$C$4))</f>
        <v>109037.65271778904</v>
      </c>
      <c r="AO481" s="18">
        <f>IF($A481&gt;'1-Input'!$B$26,AM481,AM481-'P-Parametri'!$B$8*(AN481+AM481)+MIN(MAX(AN481,0),'P-Parametri'!$B$8*(AN481+AM481)))</f>
        <v>18308.348082268236</v>
      </c>
      <c r="AP481" s="18">
        <f>IF($A481&gt;'1-Input'!$B$26,AN481,AN481-MIN(MAX(AN481,0),'P-Parametri'!$B$8*(AN481+AM481)))</f>
        <v>108782.96071618893</v>
      </c>
      <c r="AQ481" s="18">
        <f>IF($A481&gt;'1-Input'!$B$26,AQ480,AQ480-AL481*(1-AK481))</f>
        <v>39598.640868948722</v>
      </c>
    </row>
    <row r="482" spans="1:43">
      <c r="A482" s="10">
        <f>29</f>
        <v>29</v>
      </c>
      <c r="B482" s="11">
        <f>IF($A482&gt;'1-Input'!$B$26,0,IF(G481&lt;=0,0,MAX(0,(G481-H481)/G481)))</f>
        <v>0.63651117370311217</v>
      </c>
      <c r="C482" s="18">
        <f>IF($A482&gt;'1-Input'!$B$26,0,(MAX(0,B451-IF($A482&gt;='1-Input'!$C$12,'1-Input'!$B$12,0))-MIN(MAX(F481,0),MAX(0,B451-IF($A482&gt;='1-Input'!$C$12,'1-Input'!$B$12,0))))*(1/(1-'P-Parametri'!$B$6*B482))+MIN(MAX(0,G481-(MAX(0,B451-IF($A482&gt;='1-Input'!$C$12,'1-Input'!$B$12,0))-MIN(MAX(F481,0),MAX(0,B451-IF($A482&gt;='1-Input'!$C$12,'1-Input'!$B$12,0))))*(1/(1-'P-Parametri'!$B$6*B482))),MAX(0,1*B451-(F481-MIN(MAX(F481,0),MAX(0,B451-IF($A482&gt;='1-Input'!$C$12,'1-Input'!$B$12,0)))))*(1/(1-'P-Parametri'!$B$6*B482))))</f>
        <v>6757.4106303537455</v>
      </c>
      <c r="D482" s="18">
        <f>IF($A482&gt;'1-Input'!$B$26,F481,(F481-MAX(0,B451-IF($A482&gt;='1-Input'!$C$12,'1-Input'!$B$12,0))+C482*(1-'P-Parametri'!$B$6*B482))*(1+'1-Input'!$B$27))</f>
        <v>16621.00351549315</v>
      </c>
      <c r="E482" s="18">
        <f>IF($A482&gt;'1-Input'!$B$26,G481,(G481-C482)*(1+$C$4))</f>
        <v>193135.3773554815</v>
      </c>
      <c r="F482" s="18">
        <f>IF($A482&gt;'1-Input'!$B$26,D482,D482-'P-Parametri'!$B$8*(E482+D482)+MIN(MAX(E482,0),'P-Parametri'!$B$8*(E482+D482)))</f>
        <v>16621.00351549315</v>
      </c>
      <c r="G482" s="18">
        <f>IF($A482&gt;'1-Input'!$B$26,E482,E482-MIN(MAX(E482,0),'P-Parametri'!$B$8*(E482+D482)))</f>
        <v>192715.86459373956</v>
      </c>
      <c r="H482" s="18">
        <f>IF($A482&gt;'1-Input'!$B$26,H481,H481-C482*(1-B482))</f>
        <v>68157.817117816026</v>
      </c>
      <c r="I482" s="11">
        <f>IF($A482&gt;'1-Input'!$B$26,0,IF(N481&lt;=0,0,MAX(0,(N481-O481)/N481)))</f>
        <v>0</v>
      </c>
      <c r="J482" s="18">
        <f>IF($A482&gt;'1-Input'!$B$26,0,(MAX(0,I451-IF($A482&gt;='1-Input'!$C$12,'1-Input'!$B$12,0))-MIN(MAX(M481,0),MAX(0,I451-IF($A482&gt;='1-Input'!$C$12,'1-Input'!$B$12,0))))*(1/(1-'P-Parametri'!$B$6*I482))+MIN(MAX(0,N481-(MAX(0,I451-IF($A482&gt;='1-Input'!$C$12,'1-Input'!$B$12,0))-MIN(MAX(M481,0),MAX(0,I451-IF($A482&gt;='1-Input'!$C$12,'1-Input'!$B$12,0))))*(1/(1-'P-Parametri'!$B$6*I482))),MAX(0,1*I451-(M481-MIN(MAX(M481,0),MAX(0,I451-IF($A482&gt;='1-Input'!$C$12,'1-Input'!$B$12,0)))))*(1/(1-'P-Parametri'!$B$6*I482))))</f>
        <v>10846.756992928691</v>
      </c>
      <c r="K482" s="18">
        <f>IF($A482&gt;'1-Input'!$B$26,M481,(M481-MAX(0,I451-IF($A482&gt;='1-Input'!$C$12,'1-Input'!$B$12,0))+J482*(1-'P-Parametri'!$B$6*I482))*(1+'1-Input'!$B$27))</f>
        <v>0</v>
      </c>
      <c r="L482" s="18">
        <f>IF($A482&gt;'1-Input'!$B$26,N481,(N481-J482)*(1+$C$4))</f>
        <v>-47236.265029776856</v>
      </c>
      <c r="M482" s="18">
        <f>IF($A482&gt;'1-Input'!$B$26,K482,K482-'P-Parametri'!$B$8*(L482+K482)+MIN(MAX(L482,0),'P-Parametri'!$B$8*(L482+K482)))</f>
        <v>0</v>
      </c>
      <c r="N482" s="18">
        <f>IF($A482&gt;'1-Input'!$B$26,L482,L482-MIN(MAX(L482,0),'P-Parametri'!$B$8*(L482+K482)))</f>
        <v>-47141.792499717303</v>
      </c>
      <c r="O482" s="18">
        <f>IF($A482&gt;'1-Input'!$B$26,O481,O481-J482*(1-I482))</f>
        <v>-43943.184842279916</v>
      </c>
      <c r="P482" s="11">
        <f>IF($A482&gt;'1-Input'!$B$26,0,IF(U481&lt;=0,0,MAX(0,(U481-V481)/U481)))</f>
        <v>0.63585373705289694</v>
      </c>
      <c r="Q482" s="18">
        <f>IF($A482&gt;'1-Input'!$B$26,0,(MAX(0,P451-IF($A482&gt;='1-Input'!$C$12,'1-Input'!$B$12,0))-MIN(MAX(T481,0),MAX(0,P451-IF($A482&gt;='1-Input'!$C$12,'1-Input'!$B$12,0))))*(1/(1-'P-Parametri'!$B$6*P482))+MIN(MAX(0,U481-(MAX(0,P451-IF($A482&gt;='1-Input'!$C$12,'1-Input'!$B$12,0))-MIN(MAX(T481,0),MAX(0,P451-IF($A482&gt;='1-Input'!$C$12,'1-Input'!$B$12,0))))*(1/(1-'P-Parametri'!$B$6*P482))),MAX(0,1*P451-(T481-MIN(MAX(T481,0),MAX(0,P451-IF($A482&gt;='1-Input'!$C$12,'1-Input'!$B$12,0)))))*(1/(1-'P-Parametri'!$B$6*P482))))</f>
        <v>9114.693551253602</v>
      </c>
      <c r="R482" s="18">
        <f>IF($A482&gt;'1-Input'!$B$26,T481,(T481-MAX(0,P451-IF($A482&gt;='1-Input'!$C$12,'1-Input'!$B$12,0))+Q482*(1-'P-Parametri'!$B$6*P482))*(1+'1-Input'!$B$27))</f>
        <v>18575.606853855934</v>
      </c>
      <c r="S482" s="18">
        <f>IF($A482&gt;'1-Input'!$B$26,U481,(U481-Q482)*(1+$C$4))</f>
        <v>88713.611822245482</v>
      </c>
      <c r="T482" s="18">
        <f>IF($A482&gt;'1-Input'!$B$26,R482,R482-'P-Parametri'!$B$8*(S482+R482)+MIN(MAX(S482,0),'P-Parametri'!$B$8*(S482+R482)))</f>
        <v>18575.606853855934</v>
      </c>
      <c r="U482" s="18">
        <f>IF($A482&gt;'1-Input'!$B$26,S482,S482-MIN(MAX(S482,0),'P-Parametri'!$B$8*(S482+R482)))</f>
        <v>88499.033384893279</v>
      </c>
      <c r="V482" s="18">
        <f>IF($A482&gt;'1-Input'!$B$26,V481,V481-Q482*(1-P482))</f>
        <v>31363.815745253043</v>
      </c>
      <c r="W482" s="11">
        <f>IF($A482&gt;'1-Input'!$B$26,0,IF(AB481&lt;=0,0,MAX(0,(AB481-AC481)/AB481)))</f>
        <v>0.63598019853383725</v>
      </c>
      <c r="X482" s="18">
        <f>IF($A482&gt;'1-Input'!$B$26,0,(MAX(0,W451-IF($A482&gt;='1-Input'!$C$12,'1-Input'!$B$12,0))-MIN(MAX(AA481,0),MAX(0,W451-IF($A482&gt;='1-Input'!$C$12,'1-Input'!$B$12,0))))*(1/(1-'P-Parametri'!$B$6*W482))+MIN(MAX(0,AB481-(MAX(0,W451-IF($A482&gt;='1-Input'!$C$12,'1-Input'!$B$12,0))-MIN(MAX(AA481,0),MAX(0,W451-IF($A482&gt;='1-Input'!$C$12,'1-Input'!$B$12,0))))*(1/(1-'P-Parametri'!$B$6*W482))),MAX(0,1*W451-(AA481-MIN(MAX(AA481,0),MAX(0,W451-IF($A482&gt;='1-Input'!$C$12,'1-Input'!$B$12,0)))))*(1/(1-'P-Parametri'!$B$6*W482))))</f>
        <v>8805.0311469118169</v>
      </c>
      <c r="Y482" s="18">
        <f>IF($A482&gt;'1-Input'!$B$26,AA481,(AA481-MAX(0,W451-IF($A482&gt;='1-Input'!$C$12,'1-Input'!$B$12,0))+X482*(1-'P-Parametri'!$B$6*W482))*(1+'1-Input'!$B$27))</f>
        <v>18318.70531348556</v>
      </c>
      <c r="Z482" s="18">
        <f>IF($A482&gt;'1-Input'!$B$26,AB481,(AB481-X482)*(1+$C$4))</f>
        <v>102436.85135709694</v>
      </c>
      <c r="AA482" s="18">
        <f>IF($A482&gt;'1-Input'!$B$26,Y482,Y482-'P-Parametri'!$B$8*(Z482+Y482)+MIN(MAX(Z482,0),'P-Parametri'!$B$8*(Z482+Y482)))</f>
        <v>18318.70531348556</v>
      </c>
      <c r="AB482" s="18">
        <f>IF($A482&gt;'1-Input'!$B$26,Z482,Z482-MIN(MAX(Z482,0),'P-Parametri'!$B$8*(Z482+Y482)))</f>
        <v>102195.34024375577</v>
      </c>
      <c r="AC482" s="18">
        <f>IF($A482&gt;'1-Input'!$B$26,AC481,AC481-X482*(1-W482))</f>
        <v>36202.953683329361</v>
      </c>
      <c r="AD482" s="11">
        <f>IF($A482&gt;'1-Input'!$B$26,0,IF(AI481&lt;=0,0,MAX(0,(AI481-AJ481)/AI481)))</f>
        <v>0.6359849349176383</v>
      </c>
      <c r="AE482" s="18">
        <f>IF($A482&gt;'1-Input'!$B$26,0,(MAX(0,AD451-IF($A482&gt;='1-Input'!$C$12,'1-Input'!$B$12,0))-MIN(MAX(AH481,0),MAX(0,AD451-IF($A482&gt;='1-Input'!$C$12,'1-Input'!$B$12,0))))*(1/(1-'P-Parametri'!$B$6*AD482))+MIN(MAX(0,AI481-(MAX(0,AD451-IF($A482&gt;='1-Input'!$C$12,'1-Input'!$B$12,0))-MIN(MAX(AH481,0),MAX(0,AD451-IF($A482&gt;='1-Input'!$C$12,'1-Input'!$B$12,0))))*(1/(1-'P-Parametri'!$B$6*AD482))),MAX(0,1*AD451-(AH481-MIN(MAX(AH481,0),MAX(0,AD451-IF($A482&gt;='1-Input'!$C$12,'1-Input'!$B$12,0)))))*(1/(1-'P-Parametri'!$B$6*AD482))))</f>
        <v>8792.4387109890504</v>
      </c>
      <c r="AF482" s="18">
        <f>IF($A482&gt;'1-Input'!$B$26,AH481,(AH481-MAX(0,AD451-IF($A482&gt;='1-Input'!$C$12,'1-Input'!$B$12,0))+AE482*(1-'P-Parametri'!$B$6*AD482))*(1+'1-Input'!$B$27))</f>
        <v>18308.259750184588</v>
      </c>
      <c r="AG482" s="18">
        <f>IF($A482&gt;'1-Input'!$B$26,AI481,(AI481-AE482)*(1+$C$4))</f>
        <v>102994.84662986886</v>
      </c>
      <c r="AH482" s="18">
        <f>IF($A482&gt;'1-Input'!$B$26,AF482,AF482-'P-Parametri'!$B$8*(AG482+AF482)+MIN(MAX(AG482,0),'P-Parametri'!$B$8*(AG482+AF482)))</f>
        <v>18308.259750184588</v>
      </c>
      <c r="AI482" s="18">
        <f>IF($A482&gt;'1-Input'!$B$26,AG482,AG482-MIN(MAX(AG482,0),'P-Parametri'!$B$8*(AG482+AF482)))</f>
        <v>102752.24041710875</v>
      </c>
      <c r="AJ482" s="18">
        <f>IF($A482&gt;'1-Input'!$B$26,AJ481,AJ481-AE482*(1-AD482))</f>
        <v>36399.685241863655</v>
      </c>
      <c r="AK482" s="11">
        <f>IF($A482&gt;'1-Input'!$B$26,0,IF(AP481&lt;=0,0,MAX(0,(AP481-AQ481)/AP481)))</f>
        <v>0.63598489498497612</v>
      </c>
      <c r="AL482" s="18">
        <f>IF($A482&gt;'1-Input'!$B$26,0,(MAX(0,AK451-IF($A482&gt;='1-Input'!$C$12,'1-Input'!$B$12,0))-MIN(MAX(AO481,0),MAX(0,AK451-IF($A482&gt;='1-Input'!$C$12,'1-Input'!$B$12,0))))*(1/(1-'P-Parametri'!$B$6*AK482))+MIN(MAX(0,AP481-(MAX(0,AK451-IF($A482&gt;='1-Input'!$C$12,'1-Input'!$B$12,0))-MIN(MAX(AO481,0),MAX(0,AK451-IF($A482&gt;='1-Input'!$C$12,'1-Input'!$B$12,0))))*(1/(1-'P-Parametri'!$B$6*AK482))),MAX(0,1*AK451-(AO481-MIN(MAX(AO481,0),MAX(0,AK451-IF($A482&gt;='1-Input'!$C$12,'1-Input'!$B$12,0)))))*(1/(1-'P-Parametri'!$B$6*AK482))))</f>
        <v>8792.5451984169868</v>
      </c>
      <c r="AM482" s="18">
        <f>IF($A482&gt;'1-Input'!$B$26,AO481,(AO481-MAX(0,AK451-IF($A482&gt;='1-Input'!$C$12,'1-Input'!$B$12,0))+AL482*(1-'P-Parametri'!$B$6*AK482))*(1+'1-Input'!$B$27))</f>
        <v>18308.348082268236</v>
      </c>
      <c r="AN482" s="18">
        <f>IF($A482&gt;'1-Input'!$B$26,AP481,(AP481-AL482)*(1+$C$4))</f>
        <v>102990.12798330509</v>
      </c>
      <c r="AO482" s="18">
        <f>IF($A482&gt;'1-Input'!$B$26,AM482,AM482-'P-Parametri'!$B$8*(AN482+AM482)+MIN(MAX(AN482,0),'P-Parametri'!$B$8*(AN482+AM482)))</f>
        <v>18308.348082268236</v>
      </c>
      <c r="AP482" s="18">
        <f>IF($A482&gt;'1-Input'!$B$26,AN482,AN482-MIN(MAX(AN482,0),'P-Parametri'!$B$8*(AN482+AM482)))</f>
        <v>102747.53103117394</v>
      </c>
      <c r="AQ482" s="18">
        <f>IF($A482&gt;'1-Input'!$B$26,AQ481,AQ481-AL482*(1-AK482))</f>
        <v>36398.021605197617</v>
      </c>
    </row>
    <row r="483" spans="1:43">
      <c r="A483" s="10">
        <f>30</f>
        <v>30</v>
      </c>
      <c r="B483" s="11">
        <f>IF($A483&gt;'1-Input'!$B$26,0,IF(G482&lt;=0,0,MAX(0,(G482-H482)/G482)))</f>
        <v>0.64633001407798907</v>
      </c>
      <c r="C483" s="18">
        <f>IF($A483&gt;'1-Input'!$B$26,0,(MAX(0,B451-IF($A483&gt;='1-Input'!$C$12,'1-Input'!$B$12,0))-MIN(MAX(F482,0),MAX(0,B451-IF($A483&gt;='1-Input'!$C$12,'1-Input'!$B$12,0))))*(1/(1-'P-Parametri'!$B$6*B483))+MIN(MAX(0,G482-(MAX(0,B451-IF($A483&gt;='1-Input'!$C$12,'1-Input'!$B$12,0))-MIN(MAX(F482,0),MAX(0,B451-IF($A483&gt;='1-Input'!$C$12,'1-Input'!$B$12,0))))*(1/(1-'P-Parametri'!$B$6*B483))),MAX(0,1*B451-(F482-MIN(MAX(F482,0),MAX(0,B451-IF($A483&gt;='1-Input'!$C$12,'1-Input'!$B$12,0)))))*(1/(1-'P-Parametri'!$B$6*B483))))</f>
        <v>6778.146126996352</v>
      </c>
      <c r="D483" s="18">
        <f>IF($A483&gt;'1-Input'!$B$26,F482,(F482-MAX(0,B451-IF($A483&gt;='1-Input'!$C$12,'1-Input'!$B$12,0))+C483*(1-'P-Parametri'!$B$6*B483))*(1+'1-Input'!$B$27))</f>
        <v>16621.00351549315</v>
      </c>
      <c r="E483" s="18">
        <f>IF($A483&gt;'1-Input'!$B$26,G482,(G482-C483)*(1+$C$4))</f>
        <v>191515.85002074551</v>
      </c>
      <c r="F483" s="18">
        <f>IF($A483&gt;'1-Input'!$B$26,D483,D483-'P-Parametri'!$B$8*(E483+D483)+MIN(MAX(E483,0),'P-Parametri'!$B$8*(E483+D483)))</f>
        <v>16621.00351549315</v>
      </c>
      <c r="G483" s="18">
        <f>IF($A483&gt;'1-Input'!$B$26,E483,E483-MIN(MAX(E483,0),'P-Parametri'!$B$8*(E483+D483)))</f>
        <v>191099.57631367302</v>
      </c>
      <c r="H483" s="18">
        <f>IF($A483&gt;'1-Input'!$B$26,H482,H482-C483*(1-B483))</f>
        <v>65760.59027250389</v>
      </c>
      <c r="I483" s="11">
        <f>IF($A483&gt;'1-Input'!$B$26,0,IF(N482&lt;=0,0,MAX(0,(N482-O482)/N482)))</f>
        <v>0</v>
      </c>
      <c r="J483" s="18">
        <f>IF($A483&gt;'1-Input'!$B$26,0,(MAX(0,I451-IF($A483&gt;='1-Input'!$C$12,'1-Input'!$B$12,0))-MIN(MAX(M482,0),MAX(0,I451-IF($A483&gt;='1-Input'!$C$12,'1-Input'!$B$12,0))))*(1/(1-'P-Parametri'!$B$6*I483))+MIN(MAX(0,N482-(MAX(0,I451-IF($A483&gt;='1-Input'!$C$12,'1-Input'!$B$12,0))-MIN(MAX(M482,0),MAX(0,I451-IF($A483&gt;='1-Input'!$C$12,'1-Input'!$B$12,0))))*(1/(1-'P-Parametri'!$B$6*I483))),MAX(0,1*I451-(M482-MIN(MAX(M482,0),MAX(0,I451-IF($A483&gt;='1-Input'!$C$12,'1-Input'!$B$12,0)))))*(1/(1-'P-Parametri'!$B$6*I483))))</f>
        <v>10846.756992928691</v>
      </c>
      <c r="K483" s="18">
        <f>IF($A483&gt;'1-Input'!$B$26,M482,(M482-MAX(0,I451-IF($A483&gt;='1-Input'!$C$12,'1-Input'!$B$12,0))+J483*(1-'P-Parametri'!$B$6*I483))*(1+'1-Input'!$B$27))</f>
        <v>0</v>
      </c>
      <c r="L483" s="18">
        <f>IF($A483&gt;'1-Input'!$B$26,N482,(N482-J483)*(1+$C$4))</f>
        <v>-59728.205977425372</v>
      </c>
      <c r="M483" s="18">
        <f>IF($A483&gt;'1-Input'!$B$26,K483,K483-'P-Parametri'!$B$8*(L483+K483)+MIN(MAX(L483,0),'P-Parametri'!$B$8*(L483+K483)))</f>
        <v>0</v>
      </c>
      <c r="N483" s="18">
        <f>IF($A483&gt;'1-Input'!$B$26,L483,L483-MIN(MAX(L483,0),'P-Parametri'!$B$8*(L483+K483)))</f>
        <v>-59608.74956547052</v>
      </c>
      <c r="O483" s="18">
        <f>IF($A483&gt;'1-Input'!$B$26,O482,O482-J483*(1-I483))</f>
        <v>-54789.941835208607</v>
      </c>
      <c r="P483" s="11">
        <f>IF($A483&gt;'1-Input'!$B$26,0,IF(U482&lt;=0,0,MAX(0,(U482-V482)/U482)))</f>
        <v>0.6456027309490725</v>
      </c>
      <c r="Q483" s="18">
        <f>IF($A483&gt;'1-Input'!$B$26,0,(MAX(0,P451-IF($A483&gt;='1-Input'!$C$12,'1-Input'!$B$12,0))-MIN(MAX(T482,0),MAX(0,P451-IF($A483&gt;='1-Input'!$C$12,'1-Input'!$B$12,0))))*(1/(1-'P-Parametri'!$B$6*P483))+MIN(MAX(0,U482-(MAX(0,P451-IF($A483&gt;='1-Input'!$C$12,'1-Input'!$B$12,0))-MIN(MAX(T482,0),MAX(0,P451-IF($A483&gt;='1-Input'!$C$12,'1-Input'!$B$12,0))))*(1/(1-'P-Parametri'!$B$6*P483))),MAX(0,1*P451-(T482-MIN(MAX(T482,0),MAX(0,P451-IF($A483&gt;='1-Input'!$C$12,'1-Input'!$B$12,0)))))*(1/(1-'P-Parametri'!$B$6*P483))))</f>
        <v>9142.4572358810838</v>
      </c>
      <c r="R483" s="18">
        <f>IF($A483&gt;'1-Input'!$B$26,T482,(T482-MAX(0,P451-IF($A483&gt;='1-Input'!$C$12,'1-Input'!$B$12,0))+Q483*(1-'P-Parametri'!$B$6*P483))*(1+'1-Input'!$B$27))</f>
        <v>18575.606853855934</v>
      </c>
      <c r="S483" s="18">
        <f>IF($A483&gt;'1-Input'!$B$26,U482,(U482-Q483)*(1+$C$4))</f>
        <v>81737.273433482565</v>
      </c>
      <c r="T483" s="18">
        <f>IF($A483&gt;'1-Input'!$B$26,R483,R483-'P-Parametri'!$B$8*(S483+R483)+MIN(MAX(S483,0),'P-Parametri'!$B$8*(S483+R483)))</f>
        <v>18575.606853855934</v>
      </c>
      <c r="U483" s="18">
        <f>IF($A483&gt;'1-Input'!$B$26,S483,S483-MIN(MAX(S483,0),'P-Parametri'!$B$8*(S483+R483)))</f>
        <v>81536.647672907886</v>
      </c>
      <c r="V483" s="18">
        <f>IF($A483&gt;'1-Input'!$B$26,V482,V482-Q483*(1-P483))</f>
        <v>28123.753868441898</v>
      </c>
      <c r="W483" s="11">
        <f>IF($A483&gt;'1-Input'!$B$26,0,IF(AB482&lt;=0,0,MAX(0,(AB482-AC482)/AB482)))</f>
        <v>0.64574751063034508</v>
      </c>
      <c r="X483" s="18">
        <f>IF($A483&gt;'1-Input'!$B$26,0,(MAX(0,W451-IF($A483&gt;='1-Input'!$C$12,'1-Input'!$B$12,0))-MIN(MAX(AA482,0),MAX(0,W451-IF($A483&gt;='1-Input'!$C$12,'1-Input'!$B$12,0))))*(1/(1-'P-Parametri'!$B$6*W483))+MIN(MAX(0,AB482-(MAX(0,W451-IF($A483&gt;='1-Input'!$C$12,'1-Input'!$B$12,0))-MIN(MAX(AA482,0),MAX(0,W451-IF($A483&gt;='1-Input'!$C$12,'1-Input'!$B$12,0))))*(1/(1-'P-Parametri'!$B$6*W483))),MAX(0,1*W451-(AA482-MIN(MAX(AA482,0),MAX(0,W451-IF($A483&gt;='1-Input'!$C$12,'1-Input'!$B$12,0)))))*(1/(1-'P-Parametri'!$B$6*W483))))</f>
        <v>8831.9031994623856</v>
      </c>
      <c r="Y483" s="18">
        <f>IF($A483&gt;'1-Input'!$B$26,AA482,(AA482-MAX(0,W451-IF($A483&gt;='1-Input'!$C$12,'1-Input'!$B$12,0))+X483*(1-'P-Parametri'!$B$6*W483))*(1+'1-Input'!$B$27))</f>
        <v>18318.70531348556</v>
      </c>
      <c r="Z483" s="18">
        <f>IF($A483&gt;'1-Input'!$B$26,AB482,(AB482-X483)*(1+$C$4))</f>
        <v>96164.340155622194</v>
      </c>
      <c r="AA483" s="18">
        <f>IF($A483&gt;'1-Input'!$B$26,Y483,Y483-'P-Parametri'!$B$8*(Z483+Y483)+MIN(MAX(Z483,0),'P-Parametri'!$B$8*(Z483+Y483)))</f>
        <v>18318.70531348556</v>
      </c>
      <c r="AB483" s="18">
        <f>IF($A483&gt;'1-Input'!$B$26,Z483,Z483-MIN(MAX(Z483,0),'P-Parametri'!$B$8*(Z483+Y483)))</f>
        <v>95935.374064683972</v>
      </c>
      <c r="AC483" s="18">
        <f>IF($A483&gt;'1-Input'!$B$26,AC482,AC482-X483*(1-W483))</f>
        <v>33074.229989047992</v>
      </c>
      <c r="AD483" s="11">
        <f>IF($A483&gt;'1-Input'!$B$26,0,IF(AI482&lt;=0,0,MAX(0,(AI482-AJ482)/AI482)))</f>
        <v>0.64575287999459596</v>
      </c>
      <c r="AE483" s="18">
        <f>IF($A483&gt;'1-Input'!$B$26,0,(MAX(0,AD451-IF($A483&gt;='1-Input'!$C$12,'1-Input'!$B$12,0))-MIN(MAX(AH482,0),MAX(0,AD451-IF($A483&gt;='1-Input'!$C$12,'1-Input'!$B$12,0))))*(1/(1-'P-Parametri'!$B$6*AD483))+MIN(MAX(0,AI482-(MAX(0,AD451-IF($A483&gt;='1-Input'!$C$12,'1-Input'!$B$12,0))-MIN(MAX(AH482,0),MAX(0,AD451-IF($A483&gt;='1-Input'!$C$12,'1-Input'!$B$12,0))))*(1/(1-'P-Parametri'!$B$6*AD483))),MAX(0,1*AD451-(AH482-MIN(MAX(AH482,0),MAX(0,AD451-IF($A483&gt;='1-Input'!$C$12,'1-Input'!$B$12,0)))))*(1/(1-'P-Parametri'!$B$6*AD483))))</f>
        <v>8819.2741167177683</v>
      </c>
      <c r="AF483" s="18">
        <f>IF($A483&gt;'1-Input'!$B$26,AH482,(AH482-MAX(0,AD451-IF($A483&gt;='1-Input'!$C$12,'1-Input'!$B$12,0))+AE483*(1-'P-Parametri'!$B$6*AD483))*(1+'1-Input'!$B$27))</f>
        <v>18308.259750184588</v>
      </c>
      <c r="AG483" s="18">
        <f>IF($A483&gt;'1-Input'!$B$26,AI482,(AI482-AE483)*(1+$C$4))</f>
        <v>96750.955289402715</v>
      </c>
      <c r="AH483" s="18">
        <f>IF($A483&gt;'1-Input'!$B$26,AF483,AF483-'P-Parametri'!$B$8*(AG483+AF483)+MIN(MAX(AG483,0),'P-Parametri'!$B$8*(AG483+AF483)))</f>
        <v>18308.259750184588</v>
      </c>
      <c r="AI483" s="18">
        <f>IF($A483&gt;'1-Input'!$B$26,AG483,AG483-MIN(MAX(AG483,0),'P-Parametri'!$B$8*(AG483+AF483)))</f>
        <v>96520.836859323535</v>
      </c>
      <c r="AJ483" s="18">
        <f>IF($A483&gt;'1-Input'!$B$26,AJ482,AJ482-AE483*(1-AD483))</f>
        <v>33275.482785478183</v>
      </c>
      <c r="AK483" s="11">
        <f>IF($A483&gt;'1-Input'!$B$26,0,IF(AP482&lt;=0,0,MAX(0,(AP482-AQ482)/AP482)))</f>
        <v>0.64575283474058043</v>
      </c>
      <c r="AL483" s="18">
        <f>IF($A483&gt;'1-Input'!$B$26,0,(MAX(0,AK451-IF($A483&gt;='1-Input'!$C$12,'1-Input'!$B$12,0))-MIN(MAX(AO482,0),MAX(0,AK451-IF($A483&gt;='1-Input'!$C$12,'1-Input'!$B$12,0))))*(1/(1-'P-Parametri'!$B$6*AK483))+MIN(MAX(0,AP482-(MAX(0,AK451-IF($A483&gt;='1-Input'!$C$12,'1-Input'!$B$12,0))-MIN(MAX(AO482,0),MAX(0,AK451-IF($A483&gt;='1-Input'!$C$12,'1-Input'!$B$12,0))))*(1/(1-'P-Parametri'!$B$6*AK483))),MAX(0,1*AK451-(AO482-MIN(MAX(AO482,0),MAX(0,AK451-IF($A483&gt;='1-Input'!$C$12,'1-Input'!$B$12,0)))))*(1/(1-'P-Parametri'!$B$6*AK483))))</f>
        <v>8819.3809141570709</v>
      </c>
      <c r="AM483" s="18">
        <f>IF($A483&gt;'1-Input'!$B$26,AO482,(AO482-MAX(0,AK451-IF($A483&gt;='1-Input'!$C$12,'1-Input'!$B$12,0))+AL483*(1-'P-Parametri'!$B$6*AK483))*(1+'1-Input'!$B$27))</f>
        <v>18308.348082268236</v>
      </c>
      <c r="AN483" s="18">
        <f>IF($A483&gt;'1-Input'!$B$26,AP482,(AP482-AL483)*(1+$C$4))</f>
        <v>96745.994620527388</v>
      </c>
      <c r="AO483" s="18">
        <f>IF($A483&gt;'1-Input'!$B$26,AM483,AM483-'P-Parametri'!$B$8*(AN483+AM483)+MIN(MAX(AN483,0),'P-Parametri'!$B$8*(AN483+AM483)))</f>
        <v>18308.348082268236</v>
      </c>
      <c r="AP483" s="18">
        <f>IF($A483&gt;'1-Input'!$B$26,AN483,AN483-MIN(MAX(AN483,0),'P-Parametri'!$B$8*(AN483+AM483)))</f>
        <v>96515.885935121798</v>
      </c>
      <c r="AQ483" s="18">
        <f>IF($A483&gt;'1-Input'!$B$26,AQ482,AQ482-AL483*(1-AK483))</f>
        <v>33273.780917014446</v>
      </c>
    </row>
    <row r="484" spans="1:43">
      <c r="A484" s="10">
        <f>31</f>
        <v>31</v>
      </c>
      <c r="B484" s="11">
        <f>IF($A484&gt;'1-Input'!$B$26,0,IF(G483&lt;=0,0,MAX(0,(G483-H483)/G483)))</f>
        <v>0.65588311841903979</v>
      </c>
      <c r="C484" s="18">
        <f>IF($A484&gt;'1-Input'!$B$26,0,(MAX(0,B451-IF($A484&gt;='1-Input'!$C$12,'1-Input'!$B$12,0))-MIN(MAX(F483,0),MAX(0,B451-IF($A484&gt;='1-Input'!$C$12,'1-Input'!$B$12,0))))*(1/(1-'P-Parametri'!$B$6*B484))+MIN(MAX(0,G483-(MAX(0,B451-IF($A484&gt;='1-Input'!$C$12,'1-Input'!$B$12,0))-MIN(MAX(F483,0),MAX(0,B451-IF($A484&gt;='1-Input'!$C$12,'1-Input'!$B$12,0))))*(1/(1-'P-Parametri'!$B$6*B484))),MAX(0,1*B451-(F483-MIN(MAX(F483,0),MAX(0,B451-IF($A484&gt;='1-Input'!$C$12,'1-Input'!$B$12,0)))))*(1/(1-'P-Parametri'!$B$6*B484))))</f>
        <v>6798.4429427578352</v>
      </c>
      <c r="D484" s="18">
        <f>IF($A484&gt;'1-Input'!$B$26,F483,(F483-MAX(0,B451-IF($A484&gt;='1-Input'!$C$12,'1-Input'!$B$12,0))+C484*(1-'P-Parametri'!$B$6*B484))*(1+'1-Input'!$B$27))</f>
        <v>16621.00351549315</v>
      </c>
      <c r="E484" s="18">
        <f>IF($A484&gt;'1-Input'!$B$26,G483,(G483-C484)*(1+$C$4))</f>
        <v>189830.16737204266</v>
      </c>
      <c r="F484" s="18">
        <f>IF($A484&gt;'1-Input'!$B$26,D484,D484-'P-Parametri'!$B$8*(E484+D484)+MIN(MAX(E484,0),'P-Parametri'!$B$8*(E484+D484)))</f>
        <v>16621.00351549315</v>
      </c>
      <c r="G484" s="18">
        <f>IF($A484&gt;'1-Input'!$B$26,E484,E484-MIN(MAX(E484,0),'P-Parametri'!$B$8*(E484+D484)))</f>
        <v>189417.26503026759</v>
      </c>
      <c r="H484" s="18">
        <f>IF($A484&gt;'1-Input'!$B$26,H483,H483-C484*(1-B484))</f>
        <v>63421.131287435979</v>
      </c>
      <c r="I484" s="11">
        <f>IF($A484&gt;'1-Input'!$B$26,0,IF(N483&lt;=0,0,MAX(0,(N483-O483)/N483)))</f>
        <v>0</v>
      </c>
      <c r="J484" s="18">
        <f>IF($A484&gt;'1-Input'!$B$26,0,(MAX(0,I451-IF($A484&gt;='1-Input'!$C$12,'1-Input'!$B$12,0))-MIN(MAX(M483,0),MAX(0,I451-IF($A484&gt;='1-Input'!$C$12,'1-Input'!$B$12,0))))*(1/(1-'P-Parametri'!$B$6*I484))+MIN(MAX(0,N483-(MAX(0,I451-IF($A484&gt;='1-Input'!$C$12,'1-Input'!$B$12,0))-MIN(MAX(M483,0),MAX(0,I451-IF($A484&gt;='1-Input'!$C$12,'1-Input'!$B$12,0))))*(1/(1-'P-Parametri'!$B$6*I484))),MAX(0,1*I451-(M483-MIN(MAX(M483,0),MAX(0,I451-IF($A484&gt;='1-Input'!$C$12,'1-Input'!$B$12,0)))))*(1/(1-'P-Parametri'!$B$6*I484))))</f>
        <v>10846.756992928691</v>
      </c>
      <c r="K484" s="18">
        <f>IF($A484&gt;'1-Input'!$B$26,M483,(M483-MAX(0,I451-IF($A484&gt;='1-Input'!$C$12,'1-Input'!$B$12,0))+J484*(1-'P-Parametri'!$B$6*I484))*(1+'1-Input'!$B$27))</f>
        <v>0</v>
      </c>
      <c r="L484" s="18">
        <f>IF($A484&gt;'1-Input'!$B$26,N483,(N483-J484)*(1+$C$4))</f>
        <v>-72569.171755151183</v>
      </c>
      <c r="M484" s="18">
        <f>IF($A484&gt;'1-Input'!$B$26,K484,K484-'P-Parametri'!$B$8*(L484+K484)+MIN(MAX(L484,0),'P-Parametri'!$B$8*(L484+K484)))</f>
        <v>0</v>
      </c>
      <c r="N484" s="18">
        <f>IF($A484&gt;'1-Input'!$B$26,L484,L484-MIN(MAX(L484,0),'P-Parametri'!$B$8*(L484+K484)))</f>
        <v>-72424.033411640878</v>
      </c>
      <c r="O484" s="18">
        <f>IF($A484&gt;'1-Input'!$B$26,O483,O483-J484*(1-I484))</f>
        <v>-65636.698828137305</v>
      </c>
      <c r="P484" s="11">
        <f>IF($A484&gt;'1-Input'!$B$26,0,IF(U483&lt;=0,0,MAX(0,(U483-V483)/U483)))</f>
        <v>0.65507836450103951</v>
      </c>
      <c r="Q484" s="18">
        <f>IF($A484&gt;'1-Input'!$B$26,0,(MAX(0,P451-IF($A484&gt;='1-Input'!$C$12,'1-Input'!$B$12,0))-MIN(MAX(T483,0),MAX(0,P451-IF($A484&gt;='1-Input'!$C$12,'1-Input'!$B$12,0))))*(1/(1-'P-Parametri'!$B$6*P484))+MIN(MAX(0,U483-(MAX(0,P451-IF($A484&gt;='1-Input'!$C$12,'1-Input'!$B$12,0))-MIN(MAX(T483,0),MAX(0,P451-IF($A484&gt;='1-Input'!$C$12,'1-Input'!$B$12,0))))*(1/(1-'P-Parametri'!$B$6*P484))),MAX(0,1*P451-(T483-MIN(MAX(T483,0),MAX(0,P451-IF($A484&gt;='1-Input'!$C$12,'1-Input'!$B$12,0)))))*(1/(1-'P-Parametri'!$B$6*P484))))</f>
        <v>9169.6050031557297</v>
      </c>
      <c r="R484" s="18">
        <f>IF($A484&gt;'1-Input'!$B$26,T483,(T483-MAX(0,P451-IF($A484&gt;='1-Input'!$C$12,'1-Input'!$B$12,0))+Q484*(1-'P-Parametri'!$B$6*P484))*(1+'1-Input'!$B$27))</f>
        <v>18575.606853855934</v>
      </c>
      <c r="S484" s="18">
        <f>IF($A484&gt;'1-Input'!$B$26,U483,(U483-Q484)*(1+$C$4))</f>
        <v>74538.053949844732</v>
      </c>
      <c r="T484" s="18">
        <f>IF($A484&gt;'1-Input'!$B$26,R484,R484-'P-Parametri'!$B$8*(S484+R484)+MIN(MAX(S484,0),'P-Parametri'!$B$8*(S484+R484)))</f>
        <v>18575.606853855934</v>
      </c>
      <c r="U484" s="18">
        <f>IF($A484&gt;'1-Input'!$B$26,S484,S484-MIN(MAX(S484,0),'P-Parametri'!$B$8*(S484+R484)))</f>
        <v>74351.826628237337</v>
      </c>
      <c r="V484" s="18">
        <f>IF($A484&gt;'1-Input'!$B$26,V483,V483-Q484*(1-P484))</f>
        <v>24960.958713873973</v>
      </c>
      <c r="W484" s="11">
        <f>IF($A484&gt;'1-Input'!$B$26,0,IF(AB483&lt;=0,0,MAX(0,(AB483-AC483)/AB483)))</f>
        <v>0.65524468621190923</v>
      </c>
      <c r="X484" s="18">
        <f>IF($A484&gt;'1-Input'!$B$26,0,(MAX(0,W451-IF($A484&gt;='1-Input'!$C$12,'1-Input'!$B$12,0))-MIN(MAX(AA483,0),MAX(0,W451-IF($A484&gt;='1-Input'!$C$12,'1-Input'!$B$12,0))))*(1/(1-'P-Parametri'!$B$6*W484))+MIN(MAX(0,AB483-(MAX(0,W451-IF($A484&gt;='1-Input'!$C$12,'1-Input'!$B$12,0))-MIN(MAX(AA483,0),MAX(0,W451-IF($A484&gt;='1-Input'!$C$12,'1-Input'!$B$12,0))))*(1/(1-'P-Parametri'!$B$6*W484))),MAX(0,1*W451-(AA483-MIN(MAX(AA483,0),MAX(0,W451-IF($A484&gt;='1-Input'!$C$12,'1-Input'!$B$12,0)))))*(1/(1-'P-Parametri'!$B$6*W484))))</f>
        <v>8858.1897940347608</v>
      </c>
      <c r="Y484" s="18">
        <f>IF($A484&gt;'1-Input'!$B$26,AA483,(AA483-MAX(0,W451-IF($A484&gt;='1-Input'!$C$12,'1-Input'!$B$12,0))+X484*(1-'P-Parametri'!$B$6*W484))*(1+'1-Input'!$B$27))</f>
        <v>18318.70531348556</v>
      </c>
      <c r="Z484" s="18">
        <f>IF($A484&gt;'1-Input'!$B$26,AB483,(AB483-X484)*(1+$C$4))</f>
        <v>89689.499798768695</v>
      </c>
      <c r="AA484" s="18">
        <f>IF($A484&gt;'1-Input'!$B$26,Y484,Y484-'P-Parametri'!$B$8*(Z484+Y484)+MIN(MAX(Z484,0),'P-Parametri'!$B$8*(Z484+Y484)))</f>
        <v>18318.70531348556</v>
      </c>
      <c r="AB484" s="18">
        <f>IF($A484&gt;'1-Input'!$B$26,Z484,Z484-MIN(MAX(Z484,0),'P-Parametri'!$B$8*(Z484+Y484)))</f>
        <v>89473.483388544191</v>
      </c>
      <c r="AC484" s="18">
        <f>IF($A484&gt;'1-Input'!$B$26,AC483,AC483-X484*(1-W484))</f>
        <v>30020.321987011073</v>
      </c>
      <c r="AD484" s="11">
        <f>IF($A484&gt;'1-Input'!$B$26,0,IF(AI483&lt;=0,0,MAX(0,(AI483-AJ483)/AI483)))</f>
        <v>0.65525078451219521</v>
      </c>
      <c r="AE484" s="18">
        <f>IF($A484&gt;'1-Input'!$B$26,0,(MAX(0,AD451-IF($A484&gt;='1-Input'!$C$12,'1-Input'!$B$12,0))-MIN(MAX(AH483,0),MAX(0,AD451-IF($A484&gt;='1-Input'!$C$12,'1-Input'!$B$12,0))))*(1/(1-'P-Parametri'!$B$6*AD484))+MIN(MAX(0,AI483-(MAX(0,AD451-IF($A484&gt;='1-Input'!$C$12,'1-Input'!$B$12,0))-MIN(MAX(AH483,0),MAX(0,AD451-IF($A484&gt;='1-Input'!$C$12,'1-Input'!$B$12,0))))*(1/(1-'P-Parametri'!$B$6*AD484))),MAX(0,1*AD451-(AH483-MIN(MAX(AH483,0),MAX(0,AD451-IF($A484&gt;='1-Input'!$C$12,'1-Input'!$B$12,0)))))*(1/(1-'P-Parametri'!$B$6*AD484))))</f>
        <v>8845.5251879214247</v>
      </c>
      <c r="AF484" s="18">
        <f>IF($A484&gt;'1-Input'!$B$26,AH483,(AH483-MAX(0,AD451-IF($A484&gt;='1-Input'!$C$12,'1-Input'!$B$12,0))+AE484*(1-'P-Parametri'!$B$6*AD484))*(1+'1-Input'!$B$27))</f>
        <v>18308.259750184588</v>
      </c>
      <c r="AG484" s="18">
        <f>IF($A484&gt;'1-Input'!$B$26,AI483,(AI483-AE484)*(1+$C$4))</f>
        <v>90305.57102154418</v>
      </c>
      <c r="AH484" s="18">
        <f>IF($A484&gt;'1-Input'!$B$26,AF484,AF484-'P-Parametri'!$B$8*(AG484+AF484)+MIN(MAX(AG484,0),'P-Parametri'!$B$8*(AG484+AF484)))</f>
        <v>18308.259750184588</v>
      </c>
      <c r="AI484" s="18">
        <f>IF($A484&gt;'1-Input'!$B$26,AG484,AG484-MIN(MAX(AG484,0),'P-Parametri'!$B$8*(AG484+AF484)))</f>
        <v>90088.343360000727</v>
      </c>
      <c r="AJ484" s="18">
        <f>IF($A484&gt;'1-Input'!$B$26,AJ483,AJ483-AE484*(1-AD484))</f>
        <v>30225.994916364656</v>
      </c>
      <c r="AK484" s="11">
        <f>IF($A484&gt;'1-Input'!$B$26,0,IF(AP483&lt;=0,0,MAX(0,(AP483-AQ483)/AP483)))</f>
        <v>0.65525073313442761</v>
      </c>
      <c r="AL484" s="18">
        <f>IF($A484&gt;'1-Input'!$B$26,0,(MAX(0,AK451-IF($A484&gt;='1-Input'!$C$12,'1-Input'!$B$12,0))-MIN(MAX(AO483,0),MAX(0,AK451-IF($A484&gt;='1-Input'!$C$12,'1-Input'!$B$12,0))))*(1/(1-'P-Parametri'!$B$6*AK484))+MIN(MAX(0,AP483-(MAX(0,AK451-IF($A484&gt;='1-Input'!$C$12,'1-Input'!$B$12,0))-MIN(MAX(AO483,0),MAX(0,AK451-IF($A484&gt;='1-Input'!$C$12,'1-Input'!$B$12,0))))*(1/(1-'P-Parametri'!$B$6*AK484))),MAX(0,1*AK451-(AO483-MIN(MAX(AO483,0),MAX(0,AK451-IF($A484&gt;='1-Input'!$C$12,'1-Input'!$B$12,0)))))*(1/(1-'P-Parametri'!$B$6*AK484))))</f>
        <v>8845.632285901178</v>
      </c>
      <c r="AM484" s="18">
        <f>IF($A484&gt;'1-Input'!$B$26,AO483,(AO483-MAX(0,AK451-IF($A484&gt;='1-Input'!$C$12,'1-Input'!$B$12,0))+AL484*(1-'P-Parametri'!$B$6*AK484))*(1+'1-Input'!$B$27))</f>
        <v>18308.348082268236</v>
      </c>
      <c r="AN484" s="18">
        <f>IF($A484&gt;'1-Input'!$B$26,AP483,(AP483-AL484)*(1+$C$4))</f>
        <v>90300.361258697245</v>
      </c>
      <c r="AO484" s="18">
        <f>IF($A484&gt;'1-Input'!$B$26,AM484,AM484-'P-Parametri'!$B$8*(AN484+AM484)+MIN(MAX(AN484,0),'P-Parametri'!$B$8*(AN484+AM484)))</f>
        <v>18308.348082268236</v>
      </c>
      <c r="AP484" s="18">
        <f>IF($A484&gt;'1-Input'!$B$26,AN484,AN484-MIN(MAX(AN484,0),'P-Parametri'!$B$8*(AN484+AM484)))</f>
        <v>90083.143840015313</v>
      </c>
      <c r="AQ484" s="18">
        <f>IF($A484&gt;'1-Input'!$B$26,AQ483,AQ483-AL484*(1-AK484))</f>
        <v>30224.255671487579</v>
      </c>
    </row>
    <row r="485" spans="1:43">
      <c r="A485" s="10">
        <f>32</f>
        <v>32</v>
      </c>
      <c r="B485" s="11">
        <f>IF($A485&gt;'1-Input'!$B$26,0,IF(G484&lt;=0,0,MAX(0,(G484-H484)/G484)))</f>
        <v>0.66517766330697625</v>
      </c>
      <c r="C485" s="18">
        <f>IF($A485&gt;'1-Input'!$B$26,0,(MAX(0,B451-IF($A485&gt;='1-Input'!$C$12,'1-Input'!$B$12,0))-MIN(MAX(F484,0),MAX(0,B451-IF($A485&gt;='1-Input'!$C$12,'1-Input'!$B$12,0))))*(1/(1-'P-Parametri'!$B$6*B485))+MIN(MAX(0,G484-(MAX(0,B451-IF($A485&gt;='1-Input'!$C$12,'1-Input'!$B$12,0))-MIN(MAX(F484,0),MAX(0,B451-IF($A485&gt;='1-Input'!$C$12,'1-Input'!$B$12,0))))*(1/(1-'P-Parametri'!$B$6*B485))),MAX(0,1*B451-(F484-MIN(MAX(F484,0),MAX(0,B451-IF($A485&gt;='1-Input'!$C$12,'1-Input'!$B$12,0)))))*(1/(1-'P-Parametri'!$B$6*B485))))</f>
        <v>6818.3074212912716</v>
      </c>
      <c r="D485" s="18">
        <f>IF($A485&gt;'1-Input'!$B$26,F484,(F484-MAX(0,B451-IF($A485&gt;='1-Input'!$C$12,'1-Input'!$B$12,0))+C485*(1-'P-Parametri'!$B$6*B485))*(1+'1-Input'!$B$27))</f>
        <v>16621.00351549315</v>
      </c>
      <c r="E485" s="18">
        <f>IF($A485&gt;'1-Input'!$B$26,G484,(G484-C485)*(1+$C$4))</f>
        <v>188076.92633724562</v>
      </c>
      <c r="F485" s="18">
        <f>IF($A485&gt;'1-Input'!$B$26,D485,D485-'P-Parametri'!$B$8*(E485+D485)+MIN(MAX(E485,0),'P-Parametri'!$B$8*(E485+D485)))</f>
        <v>16621.00351549315</v>
      </c>
      <c r="G485" s="18">
        <f>IF($A485&gt;'1-Input'!$B$26,E485,E485-MIN(MAX(E485,0),'P-Parametri'!$B$8*(E485+D485)))</f>
        <v>187667.53047754013</v>
      </c>
      <c r="H485" s="18">
        <f>IF($A485&gt;'1-Input'!$B$26,H484,H484-C485*(1-B485))</f>
        <v>61138.209664347851</v>
      </c>
      <c r="I485" s="11">
        <f>IF($A485&gt;'1-Input'!$B$26,0,IF(N484&lt;=0,0,MAX(0,(N484-O484)/N484)))</f>
        <v>0</v>
      </c>
      <c r="J485" s="18">
        <f>IF($A485&gt;'1-Input'!$B$26,0,(MAX(0,I451-IF($A485&gt;='1-Input'!$C$12,'1-Input'!$B$12,0))-MIN(MAX(M484,0),MAX(0,I451-IF($A485&gt;='1-Input'!$C$12,'1-Input'!$B$12,0))))*(1/(1-'P-Parametri'!$B$6*I485))+MIN(MAX(0,N484-(MAX(0,I451-IF($A485&gt;='1-Input'!$C$12,'1-Input'!$B$12,0))-MIN(MAX(M484,0),MAX(0,I451-IF($A485&gt;='1-Input'!$C$12,'1-Input'!$B$12,0))))*(1/(1-'P-Parametri'!$B$6*I485))),MAX(0,1*I451-(M484-MIN(MAX(M484,0),MAX(0,I451-IF($A485&gt;='1-Input'!$C$12,'1-Input'!$B$12,0)))))*(1/(1-'P-Parametri'!$B$6*I485))))</f>
        <v>10846.756992928691</v>
      </c>
      <c r="K485" s="18">
        <f>IF($A485&gt;'1-Input'!$B$26,M484,(M484-MAX(0,I451-IF($A485&gt;='1-Input'!$C$12,'1-Input'!$B$12,0))+J485*(1-'P-Parametri'!$B$6*I485))*(1+'1-Input'!$B$27))</f>
        <v>0</v>
      </c>
      <c r="L485" s="18">
        <f>IF($A485&gt;'1-Input'!$B$26,N484,(N484-J485)*(1+$C$4))</f>
        <v>-85768.914116706655</v>
      </c>
      <c r="M485" s="18">
        <f>IF($A485&gt;'1-Input'!$B$26,K485,K485-'P-Parametri'!$B$8*(L485+K485)+MIN(MAX(L485,0),'P-Parametri'!$B$8*(L485+K485)))</f>
        <v>0</v>
      </c>
      <c r="N485" s="18">
        <f>IF($A485&gt;'1-Input'!$B$26,L485,L485-MIN(MAX(L485,0),'P-Parametri'!$B$8*(L485+K485)))</f>
        <v>-85597.376288473242</v>
      </c>
      <c r="O485" s="18">
        <f>IF($A485&gt;'1-Input'!$B$26,O484,O484-J485*(1-I485))</f>
        <v>-76483.455821065989</v>
      </c>
      <c r="P485" s="11">
        <f>IF($A485&gt;'1-Input'!$B$26,0,IF(U484&lt;=0,0,MAX(0,(U484-V484)/U484)))</f>
        <v>0.6642858710293702</v>
      </c>
      <c r="Q485" s="18">
        <f>IF($A485&gt;'1-Input'!$B$26,0,(MAX(0,P451-IF($A485&gt;='1-Input'!$C$12,'1-Input'!$B$12,0))-MIN(MAX(T484,0),MAX(0,P451-IF($A485&gt;='1-Input'!$C$12,'1-Input'!$B$12,0))))*(1/(1-'P-Parametri'!$B$6*P485))+MIN(MAX(0,U484-(MAX(0,P451-IF($A485&gt;='1-Input'!$C$12,'1-Input'!$B$12,0))-MIN(MAX(T484,0),MAX(0,P451-IF($A485&gt;='1-Input'!$C$12,'1-Input'!$B$12,0))))*(1/(1-'P-Parametri'!$B$6*P485))),MAX(0,1*P451-(T484-MIN(MAX(T484,0),MAX(0,P451-IF($A485&gt;='1-Input'!$C$12,'1-Input'!$B$12,0)))))*(1/(1-'P-Parametri'!$B$6*P485))))</f>
        <v>9196.1394786867168</v>
      </c>
      <c r="R485" s="18">
        <f>IF($A485&gt;'1-Input'!$B$26,T484,(T484-MAX(0,P451-IF($A485&gt;='1-Input'!$C$12,'1-Input'!$B$12,0))+Q485*(1-'P-Parametri'!$B$6*P485))*(1+'1-Input'!$B$27))</f>
        <v>18575.606853855934</v>
      </c>
      <c r="S485" s="18">
        <f>IF($A485&gt;'1-Input'!$B$26,U484,(U484-Q485)*(1+$C$4))</f>
        <v>67110.357764037137</v>
      </c>
      <c r="T485" s="18">
        <f>IF($A485&gt;'1-Input'!$B$26,R485,R485-'P-Parametri'!$B$8*(S485+R485)+MIN(MAX(S485,0),'P-Parametri'!$B$8*(S485+R485)))</f>
        <v>18575.606853855934</v>
      </c>
      <c r="U485" s="18">
        <f>IF($A485&gt;'1-Input'!$B$26,S485,S485-MIN(MAX(S485,0),'P-Parametri'!$B$8*(S485+R485)))</f>
        <v>66938.985834801351</v>
      </c>
      <c r="V485" s="18">
        <f>IF($A485&gt;'1-Input'!$B$26,V484,V484-Q485*(1-P485))</f>
        <v>21873.68475889424</v>
      </c>
      <c r="W485" s="11">
        <f>IF($A485&gt;'1-Input'!$B$26,0,IF(AB484&lt;=0,0,MAX(0,(AB484-AC484)/AB484)))</f>
        <v>0.66447800119007383</v>
      </c>
      <c r="X485" s="18">
        <f>IF($A485&gt;'1-Input'!$B$26,0,(MAX(0,W451-IF($A485&gt;='1-Input'!$C$12,'1-Input'!$B$12,0))-MIN(MAX(AA484,0),MAX(0,W451-IF($A485&gt;='1-Input'!$C$12,'1-Input'!$B$12,0))))*(1/(1-'P-Parametri'!$B$6*W485))+MIN(MAX(0,AB484-(MAX(0,W451-IF($A485&gt;='1-Input'!$C$12,'1-Input'!$B$12,0))-MIN(MAX(AA484,0),MAX(0,W451-IF($A485&gt;='1-Input'!$C$12,'1-Input'!$B$12,0))))*(1/(1-'P-Parametri'!$B$6*W485))),MAX(0,1*W451-(AA484-MIN(MAX(AA484,0),MAX(0,W451-IF($A485&gt;='1-Input'!$C$12,'1-Input'!$B$12,0)))))*(1/(1-'P-Parametri'!$B$6*W485))))</f>
        <v>8883.8965160549033</v>
      </c>
      <c r="Y485" s="18">
        <f>IF($A485&gt;'1-Input'!$B$26,AA484,(AA484-MAX(0,W451-IF($A485&gt;='1-Input'!$C$12,'1-Input'!$B$12,0))+X485*(1-'P-Parametri'!$B$6*W485))*(1+'1-Input'!$B$27))</f>
        <v>18318.70531348556</v>
      </c>
      <c r="Z485" s="18">
        <f>IF($A485&gt;'1-Input'!$B$26,AB484,(AB484-X485)*(1+$C$4))</f>
        <v>83007.274478663981</v>
      </c>
      <c r="AA485" s="18">
        <f>IF($A485&gt;'1-Input'!$B$26,Y485,Y485-'P-Parametri'!$B$8*(Z485+Y485)+MIN(MAX(Z485,0),'P-Parametri'!$B$8*(Z485+Y485)))</f>
        <v>18318.70531348556</v>
      </c>
      <c r="AB485" s="18">
        <f>IF($A485&gt;'1-Input'!$B$26,Z485,Z485-MIN(MAX(Z485,0),'P-Parametri'!$B$8*(Z485+Y485)))</f>
        <v>82804.622519079683</v>
      </c>
      <c r="AC485" s="18">
        <f>IF($A485&gt;'1-Input'!$B$26,AC484,AC484-X485*(1-W485))</f>
        <v>27039.579270723792</v>
      </c>
      <c r="AD485" s="11">
        <f>IF($A485&gt;'1-Input'!$B$26,0,IF(AI484&lt;=0,0,MAX(0,(AI484-AJ484)/AI484)))</f>
        <v>0.66448495122638684</v>
      </c>
      <c r="AE485" s="18">
        <f>IF($A485&gt;'1-Input'!$B$26,0,(MAX(0,AD451-IF($A485&gt;='1-Input'!$C$12,'1-Input'!$B$12,0))-MIN(MAX(AH484,0),MAX(0,AD451-IF($A485&gt;='1-Input'!$C$12,'1-Input'!$B$12,0))))*(1/(1-'P-Parametri'!$B$6*AD485))+MIN(MAX(0,AI484-(MAX(0,AD451-IF($A485&gt;='1-Input'!$C$12,'1-Input'!$B$12,0))-MIN(MAX(AH484,0),MAX(0,AD451-IF($A485&gt;='1-Input'!$C$12,'1-Input'!$B$12,0))))*(1/(1-'P-Parametri'!$B$6*AD485))),MAX(0,1*AD451-(AH484-MIN(MAX(AH484,0),MAX(0,AD451-IF($A485&gt;='1-Input'!$C$12,'1-Input'!$B$12,0)))))*(1/(1-'P-Parametri'!$B$6*AD485))))</f>
        <v>8871.1975809193464</v>
      </c>
      <c r="AF485" s="18">
        <f>IF($A485&gt;'1-Input'!$B$26,AH484,(AH484-MAX(0,AD451-IF($A485&gt;='1-Input'!$C$12,'1-Input'!$B$12,0))+AE485*(1-'P-Parametri'!$B$6*AD485))*(1+'1-Input'!$B$27))</f>
        <v>18308.259750184588</v>
      </c>
      <c r="AG485" s="18">
        <f>IF($A485&gt;'1-Input'!$B$26,AI484,(AI484-AE485)*(1+$C$4))</f>
        <v>83653.660152453827</v>
      </c>
      <c r="AH485" s="18">
        <f>IF($A485&gt;'1-Input'!$B$26,AF485,AF485-'P-Parametri'!$B$8*(AG485+AF485)+MIN(MAX(AG485,0),'P-Parametri'!$B$8*(AG485+AF485)))</f>
        <v>18308.259750184588</v>
      </c>
      <c r="AI485" s="18">
        <f>IF($A485&gt;'1-Input'!$B$26,AG485,AG485-MIN(MAX(AG485,0),'P-Parametri'!$B$8*(AG485+AF485)))</f>
        <v>83449.736312648543</v>
      </c>
      <c r="AJ485" s="18">
        <f>IF($A485&gt;'1-Input'!$B$26,AJ484,AJ484-AE485*(1-AD485))</f>
        <v>27249.574627322141</v>
      </c>
      <c r="AK485" s="11">
        <f>IF($A485&gt;'1-Input'!$B$26,0,IF(AP484&lt;=0,0,MAX(0,(AP484-AQ484)/AP484)))</f>
        <v>0.66448489269907296</v>
      </c>
      <c r="AL485" s="18">
        <f>IF($A485&gt;'1-Input'!$B$26,0,(MAX(0,AK451-IF($A485&gt;='1-Input'!$C$12,'1-Input'!$B$12,0))-MIN(MAX(AO484,0),MAX(0,AK451-IF($A485&gt;='1-Input'!$C$12,'1-Input'!$B$12,0))))*(1/(1-'P-Parametri'!$B$6*AK485))+MIN(MAX(0,AP484-(MAX(0,AK451-IF($A485&gt;='1-Input'!$C$12,'1-Input'!$B$12,0))-MIN(MAX(AO484,0),MAX(0,AK451-IF($A485&gt;='1-Input'!$C$12,'1-Input'!$B$12,0))))*(1/(1-'P-Parametri'!$B$6*AK485))),MAX(0,1*AK451-(AO484-MIN(MAX(AO484,0),MAX(0,AK451-IF($A485&gt;='1-Input'!$C$12,'1-Input'!$B$12,0)))))*(1/(1-'P-Parametri'!$B$6*AK485))))</f>
        <v>8871.3049693805497</v>
      </c>
      <c r="AM485" s="18">
        <f>IF($A485&gt;'1-Input'!$B$26,AO484,(AO484-MAX(0,AK451-IF($A485&gt;='1-Input'!$C$12,'1-Input'!$B$12,0))+AL485*(1-'P-Parametri'!$B$6*AK485))*(1+'1-Input'!$B$27))</f>
        <v>18308.348082268236</v>
      </c>
      <c r="AN485" s="18">
        <f>IF($A485&gt;'1-Input'!$B$26,AP484,(AP484-AL485)*(1+$C$4))</f>
        <v>83648.194036753805</v>
      </c>
      <c r="AO485" s="18">
        <f>IF($A485&gt;'1-Input'!$B$26,AM485,AM485-'P-Parametri'!$B$8*(AN485+AM485)+MIN(MAX(AN485,0),'P-Parametri'!$B$8*(AN485+AM485)))</f>
        <v>18308.348082268236</v>
      </c>
      <c r="AP485" s="18">
        <f>IF($A485&gt;'1-Input'!$B$26,AN485,AN485-MIN(MAX(AN485,0),'P-Parametri'!$B$8*(AN485+AM485)))</f>
        <v>83444.280952515765</v>
      </c>
      <c r="AQ485" s="18">
        <f>IF($A485&gt;'1-Input'!$B$26,AQ484,AQ484-AL485*(1-AK485))</f>
        <v>27247.798832786619</v>
      </c>
    </row>
    <row r="486" spans="1:43">
      <c r="A486" s="10">
        <f>33</f>
        <v>33</v>
      </c>
      <c r="B486" s="11">
        <f>IF($A486&gt;'1-Input'!$B$26,0,IF(G485&lt;=0,0,MAX(0,(G485-H485)/G485)))</f>
        <v>0.6742206309808888</v>
      </c>
      <c r="C486" s="18">
        <f>IF($A486&gt;'1-Input'!$B$26,0,(MAX(0,B451-IF($A486&gt;='1-Input'!$C$12,'1-Input'!$B$12,0))-MIN(MAX(F485,0),MAX(0,B451-IF($A486&gt;='1-Input'!$C$12,'1-Input'!$B$12,0))))*(1/(1-'P-Parametri'!$B$6*B486))+MIN(MAX(0,G485-(MAX(0,B451-IF($A486&gt;='1-Input'!$C$12,'1-Input'!$B$12,0))-MIN(MAX(F485,0),MAX(0,B451-IF($A486&gt;='1-Input'!$C$12,'1-Input'!$B$12,0))))*(1/(1-'P-Parametri'!$B$6*B486))),MAX(0,1*B451-(F485-MIN(MAX(F485,0),MAX(0,B451-IF($A486&gt;='1-Input'!$C$12,'1-Input'!$B$12,0)))))*(1/(1-'P-Parametri'!$B$6*B486))))</f>
        <v>6837.7459559068793</v>
      </c>
      <c r="D486" s="18">
        <f>IF($A486&gt;'1-Input'!$B$26,F485,(F485-MAX(0,B451-IF($A486&gt;='1-Input'!$C$12,'1-Input'!$B$12,0))+C486*(1-'P-Parametri'!$B$6*B486))*(1+'1-Input'!$B$27))</f>
        <v>16621.00351549315</v>
      </c>
      <c r="E486" s="18">
        <f>IF($A486&gt;'1-Input'!$B$26,G485,(G485-C486)*(1+$C$4))</f>
        <v>186254.67805728226</v>
      </c>
      <c r="F486" s="18">
        <f>IF($A486&gt;'1-Input'!$B$26,D486,D486-'P-Parametri'!$B$8*(E486+D486)+MIN(MAX(E486,0),'P-Parametri'!$B$8*(E486+D486)))</f>
        <v>16621.00351549315</v>
      </c>
      <c r="G486" s="18">
        <f>IF($A486&gt;'1-Input'!$B$26,E486,E486-MIN(MAX(E486,0),'P-Parametri'!$B$8*(E486+D486)))</f>
        <v>185848.92669413672</v>
      </c>
      <c r="H486" s="18">
        <f>IF($A486&gt;'1-Input'!$B$26,H485,H485-C486*(1-B486))</f>
        <v>58910.613101319526</v>
      </c>
      <c r="I486" s="11">
        <f>IF($A486&gt;'1-Input'!$B$26,0,IF(N485&lt;=0,0,MAX(0,(N485-O485)/N485)))</f>
        <v>0</v>
      </c>
      <c r="J486" s="18">
        <f>IF($A486&gt;'1-Input'!$B$26,0,(MAX(0,I451-IF($A486&gt;='1-Input'!$C$12,'1-Input'!$B$12,0))-MIN(MAX(M485,0),MAX(0,I451-IF($A486&gt;='1-Input'!$C$12,'1-Input'!$B$12,0))))*(1/(1-'P-Parametri'!$B$6*I486))+MIN(MAX(0,N485-(MAX(0,I451-IF($A486&gt;='1-Input'!$C$12,'1-Input'!$B$12,0))-MIN(MAX(M485,0),MAX(0,I451-IF($A486&gt;='1-Input'!$C$12,'1-Input'!$B$12,0))))*(1/(1-'P-Parametri'!$B$6*I486))),MAX(0,1*I451-(M485-MIN(MAX(M485,0),MAX(0,I451-IF($A486&gt;='1-Input'!$C$12,'1-Input'!$B$12,0)))))*(1/(1-'P-Parametri'!$B$6*I486))))</f>
        <v>10846.756992928691</v>
      </c>
      <c r="K486" s="18">
        <f>IF($A486&gt;'1-Input'!$B$26,M485,(M485-MAX(0,I451-IF($A486&gt;='1-Input'!$C$12,'1-Input'!$B$12,0))+J486*(1-'P-Parametri'!$B$6*I486))*(1+'1-Input'!$B$27))</f>
        <v>0</v>
      </c>
      <c r="L486" s="18">
        <f>IF($A486&gt;'1-Input'!$B$26,N485,(N485-J486)*(1+$C$4))</f>
        <v>-99337.457279844006</v>
      </c>
      <c r="M486" s="18">
        <f>IF($A486&gt;'1-Input'!$B$26,K486,K486-'P-Parametri'!$B$8*(L486+K486)+MIN(MAX(L486,0),'P-Parametri'!$B$8*(L486+K486)))</f>
        <v>0</v>
      </c>
      <c r="N486" s="18">
        <f>IF($A486&gt;'1-Input'!$B$26,L486,L486-MIN(MAX(L486,0),'P-Parametri'!$B$8*(L486+K486)))</f>
        <v>-99138.782365284322</v>
      </c>
      <c r="O486" s="18">
        <f>IF($A486&gt;'1-Input'!$B$26,O485,O485-J486*(1-I486))</f>
        <v>-87330.212813994673</v>
      </c>
      <c r="P486" s="11">
        <f>IF($A486&gt;'1-Input'!$B$26,0,IF(U485&lt;=0,0,MAX(0,(U485-V485)/U485)))</f>
        <v>0.67322951660970365</v>
      </c>
      <c r="Q486" s="18">
        <f>IF($A486&gt;'1-Input'!$B$26,0,(MAX(0,P451-IF($A486&gt;='1-Input'!$C$12,'1-Input'!$B$12,0))-MIN(MAX(T485,0),MAX(0,P451-IF($A486&gt;='1-Input'!$C$12,'1-Input'!$B$12,0))))*(1/(1-'P-Parametri'!$B$6*P486))+MIN(MAX(0,U485-(MAX(0,P451-IF($A486&gt;='1-Input'!$C$12,'1-Input'!$B$12,0))-MIN(MAX(T485,0),MAX(0,P451-IF($A486&gt;='1-Input'!$C$12,'1-Input'!$B$12,0))))*(1/(1-'P-Parametri'!$B$6*P486))),MAX(0,1*P451-(T485-MIN(MAX(T485,0),MAX(0,P451-IF($A486&gt;='1-Input'!$C$12,'1-Input'!$B$12,0)))))*(1/(1-'P-Parametri'!$B$6*P486))))</f>
        <v>9222.0609957676188</v>
      </c>
      <c r="R486" s="18">
        <f>IF($A486&gt;'1-Input'!$B$26,T485,(T485-MAX(0,P451-IF($A486&gt;='1-Input'!$C$12,'1-Input'!$B$12,0))+Q486*(1-'P-Parametri'!$B$6*P486))*(1+'1-Input'!$B$27))</f>
        <v>18575.606853855934</v>
      </c>
      <c r="S486" s="18">
        <f>IF($A486&gt;'1-Input'!$B$26,U485,(U485-Q486)*(1+$C$4))</f>
        <v>59448.432584204747</v>
      </c>
      <c r="T486" s="18">
        <f>IF($A486&gt;'1-Input'!$B$26,R486,R486-'P-Parametri'!$B$8*(S486+R486)+MIN(MAX(S486,0),'P-Parametri'!$B$8*(S486+R486)))</f>
        <v>18575.606853855934</v>
      </c>
      <c r="U486" s="18">
        <f>IF($A486&gt;'1-Input'!$B$26,S486,S486-MIN(MAX(S486,0),'P-Parametri'!$B$8*(S486+R486)))</f>
        <v>59292.384505328628</v>
      </c>
      <c r="V486" s="18">
        <f>IF($A486&gt;'1-Input'!$B$26,V485,V485-Q486*(1-P486))</f>
        <v>18860.187429452457</v>
      </c>
      <c r="W486" s="11">
        <f>IF($A486&gt;'1-Input'!$B$26,0,IF(AB485&lt;=0,0,MAX(0,(AB485-AC485)/AB485)))</f>
        <v>0.67345326325842036</v>
      </c>
      <c r="X486" s="18">
        <f>IF($A486&gt;'1-Input'!$B$26,0,(MAX(0,W451-IF($A486&gt;='1-Input'!$C$12,'1-Input'!$B$12,0))-MIN(MAX(AA485,0),MAX(0,W451-IF($A486&gt;='1-Input'!$C$12,'1-Input'!$B$12,0))))*(1/(1-'P-Parametri'!$B$6*W486))+MIN(MAX(0,AB485-(MAX(0,W451-IF($A486&gt;='1-Input'!$C$12,'1-Input'!$B$12,0))-MIN(MAX(AA485,0),MAX(0,W451-IF($A486&gt;='1-Input'!$C$12,'1-Input'!$B$12,0))))*(1/(1-'P-Parametri'!$B$6*W486))),MAX(0,1*W451-(AA485-MIN(MAX(AA485,0),MAX(0,W451-IF($A486&gt;='1-Input'!$C$12,'1-Input'!$B$12,0)))))*(1/(1-'P-Parametri'!$B$6*W486))))</f>
        <v>8909.028197200465</v>
      </c>
      <c r="Y486" s="18">
        <f>IF($A486&gt;'1-Input'!$B$26,AA485,(AA485-MAX(0,W451-IF($A486&gt;='1-Input'!$C$12,'1-Input'!$B$12,0))+X486*(1-'P-Parametri'!$B$6*W486))*(1+'1-Input'!$B$27))</f>
        <v>18318.70531348556</v>
      </c>
      <c r="Z486" s="18">
        <f>IF($A486&gt;'1-Input'!$B$26,AB485,(AB485-X486)*(1+$C$4))</f>
        <v>76112.462151535598</v>
      </c>
      <c r="AA486" s="18">
        <f>IF($A486&gt;'1-Input'!$B$26,Y486,Y486-'P-Parametri'!$B$8*(Z486+Y486)+MIN(MAX(Z486,0),'P-Parametri'!$B$8*(Z486+Y486)))</f>
        <v>18318.70531348556</v>
      </c>
      <c r="AB486" s="18">
        <f>IF($A486&gt;'1-Input'!$B$26,Z486,Z486-MIN(MAX(Z486,0),'P-Parametri'!$B$8*(Z486+Y486)))</f>
        <v>75923.599816605551</v>
      </c>
      <c r="AC486" s="18">
        <f>IF($A486&gt;'1-Input'!$B$26,AC485,AC485-X486*(1-W486))</f>
        <v>24130.365185389262</v>
      </c>
      <c r="AD486" s="11">
        <f>IF($A486&gt;'1-Input'!$B$26,0,IF(AI485&lt;=0,0,MAX(0,(AI485-AJ485)/AI485)))</f>
        <v>0.67346122550668974</v>
      </c>
      <c r="AE486" s="18">
        <f>IF($A486&gt;'1-Input'!$B$26,0,(MAX(0,AD451-IF($A486&gt;='1-Input'!$C$12,'1-Input'!$B$12,0))-MIN(MAX(AH485,0),MAX(0,AD451-IF($A486&gt;='1-Input'!$C$12,'1-Input'!$B$12,0))))*(1/(1-'P-Parametri'!$B$6*AD486))+MIN(MAX(0,AI485-(MAX(0,AD451-IF($A486&gt;='1-Input'!$C$12,'1-Input'!$B$12,0))-MIN(MAX(AH485,0),MAX(0,AD451-IF($A486&gt;='1-Input'!$C$12,'1-Input'!$B$12,0))))*(1/(1-'P-Parametri'!$B$6*AD486))),MAX(0,1*AD451-(AH485-MIN(MAX(AH485,0),MAX(0,AD451-IF($A486&gt;='1-Input'!$C$12,'1-Input'!$B$12,0)))))*(1/(1-'P-Parametri'!$B$6*AD486))))</f>
        <v>8896.2962312464788</v>
      </c>
      <c r="AF486" s="18">
        <f>IF($A486&gt;'1-Input'!$B$26,AH485,(AH485-MAX(0,AD451-IF($A486&gt;='1-Input'!$C$12,'1-Input'!$B$12,0))+AE486*(1-'P-Parametri'!$B$6*AD486))*(1+'1-Input'!$B$27))</f>
        <v>18308.259750184588</v>
      </c>
      <c r="AG486" s="18">
        <f>IF($A486&gt;'1-Input'!$B$26,AI485,(AI485-AE486)*(1+$C$4))</f>
        <v>76790.043283844134</v>
      </c>
      <c r="AH486" s="18">
        <f>IF($A486&gt;'1-Input'!$B$26,AF486,AF486-'P-Parametri'!$B$8*(AG486+AF486)+MIN(MAX(AG486,0),'P-Parametri'!$B$8*(AG486+AF486)))</f>
        <v>18308.259750184588</v>
      </c>
      <c r="AI486" s="18">
        <f>IF($A486&gt;'1-Input'!$B$26,AG486,AG486-MIN(MAX(AG486,0),'P-Parametri'!$B$8*(AG486+AF486)))</f>
        <v>76599.846677776077</v>
      </c>
      <c r="AJ486" s="18">
        <f>IF($A486&gt;'1-Input'!$B$26,AJ485,AJ485-AE486*(1-AD486))</f>
        <v>24344.588958441462</v>
      </c>
      <c r="AK486" s="11">
        <f>IF($A486&gt;'1-Input'!$B$26,0,IF(AP485&lt;=0,0,MAX(0,(AP485-AQ485)/AP485)))</f>
        <v>0.67346115849099275</v>
      </c>
      <c r="AL486" s="18">
        <f>IF($A486&gt;'1-Input'!$B$26,0,(MAX(0,AK451-IF($A486&gt;='1-Input'!$C$12,'1-Input'!$B$12,0))-MIN(MAX(AO485,0),MAX(0,AK451-IF($A486&gt;='1-Input'!$C$12,'1-Input'!$B$12,0))))*(1/(1-'P-Parametri'!$B$6*AK486))+MIN(MAX(0,AP485-(MAX(0,AK451-IF($A486&gt;='1-Input'!$C$12,'1-Input'!$B$12,0))-MIN(MAX(AO485,0),MAX(0,AK451-IF($A486&gt;='1-Input'!$C$12,'1-Input'!$B$12,0))))*(1/(1-'P-Parametri'!$B$6*AK486))),MAX(0,1*AK451-(AO485-MIN(MAX(AO485,0),MAX(0,AK451-IF($A486&gt;='1-Input'!$C$12,'1-Input'!$B$12,0)))))*(1/(1-'P-Parametri'!$B$6*AK486))))</f>
        <v>8896.403899269344</v>
      </c>
      <c r="AM486" s="18">
        <f>IF($A486&gt;'1-Input'!$B$26,AO485,(AO485-MAX(0,AK451-IF($A486&gt;='1-Input'!$C$12,'1-Input'!$B$12,0))+AL486*(1-'P-Parametri'!$B$6*AK486))*(1+'1-Input'!$B$27))</f>
        <v>18308.348082268236</v>
      </c>
      <c r="AN486" s="18">
        <f>IF($A486&gt;'1-Input'!$B$26,AP485,(AP485-AL486)*(1+$C$4))</f>
        <v>76784.313364843823</v>
      </c>
      <c r="AO486" s="18">
        <f>IF($A486&gt;'1-Input'!$B$26,AM486,AM486-'P-Parametri'!$B$8*(AN486+AM486)+MIN(MAX(AN486,0),'P-Parametri'!$B$8*(AN486+AM486)))</f>
        <v>18308.348082268236</v>
      </c>
      <c r="AP486" s="18">
        <f>IF($A486&gt;'1-Input'!$B$26,AN486,AN486-MIN(MAX(AN486,0),'P-Parametri'!$B$8*(AN486+AM486)))</f>
        <v>76594.128041949603</v>
      </c>
      <c r="AQ486" s="18">
        <f>IF($A486&gt;'1-Input'!$B$26,AQ485,AQ485-AL486*(1-AK486))</f>
        <v>24342.777409922994</v>
      </c>
    </row>
    <row r="487" spans="1:43">
      <c r="A487" s="10">
        <f>34</f>
        <v>34</v>
      </c>
      <c r="B487" s="11">
        <f>IF($A487&gt;'1-Input'!$B$26,0,IF(G486&lt;=0,0,MAX(0,(G486-H486)/G486)))</f>
        <v>0.68301881453277136</v>
      </c>
      <c r="C487" s="18">
        <f>IF($A487&gt;'1-Input'!$B$26,0,(MAX(0,B451-IF($A487&gt;='1-Input'!$C$12,'1-Input'!$B$12,0))-MIN(MAX(F486,0),MAX(0,B451-IF($A487&gt;='1-Input'!$C$12,'1-Input'!$B$12,0))))*(1/(1-'P-Parametri'!$B$6*B487))+MIN(MAX(0,G486-(MAX(0,B451-IF($A487&gt;='1-Input'!$C$12,'1-Input'!$B$12,0))-MIN(MAX(F486,0),MAX(0,B451-IF($A487&gt;='1-Input'!$C$12,'1-Input'!$B$12,0))))*(1/(1-'P-Parametri'!$B$6*B487))),MAX(0,1*B451-(F486-MIN(MAX(F486,0),MAX(0,B451-IF($A487&gt;='1-Input'!$C$12,'1-Input'!$B$12,0)))))*(1/(1-'P-Parametri'!$B$6*B487))))</f>
        <v>6856.7649808298784</v>
      </c>
      <c r="D487" s="18">
        <f>IF($A487&gt;'1-Input'!$B$26,F486,(F486-MAX(0,B451-IF($A487&gt;='1-Input'!$C$12,'1-Input'!$B$12,0))+C487*(1-'P-Parametri'!$B$6*B487))*(1+'1-Input'!$B$27))</f>
        <v>16621.00351549315</v>
      </c>
      <c r="E487" s="18">
        <f>IF($A487&gt;'1-Input'!$B$26,G486,(G486-C487)*(1+$C$4))</f>
        <v>184361.92656470605</v>
      </c>
      <c r="F487" s="18">
        <f>IF($A487&gt;'1-Input'!$B$26,D487,D487-'P-Parametri'!$B$8*(E487+D487)+MIN(MAX(E487,0),'P-Parametri'!$B$8*(E487+D487)))</f>
        <v>16621.00351549315</v>
      </c>
      <c r="G487" s="18">
        <f>IF($A487&gt;'1-Input'!$B$26,E487,E487-MIN(MAX(E487,0),'P-Parametri'!$B$8*(E487+D487)))</f>
        <v>183959.96070454567</v>
      </c>
      <c r="H487" s="18">
        <f>IF($A487&gt;'1-Input'!$B$26,H486,H486-C487*(1-B487))</f>
        <v>56737.147609225889</v>
      </c>
      <c r="I487" s="11">
        <f>IF($A487&gt;'1-Input'!$B$26,0,IF(N486&lt;=0,0,MAX(0,(N486-O486)/N486)))</f>
        <v>0</v>
      </c>
      <c r="J487" s="18">
        <f>IF($A487&gt;'1-Input'!$B$26,0,(MAX(0,I451-IF($A487&gt;='1-Input'!$C$12,'1-Input'!$B$12,0))-MIN(MAX(M486,0),MAX(0,I451-IF($A487&gt;='1-Input'!$C$12,'1-Input'!$B$12,0))))*(1/(1-'P-Parametri'!$B$6*I487))+MIN(MAX(0,N486-(MAX(0,I451-IF($A487&gt;='1-Input'!$C$12,'1-Input'!$B$12,0))-MIN(MAX(M486,0),MAX(0,I451-IF($A487&gt;='1-Input'!$C$12,'1-Input'!$B$12,0))))*(1/(1-'P-Parametri'!$B$6*I487))),MAX(0,1*I451-(M486-MIN(MAX(M486,0),MAX(0,I451-IF($A487&gt;='1-Input'!$C$12,'1-Input'!$B$12,0)))))*(1/(1-'P-Parametri'!$B$6*I487))))</f>
        <v>10846.756992928691</v>
      </c>
      <c r="K487" s="18">
        <f>IF($A487&gt;'1-Input'!$B$26,M486,(M486-MAX(0,I451-IF($A487&gt;='1-Input'!$C$12,'1-Input'!$B$12,0))+J487*(1-'P-Parametri'!$B$6*I487))*(1+'1-Input'!$B$27))</f>
        <v>0</v>
      </c>
      <c r="L487" s="18">
        <f>IF($A487&gt;'1-Input'!$B$26,N486,(N486-J487)*(1+$C$4))</f>
        <v>-113285.10553895941</v>
      </c>
      <c r="M487" s="18">
        <f>IF($A487&gt;'1-Input'!$B$26,K487,K487-'P-Parametri'!$B$8*(L487+K487)+MIN(MAX(L487,0),'P-Parametri'!$B$8*(L487+K487)))</f>
        <v>0</v>
      </c>
      <c r="N487" s="18">
        <f>IF($A487&gt;'1-Input'!$B$26,L487,L487-MIN(MAX(L487,0),'P-Parametri'!$B$8*(L487+K487)))</f>
        <v>-113058.53532788149</v>
      </c>
      <c r="O487" s="18">
        <f>IF($A487&gt;'1-Input'!$B$26,O486,O486-J487*(1-I487))</f>
        <v>-98176.969806923356</v>
      </c>
      <c r="P487" s="11">
        <f>IF($A487&gt;'1-Input'!$B$26,0,IF(U486&lt;=0,0,MAX(0,(U486-V486)/U486)))</f>
        <v>0.68191214458987592</v>
      </c>
      <c r="Q487" s="18">
        <f>IF($A487&gt;'1-Input'!$B$26,0,(MAX(0,P451-IF($A487&gt;='1-Input'!$C$12,'1-Input'!$B$12,0))-MIN(MAX(T486,0),MAX(0,P451-IF($A487&gt;='1-Input'!$C$12,'1-Input'!$B$12,0))))*(1/(1-'P-Parametri'!$B$6*P487))+MIN(MAX(0,U486-(MAX(0,P451-IF($A487&gt;='1-Input'!$C$12,'1-Input'!$B$12,0))-MIN(MAX(T486,0),MAX(0,P451-IF($A487&gt;='1-Input'!$C$12,'1-Input'!$B$12,0))))*(1/(1-'P-Parametri'!$B$6*P487))),MAX(0,1*P451-(T486-MIN(MAX(T486,0),MAX(0,P451-IF($A487&gt;='1-Input'!$C$12,'1-Input'!$B$12,0)))))*(1/(1-'P-Parametri'!$B$6*P487))))</f>
        <v>9247.3661817769953</v>
      </c>
      <c r="R487" s="18">
        <f>IF($A487&gt;'1-Input'!$B$26,T486,(T486-MAX(0,P451-IF($A487&gt;='1-Input'!$C$12,'1-Input'!$B$12,0))+Q487*(1-'P-Parametri'!$B$6*P487))*(1+'1-Input'!$B$27))</f>
        <v>18575.606853855934</v>
      </c>
      <c r="S487" s="18">
        <f>IF($A487&gt;'1-Input'!$B$26,U486,(U486-Q487)*(1+$C$4))</f>
        <v>51546.36887325818</v>
      </c>
      <c r="T487" s="18">
        <f>IF($A487&gt;'1-Input'!$B$26,R487,R487-'P-Parametri'!$B$8*(S487+R487)+MIN(MAX(S487,0),'P-Parametri'!$B$8*(S487+R487)))</f>
        <v>18575.606853855934</v>
      </c>
      <c r="U487" s="18">
        <f>IF($A487&gt;'1-Input'!$B$26,S487,S487-MIN(MAX(S487,0),'P-Parametri'!$B$8*(S487+R487)))</f>
        <v>51406.124921803952</v>
      </c>
      <c r="V487" s="18">
        <f>IF($A487&gt;'1-Input'!$B$26,V486,V486-Q487*(1-P487))</f>
        <v>15918.712552498904</v>
      </c>
      <c r="W487" s="11">
        <f>IF($A487&gt;'1-Input'!$B$26,0,IF(AB486&lt;=0,0,MAX(0,(AB486-AC486)/AB486)))</f>
        <v>0.68217569709976245</v>
      </c>
      <c r="X487" s="18">
        <f>IF($A487&gt;'1-Input'!$B$26,0,(MAX(0,W451-IF($A487&gt;='1-Input'!$C$12,'1-Input'!$B$12,0))-MIN(MAX(AA486,0),MAX(0,W451-IF($A487&gt;='1-Input'!$C$12,'1-Input'!$B$12,0))))*(1/(1-'P-Parametri'!$B$6*W487))+MIN(MAX(0,AB486-(MAX(0,W451-IF($A487&gt;='1-Input'!$C$12,'1-Input'!$B$12,0))-MIN(MAX(AA486,0),MAX(0,W451-IF($A487&gt;='1-Input'!$C$12,'1-Input'!$B$12,0))))*(1/(1-'P-Parametri'!$B$6*W487))),MAX(0,1*W451-(AA486-MIN(MAX(AA486,0),MAX(0,W451-IF($A487&gt;='1-Input'!$C$12,'1-Input'!$B$12,0)))))*(1/(1-'P-Parametri'!$B$6*W487))))</f>
        <v>8933.5885466655727</v>
      </c>
      <c r="Y487" s="18">
        <f>IF($A487&gt;'1-Input'!$B$26,AA486,(AA486-MAX(0,W451-IF($A487&gt;='1-Input'!$C$12,'1-Input'!$B$12,0))+X487*(1-'P-Parametri'!$B$6*W487))*(1+'1-Input'!$B$27))</f>
        <v>18318.70531348556</v>
      </c>
      <c r="Z487" s="18">
        <f>IF($A487&gt;'1-Input'!$B$26,AB486,(AB486-X487)*(1+$C$4))</f>
        <v>68999.711608038182</v>
      </c>
      <c r="AA487" s="18">
        <f>IF($A487&gt;'1-Input'!$B$26,Y487,Y487-'P-Parametri'!$B$8*(Z487+Y487)+MIN(MAX(Z487,0),'P-Parametri'!$B$8*(Z487+Y487)))</f>
        <v>18318.70531348556</v>
      </c>
      <c r="AB487" s="18">
        <f>IF($A487&gt;'1-Input'!$B$26,Z487,Z487-MIN(MAX(Z487,0),'P-Parametri'!$B$8*(Z487+Y487)))</f>
        <v>68825.074774195135</v>
      </c>
      <c r="AC487" s="18">
        <f>IF($A487&gt;'1-Input'!$B$26,AC486,AC486-X487*(1-W487))</f>
        <v>21291.053633147731</v>
      </c>
      <c r="AD487" s="11">
        <f>IF($A487&gt;'1-Input'!$B$26,0,IF(AI486&lt;=0,0,MAX(0,(AI486-AJ486)/AI486)))</f>
        <v>0.68218488659841459</v>
      </c>
      <c r="AE487" s="18">
        <f>IF($A487&gt;'1-Input'!$B$26,0,(MAX(0,AD451-IF($A487&gt;='1-Input'!$C$12,'1-Input'!$B$12,0))-MIN(MAX(AH486,0),MAX(0,AD451-IF($A487&gt;='1-Input'!$C$12,'1-Input'!$B$12,0))))*(1/(1-'P-Parametri'!$B$6*AD487))+MIN(MAX(0,AI486-(MAX(0,AD451-IF($A487&gt;='1-Input'!$C$12,'1-Input'!$B$12,0))-MIN(MAX(AH486,0),MAX(0,AD451-IF($A487&gt;='1-Input'!$C$12,'1-Input'!$B$12,0))))*(1/(1-'P-Parametri'!$B$6*AD487))),MAX(0,1*AD451-(AH486-MIN(MAX(AH486,0),MAX(0,AD451-IF($A487&gt;='1-Input'!$C$12,'1-Input'!$B$12,0)))))*(1/(1-'P-Parametri'!$B$6*AD487))))</f>
        <v>8920.8250032682772</v>
      </c>
      <c r="AF487" s="18">
        <f>IF($A487&gt;'1-Input'!$B$26,AH486,(AH486-MAX(0,AD451-IF($A487&gt;='1-Input'!$C$12,'1-Input'!$B$12,0))+AE487*(1-'P-Parametri'!$B$6*AD487))*(1+'1-Input'!$B$27))</f>
        <v>18308.259750184588</v>
      </c>
      <c r="AG487" s="18">
        <f>IF($A487&gt;'1-Input'!$B$26,AI486,(AI486-AE487)*(1+$C$4))</f>
        <v>69709.392324743021</v>
      </c>
      <c r="AH487" s="18">
        <f>IF($A487&gt;'1-Input'!$B$26,AF487,AF487-'P-Parametri'!$B$8*(AG487+AF487)+MIN(MAX(AG487,0),'P-Parametri'!$B$8*(AG487+AF487)))</f>
        <v>18308.259750184588</v>
      </c>
      <c r="AI487" s="18">
        <f>IF($A487&gt;'1-Input'!$B$26,AG487,AG487-MIN(MAX(AG487,0),'P-Parametri'!$B$8*(AG487+AF487)))</f>
        <v>69533.357020593161</v>
      </c>
      <c r="AJ487" s="18">
        <f>IF($A487&gt;'1-Input'!$B$26,AJ486,AJ486-AE487*(1-AD487))</f>
        <v>21509.415948392056</v>
      </c>
      <c r="AK487" s="11">
        <f>IF($A487&gt;'1-Input'!$B$26,0,IF(AP486&lt;=0,0,MAX(0,(AP486-AQ486)/AP486)))</f>
        <v>0.68218480930299552</v>
      </c>
      <c r="AL487" s="18">
        <f>IF($A487&gt;'1-Input'!$B$26,0,(MAX(0,AK451-IF($A487&gt;='1-Input'!$C$12,'1-Input'!$B$12,0))-MIN(MAX(AO486,0),MAX(0,AK451-IF($A487&gt;='1-Input'!$C$12,'1-Input'!$B$12,0))))*(1/(1-'P-Parametri'!$B$6*AK487))+MIN(MAX(0,AP486-(MAX(0,AK451-IF($A487&gt;='1-Input'!$C$12,'1-Input'!$B$12,0))-MIN(MAX(AO486,0),MAX(0,AK451-IF($A487&gt;='1-Input'!$C$12,'1-Input'!$B$12,0))))*(1/(1-'P-Parametri'!$B$6*AK487))),MAX(0,1*AK451-(AO486-MIN(MAX(AO486,0),MAX(0,AK451-IF($A487&gt;='1-Input'!$C$12,'1-Input'!$B$12,0)))))*(1/(1-'P-Parametri'!$B$6*AK487))))</f>
        <v>8920.9329386486334</v>
      </c>
      <c r="AM487" s="18">
        <f>IF($A487&gt;'1-Input'!$B$26,AO486,(AO486-MAX(0,AK451-IF($A487&gt;='1-Input'!$C$12,'1-Input'!$B$12,0))+AL487*(1-'P-Parametri'!$B$6*AK487))*(1+'1-Input'!$B$27))</f>
        <v>18308.348082268236</v>
      </c>
      <c r="AN487" s="18">
        <f>IF($A487&gt;'1-Input'!$B$26,AP486,(AP486-AL487)*(1+$C$4))</f>
        <v>69703.390956400006</v>
      </c>
      <c r="AO487" s="18">
        <f>IF($A487&gt;'1-Input'!$B$26,AM487,AM487-'P-Parametri'!$B$8*(AN487+AM487)+MIN(MAX(AN487,0),'P-Parametri'!$B$8*(AN487+AM487)))</f>
        <v>18308.348082268236</v>
      </c>
      <c r="AP487" s="18">
        <f>IF($A487&gt;'1-Input'!$B$26,AN487,AN487-MIN(MAX(AN487,0),'P-Parametri'!$B$8*(AN487+AM487)))</f>
        <v>69527.367478322674</v>
      </c>
      <c r="AQ487" s="18">
        <f>IF($A487&gt;'1-Input'!$B$26,AQ486,AQ486-AL487*(1-AK487))</f>
        <v>21507.56940683119</v>
      </c>
    </row>
    <row r="488" spans="1:43">
      <c r="A488" s="10">
        <f>35</f>
        <v>35</v>
      </c>
      <c r="B488" s="11">
        <f>IF($A488&gt;'1-Input'!$B$26,0,IF(G487&lt;=0,0,MAX(0,(G487-H487)/G487)))</f>
        <v>0.69157882295729423</v>
      </c>
      <c r="C488" s="18">
        <f>IF($A488&gt;'1-Input'!$B$26,0,(MAX(0,B451-IF($A488&gt;='1-Input'!$C$12,'1-Input'!$B$12,0))-MIN(MAX(F487,0),MAX(0,B451-IF($A488&gt;='1-Input'!$C$12,'1-Input'!$B$12,0))))*(1/(1-'P-Parametri'!$B$6*B488))+MIN(MAX(0,G487-(MAX(0,B451-IF($A488&gt;='1-Input'!$C$12,'1-Input'!$B$12,0))-MIN(MAX(F487,0),MAX(0,B451-IF($A488&gt;='1-Input'!$C$12,'1-Input'!$B$12,0))))*(1/(1-'P-Parametri'!$B$6*B488))),MAX(0,1*B451-(F487-MIN(MAX(F487,0),MAX(0,B451-IF($A488&gt;='1-Input'!$C$12,'1-Input'!$B$12,0)))))*(1/(1-'P-Parametri'!$B$6*B488))))</f>
        <v>6875.3709627986955</v>
      </c>
      <c r="D488" s="18">
        <f>IF($A488&gt;'1-Input'!$B$26,F487,(F487-MAX(0,B451-IF($A488&gt;='1-Input'!$C$12,'1-Input'!$B$12,0))+C488*(1-'P-Parametri'!$B$6*B488))*(1+'1-Input'!$B$27))</f>
        <v>16621.00351549315</v>
      </c>
      <c r="E488" s="18">
        <f>IF($A488&gt;'1-Input'!$B$26,G487,(G487-C488)*(1+$C$4))</f>
        <v>182397.12743399938</v>
      </c>
      <c r="F488" s="18">
        <f>IF($A488&gt;'1-Input'!$B$26,D488,D488-'P-Parametri'!$B$8*(E488+D488)+MIN(MAX(E488,0),'P-Parametri'!$B$8*(E488+D488)))</f>
        <v>16621.00351549315</v>
      </c>
      <c r="G488" s="18">
        <f>IF($A488&gt;'1-Input'!$B$26,E488,E488-MIN(MAX(E488,0),'P-Parametri'!$B$8*(E488+D488)))</f>
        <v>181999.09117210039</v>
      </c>
      <c r="H488" s="18">
        <f>IF($A488&gt;'1-Input'!$B$26,H487,H487-C488*(1-B488))</f>
        <v>54616.637604274278</v>
      </c>
      <c r="I488" s="11">
        <f>IF($A488&gt;'1-Input'!$B$26,0,IF(N487&lt;=0,0,MAX(0,(N487-O487)/N487)))</f>
        <v>0</v>
      </c>
      <c r="J488" s="18">
        <f>IF($A488&gt;'1-Input'!$B$26,0,(MAX(0,I451-IF($A488&gt;='1-Input'!$C$12,'1-Input'!$B$12,0))-MIN(MAX(M487,0),MAX(0,I451-IF($A488&gt;='1-Input'!$C$12,'1-Input'!$B$12,0))))*(1/(1-'P-Parametri'!$B$6*I488))+MIN(MAX(0,N487-(MAX(0,I451-IF($A488&gt;='1-Input'!$C$12,'1-Input'!$B$12,0))-MIN(MAX(M487,0),MAX(0,I451-IF($A488&gt;='1-Input'!$C$12,'1-Input'!$B$12,0))))*(1/(1-'P-Parametri'!$B$6*I488))),MAX(0,1*I451-(M487-MIN(MAX(M487,0),MAX(0,I451-IF($A488&gt;='1-Input'!$C$12,'1-Input'!$B$12,0)))))*(1/(1-'P-Parametri'!$B$6*I488))))</f>
        <v>10846.756992928691</v>
      </c>
      <c r="K488" s="18">
        <f>IF($A488&gt;'1-Input'!$B$26,M487,(M487-MAX(0,I451-IF($A488&gt;='1-Input'!$C$12,'1-Input'!$B$12,0))+J488*(1-'P-Parametri'!$B$6*I488))*(1+'1-Input'!$B$27))</f>
        <v>0</v>
      </c>
      <c r="L488" s="18">
        <f>IF($A488&gt;'1-Input'!$B$26,N487,(N487-J488)*(1+$C$4))</f>
        <v>-127622.45109043448</v>
      </c>
      <c r="M488" s="18">
        <f>IF($A488&gt;'1-Input'!$B$26,K488,K488-'P-Parametri'!$B$8*(L488+K488)+MIN(MAX(L488,0),'P-Parametri'!$B$8*(L488+K488)))</f>
        <v>0</v>
      </c>
      <c r="N488" s="18">
        <f>IF($A488&gt;'1-Input'!$B$26,L488,L488-MIN(MAX(L488,0),'P-Parametri'!$B$8*(L488+K488)))</f>
        <v>-127367.20618825361</v>
      </c>
      <c r="O488" s="18">
        <f>IF($A488&gt;'1-Input'!$B$26,O487,O487-J488*(1-I488))</f>
        <v>-109023.72679985204</v>
      </c>
      <c r="P488" s="11">
        <f>IF($A488&gt;'1-Input'!$B$26,0,IF(U487&lt;=0,0,MAX(0,(U487-V487)/U487)))</f>
        <v>0.69033432150908991</v>
      </c>
      <c r="Q488" s="18">
        <f>IF($A488&gt;'1-Input'!$B$26,0,(MAX(0,P451-IF($A488&gt;='1-Input'!$C$12,'1-Input'!$B$12,0))-MIN(MAX(T487,0),MAX(0,P451-IF($A488&gt;='1-Input'!$C$12,'1-Input'!$B$12,0))))*(1/(1-'P-Parametri'!$B$6*P488))+MIN(MAX(0,U487-(MAX(0,P451-IF($A488&gt;='1-Input'!$C$12,'1-Input'!$B$12,0))-MIN(MAX(T487,0),MAX(0,P451-IF($A488&gt;='1-Input'!$C$12,'1-Input'!$B$12,0))))*(1/(1-'P-Parametri'!$B$6*P488))),MAX(0,1*P451-(T487-MIN(MAX(T487,0),MAX(0,P451-IF($A488&gt;='1-Input'!$C$12,'1-Input'!$B$12,0)))))*(1/(1-'P-Parametri'!$B$6*P488))))</f>
        <v>9272.0453351352517</v>
      </c>
      <c r="R488" s="18">
        <f>IF($A488&gt;'1-Input'!$B$26,T487,(T487-MAX(0,P451-IF($A488&gt;='1-Input'!$C$12,'1-Input'!$B$12,0))+Q488*(1-'P-Parametri'!$B$6*P488))*(1+'1-Input'!$B$27))</f>
        <v>18575.606853855934</v>
      </c>
      <c r="S488" s="18">
        <f>IF($A488&gt;'1-Input'!$B$26,U487,(U487-Q488)*(1+$C$4))</f>
        <v>43398.101974268757</v>
      </c>
      <c r="T488" s="18">
        <f>IF($A488&gt;'1-Input'!$B$26,R488,R488-'P-Parametri'!$B$8*(S488+R488)+MIN(MAX(S488,0),'P-Parametri'!$B$8*(S488+R488)))</f>
        <v>18575.606853855934</v>
      </c>
      <c r="U488" s="18">
        <f>IF($A488&gt;'1-Input'!$B$26,S488,S488-MIN(MAX(S488,0),'P-Parametri'!$B$8*(S488+R488)))</f>
        <v>43274.154556612506</v>
      </c>
      <c r="V488" s="18">
        <f>IF($A488&gt;'1-Input'!$B$26,V487,V487-Q488*(1-P488))</f>
        <v>13047.478342795768</v>
      </c>
      <c r="W488" s="11">
        <f>IF($A488&gt;'1-Input'!$B$26,0,IF(AB487&lt;=0,0,MAX(0,(AB487-AC487)/AB487)))</f>
        <v>0.69064975660396266</v>
      </c>
      <c r="X488" s="18">
        <f>IF($A488&gt;'1-Input'!$B$26,0,(MAX(0,W451-IF($A488&gt;='1-Input'!$C$12,'1-Input'!$B$12,0))-MIN(MAX(AA487,0),MAX(0,W451-IF($A488&gt;='1-Input'!$C$12,'1-Input'!$B$12,0))))*(1/(1-'P-Parametri'!$B$6*W488))+MIN(MAX(0,AB487-(MAX(0,W451-IF($A488&gt;='1-Input'!$C$12,'1-Input'!$B$12,0))-MIN(MAX(AA487,0),MAX(0,W451-IF($A488&gt;='1-Input'!$C$12,'1-Input'!$B$12,0))))*(1/(1-'P-Parametri'!$B$6*W488))),MAX(0,1*W451-(AA487-MIN(MAX(AA487,0),MAX(0,W451-IF($A488&gt;='1-Input'!$C$12,'1-Input'!$B$12,0)))))*(1/(1-'P-Parametri'!$B$6*W488))))</f>
        <v>8957.5795664145862</v>
      </c>
      <c r="Y488" s="18">
        <f>IF($A488&gt;'1-Input'!$B$26,AA487,(AA487-MAX(0,W451-IF($A488&gt;='1-Input'!$C$12,'1-Input'!$B$12,0))+X488*(1-'P-Parametri'!$B$6*W488))*(1+'1-Input'!$B$27))</f>
        <v>18318.70531348556</v>
      </c>
      <c r="Z488" s="18">
        <f>IF($A488&gt;'1-Input'!$B$26,AB487,(AB487-X488)*(1+$C$4))</f>
        <v>61663.520064013966</v>
      </c>
      <c r="AA488" s="18">
        <f>IF($A488&gt;'1-Input'!$B$26,Y488,Y488-'P-Parametri'!$B$8*(Z488+Y488)+MIN(MAX(Z488,0),'P-Parametri'!$B$8*(Z488+Y488)))</f>
        <v>18318.70531348556</v>
      </c>
      <c r="AB488" s="18">
        <f>IF($A488&gt;'1-Input'!$B$26,Z488,Z488-MIN(MAX(Z488,0),'P-Parametri'!$B$8*(Z488+Y488)))</f>
        <v>61503.55561325897</v>
      </c>
      <c r="AC488" s="18">
        <f>IF($A488&gt;'1-Input'!$B$26,AC487,AC487-X488*(1-W488))</f>
        <v>18520.024214038007</v>
      </c>
      <c r="AD488" s="11">
        <f>IF($A488&gt;'1-Input'!$B$26,0,IF(AI487&lt;=0,0,MAX(0,(AI487-AJ487)/AI487)))</f>
        <v>0.69066047045561496</v>
      </c>
      <c r="AE488" s="18">
        <f>IF($A488&gt;'1-Input'!$B$26,0,(MAX(0,AD451-IF($A488&gt;='1-Input'!$C$12,'1-Input'!$B$12,0))-MIN(MAX(AH487,0),MAX(0,AD451-IF($A488&gt;='1-Input'!$C$12,'1-Input'!$B$12,0))))*(1/(1-'P-Parametri'!$B$6*AD488))+MIN(MAX(0,AI487-(MAX(0,AD451-IF($A488&gt;='1-Input'!$C$12,'1-Input'!$B$12,0))-MIN(MAX(AH487,0),MAX(0,AD451-IF($A488&gt;='1-Input'!$C$12,'1-Input'!$B$12,0))))*(1/(1-'P-Parametri'!$B$6*AD488))),MAX(0,1*AD451-(AH487-MIN(MAX(AH487,0),MAX(0,AD451-IF($A488&gt;='1-Input'!$C$12,'1-Input'!$B$12,0)))))*(1/(1-'P-Parametri'!$B$6*AD488))))</f>
        <v>8944.7861375152734</v>
      </c>
      <c r="AF488" s="18">
        <f>IF($A488&gt;'1-Input'!$B$26,AH487,(AH487-MAX(0,AD451-IF($A488&gt;='1-Input'!$C$12,'1-Input'!$B$12,0))+AE488*(1-'P-Parametri'!$B$6*AD488))*(1+'1-Input'!$B$27))</f>
        <v>18308.259750184588</v>
      </c>
      <c r="AG488" s="18">
        <f>IF($A488&gt;'1-Input'!$B$26,AI487,(AI487-AE488)*(1+$C$4))</f>
        <v>62406.22800957023</v>
      </c>
      <c r="AH488" s="18">
        <f>IF($A488&gt;'1-Input'!$B$26,AF488,AF488-'P-Parametri'!$B$8*(AG488+AF488)+MIN(MAX(AG488,0),'P-Parametri'!$B$8*(AG488+AF488)))</f>
        <v>18308.259750184588</v>
      </c>
      <c r="AI488" s="18">
        <f>IF($A488&gt;'1-Input'!$B$26,AG488,AG488-MIN(MAX(AG488,0),'P-Parametri'!$B$8*(AG488+AF488)))</f>
        <v>62244.799034050717</v>
      </c>
      <c r="AJ488" s="18">
        <f>IF($A488&gt;'1-Input'!$B$26,AJ487,AJ487-AE488*(1-AD488))</f>
        <v>18742.440012737945</v>
      </c>
      <c r="AK488" s="11">
        <f>IF($A488&gt;'1-Input'!$B$26,0,IF(AP487&lt;=0,0,MAX(0,(AP487-AQ487)/AP487)))</f>
        <v>0.6906603804101048</v>
      </c>
      <c r="AL488" s="18">
        <f>IF($A488&gt;'1-Input'!$B$26,0,(MAX(0,AK451-IF($A488&gt;='1-Input'!$C$12,'1-Input'!$B$12,0))-MIN(MAX(AO487,0),MAX(0,AK451-IF($A488&gt;='1-Input'!$C$12,'1-Input'!$B$12,0))))*(1/(1-'P-Parametri'!$B$6*AK488))+MIN(MAX(0,AP487-(MAX(0,AK451-IF($A488&gt;='1-Input'!$C$12,'1-Input'!$B$12,0))-MIN(MAX(AO487,0),MAX(0,AK451-IF($A488&gt;='1-Input'!$C$12,'1-Input'!$B$12,0))))*(1/(1-'P-Parametri'!$B$6*AK488))),MAX(0,1*AK451-(AO487-MIN(MAX(AO487,0),MAX(0,AK451-IF($A488&gt;='1-Input'!$C$12,'1-Input'!$B$12,0)))))*(1/(1-'P-Parametri'!$B$6*AK488))))</f>
        <v>8944.8943260779197</v>
      </c>
      <c r="AM488" s="18">
        <f>IF($A488&gt;'1-Input'!$B$26,AO487,(AO487-MAX(0,AK451-IF($A488&gt;='1-Input'!$C$12,'1-Input'!$B$12,0))+AL488*(1-'P-Parametri'!$B$6*AK488))*(1+'1-Input'!$B$27))</f>
        <v>18308.348082268236</v>
      </c>
      <c r="AN488" s="18">
        <f>IF($A488&gt;'1-Input'!$B$26,AP487,(AP487-AL488)*(1+$C$4))</f>
        <v>62399.9473468121</v>
      </c>
      <c r="AO488" s="18">
        <f>IF($A488&gt;'1-Input'!$B$26,AM488,AM488-'P-Parametri'!$B$8*(AN488+AM488)+MIN(MAX(AN488,0),'P-Parametri'!$B$8*(AN488+AM488)))</f>
        <v>18308.348082268236</v>
      </c>
      <c r="AP488" s="18">
        <f>IF($A488&gt;'1-Input'!$B$26,AN488,AN488-MIN(MAX(AN488,0),'P-Parametri'!$B$8*(AN488+AM488)))</f>
        <v>62238.530755953936</v>
      </c>
      <c r="AQ488" s="18">
        <f>IF($A488&gt;'1-Input'!$B$26,AQ487,AQ487-AL488*(1-AK488))</f>
        <v>18740.559198730432</v>
      </c>
    </row>
    <row r="489" spans="1:43">
      <c r="A489" s="10">
        <f>36</f>
        <v>36</v>
      </c>
      <c r="B489" s="11">
        <f>IF($A489&gt;'1-Input'!$B$26,0,IF(G488&lt;=0,0,MAX(0,(G488-H488)/G488)))</f>
        <v>0.69990708605996188</v>
      </c>
      <c r="C489" s="18">
        <f>IF($A489&gt;'1-Input'!$B$26,0,(MAX(0,B451-IF($A489&gt;='1-Input'!$C$12,'1-Input'!$B$12,0))-MIN(MAX(F488,0),MAX(0,B451-IF($A489&gt;='1-Input'!$C$12,'1-Input'!$B$12,0))))*(1/(1-'P-Parametri'!$B$6*B489))+MIN(MAX(0,G488-(MAX(0,B451-IF($A489&gt;='1-Input'!$C$12,'1-Input'!$B$12,0))-MIN(MAX(F488,0),MAX(0,B451-IF($A489&gt;='1-Input'!$C$12,'1-Input'!$B$12,0))))*(1/(1-'P-Parametri'!$B$6*B489))),MAX(0,1*B451-(F488-MIN(MAX(F488,0),MAX(0,B451-IF($A489&gt;='1-Input'!$C$12,'1-Input'!$B$12,0)))))*(1/(1-'P-Parametri'!$B$6*B489))))</f>
        <v>6893.57039300007</v>
      </c>
      <c r="D489" s="18">
        <f>IF($A489&gt;'1-Input'!$B$26,F488,(F488-MAX(0,B451-IF($A489&gt;='1-Input'!$C$12,'1-Input'!$B$12,0))+C489*(1-'P-Parametri'!$B$6*B489))*(1+'1-Input'!$B$27))</f>
        <v>16621.00351549315</v>
      </c>
      <c r="E489" s="18">
        <f>IF($A489&gt;'1-Input'!$B$26,G488,(G488-C489)*(1+$C$4))</f>
        <v>180358.68640247334</v>
      </c>
      <c r="F489" s="18">
        <f>IF($A489&gt;'1-Input'!$B$26,D489,D489-'P-Parametri'!$B$8*(E489+D489)+MIN(MAX(E489,0),'P-Parametri'!$B$8*(E489+D489)))</f>
        <v>16621.00351549315</v>
      </c>
      <c r="G489" s="18">
        <f>IF($A489&gt;'1-Input'!$B$26,E489,E489-MIN(MAX(E489,0),'P-Parametri'!$B$8*(E489+D489)))</f>
        <v>179964.72702263741</v>
      </c>
      <c r="H489" s="18">
        <f>IF($A489&gt;'1-Input'!$B$26,H488,H488-C489*(1-B489))</f>
        <v>52547.925977588115</v>
      </c>
      <c r="I489" s="11">
        <f>IF($A489&gt;'1-Input'!$B$26,0,IF(N488&lt;=0,0,MAX(0,(N488-O488)/N488)))</f>
        <v>0</v>
      </c>
      <c r="J489" s="18">
        <f>IF($A489&gt;'1-Input'!$B$26,0,(MAX(0,I451-IF($A489&gt;='1-Input'!$C$12,'1-Input'!$B$12,0))-MIN(MAX(M488,0),MAX(0,I451-IF($A489&gt;='1-Input'!$C$12,'1-Input'!$B$12,0))))*(1/(1-'P-Parametri'!$B$6*I489))+MIN(MAX(0,N488-(MAX(0,I451-IF($A489&gt;='1-Input'!$C$12,'1-Input'!$B$12,0))-MIN(MAX(M488,0),MAX(0,I451-IF($A489&gt;='1-Input'!$C$12,'1-Input'!$B$12,0))))*(1/(1-'P-Parametri'!$B$6*I489))),MAX(0,1*I451-(M488-MIN(MAX(M488,0),MAX(0,I451-IF($A489&gt;='1-Input'!$C$12,'1-Input'!$B$12,0)))))*(1/(1-'P-Parametri'!$B$6*I489))))</f>
        <v>10846.756992928691</v>
      </c>
      <c r="K489" s="18">
        <f>IF($A489&gt;'1-Input'!$B$26,M488,(M488-MAX(0,I451-IF($A489&gt;='1-Input'!$C$12,'1-Input'!$B$12,0))+J489*(1-'P-Parametri'!$B$6*I489))*(1+'1-Input'!$B$27))</f>
        <v>0</v>
      </c>
      <c r="L489" s="18">
        <f>IF($A489&gt;'1-Input'!$B$26,N488,(N488-J489)*(1+$C$4))</f>
        <v>-142360.38207661777</v>
      </c>
      <c r="M489" s="18">
        <f>IF($A489&gt;'1-Input'!$B$26,K489,K489-'P-Parametri'!$B$8*(L489+K489)+MIN(MAX(L489,0),'P-Parametri'!$B$8*(L489+K489)))</f>
        <v>0</v>
      </c>
      <c r="N489" s="18">
        <f>IF($A489&gt;'1-Input'!$B$26,L489,L489-MIN(MAX(L489,0),'P-Parametri'!$B$8*(L489+K489)))</f>
        <v>-142075.66131246454</v>
      </c>
      <c r="O489" s="18">
        <f>IF($A489&gt;'1-Input'!$B$26,O488,O488-J489*(1-I489))</f>
        <v>-119870.48379278072</v>
      </c>
      <c r="P489" s="11">
        <f>IF($A489&gt;'1-Input'!$B$26,0,IF(U488&lt;=0,0,MAX(0,(U488-V488)/U488)))</f>
        <v>0.69849258809373904</v>
      </c>
      <c r="Q489" s="18">
        <f>IF($A489&gt;'1-Input'!$B$26,0,(MAX(0,P451-IF($A489&gt;='1-Input'!$C$12,'1-Input'!$B$12,0))-MIN(MAX(T488,0),MAX(0,P451-IF($A489&gt;='1-Input'!$C$12,'1-Input'!$B$12,0))))*(1/(1-'P-Parametri'!$B$6*P489))+MIN(MAX(0,U488-(MAX(0,P451-IF($A489&gt;='1-Input'!$C$12,'1-Input'!$B$12,0))-MIN(MAX(T488,0),MAX(0,P451-IF($A489&gt;='1-Input'!$C$12,'1-Input'!$B$12,0))))*(1/(1-'P-Parametri'!$B$6*P489))),MAX(0,1*P451-(T488-MIN(MAX(T488,0),MAX(0,P451-IF($A489&gt;='1-Input'!$C$12,'1-Input'!$B$12,0)))))*(1/(1-'P-Parametri'!$B$6*P489))))</f>
        <v>9296.0770880550699</v>
      </c>
      <c r="R489" s="18">
        <f>IF($A489&gt;'1-Input'!$B$26,T488,(T488-MAX(0,P451-IF($A489&gt;='1-Input'!$C$12,'1-Input'!$B$12,0))+Q489*(1-'P-Parametri'!$B$6*P489))*(1+'1-Input'!$B$27))</f>
        <v>18575.606853855934</v>
      </c>
      <c r="S489" s="18">
        <f>IF($A489&gt;'1-Input'!$B$26,U488,(U488-Q489)*(1+$C$4))</f>
        <v>34997.419792614157</v>
      </c>
      <c r="T489" s="18">
        <f>IF($A489&gt;'1-Input'!$B$26,R489,R489-'P-Parametri'!$B$8*(S489+R489)+MIN(MAX(S489,0),'P-Parametri'!$B$8*(S489+R489)))</f>
        <v>18575.606853855934</v>
      </c>
      <c r="U489" s="18">
        <f>IF($A489&gt;'1-Input'!$B$26,S489,S489-MIN(MAX(S489,0),'P-Parametri'!$B$8*(S489+R489)))</f>
        <v>34890.273739321216</v>
      </c>
      <c r="V489" s="18">
        <f>IF($A489&gt;'1-Input'!$B$26,V488,V488-Q489*(1-P489))</f>
        <v>10244.642199095193</v>
      </c>
      <c r="W489" s="11">
        <f>IF($A489&gt;'1-Input'!$B$26,0,IF(AB488&lt;=0,0,MAX(0,(AB488-AC488)/AB488)))</f>
        <v>0.69887880417038117</v>
      </c>
      <c r="X489" s="18">
        <f>IF($A489&gt;'1-Input'!$B$26,0,(MAX(0,W451-IF($A489&gt;='1-Input'!$C$12,'1-Input'!$B$12,0))-MIN(MAX(AA488,0),MAX(0,W451-IF($A489&gt;='1-Input'!$C$12,'1-Input'!$B$12,0))))*(1/(1-'P-Parametri'!$B$6*W489))+MIN(MAX(0,AB488-(MAX(0,W451-IF($A489&gt;='1-Input'!$C$12,'1-Input'!$B$12,0))-MIN(MAX(AA488,0),MAX(0,W451-IF($A489&gt;='1-Input'!$C$12,'1-Input'!$B$12,0))))*(1/(1-'P-Parametri'!$B$6*W489))),MAX(0,1*W451-(AA488-MIN(MAX(AA488,0),MAX(0,W451-IF($A489&gt;='1-Input'!$C$12,'1-Input'!$B$12,0)))))*(1/(1-'P-Parametri'!$B$6*W489))))</f>
        <v>8981.0005726338422</v>
      </c>
      <c r="Y489" s="18">
        <f>IF($A489&gt;'1-Input'!$B$26,AA488,(AA488-MAX(0,W451-IF($A489&gt;='1-Input'!$C$12,'1-Input'!$B$12,0))+X489*(1-'P-Parametri'!$B$6*W489))*(1+'1-Input'!$B$27))</f>
        <v>18318.70531348556</v>
      </c>
      <c r="Z489" s="18">
        <f>IF($A489&gt;'1-Input'!$B$26,AB488,(AB488-X489)*(1+$C$4))</f>
        <v>54098.231691843881</v>
      </c>
      <c r="AA489" s="18">
        <f>IF($A489&gt;'1-Input'!$B$26,Y489,Y489-'P-Parametri'!$B$8*(Z489+Y489)+MIN(MAX(Z489,0),'P-Parametri'!$B$8*(Z489+Y489)))</f>
        <v>18318.70531348556</v>
      </c>
      <c r="AB489" s="18">
        <f>IF($A489&gt;'1-Input'!$B$26,Z489,Z489-MIN(MAX(Z489,0),'P-Parametri'!$B$8*(Z489+Y489)))</f>
        <v>53953.397817833225</v>
      </c>
      <c r="AC489" s="18">
        <f>IF($A489&gt;'1-Input'!$B$26,AC488,AC488-X489*(1-W489))</f>
        <v>15815.654581860013</v>
      </c>
      <c r="AD489" s="11">
        <f>IF($A489&gt;'1-Input'!$B$26,0,IF(AI488&lt;=0,0,MAX(0,(AI488-AJ488)/AI488)))</f>
        <v>0.69889146878785835</v>
      </c>
      <c r="AE489" s="18">
        <f>IF($A489&gt;'1-Input'!$B$26,0,(MAX(0,AD451-IF($A489&gt;='1-Input'!$C$12,'1-Input'!$B$12,0))-MIN(MAX(AH488,0),MAX(0,AD451-IF($A489&gt;='1-Input'!$C$12,'1-Input'!$B$12,0))))*(1/(1-'P-Parametri'!$B$6*AD489))+MIN(MAX(0,AI488-(MAX(0,AD451-IF($A489&gt;='1-Input'!$C$12,'1-Input'!$B$12,0))-MIN(MAX(AH488,0),MAX(0,AD451-IF($A489&gt;='1-Input'!$C$12,'1-Input'!$B$12,0))))*(1/(1-'P-Parametri'!$B$6*AD489))),MAX(0,1*AD451-(AH488-MIN(MAX(AH488,0),MAX(0,AD451-IF($A489&gt;='1-Input'!$C$12,'1-Input'!$B$12,0)))))*(1/(1-'P-Parametri'!$B$6*AD489))))</f>
        <v>8968.1793316479398</v>
      </c>
      <c r="AF489" s="18">
        <f>IF($A489&gt;'1-Input'!$B$26,AH488,(AH488-MAX(0,AD451-IF($A489&gt;='1-Input'!$C$12,'1-Input'!$B$12,0))+AE489*(1-'P-Parametri'!$B$6*AD489))*(1+'1-Input'!$B$27))</f>
        <v>18308.259750184588</v>
      </c>
      <c r="AG489" s="18">
        <f>IF($A489&gt;'1-Input'!$B$26,AI488,(AI488-AE489)*(1+$C$4))</f>
        <v>54874.918293474861</v>
      </c>
      <c r="AH489" s="18">
        <f>IF($A489&gt;'1-Input'!$B$26,AF489,AF489-'P-Parametri'!$B$8*(AG489+AF489)+MIN(MAX(AG489,0),'P-Parametri'!$B$8*(AG489+AF489)))</f>
        <v>18308.259750184588</v>
      </c>
      <c r="AI489" s="18">
        <f>IF($A489&gt;'1-Input'!$B$26,AG489,AG489-MIN(MAX(AG489,0),'P-Parametri'!$B$8*(AG489+AF489)))</f>
        <v>54728.551937387543</v>
      </c>
      <c r="AJ489" s="18">
        <f>IF($A489&gt;'1-Input'!$B$26,AJ488,AJ488-AE489*(1-AD489))</f>
        <v>16042.044706538349</v>
      </c>
      <c r="AK489" s="11">
        <f>IF($A489&gt;'1-Input'!$B$26,0,IF(AP488&lt;=0,0,MAX(0,(AP488-AQ488)/AP488)))</f>
        <v>0.69889136245495875</v>
      </c>
      <c r="AL489" s="18">
        <f>IF($A489&gt;'1-Input'!$B$26,0,(MAX(0,AK451-IF($A489&gt;='1-Input'!$C$12,'1-Input'!$B$12,0))-MIN(MAX(AO488,0),MAX(0,AK451-IF($A489&gt;='1-Input'!$C$12,'1-Input'!$B$12,0))))*(1/(1-'P-Parametri'!$B$6*AK489))+MIN(MAX(0,AP488-(MAX(0,AK451-IF($A489&gt;='1-Input'!$C$12,'1-Input'!$B$12,0))-MIN(MAX(AO488,0),MAX(0,AK451-IF($A489&gt;='1-Input'!$C$12,'1-Input'!$B$12,0))))*(1/(1-'P-Parametri'!$B$6*AK489))),MAX(0,1*AK451-(AO488-MIN(MAX(AO488,0),MAX(0,AK451-IF($A489&gt;='1-Input'!$C$12,'1-Input'!$B$12,0)))))*(1/(1-'P-Parametri'!$B$6*AK489))))</f>
        <v>8968.2877560737979</v>
      </c>
      <c r="AM489" s="18">
        <f>IF($A489&gt;'1-Input'!$B$26,AO488,(AO488-MAX(0,AK451-IF($A489&gt;='1-Input'!$C$12,'1-Input'!$B$12,0))+AL489*(1-'P-Parametri'!$B$6*AK489))*(1+'1-Input'!$B$27))</f>
        <v>18308.348082268236</v>
      </c>
      <c r="AN489" s="18">
        <f>IF($A489&gt;'1-Input'!$B$26,AP488,(AP488-AL489)*(1+$C$4))</f>
        <v>54868.350289876544</v>
      </c>
      <c r="AO489" s="18">
        <f>IF($A489&gt;'1-Input'!$B$26,AM489,AM489-'P-Parametri'!$B$8*(AN489+AM489)+MIN(MAX(AN489,0),'P-Parametri'!$B$8*(AN489+AM489)))</f>
        <v>18308.348082268236</v>
      </c>
      <c r="AP489" s="18">
        <f>IF($A489&gt;'1-Input'!$B$26,AN489,AN489-MIN(MAX(AN489,0),'P-Parametri'!$B$8*(AN489+AM489)))</f>
        <v>54721.996893132251</v>
      </c>
      <c r="AQ489" s="18">
        <f>IF($A489&gt;'1-Input'!$B$26,AQ488,AQ488-AL489*(1-AK489))</f>
        <v>16040.130291387177</v>
      </c>
    </row>
    <row r="490" spans="1:43">
      <c r="A490" s="10">
        <f>37</f>
        <v>37</v>
      </c>
      <c r="B490" s="11">
        <f>IF($A490&gt;'1-Input'!$B$26,0,IF(G489&lt;=0,0,MAX(0,(G489-H489)/G489)))</f>
        <v>0.70800985922659054</v>
      </c>
      <c r="C490" s="18">
        <f>IF($A490&gt;'1-Input'!$B$26,0,(MAX(0,B451-IF($A490&gt;='1-Input'!$C$12,'1-Input'!$B$12,0))-MIN(MAX(F489,0),MAX(0,B451-IF($A490&gt;='1-Input'!$C$12,'1-Input'!$B$12,0))))*(1/(1-'P-Parametri'!$B$6*B490))+MIN(MAX(0,G489-(MAX(0,B451-IF($A490&gt;='1-Input'!$C$12,'1-Input'!$B$12,0))-MIN(MAX(F489,0),MAX(0,B451-IF($A490&gt;='1-Input'!$C$12,'1-Input'!$B$12,0))))*(1/(1-'P-Parametri'!$B$6*B490))),MAX(0,1*B451-(F489-MIN(MAX(F489,0),MAX(0,B451-IF($A490&gt;='1-Input'!$C$12,'1-Input'!$B$12,0)))))*(1/(1-'P-Parametri'!$B$6*B490))))</f>
        <v>6911.3697793365018</v>
      </c>
      <c r="D490" s="18">
        <f>IF($A490&gt;'1-Input'!$B$26,F489,(F489-MAX(0,B451-IF($A490&gt;='1-Input'!$C$12,'1-Input'!$B$12,0))+C490*(1-'P-Parametri'!$B$6*B490))*(1+'1-Input'!$B$27))</f>
        <v>16621.00351549315</v>
      </c>
      <c r="E490" s="18">
        <f>IF($A490&gt;'1-Input'!$B$26,G489,(G489-C490)*(1+$C$4))</f>
        <v>178244.95796059995</v>
      </c>
      <c r="F490" s="18">
        <f>IF($A490&gt;'1-Input'!$B$26,D490,D490-'P-Parametri'!$B$8*(E490+D490)+MIN(MAX(E490,0),'P-Parametri'!$B$8*(E490+D490)))</f>
        <v>16621.00351549315</v>
      </c>
      <c r="G490" s="18">
        <f>IF($A490&gt;'1-Input'!$B$26,E490,E490-MIN(MAX(E490,0),'P-Parametri'!$B$8*(E490+D490)))</f>
        <v>177855.22603764775</v>
      </c>
      <c r="H490" s="18">
        <f>IF($A490&gt;'1-Input'!$B$26,H489,H489-C490*(1-B490))</f>
        <v>50529.874142782559</v>
      </c>
      <c r="I490" s="11">
        <f>IF($A490&gt;'1-Input'!$B$26,0,IF(N489&lt;=0,0,MAX(0,(N489-O489)/N489)))</f>
        <v>0</v>
      </c>
      <c r="J490" s="18">
        <f>IF($A490&gt;'1-Input'!$B$26,0,(MAX(0,I451-IF($A490&gt;='1-Input'!$C$12,'1-Input'!$B$12,0))-MIN(MAX(M489,0),MAX(0,I451-IF($A490&gt;='1-Input'!$C$12,'1-Input'!$B$12,0))))*(1/(1-'P-Parametri'!$B$6*I490))+MIN(MAX(0,N489-(MAX(0,I451-IF($A490&gt;='1-Input'!$C$12,'1-Input'!$B$12,0))-MIN(MAX(M489,0),MAX(0,I451-IF($A490&gt;='1-Input'!$C$12,'1-Input'!$B$12,0))))*(1/(1-'P-Parametri'!$B$6*I490))),MAX(0,1*I451-(M489-MIN(MAX(M489,0),MAX(0,I451-IF($A490&gt;='1-Input'!$C$12,'1-Input'!$B$12,0)))))*(1/(1-'P-Parametri'!$B$6*I490))))</f>
        <v>10846.756992928691</v>
      </c>
      <c r="K490" s="18">
        <f>IF($A490&gt;'1-Input'!$B$26,M489,(M489-MAX(0,I451-IF($A490&gt;='1-Input'!$C$12,'1-Input'!$B$12,0))+J490*(1-'P-Parametri'!$B$6*I490))*(1+'1-Input'!$B$27))</f>
        <v>0</v>
      </c>
      <c r="L490" s="18">
        <f>IF($A490&gt;'1-Input'!$B$26,N489,(N489-J490)*(1+$C$4))</f>
        <v>-157510.09085455502</v>
      </c>
      <c r="M490" s="18">
        <f>IF($A490&gt;'1-Input'!$B$26,K490,K490-'P-Parametri'!$B$8*(L490+K490)+MIN(MAX(L490,0),'P-Parametri'!$B$8*(L490+K490)))</f>
        <v>0</v>
      </c>
      <c r="N490" s="18">
        <f>IF($A490&gt;'1-Input'!$B$26,L490,L490-MIN(MAX(L490,0),'P-Parametri'!$B$8*(L490+K490)))</f>
        <v>-157195.0706728459</v>
      </c>
      <c r="O490" s="18">
        <f>IF($A490&gt;'1-Input'!$B$26,O489,O489-J490*(1-I490))</f>
        <v>-130717.24078570941</v>
      </c>
      <c r="P490" s="11">
        <f>IF($A490&gt;'1-Input'!$B$26,0,IF(U489&lt;=0,0,MAX(0,(U489-V489)/U489)))</f>
        <v>0.70637541351389521</v>
      </c>
      <c r="Q490" s="18">
        <f>IF($A490&gt;'1-Input'!$B$26,0,(MAX(0,P451-IF($A490&gt;='1-Input'!$C$12,'1-Input'!$B$12,0))-MIN(MAX(T489,0),MAX(0,P451-IF($A490&gt;='1-Input'!$C$12,'1-Input'!$B$12,0))))*(1/(1-'P-Parametri'!$B$6*P490))+MIN(MAX(0,U489-(MAX(0,P451-IF($A490&gt;='1-Input'!$C$12,'1-Input'!$B$12,0))-MIN(MAX(T489,0),MAX(0,P451-IF($A490&gt;='1-Input'!$C$12,'1-Input'!$B$12,0))))*(1/(1-'P-Parametri'!$B$6*P490))),MAX(0,1*P451-(T489-MIN(MAX(T489,0),MAX(0,P451-IF($A490&gt;='1-Input'!$C$12,'1-Input'!$B$12,0)))))*(1/(1-'P-Parametri'!$B$6*P490))))</f>
        <v>9319.4161084189473</v>
      </c>
      <c r="R490" s="18">
        <f>IF($A490&gt;'1-Input'!$B$26,T489,(T489-MAX(0,P451-IF($A490&gt;='1-Input'!$C$12,'1-Input'!$B$12,0))+Q490*(1-'P-Parametri'!$B$6*P490))*(1+'1-Input'!$B$27))</f>
        <v>18575.606853855934</v>
      </c>
      <c r="S490" s="18">
        <f>IF($A490&gt;'1-Input'!$B$26,U489,(U489-Q490)*(1+$C$4))</f>
        <v>26337.983359829337</v>
      </c>
      <c r="T490" s="18">
        <f>IF($A490&gt;'1-Input'!$B$26,R490,R490-'P-Parametri'!$B$8*(S490+R490)+MIN(MAX(S490,0),'P-Parametri'!$B$8*(S490+R490)))</f>
        <v>18575.606853855934</v>
      </c>
      <c r="U490" s="18">
        <f>IF($A490&gt;'1-Input'!$B$26,S490,S490-MIN(MAX(S490,0),'P-Parametri'!$B$8*(S490+R490)))</f>
        <v>26248.156179401965</v>
      </c>
      <c r="V490" s="18">
        <f>IF($A490&gt;'1-Input'!$B$26,V489,V489-Q490*(1-P490))</f>
        <v>7508.2324979687364</v>
      </c>
      <c r="W490" s="11">
        <f>IF($A490&gt;'1-Input'!$B$26,0,IF(AB489&lt;=0,0,MAX(0,(AB489-AC489)/AB489)))</f>
        <v>0.70686453084457157</v>
      </c>
      <c r="X490" s="18">
        <f>IF($A490&gt;'1-Input'!$B$26,0,(MAX(0,W451-IF($A490&gt;='1-Input'!$C$12,'1-Input'!$B$12,0))-MIN(MAX(AA489,0),MAX(0,W451-IF($A490&gt;='1-Input'!$C$12,'1-Input'!$B$12,0))))*(1/(1-'P-Parametri'!$B$6*W490))+MIN(MAX(0,AB489-(MAX(0,W451-IF($A490&gt;='1-Input'!$C$12,'1-Input'!$B$12,0))-MIN(MAX(AA489,0),MAX(0,W451-IF($A490&gt;='1-Input'!$C$12,'1-Input'!$B$12,0))))*(1/(1-'P-Parametri'!$B$6*W490))),MAX(0,1*W451-(AA489-MIN(MAX(AA489,0),MAX(0,W451-IF($A490&gt;='1-Input'!$C$12,'1-Input'!$B$12,0)))))*(1/(1-'P-Parametri'!$B$6*W490))))</f>
        <v>9003.8464490823899</v>
      </c>
      <c r="Y490" s="18">
        <f>IF($A490&gt;'1-Input'!$B$26,AA489,(AA489-MAX(0,W451-IF($A490&gt;='1-Input'!$C$12,'1-Input'!$B$12,0))+X490*(1-'P-Parametri'!$B$6*W490))*(1+'1-Input'!$B$27))</f>
        <v>18318.70531348556</v>
      </c>
      <c r="Z490" s="18">
        <f>IF($A490&gt;'1-Input'!$B$26,AB489,(AB489-X490)*(1+$C$4))</f>
        <v>46298.037909813364</v>
      </c>
      <c r="AA490" s="18">
        <f>IF($A490&gt;'1-Input'!$B$26,Y490,Y490-'P-Parametri'!$B$8*(Z490+Y490)+MIN(MAX(Z490,0),'P-Parametri'!$B$8*(Z490+Y490)))</f>
        <v>18318.70531348556</v>
      </c>
      <c r="AB490" s="18">
        <f>IF($A490&gt;'1-Input'!$B$26,Z490,Z490-MIN(MAX(Z490,0),'P-Parametri'!$B$8*(Z490+Y490)))</f>
        <v>46168.804423366768</v>
      </c>
      <c r="AC490" s="18">
        <f>IF($A490&gt;'1-Input'!$B$26,AC489,AC489-X490*(1-W490))</f>
        <v>13176.307828804809</v>
      </c>
      <c r="AD490" s="11">
        <f>IF($A490&gt;'1-Input'!$B$26,0,IF(AI489&lt;=0,0,MAX(0,(AI489-AJ489)/AI489)))</f>
        <v>0.70687978872725654</v>
      </c>
      <c r="AE490" s="18">
        <f>IF($A490&gt;'1-Input'!$B$26,0,(MAX(0,AD451-IF($A490&gt;='1-Input'!$C$12,'1-Input'!$B$12,0))-MIN(MAX(AH489,0),MAX(0,AD451-IF($A490&gt;='1-Input'!$C$12,'1-Input'!$B$12,0))))*(1/(1-'P-Parametri'!$B$6*AD490))+MIN(MAX(0,AI489-(MAX(0,AD451-IF($A490&gt;='1-Input'!$C$12,'1-Input'!$B$12,0))-MIN(MAX(AH489,0),MAX(0,AD451-IF($A490&gt;='1-Input'!$C$12,'1-Input'!$B$12,0))))*(1/(1-'P-Parametri'!$B$6*AD490))),MAX(0,1*AD451-(AH489-MIN(MAX(AH489,0),MAX(0,AD451-IF($A490&gt;='1-Input'!$C$12,'1-Input'!$B$12,0)))))*(1/(1-'P-Parametri'!$B$6*AD490))))</f>
        <v>8991.0001126516308</v>
      </c>
      <c r="AF490" s="18">
        <f>IF($A490&gt;'1-Input'!$B$26,AH489,(AH489-MAX(0,AD451-IF($A490&gt;='1-Input'!$C$12,'1-Input'!$B$12,0))+AE490*(1-'P-Parametri'!$B$6*AD490))*(1+'1-Input'!$B$27))</f>
        <v>18308.259750184588</v>
      </c>
      <c r="AG490" s="18">
        <f>IF($A490&gt;'1-Input'!$B$26,AI489,(AI489-AE490)*(1+$C$4))</f>
        <v>47109.678379477991</v>
      </c>
      <c r="AH490" s="18">
        <f>IF($A490&gt;'1-Input'!$B$26,AF490,AF490-'P-Parametri'!$B$8*(AG490+AF490)+MIN(MAX(AG490,0),'P-Parametri'!$B$8*(AG490+AF490)))</f>
        <v>18308.259750184588</v>
      </c>
      <c r="AI490" s="18">
        <f>IF($A490&gt;'1-Input'!$B$26,AG490,AG490-MIN(MAX(AG490,0),'P-Parametri'!$B$8*(AG490+AF490)))</f>
        <v>46978.842503218664</v>
      </c>
      <c r="AJ490" s="18">
        <f>IF($A490&gt;'1-Input'!$B$26,AJ489,AJ489-AE490*(1-AD490))</f>
        <v>13406.600853964643</v>
      </c>
      <c r="AK490" s="11">
        <f>IF($A490&gt;'1-Input'!$B$26,0,IF(AP489&lt;=0,0,MAX(0,(AP489-AQ489)/AP489)))</f>
        <v>0.70687966079322195</v>
      </c>
      <c r="AL490" s="18">
        <f>IF($A490&gt;'1-Input'!$B$26,0,(MAX(0,AK451-IF($A490&gt;='1-Input'!$C$12,'1-Input'!$B$12,0))-MIN(MAX(AO489,0),MAX(0,AK451-IF($A490&gt;='1-Input'!$C$12,'1-Input'!$B$12,0))))*(1/(1-'P-Parametri'!$B$6*AK490))+MIN(MAX(0,AP489-(MAX(0,AK451-IF($A490&gt;='1-Input'!$C$12,'1-Input'!$B$12,0))-MIN(MAX(AO489,0),MAX(0,AK451-IF($A490&gt;='1-Input'!$C$12,'1-Input'!$B$12,0))))*(1/(1-'P-Parametri'!$B$6*AK490))),MAX(0,1*AK451-(AO489-MIN(MAX(AO489,0),MAX(0,AK451-IF($A490&gt;='1-Input'!$C$12,'1-Input'!$B$12,0)))))*(1/(1-'P-Parametri'!$B$6*AK490))))</f>
        <v>8991.1087503383296</v>
      </c>
      <c r="AM490" s="18">
        <f>IF($A490&gt;'1-Input'!$B$26,AO489,(AO489-MAX(0,AK451-IF($A490&gt;='1-Input'!$C$12,'1-Input'!$B$12,0))+AL490*(1-'P-Parametri'!$B$6*AK490))*(1+'1-Input'!$B$27))</f>
        <v>18308.348082268236</v>
      </c>
      <c r="AN490" s="18">
        <f>IF($A490&gt;'1-Input'!$B$26,AP489,(AP489-AL490)*(1+$C$4))</f>
        <v>47102.814787077739</v>
      </c>
      <c r="AO490" s="18">
        <f>IF($A490&gt;'1-Input'!$B$26,AM490,AM490-'P-Parametri'!$B$8*(AN490+AM490)+MIN(MAX(AN490,0),'P-Parametri'!$B$8*(AN490+AM490)))</f>
        <v>18308.348082268236</v>
      </c>
      <c r="AP490" s="18">
        <f>IF($A490&gt;'1-Input'!$B$26,AN490,AN490-MIN(MAX(AN490,0),'P-Parametri'!$B$8*(AN490+AM490)))</f>
        <v>46971.992461339047</v>
      </c>
      <c r="AQ490" s="18">
        <f>IF($A490&gt;'1-Input'!$B$26,AQ489,AQ489-AL490*(1-AK490))</f>
        <v>13404.653444642976</v>
      </c>
    </row>
    <row r="491" spans="1:43">
      <c r="A491" s="10">
        <f>38</f>
        <v>38</v>
      </c>
      <c r="B491" s="11">
        <f>IF($A491&gt;'1-Input'!$B$26,0,IF(G490&lt;=0,0,MAX(0,(G490-H490)/G490)))</f>
        <v>0.71589322805680966</v>
      </c>
      <c r="C491" s="18">
        <f>IF($A491&gt;'1-Input'!$B$26,0,(MAX(0,B451-IF($A491&gt;='1-Input'!$C$12,'1-Input'!$B$12,0))-MIN(MAX(F490,0),MAX(0,B451-IF($A491&gt;='1-Input'!$C$12,'1-Input'!$B$12,0))))*(1/(1-'P-Parametri'!$B$6*B491))+MIN(MAX(0,G490-(MAX(0,B451-IF($A491&gt;='1-Input'!$C$12,'1-Input'!$B$12,0))-MIN(MAX(F490,0),MAX(0,B451-IF($A491&gt;='1-Input'!$C$12,'1-Input'!$B$12,0))))*(1/(1-'P-Parametri'!$B$6*B491))),MAX(0,1*B451-(F490-MIN(MAX(F490,0),MAX(0,B451-IF($A491&gt;='1-Input'!$C$12,'1-Input'!$B$12,0)))))*(1/(1-'P-Parametri'!$B$6*B491))))</f>
        <v>6928.7756390203713</v>
      </c>
      <c r="D491" s="18">
        <f>IF($A491&gt;'1-Input'!$B$26,F490,(F490-MAX(0,B451-IF($A491&gt;='1-Input'!$C$12,'1-Input'!$B$12,0))+C491*(1-'P-Parametri'!$B$6*B491))*(1+'1-Input'!$B$27))</f>
        <v>16621.00351549315</v>
      </c>
      <c r="E491" s="18">
        <f>IF($A491&gt;'1-Input'!$B$26,G490,(G490-C491)*(1+$C$4))</f>
        <v>176054.2439105862</v>
      </c>
      <c r="F491" s="18">
        <f>IF($A491&gt;'1-Input'!$B$26,D491,D491-'P-Parametri'!$B$8*(E491+D491)+MIN(MAX(E491,0),'P-Parametri'!$B$8*(E491+D491)))</f>
        <v>16621.00351549315</v>
      </c>
      <c r="G491" s="18">
        <f>IF($A491&gt;'1-Input'!$B$26,E491,E491-MIN(MAX(E491,0),'P-Parametri'!$B$8*(E491+D491)))</f>
        <v>175668.89341573403</v>
      </c>
      <c r="H491" s="18">
        <f>IF($A491&gt;'1-Input'!$B$26,H490,H490-C491*(1-B491))</f>
        <v>48561.362062461863</v>
      </c>
      <c r="I491" s="11">
        <f>IF($A491&gt;'1-Input'!$B$26,0,IF(N490&lt;=0,0,MAX(0,(N490-O490)/N490)))</f>
        <v>0</v>
      </c>
      <c r="J491" s="18">
        <f>IF($A491&gt;'1-Input'!$B$26,0,(MAX(0,I451-IF($A491&gt;='1-Input'!$C$12,'1-Input'!$B$12,0))-MIN(MAX(M490,0),MAX(0,I451-IF($A491&gt;='1-Input'!$C$12,'1-Input'!$B$12,0))))*(1/(1-'P-Parametri'!$B$6*I491))+MIN(MAX(0,N490-(MAX(0,I451-IF($A491&gt;='1-Input'!$C$12,'1-Input'!$B$12,0))-MIN(MAX(M490,0),MAX(0,I451-IF($A491&gt;='1-Input'!$C$12,'1-Input'!$B$12,0))))*(1/(1-'P-Parametri'!$B$6*I491))),MAX(0,1*I451-(M490-MIN(MAX(M490,0),MAX(0,I451-IF($A491&gt;='1-Input'!$C$12,'1-Input'!$B$12,0)))))*(1/(1-'P-Parametri'!$B$6*I491))))</f>
        <v>10846.756992928691</v>
      </c>
      <c r="K491" s="18">
        <f>IF($A491&gt;'1-Input'!$B$26,M490,(M490-MAX(0,I451-IF($A491&gt;='1-Input'!$C$12,'1-Input'!$B$12,0))+J491*(1-'P-Parametri'!$B$6*I491))*(1+'1-Input'!$B$27))</f>
        <v>0</v>
      </c>
      <c r="L491" s="18">
        <f>IF($A491&gt;'1-Input'!$B$26,N490,(N490-J491)*(1+$C$4))</f>
        <v>-173083.08249574783</v>
      </c>
      <c r="M491" s="18">
        <f>IF($A491&gt;'1-Input'!$B$26,K491,K491-'P-Parametri'!$B$8*(L491+K491)+MIN(MAX(L491,0),'P-Parametri'!$B$8*(L491+K491)))</f>
        <v>0</v>
      </c>
      <c r="N491" s="18">
        <f>IF($A491&gt;'1-Input'!$B$26,L491,L491-MIN(MAX(L491,0),'P-Parametri'!$B$8*(L491+K491)))</f>
        <v>-172736.91633075633</v>
      </c>
      <c r="O491" s="18">
        <f>IF($A491&gt;'1-Input'!$B$26,O490,O490-J491*(1-I491))</f>
        <v>-141563.99777863809</v>
      </c>
      <c r="P491" s="11">
        <f>IF($A491&gt;'1-Input'!$B$26,0,IF(U490&lt;=0,0,MAX(0,(U490-V490)/U490)))</f>
        <v>0.71395200307971485</v>
      </c>
      <c r="Q491" s="18">
        <f>IF($A491&gt;'1-Input'!$B$26,0,(MAX(0,P451-IF($A491&gt;='1-Input'!$C$12,'1-Input'!$B$12,0))-MIN(MAX(T490,0),MAX(0,P451-IF($A491&gt;='1-Input'!$C$12,'1-Input'!$B$12,0))))*(1/(1-'P-Parametri'!$B$6*P491))+MIN(MAX(0,U490-(MAX(0,P451-IF($A491&gt;='1-Input'!$C$12,'1-Input'!$B$12,0))-MIN(MAX(T490,0),MAX(0,P451-IF($A491&gt;='1-Input'!$C$12,'1-Input'!$B$12,0))))*(1/(1-'P-Parametri'!$B$6*P491))),MAX(0,1*P451-(T490-MIN(MAX(T490,0),MAX(0,P451-IF($A491&gt;='1-Input'!$C$12,'1-Input'!$B$12,0)))))*(1/(1-'P-Parametri'!$B$6*P491))))</f>
        <v>9341.9591610011794</v>
      </c>
      <c r="R491" s="18">
        <f>IF($A491&gt;'1-Input'!$B$26,T490,(T490-MAX(0,P451-IF($A491&gt;='1-Input'!$C$12,'1-Input'!$B$12,0))+Q491*(1-'P-Parametri'!$B$6*P491))*(1+'1-Input'!$B$27))</f>
        <v>18575.606853855934</v>
      </c>
      <c r="S491" s="18">
        <f>IF($A491&gt;'1-Input'!$B$26,U490,(U490-Q491)*(1+$C$4))</f>
        <v>17413.382928952811</v>
      </c>
      <c r="T491" s="18">
        <f>IF($A491&gt;'1-Input'!$B$26,R491,R491-'P-Parametri'!$B$8*(S491+R491)+MIN(MAX(S491,0),'P-Parametri'!$B$8*(S491+R491)))</f>
        <v>18575.606853855934</v>
      </c>
      <c r="U491" s="18">
        <f>IF($A491&gt;'1-Input'!$B$26,S491,S491-MIN(MAX(S491,0),'P-Parametri'!$B$8*(S491+R491)))</f>
        <v>17341.404949387193</v>
      </c>
      <c r="V491" s="18">
        <f>IF($A491&gt;'1-Input'!$B$26,V490,V490-Q491*(1-P491))</f>
        <v>4835.9837926532418</v>
      </c>
      <c r="W491" s="11">
        <f>IF($A491&gt;'1-Input'!$B$26,0,IF(AB490&lt;=0,0,MAX(0,(AB490-AC490)/AB490)))</f>
        <v>0.71460582544052054</v>
      </c>
      <c r="X491" s="18">
        <f>IF($A491&gt;'1-Input'!$B$26,0,(MAX(0,W451-IF($A491&gt;='1-Input'!$C$12,'1-Input'!$B$12,0))-MIN(MAX(AA490,0),MAX(0,W451-IF($A491&gt;='1-Input'!$C$12,'1-Input'!$B$12,0))))*(1/(1-'P-Parametri'!$B$6*W491))+MIN(MAX(0,AB490-(MAX(0,W451-IF($A491&gt;='1-Input'!$C$12,'1-Input'!$B$12,0))-MIN(MAX(AA490,0),MAX(0,W451-IF($A491&gt;='1-Input'!$C$12,'1-Input'!$B$12,0))))*(1/(1-'P-Parametri'!$B$6*W491))),MAX(0,1*W451-(AA490-MIN(MAX(AA490,0),MAX(0,W451-IF($A491&gt;='1-Input'!$C$12,'1-Input'!$B$12,0)))))*(1/(1-'P-Parametri'!$B$6*W491))))</f>
        <v>9026.1042677069163</v>
      </c>
      <c r="Y491" s="18">
        <f>IF($A491&gt;'1-Input'!$B$26,AA490,(AA490-MAX(0,W451-IF($A491&gt;='1-Input'!$C$12,'1-Input'!$B$12,0))+X491*(1-'P-Parametri'!$B$6*W491))*(1+'1-Input'!$B$27))</f>
        <v>18318.70531348556</v>
      </c>
      <c r="Z491" s="18">
        <f>IF($A491&gt;'1-Input'!$B$26,AB490,(AB490-X491)*(1+$C$4))</f>
        <v>38256.981160329655</v>
      </c>
      <c r="AA491" s="18">
        <f>IF($A491&gt;'1-Input'!$B$26,Y491,Y491-'P-Parametri'!$B$8*(Z491+Y491)+MIN(MAX(Z491,0),'P-Parametri'!$B$8*(Z491+Y491)))</f>
        <v>18318.70531348556</v>
      </c>
      <c r="AB491" s="18">
        <f>IF($A491&gt;'1-Input'!$B$26,Z491,Z491-MIN(MAX(Z491,0),'P-Parametri'!$B$8*(Z491+Y491)))</f>
        <v>38143.829787382027</v>
      </c>
      <c r="AC491" s="18">
        <f>IF($A491&gt;'1-Input'!$B$26,AC490,AC490-X491*(1-W491))</f>
        <v>10600.310251834799</v>
      </c>
      <c r="AD491" s="11">
        <f>IF($A491&gt;'1-Input'!$B$26,0,IF(AI490&lt;=0,0,MAX(0,(AI490-AJ490)/AI490)))</f>
        <v>0.71462470891984797</v>
      </c>
      <c r="AE491" s="18">
        <f>IF($A491&gt;'1-Input'!$B$26,0,(MAX(0,AD451-IF($A491&gt;='1-Input'!$C$12,'1-Input'!$B$12,0))-MIN(MAX(AH490,0),MAX(0,AD451-IF($A491&gt;='1-Input'!$C$12,'1-Input'!$B$12,0))))*(1/(1-'P-Parametri'!$B$6*AD491))+MIN(MAX(0,AI490-(MAX(0,AD451-IF($A491&gt;='1-Input'!$C$12,'1-Input'!$B$12,0))-MIN(MAX(AH490,0),MAX(0,AD451-IF($A491&gt;='1-Input'!$C$12,'1-Input'!$B$12,0))))*(1/(1-'P-Parametri'!$B$6*AD491))),MAX(0,1*AD451-(AH490-MIN(MAX(AH490,0),MAX(0,AD451-IF($A491&gt;='1-Input'!$C$12,'1-Input'!$B$12,0)))))*(1/(1-'P-Parametri'!$B$6*AD491))))</f>
        <v>9013.2367182434846</v>
      </c>
      <c r="AF491" s="18">
        <f>IF($A491&gt;'1-Input'!$B$26,AH490,(AH490-MAX(0,AD451-IF($A491&gt;='1-Input'!$C$12,'1-Input'!$B$12,0))+AE491*(1-'P-Parametri'!$B$6*AD491))*(1+'1-Input'!$B$27))</f>
        <v>18308.259750184588</v>
      </c>
      <c r="AG491" s="18">
        <f>IF($A491&gt;'1-Input'!$B$26,AI490,(AI490-AE491)*(1+$C$4))</f>
        <v>39104.573958524437</v>
      </c>
      <c r="AH491" s="18">
        <f>IF($A491&gt;'1-Input'!$B$26,AF491,AF491-'P-Parametri'!$B$8*(AG491+AF491)+MIN(MAX(AG491,0),'P-Parametri'!$B$8*(AG491+AF491)))</f>
        <v>18308.259750184588</v>
      </c>
      <c r="AI491" s="18">
        <f>IF($A491&gt;'1-Input'!$B$26,AG491,AG491-MIN(MAX(AG491,0),'P-Parametri'!$B$8*(AG491+AF491)))</f>
        <v>38989.748291107018</v>
      </c>
      <c r="AJ491" s="18">
        <f>IF($A491&gt;'1-Input'!$B$26,AJ490,AJ490-AE491*(1-AD491))</f>
        <v>10834.445801921594</v>
      </c>
      <c r="AK491" s="11">
        <f>IF($A491&gt;'1-Input'!$B$26,0,IF(AP490&lt;=0,0,MAX(0,(AP490-AQ490)/AP490)))</f>
        <v>0.7146245508815523</v>
      </c>
      <c r="AL491" s="18">
        <f>IF($A491&gt;'1-Input'!$B$26,0,(MAX(0,AK451-IF($A491&gt;='1-Input'!$C$12,'1-Input'!$B$12,0))-MIN(MAX(AO490,0),MAX(0,AK451-IF($A491&gt;='1-Input'!$C$12,'1-Input'!$B$12,0))))*(1/(1-'P-Parametri'!$B$6*AK491))+MIN(MAX(0,AP490-(MAX(0,AK451-IF($A491&gt;='1-Input'!$C$12,'1-Input'!$B$12,0))-MIN(MAX(AO490,0),MAX(0,AK451-IF($A491&gt;='1-Input'!$C$12,'1-Input'!$B$12,0))))*(1/(1-'P-Parametri'!$B$6*AK491))),MAX(0,1*AK451-(AO490-MIN(MAX(AO490,0),MAX(0,AK451-IF($A491&gt;='1-Input'!$C$12,'1-Input'!$B$12,0)))))*(1/(1-'P-Parametri'!$B$6*AK491))))</f>
        <v>9013.3455370574356</v>
      </c>
      <c r="AM491" s="18">
        <f>IF($A491&gt;'1-Input'!$B$26,AO490,(AO490-MAX(0,AK451-IF($A491&gt;='1-Input'!$C$12,'1-Input'!$B$12,0))+AL491*(1-'P-Parametri'!$B$6*AK491))*(1+'1-Input'!$B$27))</f>
        <v>18308.348082268236</v>
      </c>
      <c r="AN491" s="18">
        <f>IF($A491&gt;'1-Input'!$B$26,AP490,(AP490-AL491)*(1+$C$4))</f>
        <v>39097.406332010061</v>
      </c>
      <c r="AO491" s="18">
        <f>IF($A491&gt;'1-Input'!$B$26,AM491,AM491-'P-Parametri'!$B$8*(AN491+AM491)+MIN(MAX(AN491,0),'P-Parametri'!$B$8*(AN491+AM491)))</f>
        <v>18308.348082268236</v>
      </c>
      <c r="AP491" s="18">
        <f>IF($A491&gt;'1-Input'!$B$26,AN491,AN491-MIN(MAX(AN491,0),'P-Parametri'!$B$8*(AN491+AM491)))</f>
        <v>38982.594823181505</v>
      </c>
      <c r="AQ491" s="18">
        <f>IF($A491&gt;'1-Input'!$B$26,AQ490,AQ490-AL491*(1-AK491))</f>
        <v>10832.465913945454</v>
      </c>
    </row>
    <row r="492" spans="1:43">
      <c r="A492" s="10">
        <f>39</f>
        <v>39</v>
      </c>
      <c r="B492" s="11">
        <f>IF($A492&gt;'1-Input'!$B$26,0,IF(G491&lt;=0,0,MAX(0,(G491-H491)/G491)))</f>
        <v>0.72356311286405361</v>
      </c>
      <c r="C492" s="18">
        <f>IF($A492&gt;'1-Input'!$B$26,0,(MAX(0,B451-IF($A492&gt;='1-Input'!$C$12,'1-Input'!$B$12,0))-MIN(MAX(F491,0),MAX(0,B451-IF($A492&gt;='1-Input'!$C$12,'1-Input'!$B$12,0))))*(1/(1-'P-Parametri'!$B$6*B492))+MIN(MAX(0,G491-(MAX(0,B451-IF($A492&gt;='1-Input'!$C$12,'1-Input'!$B$12,0))-MIN(MAX(F491,0),MAX(0,B451-IF($A492&gt;='1-Input'!$C$12,'1-Input'!$B$12,0))))*(1/(1-'P-Parametri'!$B$6*B492))),MAX(0,1*B451-(F491-MIN(MAX(F491,0),MAX(0,B451-IF($A492&gt;='1-Input'!$C$12,'1-Input'!$B$12,0)))))*(1/(1-'P-Parametri'!$B$6*B492))))</f>
        <v>6945.7944914879617</v>
      </c>
      <c r="D492" s="18">
        <f>IF($A492&gt;'1-Input'!$B$26,F491,(F491-MAX(0,B451-IF($A492&gt;='1-Input'!$C$12,'1-Input'!$B$12,0))+C492*(1-'P-Parametri'!$B$6*B492))*(1+'1-Input'!$B$27))</f>
        <v>16621.00351549315</v>
      </c>
      <c r="E492" s="18">
        <f>IF($A492&gt;'1-Input'!$B$26,G491,(G491-C492)*(1+$C$4))</f>
        <v>173784.79189197344</v>
      </c>
      <c r="F492" s="18">
        <f>IF($A492&gt;'1-Input'!$B$26,D492,D492-'P-Parametri'!$B$8*(E492+D492)+MIN(MAX(E492,0),'P-Parametri'!$B$8*(E492+D492)))</f>
        <v>16621.00351549315</v>
      </c>
      <c r="G492" s="18">
        <f>IF($A492&gt;'1-Input'!$B$26,E492,E492-MIN(MAX(E492,0),'P-Parametri'!$B$8*(E492+D492)))</f>
        <v>173403.9803011585</v>
      </c>
      <c r="H492" s="18">
        <f>IF($A492&gt;'1-Input'!$B$26,H491,H491-C492*(1-B492))</f>
        <v>46641.288254548926</v>
      </c>
      <c r="I492" s="11">
        <f>IF($A492&gt;'1-Input'!$B$26,0,IF(N491&lt;=0,0,MAX(0,(N491-O491)/N491)))</f>
        <v>0</v>
      </c>
      <c r="J492" s="18">
        <f>IF($A492&gt;'1-Input'!$B$26,0,(MAX(0,I451-IF($A492&gt;='1-Input'!$C$12,'1-Input'!$B$12,0))-MIN(MAX(M491,0),MAX(0,I451-IF($A492&gt;='1-Input'!$C$12,'1-Input'!$B$12,0))))*(1/(1-'P-Parametri'!$B$6*I492))+MIN(MAX(0,N491-(MAX(0,I451-IF($A492&gt;='1-Input'!$C$12,'1-Input'!$B$12,0))-MIN(MAX(M491,0),MAX(0,I451-IF($A492&gt;='1-Input'!$C$12,'1-Input'!$B$12,0))))*(1/(1-'P-Parametri'!$B$6*I492))),MAX(0,1*I451-(M491-MIN(MAX(M491,0),MAX(0,I451-IF($A492&gt;='1-Input'!$C$12,'1-Input'!$B$12,0)))))*(1/(1-'P-Parametri'!$B$6*I492))))</f>
        <v>10846.756992928691</v>
      </c>
      <c r="K492" s="18">
        <f>IF($A492&gt;'1-Input'!$B$26,M491,(M491-MAX(0,I451-IF($A492&gt;='1-Input'!$C$12,'1-Input'!$B$12,0))+J492*(1-'P-Parametri'!$B$6*I492))*(1+'1-Input'!$B$27))</f>
        <v>0</v>
      </c>
      <c r="L492" s="18">
        <f>IF($A492&gt;'1-Input'!$B$26,N491,(N491-J492)*(1+$C$4))</f>
        <v>-189091.18352339556</v>
      </c>
      <c r="M492" s="18">
        <f>IF($A492&gt;'1-Input'!$B$26,K492,K492-'P-Parametri'!$B$8*(L492+K492)+MIN(MAX(L492,0),'P-Parametri'!$B$8*(L492+K492)))</f>
        <v>0</v>
      </c>
      <c r="N492" s="18">
        <f>IF($A492&gt;'1-Input'!$B$26,L492,L492-MIN(MAX(L492,0),'P-Parametri'!$B$8*(L492+K492)))</f>
        <v>-188713.00115634876</v>
      </c>
      <c r="O492" s="18">
        <f>IF($A492&gt;'1-Input'!$B$26,O491,O491-J492*(1-I492))</f>
        <v>-152410.75477156678</v>
      </c>
      <c r="P492" s="11">
        <f>IF($A492&gt;'1-Input'!$B$26,0,IF(U491&lt;=0,0,MAX(0,(U491-V491)/U491)))</f>
        <v>0.72113079610518327</v>
      </c>
      <c r="Q492" s="18">
        <f>IF($A492&gt;'1-Input'!$B$26,0,(MAX(0,P451-IF($A492&gt;='1-Input'!$C$12,'1-Input'!$B$12,0))-MIN(MAX(T491,0),MAX(0,P451-IF($A492&gt;='1-Input'!$C$12,'1-Input'!$B$12,0))))*(1/(1-'P-Parametri'!$B$6*P492))+MIN(MAX(0,U491-(MAX(0,P451-IF($A492&gt;='1-Input'!$C$12,'1-Input'!$B$12,0))-MIN(MAX(T491,0),MAX(0,P451-IF($A492&gt;='1-Input'!$C$12,'1-Input'!$B$12,0))))*(1/(1-'P-Parametri'!$B$6*P492))),MAX(0,1*P451-(T491-MIN(MAX(T491,0),MAX(0,P451-IF($A492&gt;='1-Input'!$C$12,'1-Input'!$B$12,0)))))*(1/(1-'P-Parametri'!$B$6*P492))))</f>
        <v>9363.4194799156776</v>
      </c>
      <c r="R492" s="18">
        <f>IF($A492&gt;'1-Input'!$B$26,T491,(T491-MAX(0,P451-IF($A492&gt;='1-Input'!$C$12,'1-Input'!$B$12,0))+Q492*(1-'P-Parametri'!$B$6*P492))*(1+'1-Input'!$B$27))</f>
        <v>18575.606853855934</v>
      </c>
      <c r="S492" s="18">
        <f>IF($A492&gt;'1-Input'!$B$26,U491,(U491-Q492)*(1+$C$4))</f>
        <v>8217.3250335556622</v>
      </c>
      <c r="T492" s="18">
        <f>IF($A492&gt;'1-Input'!$B$26,R492,R492-'P-Parametri'!$B$8*(S492+R492)+MIN(MAX(S492,0),'P-Parametri'!$B$8*(S492+R492)))</f>
        <v>18575.606853855934</v>
      </c>
      <c r="U492" s="18">
        <f>IF($A492&gt;'1-Input'!$B$26,S492,S492-MIN(MAX(S492,0),'P-Parametri'!$B$8*(S492+R492)))</f>
        <v>8163.7391697808389</v>
      </c>
      <c r="V492" s="18">
        <f>IF($A492&gt;'1-Input'!$B$26,V491,V491-Q492*(1-P492))</f>
        <v>2224.8144565559378</v>
      </c>
      <c r="W492" s="11">
        <f>IF($A492&gt;'1-Input'!$B$26,0,IF(AB491&lt;=0,0,MAX(0,(AB491-AC491)/AB491)))</f>
        <v>0.72209633088963243</v>
      </c>
      <c r="X492" s="18">
        <f>IF($A492&gt;'1-Input'!$B$26,0,(MAX(0,W451-IF($A492&gt;='1-Input'!$C$12,'1-Input'!$B$12,0))-MIN(MAX(AA491,0),MAX(0,W451-IF($A492&gt;='1-Input'!$C$12,'1-Input'!$B$12,0))))*(1/(1-'P-Parametri'!$B$6*W492))+MIN(MAX(0,AB491-(MAX(0,W451-IF($A492&gt;='1-Input'!$C$12,'1-Input'!$B$12,0))-MIN(MAX(AA491,0),MAX(0,W451-IF($A492&gt;='1-Input'!$C$12,'1-Input'!$B$12,0))))*(1/(1-'P-Parametri'!$B$6*W492))),MAX(0,1*W451-(AA491-MIN(MAX(AA491,0),MAX(0,W451-IF($A492&gt;='1-Input'!$C$12,'1-Input'!$B$12,0)))))*(1/(1-'P-Parametri'!$B$6*W492))))</f>
        <v>9047.746021378598</v>
      </c>
      <c r="Y492" s="18">
        <f>IF($A492&gt;'1-Input'!$B$26,AA491,(AA491-MAX(0,W451-IF($A492&gt;='1-Input'!$C$12,'1-Input'!$B$12,0))+X492*(1-'P-Parametri'!$B$6*W492))*(1+'1-Input'!$B$27))</f>
        <v>18318.70531348556</v>
      </c>
      <c r="Z492" s="18">
        <f>IF($A492&gt;'1-Input'!$B$26,AB491,(AB491-X492)*(1+$C$4))</f>
        <v>29968.966278983535</v>
      </c>
      <c r="AA492" s="18">
        <f>IF($A492&gt;'1-Input'!$B$26,Y492,Y492-'P-Parametri'!$B$8*(Z492+Y492)+MIN(MAX(Z492,0),'P-Parametri'!$B$8*(Z492+Y492)))</f>
        <v>18318.70531348556</v>
      </c>
      <c r="AB492" s="18">
        <f>IF($A492&gt;'1-Input'!$B$26,Z492,Z492-MIN(MAX(Z492,0),'P-Parametri'!$B$8*(Z492+Y492)))</f>
        <v>29872.390935798598</v>
      </c>
      <c r="AC492" s="18">
        <f>IF($A492&gt;'1-Input'!$B$26,AC491,AC491-X492*(1-W492))</f>
        <v>8085.9084353149556</v>
      </c>
      <c r="AD492" s="11">
        <f>IF($A492&gt;'1-Input'!$B$26,0,IF(AI491&lt;=0,0,MAX(0,(AI491-AJ491)/AI491)))</f>
        <v>0.72212065281804416</v>
      </c>
      <c r="AE492" s="18">
        <f>IF($A492&gt;'1-Input'!$B$26,0,(MAX(0,AD451-IF($A492&gt;='1-Input'!$C$12,'1-Input'!$B$12,0))-MIN(MAX(AH491,0),MAX(0,AD451-IF($A492&gt;='1-Input'!$C$12,'1-Input'!$B$12,0))))*(1/(1-'P-Parametri'!$B$6*AD492))+MIN(MAX(0,AI491-(MAX(0,AD451-IF($A492&gt;='1-Input'!$C$12,'1-Input'!$B$12,0))-MIN(MAX(AH491,0),MAX(0,AD451-IF($A492&gt;='1-Input'!$C$12,'1-Input'!$B$12,0))))*(1/(1-'P-Parametri'!$B$6*AD492))),MAX(0,1*AD451-(AH491-MIN(MAX(AH491,0),MAX(0,AD451-IF($A492&gt;='1-Input'!$C$12,'1-Input'!$B$12,0)))))*(1/(1-'P-Parametri'!$B$6*AD492))))</f>
        <v>9034.863478460129</v>
      </c>
      <c r="AF492" s="18">
        <f>IF($A492&gt;'1-Input'!$B$26,AH491,(AH491-MAX(0,AD451-IF($A492&gt;='1-Input'!$C$12,'1-Input'!$B$12,0))+AE492*(1-'P-Parametri'!$B$6*AD492))*(1+'1-Input'!$B$27))</f>
        <v>18308.259750184588</v>
      </c>
      <c r="AG492" s="18">
        <f>IF($A492&gt;'1-Input'!$B$26,AI491,(AI491-AE492)*(1+$C$4))</f>
        <v>30853.531357026295</v>
      </c>
      <c r="AH492" s="18">
        <f>IF($A492&gt;'1-Input'!$B$26,AF492,AF492-'P-Parametri'!$B$8*(AG492+AF492)+MIN(MAX(AG492,0),'P-Parametri'!$B$8*(AG492+AF492)))</f>
        <v>18308.259750184588</v>
      </c>
      <c r="AI492" s="18">
        <f>IF($A492&gt;'1-Input'!$B$26,AG492,AG492-MIN(MAX(AG492,0),'P-Parametri'!$B$8*(AG492+AF492)))</f>
        <v>30755.207774811872</v>
      </c>
      <c r="AJ492" s="18">
        <f>IF($A492&gt;'1-Input'!$B$26,AJ491,AJ491-AE492*(1-AD492))</f>
        <v>8323.8438366489991</v>
      </c>
      <c r="AK492" s="11">
        <f>IF($A492&gt;'1-Input'!$B$26,0,IF(AP491&lt;=0,0,MAX(0,(AP491-AQ491)/AP491)))</f>
        <v>0.72212044982947654</v>
      </c>
      <c r="AL492" s="18">
        <f>IF($A492&gt;'1-Input'!$B$26,0,(MAX(0,AK451-IF($A492&gt;='1-Input'!$C$12,'1-Input'!$B$12,0))-MIN(MAX(AO491,0),MAX(0,AK451-IF($A492&gt;='1-Input'!$C$12,'1-Input'!$B$12,0))))*(1/(1-'P-Parametri'!$B$6*AK492))+MIN(MAX(0,AP491-(MAX(0,AK451-IF($A492&gt;='1-Input'!$C$12,'1-Input'!$B$12,0))-MIN(MAX(AO491,0),MAX(0,AK451-IF($A492&gt;='1-Input'!$C$12,'1-Input'!$B$12,0))))*(1/(1-'P-Parametri'!$B$6*AK492))),MAX(0,1*AK451-(AO491-MIN(MAX(AO491,0),MAX(0,AK451-IF($A492&gt;='1-Input'!$C$12,'1-Input'!$B$12,0)))))*(1/(1-'P-Parametri'!$B$6*AK492))))</f>
        <v>9034.9724272846634</v>
      </c>
      <c r="AM492" s="18">
        <f>IF($A492&gt;'1-Input'!$B$26,AO491,(AO491-MAX(0,AK451-IF($A492&gt;='1-Input'!$C$12,'1-Input'!$B$12,0))+AL492*(1-'P-Parametri'!$B$6*AK492))*(1+'1-Input'!$B$27))</f>
        <v>18308.348082268236</v>
      </c>
      <c r="AN492" s="18">
        <f>IF($A492&gt;'1-Input'!$B$26,AP491,(AP491-AL492)*(1+$C$4))</f>
        <v>30846.051067773747</v>
      </c>
      <c r="AO492" s="18">
        <f>IF($A492&gt;'1-Input'!$B$26,AM492,AM492-'P-Parametri'!$B$8*(AN492+AM492)+MIN(MAX(AN492,0),'P-Parametri'!$B$8*(AN492+AM492)))</f>
        <v>18308.348082268236</v>
      </c>
      <c r="AP492" s="18">
        <f>IF($A492&gt;'1-Input'!$B$26,AN492,AN492-MIN(MAX(AN492,0),'P-Parametri'!$B$8*(AN492+AM492)))</f>
        <v>30747.742269473663</v>
      </c>
      <c r="AQ492" s="18">
        <f>IF($A492&gt;'1-Input'!$B$26,AQ491,AQ491-AL492*(1-AK492))</f>
        <v>8321.8318400485095</v>
      </c>
    </row>
    <row r="493" spans="1:43">
      <c r="A493" s="10">
        <f>40</f>
        <v>40</v>
      </c>
      <c r="B493" s="11">
        <f>IF($A493&gt;'1-Input'!$B$26,0,IF(G492&lt;=0,0,MAX(0,(G492-H492)/G492)))</f>
        <v>0.73102527304422371</v>
      </c>
      <c r="C493" s="18">
        <f>IF($A493&gt;'1-Input'!$B$26,0,(MAX(0,B451-IF($A493&gt;='1-Input'!$C$12,'1-Input'!$B$12,0))-MIN(MAX(F492,0),MAX(0,B451-IF($A493&gt;='1-Input'!$C$12,'1-Input'!$B$12,0))))*(1/(1-'P-Parametri'!$B$6*B493))+MIN(MAX(0,G492-(MAX(0,B451-IF($A493&gt;='1-Input'!$C$12,'1-Input'!$B$12,0))-MIN(MAX(F492,0),MAX(0,B451-IF($A493&gt;='1-Input'!$C$12,'1-Input'!$B$12,0))))*(1/(1-'P-Parametri'!$B$6*B493))),MAX(0,1*B451-(F492-MIN(MAX(F492,0),MAX(0,B451-IF($A493&gt;='1-Input'!$C$12,'1-Input'!$B$12,0)))))*(1/(1-'P-Parametri'!$B$6*B493))))</f>
        <v>6962.4328516254654</v>
      </c>
      <c r="D493" s="18">
        <f>IF($A493&gt;'1-Input'!$B$26,F492,(F492-MAX(0,B451-IF($A493&gt;='1-Input'!$C$12,'1-Input'!$B$12,0))+C493*(1-'P-Parametri'!$B$6*B493))*(1+'1-Input'!$B$27))</f>
        <v>16621.00351549315</v>
      </c>
      <c r="E493" s="18">
        <f>IF($A493&gt;'1-Input'!$B$26,G492,(G492-C493)*(1+$C$4))</f>
        <v>171434.79387301905</v>
      </c>
      <c r="F493" s="18">
        <f>IF($A493&gt;'1-Input'!$B$26,D493,D493-'P-Parametri'!$B$8*(E493+D493)+MIN(MAX(E493,0),'P-Parametri'!$B$8*(E493+D493)))</f>
        <v>16621.00351549315</v>
      </c>
      <c r="G493" s="18">
        <f>IF($A493&gt;'1-Input'!$B$26,E493,E493-MIN(MAX(E493,0),'P-Parametri'!$B$8*(E493+D493)))</f>
        <v>171058.68227824202</v>
      </c>
      <c r="H493" s="18">
        <f>IF($A493&gt;'1-Input'!$B$26,H492,H492-C493*(1-B493))</f>
        <v>44768.569779335041</v>
      </c>
      <c r="I493" s="11">
        <f>IF($A493&gt;'1-Input'!$B$26,0,IF(N492&lt;=0,0,MAX(0,(N492-O492)/N492)))</f>
        <v>0</v>
      </c>
      <c r="J493" s="18">
        <f>IF($A493&gt;'1-Input'!$B$26,0,(MAX(0,I451-IF($A493&gt;='1-Input'!$C$12,'1-Input'!$B$12,0))-MIN(MAX(M492,0),MAX(0,I451-IF($A493&gt;='1-Input'!$C$12,'1-Input'!$B$12,0))))*(1/(1-'P-Parametri'!$B$6*I493))+MIN(MAX(0,N492-(MAX(0,I451-IF($A493&gt;='1-Input'!$C$12,'1-Input'!$B$12,0))-MIN(MAX(M492,0),MAX(0,I451-IF($A493&gt;='1-Input'!$C$12,'1-Input'!$B$12,0))))*(1/(1-'P-Parametri'!$B$6*I493))),MAX(0,1*I451-(M492-MIN(MAX(M492,0),MAX(0,I451-IF($A493&gt;='1-Input'!$C$12,'1-Input'!$B$12,0)))))*(1/(1-'P-Parametri'!$B$6*I493))))</f>
        <v>10846.756992928691</v>
      </c>
      <c r="K493" s="18">
        <f>IF($A493&gt;'1-Input'!$B$26,M492,(M492-MAX(0,I451-IF($A493&gt;='1-Input'!$C$12,'1-Input'!$B$12,0))+J493*(1-'P-Parametri'!$B$6*I493))*(1+'1-Input'!$B$27))</f>
        <v>0</v>
      </c>
      <c r="L493" s="18">
        <f>IF($A493&gt;'1-Input'!$B$26,N492,(N492-J493)*(1+$C$4))</f>
        <v>-205546.55089375578</v>
      </c>
      <c r="M493" s="18">
        <f>IF($A493&gt;'1-Input'!$B$26,K493,K493-'P-Parametri'!$B$8*(L493+K493)+MIN(MAX(L493,0),'P-Parametri'!$B$8*(L493+K493)))</f>
        <v>0</v>
      </c>
      <c r="N493" s="18">
        <f>IF($A493&gt;'1-Input'!$B$26,L493,L493-MIN(MAX(L493,0),'P-Parametri'!$B$8*(L493+K493)))</f>
        <v>-205135.45779196828</v>
      </c>
      <c r="O493" s="18">
        <f>IF($A493&gt;'1-Input'!$B$26,O492,O492-J493*(1-I493))</f>
        <v>-163257.51176449546</v>
      </c>
      <c r="P493" s="11">
        <f>IF($A493&gt;'1-Input'!$B$26,0,IF(U492&lt;=0,0,MAX(0,(U492-V492)/U492)))</f>
        <v>0.72747604862348092</v>
      </c>
      <c r="Q493" s="18">
        <f>IF($A493&gt;'1-Input'!$B$26,0,(MAX(0,P451-IF($A493&gt;='1-Input'!$C$12,'1-Input'!$B$12,0))-MIN(MAX(T492,0),MAX(0,P451-IF($A493&gt;='1-Input'!$C$12,'1-Input'!$B$12,0))))*(1/(1-'P-Parametri'!$B$6*P493))+MIN(MAX(0,U492-(MAX(0,P451-IF($A493&gt;='1-Input'!$C$12,'1-Input'!$B$12,0))-MIN(MAX(T492,0),MAX(0,P451-IF($A493&gt;='1-Input'!$C$12,'1-Input'!$B$12,0))))*(1/(1-'P-Parametri'!$B$6*P493))),MAX(0,1*P451-(T492-MIN(MAX(T492,0),MAX(0,P451-IF($A493&gt;='1-Input'!$C$12,'1-Input'!$B$12,0)))))*(1/(1-'P-Parametri'!$B$6*P493))))</f>
        <v>8163.7391697808389</v>
      </c>
      <c r="R493" s="18">
        <f>IF($A493&gt;'1-Input'!$B$26,T492,(T492-MAX(0,P451-IF($A493&gt;='1-Input'!$C$12,'1-Input'!$B$12,0))+Q493*(1-'P-Parametri'!$B$6*P493))*(1+'1-Input'!$B$27))</f>
        <v>17590.948732188848</v>
      </c>
      <c r="S493" s="18">
        <f>IF($A493&gt;'1-Input'!$B$26,U492,(U492-Q493)*(1+$C$4))</f>
        <v>0</v>
      </c>
      <c r="T493" s="18">
        <f>IF($A493&gt;'1-Input'!$B$26,R493,R493-'P-Parametri'!$B$8*(S493+R493)+MIN(MAX(S493,0),'P-Parametri'!$B$8*(S493+R493)))</f>
        <v>17555.766834724469</v>
      </c>
      <c r="U493" s="18">
        <f>IF($A493&gt;'1-Input'!$B$26,S493,S493-MIN(MAX(S493,0),'P-Parametri'!$B$8*(S493+R493)))</f>
        <v>0</v>
      </c>
      <c r="V493" s="18">
        <f>IF($A493&gt;'1-Input'!$B$26,V492,V492-Q493*(1-P493))</f>
        <v>0</v>
      </c>
      <c r="W493" s="11">
        <f>IF($A493&gt;'1-Input'!$B$26,0,IF(AB492&lt;=0,0,MAX(0,(AB492-AC492)/AB492)))</f>
        <v>0.72931833770209098</v>
      </c>
      <c r="X493" s="18">
        <f>IF($A493&gt;'1-Input'!$B$26,0,(MAX(0,W451-IF($A493&gt;='1-Input'!$C$12,'1-Input'!$B$12,0))-MIN(MAX(AA492,0),MAX(0,W451-IF($A493&gt;='1-Input'!$C$12,'1-Input'!$B$12,0))))*(1/(1-'P-Parametri'!$B$6*W493))+MIN(MAX(0,AB492-(MAX(0,W451-IF($A493&gt;='1-Input'!$C$12,'1-Input'!$B$12,0))-MIN(MAX(AA492,0),MAX(0,W451-IF($A493&gt;='1-Input'!$C$12,'1-Input'!$B$12,0))))*(1/(1-'P-Parametri'!$B$6*W493))),MAX(0,1*W451-(AA492-MIN(MAX(AA492,0),MAX(0,W451-IF($A493&gt;='1-Input'!$C$12,'1-Input'!$B$12,0)))))*(1/(1-'P-Parametri'!$B$6*W493))))</f>
        <v>9068.7105166901438</v>
      </c>
      <c r="Y493" s="18">
        <f>IF($A493&gt;'1-Input'!$B$26,AA492,(AA492-MAX(0,W451-IF($A493&gt;='1-Input'!$C$12,'1-Input'!$B$12,0))+X493*(1-'P-Parametri'!$B$6*W493))*(1+'1-Input'!$B$27))</f>
        <v>18318.70531348556</v>
      </c>
      <c r="Z493" s="18">
        <f>IF($A493&gt;'1-Input'!$B$26,AB492,(AB492-X493)*(1+$C$4))</f>
        <v>21427.790831681705</v>
      </c>
      <c r="AA493" s="18">
        <f>IF($A493&gt;'1-Input'!$B$26,Y493,Y493-'P-Parametri'!$B$8*(Z493+Y493)+MIN(MAX(Z493,0),'P-Parametri'!$B$8*(Z493+Y493)))</f>
        <v>18318.70531348556</v>
      </c>
      <c r="AB493" s="18">
        <f>IF($A493&gt;'1-Input'!$B$26,Z493,Z493-MIN(MAX(Z493,0),'P-Parametri'!$B$8*(Z493+Y493)))</f>
        <v>21348.297839391369</v>
      </c>
      <c r="AC493" s="18">
        <f>IF($A493&gt;'1-Input'!$B$26,AC492,AC492-X493*(1-W493))</f>
        <v>5631.1747977587384</v>
      </c>
      <c r="AD493" s="11">
        <f>IF($A493&gt;'1-Input'!$B$26,0,IF(AI492&lt;=0,0,MAX(0,(AI492-AJ492)/AI492)))</f>
        <v>0.72935172808469462</v>
      </c>
      <c r="AE493" s="18">
        <f>IF($A493&gt;'1-Input'!$B$26,0,(MAX(0,AD451-IF($A493&gt;='1-Input'!$C$12,'1-Input'!$B$12,0))-MIN(MAX(AH492,0),MAX(0,AD451-IF($A493&gt;='1-Input'!$C$12,'1-Input'!$B$12,0))))*(1/(1-'P-Parametri'!$B$6*AD493))+MIN(MAX(0,AI492-(MAX(0,AD451-IF($A493&gt;='1-Input'!$C$12,'1-Input'!$B$12,0))-MIN(MAX(AH492,0),MAX(0,AD451-IF($A493&gt;='1-Input'!$C$12,'1-Input'!$B$12,0))))*(1/(1-'P-Parametri'!$B$6*AD493))),MAX(0,1*AD451-(AH492-MIN(MAX(AH492,0),MAX(0,AD451-IF($A493&gt;='1-Input'!$C$12,'1-Input'!$B$12,0)))))*(1/(1-'P-Parametri'!$B$6*AD493))))</f>
        <v>9055.8246352361439</v>
      </c>
      <c r="AF493" s="18">
        <f>IF($A493&gt;'1-Input'!$B$26,AH492,(AH492-MAX(0,AD451-IF($A493&gt;='1-Input'!$C$12,'1-Input'!$B$12,0))+AE493*(1-'P-Parametri'!$B$6*AD493))*(1+'1-Input'!$B$27))</f>
        <v>18308.259750184588</v>
      </c>
      <c r="AG493" s="18">
        <f>IF($A493&gt;'1-Input'!$B$26,AI492,(AI492-AE493)*(1+$C$4))</f>
        <v>22350.364633763002</v>
      </c>
      <c r="AH493" s="18">
        <f>IF($A493&gt;'1-Input'!$B$26,AF493,AF493-'P-Parametri'!$B$8*(AG493+AF493)+MIN(MAX(AG493,0),'P-Parametri'!$B$8*(AG493+AF493)))</f>
        <v>18308.259750184588</v>
      </c>
      <c r="AI493" s="18">
        <f>IF($A493&gt;'1-Input'!$B$26,AG493,AG493-MIN(MAX(AG493,0),'P-Parametri'!$B$8*(AG493+AF493)))</f>
        <v>22269.047384995105</v>
      </c>
      <c r="AJ493" s="18">
        <f>IF($A493&gt;'1-Input'!$B$26,AJ492,AJ492-AE493*(1-AD493))</f>
        <v>5872.900548354286</v>
      </c>
      <c r="AK493" s="11">
        <f>IF($A493&gt;'1-Input'!$B$26,0,IF(AP492&lt;=0,0,MAX(0,(AP492-AQ492)/AP492)))</f>
        <v>0.729351450681619</v>
      </c>
      <c r="AL493" s="18">
        <f>IF($A493&gt;'1-Input'!$B$26,0,(MAX(0,AK451-IF($A493&gt;='1-Input'!$C$12,'1-Input'!$B$12,0))-MIN(MAX(AO492,0),MAX(0,AK451-IF($A493&gt;='1-Input'!$C$12,'1-Input'!$B$12,0))))*(1/(1-'P-Parametri'!$B$6*AK493))+MIN(MAX(0,AP492-(MAX(0,AK451-IF($A493&gt;='1-Input'!$C$12,'1-Input'!$B$12,0))-MIN(MAX(AO492,0),MAX(0,AK451-IF($A493&gt;='1-Input'!$C$12,'1-Input'!$B$12,0))))*(1/(1-'P-Parametri'!$B$6*AK493))),MAX(0,1*AK451-(AO492-MIN(MAX(AO492,0),MAX(0,AK451-IF($A493&gt;='1-Input'!$C$12,'1-Input'!$B$12,0)))))*(1/(1-'P-Parametri'!$B$6*AK493))))</f>
        <v>9055.9336192471983</v>
      </c>
      <c r="AM493" s="18">
        <f>IF($A493&gt;'1-Input'!$B$26,AO492,(AO492-MAX(0,AK451-IF($A493&gt;='1-Input'!$C$12,'1-Input'!$B$12,0))+AL493*(1-'P-Parametri'!$B$6*AK493))*(1+'1-Input'!$B$27))</f>
        <v>18308.348082268236</v>
      </c>
      <c r="AN493" s="18">
        <f>IF($A493&gt;'1-Input'!$B$26,AP492,(AP492-AL493)*(1+$C$4))</f>
        <v>22342.562909733257</v>
      </c>
      <c r="AO493" s="18">
        <f>IF($A493&gt;'1-Input'!$B$26,AM493,AM493-'P-Parametri'!$B$8*(AN493+AM493)+MIN(MAX(AN493,0),'P-Parametri'!$B$8*(AN493+AM493)))</f>
        <v>18308.348082268236</v>
      </c>
      <c r="AP493" s="18">
        <f>IF($A493&gt;'1-Input'!$B$26,AN493,AN493-MIN(MAX(AN493,0),'P-Parametri'!$B$8*(AN493+AM493)))</f>
        <v>22261.261087749255</v>
      </c>
      <c r="AQ493" s="18">
        <f>IF($A493&gt;'1-Input'!$B$26,AQ492,AQ492-AL493*(1-AK493))</f>
        <v>5870.8565432756996</v>
      </c>
    </row>
    <row r="494" spans="1:43">
      <c r="A494" s="10">
        <f>41</f>
        <v>41</v>
      </c>
      <c r="B494" s="11">
        <f>IF($A494&gt;'1-Input'!$B$26,0,IF(G493&lt;=0,0,MAX(0,(G493-H493)/G493)))</f>
        <v>0.73828531131489128</v>
      </c>
      <c r="C494" s="18">
        <f>IF($A494&gt;'1-Input'!$B$26,0,(MAX(0,B451-IF($A494&gt;='1-Input'!$C$12,'1-Input'!$B$12,0))-MIN(MAX(F493,0),MAX(0,B451-IF($A494&gt;='1-Input'!$C$12,'1-Input'!$B$12,0))))*(1/(1-'P-Parametri'!$B$6*B494))+MIN(MAX(0,G493-(MAX(0,B451-IF($A494&gt;='1-Input'!$C$12,'1-Input'!$B$12,0))-MIN(MAX(F493,0),MAX(0,B451-IF($A494&gt;='1-Input'!$C$12,'1-Input'!$B$12,0))))*(1/(1-'P-Parametri'!$B$6*B494))),MAX(0,1*B451-(F493-MIN(MAX(F493,0),MAX(0,B451-IF($A494&gt;='1-Input'!$C$12,'1-Input'!$B$12,0)))))*(1/(1-'P-Parametri'!$B$6*B494))))</f>
        <v>6978.6972232979224</v>
      </c>
      <c r="D494" s="18">
        <f>IF($A494&gt;'1-Input'!$B$26,F493,(F493-MAX(0,B451-IF($A494&gt;='1-Input'!$C$12,'1-Input'!$B$12,0))+C494*(1-'P-Parametri'!$B$6*B494))*(1+'1-Input'!$B$27))</f>
        <v>16621.00351549315</v>
      </c>
      <c r="E494" s="18">
        <f>IF($A494&gt;'1-Input'!$B$26,G493,(G493-C494)*(1+$C$4))</f>
        <v>169002.38460659242</v>
      </c>
      <c r="F494" s="18">
        <f>IF($A494&gt;'1-Input'!$B$26,D494,D494-'P-Parametri'!$B$8*(E494+D494)+MIN(MAX(E494,0),'P-Parametri'!$B$8*(E494+D494)))</f>
        <v>16621.00351549315</v>
      </c>
      <c r="G494" s="18">
        <f>IF($A494&gt;'1-Input'!$B$26,E494,E494-MIN(MAX(E494,0),'P-Parametri'!$B$8*(E494+D494)))</f>
        <v>168631.13783034825</v>
      </c>
      <c r="H494" s="18">
        <f>IF($A494&gt;'1-Input'!$B$26,H493,H493-C494*(1-B494))</f>
        <v>42942.142208111989</v>
      </c>
      <c r="I494" s="11">
        <f>IF($A494&gt;'1-Input'!$B$26,0,IF(N493&lt;=0,0,MAX(0,(N493-O493)/N493)))</f>
        <v>0</v>
      </c>
      <c r="J494" s="18">
        <f>IF($A494&gt;'1-Input'!$B$26,0,(MAX(0,I451-IF($A494&gt;='1-Input'!$C$12,'1-Input'!$B$12,0))-MIN(MAX(M493,0),MAX(0,I451-IF($A494&gt;='1-Input'!$C$12,'1-Input'!$B$12,0))))*(1/(1-'P-Parametri'!$B$6*I494))+MIN(MAX(0,N493-(MAX(0,I451-IF($A494&gt;='1-Input'!$C$12,'1-Input'!$B$12,0))-MIN(MAX(M493,0),MAX(0,I451-IF($A494&gt;='1-Input'!$C$12,'1-Input'!$B$12,0))))*(1/(1-'P-Parametri'!$B$6*I494))),MAX(0,1*I451-(M493-MIN(MAX(M493,0),MAX(0,I451-IF($A494&gt;='1-Input'!$C$12,'1-Input'!$B$12,0)))))*(1/(1-'P-Parametri'!$B$6*I494))))</f>
        <v>10846.756992928691</v>
      </c>
      <c r="K494" s="18">
        <f>IF($A494&gt;'1-Input'!$B$26,M493,(M493-MAX(0,I451-IF($A494&gt;='1-Input'!$C$12,'1-Input'!$B$12,0))+J494*(1-'P-Parametri'!$B$6*I494))*(1+'1-Input'!$B$27))</f>
        <v>0</v>
      </c>
      <c r="L494" s="18">
        <f>IF($A494&gt;'1-Input'!$B$26,N493,(N493-J494)*(1+$C$4))</f>
        <v>-222461.68122844386</v>
      </c>
      <c r="M494" s="18">
        <f>IF($A494&gt;'1-Input'!$B$26,K494,K494-'P-Parametri'!$B$8*(L494+K494)+MIN(MAX(L494,0),'P-Parametri'!$B$8*(L494+K494)))</f>
        <v>0</v>
      </c>
      <c r="N494" s="18">
        <f>IF($A494&gt;'1-Input'!$B$26,L494,L494-MIN(MAX(L494,0),'P-Parametri'!$B$8*(L494+K494)))</f>
        <v>-222016.75786598699</v>
      </c>
      <c r="O494" s="18">
        <f>IF($A494&gt;'1-Input'!$B$26,O493,O493-J494*(1-I494))</f>
        <v>-174104.26875742414</v>
      </c>
      <c r="P494" s="11">
        <f>IF($A494&gt;'1-Input'!$B$26,0,IF(U493&lt;=0,0,MAX(0,(U493-V493)/U493)))</f>
        <v>0</v>
      </c>
      <c r="Q494" s="18">
        <f>IF($A494&gt;'1-Input'!$B$26,0,(MAX(0,P451-IF($A494&gt;='1-Input'!$C$12,'1-Input'!$B$12,0))-MIN(MAX(T493,0),MAX(0,P451-IF($A494&gt;='1-Input'!$C$12,'1-Input'!$B$12,0))))*(1/(1-'P-Parametri'!$B$6*P494))+MIN(MAX(0,U493-(MAX(0,P451-IF($A494&gt;='1-Input'!$C$12,'1-Input'!$B$12,0))-MIN(MAX(T493,0),MAX(0,P451-IF($A494&gt;='1-Input'!$C$12,'1-Input'!$B$12,0))))*(1/(1-'P-Parametri'!$B$6*P494))),MAX(0,1*P451-(T493-MIN(MAX(T493,0),MAX(0,P451-IF($A494&gt;='1-Input'!$C$12,'1-Input'!$B$12,0)))))*(1/(1-'P-Parametri'!$B$6*P494))))</f>
        <v>0</v>
      </c>
      <c r="R494" s="18">
        <f>IF($A494&gt;'1-Input'!$B$26,T493,(T493-MAX(0,P451-IF($A494&gt;='1-Input'!$C$12,'1-Input'!$B$12,0))+Q494*(1-'P-Parametri'!$B$6*P494))*(1+'1-Input'!$B$27))</f>
        <v>9978.9920202635258</v>
      </c>
      <c r="S494" s="18">
        <f>IF($A494&gt;'1-Input'!$B$26,U493,(U493-Q494)*(1+$C$4))</f>
        <v>0</v>
      </c>
      <c r="T494" s="18">
        <f>IF($A494&gt;'1-Input'!$B$26,R494,R494-'P-Parametri'!$B$8*(S494+R494)+MIN(MAX(S494,0),'P-Parametri'!$B$8*(S494+R494)))</f>
        <v>9959.0340362229981</v>
      </c>
      <c r="U494" s="18">
        <f>IF($A494&gt;'1-Input'!$B$26,S494,S494-MIN(MAX(S494,0),'P-Parametri'!$B$8*(S494+R494)))</f>
        <v>0</v>
      </c>
      <c r="V494" s="18">
        <f>IF($A494&gt;'1-Input'!$B$26,V493,V493-Q494*(1-P494))</f>
        <v>0</v>
      </c>
      <c r="W494" s="11">
        <f>IF($A494&gt;'1-Input'!$B$26,0,IF(AB493&lt;=0,0,MAX(0,(AB493-AC493)/AB493)))</f>
        <v>0.73622371019350175</v>
      </c>
      <c r="X494" s="18">
        <f>IF($A494&gt;'1-Input'!$B$26,0,(MAX(0,W451-IF($A494&gt;='1-Input'!$C$12,'1-Input'!$B$12,0))-MIN(MAX(AA493,0),MAX(0,W451-IF($A494&gt;='1-Input'!$C$12,'1-Input'!$B$12,0))))*(1/(1-'P-Parametri'!$B$6*W494))+MIN(MAX(0,AB493-(MAX(0,W451-IF($A494&gt;='1-Input'!$C$12,'1-Input'!$B$12,0))-MIN(MAX(AA493,0),MAX(0,W451-IF($A494&gt;='1-Input'!$C$12,'1-Input'!$B$12,0))))*(1/(1-'P-Parametri'!$B$6*W494))),MAX(0,1*W451-(AA493-MIN(MAX(AA493,0),MAX(0,W451-IF($A494&gt;='1-Input'!$C$12,'1-Input'!$B$12,0)))))*(1/(1-'P-Parametri'!$B$6*W494))))</f>
        <v>9088.8469253542498</v>
      </c>
      <c r="Y494" s="18">
        <f>IF($A494&gt;'1-Input'!$B$26,AA493,(AA493-MAX(0,W451-IF($A494&gt;='1-Input'!$C$12,'1-Input'!$B$12,0))+X494*(1-'P-Parametri'!$B$6*W494))*(1+'1-Input'!$B$27))</f>
        <v>18318.70531348556</v>
      </c>
      <c r="Z494" s="18">
        <f>IF($A494&gt;'1-Input'!$B$26,AB493,(AB493-X494)*(1+$C$4))</f>
        <v>12627.234441458233</v>
      </c>
      <c r="AA494" s="18">
        <f>IF($A494&gt;'1-Input'!$B$26,Y494,Y494-'P-Parametri'!$B$8*(Z494+Y494)+MIN(MAX(Z494,0),'P-Parametri'!$B$8*(Z494+Y494)))</f>
        <v>18318.70531348556</v>
      </c>
      <c r="AB494" s="18">
        <f>IF($A494&gt;'1-Input'!$B$26,Z494,Z494-MIN(MAX(Z494,0),'P-Parametri'!$B$8*(Z494+Y494)))</f>
        <v>12565.342561948346</v>
      </c>
      <c r="AC494" s="18">
        <f>IF($A494&gt;'1-Input'!$B$26,AC493,AC493-X494*(1-W494))</f>
        <v>3233.7524771695953</v>
      </c>
      <c r="AD494" s="11">
        <f>IF($A494&gt;'1-Input'!$B$26,0,IF(AI493&lt;=0,0,MAX(0,(AI493-AJ493)/AI493)))</f>
        <v>0.7362751784204542</v>
      </c>
      <c r="AE494" s="18">
        <f>IF($A494&gt;'1-Input'!$B$26,0,(MAX(0,AD451-IF($A494&gt;='1-Input'!$C$12,'1-Input'!$B$12,0))-MIN(MAX(AH493,0),MAX(0,AD451-IF($A494&gt;='1-Input'!$C$12,'1-Input'!$B$12,0))))*(1/(1-'P-Parametri'!$B$6*AD494))+MIN(MAX(0,AI493-(MAX(0,AD451-IF($A494&gt;='1-Input'!$C$12,'1-Input'!$B$12,0))-MIN(MAX(AH493,0),MAX(0,AD451-IF($A494&gt;='1-Input'!$C$12,'1-Input'!$B$12,0))))*(1/(1-'P-Parametri'!$B$6*AD494))),MAX(0,1*AD451-(AH493-MIN(MAX(AH493,0),MAX(0,AD451-IF($A494&gt;='1-Input'!$C$12,'1-Input'!$B$12,0)))))*(1/(1-'P-Parametri'!$B$6*AD494))))</f>
        <v>9075.9854063819512</v>
      </c>
      <c r="AF494" s="18">
        <f>IF($A494&gt;'1-Input'!$B$26,AH493,(AH493-MAX(0,AD451-IF($A494&gt;='1-Input'!$C$12,'1-Input'!$B$12,0))+AE494*(1-'P-Parametri'!$B$6*AD494))*(1+'1-Input'!$B$27))</f>
        <v>18308.259750184588</v>
      </c>
      <c r="AG494" s="18">
        <f>IF($A494&gt;'1-Input'!$B$26,AI493,(AI493-AE494)*(1+$C$4))</f>
        <v>13588.853837971548</v>
      </c>
      <c r="AH494" s="18">
        <f>IF($A494&gt;'1-Input'!$B$26,AF494,AF494-'P-Parametri'!$B$8*(AG494+AF494)+MIN(MAX(AG494,0),'P-Parametri'!$B$8*(AG494+AF494)))</f>
        <v>18308.259750184588</v>
      </c>
      <c r="AI494" s="18">
        <f>IF($A494&gt;'1-Input'!$B$26,AG494,AG494-MIN(MAX(AG494,0),'P-Parametri'!$B$8*(AG494+AF494)))</f>
        <v>13525.059610795235</v>
      </c>
      <c r="AJ494" s="18">
        <f>IF($A494&gt;'1-Input'!$B$26,AJ493,AJ493-AE494*(1-AD494))</f>
        <v>3479.3379163976447</v>
      </c>
      <c r="AK494" s="11">
        <f>IF($A494&gt;'1-Input'!$B$26,0,IF(AP493&lt;=0,0,MAX(0,(AP493-AQ493)/AP493)))</f>
        <v>0.73627475460019964</v>
      </c>
      <c r="AL494" s="18">
        <f>IF($A494&gt;'1-Input'!$B$26,0,(MAX(0,AK451-IF($A494&gt;='1-Input'!$C$12,'1-Input'!$B$12,0))-MIN(MAX(AO493,0),MAX(0,AK451-IF($A494&gt;='1-Input'!$C$12,'1-Input'!$B$12,0))))*(1/(1-'P-Parametri'!$B$6*AK494))+MIN(MAX(0,AP493-(MAX(0,AK451-IF($A494&gt;='1-Input'!$C$12,'1-Input'!$B$12,0))-MIN(MAX(AO493,0),MAX(0,AK451-IF($A494&gt;='1-Input'!$C$12,'1-Input'!$B$12,0))))*(1/(1-'P-Parametri'!$B$6*AK494))),MAX(0,1*AK451-(AO493-MIN(MAX(AO493,0),MAX(0,AK451-IF($A494&gt;='1-Input'!$C$12,'1-Input'!$B$12,0)))))*(1/(1-'P-Parametri'!$B$6*AK494))))</f>
        <v>9076.0942039087768</v>
      </c>
      <c r="AM494" s="18">
        <f>IF($A494&gt;'1-Input'!$B$26,AO493,(AO493-MAX(0,AK451-IF($A494&gt;='1-Input'!$C$12,'1-Input'!$B$12,0))+AL494*(1-'P-Parametri'!$B$6*AK494))*(1+'1-Input'!$B$27))</f>
        <v>18308.348082268236</v>
      </c>
      <c r="AN494" s="18">
        <f>IF($A494&gt;'1-Input'!$B$26,AP493,(AP493-AL494)*(1+$C$4))</f>
        <v>13580.721890355693</v>
      </c>
      <c r="AO494" s="18">
        <f>IF($A494&gt;'1-Input'!$B$26,AM494,AM494-'P-Parametri'!$B$8*(AN494+AM494)+MIN(MAX(AN494,0),'P-Parametri'!$B$8*(AN494+AM494)))</f>
        <v>18308.348082268236</v>
      </c>
      <c r="AP494" s="18">
        <f>IF($A494&gt;'1-Input'!$B$26,AN494,AN494-MIN(MAX(AN494,0),'P-Parametri'!$B$8*(AN494+AM494)))</f>
        <v>13516.943750410446</v>
      </c>
      <c r="AQ494" s="18">
        <f>IF($A494&gt;'1-Input'!$B$26,AQ493,AQ493-AL494*(1-AK494))</f>
        <v>3477.2613720781519</v>
      </c>
    </row>
    <row r="495" spans="1:43">
      <c r="A495" s="10">
        <f>42</f>
        <v>42</v>
      </c>
      <c r="B495" s="11">
        <f>IF($A495&gt;'1-Input'!$B$26,0,IF(G494&lt;=0,0,MAX(0,(G494-H494)/G494)))</f>
        <v>0.74534867782654679</v>
      </c>
      <c r="C495" s="18">
        <f>IF($A495&gt;'1-Input'!$B$26,0,(MAX(0,B451-IF($A495&gt;='1-Input'!$C$12,'1-Input'!$B$12,0))-MIN(MAX(F494,0),MAX(0,B451-IF($A495&gt;='1-Input'!$C$12,'1-Input'!$B$12,0))))*(1/(1-'P-Parametri'!$B$6*B495))+MIN(MAX(0,G494-(MAX(0,B451-IF($A495&gt;='1-Input'!$C$12,'1-Input'!$B$12,0))-MIN(MAX(F494,0),MAX(0,B451-IF($A495&gt;='1-Input'!$C$12,'1-Input'!$B$12,0))))*(1/(1-'P-Parametri'!$B$6*B495))),MAX(0,1*B451-(F494-MIN(MAX(F494,0),MAX(0,B451-IF($A495&gt;='1-Input'!$C$12,'1-Input'!$B$12,0)))))*(1/(1-'P-Parametri'!$B$6*B495))))</f>
        <v>6994.5940931707928</v>
      </c>
      <c r="D495" s="18">
        <f>IF($A495&gt;'1-Input'!$B$26,F494,(F494-MAX(0,B451-IF($A495&gt;='1-Input'!$C$12,'1-Input'!$B$12,0))+C495*(1-'P-Parametri'!$B$6*B495))*(1+'1-Input'!$B$27))</f>
        <v>16621.00351549315</v>
      </c>
      <c r="E495" s="18">
        <f>IF($A495&gt;'1-Input'!$B$26,G494,(G494-C495)*(1+$C$4))</f>
        <v>166485.64004929276</v>
      </c>
      <c r="F495" s="18">
        <f>IF($A495&gt;'1-Input'!$B$26,D495,D495-'P-Parametri'!$B$8*(E495+D495)+MIN(MAX(E495,0),'P-Parametri'!$B$8*(E495+D495)))</f>
        <v>16621.00351549315</v>
      </c>
      <c r="G495" s="18">
        <f>IF($A495&gt;'1-Input'!$B$26,E495,E495-MIN(MAX(E495,0),'P-Parametri'!$B$8*(E495+D495)))</f>
        <v>166119.4267621632</v>
      </c>
      <c r="H495" s="18">
        <f>IF($A495&gt;'1-Input'!$B$26,H494,H494-C495*(1-B495))</f>
        <v>41160.959574219421</v>
      </c>
      <c r="I495" s="11">
        <f>IF($A495&gt;'1-Input'!$B$26,0,IF(N494&lt;=0,0,MAX(0,(N494-O494)/N494)))</f>
        <v>0</v>
      </c>
      <c r="J495" s="18">
        <f>IF($A495&gt;'1-Input'!$B$26,0,(MAX(0,I451-IF($A495&gt;='1-Input'!$C$12,'1-Input'!$B$12,0))-MIN(MAX(M494,0),MAX(0,I451-IF($A495&gt;='1-Input'!$C$12,'1-Input'!$B$12,0))))*(1/(1-'P-Parametri'!$B$6*I495))+MIN(MAX(0,N494-(MAX(0,I451-IF($A495&gt;='1-Input'!$C$12,'1-Input'!$B$12,0))-MIN(MAX(M494,0),MAX(0,I451-IF($A495&gt;='1-Input'!$C$12,'1-Input'!$B$12,0))))*(1/(1-'P-Parametri'!$B$6*I495))),MAX(0,1*I451-(M494-MIN(MAX(M494,0),MAX(0,I451-IF($A495&gt;='1-Input'!$C$12,'1-Input'!$B$12,0)))))*(1/(1-'P-Parametri'!$B$6*I495))))</f>
        <v>10846.756992928691</v>
      </c>
      <c r="K495" s="18">
        <f>IF($A495&gt;'1-Input'!$B$26,M494,(M494-MAX(0,I451-IF($A495&gt;='1-Input'!$C$12,'1-Input'!$B$12,0))+J495*(1-'P-Parametri'!$B$6*I495))*(1+'1-Input'!$B$27))</f>
        <v>0</v>
      </c>
      <c r="L495" s="18">
        <f>IF($A495&gt;'1-Input'!$B$26,N494,(N494-J495)*(1+$C$4))</f>
        <v>-239849.42030468315</v>
      </c>
      <c r="M495" s="18">
        <f>IF($A495&gt;'1-Input'!$B$26,K495,K495-'P-Parametri'!$B$8*(L495+K495)+MIN(MAX(L495,0),'P-Parametri'!$B$8*(L495+K495)))</f>
        <v>0</v>
      </c>
      <c r="N495" s="18">
        <f>IF($A495&gt;'1-Input'!$B$26,L495,L495-MIN(MAX(L495,0),'P-Parametri'!$B$8*(L495+K495)))</f>
        <v>-239369.72146407378</v>
      </c>
      <c r="O495" s="18">
        <f>IF($A495&gt;'1-Input'!$B$26,O494,O494-J495*(1-I495))</f>
        <v>-184951.02575035283</v>
      </c>
      <c r="P495" s="11">
        <f>IF($A495&gt;'1-Input'!$B$26,0,IF(U494&lt;=0,0,MAX(0,(U494-V494)/U494)))</f>
        <v>0</v>
      </c>
      <c r="Q495" s="18">
        <f>IF($A495&gt;'1-Input'!$B$26,0,(MAX(0,P451-IF($A495&gt;='1-Input'!$C$12,'1-Input'!$B$12,0))-MIN(MAX(T494,0),MAX(0,P451-IF($A495&gt;='1-Input'!$C$12,'1-Input'!$B$12,0))))*(1/(1-'P-Parametri'!$B$6*P495))+MIN(MAX(0,U494-(MAX(0,P451-IF($A495&gt;='1-Input'!$C$12,'1-Input'!$B$12,0))-MIN(MAX(T494,0),MAX(0,P451-IF($A495&gt;='1-Input'!$C$12,'1-Input'!$B$12,0))))*(1/(1-'P-Parametri'!$B$6*P495))),MAX(0,1*P451-(T494-MIN(MAX(T494,0),MAX(0,P451-IF($A495&gt;='1-Input'!$C$12,'1-Input'!$B$12,0)))))*(1/(1-'P-Parametri'!$B$6*P495))))</f>
        <v>0</v>
      </c>
      <c r="R495" s="18">
        <f>IF($A495&gt;'1-Input'!$B$26,T494,(T494-MAX(0,P451-IF($A495&gt;='1-Input'!$C$12,'1-Input'!$B$12,0))+Q495*(1-'P-Parametri'!$B$6*P495))*(1+'1-Input'!$B$27))</f>
        <v>2409.6074598366599</v>
      </c>
      <c r="S495" s="18">
        <f>IF($A495&gt;'1-Input'!$B$26,U494,(U494-Q495)*(1+$C$4))</f>
        <v>0</v>
      </c>
      <c r="T495" s="18">
        <f>IF($A495&gt;'1-Input'!$B$26,R495,R495-'P-Parametri'!$B$8*(S495+R495)+MIN(MAX(S495,0),'P-Parametri'!$B$8*(S495+R495)))</f>
        <v>2404.7882449169865</v>
      </c>
      <c r="U495" s="18">
        <f>IF($A495&gt;'1-Input'!$B$26,S495,S495-MIN(MAX(S495,0),'P-Parametri'!$B$8*(S495+R495)))</f>
        <v>0</v>
      </c>
      <c r="V495" s="18">
        <f>IF($A495&gt;'1-Input'!$B$26,V494,V494-Q495*(1-P495))</f>
        <v>0</v>
      </c>
      <c r="W495" s="11">
        <f>IF($A495&gt;'1-Input'!$B$26,0,IF(AB494&lt;=0,0,MAX(0,(AB494-AC494)/AB494)))</f>
        <v>0.7426451001055574</v>
      </c>
      <c r="X495" s="18">
        <f>IF($A495&gt;'1-Input'!$B$26,0,(MAX(0,W451-IF($A495&gt;='1-Input'!$C$12,'1-Input'!$B$12,0))-MIN(MAX(AA494,0),MAX(0,W451-IF($A495&gt;='1-Input'!$C$12,'1-Input'!$B$12,0))))*(1/(1-'P-Parametri'!$B$6*W495))+MIN(MAX(0,AB494-(MAX(0,W451-IF($A495&gt;='1-Input'!$C$12,'1-Input'!$B$12,0))-MIN(MAX(AA494,0),MAX(0,W451-IF($A495&gt;='1-Input'!$C$12,'1-Input'!$B$12,0))))*(1/(1-'P-Parametri'!$B$6*W495))),MAX(0,1*W451-(AA494-MIN(MAX(AA494,0),MAX(0,W451-IF($A495&gt;='1-Input'!$C$12,'1-Input'!$B$12,0)))))*(1/(1-'P-Parametri'!$B$6*W495))))</f>
        <v>9107.652424141068</v>
      </c>
      <c r="Y495" s="18">
        <f>IF($A495&gt;'1-Input'!$B$26,AA494,(AA494-MAX(0,W451-IF($A495&gt;='1-Input'!$C$12,'1-Input'!$B$12,0))+X495*(1-'P-Parametri'!$B$6*W495))*(1+'1-Input'!$B$27))</f>
        <v>18318.70531348556</v>
      </c>
      <c r="Z495" s="18">
        <f>IF($A495&gt;'1-Input'!$B$26,AB494,(AB494-X495)*(1+$C$4))</f>
        <v>3561.4208419414963</v>
      </c>
      <c r="AA495" s="18">
        <f>IF($A495&gt;'1-Input'!$B$26,Y495,Y495-'P-Parametri'!$B$8*(Z495+Y495)+MIN(MAX(Z495,0),'P-Parametri'!$B$8*(Z495+Y495)))</f>
        <v>18318.70531348556</v>
      </c>
      <c r="AB495" s="18">
        <f>IF($A495&gt;'1-Input'!$B$26,Z495,Z495-MIN(MAX(Z495,0),'P-Parametri'!$B$8*(Z495+Y495)))</f>
        <v>3517.6605896306423</v>
      </c>
      <c r="AC495" s="18">
        <f>IF($A495&gt;'1-Input'!$B$26,AC494,AC494-X495*(1-W495))</f>
        <v>889.8534992813934</v>
      </c>
      <c r="AD495" s="11">
        <f>IF($A495&gt;'1-Input'!$B$26,0,IF(AI494&lt;=0,0,MAX(0,(AI494-AJ494)/AI494)))</f>
        <v>0.74274879249918002</v>
      </c>
      <c r="AE495" s="18">
        <f>IF($A495&gt;'1-Input'!$B$26,0,(MAX(0,AD451-IF($A495&gt;='1-Input'!$C$12,'1-Input'!$B$12,0))-MIN(MAX(AH494,0),MAX(0,AD451-IF($A495&gt;='1-Input'!$C$12,'1-Input'!$B$12,0))))*(1/(1-'P-Parametri'!$B$6*AD495))+MIN(MAX(0,AI494-(MAX(0,AD451-IF($A495&gt;='1-Input'!$C$12,'1-Input'!$B$12,0))-MIN(MAX(AH494,0),MAX(0,AD451-IF($A495&gt;='1-Input'!$C$12,'1-Input'!$B$12,0))))*(1/(1-'P-Parametri'!$B$6*AD495))),MAX(0,1*AD451-(AH494-MIN(MAX(AH494,0),MAX(0,AD451-IF($A495&gt;='1-Input'!$C$12,'1-Input'!$B$12,0)))))*(1/(1-'P-Parametri'!$B$6*AD495))))</f>
        <v>9094.9176520570272</v>
      </c>
      <c r="AF495" s="18">
        <f>IF($A495&gt;'1-Input'!$B$26,AH494,(AH494-MAX(0,AD451-IF($A495&gt;='1-Input'!$C$12,'1-Input'!$B$12,0))+AE495*(1-'P-Parametri'!$B$6*AD495))*(1+'1-Input'!$B$27))</f>
        <v>18308.259750184588</v>
      </c>
      <c r="AG495" s="18">
        <f>IF($A495&gt;'1-Input'!$B$26,AI494,(AI494-AE495)*(1+$C$4))</f>
        <v>4563.046217500354</v>
      </c>
      <c r="AH495" s="18">
        <f>IF($A495&gt;'1-Input'!$B$26,AF495,AF495-'P-Parametri'!$B$8*(AG495+AF495)+MIN(MAX(AG495,0),'P-Parametri'!$B$8*(AG495+AF495)))</f>
        <v>18308.259750184588</v>
      </c>
      <c r="AI495" s="18">
        <f>IF($A495&gt;'1-Input'!$B$26,AG495,AG495-MIN(MAX(AG495,0),'P-Parametri'!$B$8*(AG495+AF495)))</f>
        <v>4517.3036055649845</v>
      </c>
      <c r="AJ495" s="18">
        <f>IF($A495&gt;'1-Input'!$B$26,AJ494,AJ494-AE495*(1-AD495))</f>
        <v>1139.6593682854518</v>
      </c>
      <c r="AK495" s="11">
        <f>IF($A495&gt;'1-Input'!$B$26,0,IF(AP494&lt;=0,0,MAX(0,(AP494-AQ494)/AP494)))</f>
        <v>0.74274795868906651</v>
      </c>
      <c r="AL495" s="18">
        <f>IF($A495&gt;'1-Input'!$B$26,0,(MAX(0,AK451-IF($A495&gt;='1-Input'!$C$12,'1-Input'!$B$12,0))-MIN(MAX(AO494,0),MAX(0,AK451-IF($A495&gt;='1-Input'!$C$12,'1-Input'!$B$12,0))))*(1/(1-'P-Parametri'!$B$6*AK495))+MIN(MAX(0,AP494-(MAX(0,AK451-IF($A495&gt;='1-Input'!$C$12,'1-Input'!$B$12,0))-MIN(MAX(AO494,0),MAX(0,AK451-IF($A495&gt;='1-Input'!$C$12,'1-Input'!$B$12,0))))*(1/(1-'P-Parametri'!$B$6*AK495))),MAX(0,1*AK451-(AO494-MIN(MAX(AO494,0),MAX(0,AK451-IF($A495&gt;='1-Input'!$C$12,'1-Input'!$B$12,0)))))*(1/(1-'P-Parametri'!$B$6*AK495))))</f>
        <v>9095.0254724060724</v>
      </c>
      <c r="AM495" s="18">
        <f>IF($A495&gt;'1-Input'!$B$26,AO494,(AO494-MAX(0,AK451-IF($A495&gt;='1-Input'!$C$12,'1-Input'!$B$12,0))+AL495*(1-'P-Parametri'!$B$6*AK495))*(1+'1-Input'!$B$27))</f>
        <v>18308.348082268236</v>
      </c>
      <c r="AN495" s="18">
        <f>IF($A495&gt;'1-Input'!$B$26,AP494,(AP494-AL495)*(1+$C$4))</f>
        <v>4554.575826344505</v>
      </c>
      <c r="AO495" s="18">
        <f>IF($A495&gt;'1-Input'!$B$26,AM495,AM495-'P-Parametri'!$B$8*(AN495+AM495)+MIN(MAX(AN495,0),'P-Parametri'!$B$8*(AN495+AM495)))</f>
        <v>18308.348082268236</v>
      </c>
      <c r="AP495" s="18">
        <f>IF($A495&gt;'1-Input'!$B$26,AN495,AN495-MIN(MAX(AN495,0),'P-Parametri'!$B$8*(AN495+AM495)))</f>
        <v>4508.8499785272797</v>
      </c>
      <c r="AQ495" s="18">
        <f>IF($A495&gt;'1-Input'!$B$26,AQ494,AQ494-AL495*(1-AK495))</f>
        <v>1137.5475035267527</v>
      </c>
    </row>
    <row r="496" spans="1:43">
      <c r="A496" s="10">
        <f>43</f>
        <v>43</v>
      </c>
      <c r="B496" s="11">
        <f>IF($A496&gt;'1-Input'!$B$26,0,IF(G495&lt;=0,0,MAX(0,(G495-H495)/G495)))</f>
        <v>0.75222067414697702</v>
      </c>
      <c r="C496" s="18">
        <f>IF($A496&gt;'1-Input'!$B$26,0,(MAX(0,B451-IF($A496&gt;='1-Input'!$C$12,'1-Input'!$B$12,0))-MIN(MAX(F495,0),MAX(0,B451-IF($A496&gt;='1-Input'!$C$12,'1-Input'!$B$12,0))))*(1/(1-'P-Parametri'!$B$6*B496))+MIN(MAX(0,G495-(MAX(0,B451-IF($A496&gt;='1-Input'!$C$12,'1-Input'!$B$12,0))-MIN(MAX(F495,0),MAX(0,B451-IF($A496&gt;='1-Input'!$C$12,'1-Input'!$B$12,0))))*(1/(1-'P-Parametri'!$B$6*B496))),MAX(0,1*B451-(F495-MIN(MAX(F495,0),MAX(0,B451-IF($A496&gt;='1-Input'!$C$12,'1-Input'!$B$12,0)))))*(1/(1-'P-Parametri'!$B$6*B496))))</f>
        <v>7010.1299248125588</v>
      </c>
      <c r="D496" s="18">
        <f>IF($A496&gt;'1-Input'!$B$26,F495,(F495-MAX(0,B451-IF($A496&gt;='1-Input'!$C$12,'1-Input'!$B$12,0))+C496*(1-'P-Parametri'!$B$6*B496))*(1+'1-Input'!$B$27))</f>
        <v>16621.00351549315</v>
      </c>
      <c r="E496" s="18">
        <f>IF($A496&gt;'1-Input'!$B$26,G495,(G495-C496)*(1+$C$4))</f>
        <v>163882.57574247118</v>
      </c>
      <c r="F496" s="18">
        <f>IF($A496&gt;'1-Input'!$B$26,D496,D496-'P-Parametri'!$B$8*(E496+D496)+MIN(MAX(E496,0),'P-Parametri'!$B$8*(E496+D496)))</f>
        <v>16621.00351549315</v>
      </c>
      <c r="G496" s="18">
        <f>IF($A496&gt;'1-Input'!$B$26,E496,E496-MIN(MAX(E496,0),'P-Parametri'!$B$8*(E496+D496)))</f>
        <v>163521.56858395526</v>
      </c>
      <c r="H496" s="18">
        <f>IF($A496&gt;'1-Input'!$B$26,H495,H495-C496*(1-B496))</f>
        <v>39423.994307307265</v>
      </c>
      <c r="I496" s="11">
        <f>IF($A496&gt;'1-Input'!$B$26,0,IF(N495&lt;=0,0,MAX(0,(N495-O495)/N495)))</f>
        <v>0</v>
      </c>
      <c r="J496" s="18">
        <f>IF($A496&gt;'1-Input'!$B$26,0,(MAX(0,I451-IF($A496&gt;='1-Input'!$C$12,'1-Input'!$B$12,0))-MIN(MAX(M495,0),MAX(0,I451-IF($A496&gt;='1-Input'!$C$12,'1-Input'!$B$12,0))))*(1/(1-'P-Parametri'!$B$6*I496))+MIN(MAX(0,N495-(MAX(0,I451-IF($A496&gt;='1-Input'!$C$12,'1-Input'!$B$12,0))-MIN(MAX(M495,0),MAX(0,I451-IF($A496&gt;='1-Input'!$C$12,'1-Input'!$B$12,0))))*(1/(1-'P-Parametri'!$B$6*I496))),MAX(0,1*I451-(M495-MIN(MAX(M495,0),MAX(0,I451-IF($A496&gt;='1-Input'!$C$12,'1-Input'!$B$12,0)))))*(1/(1-'P-Parametri'!$B$6*I496))))</f>
        <v>10846.756992928691</v>
      </c>
      <c r="K496" s="18">
        <f>IF($A496&gt;'1-Input'!$B$26,M495,(M495-MAX(0,I451-IF($A496&gt;='1-Input'!$C$12,'1-Input'!$B$12,0))+J496*(1-'P-Parametri'!$B$6*I496))*(1+'1-Input'!$B$27))</f>
        <v>0</v>
      </c>
      <c r="L496" s="18">
        <f>IF($A496&gt;'1-Input'!$B$26,N495,(N495-J496)*(1+$C$4))</f>
        <v>-257722.97281071256</v>
      </c>
      <c r="M496" s="18">
        <f>IF($A496&gt;'1-Input'!$B$26,K496,K496-'P-Parametri'!$B$8*(L496+K496)+MIN(MAX(L496,0),'P-Parametri'!$B$8*(L496+K496)))</f>
        <v>0</v>
      </c>
      <c r="N496" s="18">
        <f>IF($A496&gt;'1-Input'!$B$26,L496,L496-MIN(MAX(L496,0),'P-Parametri'!$B$8*(L496+K496)))</f>
        <v>-257207.52686509112</v>
      </c>
      <c r="O496" s="18">
        <f>IF($A496&gt;'1-Input'!$B$26,O495,O495-J496*(1-I496))</f>
        <v>-195797.78274328151</v>
      </c>
      <c r="P496" s="11">
        <f>IF($A496&gt;'1-Input'!$B$26,0,IF(U495&lt;=0,0,MAX(0,(U495-V495)/U495)))</f>
        <v>0</v>
      </c>
      <c r="Q496" s="18">
        <f>IF($A496&gt;'1-Input'!$B$26,0,(MAX(0,P451-IF($A496&gt;='1-Input'!$C$12,'1-Input'!$B$12,0))-MIN(MAX(T495,0),MAX(0,P451-IF($A496&gt;='1-Input'!$C$12,'1-Input'!$B$12,0))))*(1/(1-'P-Parametri'!$B$6*P496))+MIN(MAX(0,U495-(MAX(0,P451-IF($A496&gt;='1-Input'!$C$12,'1-Input'!$B$12,0))-MIN(MAX(T495,0),MAX(0,P451-IF($A496&gt;='1-Input'!$C$12,'1-Input'!$B$12,0))))*(1/(1-'P-Parametri'!$B$6*P496))),MAX(0,1*P451-(T495-MIN(MAX(T495,0),MAX(0,P451-IF($A496&gt;='1-Input'!$C$12,'1-Input'!$B$12,0)))))*(1/(1-'P-Parametri'!$B$6*P496))))</f>
        <v>5135.9324032724307</v>
      </c>
      <c r="R496" s="18">
        <f>IF($A496&gt;'1-Input'!$B$26,T495,(T495-MAX(0,P451-IF($A496&gt;='1-Input'!$C$12,'1-Input'!$B$12,0))+Q496*(1-'P-Parametri'!$B$6*P496))*(1+'1-Input'!$B$27))</f>
        <v>0</v>
      </c>
      <c r="S496" s="18">
        <f>IF($A496&gt;'1-Input'!$B$26,U495,(U495-Q496)*(1+$C$4))</f>
        <v>-5290.0103753706035</v>
      </c>
      <c r="T496" s="18">
        <f>IF($A496&gt;'1-Input'!$B$26,R496,R496-'P-Parametri'!$B$8*(S496+R496)+MIN(MAX(S496,0),'P-Parametri'!$B$8*(S496+R496)))</f>
        <v>0</v>
      </c>
      <c r="U496" s="18">
        <f>IF($A496&gt;'1-Input'!$B$26,S496,S496-MIN(MAX(S496,0),'P-Parametri'!$B$8*(S496+R496)))</f>
        <v>-5279.4303546198626</v>
      </c>
      <c r="V496" s="18">
        <f>IF($A496&gt;'1-Input'!$B$26,V495,V495-Q496*(1-P496))</f>
        <v>-5135.9324032724307</v>
      </c>
      <c r="W496" s="11">
        <f>IF($A496&gt;'1-Input'!$B$26,0,IF(AB495&lt;=0,0,MAX(0,(AB495-AC495)/AB495)))</f>
        <v>0.74703258696859409</v>
      </c>
      <c r="X496" s="18">
        <f>IF($A496&gt;'1-Input'!$B$26,0,(MAX(0,W451-IF($A496&gt;='1-Input'!$C$12,'1-Input'!$B$12,0))-MIN(MAX(AA495,0),MAX(0,W451-IF($A496&gt;='1-Input'!$C$12,'1-Input'!$B$12,0))))*(1/(1-'P-Parametri'!$B$6*W496))+MIN(MAX(0,AB495-(MAX(0,W451-IF($A496&gt;='1-Input'!$C$12,'1-Input'!$B$12,0))-MIN(MAX(AA495,0),MAX(0,W451-IF($A496&gt;='1-Input'!$C$12,'1-Input'!$B$12,0))))*(1/(1-'P-Parametri'!$B$6*W496))),MAX(0,1*W451-(AA495-MIN(MAX(AA495,0),MAX(0,W451-IF($A496&gt;='1-Input'!$C$12,'1-Input'!$B$12,0)))))*(1/(1-'P-Parametri'!$B$6*W496))))</f>
        <v>3517.6605896306423</v>
      </c>
      <c r="Y496" s="18">
        <f>IF($A496&gt;'1-Input'!$B$26,AA495,(AA495-MAX(0,W451-IF($A496&gt;='1-Input'!$C$12,'1-Input'!$B$12,0))+X496*(1-'P-Parametri'!$B$6*W496))*(1+'1-Input'!$B$27))</f>
        <v>13820.312256325187</v>
      </c>
      <c r="Z496" s="18">
        <f>IF($A496&gt;'1-Input'!$B$26,AB495,(AB495-X496)*(1+$C$4))</f>
        <v>0</v>
      </c>
      <c r="AA496" s="18">
        <f>IF($A496&gt;'1-Input'!$B$26,Y496,Y496-'P-Parametri'!$B$8*(Z496+Y496)+MIN(MAX(Z496,0),'P-Parametri'!$B$8*(Z496+Y496)))</f>
        <v>13792.671631812536</v>
      </c>
      <c r="AB496" s="18">
        <f>IF($A496&gt;'1-Input'!$B$26,Z496,Z496-MIN(MAX(Z496,0),'P-Parametri'!$B$8*(Z496+Y496)))</f>
        <v>0</v>
      </c>
      <c r="AC496" s="18">
        <f>IF($A496&gt;'1-Input'!$B$26,AC495,AC495-X496*(1-W496))</f>
        <v>-1.1368683772161603E-13</v>
      </c>
      <c r="AD496" s="11">
        <f>IF($A496&gt;'1-Input'!$B$26,0,IF(AI495&lt;=0,0,MAX(0,(AI495-AJ495)/AI495)))</f>
        <v>0.74771247013783271</v>
      </c>
      <c r="AE496" s="18">
        <f>IF($A496&gt;'1-Input'!$B$26,0,(MAX(0,AD451-IF($A496&gt;='1-Input'!$C$12,'1-Input'!$B$12,0))-MIN(MAX(AH495,0),MAX(0,AD451-IF($A496&gt;='1-Input'!$C$12,'1-Input'!$B$12,0))))*(1/(1-'P-Parametri'!$B$6*AD496))+MIN(MAX(0,AI495-(MAX(0,AD451-IF($A496&gt;='1-Input'!$C$12,'1-Input'!$B$12,0))-MIN(MAX(AH495,0),MAX(0,AD451-IF($A496&gt;='1-Input'!$C$12,'1-Input'!$B$12,0))))*(1/(1-'P-Parametri'!$B$6*AD496))),MAX(0,1*AD451-(AH495-MIN(MAX(AH495,0),MAX(0,AD451-IF($A496&gt;='1-Input'!$C$12,'1-Input'!$B$12,0)))))*(1/(1-'P-Parametri'!$B$6*AD496))))</f>
        <v>4517.3036055649845</v>
      </c>
      <c r="AF496" s="18">
        <f>IF($A496&gt;'1-Input'!$B$26,AH495,(AH495-MAX(0,AD451-IF($A496&gt;='1-Input'!$C$12,'1-Input'!$B$12,0))+AE496*(1-'P-Parametri'!$B$6*AD496))*(1+'1-Input'!$B$27))</f>
        <v>14622.138350797697</v>
      </c>
      <c r="AG496" s="18">
        <f>IF($A496&gt;'1-Input'!$B$26,AI495,(AI495-AE496)*(1+$C$4))</f>
        <v>0</v>
      </c>
      <c r="AH496" s="18">
        <f>IF($A496&gt;'1-Input'!$B$26,AF496,AF496-'P-Parametri'!$B$8*(AG496+AF496)+MIN(MAX(AG496,0),'P-Parametri'!$B$8*(AG496+AF496)))</f>
        <v>14592.894074096102</v>
      </c>
      <c r="AI496" s="18">
        <f>IF($A496&gt;'1-Input'!$B$26,AG496,AG496-MIN(MAX(AG496,0),'P-Parametri'!$B$8*(AG496+AF496)))</f>
        <v>0</v>
      </c>
      <c r="AJ496" s="18">
        <f>IF($A496&gt;'1-Input'!$B$26,AJ495,AJ495-AE496*(1-AD496))</f>
        <v>-2.2737367544323206E-13</v>
      </c>
      <c r="AK496" s="11">
        <f>IF($A496&gt;'1-Input'!$B$26,0,IF(AP495&lt;=0,0,MAX(0,(AP495-AQ495)/AP495)))</f>
        <v>0.74770783926186235</v>
      </c>
      <c r="AL496" s="18">
        <f>IF($A496&gt;'1-Input'!$B$26,0,(MAX(0,AK451-IF($A496&gt;='1-Input'!$C$12,'1-Input'!$B$12,0))-MIN(MAX(AO495,0),MAX(0,AK451-IF($A496&gt;='1-Input'!$C$12,'1-Input'!$B$12,0))))*(1/(1-'P-Parametri'!$B$6*AK496))+MIN(MAX(0,AP495-(MAX(0,AK451-IF($A496&gt;='1-Input'!$C$12,'1-Input'!$B$12,0))-MIN(MAX(AO495,0),MAX(0,AK451-IF($A496&gt;='1-Input'!$C$12,'1-Input'!$B$12,0))))*(1/(1-'P-Parametri'!$B$6*AK496))),MAX(0,1*AK451-(AO495-MIN(MAX(AO495,0),MAX(0,AK451-IF($A496&gt;='1-Input'!$C$12,'1-Input'!$B$12,0)))))*(1/(1-'P-Parametri'!$B$6*AK496))))</f>
        <v>4508.8499785272797</v>
      </c>
      <c r="AM496" s="18">
        <f>IF($A496&gt;'1-Input'!$B$26,AO495,(AO495-MAX(0,AK451-IF($A496&gt;='1-Input'!$C$12,'1-Input'!$B$12,0))+AL496*(1-'P-Parametri'!$B$6*AK496))*(1+'1-Input'!$B$27))</f>
        <v>14615.357761124877</v>
      </c>
      <c r="AN496" s="18">
        <f>IF($A496&gt;'1-Input'!$B$26,AP495,(AP495-AL496)*(1+$C$4))</f>
        <v>0</v>
      </c>
      <c r="AO496" s="18">
        <f>IF($A496&gt;'1-Input'!$B$26,AM496,AM496-'P-Parametri'!$B$8*(AN496+AM496)+MIN(MAX(AN496,0),'P-Parametri'!$B$8*(AN496+AM496)))</f>
        <v>14586.127045602627</v>
      </c>
      <c r="AP496" s="18">
        <f>IF($A496&gt;'1-Input'!$B$26,AN496,AN496-MIN(MAX(AN496,0),'P-Parametri'!$B$8*(AN496+AM496)))</f>
        <v>0</v>
      </c>
      <c r="AQ496" s="18">
        <f>IF($A496&gt;'1-Input'!$B$26,AQ495,AQ495-AL496*(1-AK496))</f>
        <v>-2.2737367544323206E-13</v>
      </c>
    </row>
    <row r="497" spans="1:43">
      <c r="A497" s="10">
        <f>44</f>
        <v>44</v>
      </c>
      <c r="B497" s="11">
        <f>IF($A497&gt;'1-Input'!$B$26,0,IF(G496&lt;=0,0,MAX(0,(G496-H496)/G496)))</f>
        <v>0.75890645711934823</v>
      </c>
      <c r="C497" s="18">
        <f>IF($A497&gt;'1-Input'!$B$26,0,(MAX(0,B451-IF($A497&gt;='1-Input'!$C$12,'1-Input'!$B$12,0))-MIN(MAX(F496,0),MAX(0,B451-IF($A497&gt;='1-Input'!$C$12,'1-Input'!$B$12,0))))*(1/(1-'P-Parametri'!$B$6*B497))+MIN(MAX(0,G496-(MAX(0,B451-IF($A497&gt;='1-Input'!$C$12,'1-Input'!$B$12,0))-MIN(MAX(F496,0),MAX(0,B451-IF($A497&gt;='1-Input'!$C$12,'1-Input'!$B$12,0))))*(1/(1-'P-Parametri'!$B$6*B497))),MAX(0,1*B451-(F496-MIN(MAX(F496,0),MAX(0,B451-IF($A497&gt;='1-Input'!$C$12,'1-Input'!$B$12,0)))))*(1/(1-'P-Parametri'!$B$6*B497))))</f>
        <v>7025.3111530652386</v>
      </c>
      <c r="D497" s="18">
        <f>IF($A497&gt;'1-Input'!$B$26,F496,(F496-MAX(0,B451-IF($A497&gt;='1-Input'!$C$12,'1-Input'!$B$12,0))+C497*(1-'P-Parametri'!$B$6*B497))*(1+'1-Input'!$B$27))</f>
        <v>16621.00351549315</v>
      </c>
      <c r="E497" s="18">
        <f>IF($A497&gt;'1-Input'!$B$26,G496,(G496-C497)*(1+$C$4))</f>
        <v>161191.14515381673</v>
      </c>
      <c r="F497" s="18">
        <f>IF($A497&gt;'1-Input'!$B$26,D497,D497-'P-Parametri'!$B$8*(E497+D497)+MIN(MAX(E497,0),'P-Parametri'!$B$8*(E497+D497)))</f>
        <v>16621.00351549315</v>
      </c>
      <c r="G497" s="18">
        <f>IF($A497&gt;'1-Input'!$B$26,E497,E497-MIN(MAX(E497,0),'P-Parametri'!$B$8*(E497+D497)))</f>
        <v>160835.52085647811</v>
      </c>
      <c r="H497" s="18">
        <f>IF($A497&gt;'1-Input'!$B$26,H496,H496-C497*(1-B497))</f>
        <v>37730.237151575806</v>
      </c>
      <c r="I497" s="11">
        <f>IF($A497&gt;'1-Input'!$B$26,0,IF(N496&lt;=0,0,MAX(0,(N496-O496)/N496)))</f>
        <v>0</v>
      </c>
      <c r="J497" s="18">
        <f>IF($A497&gt;'1-Input'!$B$26,0,(MAX(0,I451-IF($A497&gt;='1-Input'!$C$12,'1-Input'!$B$12,0))-MIN(MAX(M496,0),MAX(0,I451-IF($A497&gt;='1-Input'!$C$12,'1-Input'!$B$12,0))))*(1/(1-'P-Parametri'!$B$6*I497))+MIN(MAX(0,N496-(MAX(0,I451-IF($A497&gt;='1-Input'!$C$12,'1-Input'!$B$12,0))-MIN(MAX(M496,0),MAX(0,I451-IF($A497&gt;='1-Input'!$C$12,'1-Input'!$B$12,0))))*(1/(1-'P-Parametri'!$B$6*I497))),MAX(0,1*I451-(M496-MIN(MAX(M496,0),MAX(0,I451-IF($A497&gt;='1-Input'!$C$12,'1-Input'!$B$12,0)))))*(1/(1-'P-Parametri'!$B$6*I497))))</f>
        <v>10846.756992928691</v>
      </c>
      <c r="K497" s="18">
        <f>IF($A497&gt;'1-Input'!$B$26,M496,(M496-MAX(0,I451-IF($A497&gt;='1-Input'!$C$12,'1-Input'!$B$12,0))+J497*(1-'P-Parametri'!$B$6*I497))*(1+'1-Input'!$B$27))</f>
        <v>0</v>
      </c>
      <c r="L497" s="18">
        <f>IF($A497&gt;'1-Input'!$B$26,N496,(N496-J497)*(1+$C$4))</f>
        <v>-276095.91237376042</v>
      </c>
      <c r="M497" s="18">
        <f>IF($A497&gt;'1-Input'!$B$26,K497,K497-'P-Parametri'!$B$8*(L497+K497)+MIN(MAX(L497,0),'P-Parametri'!$B$8*(L497+K497)))</f>
        <v>0</v>
      </c>
      <c r="N497" s="18">
        <f>IF($A497&gt;'1-Input'!$B$26,L497,L497-MIN(MAX(L497,0),'P-Parametri'!$B$8*(L497+K497)))</f>
        <v>-275543.72054901288</v>
      </c>
      <c r="O497" s="18">
        <f>IF($A497&gt;'1-Input'!$B$26,O496,O496-J497*(1-I497))</f>
        <v>-206644.53973621019</v>
      </c>
      <c r="P497" s="11">
        <f>IF($A497&gt;'1-Input'!$B$26,0,IF(U496&lt;=0,0,MAX(0,(U496-V496)/U496)))</f>
        <v>0</v>
      </c>
      <c r="Q497" s="18">
        <f>IF($A497&gt;'1-Input'!$B$26,0,(MAX(0,P451-IF($A497&gt;='1-Input'!$C$12,'1-Input'!$B$12,0))-MIN(MAX(T496,0),MAX(0,P451-IF($A497&gt;='1-Input'!$C$12,'1-Input'!$B$12,0))))*(1/(1-'P-Parametri'!$B$6*P497))+MIN(MAX(0,U496-(MAX(0,P451-IF($A497&gt;='1-Input'!$C$12,'1-Input'!$B$12,0))-MIN(MAX(T496,0),MAX(0,P451-IF($A497&gt;='1-Input'!$C$12,'1-Input'!$B$12,0))))*(1/(1-'P-Parametri'!$B$6*P497))),MAX(0,1*P451-(T496-MIN(MAX(T496,0),MAX(0,P451-IF($A497&gt;='1-Input'!$C$12,'1-Input'!$B$12,0)))))*(1/(1-'P-Parametri'!$B$6*P497))))</f>
        <v>7540.7206481894173</v>
      </c>
      <c r="R497" s="18">
        <f>IF($A497&gt;'1-Input'!$B$26,T496,(T496-MAX(0,P451-IF($A497&gt;='1-Input'!$C$12,'1-Input'!$B$12,0))+Q497*(1-'P-Parametri'!$B$6*P497))*(1+'1-Input'!$B$27))</f>
        <v>0</v>
      </c>
      <c r="S497" s="18">
        <f>IF($A497&gt;'1-Input'!$B$26,U496,(U496-Q497)*(1+$C$4))</f>
        <v>-13204.755532893558</v>
      </c>
      <c r="T497" s="18">
        <f>IF($A497&gt;'1-Input'!$B$26,R497,R497-'P-Parametri'!$B$8*(S497+R497)+MIN(MAX(S497,0),'P-Parametri'!$B$8*(S497+R497)))</f>
        <v>0</v>
      </c>
      <c r="U497" s="18">
        <f>IF($A497&gt;'1-Input'!$B$26,S497,S497-MIN(MAX(S497,0),'P-Parametri'!$B$8*(S497+R497)))</f>
        <v>-13178.346021827771</v>
      </c>
      <c r="V497" s="18">
        <f>IF($A497&gt;'1-Input'!$B$26,V496,V496-Q497*(1-P497))</f>
        <v>-12676.653051461848</v>
      </c>
      <c r="W497" s="11">
        <f>IF($A497&gt;'1-Input'!$B$26,0,IF(AB496&lt;=0,0,MAX(0,(AB496-AC496)/AB496)))</f>
        <v>0</v>
      </c>
      <c r="X497" s="18">
        <f>IF($A497&gt;'1-Input'!$B$26,0,(MAX(0,W451-IF($A497&gt;='1-Input'!$C$12,'1-Input'!$B$12,0))-MIN(MAX(AA496,0),MAX(0,W451-IF($A497&gt;='1-Input'!$C$12,'1-Input'!$B$12,0))))*(1/(1-'P-Parametri'!$B$6*W497))+MIN(MAX(0,AB496-(MAX(0,W451-IF($A497&gt;='1-Input'!$C$12,'1-Input'!$B$12,0))-MIN(MAX(AA496,0),MAX(0,W451-IF($A497&gt;='1-Input'!$C$12,'1-Input'!$B$12,0))))*(1/(1-'P-Parametri'!$B$6*W497))),MAX(0,1*W451-(AA496-MIN(MAX(AA496,0),MAX(0,W451-IF($A497&gt;='1-Input'!$C$12,'1-Input'!$B$12,0)))))*(1/(1-'P-Parametri'!$B$6*W497))))</f>
        <v>0</v>
      </c>
      <c r="Y497" s="18">
        <f>IF($A497&gt;'1-Input'!$B$26,AA496,(AA496-MAX(0,W451-IF($A497&gt;='1-Input'!$C$12,'1-Input'!$B$12,0))+X497*(1-'P-Parametri'!$B$6*W497))*(1+'1-Input'!$B$27))</f>
        <v>6486.3455004524521</v>
      </c>
      <c r="Z497" s="18">
        <f>IF($A497&gt;'1-Input'!$B$26,AB496,(AB496-X497)*(1+$C$4))</f>
        <v>0</v>
      </c>
      <c r="AA497" s="18">
        <f>IF($A497&gt;'1-Input'!$B$26,Y497,Y497-'P-Parametri'!$B$8*(Z497+Y497)+MIN(MAX(Z497,0),'P-Parametri'!$B$8*(Z497+Y497)))</f>
        <v>6473.3728094515473</v>
      </c>
      <c r="AB497" s="18">
        <f>IF($A497&gt;'1-Input'!$B$26,Z497,Z497-MIN(MAX(Z497,0),'P-Parametri'!$B$8*(Z497+Y497)))</f>
        <v>0</v>
      </c>
      <c r="AC497" s="18">
        <f>IF($A497&gt;'1-Input'!$B$26,AC496,AC496-X497*(1-W497))</f>
        <v>-1.1368683772161603E-13</v>
      </c>
      <c r="AD497" s="11">
        <f>IF($A497&gt;'1-Input'!$B$26,0,IF(AI496&lt;=0,0,MAX(0,(AI496-AJ496)/AI496)))</f>
        <v>0</v>
      </c>
      <c r="AE497" s="18">
        <f>IF($A497&gt;'1-Input'!$B$26,0,(MAX(0,AD451-IF($A497&gt;='1-Input'!$C$12,'1-Input'!$B$12,0))-MIN(MAX(AH496,0),MAX(0,AD451-IF($A497&gt;='1-Input'!$C$12,'1-Input'!$B$12,0))))*(1/(1-'P-Parametri'!$B$6*AD497))+MIN(MAX(0,AI496-(MAX(0,AD451-IF($A497&gt;='1-Input'!$C$12,'1-Input'!$B$12,0))-MIN(MAX(AH496,0),MAX(0,AD451-IF($A497&gt;='1-Input'!$C$12,'1-Input'!$B$12,0))))*(1/(1-'P-Parametri'!$B$6*AD497))),MAX(0,1*AD451-(AH496-MIN(MAX(AH496,0),MAX(0,AD451-IF($A497&gt;='1-Input'!$C$12,'1-Input'!$B$12,0)))))*(1/(1-'P-Parametri'!$B$6*AD497))))</f>
        <v>0</v>
      </c>
      <c r="AF497" s="18">
        <f>IF($A497&gt;'1-Input'!$B$26,AH496,(AH496-MAX(0,AD451-IF($A497&gt;='1-Input'!$C$12,'1-Input'!$B$12,0))+AE497*(1-'P-Parametri'!$B$6*AD497))*(1+'1-Input'!$B$27))</f>
        <v>7294.132705244765</v>
      </c>
      <c r="AG497" s="18">
        <f>IF($A497&gt;'1-Input'!$B$26,AI496,(AI496-AE497)*(1+$C$4))</f>
        <v>0</v>
      </c>
      <c r="AH497" s="18">
        <f>IF($A497&gt;'1-Input'!$B$26,AF497,AF497-'P-Parametri'!$B$8*(AG497+AF497)+MIN(MAX(AG497,0),'P-Parametri'!$B$8*(AG497+AF497)))</f>
        <v>7279.5444398342752</v>
      </c>
      <c r="AI497" s="18">
        <f>IF($A497&gt;'1-Input'!$B$26,AG497,AG497-MIN(MAX(AG497,0),'P-Parametri'!$B$8*(AG497+AF497)))</f>
        <v>0</v>
      </c>
      <c r="AJ497" s="18">
        <f>IF($A497&gt;'1-Input'!$B$26,AJ496,AJ496-AE497*(1-AD497))</f>
        <v>-2.2737367544323206E-13</v>
      </c>
      <c r="AK497" s="11">
        <f>IF($A497&gt;'1-Input'!$B$26,0,IF(AP496&lt;=0,0,MAX(0,(AP496-AQ496)/AP496)))</f>
        <v>0</v>
      </c>
      <c r="AL497" s="18">
        <f>IF($A497&gt;'1-Input'!$B$26,0,(MAX(0,AK451-IF($A497&gt;='1-Input'!$C$12,'1-Input'!$B$12,0))-MIN(MAX(AO496,0),MAX(0,AK451-IF($A497&gt;='1-Input'!$C$12,'1-Input'!$B$12,0))))*(1/(1-'P-Parametri'!$B$6*AK497))+MIN(MAX(0,AP496-(MAX(0,AK451-IF($A497&gt;='1-Input'!$C$12,'1-Input'!$B$12,0))-MIN(MAX(AO496,0),MAX(0,AK451-IF($A497&gt;='1-Input'!$C$12,'1-Input'!$B$12,0))))*(1/(1-'P-Parametri'!$B$6*AK497))),MAX(0,1*AK451-(AO496-MIN(MAX(AO496,0),MAX(0,AK451-IF($A497&gt;='1-Input'!$C$12,'1-Input'!$B$12,0)))))*(1/(1-'P-Parametri'!$B$6*AK497))))</f>
        <v>0</v>
      </c>
      <c r="AM497" s="18">
        <f>IF($A497&gt;'1-Input'!$B$26,AO496,(AO496-MAX(0,AK451-IF($A497&gt;='1-Input'!$C$12,'1-Input'!$B$12,0))+AL497*(1-'P-Parametri'!$B$6*AK497))*(1+'1-Input'!$B$27))</f>
        <v>7287.3017059702206</v>
      </c>
      <c r="AN497" s="18">
        <f>IF($A497&gt;'1-Input'!$B$26,AP496,(AP496-AL497)*(1+$C$4))</f>
        <v>0</v>
      </c>
      <c r="AO497" s="18">
        <f>IF($A497&gt;'1-Input'!$B$26,AM497,AM497-'P-Parametri'!$B$8*(AN497+AM497)+MIN(MAX(AN497,0),'P-Parametri'!$B$8*(AN497+AM497)))</f>
        <v>7272.7271025582804</v>
      </c>
      <c r="AP497" s="18">
        <f>IF($A497&gt;'1-Input'!$B$26,AN497,AN497-MIN(MAX(AN497,0),'P-Parametri'!$B$8*(AN497+AM497)))</f>
        <v>0</v>
      </c>
      <c r="AQ497" s="18">
        <f>IF($A497&gt;'1-Input'!$B$26,AQ496,AQ496-AL497*(1-AK497))</f>
        <v>-2.2737367544323206E-13</v>
      </c>
    </row>
    <row r="498" spans="1:43">
      <c r="A498" s="10">
        <f>45</f>
        <v>45</v>
      </c>
      <c r="B498" s="11">
        <f>IF($A498&gt;'1-Input'!$B$26,0,IF(G497&lt;=0,0,MAX(0,(G497-H497)/G497)))</f>
        <v>0.76541104259397741</v>
      </c>
      <c r="C498" s="18">
        <f>IF($A498&gt;'1-Input'!$B$26,0,(MAX(0,B451-IF($A498&gt;='1-Input'!$C$12,'1-Input'!$B$12,0))-MIN(MAX(F497,0),MAX(0,B451-IF($A498&gt;='1-Input'!$C$12,'1-Input'!$B$12,0))))*(1/(1-'P-Parametri'!$B$6*B498))+MIN(MAX(0,G497-(MAX(0,B451-IF($A498&gt;='1-Input'!$C$12,'1-Input'!$B$12,0))-MIN(MAX(F497,0),MAX(0,B451-IF($A498&gt;='1-Input'!$C$12,'1-Input'!$B$12,0))))*(1/(1-'P-Parametri'!$B$6*B498))),MAX(0,1*B451-(F497-MIN(MAX(F497,0),MAX(0,B451-IF($A498&gt;='1-Input'!$C$12,'1-Input'!$B$12,0)))))*(1/(1-'P-Parametri'!$B$6*B498))))</f>
        <v>7040.1441786680825</v>
      </c>
      <c r="D498" s="18">
        <f>IF($A498&gt;'1-Input'!$B$26,F497,(F497-MAX(0,B451-IF($A498&gt;='1-Input'!$C$12,'1-Input'!$B$12,0))+C498*(1-'P-Parametri'!$B$6*B498))*(1+'1-Input'!$B$27))</f>
        <v>16621.00351549315</v>
      </c>
      <c r="E498" s="18">
        <f>IF($A498&gt;'1-Input'!$B$26,G497,(G497-C498)*(1+$C$4))</f>
        <v>158409.23797814432</v>
      </c>
      <c r="F498" s="18">
        <f>IF($A498&gt;'1-Input'!$B$26,D498,D498-'P-Parametri'!$B$8*(E498+D498)+MIN(MAX(E498,0),'P-Parametri'!$B$8*(E498+D498)))</f>
        <v>16621.00351549315</v>
      </c>
      <c r="G498" s="18">
        <f>IF($A498&gt;'1-Input'!$B$26,E498,E498-MIN(MAX(E498,0),'P-Parametri'!$B$8*(E498+D498)))</f>
        <v>158059.17749515706</v>
      </c>
      <c r="H498" s="18">
        <f>IF($A498&gt;'1-Input'!$B$26,H497,H497-C498*(1-B498))</f>
        <v>36078.697068713984</v>
      </c>
      <c r="I498" s="11">
        <f>IF($A498&gt;'1-Input'!$B$26,0,IF(N497&lt;=0,0,MAX(0,(N497-O497)/N497)))</f>
        <v>0</v>
      </c>
      <c r="J498" s="18">
        <f>IF($A498&gt;'1-Input'!$B$26,0,(MAX(0,I451-IF($A498&gt;='1-Input'!$C$12,'1-Input'!$B$12,0))-MIN(MAX(M497,0),MAX(0,I451-IF($A498&gt;='1-Input'!$C$12,'1-Input'!$B$12,0))))*(1/(1-'P-Parametri'!$B$6*I498))+MIN(MAX(0,N497-(MAX(0,I451-IF($A498&gt;='1-Input'!$C$12,'1-Input'!$B$12,0))-MIN(MAX(M497,0),MAX(0,I451-IF($A498&gt;='1-Input'!$C$12,'1-Input'!$B$12,0))))*(1/(1-'P-Parametri'!$B$6*I498))),MAX(0,1*I451-(M497-MIN(MAX(M497,0),MAX(0,I451-IF($A498&gt;='1-Input'!$C$12,'1-Input'!$B$12,0)))))*(1/(1-'P-Parametri'!$B$6*I498))))</f>
        <v>10846.756992928691</v>
      </c>
      <c r="K498" s="18">
        <f>IF($A498&gt;'1-Input'!$B$26,M497,(M497-MAX(0,I451-IF($A498&gt;='1-Input'!$C$12,'1-Input'!$B$12,0))+J498*(1-'P-Parametri'!$B$6*I498))*(1+'1-Input'!$B$27))</f>
        <v>0</v>
      </c>
      <c r="L498" s="18">
        <f>IF($A498&gt;'1-Input'!$B$26,N497,(N497-J498)*(1+$C$4))</f>
        <v>-294982.19186819985</v>
      </c>
      <c r="M498" s="18">
        <f>IF($A498&gt;'1-Input'!$B$26,K498,K498-'P-Parametri'!$B$8*(L498+K498)+MIN(MAX(L498,0),'P-Parametri'!$B$8*(L498+K498)))</f>
        <v>0</v>
      </c>
      <c r="N498" s="18">
        <f>IF($A498&gt;'1-Input'!$B$26,L498,L498-MIN(MAX(L498,0),'P-Parametri'!$B$8*(L498+K498)))</f>
        <v>-294392.22748446342</v>
      </c>
      <c r="O498" s="18">
        <f>IF($A498&gt;'1-Input'!$B$26,O497,O497-J498*(1-I498))</f>
        <v>-217491.29672913888</v>
      </c>
      <c r="P498" s="11">
        <f>IF($A498&gt;'1-Input'!$B$26,0,IF(U497&lt;=0,0,MAX(0,(U497-V497)/U497)))</f>
        <v>0</v>
      </c>
      <c r="Q498" s="18">
        <f>IF($A498&gt;'1-Input'!$B$26,0,(MAX(0,P451-IF($A498&gt;='1-Input'!$C$12,'1-Input'!$B$12,0))-MIN(MAX(T497,0),MAX(0,P451-IF($A498&gt;='1-Input'!$C$12,'1-Input'!$B$12,0))))*(1/(1-'P-Parametri'!$B$6*P498))+MIN(MAX(0,U497-(MAX(0,P451-IF($A498&gt;='1-Input'!$C$12,'1-Input'!$B$12,0))-MIN(MAX(T497,0),MAX(0,P451-IF($A498&gt;='1-Input'!$C$12,'1-Input'!$B$12,0))))*(1/(1-'P-Parametri'!$B$6*P498))),MAX(0,1*P451-(T497-MIN(MAX(T497,0),MAX(0,P451-IF($A498&gt;='1-Input'!$C$12,'1-Input'!$B$12,0)))))*(1/(1-'P-Parametri'!$B$6*P498))))</f>
        <v>7540.7206481894173</v>
      </c>
      <c r="R498" s="18">
        <f>IF($A498&gt;'1-Input'!$B$26,T497,(T497-MAX(0,P451-IF($A498&gt;='1-Input'!$C$12,'1-Input'!$B$12,0))+Q498*(1-'P-Parametri'!$B$6*P498))*(1+'1-Input'!$B$27))</f>
        <v>0</v>
      </c>
      <c r="S498" s="18">
        <f>IF($A498&gt;'1-Input'!$B$26,U497,(U497-Q498)*(1+$C$4))</f>
        <v>-21340.638670117703</v>
      </c>
      <c r="T498" s="18">
        <f>IF($A498&gt;'1-Input'!$B$26,R498,R498-'P-Parametri'!$B$8*(S498+R498)+MIN(MAX(S498,0),'P-Parametri'!$B$8*(S498+R498)))</f>
        <v>0</v>
      </c>
      <c r="U498" s="18">
        <f>IF($A498&gt;'1-Input'!$B$26,S498,S498-MIN(MAX(S498,0),'P-Parametri'!$B$8*(S498+R498)))</f>
        <v>-21297.957392777469</v>
      </c>
      <c r="V498" s="18">
        <f>IF($A498&gt;'1-Input'!$B$26,V497,V497-Q498*(1-P498))</f>
        <v>-20217.373699651267</v>
      </c>
      <c r="W498" s="11">
        <f>IF($A498&gt;'1-Input'!$B$26,0,IF(AB497&lt;=0,0,MAX(0,(AB497-AC497)/AB497)))</f>
        <v>0</v>
      </c>
      <c r="X498" s="18">
        <f>IF($A498&gt;'1-Input'!$B$26,0,(MAX(0,W451-IF($A498&gt;='1-Input'!$C$12,'1-Input'!$B$12,0))-MIN(MAX(AA497,0),MAX(0,W451-IF($A498&gt;='1-Input'!$C$12,'1-Input'!$B$12,0))))*(1/(1-'P-Parametri'!$B$6*W498))+MIN(MAX(0,AB497-(MAX(0,W451-IF($A498&gt;='1-Input'!$C$12,'1-Input'!$B$12,0))-MIN(MAX(AA497,0),MAX(0,W451-IF($A498&gt;='1-Input'!$C$12,'1-Input'!$B$12,0))))*(1/(1-'P-Parametri'!$B$6*W498))),MAX(0,1*W451-(AA497-MIN(MAX(AA497,0),MAX(0,W451-IF($A498&gt;='1-Input'!$C$12,'1-Input'!$B$12,0)))))*(1/(1-'P-Parametri'!$B$6*W498))))</f>
        <v>809.5181113488934</v>
      </c>
      <c r="Y498" s="18">
        <f>IF($A498&gt;'1-Input'!$B$26,AA497,(AA497-MAX(0,W451-IF($A498&gt;='1-Input'!$C$12,'1-Input'!$B$12,0))+X498*(1-'P-Parametri'!$B$6*W498))*(1+'1-Input'!$B$27))</f>
        <v>0</v>
      </c>
      <c r="Z498" s="18">
        <f>IF($A498&gt;'1-Input'!$B$26,AB497,(AB497-X498)*(1+$C$4))</f>
        <v>-833.8036546893602</v>
      </c>
      <c r="AA498" s="18">
        <f>IF($A498&gt;'1-Input'!$B$26,Y498,Y498-'P-Parametri'!$B$8*(Z498+Y498)+MIN(MAX(Z498,0),'P-Parametri'!$B$8*(Z498+Y498)))</f>
        <v>0</v>
      </c>
      <c r="AB498" s="18">
        <f>IF($A498&gt;'1-Input'!$B$26,Z498,Z498-MIN(MAX(Z498,0),'P-Parametri'!$B$8*(Z498+Y498)))</f>
        <v>-832.13604737998151</v>
      </c>
      <c r="AC498" s="18">
        <f>IF($A498&gt;'1-Input'!$B$26,AC497,AC497-X498*(1-W498))</f>
        <v>-809.51811134889351</v>
      </c>
      <c r="AD498" s="11">
        <f>IF($A498&gt;'1-Input'!$B$26,0,IF(AI497&lt;=0,0,MAX(0,(AI497-AJ497)/AI497)))</f>
        <v>0</v>
      </c>
      <c r="AE498" s="18">
        <f>IF($A498&gt;'1-Input'!$B$26,0,(MAX(0,AD451-IF($A498&gt;='1-Input'!$C$12,'1-Input'!$B$12,0))-MIN(MAX(AH497,0),MAX(0,AD451-IF($A498&gt;='1-Input'!$C$12,'1-Input'!$B$12,0))))*(1/(1-'P-Parametri'!$B$6*AD498))+MIN(MAX(0,AI497-(MAX(0,AD451-IF($A498&gt;='1-Input'!$C$12,'1-Input'!$B$12,0))-MIN(MAX(AH497,0),MAX(0,AD451-IF($A498&gt;='1-Input'!$C$12,'1-Input'!$B$12,0))))*(1/(1-'P-Parametri'!$B$6*AD498))),MAX(0,1*AD451-(AH497-MIN(MAX(AH497,0),MAX(0,AD451-IF($A498&gt;='1-Input'!$C$12,'1-Input'!$B$12,0)))))*(1/(1-'P-Parametri'!$B$6*AD498))))</f>
        <v>0</v>
      </c>
      <c r="AF498" s="18">
        <f>IF($A498&gt;'1-Input'!$B$26,AH497,(AH497-MAX(0,AD451-IF($A498&gt;='1-Input'!$C$12,'1-Input'!$B$12,0))+AE498*(1-'P-Parametri'!$B$6*AD498))*(1+'1-Input'!$B$27))</f>
        <v>7.1111296662807435</v>
      </c>
      <c r="AG498" s="18">
        <f>IF($A498&gt;'1-Input'!$B$26,AI497,(AI497-AE498)*(1+$C$4))</f>
        <v>0</v>
      </c>
      <c r="AH498" s="18">
        <f>IF($A498&gt;'1-Input'!$B$26,AF498,AF498-'P-Parametri'!$B$8*(AG498+AF498)+MIN(MAX(AG498,0),'P-Parametri'!$B$8*(AG498+AF498)))</f>
        <v>7.0969074069481817</v>
      </c>
      <c r="AI498" s="18">
        <f>IF($A498&gt;'1-Input'!$B$26,AG498,AG498-MIN(MAX(AG498,0),'P-Parametri'!$B$8*(AG498+AF498)))</f>
        <v>0</v>
      </c>
      <c r="AJ498" s="18">
        <f>IF($A498&gt;'1-Input'!$B$26,AJ497,AJ497-AE498*(1-AD498))</f>
        <v>-2.2737367544323206E-13</v>
      </c>
      <c r="AK498" s="11">
        <f>IF($A498&gt;'1-Input'!$B$26,0,IF(AP497&lt;=0,0,MAX(0,(AP497-AQ497)/AP497)))</f>
        <v>0</v>
      </c>
      <c r="AL498" s="18">
        <f>IF($A498&gt;'1-Input'!$B$26,0,(MAX(0,AK451-IF($A498&gt;='1-Input'!$C$12,'1-Input'!$B$12,0))-MIN(MAX(AO497,0),MAX(0,AK451-IF($A498&gt;='1-Input'!$C$12,'1-Input'!$B$12,0))))*(1/(1-'P-Parametri'!$B$6*AK498))+MIN(MAX(0,AP497-(MAX(0,AK451-IF($A498&gt;='1-Input'!$C$12,'1-Input'!$B$12,0))-MIN(MAX(AO497,0),MAX(0,AK451-IF($A498&gt;='1-Input'!$C$12,'1-Input'!$B$12,0))))*(1/(1-'P-Parametri'!$B$6*AK498))),MAX(0,1*AK451-(AO497-MIN(MAX(AO497,0),MAX(0,AK451-IF($A498&gt;='1-Input'!$C$12,'1-Input'!$B$12,0)))))*(1/(1-'P-Parametri'!$B$6*AK498))))</f>
        <v>0</v>
      </c>
      <c r="AM498" s="18">
        <f>IF($A498&gt;'1-Input'!$B$26,AO497,(AO497-MAX(0,AK451-IF($A498&gt;='1-Input'!$C$12,'1-Input'!$B$12,0))+AL498*(1-'P-Parametri'!$B$6*AK498))*(1+'1-Input'!$B$27))</f>
        <v>0.23000272083386844</v>
      </c>
      <c r="AN498" s="18">
        <f>IF($A498&gt;'1-Input'!$B$26,AP497,(AP497-AL498)*(1+$C$4))</f>
        <v>0</v>
      </c>
      <c r="AO498" s="18">
        <f>IF($A498&gt;'1-Input'!$B$26,AM498,AM498-'P-Parametri'!$B$8*(AN498+AM498)+MIN(MAX(AN498,0),'P-Parametri'!$B$8*(AN498+AM498)))</f>
        <v>0.2295427153922007</v>
      </c>
      <c r="AP498" s="18">
        <f>IF($A498&gt;'1-Input'!$B$26,AN498,AN498-MIN(MAX(AN498,0),'P-Parametri'!$B$8*(AN498+AM498)))</f>
        <v>0</v>
      </c>
      <c r="AQ498" s="18">
        <f>IF($A498&gt;'1-Input'!$B$26,AQ497,AQ497-AL498*(1-AK498))</f>
        <v>-2.2737367544323206E-13</v>
      </c>
    </row>
    <row r="499" spans="1:43">
      <c r="A499" s="10">
        <f>46</f>
        <v>46</v>
      </c>
      <c r="B499" s="11">
        <f>IF($A499&gt;'1-Input'!$B$26,0,IF(G498&lt;=0,0,MAX(0,(G498-H498)/G498)))</f>
        <v>0</v>
      </c>
      <c r="C499" s="18">
        <f>IF($A499&gt;'1-Input'!$B$26,0,(MAX(0,B451-IF($A499&gt;='1-Input'!$C$12,'1-Input'!$B$12,0))-MIN(MAX(F498,0),MAX(0,B451-IF($A499&gt;='1-Input'!$C$12,'1-Input'!$B$12,0))))*(1/(1-'P-Parametri'!$B$6*B499))+MIN(MAX(0,G498-(MAX(0,B451-IF($A499&gt;='1-Input'!$C$12,'1-Input'!$B$12,0))-MIN(MAX(F498,0),MAX(0,B451-IF($A499&gt;='1-Input'!$C$12,'1-Input'!$B$12,0))))*(1/(1-'P-Parametri'!$B$6*B499))),MAX(0,1*B451-(F498-MIN(MAX(F498,0),MAX(0,B451-IF($A499&gt;='1-Input'!$C$12,'1-Input'!$B$12,0)))))*(1/(1-'P-Parametri'!$B$6*B499))))</f>
        <v>0</v>
      </c>
      <c r="D499" s="18">
        <f>IF($A499&gt;'1-Input'!$B$26,F498,(F498-MAX(0,B451-IF($A499&gt;='1-Input'!$C$12,'1-Input'!$B$12,0))+C499*(1-'P-Parametri'!$B$6*B499))*(1+'1-Input'!$B$27))</f>
        <v>16621.00351549315</v>
      </c>
      <c r="E499" s="18">
        <f>IF($A499&gt;'1-Input'!$B$26,G498,(G498-C499)*(1+$C$4))</f>
        <v>158059.17749515706</v>
      </c>
      <c r="F499" s="18">
        <f>IF($A499&gt;'1-Input'!$B$26,D499,D499-'P-Parametri'!$B$8*(E499+D499)+MIN(MAX(E499,0),'P-Parametri'!$B$8*(E499+D499)))</f>
        <v>16621.00351549315</v>
      </c>
      <c r="G499" s="18">
        <f>IF($A499&gt;'1-Input'!$B$26,E499,E499-MIN(MAX(E499,0),'P-Parametri'!$B$8*(E499+D499)))</f>
        <v>158059.17749515706</v>
      </c>
      <c r="H499" s="18">
        <f>IF($A499&gt;'1-Input'!$B$26,H498,H498-C499*(1-B499))</f>
        <v>36078.697068713984</v>
      </c>
      <c r="I499" s="11">
        <f>IF($A499&gt;'1-Input'!$B$26,0,IF(N498&lt;=0,0,MAX(0,(N498-O498)/N498)))</f>
        <v>0</v>
      </c>
      <c r="J499" s="18">
        <f>IF($A499&gt;'1-Input'!$B$26,0,(MAX(0,I451-IF($A499&gt;='1-Input'!$C$12,'1-Input'!$B$12,0))-MIN(MAX(M498,0),MAX(0,I451-IF($A499&gt;='1-Input'!$C$12,'1-Input'!$B$12,0))))*(1/(1-'P-Parametri'!$B$6*I499))+MIN(MAX(0,N498-(MAX(0,I451-IF($A499&gt;='1-Input'!$C$12,'1-Input'!$B$12,0))-MIN(MAX(M498,0),MAX(0,I451-IF($A499&gt;='1-Input'!$C$12,'1-Input'!$B$12,0))))*(1/(1-'P-Parametri'!$B$6*I499))),MAX(0,1*I451-(M498-MIN(MAX(M498,0),MAX(0,I451-IF($A499&gt;='1-Input'!$C$12,'1-Input'!$B$12,0)))))*(1/(1-'P-Parametri'!$B$6*I499))))</f>
        <v>0</v>
      </c>
      <c r="K499" s="18">
        <f>IF($A499&gt;'1-Input'!$B$26,M498,(M498-MAX(0,I451-IF($A499&gt;='1-Input'!$C$12,'1-Input'!$B$12,0))+J499*(1-'P-Parametri'!$B$6*I499))*(1+'1-Input'!$B$27))</f>
        <v>0</v>
      </c>
      <c r="L499" s="18">
        <f>IF($A499&gt;'1-Input'!$B$26,N498,(N498-J499)*(1+$C$4))</f>
        <v>-294392.22748446342</v>
      </c>
      <c r="M499" s="18">
        <f>IF($A499&gt;'1-Input'!$B$26,K499,K499-'P-Parametri'!$B$8*(L499+K499)+MIN(MAX(L499,0),'P-Parametri'!$B$8*(L499+K499)))</f>
        <v>0</v>
      </c>
      <c r="N499" s="18">
        <f>IF($A499&gt;'1-Input'!$B$26,L499,L499-MIN(MAX(L499,0),'P-Parametri'!$B$8*(L499+K499)))</f>
        <v>-294392.22748446342</v>
      </c>
      <c r="O499" s="18">
        <f>IF($A499&gt;'1-Input'!$B$26,O498,O498-J499*(1-I499))</f>
        <v>-217491.29672913888</v>
      </c>
      <c r="P499" s="11">
        <f>IF($A499&gt;'1-Input'!$B$26,0,IF(U498&lt;=0,0,MAX(0,(U498-V498)/U498)))</f>
        <v>0</v>
      </c>
      <c r="Q499" s="18">
        <f>IF($A499&gt;'1-Input'!$B$26,0,(MAX(0,P451-IF($A499&gt;='1-Input'!$C$12,'1-Input'!$B$12,0))-MIN(MAX(T498,0),MAX(0,P451-IF($A499&gt;='1-Input'!$C$12,'1-Input'!$B$12,0))))*(1/(1-'P-Parametri'!$B$6*P499))+MIN(MAX(0,U498-(MAX(0,P451-IF($A499&gt;='1-Input'!$C$12,'1-Input'!$B$12,0))-MIN(MAX(T498,0),MAX(0,P451-IF($A499&gt;='1-Input'!$C$12,'1-Input'!$B$12,0))))*(1/(1-'P-Parametri'!$B$6*P499))),MAX(0,1*P451-(T498-MIN(MAX(T498,0),MAX(0,P451-IF($A499&gt;='1-Input'!$C$12,'1-Input'!$B$12,0)))))*(1/(1-'P-Parametri'!$B$6*P499))))</f>
        <v>0</v>
      </c>
      <c r="R499" s="18">
        <f>IF($A499&gt;'1-Input'!$B$26,T498,(T498-MAX(0,P451-IF($A499&gt;='1-Input'!$C$12,'1-Input'!$B$12,0))+Q499*(1-'P-Parametri'!$B$6*P499))*(1+'1-Input'!$B$27))</f>
        <v>0</v>
      </c>
      <c r="S499" s="18">
        <f>IF($A499&gt;'1-Input'!$B$26,U498,(U498-Q499)*(1+$C$4))</f>
        <v>-21297.957392777469</v>
      </c>
      <c r="T499" s="18">
        <f>IF($A499&gt;'1-Input'!$B$26,R499,R499-'P-Parametri'!$B$8*(S499+R499)+MIN(MAX(S499,0),'P-Parametri'!$B$8*(S499+R499)))</f>
        <v>0</v>
      </c>
      <c r="U499" s="18">
        <f>IF($A499&gt;'1-Input'!$B$26,S499,S499-MIN(MAX(S499,0),'P-Parametri'!$B$8*(S499+R499)))</f>
        <v>-21297.957392777469</v>
      </c>
      <c r="V499" s="18">
        <f>IF($A499&gt;'1-Input'!$B$26,V498,V498-Q499*(1-P499))</f>
        <v>-20217.373699651267</v>
      </c>
      <c r="W499" s="11">
        <f>IF($A499&gt;'1-Input'!$B$26,0,IF(AB498&lt;=0,0,MAX(0,(AB498-AC498)/AB498)))</f>
        <v>0</v>
      </c>
      <c r="X499" s="18">
        <f>IF($A499&gt;'1-Input'!$B$26,0,(MAX(0,W451-IF($A499&gt;='1-Input'!$C$12,'1-Input'!$B$12,0))-MIN(MAX(AA498,0),MAX(0,W451-IF($A499&gt;='1-Input'!$C$12,'1-Input'!$B$12,0))))*(1/(1-'P-Parametri'!$B$6*W499))+MIN(MAX(0,AB498-(MAX(0,W451-IF($A499&gt;='1-Input'!$C$12,'1-Input'!$B$12,0))-MIN(MAX(AA498,0),MAX(0,W451-IF($A499&gt;='1-Input'!$C$12,'1-Input'!$B$12,0))))*(1/(1-'P-Parametri'!$B$6*W499))),MAX(0,1*W451-(AA498-MIN(MAX(AA498,0),MAX(0,W451-IF($A499&gt;='1-Input'!$C$12,'1-Input'!$B$12,0)))))*(1/(1-'P-Parametri'!$B$6*W499))))</f>
        <v>0</v>
      </c>
      <c r="Y499" s="18">
        <f>IF($A499&gt;'1-Input'!$B$26,AA498,(AA498-MAX(0,W451-IF($A499&gt;='1-Input'!$C$12,'1-Input'!$B$12,0))+X499*(1-'P-Parametri'!$B$6*W499))*(1+'1-Input'!$B$27))</f>
        <v>0</v>
      </c>
      <c r="Z499" s="18">
        <f>IF($A499&gt;'1-Input'!$B$26,AB498,(AB498-X499)*(1+$C$4))</f>
        <v>-832.13604737998151</v>
      </c>
      <c r="AA499" s="18">
        <f>IF($A499&gt;'1-Input'!$B$26,Y499,Y499-'P-Parametri'!$B$8*(Z499+Y499)+MIN(MAX(Z499,0),'P-Parametri'!$B$8*(Z499+Y499)))</f>
        <v>0</v>
      </c>
      <c r="AB499" s="18">
        <f>IF($A499&gt;'1-Input'!$B$26,Z499,Z499-MIN(MAX(Z499,0),'P-Parametri'!$B$8*(Z499+Y499)))</f>
        <v>-832.13604737998151</v>
      </c>
      <c r="AC499" s="18">
        <f>IF($A499&gt;'1-Input'!$B$26,AC498,AC498-X499*(1-W499))</f>
        <v>-809.51811134889351</v>
      </c>
      <c r="AD499" s="11">
        <f>IF($A499&gt;'1-Input'!$B$26,0,IF(AI498&lt;=0,0,MAX(0,(AI498-AJ498)/AI498)))</f>
        <v>0</v>
      </c>
      <c r="AE499" s="18">
        <f>IF($A499&gt;'1-Input'!$B$26,0,(MAX(0,AD451-IF($A499&gt;='1-Input'!$C$12,'1-Input'!$B$12,0))-MIN(MAX(AH498,0),MAX(0,AD451-IF($A499&gt;='1-Input'!$C$12,'1-Input'!$B$12,0))))*(1/(1-'P-Parametri'!$B$6*AD499))+MIN(MAX(0,AI498-(MAX(0,AD451-IF($A499&gt;='1-Input'!$C$12,'1-Input'!$B$12,0))-MIN(MAX(AH498,0),MAX(0,AD451-IF($A499&gt;='1-Input'!$C$12,'1-Input'!$B$12,0))))*(1/(1-'P-Parametri'!$B$6*AD499))),MAX(0,1*AD451-(AH498-MIN(MAX(AH498,0),MAX(0,AD451-IF($A499&gt;='1-Input'!$C$12,'1-Input'!$B$12,0)))))*(1/(1-'P-Parametri'!$B$6*AD499))))</f>
        <v>0</v>
      </c>
      <c r="AF499" s="18">
        <f>IF($A499&gt;'1-Input'!$B$26,AH498,(AH498-MAX(0,AD451-IF($A499&gt;='1-Input'!$C$12,'1-Input'!$B$12,0))+AE499*(1-'P-Parametri'!$B$6*AD499))*(1+'1-Input'!$B$27))</f>
        <v>7.0969074069481817</v>
      </c>
      <c r="AG499" s="18">
        <f>IF($A499&gt;'1-Input'!$B$26,AI498,(AI498-AE499)*(1+$C$4))</f>
        <v>0</v>
      </c>
      <c r="AH499" s="18">
        <f>IF($A499&gt;'1-Input'!$B$26,AF499,AF499-'P-Parametri'!$B$8*(AG499+AF499)+MIN(MAX(AG499,0),'P-Parametri'!$B$8*(AG499+AF499)))</f>
        <v>7.0969074069481817</v>
      </c>
      <c r="AI499" s="18">
        <f>IF($A499&gt;'1-Input'!$B$26,AG499,AG499-MIN(MAX(AG499,0),'P-Parametri'!$B$8*(AG499+AF499)))</f>
        <v>0</v>
      </c>
      <c r="AJ499" s="18">
        <f>IF($A499&gt;'1-Input'!$B$26,AJ498,AJ498-AE499*(1-AD499))</f>
        <v>-2.2737367544323206E-13</v>
      </c>
      <c r="AK499" s="11">
        <f>IF($A499&gt;'1-Input'!$B$26,0,IF(AP498&lt;=0,0,MAX(0,(AP498-AQ498)/AP498)))</f>
        <v>0</v>
      </c>
      <c r="AL499" s="18">
        <f>IF($A499&gt;'1-Input'!$B$26,0,(MAX(0,AK451-IF($A499&gt;='1-Input'!$C$12,'1-Input'!$B$12,0))-MIN(MAX(AO498,0),MAX(0,AK451-IF($A499&gt;='1-Input'!$C$12,'1-Input'!$B$12,0))))*(1/(1-'P-Parametri'!$B$6*AK499))+MIN(MAX(0,AP498-(MAX(0,AK451-IF($A499&gt;='1-Input'!$C$12,'1-Input'!$B$12,0))-MIN(MAX(AO498,0),MAX(0,AK451-IF($A499&gt;='1-Input'!$C$12,'1-Input'!$B$12,0))))*(1/(1-'P-Parametri'!$B$6*AK499))),MAX(0,1*AK451-(AO498-MIN(MAX(AO498,0),MAX(0,AK451-IF($A499&gt;='1-Input'!$C$12,'1-Input'!$B$12,0)))))*(1/(1-'P-Parametri'!$B$6*AK499))))</f>
        <v>0</v>
      </c>
      <c r="AM499" s="18">
        <f>IF($A499&gt;'1-Input'!$B$26,AO498,(AO498-MAX(0,AK451-IF($A499&gt;='1-Input'!$C$12,'1-Input'!$B$12,0))+AL499*(1-'P-Parametri'!$B$6*AK499))*(1+'1-Input'!$B$27))</f>
        <v>0.2295427153922007</v>
      </c>
      <c r="AN499" s="18">
        <f>IF($A499&gt;'1-Input'!$B$26,AP498,(AP498-AL499)*(1+$C$4))</f>
        <v>0</v>
      </c>
      <c r="AO499" s="18">
        <f>IF($A499&gt;'1-Input'!$B$26,AM499,AM499-'P-Parametri'!$B$8*(AN499+AM499)+MIN(MAX(AN499,0),'P-Parametri'!$B$8*(AN499+AM499)))</f>
        <v>0.2295427153922007</v>
      </c>
      <c r="AP499" s="18">
        <f>IF($A499&gt;'1-Input'!$B$26,AN499,AN499-MIN(MAX(AN499,0),'P-Parametri'!$B$8*(AN499+AM499)))</f>
        <v>0</v>
      </c>
      <c r="AQ499" s="18">
        <f>IF($A499&gt;'1-Input'!$B$26,AQ498,AQ498-AL499*(1-AK499))</f>
        <v>-2.2737367544323206E-13</v>
      </c>
    </row>
    <row r="500" spans="1:43">
      <c r="A500" s="10">
        <f>47</f>
        <v>47</v>
      </c>
      <c r="B500" s="11">
        <f>IF($A500&gt;'1-Input'!$B$26,0,IF(G499&lt;=0,0,MAX(0,(G499-H499)/G499)))</f>
        <v>0</v>
      </c>
      <c r="C500" s="18">
        <f>IF($A500&gt;'1-Input'!$B$26,0,(MAX(0,B451-IF($A500&gt;='1-Input'!$C$12,'1-Input'!$B$12,0))-MIN(MAX(F499,0),MAX(0,B451-IF($A500&gt;='1-Input'!$C$12,'1-Input'!$B$12,0))))*(1/(1-'P-Parametri'!$B$6*B500))+MIN(MAX(0,G499-(MAX(0,B451-IF($A500&gt;='1-Input'!$C$12,'1-Input'!$B$12,0))-MIN(MAX(F499,0),MAX(0,B451-IF($A500&gt;='1-Input'!$C$12,'1-Input'!$B$12,0))))*(1/(1-'P-Parametri'!$B$6*B500))),MAX(0,1*B451-(F499-MIN(MAX(F499,0),MAX(0,B451-IF($A500&gt;='1-Input'!$C$12,'1-Input'!$B$12,0)))))*(1/(1-'P-Parametri'!$B$6*B500))))</f>
        <v>0</v>
      </c>
      <c r="D500" s="18">
        <f>IF($A500&gt;'1-Input'!$B$26,F499,(F499-MAX(0,B451-IF($A500&gt;='1-Input'!$C$12,'1-Input'!$B$12,0))+C500*(1-'P-Parametri'!$B$6*B500))*(1+'1-Input'!$B$27))</f>
        <v>16621.00351549315</v>
      </c>
      <c r="E500" s="18">
        <f>IF($A500&gt;'1-Input'!$B$26,G499,(G499-C500)*(1+$C$4))</f>
        <v>158059.17749515706</v>
      </c>
      <c r="F500" s="18">
        <f>IF($A500&gt;'1-Input'!$B$26,D500,D500-'P-Parametri'!$B$8*(E500+D500)+MIN(MAX(E500,0),'P-Parametri'!$B$8*(E500+D500)))</f>
        <v>16621.00351549315</v>
      </c>
      <c r="G500" s="18">
        <f>IF($A500&gt;'1-Input'!$B$26,E500,E500-MIN(MAX(E500,0),'P-Parametri'!$B$8*(E500+D500)))</f>
        <v>158059.17749515706</v>
      </c>
      <c r="H500" s="18">
        <f>IF($A500&gt;'1-Input'!$B$26,H499,H499-C500*(1-B500))</f>
        <v>36078.697068713984</v>
      </c>
      <c r="I500" s="11">
        <f>IF($A500&gt;'1-Input'!$B$26,0,IF(N499&lt;=0,0,MAX(0,(N499-O499)/N499)))</f>
        <v>0</v>
      </c>
      <c r="J500" s="18">
        <f>IF($A500&gt;'1-Input'!$B$26,0,(MAX(0,I451-IF($A500&gt;='1-Input'!$C$12,'1-Input'!$B$12,0))-MIN(MAX(M499,0),MAX(0,I451-IF($A500&gt;='1-Input'!$C$12,'1-Input'!$B$12,0))))*(1/(1-'P-Parametri'!$B$6*I500))+MIN(MAX(0,N499-(MAX(0,I451-IF($A500&gt;='1-Input'!$C$12,'1-Input'!$B$12,0))-MIN(MAX(M499,0),MAX(0,I451-IF($A500&gt;='1-Input'!$C$12,'1-Input'!$B$12,0))))*(1/(1-'P-Parametri'!$B$6*I500))),MAX(0,1*I451-(M499-MIN(MAX(M499,0),MAX(0,I451-IF($A500&gt;='1-Input'!$C$12,'1-Input'!$B$12,0)))))*(1/(1-'P-Parametri'!$B$6*I500))))</f>
        <v>0</v>
      </c>
      <c r="K500" s="18">
        <f>IF($A500&gt;'1-Input'!$B$26,M499,(M499-MAX(0,I451-IF($A500&gt;='1-Input'!$C$12,'1-Input'!$B$12,0))+J500*(1-'P-Parametri'!$B$6*I500))*(1+'1-Input'!$B$27))</f>
        <v>0</v>
      </c>
      <c r="L500" s="18">
        <f>IF($A500&gt;'1-Input'!$B$26,N499,(N499-J500)*(1+$C$4))</f>
        <v>-294392.22748446342</v>
      </c>
      <c r="M500" s="18">
        <f>IF($A500&gt;'1-Input'!$B$26,K500,K500-'P-Parametri'!$B$8*(L500+K500)+MIN(MAX(L500,0),'P-Parametri'!$B$8*(L500+K500)))</f>
        <v>0</v>
      </c>
      <c r="N500" s="18">
        <f>IF($A500&gt;'1-Input'!$B$26,L500,L500-MIN(MAX(L500,0),'P-Parametri'!$B$8*(L500+K500)))</f>
        <v>-294392.22748446342</v>
      </c>
      <c r="O500" s="18">
        <f>IF($A500&gt;'1-Input'!$B$26,O499,O499-J500*(1-I500))</f>
        <v>-217491.29672913888</v>
      </c>
      <c r="P500" s="11">
        <f>IF($A500&gt;'1-Input'!$B$26,0,IF(U499&lt;=0,0,MAX(0,(U499-V499)/U499)))</f>
        <v>0</v>
      </c>
      <c r="Q500" s="18">
        <f>IF($A500&gt;'1-Input'!$B$26,0,(MAX(0,P451-IF($A500&gt;='1-Input'!$C$12,'1-Input'!$B$12,0))-MIN(MAX(T499,0),MAX(0,P451-IF($A500&gt;='1-Input'!$C$12,'1-Input'!$B$12,0))))*(1/(1-'P-Parametri'!$B$6*P500))+MIN(MAX(0,U499-(MAX(0,P451-IF($A500&gt;='1-Input'!$C$12,'1-Input'!$B$12,0))-MIN(MAX(T499,0),MAX(0,P451-IF($A500&gt;='1-Input'!$C$12,'1-Input'!$B$12,0))))*(1/(1-'P-Parametri'!$B$6*P500))),MAX(0,1*P451-(T499-MIN(MAX(T499,0),MAX(0,P451-IF($A500&gt;='1-Input'!$C$12,'1-Input'!$B$12,0)))))*(1/(1-'P-Parametri'!$B$6*P500))))</f>
        <v>0</v>
      </c>
      <c r="R500" s="18">
        <f>IF($A500&gt;'1-Input'!$B$26,T499,(T499-MAX(0,P451-IF($A500&gt;='1-Input'!$C$12,'1-Input'!$B$12,0))+Q500*(1-'P-Parametri'!$B$6*P500))*(1+'1-Input'!$B$27))</f>
        <v>0</v>
      </c>
      <c r="S500" s="18">
        <f>IF($A500&gt;'1-Input'!$B$26,U499,(U499-Q500)*(1+$C$4))</f>
        <v>-21297.957392777469</v>
      </c>
      <c r="T500" s="18">
        <f>IF($A500&gt;'1-Input'!$B$26,R500,R500-'P-Parametri'!$B$8*(S500+R500)+MIN(MAX(S500,0),'P-Parametri'!$B$8*(S500+R500)))</f>
        <v>0</v>
      </c>
      <c r="U500" s="18">
        <f>IF($A500&gt;'1-Input'!$B$26,S500,S500-MIN(MAX(S500,0),'P-Parametri'!$B$8*(S500+R500)))</f>
        <v>-21297.957392777469</v>
      </c>
      <c r="V500" s="18">
        <f>IF($A500&gt;'1-Input'!$B$26,V499,V499-Q500*(1-P500))</f>
        <v>-20217.373699651267</v>
      </c>
      <c r="W500" s="11">
        <f>IF($A500&gt;'1-Input'!$B$26,0,IF(AB499&lt;=0,0,MAX(0,(AB499-AC499)/AB499)))</f>
        <v>0</v>
      </c>
      <c r="X500" s="18">
        <f>IF($A500&gt;'1-Input'!$B$26,0,(MAX(0,W451-IF($A500&gt;='1-Input'!$C$12,'1-Input'!$B$12,0))-MIN(MAX(AA499,0),MAX(0,W451-IF($A500&gt;='1-Input'!$C$12,'1-Input'!$B$12,0))))*(1/(1-'P-Parametri'!$B$6*W500))+MIN(MAX(0,AB499-(MAX(0,W451-IF($A500&gt;='1-Input'!$C$12,'1-Input'!$B$12,0))-MIN(MAX(AA499,0),MAX(0,W451-IF($A500&gt;='1-Input'!$C$12,'1-Input'!$B$12,0))))*(1/(1-'P-Parametri'!$B$6*W500))),MAX(0,1*W451-(AA499-MIN(MAX(AA499,0),MAX(0,W451-IF($A500&gt;='1-Input'!$C$12,'1-Input'!$B$12,0)))))*(1/(1-'P-Parametri'!$B$6*W500))))</f>
        <v>0</v>
      </c>
      <c r="Y500" s="18">
        <f>IF($A500&gt;'1-Input'!$B$26,AA499,(AA499-MAX(0,W451-IF($A500&gt;='1-Input'!$C$12,'1-Input'!$B$12,0))+X500*(1-'P-Parametri'!$B$6*W500))*(1+'1-Input'!$B$27))</f>
        <v>0</v>
      </c>
      <c r="Z500" s="18">
        <f>IF($A500&gt;'1-Input'!$B$26,AB499,(AB499-X500)*(1+$C$4))</f>
        <v>-832.13604737998151</v>
      </c>
      <c r="AA500" s="18">
        <f>IF($A500&gt;'1-Input'!$B$26,Y500,Y500-'P-Parametri'!$B$8*(Z500+Y500)+MIN(MAX(Z500,0),'P-Parametri'!$B$8*(Z500+Y500)))</f>
        <v>0</v>
      </c>
      <c r="AB500" s="18">
        <f>IF($A500&gt;'1-Input'!$B$26,Z500,Z500-MIN(MAX(Z500,0),'P-Parametri'!$B$8*(Z500+Y500)))</f>
        <v>-832.13604737998151</v>
      </c>
      <c r="AC500" s="18">
        <f>IF($A500&gt;'1-Input'!$B$26,AC499,AC499-X500*(1-W500))</f>
        <v>-809.51811134889351</v>
      </c>
      <c r="AD500" s="11">
        <f>IF($A500&gt;'1-Input'!$B$26,0,IF(AI499&lt;=0,0,MAX(0,(AI499-AJ499)/AI499)))</f>
        <v>0</v>
      </c>
      <c r="AE500" s="18">
        <f>IF($A500&gt;'1-Input'!$B$26,0,(MAX(0,AD451-IF($A500&gt;='1-Input'!$C$12,'1-Input'!$B$12,0))-MIN(MAX(AH499,0),MAX(0,AD451-IF($A500&gt;='1-Input'!$C$12,'1-Input'!$B$12,0))))*(1/(1-'P-Parametri'!$B$6*AD500))+MIN(MAX(0,AI499-(MAX(0,AD451-IF($A500&gt;='1-Input'!$C$12,'1-Input'!$B$12,0))-MIN(MAX(AH499,0),MAX(0,AD451-IF($A500&gt;='1-Input'!$C$12,'1-Input'!$B$12,0))))*(1/(1-'P-Parametri'!$B$6*AD500))),MAX(0,1*AD451-(AH499-MIN(MAX(AH499,0),MAX(0,AD451-IF($A500&gt;='1-Input'!$C$12,'1-Input'!$B$12,0)))))*(1/(1-'P-Parametri'!$B$6*AD500))))</f>
        <v>0</v>
      </c>
      <c r="AF500" s="18">
        <f>IF($A500&gt;'1-Input'!$B$26,AH499,(AH499-MAX(0,AD451-IF($A500&gt;='1-Input'!$C$12,'1-Input'!$B$12,0))+AE500*(1-'P-Parametri'!$B$6*AD500))*(1+'1-Input'!$B$27))</f>
        <v>7.0969074069481817</v>
      </c>
      <c r="AG500" s="18">
        <f>IF($A500&gt;'1-Input'!$B$26,AI499,(AI499-AE500)*(1+$C$4))</f>
        <v>0</v>
      </c>
      <c r="AH500" s="18">
        <f>IF($A500&gt;'1-Input'!$B$26,AF500,AF500-'P-Parametri'!$B$8*(AG500+AF500)+MIN(MAX(AG500,0),'P-Parametri'!$B$8*(AG500+AF500)))</f>
        <v>7.0969074069481817</v>
      </c>
      <c r="AI500" s="18">
        <f>IF($A500&gt;'1-Input'!$B$26,AG500,AG500-MIN(MAX(AG500,0),'P-Parametri'!$B$8*(AG500+AF500)))</f>
        <v>0</v>
      </c>
      <c r="AJ500" s="18">
        <f>IF($A500&gt;'1-Input'!$B$26,AJ499,AJ499-AE500*(1-AD500))</f>
        <v>-2.2737367544323206E-13</v>
      </c>
      <c r="AK500" s="11">
        <f>IF($A500&gt;'1-Input'!$B$26,0,IF(AP499&lt;=0,0,MAX(0,(AP499-AQ499)/AP499)))</f>
        <v>0</v>
      </c>
      <c r="AL500" s="18">
        <f>IF($A500&gt;'1-Input'!$B$26,0,(MAX(0,AK451-IF($A500&gt;='1-Input'!$C$12,'1-Input'!$B$12,0))-MIN(MAX(AO499,0),MAX(0,AK451-IF($A500&gt;='1-Input'!$C$12,'1-Input'!$B$12,0))))*(1/(1-'P-Parametri'!$B$6*AK500))+MIN(MAX(0,AP499-(MAX(0,AK451-IF($A500&gt;='1-Input'!$C$12,'1-Input'!$B$12,0))-MIN(MAX(AO499,0),MAX(0,AK451-IF($A500&gt;='1-Input'!$C$12,'1-Input'!$B$12,0))))*(1/(1-'P-Parametri'!$B$6*AK500))),MAX(0,1*AK451-(AO499-MIN(MAX(AO499,0),MAX(0,AK451-IF($A500&gt;='1-Input'!$C$12,'1-Input'!$B$12,0)))))*(1/(1-'P-Parametri'!$B$6*AK500))))</f>
        <v>0</v>
      </c>
      <c r="AM500" s="18">
        <f>IF($A500&gt;'1-Input'!$B$26,AO499,(AO499-MAX(0,AK451-IF($A500&gt;='1-Input'!$C$12,'1-Input'!$B$12,0))+AL500*(1-'P-Parametri'!$B$6*AK500))*(1+'1-Input'!$B$27))</f>
        <v>0.2295427153922007</v>
      </c>
      <c r="AN500" s="18">
        <f>IF($A500&gt;'1-Input'!$B$26,AP499,(AP499-AL500)*(1+$C$4))</f>
        <v>0</v>
      </c>
      <c r="AO500" s="18">
        <f>IF($A500&gt;'1-Input'!$B$26,AM500,AM500-'P-Parametri'!$B$8*(AN500+AM500)+MIN(MAX(AN500,0),'P-Parametri'!$B$8*(AN500+AM500)))</f>
        <v>0.2295427153922007</v>
      </c>
      <c r="AP500" s="18">
        <f>IF($A500&gt;'1-Input'!$B$26,AN500,AN500-MIN(MAX(AN500,0),'P-Parametri'!$B$8*(AN500+AM500)))</f>
        <v>0</v>
      </c>
      <c r="AQ500" s="18">
        <f>IF($A500&gt;'1-Input'!$B$26,AQ499,AQ499-AL500*(1-AK500))</f>
        <v>-2.2737367544323206E-13</v>
      </c>
    </row>
    <row r="501" spans="1:43">
      <c r="A501" s="10">
        <f>48</f>
        <v>48</v>
      </c>
      <c r="B501" s="11">
        <f>IF($A501&gt;'1-Input'!$B$26,0,IF(G500&lt;=0,0,MAX(0,(G500-H500)/G500)))</f>
        <v>0</v>
      </c>
      <c r="C501" s="18">
        <f>IF($A501&gt;'1-Input'!$B$26,0,(MAX(0,B451-IF($A501&gt;='1-Input'!$C$12,'1-Input'!$B$12,0))-MIN(MAX(F500,0),MAX(0,B451-IF($A501&gt;='1-Input'!$C$12,'1-Input'!$B$12,0))))*(1/(1-'P-Parametri'!$B$6*B501))+MIN(MAX(0,G500-(MAX(0,B451-IF($A501&gt;='1-Input'!$C$12,'1-Input'!$B$12,0))-MIN(MAX(F500,0),MAX(0,B451-IF($A501&gt;='1-Input'!$C$12,'1-Input'!$B$12,0))))*(1/(1-'P-Parametri'!$B$6*B501))),MAX(0,1*B451-(F500-MIN(MAX(F500,0),MAX(0,B451-IF($A501&gt;='1-Input'!$C$12,'1-Input'!$B$12,0)))))*(1/(1-'P-Parametri'!$B$6*B501))))</f>
        <v>0</v>
      </c>
      <c r="D501" s="18">
        <f>IF($A501&gt;'1-Input'!$B$26,F500,(F500-MAX(0,B451-IF($A501&gt;='1-Input'!$C$12,'1-Input'!$B$12,0))+C501*(1-'P-Parametri'!$B$6*B501))*(1+'1-Input'!$B$27))</f>
        <v>16621.00351549315</v>
      </c>
      <c r="E501" s="18">
        <f>IF($A501&gt;'1-Input'!$B$26,G500,(G500-C501)*(1+$C$4))</f>
        <v>158059.17749515706</v>
      </c>
      <c r="F501" s="18">
        <f>IF($A501&gt;'1-Input'!$B$26,D501,D501-'P-Parametri'!$B$8*(E501+D501)+MIN(MAX(E501,0),'P-Parametri'!$B$8*(E501+D501)))</f>
        <v>16621.00351549315</v>
      </c>
      <c r="G501" s="18">
        <f>IF($A501&gt;'1-Input'!$B$26,E501,E501-MIN(MAX(E501,0),'P-Parametri'!$B$8*(E501+D501)))</f>
        <v>158059.17749515706</v>
      </c>
      <c r="H501" s="18">
        <f>IF($A501&gt;'1-Input'!$B$26,H500,H500-C501*(1-B501))</f>
        <v>36078.697068713984</v>
      </c>
      <c r="I501" s="11">
        <f>IF($A501&gt;'1-Input'!$B$26,0,IF(N500&lt;=0,0,MAX(0,(N500-O500)/N500)))</f>
        <v>0</v>
      </c>
      <c r="J501" s="18">
        <f>IF($A501&gt;'1-Input'!$B$26,0,(MAX(0,I451-IF($A501&gt;='1-Input'!$C$12,'1-Input'!$B$12,0))-MIN(MAX(M500,0),MAX(0,I451-IF($A501&gt;='1-Input'!$C$12,'1-Input'!$B$12,0))))*(1/(1-'P-Parametri'!$B$6*I501))+MIN(MAX(0,N500-(MAX(0,I451-IF($A501&gt;='1-Input'!$C$12,'1-Input'!$B$12,0))-MIN(MAX(M500,0),MAX(0,I451-IF($A501&gt;='1-Input'!$C$12,'1-Input'!$B$12,0))))*(1/(1-'P-Parametri'!$B$6*I501))),MAX(0,1*I451-(M500-MIN(MAX(M500,0),MAX(0,I451-IF($A501&gt;='1-Input'!$C$12,'1-Input'!$B$12,0)))))*(1/(1-'P-Parametri'!$B$6*I501))))</f>
        <v>0</v>
      </c>
      <c r="K501" s="18">
        <f>IF($A501&gt;'1-Input'!$B$26,M500,(M500-MAX(0,I451-IF($A501&gt;='1-Input'!$C$12,'1-Input'!$B$12,0))+J501*(1-'P-Parametri'!$B$6*I501))*(1+'1-Input'!$B$27))</f>
        <v>0</v>
      </c>
      <c r="L501" s="18">
        <f>IF($A501&gt;'1-Input'!$B$26,N500,(N500-J501)*(1+$C$4))</f>
        <v>-294392.22748446342</v>
      </c>
      <c r="M501" s="18">
        <f>IF($A501&gt;'1-Input'!$B$26,K501,K501-'P-Parametri'!$B$8*(L501+K501)+MIN(MAX(L501,0),'P-Parametri'!$B$8*(L501+K501)))</f>
        <v>0</v>
      </c>
      <c r="N501" s="18">
        <f>IF($A501&gt;'1-Input'!$B$26,L501,L501-MIN(MAX(L501,0),'P-Parametri'!$B$8*(L501+K501)))</f>
        <v>-294392.22748446342</v>
      </c>
      <c r="O501" s="18">
        <f>IF($A501&gt;'1-Input'!$B$26,O500,O500-J501*(1-I501))</f>
        <v>-217491.29672913888</v>
      </c>
      <c r="P501" s="11">
        <f>IF($A501&gt;'1-Input'!$B$26,0,IF(U500&lt;=0,0,MAX(0,(U500-V500)/U500)))</f>
        <v>0</v>
      </c>
      <c r="Q501" s="18">
        <f>IF($A501&gt;'1-Input'!$B$26,0,(MAX(0,P451-IF($A501&gt;='1-Input'!$C$12,'1-Input'!$B$12,0))-MIN(MAX(T500,0),MAX(0,P451-IF($A501&gt;='1-Input'!$C$12,'1-Input'!$B$12,0))))*(1/(1-'P-Parametri'!$B$6*P501))+MIN(MAX(0,U500-(MAX(0,P451-IF($A501&gt;='1-Input'!$C$12,'1-Input'!$B$12,0))-MIN(MAX(T500,0),MAX(0,P451-IF($A501&gt;='1-Input'!$C$12,'1-Input'!$B$12,0))))*(1/(1-'P-Parametri'!$B$6*P501))),MAX(0,1*P451-(T500-MIN(MAX(T500,0),MAX(0,P451-IF($A501&gt;='1-Input'!$C$12,'1-Input'!$B$12,0)))))*(1/(1-'P-Parametri'!$B$6*P501))))</f>
        <v>0</v>
      </c>
      <c r="R501" s="18">
        <f>IF($A501&gt;'1-Input'!$B$26,T500,(T500-MAX(0,P451-IF($A501&gt;='1-Input'!$C$12,'1-Input'!$B$12,0))+Q501*(1-'P-Parametri'!$B$6*P501))*(1+'1-Input'!$B$27))</f>
        <v>0</v>
      </c>
      <c r="S501" s="18">
        <f>IF($A501&gt;'1-Input'!$B$26,U500,(U500-Q501)*(1+$C$4))</f>
        <v>-21297.957392777469</v>
      </c>
      <c r="T501" s="18">
        <f>IF($A501&gt;'1-Input'!$B$26,R501,R501-'P-Parametri'!$B$8*(S501+R501)+MIN(MAX(S501,0),'P-Parametri'!$B$8*(S501+R501)))</f>
        <v>0</v>
      </c>
      <c r="U501" s="18">
        <f>IF($A501&gt;'1-Input'!$B$26,S501,S501-MIN(MAX(S501,0),'P-Parametri'!$B$8*(S501+R501)))</f>
        <v>-21297.957392777469</v>
      </c>
      <c r="V501" s="18">
        <f>IF($A501&gt;'1-Input'!$B$26,V500,V500-Q501*(1-P501))</f>
        <v>-20217.373699651267</v>
      </c>
      <c r="W501" s="11">
        <f>IF($A501&gt;'1-Input'!$B$26,0,IF(AB500&lt;=0,0,MAX(0,(AB500-AC500)/AB500)))</f>
        <v>0</v>
      </c>
      <c r="X501" s="18">
        <f>IF($A501&gt;'1-Input'!$B$26,0,(MAX(0,W451-IF($A501&gt;='1-Input'!$C$12,'1-Input'!$B$12,0))-MIN(MAX(AA500,0),MAX(0,W451-IF($A501&gt;='1-Input'!$C$12,'1-Input'!$B$12,0))))*(1/(1-'P-Parametri'!$B$6*W501))+MIN(MAX(0,AB500-(MAX(0,W451-IF($A501&gt;='1-Input'!$C$12,'1-Input'!$B$12,0))-MIN(MAX(AA500,0),MAX(0,W451-IF($A501&gt;='1-Input'!$C$12,'1-Input'!$B$12,0))))*(1/(1-'P-Parametri'!$B$6*W501))),MAX(0,1*W451-(AA500-MIN(MAX(AA500,0),MAX(0,W451-IF($A501&gt;='1-Input'!$C$12,'1-Input'!$B$12,0)))))*(1/(1-'P-Parametri'!$B$6*W501))))</f>
        <v>0</v>
      </c>
      <c r="Y501" s="18">
        <f>IF($A501&gt;'1-Input'!$B$26,AA500,(AA500-MAX(0,W451-IF($A501&gt;='1-Input'!$C$12,'1-Input'!$B$12,0))+X501*(1-'P-Parametri'!$B$6*W501))*(1+'1-Input'!$B$27))</f>
        <v>0</v>
      </c>
      <c r="Z501" s="18">
        <f>IF($A501&gt;'1-Input'!$B$26,AB500,(AB500-X501)*(1+$C$4))</f>
        <v>-832.13604737998151</v>
      </c>
      <c r="AA501" s="18">
        <f>IF($A501&gt;'1-Input'!$B$26,Y501,Y501-'P-Parametri'!$B$8*(Z501+Y501)+MIN(MAX(Z501,0),'P-Parametri'!$B$8*(Z501+Y501)))</f>
        <v>0</v>
      </c>
      <c r="AB501" s="18">
        <f>IF($A501&gt;'1-Input'!$B$26,Z501,Z501-MIN(MAX(Z501,0),'P-Parametri'!$B$8*(Z501+Y501)))</f>
        <v>-832.13604737998151</v>
      </c>
      <c r="AC501" s="18">
        <f>IF($A501&gt;'1-Input'!$B$26,AC500,AC500-X501*(1-W501))</f>
        <v>-809.51811134889351</v>
      </c>
      <c r="AD501" s="11">
        <f>IF($A501&gt;'1-Input'!$B$26,0,IF(AI500&lt;=0,0,MAX(0,(AI500-AJ500)/AI500)))</f>
        <v>0</v>
      </c>
      <c r="AE501" s="18">
        <f>IF($A501&gt;'1-Input'!$B$26,0,(MAX(0,AD451-IF($A501&gt;='1-Input'!$C$12,'1-Input'!$B$12,0))-MIN(MAX(AH500,0),MAX(0,AD451-IF($A501&gt;='1-Input'!$C$12,'1-Input'!$B$12,0))))*(1/(1-'P-Parametri'!$B$6*AD501))+MIN(MAX(0,AI500-(MAX(0,AD451-IF($A501&gt;='1-Input'!$C$12,'1-Input'!$B$12,0))-MIN(MAX(AH500,0),MAX(0,AD451-IF($A501&gt;='1-Input'!$C$12,'1-Input'!$B$12,0))))*(1/(1-'P-Parametri'!$B$6*AD501))),MAX(0,1*AD451-(AH500-MIN(MAX(AH500,0),MAX(0,AD451-IF($A501&gt;='1-Input'!$C$12,'1-Input'!$B$12,0)))))*(1/(1-'P-Parametri'!$B$6*AD501))))</f>
        <v>0</v>
      </c>
      <c r="AF501" s="18">
        <f>IF($A501&gt;'1-Input'!$B$26,AH500,(AH500-MAX(0,AD451-IF($A501&gt;='1-Input'!$C$12,'1-Input'!$B$12,0))+AE501*(1-'P-Parametri'!$B$6*AD501))*(1+'1-Input'!$B$27))</f>
        <v>7.0969074069481817</v>
      </c>
      <c r="AG501" s="18">
        <f>IF($A501&gt;'1-Input'!$B$26,AI500,(AI500-AE501)*(1+$C$4))</f>
        <v>0</v>
      </c>
      <c r="AH501" s="18">
        <f>IF($A501&gt;'1-Input'!$B$26,AF501,AF501-'P-Parametri'!$B$8*(AG501+AF501)+MIN(MAX(AG501,0),'P-Parametri'!$B$8*(AG501+AF501)))</f>
        <v>7.0969074069481817</v>
      </c>
      <c r="AI501" s="18">
        <f>IF($A501&gt;'1-Input'!$B$26,AG501,AG501-MIN(MAX(AG501,0),'P-Parametri'!$B$8*(AG501+AF501)))</f>
        <v>0</v>
      </c>
      <c r="AJ501" s="18">
        <f>IF($A501&gt;'1-Input'!$B$26,AJ500,AJ500-AE501*(1-AD501))</f>
        <v>-2.2737367544323206E-13</v>
      </c>
      <c r="AK501" s="11">
        <f>IF($A501&gt;'1-Input'!$B$26,0,IF(AP500&lt;=0,0,MAX(0,(AP500-AQ500)/AP500)))</f>
        <v>0</v>
      </c>
      <c r="AL501" s="18">
        <f>IF($A501&gt;'1-Input'!$B$26,0,(MAX(0,AK451-IF($A501&gt;='1-Input'!$C$12,'1-Input'!$B$12,0))-MIN(MAX(AO500,0),MAX(0,AK451-IF($A501&gt;='1-Input'!$C$12,'1-Input'!$B$12,0))))*(1/(1-'P-Parametri'!$B$6*AK501))+MIN(MAX(0,AP500-(MAX(0,AK451-IF($A501&gt;='1-Input'!$C$12,'1-Input'!$B$12,0))-MIN(MAX(AO500,0),MAX(0,AK451-IF($A501&gt;='1-Input'!$C$12,'1-Input'!$B$12,0))))*(1/(1-'P-Parametri'!$B$6*AK501))),MAX(0,1*AK451-(AO500-MIN(MAX(AO500,0),MAX(0,AK451-IF($A501&gt;='1-Input'!$C$12,'1-Input'!$B$12,0)))))*(1/(1-'P-Parametri'!$B$6*AK501))))</f>
        <v>0</v>
      </c>
      <c r="AM501" s="18">
        <f>IF($A501&gt;'1-Input'!$B$26,AO500,(AO500-MAX(0,AK451-IF($A501&gt;='1-Input'!$C$12,'1-Input'!$B$12,0))+AL501*(1-'P-Parametri'!$B$6*AK501))*(1+'1-Input'!$B$27))</f>
        <v>0.2295427153922007</v>
      </c>
      <c r="AN501" s="18">
        <f>IF($A501&gt;'1-Input'!$B$26,AP500,(AP500-AL501)*(1+$C$4))</f>
        <v>0</v>
      </c>
      <c r="AO501" s="18">
        <f>IF($A501&gt;'1-Input'!$B$26,AM501,AM501-'P-Parametri'!$B$8*(AN501+AM501)+MIN(MAX(AN501,0),'P-Parametri'!$B$8*(AN501+AM501)))</f>
        <v>0.2295427153922007</v>
      </c>
      <c r="AP501" s="18">
        <f>IF($A501&gt;'1-Input'!$B$26,AN501,AN501-MIN(MAX(AN501,0),'P-Parametri'!$B$8*(AN501+AM501)))</f>
        <v>0</v>
      </c>
      <c r="AQ501" s="18">
        <f>IF($A501&gt;'1-Input'!$B$26,AQ500,AQ500-AL501*(1-AK501))</f>
        <v>-2.2737367544323206E-13</v>
      </c>
    </row>
    <row r="502" spans="1:43">
      <c r="A502" s="4" t="s">
        <v>365</v>
      </c>
      <c r="B502" s="18">
        <f>F501+G501</f>
        <v>174680.18101065021</v>
      </c>
      <c r="I502" s="18">
        <f>M501+N501</f>
        <v>-294392.22748446342</v>
      </c>
      <c r="P502" s="18">
        <f>T501+U501</f>
        <v>-21297.957392777469</v>
      </c>
      <c r="W502" s="18">
        <f>AA501+AB501</f>
        <v>-832.13604737998151</v>
      </c>
      <c r="AD502" s="18">
        <f>AH501+AI501</f>
        <v>7.0969074069481817</v>
      </c>
      <c r="AK502" s="18">
        <f>AO501+AP501</f>
        <v>0.2295427153922007</v>
      </c>
    </row>
    <row r="503" spans="1:43">
      <c r="A503" s="5" t="s">
        <v>266</v>
      </c>
      <c r="B503" s="18">
        <f>IFERROR(AK451-AK502*(AK451-AD451)/(AK502-AD502),AK451)</f>
        <v>18374.499232016908</v>
      </c>
    </row>
    <row r="505" spans="1:43">
      <c r="A505" s="2" t="s">
        <v>372</v>
      </c>
    </row>
    <row r="506" spans="1:43">
      <c r="A506" s="4" t="s">
        <v>360</v>
      </c>
      <c r="B506" s="9">
        <f>0.038*'2-Caso'!$B$12</f>
        <v>16681.055314625803</v>
      </c>
      <c r="I506" s="9">
        <f>0.05*'2-Caso'!$B$12</f>
        <v>21948.756992928691</v>
      </c>
      <c r="P506" s="18">
        <f>IFERROR(I506-I557*(I506-B506)/(I557-B557),I506)</f>
        <v>18159.51298223927</v>
      </c>
      <c r="W506" s="18">
        <f>IFERROR(P506-P557*(P506-I506)/(P557-I557),P506)</f>
        <v>17958.553660294525</v>
      </c>
      <c r="AD506" s="18">
        <f>IFERROR(W506-W557*(W506-P506)/(W557-P557),W506)</f>
        <v>17944.705052986734</v>
      </c>
      <c r="AK506" s="18">
        <f>IFERROR(AD506-AD557*(AD506-W506)/(AD557-W557),AD506)</f>
        <v>17944.672216087856</v>
      </c>
    </row>
    <row r="507" spans="1:43" ht="45">
      <c r="A507" s="25" t="s">
        <v>262</v>
      </c>
      <c r="B507" s="25" t="s">
        <v>361</v>
      </c>
      <c r="C507" s="25" t="s">
        <v>263</v>
      </c>
      <c r="D507" s="25" t="s">
        <v>362</v>
      </c>
      <c r="E507" s="25" t="s">
        <v>363</v>
      </c>
      <c r="F507" s="25" t="s">
        <v>264</v>
      </c>
      <c r="G507" s="25" t="s">
        <v>265</v>
      </c>
      <c r="H507" s="25" t="s">
        <v>364</v>
      </c>
      <c r="I507" s="25" t="s">
        <v>361</v>
      </c>
      <c r="J507" s="25" t="s">
        <v>263</v>
      </c>
      <c r="K507" s="25" t="s">
        <v>362</v>
      </c>
      <c r="L507" s="25" t="s">
        <v>363</v>
      </c>
      <c r="M507" s="25" t="s">
        <v>264</v>
      </c>
      <c r="N507" s="25" t="s">
        <v>265</v>
      </c>
      <c r="O507" s="25" t="s">
        <v>364</v>
      </c>
      <c r="P507" s="25" t="s">
        <v>361</v>
      </c>
      <c r="Q507" s="25" t="s">
        <v>263</v>
      </c>
      <c r="R507" s="25" t="s">
        <v>362</v>
      </c>
      <c r="S507" s="25" t="s">
        <v>363</v>
      </c>
      <c r="T507" s="25" t="s">
        <v>264</v>
      </c>
      <c r="U507" s="25" t="s">
        <v>265</v>
      </c>
      <c r="V507" s="25" t="s">
        <v>364</v>
      </c>
      <c r="W507" s="25" t="s">
        <v>361</v>
      </c>
      <c r="X507" s="25" t="s">
        <v>263</v>
      </c>
      <c r="Y507" s="25" t="s">
        <v>362</v>
      </c>
      <c r="Z507" s="25" t="s">
        <v>363</v>
      </c>
      <c r="AA507" s="25" t="s">
        <v>264</v>
      </c>
      <c r="AB507" s="25" t="s">
        <v>265</v>
      </c>
      <c r="AC507" s="25" t="s">
        <v>364</v>
      </c>
      <c r="AD507" s="25" t="s">
        <v>361</v>
      </c>
      <c r="AE507" s="25" t="s">
        <v>263</v>
      </c>
      <c r="AF507" s="25" t="s">
        <v>362</v>
      </c>
      <c r="AG507" s="25" t="s">
        <v>363</v>
      </c>
      <c r="AH507" s="25" t="s">
        <v>264</v>
      </c>
      <c r="AI507" s="25" t="s">
        <v>265</v>
      </c>
      <c r="AJ507" s="25" t="s">
        <v>364</v>
      </c>
      <c r="AK507" s="25" t="s">
        <v>361</v>
      </c>
      <c r="AL507" s="25" t="s">
        <v>263</v>
      </c>
      <c r="AM507" s="25" t="s">
        <v>362</v>
      </c>
      <c r="AN507" s="25" t="s">
        <v>363</v>
      </c>
      <c r="AO507" s="25" t="s">
        <v>264</v>
      </c>
      <c r="AP507" s="25" t="s">
        <v>265</v>
      </c>
      <c r="AQ507" s="25" t="s">
        <v>364</v>
      </c>
    </row>
    <row r="508" spans="1:43">
      <c r="A508" s="3">
        <v>0</v>
      </c>
      <c r="F508" s="18">
        <f>MIN(2*B506,'2-Caso'!$B$12)</f>
        <v>33362.110629251605</v>
      </c>
      <c r="G508" s="18">
        <f>'2-Caso'!$B$12-F508</f>
        <v>405613.02922932222</v>
      </c>
      <c r="H508" s="18">
        <f>'2-Caso'!$B$13*G508/'2-Caso'!$B$12</f>
        <v>317856</v>
      </c>
      <c r="M508" s="18">
        <f>MIN(2*I506,'2-Caso'!$B$12)</f>
        <v>43897.513985857382</v>
      </c>
      <c r="N508" s="18">
        <f>'2-Caso'!$B$12-M508</f>
        <v>395077.62587271642</v>
      </c>
      <c r="O508" s="18">
        <f>'2-Caso'!$B$13*N508/'2-Caso'!$B$12</f>
        <v>309600</v>
      </c>
      <c r="T508" s="18">
        <f>MIN(2*P506,'2-Caso'!$B$12)</f>
        <v>36319.02596447854</v>
      </c>
      <c r="U508" s="18">
        <f>'2-Caso'!$B$12-T508</f>
        <v>402656.11389409524</v>
      </c>
      <c r="V508" s="18">
        <f>'2-Caso'!$B$13*U508/'2-Caso'!$B$12</f>
        <v>315538.83261861757</v>
      </c>
      <c r="AA508" s="18">
        <f>MIN(2*W506,'2-Caso'!$B$12)</f>
        <v>35917.10732058905</v>
      </c>
      <c r="AB508" s="18">
        <f>'2-Caso'!$B$12-AA508</f>
        <v>403058.03253798472</v>
      </c>
      <c r="AC508" s="18">
        <f>'2-Caso'!$B$13*AB508/'2-Caso'!$B$12</f>
        <v>315853.79353768588</v>
      </c>
      <c r="AH508" s="18">
        <f>MIN(2*AD506,'2-Caso'!$B$12)</f>
        <v>35889.410105973468</v>
      </c>
      <c r="AI508" s="18">
        <f>'2-Caso'!$B$12-AH508</f>
        <v>403085.72975260031</v>
      </c>
      <c r="AJ508" s="18">
        <f>'2-Caso'!$B$13*AI508/'2-Caso'!$B$12</f>
        <v>315875.49827894027</v>
      </c>
      <c r="AO508" s="18">
        <f>MIN(2*AK506,'2-Caso'!$B$12)</f>
        <v>35889.344432175712</v>
      </c>
      <c r="AP508" s="18">
        <f>'2-Caso'!$B$12-AO508</f>
        <v>403085.79542639805</v>
      </c>
      <c r="AQ508" s="18">
        <f>'2-Caso'!$B$13*AP508/'2-Caso'!$B$12</f>
        <v>315875.54974378279</v>
      </c>
    </row>
    <row r="509" spans="1:43">
      <c r="A509" s="10">
        <f>1</f>
        <v>1</v>
      </c>
      <c r="B509" s="11">
        <f>IF($A509&gt;'1-Input'!$B$26,0,IF(G508&lt;=0,0,MAX(0,(G508-H508)/G508)))</f>
        <v>0.21635653419729486</v>
      </c>
      <c r="C509" s="18">
        <f>IF($A509&gt;'1-Input'!$B$26,0,(MAX(0,B506-IF($A509&gt;='1-Input'!$C$12,'1-Input'!$B$12,0))-MIN(MAX(F508,0),MAX(0,B506-IF($A509&gt;='1-Input'!$C$12,'1-Input'!$B$12,0))))*(1/(1-'P-Parametri'!$B$6*B509))+MIN(MAX(0,G508-(MAX(0,B506-IF($A509&gt;='1-Input'!$C$12,'1-Input'!$B$12,0))-MIN(MAX(F508,0),MAX(0,B506-IF($A509&gt;='1-Input'!$C$12,'1-Input'!$B$12,0))))*(1/(1-'P-Parametri'!$B$6*B509))),MAX(0,2*B506-(F508-MIN(MAX(F508,0),MAX(0,B506-IF($A509&gt;='1-Input'!$C$12,'1-Input'!$B$12,0)))))*(1/(1-'P-Parametri'!$B$6*B509))))</f>
        <v>17675.340946701614</v>
      </c>
      <c r="D509" s="18">
        <f>IF($A509&gt;'1-Input'!$B$26,F508,(F508-MAX(0,B506-IF($A509&gt;='1-Input'!$C$12,'1-Input'!$B$12,0))+C509*(1-'P-Parametri'!$B$6*B509))*(1+'1-Input'!$B$27))</f>
        <v>33242.0070309863</v>
      </c>
      <c r="E509" s="18">
        <f>IF($A509&gt;'1-Input'!$B$26,G508,(G508-C509)*(1+$C$4))</f>
        <v>399575.81893109926</v>
      </c>
      <c r="F509" s="18">
        <f>IF($A509&gt;'1-Input'!$B$26,D509,D509-'P-Parametri'!$B$8*(E509+D509)+MIN(MAX(E509,0),'P-Parametri'!$B$8*(E509+D509)))</f>
        <v>33242.0070309863</v>
      </c>
      <c r="G509" s="18">
        <f>IF($A509&gt;'1-Input'!$B$26,E509,E509-MIN(MAX(E509,0),'P-Parametri'!$B$8*(E509+D509)))</f>
        <v>398710.18327917508</v>
      </c>
      <c r="H509" s="18">
        <f>IF($A509&gt;'1-Input'!$B$26,H508,H508-C509*(1-B509))</f>
        <v>304004.8345612823</v>
      </c>
      <c r="I509" s="11">
        <f>IF($A509&gt;'1-Input'!$B$26,0,IF(N508&lt;=0,0,MAX(0,(N508-O508)/N508)))</f>
        <v>0.21635653419729484</v>
      </c>
      <c r="J509" s="18">
        <f>IF($A509&gt;'1-Input'!$B$26,0,(MAX(0,I506-IF($A509&gt;='1-Input'!$C$12,'1-Input'!$B$12,0))-MIN(MAX(M508,0),MAX(0,I506-IF($A509&gt;='1-Input'!$C$12,'1-Input'!$B$12,0))))*(1/(1-'P-Parametri'!$B$6*I509))+MIN(MAX(0,N508-(MAX(0,I506-IF($A509&gt;='1-Input'!$C$12,'1-Input'!$B$12,0))-MIN(MAX(M508,0),MAX(0,I506-IF($A509&gt;='1-Input'!$C$12,'1-Input'!$B$12,0))))*(1/(1-'P-Parametri'!$B$6*I509))),MAX(0,2*I506-(M508-MIN(MAX(M508,0),MAX(0,I506-IF($A509&gt;='1-Input'!$C$12,'1-Input'!$B$12,0)))))*(1/(1-'P-Parametri'!$B$6*I509))))</f>
        <v>23257.027561449497</v>
      </c>
      <c r="K509" s="18">
        <f>IF($A509&gt;'1-Input'!$B$26,M508,(M508-MAX(0,I506-IF($A509&gt;='1-Input'!$C$12,'1-Input'!$B$12,0))+J509*(1-'P-Parametri'!$B$6*I509))*(1+'1-Input'!$B$27))</f>
        <v>43739.482935508291</v>
      </c>
      <c r="L509" s="18">
        <f>IF($A509&gt;'1-Input'!$B$26,N508,(N508-J509)*(1+$C$4))</f>
        <v>382975.21626060491</v>
      </c>
      <c r="M509" s="18">
        <f>IF($A509&gt;'1-Input'!$B$26,K509,K509-'P-Parametri'!$B$8*(L509+K509)+MIN(MAX(L509,0),'P-Parametri'!$B$8*(L509+K509)))</f>
        <v>43739.482935508291</v>
      </c>
      <c r="N509" s="18">
        <f>IF($A509&gt;'1-Input'!$B$26,L509,L509-MIN(MAX(L509,0),'P-Parametri'!$B$8*(L509+K509)))</f>
        <v>382121.7868622127</v>
      </c>
      <c r="O509" s="18">
        <f>IF($A509&gt;'1-Input'!$B$26,O508,O508-J509*(1-I509))</f>
        <v>291374.7823174767</v>
      </c>
      <c r="P509" s="11">
        <f>IF($A509&gt;'1-Input'!$B$26,0,IF(U508&lt;=0,0,MAX(0,(U508-V508)/U508)))</f>
        <v>0.21635653419729486</v>
      </c>
      <c r="Q509" s="18">
        <f>IF($A509&gt;'1-Input'!$B$26,0,(MAX(0,P506-IF($A509&gt;='1-Input'!$C$12,'1-Input'!$B$12,0))-MIN(MAX(T508,0),MAX(0,P506-IF($A509&gt;='1-Input'!$C$12,'1-Input'!$B$12,0))))*(1/(1-'P-Parametri'!$B$6*P509))+MIN(MAX(0,U508-(MAX(0,P506-IF($A509&gt;='1-Input'!$C$12,'1-Input'!$B$12,0))-MIN(MAX(T508,0),MAX(0,P506-IF($A509&gt;='1-Input'!$C$12,'1-Input'!$B$12,0))))*(1/(1-'P-Parametri'!$B$6*P509))),MAX(0,2*P506-(T508-MIN(MAX(T508,0),MAX(0,P506-IF($A509&gt;='1-Input'!$C$12,'1-Input'!$B$12,0)))))*(1/(1-'P-Parametri'!$B$6*P509))))</f>
        <v>19241.923087785985</v>
      </c>
      <c r="R509" s="18">
        <f>IF($A509&gt;'1-Input'!$B$26,T508,(T508-MAX(0,P506-IF($A509&gt;='1-Input'!$C$12,'1-Input'!$B$12,0))+Q509*(1-'P-Parametri'!$B$6*P509))*(1+'1-Input'!$B$27))</f>
        <v>36188.277471006419</v>
      </c>
      <c r="S509" s="18">
        <f>IF($A509&gt;'1-Input'!$B$26,U508,(U508-Q509)*(1+$C$4))</f>
        <v>394916.61653049849</v>
      </c>
      <c r="T509" s="18">
        <f>IF($A509&gt;'1-Input'!$B$26,R509,R509-'P-Parametri'!$B$8*(S509+R509)+MIN(MAX(S509,0),'P-Parametri'!$B$8*(S509+R509)))</f>
        <v>36188.277471006419</v>
      </c>
      <c r="U509" s="18">
        <f>IF($A509&gt;'1-Input'!$B$26,S509,S509-MIN(MAX(S509,0),'P-Parametri'!$B$8*(S509+R509)))</f>
        <v>394054.40674249548</v>
      </c>
      <c r="V509" s="18">
        <f>IF($A509&gt;'1-Input'!$B$26,V508,V508-Q509*(1-P509))</f>
        <v>300460.02532139589</v>
      </c>
      <c r="W509" s="11">
        <f>IF($A509&gt;'1-Input'!$B$26,0,IF(AB508&lt;=0,0,MAX(0,(AB508-AC508)/AB508)))</f>
        <v>0.21635653419729478</v>
      </c>
      <c r="X509" s="18">
        <f>IF($A509&gt;'1-Input'!$B$26,0,(MAX(0,W506-IF($A509&gt;='1-Input'!$C$12,'1-Input'!$B$12,0))-MIN(MAX(AA508,0),MAX(0,W506-IF($A509&gt;='1-Input'!$C$12,'1-Input'!$B$12,0))))*(1/(1-'P-Parametri'!$B$6*W509))+MIN(MAX(0,AB508-(MAX(0,W506-IF($A509&gt;='1-Input'!$C$12,'1-Input'!$B$12,0))-MIN(MAX(AA508,0),MAX(0,W506-IF($A509&gt;='1-Input'!$C$12,'1-Input'!$B$12,0))))*(1/(1-'P-Parametri'!$B$6*W509))),MAX(0,2*W506-(AA508-MIN(MAX(AA508,0),MAX(0,W506-IF($A509&gt;='1-Input'!$C$12,'1-Input'!$B$12,0)))))*(1/(1-'P-Parametri'!$B$6*W509))))</f>
        <v>19028.985448961841</v>
      </c>
      <c r="Y509" s="18">
        <f>IF($A509&gt;'1-Input'!$B$26,AA508,(AA508-MAX(0,W506-IF($A509&gt;='1-Input'!$C$12,'1-Input'!$B$12,0))+X509*(1-'P-Parametri'!$B$6*W509))*(1+'1-Input'!$B$27))</f>
        <v>35787.805734234928</v>
      </c>
      <c r="Z509" s="18">
        <f>IF($A509&gt;'1-Input'!$B$26,AB508,(AB508-X509)*(1+$C$4))</f>
        <v>395549.91850169358</v>
      </c>
      <c r="AA509" s="18">
        <f>IF($A509&gt;'1-Input'!$B$26,Y509,Y509-'P-Parametri'!$B$8*(Z509+Y509)+MIN(MAX(Z509,0),'P-Parametri'!$B$8*(Z509+Y509)))</f>
        <v>35787.805734234928</v>
      </c>
      <c r="AB509" s="18">
        <f>IF($A509&gt;'1-Input'!$B$26,Z509,Z509-MIN(MAX(Z509,0),'P-Parametri'!$B$8*(Z509+Y509)))</f>
        <v>394687.24305322173</v>
      </c>
      <c r="AC509" s="18">
        <f>IF($A509&gt;'1-Input'!$B$26,AC508,AC508-X509*(1-W509))</f>
        <v>300941.85342975217</v>
      </c>
      <c r="AD509" s="11">
        <f>IF($A509&gt;'1-Input'!$B$26,0,IF(AI508&lt;=0,0,MAX(0,(AI508-AJ508)/AI508)))</f>
        <v>0.21635653419729489</v>
      </c>
      <c r="AE509" s="18">
        <f>IF($A509&gt;'1-Input'!$B$26,0,(MAX(0,AD506-IF($A509&gt;='1-Input'!$C$12,'1-Input'!$B$12,0))-MIN(MAX(AH508,0),MAX(0,AD506-IF($A509&gt;='1-Input'!$C$12,'1-Input'!$B$12,0))))*(1/(1-'P-Parametri'!$B$6*AD509))+MIN(MAX(0,AI508-(MAX(0,AD506-IF($A509&gt;='1-Input'!$C$12,'1-Input'!$B$12,0))-MIN(MAX(AH508,0),MAX(0,AD506-IF($A509&gt;='1-Input'!$C$12,'1-Input'!$B$12,0))))*(1/(1-'P-Parametri'!$B$6*AD509))),MAX(0,2*AD506-(AH508-MIN(MAX(AH508,0),MAX(0,AD506-IF($A509&gt;='1-Input'!$C$12,'1-Input'!$B$12,0)))))*(1/(1-'P-Parametri'!$B$6*AD509))))</f>
        <v>19014.311386009267</v>
      </c>
      <c r="AF509" s="18">
        <f>IF($A509&gt;'1-Input'!$B$26,AH508,(AH508-MAX(0,AD506-IF($A509&gt;='1-Input'!$C$12,'1-Input'!$B$12,0))+AE509*(1-'P-Parametri'!$B$6*AD509))*(1+'1-Input'!$B$27))</f>
        <v>35760.208229591961</v>
      </c>
      <c r="AG509" s="18">
        <f>IF($A509&gt;'1-Input'!$B$26,AI508,(AI508-AE509)*(1+$C$4))</f>
        <v>395593.56091758877</v>
      </c>
      <c r="AH509" s="18">
        <f>IF($A509&gt;'1-Input'!$B$26,AF509,AF509-'P-Parametri'!$B$8*(AG509+AF509)+MIN(MAX(AG509,0),'P-Parametri'!$B$8*(AG509+AF509)))</f>
        <v>35760.208229591961</v>
      </c>
      <c r="AI509" s="18">
        <f>IF($A509&gt;'1-Input'!$B$26,AG509,AG509-MIN(MAX(AG509,0),'P-Parametri'!$B$8*(AG509+AF509)))</f>
        <v>394730.85337929439</v>
      </c>
      <c r="AJ509" s="18">
        <f>IF($A509&gt;'1-Input'!$B$26,AJ508,AJ508-AE509*(1-AD509))</f>
        <v>300975.05740455614</v>
      </c>
      <c r="AK509" s="11">
        <f>IF($A509&gt;'1-Input'!$B$26,0,IF(AP508&lt;=0,0,MAX(0,(AP508-AQ508)/AP508)))</f>
        <v>0.21635653419729478</v>
      </c>
      <c r="AL509" s="18">
        <f>IF($A509&gt;'1-Input'!$B$26,0,(MAX(0,AK506-IF($A509&gt;='1-Input'!$C$12,'1-Input'!$B$12,0))-MIN(MAX(AO508,0),MAX(0,AK506-IF($A509&gt;='1-Input'!$C$12,'1-Input'!$B$12,0))))*(1/(1-'P-Parametri'!$B$6*AK509))+MIN(MAX(0,AP508-(MAX(0,AK506-IF($A509&gt;='1-Input'!$C$12,'1-Input'!$B$12,0))-MIN(MAX(AO508,0),MAX(0,AK506-IF($A509&gt;='1-Input'!$C$12,'1-Input'!$B$12,0))))*(1/(1-'P-Parametri'!$B$6*AK509))),MAX(0,2*AK506-(AO508-MIN(MAX(AO508,0),MAX(0,AK506-IF($A509&gt;='1-Input'!$C$12,'1-Input'!$B$12,0)))))*(1/(1-'P-Parametri'!$B$6*AK509))))</f>
        <v>19014.276591844729</v>
      </c>
      <c r="AM509" s="18">
        <f>IF($A509&gt;'1-Input'!$B$26,AO508,(AO508-MAX(0,AK506-IF($A509&gt;='1-Input'!$C$12,'1-Input'!$B$12,0))+AL509*(1-'P-Parametri'!$B$6*AK509))*(1+'1-Input'!$B$27))</f>
        <v>35760.142792219878</v>
      </c>
      <c r="AN509" s="18">
        <f>IF($A509&gt;'1-Input'!$B$26,AP508,(AP508-AL509)*(1+$C$4))</f>
        <v>395593.66439958994</v>
      </c>
      <c r="AO509" s="18">
        <f>IF($A509&gt;'1-Input'!$B$26,AM509,AM509-'P-Parametri'!$B$8*(AN509+AM509)+MIN(MAX(AN509,0),'P-Parametri'!$B$8*(AN509+AM509)))</f>
        <v>35760.142792219878</v>
      </c>
      <c r="AP509" s="18">
        <f>IF($A509&gt;'1-Input'!$B$26,AN509,AN509-MIN(MAX(AN509,0),'P-Parametri'!$B$8*(AN509+AM509)))</f>
        <v>394730.95678520633</v>
      </c>
      <c r="AQ509" s="18">
        <f>IF($A509&gt;'1-Input'!$B$26,AQ508,AQ508-AL509*(1-AK509))</f>
        <v>300975.13613561832</v>
      </c>
    </row>
    <row r="510" spans="1:43">
      <c r="A510" s="10">
        <f>2</f>
        <v>2</v>
      </c>
      <c r="B510" s="11">
        <f>IF($A510&gt;'1-Input'!$B$26,0,IF(G509&lt;=0,0,MAX(0,(G509-H509)/G509)))</f>
        <v>0.23752929493546573</v>
      </c>
      <c r="C510" s="18">
        <f>IF($A510&gt;'1-Input'!$B$26,0,(MAX(0,B506-IF($A510&gt;='1-Input'!$C$12,'1-Input'!$B$12,0))-MIN(MAX(F509,0),MAX(0,B506-IF($A510&gt;='1-Input'!$C$12,'1-Input'!$B$12,0))))*(1/(1-'P-Parametri'!$B$6*B510))+MIN(MAX(0,G509-(MAX(0,B506-IF($A510&gt;='1-Input'!$C$12,'1-Input'!$B$12,0))-MIN(MAX(F509,0),MAX(0,B506-IF($A510&gt;='1-Input'!$C$12,'1-Input'!$B$12,0))))*(1/(1-'P-Parametri'!$B$6*B510))),MAX(0,2*B506-(F509-MIN(MAX(F509,0),MAX(0,B506-IF($A510&gt;='1-Input'!$C$12,'1-Input'!$B$12,0)))))*(1/(1-'P-Parametri'!$B$6*B510))))</f>
        <v>17907.056014137157</v>
      </c>
      <c r="D510" s="18">
        <f>IF($A510&gt;'1-Input'!$B$26,F509,(F509-MAX(0,B506-IF($A510&gt;='1-Input'!$C$12,'1-Input'!$B$12,0))+C510*(1-'P-Parametri'!$B$6*B510))*(1+'1-Input'!$B$27))</f>
        <v>33242.0070309863</v>
      </c>
      <c r="E510" s="18">
        <f>IF($A510&gt;'1-Input'!$B$26,G509,(G509-C510)*(1+$C$4))</f>
        <v>392227.22108298907</v>
      </c>
      <c r="F510" s="18">
        <f>IF($A510&gt;'1-Input'!$B$26,D510,D510-'P-Parametri'!$B$8*(E510+D510)+MIN(MAX(E510,0),'P-Parametri'!$B$8*(E510+D510)))</f>
        <v>33242.0070309863</v>
      </c>
      <c r="G510" s="18">
        <f>IF($A510&gt;'1-Input'!$B$26,E510,E510-MIN(MAX(E510,0),'P-Parametri'!$B$8*(E510+D510)))</f>
        <v>391376.28262676112</v>
      </c>
      <c r="H510" s="18">
        <f>IF($A510&gt;'1-Input'!$B$26,H509,H509-C510*(1-B510))</f>
        <v>290351.22893655306</v>
      </c>
      <c r="I510" s="11">
        <f>IF($A510&gt;'1-Input'!$B$26,0,IF(N509&lt;=0,0,MAX(0,(N509-O509)/N509)))</f>
        <v>0.23748189102197931</v>
      </c>
      <c r="J510" s="18">
        <f>IF($A510&gt;'1-Input'!$B$26,0,(MAX(0,I506-IF($A510&gt;='1-Input'!$C$12,'1-Input'!$B$12,0))-MIN(MAX(M509,0),MAX(0,I506-IF($A510&gt;='1-Input'!$C$12,'1-Input'!$B$12,0))))*(1/(1-'P-Parametri'!$B$6*I510))+MIN(MAX(0,N509-(MAX(0,I506-IF($A510&gt;='1-Input'!$C$12,'1-Input'!$B$12,0))-MIN(MAX(M509,0),MAX(0,I506-IF($A510&gt;='1-Input'!$C$12,'1-Input'!$B$12,0))))*(1/(1-'P-Parametri'!$B$6*I510))),MAX(0,2*I506-(M509-MIN(MAX(M509,0),MAX(0,I506-IF($A510&gt;='1-Input'!$C$12,'1-Input'!$B$12,0)))))*(1/(1-'P-Parametri'!$B$6*I510))))</f>
        <v>23561.606296146056</v>
      </c>
      <c r="K510" s="18">
        <f>IF($A510&gt;'1-Input'!$B$26,M509,(M509-MAX(0,I506-IF($A510&gt;='1-Input'!$C$12,'1-Input'!$B$12,0))+J510*(1-'P-Parametri'!$B$6*I510))*(1+'1-Input'!$B$27))</f>
        <v>43739.482935508291</v>
      </c>
      <c r="L510" s="18">
        <f>IF($A510&gt;'1-Input'!$B$26,N509,(N509-J510)*(1+$C$4))</f>
        <v>369316.98598304862</v>
      </c>
      <c r="M510" s="18">
        <f>IF($A510&gt;'1-Input'!$B$26,K510,K510-'P-Parametri'!$B$8*(L510+K510)+MIN(MAX(L510,0),'P-Parametri'!$B$8*(L510+K510)))</f>
        <v>43739.482935508291</v>
      </c>
      <c r="N510" s="18">
        <f>IF($A510&gt;'1-Input'!$B$26,L510,L510-MIN(MAX(L510,0),'P-Parametri'!$B$8*(L510+K510)))</f>
        <v>368490.87304521148</v>
      </c>
      <c r="O510" s="18">
        <f>IF($A510&gt;'1-Input'!$B$26,O509,O509-J510*(1-I510))</f>
        <v>273408.63084005477</v>
      </c>
      <c r="P510" s="11">
        <f>IF($A510&gt;'1-Input'!$B$26,0,IF(U509&lt;=0,0,MAX(0,(U509-V509)/U509)))</f>
        <v>0.23751639321790693</v>
      </c>
      <c r="Q510" s="18">
        <f>IF($A510&gt;'1-Input'!$B$26,0,(MAX(0,P506-IF($A510&gt;='1-Input'!$C$12,'1-Input'!$B$12,0))-MIN(MAX(T509,0),MAX(0,P506-IF($A510&gt;='1-Input'!$C$12,'1-Input'!$B$12,0))))*(1/(1-'P-Parametri'!$B$6*P510))+MIN(MAX(0,U509-(MAX(0,P506-IF($A510&gt;='1-Input'!$C$12,'1-Input'!$B$12,0))-MIN(MAX(T509,0),MAX(0,P506-IF($A510&gt;='1-Input'!$C$12,'1-Input'!$B$12,0))))*(1/(1-'P-Parametri'!$B$6*P510))),MAX(0,2*P506-(T509-MIN(MAX(T509,0),MAX(0,P506-IF($A510&gt;='1-Input'!$C$12,'1-Input'!$B$12,0)))))*(1/(1-'P-Parametri'!$B$6*P510))))</f>
        <v>19494.105584015757</v>
      </c>
      <c r="R510" s="18">
        <f>IF($A510&gt;'1-Input'!$B$26,T509,(T509-MAX(0,P506-IF($A510&gt;='1-Input'!$C$12,'1-Input'!$B$12,0))+Q510*(1-'P-Parametri'!$B$6*P510))*(1+'1-Input'!$B$27))</f>
        <v>36188.277471006419</v>
      </c>
      <c r="S510" s="18">
        <f>IF($A510&gt;'1-Input'!$B$26,U509,(U509-Q510)*(1+$C$4))</f>
        <v>385797.11019323411</v>
      </c>
      <c r="T510" s="18">
        <f>IF($A510&gt;'1-Input'!$B$26,R510,R510-'P-Parametri'!$B$8*(S510+R510)+MIN(MAX(S510,0),'P-Parametri'!$B$8*(S510+R510)))</f>
        <v>36188.277471006419</v>
      </c>
      <c r="U510" s="18">
        <f>IF($A510&gt;'1-Input'!$B$26,S510,S510-MIN(MAX(S510,0),'P-Parametri'!$B$8*(S510+R510)))</f>
        <v>384953.13941790565</v>
      </c>
      <c r="V510" s="18">
        <f>IF($A510&gt;'1-Input'!$B$26,V509,V509-Q510*(1-P510))</f>
        <v>285596.0893847046</v>
      </c>
      <c r="W510" s="11">
        <f>IF($A510&gt;'1-Input'!$B$26,0,IF(AB509&lt;=0,0,MAX(0,(AB509-AC509)/AB509)))</f>
        <v>0.2375181647581866</v>
      </c>
      <c r="X510" s="18">
        <f>IF($A510&gt;'1-Input'!$B$26,0,(MAX(0,W506-IF($A510&gt;='1-Input'!$C$12,'1-Input'!$B$12,0))-MIN(MAX(AA509,0),MAX(0,W506-IF($A510&gt;='1-Input'!$C$12,'1-Input'!$B$12,0))))*(1/(1-'P-Parametri'!$B$6*W510))+MIN(MAX(0,AB509-(MAX(0,W506-IF($A510&gt;='1-Input'!$C$12,'1-Input'!$B$12,0))-MIN(MAX(AA509,0),MAX(0,W506-IF($A510&gt;='1-Input'!$C$12,'1-Input'!$B$12,0))))*(1/(1-'P-Parametri'!$B$6*W510))),MAX(0,2*W506-(AA509-MIN(MAX(AA509,0),MAX(0,W506-IF($A510&gt;='1-Input'!$C$12,'1-Input'!$B$12,0)))))*(1/(1-'P-Parametri'!$B$6*W510))))</f>
        <v>19278.386672346391</v>
      </c>
      <c r="Y510" s="18">
        <f>IF($A510&gt;'1-Input'!$B$26,AA509,(AA509-MAX(0,W506-IF($A510&gt;='1-Input'!$C$12,'1-Input'!$B$12,0))+X510*(1-'P-Parametri'!$B$6*W510))*(1+'1-Input'!$B$27))</f>
        <v>35787.805734234928</v>
      </c>
      <c r="Z510" s="18">
        <f>IF($A510&gt;'1-Input'!$B$26,AB509,(AB509-X510)*(1+$C$4))</f>
        <v>386671.12207230163</v>
      </c>
      <c r="AA510" s="18">
        <f>IF($A510&gt;'1-Input'!$B$26,Y510,Y510-'P-Parametri'!$B$8*(Z510+Y510)+MIN(MAX(Z510,0),'P-Parametri'!$B$8*(Z510+Y510)))</f>
        <v>35787.805734234928</v>
      </c>
      <c r="AB510" s="18">
        <f>IF($A510&gt;'1-Input'!$B$26,Z510,Z510-MIN(MAX(Z510,0),'P-Parametri'!$B$8*(Z510+Y510)))</f>
        <v>385826.20421668858</v>
      </c>
      <c r="AC510" s="18">
        <f>IF($A510&gt;'1-Input'!$B$26,AC509,AC509-X510*(1-W510))</f>
        <v>286242.43377932016</v>
      </c>
      <c r="AD510" s="11">
        <f>IF($A510&gt;'1-Input'!$B$26,0,IF(AI509&lt;=0,0,MAX(0,(AI509-AJ509)/AI509)))</f>
        <v>0.23751828663022928</v>
      </c>
      <c r="AE510" s="18">
        <f>IF($A510&gt;'1-Input'!$B$26,0,(MAX(0,AD506-IF($A510&gt;='1-Input'!$C$12,'1-Input'!$B$12,0))-MIN(MAX(AH509,0),MAX(0,AD506-IF($A510&gt;='1-Input'!$C$12,'1-Input'!$B$12,0))))*(1/(1-'P-Parametri'!$B$6*AD510))+MIN(MAX(0,AI509-(MAX(0,AD506-IF($A510&gt;='1-Input'!$C$12,'1-Input'!$B$12,0))-MIN(MAX(AH509,0),MAX(0,AD506-IF($A510&gt;='1-Input'!$C$12,'1-Input'!$B$12,0))))*(1/(1-'P-Parametri'!$B$6*AD510))),MAX(0,2*AD506-(AH509-MIN(MAX(AH509,0),MAX(0,AD506-IF($A510&gt;='1-Input'!$C$12,'1-Input'!$B$12,0)))))*(1/(1-'P-Parametri'!$B$6*AD510))))</f>
        <v>19263.520936038531</v>
      </c>
      <c r="AF510" s="18">
        <f>IF($A510&gt;'1-Input'!$B$26,AH509,(AH509-MAX(0,AD506-IF($A510&gt;='1-Input'!$C$12,'1-Input'!$B$12,0))+AE510*(1-'P-Parametri'!$B$6*AD510))*(1+'1-Input'!$B$27))</f>
        <v>35760.208229591961</v>
      </c>
      <c r="AG510" s="18">
        <f>IF($A510&gt;'1-Input'!$B$26,AI509,(AI509-AE510)*(1+$C$4))</f>
        <v>386731.35241655353</v>
      </c>
      <c r="AH510" s="18">
        <f>IF($A510&gt;'1-Input'!$B$26,AF510,AF510-'P-Parametri'!$B$8*(AG510+AF510)+MIN(MAX(AG510,0),'P-Parametri'!$B$8*(AG510+AF510)))</f>
        <v>35760.208229591961</v>
      </c>
      <c r="AI510" s="18">
        <f>IF($A510&gt;'1-Input'!$B$26,AG510,AG510-MIN(MAX(AG510,0),'P-Parametri'!$B$8*(AG510+AF510)))</f>
        <v>385886.36929526122</v>
      </c>
      <c r="AJ510" s="18">
        <f>IF($A510&gt;'1-Input'!$B$26,AJ509,AJ509-AE510*(1-AD510))</f>
        <v>286286.97495571105</v>
      </c>
      <c r="AK510" s="11">
        <f>IF($A510&gt;'1-Input'!$B$26,0,IF(AP509&lt;=0,0,MAX(0,(AP509-AQ509)/AP509)))</f>
        <v>0.23751828691917223</v>
      </c>
      <c r="AL510" s="18">
        <f>IF($A510&gt;'1-Input'!$B$26,0,(MAX(0,AK506-IF($A510&gt;='1-Input'!$C$12,'1-Input'!$B$12,0))-MIN(MAX(AO509,0),MAX(0,AK506-IF($A510&gt;='1-Input'!$C$12,'1-Input'!$B$12,0))))*(1/(1-'P-Parametri'!$B$6*AK510))+MIN(MAX(0,AP509-(MAX(0,AK506-IF($A510&gt;='1-Input'!$C$12,'1-Input'!$B$12,0))-MIN(MAX(AO509,0),MAX(0,AK506-IF($A510&gt;='1-Input'!$C$12,'1-Input'!$B$12,0))))*(1/(1-'P-Parametri'!$B$6*AK510))),MAX(0,2*AK506-(AO509-MIN(MAX(AO509,0),MAX(0,AK506-IF($A510&gt;='1-Input'!$C$12,'1-Input'!$B$12,0)))))*(1/(1-'P-Parametri'!$B$6*AK510))))</f>
        <v>19263.485687389482</v>
      </c>
      <c r="AM510" s="18">
        <f>IF($A510&gt;'1-Input'!$B$26,AO509,(AO509-MAX(0,AK506-IF($A510&gt;='1-Input'!$C$12,'1-Input'!$B$12,0))+AL510*(1-'P-Parametri'!$B$6*AK510))*(1+'1-Input'!$B$27))</f>
        <v>35760.142792219878</v>
      </c>
      <c r="AN510" s="18">
        <f>IF($A510&gt;'1-Input'!$B$26,AP509,(AP509-AL510)*(1+$C$4))</f>
        <v>386731.49523075134</v>
      </c>
      <c r="AO510" s="18">
        <f>IF($A510&gt;'1-Input'!$B$26,AM510,AM510-'P-Parametri'!$B$8*(AN510+AM510)+MIN(MAX(AN510,0),'P-Parametri'!$B$8*(AN510+AM510)))</f>
        <v>35760.142792219878</v>
      </c>
      <c r="AP510" s="18">
        <f>IF($A510&gt;'1-Input'!$B$26,AN510,AN510-MIN(MAX(AN510,0),'P-Parametri'!$B$8*(AN510+AM510)))</f>
        <v>385886.51195470541</v>
      </c>
      <c r="AQ510" s="18">
        <f>IF($A510&gt;'1-Input'!$B$26,AQ509,AQ509-AL510*(1-AK510))</f>
        <v>286287.08056878956</v>
      </c>
    </row>
    <row r="511" spans="1:43">
      <c r="A511" s="10">
        <f>3</f>
        <v>3</v>
      </c>
      <c r="B511" s="11">
        <f>IF($A511&gt;'1-Input'!$B$26,0,IF(G510&lt;=0,0,MAX(0,(G510-H510)/G510)))</f>
        <v>0.25812768472368408</v>
      </c>
      <c r="C511" s="18">
        <f>IF($A511&gt;'1-Input'!$B$26,0,(MAX(0,B506-IF($A511&gt;='1-Input'!$C$12,'1-Input'!$B$12,0))-MIN(MAX(F510,0),MAX(0,B506-IF($A511&gt;='1-Input'!$C$12,'1-Input'!$B$12,0))))*(1/(1-'P-Parametri'!$B$6*B511))+MIN(MAX(0,G510-(MAX(0,B506-IF($A511&gt;='1-Input'!$C$12,'1-Input'!$B$12,0))-MIN(MAX(F510,0),MAX(0,B506-IF($A511&gt;='1-Input'!$C$12,'1-Input'!$B$12,0))))*(1/(1-'P-Parametri'!$B$6*B511))),MAX(0,2*B506-(F510-MIN(MAX(F510,0),MAX(0,B506-IF($A511&gt;='1-Input'!$C$12,'1-Input'!$B$12,0)))))*(1/(1-'P-Parametri'!$B$6*B511))))</f>
        <v>18009.85808500936</v>
      </c>
      <c r="D511" s="18">
        <f>IF($A511&gt;'1-Input'!$B$26,F510,(F510-MAX(0,B506-IF($A511&gt;='1-Input'!$C$12,'1-Input'!$B$12,0))+C511*(1-'P-Parametri'!$B$6*B511))*(1+'1-Input'!$B$27))</f>
        <v>33242.0070309863</v>
      </c>
      <c r="E511" s="18">
        <f>IF($A511&gt;'1-Input'!$B$26,G510,(G510-C511)*(1+$C$4))</f>
        <v>384567.41727800429</v>
      </c>
      <c r="F511" s="18">
        <f>IF($A511&gt;'1-Input'!$B$26,D511,D511-'P-Parametri'!$B$8*(E511+D511)+MIN(MAX(E511,0),'P-Parametri'!$B$8*(E511+D511)))</f>
        <v>33242.0070309863</v>
      </c>
      <c r="G511" s="18">
        <f>IF($A511&gt;'1-Input'!$B$26,E511,E511-MIN(MAX(E511,0),'P-Parametri'!$B$8*(E511+D511)))</f>
        <v>383731.79842938628</v>
      </c>
      <c r="H511" s="18">
        <f>IF($A511&gt;'1-Input'!$B$26,H510,H510-C511*(1-B511))</f>
        <v>276990.21382122929</v>
      </c>
      <c r="I511" s="11">
        <f>IF($A511&gt;'1-Input'!$B$26,0,IF(N510&lt;=0,0,MAX(0,(N510-O510)/N510)))</f>
        <v>0.25803147149723493</v>
      </c>
      <c r="J511" s="18">
        <f>IF($A511&gt;'1-Input'!$B$26,0,(MAX(0,I506-IF($A511&gt;='1-Input'!$C$12,'1-Input'!$B$12,0))-MIN(MAX(M510,0),MAX(0,I506-IF($A511&gt;='1-Input'!$C$12,'1-Input'!$B$12,0))))*(1/(1-'P-Parametri'!$B$6*I511))+MIN(MAX(0,N510-(MAX(0,I506-IF($A511&gt;='1-Input'!$C$12,'1-Input'!$B$12,0))-MIN(MAX(M510,0),MAX(0,I506-IF($A511&gt;='1-Input'!$C$12,'1-Input'!$B$12,0))))*(1/(1-'P-Parametri'!$B$6*I511))),MAX(0,2*I506-(M510-MIN(MAX(M510,0),MAX(0,I506-IF($A511&gt;='1-Input'!$C$12,'1-Input'!$B$12,0)))))*(1/(1-'P-Parametri'!$B$6*I511))))</f>
        <v>23696.546265899819</v>
      </c>
      <c r="K511" s="18">
        <f>IF($A511&gt;'1-Input'!$B$26,M510,(M510-MAX(0,I506-IF($A511&gt;='1-Input'!$C$12,'1-Input'!$B$12,0))+J511*(1-'P-Parametri'!$B$6*I511))*(1+'1-Input'!$B$27))</f>
        <v>43739.482935508291</v>
      </c>
      <c r="L511" s="18">
        <f>IF($A511&gt;'1-Input'!$B$26,N510,(N510-J511)*(1+$C$4))</f>
        <v>355138.15658269101</v>
      </c>
      <c r="M511" s="18">
        <f>IF($A511&gt;'1-Input'!$B$26,K511,K511-'P-Parametri'!$B$8*(L511+K511)+MIN(MAX(L511,0),'P-Parametri'!$B$8*(L511+K511)))</f>
        <v>43739.482935508291</v>
      </c>
      <c r="N511" s="18">
        <f>IF($A511&gt;'1-Input'!$B$26,L511,L511-MIN(MAX(L511,0),'P-Parametri'!$B$8*(L511+K511)))</f>
        <v>354340.40130365459</v>
      </c>
      <c r="O511" s="18">
        <f>IF($A511&gt;'1-Input'!$B$26,O510,O510-J511*(1-I511))</f>
        <v>255826.53927654738</v>
      </c>
      <c r="P511" s="11">
        <f>IF($A511&gt;'1-Input'!$B$26,0,IF(U510&lt;=0,0,MAX(0,(U510-V510)/U510)))</f>
        <v>0.25810167487772817</v>
      </c>
      <c r="Q511" s="18">
        <f>IF($A511&gt;'1-Input'!$B$26,0,(MAX(0,P506-IF($A511&gt;='1-Input'!$C$12,'1-Input'!$B$12,0))-MIN(MAX(T510,0),MAX(0,P506-IF($A511&gt;='1-Input'!$C$12,'1-Input'!$B$12,0))))*(1/(1-'P-Parametri'!$B$6*P511))+MIN(MAX(0,U510-(MAX(0,P506-IF($A511&gt;='1-Input'!$C$12,'1-Input'!$B$12,0))-MIN(MAX(T510,0),MAX(0,P506-IF($A511&gt;='1-Input'!$C$12,'1-Input'!$B$12,0))))*(1/(1-'P-Parametri'!$B$6*P511))),MAX(0,2*P506-(T510-MIN(MAX(T510,0),MAX(0,P506-IF($A511&gt;='1-Input'!$C$12,'1-Input'!$B$12,0)))))*(1/(1-'P-Parametri'!$B$6*P511))))</f>
        <v>19605.946670766327</v>
      </c>
      <c r="R511" s="18">
        <f>IF($A511&gt;'1-Input'!$B$26,T510,(T510-MAX(0,P506-IF($A511&gt;='1-Input'!$C$12,'1-Input'!$B$12,0))+Q511*(1-'P-Parametri'!$B$6*P511))*(1+'1-Input'!$B$27))</f>
        <v>36188.277471006419</v>
      </c>
      <c r="S511" s="18">
        <f>IF($A511&gt;'1-Input'!$B$26,U510,(U510-Q511)*(1+$C$4))</f>
        <v>376307.60852955352</v>
      </c>
      <c r="T511" s="18">
        <f>IF($A511&gt;'1-Input'!$B$26,R511,R511-'P-Parametri'!$B$8*(S511+R511)+MIN(MAX(S511,0),'P-Parametri'!$B$8*(S511+R511)))</f>
        <v>36188.277471006419</v>
      </c>
      <c r="U511" s="18">
        <f>IF($A511&gt;'1-Input'!$B$26,S511,S511-MIN(MAX(S511,0),'P-Parametri'!$B$8*(S511+R511)))</f>
        <v>375482.61675755237</v>
      </c>
      <c r="V511" s="18">
        <f>IF($A511&gt;'1-Input'!$B$26,V510,V510-Q511*(1-P511))</f>
        <v>271050.47038722649</v>
      </c>
      <c r="W511" s="11">
        <f>IF($A511&gt;'1-Input'!$B$26,0,IF(AB510&lt;=0,0,MAX(0,(AB510-AC510)/AB510)))</f>
        <v>0.25810525399524176</v>
      </c>
      <c r="X511" s="18">
        <f>IF($A511&gt;'1-Input'!$B$26,0,(MAX(0,W506-IF($A511&gt;='1-Input'!$C$12,'1-Input'!$B$12,0))-MIN(MAX(AA510,0),MAX(0,W506-IF($A511&gt;='1-Input'!$C$12,'1-Input'!$B$12,0))))*(1/(1-'P-Parametri'!$B$6*W511))+MIN(MAX(0,AB510-(MAX(0,W506-IF($A511&gt;='1-Input'!$C$12,'1-Input'!$B$12,0))-MIN(MAX(AA510,0),MAX(0,W506-IF($A511&gt;='1-Input'!$C$12,'1-Input'!$B$12,0))))*(1/(1-'P-Parametri'!$B$6*W511))),MAX(0,2*W506-(AA510-MIN(MAX(AA510,0),MAX(0,W506-IF($A511&gt;='1-Input'!$C$12,'1-Input'!$B$12,0)))))*(1/(1-'P-Parametri'!$B$6*W511))))</f>
        <v>19388.999964384133</v>
      </c>
      <c r="Y511" s="18">
        <f>IF($A511&gt;'1-Input'!$B$26,AA510,(AA510-MAX(0,W506-IF($A511&gt;='1-Input'!$C$12,'1-Input'!$B$12,0))+X511*(1-'P-Parametri'!$B$6*W511))*(1+'1-Input'!$B$27))</f>
        <v>35787.805734234928</v>
      </c>
      <c r="Z511" s="18">
        <f>IF($A511&gt;'1-Input'!$B$26,AB510,(AB510-X511)*(1+$C$4))</f>
        <v>377430.32037987362</v>
      </c>
      <c r="AA511" s="18">
        <f>IF($A511&gt;'1-Input'!$B$26,Y511,Y511-'P-Parametri'!$B$8*(Z511+Y511)+MIN(MAX(Z511,0),'P-Parametri'!$B$8*(Z511+Y511)))</f>
        <v>35787.805734234928</v>
      </c>
      <c r="AB511" s="18">
        <f>IF($A511&gt;'1-Input'!$B$26,Z511,Z511-MIN(MAX(Z511,0),'P-Parametri'!$B$8*(Z511+Y511)))</f>
        <v>376603.8841276454</v>
      </c>
      <c r="AC511" s="18">
        <f>IF($A511&gt;'1-Input'!$B$26,AC510,AC510-X511*(1-W511))</f>
        <v>271857.83657545713</v>
      </c>
      <c r="AD511" s="11">
        <f>IF($A511&gt;'1-Input'!$B$26,0,IF(AI510&lt;=0,0,MAX(0,(AI510-AJ510)/AI510)))</f>
        <v>0.25810550012804839</v>
      </c>
      <c r="AE511" s="18">
        <f>IF($A511&gt;'1-Input'!$B$26,0,(MAX(0,AD506-IF($A511&gt;='1-Input'!$C$12,'1-Input'!$B$12,0))-MIN(MAX(AH510,0),MAX(0,AD506-IF($A511&gt;='1-Input'!$C$12,'1-Input'!$B$12,0))))*(1/(1-'P-Parametri'!$B$6*AD511))+MIN(MAX(0,AI510-(MAX(0,AD506-IF($A511&gt;='1-Input'!$C$12,'1-Input'!$B$12,0))-MIN(MAX(AH510,0),MAX(0,AD506-IF($A511&gt;='1-Input'!$C$12,'1-Input'!$B$12,0))))*(1/(1-'P-Parametri'!$B$6*AD511))),MAX(0,2*AD506-(AH510-MIN(MAX(AH510,0),MAX(0,AD506-IF($A511&gt;='1-Input'!$C$12,'1-Input'!$B$12,0)))))*(1/(1-'P-Parametri'!$B$6*AD511))))</f>
        <v>19374.049607891349</v>
      </c>
      <c r="AF511" s="18">
        <f>IF($A511&gt;'1-Input'!$B$26,AH510,(AH510-MAX(0,AD506-IF($A511&gt;='1-Input'!$C$12,'1-Input'!$B$12,0))+AE511*(1-'P-Parametri'!$B$6*AD511))*(1+'1-Input'!$B$27))</f>
        <v>35760.208229591961</v>
      </c>
      <c r="AG511" s="18">
        <f>IF($A511&gt;'1-Input'!$B$26,AI510,(AI510-AE511)*(1+$C$4))</f>
        <v>377507.68927799095</v>
      </c>
      <c r="AH511" s="18">
        <f>IF($A511&gt;'1-Input'!$B$26,AF511,AF511-'P-Parametri'!$B$8*(AG511+AF511)+MIN(MAX(AG511,0),'P-Parametri'!$B$8*(AG511+AF511)))</f>
        <v>35760.208229591961</v>
      </c>
      <c r="AI511" s="18">
        <f>IF($A511&gt;'1-Input'!$B$26,AG511,AG511-MIN(MAX(AG511,0),'P-Parametri'!$B$8*(AG511+AF511)))</f>
        <v>376681.15348297579</v>
      </c>
      <c r="AJ511" s="18">
        <f>IF($A511&gt;'1-Input'!$B$26,AJ510,AJ510-AE511*(1-AD511))</f>
        <v>271913.4741113701</v>
      </c>
      <c r="AK511" s="11">
        <f>IF($A511&gt;'1-Input'!$B$26,0,IF(AP510&lt;=0,0,MAX(0,(AP510-AQ510)/AP510)))</f>
        <v>0.25810550071158389</v>
      </c>
      <c r="AL511" s="18">
        <f>IF($A511&gt;'1-Input'!$B$26,0,(MAX(0,AK506-IF($A511&gt;='1-Input'!$C$12,'1-Input'!$B$12,0))-MIN(MAX(AO510,0),MAX(0,AK506-IF($A511&gt;='1-Input'!$C$12,'1-Input'!$B$12,0))))*(1/(1-'P-Parametri'!$B$6*AK511))+MIN(MAX(0,AP510-(MAX(0,AK506-IF($A511&gt;='1-Input'!$C$12,'1-Input'!$B$12,0))-MIN(MAX(AO510,0),MAX(0,AK506-IF($A511&gt;='1-Input'!$C$12,'1-Input'!$B$12,0))))*(1/(1-'P-Parametri'!$B$6*AK511))),MAX(0,2*AK506-(AO510-MIN(MAX(AO510,0),MAX(0,AK506-IF($A511&gt;='1-Input'!$C$12,'1-Input'!$B$12,0)))))*(1/(1-'P-Parametri'!$B$6*AK511))))</f>
        <v>19374.014158595037</v>
      </c>
      <c r="AM511" s="18">
        <f>IF($A511&gt;'1-Input'!$B$26,AO510,(AO510-MAX(0,AK506-IF($A511&gt;='1-Input'!$C$12,'1-Input'!$B$12,0))+AL511*(1-'P-Parametri'!$B$6*AK511))*(1+'1-Input'!$B$27))</f>
        <v>35760.142792219878</v>
      </c>
      <c r="AN511" s="18">
        <f>IF($A511&gt;'1-Input'!$B$26,AP510,(AP510-AL511)*(1+$C$4))</f>
        <v>377507.87272999366</v>
      </c>
      <c r="AO511" s="18">
        <f>IF($A511&gt;'1-Input'!$B$26,AM511,AM511-'P-Parametri'!$B$8*(AN511+AM511)+MIN(MAX(AN511,0),'P-Parametri'!$B$8*(AN511+AM511)))</f>
        <v>35760.142792219878</v>
      </c>
      <c r="AP511" s="18">
        <f>IF($A511&gt;'1-Input'!$B$26,AN511,AN511-MIN(MAX(AN511,0),'P-Parametri'!$B$8*(AN511+AM511)))</f>
        <v>376681.33669894922</v>
      </c>
      <c r="AQ511" s="18">
        <f>IF($A511&gt;'1-Input'!$B$26,AQ510,AQ510-AL511*(1-AK511))</f>
        <v>271913.60603539203</v>
      </c>
    </row>
    <row r="512" spans="1:43">
      <c r="A512" s="10">
        <f>4</f>
        <v>4</v>
      </c>
      <c r="B512" s="11">
        <f>IF($A512&gt;'1-Input'!$B$26,0,IF(G511&lt;=0,0,MAX(0,(G511-H511)/G511)))</f>
        <v>0.27816716009736525</v>
      </c>
      <c r="C512" s="18">
        <f>IF($A512&gt;'1-Input'!$B$26,0,(MAX(0,B506-IF($A512&gt;='1-Input'!$C$12,'1-Input'!$B$12,0))-MIN(MAX(F511,0),MAX(0,B506-IF($A512&gt;='1-Input'!$C$12,'1-Input'!$B$12,0))))*(1/(1-'P-Parametri'!$B$6*B512))+MIN(MAX(0,G511-(MAX(0,B506-IF($A512&gt;='1-Input'!$C$12,'1-Input'!$B$12,0))-MIN(MAX(F511,0),MAX(0,B506-IF($A512&gt;='1-Input'!$C$12,'1-Input'!$B$12,0))))*(1/(1-'P-Parametri'!$B$6*B512))),MAX(0,2*B506-(F511-MIN(MAX(F511,0),MAX(0,B506-IF($A512&gt;='1-Input'!$C$12,'1-Input'!$B$12,0)))))*(1/(1-'P-Parametri'!$B$6*B512))))</f>
        <v>18111.009837898029</v>
      </c>
      <c r="D512" s="18">
        <f>IF($A512&gt;'1-Input'!$B$26,F511,(F511-MAX(0,B506-IF($A512&gt;='1-Input'!$C$12,'1-Input'!$B$12,0))+C512*(1-'P-Parametri'!$B$6*B512))*(1+'1-Input'!$B$27))</f>
        <v>33242.0070309863</v>
      </c>
      <c r="E512" s="18">
        <f>IF($A512&gt;'1-Input'!$B$26,G511,(G511-C512)*(1+$C$4))</f>
        <v>376589.41224923293</v>
      </c>
      <c r="F512" s="18">
        <f>IF($A512&gt;'1-Input'!$B$26,D512,D512-'P-Parametri'!$B$8*(E512+D512)+MIN(MAX(E512,0),'P-Parametri'!$B$8*(E512+D512)))</f>
        <v>33242.0070309863</v>
      </c>
      <c r="G512" s="18">
        <f>IF($A512&gt;'1-Input'!$B$26,E512,E512-MIN(MAX(E512,0),'P-Parametri'!$B$8*(E512+D512)))</f>
        <v>375769.74941067252</v>
      </c>
      <c r="H512" s="18">
        <f>IF($A512&gt;'1-Input'!$B$26,H511,H511-C512*(1-B512))</f>
        <v>263917.09215643478</v>
      </c>
      <c r="I512" s="11">
        <f>IF($A512&gt;'1-Input'!$B$26,0,IF(N511&lt;=0,0,MAX(0,(N511-O511)/N511)))</f>
        <v>0.27802040541994261</v>
      </c>
      <c r="J512" s="18">
        <f>IF($A512&gt;'1-Input'!$B$26,0,(MAX(0,I506-IF($A512&gt;='1-Input'!$C$12,'1-Input'!$B$12,0))-MIN(MAX(M511,0),MAX(0,I506-IF($A512&gt;='1-Input'!$C$12,'1-Input'!$B$12,0))))*(1/(1-'P-Parametri'!$B$6*I512))+MIN(MAX(0,N511-(MAX(0,I506-IF($A512&gt;='1-Input'!$C$12,'1-Input'!$B$12,0))-MIN(MAX(M511,0),MAX(0,I506-IF($A512&gt;='1-Input'!$C$12,'1-Input'!$B$12,0))))*(1/(1-'P-Parametri'!$B$6*I512))),MAX(0,2*I506-(M511-MIN(MAX(M511,0),MAX(0,I506-IF($A512&gt;='1-Input'!$C$12,'1-Input'!$B$12,0)))))*(1/(1-'P-Parametri'!$B$6*I512))))</f>
        <v>23829.295980946357</v>
      </c>
      <c r="K512" s="18">
        <f>IF($A512&gt;'1-Input'!$B$26,M511,(M511-MAX(0,I506-IF($A512&gt;='1-Input'!$C$12,'1-Input'!$B$12,0))+J512*(1-'P-Parametri'!$B$6*I512))*(1+'1-Input'!$B$27))</f>
        <v>43739.482935508291</v>
      </c>
      <c r="L512" s="18">
        <f>IF($A512&gt;'1-Input'!$B$26,N511,(N511-J512)*(1+$C$4))</f>
        <v>340426.43848238949</v>
      </c>
      <c r="M512" s="18">
        <f>IF($A512&gt;'1-Input'!$B$26,K512,K512-'P-Parametri'!$B$8*(L512+K512)+MIN(MAX(L512,0),'P-Parametri'!$B$8*(L512+K512)))</f>
        <v>43739.482935508291</v>
      </c>
      <c r="N512" s="18">
        <f>IF($A512&gt;'1-Input'!$B$26,L512,L512-MIN(MAX(L512,0),'P-Parametri'!$B$8*(L512+K512)))</f>
        <v>339658.10663955368</v>
      </c>
      <c r="O512" s="18">
        <f>IF($A512&gt;'1-Input'!$B$26,O511,O511-J512*(1-I512))</f>
        <v>238622.27382509553</v>
      </c>
      <c r="P512" s="11">
        <f>IF($A512&gt;'1-Input'!$B$26,0,IF(U511&lt;=0,0,MAX(0,(U511-V511)/U511)))</f>
        <v>0.27812777931543314</v>
      </c>
      <c r="Q512" s="18">
        <f>IF($A512&gt;'1-Input'!$B$26,0,(MAX(0,P506-IF($A512&gt;='1-Input'!$C$12,'1-Input'!$B$12,0))-MIN(MAX(T511,0),MAX(0,P506-IF($A512&gt;='1-Input'!$C$12,'1-Input'!$B$12,0))))*(1/(1-'P-Parametri'!$B$6*P512))+MIN(MAX(0,U511-(MAX(0,P506-IF($A512&gt;='1-Input'!$C$12,'1-Input'!$B$12,0))-MIN(MAX(T511,0),MAX(0,P506-IF($A512&gt;='1-Input'!$C$12,'1-Input'!$B$12,0))))*(1/(1-'P-Parametri'!$B$6*P512))),MAX(0,2*P506-(T511-MIN(MAX(T511,0),MAX(0,P506-IF($A512&gt;='1-Input'!$C$12,'1-Input'!$B$12,0)))))*(1/(1-'P-Parametri'!$B$6*P512))))</f>
        <v>19715.988113366195</v>
      </c>
      <c r="R512" s="18">
        <f>IF($A512&gt;'1-Input'!$B$26,T511,(T511-MAX(0,P506-IF($A512&gt;='1-Input'!$C$12,'1-Input'!$B$12,0))+Q512*(1-'P-Parametri'!$B$6*P512))*(1+'1-Input'!$B$27))</f>
        <v>36188.277471006419</v>
      </c>
      <c r="S512" s="18">
        <f>IF($A512&gt;'1-Input'!$B$26,U511,(U511-Q512)*(1+$C$4))</f>
        <v>366439.62750351179</v>
      </c>
      <c r="T512" s="18">
        <f>IF($A512&gt;'1-Input'!$B$26,R512,R512-'P-Parametri'!$B$8*(S512+R512)+MIN(MAX(S512,0),'P-Parametri'!$B$8*(S512+R512)))</f>
        <v>36188.277471006419</v>
      </c>
      <c r="U512" s="18">
        <f>IF($A512&gt;'1-Input'!$B$26,S512,S512-MIN(MAX(S512,0),'P-Parametri'!$B$8*(S512+R512)))</f>
        <v>365634.37169356277</v>
      </c>
      <c r="V512" s="18">
        <f>IF($A512&gt;'1-Input'!$B$26,V511,V511-Q512*(1-P512))</f>
        <v>256818.04626484032</v>
      </c>
      <c r="W512" s="11">
        <f>IF($A512&gt;'1-Input'!$B$26,0,IF(AB511&lt;=0,0,MAX(0,(AB511-AC511)/AB511)))</f>
        <v>0.27813321095935867</v>
      </c>
      <c r="X512" s="18">
        <f>IF($A512&gt;'1-Input'!$B$26,0,(MAX(0,W506-IF($A512&gt;='1-Input'!$C$12,'1-Input'!$B$12,0))-MIN(MAX(AA511,0),MAX(0,W506-IF($A512&gt;='1-Input'!$C$12,'1-Input'!$B$12,0))))*(1/(1-'P-Parametri'!$B$6*W512))+MIN(MAX(0,AB511-(MAX(0,W506-IF($A512&gt;='1-Input'!$C$12,'1-Input'!$B$12,0))-MIN(MAX(AA511,0),MAX(0,W506-IF($A512&gt;='1-Input'!$C$12,'1-Input'!$B$12,0))))*(1/(1-'P-Parametri'!$B$6*W512))),MAX(0,2*W506-(AA511-MIN(MAX(AA511,0),MAX(0,W506-IF($A512&gt;='1-Input'!$C$12,'1-Input'!$B$12,0)))))*(1/(1-'P-Parametri'!$B$6*W512))))</f>
        <v>19497.833992145519</v>
      </c>
      <c r="Y512" s="18">
        <f>IF($A512&gt;'1-Input'!$B$26,AA511,(AA511-MAX(0,W506-IF($A512&gt;='1-Input'!$C$12,'1-Input'!$B$12,0))+X512*(1-'P-Parametri'!$B$6*W512))*(1+'1-Input'!$B$27))</f>
        <v>35787.805734234928</v>
      </c>
      <c r="Z512" s="18">
        <f>IF($A512&gt;'1-Input'!$B$26,AB511,(AB511-X512)*(1+$C$4))</f>
        <v>367819.23163956491</v>
      </c>
      <c r="AA512" s="18">
        <f>IF($A512&gt;'1-Input'!$B$26,Y512,Y512-'P-Parametri'!$B$8*(Z512+Y512)+MIN(MAX(Z512,0),'P-Parametri'!$B$8*(Z512+Y512)))</f>
        <v>35787.805734234928</v>
      </c>
      <c r="AB512" s="18">
        <f>IF($A512&gt;'1-Input'!$B$26,Z512,Z512-MIN(MAX(Z512,0),'P-Parametri'!$B$8*(Z512+Y512)))</f>
        <v>367012.01756481733</v>
      </c>
      <c r="AC512" s="18">
        <f>IF($A512&gt;'1-Input'!$B$26,AC511,AC511-X512*(1-W512))</f>
        <v>257782.99775829958</v>
      </c>
      <c r="AD512" s="11">
        <f>IF($A512&gt;'1-Input'!$B$26,0,IF(AI511&lt;=0,0,MAX(0,(AI511-AJ511)/AI511)))</f>
        <v>0.27813358434015917</v>
      </c>
      <c r="AE512" s="18">
        <f>IF($A512&gt;'1-Input'!$B$26,0,(MAX(0,AD506-IF($A512&gt;='1-Input'!$C$12,'1-Input'!$B$12,0))-MIN(MAX(AH511,0),MAX(0,AD506-IF($A512&gt;='1-Input'!$C$12,'1-Input'!$B$12,0))))*(1/(1-'P-Parametri'!$B$6*AD512))+MIN(MAX(0,AI511-(MAX(0,AD506-IF($A512&gt;='1-Input'!$C$12,'1-Input'!$B$12,0))-MIN(MAX(AH511,0),MAX(0,AD506-IF($A512&gt;='1-Input'!$C$12,'1-Input'!$B$12,0))))*(1/(1-'P-Parametri'!$B$6*AD512))),MAX(0,2*AD506-(AH511-MIN(MAX(AH511,0),MAX(0,AD506-IF($A512&gt;='1-Input'!$C$12,'1-Input'!$B$12,0)))))*(1/(1-'P-Parametri'!$B$6*AD512))))</f>
        <v>19482.800418874474</v>
      </c>
      <c r="AF512" s="18">
        <f>IF($A512&gt;'1-Input'!$B$26,AH511,(AH511-MAX(0,AD506-IF($A512&gt;='1-Input'!$C$12,'1-Input'!$B$12,0))+AE512*(1-'P-Parametri'!$B$6*AD512))*(1+'1-Input'!$B$27))</f>
        <v>35760.208229591961</v>
      </c>
      <c r="AG512" s="18">
        <f>IF($A512&gt;'1-Input'!$B$26,AI511,(AI511-AE512)*(1+$C$4))</f>
        <v>367914.30365602433</v>
      </c>
      <c r="AH512" s="18">
        <f>IF($A512&gt;'1-Input'!$B$26,AF512,AF512-'P-Parametri'!$B$8*(AG512+AF512)+MIN(MAX(AG512,0),'P-Parametri'!$B$8*(AG512+AF512)))</f>
        <v>35760.208229591961</v>
      </c>
      <c r="AI512" s="18">
        <f>IF($A512&gt;'1-Input'!$B$26,AG512,AG512-MIN(MAX(AG512,0),'P-Parametri'!$B$8*(AG512+AF512)))</f>
        <v>367106.9546322531</v>
      </c>
      <c r="AJ512" s="18">
        <f>IF($A512&gt;'1-Input'!$B$26,AJ511,AJ511-AE512*(1-AD512))</f>
        <v>257849.49480598114</v>
      </c>
      <c r="AK512" s="11">
        <f>IF($A512&gt;'1-Input'!$B$26,0,IF(AP511&lt;=0,0,MAX(0,(AP511-AQ511)/AP511)))</f>
        <v>0.27813358522535331</v>
      </c>
      <c r="AL512" s="18">
        <f>IF($A512&gt;'1-Input'!$B$26,0,(MAX(0,AK506-IF($A512&gt;='1-Input'!$C$12,'1-Input'!$B$12,0))-MIN(MAX(AO511,0),MAX(0,AK506-IF($A512&gt;='1-Input'!$C$12,'1-Input'!$B$12,0))))*(1/(1-'P-Parametri'!$B$6*AK512))+MIN(MAX(0,AP511-(MAX(0,AK506-IF($A512&gt;='1-Input'!$C$12,'1-Input'!$B$12,0))-MIN(MAX(AO511,0),MAX(0,AK506-IF($A512&gt;='1-Input'!$C$12,'1-Input'!$B$12,0))))*(1/(1-'P-Parametri'!$B$6*AK512))),MAX(0,2*AK506-(AO511-MIN(MAX(AO511,0),MAX(0,AK506-IF($A512&gt;='1-Input'!$C$12,'1-Input'!$B$12,0)))))*(1/(1-'P-Parametri'!$B$6*AK512))))</f>
        <v>19482.764772258408</v>
      </c>
      <c r="AM512" s="18">
        <f>IF($A512&gt;'1-Input'!$B$26,AO511,(AO511-MAX(0,AK506-IF($A512&gt;='1-Input'!$C$12,'1-Input'!$B$12,0))+AL512*(1-'P-Parametri'!$B$6*AK512))*(1+'1-Input'!$B$27))</f>
        <v>35760.142792219878</v>
      </c>
      <c r="AN512" s="18">
        <f>IF($A512&gt;'1-Input'!$B$26,AP511,(AP511-AL512)*(1+$C$4))</f>
        <v>367914.52908449154</v>
      </c>
      <c r="AO512" s="18">
        <f>IF($A512&gt;'1-Input'!$B$26,AM512,AM512-'P-Parametri'!$B$8*(AN512+AM512)+MIN(MAX(AN512,0),'P-Parametri'!$B$8*(AN512+AM512)))</f>
        <v>35760.142792219878</v>
      </c>
      <c r="AP512" s="18">
        <f>IF($A512&gt;'1-Input'!$B$26,AN512,AN512-MIN(MAX(AN512,0),'P-Parametri'!$B$8*(AN512+AM512)))</f>
        <v>367107.17974073812</v>
      </c>
      <c r="AQ512" s="18">
        <f>IF($A512&gt;'1-Input'!$B$26,AQ511,AQ511-AL512*(1-AK512))</f>
        <v>257849.65247934408</v>
      </c>
    </row>
    <row r="513" spans="1:43">
      <c r="A513" s="10">
        <f>5</f>
        <v>5</v>
      </c>
      <c r="B513" s="11">
        <f>IF($A513&gt;'1-Input'!$B$26,0,IF(G512&lt;=0,0,MAX(0,(G512-H512)/G512)))</f>
        <v>0.29766275073940512</v>
      </c>
      <c r="C513" s="18">
        <f>IF($A513&gt;'1-Input'!$B$26,0,(MAX(0,B506-IF($A513&gt;='1-Input'!$C$12,'1-Input'!$B$12,0))-MIN(MAX(F512,0),MAX(0,B506-IF($A513&gt;='1-Input'!$C$12,'1-Input'!$B$12,0))))*(1/(1-'P-Parametri'!$B$6*B513))+MIN(MAX(0,G512-(MAX(0,B506-IF($A513&gt;='1-Input'!$C$12,'1-Input'!$B$12,0))-MIN(MAX(F512,0),MAX(0,B506-IF($A513&gt;='1-Input'!$C$12,'1-Input'!$B$12,0))))*(1/(1-'P-Parametri'!$B$6*B513))),MAX(0,2*B506-(F512-MIN(MAX(F512,0),MAX(0,B506-IF($A513&gt;='1-Input'!$C$12,'1-Input'!$B$12,0)))))*(1/(1-'P-Parametri'!$B$6*B513))))</f>
        <v>18210.512647520372</v>
      </c>
      <c r="D513" s="18">
        <f>IF($A513&gt;'1-Input'!$B$26,F512,(F512-MAX(0,B506-IF($A513&gt;='1-Input'!$C$12,'1-Input'!$B$12,0))+C513*(1-'P-Parametri'!$B$6*B513))*(1+'1-Input'!$B$27))</f>
        <v>33242.0070309863</v>
      </c>
      <c r="E513" s="18">
        <f>IF($A513&gt;'1-Input'!$B$26,G512,(G512-C513)*(1+$C$4))</f>
        <v>368286.01386604673</v>
      </c>
      <c r="F513" s="18">
        <f>IF($A513&gt;'1-Input'!$B$26,D513,D513-'P-Parametri'!$B$8*(E513+D513)+MIN(MAX(E513,0),'P-Parametri'!$B$8*(E513+D513)))</f>
        <v>33242.0070309863</v>
      </c>
      <c r="G513" s="18">
        <f>IF($A513&gt;'1-Input'!$B$26,E513,E513-MIN(MAX(E513,0),'P-Parametri'!$B$8*(E513+D513)))</f>
        <v>367482.95782425266</v>
      </c>
      <c r="H513" s="18">
        <f>IF($A513&gt;'1-Input'!$B$26,H512,H512-C513*(1-B513))</f>
        <v>251127.17079595005</v>
      </c>
      <c r="I513" s="11">
        <f>IF($A513&gt;'1-Input'!$B$26,0,IF(N512&lt;=0,0,MAX(0,(N512-O512)/N512)))</f>
        <v>0.29746333398035957</v>
      </c>
      <c r="J513" s="18">
        <f>IF($A513&gt;'1-Input'!$B$26,0,(MAX(0,I506-IF($A513&gt;='1-Input'!$C$12,'1-Input'!$B$12,0))-MIN(MAX(M512,0),MAX(0,I506-IF($A513&gt;='1-Input'!$C$12,'1-Input'!$B$12,0))))*(1/(1-'P-Parametri'!$B$6*I513))+MIN(MAX(0,N512-(MAX(0,I506-IF($A513&gt;='1-Input'!$C$12,'1-Input'!$B$12,0))-MIN(MAX(M512,0),MAX(0,I506-IF($A513&gt;='1-Input'!$C$12,'1-Input'!$B$12,0))))*(1/(1-'P-Parametri'!$B$6*I513))),MAX(0,2*I506-(M512-MIN(MAX(M512,0),MAX(0,I506-IF($A513&gt;='1-Input'!$C$12,'1-Input'!$B$12,0)))))*(1/(1-'P-Parametri'!$B$6*I513))))</f>
        <v>23959.854365176598</v>
      </c>
      <c r="K513" s="18">
        <f>IF($A513&gt;'1-Input'!$B$26,M512,(M512-MAX(0,I506-IF($A513&gt;='1-Input'!$C$12,'1-Input'!$B$12,0))+J513*(1-'P-Parametri'!$B$6*I513))*(1+'1-Input'!$B$27))</f>
        <v>43739.482935508291</v>
      </c>
      <c r="L513" s="18">
        <f>IF($A513&gt;'1-Input'!$B$26,N512,(N512-J513)*(1+$C$4))</f>
        <v>325169.19984260842</v>
      </c>
      <c r="M513" s="18">
        <f>IF($A513&gt;'1-Input'!$B$26,K513,K513-'P-Parametri'!$B$8*(L513+K513)+MIN(MAX(L513,0),'P-Parametri'!$B$8*(L513+K513)))</f>
        <v>43739.482935508291</v>
      </c>
      <c r="N513" s="18">
        <f>IF($A513&gt;'1-Input'!$B$26,L513,L513-MIN(MAX(L513,0),'P-Parametri'!$B$8*(L513+K513)))</f>
        <v>324431.38247705216</v>
      </c>
      <c r="O513" s="18">
        <f>IF($A513&gt;'1-Input'!$B$26,O512,O512-J513*(1-I513))</f>
        <v>221789.59762106824</v>
      </c>
      <c r="P513" s="11">
        <f>IF($A513&gt;'1-Input'!$B$26,0,IF(U512&lt;=0,0,MAX(0,(U512-V512)/U512)))</f>
        <v>0.29760967199200061</v>
      </c>
      <c r="Q513" s="18">
        <f>IF($A513&gt;'1-Input'!$B$26,0,(MAX(0,P506-IF($A513&gt;='1-Input'!$C$12,'1-Input'!$B$12,0))-MIN(MAX(T512,0),MAX(0,P506-IF($A513&gt;='1-Input'!$C$12,'1-Input'!$B$12,0))))*(1/(1-'P-Parametri'!$B$6*P513))+MIN(MAX(0,U512-(MAX(0,P506-IF($A513&gt;='1-Input'!$C$12,'1-Input'!$B$12,0))-MIN(MAX(T512,0),MAX(0,P506-IF($A513&gt;='1-Input'!$C$12,'1-Input'!$B$12,0))))*(1/(1-'P-Parametri'!$B$6*P513))),MAX(0,2*P506-(T512-MIN(MAX(T512,0),MAX(0,P506-IF($A513&gt;='1-Input'!$C$12,'1-Input'!$B$12,0)))))*(1/(1-'P-Parametri'!$B$6*P513))))</f>
        <v>19824.231028089893</v>
      </c>
      <c r="R513" s="18">
        <f>IF($A513&gt;'1-Input'!$B$26,T512,(T512-MAX(0,P506-IF($A513&gt;='1-Input'!$C$12,'1-Input'!$B$12,0))+Q513*(1-'P-Parametri'!$B$6*P513))*(1+'1-Input'!$B$27))</f>
        <v>36188.277471006419</v>
      </c>
      <c r="S513" s="18">
        <f>IF($A513&gt;'1-Input'!$B$26,U512,(U512-Q513)*(1+$C$4))</f>
        <v>356184.44488543709</v>
      </c>
      <c r="T513" s="18">
        <f>IF($A513&gt;'1-Input'!$B$26,R513,R513-'P-Parametri'!$B$8*(S513+R513)+MIN(MAX(S513,0),'P-Parametri'!$B$8*(S513+R513)))</f>
        <v>36188.277471006419</v>
      </c>
      <c r="U513" s="18">
        <f>IF($A513&gt;'1-Input'!$B$26,S513,S513-MIN(MAX(S513,0),'P-Parametri'!$B$8*(S513+R513)))</f>
        <v>355399.69944072422</v>
      </c>
      <c r="V513" s="18">
        <f>IF($A513&gt;'1-Input'!$B$26,V512,V512-Q513*(1-P513))</f>
        <v>242893.69813051389</v>
      </c>
      <c r="W513" s="11">
        <f>IF($A513&gt;'1-Input'!$B$26,0,IF(AB512&lt;=0,0,MAX(0,(AB512-AC512)/AB512)))</f>
        <v>0.29761701137545726</v>
      </c>
      <c r="X513" s="18">
        <f>IF($A513&gt;'1-Input'!$B$26,0,(MAX(0,W506-IF($A513&gt;='1-Input'!$C$12,'1-Input'!$B$12,0))-MIN(MAX(AA512,0),MAX(0,W506-IF($A513&gt;='1-Input'!$C$12,'1-Input'!$B$12,0))))*(1/(1-'P-Parametri'!$B$6*W513))+MIN(MAX(0,AB512-(MAX(0,W506-IF($A513&gt;='1-Input'!$C$12,'1-Input'!$B$12,0))-MIN(MAX(AA512,0),MAX(0,W506-IF($A513&gt;='1-Input'!$C$12,'1-Input'!$B$12,0))))*(1/(1-'P-Parametri'!$B$6*W513))),MAX(0,2*W506-(AA512-MIN(MAX(AA512,0),MAX(0,W506-IF($A513&gt;='1-Input'!$C$12,'1-Input'!$B$12,0)))))*(1/(1-'P-Parametri'!$B$6*W513))))</f>
        <v>19604.889920754165</v>
      </c>
      <c r="Y513" s="18">
        <f>IF($A513&gt;'1-Input'!$B$26,AA512,(AA512-MAX(0,W506-IF($A513&gt;='1-Input'!$C$12,'1-Input'!$B$12,0))+X513*(1-'P-Parametri'!$B$6*W513))*(1+'1-Input'!$B$27))</f>
        <v>35787.805734234928</v>
      </c>
      <c r="Z513" s="18">
        <f>IF($A513&gt;'1-Input'!$B$26,AB512,(AB512-X513)*(1+$C$4))</f>
        <v>357829.34147338505</v>
      </c>
      <c r="AA513" s="18">
        <f>IF($A513&gt;'1-Input'!$B$26,Y513,Y513-'P-Parametri'!$B$8*(Z513+Y513)+MIN(MAX(Z513,0),'P-Parametri'!$B$8*(Z513+Y513)))</f>
        <v>35787.805734234928</v>
      </c>
      <c r="AB513" s="18">
        <f>IF($A513&gt;'1-Input'!$B$26,Z513,Z513-MIN(MAX(Z513,0),'P-Parametri'!$B$8*(Z513+Y513)))</f>
        <v>357042.10717896983</v>
      </c>
      <c r="AC513" s="18">
        <f>IF($A513&gt;'1-Input'!$B$26,AC512,AC512-X513*(1-W513))</f>
        <v>244012.85658410509</v>
      </c>
      <c r="AD513" s="11">
        <f>IF($A513&gt;'1-Input'!$B$26,0,IF(AI512&lt;=0,0,MAX(0,(AI512-AJ512)/AI512)))</f>
        <v>0.29761751567937433</v>
      </c>
      <c r="AE513" s="18">
        <f>IF($A513&gt;'1-Input'!$B$26,0,(MAX(0,AD506-IF($A513&gt;='1-Input'!$C$12,'1-Input'!$B$12,0))-MIN(MAX(AH512,0),MAX(0,AD506-IF($A513&gt;='1-Input'!$C$12,'1-Input'!$B$12,0))))*(1/(1-'P-Parametri'!$B$6*AD513))+MIN(MAX(0,AI512-(MAX(0,AD506-IF($A513&gt;='1-Input'!$C$12,'1-Input'!$B$12,0))-MIN(MAX(AH512,0),MAX(0,AD506-IF($A513&gt;='1-Input'!$C$12,'1-Input'!$B$12,0))))*(1/(1-'P-Parametri'!$B$6*AD513))),MAX(0,2*AD506-(AH512-MIN(MAX(AH512,0),MAX(0,AD506-IF($A513&gt;='1-Input'!$C$12,'1-Input'!$B$12,0)))))*(1/(1-'P-Parametri'!$B$6*AD513))))</f>
        <v>19589.774537300993</v>
      </c>
      <c r="AF513" s="18">
        <f>IF($A513&gt;'1-Input'!$B$26,AH512,(AH512-MAX(0,AD506-IF($A513&gt;='1-Input'!$C$12,'1-Input'!$B$12,0))+AE513*(1-'P-Parametri'!$B$6*AD513))*(1+'1-Input'!$B$27))</f>
        <v>35760.208229591961</v>
      </c>
      <c r="AG513" s="18">
        <f>IF($A513&gt;'1-Input'!$B$26,AI512,(AI512-AE513)*(1+$C$4))</f>
        <v>357942.69549780071</v>
      </c>
      <c r="AH513" s="18">
        <f>IF($A513&gt;'1-Input'!$B$26,AF513,AF513-'P-Parametri'!$B$8*(AG513+AF513)+MIN(MAX(AG513,0),'P-Parametri'!$B$8*(AG513+AF513)))</f>
        <v>35760.208229591961</v>
      </c>
      <c r="AI513" s="18">
        <f>IF($A513&gt;'1-Input'!$B$26,AG513,AG513-MIN(MAX(AG513,0),'P-Parametri'!$B$8*(AG513+AF513)))</f>
        <v>357155.28969034593</v>
      </c>
      <c r="AJ513" s="18">
        <f>IF($A513&gt;'1-Input'!$B$26,AJ512,AJ512-AE513*(1-AD513))</f>
        <v>244089.98029919073</v>
      </c>
      <c r="AK513" s="11">
        <f>IF($A513&gt;'1-Input'!$B$26,0,IF(AP512&lt;=0,0,MAX(0,(AP512-AQ512)/AP512)))</f>
        <v>0.29761751687492172</v>
      </c>
      <c r="AL513" s="18">
        <f>IF($A513&gt;'1-Input'!$B$26,0,(MAX(0,AK506-IF($A513&gt;='1-Input'!$C$12,'1-Input'!$B$12,0))-MIN(MAX(AO512,0),MAX(0,AK506-IF($A513&gt;='1-Input'!$C$12,'1-Input'!$B$12,0))))*(1/(1-'P-Parametri'!$B$6*AK513))+MIN(MAX(0,AP512-(MAX(0,AK506-IF($A513&gt;='1-Input'!$C$12,'1-Input'!$B$12,0))-MIN(MAX(AO512,0),MAX(0,AK506-IF($A513&gt;='1-Input'!$C$12,'1-Input'!$B$12,0))))*(1/(1-'P-Parametri'!$B$6*AK513))),MAX(0,2*AK506-(AO512-MIN(MAX(AO512,0),MAX(0,AK506-IF($A513&gt;='1-Input'!$C$12,'1-Input'!$B$12,0)))))*(1/(1-'P-Parametri'!$B$6*AK513))))</f>
        <v>19589.738696700217</v>
      </c>
      <c r="AM513" s="18">
        <f>IF($A513&gt;'1-Input'!$B$26,AO512,(AO512-MAX(0,AK506-IF($A513&gt;='1-Input'!$C$12,'1-Input'!$B$12,0))+AL513*(1-'P-Parametri'!$B$6*AK513))*(1+'1-Input'!$B$27))</f>
        <v>35760.142792219878</v>
      </c>
      <c r="AN513" s="18">
        <f>IF($A513&gt;'1-Input'!$B$26,AP512,(AP512-AL513)*(1+$C$4))</f>
        <v>357942.96427535906</v>
      </c>
      <c r="AO513" s="18">
        <f>IF($A513&gt;'1-Input'!$B$26,AM513,AM513-'P-Parametri'!$B$8*(AN513+AM513)+MIN(MAX(AN513,0),'P-Parametri'!$B$8*(AN513+AM513)))</f>
        <v>35760.142792219878</v>
      </c>
      <c r="AP513" s="18">
        <f>IF($A513&gt;'1-Input'!$B$26,AN513,AN513-MIN(MAX(AN513,0),'P-Parametri'!$B$8*(AN513+AM513)))</f>
        <v>357155.55806122388</v>
      </c>
      <c r="AQ513" s="18">
        <f>IF($A513&gt;'1-Input'!$B$26,AQ512,AQ512-AL513*(1-AK513))</f>
        <v>244090.16316978435</v>
      </c>
    </row>
    <row r="514" spans="1:43">
      <c r="A514" s="10">
        <f>6</f>
        <v>6</v>
      </c>
      <c r="B514" s="11">
        <f>IF($A514&gt;'1-Input'!$B$26,0,IF(G513&lt;=0,0,MAX(0,(G513-H513)/G513)))</f>
        <v>0.31662906959606363</v>
      </c>
      <c r="C514" s="18">
        <f>IF($A514&gt;'1-Input'!$B$26,0,(MAX(0,B506-IF($A514&gt;='1-Input'!$C$12,'1-Input'!$B$12,0))-MIN(MAX(F513,0),MAX(0,B506-IF($A514&gt;='1-Input'!$C$12,'1-Input'!$B$12,0))))*(1/(1-'P-Parametri'!$B$6*B514))+MIN(MAX(0,G513-(MAX(0,B506-IF($A514&gt;='1-Input'!$C$12,'1-Input'!$B$12,0))-MIN(MAX(F513,0),MAX(0,B506-IF($A514&gt;='1-Input'!$C$12,'1-Input'!$B$12,0))))*(1/(1-'P-Parametri'!$B$6*B514))),MAX(0,2*B506-(F513-MIN(MAX(F513,0),MAX(0,B506-IF($A514&gt;='1-Input'!$C$12,'1-Input'!$B$12,0)))))*(1/(1-'P-Parametri'!$B$6*B514))))</f>
        <v>18308.368991159059</v>
      </c>
      <c r="D514" s="18">
        <f>IF($A514&gt;'1-Input'!$B$26,F513,(F513-MAX(0,B506-IF($A514&gt;='1-Input'!$C$12,'1-Input'!$B$12,0))+C514*(1-'P-Parametri'!$B$6*B514))*(1+'1-Input'!$B$27))</f>
        <v>33242.0070309863</v>
      </c>
      <c r="E514" s="18">
        <f>IF($A514&gt;'1-Input'!$B$26,G513,(G513-C514)*(1+$C$4))</f>
        <v>359649.82649808639</v>
      </c>
      <c r="F514" s="18">
        <f>IF($A514&gt;'1-Input'!$B$26,D514,D514-'P-Parametri'!$B$8*(E514+D514)+MIN(MAX(E514,0),'P-Parametri'!$B$8*(E514+D514)))</f>
        <v>33242.0070309863</v>
      </c>
      <c r="G514" s="18">
        <f>IF($A514&gt;'1-Input'!$B$26,E514,E514-MIN(MAX(E514,0),'P-Parametri'!$B$8*(E514+D514)))</f>
        <v>358864.04283102823</v>
      </c>
      <c r="H514" s="18">
        <f>IF($A514&gt;'1-Input'!$B$26,H513,H513-C514*(1-B514))</f>
        <v>238615.76364428311</v>
      </c>
      <c r="I514" s="11">
        <f>IF($A514&gt;'1-Input'!$B$26,0,IF(N513&lt;=0,0,MAX(0,(N513-O513)/N513)))</f>
        <v>0.31637440272364536</v>
      </c>
      <c r="J514" s="18">
        <f>IF($A514&gt;'1-Input'!$B$26,0,(MAX(0,I506-IF($A514&gt;='1-Input'!$C$12,'1-Input'!$B$12,0))-MIN(MAX(M513,0),MAX(0,I506-IF($A514&gt;='1-Input'!$C$12,'1-Input'!$B$12,0))))*(1/(1-'P-Parametri'!$B$6*I514))+MIN(MAX(0,N513-(MAX(0,I506-IF($A514&gt;='1-Input'!$C$12,'1-Input'!$B$12,0))-MIN(MAX(M513,0),MAX(0,I506-IF($A514&gt;='1-Input'!$C$12,'1-Input'!$B$12,0))))*(1/(1-'P-Parametri'!$B$6*I514))),MAX(0,2*I506-(M513-MIN(MAX(M513,0),MAX(0,I506-IF($A514&gt;='1-Input'!$C$12,'1-Input'!$B$12,0)))))*(1/(1-'P-Parametri'!$B$6*I514))))</f>
        <v>24088.221154161765</v>
      </c>
      <c r="K514" s="18">
        <f>IF($A514&gt;'1-Input'!$B$26,M513,(M513-MAX(0,I506-IF($A514&gt;='1-Input'!$C$12,'1-Input'!$B$12,0))+J514*(1-'P-Parametri'!$B$6*I514))*(1+'1-Input'!$B$27))</f>
        <v>43739.482935508291</v>
      </c>
      <c r="L514" s="18">
        <f>IF($A514&gt;'1-Input'!$B$26,N513,(N513-J514)*(1+$C$4))</f>
        <v>309353.45616257709</v>
      </c>
      <c r="M514" s="18">
        <f>IF($A514&gt;'1-Input'!$B$26,K514,K514-'P-Parametri'!$B$8*(L514+K514)+MIN(MAX(L514,0),'P-Parametri'!$B$8*(L514+K514)))</f>
        <v>43739.482935508291</v>
      </c>
      <c r="N514" s="18">
        <f>IF($A514&gt;'1-Input'!$B$26,L514,L514-MIN(MAX(L514,0),'P-Parametri'!$B$8*(L514+K514)))</f>
        <v>308647.27028438094</v>
      </c>
      <c r="O514" s="18">
        <f>IF($A514&gt;'1-Input'!$B$26,O513,O513-J514*(1-I514))</f>
        <v>205322.27304722948</v>
      </c>
      <c r="P514" s="11">
        <f>IF($A514&gt;'1-Input'!$B$26,0,IF(U513&lt;=0,0,MAX(0,(U513-V513)/U513)))</f>
        <v>0.31656189210980124</v>
      </c>
      <c r="Q514" s="18">
        <f>IF($A514&gt;'1-Input'!$B$26,0,(MAX(0,P506-IF($A514&gt;='1-Input'!$C$12,'1-Input'!$B$12,0))-MIN(MAX(T513,0),MAX(0,P506-IF($A514&gt;='1-Input'!$C$12,'1-Input'!$B$12,0))))*(1/(1-'P-Parametri'!$B$6*P514))+MIN(MAX(0,U513-(MAX(0,P506-IF($A514&gt;='1-Input'!$C$12,'1-Input'!$B$12,0))-MIN(MAX(T513,0),MAX(0,P506-IF($A514&gt;='1-Input'!$C$12,'1-Input'!$B$12,0))))*(1/(1-'P-Parametri'!$B$6*P514))),MAX(0,2*P506-(T513-MIN(MAX(T513,0),MAX(0,P506-IF($A514&gt;='1-Input'!$C$12,'1-Input'!$B$12,0)))))*(1/(1-'P-Parametri'!$B$6*P514))))</f>
        <v>19930.677664132345</v>
      </c>
      <c r="R514" s="18">
        <f>IF($A514&gt;'1-Input'!$B$26,T513,(T513-MAX(0,P506-IF($A514&gt;='1-Input'!$C$12,'1-Input'!$B$12,0))+Q514*(1-'P-Parametri'!$B$6*P514))*(1+'1-Input'!$B$27))</f>
        <v>36188.277471006419</v>
      </c>
      <c r="S514" s="18">
        <f>IF($A514&gt;'1-Input'!$B$26,U513,(U513-Q514)*(1+$C$4))</f>
        <v>345533.09242988966</v>
      </c>
      <c r="T514" s="18">
        <f>IF($A514&gt;'1-Input'!$B$26,R514,R514-'P-Parametri'!$B$8*(S514+R514)+MIN(MAX(S514,0),'P-Parametri'!$B$8*(S514+R514)))</f>
        <v>36188.277471006419</v>
      </c>
      <c r="U514" s="18">
        <f>IF($A514&gt;'1-Input'!$B$26,S514,S514-MIN(MAX(S514,0),'P-Parametri'!$B$8*(S514+R514)))</f>
        <v>344769.64969008788</v>
      </c>
      <c r="V514" s="18">
        <f>IF($A514&gt;'1-Input'!$B$26,V513,V513-Q514*(1-P514))</f>
        <v>229272.31349876983</v>
      </c>
      <c r="W514" s="11">
        <f>IF($A514&gt;'1-Input'!$B$26,0,IF(AB513&lt;=0,0,MAX(0,(AB513-AC513)/AB513)))</f>
        <v>0.31657120637092828</v>
      </c>
      <c r="X514" s="18">
        <f>IF($A514&gt;'1-Input'!$B$26,0,(MAX(0,W506-IF($A514&gt;='1-Input'!$C$12,'1-Input'!$B$12,0))-MIN(MAX(AA513,0),MAX(0,W506-IF($A514&gt;='1-Input'!$C$12,'1-Input'!$B$12,0))))*(1/(1-'P-Parametri'!$B$6*W514))+MIN(MAX(0,AB513-(MAX(0,W506-IF($A514&gt;='1-Input'!$C$12,'1-Input'!$B$12,0))-MIN(MAX(AA513,0),MAX(0,W506-IF($A514&gt;='1-Input'!$C$12,'1-Input'!$B$12,0))))*(1/(1-'P-Parametri'!$B$6*W514))),MAX(0,2*W506-(AA513-MIN(MAX(AA513,0),MAX(0,W506-IF($A514&gt;='1-Input'!$C$12,'1-Input'!$B$12,0)))))*(1/(1-'P-Parametri'!$B$6*W514))))</f>
        <v>19710.170047144849</v>
      </c>
      <c r="Y514" s="18">
        <f>IF($A514&gt;'1-Input'!$B$26,AA513,(AA513-MAX(0,W506-IF($A514&gt;='1-Input'!$C$12,'1-Input'!$B$12,0))+X514*(1-'P-Parametri'!$B$6*W514))*(1+'1-Input'!$B$27))</f>
        <v>35787.805734234928</v>
      </c>
      <c r="Z514" s="18">
        <f>IF($A514&gt;'1-Input'!$B$26,AB513,(AB513-X514)*(1+$C$4))</f>
        <v>347451.89524577971</v>
      </c>
      <c r="AA514" s="18">
        <f>IF($A514&gt;'1-Input'!$B$26,Y514,Y514-'P-Parametri'!$B$8*(Z514+Y514)+MIN(MAX(Z514,0),'P-Parametri'!$B$8*(Z514+Y514)))</f>
        <v>35787.805734234928</v>
      </c>
      <c r="AB514" s="18">
        <f>IF($A514&gt;'1-Input'!$B$26,Z514,Z514-MIN(MAX(Z514,0),'P-Parametri'!$B$8*(Z514+Y514)))</f>
        <v>346685.41584381968</v>
      </c>
      <c r="AC514" s="18">
        <f>IF($A514&gt;'1-Input'!$B$26,AC513,AC513-X514*(1-W514))</f>
        <v>230542.35884656102</v>
      </c>
      <c r="AD514" s="11">
        <f>IF($A514&gt;'1-Input'!$B$26,0,IF(AI513&lt;=0,0,MAX(0,(AI513-AJ513)/AI513)))</f>
        <v>0.3165718460706069</v>
      </c>
      <c r="AE514" s="18">
        <f>IF($A514&gt;'1-Input'!$B$26,0,(MAX(0,AD506-IF($A514&gt;='1-Input'!$C$12,'1-Input'!$B$12,0))-MIN(MAX(AH513,0),MAX(0,AD506-IF($A514&gt;='1-Input'!$C$12,'1-Input'!$B$12,0))))*(1/(1-'P-Parametri'!$B$6*AD514))+MIN(MAX(0,AI513-(MAX(0,AD506-IF($A514&gt;='1-Input'!$C$12,'1-Input'!$B$12,0))-MIN(MAX(AH513,0),MAX(0,AD506-IF($A514&gt;='1-Input'!$C$12,'1-Input'!$B$12,0))))*(1/(1-'P-Parametri'!$B$6*AD514))),MAX(0,2*AD506-(AH513-MIN(MAX(AH513,0),MAX(0,AD506-IF($A514&gt;='1-Input'!$C$12,'1-Input'!$B$12,0)))))*(1/(1-'P-Parametri'!$B$6*AD514))))</f>
        <v>19694.974263178166</v>
      </c>
      <c r="AF514" s="18">
        <f>IF($A514&gt;'1-Input'!$B$26,AH513,(AH513-MAX(0,AD506-IF($A514&gt;='1-Input'!$C$12,'1-Input'!$B$12,0))+AE514*(1-'P-Parametri'!$B$6*AD514))*(1+'1-Input'!$B$27))</f>
        <v>35760.208229591961</v>
      </c>
      <c r="AG514" s="18">
        <f>IF($A514&gt;'1-Input'!$B$26,AI513,(AI513-AE514)*(1+$C$4))</f>
        <v>347584.12488998281</v>
      </c>
      <c r="AH514" s="18">
        <f>IF($A514&gt;'1-Input'!$B$26,AF514,AF514-'P-Parametri'!$B$8*(AG514+AF514)+MIN(MAX(AG514,0),'P-Parametri'!$B$8*(AG514+AF514)))</f>
        <v>35760.208229591961</v>
      </c>
      <c r="AI514" s="18">
        <f>IF($A514&gt;'1-Input'!$B$26,AG514,AG514-MIN(MAX(AG514,0),'P-Parametri'!$B$8*(AG514+AF514)))</f>
        <v>346817.43622374366</v>
      </c>
      <c r="AJ514" s="18">
        <f>IF($A514&gt;'1-Input'!$B$26,AJ513,AJ513-AE514*(1-AD514))</f>
        <v>230629.88039681996</v>
      </c>
      <c r="AK514" s="11">
        <f>IF($A514&gt;'1-Input'!$B$26,0,IF(AP513&lt;=0,0,MAX(0,(AP513-AQ513)/AP513)))</f>
        <v>0.31657184758708912</v>
      </c>
      <c r="AL514" s="18">
        <f>IF($A514&gt;'1-Input'!$B$26,0,(MAX(0,AK506-IF($A514&gt;='1-Input'!$C$12,'1-Input'!$B$12,0))-MIN(MAX(AO513,0),MAX(0,AK506-IF($A514&gt;='1-Input'!$C$12,'1-Input'!$B$12,0))))*(1/(1-'P-Parametri'!$B$6*AK514))+MIN(MAX(0,AP513-(MAX(0,AK506-IF($A514&gt;='1-Input'!$C$12,'1-Input'!$B$12,0))-MIN(MAX(AO513,0),MAX(0,AK506-IF($A514&gt;='1-Input'!$C$12,'1-Input'!$B$12,0))))*(1/(1-'P-Parametri'!$B$6*AK514))),MAX(0,2*AK506-(AO513-MIN(MAX(AO513,0),MAX(0,AK506-IF($A514&gt;='1-Input'!$C$12,'1-Input'!$B$12,0)))))*(1/(1-'P-Parametri'!$B$6*AK514))))</f>
        <v>19694.938231934975</v>
      </c>
      <c r="AM514" s="18">
        <f>IF($A514&gt;'1-Input'!$B$26,AO513,(AO513-MAX(0,AK506-IF($A514&gt;='1-Input'!$C$12,'1-Input'!$B$12,0))+AL514*(1-'P-Parametri'!$B$6*AK514))*(1+'1-Input'!$B$27))</f>
        <v>35760.142792219878</v>
      </c>
      <c r="AN514" s="18">
        <f>IF($A514&gt;'1-Input'!$B$26,AP513,(AP513-AL514)*(1+$C$4))</f>
        <v>347584.43842416757</v>
      </c>
      <c r="AO514" s="18">
        <f>IF($A514&gt;'1-Input'!$B$26,AM514,AM514-'P-Parametri'!$B$8*(AN514+AM514)+MIN(MAX(AN514,0),'P-Parametri'!$B$8*(AN514+AM514)))</f>
        <v>35760.142792219878</v>
      </c>
      <c r="AP514" s="18">
        <f>IF($A514&gt;'1-Input'!$B$26,AN514,AN514-MIN(MAX(AN514,0),'P-Parametri'!$B$8*(AN514+AM514)))</f>
        <v>346817.74926173477</v>
      </c>
      <c r="AQ514" s="18">
        <f>IF($A514&gt;'1-Input'!$B$26,AQ513,AQ513-AL514*(1-AK514))</f>
        <v>230630.08792204663</v>
      </c>
    </row>
    <row r="515" spans="1:43">
      <c r="A515" s="10">
        <f>7</f>
        <v>7</v>
      </c>
      <c r="B515" s="11">
        <f>IF($A515&gt;'1-Input'!$B$26,0,IF(G514&lt;=0,0,MAX(0,(G514-H514)/G514)))</f>
        <v>0.33508032244780855</v>
      </c>
      <c r="C515" s="18">
        <f>IF($A515&gt;'1-Input'!$B$26,0,(MAX(0,B506-IF($A515&gt;='1-Input'!$C$12,'1-Input'!$B$12,0))-MIN(MAX(F514,0),MAX(0,B506-IF($A515&gt;='1-Input'!$C$12,'1-Input'!$B$12,0))))*(1/(1-'P-Parametri'!$B$6*B515))+MIN(MAX(0,G514-(MAX(0,B506-IF($A515&gt;='1-Input'!$C$12,'1-Input'!$B$12,0))-MIN(MAX(F514,0),MAX(0,B506-IF($A515&gt;='1-Input'!$C$12,'1-Input'!$B$12,0))))*(1/(1-'P-Parametri'!$B$6*B515))),MAX(0,2*B506-(F514-MIN(MAX(F514,0),MAX(0,B506-IF($A515&gt;='1-Input'!$C$12,'1-Input'!$B$12,0)))))*(1/(1-'P-Parametri'!$B$6*B515))))</f>
        <v>18404.582398049595</v>
      </c>
      <c r="D515" s="18">
        <f>IF($A515&gt;'1-Input'!$B$26,F514,(F514-MAX(0,B506-IF($A515&gt;='1-Input'!$C$12,'1-Input'!$B$12,0))+C515*(1-'P-Parametri'!$B$6*B515))*(1+'1-Input'!$B$27))</f>
        <v>33242.0070309863</v>
      </c>
      <c r="E515" s="18">
        <f>IF($A515&gt;'1-Input'!$B$26,G514,(G514-C515)*(1+$C$4))</f>
        <v>350673.244245968</v>
      </c>
      <c r="F515" s="18">
        <f>IF($A515&gt;'1-Input'!$B$26,D515,D515-'P-Parametri'!$B$8*(E515+D515)+MIN(MAX(E515,0),'P-Parametri'!$B$8*(E515+D515)))</f>
        <v>33242.0070309863</v>
      </c>
      <c r="G515" s="18">
        <f>IF($A515&gt;'1-Input'!$B$26,E515,E515-MIN(MAX(E515,0),'P-Parametri'!$B$8*(E515+D515)))</f>
        <v>349905.4137434141</v>
      </c>
      <c r="H515" s="18">
        <f>IF($A515&gt;'1-Input'!$B$26,H514,H514-C515*(1-B515))</f>
        <v>226378.19465068923</v>
      </c>
      <c r="I515" s="11">
        <f>IF($A515&gt;'1-Input'!$B$26,0,IF(N514&lt;=0,0,MAX(0,(N514-O514)/N514)))</f>
        <v>0.33476724787473428</v>
      </c>
      <c r="J515" s="18">
        <f>IF($A515&gt;'1-Input'!$B$26,0,(MAX(0,I506-IF($A515&gt;='1-Input'!$C$12,'1-Input'!$B$12,0))-MIN(MAX(M514,0),MAX(0,I506-IF($A515&gt;='1-Input'!$C$12,'1-Input'!$B$12,0))))*(1/(1-'P-Parametri'!$B$6*I515))+MIN(MAX(0,N514-(MAX(0,I506-IF($A515&gt;='1-Input'!$C$12,'1-Input'!$B$12,0))-MIN(MAX(M514,0),MAX(0,I506-IF($A515&gt;='1-Input'!$C$12,'1-Input'!$B$12,0))))*(1/(1-'P-Parametri'!$B$6*I515))),MAX(0,2*I506-(M514-MIN(MAX(M514,0),MAX(0,I506-IF($A515&gt;='1-Input'!$C$12,'1-Input'!$B$12,0)))))*(1/(1-'P-Parametri'!$B$6*I515))))</f>
        <v>24214.396643317763</v>
      </c>
      <c r="K515" s="18">
        <f>IF($A515&gt;'1-Input'!$B$26,M514,(M514-MAX(0,I506-IF($A515&gt;='1-Input'!$C$12,'1-Input'!$B$12,0))+J515*(1-'P-Parametri'!$B$6*I515))*(1+'1-Input'!$B$27))</f>
        <v>43739.482935508291</v>
      </c>
      <c r="L515" s="18">
        <f>IF($A515&gt;'1-Input'!$B$26,N514,(N514-J515)*(1+$C$4))</f>
        <v>292965.85985029506</v>
      </c>
      <c r="M515" s="18">
        <f>IF($A515&gt;'1-Input'!$B$26,K515,K515-'P-Parametri'!$B$8*(L515+K515)+MIN(MAX(L515,0),'P-Parametri'!$B$8*(L515+K515)))</f>
        <v>43739.482935508291</v>
      </c>
      <c r="N515" s="18">
        <f>IF($A515&gt;'1-Input'!$B$26,L515,L515-MIN(MAX(L515,0),'P-Parametri'!$B$8*(L515+K515)))</f>
        <v>292292.44916472345</v>
      </c>
      <c r="O515" s="18">
        <f>IF($A515&gt;'1-Input'!$B$26,O514,O514-J515*(1-I515))</f>
        <v>189214.06332714242</v>
      </c>
      <c r="P515" s="11">
        <f>IF($A515&gt;'1-Input'!$B$26,0,IF(U514&lt;=0,0,MAX(0,(U514-V514)/U514)))</f>
        <v>0.33499856003896561</v>
      </c>
      <c r="Q515" s="18">
        <f>IF($A515&gt;'1-Input'!$B$26,0,(MAX(0,P506-IF($A515&gt;='1-Input'!$C$12,'1-Input'!$B$12,0))-MIN(MAX(T514,0),MAX(0,P506-IF($A515&gt;='1-Input'!$C$12,'1-Input'!$B$12,0))))*(1/(1-'P-Parametri'!$B$6*P515))+MIN(MAX(0,U514-(MAX(0,P506-IF($A515&gt;='1-Input'!$C$12,'1-Input'!$B$12,0))-MIN(MAX(T514,0),MAX(0,P506-IF($A515&gt;='1-Input'!$C$12,'1-Input'!$B$12,0))))*(1/(1-'P-Parametri'!$B$6*P515))),MAX(0,2*P506-(T514-MIN(MAX(T514,0),MAX(0,P506-IF($A515&gt;='1-Input'!$C$12,'1-Input'!$B$12,0)))))*(1/(1-'P-Parametri'!$B$6*P515))))</f>
        <v>20035.331333866052</v>
      </c>
      <c r="R515" s="18">
        <f>IF($A515&gt;'1-Input'!$B$26,T514,(T514-MAX(0,P506-IF($A515&gt;='1-Input'!$C$12,'1-Input'!$B$12,0))+Q515*(1-'P-Parametri'!$B$6*P515))*(1+'1-Input'!$B$27))</f>
        <v>36188.277471006419</v>
      </c>
      <c r="S515" s="18">
        <f>IF($A515&gt;'1-Input'!$B$26,U514,(U514-Q515)*(1+$C$4))</f>
        <v>334476.34790690849</v>
      </c>
      <c r="T515" s="18">
        <f>IF($A515&gt;'1-Input'!$B$26,R515,R515-'P-Parametri'!$B$8*(S515+R515)+MIN(MAX(S515,0),'P-Parametri'!$B$8*(S515+R515)))</f>
        <v>36188.277471006419</v>
      </c>
      <c r="U515" s="18">
        <f>IF($A515&gt;'1-Input'!$B$26,S515,S515-MIN(MAX(S515,0),'P-Parametri'!$B$8*(S515+R515)))</f>
        <v>333735.01865615265</v>
      </c>
      <c r="V515" s="18">
        <f>IF($A515&gt;'1-Input'!$B$26,V514,V514-Q515*(1-P515))</f>
        <v>215948.78931165248</v>
      </c>
      <c r="W515" s="11">
        <f>IF($A515&gt;'1-Input'!$B$26,0,IF(AB514&lt;=0,0,MAX(0,(AB514-AC514)/AB514)))</f>
        <v>0.33500993029825232</v>
      </c>
      <c r="X515" s="18">
        <f>IF($A515&gt;'1-Input'!$B$26,0,(MAX(0,W506-IF($A515&gt;='1-Input'!$C$12,'1-Input'!$B$12,0))-MIN(MAX(AA514,0),MAX(0,W506-IF($A515&gt;='1-Input'!$C$12,'1-Input'!$B$12,0))))*(1/(1-'P-Parametri'!$B$6*W515))+MIN(MAX(0,AB514-(MAX(0,W506-IF($A515&gt;='1-Input'!$C$12,'1-Input'!$B$12,0))-MIN(MAX(AA514,0),MAX(0,W506-IF($A515&gt;='1-Input'!$C$12,'1-Input'!$B$12,0))))*(1/(1-'P-Parametri'!$B$6*W515))),MAX(0,2*W506-(AA514-MIN(MAX(AA514,0),MAX(0,W506-IF($A515&gt;='1-Input'!$C$12,'1-Input'!$B$12,0)))))*(1/(1-'P-Parametri'!$B$6*W515))))</f>
        <v>19813.677733747711</v>
      </c>
      <c r="Y515" s="18">
        <f>IF($A515&gt;'1-Input'!$B$26,AA514,(AA514-MAX(0,W506-IF($A515&gt;='1-Input'!$C$12,'1-Input'!$B$12,0))+X515*(1-'P-Parametri'!$B$6*W515))*(1+'1-Input'!$B$27))</f>
        <v>35787.805734234928</v>
      </c>
      <c r="Z515" s="18">
        <f>IF($A515&gt;'1-Input'!$B$26,AB514,(AB514-X515)*(1+$C$4))</f>
        <v>336677.89025337412</v>
      </c>
      <c r="AA515" s="18">
        <f>IF($A515&gt;'1-Input'!$B$26,Y515,Y515-'P-Parametri'!$B$8*(Z515+Y515)+MIN(MAX(Z515,0),'P-Parametri'!$B$8*(Z515+Y515)))</f>
        <v>35787.805734234928</v>
      </c>
      <c r="AB515" s="18">
        <f>IF($A515&gt;'1-Input'!$B$26,Z515,Z515-MIN(MAX(Z515,0),'P-Parametri'!$B$8*(Z515+Y515)))</f>
        <v>335932.95886139892</v>
      </c>
      <c r="AC515" s="18">
        <f>IF($A515&gt;'1-Input'!$B$26,AC514,AC514-X515*(1-W515))</f>
        <v>217366.45990934817</v>
      </c>
      <c r="AD515" s="11">
        <f>IF($A515&gt;'1-Input'!$B$26,0,IF(AI514&lt;=0,0,MAX(0,(AI514-AJ514)/AI514)))</f>
        <v>0.33501071079934741</v>
      </c>
      <c r="AE515" s="18">
        <f>IF($A515&gt;'1-Input'!$B$26,0,(MAX(0,AD506-IF($A515&gt;='1-Input'!$C$12,'1-Input'!$B$12,0))-MIN(MAX(AH514,0),MAX(0,AD506-IF($A515&gt;='1-Input'!$C$12,'1-Input'!$B$12,0))))*(1/(1-'P-Parametri'!$B$6*AD515))+MIN(MAX(0,AI514-(MAX(0,AD506-IF($A515&gt;='1-Input'!$C$12,'1-Input'!$B$12,0))-MIN(MAX(AH514,0),MAX(0,AD506-IF($A515&gt;='1-Input'!$C$12,'1-Input'!$B$12,0))))*(1/(1-'P-Parametri'!$B$6*AD515))),MAX(0,2*AD506-(AH514-MIN(MAX(AH514,0),MAX(0,AD506-IF($A515&gt;='1-Input'!$C$12,'1-Input'!$B$12,0)))))*(1/(1-'P-Parametri'!$B$6*AD515))))</f>
        <v>19798.402962116154</v>
      </c>
      <c r="AF515" s="18">
        <f>IF($A515&gt;'1-Input'!$B$26,AH514,(AH514-MAX(0,AD506-IF($A515&gt;='1-Input'!$C$12,'1-Input'!$B$12,0))+AE515*(1-'P-Parametri'!$B$6*AD515))*(1+'1-Input'!$B$27))</f>
        <v>35760.208229591961</v>
      </c>
      <c r="AG515" s="18">
        <f>IF($A515&gt;'1-Input'!$B$26,AI514,(AI514-AE515)*(1+$C$4))</f>
        <v>336829.6042594763</v>
      </c>
      <c r="AH515" s="18">
        <f>IF($A515&gt;'1-Input'!$B$26,AF515,AF515-'P-Parametri'!$B$8*(AG515+AF515)+MIN(MAX(AG515,0),'P-Parametri'!$B$8*(AG515+AF515)))</f>
        <v>35760.208229591961</v>
      </c>
      <c r="AI515" s="18">
        <f>IF($A515&gt;'1-Input'!$B$26,AG515,AG515-MIN(MAX(AG515,0),'P-Parametri'!$B$8*(AG515+AF515)))</f>
        <v>336084.42463449814</v>
      </c>
      <c r="AJ515" s="18">
        <f>IF($A515&gt;'1-Input'!$B$26,AJ514,AJ514-AE515*(1-AD515))</f>
        <v>217464.15448373425</v>
      </c>
      <c r="AK515" s="11">
        <f>IF($A515&gt;'1-Input'!$B$26,0,IF(AP514&lt;=0,0,MAX(0,(AP514-AQ514)/AP514)))</f>
        <v>0.33501071264955412</v>
      </c>
      <c r="AL515" s="18">
        <f>IF($A515&gt;'1-Input'!$B$26,0,(MAX(0,AK506-IF($A515&gt;='1-Input'!$C$12,'1-Input'!$B$12,0))-MIN(MAX(AO514,0),MAX(0,AK506-IF($A515&gt;='1-Input'!$C$12,'1-Input'!$B$12,0))))*(1/(1-'P-Parametri'!$B$6*AK515))+MIN(MAX(0,AP514-(MAX(0,AK506-IF($A515&gt;='1-Input'!$C$12,'1-Input'!$B$12,0))-MIN(MAX(AO514,0),MAX(0,AK506-IF($A515&gt;='1-Input'!$C$12,'1-Input'!$B$12,0))))*(1/(1-'P-Parametri'!$B$6*AK515))),MAX(0,2*AK506-(AO514-MIN(MAX(AO514,0),MAX(0,AK506-IF($A515&gt;='1-Input'!$C$12,'1-Input'!$B$12,0)))))*(1/(1-'P-Parametri'!$B$6*AK515))))</f>
        <v>19798.366743580351</v>
      </c>
      <c r="AM515" s="18">
        <f>IF($A515&gt;'1-Input'!$B$26,AO514,(AO514-MAX(0,AK506-IF($A515&gt;='1-Input'!$C$12,'1-Input'!$B$12,0))+AL515*(1-'P-Parametri'!$B$6*AK515))*(1+'1-Input'!$B$27))</f>
        <v>35760.142792219878</v>
      </c>
      <c r="AN515" s="18">
        <f>IF($A515&gt;'1-Input'!$B$26,AP514,(AP514-AL515)*(1+$C$4))</f>
        <v>336829.96399369912</v>
      </c>
      <c r="AO515" s="18">
        <f>IF($A515&gt;'1-Input'!$B$26,AM515,AM515-'P-Parametri'!$B$8*(AN515+AM515)+MIN(MAX(AN515,0),'P-Parametri'!$B$8*(AN515+AM515)))</f>
        <v>35760.142792219878</v>
      </c>
      <c r="AP515" s="18">
        <f>IF($A515&gt;'1-Input'!$B$26,AN515,AN515-MIN(MAX(AN515,0),'P-Parametri'!$B$8*(AN515+AM515)))</f>
        <v>336084.7837801273</v>
      </c>
      <c r="AQ515" s="18">
        <f>IF($A515&gt;'1-Input'!$B$26,AQ514,AQ514-AL515*(1-AK515))</f>
        <v>217464.38613053036</v>
      </c>
    </row>
    <row r="516" spans="1:43">
      <c r="A516" s="10">
        <f>8</f>
        <v>8</v>
      </c>
      <c r="B516" s="11">
        <f>IF($A516&gt;'1-Input'!$B$26,0,IF(G515&lt;=0,0,MAX(0,(G515-H515)/G515)))</f>
        <v>0.35303031688245751</v>
      </c>
      <c r="C516" s="18">
        <f>IF($A516&gt;'1-Input'!$B$26,0,(MAX(0,B506-IF($A516&gt;='1-Input'!$C$12,'1-Input'!$B$12,0))-MIN(MAX(F515,0),MAX(0,B506-IF($A516&gt;='1-Input'!$C$12,'1-Input'!$B$12,0))))*(1/(1-'P-Parametri'!$B$6*B516))+MIN(MAX(0,G515-(MAX(0,B506-IF($A516&gt;='1-Input'!$C$12,'1-Input'!$B$12,0))-MIN(MAX(F515,0),MAX(0,B506-IF($A516&gt;='1-Input'!$C$12,'1-Input'!$B$12,0))))*(1/(1-'P-Parametri'!$B$6*B516))),MAX(0,2*B506-(F515-MIN(MAX(F515,0),MAX(0,B506-IF($A516&gt;='1-Input'!$C$12,'1-Input'!$B$12,0)))))*(1/(1-'P-Parametri'!$B$6*B516))))</f>
        <v>18499.157396285038</v>
      </c>
      <c r="D516" s="18">
        <f>IF($A516&gt;'1-Input'!$B$26,F515,(F515-MAX(0,B506-IF($A516&gt;='1-Input'!$C$12,'1-Input'!$B$12,0))+C516*(1-'P-Parametri'!$B$6*B516))*(1+'1-Input'!$B$27))</f>
        <v>33242.0070309863</v>
      </c>
      <c r="E516" s="18">
        <f>IF($A516&gt;'1-Input'!$B$26,G515,(G515-C516)*(1+$C$4))</f>
        <v>341348.44403754297</v>
      </c>
      <c r="F516" s="18">
        <f>IF($A516&gt;'1-Input'!$B$26,D516,D516-'P-Parametri'!$B$8*(E516+D516)+MIN(MAX(E516,0),'P-Parametri'!$B$8*(E516+D516)))</f>
        <v>33242.0070309863</v>
      </c>
      <c r="G516" s="18">
        <f>IF($A516&gt;'1-Input'!$B$26,E516,E516-MIN(MAX(E516,0),'P-Parametri'!$B$8*(E516+D516)))</f>
        <v>340599.2631354059</v>
      </c>
      <c r="H516" s="18">
        <f>IF($A516&gt;'1-Input'!$B$26,H515,H515-C516*(1-B516))</f>
        <v>214409.80065207314</v>
      </c>
      <c r="I516" s="11">
        <f>IF($A516&gt;'1-Input'!$B$26,0,IF(N515&lt;=0,0,MAX(0,(N515-O515)/N515)))</f>
        <v>0.35265497323706263</v>
      </c>
      <c r="J516" s="18">
        <f>IF($A516&gt;'1-Input'!$B$26,0,(MAX(0,I506-IF($A516&gt;='1-Input'!$C$12,'1-Input'!$B$12,0))-MIN(MAX(M515,0),MAX(0,I506-IF($A516&gt;='1-Input'!$C$12,'1-Input'!$B$12,0))))*(1/(1-'P-Parametri'!$B$6*I516))+MIN(MAX(0,N515-(MAX(0,I506-IF($A516&gt;='1-Input'!$C$12,'1-Input'!$B$12,0))-MIN(MAX(M515,0),MAX(0,I506-IF($A516&gt;='1-Input'!$C$12,'1-Input'!$B$12,0))))*(1/(1-'P-Parametri'!$B$6*I516))),MAX(0,2*I506-(M515-MIN(MAX(M515,0),MAX(0,I506-IF($A516&gt;='1-Input'!$C$12,'1-Input'!$B$12,0)))))*(1/(1-'P-Parametri'!$B$6*I516))))</f>
        <v>24338.381362571017</v>
      </c>
      <c r="K516" s="18">
        <f>IF($A516&gt;'1-Input'!$B$26,M515,(M515-MAX(0,I506-IF($A516&gt;='1-Input'!$C$12,'1-Input'!$B$12,0))+J516*(1-'P-Parametri'!$B$6*I516))*(1+'1-Input'!$B$27))</f>
        <v>43739.482935508291</v>
      </c>
      <c r="L516" s="18">
        <f>IF($A516&gt;'1-Input'!$B$26,N515,(N515-J516)*(1+$C$4))</f>
        <v>275992.68983621697</v>
      </c>
      <c r="M516" s="18">
        <f>IF($A516&gt;'1-Input'!$B$26,K516,K516-'P-Parametri'!$B$8*(L516+K516)+MIN(MAX(L516,0),'P-Parametri'!$B$8*(L516+K516)))</f>
        <v>43739.482935508291</v>
      </c>
      <c r="N516" s="18">
        <f>IF($A516&gt;'1-Input'!$B$26,L516,L516-MIN(MAX(L516,0),'P-Parametri'!$B$8*(L516+K516)))</f>
        <v>275353.2254906735</v>
      </c>
      <c r="O516" s="18">
        <f>IF($A516&gt;'1-Input'!$B$26,O515,O515-J516*(1-I516))</f>
        <v>173458.73319262231</v>
      </c>
      <c r="P516" s="11">
        <f>IF($A516&gt;'1-Input'!$B$26,0,IF(U515&lt;=0,0,MAX(0,(U515-V515)/U515)))</f>
        <v>0.35293338355318171</v>
      </c>
      <c r="Q516" s="18">
        <f>IF($A516&gt;'1-Input'!$B$26,0,(MAX(0,P506-IF($A516&gt;='1-Input'!$C$12,'1-Input'!$B$12,0))-MIN(MAX(T515,0),MAX(0,P506-IF($A516&gt;='1-Input'!$C$12,'1-Input'!$B$12,0))))*(1/(1-'P-Parametri'!$B$6*P516))+MIN(MAX(0,U515-(MAX(0,P506-IF($A516&gt;='1-Input'!$C$12,'1-Input'!$B$12,0))-MIN(MAX(T515,0),MAX(0,P506-IF($A516&gt;='1-Input'!$C$12,'1-Input'!$B$12,0))))*(1/(1-'P-Parametri'!$B$6*P516))),MAX(0,2*P506-(T515-MIN(MAX(T515,0),MAX(0,P506-IF($A516&gt;='1-Input'!$C$12,'1-Input'!$B$12,0)))))*(1/(1-'P-Parametri'!$B$6*P516))))</f>
        <v>20138.196336338362</v>
      </c>
      <c r="R516" s="18">
        <f>IF($A516&gt;'1-Input'!$B$26,T515,(T515-MAX(0,P506-IF($A516&gt;='1-Input'!$C$12,'1-Input'!$B$12,0))+Q516*(1-'P-Parametri'!$B$6*P516))*(1+'1-Input'!$B$27))</f>
        <v>36188.277471006419</v>
      </c>
      <c r="S516" s="18">
        <f>IF($A516&gt;'1-Input'!$B$26,U515,(U515-Q516)*(1+$C$4))</f>
        <v>323004.72698940872</v>
      </c>
      <c r="T516" s="18">
        <f>IF($A516&gt;'1-Input'!$B$26,R516,R516-'P-Parametri'!$B$8*(S516+R516)+MIN(MAX(S516,0),'P-Parametri'!$B$8*(S516+R516)))</f>
        <v>36188.277471006419</v>
      </c>
      <c r="U516" s="18">
        <f>IF($A516&gt;'1-Input'!$B$26,S516,S516-MIN(MAX(S516,0),'P-Parametri'!$B$8*(S516+R516)))</f>
        <v>322286.34098048788</v>
      </c>
      <c r="V516" s="18">
        <f>IF($A516&gt;'1-Input'!$B$26,V515,V515-Q516*(1-P516))</f>
        <v>202918.03474695631</v>
      </c>
      <c r="W516" s="11">
        <f>IF($A516&gt;'1-Input'!$B$26,0,IF(AB515&lt;=0,0,MAX(0,(AB515-AC515)/AB515)))</f>
        <v>0.35294690748391133</v>
      </c>
      <c r="X516" s="18">
        <f>IF($A516&gt;'1-Input'!$B$26,0,(MAX(0,W506-IF($A516&gt;='1-Input'!$C$12,'1-Input'!$B$12,0))-MIN(MAX(AA515,0),MAX(0,W506-IF($A516&gt;='1-Input'!$C$12,'1-Input'!$B$12,0))))*(1/(1-'P-Parametri'!$B$6*W516))+MIN(MAX(0,AB515-(MAX(0,W506-IF($A516&gt;='1-Input'!$C$12,'1-Input'!$B$12,0))-MIN(MAX(AA515,0),MAX(0,W506-IF($A516&gt;='1-Input'!$C$12,'1-Input'!$B$12,0))))*(1/(1-'P-Parametri'!$B$6*W516))),MAX(0,2*W506-(AA515-MIN(MAX(AA515,0),MAX(0,W506-IF($A516&gt;='1-Input'!$C$12,'1-Input'!$B$12,0)))))*(1/(1-'P-Parametri'!$B$6*W516))))</f>
        <v>19915.417336271672</v>
      </c>
      <c r="Y516" s="18">
        <f>IF($A516&gt;'1-Input'!$B$26,AA515,(AA515-MAX(0,W506-IF($A516&gt;='1-Input'!$C$12,'1-Input'!$B$12,0))+X516*(1-'P-Parametri'!$B$6*W516))*(1+'1-Input'!$B$27))</f>
        <v>35787.805734234928</v>
      </c>
      <c r="Z516" s="18">
        <f>IF($A516&gt;'1-Input'!$B$26,AB515,(AB515-X516)*(1+$C$4))</f>
        <v>325498.06777088105</v>
      </c>
      <c r="AA516" s="18">
        <f>IF($A516&gt;'1-Input'!$B$26,Y516,Y516-'P-Parametri'!$B$8*(Z516+Y516)+MIN(MAX(Z516,0),'P-Parametri'!$B$8*(Z516+Y516)))</f>
        <v>35787.805734234928</v>
      </c>
      <c r="AB516" s="18">
        <f>IF($A516&gt;'1-Input'!$B$26,Z516,Z516-MIN(MAX(Z516,0),'P-Parametri'!$B$8*(Z516+Y516)))</f>
        <v>324775.49602387083</v>
      </c>
      <c r="AC516" s="18">
        <f>IF($A516&gt;'1-Input'!$B$26,AC515,AC515-X516*(1-W516))</f>
        <v>204480.12753316507</v>
      </c>
      <c r="AD516" s="11">
        <f>IF($A516&gt;'1-Input'!$B$26,0,IF(AI515&lt;=0,0,MAX(0,(AI515-AJ515)/AI515)))</f>
        <v>0.35294783529396512</v>
      </c>
      <c r="AE516" s="18">
        <f>IF($A516&gt;'1-Input'!$B$26,0,(MAX(0,AD506-IF($A516&gt;='1-Input'!$C$12,'1-Input'!$B$12,0))-MIN(MAX(AH515,0),MAX(0,AD506-IF($A516&gt;='1-Input'!$C$12,'1-Input'!$B$12,0))))*(1/(1-'P-Parametri'!$B$6*AD516))+MIN(MAX(0,AI515-(MAX(0,AD506-IF($A516&gt;='1-Input'!$C$12,'1-Input'!$B$12,0))-MIN(MAX(AH515,0),MAX(0,AD506-IF($A516&gt;='1-Input'!$C$12,'1-Input'!$B$12,0))))*(1/(1-'P-Parametri'!$B$6*AD516))),MAX(0,2*AD506-(AH515-MIN(MAX(AH515,0),MAX(0,AD506-IF($A516&gt;='1-Input'!$C$12,'1-Input'!$B$12,0)))))*(1/(1-'P-Parametri'!$B$6*AD516))))</f>
        <v>19900.064993391166</v>
      </c>
      <c r="AF516" s="18">
        <f>IF($A516&gt;'1-Input'!$B$26,AH515,(AH515-MAX(0,AD506-IF($A516&gt;='1-Input'!$C$12,'1-Input'!$B$12,0))+AE516*(1-'P-Parametri'!$B$6*AD516))*(1+'1-Input'!$B$27))</f>
        <v>35760.208229591961</v>
      </c>
      <c r="AG516" s="18">
        <f>IF($A516&gt;'1-Input'!$B$26,AI515,(AI515-AE516)*(1+$C$4))</f>
        <v>325669.89043034019</v>
      </c>
      <c r="AH516" s="18">
        <f>IF($A516&gt;'1-Input'!$B$26,AF516,AF516-'P-Parametri'!$B$8*(AG516+AF516)+MIN(MAX(AG516,0),'P-Parametri'!$B$8*(AG516+AF516)))</f>
        <v>35760.208229591961</v>
      </c>
      <c r="AI516" s="18">
        <f>IF($A516&gt;'1-Input'!$B$26,AG516,AG516-MIN(MAX(AG516,0),'P-Parametri'!$B$8*(AG516+AF516)))</f>
        <v>324947.03023302031</v>
      </c>
      <c r="AJ516" s="18">
        <f>IF($A516&gt;'1-Input'!$B$26,AJ515,AJ515-AE516*(1-AD516))</f>
        <v>204587.77435196971</v>
      </c>
      <c r="AK516" s="11">
        <f>IF($A516&gt;'1-Input'!$B$26,0,IF(AP515&lt;=0,0,MAX(0,(AP515-AQ515)/AP515)))</f>
        <v>0.35294783749329317</v>
      </c>
      <c r="AL516" s="18">
        <f>IF($A516&gt;'1-Input'!$B$26,0,(MAX(0,AK506-IF($A516&gt;='1-Input'!$C$12,'1-Input'!$B$12,0))-MIN(MAX(AO515,0),MAX(0,AK506-IF($A516&gt;='1-Input'!$C$12,'1-Input'!$B$12,0))))*(1/(1-'P-Parametri'!$B$6*AK516))+MIN(MAX(0,AP515-(MAX(0,AK506-IF($A516&gt;='1-Input'!$C$12,'1-Input'!$B$12,0))-MIN(MAX(AO515,0),MAX(0,AK506-IF($A516&gt;='1-Input'!$C$12,'1-Input'!$B$12,0))))*(1/(1-'P-Parametri'!$B$6*AK516))),MAX(0,2*AK506-(AO515-MIN(MAX(AO515,0),MAX(0,AK506-IF($A516&gt;='1-Input'!$C$12,'1-Input'!$B$12,0)))))*(1/(1-'P-Parametri'!$B$6*AK516))))</f>
        <v>19900.02859092096</v>
      </c>
      <c r="AM516" s="18">
        <f>IF($A516&gt;'1-Input'!$B$26,AO515,(AO515-MAX(0,AK506-IF($A516&gt;='1-Input'!$C$12,'1-Input'!$B$12,0))+AL516*(1-'P-Parametri'!$B$6*AK516))*(1+'1-Input'!$B$27))</f>
        <v>35760.142792219878</v>
      </c>
      <c r="AN516" s="18">
        <f>IF($A516&gt;'1-Input'!$B$26,AP515,(AP515-AL516)*(1+$C$4))</f>
        <v>325670.29784488253</v>
      </c>
      <c r="AO516" s="18">
        <f>IF($A516&gt;'1-Input'!$B$26,AM516,AM516-'P-Parametri'!$B$8*(AN516+AM516)+MIN(MAX(AN516,0),'P-Parametri'!$B$8*(AN516+AM516)))</f>
        <v>35760.142792219878</v>
      </c>
      <c r="AP516" s="18">
        <f>IF($A516&gt;'1-Input'!$B$26,AN516,AN516-MIN(MAX(AN516,0),'P-Parametri'!$B$8*(AN516+AM516)))</f>
        <v>324947.43696360831</v>
      </c>
      <c r="AQ516" s="18">
        <f>IF($A516&gt;'1-Input'!$B$26,AQ515,AQ515-AL516*(1-AK516))</f>
        <v>204588.02959682967</v>
      </c>
    </row>
    <row r="517" spans="1:43">
      <c r="A517" s="10">
        <f>9</f>
        <v>9</v>
      </c>
      <c r="B517" s="11">
        <f>IF($A517&gt;'1-Input'!$B$26,0,IF(G516&lt;=0,0,MAX(0,(G516-H516)/G516)))</f>
        <v>0.37049247059928575</v>
      </c>
      <c r="C517" s="18">
        <f>IF($A517&gt;'1-Input'!$B$26,0,(MAX(0,B506-IF($A517&gt;='1-Input'!$C$12,'1-Input'!$B$12,0))-MIN(MAX(F516,0),MAX(0,B506-IF($A517&gt;='1-Input'!$C$12,'1-Input'!$B$12,0))))*(1/(1-'P-Parametri'!$B$6*B517))+MIN(MAX(0,G516-(MAX(0,B506-IF($A517&gt;='1-Input'!$C$12,'1-Input'!$B$12,0))-MIN(MAX(F516,0),MAX(0,B506-IF($A517&gt;='1-Input'!$C$12,'1-Input'!$B$12,0))))*(1/(1-'P-Parametri'!$B$6*B517))),MAX(0,2*B506-(F516-MIN(MAX(F516,0),MAX(0,B506-IF($A517&gt;='1-Input'!$C$12,'1-Input'!$B$12,0)))))*(1/(1-'P-Parametri'!$B$6*B517))))</f>
        <v>18592.099456854499</v>
      </c>
      <c r="D517" s="18">
        <f>IF($A517&gt;'1-Input'!$B$26,F516,(F516-MAX(0,B506-IF($A517&gt;='1-Input'!$C$12,'1-Input'!$B$12,0))+C517*(1-'P-Parametri'!$B$6*B517))*(1+'1-Input'!$B$27))</f>
        <v>33242.0070309863</v>
      </c>
      <c r="E517" s="18">
        <f>IF($A517&gt;'1-Input'!$B$26,G516,(G516-C517)*(1+$C$4))</f>
        <v>331667.37858890794</v>
      </c>
      <c r="F517" s="18">
        <f>IF($A517&gt;'1-Input'!$B$26,D517,D517-'P-Parametri'!$B$8*(E517+D517)+MIN(MAX(E517,0),'P-Parametri'!$B$8*(E517+D517)))</f>
        <v>33242.0070309863</v>
      </c>
      <c r="G517" s="18">
        <f>IF($A517&gt;'1-Input'!$B$26,E517,E517-MIN(MAX(E517,0),'P-Parametri'!$B$8*(E517+D517)))</f>
        <v>330937.55981766817</v>
      </c>
      <c r="H517" s="18">
        <f>IF($A517&gt;'1-Input'!$B$26,H516,H516-C517*(1-B517))</f>
        <v>202705.9340566163</v>
      </c>
      <c r="I517" s="11">
        <f>IF($A517&gt;'1-Input'!$B$26,0,IF(N516&lt;=0,0,MAX(0,(N516-O516)/N516)))</f>
        <v>0.37005011332798954</v>
      </c>
      <c r="J517" s="18">
        <f>IF($A517&gt;'1-Input'!$B$26,0,(MAX(0,I506-IF($A517&gt;='1-Input'!$C$12,'1-Input'!$B$12,0))-MIN(MAX(M516,0),MAX(0,I506-IF($A517&gt;='1-Input'!$C$12,'1-Input'!$B$12,0))))*(1/(1-'P-Parametri'!$B$6*I517))+MIN(MAX(0,N516-(MAX(0,I506-IF($A517&gt;='1-Input'!$C$12,'1-Input'!$B$12,0))-MIN(MAX(M516,0),MAX(0,I506-IF($A517&gt;='1-Input'!$C$12,'1-Input'!$B$12,0))))*(1/(1-'P-Parametri'!$B$6*I517))),MAX(0,2*I506-(M516-MIN(MAX(M516,0),MAX(0,I506-IF($A517&gt;='1-Input'!$C$12,'1-Input'!$B$12,0)))))*(1/(1-'P-Parametri'!$B$6*I517))))</f>
        <v>24460.175643158884</v>
      </c>
      <c r="K517" s="18">
        <f>IF($A517&gt;'1-Input'!$B$26,M516,(M516-MAX(0,I506-IF($A517&gt;='1-Input'!$C$12,'1-Input'!$B$12,0))+J517*(1-'P-Parametri'!$B$6*I517))*(1+'1-Input'!$B$27))</f>
        <v>43739.482935508291</v>
      </c>
      <c r="L517" s="18">
        <f>IF($A517&gt;'1-Input'!$B$26,N516,(N516-J517)*(1+$C$4))</f>
        <v>258419.84134294008</v>
      </c>
      <c r="M517" s="18">
        <f>IF($A517&gt;'1-Input'!$B$26,K517,K517-'P-Parametri'!$B$8*(L517+K517)+MIN(MAX(L517,0),'P-Parametri'!$B$8*(L517+K517)))</f>
        <v>43739.482935508291</v>
      </c>
      <c r="N517" s="18">
        <f>IF($A517&gt;'1-Input'!$B$26,L517,L517-MIN(MAX(L517,0),'P-Parametri'!$B$8*(L517+K517)))</f>
        <v>257815.52269438319</v>
      </c>
      <c r="O517" s="18">
        <f>IF($A517&gt;'1-Input'!$B$26,O516,O516-J517*(1-I517))</f>
        <v>158050.04831823689</v>
      </c>
      <c r="P517" s="11">
        <f>IF($A517&gt;'1-Input'!$B$26,0,IF(U516&lt;=0,0,MAX(0,(U516-V516)/U516)))</f>
        <v>0.37037966260183042</v>
      </c>
      <c r="Q517" s="18">
        <f>IF($A517&gt;'1-Input'!$B$26,0,(MAX(0,P506-IF($A517&gt;='1-Input'!$C$12,'1-Input'!$B$12,0))-MIN(MAX(T516,0),MAX(0,P506-IF($A517&gt;='1-Input'!$C$12,'1-Input'!$B$12,0))))*(1/(1-'P-Parametri'!$B$6*P517))+MIN(MAX(0,U516-(MAX(0,P506-IF($A517&gt;='1-Input'!$C$12,'1-Input'!$B$12,0))-MIN(MAX(T516,0),MAX(0,P506-IF($A517&gt;='1-Input'!$C$12,'1-Input'!$B$12,0))))*(1/(1-'P-Parametri'!$B$6*P517))),MAX(0,2*P506-(T516-MIN(MAX(T516,0),MAX(0,P506-IF($A517&gt;='1-Input'!$C$12,'1-Input'!$B$12,0)))))*(1/(1-'P-Parametri'!$B$6*P517))))</f>
        <v>20239.277872211096</v>
      </c>
      <c r="R517" s="18">
        <f>IF($A517&gt;'1-Input'!$B$26,T516,(T516-MAX(0,P506-IF($A517&gt;='1-Input'!$C$12,'1-Input'!$B$12,0))+Q517*(1-'P-Parametri'!$B$6*P517))*(1+'1-Input'!$B$27))</f>
        <v>36188.277471006419</v>
      </c>
      <c r="S517" s="18">
        <f>IF($A517&gt;'1-Input'!$B$26,U516,(U516-Q517)*(1+$C$4))</f>
        <v>311108.47500152513</v>
      </c>
      <c r="T517" s="18">
        <f>IF($A517&gt;'1-Input'!$B$26,R517,R517-'P-Parametri'!$B$8*(S517+R517)+MIN(MAX(S517,0),'P-Parametri'!$B$8*(S517+R517)))</f>
        <v>36188.277471006419</v>
      </c>
      <c r="U517" s="18">
        <f>IF($A517&gt;'1-Input'!$B$26,S517,S517-MIN(MAX(S517,0),'P-Parametri'!$B$8*(S517+R517)))</f>
        <v>310413.88149658008</v>
      </c>
      <c r="V517" s="18">
        <f>IF($A517&gt;'1-Input'!$B$26,V516,V516-Q517*(1-P517))</f>
        <v>190174.97378435946</v>
      </c>
      <c r="W517" s="11">
        <f>IF($A517&gt;'1-Input'!$B$26,0,IF(AB516&lt;=0,0,MAX(0,(AB516-AC516)/AB516)))</f>
        <v>0.37039545767290311</v>
      </c>
      <c r="X517" s="18">
        <f>IF($A517&gt;'1-Input'!$B$26,0,(MAX(0,W506-IF($A517&gt;='1-Input'!$C$12,'1-Input'!$B$12,0))-MIN(MAX(AA516,0),MAX(0,W506-IF($A517&gt;='1-Input'!$C$12,'1-Input'!$B$12,0))))*(1/(1-'P-Parametri'!$B$6*W517))+MIN(MAX(0,AB516-(MAX(0,W506-IF($A517&gt;='1-Input'!$C$12,'1-Input'!$B$12,0))-MIN(MAX(AA516,0),MAX(0,W506-IF($A517&gt;='1-Input'!$C$12,'1-Input'!$B$12,0))))*(1/(1-'P-Parametri'!$B$6*W517))),MAX(0,2*W506-(AA516-MIN(MAX(AA516,0),MAX(0,W506-IF($A517&gt;='1-Input'!$C$12,'1-Input'!$B$12,0)))))*(1/(1-'P-Parametri'!$B$6*W517))))</f>
        <v>20015.394124093949</v>
      </c>
      <c r="Y517" s="18">
        <f>IF($A517&gt;'1-Input'!$B$26,AA516,(AA516-MAX(0,W506-IF($A517&gt;='1-Input'!$C$12,'1-Input'!$B$12,0))+X517*(1-'P-Parametri'!$B$6*W517))*(1+'1-Input'!$B$27))</f>
        <v>35787.805734234928</v>
      </c>
      <c r="Z517" s="18">
        <f>IF($A517&gt;'1-Input'!$B$26,AB516,(AB516-X517)*(1+$C$4))</f>
        <v>313902.90495677019</v>
      </c>
      <c r="AA517" s="18">
        <f>IF($A517&gt;'1-Input'!$B$26,Y517,Y517-'P-Parametri'!$B$8*(Z517+Y517)+MIN(MAX(Z517,0),'P-Parametri'!$B$8*(Z517+Y517)))</f>
        <v>35787.805734234928</v>
      </c>
      <c r="AB517" s="18">
        <f>IF($A517&gt;'1-Input'!$B$26,Z517,Z517-MIN(MAX(Z517,0),'P-Parametri'!$B$8*(Z517+Y517)))</f>
        <v>313203.52353538817</v>
      </c>
      <c r="AC517" s="18">
        <f>IF($A517&gt;'1-Input'!$B$26,AC516,AC516-X517*(1-W517))</f>
        <v>191878.34447616842</v>
      </c>
      <c r="AD517" s="11">
        <f>IF($A517&gt;'1-Input'!$B$26,0,IF(AI516&lt;=0,0,MAX(0,(AI516-AJ516)/AI516)))</f>
        <v>0.37039654061383692</v>
      </c>
      <c r="AE517" s="18">
        <f>IF($A517&gt;'1-Input'!$B$26,0,(MAX(0,AD506-IF($A517&gt;='1-Input'!$C$12,'1-Input'!$B$12,0))-MIN(MAX(AH516,0),MAX(0,AD506-IF($A517&gt;='1-Input'!$C$12,'1-Input'!$B$12,0))))*(1/(1-'P-Parametri'!$B$6*AD517))+MIN(MAX(0,AI516-(MAX(0,AD506-IF($A517&gt;='1-Input'!$C$12,'1-Input'!$B$12,0))-MIN(MAX(AH516,0),MAX(0,AD506-IF($A517&gt;='1-Input'!$C$12,'1-Input'!$B$12,0))))*(1/(1-'P-Parametri'!$B$6*AD517))),MAX(0,2*AD506-(AH516-MIN(MAX(AH516,0),MAX(0,AD506-IF($A517&gt;='1-Input'!$C$12,'1-Input'!$B$12,0)))))*(1/(1-'P-Parametri'!$B$6*AD517))))</f>
        <v>19999.965630688974</v>
      </c>
      <c r="AF517" s="18">
        <f>IF($A517&gt;'1-Input'!$B$26,AH516,(AH516-MAX(0,AD506-IF($A517&gt;='1-Input'!$C$12,'1-Input'!$B$12,0))+AE517*(1-'P-Parametri'!$B$6*AD517))*(1+'1-Input'!$B$27))</f>
        <v>35760.208229591961</v>
      </c>
      <c r="AG517" s="18">
        <f>IF($A517&gt;'1-Input'!$B$26,AI516,(AI516-AE517)*(1+$C$4))</f>
        <v>314095.47654040129</v>
      </c>
      <c r="AH517" s="18">
        <f>IF($A517&gt;'1-Input'!$B$26,AF517,AF517-'P-Parametri'!$B$8*(AG517+AF517)+MIN(MAX(AG517,0),'P-Parametri'!$B$8*(AG517+AF517)))</f>
        <v>35760.208229591961</v>
      </c>
      <c r="AI517" s="18">
        <f>IF($A517&gt;'1-Input'!$B$26,AG517,AG517-MIN(MAX(AG517,0),'P-Parametri'!$B$8*(AG517+AF517)))</f>
        <v>313395.76517086133</v>
      </c>
      <c r="AJ517" s="18">
        <f>IF($A517&gt;'1-Input'!$B$26,AJ516,AJ516-AE517*(1-AD517))</f>
        <v>191995.72680328356</v>
      </c>
      <c r="AK517" s="11">
        <f>IF($A517&gt;'1-Input'!$B$26,0,IF(AP516&lt;=0,0,MAX(0,(AP516-AQ516)/AP516)))</f>
        <v>0.3703965431807914</v>
      </c>
      <c r="AL517" s="18">
        <f>IF($A517&gt;'1-Input'!$B$26,0,(MAX(0,AK506-IF($A517&gt;='1-Input'!$C$12,'1-Input'!$B$12,0))-MIN(MAX(AO516,0),MAX(0,AK506-IF($A517&gt;='1-Input'!$C$12,'1-Input'!$B$12,0))))*(1/(1-'P-Parametri'!$B$6*AK517))+MIN(MAX(0,AP516-(MAX(0,AK506-IF($A517&gt;='1-Input'!$C$12,'1-Input'!$B$12,0))-MIN(MAX(AO516,0),MAX(0,AK506-IF($A517&gt;='1-Input'!$C$12,'1-Input'!$B$12,0))))*(1/(1-'P-Parametri'!$B$6*AK517))),MAX(0,2*AK506-(AO516-MIN(MAX(AO516,0),MAX(0,AK506-IF($A517&gt;='1-Input'!$C$12,'1-Input'!$B$12,0)))))*(1/(1-'P-Parametri'!$B$6*AK517))))</f>
        <v>19999.929047652724</v>
      </c>
      <c r="AM517" s="18">
        <f>IF($A517&gt;'1-Input'!$B$26,AO516,(AO516-MAX(0,AK506-IF($A517&gt;='1-Input'!$C$12,'1-Input'!$B$12,0))+AL517*(1-'P-Parametri'!$B$6*AK517))*(1+'1-Input'!$B$27))</f>
        <v>35760.142792219878</v>
      </c>
      <c r="AN517" s="18">
        <f>IF($A517&gt;'1-Input'!$B$26,AP516,(AP516-AL517)*(1+$C$4))</f>
        <v>314095.93315343431</v>
      </c>
      <c r="AO517" s="18">
        <f>IF($A517&gt;'1-Input'!$B$26,AM517,AM517-'P-Parametri'!$B$8*(AN517+AM517)+MIN(MAX(AN517,0),'P-Parametri'!$B$8*(AN517+AM517)))</f>
        <v>35760.142792219878</v>
      </c>
      <c r="AP517" s="18">
        <f>IF($A517&gt;'1-Input'!$B$26,AN517,AN517-MIN(MAX(AN517,0),'P-Parametri'!$B$8*(AN517+AM517)))</f>
        <v>313396.22100154299</v>
      </c>
      <c r="AQ517" s="18">
        <f>IF($A517&gt;'1-Input'!$B$26,AQ516,AQ516-AL517*(1-AK517))</f>
        <v>191996.00513228861</v>
      </c>
    </row>
    <row r="518" spans="1:43">
      <c r="A518" s="10">
        <f>10</f>
        <v>10</v>
      </c>
      <c r="B518" s="11">
        <f>IF($A518&gt;'1-Input'!$B$26,0,IF(G517&lt;=0,0,MAX(0,(G517-H517)/G517)))</f>
        <v>0.38747981894742251</v>
      </c>
      <c r="C518" s="18">
        <f>IF($A518&gt;'1-Input'!$B$26,0,(MAX(0,B506-IF($A518&gt;='1-Input'!$C$12,'1-Input'!$B$12,0))-MIN(MAX(F517,0),MAX(0,B506-IF($A518&gt;='1-Input'!$C$12,'1-Input'!$B$12,0))))*(1/(1-'P-Parametri'!$B$6*B518))+MIN(MAX(0,G517-(MAX(0,B506-IF($A518&gt;='1-Input'!$C$12,'1-Input'!$B$12,0))-MIN(MAX(F517,0),MAX(0,B506-IF($A518&gt;='1-Input'!$C$12,'1-Input'!$B$12,0))))*(1/(1-'P-Parametri'!$B$6*B518))),MAX(0,2*B506-(F517-MIN(MAX(F517,0),MAX(0,B506-IF($A518&gt;='1-Input'!$C$12,'1-Input'!$B$12,0)))))*(1/(1-'P-Parametri'!$B$6*B518))))</f>
        <v>18683.414934263597</v>
      </c>
      <c r="D518" s="18">
        <f>IF($A518&gt;'1-Input'!$B$26,F517,(F517-MAX(0,B506-IF($A518&gt;='1-Input'!$C$12,'1-Input'!$B$12,0))+C518*(1-'P-Parametri'!$B$6*B518))*(1+'1-Input'!$B$27))</f>
        <v>33242.0070309863</v>
      </c>
      <c r="E518" s="18">
        <f>IF($A518&gt;'1-Input'!$B$26,G517,(G517-C518)*(1+$C$4))</f>
        <v>321621.76922990667</v>
      </c>
      <c r="F518" s="18">
        <f>IF($A518&gt;'1-Input'!$B$26,D518,D518-'P-Parametri'!$B$8*(E518+D518)+MIN(MAX(E518,0),'P-Parametri'!$B$8*(E518+D518)))</f>
        <v>33242.0070309863</v>
      </c>
      <c r="G518" s="18">
        <f>IF($A518&gt;'1-Input'!$B$26,E518,E518-MIN(MAX(E518,0),'P-Parametri'!$B$8*(E518+D518)))</f>
        <v>320912.04167738487</v>
      </c>
      <c r="H518" s="18">
        <f>IF($A518&gt;'1-Input'!$B$26,H517,H517-C518*(1-B518))</f>
        <v>191261.96535840072</v>
      </c>
      <c r="I518" s="11">
        <f>IF($A518&gt;'1-Input'!$B$26,0,IF(N517&lt;=0,0,MAX(0,(N517-O517)/N517)))</f>
        <v>0.38696457580798649</v>
      </c>
      <c r="J518" s="18">
        <f>IF($A518&gt;'1-Input'!$B$26,0,(MAX(0,I506-IF($A518&gt;='1-Input'!$C$12,'1-Input'!$B$12,0))-MIN(MAX(M517,0),MAX(0,I506-IF($A518&gt;='1-Input'!$C$12,'1-Input'!$B$12,0))))*(1/(1-'P-Parametri'!$B$6*I518))+MIN(MAX(0,N517-(MAX(0,I506-IF($A518&gt;='1-Input'!$C$12,'1-Input'!$B$12,0))-MIN(MAX(M517,0),MAX(0,I506-IF($A518&gt;='1-Input'!$C$12,'1-Input'!$B$12,0))))*(1/(1-'P-Parametri'!$B$6*I518))),MAX(0,2*I506-(M517-MIN(MAX(M517,0),MAX(0,I506-IF($A518&gt;='1-Input'!$C$12,'1-Input'!$B$12,0)))))*(1/(1-'P-Parametri'!$B$6*I518))))</f>
        <v>24579.779021533435</v>
      </c>
      <c r="K518" s="18">
        <f>IF($A518&gt;'1-Input'!$B$26,M517,(M517-MAX(0,I506-IF($A518&gt;='1-Input'!$C$12,'1-Input'!$B$12,0))+J518*(1-'P-Parametri'!$B$6*I518))*(1+'1-Input'!$B$27))</f>
        <v>43739.482935508291</v>
      </c>
      <c r="L518" s="18">
        <f>IF($A518&gt;'1-Input'!$B$26,N517,(N517-J518)*(1+$C$4))</f>
        <v>240232.81598303525</v>
      </c>
      <c r="M518" s="18">
        <f>IF($A518&gt;'1-Input'!$B$26,K518,K518-'P-Parametri'!$B$8*(L518+K518)+MIN(MAX(L518,0),'P-Parametri'!$B$8*(L518+K518)))</f>
        <v>43739.482935508291</v>
      </c>
      <c r="N518" s="18">
        <f>IF($A518&gt;'1-Input'!$B$26,L518,L518-MIN(MAX(L518,0),'P-Parametri'!$B$8*(L518+K518)))</f>
        <v>239664.87138519817</v>
      </c>
      <c r="O518" s="18">
        <f>IF($A518&gt;'1-Input'!$B$26,O517,O517-J518*(1-I518))</f>
        <v>142981.77305922518</v>
      </c>
      <c r="P518" s="11">
        <f>IF($A518&gt;'1-Input'!$B$26,0,IF(U517&lt;=0,0,MAX(0,(U517-V517)/U517)))</f>
        <v>0.38735029223731843</v>
      </c>
      <c r="Q518" s="18">
        <f>IF($A518&gt;'1-Input'!$B$26,0,(MAX(0,P506-IF($A518&gt;='1-Input'!$C$12,'1-Input'!$B$12,0))-MIN(MAX(T517,0),MAX(0,P506-IF($A518&gt;='1-Input'!$C$12,'1-Input'!$B$12,0))))*(1/(1-'P-Parametri'!$B$6*P518))+MIN(MAX(0,U517-(MAX(0,P506-IF($A518&gt;='1-Input'!$C$12,'1-Input'!$B$12,0))-MIN(MAX(T517,0),MAX(0,P506-IF($A518&gt;='1-Input'!$C$12,'1-Input'!$B$12,0))))*(1/(1-'P-Parametri'!$B$6*P518))),MAX(0,2*P506-(T517-MIN(MAX(T517,0),MAX(0,P506-IF($A518&gt;='1-Input'!$C$12,'1-Input'!$B$12,0)))))*(1/(1-'P-Parametri'!$B$6*P518))))</f>
        <v>20338.581947595801</v>
      </c>
      <c r="R518" s="18">
        <f>IF($A518&gt;'1-Input'!$B$26,T517,(T517-MAX(0,P506-IF($A518&gt;='1-Input'!$C$12,'1-Input'!$B$12,0))+Q518*(1-'P-Parametri'!$B$6*P518))*(1+'1-Input'!$B$27))</f>
        <v>36188.277471006419</v>
      </c>
      <c r="S518" s="18">
        <f>IF($A518&gt;'1-Input'!$B$26,U517,(U517-Q518)*(1+$C$4))</f>
        <v>298777.55853545381</v>
      </c>
      <c r="T518" s="18">
        <f>IF($A518&gt;'1-Input'!$B$26,R518,R518-'P-Parametri'!$B$8*(S518+R518)+MIN(MAX(S518,0),'P-Parametri'!$B$8*(S518+R518)))</f>
        <v>36188.277471006419</v>
      </c>
      <c r="U518" s="18">
        <f>IF($A518&gt;'1-Input'!$B$26,S518,S518-MIN(MAX(S518,0),'P-Parametri'!$B$8*(S518+R518)))</f>
        <v>298107.62686344091</v>
      </c>
      <c r="V518" s="18">
        <f>IF($A518&gt;'1-Input'!$B$26,V517,V517-Q518*(1-P518))</f>
        <v>177714.54749785754</v>
      </c>
      <c r="W518" s="11">
        <f>IF($A518&gt;'1-Input'!$B$26,0,IF(AB517&lt;=0,0,MAX(0,(AB517-AC517)/AB517)))</f>
        <v>0.38736849984866623</v>
      </c>
      <c r="X518" s="18">
        <f>IF($A518&gt;'1-Input'!$B$26,0,(MAX(0,W506-IF($A518&gt;='1-Input'!$C$12,'1-Input'!$B$12,0))-MIN(MAX(AA517,0),MAX(0,W506-IF($A518&gt;='1-Input'!$C$12,'1-Input'!$B$12,0))))*(1/(1-'P-Parametri'!$B$6*W518))+MIN(MAX(0,AB517-(MAX(0,W506-IF($A518&gt;='1-Input'!$C$12,'1-Input'!$B$12,0))-MIN(MAX(AA517,0),MAX(0,W506-IF($A518&gt;='1-Input'!$C$12,'1-Input'!$B$12,0))))*(1/(1-'P-Parametri'!$B$6*W518))),MAX(0,2*W506-(AA517-MIN(MAX(AA517,0),MAX(0,W506-IF($A518&gt;='1-Input'!$C$12,'1-Input'!$B$12,0)))))*(1/(1-'P-Parametri'!$B$6*W518))))</f>
        <v>20113.614191146007</v>
      </c>
      <c r="Y518" s="18">
        <f>IF($A518&gt;'1-Input'!$B$26,AA517,(AA517-MAX(0,W506-IF($A518&gt;='1-Input'!$C$12,'1-Input'!$B$12,0))+X518*(1-'P-Parametri'!$B$6*W518))*(1+'1-Input'!$B$27))</f>
        <v>35787.805734234928</v>
      </c>
      <c r="Z518" s="18">
        <f>IF($A518&gt;'1-Input'!$B$26,AB517,(AB517-X518)*(1+$C$4))</f>
        <v>301882.60662456945</v>
      </c>
      <c r="AA518" s="18">
        <f>IF($A518&gt;'1-Input'!$B$26,Y518,Y518-'P-Parametri'!$B$8*(Z518+Y518)+MIN(MAX(Z518,0),'P-Parametri'!$B$8*(Z518+Y518)))</f>
        <v>35787.805734234928</v>
      </c>
      <c r="AB518" s="18">
        <f>IF($A518&gt;'1-Input'!$B$26,Z518,Z518-MIN(MAX(Z518,0),'P-Parametri'!$B$8*(Z518+Y518)))</f>
        <v>301207.26579985186</v>
      </c>
      <c r="AC518" s="18">
        <f>IF($A518&gt;'1-Input'!$B$26,AC517,AC517-X518*(1-W518))</f>
        <v>179556.11084078148</v>
      </c>
      <c r="AD518" s="11">
        <f>IF($A518&gt;'1-Input'!$B$26,0,IF(AI517&lt;=0,0,MAX(0,(AI517-AJ517)/AI517)))</f>
        <v>0.38736974732696616</v>
      </c>
      <c r="AE518" s="18">
        <f>IF($A518&gt;'1-Input'!$B$26,0,(MAX(0,AD506-IF($A518&gt;='1-Input'!$C$12,'1-Input'!$B$12,0))-MIN(MAX(AH517,0),MAX(0,AD506-IF($A518&gt;='1-Input'!$C$12,'1-Input'!$B$12,0))))*(1/(1-'P-Parametri'!$B$6*AD518))+MIN(MAX(0,AI517-(MAX(0,AD506-IF($A518&gt;='1-Input'!$C$12,'1-Input'!$B$12,0))-MIN(MAX(AH517,0),MAX(0,AD506-IF($A518&gt;='1-Input'!$C$12,'1-Input'!$B$12,0))))*(1/(1-'P-Parametri'!$B$6*AD518))),MAX(0,2*AD506-(AH517-MIN(MAX(AH517,0),MAX(0,AD506-IF($A518&gt;='1-Input'!$C$12,'1-Input'!$B$12,0)))))*(1/(1-'P-Parametri'!$B$6*AD518))))</f>
        <v>20098.110973446943</v>
      </c>
      <c r="AF518" s="18">
        <f>IF($A518&gt;'1-Input'!$B$26,AH517,(AH517-MAX(0,AD506-IF($A518&gt;='1-Input'!$C$12,'1-Input'!$B$12,0))+AE518*(1-'P-Parametri'!$B$6*AD518))*(1+'1-Input'!$B$27))</f>
        <v>35760.208229591961</v>
      </c>
      <c r="AG518" s="18">
        <f>IF($A518&gt;'1-Input'!$B$26,AI517,(AI517-AE518)*(1+$C$4))</f>
        <v>302096.58382333687</v>
      </c>
      <c r="AH518" s="18">
        <f>IF($A518&gt;'1-Input'!$B$26,AF518,AF518-'P-Parametri'!$B$8*(AG518+AF518)+MIN(MAX(AG518,0),'P-Parametri'!$B$8*(AG518+AF518)))</f>
        <v>35760.208229591961</v>
      </c>
      <c r="AI518" s="18">
        <f>IF($A518&gt;'1-Input'!$B$26,AG518,AG518-MIN(MAX(AG518,0),'P-Parametri'!$B$8*(AG518+AF518)))</f>
        <v>301420.87023923104</v>
      </c>
      <c r="AJ518" s="18">
        <f>IF($A518&gt;'1-Input'!$B$26,AJ517,AJ517-AE518*(1-AD518))</f>
        <v>179683.01599937008</v>
      </c>
      <c r="AK518" s="11">
        <f>IF($A518&gt;'1-Input'!$B$26,0,IF(AP517&lt;=0,0,MAX(0,(AP517-AQ517)/AP517)))</f>
        <v>0.38736975028380022</v>
      </c>
      <c r="AL518" s="18">
        <f>IF($A518&gt;'1-Input'!$B$26,0,(MAX(0,AK506-IF($A518&gt;='1-Input'!$C$12,'1-Input'!$B$12,0))-MIN(MAX(AO517,0),MAX(0,AK506-IF($A518&gt;='1-Input'!$C$12,'1-Input'!$B$12,0))))*(1/(1-'P-Parametri'!$B$6*AK518))+MIN(MAX(0,AP517-(MAX(0,AK506-IF($A518&gt;='1-Input'!$C$12,'1-Input'!$B$12,0))-MIN(MAX(AO517,0),MAX(0,AK506-IF($A518&gt;='1-Input'!$C$12,'1-Input'!$B$12,0))))*(1/(1-'P-Parametri'!$B$6*AK518))),MAX(0,2*AK506-(AO517-MIN(MAX(AO517,0),MAX(0,AK506-IF($A518&gt;='1-Input'!$C$12,'1-Input'!$B$12,0)))))*(1/(1-'P-Parametri'!$B$6*AK518))))</f>
        <v>20098.074213225977</v>
      </c>
      <c r="AM518" s="18">
        <f>IF($A518&gt;'1-Input'!$B$26,AO517,(AO517-MAX(0,AK506-IF($A518&gt;='1-Input'!$C$12,'1-Input'!$B$12,0))+AL518*(1-'P-Parametri'!$B$6*AK518))*(1+'1-Input'!$B$27))</f>
        <v>35760.142792219878</v>
      </c>
      <c r="AN518" s="18">
        <f>IF($A518&gt;'1-Input'!$B$26,AP517,(AP517-AL518)*(1+$C$4))</f>
        <v>302097.09119196655</v>
      </c>
      <c r="AO518" s="18">
        <f>IF($A518&gt;'1-Input'!$B$26,AM518,AM518-'P-Parametri'!$B$8*(AN518+AM518)+MIN(MAX(AN518,0),'P-Parametri'!$B$8*(AN518+AM518)))</f>
        <v>35760.142792219878</v>
      </c>
      <c r="AP518" s="18">
        <f>IF($A518&gt;'1-Input'!$B$26,AN518,AN518-MIN(MAX(AN518,0),'P-Parametri'!$B$8*(AN518+AM518)))</f>
        <v>301421.37672399817</v>
      </c>
      <c r="AQ518" s="18">
        <f>IF($A518&gt;'1-Input'!$B$26,AQ517,AQ517-AL518*(1-AK518))</f>
        <v>179683.31690822527</v>
      </c>
    </row>
    <row r="519" spans="1:43">
      <c r="A519" s="10">
        <f>11</f>
        <v>11</v>
      </c>
      <c r="B519" s="11">
        <f>IF($A519&gt;'1-Input'!$B$26,0,IF(G518&lt;=0,0,MAX(0,(G518-H518)/G518)))</f>
        <v>0.40400502156700707</v>
      </c>
      <c r="C519" s="18">
        <f>IF($A519&gt;'1-Input'!$B$26,0,(MAX(0,B506-IF($A519&gt;='1-Input'!$C$12,'1-Input'!$B$12,0))-MIN(MAX(F518,0),MAX(0,B506-IF($A519&gt;='1-Input'!$C$12,'1-Input'!$B$12,0))))*(1/(1-'P-Parametri'!$B$6*B519))+MIN(MAX(0,G518-(MAX(0,B506-IF($A519&gt;='1-Input'!$C$12,'1-Input'!$B$12,0))-MIN(MAX(F518,0),MAX(0,B506-IF($A519&gt;='1-Input'!$C$12,'1-Input'!$B$12,0))))*(1/(1-'P-Parametri'!$B$6*B519))),MAX(0,2*B506-(F518-MIN(MAX(F518,0),MAX(0,B506-IF($A519&gt;='1-Input'!$C$12,'1-Input'!$B$12,0)))))*(1/(1-'P-Parametri'!$B$6*B519))))</f>
        <v>18773.111002954505</v>
      </c>
      <c r="D519" s="18">
        <f>IF($A519&gt;'1-Input'!$B$26,F518,(F518-MAX(0,B506-IF($A519&gt;='1-Input'!$C$12,'1-Input'!$B$12,0))+C519*(1-'P-Parametri'!$B$6*B519))*(1+'1-Input'!$B$27))</f>
        <v>33242.0070309863</v>
      </c>
      <c r="E519" s="18">
        <f>IF($A519&gt;'1-Input'!$B$26,G518,(G518-C519)*(1+$C$4))</f>
        <v>311203.09859466332</v>
      </c>
      <c r="F519" s="18">
        <f>IF($A519&gt;'1-Input'!$B$26,D519,D519-'P-Parametri'!$B$8*(E519+D519)+MIN(MAX(E519,0),'P-Parametri'!$B$8*(E519+D519)))</f>
        <v>33242.0070309863</v>
      </c>
      <c r="G519" s="18">
        <f>IF($A519&gt;'1-Input'!$B$26,E519,E519-MIN(MAX(E519,0),'P-Parametri'!$B$8*(E519+D519)))</f>
        <v>310514.20838341204</v>
      </c>
      <c r="H519" s="18">
        <f>IF($A519&gt;'1-Input'!$B$26,H518,H518-C519*(1-B519))</f>
        <v>180073.28547107466</v>
      </c>
      <c r="I519" s="11">
        <f>IF($A519&gt;'1-Input'!$B$26,0,IF(N518&lt;=0,0,MAX(0,(N518-O518)/N518)))</f>
        <v>0.4034095517093132</v>
      </c>
      <c r="J519" s="18">
        <f>IF($A519&gt;'1-Input'!$B$26,0,(MAX(0,I506-IF($A519&gt;='1-Input'!$C$12,'1-Input'!$B$12,0))-MIN(MAX(M518,0),MAX(0,I506-IF($A519&gt;='1-Input'!$C$12,'1-Input'!$B$12,0))))*(1/(1-'P-Parametri'!$B$6*I519))+MIN(MAX(0,N518-(MAX(0,I506-IF($A519&gt;='1-Input'!$C$12,'1-Input'!$B$12,0))-MIN(MAX(M518,0),MAX(0,I506-IF($A519&gt;='1-Input'!$C$12,'1-Input'!$B$12,0))))*(1/(1-'P-Parametri'!$B$6*I519))),MAX(0,2*I506-(M518-MIN(MAX(M518,0),MAX(0,I506-IF($A519&gt;='1-Input'!$C$12,'1-Input'!$B$12,0)))))*(1/(1-'P-Parametri'!$B$6*I519))))</f>
        <v>24697.189389280269</v>
      </c>
      <c r="K519" s="18">
        <f>IF($A519&gt;'1-Input'!$B$26,M518,(M518-MAX(0,I506-IF($A519&gt;='1-Input'!$C$12,'1-Input'!$B$12,0))+J519*(1-'P-Parametri'!$B$6*I519))*(1+'1-Input'!$B$27))</f>
        <v>43739.482935508291</v>
      </c>
      <c r="L519" s="18">
        <f>IF($A519&gt;'1-Input'!$B$26,N518,(N518-J519)*(1+$C$4))</f>
        <v>221416.71245579544</v>
      </c>
      <c r="M519" s="18">
        <f>IF($A519&gt;'1-Input'!$B$26,K519,K519-'P-Parametri'!$B$8*(L519+K519)+MIN(MAX(L519,0),'P-Parametri'!$B$8*(L519+K519)))</f>
        <v>43739.482935508291</v>
      </c>
      <c r="N519" s="18">
        <f>IF($A519&gt;'1-Input'!$B$26,L519,L519-MIN(MAX(L519,0),'P-Parametri'!$B$8*(L519+K519)))</f>
        <v>220886.40006501283</v>
      </c>
      <c r="O519" s="18">
        <f>IF($A519&gt;'1-Input'!$B$26,O518,O518-J519*(1-I519))</f>
        <v>128247.66576995447</v>
      </c>
      <c r="P519" s="11">
        <f>IF($A519&gt;'1-Input'!$B$26,0,IF(U518&lt;=0,0,MAX(0,(U518-V518)/U518)))</f>
        <v>0.40385776315858507</v>
      </c>
      <c r="Q519" s="18">
        <f>IF($A519&gt;'1-Input'!$B$26,0,(MAX(0,P506-IF($A519&gt;='1-Input'!$C$12,'1-Input'!$B$12,0))-MIN(MAX(T518,0),MAX(0,P506-IF($A519&gt;='1-Input'!$C$12,'1-Input'!$B$12,0))))*(1/(1-'P-Parametri'!$B$6*P519))+MIN(MAX(0,U518-(MAX(0,P506-IF($A519&gt;='1-Input'!$C$12,'1-Input'!$B$12,0))-MIN(MAX(T518,0),MAX(0,P506-IF($A519&gt;='1-Input'!$C$12,'1-Input'!$B$12,0))))*(1/(1-'P-Parametri'!$B$6*P519))),MAX(0,2*P506-(T518-MIN(MAX(T518,0),MAX(0,P506-IF($A519&gt;='1-Input'!$C$12,'1-Input'!$B$12,0)))))*(1/(1-'P-Parametri'!$B$6*P519))))</f>
        <v>20436.115263145926</v>
      </c>
      <c r="R519" s="18">
        <f>IF($A519&gt;'1-Input'!$B$26,T518,(T518-MAX(0,P506-IF($A519&gt;='1-Input'!$C$12,'1-Input'!$B$12,0))+Q519*(1-'P-Parametri'!$B$6*P519))*(1+'1-Input'!$B$27))</f>
        <v>36188.277471006419</v>
      </c>
      <c r="S519" s="18">
        <f>IF($A519&gt;'1-Input'!$B$26,U518,(U518-Q519)*(1+$C$4))</f>
        <v>286001.6569483038</v>
      </c>
      <c r="T519" s="18">
        <f>IF($A519&gt;'1-Input'!$B$26,R519,R519-'P-Parametri'!$B$8*(S519+R519)+MIN(MAX(S519,0),'P-Parametri'!$B$8*(S519+R519)))</f>
        <v>36188.277471006419</v>
      </c>
      <c r="U519" s="18">
        <f>IF($A519&gt;'1-Input'!$B$26,S519,S519-MIN(MAX(S519,0),'P-Parametri'!$B$8*(S519+R519)))</f>
        <v>285357.27707946516</v>
      </c>
      <c r="V519" s="18">
        <f>IF($A519&gt;'1-Input'!$B$26,V518,V518-Q519*(1-P519))</f>
        <v>165531.71603253676</v>
      </c>
      <c r="W519" s="11">
        <f>IF($A519&gt;'1-Input'!$B$26,0,IF(AB518&lt;=0,0,MAX(0,(AB518-AC518)/AB518)))</f>
        <v>0.40387855397852829</v>
      </c>
      <c r="X519" s="18">
        <f>IF($A519&gt;'1-Input'!$B$26,0,(MAX(0,W506-IF($A519&gt;='1-Input'!$C$12,'1-Input'!$B$12,0))-MIN(MAX(AA518,0),MAX(0,W506-IF($A519&gt;='1-Input'!$C$12,'1-Input'!$B$12,0))))*(1/(1-'P-Parametri'!$B$6*W519))+MIN(MAX(0,AB518-(MAX(0,W506-IF($A519&gt;='1-Input'!$C$12,'1-Input'!$B$12,0))-MIN(MAX(AA518,0),MAX(0,W506-IF($A519&gt;='1-Input'!$C$12,'1-Input'!$B$12,0))))*(1/(1-'P-Parametri'!$B$6*W519))),MAX(0,2*W506-(AA518-MIN(MAX(AA518,0),MAX(0,W506-IF($A519&gt;='1-Input'!$C$12,'1-Input'!$B$12,0)))))*(1/(1-'P-Parametri'!$B$6*W519))))</f>
        <v>20210.084354295894</v>
      </c>
      <c r="Y519" s="18">
        <f>IF($A519&gt;'1-Input'!$B$26,AA518,(AA518-MAX(0,W506-IF($A519&gt;='1-Input'!$C$12,'1-Input'!$B$12,0))+X519*(1-'P-Parametri'!$B$6*W519))*(1+'1-Input'!$B$27))</f>
        <v>35787.805734234928</v>
      </c>
      <c r="Z519" s="18">
        <f>IF($A519&gt;'1-Input'!$B$26,AB518,(AB518-X519)*(1+$C$4))</f>
        <v>289427.09688892262</v>
      </c>
      <c r="AA519" s="18">
        <f>IF($A519&gt;'1-Input'!$B$26,Y519,Y519-'P-Parametri'!$B$8*(Z519+Y519)+MIN(MAX(Z519,0),'P-Parametri'!$B$8*(Z519+Y519)))</f>
        <v>35787.805734234928</v>
      </c>
      <c r="AB519" s="18">
        <f>IF($A519&gt;'1-Input'!$B$26,Z519,Z519-MIN(MAX(Z519,0),'P-Parametri'!$B$8*(Z519+Y519)))</f>
        <v>288776.66708367632</v>
      </c>
      <c r="AC519" s="18">
        <f>IF($A519&gt;'1-Input'!$B$26,AC518,AC518-X519*(1-W519))</f>
        <v>167508.44613128269</v>
      </c>
      <c r="AD519" s="11">
        <f>IF($A519&gt;'1-Input'!$B$26,0,IF(AI518&lt;=0,0,MAX(0,(AI518-AJ518)/AI518)))</f>
        <v>0.40387997733282482</v>
      </c>
      <c r="AE519" s="18">
        <f>IF($A519&gt;'1-Input'!$B$26,0,(MAX(0,AD506-IF($A519&gt;='1-Input'!$C$12,'1-Input'!$B$12,0))-MIN(MAX(AH518,0),MAX(0,AD506-IF($A519&gt;='1-Input'!$C$12,'1-Input'!$B$12,0))))*(1/(1-'P-Parametri'!$B$6*AD519))+MIN(MAX(0,AI518-(MAX(0,AD506-IF($A519&gt;='1-Input'!$C$12,'1-Input'!$B$12,0))-MIN(MAX(AH518,0),MAX(0,AD506-IF($A519&gt;='1-Input'!$C$12,'1-Input'!$B$12,0))))*(1/(1-'P-Parametri'!$B$6*AD519))),MAX(0,2*AD506-(AH518-MIN(MAX(AH518,0),MAX(0,AD506-IF($A519&gt;='1-Input'!$C$12,'1-Input'!$B$12,0)))))*(1/(1-'P-Parametri'!$B$6*AD519))))</f>
        <v>20194.507845834243</v>
      </c>
      <c r="AF519" s="18">
        <f>IF($A519&gt;'1-Input'!$B$26,AH518,(AH518-MAX(0,AD506-IF($A519&gt;='1-Input'!$C$12,'1-Input'!$B$12,0))+AE519*(1-'P-Parametri'!$B$6*AD519))*(1+'1-Input'!$B$27))</f>
        <v>35760.208229591961</v>
      </c>
      <c r="AG519" s="18">
        <f>IF($A519&gt;'1-Input'!$B$26,AI518,(AI518-AE519)*(1+$C$4))</f>
        <v>289663.15326519869</v>
      </c>
      <c r="AH519" s="18">
        <f>IF($A519&gt;'1-Input'!$B$26,AF519,AF519-'P-Parametri'!$B$8*(AG519+AF519)+MIN(MAX(AG519,0),'P-Parametri'!$B$8*(AG519+AF519)))</f>
        <v>35760.208229591961</v>
      </c>
      <c r="AI519" s="18">
        <f>IF($A519&gt;'1-Input'!$B$26,AG519,AG519-MIN(MAX(AG519,0),'P-Parametri'!$B$8*(AG519+AF519)))</f>
        <v>289012.30654220912</v>
      </c>
      <c r="AJ519" s="18">
        <f>IF($A519&gt;'1-Input'!$B$26,AJ518,AJ518-AE519*(1-AD519))</f>
        <v>167644.66552455892</v>
      </c>
      <c r="AK519" s="11">
        <f>IF($A519&gt;'1-Input'!$B$26,0,IF(AP518&lt;=0,0,MAX(0,(AP518-AQ518)/AP518)))</f>
        <v>0.40387998070636016</v>
      </c>
      <c r="AL519" s="18">
        <f>IF($A519&gt;'1-Input'!$B$26,0,(MAX(0,AK506-IF($A519&gt;='1-Input'!$C$12,'1-Input'!$B$12,0))-MIN(MAX(AO518,0),MAX(0,AK506-IF($A519&gt;='1-Input'!$C$12,'1-Input'!$B$12,0))))*(1/(1-'P-Parametri'!$B$6*AK519))+MIN(MAX(0,AP518-(MAX(0,AK506-IF($A519&gt;='1-Input'!$C$12,'1-Input'!$B$12,0))-MIN(MAX(AO518,0),MAX(0,AK506-IF($A519&gt;='1-Input'!$C$12,'1-Input'!$B$12,0))))*(1/(1-'P-Parametri'!$B$6*AK519))),MAX(0,2*AK506-(AO518-MIN(MAX(AO518,0),MAX(0,AK506-IF($A519&gt;='1-Input'!$C$12,'1-Input'!$B$12,0)))))*(1/(1-'P-Parametri'!$B$6*AK519))))</f>
        <v>20194.470911827102</v>
      </c>
      <c r="AM519" s="18">
        <f>IF($A519&gt;'1-Input'!$B$26,AO518,(AO518-MAX(0,AK506-IF($A519&gt;='1-Input'!$C$12,'1-Input'!$B$12,0))+AL519*(1-'P-Parametri'!$B$6*AK519))*(1+'1-Input'!$B$27))</f>
        <v>35760.142792219878</v>
      </c>
      <c r="AN519" s="18">
        <f>IF($A519&gt;'1-Input'!$B$26,AP518,(AP518-AL519)*(1+$C$4))</f>
        <v>289663.71298653621</v>
      </c>
      <c r="AO519" s="18">
        <f>IF($A519&gt;'1-Input'!$B$26,AM519,AM519-'P-Parametri'!$B$8*(AN519+AM519)+MIN(MAX(AN519,0),'P-Parametri'!$B$8*(AN519+AM519)))</f>
        <v>35760.142792219878</v>
      </c>
      <c r="AP519" s="18">
        <f>IF($A519&gt;'1-Input'!$B$26,AN519,AN519-MIN(MAX(AN519,0),'P-Parametri'!$B$8*(AN519+AM519)))</f>
        <v>289012.86527497869</v>
      </c>
      <c r="AQ519" s="18">
        <f>IF($A519&gt;'1-Input'!$B$26,AQ518,AQ518-AL519*(1-AK519))</f>
        <v>167644.98851864206</v>
      </c>
    </row>
    <row r="520" spans="1:43">
      <c r="A520" s="10">
        <f>12</f>
        <v>12</v>
      </c>
      <c r="B520" s="11">
        <f>IF($A520&gt;'1-Input'!$B$26,0,IF(G519&lt;=0,0,MAX(0,(G519-H519)/G519)))</f>
        <v>0.42008036795299719</v>
      </c>
      <c r="C520" s="18">
        <f>IF($A520&gt;'1-Input'!$B$26,0,(MAX(0,B506-IF($A520&gt;='1-Input'!$C$12,'1-Input'!$B$12,0))-MIN(MAX(F519,0),MAX(0,B506-IF($A520&gt;='1-Input'!$C$12,'1-Input'!$B$12,0))))*(1/(1-'P-Parametri'!$B$6*B520))+MIN(MAX(0,G519-(MAX(0,B506-IF($A520&gt;='1-Input'!$C$12,'1-Input'!$B$12,0))-MIN(MAX(F519,0),MAX(0,B506-IF($A520&gt;='1-Input'!$C$12,'1-Input'!$B$12,0))))*(1/(1-'P-Parametri'!$B$6*B520))),MAX(0,2*B506-(F519-MIN(MAX(F519,0),MAX(0,B506-IF($A520&gt;='1-Input'!$C$12,'1-Input'!$B$12,0)))))*(1/(1-'P-Parametri'!$B$6*B520))))</f>
        <v>18861.195588423936</v>
      </c>
      <c r="D520" s="18">
        <f>IF($A520&gt;'1-Input'!$B$26,F519,(F519-MAX(0,B506-IF($A520&gt;='1-Input'!$C$12,'1-Input'!$B$12,0))+C520*(1-'P-Parametri'!$B$6*B520))*(1+'1-Input'!$B$27))</f>
        <v>33242.0070309863</v>
      </c>
      <c r="E520" s="18">
        <f>IF($A520&gt;'1-Input'!$B$26,G519,(G519-C520)*(1+$C$4))</f>
        <v>300402.60317883774</v>
      </c>
      <c r="F520" s="18">
        <f>IF($A520&gt;'1-Input'!$B$26,D520,D520-'P-Parametri'!$B$8*(E520+D520)+MIN(MAX(E520,0),'P-Parametri'!$B$8*(E520+D520)))</f>
        <v>33242.0070309863</v>
      </c>
      <c r="G520" s="18">
        <f>IF($A520&gt;'1-Input'!$B$26,E520,E520-MIN(MAX(E520,0),'P-Parametri'!$B$8*(E520+D520)))</f>
        <v>299735.31395841809</v>
      </c>
      <c r="H520" s="18">
        <f>IF($A520&gt;'1-Input'!$B$26,H519,H519-C520*(1-B520))</f>
        <v>169135.30786546931</v>
      </c>
      <c r="I520" s="11">
        <f>IF($A520&gt;'1-Input'!$B$26,0,IF(N519&lt;=0,0,MAX(0,(N519-O519)/N519)))</f>
        <v>0.41939537367530222</v>
      </c>
      <c r="J520" s="18">
        <f>IF($A520&gt;'1-Input'!$B$26,0,(MAX(0,I506-IF($A520&gt;='1-Input'!$C$12,'1-Input'!$B$12,0))-MIN(MAX(M519,0),MAX(0,I506-IF($A520&gt;='1-Input'!$C$12,'1-Input'!$B$12,0))))*(1/(1-'P-Parametri'!$B$6*I520))+MIN(MAX(0,N519-(MAX(0,I506-IF($A520&gt;='1-Input'!$C$12,'1-Input'!$B$12,0))-MIN(MAX(M519,0),MAX(0,I506-IF($A520&gt;='1-Input'!$C$12,'1-Input'!$B$12,0))))*(1/(1-'P-Parametri'!$B$6*I520))),MAX(0,2*I506-(M519-MIN(MAX(M519,0),MAX(0,I506-IF($A520&gt;='1-Input'!$C$12,'1-Input'!$B$12,0)))))*(1/(1-'P-Parametri'!$B$6*I520))))</f>
        <v>24812.401732317619</v>
      </c>
      <c r="K520" s="18">
        <f>IF($A520&gt;'1-Input'!$B$26,M519,(M519-MAX(0,I506-IF($A520&gt;='1-Input'!$C$12,'1-Input'!$B$12,0))+J520*(1-'P-Parametri'!$B$6*I520))*(1+'1-Input'!$B$27))</f>
        <v>43739.482935508291</v>
      </c>
      <c r="L520" s="18">
        <f>IF($A520&gt;'1-Input'!$B$26,N519,(N519-J520)*(1+$C$4))</f>
        <v>201956.21828267607</v>
      </c>
      <c r="M520" s="18">
        <f>IF($A520&gt;'1-Input'!$B$26,K520,K520-'P-Parametri'!$B$8*(L520+K520)+MIN(MAX(L520,0),'P-Parametri'!$B$8*(L520+K520)))</f>
        <v>43739.482935508291</v>
      </c>
      <c r="N520" s="18">
        <f>IF($A520&gt;'1-Input'!$B$26,L520,L520-MIN(MAX(L520,0),'P-Parametri'!$B$8*(L520+K520)))</f>
        <v>201464.82688023971</v>
      </c>
      <c r="O520" s="18">
        <f>IF($A520&gt;'1-Input'!$B$26,O519,O519-J520*(1-I520))</f>
        <v>113841.47053394392</v>
      </c>
      <c r="P520" s="11">
        <f>IF($A520&gt;'1-Input'!$B$26,0,IF(U519&lt;=0,0,MAX(0,(U519-V519)/U519)))</f>
        <v>0.4199141590966326</v>
      </c>
      <c r="Q520" s="18">
        <f>IF($A520&gt;'1-Input'!$B$26,0,(MAX(0,P506-IF($A520&gt;='1-Input'!$C$12,'1-Input'!$B$12,0))-MIN(MAX(T519,0),MAX(0,P506-IF($A520&gt;='1-Input'!$C$12,'1-Input'!$B$12,0))))*(1/(1-'P-Parametri'!$B$6*P520))+MIN(MAX(0,U519-(MAX(0,P506-IF($A520&gt;='1-Input'!$C$12,'1-Input'!$B$12,0))-MIN(MAX(T519,0),MAX(0,P506-IF($A520&gt;='1-Input'!$C$12,'1-Input'!$B$12,0))))*(1/(1-'P-Parametri'!$B$6*P520))),MAX(0,2*P506-(T519-MIN(MAX(T519,0),MAX(0,P506-IF($A520&gt;='1-Input'!$C$12,'1-Input'!$B$12,0)))))*(1/(1-'P-Parametri'!$B$6*P520))))</f>
        <v>20531.885083144269</v>
      </c>
      <c r="R520" s="18">
        <f>IF($A520&gt;'1-Input'!$B$26,T519,(T519-MAX(0,P506-IF($A520&gt;='1-Input'!$C$12,'1-Input'!$B$12,0))+Q520*(1-'P-Parametri'!$B$6*P520))*(1+'1-Input'!$B$27))</f>
        <v>36188.277471006419</v>
      </c>
      <c r="S520" s="18">
        <f>IF($A520&gt;'1-Input'!$B$26,U519,(U519-Q520)*(1+$C$4))</f>
        <v>272770.15375621058</v>
      </c>
      <c r="T520" s="18">
        <f>IF($A520&gt;'1-Input'!$B$26,R520,R520-'P-Parametri'!$B$8*(S520+R520)+MIN(MAX(S520,0),'P-Parametri'!$B$8*(S520+R520)))</f>
        <v>36188.277471006419</v>
      </c>
      <c r="U520" s="18">
        <f>IF($A520&gt;'1-Input'!$B$26,S520,S520-MIN(MAX(S520,0),'P-Parametri'!$B$8*(S520+R520)))</f>
        <v>272152.23689375614</v>
      </c>
      <c r="V520" s="18">
        <f>IF($A520&gt;'1-Input'!$B$26,V519,V519-Q520*(1-P520))</f>
        <v>153621.46020874972</v>
      </c>
      <c r="W520" s="11">
        <f>IF($A520&gt;'1-Input'!$B$26,0,IF(AB519&lt;=0,0,MAX(0,(AB519-AC519)/AB519)))</f>
        <v>0.41993774004343221</v>
      </c>
      <c r="X520" s="18">
        <f>IF($A520&gt;'1-Input'!$B$26,0,(MAX(0,W506-IF($A520&gt;='1-Input'!$C$12,'1-Input'!$B$12,0))-MIN(MAX(AA519,0),MAX(0,W506-IF($A520&gt;='1-Input'!$C$12,'1-Input'!$B$12,0))))*(1/(1-'P-Parametri'!$B$6*W520))+MIN(MAX(0,AB519-(MAX(0,W506-IF($A520&gt;='1-Input'!$C$12,'1-Input'!$B$12,0))-MIN(MAX(AA519,0),MAX(0,W506-IF($A520&gt;='1-Input'!$C$12,'1-Input'!$B$12,0))))*(1/(1-'P-Parametri'!$B$6*W520))),MAX(0,2*W506-(AA519-MIN(MAX(AA519,0),MAX(0,W506-IF($A520&gt;='1-Input'!$C$12,'1-Input'!$B$12,0)))))*(1/(1-'P-Parametri'!$B$6*W520))))</f>
        <v>20304.812034915401</v>
      </c>
      <c r="Y520" s="18">
        <f>IF($A520&gt;'1-Input'!$B$26,AA519,(AA519-MAX(0,W506-IF($A520&gt;='1-Input'!$C$12,'1-Input'!$B$12,0))+X520*(1-'P-Parametri'!$B$6*W520))*(1+'1-Input'!$B$27))</f>
        <v>35787.805734234928</v>
      </c>
      <c r="Z520" s="18">
        <f>IF($A520&gt;'1-Input'!$B$26,AB519,(AB519-X520)*(1+$C$4))</f>
        <v>276526.01070022379</v>
      </c>
      <c r="AA520" s="18">
        <f>IF($A520&gt;'1-Input'!$B$26,Y520,Y520-'P-Parametri'!$B$8*(Z520+Y520)+MIN(MAX(Z520,0),'P-Parametri'!$B$8*(Z520+Y520)))</f>
        <v>35787.805734234928</v>
      </c>
      <c r="AB520" s="18">
        <f>IF($A520&gt;'1-Input'!$B$26,Z520,Z520-MIN(MAX(Z520,0),'P-Parametri'!$B$8*(Z520+Y520)))</f>
        <v>275901.38306735485</v>
      </c>
      <c r="AC520" s="18">
        <f>IF($A520&gt;'1-Input'!$B$26,AC519,AC519-X520*(1-W520))</f>
        <v>155730.39097431634</v>
      </c>
      <c r="AD520" s="11">
        <f>IF($A520&gt;'1-Input'!$B$26,0,IF(AI519&lt;=0,0,MAX(0,(AI519-AJ519)/AI519)))</f>
        <v>0.41993935299749918</v>
      </c>
      <c r="AE520" s="18">
        <f>IF($A520&gt;'1-Input'!$B$26,0,(MAX(0,AD506-IF($A520&gt;='1-Input'!$C$12,'1-Input'!$B$12,0))-MIN(MAX(AH519,0),MAX(0,AD506-IF($A520&gt;='1-Input'!$C$12,'1-Input'!$B$12,0))))*(1/(1-'P-Parametri'!$B$6*AD520))+MIN(MAX(0,AI519-(MAX(0,AD506-IF($A520&gt;='1-Input'!$C$12,'1-Input'!$B$12,0))-MIN(MAX(AH519,0),MAX(0,AD506-IF($A520&gt;='1-Input'!$C$12,'1-Input'!$B$12,0))))*(1/(1-'P-Parametri'!$B$6*AD520))),MAX(0,2*AD506-(AH519-MIN(MAX(AH519,0),MAX(0,AD506-IF($A520&gt;='1-Input'!$C$12,'1-Input'!$B$12,0)))))*(1/(1-'P-Parametri'!$B$6*AD520))))</f>
        <v>20289.163679118254</v>
      </c>
      <c r="AF520" s="18">
        <f>IF($A520&gt;'1-Input'!$B$26,AH519,(AH519-MAX(0,AD506-IF($A520&gt;='1-Input'!$C$12,'1-Input'!$B$12,0))+AE520*(1-'P-Parametri'!$B$6*AD520))*(1+'1-Input'!$B$27))</f>
        <v>35760.208229591961</v>
      </c>
      <c r="AG520" s="18">
        <f>IF($A520&gt;'1-Input'!$B$26,AI519,(AI519-AE520)*(1+$C$4))</f>
        <v>276784.83714898356</v>
      </c>
      <c r="AH520" s="18">
        <f>IF($A520&gt;'1-Input'!$B$26,AF520,AF520-'P-Parametri'!$B$8*(AG520+AF520)+MIN(MAX(AG520,0),'P-Parametri'!$B$8*(AG520+AF520)))</f>
        <v>35760.208229591961</v>
      </c>
      <c r="AI520" s="18">
        <f>IF($A520&gt;'1-Input'!$B$26,AG520,AG520-MIN(MAX(AG520,0),'P-Parametri'!$B$8*(AG520+AF520)))</f>
        <v>276159.74705822638</v>
      </c>
      <c r="AJ520" s="18">
        <f>IF($A520&gt;'1-Input'!$B$26,AJ519,AJ519-AE520*(1-AD520))</f>
        <v>155875.72011370995</v>
      </c>
      <c r="AK520" s="11">
        <f>IF($A520&gt;'1-Input'!$B$26,0,IF(AP519&lt;=0,0,MAX(0,(AP519-AQ519)/AP519)))</f>
        <v>0.4199393568201964</v>
      </c>
      <c r="AL520" s="18">
        <f>IF($A520&gt;'1-Input'!$B$26,0,(MAX(0,AK506-IF($A520&gt;='1-Input'!$C$12,'1-Input'!$B$12,0))-MIN(MAX(AO519,0),MAX(0,AK506-IF($A520&gt;='1-Input'!$C$12,'1-Input'!$B$12,0))))*(1/(1-'P-Parametri'!$B$6*AK520))+MIN(MAX(0,AP519-(MAX(0,AK506-IF($A520&gt;='1-Input'!$C$12,'1-Input'!$B$12,0))-MIN(MAX(AO519,0),MAX(0,AK506-IF($A520&gt;='1-Input'!$C$12,'1-Input'!$B$12,0))))*(1/(1-'P-Parametri'!$B$6*AK520))),MAX(0,2*AK506-(AO519-MIN(MAX(AO519,0),MAX(0,AK506-IF($A520&gt;='1-Input'!$C$12,'1-Input'!$B$12,0)))))*(1/(1-'P-Parametri'!$B$6*AK520))))</f>
        <v>20289.126574746799</v>
      </c>
      <c r="AM520" s="18">
        <f>IF($A520&gt;'1-Input'!$B$26,AO519,(AO519-MAX(0,AK506-IF($A520&gt;='1-Input'!$C$12,'1-Input'!$B$12,0))+AL520*(1-'P-Parametri'!$B$6*AK520))*(1+'1-Input'!$B$27))</f>
        <v>35760.142792219878</v>
      </c>
      <c r="AN520" s="18">
        <f>IF($A520&gt;'1-Input'!$B$26,AP519,(AP519-AL520)*(1+$C$4))</f>
        <v>276785.45086123887</v>
      </c>
      <c r="AO520" s="18">
        <f>IF($A520&gt;'1-Input'!$B$26,AM520,AM520-'P-Parametri'!$B$8*(AN520+AM520)+MIN(MAX(AN520,0),'P-Parametri'!$B$8*(AN520+AM520)))</f>
        <v>35760.142792219878</v>
      </c>
      <c r="AP520" s="18">
        <f>IF($A520&gt;'1-Input'!$B$26,AN520,AN520-MIN(MAX(AN520,0),'P-Parametri'!$B$8*(AN520+AM520)))</f>
        <v>276160.35967393196</v>
      </c>
      <c r="AQ520" s="18">
        <f>IF($A520&gt;'1-Input'!$B$26,AQ519,AQ519-AL520*(1-AK520))</f>
        <v>155876.06470813797</v>
      </c>
    </row>
    <row r="521" spans="1:43">
      <c r="A521" s="10">
        <f>13</f>
        <v>13</v>
      </c>
      <c r="B521" s="11">
        <f>IF($A521&gt;'1-Input'!$B$26,0,IF(G520&lt;=0,0,MAX(0,(G520-H520)/G520)))</f>
        <v>0.43571778169277298</v>
      </c>
      <c r="C521" s="18">
        <f>IF($A521&gt;'1-Input'!$B$26,0,(MAX(0,B506-IF($A521&gt;='1-Input'!$C$12,'1-Input'!$B$12,0))-MIN(MAX(F520,0),MAX(0,B506-IF($A521&gt;='1-Input'!$C$12,'1-Input'!$B$12,0))))*(1/(1-'P-Parametri'!$B$6*B521))+MIN(MAX(0,G520-(MAX(0,B506-IF($A521&gt;='1-Input'!$C$12,'1-Input'!$B$12,0))-MIN(MAX(F520,0),MAX(0,B506-IF($A521&gt;='1-Input'!$C$12,'1-Input'!$B$12,0))))*(1/(1-'P-Parametri'!$B$6*B521))),MAX(0,2*B506-(F520-MIN(MAX(F520,0),MAX(0,B506-IF($A521&gt;='1-Input'!$C$12,'1-Input'!$B$12,0)))))*(1/(1-'P-Parametri'!$B$6*B521))))</f>
        <v>18947.677291487216</v>
      </c>
      <c r="D521" s="18">
        <f>IF($A521&gt;'1-Input'!$B$26,F520,(F520-MAX(0,B506-IF($A521&gt;='1-Input'!$C$12,'1-Input'!$B$12,0))+C521*(1-'P-Parametri'!$B$6*B521))*(1+'1-Input'!$B$27))</f>
        <v>33242.0070309863</v>
      </c>
      <c r="E521" s="18">
        <f>IF($A521&gt;'1-Input'!$B$26,G520,(G520-C521)*(1+$C$4))</f>
        <v>289211.2657669388</v>
      </c>
      <c r="F521" s="18">
        <f>IF($A521&gt;'1-Input'!$B$26,D521,D521-'P-Parametri'!$B$8*(E521+D521)+MIN(MAX(E521,0),'P-Parametri'!$B$8*(E521+D521)))</f>
        <v>33242.0070309863</v>
      </c>
      <c r="G521" s="18">
        <f>IF($A521&gt;'1-Input'!$B$26,E521,E521-MIN(MAX(E521,0),'P-Parametri'!$B$8*(E521+D521)))</f>
        <v>288566.35922134295</v>
      </c>
      <c r="H521" s="18">
        <f>IF($A521&gt;'1-Input'!$B$26,H520,H520-C521*(1-B521))</f>
        <v>158443.47049165942</v>
      </c>
      <c r="I521" s="11">
        <f>IF($A521&gt;'1-Input'!$B$26,0,IF(N520&lt;=0,0,MAX(0,(N520-O520)/N520)))</f>
        <v>0.43493128653362051</v>
      </c>
      <c r="J521" s="18">
        <f>IF($A521&gt;'1-Input'!$B$26,0,(MAX(0,I506-IF($A521&gt;='1-Input'!$C$12,'1-Input'!$B$12,0))-MIN(MAX(M520,0),MAX(0,I506-IF($A521&gt;='1-Input'!$C$12,'1-Input'!$B$12,0))))*(1/(1-'P-Parametri'!$B$6*I521))+MIN(MAX(0,N520-(MAX(0,I506-IF($A521&gt;='1-Input'!$C$12,'1-Input'!$B$12,0))-MIN(MAX(M520,0),MAX(0,I506-IF($A521&gt;='1-Input'!$C$12,'1-Input'!$B$12,0))))*(1/(1-'P-Parametri'!$B$6*I521))),MAX(0,2*I506-(M520-MIN(MAX(M520,0),MAX(0,I506-IF($A521&gt;='1-Input'!$C$12,'1-Input'!$B$12,0)))))*(1/(1-'P-Parametri'!$B$6*I521))))</f>
        <v>24925.406177023739</v>
      </c>
      <c r="K521" s="18">
        <f>IF($A521&gt;'1-Input'!$B$26,M520,(M520-MAX(0,I506-IF($A521&gt;='1-Input'!$C$12,'1-Input'!$B$12,0))+J521*(1-'P-Parametri'!$B$6*I521))*(1+'1-Input'!$B$27))</f>
        <v>43739.482935508291</v>
      </c>
      <c r="L521" s="18">
        <f>IF($A521&gt;'1-Input'!$B$26,N520,(N520-J521)*(1+$C$4))</f>
        <v>181835.60332431245</v>
      </c>
      <c r="M521" s="18">
        <f>IF($A521&gt;'1-Input'!$B$26,K521,K521-'P-Parametri'!$B$8*(L521+K521)+MIN(MAX(L521,0),'P-Parametri'!$B$8*(L521+K521)))</f>
        <v>43739.482935508291</v>
      </c>
      <c r="N521" s="18">
        <f>IF($A521&gt;'1-Input'!$B$26,L521,L521-MIN(MAX(L521,0),'P-Parametri'!$B$8*(L521+K521)))</f>
        <v>181384.45315179281</v>
      </c>
      <c r="O521" s="18">
        <f>IF($A521&gt;'1-Input'!$B$26,O520,O520-J521*(1-I521))</f>
        <v>99756.903332866175</v>
      </c>
      <c r="P521" s="11">
        <f>IF($A521&gt;'1-Input'!$B$26,0,IF(U520&lt;=0,0,MAX(0,(U520-V520)/U520)))</f>
        <v>0.43553114991033098</v>
      </c>
      <c r="Q521" s="18">
        <f>IF($A521&gt;'1-Input'!$B$26,0,(MAX(0,P506-IF($A521&gt;='1-Input'!$C$12,'1-Input'!$B$12,0))-MIN(MAX(T520,0),MAX(0,P506-IF($A521&gt;='1-Input'!$C$12,'1-Input'!$B$12,0))))*(1/(1-'P-Parametri'!$B$6*P521))+MIN(MAX(0,U520-(MAX(0,P506-IF($A521&gt;='1-Input'!$C$12,'1-Input'!$B$12,0))-MIN(MAX(T520,0),MAX(0,P506-IF($A521&gt;='1-Input'!$C$12,'1-Input'!$B$12,0))))*(1/(1-'P-Parametri'!$B$6*P521))),MAX(0,2*P506-(T520-MIN(MAX(T520,0),MAX(0,P506-IF($A521&gt;='1-Input'!$C$12,'1-Input'!$B$12,0)))))*(1/(1-'P-Parametri'!$B$6*P521))))</f>
        <v>20625.899076860002</v>
      </c>
      <c r="R521" s="18">
        <f>IF($A521&gt;'1-Input'!$B$26,T520,(T520-MAX(0,P506-IF($A521&gt;='1-Input'!$C$12,'1-Input'!$B$12,0))+Q521*(1-'P-Parametri'!$B$6*P521))*(1+'1-Input'!$B$27))</f>
        <v>36188.277471006419</v>
      </c>
      <c r="S521" s="18">
        <f>IF($A521&gt;'1-Input'!$B$26,U520,(U520-Q521)*(1+$C$4))</f>
        <v>259072.12795140303</v>
      </c>
      <c r="T521" s="18">
        <f>IF($A521&gt;'1-Input'!$B$26,R521,R521-'P-Parametri'!$B$8*(S521+R521)+MIN(MAX(S521,0),'P-Parametri'!$B$8*(S521+R521)))</f>
        <v>36188.277471006419</v>
      </c>
      <c r="U521" s="18">
        <f>IF($A521&gt;'1-Input'!$B$26,S521,S521-MIN(MAX(S521,0),'P-Parametri'!$B$8*(S521+R521)))</f>
        <v>258481.60714055822</v>
      </c>
      <c r="V521" s="18">
        <f>IF($A521&gt;'1-Input'!$B$26,V520,V520-Q521*(1-P521))</f>
        <v>141978.782674769</v>
      </c>
      <c r="W521" s="11">
        <f>IF($A521&gt;'1-Input'!$B$26,0,IF(AB520&lt;=0,0,MAX(0,(AB520-AC520)/AB520)))</f>
        <v>0.43555777342262031</v>
      </c>
      <c r="X521" s="18">
        <f>IF($A521&gt;'1-Input'!$B$26,0,(MAX(0,W506-IF($A521&gt;='1-Input'!$C$12,'1-Input'!$B$12,0))-MIN(MAX(AA520,0),MAX(0,W506-IF($A521&gt;='1-Input'!$C$12,'1-Input'!$B$12,0))))*(1/(1-'P-Parametri'!$B$6*W521))+MIN(MAX(0,AB520-(MAX(0,W506-IF($A521&gt;='1-Input'!$C$12,'1-Input'!$B$12,0))-MIN(MAX(AA520,0),MAX(0,W506-IF($A521&gt;='1-Input'!$C$12,'1-Input'!$B$12,0))))*(1/(1-'P-Parametri'!$B$6*W521))),MAX(0,2*W506-(AA520-MIN(MAX(AA520,0),MAX(0,W506-IF($A521&gt;='1-Input'!$C$12,'1-Input'!$B$12,0)))))*(1/(1-'P-Parametri'!$B$6*W521))))</f>
        <v>20397.805117350264</v>
      </c>
      <c r="Y521" s="18">
        <f>IF($A521&gt;'1-Input'!$B$26,AA520,(AA520-MAX(0,W506-IF($A521&gt;='1-Input'!$C$12,'1-Input'!$B$12,0))+X521*(1-'P-Parametri'!$B$6*W521))*(1+'1-Input'!$B$27))</f>
        <v>35787.80573423492</v>
      </c>
      <c r="Z521" s="18">
        <f>IF($A521&gt;'1-Input'!$B$26,AB520,(AB520-X521)*(1+$C$4))</f>
        <v>263168.6852885047</v>
      </c>
      <c r="AA521" s="18">
        <f>IF($A521&gt;'1-Input'!$B$26,Y521,Y521-'P-Parametri'!$B$8*(Z521+Y521)+MIN(MAX(Z521,0),'P-Parametri'!$B$8*(Z521+Y521)))</f>
        <v>35787.80573423492</v>
      </c>
      <c r="AB521" s="18">
        <f>IF($A521&gt;'1-Input'!$B$26,Z521,Z521-MIN(MAX(Z521,0),'P-Parametri'!$B$8*(Z521+Y521)))</f>
        <v>262570.7723064592</v>
      </c>
      <c r="AC521" s="18">
        <f>IF($A521&gt;'1-Input'!$B$26,AC520,AC520-X521*(1-W521))</f>
        <v>144217.0084365877</v>
      </c>
      <c r="AD521" s="11">
        <f>IF($A521&gt;'1-Input'!$B$26,0,IF(AI520&lt;=0,0,MAX(0,(AI520-AJ520)/AI520)))</f>
        <v>0.43555959268443051</v>
      </c>
      <c r="AE521" s="18">
        <f>IF($A521&gt;'1-Input'!$B$26,0,(MAX(0,AD506-IF($A521&gt;='1-Input'!$C$12,'1-Input'!$B$12,0))-MIN(MAX(AH520,0),MAX(0,AD506-IF($A521&gt;='1-Input'!$C$12,'1-Input'!$B$12,0))))*(1/(1-'P-Parametri'!$B$6*AD521))+MIN(MAX(0,AI520-(MAX(0,AD506-IF($A521&gt;='1-Input'!$C$12,'1-Input'!$B$12,0))-MIN(MAX(AH520,0),MAX(0,AD506-IF($A521&gt;='1-Input'!$C$12,'1-Input'!$B$12,0))))*(1/(1-'P-Parametri'!$B$6*AD521))),MAX(0,2*AD506-(AH520-MIN(MAX(AH520,0),MAX(0,AD506-IF($A521&gt;='1-Input'!$C$12,'1-Input'!$B$12,0)))))*(1/(1-'P-Parametri'!$B$6*AD521))))</f>
        <v>20382.086371224716</v>
      </c>
      <c r="AF521" s="18">
        <f>IF($A521&gt;'1-Input'!$B$26,AH520,(AH520-MAX(0,AD506-IF($A521&gt;='1-Input'!$C$12,'1-Input'!$B$12,0))+AE521*(1-'P-Parametri'!$B$6*AD521))*(1+'1-Input'!$B$27))</f>
        <v>35760.208229591961</v>
      </c>
      <c r="AG521" s="18">
        <f>IF($A521&gt;'1-Input'!$B$26,AI520,(AI520-AE521)*(1+$C$4))</f>
        <v>263450.99050761171</v>
      </c>
      <c r="AH521" s="18">
        <f>IF($A521&gt;'1-Input'!$B$26,AF521,AF521-'P-Parametri'!$B$8*(AG521+AF521)+MIN(MAX(AG521,0),'P-Parametri'!$B$8*(AG521+AF521)))</f>
        <v>35760.208229591961</v>
      </c>
      <c r="AI521" s="18">
        <f>IF($A521&gt;'1-Input'!$B$26,AG521,AG521-MIN(MAX(AG521,0),'P-Parametri'!$B$8*(AG521+AF521)))</f>
        <v>262852.5681101373</v>
      </c>
      <c r="AJ521" s="18">
        <f>IF($A521&gt;'1-Input'!$B$26,AJ520,AJ520-AE521*(1-AD521))</f>
        <v>144371.24698039476</v>
      </c>
      <c r="AK521" s="11">
        <f>IF($A521&gt;'1-Input'!$B$26,0,IF(AP520&lt;=0,0,MAX(0,(AP520-AQ520)/AP520)))</f>
        <v>0.43555959699580366</v>
      </c>
      <c r="AL521" s="18">
        <f>IF($A521&gt;'1-Input'!$B$26,0,(MAX(0,AK506-IF($A521&gt;='1-Input'!$C$12,'1-Input'!$B$12,0))-MIN(MAX(AO520,0),MAX(0,AK506-IF($A521&gt;='1-Input'!$C$12,'1-Input'!$B$12,0))))*(1/(1-'P-Parametri'!$B$6*AK521))+MIN(MAX(0,AP520-(MAX(0,AK506-IF($A521&gt;='1-Input'!$C$12,'1-Input'!$B$12,0))-MIN(MAX(AO520,0),MAX(0,AK506-IF($A521&gt;='1-Input'!$C$12,'1-Input'!$B$12,0))))*(1/(1-'P-Parametri'!$B$6*AK521))),MAX(0,2*AK506-(AO520-MIN(MAX(AO520,0),MAX(0,AK506-IF($A521&gt;='1-Input'!$C$12,'1-Input'!$B$12,0)))))*(1/(1-'P-Parametri'!$B$6*AK521))))</f>
        <v>20382.049099942833</v>
      </c>
      <c r="AM521" s="18">
        <f>IF($A521&gt;'1-Input'!$B$26,AO520,(AO520-MAX(0,AK506-IF($A521&gt;='1-Input'!$C$12,'1-Input'!$B$12,0))+AL521*(1-'P-Parametri'!$B$6*AK521))*(1+'1-Input'!$B$27))</f>
        <v>35760.142792219878</v>
      </c>
      <c r="AN521" s="18">
        <f>IF($A521&gt;'1-Input'!$B$26,AP520,(AP520-AL521)*(1+$C$4))</f>
        <v>263451.65989120881</v>
      </c>
      <c r="AO521" s="18">
        <f>IF($A521&gt;'1-Input'!$B$26,AM521,AM521-'P-Parametri'!$B$8*(AN521+AM521)+MIN(MAX(AN521,0),'P-Parametri'!$B$8*(AN521+AM521)))</f>
        <v>35760.142792219878</v>
      </c>
      <c r="AP521" s="18">
        <f>IF($A521&gt;'1-Input'!$B$26,AN521,AN521-MIN(MAX(AN521,0),'P-Parametri'!$B$8*(AN521+AM521)))</f>
        <v>262853.23628584197</v>
      </c>
      <c r="AQ521" s="18">
        <f>IF($A521&gt;'1-Input'!$B$26,AQ520,AQ520-AL521*(1-AK521))</f>
        <v>144371.61270011493</v>
      </c>
    </row>
    <row r="522" spans="1:43">
      <c r="A522" s="10">
        <f>14</f>
        <v>14</v>
      </c>
      <c r="B522" s="11">
        <f>IF($A522&gt;'1-Input'!$B$26,0,IF(G521&lt;=0,0,MAX(0,(G521-H521)/G521)))</f>
        <v>0.45092882302983078</v>
      </c>
      <c r="C522" s="18">
        <f>IF($A522&gt;'1-Input'!$B$26,0,(MAX(0,B506-IF($A522&gt;='1-Input'!$C$12,'1-Input'!$B$12,0))-MIN(MAX(F521,0),MAX(0,B506-IF($A522&gt;='1-Input'!$C$12,'1-Input'!$B$12,0))))*(1/(1-'P-Parametri'!$B$6*B522))+MIN(MAX(0,G521-(MAX(0,B506-IF($A522&gt;='1-Input'!$C$12,'1-Input'!$B$12,0))-MIN(MAX(F521,0),MAX(0,B506-IF($A522&gt;='1-Input'!$C$12,'1-Input'!$B$12,0))))*(1/(1-'P-Parametri'!$B$6*B522))),MAX(0,2*B506-(F521-MIN(MAX(F521,0),MAX(0,B506-IF($A522&gt;='1-Input'!$C$12,'1-Input'!$B$12,0)))))*(1/(1-'P-Parametri'!$B$6*B522))))</f>
        <v>19032.565303492043</v>
      </c>
      <c r="D522" s="18">
        <f>IF($A522&gt;'1-Input'!$B$26,F521,(F521-MAX(0,B506-IF($A522&gt;='1-Input'!$C$12,'1-Input'!$B$12,0))+C522*(1-'P-Parametri'!$B$6*B522))*(1+'1-Input'!$B$27))</f>
        <v>33242.0070309863</v>
      </c>
      <c r="E522" s="18">
        <f>IF($A522&gt;'1-Input'!$B$26,G521,(G521-C522)*(1+$C$4))</f>
        <v>277619.80773538642</v>
      </c>
      <c r="F522" s="18">
        <f>IF($A522&gt;'1-Input'!$B$26,D522,D522-'P-Parametri'!$B$8*(E522+D522)+MIN(MAX(E522,0),'P-Parametri'!$B$8*(E522+D522)))</f>
        <v>33242.0070309863</v>
      </c>
      <c r="G522" s="18">
        <f>IF($A522&gt;'1-Input'!$B$26,E522,E522-MIN(MAX(E522,0),'P-Parametri'!$B$8*(E522+D522)))</f>
        <v>276998.08410585369</v>
      </c>
      <c r="H522" s="18">
        <f>IF($A522&gt;'1-Input'!$B$26,H521,H521-C522*(1-B522))</f>
        <v>147993.23745970943</v>
      </c>
      <c r="I522" s="11">
        <f>IF($A522&gt;'1-Input'!$B$26,0,IF(N521&lt;=0,0,MAX(0,(N521-O521)/N521)))</f>
        <v>0.45002506223957389</v>
      </c>
      <c r="J522" s="18">
        <f>IF($A522&gt;'1-Input'!$B$26,0,(MAX(0,I506-IF($A522&gt;='1-Input'!$C$12,'1-Input'!$B$12,0))-MIN(MAX(M521,0),MAX(0,I506-IF($A522&gt;='1-Input'!$C$12,'1-Input'!$B$12,0))))*(1/(1-'P-Parametri'!$B$6*I522))+MIN(MAX(0,N521-(MAX(0,I506-IF($A522&gt;='1-Input'!$C$12,'1-Input'!$B$12,0))-MIN(MAX(M521,0),MAX(0,I506-IF($A522&gt;='1-Input'!$C$12,'1-Input'!$B$12,0))))*(1/(1-'P-Parametri'!$B$6*I522))),MAX(0,2*I506-(M521-MIN(MAX(M521,0),MAX(0,I506-IF($A522&gt;='1-Input'!$C$12,'1-Input'!$B$12,0)))))*(1/(1-'P-Parametri'!$B$6*I522))))</f>
        <v>25036.184805913705</v>
      </c>
      <c r="K522" s="18">
        <f>IF($A522&gt;'1-Input'!$B$26,M521,(M521-MAX(0,I506-IF($A522&gt;='1-Input'!$C$12,'1-Input'!$B$12,0))+J522*(1-'P-Parametri'!$B$6*I522))*(1+'1-Input'!$B$27))</f>
        <v>43739.482935508291</v>
      </c>
      <c r="L522" s="18">
        <f>IF($A522&gt;'1-Input'!$B$26,N521,(N521-J522)*(1+$C$4))</f>
        <v>161038.71639625548</v>
      </c>
      <c r="M522" s="18">
        <f>IF($A522&gt;'1-Input'!$B$26,K522,K522-'P-Parametri'!$B$8*(L522+K522)+MIN(MAX(L522,0),'P-Parametri'!$B$8*(L522+K522)))</f>
        <v>43739.482935508291</v>
      </c>
      <c r="N522" s="18">
        <f>IF($A522&gt;'1-Input'!$B$26,L522,L522-MIN(MAX(L522,0),'P-Parametri'!$B$8*(L522+K522)))</f>
        <v>160629.15999759195</v>
      </c>
      <c r="O522" s="18">
        <f>IF($A522&gt;'1-Input'!$B$26,O521,O521-J522*(1-I522))</f>
        <v>85987.62915247526</v>
      </c>
      <c r="P522" s="11">
        <f>IF($A522&gt;'1-Input'!$B$26,0,IF(U521&lt;=0,0,MAX(0,(U521-V521)/U521)))</f>
        <v>0.45071997870408176</v>
      </c>
      <c r="Q522" s="18">
        <f>IF($A522&gt;'1-Input'!$B$26,0,(MAX(0,P506-IF($A522&gt;='1-Input'!$C$12,'1-Input'!$B$12,0))-MIN(MAX(T521,0),MAX(0,P506-IF($A522&gt;='1-Input'!$C$12,'1-Input'!$B$12,0))))*(1/(1-'P-Parametri'!$B$6*P522))+MIN(MAX(0,U521-(MAX(0,P506-IF($A522&gt;='1-Input'!$C$12,'1-Input'!$B$12,0))-MIN(MAX(T521,0),MAX(0,P506-IF($A522&gt;='1-Input'!$C$12,'1-Input'!$B$12,0))))*(1/(1-'P-Parametri'!$B$6*P522))),MAX(0,2*P506-(T521-MIN(MAX(T521,0),MAX(0,P506-IF($A522&gt;='1-Input'!$C$12,'1-Input'!$B$12,0)))))*(1/(1-'P-Parametri'!$B$6*P522))))</f>
        <v>20718.165120619207</v>
      </c>
      <c r="R522" s="18">
        <f>IF($A522&gt;'1-Input'!$B$26,T521,(T521-MAX(0,P506-IF($A522&gt;='1-Input'!$C$12,'1-Input'!$B$12,0))+Q522*(1-'P-Parametri'!$B$6*P522))*(1+'1-Input'!$B$27))</f>
        <v>36188.277471006419</v>
      </c>
      <c r="S522" s="18">
        <f>IF($A522&gt;'1-Input'!$B$26,U521,(U521-Q522)*(1+$C$4))</f>
        <v>244896.34528053718</v>
      </c>
      <c r="T522" s="18">
        <f>IF($A522&gt;'1-Input'!$B$26,R522,R522-'P-Parametri'!$B$8*(S522+R522)+MIN(MAX(S522,0),'P-Parametri'!$B$8*(S522+R522)))</f>
        <v>36188.277471006419</v>
      </c>
      <c r="U522" s="18">
        <f>IF($A522&gt;'1-Input'!$B$26,S522,S522-MIN(MAX(S522,0),'P-Parametri'!$B$8*(S522+R522)))</f>
        <v>244334.17603503409</v>
      </c>
      <c r="V522" s="18">
        <f>IF($A522&gt;'1-Input'!$B$26,V521,V521-Q522*(1-P522))</f>
        <v>130598.70849610293</v>
      </c>
      <c r="W522" s="11">
        <f>IF($A522&gt;'1-Input'!$B$26,0,IF(AB521&lt;=0,0,MAX(0,(AB521-AC521)/AB521)))</f>
        <v>0.45074995526057648</v>
      </c>
      <c r="X522" s="18">
        <f>IF($A522&gt;'1-Input'!$B$26,0,(MAX(0,W506-IF($A522&gt;='1-Input'!$C$12,'1-Input'!$B$12,0))-MIN(MAX(AA521,0),MAX(0,W506-IF($A522&gt;='1-Input'!$C$12,'1-Input'!$B$12,0))))*(1/(1-'P-Parametri'!$B$6*W522))+MIN(MAX(0,AB521-(MAX(0,W506-IF($A522&gt;='1-Input'!$C$12,'1-Input'!$B$12,0))-MIN(MAX(AA521,0),MAX(0,W506-IF($A522&gt;='1-Input'!$C$12,'1-Input'!$B$12,0))))*(1/(1-'P-Parametri'!$B$6*W522))),MAX(0,2*W506-(AA521-MIN(MAX(AA521,0),MAX(0,W506-IF($A522&gt;='1-Input'!$C$12,'1-Input'!$B$12,0)))))*(1/(1-'P-Parametri'!$B$6*W522))))</f>
        <v>20489.071774983884</v>
      </c>
      <c r="Y522" s="18">
        <f>IF($A522&gt;'1-Input'!$B$26,AA521,(AA521-MAX(0,W506-IF($A522&gt;='1-Input'!$C$12,'1-Input'!$B$12,0))+X522*(1-'P-Parametri'!$B$6*W522))*(1+'1-Input'!$B$27))</f>
        <v>35787.805734234928</v>
      </c>
      <c r="Z522" s="18">
        <f>IF($A522&gt;'1-Input'!$B$26,AB521,(AB521-X522)*(1+$C$4))</f>
        <v>249344.15154741958</v>
      </c>
      <c r="AA522" s="18">
        <f>IF($A522&gt;'1-Input'!$B$26,Y522,Y522-'P-Parametri'!$B$8*(Z522+Y522)+MIN(MAX(Z522,0),'P-Parametri'!$B$8*(Z522+Y522)))</f>
        <v>35787.805734234928</v>
      </c>
      <c r="AB522" s="18">
        <f>IF($A522&gt;'1-Input'!$B$26,Z522,Z522-MIN(MAX(Z522,0),'P-Parametri'!$B$8*(Z522+Y522)))</f>
        <v>248773.88763285626</v>
      </c>
      <c r="AC522" s="18">
        <f>IF($A522&gt;'1-Input'!$B$26,AC521,AC521-X522*(1-W522))</f>
        <v>132963.38484750854</v>
      </c>
      <c r="AD522" s="11">
        <f>IF($A522&gt;'1-Input'!$B$26,0,IF(AI521&lt;=0,0,MAX(0,(AI521-AJ521)/AI521)))</f>
        <v>0.45075200132759569</v>
      </c>
      <c r="AE522" s="18">
        <f>IF($A522&gt;'1-Input'!$B$26,0,(MAX(0,AD506-IF($A522&gt;='1-Input'!$C$12,'1-Input'!$B$12,0))-MIN(MAX(AH521,0),MAX(0,AD506-IF($A522&gt;='1-Input'!$C$12,'1-Input'!$B$12,0))))*(1/(1-'P-Parametri'!$B$6*AD522))+MIN(MAX(0,AI521-(MAX(0,AD506-IF($A522&gt;='1-Input'!$C$12,'1-Input'!$B$12,0))-MIN(MAX(AH521,0),MAX(0,AD506-IF($A522&gt;='1-Input'!$C$12,'1-Input'!$B$12,0))))*(1/(1-'P-Parametri'!$B$6*AD522))),MAX(0,2*AD506-(AH521-MIN(MAX(AH521,0),MAX(0,AD506-IF($A522&gt;='1-Input'!$C$12,'1-Input'!$B$12,0)))))*(1/(1-'P-Parametri'!$B$6*AD522))))</f>
        <v>20473.284114320653</v>
      </c>
      <c r="AF522" s="18">
        <f>IF($A522&gt;'1-Input'!$B$26,AH521,(AH521-MAX(0,AD506-IF($A522&gt;='1-Input'!$C$12,'1-Input'!$B$12,0))+AE522*(1-'P-Parametri'!$B$6*AD522))*(1+'1-Input'!$B$27))</f>
        <v>35760.208229591961</v>
      </c>
      <c r="AG522" s="18">
        <f>IF($A522&gt;'1-Input'!$B$26,AI521,(AI521-AE522)*(1+$C$4))</f>
        <v>249650.66251569116</v>
      </c>
      <c r="AH522" s="18">
        <f>IF($A522&gt;'1-Input'!$B$26,AF522,AF522-'P-Parametri'!$B$8*(AG522+AF522)+MIN(MAX(AG522,0),'P-Parametri'!$B$8*(AG522+AF522)))</f>
        <v>35760.208229591961</v>
      </c>
      <c r="AI522" s="18">
        <f>IF($A522&gt;'1-Input'!$B$26,AG522,AG522-MIN(MAX(AG522,0),'P-Parametri'!$B$8*(AG522+AF522)))</f>
        <v>249079.84077420059</v>
      </c>
      <c r="AJ522" s="18">
        <f>IF($A522&gt;'1-Input'!$B$26,AJ521,AJ521-AE522*(1-AD522))</f>
        <v>133126.33665435261</v>
      </c>
      <c r="AK522" s="11">
        <f>IF($A522&gt;'1-Input'!$B$26,0,IF(AP521&lt;=0,0,MAX(0,(AP521-AQ521)/AP521)))</f>
        <v>0.45075200617611266</v>
      </c>
      <c r="AL522" s="18">
        <f>IF($A522&gt;'1-Input'!$B$26,0,(MAX(0,AK506-IF($A522&gt;='1-Input'!$C$12,'1-Input'!$B$12,0))-MIN(MAX(AO521,0),MAX(0,AK506-IF($A522&gt;='1-Input'!$C$12,'1-Input'!$B$12,0))))*(1/(1-'P-Parametri'!$B$6*AK522))+MIN(MAX(0,AP521-(MAX(0,AK506-IF($A522&gt;='1-Input'!$C$12,'1-Input'!$B$12,0))-MIN(MAX(AO521,0),MAX(0,AK506-IF($A522&gt;='1-Input'!$C$12,'1-Input'!$B$12,0))))*(1/(1-'P-Parametri'!$B$6*AK522))),MAX(0,2*AK506-(AO521-MIN(MAX(AO521,0),MAX(0,AK506-IF($A522&gt;='1-Input'!$C$12,'1-Input'!$B$12,0)))))*(1/(1-'P-Parametri'!$B$6*AK522))))</f>
        <v>20473.246679626514</v>
      </c>
      <c r="AM522" s="18">
        <f>IF($A522&gt;'1-Input'!$B$26,AO521,(AO521-MAX(0,AK506-IF($A522&gt;='1-Input'!$C$12,'1-Input'!$B$12,0))+AL522*(1-'P-Parametri'!$B$6*AK522))*(1+'1-Input'!$B$27))</f>
        <v>35760.142792219878</v>
      </c>
      <c r="AN522" s="18">
        <f>IF($A522&gt;'1-Input'!$B$26,AP521,(AP521-AL522)*(1+$C$4))</f>
        <v>249651.38929440192</v>
      </c>
      <c r="AO522" s="18">
        <f>IF($A522&gt;'1-Input'!$B$26,AM522,AM522-'P-Parametri'!$B$8*(AN522+AM522)+MIN(MAX(AN522,0),'P-Parametri'!$B$8*(AN522+AM522)))</f>
        <v>35760.142792219878</v>
      </c>
      <c r="AP522" s="18">
        <f>IF($A522&gt;'1-Input'!$B$26,AN522,AN522-MIN(MAX(AN522,0),'P-Parametri'!$B$8*(AN522+AM522)))</f>
        <v>249080.56623022867</v>
      </c>
      <c r="AQ522" s="18">
        <f>IF($A522&gt;'1-Input'!$B$26,AQ521,AQ521-AL522*(1-AK522))</f>
        <v>133126.72303426851</v>
      </c>
    </row>
    <row r="523" spans="1:43">
      <c r="A523" s="10">
        <f>15</f>
        <v>15</v>
      </c>
      <c r="B523" s="11">
        <f>IF($A523&gt;'1-Input'!$B$26,0,IF(G522&lt;=0,0,MAX(0,(G522-H522)/G522)))</f>
        <v>0.46572468926119209</v>
      </c>
      <c r="C523" s="18">
        <f>IF($A523&gt;'1-Input'!$B$26,0,(MAX(0,B506-IF($A523&gt;='1-Input'!$C$12,'1-Input'!$B$12,0))-MIN(MAX(F522,0),MAX(0,B506-IF($A523&gt;='1-Input'!$C$12,'1-Input'!$B$12,0))))*(1/(1-'P-Parametri'!$B$6*B523))+MIN(MAX(0,G522-(MAX(0,B506-IF($A523&gt;='1-Input'!$C$12,'1-Input'!$B$12,0))-MIN(MAX(F522,0),MAX(0,B506-IF($A523&gt;='1-Input'!$C$12,'1-Input'!$B$12,0))))*(1/(1-'P-Parametri'!$B$6*B523))),MAX(0,2*B506-(F522-MIN(MAX(F522,0),MAX(0,B506-IF($A523&gt;='1-Input'!$C$12,'1-Input'!$B$12,0)))))*(1/(1-'P-Parametri'!$B$6*B523))))</f>
        <v>19115.869309344653</v>
      </c>
      <c r="D523" s="18">
        <f>IF($A523&gt;'1-Input'!$B$26,F522,(F522-MAX(0,B506-IF($A523&gt;='1-Input'!$C$12,'1-Input'!$B$12,0))+C523*(1-'P-Parametri'!$B$6*B523))*(1+'1-Input'!$B$27))</f>
        <v>33242.0070309863</v>
      </c>
      <c r="E523" s="18">
        <f>IF($A523&gt;'1-Input'!$B$26,G522,(G522-C523)*(1+$C$4))</f>
        <v>265618.68124040432</v>
      </c>
      <c r="F523" s="18">
        <f>IF($A523&gt;'1-Input'!$B$26,D523,D523-'P-Parametri'!$B$8*(E523+D523)+MIN(MAX(E523,0),'P-Parametri'!$B$8*(E523+D523)))</f>
        <v>33242.0070309863</v>
      </c>
      <c r="G523" s="18">
        <f>IF($A523&gt;'1-Input'!$B$26,E523,E523-MIN(MAX(E523,0),'P-Parametri'!$B$8*(E523+D523)))</f>
        <v>265020.95986386156</v>
      </c>
      <c r="H523" s="18">
        <f>IF($A523&gt;'1-Input'!$B$26,H522,H522-C523*(1-B523))</f>
        <v>137780.10044441686</v>
      </c>
      <c r="I523" s="11">
        <f>IF($A523&gt;'1-Input'!$B$26,0,IF(N522&lt;=0,0,MAX(0,(N522-O522)/N522)))</f>
        <v>0.46468232073326954</v>
      </c>
      <c r="J523" s="18">
        <f>IF($A523&gt;'1-Input'!$B$26,0,(MAX(0,I506-IF($A523&gt;='1-Input'!$C$12,'1-Input'!$B$12,0))-MIN(MAX(M522,0),MAX(0,I506-IF($A523&gt;='1-Input'!$C$12,'1-Input'!$B$12,0))))*(1/(1-'P-Parametri'!$B$6*I523))+MIN(MAX(0,N522-(MAX(0,I506-IF($A523&gt;='1-Input'!$C$12,'1-Input'!$B$12,0))-MIN(MAX(M522,0),MAX(0,I506-IF($A523&gt;='1-Input'!$C$12,'1-Input'!$B$12,0))))*(1/(1-'P-Parametri'!$B$6*I523))),MAX(0,2*I506-(M522-MIN(MAX(M522,0),MAX(0,I506-IF($A523&gt;='1-Input'!$C$12,'1-Input'!$B$12,0)))))*(1/(1-'P-Parametri'!$B$6*I523))))</f>
        <v>25144.706149251226</v>
      </c>
      <c r="K523" s="18">
        <f>IF($A523&gt;'1-Input'!$B$26,M522,(M522-MAX(0,I506-IF($A523&gt;='1-Input'!$C$12,'1-Input'!$B$12,0))+J523*(1-'P-Parametri'!$B$6*I523))*(1+'1-Input'!$B$27))</f>
        <v>43739.482935508291</v>
      </c>
      <c r="L523" s="18">
        <f>IF($A523&gt;'1-Input'!$B$26,N522,(N522-J523)*(1+$C$4))</f>
        <v>139548.98746379095</v>
      </c>
      <c r="M523" s="18">
        <f>IF($A523&gt;'1-Input'!$B$26,K523,K523-'P-Parametri'!$B$8*(L523+K523)+MIN(MAX(L523,0),'P-Parametri'!$B$8*(L523+K523)))</f>
        <v>43739.482935508291</v>
      </c>
      <c r="N523" s="18">
        <f>IF($A523&gt;'1-Input'!$B$26,L523,L523-MIN(MAX(L523,0),'P-Parametri'!$B$8*(L523+K523)))</f>
        <v>139182.41052299234</v>
      </c>
      <c r="O523" s="18">
        <f>IF($A523&gt;'1-Input'!$B$26,O522,O522-J523*(1-I523))</f>
        <v>72527.223410814215</v>
      </c>
      <c r="P523" s="11">
        <f>IF($A523&gt;'1-Input'!$B$26,0,IF(U522&lt;=0,0,MAX(0,(U522-V522)/U522)))</f>
        <v>0.46549144038950607</v>
      </c>
      <c r="Q523" s="18">
        <f>IF($A523&gt;'1-Input'!$B$26,0,(MAX(0,P506-IF($A523&gt;='1-Input'!$C$12,'1-Input'!$B$12,0))-MIN(MAX(T522,0),MAX(0,P506-IF($A523&gt;='1-Input'!$C$12,'1-Input'!$B$12,0))))*(1/(1-'P-Parametri'!$B$6*P523))+MIN(MAX(0,U522-(MAX(0,P506-IF($A523&gt;='1-Input'!$C$12,'1-Input'!$B$12,0))-MIN(MAX(T522,0),MAX(0,P506-IF($A523&gt;='1-Input'!$C$12,'1-Input'!$B$12,0))))*(1/(1-'P-Parametri'!$B$6*P523))),MAX(0,2*P506-(T522-MIN(MAX(T522,0),MAX(0,P506-IF($A523&gt;='1-Input'!$C$12,'1-Input'!$B$12,0)))))*(1/(1-'P-Parametri'!$B$6*P523))))</f>
        <v>20808.691042920615</v>
      </c>
      <c r="R523" s="18">
        <f>IF($A523&gt;'1-Input'!$B$26,T522,(T522-MAX(0,P506-IF($A523&gt;='1-Input'!$C$12,'1-Input'!$B$12,0))+Q523*(1-'P-Parametri'!$B$6*P523))*(1+'1-Input'!$B$27))</f>
        <v>36188.277471006419</v>
      </c>
      <c r="S523" s="18">
        <f>IF($A523&gt;'1-Input'!$B$26,U522,(U522-Q523)*(1+$C$4))</f>
        <v>230231.2495418769</v>
      </c>
      <c r="T523" s="18">
        <f>IF($A523&gt;'1-Input'!$B$26,R523,R523-'P-Parametri'!$B$8*(S523+R523)+MIN(MAX(S523,0),'P-Parametri'!$B$8*(S523+R523)))</f>
        <v>36188.277471006419</v>
      </c>
      <c r="U523" s="18">
        <f>IF($A523&gt;'1-Input'!$B$26,S523,S523-MIN(MAX(S523,0),'P-Parametri'!$B$8*(S523+R523)))</f>
        <v>229698.41048785113</v>
      </c>
      <c r="V523" s="18">
        <f>IF($A523&gt;'1-Input'!$B$26,V522,V522-Q523*(1-P523))</f>
        <v>119476.28501937164</v>
      </c>
      <c r="W523" s="11">
        <f>IF($A523&gt;'1-Input'!$B$26,0,IF(AB522&lt;=0,0,MAX(0,(AB522-AC522)/AB522)))</f>
        <v>0.46552515574408826</v>
      </c>
      <c r="X523" s="18">
        <f>IF($A523&gt;'1-Input'!$B$26,0,(MAX(0,W506-IF($A523&gt;='1-Input'!$C$12,'1-Input'!$B$12,0))-MIN(MAX(AA522,0),MAX(0,W506-IF($A523&gt;='1-Input'!$C$12,'1-Input'!$B$12,0))))*(1/(1-'P-Parametri'!$B$6*W523))+MIN(MAX(0,AB522-(MAX(0,W506-IF($A523&gt;='1-Input'!$C$12,'1-Input'!$B$12,0))-MIN(MAX(AA522,0),MAX(0,W506-IF($A523&gt;='1-Input'!$C$12,'1-Input'!$B$12,0))))*(1/(1-'P-Parametri'!$B$6*W523))),MAX(0,2*W506-(AA522-MIN(MAX(AA522,0),MAX(0,W506-IF($A523&gt;='1-Input'!$C$12,'1-Input'!$B$12,0)))))*(1/(1-'P-Parametri'!$B$6*W523))))</f>
        <v>20578.620249814972</v>
      </c>
      <c r="Y523" s="18">
        <f>IF($A523&gt;'1-Input'!$B$26,AA522,(AA522-MAX(0,W506-IF($A523&gt;='1-Input'!$C$12,'1-Input'!$B$12,0))+X523*(1-'P-Parametri'!$B$6*W523))*(1+'1-Input'!$B$27))</f>
        <v>35787.805734234928</v>
      </c>
      <c r="Z523" s="18">
        <f>IF($A523&gt;'1-Input'!$B$26,AB522,(AB522-X523)*(1+$C$4))</f>
        <v>235041.12540453253</v>
      </c>
      <c r="AA523" s="18">
        <f>IF($A523&gt;'1-Input'!$B$26,Y523,Y523-'P-Parametri'!$B$8*(Z523+Y523)+MIN(MAX(Z523,0),'P-Parametri'!$B$8*(Z523+Y523)))</f>
        <v>35787.805734234928</v>
      </c>
      <c r="AB523" s="18">
        <f>IF($A523&gt;'1-Input'!$B$26,Z523,Z523-MIN(MAX(Z523,0),'P-Parametri'!$B$8*(Z523+Y523)))</f>
        <v>234499.46754225501</v>
      </c>
      <c r="AC523" s="18">
        <f>IF($A523&gt;'1-Input'!$B$26,AC522,AC522-X523*(1-W523))</f>
        <v>121964.62999448713</v>
      </c>
      <c r="AD523" s="11">
        <f>IF($A523&gt;'1-Input'!$B$26,0,IF(AI522&lt;=0,0,MAX(0,(AI522-AJ522)/AI522)))</f>
        <v>0.46552745400605827</v>
      </c>
      <c r="AE523" s="18">
        <f>IF($A523&gt;'1-Input'!$B$26,0,(MAX(0,AD506-IF($A523&gt;='1-Input'!$C$12,'1-Input'!$B$12,0))-MIN(MAX(AH522,0),MAX(0,AD506-IF($A523&gt;='1-Input'!$C$12,'1-Input'!$B$12,0))))*(1/(1-'P-Parametri'!$B$6*AD523))+MIN(MAX(0,AI522-(MAX(0,AD506-IF($A523&gt;='1-Input'!$C$12,'1-Input'!$B$12,0))-MIN(MAX(AH522,0),MAX(0,AD506-IF($A523&gt;='1-Input'!$C$12,'1-Input'!$B$12,0))))*(1/(1-'P-Parametri'!$B$6*AD523))),MAX(0,2*AD506-(AH522-MIN(MAX(AH522,0),MAX(0,AD506-IF($A523&gt;='1-Input'!$C$12,'1-Input'!$B$12,0)))))*(1/(1-'P-Parametri'!$B$6*AD523))))</f>
        <v>20562.765176560031</v>
      </c>
      <c r="AF523" s="18">
        <f>IF($A523&gt;'1-Input'!$B$26,AH522,(AH522-MAX(0,AD506-IF($A523&gt;='1-Input'!$C$12,'1-Input'!$B$12,0))+AE523*(1-'P-Parametri'!$B$6*AD523))*(1+'1-Input'!$B$27))</f>
        <v>35760.208229591961</v>
      </c>
      <c r="AG523" s="18">
        <f>IF($A523&gt;'1-Input'!$B$26,AI522,(AI522-AE523)*(1+$C$4))</f>
        <v>235372.58786556977</v>
      </c>
      <c r="AH523" s="18">
        <f>IF($A523&gt;'1-Input'!$B$26,AF523,AF523-'P-Parametri'!$B$8*(AG523+AF523)+MIN(MAX(AG523,0),'P-Parametri'!$B$8*(AG523+AF523)))</f>
        <v>35760.208229591961</v>
      </c>
      <c r="AI523" s="18">
        <f>IF($A523&gt;'1-Input'!$B$26,AG523,AG523-MIN(MAX(AG523,0),'P-Parametri'!$B$8*(AG523+AF523)))</f>
        <v>234830.32227337945</v>
      </c>
      <c r="AJ523" s="18">
        <f>IF($A523&gt;'1-Input'!$B$26,AJ522,AJ522-AE523*(1-AD523))</f>
        <v>122136.103197761</v>
      </c>
      <c r="AK523" s="11">
        <f>IF($A523&gt;'1-Input'!$B$26,0,IF(AP522&lt;=0,0,MAX(0,(AP522-AQ522)/AP522)))</f>
        <v>0.46552745945174379</v>
      </c>
      <c r="AL523" s="18">
        <f>IF($A523&gt;'1-Input'!$B$26,0,(MAX(0,AK506-IF($A523&gt;='1-Input'!$C$12,'1-Input'!$B$12,0))-MIN(MAX(AO522,0),MAX(0,AK506-IF($A523&gt;='1-Input'!$C$12,'1-Input'!$B$12,0))))*(1/(1-'P-Parametri'!$B$6*AK523))+MIN(MAX(0,AP522-(MAX(0,AK506-IF($A523&gt;='1-Input'!$C$12,'1-Input'!$B$12,0))-MIN(MAX(AO522,0),MAX(0,AK506-IF($A523&gt;='1-Input'!$C$12,'1-Input'!$B$12,0))))*(1/(1-'P-Parametri'!$B$6*AK523))),MAX(0,2*AK506-(AO522-MIN(MAX(AO522,0),MAX(0,AK506-IF($A523&gt;='1-Input'!$C$12,'1-Input'!$B$12,0)))))*(1/(1-'P-Parametri'!$B$6*AK523))))</f>
        <v>20562.727582013482</v>
      </c>
      <c r="AM523" s="18">
        <f>IF($A523&gt;'1-Input'!$B$26,AO522,(AO522-MAX(0,AK506-IF($A523&gt;='1-Input'!$C$12,'1-Input'!$B$12,0))+AL523*(1-'P-Parametri'!$B$6*AK523))*(1+'1-Input'!$B$27))</f>
        <v>35760.142792219878</v>
      </c>
      <c r="AN523" s="18">
        <f>IF($A523&gt;'1-Input'!$B$26,AP522,(AP522-AL523)*(1+$C$4))</f>
        <v>235373.37380766164</v>
      </c>
      <c r="AO523" s="18">
        <f>IF($A523&gt;'1-Input'!$B$26,AM523,AM523-'P-Parametri'!$B$8*(AN523+AM523)+MIN(MAX(AN523,0),'P-Parametri'!$B$8*(AN523+AM523)))</f>
        <v>35760.142792219878</v>
      </c>
      <c r="AP523" s="18">
        <f>IF($A523&gt;'1-Input'!$B$26,AN523,AN523-MIN(MAX(AN523,0),'P-Parametri'!$B$8*(AN523+AM523)))</f>
        <v>234831.10677446189</v>
      </c>
      <c r="AQ523" s="18">
        <f>IF($A523&gt;'1-Input'!$B$26,AQ522,AQ522-AL523*(1-AK523))</f>
        <v>122136.50978290806</v>
      </c>
    </row>
    <row r="524" spans="1:43">
      <c r="A524" s="10">
        <f>16</f>
        <v>16</v>
      </c>
      <c r="B524" s="11">
        <f>IF($A524&gt;'1-Input'!$B$26,0,IF(G523&lt;=0,0,MAX(0,(G523-H523)/G523)))</f>
        <v>0.48011621226036977</v>
      </c>
      <c r="C524" s="18">
        <f>IF($A524&gt;'1-Input'!$B$26,0,(MAX(0,B506-IF($A524&gt;='1-Input'!$C$12,'1-Input'!$B$12,0))-MIN(MAX(F523,0),MAX(0,B506-IF($A524&gt;='1-Input'!$C$12,'1-Input'!$B$12,0))))*(1/(1-'P-Parametri'!$B$6*B524))+MIN(MAX(0,G523-(MAX(0,B506-IF($A524&gt;='1-Input'!$C$12,'1-Input'!$B$12,0))-MIN(MAX(F523,0),MAX(0,B506-IF($A524&gt;='1-Input'!$C$12,'1-Input'!$B$12,0))))*(1/(1-'P-Parametri'!$B$6*B524))),MAX(0,2*B506-(F523-MIN(MAX(F523,0),MAX(0,B506-IF($A524&gt;='1-Input'!$C$12,'1-Input'!$B$12,0)))))*(1/(1-'P-Parametri'!$B$6*B524))))</f>
        <v>19197.599373811132</v>
      </c>
      <c r="D524" s="18">
        <f>IF($A524&gt;'1-Input'!$B$26,F523,(F523-MAX(0,B506-IF($A524&gt;='1-Input'!$C$12,'1-Input'!$B$12,0))+C524*(1-'P-Parametri'!$B$6*B524))*(1+'1-Input'!$B$27))</f>
        <v>33242.0070309863</v>
      </c>
      <c r="E524" s="18">
        <f>IF($A524&gt;'1-Input'!$B$26,G523,(G523-C524)*(1+$C$4))</f>
        <v>253198.06130475196</v>
      </c>
      <c r="F524" s="18">
        <f>IF($A524&gt;'1-Input'!$B$26,D524,D524-'P-Parametri'!$B$8*(E524+D524)+MIN(MAX(E524,0),'P-Parametri'!$B$8*(E524+D524)))</f>
        <v>33242.0070309863</v>
      </c>
      <c r="G524" s="18">
        <f>IF($A524&gt;'1-Input'!$B$26,E524,E524-MIN(MAX(E524,0),'P-Parametri'!$B$8*(E524+D524)))</f>
        <v>252625.18116808048</v>
      </c>
      <c r="H524" s="18">
        <f>IF($A524&gt;'1-Input'!$B$26,H523,H523-C524*(1-B524))</f>
        <v>127799.57976645198</v>
      </c>
      <c r="I524" s="11">
        <f>IF($A524&gt;'1-Input'!$B$26,0,IF(N523&lt;=0,0,MAX(0,(N523-O523)/N523)))</f>
        <v>0.47890525003636847</v>
      </c>
      <c r="J524" s="18">
        <f>IF($A524&gt;'1-Input'!$B$26,0,(MAX(0,I506-IF($A524&gt;='1-Input'!$C$12,'1-Input'!$B$12,0))-MIN(MAX(M523,0),MAX(0,I506-IF($A524&gt;='1-Input'!$C$12,'1-Input'!$B$12,0))))*(1/(1-'P-Parametri'!$B$6*I524))+MIN(MAX(0,N523-(MAX(0,I506-IF($A524&gt;='1-Input'!$C$12,'1-Input'!$B$12,0))-MIN(MAX(M523,0),MAX(0,I506-IF($A524&gt;='1-Input'!$C$12,'1-Input'!$B$12,0))))*(1/(1-'P-Parametri'!$B$6*I524))),MAX(0,2*I506-(M523-MIN(MAX(M523,0),MAX(0,I506-IF($A524&gt;='1-Input'!$C$12,'1-Input'!$B$12,0)))))*(1/(1-'P-Parametri'!$B$6*I524))))</f>
        <v>25250.914932980577</v>
      </c>
      <c r="K524" s="18">
        <f>IF($A524&gt;'1-Input'!$B$26,M523,(M523-MAX(0,I506-IF($A524&gt;='1-Input'!$C$12,'1-Input'!$B$12,0))+J524*(1-'P-Parametri'!$B$6*I524))*(1+'1-Input'!$B$27))</f>
        <v>43739.482935508291</v>
      </c>
      <c r="L524" s="18">
        <f>IF($A524&gt;'1-Input'!$B$26,N523,(N523-J524)*(1+$C$4))</f>
        <v>117349.44045771212</v>
      </c>
      <c r="M524" s="18">
        <f>IF($A524&gt;'1-Input'!$B$26,K524,K524-'P-Parametri'!$B$8*(L524+K524)+MIN(MAX(L524,0),'P-Parametri'!$B$8*(L524+K524)))</f>
        <v>43739.482935508291</v>
      </c>
      <c r="N524" s="18">
        <f>IF($A524&gt;'1-Input'!$B$26,L524,L524-MIN(MAX(L524,0),'P-Parametri'!$B$8*(L524+K524)))</f>
        <v>117027.26261092568</v>
      </c>
      <c r="O524" s="18">
        <f>IF($A524&gt;'1-Input'!$B$26,O523,O523-J524*(1-I524))</f>
        <v>59369.104207459772</v>
      </c>
      <c r="P524" s="11">
        <f>IF($A524&gt;'1-Input'!$B$26,0,IF(U523&lt;=0,0,MAX(0,(U523-V523)/U523)))</f>
        <v>0.47985584764988692</v>
      </c>
      <c r="Q524" s="18">
        <f>IF($A524&gt;'1-Input'!$B$26,0,(MAX(0,P506-IF($A524&gt;='1-Input'!$C$12,'1-Input'!$B$12,0))-MIN(MAX(T523,0),MAX(0,P506-IF($A524&gt;='1-Input'!$C$12,'1-Input'!$B$12,0))))*(1/(1-'P-Parametri'!$B$6*P524))+MIN(MAX(0,U523-(MAX(0,P506-IF($A524&gt;='1-Input'!$C$12,'1-Input'!$B$12,0))-MIN(MAX(T523,0),MAX(0,P506-IF($A524&gt;='1-Input'!$C$12,'1-Input'!$B$12,0))))*(1/(1-'P-Parametri'!$B$6*P524))),MAX(0,2*P506-(T523-MIN(MAX(T523,0),MAX(0,P506-IF($A524&gt;='1-Input'!$C$12,'1-Input'!$B$12,0)))))*(1/(1-'P-Parametri'!$B$6*P524))))</f>
        <v>20897.484284882197</v>
      </c>
      <c r="R524" s="18">
        <f>IF($A524&gt;'1-Input'!$B$26,T523,(T523-MAX(0,P506-IF($A524&gt;='1-Input'!$C$12,'1-Input'!$B$12,0))+Q524*(1-'P-Parametri'!$B$6*P524))*(1+'1-Input'!$B$27))</f>
        <v>36188.277471006419</v>
      </c>
      <c r="S524" s="18">
        <f>IF($A524&gt;'1-Input'!$B$26,U523,(U523-Q524)*(1+$C$4))</f>
        <v>215064.95398905801</v>
      </c>
      <c r="T524" s="18">
        <f>IF($A524&gt;'1-Input'!$B$26,R524,R524-'P-Parametri'!$B$8*(S524+R524)+MIN(MAX(S524,0),'P-Parametri'!$B$8*(S524+R524)))</f>
        <v>36188.277471006419</v>
      </c>
      <c r="U524" s="18">
        <f>IF($A524&gt;'1-Input'!$B$26,S524,S524-MIN(MAX(S524,0),'P-Parametri'!$B$8*(S524+R524)))</f>
        <v>214562.44752613787</v>
      </c>
      <c r="V524" s="18">
        <f>IF($A524&gt;'1-Input'!$B$26,V523,V523-Q524*(1-P524))</f>
        <v>108606.58076976179</v>
      </c>
      <c r="W524" s="11">
        <f>IF($A524&gt;'1-Input'!$B$26,0,IF(AB523&lt;=0,0,MAX(0,(AB523-AC523)/AB523)))</f>
        <v>0.4798937870828639</v>
      </c>
      <c r="X524" s="18">
        <f>IF($A524&gt;'1-Input'!$B$26,0,(MAX(0,W506-IF($A524&gt;='1-Input'!$C$12,'1-Input'!$B$12,0))-MIN(MAX(AA523,0),MAX(0,W506-IF($A524&gt;='1-Input'!$C$12,'1-Input'!$B$12,0))))*(1/(1-'P-Parametri'!$B$6*W524))+MIN(MAX(0,AB523-(MAX(0,W506-IF($A524&gt;='1-Input'!$C$12,'1-Input'!$B$12,0))-MIN(MAX(AA523,0),MAX(0,W506-IF($A524&gt;='1-Input'!$C$12,'1-Input'!$B$12,0))))*(1/(1-'P-Parametri'!$B$6*W524))),MAX(0,2*W506-(AA523-MIN(MAX(AA523,0),MAX(0,W506-IF($A524&gt;='1-Input'!$C$12,'1-Input'!$B$12,0)))))*(1/(1-'P-Parametri'!$B$6*W524))))</f>
        <v>20666.458563742468</v>
      </c>
      <c r="Y524" s="18">
        <f>IF($A524&gt;'1-Input'!$B$26,AA523,(AA523-MAX(0,W506-IF($A524&gt;='1-Input'!$C$12,'1-Input'!$B$12,0))+X524*(1-'P-Parametri'!$B$6*W524))*(1+'1-Input'!$B$27))</f>
        <v>35787.805734234935</v>
      </c>
      <c r="Z524" s="18">
        <f>IF($A524&gt;'1-Input'!$B$26,AB523,(AB523-X524)*(1+$C$4))</f>
        <v>220247.99924786793</v>
      </c>
      <c r="AA524" s="18">
        <f>IF($A524&gt;'1-Input'!$B$26,Y524,Y524-'P-Parametri'!$B$8*(Z524+Y524)+MIN(MAX(Z524,0),'P-Parametri'!$B$8*(Z524+Y524)))</f>
        <v>35787.805734234935</v>
      </c>
      <c r="AB524" s="18">
        <f>IF($A524&gt;'1-Input'!$B$26,Z524,Z524-MIN(MAX(Z524,0),'P-Parametri'!$B$8*(Z524+Y524)))</f>
        <v>219735.92763790372</v>
      </c>
      <c r="AC524" s="18">
        <f>IF($A524&gt;'1-Input'!$B$26,AC523,AC523-X524*(1-W524))</f>
        <v>111215.87649649012</v>
      </c>
      <c r="AD524" s="11">
        <f>IF($A524&gt;'1-Input'!$B$26,0,IF(AI523&lt;=0,0,MAX(0,(AI523-AJ523)/AI523)))</f>
        <v>0.47989636936419416</v>
      </c>
      <c r="AE524" s="18">
        <f>IF($A524&gt;'1-Input'!$B$26,0,(MAX(0,AD506-IF($A524&gt;='1-Input'!$C$12,'1-Input'!$B$12,0))-MIN(MAX(AH523,0),MAX(0,AD506-IF($A524&gt;='1-Input'!$C$12,'1-Input'!$B$12,0))))*(1/(1-'P-Parametri'!$B$6*AD524))+MIN(MAX(0,AI523-(MAX(0,AD506-IF($A524&gt;='1-Input'!$C$12,'1-Input'!$B$12,0))-MIN(MAX(AH523,0),MAX(0,AD506-IF($A524&gt;='1-Input'!$C$12,'1-Input'!$B$12,0))))*(1/(1-'P-Parametri'!$B$6*AD524))),MAX(0,2*AD506-(AH523-MIN(MAX(AH523,0),MAX(0,AD506-IF($A524&gt;='1-Input'!$C$12,'1-Input'!$B$12,0)))))*(1/(1-'P-Parametri'!$B$6*AD524))))</f>
        <v>20650.537616543734</v>
      </c>
      <c r="AF524" s="18">
        <f>IF($A524&gt;'1-Input'!$B$26,AH523,(AH523-MAX(0,AD506-IF($A524&gt;='1-Input'!$C$12,'1-Input'!$B$12,0))+AE524*(1-'P-Parametri'!$B$6*AD524))*(1+'1-Input'!$B$27))</f>
        <v>35760.208229591961</v>
      </c>
      <c r="AG524" s="18">
        <f>IF($A524&gt;'1-Input'!$B$26,AI523,(AI523-AE524)*(1+$C$4))</f>
        <v>220605.1781965408</v>
      </c>
      <c r="AH524" s="18">
        <f>IF($A524&gt;'1-Input'!$B$26,AF524,AF524-'P-Parametri'!$B$8*(AG524+AF524)+MIN(MAX(AG524,0),'P-Parametri'!$B$8*(AG524+AF524)))</f>
        <v>35760.208229591961</v>
      </c>
      <c r="AI524" s="18">
        <f>IF($A524&gt;'1-Input'!$B$26,AG524,AG524-MIN(MAX(AG524,0),'P-Parametri'!$B$8*(AG524+AF524)))</f>
        <v>220092.44742368854</v>
      </c>
      <c r="AJ524" s="18">
        <f>IF($A524&gt;'1-Input'!$B$26,AJ523,AJ523-AE524*(1-AD524))</f>
        <v>111395.68360881532</v>
      </c>
      <c r="AK524" s="11">
        <f>IF($A524&gt;'1-Input'!$B$26,0,IF(AP523&lt;=0,0,MAX(0,(AP523-AQ523)/AP523)))</f>
        <v>0.47989637548226843</v>
      </c>
      <c r="AL524" s="18">
        <f>IF($A524&gt;'1-Input'!$B$26,0,(MAX(0,AK506-IF($A524&gt;='1-Input'!$C$12,'1-Input'!$B$12,0))-MIN(MAX(AO523,0),MAX(0,AK506-IF($A524&gt;='1-Input'!$C$12,'1-Input'!$B$12,0))))*(1/(1-'P-Parametri'!$B$6*AK524))+MIN(MAX(0,AP523-(MAX(0,AK506-IF($A524&gt;='1-Input'!$C$12,'1-Input'!$B$12,0))-MIN(MAX(AO523,0),MAX(0,AK506-IF($A524&gt;='1-Input'!$C$12,'1-Input'!$B$12,0))))*(1/(1-'P-Parametri'!$B$6*AK524))),MAX(0,2*AK506-(AO523-MIN(MAX(AO523,0),MAX(0,AK506-IF($A524&gt;='1-Input'!$C$12,'1-Input'!$B$12,0)))))*(1/(1-'P-Parametri'!$B$6*AK524))))</f>
        <v>20650.499865791156</v>
      </c>
      <c r="AM524" s="18">
        <f>IF($A524&gt;'1-Input'!$B$26,AO523,(AO523-MAX(0,AK506-IF($A524&gt;='1-Input'!$C$12,'1-Input'!$B$12,0))+AL524*(1-'P-Parametri'!$B$6*AK524))*(1+'1-Input'!$B$27))</f>
        <v>35760.142792219878</v>
      </c>
      <c r="AN524" s="18">
        <f>IF($A524&gt;'1-Input'!$B$26,AP523,(AP523-AL524)*(1+$C$4))</f>
        <v>220606.02511593088</v>
      </c>
      <c r="AO524" s="18">
        <f>IF($A524&gt;'1-Input'!$B$26,AM524,AM524-'P-Parametri'!$B$8*(AN524+AM524)+MIN(MAX(AN524,0),'P-Parametri'!$B$8*(AN524+AM524)))</f>
        <v>35760.142792219878</v>
      </c>
      <c r="AP524" s="18">
        <f>IF($A524&gt;'1-Input'!$B$26,AN524,AN524-MIN(MAX(AN524,0),'P-Parametri'!$B$8*(AN524+AM524)))</f>
        <v>220093.29278011457</v>
      </c>
      <c r="AQ524" s="18">
        <f>IF($A524&gt;'1-Input'!$B$26,AQ523,AQ523-AL524*(1-AK524))</f>
        <v>111396.10995460715</v>
      </c>
    </row>
    <row r="525" spans="1:43">
      <c r="A525" s="10">
        <f>17</f>
        <v>17</v>
      </c>
      <c r="B525" s="11">
        <f>IF($A525&gt;'1-Input'!$B$26,0,IF(G524&lt;=0,0,MAX(0,(G524-H524)/G524)))</f>
        <v>0.49411385208894759</v>
      </c>
      <c r="C525" s="18">
        <f>IF($A525&gt;'1-Input'!$B$26,0,(MAX(0,B506-IF($A525&gt;='1-Input'!$C$12,'1-Input'!$B$12,0))-MIN(MAX(F524,0),MAX(0,B506-IF($A525&gt;='1-Input'!$C$12,'1-Input'!$B$12,0))))*(1/(1-'P-Parametri'!$B$6*B525))+MIN(MAX(0,G524-(MAX(0,B506-IF($A525&gt;='1-Input'!$C$12,'1-Input'!$B$12,0))-MIN(MAX(F524,0),MAX(0,B506-IF($A525&gt;='1-Input'!$C$12,'1-Input'!$B$12,0))))*(1/(1-'P-Parametri'!$B$6*B525))),MAX(0,2*B506-(F524-MIN(MAX(F524,0),MAX(0,B506-IF($A525&gt;='1-Input'!$C$12,'1-Input'!$B$12,0)))))*(1/(1-'P-Parametri'!$B$6*B525))))</f>
        <v>19277.765804427632</v>
      </c>
      <c r="D525" s="18">
        <f>IF($A525&gt;'1-Input'!$B$26,F524,(F524-MAX(0,B506-IF($A525&gt;='1-Input'!$C$12,'1-Input'!$B$12,0))+C525*(1-'P-Parametri'!$B$6*B525))*(1+'1-Input'!$B$27))</f>
        <v>33242.0070309863</v>
      </c>
      <c r="E525" s="18">
        <f>IF($A525&gt;'1-Input'!$B$26,G524,(G524-C525)*(1+$C$4))</f>
        <v>240347.83782456245</v>
      </c>
      <c r="F525" s="18">
        <f>IF($A525&gt;'1-Input'!$B$26,D525,D525-'P-Parametri'!$B$8*(E525+D525)+MIN(MAX(E525,0),'P-Parametri'!$B$8*(E525+D525)))</f>
        <v>33242.0070309863</v>
      </c>
      <c r="G525" s="18">
        <f>IF($A525&gt;'1-Input'!$B$26,E525,E525-MIN(MAX(E525,0),'P-Parametri'!$B$8*(E525+D525)))</f>
        <v>239800.65813485134</v>
      </c>
      <c r="H525" s="18">
        <f>IF($A525&gt;'1-Input'!$B$26,H524,H524-C525*(1-B525))</f>
        <v>118047.22508331867</v>
      </c>
      <c r="I525" s="11">
        <f>IF($A525&gt;'1-Input'!$B$26,0,IF(N524&lt;=0,0,MAX(0,(N524-O524)/N524)))</f>
        <v>0.49268996913273894</v>
      </c>
      <c r="J525" s="18">
        <f>IF($A525&gt;'1-Input'!$B$26,0,(MAX(0,I506-IF($A525&gt;='1-Input'!$C$12,'1-Input'!$B$12,0))-MIN(MAX(M524,0),MAX(0,I506-IF($A525&gt;='1-Input'!$C$12,'1-Input'!$B$12,0))))*(1/(1-'P-Parametri'!$B$6*I525))+MIN(MAX(0,N524-(MAX(0,I506-IF($A525&gt;='1-Input'!$C$12,'1-Input'!$B$12,0))-MIN(MAX(M524,0),MAX(0,I506-IF($A525&gt;='1-Input'!$C$12,'1-Input'!$B$12,0))))*(1/(1-'P-Parametri'!$B$6*I525))),MAX(0,2*I506-(M524-MIN(MAX(M524,0),MAX(0,I506-IF($A525&gt;='1-Input'!$C$12,'1-Input'!$B$12,0)))))*(1/(1-'P-Parametri'!$B$6*I525))))</f>
        <v>25354.711121650627</v>
      </c>
      <c r="K525" s="18">
        <f>IF($A525&gt;'1-Input'!$B$26,M524,(M524-MAX(0,I506-IF($A525&gt;='1-Input'!$C$12,'1-Input'!$B$12,0))+J525*(1-'P-Parametri'!$B$6*I525))*(1+'1-Input'!$B$27))</f>
        <v>43739.482935508291</v>
      </c>
      <c r="L525" s="18">
        <f>IF($A525&gt;'1-Input'!$B$26,N524,(N524-J525)*(1+$C$4))</f>
        <v>94422.728033953303</v>
      </c>
      <c r="M525" s="18">
        <f>IF($A525&gt;'1-Input'!$B$26,K525,K525-'P-Parametri'!$B$8*(L525+K525)+MIN(MAX(L525,0),'P-Parametri'!$B$8*(L525+K525)))</f>
        <v>43739.482935508291</v>
      </c>
      <c r="N525" s="18">
        <f>IF($A525&gt;'1-Input'!$B$26,L525,L525-MIN(MAX(L525,0),'P-Parametri'!$B$8*(L525+K525)))</f>
        <v>94146.403612014386</v>
      </c>
      <c r="O525" s="18">
        <f>IF($A525&gt;'1-Input'!$B$26,O524,O524-J525*(1-I525))</f>
        <v>46506.404925704701</v>
      </c>
      <c r="P525" s="11">
        <f>IF($A525&gt;'1-Input'!$B$26,0,IF(U524&lt;=0,0,MAX(0,(U524-V524)/U524)))</f>
        <v>0.49382297777652168</v>
      </c>
      <c r="Q525" s="18">
        <f>IF($A525&gt;'1-Input'!$B$26,0,(MAX(0,P506-IF($A525&gt;='1-Input'!$C$12,'1-Input'!$B$12,0))-MIN(MAX(T524,0),MAX(0,P506-IF($A525&gt;='1-Input'!$C$12,'1-Input'!$B$12,0))))*(1/(1-'P-Parametri'!$B$6*P525))+MIN(MAX(0,U524-(MAX(0,P506-IF($A525&gt;='1-Input'!$C$12,'1-Input'!$B$12,0))-MIN(MAX(T524,0),MAX(0,P506-IF($A525&gt;='1-Input'!$C$12,'1-Input'!$B$12,0))))*(1/(1-'P-Parametri'!$B$6*P525))),MAX(0,2*P506-(T524-MIN(MAX(T524,0),MAX(0,P506-IF($A525&gt;='1-Input'!$C$12,'1-Input'!$B$12,0)))))*(1/(1-'P-Parametri'!$B$6*P525))))</f>
        <v>20984.551431230891</v>
      </c>
      <c r="R525" s="18">
        <f>IF($A525&gt;'1-Input'!$B$26,T524,(T524-MAX(0,P506-IF($A525&gt;='1-Input'!$C$12,'1-Input'!$B$12,0))+Q525*(1-'P-Parametri'!$B$6*P525))*(1+'1-Input'!$B$27))</f>
        <v>36188.277471006419</v>
      </c>
      <c r="S525" s="18">
        <f>IF($A525&gt;'1-Input'!$B$26,U524,(U524-Q525)*(1+$C$4))</f>
        <v>199385.2329777542</v>
      </c>
      <c r="T525" s="18">
        <f>IF($A525&gt;'1-Input'!$B$26,R525,R525-'P-Parametri'!$B$8*(S525+R525)+MIN(MAX(S525,0),'P-Parametri'!$B$8*(S525+R525)))</f>
        <v>36188.277471006419</v>
      </c>
      <c r="U525" s="18">
        <f>IF($A525&gt;'1-Input'!$B$26,S525,S525-MIN(MAX(S525,0),'P-Parametri'!$B$8*(S525+R525)))</f>
        <v>198914.0859568567</v>
      </c>
      <c r="V525" s="18">
        <f>IF($A525&gt;'1-Input'!$B$26,V524,V524-Q525*(1-P525))</f>
        <v>97984.6830136059</v>
      </c>
      <c r="W525" s="11">
        <f>IF($A525&gt;'1-Input'!$B$26,0,IF(AB524&lt;=0,0,MAX(0,(AB524-AC524)/AB524)))</f>
        <v>0.49386576108864888</v>
      </c>
      <c r="X525" s="18">
        <f>IF($A525&gt;'1-Input'!$B$26,0,(MAX(0,W506-IF($A525&gt;='1-Input'!$C$12,'1-Input'!$B$12,0))-MIN(MAX(AA524,0),MAX(0,W506-IF($A525&gt;='1-Input'!$C$12,'1-Input'!$B$12,0))))*(1/(1-'P-Parametri'!$B$6*W525))+MIN(MAX(0,AB524-(MAX(0,W506-IF($A525&gt;='1-Input'!$C$12,'1-Input'!$B$12,0))-MIN(MAX(AA524,0),MAX(0,W506-IF($A525&gt;='1-Input'!$C$12,'1-Input'!$B$12,0))))*(1/(1-'P-Parametri'!$B$6*W525))),MAX(0,2*W506-(AA524-MIN(MAX(AA524,0),MAX(0,W506-IF($A525&gt;='1-Input'!$C$12,'1-Input'!$B$12,0)))))*(1/(1-'P-Parametri'!$B$6*W525))))</f>
        <v>20752.594126831638</v>
      </c>
      <c r="Y525" s="18">
        <f>IF($A525&gt;'1-Input'!$B$26,AA524,(AA524-MAX(0,W506-IF($A525&gt;='1-Input'!$C$12,'1-Input'!$B$12,0))+X525*(1-'P-Parametri'!$B$6*W525))*(1+'1-Input'!$B$27))</f>
        <v>35787.805734234928</v>
      </c>
      <c r="Z525" s="18">
        <f>IF($A525&gt;'1-Input'!$B$26,AB524,(AB524-X525)*(1+$C$4))</f>
        <v>204952.83351640427</v>
      </c>
      <c r="AA525" s="18">
        <f>IF($A525&gt;'1-Input'!$B$26,Y525,Y525-'P-Parametri'!$B$8*(Z525+Y525)+MIN(MAX(Z525,0),'P-Parametri'!$B$8*(Z525+Y525)))</f>
        <v>35787.805734234928</v>
      </c>
      <c r="AB525" s="18">
        <f>IF($A525&gt;'1-Input'!$B$26,Z525,Z525-MIN(MAX(Z525,0),'P-Parametri'!$B$8*(Z525+Y525)))</f>
        <v>204471.35223790299</v>
      </c>
      <c r="AC525" s="18">
        <f>IF($A525&gt;'1-Input'!$B$26,AC524,AC524-X525*(1-W525))</f>
        <v>100712.27806267001</v>
      </c>
      <c r="AD525" s="11">
        <f>IF($A525&gt;'1-Input'!$B$26,0,IF(AI524&lt;=0,0,MAX(0,(AI524-AJ524)/AI524)))</f>
        <v>0.4938686678585873</v>
      </c>
      <c r="AE525" s="18">
        <f>IF($A525&gt;'1-Input'!$B$26,0,(MAX(0,AD506-IF($A525&gt;='1-Input'!$C$12,'1-Input'!$B$12,0))-MIN(MAX(AH524,0),MAX(0,AD506-IF($A525&gt;='1-Input'!$C$12,'1-Input'!$B$12,0))))*(1/(1-'P-Parametri'!$B$6*AD525))+MIN(MAX(0,AI524-(MAX(0,AD506-IF($A525&gt;='1-Input'!$C$12,'1-Input'!$B$12,0))-MIN(MAX(AH524,0),MAX(0,AD506-IF($A525&gt;='1-Input'!$C$12,'1-Input'!$B$12,0))))*(1/(1-'P-Parametri'!$B$6*AD525))),MAX(0,2*AD506-(AH524-MIN(MAX(AH524,0),MAX(0,AD506-IF($A525&gt;='1-Input'!$C$12,'1-Input'!$B$12,0)))))*(1/(1-'P-Parametri'!$B$6*AD525))))</f>
        <v>20736.608896372851</v>
      </c>
      <c r="AF525" s="18">
        <f>IF($A525&gt;'1-Input'!$B$26,AH524,(AH524-MAX(0,AD506-IF($A525&gt;='1-Input'!$C$12,'1-Input'!$B$12,0))+AE525*(1-'P-Parametri'!$B$6*AD525))*(1+'1-Input'!$B$27))</f>
        <v>35760.208229591961</v>
      </c>
      <c r="AG525" s="18">
        <f>IF($A525&gt;'1-Input'!$B$26,AI524,(AI524-AE525)*(1+$C$4))</f>
        <v>205336.51368313518</v>
      </c>
      <c r="AH525" s="18">
        <f>IF($A525&gt;'1-Input'!$B$26,AF525,AF525-'P-Parametri'!$B$8*(AG525+AF525)+MIN(MAX(AG525,0),'P-Parametri'!$B$8*(AG525+AF525)))</f>
        <v>35760.208229591961</v>
      </c>
      <c r="AI525" s="18">
        <f>IF($A525&gt;'1-Input'!$B$26,AG525,AG525-MIN(MAX(AG525,0),'P-Parametri'!$B$8*(AG525+AF525)))</f>
        <v>204854.32023930972</v>
      </c>
      <c r="AJ525" s="18">
        <f>IF($A525&gt;'1-Input'!$B$26,AJ524,AJ524-AE525*(1-AD525))</f>
        <v>100900.23612399866</v>
      </c>
      <c r="AK525" s="11">
        <f>IF($A525&gt;'1-Input'!$B$26,0,IF(AP524&lt;=0,0,MAX(0,(AP524-AQ524)/AP524)))</f>
        <v>0.49386867474467722</v>
      </c>
      <c r="AL525" s="18">
        <f>IF($A525&gt;'1-Input'!$B$26,0,(MAX(0,AK506-IF($A525&gt;='1-Input'!$C$12,'1-Input'!$B$12,0))-MIN(MAX(AO524,0),MAX(0,AK506-IF($A525&gt;='1-Input'!$C$12,'1-Input'!$B$12,0))))*(1/(1-'P-Parametri'!$B$6*AK525))+MIN(MAX(0,AP524-(MAX(0,AK506-IF($A525&gt;='1-Input'!$C$12,'1-Input'!$B$12,0))-MIN(MAX(AO524,0),MAX(0,AK506-IF($A525&gt;='1-Input'!$C$12,'1-Input'!$B$12,0))))*(1/(1-'P-Parametri'!$B$6*AK525))),MAX(0,2*AK506-(AO524-MIN(MAX(AO524,0),MAX(0,AK506-IF($A525&gt;='1-Input'!$C$12,'1-Input'!$B$12,0)))))*(1/(1-'P-Parametri'!$B$6*AK525))))</f>
        <v>20736.570993183301</v>
      </c>
      <c r="AM525" s="18">
        <f>IF($A525&gt;'1-Input'!$B$26,AO524,(AO524-MAX(0,AK506-IF($A525&gt;='1-Input'!$C$12,'1-Input'!$B$12,0))+AL525*(1-'P-Parametri'!$B$6*AK525))*(1+'1-Input'!$B$27))</f>
        <v>35760.142792219878</v>
      </c>
      <c r="AN525" s="18">
        <f>IF($A525&gt;'1-Input'!$B$26,AP524,(AP524-AL525)*(1+$C$4))</f>
        <v>205337.42344053922</v>
      </c>
      <c r="AO525" s="18">
        <f>IF($A525&gt;'1-Input'!$B$26,AM525,AM525-'P-Parametri'!$B$8*(AN525+AM525)+MIN(MAX(AN525,0),'P-Parametri'!$B$8*(AN525+AM525)))</f>
        <v>35760.142792219878</v>
      </c>
      <c r="AP525" s="18">
        <f>IF($A525&gt;'1-Input'!$B$26,AN525,AN525-MIN(MAX(AN525,0),'P-Parametri'!$B$8*(AN525+AM525)))</f>
        <v>204855.22830807371</v>
      </c>
      <c r="AQ525" s="18">
        <f>IF($A525&gt;'1-Input'!$B$26,AQ524,AQ524-AL525*(1-AK525))</f>
        <v>100900.6817965762</v>
      </c>
    </row>
    <row r="526" spans="1:43">
      <c r="A526" s="10">
        <f>18</f>
        <v>18</v>
      </c>
      <c r="B526" s="11">
        <f>IF($A526&gt;'1-Input'!$B$26,0,IF(G525&lt;=0,0,MAX(0,(G525-H525)/G525)))</f>
        <v>0.50772768514698952</v>
      </c>
      <c r="C526" s="18">
        <f>IF($A526&gt;'1-Input'!$B$26,0,(MAX(0,B506-IF($A526&gt;='1-Input'!$C$12,'1-Input'!$B$12,0))-MIN(MAX(F525,0),MAX(0,B506-IF($A526&gt;='1-Input'!$C$12,'1-Input'!$B$12,0))))*(1/(1-'P-Parametri'!$B$6*B526))+MIN(MAX(0,G525-(MAX(0,B506-IF($A526&gt;='1-Input'!$C$12,'1-Input'!$B$12,0))-MIN(MAX(F525,0),MAX(0,B506-IF($A526&gt;='1-Input'!$C$12,'1-Input'!$B$12,0))))*(1/(1-'P-Parametri'!$B$6*B526))),MAX(0,2*B506-(F525-MIN(MAX(F525,0),MAX(0,B506-IF($A526&gt;='1-Input'!$C$12,'1-Input'!$B$12,0)))))*(1/(1-'P-Parametri'!$B$6*B526))))</f>
        <v>19356.37898103728</v>
      </c>
      <c r="D526" s="18">
        <f>IF($A526&gt;'1-Input'!$B$26,F525,(F525-MAX(0,B506-IF($A526&gt;='1-Input'!$C$12,'1-Input'!$B$12,0))+C526*(1-'P-Parametri'!$B$6*B526))*(1+'1-Input'!$B$27))</f>
        <v>33242.0070309863</v>
      </c>
      <c r="E526" s="18">
        <f>IF($A526&gt;'1-Input'!$B$26,G525,(G525-C526)*(1+$C$4))</f>
        <v>227057.60752842849</v>
      </c>
      <c r="F526" s="18">
        <f>IF($A526&gt;'1-Input'!$B$26,D526,D526-'P-Parametri'!$B$8*(E526+D526)+MIN(MAX(E526,0),'P-Parametri'!$B$8*(E526+D526)))</f>
        <v>33242.0070309863</v>
      </c>
      <c r="G526" s="18">
        <f>IF($A526&gt;'1-Input'!$B$26,E526,E526-MIN(MAX(E526,0),'P-Parametri'!$B$8*(E526+D526)))</f>
        <v>226537.00829930967</v>
      </c>
      <c r="H526" s="18">
        <f>IF($A526&gt;'1-Input'!$B$26,H525,H525-C526*(1-B526))</f>
        <v>108518.61559515129</v>
      </c>
      <c r="I526" s="11">
        <f>IF($A526&gt;'1-Input'!$B$26,0,IF(N525&lt;=0,0,MAX(0,(N525-O525)/N525)))</f>
        <v>0.50602037739687133</v>
      </c>
      <c r="J526" s="18">
        <f>IF($A526&gt;'1-Input'!$B$26,0,(MAX(0,I506-IF($A526&gt;='1-Input'!$C$12,'1-Input'!$B$12,0))-MIN(MAX(M525,0),MAX(0,I506-IF($A526&gt;='1-Input'!$C$12,'1-Input'!$B$12,0))))*(1/(1-'P-Parametri'!$B$6*I526))+MIN(MAX(0,N525-(MAX(0,I506-IF($A526&gt;='1-Input'!$C$12,'1-Input'!$B$12,0))-MIN(MAX(M525,0),MAX(0,I506-IF($A526&gt;='1-Input'!$C$12,'1-Input'!$B$12,0))))*(1/(1-'P-Parametri'!$B$6*I526))),MAX(0,2*I506-(M525-MIN(MAX(M525,0),MAX(0,I506-IF($A526&gt;='1-Input'!$C$12,'1-Input'!$B$12,0)))))*(1/(1-'P-Parametri'!$B$6*I526))))</f>
        <v>25455.901284807944</v>
      </c>
      <c r="K526" s="18">
        <f>IF($A526&gt;'1-Input'!$B$26,M525,(M525-MAX(0,I506-IF($A526&gt;='1-Input'!$C$12,'1-Input'!$B$12,0))+J526*(1-'P-Parametri'!$B$6*I526))*(1+'1-Input'!$B$27))</f>
        <v>43739.482935508291</v>
      </c>
      <c r="L526" s="18">
        <f>IF($A526&gt;'1-Input'!$B$26,N525,(N525-J526)*(1+$C$4))</f>
        <v>70751.217397022643</v>
      </c>
      <c r="M526" s="18">
        <f>IF($A526&gt;'1-Input'!$B$26,K526,K526-'P-Parametri'!$B$8*(L526+K526)+MIN(MAX(L526,0),'P-Parametri'!$B$8*(L526+K526)))</f>
        <v>43739.482935508291</v>
      </c>
      <c r="N526" s="18">
        <f>IF($A526&gt;'1-Input'!$B$26,L526,L526-MIN(MAX(L526,0),'P-Parametri'!$B$8*(L526+K526)))</f>
        <v>70522.235996357587</v>
      </c>
      <c r="O526" s="18">
        <f>IF($A526&gt;'1-Input'!$B$26,O525,O525-J526*(1-I526))</f>
        <v>33931.708416012771</v>
      </c>
      <c r="P526" s="11">
        <f>IF($A526&gt;'1-Input'!$B$26,0,IF(U525&lt;=0,0,MAX(0,(U525-V525)/U525)))</f>
        <v>0.50740198944554282</v>
      </c>
      <c r="Q526" s="18">
        <f>IF($A526&gt;'1-Input'!$B$26,0,(MAX(0,P506-IF($A526&gt;='1-Input'!$C$12,'1-Input'!$B$12,0))-MIN(MAX(T525,0),MAX(0,P506-IF($A526&gt;='1-Input'!$C$12,'1-Input'!$B$12,0))))*(1/(1-'P-Parametri'!$B$6*P526))+MIN(MAX(0,U525-(MAX(0,P506-IF($A526&gt;='1-Input'!$C$12,'1-Input'!$B$12,0))-MIN(MAX(T525,0),MAX(0,P506-IF($A526&gt;='1-Input'!$C$12,'1-Input'!$B$12,0))))*(1/(1-'P-Parametri'!$B$6*P526))),MAX(0,2*P506-(T525-MIN(MAX(T525,0),MAX(0,P506-IF($A526&gt;='1-Input'!$C$12,'1-Input'!$B$12,0)))))*(1/(1-'P-Parametri'!$B$6*P526))))</f>
        <v>21069.8975368965</v>
      </c>
      <c r="R526" s="18">
        <f>IF($A526&gt;'1-Input'!$B$26,T525,(T525-MAX(0,P506-IF($A526&gt;='1-Input'!$C$12,'1-Input'!$B$12,0))+Q526*(1-'P-Parametri'!$B$6*P526))*(1+'1-Input'!$B$27))</f>
        <v>36188.277471006419</v>
      </c>
      <c r="S526" s="18">
        <f>IF($A526&gt;'1-Input'!$B$26,U525,(U525-Q526)*(1+$C$4))</f>
        <v>183179.51407255902</v>
      </c>
      <c r="T526" s="18">
        <f>IF($A526&gt;'1-Input'!$B$26,R526,R526-'P-Parametri'!$B$8*(S526+R526)+MIN(MAX(S526,0),'P-Parametri'!$B$8*(S526+R526)))</f>
        <v>36188.277471006419</v>
      </c>
      <c r="U526" s="18">
        <f>IF($A526&gt;'1-Input'!$B$26,S526,S526-MIN(MAX(S526,0),'P-Parametri'!$B$8*(S526+R526)))</f>
        <v>182740.77848947188</v>
      </c>
      <c r="V526" s="18">
        <f>IF($A526&gt;'1-Input'!$B$26,V525,V525-Q526*(1-P526))</f>
        <v>87605.693404344434</v>
      </c>
      <c r="W526" s="11">
        <f>IF($A526&gt;'1-Input'!$B$26,0,IF(AB525&lt;=0,0,MAX(0,(AB525-AC525)/AB525)))</f>
        <v>0.50745042295464948</v>
      </c>
      <c r="X526" s="18">
        <f>IF($A526&gt;'1-Input'!$B$26,0,(MAX(0,W506-IF($A526&gt;='1-Input'!$C$12,'1-Input'!$B$12,0))-MIN(MAX(AA525,0),MAX(0,W506-IF($A526&gt;='1-Input'!$C$12,'1-Input'!$B$12,0))))*(1/(1-'P-Parametri'!$B$6*W526))+MIN(MAX(0,AB525-(MAX(0,W506-IF($A526&gt;='1-Input'!$C$12,'1-Input'!$B$12,0))-MIN(MAX(AA525,0),MAX(0,W506-IF($A526&gt;='1-Input'!$C$12,'1-Input'!$B$12,0))))*(1/(1-'P-Parametri'!$B$6*W526))),MAX(0,2*W506-(AA525-MIN(MAX(AA525,0),MAX(0,W506-IF($A526&gt;='1-Input'!$C$12,'1-Input'!$B$12,0)))))*(1/(1-'P-Parametri'!$B$6*W526))))</f>
        <v>20837.033185448363</v>
      </c>
      <c r="Y526" s="18">
        <f>IF($A526&gt;'1-Input'!$B$26,AA525,(AA525-MAX(0,W506-IF($A526&gt;='1-Input'!$C$12,'1-Input'!$B$12,0))+X526*(1-'P-Parametri'!$B$6*W526))*(1+'1-Input'!$B$27))</f>
        <v>35787.80573423492</v>
      </c>
      <c r="Z526" s="18">
        <f>IF($A526&gt;'1-Input'!$B$26,AB525,(AB525-X526)*(1+$C$4))</f>
        <v>189143.34862402829</v>
      </c>
      <c r="AA526" s="18">
        <f>IF($A526&gt;'1-Input'!$B$26,Y526,Y526-'P-Parametri'!$B$8*(Z526+Y526)+MIN(MAX(Z526,0),'P-Parametri'!$B$8*(Z526+Y526)))</f>
        <v>35787.80573423492</v>
      </c>
      <c r="AB526" s="18">
        <f>IF($A526&gt;'1-Input'!$B$26,Z526,Z526-MIN(MAX(Z526,0),'P-Parametri'!$B$8*(Z526+Y526)))</f>
        <v>188693.48631531178</v>
      </c>
      <c r="AC526" s="18">
        <f>IF($A526&gt;'1-Input'!$B$26,AC525,AC525-X526*(1-W526))</f>
        <v>90449.006180297481</v>
      </c>
      <c r="AD526" s="11">
        <f>IF($A526&gt;'1-Input'!$B$26,0,IF(AI525&lt;=0,0,MAX(0,(AI525-AJ525)/AI525)))</f>
        <v>0.50745370658462297</v>
      </c>
      <c r="AE526" s="18">
        <f>IF($A526&gt;'1-Input'!$B$26,0,(MAX(0,AD506-IF($A526&gt;='1-Input'!$C$12,'1-Input'!$B$12,0))-MIN(MAX(AH525,0),MAX(0,AD506-IF($A526&gt;='1-Input'!$C$12,'1-Input'!$B$12,0))))*(1/(1-'P-Parametri'!$B$6*AD526))+MIN(MAX(0,AI525-(MAX(0,AD506-IF($A526&gt;='1-Input'!$C$12,'1-Input'!$B$12,0))-MIN(MAX(AH525,0),MAX(0,AD506-IF($A526&gt;='1-Input'!$C$12,'1-Input'!$B$12,0))))*(1/(1-'P-Parametri'!$B$6*AD526))),MAX(0,2*AD506-(AH525-MIN(MAX(AH525,0),MAX(0,AD506-IF($A526&gt;='1-Input'!$C$12,'1-Input'!$B$12,0)))))*(1/(1-'P-Parametri'!$B$6*AD526))))</f>
        <v>20820.985337241309</v>
      </c>
      <c r="AF526" s="18">
        <f>IF($A526&gt;'1-Input'!$B$26,AH525,(AH525-MAX(0,AD506-IF($A526&gt;='1-Input'!$C$12,'1-Input'!$B$12,0))+AE526*(1-'P-Parametri'!$B$6*AD526))*(1+'1-Input'!$B$27))</f>
        <v>35760.208229591961</v>
      </c>
      <c r="AG526" s="18">
        <f>IF($A526&gt;'1-Input'!$B$26,AI525,(AI525-AE526)*(1+$C$4))</f>
        <v>189554.33494913045</v>
      </c>
      <c r="AH526" s="18">
        <f>IF($A526&gt;'1-Input'!$B$26,AF526,AF526-'P-Parametri'!$B$8*(AG526+AF526)+MIN(MAX(AG526,0),'P-Parametri'!$B$8*(AG526+AF526)))</f>
        <v>35760.208229591961</v>
      </c>
      <c r="AI526" s="18">
        <f>IF($A526&gt;'1-Input'!$B$26,AG526,AG526-MIN(MAX(AG526,0),'P-Parametri'!$B$8*(AG526+AF526)))</f>
        <v>189103.705862773</v>
      </c>
      <c r="AJ526" s="18">
        <f>IF($A526&gt;'1-Input'!$B$26,AJ525,AJ525-AE526*(1-AD526))</f>
        <v>90644.936970884548</v>
      </c>
      <c r="AK526" s="11">
        <f>IF($A526&gt;'1-Input'!$B$26,0,IF(AP525&lt;=0,0,MAX(0,(AP525-AQ525)/AP525)))</f>
        <v>0.50745371436243925</v>
      </c>
      <c r="AL526" s="18">
        <f>IF($A526&gt;'1-Input'!$B$26,0,(MAX(0,AK506-IF($A526&gt;='1-Input'!$C$12,'1-Input'!$B$12,0))-MIN(MAX(AO525,0),MAX(0,AK506-IF($A526&gt;='1-Input'!$C$12,'1-Input'!$B$12,0))))*(1/(1-'P-Parametri'!$B$6*AK526))+MIN(MAX(0,AP525-(MAX(0,AK506-IF($A526&gt;='1-Input'!$C$12,'1-Input'!$B$12,0))-MIN(MAX(AO525,0),MAX(0,AK506-IF($A526&gt;='1-Input'!$C$12,'1-Input'!$B$12,0))))*(1/(1-'P-Parametri'!$B$6*AK526))),MAX(0,2*AK506-(AO525-MIN(MAX(AO525,0),MAX(0,AK506-IF($A526&gt;='1-Input'!$C$12,'1-Input'!$B$12,0)))))*(1/(1-'P-Parametri'!$B$6*AK526))))</f>
        <v>20820.947285560233</v>
      </c>
      <c r="AM526" s="18">
        <f>IF($A526&gt;'1-Input'!$B$26,AO525,(AO525-MAX(0,AK506-IF($A526&gt;='1-Input'!$C$12,'1-Input'!$B$12,0))+AL526*(1-'P-Parametri'!$B$6*AK526))*(1+'1-Input'!$B$27))</f>
        <v>35760.142792219878</v>
      </c>
      <c r="AN526" s="18">
        <f>IF($A526&gt;'1-Input'!$B$26,AP525,(AP525-AL526)*(1+$C$4))</f>
        <v>189555.30945318891</v>
      </c>
      <c r="AO526" s="18">
        <f>IF($A526&gt;'1-Input'!$B$26,AM526,AM526-'P-Parametri'!$B$8*(AN526+AM526)+MIN(MAX(AN526,0),'P-Parametri'!$B$8*(AN526+AM526)))</f>
        <v>35760.142792219878</v>
      </c>
      <c r="AP526" s="18">
        <f>IF($A526&gt;'1-Input'!$B$26,AN526,AN526-MIN(MAX(AN526,0),'P-Parametri'!$B$8*(AN526+AM526)))</f>
        <v>189104.67854869808</v>
      </c>
      <c r="AQ526" s="18">
        <f>IF($A526&gt;'1-Input'!$B$26,AQ525,AQ525-AL526*(1-AK526))</f>
        <v>90645.40154761805</v>
      </c>
    </row>
    <row r="527" spans="1:43">
      <c r="A527" s="10">
        <f>19</f>
        <v>19</v>
      </c>
      <c r="B527" s="11">
        <f>IF($A527&gt;'1-Input'!$B$26,0,IF(G526&lt;=0,0,MAX(0,(G526-H526)/G526)))</f>
        <v>0.52096738449122537</v>
      </c>
      <c r="C527" s="18">
        <f>IF($A527&gt;'1-Input'!$B$26,0,(MAX(0,B506-IF($A527&gt;='1-Input'!$C$12,'1-Input'!$B$12,0))-MIN(MAX(F526,0),MAX(0,B506-IF($A527&gt;='1-Input'!$C$12,'1-Input'!$B$12,0))))*(1/(1-'P-Parametri'!$B$6*B527))+MIN(MAX(0,G526-(MAX(0,B506-IF($A527&gt;='1-Input'!$C$12,'1-Input'!$B$12,0))-MIN(MAX(F526,0),MAX(0,B506-IF($A527&gt;='1-Input'!$C$12,'1-Input'!$B$12,0))))*(1/(1-'P-Parametri'!$B$6*B527))),MAX(0,2*B506-(F526-MIN(MAX(F526,0),MAX(0,B506-IF($A527&gt;='1-Input'!$C$12,'1-Input'!$B$12,0)))))*(1/(1-'P-Parametri'!$B$6*B527))))</f>
        <v>19433.449136668161</v>
      </c>
      <c r="D527" s="18">
        <f>IF($A527&gt;'1-Input'!$B$26,F526,(F526-MAX(0,B506-IF($A527&gt;='1-Input'!$C$12,'1-Input'!$B$12,0))+C527*(1-'P-Parametri'!$B$6*B527))*(1+'1-Input'!$B$27))</f>
        <v>33242.0070309863</v>
      </c>
      <c r="E527" s="18">
        <f>IF($A527&gt;'1-Input'!$B$26,G526,(G526-C527)*(1+$C$4))</f>
        <v>213316.66593752077</v>
      </c>
      <c r="F527" s="18">
        <f>IF($A527&gt;'1-Input'!$B$26,D527,D527-'P-Parametri'!$B$8*(E527+D527)+MIN(MAX(E527,0),'P-Parametri'!$B$8*(E527+D527)))</f>
        <v>33242.0070309863</v>
      </c>
      <c r="G527" s="18">
        <f>IF($A527&gt;'1-Input'!$B$26,E527,E527-MIN(MAX(E527,0),'P-Parametri'!$B$8*(E527+D527)))</f>
        <v>212823.54859158376</v>
      </c>
      <c r="H527" s="18">
        <f>IF($A527&gt;'1-Input'!$B$26,H526,H526-C527*(1-B527))</f>
        <v>99209.3596268564</v>
      </c>
      <c r="I527" s="11">
        <f>IF($A527&gt;'1-Input'!$B$26,0,IF(N526&lt;=0,0,MAX(0,(N526-O526)/N526)))</f>
        <v>0.51885092784401621</v>
      </c>
      <c r="J527" s="18">
        <f>IF($A527&gt;'1-Input'!$B$26,0,(MAX(0,I506-IF($A527&gt;='1-Input'!$C$12,'1-Input'!$B$12,0))-MIN(MAX(M526,0),MAX(0,I506-IF($A527&gt;='1-Input'!$C$12,'1-Input'!$B$12,0))))*(1/(1-'P-Parametri'!$B$6*I527))+MIN(MAX(0,N526-(MAX(0,I506-IF($A527&gt;='1-Input'!$C$12,'1-Input'!$B$12,0))-MIN(MAX(M526,0),MAX(0,I506-IF($A527&gt;='1-Input'!$C$12,'1-Input'!$B$12,0))))*(1/(1-'P-Parametri'!$B$6*I527))),MAX(0,2*I506-(M526-MIN(MAX(M526,0),MAX(0,I506-IF($A527&gt;='1-Input'!$C$12,'1-Input'!$B$12,0)))))*(1/(1-'P-Parametri'!$B$6*I527))))</f>
        <v>25554.062838964903</v>
      </c>
      <c r="K527" s="18">
        <f>IF($A527&gt;'1-Input'!$B$26,M526,(M526-MAX(0,I506-IF($A527&gt;='1-Input'!$C$12,'1-Input'!$B$12,0))+J527*(1-'P-Parametri'!$B$6*I527))*(1+'1-Input'!$B$27))</f>
        <v>43739.482935508291</v>
      </c>
      <c r="L527" s="18">
        <f>IF($A527&gt;'1-Input'!$B$26,N526,(N526-J527)*(1+$C$4))</f>
        <v>46317.218352114462</v>
      </c>
      <c r="M527" s="18">
        <f>IF($A527&gt;'1-Input'!$B$26,K527,K527-'P-Parametri'!$B$8*(L527+K527)+MIN(MAX(L527,0),'P-Parametri'!$B$8*(L527+K527)))</f>
        <v>43739.482935508291</v>
      </c>
      <c r="N527" s="18">
        <f>IF($A527&gt;'1-Input'!$B$26,L527,L527-MIN(MAX(L527,0),'P-Parametri'!$B$8*(L527+K527)))</f>
        <v>46137.104949539214</v>
      </c>
      <c r="O527" s="18">
        <f>IF($A527&gt;'1-Input'!$B$26,O526,O526-J527*(1-I527))</f>
        <v>21636.394791229104</v>
      </c>
      <c r="P527" s="11">
        <f>IF($A527&gt;'1-Input'!$B$26,0,IF(U526&lt;=0,0,MAX(0,(U526-V526)/U526)))</f>
        <v>0.5206012903715872</v>
      </c>
      <c r="Q527" s="18">
        <f>IF($A527&gt;'1-Input'!$B$26,0,(MAX(0,P506-IF($A527&gt;='1-Input'!$C$12,'1-Input'!$B$12,0))-MIN(MAX(T526,0),MAX(0,P506-IF($A527&gt;='1-Input'!$C$12,'1-Input'!$B$12,0))))*(1/(1-'P-Parametri'!$B$6*P527))+MIN(MAX(0,U526-(MAX(0,P506-IF($A527&gt;='1-Input'!$C$12,'1-Input'!$B$12,0))-MIN(MAX(T526,0),MAX(0,P506-IF($A527&gt;='1-Input'!$C$12,'1-Input'!$B$12,0))))*(1/(1-'P-Parametri'!$B$6*P527))),MAX(0,2*P506-(T526-MIN(MAX(T526,0),MAX(0,P506-IF($A527&gt;='1-Input'!$C$12,'1-Input'!$B$12,0)))))*(1/(1-'P-Parametri'!$B$6*P527))))</f>
        <v>21153.525118600737</v>
      </c>
      <c r="R527" s="18">
        <f>IF($A527&gt;'1-Input'!$B$26,T526,(T526-MAX(0,P506-IF($A527&gt;='1-Input'!$C$12,'1-Input'!$B$12,0))+Q527*(1-'P-Parametri'!$B$6*P527))*(1+'1-Input'!$B$27))</f>
        <v>36188.277471006419</v>
      </c>
      <c r="S527" s="18">
        <f>IF($A527&gt;'1-Input'!$B$26,U526,(U526-Q527)*(1+$C$4))</f>
        <v>166434.87097199727</v>
      </c>
      <c r="T527" s="18">
        <f>IF($A527&gt;'1-Input'!$B$26,R527,R527-'P-Parametri'!$B$8*(S527+R527)+MIN(MAX(S527,0),'P-Parametri'!$B$8*(S527+R527)))</f>
        <v>36188.277471006419</v>
      </c>
      <c r="U527" s="18">
        <f>IF($A527&gt;'1-Input'!$B$26,S527,S527-MIN(MAX(S527,0),'P-Parametri'!$B$8*(S527+R527)))</f>
        <v>166029.62467511126</v>
      </c>
      <c r="V527" s="18">
        <f>IF($A527&gt;'1-Input'!$B$26,V526,V526-Q527*(1-P527))</f>
        <v>77464.720758395022</v>
      </c>
      <c r="W527" s="11">
        <f>IF($A527&gt;'1-Input'!$B$26,0,IF(AB526&lt;=0,0,MAX(0,(AB526-AC526)/AB526)))</f>
        <v>0.52065644688362578</v>
      </c>
      <c r="X527" s="18">
        <f>IF($A527&gt;'1-Input'!$B$26,0,(MAX(0,W506-IF($A527&gt;='1-Input'!$C$12,'1-Input'!$B$12,0))-MIN(MAX(AA526,0),MAX(0,W506-IF($A527&gt;='1-Input'!$C$12,'1-Input'!$B$12,0))))*(1/(1-'P-Parametri'!$B$6*W527))+MIN(MAX(0,AB526-(MAX(0,W506-IF($A527&gt;='1-Input'!$C$12,'1-Input'!$B$12,0))-MIN(MAX(AA526,0),MAX(0,W506-IF($A527&gt;='1-Input'!$C$12,'1-Input'!$B$12,0))))*(1/(1-'P-Parametri'!$B$6*W527))),MAX(0,2*W506-(AA526-MIN(MAX(AA526,0),MAX(0,W506-IF($A527&gt;='1-Input'!$C$12,'1-Input'!$B$12,0)))))*(1/(1-'P-Parametri'!$B$6*W527))))</f>
        <v>20919.780012709853</v>
      </c>
      <c r="Y527" s="18">
        <f>IF($A527&gt;'1-Input'!$B$26,AA526,(AA526-MAX(0,W506-IF($A527&gt;='1-Input'!$C$12,'1-Input'!$B$12,0))+X527*(1-'P-Parametri'!$B$6*W527))*(1+'1-Input'!$B$27))</f>
        <v>35787.805734234928</v>
      </c>
      <c r="Z527" s="18">
        <f>IF($A527&gt;'1-Input'!$B$26,AB526,(AB526-X527)*(1+$C$4))</f>
        <v>172806.91749167998</v>
      </c>
      <c r="AA527" s="18">
        <f>IF($A527&gt;'1-Input'!$B$26,Y527,Y527-'P-Parametri'!$B$8*(Z527+Y527)+MIN(MAX(Z527,0),'P-Parametri'!$B$8*(Z527+Y527)))</f>
        <v>35787.805734234928</v>
      </c>
      <c r="AB527" s="18">
        <f>IF($A527&gt;'1-Input'!$B$26,Z527,Z527-MIN(MAX(Z527,0),'P-Parametri'!$B$8*(Z527+Y527)))</f>
        <v>172389.72804522814</v>
      </c>
      <c r="AC527" s="18">
        <f>IF($A527&gt;'1-Input'!$B$26,AC526,AC526-X527*(1-W527))</f>
        <v>80421.244498592234</v>
      </c>
      <c r="AD527" s="11">
        <f>IF($A527&gt;'1-Input'!$B$26,0,IF(AI526&lt;=0,0,MAX(0,(AI526-AJ526)/AI526)))</f>
        <v>0.52066017660879205</v>
      </c>
      <c r="AE527" s="18">
        <f>IF($A527&gt;'1-Input'!$B$26,0,(MAX(0,AD506-IF($A527&gt;='1-Input'!$C$12,'1-Input'!$B$12,0))-MIN(MAX(AH526,0),MAX(0,AD506-IF($A527&gt;='1-Input'!$C$12,'1-Input'!$B$12,0))))*(1/(1-'P-Parametri'!$B$6*AD527))+MIN(MAX(0,AI526-(MAX(0,AD506-IF($A527&gt;='1-Input'!$C$12,'1-Input'!$B$12,0))-MIN(MAX(AH526,0),MAX(0,AD506-IF($A527&gt;='1-Input'!$C$12,'1-Input'!$B$12,0))))*(1/(1-'P-Parametri'!$B$6*AD527))),MAX(0,2*AD506-(AH526-MIN(MAX(AH526,0),MAX(0,AD506-IF($A527&gt;='1-Input'!$C$12,'1-Input'!$B$12,0)))))*(1/(1-'P-Parametri'!$B$6*AD527))))</f>
        <v>20903.671321956339</v>
      </c>
      <c r="AF527" s="18">
        <f>IF($A527&gt;'1-Input'!$B$26,AH526,(AH526-MAX(0,AD506-IF($A527&gt;='1-Input'!$C$12,'1-Input'!$B$12,0))+AE527*(1-'P-Parametri'!$B$6*AD527))*(1+'1-Input'!$B$27))</f>
        <v>35760.208229591961</v>
      </c>
      <c r="AG527" s="18">
        <f>IF($A527&gt;'1-Input'!$B$26,AI526,(AI526-AE527)*(1+$C$4))</f>
        <v>173246.03557704118</v>
      </c>
      <c r="AH527" s="18">
        <f>IF($A527&gt;'1-Input'!$B$26,AF527,AF527-'P-Parametri'!$B$8*(AG527+AF527)+MIN(MAX(AG527,0),'P-Parametri'!$B$8*(AG527+AF527)))</f>
        <v>35760.208229591961</v>
      </c>
      <c r="AI527" s="18">
        <f>IF($A527&gt;'1-Input'!$B$26,AG527,AG527-MIN(MAX(AG527,0),'P-Parametri'!$B$8*(AG527+AF527)))</f>
        <v>172828.02308942791</v>
      </c>
      <c r="AJ527" s="18">
        <f>IF($A527&gt;'1-Input'!$B$26,AJ526,AJ526-AE527*(1-AD527))</f>
        <v>80624.974851190142</v>
      </c>
      <c r="AK527" s="11">
        <f>IF($A527&gt;'1-Input'!$B$26,0,IF(AP526&lt;=0,0,MAX(0,(AP526-AQ526)/AP526)))</f>
        <v>0.52066018544181536</v>
      </c>
      <c r="AL527" s="18">
        <f>IF($A527&gt;'1-Input'!$B$26,0,(MAX(0,AK506-IF($A527&gt;='1-Input'!$C$12,'1-Input'!$B$12,0))-MIN(MAX(AO526,0),MAX(0,AK506-IF($A527&gt;='1-Input'!$C$12,'1-Input'!$B$12,0))))*(1/(1-'P-Parametri'!$B$6*AK527))+MIN(MAX(0,AP526-(MAX(0,AK506-IF($A527&gt;='1-Input'!$C$12,'1-Input'!$B$12,0))-MIN(MAX(AO526,0),MAX(0,AK506-IF($A527&gt;='1-Input'!$C$12,'1-Input'!$B$12,0))))*(1/(1-'P-Parametri'!$B$6*AK527))),MAX(0,2*AK506-(AO526-MIN(MAX(AO526,0),MAX(0,AK506-IF($A527&gt;='1-Input'!$C$12,'1-Input'!$B$12,0)))))*(1/(1-'P-Parametri'!$B$6*AK527))))</f>
        <v>20903.633125987635</v>
      </c>
      <c r="AM527" s="18">
        <f>IF($A527&gt;'1-Input'!$B$26,AO526,(AO526-MAX(0,AK506-IF($A527&gt;='1-Input'!$C$12,'1-Input'!$B$12,0))+AL527*(1-'P-Parametri'!$B$6*AK527))*(1+'1-Input'!$B$27))</f>
        <v>35760.142792219878</v>
      </c>
      <c r="AN527" s="18">
        <f>IF($A527&gt;'1-Input'!$B$26,AP526,(AP526-AL527)*(1+$C$4))</f>
        <v>173247.07678539178</v>
      </c>
      <c r="AO527" s="18">
        <f>IF($A527&gt;'1-Input'!$B$26,AM527,AM527-'P-Parametri'!$B$8*(AN527+AM527)+MIN(MAX(AN527,0),'P-Parametri'!$B$8*(AN527+AM527)))</f>
        <v>35760.142792219878</v>
      </c>
      <c r="AP527" s="18">
        <f>IF($A527&gt;'1-Input'!$B$26,AN527,AN527-MIN(MAX(AN527,0),'P-Parametri'!$B$8*(AN527+AM527)))</f>
        <v>172829.06234623655</v>
      </c>
      <c r="AQ527" s="18">
        <f>IF($A527&gt;'1-Input'!$B$26,AQ526,AQ526-AL527*(1-AK527))</f>
        <v>80625.457921414811</v>
      </c>
    </row>
    <row r="528" spans="1:43">
      <c r="A528" s="10">
        <f>20</f>
        <v>20</v>
      </c>
      <c r="B528" s="11">
        <f>IF($A528&gt;'1-Input'!$B$26,0,IF(G527&lt;=0,0,MAX(0,(G527-H527)/G527)))</f>
        <v>0.53384218859519716</v>
      </c>
      <c r="C528" s="18">
        <f>IF($A528&gt;'1-Input'!$B$26,0,(MAX(0,B506-IF($A528&gt;='1-Input'!$C$12,'1-Input'!$B$12,0))-MIN(MAX(F527,0),MAX(0,B506-IF($A528&gt;='1-Input'!$C$12,'1-Input'!$B$12,0))))*(1/(1-'P-Parametri'!$B$6*B528))+MIN(MAX(0,G527-(MAX(0,B506-IF($A528&gt;='1-Input'!$C$12,'1-Input'!$B$12,0))-MIN(MAX(F527,0),MAX(0,B506-IF($A528&gt;='1-Input'!$C$12,'1-Input'!$B$12,0))))*(1/(1-'P-Parametri'!$B$6*B528))),MAX(0,2*B506-(F527-MIN(MAX(F527,0),MAX(0,B506-IF($A528&gt;='1-Input'!$C$12,'1-Input'!$B$12,0)))))*(1/(1-'P-Parametri'!$B$6*B528))))</f>
        <v>19508.9860657274</v>
      </c>
      <c r="D528" s="18">
        <f>IF($A528&gt;'1-Input'!$B$26,F527,(F527-MAX(0,B506-IF($A528&gt;='1-Input'!$C$12,'1-Input'!$B$12,0))+C528*(1-'P-Parametri'!$B$6*B528))*(1+'1-Input'!$B$27))</f>
        <v>33242.0070309863</v>
      </c>
      <c r="E528" s="18">
        <f>IF($A528&gt;'1-Input'!$B$26,G527,(G527-C528)*(1+$C$4))</f>
        <v>199113.99940163206</v>
      </c>
      <c r="F528" s="18">
        <f>IF($A528&gt;'1-Input'!$B$26,D528,D528-'P-Parametri'!$B$8*(E528+D528)+MIN(MAX(E528,0),'P-Parametri'!$B$8*(E528+D528)))</f>
        <v>33242.0070309863</v>
      </c>
      <c r="G528" s="18">
        <f>IF($A528&gt;'1-Input'!$B$26,E528,E528-MIN(MAX(E528,0),'P-Parametri'!$B$8*(E528+D528)))</f>
        <v>198649.28738876682</v>
      </c>
      <c r="H528" s="18">
        <f>IF($A528&gt;'1-Input'!$B$26,H527,H527-C528*(1-B528))</f>
        <v>90115.093379730126</v>
      </c>
      <c r="I528" s="11">
        <f>IF($A528&gt;'1-Input'!$B$26,0,IF(N527&lt;=0,0,MAX(0,(N527-O527)/N527)))</f>
        <v>0.5310413426483277</v>
      </c>
      <c r="J528" s="18">
        <f>IF($A528&gt;'1-Input'!$B$26,0,(MAX(0,I506-IF($A528&gt;='1-Input'!$C$12,'1-Input'!$B$12,0))-MIN(MAX(M527,0),MAX(0,I506-IF($A528&gt;='1-Input'!$C$12,'1-Input'!$B$12,0))))*(1/(1-'P-Parametri'!$B$6*I528))+MIN(MAX(0,N527-(MAX(0,I506-IF($A528&gt;='1-Input'!$C$12,'1-Input'!$B$12,0))-MIN(MAX(M527,0),MAX(0,I506-IF($A528&gt;='1-Input'!$C$12,'1-Input'!$B$12,0))))*(1/(1-'P-Parametri'!$B$6*I528))),MAX(0,2*I506-(M527-MIN(MAX(M527,0),MAX(0,I506-IF($A528&gt;='1-Input'!$C$12,'1-Input'!$B$12,0)))))*(1/(1-'P-Parametri'!$B$6*I528))))</f>
        <v>25648.030879450111</v>
      </c>
      <c r="K528" s="18">
        <f>IF($A528&gt;'1-Input'!$B$26,M527,(M527-MAX(0,I506-IF($A528&gt;='1-Input'!$C$12,'1-Input'!$B$12,0))+J528*(1-'P-Parametri'!$B$6*I528))*(1+'1-Input'!$B$27))</f>
        <v>43739.482935508291</v>
      </c>
      <c r="L528" s="18">
        <f>IF($A528&gt;'1-Input'!$B$26,N527,(N527-J528)*(1+$C$4))</f>
        <v>21103.746292191776</v>
      </c>
      <c r="M528" s="18">
        <f>IF($A528&gt;'1-Input'!$B$26,K528,K528-'P-Parametri'!$B$8*(L528+K528)+MIN(MAX(L528,0),'P-Parametri'!$B$8*(L528+K528)))</f>
        <v>43739.482935508291</v>
      </c>
      <c r="N528" s="18">
        <f>IF($A528&gt;'1-Input'!$B$26,L528,L528-MIN(MAX(L528,0),'P-Parametri'!$B$8*(L528+K528)))</f>
        <v>20974.059833736377</v>
      </c>
      <c r="O528" s="18">
        <f>IF($A528&gt;'1-Input'!$B$26,O527,O527-J528*(1-I528))</f>
        <v>9608.5286662879498</v>
      </c>
      <c r="P528" s="11">
        <f>IF($A528&gt;'1-Input'!$B$26,0,IF(U527&lt;=0,0,MAX(0,(U527-V527)/U527)))</f>
        <v>0.53342832093983883</v>
      </c>
      <c r="Q528" s="18">
        <f>IF($A528&gt;'1-Input'!$B$26,0,(MAX(0,P506-IF($A528&gt;='1-Input'!$C$12,'1-Input'!$B$12,0))-MIN(MAX(T527,0),MAX(0,P506-IF($A528&gt;='1-Input'!$C$12,'1-Input'!$B$12,0))))*(1/(1-'P-Parametri'!$B$6*P528))+MIN(MAX(0,U527-(MAX(0,P506-IF($A528&gt;='1-Input'!$C$12,'1-Input'!$B$12,0))-MIN(MAX(T527,0),MAX(0,P506-IF($A528&gt;='1-Input'!$C$12,'1-Input'!$B$12,0))))*(1/(1-'P-Parametri'!$B$6*P528))),MAX(0,2*P506-(T527-MIN(MAX(T527,0),MAX(0,P506-IF($A528&gt;='1-Input'!$C$12,'1-Input'!$B$12,0)))))*(1/(1-'P-Parametri'!$B$6*P528))))</f>
        <v>21235.432572525715</v>
      </c>
      <c r="R528" s="18">
        <f>IF($A528&gt;'1-Input'!$B$26,T527,(T527-MAX(0,P506-IF($A528&gt;='1-Input'!$C$12,'1-Input'!$B$12,0))+Q528*(1-'P-Parametri'!$B$6*P528))*(1+'1-Input'!$B$27))</f>
        <v>36188.277471006419</v>
      </c>
      <c r="S528" s="18">
        <f>IF($A528&gt;'1-Input'!$B$26,U527,(U527-Q528)*(1+$C$4))</f>
        <v>149138.0178656631</v>
      </c>
      <c r="T528" s="18">
        <f>IF($A528&gt;'1-Input'!$B$26,R528,R528-'P-Parametri'!$B$8*(S528+R528)+MIN(MAX(S528,0),'P-Parametri'!$B$8*(S528+R528)))</f>
        <v>36188.277471006419</v>
      </c>
      <c r="U528" s="18">
        <f>IF($A528&gt;'1-Input'!$B$26,S528,S528-MIN(MAX(S528,0),'P-Parametri'!$B$8*(S528+R528)))</f>
        <v>148767.36527498977</v>
      </c>
      <c r="V528" s="18">
        <f>IF($A528&gt;'1-Input'!$B$26,V527,V527-Q528*(1-P528))</f>
        <v>67556.86932746286</v>
      </c>
      <c r="W528" s="11">
        <f>IF($A528&gt;'1-Input'!$B$26,0,IF(AB527&lt;=0,0,MAX(0,(AB527-AC527)/AB527)))</f>
        <v>0.53349166791716884</v>
      </c>
      <c r="X528" s="18">
        <f>IF($A528&gt;'1-Input'!$B$26,0,(MAX(0,W506-IF($A528&gt;='1-Input'!$C$12,'1-Input'!$B$12,0))-MIN(MAX(AA527,0),MAX(0,W506-IF($A528&gt;='1-Input'!$C$12,'1-Input'!$B$12,0))))*(1/(1-'P-Parametri'!$B$6*W528))+MIN(MAX(0,AB527-(MAX(0,W506-IF($A528&gt;='1-Input'!$C$12,'1-Input'!$B$12,0))-MIN(MAX(AA527,0),MAX(0,W506-IF($A528&gt;='1-Input'!$C$12,'1-Input'!$B$12,0))))*(1/(1-'P-Parametri'!$B$6*W528))),MAX(0,2*W506-(AA527-MIN(MAX(AA527,0),MAX(0,W506-IF($A528&gt;='1-Input'!$C$12,'1-Input'!$B$12,0)))))*(1/(1-'P-Parametri'!$B$6*W528))))</f>
        <v>21000.835667041356</v>
      </c>
      <c r="Y528" s="18">
        <f>IF($A528&gt;'1-Input'!$B$26,AA527,(AA527-MAX(0,W506-IF($A528&gt;='1-Input'!$C$12,'1-Input'!$B$12,0))+X528*(1-'P-Parametri'!$B$6*W528))*(1+'1-Input'!$B$27))</f>
        <v>35787.805734234928</v>
      </c>
      <c r="Z528" s="18">
        <f>IF($A528&gt;'1-Input'!$B$26,AB527,(AB527-X528)*(1+$C$4))</f>
        <v>155930.55914953238</v>
      </c>
      <c r="AA528" s="18">
        <f>IF($A528&gt;'1-Input'!$B$26,Y528,Y528-'P-Parametri'!$B$8*(Z528+Y528)+MIN(MAX(Z528,0),'P-Parametri'!$B$8*(Z528+Y528)))</f>
        <v>35787.805734234928</v>
      </c>
      <c r="AB528" s="18">
        <f>IF($A528&gt;'1-Input'!$B$26,Z528,Z528-MIN(MAX(Z528,0),'P-Parametri'!$B$8*(Z528+Y528)))</f>
        <v>155547.12241976484</v>
      </c>
      <c r="AC528" s="18">
        <f>IF($A528&gt;'1-Input'!$B$26,AC527,AC527-X528*(1-W528))</f>
        <v>70624.179679215144</v>
      </c>
      <c r="AD528" s="11">
        <f>IF($A528&gt;'1-Input'!$B$26,0,IF(AI527&lt;=0,0,MAX(0,(AI527-AJ527)/AI527)))</f>
        <v>0.53349593769598547</v>
      </c>
      <c r="AE528" s="18">
        <f>IF($A528&gt;'1-Input'!$B$26,0,(MAX(0,AD506-IF($A528&gt;='1-Input'!$C$12,'1-Input'!$B$12,0))-MIN(MAX(AH527,0),MAX(0,AD506-IF($A528&gt;='1-Input'!$C$12,'1-Input'!$B$12,0))))*(1/(1-'P-Parametri'!$B$6*AD528))+MIN(MAX(0,AI527-(MAX(0,AD506-IF($A528&gt;='1-Input'!$C$12,'1-Input'!$B$12,0))-MIN(MAX(AH527,0),MAX(0,AD506-IF($A528&gt;='1-Input'!$C$12,'1-Input'!$B$12,0))))*(1/(1-'P-Parametri'!$B$6*AD528))),MAX(0,2*AD506-(AH527-MIN(MAX(AH527,0),MAX(0,AD506-IF($A528&gt;='1-Input'!$C$12,'1-Input'!$B$12,0)))))*(1/(1-'P-Parametri'!$B$6*AD528))))</f>
        <v>20984.668073914578</v>
      </c>
      <c r="AF528" s="18">
        <f>IF($A528&gt;'1-Input'!$B$26,AH527,(AH527-MAX(0,AD506-IF($A528&gt;='1-Input'!$C$12,'1-Input'!$B$12,0))+AE528*(1-'P-Parametri'!$B$6*AD528))*(1+'1-Input'!$B$27))</f>
        <v>35760.208229591961</v>
      </c>
      <c r="AG528" s="18">
        <f>IF($A528&gt;'1-Input'!$B$26,AI527,(AI527-AE528)*(1+$C$4))</f>
        <v>156398.65566597876</v>
      </c>
      <c r="AH528" s="18">
        <f>IF($A528&gt;'1-Input'!$B$26,AF528,AF528-'P-Parametri'!$B$8*(AG528+AF528)+MIN(MAX(AG528,0),'P-Parametri'!$B$8*(AG528+AF528)))</f>
        <v>35760.208229591961</v>
      </c>
      <c r="AI528" s="18">
        <f>IF($A528&gt;'1-Input'!$B$26,AG528,AG528-MIN(MAX(AG528,0),'P-Parametri'!$B$8*(AG528+AF528)))</f>
        <v>156014.33793818761</v>
      </c>
      <c r="AJ528" s="18">
        <f>IF($A528&gt;'1-Input'!$B$26,AJ527,AJ527-AE528*(1-AD528))</f>
        <v>70835.541948607628</v>
      </c>
      <c r="AK528" s="11">
        <f>IF($A528&gt;'1-Input'!$B$26,0,IF(AP527&lt;=0,0,MAX(0,(AP527-AQ527)/AP527)))</f>
        <v>0.53349594780596532</v>
      </c>
      <c r="AL528" s="18">
        <f>IF($A528&gt;'1-Input'!$B$26,0,(MAX(0,AK506-IF($A528&gt;='1-Input'!$C$12,'1-Input'!$B$12,0))-MIN(MAX(AO527,0),MAX(0,AK506-IF($A528&gt;='1-Input'!$C$12,'1-Input'!$B$12,0))))*(1/(1-'P-Parametri'!$B$6*AK528))+MIN(MAX(0,AP527-(MAX(0,AK506-IF($A528&gt;='1-Input'!$C$12,'1-Input'!$B$12,0))-MIN(MAX(AO527,0),MAX(0,AK506-IF($A528&gt;='1-Input'!$C$12,'1-Input'!$B$12,0))))*(1/(1-'P-Parametri'!$B$6*AK528))),MAX(0,2*AK506-(AO527-MIN(MAX(AO527,0),MAX(0,AK506-IF($A528&gt;='1-Input'!$C$12,'1-Input'!$B$12,0)))))*(1/(1-'P-Parametri'!$B$6*AK528))))</f>
        <v>20984.629738250667</v>
      </c>
      <c r="AM528" s="18">
        <f>IF($A528&gt;'1-Input'!$B$26,AO527,(AO527-MAX(0,AK506-IF($A528&gt;='1-Input'!$C$12,'1-Input'!$B$12,0))+AL528*(1-'P-Parametri'!$B$6*AK528))*(1+'1-Input'!$B$27))</f>
        <v>35760.142792219878</v>
      </c>
      <c r="AN528" s="18">
        <f>IF($A528&gt;'1-Input'!$B$26,AP527,(AP527-AL528)*(1+$C$4))</f>
        <v>156399.76558622546</v>
      </c>
      <c r="AO528" s="18">
        <f>IF($A528&gt;'1-Input'!$B$26,AM528,AM528-'P-Parametri'!$B$8*(AN528+AM528)+MIN(MAX(AN528,0),'P-Parametri'!$B$8*(AN528+AM528)))</f>
        <v>35760.142792219878</v>
      </c>
      <c r="AP528" s="18">
        <f>IF($A528&gt;'1-Input'!$B$26,AN528,AN528-MIN(MAX(AN528,0),'P-Parametri'!$B$8*(AN528+AM528)))</f>
        <v>156015.44576946858</v>
      </c>
      <c r="AQ528" s="18">
        <f>IF($A528&gt;'1-Input'!$B$26,AQ527,AQ527-AL528*(1-AK528))</f>
        <v>70836.043114729429</v>
      </c>
    </row>
    <row r="529" spans="1:43">
      <c r="A529" s="10">
        <f>21</f>
        <v>21</v>
      </c>
      <c r="B529" s="11">
        <f>IF($A529&gt;'1-Input'!$B$26,0,IF(G528&lt;=0,0,MAX(0,(G528-H528)/G528)))</f>
        <v>0.54636085251405775</v>
      </c>
      <c r="C529" s="18">
        <f>IF($A529&gt;'1-Input'!$B$26,0,(MAX(0,B506-IF($A529&gt;='1-Input'!$C$12,'1-Input'!$B$12,0))-MIN(MAX(F528,0),MAX(0,B506-IF($A529&gt;='1-Input'!$C$12,'1-Input'!$B$12,0))))*(1/(1-'P-Parametri'!$B$6*B529))+MIN(MAX(0,G528-(MAX(0,B506-IF($A529&gt;='1-Input'!$C$12,'1-Input'!$B$12,0))-MIN(MAX(F528,0),MAX(0,B506-IF($A529&gt;='1-Input'!$C$12,'1-Input'!$B$12,0))))*(1/(1-'P-Parametri'!$B$6*B529))),MAX(0,2*B506-(F528-MIN(MAX(F528,0),MAX(0,B506-IF($A529&gt;='1-Input'!$C$12,'1-Input'!$B$12,0)))))*(1/(1-'P-Parametri'!$B$6*B529))))</f>
        <v>19582.998720589479</v>
      </c>
      <c r="D529" s="18">
        <f>IF($A529&gt;'1-Input'!$B$26,F528,(F528-MAX(0,B506-IF($A529&gt;='1-Input'!$C$12,'1-Input'!$B$12,0))+C529*(1-'P-Parametri'!$B$6*B529))*(1+'1-Input'!$B$27))</f>
        <v>33242.0070309863</v>
      </c>
      <c r="E529" s="18">
        <f>IF($A529&gt;'1-Input'!$B$26,G528,(G528-C529)*(1+$C$4))</f>
        <v>184438.27732822267</v>
      </c>
      <c r="F529" s="18">
        <f>IF($A529&gt;'1-Input'!$B$26,D529,D529-'P-Parametri'!$B$8*(E529+D529)+MIN(MAX(E529,0),'P-Parametri'!$B$8*(E529+D529)))</f>
        <v>33242.0070309863</v>
      </c>
      <c r="G529" s="18">
        <f>IF($A529&gt;'1-Input'!$B$26,E529,E529-MIN(MAX(E529,0),'P-Parametri'!$B$8*(E529+D529)))</f>
        <v>184002.91675950424</v>
      </c>
      <c r="H529" s="18">
        <f>IF($A529&gt;'1-Input'!$B$26,H528,H528-C529*(1-B529))</f>
        <v>81231.47853490361</v>
      </c>
      <c r="I529" s="11">
        <f>IF($A529&gt;'1-Input'!$B$26,0,IF(N528&lt;=0,0,MAX(0,(N528-O528)/N528)))</f>
        <v>0.54188513132622929</v>
      </c>
      <c r="J529" s="18">
        <f>IF($A529&gt;'1-Input'!$B$26,0,(MAX(0,I506-IF($A529&gt;='1-Input'!$C$12,'1-Input'!$B$12,0))-MIN(MAX(M528,0),MAX(0,I506-IF($A529&gt;='1-Input'!$C$12,'1-Input'!$B$12,0))))*(1/(1-'P-Parametri'!$B$6*I529))+MIN(MAX(0,N528-(MAX(0,I506-IF($A529&gt;='1-Input'!$C$12,'1-Input'!$B$12,0))-MIN(MAX(M528,0),MAX(0,I506-IF($A529&gt;='1-Input'!$C$12,'1-Input'!$B$12,0))))*(1/(1-'P-Parametri'!$B$6*I529))),MAX(0,2*I506-(M528-MIN(MAX(M528,0),MAX(0,I506-IF($A529&gt;='1-Input'!$C$12,'1-Input'!$B$12,0)))))*(1/(1-'P-Parametri'!$B$6*I529))))</f>
        <v>20974.059833736377</v>
      </c>
      <c r="K529" s="18">
        <f>IF($A529&gt;'1-Input'!$B$26,M528,(M528-MAX(0,I506-IF($A529&gt;='1-Input'!$C$12,'1-Input'!$B$12,0))+J529*(1-'P-Parametri'!$B$6*I529))*(1+'1-Input'!$B$27))</f>
        <v>39666.432581157373</v>
      </c>
      <c r="L529" s="18">
        <f>IF($A529&gt;'1-Input'!$B$26,N528,(N528-J529)*(1+$C$4))</f>
        <v>0</v>
      </c>
      <c r="M529" s="18">
        <f>IF($A529&gt;'1-Input'!$B$26,K529,K529-'P-Parametri'!$B$8*(L529+K529)+MIN(MAX(L529,0),'P-Parametri'!$B$8*(L529+K529)))</f>
        <v>39587.099715995057</v>
      </c>
      <c r="N529" s="18">
        <f>IF($A529&gt;'1-Input'!$B$26,L529,L529-MIN(MAX(L529,0),'P-Parametri'!$B$8*(L529+K529)))</f>
        <v>0</v>
      </c>
      <c r="O529" s="18">
        <f>IF($A529&gt;'1-Input'!$B$26,O528,O528-J529*(1-I529))</f>
        <v>0</v>
      </c>
      <c r="P529" s="11">
        <f>IF($A529&gt;'1-Input'!$B$26,0,IF(U528&lt;=0,0,MAX(0,(U528-V528)/U528)))</f>
        <v>0.54588918609543813</v>
      </c>
      <c r="Q529" s="18">
        <f>IF($A529&gt;'1-Input'!$B$26,0,(MAX(0,P506-IF($A529&gt;='1-Input'!$C$12,'1-Input'!$B$12,0))-MIN(MAX(T528,0),MAX(0,P506-IF($A529&gt;='1-Input'!$C$12,'1-Input'!$B$12,0))))*(1/(1-'P-Parametri'!$B$6*P529))+MIN(MAX(0,U528-(MAX(0,P506-IF($A529&gt;='1-Input'!$C$12,'1-Input'!$B$12,0))-MIN(MAX(T528,0),MAX(0,P506-IF($A529&gt;='1-Input'!$C$12,'1-Input'!$B$12,0))))*(1/(1-'P-Parametri'!$B$6*P529))),MAX(0,2*P506-(T528-MIN(MAX(T528,0),MAX(0,P506-IF($A529&gt;='1-Input'!$C$12,'1-Input'!$B$12,0)))))*(1/(1-'P-Parametri'!$B$6*P529))))</f>
        <v>21315.611554838721</v>
      </c>
      <c r="R529" s="18">
        <f>IF($A529&gt;'1-Input'!$B$26,T528,(T528-MAX(0,P506-IF($A529&gt;='1-Input'!$C$12,'1-Input'!$B$12,0))+Q529*(1-'P-Parametri'!$B$6*P529))*(1+'1-Input'!$B$27))</f>
        <v>36188.277471006419</v>
      </c>
      <c r="S529" s="18">
        <f>IF($A529&gt;'1-Input'!$B$26,U528,(U528-Q529)*(1+$C$4))</f>
        <v>131275.30633175559</v>
      </c>
      <c r="T529" s="18">
        <f>IF($A529&gt;'1-Input'!$B$26,R529,R529-'P-Parametri'!$B$8*(S529+R529)+MIN(MAX(S529,0),'P-Parametri'!$B$8*(S529+R529)))</f>
        <v>36188.277471006419</v>
      </c>
      <c r="U529" s="18">
        <f>IF($A529&gt;'1-Input'!$B$26,S529,S529-MIN(MAX(S529,0),'P-Parametri'!$B$8*(S529+R529)))</f>
        <v>130940.37916415007</v>
      </c>
      <c r="V529" s="18">
        <f>IF($A529&gt;'1-Input'!$B$26,V528,V528-Q529*(1-P529))</f>
        <v>57877.219615421564</v>
      </c>
      <c r="W529" s="11">
        <f>IF($A529&gt;'1-Input'!$B$26,0,IF(AB528&lt;=0,0,MAX(0,(AB528-AC528)/AB528)))</f>
        <v>0.54596280162209432</v>
      </c>
      <c r="X529" s="18">
        <f>IF($A529&gt;'1-Input'!$B$26,0,(MAX(0,W506-IF($A529&gt;='1-Input'!$C$12,'1-Input'!$B$12,0))-MIN(MAX(AA528,0),MAX(0,W506-IF($A529&gt;='1-Input'!$C$12,'1-Input'!$B$12,0))))*(1/(1-'P-Parametri'!$B$6*W529))+MIN(MAX(0,AB528-(MAX(0,W506-IF($A529&gt;='1-Input'!$C$12,'1-Input'!$B$12,0))-MIN(MAX(AA528,0),MAX(0,W506-IF($A529&gt;='1-Input'!$C$12,'1-Input'!$B$12,0))))*(1/(1-'P-Parametri'!$B$6*W529))),MAX(0,2*W506-(AA528-MIN(MAX(AA528,0),MAX(0,W506-IF($A529&gt;='1-Input'!$C$12,'1-Input'!$B$12,0)))))*(1/(1-'P-Parametri'!$B$6*W529))))</f>
        <v>21080.195990727098</v>
      </c>
      <c r="Y529" s="18">
        <f>IF($A529&gt;'1-Input'!$B$26,AA528,(AA528-MAX(0,W506-IF($A529&gt;='1-Input'!$C$12,'1-Input'!$B$12,0))+X529*(1-'P-Parametri'!$B$6*W529))*(1+'1-Input'!$B$27))</f>
        <v>35787.80573423492</v>
      </c>
      <c r="Z529" s="18">
        <f>IF($A529&gt;'1-Input'!$B$26,AB528,(AB528-X529)*(1+$C$4))</f>
        <v>138500.93422190886</v>
      </c>
      <c r="AA529" s="18">
        <f>IF($A529&gt;'1-Input'!$B$26,Y529,Y529-'P-Parametri'!$B$8*(Z529+Y529)+MIN(MAX(Z529,0),'P-Parametri'!$B$8*(Z529+Y529)))</f>
        <v>35787.80573423492</v>
      </c>
      <c r="AB529" s="18">
        <f>IF($A529&gt;'1-Input'!$B$26,Z529,Z529-MIN(MAX(Z529,0),'P-Parametri'!$B$8*(Z529+Y529)))</f>
        <v>138152.35674199657</v>
      </c>
      <c r="AC529" s="18">
        <f>IF($A529&gt;'1-Input'!$B$26,AC528,AC528-X529*(1-W529))</f>
        <v>61052.986550328249</v>
      </c>
      <c r="AD529" s="11">
        <f>IF($A529&gt;'1-Input'!$B$26,0,IF(AI528&lt;=0,0,MAX(0,(AI528-AJ528)/AI528)))</f>
        <v>0.54596774319119024</v>
      </c>
      <c r="AE529" s="18">
        <f>IF($A529&gt;'1-Input'!$B$26,0,(MAX(0,AD506-IF($A529&gt;='1-Input'!$C$12,'1-Input'!$B$12,0))-MIN(MAX(AH528,0),MAX(0,AD506-IF($A529&gt;='1-Input'!$C$12,'1-Input'!$B$12,0))))*(1/(1-'P-Parametri'!$B$6*AD529))+MIN(MAX(0,AI528-(MAX(0,AD506-IF($A529&gt;='1-Input'!$C$12,'1-Input'!$B$12,0))-MIN(MAX(AH528,0),MAX(0,AD506-IF($A529&gt;='1-Input'!$C$12,'1-Input'!$B$12,0))))*(1/(1-'P-Parametri'!$B$6*AD529))),MAX(0,2*AD506-(AH528-MIN(MAX(AH528,0),MAX(0,AD506-IF($A529&gt;='1-Input'!$C$12,'1-Input'!$B$12,0)))))*(1/(1-'P-Parametri'!$B$6*AD529))))</f>
        <v>21063.971692084579</v>
      </c>
      <c r="AF529" s="18">
        <f>IF($A529&gt;'1-Input'!$B$26,AH528,(AH528-MAX(0,AD506-IF($A529&gt;='1-Input'!$C$12,'1-Input'!$B$12,0))+AE529*(1-'P-Parametri'!$B$6*AD529))*(1+'1-Input'!$B$27))</f>
        <v>35760.208229591961</v>
      </c>
      <c r="AG529" s="18">
        <f>IF($A529&gt;'1-Input'!$B$26,AI528,(AI528-AE529)*(1+$C$4))</f>
        <v>138998.87723348613</v>
      </c>
      <c r="AH529" s="18">
        <f>IF($A529&gt;'1-Input'!$B$26,AF529,AF529-'P-Parametri'!$B$8*(AG529+AF529)+MIN(MAX(AG529,0),'P-Parametri'!$B$8*(AG529+AF529)))</f>
        <v>35760.208229591961</v>
      </c>
      <c r="AI529" s="18">
        <f>IF($A529&gt;'1-Input'!$B$26,AG529,AG529-MIN(MAX(AG529,0),'P-Parametri'!$B$8*(AG529+AF529)))</f>
        <v>138649.35906255996</v>
      </c>
      <c r="AJ529" s="18">
        <f>IF($A529&gt;'1-Input'!$B$26,AJ528,AJ528-AE529*(1-AD529))</f>
        <v>61271.819343893585</v>
      </c>
      <c r="AK529" s="11">
        <f>IF($A529&gt;'1-Input'!$B$26,0,IF(AP528&lt;=0,0,MAX(0,(AP528-AQ528)/AP528)))</f>
        <v>0.5459677548888453</v>
      </c>
      <c r="AL529" s="18">
        <f>IF($A529&gt;'1-Input'!$B$26,0,(MAX(0,AK506-IF($A529&gt;='1-Input'!$C$12,'1-Input'!$B$12,0))-MIN(MAX(AO528,0),MAX(0,AK506-IF($A529&gt;='1-Input'!$C$12,'1-Input'!$B$12,0))))*(1/(1-'P-Parametri'!$B$6*AK529))+MIN(MAX(0,AP528-(MAX(0,AK506-IF($A529&gt;='1-Input'!$C$12,'1-Input'!$B$12,0))-MIN(MAX(AO528,0),MAX(0,AK506-IF($A529&gt;='1-Input'!$C$12,'1-Input'!$B$12,0))))*(1/(1-'P-Parametri'!$B$6*AK529))),MAX(0,2*AK506-(AO528-MIN(MAX(AO528,0),MAX(0,AK506-IF($A529&gt;='1-Input'!$C$12,'1-Input'!$B$12,0)))))*(1/(1-'P-Parametri'!$B$6*AK529))))</f>
        <v>21063.933221922038</v>
      </c>
      <c r="AM529" s="18">
        <f>IF($A529&gt;'1-Input'!$B$26,AO528,(AO528-MAX(0,AK506-IF($A529&gt;='1-Input'!$C$12,'1-Input'!$B$12,0))+AL529*(1-'P-Parametri'!$B$6*AK529))*(1+'1-Input'!$B$27))</f>
        <v>35760.142792219878</v>
      </c>
      <c r="AN529" s="18">
        <f>IF($A529&gt;'1-Input'!$B$26,AP528,(AP528-AL529)*(1+$C$4))</f>
        <v>139000.05792397293</v>
      </c>
      <c r="AO529" s="18">
        <f>IF($A529&gt;'1-Input'!$B$26,AM529,AM529-'P-Parametri'!$B$8*(AN529+AM529)+MIN(MAX(AN529,0),'P-Parametri'!$B$8*(AN529+AM529)))</f>
        <v>35760.142792219878</v>
      </c>
      <c r="AP529" s="18">
        <f>IF($A529&gt;'1-Input'!$B$26,AN529,AN529-MIN(MAX(AN529,0),'P-Parametri'!$B$8*(AN529+AM529)))</f>
        <v>138650.53752254054</v>
      </c>
      <c r="AQ529" s="18">
        <f>IF($A529&gt;'1-Input'!$B$26,AQ528,AQ528-AL529*(1-AK529))</f>
        <v>61272.338223108731</v>
      </c>
    </row>
    <row r="530" spans="1:43">
      <c r="A530" s="10">
        <f>22</f>
        <v>22</v>
      </c>
      <c r="B530" s="11">
        <f>IF($A530&gt;'1-Input'!$B$26,0,IF(G529&lt;=0,0,MAX(0,(G529-H529)/G529)))</f>
        <v>0.55853157131701936</v>
      </c>
      <c r="C530" s="18">
        <f>IF($A530&gt;'1-Input'!$B$26,0,(MAX(0,B506-IF($A530&gt;='1-Input'!$C$12,'1-Input'!$B$12,0))-MIN(MAX(F529,0),MAX(0,B506-IF($A530&gt;='1-Input'!$C$12,'1-Input'!$B$12,0))))*(1/(1-'P-Parametri'!$B$6*B530))+MIN(MAX(0,G529-(MAX(0,B506-IF($A530&gt;='1-Input'!$C$12,'1-Input'!$B$12,0))-MIN(MAX(F529,0),MAX(0,B506-IF($A530&gt;='1-Input'!$C$12,'1-Input'!$B$12,0))))*(1/(1-'P-Parametri'!$B$6*B530))),MAX(0,2*B506-(F529-MIN(MAX(F529,0),MAX(0,B506-IF($A530&gt;='1-Input'!$C$12,'1-Input'!$B$12,0)))))*(1/(1-'P-Parametri'!$B$6*B530))))</f>
        <v>19655.494631257585</v>
      </c>
      <c r="D530" s="18">
        <f>IF($A530&gt;'1-Input'!$B$26,F529,(F529-MAX(0,B506-IF($A530&gt;='1-Input'!$C$12,'1-Input'!$B$12,0))+C530*(1-'P-Parametri'!$B$6*B530))*(1+'1-Input'!$B$27))</f>
        <v>33242.0070309863</v>
      </c>
      <c r="E530" s="18">
        <f>IF($A530&gt;'1-Input'!$B$26,G529,(G529-C530)*(1+$C$4))</f>
        <v>169277.84479209405</v>
      </c>
      <c r="F530" s="18">
        <f>IF($A530&gt;'1-Input'!$B$26,D530,D530-'P-Parametri'!$B$8*(E530+D530)+MIN(MAX(E530,0),'P-Parametri'!$B$8*(E530+D530)))</f>
        <v>33242.0070309863</v>
      </c>
      <c r="G530" s="18">
        <f>IF($A530&gt;'1-Input'!$B$26,E530,E530-MIN(MAX(E530,0),'P-Parametri'!$B$8*(E530+D530)))</f>
        <v>168872.8050884479</v>
      </c>
      <c r="H530" s="18">
        <f>IF($A530&gt;'1-Input'!$B$26,H529,H529-C530*(1-B530))</f>
        <v>72554.198205055567</v>
      </c>
      <c r="I530" s="11">
        <f>IF($A530&gt;'1-Input'!$B$26,0,IF(N529&lt;=0,0,MAX(0,(N529-O529)/N529)))</f>
        <v>0</v>
      </c>
      <c r="J530" s="18">
        <f>IF($A530&gt;'1-Input'!$B$26,0,(MAX(0,I506-IF($A530&gt;='1-Input'!$C$12,'1-Input'!$B$12,0))-MIN(MAX(M529,0),MAX(0,I506-IF($A530&gt;='1-Input'!$C$12,'1-Input'!$B$12,0))))*(1/(1-'P-Parametri'!$B$6*I530))+MIN(MAX(0,N529-(MAX(0,I506-IF($A530&gt;='1-Input'!$C$12,'1-Input'!$B$12,0))-MIN(MAX(M529,0),MAX(0,I506-IF($A530&gt;='1-Input'!$C$12,'1-Input'!$B$12,0))))*(1/(1-'P-Parametri'!$B$6*I530))),MAX(0,2*I506-(M529-MIN(MAX(M529,0),MAX(0,I506-IF($A530&gt;='1-Input'!$C$12,'1-Input'!$B$12,0)))))*(1/(1-'P-Parametri'!$B$6*I530))))</f>
        <v>0</v>
      </c>
      <c r="K530" s="18">
        <f>IF($A530&gt;'1-Input'!$B$26,M529,(M529-MAX(0,I506-IF($A530&gt;='1-Input'!$C$12,'1-Input'!$B$12,0))+J530*(1-'P-Parametri'!$B$6*I530))*(1+'1-Input'!$B$27))</f>
        <v>17574.844689263326</v>
      </c>
      <c r="L530" s="18">
        <f>IF($A530&gt;'1-Input'!$B$26,N529,(N529-J530)*(1+$C$4))</f>
        <v>0</v>
      </c>
      <c r="M530" s="18">
        <f>IF($A530&gt;'1-Input'!$B$26,K530,K530-'P-Parametri'!$B$8*(L530+K530)+MIN(MAX(L530,0),'P-Parametri'!$B$8*(L530+K530)))</f>
        <v>17539.694999884799</v>
      </c>
      <c r="N530" s="18">
        <f>IF($A530&gt;'1-Input'!$B$26,L530,L530-MIN(MAX(L530,0),'P-Parametri'!$B$8*(L530+K530)))</f>
        <v>0</v>
      </c>
      <c r="O530" s="18">
        <f>IF($A530&gt;'1-Input'!$B$26,O529,O529-J530*(1-I530))</f>
        <v>0</v>
      </c>
      <c r="P530" s="11">
        <f>IF($A530&gt;'1-Input'!$B$26,0,IF(U529&lt;=0,0,MAX(0,(U529-V529)/U529)))</f>
        <v>0.55798799434614998</v>
      </c>
      <c r="Q530" s="18">
        <f>IF($A530&gt;'1-Input'!$B$26,0,(MAX(0,P506-IF($A530&gt;='1-Input'!$C$12,'1-Input'!$B$12,0))-MIN(MAX(T529,0),MAX(0,P506-IF($A530&gt;='1-Input'!$C$12,'1-Input'!$B$12,0))))*(1/(1-'P-Parametri'!$B$6*P530))+MIN(MAX(0,U529-(MAX(0,P506-IF($A530&gt;='1-Input'!$C$12,'1-Input'!$B$12,0))-MIN(MAX(T529,0),MAX(0,P506-IF($A530&gt;='1-Input'!$C$12,'1-Input'!$B$12,0))))*(1/(1-'P-Parametri'!$B$6*P530))),MAX(0,2*P506-(T529-MIN(MAX(T529,0),MAX(0,P506-IF($A530&gt;='1-Input'!$C$12,'1-Input'!$B$12,0)))))*(1/(1-'P-Parametri'!$B$6*P530))))</f>
        <v>21394.04236051322</v>
      </c>
      <c r="R530" s="18">
        <f>IF($A530&gt;'1-Input'!$B$26,T529,(T529-MAX(0,P506-IF($A530&gt;='1-Input'!$C$12,'1-Input'!$B$12,0))+Q530*(1-'P-Parametri'!$B$6*P530))*(1+'1-Input'!$B$27))</f>
        <v>36188.277471006419</v>
      </c>
      <c r="S530" s="18">
        <f>IF($A530&gt;'1-Input'!$B$26,U529,(U529-Q530)*(1+$C$4))</f>
        <v>112832.72690774595</v>
      </c>
      <c r="T530" s="18">
        <f>IF($A530&gt;'1-Input'!$B$26,R530,R530-'P-Parametri'!$B$8*(S530+R530)+MIN(MAX(S530,0),'P-Parametri'!$B$8*(S530+R530)))</f>
        <v>36188.277471006419</v>
      </c>
      <c r="U530" s="18">
        <f>IF($A530&gt;'1-Input'!$B$26,S530,S530-MIN(MAX(S530,0),'P-Parametri'!$B$8*(S530+R530)))</f>
        <v>112534.68489898845</v>
      </c>
      <c r="V530" s="18">
        <f>IF($A530&gt;'1-Input'!$B$26,V529,V529-Q530*(1-P530))</f>
        <v>48420.79604260769</v>
      </c>
      <c r="W530" s="11">
        <f>IF($A530&gt;'1-Input'!$B$26,0,IF(AB529&lt;=0,0,MAX(0,(AB529-AC529)/AB529)))</f>
        <v>0.55807495441900834</v>
      </c>
      <c r="X530" s="18">
        <f>IF($A530&gt;'1-Input'!$B$26,0,(MAX(0,W506-IF($A530&gt;='1-Input'!$C$12,'1-Input'!$B$12,0))-MIN(MAX(AA529,0),MAX(0,W506-IF($A530&gt;='1-Input'!$C$12,'1-Input'!$B$12,0))))*(1/(1-'P-Parametri'!$B$6*W530))+MIN(MAX(0,AB529-(MAX(0,W506-IF($A530&gt;='1-Input'!$C$12,'1-Input'!$B$12,0))-MIN(MAX(AA529,0),MAX(0,W506-IF($A530&gt;='1-Input'!$C$12,'1-Input'!$B$12,0))))*(1/(1-'P-Parametri'!$B$6*W530))),MAX(0,2*W506-(AA529-MIN(MAX(AA529,0),MAX(0,W506-IF($A530&gt;='1-Input'!$C$12,'1-Input'!$B$12,0)))))*(1/(1-'P-Parametri'!$B$6*W530))))</f>
        <v>21157.848189240471</v>
      </c>
      <c r="Y530" s="18">
        <f>IF($A530&gt;'1-Input'!$B$26,AA529,(AA529-MAX(0,W506-IF($A530&gt;='1-Input'!$C$12,'1-Input'!$B$12,0))+X530*(1-'P-Parametri'!$B$6*W530))*(1+'1-Input'!$B$27))</f>
        <v>35787.805734234928</v>
      </c>
      <c r="Z530" s="18">
        <f>IF($A530&gt;'1-Input'!$B$26,AB529,(AB529-X530)*(1+$C$4))</f>
        <v>120504.34380933878</v>
      </c>
      <c r="AA530" s="18">
        <f>IF($A530&gt;'1-Input'!$B$26,Y530,Y530-'P-Parametri'!$B$8*(Z530+Y530)+MIN(MAX(Z530,0),'P-Parametri'!$B$8*(Z530+Y530)))</f>
        <v>35787.805734234928</v>
      </c>
      <c r="AB530" s="18">
        <f>IF($A530&gt;'1-Input'!$B$26,Z530,Z530-MIN(MAX(Z530,0),'P-Parametri'!$B$8*(Z530+Y530)))</f>
        <v>120191.75951025164</v>
      </c>
      <c r="AC530" s="18">
        <f>IF($A530&gt;'1-Input'!$B$26,AC529,AC529-X530*(1-W530))</f>
        <v>51702.803524902454</v>
      </c>
      <c r="AD530" s="11">
        <f>IF($A530&gt;'1-Input'!$B$26,0,IF(AI529&lt;=0,0,MAX(0,(AI529-AJ529)/AI529)))</f>
        <v>0.55808076028503573</v>
      </c>
      <c r="AE530" s="18">
        <f>IF($A530&gt;'1-Input'!$B$26,0,(MAX(0,AD506-IF($A530&gt;='1-Input'!$C$12,'1-Input'!$B$12,0))-MIN(MAX(AH529,0),MAX(0,AD506-IF($A530&gt;='1-Input'!$C$12,'1-Input'!$B$12,0))))*(1/(1-'P-Parametri'!$B$6*AD530))+MIN(MAX(0,AI529-(MAX(0,AD506-IF($A530&gt;='1-Input'!$C$12,'1-Input'!$B$12,0))-MIN(MAX(AH529,0),MAX(0,AD506-IF($A530&gt;='1-Input'!$C$12,'1-Input'!$B$12,0))))*(1/(1-'P-Parametri'!$B$6*AD530))),MAX(0,2*AD506-(AH529-MIN(MAX(AH529,0),MAX(0,AD506-IF($A530&gt;='1-Input'!$C$12,'1-Input'!$B$12,0)))))*(1/(1-'P-Parametri'!$B$6*AD530))))</f>
        <v>21141.569799701792</v>
      </c>
      <c r="AF530" s="18">
        <f>IF($A530&gt;'1-Input'!$B$26,AH529,(AH529-MAX(0,AD506-IF($A530&gt;='1-Input'!$C$12,'1-Input'!$B$12,0))+AE530*(1-'P-Parametri'!$B$6*AD530))*(1+'1-Input'!$B$27))</f>
        <v>35760.208229591961</v>
      </c>
      <c r="AG530" s="18">
        <f>IF($A530&gt;'1-Input'!$B$26,AI529,(AI529-AE530)*(1+$C$4))</f>
        <v>121033.0229407439</v>
      </c>
      <c r="AH530" s="18">
        <f>IF($A530&gt;'1-Input'!$B$26,AF530,AF530-'P-Parametri'!$B$8*(AG530+AF530)+MIN(MAX(AG530,0),'P-Parametri'!$B$8*(AG530+AF530)))</f>
        <v>35760.208229591961</v>
      </c>
      <c r="AI530" s="18">
        <f>IF($A530&gt;'1-Input'!$B$26,AG530,AG530-MIN(MAX(AG530,0),'P-Parametri'!$B$8*(AG530+AF530)))</f>
        <v>120719.43647840324</v>
      </c>
      <c r="AJ530" s="18">
        <f>IF($A530&gt;'1-Input'!$B$26,AJ529,AJ529-AE530*(1-AD530))</f>
        <v>51928.95289162852</v>
      </c>
      <c r="AK530" s="11">
        <f>IF($A530&gt;'1-Input'!$B$26,0,IF(AP529&lt;=0,0,MAX(0,(AP529-AQ529)/AP529)))</f>
        <v>0.55808077402406298</v>
      </c>
      <c r="AL530" s="18">
        <f>IF($A530&gt;'1-Input'!$B$26,0,(MAX(0,AK506-IF($A530&gt;='1-Input'!$C$12,'1-Input'!$B$12,0))-MIN(MAX(AO529,0),MAX(0,AK506-IF($A530&gt;='1-Input'!$C$12,'1-Input'!$B$12,0))))*(1/(1-'P-Parametri'!$B$6*AK530))+MIN(MAX(0,AP529-(MAX(0,AK506-IF($A530&gt;='1-Input'!$C$12,'1-Input'!$B$12,0))-MIN(MAX(AO529,0),MAX(0,AK506-IF($A530&gt;='1-Input'!$C$12,'1-Input'!$B$12,0))))*(1/(1-'P-Parametri'!$B$6*AK530))),MAX(0,2*AK506-(AO529-MIN(MAX(AO529,0),MAX(0,AK506-IF($A530&gt;='1-Input'!$C$12,'1-Input'!$B$12,0)))))*(1/(1-'P-Parametri'!$B$6*AK530))))</f>
        <v>21141.531201219626</v>
      </c>
      <c r="AM530" s="18">
        <f>IF($A530&gt;'1-Input'!$B$26,AO529,(AO529-MAX(0,AK506-IF($A530&gt;='1-Input'!$C$12,'1-Input'!$B$12,0))+AL530*(1-'P-Parametri'!$B$6*AK530))*(1+'1-Input'!$B$27))</f>
        <v>35760.142792219878</v>
      </c>
      <c r="AN530" s="18">
        <f>IF($A530&gt;'1-Input'!$B$26,AP529,(AP529-AL530)*(1+$C$4))</f>
        <v>121034.27651096055</v>
      </c>
      <c r="AO530" s="18">
        <f>IF($A530&gt;'1-Input'!$B$26,AM530,AM530-'P-Parametri'!$B$8*(AN530+AM530)+MIN(MAX(AN530,0),'P-Parametri'!$B$8*(AN530+AM530)))</f>
        <v>35760.142792219878</v>
      </c>
      <c r="AP530" s="18">
        <f>IF($A530&gt;'1-Input'!$B$26,AN530,AN530-MIN(MAX(AN530,0),'P-Parametri'!$B$8*(AN530+AM530)))</f>
        <v>120720.68767235419</v>
      </c>
      <c r="AQ530" s="18">
        <f>IF($A530&gt;'1-Input'!$B$26,AQ529,AQ529-AL530*(1-AK530))</f>
        <v>51929.489118719634</v>
      </c>
    </row>
    <row r="531" spans="1:43">
      <c r="A531" s="10">
        <f>23</f>
        <v>23</v>
      </c>
      <c r="B531" s="11">
        <f>IF($A531&gt;'1-Input'!$B$26,0,IF(G530&lt;=0,0,MAX(0,(G530-H530)/G530)))</f>
        <v>0.57036185804425421</v>
      </c>
      <c r="C531" s="18">
        <f>IF($A531&gt;'1-Input'!$B$26,0,(MAX(0,B506-IF($A531&gt;='1-Input'!$C$12,'1-Input'!$B$12,0))-MIN(MAX(F530,0),MAX(0,B506-IF($A531&gt;='1-Input'!$C$12,'1-Input'!$B$12,0))))*(1/(1-'P-Parametri'!$B$6*B531))+MIN(MAX(0,G530-(MAX(0,B506-IF($A531&gt;='1-Input'!$C$12,'1-Input'!$B$12,0))-MIN(MAX(F530,0),MAX(0,B506-IF($A531&gt;='1-Input'!$C$12,'1-Input'!$B$12,0))))*(1/(1-'P-Parametri'!$B$6*B531))),MAX(0,2*B506-(F530-MIN(MAX(F530,0),MAX(0,B506-IF($A531&gt;='1-Input'!$C$12,'1-Input'!$B$12,0)))))*(1/(1-'P-Parametri'!$B$6*B531))))</f>
        <v>6691.4633322940936</v>
      </c>
      <c r="D531" s="18">
        <f>IF($A531&gt;'1-Input'!$B$26,F530,(F530-MAX(0,B506-IF($A531&gt;='1-Input'!$C$12,'1-Input'!$B$12,0))+C531*(1-'P-Parametri'!$B$6*B531))*(1+'1-Input'!$B$27))</f>
        <v>33242.0070309863</v>
      </c>
      <c r="E531" s="18">
        <f>IF($A531&gt;'1-Input'!$B$26,G530,(G530-C531)*(1+$C$4))</f>
        <v>167046.7820088384</v>
      </c>
      <c r="F531" s="18">
        <f>IF($A531&gt;'1-Input'!$B$26,D531,D531-'P-Parametri'!$B$8*(E531+D531)+MIN(MAX(E531,0),'P-Parametri'!$B$8*(E531+D531)))</f>
        <v>33242.0070309863</v>
      </c>
      <c r="G531" s="18">
        <f>IF($A531&gt;'1-Input'!$B$26,E531,E531-MIN(MAX(E531,0),'P-Parametri'!$B$8*(E531+D531)))</f>
        <v>166646.20443075875</v>
      </c>
      <c r="H531" s="18">
        <f>IF($A531&gt;'1-Input'!$B$26,H530,H530-C531*(1-B531))</f>
        <v>69679.290332003729</v>
      </c>
      <c r="I531" s="11">
        <f>IF($A531&gt;'1-Input'!$B$26,0,IF(N530&lt;=0,0,MAX(0,(N530-O530)/N530)))</f>
        <v>0</v>
      </c>
      <c r="J531" s="18">
        <f>IF($A531&gt;'1-Input'!$B$26,0,(MAX(0,I506-IF($A531&gt;='1-Input'!$C$12,'1-Input'!$B$12,0))-MIN(MAX(M530,0),MAX(0,I506-IF($A531&gt;='1-Input'!$C$12,'1-Input'!$B$12,0))))*(1/(1-'P-Parametri'!$B$6*I531))+MIN(MAX(0,N530-(MAX(0,I506-IF($A531&gt;='1-Input'!$C$12,'1-Input'!$B$12,0))-MIN(MAX(M530,0),MAX(0,I506-IF($A531&gt;='1-Input'!$C$12,'1-Input'!$B$12,0))))*(1/(1-'P-Parametri'!$B$6*I531))),MAX(0,2*I506-(M530-MIN(MAX(M530,0),MAX(0,I506-IF($A531&gt;='1-Input'!$C$12,'1-Input'!$B$12,0)))))*(1/(1-'P-Parametri'!$B$6*I531))))</f>
        <v>0</v>
      </c>
      <c r="K531" s="18">
        <f>IF($A531&gt;'1-Input'!$B$26,M530,(M530-MAX(0,I506-IF($A531&gt;='1-Input'!$C$12,'1-Input'!$B$12,0))+J531*(1-'P-Parametri'!$B$6*I531))*(1+'1-Input'!$B$27))</f>
        <v>6668.8434301310663</v>
      </c>
      <c r="L531" s="18">
        <f>IF($A531&gt;'1-Input'!$B$26,N530,(N530-J531)*(1+$C$4))</f>
        <v>0</v>
      </c>
      <c r="M531" s="18">
        <f>IF($A531&gt;'1-Input'!$B$26,K531,K531-'P-Parametri'!$B$8*(L531+K531)+MIN(MAX(L531,0),'P-Parametri'!$B$8*(L531+K531)))</f>
        <v>6655.5057432708045</v>
      </c>
      <c r="N531" s="18">
        <f>IF($A531&gt;'1-Input'!$B$26,L531,L531-MIN(MAX(L531,0),'P-Parametri'!$B$8*(L531+K531)))</f>
        <v>0</v>
      </c>
      <c r="O531" s="18">
        <f>IF($A531&gt;'1-Input'!$B$26,O530,O530-J531*(1-I531))</f>
        <v>0</v>
      </c>
      <c r="P531" s="11">
        <f>IF($A531&gt;'1-Input'!$B$26,0,IF(U530&lt;=0,0,MAX(0,(U530-V530)/U530)))</f>
        <v>0.56972558206325119</v>
      </c>
      <c r="Q531" s="18">
        <f>IF($A531&gt;'1-Input'!$B$26,0,(MAX(0,P506-IF($A531&gt;='1-Input'!$C$12,'1-Input'!$B$12,0))-MIN(MAX(T530,0),MAX(0,P506-IF($A531&gt;='1-Input'!$C$12,'1-Input'!$B$12,0))))*(1/(1-'P-Parametri'!$B$6*P531))+MIN(MAX(0,U530-(MAX(0,P506-IF($A531&gt;='1-Input'!$C$12,'1-Input'!$B$12,0))-MIN(MAX(T530,0),MAX(0,P506-IF($A531&gt;='1-Input'!$C$12,'1-Input'!$B$12,0))))*(1/(1-'P-Parametri'!$B$6*P531))),MAX(0,2*P506-(T530-MIN(MAX(T530,0),MAX(0,P506-IF($A531&gt;='1-Input'!$C$12,'1-Input'!$B$12,0)))))*(1/(1-'P-Parametri'!$B$6*P531))))</f>
        <v>8438.2007764301325</v>
      </c>
      <c r="R531" s="18">
        <f>IF($A531&gt;'1-Input'!$B$26,T530,(T530-MAX(0,P506-IF($A531&gt;='1-Input'!$C$12,'1-Input'!$B$12,0))+Q531*(1-'P-Parametri'!$B$6*P531))*(1+'1-Input'!$B$27))</f>
        <v>36188.277471006419</v>
      </c>
      <c r="S531" s="18">
        <f>IF($A531&gt;'1-Input'!$B$26,U530,(U530-Q531)*(1+$C$4))</f>
        <v>107219.37864623505</v>
      </c>
      <c r="T531" s="18">
        <f>IF($A531&gt;'1-Input'!$B$26,R531,R531-'P-Parametri'!$B$8*(S531+R531)+MIN(MAX(S531,0),'P-Parametri'!$B$8*(S531+R531)))</f>
        <v>36188.277471006419</v>
      </c>
      <c r="U531" s="18">
        <f>IF($A531&gt;'1-Input'!$B$26,S531,S531-MIN(MAX(S531,0),'P-Parametri'!$B$8*(S531+R531)))</f>
        <v>106932.56333400057</v>
      </c>
      <c r="V531" s="18">
        <f>IF($A531&gt;'1-Input'!$B$26,V530,V530-Q531*(1-P531))</f>
        <v>44790.054115095794</v>
      </c>
      <c r="W531" s="11">
        <f>IF($A531&gt;'1-Input'!$B$26,0,IF(AB530&lt;=0,0,MAX(0,(AB530-AC530)/AB530)))</f>
        <v>0.56983071272458974</v>
      </c>
      <c r="X531" s="18">
        <f>IF($A531&gt;'1-Input'!$B$26,0,(MAX(0,W506-IF($A531&gt;='1-Input'!$C$12,'1-Input'!$B$12,0))-MIN(MAX(AA530,0),MAX(0,W506-IF($A531&gt;='1-Input'!$C$12,'1-Input'!$B$12,0))))*(1/(1-'P-Parametri'!$B$6*W531))+MIN(MAX(0,AB530-(MAX(0,W506-IF($A531&gt;='1-Input'!$C$12,'1-Input'!$B$12,0))-MIN(MAX(AA530,0),MAX(0,W506-IF($A531&gt;='1-Input'!$C$12,'1-Input'!$B$12,0))))*(1/(1-'P-Parametri'!$B$6*W531))),MAX(0,2*W506-(AA530-MIN(MAX(AA530,0),MAX(0,W506-IF($A531&gt;='1-Input'!$C$12,'1-Input'!$B$12,0)))))*(1/(1-'P-Parametri'!$B$6*W531))))</f>
        <v>8200.8620430088231</v>
      </c>
      <c r="Y531" s="18">
        <f>IF($A531&gt;'1-Input'!$B$26,AA530,(AA530-MAX(0,W506-IF($A531&gt;='1-Input'!$C$12,'1-Input'!$B$12,0))+X531*(1-'P-Parametri'!$B$6*W531))*(1+'1-Input'!$B$27))</f>
        <v>35787.805734234928</v>
      </c>
      <c r="Z531" s="18">
        <f>IF($A531&gt;'1-Input'!$B$26,AB530,(AB530-X531)*(1+$C$4))</f>
        <v>115350.62439126011</v>
      </c>
      <c r="AA531" s="18">
        <f>IF($A531&gt;'1-Input'!$B$26,Y531,Y531-'P-Parametri'!$B$8*(Z531+Y531)+MIN(MAX(Z531,0),'P-Parametri'!$B$8*(Z531+Y531)))</f>
        <v>35787.805734234928</v>
      </c>
      <c r="AB531" s="18">
        <f>IF($A531&gt;'1-Input'!$B$26,Z531,Z531-MIN(MAX(Z531,0),'P-Parametri'!$B$8*(Z531+Y531)))</f>
        <v>115048.34753100912</v>
      </c>
      <c r="AC531" s="18">
        <f>IF($A531&gt;'1-Input'!$B$26,AC530,AC530-X531*(1-W531))</f>
        <v>48175.044544817385</v>
      </c>
      <c r="AD531" s="11">
        <f>IF($A531&gt;'1-Input'!$B$26,0,IF(AI530&lt;=0,0,MAX(0,(AI530-AJ530)/AI530)))</f>
        <v>0.56983767977645727</v>
      </c>
      <c r="AE531" s="18">
        <f>IF($A531&gt;'1-Input'!$B$26,0,(MAX(0,AD506-IF($A531&gt;='1-Input'!$C$12,'1-Input'!$B$12,0))-MIN(MAX(AH530,0),MAX(0,AD506-IF($A531&gt;='1-Input'!$C$12,'1-Input'!$B$12,0))))*(1/(1-'P-Parametri'!$B$6*AD531))+MIN(MAX(0,AI530-(MAX(0,AD506-IF($A531&gt;='1-Input'!$C$12,'1-Input'!$B$12,0))-MIN(MAX(AH530,0),MAX(0,AD506-IF($A531&gt;='1-Input'!$C$12,'1-Input'!$B$12,0))))*(1/(1-'P-Parametri'!$B$6*AD531))),MAX(0,2*AD506-(AH530-MIN(MAX(AH530,0),MAX(0,AD506-IF($A531&gt;='1-Input'!$C$12,'1-Input'!$B$12,0)))))*(1/(1-'P-Parametri'!$B$6*AD531))))</f>
        <v>8184.505185000382</v>
      </c>
      <c r="AF531" s="18">
        <f>IF($A531&gt;'1-Input'!$B$26,AH530,(AH530-MAX(0,AD506-IF($A531&gt;='1-Input'!$C$12,'1-Input'!$B$12,0))+AE531*(1-'P-Parametri'!$B$6*AD531))*(1+'1-Input'!$B$27))</f>
        <v>35760.208229591961</v>
      </c>
      <c r="AG531" s="18">
        <f>IF($A531&gt;'1-Input'!$B$26,AI530,(AI530-AE531)*(1+$C$4))</f>
        <v>115910.97923220495</v>
      </c>
      <c r="AH531" s="18">
        <f>IF($A531&gt;'1-Input'!$B$26,AF531,AF531-'P-Parametri'!$B$8*(AG531+AF531)+MIN(MAX(AG531,0),'P-Parametri'!$B$8*(AG531+AF531)))</f>
        <v>35760.208229591961</v>
      </c>
      <c r="AI531" s="18">
        <f>IF($A531&gt;'1-Input'!$B$26,AG531,AG531-MIN(MAX(AG531,0),'P-Parametri'!$B$8*(AG531+AF531)))</f>
        <v>115607.63685728135</v>
      </c>
      <c r="AJ531" s="18">
        <f>IF($A531&gt;'1-Input'!$B$26,AJ530,AJ530-AE531*(1-AD531))</f>
        <v>48408.287151367142</v>
      </c>
      <c r="AK531" s="11">
        <f>IF($A531&gt;'1-Input'!$B$26,0,IF(AP530&lt;=0,0,MAX(0,(AP530-AQ530)/AP530)))</f>
        <v>0.56983769625583558</v>
      </c>
      <c r="AL531" s="18">
        <f>IF($A531&gt;'1-Input'!$B$26,0,(MAX(0,AK506-IF($A531&gt;='1-Input'!$C$12,'1-Input'!$B$12,0))-MIN(MAX(AO530,0),MAX(0,AK506-IF($A531&gt;='1-Input'!$C$12,'1-Input'!$B$12,0))))*(1/(1-'P-Parametri'!$B$6*AK531))+MIN(MAX(0,AP530-(MAX(0,AK506-IF($A531&gt;='1-Input'!$C$12,'1-Input'!$B$12,0))-MIN(MAX(AO530,0),MAX(0,AK506-IF($A531&gt;='1-Input'!$C$12,'1-Input'!$B$12,0))))*(1/(1-'P-Parametri'!$B$6*AK531))),MAX(0,2*AK506-(AO530-MIN(MAX(AO530,0),MAX(0,AK506-IF($A531&gt;='1-Input'!$C$12,'1-Input'!$B$12,0)))))*(1/(1-'P-Parametri'!$B$6*AK531))))</f>
        <v>8184.466400520173</v>
      </c>
      <c r="AM531" s="18">
        <f>IF($A531&gt;'1-Input'!$B$26,AO530,(AO530-MAX(0,AK506-IF($A531&gt;='1-Input'!$C$12,'1-Input'!$B$12,0))+AL531*(1-'P-Parametri'!$B$6*AK531))*(1+'1-Input'!$B$27))</f>
        <v>35760.142792219878</v>
      </c>
      <c r="AN531" s="18">
        <f>IF($A531&gt;'1-Input'!$B$26,AP530,(AP530-AL531)*(1+$C$4))</f>
        <v>115912.30790998905</v>
      </c>
      <c r="AO531" s="18">
        <f>IF($A531&gt;'1-Input'!$B$26,AM531,AM531-'P-Parametri'!$B$8*(AN531+AM531)+MIN(MAX(AN531,0),'P-Parametri'!$B$8*(AN531+AM531)))</f>
        <v>35760.142792219878</v>
      </c>
      <c r="AP531" s="18">
        <f>IF($A531&gt;'1-Input'!$B$26,AN531,AN531-MIN(MAX(AN531,0),'P-Parametri'!$B$8*(AN531+AM531)))</f>
        <v>115608.96300858463</v>
      </c>
      <c r="AQ531" s="18">
        <f>IF($A531&gt;'1-Input'!$B$26,AQ530,AQ530-AL531*(1-AK531))</f>
        <v>48408.840196955163</v>
      </c>
    </row>
    <row r="532" spans="1:43">
      <c r="A532" s="10">
        <f>24</f>
        <v>24</v>
      </c>
      <c r="B532" s="11">
        <f>IF($A532&gt;'1-Input'!$B$26,0,IF(G531&lt;=0,0,MAX(0,(G531-H531)/G531)))</f>
        <v>0.58187292311865779</v>
      </c>
      <c r="C532" s="18">
        <f>IF($A532&gt;'1-Input'!$B$26,0,(MAX(0,B506-IF($A532&gt;='1-Input'!$C$12,'1-Input'!$B$12,0))-MIN(MAX(F531,0),MAX(0,B506-IF($A532&gt;='1-Input'!$C$12,'1-Input'!$B$12,0))))*(1/(1-'P-Parametri'!$B$6*B532))+MIN(MAX(0,G531-(MAX(0,B506-IF($A532&gt;='1-Input'!$C$12,'1-Input'!$B$12,0))-MIN(MAX(F531,0),MAX(0,B506-IF($A532&gt;='1-Input'!$C$12,'1-Input'!$B$12,0))))*(1/(1-'P-Parametri'!$B$6*B532))),MAX(0,2*B506-(F531-MIN(MAX(F531,0),MAX(0,B506-IF($A532&gt;='1-Input'!$C$12,'1-Input'!$B$12,0)))))*(1/(1-'P-Parametri'!$B$6*B532))))</f>
        <v>6715.059913494405</v>
      </c>
      <c r="D532" s="18">
        <f>IF($A532&gt;'1-Input'!$B$26,F531,(F531-MAX(0,B506-IF($A532&gt;='1-Input'!$C$12,'1-Input'!$B$12,0))+C532*(1-'P-Parametri'!$B$6*B532))*(1+'1-Input'!$B$27))</f>
        <v>33242.0070309863</v>
      </c>
      <c r="E532" s="18">
        <f>IF($A532&gt;'1-Input'!$B$26,G531,(G531-C532)*(1+$C$4))</f>
        <v>164729.07885278229</v>
      </c>
      <c r="F532" s="18">
        <f>IF($A532&gt;'1-Input'!$B$26,D532,D532-'P-Parametri'!$B$8*(E532+D532)+MIN(MAX(E532,0),'P-Parametri'!$B$8*(E532+D532)))</f>
        <v>33242.0070309863</v>
      </c>
      <c r="G532" s="18">
        <f>IF($A532&gt;'1-Input'!$B$26,E532,E532-MIN(MAX(E532,0),'P-Parametri'!$B$8*(E532+D532)))</f>
        <v>164333.13668101476</v>
      </c>
      <c r="H532" s="18">
        <f>IF($A532&gt;'1-Input'!$B$26,H531,H531-C532*(1-B532))</f>
        <v>66871.541959291237</v>
      </c>
      <c r="I532" s="11">
        <f>IF($A532&gt;'1-Input'!$B$26,0,IF(N531&lt;=0,0,MAX(0,(N531-O531)/N531)))</f>
        <v>0</v>
      </c>
      <c r="J532" s="18">
        <f>IF($A532&gt;'1-Input'!$B$26,0,(MAX(0,I506-IF($A532&gt;='1-Input'!$C$12,'1-Input'!$B$12,0))-MIN(MAX(M531,0),MAX(0,I506-IF($A532&gt;='1-Input'!$C$12,'1-Input'!$B$12,0))))*(1/(1-'P-Parametri'!$B$6*I532))+MIN(MAX(0,N531-(MAX(0,I506-IF($A532&gt;='1-Input'!$C$12,'1-Input'!$B$12,0))-MIN(MAX(M531,0),MAX(0,I506-IF($A532&gt;='1-Input'!$C$12,'1-Input'!$B$12,0))))*(1/(1-'P-Parametri'!$B$6*I532))),MAX(0,2*I506-(M531-MIN(MAX(M531,0),MAX(0,I506-IF($A532&gt;='1-Input'!$C$12,'1-Input'!$B$12,0)))))*(1/(1-'P-Parametri'!$B$6*I532))))</f>
        <v>4191.2512496578865</v>
      </c>
      <c r="K532" s="18">
        <f>IF($A532&gt;'1-Input'!$B$26,M531,(M531-MAX(0,I506-IF($A532&gt;='1-Input'!$C$12,'1-Input'!$B$12,0))+J532*(1-'P-Parametri'!$B$6*I532))*(1+'1-Input'!$B$27))</f>
        <v>0</v>
      </c>
      <c r="L532" s="18">
        <f>IF($A532&gt;'1-Input'!$B$26,N531,(N531-J532)*(1+$C$4))</f>
        <v>-4316.988787147623</v>
      </c>
      <c r="M532" s="18">
        <f>IF($A532&gt;'1-Input'!$B$26,K532,K532-'P-Parametri'!$B$8*(L532+K532)+MIN(MAX(L532,0),'P-Parametri'!$B$8*(L532+K532)))</f>
        <v>0</v>
      </c>
      <c r="N532" s="18">
        <f>IF($A532&gt;'1-Input'!$B$26,L532,L532-MIN(MAX(L532,0),'P-Parametri'!$B$8*(L532+K532)))</f>
        <v>-4308.3548095733277</v>
      </c>
      <c r="O532" s="18">
        <f>IF($A532&gt;'1-Input'!$B$26,O531,O531-J532*(1-I532))</f>
        <v>-4191.2512496578865</v>
      </c>
      <c r="P532" s="11">
        <f>IF($A532&gt;'1-Input'!$B$26,0,IF(U531&lt;=0,0,MAX(0,(U531-V531)/U531)))</f>
        <v>0.5811373755701017</v>
      </c>
      <c r="Q532" s="18">
        <f>IF($A532&gt;'1-Input'!$B$26,0,(MAX(0,P506-IF($A532&gt;='1-Input'!$C$12,'1-Input'!$B$12,0))-MIN(MAX(T531,0),MAX(0,P506-IF($A532&gt;='1-Input'!$C$12,'1-Input'!$B$12,0))))*(1/(1-'P-Parametri'!$B$6*P532))+MIN(MAX(0,U531-(MAX(0,P506-IF($A532&gt;='1-Input'!$C$12,'1-Input'!$B$12,0))-MIN(MAX(T531,0),MAX(0,P506-IF($A532&gt;='1-Input'!$C$12,'1-Input'!$B$12,0))))*(1/(1-'P-Parametri'!$B$6*P532))),MAX(0,2*P506-(T531-MIN(MAX(T531,0),MAX(0,P506-IF($A532&gt;='1-Input'!$C$12,'1-Input'!$B$12,0)))))*(1/(1-'P-Parametri'!$B$6*P532))))</f>
        <v>8467.6937378585153</v>
      </c>
      <c r="R532" s="18">
        <f>IF($A532&gt;'1-Input'!$B$26,T531,(T531-MAX(0,P506-IF($A532&gt;='1-Input'!$C$12,'1-Input'!$B$12,0))+Q532*(1-'P-Parametri'!$B$6*P532))*(1+'1-Input'!$B$27))</f>
        <v>36188.277471006419</v>
      </c>
      <c r="S532" s="18">
        <f>IF($A532&gt;'1-Input'!$B$26,U531,(U531-Q532)*(1+$C$4))</f>
        <v>101418.81568402633</v>
      </c>
      <c r="T532" s="18">
        <f>IF($A532&gt;'1-Input'!$B$26,R532,R532-'P-Parametri'!$B$8*(S532+R532)+MIN(MAX(S532,0),'P-Parametri'!$B$8*(S532+R532)))</f>
        <v>36188.277471006419</v>
      </c>
      <c r="U532" s="18">
        <f>IF($A532&gt;'1-Input'!$B$26,S532,S532-MIN(MAX(S532,0),'P-Parametri'!$B$8*(S532+R532)))</f>
        <v>101143.60149771626</v>
      </c>
      <c r="V532" s="18">
        <f>IF($A532&gt;'1-Input'!$B$26,V531,V531-Q532*(1-P532))</f>
        <v>41243.253693187762</v>
      </c>
      <c r="W532" s="11">
        <f>IF($A532&gt;'1-Input'!$B$26,0,IF(AB531&lt;=0,0,MAX(0,(AB531-AC531)/AB531)))</f>
        <v>0.58126261194814022</v>
      </c>
      <c r="X532" s="18">
        <f>IF($A532&gt;'1-Input'!$B$26,0,(MAX(0,W506-IF($A532&gt;='1-Input'!$C$12,'1-Input'!$B$12,0))-MIN(MAX(AA531,0),MAX(0,W506-IF($A532&gt;='1-Input'!$C$12,'1-Input'!$B$12,0))))*(1/(1-'P-Parametri'!$B$6*W532))+MIN(MAX(0,AB531-(MAX(0,W506-IF($A532&gt;='1-Input'!$C$12,'1-Input'!$B$12,0))-MIN(MAX(AA531,0),MAX(0,W506-IF($A532&gt;='1-Input'!$C$12,'1-Input'!$B$12,0))))*(1/(1-'P-Parametri'!$B$6*W532))),MAX(0,2*W506-(AA531-MIN(MAX(AA531,0),MAX(0,W506-IF($A532&gt;='1-Input'!$C$12,'1-Input'!$B$12,0)))))*(1/(1-'P-Parametri'!$B$6*W532))))</f>
        <v>8229.577066480264</v>
      </c>
      <c r="Y532" s="18">
        <f>IF($A532&gt;'1-Input'!$B$26,AA531,(AA531-MAX(0,W506-IF($A532&gt;='1-Input'!$C$12,'1-Input'!$B$12,0))+X532*(1-'P-Parametri'!$B$6*W532))*(1+'1-Input'!$B$27))</f>
        <v>35787.805734234928</v>
      </c>
      <c r="Z532" s="18">
        <f>IF($A532&gt;'1-Input'!$B$26,AB531,(AB531-X532)*(1+$C$4))</f>
        <v>110023.33357846472</v>
      </c>
      <c r="AA532" s="18">
        <f>IF($A532&gt;'1-Input'!$B$26,Y532,Y532-'P-Parametri'!$B$8*(Z532+Y532)+MIN(MAX(Z532,0),'P-Parametri'!$B$8*(Z532+Y532)))</f>
        <v>35787.805734234928</v>
      </c>
      <c r="AB532" s="18">
        <f>IF($A532&gt;'1-Input'!$B$26,Z532,Z532-MIN(MAX(Z532,0),'P-Parametri'!$B$8*(Z532+Y532)))</f>
        <v>109731.71129983933</v>
      </c>
      <c r="AC532" s="18">
        <f>IF($A532&gt;'1-Input'!$B$26,AC531,AC531-X532*(1-W532))</f>
        <v>44729.012939227956</v>
      </c>
      <c r="AD532" s="11">
        <f>IF($A532&gt;'1-Input'!$B$26,0,IF(AI531&lt;=0,0,MAX(0,(AI531-AJ531)/AI531)))</f>
        <v>0.58127085314331273</v>
      </c>
      <c r="AE532" s="18">
        <f>IF($A532&gt;'1-Input'!$B$26,0,(MAX(0,AD506-IF($A532&gt;='1-Input'!$C$12,'1-Input'!$B$12,0))-MIN(MAX(AH531,0),MAX(0,AD506-IF($A532&gt;='1-Input'!$C$12,'1-Input'!$B$12,0))))*(1/(1-'P-Parametri'!$B$6*AD532))+MIN(MAX(0,AI531-(MAX(0,AD506-IF($A532&gt;='1-Input'!$C$12,'1-Input'!$B$12,0))-MIN(MAX(AH531,0),MAX(0,AD506-IF($A532&gt;='1-Input'!$C$12,'1-Input'!$B$12,0))))*(1/(1-'P-Parametri'!$B$6*AD532))),MAX(0,2*AD506-(AH531-MIN(MAX(AH531,0),MAX(0,AD506-IF($A532&gt;='1-Input'!$C$12,'1-Input'!$B$12,0)))))*(1/(1-'P-Parametri'!$B$6*AD532))))</f>
        <v>8213.1662019196283</v>
      </c>
      <c r="AF532" s="18">
        <f>IF($A532&gt;'1-Input'!$B$26,AH531,(AH531-MAX(0,AD506-IF($A532&gt;='1-Input'!$C$12,'1-Input'!$B$12,0))+AE532*(1-'P-Parametri'!$B$6*AD532))*(1+'1-Input'!$B$27))</f>
        <v>35760.208229591961</v>
      </c>
      <c r="AG532" s="18">
        <f>IF($A532&gt;'1-Input'!$B$26,AI531,(AI531-AE532)*(1+$C$4))</f>
        <v>110616.30477502258</v>
      </c>
      <c r="AH532" s="18">
        <f>IF($A532&gt;'1-Input'!$B$26,AF532,AF532-'P-Parametri'!$B$8*(AG532+AF532)+MIN(MAX(AG532,0),'P-Parametri'!$B$8*(AG532+AF532)))</f>
        <v>35760.208229591961</v>
      </c>
      <c r="AI532" s="18">
        <f>IF($A532&gt;'1-Input'!$B$26,AG532,AG532-MIN(MAX(AG532,0),'P-Parametri'!$B$8*(AG532+AF532)))</f>
        <v>110323.55174901335</v>
      </c>
      <c r="AJ532" s="18">
        <f>IF($A532&gt;'1-Input'!$B$26,AJ531,AJ531-AE532*(1-AD532))</f>
        <v>44969.195074645155</v>
      </c>
      <c r="AK532" s="11">
        <f>IF($A532&gt;'1-Input'!$B$26,0,IF(AP531&lt;=0,0,MAX(0,(AP531-AQ531)/AP531)))</f>
        <v>0.58127087262809785</v>
      </c>
      <c r="AL532" s="18">
        <f>IF($A532&gt;'1-Input'!$B$26,0,(MAX(0,AK506-IF($A532&gt;='1-Input'!$C$12,'1-Input'!$B$12,0))-MIN(MAX(AO531,0),MAX(0,AK506-IF($A532&gt;='1-Input'!$C$12,'1-Input'!$B$12,0))))*(1/(1-'P-Parametri'!$B$6*AK532))+MIN(MAX(0,AP531-(MAX(0,AK506-IF($A532&gt;='1-Input'!$C$12,'1-Input'!$B$12,0))-MIN(MAX(AO531,0),MAX(0,AK506-IF($A532&gt;='1-Input'!$C$12,'1-Input'!$B$12,0))))*(1/(1-'P-Parametri'!$B$6*AK532))),MAX(0,2*AK506-(AO531-MIN(MAX(AO531,0),MAX(0,AK506-IF($A532&gt;='1-Input'!$C$12,'1-Input'!$B$12,0)))))*(1/(1-'P-Parametri'!$B$6*AK532))))</f>
        <v>8213.1272893265341</v>
      </c>
      <c r="AM532" s="18">
        <f>IF($A532&gt;'1-Input'!$B$26,AO531,(AO531-MAX(0,AK506-IF($A532&gt;='1-Input'!$C$12,'1-Input'!$B$12,0))+AL532*(1-'P-Parametri'!$B$6*AK532))*(1+'1-Input'!$B$27))</f>
        <v>35760.142792219878</v>
      </c>
      <c r="AN532" s="18">
        <f>IF($A532&gt;'1-Input'!$B$26,AP531,(AP531-AL532)*(1+$C$4))</f>
        <v>110617.71079083583</v>
      </c>
      <c r="AO532" s="18">
        <f>IF($A532&gt;'1-Input'!$B$26,AM532,AM532-'P-Parametri'!$B$8*(AN532+AM532)+MIN(MAX(AN532,0),'P-Parametri'!$B$8*(AN532+AM532)))</f>
        <v>35760.142792219878</v>
      </c>
      <c r="AP532" s="18">
        <f>IF($A532&gt;'1-Input'!$B$26,AN532,AN532-MIN(MAX(AN532,0),'P-Parametri'!$B$8*(AN532+AM532)))</f>
        <v>110324.95508366972</v>
      </c>
      <c r="AQ532" s="18">
        <f>IF($A532&gt;'1-Input'!$B$26,AQ531,AQ531-AL532*(1-AK532))</f>
        <v>44969.764574101107</v>
      </c>
    </row>
    <row r="533" spans="1:43">
      <c r="A533" s="10">
        <f>25</f>
        <v>25</v>
      </c>
      <c r="B533" s="11">
        <f>IF($A533&gt;'1-Input'!$B$26,0,IF(G532&lt;=0,0,MAX(0,(G532-H532)/G532)))</f>
        <v>0.59307329422492039</v>
      </c>
      <c r="C533" s="18">
        <f>IF($A533&gt;'1-Input'!$B$26,0,(MAX(0,B506-IF($A533&gt;='1-Input'!$C$12,'1-Input'!$B$12,0))-MIN(MAX(F532,0),MAX(0,B506-IF($A533&gt;='1-Input'!$C$12,'1-Input'!$B$12,0))))*(1/(1-'P-Parametri'!$B$6*B533))+MIN(MAX(0,G532-(MAX(0,B506-IF($A533&gt;='1-Input'!$C$12,'1-Input'!$B$12,0))-MIN(MAX(F532,0),MAX(0,B506-IF($A533&gt;='1-Input'!$C$12,'1-Input'!$B$12,0))))*(1/(1-'P-Parametri'!$B$6*B533))),MAX(0,2*B506-(F532-MIN(MAX(F532,0),MAX(0,B506-IF($A533&gt;='1-Input'!$C$12,'1-Input'!$B$12,0)))))*(1/(1-'P-Parametri'!$B$6*B533))))</f>
        <v>6738.1798952567151</v>
      </c>
      <c r="D533" s="18">
        <f>IF($A533&gt;'1-Input'!$B$26,F532,(F532-MAX(0,B506-IF($A533&gt;='1-Input'!$C$12,'1-Input'!$B$12,0))+C533*(1-'P-Parametri'!$B$6*B533))*(1+'1-Input'!$B$27))</f>
        <v>33242.0070309863</v>
      </c>
      <c r="E533" s="18">
        <f>IF($A533&gt;'1-Input'!$B$26,G532,(G532-C533)*(1+$C$4))</f>
        <v>162322.80548933081</v>
      </c>
      <c r="F533" s="18">
        <f>IF($A533&gt;'1-Input'!$B$26,D533,D533-'P-Parametri'!$B$8*(E533+D533)+MIN(MAX(E533,0),'P-Parametri'!$B$8*(E533+D533)))</f>
        <v>33242.0070309863</v>
      </c>
      <c r="G533" s="18">
        <f>IF($A533&gt;'1-Input'!$B$26,E533,E533-MIN(MAX(E533,0),'P-Parametri'!$B$8*(E533+D533)))</f>
        <v>161931.67586429018</v>
      </c>
      <c r="H533" s="18">
        <f>IF($A533&gt;'1-Input'!$B$26,H532,H532-C533*(1-B533))</f>
        <v>64129.596611594548</v>
      </c>
      <c r="I533" s="11">
        <f>IF($A533&gt;'1-Input'!$B$26,0,IF(N532&lt;=0,0,MAX(0,(N532-O532)/N532)))</f>
        <v>0</v>
      </c>
      <c r="J533" s="18">
        <f>IF($A533&gt;'1-Input'!$B$26,0,(MAX(0,I506-IF($A533&gt;='1-Input'!$C$12,'1-Input'!$B$12,0))-MIN(MAX(M532,0),MAX(0,I506-IF($A533&gt;='1-Input'!$C$12,'1-Input'!$B$12,0))))*(1/(1-'P-Parametri'!$B$6*I533))+MIN(MAX(0,N532-(MAX(0,I506-IF($A533&gt;='1-Input'!$C$12,'1-Input'!$B$12,0))-MIN(MAX(M532,0),MAX(0,I506-IF($A533&gt;='1-Input'!$C$12,'1-Input'!$B$12,0))))*(1/(1-'P-Parametri'!$B$6*I533))),MAX(0,2*I506-(M532-MIN(MAX(M532,0),MAX(0,I506-IF($A533&gt;='1-Input'!$C$12,'1-Input'!$B$12,0)))))*(1/(1-'P-Parametri'!$B$6*I533))))</f>
        <v>10846.756992928691</v>
      </c>
      <c r="K533" s="18">
        <f>IF($A533&gt;'1-Input'!$B$26,M532,(M532-MAX(0,I506-IF($A533&gt;='1-Input'!$C$12,'1-Input'!$B$12,0))+J533*(1-'P-Parametri'!$B$6*I533))*(1+'1-Input'!$B$27))</f>
        <v>0</v>
      </c>
      <c r="L533" s="18">
        <f>IF($A533&gt;'1-Input'!$B$26,N532,(N532-J533)*(1+$C$4))</f>
        <v>-15609.765156577079</v>
      </c>
      <c r="M533" s="18">
        <f>IF($A533&gt;'1-Input'!$B$26,K533,K533-'P-Parametri'!$B$8*(L533+K533)+MIN(MAX(L533,0),'P-Parametri'!$B$8*(L533+K533)))</f>
        <v>0</v>
      </c>
      <c r="N533" s="18">
        <f>IF($A533&gt;'1-Input'!$B$26,L533,L533-MIN(MAX(L533,0),'P-Parametri'!$B$8*(L533+K533)))</f>
        <v>-15578.545626263925</v>
      </c>
      <c r="O533" s="18">
        <f>IF($A533&gt;'1-Input'!$B$26,O532,O532-J533*(1-I533))</f>
        <v>-15038.008242586577</v>
      </c>
      <c r="P533" s="11">
        <f>IF($A533&gt;'1-Input'!$B$26,0,IF(U532&lt;=0,0,MAX(0,(U532-V532)/U532)))</f>
        <v>0.59223071867656396</v>
      </c>
      <c r="Q533" s="18">
        <f>IF($A533&gt;'1-Input'!$B$26,0,(MAX(0,P506-IF($A533&gt;='1-Input'!$C$12,'1-Input'!$B$12,0))-MIN(MAX(T532,0),MAX(0,P506-IF($A533&gt;='1-Input'!$C$12,'1-Input'!$B$12,0))))*(1/(1-'P-Parametri'!$B$6*P533))+MIN(MAX(0,U532-(MAX(0,P506-IF($A533&gt;='1-Input'!$C$12,'1-Input'!$B$12,0))-MIN(MAX(T532,0),MAX(0,P506-IF($A533&gt;='1-Input'!$C$12,'1-Input'!$B$12,0))))*(1/(1-'P-Parametri'!$B$6*P533))),MAX(0,2*P506-(T532-MIN(MAX(T532,0),MAX(0,P506-IF($A533&gt;='1-Input'!$C$12,'1-Input'!$B$12,0)))))*(1/(1-'P-Parametri'!$B$6*P533))))</f>
        <v>8496.5619772957943</v>
      </c>
      <c r="R533" s="18">
        <f>IF($A533&gt;'1-Input'!$B$26,T532,(T532-MAX(0,P506-IF($A533&gt;='1-Input'!$C$12,'1-Input'!$B$12,0))+Q533*(1-'P-Parametri'!$B$6*P533))*(1+'1-Input'!$B$27))</f>
        <v>36188.277471006419</v>
      </c>
      <c r="S533" s="18">
        <f>IF($A533&gt;'1-Input'!$B$26,U532,(U532-Q533)*(1+$C$4))</f>
        <v>95426.450706033065</v>
      </c>
      <c r="T533" s="18">
        <f>IF($A533&gt;'1-Input'!$B$26,R533,R533-'P-Parametri'!$B$8*(S533+R533)+MIN(MAX(S533,0),'P-Parametri'!$B$8*(S533+R533)))</f>
        <v>36188.277471006419</v>
      </c>
      <c r="U533" s="18">
        <f>IF($A533&gt;'1-Input'!$B$26,S533,S533-MIN(MAX(S533,0),'P-Parametri'!$B$8*(S533+R533)))</f>
        <v>95163.221249678987</v>
      </c>
      <c r="V533" s="18">
        <f>IF($A533&gt;'1-Input'!$B$26,V532,V532-Q533*(1-P533))</f>
        <v>37778.616721985825</v>
      </c>
      <c r="W533" s="11">
        <f>IF($A533&gt;'1-Input'!$B$26,0,IF(AB532&lt;=0,0,MAX(0,(AB532-AC532)/AB532)))</f>
        <v>0.59237842543978037</v>
      </c>
      <c r="X533" s="18">
        <f>IF($A533&gt;'1-Input'!$B$26,0,(MAX(0,W506-IF($A533&gt;='1-Input'!$C$12,'1-Input'!$B$12,0))-MIN(MAX(AA532,0),MAX(0,W506-IF($A533&gt;='1-Input'!$C$12,'1-Input'!$B$12,0))))*(1/(1-'P-Parametri'!$B$6*W533))+MIN(MAX(0,AB532-(MAX(0,W506-IF($A533&gt;='1-Input'!$C$12,'1-Input'!$B$12,0))-MIN(MAX(AA532,0),MAX(0,W506-IF($A533&gt;='1-Input'!$C$12,'1-Input'!$B$12,0))))*(1/(1-'P-Parametri'!$B$6*W533))),MAX(0,2*W506-(AA532-MIN(MAX(AA532,0),MAX(0,W506-IF($A533&gt;='1-Input'!$C$12,'1-Input'!$B$12,0)))))*(1/(1-'P-Parametri'!$B$6*W533))))</f>
        <v>8257.6916201780095</v>
      </c>
      <c r="Y533" s="18">
        <f>IF($A533&gt;'1-Input'!$B$26,AA532,(AA532-MAX(0,W506-IF($A533&gt;='1-Input'!$C$12,'1-Input'!$B$12,0))+X533*(1-'P-Parametri'!$B$6*W533))*(1+'1-Input'!$B$27))</f>
        <v>35787.805734234928</v>
      </c>
      <c r="Z533" s="18">
        <f>IF($A533&gt;'1-Input'!$B$26,AB532,(AB532-X533)*(1+$C$4))</f>
        <v>104518.24027005116</v>
      </c>
      <c r="AA533" s="18">
        <f>IF($A533&gt;'1-Input'!$B$26,Y533,Y533-'P-Parametri'!$B$8*(Z533+Y533)+MIN(MAX(Z533,0),'P-Parametri'!$B$8*(Z533+Y533)))</f>
        <v>35787.805734234928</v>
      </c>
      <c r="AB533" s="18">
        <f>IF($A533&gt;'1-Input'!$B$26,Z533,Z533-MIN(MAX(Z533,0),'P-Parametri'!$B$8*(Z533+Y533)))</f>
        <v>104237.62817804259</v>
      </c>
      <c r="AC533" s="18">
        <f>IF($A533&gt;'1-Input'!$B$26,AC532,AC532-X533*(1-W533))</f>
        <v>41362.999678778266</v>
      </c>
      <c r="AD533" s="11">
        <f>IF($A533&gt;'1-Input'!$B$26,0,IF(AI532&lt;=0,0,MAX(0,(AI532-AJ532)/AI532)))</f>
        <v>0.59238807705402463</v>
      </c>
      <c r="AE533" s="18">
        <f>IF($A533&gt;'1-Input'!$B$26,0,(MAX(0,AD506-IF($A533&gt;='1-Input'!$C$12,'1-Input'!$B$12,0))-MIN(MAX(AH532,0),MAX(0,AD506-IF($A533&gt;='1-Input'!$C$12,'1-Input'!$B$12,0))))*(1/(1-'P-Parametri'!$B$6*AD533))+MIN(MAX(0,AI532-(MAX(0,AD506-IF($A533&gt;='1-Input'!$C$12,'1-Input'!$B$12,0))-MIN(MAX(AH532,0),MAX(0,AD506-IF($A533&gt;='1-Input'!$C$12,'1-Input'!$B$12,0))))*(1/(1-'P-Parametri'!$B$6*AD533))),MAX(0,2*AD506-(AH532-MIN(MAX(AH532,0),MAX(0,AD506-IF($A533&gt;='1-Input'!$C$12,'1-Input'!$B$12,0)))))*(1/(1-'P-Parametri'!$B$6*AD533))))</f>
        <v>8241.2283348948276</v>
      </c>
      <c r="AF533" s="18">
        <f>IF($A533&gt;'1-Input'!$B$26,AH532,(AH532-MAX(0,AD506-IF($A533&gt;='1-Input'!$C$12,'1-Input'!$B$12,0))+AE533*(1-'P-Parametri'!$B$6*AD533))*(1+'1-Input'!$B$27))</f>
        <v>35760.208229591961</v>
      </c>
      <c r="AG533" s="18">
        <f>IF($A533&gt;'1-Input'!$B$26,AI532,(AI532-AE533)*(1+$C$4))</f>
        <v>105144.79311654209</v>
      </c>
      <c r="AH533" s="18">
        <f>IF($A533&gt;'1-Input'!$B$26,AF533,AF533-'P-Parametri'!$B$8*(AG533+AF533)+MIN(MAX(AG533,0),'P-Parametri'!$B$8*(AG533+AF533)))</f>
        <v>35760.208229591961</v>
      </c>
      <c r="AI533" s="18">
        <f>IF($A533&gt;'1-Input'!$B$26,AG533,AG533-MIN(MAX(AG533,0),'P-Parametri'!$B$8*(AG533+AF533)))</f>
        <v>104862.98311384983</v>
      </c>
      <c r="AJ533" s="18">
        <f>IF($A533&gt;'1-Input'!$B$26,AJ532,AJ532-AE533*(1-AD533))</f>
        <v>41609.972145621818</v>
      </c>
      <c r="AK533" s="11">
        <f>IF($A533&gt;'1-Input'!$B$26,0,IF(AP532&lt;=0,0,MAX(0,(AP532-AQ532)/AP532)))</f>
        <v>0.59238809986374941</v>
      </c>
      <c r="AL533" s="18">
        <f>IF($A533&gt;'1-Input'!$B$26,0,(MAX(0,AK506-IF($A533&gt;='1-Input'!$C$12,'1-Input'!$B$12,0))-MIN(MAX(AO532,0),MAX(0,AK506-IF($A533&gt;='1-Input'!$C$12,'1-Input'!$B$12,0))))*(1/(1-'P-Parametri'!$B$6*AK533))+MIN(MAX(0,AP532-(MAX(0,AK506-IF($A533&gt;='1-Input'!$C$12,'1-Input'!$B$12,0))-MIN(MAX(AO532,0),MAX(0,AK506-IF($A533&gt;='1-Input'!$C$12,'1-Input'!$B$12,0))))*(1/(1-'P-Parametri'!$B$6*AK533))),MAX(0,2*AK506-(AO532-MIN(MAX(AO532,0),MAX(0,AK506-IF($A533&gt;='1-Input'!$C$12,'1-Input'!$B$12,0)))))*(1/(1-'P-Parametri'!$B$6*AK533))))</f>
        <v>8241.1892979375989</v>
      </c>
      <c r="AM533" s="18">
        <f>IF($A533&gt;'1-Input'!$B$26,AO532,(AO532-MAX(0,AK506-IF($A533&gt;='1-Input'!$C$12,'1-Input'!$B$12,0))+AL533*(1-'P-Parametri'!$B$6*AK533))*(1+'1-Input'!$B$27))</f>
        <v>35760.142792219878</v>
      </c>
      <c r="AN533" s="18">
        <f>IF($A533&gt;'1-Input'!$B$26,AP532,(AP532-AL533)*(1+$C$4))</f>
        <v>105146.27875930408</v>
      </c>
      <c r="AO533" s="18">
        <f>IF($A533&gt;'1-Input'!$B$26,AM533,AM533-'P-Parametri'!$B$8*(AN533+AM533)+MIN(MAX(AN533,0),'P-Parametri'!$B$8*(AN533+AM533)))</f>
        <v>35760.142792219878</v>
      </c>
      <c r="AP533" s="18">
        <f>IF($A533&gt;'1-Input'!$B$26,AN533,AN533-MIN(MAX(AN533,0),'P-Parametri'!$B$8*(AN533+AM533)))</f>
        <v>104864.46591620104</v>
      </c>
      <c r="AQ533" s="18">
        <f>IF($A533&gt;'1-Input'!$B$26,AQ532,AQ532-AL533*(1-AK533))</f>
        <v>41610.557744986232</v>
      </c>
    </row>
    <row r="534" spans="1:43">
      <c r="A534" s="10">
        <f>26</f>
        <v>26</v>
      </c>
      <c r="B534" s="11">
        <f>IF($A534&gt;'1-Input'!$B$26,0,IF(G533&lt;=0,0,MAX(0,(G533-H533)/G533)))</f>
        <v>0.60397126584832272</v>
      </c>
      <c r="C534" s="18">
        <f>IF($A534&gt;'1-Input'!$B$26,0,(MAX(0,B506-IF($A534&gt;='1-Input'!$C$12,'1-Input'!$B$12,0))-MIN(MAX(F533,0),MAX(0,B506-IF($A534&gt;='1-Input'!$C$12,'1-Input'!$B$12,0))))*(1/(1-'P-Parametri'!$B$6*B534))+MIN(MAX(0,G533-(MAX(0,B506-IF($A534&gt;='1-Input'!$C$12,'1-Input'!$B$12,0))-MIN(MAX(F533,0),MAX(0,B506-IF($A534&gt;='1-Input'!$C$12,'1-Input'!$B$12,0))))*(1/(1-'P-Parametri'!$B$6*B534))),MAX(0,2*B506-(F533-MIN(MAX(F533,0),MAX(0,B506-IF($A534&gt;='1-Input'!$C$12,'1-Input'!$B$12,0)))))*(1/(1-'P-Parametri'!$B$6*B534))))</f>
        <v>6760.8289877963971</v>
      </c>
      <c r="D534" s="18">
        <f>IF($A534&gt;'1-Input'!$B$26,F533,(F533-MAX(0,B506-IF($A534&gt;='1-Input'!$C$12,'1-Input'!$B$12,0))+C534*(1-'P-Parametri'!$B$6*B534))*(1+'1-Input'!$B$27))</f>
        <v>33242.0070309863</v>
      </c>
      <c r="E534" s="18">
        <f>IF($A534&gt;'1-Input'!$B$26,G533,(G533-C534)*(1+$C$4))</f>
        <v>159825.97228278863</v>
      </c>
      <c r="F534" s="18">
        <f>IF($A534&gt;'1-Input'!$B$26,D534,D534-'P-Parametri'!$B$8*(E534+D534)+MIN(MAX(E534,0),'P-Parametri'!$B$8*(E534+D534)))</f>
        <v>33242.0070309863</v>
      </c>
      <c r="G534" s="18">
        <f>IF($A534&gt;'1-Input'!$B$26,E534,E534-MIN(MAX(E534,0),'P-Parametri'!$B$8*(E534+D534)))</f>
        <v>159439.83632416109</v>
      </c>
      <c r="H534" s="18">
        <f>IF($A534&gt;'1-Input'!$B$26,H533,H533-C534*(1-B534))</f>
        <v>61452.114065741574</v>
      </c>
      <c r="I534" s="11">
        <f>IF($A534&gt;'1-Input'!$B$26,0,IF(N533&lt;=0,0,MAX(0,(N533-O533)/N533)))</f>
        <v>0</v>
      </c>
      <c r="J534" s="18">
        <f>IF($A534&gt;'1-Input'!$B$26,0,(MAX(0,I506-IF($A534&gt;='1-Input'!$C$12,'1-Input'!$B$12,0))-MIN(MAX(M533,0),MAX(0,I506-IF($A534&gt;='1-Input'!$C$12,'1-Input'!$B$12,0))))*(1/(1-'P-Parametri'!$B$6*I534))+MIN(MAX(0,N533-(MAX(0,I506-IF($A534&gt;='1-Input'!$C$12,'1-Input'!$B$12,0))-MIN(MAX(M533,0),MAX(0,I506-IF($A534&gt;='1-Input'!$C$12,'1-Input'!$B$12,0))))*(1/(1-'P-Parametri'!$B$6*I534))),MAX(0,2*I506-(M533-MIN(MAX(M533,0),MAX(0,I506-IF($A534&gt;='1-Input'!$C$12,'1-Input'!$B$12,0)))))*(1/(1-'P-Parametri'!$B$6*I534))))</f>
        <v>10846.756992928691</v>
      </c>
      <c r="K534" s="18">
        <f>IF($A534&gt;'1-Input'!$B$26,M533,(M533-MAX(0,I506-IF($A534&gt;='1-Input'!$C$12,'1-Input'!$B$12,0))+J534*(1-'P-Parametri'!$B$6*I534))*(1+'1-Input'!$B$27))</f>
        <v>0</v>
      </c>
      <c r="L534" s="18">
        <f>IF($A534&gt;'1-Input'!$B$26,N533,(N533-J534)*(1+$C$4))</f>
        <v>-27218.061697768397</v>
      </c>
      <c r="M534" s="18">
        <f>IF($A534&gt;'1-Input'!$B$26,K534,K534-'P-Parametri'!$B$8*(L534+K534)+MIN(MAX(L534,0),'P-Parametri'!$B$8*(L534+K534)))</f>
        <v>0</v>
      </c>
      <c r="N534" s="18">
        <f>IF($A534&gt;'1-Input'!$B$26,L534,L534-MIN(MAX(L534,0),'P-Parametri'!$B$8*(L534+K534)))</f>
        <v>-27163.625574372862</v>
      </c>
      <c r="O534" s="18">
        <f>IF($A534&gt;'1-Input'!$B$26,O533,O533-J534*(1-I534))</f>
        <v>-25884.765235515268</v>
      </c>
      <c r="P534" s="11">
        <f>IF($A534&gt;'1-Input'!$B$26,0,IF(U533&lt;=0,0,MAX(0,(U533-V533)/U533)))</f>
        <v>0.60301242196429683</v>
      </c>
      <c r="Q534" s="18">
        <f>IF($A534&gt;'1-Input'!$B$26,0,(MAX(0,P506-IF($A534&gt;='1-Input'!$C$12,'1-Input'!$B$12,0))-MIN(MAX(T533,0),MAX(0,P506-IF($A534&gt;='1-Input'!$C$12,'1-Input'!$B$12,0))))*(1/(1-'P-Parametri'!$B$6*P534))+MIN(MAX(0,U533-(MAX(0,P506-IF($A534&gt;='1-Input'!$C$12,'1-Input'!$B$12,0))-MIN(MAX(T533,0),MAX(0,P506-IF($A534&gt;='1-Input'!$C$12,'1-Input'!$B$12,0))))*(1/(1-'P-Parametri'!$B$6*P534))),MAX(0,2*P506-(T533-MIN(MAX(T533,0),MAX(0,P506-IF($A534&gt;='1-Input'!$C$12,'1-Input'!$B$12,0)))))*(1/(1-'P-Parametri'!$B$6*P534))))</f>
        <v>8524.8084822190049</v>
      </c>
      <c r="R534" s="18">
        <f>IF($A534&gt;'1-Input'!$B$26,T533,(T533-MAX(0,P506-IF($A534&gt;='1-Input'!$C$12,'1-Input'!$B$12,0))+Q534*(1-'P-Parametri'!$B$6*P534))*(1+'1-Input'!$B$27))</f>
        <v>36188.277471006419</v>
      </c>
      <c r="S534" s="18">
        <f>IF($A534&gt;'1-Input'!$B$26,U533,(U533-Q534)*(1+$C$4))</f>
        <v>89237.565150483788</v>
      </c>
      <c r="T534" s="18">
        <f>IF($A534&gt;'1-Input'!$B$26,R534,R534-'P-Parametri'!$B$8*(S534+R534)+MIN(MAX(S534,0),'P-Parametri'!$B$8*(S534+R534)))</f>
        <v>36188.277471006419</v>
      </c>
      <c r="U534" s="18">
        <f>IF($A534&gt;'1-Input'!$B$26,S534,S534-MIN(MAX(S534,0),'P-Parametri'!$B$8*(S534+R534)))</f>
        <v>88986.713465240813</v>
      </c>
      <c r="V534" s="18">
        <f>IF($A534&gt;'1-Input'!$B$26,V533,V533-Q534*(1-P534))</f>
        <v>34394.373649411486</v>
      </c>
      <c r="W534" s="11">
        <f>IF($A534&gt;'1-Input'!$B$26,0,IF(AB533&lt;=0,0,MAX(0,(AB533-AC533)/AB533)))</f>
        <v>0.60318552521045099</v>
      </c>
      <c r="X534" s="18">
        <f>IF($A534&gt;'1-Input'!$B$26,0,(MAX(0,W506-IF($A534&gt;='1-Input'!$C$12,'1-Input'!$B$12,0))-MIN(MAX(AA533,0),MAX(0,W506-IF($A534&gt;='1-Input'!$C$12,'1-Input'!$B$12,0))))*(1/(1-'P-Parametri'!$B$6*W534))+MIN(MAX(0,AB533-(MAX(0,W506-IF($A534&gt;='1-Input'!$C$12,'1-Input'!$B$12,0))-MIN(MAX(AA533,0),MAX(0,W506-IF($A534&gt;='1-Input'!$C$12,'1-Input'!$B$12,0))))*(1/(1-'P-Parametri'!$B$6*W534))),MAX(0,2*W506-(AA533-MIN(MAX(AA533,0),MAX(0,W506-IF($A534&gt;='1-Input'!$C$12,'1-Input'!$B$12,0)))))*(1/(1-'P-Parametri'!$B$6*W534))))</f>
        <v>8285.210142834665</v>
      </c>
      <c r="Y534" s="18">
        <f>IF($A534&gt;'1-Input'!$B$26,AA533,(AA533-MAX(0,W506-IF($A534&gt;='1-Input'!$C$12,'1-Input'!$B$12,0))+X534*(1-'P-Parametri'!$B$6*W534))*(1+'1-Input'!$B$27))</f>
        <v>35787.805734234928</v>
      </c>
      <c r="Z534" s="18">
        <f>IF($A534&gt;'1-Input'!$B$26,AB533,(AB533-X534)*(1+$C$4))</f>
        <v>98830.990576264172</v>
      </c>
      <c r="AA534" s="18">
        <f>IF($A534&gt;'1-Input'!$B$26,Y534,Y534-'P-Parametri'!$B$8*(Z534+Y534)+MIN(MAX(Z534,0),'P-Parametri'!$B$8*(Z534+Y534)))</f>
        <v>35787.805734234928</v>
      </c>
      <c r="AB534" s="18">
        <f>IF($A534&gt;'1-Input'!$B$26,Z534,Z534-MIN(MAX(Z534,0),'P-Parametri'!$B$8*(Z534+Y534)))</f>
        <v>98561.752983643179</v>
      </c>
      <c r="AC534" s="18">
        <f>IF($A534&gt;'1-Input'!$B$26,AC533,AC533-X534*(1-W534))</f>
        <v>38075.308367428283</v>
      </c>
      <c r="AD534" s="11">
        <f>IF($A534&gt;'1-Input'!$B$26,0,IF(AI533&lt;=0,0,MAX(0,(AI533-AJ533)/AI533)))</f>
        <v>0.60319675342016699</v>
      </c>
      <c r="AE534" s="18">
        <f>IF($A534&gt;'1-Input'!$B$26,0,(MAX(0,AD506-IF($A534&gt;='1-Input'!$C$12,'1-Input'!$B$12,0))-MIN(MAX(AH533,0),MAX(0,AD506-IF($A534&gt;='1-Input'!$C$12,'1-Input'!$B$12,0))))*(1/(1-'P-Parametri'!$B$6*AD534))+MIN(MAX(0,AI533-(MAX(0,AD506-IF($A534&gt;='1-Input'!$C$12,'1-Input'!$B$12,0))-MIN(MAX(AH533,0),MAX(0,AD506-IF($A534&gt;='1-Input'!$C$12,'1-Input'!$B$12,0))))*(1/(1-'P-Parametri'!$B$6*AD534))),MAX(0,2*AD506-(AH533-MIN(MAX(AH533,0),MAX(0,AD506-IF($A534&gt;='1-Input'!$C$12,'1-Input'!$B$12,0)))))*(1/(1-'P-Parametri'!$B$6*AD534))))</f>
        <v>8268.6960957637421</v>
      </c>
      <c r="AF534" s="18">
        <f>IF($A534&gt;'1-Input'!$B$26,AH533,(AH533-MAX(0,AD506-IF($A534&gt;='1-Input'!$C$12,'1-Input'!$B$12,0))+AE534*(1-'P-Parametri'!$B$6*AD534))*(1+'1-Input'!$B$27))</f>
        <v>35760.208229591961</v>
      </c>
      <c r="AG534" s="18">
        <f>IF($A534&gt;'1-Input'!$B$26,AI533,(AI533-AE534)*(1+$C$4))</f>
        <v>99492.115628628671</v>
      </c>
      <c r="AH534" s="18">
        <f>IF($A534&gt;'1-Input'!$B$26,AF534,AF534-'P-Parametri'!$B$8*(AG534+AF534)+MIN(MAX(AG534,0),'P-Parametri'!$B$8*(AG534+AF534)))</f>
        <v>35760.208229591961</v>
      </c>
      <c r="AI534" s="18">
        <f>IF($A534&gt;'1-Input'!$B$26,AG534,AG534-MIN(MAX(AG534,0),'P-Parametri'!$B$8*(AG534+AF534)))</f>
        <v>99221.610980912228</v>
      </c>
      <c r="AJ534" s="18">
        <f>IF($A534&gt;'1-Input'!$B$26,AJ533,AJ533-AE534*(1-AD534))</f>
        <v>38328.926689840773</v>
      </c>
      <c r="AK534" s="11">
        <f>IF($A534&gt;'1-Input'!$B$26,0,IF(AP533&lt;=0,0,MAX(0,(AP533-AQ533)/AP533)))</f>
        <v>0.603196779944143</v>
      </c>
      <c r="AL534" s="18">
        <f>IF($A534&gt;'1-Input'!$B$26,0,(MAX(0,AK506-IF($A534&gt;='1-Input'!$C$12,'1-Input'!$B$12,0))-MIN(MAX(AO533,0),MAX(0,AK506-IF($A534&gt;='1-Input'!$C$12,'1-Input'!$B$12,0))))*(1/(1-'P-Parametri'!$B$6*AK534))+MIN(MAX(0,AP533-(MAX(0,AK506-IF($A534&gt;='1-Input'!$C$12,'1-Input'!$B$12,0))-MIN(MAX(AO533,0),MAX(0,AK506-IF($A534&gt;='1-Input'!$C$12,'1-Input'!$B$12,0))))*(1/(1-'P-Parametri'!$B$6*AK534))),MAX(0,2*AK506-(AO533-MIN(MAX(AO533,0),MAX(0,AK506-IF($A534&gt;='1-Input'!$C$12,'1-Input'!$B$12,0)))))*(1/(1-'P-Parametri'!$B$6*AK534))))</f>
        <v>8268.6569383610586</v>
      </c>
      <c r="AM534" s="18">
        <f>IF($A534&gt;'1-Input'!$B$26,AO533,(AO533-MAX(0,AK506-IF($A534&gt;='1-Input'!$C$12,'1-Input'!$B$12,0))+AL534*(1-'P-Parametri'!$B$6*AK534))*(1+'1-Input'!$B$27))</f>
        <v>35760.142792219878</v>
      </c>
      <c r="AN534" s="18">
        <f>IF($A534&gt;'1-Input'!$B$26,AP533,(AP533-AL534)*(1+$C$4))</f>
        <v>99493.68324717517</v>
      </c>
      <c r="AO534" s="18">
        <f>IF($A534&gt;'1-Input'!$B$26,AM534,AM534-'P-Parametri'!$B$8*(AN534+AM534)+MIN(MAX(AN534,0),'P-Parametri'!$B$8*(AN534+AM534)))</f>
        <v>35760.142792219878</v>
      </c>
      <c r="AP534" s="18">
        <f>IF($A534&gt;'1-Input'!$B$26,AN534,AN534-MIN(MAX(AN534,0),'P-Parametri'!$B$8*(AN534+AM534)))</f>
        <v>99223.175595096385</v>
      </c>
      <c r="AQ534" s="18">
        <f>IF($A534&gt;'1-Input'!$B$26,AQ533,AQ533-AL534*(1-AK534))</f>
        <v>38329.528046307358</v>
      </c>
    </row>
    <row r="535" spans="1:43">
      <c r="A535" s="10">
        <f>27</f>
        <v>27</v>
      </c>
      <c r="B535" s="11">
        <f>IF($A535&gt;'1-Input'!$B$26,0,IF(G534&lt;=0,0,MAX(0,(G534-H534)/G534)))</f>
        <v>0.6145749049766851</v>
      </c>
      <c r="C535" s="18">
        <f>IF($A535&gt;'1-Input'!$B$26,0,(MAX(0,B506-IF($A535&gt;='1-Input'!$C$12,'1-Input'!$B$12,0))-MIN(MAX(F534,0),MAX(0,B506-IF($A535&gt;='1-Input'!$C$12,'1-Input'!$B$12,0))))*(1/(1-'P-Parametri'!$B$6*B535))+MIN(MAX(0,G534-(MAX(0,B506-IF($A535&gt;='1-Input'!$C$12,'1-Input'!$B$12,0))-MIN(MAX(F534,0),MAX(0,B506-IF($A535&gt;='1-Input'!$C$12,'1-Input'!$B$12,0))))*(1/(1-'P-Parametri'!$B$6*B535))),MAX(0,2*B506-(F534-MIN(MAX(F534,0),MAX(0,B506-IF($A535&gt;='1-Input'!$C$12,'1-Input'!$B$12,0)))))*(1/(1-'P-Parametri'!$B$6*B535))))</f>
        <v>6783.0130012771424</v>
      </c>
      <c r="D535" s="18">
        <f>IF($A535&gt;'1-Input'!$B$26,F534,(F534-MAX(0,B506-IF($A535&gt;='1-Input'!$C$12,'1-Input'!$B$12,0))+C535*(1-'P-Parametri'!$B$6*B535))*(1+'1-Input'!$B$27))</f>
        <v>33242.0070309863</v>
      </c>
      <c r="E535" s="18">
        <f>IF($A535&gt;'1-Input'!$B$26,G534,(G534-C535)*(1+$C$4))</f>
        <v>157236.52802257048</v>
      </c>
      <c r="F535" s="18">
        <f>IF($A535&gt;'1-Input'!$B$26,D535,D535-'P-Parametri'!$B$8*(E535+D535)+MIN(MAX(E535,0),'P-Parametri'!$B$8*(E535+D535)))</f>
        <v>33242.0070309863</v>
      </c>
      <c r="G535" s="18">
        <f>IF($A535&gt;'1-Input'!$B$26,E535,E535-MIN(MAX(E535,0),'P-Parametri'!$B$8*(E535+D535)))</f>
        <v>156855.57095246337</v>
      </c>
      <c r="H535" s="18">
        <f>IF($A535&gt;'1-Input'!$B$26,H534,H534-C535*(1-B535))</f>
        <v>58837.77063517995</v>
      </c>
      <c r="I535" s="11">
        <f>IF($A535&gt;'1-Input'!$B$26,0,IF(N534&lt;=0,0,MAX(0,(N534-O534)/N534)))</f>
        <v>0</v>
      </c>
      <c r="J535" s="18">
        <f>IF($A535&gt;'1-Input'!$B$26,0,(MAX(0,I506-IF($A535&gt;='1-Input'!$C$12,'1-Input'!$B$12,0))-MIN(MAX(M534,0),MAX(0,I506-IF($A535&gt;='1-Input'!$C$12,'1-Input'!$B$12,0))))*(1/(1-'P-Parametri'!$B$6*I535))+MIN(MAX(0,N534-(MAX(0,I506-IF($A535&gt;='1-Input'!$C$12,'1-Input'!$B$12,0))-MIN(MAX(M534,0),MAX(0,I506-IF($A535&gt;='1-Input'!$C$12,'1-Input'!$B$12,0))))*(1/(1-'P-Parametri'!$B$6*I535))),MAX(0,2*I506-(M534-MIN(MAX(M534,0),MAX(0,I506-IF($A535&gt;='1-Input'!$C$12,'1-Input'!$B$12,0)))))*(1/(1-'P-Parametri'!$B$6*I535))))</f>
        <v>10846.756992928691</v>
      </c>
      <c r="K535" s="18">
        <f>IF($A535&gt;'1-Input'!$B$26,M534,(M534-MAX(0,I506-IF($A535&gt;='1-Input'!$C$12,'1-Input'!$B$12,0))+J535*(1-'P-Parametri'!$B$6*I535))*(1+'1-Input'!$B$27))</f>
        <v>0</v>
      </c>
      <c r="L535" s="18">
        <f>IF($A535&gt;'1-Input'!$B$26,N534,(N534-J535)*(1+$C$4))</f>
        <v>-39150.694044320597</v>
      </c>
      <c r="M535" s="18">
        <f>IF($A535&gt;'1-Input'!$B$26,K535,K535-'P-Parametri'!$B$8*(L535+K535)+MIN(MAX(L535,0),'P-Parametri'!$B$8*(L535+K535)))</f>
        <v>0</v>
      </c>
      <c r="N535" s="18">
        <f>IF($A535&gt;'1-Input'!$B$26,L535,L535-MIN(MAX(L535,0),'P-Parametri'!$B$8*(L535+K535)))</f>
        <v>-39072.392656231954</v>
      </c>
      <c r="O535" s="18">
        <f>IF($A535&gt;'1-Input'!$B$26,O534,O534-J535*(1-I535))</f>
        <v>-36731.522228443959</v>
      </c>
      <c r="P535" s="11">
        <f>IF($A535&gt;'1-Input'!$B$26,0,IF(U534&lt;=0,0,MAX(0,(U534-V534)/U534)))</f>
        <v>0.61348866240749178</v>
      </c>
      <c r="Q535" s="18">
        <f>IF($A535&gt;'1-Input'!$B$26,0,(MAX(0,P506-IF($A535&gt;='1-Input'!$C$12,'1-Input'!$B$12,0))-MIN(MAX(T534,0),MAX(0,P506-IF($A535&gt;='1-Input'!$C$12,'1-Input'!$B$12,0))))*(1/(1-'P-Parametri'!$B$6*P535))+MIN(MAX(0,U534-(MAX(0,P506-IF($A535&gt;='1-Input'!$C$12,'1-Input'!$B$12,0))-MIN(MAX(T534,0),MAX(0,P506-IF($A535&gt;='1-Input'!$C$12,'1-Input'!$B$12,0))))*(1/(1-'P-Parametri'!$B$6*P535))),MAX(0,2*P506-(T534-MIN(MAX(T534,0),MAX(0,P506-IF($A535&gt;='1-Input'!$C$12,'1-Input'!$B$12,0)))))*(1/(1-'P-Parametri'!$B$6*P535))))</f>
        <v>8552.4352045411761</v>
      </c>
      <c r="R535" s="18">
        <f>IF($A535&gt;'1-Input'!$B$26,T534,(T534-MAX(0,P506-IF($A535&gt;='1-Input'!$C$12,'1-Input'!$B$12,0))+Q535*(1-'P-Parametri'!$B$6*P535))*(1+'1-Input'!$B$27))</f>
        <v>36188.277471006419</v>
      </c>
      <c r="S535" s="18">
        <f>IF($A535&gt;'1-Input'!$B$26,U534,(U534-Q535)*(1+$C$4))</f>
        <v>82847.306608520623</v>
      </c>
      <c r="T535" s="18">
        <f>IF($A535&gt;'1-Input'!$B$26,R535,R535-'P-Parametri'!$B$8*(S535+R535)+MIN(MAX(S535,0),'P-Parametri'!$B$8*(S535+R535)))</f>
        <v>36188.277471006419</v>
      </c>
      <c r="U535" s="18">
        <f>IF($A535&gt;'1-Input'!$B$26,S535,S535-MIN(MAX(S535,0),'P-Parametri'!$B$8*(S535+R535)))</f>
        <v>82609.235440361575</v>
      </c>
      <c r="V535" s="18">
        <f>IF($A535&gt;'1-Input'!$B$26,V534,V534-Q535*(1-P535))</f>
        <v>31088.76047883102</v>
      </c>
      <c r="W535" s="11">
        <f>IF($A535&gt;'1-Input'!$B$26,0,IF(AB534&lt;=0,0,MAX(0,(AB534-AC534)/AB534)))</f>
        <v>0.61369083630496024</v>
      </c>
      <c r="X535" s="18">
        <f>IF($A535&gt;'1-Input'!$B$26,0,(MAX(0,W506-IF($A535&gt;='1-Input'!$C$12,'1-Input'!$B$12,0))-MIN(MAX(AA534,0),MAX(0,W506-IF($A535&gt;='1-Input'!$C$12,'1-Input'!$B$12,0))))*(1/(1-'P-Parametri'!$B$6*W535))+MIN(MAX(0,AB534-(MAX(0,W506-IF($A535&gt;='1-Input'!$C$12,'1-Input'!$B$12,0))-MIN(MAX(AA534,0),MAX(0,W506-IF($A535&gt;='1-Input'!$C$12,'1-Input'!$B$12,0))))*(1/(1-'P-Parametri'!$B$6*W535))),MAX(0,2*W506-(AA534-MIN(MAX(AA534,0),MAX(0,W506-IF($A535&gt;='1-Input'!$C$12,'1-Input'!$B$12,0)))))*(1/(1-'P-Parametri'!$B$6*W535))))</f>
        <v>8312.1365793534005</v>
      </c>
      <c r="Y535" s="18">
        <f>IF($A535&gt;'1-Input'!$B$26,AA534,(AA534-MAX(0,W506-IF($A535&gt;='1-Input'!$C$12,'1-Input'!$B$12,0))+X535*(1-'P-Parametri'!$B$6*W535))*(1+'1-Input'!$B$27))</f>
        <v>35787.805734234928</v>
      </c>
      <c r="Z535" s="18">
        <f>IF($A535&gt;'1-Input'!$B$26,AB534,(AB534-X535)*(1+$C$4))</f>
        <v>92957.104896418474</v>
      </c>
      <c r="AA535" s="18">
        <f>IF($A535&gt;'1-Input'!$B$26,Y535,Y535-'P-Parametri'!$B$8*(Z535+Y535)+MIN(MAX(Z535,0),'P-Parametri'!$B$8*(Z535+Y535)))</f>
        <v>35787.805734234928</v>
      </c>
      <c r="AB535" s="18">
        <f>IF($A535&gt;'1-Input'!$B$26,Z535,Z535-MIN(MAX(Z535,0),'P-Parametri'!$B$8*(Z535+Y535)))</f>
        <v>92699.615075157169</v>
      </c>
      <c r="AC535" s="18">
        <f>IF($A535&gt;'1-Input'!$B$26,AC534,AC534-X535*(1-W535))</f>
        <v>34864.253836939322</v>
      </c>
      <c r="AD535" s="11">
        <f>IF($A535&gt;'1-Input'!$B$26,0,IF(AI534&lt;=0,0,MAX(0,(AI534-AJ534)/AI534)))</f>
        <v>0.61370384625971952</v>
      </c>
      <c r="AE535" s="18">
        <f>IF($A535&gt;'1-Input'!$B$26,0,(MAX(0,AD506-IF($A535&gt;='1-Input'!$C$12,'1-Input'!$B$12,0))-MIN(MAX(AH534,0),MAX(0,AD506-IF($A535&gt;='1-Input'!$C$12,'1-Input'!$B$12,0))))*(1/(1-'P-Parametri'!$B$6*AD535))+MIN(MAX(0,AI534-(MAX(0,AD506-IF($A535&gt;='1-Input'!$C$12,'1-Input'!$B$12,0))-MIN(MAX(AH534,0),MAX(0,AD506-IF($A535&gt;='1-Input'!$C$12,'1-Input'!$B$12,0))))*(1/(1-'P-Parametri'!$B$6*AD535))),MAX(0,2*AD506-(AH534-MIN(MAX(AH534,0),MAX(0,AD506-IF($A535&gt;='1-Input'!$C$12,'1-Input'!$B$12,0)))))*(1/(1-'P-Parametri'!$B$6*AD535))))</f>
        <v>8295.5735285293176</v>
      </c>
      <c r="AF535" s="18">
        <f>IF($A535&gt;'1-Input'!$B$26,AH534,(AH534-MAX(0,AD506-IF($A535&gt;='1-Input'!$C$12,'1-Input'!$B$12,0))+AE535*(1-'P-Parametri'!$B$6*AD535))*(1+'1-Input'!$B$27))</f>
        <v>35760.208229591961</v>
      </c>
      <c r="AG535" s="18">
        <f>IF($A535&gt;'1-Input'!$B$26,AI534,(AI534-AE535)*(1+$C$4))</f>
        <v>93653.818575954399</v>
      </c>
      <c r="AH535" s="18">
        <f>IF($A535&gt;'1-Input'!$B$26,AF535,AF535-'P-Parametri'!$B$8*(AG535+AF535)+MIN(MAX(AG535,0),'P-Parametri'!$B$8*(AG535+AF535)))</f>
        <v>35760.208229591961</v>
      </c>
      <c r="AI535" s="18">
        <f>IF($A535&gt;'1-Input'!$B$26,AG535,AG535-MIN(MAX(AG535,0),'P-Parametri'!$B$8*(AG535+AF535)))</f>
        <v>93394.990522343302</v>
      </c>
      <c r="AJ535" s="18">
        <f>IF($A535&gt;'1-Input'!$B$26,AJ534,AJ534-AE535*(1-AD535))</f>
        <v>35124.378542700208</v>
      </c>
      <c r="AK535" s="11">
        <f>IF($A535&gt;'1-Input'!$B$26,0,IF(AP534&lt;=0,0,MAX(0,(AP534-AQ534)/AP534)))</f>
        <v>0.61370387697809581</v>
      </c>
      <c r="AL535" s="18">
        <f>IF($A535&gt;'1-Input'!$B$26,0,(MAX(0,AK506-IF($A535&gt;='1-Input'!$C$12,'1-Input'!$B$12,0))-MIN(MAX(AO534,0),MAX(0,AK506-IF($A535&gt;='1-Input'!$C$12,'1-Input'!$B$12,0))))*(1/(1-'P-Parametri'!$B$6*AK535))+MIN(MAX(0,AP534-(MAX(0,AK506-IF($A535&gt;='1-Input'!$C$12,'1-Input'!$B$12,0))-MIN(MAX(AO534,0),MAX(0,AK506-IF($A535&gt;='1-Input'!$C$12,'1-Input'!$B$12,0))))*(1/(1-'P-Parametri'!$B$6*AK535))),MAX(0,2*AK506-(AO534-MIN(MAX(AO534,0),MAX(0,AK506-IF($A535&gt;='1-Input'!$C$12,'1-Input'!$B$12,0)))))*(1/(1-'P-Parametri'!$B$6*AK535))))</f>
        <v>8295.534254830085</v>
      </c>
      <c r="AM535" s="18">
        <f>IF($A535&gt;'1-Input'!$B$26,AO534,(AO534-MAX(0,AK506-IF($A535&gt;='1-Input'!$C$12,'1-Input'!$B$12,0))+AL535*(1-'P-Parametri'!$B$6*AK535))*(1+'1-Input'!$B$27))</f>
        <v>35760.142792219878</v>
      </c>
      <c r="AN535" s="18">
        <f>IF($A535&gt;'1-Input'!$B$26,AP534,(AP534-AL535)*(1+$C$4))</f>
        <v>93655.470580474299</v>
      </c>
      <c r="AO535" s="18">
        <f>IF($A535&gt;'1-Input'!$B$26,AM535,AM535-'P-Parametri'!$B$8*(AN535+AM535)+MIN(MAX(AN535,0),'P-Parametri'!$B$8*(AN535+AM535)))</f>
        <v>35760.142792219878</v>
      </c>
      <c r="AP535" s="18">
        <f>IF($A535&gt;'1-Input'!$B$26,AN535,AN535-MIN(MAX(AN535,0),'P-Parametri'!$B$8*(AN535+AM535)))</f>
        <v>93396.639353728911</v>
      </c>
      <c r="AQ535" s="18">
        <f>IF($A535&gt;'1-Input'!$B$26,AQ534,AQ534-AL535*(1-AK535))</f>
        <v>35124.995325271098</v>
      </c>
    </row>
    <row r="536" spans="1:43">
      <c r="A536" s="10">
        <f>28</f>
        <v>28</v>
      </c>
      <c r="B536" s="11">
        <f>IF($A536&gt;'1-Input'!$B$26,0,IF(G535&lt;=0,0,MAX(0,(G535-H535)/G535)))</f>
        <v>0.62489205657214875</v>
      </c>
      <c r="C536" s="18">
        <f>IF($A536&gt;'1-Input'!$B$26,0,(MAX(0,B506-IF($A536&gt;='1-Input'!$C$12,'1-Input'!$B$12,0))-MIN(MAX(F535,0),MAX(0,B506-IF($A536&gt;='1-Input'!$C$12,'1-Input'!$B$12,0))))*(1/(1-'P-Parametri'!$B$6*B536))+MIN(MAX(0,G535-(MAX(0,B506-IF($A536&gt;='1-Input'!$C$12,'1-Input'!$B$12,0))-MIN(MAX(F535,0),MAX(0,B506-IF($A536&gt;='1-Input'!$C$12,'1-Input'!$B$12,0))))*(1/(1-'P-Parametri'!$B$6*B536))),MAX(0,2*B506-(F535-MIN(MAX(F535,0),MAX(0,B506-IF($A536&gt;='1-Input'!$C$12,'1-Input'!$B$12,0)))))*(1/(1-'P-Parametri'!$B$6*B536))))</f>
        <v>6804.7378339605693</v>
      </c>
      <c r="D536" s="18">
        <f>IF($A536&gt;'1-Input'!$B$26,F535,(F535-MAX(0,B506-IF($A536&gt;='1-Input'!$C$12,'1-Input'!$B$12,0))+C536*(1-'P-Parametri'!$B$6*B536))*(1+'1-Input'!$B$27))</f>
        <v>33242.0070309863</v>
      </c>
      <c r="E536" s="18">
        <f>IF($A536&gt;'1-Input'!$B$26,G535,(G535-C536)*(1+$C$4))</f>
        <v>154552.3581120579</v>
      </c>
      <c r="F536" s="18">
        <f>IF($A536&gt;'1-Input'!$B$26,D536,D536-'P-Parametri'!$B$8*(E536+D536)+MIN(MAX(E536,0),'P-Parametri'!$B$8*(E536+D536)))</f>
        <v>33242.0070309863</v>
      </c>
      <c r="G536" s="18">
        <f>IF($A536&gt;'1-Input'!$B$26,E536,E536-MIN(MAX(E536,0),'P-Parametri'!$B$8*(E536+D536)))</f>
        <v>154176.76938177182</v>
      </c>
      <c r="H536" s="18">
        <f>IF($A536&gt;'1-Input'!$B$26,H535,H535-C536*(1-B536))</f>
        <v>56285.25942071731</v>
      </c>
      <c r="I536" s="11">
        <f>IF($A536&gt;'1-Input'!$B$26,0,IF(N535&lt;=0,0,MAX(0,(N535-O535)/N535)))</f>
        <v>0</v>
      </c>
      <c r="J536" s="18">
        <f>IF($A536&gt;'1-Input'!$B$26,0,(MAX(0,I506-IF($A536&gt;='1-Input'!$C$12,'1-Input'!$B$12,0))-MIN(MAX(M535,0),MAX(0,I506-IF($A536&gt;='1-Input'!$C$12,'1-Input'!$B$12,0))))*(1/(1-'P-Parametri'!$B$6*I536))+MIN(MAX(0,N535-(MAX(0,I506-IF($A536&gt;='1-Input'!$C$12,'1-Input'!$B$12,0))-MIN(MAX(M535,0),MAX(0,I506-IF($A536&gt;='1-Input'!$C$12,'1-Input'!$B$12,0))))*(1/(1-'P-Parametri'!$B$6*I536))),MAX(0,2*I506-(M535-MIN(MAX(M535,0),MAX(0,I506-IF($A536&gt;='1-Input'!$C$12,'1-Input'!$B$12,0)))))*(1/(1-'P-Parametri'!$B$6*I536))))</f>
        <v>10846.756992928691</v>
      </c>
      <c r="K536" s="18">
        <f>IF($A536&gt;'1-Input'!$B$26,M535,(M535-MAX(0,I506-IF($A536&gt;='1-Input'!$C$12,'1-Input'!$B$12,0))+J536*(1-'P-Parametri'!$B$6*I536))*(1+'1-Input'!$B$27))</f>
        <v>0</v>
      </c>
      <c r="L536" s="18">
        <f>IF($A536&gt;'1-Input'!$B$26,N535,(N535-J536)*(1+$C$4))</f>
        <v>-51416.724138635465</v>
      </c>
      <c r="M536" s="18">
        <f>IF($A536&gt;'1-Input'!$B$26,K536,K536-'P-Parametri'!$B$8*(L536+K536)+MIN(MAX(L536,0),'P-Parametri'!$B$8*(L536+K536)))</f>
        <v>0</v>
      </c>
      <c r="N536" s="18">
        <f>IF($A536&gt;'1-Input'!$B$26,L536,L536-MIN(MAX(L536,0),'P-Parametri'!$B$8*(L536+K536)))</f>
        <v>-51313.890690358196</v>
      </c>
      <c r="O536" s="18">
        <f>IF($A536&gt;'1-Input'!$B$26,O535,O535-J536*(1-I536))</f>
        <v>-47578.27922137265</v>
      </c>
      <c r="P536" s="11">
        <f>IF($A536&gt;'1-Input'!$B$26,0,IF(U535&lt;=0,0,MAX(0,(U535-V535)/U535)))</f>
        <v>0.62366483222962332</v>
      </c>
      <c r="Q536" s="18">
        <f>IF($A536&gt;'1-Input'!$B$26,0,(MAX(0,P506-IF($A536&gt;='1-Input'!$C$12,'1-Input'!$B$12,0))-MIN(MAX(T535,0),MAX(0,P506-IF($A536&gt;='1-Input'!$C$12,'1-Input'!$B$12,0))))*(1/(1-'P-Parametri'!$B$6*P536))+MIN(MAX(0,U535-(MAX(0,P506-IF($A536&gt;='1-Input'!$C$12,'1-Input'!$B$12,0))-MIN(MAX(T535,0),MAX(0,P506-IF($A536&gt;='1-Input'!$C$12,'1-Input'!$B$12,0))))*(1/(1-'P-Parametri'!$B$6*P536))),MAX(0,2*P506-(T535-MIN(MAX(T535,0),MAX(0,P506-IF($A536&gt;='1-Input'!$C$12,'1-Input'!$B$12,0)))))*(1/(1-'P-Parametri'!$B$6*P536))))</f>
        <v>8579.4425993400819</v>
      </c>
      <c r="R536" s="18">
        <f>IF($A536&gt;'1-Input'!$B$26,T535,(T535-MAX(0,P506-IF($A536&gt;='1-Input'!$C$12,'1-Input'!$B$12,0))+Q536*(1-'P-Parametri'!$B$6*P536))*(1+'1-Input'!$B$27))</f>
        <v>36188.277471006419</v>
      </c>
      <c r="S536" s="18">
        <f>IF($A536&gt;'1-Input'!$B$26,U535,(U535-Q536)*(1+$C$4))</f>
        <v>76250.686626252136</v>
      </c>
      <c r="T536" s="18">
        <f>IF($A536&gt;'1-Input'!$B$26,R536,R536-'P-Parametri'!$B$8*(S536+R536)+MIN(MAX(S536,0),'P-Parametri'!$B$8*(S536+R536)))</f>
        <v>36188.277471006419</v>
      </c>
      <c r="U536" s="18">
        <f>IF($A536&gt;'1-Input'!$B$26,S536,S536-MIN(MAX(S536,0),'P-Parametri'!$B$8*(S536+R536)))</f>
        <v>76025.808698057619</v>
      </c>
      <c r="V536" s="18">
        <f>IF($A536&gt;'1-Input'!$B$26,V535,V535-Q536*(1-P536))</f>
        <v>27860.014508832053</v>
      </c>
      <c r="W536" s="11">
        <f>IF($A536&gt;'1-Input'!$B$26,0,IF(AB535&lt;=0,0,MAX(0,(AB535-AC535)/AB535)))</f>
        <v>0.62390077015235967</v>
      </c>
      <c r="X536" s="18">
        <f>IF($A536&gt;'1-Input'!$B$26,0,(MAX(0,W506-IF($A536&gt;='1-Input'!$C$12,'1-Input'!$B$12,0))-MIN(MAX(AA535,0),MAX(0,W506-IF($A536&gt;='1-Input'!$C$12,'1-Input'!$B$12,0))))*(1/(1-'P-Parametri'!$B$6*W536))+MIN(MAX(0,AB535-(MAX(0,W506-IF($A536&gt;='1-Input'!$C$12,'1-Input'!$B$12,0))-MIN(MAX(AA535,0),MAX(0,W506-IF($A536&gt;='1-Input'!$C$12,'1-Input'!$B$12,0))))*(1/(1-'P-Parametri'!$B$6*W536))),MAX(0,2*W506-(AA535-MIN(MAX(AA535,0),MAX(0,W506-IF($A536&gt;='1-Input'!$C$12,'1-Input'!$B$12,0)))))*(1/(1-'P-Parametri'!$B$6*W536))))</f>
        <v>8338.4741644542773</v>
      </c>
      <c r="Y536" s="18">
        <f>IF($A536&gt;'1-Input'!$B$26,AA535,(AA535-MAX(0,W506-IF($A536&gt;='1-Input'!$C$12,'1-Input'!$B$12,0))+X536*(1-'P-Parametri'!$B$6*W536))*(1+'1-Input'!$B$27))</f>
        <v>35787.805734234928</v>
      </c>
      <c r="Z536" s="18">
        <f>IF($A536&gt;'1-Input'!$B$26,AB535,(AB535-X536)*(1+$C$4))</f>
        <v>86891.975138023976</v>
      </c>
      <c r="AA536" s="18">
        <f>IF($A536&gt;'1-Input'!$B$26,Y536,Y536-'P-Parametri'!$B$8*(Z536+Y536)+MIN(MAX(Z536,0),'P-Parametri'!$B$8*(Z536+Y536)))</f>
        <v>35787.805734234928</v>
      </c>
      <c r="AB536" s="18">
        <f>IF($A536&gt;'1-Input'!$B$26,Z536,Z536-MIN(MAX(Z536,0),'P-Parametri'!$B$8*(Z536+Y536)))</f>
        <v>86646.615576279451</v>
      </c>
      <c r="AC536" s="18">
        <f>IF($A536&gt;'1-Input'!$B$26,AC535,AC535-X536*(1-W536))</f>
        <v>31728.160125583621</v>
      </c>
      <c r="AD536" s="11">
        <f>IF($A536&gt;'1-Input'!$B$26,0,IF(AI535&lt;=0,0,MAX(0,(AI535-AJ535)/AI535)))</f>
        <v>0.62391581875799595</v>
      </c>
      <c r="AE536" s="18">
        <f>IF($A536&gt;'1-Input'!$B$26,0,(MAX(0,AD506-IF($A536&gt;='1-Input'!$C$12,'1-Input'!$B$12,0))-MIN(MAX(AH535,0),MAX(0,AD506-IF($A536&gt;='1-Input'!$C$12,'1-Input'!$B$12,0))))*(1/(1-'P-Parametri'!$B$6*AD536))+MIN(MAX(0,AI535-(MAX(0,AD506-IF($A536&gt;='1-Input'!$C$12,'1-Input'!$B$12,0))-MIN(MAX(AH535,0),MAX(0,AD506-IF($A536&gt;='1-Input'!$C$12,'1-Input'!$B$12,0))))*(1/(1-'P-Parametri'!$B$6*AD536))),MAX(0,2*AD506-(AH535-MIN(MAX(AH535,0),MAX(0,AD506-IF($A536&gt;='1-Input'!$C$12,'1-Input'!$B$12,0)))))*(1/(1-'P-Parametri'!$B$6*AD536))))</f>
        <v>8321.86400366198</v>
      </c>
      <c r="AF536" s="18">
        <f>IF($A536&gt;'1-Input'!$B$26,AH535,(AH535-MAX(0,AD506-IF($A536&gt;='1-Input'!$C$12,'1-Input'!$B$12,0))+AE536*(1-'P-Parametri'!$B$6*AD536))*(1+'1-Input'!$B$27))</f>
        <v>35760.208229591961</v>
      </c>
      <c r="AG536" s="18">
        <f>IF($A536&gt;'1-Input'!$B$26,AI535,(AI535-AE536)*(1+$C$4))</f>
        <v>87625.320314241762</v>
      </c>
      <c r="AH536" s="18">
        <f>IF($A536&gt;'1-Input'!$B$26,AF536,AF536-'P-Parametri'!$B$8*(AG536+AF536)+MIN(MAX(AG536,0),'P-Parametri'!$B$8*(AG536+AF536)))</f>
        <v>35760.208229591961</v>
      </c>
      <c r="AI536" s="18">
        <f>IF($A536&gt;'1-Input'!$B$26,AG536,AG536-MIN(MAX(AG536,0),'P-Parametri'!$B$8*(AG536+AF536)))</f>
        <v>87378.549257154096</v>
      </c>
      <c r="AJ536" s="18">
        <f>IF($A536&gt;'1-Input'!$B$26,AJ535,AJ535-AE536*(1-AD536))</f>
        <v>31994.657132475688</v>
      </c>
      <c r="AK536" s="11">
        <f>IF($A536&gt;'1-Input'!$B$26,0,IF(AP535&lt;=0,0,MAX(0,(AP535-AQ535)/AP535)))</f>
        <v>0.62391585427138052</v>
      </c>
      <c r="AL536" s="18">
        <f>IF($A536&gt;'1-Input'!$B$26,0,(MAX(0,AK506-IF($A536&gt;='1-Input'!$C$12,'1-Input'!$B$12,0))-MIN(MAX(AO535,0),MAX(0,AK506-IF($A536&gt;='1-Input'!$C$12,'1-Input'!$B$12,0))))*(1/(1-'P-Parametri'!$B$6*AK536))+MIN(MAX(0,AP535-(MAX(0,AK506-IF($A536&gt;='1-Input'!$C$12,'1-Input'!$B$12,0))-MIN(MAX(AO535,0),MAX(0,AK506-IF($A536&gt;='1-Input'!$C$12,'1-Input'!$B$12,0))))*(1/(1-'P-Parametri'!$B$6*AK536))),MAX(0,2*AK506-(AO535-MIN(MAX(AO535,0),MAX(0,AK506-IF($A536&gt;='1-Input'!$C$12,'1-Input'!$B$12,0)))))*(1/(1-'P-Parametri'!$B$6*AK536))))</f>
        <v>8321.8246181301893</v>
      </c>
      <c r="AM536" s="18">
        <f>IF($A536&gt;'1-Input'!$B$26,AO535,(AO535-MAX(0,AK506-IF($A536&gt;='1-Input'!$C$12,'1-Input'!$B$12,0))+AL536*(1-'P-Parametri'!$B$6*AK536))*(1+'1-Input'!$B$27))</f>
        <v>35760.142792219878</v>
      </c>
      <c r="AN536" s="18">
        <f>IF($A536&gt;'1-Input'!$B$26,AP535,(AP535-AL536)*(1+$C$4))</f>
        <v>87627.059177666684</v>
      </c>
      <c r="AO536" s="18">
        <f>IF($A536&gt;'1-Input'!$B$26,AM536,AM536-'P-Parametri'!$B$8*(AN536+AM536)+MIN(MAX(AN536,0),'P-Parametri'!$B$8*(AN536+AM536)))</f>
        <v>35760.142792219878</v>
      </c>
      <c r="AP536" s="18">
        <f>IF($A536&gt;'1-Input'!$B$26,AN536,AN536-MIN(MAX(AN536,0),'P-Parametri'!$B$8*(AN536+AM536)))</f>
        <v>87380.284773726904</v>
      </c>
      <c r="AQ536" s="18">
        <f>IF($A536&gt;'1-Input'!$B$26,AQ535,AQ535-AL536*(1-AK536))</f>
        <v>31995.289022858211</v>
      </c>
    </row>
    <row r="537" spans="1:43">
      <c r="A537" s="10">
        <f>29</f>
        <v>29</v>
      </c>
      <c r="B537" s="11">
        <f>IF($A537&gt;'1-Input'!$B$26,0,IF(G536&lt;=0,0,MAX(0,(G536-H536)/G536)))</f>
        <v>0.6349303488040795</v>
      </c>
      <c r="C537" s="18">
        <f>IF($A537&gt;'1-Input'!$B$26,0,(MAX(0,B506-IF($A537&gt;='1-Input'!$C$12,'1-Input'!$B$12,0))-MIN(MAX(F536,0),MAX(0,B506-IF($A537&gt;='1-Input'!$C$12,'1-Input'!$B$12,0))))*(1/(1-'P-Parametri'!$B$6*B537))+MIN(MAX(0,G536-(MAX(0,B506-IF($A537&gt;='1-Input'!$C$12,'1-Input'!$B$12,0))-MIN(MAX(F536,0),MAX(0,B506-IF($A537&gt;='1-Input'!$C$12,'1-Input'!$B$12,0))))*(1/(1-'P-Parametri'!$B$6*B537))),MAX(0,2*B506-(F536-MIN(MAX(F536,0),MAX(0,B506-IF($A537&gt;='1-Input'!$C$12,'1-Input'!$B$12,0)))))*(1/(1-'P-Parametri'!$B$6*B537))))</f>
        <v>6826.0094604902524</v>
      </c>
      <c r="D537" s="18">
        <f>IF($A537&gt;'1-Input'!$B$26,F536,(F536-MAX(0,B506-IF($A537&gt;='1-Input'!$C$12,'1-Input'!$B$12,0))+C537*(1-'P-Parametri'!$B$6*B537))*(1+'1-Input'!$B$27))</f>
        <v>33242.0070309863</v>
      </c>
      <c r="E537" s="18">
        <f>IF($A537&gt;'1-Input'!$B$26,G536,(G536-C537)*(1+$C$4))</f>
        <v>151771.28271892003</v>
      </c>
      <c r="F537" s="18">
        <f>IF($A537&gt;'1-Input'!$B$26,D537,D537-'P-Parametri'!$B$8*(E537+D537)+MIN(MAX(E537,0),'P-Parametri'!$B$8*(E537+D537)))</f>
        <v>33242.0070309863</v>
      </c>
      <c r="G537" s="18">
        <f>IF($A537&gt;'1-Input'!$B$26,E537,E537-MIN(MAX(E537,0),'P-Parametri'!$B$8*(E537+D537)))</f>
        <v>151401.25613942021</v>
      </c>
      <c r="H537" s="18">
        <f>IF($A537&gt;'1-Input'!$B$26,H536,H536-C537*(1-B537))</f>
        <v>53793.290527916077</v>
      </c>
      <c r="I537" s="11">
        <f>IF($A537&gt;'1-Input'!$B$26,0,IF(N536&lt;=0,0,MAX(0,(N536-O536)/N536)))</f>
        <v>0</v>
      </c>
      <c r="J537" s="18">
        <f>IF($A537&gt;'1-Input'!$B$26,0,(MAX(0,I506-IF($A537&gt;='1-Input'!$C$12,'1-Input'!$B$12,0))-MIN(MAX(M536,0),MAX(0,I506-IF($A537&gt;='1-Input'!$C$12,'1-Input'!$B$12,0))))*(1/(1-'P-Parametri'!$B$6*I537))+MIN(MAX(0,N536-(MAX(0,I506-IF($A537&gt;='1-Input'!$C$12,'1-Input'!$B$12,0))-MIN(MAX(M536,0),MAX(0,I506-IF($A537&gt;='1-Input'!$C$12,'1-Input'!$B$12,0))))*(1/(1-'P-Parametri'!$B$6*I537))),MAX(0,2*I506-(M536-MIN(MAX(M536,0),MAX(0,I506-IF($A537&gt;='1-Input'!$C$12,'1-Input'!$B$12,0)))))*(1/(1-'P-Parametri'!$B$6*I537))))</f>
        <v>10846.756992928691</v>
      </c>
      <c r="K537" s="18">
        <f>IF($A537&gt;'1-Input'!$B$26,M536,(M536-MAX(0,I506-IF($A537&gt;='1-Input'!$C$12,'1-Input'!$B$12,0))+J537*(1-'P-Parametri'!$B$6*I537))*(1+'1-Input'!$B$27))</f>
        <v>0</v>
      </c>
      <c r="L537" s="18">
        <f>IF($A537&gt;'1-Input'!$B$26,N536,(N536-J537)*(1+$C$4))</f>
        <v>-64025.467113785497</v>
      </c>
      <c r="M537" s="18">
        <f>IF($A537&gt;'1-Input'!$B$26,K537,K537-'P-Parametri'!$B$8*(L537+K537)+MIN(MAX(L537,0),'P-Parametri'!$B$8*(L537+K537)))</f>
        <v>0</v>
      </c>
      <c r="N537" s="18">
        <f>IF($A537&gt;'1-Input'!$B$26,L537,L537-MIN(MAX(L537,0),'P-Parametri'!$B$8*(L537+K537)))</f>
        <v>-63897.416179557928</v>
      </c>
      <c r="O537" s="18">
        <f>IF($A537&gt;'1-Input'!$B$26,O536,O536-J537*(1-I537))</f>
        <v>-58425.036214301341</v>
      </c>
      <c r="P537" s="11">
        <f>IF($A537&gt;'1-Input'!$B$26,0,IF(U536&lt;=0,0,MAX(0,(U536-V536)/U536)))</f>
        <v>0.63354530539122234</v>
      </c>
      <c r="Q537" s="18">
        <f>IF($A537&gt;'1-Input'!$B$26,0,(MAX(0,P506-IF($A537&gt;='1-Input'!$C$12,'1-Input'!$B$12,0))-MIN(MAX(T536,0),MAX(0,P506-IF($A537&gt;='1-Input'!$C$12,'1-Input'!$B$12,0))))*(1/(1-'P-Parametri'!$B$6*P537))+MIN(MAX(0,U536-(MAX(0,P506-IF($A537&gt;='1-Input'!$C$12,'1-Input'!$B$12,0))-MIN(MAX(T536,0),MAX(0,P506-IF($A537&gt;='1-Input'!$C$12,'1-Input'!$B$12,0))))*(1/(1-'P-Parametri'!$B$6*P537))),MAX(0,2*P506-(T536-MIN(MAX(T536,0),MAX(0,P506-IF($A537&gt;='1-Input'!$C$12,'1-Input'!$B$12,0)))))*(1/(1-'P-Parametri'!$B$6*P537))))</f>
        <v>8605.8289303445235</v>
      </c>
      <c r="R537" s="18">
        <f>IF($A537&gt;'1-Input'!$B$26,T536,(T536-MAX(0,P506-IF($A537&gt;='1-Input'!$C$12,'1-Input'!$B$12,0))+Q537*(1-'P-Parametri'!$B$6*P537))*(1+'1-Input'!$B$27))</f>
        <v>36188.277471006419</v>
      </c>
      <c r="S537" s="18">
        <f>IF($A537&gt;'1-Input'!$B$26,U536,(U536-Q537)*(1+$C$4))</f>
        <v>69442.579160744499</v>
      </c>
      <c r="T537" s="18">
        <f>IF($A537&gt;'1-Input'!$B$26,R537,R537-'P-Parametri'!$B$8*(S537+R537)+MIN(MAX(S537,0),'P-Parametri'!$B$8*(S537+R537)))</f>
        <v>36188.277471006419</v>
      </c>
      <c r="U537" s="18">
        <f>IF($A537&gt;'1-Input'!$B$26,S537,S537-MIN(MAX(S537,0),'P-Parametri'!$B$8*(S537+R537)))</f>
        <v>69231.317447480993</v>
      </c>
      <c r="V537" s="18">
        <f>IF($A537&gt;'1-Input'!$B$26,V536,V536-Q537*(1-P537))</f>
        <v>24706.368096307266</v>
      </c>
      <c r="W537" s="11">
        <f>IF($A537&gt;'1-Input'!$B$26,0,IF(AB536&lt;=0,0,MAX(0,(AB536-AC536)/AB536)))</f>
        <v>0.6338211260236507</v>
      </c>
      <c r="X537" s="18">
        <f>IF($A537&gt;'1-Input'!$B$26,0,(MAX(0,W506-IF($A537&gt;='1-Input'!$C$12,'1-Input'!$B$12,0))-MIN(MAX(AA536,0),MAX(0,W506-IF($A537&gt;='1-Input'!$C$12,'1-Input'!$B$12,0))))*(1/(1-'P-Parametri'!$B$6*W537))+MIN(MAX(0,AB536-(MAX(0,W506-IF($A537&gt;='1-Input'!$C$12,'1-Input'!$B$12,0))-MIN(MAX(AA536,0),MAX(0,W506-IF($A537&gt;='1-Input'!$C$12,'1-Input'!$B$12,0))))*(1/(1-'P-Parametri'!$B$6*W537))),MAX(0,2*W506-(AA536-MIN(MAX(AA536,0),MAX(0,W506-IF($A537&gt;='1-Input'!$C$12,'1-Input'!$B$12,0)))))*(1/(1-'P-Parametri'!$B$6*W537))))</f>
        <v>8364.2251181511274</v>
      </c>
      <c r="Y537" s="18">
        <f>IF($A537&gt;'1-Input'!$B$26,AA536,(AA536-MAX(0,W506-IF($A537&gt;='1-Input'!$C$12,'1-Input'!$B$12,0))+X537*(1-'P-Parametri'!$B$6*W537))*(1+'1-Input'!$B$27))</f>
        <v>35787.805734234928</v>
      </c>
      <c r="Z537" s="18">
        <f>IF($A537&gt;'1-Input'!$B$26,AB536,(AB536-X537)*(1+$C$4))</f>
        <v>80630.862171872184</v>
      </c>
      <c r="AA537" s="18">
        <f>IF($A537&gt;'1-Input'!$B$26,Y537,Y537-'P-Parametri'!$B$8*(Z537+Y537)+MIN(MAX(Z537,0),'P-Parametri'!$B$8*(Z537+Y537)))</f>
        <v>35787.805734234928</v>
      </c>
      <c r="AB537" s="18">
        <f>IF($A537&gt;'1-Input'!$B$26,Z537,Z537-MIN(MAX(Z537,0),'P-Parametri'!$B$8*(Z537+Y537)))</f>
        <v>80398.024836059965</v>
      </c>
      <c r="AC537" s="18">
        <f>IF($A537&gt;'1-Input'!$B$26,AC536,AC536-X537*(1-W537))</f>
        <v>28665.357590134343</v>
      </c>
      <c r="AD537" s="11">
        <f>IF($A537&gt;'1-Input'!$B$26,0,IF(AI536&lt;=0,0,MAX(0,(AI536-AJ536)/AI536)))</f>
        <v>0.63383854041435539</v>
      </c>
      <c r="AE537" s="18">
        <f>IF($A537&gt;'1-Input'!$B$26,0,(MAX(0,AD506-IF($A537&gt;='1-Input'!$C$12,'1-Input'!$B$12,0))-MIN(MAX(AH536,0),MAX(0,AD506-IF($A537&gt;='1-Input'!$C$12,'1-Input'!$B$12,0))))*(1/(1-'P-Parametri'!$B$6*AD537))+MIN(MAX(0,AI536-(MAX(0,AD506-IF($A537&gt;='1-Input'!$C$12,'1-Input'!$B$12,0))-MIN(MAX(AH536,0),MAX(0,AD506-IF($A537&gt;='1-Input'!$C$12,'1-Input'!$B$12,0))))*(1/(1-'P-Parametri'!$B$6*AD537))),MAX(0,2*AD506-(AH536-MIN(MAX(AH536,0),MAX(0,AD506-IF($A537&gt;='1-Input'!$C$12,'1-Input'!$B$12,0)))))*(1/(1-'P-Parametri'!$B$6*AD537))))</f>
        <v>8347.5699298588479</v>
      </c>
      <c r="AF537" s="18">
        <f>IF($A537&gt;'1-Input'!$B$26,AH536,(AH536-MAX(0,AD506-IF($A537&gt;='1-Input'!$C$12,'1-Input'!$B$12,0))+AE537*(1-'P-Parametri'!$B$6*AD537))*(1+'1-Input'!$B$27))</f>
        <v>35760.208229591961</v>
      </c>
      <c r="AG537" s="18">
        <f>IF($A537&gt;'1-Input'!$B$26,AI536,(AI536-AE537)*(1+$C$4))</f>
        <v>81401.908707114111</v>
      </c>
      <c r="AH537" s="18">
        <f>IF($A537&gt;'1-Input'!$B$26,AF537,AF537-'P-Parametri'!$B$8*(AG537+AF537)+MIN(MAX(AG537,0),'P-Parametri'!$B$8*(AG537+AF537)))</f>
        <v>35760.208229591961</v>
      </c>
      <c r="AI537" s="18">
        <f>IF($A537&gt;'1-Input'!$B$26,AG537,AG537-MIN(MAX(AG537,0),'P-Parametri'!$B$8*(AG537+AF537)))</f>
        <v>81167.584473240699</v>
      </c>
      <c r="AJ537" s="18">
        <f>IF($A537&gt;'1-Input'!$B$26,AJ536,AJ536-AE537*(1-AD537))</f>
        <v>28938.098742965336</v>
      </c>
      <c r="AK537" s="11">
        <f>IF($A537&gt;'1-Input'!$B$26,0,IF(AP536&lt;=0,0,MAX(0,(AP536-AQ536)/AP536)))</f>
        <v>0.63383858148653682</v>
      </c>
      <c r="AL537" s="18">
        <f>IF($A537&gt;'1-Input'!$B$26,0,(MAX(0,AK506-IF($A537&gt;='1-Input'!$C$12,'1-Input'!$B$12,0))-MIN(MAX(AO536,0),MAX(0,AK506-IF($A537&gt;='1-Input'!$C$12,'1-Input'!$B$12,0))))*(1/(1-'P-Parametri'!$B$6*AK537))+MIN(MAX(0,AP536-(MAX(0,AK506-IF($A537&gt;='1-Input'!$C$12,'1-Input'!$B$12,0))-MIN(MAX(AO536,0),MAX(0,AK506-IF($A537&gt;='1-Input'!$C$12,'1-Input'!$B$12,0))))*(1/(1-'P-Parametri'!$B$6*AK537))),MAX(0,2*AK506-(AO536-MIN(MAX(AO536,0),MAX(0,AK506-IF($A537&gt;='1-Input'!$C$12,'1-Input'!$B$12,0)))))*(1/(1-'P-Parametri'!$B$6*AK537))))</f>
        <v>8347.5304373959189</v>
      </c>
      <c r="AM537" s="18">
        <f>IF($A537&gt;'1-Input'!$B$26,AO536,(AO536-MAX(0,AK506-IF($A537&gt;='1-Input'!$C$12,'1-Input'!$B$12,0))+AL537*(1-'P-Parametri'!$B$6*AK537))*(1+'1-Input'!$B$27))</f>
        <v>35760.142792219878</v>
      </c>
      <c r="AN537" s="18">
        <f>IF($A537&gt;'1-Input'!$B$26,AP536,(AP536-AL537)*(1+$C$4))</f>
        <v>81403.736966420911</v>
      </c>
      <c r="AO537" s="18">
        <f>IF($A537&gt;'1-Input'!$B$26,AM537,AM537-'P-Parametri'!$B$8*(AN537+AM537)+MIN(MAX(AN537,0),'P-Parametri'!$B$8*(AN537+AM537)))</f>
        <v>35760.142792219878</v>
      </c>
      <c r="AP537" s="18">
        <f>IF($A537&gt;'1-Input'!$B$26,AN537,AN537-MIN(MAX(AN537,0),'P-Parametri'!$B$8*(AN537+AM537)))</f>
        <v>81169.409206903627</v>
      </c>
      <c r="AQ537" s="18">
        <f>IF($A537&gt;'1-Input'!$B$26,AQ536,AQ536-AL537*(1-AK537))</f>
        <v>28938.745436817011</v>
      </c>
    </row>
    <row r="538" spans="1:43">
      <c r="A538" s="10">
        <f>30</f>
        <v>30</v>
      </c>
      <c r="B538" s="11">
        <f>IF($A538&gt;'1-Input'!$B$26,0,IF(G537&lt;=0,0,MAX(0,(G537-H537)/G537)))</f>
        <v>0.6446971980313051</v>
      </c>
      <c r="C538" s="18">
        <f>IF($A538&gt;'1-Input'!$B$26,0,(MAX(0,B506-IF($A538&gt;='1-Input'!$C$12,'1-Input'!$B$12,0))-MIN(MAX(F537,0),MAX(0,B506-IF($A538&gt;='1-Input'!$C$12,'1-Input'!$B$12,0))))*(1/(1-'P-Parametri'!$B$6*B538))+MIN(MAX(0,G537-(MAX(0,B506-IF($A538&gt;='1-Input'!$C$12,'1-Input'!$B$12,0))-MIN(MAX(F537,0),MAX(0,B506-IF($A538&gt;='1-Input'!$C$12,'1-Input'!$B$12,0))))*(1/(1-'P-Parametri'!$B$6*B538))),MAX(0,2*B506-(F537-MIN(MAX(F537,0),MAX(0,B506-IF($A538&gt;='1-Input'!$C$12,'1-Input'!$B$12,0)))))*(1/(1-'P-Parametri'!$B$6*B538))))</f>
        <v>6846.8339202758698</v>
      </c>
      <c r="D538" s="18">
        <f>IF($A538&gt;'1-Input'!$B$26,F537,(F537-MAX(0,B506-IF($A538&gt;='1-Input'!$C$12,'1-Input'!$B$12,0))+C538*(1-'P-Parametri'!$B$6*B538))*(1+'1-Input'!$B$27))</f>
        <v>33242.0070309863</v>
      </c>
      <c r="E538" s="18">
        <f>IF($A538&gt;'1-Input'!$B$26,G537,(G537-C538)*(1+$C$4))</f>
        <v>148891.05488571865</v>
      </c>
      <c r="F538" s="18">
        <f>IF($A538&gt;'1-Input'!$B$26,D538,D538-'P-Parametri'!$B$8*(E538+D538)+MIN(MAX(E538,0),'P-Parametri'!$B$8*(E538+D538)))</f>
        <v>33242.0070309863</v>
      </c>
      <c r="G538" s="18">
        <f>IF($A538&gt;'1-Input'!$B$26,E538,E538-MIN(MAX(E538,0),'P-Parametri'!$B$8*(E538+D538)))</f>
        <v>148526.78876188525</v>
      </c>
      <c r="H538" s="18">
        <f>IF($A538&gt;'1-Input'!$B$26,H537,H537-C538*(1-B538))</f>
        <v>51360.591251427759</v>
      </c>
      <c r="I538" s="11">
        <f>IF($A538&gt;'1-Input'!$B$26,0,IF(N537&lt;=0,0,MAX(0,(N537-O537)/N537)))</f>
        <v>0</v>
      </c>
      <c r="J538" s="18">
        <f>IF($A538&gt;'1-Input'!$B$26,0,(MAX(0,I506-IF($A538&gt;='1-Input'!$C$12,'1-Input'!$B$12,0))-MIN(MAX(M537,0),MAX(0,I506-IF($A538&gt;='1-Input'!$C$12,'1-Input'!$B$12,0))))*(1/(1-'P-Parametri'!$B$6*I538))+MIN(MAX(0,N537-(MAX(0,I506-IF($A538&gt;='1-Input'!$C$12,'1-Input'!$B$12,0))-MIN(MAX(M537,0),MAX(0,I506-IF($A538&gt;='1-Input'!$C$12,'1-Input'!$B$12,0))))*(1/(1-'P-Parametri'!$B$6*I538))),MAX(0,2*I506-(M537-MIN(MAX(M537,0),MAX(0,I506-IF($A538&gt;='1-Input'!$C$12,'1-Input'!$B$12,0)))))*(1/(1-'P-Parametri'!$B$6*I538))))</f>
        <v>10846.756992928691</v>
      </c>
      <c r="K538" s="18">
        <f>IF($A538&gt;'1-Input'!$B$26,M537,(M537-MAX(0,I506-IF($A538&gt;='1-Input'!$C$12,'1-Input'!$B$12,0))+J538*(1-'P-Parametri'!$B$6*I538))*(1+'1-Input'!$B$27))</f>
        <v>0</v>
      </c>
      <c r="L538" s="18">
        <f>IF($A538&gt;'1-Input'!$B$26,N537,(N537-J538)*(1+$C$4))</f>
        <v>-76986.498367661232</v>
      </c>
      <c r="M538" s="18">
        <f>IF($A538&gt;'1-Input'!$B$26,K538,K538-'P-Parametri'!$B$8*(L538+K538)+MIN(MAX(L538,0),'P-Parametri'!$B$8*(L538+K538)))</f>
        <v>0</v>
      </c>
      <c r="N538" s="18">
        <f>IF($A538&gt;'1-Input'!$B$26,L538,L538-MIN(MAX(L538,0),'P-Parametri'!$B$8*(L538+K538)))</f>
        <v>-76832.525370925912</v>
      </c>
      <c r="O538" s="18">
        <f>IF($A538&gt;'1-Input'!$B$26,O537,O537-J538*(1-I538))</f>
        <v>-69271.793207230032</v>
      </c>
      <c r="P538" s="11">
        <f>IF($A538&gt;'1-Input'!$B$26,0,IF(U537&lt;=0,0,MAX(0,(U537-V537)/U537)))</f>
        <v>0.64313306452604246</v>
      </c>
      <c r="Q538" s="18">
        <f>IF($A538&gt;'1-Input'!$B$26,0,(MAX(0,P506-IF($A538&gt;='1-Input'!$C$12,'1-Input'!$B$12,0))-MIN(MAX(T537,0),MAX(0,P506-IF($A538&gt;='1-Input'!$C$12,'1-Input'!$B$12,0))))*(1/(1-'P-Parametri'!$B$6*P538))+MIN(MAX(0,U537-(MAX(0,P506-IF($A538&gt;='1-Input'!$C$12,'1-Input'!$B$12,0))-MIN(MAX(T537,0),MAX(0,P506-IF($A538&gt;='1-Input'!$C$12,'1-Input'!$B$12,0))))*(1/(1-'P-Parametri'!$B$6*P538))),MAX(0,2*P506-(T537-MIN(MAX(T537,0),MAX(0,P506-IF($A538&gt;='1-Input'!$C$12,'1-Input'!$B$12,0)))))*(1/(1-'P-Parametri'!$B$6*P538))))</f>
        <v>8631.5891799853889</v>
      </c>
      <c r="R538" s="18">
        <f>IF($A538&gt;'1-Input'!$B$26,T537,(T537-MAX(0,P506-IF($A538&gt;='1-Input'!$C$12,'1-Input'!$B$12,0))+Q538*(1-'P-Parametri'!$B$6*P538))*(1+'1-Input'!$B$27))</f>
        <v>36188.277471006419</v>
      </c>
      <c r="S538" s="18">
        <f>IF($A538&gt;'1-Input'!$B$26,U537,(U537-Q538)*(1+$C$4))</f>
        <v>62417.720115520475</v>
      </c>
      <c r="T538" s="18">
        <f>IF($A538&gt;'1-Input'!$B$26,R538,R538-'P-Parametri'!$B$8*(S538+R538)+MIN(MAX(S538,0),'P-Parametri'!$B$8*(S538+R538)))</f>
        <v>36188.277471006419</v>
      </c>
      <c r="U538" s="18">
        <f>IF($A538&gt;'1-Input'!$B$26,S538,S538-MIN(MAX(S538,0),'P-Parametri'!$B$8*(S538+R538)))</f>
        <v>62220.508120347418</v>
      </c>
      <c r="V538" s="18">
        <f>IF($A538&gt;'1-Input'!$B$26,V537,V537-Q538*(1-P538))</f>
        <v>21626.039317375711</v>
      </c>
      <c r="W538" s="11">
        <f>IF($A538&gt;'1-Input'!$B$26,0,IF(AB537&lt;=0,0,MAX(0,(AB537-AC537)/AB537)))</f>
        <v>0.64345694252332664</v>
      </c>
      <c r="X538" s="18">
        <f>IF($A538&gt;'1-Input'!$B$26,0,(MAX(0,W506-IF($A538&gt;='1-Input'!$C$12,'1-Input'!$B$12,0))-MIN(MAX(AA537,0),MAX(0,W506-IF($A538&gt;='1-Input'!$C$12,'1-Input'!$B$12,0))))*(1/(1-'P-Parametri'!$B$6*W538))+MIN(MAX(0,AB537-(MAX(0,W506-IF($A538&gt;='1-Input'!$C$12,'1-Input'!$B$12,0))-MIN(MAX(AA537,0),MAX(0,W506-IF($A538&gt;='1-Input'!$C$12,'1-Input'!$B$12,0))))*(1/(1-'P-Parametri'!$B$6*W538))),MAX(0,2*W506-(AA537-MIN(MAX(AA537,0),MAX(0,W506-IF($A538&gt;='1-Input'!$C$12,'1-Input'!$B$12,0)))))*(1/(1-'P-Parametri'!$B$6*W538))))</f>
        <v>8389.3902027113072</v>
      </c>
      <c r="Y538" s="18">
        <f>IF($A538&gt;'1-Input'!$B$26,AA537,(AA537-MAX(0,W506-IF($A538&gt;='1-Input'!$C$12,'1-Input'!$B$12,0))+X538*(1-'P-Parametri'!$B$6*W538))*(1+'1-Input'!$B$27))</f>
        <v>35787.805734234928</v>
      </c>
      <c r="Z538" s="18">
        <f>IF($A538&gt;'1-Input'!$B$26,AB537,(AB537-X538)*(1+$C$4))</f>
        <v>74168.893672349121</v>
      </c>
      <c r="AA538" s="18">
        <f>IF($A538&gt;'1-Input'!$B$26,Y538,Y538-'P-Parametri'!$B$8*(Z538+Y538)+MIN(MAX(Z538,0),'P-Parametri'!$B$8*(Z538+Y538)))</f>
        <v>35787.805734234928</v>
      </c>
      <c r="AB538" s="18">
        <f>IF($A538&gt;'1-Input'!$B$26,Z538,Z538-MIN(MAX(Z538,0),'P-Parametri'!$B$8*(Z538+Y538)))</f>
        <v>73948.980273535955</v>
      </c>
      <c r="AC538" s="18">
        <f>IF($A538&gt;'1-Input'!$B$26,AC537,AC537-X538*(1-W538))</f>
        <v>25674.178756894806</v>
      </c>
      <c r="AD538" s="11">
        <f>IF($A538&gt;'1-Input'!$B$26,0,IF(AI537&lt;=0,0,MAX(0,(AI537-AJ537)/AI537)))</f>
        <v>0.64347714754890073</v>
      </c>
      <c r="AE538" s="18">
        <f>IF($A538&gt;'1-Input'!$B$26,0,(MAX(0,AD506-IF($A538&gt;='1-Input'!$C$12,'1-Input'!$B$12,0))-MIN(MAX(AH537,0),MAX(0,AD506-IF($A538&gt;='1-Input'!$C$12,'1-Input'!$B$12,0))))*(1/(1-'P-Parametri'!$B$6*AD538))+MIN(MAX(0,AI537-(MAX(0,AD506-IF($A538&gt;='1-Input'!$C$12,'1-Input'!$B$12,0))-MIN(MAX(AH537,0),MAX(0,AD506-IF($A538&gt;='1-Input'!$C$12,'1-Input'!$B$12,0))))*(1/(1-'P-Parametri'!$B$6*AD538))),MAX(0,2*AD506-(AH537-MIN(MAX(AH537,0),MAX(0,AD506-IF($A538&gt;='1-Input'!$C$12,'1-Input'!$B$12,0)))))*(1/(1-'P-Parametri'!$B$6*AD538))))</f>
        <v>8372.6923367246745</v>
      </c>
      <c r="AF538" s="18">
        <f>IF($A538&gt;'1-Input'!$B$26,AH537,(AH537-MAX(0,AD506-IF($A538&gt;='1-Input'!$C$12,'1-Input'!$B$12,0))+AE538*(1-'P-Parametri'!$B$6*AD538))*(1+'1-Input'!$B$27))</f>
        <v>35760.208229591961</v>
      </c>
      <c r="AG538" s="18">
        <f>IF($A538&gt;'1-Input'!$B$26,AI537,(AI537-AE538)*(1+$C$4))</f>
        <v>74978.738900611497</v>
      </c>
      <c r="AH538" s="18">
        <f>IF($A538&gt;'1-Input'!$B$26,AF538,AF538-'P-Parametri'!$B$8*(AG538+AF538)+MIN(MAX(AG538,0),'P-Parametri'!$B$8*(AG538+AF538)))</f>
        <v>35760.208229591961</v>
      </c>
      <c r="AI538" s="18">
        <f>IF($A538&gt;'1-Input'!$B$26,AG538,AG538-MIN(MAX(AG538,0),'P-Parametri'!$B$8*(AG538+AF538)))</f>
        <v>74757.261006351095</v>
      </c>
      <c r="AJ538" s="18">
        <f>IF($A538&gt;'1-Input'!$B$26,AJ537,AJ537-AE538*(1-AD538))</f>
        <v>25953.042588380795</v>
      </c>
      <c r="AK538" s="11">
        <f>IF($A538&gt;'1-Input'!$B$26,0,IF(AP537&lt;=0,0,MAX(0,(AP537-AQ537)/AP537)))</f>
        <v>0.64347719517027469</v>
      </c>
      <c r="AL538" s="18">
        <f>IF($A538&gt;'1-Input'!$B$26,0,(MAX(0,AK506-IF($A538&gt;='1-Input'!$C$12,'1-Input'!$B$12,0))-MIN(MAX(AO537,0),MAX(0,AK506-IF($A538&gt;='1-Input'!$C$12,'1-Input'!$B$12,0))))*(1/(1-'P-Parametri'!$B$6*AK538))+MIN(MAX(0,AP537-(MAX(0,AK506-IF($A538&gt;='1-Input'!$C$12,'1-Input'!$B$12,0))-MIN(MAX(AO537,0),MAX(0,AK506-IF($A538&gt;='1-Input'!$C$12,'1-Input'!$B$12,0))))*(1/(1-'P-Parametri'!$B$6*AK538))),MAX(0,2*AK506-(AO537-MIN(MAX(AO537,0),MAX(0,AK506-IF($A538&gt;='1-Input'!$C$12,'1-Input'!$B$12,0)))))*(1/(1-'P-Parametri'!$B$6*AK538))))</f>
        <v>8372.6527428508234</v>
      </c>
      <c r="AM538" s="18">
        <f>IF($A538&gt;'1-Input'!$B$26,AO537,(AO537-MAX(0,AK506-IF($A538&gt;='1-Input'!$C$12,'1-Input'!$B$12,0))+AL538*(1-'P-Parametri'!$B$6*AK538))*(1+'1-Input'!$B$27))</f>
        <v>35760.142792219878</v>
      </c>
      <c r="AN538" s="18">
        <f>IF($A538&gt;'1-Input'!$B$26,AP537,(AP537-AL538)*(1+$C$4))</f>
        <v>74980.659157974384</v>
      </c>
      <c r="AO538" s="18">
        <f>IF($A538&gt;'1-Input'!$B$26,AM538,AM538-'P-Parametri'!$B$8*(AN538+AM538)+MIN(MAX(AN538,0),'P-Parametri'!$B$8*(AN538+AM538)))</f>
        <v>35760.142792219878</v>
      </c>
      <c r="AP538" s="18">
        <f>IF($A538&gt;'1-Input'!$B$26,AN538,AN538-MIN(MAX(AN538,0),'P-Parametri'!$B$8*(AN538+AM538)))</f>
        <v>74759.177554073991</v>
      </c>
      <c r="AQ538" s="18">
        <f>IF($A538&gt;'1-Input'!$B$26,AQ537,AQ537-AL538*(1-AK538))</f>
        <v>25953.703797070542</v>
      </c>
    </row>
    <row r="539" spans="1:43">
      <c r="A539" s="10">
        <f>31</f>
        <v>31</v>
      </c>
      <c r="B539" s="11">
        <f>IF($A539&gt;'1-Input'!$B$26,0,IF(G538&lt;=0,0,MAX(0,(G538-H538)/G538)))</f>
        <v>0.65419981351803225</v>
      </c>
      <c r="C539" s="18">
        <f>IF($A539&gt;'1-Input'!$B$26,0,(MAX(0,B506-IF($A539&gt;='1-Input'!$C$12,'1-Input'!$B$12,0))-MIN(MAX(F538,0),MAX(0,B506-IF($A539&gt;='1-Input'!$C$12,'1-Input'!$B$12,0))))*(1/(1-'P-Parametri'!$B$6*B539))+MIN(MAX(0,G538-(MAX(0,B506-IF($A539&gt;='1-Input'!$C$12,'1-Input'!$B$12,0))-MIN(MAX(F538,0),MAX(0,B506-IF($A539&gt;='1-Input'!$C$12,'1-Input'!$B$12,0))))*(1/(1-'P-Parametri'!$B$6*B539))),MAX(0,2*B506-(F538-MIN(MAX(F538,0),MAX(0,B506-IF($A539&gt;='1-Input'!$C$12,'1-Input'!$B$12,0)))))*(1/(1-'P-Parametri'!$B$6*B539))))</f>
        <v>6867.2173059326296</v>
      </c>
      <c r="D539" s="18">
        <f>IF($A539&gt;'1-Input'!$B$26,F538,(F538-MAX(0,B506-IF($A539&gt;='1-Input'!$C$12,'1-Input'!$B$12,0))+C539*(1-'P-Parametri'!$B$6*B539))*(1+'1-Input'!$B$27))</f>
        <v>33242.0070309863</v>
      </c>
      <c r="E539" s="18">
        <f>IF($A539&gt;'1-Input'!$B$26,G538,(G538-C539)*(1+$C$4))</f>
        <v>145909.3585996312</v>
      </c>
      <c r="F539" s="18">
        <f>IF($A539&gt;'1-Input'!$B$26,D539,D539-'P-Parametri'!$B$8*(E539+D539)+MIN(MAX(E539,0),'P-Parametri'!$B$8*(E539+D539)))</f>
        <v>33242.0070309863</v>
      </c>
      <c r="G539" s="18">
        <f>IF($A539&gt;'1-Input'!$B$26,E539,E539-MIN(MAX(E539,0),'P-Parametri'!$B$8*(E539+D539)))</f>
        <v>145551.05586836996</v>
      </c>
      <c r="H539" s="18">
        <f>IF($A539&gt;'1-Input'!$B$26,H538,H538-C539*(1-B539))</f>
        <v>48985.906226424057</v>
      </c>
      <c r="I539" s="11">
        <f>IF($A539&gt;'1-Input'!$B$26,0,IF(N538&lt;=0,0,MAX(0,(N538-O538)/N538)))</f>
        <v>0</v>
      </c>
      <c r="J539" s="18">
        <f>IF($A539&gt;'1-Input'!$B$26,0,(MAX(0,I506-IF($A539&gt;='1-Input'!$C$12,'1-Input'!$B$12,0))-MIN(MAX(M538,0),MAX(0,I506-IF($A539&gt;='1-Input'!$C$12,'1-Input'!$B$12,0))))*(1/(1-'P-Parametri'!$B$6*I539))+MIN(MAX(0,N538-(MAX(0,I506-IF($A539&gt;='1-Input'!$C$12,'1-Input'!$B$12,0))-MIN(MAX(M538,0),MAX(0,I506-IF($A539&gt;='1-Input'!$C$12,'1-Input'!$B$12,0))))*(1/(1-'P-Parametri'!$B$6*I539))),MAX(0,2*I506-(M538-MIN(MAX(M538,0),MAX(0,I506-IF($A539&gt;='1-Input'!$C$12,'1-Input'!$B$12,0)))))*(1/(1-'P-Parametri'!$B$6*I539))))</f>
        <v>10846.756992928691</v>
      </c>
      <c r="K539" s="18">
        <f>IF($A539&gt;'1-Input'!$B$26,M538,(M538-MAX(0,I506-IF($A539&gt;='1-Input'!$C$12,'1-Input'!$B$12,0))+J539*(1-'P-Parametri'!$B$6*I539))*(1+'1-Input'!$B$27))</f>
        <v>0</v>
      </c>
      <c r="L539" s="18">
        <f>IF($A539&gt;'1-Input'!$B$26,N538,(N538-J539)*(1+$C$4))</f>
        <v>-90309.660834770257</v>
      </c>
      <c r="M539" s="18">
        <f>IF($A539&gt;'1-Input'!$B$26,K539,K539-'P-Parametri'!$B$8*(L539+K539)+MIN(MAX(L539,0),'P-Parametri'!$B$8*(L539+K539)))</f>
        <v>0</v>
      </c>
      <c r="N539" s="18">
        <f>IF($A539&gt;'1-Input'!$B$26,L539,L539-MIN(MAX(L539,0),'P-Parametri'!$B$8*(L539+K539)))</f>
        <v>-90129.041513100718</v>
      </c>
      <c r="O539" s="18">
        <f>IF($A539&gt;'1-Input'!$B$26,O538,O538-J539*(1-I539))</f>
        <v>-80118.55020015873</v>
      </c>
      <c r="P539" s="11">
        <f>IF($A539&gt;'1-Input'!$B$26,0,IF(U538&lt;=0,0,MAX(0,(U538-V538)/U538)))</f>
        <v>0.65242907892127067</v>
      </c>
      <c r="Q539" s="18">
        <f>IF($A539&gt;'1-Input'!$B$26,0,(MAX(0,P506-IF($A539&gt;='1-Input'!$C$12,'1-Input'!$B$12,0))-MIN(MAX(T538,0),MAX(0,P506-IF($A539&gt;='1-Input'!$C$12,'1-Input'!$B$12,0))))*(1/(1-'P-Parametri'!$B$6*P539))+MIN(MAX(0,U538-(MAX(0,P506-IF($A539&gt;='1-Input'!$C$12,'1-Input'!$B$12,0))-MIN(MAX(T538,0),MAX(0,P506-IF($A539&gt;='1-Input'!$C$12,'1-Input'!$B$12,0))))*(1/(1-'P-Parametri'!$B$6*P539))),MAX(0,2*P506-(T538-MIN(MAX(T538,0),MAX(0,P506-IF($A539&gt;='1-Input'!$C$12,'1-Input'!$B$12,0)))))*(1/(1-'P-Parametri'!$B$6*P539))))</f>
        <v>8656.7132539488339</v>
      </c>
      <c r="R539" s="18">
        <f>IF($A539&gt;'1-Input'!$B$26,T538,(T538-MAX(0,P506-IF($A539&gt;='1-Input'!$C$12,'1-Input'!$B$12,0))+Q539*(1-'P-Parametri'!$B$6*P539))*(1+'1-Input'!$B$27))</f>
        <v>36188.277471006419</v>
      </c>
      <c r="S539" s="18">
        <f>IF($A539&gt;'1-Input'!$B$26,U538,(U538-Q539)*(1+$C$4))</f>
        <v>55170.708712390544</v>
      </c>
      <c r="T539" s="18">
        <f>IF($A539&gt;'1-Input'!$B$26,R539,R539-'P-Parametri'!$B$8*(S539+R539)+MIN(MAX(S539,0),'P-Parametri'!$B$8*(S539+R539)))</f>
        <v>36188.277471006419</v>
      </c>
      <c r="U539" s="18">
        <f>IF($A539&gt;'1-Input'!$B$26,S539,S539-MIN(MAX(S539,0),'P-Parametri'!$B$8*(S539+R539)))</f>
        <v>54987.99074002375</v>
      </c>
      <c r="V539" s="18">
        <f>IF($A539&gt;'1-Input'!$B$26,V538,V538-Q539*(1-P539))</f>
        <v>18617.217518186269</v>
      </c>
      <c r="W539" s="11">
        <f>IF($A539&gt;'1-Input'!$B$26,0,IF(AB538&lt;=0,0,MAX(0,(AB538-AC538)/AB538)))</f>
        <v>0.65281226783754853</v>
      </c>
      <c r="X539" s="18">
        <f>IF($A539&gt;'1-Input'!$B$26,0,(MAX(0,W506-IF($A539&gt;='1-Input'!$C$12,'1-Input'!$B$12,0))-MIN(MAX(AA538,0),MAX(0,W506-IF($A539&gt;='1-Input'!$C$12,'1-Input'!$B$12,0))))*(1/(1-'P-Parametri'!$B$6*W539))+MIN(MAX(0,AB538-(MAX(0,W506-IF($A539&gt;='1-Input'!$C$12,'1-Input'!$B$12,0))-MIN(MAX(AA538,0),MAX(0,W506-IF($A539&gt;='1-Input'!$C$12,'1-Input'!$B$12,0))))*(1/(1-'P-Parametri'!$B$6*W539))),MAX(0,2*W506-(AA538-MIN(MAX(AA538,0),MAX(0,W506-IF($A539&gt;='1-Input'!$C$12,'1-Input'!$B$12,0)))))*(1/(1-'P-Parametri'!$B$6*W539))))</f>
        <v>8413.9680540339632</v>
      </c>
      <c r="Y539" s="18">
        <f>IF($A539&gt;'1-Input'!$B$26,AA538,(AA538-MAX(0,W506-IF($A539&gt;='1-Input'!$C$12,'1-Input'!$B$12,0))+X539*(1-'P-Parametri'!$B$6*W539))*(1+'1-Input'!$B$27))</f>
        <v>35787.805734234928</v>
      </c>
      <c r="Z539" s="18">
        <f>IF($A539&gt;'1-Input'!$B$26,AB538,(AB538-X539)*(1+$C$4))</f>
        <v>67501.06258608705</v>
      </c>
      <c r="AA539" s="18">
        <f>IF($A539&gt;'1-Input'!$B$26,Y539,Y539-'P-Parametri'!$B$8*(Z539+Y539)+MIN(MAX(Z539,0),'P-Parametri'!$B$8*(Z539+Y539)))</f>
        <v>35787.805734234928</v>
      </c>
      <c r="AB539" s="18">
        <f>IF($A539&gt;'1-Input'!$B$26,Z539,Z539-MIN(MAX(Z539,0),'P-Parametri'!$B$8*(Z539+Y539)))</f>
        <v>67294.484849446409</v>
      </c>
      <c r="AC539" s="18">
        <f>IF($A539&gt;'1-Input'!$B$26,AC538,AC538-X539*(1-W539))</f>
        <v>22752.952269727441</v>
      </c>
      <c r="AD539" s="11">
        <f>IF($A539&gt;'1-Input'!$B$26,0,IF(AI538&lt;=0,0,MAX(0,(AI538-AJ538)/AI538)))</f>
        <v>0.65283582839965315</v>
      </c>
      <c r="AE539" s="18">
        <f>IF($A539&gt;'1-Input'!$B$26,0,(MAX(0,AD506-IF($A539&gt;='1-Input'!$C$12,'1-Input'!$B$12,0))-MIN(MAX(AH538,0),MAX(0,AD506-IF($A539&gt;='1-Input'!$C$12,'1-Input'!$B$12,0))))*(1/(1-'P-Parametri'!$B$6*AD539))+MIN(MAX(0,AI538-(MAX(0,AD506-IF($A539&gt;='1-Input'!$C$12,'1-Input'!$B$12,0))-MIN(MAX(AH538,0),MAX(0,AD506-IF($A539&gt;='1-Input'!$C$12,'1-Input'!$B$12,0))))*(1/(1-'P-Parametri'!$B$6*AD539))),MAX(0,2*AD506-(AH538-MIN(MAX(AH538,0),MAX(0,AD506-IF($A539&gt;='1-Input'!$C$12,'1-Input'!$B$12,0)))))*(1/(1-'P-Parametri'!$B$6*AD539))))</f>
        <v>8397.2302483906278</v>
      </c>
      <c r="AF539" s="18">
        <f>IF($A539&gt;'1-Input'!$B$26,AH538,(AH538-MAX(0,AD506-IF($A539&gt;='1-Input'!$C$12,'1-Input'!$B$12,0))+AE539*(1-'P-Parametri'!$B$6*AD539))*(1+'1-Input'!$B$27))</f>
        <v>35760.208229591961</v>
      </c>
      <c r="AG539" s="18">
        <f>IF($A539&gt;'1-Input'!$B$26,AI538,(AI538-AE539)*(1+$C$4))</f>
        <v>68350.831680699281</v>
      </c>
      <c r="AH539" s="18">
        <f>IF($A539&gt;'1-Input'!$B$26,AF539,AF539-'P-Parametri'!$B$8*(AG539+AF539)+MIN(MAX(AG539,0),'P-Parametri'!$B$8*(AG539+AF539)))</f>
        <v>35760.208229591961</v>
      </c>
      <c r="AI539" s="18">
        <f>IF($A539&gt;'1-Input'!$B$26,AG539,AG539-MIN(MAX(AG539,0),'P-Parametri'!$B$8*(AG539+AF539)))</f>
        <v>68142.609600878699</v>
      </c>
      <c r="AJ539" s="18">
        <f>IF($A539&gt;'1-Input'!$B$26,AJ538,AJ538-AE539*(1-AD539))</f>
        <v>23037.825105460888</v>
      </c>
      <c r="AK539" s="11">
        <f>IF($A539&gt;'1-Input'!$B$26,0,IF(AP538&lt;=0,0,MAX(0,(AP538-AQ538)/AP538)))</f>
        <v>0.65283588388465086</v>
      </c>
      <c r="AL539" s="18">
        <f>IF($A539&gt;'1-Input'!$B$26,0,(MAX(0,AK506-IF($A539&gt;='1-Input'!$C$12,'1-Input'!$B$12,0))-MIN(MAX(AO538,0),MAX(0,AK506-IF($A539&gt;='1-Input'!$C$12,'1-Input'!$B$12,0))))*(1/(1-'P-Parametri'!$B$6*AK539))+MIN(MAX(0,AP538-(MAX(0,AK506-IF($A539&gt;='1-Input'!$C$12,'1-Input'!$B$12,0))-MIN(MAX(AO538,0),MAX(0,AK506-IF($A539&gt;='1-Input'!$C$12,'1-Input'!$B$12,0))))*(1/(1-'P-Parametri'!$B$6*AK539))),MAX(0,2*AK506-(AO538-MIN(MAX(AO538,0),MAX(0,AK506-IF($A539&gt;='1-Input'!$C$12,'1-Input'!$B$12,0)))))*(1/(1-'P-Parametri'!$B$6*AK539))))</f>
        <v>8397.1905595229291</v>
      </c>
      <c r="AM539" s="18">
        <f>IF($A539&gt;'1-Input'!$B$26,AO538,(AO538-MAX(0,AK506-IF($A539&gt;='1-Input'!$C$12,'1-Input'!$B$12,0))+AL539*(1-'P-Parametri'!$B$6*AK539))*(1+'1-Input'!$B$27))</f>
        <v>35760.142792219878</v>
      </c>
      <c r="AN539" s="18">
        <f>IF($A539&gt;'1-Input'!$B$26,AP538,(AP538-AL539)*(1+$C$4))</f>
        <v>68352.846604387596</v>
      </c>
      <c r="AO539" s="18">
        <f>IF($A539&gt;'1-Input'!$B$26,AM539,AM539-'P-Parametri'!$B$8*(AN539+AM539)+MIN(MAX(AN539,0),'P-Parametri'!$B$8*(AN539+AM539)))</f>
        <v>35760.142792219878</v>
      </c>
      <c r="AP539" s="18">
        <f>IF($A539&gt;'1-Input'!$B$26,AN539,AN539-MIN(MAX(AN539,0),'P-Parametri'!$B$8*(AN539+AM539)))</f>
        <v>68144.620625594383</v>
      </c>
      <c r="AQ539" s="18">
        <f>IF($A539&gt;'1-Input'!$B$26,AQ538,AQ538-AL539*(1-AK539))</f>
        <v>23038.50055862161</v>
      </c>
    </row>
    <row r="540" spans="1:43">
      <c r="A540" s="10">
        <f>32</f>
        <v>32</v>
      </c>
      <c r="B540" s="11">
        <f>IF($A540&gt;'1-Input'!$B$26,0,IF(G539&lt;=0,0,MAX(0,(G539-H539)/G539)))</f>
        <v>0.66344520186287903</v>
      </c>
      <c r="C540" s="18">
        <f>IF($A540&gt;'1-Input'!$B$26,0,(MAX(0,B506-IF($A540&gt;='1-Input'!$C$12,'1-Input'!$B$12,0))-MIN(MAX(F539,0),MAX(0,B506-IF($A540&gt;='1-Input'!$C$12,'1-Input'!$B$12,0))))*(1/(1-'P-Parametri'!$B$6*B540))+MIN(MAX(0,G539-(MAX(0,B506-IF($A540&gt;='1-Input'!$C$12,'1-Input'!$B$12,0))-MIN(MAX(F539,0),MAX(0,B506-IF($A540&gt;='1-Input'!$C$12,'1-Input'!$B$12,0))))*(1/(1-'P-Parametri'!$B$6*B540))),MAX(0,2*B506-(F539-MIN(MAX(F539,0),MAX(0,B506-IF($A540&gt;='1-Input'!$C$12,'1-Input'!$B$12,0)))))*(1/(1-'P-Parametri'!$B$6*B540))))</f>
        <v>6887.1657517181657</v>
      </c>
      <c r="D540" s="18">
        <f>IF($A540&gt;'1-Input'!$B$26,F539,(F539-MAX(0,B506-IF($A540&gt;='1-Input'!$C$12,'1-Input'!$B$12,0))+C540*(1-'P-Parametri'!$B$6*B540))*(1+'1-Input'!$B$27))</f>
        <v>33242.0070309863</v>
      </c>
      <c r="E540" s="18">
        <f>IF($A540&gt;'1-Input'!$B$26,G539,(G539-C540)*(1+$C$4))</f>
        <v>142823.80682015137</v>
      </c>
      <c r="F540" s="18">
        <f>IF($A540&gt;'1-Input'!$B$26,D540,D540-'P-Parametri'!$B$8*(E540+D540)+MIN(MAX(E540,0),'P-Parametri'!$B$8*(E540+D540)))</f>
        <v>33242.0070309863</v>
      </c>
      <c r="G540" s="18">
        <f>IF($A540&gt;'1-Input'!$B$26,E540,E540-MIN(MAX(E540,0),'P-Parametri'!$B$8*(E540+D540)))</f>
        <v>142471.6751924491</v>
      </c>
      <c r="H540" s="18">
        <f>IF($A540&gt;'1-Input'!$B$26,H539,H539-C540*(1-B540))</f>
        <v>46667.997547117659</v>
      </c>
      <c r="I540" s="11">
        <f>IF($A540&gt;'1-Input'!$B$26,0,IF(N539&lt;=0,0,MAX(0,(N539-O539)/N539)))</f>
        <v>0</v>
      </c>
      <c r="J540" s="18">
        <f>IF($A540&gt;'1-Input'!$B$26,0,(MAX(0,I506-IF($A540&gt;='1-Input'!$C$12,'1-Input'!$B$12,0))-MIN(MAX(M539,0),MAX(0,I506-IF($A540&gt;='1-Input'!$C$12,'1-Input'!$B$12,0))))*(1/(1-'P-Parametri'!$B$6*I540))+MIN(MAX(0,N539-(MAX(0,I506-IF($A540&gt;='1-Input'!$C$12,'1-Input'!$B$12,0))-MIN(MAX(M539,0),MAX(0,I506-IF($A540&gt;='1-Input'!$C$12,'1-Input'!$B$12,0))))*(1/(1-'P-Parametri'!$B$6*I540))),MAX(0,2*I506-(M539-MIN(MAX(M539,0),MAX(0,I506-IF($A540&gt;='1-Input'!$C$12,'1-Input'!$B$12,0)))))*(1/(1-'P-Parametri'!$B$6*I540))))</f>
        <v>10846.756992928691</v>
      </c>
      <c r="K540" s="18">
        <f>IF($A540&gt;'1-Input'!$B$26,M539,(M539-MAX(0,I506-IF($A540&gt;='1-Input'!$C$12,'1-Input'!$B$12,0))+J540*(1-'P-Parametri'!$B$6*I540))*(1+'1-Input'!$B$27))</f>
        <v>0</v>
      </c>
      <c r="L540" s="18">
        <f>IF($A540&gt;'1-Input'!$B$26,N539,(N539-J540)*(1+$C$4))</f>
        <v>-104005.07246121031</v>
      </c>
      <c r="M540" s="18">
        <f>IF($A540&gt;'1-Input'!$B$26,K540,K540-'P-Parametri'!$B$8*(L540+K540)+MIN(MAX(L540,0),'P-Parametri'!$B$8*(L540+K540)))</f>
        <v>0</v>
      </c>
      <c r="N540" s="18">
        <f>IF($A540&gt;'1-Input'!$B$26,L540,L540-MIN(MAX(L540,0),'P-Parametri'!$B$8*(L540+K540)))</f>
        <v>-103797.06231628789</v>
      </c>
      <c r="O540" s="18">
        <f>IF($A540&gt;'1-Input'!$B$26,O539,O539-J540*(1-I540))</f>
        <v>-90965.307193087414</v>
      </c>
      <c r="P540" s="11">
        <f>IF($A540&gt;'1-Input'!$B$26,0,IF(U539&lt;=0,0,MAX(0,(U539-V539)/U539)))</f>
        <v>0.6614312094761543</v>
      </c>
      <c r="Q540" s="18">
        <f>IF($A540&gt;'1-Input'!$B$26,0,(MAX(0,P506-IF($A540&gt;='1-Input'!$C$12,'1-Input'!$B$12,0))-MIN(MAX(T539,0),MAX(0,P506-IF($A540&gt;='1-Input'!$C$12,'1-Input'!$B$12,0))))*(1/(1-'P-Parametri'!$B$6*P540))+MIN(MAX(0,U539-(MAX(0,P506-IF($A540&gt;='1-Input'!$C$12,'1-Input'!$B$12,0))-MIN(MAX(T539,0),MAX(0,P506-IF($A540&gt;='1-Input'!$C$12,'1-Input'!$B$12,0))))*(1/(1-'P-Parametri'!$B$6*P540))),MAX(0,2*P506-(T539-MIN(MAX(T539,0),MAX(0,P506-IF($A540&gt;='1-Input'!$C$12,'1-Input'!$B$12,0)))))*(1/(1-'P-Parametri'!$B$6*P540))))</f>
        <v>8681.1828457402025</v>
      </c>
      <c r="R540" s="18">
        <f>IF($A540&gt;'1-Input'!$B$26,T539,(T539-MAX(0,P506-IF($A540&gt;='1-Input'!$C$12,'1-Input'!$B$12,0))+Q540*(1-'P-Parametri'!$B$6*P540))*(1+'1-Input'!$B$27))</f>
        <v>36188.277471006419</v>
      </c>
      <c r="S540" s="18">
        <f>IF($A540&gt;'1-Input'!$B$26,U539,(U539-Q540)*(1+$C$4))</f>
        <v>47696.01213111206</v>
      </c>
      <c r="T540" s="18">
        <f>IF($A540&gt;'1-Input'!$B$26,R540,R540-'P-Parametri'!$B$8*(S540+R540)+MIN(MAX(S540,0),'P-Parametri'!$B$8*(S540+R540)))</f>
        <v>36188.277471006419</v>
      </c>
      <c r="U540" s="18">
        <f>IF($A540&gt;'1-Input'!$B$26,S540,S540-MIN(MAX(S540,0),'P-Parametri'!$B$8*(S540+R540)))</f>
        <v>47528.243551907821</v>
      </c>
      <c r="V540" s="18">
        <f>IF($A540&gt;'1-Input'!$B$26,V539,V539-Q540*(1-P540))</f>
        <v>15678.039941787652</v>
      </c>
      <c r="W540" s="11">
        <f>IF($A540&gt;'1-Input'!$B$26,0,IF(AB539&lt;=0,0,MAX(0,(AB539-AC539)/AB539)))</f>
        <v>0.66188979199957998</v>
      </c>
      <c r="X540" s="18">
        <f>IF($A540&gt;'1-Input'!$B$26,0,(MAX(0,W506-IF($A540&gt;='1-Input'!$C$12,'1-Input'!$B$12,0))-MIN(MAX(AA539,0),MAX(0,W506-IF($A540&gt;='1-Input'!$C$12,'1-Input'!$B$12,0))))*(1/(1-'P-Parametri'!$B$6*W540))+MIN(MAX(0,AB539-(MAX(0,W506-IF($A540&gt;='1-Input'!$C$12,'1-Input'!$B$12,0))-MIN(MAX(AA539,0),MAX(0,W506-IF($A540&gt;='1-Input'!$C$12,'1-Input'!$B$12,0))))*(1/(1-'P-Parametri'!$B$6*W540))),MAX(0,2*W506-(AA539-MIN(MAX(AA539,0),MAX(0,W506-IF($A540&gt;='1-Input'!$C$12,'1-Input'!$B$12,0)))))*(1/(1-'P-Parametri'!$B$6*W540))))</f>
        <v>8437.9541296263451</v>
      </c>
      <c r="Y540" s="18">
        <f>IF($A540&gt;'1-Input'!$B$26,AA539,(AA539-MAX(0,W506-IF($A540&gt;='1-Input'!$C$12,'1-Input'!$B$12,0))+X540*(1-'P-Parametri'!$B$6*W540))*(1+'1-Input'!$B$27))</f>
        <v>35787.805734234928</v>
      </c>
      <c r="Z540" s="18">
        <f>IF($A540&gt;'1-Input'!$B$26,AB539,(AB539-X540)*(1+$C$4))</f>
        <v>60622.226641414665</v>
      </c>
      <c r="AA540" s="18">
        <f>IF($A540&gt;'1-Input'!$B$26,Y540,Y540-'P-Parametri'!$B$8*(Z540+Y540)+MIN(MAX(Z540,0),'P-Parametri'!$B$8*(Z540+Y540)))</f>
        <v>35787.805734234928</v>
      </c>
      <c r="AB540" s="18">
        <f>IF($A540&gt;'1-Input'!$B$26,Z540,Z540-MIN(MAX(Z540,0),'P-Parametri'!$B$8*(Z540+Y540)))</f>
        <v>60429.406576663365</v>
      </c>
      <c r="AC540" s="18">
        <f>IF($A540&gt;'1-Input'!$B$26,AC539,AC539-X540*(1-W540))</f>
        <v>19899.993843861474</v>
      </c>
      <c r="AD540" s="11">
        <f>IF($A540&gt;'1-Input'!$B$26,0,IF(AI539&lt;=0,0,MAX(0,(AI539-AJ539)/AI539)))</f>
        <v>0.66191748099468428</v>
      </c>
      <c r="AE540" s="18">
        <f>IF($A540&gt;'1-Input'!$B$26,0,(MAX(0,AD506-IF($A540&gt;='1-Input'!$C$12,'1-Input'!$B$12,0))-MIN(MAX(AH539,0),MAX(0,AD506-IF($A540&gt;='1-Input'!$C$12,'1-Input'!$B$12,0))))*(1/(1-'P-Parametri'!$B$6*AD540))+MIN(MAX(0,AI539-(MAX(0,AD506-IF($A540&gt;='1-Input'!$C$12,'1-Input'!$B$12,0))-MIN(MAX(AH539,0),MAX(0,AD506-IF($A540&gt;='1-Input'!$C$12,'1-Input'!$B$12,0))))*(1/(1-'P-Parametri'!$B$6*AD540))),MAX(0,2*AD506-(AH539-MIN(MAX(AH539,0),MAX(0,AD506-IF($A540&gt;='1-Input'!$C$12,'1-Input'!$B$12,0)))))*(1/(1-'P-Parametri'!$B$6*AD540))))</f>
        <v>8421.1797041253812</v>
      </c>
      <c r="AF540" s="18">
        <f>IF($A540&gt;'1-Input'!$B$26,AH539,(AH539-MAX(0,AD506-IF($A540&gt;='1-Input'!$C$12,'1-Input'!$B$12,0))+AE540*(1-'P-Parametri'!$B$6*AD540))*(1+'1-Input'!$B$27))</f>
        <v>35760.208229591961</v>
      </c>
      <c r="AG540" s="18">
        <f>IF($A540&gt;'1-Input'!$B$26,AI539,(AI539-AE540)*(1+$C$4))</f>
        <v>61513.07279365592</v>
      </c>
      <c r="AH540" s="18">
        <f>IF($A540&gt;'1-Input'!$B$26,AF540,AF540-'P-Parametri'!$B$8*(AG540+AF540)+MIN(MAX(AG540,0),'P-Parametri'!$B$8*(AG540+AF540)))</f>
        <v>35760.208229591961</v>
      </c>
      <c r="AI540" s="18">
        <f>IF($A540&gt;'1-Input'!$B$26,AG540,AG540-MIN(MAX(AG540,0),'P-Parametri'!$B$8*(AG540+AF540)))</f>
        <v>61318.526231609423</v>
      </c>
      <c r="AJ540" s="18">
        <f>IF($A540&gt;'1-Input'!$B$26,AJ539,AJ539-AE540*(1-AD540))</f>
        <v>20190.771458093739</v>
      </c>
      <c r="AK540" s="11">
        <f>IF($A540&gt;'1-Input'!$B$26,0,IF(AP539&lt;=0,0,MAX(0,(AP539-AQ539)/AP539)))</f>
        <v>0.66191754613762421</v>
      </c>
      <c r="AL540" s="18">
        <f>IF($A540&gt;'1-Input'!$B$26,0,(MAX(0,AK506-IF($A540&gt;='1-Input'!$C$12,'1-Input'!$B$12,0))-MIN(MAX(AO539,0),MAX(0,AK506-IF($A540&gt;='1-Input'!$C$12,'1-Input'!$B$12,0))))*(1/(1-'P-Parametri'!$B$6*AK540))+MIN(MAX(0,AP539-(MAX(0,AK506-IF($A540&gt;='1-Input'!$C$12,'1-Input'!$B$12,0))-MIN(MAX(AO539,0),MAX(0,AK506-IF($A540&gt;='1-Input'!$C$12,'1-Input'!$B$12,0))))*(1/(1-'P-Parametri'!$B$6*AK540))),MAX(0,2*AK506-(AO539-MIN(MAX(AO539,0),MAX(0,AK506-IF($A540&gt;='1-Input'!$C$12,'1-Input'!$B$12,0)))))*(1/(1-'P-Parametri'!$B$6*AK540))))</f>
        <v>8421.1399280214482</v>
      </c>
      <c r="AM540" s="18">
        <f>IF($A540&gt;'1-Input'!$B$26,AO539,(AO539-MAX(0,AK506-IF($A540&gt;='1-Input'!$C$12,'1-Input'!$B$12,0))+AL540*(1-'P-Parametri'!$B$6*AK540))*(1+'1-Input'!$B$27))</f>
        <v>35760.142792219878</v>
      </c>
      <c r="AN540" s="18">
        <f>IF($A540&gt;'1-Input'!$B$26,AP539,(AP539-AL540)*(1+$C$4))</f>
        <v>61515.185118500129</v>
      </c>
      <c r="AO540" s="18">
        <f>IF($A540&gt;'1-Input'!$B$26,AM540,AM540-'P-Parametri'!$B$8*(AN540+AM540)+MIN(MAX(AN540,0),'P-Parametri'!$B$8*(AN540+AM540)))</f>
        <v>35760.142792219878</v>
      </c>
      <c r="AP540" s="18">
        <f>IF($A540&gt;'1-Input'!$B$26,AN540,AN540-MIN(MAX(AN540,0),'P-Parametri'!$B$8*(AN540+AM540)))</f>
        <v>61320.634462678689</v>
      </c>
      <c r="AQ540" s="18">
        <f>IF($A540&gt;'1-Input'!$B$26,AQ539,AQ539-AL540*(1-AK540))</f>
        <v>20191.460907437689</v>
      </c>
    </row>
    <row r="541" spans="1:43">
      <c r="A541" s="10">
        <f>33</f>
        <v>33</v>
      </c>
      <c r="B541" s="11">
        <f>IF($A541&gt;'1-Input'!$B$26,0,IF(G540&lt;=0,0,MAX(0,(G540-H540)/G540)))</f>
        <v>0.67244017111415955</v>
      </c>
      <c r="C541" s="18">
        <f>IF($A541&gt;'1-Input'!$B$26,0,(MAX(0,B506-IF($A541&gt;='1-Input'!$C$12,'1-Input'!$B$12,0))-MIN(MAX(F540,0),MAX(0,B506-IF($A541&gt;='1-Input'!$C$12,'1-Input'!$B$12,0))))*(1/(1-'P-Parametri'!$B$6*B541))+MIN(MAX(0,G540-(MAX(0,B506-IF($A541&gt;='1-Input'!$C$12,'1-Input'!$B$12,0))-MIN(MAX(F540,0),MAX(0,B506-IF($A541&gt;='1-Input'!$C$12,'1-Input'!$B$12,0))))*(1/(1-'P-Parametri'!$B$6*B541))),MAX(0,2*B506-(F540-MIN(MAX(F540,0),MAX(0,B506-IF($A541&gt;='1-Input'!$C$12,'1-Input'!$B$12,0)))))*(1/(1-'P-Parametri'!$B$6*B541))))</f>
        <v>6906.6854218926992</v>
      </c>
      <c r="D541" s="18">
        <f>IF($A541&gt;'1-Input'!$B$26,F540,(F540-MAX(0,B506-IF($A541&gt;='1-Input'!$C$12,'1-Input'!$B$12,0))+C541*(1-'P-Parametri'!$B$6*B541))*(1+'1-Input'!$B$27))</f>
        <v>33242.0070309863</v>
      </c>
      <c r="E541" s="18">
        <f>IF($A541&gt;'1-Input'!$B$26,G540,(G540-C541)*(1+$C$4))</f>
        <v>139631.9394636731</v>
      </c>
      <c r="F541" s="18">
        <f>IF($A541&gt;'1-Input'!$B$26,D541,D541-'P-Parametri'!$B$8*(E541+D541)+MIN(MAX(E541,0),'P-Parametri'!$B$8*(E541+D541)))</f>
        <v>33242.0070309863</v>
      </c>
      <c r="G541" s="18">
        <f>IF($A541&gt;'1-Input'!$B$26,E541,E541-MIN(MAX(E541,0),'P-Parametri'!$B$8*(E541+D541)))</f>
        <v>139286.19157068379</v>
      </c>
      <c r="H541" s="18">
        <f>IF($A541&gt;'1-Input'!$B$26,H540,H540-C541*(1-B541))</f>
        <v>44405.644852154161</v>
      </c>
      <c r="I541" s="11">
        <f>IF($A541&gt;'1-Input'!$B$26,0,IF(N540&lt;=0,0,MAX(0,(N540-O540)/N540)))</f>
        <v>0</v>
      </c>
      <c r="J541" s="18">
        <f>IF($A541&gt;'1-Input'!$B$26,0,(MAX(0,I506-IF($A541&gt;='1-Input'!$C$12,'1-Input'!$B$12,0))-MIN(MAX(M540,0),MAX(0,I506-IF($A541&gt;='1-Input'!$C$12,'1-Input'!$B$12,0))))*(1/(1-'P-Parametri'!$B$6*I541))+MIN(MAX(0,N540-(MAX(0,I506-IF($A541&gt;='1-Input'!$C$12,'1-Input'!$B$12,0))-MIN(MAX(M540,0),MAX(0,I506-IF($A541&gt;='1-Input'!$C$12,'1-Input'!$B$12,0))))*(1/(1-'P-Parametri'!$B$6*I541))),MAX(0,2*I506-(M540-MIN(MAX(M540,0),MAX(0,I506-IF($A541&gt;='1-Input'!$C$12,'1-Input'!$B$12,0)))))*(1/(1-'P-Parametri'!$B$6*I541))))</f>
        <v>10846.756992928691</v>
      </c>
      <c r="K541" s="18">
        <f>IF($A541&gt;'1-Input'!$B$26,M540,(M540-MAX(0,I506-IF($A541&gt;='1-Input'!$C$12,'1-Input'!$B$12,0))+J541*(1-'P-Parametri'!$B$6*I541))*(1+'1-Input'!$B$27))</f>
        <v>0</v>
      </c>
      <c r="L541" s="18">
        <f>IF($A541&gt;'1-Input'!$B$26,N540,(N540-J541)*(1+$C$4))</f>
        <v>-118083.13388849307</v>
      </c>
      <c r="M541" s="18">
        <f>IF($A541&gt;'1-Input'!$B$26,K541,K541-'P-Parametri'!$B$8*(L541+K541)+MIN(MAX(L541,0),'P-Parametri'!$B$8*(L541+K541)))</f>
        <v>0</v>
      </c>
      <c r="N541" s="18">
        <f>IF($A541&gt;'1-Input'!$B$26,L541,L541-MIN(MAX(L541,0),'P-Parametri'!$B$8*(L541+K541)))</f>
        <v>-117846.96762071608</v>
      </c>
      <c r="O541" s="18">
        <f>IF($A541&gt;'1-Input'!$B$26,O540,O540-J541*(1-I541))</f>
        <v>-101812.0641860161</v>
      </c>
      <c r="P541" s="11">
        <f>IF($A541&gt;'1-Input'!$B$26,0,IF(U540&lt;=0,0,MAX(0,(U540-V540)/U540)))</f>
        <v>0.67013214101495389</v>
      </c>
      <c r="Q541" s="18">
        <f>IF($A541&gt;'1-Input'!$B$26,0,(MAX(0,P506-IF($A541&gt;='1-Input'!$C$12,'1-Input'!$B$12,0))-MIN(MAX(T540,0),MAX(0,P506-IF($A541&gt;='1-Input'!$C$12,'1-Input'!$B$12,0))))*(1/(1-'P-Parametri'!$B$6*P541))+MIN(MAX(0,U540-(MAX(0,P506-IF($A541&gt;='1-Input'!$C$12,'1-Input'!$B$12,0))-MIN(MAX(T540,0),MAX(0,P506-IF($A541&gt;='1-Input'!$C$12,'1-Input'!$B$12,0))))*(1/(1-'P-Parametri'!$B$6*P541))),MAX(0,2*P506-(T540-MIN(MAX(T540,0),MAX(0,P506-IF($A541&gt;='1-Input'!$C$12,'1-Input'!$B$12,0)))))*(1/(1-'P-Parametri'!$B$6*P541))))</f>
        <v>8704.9655476954104</v>
      </c>
      <c r="R541" s="18">
        <f>IF($A541&gt;'1-Input'!$B$26,T540,(T540-MAX(0,P506-IF($A541&gt;='1-Input'!$C$12,'1-Input'!$B$12,0))+Q541*(1-'P-Parametri'!$B$6*P541))*(1+'1-Input'!$B$27))</f>
        <v>36188.277471006419</v>
      </c>
      <c r="S541" s="18">
        <f>IF($A541&gt;'1-Input'!$B$26,U540,(U540-Q541)*(1+$C$4))</f>
        <v>39987.976344338778</v>
      </c>
      <c r="T541" s="18">
        <f>IF($A541&gt;'1-Input'!$B$26,R541,R541-'P-Parametri'!$B$8*(S541+R541)+MIN(MAX(S541,0),'P-Parametri'!$B$8*(S541+R541)))</f>
        <v>36188.277471006419</v>
      </c>
      <c r="U541" s="18">
        <f>IF($A541&gt;'1-Input'!$B$26,S541,S541-MIN(MAX(S541,0),'P-Parametri'!$B$8*(S541+R541)))</f>
        <v>39835.623836708088</v>
      </c>
      <c r="V541" s="18">
        <f>IF($A541&gt;'1-Input'!$B$26,V540,V540-Q541*(1-P541))</f>
        <v>12806.551594030778</v>
      </c>
      <c r="W541" s="11">
        <f>IF($A541&gt;'1-Input'!$B$26,0,IF(AB540&lt;=0,0,MAX(0,(AB540-AC540)/AB540)))</f>
        <v>0.6706902322693592</v>
      </c>
      <c r="X541" s="18">
        <f>IF($A541&gt;'1-Input'!$B$26,0,(MAX(0,W506-IF($A541&gt;='1-Input'!$C$12,'1-Input'!$B$12,0))-MIN(MAX(AA540,0),MAX(0,W506-IF($A541&gt;='1-Input'!$C$12,'1-Input'!$B$12,0))))*(1/(1-'P-Parametri'!$B$6*W541))+MIN(MAX(0,AB540-(MAX(0,W506-IF($A541&gt;='1-Input'!$C$12,'1-Input'!$B$12,0))-MIN(MAX(AA540,0),MAX(0,W506-IF($A541&gt;='1-Input'!$C$12,'1-Input'!$B$12,0))))*(1/(1-'P-Parametri'!$B$6*W541))),MAX(0,2*W506-(AA540-MIN(MAX(AA540,0),MAX(0,W506-IF($A541&gt;='1-Input'!$C$12,'1-Input'!$B$12,0)))))*(1/(1-'P-Parametri'!$B$6*W541))))</f>
        <v>8461.3389705019363</v>
      </c>
      <c r="Y541" s="18">
        <f>IF($A541&gt;'1-Input'!$B$26,AA540,(AA540-MAX(0,W506-IF($A541&gt;='1-Input'!$C$12,'1-Input'!$B$12,0))+X541*(1-'P-Parametri'!$B$6*W541))*(1+'1-Input'!$B$27))</f>
        <v>35787.805734234928</v>
      </c>
      <c r="Z541" s="18">
        <f>IF($A541&gt;'1-Input'!$B$26,AB540,(AB540-X541)*(1+$C$4))</f>
        <v>53527.10963434627</v>
      </c>
      <c r="AA541" s="18">
        <f>IF($A541&gt;'1-Input'!$B$26,Y541,Y541-'P-Parametri'!$B$8*(Z541+Y541)+MIN(MAX(Z541,0),'P-Parametri'!$B$8*(Z541+Y541)))</f>
        <v>35787.805734234928</v>
      </c>
      <c r="AB541" s="18">
        <f>IF($A541&gt;'1-Input'!$B$26,Z541,Z541-MIN(MAX(Z541,0),'P-Parametri'!$B$8*(Z541+Y541)))</f>
        <v>53348.479803609109</v>
      </c>
      <c r="AC541" s="18">
        <f>IF($A541&gt;'1-Input'!$B$26,AC540,AC540-X541*(1-W541))</f>
        <v>17113.59227279526</v>
      </c>
      <c r="AD541" s="11">
        <f>IF($A541&gt;'1-Input'!$B$26,0,IF(AI540&lt;=0,0,MAX(0,(AI540-AJ540)/AI540)))</f>
        <v>0.67072314520688059</v>
      </c>
      <c r="AE541" s="18">
        <f>IF($A541&gt;'1-Input'!$B$26,0,(MAX(0,AD506-IF($A541&gt;='1-Input'!$C$12,'1-Input'!$B$12,0))-MIN(MAX(AH540,0),MAX(0,AD506-IF($A541&gt;='1-Input'!$C$12,'1-Input'!$B$12,0))))*(1/(1-'P-Parametri'!$B$6*AD541))+MIN(MAX(0,AI540-(MAX(0,AD506-IF($A541&gt;='1-Input'!$C$12,'1-Input'!$B$12,0))-MIN(MAX(AH540,0),MAX(0,AD506-IF($A541&gt;='1-Input'!$C$12,'1-Input'!$B$12,0))))*(1/(1-'P-Parametri'!$B$6*AD541))),MAX(0,2*AD506-(AH540-MIN(MAX(AH540,0),MAX(0,AD506-IF($A541&gt;='1-Input'!$C$12,'1-Input'!$B$12,0)))))*(1/(1-'P-Parametri'!$B$6*AD541))))</f>
        <v>8444.5321522587892</v>
      </c>
      <c r="AF541" s="18">
        <f>IF($A541&gt;'1-Input'!$B$26,AH540,(AH540-MAX(0,AD506-IF($A541&gt;='1-Input'!$C$12,'1-Input'!$B$12,0))+AE541*(1-'P-Parametri'!$B$6*AD541))*(1+'1-Input'!$B$27))</f>
        <v>35760.208229591961</v>
      </c>
      <c r="AG541" s="18">
        <f>IF($A541&gt;'1-Input'!$B$26,AI540,(AI540-AE541)*(1+$C$4))</f>
        <v>54460.213901731149</v>
      </c>
      <c r="AH541" s="18">
        <f>IF($A541&gt;'1-Input'!$B$26,AF541,AF541-'P-Parametri'!$B$8*(AG541+AF541)+MIN(MAX(AG541,0),'P-Parametri'!$B$8*(AG541+AF541)))</f>
        <v>35760.208229591961</v>
      </c>
      <c r="AI541" s="18">
        <f>IF($A541&gt;'1-Input'!$B$26,AG541,AG541-MIN(MAX(AG541,0),'P-Parametri'!$B$8*(AG541+AF541)))</f>
        <v>54279.773057468505</v>
      </c>
      <c r="AJ541" s="18">
        <f>IF($A541&gt;'1-Input'!$B$26,AJ540,AJ540-AE541*(1-AD541))</f>
        <v>17410.182470798594</v>
      </c>
      <c r="AK541" s="11">
        <f>IF($A541&gt;'1-Input'!$B$26,0,IF(AP540&lt;=0,0,MAX(0,(AP540-AQ540)/AP540)))</f>
        <v>0.67072322254384475</v>
      </c>
      <c r="AL541" s="18">
        <f>IF($A541&gt;'1-Input'!$B$26,0,(MAX(0,AK506-IF($A541&gt;='1-Input'!$C$12,'1-Input'!$B$12,0))-MIN(MAX(AO540,0),MAX(0,AK506-IF($A541&gt;='1-Input'!$C$12,'1-Input'!$B$12,0))))*(1/(1-'P-Parametri'!$B$6*AK541))+MIN(MAX(0,AP540-(MAX(0,AK506-IF($A541&gt;='1-Input'!$C$12,'1-Input'!$B$12,0))-MIN(MAX(AO540,0),MAX(0,AK506-IF($A541&gt;='1-Input'!$C$12,'1-Input'!$B$12,0))))*(1/(1-'P-Parametri'!$B$6*AK541))),MAX(0,2*AK506-(AO540-MIN(MAX(AO540,0),MAX(0,AK506-IF($A541&gt;='1-Input'!$C$12,'1-Input'!$B$12,0)))))*(1/(1-'P-Parametri'!$B$6*AK541))))</f>
        <v>8444.4922987601785</v>
      </c>
      <c r="AM541" s="18">
        <f>IF($A541&gt;'1-Input'!$B$26,AO540,(AO540-MAX(0,AK506-IF($A541&gt;='1-Input'!$C$12,'1-Input'!$B$12,0))+AL541*(1-'P-Parametri'!$B$6*AK541))*(1+'1-Input'!$B$27))</f>
        <v>35760.142792219878</v>
      </c>
      <c r="AN541" s="18">
        <f>IF($A541&gt;'1-Input'!$B$26,AP540,(AP540-AL541)*(1+$C$4))</f>
        <v>54462.426428836072</v>
      </c>
      <c r="AO541" s="18">
        <f>IF($A541&gt;'1-Input'!$B$26,AM541,AM541-'P-Parametri'!$B$8*(AN541+AM541)+MIN(MAX(AN541,0),'P-Parametri'!$B$8*(AN541+AM541)))</f>
        <v>35760.142792219878</v>
      </c>
      <c r="AP541" s="18">
        <f>IF($A541&gt;'1-Input'!$B$26,AN541,AN541-MIN(MAX(AN541,0),'P-Parametri'!$B$8*(AN541+AM541)))</f>
        <v>54281.98129039396</v>
      </c>
      <c r="AQ541" s="18">
        <f>IF($A541&gt;'1-Input'!$B$26,AQ540,AQ540-AL541*(1-AK541))</f>
        <v>17410.885696048616</v>
      </c>
    </row>
    <row r="542" spans="1:43">
      <c r="A542" s="10">
        <f>34</f>
        <v>34</v>
      </c>
      <c r="B542" s="11">
        <f>IF($A542&gt;'1-Input'!$B$26,0,IF(G541&lt;=0,0,MAX(0,(G541-H541)/G541)))</f>
        <v>0.68119133453642056</v>
      </c>
      <c r="C542" s="18">
        <f>IF($A542&gt;'1-Input'!$B$26,0,(MAX(0,B506-IF($A542&gt;='1-Input'!$C$12,'1-Input'!$B$12,0))-MIN(MAX(F541,0),MAX(0,B506-IF($A542&gt;='1-Input'!$C$12,'1-Input'!$B$12,0))))*(1/(1-'P-Parametri'!$B$6*B542))+MIN(MAX(0,G541-(MAX(0,B506-IF($A542&gt;='1-Input'!$C$12,'1-Input'!$B$12,0))-MIN(MAX(F541,0),MAX(0,B506-IF($A542&gt;='1-Input'!$C$12,'1-Input'!$B$12,0))))*(1/(1-'P-Parametri'!$B$6*B542))),MAX(0,2*B506-(F541-MIN(MAX(F541,0),MAX(0,B506-IF($A542&gt;='1-Input'!$C$12,'1-Input'!$B$12,0)))))*(1/(1-'P-Parametri'!$B$6*B542))))</f>
        <v>6925.7824989074415</v>
      </c>
      <c r="D542" s="18">
        <f>IF($A542&gt;'1-Input'!$B$26,F541,(F541-MAX(0,B506-IF($A542&gt;='1-Input'!$C$12,'1-Input'!$B$12,0))+C542*(1-'P-Parametri'!$B$6*B542))*(1+'1-Input'!$B$27))</f>
        <v>33242.0070309863</v>
      </c>
      <c r="E542" s="18">
        <f>IF($A542&gt;'1-Input'!$B$26,G541,(G541-C542)*(1+$C$4))</f>
        <v>136331.22134392965</v>
      </c>
      <c r="F542" s="18">
        <f>IF($A542&gt;'1-Input'!$B$26,D542,D542-'P-Parametri'!$B$8*(E542+D542)+MIN(MAX(E542,0),'P-Parametri'!$B$8*(E542+D542)))</f>
        <v>33242.0070309863</v>
      </c>
      <c r="G542" s="18">
        <f>IF($A542&gt;'1-Input'!$B$26,E542,E542-MIN(MAX(E542,0),'P-Parametri'!$B$8*(E542+D542)))</f>
        <v>135992.07488717983</v>
      </c>
      <c r="H542" s="18">
        <f>IF($A542&gt;'1-Input'!$B$26,H541,H541-C542*(1-B542))</f>
        <v>42197.645376386463</v>
      </c>
      <c r="I542" s="11">
        <f>IF($A542&gt;'1-Input'!$B$26,0,IF(N541&lt;=0,0,MAX(0,(N541-O541)/N541)))</f>
        <v>0</v>
      </c>
      <c r="J542" s="18">
        <f>IF($A542&gt;'1-Input'!$B$26,0,(MAX(0,I506-IF($A542&gt;='1-Input'!$C$12,'1-Input'!$B$12,0))-MIN(MAX(M541,0),MAX(0,I506-IF($A542&gt;='1-Input'!$C$12,'1-Input'!$B$12,0))))*(1/(1-'P-Parametri'!$B$6*I542))+MIN(MAX(0,N541-(MAX(0,I506-IF($A542&gt;='1-Input'!$C$12,'1-Input'!$B$12,0))-MIN(MAX(M541,0),MAX(0,I506-IF($A542&gt;='1-Input'!$C$12,'1-Input'!$B$12,0))))*(1/(1-'P-Parametri'!$B$6*I542))),MAX(0,2*I506-(M541-MIN(MAX(M541,0),MAX(0,I506-IF($A542&gt;='1-Input'!$C$12,'1-Input'!$B$12,0)))))*(1/(1-'P-Parametri'!$B$6*I542))))</f>
        <v>10846.756992928691</v>
      </c>
      <c r="K542" s="18">
        <f>IF($A542&gt;'1-Input'!$B$26,M541,(M541-MAX(0,I506-IF($A542&gt;='1-Input'!$C$12,'1-Input'!$B$12,0))+J542*(1-'P-Parametri'!$B$6*I542))*(1+'1-Input'!$B$27))</f>
        <v>0</v>
      </c>
      <c r="L542" s="18">
        <f>IF($A542&gt;'1-Input'!$B$26,N541,(N541-J542)*(1+$C$4))</f>
        <v>-132554.5363520541</v>
      </c>
      <c r="M542" s="18">
        <f>IF($A542&gt;'1-Input'!$B$26,K542,K542-'P-Parametri'!$B$8*(L542+K542)+MIN(MAX(L542,0),'P-Parametri'!$B$8*(L542+K542)))</f>
        <v>0</v>
      </c>
      <c r="N542" s="18">
        <f>IF($A542&gt;'1-Input'!$B$26,L542,L542-MIN(MAX(L542,0),'P-Parametri'!$B$8*(L542+K542)))</f>
        <v>-132289.42727935</v>
      </c>
      <c r="O542" s="18">
        <f>IF($A542&gt;'1-Input'!$B$26,O541,O541-J542*(1-I542))</f>
        <v>-112658.82117894478</v>
      </c>
      <c r="P542" s="11">
        <f>IF($A542&gt;'1-Input'!$B$26,0,IF(U541&lt;=0,0,MAX(0,(U541-V541)/U541)))</f>
        <v>0.67851509878377547</v>
      </c>
      <c r="Q542" s="18">
        <f>IF($A542&gt;'1-Input'!$B$26,0,(MAX(0,P506-IF($A542&gt;='1-Input'!$C$12,'1-Input'!$B$12,0))-MIN(MAX(T541,0),MAX(0,P506-IF($A542&gt;='1-Input'!$C$12,'1-Input'!$B$12,0))))*(1/(1-'P-Parametri'!$B$6*P542))+MIN(MAX(0,U541-(MAX(0,P506-IF($A542&gt;='1-Input'!$C$12,'1-Input'!$B$12,0))-MIN(MAX(T541,0),MAX(0,P506-IF($A542&gt;='1-Input'!$C$12,'1-Input'!$B$12,0))))*(1/(1-'P-Parametri'!$B$6*P542))),MAX(0,2*P506-(T541-MIN(MAX(T541,0),MAX(0,P506-IF($A542&gt;='1-Input'!$C$12,'1-Input'!$B$12,0)))))*(1/(1-'P-Parametri'!$B$6*P542))))</f>
        <v>8728.0026944110723</v>
      </c>
      <c r="R542" s="18">
        <f>IF($A542&gt;'1-Input'!$B$26,T541,(T541-MAX(0,P506-IF($A542&gt;='1-Input'!$C$12,'1-Input'!$B$12,0))+Q542*(1-'P-Parametri'!$B$6*P542))*(1+'1-Input'!$B$27))</f>
        <v>36188.277471006419</v>
      </c>
      <c r="S542" s="18">
        <f>IF($A542&gt;'1-Input'!$B$26,U541,(U541-Q542)*(1+$C$4))</f>
        <v>32040.849776565927</v>
      </c>
      <c r="T542" s="18">
        <f>IF($A542&gt;'1-Input'!$B$26,R542,R542-'P-Parametri'!$B$8*(S542+R542)+MIN(MAX(S542,0),'P-Parametri'!$B$8*(S542+R542)))</f>
        <v>36188.277471006419</v>
      </c>
      <c r="U542" s="18">
        <f>IF($A542&gt;'1-Input'!$B$26,S542,S542-MIN(MAX(S542,0),'P-Parametri'!$B$8*(S542+R542)))</f>
        <v>31904.391522070782</v>
      </c>
      <c r="V542" s="18">
        <f>IF($A542&gt;'1-Input'!$B$26,V541,V541-Q542*(1-P542))</f>
        <v>10000.630510003093</v>
      </c>
      <c r="W542" s="11">
        <f>IF($A542&gt;'1-Input'!$B$26,0,IF(AB541&lt;=0,0,MAX(0,(AB541-AC541)/AB541)))</f>
        <v>0.6792112477094896</v>
      </c>
      <c r="X542" s="18">
        <f>IF($A542&gt;'1-Input'!$B$26,0,(MAX(0,W506-IF($A542&gt;='1-Input'!$C$12,'1-Input'!$B$12,0))-MIN(MAX(AA541,0),MAX(0,W506-IF($A542&gt;='1-Input'!$C$12,'1-Input'!$B$12,0))))*(1/(1-'P-Parametri'!$B$6*W542))+MIN(MAX(0,AB541-(MAX(0,W506-IF($A542&gt;='1-Input'!$C$12,'1-Input'!$B$12,0))-MIN(MAX(AA541,0),MAX(0,W506-IF($A542&gt;='1-Input'!$C$12,'1-Input'!$B$12,0))))*(1/(1-'P-Parametri'!$B$6*W542))),MAX(0,2*W506-(AA541-MIN(MAX(AA541,0),MAX(0,W506-IF($A542&gt;='1-Input'!$C$12,'1-Input'!$B$12,0)))))*(1/(1-'P-Parametri'!$B$6*W542))))</f>
        <v>8484.1051551644687</v>
      </c>
      <c r="Y542" s="18">
        <f>IF($A542&gt;'1-Input'!$B$26,AA541,(AA541-MAX(0,W506-IF($A542&gt;='1-Input'!$C$12,'1-Input'!$B$12,0))+X542*(1-'P-Parametri'!$B$6*W542))*(1+'1-Input'!$B$27))</f>
        <v>35787.805734234928</v>
      </c>
      <c r="Z542" s="18">
        <f>IF($A542&gt;'1-Input'!$B$26,AB541,(AB541-X542)*(1+$C$4))</f>
        <v>46210.305887897979</v>
      </c>
      <c r="AA542" s="18">
        <f>IF($A542&gt;'1-Input'!$B$26,Y542,Y542-'P-Parametri'!$B$8*(Z542+Y542)+MIN(MAX(Z542,0),'P-Parametri'!$B$8*(Z542+Y542)))</f>
        <v>35787.805734234928</v>
      </c>
      <c r="AB542" s="18">
        <f>IF($A542&gt;'1-Input'!$B$26,Z542,Z542-MIN(MAX(Z542,0),'P-Parametri'!$B$8*(Z542+Y542)))</f>
        <v>46046.309664653716</v>
      </c>
      <c r="AC542" s="18">
        <f>IF($A542&gt;'1-Input'!$B$26,AC541,AC541-X542*(1-W542))</f>
        <v>14391.986765768563</v>
      </c>
      <c r="AD542" s="11">
        <f>IF($A542&gt;'1-Input'!$B$26,0,IF(AI541&lt;=0,0,MAX(0,(AI541-AJ541)/AI541)))</f>
        <v>0.67925100843060582</v>
      </c>
      <c r="AE542" s="18">
        <f>IF($A542&gt;'1-Input'!$B$26,0,(MAX(0,AD506-IF($A542&gt;='1-Input'!$C$12,'1-Input'!$B$12,0))-MIN(MAX(AH541,0),MAX(0,AD506-IF($A542&gt;='1-Input'!$C$12,'1-Input'!$B$12,0))))*(1/(1-'P-Parametri'!$B$6*AD542))+MIN(MAX(0,AI541-(MAX(0,AD506-IF($A542&gt;='1-Input'!$C$12,'1-Input'!$B$12,0))-MIN(MAX(AH541,0),MAX(0,AD506-IF($A542&gt;='1-Input'!$C$12,'1-Input'!$B$12,0))))*(1/(1-'P-Parametri'!$B$6*AD542))),MAX(0,2*AD506-(AH541-MIN(MAX(AH541,0),MAX(0,AD506-IF($A542&gt;='1-Input'!$C$12,'1-Input'!$B$12,0)))))*(1/(1-'P-Parametri'!$B$6*AD542))))</f>
        <v>8467.2716611331998</v>
      </c>
      <c r="AF542" s="18">
        <f>IF($A542&gt;'1-Input'!$B$26,AH541,(AH541-MAX(0,AD506-IF($A542&gt;='1-Input'!$C$12,'1-Input'!$B$12,0))+AE542*(1-'P-Parametri'!$B$6*AD542))*(1+'1-Input'!$B$27))</f>
        <v>35760.208229591961</v>
      </c>
      <c r="AG542" s="18">
        <f>IF($A542&gt;'1-Input'!$B$26,AI541,(AI541-AE542)*(1+$C$4))</f>
        <v>47186.876438225365</v>
      </c>
      <c r="AH542" s="18">
        <f>IF($A542&gt;'1-Input'!$B$26,AF542,AF542-'P-Parametri'!$B$8*(AG542+AF542)+MIN(MAX(AG542,0),'P-Parametri'!$B$8*(AG542+AF542)))</f>
        <v>35760.208229591961</v>
      </c>
      <c r="AI542" s="18">
        <f>IF($A542&gt;'1-Input'!$B$26,AG542,AG542-MIN(MAX(AG542,0),'P-Parametri'!$B$8*(AG542+AF542)))</f>
        <v>47020.982268889733</v>
      </c>
      <c r="AJ542" s="18">
        <f>IF($A542&gt;'1-Input'!$B$26,AJ541,AJ541-AE542*(1-AD542))</f>
        <v>14694.313624146012</v>
      </c>
      <c r="AK542" s="11">
        <f>IF($A542&gt;'1-Input'!$B$26,0,IF(AP541&lt;=0,0,MAX(0,(AP541-AQ541)/AP541)))</f>
        <v>0.67925110170711944</v>
      </c>
      <c r="AL542" s="18">
        <f>IF($A542&gt;'1-Input'!$B$26,0,(MAX(0,AK506-IF($A542&gt;='1-Input'!$C$12,'1-Input'!$B$12,0))-MIN(MAX(AO541,0),MAX(0,AK506-IF($A542&gt;='1-Input'!$C$12,'1-Input'!$B$12,0))))*(1/(1-'P-Parametri'!$B$6*AK542))+MIN(MAX(0,AP541-(MAX(0,AK506-IF($A542&gt;='1-Input'!$C$12,'1-Input'!$B$12,0))-MIN(MAX(AO541,0),MAX(0,AK506-IF($A542&gt;='1-Input'!$C$12,'1-Input'!$B$12,0))))*(1/(1-'P-Parametri'!$B$6*AK542))),MAX(0,2*AK506-(AO541-MIN(MAX(AO541,0),MAX(0,AK506-IF($A542&gt;='1-Input'!$C$12,'1-Input'!$B$12,0)))))*(1/(1-'P-Parametri'!$B$6*AK542))))</f>
        <v>8467.231743489041</v>
      </c>
      <c r="AM542" s="18">
        <f>IF($A542&gt;'1-Input'!$B$26,AO541,(AO541-MAX(0,AK506-IF($A542&gt;='1-Input'!$C$12,'1-Input'!$B$12,0))+AL542*(1-'P-Parametri'!$B$6*AK542))*(1+'1-Input'!$B$27))</f>
        <v>35760.142792219878</v>
      </c>
      <c r="AN542" s="18">
        <f>IF($A542&gt;'1-Input'!$B$26,AP541,(AP541-AL542)*(1+$C$4))</f>
        <v>47189.192033312065</v>
      </c>
      <c r="AO542" s="18">
        <f>IF($A542&gt;'1-Input'!$B$26,AM542,AM542-'P-Parametri'!$B$8*(AN542+AM542)+MIN(MAX(AN542,0),'P-Parametri'!$B$8*(AN542+AM542)))</f>
        <v>35760.142792219878</v>
      </c>
      <c r="AP542" s="18">
        <f>IF($A542&gt;'1-Input'!$B$26,AN542,AN542-MIN(MAX(AN542,0),'P-Parametri'!$B$8*(AN542+AM542)))</f>
        <v>47023.293363661003</v>
      </c>
      <c r="AQ542" s="18">
        <f>IF($A542&gt;'1-Input'!$B$26,AQ541,AQ541-AL542*(1-AK542))</f>
        <v>14695.030442734</v>
      </c>
    </row>
    <row r="543" spans="1:43">
      <c r="A543" s="10">
        <f>35</f>
        <v>35</v>
      </c>
      <c r="B543" s="11">
        <f>IF($A543&gt;'1-Input'!$B$26,0,IF(G542&lt;=0,0,MAX(0,(G542-H542)/G542)))</f>
        <v>0.68970511398260526</v>
      </c>
      <c r="C543" s="18">
        <f>IF($A543&gt;'1-Input'!$B$26,0,(MAX(0,B506-IF($A543&gt;='1-Input'!$C$12,'1-Input'!$B$12,0))-MIN(MAX(F542,0),MAX(0,B506-IF($A543&gt;='1-Input'!$C$12,'1-Input'!$B$12,0))))*(1/(1-'P-Parametri'!$B$6*B543))+MIN(MAX(0,G542-(MAX(0,B506-IF($A543&gt;='1-Input'!$C$12,'1-Input'!$B$12,0))-MIN(MAX(F542,0),MAX(0,B506-IF($A543&gt;='1-Input'!$C$12,'1-Input'!$B$12,0))))*(1/(1-'P-Parametri'!$B$6*B543))),MAX(0,2*B506-(F542-MIN(MAX(F542,0),MAX(0,B506-IF($A543&gt;='1-Input'!$C$12,'1-Input'!$B$12,0)))))*(1/(1-'P-Parametri'!$B$6*B543))))</f>
        <v>6944.463171299476</v>
      </c>
      <c r="D543" s="18">
        <f>IF($A543&gt;'1-Input'!$B$26,F542,(F542-MAX(0,B506-IF($A543&gt;='1-Input'!$C$12,'1-Input'!$B$12,0))+C543*(1-'P-Parametri'!$B$6*B543))*(1+'1-Input'!$B$27))</f>
        <v>33242.0070309863</v>
      </c>
      <c r="E543" s="18">
        <f>IF($A543&gt;'1-Input'!$B$26,G542,(G542-C543)*(1+$C$4))</f>
        <v>132919.04006735678</v>
      </c>
      <c r="F543" s="18">
        <f>IF($A543&gt;'1-Input'!$B$26,D543,D543-'P-Parametri'!$B$8*(E543+D543)+MIN(MAX(E543,0),'P-Parametri'!$B$8*(E543+D543)))</f>
        <v>33242.0070309863</v>
      </c>
      <c r="G543" s="18">
        <f>IF($A543&gt;'1-Input'!$B$26,E543,E543-MIN(MAX(E543,0),'P-Parametri'!$B$8*(E543+D543)))</f>
        <v>132586.71797316009</v>
      </c>
      <c r="H543" s="18">
        <f>IF($A543&gt;'1-Input'!$B$26,H542,H542-C543*(1-B543))</f>
        <v>40042.813968196097</v>
      </c>
      <c r="I543" s="11">
        <f>IF($A543&gt;'1-Input'!$B$26,0,IF(N542&lt;=0,0,MAX(0,(N542-O542)/N542)))</f>
        <v>0</v>
      </c>
      <c r="J543" s="18">
        <f>IF($A543&gt;'1-Input'!$B$26,0,(MAX(0,I506-IF($A543&gt;='1-Input'!$C$12,'1-Input'!$B$12,0))-MIN(MAX(M542,0),MAX(0,I506-IF($A543&gt;='1-Input'!$C$12,'1-Input'!$B$12,0))))*(1/(1-'P-Parametri'!$B$6*I543))+MIN(MAX(0,N542-(MAX(0,I506-IF($A543&gt;='1-Input'!$C$12,'1-Input'!$B$12,0))-MIN(MAX(M542,0),MAX(0,I506-IF($A543&gt;='1-Input'!$C$12,'1-Input'!$B$12,0))))*(1/(1-'P-Parametri'!$B$6*I543))),MAX(0,2*I506-(M542-MIN(MAX(M542,0),MAX(0,I506-IF($A543&gt;='1-Input'!$C$12,'1-Input'!$B$12,0)))))*(1/(1-'P-Parametri'!$B$6*I543))))</f>
        <v>10846.756992928691</v>
      </c>
      <c r="K543" s="18">
        <f>IF($A543&gt;'1-Input'!$B$26,M542,(M542-MAX(0,I506-IF($A543&gt;='1-Input'!$C$12,'1-Input'!$B$12,0))+J543*(1-'P-Parametri'!$B$6*I543))*(1+'1-Input'!$B$27))</f>
        <v>0</v>
      </c>
      <c r="L543" s="18">
        <f>IF($A543&gt;'1-Input'!$B$26,N542,(N542-J543)*(1+$C$4))</f>
        <v>-147430.26980044704</v>
      </c>
      <c r="M543" s="18">
        <f>IF($A543&gt;'1-Input'!$B$26,K543,K543-'P-Parametri'!$B$8*(L543+K543)+MIN(MAX(L543,0),'P-Parametri'!$B$8*(L543+K543)))</f>
        <v>0</v>
      </c>
      <c r="N543" s="18">
        <f>IF($A543&gt;'1-Input'!$B$26,L543,L543-MIN(MAX(L543,0),'P-Parametri'!$B$8*(L543+K543)))</f>
        <v>-147135.40926084615</v>
      </c>
      <c r="O543" s="18">
        <f>IF($A543&gt;'1-Input'!$B$26,O542,O542-J543*(1-I543))</f>
        <v>-123505.57817187347</v>
      </c>
      <c r="P543" s="11">
        <f>IF($A543&gt;'1-Input'!$B$26,0,IF(U542&lt;=0,0,MAX(0,(U542-V542)/U542)))</f>
        <v>0.68654376300877362</v>
      </c>
      <c r="Q543" s="18">
        <f>IF($A543&gt;'1-Input'!$B$26,0,(MAX(0,P506-IF($A543&gt;='1-Input'!$C$12,'1-Input'!$B$12,0))-MIN(MAX(T542,0),MAX(0,P506-IF($A543&gt;='1-Input'!$C$12,'1-Input'!$B$12,0))))*(1/(1-'P-Parametri'!$B$6*P543))+MIN(MAX(0,U542-(MAX(0,P506-IF($A543&gt;='1-Input'!$C$12,'1-Input'!$B$12,0))-MIN(MAX(T542,0),MAX(0,P506-IF($A543&gt;='1-Input'!$C$12,'1-Input'!$B$12,0))))*(1/(1-'P-Parametri'!$B$6*P543))),MAX(0,2*P506-(T542-MIN(MAX(T542,0),MAX(0,P506-IF($A543&gt;='1-Input'!$C$12,'1-Input'!$B$12,0)))))*(1/(1-'P-Parametri'!$B$6*P543))))</f>
        <v>8750.1808116927314</v>
      </c>
      <c r="R543" s="18">
        <f>IF($A543&gt;'1-Input'!$B$26,T542,(T542-MAX(0,P506-IF($A543&gt;='1-Input'!$C$12,'1-Input'!$B$12,0))+Q543*(1-'P-Parametri'!$B$6*P543))*(1+'1-Input'!$B$27))</f>
        <v>36188.277471006419</v>
      </c>
      <c r="S543" s="18">
        <f>IF($A543&gt;'1-Input'!$B$26,U542,(U542-Q543)*(1+$C$4))</f>
        <v>23848.837031689392</v>
      </c>
      <c r="T543" s="18">
        <f>IF($A543&gt;'1-Input'!$B$26,R543,R543-'P-Parametri'!$B$8*(S543+R543)+MIN(MAX(S543,0),'P-Parametri'!$B$8*(S543+R543)))</f>
        <v>36188.277471006419</v>
      </c>
      <c r="U543" s="18">
        <f>IF($A543&gt;'1-Input'!$B$26,S543,S543-MIN(MAX(S543,0),'P-Parametri'!$B$8*(S543+R543)))</f>
        <v>23728.762802683999</v>
      </c>
      <c r="V543" s="18">
        <f>IF($A543&gt;'1-Input'!$B$26,V542,V542-Q543*(1-P543))</f>
        <v>7257.8317597770547</v>
      </c>
      <c r="W543" s="11">
        <f>IF($A543&gt;'1-Input'!$B$26,0,IF(AB542&lt;=0,0,MAX(0,(AB542-AC542)/AB542)))</f>
        <v>0.68744538116990073</v>
      </c>
      <c r="X543" s="18">
        <f>IF($A543&gt;'1-Input'!$B$26,0,(MAX(0,W506-IF($A543&gt;='1-Input'!$C$12,'1-Input'!$B$12,0))-MIN(MAX(AA542,0),MAX(0,W506-IF($A543&gt;='1-Input'!$C$12,'1-Input'!$B$12,0))))*(1/(1-'P-Parametri'!$B$6*W543))+MIN(MAX(0,AB542-(MAX(0,W506-IF($A543&gt;='1-Input'!$C$12,'1-Input'!$B$12,0))-MIN(MAX(AA542,0),MAX(0,W506-IF($A543&gt;='1-Input'!$C$12,'1-Input'!$B$12,0))))*(1/(1-'P-Parametri'!$B$6*W543))),MAX(0,2*W506-(AA542-MIN(MAX(AA542,0),MAX(0,W506-IF($A543&gt;='1-Input'!$C$12,'1-Input'!$B$12,0)))))*(1/(1-'P-Parametri'!$B$6*W543))))</f>
        <v>8506.2215533424624</v>
      </c>
      <c r="Y543" s="18">
        <f>IF($A543&gt;'1-Input'!$B$26,AA542,(AA542-MAX(0,W506-IF($A543&gt;='1-Input'!$C$12,'1-Input'!$B$12,0))+X543*(1-'P-Parametri'!$B$6*W543))*(1+'1-Input'!$B$27))</f>
        <v>35787.805734234928</v>
      </c>
      <c r="Z543" s="18">
        <f>IF($A543&gt;'1-Input'!$B$26,AB542,(AB542-X543)*(1+$C$4))</f>
        <v>38666.290754650596</v>
      </c>
      <c r="AA543" s="18">
        <f>IF($A543&gt;'1-Input'!$B$26,Y543,Y543-'P-Parametri'!$B$8*(Z543+Y543)+MIN(MAX(Z543,0),'P-Parametri'!$B$8*(Z543+Y543)))</f>
        <v>35787.805734234928</v>
      </c>
      <c r="AB543" s="18">
        <f>IF($A543&gt;'1-Input'!$B$26,Z543,Z543-MIN(MAX(Z543,0),'P-Parametri'!$B$8*(Z543+Y543)))</f>
        <v>38517.382561672828</v>
      </c>
      <c r="AC543" s="18">
        <f>IF($A543&gt;'1-Input'!$B$26,AC542,AC542-X543*(1-W543))</f>
        <v>11733.327930479234</v>
      </c>
      <c r="AD543" s="11">
        <f>IF($A543&gt;'1-Input'!$B$26,0,IF(AI542&lt;=0,0,MAX(0,(AI542-AJ542)/AI542)))</f>
        <v>0.68749454147689848</v>
      </c>
      <c r="AE543" s="18">
        <f>IF($A543&gt;'1-Input'!$B$26,0,(MAX(0,AD506-IF($A543&gt;='1-Input'!$C$12,'1-Input'!$B$12,0))-MIN(MAX(AH542,0),MAX(0,AD506-IF($A543&gt;='1-Input'!$C$12,'1-Input'!$B$12,0))))*(1/(1-'P-Parametri'!$B$6*AD543))+MIN(MAX(0,AI542-(MAX(0,AD506-IF($A543&gt;='1-Input'!$C$12,'1-Input'!$B$12,0))-MIN(MAX(AH542,0),MAX(0,AD506-IF($A543&gt;='1-Input'!$C$12,'1-Input'!$B$12,0))))*(1/(1-'P-Parametri'!$B$6*AD543))),MAX(0,2*AD506-(AH542-MIN(MAX(AH542,0),MAX(0,AD506-IF($A543&gt;='1-Input'!$C$12,'1-Input'!$B$12,0)))))*(1/(1-'P-Parametri'!$B$6*AD543))))</f>
        <v>8489.3697182573542</v>
      </c>
      <c r="AF543" s="18">
        <f>IF($A543&gt;'1-Input'!$B$26,AH542,(AH542-MAX(0,AD506-IF($A543&gt;='1-Input'!$C$12,'1-Input'!$B$12,0))+AE543*(1-'P-Parametri'!$B$6*AD543))*(1+'1-Input'!$B$27))</f>
        <v>35760.208229591961</v>
      </c>
      <c r="AG543" s="18">
        <f>IF($A543&gt;'1-Input'!$B$26,AI542,(AI542-AE543)*(1+$C$4))</f>
        <v>39687.560927151353</v>
      </c>
      <c r="AH543" s="18">
        <f>IF($A543&gt;'1-Input'!$B$26,AF543,AF543-'P-Parametri'!$B$8*(AG543+AF543)+MIN(MAX(AG543,0),'P-Parametri'!$B$8*(AG543+AF543)))</f>
        <v>35760.208229591961</v>
      </c>
      <c r="AI543" s="18">
        <f>IF($A543&gt;'1-Input'!$B$26,AG543,AG543-MIN(MAX(AG543,0),'P-Parametri'!$B$8*(AG543+AF543)))</f>
        <v>39536.665388837864</v>
      </c>
      <c r="AJ543" s="18">
        <f>IF($A543&gt;'1-Input'!$B$26,AJ542,AJ542-AE543*(1-AD543))</f>
        <v>12041.339247769865</v>
      </c>
      <c r="AK543" s="11">
        <f>IF($A543&gt;'1-Input'!$B$26,0,IF(AP542&lt;=0,0,MAX(0,(AP542-AQ542)/AP542)))</f>
        <v>0.68749465655057385</v>
      </c>
      <c r="AL543" s="18">
        <f>IF($A543&gt;'1-Input'!$B$26,0,(MAX(0,AK506-IF($A543&gt;='1-Input'!$C$12,'1-Input'!$B$12,0))-MIN(MAX(AO542,0),MAX(0,AK506-IF($A543&gt;='1-Input'!$C$12,'1-Input'!$B$12,0))))*(1/(1-'P-Parametri'!$B$6*AK543))+MIN(MAX(0,AP542-(MAX(0,AK506-IF($A543&gt;='1-Input'!$C$12,'1-Input'!$B$12,0))-MIN(MAX(AO542,0),MAX(0,AK506-IF($A543&gt;='1-Input'!$C$12,'1-Input'!$B$12,0))))*(1/(1-'P-Parametri'!$B$6*AK543))),MAX(0,2*AK506-(AO542-MIN(MAX(AO542,0),MAX(0,AK506-IF($A543&gt;='1-Input'!$C$12,'1-Input'!$B$12,0)))))*(1/(1-'P-Parametri'!$B$6*AK543))))</f>
        <v>8489.3297556707403</v>
      </c>
      <c r="AM543" s="18">
        <f>IF($A543&gt;'1-Input'!$B$26,AO542,(AO542-MAX(0,AK506-IF($A543&gt;='1-Input'!$C$12,'1-Input'!$B$12,0))+AL543*(1-'P-Parametri'!$B$6*AK543))*(1+'1-Input'!$B$27))</f>
        <v>35760.142792219878</v>
      </c>
      <c r="AN543" s="18">
        <f>IF($A543&gt;'1-Input'!$B$26,AP542,(AP542-AL543)*(1+$C$4))</f>
        <v>39689.982516229975</v>
      </c>
      <c r="AO543" s="18">
        <f>IF($A543&gt;'1-Input'!$B$26,AM543,AM543-'P-Parametri'!$B$8*(AN543+AM543)+MIN(MAX(AN543,0),'P-Parametri'!$B$8*(AN543+AM543)))</f>
        <v>35760.142792219878</v>
      </c>
      <c r="AP543" s="18">
        <f>IF($A543&gt;'1-Input'!$B$26,AN543,AN543-MIN(MAX(AN543,0),'P-Parametri'!$B$8*(AN543+AM543)))</f>
        <v>39539.082265613077</v>
      </c>
      <c r="AQ543" s="18">
        <f>IF($A543&gt;'1-Input'!$B$26,AQ542,AQ542-AL543*(1-AK543))</f>
        <v>12042.069531782683</v>
      </c>
    </row>
    <row r="544" spans="1:43">
      <c r="A544" s="10">
        <f>36</f>
        <v>36</v>
      </c>
      <c r="B544" s="11">
        <f>IF($A544&gt;'1-Input'!$B$26,0,IF(G543&lt;=0,0,MAX(0,(G543-H543)/G543)))</f>
        <v>0.69798774281220166</v>
      </c>
      <c r="C544" s="18">
        <f>IF($A544&gt;'1-Input'!$B$26,0,(MAX(0,B506-IF($A544&gt;='1-Input'!$C$12,'1-Input'!$B$12,0))-MIN(MAX(F543,0),MAX(0,B506-IF($A544&gt;='1-Input'!$C$12,'1-Input'!$B$12,0))))*(1/(1-'P-Parametri'!$B$6*B544))+MIN(MAX(0,G543-(MAX(0,B506-IF($A544&gt;='1-Input'!$C$12,'1-Input'!$B$12,0))-MIN(MAX(F543,0),MAX(0,B506-IF($A544&gt;='1-Input'!$C$12,'1-Input'!$B$12,0))))*(1/(1-'P-Parametri'!$B$6*B544))),MAX(0,2*B506-(F543-MIN(MAX(F543,0),MAX(0,B506-IF($A544&gt;='1-Input'!$C$12,'1-Input'!$B$12,0)))))*(1/(1-'P-Parametri'!$B$6*B544))))</f>
        <v>6962.7336211361671</v>
      </c>
      <c r="D544" s="18">
        <f>IF($A544&gt;'1-Input'!$B$26,F543,(F543-MAX(0,B506-IF($A544&gt;='1-Input'!$C$12,'1-Input'!$B$12,0))+C544*(1-'P-Parametri'!$B$6*B544))*(1+'1-Input'!$B$27))</f>
        <v>33242.0070309863</v>
      </c>
      <c r="E544" s="18">
        <f>IF($A544&gt;'1-Input'!$B$26,G543,(G543-C544)*(1+$C$4))</f>
        <v>129392.70388258464</v>
      </c>
      <c r="F544" s="18">
        <f>IF($A544&gt;'1-Input'!$B$26,D544,D544-'P-Parametri'!$B$8*(E544+D544)+MIN(MAX(E544,0),'P-Parametri'!$B$8*(E544+D544)))</f>
        <v>33242.0070309863</v>
      </c>
      <c r="G544" s="18">
        <f>IF($A544&gt;'1-Input'!$B$26,E544,E544-MIN(MAX(E544,0),'P-Parametri'!$B$8*(E544+D544)))</f>
        <v>129067.4344607575</v>
      </c>
      <c r="H544" s="18">
        <f>IF($A544&gt;'1-Input'!$B$26,H543,H543-C544*(1-B544))</f>
        <v>37939.98307107939</v>
      </c>
      <c r="I544" s="11">
        <f>IF($A544&gt;'1-Input'!$B$26,0,IF(N543&lt;=0,0,MAX(0,(N543-O543)/N543)))</f>
        <v>0</v>
      </c>
      <c r="J544" s="18">
        <f>IF($A544&gt;'1-Input'!$B$26,0,(MAX(0,I506-IF($A544&gt;='1-Input'!$C$12,'1-Input'!$B$12,0))-MIN(MAX(M543,0),MAX(0,I506-IF($A544&gt;='1-Input'!$C$12,'1-Input'!$B$12,0))))*(1/(1-'P-Parametri'!$B$6*I544))+MIN(MAX(0,N543-(MAX(0,I506-IF($A544&gt;='1-Input'!$C$12,'1-Input'!$B$12,0))-MIN(MAX(M543,0),MAX(0,I506-IF($A544&gt;='1-Input'!$C$12,'1-Input'!$B$12,0))))*(1/(1-'P-Parametri'!$B$6*I544))),MAX(0,2*I506-(M543-MIN(MAX(M543,0),MAX(0,I506-IF($A544&gt;='1-Input'!$C$12,'1-Input'!$B$12,0)))))*(1/(1-'P-Parametri'!$B$6*I544))))</f>
        <v>10846.756992928691</v>
      </c>
      <c r="K544" s="18">
        <f>IF($A544&gt;'1-Input'!$B$26,M543,(M543-MAX(0,I506-IF($A544&gt;='1-Input'!$C$12,'1-Input'!$B$12,0))+J544*(1-'P-Parametri'!$B$6*I544))*(1+'1-Input'!$B$27))</f>
        <v>0</v>
      </c>
      <c r="L544" s="18">
        <f>IF($A544&gt;'1-Input'!$B$26,N543,(N543-J544)*(1+$C$4))</f>
        <v>-162721.6312413881</v>
      </c>
      <c r="M544" s="18">
        <f>IF($A544&gt;'1-Input'!$B$26,K544,K544-'P-Parametri'!$B$8*(L544+K544)+MIN(MAX(L544,0),'P-Parametri'!$B$8*(L544+K544)))</f>
        <v>0</v>
      </c>
      <c r="N544" s="18">
        <f>IF($A544&gt;'1-Input'!$B$26,L544,L544-MIN(MAX(L544,0),'P-Parametri'!$B$8*(L544+K544)))</f>
        <v>-162396.18797890531</v>
      </c>
      <c r="O544" s="18">
        <f>IF($A544&gt;'1-Input'!$B$26,O543,O543-J544*(1-I544))</f>
        <v>-134352.33516480215</v>
      </c>
      <c r="P544" s="11">
        <f>IF($A544&gt;'1-Input'!$B$26,0,IF(U543&lt;=0,0,MAX(0,(U543-V543)/U543)))</f>
        <v>0.69413357872345083</v>
      </c>
      <c r="Q544" s="18">
        <f>IF($A544&gt;'1-Input'!$B$26,0,(MAX(0,P506-IF($A544&gt;='1-Input'!$C$12,'1-Input'!$B$12,0))-MIN(MAX(T543,0),MAX(0,P506-IF($A544&gt;='1-Input'!$C$12,'1-Input'!$B$12,0))))*(1/(1-'P-Parametri'!$B$6*P544))+MIN(MAX(0,U543-(MAX(0,P506-IF($A544&gt;='1-Input'!$C$12,'1-Input'!$B$12,0))-MIN(MAX(T543,0),MAX(0,P506-IF($A544&gt;='1-Input'!$C$12,'1-Input'!$B$12,0))))*(1/(1-'P-Parametri'!$B$6*P544))),MAX(0,2*P506-(T543-MIN(MAX(T543,0),MAX(0,P506-IF($A544&gt;='1-Input'!$C$12,'1-Input'!$B$12,0)))))*(1/(1-'P-Parametri'!$B$6*P544))))</f>
        <v>8771.2505556017695</v>
      </c>
      <c r="R544" s="18">
        <f>IF($A544&gt;'1-Input'!$B$26,T543,(T543-MAX(0,P506-IF($A544&gt;='1-Input'!$C$12,'1-Input'!$B$12,0))+Q544*(1-'P-Parametri'!$B$6*P544))*(1+'1-Input'!$B$27))</f>
        <v>36188.277471006419</v>
      </c>
      <c r="S544" s="18">
        <f>IF($A544&gt;'1-Input'!$B$26,U543,(U543-Q544)*(1+$C$4))</f>
        <v>15406.237614494697</v>
      </c>
      <c r="T544" s="18">
        <f>IF($A544&gt;'1-Input'!$B$26,R544,R544-'P-Parametri'!$B$8*(S544+R544)+MIN(MAX(S544,0),'P-Parametri'!$B$8*(S544+R544)))</f>
        <v>36188.277471006419</v>
      </c>
      <c r="U544" s="18">
        <f>IF($A544&gt;'1-Input'!$B$26,S544,S544-MIN(MAX(S544,0),'P-Parametri'!$B$8*(S544+R544)))</f>
        <v>15303.048584323695</v>
      </c>
      <c r="V544" s="18">
        <f>IF($A544&gt;'1-Input'!$B$26,V543,V543-Q544*(1-P544))</f>
        <v>4575.0007422151975</v>
      </c>
      <c r="W544" s="11">
        <f>IF($A544&gt;'1-Input'!$B$26,0,IF(AB543&lt;=0,0,MAX(0,(AB543-AC543)/AB543)))</f>
        <v>0.69537577192084132</v>
      </c>
      <c r="X544" s="18">
        <f>IF($A544&gt;'1-Input'!$B$26,0,(MAX(0,W506-IF($A544&gt;='1-Input'!$C$12,'1-Input'!$B$12,0))-MIN(MAX(AA543,0),MAX(0,W506-IF($A544&gt;='1-Input'!$C$12,'1-Input'!$B$12,0))))*(1/(1-'P-Parametri'!$B$6*W544))+MIN(MAX(0,AB543-(MAX(0,W506-IF($A544&gt;='1-Input'!$C$12,'1-Input'!$B$12,0))-MIN(MAX(AA543,0),MAX(0,W506-IF($A544&gt;='1-Input'!$C$12,'1-Input'!$B$12,0))))*(1/(1-'P-Parametri'!$B$6*W544))),MAX(0,2*W506-(AA543-MIN(MAX(AA543,0),MAX(0,W506-IF($A544&gt;='1-Input'!$C$12,'1-Input'!$B$12,0)))))*(1/(1-'P-Parametri'!$B$6*W544))))</f>
        <v>8527.6313953379195</v>
      </c>
      <c r="Y544" s="18">
        <f>IF($A544&gt;'1-Input'!$B$26,AA543,(AA543-MAX(0,W506-IF($A544&gt;='1-Input'!$C$12,'1-Input'!$B$12,0))+X544*(1-'P-Parametri'!$B$6*W544))*(1+'1-Input'!$B$27))</f>
        <v>35787.805734234928</v>
      </c>
      <c r="Z544" s="18">
        <f>IF($A544&gt;'1-Input'!$B$26,AB543,(AB543-X544)*(1+$C$4))</f>
        <v>30889.443701324955</v>
      </c>
      <c r="AA544" s="18">
        <f>IF($A544&gt;'1-Input'!$B$26,Y544,Y544-'P-Parametri'!$B$8*(Z544+Y544)+MIN(MAX(Z544,0),'P-Parametri'!$B$8*(Z544+Y544)))</f>
        <v>35787.805734234928</v>
      </c>
      <c r="AB544" s="18">
        <f>IF($A544&gt;'1-Input'!$B$26,Z544,Z544-MIN(MAX(Z544,0),'P-Parametri'!$B$8*(Z544+Y544)))</f>
        <v>30756.089202453837</v>
      </c>
      <c r="AC544" s="18">
        <f>IF($A544&gt;'1-Input'!$B$26,AC543,AC543-X544*(1-W544))</f>
        <v>9135.6047993308221</v>
      </c>
      <c r="AD544" s="11">
        <f>IF($A544&gt;'1-Input'!$B$26,0,IF(AI543&lt;=0,0,MAX(0,(AI543-AJ543)/AI543)))</f>
        <v>0.69543867371350387</v>
      </c>
      <c r="AE544" s="18">
        <f>IF($A544&gt;'1-Input'!$B$26,0,(MAX(0,AD506-IF($A544&gt;='1-Input'!$C$12,'1-Input'!$B$12,0))-MIN(MAX(AH543,0),MAX(0,AD506-IF($A544&gt;='1-Input'!$C$12,'1-Input'!$B$12,0))))*(1/(1-'P-Parametri'!$B$6*AD544))+MIN(MAX(0,AI543-(MAX(0,AD506-IF($A544&gt;='1-Input'!$C$12,'1-Input'!$B$12,0))-MIN(MAX(AH543,0),MAX(0,AD506-IF($A544&gt;='1-Input'!$C$12,'1-Input'!$B$12,0))))*(1/(1-'P-Parametri'!$B$6*AD544))),MAX(0,2*AD506-(AH543-MIN(MAX(AH543,0),MAX(0,AD506-IF($A544&gt;='1-Input'!$C$12,'1-Input'!$B$12,0)))))*(1/(1-'P-Parametri'!$B$6*AD544))))</f>
        <v>8510.7745968186355</v>
      </c>
      <c r="AF544" s="18">
        <f>IF($A544&gt;'1-Input'!$B$26,AH543,(AH543-MAX(0,AD506-IF($A544&gt;='1-Input'!$C$12,'1-Input'!$B$12,0))+AE544*(1-'P-Parametri'!$B$6*AD544))*(1+'1-Input'!$B$27))</f>
        <v>35760.208229591961</v>
      </c>
      <c r="AG544" s="18">
        <f>IF($A544&gt;'1-Input'!$B$26,AI543,(AI543-AE544)*(1+$C$4))</f>
        <v>31956.667515779805</v>
      </c>
      <c r="AH544" s="18">
        <f>IF($A544&gt;'1-Input'!$B$26,AF544,AF544-'P-Parametri'!$B$8*(AG544+AF544)+MIN(MAX(AG544,0),'P-Parametri'!$B$8*(AG544+AF544)))</f>
        <v>35760.208229591961</v>
      </c>
      <c r="AI544" s="18">
        <f>IF($A544&gt;'1-Input'!$B$26,AG544,AG544-MIN(MAX(AG544,0),'P-Parametri'!$B$8*(AG544+AF544)))</f>
        <v>31821.233764289063</v>
      </c>
      <c r="AJ544" s="18">
        <f>IF($A544&gt;'1-Input'!$B$26,AJ543,AJ543-AE544*(1-AD544))</f>
        <v>9449.2864488373634</v>
      </c>
      <c r="AK544" s="11">
        <f>IF($A544&gt;'1-Input'!$B$26,0,IF(AP543&lt;=0,0,MAX(0,(AP543-AQ543)/AP543)))</f>
        <v>0.69543882048431849</v>
      </c>
      <c r="AL544" s="18">
        <f>IF($A544&gt;'1-Input'!$B$26,0,(MAX(0,AK506-IF($A544&gt;='1-Input'!$C$12,'1-Input'!$B$12,0))-MIN(MAX(AO543,0),MAX(0,AK506-IF($A544&gt;='1-Input'!$C$12,'1-Input'!$B$12,0))))*(1/(1-'P-Parametri'!$B$6*AK544))+MIN(MAX(0,AP543-(MAX(0,AK506-IF($A544&gt;='1-Input'!$C$12,'1-Input'!$B$12,0))-MIN(MAX(AO543,0),MAX(0,AK506-IF($A544&gt;='1-Input'!$C$12,'1-Input'!$B$12,0))))*(1/(1-'P-Parametri'!$B$6*AK544))),MAX(0,2*AK506-(AO543-MIN(MAX(AO543,0),MAX(0,AK506-IF($A544&gt;='1-Input'!$C$12,'1-Input'!$B$12,0)))))*(1/(1-'P-Parametri'!$B$6*AK544))))</f>
        <v>8510.7346198736941</v>
      </c>
      <c r="AM544" s="18">
        <f>IF($A544&gt;'1-Input'!$B$26,AO543,(AO543-MAX(0,AK506-IF($A544&gt;='1-Input'!$C$12,'1-Input'!$B$12,0))+AL544*(1-'P-Parametri'!$B$6*AK544))*(1+'1-Input'!$B$27))</f>
        <v>35760.142792219878</v>
      </c>
      <c r="AN544" s="18">
        <f>IF($A544&gt;'1-Input'!$B$26,AP543,(AP543-AL544)*(1+$C$4))</f>
        <v>31959.198075111566</v>
      </c>
      <c r="AO544" s="18">
        <f>IF($A544&gt;'1-Input'!$B$26,AM544,AM544-'P-Parametri'!$B$8*(AN544+AM544)+MIN(MAX(AN544,0),'P-Parametri'!$B$8*(AN544+AM544)))</f>
        <v>35760.142792219878</v>
      </c>
      <c r="AP544" s="18">
        <f>IF($A544&gt;'1-Input'!$B$26,AN544,AN544-MIN(MAX(AN544,0),'P-Parametri'!$B$8*(AN544+AM544)))</f>
        <v>31823.759393376902</v>
      </c>
      <c r="AQ544" s="18">
        <f>IF($A544&gt;'1-Input'!$B$26,AQ543,AQ543-AL544*(1-AK544))</f>
        <v>9450.0301574090045</v>
      </c>
    </row>
    <row r="545" spans="1:43">
      <c r="A545" s="10">
        <f>37</f>
        <v>37</v>
      </c>
      <c r="B545" s="11">
        <f>IF($A545&gt;'1-Input'!$B$26,0,IF(G544&lt;=0,0,MAX(0,(G544-H544)/G544)))</f>
        <v>0.7060452682770656</v>
      </c>
      <c r="C545" s="18">
        <f>IF($A545&gt;'1-Input'!$B$26,0,(MAX(0,B506-IF($A545&gt;='1-Input'!$C$12,'1-Input'!$B$12,0))-MIN(MAX(F544,0),MAX(0,B506-IF($A545&gt;='1-Input'!$C$12,'1-Input'!$B$12,0))))*(1/(1-'P-Parametri'!$B$6*B545))+MIN(MAX(0,G544-(MAX(0,B506-IF($A545&gt;='1-Input'!$C$12,'1-Input'!$B$12,0))-MIN(MAX(F544,0),MAX(0,B506-IF($A545&gt;='1-Input'!$C$12,'1-Input'!$B$12,0))))*(1/(1-'P-Parametri'!$B$6*B545))),MAX(0,2*B506-(F544-MIN(MAX(F544,0),MAX(0,B506-IF($A545&gt;='1-Input'!$C$12,'1-Input'!$B$12,0)))))*(1/(1-'P-Parametri'!$B$6*B545))))</f>
        <v>6980.6000108058215</v>
      </c>
      <c r="D545" s="18">
        <f>IF($A545&gt;'1-Input'!$B$26,F544,(F544-MAX(0,B506-IF($A545&gt;='1-Input'!$C$12,'1-Input'!$B$12,0))+C545*(1-'P-Parametri'!$B$6*B545))*(1+'1-Input'!$B$27))</f>
        <v>33242.0070309863</v>
      </c>
      <c r="E545" s="18">
        <f>IF($A545&gt;'1-Input'!$B$26,G544,(G544-C545)*(1+$C$4))</f>
        <v>125749.43948345023</v>
      </c>
      <c r="F545" s="18">
        <f>IF($A545&gt;'1-Input'!$B$26,D545,D545-'P-Parametri'!$B$8*(E545+D545)+MIN(MAX(E545,0),'P-Parametri'!$B$8*(E545+D545)))</f>
        <v>33242.0070309863</v>
      </c>
      <c r="G545" s="18">
        <f>IF($A545&gt;'1-Input'!$B$26,E545,E545-MIN(MAX(E545,0),'P-Parametri'!$B$8*(E545+D545)))</f>
        <v>125431.45659042135</v>
      </c>
      <c r="H545" s="18">
        <f>IF($A545&gt;'1-Input'!$B$26,H544,H544-C545*(1-B545))</f>
        <v>35888.002667637855</v>
      </c>
      <c r="I545" s="11">
        <f>IF($A545&gt;'1-Input'!$B$26,0,IF(N544&lt;=0,0,MAX(0,(N544-O544)/N544)))</f>
        <v>0</v>
      </c>
      <c r="J545" s="18">
        <f>IF($A545&gt;'1-Input'!$B$26,0,(MAX(0,I506-IF($A545&gt;='1-Input'!$C$12,'1-Input'!$B$12,0))-MIN(MAX(M544,0),MAX(0,I506-IF($A545&gt;='1-Input'!$C$12,'1-Input'!$B$12,0))))*(1/(1-'P-Parametri'!$B$6*I545))+MIN(MAX(0,N544-(MAX(0,I506-IF($A545&gt;='1-Input'!$C$12,'1-Input'!$B$12,0))-MIN(MAX(M544,0),MAX(0,I506-IF($A545&gt;='1-Input'!$C$12,'1-Input'!$B$12,0))))*(1/(1-'P-Parametri'!$B$6*I545))),MAX(0,2*I506-(M544-MIN(MAX(M544,0),MAX(0,I506-IF($A545&gt;='1-Input'!$C$12,'1-Input'!$B$12,0)))))*(1/(1-'P-Parametri'!$B$6*I545))))</f>
        <v>10846.756992928691</v>
      </c>
      <c r="K545" s="18">
        <f>IF($A545&gt;'1-Input'!$B$26,M544,(M544-MAX(0,I506-IF($A545&gt;='1-Input'!$C$12,'1-Input'!$B$12,0))+J545*(1-'P-Parametri'!$B$6*I545))*(1+'1-Input'!$B$27))</f>
        <v>0</v>
      </c>
      <c r="L545" s="18">
        <f>IF($A545&gt;'1-Input'!$B$26,N544,(N544-J545)*(1+$C$4))</f>
        <v>-178440.23332098901</v>
      </c>
      <c r="M545" s="18">
        <f>IF($A545&gt;'1-Input'!$B$26,K545,K545-'P-Parametri'!$B$8*(L545+K545)+MIN(MAX(L545,0),'P-Parametri'!$B$8*(L545+K545)))</f>
        <v>0</v>
      </c>
      <c r="N545" s="18">
        <f>IF($A545&gt;'1-Input'!$B$26,L545,L545-MIN(MAX(L545,0),'P-Parametri'!$B$8*(L545+K545)))</f>
        <v>-178083.35285434703</v>
      </c>
      <c r="O545" s="18">
        <f>IF($A545&gt;'1-Input'!$B$26,O544,O544-J545*(1-I545))</f>
        <v>-145199.09215773083</v>
      </c>
      <c r="P545" s="11">
        <f>IF($A545&gt;'1-Input'!$B$26,0,IF(U544&lt;=0,0,MAX(0,(U544-V544)/U544)))</f>
        <v>0.70103991260265697</v>
      </c>
      <c r="Q545" s="18">
        <f>IF($A545&gt;'1-Input'!$B$26,0,(MAX(0,P506-IF($A545&gt;='1-Input'!$C$12,'1-Input'!$B$12,0))-MIN(MAX(T544,0),MAX(0,P506-IF($A545&gt;='1-Input'!$C$12,'1-Input'!$B$12,0))))*(1/(1-'P-Parametri'!$B$6*P545))+MIN(MAX(0,U544-(MAX(0,P506-IF($A545&gt;='1-Input'!$C$12,'1-Input'!$B$12,0))-MIN(MAX(T544,0),MAX(0,P506-IF($A545&gt;='1-Input'!$C$12,'1-Input'!$B$12,0))))*(1/(1-'P-Parametri'!$B$6*P545))),MAX(0,2*P506-(T544-MIN(MAX(T544,0),MAX(0,P506-IF($A545&gt;='1-Input'!$C$12,'1-Input'!$B$12,0)))))*(1/(1-'P-Parametri'!$B$6*P545))))</f>
        <v>8790.5112838790301</v>
      </c>
      <c r="R545" s="18">
        <f>IF($A545&gt;'1-Input'!$B$26,T544,(T544-MAX(0,P506-IF($A545&gt;='1-Input'!$C$12,'1-Input'!$B$12,0))+Q545*(1-'P-Parametri'!$B$6*P545))*(1+'1-Input'!$B$27))</f>
        <v>36188.277471006419</v>
      </c>
      <c r="S545" s="18">
        <f>IF($A545&gt;'1-Input'!$B$26,U544,(U544-Q545)*(1+$C$4))</f>
        <v>6707.9134194580047</v>
      </c>
      <c r="T545" s="18">
        <f>IF($A545&gt;'1-Input'!$B$26,R545,R545-'P-Parametri'!$B$8*(S545+R545)+MIN(MAX(S545,0),'P-Parametri'!$B$8*(S545+R545)))</f>
        <v>36188.277471006419</v>
      </c>
      <c r="U545" s="18">
        <f>IF($A545&gt;'1-Input'!$B$26,S545,S545-MIN(MAX(S545,0),'P-Parametri'!$B$8*(S545+R545)))</f>
        <v>6622.1210376770759</v>
      </c>
      <c r="V545" s="18">
        <f>IF($A545&gt;'1-Input'!$B$26,V544,V544-Q545*(1-P545))</f>
        <v>1946.9887205193927</v>
      </c>
      <c r="W545" s="11">
        <f>IF($A545&gt;'1-Input'!$B$26,0,IF(AB544&lt;=0,0,MAX(0,(AB544-AC544)/AB544)))</f>
        <v>0.7029659805186822</v>
      </c>
      <c r="X545" s="18">
        <f>IF($A545&gt;'1-Input'!$B$26,0,(MAX(0,W506-IF($A545&gt;='1-Input'!$C$12,'1-Input'!$B$12,0))-MIN(MAX(AA544,0),MAX(0,W506-IF($A545&gt;='1-Input'!$C$12,'1-Input'!$B$12,0))))*(1/(1-'P-Parametri'!$B$6*W545))+MIN(MAX(0,AB544-(MAX(0,W506-IF($A545&gt;='1-Input'!$C$12,'1-Input'!$B$12,0))-MIN(MAX(AA544,0),MAX(0,W506-IF($A545&gt;='1-Input'!$C$12,'1-Input'!$B$12,0))))*(1/(1-'P-Parametri'!$B$6*W545))),MAX(0,2*W506-(AA544-MIN(MAX(AA544,0),MAX(0,W506-IF($A545&gt;='1-Input'!$C$12,'1-Input'!$B$12,0)))))*(1/(1-'P-Parametri'!$B$6*W545))))</f>
        <v>8548.224024192139</v>
      </c>
      <c r="Y545" s="18">
        <f>IF($A545&gt;'1-Input'!$B$26,AA544,(AA544-MAX(0,W506-IF($A545&gt;='1-Input'!$C$12,'1-Input'!$B$12,0))+X545*(1-'P-Parametri'!$B$6*W545))*(1+'1-Input'!$B$27))</f>
        <v>35787.805734234928</v>
      </c>
      <c r="Z545" s="18">
        <f>IF($A545&gt;'1-Input'!$B$26,AB544,(AB544-X545)*(1+$C$4))</f>
        <v>22874.101133609551</v>
      </c>
      <c r="AA545" s="18">
        <f>IF($A545&gt;'1-Input'!$B$26,Y545,Y545-'P-Parametri'!$B$8*(Z545+Y545)+MIN(MAX(Z545,0),'P-Parametri'!$B$8*(Z545+Y545)))</f>
        <v>35787.805734234928</v>
      </c>
      <c r="AB545" s="18">
        <f>IF($A545&gt;'1-Input'!$B$26,Z545,Z545-MIN(MAX(Z545,0),'P-Parametri'!$B$8*(Z545+Y545)))</f>
        <v>22756.777319873861</v>
      </c>
      <c r="AC545" s="18">
        <f>IF($A545&gt;'1-Input'!$B$26,AC544,AC544-X545*(1-W545))</f>
        <v>6596.4914579982651</v>
      </c>
      <c r="AD545" s="11">
        <f>IF($A545&gt;'1-Input'!$B$26,0,IF(AI544&lt;=0,0,MAX(0,(AI544-AJ544)/AI544)))</f>
        <v>0.70305090874755161</v>
      </c>
      <c r="AE545" s="18">
        <f>IF($A545&gt;'1-Input'!$B$26,0,(MAX(0,AD506-IF($A545&gt;='1-Input'!$C$12,'1-Input'!$B$12,0))-MIN(MAX(AH544,0),MAX(0,AD506-IF($A545&gt;='1-Input'!$C$12,'1-Input'!$B$12,0))))*(1/(1-'P-Parametri'!$B$6*AD545))+MIN(MAX(0,AI544-(MAX(0,AD506-IF($A545&gt;='1-Input'!$C$12,'1-Input'!$B$12,0))-MIN(MAX(AH544,0),MAX(0,AD506-IF($A545&gt;='1-Input'!$C$12,'1-Input'!$B$12,0))))*(1/(1-'P-Parametri'!$B$6*AD545))),MAX(0,2*AD506-(AH544-MIN(MAX(AH544,0),MAX(0,AD506-IF($A545&gt;='1-Input'!$C$12,'1-Input'!$B$12,0)))))*(1/(1-'P-Parametri'!$B$6*AD545))))</f>
        <v>8531.3867173386989</v>
      </c>
      <c r="AF545" s="18">
        <f>IF($A545&gt;'1-Input'!$B$26,AH544,(AH544-MAX(0,AD506-IF($A545&gt;='1-Input'!$C$12,'1-Input'!$B$12,0))+AE545*(1-'P-Parametri'!$B$6*AD545))*(1+'1-Input'!$B$27))</f>
        <v>35760.208229591961</v>
      </c>
      <c r="AG545" s="18">
        <f>IF($A545&gt;'1-Input'!$B$26,AI544,(AI544-AE545)*(1+$C$4))</f>
        <v>23988.542458358879</v>
      </c>
      <c r="AH545" s="18">
        <f>IF($A545&gt;'1-Input'!$B$26,AF545,AF545-'P-Parametri'!$B$8*(AG545+AF545)+MIN(MAX(AG545,0),'P-Parametri'!$B$8*(AG545+AF545)))</f>
        <v>35760.208229591961</v>
      </c>
      <c r="AI545" s="18">
        <f>IF($A545&gt;'1-Input'!$B$26,AG545,AG545-MIN(MAX(AG545,0),'P-Parametri'!$B$8*(AG545+AF545)))</f>
        <v>23869.044956982976</v>
      </c>
      <c r="AJ545" s="18">
        <f>IF($A545&gt;'1-Input'!$B$26,AJ544,AJ544-AE545*(1-AD545))</f>
        <v>6915.8989160004276</v>
      </c>
      <c r="AK545" s="11">
        <f>IF($A545&gt;'1-Input'!$B$26,0,IF(AP544&lt;=0,0,MAX(0,(AP544-AQ544)/AP544)))</f>
        <v>0.70305110591755771</v>
      </c>
      <c r="AL545" s="18">
        <f>IF($A545&gt;'1-Input'!$B$26,0,(MAX(0,AK506-IF($A545&gt;='1-Input'!$C$12,'1-Input'!$B$12,0))-MIN(MAX(AO544,0),MAX(0,AK506-IF($A545&gt;='1-Input'!$C$12,'1-Input'!$B$12,0))))*(1/(1-'P-Parametri'!$B$6*AK545))+MIN(MAX(0,AP544-(MAX(0,AK506-IF($A545&gt;='1-Input'!$C$12,'1-Input'!$B$12,0))-MIN(MAX(AO544,0),MAX(0,AK506-IF($A545&gt;='1-Input'!$C$12,'1-Input'!$B$12,0))))*(1/(1-'P-Parametri'!$B$6*AK545))),MAX(0,2*AK506-(AO544-MIN(MAX(AO544,0),MAX(0,AK506-IF($A545&gt;='1-Input'!$C$12,'1-Input'!$B$12,0)))))*(1/(1-'P-Parametri'!$B$6*AK545))))</f>
        <v>8531.3467813355746</v>
      </c>
      <c r="AM545" s="18">
        <f>IF($A545&gt;'1-Input'!$B$26,AO544,(AO544-MAX(0,AK506-IF($A545&gt;='1-Input'!$C$12,'1-Input'!$B$12,0))+AL545*(1-'P-Parametri'!$B$6*AK545))*(1+'1-Input'!$B$27))</f>
        <v>35760.142792219878</v>
      </c>
      <c r="AN545" s="18">
        <f>IF($A545&gt;'1-Input'!$B$26,AP544,(AP544-AL545)*(1+$C$4))</f>
        <v>23991.184990402569</v>
      </c>
      <c r="AO545" s="18">
        <f>IF($A545&gt;'1-Input'!$B$26,AM545,AM545-'P-Parametri'!$B$8*(AN545+AM545)+MIN(MAX(AN545,0),'P-Parametri'!$B$8*(AN545+AM545)))</f>
        <v>35760.142792219878</v>
      </c>
      <c r="AP545" s="18">
        <f>IF($A545&gt;'1-Input'!$B$26,AN545,AN545-MIN(MAX(AN545,0),'P-Parametri'!$B$8*(AN545+AM545)))</f>
        <v>23871.682334837325</v>
      </c>
      <c r="AQ545" s="18">
        <f>IF($A545&gt;'1-Input'!$B$26,AQ544,AQ544-AL545*(1-AK545))</f>
        <v>6916.6561656576014</v>
      </c>
    </row>
    <row r="546" spans="1:43">
      <c r="A546" s="10">
        <f>38</f>
        <v>38</v>
      </c>
      <c r="B546" s="11">
        <f>IF($A546&gt;'1-Input'!$B$26,0,IF(G545&lt;=0,0,MAX(0,(G545-H545)/G545)))</f>
        <v>0.71388355327144892</v>
      </c>
      <c r="C546" s="18">
        <f>IF($A546&gt;'1-Input'!$B$26,0,(MAX(0,B506-IF($A546&gt;='1-Input'!$C$12,'1-Input'!$B$12,0))-MIN(MAX(F545,0),MAX(0,B506-IF($A546&gt;='1-Input'!$C$12,'1-Input'!$B$12,0))))*(1/(1-'P-Parametri'!$B$6*B546))+MIN(MAX(0,G545-(MAX(0,B506-IF($A546&gt;='1-Input'!$C$12,'1-Input'!$B$12,0))-MIN(MAX(F545,0),MAX(0,B506-IF($A546&gt;='1-Input'!$C$12,'1-Input'!$B$12,0))))*(1/(1-'P-Parametri'!$B$6*B546))),MAX(0,2*B506-(F545-MIN(MAX(F545,0),MAX(0,B506-IF($A546&gt;='1-Input'!$C$12,'1-Input'!$B$12,0)))))*(1/(1-'P-Parametri'!$B$6*B546))))</f>
        <v>6998.0684688890278</v>
      </c>
      <c r="D546" s="18">
        <f>IF($A546&gt;'1-Input'!$B$26,F545,(F545-MAX(0,B506-IF($A546&gt;='1-Input'!$C$12,'1-Input'!$B$12,0))+C546*(1-'P-Parametri'!$B$6*B546))*(1+'1-Input'!$B$27))</f>
        <v>33242.0070309863</v>
      </c>
      <c r="E546" s="18">
        <f>IF($A546&gt;'1-Input'!$B$26,G545,(G545-C546)*(1+$C$4))</f>
        <v>121986.38976517829</v>
      </c>
      <c r="F546" s="18">
        <f>IF($A546&gt;'1-Input'!$B$26,D546,D546-'P-Parametri'!$B$8*(E546+D546)+MIN(MAX(E546,0),'P-Parametri'!$B$8*(E546+D546)))</f>
        <v>33242.0070309863</v>
      </c>
      <c r="G546" s="18">
        <f>IF($A546&gt;'1-Input'!$B$26,E546,E546-MIN(MAX(E546,0),'P-Parametri'!$B$8*(E546+D546)))</f>
        <v>121675.93297158596</v>
      </c>
      <c r="H546" s="18">
        <f>IF($A546&gt;'1-Input'!$B$26,H545,H545-C546*(1-B546))</f>
        <v>33885.740183356211</v>
      </c>
      <c r="I546" s="11">
        <f>IF($A546&gt;'1-Input'!$B$26,0,IF(N545&lt;=0,0,MAX(0,(N545-O545)/N545)))</f>
        <v>0</v>
      </c>
      <c r="J546" s="18">
        <f>IF($A546&gt;'1-Input'!$B$26,0,(MAX(0,I506-IF($A546&gt;='1-Input'!$C$12,'1-Input'!$B$12,0))-MIN(MAX(M545,0),MAX(0,I506-IF($A546&gt;='1-Input'!$C$12,'1-Input'!$B$12,0))))*(1/(1-'P-Parametri'!$B$6*I546))+MIN(MAX(0,N545-(MAX(0,I506-IF($A546&gt;='1-Input'!$C$12,'1-Input'!$B$12,0))-MIN(MAX(M545,0),MAX(0,I506-IF($A546&gt;='1-Input'!$C$12,'1-Input'!$B$12,0))))*(1/(1-'P-Parametri'!$B$6*I546))),MAX(0,2*I506-(M545-MIN(MAX(M545,0),MAX(0,I506-IF($A546&gt;='1-Input'!$C$12,'1-Input'!$B$12,0)))))*(1/(1-'P-Parametri'!$B$6*I546))))</f>
        <v>10846.756992928691</v>
      </c>
      <c r="K546" s="18">
        <f>IF($A546&gt;'1-Input'!$B$26,M545,(M545-MAX(0,I506-IF($A546&gt;='1-Input'!$C$12,'1-Input'!$B$12,0))+J546*(1-'P-Parametri'!$B$6*I546))*(1+'1-Input'!$B$27))</f>
        <v>0</v>
      </c>
      <c r="L546" s="18">
        <f>IF($A546&gt;'1-Input'!$B$26,N545,(N545-J546)*(1+$C$4))</f>
        <v>-194598.01314269399</v>
      </c>
      <c r="M546" s="18">
        <f>IF($A546&gt;'1-Input'!$B$26,K546,K546-'P-Parametri'!$B$8*(L546+K546)+MIN(MAX(L546,0),'P-Parametri'!$B$8*(L546+K546)))</f>
        <v>0</v>
      </c>
      <c r="N546" s="18">
        <f>IF($A546&gt;'1-Input'!$B$26,L546,L546-MIN(MAX(L546,0),'P-Parametri'!$B$8*(L546+K546)))</f>
        <v>-194208.81711640861</v>
      </c>
      <c r="O546" s="18">
        <f>IF($A546&gt;'1-Input'!$B$26,O545,O545-J546*(1-I546))</f>
        <v>-156045.84915065952</v>
      </c>
      <c r="P546" s="11">
        <f>IF($A546&gt;'1-Input'!$B$26,0,IF(U545&lt;=0,0,MAX(0,(U545-V545)/U545)))</f>
        <v>0.70598714378039185</v>
      </c>
      <c r="Q546" s="18">
        <f>IF($A546&gt;'1-Input'!$B$26,0,(MAX(0,P506-IF($A546&gt;='1-Input'!$C$12,'1-Input'!$B$12,0))-MIN(MAX(T545,0),MAX(0,P506-IF($A546&gt;='1-Input'!$C$12,'1-Input'!$B$12,0))))*(1/(1-'P-Parametri'!$B$6*P546))+MIN(MAX(0,U545-(MAX(0,P506-IF($A546&gt;='1-Input'!$C$12,'1-Input'!$B$12,0))-MIN(MAX(T545,0),MAX(0,P506-IF($A546&gt;='1-Input'!$C$12,'1-Input'!$B$12,0))))*(1/(1-'P-Parametri'!$B$6*P546))),MAX(0,2*P506-(T545-MIN(MAX(T545,0),MAX(0,P506-IF($A546&gt;='1-Input'!$C$12,'1-Input'!$B$12,0)))))*(1/(1-'P-Parametri'!$B$6*P546))))</f>
        <v>6622.1210376770759</v>
      </c>
      <c r="R546" s="18">
        <f>IF($A546&gt;'1-Input'!$B$26,T545,(T545-MAX(0,P506-IF($A546&gt;='1-Input'!$C$12,'1-Input'!$B$12,0))+Q546*(1-'P-Parametri'!$B$6*P546))*(1+'1-Input'!$B$27))</f>
        <v>34413.016659936889</v>
      </c>
      <c r="S546" s="18">
        <f>IF($A546&gt;'1-Input'!$B$26,U545,(U545-Q546)*(1+$C$4))</f>
        <v>0</v>
      </c>
      <c r="T546" s="18">
        <f>IF($A546&gt;'1-Input'!$B$26,R546,R546-'P-Parametri'!$B$8*(S546+R546)+MIN(MAX(S546,0),'P-Parametri'!$B$8*(S546+R546)))</f>
        <v>34344.190626617019</v>
      </c>
      <c r="U546" s="18">
        <f>IF($A546&gt;'1-Input'!$B$26,S546,S546-MIN(MAX(S546,0),'P-Parametri'!$B$8*(S546+R546)))</f>
        <v>0</v>
      </c>
      <c r="V546" s="18">
        <f>IF($A546&gt;'1-Input'!$B$26,V545,V545-Q546*(1-P546))</f>
        <v>2.2737367544323206E-13</v>
      </c>
      <c r="W546" s="11">
        <f>IF($A546&gt;'1-Input'!$B$26,0,IF(AB545&lt;=0,0,MAX(0,(AB545-AC545)/AB545)))</f>
        <v>0.71013068479439567</v>
      </c>
      <c r="X546" s="18">
        <f>IF($A546&gt;'1-Input'!$B$26,0,(MAX(0,W506-IF($A546&gt;='1-Input'!$C$12,'1-Input'!$B$12,0))-MIN(MAX(AA545,0),MAX(0,W506-IF($A546&gt;='1-Input'!$C$12,'1-Input'!$B$12,0))))*(1/(1-'P-Parametri'!$B$6*W546))+MIN(MAX(0,AB545-(MAX(0,W506-IF($A546&gt;='1-Input'!$C$12,'1-Input'!$B$12,0))-MIN(MAX(AA545,0),MAX(0,W506-IF($A546&gt;='1-Input'!$C$12,'1-Input'!$B$12,0))))*(1/(1-'P-Parametri'!$B$6*W546))),MAX(0,2*W506-(AA545-MIN(MAX(AA545,0),MAX(0,W506-IF($A546&gt;='1-Input'!$C$12,'1-Input'!$B$12,0)))))*(1/(1-'P-Parametri'!$B$6*W546))))</f>
        <v>8567.7536941163034</v>
      </c>
      <c r="Y546" s="18">
        <f>IF($A546&gt;'1-Input'!$B$26,AA545,(AA545-MAX(0,W506-IF($A546&gt;='1-Input'!$C$12,'1-Input'!$B$12,0))+X546*(1-'P-Parametri'!$B$6*W546))*(1+'1-Input'!$B$27))</f>
        <v>35787.805734234928</v>
      </c>
      <c r="Z546" s="18">
        <f>IF($A546&gt;'1-Input'!$B$26,AB545,(AB545-X546)*(1+$C$4))</f>
        <v>14614.694334530284</v>
      </c>
      <c r="AA546" s="18">
        <f>IF($A546&gt;'1-Input'!$B$26,Y546,Y546-'P-Parametri'!$B$8*(Z546+Y546)+MIN(MAX(Z546,0),'P-Parametri'!$B$8*(Z546+Y546)))</f>
        <v>35787.805734234928</v>
      </c>
      <c r="AB546" s="18">
        <f>IF($A546&gt;'1-Input'!$B$26,Z546,Z546-MIN(MAX(Z546,0),'P-Parametri'!$B$8*(Z546+Y546)))</f>
        <v>14513.889334392754</v>
      </c>
      <c r="AC546" s="18">
        <f>IF($A546&gt;'1-Input'!$B$26,AC545,AC545-X546*(1-W546))</f>
        <v>4112.9625618344853</v>
      </c>
      <c r="AD546" s="11">
        <f>IF($A546&gt;'1-Input'!$B$26,0,IF(AI545&lt;=0,0,MAX(0,(AI545-AJ545)/AI545)))</f>
        <v>0.71025657170346246</v>
      </c>
      <c r="AE546" s="18">
        <f>IF($A546&gt;'1-Input'!$B$26,0,(MAX(0,AD506-IF($A546&gt;='1-Input'!$C$12,'1-Input'!$B$12,0))-MIN(MAX(AH545,0),MAX(0,AD506-IF($A546&gt;='1-Input'!$C$12,'1-Input'!$B$12,0))))*(1/(1-'P-Parametri'!$B$6*AD546))+MIN(MAX(0,AI545-(MAX(0,AD506-IF($A546&gt;='1-Input'!$C$12,'1-Input'!$B$12,0))-MIN(MAX(AH545,0),MAX(0,AD506-IF($A546&gt;='1-Input'!$C$12,'1-Input'!$B$12,0))))*(1/(1-'P-Parametri'!$B$6*AD546))),MAX(0,2*AD506-(AH545-MIN(MAX(AH545,0),MAX(0,AD506-IF($A546&gt;='1-Input'!$C$12,'1-Input'!$B$12,0)))))*(1/(1-'P-Parametri'!$B$6*AD546))))</f>
        <v>8550.9901328372034</v>
      </c>
      <c r="AF546" s="18">
        <f>IF($A546&gt;'1-Input'!$B$26,AH545,(AH545-MAX(0,AD506-IF($A546&gt;='1-Input'!$C$12,'1-Input'!$B$12,0))+AE546*(1-'P-Parametri'!$B$6*AD546))*(1+'1-Input'!$B$27))</f>
        <v>35760.208229591961</v>
      </c>
      <c r="AG546" s="18">
        <f>IF($A546&gt;'1-Input'!$B$26,AI545,(AI545-AE546)*(1+$C$4))</f>
        <v>15777.596468870146</v>
      </c>
      <c r="AH546" s="18">
        <f>IF($A546&gt;'1-Input'!$B$26,AF546,AF546-'P-Parametri'!$B$8*(AG546+AF546)+MIN(MAX(AG546,0),'P-Parametri'!$B$8*(AG546+AF546)))</f>
        <v>35760.208229591961</v>
      </c>
      <c r="AI546" s="18">
        <f>IF($A546&gt;'1-Input'!$B$26,AG546,AG546-MIN(MAX(AG546,0),'P-Parametri'!$B$8*(AG546+AF546)))</f>
        <v>15674.520859473221</v>
      </c>
      <c r="AJ546" s="18">
        <f>IF($A546&gt;'1-Input'!$B$26,AJ545,AJ545-AE546*(1-AD546))</f>
        <v>4438.3057195823112</v>
      </c>
      <c r="AK546" s="11">
        <f>IF($A546&gt;'1-Input'!$B$26,0,IF(AP545&lt;=0,0,MAX(0,(AP545-AQ545)/AP545)))</f>
        <v>0.71025686130366583</v>
      </c>
      <c r="AL546" s="18">
        <f>IF($A546&gt;'1-Input'!$B$26,0,(MAX(0,AK506-IF($A546&gt;='1-Input'!$C$12,'1-Input'!$B$12,0))-MIN(MAX(AO545,0),MAX(0,AK506-IF($A546&gt;='1-Input'!$C$12,'1-Input'!$B$12,0))))*(1/(1-'P-Parametri'!$B$6*AK546))+MIN(MAX(0,AP545-(MAX(0,AK506-IF($A546&gt;='1-Input'!$C$12,'1-Input'!$B$12,0))-MIN(MAX(AO545,0),MAX(0,AK506-IF($A546&gt;='1-Input'!$C$12,'1-Input'!$B$12,0))))*(1/(1-'P-Parametri'!$B$6*AK546))),MAX(0,2*AK506-(AO545-MIN(MAX(AO545,0),MAX(0,AK506-IF($A546&gt;='1-Input'!$C$12,'1-Input'!$B$12,0)))))*(1/(1-'P-Parametri'!$B$6*AK546))))</f>
        <v>8550.950358339971</v>
      </c>
      <c r="AM546" s="18">
        <f>IF($A546&gt;'1-Input'!$B$26,AO545,(AO545-MAX(0,AK506-IF($A546&gt;='1-Input'!$C$12,'1-Input'!$B$12,0))+AL546*(1-'P-Parametri'!$B$6*AK546))*(1+'1-Input'!$B$27))</f>
        <v>35760.142792219878</v>
      </c>
      <c r="AN546" s="18">
        <f>IF($A546&gt;'1-Input'!$B$26,AP545,(AP545-AL546)*(1+$C$4))</f>
        <v>15780.353935792276</v>
      </c>
      <c r="AO546" s="18">
        <f>IF($A546&gt;'1-Input'!$B$26,AM546,AM546-'P-Parametri'!$B$8*(AN546+AM546)+MIN(MAX(AN546,0),'P-Parametri'!$B$8*(AN546+AM546)))</f>
        <v>35760.142792219878</v>
      </c>
      <c r="AP546" s="18">
        <f>IF($A546&gt;'1-Input'!$B$26,AN546,AN546-MIN(MAX(AN546,0),'P-Parametri'!$B$8*(AN546+AM546)))</f>
        <v>15677.272942336253</v>
      </c>
      <c r="AQ546" s="18">
        <f>IF($A546&gt;'1-Input'!$B$26,AQ545,AQ545-AL546*(1-AK546))</f>
        <v>4439.0769699956345</v>
      </c>
    </row>
    <row r="547" spans="1:43">
      <c r="A547" s="10">
        <f>39</f>
        <v>39</v>
      </c>
      <c r="B547" s="11">
        <f>IF($A547&gt;'1-Input'!$B$26,0,IF(G546&lt;=0,0,MAX(0,(G546-H546)/G546)))</f>
        <v>0.72150827730846923</v>
      </c>
      <c r="C547" s="18">
        <f>IF($A547&gt;'1-Input'!$B$26,0,(MAX(0,B506-IF($A547&gt;='1-Input'!$C$12,'1-Input'!$B$12,0))-MIN(MAX(F546,0),MAX(0,B506-IF($A547&gt;='1-Input'!$C$12,'1-Input'!$B$12,0))))*(1/(1-'P-Parametri'!$B$6*B547))+MIN(MAX(0,G546-(MAX(0,B506-IF($A547&gt;='1-Input'!$C$12,'1-Input'!$B$12,0))-MIN(MAX(F546,0),MAX(0,B506-IF($A547&gt;='1-Input'!$C$12,'1-Input'!$B$12,0))))*(1/(1-'P-Parametri'!$B$6*B547))),MAX(0,2*B506-(F546-MIN(MAX(F546,0),MAX(0,B506-IF($A547&gt;='1-Input'!$C$12,'1-Input'!$B$12,0)))))*(1/(1-'P-Parametri'!$B$6*B547))))</f>
        <v>7015.1450747605759</v>
      </c>
      <c r="D547" s="18">
        <f>IF($A547&gt;'1-Input'!$B$26,F546,(F546-MAX(0,B506-IF($A547&gt;='1-Input'!$C$12,'1-Input'!$B$12,0))+C547*(1-'P-Parametri'!$B$6*B547))*(1+'1-Input'!$B$27))</f>
        <v>33242.0070309863</v>
      </c>
      <c r="E547" s="18">
        <f>IF($A547&gt;'1-Input'!$B$26,G546,(G546-C547)*(1+$C$4))</f>
        <v>118100.61153373016</v>
      </c>
      <c r="F547" s="18">
        <f>IF($A547&gt;'1-Input'!$B$26,D547,D547-'P-Parametri'!$B$8*(E547+D547)+MIN(MAX(E547,0),'P-Parametri'!$B$8*(E547+D547)))</f>
        <v>33242.0070309863</v>
      </c>
      <c r="G547" s="18">
        <f>IF($A547&gt;'1-Input'!$B$26,E547,E547-MIN(MAX(E547,0),'P-Parametri'!$B$8*(E547+D547)))</f>
        <v>117797.92629660072</v>
      </c>
      <c r="H547" s="18">
        <f>IF($A547&gt;'1-Input'!$B$26,H546,H546-C547*(1-B547))</f>
        <v>31932.080346555129</v>
      </c>
      <c r="I547" s="11">
        <f>IF($A547&gt;'1-Input'!$B$26,0,IF(N546&lt;=0,0,MAX(0,(N546-O546)/N546)))</f>
        <v>0</v>
      </c>
      <c r="J547" s="18">
        <f>IF($A547&gt;'1-Input'!$B$26,0,(MAX(0,I506-IF($A547&gt;='1-Input'!$C$12,'1-Input'!$B$12,0))-MIN(MAX(M546,0),MAX(0,I506-IF($A547&gt;='1-Input'!$C$12,'1-Input'!$B$12,0))))*(1/(1-'P-Parametri'!$B$6*I547))+MIN(MAX(0,N546-(MAX(0,I506-IF($A547&gt;='1-Input'!$C$12,'1-Input'!$B$12,0))-MIN(MAX(M546,0),MAX(0,I506-IF($A547&gt;='1-Input'!$C$12,'1-Input'!$B$12,0))))*(1/(1-'P-Parametri'!$B$6*I547))),MAX(0,2*I506-(M546-MIN(MAX(M546,0),MAX(0,I506-IF($A547&gt;='1-Input'!$C$12,'1-Input'!$B$12,0)))))*(1/(1-'P-Parametri'!$B$6*I547))))</f>
        <v>10846.756992928691</v>
      </c>
      <c r="K547" s="18">
        <f>IF($A547&gt;'1-Input'!$B$26,M546,(M546-MAX(0,I506-IF($A547&gt;='1-Input'!$C$12,'1-Input'!$B$12,0))+J547*(1-'P-Parametri'!$B$6*I547))*(1+'1-Input'!$B$27))</f>
        <v>0</v>
      </c>
      <c r="L547" s="18">
        <f>IF($A547&gt;'1-Input'!$B$26,N546,(N546-J547)*(1+$C$4))</f>
        <v>-211207.24133261741</v>
      </c>
      <c r="M547" s="18">
        <f>IF($A547&gt;'1-Input'!$B$26,K547,K547-'P-Parametri'!$B$8*(L547+K547)+MIN(MAX(L547,0),'P-Parametri'!$B$8*(L547+K547)))</f>
        <v>0</v>
      </c>
      <c r="N547" s="18">
        <f>IF($A547&gt;'1-Input'!$B$26,L547,L547-MIN(MAX(L547,0),'P-Parametri'!$B$8*(L547+K547)))</f>
        <v>-210784.82684995217</v>
      </c>
      <c r="O547" s="18">
        <f>IF($A547&gt;'1-Input'!$B$26,O546,O546-J547*(1-I547))</f>
        <v>-166892.6061435882</v>
      </c>
      <c r="P547" s="11">
        <f>IF($A547&gt;'1-Input'!$B$26,0,IF(U546&lt;=0,0,MAX(0,(U546-V546)/U546)))</f>
        <v>0</v>
      </c>
      <c r="Q547" s="18">
        <f>IF($A547&gt;'1-Input'!$B$26,0,(MAX(0,P506-IF($A547&gt;='1-Input'!$C$12,'1-Input'!$B$12,0))-MIN(MAX(T546,0),MAX(0,P506-IF($A547&gt;='1-Input'!$C$12,'1-Input'!$B$12,0))))*(1/(1-'P-Parametri'!$B$6*P547))+MIN(MAX(0,U546-(MAX(0,P506-IF($A547&gt;='1-Input'!$C$12,'1-Input'!$B$12,0))-MIN(MAX(T546,0),MAX(0,P506-IF($A547&gt;='1-Input'!$C$12,'1-Input'!$B$12,0))))*(1/(1-'P-Parametri'!$B$6*P547))),MAX(0,2*P506-(T546-MIN(MAX(T546,0),MAX(0,P506-IF($A547&gt;='1-Input'!$C$12,'1-Input'!$B$12,0)))))*(1/(1-'P-Parametri'!$B$6*P547))))</f>
        <v>0</v>
      </c>
      <c r="R547" s="18">
        <f>IF($A547&gt;'1-Input'!$B$26,T546,(T546-MAX(0,P506-IF($A547&gt;='1-Input'!$C$12,'1-Input'!$B$12,0))+Q547*(1-'P-Parametri'!$B$6*P547))*(1+'1-Input'!$B$27))</f>
        <v>27188.445604857989</v>
      </c>
      <c r="S547" s="18">
        <f>IF($A547&gt;'1-Input'!$B$26,U546,(U546-Q547)*(1+$C$4))</f>
        <v>0</v>
      </c>
      <c r="T547" s="18">
        <f>IF($A547&gt;'1-Input'!$B$26,R547,R547-'P-Parametri'!$B$8*(S547+R547)+MIN(MAX(S547,0),'P-Parametri'!$B$8*(S547+R547)))</f>
        <v>27134.068713648274</v>
      </c>
      <c r="U547" s="18">
        <f>IF($A547&gt;'1-Input'!$B$26,S547,S547-MIN(MAX(S547,0),'P-Parametri'!$B$8*(S547+R547)))</f>
        <v>0</v>
      </c>
      <c r="V547" s="18">
        <f>IF($A547&gt;'1-Input'!$B$26,V546,V546-Q547*(1-P547))</f>
        <v>2.2737367544323206E-13</v>
      </c>
      <c r="W547" s="11">
        <f>IF($A547&gt;'1-Input'!$B$26,0,IF(AB546&lt;=0,0,MAX(0,(AB546-AC546)/AB546)))</f>
        <v>0.71661885611265985</v>
      </c>
      <c r="X547" s="18">
        <f>IF($A547&gt;'1-Input'!$B$26,0,(MAX(0,W506-IF($A547&gt;='1-Input'!$C$12,'1-Input'!$B$12,0))-MIN(MAX(AA546,0),MAX(0,W506-IF($A547&gt;='1-Input'!$C$12,'1-Input'!$B$12,0))))*(1/(1-'P-Parametri'!$B$6*W547))+MIN(MAX(0,AB546-(MAX(0,W506-IF($A547&gt;='1-Input'!$C$12,'1-Input'!$B$12,0))-MIN(MAX(AA546,0),MAX(0,W506-IF($A547&gt;='1-Input'!$C$12,'1-Input'!$B$12,0))))*(1/(1-'P-Parametri'!$B$6*W547))),MAX(0,2*W506-(AA546-MIN(MAX(AA546,0),MAX(0,W506-IF($A547&gt;='1-Input'!$C$12,'1-Input'!$B$12,0)))))*(1/(1-'P-Parametri'!$B$6*W547))))</f>
        <v>8585.5164141232726</v>
      </c>
      <c r="Y547" s="18">
        <f>IF($A547&gt;'1-Input'!$B$26,AA546,(AA546-MAX(0,W506-IF($A547&gt;='1-Input'!$C$12,'1-Input'!$B$12,0))+X547*(1-'P-Parametri'!$B$6*W547))*(1+'1-Input'!$B$27))</f>
        <v>35787.805734234928</v>
      </c>
      <c r="Z547" s="18">
        <f>IF($A547&gt;'1-Input'!$B$26,AB546,(AB546-X547)*(1+$C$4))</f>
        <v>6106.224107877566</v>
      </c>
      <c r="AA547" s="18">
        <f>IF($A547&gt;'1-Input'!$B$26,Y547,Y547-'P-Parametri'!$B$8*(Z547+Y547)+MIN(MAX(Z547,0),'P-Parametri'!$B$8*(Z547+Y547)))</f>
        <v>35787.805734234928</v>
      </c>
      <c r="AB547" s="18">
        <f>IF($A547&gt;'1-Input'!$B$26,Z547,Z547-MIN(MAX(Z547,0),'P-Parametri'!$B$8*(Z547+Y547)))</f>
        <v>6022.4360481933409</v>
      </c>
      <c r="AC547" s="18">
        <f>IF($A547&gt;'1-Input'!$B$26,AC546,AC546-X547*(1-W547))</f>
        <v>1679.9890995366977</v>
      </c>
      <c r="AD547" s="11">
        <f>IF($A547&gt;'1-Input'!$B$26,0,IF(AI546&lt;=0,0,MAX(0,(AI546-AJ546)/AI546)))</f>
        <v>0.71684584432448983</v>
      </c>
      <c r="AE547" s="18">
        <f>IF($A547&gt;'1-Input'!$B$26,0,(MAX(0,AD506-IF($A547&gt;='1-Input'!$C$12,'1-Input'!$B$12,0))-MIN(MAX(AH546,0),MAX(0,AD506-IF($A547&gt;='1-Input'!$C$12,'1-Input'!$B$12,0))))*(1/(1-'P-Parametri'!$B$6*AD547))+MIN(MAX(0,AI546-(MAX(0,AD506-IF($A547&gt;='1-Input'!$C$12,'1-Input'!$B$12,0))-MIN(MAX(AH546,0),MAX(0,AD506-IF($A547&gt;='1-Input'!$C$12,'1-Input'!$B$12,0))))*(1/(1-'P-Parametri'!$B$6*AD547))),MAX(0,2*AD506-(AH546-MIN(MAX(AH546,0),MAX(0,AD506-IF($A547&gt;='1-Input'!$C$12,'1-Input'!$B$12,0)))))*(1/(1-'P-Parametri'!$B$6*AD547))))</f>
        <v>8568.9956487953768</v>
      </c>
      <c r="AF547" s="18">
        <f>IF($A547&gt;'1-Input'!$B$26,AH546,(AH546-MAX(0,AD506-IF($A547&gt;='1-Input'!$C$12,'1-Input'!$B$12,0))+AE547*(1-'P-Parametri'!$B$6*AD547))*(1+'1-Input'!$B$27))</f>
        <v>35760.208229591961</v>
      </c>
      <c r="AG547" s="18">
        <f>IF($A547&gt;'1-Input'!$B$26,AI546,(AI546-AE547)*(1+$C$4))</f>
        <v>7318.6909669981796</v>
      </c>
      <c r="AH547" s="18">
        <f>IF($A547&gt;'1-Input'!$B$26,AF547,AF547-'P-Parametri'!$B$8*(AG547+AF547)+MIN(MAX(AG547,0),'P-Parametri'!$B$8*(AG547+AF547)))</f>
        <v>35760.208229591961</v>
      </c>
      <c r="AI547" s="18">
        <f>IF($A547&gt;'1-Input'!$B$26,AG547,AG547-MIN(MAX(AG547,0),'P-Parametri'!$B$8*(AG547+AF547)))</f>
        <v>7232.5331686049994</v>
      </c>
      <c r="AJ547" s="18">
        <f>IF($A547&gt;'1-Input'!$B$26,AJ546,AJ546-AE547*(1-AD547))</f>
        <v>2011.958991660536</v>
      </c>
      <c r="AK547" s="11">
        <f>IF($A547&gt;'1-Input'!$B$26,0,IF(AP546&lt;=0,0,MAX(0,(AP546-AQ546)/AP546)))</f>
        <v>0.71684635546479702</v>
      </c>
      <c r="AL547" s="18">
        <f>IF($A547&gt;'1-Input'!$B$26,0,(MAX(0,AK506-IF($A547&gt;='1-Input'!$C$12,'1-Input'!$B$12,0))-MIN(MAX(AO546,0),MAX(0,AK506-IF($A547&gt;='1-Input'!$C$12,'1-Input'!$B$12,0))))*(1/(1-'P-Parametri'!$B$6*AK547))+MIN(MAX(0,AP546-(MAX(0,AK506-IF($A547&gt;='1-Input'!$C$12,'1-Input'!$B$12,0))-MIN(MAX(AO546,0),MAX(0,AK506-IF($A547&gt;='1-Input'!$C$12,'1-Input'!$B$12,0))))*(1/(1-'P-Parametri'!$B$6*AK547))),MAX(0,2*AK506-(AO546-MIN(MAX(AO546,0),MAX(0,AK506-IF($A547&gt;='1-Input'!$C$12,'1-Input'!$B$12,0)))))*(1/(1-'P-Parametri'!$B$6*AK547))))</f>
        <v>8568.9563988540649</v>
      </c>
      <c r="AM547" s="18">
        <f>IF($A547&gt;'1-Input'!$B$26,AO546,(AO546-MAX(0,AK506-IF($A547&gt;='1-Input'!$C$12,'1-Input'!$B$12,0))+AL547*(1-'P-Parametri'!$B$6*AK547))*(1+'1-Input'!$B$27))</f>
        <v>35760.142792219878</v>
      </c>
      <c r="AN547" s="18">
        <f>IF($A547&gt;'1-Input'!$B$26,AP546,(AP546-AL547)*(1+$C$4))</f>
        <v>7321.5660397866532</v>
      </c>
      <c r="AO547" s="18">
        <f>IF($A547&gt;'1-Input'!$B$26,AM547,AM547-'P-Parametri'!$B$8*(AN547+AM547)+MIN(MAX(AN547,0),'P-Parametri'!$B$8*(AN547+AM547)))</f>
        <v>35760.142792219878</v>
      </c>
      <c r="AP547" s="18">
        <f>IF($A547&gt;'1-Input'!$B$26,AN547,AN547-MIN(MAX(AN547,0),'P-Parametri'!$B$8*(AN547+AM547)))</f>
        <v>7235.4026221226404</v>
      </c>
      <c r="AQ547" s="18">
        <f>IF($A547&gt;'1-Input'!$B$26,AQ546,AQ546-AL547*(1-AK547))</f>
        <v>2012.7457357968578</v>
      </c>
    </row>
    <row r="548" spans="1:43">
      <c r="A548" s="10">
        <f>40</f>
        <v>40</v>
      </c>
      <c r="B548" s="11">
        <f>IF($A548&gt;'1-Input'!$B$26,0,IF(G547&lt;=0,0,MAX(0,(G547-H547)/G547)))</f>
        <v>0.72892493653789736</v>
      </c>
      <c r="C548" s="18">
        <f>IF($A548&gt;'1-Input'!$B$26,0,(MAX(0,B506-IF($A548&gt;='1-Input'!$C$12,'1-Input'!$B$12,0))-MIN(MAX(F547,0),MAX(0,B506-IF($A548&gt;='1-Input'!$C$12,'1-Input'!$B$12,0))))*(1/(1-'P-Parametri'!$B$6*B548))+MIN(MAX(0,G547-(MAX(0,B506-IF($A548&gt;='1-Input'!$C$12,'1-Input'!$B$12,0))-MIN(MAX(F547,0),MAX(0,B506-IF($A548&gt;='1-Input'!$C$12,'1-Input'!$B$12,0))))*(1/(1-'P-Parametri'!$B$6*B548))),MAX(0,2*B506-(F547-MIN(MAX(F547,0),MAX(0,B506-IF($A548&gt;='1-Input'!$C$12,'1-Input'!$B$12,0)))))*(1/(1-'P-Parametri'!$B$6*B548))))</f>
        <v>7031.8358414553168</v>
      </c>
      <c r="D548" s="18">
        <f>IF($A548&gt;'1-Input'!$B$26,F547,(F547-MAX(0,B506-IF($A548&gt;='1-Input'!$C$12,'1-Input'!$B$12,0))+C548*(1-'P-Parametri'!$B$6*B548))*(1+'1-Input'!$B$27))</f>
        <v>33242.0070309863</v>
      </c>
      <c r="E548" s="18">
        <f>IF($A548&gt;'1-Input'!$B$26,G547,(G547-C548)*(1+$C$4))</f>
        <v>114089.07316879976</v>
      </c>
      <c r="F548" s="18">
        <f>IF($A548&gt;'1-Input'!$B$26,D548,D548-'P-Parametri'!$B$8*(E548+D548)+MIN(MAX(E548,0),'P-Parametri'!$B$8*(E548+D548)))</f>
        <v>33242.0070309863</v>
      </c>
      <c r="G548" s="18">
        <f>IF($A548&gt;'1-Input'!$B$26,E548,E548-MIN(MAX(E548,0),'P-Parametri'!$B$8*(E548+D548)))</f>
        <v>113794.41100840019</v>
      </c>
      <c r="H548" s="18">
        <f>IF($A548&gt;'1-Input'!$B$26,H547,H547-C548*(1-B548))</f>
        <v>30025.924999577543</v>
      </c>
      <c r="I548" s="11">
        <f>IF($A548&gt;'1-Input'!$B$26,0,IF(N547&lt;=0,0,MAX(0,(N547-O547)/N547)))</f>
        <v>0</v>
      </c>
      <c r="J548" s="18">
        <f>IF($A548&gt;'1-Input'!$B$26,0,(MAX(0,I506-IF($A548&gt;='1-Input'!$C$12,'1-Input'!$B$12,0))-MIN(MAX(M547,0),MAX(0,I506-IF($A548&gt;='1-Input'!$C$12,'1-Input'!$B$12,0))))*(1/(1-'P-Parametri'!$B$6*I548))+MIN(MAX(0,N547-(MAX(0,I506-IF($A548&gt;='1-Input'!$C$12,'1-Input'!$B$12,0))-MIN(MAX(M547,0),MAX(0,I506-IF($A548&gt;='1-Input'!$C$12,'1-Input'!$B$12,0))))*(1/(1-'P-Parametri'!$B$6*I548))),MAX(0,2*I506-(M547-MIN(MAX(M547,0),MAX(0,I506-IF($A548&gt;='1-Input'!$C$12,'1-Input'!$B$12,0)))))*(1/(1-'P-Parametri'!$B$6*I548))))</f>
        <v>10846.756992928691</v>
      </c>
      <c r="K548" s="18">
        <f>IF($A548&gt;'1-Input'!$B$26,M547,(M547-MAX(0,I506-IF($A548&gt;='1-Input'!$C$12,'1-Input'!$B$12,0))+J548*(1-'P-Parametri'!$B$6*I548))*(1+'1-Input'!$B$27))</f>
        <v>0</v>
      </c>
      <c r="L548" s="18">
        <f>IF($A548&gt;'1-Input'!$B$26,N547,(N547-J548)*(1+$C$4))</f>
        <v>-228280.53135816727</v>
      </c>
      <c r="M548" s="18">
        <f>IF($A548&gt;'1-Input'!$B$26,K548,K548-'P-Parametri'!$B$8*(L548+K548)+MIN(MAX(L548,0),'P-Parametri'!$B$8*(L548+K548)))</f>
        <v>0</v>
      </c>
      <c r="N548" s="18">
        <f>IF($A548&gt;'1-Input'!$B$26,L548,L548-MIN(MAX(L548,0),'P-Parametri'!$B$8*(L548+K548)))</f>
        <v>-227823.97029545094</v>
      </c>
      <c r="O548" s="18">
        <f>IF($A548&gt;'1-Input'!$B$26,O547,O547-J548*(1-I548))</f>
        <v>-177739.36313651688</v>
      </c>
      <c r="P548" s="11">
        <f>IF($A548&gt;'1-Input'!$B$26,0,IF(U547&lt;=0,0,MAX(0,(U547-V547)/U547)))</f>
        <v>0</v>
      </c>
      <c r="Q548" s="18">
        <f>IF($A548&gt;'1-Input'!$B$26,0,(MAX(0,P506-IF($A548&gt;='1-Input'!$C$12,'1-Input'!$B$12,0))-MIN(MAX(T547,0),MAX(0,P506-IF($A548&gt;='1-Input'!$C$12,'1-Input'!$B$12,0))))*(1/(1-'P-Parametri'!$B$6*P548))+MIN(MAX(0,U547-(MAX(0,P506-IF($A548&gt;='1-Input'!$C$12,'1-Input'!$B$12,0))-MIN(MAX(T547,0),MAX(0,P506-IF($A548&gt;='1-Input'!$C$12,'1-Input'!$B$12,0))))*(1/(1-'P-Parametri'!$B$6*P548))),MAX(0,2*P506-(T547-MIN(MAX(T547,0),MAX(0,P506-IF($A548&gt;='1-Input'!$C$12,'1-Input'!$B$12,0)))))*(1/(1-'P-Parametri'!$B$6*P548))))</f>
        <v>0</v>
      </c>
      <c r="R548" s="18">
        <f>IF($A548&gt;'1-Input'!$B$26,T547,(T547-MAX(0,P506-IF($A548&gt;='1-Input'!$C$12,'1-Input'!$B$12,0))+Q548*(1-'P-Parametri'!$B$6*P548))*(1+'1-Input'!$B$27))</f>
        <v>20004.280130775929</v>
      </c>
      <c r="S548" s="18">
        <f>IF($A548&gt;'1-Input'!$B$26,U547,(U547-Q548)*(1+$C$4))</f>
        <v>0</v>
      </c>
      <c r="T548" s="18">
        <f>IF($A548&gt;'1-Input'!$B$26,R548,R548-'P-Parametri'!$B$8*(S548+R548)+MIN(MAX(S548,0),'P-Parametri'!$B$8*(S548+R548)))</f>
        <v>19964.271570514378</v>
      </c>
      <c r="U548" s="18">
        <f>IF($A548&gt;'1-Input'!$B$26,S548,S548-MIN(MAX(S548,0),'P-Parametri'!$B$8*(S548+R548)))</f>
        <v>0</v>
      </c>
      <c r="V548" s="18">
        <f>IF($A548&gt;'1-Input'!$B$26,V547,V547-Q548*(1-P548))</f>
        <v>2.2737367544323206E-13</v>
      </c>
      <c r="W548" s="11">
        <f>IF($A548&gt;'1-Input'!$B$26,0,IF(AB547&lt;=0,0,MAX(0,(AB547-AC547)/AB547)))</f>
        <v>0.72104492499498196</v>
      </c>
      <c r="X548" s="18">
        <f>IF($A548&gt;'1-Input'!$B$26,0,(MAX(0,W506-IF($A548&gt;='1-Input'!$C$12,'1-Input'!$B$12,0))-MIN(MAX(AA547,0),MAX(0,W506-IF($A548&gt;='1-Input'!$C$12,'1-Input'!$B$12,0))))*(1/(1-'P-Parametri'!$B$6*W548))+MIN(MAX(0,AB547-(MAX(0,W506-IF($A548&gt;='1-Input'!$C$12,'1-Input'!$B$12,0))-MIN(MAX(AA547,0),MAX(0,W506-IF($A548&gt;='1-Input'!$C$12,'1-Input'!$B$12,0))))*(1/(1-'P-Parametri'!$B$6*W548))),MAX(0,2*W506-(AA547-MIN(MAX(AA547,0),MAX(0,W506-IF($A548&gt;='1-Input'!$C$12,'1-Input'!$B$12,0)))))*(1/(1-'P-Parametri'!$B$6*W548))))</f>
        <v>6022.4360481933409</v>
      </c>
      <c r="Y548" s="18">
        <f>IF($A548&gt;'1-Input'!$B$26,AA547,(AA547-MAX(0,W506-IF($A548&gt;='1-Input'!$C$12,'1-Input'!$B$12,0))+X548*(1-'P-Parametri'!$B$6*W548))*(1+'1-Input'!$B$27))</f>
        <v>33702.883168587279</v>
      </c>
      <c r="Z548" s="18">
        <f>IF($A548&gt;'1-Input'!$B$26,AB547,(AB547-X548)*(1+$C$4))</f>
        <v>0</v>
      </c>
      <c r="AA548" s="18">
        <f>IF($A548&gt;'1-Input'!$B$26,Y548,Y548-'P-Parametri'!$B$8*(Z548+Y548)+MIN(MAX(Z548,0),'P-Parametri'!$B$8*(Z548+Y548)))</f>
        <v>33635.477402250108</v>
      </c>
      <c r="AB548" s="18">
        <f>IF($A548&gt;'1-Input'!$B$26,Z548,Z548-MIN(MAX(Z548,0),'P-Parametri'!$B$8*(Z548+Y548)))</f>
        <v>0</v>
      </c>
      <c r="AC548" s="18">
        <f>IF($A548&gt;'1-Input'!$B$26,AC547,AC547-X548*(1-W548))</f>
        <v>0</v>
      </c>
      <c r="AD548" s="11">
        <f>IF($A548&gt;'1-Input'!$B$26,0,IF(AI547&lt;=0,0,MAX(0,(AI547-AJ547)/AI547)))</f>
        <v>0.72181821434375804</v>
      </c>
      <c r="AE548" s="18">
        <f>IF($A548&gt;'1-Input'!$B$26,0,(MAX(0,AD506-IF($A548&gt;='1-Input'!$C$12,'1-Input'!$B$12,0))-MIN(MAX(AH547,0),MAX(0,AD506-IF($A548&gt;='1-Input'!$C$12,'1-Input'!$B$12,0))))*(1/(1-'P-Parametri'!$B$6*AD548))+MIN(MAX(0,AI547-(MAX(0,AD506-IF($A548&gt;='1-Input'!$C$12,'1-Input'!$B$12,0))-MIN(MAX(AH547,0),MAX(0,AD506-IF($A548&gt;='1-Input'!$C$12,'1-Input'!$B$12,0))))*(1/(1-'P-Parametri'!$B$6*AD548))),MAX(0,2*AD506-(AH547-MIN(MAX(AH547,0),MAX(0,AD506-IF($A548&gt;='1-Input'!$C$12,'1-Input'!$B$12,0)))))*(1/(1-'P-Parametri'!$B$6*AD548))))</f>
        <v>7232.5331686049994</v>
      </c>
      <c r="AF548" s="18">
        <f>IF($A548&gt;'1-Input'!$B$26,AH547,(AH547-MAX(0,AD506-IF($A548&gt;='1-Input'!$C$12,'1-Input'!$B$12,0))+AE548*(1-'P-Parametri'!$B$6*AD548))*(1+'1-Input'!$B$27))</f>
        <v>34667.433385791534</v>
      </c>
      <c r="AG548" s="18">
        <f>IF($A548&gt;'1-Input'!$B$26,AI547,(AI547-AE548)*(1+$C$4))</f>
        <v>0</v>
      </c>
      <c r="AH548" s="18">
        <f>IF($A548&gt;'1-Input'!$B$26,AF548,AF548-'P-Parametri'!$B$8*(AG548+AF548)+MIN(MAX(AG548,0),'P-Parametri'!$B$8*(AG548+AF548)))</f>
        <v>34598.09851901995</v>
      </c>
      <c r="AI548" s="18">
        <f>IF($A548&gt;'1-Input'!$B$26,AG548,AG548-MIN(MAX(AG548,0),'P-Parametri'!$B$8*(AG548+AF548)))</f>
        <v>0</v>
      </c>
      <c r="AJ548" s="18">
        <f>IF($A548&gt;'1-Input'!$B$26,AJ547,AJ547-AE548*(1-AD548))</f>
        <v>-4.5474735088646412E-13</v>
      </c>
      <c r="AK548" s="11">
        <f>IF($A548&gt;'1-Input'!$B$26,0,IF(AP547&lt;=0,0,MAX(0,(AP547-AQ547)/AP547)))</f>
        <v>0.72181980175605187</v>
      </c>
      <c r="AL548" s="18">
        <f>IF($A548&gt;'1-Input'!$B$26,0,(MAX(0,AK506-IF($A548&gt;='1-Input'!$C$12,'1-Input'!$B$12,0))-MIN(MAX(AO547,0),MAX(0,AK506-IF($A548&gt;='1-Input'!$C$12,'1-Input'!$B$12,0))))*(1/(1-'P-Parametri'!$B$6*AK548))+MIN(MAX(0,AP547-(MAX(0,AK506-IF($A548&gt;='1-Input'!$C$12,'1-Input'!$B$12,0))-MIN(MAX(AO547,0),MAX(0,AK506-IF($A548&gt;='1-Input'!$C$12,'1-Input'!$B$12,0))))*(1/(1-'P-Parametri'!$B$6*AK548))),MAX(0,2*AK506-(AO547-MIN(MAX(AO547,0),MAX(0,AK506-IF($A548&gt;='1-Input'!$C$12,'1-Input'!$B$12,0)))))*(1/(1-'P-Parametri'!$B$6*AK548))))</f>
        <v>7235.4026221226404</v>
      </c>
      <c r="AM548" s="18">
        <f>IF($A548&gt;'1-Input'!$B$26,AO547,(AO547-MAX(0,AK506-IF($A548&gt;='1-Input'!$C$12,'1-Input'!$B$12,0))+AL548*(1-'P-Parametri'!$B$6*AK548))*(1+'1-Input'!$B$27))</f>
        <v>34669.720471141845</v>
      </c>
      <c r="AN548" s="18">
        <f>IF($A548&gt;'1-Input'!$B$26,AP547,(AP547-AL548)*(1+$C$4))</f>
        <v>0</v>
      </c>
      <c r="AO548" s="18">
        <f>IF($A548&gt;'1-Input'!$B$26,AM548,AM548-'P-Parametri'!$B$8*(AN548+AM548)+MIN(MAX(AN548,0),'P-Parametri'!$B$8*(AN548+AM548)))</f>
        <v>34600.381030199562</v>
      </c>
      <c r="AP548" s="18">
        <f>IF($A548&gt;'1-Input'!$B$26,AN548,AN548-MIN(MAX(AN548,0),'P-Parametri'!$B$8*(AN548+AM548)))</f>
        <v>0</v>
      </c>
      <c r="AQ548" s="18">
        <f>IF($A548&gt;'1-Input'!$B$26,AQ547,AQ547-AL548*(1-AK548))</f>
        <v>-4.5474735088646412E-13</v>
      </c>
    </row>
    <row r="549" spans="1:43">
      <c r="A549" s="10">
        <f>41</f>
        <v>41</v>
      </c>
      <c r="B549" s="11">
        <f>IF($A549&gt;'1-Input'!$B$26,0,IF(G548&lt;=0,0,MAX(0,(G548-H548)/G548)))</f>
        <v>0.73613884255386619</v>
      </c>
      <c r="C549" s="18">
        <f>IF($A549&gt;'1-Input'!$B$26,0,(MAX(0,B506-IF($A549&gt;='1-Input'!$C$12,'1-Input'!$B$12,0))-MIN(MAX(F548,0),MAX(0,B506-IF($A549&gt;='1-Input'!$C$12,'1-Input'!$B$12,0))))*(1/(1-'P-Parametri'!$B$6*B549))+MIN(MAX(0,G548-(MAX(0,B506-IF($A549&gt;='1-Input'!$C$12,'1-Input'!$B$12,0))-MIN(MAX(F548,0),MAX(0,B506-IF($A549&gt;='1-Input'!$C$12,'1-Input'!$B$12,0))))*(1/(1-'P-Parametri'!$B$6*B549))),MAX(0,2*B506-(F548-MIN(MAX(F548,0),MAX(0,B506-IF($A549&gt;='1-Input'!$C$12,'1-Input'!$B$12,0)))))*(1/(1-'P-Parametri'!$B$6*B549))))</f>
        <v>7048.1466961686428</v>
      </c>
      <c r="D549" s="18">
        <f>IF($A549&gt;'1-Input'!$B$26,F548,(F548-MAX(0,B506-IF($A549&gt;='1-Input'!$C$12,'1-Input'!$B$12,0))+C549*(1-'P-Parametri'!$B$6*B549))*(1+'1-Input'!$B$27))</f>
        <v>33242.0070309863</v>
      </c>
      <c r="E549" s="18">
        <f>IF($A549&gt;'1-Input'!$B$26,G548,(G548-C549)*(1+$C$4))</f>
        <v>109948.65224159849</v>
      </c>
      <c r="F549" s="18">
        <f>IF($A549&gt;'1-Input'!$B$26,D549,D549-'P-Parametri'!$B$8*(E549+D549)+MIN(MAX(E549,0),'P-Parametri'!$B$8*(E549+D549)))</f>
        <v>33242.0070309863</v>
      </c>
      <c r="G549" s="18">
        <f>IF($A549&gt;'1-Input'!$B$26,E549,E549-MIN(MAX(E549,0),'P-Parametri'!$B$8*(E549+D549)))</f>
        <v>109662.27092305332</v>
      </c>
      <c r="H549" s="18">
        <f>IF($A549&gt;'1-Input'!$B$26,H548,H548-C549*(1-B549))</f>
        <v>28166.19285447634</v>
      </c>
      <c r="I549" s="11">
        <f>IF($A549&gt;'1-Input'!$B$26,0,IF(N548&lt;=0,0,MAX(0,(N548-O548)/N548)))</f>
        <v>0</v>
      </c>
      <c r="J549" s="18">
        <f>IF($A549&gt;'1-Input'!$B$26,0,(MAX(0,I506-IF($A549&gt;='1-Input'!$C$12,'1-Input'!$B$12,0))-MIN(MAX(M548,0),MAX(0,I506-IF($A549&gt;='1-Input'!$C$12,'1-Input'!$B$12,0))))*(1/(1-'P-Parametri'!$B$6*I549))+MIN(MAX(0,N548-(MAX(0,I506-IF($A549&gt;='1-Input'!$C$12,'1-Input'!$B$12,0))-MIN(MAX(M548,0),MAX(0,I506-IF($A549&gt;='1-Input'!$C$12,'1-Input'!$B$12,0))))*(1/(1-'P-Parametri'!$B$6*I549))),MAX(0,2*I506-(M548-MIN(MAX(M548,0),MAX(0,I506-IF($A549&gt;='1-Input'!$C$12,'1-Input'!$B$12,0)))))*(1/(1-'P-Parametri'!$B$6*I549))))</f>
        <v>10846.756992928691</v>
      </c>
      <c r="K549" s="18">
        <f>IF($A549&gt;'1-Input'!$B$26,M548,(M548-MAX(0,I506-IF($A549&gt;='1-Input'!$C$12,'1-Input'!$B$12,0))+J549*(1-'P-Parametri'!$B$6*I549))*(1+'1-Input'!$B$27))</f>
        <v>0</v>
      </c>
      <c r="L549" s="18">
        <f>IF($A549&gt;'1-Input'!$B$26,N548,(N548-J549)*(1+$C$4))</f>
        <v>-245830.84910703101</v>
      </c>
      <c r="M549" s="18">
        <f>IF($A549&gt;'1-Input'!$B$26,K549,K549-'P-Parametri'!$B$8*(L549+K549)+MIN(MAX(L549,0),'P-Parametri'!$B$8*(L549+K549)))</f>
        <v>0</v>
      </c>
      <c r="N549" s="18">
        <f>IF($A549&gt;'1-Input'!$B$26,L549,L549-MIN(MAX(L549,0),'P-Parametri'!$B$8*(L549+K549)))</f>
        <v>-245339.18740881694</v>
      </c>
      <c r="O549" s="18">
        <f>IF($A549&gt;'1-Input'!$B$26,O548,O548-J549*(1-I549))</f>
        <v>-188586.12012944557</v>
      </c>
      <c r="P549" s="11">
        <f>IF($A549&gt;'1-Input'!$B$26,0,IF(U548&lt;=0,0,MAX(0,(U548-V548)/U548)))</f>
        <v>0</v>
      </c>
      <c r="Q549" s="18">
        <f>IF($A549&gt;'1-Input'!$B$26,0,(MAX(0,P506-IF($A549&gt;='1-Input'!$C$12,'1-Input'!$B$12,0))-MIN(MAX(T548,0),MAX(0,P506-IF($A549&gt;='1-Input'!$C$12,'1-Input'!$B$12,0))))*(1/(1-'P-Parametri'!$B$6*P549))+MIN(MAX(0,U548-(MAX(0,P506-IF($A549&gt;='1-Input'!$C$12,'1-Input'!$B$12,0))-MIN(MAX(T548,0),MAX(0,P506-IF($A549&gt;='1-Input'!$C$12,'1-Input'!$B$12,0))))*(1/(1-'P-Parametri'!$B$6*P549))),MAX(0,2*P506-(T548-MIN(MAX(T548,0),MAX(0,P506-IF($A549&gt;='1-Input'!$C$12,'1-Input'!$B$12,0)))))*(1/(1-'P-Parametri'!$B$6*P549))))</f>
        <v>0</v>
      </c>
      <c r="R549" s="18">
        <f>IF($A549&gt;'1-Input'!$B$26,T548,(T548-MAX(0,P506-IF($A549&gt;='1-Input'!$C$12,'1-Input'!$B$12,0))+Q549*(1-'P-Parametri'!$B$6*P549))*(1+'1-Input'!$B$27))</f>
        <v>12860.294257357316</v>
      </c>
      <c r="S549" s="18">
        <f>IF($A549&gt;'1-Input'!$B$26,U548,(U548-Q549)*(1+$C$4))</f>
        <v>0</v>
      </c>
      <c r="T549" s="18">
        <f>IF($A549&gt;'1-Input'!$B$26,R549,R549-'P-Parametri'!$B$8*(S549+R549)+MIN(MAX(S549,0),'P-Parametri'!$B$8*(S549+R549)))</f>
        <v>12834.573668842602</v>
      </c>
      <c r="U549" s="18">
        <f>IF($A549&gt;'1-Input'!$B$26,S549,S549-MIN(MAX(S549,0),'P-Parametri'!$B$8*(S549+R549)))</f>
        <v>0</v>
      </c>
      <c r="V549" s="18">
        <f>IF($A549&gt;'1-Input'!$B$26,V548,V548-Q549*(1-P549))</f>
        <v>2.2737367544323206E-13</v>
      </c>
      <c r="W549" s="11">
        <f>IF($A549&gt;'1-Input'!$B$26,0,IF(AB548&lt;=0,0,MAX(0,(AB548-AC548)/AB548)))</f>
        <v>0</v>
      </c>
      <c r="X549" s="18">
        <f>IF($A549&gt;'1-Input'!$B$26,0,(MAX(0,W506-IF($A549&gt;='1-Input'!$C$12,'1-Input'!$B$12,0))-MIN(MAX(AA548,0),MAX(0,W506-IF($A549&gt;='1-Input'!$C$12,'1-Input'!$B$12,0))))*(1/(1-'P-Parametri'!$B$6*W549))+MIN(MAX(0,AB548-(MAX(0,W506-IF($A549&gt;='1-Input'!$C$12,'1-Input'!$B$12,0))-MIN(MAX(AA548,0),MAX(0,W506-IF($A549&gt;='1-Input'!$C$12,'1-Input'!$B$12,0))))*(1/(1-'P-Parametri'!$B$6*W549))),MAX(0,2*W506-(AA548-MIN(MAX(AA548,0),MAX(0,W506-IF($A549&gt;='1-Input'!$C$12,'1-Input'!$B$12,0)))))*(1/(1-'P-Parametri'!$B$6*W549))))</f>
        <v>0</v>
      </c>
      <c r="Y549" s="18">
        <f>IF($A549&gt;'1-Input'!$B$26,AA548,(AA548-MAX(0,W506-IF($A549&gt;='1-Input'!$C$12,'1-Input'!$B$12,0))+X549*(1-'P-Parametri'!$B$6*W549))*(1+'1-Input'!$B$27))</f>
        <v>26682.51961648454</v>
      </c>
      <c r="Z549" s="18">
        <f>IF($A549&gt;'1-Input'!$B$26,AB548,(AB548-X549)*(1+$C$4))</f>
        <v>0</v>
      </c>
      <c r="AA549" s="18">
        <f>IF($A549&gt;'1-Input'!$B$26,Y549,Y549-'P-Parametri'!$B$8*(Z549+Y549)+MIN(MAX(Z549,0),'P-Parametri'!$B$8*(Z549+Y549)))</f>
        <v>26629.154577251571</v>
      </c>
      <c r="AB549" s="18">
        <f>IF($A549&gt;'1-Input'!$B$26,Z549,Z549-MIN(MAX(Z549,0),'P-Parametri'!$B$8*(Z549+Y549)))</f>
        <v>0</v>
      </c>
      <c r="AC549" s="18">
        <f>IF($A549&gt;'1-Input'!$B$26,AC548,AC548-X549*(1-W549))</f>
        <v>0</v>
      </c>
      <c r="AD549" s="11">
        <f>IF($A549&gt;'1-Input'!$B$26,0,IF(AI548&lt;=0,0,MAX(0,(AI548-AJ548)/AI548)))</f>
        <v>0</v>
      </c>
      <c r="AE549" s="18">
        <f>IF($A549&gt;'1-Input'!$B$26,0,(MAX(0,AD506-IF($A549&gt;='1-Input'!$C$12,'1-Input'!$B$12,0))-MIN(MAX(AH548,0),MAX(0,AD506-IF($A549&gt;='1-Input'!$C$12,'1-Input'!$B$12,0))))*(1/(1-'P-Parametri'!$B$6*AD549))+MIN(MAX(0,AI548-(MAX(0,AD506-IF($A549&gt;='1-Input'!$C$12,'1-Input'!$B$12,0))-MIN(MAX(AH548,0),MAX(0,AD506-IF($A549&gt;='1-Input'!$C$12,'1-Input'!$B$12,0))))*(1/(1-'P-Parametri'!$B$6*AD549))),MAX(0,2*AD506-(AH548-MIN(MAX(AH548,0),MAX(0,AD506-IF($A549&gt;='1-Input'!$C$12,'1-Input'!$B$12,0)))))*(1/(1-'P-Parametri'!$B$6*AD549))))</f>
        <v>0</v>
      </c>
      <c r="AF549" s="18">
        <f>IF($A549&gt;'1-Input'!$B$26,AH548,(AH548-MAX(0,AD506-IF($A549&gt;='1-Input'!$C$12,'1-Input'!$B$12,0))+AE549*(1-'P-Parametri'!$B$6*AD549))*(1+'1-Input'!$B$27))</f>
        <v>27655.474049555494</v>
      </c>
      <c r="AG549" s="18">
        <f>IF($A549&gt;'1-Input'!$B$26,AI548,(AI548-AE549)*(1+$C$4))</f>
        <v>0</v>
      </c>
      <c r="AH549" s="18">
        <f>IF($A549&gt;'1-Input'!$B$26,AF549,AF549-'P-Parametri'!$B$8*(AG549+AF549)+MIN(MAX(AG549,0),'P-Parametri'!$B$8*(AG549+AF549)))</f>
        <v>27600.163101456383</v>
      </c>
      <c r="AI549" s="18">
        <f>IF($A549&gt;'1-Input'!$B$26,AG549,AG549-MIN(MAX(AG549,0),'P-Parametri'!$B$8*(AG549+AF549)))</f>
        <v>0</v>
      </c>
      <c r="AJ549" s="18">
        <f>IF($A549&gt;'1-Input'!$B$26,AJ548,AJ548-AE549*(1-AD549))</f>
        <v>-4.5474735088646412E-13</v>
      </c>
      <c r="AK549" s="11">
        <f>IF($A549&gt;'1-Input'!$B$26,0,IF(AP548&lt;=0,0,MAX(0,(AP548-AQ548)/AP548)))</f>
        <v>0</v>
      </c>
      <c r="AL549" s="18">
        <f>IF($A549&gt;'1-Input'!$B$26,0,(MAX(0,AK506-IF($A549&gt;='1-Input'!$C$12,'1-Input'!$B$12,0))-MIN(MAX(AO548,0),MAX(0,AK506-IF($A549&gt;='1-Input'!$C$12,'1-Input'!$B$12,0))))*(1/(1-'P-Parametri'!$B$6*AK549))+MIN(MAX(0,AP548-(MAX(0,AK506-IF($A549&gt;='1-Input'!$C$12,'1-Input'!$B$12,0))-MIN(MAX(AO548,0),MAX(0,AK506-IF($A549&gt;='1-Input'!$C$12,'1-Input'!$B$12,0))))*(1/(1-'P-Parametri'!$B$6*AK549))),MAX(0,2*AK506-(AO548-MIN(MAX(AO548,0),MAX(0,AK506-IF($A549&gt;='1-Input'!$C$12,'1-Input'!$B$12,0)))))*(1/(1-'P-Parametri'!$B$6*AK549))))</f>
        <v>0</v>
      </c>
      <c r="AM549" s="18">
        <f>IF($A549&gt;'1-Input'!$B$26,AO548,(AO548-MAX(0,AK506-IF($A549&gt;='1-Input'!$C$12,'1-Input'!$B$12,0))+AL549*(1-'P-Parametri'!$B$6*AK549))*(1+'1-Input'!$B$27))</f>
        <v>27657.781062380902</v>
      </c>
      <c r="AN549" s="18">
        <f>IF($A549&gt;'1-Input'!$B$26,AP548,(AP548-AL549)*(1+$C$4))</f>
        <v>0</v>
      </c>
      <c r="AO549" s="18">
        <f>IF($A549&gt;'1-Input'!$B$26,AM549,AM549-'P-Parametri'!$B$8*(AN549+AM549)+MIN(MAX(AN549,0),'P-Parametri'!$B$8*(AN549+AM549)))</f>
        <v>27602.465500256141</v>
      </c>
      <c r="AP549" s="18">
        <f>IF($A549&gt;'1-Input'!$B$26,AN549,AN549-MIN(MAX(AN549,0),'P-Parametri'!$B$8*(AN549+AM549)))</f>
        <v>0</v>
      </c>
      <c r="AQ549" s="18">
        <f>IF($A549&gt;'1-Input'!$B$26,AQ548,AQ548-AL549*(1-AK549))</f>
        <v>-4.5474735088646412E-13</v>
      </c>
    </row>
    <row r="550" spans="1:43">
      <c r="A550" s="10">
        <f>42</f>
        <v>42</v>
      </c>
      <c r="B550" s="11">
        <f>IF($A550&gt;'1-Input'!$B$26,0,IF(G549&lt;=0,0,MAX(0,(G549-H549)/G549)))</f>
        <v>0.74315511964694136</v>
      </c>
      <c r="C550" s="18">
        <f>IF($A550&gt;'1-Input'!$B$26,0,(MAX(0,B506-IF($A550&gt;='1-Input'!$C$12,'1-Input'!$B$12,0))-MIN(MAX(F549,0),MAX(0,B506-IF($A550&gt;='1-Input'!$C$12,'1-Input'!$B$12,0))))*(1/(1-'P-Parametri'!$B$6*B550))+MIN(MAX(0,G549-(MAX(0,B506-IF($A550&gt;='1-Input'!$C$12,'1-Input'!$B$12,0))-MIN(MAX(F549,0),MAX(0,B506-IF($A550&gt;='1-Input'!$C$12,'1-Input'!$B$12,0))))*(1/(1-'P-Parametri'!$B$6*B550))),MAX(0,2*B506-(F549-MIN(MAX(F549,0),MAX(0,B506-IF($A550&gt;='1-Input'!$C$12,'1-Input'!$B$12,0)))))*(1/(1-'P-Parametri'!$B$6*B550))))</f>
        <v>7064.0834575312965</v>
      </c>
      <c r="D550" s="18">
        <f>IF($A550&gt;'1-Input'!$B$26,F549,(F549-MAX(0,B506-IF($A550&gt;='1-Input'!$C$12,'1-Input'!$B$12,0))+C550*(1-'P-Parametri'!$B$6*B550))*(1+'1-Input'!$B$27))</f>
        <v>33242.0070309863</v>
      </c>
      <c r="E550" s="18">
        <f>IF($A550&gt;'1-Input'!$B$26,G549,(G549-C550)*(1+$C$4))</f>
        <v>105676.13308948769</v>
      </c>
      <c r="F550" s="18">
        <f>IF($A550&gt;'1-Input'!$B$26,D550,D550-'P-Parametri'!$B$8*(E550+D550)+MIN(MAX(E550,0),'P-Parametri'!$B$8*(E550+D550)))</f>
        <v>33242.0070309863</v>
      </c>
      <c r="G550" s="18">
        <f>IF($A550&gt;'1-Input'!$B$26,E550,E550-MIN(MAX(E550,0),'P-Parametri'!$B$8*(E550+D550)))</f>
        <v>105398.29680924673</v>
      </c>
      <c r="H550" s="18">
        <f>IF($A550&gt;'1-Input'!$B$26,H549,H549-C550*(1-B550))</f>
        <v>26351.819184022694</v>
      </c>
      <c r="I550" s="11">
        <f>IF($A550&gt;'1-Input'!$B$26,0,IF(N549&lt;=0,0,MAX(0,(N549-O549)/N549)))</f>
        <v>0</v>
      </c>
      <c r="J550" s="18">
        <f>IF($A550&gt;'1-Input'!$B$26,0,(MAX(0,I506-IF($A550&gt;='1-Input'!$C$12,'1-Input'!$B$12,0))-MIN(MAX(M549,0),MAX(0,I506-IF($A550&gt;='1-Input'!$C$12,'1-Input'!$B$12,0))))*(1/(1-'P-Parametri'!$B$6*I550))+MIN(MAX(0,N549-(MAX(0,I506-IF($A550&gt;='1-Input'!$C$12,'1-Input'!$B$12,0))-MIN(MAX(M549,0),MAX(0,I506-IF($A550&gt;='1-Input'!$C$12,'1-Input'!$B$12,0))))*(1/(1-'P-Parametri'!$B$6*I550))),MAX(0,2*I506-(M549-MIN(MAX(M549,0),MAX(0,I506-IF($A550&gt;='1-Input'!$C$12,'1-Input'!$B$12,0)))))*(1/(1-'P-Parametri'!$B$6*I550))))</f>
        <v>10846.756992928691</v>
      </c>
      <c r="K550" s="18">
        <f>IF($A550&gt;'1-Input'!$B$26,M549,(M549-MAX(0,I506-IF($A550&gt;='1-Input'!$C$12,'1-Input'!$B$12,0))+J550*(1-'P-Parametri'!$B$6*I550))*(1+'1-Input'!$B$27))</f>
        <v>0</v>
      </c>
      <c r="L550" s="18">
        <f>IF($A550&gt;'1-Input'!$B$26,N549,(N549-J550)*(1+$C$4))</f>
        <v>-263871.52273379802</v>
      </c>
      <c r="M550" s="18">
        <f>IF($A550&gt;'1-Input'!$B$26,K550,K550-'P-Parametri'!$B$8*(L550+K550)+MIN(MAX(L550,0),'P-Parametri'!$B$8*(L550+K550)))</f>
        <v>0</v>
      </c>
      <c r="N550" s="18">
        <f>IF($A550&gt;'1-Input'!$B$26,L550,L550-MIN(MAX(L550,0),'P-Parametri'!$B$8*(L550+K550)))</f>
        <v>-263343.77968833043</v>
      </c>
      <c r="O550" s="18">
        <f>IF($A550&gt;'1-Input'!$B$26,O549,O549-J550*(1-I550))</f>
        <v>-199432.87712237425</v>
      </c>
      <c r="P550" s="11">
        <f>IF($A550&gt;'1-Input'!$B$26,0,IF(U549&lt;=0,0,MAX(0,(U549-V549)/U549)))</f>
        <v>0</v>
      </c>
      <c r="Q550" s="18">
        <f>IF($A550&gt;'1-Input'!$B$26,0,(MAX(0,P506-IF($A550&gt;='1-Input'!$C$12,'1-Input'!$B$12,0))-MIN(MAX(T549,0),MAX(0,P506-IF($A550&gt;='1-Input'!$C$12,'1-Input'!$B$12,0))))*(1/(1-'P-Parametri'!$B$6*P550))+MIN(MAX(0,U549-(MAX(0,P506-IF($A550&gt;='1-Input'!$C$12,'1-Input'!$B$12,0))-MIN(MAX(T549,0),MAX(0,P506-IF($A550&gt;='1-Input'!$C$12,'1-Input'!$B$12,0))))*(1/(1-'P-Parametri'!$B$6*P550))),MAX(0,2*P506-(T549-MIN(MAX(T549,0),MAX(0,P506-IF($A550&gt;='1-Input'!$C$12,'1-Input'!$B$12,0)))))*(1/(1-'P-Parametri'!$B$6*P550))))</f>
        <v>0</v>
      </c>
      <c r="R550" s="18">
        <f>IF($A550&gt;'1-Input'!$B$26,T549,(T549-MAX(0,P506-IF($A550&gt;='1-Input'!$C$12,'1-Input'!$B$12,0))+Q550*(1-'P-Parametri'!$B$6*P550))*(1+'1-Input'!$B$27))</f>
        <v>5756.2632681315599</v>
      </c>
      <c r="S550" s="18">
        <f>IF($A550&gt;'1-Input'!$B$26,U549,(U549-Q550)*(1+$C$4))</f>
        <v>0</v>
      </c>
      <c r="T550" s="18">
        <f>IF($A550&gt;'1-Input'!$B$26,R550,R550-'P-Parametri'!$B$8*(S550+R550)+MIN(MAX(S550,0),'P-Parametri'!$B$8*(S550+R550)))</f>
        <v>5744.7507415952969</v>
      </c>
      <c r="U550" s="18">
        <f>IF($A550&gt;'1-Input'!$B$26,S550,S550-MIN(MAX(S550,0),'P-Parametri'!$B$8*(S550+R550)))</f>
        <v>0</v>
      </c>
      <c r="V550" s="18">
        <f>IF($A550&gt;'1-Input'!$B$26,V549,V549-Q550*(1-P550))</f>
        <v>2.2737367544323206E-13</v>
      </c>
      <c r="W550" s="11">
        <f>IF($A550&gt;'1-Input'!$B$26,0,IF(AB549&lt;=0,0,MAX(0,(AB549-AC549)/AB549)))</f>
        <v>0</v>
      </c>
      <c r="X550" s="18">
        <f>IF($A550&gt;'1-Input'!$B$26,0,(MAX(0,W506-IF($A550&gt;='1-Input'!$C$12,'1-Input'!$B$12,0))-MIN(MAX(AA549,0),MAX(0,W506-IF($A550&gt;='1-Input'!$C$12,'1-Input'!$B$12,0))))*(1/(1-'P-Parametri'!$B$6*W550))+MIN(MAX(0,AB549-(MAX(0,W506-IF($A550&gt;='1-Input'!$C$12,'1-Input'!$B$12,0))-MIN(MAX(AA549,0),MAX(0,W506-IF($A550&gt;='1-Input'!$C$12,'1-Input'!$B$12,0))))*(1/(1-'P-Parametri'!$B$6*W550))),MAX(0,2*W506-(AA549-MIN(MAX(AA549,0),MAX(0,W506-IF($A550&gt;='1-Input'!$C$12,'1-Input'!$B$12,0)))))*(1/(1-'P-Parametri'!$B$6*W550))))</f>
        <v>0</v>
      </c>
      <c r="Y550" s="18">
        <f>IF($A550&gt;'1-Input'!$B$26,AA549,(AA549-MAX(0,W506-IF($A550&gt;='1-Input'!$C$12,'1-Input'!$B$12,0))+X550*(1-'P-Parametri'!$B$6*W550))*(1+'1-Input'!$B$27))</f>
        <v>19701.419553656</v>
      </c>
      <c r="Z550" s="18">
        <f>IF($A550&gt;'1-Input'!$B$26,AB549,(AB549-X550)*(1+$C$4))</f>
        <v>0</v>
      </c>
      <c r="AA550" s="18">
        <f>IF($A550&gt;'1-Input'!$B$26,Y550,Y550-'P-Parametri'!$B$8*(Z550+Y550)+MIN(MAX(Z550,0),'P-Parametri'!$B$8*(Z550+Y550)))</f>
        <v>19662.016714548688</v>
      </c>
      <c r="AB550" s="18">
        <f>IF($A550&gt;'1-Input'!$B$26,Z550,Z550-MIN(MAX(Z550,0),'P-Parametri'!$B$8*(Z550+Y550)))</f>
        <v>0</v>
      </c>
      <c r="AC550" s="18">
        <f>IF($A550&gt;'1-Input'!$B$26,AC549,AC549-X550*(1-W550))</f>
        <v>0</v>
      </c>
      <c r="AD550" s="11">
        <f>IF($A550&gt;'1-Input'!$B$26,0,IF(AI549&lt;=0,0,MAX(0,(AI549-AJ549)/AI549)))</f>
        <v>0</v>
      </c>
      <c r="AE550" s="18">
        <f>IF($A550&gt;'1-Input'!$B$26,0,(MAX(0,AD506-IF($A550&gt;='1-Input'!$C$12,'1-Input'!$B$12,0))-MIN(MAX(AH549,0),MAX(0,AD506-IF($A550&gt;='1-Input'!$C$12,'1-Input'!$B$12,0))))*(1/(1-'P-Parametri'!$B$6*AD550))+MIN(MAX(0,AI549-(MAX(0,AD506-IF($A550&gt;='1-Input'!$C$12,'1-Input'!$B$12,0))-MIN(MAX(AH549,0),MAX(0,AD506-IF($A550&gt;='1-Input'!$C$12,'1-Input'!$B$12,0))))*(1/(1-'P-Parametri'!$B$6*AD550))),MAX(0,2*AD506-(AH549-MIN(MAX(AH549,0),MAX(0,AD506-IF($A550&gt;='1-Input'!$C$12,'1-Input'!$B$12,0)))))*(1/(1-'P-Parametri'!$B$6*AD550))))</f>
        <v>0</v>
      </c>
      <c r="AF550" s="18">
        <f>IF($A550&gt;'1-Input'!$B$26,AH549,(AH549-MAX(0,AD506-IF($A550&gt;='1-Input'!$C$12,'1-Input'!$B$12,0))+AE550*(1-'P-Parametri'!$B$6*AD550))*(1+'1-Input'!$B$27))</f>
        <v>20682.731199495156</v>
      </c>
      <c r="AG550" s="18">
        <f>IF($A550&gt;'1-Input'!$B$26,AI549,(AI549-AE550)*(1+$C$4))</f>
        <v>0</v>
      </c>
      <c r="AH550" s="18">
        <f>IF($A550&gt;'1-Input'!$B$26,AF550,AF550-'P-Parametri'!$B$8*(AG550+AF550)+MIN(MAX(AG550,0),'P-Parametri'!$B$8*(AG550+AF550)))</f>
        <v>20641.365737096166</v>
      </c>
      <c r="AI550" s="18">
        <f>IF($A550&gt;'1-Input'!$B$26,AG550,AG550-MIN(MAX(AG550,0),'P-Parametri'!$B$8*(AG550+AF550)))</f>
        <v>0</v>
      </c>
      <c r="AJ550" s="18">
        <f>IF($A550&gt;'1-Input'!$B$26,AJ549,AJ549-AE550*(1-AD550))</f>
        <v>-4.5474735088646412E-13</v>
      </c>
      <c r="AK550" s="11">
        <f>IF($A550&gt;'1-Input'!$B$26,0,IF(AP549&lt;=0,0,MAX(0,(AP549-AQ549)/AP549)))</f>
        <v>0</v>
      </c>
      <c r="AL550" s="18">
        <f>IF($A550&gt;'1-Input'!$B$26,0,(MAX(0,AK506-IF($A550&gt;='1-Input'!$C$12,'1-Input'!$B$12,0))-MIN(MAX(AO549,0),MAX(0,AK506-IF($A550&gt;='1-Input'!$C$12,'1-Input'!$B$12,0))))*(1/(1-'P-Parametri'!$B$6*AK550))+MIN(MAX(0,AP549-(MAX(0,AK506-IF($A550&gt;='1-Input'!$C$12,'1-Input'!$B$12,0))-MIN(MAX(AO549,0),MAX(0,AK506-IF($A550&gt;='1-Input'!$C$12,'1-Input'!$B$12,0))))*(1/(1-'P-Parametri'!$B$6*AK550))),MAX(0,2*AK506-(AO549-MIN(MAX(AO549,0),MAX(0,AK506-IF($A550&gt;='1-Input'!$C$12,'1-Input'!$B$12,0)))))*(1/(1-'P-Parametri'!$B$6*AK550))))</f>
        <v>0</v>
      </c>
      <c r="AM550" s="18">
        <f>IF($A550&gt;'1-Input'!$B$26,AO549,(AO549-MAX(0,AK506-IF($A550&gt;='1-Input'!$C$12,'1-Input'!$B$12,0))+AL550*(1-'P-Parametri'!$B$6*AK550))*(1+'1-Input'!$B$27))</f>
        <v>20685.058028345276</v>
      </c>
      <c r="AN550" s="18">
        <f>IF($A550&gt;'1-Input'!$B$26,AP549,(AP549-AL550)*(1+$C$4))</f>
        <v>0</v>
      </c>
      <c r="AO550" s="18">
        <f>IF($A550&gt;'1-Input'!$B$26,AM550,AM550-'P-Parametri'!$B$8*(AN550+AM550)+MIN(MAX(AN550,0),'P-Parametri'!$B$8*(AN550+AM550)))</f>
        <v>20643.687912288588</v>
      </c>
      <c r="AP550" s="18">
        <f>IF($A550&gt;'1-Input'!$B$26,AN550,AN550-MIN(MAX(AN550,0),'P-Parametri'!$B$8*(AN550+AM550)))</f>
        <v>0</v>
      </c>
      <c r="AQ550" s="18">
        <f>IF($A550&gt;'1-Input'!$B$26,AQ549,AQ549-AL550*(1-AK550))</f>
        <v>-4.5474735088646412E-13</v>
      </c>
    </row>
    <row r="551" spans="1:43">
      <c r="A551" s="10">
        <f>43</f>
        <v>43</v>
      </c>
      <c r="B551" s="11">
        <f>IF($A551&gt;'1-Input'!$B$26,0,IF(G550&lt;=0,0,MAX(0,(G550-H550)/G550)))</f>
        <v>0.74997870001908029</v>
      </c>
      <c r="C551" s="18">
        <f>IF($A551&gt;'1-Input'!$B$26,0,(MAX(0,B506-IF($A551&gt;='1-Input'!$C$12,'1-Input'!$B$12,0))-MIN(MAX(F550,0),MAX(0,B506-IF($A551&gt;='1-Input'!$C$12,'1-Input'!$B$12,0))))*(1/(1-'P-Parametri'!$B$6*B551))+MIN(MAX(0,G550-(MAX(0,B506-IF($A551&gt;='1-Input'!$C$12,'1-Input'!$B$12,0))-MIN(MAX(F550,0),MAX(0,B506-IF($A551&gt;='1-Input'!$C$12,'1-Input'!$B$12,0))))*(1/(1-'P-Parametri'!$B$6*B551))),MAX(0,2*B506-(F550-MIN(MAX(F550,0),MAX(0,B506-IF($A551&gt;='1-Input'!$C$12,'1-Input'!$B$12,0)))))*(1/(1-'P-Parametri'!$B$6*B551))))</f>
        <v>7079.6518084652344</v>
      </c>
      <c r="D551" s="18">
        <f>IF($A551&gt;'1-Input'!$B$26,F550,(F550-MAX(0,B506-IF($A551&gt;='1-Input'!$C$12,'1-Input'!$B$12,0))+C551*(1-'P-Parametri'!$B$6*B551))*(1+'1-Input'!$B$27))</f>
        <v>33242.0070309863</v>
      </c>
      <c r="E551" s="18">
        <f>IF($A551&gt;'1-Input'!$B$26,G550,(G550-C551)*(1+$C$4))</f>
        <v>101268.20435080495</v>
      </c>
      <c r="F551" s="18">
        <f>IF($A551&gt;'1-Input'!$B$26,D551,D551-'P-Parametri'!$B$8*(E551+D551)+MIN(MAX(E551,0),'P-Parametri'!$B$8*(E551+D551)))</f>
        <v>33242.0070309863</v>
      </c>
      <c r="G551" s="18">
        <f>IF($A551&gt;'1-Input'!$B$26,E551,E551-MIN(MAX(E551,0),'P-Parametri'!$B$8*(E551+D551)))</f>
        <v>100999.18392804137</v>
      </c>
      <c r="H551" s="18">
        <f>IF($A551&gt;'1-Input'!$B$26,H550,H550-C551*(1-B551))</f>
        <v>24581.755435457948</v>
      </c>
      <c r="I551" s="11">
        <f>IF($A551&gt;'1-Input'!$B$26,0,IF(N550&lt;=0,0,MAX(0,(N550-O550)/N550)))</f>
        <v>0</v>
      </c>
      <c r="J551" s="18">
        <f>IF($A551&gt;'1-Input'!$B$26,0,(MAX(0,I506-IF($A551&gt;='1-Input'!$C$12,'1-Input'!$B$12,0))-MIN(MAX(M550,0),MAX(0,I506-IF($A551&gt;='1-Input'!$C$12,'1-Input'!$B$12,0))))*(1/(1-'P-Parametri'!$B$6*I551))+MIN(MAX(0,N550-(MAX(0,I506-IF($A551&gt;='1-Input'!$C$12,'1-Input'!$B$12,0))-MIN(MAX(M550,0),MAX(0,I506-IF($A551&gt;='1-Input'!$C$12,'1-Input'!$B$12,0))))*(1/(1-'P-Parametri'!$B$6*I551))),MAX(0,2*I506-(M550-MIN(MAX(M550,0),MAX(0,I506-IF($A551&gt;='1-Input'!$C$12,'1-Input'!$B$12,0)))))*(1/(1-'P-Parametri'!$B$6*I551))))</f>
        <v>10846.756992928691</v>
      </c>
      <c r="K551" s="18">
        <f>IF($A551&gt;'1-Input'!$B$26,M550,(M550-MAX(0,I506-IF($A551&gt;='1-Input'!$C$12,'1-Input'!$B$12,0))+J551*(1-'P-Parametri'!$B$6*I551))*(1+'1-Input'!$B$27))</f>
        <v>0</v>
      </c>
      <c r="L551" s="18">
        <f>IF($A551&gt;'1-Input'!$B$26,N550,(N550-J551)*(1+$C$4))</f>
        <v>-282416.25278169691</v>
      </c>
      <c r="M551" s="18">
        <f>IF($A551&gt;'1-Input'!$B$26,K551,K551-'P-Parametri'!$B$8*(L551+K551)+MIN(MAX(L551,0),'P-Parametri'!$B$8*(L551+K551)))</f>
        <v>0</v>
      </c>
      <c r="N551" s="18">
        <f>IF($A551&gt;'1-Input'!$B$26,L551,L551-MIN(MAX(L551,0),'P-Parametri'!$B$8*(L551+K551)))</f>
        <v>-281851.42027613352</v>
      </c>
      <c r="O551" s="18">
        <f>IF($A551&gt;'1-Input'!$B$26,O550,O550-J551*(1-I551))</f>
        <v>-210279.63411530294</v>
      </c>
      <c r="P551" s="11">
        <f>IF($A551&gt;'1-Input'!$B$26,0,IF(U550&lt;=0,0,MAX(0,(U550-V550)/U550)))</f>
        <v>0</v>
      </c>
      <c r="Q551" s="18">
        <f>IF($A551&gt;'1-Input'!$B$26,0,(MAX(0,P506-IF($A551&gt;='1-Input'!$C$12,'1-Input'!$B$12,0))-MIN(MAX(T550,0),MAX(0,P506-IF($A551&gt;='1-Input'!$C$12,'1-Input'!$B$12,0))))*(1/(1-'P-Parametri'!$B$6*P551))+MIN(MAX(0,U550-(MAX(0,P506-IF($A551&gt;='1-Input'!$C$12,'1-Input'!$B$12,0))-MIN(MAX(T550,0),MAX(0,P506-IF($A551&gt;='1-Input'!$C$12,'1-Input'!$B$12,0))))*(1/(1-'P-Parametri'!$B$6*P551))),MAX(0,2*P506-(T550-MIN(MAX(T550,0),MAX(0,P506-IF($A551&gt;='1-Input'!$C$12,'1-Input'!$B$12,0)))))*(1/(1-'P-Parametri'!$B$6*P551))))</f>
        <v>1312.7622406439732</v>
      </c>
      <c r="R551" s="18">
        <f>IF($A551&gt;'1-Input'!$B$26,T550,(T550-MAX(0,P506-IF($A551&gt;='1-Input'!$C$12,'1-Input'!$B$12,0))+Q551*(1-'P-Parametri'!$B$6*P551))*(1+'1-Input'!$B$27))</f>
        <v>0</v>
      </c>
      <c r="S551" s="18">
        <f>IF($A551&gt;'1-Input'!$B$26,U550,(U550-Q551)*(1+$C$4))</f>
        <v>-1352.1451078632924</v>
      </c>
      <c r="T551" s="18">
        <f>IF($A551&gt;'1-Input'!$B$26,R551,R551-'P-Parametri'!$B$8*(S551+R551)+MIN(MAX(S551,0),'P-Parametri'!$B$8*(S551+R551)))</f>
        <v>0</v>
      </c>
      <c r="U551" s="18">
        <f>IF($A551&gt;'1-Input'!$B$26,S551,S551-MIN(MAX(S551,0),'P-Parametri'!$B$8*(S551+R551)))</f>
        <v>-1349.4408176475658</v>
      </c>
      <c r="V551" s="18">
        <f>IF($A551&gt;'1-Input'!$B$26,V550,V550-Q551*(1-P551))</f>
        <v>-1312.762240643973</v>
      </c>
      <c r="W551" s="11">
        <f>IF($A551&gt;'1-Input'!$B$26,0,IF(AB550&lt;=0,0,MAX(0,(AB550-AC550)/AB550)))</f>
        <v>0</v>
      </c>
      <c r="X551" s="18">
        <f>IF($A551&gt;'1-Input'!$B$26,0,(MAX(0,W506-IF($A551&gt;='1-Input'!$C$12,'1-Input'!$B$12,0))-MIN(MAX(AA550,0),MAX(0,W506-IF($A551&gt;='1-Input'!$C$12,'1-Input'!$B$12,0))))*(1/(1-'P-Parametri'!$B$6*W551))+MIN(MAX(0,AB550-(MAX(0,W506-IF($A551&gt;='1-Input'!$C$12,'1-Input'!$B$12,0))-MIN(MAX(AA550,0),MAX(0,W506-IF($A551&gt;='1-Input'!$C$12,'1-Input'!$B$12,0))))*(1/(1-'P-Parametri'!$B$6*W551))),MAX(0,2*W506-(AA550-MIN(MAX(AA550,0),MAX(0,W506-IF($A551&gt;='1-Input'!$C$12,'1-Input'!$B$12,0)))))*(1/(1-'P-Parametri'!$B$6*W551))))</f>
        <v>0</v>
      </c>
      <c r="Y551" s="18">
        <f>IF($A551&gt;'1-Input'!$B$26,AA550,(AA550-MAX(0,W506-IF($A551&gt;='1-Input'!$C$12,'1-Input'!$B$12,0))+X551*(1-'P-Parametri'!$B$6*W551))*(1+'1-Input'!$B$27))</f>
        <v>12759.363387258849</v>
      </c>
      <c r="Z551" s="18">
        <f>IF($A551&gt;'1-Input'!$B$26,AB550,(AB550-X551)*(1+$C$4))</f>
        <v>0</v>
      </c>
      <c r="AA551" s="18">
        <f>IF($A551&gt;'1-Input'!$B$26,Y551,Y551-'P-Parametri'!$B$8*(Z551+Y551)+MIN(MAX(Z551,0),'P-Parametri'!$B$8*(Z551+Y551)))</f>
        <v>12733.844660484332</v>
      </c>
      <c r="AB551" s="18">
        <f>IF($A551&gt;'1-Input'!$B$26,Z551,Z551-MIN(MAX(Z551,0),'P-Parametri'!$B$8*(Z551+Y551)))</f>
        <v>0</v>
      </c>
      <c r="AC551" s="18">
        <f>IF($A551&gt;'1-Input'!$B$26,AC550,AC550-X551*(1-W551))</f>
        <v>0</v>
      </c>
      <c r="AD551" s="11">
        <f>IF($A551&gt;'1-Input'!$B$26,0,IF(AI550&lt;=0,0,MAX(0,(AI550-AJ550)/AI550)))</f>
        <v>0</v>
      </c>
      <c r="AE551" s="18">
        <f>IF($A551&gt;'1-Input'!$B$26,0,(MAX(0,AD506-IF($A551&gt;='1-Input'!$C$12,'1-Input'!$B$12,0))-MIN(MAX(AH550,0),MAX(0,AD506-IF($A551&gt;='1-Input'!$C$12,'1-Input'!$B$12,0))))*(1/(1-'P-Parametri'!$B$6*AD551))+MIN(MAX(0,AI550-(MAX(0,AD506-IF($A551&gt;='1-Input'!$C$12,'1-Input'!$B$12,0))-MIN(MAX(AH550,0),MAX(0,AD506-IF($A551&gt;='1-Input'!$C$12,'1-Input'!$B$12,0))))*(1/(1-'P-Parametri'!$B$6*AD551))),MAX(0,2*AD506-(AH550-MIN(MAX(AH550,0),MAX(0,AD506-IF($A551&gt;='1-Input'!$C$12,'1-Input'!$B$12,0)))))*(1/(1-'P-Parametri'!$B$6*AD551))))</f>
        <v>0</v>
      </c>
      <c r="AF551" s="18">
        <f>IF($A551&gt;'1-Input'!$B$26,AH550,(AH550-MAX(0,AD506-IF($A551&gt;='1-Input'!$C$12,'1-Input'!$B$12,0))+AE551*(1-'P-Parametri'!$B$6*AD551))*(1+'1-Input'!$B$27))</f>
        <v>13748.985505646639</v>
      </c>
      <c r="AG551" s="18">
        <f>IF($A551&gt;'1-Input'!$B$26,AI550,(AI550-AE551)*(1+$C$4))</f>
        <v>0</v>
      </c>
      <c r="AH551" s="18">
        <f>IF($A551&gt;'1-Input'!$B$26,AF551,AF551-'P-Parametri'!$B$8*(AG551+AF551)+MIN(MAX(AG551,0),'P-Parametri'!$B$8*(AG551+AF551)))</f>
        <v>13721.487534635346</v>
      </c>
      <c r="AI551" s="18">
        <f>IF($A551&gt;'1-Input'!$B$26,AG551,AG551-MIN(MAX(AG551,0),'P-Parametri'!$B$8*(AG551+AF551)))</f>
        <v>0</v>
      </c>
      <c r="AJ551" s="18">
        <f>IF($A551&gt;'1-Input'!$B$26,AJ550,AJ550-AE551*(1-AD551))</f>
        <v>-4.5474735088646412E-13</v>
      </c>
      <c r="AK551" s="11">
        <f>IF($A551&gt;'1-Input'!$B$26,0,IF(AP550&lt;=0,0,MAX(0,(AP550-AQ550)/AP550)))</f>
        <v>0</v>
      </c>
      <c r="AL551" s="18">
        <f>IF($A551&gt;'1-Input'!$B$26,0,(MAX(0,AK506-IF($A551&gt;='1-Input'!$C$12,'1-Input'!$B$12,0))-MIN(MAX(AO550,0),MAX(0,AK506-IF($A551&gt;='1-Input'!$C$12,'1-Input'!$B$12,0))))*(1/(1-'P-Parametri'!$B$6*AK551))+MIN(MAX(0,AP550-(MAX(0,AK506-IF($A551&gt;='1-Input'!$C$12,'1-Input'!$B$12,0))-MIN(MAX(AO550,0),MAX(0,AK506-IF($A551&gt;='1-Input'!$C$12,'1-Input'!$B$12,0))))*(1/(1-'P-Parametri'!$B$6*AK551))),MAX(0,2*AK506-(AO550-MIN(MAX(AO550,0),MAX(0,AK506-IF($A551&gt;='1-Input'!$C$12,'1-Input'!$B$12,0)))))*(1/(1-'P-Parametri'!$B$6*AK551))))</f>
        <v>0</v>
      </c>
      <c r="AM551" s="18">
        <f>IF($A551&gt;'1-Input'!$B$26,AO550,(AO550-MAX(0,AK506-IF($A551&gt;='1-Input'!$C$12,'1-Input'!$B$12,0))+AL551*(1-'P-Parametri'!$B$6*AK551))*(1+'1-Input'!$B$27))</f>
        <v>13751.332039694407</v>
      </c>
      <c r="AN551" s="18">
        <f>IF($A551&gt;'1-Input'!$B$26,AP550,(AP550-AL551)*(1+$C$4))</f>
        <v>0</v>
      </c>
      <c r="AO551" s="18">
        <f>IF($A551&gt;'1-Input'!$B$26,AM551,AM551-'P-Parametri'!$B$8*(AN551+AM551)+MIN(MAX(AN551,0),'P-Parametri'!$B$8*(AN551+AM551)))</f>
        <v>13723.829375615018</v>
      </c>
      <c r="AP551" s="18">
        <f>IF($A551&gt;'1-Input'!$B$26,AN551,AN551-MIN(MAX(AN551,0),'P-Parametri'!$B$8*(AN551+AM551)))</f>
        <v>0</v>
      </c>
      <c r="AQ551" s="18">
        <f>IF($A551&gt;'1-Input'!$B$26,AQ550,AQ550-AL551*(1-AK551))</f>
        <v>-4.5474735088646412E-13</v>
      </c>
    </row>
    <row r="552" spans="1:43">
      <c r="A552" s="10">
        <f>44</f>
        <v>44</v>
      </c>
      <c r="B552" s="11">
        <f>IF($A552&gt;'1-Input'!$B$26,0,IF(G551&lt;=0,0,MAX(0,(G551-H551)/G551)))</f>
        <v>0.7566143162803014</v>
      </c>
      <c r="C552" s="18">
        <f>IF($A552&gt;'1-Input'!$B$26,0,(MAX(0,B506-IF($A552&gt;='1-Input'!$C$12,'1-Input'!$B$12,0))-MIN(MAX(F551,0),MAX(0,B506-IF($A552&gt;='1-Input'!$C$12,'1-Input'!$B$12,0))))*(1/(1-'P-Parametri'!$B$6*B552))+MIN(MAX(0,G551-(MAX(0,B506-IF($A552&gt;='1-Input'!$C$12,'1-Input'!$B$12,0))-MIN(MAX(F551,0),MAX(0,B506-IF($A552&gt;='1-Input'!$C$12,'1-Input'!$B$12,0))))*(1/(1-'P-Parametri'!$B$6*B552))),MAX(0,2*B506-(F551-MIN(MAX(F551,0),MAX(0,B506-IF($A552&gt;='1-Input'!$C$12,'1-Input'!$B$12,0)))))*(1/(1-'P-Parametri'!$B$6*B552))))</f>
        <v>7094.857262938237</v>
      </c>
      <c r="D552" s="18">
        <f>IF($A552&gt;'1-Input'!$B$26,F551,(F551-MAX(0,B506-IF($A552&gt;='1-Input'!$C$12,'1-Input'!$B$12,0))+C552*(1-'P-Parametri'!$B$6*B552))*(1+'1-Input'!$B$27))</f>
        <v>33242.0070309863</v>
      </c>
      <c r="E552" s="18">
        <f>IF($A552&gt;'1-Input'!$B$26,G551,(G551-C552)*(1+$C$4))</f>
        <v>96721.456465056224</v>
      </c>
      <c r="F552" s="18">
        <f>IF($A552&gt;'1-Input'!$B$26,D552,D552-'P-Parametri'!$B$8*(E552+D552)+MIN(MAX(E552,0),'P-Parametri'!$B$8*(E552+D552)))</f>
        <v>33242.0070309863</v>
      </c>
      <c r="G552" s="18">
        <f>IF($A552&gt;'1-Input'!$B$26,E552,E552-MIN(MAX(E552,0),'P-Parametri'!$B$8*(E552+D552)))</f>
        <v>96461.529538064133</v>
      </c>
      <c r="H552" s="18">
        <f>IF($A552&gt;'1-Input'!$B$26,H551,H551-C552*(1-B552))</f>
        <v>22854.968749624055</v>
      </c>
      <c r="I552" s="11">
        <f>IF($A552&gt;'1-Input'!$B$26,0,IF(N551&lt;=0,0,MAX(0,(N551-O551)/N551)))</f>
        <v>0</v>
      </c>
      <c r="J552" s="18">
        <f>IF($A552&gt;'1-Input'!$B$26,0,(MAX(0,I506-IF($A552&gt;='1-Input'!$C$12,'1-Input'!$B$12,0))-MIN(MAX(M551,0),MAX(0,I506-IF($A552&gt;='1-Input'!$C$12,'1-Input'!$B$12,0))))*(1/(1-'P-Parametri'!$B$6*I552))+MIN(MAX(0,N551-(MAX(0,I506-IF($A552&gt;='1-Input'!$C$12,'1-Input'!$B$12,0))-MIN(MAX(M551,0),MAX(0,I506-IF($A552&gt;='1-Input'!$C$12,'1-Input'!$B$12,0))))*(1/(1-'P-Parametri'!$B$6*I552))),MAX(0,2*I506-(M551-MIN(MAX(M551,0),MAX(0,I506-IF($A552&gt;='1-Input'!$C$12,'1-Input'!$B$12,0)))))*(1/(1-'P-Parametri'!$B$6*I552))))</f>
        <v>10846.756992928691</v>
      </c>
      <c r="K552" s="18">
        <f>IF($A552&gt;'1-Input'!$B$26,M551,(M551-MAX(0,I506-IF($A552&gt;='1-Input'!$C$12,'1-Input'!$B$12,0))+J552*(1-'P-Parametri'!$B$6*I552))*(1+'1-Input'!$B$27))</f>
        <v>0</v>
      </c>
      <c r="L552" s="18">
        <f>IF($A552&gt;'1-Input'!$B$26,N551,(N551-J552)*(1+$C$4))</f>
        <v>-301479.12258713407</v>
      </c>
      <c r="M552" s="18">
        <f>IF($A552&gt;'1-Input'!$B$26,K552,K552-'P-Parametri'!$B$8*(L552+K552)+MIN(MAX(L552,0),'P-Parametri'!$B$8*(L552+K552)))</f>
        <v>0</v>
      </c>
      <c r="N552" s="18">
        <f>IF($A552&gt;'1-Input'!$B$26,L552,L552-MIN(MAX(L552,0),'P-Parametri'!$B$8*(L552+K552)))</f>
        <v>-300876.16434195981</v>
      </c>
      <c r="O552" s="18">
        <f>IF($A552&gt;'1-Input'!$B$26,O551,O551-J552*(1-I552))</f>
        <v>-221126.39110823162</v>
      </c>
      <c r="P552" s="11">
        <f>IF($A552&gt;'1-Input'!$B$26,0,IF(U551&lt;=0,0,MAX(0,(U551-V551)/U551)))</f>
        <v>0</v>
      </c>
      <c r="Q552" s="18">
        <f>IF($A552&gt;'1-Input'!$B$26,0,(MAX(0,P506-IF($A552&gt;='1-Input'!$C$12,'1-Input'!$B$12,0))-MIN(MAX(T551,0),MAX(0,P506-IF($A552&gt;='1-Input'!$C$12,'1-Input'!$B$12,0))))*(1/(1-'P-Parametri'!$B$6*P552))+MIN(MAX(0,U551-(MAX(0,P506-IF($A552&gt;='1-Input'!$C$12,'1-Input'!$B$12,0))-MIN(MAX(T551,0),MAX(0,P506-IF($A552&gt;='1-Input'!$C$12,'1-Input'!$B$12,0))))*(1/(1-'P-Parametri'!$B$6*P552))),MAX(0,2*P506-(T551-MIN(MAX(T551,0),MAX(0,P506-IF($A552&gt;='1-Input'!$C$12,'1-Input'!$B$12,0)))))*(1/(1-'P-Parametri'!$B$6*P552))))</f>
        <v>7057.5129822392701</v>
      </c>
      <c r="R552" s="18">
        <f>IF($A552&gt;'1-Input'!$B$26,T551,(T551-MAX(0,P506-IF($A552&gt;='1-Input'!$C$12,'1-Input'!$B$12,0))+Q552*(1-'P-Parametri'!$B$6*P552))*(1+'1-Input'!$B$27))</f>
        <v>0</v>
      </c>
      <c r="S552" s="18">
        <f>IF($A552&gt;'1-Input'!$B$26,U551,(U551-Q552)*(1+$C$4))</f>
        <v>-8659.1624138834413</v>
      </c>
      <c r="T552" s="18">
        <f>IF($A552&gt;'1-Input'!$B$26,R552,R552-'P-Parametri'!$B$8*(S552+R552)+MIN(MAX(S552,0),'P-Parametri'!$B$8*(S552+R552)))</f>
        <v>0</v>
      </c>
      <c r="U552" s="18">
        <f>IF($A552&gt;'1-Input'!$B$26,S552,S552-MIN(MAX(S552,0),'P-Parametri'!$B$8*(S552+R552)))</f>
        <v>-8641.844089055674</v>
      </c>
      <c r="V552" s="18">
        <f>IF($A552&gt;'1-Input'!$B$26,V551,V551-Q552*(1-P552))</f>
        <v>-8370.2752228832433</v>
      </c>
      <c r="W552" s="11">
        <f>IF($A552&gt;'1-Input'!$B$26,0,IF(AB551&lt;=0,0,MAX(0,(AB551-AC551)/AB551)))</f>
        <v>0</v>
      </c>
      <c r="X552" s="18">
        <f>IF($A552&gt;'1-Input'!$B$26,0,(MAX(0,W506-IF($A552&gt;='1-Input'!$C$12,'1-Input'!$B$12,0))-MIN(MAX(AA551,0),MAX(0,W506-IF($A552&gt;='1-Input'!$C$12,'1-Input'!$B$12,0))))*(1/(1-'P-Parametri'!$B$6*W552))+MIN(MAX(0,AB551-(MAX(0,W506-IF($A552&gt;='1-Input'!$C$12,'1-Input'!$B$12,0))-MIN(MAX(AA551,0),MAX(0,W506-IF($A552&gt;='1-Input'!$C$12,'1-Input'!$B$12,0))))*(1/(1-'P-Parametri'!$B$6*W552))),MAX(0,2*W506-(AA551-MIN(MAX(AA551,0),MAX(0,W506-IF($A552&gt;='1-Input'!$C$12,'1-Input'!$B$12,0)))))*(1/(1-'P-Parametri'!$B$6*W552))))</f>
        <v>0</v>
      </c>
      <c r="Y552" s="18">
        <f>IF($A552&gt;'1-Input'!$B$26,AA551,(AA551-MAX(0,W506-IF($A552&gt;='1-Input'!$C$12,'1-Input'!$B$12,0))+X552*(1-'P-Parametri'!$B$6*W552))*(1+'1-Input'!$B$27))</f>
        <v>5856.1327525891238</v>
      </c>
      <c r="Z552" s="18">
        <f>IF($A552&gt;'1-Input'!$B$26,AB551,(AB551-X552)*(1+$C$4))</f>
        <v>0</v>
      </c>
      <c r="AA552" s="18">
        <f>IF($A552&gt;'1-Input'!$B$26,Y552,Y552-'P-Parametri'!$B$8*(Z552+Y552)+MIN(MAX(Z552,0),'P-Parametri'!$B$8*(Z552+Y552)))</f>
        <v>5844.4204870839458</v>
      </c>
      <c r="AB552" s="18">
        <f>IF($A552&gt;'1-Input'!$B$26,Z552,Z552-MIN(MAX(Z552,0),'P-Parametri'!$B$8*(Z552+Y552)))</f>
        <v>0</v>
      </c>
      <c r="AC552" s="18">
        <f>IF($A552&gt;'1-Input'!$B$26,AC551,AC551-X552*(1-W552))</f>
        <v>0</v>
      </c>
      <c r="AD552" s="11">
        <f>IF($A552&gt;'1-Input'!$B$26,0,IF(AI551&lt;=0,0,MAX(0,(AI551-AJ551)/AI551)))</f>
        <v>0</v>
      </c>
      <c r="AE552" s="18">
        <f>IF($A552&gt;'1-Input'!$B$26,0,(MAX(0,AD506-IF($A552&gt;='1-Input'!$C$12,'1-Input'!$B$12,0))-MIN(MAX(AH551,0),MAX(0,AD506-IF($A552&gt;='1-Input'!$C$12,'1-Input'!$B$12,0))))*(1/(1-'P-Parametri'!$B$6*AD552))+MIN(MAX(0,AI551-(MAX(0,AD506-IF($A552&gt;='1-Input'!$C$12,'1-Input'!$B$12,0))-MIN(MAX(AH551,0),MAX(0,AD506-IF($A552&gt;='1-Input'!$C$12,'1-Input'!$B$12,0))))*(1/(1-'P-Parametri'!$B$6*AD552))),MAX(0,2*AD506-(AH551-MIN(MAX(AH551,0),MAX(0,AD506-IF($A552&gt;='1-Input'!$C$12,'1-Input'!$B$12,0)))))*(1/(1-'P-Parametri'!$B$6*AD552))))</f>
        <v>0</v>
      </c>
      <c r="AF552" s="18">
        <f>IF($A552&gt;'1-Input'!$B$26,AH551,(AH551-MAX(0,AD506-IF($A552&gt;='1-Input'!$C$12,'1-Input'!$B$12,0))+AE552*(1-'P-Parametri'!$B$6*AD552))*(1+'1-Input'!$B$27))</f>
        <v>6854.0188647146761</v>
      </c>
      <c r="AG552" s="18">
        <f>IF($A552&gt;'1-Input'!$B$26,AI551,(AI551-AE552)*(1+$C$4))</f>
        <v>0</v>
      </c>
      <c r="AH552" s="18">
        <f>IF($A552&gt;'1-Input'!$B$26,AF552,AF552-'P-Parametri'!$B$8*(AG552+AF552)+MIN(MAX(AG552,0),'P-Parametri'!$B$8*(AG552+AF552)))</f>
        <v>6840.3108269852464</v>
      </c>
      <c r="AI552" s="18">
        <f>IF($A552&gt;'1-Input'!$B$26,AG552,AG552-MIN(MAX(AG552,0),'P-Parametri'!$B$8*(AG552+AF552)))</f>
        <v>0</v>
      </c>
      <c r="AJ552" s="18">
        <f>IF($A552&gt;'1-Input'!$B$26,AJ551,AJ551-AE552*(1-AD552))</f>
        <v>-4.5474735088646412E-13</v>
      </c>
      <c r="AK552" s="11">
        <f>IF($A552&gt;'1-Input'!$B$26,0,IF(AP551&lt;=0,0,MAX(0,(AP551-AQ551)/AP551)))</f>
        <v>0</v>
      </c>
      <c r="AL552" s="18">
        <f>IF($A552&gt;'1-Input'!$B$26,0,(MAX(0,AK506-IF($A552&gt;='1-Input'!$C$12,'1-Input'!$B$12,0))-MIN(MAX(AO551,0),MAX(0,AK506-IF($A552&gt;='1-Input'!$C$12,'1-Input'!$B$12,0))))*(1/(1-'P-Parametri'!$B$6*AK552))+MIN(MAX(0,AP551-(MAX(0,AK506-IF($A552&gt;='1-Input'!$C$12,'1-Input'!$B$12,0))-MIN(MAX(AO551,0),MAX(0,AK506-IF($A552&gt;='1-Input'!$C$12,'1-Input'!$B$12,0))))*(1/(1-'P-Parametri'!$B$6*AK552))),MAX(0,2*AK506-(AO551-MIN(MAX(AO551,0),MAX(0,AK506-IF($A552&gt;='1-Input'!$C$12,'1-Input'!$B$12,0)))))*(1/(1-'P-Parametri'!$B$6*AK552))))</f>
        <v>0</v>
      </c>
      <c r="AM552" s="18">
        <f>IF($A552&gt;'1-Input'!$B$26,AO551,(AO551-MAX(0,AK506-IF($A552&gt;='1-Input'!$C$12,'1-Input'!$B$12,0))+AL552*(1-'P-Parametri'!$B$6*AK552))*(1+'1-Input'!$B$27))</f>
        <v>6856.3849937528639</v>
      </c>
      <c r="AN552" s="18">
        <f>IF($A552&gt;'1-Input'!$B$26,AP551,(AP551-AL552)*(1+$C$4))</f>
        <v>0</v>
      </c>
      <c r="AO552" s="18">
        <f>IF($A552&gt;'1-Input'!$B$26,AM552,AM552-'P-Parametri'!$B$8*(AN552+AM552)+MIN(MAX(AN552,0),'P-Parametri'!$B$8*(AN552+AM552)))</f>
        <v>6842.6722237653585</v>
      </c>
      <c r="AP552" s="18">
        <f>IF($A552&gt;'1-Input'!$B$26,AN552,AN552-MIN(MAX(AN552,0),'P-Parametri'!$B$8*(AN552+AM552)))</f>
        <v>0</v>
      </c>
      <c r="AQ552" s="18">
        <f>IF($A552&gt;'1-Input'!$B$26,AQ551,AQ551-AL552*(1-AK552))</f>
        <v>-4.5474735088646412E-13</v>
      </c>
    </row>
    <row r="553" spans="1:43">
      <c r="A553" s="10">
        <f>45</f>
        <v>45</v>
      </c>
      <c r="B553" s="11">
        <f>IF($A553&gt;'1-Input'!$B$26,0,IF(G552&lt;=0,0,MAX(0,(G552-H552)/G552)))</f>
        <v>0.76306649024671147</v>
      </c>
      <c r="C553" s="18">
        <f>IF($A553&gt;'1-Input'!$B$26,0,(MAX(0,B506-IF($A553&gt;='1-Input'!$C$12,'1-Input'!$B$12,0))-MIN(MAX(F552,0),MAX(0,B506-IF($A553&gt;='1-Input'!$C$12,'1-Input'!$B$12,0))))*(1/(1-'P-Parametri'!$B$6*B553))+MIN(MAX(0,G552-(MAX(0,B506-IF($A553&gt;='1-Input'!$C$12,'1-Input'!$B$12,0))-MIN(MAX(F552,0),MAX(0,B506-IF($A553&gt;='1-Input'!$C$12,'1-Input'!$B$12,0))))*(1/(1-'P-Parametri'!$B$6*B553))),MAX(0,2*B506-(F552-MIN(MAX(F552,0),MAX(0,B506-IF($A553&gt;='1-Input'!$C$12,'1-Input'!$B$12,0)))))*(1/(1-'P-Parametri'!$B$6*B553))))</f>
        <v>7109.7051242028929</v>
      </c>
      <c r="D553" s="18">
        <f>IF($A553&gt;'1-Input'!$B$26,F552,(F552-MAX(0,B506-IF($A553&gt;='1-Input'!$C$12,'1-Input'!$B$12,0))+C553*(1-'P-Parametri'!$B$6*B553))*(1+'1-Input'!$B$27))</f>
        <v>33242.0070309863</v>
      </c>
      <c r="E553" s="18">
        <f>IF($A553&gt;'1-Input'!$B$26,G552,(G552-C553)*(1+$C$4))</f>
        <v>92032.379146277075</v>
      </c>
      <c r="F553" s="18">
        <f>IF($A553&gt;'1-Input'!$B$26,D553,D553-'P-Parametri'!$B$8*(E553+D553)+MIN(MAX(E553,0),'P-Parametri'!$B$8*(E553+D553)))</f>
        <v>33242.0070309863</v>
      </c>
      <c r="G553" s="18">
        <f>IF($A553&gt;'1-Input'!$B$26,E553,E553-MIN(MAX(E553,0),'P-Parametri'!$B$8*(E553+D553)))</f>
        <v>91781.830373922552</v>
      </c>
      <c r="H553" s="18">
        <f>IF($A553&gt;'1-Input'!$B$26,H552,H552-C553*(1-B553))</f>
        <v>21170.441361235724</v>
      </c>
      <c r="I553" s="11">
        <f>IF($A553&gt;'1-Input'!$B$26,0,IF(N552&lt;=0,0,MAX(0,(N552-O552)/N552)))</f>
        <v>0</v>
      </c>
      <c r="J553" s="18">
        <f>IF($A553&gt;'1-Input'!$B$26,0,(MAX(0,I506-IF($A553&gt;='1-Input'!$C$12,'1-Input'!$B$12,0))-MIN(MAX(M552,0),MAX(0,I506-IF($A553&gt;='1-Input'!$C$12,'1-Input'!$B$12,0))))*(1/(1-'P-Parametri'!$B$6*I553))+MIN(MAX(0,N552-(MAX(0,I506-IF($A553&gt;='1-Input'!$C$12,'1-Input'!$B$12,0))-MIN(MAX(M552,0),MAX(0,I506-IF($A553&gt;='1-Input'!$C$12,'1-Input'!$B$12,0))))*(1/(1-'P-Parametri'!$B$6*I553))),MAX(0,2*I506-(M552-MIN(MAX(M552,0),MAX(0,I506-IF($A553&gt;='1-Input'!$C$12,'1-Input'!$B$12,0)))))*(1/(1-'P-Parametri'!$B$6*I553))))</f>
        <v>10846.756992928691</v>
      </c>
      <c r="K553" s="18">
        <f>IF($A553&gt;'1-Input'!$B$26,M552,(M552-MAX(0,I506-IF($A553&gt;='1-Input'!$C$12,'1-Input'!$B$12,0))+J553*(1-'P-Parametri'!$B$6*I553))*(1+'1-Input'!$B$27))</f>
        <v>0</v>
      </c>
      <c r="L553" s="18">
        <f>IF($A553&gt;'1-Input'!$B$26,N552,(N552-J553)*(1+$C$4))</f>
        <v>-321074.60897493514</v>
      </c>
      <c r="M553" s="18">
        <f>IF($A553&gt;'1-Input'!$B$26,K553,K553-'P-Parametri'!$B$8*(L553+K553)+MIN(MAX(L553,0),'P-Parametri'!$B$8*(L553+K553)))</f>
        <v>0</v>
      </c>
      <c r="N553" s="18">
        <f>IF($A553&gt;'1-Input'!$B$26,L553,L553-MIN(MAX(L553,0),'P-Parametri'!$B$8*(L553+K553)))</f>
        <v>-320432.45975698525</v>
      </c>
      <c r="O553" s="18">
        <f>IF($A553&gt;'1-Input'!$B$26,O552,O552-J553*(1-I553))</f>
        <v>-231973.1481011603</v>
      </c>
      <c r="P553" s="11">
        <f>IF($A553&gt;'1-Input'!$B$26,0,IF(U552&lt;=0,0,MAX(0,(U552-V552)/U552)))</f>
        <v>0</v>
      </c>
      <c r="Q553" s="18">
        <f>IF($A553&gt;'1-Input'!$B$26,0,(MAX(0,P506-IF($A553&gt;='1-Input'!$C$12,'1-Input'!$B$12,0))-MIN(MAX(T552,0),MAX(0,P506-IF($A553&gt;='1-Input'!$C$12,'1-Input'!$B$12,0))))*(1/(1-'P-Parametri'!$B$6*P553))+MIN(MAX(0,U552-(MAX(0,P506-IF($A553&gt;='1-Input'!$C$12,'1-Input'!$B$12,0))-MIN(MAX(T552,0),MAX(0,P506-IF($A553&gt;='1-Input'!$C$12,'1-Input'!$B$12,0))))*(1/(1-'P-Parametri'!$B$6*P553))),MAX(0,2*P506-(T552-MIN(MAX(T552,0),MAX(0,P506-IF($A553&gt;='1-Input'!$C$12,'1-Input'!$B$12,0)))))*(1/(1-'P-Parametri'!$B$6*P553))))</f>
        <v>7057.5129822392701</v>
      </c>
      <c r="R553" s="18">
        <f>IF($A553&gt;'1-Input'!$B$26,T552,(T552-MAX(0,P506-IF($A553&gt;='1-Input'!$C$12,'1-Input'!$B$12,0))+Q553*(1-'P-Parametri'!$B$6*P553))*(1+'1-Input'!$B$27))</f>
        <v>0</v>
      </c>
      <c r="S553" s="18">
        <f>IF($A553&gt;'1-Input'!$B$26,U552,(U552-Q553)*(1+$C$4))</f>
        <v>-16170.337783433793</v>
      </c>
      <c r="T553" s="18">
        <f>IF($A553&gt;'1-Input'!$B$26,R553,R553-'P-Parametri'!$B$8*(S553+R553)+MIN(MAX(S553,0),'P-Parametri'!$B$8*(S553+R553)))</f>
        <v>0</v>
      </c>
      <c r="U553" s="18">
        <f>IF($A553&gt;'1-Input'!$B$26,S553,S553-MIN(MAX(S553,0),'P-Parametri'!$B$8*(S553+R553)))</f>
        <v>-16137.997107866926</v>
      </c>
      <c r="V553" s="18">
        <f>IF($A553&gt;'1-Input'!$B$26,V552,V552-Q553*(1-P553))</f>
        <v>-15427.788205122513</v>
      </c>
      <c r="W553" s="11">
        <f>IF($A553&gt;'1-Input'!$B$26,0,IF(AB552&lt;=0,0,MAX(0,(AB552-AC552)/AB552)))</f>
        <v>0</v>
      </c>
      <c r="X553" s="18">
        <f>IF($A553&gt;'1-Input'!$B$26,0,(MAX(0,W506-IF($A553&gt;='1-Input'!$C$12,'1-Input'!$B$12,0))-MIN(MAX(AA552,0),MAX(0,W506-IF($A553&gt;='1-Input'!$C$12,'1-Input'!$B$12,0))))*(1/(1-'P-Parametri'!$B$6*W553))+MIN(MAX(0,AB552-(MAX(0,W506-IF($A553&gt;='1-Input'!$C$12,'1-Input'!$B$12,0))-MIN(MAX(AA552,0),MAX(0,W506-IF($A553&gt;='1-Input'!$C$12,'1-Input'!$B$12,0))))*(1/(1-'P-Parametri'!$B$6*W553))),MAX(0,2*W506-(AA552-MIN(MAX(AA552,0),MAX(0,W506-IF($A553&gt;='1-Input'!$C$12,'1-Input'!$B$12,0)))))*(1/(1-'P-Parametri'!$B$6*W553))))</f>
        <v>1012.1331732105791</v>
      </c>
      <c r="Y553" s="18">
        <f>IF($A553&gt;'1-Input'!$B$26,AA552,(AA552-MAX(0,W506-IF($A553&gt;='1-Input'!$C$12,'1-Input'!$B$12,0))+X553*(1-'P-Parametri'!$B$6*W553))*(1+'1-Input'!$B$27))</f>
        <v>0</v>
      </c>
      <c r="Z553" s="18">
        <f>IF($A553&gt;'1-Input'!$B$26,AB552,(AB552-X553)*(1+$C$4))</f>
        <v>-1042.4971684068964</v>
      </c>
      <c r="AA553" s="18">
        <f>IF($A553&gt;'1-Input'!$B$26,Y553,Y553-'P-Parametri'!$B$8*(Z553+Y553)+MIN(MAX(Z553,0),'P-Parametri'!$B$8*(Z553+Y553)))</f>
        <v>0</v>
      </c>
      <c r="AB553" s="18">
        <f>IF($A553&gt;'1-Input'!$B$26,Z553,Z553-MIN(MAX(Z553,0),'P-Parametri'!$B$8*(Z553+Y553)))</f>
        <v>-1040.4121740700825</v>
      </c>
      <c r="AC553" s="18">
        <f>IF($A553&gt;'1-Input'!$B$26,AC552,AC552-X553*(1-W553))</f>
        <v>-1012.1331732105791</v>
      </c>
      <c r="AD553" s="11">
        <f>IF($A553&gt;'1-Input'!$B$26,0,IF(AI552&lt;=0,0,MAX(0,(AI552-AJ552)/AI552)))</f>
        <v>0</v>
      </c>
      <c r="AE553" s="18">
        <f>IF($A553&gt;'1-Input'!$B$26,0,(MAX(0,AD506-IF($A553&gt;='1-Input'!$C$12,'1-Input'!$B$12,0))-MIN(MAX(AH552,0),MAX(0,AD506-IF($A553&gt;='1-Input'!$C$12,'1-Input'!$B$12,0))))*(1/(1-'P-Parametri'!$B$6*AD553))+MIN(MAX(0,AI552-(MAX(0,AD506-IF($A553&gt;='1-Input'!$C$12,'1-Input'!$B$12,0))-MIN(MAX(AH552,0),MAX(0,AD506-IF($A553&gt;='1-Input'!$C$12,'1-Input'!$B$12,0))))*(1/(1-'P-Parametri'!$B$6*AD553))),MAX(0,2*AD506-(AH552-MIN(MAX(AH552,0),MAX(0,AD506-IF($A553&gt;='1-Input'!$C$12,'1-Input'!$B$12,0)))))*(1/(1-'P-Parametri'!$B$6*AD553))))</f>
        <v>2.3942260014873682</v>
      </c>
      <c r="AF553" s="18">
        <f>IF($A553&gt;'1-Input'!$B$26,AH552,(AH552-MAX(0,AD506-IF($A553&gt;='1-Input'!$C$12,'1-Input'!$B$12,0))+AE553*(1-'P-Parametri'!$B$6*AD553))*(1+'1-Input'!$B$27))</f>
        <v>0</v>
      </c>
      <c r="AG553" s="18">
        <f>IF($A553&gt;'1-Input'!$B$26,AI552,(AI552-AE553)*(1+$C$4))</f>
        <v>-2.4660527815319893</v>
      </c>
      <c r="AH553" s="18">
        <f>IF($A553&gt;'1-Input'!$B$26,AF553,AF553-'P-Parametri'!$B$8*(AG553+AF553)+MIN(MAX(AG553,0),'P-Parametri'!$B$8*(AG553+AF553)))</f>
        <v>0</v>
      </c>
      <c r="AI553" s="18">
        <f>IF($A553&gt;'1-Input'!$B$26,AG553,AG553-MIN(MAX(AG553,0),'P-Parametri'!$B$8*(AG553+AF553)))</f>
        <v>-2.4611206759689255</v>
      </c>
      <c r="AJ553" s="18">
        <f>IF($A553&gt;'1-Input'!$B$26,AJ552,AJ552-AE553*(1-AD553))</f>
        <v>-2.3942260014878229</v>
      </c>
      <c r="AK553" s="11">
        <f>IF($A553&gt;'1-Input'!$B$26,0,IF(AP552&lt;=0,0,MAX(0,(AP552-AQ552)/AP552)))</f>
        <v>0</v>
      </c>
      <c r="AL553" s="18">
        <f>IF($A553&gt;'1-Input'!$B$26,0,(MAX(0,AK506-IF($A553&gt;='1-Input'!$C$12,'1-Input'!$B$12,0))-MIN(MAX(AO552,0),MAX(0,AK506-IF($A553&gt;='1-Input'!$C$12,'1-Input'!$B$12,0))))*(1/(1-'P-Parametri'!$B$6*AK553))+MIN(MAX(0,AP552-(MAX(0,AK506-IF($A553&gt;='1-Input'!$C$12,'1-Input'!$B$12,0))-MIN(MAX(AO552,0),MAX(0,AK506-IF($A553&gt;='1-Input'!$C$12,'1-Input'!$B$12,0))))*(1/(1-'P-Parametri'!$B$6*AK553))),MAX(0,2*AK506-(AO552-MIN(MAX(AO552,0),MAX(0,AK506-IF($A553&gt;='1-Input'!$C$12,'1-Input'!$B$12,0)))))*(1/(1-'P-Parametri'!$B$6*AK553))))</f>
        <v>0</v>
      </c>
      <c r="AM553" s="18">
        <f>IF($A553&gt;'1-Input'!$B$26,AO552,(AO552-MAX(0,AK506-IF($A553&gt;='1-Input'!$C$12,'1-Input'!$B$12,0))+AL553*(1-'P-Parametri'!$B$6*AK553))*(1+'1-Input'!$B$27))</f>
        <v>7.6498632453876774E-6</v>
      </c>
      <c r="AN553" s="18">
        <f>IF($A553&gt;'1-Input'!$B$26,AP552,(AP552-AL553)*(1+$C$4))</f>
        <v>0</v>
      </c>
      <c r="AO553" s="18">
        <f>IF($A553&gt;'1-Input'!$B$26,AM553,AM553-'P-Parametri'!$B$8*(AN553+AM553)+MIN(MAX(AN553,0),'P-Parametri'!$B$8*(AN553+AM553)))</f>
        <v>7.6345635188969017E-6</v>
      </c>
      <c r="AP553" s="18">
        <f>IF($A553&gt;'1-Input'!$B$26,AN553,AN553-MIN(MAX(AN553,0),'P-Parametri'!$B$8*(AN553+AM553)))</f>
        <v>0</v>
      </c>
      <c r="AQ553" s="18">
        <f>IF($A553&gt;'1-Input'!$B$26,AQ552,AQ552-AL553*(1-AK553))</f>
        <v>-4.5474735088646412E-13</v>
      </c>
    </row>
    <row r="554" spans="1:43">
      <c r="A554" s="10">
        <f>46</f>
        <v>46</v>
      </c>
      <c r="B554" s="11">
        <f>IF($A554&gt;'1-Input'!$B$26,0,IF(G553&lt;=0,0,MAX(0,(G553-H553)/G553)))</f>
        <v>0</v>
      </c>
      <c r="C554" s="18">
        <f>IF($A554&gt;'1-Input'!$B$26,0,(MAX(0,B506-IF($A554&gt;='1-Input'!$C$12,'1-Input'!$B$12,0))-MIN(MAX(F553,0),MAX(0,B506-IF($A554&gt;='1-Input'!$C$12,'1-Input'!$B$12,0))))*(1/(1-'P-Parametri'!$B$6*B554))+MIN(MAX(0,G553-(MAX(0,B506-IF($A554&gt;='1-Input'!$C$12,'1-Input'!$B$12,0))-MIN(MAX(F553,0),MAX(0,B506-IF($A554&gt;='1-Input'!$C$12,'1-Input'!$B$12,0))))*(1/(1-'P-Parametri'!$B$6*B554))),MAX(0,2*B506-(F553-MIN(MAX(F553,0),MAX(0,B506-IF($A554&gt;='1-Input'!$C$12,'1-Input'!$B$12,0)))))*(1/(1-'P-Parametri'!$B$6*B554))))</f>
        <v>0</v>
      </c>
      <c r="D554" s="18">
        <f>IF($A554&gt;'1-Input'!$B$26,F553,(F553-MAX(0,B506-IF($A554&gt;='1-Input'!$C$12,'1-Input'!$B$12,0))+C554*(1-'P-Parametri'!$B$6*B554))*(1+'1-Input'!$B$27))</f>
        <v>33242.0070309863</v>
      </c>
      <c r="E554" s="18">
        <f>IF($A554&gt;'1-Input'!$B$26,G553,(G553-C554)*(1+$C$4))</f>
        <v>91781.830373922552</v>
      </c>
      <c r="F554" s="18">
        <f>IF($A554&gt;'1-Input'!$B$26,D554,D554-'P-Parametri'!$B$8*(E554+D554)+MIN(MAX(E554,0),'P-Parametri'!$B$8*(E554+D554)))</f>
        <v>33242.0070309863</v>
      </c>
      <c r="G554" s="18">
        <f>IF($A554&gt;'1-Input'!$B$26,E554,E554-MIN(MAX(E554,0),'P-Parametri'!$B$8*(E554+D554)))</f>
        <v>91781.830373922552</v>
      </c>
      <c r="H554" s="18">
        <f>IF($A554&gt;'1-Input'!$B$26,H553,H553-C554*(1-B554))</f>
        <v>21170.441361235724</v>
      </c>
      <c r="I554" s="11">
        <f>IF($A554&gt;'1-Input'!$B$26,0,IF(N553&lt;=0,0,MAX(0,(N553-O553)/N553)))</f>
        <v>0</v>
      </c>
      <c r="J554" s="18">
        <f>IF($A554&gt;'1-Input'!$B$26,0,(MAX(0,I506-IF($A554&gt;='1-Input'!$C$12,'1-Input'!$B$12,0))-MIN(MAX(M553,0),MAX(0,I506-IF($A554&gt;='1-Input'!$C$12,'1-Input'!$B$12,0))))*(1/(1-'P-Parametri'!$B$6*I554))+MIN(MAX(0,N553-(MAX(0,I506-IF($A554&gt;='1-Input'!$C$12,'1-Input'!$B$12,0))-MIN(MAX(M553,0),MAX(0,I506-IF($A554&gt;='1-Input'!$C$12,'1-Input'!$B$12,0))))*(1/(1-'P-Parametri'!$B$6*I554))),MAX(0,2*I506-(M553-MIN(MAX(M553,0),MAX(0,I506-IF($A554&gt;='1-Input'!$C$12,'1-Input'!$B$12,0)))))*(1/(1-'P-Parametri'!$B$6*I554))))</f>
        <v>0</v>
      </c>
      <c r="K554" s="18">
        <f>IF($A554&gt;'1-Input'!$B$26,M553,(M553-MAX(0,I506-IF($A554&gt;='1-Input'!$C$12,'1-Input'!$B$12,0))+J554*(1-'P-Parametri'!$B$6*I554))*(1+'1-Input'!$B$27))</f>
        <v>0</v>
      </c>
      <c r="L554" s="18">
        <f>IF($A554&gt;'1-Input'!$B$26,N553,(N553-J554)*(1+$C$4))</f>
        <v>-320432.45975698525</v>
      </c>
      <c r="M554" s="18">
        <f>IF($A554&gt;'1-Input'!$B$26,K554,K554-'P-Parametri'!$B$8*(L554+K554)+MIN(MAX(L554,0),'P-Parametri'!$B$8*(L554+K554)))</f>
        <v>0</v>
      </c>
      <c r="N554" s="18">
        <f>IF($A554&gt;'1-Input'!$B$26,L554,L554-MIN(MAX(L554,0),'P-Parametri'!$B$8*(L554+K554)))</f>
        <v>-320432.45975698525</v>
      </c>
      <c r="O554" s="18">
        <f>IF($A554&gt;'1-Input'!$B$26,O553,O553-J554*(1-I554))</f>
        <v>-231973.1481011603</v>
      </c>
      <c r="P554" s="11">
        <f>IF($A554&gt;'1-Input'!$B$26,0,IF(U553&lt;=0,0,MAX(0,(U553-V553)/U553)))</f>
        <v>0</v>
      </c>
      <c r="Q554" s="18">
        <f>IF($A554&gt;'1-Input'!$B$26,0,(MAX(0,P506-IF($A554&gt;='1-Input'!$C$12,'1-Input'!$B$12,0))-MIN(MAX(T553,0),MAX(0,P506-IF($A554&gt;='1-Input'!$C$12,'1-Input'!$B$12,0))))*(1/(1-'P-Parametri'!$B$6*P554))+MIN(MAX(0,U553-(MAX(0,P506-IF($A554&gt;='1-Input'!$C$12,'1-Input'!$B$12,0))-MIN(MAX(T553,0),MAX(0,P506-IF($A554&gt;='1-Input'!$C$12,'1-Input'!$B$12,0))))*(1/(1-'P-Parametri'!$B$6*P554))),MAX(0,2*P506-(T553-MIN(MAX(T553,0),MAX(0,P506-IF($A554&gt;='1-Input'!$C$12,'1-Input'!$B$12,0)))))*(1/(1-'P-Parametri'!$B$6*P554))))</f>
        <v>0</v>
      </c>
      <c r="R554" s="18">
        <f>IF($A554&gt;'1-Input'!$B$26,T553,(T553-MAX(0,P506-IF($A554&gt;='1-Input'!$C$12,'1-Input'!$B$12,0))+Q554*(1-'P-Parametri'!$B$6*P554))*(1+'1-Input'!$B$27))</f>
        <v>0</v>
      </c>
      <c r="S554" s="18">
        <f>IF($A554&gt;'1-Input'!$B$26,U553,(U553-Q554)*(1+$C$4))</f>
        <v>-16137.997107866926</v>
      </c>
      <c r="T554" s="18">
        <f>IF($A554&gt;'1-Input'!$B$26,R554,R554-'P-Parametri'!$B$8*(S554+R554)+MIN(MAX(S554,0),'P-Parametri'!$B$8*(S554+R554)))</f>
        <v>0</v>
      </c>
      <c r="U554" s="18">
        <f>IF($A554&gt;'1-Input'!$B$26,S554,S554-MIN(MAX(S554,0),'P-Parametri'!$B$8*(S554+R554)))</f>
        <v>-16137.997107866926</v>
      </c>
      <c r="V554" s="18">
        <f>IF($A554&gt;'1-Input'!$B$26,V553,V553-Q554*(1-P554))</f>
        <v>-15427.788205122513</v>
      </c>
      <c r="W554" s="11">
        <f>IF($A554&gt;'1-Input'!$B$26,0,IF(AB553&lt;=0,0,MAX(0,(AB553-AC553)/AB553)))</f>
        <v>0</v>
      </c>
      <c r="X554" s="18">
        <f>IF($A554&gt;'1-Input'!$B$26,0,(MAX(0,W506-IF($A554&gt;='1-Input'!$C$12,'1-Input'!$B$12,0))-MIN(MAX(AA553,0),MAX(0,W506-IF($A554&gt;='1-Input'!$C$12,'1-Input'!$B$12,0))))*(1/(1-'P-Parametri'!$B$6*W554))+MIN(MAX(0,AB553-(MAX(0,W506-IF($A554&gt;='1-Input'!$C$12,'1-Input'!$B$12,0))-MIN(MAX(AA553,0),MAX(0,W506-IF($A554&gt;='1-Input'!$C$12,'1-Input'!$B$12,0))))*(1/(1-'P-Parametri'!$B$6*W554))),MAX(0,2*W506-(AA553-MIN(MAX(AA553,0),MAX(0,W506-IF($A554&gt;='1-Input'!$C$12,'1-Input'!$B$12,0)))))*(1/(1-'P-Parametri'!$B$6*W554))))</f>
        <v>0</v>
      </c>
      <c r="Y554" s="18">
        <f>IF($A554&gt;'1-Input'!$B$26,AA553,(AA553-MAX(0,W506-IF($A554&gt;='1-Input'!$C$12,'1-Input'!$B$12,0))+X554*(1-'P-Parametri'!$B$6*W554))*(1+'1-Input'!$B$27))</f>
        <v>0</v>
      </c>
      <c r="Z554" s="18">
        <f>IF($A554&gt;'1-Input'!$B$26,AB553,(AB553-X554)*(1+$C$4))</f>
        <v>-1040.4121740700825</v>
      </c>
      <c r="AA554" s="18">
        <f>IF($A554&gt;'1-Input'!$B$26,Y554,Y554-'P-Parametri'!$B$8*(Z554+Y554)+MIN(MAX(Z554,0),'P-Parametri'!$B$8*(Z554+Y554)))</f>
        <v>0</v>
      </c>
      <c r="AB554" s="18">
        <f>IF($A554&gt;'1-Input'!$B$26,Z554,Z554-MIN(MAX(Z554,0),'P-Parametri'!$B$8*(Z554+Y554)))</f>
        <v>-1040.4121740700825</v>
      </c>
      <c r="AC554" s="18">
        <f>IF($A554&gt;'1-Input'!$B$26,AC553,AC553-X554*(1-W554))</f>
        <v>-1012.1331732105791</v>
      </c>
      <c r="AD554" s="11">
        <f>IF($A554&gt;'1-Input'!$B$26,0,IF(AI553&lt;=0,0,MAX(0,(AI553-AJ553)/AI553)))</f>
        <v>0</v>
      </c>
      <c r="AE554" s="18">
        <f>IF($A554&gt;'1-Input'!$B$26,0,(MAX(0,AD506-IF($A554&gt;='1-Input'!$C$12,'1-Input'!$B$12,0))-MIN(MAX(AH553,0),MAX(0,AD506-IF($A554&gt;='1-Input'!$C$12,'1-Input'!$B$12,0))))*(1/(1-'P-Parametri'!$B$6*AD554))+MIN(MAX(0,AI553-(MAX(0,AD506-IF($A554&gt;='1-Input'!$C$12,'1-Input'!$B$12,0))-MIN(MAX(AH553,0),MAX(0,AD506-IF($A554&gt;='1-Input'!$C$12,'1-Input'!$B$12,0))))*(1/(1-'P-Parametri'!$B$6*AD554))),MAX(0,2*AD506-(AH553-MIN(MAX(AH553,0),MAX(0,AD506-IF($A554&gt;='1-Input'!$C$12,'1-Input'!$B$12,0)))))*(1/(1-'P-Parametri'!$B$6*AD554))))</f>
        <v>0</v>
      </c>
      <c r="AF554" s="18">
        <f>IF($A554&gt;'1-Input'!$B$26,AH553,(AH553-MAX(0,AD506-IF($A554&gt;='1-Input'!$C$12,'1-Input'!$B$12,0))+AE554*(1-'P-Parametri'!$B$6*AD554))*(1+'1-Input'!$B$27))</f>
        <v>0</v>
      </c>
      <c r="AG554" s="18">
        <f>IF($A554&gt;'1-Input'!$B$26,AI553,(AI553-AE554)*(1+$C$4))</f>
        <v>-2.4611206759689255</v>
      </c>
      <c r="AH554" s="18">
        <f>IF($A554&gt;'1-Input'!$B$26,AF554,AF554-'P-Parametri'!$B$8*(AG554+AF554)+MIN(MAX(AG554,0),'P-Parametri'!$B$8*(AG554+AF554)))</f>
        <v>0</v>
      </c>
      <c r="AI554" s="18">
        <f>IF($A554&gt;'1-Input'!$B$26,AG554,AG554-MIN(MAX(AG554,0),'P-Parametri'!$B$8*(AG554+AF554)))</f>
        <v>-2.4611206759689255</v>
      </c>
      <c r="AJ554" s="18">
        <f>IF($A554&gt;'1-Input'!$B$26,AJ553,AJ553-AE554*(1-AD554))</f>
        <v>-2.3942260014878229</v>
      </c>
      <c r="AK554" s="11">
        <f>IF($A554&gt;'1-Input'!$B$26,0,IF(AP553&lt;=0,0,MAX(0,(AP553-AQ553)/AP553)))</f>
        <v>0</v>
      </c>
      <c r="AL554" s="18">
        <f>IF($A554&gt;'1-Input'!$B$26,0,(MAX(0,AK506-IF($A554&gt;='1-Input'!$C$12,'1-Input'!$B$12,0))-MIN(MAX(AO553,0),MAX(0,AK506-IF($A554&gt;='1-Input'!$C$12,'1-Input'!$B$12,0))))*(1/(1-'P-Parametri'!$B$6*AK554))+MIN(MAX(0,AP553-(MAX(0,AK506-IF($A554&gt;='1-Input'!$C$12,'1-Input'!$B$12,0))-MIN(MAX(AO553,0),MAX(0,AK506-IF($A554&gt;='1-Input'!$C$12,'1-Input'!$B$12,0))))*(1/(1-'P-Parametri'!$B$6*AK554))),MAX(0,2*AK506-(AO553-MIN(MAX(AO553,0),MAX(0,AK506-IF($A554&gt;='1-Input'!$C$12,'1-Input'!$B$12,0)))))*(1/(1-'P-Parametri'!$B$6*AK554))))</f>
        <v>0</v>
      </c>
      <c r="AM554" s="18">
        <f>IF($A554&gt;'1-Input'!$B$26,AO553,(AO553-MAX(0,AK506-IF($A554&gt;='1-Input'!$C$12,'1-Input'!$B$12,0))+AL554*(1-'P-Parametri'!$B$6*AK554))*(1+'1-Input'!$B$27))</f>
        <v>7.6345635188969017E-6</v>
      </c>
      <c r="AN554" s="18">
        <f>IF($A554&gt;'1-Input'!$B$26,AP553,(AP553-AL554)*(1+$C$4))</f>
        <v>0</v>
      </c>
      <c r="AO554" s="18">
        <f>IF($A554&gt;'1-Input'!$B$26,AM554,AM554-'P-Parametri'!$B$8*(AN554+AM554)+MIN(MAX(AN554,0),'P-Parametri'!$B$8*(AN554+AM554)))</f>
        <v>7.6345635188969017E-6</v>
      </c>
      <c r="AP554" s="18">
        <f>IF($A554&gt;'1-Input'!$B$26,AN554,AN554-MIN(MAX(AN554,0),'P-Parametri'!$B$8*(AN554+AM554)))</f>
        <v>0</v>
      </c>
      <c r="AQ554" s="18">
        <f>IF($A554&gt;'1-Input'!$B$26,AQ553,AQ553-AL554*(1-AK554))</f>
        <v>-4.5474735088646412E-13</v>
      </c>
    </row>
    <row r="555" spans="1:43">
      <c r="A555" s="10">
        <f>47</f>
        <v>47</v>
      </c>
      <c r="B555" s="11">
        <f>IF($A555&gt;'1-Input'!$B$26,0,IF(G554&lt;=0,0,MAX(0,(G554-H554)/G554)))</f>
        <v>0</v>
      </c>
      <c r="C555" s="18">
        <f>IF($A555&gt;'1-Input'!$B$26,0,(MAX(0,B506-IF($A555&gt;='1-Input'!$C$12,'1-Input'!$B$12,0))-MIN(MAX(F554,0),MAX(0,B506-IF($A555&gt;='1-Input'!$C$12,'1-Input'!$B$12,0))))*(1/(1-'P-Parametri'!$B$6*B555))+MIN(MAX(0,G554-(MAX(0,B506-IF($A555&gt;='1-Input'!$C$12,'1-Input'!$B$12,0))-MIN(MAX(F554,0),MAX(0,B506-IF($A555&gt;='1-Input'!$C$12,'1-Input'!$B$12,0))))*(1/(1-'P-Parametri'!$B$6*B555))),MAX(0,2*B506-(F554-MIN(MAX(F554,0),MAX(0,B506-IF($A555&gt;='1-Input'!$C$12,'1-Input'!$B$12,0)))))*(1/(1-'P-Parametri'!$B$6*B555))))</f>
        <v>0</v>
      </c>
      <c r="D555" s="18">
        <f>IF($A555&gt;'1-Input'!$B$26,F554,(F554-MAX(0,B506-IF($A555&gt;='1-Input'!$C$12,'1-Input'!$B$12,0))+C555*(1-'P-Parametri'!$B$6*B555))*(1+'1-Input'!$B$27))</f>
        <v>33242.0070309863</v>
      </c>
      <c r="E555" s="18">
        <f>IF($A555&gt;'1-Input'!$B$26,G554,(G554-C555)*(1+$C$4))</f>
        <v>91781.830373922552</v>
      </c>
      <c r="F555" s="18">
        <f>IF($A555&gt;'1-Input'!$B$26,D555,D555-'P-Parametri'!$B$8*(E555+D555)+MIN(MAX(E555,0),'P-Parametri'!$B$8*(E555+D555)))</f>
        <v>33242.0070309863</v>
      </c>
      <c r="G555" s="18">
        <f>IF($A555&gt;'1-Input'!$B$26,E555,E555-MIN(MAX(E555,0),'P-Parametri'!$B$8*(E555+D555)))</f>
        <v>91781.830373922552</v>
      </c>
      <c r="H555" s="18">
        <f>IF($A555&gt;'1-Input'!$B$26,H554,H554-C555*(1-B555))</f>
        <v>21170.441361235724</v>
      </c>
      <c r="I555" s="11">
        <f>IF($A555&gt;'1-Input'!$B$26,0,IF(N554&lt;=0,0,MAX(0,(N554-O554)/N554)))</f>
        <v>0</v>
      </c>
      <c r="J555" s="18">
        <f>IF($A555&gt;'1-Input'!$B$26,0,(MAX(0,I506-IF($A555&gt;='1-Input'!$C$12,'1-Input'!$B$12,0))-MIN(MAX(M554,0),MAX(0,I506-IF($A555&gt;='1-Input'!$C$12,'1-Input'!$B$12,0))))*(1/(1-'P-Parametri'!$B$6*I555))+MIN(MAX(0,N554-(MAX(0,I506-IF($A555&gt;='1-Input'!$C$12,'1-Input'!$B$12,0))-MIN(MAX(M554,0),MAX(0,I506-IF($A555&gt;='1-Input'!$C$12,'1-Input'!$B$12,0))))*(1/(1-'P-Parametri'!$B$6*I555))),MAX(0,2*I506-(M554-MIN(MAX(M554,0),MAX(0,I506-IF($A555&gt;='1-Input'!$C$12,'1-Input'!$B$12,0)))))*(1/(1-'P-Parametri'!$B$6*I555))))</f>
        <v>0</v>
      </c>
      <c r="K555" s="18">
        <f>IF($A555&gt;'1-Input'!$B$26,M554,(M554-MAX(0,I506-IF($A555&gt;='1-Input'!$C$12,'1-Input'!$B$12,0))+J555*(1-'P-Parametri'!$B$6*I555))*(1+'1-Input'!$B$27))</f>
        <v>0</v>
      </c>
      <c r="L555" s="18">
        <f>IF($A555&gt;'1-Input'!$B$26,N554,(N554-J555)*(1+$C$4))</f>
        <v>-320432.45975698525</v>
      </c>
      <c r="M555" s="18">
        <f>IF($A555&gt;'1-Input'!$B$26,K555,K555-'P-Parametri'!$B$8*(L555+K555)+MIN(MAX(L555,0),'P-Parametri'!$B$8*(L555+K555)))</f>
        <v>0</v>
      </c>
      <c r="N555" s="18">
        <f>IF($A555&gt;'1-Input'!$B$26,L555,L555-MIN(MAX(L555,0),'P-Parametri'!$B$8*(L555+K555)))</f>
        <v>-320432.45975698525</v>
      </c>
      <c r="O555" s="18">
        <f>IF($A555&gt;'1-Input'!$B$26,O554,O554-J555*(1-I555))</f>
        <v>-231973.1481011603</v>
      </c>
      <c r="P555" s="11">
        <f>IF($A555&gt;'1-Input'!$B$26,0,IF(U554&lt;=0,0,MAX(0,(U554-V554)/U554)))</f>
        <v>0</v>
      </c>
      <c r="Q555" s="18">
        <f>IF($A555&gt;'1-Input'!$B$26,0,(MAX(0,P506-IF($A555&gt;='1-Input'!$C$12,'1-Input'!$B$12,0))-MIN(MAX(T554,0),MAX(0,P506-IF($A555&gt;='1-Input'!$C$12,'1-Input'!$B$12,0))))*(1/(1-'P-Parametri'!$B$6*P555))+MIN(MAX(0,U554-(MAX(0,P506-IF($A555&gt;='1-Input'!$C$12,'1-Input'!$B$12,0))-MIN(MAX(T554,0),MAX(0,P506-IF($A555&gt;='1-Input'!$C$12,'1-Input'!$B$12,0))))*(1/(1-'P-Parametri'!$B$6*P555))),MAX(0,2*P506-(T554-MIN(MAX(T554,0),MAX(0,P506-IF($A555&gt;='1-Input'!$C$12,'1-Input'!$B$12,0)))))*(1/(1-'P-Parametri'!$B$6*P555))))</f>
        <v>0</v>
      </c>
      <c r="R555" s="18">
        <f>IF($A555&gt;'1-Input'!$B$26,T554,(T554-MAX(0,P506-IF($A555&gt;='1-Input'!$C$12,'1-Input'!$B$12,0))+Q555*(1-'P-Parametri'!$B$6*P555))*(1+'1-Input'!$B$27))</f>
        <v>0</v>
      </c>
      <c r="S555" s="18">
        <f>IF($A555&gt;'1-Input'!$B$26,U554,(U554-Q555)*(1+$C$4))</f>
        <v>-16137.997107866926</v>
      </c>
      <c r="T555" s="18">
        <f>IF($A555&gt;'1-Input'!$B$26,R555,R555-'P-Parametri'!$B$8*(S555+R555)+MIN(MAX(S555,0),'P-Parametri'!$B$8*(S555+R555)))</f>
        <v>0</v>
      </c>
      <c r="U555" s="18">
        <f>IF($A555&gt;'1-Input'!$B$26,S555,S555-MIN(MAX(S555,0),'P-Parametri'!$B$8*(S555+R555)))</f>
        <v>-16137.997107866926</v>
      </c>
      <c r="V555" s="18">
        <f>IF($A555&gt;'1-Input'!$B$26,V554,V554-Q555*(1-P555))</f>
        <v>-15427.788205122513</v>
      </c>
      <c r="W555" s="11">
        <f>IF($A555&gt;'1-Input'!$B$26,0,IF(AB554&lt;=0,0,MAX(0,(AB554-AC554)/AB554)))</f>
        <v>0</v>
      </c>
      <c r="X555" s="18">
        <f>IF($A555&gt;'1-Input'!$B$26,0,(MAX(0,W506-IF($A555&gt;='1-Input'!$C$12,'1-Input'!$B$12,0))-MIN(MAX(AA554,0),MAX(0,W506-IF($A555&gt;='1-Input'!$C$12,'1-Input'!$B$12,0))))*(1/(1-'P-Parametri'!$B$6*W555))+MIN(MAX(0,AB554-(MAX(0,W506-IF($A555&gt;='1-Input'!$C$12,'1-Input'!$B$12,0))-MIN(MAX(AA554,0),MAX(0,W506-IF($A555&gt;='1-Input'!$C$12,'1-Input'!$B$12,0))))*(1/(1-'P-Parametri'!$B$6*W555))),MAX(0,2*W506-(AA554-MIN(MAX(AA554,0),MAX(0,W506-IF($A555&gt;='1-Input'!$C$12,'1-Input'!$B$12,0)))))*(1/(1-'P-Parametri'!$B$6*W555))))</f>
        <v>0</v>
      </c>
      <c r="Y555" s="18">
        <f>IF($A555&gt;'1-Input'!$B$26,AA554,(AA554-MAX(0,W506-IF($A555&gt;='1-Input'!$C$12,'1-Input'!$B$12,0))+X555*(1-'P-Parametri'!$B$6*W555))*(1+'1-Input'!$B$27))</f>
        <v>0</v>
      </c>
      <c r="Z555" s="18">
        <f>IF($A555&gt;'1-Input'!$B$26,AB554,(AB554-X555)*(1+$C$4))</f>
        <v>-1040.4121740700825</v>
      </c>
      <c r="AA555" s="18">
        <f>IF($A555&gt;'1-Input'!$B$26,Y555,Y555-'P-Parametri'!$B$8*(Z555+Y555)+MIN(MAX(Z555,0),'P-Parametri'!$B$8*(Z555+Y555)))</f>
        <v>0</v>
      </c>
      <c r="AB555" s="18">
        <f>IF($A555&gt;'1-Input'!$B$26,Z555,Z555-MIN(MAX(Z555,0),'P-Parametri'!$B$8*(Z555+Y555)))</f>
        <v>-1040.4121740700825</v>
      </c>
      <c r="AC555" s="18">
        <f>IF($A555&gt;'1-Input'!$B$26,AC554,AC554-X555*(1-W555))</f>
        <v>-1012.1331732105791</v>
      </c>
      <c r="AD555" s="11">
        <f>IF($A555&gt;'1-Input'!$B$26,0,IF(AI554&lt;=0,0,MAX(0,(AI554-AJ554)/AI554)))</f>
        <v>0</v>
      </c>
      <c r="AE555" s="18">
        <f>IF($A555&gt;'1-Input'!$B$26,0,(MAX(0,AD506-IF($A555&gt;='1-Input'!$C$12,'1-Input'!$B$12,0))-MIN(MAX(AH554,0),MAX(0,AD506-IF($A555&gt;='1-Input'!$C$12,'1-Input'!$B$12,0))))*(1/(1-'P-Parametri'!$B$6*AD555))+MIN(MAX(0,AI554-(MAX(0,AD506-IF($A555&gt;='1-Input'!$C$12,'1-Input'!$B$12,0))-MIN(MAX(AH554,0),MAX(0,AD506-IF($A555&gt;='1-Input'!$C$12,'1-Input'!$B$12,0))))*(1/(1-'P-Parametri'!$B$6*AD555))),MAX(0,2*AD506-(AH554-MIN(MAX(AH554,0),MAX(0,AD506-IF($A555&gt;='1-Input'!$C$12,'1-Input'!$B$12,0)))))*(1/(1-'P-Parametri'!$B$6*AD555))))</f>
        <v>0</v>
      </c>
      <c r="AF555" s="18">
        <f>IF($A555&gt;'1-Input'!$B$26,AH554,(AH554-MAX(0,AD506-IF($A555&gt;='1-Input'!$C$12,'1-Input'!$B$12,0))+AE555*(1-'P-Parametri'!$B$6*AD555))*(1+'1-Input'!$B$27))</f>
        <v>0</v>
      </c>
      <c r="AG555" s="18">
        <f>IF($A555&gt;'1-Input'!$B$26,AI554,(AI554-AE555)*(1+$C$4))</f>
        <v>-2.4611206759689255</v>
      </c>
      <c r="AH555" s="18">
        <f>IF($A555&gt;'1-Input'!$B$26,AF555,AF555-'P-Parametri'!$B$8*(AG555+AF555)+MIN(MAX(AG555,0),'P-Parametri'!$B$8*(AG555+AF555)))</f>
        <v>0</v>
      </c>
      <c r="AI555" s="18">
        <f>IF($A555&gt;'1-Input'!$B$26,AG555,AG555-MIN(MAX(AG555,0),'P-Parametri'!$B$8*(AG555+AF555)))</f>
        <v>-2.4611206759689255</v>
      </c>
      <c r="AJ555" s="18">
        <f>IF($A555&gt;'1-Input'!$B$26,AJ554,AJ554-AE555*(1-AD555))</f>
        <v>-2.3942260014878229</v>
      </c>
      <c r="AK555" s="11">
        <f>IF($A555&gt;'1-Input'!$B$26,0,IF(AP554&lt;=0,0,MAX(0,(AP554-AQ554)/AP554)))</f>
        <v>0</v>
      </c>
      <c r="AL555" s="18">
        <f>IF($A555&gt;'1-Input'!$B$26,0,(MAX(0,AK506-IF($A555&gt;='1-Input'!$C$12,'1-Input'!$B$12,0))-MIN(MAX(AO554,0),MAX(0,AK506-IF($A555&gt;='1-Input'!$C$12,'1-Input'!$B$12,0))))*(1/(1-'P-Parametri'!$B$6*AK555))+MIN(MAX(0,AP554-(MAX(0,AK506-IF($A555&gt;='1-Input'!$C$12,'1-Input'!$B$12,0))-MIN(MAX(AO554,0),MAX(0,AK506-IF($A555&gt;='1-Input'!$C$12,'1-Input'!$B$12,0))))*(1/(1-'P-Parametri'!$B$6*AK555))),MAX(0,2*AK506-(AO554-MIN(MAX(AO554,0),MAX(0,AK506-IF($A555&gt;='1-Input'!$C$12,'1-Input'!$B$12,0)))))*(1/(1-'P-Parametri'!$B$6*AK555))))</f>
        <v>0</v>
      </c>
      <c r="AM555" s="18">
        <f>IF($A555&gt;'1-Input'!$B$26,AO554,(AO554-MAX(0,AK506-IF($A555&gt;='1-Input'!$C$12,'1-Input'!$B$12,0))+AL555*(1-'P-Parametri'!$B$6*AK555))*(1+'1-Input'!$B$27))</f>
        <v>7.6345635188969017E-6</v>
      </c>
      <c r="AN555" s="18">
        <f>IF($A555&gt;'1-Input'!$B$26,AP554,(AP554-AL555)*(1+$C$4))</f>
        <v>0</v>
      </c>
      <c r="AO555" s="18">
        <f>IF($A555&gt;'1-Input'!$B$26,AM555,AM555-'P-Parametri'!$B$8*(AN555+AM555)+MIN(MAX(AN555,0),'P-Parametri'!$B$8*(AN555+AM555)))</f>
        <v>7.6345635188969017E-6</v>
      </c>
      <c r="AP555" s="18">
        <f>IF($A555&gt;'1-Input'!$B$26,AN555,AN555-MIN(MAX(AN555,0),'P-Parametri'!$B$8*(AN555+AM555)))</f>
        <v>0</v>
      </c>
      <c r="AQ555" s="18">
        <f>IF($A555&gt;'1-Input'!$B$26,AQ554,AQ554-AL555*(1-AK555))</f>
        <v>-4.5474735088646412E-13</v>
      </c>
    </row>
    <row r="556" spans="1:43">
      <c r="A556" s="10">
        <f>48</f>
        <v>48</v>
      </c>
      <c r="B556" s="11">
        <f>IF($A556&gt;'1-Input'!$B$26,0,IF(G555&lt;=0,0,MAX(0,(G555-H555)/G555)))</f>
        <v>0</v>
      </c>
      <c r="C556" s="18">
        <f>IF($A556&gt;'1-Input'!$B$26,0,(MAX(0,B506-IF($A556&gt;='1-Input'!$C$12,'1-Input'!$B$12,0))-MIN(MAX(F555,0),MAX(0,B506-IF($A556&gt;='1-Input'!$C$12,'1-Input'!$B$12,0))))*(1/(1-'P-Parametri'!$B$6*B556))+MIN(MAX(0,G555-(MAX(0,B506-IF($A556&gt;='1-Input'!$C$12,'1-Input'!$B$12,0))-MIN(MAX(F555,0),MAX(0,B506-IF($A556&gt;='1-Input'!$C$12,'1-Input'!$B$12,0))))*(1/(1-'P-Parametri'!$B$6*B556))),MAX(0,2*B506-(F555-MIN(MAX(F555,0),MAX(0,B506-IF($A556&gt;='1-Input'!$C$12,'1-Input'!$B$12,0)))))*(1/(1-'P-Parametri'!$B$6*B556))))</f>
        <v>0</v>
      </c>
      <c r="D556" s="18">
        <f>IF($A556&gt;'1-Input'!$B$26,F555,(F555-MAX(0,B506-IF($A556&gt;='1-Input'!$C$12,'1-Input'!$B$12,0))+C556*(1-'P-Parametri'!$B$6*B556))*(1+'1-Input'!$B$27))</f>
        <v>33242.0070309863</v>
      </c>
      <c r="E556" s="18">
        <f>IF($A556&gt;'1-Input'!$B$26,G555,(G555-C556)*(1+$C$4))</f>
        <v>91781.830373922552</v>
      </c>
      <c r="F556" s="18">
        <f>IF($A556&gt;'1-Input'!$B$26,D556,D556-'P-Parametri'!$B$8*(E556+D556)+MIN(MAX(E556,0),'P-Parametri'!$B$8*(E556+D556)))</f>
        <v>33242.0070309863</v>
      </c>
      <c r="G556" s="18">
        <f>IF($A556&gt;'1-Input'!$B$26,E556,E556-MIN(MAX(E556,0),'P-Parametri'!$B$8*(E556+D556)))</f>
        <v>91781.830373922552</v>
      </c>
      <c r="H556" s="18">
        <f>IF($A556&gt;'1-Input'!$B$26,H555,H555-C556*(1-B556))</f>
        <v>21170.441361235724</v>
      </c>
      <c r="I556" s="11">
        <f>IF($A556&gt;'1-Input'!$B$26,0,IF(N555&lt;=0,0,MAX(0,(N555-O555)/N555)))</f>
        <v>0</v>
      </c>
      <c r="J556" s="18">
        <f>IF($A556&gt;'1-Input'!$B$26,0,(MAX(0,I506-IF($A556&gt;='1-Input'!$C$12,'1-Input'!$B$12,0))-MIN(MAX(M555,0),MAX(0,I506-IF($A556&gt;='1-Input'!$C$12,'1-Input'!$B$12,0))))*(1/(1-'P-Parametri'!$B$6*I556))+MIN(MAX(0,N555-(MAX(0,I506-IF($A556&gt;='1-Input'!$C$12,'1-Input'!$B$12,0))-MIN(MAX(M555,0),MAX(0,I506-IF($A556&gt;='1-Input'!$C$12,'1-Input'!$B$12,0))))*(1/(1-'P-Parametri'!$B$6*I556))),MAX(0,2*I506-(M555-MIN(MAX(M555,0),MAX(0,I506-IF($A556&gt;='1-Input'!$C$12,'1-Input'!$B$12,0)))))*(1/(1-'P-Parametri'!$B$6*I556))))</f>
        <v>0</v>
      </c>
      <c r="K556" s="18">
        <f>IF($A556&gt;'1-Input'!$B$26,M555,(M555-MAX(0,I506-IF($A556&gt;='1-Input'!$C$12,'1-Input'!$B$12,0))+J556*(1-'P-Parametri'!$B$6*I556))*(1+'1-Input'!$B$27))</f>
        <v>0</v>
      </c>
      <c r="L556" s="18">
        <f>IF($A556&gt;'1-Input'!$B$26,N555,(N555-J556)*(1+$C$4))</f>
        <v>-320432.45975698525</v>
      </c>
      <c r="M556" s="18">
        <f>IF($A556&gt;'1-Input'!$B$26,K556,K556-'P-Parametri'!$B$8*(L556+K556)+MIN(MAX(L556,0),'P-Parametri'!$B$8*(L556+K556)))</f>
        <v>0</v>
      </c>
      <c r="N556" s="18">
        <f>IF($A556&gt;'1-Input'!$B$26,L556,L556-MIN(MAX(L556,0),'P-Parametri'!$B$8*(L556+K556)))</f>
        <v>-320432.45975698525</v>
      </c>
      <c r="O556" s="18">
        <f>IF($A556&gt;'1-Input'!$B$26,O555,O555-J556*(1-I556))</f>
        <v>-231973.1481011603</v>
      </c>
      <c r="P556" s="11">
        <f>IF($A556&gt;'1-Input'!$B$26,0,IF(U555&lt;=0,0,MAX(0,(U555-V555)/U555)))</f>
        <v>0</v>
      </c>
      <c r="Q556" s="18">
        <f>IF($A556&gt;'1-Input'!$B$26,0,(MAX(0,P506-IF($A556&gt;='1-Input'!$C$12,'1-Input'!$B$12,0))-MIN(MAX(T555,0),MAX(0,P506-IF($A556&gt;='1-Input'!$C$12,'1-Input'!$B$12,0))))*(1/(1-'P-Parametri'!$B$6*P556))+MIN(MAX(0,U555-(MAX(0,P506-IF($A556&gt;='1-Input'!$C$12,'1-Input'!$B$12,0))-MIN(MAX(T555,0),MAX(0,P506-IF($A556&gt;='1-Input'!$C$12,'1-Input'!$B$12,0))))*(1/(1-'P-Parametri'!$B$6*P556))),MAX(0,2*P506-(T555-MIN(MAX(T555,0),MAX(0,P506-IF($A556&gt;='1-Input'!$C$12,'1-Input'!$B$12,0)))))*(1/(1-'P-Parametri'!$B$6*P556))))</f>
        <v>0</v>
      </c>
      <c r="R556" s="18">
        <f>IF($A556&gt;'1-Input'!$B$26,T555,(T555-MAX(0,P506-IF($A556&gt;='1-Input'!$C$12,'1-Input'!$B$12,0))+Q556*(1-'P-Parametri'!$B$6*P556))*(1+'1-Input'!$B$27))</f>
        <v>0</v>
      </c>
      <c r="S556" s="18">
        <f>IF($A556&gt;'1-Input'!$B$26,U555,(U555-Q556)*(1+$C$4))</f>
        <v>-16137.997107866926</v>
      </c>
      <c r="T556" s="18">
        <f>IF($A556&gt;'1-Input'!$B$26,R556,R556-'P-Parametri'!$B$8*(S556+R556)+MIN(MAX(S556,0),'P-Parametri'!$B$8*(S556+R556)))</f>
        <v>0</v>
      </c>
      <c r="U556" s="18">
        <f>IF($A556&gt;'1-Input'!$B$26,S556,S556-MIN(MAX(S556,0),'P-Parametri'!$B$8*(S556+R556)))</f>
        <v>-16137.997107866926</v>
      </c>
      <c r="V556" s="18">
        <f>IF($A556&gt;'1-Input'!$B$26,V555,V555-Q556*(1-P556))</f>
        <v>-15427.788205122513</v>
      </c>
      <c r="W556" s="11">
        <f>IF($A556&gt;'1-Input'!$B$26,0,IF(AB555&lt;=0,0,MAX(0,(AB555-AC555)/AB555)))</f>
        <v>0</v>
      </c>
      <c r="X556" s="18">
        <f>IF($A556&gt;'1-Input'!$B$26,0,(MAX(0,W506-IF($A556&gt;='1-Input'!$C$12,'1-Input'!$B$12,0))-MIN(MAX(AA555,0),MAX(0,W506-IF($A556&gt;='1-Input'!$C$12,'1-Input'!$B$12,0))))*(1/(1-'P-Parametri'!$B$6*W556))+MIN(MAX(0,AB555-(MAX(0,W506-IF($A556&gt;='1-Input'!$C$12,'1-Input'!$B$12,0))-MIN(MAX(AA555,0),MAX(0,W506-IF($A556&gt;='1-Input'!$C$12,'1-Input'!$B$12,0))))*(1/(1-'P-Parametri'!$B$6*W556))),MAX(0,2*W506-(AA555-MIN(MAX(AA555,0),MAX(0,W506-IF($A556&gt;='1-Input'!$C$12,'1-Input'!$B$12,0)))))*(1/(1-'P-Parametri'!$B$6*W556))))</f>
        <v>0</v>
      </c>
      <c r="Y556" s="18">
        <f>IF($A556&gt;'1-Input'!$B$26,AA555,(AA555-MAX(0,W506-IF($A556&gt;='1-Input'!$C$12,'1-Input'!$B$12,0))+X556*(1-'P-Parametri'!$B$6*W556))*(1+'1-Input'!$B$27))</f>
        <v>0</v>
      </c>
      <c r="Z556" s="18">
        <f>IF($A556&gt;'1-Input'!$B$26,AB555,(AB555-X556)*(1+$C$4))</f>
        <v>-1040.4121740700825</v>
      </c>
      <c r="AA556" s="18">
        <f>IF($A556&gt;'1-Input'!$B$26,Y556,Y556-'P-Parametri'!$B$8*(Z556+Y556)+MIN(MAX(Z556,0),'P-Parametri'!$B$8*(Z556+Y556)))</f>
        <v>0</v>
      </c>
      <c r="AB556" s="18">
        <f>IF($A556&gt;'1-Input'!$B$26,Z556,Z556-MIN(MAX(Z556,0),'P-Parametri'!$B$8*(Z556+Y556)))</f>
        <v>-1040.4121740700825</v>
      </c>
      <c r="AC556" s="18">
        <f>IF($A556&gt;'1-Input'!$B$26,AC555,AC555-X556*(1-W556))</f>
        <v>-1012.1331732105791</v>
      </c>
      <c r="AD556" s="11">
        <f>IF($A556&gt;'1-Input'!$B$26,0,IF(AI555&lt;=0,0,MAX(0,(AI555-AJ555)/AI555)))</f>
        <v>0</v>
      </c>
      <c r="AE556" s="18">
        <f>IF($A556&gt;'1-Input'!$B$26,0,(MAX(0,AD506-IF($A556&gt;='1-Input'!$C$12,'1-Input'!$B$12,0))-MIN(MAX(AH555,0),MAX(0,AD506-IF($A556&gt;='1-Input'!$C$12,'1-Input'!$B$12,0))))*(1/(1-'P-Parametri'!$B$6*AD556))+MIN(MAX(0,AI555-(MAX(0,AD506-IF($A556&gt;='1-Input'!$C$12,'1-Input'!$B$12,0))-MIN(MAX(AH555,0),MAX(0,AD506-IF($A556&gt;='1-Input'!$C$12,'1-Input'!$B$12,0))))*(1/(1-'P-Parametri'!$B$6*AD556))),MAX(0,2*AD506-(AH555-MIN(MAX(AH555,0),MAX(0,AD506-IF($A556&gt;='1-Input'!$C$12,'1-Input'!$B$12,0)))))*(1/(1-'P-Parametri'!$B$6*AD556))))</f>
        <v>0</v>
      </c>
      <c r="AF556" s="18">
        <f>IF($A556&gt;'1-Input'!$B$26,AH555,(AH555-MAX(0,AD506-IF($A556&gt;='1-Input'!$C$12,'1-Input'!$B$12,0))+AE556*(1-'P-Parametri'!$B$6*AD556))*(1+'1-Input'!$B$27))</f>
        <v>0</v>
      </c>
      <c r="AG556" s="18">
        <f>IF($A556&gt;'1-Input'!$B$26,AI555,(AI555-AE556)*(1+$C$4))</f>
        <v>-2.4611206759689255</v>
      </c>
      <c r="AH556" s="18">
        <f>IF($A556&gt;'1-Input'!$B$26,AF556,AF556-'P-Parametri'!$B$8*(AG556+AF556)+MIN(MAX(AG556,0),'P-Parametri'!$B$8*(AG556+AF556)))</f>
        <v>0</v>
      </c>
      <c r="AI556" s="18">
        <f>IF($A556&gt;'1-Input'!$B$26,AG556,AG556-MIN(MAX(AG556,0),'P-Parametri'!$B$8*(AG556+AF556)))</f>
        <v>-2.4611206759689255</v>
      </c>
      <c r="AJ556" s="18">
        <f>IF($A556&gt;'1-Input'!$B$26,AJ555,AJ555-AE556*(1-AD556))</f>
        <v>-2.3942260014878229</v>
      </c>
      <c r="AK556" s="11">
        <f>IF($A556&gt;'1-Input'!$B$26,0,IF(AP555&lt;=0,0,MAX(0,(AP555-AQ555)/AP555)))</f>
        <v>0</v>
      </c>
      <c r="AL556" s="18">
        <f>IF($A556&gt;'1-Input'!$B$26,0,(MAX(0,AK506-IF($A556&gt;='1-Input'!$C$12,'1-Input'!$B$12,0))-MIN(MAX(AO555,0),MAX(0,AK506-IF($A556&gt;='1-Input'!$C$12,'1-Input'!$B$12,0))))*(1/(1-'P-Parametri'!$B$6*AK556))+MIN(MAX(0,AP555-(MAX(0,AK506-IF($A556&gt;='1-Input'!$C$12,'1-Input'!$B$12,0))-MIN(MAX(AO555,0),MAX(0,AK506-IF($A556&gt;='1-Input'!$C$12,'1-Input'!$B$12,0))))*(1/(1-'P-Parametri'!$B$6*AK556))),MAX(0,2*AK506-(AO555-MIN(MAX(AO555,0),MAX(0,AK506-IF($A556&gt;='1-Input'!$C$12,'1-Input'!$B$12,0)))))*(1/(1-'P-Parametri'!$B$6*AK556))))</f>
        <v>0</v>
      </c>
      <c r="AM556" s="18">
        <f>IF($A556&gt;'1-Input'!$B$26,AO555,(AO555-MAX(0,AK506-IF($A556&gt;='1-Input'!$C$12,'1-Input'!$B$12,0))+AL556*(1-'P-Parametri'!$B$6*AK556))*(1+'1-Input'!$B$27))</f>
        <v>7.6345635188969017E-6</v>
      </c>
      <c r="AN556" s="18">
        <f>IF($A556&gt;'1-Input'!$B$26,AP555,(AP555-AL556)*(1+$C$4))</f>
        <v>0</v>
      </c>
      <c r="AO556" s="18">
        <f>IF($A556&gt;'1-Input'!$B$26,AM556,AM556-'P-Parametri'!$B$8*(AN556+AM556)+MIN(MAX(AN556,0),'P-Parametri'!$B$8*(AN556+AM556)))</f>
        <v>7.6345635188969017E-6</v>
      </c>
      <c r="AP556" s="18">
        <f>IF($A556&gt;'1-Input'!$B$26,AN556,AN556-MIN(MAX(AN556,0),'P-Parametri'!$B$8*(AN556+AM556)))</f>
        <v>0</v>
      </c>
      <c r="AQ556" s="18">
        <f>IF($A556&gt;'1-Input'!$B$26,AQ555,AQ555-AL556*(1-AK556))</f>
        <v>-4.5474735088646412E-13</v>
      </c>
    </row>
    <row r="557" spans="1:43">
      <c r="A557" s="4" t="s">
        <v>365</v>
      </c>
      <c r="B557" s="18">
        <f>F556+G556</f>
        <v>125023.83740490885</v>
      </c>
      <c r="I557" s="18">
        <f>M556+N556</f>
        <v>-320432.45975698525</v>
      </c>
      <c r="P557" s="18">
        <f>T556+U556</f>
        <v>-16137.997107866926</v>
      </c>
      <c r="W557" s="18">
        <f>AA556+AB556</f>
        <v>-1040.4121740700825</v>
      </c>
      <c r="AD557" s="18">
        <f>AH556+AI556</f>
        <v>-2.4611206759689255</v>
      </c>
      <c r="AK557" s="18">
        <f>AO556+AP556</f>
        <v>7.6345635188969017E-6</v>
      </c>
    </row>
    <row r="558" spans="1:43">
      <c r="A558" s="5" t="s">
        <v>266</v>
      </c>
      <c r="B558" s="18">
        <f>IFERROR(AK506-AK557*(AK506-AD506)/(AK557-AD557),AK506)</f>
        <v>17944.67221618972</v>
      </c>
    </row>
    <row r="560" spans="1:43">
      <c r="A560" s="2" t="s">
        <v>373</v>
      </c>
    </row>
    <row r="561" spans="1:43">
      <c r="A561" s="4" t="s">
        <v>360</v>
      </c>
      <c r="B561" s="9">
        <f>0.038*'2-Caso'!$B$12</f>
        <v>16681.055314625803</v>
      </c>
      <c r="I561" s="9">
        <f>0.05*'2-Caso'!$B$12</f>
        <v>21948.756992928691</v>
      </c>
      <c r="P561" s="18">
        <f>IFERROR(I561-I612*(I561-B561)/(I612-B612),I561)</f>
        <v>17628.031947429532</v>
      </c>
      <c r="W561" s="18">
        <f>IFERROR(P561-P612*(P561-I561)/(P612-I612),P561)</f>
        <v>17561.973850222133</v>
      </c>
      <c r="AD561" s="18">
        <f>IFERROR(W561-W612*(W561-P561)/(W612-P612),W561)</f>
        <v>17554.227985892005</v>
      </c>
      <c r="AK561" s="18">
        <f>IFERROR(AD561-AD612*(AD561-W561)/(AD612-W612),AD561)</f>
        <v>17554.687466808198</v>
      </c>
    </row>
    <row r="562" spans="1:43" ht="45">
      <c r="A562" s="25" t="s">
        <v>262</v>
      </c>
      <c r="B562" s="25" t="s">
        <v>361</v>
      </c>
      <c r="C562" s="25" t="s">
        <v>263</v>
      </c>
      <c r="D562" s="25" t="s">
        <v>362</v>
      </c>
      <c r="E562" s="25" t="s">
        <v>363</v>
      </c>
      <c r="F562" s="25" t="s">
        <v>264</v>
      </c>
      <c r="G562" s="25" t="s">
        <v>265</v>
      </c>
      <c r="H562" s="25" t="s">
        <v>364</v>
      </c>
      <c r="I562" s="25" t="s">
        <v>361</v>
      </c>
      <c r="J562" s="25" t="s">
        <v>263</v>
      </c>
      <c r="K562" s="25" t="s">
        <v>362</v>
      </c>
      <c r="L562" s="25" t="s">
        <v>363</v>
      </c>
      <c r="M562" s="25" t="s">
        <v>264</v>
      </c>
      <c r="N562" s="25" t="s">
        <v>265</v>
      </c>
      <c r="O562" s="25" t="s">
        <v>364</v>
      </c>
      <c r="P562" s="25" t="s">
        <v>361</v>
      </c>
      <c r="Q562" s="25" t="s">
        <v>263</v>
      </c>
      <c r="R562" s="25" t="s">
        <v>362</v>
      </c>
      <c r="S562" s="25" t="s">
        <v>363</v>
      </c>
      <c r="T562" s="25" t="s">
        <v>264</v>
      </c>
      <c r="U562" s="25" t="s">
        <v>265</v>
      </c>
      <c r="V562" s="25" t="s">
        <v>364</v>
      </c>
      <c r="W562" s="25" t="s">
        <v>361</v>
      </c>
      <c r="X562" s="25" t="s">
        <v>263</v>
      </c>
      <c r="Y562" s="25" t="s">
        <v>362</v>
      </c>
      <c r="Z562" s="25" t="s">
        <v>363</v>
      </c>
      <c r="AA562" s="25" t="s">
        <v>264</v>
      </c>
      <c r="AB562" s="25" t="s">
        <v>265</v>
      </c>
      <c r="AC562" s="25" t="s">
        <v>364</v>
      </c>
      <c r="AD562" s="25" t="s">
        <v>361</v>
      </c>
      <c r="AE562" s="25" t="s">
        <v>263</v>
      </c>
      <c r="AF562" s="25" t="s">
        <v>362</v>
      </c>
      <c r="AG562" s="25" t="s">
        <v>363</v>
      </c>
      <c r="AH562" s="25" t="s">
        <v>264</v>
      </c>
      <c r="AI562" s="25" t="s">
        <v>265</v>
      </c>
      <c r="AJ562" s="25" t="s">
        <v>364</v>
      </c>
      <c r="AK562" s="25" t="s">
        <v>361</v>
      </c>
      <c r="AL562" s="25" t="s">
        <v>263</v>
      </c>
      <c r="AM562" s="25" t="s">
        <v>362</v>
      </c>
      <c r="AN562" s="25" t="s">
        <v>363</v>
      </c>
      <c r="AO562" s="25" t="s">
        <v>264</v>
      </c>
      <c r="AP562" s="25" t="s">
        <v>265</v>
      </c>
      <c r="AQ562" s="25" t="s">
        <v>364</v>
      </c>
    </row>
    <row r="563" spans="1:43">
      <c r="A563" s="3">
        <v>0</v>
      </c>
      <c r="F563" s="18">
        <f>MIN(3*B561,'2-Caso'!$B$12)</f>
        <v>50043.165943877408</v>
      </c>
      <c r="G563" s="18">
        <f>'2-Caso'!$B$12-F563</f>
        <v>388931.97391469637</v>
      </c>
      <c r="H563" s="18">
        <f>'2-Caso'!$B$13*G563/'2-Caso'!$B$12</f>
        <v>304784</v>
      </c>
      <c r="M563" s="18">
        <f>MIN(3*I561,'2-Caso'!$B$12)</f>
        <v>65846.27097878608</v>
      </c>
      <c r="N563" s="18">
        <f>'2-Caso'!$B$12-M563</f>
        <v>373128.86887978774</v>
      </c>
      <c r="O563" s="18">
        <f>'2-Caso'!$B$13*N563/'2-Caso'!$B$12</f>
        <v>292400</v>
      </c>
      <c r="T563" s="18">
        <f>MIN(3*P561,'2-Caso'!$B$12)</f>
        <v>52884.095842288596</v>
      </c>
      <c r="U563" s="18">
        <f>'2-Caso'!$B$12-T563</f>
        <v>386091.04401628522</v>
      </c>
      <c r="V563" s="18">
        <f>'2-Caso'!$B$13*U563/'2-Caso'!$B$12</f>
        <v>302557.72384830652</v>
      </c>
      <c r="AA563" s="18">
        <f>MIN(3*W561,'2-Caso'!$B$12)</f>
        <v>52685.921550666404</v>
      </c>
      <c r="AB563" s="18">
        <f>'2-Caso'!$B$12-AA563</f>
        <v>386289.2183079074</v>
      </c>
      <c r="AC563" s="18">
        <f>'2-Caso'!$B$13*AB563/'2-Caso'!$B$12</f>
        <v>302713.02183702635</v>
      </c>
      <c r="AH563" s="18">
        <f>MIN(3*AD561,'2-Caso'!$B$12)</f>
        <v>52662.68395767601</v>
      </c>
      <c r="AI563" s="18">
        <f>'2-Caso'!$B$12-AH563</f>
        <v>386312.4559008978</v>
      </c>
      <c r="AJ563" s="18">
        <f>'2-Caso'!$B$13*AI563/'2-Caso'!$B$12</f>
        <v>302731.23182493425</v>
      </c>
      <c r="AO563" s="18">
        <f>MIN(3*AK561,'2-Caso'!$B$12)</f>
        <v>52664.062400424591</v>
      </c>
      <c r="AP563" s="18">
        <f>'2-Caso'!$B$12-AO563</f>
        <v>386311.07745814917</v>
      </c>
      <c r="AQ563" s="18">
        <f>'2-Caso'!$B$13*AP563/'2-Caso'!$B$12</f>
        <v>302730.15161728131</v>
      </c>
    </row>
    <row r="564" spans="1:43">
      <c r="A564" s="10">
        <f>1</f>
        <v>1</v>
      </c>
      <c r="B564" s="11">
        <f>IF($A564&gt;'1-Input'!$B$26,0,IF(G563&lt;=0,0,MAX(0,(G563-H563)/G563)))</f>
        <v>0.21635653419729478</v>
      </c>
      <c r="C564" s="18">
        <f>IF($A564&gt;'1-Input'!$B$26,0,(MAX(0,B561-IF($A564&gt;='1-Input'!$C$12,'1-Input'!$B$12,0))-MIN(MAX(F563,0),MAX(0,B561-IF($A564&gt;='1-Input'!$C$12,'1-Input'!$B$12,0))))*(1/(1-'P-Parametri'!$B$6*B564))+MIN(MAX(0,G563-(MAX(0,B561-IF($A564&gt;='1-Input'!$C$12,'1-Input'!$B$12,0))-MIN(MAX(F563,0),MAX(0,B561-IF($A564&gt;='1-Input'!$C$12,'1-Input'!$B$12,0))))*(1/(1-'P-Parametri'!$B$6*B564))),MAX(0,3*B561-(F563-MIN(MAX(F563,0),MAX(0,B561-IF($A564&gt;='1-Input'!$C$12,'1-Input'!$B$12,0)))))*(1/(1-'P-Parametri'!$B$6*B564))))</f>
        <v>17675.340946701614</v>
      </c>
      <c r="D564" s="18">
        <f>IF($A564&gt;'1-Input'!$B$26,F563,(F563-MAX(0,B561-IF($A564&gt;='1-Input'!$C$12,'1-Input'!$B$12,0))+C564*(1-'P-Parametri'!$B$6*B564))*(1+'1-Input'!$B$27))</f>
        <v>49863.010546479447</v>
      </c>
      <c r="E564" s="18">
        <f>IF($A564&gt;'1-Input'!$B$26,G563,(G563-C564)*(1+$C$4))</f>
        <v>382394.33195703465</v>
      </c>
      <c r="F564" s="18">
        <f>IF($A564&gt;'1-Input'!$B$26,D564,D564-'P-Parametri'!$B$8*(E564+D564)+MIN(MAX(E564,0),'P-Parametri'!$B$8*(E564+D564)))</f>
        <v>49863.010546479447</v>
      </c>
      <c r="G564" s="18">
        <f>IF($A564&gt;'1-Input'!$B$26,E564,E564-MIN(MAX(E564,0),'P-Parametri'!$B$8*(E564+D564)))</f>
        <v>381529.81727202761</v>
      </c>
      <c r="H564" s="18">
        <f>IF($A564&gt;'1-Input'!$B$26,H563,H563-C564*(1-B564))</f>
        <v>290932.8345612823</v>
      </c>
      <c r="I564" s="11">
        <f>IF($A564&gt;'1-Input'!$B$26,0,IF(N563&lt;=0,0,MAX(0,(N563-O563)/N563)))</f>
        <v>0.21635653419729484</v>
      </c>
      <c r="J564" s="18">
        <f>IF($A564&gt;'1-Input'!$B$26,0,(MAX(0,I561-IF($A564&gt;='1-Input'!$C$12,'1-Input'!$B$12,0))-MIN(MAX(M563,0),MAX(0,I561-IF($A564&gt;='1-Input'!$C$12,'1-Input'!$B$12,0))))*(1/(1-'P-Parametri'!$B$6*I564))+MIN(MAX(0,N563-(MAX(0,I561-IF($A564&gt;='1-Input'!$C$12,'1-Input'!$B$12,0))-MIN(MAX(M563,0),MAX(0,I561-IF($A564&gt;='1-Input'!$C$12,'1-Input'!$B$12,0))))*(1/(1-'P-Parametri'!$B$6*I564))),MAX(0,3*I561-(M563-MIN(MAX(M563,0),MAX(0,I561-IF($A564&gt;='1-Input'!$C$12,'1-Input'!$B$12,0)))))*(1/(1-'P-Parametri'!$B$6*I564))))</f>
        <v>23257.027561449497</v>
      </c>
      <c r="K564" s="18">
        <f>IF($A564&gt;'1-Input'!$B$26,M563,(M563-MAX(0,I561-IF($A564&gt;='1-Input'!$C$12,'1-Input'!$B$12,0))+J564*(1-'P-Parametri'!$B$6*I564))*(1+'1-Input'!$B$27))</f>
        <v>65609.224403262444</v>
      </c>
      <c r="L564" s="18">
        <f>IF($A564&gt;'1-Input'!$B$26,N563,(N563-J564)*(1+$C$4))</f>
        <v>360367.9965578884</v>
      </c>
      <c r="M564" s="18">
        <f>IF($A564&gt;'1-Input'!$B$26,K564,K564-'P-Parametri'!$B$8*(L564+K564)+MIN(MAX(L564,0),'P-Parametri'!$B$8*(L564+K564)))</f>
        <v>65609.224403262444</v>
      </c>
      <c r="N564" s="18">
        <f>IF($A564&gt;'1-Input'!$B$26,L564,L564-MIN(MAX(L564,0),'P-Parametri'!$B$8*(L564+K564)))</f>
        <v>359516.04211596609</v>
      </c>
      <c r="O564" s="18">
        <f>IF($A564&gt;'1-Input'!$B$26,O563,O563-J564*(1-I564))</f>
        <v>274174.7823174767</v>
      </c>
      <c r="P564" s="11">
        <f>IF($A564&gt;'1-Input'!$B$26,0,IF(U563&lt;=0,0,MAX(0,(U563-V563)/U563)))</f>
        <v>0.21635653419729489</v>
      </c>
      <c r="Q564" s="18">
        <f>IF($A564&gt;'1-Input'!$B$26,0,(MAX(0,P561-IF($A564&gt;='1-Input'!$C$12,'1-Input'!$B$12,0))-MIN(MAX(T563,0),MAX(0,P561-IF($A564&gt;='1-Input'!$C$12,'1-Input'!$B$12,0))))*(1/(1-'P-Parametri'!$B$6*P564))+MIN(MAX(0,U563-(MAX(0,P561-IF($A564&gt;='1-Input'!$C$12,'1-Input'!$B$12,0))-MIN(MAX(T563,0),MAX(0,P561-IF($A564&gt;='1-Input'!$C$12,'1-Input'!$B$12,0))))*(1/(1-'P-Parametri'!$B$6*P564))),MAX(0,3*P561-(T563-MIN(MAX(T563,0),MAX(0,P561-IF($A564&gt;='1-Input'!$C$12,'1-Input'!$B$12,0)))))*(1/(1-'P-Parametri'!$B$6*P564))))</f>
        <v>18678.762764905739</v>
      </c>
      <c r="R564" s="18">
        <f>IF($A564&gt;'1-Input'!$B$26,T563,(T563-MAX(0,P561-IF($A564&gt;='1-Input'!$C$12,'1-Input'!$B$12,0))+Q564*(1-'P-Parametri'!$B$6*P564))*(1+'1-Input'!$B$27))</f>
        <v>52693.713097256354</v>
      </c>
      <c r="S564" s="18">
        <f>IF($A564&gt;'1-Input'!$B$26,U563,(U563-Q564)*(1+$C$4))</f>
        <v>378434.64968892088</v>
      </c>
      <c r="T564" s="18">
        <f>IF($A564&gt;'1-Input'!$B$26,R564,R564-'P-Parametri'!$B$8*(S564+R564)+MIN(MAX(S564,0),'P-Parametri'!$B$8*(S564+R564)))</f>
        <v>52693.713097256354</v>
      </c>
      <c r="U564" s="18">
        <f>IF($A564&gt;'1-Input'!$B$26,S564,S564-MIN(MAX(S564,0),'P-Parametri'!$B$8*(S564+R564)))</f>
        <v>377572.39296334854</v>
      </c>
      <c r="V564" s="18">
        <f>IF($A564&gt;'1-Input'!$B$26,V563,V563-Q564*(1-P564))</f>
        <v>287920.23345830926</v>
      </c>
      <c r="W564" s="11">
        <f>IF($A564&gt;'1-Input'!$B$26,0,IF(AB563&lt;=0,0,MAX(0,(AB563-AC563)/AB563)))</f>
        <v>0.21635653419729484</v>
      </c>
      <c r="X564" s="18">
        <f>IF($A564&gt;'1-Input'!$B$26,0,(MAX(0,W561-IF($A564&gt;='1-Input'!$C$12,'1-Input'!$B$12,0))-MIN(MAX(AA563,0),MAX(0,W561-IF($A564&gt;='1-Input'!$C$12,'1-Input'!$B$12,0))))*(1/(1-'P-Parametri'!$B$6*W564))+MIN(MAX(0,AB563-(MAX(0,W561-IF($A564&gt;='1-Input'!$C$12,'1-Input'!$B$12,0))-MIN(MAX(AA563,0),MAX(0,W561-IF($A564&gt;='1-Input'!$C$12,'1-Input'!$B$12,0))))*(1/(1-'P-Parametri'!$B$6*W564))),MAX(0,3*W561-(AA563-MIN(MAX(AA563,0),MAX(0,W561-IF($A564&gt;='1-Input'!$C$12,'1-Input'!$B$12,0)))))*(1/(1-'P-Parametri'!$B$6*W564))))</f>
        <v>18608.767229946541</v>
      </c>
      <c r="Y564" s="18">
        <f>IF($A564&gt;'1-Input'!$B$26,AA563,(AA563-MAX(0,W561-IF($A564&gt;='1-Input'!$C$12,'1-Input'!$B$12,0))+X564*(1-'P-Parametri'!$B$6*W564))*(1+'1-Input'!$B$27))</f>
        <v>52496.252233084</v>
      </c>
      <c r="Z564" s="18">
        <f>IF($A564&gt;'1-Input'!$B$26,AB563,(AB563-X564)*(1+$C$4))</f>
        <v>378710.8646102997</v>
      </c>
      <c r="AA564" s="18">
        <f>IF($A564&gt;'1-Input'!$B$26,Y564,Y564-'P-Parametri'!$B$8*(Z564+Y564)+MIN(MAX(Z564,0),'P-Parametri'!$B$8*(Z564+Y564)))</f>
        <v>52496.252233084</v>
      </c>
      <c r="AB564" s="18">
        <f>IF($A564&gt;'1-Input'!$B$26,Z564,Z564-MIN(MAX(Z564,0),'P-Parametri'!$B$8*(Z564+Y564)))</f>
        <v>377848.45037661295</v>
      </c>
      <c r="AC564" s="18">
        <f>IF($A564&gt;'1-Input'!$B$26,AC563,AC563-X564*(1-W564))</f>
        <v>288130.38299063523</v>
      </c>
      <c r="AD564" s="11">
        <f>IF($A564&gt;'1-Input'!$B$26,0,IF(AI563&lt;=0,0,MAX(0,(AI563-AJ563)/AI563)))</f>
        <v>0.21635653419729484</v>
      </c>
      <c r="AE564" s="18">
        <f>IF($A564&gt;'1-Input'!$B$26,0,(MAX(0,AD561-IF($A564&gt;='1-Input'!$C$12,'1-Input'!$B$12,0))-MIN(MAX(AH563,0),MAX(0,AD561-IF($A564&gt;='1-Input'!$C$12,'1-Input'!$B$12,0))))*(1/(1-'P-Parametri'!$B$6*AD564))+MIN(MAX(0,AI563-(MAX(0,AD561-IF($A564&gt;='1-Input'!$C$12,'1-Input'!$B$12,0))-MIN(MAX(AH563,0),MAX(0,AD561-IF($A564&gt;='1-Input'!$C$12,'1-Input'!$B$12,0))))*(1/(1-'P-Parametri'!$B$6*AD564))),MAX(0,3*AD561-(AH563-MIN(MAX(AH563,0),MAX(0,AD561-IF($A564&gt;='1-Input'!$C$12,'1-Input'!$B$12,0)))))*(1/(1-'P-Parametri'!$B$6*AD564))))</f>
        <v>18600.559668111906</v>
      </c>
      <c r="AF564" s="18">
        <f>IF($A564&gt;'1-Input'!$B$26,AH563,(AH563-MAX(0,AD561-IF($A564&gt;='1-Input'!$C$12,'1-Input'!$B$12,0))+AE564*(1-'P-Parametri'!$B$6*AD564))*(1+'1-Input'!$B$27))</f>
        <v>52473.098295428375</v>
      </c>
      <c r="AG564" s="18">
        <f>IF($A564&gt;'1-Input'!$B$26,AI563,(AI563-AE564)*(1+$C$4))</f>
        <v>378743.25311976945</v>
      </c>
      <c r="AH564" s="18">
        <f>IF($A564&gt;'1-Input'!$B$26,AF564,AF564-'P-Parametri'!$B$8*(AG564+AF564)+MIN(MAX(AG564,0),'P-Parametri'!$B$8*(AG564+AF564)))</f>
        <v>52473.098295428375</v>
      </c>
      <c r="AI564" s="18">
        <f>IF($A564&gt;'1-Input'!$B$26,AG564,AG564-MIN(MAX(AG564,0),'P-Parametri'!$B$8*(AG564+AF564)))</f>
        <v>377880.82041693904</v>
      </c>
      <c r="AJ564" s="18">
        <f>IF($A564&gt;'1-Input'!$B$26,AJ563,AJ563-AE564*(1-AD564))</f>
        <v>288155.02478074504</v>
      </c>
      <c r="AK564" s="11">
        <f>IF($A564&gt;'1-Input'!$B$26,0,IF(AP563&lt;=0,0,MAX(0,(AP563-AQ563)/AP563)))</f>
        <v>0.21635653419729481</v>
      </c>
      <c r="AL564" s="18">
        <f>IF($A564&gt;'1-Input'!$B$26,0,(MAX(0,AK561-IF($A564&gt;='1-Input'!$C$12,'1-Input'!$B$12,0))-MIN(MAX(AO563,0),MAX(0,AK561-IF($A564&gt;='1-Input'!$C$12,'1-Input'!$B$12,0))))*(1/(1-'P-Parametri'!$B$6*AK564))+MIN(MAX(0,AP563-(MAX(0,AK561-IF($A564&gt;='1-Input'!$C$12,'1-Input'!$B$12,0))-MIN(MAX(AO563,0),MAX(0,AK561-IF($A564&gt;='1-Input'!$C$12,'1-Input'!$B$12,0))))*(1/(1-'P-Parametri'!$B$6*AK564))),MAX(0,3*AK561-(AO563-MIN(MAX(AO563,0),MAX(0,AK561-IF($A564&gt;='1-Input'!$C$12,'1-Input'!$B$12,0)))))*(1/(1-'P-Parametri'!$B$6*AK564))))</f>
        <v>18601.046536700196</v>
      </c>
      <c r="AM564" s="18">
        <f>IF($A564&gt;'1-Input'!$B$26,AO563,(AO563-MAX(0,AK561-IF($A564&gt;='1-Input'!$C$12,'1-Input'!$B$12,0))+AL564*(1-'P-Parametri'!$B$6*AK564))*(1+'1-Input'!$B$27))</f>
        <v>52474.471775783059</v>
      </c>
      <c r="AN564" s="18">
        <f>IF($A564&gt;'1-Input'!$B$26,AP563,(AP563-AL564)*(1+$C$4))</f>
        <v>378741.33184909244</v>
      </c>
      <c r="AO564" s="18">
        <f>IF($A564&gt;'1-Input'!$B$26,AM564,AM564-'P-Parametri'!$B$8*(AN564+AM564)+MIN(MAX(AN564,0),'P-Parametri'!$B$8*(AN564+AM564)))</f>
        <v>52474.471775783059</v>
      </c>
      <c r="AP564" s="18">
        <f>IF($A564&gt;'1-Input'!$B$26,AN564,AN564-MIN(MAX(AN564,0),'P-Parametri'!$B$8*(AN564+AM564)))</f>
        <v>377878.90024184267</v>
      </c>
      <c r="AQ564" s="18">
        <f>IF($A564&gt;'1-Input'!$B$26,AQ563,AQ563-AL564*(1-AK564))</f>
        <v>288153.56304170418</v>
      </c>
    </row>
    <row r="565" spans="1:43">
      <c r="A565" s="10">
        <f>2</f>
        <v>2</v>
      </c>
      <c r="B565" s="11">
        <f>IF($A565&gt;'1-Input'!$B$26,0,IF(G564&lt;=0,0,MAX(0,(G564-H564)/G564)))</f>
        <v>0.2374571491122813</v>
      </c>
      <c r="C565" s="18">
        <f>IF($A565&gt;'1-Input'!$B$26,0,(MAX(0,B561-IF($A565&gt;='1-Input'!$C$12,'1-Input'!$B$12,0))-MIN(MAX(F564,0),MAX(0,B561-IF($A565&gt;='1-Input'!$C$12,'1-Input'!$B$12,0))))*(1/(1-'P-Parametri'!$B$6*B565))+MIN(MAX(0,G564-(MAX(0,B561-IF($A565&gt;='1-Input'!$C$12,'1-Input'!$B$12,0))-MIN(MAX(F564,0),MAX(0,B561-IF($A565&gt;='1-Input'!$C$12,'1-Input'!$B$12,0))))*(1/(1-'P-Parametri'!$B$6*B565))),MAX(0,3*B561-(F564-MIN(MAX(F564,0),MAX(0,B561-IF($A565&gt;='1-Input'!$C$12,'1-Input'!$B$12,0)))))*(1/(1-'P-Parametri'!$B$6*B565))))</f>
        <v>17970.701301670986</v>
      </c>
      <c r="D565" s="18">
        <f>IF($A565&gt;'1-Input'!$B$26,F564,(F564-MAX(0,B561-IF($A565&gt;='1-Input'!$C$12,'1-Input'!$B$12,0))+C565*(1-'P-Parametri'!$B$6*B565))*(1+'1-Input'!$B$27))</f>
        <v>49863.010546479447</v>
      </c>
      <c r="E565" s="18">
        <f>IF($A565&gt;'1-Input'!$B$26,G564,(G564-C565)*(1+$C$4))</f>
        <v>374465.88944946736</v>
      </c>
      <c r="F565" s="18">
        <f>IF($A565&gt;'1-Input'!$B$26,D565,D565-'P-Parametri'!$B$8*(E565+D565)+MIN(MAX(E565,0),'P-Parametri'!$B$8*(E565+D565)))</f>
        <v>49863.010546479447</v>
      </c>
      <c r="G565" s="18">
        <f>IF($A565&gt;'1-Input'!$B$26,E565,E565-MIN(MAX(E565,0),'P-Parametri'!$B$8*(E565+D565)))</f>
        <v>373617.23164947546</v>
      </c>
      <c r="H565" s="18">
        <f>IF($A565&gt;'1-Input'!$B$26,H564,H564-C565*(1-B565))</f>
        <v>277229.40475825447</v>
      </c>
      <c r="I565" s="11">
        <f>IF($A565&gt;'1-Input'!$B$26,0,IF(N564&lt;=0,0,MAX(0,(N564-O564)/N564)))</f>
        <v>0.23737816898574327</v>
      </c>
      <c r="J565" s="18">
        <f>IF($A565&gt;'1-Input'!$B$26,0,(MAX(0,I561-IF($A565&gt;='1-Input'!$C$12,'1-Input'!$B$12,0))-MIN(MAX(M564,0),MAX(0,I561-IF($A565&gt;='1-Input'!$C$12,'1-Input'!$B$12,0))))*(1/(1-'P-Parametri'!$B$6*I565))+MIN(MAX(0,N564-(MAX(0,I561-IF($A565&gt;='1-Input'!$C$12,'1-Input'!$B$12,0))-MIN(MAX(M564,0),MAX(0,I561-IF($A565&gt;='1-Input'!$C$12,'1-Input'!$B$12,0))))*(1/(1-'P-Parametri'!$B$6*I565))),MAX(0,3*I561-(M564-MIN(MAX(M564,0),MAX(0,I561-IF($A565&gt;='1-Input'!$C$12,'1-Input'!$B$12,0)))))*(1/(1-'P-Parametri'!$B$6*I565))))</f>
        <v>23645.142108632605</v>
      </c>
      <c r="K565" s="18">
        <f>IF($A565&gt;'1-Input'!$B$26,M564,(M564-MAX(0,I561-IF($A565&gt;='1-Input'!$C$12,'1-Input'!$B$12,0))+J565*(1-'P-Parametri'!$B$6*I565))*(1+'1-Input'!$B$27))</f>
        <v>65609.224403262444</v>
      </c>
      <c r="L565" s="18">
        <f>IF($A565&gt;'1-Input'!$B$26,N564,(N564-J565)*(1+$C$4))</f>
        <v>345947.02700755349</v>
      </c>
      <c r="M565" s="18">
        <f>IF($A565&gt;'1-Input'!$B$26,K565,K565-'P-Parametri'!$B$8*(L565+K565)+MIN(MAX(L565,0),'P-Parametri'!$B$8*(L565+K565)))</f>
        <v>65609.224403262444</v>
      </c>
      <c r="N565" s="18">
        <f>IF($A565&gt;'1-Input'!$B$26,L565,L565-MIN(MAX(L565,0),'P-Parametri'!$B$8*(L565+K565)))</f>
        <v>345123.91450473189</v>
      </c>
      <c r="O565" s="18">
        <f>IF($A565&gt;'1-Input'!$B$26,O564,O564-J565*(1-I565))</f>
        <v>256142.48074799898</v>
      </c>
      <c r="P565" s="11">
        <f>IF($A565&gt;'1-Input'!$B$26,0,IF(U564&lt;=0,0,MAX(0,(U564-V564)/U564)))</f>
        <v>0.2374436298199957</v>
      </c>
      <c r="Q565" s="18">
        <f>IF($A565&gt;'1-Input'!$B$26,0,(MAX(0,P561-IF($A565&gt;='1-Input'!$C$12,'1-Input'!$B$12,0))-MIN(MAX(T564,0),MAX(0,P561-IF($A565&gt;='1-Input'!$C$12,'1-Input'!$B$12,0))))*(1/(1-'P-Parametri'!$B$6*P565))+MIN(MAX(0,U564-(MAX(0,P561-IF($A565&gt;='1-Input'!$C$12,'1-Input'!$B$12,0))-MIN(MAX(T564,0),MAX(0,P561-IF($A565&gt;='1-Input'!$C$12,'1-Input'!$B$12,0))))*(1/(1-'P-Parametri'!$B$6*P565))),MAX(0,3*P561-(T564-MIN(MAX(T564,0),MAX(0,P561-IF($A565&gt;='1-Input'!$C$12,'1-Input'!$B$12,0)))))*(1/(1-'P-Parametri'!$B$6*P565))))</f>
        <v>18990.819459978487</v>
      </c>
      <c r="R565" s="18">
        <f>IF($A565&gt;'1-Input'!$B$26,T564,(T564-MAX(0,P561-IF($A565&gt;='1-Input'!$C$12,'1-Input'!$B$12,0))+Q565*(1-'P-Parametri'!$B$6*P565))*(1+'1-Input'!$B$27))</f>
        <v>52693.713097256361</v>
      </c>
      <c r="S565" s="18">
        <f>IF($A565&gt;'1-Input'!$B$26,U564,(U564-Q565)*(1+$C$4))</f>
        <v>369339.02070847119</v>
      </c>
      <c r="T565" s="18">
        <f>IF($A565&gt;'1-Input'!$B$26,R565,R565-'P-Parametri'!$B$8*(S565+R565)+MIN(MAX(S565,0),'P-Parametri'!$B$8*(S565+R565)))</f>
        <v>52693.713097256361</v>
      </c>
      <c r="U565" s="18">
        <f>IF($A565&gt;'1-Input'!$B$26,S565,S565-MIN(MAX(S565,0),'P-Parametri'!$B$8*(S565+R565)))</f>
        <v>368494.95524085971</v>
      </c>
      <c r="V565" s="18">
        <f>IF($A565&gt;'1-Input'!$B$26,V564,V564-Q565*(1-P565))</f>
        <v>273438.6631041643</v>
      </c>
      <c r="W565" s="11">
        <f>IF($A565&gt;'1-Input'!$B$26,0,IF(AB564&lt;=0,0,MAX(0,(AB564-AC564)/AB564)))</f>
        <v>0.23744458207133842</v>
      </c>
      <c r="X565" s="18">
        <f>IF($A565&gt;'1-Input'!$B$26,0,(MAX(0,W561-IF($A565&gt;='1-Input'!$C$12,'1-Input'!$B$12,0))-MIN(MAX(AA564,0),MAX(0,W561-IF($A565&gt;='1-Input'!$C$12,'1-Input'!$B$12,0))))*(1/(1-'P-Parametri'!$B$6*W565))+MIN(MAX(0,AB564-(MAX(0,W561-IF($A565&gt;='1-Input'!$C$12,'1-Input'!$B$12,0))-MIN(MAX(AA564,0),MAX(0,W561-IF($A565&gt;='1-Input'!$C$12,'1-Input'!$B$12,0))))*(1/(1-'P-Parametri'!$B$6*W565))),MAX(0,3*W561-(AA564-MIN(MAX(AA564,0),MAX(0,W561-IF($A565&gt;='1-Input'!$C$12,'1-Input'!$B$12,0)))))*(1/(1-'P-Parametri'!$B$6*W565))))</f>
        <v>18919.659537261363</v>
      </c>
      <c r="Y565" s="18">
        <f>IF($A565&gt;'1-Input'!$B$26,AA564,(AA564-MAX(0,W561-IF($A565&gt;='1-Input'!$C$12,'1-Input'!$B$12,0))+X565*(1-'P-Parametri'!$B$6*W565))*(1+'1-Input'!$B$27))</f>
        <v>52496.252233084</v>
      </c>
      <c r="Z565" s="18">
        <f>IF($A565&gt;'1-Input'!$B$26,AB564,(AB564-X565)*(1+$C$4))</f>
        <v>369696.65456453216</v>
      </c>
      <c r="AA565" s="18">
        <f>IF($A565&gt;'1-Input'!$B$26,Y565,Y565-'P-Parametri'!$B$8*(Z565+Y565)+MIN(MAX(Z565,0),'P-Parametri'!$B$8*(Z565+Y565)))</f>
        <v>52496.252233084</v>
      </c>
      <c r="AB565" s="18">
        <f>IF($A565&gt;'1-Input'!$B$26,Z565,Z565-MIN(MAX(Z565,0),'P-Parametri'!$B$8*(Z565+Y565)))</f>
        <v>368852.26875093696</v>
      </c>
      <c r="AC565" s="18">
        <f>IF($A565&gt;'1-Input'!$B$26,AC564,AC564-X565*(1-W565))</f>
        <v>273703.09410513093</v>
      </c>
      <c r="AD565" s="11">
        <f>IF($A565&gt;'1-Input'!$B$26,0,IF(AI564&lt;=0,0,MAX(0,(AI564-AJ564)/AI564)))</f>
        <v>0.23744469363963494</v>
      </c>
      <c r="AE565" s="18">
        <f>IF($A565&gt;'1-Input'!$B$26,0,(MAX(0,AD561-IF($A565&gt;='1-Input'!$C$12,'1-Input'!$B$12,0))-MIN(MAX(AH564,0),MAX(0,AD561-IF($A565&gt;='1-Input'!$C$12,'1-Input'!$B$12,0))))*(1/(1-'P-Parametri'!$B$6*AD565))+MIN(MAX(0,AI564-(MAX(0,AD561-IF($A565&gt;='1-Input'!$C$12,'1-Input'!$B$12,0))-MIN(MAX(AH564,0),MAX(0,AD561-IF($A565&gt;='1-Input'!$C$12,'1-Input'!$B$12,0))))*(1/(1-'P-Parametri'!$B$6*AD565))),MAX(0,3*AD561-(AH564-MIN(MAX(AH564,0),MAX(0,AD561-IF($A565&gt;='1-Input'!$C$12,'1-Input'!$B$12,0)))))*(1/(1-'P-Parametri'!$B$6*AD565))))</f>
        <v>18911.315438286936</v>
      </c>
      <c r="AF565" s="18">
        <f>IF($A565&gt;'1-Input'!$B$26,AH564,(AH564-MAX(0,AD561-IF($A565&gt;='1-Input'!$C$12,'1-Input'!$B$12,0))+AE565*(1-'P-Parametri'!$B$6*AD565))*(1+'1-Input'!$B$27))</f>
        <v>52473.098295428375</v>
      </c>
      <c r="AG565" s="18">
        <f>IF($A565&gt;'1-Input'!$B$26,AI564,(AI564-AE565)*(1+$C$4))</f>
        <v>369738.59012801171</v>
      </c>
      <c r="AH565" s="18">
        <f>IF($A565&gt;'1-Input'!$B$26,AF565,AF565-'P-Parametri'!$B$8*(AG565+AF565)+MIN(MAX(AG565,0),'P-Parametri'!$B$8*(AG565+AF565)))</f>
        <v>52473.098295428375</v>
      </c>
      <c r="AI565" s="18">
        <f>IF($A565&gt;'1-Input'!$B$26,AG565,AG565-MIN(MAX(AG565,0),'P-Parametri'!$B$8*(AG565+AF565)))</f>
        <v>368894.16675116483</v>
      </c>
      <c r="AJ565" s="18">
        <f>IF($A565&gt;'1-Input'!$B$26,AJ564,AJ564-AE565*(1-AD565))</f>
        <v>273734.10084302461</v>
      </c>
      <c r="AK565" s="11">
        <f>IF($A565&gt;'1-Input'!$B$26,0,IF(AP564&lt;=0,0,MAX(0,(AP564-AQ564)/AP564)))</f>
        <v>0.23744468702199098</v>
      </c>
      <c r="AL565" s="18">
        <f>IF($A565&gt;'1-Input'!$B$26,0,(MAX(0,AK561-IF($A565&gt;='1-Input'!$C$12,'1-Input'!$B$12,0))-MIN(MAX(AO564,0),MAX(0,AK561-IF($A565&gt;='1-Input'!$C$12,'1-Input'!$B$12,0))))*(1/(1-'P-Parametri'!$B$6*AK565))+MIN(MAX(0,AP564-(MAX(0,AK561-IF($A565&gt;='1-Input'!$C$12,'1-Input'!$B$12,0))-MIN(MAX(AO564,0),MAX(0,AK561-IF($A565&gt;='1-Input'!$C$12,'1-Input'!$B$12,0))))*(1/(1-'P-Parametri'!$B$6*AK565))),MAX(0,3*AK561-(AO564-MIN(MAX(AO564,0),MAX(0,AK561-IF($A565&gt;='1-Input'!$C$12,'1-Input'!$B$12,0)))))*(1/(1-'P-Parametri'!$B$6*AK565))))</f>
        <v>18911.810406209348</v>
      </c>
      <c r="AM565" s="18">
        <f>IF($A565&gt;'1-Input'!$B$26,AO564,(AO564-MAX(0,AK561-IF($A565&gt;='1-Input'!$C$12,'1-Input'!$B$12,0))+AL565*(1-'P-Parametri'!$B$6*AK565))*(1+'1-Input'!$B$27))</f>
        <v>52474.471775783059</v>
      </c>
      <c r="AN565" s="18">
        <f>IF($A565&gt;'1-Input'!$B$26,AP564,(AP564-AL565)*(1+$C$4))</f>
        <v>369736.10253070231</v>
      </c>
      <c r="AO565" s="18">
        <f>IF($A565&gt;'1-Input'!$B$26,AM565,AM565-'P-Parametri'!$B$8*(AN565+AM565)+MIN(MAX(AN565,0),'P-Parametri'!$B$8*(AN565+AM565)))</f>
        <v>52474.471775783059</v>
      </c>
      <c r="AP565" s="18">
        <f>IF($A565&gt;'1-Input'!$B$26,AN565,AN565-MIN(MAX(AN565,0),'P-Parametri'!$B$8*(AN565+AM565)))</f>
        <v>368891.68138208933</v>
      </c>
      <c r="AQ565" s="18">
        <f>IF($A565&gt;'1-Input'!$B$26,AQ564,AQ564-AL565*(1-AK565))</f>
        <v>273732.26153841644</v>
      </c>
    </row>
    <row r="566" spans="1:43">
      <c r="A566" s="10">
        <f>3</f>
        <v>3</v>
      </c>
      <c r="B566" s="11">
        <f>IF($A566&gt;'1-Input'!$B$26,0,IF(G565&lt;=0,0,MAX(0,(G565-H565)/G565)))</f>
        <v>0.25798549618731514</v>
      </c>
      <c r="C566" s="18">
        <f>IF($A566&gt;'1-Input'!$B$26,0,(MAX(0,B561-IF($A566&gt;='1-Input'!$C$12,'1-Input'!$B$12,0))-MIN(MAX(F565,0),MAX(0,B561-IF($A566&gt;='1-Input'!$C$12,'1-Input'!$B$12,0))))*(1/(1-'P-Parametri'!$B$6*B566))+MIN(MAX(0,G565-(MAX(0,B561-IF($A566&gt;='1-Input'!$C$12,'1-Input'!$B$12,0))-MIN(MAX(F565,0),MAX(0,B561-IF($A566&gt;='1-Input'!$C$12,'1-Input'!$B$12,0))))*(1/(1-'P-Parametri'!$B$6*B566))),MAX(0,3*B561-(F565-MIN(MAX(F565,0),MAX(0,B561-IF($A566&gt;='1-Input'!$C$12,'1-Input'!$B$12,0)))))*(1/(1-'P-Parametri'!$B$6*B566))))</f>
        <v>18073.513867170012</v>
      </c>
      <c r="D566" s="18">
        <f>IF($A566&gt;'1-Input'!$B$26,F565,(F565-MAX(0,B561-IF($A566&gt;='1-Input'!$C$12,'1-Input'!$B$12,0))+C566*(1-'P-Parametri'!$B$6*B566))*(1+'1-Input'!$B$27))</f>
        <v>49863.010546479447</v>
      </c>
      <c r="E566" s="18">
        <f>IF($A566&gt;'1-Input'!$B$26,G565,(G565-C566)*(1+$C$4))</f>
        <v>366210.02931577462</v>
      </c>
      <c r="F566" s="18">
        <f>IF($A566&gt;'1-Input'!$B$26,D566,D566-'P-Parametri'!$B$8*(E566+D566)+MIN(MAX(E566,0),'P-Parametri'!$B$8*(E566+D566)))</f>
        <v>49863.010546479447</v>
      </c>
      <c r="G566" s="18">
        <f>IF($A566&gt;'1-Input'!$B$26,E566,E566-MIN(MAX(E566,0),'P-Parametri'!$B$8*(E566+D566)))</f>
        <v>365377.88323605014</v>
      </c>
      <c r="H566" s="18">
        <f>IF($A566&gt;'1-Input'!$B$26,H565,H565-C566*(1-B566))</f>
        <v>263818.59533395461</v>
      </c>
      <c r="I566" s="11">
        <f>IF($A566&gt;'1-Input'!$B$26,0,IF(N565&lt;=0,0,MAX(0,(N565-O565)/N565)))</f>
        <v>0.25782459579604966</v>
      </c>
      <c r="J566" s="18">
        <f>IF($A566&gt;'1-Input'!$B$26,0,(MAX(0,I561-IF($A566&gt;='1-Input'!$C$12,'1-Input'!$B$12,0))-MIN(MAX(M565,0),MAX(0,I561-IF($A566&gt;='1-Input'!$C$12,'1-Input'!$B$12,0))))*(1/(1-'P-Parametri'!$B$6*I566))+MIN(MAX(0,N565-(MAX(0,I561-IF($A566&gt;='1-Input'!$C$12,'1-Input'!$B$12,0))-MIN(MAX(M565,0),MAX(0,I561-IF($A566&gt;='1-Input'!$C$12,'1-Input'!$B$12,0))))*(1/(1-'P-Parametri'!$B$6*I566))),MAX(0,3*I561-(M565-MIN(MAX(M565,0),MAX(0,I561-IF($A566&gt;='1-Input'!$C$12,'1-Input'!$B$12,0)))))*(1/(1-'P-Parametri'!$B$6*I566))))</f>
        <v>23779.87296352705</v>
      </c>
      <c r="K566" s="18">
        <f>IF($A566&gt;'1-Input'!$B$26,M565,(M565-MAX(0,I561-IF($A566&gt;='1-Input'!$C$12,'1-Input'!$B$12,0))+J566*(1-'P-Parametri'!$B$6*I566))*(1+'1-Input'!$B$27))</f>
        <v>65609.224403262444</v>
      </c>
      <c r="L566" s="18">
        <f>IF($A566&gt;'1-Input'!$B$26,N565,(N565-J566)*(1+$C$4))</f>
        <v>330984.362787441</v>
      </c>
      <c r="M566" s="18">
        <f>IF($A566&gt;'1-Input'!$B$26,K566,K566-'P-Parametri'!$B$8*(L566+K566)+MIN(MAX(L566,0),'P-Parametri'!$B$8*(L566+K566)))</f>
        <v>65609.224403262444</v>
      </c>
      <c r="N566" s="18">
        <f>IF($A566&gt;'1-Input'!$B$26,L566,L566-MIN(MAX(L566,0),'P-Parametri'!$B$8*(L566+K566)))</f>
        <v>330191.1756130596</v>
      </c>
      <c r="O566" s="18">
        <f>IF($A566&gt;'1-Input'!$B$26,O565,O565-J566*(1-I566))</f>
        <v>238493.64391937471</v>
      </c>
      <c r="P566" s="11">
        <f>IF($A566&gt;'1-Input'!$B$26,0,IF(U565&lt;=0,0,MAX(0,(U565-V565)/U565)))</f>
        <v>0.25795819124460923</v>
      </c>
      <c r="Q566" s="18">
        <f>IF($A566&gt;'1-Input'!$B$26,0,(MAX(0,P561-IF($A566&gt;='1-Input'!$C$12,'1-Input'!$B$12,0))-MIN(MAX(T565,0),MAX(0,P561-IF($A566&gt;='1-Input'!$C$12,'1-Input'!$B$12,0))))*(1/(1-'P-Parametri'!$B$6*P566))+MIN(MAX(0,U565-(MAX(0,P561-IF($A566&gt;='1-Input'!$C$12,'1-Input'!$B$12,0))-MIN(MAX(T565,0),MAX(0,P561-IF($A566&gt;='1-Input'!$C$12,'1-Input'!$B$12,0))))*(1/(1-'P-Parametri'!$B$6*P566))),MAX(0,3*P561-(T565-MIN(MAX(T565,0),MAX(0,P561-IF($A566&gt;='1-Input'!$C$12,'1-Input'!$B$12,0)))))*(1/(1-'P-Parametri'!$B$6*P566))))</f>
        <v>19099.394456936196</v>
      </c>
      <c r="R566" s="18">
        <f>IF($A566&gt;'1-Input'!$B$26,T565,(T565-MAX(0,P561-IF($A566&gt;='1-Input'!$C$12,'1-Input'!$B$12,0))+Q566*(1-'P-Parametri'!$B$6*P566))*(1+'1-Input'!$B$27))</f>
        <v>52693.713097256354</v>
      </c>
      <c r="S566" s="18">
        <f>IF($A566&gt;'1-Input'!$B$26,U565,(U565-Q566)*(1+$C$4))</f>
        <v>359877.4276074412</v>
      </c>
      <c r="T566" s="18">
        <f>IF($A566&gt;'1-Input'!$B$26,R566,R566-'P-Parametri'!$B$8*(S566+R566)+MIN(MAX(S566,0),'P-Parametri'!$B$8*(S566+R566)))</f>
        <v>52693.713097256354</v>
      </c>
      <c r="U566" s="18">
        <f>IF($A566&gt;'1-Input'!$B$26,S566,S566-MIN(MAX(S566,0),'P-Parametri'!$B$8*(S566+R566)))</f>
        <v>359052.28532603179</v>
      </c>
      <c r="V566" s="18">
        <f>IF($A566&gt;'1-Input'!$B$26,V565,V565-Q566*(1-P566))</f>
        <v>259266.11389520668</v>
      </c>
      <c r="W566" s="11">
        <f>IF($A566&gt;'1-Input'!$B$26,0,IF(AB565&lt;=0,0,MAX(0,(AB565-AC565)/AB565)))</f>
        <v>0.2579601176590684</v>
      </c>
      <c r="X566" s="18">
        <f>IF($A566&gt;'1-Input'!$B$26,0,(MAX(0,W561-IF($A566&gt;='1-Input'!$C$12,'1-Input'!$B$12,0))-MIN(MAX(AA565,0),MAX(0,W561-IF($A566&gt;='1-Input'!$C$12,'1-Input'!$B$12,0))))*(1/(1-'P-Parametri'!$B$6*W566))+MIN(MAX(0,AB565-(MAX(0,W561-IF($A566&gt;='1-Input'!$C$12,'1-Input'!$B$12,0))-MIN(MAX(AA565,0),MAX(0,W561-IF($A566&gt;='1-Input'!$C$12,'1-Input'!$B$12,0))))*(1/(1-'P-Parametri'!$B$6*W566))),MAX(0,3*W561-(AA565-MIN(MAX(AA565,0),MAX(0,W561-IF($A566&gt;='1-Input'!$C$12,'1-Input'!$B$12,0)))))*(1/(1-'P-Parametri'!$B$6*W566))))</f>
        <v>19027.832890740596</v>
      </c>
      <c r="Y566" s="18">
        <f>IF($A566&gt;'1-Input'!$B$26,AA565,(AA565-MAX(0,W561-IF($A566&gt;='1-Input'!$C$12,'1-Input'!$B$12,0))+X566*(1-'P-Parametri'!$B$6*W566))*(1+'1-Input'!$B$27))</f>
        <v>52496.252233084</v>
      </c>
      <c r="Z566" s="18">
        <f>IF($A566&gt;'1-Input'!$B$26,AB565,(AB565-X566)*(1+$C$4))</f>
        <v>360319.16893600224</v>
      </c>
      <c r="AA566" s="18">
        <f>IF($A566&gt;'1-Input'!$B$26,Y566,Y566-'P-Parametri'!$B$8*(Z566+Y566)+MIN(MAX(Z566,0),'P-Parametri'!$B$8*(Z566+Y566)))</f>
        <v>52496.252233084</v>
      </c>
      <c r="AB566" s="18">
        <f>IF($A566&gt;'1-Input'!$B$26,Z566,Z566-MIN(MAX(Z566,0),'P-Parametri'!$B$8*(Z566+Y566)))</f>
        <v>359493.53809366404</v>
      </c>
      <c r="AC566" s="18">
        <f>IF($A566&gt;'1-Input'!$B$26,AC565,AC565-X566*(1-W566))</f>
        <v>259583.68322568288</v>
      </c>
      <c r="AD566" s="11">
        <f>IF($A566&gt;'1-Input'!$B$26,0,IF(AI565&lt;=0,0,MAX(0,(AI565-AJ565)/AI565)))</f>
        <v>0.25796034333155998</v>
      </c>
      <c r="AE566" s="18">
        <f>IF($A566&gt;'1-Input'!$B$26,0,(MAX(0,AD561-IF($A566&gt;='1-Input'!$C$12,'1-Input'!$B$12,0))-MIN(MAX(AH565,0),MAX(0,AD561-IF($A566&gt;='1-Input'!$C$12,'1-Input'!$B$12,0))))*(1/(1-'P-Parametri'!$B$6*AD566))+MIN(MAX(0,AI565-(MAX(0,AD561-IF($A566&gt;='1-Input'!$C$12,'1-Input'!$B$12,0))-MIN(MAX(AH565,0),MAX(0,AD561-IF($A566&gt;='1-Input'!$C$12,'1-Input'!$B$12,0))))*(1/(1-'P-Parametri'!$B$6*AD566))),MAX(0,3*AD561-(AH565-MIN(MAX(AH565,0),MAX(0,AD561-IF($A566&gt;='1-Input'!$C$12,'1-Input'!$B$12,0)))))*(1/(1-'P-Parametri'!$B$6*AD566))))</f>
        <v>19019.441692470336</v>
      </c>
      <c r="AF566" s="18">
        <f>IF($A566&gt;'1-Input'!$B$26,AH565,(AH565-MAX(0,AD561-IF($A566&gt;='1-Input'!$C$12,'1-Input'!$B$12,0))+AE566*(1-'P-Parametri'!$B$6*AD566))*(1+'1-Input'!$B$27))</f>
        <v>52473.098295428375</v>
      </c>
      <c r="AG566" s="18">
        <f>IF($A566&gt;'1-Input'!$B$26,AI565,(AI565-AE566)*(1+$C$4))</f>
        <v>360370.96681045531</v>
      </c>
      <c r="AH566" s="18">
        <f>IF($A566&gt;'1-Input'!$B$26,AF566,AF566-'P-Parametri'!$B$8*(AG566+AF566)+MIN(MAX(AG566,0),'P-Parametri'!$B$8*(AG566+AF566)))</f>
        <v>52473.098295428375</v>
      </c>
      <c r="AI566" s="18">
        <f>IF($A566&gt;'1-Input'!$B$26,AG566,AG566-MIN(MAX(AG566,0),'P-Parametri'!$B$8*(AG566+AF566)))</f>
        <v>359545.27868024353</v>
      </c>
      <c r="AJ566" s="18">
        <f>IF($A566&gt;'1-Input'!$B$26,AJ565,AJ565-AE566*(1-AD566))</f>
        <v>259620.92085951852</v>
      </c>
      <c r="AK566" s="11">
        <f>IF($A566&gt;'1-Input'!$B$26,0,IF(AP565&lt;=0,0,MAX(0,(AP565-AQ565)/AP565)))</f>
        <v>0.25796032994603912</v>
      </c>
      <c r="AL566" s="18">
        <f>IF($A566&gt;'1-Input'!$B$26,0,(MAX(0,AK561-IF($A566&gt;='1-Input'!$C$12,'1-Input'!$B$12,0))-MIN(MAX(AO565,0),MAX(0,AK561-IF($A566&gt;='1-Input'!$C$12,'1-Input'!$B$12,0))))*(1/(1-'P-Parametri'!$B$6*AK566))+MIN(MAX(0,AP565-(MAX(0,AK561-IF($A566&gt;='1-Input'!$C$12,'1-Input'!$B$12,0))-MIN(MAX(AO565,0),MAX(0,AK561-IF($A566&gt;='1-Input'!$C$12,'1-Input'!$B$12,0))))*(1/(1-'P-Parametri'!$B$6*AK566))),MAX(0,3*AK561-(AO565-MIN(MAX(AO565,0),MAX(0,AK561-IF($A566&gt;='1-Input'!$C$12,'1-Input'!$B$12,0)))))*(1/(1-'P-Parametri'!$B$6*AK566))))</f>
        <v>19019.939454319087</v>
      </c>
      <c r="AM566" s="18">
        <f>IF($A566&gt;'1-Input'!$B$26,AO565,(AO565-MAX(0,AK561-IF($A566&gt;='1-Input'!$C$12,'1-Input'!$B$12,0))+AL566*(1-'P-Parametri'!$B$6*AK566))*(1+'1-Input'!$B$27))</f>
        <v>52474.471775783059</v>
      </c>
      <c r="AN566" s="18">
        <f>IF($A566&gt;'1-Input'!$B$26,AP565,(AP565-AL566)*(1+$C$4))</f>
        <v>360367.89418560336</v>
      </c>
      <c r="AO566" s="18">
        <f>IF($A566&gt;'1-Input'!$B$26,AM566,AM566-'P-Parametri'!$B$8*(AN566+AM566)+MIN(MAX(AN566,0),'P-Parametri'!$B$8*(AN566+AM566)))</f>
        <v>52474.471775783059</v>
      </c>
      <c r="AP566" s="18">
        <f>IF($A566&gt;'1-Input'!$B$26,AN566,AN566-MIN(MAX(AN566,0),'P-Parametri'!$B$8*(AN566+AM566)))</f>
        <v>359542.20945368061</v>
      </c>
      <c r="AQ566" s="18">
        <f>IF($A566&gt;'1-Input'!$B$26,AQ565,AQ565-AL566*(1-AK566))</f>
        <v>259618.71194128718</v>
      </c>
    </row>
    <row r="567" spans="1:43">
      <c r="A567" s="10">
        <f>4</f>
        <v>4</v>
      </c>
      <c r="B567" s="11">
        <f>IF($A567&gt;'1-Input'!$B$26,0,IF(G566&lt;=0,0,MAX(0,(G566-H566)/G566)))</f>
        <v>0.27795685661817626</v>
      </c>
      <c r="C567" s="18">
        <f>IF($A567&gt;'1-Input'!$B$26,0,(MAX(0,B561-IF($A567&gt;='1-Input'!$C$12,'1-Input'!$B$12,0))-MIN(MAX(F566,0),MAX(0,B561-IF($A567&gt;='1-Input'!$C$12,'1-Input'!$B$12,0))))*(1/(1-'P-Parametri'!$B$6*B567))+MIN(MAX(0,G566-(MAX(0,B561-IF($A567&gt;='1-Input'!$C$12,'1-Input'!$B$12,0))-MIN(MAX(F566,0),MAX(0,B561-IF($A567&gt;='1-Input'!$C$12,'1-Input'!$B$12,0))))*(1/(1-'P-Parametri'!$B$6*B567))),MAX(0,3*B561-(F566-MIN(MAX(F566,0),MAX(0,B561-IF($A567&gt;='1-Input'!$C$12,'1-Input'!$B$12,0)))))*(1/(1-'P-Parametri'!$B$6*B567))))</f>
        <v>18174.672144235981</v>
      </c>
      <c r="D567" s="18">
        <f>IF($A567&gt;'1-Input'!$B$26,F566,(F566-MAX(0,B561-IF($A567&gt;='1-Input'!$C$12,'1-Input'!$B$12,0))+C567*(1-'P-Parametri'!$B$6*B567))*(1+'1-Input'!$B$27))</f>
        <v>49863.010546479447</v>
      </c>
      <c r="E567" s="18">
        <f>IF($A567&gt;'1-Input'!$B$26,G566,(G566-C567)*(1+$C$4))</f>
        <v>357619.30742456857</v>
      </c>
      <c r="F567" s="18">
        <f>IF($A567&gt;'1-Input'!$B$26,D567,D567-'P-Parametri'!$B$8*(E567+D567)+MIN(MAX(E567,0),'P-Parametri'!$B$8*(E567+D567)))</f>
        <v>49863.010546479447</v>
      </c>
      <c r="G567" s="18">
        <f>IF($A567&gt;'1-Input'!$B$26,E567,E567-MIN(MAX(E567,0),'P-Parametri'!$B$8*(E567+D567)))</f>
        <v>356804.3427886265</v>
      </c>
      <c r="H567" s="18">
        <f>IF($A567&gt;'1-Input'!$B$26,H566,H566-C567*(1-B567))</f>
        <v>250695.69792899638</v>
      </c>
      <c r="I567" s="11">
        <f>IF($A567&gt;'1-Input'!$B$26,0,IF(N566&lt;=0,0,MAX(0,(N566-O566)/N566)))</f>
        <v>0.27771042494831016</v>
      </c>
      <c r="J567" s="18">
        <f>IF($A567&gt;'1-Input'!$B$26,0,(MAX(0,I561-IF($A567&gt;='1-Input'!$C$12,'1-Input'!$B$12,0))-MIN(MAX(M566,0),MAX(0,I561-IF($A567&gt;='1-Input'!$C$12,'1-Input'!$B$12,0))))*(1/(1-'P-Parametri'!$B$6*I567))+MIN(MAX(0,N566-(MAX(0,I561-IF($A567&gt;='1-Input'!$C$12,'1-Input'!$B$12,0))-MIN(MAX(M566,0),MAX(0,I561-IF($A567&gt;='1-Input'!$C$12,'1-Input'!$B$12,0))))*(1/(1-'P-Parametri'!$B$6*I567))),MAX(0,3*I561-(M566-MIN(MAX(M566,0),MAX(0,I561-IF($A567&gt;='1-Input'!$C$12,'1-Input'!$B$12,0)))))*(1/(1-'P-Parametri'!$B$6*I567))))</f>
        <v>23912.390825013947</v>
      </c>
      <c r="K567" s="18">
        <f>IF($A567&gt;'1-Input'!$B$26,M566,(M566-MAX(0,I561-IF($A567&gt;='1-Input'!$C$12,'1-Input'!$B$12,0))+J567*(1-'P-Parametri'!$B$6*I567))*(1+'1-Input'!$B$27))</f>
        <v>65609.224403262444</v>
      </c>
      <c r="L567" s="18">
        <f>IF($A567&gt;'1-Input'!$B$26,N566,(N566-J567)*(1+$C$4))</f>
        <v>315467.14833168709</v>
      </c>
      <c r="M567" s="18">
        <f>IF($A567&gt;'1-Input'!$B$26,K567,K567-'P-Parametri'!$B$8*(L567+K567)+MIN(MAX(L567,0),'P-Parametri'!$B$8*(L567+K567)))</f>
        <v>65609.224403262444</v>
      </c>
      <c r="N567" s="18">
        <f>IF($A567&gt;'1-Input'!$B$26,L567,L567-MIN(MAX(L567,0),'P-Parametri'!$B$8*(L567+K567)))</f>
        <v>314704.99558621721</v>
      </c>
      <c r="O567" s="18">
        <f>IF($A567&gt;'1-Input'!$B$26,O566,O566-J567*(1-I567))</f>
        <v>221221.97331190546</v>
      </c>
      <c r="P567" s="11">
        <f>IF($A567&gt;'1-Input'!$B$26,0,IF(U566&lt;=0,0,MAX(0,(U566-V566)/U566)))</f>
        <v>0.27791543323618129</v>
      </c>
      <c r="Q567" s="18">
        <f>IF($A567&gt;'1-Input'!$B$26,0,(MAX(0,P561-IF($A567&gt;='1-Input'!$C$12,'1-Input'!$B$12,0))-MIN(MAX(T566,0),MAX(0,P561-IF($A567&gt;='1-Input'!$C$12,'1-Input'!$B$12,0))))*(1/(1-'P-Parametri'!$B$6*P567))+MIN(MAX(0,U566-(MAX(0,P561-IF($A567&gt;='1-Input'!$C$12,'1-Input'!$B$12,0))-MIN(MAX(T566,0),MAX(0,P561-IF($A567&gt;='1-Input'!$C$12,'1-Input'!$B$12,0))))*(1/(1-'P-Parametri'!$B$6*P567))),MAX(0,3*P561-(T566-MIN(MAX(T566,0),MAX(0,P561-IF($A567&gt;='1-Input'!$C$12,'1-Input'!$B$12,0)))))*(1/(1-'P-Parametri'!$B$6*P567))))</f>
        <v>19206.217822687118</v>
      </c>
      <c r="R567" s="18">
        <f>IF($A567&gt;'1-Input'!$B$26,T566,(T566-MAX(0,P561-IF($A567&gt;='1-Input'!$C$12,'1-Input'!$B$12,0))+Q567*(1-'P-Parametri'!$B$6*P567))*(1+'1-Input'!$B$27))</f>
        <v>52693.713097256346</v>
      </c>
      <c r="S567" s="18">
        <f>IF($A567&gt;'1-Input'!$B$26,U566,(U566-Q567)*(1+$C$4))</f>
        <v>350041.44952844502</v>
      </c>
      <c r="T567" s="18">
        <f>IF($A567&gt;'1-Input'!$B$26,R567,R567-'P-Parametri'!$B$8*(S567+R567)+MIN(MAX(S567,0),'P-Parametri'!$B$8*(S567+R567)))</f>
        <v>52693.713097256346</v>
      </c>
      <c r="U567" s="18">
        <f>IF($A567&gt;'1-Input'!$B$26,S567,S567-MIN(MAX(S567,0),'P-Parametri'!$B$8*(S567+R567)))</f>
        <v>349235.97920319362</v>
      </c>
      <c r="V567" s="18">
        <f>IF($A567&gt;'1-Input'!$B$26,V566,V566-Q567*(1-P567))</f>
        <v>245397.60041954013</v>
      </c>
      <c r="W567" s="11">
        <f>IF($A567&gt;'1-Input'!$B$26,0,IF(AB566&lt;=0,0,MAX(0,(AB566-AC566)/AB566)))</f>
        <v>0.27791836091904998</v>
      </c>
      <c r="X567" s="18">
        <f>IF($A567&gt;'1-Input'!$B$26,0,(MAX(0,W561-IF($A567&gt;='1-Input'!$C$12,'1-Input'!$B$12,0))-MIN(MAX(AA566,0),MAX(0,W561-IF($A567&gt;='1-Input'!$C$12,'1-Input'!$B$12,0))))*(1/(1-'P-Parametri'!$B$6*W567))+MIN(MAX(0,AB566-(MAX(0,W561-IF($A567&gt;='1-Input'!$C$12,'1-Input'!$B$12,0))-MIN(MAX(AA566,0),MAX(0,W561-IF($A567&gt;='1-Input'!$C$12,'1-Input'!$B$12,0))))*(1/(1-'P-Parametri'!$B$6*W567))),MAX(0,3*W561-(AA566-MIN(MAX(AA566,0),MAX(0,W561-IF($A567&gt;='1-Input'!$C$12,'1-Input'!$B$12,0)))))*(1/(1-'P-Parametri'!$B$6*W567))))</f>
        <v>19134.261437599427</v>
      </c>
      <c r="Y567" s="18">
        <f>IF($A567&gt;'1-Input'!$B$26,AA566,(AA566-MAX(0,W561-IF($A567&gt;='1-Input'!$C$12,'1-Input'!$B$12,0))+X567*(1-'P-Parametri'!$B$6*W567))*(1+'1-Input'!$B$27))</f>
        <v>52496.252233084</v>
      </c>
      <c r="Z567" s="18">
        <f>IF($A567&gt;'1-Input'!$B$26,AB566,(AB566-X567)*(1+$C$4))</f>
        <v>350570.05495574657</v>
      </c>
      <c r="AA567" s="18">
        <f>IF($A567&gt;'1-Input'!$B$26,Y567,Y567-'P-Parametri'!$B$8*(Z567+Y567)+MIN(MAX(Z567,0),'P-Parametri'!$B$8*(Z567+Y567)))</f>
        <v>52496.252233084</v>
      </c>
      <c r="AB567" s="18">
        <f>IF($A567&gt;'1-Input'!$B$26,Z567,Z567-MIN(MAX(Z567,0),'P-Parametri'!$B$8*(Z567+Y567)))</f>
        <v>349763.92234136892</v>
      </c>
      <c r="AC567" s="18">
        <f>IF($A567&gt;'1-Input'!$B$26,AC566,AC566-X567*(1-W567))</f>
        <v>245767.18436421768</v>
      </c>
      <c r="AD567" s="11">
        <f>IF($A567&gt;'1-Input'!$B$26,0,IF(AI566&lt;=0,0,MAX(0,(AI566-AJ566)/AI566)))</f>
        <v>0.27791870383477157</v>
      </c>
      <c r="AE567" s="18">
        <f>IF($A567&gt;'1-Input'!$B$26,0,(MAX(0,AD561-IF($A567&gt;='1-Input'!$C$12,'1-Input'!$B$12,0))-MIN(MAX(AH566,0),MAX(0,AD561-IF($A567&gt;='1-Input'!$C$12,'1-Input'!$B$12,0))))*(1/(1-'P-Parametri'!$B$6*AD567))+MIN(MAX(0,AI566-(MAX(0,AD561-IF($A567&gt;='1-Input'!$C$12,'1-Input'!$B$12,0))-MIN(MAX(AH566,0),MAX(0,AD561-IF($A567&gt;='1-Input'!$C$12,'1-Input'!$B$12,0))))*(1/(1-'P-Parametri'!$B$6*AD567))),MAX(0,3*AD561-(AH566-MIN(MAX(AH566,0),MAX(0,AD561-IF($A567&gt;='1-Input'!$C$12,'1-Input'!$B$12,0)))))*(1/(1-'P-Parametri'!$B$6*AD567))))</f>
        <v>19125.823939919821</v>
      </c>
      <c r="AF567" s="18">
        <f>IF($A567&gt;'1-Input'!$B$26,AH566,(AH566-MAX(0,AD561-IF($A567&gt;='1-Input'!$C$12,'1-Input'!$B$12,0))+AE567*(1-'P-Parametri'!$B$6*AD567))*(1+'1-Input'!$B$27))</f>
        <v>52473.098295428375</v>
      </c>
      <c r="AG567" s="18">
        <f>IF($A567&gt;'1-Input'!$B$26,AI566,(AI566-AE567)*(1+$C$4))</f>
        <v>350632.03838253341</v>
      </c>
      <c r="AH567" s="18">
        <f>IF($A567&gt;'1-Input'!$B$26,AF567,AF567-'P-Parametri'!$B$8*(AG567+AF567)+MIN(MAX(AG567,0),'P-Parametri'!$B$8*(AG567+AF567)))</f>
        <v>52473.098295428375</v>
      </c>
      <c r="AI567" s="18">
        <f>IF($A567&gt;'1-Input'!$B$26,AG567,AG567-MIN(MAX(AG567,0),'P-Parametri'!$B$8*(AG567+AF567)))</f>
        <v>349825.82810917747</v>
      </c>
      <c r="AJ567" s="18">
        <f>IF($A567&gt;'1-Input'!$B$26,AJ566,AJ566-AE567*(1-AD567))</f>
        <v>245810.52111875327</v>
      </c>
      <c r="AK567" s="11">
        <f>IF($A567&gt;'1-Input'!$B$26,0,IF(AP566&lt;=0,0,MAX(0,(AP566-AQ566)/AP566)))</f>
        <v>0.27791868349539767</v>
      </c>
      <c r="AL567" s="18">
        <f>IF($A567&gt;'1-Input'!$B$26,0,(MAX(0,AK561-IF($A567&gt;='1-Input'!$C$12,'1-Input'!$B$12,0))-MIN(MAX(AO566,0),MAX(0,AK561-IF($A567&gt;='1-Input'!$C$12,'1-Input'!$B$12,0))))*(1/(1-'P-Parametri'!$B$6*AK567))+MIN(MAX(0,AP566-(MAX(0,AK561-IF($A567&gt;='1-Input'!$C$12,'1-Input'!$B$12,0))-MIN(MAX(AO566,0),MAX(0,AK561-IF($A567&gt;='1-Input'!$C$12,'1-Input'!$B$12,0))))*(1/(1-'P-Parametri'!$B$6*AK567))),MAX(0,3*AK561-(AO566-MIN(MAX(AO566,0),MAX(0,AK561-IF($A567&gt;='1-Input'!$C$12,'1-Input'!$B$12,0)))))*(1/(1-'P-Parametri'!$B$6*AK567))))</f>
        <v>19126.324448248095</v>
      </c>
      <c r="AM567" s="18">
        <f>IF($A567&gt;'1-Input'!$B$26,AO566,(AO566-MAX(0,AK561-IF($A567&gt;='1-Input'!$C$12,'1-Input'!$B$12,0))+AL567*(1-'P-Parametri'!$B$6*AK567))*(1+'1-Input'!$B$27))</f>
        <v>52474.471775783059</v>
      </c>
      <c r="AN567" s="18">
        <f>IF($A567&gt;'1-Input'!$B$26,AP566,(AP566-AL567)*(1+$C$4))</f>
        <v>350628.36155559553</v>
      </c>
      <c r="AO567" s="18">
        <f>IF($A567&gt;'1-Input'!$B$26,AM567,AM567-'P-Parametri'!$B$8*(AN567+AM567)+MIN(MAX(AN567,0),'P-Parametri'!$B$8*(AN567+AM567)))</f>
        <v>52474.471775783059</v>
      </c>
      <c r="AP567" s="18">
        <f>IF($A567&gt;'1-Input'!$B$26,AN567,AN567-MIN(MAX(AN567,0),'P-Parametri'!$B$8*(AN567+AM567)))</f>
        <v>349822.15588893276</v>
      </c>
      <c r="AQ567" s="18">
        <f>IF($A567&gt;'1-Input'!$B$26,AQ566,AQ566-AL567*(1-AK567))</f>
        <v>245807.95040380204</v>
      </c>
    </row>
    <row r="568" spans="1:43">
      <c r="A568" s="10">
        <f>5</f>
        <v>5</v>
      </c>
      <c r="B568" s="11">
        <f>IF($A568&gt;'1-Input'!$B$26,0,IF(G567&lt;=0,0,MAX(0,(G567-H567)/G567)))</f>
        <v>0.29738608008616546</v>
      </c>
      <c r="C568" s="18">
        <f>IF($A568&gt;'1-Input'!$B$26,0,(MAX(0,B561-IF($A568&gt;='1-Input'!$C$12,'1-Input'!$B$12,0))-MIN(MAX(F567,0),MAX(0,B561-IF($A568&gt;='1-Input'!$C$12,'1-Input'!$B$12,0))))*(1/(1-'P-Parametri'!$B$6*B568))+MIN(MAX(0,G567-(MAX(0,B561-IF($A568&gt;='1-Input'!$C$12,'1-Input'!$B$12,0))-MIN(MAX(F567,0),MAX(0,B561-IF($A568&gt;='1-Input'!$C$12,'1-Input'!$B$12,0))))*(1/(1-'P-Parametri'!$B$6*B568))),MAX(0,3*B561-(F567-MIN(MAX(F567,0),MAX(0,B561-IF($A568&gt;='1-Input'!$C$12,'1-Input'!$B$12,0)))))*(1/(1-'P-Parametri'!$B$6*B568))))</f>
        <v>18274.17703997028</v>
      </c>
      <c r="D568" s="18">
        <f>IF($A568&gt;'1-Input'!$B$26,F567,(F567-MAX(0,B561-IF($A568&gt;='1-Input'!$C$12,'1-Input'!$B$12,0))+C568*(1-'P-Parametri'!$B$6*B568))*(1+'1-Input'!$B$27))</f>
        <v>49863.010546479447</v>
      </c>
      <c r="E568" s="18">
        <f>IF($A568&gt;'1-Input'!$B$26,G567,(G567-C568)*(1+$C$4))</f>
        <v>348686.07072111592</v>
      </c>
      <c r="F568" s="18">
        <f>IF($A568&gt;'1-Input'!$B$26,D568,D568-'P-Parametri'!$B$8*(E568+D568)+MIN(MAX(E568,0),'P-Parametri'!$B$8*(E568+D568)))</f>
        <v>49863.010546479447</v>
      </c>
      <c r="G568" s="18">
        <f>IF($A568&gt;'1-Input'!$B$26,E568,E568-MIN(MAX(E568,0),'P-Parametri'!$B$8*(E568+D568)))</f>
        <v>347888.97255858075</v>
      </c>
      <c r="H568" s="18">
        <f>IF($A568&gt;'1-Input'!$B$26,H567,H567-C568*(1-B568))</f>
        <v>237856.00676574346</v>
      </c>
      <c r="I568" s="11">
        <f>IF($A568&gt;'1-Input'!$B$26,0,IF(N567&lt;=0,0,MAX(0,(N567-O567)/N567)))</f>
        <v>0.29704969284067484</v>
      </c>
      <c r="J568" s="18">
        <f>IF($A568&gt;'1-Input'!$B$26,0,(MAX(0,I561-IF($A568&gt;='1-Input'!$C$12,'1-Input'!$B$12,0))-MIN(MAX(M567,0),MAX(0,I561-IF($A568&gt;='1-Input'!$C$12,'1-Input'!$B$12,0))))*(1/(1-'P-Parametri'!$B$6*I568))+MIN(MAX(0,N567-(MAX(0,I561-IF($A568&gt;='1-Input'!$C$12,'1-Input'!$B$12,0))-MIN(MAX(M567,0),MAX(0,I561-IF($A568&gt;='1-Input'!$C$12,'1-Input'!$B$12,0))))*(1/(1-'P-Parametri'!$B$6*I568))),MAX(0,3*I561-(M567-MIN(MAX(M567,0),MAX(0,I561-IF($A568&gt;='1-Input'!$C$12,'1-Input'!$B$12,0)))))*(1/(1-'P-Parametri'!$B$6*I568))))</f>
        <v>24042.69078583087</v>
      </c>
      <c r="K568" s="18">
        <f>IF($A568&gt;'1-Input'!$B$26,M567,(M567-MAX(0,I561-IF($A568&gt;='1-Input'!$C$12,'1-Input'!$B$12,0))+J568*(1-'P-Parametri'!$B$6*I568))*(1+'1-Input'!$B$27))</f>
        <v>65609.224403262444</v>
      </c>
      <c r="L568" s="18">
        <f>IF($A568&gt;'1-Input'!$B$26,N567,(N567-J568)*(1+$C$4))</f>
        <v>299382.17394439789</v>
      </c>
      <c r="M568" s="18">
        <f>IF($A568&gt;'1-Input'!$B$26,K568,K568-'P-Parametri'!$B$8*(L568+K568)+MIN(MAX(L568,0),'P-Parametri'!$B$8*(L568+K568)))</f>
        <v>65609.224403262444</v>
      </c>
      <c r="N568" s="18">
        <f>IF($A568&gt;'1-Input'!$B$26,L568,L568-MIN(MAX(L568,0),'P-Parametri'!$B$8*(L568+K568)))</f>
        <v>298652.19114770257</v>
      </c>
      <c r="O568" s="18">
        <f>IF($A568&gt;'1-Input'!$B$26,O567,O567-J568*(1-I568))</f>
        <v>204321.15643906896</v>
      </c>
      <c r="P568" s="11">
        <f>IF($A568&gt;'1-Input'!$B$26,0,IF(U567&lt;=0,0,MAX(0,(U567-V567)/U567)))</f>
        <v>0.29733012910229933</v>
      </c>
      <c r="Q568" s="18">
        <f>IF($A568&gt;'1-Input'!$B$26,0,(MAX(0,P561-IF($A568&gt;='1-Input'!$C$12,'1-Input'!$B$12,0))-MIN(MAX(T567,0),MAX(0,P561-IF($A568&gt;='1-Input'!$C$12,'1-Input'!$B$12,0))))*(1/(1-'P-Parametri'!$B$6*P568))+MIN(MAX(0,U567-(MAX(0,P561-IF($A568&gt;='1-Input'!$C$12,'1-Input'!$B$12,0))-MIN(MAX(T567,0),MAX(0,P561-IF($A568&gt;='1-Input'!$C$12,'1-Input'!$B$12,0))))*(1/(1-'P-Parametri'!$B$6*P568))),MAX(0,3*P561-(T567-MIN(MAX(T567,0),MAX(0,P561-IF($A568&gt;='1-Input'!$C$12,'1-Input'!$B$12,0)))))*(1/(1-'P-Parametri'!$B$6*P568))))</f>
        <v>19311.290068449645</v>
      </c>
      <c r="R568" s="18">
        <f>IF($A568&gt;'1-Input'!$B$26,T567,(T567-MAX(0,P561-IF($A568&gt;='1-Input'!$C$12,'1-Input'!$B$12,0))+Q568*(1-'P-Parametri'!$B$6*P568))*(1+'1-Input'!$B$27))</f>
        <v>52693.713097256361</v>
      </c>
      <c r="S568" s="18">
        <f>IF($A568&gt;'1-Input'!$B$26,U567,(U567-Q568)*(1+$C$4))</f>
        <v>339822.42980878631</v>
      </c>
      <c r="T568" s="18">
        <f>IF($A568&gt;'1-Input'!$B$26,R568,R568-'P-Parametri'!$B$8*(S568+R568)+MIN(MAX(S568,0),'P-Parametri'!$B$8*(S568+R568)))</f>
        <v>52693.713097256361</v>
      </c>
      <c r="U568" s="18">
        <f>IF($A568&gt;'1-Input'!$B$26,S568,S568-MIN(MAX(S568,0),'P-Parametri'!$B$8*(S568+R568)))</f>
        <v>339037.39752297424</v>
      </c>
      <c r="V568" s="18">
        <f>IF($A568&gt;'1-Input'!$B$26,V567,V567-Q568*(1-P568))</f>
        <v>231828.13872027458</v>
      </c>
      <c r="W568" s="11">
        <f>IF($A568&gt;'1-Input'!$B$26,0,IF(AB567&lt;=0,0,MAX(0,(AB567-AC567)/AB567)))</f>
        <v>0.29733409118065246</v>
      </c>
      <c r="X568" s="18">
        <f>IF($A568&gt;'1-Input'!$B$26,0,(MAX(0,W561-IF($A568&gt;='1-Input'!$C$12,'1-Input'!$B$12,0))-MIN(MAX(AA567,0),MAX(0,W561-IF($A568&gt;='1-Input'!$C$12,'1-Input'!$B$12,0))))*(1/(1-'P-Parametri'!$B$6*W568))+MIN(MAX(0,AB567-(MAX(0,W561-IF($A568&gt;='1-Input'!$C$12,'1-Input'!$B$12,0))-MIN(MAX(AA567,0),MAX(0,W561-IF($A568&gt;='1-Input'!$C$12,'1-Input'!$B$12,0))))*(1/(1-'P-Parametri'!$B$6*W568))),MAX(0,3*W561-(AA567-MIN(MAX(AA567,0),MAX(0,W561-IF($A568&gt;='1-Input'!$C$12,'1-Input'!$B$12,0)))))*(1/(1-'P-Parametri'!$B$6*W568))))</f>
        <v>19238.945722651326</v>
      </c>
      <c r="Y568" s="18">
        <f>IF($A568&gt;'1-Input'!$B$26,AA567,(AA567-MAX(0,W561-IF($A568&gt;='1-Input'!$C$12,'1-Input'!$B$12,0))+X568*(1-'P-Parametri'!$B$6*W568))*(1+'1-Input'!$B$27))</f>
        <v>52496.252233084</v>
      </c>
      <c r="Z568" s="18">
        <f>IF($A568&gt;'1-Input'!$B$26,AB567,(AB567-X568)*(1+$C$4))</f>
        <v>340440.72591727914</v>
      </c>
      <c r="AA568" s="18">
        <f>IF($A568&gt;'1-Input'!$B$26,Y568,Y568-'P-Parametri'!$B$8*(Z568+Y568)+MIN(MAX(Z568,0),'P-Parametri'!$B$8*(Z568+Y568)))</f>
        <v>52496.252233084</v>
      </c>
      <c r="AB568" s="18">
        <f>IF($A568&gt;'1-Input'!$B$26,Z568,Z568-MIN(MAX(Z568,0),'P-Parametri'!$B$8*(Z568+Y568)))</f>
        <v>339654.85196097841</v>
      </c>
      <c r="AC568" s="18">
        <f>IF($A568&gt;'1-Input'!$B$26,AC567,AC567-X568*(1-W568))</f>
        <v>232248.6330832848</v>
      </c>
      <c r="AD568" s="11">
        <f>IF($A568&gt;'1-Input'!$B$26,0,IF(AI567&lt;=0,0,MAX(0,(AI567-AJ567)/AI567)))</f>
        <v>0.29733455517744667</v>
      </c>
      <c r="AE568" s="18">
        <f>IF($A568&gt;'1-Input'!$B$26,0,(MAX(0,AD561-IF($A568&gt;='1-Input'!$C$12,'1-Input'!$B$12,0))-MIN(MAX(AH567,0),MAX(0,AD561-IF($A568&gt;='1-Input'!$C$12,'1-Input'!$B$12,0))))*(1/(1-'P-Parametri'!$B$6*AD568))+MIN(MAX(0,AI567-(MAX(0,AD561-IF($A568&gt;='1-Input'!$C$12,'1-Input'!$B$12,0))-MIN(MAX(AH567,0),MAX(0,AD561-IF($A568&gt;='1-Input'!$C$12,'1-Input'!$B$12,0))))*(1/(1-'P-Parametri'!$B$6*AD568))),MAX(0,3*AD561-(AH567-MIN(MAX(AH567,0),MAX(0,AD561-IF($A568&gt;='1-Input'!$C$12,'1-Input'!$B$12,0)))))*(1/(1-'P-Parametri'!$B$6*AD568))))</f>
        <v>19230.462729324481</v>
      </c>
      <c r="AF568" s="18">
        <f>IF($A568&gt;'1-Input'!$B$26,AH567,(AH567-MAX(0,AD561-IF($A568&gt;='1-Input'!$C$12,'1-Input'!$B$12,0))+AE568*(1-'P-Parametri'!$B$6*AD568))*(1+'1-Input'!$B$27))</f>
        <v>52473.098295428375</v>
      </c>
      <c r="AG568" s="18">
        <f>IF($A568&gt;'1-Input'!$B$26,AI567,(AI567-AE568)*(1+$C$4))</f>
        <v>340513.22634124861</v>
      </c>
      <c r="AH568" s="18">
        <f>IF($A568&gt;'1-Input'!$B$26,AF568,AF568-'P-Parametri'!$B$8*(AG568+AF568)+MIN(MAX(AG568,0),'P-Parametri'!$B$8*(AG568+AF568)))</f>
        <v>52473.098295428375</v>
      </c>
      <c r="AI568" s="18">
        <f>IF($A568&gt;'1-Input'!$B$26,AG568,AG568-MIN(MAX(AG568,0),'P-Parametri'!$B$8*(AG568+AF568)))</f>
        <v>339727.25369197526</v>
      </c>
      <c r="AJ568" s="18">
        <f>IF($A568&gt;'1-Input'!$B$26,AJ567,AJ567-AE568*(1-AD568))</f>
        <v>232297.93947090895</v>
      </c>
      <c r="AK568" s="11">
        <f>IF($A568&gt;'1-Input'!$B$26,0,IF(AP567&lt;=0,0,MAX(0,(AP567-AQ567)/AP567)))</f>
        <v>0.29733452765683271</v>
      </c>
      <c r="AL568" s="18">
        <f>IF($A568&gt;'1-Input'!$B$26,0,(MAX(0,AK561-IF($A568&gt;='1-Input'!$C$12,'1-Input'!$B$12,0))-MIN(MAX(AO567,0),MAX(0,AK561-IF($A568&gt;='1-Input'!$C$12,'1-Input'!$B$12,0))))*(1/(1-'P-Parametri'!$B$6*AK568))+MIN(MAX(0,AP567-(MAX(0,AK561-IF($A568&gt;='1-Input'!$C$12,'1-Input'!$B$12,0))-MIN(MAX(AO567,0),MAX(0,AK561-IF($A568&gt;='1-Input'!$C$12,'1-Input'!$B$12,0))))*(1/(1-'P-Parametri'!$B$6*AK568))),MAX(0,3*AK561-(AO567-MIN(MAX(AO567,0),MAX(0,AK561-IF($A568&gt;='1-Input'!$C$12,'1-Input'!$B$12,0)))))*(1/(1-'P-Parametri'!$B$6*AK568))))</f>
        <v>19230.965936455927</v>
      </c>
      <c r="AM568" s="18">
        <f>IF($A568&gt;'1-Input'!$B$26,AO567,(AO567-MAX(0,AK561-IF($A568&gt;='1-Input'!$C$12,'1-Input'!$B$12,0))+AL568*(1-'P-Parametri'!$B$6*AK568))*(1+'1-Input'!$B$27))</f>
        <v>52474.471775783059</v>
      </c>
      <c r="AN568" s="18">
        <f>IF($A568&gt;'1-Input'!$B$26,AP567,(AP567-AL568)*(1+$C$4))</f>
        <v>340508.92565105116</v>
      </c>
      <c r="AO568" s="18">
        <f>IF($A568&gt;'1-Input'!$B$26,AM568,AM568-'P-Parametri'!$B$8*(AN568+AM568)+MIN(MAX(AN568,0),'P-Parametri'!$B$8*(AN568+AM568)))</f>
        <v>52474.471775783059</v>
      </c>
      <c r="AP568" s="18">
        <f>IF($A568&gt;'1-Input'!$B$26,AN568,AN568-MIN(MAX(AN568,0),'P-Parametri'!$B$8*(AN568+AM568)))</f>
        <v>339722.95885619748</v>
      </c>
      <c r="AQ568" s="18">
        <f>IF($A568&gt;'1-Input'!$B$26,AQ567,AQ567-AL568*(1-AK568))</f>
        <v>232295.01464044687</v>
      </c>
    </row>
    <row r="569" spans="1:43">
      <c r="A569" s="10">
        <f>6</f>
        <v>6</v>
      </c>
      <c r="B569" s="11">
        <f>IF($A569&gt;'1-Input'!$B$26,0,IF(G568&lt;=0,0,MAX(0,(G568-H568)/G568)))</f>
        <v>0.31628759308922599</v>
      </c>
      <c r="C569" s="18">
        <f>IF($A569&gt;'1-Input'!$B$26,0,(MAX(0,B561-IF($A569&gt;='1-Input'!$C$12,'1-Input'!$B$12,0))-MIN(MAX(F568,0),MAX(0,B561-IF($A569&gt;='1-Input'!$C$12,'1-Input'!$B$12,0))))*(1/(1-'P-Parametri'!$B$6*B569))+MIN(MAX(0,G568-(MAX(0,B561-IF($A569&gt;='1-Input'!$C$12,'1-Input'!$B$12,0))-MIN(MAX(F568,0),MAX(0,B561-IF($A569&gt;='1-Input'!$C$12,'1-Input'!$B$12,0))))*(1/(1-'P-Parametri'!$B$6*B569))),MAX(0,3*B561-(F568-MIN(MAX(F568,0),MAX(0,B561-IF($A569&gt;='1-Input'!$C$12,'1-Input'!$B$12,0)))))*(1/(1-'P-Parametri'!$B$6*B569))))</f>
        <v>18372.030491114878</v>
      </c>
      <c r="D569" s="18">
        <f>IF($A569&gt;'1-Input'!$B$26,F568,(F568-MAX(0,B561-IF($A569&gt;='1-Input'!$C$12,'1-Input'!$B$12,0))+C569*(1-'P-Parametri'!$B$6*B569))*(1+'1-Input'!$B$27))</f>
        <v>49863.010546479447</v>
      </c>
      <c r="E569" s="18">
        <f>IF($A569&gt;'1-Input'!$B$26,G568,(G568-C569)*(1+$C$4))</f>
        <v>339402.45032948983</v>
      </c>
      <c r="F569" s="18">
        <f>IF($A569&gt;'1-Input'!$B$26,D569,D569-'P-Parametri'!$B$8*(E569+D569)+MIN(MAX(E569,0),'P-Parametri'!$B$8*(E569+D569)))</f>
        <v>49863.010546479447</v>
      </c>
      <c r="G569" s="18">
        <f>IF($A569&gt;'1-Input'!$B$26,E569,E569-MIN(MAX(E569,0),'P-Parametri'!$B$8*(E569+D569)))</f>
        <v>338623.91940773791</v>
      </c>
      <c r="H569" s="18">
        <f>IF($A569&gt;'1-Input'!$B$26,H568,H568-C569*(1-B569))</f>
        <v>225294.82157882518</v>
      </c>
      <c r="I569" s="11">
        <f>IF($A569&gt;'1-Input'!$B$26,0,IF(N568&lt;=0,0,MAX(0,(N568-O568)/N568)))</f>
        <v>0.31585582662603301</v>
      </c>
      <c r="J569" s="18">
        <f>IF($A569&gt;'1-Input'!$B$26,0,(MAX(0,I561-IF($A569&gt;='1-Input'!$C$12,'1-Input'!$B$12,0))-MIN(MAX(M568,0),MAX(0,I561-IF($A569&gt;='1-Input'!$C$12,'1-Input'!$B$12,0))))*(1/(1-'P-Parametri'!$B$6*I569))+MIN(MAX(0,N568-(MAX(0,I561-IF($A569&gt;='1-Input'!$C$12,'1-Input'!$B$12,0))-MIN(MAX(M568,0),MAX(0,I561-IF($A569&gt;='1-Input'!$C$12,'1-Input'!$B$12,0))))*(1/(1-'P-Parametri'!$B$6*I569))),MAX(0,3*I561-(M568-MIN(MAX(M568,0),MAX(0,I561-IF($A569&gt;='1-Input'!$C$12,'1-Input'!$B$12,0)))))*(1/(1-'P-Parametri'!$B$6*I569))))</f>
        <v>24170.767808500699</v>
      </c>
      <c r="K569" s="18">
        <f>IF($A569&gt;'1-Input'!$B$26,M568,(M568-MAX(0,I561-IF($A569&gt;='1-Input'!$C$12,'1-Input'!$B$12,0))+J569*(1-'P-Parametri'!$B$6*I569))*(1+'1-Input'!$B$27))</f>
        <v>65609.224403262444</v>
      </c>
      <c r="L569" s="18">
        <f>IF($A569&gt;'1-Input'!$B$26,N568,(N568-J569)*(1+$C$4))</f>
        <v>282715.86603937799</v>
      </c>
      <c r="M569" s="18">
        <f>IF($A569&gt;'1-Input'!$B$26,K569,K569-'P-Parametri'!$B$8*(L569+K569)+MIN(MAX(L569,0),'P-Parametri'!$B$8*(L569+K569)))</f>
        <v>65609.224403262444</v>
      </c>
      <c r="N569" s="18">
        <f>IF($A569&gt;'1-Input'!$B$26,L569,L569-MIN(MAX(L569,0),'P-Parametri'!$B$8*(L569+K569)))</f>
        <v>282019.21585849271</v>
      </c>
      <c r="O569" s="18">
        <f>IF($A569&gt;'1-Input'!$B$26,O568,O568-J569*(1-I569))</f>
        <v>187784.86647690815</v>
      </c>
      <c r="P569" s="11">
        <f>IF($A569&gt;'1-Input'!$B$26,0,IF(U568&lt;=0,0,MAX(0,(U568-V568)/U568)))</f>
        <v>0.3162166167684638</v>
      </c>
      <c r="Q569" s="18">
        <f>IF($A569&gt;'1-Input'!$B$26,0,(MAX(0,P561-IF($A569&gt;='1-Input'!$C$12,'1-Input'!$B$12,0))-MIN(MAX(T568,0),MAX(0,P561-IF($A569&gt;='1-Input'!$C$12,'1-Input'!$B$12,0))))*(1/(1-'P-Parametri'!$B$6*P569))+MIN(MAX(0,U568-(MAX(0,P561-IF($A569&gt;='1-Input'!$C$12,'1-Input'!$B$12,0))-MIN(MAX(T568,0),MAX(0,P561-IF($A569&gt;='1-Input'!$C$12,'1-Input'!$B$12,0))))*(1/(1-'P-Parametri'!$B$6*P569))),MAX(0,3*P561-(T568-MIN(MAX(T568,0),MAX(0,P561-IF($A569&gt;='1-Input'!$C$12,'1-Input'!$B$12,0)))))*(1/(1-'P-Parametri'!$B$6*P569))))</f>
        <v>19414.612710750265</v>
      </c>
      <c r="R569" s="18">
        <f>IF($A569&gt;'1-Input'!$B$26,T568,(T568-MAX(0,P561-IF($A569&gt;='1-Input'!$C$12,'1-Input'!$B$12,0))+Q569*(1-'P-Parametri'!$B$6*P569))*(1+'1-Input'!$B$27))</f>
        <v>52693.713097256354</v>
      </c>
      <c r="S569" s="18">
        <f>IF($A569&gt;'1-Input'!$B$26,U568,(U568-Q569)*(1+$C$4))</f>
        <v>329211.46835659072</v>
      </c>
      <c r="T569" s="18">
        <f>IF($A569&gt;'1-Input'!$B$26,R569,R569-'P-Parametri'!$B$8*(S569+R569)+MIN(MAX(S569,0),'P-Parametri'!$B$8*(S569+R569)))</f>
        <v>52693.713097256354</v>
      </c>
      <c r="U569" s="18">
        <f>IF($A569&gt;'1-Input'!$B$26,S569,S569-MIN(MAX(S569,0),'P-Parametri'!$B$8*(S569+R569)))</f>
        <v>328447.65799368301</v>
      </c>
      <c r="V569" s="18">
        <f>IF($A569&gt;'1-Input'!$B$26,V568,V568-Q569*(1-P569))</f>
        <v>218552.74915678779</v>
      </c>
      <c r="W569" s="11">
        <f>IF($A569&gt;'1-Input'!$B$26,0,IF(AB568&lt;=0,0,MAX(0,(AB568-AC568)/AB568)))</f>
        <v>0.31622165341548863</v>
      </c>
      <c r="X569" s="18">
        <f>IF($A569&gt;'1-Input'!$B$26,0,(MAX(0,W561-IF($A569&gt;='1-Input'!$C$12,'1-Input'!$B$12,0))-MIN(MAX(AA568,0),MAX(0,W561-IF($A569&gt;='1-Input'!$C$12,'1-Input'!$B$12,0))))*(1/(1-'P-Parametri'!$B$6*W569))+MIN(MAX(0,AB568-(MAX(0,W561-IF($A569&gt;='1-Input'!$C$12,'1-Input'!$B$12,0))-MIN(MAX(AA568,0),MAX(0,W561-IF($A569&gt;='1-Input'!$C$12,'1-Input'!$B$12,0))))*(1/(1-'P-Parametri'!$B$6*W569))),MAX(0,3*W561-(AA568-MIN(MAX(AA568,0),MAX(0,W561-IF($A569&gt;='1-Input'!$C$12,'1-Input'!$B$12,0)))))*(1/(1-'P-Parametri'!$B$6*W569))))</f>
        <v>19341.887299097678</v>
      </c>
      <c r="Y569" s="18">
        <f>IF($A569&gt;'1-Input'!$B$26,AA568,(AA568-MAX(0,W561-IF($A569&gt;='1-Input'!$C$12,'1-Input'!$B$12,0))+X569*(1-'P-Parametri'!$B$6*W569))*(1+'1-Input'!$B$27))</f>
        <v>52496.252233084</v>
      </c>
      <c r="Z569" s="18">
        <f>IF($A569&gt;'1-Input'!$B$26,AB568,(AB568-X569)*(1+$C$4))</f>
        <v>329922.35360173718</v>
      </c>
      <c r="AA569" s="18">
        <f>IF($A569&gt;'1-Input'!$B$26,Y569,Y569-'P-Parametri'!$B$8*(Z569+Y569)+MIN(MAX(Z569,0),'P-Parametri'!$B$8*(Z569+Y569)))</f>
        <v>52496.252233084</v>
      </c>
      <c r="AB569" s="18">
        <f>IF($A569&gt;'1-Input'!$B$26,Z569,Z569-MIN(MAX(Z569,0),'P-Parametri'!$B$8*(Z569+Y569)))</f>
        <v>329157.51639006753</v>
      </c>
      <c r="AC569" s="18">
        <f>IF($A569&gt;'1-Input'!$B$26,AC568,AC568-X569*(1-W569))</f>
        <v>219023.06936608383</v>
      </c>
      <c r="AD569" s="11">
        <f>IF($A569&gt;'1-Input'!$B$26,0,IF(AI568&lt;=0,0,MAX(0,(AI568-AJ568)/AI568)))</f>
        <v>0.31622224314823616</v>
      </c>
      <c r="AE569" s="18">
        <f>IF($A569&gt;'1-Input'!$B$26,0,(MAX(0,AD561-IF($A569&gt;='1-Input'!$C$12,'1-Input'!$B$12,0))-MIN(MAX(AH568,0),MAX(0,AD561-IF($A569&gt;='1-Input'!$C$12,'1-Input'!$B$12,0))))*(1/(1-'P-Parametri'!$B$6*AD569))+MIN(MAX(0,AI568-(MAX(0,AD561-IF($A569&gt;='1-Input'!$C$12,'1-Input'!$B$12,0))-MIN(MAX(AH568,0),MAX(0,AD561-IF($A569&gt;='1-Input'!$C$12,'1-Input'!$B$12,0))))*(1/(1-'P-Parametri'!$B$6*AD569))),MAX(0,3*AD561-(AH568-MIN(MAX(AH568,0),MAX(0,AD561-IF($A569&gt;='1-Input'!$C$12,'1-Input'!$B$12,0)))))*(1/(1-'P-Parametri'!$B$6*AD569))))</f>
        <v>19333.359618107286</v>
      </c>
      <c r="AF569" s="18">
        <f>IF($A569&gt;'1-Input'!$B$26,AH568,(AH568-MAX(0,AD561-IF($A569&gt;='1-Input'!$C$12,'1-Input'!$B$12,0))+AE569*(1-'P-Parametri'!$B$6*AD569))*(1+'1-Input'!$B$27))</f>
        <v>52473.098295428375</v>
      </c>
      <c r="AG569" s="18">
        <f>IF($A569&gt;'1-Input'!$B$26,AI568,(AI568-AE569)*(1+$C$4))</f>
        <v>330005.71089608403</v>
      </c>
      <c r="AH569" s="18">
        <f>IF($A569&gt;'1-Input'!$B$26,AF569,AF569-'P-Parametri'!$B$8*(AG569+AF569)+MIN(MAX(AG569,0),'P-Parametri'!$B$8*(AG569+AF569)))</f>
        <v>52473.098295428375</v>
      </c>
      <c r="AI569" s="18">
        <f>IF($A569&gt;'1-Input'!$B$26,AG569,AG569-MIN(MAX(AG569,0),'P-Parametri'!$B$8*(AG569+AF569)))</f>
        <v>329240.75327770098</v>
      </c>
      <c r="AJ569" s="18">
        <f>IF($A569&gt;'1-Input'!$B$26,AJ568,AJ568-AE569*(1-AD569))</f>
        <v>219078.21819883108</v>
      </c>
      <c r="AK569" s="11">
        <f>IF($A569&gt;'1-Input'!$B$26,0,IF(AP568&lt;=0,0,MAX(0,(AP568-AQ568)/AP568)))</f>
        <v>0.31622220817058222</v>
      </c>
      <c r="AL569" s="18">
        <f>IF($A569&gt;'1-Input'!$B$26,0,(MAX(0,AK561-IF($A569&gt;='1-Input'!$C$12,'1-Input'!$B$12,0))-MIN(MAX(AO568,0),MAX(0,AK561-IF($A569&gt;='1-Input'!$C$12,'1-Input'!$B$12,0))))*(1/(1-'P-Parametri'!$B$6*AK569))+MIN(MAX(0,AP568-(MAX(0,AK561-IF($A569&gt;='1-Input'!$C$12,'1-Input'!$B$12,0))-MIN(MAX(AO568,0),MAX(0,AK561-IF($A569&gt;='1-Input'!$C$12,'1-Input'!$B$12,0))))*(1/(1-'P-Parametri'!$B$6*AK569))),MAX(0,3*AK561-(AO568-MIN(MAX(AO568,0),MAX(0,AK561-IF($A569&gt;='1-Input'!$C$12,'1-Input'!$B$12,0)))))*(1/(1-'P-Parametri'!$B$6*AK569))))</f>
        <v>19333.865476115596</v>
      </c>
      <c r="AM569" s="18">
        <f>IF($A569&gt;'1-Input'!$B$26,AO568,(AO568-MAX(0,AK561-IF($A569&gt;='1-Input'!$C$12,'1-Input'!$B$12,0))+AL569*(1-'P-Parametri'!$B$6*AK569))*(1+'1-Input'!$B$27))</f>
        <v>52474.471775783059</v>
      </c>
      <c r="AN569" s="18">
        <f>IF($A569&gt;'1-Input'!$B$26,AP568,(AP568-AL569)*(1+$C$4))</f>
        <v>330000.76618148433</v>
      </c>
      <c r="AO569" s="18">
        <f>IF($A569&gt;'1-Input'!$B$26,AM569,AM569-'P-Parametri'!$B$8*(AN569+AM569)+MIN(MAX(AN569,0),'P-Parametri'!$B$8*(AN569+AM569)))</f>
        <v>52474.471775783059</v>
      </c>
      <c r="AP569" s="18">
        <f>IF($A569&gt;'1-Input'!$B$26,AN569,AN569-MIN(MAX(AN569,0),'P-Parametri'!$B$8*(AN569+AM569)))</f>
        <v>329235.81570556981</v>
      </c>
      <c r="AQ569" s="18">
        <f>IF($A569&gt;'1-Input'!$B$26,AQ568,AQ568-AL569*(1-AK569))</f>
        <v>219074.94679766154</v>
      </c>
    </row>
    <row r="570" spans="1:43">
      <c r="A570" s="10">
        <f>7</f>
        <v>7</v>
      </c>
      <c r="B570" s="11">
        <f>IF($A570&gt;'1-Input'!$B$26,0,IF(G569&lt;=0,0,MAX(0,(G569-H569)/G569)))</f>
        <v>0.3346754063538343</v>
      </c>
      <c r="C570" s="18">
        <f>IF($A570&gt;'1-Input'!$B$26,0,(MAX(0,B561-IF($A570&gt;='1-Input'!$C$12,'1-Input'!$B$12,0))-MIN(MAX(F569,0),MAX(0,B561-IF($A570&gt;='1-Input'!$C$12,'1-Input'!$B$12,0))))*(1/(1-'P-Parametri'!$B$6*B570))+MIN(MAX(0,G569-(MAX(0,B561-IF($A570&gt;='1-Input'!$C$12,'1-Input'!$B$12,0))-MIN(MAX(F569,0),MAX(0,B561-IF($A570&gt;='1-Input'!$C$12,'1-Input'!$B$12,0))))*(1/(1-'P-Parametri'!$B$6*B570))),MAX(0,3*B561-(F569-MIN(MAX(F569,0),MAX(0,B561-IF($A570&gt;='1-Input'!$C$12,'1-Input'!$B$12,0)))))*(1/(1-'P-Parametri'!$B$6*B570))))</f>
        <v>18468.235400743073</v>
      </c>
      <c r="D570" s="18">
        <f>IF($A570&gt;'1-Input'!$B$26,F569,(F569-MAX(0,B561-IF($A570&gt;='1-Input'!$C$12,'1-Input'!$B$12,0))+C570*(1-'P-Parametri'!$B$6*B570))*(1+'1-Input'!$B$27))</f>
        <v>49863.010546479447</v>
      </c>
      <c r="E570" s="18">
        <f>IF($A570&gt;'1-Input'!$B$26,G569,(G569-C570)*(1+$C$4))</f>
        <v>329760.3545272047</v>
      </c>
      <c r="F570" s="18">
        <f>IF($A570&gt;'1-Input'!$B$26,D570,D570-'P-Parametri'!$B$8*(E570+D570)+MIN(MAX(E570,0),'P-Parametri'!$B$8*(E570+D570)))</f>
        <v>49863.010546479447</v>
      </c>
      <c r="G570" s="18">
        <f>IF($A570&gt;'1-Input'!$B$26,E570,E570-MIN(MAX(E570,0),'P-Parametri'!$B$8*(E570+D570)))</f>
        <v>329001.10779705731</v>
      </c>
      <c r="H570" s="18">
        <f>IF($A570&gt;'1-Input'!$B$26,H569,H569-C570*(1-B570))</f>
        <v>213007.45036546406</v>
      </c>
      <c r="I570" s="11">
        <f>IF($A570&gt;'1-Input'!$B$26,0,IF(N569&lt;=0,0,MAX(0,(N569-O569)/N569)))</f>
        <v>0.33414159065270227</v>
      </c>
      <c r="J570" s="18">
        <f>IF($A570&gt;'1-Input'!$B$26,0,(MAX(0,I561-IF($A570&gt;='1-Input'!$C$12,'1-Input'!$B$12,0))-MIN(MAX(M569,0),MAX(0,I561-IF($A570&gt;='1-Input'!$C$12,'1-Input'!$B$12,0))))*(1/(1-'P-Parametri'!$B$6*I570))+MIN(MAX(0,N569-(MAX(0,I561-IF($A570&gt;='1-Input'!$C$12,'1-Input'!$B$12,0))-MIN(MAX(M569,0),MAX(0,I561-IF($A570&gt;='1-Input'!$C$12,'1-Input'!$B$12,0))))*(1/(1-'P-Parametri'!$B$6*I570))),MAX(0,3*I561-(M569-MIN(MAX(M569,0),MAX(0,I561-IF($A570&gt;='1-Input'!$C$12,'1-Input'!$B$12,0)))))*(1/(1-'P-Parametri'!$B$6*I570))))</f>
        <v>24296.616161050537</v>
      </c>
      <c r="K570" s="18">
        <f>IF($A570&gt;'1-Input'!$B$26,M569,(M569-MAX(0,I561-IF($A570&gt;='1-Input'!$C$12,'1-Input'!$B$12,0))+J570*(1-'P-Parametri'!$B$6*I570))*(1+'1-Input'!$B$27))</f>
        <v>65609.224403262444</v>
      </c>
      <c r="L570" s="18">
        <f>IF($A570&gt;'1-Input'!$B$26,N569,(N569-J570)*(1+$C$4))</f>
        <v>265454.27768836543</v>
      </c>
      <c r="M570" s="18">
        <f>IF($A570&gt;'1-Input'!$B$26,K570,K570-'P-Parametri'!$B$8*(L570+K570)+MIN(MAX(L570,0),'P-Parametri'!$B$8*(L570+K570)))</f>
        <v>65609.224403262444</v>
      </c>
      <c r="N570" s="18">
        <f>IF($A570&gt;'1-Input'!$B$26,L570,L570-MIN(MAX(L570,0),'P-Parametri'!$B$8*(L570+K570)))</f>
        <v>264792.15068418218</v>
      </c>
      <c r="O570" s="18">
        <f>IF($A570&gt;'1-Input'!$B$26,O569,O569-J570*(1-I570))</f>
        <v>171606.76028738919</v>
      </c>
      <c r="P570" s="11">
        <f>IF($A570&gt;'1-Input'!$B$26,0,IF(U569&lt;=0,0,MAX(0,(U569-V569)/U569)))</f>
        <v>0.33458880330639718</v>
      </c>
      <c r="Q570" s="18">
        <f>IF($A570&gt;'1-Input'!$B$26,0,(MAX(0,P561-IF($A570&gt;='1-Input'!$C$12,'1-Input'!$B$12,0))-MIN(MAX(T569,0),MAX(0,P561-IF($A570&gt;='1-Input'!$C$12,'1-Input'!$B$12,0))))*(1/(1-'P-Parametri'!$B$6*P570))+MIN(MAX(0,U569-(MAX(0,P561-IF($A570&gt;='1-Input'!$C$12,'1-Input'!$B$12,0))-MIN(MAX(T569,0),MAX(0,P561-IF($A570&gt;='1-Input'!$C$12,'1-Input'!$B$12,0))))*(1/(1-'P-Parametri'!$B$6*P570))),MAX(0,3*P561-(T569-MIN(MAX(T569,0),MAX(0,P561-IF($A570&gt;='1-Input'!$C$12,'1-Input'!$B$12,0)))))*(1/(1-'P-Parametri'!$B$6*P570))))</f>
        <v>19516.188185483446</v>
      </c>
      <c r="R570" s="18">
        <f>IF($A570&gt;'1-Input'!$B$26,T569,(T569-MAX(0,P561-IF($A570&gt;='1-Input'!$C$12,'1-Input'!$B$12,0))+Q570*(1-'P-Parametri'!$B$6*P570))*(1+'1-Input'!$B$27))</f>
        <v>52693.713097256354</v>
      </c>
      <c r="S570" s="18">
        <f>IF($A570&gt;'1-Input'!$B$26,U569,(U569-Q570)*(1+$C$4))</f>
        <v>318199.41390244558</v>
      </c>
      <c r="T570" s="18">
        <f>IF($A570&gt;'1-Input'!$B$26,R570,R570-'P-Parametri'!$B$8*(S570+R570)+MIN(MAX(S570,0),'P-Parametri'!$B$8*(S570+R570)))</f>
        <v>52693.713097256354</v>
      </c>
      <c r="U570" s="18">
        <f>IF($A570&gt;'1-Input'!$B$26,S570,S570-MIN(MAX(S570,0),'P-Parametri'!$B$8*(S570+R570)))</f>
        <v>317457.62764844619</v>
      </c>
      <c r="V570" s="18">
        <f>IF($A570&gt;'1-Input'!$B$26,V569,V569-Q570*(1-P570))</f>
        <v>205566.45902138768</v>
      </c>
      <c r="W570" s="11">
        <f>IF($A570&gt;'1-Input'!$B$26,0,IF(AB569&lt;=0,0,MAX(0,(AB569-AC569)/AB569)))</f>
        <v>0.33459496301907038</v>
      </c>
      <c r="X570" s="18">
        <f>IF($A570&gt;'1-Input'!$B$26,0,(MAX(0,W561-IF($A570&gt;='1-Input'!$C$12,'1-Input'!$B$12,0))-MIN(MAX(AA569,0),MAX(0,W561-IF($A570&gt;='1-Input'!$C$12,'1-Input'!$B$12,0))))*(1/(1-'P-Parametri'!$B$6*W570))+MIN(MAX(0,AB569-(MAX(0,W561-IF($A570&gt;='1-Input'!$C$12,'1-Input'!$B$12,0))-MIN(MAX(AA569,0),MAX(0,W561-IF($A570&gt;='1-Input'!$C$12,'1-Input'!$B$12,0))))*(1/(1-'P-Parametri'!$B$6*W570))),MAX(0,3*W561-(AA569-MIN(MAX(AA569,0),MAX(0,W561-IF($A570&gt;='1-Input'!$C$12,'1-Input'!$B$12,0)))))*(1/(1-'P-Parametri'!$B$6*W570))))</f>
        <v>19443.08864456584</v>
      </c>
      <c r="Y570" s="18">
        <f>IF($A570&gt;'1-Input'!$B$26,AA569,(AA569-MAX(0,W561-IF($A570&gt;='1-Input'!$C$12,'1-Input'!$B$12,0))+X570*(1-'P-Parametri'!$B$6*W570))*(1+'1-Input'!$B$27))</f>
        <v>52496.252233084</v>
      </c>
      <c r="Z570" s="18">
        <f>IF($A570&gt;'1-Input'!$B$26,AB569,(AB569-X570)*(1+$C$4))</f>
        <v>319005.86057786673</v>
      </c>
      <c r="AA570" s="18">
        <f>IF($A570&gt;'1-Input'!$B$26,Y570,Y570-'P-Parametri'!$B$8*(Z570+Y570)+MIN(MAX(Z570,0),'P-Parametri'!$B$8*(Z570+Y570)))</f>
        <v>52496.252233084</v>
      </c>
      <c r="AB570" s="18">
        <f>IF($A570&gt;'1-Input'!$B$26,Z570,Z570-MIN(MAX(Z570,0),'P-Parametri'!$B$8*(Z570+Y570)))</f>
        <v>318262.85635224485</v>
      </c>
      <c r="AC570" s="18">
        <f>IF($A570&gt;'1-Input'!$B$26,AC569,AC569-X570*(1-W570))</f>
        <v>206085.54024752299</v>
      </c>
      <c r="AD570" s="11">
        <f>IF($A570&gt;'1-Input'!$B$26,0,IF(AI569&lt;=0,0,MAX(0,(AI569-AJ569)/AI569)))</f>
        <v>0.3345956841070411</v>
      </c>
      <c r="AE570" s="18">
        <f>IF($A570&gt;'1-Input'!$B$26,0,(MAX(0,AD561-IF($A570&gt;='1-Input'!$C$12,'1-Input'!$B$12,0))-MIN(MAX(AH569,0),MAX(0,AD561-IF($A570&gt;='1-Input'!$C$12,'1-Input'!$B$12,0))))*(1/(1-'P-Parametri'!$B$6*AD570))+MIN(MAX(0,AI569-(MAX(0,AD561-IF($A570&gt;='1-Input'!$C$12,'1-Input'!$B$12,0))-MIN(MAX(AH569,0),MAX(0,AD561-IF($A570&gt;='1-Input'!$C$12,'1-Input'!$B$12,0))))*(1/(1-'P-Parametri'!$B$6*AD570))),MAX(0,3*AD561-(AH569-MIN(MAX(AH569,0),MAX(0,AD561-IF($A570&gt;='1-Input'!$C$12,'1-Input'!$B$12,0)))))*(1/(1-'P-Parametri'!$B$6*AD570))))</f>
        <v>19434.517088690536</v>
      </c>
      <c r="AF570" s="18">
        <f>IF($A570&gt;'1-Input'!$B$26,AH569,(AH569-MAX(0,AD561-IF($A570&gt;='1-Input'!$C$12,'1-Input'!$B$12,0))+AE570*(1-'P-Parametri'!$B$6*AD570))*(1+'1-Input'!$B$27))</f>
        <v>52473.098295428375</v>
      </c>
      <c r="AG570" s="18">
        <f>IF($A570&gt;'1-Input'!$B$26,AI569,(AI569-AE570)*(1+$C$4))</f>
        <v>319100.42327468074</v>
      </c>
      <c r="AH570" s="18">
        <f>IF($A570&gt;'1-Input'!$B$26,AF570,AF570-'P-Parametri'!$B$8*(AG570+AF570)+MIN(MAX(AG570,0),'P-Parametri'!$B$8*(AG570+AF570)))</f>
        <v>52473.098295428375</v>
      </c>
      <c r="AI570" s="18">
        <f>IF($A570&gt;'1-Input'!$B$26,AG570,AG570-MIN(MAX(AG570,0),'P-Parametri'!$B$8*(AG570+AF570)))</f>
        <v>318357.27623154054</v>
      </c>
      <c r="AJ570" s="18">
        <f>IF($A570&gt;'1-Input'!$B$26,AJ569,AJ569-AE570*(1-AD570))</f>
        <v>206146.40665072092</v>
      </c>
      <c r="AK570" s="11">
        <f>IF($A570&gt;'1-Input'!$B$26,0,IF(AP569&lt;=0,0,MAX(0,(AP569-AQ569)/AP569)))</f>
        <v>0.334595641339408</v>
      </c>
      <c r="AL570" s="18">
        <f>IF($A570&gt;'1-Input'!$B$26,0,(MAX(0,AK561-IF($A570&gt;='1-Input'!$C$12,'1-Input'!$B$12,0))-MIN(MAX(AO569,0),MAX(0,AK561-IF($A570&gt;='1-Input'!$C$12,'1-Input'!$B$12,0))))*(1/(1-'P-Parametri'!$B$6*AK570))+MIN(MAX(0,AP569-(MAX(0,AK561-IF($A570&gt;='1-Input'!$C$12,'1-Input'!$B$12,0))-MIN(MAX(AO569,0),MAX(0,AK561-IF($A570&gt;='1-Input'!$C$12,'1-Input'!$B$12,0))))*(1/(1-'P-Parametri'!$B$6*AK570))),MAX(0,3*AK561-(AO569-MIN(MAX(AO569,0),MAX(0,AK561-IF($A570&gt;='1-Input'!$C$12,'1-Input'!$B$12,0)))))*(1/(1-'P-Parametri'!$B$6*AK570))))</f>
        <v>19435.025549365542</v>
      </c>
      <c r="AM570" s="18">
        <f>IF($A570&gt;'1-Input'!$B$26,AO569,(AO569-MAX(0,AK561-IF($A570&gt;='1-Input'!$C$12,'1-Input'!$B$12,0))+AL570*(1-'P-Parametri'!$B$6*AK570))*(1+'1-Input'!$B$27))</f>
        <v>52474.471775783059</v>
      </c>
      <c r="AN570" s="18">
        <f>IF($A570&gt;'1-Input'!$B$26,AP569,(AP569-AL570)*(1+$C$4))</f>
        <v>319094.8138608904</v>
      </c>
      <c r="AO570" s="18">
        <f>IF($A570&gt;'1-Input'!$B$26,AM570,AM570-'P-Parametri'!$B$8*(AN570+AM570)+MIN(MAX(AN570,0),'P-Parametri'!$B$8*(AN570+AM570)))</f>
        <v>52474.471775783059</v>
      </c>
      <c r="AP570" s="18">
        <f>IF($A570&gt;'1-Input'!$B$26,AN570,AN570-MIN(MAX(AN570,0),'P-Parametri'!$B$8*(AN570+AM570)))</f>
        <v>318351.67528961704</v>
      </c>
      <c r="AQ570" s="18">
        <f>IF($A570&gt;'1-Input'!$B$26,AQ569,AQ569-AL570*(1-AK570))</f>
        <v>206142.79608643375</v>
      </c>
    </row>
    <row r="571" spans="1:43">
      <c r="A571" s="10">
        <f>8</f>
        <v>8</v>
      </c>
      <c r="B571" s="11">
        <f>IF($A571&gt;'1-Input'!$B$26,0,IF(G570&lt;=0,0,MAX(0,(G570-H570)/G570)))</f>
        <v>0.35256312116475719</v>
      </c>
      <c r="C571" s="18">
        <f>IF($A571&gt;'1-Input'!$B$26,0,(MAX(0,B561-IF($A571&gt;='1-Input'!$C$12,'1-Input'!$B$12,0))-MIN(MAX(F570,0),MAX(0,B561-IF($A571&gt;='1-Input'!$C$12,'1-Input'!$B$12,0))))*(1/(1-'P-Parametri'!$B$6*B571))+MIN(MAX(0,G570-(MAX(0,B561-IF($A571&gt;='1-Input'!$C$12,'1-Input'!$B$12,0))-MIN(MAX(F570,0),MAX(0,B561-IF($A571&gt;='1-Input'!$C$12,'1-Input'!$B$12,0))))*(1/(1-'P-Parametri'!$B$6*B571))),MAX(0,3*B561-(F570-MIN(MAX(F570,0),MAX(0,B561-IF($A571&gt;='1-Input'!$C$12,'1-Input'!$B$12,0)))))*(1/(1-'P-Parametri'!$B$6*B571))))</f>
        <v>18562.795569324499</v>
      </c>
      <c r="D571" s="18">
        <f>IF($A571&gt;'1-Input'!$B$26,F570,(F570-MAX(0,B561-IF($A571&gt;='1-Input'!$C$12,'1-Input'!$B$12,0))+C571*(1-'P-Parametri'!$B$6*B571))*(1+'1-Input'!$B$27))</f>
        <v>49863.010546479447</v>
      </c>
      <c r="E571" s="18">
        <f>IF($A571&gt;'1-Input'!$B$26,G570,(G570-C571)*(1+$C$4))</f>
        <v>319751.46159456478</v>
      </c>
      <c r="F571" s="18">
        <f>IF($A571&gt;'1-Input'!$B$26,D571,D571-'P-Parametri'!$B$8*(E571+D571)+MIN(MAX(E571,0),'P-Parametri'!$B$8*(E571+D571)))</f>
        <v>49863.010546479447</v>
      </c>
      <c r="G571" s="18">
        <f>IF($A571&gt;'1-Input'!$B$26,E571,E571-MIN(MAX(E571,0),'P-Parametri'!$B$8*(E571+D571)))</f>
        <v>319012.23265028268</v>
      </c>
      <c r="H571" s="18">
        <f>IF($A571&gt;'1-Input'!$B$26,H570,H570-C571*(1-B571))</f>
        <v>200989.21193960393</v>
      </c>
      <c r="I571" s="11">
        <f>IF($A571&gt;'1-Input'!$B$26,0,IF(N570&lt;=0,0,MAX(0,(N570-O570)/N570)))</f>
        <v>0.3519190057409794</v>
      </c>
      <c r="J571" s="18">
        <f>IF($A571&gt;'1-Input'!$B$26,0,(MAX(0,I561-IF($A571&gt;='1-Input'!$C$12,'1-Input'!$B$12,0))-MIN(MAX(M570,0),MAX(0,I561-IF($A571&gt;='1-Input'!$C$12,'1-Input'!$B$12,0))))*(1/(1-'P-Parametri'!$B$6*I571))+MIN(MAX(0,N570-(MAX(0,I561-IF($A571&gt;='1-Input'!$C$12,'1-Input'!$B$12,0))-MIN(MAX(M570,0),MAX(0,I561-IF($A571&gt;='1-Input'!$C$12,'1-Input'!$B$12,0))))*(1/(1-'P-Parametri'!$B$6*I571))),MAX(0,3*I561-(M570-MIN(MAX(M570,0),MAX(0,I561-IF($A571&gt;='1-Input'!$C$12,'1-Input'!$B$12,0)))))*(1/(1-'P-Parametri'!$B$6*I571))))</f>
        <v>24420.228640023044</v>
      </c>
      <c r="K571" s="18">
        <f>IF($A571&gt;'1-Input'!$B$26,M570,(M570-MAX(0,I561-IF($A571&gt;='1-Input'!$C$12,'1-Input'!$B$12,0))+J571*(1-'P-Parametri'!$B$6*I571))*(1+'1-Input'!$B$27))</f>
        <v>65609.224403262444</v>
      </c>
      <c r="L571" s="18">
        <f>IF($A571&gt;'1-Input'!$B$26,N570,(N570-J571)*(1+$C$4))</f>
        <v>247583.07970548392</v>
      </c>
      <c r="M571" s="18">
        <f>IF($A571&gt;'1-Input'!$B$26,K571,K571-'P-Parametri'!$B$8*(L571+K571)+MIN(MAX(L571,0),'P-Parametri'!$B$8*(L571+K571)))</f>
        <v>65609.224403262444</v>
      </c>
      <c r="N571" s="18">
        <f>IF($A571&gt;'1-Input'!$B$26,L571,L571-MIN(MAX(L571,0),'P-Parametri'!$B$8*(L571+K571)))</f>
        <v>246956.69509726643</v>
      </c>
      <c r="O571" s="18">
        <f>IF($A571&gt;'1-Input'!$B$26,O570,O570-J571*(1-I571))</f>
        <v>155780.47423033044</v>
      </c>
      <c r="P571" s="11">
        <f>IF($A571&gt;'1-Input'!$B$26,0,IF(U570&lt;=0,0,MAX(0,(U570-V570)/U570)))</f>
        <v>0.35246016753759407</v>
      </c>
      <c r="Q571" s="18">
        <f>IF($A571&gt;'1-Input'!$B$26,0,(MAX(0,P561-IF($A571&gt;='1-Input'!$C$12,'1-Input'!$B$12,0))-MIN(MAX(T570,0),MAX(0,P561-IF($A571&gt;='1-Input'!$C$12,'1-Input'!$B$12,0))))*(1/(1-'P-Parametri'!$B$6*P571))+MIN(MAX(0,U570-(MAX(0,P561-IF($A571&gt;='1-Input'!$C$12,'1-Input'!$B$12,0))-MIN(MAX(T570,0),MAX(0,P561-IF($A571&gt;='1-Input'!$C$12,'1-Input'!$B$12,0))))*(1/(1-'P-Parametri'!$B$6*P571))),MAX(0,3*P561-(T570-MIN(MAX(T570,0),MAX(0,P561-IF($A571&gt;='1-Input'!$C$12,'1-Input'!$B$12,0)))))*(1/(1-'P-Parametri'!$B$6*P571))))</f>
        <v>19616.019750454965</v>
      </c>
      <c r="R571" s="18">
        <f>IF($A571&gt;'1-Input'!$B$26,T570,(T570-MAX(0,P561-IF($A571&gt;='1-Input'!$C$12,'1-Input'!$B$12,0))+Q571*(1-'P-Parametri'!$B$6*P571))*(1+'1-Input'!$B$27))</f>
        <v>52693.713097256354</v>
      </c>
      <c r="S571" s="18">
        <f>IF($A571&gt;'1-Input'!$B$26,U570,(U570-Q571)*(1+$C$4))</f>
        <v>306776.85613493092</v>
      </c>
      <c r="T571" s="18">
        <f>IF($A571&gt;'1-Input'!$B$26,R571,R571-'P-Parametri'!$B$8*(S571+R571)+MIN(MAX(S571,0),'P-Parametri'!$B$8*(S571+R571)))</f>
        <v>52693.713097256354</v>
      </c>
      <c r="U571" s="18">
        <f>IF($A571&gt;'1-Input'!$B$26,S571,S571-MIN(MAX(S571,0),'P-Parametri'!$B$8*(S571+R571)))</f>
        <v>306057.91499646654</v>
      </c>
      <c r="V571" s="18">
        <f>IF($A571&gt;'1-Input'!$B$26,V570,V570-Q571*(1-P571))</f>
        <v>192864.30487859884</v>
      </c>
      <c r="W571" s="11">
        <f>IF($A571&gt;'1-Input'!$B$26,0,IF(AB570&lt;=0,0,MAX(0,(AB570-AC570)/AB570)))</f>
        <v>0.35246750874556027</v>
      </c>
      <c r="X571" s="18">
        <f>IF($A571&gt;'1-Input'!$B$26,0,(MAX(0,W561-IF($A571&gt;='1-Input'!$C$12,'1-Input'!$B$12,0))-MIN(MAX(AA570,0),MAX(0,W561-IF($A571&gt;='1-Input'!$C$12,'1-Input'!$B$12,0))))*(1/(1-'P-Parametri'!$B$6*W571))+MIN(MAX(0,AB570-(MAX(0,W561-IF($A571&gt;='1-Input'!$C$12,'1-Input'!$B$12,0))-MIN(MAX(AA570,0),MAX(0,W561-IF($A571&gt;='1-Input'!$C$12,'1-Input'!$B$12,0))))*(1/(1-'P-Parametri'!$B$6*W571))),MAX(0,3*W561-(AA570-MIN(MAX(AA570,0),MAX(0,W561-IF($A571&gt;='1-Input'!$C$12,'1-Input'!$B$12,0)))))*(1/(1-'P-Parametri'!$B$6*W571))))</f>
        <v>19542.553066183598</v>
      </c>
      <c r="Y571" s="18">
        <f>IF($A571&gt;'1-Input'!$B$26,AA570,(AA570-MAX(0,W561-IF($A571&gt;='1-Input'!$C$12,'1-Input'!$B$12,0))+X571*(1-'P-Parametri'!$B$6*W571))*(1+'1-Input'!$B$27))</f>
        <v>52496.252233084</v>
      </c>
      <c r="Z571" s="18">
        <f>IF($A571&gt;'1-Input'!$B$26,AB570,(AB570-X571)*(1+$C$4))</f>
        <v>307681.9123846431</v>
      </c>
      <c r="AA571" s="18">
        <f>IF($A571&gt;'1-Input'!$B$26,Y571,Y571-'P-Parametri'!$B$8*(Z571+Y571)+MIN(MAX(Z571,0),'P-Parametri'!$B$8*(Z571+Y571)))</f>
        <v>52496.252233084</v>
      </c>
      <c r="AB571" s="18">
        <f>IF($A571&gt;'1-Input'!$B$26,Z571,Z571-MIN(MAX(Z571,0),'P-Parametri'!$B$8*(Z571+Y571)))</f>
        <v>306961.55605540762</v>
      </c>
      <c r="AC571" s="18">
        <f>IF($A571&gt;'1-Input'!$B$26,AC570,AC570-X571*(1-W571))</f>
        <v>193431.10217510504</v>
      </c>
      <c r="AD571" s="11">
        <f>IF($A571&gt;'1-Input'!$B$26,0,IF(AI570&lt;=0,0,MAX(0,(AI570-AJ570)/AI570)))</f>
        <v>0.35246836795779374</v>
      </c>
      <c r="AE571" s="18">
        <f>IF($A571&gt;'1-Input'!$B$26,0,(MAX(0,AD561-IF($A571&gt;='1-Input'!$C$12,'1-Input'!$B$12,0))-MIN(MAX(AH570,0),MAX(0,AD561-IF($A571&gt;='1-Input'!$C$12,'1-Input'!$B$12,0))))*(1/(1-'P-Parametri'!$B$6*AD571))+MIN(MAX(0,AI570-(MAX(0,AD561-IF($A571&gt;='1-Input'!$C$12,'1-Input'!$B$12,0))-MIN(MAX(AH570,0),MAX(0,AD561-IF($A571&gt;='1-Input'!$C$12,'1-Input'!$B$12,0))))*(1/(1-'P-Parametri'!$B$6*AD571))),MAX(0,3*AD561-(AH570-MIN(MAX(AH570,0),MAX(0,AD561-IF($A571&gt;='1-Input'!$C$12,'1-Input'!$B$12,0)))))*(1/(1-'P-Parametri'!$B$6*AD571))))</f>
        <v>19533.938453860927</v>
      </c>
      <c r="AF571" s="18">
        <f>IF($A571&gt;'1-Input'!$B$26,AH570,(AH570-MAX(0,AD561-IF($A571&gt;='1-Input'!$C$12,'1-Input'!$B$12,0))+AE571*(1-'P-Parametri'!$B$6*AD571))*(1+'1-Input'!$B$27))</f>
        <v>52473.098295428375</v>
      </c>
      <c r="AG571" s="18">
        <f>IF($A571&gt;'1-Input'!$B$26,AI570,(AI570-AE571)*(1+$C$4))</f>
        <v>307788.03791101003</v>
      </c>
      <c r="AH571" s="18">
        <f>IF($A571&gt;'1-Input'!$B$26,AF571,AF571-'P-Parametri'!$B$8*(AG571+AF571)+MIN(MAX(AG571,0),'P-Parametri'!$B$8*(AG571+AF571)))</f>
        <v>52473.098295428375</v>
      </c>
      <c r="AI571" s="18">
        <f>IF($A571&gt;'1-Input'!$B$26,AG571,AG571-MIN(MAX(AG571,0),'P-Parametri'!$B$8*(AG571+AF571)))</f>
        <v>307067.51563859713</v>
      </c>
      <c r="AJ571" s="18">
        <f>IF($A571&gt;'1-Input'!$B$26,AJ570,AJ570-AE571*(1-AD571))</f>
        <v>193497.56360348035</v>
      </c>
      <c r="AK571" s="11">
        <f>IF($A571&gt;'1-Input'!$B$26,0,IF(AP570&lt;=0,0,MAX(0,(AP570-AQ570)/AP570)))</f>
        <v>0.35246831699912512</v>
      </c>
      <c r="AL571" s="18">
        <f>IF($A571&gt;'1-Input'!$B$26,0,(MAX(0,AK561-IF($A571&gt;='1-Input'!$C$12,'1-Input'!$B$12,0))-MIN(MAX(AO570,0),MAX(0,AK561-IF($A571&gt;='1-Input'!$C$12,'1-Input'!$B$12,0))))*(1/(1-'P-Parametri'!$B$6*AK571))+MIN(MAX(0,AP570-(MAX(0,AK561-IF($A571&gt;='1-Input'!$C$12,'1-Input'!$B$12,0))-MIN(MAX(AO570,0),MAX(0,AK561-IF($A571&gt;='1-Input'!$C$12,'1-Input'!$B$12,0))))*(1/(1-'P-Parametri'!$B$6*AK571))),MAX(0,3*AK561-(AO570-MIN(MAX(AO570,0),MAX(0,AK561-IF($A571&gt;='1-Input'!$C$12,'1-Input'!$B$12,0)))))*(1/(1-'P-Parametri'!$B$6*AK571))))</f>
        <v>19534.449468657487</v>
      </c>
      <c r="AM571" s="18">
        <f>IF($A571&gt;'1-Input'!$B$26,AO570,(AO570-MAX(0,AK561-IF($A571&gt;='1-Input'!$C$12,'1-Input'!$B$12,0))+AL571*(1-'P-Parametri'!$B$6*AK571))*(1+'1-Input'!$B$27))</f>
        <v>52474.471775783059</v>
      </c>
      <c r="AN571" s="18">
        <f>IF($A571&gt;'1-Input'!$B$26,AP570,(AP570-AL571)*(1+$C$4))</f>
        <v>307781.74259558832</v>
      </c>
      <c r="AO571" s="18">
        <f>IF($A571&gt;'1-Input'!$B$26,AM571,AM571-'P-Parametri'!$B$8*(AN571+AM571)+MIN(MAX(AN571,0),'P-Parametri'!$B$8*(AN571+AM571)))</f>
        <v>52474.471775783059</v>
      </c>
      <c r="AP571" s="18">
        <f>IF($A571&gt;'1-Input'!$B$26,AN571,AN571-MIN(MAX(AN571,0),'P-Parametri'!$B$8*(AN571+AM571)))</f>
        <v>307061.23016684561</v>
      </c>
      <c r="AQ571" s="18">
        <f>IF($A571&gt;'1-Input'!$B$26,AQ570,AQ570-AL571*(1-AK571))</f>
        <v>193493.62114549841</v>
      </c>
    </row>
    <row r="572" spans="1:43">
      <c r="A572" s="10">
        <f>9</f>
        <v>9</v>
      </c>
      <c r="B572" s="11">
        <f>IF($A572&gt;'1-Input'!$B$26,0,IF(G571&lt;=0,0,MAX(0,(G571-H571)/G571)))</f>
        <v>0.36996393439263986</v>
      </c>
      <c r="C572" s="18">
        <f>IF($A572&gt;'1-Input'!$B$26,0,(MAX(0,B561-IF($A572&gt;='1-Input'!$C$12,'1-Input'!$B$12,0))-MIN(MAX(F571,0),MAX(0,B561-IF($A572&gt;='1-Input'!$C$12,'1-Input'!$B$12,0))))*(1/(1-'P-Parametri'!$B$6*B572))+MIN(MAX(0,G571-(MAX(0,B561-IF($A572&gt;='1-Input'!$C$12,'1-Input'!$B$12,0))-MIN(MAX(F571,0),MAX(0,B561-IF($A572&gt;='1-Input'!$C$12,'1-Input'!$B$12,0))))*(1/(1-'P-Parametri'!$B$6*B572))),MAX(0,3*B561-(F571-MIN(MAX(F571,0),MAX(0,B561-IF($A572&gt;='1-Input'!$C$12,'1-Input'!$B$12,0)))))*(1/(1-'P-Parametri'!$B$6*B572))))</f>
        <v>18655.715618829374</v>
      </c>
      <c r="D572" s="18">
        <f>IF($A572&gt;'1-Input'!$B$26,F571,(F571-MAX(0,B561-IF($A572&gt;='1-Input'!$C$12,'1-Input'!$B$12,0))+C572*(1-'P-Parametri'!$B$6*B572))*(1+'1-Input'!$B$27))</f>
        <v>49863.010546479447</v>
      </c>
      <c r="E572" s="18">
        <f>IF($A572&gt;'1-Input'!$B$26,G571,(G571-C572)*(1+$C$4))</f>
        <v>309367.21254239691</v>
      </c>
      <c r="F572" s="18">
        <f>IF($A572&gt;'1-Input'!$B$26,D572,D572-'P-Parametri'!$B$8*(E572+D572)+MIN(MAX(E572,0),'P-Parametri'!$B$8*(E572+D572)))</f>
        <v>49863.010546479447</v>
      </c>
      <c r="G572" s="18">
        <f>IF($A572&gt;'1-Input'!$B$26,E572,E572-MIN(MAX(E572,0),'P-Parametri'!$B$8*(E572+D572)))</f>
        <v>308648.75209621916</v>
      </c>
      <c r="H572" s="18">
        <f>IF($A572&gt;'1-Input'!$B$26,H571,H571-C572*(1-B572))</f>
        <v>189235.43827002691</v>
      </c>
      <c r="I572" s="11">
        <f>IF($A572&gt;'1-Input'!$B$26,0,IF(N571&lt;=0,0,MAX(0,(N571-O571)/N571)))</f>
        <v>0.36919922673497596</v>
      </c>
      <c r="J572" s="18">
        <f>IF($A572&gt;'1-Input'!$B$26,0,(MAX(0,I561-IF($A572&gt;='1-Input'!$C$12,'1-Input'!$B$12,0))-MIN(MAX(M571,0),MAX(0,I561-IF($A572&gt;='1-Input'!$C$12,'1-Input'!$B$12,0))))*(1/(1-'P-Parametri'!$B$6*I572))+MIN(MAX(0,N571-(MAX(0,I561-IF($A572&gt;='1-Input'!$C$12,'1-Input'!$B$12,0))-MIN(MAX(M571,0),MAX(0,I561-IF($A572&gt;='1-Input'!$C$12,'1-Input'!$B$12,0))))*(1/(1-'P-Parametri'!$B$6*I572))),MAX(0,3*I561-(M571-MIN(MAX(M571,0),MAX(0,I561-IF($A572&gt;='1-Input'!$C$12,'1-Input'!$B$12,0)))))*(1/(1-'P-Parametri'!$B$6*I572))))</f>
        <v>24541.59546640229</v>
      </c>
      <c r="K572" s="18">
        <f>IF($A572&gt;'1-Input'!$B$26,M571,(M571-MAX(0,I561-IF($A572&gt;='1-Input'!$C$12,'1-Input'!$B$12,0))+J572*(1-'P-Parametri'!$B$6*I572))*(1+'1-Input'!$B$27))</f>
        <v>65609.224403262444</v>
      </c>
      <c r="L572" s="18">
        <f>IF($A572&gt;'1-Input'!$B$26,N571,(N571-J572)*(1+$C$4))</f>
        <v>229087.55261979008</v>
      </c>
      <c r="M572" s="18">
        <f>IF($A572&gt;'1-Input'!$B$26,K572,K572-'P-Parametri'!$B$8*(L572+K572)+MIN(MAX(L572,0),'P-Parametri'!$B$8*(L572+K572)))</f>
        <v>65609.224403262444</v>
      </c>
      <c r="N572" s="18">
        <f>IF($A572&gt;'1-Input'!$B$26,L572,L572-MIN(MAX(L572,0),'P-Parametri'!$B$8*(L572+K572)))</f>
        <v>228498.15906574397</v>
      </c>
      <c r="O572" s="18">
        <f>IF($A572&gt;'1-Input'!$B$26,O571,O571-J572*(1-I572))</f>
        <v>140299.61683296645</v>
      </c>
      <c r="P572" s="11">
        <f>IF($A572&gt;'1-Input'!$B$26,0,IF(U571&lt;=0,0,MAX(0,(U571-V571)/U571)))</f>
        <v>0.36984376018889931</v>
      </c>
      <c r="Q572" s="18">
        <f>IF($A572&gt;'1-Input'!$B$26,0,(MAX(0,P561-IF($A572&gt;='1-Input'!$C$12,'1-Input'!$B$12,0))-MIN(MAX(T571,0),MAX(0,P561-IF($A572&gt;='1-Input'!$C$12,'1-Input'!$B$12,0))))*(1/(1-'P-Parametri'!$B$6*P572))+MIN(MAX(0,U571-(MAX(0,P561-IF($A572&gt;='1-Input'!$C$12,'1-Input'!$B$12,0))-MIN(MAX(T571,0),MAX(0,P561-IF($A572&gt;='1-Input'!$C$12,'1-Input'!$B$12,0))))*(1/(1-'P-Parametri'!$B$6*P572))),MAX(0,3*P561-(T571-MIN(MAX(T571,0),MAX(0,P561-IF($A572&gt;='1-Input'!$C$12,'1-Input'!$B$12,0)))))*(1/(1-'P-Parametri'!$B$6*P572))))</f>
        <v>19714.111372994215</v>
      </c>
      <c r="R572" s="18">
        <f>IF($A572&gt;'1-Input'!$B$26,T571,(T571-MAX(0,P561-IF($A572&gt;='1-Input'!$C$12,'1-Input'!$B$12,0))+Q572*(1-'P-Parametri'!$B$6*P572))*(1+'1-Input'!$B$27))</f>
        <v>52693.713097256354</v>
      </c>
      <c r="S572" s="18">
        <f>IF($A572&gt;'1-Input'!$B$26,U571,(U571-Q572)*(1+$C$4))</f>
        <v>294934.1177321765</v>
      </c>
      <c r="T572" s="18">
        <f>IF($A572&gt;'1-Input'!$B$26,R572,R572-'P-Parametri'!$B$8*(S572+R572)+MIN(MAX(S572,0),'P-Parametri'!$B$8*(S572+R572)))</f>
        <v>52693.713097256354</v>
      </c>
      <c r="U572" s="18">
        <f>IF($A572&gt;'1-Input'!$B$26,S572,S572-MIN(MAX(S572,0),'P-Parametri'!$B$8*(S572+R572)))</f>
        <v>294238.86207051761</v>
      </c>
      <c r="V572" s="18">
        <f>IF($A572&gt;'1-Input'!$B$26,V571,V571-Q572*(1-P572))</f>
        <v>180441.33458457555</v>
      </c>
      <c r="W572" s="11">
        <f>IF($A572&gt;'1-Input'!$B$26,0,IF(AB571&lt;=0,0,MAX(0,(AB571-AC571)/AB571)))</f>
        <v>0.36985235330189015</v>
      </c>
      <c r="X572" s="18">
        <f>IF($A572&gt;'1-Input'!$B$26,0,(MAX(0,W561-IF($A572&gt;='1-Input'!$C$12,'1-Input'!$B$12,0))-MIN(MAX(AA571,0),MAX(0,W561-IF($A572&gt;='1-Input'!$C$12,'1-Input'!$B$12,0))))*(1/(1-'P-Parametri'!$B$6*W572))+MIN(MAX(0,AB571-(MAX(0,W561-IF($A572&gt;='1-Input'!$C$12,'1-Input'!$B$12,0))-MIN(MAX(AA571,0),MAX(0,W561-IF($A572&gt;='1-Input'!$C$12,'1-Input'!$B$12,0))))*(1/(1-'P-Parametri'!$B$6*W572))),MAX(0,3*W561-(AA571-MIN(MAX(AA571,0),MAX(0,W561-IF($A572&gt;='1-Input'!$C$12,'1-Input'!$B$12,0)))))*(1/(1-'P-Parametri'!$B$6*W572))))</f>
        <v>19640.284591480824</v>
      </c>
      <c r="Y572" s="18">
        <f>IF($A572&gt;'1-Input'!$B$26,AA571,(AA571-MAX(0,W561-IF($A572&gt;='1-Input'!$C$12,'1-Input'!$B$12,0))+X572*(1-'P-Parametri'!$B$6*W572))*(1+'1-Input'!$B$27))</f>
        <v>52496.252233084</v>
      </c>
      <c r="Z572" s="18">
        <f>IF($A572&gt;'1-Input'!$B$26,AB571,(AB571-X572)*(1+$C$4))</f>
        <v>295940.90960784466</v>
      </c>
      <c r="AA572" s="18">
        <f>IF($A572&gt;'1-Input'!$B$26,Y572,Y572-'P-Parametri'!$B$8*(Z572+Y572)+MIN(MAX(Z572,0),'P-Parametri'!$B$8*(Z572+Y572)))</f>
        <v>52496.252233084</v>
      </c>
      <c r="AB572" s="18">
        <f>IF($A572&gt;'1-Input'!$B$26,Z572,Z572-MIN(MAX(Z572,0),'P-Parametri'!$B$8*(Z572+Y572)))</f>
        <v>295244.03528416279</v>
      </c>
      <c r="AC572" s="18">
        <f>IF($A572&gt;'1-Input'!$B$26,AC571,AC571-X572*(1-W572))</f>
        <v>181054.82305930226</v>
      </c>
      <c r="AD572" s="11">
        <f>IF($A572&gt;'1-Input'!$B$26,0,IF(AI571&lt;=0,0,MAX(0,(AI571-AJ571)/AI571)))</f>
        <v>0.3698533587928684</v>
      </c>
      <c r="AE572" s="18">
        <f>IF($A572&gt;'1-Input'!$B$26,0,(MAX(0,AD561-IF($A572&gt;='1-Input'!$C$12,'1-Input'!$B$12,0))-MIN(MAX(AH571,0),MAX(0,AD561-IF($A572&gt;='1-Input'!$C$12,'1-Input'!$B$12,0))))*(1/(1-'P-Parametri'!$B$6*AD572))+MIN(MAX(0,AI571-(MAX(0,AD561-IF($A572&gt;='1-Input'!$C$12,'1-Input'!$B$12,0))-MIN(MAX(AH571,0),MAX(0,AD561-IF($A572&gt;='1-Input'!$C$12,'1-Input'!$B$12,0))))*(1/(1-'P-Parametri'!$B$6*AD572))),MAX(0,3*AD561-(AH571-MIN(MAX(AH571,0),MAX(0,AD561-IF($A572&gt;='1-Input'!$C$12,'1-Input'!$B$12,0)))))*(1/(1-'P-Parametri'!$B$6*AD572))))</f>
        <v>19631.627748048235</v>
      </c>
      <c r="AF572" s="18">
        <f>IF($A572&gt;'1-Input'!$B$26,AH571,(AH571-MAX(0,AD561-IF($A572&gt;='1-Input'!$C$12,'1-Input'!$B$12,0))+AE572*(1-'P-Parametri'!$B$6*AD572))*(1+'1-Input'!$B$27))</f>
        <v>52473.098295428375</v>
      </c>
      <c r="AG572" s="18">
        <f>IF($A572&gt;'1-Input'!$B$26,AI571,(AI571-AE572)*(1+$C$4))</f>
        <v>296058.9645272654</v>
      </c>
      <c r="AH572" s="18">
        <f>IF($A572&gt;'1-Input'!$B$26,AF572,AF572-'P-Parametri'!$B$8*(AG572+AF572)+MIN(MAX(AG572,0),'P-Parametri'!$B$8*(AG572+AF572)))</f>
        <v>52473.098295428375</v>
      </c>
      <c r="AI572" s="18">
        <f>IF($A572&gt;'1-Input'!$B$26,AG572,AG572-MIN(MAX(AG572,0),'P-Parametri'!$B$8*(AG572+AF572)))</f>
        <v>295361.90040162002</v>
      </c>
      <c r="AJ572" s="18">
        <f>IF($A572&gt;'1-Input'!$B$26,AJ571,AJ571-AE572*(1-AD572))</f>
        <v>181126.75931661902</v>
      </c>
      <c r="AK572" s="11">
        <f>IF($A572&gt;'1-Input'!$B$26,0,IF(AP571&lt;=0,0,MAX(0,(AP571-AQ571)/AP571)))</f>
        <v>0.36985329916003656</v>
      </c>
      <c r="AL572" s="18">
        <f>IF($A572&gt;'1-Input'!$B$26,0,(MAX(0,AK561-IF($A572&gt;='1-Input'!$C$12,'1-Input'!$B$12,0))-MIN(MAX(AO571,0),MAX(0,AK561-IF($A572&gt;='1-Input'!$C$12,'1-Input'!$B$12,0))))*(1/(1-'P-Parametri'!$B$6*AK572))+MIN(MAX(0,AP571-(MAX(0,AK561-IF($A572&gt;='1-Input'!$C$12,'1-Input'!$B$12,0))-MIN(MAX(AO571,0),MAX(0,AK561-IF($A572&gt;='1-Input'!$C$12,'1-Input'!$B$12,0))))*(1/(1-'P-Parametri'!$B$6*AK572))),MAX(0,3*AK561-(AO571-MIN(MAX(AO571,0),MAX(0,AK561-IF($A572&gt;='1-Input'!$C$12,'1-Input'!$B$12,0)))))*(1/(1-'P-Parametri'!$B$6*AK572))))</f>
        <v>19632.141268012845</v>
      </c>
      <c r="AM572" s="18">
        <f>IF($A572&gt;'1-Input'!$B$26,AO571,(AO571-MAX(0,AK561-IF($A572&gt;='1-Input'!$C$12,'1-Input'!$B$12,0))+AL572*(1-'P-Parametri'!$B$6*AK572))*(1+'1-Input'!$B$27))</f>
        <v>52474.471775783059</v>
      </c>
      <c r="AN572" s="18">
        <f>IF($A572&gt;'1-Input'!$B$26,AP571,(AP571-AL572)*(1+$C$4))</f>
        <v>296051.96156579774</v>
      </c>
      <c r="AO572" s="18">
        <f>IF($A572&gt;'1-Input'!$B$26,AM572,AM572-'P-Parametri'!$B$8*(AN572+AM572)+MIN(MAX(AN572,0),'P-Parametri'!$B$8*(AN572+AM572)))</f>
        <v>52474.471775783059</v>
      </c>
      <c r="AP572" s="18">
        <f>IF($A572&gt;'1-Input'!$B$26,AN572,AN572-MIN(MAX(AN572,0),'P-Parametri'!$B$8*(AN572+AM572)))</f>
        <v>295354.90869911457</v>
      </c>
      <c r="AQ572" s="18">
        <f>IF($A572&gt;'1-Input'!$B$26,AQ571,AQ571-AL572*(1-AK572))</f>
        <v>181122.49209503602</v>
      </c>
    </row>
    <row r="573" spans="1:43">
      <c r="A573" s="10">
        <f>10</f>
        <v>10</v>
      </c>
      <c r="B573" s="11">
        <f>IF($A573&gt;'1-Input'!$B$26,0,IF(G572&lt;=0,0,MAX(0,(G572-H572)/G572)))</f>
        <v>0.3868906419196082</v>
      </c>
      <c r="C573" s="18">
        <f>IF($A573&gt;'1-Input'!$B$26,0,(MAX(0,B561-IF($A573&gt;='1-Input'!$C$12,'1-Input'!$B$12,0))-MIN(MAX(F572,0),MAX(0,B561-IF($A573&gt;='1-Input'!$C$12,'1-Input'!$B$12,0))))*(1/(1-'P-Parametri'!$B$6*B573))+MIN(MAX(0,G572-(MAX(0,B561-IF($A573&gt;='1-Input'!$C$12,'1-Input'!$B$12,0))-MIN(MAX(F572,0),MAX(0,B561-IF($A573&gt;='1-Input'!$C$12,'1-Input'!$B$12,0))))*(1/(1-'P-Parametri'!$B$6*B573))),MAX(0,3*B561-(F572-MIN(MAX(F572,0),MAX(0,B561-IF($A573&gt;='1-Input'!$C$12,'1-Input'!$B$12,0)))))*(1/(1-'P-Parametri'!$B$6*B573))))</f>
        <v>18747.000908020345</v>
      </c>
      <c r="D573" s="18">
        <f>IF($A573&gt;'1-Input'!$B$26,F572,(F572-MAX(0,B561-IF($A573&gt;='1-Input'!$C$12,'1-Input'!$B$12,0))+C573*(1-'P-Parametri'!$B$6*B573))*(1+'1-Input'!$B$27))</f>
        <v>49863.010546479447</v>
      </c>
      <c r="E573" s="18">
        <f>IF($A573&gt;'1-Input'!$B$26,G572,(G572-C573)*(1+$C$4))</f>
        <v>298598.80372384476</v>
      </c>
      <c r="F573" s="18">
        <f>IF($A573&gt;'1-Input'!$B$26,D573,D573-'P-Parametri'!$B$8*(E573+D573)+MIN(MAX(E573,0),'P-Parametri'!$B$8*(E573+D573)))</f>
        <v>49863.010546479447</v>
      </c>
      <c r="G573" s="18">
        <f>IF($A573&gt;'1-Input'!$B$26,E573,E573-MIN(MAX(E573,0),'P-Parametri'!$B$8*(E573+D573)))</f>
        <v>297901.88009530411</v>
      </c>
      <c r="H573" s="18">
        <f>IF($A573&gt;'1-Input'!$B$26,H572,H572-C573*(1-B573))</f>
        <v>177741.47657737802</v>
      </c>
      <c r="I573" s="11">
        <f>IF($A573&gt;'1-Input'!$B$26,0,IF(N572&lt;=0,0,MAX(0,(N572-O572)/N572)))</f>
        <v>0.38599235369507223</v>
      </c>
      <c r="J573" s="18">
        <f>IF($A573&gt;'1-Input'!$B$26,0,(MAX(0,I561-IF($A573&gt;='1-Input'!$C$12,'1-Input'!$B$12,0))-MIN(MAX(M572,0),MAX(0,I561-IF($A573&gt;='1-Input'!$C$12,'1-Input'!$B$12,0))))*(1/(1-'P-Parametri'!$B$6*I573))+MIN(MAX(0,N572-(MAX(0,I561-IF($A573&gt;='1-Input'!$C$12,'1-Input'!$B$12,0))-MIN(MAX(M572,0),MAX(0,I561-IF($A573&gt;='1-Input'!$C$12,'1-Input'!$B$12,0))))*(1/(1-'P-Parametri'!$B$6*I573))),MAX(0,3*I561-(M572-MIN(MAX(M572,0),MAX(0,I561-IF($A573&gt;='1-Input'!$C$12,'1-Input'!$B$12,0)))))*(1/(1-'P-Parametri'!$B$6*I573))))</f>
        <v>24660.702661071915</v>
      </c>
      <c r="K573" s="18">
        <f>IF($A573&gt;'1-Input'!$B$26,M572,(M572-MAX(0,I561-IF($A573&gt;='1-Input'!$C$12,'1-Input'!$B$12,0))+J573*(1-'P-Parametri'!$B$6*I573))*(1+'1-Input'!$B$27))</f>
        <v>65609.224403262444</v>
      </c>
      <c r="L573" s="18">
        <f>IF($A573&gt;'1-Input'!$B$26,N572,(N572-J573)*(1+$C$4))</f>
        <v>209952.58009681222</v>
      </c>
      <c r="M573" s="18">
        <f>IF($A573&gt;'1-Input'!$B$26,K573,K573-'P-Parametri'!$B$8*(L573+K573)+MIN(MAX(L573,0),'P-Parametri'!$B$8*(L573+K573)))</f>
        <v>65609.224403262444</v>
      </c>
      <c r="N573" s="18">
        <f>IF($A573&gt;'1-Input'!$B$26,L573,L573-MIN(MAX(L573,0),'P-Parametri'!$B$8*(L573+K573)))</f>
        <v>209401.45648781207</v>
      </c>
      <c r="O573" s="18">
        <f>IF($A573&gt;'1-Input'!$B$26,O572,O572-J573*(1-I573))</f>
        <v>125157.75683581602</v>
      </c>
      <c r="P573" s="11">
        <f>IF($A573&gt;'1-Input'!$B$26,0,IF(U572&lt;=0,0,MAX(0,(U572-V572)/U572)))</f>
        <v>0.38675220086553086</v>
      </c>
      <c r="Q573" s="18">
        <f>IF($A573&gt;'1-Input'!$B$26,0,(MAX(0,P561-IF($A573&gt;='1-Input'!$C$12,'1-Input'!$B$12,0))-MIN(MAX(T572,0),MAX(0,P561-IF($A573&gt;='1-Input'!$C$12,'1-Input'!$B$12,0))))*(1/(1-'P-Parametri'!$B$6*P573))+MIN(MAX(0,U572-(MAX(0,P561-IF($A573&gt;='1-Input'!$C$12,'1-Input'!$B$12,0))-MIN(MAX(T572,0),MAX(0,P561-IF($A573&gt;='1-Input'!$C$12,'1-Input'!$B$12,0))))*(1/(1-'P-Parametri'!$B$6*P573))),MAX(0,3*P561-(T572-MIN(MAX(T572,0),MAX(0,P561-IF($A573&gt;='1-Input'!$C$12,'1-Input'!$B$12,0)))))*(1/(1-'P-Parametri'!$B$6*P573))))</f>
        <v>19810.467597804589</v>
      </c>
      <c r="R573" s="18">
        <f>IF($A573&gt;'1-Input'!$B$26,T572,(T572-MAX(0,P561-IF($A573&gt;='1-Input'!$C$12,'1-Input'!$B$12,0))+Q573*(1-'P-Parametri'!$B$6*P573))*(1+'1-Input'!$B$27))</f>
        <v>52693.713097256354</v>
      </c>
      <c r="S573" s="18">
        <f>IF($A573&gt;'1-Input'!$B$26,U572,(U572-Q573)*(1+$C$4))</f>
        <v>282661.24630689441</v>
      </c>
      <c r="T573" s="18">
        <f>IF($A573&gt;'1-Input'!$B$26,R573,R573-'P-Parametri'!$B$8*(S573+R573)+MIN(MAX(S573,0),'P-Parametri'!$B$8*(S573+R573)))</f>
        <v>52693.713097256354</v>
      </c>
      <c r="U573" s="18">
        <f>IF($A573&gt;'1-Input'!$B$26,S573,S573-MIN(MAX(S573,0),'P-Parametri'!$B$8*(S573+R573)))</f>
        <v>281990.5363880861</v>
      </c>
      <c r="V573" s="18">
        <f>IF($A573&gt;'1-Input'!$B$26,V572,V572-Q573*(1-P573))</f>
        <v>168292.60893039717</v>
      </c>
      <c r="W573" s="11">
        <f>IF($A573&gt;'1-Input'!$B$26,0,IF(AB572&lt;=0,0,MAX(0,(AB572-AC572)/AB572)))</f>
        <v>0.38676213090962913</v>
      </c>
      <c r="X573" s="18">
        <f>IF($A573&gt;'1-Input'!$B$26,0,(MAX(0,W561-IF($A573&gt;='1-Input'!$C$12,'1-Input'!$B$12,0))-MIN(MAX(AA572,0),MAX(0,W561-IF($A573&gt;='1-Input'!$C$12,'1-Input'!$B$12,0))))*(1/(1-'P-Parametri'!$B$6*W573))+MIN(MAX(0,AB572-(MAX(0,W561-IF($A573&gt;='1-Input'!$C$12,'1-Input'!$B$12,0))-MIN(MAX(AA572,0),MAX(0,W561-IF($A573&gt;='1-Input'!$C$12,'1-Input'!$B$12,0))))*(1/(1-'P-Parametri'!$B$6*W573))),MAX(0,3*W561-(AA572-MIN(MAX(AA572,0),MAX(0,W561-IF($A573&gt;='1-Input'!$C$12,'1-Input'!$B$12,0)))))*(1/(1-'P-Parametri'!$B$6*W573))))</f>
        <v>19736.287840587062</v>
      </c>
      <c r="Y573" s="18">
        <f>IF($A573&gt;'1-Input'!$B$26,AA572,(AA572-MAX(0,W561-IF($A573&gt;='1-Input'!$C$12,'1-Input'!$B$12,0))+X573*(1-'P-Parametri'!$B$6*W573))*(1+'1-Input'!$B$27))</f>
        <v>52496.252233084</v>
      </c>
      <c r="Z573" s="18">
        <f>IF($A573&gt;'1-Input'!$B$26,AB572,(AB572-X573)*(1+$C$4))</f>
        <v>283772.97986688296</v>
      </c>
      <c r="AA573" s="18">
        <f>IF($A573&gt;'1-Input'!$B$26,Y573,Y573-'P-Parametri'!$B$8*(Z573+Y573)+MIN(MAX(Z573,0),'P-Parametri'!$B$8*(Z573+Y573)))</f>
        <v>52496.252233084</v>
      </c>
      <c r="AB573" s="18">
        <f>IF($A573&gt;'1-Input'!$B$26,Z573,Z573-MIN(MAX(Z573,0),'P-Parametri'!$B$8*(Z573+Y573)))</f>
        <v>283100.44140268303</v>
      </c>
      <c r="AC573" s="18">
        <f>IF($A573&gt;'1-Input'!$B$26,AC572,AC572-X573*(1-W573))</f>
        <v>168951.78396018647</v>
      </c>
      <c r="AD573" s="11">
        <f>IF($A573&gt;'1-Input'!$B$26,0,IF(AI572&lt;=0,0,MAX(0,(AI572-AJ572)/AI572)))</f>
        <v>0.38676329252239072</v>
      </c>
      <c r="AE573" s="18">
        <f>IF($A573&gt;'1-Input'!$B$26,0,(MAX(0,AD561-IF($A573&gt;='1-Input'!$C$12,'1-Input'!$B$12,0))-MIN(MAX(AH572,0),MAX(0,AD561-IF($A573&gt;='1-Input'!$C$12,'1-Input'!$B$12,0))))*(1/(1-'P-Parametri'!$B$6*AD573))+MIN(MAX(0,AI572-(MAX(0,AD561-IF($A573&gt;='1-Input'!$C$12,'1-Input'!$B$12,0))-MIN(MAX(AH572,0),MAX(0,AD561-IF($A573&gt;='1-Input'!$C$12,'1-Input'!$B$12,0))))*(1/(1-'P-Parametri'!$B$6*AD573))),MAX(0,3*AD561-(AH572-MIN(MAX(AH572,0),MAX(0,AD561-IF($A573&gt;='1-Input'!$C$12,'1-Input'!$B$12,0)))))*(1/(1-'P-Parametri'!$B$6*AD573))))</f>
        <v>19727.589600020587</v>
      </c>
      <c r="AF573" s="18">
        <f>IF($A573&gt;'1-Input'!$B$26,AH572,(AH572-MAX(0,AD561-IF($A573&gt;='1-Input'!$C$12,'1-Input'!$B$12,0))+AE573*(1-'P-Parametri'!$B$6*AD573))*(1+'1-Input'!$B$27))</f>
        <v>52473.098295428375</v>
      </c>
      <c r="AG573" s="18">
        <f>IF($A573&gt;'1-Input'!$B$26,AI572,(AI572-AE573)*(1+$C$4))</f>
        <v>283903.34012564737</v>
      </c>
      <c r="AH573" s="18">
        <f>IF($A573&gt;'1-Input'!$B$26,AF573,AF573-'P-Parametri'!$B$8*(AG573+AF573)+MIN(MAX(AG573,0),'P-Parametri'!$B$8*(AG573+AF573)))</f>
        <v>52473.098295428375</v>
      </c>
      <c r="AI573" s="18">
        <f>IF($A573&gt;'1-Input'!$B$26,AG573,AG573-MIN(MAX(AG573,0),'P-Parametri'!$B$8*(AG573+AF573)))</f>
        <v>283230.58724880521</v>
      </c>
      <c r="AJ573" s="18">
        <f>IF($A573&gt;'1-Input'!$B$26,AJ572,AJ572-AE573*(1-AD573))</f>
        <v>169029.07722383286</v>
      </c>
      <c r="AK573" s="11">
        <f>IF($A573&gt;'1-Input'!$B$26,0,IF(AP572&lt;=0,0,MAX(0,(AP572-AQ572)/AP572)))</f>
        <v>0.38676322363225041</v>
      </c>
      <c r="AL573" s="18">
        <f>IF($A573&gt;'1-Input'!$B$26,0,(MAX(0,AK561-IF($A573&gt;='1-Input'!$C$12,'1-Input'!$B$12,0))-MIN(MAX(AO572,0),MAX(0,AK561-IF($A573&gt;='1-Input'!$C$12,'1-Input'!$B$12,0))))*(1/(1-'P-Parametri'!$B$6*AK573))+MIN(MAX(0,AP572-(MAX(0,AK561-IF($A573&gt;='1-Input'!$C$12,'1-Input'!$B$12,0))-MIN(MAX(AO572,0),MAX(0,AK561-IF($A573&gt;='1-Input'!$C$12,'1-Input'!$B$12,0))))*(1/(1-'P-Parametri'!$B$6*AK573))),MAX(0,3*AK561-(AO572-MIN(MAX(AO572,0),MAX(0,AK561-IF($A573&gt;='1-Input'!$C$12,'1-Input'!$B$12,0)))))*(1/(1-'P-Parametri'!$B$6*AK573))))</f>
        <v>19728.105575688496</v>
      </c>
      <c r="AM573" s="18">
        <f>IF($A573&gt;'1-Input'!$B$26,AO572,(AO572-MAX(0,AK561-IF($A573&gt;='1-Input'!$C$12,'1-Input'!$B$12,0))+AL573*(1-'P-Parametri'!$B$6*AK573))*(1+'1-Input'!$B$27))</f>
        <v>52474.471775783059</v>
      </c>
      <c r="AN573" s="18">
        <f>IF($A573&gt;'1-Input'!$B$26,AP572,(AP572-AL573)*(1+$C$4))</f>
        <v>283895.60721712891</v>
      </c>
      <c r="AO573" s="18">
        <f>IF($A573&gt;'1-Input'!$B$26,AM573,AM573-'P-Parametri'!$B$8*(AN573+AM573)+MIN(MAX(AN573,0),'P-Parametri'!$B$8*(AN573+AM573)))</f>
        <v>52474.471775783059</v>
      </c>
      <c r="AP573" s="18">
        <f>IF($A573&gt;'1-Input'!$B$26,AN573,AN573-MIN(MAX(AN573,0),'P-Parametri'!$B$8*(AN573+AM573)))</f>
        <v>283222.86705914309</v>
      </c>
      <c r="AQ573" s="18">
        <f>IF($A573&gt;'1-Input'!$B$26,AQ572,AQ572-AL573*(1-AK573))</f>
        <v>169024.4922279582</v>
      </c>
    </row>
    <row r="574" spans="1:43">
      <c r="A574" s="10">
        <f>11</f>
        <v>11</v>
      </c>
      <c r="B574" s="11">
        <f>IF($A574&gt;'1-Input'!$B$26,0,IF(G573&lt;=0,0,MAX(0,(G573-H573)/G573)))</f>
        <v>0.40335564004995417</v>
      </c>
      <c r="C574" s="18">
        <f>IF($A574&gt;'1-Input'!$B$26,0,(MAX(0,B561-IF($A574&gt;='1-Input'!$C$12,'1-Input'!$B$12,0))-MIN(MAX(F573,0),MAX(0,B561-IF($A574&gt;='1-Input'!$C$12,'1-Input'!$B$12,0))))*(1/(1-'P-Parametri'!$B$6*B574))+MIN(MAX(0,G573-(MAX(0,B561-IF($A574&gt;='1-Input'!$C$12,'1-Input'!$B$12,0))-MIN(MAX(F573,0),MAX(0,B561-IF($A574&gt;='1-Input'!$C$12,'1-Input'!$B$12,0))))*(1/(1-'P-Parametri'!$B$6*B574))),MAX(0,3*B561-(F573-MIN(MAX(F573,0),MAX(0,B561-IF($A574&gt;='1-Input'!$C$12,'1-Input'!$B$12,0)))))*(1/(1-'P-Parametri'!$B$6*B574))))</f>
        <v>18836.657436350382</v>
      </c>
      <c r="D574" s="18">
        <f>IF($A574&gt;'1-Input'!$B$26,F573,(F573-MAX(0,B561-IF($A574&gt;='1-Input'!$C$12,'1-Input'!$B$12,0))+C574*(1-'P-Parametri'!$B$6*B574))*(1+'1-Input'!$B$27))</f>
        <v>49863.010546479447</v>
      </c>
      <c r="E574" s="18">
        <f>IF($A574&gt;'1-Input'!$B$26,G573,(G573-C574)*(1+$C$4))</f>
        <v>287437.17933872237</v>
      </c>
      <c r="F574" s="18">
        <f>IF($A574&gt;'1-Input'!$B$26,D574,D574-'P-Parametri'!$B$8*(E574+D574)+MIN(MAX(E574,0),'P-Parametri'!$B$8*(E574+D574)))</f>
        <v>49863.010546479447</v>
      </c>
      <c r="G574" s="18">
        <f>IF($A574&gt;'1-Input'!$B$26,E574,E574-MIN(MAX(E574,0),'P-Parametri'!$B$8*(E574+D574)))</f>
        <v>286762.57895895198</v>
      </c>
      <c r="H574" s="18">
        <f>IF($A574&gt;'1-Input'!$B$26,H573,H573-C574*(1-B574))</f>
        <v>166502.69115766848</v>
      </c>
      <c r="I574" s="11">
        <f>IF($A574&gt;'1-Input'!$B$26,0,IF(N573&lt;=0,0,MAX(0,(N573-O573)/N573)))</f>
        <v>0.40230713322139355</v>
      </c>
      <c r="J574" s="18">
        <f>IF($A574&gt;'1-Input'!$B$26,0,(MAX(0,I561-IF($A574&gt;='1-Input'!$C$12,'1-Input'!$B$12,0))-MIN(MAX(M573,0),MAX(0,I561-IF($A574&gt;='1-Input'!$C$12,'1-Input'!$B$12,0))))*(1/(1-'P-Parametri'!$B$6*I574))+MIN(MAX(0,N573-(MAX(0,I561-IF($A574&gt;='1-Input'!$C$12,'1-Input'!$B$12,0))-MIN(MAX(M573,0),MAX(0,I561-IF($A574&gt;='1-Input'!$C$12,'1-Input'!$B$12,0))))*(1/(1-'P-Parametri'!$B$6*I574))),MAX(0,3*I561-(M573-MIN(MAX(M573,0),MAX(0,I561-IF($A574&gt;='1-Input'!$C$12,'1-Input'!$B$12,0)))))*(1/(1-'P-Parametri'!$B$6*I574))))</f>
        <v>24777.529558555096</v>
      </c>
      <c r="K574" s="18">
        <f>IF($A574&gt;'1-Input'!$B$26,M573,(M573-MAX(0,I561-IF($A574&gt;='1-Input'!$C$12,'1-Input'!$B$12,0))+J574*(1-'P-Parametri'!$B$6*I574))*(1+'1-Input'!$B$27))</f>
        <v>65609.224403262444</v>
      </c>
      <c r="L574" s="18">
        <f>IF($A574&gt;'1-Input'!$B$26,N573,(N573-J574)*(1+$C$4))</f>
        <v>190162.64473713469</v>
      </c>
      <c r="M574" s="18">
        <f>IF($A574&gt;'1-Input'!$B$26,K574,K574-'P-Parametri'!$B$8*(L574+K574)+MIN(MAX(L574,0),'P-Parametri'!$B$8*(L574+K574)))</f>
        <v>65609.224403262444</v>
      </c>
      <c r="N574" s="18">
        <f>IF($A574&gt;'1-Input'!$B$26,L574,L574-MIN(MAX(L574,0),'P-Parametri'!$B$8*(L574+K574)))</f>
        <v>189651.10099885389</v>
      </c>
      <c r="O574" s="18">
        <f>IF($A574&gt;'1-Input'!$B$26,O573,O573-J574*(1-I574))</f>
        <v>110348.40416227156</v>
      </c>
      <c r="P574" s="11">
        <f>IF($A574&gt;'1-Input'!$B$26,0,IF(U573&lt;=0,0,MAX(0,(U573-V573)/U573)))</f>
        <v>0.40319767079421953</v>
      </c>
      <c r="Q574" s="18">
        <f>IF($A574&gt;'1-Input'!$B$26,0,(MAX(0,P561-IF($A574&gt;='1-Input'!$C$12,'1-Input'!$B$12,0))-MIN(MAX(T573,0),MAX(0,P561-IF($A574&gt;='1-Input'!$C$12,'1-Input'!$B$12,0))))*(1/(1-'P-Parametri'!$B$6*P574))+MIN(MAX(0,U573-(MAX(0,P561-IF($A574&gt;='1-Input'!$C$12,'1-Input'!$B$12,0))-MIN(MAX(T573,0),MAX(0,P561-IF($A574&gt;='1-Input'!$C$12,'1-Input'!$B$12,0))))*(1/(1-'P-Parametri'!$B$6*P574))),MAX(0,3*P561-(T573-MIN(MAX(T573,0),MAX(0,P561-IF($A574&gt;='1-Input'!$C$12,'1-Input'!$B$12,0)))))*(1/(1-'P-Parametri'!$B$6*P574))))</f>
        <v>19905.093388131103</v>
      </c>
      <c r="R574" s="18">
        <f>IF($A574&gt;'1-Input'!$B$26,T573,(T573-MAX(0,P561-IF($A574&gt;='1-Input'!$C$12,'1-Input'!$B$12,0))+Q574*(1-'P-Parametri'!$B$6*P574))*(1+'1-Input'!$B$27))</f>
        <v>52693.713097256354</v>
      </c>
      <c r="S574" s="18">
        <f>IF($A574&gt;'1-Input'!$B$26,U573,(U573-Q574)*(1+$C$4))</f>
        <v>269948.00628995366</v>
      </c>
      <c r="T574" s="18">
        <f>IF($A574&gt;'1-Input'!$B$26,R574,R574-'P-Parametri'!$B$8*(S574+R574)+MIN(MAX(S574,0),'P-Parametri'!$B$8*(S574+R574)))</f>
        <v>52693.713097256354</v>
      </c>
      <c r="U574" s="18">
        <f>IF($A574&gt;'1-Input'!$B$26,S574,S574-MIN(MAX(S574,0),'P-Parametri'!$B$8*(S574+R574)))</f>
        <v>269302.72285117925</v>
      </c>
      <c r="V574" s="18">
        <f>IF($A574&gt;'1-Input'!$B$26,V573,V573-Q574*(1-P574))</f>
        <v>156413.20283330194</v>
      </c>
      <c r="W574" s="11">
        <f>IF($A574&gt;'1-Input'!$B$26,0,IF(AB573&lt;=0,0,MAX(0,(AB573-AC573)/AB573)))</f>
        <v>0.40320904085109188</v>
      </c>
      <c r="X574" s="18">
        <f>IF($A574&gt;'1-Input'!$B$26,0,(MAX(0,W561-IF($A574&gt;='1-Input'!$C$12,'1-Input'!$B$12,0))-MIN(MAX(AA573,0),MAX(0,W561-IF($A574&gt;='1-Input'!$C$12,'1-Input'!$B$12,0))))*(1/(1-'P-Parametri'!$B$6*W574))+MIN(MAX(0,AB573-(MAX(0,W561-IF($A574&gt;='1-Input'!$C$12,'1-Input'!$B$12,0))-MIN(MAX(AA573,0),MAX(0,W561-IF($A574&gt;='1-Input'!$C$12,'1-Input'!$B$12,0))))*(1/(1-'P-Parametri'!$B$6*W574))),MAX(0,3*W561-(AA573-MIN(MAX(AA573,0),MAX(0,W561-IF($A574&gt;='1-Input'!$C$12,'1-Input'!$B$12,0)))))*(1/(1-'P-Parametri'!$B$6*W574))))</f>
        <v>19830.567873247757</v>
      </c>
      <c r="Y574" s="18">
        <f>IF($A574&gt;'1-Input'!$B$26,AA573,(AA573-MAX(0,W561-IF($A574&gt;='1-Input'!$C$12,'1-Input'!$B$12,0))+X574*(1-'P-Parametri'!$B$6*W574))*(1+'1-Input'!$B$27))</f>
        <v>52496.252233084</v>
      </c>
      <c r="Z574" s="18">
        <f>IF($A574&gt;'1-Input'!$B$26,AB573,(AB573-X574)*(1+$C$4))</f>
        <v>271167.96973531833</v>
      </c>
      <c r="AA574" s="18">
        <f>IF($A574&gt;'1-Input'!$B$26,Y574,Y574-'P-Parametri'!$B$8*(Z574+Y574)+MIN(MAX(Z574,0),'P-Parametri'!$B$8*(Z574+Y574)))</f>
        <v>52496.252233084</v>
      </c>
      <c r="AB574" s="18">
        <f>IF($A574&gt;'1-Input'!$B$26,Z574,Z574-MIN(MAX(Z574,0),'P-Parametri'!$B$8*(Z574+Y574)))</f>
        <v>270520.6412913815</v>
      </c>
      <c r="AC574" s="18">
        <f>IF($A574&gt;'1-Input'!$B$26,AC573,AC573-X574*(1-W574))</f>
        <v>157117.08033864343</v>
      </c>
      <c r="AD574" s="11">
        <f>IF($A574&gt;'1-Input'!$B$26,0,IF(AI573&lt;=0,0,MAX(0,(AI573-AJ573)/AI573)))</f>
        <v>0.40321037051217745</v>
      </c>
      <c r="AE574" s="18">
        <f>IF($A574&gt;'1-Input'!$B$26,0,(MAX(0,AD561-IF($A574&gt;='1-Input'!$C$12,'1-Input'!$B$12,0))-MIN(MAX(AH573,0),MAX(0,AD561-IF($A574&gt;='1-Input'!$C$12,'1-Input'!$B$12,0))))*(1/(1-'P-Parametri'!$B$6*AD574))+MIN(MAX(0,AI573-(MAX(0,AD561-IF($A574&gt;='1-Input'!$C$12,'1-Input'!$B$12,0))-MIN(MAX(AH573,0),MAX(0,AD561-IF($A574&gt;='1-Input'!$C$12,'1-Input'!$B$12,0))))*(1/(1-'P-Parametri'!$B$6*AD574))),MAX(0,3*AD561-(AH573-MIN(MAX(AH573,0),MAX(0,AD561-IF($A574&gt;='1-Input'!$C$12,'1-Input'!$B$12,0)))))*(1/(1-'P-Parametri'!$B$6*AD574))))</f>
        <v>19821.829080569009</v>
      </c>
      <c r="AF574" s="18">
        <f>IF($A574&gt;'1-Input'!$B$26,AH573,(AH573-MAX(0,AD561-IF($A574&gt;='1-Input'!$C$12,'1-Input'!$B$12,0))+AE574*(1-'P-Parametri'!$B$6*AD574))*(1+'1-Input'!$B$27))</f>
        <v>52473.098295428375</v>
      </c>
      <c r="AG574" s="18">
        <f>IF($A574&gt;'1-Input'!$B$26,AI573,(AI573-AE574)*(1+$C$4))</f>
        <v>271311.02091328328</v>
      </c>
      <c r="AH574" s="18">
        <f>IF($A574&gt;'1-Input'!$B$26,AF574,AF574-'P-Parametri'!$B$8*(AG574+AF574)+MIN(MAX(AG574,0),'P-Parametri'!$B$8*(AG574+AF574)))</f>
        <v>52473.098295428375</v>
      </c>
      <c r="AI574" s="18">
        <f>IF($A574&gt;'1-Input'!$B$26,AG574,AG574-MIN(MAX(AG574,0),'P-Parametri'!$B$8*(AG574+AF574)))</f>
        <v>270663.45267486584</v>
      </c>
      <c r="AJ574" s="18">
        <f>IF($A574&gt;'1-Input'!$B$26,AJ573,AJ573-AE574*(1-AD574))</f>
        <v>157199.61519106914</v>
      </c>
      <c r="AK574" s="11">
        <f>IF($A574&gt;'1-Input'!$B$26,0,IF(AP573&lt;=0,0,MAX(0,(AP573-AQ573)/AP573)))</f>
        <v>0.40321029165818661</v>
      </c>
      <c r="AL574" s="18">
        <f>IF($A574&gt;'1-Input'!$B$26,0,(MAX(0,AK561-IF($A574&gt;='1-Input'!$C$12,'1-Input'!$B$12,0))-MIN(MAX(AO573,0),MAX(0,AK561-IF($A574&gt;='1-Input'!$C$12,'1-Input'!$B$12,0))))*(1/(1-'P-Parametri'!$B$6*AK574))+MIN(MAX(0,AP573-(MAX(0,AK561-IF($A574&gt;='1-Input'!$C$12,'1-Input'!$B$12,0))-MIN(MAX(AO573,0),MAX(0,AK561-IF($A574&gt;='1-Input'!$C$12,'1-Input'!$B$12,0))))*(1/(1-'P-Parametri'!$B$6*AK574))),MAX(0,3*AK561-(AO573-MIN(MAX(AO573,0),MAX(0,AK561-IF($A574&gt;='1-Input'!$C$12,'1-Input'!$B$12,0)))))*(1/(1-'P-Parametri'!$B$6*AK574))))</f>
        <v>19822.34746182181</v>
      </c>
      <c r="AM574" s="18">
        <f>IF($A574&gt;'1-Input'!$B$26,AO573,(AO573-MAX(0,AK561-IF($A574&gt;='1-Input'!$C$12,'1-Input'!$B$12,0))+AL574*(1-'P-Parametri'!$B$6*AK574))*(1+'1-Input'!$B$27))</f>
        <v>52474.471775783059</v>
      </c>
      <c r="AN574" s="18">
        <f>IF($A574&gt;'1-Input'!$B$26,AP573,(AP573-AL574)*(1+$C$4))</f>
        <v>271302.53518524091</v>
      </c>
      <c r="AO574" s="18">
        <f>IF($A574&gt;'1-Input'!$B$26,AM574,AM574-'P-Parametri'!$B$8*(AN574+AM574)+MIN(MAX(AN574,0),'P-Parametri'!$B$8*(AN574+AM574)))</f>
        <v>52474.471775783059</v>
      </c>
      <c r="AP574" s="18">
        <f>IF($A574&gt;'1-Input'!$B$26,AN574,AN574-MIN(MAX(AN574,0),'P-Parametri'!$B$8*(AN574+AM574)))</f>
        <v>270654.98117131885</v>
      </c>
      <c r="AQ574" s="18">
        <f>IF($A574&gt;'1-Input'!$B$26,AQ573,AQ573-AL574*(1-AK574))</f>
        <v>157194.71926756747</v>
      </c>
    </row>
    <row r="575" spans="1:43">
      <c r="A575" s="10">
        <f>12</f>
        <v>12</v>
      </c>
      <c r="B575" s="11">
        <f>IF($A575&gt;'1-Input'!$B$26,0,IF(G574&lt;=0,0,MAX(0,(G574-H574)/G574)))</f>
        <v>0.41937092433004602</v>
      </c>
      <c r="C575" s="18">
        <f>IF($A575&gt;'1-Input'!$B$26,0,(MAX(0,B561-IF($A575&gt;='1-Input'!$C$12,'1-Input'!$B$12,0))-MIN(MAX(F574,0),MAX(0,B561-IF($A575&gt;='1-Input'!$C$12,'1-Input'!$B$12,0))))*(1/(1-'P-Parametri'!$B$6*B575))+MIN(MAX(0,G574-(MAX(0,B561-IF($A575&gt;='1-Input'!$C$12,'1-Input'!$B$12,0))-MIN(MAX(F574,0),MAX(0,B561-IF($A575&gt;='1-Input'!$C$12,'1-Input'!$B$12,0))))*(1/(1-'P-Parametri'!$B$6*B575))),MAX(0,3*B561-(F574-MIN(MAX(F574,0),MAX(0,B561-IF($A575&gt;='1-Input'!$C$12,'1-Input'!$B$12,0)))))*(1/(1-'P-Parametri'!$B$6*B575))))</f>
        <v>18924.691732835465</v>
      </c>
      <c r="D575" s="18">
        <f>IF($A575&gt;'1-Input'!$B$26,F574,(F574-MAX(0,B561-IF($A575&gt;='1-Input'!$C$12,'1-Input'!$B$12,0))+C575*(1-'P-Parametri'!$B$6*B575))*(1+'1-Input'!$B$27))</f>
        <v>49863.010546479447</v>
      </c>
      <c r="E575" s="18">
        <f>IF($A575&gt;'1-Input'!$B$26,G574,(G574-C575)*(1+$C$4))</f>
        <v>275873.0238429</v>
      </c>
      <c r="F575" s="18">
        <f>IF($A575&gt;'1-Input'!$B$26,D575,D575-'P-Parametri'!$B$8*(E575+D575)+MIN(MAX(E575,0),'P-Parametri'!$B$8*(E575+D575)))</f>
        <v>49863.010546479447</v>
      </c>
      <c r="G575" s="18">
        <f>IF($A575&gt;'1-Input'!$B$26,E575,E575-MIN(MAX(E575,0),'P-Parametri'!$B$8*(E575+D575)))</f>
        <v>275221.55177412124</v>
      </c>
      <c r="H575" s="18">
        <f>IF($A575&gt;'1-Input'!$B$26,H574,H574-C575*(1-B575))</f>
        <v>155514.46488949339</v>
      </c>
      <c r="I575" s="11">
        <f>IF($A575&gt;'1-Input'!$B$26,0,IF(N574&lt;=0,0,MAX(0,(N574-O574)/N574)))</f>
        <v>0.41815046903978464</v>
      </c>
      <c r="J575" s="18">
        <f>IF($A575&gt;'1-Input'!$B$26,0,(MAX(0,I561-IF($A575&gt;='1-Input'!$C$12,'1-Input'!$B$12,0))-MIN(MAX(M574,0),MAX(0,I561-IF($A575&gt;='1-Input'!$C$12,'1-Input'!$B$12,0))))*(1/(1-'P-Parametri'!$B$6*I575))+MIN(MAX(0,N574-(MAX(0,I561-IF($A575&gt;='1-Input'!$C$12,'1-Input'!$B$12,0))-MIN(MAX(M574,0),MAX(0,I561-IF($A575&gt;='1-Input'!$C$12,'1-Input'!$B$12,0))))*(1/(1-'P-Parametri'!$B$6*I575))),MAX(0,3*I561-(M574-MIN(MAX(M574,0),MAX(0,I561-IF($A575&gt;='1-Input'!$C$12,'1-Input'!$B$12,0)))))*(1/(1-'P-Parametri'!$B$6*I575))))</f>
        <v>24892.044825420671</v>
      </c>
      <c r="K575" s="18">
        <f>IF($A575&gt;'1-Input'!$B$26,M574,(M574-MAX(0,I561-IF($A575&gt;='1-Input'!$C$12,'1-Input'!$B$12,0))+J575*(1-'P-Parametri'!$B$6*I575))*(1+'1-Input'!$B$27))</f>
        <v>65609.224403262444</v>
      </c>
      <c r="L575" s="18">
        <f>IF($A575&gt;'1-Input'!$B$26,N574,(N574-J575)*(1+$C$4))</f>
        <v>169701.82785863621</v>
      </c>
      <c r="M575" s="18">
        <f>IF($A575&gt;'1-Input'!$B$26,K575,K575-'P-Parametri'!$B$8*(L575+K575)+MIN(MAX(L575,0),'P-Parametri'!$B$8*(L575+K575)))</f>
        <v>65609.224403262444</v>
      </c>
      <c r="N575" s="18">
        <f>IF($A575&gt;'1-Input'!$B$26,L575,L575-MIN(MAX(L575,0),'P-Parametri'!$B$8*(L575+K575)))</f>
        <v>169231.20575411242</v>
      </c>
      <c r="O575" s="18">
        <f>IF($A575&gt;'1-Input'!$B$26,O574,O574-J575*(1-I575))</f>
        <v>95864.979555959886</v>
      </c>
      <c r="P575" s="11">
        <f>IF($A575&gt;'1-Input'!$B$26,0,IF(U574&lt;=0,0,MAX(0,(U574-V574)/U574)))</f>
        <v>0.41919189981700172</v>
      </c>
      <c r="Q575" s="18">
        <f>IF($A575&gt;'1-Input'!$B$26,0,(MAX(0,P561-IF($A575&gt;='1-Input'!$C$12,'1-Input'!$B$12,0))-MIN(MAX(T574,0),MAX(0,P561-IF($A575&gt;='1-Input'!$C$12,'1-Input'!$B$12,0))))*(1/(1-'P-Parametri'!$B$6*P575))+MIN(MAX(0,U574-(MAX(0,P561-IF($A575&gt;='1-Input'!$C$12,'1-Input'!$B$12,0))-MIN(MAX(T574,0),MAX(0,P561-IF($A575&gt;='1-Input'!$C$12,'1-Input'!$B$12,0))))*(1/(1-'P-Parametri'!$B$6*P575))),MAX(0,3*P561-(T574-MIN(MAX(T574,0),MAX(0,P561-IF($A575&gt;='1-Input'!$C$12,'1-Input'!$B$12,0)))))*(1/(1-'P-Parametri'!$B$6*P575))))</f>
        <v>19997.993930172415</v>
      </c>
      <c r="R575" s="18">
        <f>IF($A575&gt;'1-Input'!$B$26,T574,(T574-MAX(0,P561-IF($A575&gt;='1-Input'!$C$12,'1-Input'!$B$12,0))+Q575*(1-'P-Parametri'!$B$6*P575))*(1+'1-Input'!$B$27))</f>
        <v>52693.713097256361</v>
      </c>
      <c r="S575" s="18">
        <f>IF($A575&gt;'1-Input'!$B$26,U574,(U574-Q575)*(1+$C$4))</f>
        <v>256783.87078863705</v>
      </c>
      <c r="T575" s="18">
        <f>IF($A575&gt;'1-Input'!$B$26,R575,R575-'P-Parametri'!$B$8*(S575+R575)+MIN(MAX(S575,0),'P-Parametri'!$B$8*(S575+R575)))</f>
        <v>52693.713097256361</v>
      </c>
      <c r="U575" s="18">
        <f>IF($A575&gt;'1-Input'!$B$26,S575,S575-MIN(MAX(S575,0),'P-Parametri'!$B$8*(S575+R575)))</f>
        <v>256164.91562086527</v>
      </c>
      <c r="V575" s="18">
        <f>IF($A575&gt;'1-Input'!$B$26,V574,V574-Q575*(1-P575))</f>
        <v>144798.20597124737</v>
      </c>
      <c r="W575" s="11">
        <f>IF($A575&gt;'1-Input'!$B$26,0,IF(AB574&lt;=0,0,MAX(0,(AB574-AC574)/AB574)))</f>
        <v>0.41920483557699961</v>
      </c>
      <c r="X575" s="18">
        <f>IF($A575&gt;'1-Input'!$B$26,0,(MAX(0,W561-IF($A575&gt;='1-Input'!$C$12,'1-Input'!$B$12,0))-MIN(MAX(AA574,0),MAX(0,W561-IF($A575&gt;='1-Input'!$C$12,'1-Input'!$B$12,0))))*(1/(1-'P-Parametri'!$B$6*W575))+MIN(MAX(0,AB574-(MAX(0,W561-IF($A575&gt;='1-Input'!$C$12,'1-Input'!$B$12,0))-MIN(MAX(AA574,0),MAX(0,W561-IF($A575&gt;='1-Input'!$C$12,'1-Input'!$B$12,0))))*(1/(1-'P-Parametri'!$B$6*W575))),MAX(0,3*W561-(AA574-MIN(MAX(AA574,0),MAX(0,W561-IF($A575&gt;='1-Input'!$C$12,'1-Input'!$B$12,0)))))*(1/(1-'P-Parametri'!$B$6*W575))))</f>
        <v>19923.130001257141</v>
      </c>
      <c r="Y575" s="18">
        <f>IF($A575&gt;'1-Input'!$B$26,AA574,(AA574-MAX(0,W561-IF($A575&gt;='1-Input'!$C$12,'1-Input'!$B$12,0))+X575*(1-'P-Parametri'!$B$6*W575))*(1+'1-Input'!$B$27))</f>
        <v>52496.252233084</v>
      </c>
      <c r="Z575" s="18">
        <f>IF($A575&gt;'1-Input'!$B$26,AB574,(AB574-X575)*(1+$C$4))</f>
        <v>258115.43662882809</v>
      </c>
      <c r="AA575" s="18">
        <f>IF($A575&gt;'1-Input'!$B$26,Y575,Y575-'P-Parametri'!$B$8*(Z575+Y575)+MIN(MAX(Z575,0),'P-Parametri'!$B$8*(Z575+Y575)))</f>
        <v>52496.252233084</v>
      </c>
      <c r="AB575" s="18">
        <f>IF($A575&gt;'1-Input'!$B$26,Z575,Z575-MIN(MAX(Z575,0),'P-Parametri'!$B$8*(Z575+Y575)))</f>
        <v>257494.21325110426</v>
      </c>
      <c r="AC575" s="18">
        <f>IF($A575&gt;'1-Input'!$B$26,AC574,AC574-X575*(1-W575))</f>
        <v>145545.82277374249</v>
      </c>
      <c r="AD575" s="11">
        <f>IF($A575&gt;'1-Input'!$B$26,0,IF(AI574&lt;=0,0,MAX(0,(AI574-AJ574)/AI574)))</f>
        <v>0.41920634781857674</v>
      </c>
      <c r="AE575" s="18">
        <f>IF($A575&gt;'1-Input'!$B$26,0,(MAX(0,AD561-IF($A575&gt;='1-Input'!$C$12,'1-Input'!$B$12,0))-MIN(MAX(AH574,0),MAX(0,AD561-IF($A575&gt;='1-Input'!$C$12,'1-Input'!$B$12,0))))*(1/(1-'P-Parametri'!$B$6*AD575))+MIN(MAX(0,AI574-(MAX(0,AD561-IF($A575&gt;='1-Input'!$C$12,'1-Input'!$B$12,0))-MIN(MAX(AH574,0),MAX(0,AD561-IF($A575&gt;='1-Input'!$C$12,'1-Input'!$B$12,0))))*(1/(1-'P-Parametri'!$B$6*AD575))),MAX(0,3*AD561-(AH574-MIN(MAX(AH574,0),MAX(0,AD561-IF($A575&gt;='1-Input'!$C$12,'1-Input'!$B$12,0)))))*(1/(1-'P-Parametri'!$B$6*AD575))))</f>
        <v>19914.351515855262</v>
      </c>
      <c r="AF575" s="18">
        <f>IF($A575&gt;'1-Input'!$B$26,AH574,(AH574-MAX(0,AD561-IF($A575&gt;='1-Input'!$C$12,'1-Input'!$B$12,0))+AE575*(1-'P-Parametri'!$B$6*AD575))*(1+'1-Input'!$B$27))</f>
        <v>52473.098295428375</v>
      </c>
      <c r="AG575" s="18">
        <f>IF($A575&gt;'1-Input'!$B$26,AI574,(AI574-AE575)*(1+$C$4))</f>
        <v>258271.57419378089</v>
      </c>
      <c r="AH575" s="18">
        <f>IF($A575&gt;'1-Input'!$B$26,AF575,AF575-'P-Parametri'!$B$8*(AG575+AF575)+MIN(MAX(AG575,0),'P-Parametri'!$B$8*(AG575+AF575)))</f>
        <v>52473.098295428375</v>
      </c>
      <c r="AI575" s="18">
        <f>IF($A575&gt;'1-Input'!$B$26,AG575,AG575-MIN(MAX(AG575,0),'P-Parametri'!$B$8*(AG575+AF575)))</f>
        <v>257650.08484880248</v>
      </c>
      <c r="AJ575" s="18">
        <f>IF($A575&gt;'1-Input'!$B$26,AJ574,AJ574-AE575*(1-AD575))</f>
        <v>145633.4862433509</v>
      </c>
      <c r="AK575" s="11">
        <f>IF($A575&gt;'1-Input'!$B$26,0,IF(AP574&lt;=0,0,MAX(0,(AP574-AQ574)/AP574)))</f>
        <v>0.41920625813989154</v>
      </c>
      <c r="AL575" s="18">
        <f>IF($A575&gt;'1-Input'!$B$26,0,(MAX(0,AK561-IF($A575&gt;='1-Input'!$C$12,'1-Input'!$B$12,0))-MIN(MAX(AO574,0),MAX(0,AK561-IF($A575&gt;='1-Input'!$C$12,'1-Input'!$B$12,0))))*(1/(1-'P-Parametri'!$B$6*AK575))+MIN(MAX(0,AP574-(MAX(0,AK561-IF($A575&gt;='1-Input'!$C$12,'1-Input'!$B$12,0))-MIN(MAX(AO574,0),MAX(0,AK561-IF($A575&gt;='1-Input'!$C$12,'1-Input'!$B$12,0))))*(1/(1-'P-Parametri'!$B$6*AK575))),MAX(0,3*AK561-(AO574-MIN(MAX(AO574,0),MAX(0,AK561-IF($A575&gt;='1-Input'!$C$12,'1-Input'!$B$12,0)))))*(1/(1-'P-Parametri'!$B$6*AK575))))</f>
        <v>19914.872251724351</v>
      </c>
      <c r="AM575" s="18">
        <f>IF($A575&gt;'1-Input'!$B$26,AO574,(AO574-MAX(0,AK561-IF($A575&gt;='1-Input'!$C$12,'1-Input'!$B$12,0))+AL575*(1-'P-Parametri'!$B$6*AK575))*(1+'1-Input'!$B$27))</f>
        <v>52474.471775783059</v>
      </c>
      <c r="AN575" s="18">
        <f>IF($A575&gt;'1-Input'!$B$26,AP574,(AP574-AL575)*(1+$C$4))</f>
        <v>258262.31218718234</v>
      </c>
      <c r="AO575" s="18">
        <f>IF($A575&gt;'1-Input'!$B$26,AM575,AM575-'P-Parametri'!$B$8*(AN575+AM575)+MIN(MAX(AN575,0),'P-Parametri'!$B$8*(AN575+AM575)))</f>
        <v>52474.471775783059</v>
      </c>
      <c r="AP575" s="18">
        <f>IF($A575&gt;'1-Input'!$B$26,AN575,AN575-MIN(MAX(AN575,0),'P-Parametri'!$B$8*(AN575+AM575)))</f>
        <v>257640.83861925642</v>
      </c>
      <c r="AQ575" s="18">
        <f>IF($A575&gt;'1-Input'!$B$26,AQ574,AQ574-AL575*(1-AK575))</f>
        <v>145628.28609382245</v>
      </c>
    </row>
    <row r="576" spans="1:43">
      <c r="A576" s="10">
        <f>13</f>
        <v>13</v>
      </c>
      <c r="B576" s="11">
        <f>IF($A576&gt;'1-Input'!$B$26,0,IF(G575&lt;=0,0,MAX(0,(G575-H575)/G575)))</f>
        <v>0.43494808496274079</v>
      </c>
      <c r="C576" s="18">
        <f>IF($A576&gt;'1-Input'!$B$26,0,(MAX(0,B561-IF($A576&gt;='1-Input'!$C$12,'1-Input'!$B$12,0))-MIN(MAX(F575,0),MAX(0,B561-IF($A576&gt;='1-Input'!$C$12,'1-Input'!$B$12,0))))*(1/(1-'P-Parametri'!$B$6*B576))+MIN(MAX(0,G575-(MAX(0,B561-IF($A576&gt;='1-Input'!$C$12,'1-Input'!$B$12,0))-MIN(MAX(F575,0),MAX(0,B561-IF($A576&gt;='1-Input'!$C$12,'1-Input'!$B$12,0))))*(1/(1-'P-Parametri'!$B$6*B576))),MAX(0,3*B561-(F575-MIN(MAX(F575,0),MAX(0,B561-IF($A576&gt;='1-Input'!$C$12,'1-Input'!$B$12,0)))))*(1/(1-'P-Parametri'!$B$6*B576))))</f>
        <v>19011.110724735758</v>
      </c>
      <c r="D576" s="18">
        <f>IF($A576&gt;'1-Input'!$B$26,F575,(F575-MAX(0,B561-IF($A576&gt;='1-Input'!$C$12,'1-Input'!$B$12,0))+C576*(1-'P-Parametri'!$B$6*B576))*(1+'1-Input'!$B$27))</f>
        <v>49863.010546479447</v>
      </c>
      <c r="E576" s="18">
        <f>IF($A576&gt;'1-Input'!$B$26,G575,(G575-C576)*(1+$C$4))</f>
        <v>263896.75428086706</v>
      </c>
      <c r="F576" s="18">
        <f>IF($A576&gt;'1-Input'!$B$26,D576,D576-'P-Parametri'!$B$8*(E576+D576)+MIN(MAX(E576,0),'P-Parametri'!$B$8*(E576+D576)))</f>
        <v>49863.010546479447</v>
      </c>
      <c r="G576" s="18">
        <f>IF($A576&gt;'1-Input'!$B$26,E576,E576-MIN(MAX(E576,0),'P-Parametri'!$B$8*(E576+D576)))</f>
        <v>263269.23475121235</v>
      </c>
      <c r="H576" s="18">
        <f>IF($A576&gt;'1-Input'!$B$26,H575,H575-C576*(1-B576))</f>
        <v>144772.20036749609</v>
      </c>
      <c r="I576" s="11">
        <f>IF($A576&gt;'1-Input'!$B$26,0,IF(N575&lt;=0,0,MAX(0,(N575-O575)/N575)))</f>
        <v>0.43352658199901584</v>
      </c>
      <c r="J576" s="18">
        <f>IF($A576&gt;'1-Input'!$B$26,0,(MAX(0,I561-IF($A576&gt;='1-Input'!$C$12,'1-Input'!$B$12,0))-MIN(MAX(M575,0),MAX(0,I561-IF($A576&gt;='1-Input'!$C$12,'1-Input'!$B$12,0))))*(1/(1-'P-Parametri'!$B$6*I576))+MIN(MAX(0,N575-(MAX(0,I561-IF($A576&gt;='1-Input'!$C$12,'1-Input'!$B$12,0))-MIN(MAX(M575,0),MAX(0,I561-IF($A576&gt;='1-Input'!$C$12,'1-Input'!$B$12,0))))*(1/(1-'P-Parametri'!$B$6*I576))),MAX(0,3*I561-(M575-MIN(MAX(M575,0),MAX(0,I561-IF($A576&gt;='1-Input'!$C$12,'1-Input'!$B$12,0)))))*(1/(1-'P-Parametri'!$B$6*I576))))</f>
        <v>25004.19973229905</v>
      </c>
      <c r="K576" s="18">
        <f>IF($A576&gt;'1-Input'!$B$26,M575,(M575-MAX(0,I561-IF($A576&gt;='1-Input'!$C$12,'1-Input'!$B$12,0))+J576*(1-'P-Parametri'!$B$6*I576))*(1+'1-Input'!$B$27))</f>
        <v>65609.224403262444</v>
      </c>
      <c r="L576" s="18">
        <f>IF($A576&gt;'1-Input'!$B$26,N575,(N575-J576)*(1+$C$4))</f>
        <v>148553.81620246777</v>
      </c>
      <c r="M576" s="18">
        <f>IF($A576&gt;'1-Input'!$B$26,K576,K576-'P-Parametri'!$B$8*(L576+K576)+MIN(MAX(L576,0),'P-Parametri'!$B$8*(L576+K576)))</f>
        <v>65609.224403262444</v>
      </c>
      <c r="N576" s="18">
        <f>IF($A576&gt;'1-Input'!$B$26,L576,L576-MIN(MAX(L576,0),'P-Parametri'!$B$8*(L576+K576)))</f>
        <v>148125.49012125633</v>
      </c>
      <c r="O576" s="18">
        <f>IF($A576&gt;'1-Input'!$B$26,O575,O575-J576*(1-I576))</f>
        <v>81700.765069225148</v>
      </c>
      <c r="P576" s="11">
        <f>IF($A576&gt;'1-Input'!$B$26,0,IF(U575&lt;=0,0,MAX(0,(U575-V575)/U575)))</f>
        <v>0.43474614538723666</v>
      </c>
      <c r="Q576" s="18">
        <f>IF($A576&gt;'1-Input'!$B$26,0,(MAX(0,P561-IF($A576&gt;='1-Input'!$C$12,'1-Input'!$B$12,0))-MIN(MAX(T575,0),MAX(0,P561-IF($A576&gt;='1-Input'!$C$12,'1-Input'!$B$12,0))))*(1/(1-'P-Parametri'!$B$6*P576))+MIN(MAX(0,U575-(MAX(0,P561-IF($A576&gt;='1-Input'!$C$12,'1-Input'!$B$12,0))-MIN(MAX(T575,0),MAX(0,P561-IF($A576&gt;='1-Input'!$C$12,'1-Input'!$B$12,0))))*(1/(1-'P-Parametri'!$B$6*P576))),MAX(0,3*P561-(T575-MIN(MAX(T575,0),MAX(0,P561-IF($A576&gt;='1-Input'!$C$12,'1-Input'!$B$12,0)))))*(1/(1-'P-Parametri'!$B$6*P576))))</f>
        <v>20089.174385804276</v>
      </c>
      <c r="R576" s="18">
        <f>IF($A576&gt;'1-Input'!$B$26,T575,(T575-MAX(0,P561-IF($A576&gt;='1-Input'!$C$12,'1-Input'!$B$12,0))+Q576*(1-'P-Parametri'!$B$6*P576))*(1+'1-Input'!$B$27))</f>
        <v>52693.713097256354</v>
      </c>
      <c r="S576" s="18">
        <f>IF($A576&gt;'1-Input'!$B$26,U575,(U575-Q576)*(1+$C$4))</f>
        <v>243158.01347211283</v>
      </c>
      <c r="T576" s="18">
        <f>IF($A576&gt;'1-Input'!$B$26,R576,R576-'P-Parametri'!$B$8*(S576+R576)+MIN(MAX(S576,0),'P-Parametri'!$B$8*(S576+R576)))</f>
        <v>52693.713097256354</v>
      </c>
      <c r="U576" s="18">
        <f>IF($A576&gt;'1-Input'!$B$26,S576,S576-MIN(MAX(S576,0),'P-Parametri'!$B$8*(S576+R576)))</f>
        <v>242566.31001897409</v>
      </c>
      <c r="V576" s="18">
        <f>IF($A576&gt;'1-Input'!$B$26,V575,V575-Q576*(1-P576))</f>
        <v>133442.7227136835</v>
      </c>
      <c r="W576" s="11">
        <f>IF($A576&gt;'1-Input'!$B$26,0,IF(AB575&lt;=0,0,MAX(0,(AB575-AC575)/AB575)))</f>
        <v>0.4347608012774698</v>
      </c>
      <c r="X576" s="18">
        <f>IF($A576&gt;'1-Input'!$B$26,0,(MAX(0,W561-IF($A576&gt;='1-Input'!$C$12,'1-Input'!$B$12,0))-MIN(MAX(AA575,0),MAX(0,W561-IF($A576&gt;='1-Input'!$C$12,'1-Input'!$B$12,0))))*(1/(1-'P-Parametri'!$B$6*W576))+MIN(MAX(0,AB575-(MAX(0,W561-IF($A576&gt;='1-Input'!$C$12,'1-Input'!$B$12,0))-MIN(MAX(AA575,0),MAX(0,W561-IF($A576&gt;='1-Input'!$C$12,'1-Input'!$B$12,0))))*(1/(1-'P-Parametri'!$B$6*W576))),MAX(0,3*W561-(AA575-MIN(MAX(AA575,0),MAX(0,W561-IF($A576&gt;='1-Input'!$C$12,'1-Input'!$B$12,0)))))*(1/(1-'P-Parametri'!$B$6*W576))))</f>
        <v>20013.979552413686</v>
      </c>
      <c r="Y576" s="18">
        <f>IF($A576&gt;'1-Input'!$B$26,AA575,(AA575-MAX(0,W561-IF($A576&gt;='1-Input'!$C$12,'1-Input'!$B$12,0))+X576*(1-'P-Parametri'!$B$6*W576))*(1+'1-Input'!$B$27))</f>
        <v>52496.252233084</v>
      </c>
      <c r="Z576" s="18">
        <f>IF($A576&gt;'1-Input'!$B$26,AB575,(AB575-X576)*(1+$C$4))</f>
        <v>244604.64070965128</v>
      </c>
      <c r="AA576" s="18">
        <f>IF($A576&gt;'1-Input'!$B$26,Y576,Y576-'P-Parametri'!$B$8*(Z576+Y576)+MIN(MAX(Z576,0),'P-Parametri'!$B$8*(Z576+Y576)))</f>
        <v>52496.252233084</v>
      </c>
      <c r="AB576" s="18">
        <f>IF($A576&gt;'1-Input'!$B$26,Z576,Z576-MIN(MAX(Z576,0),'P-Parametri'!$B$8*(Z576+Y576)))</f>
        <v>244010.43892376582</v>
      </c>
      <c r="AC576" s="18">
        <f>IF($A576&gt;'1-Input'!$B$26,AC575,AC575-X576*(1-W576))</f>
        <v>134233.13700828707</v>
      </c>
      <c r="AD576" s="11">
        <f>IF($A576&gt;'1-Input'!$B$26,0,IF(AI575&lt;=0,0,MAX(0,(AI575-AJ575)/AI575)))</f>
        <v>0.43476251393895948</v>
      </c>
      <c r="AE576" s="18">
        <f>IF($A576&gt;'1-Input'!$B$26,0,(MAX(0,AD561-IF($A576&gt;='1-Input'!$C$12,'1-Input'!$B$12,0))-MIN(MAX(AH575,0),MAX(0,AD561-IF($A576&gt;='1-Input'!$C$12,'1-Input'!$B$12,0))))*(1/(1-'P-Parametri'!$B$6*AD576))+MIN(MAX(0,AI575-(MAX(0,AD561-IF($A576&gt;='1-Input'!$C$12,'1-Input'!$B$12,0))-MIN(MAX(AH575,0),MAX(0,AD561-IF($A576&gt;='1-Input'!$C$12,'1-Input'!$B$12,0))))*(1/(1-'P-Parametri'!$B$6*AD576))),MAX(0,3*AD561-(AH575-MIN(MAX(AH575,0),MAX(0,AD561-IF($A576&gt;='1-Input'!$C$12,'1-Input'!$B$12,0)))))*(1/(1-'P-Parametri'!$B$6*AD576))))</f>
        <v>20005.162252646107</v>
      </c>
      <c r="AF576" s="18">
        <f>IF($A576&gt;'1-Input'!$B$26,AH575,(AH575-MAX(0,AD561-IF($A576&gt;='1-Input'!$C$12,'1-Input'!$B$12,0))+AE576*(1-'P-Parametri'!$B$6*AD576))*(1+'1-Input'!$B$27))</f>
        <v>52473.098295428375</v>
      </c>
      <c r="AG576" s="18">
        <f>IF($A576&gt;'1-Input'!$B$26,AI575,(AI575-AE576)*(1+$C$4))</f>
        <v>244774.27027404108</v>
      </c>
      <c r="AH576" s="18">
        <f>IF($A576&gt;'1-Input'!$B$26,AF576,AF576-'P-Parametri'!$B$8*(AG576+AF576)+MIN(MAX(AG576,0),'P-Parametri'!$B$8*(AG576+AF576)))</f>
        <v>52473.098295428375</v>
      </c>
      <c r="AI576" s="18">
        <f>IF($A576&gt;'1-Input'!$B$26,AG576,AG576-MIN(MAX(AG576,0),'P-Parametri'!$B$8*(AG576+AF576)))</f>
        <v>244179.77553690213</v>
      </c>
      <c r="AJ576" s="18">
        <f>IF($A576&gt;'1-Input'!$B$26,AJ575,AJ575-AE576*(1-AD576))</f>
        <v>134325.81862342198</v>
      </c>
      <c r="AK576" s="11">
        <f>IF($A576&gt;'1-Input'!$B$26,0,IF(AP575&lt;=0,0,MAX(0,(AP575-AQ575)/AP575)))</f>
        <v>0.43476241237891239</v>
      </c>
      <c r="AL576" s="18">
        <f>IF($A576&gt;'1-Input'!$B$26,0,(MAX(0,AK561-IF($A576&gt;='1-Input'!$C$12,'1-Input'!$B$12,0))-MIN(MAX(AO575,0),MAX(0,AK561-IF($A576&gt;='1-Input'!$C$12,'1-Input'!$B$12,0))))*(1/(1-'P-Parametri'!$B$6*AK576))+MIN(MAX(0,AP575-(MAX(0,AK561-IF($A576&gt;='1-Input'!$C$12,'1-Input'!$B$12,0))-MIN(MAX(AO575,0),MAX(0,AK561-IF($A576&gt;='1-Input'!$C$12,'1-Input'!$B$12,0))))*(1/(1-'P-Parametri'!$B$6*AK576))),MAX(0,3*AK561-(AO575-MIN(MAX(AO575,0),MAX(0,AK561-IF($A576&gt;='1-Input'!$C$12,'1-Input'!$B$12,0)))))*(1/(1-'P-Parametri'!$B$6*AK576))))</f>
        <v>20005.68529104051</v>
      </c>
      <c r="AM576" s="18">
        <f>IF($A576&gt;'1-Input'!$B$26,AO575,(AO575-MAX(0,AK561-IF($A576&gt;='1-Input'!$C$12,'1-Input'!$B$12,0))+AL576*(1-'P-Parametri'!$B$6*AK576))*(1+'1-Input'!$B$27))</f>
        <v>52474.471775783059</v>
      </c>
      <c r="AN576" s="18">
        <f>IF($A576&gt;'1-Input'!$B$26,AP575,(AP575-AL576)*(1+$C$4))</f>
        <v>244764.20792806239</v>
      </c>
      <c r="AO576" s="18">
        <f>IF($A576&gt;'1-Input'!$B$26,AM576,AM576-'P-Parametri'!$B$8*(AN576+AM576)+MIN(MAX(AN576,0),'P-Parametri'!$B$8*(AN576+AM576)))</f>
        <v>52474.471775783059</v>
      </c>
      <c r="AP576" s="18">
        <f>IF($A576&gt;'1-Input'!$B$26,AN576,AN576-MIN(MAX(AN576,0),'P-Parametri'!$B$8*(AN576+AM576)))</f>
        <v>244169.73056865469</v>
      </c>
      <c r="AQ576" s="18">
        <f>IF($A576&gt;'1-Input'!$B$26,AQ575,AQ575-AL576*(1-AK576))</f>
        <v>134320.32080120803</v>
      </c>
    </row>
    <row r="577" spans="1:43">
      <c r="A577" s="10">
        <f>14</f>
        <v>14</v>
      </c>
      <c r="B577" s="11">
        <f>IF($A577&gt;'1-Input'!$B$26,0,IF(G576&lt;=0,0,MAX(0,(G576-H576)/G576)))</f>
        <v>0.45009829764459625</v>
      </c>
      <c r="C577" s="18">
        <f>IF($A577&gt;'1-Input'!$B$26,0,(MAX(0,B561-IF($A577&gt;='1-Input'!$C$12,'1-Input'!$B$12,0))-MIN(MAX(F576,0),MAX(0,B561-IF($A577&gt;='1-Input'!$C$12,'1-Input'!$B$12,0))))*(1/(1-'P-Parametri'!$B$6*B577))+MIN(MAX(0,G576-(MAX(0,B561-IF($A577&gt;='1-Input'!$C$12,'1-Input'!$B$12,0))-MIN(MAX(F576,0),MAX(0,B561-IF($A577&gt;='1-Input'!$C$12,'1-Input'!$B$12,0))))*(1/(1-'P-Parametri'!$B$6*B577))),MAX(0,3*B561-(F576-MIN(MAX(F576,0),MAX(0,B561-IF($A577&gt;='1-Input'!$C$12,'1-Input'!$B$12,0)))))*(1/(1-'P-Parametri'!$B$6*B577))))</f>
        <v>19095.921578587804</v>
      </c>
      <c r="D577" s="18">
        <f>IF($A577&gt;'1-Input'!$B$26,F576,(F576-MAX(0,B561-IF($A577&gt;='1-Input'!$C$12,'1-Input'!$B$12,0))+C577*(1-'P-Parametri'!$B$6*B577))*(1+'1-Input'!$B$27))</f>
        <v>49863.010546479447</v>
      </c>
      <c r="E577" s="18">
        <f>IF($A577&gt;'1-Input'!$B$26,G576,(G576-C577)*(1+$C$4))</f>
        <v>251498.51256780329</v>
      </c>
      <c r="F577" s="18">
        <f>IF($A577&gt;'1-Input'!$B$26,D577,D577-'P-Parametri'!$B$8*(E577+D577)+MIN(MAX(E577,0),'P-Parametri'!$B$8*(E577+D577)))</f>
        <v>49863.010546479447</v>
      </c>
      <c r="G577" s="18">
        <f>IF($A577&gt;'1-Input'!$B$26,E577,E577-MIN(MAX(E577,0),'P-Parametri'!$B$8*(E577+D577)))</f>
        <v>250895.78952157474</v>
      </c>
      <c r="H577" s="18">
        <f>IF($A577&gt;'1-Input'!$B$26,H576,H576-C577*(1-B577))</f>
        <v>134271.32058338536</v>
      </c>
      <c r="I577" s="11">
        <f>IF($A577&gt;'1-Input'!$B$26,0,IF(N576&lt;=0,0,MAX(0,(N576-O576)/N576)))</f>
        <v>0.44843547857735722</v>
      </c>
      <c r="J577" s="18">
        <f>IF($A577&gt;'1-Input'!$B$26,0,(MAX(0,I561-IF($A577&gt;='1-Input'!$C$12,'1-Input'!$B$12,0))-MIN(MAX(M576,0),MAX(0,I561-IF($A577&gt;='1-Input'!$C$12,'1-Input'!$B$12,0))))*(1/(1-'P-Parametri'!$B$6*I577))+MIN(MAX(0,N576-(MAX(0,I561-IF($A577&gt;='1-Input'!$C$12,'1-Input'!$B$12,0))-MIN(MAX(M576,0),MAX(0,I561-IF($A577&gt;='1-Input'!$C$12,'1-Input'!$B$12,0))))*(1/(1-'P-Parametri'!$B$6*I577))),MAX(0,3*I561-(M576-MIN(MAX(M576,0),MAX(0,I561-IF($A577&gt;='1-Input'!$C$12,'1-Input'!$B$12,0)))))*(1/(1-'P-Parametri'!$B$6*I577))))</f>
        <v>25113.916014669718</v>
      </c>
      <c r="K577" s="18">
        <f>IF($A577&gt;'1-Input'!$B$26,M576,(M576-MAX(0,I561-IF($A577&gt;='1-Input'!$C$12,'1-Input'!$B$12,0))+J577*(1-'P-Parametri'!$B$6*I577))*(1+'1-Input'!$B$27))</f>
        <v>65609.224403262444</v>
      </c>
      <c r="L577" s="18">
        <f>IF($A577&gt;'1-Input'!$B$26,N576,(N576-J577)*(1+$C$4))</f>
        <v>126701.92132978421</v>
      </c>
      <c r="M577" s="18">
        <f>IF($A577&gt;'1-Input'!$B$26,K577,K577-'P-Parametri'!$B$8*(L577+K577)+MIN(MAX(L577,0),'P-Parametri'!$B$8*(L577+K577)))</f>
        <v>65609.224403262444</v>
      </c>
      <c r="N577" s="18">
        <f>IF($A577&gt;'1-Input'!$B$26,L577,L577-MIN(MAX(L577,0),'P-Parametri'!$B$8*(L577+K577)))</f>
        <v>126317.29903831812</v>
      </c>
      <c r="O577" s="18">
        <f>IF($A577&gt;'1-Input'!$B$26,O576,O576-J577*(1-I577))</f>
        <v>67848.820001545406</v>
      </c>
      <c r="P577" s="11">
        <f>IF($A577&gt;'1-Input'!$B$26,0,IF(U576&lt;=0,0,MAX(0,(U576-V576)/U576)))</f>
        <v>0.4498711601654603</v>
      </c>
      <c r="Q577" s="18">
        <f>IF($A577&gt;'1-Input'!$B$26,0,(MAX(0,P561-IF($A577&gt;='1-Input'!$C$12,'1-Input'!$B$12,0))-MIN(MAX(T576,0),MAX(0,P561-IF($A577&gt;='1-Input'!$C$12,'1-Input'!$B$12,0))))*(1/(1-'P-Parametri'!$B$6*P577))+MIN(MAX(0,U576-(MAX(0,P561-IF($A577&gt;='1-Input'!$C$12,'1-Input'!$B$12,0))-MIN(MAX(T576,0),MAX(0,P561-IF($A577&gt;='1-Input'!$C$12,'1-Input'!$B$12,0))))*(1/(1-'P-Parametri'!$B$6*P577))),MAX(0,3*P561-(T576-MIN(MAX(T576,0),MAX(0,P561-IF($A577&gt;='1-Input'!$C$12,'1-Input'!$B$12,0)))))*(1/(1-'P-Parametri'!$B$6*P577))))</f>
        <v>20178.639570996656</v>
      </c>
      <c r="R577" s="18">
        <f>IF($A577&gt;'1-Input'!$B$26,T576,(T576-MAX(0,P561-IF($A577&gt;='1-Input'!$C$12,'1-Input'!$B$12,0))+Q577*(1-'P-Parametri'!$B$6*P577))*(1+'1-Input'!$B$27))</f>
        <v>52693.713097256354</v>
      </c>
      <c r="S577" s="18">
        <f>IF($A577&gt;'1-Input'!$B$26,U576,(U576-Q577)*(1+$C$4))</f>
        <v>229059.30056141678</v>
      </c>
      <c r="T577" s="18">
        <f>IF($A577&gt;'1-Input'!$B$26,R577,R577-'P-Parametri'!$B$8*(S577+R577)+MIN(MAX(S577,0),'P-Parametri'!$B$8*(S577+R577)))</f>
        <v>52693.713097256354</v>
      </c>
      <c r="U577" s="18">
        <f>IF($A577&gt;'1-Input'!$B$26,S577,S577-MIN(MAX(S577,0),'P-Parametri'!$B$8*(S577+R577)))</f>
        <v>228495.79453409943</v>
      </c>
      <c r="V577" s="18">
        <f>IF($A577&gt;'1-Input'!$B$26,V576,V576-Q577*(1-P577))</f>
        <v>122341.87113705177</v>
      </c>
      <c r="W577" s="11">
        <f>IF($A577&gt;'1-Input'!$B$26,0,IF(AB576&lt;=0,0,MAX(0,(AB576-AC576)/AB576)))</f>
        <v>0.4498877277532195</v>
      </c>
      <c r="X577" s="18">
        <f>IF($A577&gt;'1-Input'!$B$26,0,(MAX(0,W561-IF($A577&gt;='1-Input'!$C$12,'1-Input'!$B$12,0))-MIN(MAX(AA576,0),MAX(0,W561-IF($A577&gt;='1-Input'!$C$12,'1-Input'!$B$12,0))))*(1/(1-'P-Parametri'!$B$6*W577))+MIN(MAX(0,AB576-(MAX(0,W561-IF($A577&gt;='1-Input'!$C$12,'1-Input'!$B$12,0))-MIN(MAX(AA576,0),MAX(0,W561-IF($A577&gt;='1-Input'!$C$12,'1-Input'!$B$12,0))))*(1/(1-'P-Parametri'!$B$6*W577))),MAX(0,3*W561-(AA576-MIN(MAX(AA576,0),MAX(0,W561-IF($A577&gt;='1-Input'!$C$12,'1-Input'!$B$12,0)))))*(1/(1-'P-Parametri'!$B$6*W577))))</f>
        <v>20103.121565030495</v>
      </c>
      <c r="Y577" s="18">
        <f>IF($A577&gt;'1-Input'!$B$26,AA576,(AA576-MAX(0,W561-IF($A577&gt;='1-Input'!$C$12,'1-Input'!$B$12,0))+X577*(1-'P-Parametri'!$B$6*W577))*(1+'1-Input'!$B$27))</f>
        <v>52496.252233084</v>
      </c>
      <c r="Z577" s="18">
        <f>IF($A577&gt;'1-Input'!$B$26,AB576,(AB576-X577)*(1+$C$4))</f>
        <v>230624.53687949738</v>
      </c>
      <c r="AA577" s="18">
        <f>IF($A577&gt;'1-Input'!$B$26,Y577,Y577-'P-Parametri'!$B$8*(Z577+Y577)+MIN(MAX(Z577,0),'P-Parametri'!$B$8*(Z577+Y577)))</f>
        <v>52496.252233084</v>
      </c>
      <c r="AB577" s="18">
        <f>IF($A577&gt;'1-Input'!$B$26,Z577,Z577-MIN(MAX(Z577,0),'P-Parametri'!$B$8*(Z577+Y577)))</f>
        <v>230058.29530127221</v>
      </c>
      <c r="AC577" s="18">
        <f>IF($A577&gt;'1-Input'!$B$26,AC576,AC576-X577*(1-W577))</f>
        <v>123174.1631248949</v>
      </c>
      <c r="AD577" s="11">
        <f>IF($A577&gt;'1-Input'!$B$26,0,IF(AI576&lt;=0,0,MAX(0,(AI576-AJ576)/AI576)))</f>
        <v>0.44988966294171351</v>
      </c>
      <c r="AE577" s="18">
        <f>IF($A577&gt;'1-Input'!$B$26,0,(MAX(0,AD561-IF($A577&gt;='1-Input'!$C$12,'1-Input'!$B$12,0))-MIN(MAX(AH576,0),MAX(0,AD561-IF($A577&gt;='1-Input'!$C$12,'1-Input'!$B$12,0))))*(1/(1-'P-Parametri'!$B$6*AD577))+MIN(MAX(0,AI576-(MAX(0,AD561-IF($A577&gt;='1-Input'!$C$12,'1-Input'!$B$12,0))-MIN(MAX(AH576,0),MAX(0,AD561-IF($A577&gt;='1-Input'!$C$12,'1-Input'!$B$12,0))))*(1/(1-'P-Parametri'!$B$6*AD577))),MAX(0,3*AD561-(AH576-MIN(MAX(AH576,0),MAX(0,AD561-IF($A577&gt;='1-Input'!$C$12,'1-Input'!$B$12,0)))))*(1/(1-'P-Parametri'!$B$6*AD577))))</f>
        <v>20094.266354652042</v>
      </c>
      <c r="AF577" s="18">
        <f>IF($A577&gt;'1-Input'!$B$26,AH576,(AH576-MAX(0,AD561-IF($A577&gt;='1-Input'!$C$12,'1-Input'!$B$12,0))+AE577*(1-'P-Parametri'!$B$6*AD577))*(1+'1-Input'!$B$27))</f>
        <v>52473.098295428375</v>
      </c>
      <c r="AG577" s="18">
        <f>IF($A577&gt;'1-Input'!$B$26,AI576,(AI576-AE577)*(1+$C$4))</f>
        <v>230808.07445771759</v>
      </c>
      <c r="AH577" s="18">
        <f>IF($A577&gt;'1-Input'!$B$26,AF577,AF577-'P-Parametri'!$B$8*(AG577+AF577)+MIN(MAX(AG577,0),'P-Parametri'!$B$8*(AG577+AF577)))</f>
        <v>52473.098295428375</v>
      </c>
      <c r="AI577" s="18">
        <f>IF($A577&gt;'1-Input'!$B$26,AG577,AG577-MIN(MAX(AG577,0),'P-Parametri'!$B$8*(AG577+AF577)))</f>
        <v>230241.51211221129</v>
      </c>
      <c r="AJ577" s="18">
        <f>IF($A577&gt;'1-Input'!$B$26,AJ576,AJ576-AE577*(1-AD577))</f>
        <v>123271.75498612535</v>
      </c>
      <c r="AK577" s="11">
        <f>IF($A577&gt;'1-Input'!$B$26,0,IF(AP576&lt;=0,0,MAX(0,(AP576-AQ576)/AP576)))</f>
        <v>0.44988954819098526</v>
      </c>
      <c r="AL577" s="18">
        <f>IF($A577&gt;'1-Input'!$B$26,0,(MAX(0,AK561-IF($A577&gt;='1-Input'!$C$12,'1-Input'!$B$12,0))-MIN(MAX(AO576,0),MAX(0,AK561-IF($A577&gt;='1-Input'!$C$12,'1-Input'!$B$12,0))))*(1/(1-'P-Parametri'!$B$6*AK577))+MIN(MAX(0,AP576-(MAX(0,AK561-IF($A577&gt;='1-Input'!$C$12,'1-Input'!$B$12,0))-MIN(MAX(AO576,0),MAX(0,AK561-IF($A577&gt;='1-Input'!$C$12,'1-Input'!$B$12,0))))*(1/(1-'P-Parametri'!$B$6*AK577))),MAX(0,3*AK561-(AO576-MIN(MAX(AO576,0),MAX(0,AK561-IF($A577&gt;='1-Input'!$C$12,'1-Input'!$B$12,0)))))*(1/(1-'P-Parametri'!$B$6*AK577))))</f>
        <v>20094.791641978125</v>
      </c>
      <c r="AM577" s="18">
        <f>IF($A577&gt;'1-Input'!$B$26,AO576,(AO576-MAX(0,AK561-IF($A577&gt;='1-Input'!$C$12,'1-Input'!$B$12,0))+AL577*(1-'P-Parametri'!$B$6*AK577))*(1+'1-Input'!$B$27))</f>
        <v>52474.471775783059</v>
      </c>
      <c r="AN577" s="18">
        <f>IF($A577&gt;'1-Input'!$B$26,AP576,(AP576-AL577)*(1+$C$4))</f>
        <v>230797.18709447689</v>
      </c>
      <c r="AO577" s="18">
        <f>IF($A577&gt;'1-Input'!$B$26,AM577,AM577-'P-Parametri'!$B$8*(AN577+AM577)+MIN(MAX(AN577,0),'P-Parametri'!$B$8*(AN577+AM577)))</f>
        <v>52474.471775783059</v>
      </c>
      <c r="AP577" s="18">
        <f>IF($A577&gt;'1-Input'!$B$26,AN577,AN577-MIN(MAX(AN577,0),'P-Parametri'!$B$8*(AN577+AM577)))</f>
        <v>230230.64377673637</v>
      </c>
      <c r="AQ577" s="18">
        <f>IF($A577&gt;'1-Input'!$B$26,AQ576,AQ576-AL577*(1-AK577))</f>
        <v>123265.96589203143</v>
      </c>
    </row>
    <row r="578" spans="1:43">
      <c r="A578" s="10">
        <f>15</f>
        <v>15</v>
      </c>
      <c r="B578" s="11">
        <f>IF($A578&gt;'1-Input'!$B$26,0,IF(G577&lt;=0,0,MAX(0,(G577-H577)/G577)))</f>
        <v>0.46483230810918308</v>
      </c>
      <c r="C578" s="18">
        <f>IF($A578&gt;'1-Input'!$B$26,0,(MAX(0,B561-IF($A578&gt;='1-Input'!$C$12,'1-Input'!$B$12,0))-MIN(MAX(F577,0),MAX(0,B561-IF($A578&gt;='1-Input'!$C$12,'1-Input'!$B$12,0))))*(1/(1-'P-Parametri'!$B$6*B578))+MIN(MAX(0,G577-(MAX(0,B561-IF($A578&gt;='1-Input'!$C$12,'1-Input'!$B$12,0))-MIN(MAX(F577,0),MAX(0,B561-IF($A578&gt;='1-Input'!$C$12,'1-Input'!$B$12,0))))*(1/(1-'P-Parametri'!$B$6*B578))),MAX(0,3*B561-(F577-MIN(MAX(F577,0),MAX(0,B561-IF($A578&gt;='1-Input'!$C$12,'1-Input'!$B$12,0)))))*(1/(1-'P-Parametri'!$B$6*B578))))</f>
        <v>19179.131502637956</v>
      </c>
      <c r="D578" s="18">
        <f>IF($A578&gt;'1-Input'!$B$26,F577,(F577-MAX(0,B561-IF($A578&gt;='1-Input'!$C$12,'1-Input'!$B$12,0))+C578*(1-'P-Parametri'!$B$6*B578))*(1+'1-Input'!$B$27))</f>
        <v>49863.010546479447</v>
      </c>
      <c r="E578" s="18">
        <f>IF($A578&gt;'1-Input'!$B$26,G577,(G577-C578)*(1+$C$4))</f>
        <v>238668.15775950489</v>
      </c>
      <c r="F578" s="18">
        <f>IF($A578&gt;'1-Input'!$B$26,D578,D578-'P-Parametri'!$B$8*(E578+D578)+MIN(MAX(E578,0),'P-Parametri'!$B$8*(E578+D578)))</f>
        <v>49863.010546479447</v>
      </c>
      <c r="G578" s="18">
        <f>IF($A578&gt;'1-Input'!$B$26,E578,E578-MIN(MAX(E578,0),'P-Parametri'!$B$8*(E578+D578)))</f>
        <v>238091.09542289292</v>
      </c>
      <c r="H578" s="18">
        <f>IF($A578&gt;'1-Input'!$B$26,H577,H577-C578*(1-B578))</f>
        <v>124007.26904464814</v>
      </c>
      <c r="I578" s="11">
        <f>IF($A578&gt;'1-Input'!$B$26,0,IF(N577&lt;=0,0,MAX(0,(N577-O577)/N577)))</f>
        <v>0.46286992741220984</v>
      </c>
      <c r="J578" s="18">
        <f>IF($A578&gt;'1-Input'!$B$26,0,(MAX(0,I561-IF($A578&gt;='1-Input'!$C$12,'1-Input'!$B$12,0))-MIN(MAX(M577,0),MAX(0,I561-IF($A578&gt;='1-Input'!$C$12,'1-Input'!$B$12,0))))*(1/(1-'P-Parametri'!$B$6*I578))+MIN(MAX(0,N577-(MAX(0,I561-IF($A578&gt;='1-Input'!$C$12,'1-Input'!$B$12,0))-MIN(MAX(M577,0),MAX(0,I561-IF($A578&gt;='1-Input'!$C$12,'1-Input'!$B$12,0))))*(1/(1-'P-Parametri'!$B$6*I578))),MAX(0,3*I561-(M577-MIN(MAX(M577,0),MAX(0,I561-IF($A578&gt;='1-Input'!$C$12,'1-Input'!$B$12,0)))))*(1/(1-'P-Parametri'!$B$6*I578))))</f>
        <v>25221.06207289689</v>
      </c>
      <c r="K578" s="18">
        <f>IF($A578&gt;'1-Input'!$B$26,M577,(M577-MAX(0,I561-IF($A578&gt;='1-Input'!$C$12,'1-Input'!$B$12,0))+J578*(1-'P-Parametri'!$B$6*I578))*(1+'1-Input'!$B$27))</f>
        <v>65609.224403262444</v>
      </c>
      <c r="L578" s="18">
        <f>IF($A578&gt;'1-Input'!$B$26,N577,(N577-J578)*(1+$C$4))</f>
        <v>104129.12407438386</v>
      </c>
      <c r="M578" s="18">
        <f>IF($A578&gt;'1-Input'!$B$26,K578,K578-'P-Parametri'!$B$8*(L578+K578)+MIN(MAX(L578,0),'P-Parametri'!$B$8*(L578+K578)))</f>
        <v>65609.224403262444</v>
      </c>
      <c r="N578" s="18">
        <f>IF($A578&gt;'1-Input'!$B$26,L578,L578-MIN(MAX(L578,0),'P-Parametri'!$B$8*(L578+K578)))</f>
        <v>103789.64737742857</v>
      </c>
      <c r="O578" s="18">
        <f>IF($A578&gt;'1-Input'!$B$26,O577,O577-J578*(1-I578))</f>
        <v>54301.829099589144</v>
      </c>
      <c r="P578" s="11">
        <f>IF($A578&gt;'1-Input'!$B$26,0,IF(U577&lt;=0,0,MAX(0,(U577-V577)/U577)))</f>
        <v>0.46457714293383129</v>
      </c>
      <c r="Q578" s="18">
        <f>IF($A578&gt;'1-Input'!$B$26,0,(MAX(0,P561-IF($A578&gt;='1-Input'!$C$12,'1-Input'!$B$12,0))-MIN(MAX(T577,0),MAX(0,P561-IF($A578&gt;='1-Input'!$C$12,'1-Input'!$B$12,0))))*(1/(1-'P-Parametri'!$B$6*P578))+MIN(MAX(0,U577-(MAX(0,P561-IF($A578&gt;='1-Input'!$C$12,'1-Input'!$B$12,0))-MIN(MAX(T577,0),MAX(0,P561-IF($A578&gt;='1-Input'!$C$12,'1-Input'!$B$12,0))))*(1/(1-'P-Parametri'!$B$6*P578))),MAX(0,3*P561-(T577-MIN(MAX(T577,0),MAX(0,P561-IF($A578&gt;='1-Input'!$C$12,'1-Input'!$B$12,0)))))*(1/(1-'P-Parametri'!$B$6*P578))))</f>
        <v>20266.393524806925</v>
      </c>
      <c r="R578" s="18">
        <f>IF($A578&gt;'1-Input'!$B$26,T577,(T577-MAX(0,P561-IF($A578&gt;='1-Input'!$C$12,'1-Input'!$B$12,0))+Q578*(1-'P-Parametri'!$B$6*P578))*(1+'1-Input'!$B$27))</f>
        <v>52693.713097256354</v>
      </c>
      <c r="S578" s="18">
        <f>IF($A578&gt;'1-Input'!$B$26,U577,(U577-Q578)*(1+$C$4))</f>
        <v>214476.28303957131</v>
      </c>
      <c r="T578" s="18">
        <f>IF($A578&gt;'1-Input'!$B$26,R578,R578-'P-Parametri'!$B$8*(S578+R578)+MIN(MAX(S578,0),'P-Parametri'!$B$8*(S578+R578)))</f>
        <v>52693.713097256354</v>
      </c>
      <c r="U578" s="18">
        <f>IF($A578&gt;'1-Input'!$B$26,S578,S578-MIN(MAX(S578,0),'P-Parametri'!$B$8*(S578+R578)))</f>
        <v>213941.94304729765</v>
      </c>
      <c r="V578" s="18">
        <f>IF($A578&gt;'1-Input'!$B$26,V577,V577-Q578*(1-P578))</f>
        <v>111490.78081357235</v>
      </c>
      <c r="W578" s="11">
        <f>IF($A578&gt;'1-Input'!$B$26,0,IF(AB577&lt;=0,0,MAX(0,(AB577-AC577)/AB577)))</f>
        <v>0.46459586269822389</v>
      </c>
      <c r="X578" s="18">
        <f>IF($A578&gt;'1-Input'!$B$26,0,(MAX(0,W561-IF($A578&gt;='1-Input'!$C$12,'1-Input'!$B$12,0))-MIN(MAX(AA577,0),MAX(0,W561-IF($A578&gt;='1-Input'!$C$12,'1-Input'!$B$12,0))))*(1/(1-'P-Parametri'!$B$6*W578))+MIN(MAX(0,AB577-(MAX(0,W561-IF($A578&gt;='1-Input'!$C$12,'1-Input'!$B$12,0))-MIN(MAX(AA577,0),MAX(0,W561-IF($A578&gt;='1-Input'!$C$12,'1-Input'!$B$12,0))))*(1/(1-'P-Parametri'!$B$6*W578))),MAX(0,3*W561-(AA577-MIN(MAX(AA577,0),MAX(0,W561-IF($A578&gt;='1-Input'!$C$12,'1-Input'!$B$12,0)))))*(1/(1-'P-Parametri'!$B$6*W578))))</f>
        <v>20190.560380582654</v>
      </c>
      <c r="Y578" s="18">
        <f>IF($A578&gt;'1-Input'!$B$26,AA577,(AA577-MAX(0,W561-IF($A578&gt;='1-Input'!$C$12,'1-Input'!$B$12,0))+X578*(1-'P-Parametri'!$B$6*W578))*(1+'1-Input'!$B$27))</f>
        <v>52496.252233084</v>
      </c>
      <c r="Z578" s="18">
        <f>IF($A578&gt;'1-Input'!$B$26,AB577,(AB577-X578)*(1+$C$4))</f>
        <v>216163.76696831023</v>
      </c>
      <c r="AA578" s="18">
        <f>IF($A578&gt;'1-Input'!$B$26,Y578,Y578-'P-Parametri'!$B$8*(Z578+Y578)+MIN(MAX(Z578,0),'P-Parametri'!$B$8*(Z578+Y578)))</f>
        <v>52496.252233084</v>
      </c>
      <c r="AB578" s="18">
        <f>IF($A578&gt;'1-Input'!$B$26,Z578,Z578-MIN(MAX(Z578,0),'P-Parametri'!$B$8*(Z578+Y578)))</f>
        <v>215626.44692990743</v>
      </c>
      <c r="AC578" s="18">
        <f>IF($A578&gt;'1-Input'!$B$26,AC577,AC577-X578*(1-W578))</f>
        <v>112364.05356268962</v>
      </c>
      <c r="AD578" s="11">
        <f>IF($A578&gt;'1-Input'!$B$26,0,IF(AI577&lt;=0,0,MAX(0,(AI577-AJ577)/AI577)))</f>
        <v>0.46459804813109806</v>
      </c>
      <c r="AE578" s="18">
        <f>IF($A578&gt;'1-Input'!$B$26,0,(MAX(0,AD561-IF($A578&gt;='1-Input'!$C$12,'1-Input'!$B$12,0))-MIN(MAX(AH577,0),MAX(0,AD561-IF($A578&gt;='1-Input'!$C$12,'1-Input'!$B$12,0))))*(1/(1-'P-Parametri'!$B$6*AD578))+MIN(MAX(0,AI577-(MAX(0,AD561-IF($A578&gt;='1-Input'!$C$12,'1-Input'!$B$12,0))-MIN(MAX(AH577,0),MAX(0,AD561-IF($A578&gt;='1-Input'!$C$12,'1-Input'!$B$12,0))))*(1/(1-'P-Parametri'!$B$6*AD578))),MAX(0,3*AD561-(AH577-MIN(MAX(AH577,0),MAX(0,AD561-IF($A578&gt;='1-Input'!$C$12,'1-Input'!$B$12,0)))))*(1/(1-'P-Parametri'!$B$6*AD578))))</f>
        <v>20181.668197855441</v>
      </c>
      <c r="AF578" s="18">
        <f>IF($A578&gt;'1-Input'!$B$26,AH577,(AH577-MAX(0,AD561-IF($A578&gt;='1-Input'!$C$12,'1-Input'!$B$12,0))+AE578*(1-'P-Parametri'!$B$6*AD578))*(1+'1-Input'!$B$27))</f>
        <v>52473.098295428375</v>
      </c>
      <c r="AG578" s="18">
        <f>IF($A578&gt;'1-Input'!$B$26,AI577,(AI577-AE578)*(1+$C$4))</f>
        <v>216361.63923178654</v>
      </c>
      <c r="AH578" s="18">
        <f>IF($A578&gt;'1-Input'!$B$26,AF578,AF578-'P-Parametri'!$B$8*(AG578+AF578)+MIN(MAX(AG578,0),'P-Parametri'!$B$8*(AG578+AF578)))</f>
        <v>52473.098295428375</v>
      </c>
      <c r="AI578" s="18">
        <f>IF($A578&gt;'1-Input'!$B$26,AG578,AG578-MIN(MAX(AG578,0),'P-Parametri'!$B$8*(AG578+AF578)))</f>
        <v>215823.96975673211</v>
      </c>
      <c r="AJ578" s="18">
        <f>IF($A578&gt;'1-Input'!$B$26,AJ577,AJ577-AE578*(1-AD578))</f>
        <v>112466.450441023</v>
      </c>
      <c r="AK578" s="11">
        <f>IF($A578&gt;'1-Input'!$B$26,0,IF(AP577&lt;=0,0,MAX(0,(AP577-AQ577)/AP577)))</f>
        <v>0.4645979185482918</v>
      </c>
      <c r="AL578" s="18">
        <f>IF($A578&gt;'1-Input'!$B$26,0,(MAX(0,AK561-IF($A578&gt;='1-Input'!$C$12,'1-Input'!$B$12,0))-MIN(MAX(AO577,0),MAX(0,AK561-IF($A578&gt;='1-Input'!$C$12,'1-Input'!$B$12,0))))*(1/(1-'P-Parametri'!$B$6*AK578))+MIN(MAX(0,AP577-(MAX(0,AK561-IF($A578&gt;='1-Input'!$C$12,'1-Input'!$B$12,0))-MIN(MAX(AO577,0),MAX(0,AK561-IF($A578&gt;='1-Input'!$C$12,'1-Input'!$B$12,0))))*(1/(1-'P-Parametri'!$B$6*AK578))),MAX(0,3*AK561-(AO577-MIN(MAX(AO577,0),MAX(0,AK561-IF($A578&gt;='1-Input'!$C$12,'1-Input'!$B$12,0)))))*(1/(1-'P-Parametri'!$B$6*AK578))))</f>
        <v>20182.195678478092</v>
      </c>
      <c r="AM578" s="18">
        <f>IF($A578&gt;'1-Input'!$B$26,AO577,(AO577-MAX(0,AK561-IF($A578&gt;='1-Input'!$C$12,'1-Input'!$B$12,0))+AL578*(1-'P-Parametri'!$B$6*AK578))*(1+'1-Input'!$B$27))</f>
        <v>52474.471775783059</v>
      </c>
      <c r="AN578" s="18">
        <f>IF($A578&gt;'1-Input'!$B$26,AP577,(AP577-AL578)*(1+$C$4))</f>
        <v>216349.90154120605</v>
      </c>
      <c r="AO578" s="18">
        <f>IF($A578&gt;'1-Input'!$B$26,AM578,AM578-'P-Parametri'!$B$8*(AN578+AM578)+MIN(MAX(AN578,0),'P-Parametri'!$B$8*(AN578+AM578)))</f>
        <v>52474.471775783059</v>
      </c>
      <c r="AP578" s="18">
        <f>IF($A578&gt;'1-Input'!$B$26,AN578,AN578-MIN(MAX(AN578,0),'P-Parametri'!$B$8*(AN578+AM578)))</f>
        <v>215812.25279457206</v>
      </c>
      <c r="AQ578" s="18">
        <f>IF($A578&gt;'1-Input'!$B$26,AQ577,AQ577-AL578*(1-AK578))</f>
        <v>112460.37631750858</v>
      </c>
    </row>
    <row r="579" spans="1:43">
      <c r="A579" s="10">
        <f>16</f>
        <v>16</v>
      </c>
      <c r="B579" s="11">
        <f>IF($A579&gt;'1-Input'!$B$26,0,IF(G578&lt;=0,0,MAX(0,(G578-H578)/G578)))</f>
        <v>0.47916040780782343</v>
      </c>
      <c r="C579" s="18">
        <f>IF($A579&gt;'1-Input'!$B$26,0,(MAX(0,B561-IF($A579&gt;='1-Input'!$C$12,'1-Input'!$B$12,0))-MIN(MAX(F578,0),MAX(0,B561-IF($A579&gt;='1-Input'!$C$12,'1-Input'!$B$12,0))))*(1/(1-'P-Parametri'!$B$6*B579))+MIN(MAX(0,G578-(MAX(0,B561-IF($A579&gt;='1-Input'!$C$12,'1-Input'!$B$12,0))-MIN(MAX(F578,0),MAX(0,B561-IF($A579&gt;='1-Input'!$C$12,'1-Input'!$B$12,0))))*(1/(1-'P-Parametri'!$B$6*B579))),MAX(0,3*B561-(F578-MIN(MAX(F578,0),MAX(0,B561-IF($A579&gt;='1-Input'!$C$12,'1-Input'!$B$12,0)))))*(1/(1-'P-Parametri'!$B$6*B579))))</f>
        <v>19260.747494274139</v>
      </c>
      <c r="D579" s="18">
        <f>IF($A579&gt;'1-Input'!$B$26,F578,(F578-MAX(0,B561-IF($A579&gt;='1-Input'!$C$12,'1-Input'!$B$12,0))+C579*(1-'P-Parametri'!$B$6*B579))*(1+'1-Input'!$B$27))</f>
        <v>49863.010546479447</v>
      </c>
      <c r="E579" s="18">
        <f>IF($A579&gt;'1-Input'!$B$26,G578,(G578-C579)*(1+$C$4))</f>
        <v>225395.25836647736</v>
      </c>
      <c r="F579" s="18">
        <f>IF($A579&gt;'1-Input'!$B$26,D579,D579-'P-Parametri'!$B$8*(E579+D579)+MIN(MAX(E579,0),'P-Parametri'!$B$8*(E579+D579)))</f>
        <v>49863.010546479447</v>
      </c>
      <c r="G579" s="18">
        <f>IF($A579&gt;'1-Input'!$B$26,E579,E579-MIN(MAX(E579,0),'P-Parametri'!$B$8*(E579+D579)))</f>
        <v>224844.74182865143</v>
      </c>
      <c r="H579" s="18">
        <f>IF($A579&gt;'1-Input'!$B$26,H578,H578-C579*(1-B579))</f>
        <v>113975.50917441392</v>
      </c>
      <c r="I579" s="11">
        <f>IF($A579&gt;'1-Input'!$B$26,0,IF(N578&lt;=0,0,MAX(0,(N578-O578)/N578)))</f>
        <v>0.47680881020703497</v>
      </c>
      <c r="J579" s="18">
        <f>IF($A579&gt;'1-Input'!$B$26,0,(MAX(0,I561-IF($A579&gt;='1-Input'!$C$12,'1-Input'!$B$12,0))-MIN(MAX(M578,0),MAX(0,I561-IF($A579&gt;='1-Input'!$C$12,'1-Input'!$B$12,0))))*(1/(1-'P-Parametri'!$B$6*I579))+MIN(MAX(0,N578-(MAX(0,I561-IF($A579&gt;='1-Input'!$C$12,'1-Input'!$B$12,0))-MIN(MAX(M578,0),MAX(0,I561-IF($A579&gt;='1-Input'!$C$12,'1-Input'!$B$12,0))))*(1/(1-'P-Parametri'!$B$6*I579))),MAX(0,3*I561-(M578-MIN(MAX(M578,0),MAX(0,I561-IF($A579&gt;='1-Input'!$C$12,'1-Input'!$B$12,0)))))*(1/(1-'P-Parametri'!$B$6*I579))))</f>
        <v>25325.40087597122</v>
      </c>
      <c r="K579" s="18">
        <f>IF($A579&gt;'1-Input'!$B$26,M578,(M578-MAX(0,I561-IF($A579&gt;='1-Input'!$C$12,'1-Input'!$B$12,0))+J579*(1-'P-Parametri'!$B$6*I579))*(1+'1-Input'!$B$27))</f>
        <v>65609.224403262444</v>
      </c>
      <c r="L579" s="18">
        <f>IF($A579&gt;'1-Input'!$B$26,N578,(N578-J579)*(1+$C$4))</f>
        <v>80818.173896501074</v>
      </c>
      <c r="M579" s="18">
        <f>IF($A579&gt;'1-Input'!$B$26,K579,K579-'P-Parametri'!$B$8*(L579+K579)+MIN(MAX(L579,0),'P-Parametri'!$B$8*(L579+K579)))</f>
        <v>65609.224403262444</v>
      </c>
      <c r="N579" s="18">
        <f>IF($A579&gt;'1-Input'!$B$26,L579,L579-MIN(MAX(L579,0),'P-Parametri'!$B$8*(L579+K579)))</f>
        <v>80525.31909990155</v>
      </c>
      <c r="O579" s="18">
        <f>IF($A579&gt;'1-Input'!$B$26,O578,O578-J579*(1-I579))</f>
        <v>41051.802483305961</v>
      </c>
      <c r="P579" s="11">
        <f>IF($A579&gt;'1-Input'!$B$26,0,IF(U578&lt;=0,0,MAX(0,(U578-V578)/U578)))</f>
        <v>0.47887366438976253</v>
      </c>
      <c r="Q579" s="18">
        <f>IF($A579&gt;'1-Input'!$B$26,0,(MAX(0,P561-IF($A579&gt;='1-Input'!$C$12,'1-Input'!$B$12,0))-MIN(MAX(T578,0),MAX(0,P561-IF($A579&gt;='1-Input'!$C$12,'1-Input'!$B$12,0))))*(1/(1-'P-Parametri'!$B$6*P579))+MIN(MAX(0,U578-(MAX(0,P561-IF($A579&gt;='1-Input'!$C$12,'1-Input'!$B$12,0))-MIN(MAX(T578,0),MAX(0,P561-IF($A579&gt;='1-Input'!$C$12,'1-Input'!$B$12,0))))*(1/(1-'P-Parametri'!$B$6*P579))),MAX(0,3*P561-(T578-MIN(MAX(T578,0),MAX(0,P561-IF($A579&gt;='1-Input'!$C$12,'1-Input'!$B$12,0)))))*(1/(1-'P-Parametri'!$B$6*P579))))</f>
        <v>20352.438912841713</v>
      </c>
      <c r="R579" s="18">
        <f>IF($A579&gt;'1-Input'!$B$26,T578,(T578-MAX(0,P561-IF($A579&gt;='1-Input'!$C$12,'1-Input'!$B$12,0))+Q579*(1-'P-Parametri'!$B$6*P579))*(1+'1-Input'!$B$27))</f>
        <v>52693.713097256354</v>
      </c>
      <c r="S579" s="18">
        <f>IF($A579&gt;'1-Input'!$B$26,U578,(U578-Q579)*(1+$C$4))</f>
        <v>199397.18925848961</v>
      </c>
      <c r="T579" s="18">
        <f>IF($A579&gt;'1-Input'!$B$26,R579,R579-'P-Parametri'!$B$8*(S579+R579)+MIN(MAX(S579,0),'P-Parametri'!$B$8*(S579+R579)))</f>
        <v>52693.713097256354</v>
      </c>
      <c r="U579" s="18">
        <f>IF($A579&gt;'1-Input'!$B$26,S579,S579-MIN(MAX(S579,0),'P-Parametri'!$B$8*(S579+R579)))</f>
        <v>198893.00745377812</v>
      </c>
      <c r="V579" s="18">
        <f>IF($A579&gt;'1-Input'!$B$26,V578,V578-Q579*(1-P579))</f>
        <v>100884.58890219194</v>
      </c>
      <c r="W579" s="11">
        <f>IF($A579&gt;'1-Input'!$B$26,0,IF(AB578&lt;=0,0,MAX(0,(AB578-AC578)/AB578)))</f>
        <v>0.47889484262004645</v>
      </c>
      <c r="X579" s="18">
        <f>IF($A579&gt;'1-Input'!$B$26,0,(MAX(0,W561-IF($A579&gt;='1-Input'!$C$12,'1-Input'!$B$12,0))-MIN(MAX(AA578,0),MAX(0,W561-IF($A579&gt;='1-Input'!$C$12,'1-Input'!$B$12,0))))*(1/(1-'P-Parametri'!$B$6*W579))+MIN(MAX(0,AB578-(MAX(0,W561-IF($A579&gt;='1-Input'!$C$12,'1-Input'!$B$12,0))-MIN(MAX(AA578,0),MAX(0,W561-IF($A579&gt;='1-Input'!$C$12,'1-Input'!$B$12,0))))*(1/(1-'P-Parametri'!$B$6*W579))),MAX(0,3*W561-(AA578-MIN(MAX(AA578,0),MAX(0,W561-IF($A579&gt;='1-Input'!$C$12,'1-Input'!$B$12,0)))))*(1/(1-'P-Parametri'!$B$6*W579))))</f>
        <v>20276.299082948379</v>
      </c>
      <c r="Y579" s="18">
        <f>IF($A579&gt;'1-Input'!$B$26,AA578,(AA578-MAX(0,W561-IF($A579&gt;='1-Input'!$C$12,'1-Input'!$B$12,0))+X579*(1-'P-Parametri'!$B$6*W579))*(1+'1-Input'!$B$27))</f>
        <v>52496.252233084</v>
      </c>
      <c r="Z579" s="18">
        <f>IF($A579&gt;'1-Input'!$B$26,AB578,(AB578-X579)*(1+$C$4))</f>
        <v>201210.65228236781</v>
      </c>
      <c r="AA579" s="18">
        <f>IF($A579&gt;'1-Input'!$B$26,Y579,Y579-'P-Parametri'!$B$8*(Z579+Y579)+MIN(MAX(Z579,0),'P-Parametri'!$B$8*(Z579+Y579)))</f>
        <v>52496.252233084</v>
      </c>
      <c r="AB579" s="18">
        <f>IF($A579&gt;'1-Input'!$B$26,Z579,Z579-MIN(MAX(Z579,0),'P-Parametri'!$B$8*(Z579+Y579)))</f>
        <v>200703.23847333691</v>
      </c>
      <c r="AC579" s="18">
        <f>IF($A579&gt;'1-Input'!$B$26,AC578,AC578-X579*(1-W579))</f>
        <v>101797.96953798679</v>
      </c>
      <c r="AD579" s="11">
        <f>IF($A579&gt;'1-Input'!$B$26,0,IF(AI578&lt;=0,0,MAX(0,(AI578-AJ578)/AI578)))</f>
        <v>0.47889731354774656</v>
      </c>
      <c r="AE579" s="18">
        <f>IF($A579&gt;'1-Input'!$B$26,0,(MAX(0,AD561-IF($A579&gt;='1-Input'!$C$12,'1-Input'!$B$12,0))-MIN(MAX(AH578,0),MAX(0,AD561-IF($A579&gt;='1-Input'!$C$12,'1-Input'!$B$12,0))))*(1/(1-'P-Parametri'!$B$6*AD579))+MIN(MAX(0,AI578-(MAX(0,AD561-IF($A579&gt;='1-Input'!$C$12,'1-Input'!$B$12,0))-MIN(MAX(AH578,0),MAX(0,AD561-IF($A579&gt;='1-Input'!$C$12,'1-Input'!$B$12,0))))*(1/(1-'P-Parametri'!$B$6*AD579))),MAX(0,3*AD561-(AH578-MIN(MAX(AH578,0),MAX(0,AD561-IF($A579&gt;='1-Input'!$C$12,'1-Input'!$B$12,0)))))*(1/(1-'P-Parametri'!$B$6*AD579))))</f>
        <v>20267.370913795683</v>
      </c>
      <c r="AF579" s="18">
        <f>IF($A579&gt;'1-Input'!$B$26,AH578,(AH578-MAX(0,AD561-IF($A579&gt;='1-Input'!$C$12,'1-Input'!$B$12,0))+AE579*(1-'P-Parametri'!$B$6*AD579))*(1+'1-Input'!$B$27))</f>
        <v>52473.098295428375</v>
      </c>
      <c r="AG579" s="18">
        <f>IF($A579&gt;'1-Input'!$B$26,AI578,(AI578-AE579)*(1+$C$4))</f>
        <v>201423.29680822452</v>
      </c>
      <c r="AH579" s="18">
        <f>IF($A579&gt;'1-Input'!$B$26,AF579,AF579-'P-Parametri'!$B$8*(AG579+AF579)+MIN(MAX(AG579,0),'P-Parametri'!$B$8*(AG579+AF579)))</f>
        <v>52473.098295428375</v>
      </c>
      <c r="AI579" s="18">
        <f>IF($A579&gt;'1-Input'!$B$26,AG579,AG579-MIN(MAX(AG579,0),'P-Parametri'!$B$8*(AG579+AF579)))</f>
        <v>200915.50401801721</v>
      </c>
      <c r="AJ579" s="18">
        <f>IF($A579&gt;'1-Input'!$B$26,AJ578,AJ578-AE579*(1-AD579))</f>
        <v>101905.0690105198</v>
      </c>
      <c r="AK579" s="11">
        <f>IF($A579&gt;'1-Input'!$B$26,0,IF(AP578&lt;=0,0,MAX(0,(AP578-AQ578)/AP578)))</f>
        <v>0.47889716704566515</v>
      </c>
      <c r="AL579" s="18">
        <f>IF($A579&gt;'1-Input'!$B$26,0,(MAX(0,AK561-IF($A579&gt;='1-Input'!$C$12,'1-Input'!$B$12,0))-MIN(MAX(AO578,0),MAX(0,AK561-IF($A579&gt;='1-Input'!$C$12,'1-Input'!$B$12,0))))*(1/(1-'P-Parametri'!$B$6*AK579))+MIN(MAX(0,AP578-(MAX(0,AK561-IF($A579&gt;='1-Input'!$C$12,'1-Input'!$B$12,0))-MIN(MAX(AO578,0),MAX(0,AK561-IF($A579&gt;='1-Input'!$C$12,'1-Input'!$B$12,0))))*(1/(1-'P-Parametri'!$B$6*AK579))),MAX(0,3*AK561-(AO578-MIN(MAX(AO578,0),MAX(0,AK561-IF($A579&gt;='1-Input'!$C$12,'1-Input'!$B$12,0)))))*(1/(1-'P-Parametri'!$B$6*AK579))))</f>
        <v>20267.90052926054</v>
      </c>
      <c r="AM579" s="18">
        <f>IF($A579&gt;'1-Input'!$B$26,AO578,(AO578-MAX(0,AK561-IF($A579&gt;='1-Input'!$C$12,'1-Input'!$B$12,0))+AL579*(1-'P-Parametri'!$B$6*AK579))*(1+'1-Input'!$B$27))</f>
        <v>52474.471775783059</v>
      </c>
      <c r="AN579" s="18">
        <f>IF($A579&gt;'1-Input'!$B$26,AP578,(AP578-AL579)*(1+$C$4))</f>
        <v>201410.68283327087</v>
      </c>
      <c r="AO579" s="18">
        <f>IF($A579&gt;'1-Input'!$B$26,AM579,AM579-'P-Parametri'!$B$8*(AN579+AM579)+MIN(MAX(AN579,0),'P-Parametri'!$B$8*(AN579+AM579)))</f>
        <v>52474.471775783059</v>
      </c>
      <c r="AP579" s="18">
        <f>IF($A579&gt;'1-Input'!$B$26,AN579,AN579-MIN(MAX(AN579,0),'P-Parametri'!$B$8*(AN579+AM579)))</f>
        <v>200902.91252405275</v>
      </c>
      <c r="AQ579" s="18">
        <f>IF($A579&gt;'1-Input'!$B$26,AQ578,AQ578-AL579*(1-AK579))</f>
        <v>101898.71593367425</v>
      </c>
    </row>
    <row r="580" spans="1:43">
      <c r="A580" s="10">
        <f>17</f>
        <v>17</v>
      </c>
      <c r="B580" s="11">
        <f>IF($A580&gt;'1-Input'!$B$26,0,IF(G579&lt;=0,0,MAX(0,(G579-H579)/G579)))</f>
        <v>0.49309239679141881</v>
      </c>
      <c r="C580" s="18">
        <f>IF($A580&gt;'1-Input'!$B$26,0,(MAX(0,B561-IF($A580&gt;='1-Input'!$C$12,'1-Input'!$B$12,0))-MIN(MAX(F579,0),MAX(0,B561-IF($A580&gt;='1-Input'!$C$12,'1-Input'!$B$12,0))))*(1/(1-'P-Parametri'!$B$6*B580))+MIN(MAX(0,G579-(MAX(0,B561-IF($A580&gt;='1-Input'!$C$12,'1-Input'!$B$12,0))-MIN(MAX(F579,0),MAX(0,B561-IF($A580&gt;='1-Input'!$C$12,'1-Input'!$B$12,0))))*(1/(1-'P-Parametri'!$B$6*B580))),MAX(0,3*B561-(F579-MIN(MAX(F579,0),MAX(0,B561-IF($A580&gt;='1-Input'!$C$12,'1-Input'!$B$12,0)))))*(1/(1-'P-Parametri'!$B$6*B580))))</f>
        <v>19340.776007308716</v>
      </c>
      <c r="D580" s="18">
        <f>IF($A580&gt;'1-Input'!$B$26,F579,(F579-MAX(0,B561-IF($A580&gt;='1-Input'!$C$12,'1-Input'!$B$12,0))+C580*(1-'P-Parametri'!$B$6*B580))*(1+'1-Input'!$B$27))</f>
        <v>49863.010546479447</v>
      </c>
      <c r="E580" s="18">
        <f>IF($A580&gt;'1-Input'!$B$26,G579,(G579-C580)*(1+$C$4))</f>
        <v>211669.08479598301</v>
      </c>
      <c r="F580" s="18">
        <f>IF($A580&gt;'1-Input'!$B$26,D580,D580-'P-Parametri'!$B$8*(E580+D580)+MIN(MAX(E580,0),'P-Parametri'!$B$8*(E580+D580)))</f>
        <v>49863.010546479447</v>
      </c>
      <c r="G580" s="18">
        <f>IF($A580&gt;'1-Input'!$B$26,E580,E580-MIN(MAX(E580,0),'P-Parametri'!$B$8*(E580+D580)))</f>
        <v>211146.02060529808</v>
      </c>
      <c r="H580" s="18">
        <f>IF($A580&gt;'1-Input'!$B$26,H579,H579-C580*(1-B580))</f>
        <v>104171.52276435503</v>
      </c>
      <c r="I580" s="11">
        <f>IF($A580&gt;'1-Input'!$B$26,0,IF(N579&lt;=0,0,MAX(0,(N579-O579)/N579)))</f>
        <v>0.4902000644992644</v>
      </c>
      <c r="J580" s="18">
        <f>IF($A580&gt;'1-Input'!$B$26,0,(MAX(0,I561-IF($A580&gt;='1-Input'!$C$12,'1-Input'!$B$12,0))-MIN(MAX(M579,0),MAX(0,I561-IF($A580&gt;='1-Input'!$C$12,'1-Input'!$B$12,0))))*(1/(1-'P-Parametri'!$B$6*I580))+MIN(MAX(0,N579-(MAX(0,I561-IF($A580&gt;='1-Input'!$C$12,'1-Input'!$B$12,0))-MIN(MAX(M579,0),MAX(0,I561-IF($A580&gt;='1-Input'!$C$12,'1-Input'!$B$12,0))))*(1/(1-'P-Parametri'!$B$6*I580))),MAX(0,3*I561-(M579-MIN(MAX(M579,0),MAX(0,I561-IF($A580&gt;='1-Input'!$C$12,'1-Input'!$B$12,0)))))*(1/(1-'P-Parametri'!$B$6*I580))))</f>
        <v>25426.456762091191</v>
      </c>
      <c r="K580" s="18">
        <f>IF($A580&gt;'1-Input'!$B$26,M579,(M579-MAX(0,I561-IF($A580&gt;='1-Input'!$C$12,'1-Input'!$B$12,0))+J580*(1-'P-Parametri'!$B$6*I580))*(1+'1-Input'!$B$27))</f>
        <v>65609.224403262444</v>
      </c>
      <c r="L580" s="18">
        <f>IF($A580&gt;'1-Input'!$B$26,N579,(N579-J580)*(1+$C$4))</f>
        <v>56751.828207944673</v>
      </c>
      <c r="M580" s="18">
        <f>IF($A580&gt;'1-Input'!$B$26,K580,K580-'P-Parametri'!$B$8*(L580+K580)+MIN(MAX(L580,0),'P-Parametri'!$B$8*(L580+K580)))</f>
        <v>65609.224403262444</v>
      </c>
      <c r="N580" s="18">
        <f>IF($A580&gt;'1-Input'!$B$26,L580,L580-MIN(MAX(L580,0),'P-Parametri'!$B$8*(L580+K580)))</f>
        <v>56507.10610272226</v>
      </c>
      <c r="O580" s="18">
        <f>IF($A580&gt;'1-Input'!$B$26,O579,O579-J580*(1-I580))</f>
        <v>28089.396465979626</v>
      </c>
      <c r="P580" s="11">
        <f>IF($A580&gt;'1-Input'!$B$26,0,IF(U579&lt;=0,0,MAX(0,(U579-V579)/U579)))</f>
        <v>0.4927695538736469</v>
      </c>
      <c r="Q580" s="18">
        <f>IF($A580&gt;'1-Input'!$B$26,0,(MAX(0,P561-IF($A580&gt;='1-Input'!$C$12,'1-Input'!$B$12,0))-MIN(MAX(T579,0),MAX(0,P561-IF($A580&gt;='1-Input'!$C$12,'1-Input'!$B$12,0))))*(1/(1-'P-Parametri'!$B$6*P580))+MIN(MAX(0,U579-(MAX(0,P561-IF($A580&gt;='1-Input'!$C$12,'1-Input'!$B$12,0))-MIN(MAX(T579,0),MAX(0,P561-IF($A580&gt;='1-Input'!$C$12,'1-Input'!$B$12,0))))*(1/(1-'P-Parametri'!$B$6*P580))),MAX(0,3*P561-(T579-MIN(MAX(T579,0),MAX(0,P561-IF($A580&gt;='1-Input'!$C$12,'1-Input'!$B$12,0)))))*(1/(1-'P-Parametri'!$B$6*P580))))</f>
        <v>20436.776172520367</v>
      </c>
      <c r="R580" s="18">
        <f>IF($A580&gt;'1-Input'!$B$26,T579,(T579-MAX(0,P561-IF($A580&gt;='1-Input'!$C$12,'1-Input'!$B$12,0))+Q580*(1-'P-Parametri'!$B$6*P580))*(1+'1-Input'!$B$27))</f>
        <v>52693.713097256354</v>
      </c>
      <c r="S580" s="18">
        <f>IF($A580&gt;'1-Input'!$B$26,U579,(U579-Q580)*(1+$C$4))</f>
        <v>183809.91821969551</v>
      </c>
      <c r="T580" s="18">
        <f>IF($A580&gt;'1-Input'!$B$26,R580,R580-'P-Parametri'!$B$8*(S580+R580)+MIN(MAX(S580,0),'P-Parametri'!$B$8*(S580+R580)))</f>
        <v>52693.713097256354</v>
      </c>
      <c r="U580" s="18">
        <f>IF($A580&gt;'1-Input'!$B$26,S580,S580-MIN(MAX(S580,0),'P-Parametri'!$B$8*(S580+R580)))</f>
        <v>183336.9109570616</v>
      </c>
      <c r="V580" s="18">
        <f>IF($A580&gt;'1-Input'!$B$26,V579,V579-Q580*(1-P580))</f>
        <v>90518.433806820016</v>
      </c>
      <c r="W580" s="11">
        <f>IF($A580&gt;'1-Input'!$B$26,0,IF(AB579&lt;=0,0,MAX(0,(AB579-AC579)/AB579)))</f>
        <v>0.49279358762559039</v>
      </c>
      <c r="X580" s="18">
        <f>IF($A580&gt;'1-Input'!$B$26,0,(MAX(0,W561-IF($A580&gt;='1-Input'!$C$12,'1-Input'!$B$12,0))-MIN(MAX(AA579,0),MAX(0,W561-IF($A580&gt;='1-Input'!$C$12,'1-Input'!$B$12,0))))*(1/(1-'P-Parametri'!$B$6*W580))+MIN(MAX(0,AB579-(MAX(0,W561-IF($A580&gt;='1-Input'!$C$12,'1-Input'!$B$12,0))-MIN(MAX(AA579,0),MAX(0,W561-IF($A580&gt;='1-Input'!$C$12,'1-Input'!$B$12,0))))*(1/(1-'P-Parametri'!$B$6*W580))),MAX(0,3*W561-(AA579-MIN(MAX(AA579,0),MAX(0,W561-IF($A580&gt;='1-Input'!$C$12,'1-Input'!$B$12,0)))))*(1/(1-'P-Parametri'!$B$6*W580))))</f>
        <v>20360.338699596585</v>
      </c>
      <c r="Y580" s="18">
        <f>IF($A580&gt;'1-Input'!$B$26,AA579,(AA579-MAX(0,W561-IF($A580&gt;='1-Input'!$C$12,'1-Input'!$B$12,0))+X580*(1-'P-Parametri'!$B$6*W580))*(1+'1-Input'!$B$27))</f>
        <v>52496.252233084</v>
      </c>
      <c r="Z580" s="18">
        <f>IF($A580&gt;'1-Input'!$B$26,AB579,(AB579-X580)*(1+$C$4))</f>
        <v>185753.18676695254</v>
      </c>
      <c r="AA580" s="18">
        <f>IF($A580&gt;'1-Input'!$B$26,Y580,Y580-'P-Parametri'!$B$8*(Z580+Y580)+MIN(MAX(Z580,0),'P-Parametri'!$B$8*(Z580+Y580)))</f>
        <v>52496.252233084</v>
      </c>
      <c r="AB580" s="18">
        <f>IF($A580&gt;'1-Input'!$B$26,Z580,Z580-MIN(MAX(Z580,0),'P-Parametri'!$B$8*(Z580+Y580)))</f>
        <v>185276.68788895247</v>
      </c>
      <c r="AC580" s="18">
        <f>IF($A580&gt;'1-Input'!$B$26,AC579,AC579-X580*(1-W580))</f>
        <v>91471.075191436554</v>
      </c>
      <c r="AD580" s="11">
        <f>IF($A580&gt;'1-Input'!$B$26,0,IF(AI579&lt;=0,0,MAX(0,(AI579-AJ579)/AI579)))</f>
        <v>0.49279638966348061</v>
      </c>
      <c r="AE580" s="18">
        <f>IF($A580&gt;'1-Input'!$B$26,0,(MAX(0,AD561-IF($A580&gt;='1-Input'!$C$12,'1-Input'!$B$12,0))-MIN(MAX(AH579,0),MAX(0,AD561-IF($A580&gt;='1-Input'!$C$12,'1-Input'!$B$12,0))))*(1/(1-'P-Parametri'!$B$6*AD580))+MIN(MAX(0,AI579-(MAX(0,AD561-IF($A580&gt;='1-Input'!$C$12,'1-Input'!$B$12,0))-MIN(MAX(AH579,0),MAX(0,AD561-IF($A580&gt;='1-Input'!$C$12,'1-Input'!$B$12,0))))*(1/(1-'P-Parametri'!$B$6*AD580))),MAX(0,3*AD561-(AH579-MIN(MAX(AH579,0),MAX(0,AD561-IF($A580&gt;='1-Input'!$C$12,'1-Input'!$B$12,0)))))*(1/(1-'P-Parametri'!$B$6*AD580))))</f>
        <v>20351.37559705766</v>
      </c>
      <c r="AF580" s="18">
        <f>IF($A580&gt;'1-Input'!$B$26,AH579,(AH579-MAX(0,AD561-IF($A580&gt;='1-Input'!$C$12,'1-Input'!$B$12,0))+AE580*(1-'P-Parametri'!$B$6*AD580))*(1+'1-Input'!$B$27))</f>
        <v>52473.098295428375</v>
      </c>
      <c r="AG580" s="18">
        <f>IF($A580&gt;'1-Input'!$B$26,AI579,(AI579-AE580)*(1+$C$4))</f>
        <v>185981.05227358834</v>
      </c>
      <c r="AH580" s="18">
        <f>IF($A580&gt;'1-Input'!$B$26,AF580,AF580-'P-Parametri'!$B$8*(AG580+AF580)+MIN(MAX(AG580,0),'P-Parametri'!$B$8*(AG580+AF580)))</f>
        <v>52473.098295428375</v>
      </c>
      <c r="AI580" s="18">
        <f>IF($A580&gt;'1-Input'!$B$26,AG580,AG580-MIN(MAX(AG580,0),'P-Parametri'!$B$8*(AG580+AF580)))</f>
        <v>185504.14397245031</v>
      </c>
      <c r="AJ580" s="18">
        <f>IF($A580&gt;'1-Input'!$B$26,AJ579,AJ579-AE580*(1-AD580))</f>
        <v>91582.777832377615</v>
      </c>
      <c r="AK580" s="11">
        <f>IF($A580&gt;'1-Input'!$B$26,0,IF(AP579&lt;=0,0,MAX(0,(AP579-AQ579)/AP579)))</f>
        <v>0.49279622354168406</v>
      </c>
      <c r="AL580" s="18">
        <f>IF($A580&gt;'1-Input'!$B$26,0,(MAX(0,AK561-IF($A580&gt;='1-Input'!$C$12,'1-Input'!$B$12,0))-MIN(MAX(AO579,0),MAX(0,AK561-IF($A580&gt;='1-Input'!$C$12,'1-Input'!$B$12,0))))*(1/(1-'P-Parametri'!$B$6*AK580))+MIN(MAX(0,AP579-(MAX(0,AK561-IF($A580&gt;='1-Input'!$C$12,'1-Input'!$B$12,0))-MIN(MAX(AO579,0),MAX(0,AK561-IF($A580&gt;='1-Input'!$C$12,'1-Input'!$B$12,0))))*(1/(1-'P-Parametri'!$B$6*AK580))),MAX(0,3*AK561-(AO579-MIN(MAX(AO579,0),MAX(0,AK561-IF($A580&gt;='1-Input'!$C$12,'1-Input'!$B$12,0)))))*(1/(1-'P-Parametri'!$B$6*AK580))))</f>
        <v>20351.907284940971</v>
      </c>
      <c r="AM580" s="18">
        <f>IF($A580&gt;'1-Input'!$B$26,AO579,(AO579-MAX(0,AK561-IF($A580&gt;='1-Input'!$C$12,'1-Input'!$B$12,0))+AL580*(1-'P-Parametri'!$B$6*AK580))*(1+'1-Input'!$B$27))</f>
        <v>52474.471775783059</v>
      </c>
      <c r="AN580" s="18">
        <f>IF($A580&gt;'1-Input'!$B$26,AP579,(AP579-AL580)*(1+$C$4))</f>
        <v>185967.53539628515</v>
      </c>
      <c r="AO580" s="18">
        <f>IF($A580&gt;'1-Input'!$B$26,AM580,AM580-'P-Parametri'!$B$8*(AN580+AM580)+MIN(MAX(AN580,0),'P-Parametri'!$B$8*(AN580+AM580)))</f>
        <v>52474.471775783059</v>
      </c>
      <c r="AP580" s="18">
        <f>IF($A580&gt;'1-Input'!$B$26,AN580,AN580-MIN(MAX(AN580,0),'P-Parametri'!$B$8*(AN580+AM580)))</f>
        <v>185490.65138194102</v>
      </c>
      <c r="AQ580" s="18">
        <f>IF($A580&gt;'1-Input'!$B$26,AQ579,AQ579-AL580*(1-AK580))</f>
        <v>91576.151700622679</v>
      </c>
    </row>
    <row r="581" spans="1:43">
      <c r="A581" s="10">
        <f>18</f>
        <v>18</v>
      </c>
      <c r="B581" s="11">
        <f>IF($A581&gt;'1-Input'!$B$26,0,IF(G580&lt;=0,0,MAX(0,(G580-H580)/G580)))</f>
        <v>0.50663752759477221</v>
      </c>
      <c r="C581" s="18">
        <f>IF($A581&gt;'1-Input'!$B$26,0,(MAX(0,B561-IF($A581&gt;='1-Input'!$C$12,'1-Input'!$B$12,0))-MIN(MAX(F580,0),MAX(0,B561-IF($A581&gt;='1-Input'!$C$12,'1-Input'!$B$12,0))))*(1/(1-'P-Parametri'!$B$6*B581))+MIN(MAX(0,G580-(MAX(0,B561-IF($A581&gt;='1-Input'!$C$12,'1-Input'!$B$12,0))-MIN(MAX(F580,0),MAX(0,B561-IF($A581&gt;='1-Input'!$C$12,'1-Input'!$B$12,0))))*(1/(1-'P-Parametri'!$B$6*B581))),MAX(0,3*B561-(F580-MIN(MAX(F580,0),MAX(0,B561-IF($A581&gt;='1-Input'!$C$12,'1-Input'!$B$12,0)))))*(1/(1-'P-Parametri'!$B$6*B581))))</f>
        <v>19419.222499515225</v>
      </c>
      <c r="D581" s="18">
        <f>IF($A581&gt;'1-Input'!$B$26,F580,(F580-MAX(0,B561-IF($A581&gt;='1-Input'!$C$12,'1-Input'!$B$12,0))+C581*(1-'P-Parametri'!$B$6*B581))*(1+'1-Input'!$B$27))</f>
        <v>49863.010546479447</v>
      </c>
      <c r="E581" s="18">
        <f>IF($A581&gt;'1-Input'!$B$26,G580,(G580-C581)*(1+$C$4))</f>
        <v>197478.60204895635</v>
      </c>
      <c r="F581" s="18">
        <f>IF($A581&gt;'1-Input'!$B$26,D581,D581-'P-Parametri'!$B$8*(E581+D581)+MIN(MAX(E581,0),'P-Parametri'!$B$8*(E581+D581)))</f>
        <v>49863.010546479447</v>
      </c>
      <c r="G581" s="18">
        <f>IF($A581&gt;'1-Input'!$B$26,E581,E581-MIN(MAX(E581,0),'P-Parametri'!$B$8*(E581+D581)))</f>
        <v>196983.91882376547</v>
      </c>
      <c r="H581" s="18">
        <f>IF($A581&gt;'1-Input'!$B$26,H580,H580-C581*(1-B581))</f>
        <v>94590.807139806973</v>
      </c>
      <c r="I581" s="11">
        <f>IF($A581&gt;'1-Input'!$B$26,0,IF(N580&lt;=0,0,MAX(0,(N580-O580)/N580)))</f>
        <v>0.50290506091540221</v>
      </c>
      <c r="J581" s="18">
        <f>IF($A581&gt;'1-Input'!$B$26,0,(MAX(0,I561-IF($A581&gt;='1-Input'!$C$12,'1-Input'!$B$12,0))-MIN(MAX(M580,0),MAX(0,I561-IF($A581&gt;='1-Input'!$C$12,'1-Input'!$B$12,0))))*(1/(1-'P-Parametri'!$B$6*I581))+MIN(MAX(0,N580-(MAX(0,I561-IF($A581&gt;='1-Input'!$C$12,'1-Input'!$B$12,0))-MIN(MAX(M580,0),MAX(0,I561-IF($A581&gt;='1-Input'!$C$12,'1-Input'!$B$12,0))))*(1/(1-'P-Parametri'!$B$6*I581))),MAX(0,3*I561-(M580-MIN(MAX(M580,0),MAX(0,I561-IF($A581&gt;='1-Input'!$C$12,'1-Input'!$B$12,0)))))*(1/(1-'P-Parametri'!$B$6*I581))))</f>
        <v>25523.08224909168</v>
      </c>
      <c r="K581" s="18">
        <f>IF($A581&gt;'1-Input'!$B$26,M580,(M580-MAX(0,I561-IF($A581&gt;='1-Input'!$C$12,'1-Input'!$B$12,0))+J581*(1-'P-Parametri'!$B$6*I581))*(1+'1-Input'!$B$27))</f>
        <v>65609.224403262444</v>
      </c>
      <c r="L581" s="18">
        <f>IF($A581&gt;'1-Input'!$B$26,N580,(N580-J581)*(1+$C$4))</f>
        <v>31913.544569239501</v>
      </c>
      <c r="M581" s="18">
        <f>IF($A581&gt;'1-Input'!$B$26,K581,K581-'P-Parametri'!$B$8*(L581+K581)+MIN(MAX(L581,0),'P-Parametri'!$B$8*(L581+K581)))</f>
        <v>65609.224403262444</v>
      </c>
      <c r="N581" s="18">
        <f>IF($A581&gt;'1-Input'!$B$26,L581,L581-MIN(MAX(L581,0),'P-Parametri'!$B$8*(L581+K581)))</f>
        <v>31718.499031294497</v>
      </c>
      <c r="O581" s="18">
        <f>IF($A581&gt;'1-Input'!$B$26,O580,O580-J581*(1-I581))</f>
        <v>15402.001450116219</v>
      </c>
      <c r="P581" s="11">
        <f>IF($A581&gt;'1-Input'!$B$26,0,IF(U580&lt;=0,0,MAX(0,(U580-V580)/U580)))</f>
        <v>0.50627272307418836</v>
      </c>
      <c r="Q581" s="18">
        <f>IF($A581&gt;'1-Input'!$B$26,0,(MAX(0,P561-IF($A581&gt;='1-Input'!$C$12,'1-Input'!$B$12,0))-MIN(MAX(T580,0),MAX(0,P561-IF($A581&gt;='1-Input'!$C$12,'1-Input'!$B$12,0))))*(1/(1-'P-Parametri'!$B$6*P581))+MIN(MAX(0,U580-(MAX(0,P561-IF($A581&gt;='1-Input'!$C$12,'1-Input'!$B$12,0))-MIN(MAX(T580,0),MAX(0,P561-IF($A581&gt;='1-Input'!$C$12,'1-Input'!$B$12,0))))*(1/(1-'P-Parametri'!$B$6*P581))),MAX(0,3*P561-(T580-MIN(MAX(T580,0),MAX(0,P561-IF($A581&gt;='1-Input'!$C$12,'1-Input'!$B$12,0)))))*(1/(1-'P-Parametri'!$B$6*P581))))</f>
        <v>20519.402241054413</v>
      </c>
      <c r="R581" s="18">
        <f>IF($A581&gt;'1-Input'!$B$26,T580,(T580-MAX(0,P561-IF($A581&gt;='1-Input'!$C$12,'1-Input'!$B$12,0))+Q581*(1-'P-Parametri'!$B$6*P581))*(1+'1-Input'!$B$27))</f>
        <v>52693.713097256354</v>
      </c>
      <c r="S581" s="18">
        <f>IF($A581&gt;'1-Input'!$B$26,U580,(U580-Q581)*(1+$C$4))</f>
        <v>167702.03397748739</v>
      </c>
      <c r="T581" s="18">
        <f>IF($A581&gt;'1-Input'!$B$26,R581,R581-'P-Parametri'!$B$8*(S581+R581)+MIN(MAX(S581,0),'P-Parametri'!$B$8*(S581+R581)))</f>
        <v>52693.713097256354</v>
      </c>
      <c r="U581" s="18">
        <f>IF($A581&gt;'1-Input'!$B$26,S581,S581-MIN(MAX(S581,0),'P-Parametri'!$B$8*(S581+R581)))</f>
        <v>167261.2424833379</v>
      </c>
      <c r="V581" s="18">
        <f>IF($A581&gt;'1-Input'!$B$26,V580,V580-Q581*(1-P581))</f>
        <v>80387.445214198829</v>
      </c>
      <c r="W581" s="11">
        <f>IF($A581&gt;'1-Input'!$B$26,0,IF(AB580&lt;=0,0,MAX(0,(AB580-AC580)/AB580)))</f>
        <v>0.50630013827610787</v>
      </c>
      <c r="X581" s="18">
        <f>IF($A581&gt;'1-Input'!$B$26,0,(MAX(0,W561-IF($A581&gt;='1-Input'!$C$12,'1-Input'!$B$12,0))-MIN(MAX(AA580,0),MAX(0,W561-IF($A581&gt;='1-Input'!$C$12,'1-Input'!$B$12,0))))*(1/(1-'P-Parametri'!$B$6*W581))+MIN(MAX(0,AB580-(MAX(0,W561-IF($A581&gt;='1-Input'!$C$12,'1-Input'!$B$12,0))-MIN(MAX(AA580,0),MAX(0,W561-IF($A581&gt;='1-Input'!$C$12,'1-Input'!$B$12,0))))*(1/(1-'P-Parametri'!$B$6*W581))),MAX(0,3*W561-(AA580-MIN(MAX(AA580,0),MAX(0,W561-IF($A581&gt;='1-Input'!$C$12,'1-Input'!$B$12,0)))))*(1/(1-'P-Parametri'!$B$6*W581))))</f>
        <v>20442.677020361694</v>
      </c>
      <c r="Y581" s="18">
        <f>IF($A581&gt;'1-Input'!$B$26,AA580,(AA580-MAX(0,W561-IF($A581&gt;='1-Input'!$C$12,'1-Input'!$B$12,0))+X581*(1-'P-Parametri'!$B$6*W581))*(1+'1-Input'!$B$27))</f>
        <v>52496.252233084</v>
      </c>
      <c r="Z581" s="18">
        <f>IF($A581&gt;'1-Input'!$B$26,AB580,(AB580-X581)*(1+$C$4))</f>
        <v>169779.0311946485</v>
      </c>
      <c r="AA581" s="18">
        <f>IF($A581&gt;'1-Input'!$B$26,Y581,Y581-'P-Parametri'!$B$8*(Z581+Y581)+MIN(MAX(Z581,0),'P-Parametri'!$B$8*(Z581+Y581)))</f>
        <v>52496.252233084</v>
      </c>
      <c r="AB581" s="18">
        <f>IF($A581&gt;'1-Input'!$B$26,Z581,Z581-MIN(MAX(Z581,0),'P-Parametri'!$B$8*(Z581+Y581)))</f>
        <v>169334.48062779303</v>
      </c>
      <c r="AC581" s="18">
        <f>IF($A581&gt;'1-Input'!$B$26,AC580,AC580-X581*(1-W581))</f>
        <v>81378.528373217792</v>
      </c>
      <c r="AD581" s="11">
        <f>IF($A581&gt;'1-Input'!$B$26,0,IF(AI580&lt;=0,0,MAX(0,(AI580-AJ580)/AI580)))</f>
        <v>0.50630333171436426</v>
      </c>
      <c r="AE581" s="18">
        <f>IF($A581&gt;'1-Input'!$B$26,0,(MAX(0,AD561-IF($A581&gt;='1-Input'!$C$12,'1-Input'!$B$12,0))-MIN(MAX(AH580,0),MAX(0,AD561-IF($A581&gt;='1-Input'!$C$12,'1-Input'!$B$12,0))))*(1/(1-'P-Parametri'!$B$6*AD581))+MIN(MAX(0,AI580-(MAX(0,AD561-IF($A581&gt;='1-Input'!$C$12,'1-Input'!$B$12,0))-MIN(MAX(AH580,0),MAX(0,AD561-IF($A581&gt;='1-Input'!$C$12,'1-Input'!$B$12,0))))*(1/(1-'P-Parametri'!$B$6*AD581))),MAX(0,3*AD561-(AH580-MIN(MAX(AH580,0),MAX(0,AD561-IF($A581&gt;='1-Input'!$C$12,'1-Input'!$B$12,0)))))*(1/(1-'P-Parametri'!$B$6*AD581))))</f>
        <v>20433.680134238828</v>
      </c>
      <c r="AF581" s="18">
        <f>IF($A581&gt;'1-Input'!$B$26,AH580,(AH580-MAX(0,AD561-IF($A581&gt;='1-Input'!$C$12,'1-Input'!$B$12,0))+AE581*(1-'P-Parametri'!$B$6*AD581))*(1+'1-Input'!$B$27))</f>
        <v>52473.098295428375</v>
      </c>
      <c r="AG581" s="18">
        <f>IF($A581&gt;'1-Input'!$B$26,AI580,(AI580-AE581)*(1+$C$4))</f>
        <v>170022.57775335785</v>
      </c>
      <c r="AH581" s="18">
        <f>IF($A581&gt;'1-Input'!$B$26,AF581,AF581-'P-Parametri'!$B$8*(AG581+AF581)+MIN(MAX(AG581,0),'P-Parametri'!$B$8*(AG581+AF581)))</f>
        <v>52473.098295428375</v>
      </c>
      <c r="AI581" s="18">
        <f>IF($A581&gt;'1-Input'!$B$26,AG581,AG581-MIN(MAX(AG581,0),'P-Parametri'!$B$8*(AG581+AF581)))</f>
        <v>169577.58640126028</v>
      </c>
      <c r="AJ581" s="18">
        <f>IF($A581&gt;'1-Input'!$B$26,AJ580,AJ580-AE581*(1-AD581))</f>
        <v>81494.738029289525</v>
      </c>
      <c r="AK581" s="11">
        <f>IF($A581&gt;'1-Input'!$B$26,0,IF(AP580&lt;=0,0,MAX(0,(AP580-AQ580)/AP580)))</f>
        <v>0.50630314240441365</v>
      </c>
      <c r="AL581" s="18">
        <f>IF($A581&gt;'1-Input'!$B$26,0,(MAX(0,AK561-IF($A581&gt;='1-Input'!$C$12,'1-Input'!$B$12,0))-MIN(MAX(AO580,0),MAX(0,AK561-IF($A581&gt;='1-Input'!$C$12,'1-Input'!$B$12,0))))*(1/(1-'P-Parametri'!$B$6*AK581))+MIN(MAX(0,AP580-(MAX(0,AK561-IF($A581&gt;='1-Input'!$C$12,'1-Input'!$B$12,0))-MIN(MAX(AO580,0),MAX(0,AK561-IF($A581&gt;='1-Input'!$C$12,'1-Input'!$B$12,0))))*(1/(1-'P-Parametri'!$B$6*AK581))),MAX(0,3*AK561-(AO580-MIN(MAX(AO580,0),MAX(0,AK561-IF($A581&gt;='1-Input'!$C$12,'1-Input'!$B$12,0)))))*(1/(1-'P-Parametri'!$B$6*AK581))))</f>
        <v>20434.21382639532</v>
      </c>
      <c r="AM581" s="18">
        <f>IF($A581&gt;'1-Input'!$B$26,AO580,(AO580-MAX(0,AK561-IF($A581&gt;='1-Input'!$C$12,'1-Input'!$B$12,0))+AL581*(1-'P-Parametri'!$B$6*AK581))*(1+'1-Input'!$B$27))</f>
        <v>52474.471775783059</v>
      </c>
      <c r="AN581" s="18">
        <f>IF($A581&gt;'1-Input'!$B$26,AP580,(AP580-AL581)*(1+$C$4))</f>
        <v>170008.1306822121</v>
      </c>
      <c r="AO581" s="18">
        <f>IF($A581&gt;'1-Input'!$B$26,AM581,AM581-'P-Parametri'!$B$8*(AN581+AM581)+MIN(MAX(AN581,0),'P-Parametri'!$B$8*(AN581+AM581)))</f>
        <v>52474.471775783059</v>
      </c>
      <c r="AP581" s="18">
        <f>IF($A581&gt;'1-Input'!$B$26,AN581,AN581-MIN(MAX(AN581,0),'P-Parametri'!$B$8*(AN581+AM581)))</f>
        <v>169563.1654772961</v>
      </c>
      <c r="AQ581" s="18">
        <f>IF($A581&gt;'1-Input'!$B$26,AQ580,AQ580-AL581*(1-AK581))</f>
        <v>81487.844547095025</v>
      </c>
    </row>
    <row r="582" spans="1:43">
      <c r="A582" s="10">
        <f>19</f>
        <v>19</v>
      </c>
      <c r="B582" s="11">
        <f>IF($A582&gt;'1-Input'!$B$26,0,IF(G581&lt;=0,0,MAX(0,(G581-H581)/G581)))</f>
        <v>0.51980442005301963</v>
      </c>
      <c r="C582" s="18">
        <f>IF($A582&gt;'1-Input'!$B$26,0,(MAX(0,B561-IF($A582&gt;='1-Input'!$C$12,'1-Input'!$B$12,0))-MIN(MAX(F581,0),MAX(0,B561-IF($A582&gt;='1-Input'!$C$12,'1-Input'!$B$12,0))))*(1/(1-'P-Parametri'!$B$6*B582))+MIN(MAX(0,G581-(MAX(0,B561-IF($A582&gt;='1-Input'!$C$12,'1-Input'!$B$12,0))-MIN(MAX(F581,0),MAX(0,B561-IF($A582&gt;='1-Input'!$C$12,'1-Input'!$B$12,0))))*(1/(1-'P-Parametri'!$B$6*B582))),MAX(0,3*B561-(F581-MIN(MAX(F581,0),MAX(0,B561-IF($A582&gt;='1-Input'!$C$12,'1-Input'!$B$12,0)))))*(1/(1-'P-Parametri'!$B$6*B582))))</f>
        <v>19496.090796113163</v>
      </c>
      <c r="D582" s="18">
        <f>IF($A582&gt;'1-Input'!$B$26,F581,(F581-MAX(0,B561-IF($A582&gt;='1-Input'!$C$12,'1-Input'!$B$12,0))+C582*(1-'P-Parametri'!$B$6*B582))*(1+'1-Input'!$B$27))</f>
        <v>49863.010546479447</v>
      </c>
      <c r="E582" s="18">
        <f>IF($A582&gt;'1-Input'!$B$26,G581,(G581-C582)*(1+$C$4))</f>
        <v>182812.46286848187</v>
      </c>
      <c r="F582" s="18">
        <f>IF($A582&gt;'1-Input'!$B$26,D582,D582-'P-Parametri'!$B$8*(E582+D582)+MIN(MAX(E582,0),'P-Parametri'!$B$8*(E582+D582)))</f>
        <v>49863.010546479447</v>
      </c>
      <c r="G582" s="18">
        <f>IF($A582&gt;'1-Input'!$B$26,E582,E582-MIN(MAX(E582,0),'P-Parametri'!$B$8*(E582+D582)))</f>
        <v>182347.11192165196</v>
      </c>
      <c r="H582" s="18">
        <f>IF($A582&gt;'1-Input'!$B$26,H581,H581-C582*(1-B582))</f>
        <v>85228.870513268426</v>
      </c>
      <c r="I582" s="11">
        <f>IF($A582&gt;'1-Input'!$B$26,0,IF(N581&lt;=0,0,MAX(0,(N581-O581)/N581)))</f>
        <v>0.51441581662107949</v>
      </c>
      <c r="J582" s="18">
        <f>IF($A582&gt;'1-Input'!$B$26,0,(MAX(0,I561-IF($A582&gt;='1-Input'!$C$12,'1-Input'!$B$12,0))-MIN(MAX(M581,0),MAX(0,I561-IF($A582&gt;='1-Input'!$C$12,'1-Input'!$B$12,0))))*(1/(1-'P-Parametri'!$B$6*I582))+MIN(MAX(0,N581-(MAX(0,I561-IF($A582&gt;='1-Input'!$C$12,'1-Input'!$B$12,0))-MIN(MAX(M581,0),MAX(0,I561-IF($A582&gt;='1-Input'!$C$12,'1-Input'!$B$12,0))))*(1/(1-'P-Parametri'!$B$6*I582))),MAX(0,3*I561-(M581-MIN(MAX(M581,0),MAX(0,I561-IF($A582&gt;='1-Input'!$C$12,'1-Input'!$B$12,0)))))*(1/(1-'P-Parametri'!$B$6*I582))))</f>
        <v>25611.261440258881</v>
      </c>
      <c r="K582" s="18">
        <f>IF($A582&gt;'1-Input'!$B$26,M581,(M581-MAX(0,I561-IF($A582&gt;='1-Input'!$C$12,'1-Input'!$B$12,0))+J582*(1-'P-Parametri'!$B$6*I582))*(1+'1-Input'!$B$27))</f>
        <v>65609.224403262444</v>
      </c>
      <c r="L582" s="18">
        <f>IF($A582&gt;'1-Input'!$B$26,N581,(N581-J582)*(1+$C$4))</f>
        <v>6290.4547187666858</v>
      </c>
      <c r="M582" s="18">
        <f>IF($A582&gt;'1-Input'!$B$26,K582,K582-'P-Parametri'!$B$8*(L582+K582)+MIN(MAX(L582,0),'P-Parametri'!$B$8*(L582+K582)))</f>
        <v>65609.224403262444</v>
      </c>
      <c r="N582" s="18">
        <f>IF($A582&gt;'1-Input'!$B$26,L582,L582-MIN(MAX(L582,0),'P-Parametri'!$B$8*(L582+K582)))</f>
        <v>6146.6553605226272</v>
      </c>
      <c r="O582" s="18">
        <f>IF($A582&gt;'1-Input'!$B$26,O581,O581-J582*(1-I582))</f>
        <v>2965.5779783440739</v>
      </c>
      <c r="P582" s="11">
        <f>IF($A582&gt;'1-Input'!$B$26,0,IF(U581&lt;=0,0,MAX(0,(U581-V581)/U581)))</f>
        <v>0.51938988362945582</v>
      </c>
      <c r="Q582" s="18">
        <f>IF($A582&gt;'1-Input'!$B$26,0,(MAX(0,P561-IF($A582&gt;='1-Input'!$C$12,'1-Input'!$B$12,0))-MIN(MAX(T581,0),MAX(0,P561-IF($A582&gt;='1-Input'!$C$12,'1-Input'!$B$12,0))))*(1/(1-'P-Parametri'!$B$6*P582))+MIN(MAX(0,U581-(MAX(0,P561-IF($A582&gt;='1-Input'!$C$12,'1-Input'!$B$12,0))-MIN(MAX(T581,0),MAX(0,P561-IF($A582&gt;='1-Input'!$C$12,'1-Input'!$B$12,0))))*(1/(1-'P-Parametri'!$B$6*P582))),MAX(0,3*P561-(T581-MIN(MAX(T581,0),MAX(0,P561-IF($A582&gt;='1-Input'!$C$12,'1-Input'!$B$12,0)))))*(1/(1-'P-Parametri'!$B$6*P582))))</f>
        <v>20600.308580285579</v>
      </c>
      <c r="R582" s="18">
        <f>IF($A582&gt;'1-Input'!$B$26,T581,(T581-MAX(0,P561-IF($A582&gt;='1-Input'!$C$12,'1-Input'!$B$12,0))+Q582*(1-'P-Parametri'!$B$6*P582))*(1+'1-Input'!$B$27))</f>
        <v>52693.713097256346</v>
      </c>
      <c r="S582" s="18">
        <f>IF($A582&gt;'1-Input'!$B$26,U581,(U581-Q582)*(1+$C$4))</f>
        <v>151060.76192014391</v>
      </c>
      <c r="T582" s="18">
        <f>IF($A582&gt;'1-Input'!$B$26,R582,R582-'P-Parametri'!$B$8*(S582+R582)+MIN(MAX(S582,0),'P-Parametri'!$B$8*(S582+R582)))</f>
        <v>52693.713097256346</v>
      </c>
      <c r="U582" s="18">
        <f>IF($A582&gt;'1-Input'!$B$26,S582,S582-MIN(MAX(S582,0),'P-Parametri'!$B$8*(S582+R582)))</f>
        <v>150653.25297010911</v>
      </c>
      <c r="V582" s="18">
        <f>IF($A582&gt;'1-Input'!$B$26,V581,V581-Q582*(1-P582))</f>
        <v>70486.72851015866</v>
      </c>
      <c r="W582" s="11">
        <f>IF($A582&gt;'1-Input'!$B$26,0,IF(AB581&lt;=0,0,MAX(0,(AB581-AC581)/AB581)))</f>
        <v>0.51942139562176648</v>
      </c>
      <c r="X582" s="18">
        <f>IF($A582&gt;'1-Input'!$B$26,0,(MAX(0,W561-IF($A582&gt;='1-Input'!$C$12,'1-Input'!$B$12,0))-MIN(MAX(AA581,0),MAX(0,W561-IF($A582&gt;='1-Input'!$C$12,'1-Input'!$B$12,0))))*(1/(1-'P-Parametri'!$B$6*W582))+MIN(MAX(0,AB581-(MAX(0,W561-IF($A582&gt;='1-Input'!$C$12,'1-Input'!$B$12,0))-MIN(MAX(AA581,0),MAX(0,W561-IF($A582&gt;='1-Input'!$C$12,'1-Input'!$B$12,0))))*(1/(1-'P-Parametri'!$B$6*W582))),MAX(0,3*W561-(AA581-MIN(MAX(AA581,0),MAX(0,W561-IF($A582&gt;='1-Input'!$C$12,'1-Input'!$B$12,0)))))*(1/(1-'P-Parametri'!$B$6*W582))))</f>
        <v>20523.306776438247</v>
      </c>
      <c r="Y582" s="18">
        <f>IF($A582&gt;'1-Input'!$B$26,AA581,(AA581-MAX(0,W561-IF($A582&gt;='1-Input'!$C$12,'1-Input'!$B$12,0))+X582*(1-'P-Parametri'!$B$6*W582))*(1+'1-Input'!$B$27))</f>
        <v>52496.252233084</v>
      </c>
      <c r="Z582" s="18">
        <f>IF($A582&gt;'1-Input'!$B$26,AB581,(AB581-X582)*(1+$C$4))</f>
        <v>153275.50906689544</v>
      </c>
      <c r="AA582" s="18">
        <f>IF($A582&gt;'1-Input'!$B$26,Y582,Y582-'P-Parametri'!$B$8*(Z582+Y582)+MIN(MAX(Z582,0),'P-Parametri'!$B$8*(Z582+Y582)))</f>
        <v>52496.252233084</v>
      </c>
      <c r="AB582" s="18">
        <f>IF($A582&gt;'1-Input'!$B$26,Z582,Z582-MIN(MAX(Z582,0),'P-Parametri'!$B$8*(Z582+Y582)))</f>
        <v>152863.96554429547</v>
      </c>
      <c r="AC582" s="18">
        <f>IF($A582&gt;'1-Input'!$B$26,AC581,AC581-X582*(1-W582))</f>
        <v>71515.466245370757</v>
      </c>
      <c r="AD582" s="11">
        <f>IF($A582&gt;'1-Input'!$B$26,0,IF(AI581&lt;=0,0,MAX(0,(AI581-AJ581)/AI581)))</f>
        <v>0.5194250622458213</v>
      </c>
      <c r="AE582" s="18">
        <f>IF($A582&gt;'1-Input'!$B$26,0,(MAX(0,AD561-IF($A582&gt;='1-Input'!$C$12,'1-Input'!$B$12,0))-MIN(MAX(AH581,0),MAX(0,AD561-IF($A582&gt;='1-Input'!$C$12,'1-Input'!$B$12,0))))*(1/(1-'P-Parametri'!$B$6*AD582))+MIN(MAX(0,AI581-(MAX(0,AD561-IF($A582&gt;='1-Input'!$C$12,'1-Input'!$B$12,0))-MIN(MAX(AH581,0),MAX(0,AD561-IF($A582&gt;='1-Input'!$C$12,'1-Input'!$B$12,0))))*(1/(1-'P-Parametri'!$B$6*AD582))),MAX(0,3*AD561-(AH581-MIN(MAX(AH581,0),MAX(0,AD561-IF($A582&gt;='1-Input'!$C$12,'1-Input'!$B$12,0)))))*(1/(1-'P-Parametri'!$B$6*AD582))))</f>
        <v>20514.277400172989</v>
      </c>
      <c r="AF582" s="18">
        <f>IF($A582&gt;'1-Input'!$B$26,AH581,(AH581-MAX(0,AD561-IF($A582&gt;='1-Input'!$C$12,'1-Input'!$B$12,0))+AE582*(1-'P-Parametri'!$B$6*AD582))*(1+'1-Input'!$B$27))</f>
        <v>52473.098295428375</v>
      </c>
      <c r="AG582" s="18">
        <f>IF($A582&gt;'1-Input'!$B$26,AI581,(AI581-AE582)*(1+$C$4))</f>
        <v>153535.20827111992</v>
      </c>
      <c r="AH582" s="18">
        <f>IF($A582&gt;'1-Input'!$B$26,AF582,AF582-'P-Parametri'!$B$8*(AG582+AF582)+MIN(MAX(AG582,0),'P-Parametri'!$B$8*(AG582+AF582)))</f>
        <v>52473.098295428375</v>
      </c>
      <c r="AI582" s="18">
        <f>IF($A582&gt;'1-Input'!$B$26,AG582,AG582-MIN(MAX(AG582,0),'P-Parametri'!$B$8*(AG582+AF582)))</f>
        <v>153123.19165798681</v>
      </c>
      <c r="AJ582" s="18">
        <f>IF($A582&gt;'1-Input'!$B$26,AJ581,AJ581-AE582*(1-AD582))</f>
        <v>71636.09044462943</v>
      </c>
      <c r="AK582" s="11">
        <f>IF($A582&gt;'1-Input'!$B$26,0,IF(AP581&lt;=0,0,MAX(0,(AP581-AQ581)/AP581)))</f>
        <v>0.51942484490827723</v>
      </c>
      <c r="AL582" s="18">
        <f>IF($A582&gt;'1-Input'!$B$26,0,(MAX(0,AK561-IF($A582&gt;='1-Input'!$C$12,'1-Input'!$B$12,0))-MIN(MAX(AO581,0),MAX(0,AK561-IF($A582&gt;='1-Input'!$C$12,'1-Input'!$B$12,0))))*(1/(1-'P-Parametri'!$B$6*AK582))+MIN(MAX(0,AP581-(MAX(0,AK561-IF($A582&gt;='1-Input'!$C$12,'1-Input'!$B$12,0))-MIN(MAX(AO581,0),MAX(0,AK561-IF($A582&gt;='1-Input'!$C$12,'1-Input'!$B$12,0))))*(1/(1-'P-Parametri'!$B$6*AK582))),MAX(0,3*AK561-(AO581-MIN(MAX(AO581,0),MAX(0,AK561-IF($A582&gt;='1-Input'!$C$12,'1-Input'!$B$12,0)))))*(1/(1-'P-Parametri'!$B$6*AK582))))</f>
        <v>20514.813019966517</v>
      </c>
      <c r="AM582" s="18">
        <f>IF($A582&gt;'1-Input'!$B$26,AO581,(AO581-MAX(0,AK561-IF($A582&gt;='1-Input'!$C$12,'1-Input'!$B$12,0))+AL582*(1-'P-Parametri'!$B$6*AK582))*(1+'1-Input'!$B$27))</f>
        <v>52474.471775783059</v>
      </c>
      <c r="AN582" s="18">
        <f>IF($A582&gt;'1-Input'!$B$26,AP581,(AP581-AL582)*(1+$C$4))</f>
        <v>153519.80303104947</v>
      </c>
      <c r="AO582" s="18">
        <f>IF($A582&gt;'1-Input'!$B$26,AM582,AM582-'P-Parametri'!$B$8*(AN582+AM582)+MIN(MAX(AN582,0),'P-Parametri'!$B$8*(AN582+AM582)))</f>
        <v>52474.471775783059</v>
      </c>
      <c r="AP582" s="18">
        <f>IF($A582&gt;'1-Input'!$B$26,AN582,AN582-MIN(MAX(AN582,0),'P-Parametri'!$B$8*(AN582+AM582)))</f>
        <v>153107.81448143581</v>
      </c>
      <c r="AQ582" s="18">
        <f>IF($A582&gt;'1-Input'!$B$26,AQ581,AQ581-AL582*(1-AK582))</f>
        <v>71628.935098346919</v>
      </c>
    </row>
    <row r="583" spans="1:43">
      <c r="A583" s="10">
        <f>20</f>
        <v>20</v>
      </c>
      <c r="B583" s="11">
        <f>IF($A583&gt;'1-Input'!$B$26,0,IF(G582&lt;=0,0,MAX(0,(G582-H582)/G582)))</f>
        <v>0.53260093008828002</v>
      </c>
      <c r="C583" s="18">
        <f>IF($A583&gt;'1-Input'!$B$26,0,(MAX(0,B561-IF($A583&gt;='1-Input'!$C$12,'1-Input'!$B$12,0))-MIN(MAX(F582,0),MAX(0,B561-IF($A583&gt;='1-Input'!$C$12,'1-Input'!$B$12,0))))*(1/(1-'P-Parametri'!$B$6*B583))+MIN(MAX(0,G582-(MAX(0,B561-IF($A583&gt;='1-Input'!$C$12,'1-Input'!$B$12,0))-MIN(MAX(F582,0),MAX(0,B561-IF($A583&gt;='1-Input'!$C$12,'1-Input'!$B$12,0))))*(1/(1-'P-Parametri'!$B$6*B583))),MAX(0,3*B561-(F582-MIN(MAX(F582,0),MAX(0,B561-IF($A583&gt;='1-Input'!$C$12,'1-Input'!$B$12,0)))))*(1/(1-'P-Parametri'!$B$6*B583))))</f>
        <v>19571.382160953366</v>
      </c>
      <c r="D583" s="18">
        <f>IF($A583&gt;'1-Input'!$B$26,F582,(F582-MAX(0,B561-IF($A583&gt;='1-Input'!$C$12,'1-Input'!$B$12,0))+C583*(1-'P-Parametri'!$B$6*B583))*(1+'1-Input'!$B$27))</f>
        <v>49863.010546479447</v>
      </c>
      <c r="E583" s="18">
        <f>IF($A583&gt;'1-Input'!$B$26,G582,(G582-C583)*(1+$C$4))</f>
        <v>167659.00165351955</v>
      </c>
      <c r="F583" s="18">
        <f>IF($A583&gt;'1-Input'!$B$26,D583,D583-'P-Parametri'!$B$8*(E583+D583)+MIN(MAX(E583,0),'P-Parametri'!$B$8*(E583+D583)))</f>
        <v>49863.010546479447</v>
      </c>
      <c r="G583" s="18">
        <f>IF($A583&gt;'1-Input'!$B$26,E583,E583-MIN(MAX(E583,0),'P-Parametri'!$B$8*(E583+D583)))</f>
        <v>167223.95762911954</v>
      </c>
      <c r="H583" s="18">
        <f>IF($A583&gt;'1-Input'!$B$26,H582,H582-C583*(1-B583))</f>
        <v>76081.224694352</v>
      </c>
      <c r="I583" s="11">
        <f>IF($A583&gt;'1-Input'!$B$26,0,IF(N582&lt;=0,0,MAX(0,(N582-O582)/N582)))</f>
        <v>0.51752981021341626</v>
      </c>
      <c r="J583" s="18">
        <f>IF($A583&gt;'1-Input'!$B$26,0,(MAX(0,I561-IF($A583&gt;='1-Input'!$C$12,'1-Input'!$B$12,0))-MIN(MAX(M582,0),MAX(0,I561-IF($A583&gt;='1-Input'!$C$12,'1-Input'!$B$12,0))))*(1/(1-'P-Parametri'!$B$6*I583))+MIN(MAX(0,N582-(MAX(0,I561-IF($A583&gt;='1-Input'!$C$12,'1-Input'!$B$12,0))-MIN(MAX(M582,0),MAX(0,I561-IF($A583&gt;='1-Input'!$C$12,'1-Input'!$B$12,0))))*(1/(1-'P-Parametri'!$B$6*I583))),MAX(0,3*I561-(M582-MIN(MAX(M582,0),MAX(0,I561-IF($A583&gt;='1-Input'!$C$12,'1-Input'!$B$12,0)))))*(1/(1-'P-Parametri'!$B$6*I583))))</f>
        <v>6146.6553605226272</v>
      </c>
      <c r="K583" s="18">
        <f>IF($A583&gt;'1-Input'!$B$26,M582,(M582-MAX(0,I561-IF($A583&gt;='1-Input'!$C$12,'1-Input'!$B$12,0))+J583*(1-'P-Parametri'!$B$6*I583))*(1+'1-Input'!$B$27))</f>
        <v>48803.714497944595</v>
      </c>
      <c r="L583" s="18">
        <f>IF($A583&gt;'1-Input'!$B$26,N582,(N582-J583)*(1+$C$4))</f>
        <v>0</v>
      </c>
      <c r="M583" s="18">
        <f>IF($A583&gt;'1-Input'!$B$26,K583,K583-'P-Parametri'!$B$8*(L583+K583)+MIN(MAX(L583,0),'P-Parametri'!$B$8*(L583+K583)))</f>
        <v>48706.107068948702</v>
      </c>
      <c r="N583" s="18">
        <f>IF($A583&gt;'1-Input'!$B$26,L583,L583-MIN(MAX(L583,0),'P-Parametri'!$B$8*(L583+K583)))</f>
        <v>0</v>
      </c>
      <c r="O583" s="18">
        <f>IF($A583&gt;'1-Input'!$B$26,O582,O582-J583*(1-I583))</f>
        <v>-4.5474735088646412E-13</v>
      </c>
      <c r="P583" s="11">
        <f>IF($A583&gt;'1-Input'!$B$26,0,IF(U582&lt;=0,0,MAX(0,(U582-V582)/U582)))</f>
        <v>0.53212607679872781</v>
      </c>
      <c r="Q583" s="18">
        <f>IF($A583&gt;'1-Input'!$B$26,0,(MAX(0,P561-IF($A583&gt;='1-Input'!$C$12,'1-Input'!$B$12,0))-MIN(MAX(T582,0),MAX(0,P561-IF($A583&gt;='1-Input'!$C$12,'1-Input'!$B$12,0))))*(1/(1-'P-Parametri'!$B$6*P583))+MIN(MAX(0,U582-(MAX(0,P561-IF($A583&gt;='1-Input'!$C$12,'1-Input'!$B$12,0))-MIN(MAX(T582,0),MAX(0,P561-IF($A583&gt;='1-Input'!$C$12,'1-Input'!$B$12,0))))*(1/(1-'P-Parametri'!$B$6*P583))),MAX(0,3*P561-(T582-MIN(MAX(T582,0),MAX(0,P561-IF($A583&gt;='1-Input'!$C$12,'1-Input'!$B$12,0)))))*(1/(1-'P-Parametri'!$B$6*P583))))</f>
        <v>20679.477955947212</v>
      </c>
      <c r="R583" s="18">
        <f>IF($A583&gt;'1-Input'!$B$26,T582,(T582-MAX(0,P561-IF($A583&gt;='1-Input'!$C$12,'1-Input'!$B$12,0))+Q583*(1-'P-Parametri'!$B$6*P583))*(1+'1-Input'!$B$27))</f>
        <v>52693.713097256354</v>
      </c>
      <c r="S583" s="18">
        <f>IF($A583&gt;'1-Input'!$B$26,U582,(U582-Q583)*(1+$C$4))</f>
        <v>133872.98826458678</v>
      </c>
      <c r="T583" s="18">
        <f>IF($A583&gt;'1-Input'!$B$26,R583,R583-'P-Parametri'!$B$8*(S583+R583)+MIN(MAX(S583,0),'P-Parametri'!$B$8*(S583+R583)))</f>
        <v>52693.713097256354</v>
      </c>
      <c r="U583" s="18">
        <f>IF($A583&gt;'1-Input'!$B$26,S583,S583-MIN(MAX(S583,0),'P-Parametri'!$B$8*(S583+R583)))</f>
        <v>133499.8548618631</v>
      </c>
      <c r="V583" s="18">
        <f>IF($A583&gt;'1-Input'!$B$26,V582,V582-Q583*(1-P583))</f>
        <v>60811.340029155414</v>
      </c>
      <c r="W583" s="11">
        <f>IF($A583&gt;'1-Input'!$B$26,0,IF(AB582&lt;=0,0,MAX(0,(AB582-AC582)/AB582)))</f>
        <v>0.53216269124820204</v>
      </c>
      <c r="X583" s="18">
        <f>IF($A583&gt;'1-Input'!$B$26,0,(MAX(0,W561-IF($A583&gt;='1-Input'!$C$12,'1-Input'!$B$12,0))-MIN(MAX(AA582,0),MAX(0,W561-IF($A583&gt;='1-Input'!$C$12,'1-Input'!$B$12,0))))*(1/(1-'P-Parametri'!$B$6*W583))+MIN(MAX(0,AB582-(MAX(0,W561-IF($A583&gt;='1-Input'!$C$12,'1-Input'!$B$12,0))-MIN(MAX(AA582,0),MAX(0,W561-IF($A583&gt;='1-Input'!$C$12,'1-Input'!$B$12,0))))*(1/(1-'P-Parametri'!$B$6*W583))),MAX(0,3*W561-(AA582-MIN(MAX(AA582,0),MAX(0,W561-IF($A583&gt;='1-Input'!$C$12,'1-Input'!$B$12,0)))))*(1/(1-'P-Parametri'!$B$6*W583))))</f>
        <v>20602.212695810889</v>
      </c>
      <c r="Y583" s="18">
        <f>IF($A583&gt;'1-Input'!$B$26,AA582,(AA582-MAX(0,W561-IF($A583&gt;='1-Input'!$C$12,'1-Input'!$B$12,0))+X583*(1-'P-Parametri'!$B$6*W583))*(1+'1-Input'!$B$27))</f>
        <v>52496.252233084</v>
      </c>
      <c r="Z583" s="18">
        <f>IF($A583&gt;'1-Input'!$B$26,AB582,(AB582-X583)*(1+$C$4))</f>
        <v>136229.60543393911</v>
      </c>
      <c r="AA583" s="18">
        <f>IF($A583&gt;'1-Input'!$B$26,Y583,Y583-'P-Parametri'!$B$8*(Z583+Y583)+MIN(MAX(Z583,0),'P-Parametri'!$B$8*(Z583+Y583)))</f>
        <v>52496.252233084</v>
      </c>
      <c r="AB583" s="18">
        <f>IF($A583&gt;'1-Input'!$B$26,Z583,Z583-MIN(MAX(Z583,0),'P-Parametri'!$B$8*(Z583+Y583)))</f>
        <v>135852.15371860506</v>
      </c>
      <c r="AC583" s="18">
        <f>IF($A583&gt;'1-Input'!$B$26,AC582,AC582-X583*(1-W583))</f>
        <v>61876.982503430467</v>
      </c>
      <c r="AD583" s="11">
        <f>IF($A583&gt;'1-Input'!$B$26,0,IF(AI582&lt;=0,0,MAX(0,(AI582-AJ582)/AI582)))</f>
        <v>0.53216694565357214</v>
      </c>
      <c r="AE583" s="18">
        <f>IF($A583&gt;'1-Input'!$B$26,0,(MAX(0,AD561-IF($A583&gt;='1-Input'!$C$12,'1-Input'!$B$12,0))-MIN(MAX(AH582,0),MAX(0,AD561-IF($A583&gt;='1-Input'!$C$12,'1-Input'!$B$12,0))))*(1/(1-'P-Parametri'!$B$6*AD583))+MIN(MAX(0,AI582-(MAX(0,AD561-IF($A583&gt;='1-Input'!$C$12,'1-Input'!$B$12,0))-MIN(MAX(AH582,0),MAX(0,AD561-IF($A583&gt;='1-Input'!$C$12,'1-Input'!$B$12,0))))*(1/(1-'P-Parametri'!$B$6*AD583))),MAX(0,3*AD561-(AH582-MIN(MAX(AH582,0),MAX(0,AD561-IF($A583&gt;='1-Input'!$C$12,'1-Input'!$B$12,0)))))*(1/(1-'P-Parametri'!$B$6*AD583))))</f>
        <v>20593.152344062422</v>
      </c>
      <c r="AF583" s="18">
        <f>IF($A583&gt;'1-Input'!$B$26,AH582,(AH582-MAX(0,AD561-IF($A583&gt;='1-Input'!$C$12,'1-Input'!$B$12,0))+AE583*(1-'P-Parametri'!$B$6*AD583))*(1+'1-Input'!$B$27))</f>
        <v>52473.098295428375</v>
      </c>
      <c r="AG583" s="18">
        <f>IF($A583&gt;'1-Input'!$B$26,AI582,(AI582-AE583)*(1+$C$4))</f>
        <v>136505.94049334212</v>
      </c>
      <c r="AH583" s="18">
        <f>IF($A583&gt;'1-Input'!$B$26,AF583,AF583-'P-Parametri'!$B$8*(AG583+AF583)+MIN(MAX(AG583,0),'P-Parametri'!$B$8*(AG583+AF583)))</f>
        <v>52473.098295428375</v>
      </c>
      <c r="AI583" s="18">
        <f>IF($A583&gt;'1-Input'!$B$26,AG583,AG583-MIN(MAX(AG583,0),'P-Parametri'!$B$8*(AG583+AF583)))</f>
        <v>136127.98241576456</v>
      </c>
      <c r="AJ583" s="18">
        <f>IF($A583&gt;'1-Input'!$B$26,AJ582,AJ582-AE583*(1-AD583))</f>
        <v>62001.933084885408</v>
      </c>
      <c r="AK583" s="11">
        <f>IF($A583&gt;'1-Input'!$B$26,0,IF(AP582&lt;=0,0,MAX(0,(AP582-AQ582)/AP582)))</f>
        <v>0.53216669350974333</v>
      </c>
      <c r="AL583" s="18">
        <f>IF($A583&gt;'1-Input'!$B$26,0,(MAX(0,AK561-IF($A583&gt;='1-Input'!$C$12,'1-Input'!$B$12,0))-MIN(MAX(AO582,0),MAX(0,AK561-IF($A583&gt;='1-Input'!$C$12,'1-Input'!$B$12,0))))*(1/(1-'P-Parametri'!$B$6*AK583))+MIN(MAX(0,AP582-(MAX(0,AK561-IF($A583&gt;='1-Input'!$C$12,'1-Input'!$B$12,0))-MIN(MAX(AO582,0),MAX(0,AK561-IF($A583&gt;='1-Input'!$C$12,'1-Input'!$B$12,0))))*(1/(1-'P-Parametri'!$B$6*AK583))),MAX(0,3*AK561-(AO582-MIN(MAX(AO582,0),MAX(0,AK561-IF($A583&gt;='1-Input'!$C$12,'1-Input'!$B$12,0)))))*(1/(1-'P-Parametri'!$B$6*AK583))))</f>
        <v>20593.689801784825</v>
      </c>
      <c r="AM583" s="18">
        <f>IF($A583&gt;'1-Input'!$B$26,AO582,(AO582-MAX(0,AK561-IF($A583&gt;='1-Input'!$C$12,'1-Input'!$B$12,0))+AL583*(1-'P-Parametri'!$B$6*AK583))*(1+'1-Input'!$B$27))</f>
        <v>52474.471775783059</v>
      </c>
      <c r="AN583" s="18">
        <f>IF($A583&gt;'1-Input'!$B$26,AP582,(AP582-AL583)*(1+$C$4))</f>
        <v>136489.54842004052</v>
      </c>
      <c r="AO583" s="18">
        <f>IF($A583&gt;'1-Input'!$B$26,AM583,AM583-'P-Parametri'!$B$8*(AN583+AM583)+MIN(MAX(AN583,0),'P-Parametri'!$B$8*(AN583+AM583)))</f>
        <v>52474.471775783059</v>
      </c>
      <c r="AP583" s="18">
        <f>IF($A583&gt;'1-Input'!$B$26,AN583,AN583-MIN(MAX(AN583,0),'P-Parametri'!$B$8*(AN583+AM583)))</f>
        <v>136111.62037964887</v>
      </c>
      <c r="AQ583" s="18">
        <f>IF($A583&gt;'1-Input'!$B$26,AQ582,AQ582-AL583*(1-AK583))</f>
        <v>61994.521105543245</v>
      </c>
    </row>
    <row r="584" spans="1:43">
      <c r="A584" s="10">
        <f>21</f>
        <v>21</v>
      </c>
      <c r="B584" s="11">
        <f>IF($A584&gt;'1-Input'!$B$26,0,IF(G583&lt;=0,0,MAX(0,(G583-H583)/G583)))</f>
        <v>0.54503394266573923</v>
      </c>
      <c r="C584" s="18">
        <f>IF($A584&gt;'1-Input'!$B$26,0,(MAX(0,B561-IF($A584&gt;='1-Input'!$C$12,'1-Input'!$B$12,0))-MIN(MAX(F583,0),MAX(0,B561-IF($A584&gt;='1-Input'!$C$12,'1-Input'!$B$12,0))))*(1/(1-'P-Parametri'!$B$6*B584))+MIN(MAX(0,G583-(MAX(0,B561-IF($A584&gt;='1-Input'!$C$12,'1-Input'!$B$12,0))-MIN(MAX(F583,0),MAX(0,B561-IF($A584&gt;='1-Input'!$C$12,'1-Input'!$B$12,0))))*(1/(1-'P-Parametri'!$B$6*B584))),MAX(0,3*B561-(F583-MIN(MAX(F583,0),MAX(0,B561-IF($A584&gt;='1-Input'!$C$12,'1-Input'!$B$12,0)))))*(1/(1-'P-Parametri'!$B$6*B584))))</f>
        <v>19645.09388536189</v>
      </c>
      <c r="D584" s="18">
        <f>IF($A584&gt;'1-Input'!$B$26,F583,(F583-MAX(0,B561-IF($A584&gt;='1-Input'!$C$12,'1-Input'!$B$12,0))+C584*(1-'P-Parametri'!$B$6*B584))*(1+'1-Input'!$B$27))</f>
        <v>49863.010546479447</v>
      </c>
      <c r="E584" s="18">
        <f>IF($A584&gt;'1-Input'!$B$26,G583,(G583-C584)*(1+$C$4))</f>
        <v>152006.22965607038</v>
      </c>
      <c r="F584" s="18">
        <f>IF($A584&gt;'1-Input'!$B$26,D584,D584-'P-Parametri'!$B$8*(E584+D584)+MIN(MAX(E584,0),'P-Parametri'!$B$8*(E584+D584)))</f>
        <v>49863.010546479447</v>
      </c>
      <c r="G584" s="18">
        <f>IF($A584&gt;'1-Input'!$B$26,E584,E584-MIN(MAX(E584,0),'P-Parametri'!$B$8*(E584+D584)))</f>
        <v>151602.49117566529</v>
      </c>
      <c r="H584" s="18">
        <f>IF($A584&gt;'1-Input'!$B$26,H583,H583-C584*(1-B584))</f>
        <v>67143.373783367511</v>
      </c>
      <c r="I584" s="11">
        <f>IF($A584&gt;'1-Input'!$B$26,0,IF(N583&lt;=0,0,MAX(0,(N583-O583)/N583)))</f>
        <v>0</v>
      </c>
      <c r="J584" s="18">
        <f>IF($A584&gt;'1-Input'!$B$26,0,(MAX(0,I561-IF($A584&gt;='1-Input'!$C$12,'1-Input'!$B$12,0))-MIN(MAX(M583,0),MAX(0,I561-IF($A584&gt;='1-Input'!$C$12,'1-Input'!$B$12,0))))*(1/(1-'P-Parametri'!$B$6*I584))+MIN(MAX(0,N583-(MAX(0,I561-IF($A584&gt;='1-Input'!$C$12,'1-Input'!$B$12,0))-MIN(MAX(M583,0),MAX(0,I561-IF($A584&gt;='1-Input'!$C$12,'1-Input'!$B$12,0))))*(1/(1-'P-Parametri'!$B$6*I584))),MAX(0,3*I561-(M583-MIN(MAX(M583,0),MAX(0,I561-IF($A584&gt;='1-Input'!$C$12,'1-Input'!$B$12,0)))))*(1/(1-'P-Parametri'!$B$6*I584))))</f>
        <v>0</v>
      </c>
      <c r="K584" s="18">
        <f>IF($A584&gt;'1-Input'!$B$26,M583,(M583-MAX(0,I561-IF($A584&gt;='1-Input'!$C$12,'1-Input'!$B$12,0))+J584*(1-'P-Parametri'!$B$6*I584))*(1+'1-Input'!$B$27))</f>
        <v>26661.023615746337</v>
      </c>
      <c r="L584" s="18">
        <f>IF($A584&gt;'1-Input'!$B$26,N583,(N583-J584)*(1+$C$4))</f>
        <v>0</v>
      </c>
      <c r="M584" s="18">
        <f>IF($A584&gt;'1-Input'!$B$26,K584,K584-'P-Parametri'!$B$8*(L584+K584)+MIN(MAX(L584,0),'P-Parametri'!$B$8*(L584+K584)))</f>
        <v>26607.701568514844</v>
      </c>
      <c r="N584" s="18">
        <f>IF($A584&gt;'1-Input'!$B$26,L584,L584-MIN(MAX(L584,0),'P-Parametri'!$B$8*(L584+K584)))</f>
        <v>0</v>
      </c>
      <c r="O584" s="18">
        <f>IF($A584&gt;'1-Input'!$B$26,O583,O583-J584*(1-I584))</f>
        <v>-4.5474735088646412E-13</v>
      </c>
      <c r="P584" s="11">
        <f>IF($A584&gt;'1-Input'!$B$26,0,IF(U583&lt;=0,0,MAX(0,(U583-V583)/U583)))</f>
        <v>0.54448384912418812</v>
      </c>
      <c r="Q584" s="18">
        <f>IF($A584&gt;'1-Input'!$B$26,0,(MAX(0,P561-IF($A584&gt;='1-Input'!$C$12,'1-Input'!$B$12,0))-MIN(MAX(T583,0),MAX(0,P561-IF($A584&gt;='1-Input'!$C$12,'1-Input'!$B$12,0))))*(1/(1-'P-Parametri'!$B$6*P584))+MIN(MAX(0,U583-(MAX(0,P561-IF($A584&gt;='1-Input'!$C$12,'1-Input'!$B$12,0))-MIN(MAX(T583,0),MAX(0,P561-IF($A584&gt;='1-Input'!$C$12,'1-Input'!$B$12,0))))*(1/(1-'P-Parametri'!$B$6*P584))),MAX(0,3*P561-(T583-MIN(MAX(T583,0),MAX(0,P561-IF($A584&gt;='1-Input'!$C$12,'1-Input'!$B$12,0)))))*(1/(1-'P-Parametri'!$B$6*P584))))</f>
        <v>20756.878871429028</v>
      </c>
      <c r="R584" s="18">
        <f>IF($A584&gt;'1-Input'!$B$26,T583,(T583-MAX(0,P561-IF($A584&gt;='1-Input'!$C$12,'1-Input'!$B$12,0))+Q584*(1-'P-Parametri'!$B$6*P584))*(1+'1-Input'!$B$27))</f>
        <v>52693.713097256354</v>
      </c>
      <c r="S584" s="18">
        <f>IF($A584&gt;'1-Input'!$B$26,U583,(U583-Q584)*(1+$C$4))</f>
        <v>116125.26527014709</v>
      </c>
      <c r="T584" s="18">
        <f>IF($A584&gt;'1-Input'!$B$26,R584,R584-'P-Parametri'!$B$8*(S584+R584)+MIN(MAX(S584,0),'P-Parametri'!$B$8*(S584+R584)))</f>
        <v>52693.713097256354</v>
      </c>
      <c r="U584" s="18">
        <f>IF($A584&gt;'1-Input'!$B$26,S584,S584-MIN(MAX(S584,0),'P-Parametri'!$B$8*(S584+R584)))</f>
        <v>115787.62731341229</v>
      </c>
      <c r="V584" s="18">
        <f>IF($A584&gt;'1-Input'!$B$26,V583,V583-Q584*(1-P584))</f>
        <v>51356.246461446601</v>
      </c>
      <c r="W584" s="11">
        <f>IF($A584&gt;'1-Input'!$B$26,0,IF(AB583&lt;=0,0,MAX(0,(AB583-AC583)/AB583)))</f>
        <v>0.54452704053850887</v>
      </c>
      <c r="X584" s="18">
        <f>IF($A584&gt;'1-Input'!$B$26,0,(MAX(0,W561-IF($A584&gt;='1-Input'!$C$12,'1-Input'!$B$12,0))-MIN(MAX(AA583,0),MAX(0,W561-IF($A584&gt;='1-Input'!$C$12,'1-Input'!$B$12,0))))*(1/(1-'P-Parametri'!$B$6*W584))+MIN(MAX(0,AB583-(MAX(0,W561-IF($A584&gt;='1-Input'!$C$12,'1-Input'!$B$12,0))-MIN(MAX(AA583,0),MAX(0,W561-IF($A584&gt;='1-Input'!$C$12,'1-Input'!$B$12,0))))*(1/(1-'P-Parametri'!$B$6*W584))),MAX(0,3*W561-(AA583-MIN(MAX(AA583,0),MAX(0,W561-IF($A584&gt;='1-Input'!$C$12,'1-Input'!$B$12,0)))))*(1/(1-'P-Parametri'!$B$6*W584))))</f>
        <v>20679.366465428629</v>
      </c>
      <c r="Y584" s="18">
        <f>IF($A584&gt;'1-Input'!$B$26,AA583,(AA583-MAX(0,W561-IF($A584&gt;='1-Input'!$C$12,'1-Input'!$B$12,0))+X584*(1-'P-Parametri'!$B$6*W584))*(1+'1-Input'!$B$27))</f>
        <v>52496.252233084</v>
      </c>
      <c r="Z584" s="18">
        <f>IF($A584&gt;'1-Input'!$B$26,AB583,(AB583-X584)*(1+$C$4))</f>
        <v>118627.97087077172</v>
      </c>
      <c r="AA584" s="18">
        <f>IF($A584&gt;'1-Input'!$B$26,Y584,Y584-'P-Parametri'!$B$8*(Z584+Y584)+MIN(MAX(Z584,0),'P-Parametri'!$B$8*(Z584+Y584)))</f>
        <v>52496.252233084</v>
      </c>
      <c r="AB584" s="18">
        <f>IF($A584&gt;'1-Input'!$B$26,Z584,Z584-MIN(MAX(Z584,0),'P-Parametri'!$B$8*(Z584+Y584)))</f>
        <v>118285.72242456401</v>
      </c>
      <c r="AC584" s="18">
        <f>IF($A584&gt;'1-Input'!$B$26,AC583,AC583-X584*(1-W584))</f>
        <v>52458.090259632976</v>
      </c>
      <c r="AD584" s="11">
        <f>IF($A584&gt;'1-Input'!$B$26,0,IF(AI583&lt;=0,0,MAX(0,(AI583-AJ583)/AI583)))</f>
        <v>0.54453205002687854</v>
      </c>
      <c r="AE584" s="18">
        <f>IF($A584&gt;'1-Input'!$B$26,0,(MAX(0,AD561-IF($A584&gt;='1-Input'!$C$12,'1-Input'!$B$12,0))-MIN(MAX(AH583,0),MAX(0,AD561-IF($A584&gt;='1-Input'!$C$12,'1-Input'!$B$12,0))))*(1/(1-'P-Parametri'!$B$6*AD584))+MIN(MAX(0,AI583-(MAX(0,AD561-IF($A584&gt;='1-Input'!$C$12,'1-Input'!$B$12,0))-MIN(MAX(AH583,0),MAX(0,AD561-IF($A584&gt;='1-Input'!$C$12,'1-Input'!$B$12,0))))*(1/(1-'P-Parametri'!$B$6*AD584))),MAX(0,3*AD561-(AH583-MIN(MAX(AH583,0),MAX(0,AD561-IF($A584&gt;='1-Input'!$C$12,'1-Input'!$B$12,0)))))*(1/(1-'P-Parametri'!$B$6*AD584))))</f>
        <v>20670.277010009449</v>
      </c>
      <c r="AF584" s="18">
        <f>IF($A584&gt;'1-Input'!$B$26,AH583,(AH583-MAX(0,AD561-IF($A584&gt;='1-Input'!$C$12,'1-Input'!$B$12,0))+AE584*(1-'P-Parametri'!$B$6*AD584))*(1+'1-Input'!$B$27))</f>
        <v>52473.098295428375</v>
      </c>
      <c r="AG584" s="18">
        <f>IF($A584&gt;'1-Input'!$B$26,AI583,(AI583-AE584)*(1+$C$4))</f>
        <v>118921.43656792777</v>
      </c>
      <c r="AH584" s="18">
        <f>IF($A584&gt;'1-Input'!$B$26,AF584,AF584-'P-Parametri'!$B$8*(AG584+AF584)+MIN(MAX(AG584,0),'P-Parametri'!$B$8*(AG584+AF584)))</f>
        <v>52473.098295428375</v>
      </c>
      <c r="AI584" s="18">
        <f>IF($A584&gt;'1-Input'!$B$26,AG584,AG584-MIN(MAX(AG584,0),'P-Parametri'!$B$8*(AG584+AF584)))</f>
        <v>118578.64749820105</v>
      </c>
      <c r="AJ584" s="18">
        <f>IF($A584&gt;'1-Input'!$B$26,AJ583,AJ583-AE584*(1-AD584))</f>
        <v>52587.284389759865</v>
      </c>
      <c r="AK584" s="11">
        <f>IF($A584&gt;'1-Input'!$B$26,0,IF(AP583&lt;=0,0,MAX(0,(AP583-AQ583)/AP583)))</f>
        <v>0.54453175318444347</v>
      </c>
      <c r="AL584" s="18">
        <f>IF($A584&gt;'1-Input'!$B$26,0,(MAX(0,AK561-IF($A584&gt;='1-Input'!$C$12,'1-Input'!$B$12,0))-MIN(MAX(AO583,0),MAX(0,AK561-IF($A584&gt;='1-Input'!$C$12,'1-Input'!$B$12,0))))*(1/(1-'P-Parametri'!$B$6*AK584))+MIN(MAX(0,AP583-(MAX(0,AK561-IF($A584&gt;='1-Input'!$C$12,'1-Input'!$B$12,0))-MIN(MAX(AO583,0),MAX(0,AK561-IF($A584&gt;='1-Input'!$C$12,'1-Input'!$B$12,0))))*(1/(1-'P-Parametri'!$B$6*AK584))),MAX(0,3*AK561-(AO583-MIN(MAX(AO583,0),MAX(0,AK561-IF($A584&gt;='1-Input'!$C$12,'1-Input'!$B$12,0)))))*(1/(1-'P-Parametri'!$B$6*AK584))))</f>
        <v>20670.816194857969</v>
      </c>
      <c r="AM584" s="18">
        <f>IF($A584&gt;'1-Input'!$B$26,AO583,(AO583-MAX(0,AK561-IF($A584&gt;='1-Input'!$C$12,'1-Input'!$B$12,0))+AL584*(1-'P-Parametri'!$B$6*AK584))*(1+'1-Input'!$B$27))</f>
        <v>52474.471775783059</v>
      </c>
      <c r="AN584" s="18">
        <f>IF($A584&gt;'1-Input'!$B$26,AP583,(AP583-AL584)*(1+$C$4))</f>
        <v>118904.02831033463</v>
      </c>
      <c r="AO584" s="18">
        <f>IF($A584&gt;'1-Input'!$B$26,AM584,AM584-'P-Parametri'!$B$8*(AN584+AM584)+MIN(MAX(AN584,0),'P-Parametri'!$B$8*(AN584+AM584)))</f>
        <v>52474.471775783059</v>
      </c>
      <c r="AP584" s="18">
        <f>IF($A584&gt;'1-Input'!$B$26,AN584,AN584-MIN(MAX(AN584,0),'P-Parametri'!$B$8*(AN584+AM584)))</f>
        <v>118561.2713101624</v>
      </c>
      <c r="AQ584" s="18">
        <f>IF($A584&gt;'1-Input'!$B$26,AQ583,AQ583-AL584*(1-AK584))</f>
        <v>52579.62069302467</v>
      </c>
    </row>
    <row r="585" spans="1:43">
      <c r="A585" s="10">
        <f>22</f>
        <v>22</v>
      </c>
      <c r="B585" s="11">
        <f>IF($A585&gt;'1-Input'!$B$26,0,IF(G584&lt;=0,0,MAX(0,(G584-H584)/G584)))</f>
        <v>0.55710903387750443</v>
      </c>
      <c r="C585" s="18">
        <f>IF($A585&gt;'1-Input'!$B$26,0,(MAX(0,B561-IF($A585&gt;='1-Input'!$C$12,'1-Input'!$B$12,0))-MIN(MAX(F584,0),MAX(0,B561-IF($A585&gt;='1-Input'!$C$12,'1-Input'!$B$12,0))))*(1/(1-'P-Parametri'!$B$6*B585))+MIN(MAX(0,G584-(MAX(0,B561-IF($A585&gt;='1-Input'!$C$12,'1-Input'!$B$12,0))-MIN(MAX(F584,0),MAX(0,B561-IF($A585&gt;='1-Input'!$C$12,'1-Input'!$B$12,0))))*(1/(1-'P-Parametri'!$B$6*B585))),MAX(0,3*B561-(F584-MIN(MAX(F584,0),MAX(0,B561-IF($A585&gt;='1-Input'!$C$12,'1-Input'!$B$12,0)))))*(1/(1-'P-Parametri'!$B$6*B585))))</f>
        <v>19717.21704392878</v>
      </c>
      <c r="D585" s="18">
        <f>IF($A585&gt;'1-Input'!$B$26,F584,(F584-MAX(0,B561-IF($A585&gt;='1-Input'!$C$12,'1-Input'!$B$12,0))+C585*(1-'P-Parametri'!$B$6*B585))*(1+'1-Input'!$B$27))</f>
        <v>49863.010546479447</v>
      </c>
      <c r="E585" s="18">
        <f>IF($A585&gt;'1-Input'!$B$26,G584,(G584-C585)*(1+$C$4))</f>
        <v>135841.83235568862</v>
      </c>
      <c r="F585" s="18">
        <f>IF($A585&gt;'1-Input'!$B$26,D585,D585-'P-Parametri'!$B$8*(E585+D585)+MIN(MAX(E585,0),'P-Parametri'!$B$8*(E585+D585)))</f>
        <v>49863.010546479447</v>
      </c>
      <c r="G585" s="18">
        <f>IF($A585&gt;'1-Input'!$B$26,E585,E585-MIN(MAX(E585,0),'P-Parametri'!$B$8*(E585+D585)))</f>
        <v>135470.42266988428</v>
      </c>
      <c r="H585" s="18">
        <f>IF($A585&gt;'1-Input'!$B$26,H584,H584-C585*(1-B585))</f>
        <v>58410.796477534954</v>
      </c>
      <c r="I585" s="11">
        <f>IF($A585&gt;'1-Input'!$B$26,0,IF(N584&lt;=0,0,MAX(0,(N584-O584)/N584)))</f>
        <v>0</v>
      </c>
      <c r="J585" s="18">
        <f>IF($A585&gt;'1-Input'!$B$26,0,(MAX(0,I561-IF($A585&gt;='1-Input'!$C$12,'1-Input'!$B$12,0))-MIN(MAX(M584,0),MAX(0,I561-IF($A585&gt;='1-Input'!$C$12,'1-Input'!$B$12,0))))*(1/(1-'P-Parametri'!$B$6*I585))+MIN(MAX(0,N584-(MAX(0,I561-IF($A585&gt;='1-Input'!$C$12,'1-Input'!$B$12,0))-MIN(MAX(M584,0),MAX(0,I561-IF($A585&gt;='1-Input'!$C$12,'1-Input'!$B$12,0))))*(1/(1-'P-Parametri'!$B$6*I585))),MAX(0,3*I561-(M584-MIN(MAX(M584,0),MAX(0,I561-IF($A585&gt;='1-Input'!$C$12,'1-Input'!$B$12,0)))))*(1/(1-'P-Parametri'!$B$6*I585))))</f>
        <v>0</v>
      </c>
      <c r="K585" s="18">
        <f>IF($A585&gt;'1-Input'!$B$26,M584,(M584-MAX(0,I561-IF($A585&gt;='1-Input'!$C$12,'1-Input'!$B$12,0))+J585*(1-'P-Parametri'!$B$6*I585))*(1+'1-Input'!$B$27))</f>
        <v>4642.1723751140426</v>
      </c>
      <c r="L585" s="18">
        <f>IF($A585&gt;'1-Input'!$B$26,N584,(N584-J585)*(1+$C$4))</f>
        <v>0</v>
      </c>
      <c r="M585" s="18">
        <f>IF($A585&gt;'1-Input'!$B$26,K585,K585-'P-Parametri'!$B$8*(L585+K585)+MIN(MAX(L585,0),'P-Parametri'!$B$8*(L585+K585)))</f>
        <v>4632.8880303638143</v>
      </c>
      <c r="N585" s="18">
        <f>IF($A585&gt;'1-Input'!$B$26,L585,L585-MIN(MAX(L585,0),'P-Parametri'!$B$8*(L585+K585)))</f>
        <v>0</v>
      </c>
      <c r="O585" s="18">
        <f>IF($A585&gt;'1-Input'!$B$26,O584,O584-J585*(1-I585))</f>
        <v>-4.5474735088646412E-13</v>
      </c>
      <c r="P585" s="11">
        <f>IF($A585&gt;'1-Input'!$B$26,0,IF(U584&lt;=0,0,MAX(0,(U584-V584)/U584)))</f>
        <v>0.55646170792984428</v>
      </c>
      <c r="Q585" s="18">
        <f>IF($A585&gt;'1-Input'!$B$26,0,(MAX(0,P561-IF($A585&gt;='1-Input'!$C$12,'1-Input'!$B$12,0))-MIN(MAX(T584,0),MAX(0,P561-IF($A585&gt;='1-Input'!$C$12,'1-Input'!$B$12,0))))*(1/(1-'P-Parametri'!$B$6*P585))+MIN(MAX(0,U584-(MAX(0,P561-IF($A585&gt;='1-Input'!$C$12,'1-Input'!$B$12,0))-MIN(MAX(T584,0),MAX(0,P561-IF($A585&gt;='1-Input'!$C$12,'1-Input'!$B$12,0))))*(1/(1-'P-Parametri'!$B$6*P585))),MAX(0,3*P561-(T584-MIN(MAX(T584,0),MAX(0,P561-IF($A585&gt;='1-Input'!$C$12,'1-Input'!$B$12,0)))))*(1/(1-'P-Parametri'!$B$6*P585))))</f>
        <v>20832.455233569195</v>
      </c>
      <c r="R585" s="18">
        <f>IF($A585&gt;'1-Input'!$B$26,T584,(T584-MAX(0,P561-IF($A585&gt;='1-Input'!$C$12,'1-Input'!$B$12,0))+Q585*(1-'P-Parametri'!$B$6*P585))*(1+'1-Input'!$B$27))</f>
        <v>52693.713097256346</v>
      </c>
      <c r="S585" s="18">
        <f>IF($A585&gt;'1-Input'!$B$26,U584,(U584-Q585)*(1+$C$4))</f>
        <v>97803.827242238389</v>
      </c>
      <c r="T585" s="18">
        <f>IF($A585&gt;'1-Input'!$B$26,R585,R585-'P-Parametri'!$B$8*(S585+R585)+MIN(MAX(S585,0),'P-Parametri'!$B$8*(S585+R585)))</f>
        <v>52693.713097256346</v>
      </c>
      <c r="U585" s="18">
        <f>IF($A585&gt;'1-Input'!$B$26,S585,S585-MIN(MAX(S585,0),'P-Parametri'!$B$8*(S585+R585)))</f>
        <v>97502.832161559403</v>
      </c>
      <c r="V585" s="18">
        <f>IF($A585&gt;'1-Input'!$B$26,V584,V584-Q585*(1-P585))</f>
        <v>42116.254847521341</v>
      </c>
      <c r="W585" s="11">
        <f>IF($A585&gt;'1-Input'!$B$26,0,IF(AB584&lt;=0,0,MAX(0,(AB584-AC584)/AB584)))</f>
        <v>0.55651376020391818</v>
      </c>
      <c r="X585" s="18">
        <f>IF($A585&gt;'1-Input'!$B$26,0,(MAX(0,W561-IF($A585&gt;='1-Input'!$C$12,'1-Input'!$B$12,0))-MIN(MAX(AA584,0),MAX(0,W561-IF($A585&gt;='1-Input'!$C$12,'1-Input'!$B$12,0))))*(1/(1-'P-Parametri'!$B$6*W585))+MIN(MAX(0,AB584-(MAX(0,W561-IF($A585&gt;='1-Input'!$C$12,'1-Input'!$B$12,0))-MIN(MAX(AA584,0),MAX(0,W561-IF($A585&gt;='1-Input'!$C$12,'1-Input'!$B$12,0))))*(1/(1-'P-Parametri'!$B$6*W585))),MAX(0,3*W561-(AA584-MIN(MAX(AA584,0),MAX(0,W561-IF($A585&gt;='1-Input'!$C$12,'1-Input'!$B$12,0)))))*(1/(1-'P-Parametri'!$B$6*W585))))</f>
        <v>20754.71749539025</v>
      </c>
      <c r="Y585" s="18">
        <f>IF($A585&gt;'1-Input'!$B$26,AA584,(AA584-MAX(0,W561-IF($A585&gt;='1-Input'!$C$12,'1-Input'!$B$12,0))+X585*(1-'P-Parametri'!$B$6*W585))*(1+'1-Input'!$B$27))</f>
        <v>52496.252233084</v>
      </c>
      <c r="Z585" s="18">
        <f>IF($A585&gt;'1-Input'!$B$26,AB584,(AB584-X585)*(1+$C$4))</f>
        <v>100456.93507704898</v>
      </c>
      <c r="AA585" s="18">
        <f>IF($A585&gt;'1-Input'!$B$26,Y585,Y585-'P-Parametri'!$B$8*(Z585+Y585)+MIN(MAX(Z585,0),'P-Parametri'!$B$8*(Z585+Y585)))</f>
        <v>52496.252233084</v>
      </c>
      <c r="AB585" s="18">
        <f>IF($A585&gt;'1-Input'!$B$26,Z585,Z585-MIN(MAX(Z585,0),'P-Parametri'!$B$8*(Z585+Y585)))</f>
        <v>100151.02870242872</v>
      </c>
      <c r="AC585" s="18">
        <f>IF($A585&gt;'1-Input'!$B$26,AC584,AC584-X585*(1-W585))</f>
        <v>43253.658639572401</v>
      </c>
      <c r="AD585" s="11">
        <f>IF($A585&gt;'1-Input'!$B$26,0,IF(AI584&lt;=0,0,MAX(0,(AI584-AJ584)/AI584)))</f>
        <v>0.55651978244601197</v>
      </c>
      <c r="AE585" s="18">
        <f>IF($A585&gt;'1-Input'!$B$26,0,(MAX(0,AD561-IF($A585&gt;='1-Input'!$C$12,'1-Input'!$B$12,0))-MIN(MAX(AH584,0),MAX(0,AD561-IF($A585&gt;='1-Input'!$C$12,'1-Input'!$B$12,0))))*(1/(1-'P-Parametri'!$B$6*AD585))+MIN(MAX(0,AI584-(MAX(0,AD561-IF($A585&gt;='1-Input'!$C$12,'1-Input'!$B$12,0))-MIN(MAX(AH584,0),MAX(0,AD561-IF($A585&gt;='1-Input'!$C$12,'1-Input'!$B$12,0))))*(1/(1-'P-Parametri'!$B$6*AD585))),MAX(0,3*AD561-(AH584-MIN(MAX(AH584,0),MAX(0,AD561-IF($A585&gt;='1-Input'!$C$12,'1-Input'!$B$12,0)))))*(1/(1-'P-Parametri'!$B$6*AD585))))</f>
        <v>20745.601421487023</v>
      </c>
      <c r="AF585" s="18">
        <f>IF($A585&gt;'1-Input'!$B$26,AH584,(AH584-MAX(0,AD561-IF($A585&gt;='1-Input'!$C$12,'1-Input'!$B$12,0))+AE585*(1-'P-Parametri'!$B$6*AD585))*(1+'1-Input'!$B$27))</f>
        <v>52473.098295428375</v>
      </c>
      <c r="AG585" s="18">
        <f>IF($A585&gt;'1-Input'!$B$26,AI584,(AI584-AE585)*(1+$C$4))</f>
        <v>100768.03745901545</v>
      </c>
      <c r="AH585" s="18">
        <f>IF($A585&gt;'1-Input'!$B$26,AF585,AF585-'P-Parametri'!$B$8*(AG585+AF585)+MIN(MAX(AG585,0),'P-Parametri'!$B$8*(AG585+AF585)))</f>
        <v>52473.098295428375</v>
      </c>
      <c r="AI585" s="18">
        <f>IF($A585&gt;'1-Input'!$B$26,AG585,AG585-MIN(MAX(AG585,0),'P-Parametri'!$B$8*(AG585+AF585)))</f>
        <v>100461.55518750657</v>
      </c>
      <c r="AJ585" s="18">
        <f>IF($A585&gt;'1-Input'!$B$26,AJ584,AJ584-AE585*(1-AD585))</f>
        <v>43387.020558070479</v>
      </c>
      <c r="AK585" s="11">
        <f>IF($A585&gt;'1-Input'!$B$26,0,IF(AP584&lt;=0,0,MAX(0,(AP584-AQ584)/AP584)))</f>
        <v>0.55651942567760027</v>
      </c>
      <c r="AL585" s="18">
        <f>IF($A585&gt;'1-Input'!$B$26,0,(MAX(0,AK561-IF($A585&gt;='1-Input'!$C$12,'1-Input'!$B$12,0))-MIN(MAX(AO584,0),MAX(0,AK561-IF($A585&gt;='1-Input'!$C$12,'1-Input'!$B$12,0))))*(1/(1-'P-Parametri'!$B$6*AK585))+MIN(MAX(0,AP584-(MAX(0,AK561-IF($A585&gt;='1-Input'!$C$12,'1-Input'!$B$12,0))-MIN(MAX(AO584,0),MAX(0,AK561-IF($A585&gt;='1-Input'!$C$12,'1-Input'!$B$12,0))))*(1/(1-'P-Parametri'!$B$6*AK585))),MAX(0,3*AK561-(AO584-MIN(MAX(AO584,0),MAX(0,AK561-IF($A585&gt;='1-Input'!$C$12,'1-Input'!$B$12,0)))))*(1/(1-'P-Parametri'!$B$6*AK585))))</f>
        <v>20746.142186453813</v>
      </c>
      <c r="AM585" s="18">
        <f>IF($A585&gt;'1-Input'!$B$26,AO584,(AO584-MAX(0,AK561-IF($A585&gt;='1-Input'!$C$12,'1-Input'!$B$12,0))+AL585*(1-'P-Parametri'!$B$6*AK585))*(1+'1-Input'!$B$27))</f>
        <v>52474.471775783059</v>
      </c>
      <c r="AN585" s="18">
        <f>IF($A585&gt;'1-Input'!$B$26,AP584,(AP584-AL585)*(1+$C$4))</f>
        <v>100749.58299741984</v>
      </c>
      <c r="AO585" s="18">
        <f>IF($A585&gt;'1-Input'!$B$26,AM585,AM585-'P-Parametri'!$B$8*(AN585+AM585)+MIN(MAX(AN585,0),'P-Parametri'!$B$8*(AN585+AM585)))</f>
        <v>52474.471775783059</v>
      </c>
      <c r="AP585" s="18">
        <f>IF($A585&gt;'1-Input'!$B$26,AN585,AN585-MIN(MAX(AN585,0),'P-Parametri'!$B$8*(AN585+AM585)))</f>
        <v>100443.13488787344</v>
      </c>
      <c r="AQ585" s="18">
        <f>IF($A585&gt;'1-Input'!$B$26,AQ584,AQ584-AL585*(1-AK585))</f>
        <v>43379.109641201969</v>
      </c>
    </row>
    <row r="586" spans="1:43">
      <c r="A586" s="10">
        <f>23</f>
        <v>23</v>
      </c>
      <c r="B586" s="11">
        <f>IF($A586&gt;'1-Input'!$B$26,0,IF(G585&lt;=0,0,MAX(0,(G585-H585)/G585)))</f>
        <v>0.56882989418383245</v>
      </c>
      <c r="C586" s="18">
        <f>IF($A586&gt;'1-Input'!$B$26,0,(MAX(0,B561-IF($A586&gt;='1-Input'!$C$12,'1-Input'!$B$12,0))-MIN(MAX(F585,0),MAX(0,B561-IF($A586&gt;='1-Input'!$C$12,'1-Input'!$B$12,0))))*(1/(1-'P-Parametri'!$B$6*B586))+MIN(MAX(0,G585-(MAX(0,B561-IF($A586&gt;='1-Input'!$C$12,'1-Input'!$B$12,0))-MIN(MAX(F585,0),MAX(0,B561-IF($A586&gt;='1-Input'!$C$12,'1-Input'!$B$12,0))))*(1/(1-'P-Parametri'!$B$6*B586))),MAX(0,3*B561-(F585-MIN(MAX(F585,0),MAX(0,B561-IF($A586&gt;='1-Input'!$C$12,'1-Input'!$B$12,0)))))*(1/(1-'P-Parametri'!$B$6*B586))))</f>
        <v>6758.8101620365242</v>
      </c>
      <c r="D586" s="18">
        <f>IF($A586&gt;'1-Input'!$B$26,F585,(F585-MAX(0,B561-IF($A586&gt;='1-Input'!$C$12,'1-Input'!$B$12,0))+C586*(1-'P-Parametri'!$B$6*B586))*(1+'1-Input'!$B$27))</f>
        <v>49863.010546479447</v>
      </c>
      <c r="E586" s="18">
        <f>IF($A586&gt;'1-Input'!$B$26,G585,(G585-C586)*(1+$C$4))</f>
        <v>132572.9608830832</v>
      </c>
      <c r="F586" s="18">
        <f>IF($A586&gt;'1-Input'!$B$26,D586,D586-'P-Parametri'!$B$8*(E586+D586)+MIN(MAX(E586,0),'P-Parametri'!$B$8*(E586+D586)))</f>
        <v>49863.010546479447</v>
      </c>
      <c r="G586" s="18">
        <f>IF($A586&gt;'1-Input'!$B$26,E586,E586-MIN(MAX(E586,0),'P-Parametri'!$B$8*(E586+D586)))</f>
        <v>132208.08894022409</v>
      </c>
      <c r="H586" s="18">
        <f>IF($A586&gt;'1-Input'!$B$26,H585,H585-C586*(1-B586))</f>
        <v>55496.599584778276</v>
      </c>
      <c r="I586" s="11">
        <f>IF($A586&gt;'1-Input'!$B$26,0,IF(N585&lt;=0,0,MAX(0,(N585-O585)/N585)))</f>
        <v>0</v>
      </c>
      <c r="J586" s="18">
        <f>IF($A586&gt;'1-Input'!$B$26,0,(MAX(0,I561-IF($A586&gt;='1-Input'!$C$12,'1-Input'!$B$12,0))-MIN(MAX(M585,0),MAX(0,I561-IF($A586&gt;='1-Input'!$C$12,'1-Input'!$B$12,0))))*(1/(1-'P-Parametri'!$B$6*I586))+MIN(MAX(0,N585-(MAX(0,I561-IF($A586&gt;='1-Input'!$C$12,'1-Input'!$B$12,0))-MIN(MAX(M585,0),MAX(0,I561-IF($A586&gt;='1-Input'!$C$12,'1-Input'!$B$12,0))))*(1/(1-'P-Parametri'!$B$6*I586))),MAX(0,3*I561-(M585-MIN(MAX(M585,0),MAX(0,I561-IF($A586&gt;='1-Input'!$C$12,'1-Input'!$B$12,0)))))*(1/(1-'P-Parametri'!$B$6*I586))))</f>
        <v>6213.8689625648767</v>
      </c>
      <c r="K586" s="18">
        <f>IF($A586&gt;'1-Input'!$B$26,M585,(M585-MAX(0,I561-IF($A586&gt;='1-Input'!$C$12,'1-Input'!$B$12,0))+J586*(1-'P-Parametri'!$B$6*I586))*(1+'1-Input'!$B$27))</f>
        <v>0</v>
      </c>
      <c r="L586" s="18">
        <f>IF($A586&gt;'1-Input'!$B$26,N585,(N585-J586)*(1+$C$4))</f>
        <v>-6400.2850314418229</v>
      </c>
      <c r="M586" s="18">
        <f>IF($A586&gt;'1-Input'!$B$26,K586,K586-'P-Parametri'!$B$8*(L586+K586)+MIN(MAX(L586,0),'P-Parametri'!$B$8*(L586+K586)))</f>
        <v>0</v>
      </c>
      <c r="N586" s="18">
        <f>IF($A586&gt;'1-Input'!$B$26,L586,L586-MIN(MAX(L586,0),'P-Parametri'!$B$8*(L586+K586)))</f>
        <v>-6387.4844613789392</v>
      </c>
      <c r="O586" s="18">
        <f>IF($A586&gt;'1-Input'!$B$26,O585,O585-J586*(1-I586))</f>
        <v>-6213.8689625648767</v>
      </c>
      <c r="P586" s="11">
        <f>IF($A586&gt;'1-Input'!$B$26,0,IF(U585&lt;=0,0,MAX(0,(U585-V585)/U585)))</f>
        <v>0.56805095899434066</v>
      </c>
      <c r="Q586" s="18">
        <f>IF($A586&gt;'1-Input'!$B$26,0,(MAX(0,P561-IF($A586&gt;='1-Input'!$C$12,'1-Input'!$B$12,0))-MIN(MAX(T585,0),MAX(0,P561-IF($A586&gt;='1-Input'!$C$12,'1-Input'!$B$12,0))))*(1/(1-'P-Parametri'!$B$6*P586))+MIN(MAX(0,U585-(MAX(0,P561-IF($A586&gt;='1-Input'!$C$12,'1-Input'!$B$12,0))-MIN(MAX(T585,0),MAX(0,P561-IF($A586&gt;='1-Input'!$C$12,'1-Input'!$B$12,0))))*(1/(1-'P-Parametri'!$B$6*P586))),MAX(0,3*P561-(T585-MIN(MAX(T585,0),MAX(0,P561-IF($A586&gt;='1-Input'!$C$12,'1-Input'!$B$12,0)))))*(1/(1-'P-Parametri'!$B$6*P586))))</f>
        <v>7880.2786523152645</v>
      </c>
      <c r="R586" s="18">
        <f>IF($A586&gt;'1-Input'!$B$26,T585,(T585-MAX(0,P561-IF($A586&gt;='1-Input'!$C$12,'1-Input'!$B$12,0))+Q586*(1-'P-Parametri'!$B$6*P586))*(1+'1-Input'!$B$27))</f>
        <v>52693.713097256354</v>
      </c>
      <c r="S586" s="18">
        <f>IF($A586&gt;'1-Input'!$B$26,U585,(U585-Q586)*(1+$C$4))</f>
        <v>92311.230114521473</v>
      </c>
      <c r="T586" s="18">
        <f>IF($A586&gt;'1-Input'!$B$26,R586,R586-'P-Parametri'!$B$8*(S586+R586)+MIN(MAX(S586,0),'P-Parametri'!$B$8*(S586+R586)))</f>
        <v>52693.713097256354</v>
      </c>
      <c r="U586" s="18">
        <f>IF($A586&gt;'1-Input'!$B$26,S586,S586-MIN(MAX(S586,0),'P-Parametri'!$B$8*(S586+R586)))</f>
        <v>92021.220228097911</v>
      </c>
      <c r="V586" s="18">
        <f>IF($A586&gt;'1-Input'!$B$26,V585,V585-Q586*(1-P586))</f>
        <v>38712.376040796393</v>
      </c>
      <c r="W586" s="11">
        <f>IF($A586&gt;'1-Input'!$B$26,0,IF(AB585&lt;=0,0,MAX(0,(AB585-AC585)/AB585)))</f>
        <v>0.56811568288440883</v>
      </c>
      <c r="X586" s="18">
        <f>IF($A586&gt;'1-Input'!$B$26,0,(MAX(0,W561-IF($A586&gt;='1-Input'!$C$12,'1-Input'!$B$12,0))-MIN(MAX(AA585,0),MAX(0,W561-IF($A586&gt;='1-Input'!$C$12,'1-Input'!$B$12,0))))*(1/(1-'P-Parametri'!$B$6*W586))+MIN(MAX(0,AB585-(MAX(0,W561-IF($A586&gt;='1-Input'!$C$12,'1-Input'!$B$12,0))-MIN(MAX(AA585,0),MAX(0,W561-IF($A586&gt;='1-Input'!$C$12,'1-Input'!$B$12,0))))*(1/(1-'P-Parametri'!$B$6*W586))),MAX(0,3*W561-(AA585-MIN(MAX(AA585,0),MAX(0,W561-IF($A586&gt;='1-Input'!$C$12,'1-Input'!$B$12,0)))))*(1/(1-'P-Parametri'!$B$6*W586))))</f>
        <v>7802.0905711157438</v>
      </c>
      <c r="Y586" s="18">
        <f>IF($A586&gt;'1-Input'!$B$26,AA585,(AA585-MAX(0,W561-IF($A586&gt;='1-Input'!$C$12,'1-Input'!$B$12,0))+X586*(1-'P-Parametri'!$B$6*W586))*(1+'1-Input'!$B$27))</f>
        <v>52496.252233084</v>
      </c>
      <c r="Z586" s="18">
        <f>IF($A586&gt;'1-Input'!$B$26,AB585,(AB585-X586)*(1+$C$4))</f>
        <v>95119.406275252375</v>
      </c>
      <c r="AA586" s="18">
        <f>IF($A586&gt;'1-Input'!$B$26,Y586,Y586-'P-Parametri'!$B$8*(Z586+Y586)+MIN(MAX(Z586,0),'P-Parametri'!$B$8*(Z586+Y586)))</f>
        <v>52496.252233084</v>
      </c>
      <c r="AB586" s="18">
        <f>IF($A586&gt;'1-Input'!$B$26,Z586,Z586-MIN(MAX(Z586,0),'P-Parametri'!$B$8*(Z586+Y586)))</f>
        <v>94824.174958235701</v>
      </c>
      <c r="AC586" s="18">
        <f>IF($A586&gt;'1-Input'!$B$26,AC585,AC585-X586*(1-W586))</f>
        <v>39884.058081192088</v>
      </c>
      <c r="AD586" s="11">
        <f>IF($A586&gt;'1-Input'!$B$26,0,IF(AI585&lt;=0,0,MAX(0,(AI585-AJ585)/AI585)))</f>
        <v>0.56812314444972778</v>
      </c>
      <c r="AE586" s="18">
        <f>IF($A586&gt;'1-Input'!$B$26,0,(MAX(0,AD561-IF($A586&gt;='1-Input'!$C$12,'1-Input'!$B$12,0))-MIN(MAX(AH585,0),MAX(0,AD561-IF($A586&gt;='1-Input'!$C$12,'1-Input'!$B$12,0))))*(1/(1-'P-Parametri'!$B$6*AD586))+MIN(MAX(0,AI585-(MAX(0,AD561-IF($A586&gt;='1-Input'!$C$12,'1-Input'!$B$12,0))-MIN(MAX(AH585,0),MAX(0,AD561-IF($A586&gt;='1-Input'!$C$12,'1-Input'!$B$12,0))))*(1/(1-'P-Parametri'!$B$6*AD586))),MAX(0,3*AD561-(AH585-MIN(MAX(AH585,0),MAX(0,AD561-IF($A586&gt;='1-Input'!$C$12,'1-Input'!$B$12,0)))))*(1/(1-'P-Parametri'!$B$6*AD586))))</f>
        <v>7792.9218585260069</v>
      </c>
      <c r="AF586" s="18">
        <f>IF($A586&gt;'1-Input'!$B$26,AH585,(AH585-MAX(0,AD561-IF($A586&gt;='1-Input'!$C$12,'1-Input'!$B$12,0))+AE586*(1-'P-Parametri'!$B$6*AD586))*(1+'1-Input'!$B$27))</f>
        <v>52473.098295428375</v>
      </c>
      <c r="AG586" s="18">
        <f>IF($A586&gt;'1-Input'!$B$26,AI585,(AI585-AE586)*(1+$C$4))</f>
        <v>95448.692328849982</v>
      </c>
      <c r="AH586" s="18">
        <f>IF($A586&gt;'1-Input'!$B$26,AF586,AF586-'P-Parametri'!$B$8*(AG586+AF586)+MIN(MAX(AG586,0),'P-Parametri'!$B$8*(AG586+AF586)))</f>
        <v>52473.098295428375</v>
      </c>
      <c r="AI586" s="18">
        <f>IF($A586&gt;'1-Input'!$B$26,AG586,AG586-MIN(MAX(AG586,0),'P-Parametri'!$B$8*(AG586+AF586)))</f>
        <v>95152.848747601427</v>
      </c>
      <c r="AJ586" s="18">
        <f>IF($A586&gt;'1-Input'!$B$26,AJ585,AJ585-AE586*(1-AD586))</f>
        <v>40021.437970261286</v>
      </c>
      <c r="AK586" s="11">
        <f>IF($A586&gt;'1-Input'!$B$26,0,IF(AP585&lt;=0,0,MAX(0,(AP585-AQ585)/AP585)))</f>
        <v>0.56812270256571662</v>
      </c>
      <c r="AL586" s="18">
        <f>IF($A586&gt;'1-Input'!$B$26,0,(MAX(0,AK561-IF($A586&gt;='1-Input'!$C$12,'1-Input'!$B$12,0))-MIN(MAX(AO585,0),MAX(0,AK561-IF($A586&gt;='1-Input'!$C$12,'1-Input'!$B$12,0))))*(1/(1-'P-Parametri'!$B$6*AK586))+MIN(MAX(0,AP585-(MAX(0,AK561-IF($A586&gt;='1-Input'!$C$12,'1-Input'!$B$12,0))-MIN(MAX(AO585,0),MAX(0,AK561-IF($A586&gt;='1-Input'!$C$12,'1-Input'!$B$12,0))))*(1/(1-'P-Parametri'!$B$6*AK586))),MAX(0,3*AK561-(AO585-MIN(MAX(AO585,0),MAX(0,AK561-IF($A586&gt;='1-Input'!$C$12,'1-Input'!$B$12,0)))))*(1/(1-'P-Parametri'!$B$6*AK586))))</f>
        <v>7793.4657450169407</v>
      </c>
      <c r="AM586" s="18">
        <f>IF($A586&gt;'1-Input'!$B$26,AO585,(AO585-MAX(0,AK561-IF($A586&gt;='1-Input'!$C$12,'1-Input'!$B$12,0))+AL586*(1-'P-Parametri'!$B$6*AK586))*(1+'1-Input'!$B$27))</f>
        <v>52474.471775783059</v>
      </c>
      <c r="AN586" s="18">
        <f>IF($A586&gt;'1-Input'!$B$26,AP585,(AP585-AL586)*(1+$C$4))</f>
        <v>95429.159217142194</v>
      </c>
      <c r="AO586" s="18">
        <f>IF($A586&gt;'1-Input'!$B$26,AM586,AM586-'P-Parametri'!$B$8*(AN586+AM586)+MIN(MAX(AN586,0),'P-Parametri'!$B$8*(AN586+AM586)))</f>
        <v>52474.471775783059</v>
      </c>
      <c r="AP586" s="18">
        <f>IF($A586&gt;'1-Input'!$B$26,AN586,AN586-MIN(MAX(AN586,0),'P-Parametri'!$B$8*(AN586+AM586)))</f>
        <v>95133.351955156337</v>
      </c>
      <c r="AQ586" s="18">
        <f>IF($A586&gt;'1-Input'!$B$26,AQ585,AQ585-AL586*(1-AK586))</f>
        <v>40013.288717597388</v>
      </c>
    </row>
    <row r="587" spans="1:43">
      <c r="A587" s="10">
        <f>24</f>
        <v>24</v>
      </c>
      <c r="B587" s="11">
        <f>IF($A587&gt;'1-Input'!$B$26,0,IF(G586&lt;=0,0,MAX(0,(G586-H586)/G586)))</f>
        <v>0.58023294921182744</v>
      </c>
      <c r="C587" s="18">
        <f>IF($A587&gt;'1-Input'!$B$26,0,(MAX(0,B561-IF($A587&gt;='1-Input'!$C$12,'1-Input'!$B$12,0))-MIN(MAX(F586,0),MAX(0,B561-IF($A587&gt;='1-Input'!$C$12,'1-Input'!$B$12,0))))*(1/(1-'P-Parametri'!$B$6*B587))+MIN(MAX(0,G586-(MAX(0,B561-IF($A587&gt;='1-Input'!$C$12,'1-Input'!$B$12,0))-MIN(MAX(F586,0),MAX(0,B561-IF($A587&gt;='1-Input'!$C$12,'1-Input'!$B$12,0))))*(1/(1-'P-Parametri'!$B$6*B587))),MAX(0,3*B561-(F586-MIN(MAX(F586,0),MAX(0,B561-IF($A587&gt;='1-Input'!$C$12,'1-Input'!$B$12,0)))))*(1/(1-'P-Parametri'!$B$6*B587))))</f>
        <v>6782.4087385585808</v>
      </c>
      <c r="D587" s="18">
        <f>IF($A587&gt;'1-Input'!$B$26,F586,(F586-MAX(0,B561-IF($A587&gt;='1-Input'!$C$12,'1-Input'!$B$12,0))+C587*(1-'P-Parametri'!$B$6*B587))*(1+'1-Input'!$B$27))</f>
        <v>49863.010546479447</v>
      </c>
      <c r="E587" s="18">
        <f>IF($A587&gt;'1-Input'!$B$26,G586,(G586-C587)*(1+$C$4))</f>
        <v>129188.45060771547</v>
      </c>
      <c r="F587" s="18">
        <f>IF($A587&gt;'1-Input'!$B$26,D587,D587-'P-Parametri'!$B$8*(E587+D587)+MIN(MAX(E587,0),'P-Parametri'!$B$8*(E587+D587)))</f>
        <v>49863.010546479447</v>
      </c>
      <c r="G587" s="18">
        <f>IF($A587&gt;'1-Input'!$B$26,E587,E587-MIN(MAX(E587,0),'P-Parametri'!$B$8*(E587+D587)))</f>
        <v>128830.34768540708</v>
      </c>
      <c r="H587" s="18">
        <f>IF($A587&gt;'1-Input'!$B$26,H586,H586-C587*(1-B587))</f>
        <v>52649.567871353611</v>
      </c>
      <c r="I587" s="11">
        <f>IF($A587&gt;'1-Input'!$B$26,0,IF(N586&lt;=0,0,MAX(0,(N586-O586)/N586)))</f>
        <v>0</v>
      </c>
      <c r="J587" s="18">
        <f>IF($A587&gt;'1-Input'!$B$26,0,(MAX(0,I561-IF($A587&gt;='1-Input'!$C$12,'1-Input'!$B$12,0))-MIN(MAX(M586,0),MAX(0,I561-IF($A587&gt;='1-Input'!$C$12,'1-Input'!$B$12,0))))*(1/(1-'P-Parametri'!$B$6*I587))+MIN(MAX(0,N586-(MAX(0,I561-IF($A587&gt;='1-Input'!$C$12,'1-Input'!$B$12,0))-MIN(MAX(M586,0),MAX(0,I561-IF($A587&gt;='1-Input'!$C$12,'1-Input'!$B$12,0))))*(1/(1-'P-Parametri'!$B$6*I587))),MAX(0,3*I561-(M586-MIN(MAX(M586,0),MAX(0,I561-IF($A587&gt;='1-Input'!$C$12,'1-Input'!$B$12,0)))))*(1/(1-'P-Parametri'!$B$6*I587))))</f>
        <v>10846.756992928691</v>
      </c>
      <c r="K587" s="18">
        <f>IF($A587&gt;'1-Input'!$B$26,M586,(M586-MAX(0,I561-IF($A587&gt;='1-Input'!$C$12,'1-Input'!$B$12,0))+J587*(1-'P-Parametri'!$B$6*I587))*(1+'1-Input'!$B$27))</f>
        <v>0</v>
      </c>
      <c r="L587" s="18">
        <f>IF($A587&gt;'1-Input'!$B$26,N586,(N586-J587)*(1+$C$4))</f>
        <v>-17751.268697936859</v>
      </c>
      <c r="M587" s="18">
        <f>IF($A587&gt;'1-Input'!$B$26,K587,K587-'P-Parametri'!$B$8*(L587+K587)+MIN(MAX(L587,0),'P-Parametri'!$B$8*(L587+K587)))</f>
        <v>0</v>
      </c>
      <c r="N587" s="18">
        <f>IF($A587&gt;'1-Input'!$B$26,L587,L587-MIN(MAX(L587,0),'P-Parametri'!$B$8*(L587+K587)))</f>
        <v>-17715.766160540985</v>
      </c>
      <c r="O587" s="18">
        <f>IF($A587&gt;'1-Input'!$B$26,O586,O586-J587*(1-I587))</f>
        <v>-17060.625955493568</v>
      </c>
      <c r="P587" s="11">
        <f>IF($A587&gt;'1-Input'!$B$26,0,IF(U586&lt;=0,0,MAX(0,(U586-V586)/U586)))</f>
        <v>0.57931033793251208</v>
      </c>
      <c r="Q587" s="18">
        <f>IF($A587&gt;'1-Input'!$B$26,0,(MAX(0,P561-IF($A587&gt;='1-Input'!$C$12,'1-Input'!$B$12,0))-MIN(MAX(T586,0),MAX(0,P561-IF($A587&gt;='1-Input'!$C$12,'1-Input'!$B$12,0))))*(1/(1-'P-Parametri'!$B$6*P587))+MIN(MAX(0,U586-(MAX(0,P561-IF($A587&gt;='1-Input'!$C$12,'1-Input'!$B$12,0))-MIN(MAX(T586,0),MAX(0,P561-IF($A587&gt;='1-Input'!$C$12,'1-Input'!$B$12,0))))*(1/(1-'P-Parametri'!$B$6*P587))),MAX(0,3*P561-(T586-MIN(MAX(T586,0),MAX(0,P561-IF($A587&gt;='1-Input'!$C$12,'1-Input'!$B$12,0)))))*(1/(1-'P-Parametri'!$B$6*P587))))</f>
        <v>7907.4385218533926</v>
      </c>
      <c r="R587" s="18">
        <f>IF($A587&gt;'1-Input'!$B$26,T586,(T586-MAX(0,P561-IF($A587&gt;='1-Input'!$C$12,'1-Input'!$B$12,0))+Q587*(1-'P-Parametri'!$B$6*P587))*(1+'1-Input'!$B$27))</f>
        <v>52693.713097256354</v>
      </c>
      <c r="S587" s="18">
        <f>IF($A587&gt;'1-Input'!$B$26,U586,(U586-Q587)*(1+$C$4))</f>
        <v>86637.195157431866</v>
      </c>
      <c r="T587" s="18">
        <f>IF($A587&gt;'1-Input'!$B$26,R587,R587-'P-Parametri'!$B$8*(S587+R587)+MIN(MAX(S587,0),'P-Parametri'!$B$8*(S587+R587)))</f>
        <v>52693.713097256354</v>
      </c>
      <c r="U587" s="18">
        <f>IF($A587&gt;'1-Input'!$B$26,S587,S587-MIN(MAX(S587,0),'P-Parametri'!$B$8*(S587+R587)))</f>
        <v>86358.533340922484</v>
      </c>
      <c r="V587" s="18">
        <f>IF($A587&gt;'1-Input'!$B$26,V586,V586-Q587*(1-P587))</f>
        <v>35385.798401218453</v>
      </c>
      <c r="W587" s="11">
        <f>IF($A587&gt;'1-Input'!$B$26,0,IF(AB586&lt;=0,0,MAX(0,(AB586-AC586)/AB586)))</f>
        <v>0.57938934771899042</v>
      </c>
      <c r="X587" s="18">
        <f>IF($A587&gt;'1-Input'!$B$26,0,(MAX(0,W561-IF($A587&gt;='1-Input'!$C$12,'1-Input'!$B$12,0))-MIN(MAX(AA586,0),MAX(0,W561-IF($A587&gt;='1-Input'!$C$12,'1-Input'!$B$12,0))))*(1/(1-'P-Parametri'!$B$6*W587))+MIN(MAX(0,AB586-(MAX(0,W561-IF($A587&gt;='1-Input'!$C$12,'1-Input'!$B$12,0))-MIN(MAX(AA586,0),MAX(0,W561-IF($A587&gt;='1-Input'!$C$12,'1-Input'!$B$12,0))))*(1/(1-'P-Parametri'!$B$6*W587))),MAX(0,3*W561-(AA586-MIN(MAX(AA586,0),MAX(0,W561-IF($A587&gt;='1-Input'!$C$12,'1-Input'!$B$12,0)))))*(1/(1-'P-Parametri'!$B$6*W587))))</f>
        <v>7829.0157302908101</v>
      </c>
      <c r="Y587" s="18">
        <f>IF($A587&gt;'1-Input'!$B$26,AA586,(AA586-MAX(0,W561-IF($A587&gt;='1-Input'!$C$12,'1-Input'!$B$12,0))+X587*(1-'P-Parametri'!$B$6*W587))*(1+'1-Input'!$B$27))</f>
        <v>52496.252233084</v>
      </c>
      <c r="Z587" s="18">
        <f>IF($A587&gt;'1-Input'!$B$26,AB586,(AB586-X587)*(1+$C$4))</f>
        <v>89605.014004783239</v>
      </c>
      <c r="AA587" s="18">
        <f>IF($A587&gt;'1-Input'!$B$26,Y587,Y587-'P-Parametri'!$B$8*(Z587+Y587)+MIN(MAX(Z587,0),'P-Parametri'!$B$8*(Z587+Y587)))</f>
        <v>52496.252233084</v>
      </c>
      <c r="AB587" s="18">
        <f>IF($A587&gt;'1-Input'!$B$26,Z587,Z587-MIN(MAX(Z587,0),'P-Parametri'!$B$8*(Z587+Y587)))</f>
        <v>89320.811472307498</v>
      </c>
      <c r="AC587" s="18">
        <f>IF($A587&gt;'1-Input'!$B$26,AC586,AC586-X587*(1-W587))</f>
        <v>36591.090668156183</v>
      </c>
      <c r="AD587" s="11">
        <f>IF($A587&gt;'1-Input'!$B$26,0,IF(AI586&lt;=0,0,MAX(0,(AI586-AJ586)/AI586)))</f>
        <v>0.57939842582726531</v>
      </c>
      <c r="AE587" s="18">
        <f>IF($A587&gt;'1-Input'!$B$26,0,(MAX(0,AD561-IF($A587&gt;='1-Input'!$C$12,'1-Input'!$B$12,0))-MIN(MAX(AH586,0),MAX(0,AD561-IF($A587&gt;='1-Input'!$C$12,'1-Input'!$B$12,0))))*(1/(1-'P-Parametri'!$B$6*AD587))+MIN(MAX(0,AI586-(MAX(0,AD561-IF($A587&gt;='1-Input'!$C$12,'1-Input'!$B$12,0))-MIN(MAX(AH586,0),MAX(0,AD561-IF($A587&gt;='1-Input'!$C$12,'1-Input'!$B$12,0))))*(1/(1-'P-Parametri'!$B$6*AD587))),MAX(0,3*AD561-(AH586-MIN(MAX(AH586,0),MAX(0,AD561-IF($A587&gt;='1-Input'!$C$12,'1-Input'!$B$12,0)))))*(1/(1-'P-Parametri'!$B$6*AD587))))</f>
        <v>7819.8193073406037</v>
      </c>
      <c r="AF587" s="18">
        <f>IF($A587&gt;'1-Input'!$B$26,AH586,(AH586-MAX(0,AD561-IF($A587&gt;='1-Input'!$C$12,'1-Input'!$B$12,0))+AE587*(1-'P-Parametri'!$B$6*AD587))*(1+'1-Input'!$B$27))</f>
        <v>52473.098295428375</v>
      </c>
      <c r="AG587" s="18">
        <f>IF($A587&gt;'1-Input'!$B$26,AI586,(AI586-AE587)*(1+$C$4))</f>
        <v>89953.020323468649</v>
      </c>
      <c r="AH587" s="18">
        <f>IF($A587&gt;'1-Input'!$B$26,AF587,AF587-'P-Parametri'!$B$8*(AG587+AF587)+MIN(MAX(AG587,0),'P-Parametri'!$B$8*(AG587+AF587)))</f>
        <v>52473.098295428375</v>
      </c>
      <c r="AI587" s="18">
        <f>IF($A587&gt;'1-Input'!$B$26,AG587,AG587-MIN(MAX(AG587,0),'P-Parametri'!$B$8*(AG587+AF587)))</f>
        <v>89668.168086230857</v>
      </c>
      <c r="AJ587" s="18">
        <f>IF($A587&gt;'1-Input'!$B$26,AJ586,AJ586-AE587*(1-AD587))</f>
        <v>36732.409659847486</v>
      </c>
      <c r="AK587" s="11">
        <f>IF($A587&gt;'1-Input'!$B$26,0,IF(AP586&lt;=0,0,MAX(0,(AP586-AQ586)/AP586)))</f>
        <v>0.5793978883824179</v>
      </c>
      <c r="AL587" s="18">
        <f>IF($A587&gt;'1-Input'!$B$26,0,(MAX(0,AK561-IF($A587&gt;='1-Input'!$C$12,'1-Input'!$B$12,0))-MIN(MAX(AO586,0),MAX(0,AK561-IF($A587&gt;='1-Input'!$C$12,'1-Input'!$B$12,0))))*(1/(1-'P-Parametri'!$B$6*AK587))+MIN(MAX(0,AP586-(MAX(0,AK561-IF($A587&gt;='1-Input'!$C$12,'1-Input'!$B$12,0))-MIN(MAX(AO586,0),MAX(0,AK561-IF($A587&gt;='1-Input'!$C$12,'1-Input'!$B$12,0))))*(1/(1-'P-Parametri'!$B$6*AK587))),MAX(0,3*AK561-(AO586-MIN(MAX(AO586,0),MAX(0,AK561-IF($A587&gt;='1-Input'!$C$12,'1-Input'!$B$12,0)))))*(1/(1-'P-Parametri'!$B$6*AK587))))</f>
        <v>7820.3648386642999</v>
      </c>
      <c r="AM587" s="18">
        <f>IF($A587&gt;'1-Input'!$B$26,AO586,(AO586-MAX(0,AK561-IF($A587&gt;='1-Input'!$C$12,'1-Input'!$B$12,0))+AL587*(1-'P-Parametri'!$B$6*AK587))*(1+'1-Input'!$B$27))</f>
        <v>52474.471775783059</v>
      </c>
      <c r="AN587" s="18">
        <f>IF($A587&gt;'1-Input'!$B$26,AP586,(AP586-AL587)*(1+$C$4))</f>
        <v>89932.37672998679</v>
      </c>
      <c r="AO587" s="18">
        <f>IF($A587&gt;'1-Input'!$B$26,AM587,AM587-'P-Parametri'!$B$8*(AN587+AM587)+MIN(MAX(AN587,0),'P-Parametri'!$B$8*(AN587+AM587)))</f>
        <v>52474.471775783059</v>
      </c>
      <c r="AP587" s="18">
        <f>IF($A587&gt;'1-Input'!$B$26,AN587,AN587-MIN(MAX(AN587,0),'P-Parametri'!$B$8*(AN587+AM587)))</f>
        <v>89647.563032975246</v>
      </c>
      <c r="AQ587" s="18">
        <f>IF($A587&gt;'1-Input'!$B$26,AQ586,AQ586-AL587*(1-AK587))</f>
        <v>36724.026752835292</v>
      </c>
    </row>
    <row r="588" spans="1:43">
      <c r="A588" s="10">
        <f>25</f>
        <v>25</v>
      </c>
      <c r="B588" s="11">
        <f>IF($A588&gt;'1-Input'!$B$26,0,IF(G587&lt;=0,0,MAX(0,(G587-H587)/G587)))</f>
        <v>0.59132635425373969</v>
      </c>
      <c r="C588" s="18">
        <f>IF($A588&gt;'1-Input'!$B$26,0,(MAX(0,B561-IF($A588&gt;='1-Input'!$C$12,'1-Input'!$B$12,0))-MIN(MAX(F587,0),MAX(0,B561-IF($A588&gt;='1-Input'!$C$12,'1-Input'!$B$12,0))))*(1/(1-'P-Parametri'!$B$6*B588))+MIN(MAX(0,G587-(MAX(0,B561-IF($A588&gt;='1-Input'!$C$12,'1-Input'!$B$12,0))-MIN(MAX(F587,0),MAX(0,B561-IF($A588&gt;='1-Input'!$C$12,'1-Input'!$B$12,0))))*(1/(1-'P-Parametri'!$B$6*B588))),MAX(0,3*B561-(F587-MIN(MAX(F587,0),MAX(0,B561-IF($A588&gt;='1-Input'!$C$12,'1-Input'!$B$12,0)))))*(1/(1-'P-Parametri'!$B$6*B588))))</f>
        <v>6805.5251732955612</v>
      </c>
      <c r="D588" s="18">
        <f>IF($A588&gt;'1-Input'!$B$26,F587,(F587-MAX(0,B561-IF($A588&gt;='1-Input'!$C$12,'1-Input'!$B$12,0))+C588*(1-'P-Parametri'!$B$6*B588))*(1+'1-Input'!$B$27))</f>
        <v>49863.010546479447</v>
      </c>
      <c r="E588" s="18">
        <f>IF($A588&gt;'1-Input'!$B$26,G587,(G587-C588)*(1+$C$4))</f>
        <v>125685.56718747487</v>
      </c>
      <c r="F588" s="18">
        <f>IF($A588&gt;'1-Input'!$B$26,D588,D588-'P-Parametri'!$B$8*(E588+D588)+MIN(MAX(E588,0),'P-Parametri'!$B$8*(E588+D588)))</f>
        <v>49863.010546479447</v>
      </c>
      <c r="G588" s="18">
        <f>IF($A588&gt;'1-Input'!$B$26,E588,E588-MIN(MAX(E588,0),'P-Parametri'!$B$8*(E588+D588)))</f>
        <v>125334.47003200695</v>
      </c>
      <c r="H588" s="18">
        <f>IF($A588&gt;'1-Input'!$B$26,H587,H587-C588*(1-B588))</f>
        <v>49868.329087564962</v>
      </c>
      <c r="I588" s="11">
        <f>IF($A588&gt;'1-Input'!$B$26,0,IF(N587&lt;=0,0,MAX(0,(N587-O587)/N587)))</f>
        <v>0</v>
      </c>
      <c r="J588" s="18">
        <f>IF($A588&gt;'1-Input'!$B$26,0,(MAX(0,I561-IF($A588&gt;='1-Input'!$C$12,'1-Input'!$B$12,0))-MIN(MAX(M587,0),MAX(0,I561-IF($A588&gt;='1-Input'!$C$12,'1-Input'!$B$12,0))))*(1/(1-'P-Parametri'!$B$6*I588))+MIN(MAX(0,N587-(MAX(0,I561-IF($A588&gt;='1-Input'!$C$12,'1-Input'!$B$12,0))-MIN(MAX(M587,0),MAX(0,I561-IF($A588&gt;='1-Input'!$C$12,'1-Input'!$B$12,0))))*(1/(1-'P-Parametri'!$B$6*I588))),MAX(0,3*I561-(M587-MIN(MAX(M587,0),MAX(0,I561-IF($A588&gt;='1-Input'!$C$12,'1-Input'!$B$12,0)))))*(1/(1-'P-Parametri'!$B$6*I588))))</f>
        <v>10846.756992928691</v>
      </c>
      <c r="K588" s="18">
        <f>IF($A588&gt;'1-Input'!$B$26,M587,(M587-MAX(0,I561-IF($A588&gt;='1-Input'!$C$12,'1-Input'!$B$12,0))+J588*(1-'P-Parametri'!$B$6*I588))*(1+'1-Input'!$B$27))</f>
        <v>0</v>
      </c>
      <c r="L588" s="18">
        <f>IF($A588&gt;'1-Input'!$B$26,N587,(N587-J588)*(1+$C$4))</f>
        <v>-29419.398848073768</v>
      </c>
      <c r="M588" s="18">
        <f>IF($A588&gt;'1-Input'!$B$26,K588,K588-'P-Parametri'!$B$8*(L588+K588)+MIN(MAX(L588,0),'P-Parametri'!$B$8*(L588+K588)))</f>
        <v>0</v>
      </c>
      <c r="N588" s="18">
        <f>IF($A588&gt;'1-Input'!$B$26,L588,L588-MIN(MAX(L588,0),'P-Parametri'!$B$8*(L588+K588)))</f>
        <v>-29360.560050377622</v>
      </c>
      <c r="O588" s="18">
        <f>IF($A588&gt;'1-Input'!$B$26,O587,O587-J588*(1-I588))</f>
        <v>-27907.382948422259</v>
      </c>
      <c r="P588" s="11">
        <f>IF($A588&gt;'1-Input'!$B$26,0,IF(U587&lt;=0,0,MAX(0,(U587-V587)/U587)))</f>
        <v>0.59024549129934933</v>
      </c>
      <c r="Q588" s="18">
        <f>IF($A588&gt;'1-Input'!$B$26,0,(MAX(0,P561-IF($A588&gt;='1-Input'!$C$12,'1-Input'!$B$12,0))-MIN(MAX(T587,0),MAX(0,P561-IF($A588&gt;='1-Input'!$C$12,'1-Input'!$B$12,0))))*(1/(1-'P-Parametri'!$B$6*P588))+MIN(MAX(0,U587-(MAX(0,P561-IF($A588&gt;='1-Input'!$C$12,'1-Input'!$B$12,0))-MIN(MAX(T587,0),MAX(0,P561-IF($A588&gt;='1-Input'!$C$12,'1-Input'!$B$12,0))))*(1/(1-'P-Parametri'!$B$6*P588))),MAX(0,3*P561-(T587-MIN(MAX(T587,0),MAX(0,P561-IF($A588&gt;='1-Input'!$C$12,'1-Input'!$B$12,0)))))*(1/(1-'P-Parametri'!$B$6*P588))))</f>
        <v>7933.9961038094016</v>
      </c>
      <c r="R588" s="18">
        <f>IF($A588&gt;'1-Input'!$B$26,T587,(T587-MAX(0,P561-IF($A588&gt;='1-Input'!$C$12,'1-Input'!$B$12,0))+Q588*(1-'P-Parametri'!$B$6*P588))*(1+'1-Input'!$B$27))</f>
        <v>52693.713097256354</v>
      </c>
      <c r="S588" s="18">
        <f>IF($A588&gt;'1-Input'!$B$26,U587,(U587-Q588)*(1+$C$4))</f>
        <v>80777.273354226476</v>
      </c>
      <c r="T588" s="18">
        <f>IF($A588&gt;'1-Input'!$B$26,R588,R588-'P-Parametri'!$B$8*(S588+R588)+MIN(MAX(S588,0),'P-Parametri'!$B$8*(S588+R588)))</f>
        <v>52693.713097256354</v>
      </c>
      <c r="U588" s="18">
        <f>IF($A588&gt;'1-Input'!$B$26,S588,S588-MIN(MAX(S588,0),'P-Parametri'!$B$8*(S588+R588)))</f>
        <v>80510.331381323515</v>
      </c>
      <c r="V588" s="18">
        <f>IF($A588&gt;'1-Input'!$B$26,V587,V587-Q588*(1-P588))</f>
        <v>32134.807725669154</v>
      </c>
      <c r="W588" s="11">
        <f>IF($A588&gt;'1-Input'!$B$26,0,IF(AB587&lt;=0,0,MAX(0,(AB587-AC587)/AB587)))</f>
        <v>0.59034081682631523</v>
      </c>
      <c r="X588" s="18">
        <f>IF($A588&gt;'1-Input'!$B$26,0,(MAX(0,W561-IF($A588&gt;='1-Input'!$C$12,'1-Input'!$B$12,0))-MIN(MAX(AA587,0),MAX(0,W561-IF($A588&gt;='1-Input'!$C$12,'1-Input'!$B$12,0))))*(1/(1-'P-Parametri'!$B$6*W588))+MIN(MAX(0,AB587-(MAX(0,W561-IF($A588&gt;='1-Input'!$C$12,'1-Input'!$B$12,0))-MIN(MAX(AA587,0),MAX(0,W561-IF($A588&gt;='1-Input'!$C$12,'1-Input'!$B$12,0))))*(1/(1-'P-Parametri'!$B$6*W588))),MAX(0,3*W561-(AA587-MIN(MAX(AA587,0),MAX(0,W561-IF($A588&gt;='1-Input'!$C$12,'1-Input'!$B$12,0)))))*(1/(1-'P-Parametri'!$B$6*W588))))</f>
        <v>7855.3499279670041</v>
      </c>
      <c r="Y588" s="18">
        <f>IF($A588&gt;'1-Input'!$B$26,AA587,(AA587-MAX(0,W561-IF($A588&gt;='1-Input'!$C$12,'1-Input'!$B$12,0))+X588*(1-'P-Parametri'!$B$6*W588))*(1+'1-Input'!$B$27))</f>
        <v>52496.252233084</v>
      </c>
      <c r="Z588" s="18">
        <f>IF($A588&gt;'1-Input'!$B$26,AB587,(AB587-X588)*(1+$C$4))</f>
        <v>83909.425390670702</v>
      </c>
      <c r="AA588" s="18">
        <f>IF($A588&gt;'1-Input'!$B$26,Y588,Y588-'P-Parametri'!$B$8*(Z588+Y588)+MIN(MAX(Z588,0),'P-Parametri'!$B$8*(Z588+Y588)))</f>
        <v>52496.252233084</v>
      </c>
      <c r="AB588" s="18">
        <f>IF($A588&gt;'1-Input'!$B$26,Z588,Z588-MIN(MAX(Z588,0),'P-Parametri'!$B$8*(Z588+Y588)))</f>
        <v>83636.61403542319</v>
      </c>
      <c r="AC588" s="18">
        <f>IF($A588&gt;'1-Input'!$B$26,AC587,AC587-X588*(1-W588))</f>
        <v>33373.074433121757</v>
      </c>
      <c r="AD588" s="11">
        <f>IF($A588&gt;'1-Input'!$B$26,0,IF(AI587&lt;=0,0,MAX(0,(AI587-AJ587)/AI587)))</f>
        <v>0.59035173301942379</v>
      </c>
      <c r="AE588" s="18">
        <f>IF($A588&gt;'1-Input'!$B$26,0,(MAX(0,AD561-IF($A588&gt;='1-Input'!$C$12,'1-Input'!$B$12,0))-MIN(MAX(AH587,0),MAX(0,AD561-IF($A588&gt;='1-Input'!$C$12,'1-Input'!$B$12,0))))*(1/(1-'P-Parametri'!$B$6*AD588))+MIN(MAX(0,AI587-(MAX(0,AD561-IF($A588&gt;='1-Input'!$C$12,'1-Input'!$B$12,0))-MIN(MAX(AH587,0),MAX(0,AD561-IF($A588&gt;='1-Input'!$C$12,'1-Input'!$B$12,0))))*(1/(1-'P-Parametri'!$B$6*AD588))),MAX(0,3*AD561-(AH587-MIN(MAX(AH587,0),MAX(0,AD561-IF($A588&gt;='1-Input'!$C$12,'1-Input'!$B$12,0)))))*(1/(1-'P-Parametri'!$B$6*AD588))))</f>
        <v>7846.1270742392553</v>
      </c>
      <c r="AF588" s="18">
        <f>IF($A588&gt;'1-Input'!$B$26,AH587,(AH587-MAX(0,AD561-IF($A588&gt;='1-Input'!$C$12,'1-Input'!$B$12,0))+AE588*(1-'P-Parametri'!$B$6*AD588))*(1+'1-Input'!$B$27))</f>
        <v>52473.098295428375</v>
      </c>
      <c r="AG588" s="18">
        <f>IF($A588&gt;'1-Input'!$B$26,AI587,(AI587-AE588)*(1+$C$4))</f>
        <v>84276.702242351355</v>
      </c>
      <c r="AH588" s="18">
        <f>IF($A588&gt;'1-Input'!$B$26,AF588,AF588-'P-Parametri'!$B$8*(AG588+AF588)+MIN(MAX(AG588,0),'P-Parametri'!$B$8*(AG588+AF588)))</f>
        <v>52473.098295428375</v>
      </c>
      <c r="AI588" s="18">
        <f>IF($A588&gt;'1-Input'!$B$26,AG588,AG588-MIN(MAX(AG588,0),'P-Parametri'!$B$8*(AG588+AF588)))</f>
        <v>84003.202641275799</v>
      </c>
      <c r="AJ588" s="18">
        <f>IF($A588&gt;'1-Input'!$B$26,AJ587,AJ587-AE588*(1-AD588))</f>
        <v>33518.257301375997</v>
      </c>
      <c r="AK588" s="11">
        <f>IF($A588&gt;'1-Input'!$B$26,0,IF(AP587&lt;=0,0,MAX(0,(AP587-AQ587)/AP587)))</f>
        <v>0.59035108696343463</v>
      </c>
      <c r="AL588" s="18">
        <f>IF($A588&gt;'1-Input'!$B$26,0,(MAX(0,AK561-IF($A588&gt;='1-Input'!$C$12,'1-Input'!$B$12,0))-MIN(MAX(AO587,0),MAX(0,AK561-IF($A588&gt;='1-Input'!$C$12,'1-Input'!$B$12,0))))*(1/(1-'P-Parametri'!$B$6*AK588))+MIN(MAX(0,AP587-(MAX(0,AK561-IF($A588&gt;='1-Input'!$C$12,'1-Input'!$B$12,0))-MIN(MAX(AO587,0),MAX(0,AK561-IF($A588&gt;='1-Input'!$C$12,'1-Input'!$B$12,0))))*(1/(1-'P-Parametri'!$B$6*AK588))),MAX(0,3*AK561-(AO587-MIN(MAX(AO587,0),MAX(0,AK561-IF($A588&gt;='1-Input'!$C$12,'1-Input'!$B$12,0)))))*(1/(1-'P-Parametri'!$B$6*AK588))))</f>
        <v>7846.6741747603219</v>
      </c>
      <c r="AM588" s="18">
        <f>IF($A588&gt;'1-Input'!$B$26,AO587,(AO587-MAX(0,AK561-IF($A588&gt;='1-Input'!$C$12,'1-Input'!$B$12,0))+AL588*(1-'P-Parametri'!$B$6*AK588))*(1+'1-Input'!$B$27))</f>
        <v>52474.471775783059</v>
      </c>
      <c r="AN588" s="18">
        <f>IF($A588&gt;'1-Input'!$B$26,AP587,(AP587-AL588)*(1+$C$4))</f>
        <v>84254.915523961376</v>
      </c>
      <c r="AO588" s="18">
        <f>IF($A588&gt;'1-Input'!$B$26,AM588,AM588-'P-Parametri'!$B$8*(AN588+AM588)+MIN(MAX(AN588,0),'P-Parametri'!$B$8*(AN588+AM588)))</f>
        <v>52474.471775783059</v>
      </c>
      <c r="AP588" s="18">
        <f>IF($A588&gt;'1-Input'!$B$26,AN588,AN588-MIN(MAX(AN588,0),'P-Parametri'!$B$8*(AN588+AM588)))</f>
        <v>83981.456749361882</v>
      </c>
      <c r="AQ588" s="18">
        <f>IF($A588&gt;'1-Input'!$B$26,AQ587,AQ587-AL588*(1-AK588))</f>
        <v>33509.645206192639</v>
      </c>
    </row>
    <row r="589" spans="1:43">
      <c r="A589" s="10">
        <f>26</f>
        <v>26</v>
      </c>
      <c r="B589" s="11">
        <f>IF($A589&gt;'1-Input'!$B$26,0,IF(G588&lt;=0,0,MAX(0,(G588-H588)/G588)))</f>
        <v>0.60211800413062755</v>
      </c>
      <c r="C589" s="18">
        <f>IF($A589&gt;'1-Input'!$B$26,0,(MAX(0,B561-IF($A589&gt;='1-Input'!$C$12,'1-Input'!$B$12,0))-MIN(MAX(F588,0),MAX(0,B561-IF($A589&gt;='1-Input'!$C$12,'1-Input'!$B$12,0))))*(1/(1-'P-Parametri'!$B$6*B589))+MIN(MAX(0,G588-(MAX(0,B561-IF($A589&gt;='1-Input'!$C$12,'1-Input'!$B$12,0))-MIN(MAX(F588,0),MAX(0,B561-IF($A589&gt;='1-Input'!$C$12,'1-Input'!$B$12,0))))*(1/(1-'P-Parametri'!$B$6*B589))),MAX(0,3*B561-(F588-MIN(MAX(F588,0),MAX(0,B561-IF($A589&gt;='1-Input'!$C$12,'1-Input'!$B$12,0)))))*(1/(1-'P-Parametri'!$B$6*B589))))</f>
        <v>6828.1645177649325</v>
      </c>
      <c r="D589" s="18">
        <f>IF($A589&gt;'1-Input'!$B$26,F588,(F588-MAX(0,B561-IF($A589&gt;='1-Input'!$C$12,'1-Input'!$B$12,0))+C589*(1-'P-Parametri'!$B$6*B589))*(1+'1-Input'!$B$27))</f>
        <v>49863.010546479447</v>
      </c>
      <c r="E589" s="18">
        <f>IF($A589&gt;'1-Input'!$B$26,G588,(G588-C589)*(1+$C$4))</f>
        <v>122061.49467966928</v>
      </c>
      <c r="F589" s="18">
        <f>IF($A589&gt;'1-Input'!$B$26,D589,D589-'P-Parametri'!$B$8*(E589+D589)+MIN(MAX(E589,0),'P-Parametri'!$B$8*(E589+D589)))</f>
        <v>49863.010546479447</v>
      </c>
      <c r="G589" s="18">
        <f>IF($A589&gt;'1-Input'!$B$26,E589,E589-MIN(MAX(E589,0),'P-Parametri'!$B$8*(E589+D589)))</f>
        <v>121717.64566921699</v>
      </c>
      <c r="H589" s="18">
        <f>IF($A589&gt;'1-Input'!$B$26,H588,H588-C589*(1-B589))</f>
        <v>47151.525361112217</v>
      </c>
      <c r="I589" s="11">
        <f>IF($A589&gt;'1-Input'!$B$26,0,IF(N588&lt;=0,0,MAX(0,(N588-O588)/N588)))</f>
        <v>0</v>
      </c>
      <c r="J589" s="18">
        <f>IF($A589&gt;'1-Input'!$B$26,0,(MAX(0,I561-IF($A589&gt;='1-Input'!$C$12,'1-Input'!$B$12,0))-MIN(MAX(M588,0),MAX(0,I561-IF($A589&gt;='1-Input'!$C$12,'1-Input'!$B$12,0))))*(1/(1-'P-Parametri'!$B$6*I589))+MIN(MAX(0,N588-(MAX(0,I561-IF($A589&gt;='1-Input'!$C$12,'1-Input'!$B$12,0))-MIN(MAX(M588,0),MAX(0,I561-IF($A589&gt;='1-Input'!$C$12,'1-Input'!$B$12,0))))*(1/(1-'P-Parametri'!$B$6*I589))),MAX(0,3*I561-(M588-MIN(MAX(M588,0),MAX(0,I561-IF($A589&gt;='1-Input'!$C$12,'1-Input'!$B$12,0)))))*(1/(1-'P-Parametri'!$B$6*I589))))</f>
        <v>10846.756992928691</v>
      </c>
      <c r="K589" s="18">
        <f>IF($A589&gt;'1-Input'!$B$26,M588,(M588-MAX(0,I561-IF($A589&gt;='1-Input'!$C$12,'1-Input'!$B$12,0))+J589*(1-'P-Parametri'!$B$6*I589))*(1+'1-Input'!$B$27))</f>
        <v>0</v>
      </c>
      <c r="L589" s="18">
        <f>IF($A589&gt;'1-Input'!$B$26,N588,(N588-J589)*(1+$C$4))</f>
        <v>-41413.536554605504</v>
      </c>
      <c r="M589" s="18">
        <f>IF($A589&gt;'1-Input'!$B$26,K589,K589-'P-Parametri'!$B$8*(L589+K589)+MIN(MAX(L589,0),'P-Parametri'!$B$8*(L589+K589)))</f>
        <v>0</v>
      </c>
      <c r="N589" s="18">
        <f>IF($A589&gt;'1-Input'!$B$26,L589,L589-MIN(MAX(L589,0),'P-Parametri'!$B$8*(L589+K589)))</f>
        <v>-41330.709481496291</v>
      </c>
      <c r="O589" s="18">
        <f>IF($A589&gt;'1-Input'!$B$26,O588,O588-J589*(1-I589))</f>
        <v>-38754.13994135095</v>
      </c>
      <c r="P589" s="11">
        <f>IF($A589&gt;'1-Input'!$B$26,0,IF(U588&lt;=0,0,MAX(0,(U588-V588)/U588)))</f>
        <v>0.60086106746389989</v>
      </c>
      <c r="Q589" s="18">
        <f>IF($A589&gt;'1-Input'!$B$26,0,(MAX(0,P561-IF($A589&gt;='1-Input'!$C$12,'1-Input'!$B$12,0))-MIN(MAX(T588,0),MAX(0,P561-IF($A589&gt;='1-Input'!$C$12,'1-Input'!$B$12,0))))*(1/(1-'P-Parametri'!$B$6*P589))+MIN(MAX(0,U588-(MAX(0,P561-IF($A589&gt;='1-Input'!$C$12,'1-Input'!$B$12,0))-MIN(MAX(T588,0),MAX(0,P561-IF($A589&gt;='1-Input'!$C$12,'1-Input'!$B$12,0))))*(1/(1-'P-Parametri'!$B$6*P589))),MAX(0,3*P561-(T588-MIN(MAX(T588,0),MAX(0,P561-IF($A589&gt;='1-Input'!$C$12,'1-Input'!$B$12,0)))))*(1/(1-'P-Parametri'!$B$6*P589))))</f>
        <v>7959.9487514356142</v>
      </c>
      <c r="R589" s="18">
        <f>IF($A589&gt;'1-Input'!$B$26,T588,(T588-MAX(0,P561-IF($A589&gt;='1-Input'!$C$12,'1-Input'!$B$12,0))+Q589*(1-'P-Parametri'!$B$6*P589))*(1+'1-Input'!$B$27))</f>
        <v>52693.713097256354</v>
      </c>
      <c r="S589" s="18">
        <f>IF($A589&gt;'1-Input'!$B$26,U588,(U588-Q589)*(1+$C$4))</f>
        <v>74726.894108784545</v>
      </c>
      <c r="T589" s="18">
        <f>IF($A589&gt;'1-Input'!$B$26,R589,R589-'P-Parametri'!$B$8*(S589+R589)+MIN(MAX(S589,0),'P-Parametri'!$B$8*(S589+R589)))</f>
        <v>52693.713097256354</v>
      </c>
      <c r="U589" s="18">
        <f>IF($A589&gt;'1-Input'!$B$26,S589,S589-MIN(MAX(S589,0),'P-Parametri'!$B$8*(S589+R589)))</f>
        <v>74472.052894372464</v>
      </c>
      <c r="V589" s="18">
        <f>IF($A589&gt;'1-Input'!$B$26,V588,V588-Q589*(1-P589))</f>
        <v>28957.682277979082</v>
      </c>
      <c r="W589" s="11">
        <f>IF($A589&gt;'1-Input'!$B$26,0,IF(AB588&lt;=0,0,MAX(0,(AB588-AC588)/AB588)))</f>
        <v>0.60097530467951477</v>
      </c>
      <c r="X589" s="18">
        <f>IF($A589&gt;'1-Input'!$B$26,0,(MAX(0,W561-IF($A589&gt;='1-Input'!$C$12,'1-Input'!$B$12,0))-MIN(MAX(AA588,0),MAX(0,W561-IF($A589&gt;='1-Input'!$C$12,'1-Input'!$B$12,0))))*(1/(1-'P-Parametri'!$B$6*W589))+MIN(MAX(0,AB588-(MAX(0,W561-IF($A589&gt;='1-Input'!$C$12,'1-Input'!$B$12,0))-MIN(MAX(AA588,0),MAX(0,W561-IF($A589&gt;='1-Input'!$C$12,'1-Input'!$B$12,0))))*(1/(1-'P-Parametri'!$B$6*W589))),MAX(0,3*W561-(AA588-MIN(MAX(AA588,0),MAX(0,W561-IF($A589&gt;='1-Input'!$C$12,'1-Input'!$B$12,0)))))*(1/(1-'P-Parametri'!$B$6*W589))))</f>
        <v>7881.0920011145872</v>
      </c>
      <c r="Y589" s="18">
        <f>IF($A589&gt;'1-Input'!$B$26,AA588,(AA588-MAX(0,W561-IF($A589&gt;='1-Input'!$C$12,'1-Input'!$B$12,0))+X589*(1-'P-Parametri'!$B$6*W589))*(1+'1-Input'!$B$27))</f>
        <v>52496.252233084</v>
      </c>
      <c r="Z589" s="18">
        <f>IF($A589&gt;'1-Input'!$B$26,AB588,(AB588-X589)*(1+$C$4))</f>
        <v>78028.187695337852</v>
      </c>
      <c r="AA589" s="18">
        <f>IF($A589&gt;'1-Input'!$B$26,Y589,Y589-'P-Parametri'!$B$8*(Z589+Y589)+MIN(MAX(Z589,0),'P-Parametri'!$B$8*(Z589+Y589)))</f>
        <v>52496.252233084</v>
      </c>
      <c r="AB589" s="18">
        <f>IF($A589&gt;'1-Input'!$B$26,Z589,Z589-MIN(MAX(Z589,0),'P-Parametri'!$B$8*(Z589+Y589)))</f>
        <v>77767.138815481012</v>
      </c>
      <c r="AC589" s="18">
        <f>IF($A589&gt;'1-Input'!$B$26,AC588,AC588-X589*(1-W589))</f>
        <v>30228.324098584297</v>
      </c>
      <c r="AD589" s="11">
        <f>IF($A589&gt;'1-Input'!$B$26,0,IF(AI588&lt;=0,0,MAX(0,(AI588-AJ588)/AI588)))</f>
        <v>0.60098834035517512</v>
      </c>
      <c r="AE589" s="18">
        <f>IF($A589&gt;'1-Input'!$B$26,0,(MAX(0,AD561-IF($A589&gt;='1-Input'!$C$12,'1-Input'!$B$12,0))-MIN(MAX(AH588,0),MAX(0,AD561-IF($A589&gt;='1-Input'!$C$12,'1-Input'!$B$12,0))))*(1/(1-'P-Parametri'!$B$6*AD589))+MIN(MAX(0,AI588-(MAX(0,AD561-IF($A589&gt;='1-Input'!$C$12,'1-Input'!$B$12,0))-MIN(MAX(AH588,0),MAX(0,AD561-IF($A589&gt;='1-Input'!$C$12,'1-Input'!$B$12,0))))*(1/(1-'P-Parametri'!$B$6*AD589))),MAX(0,3*AD561-(AH588-MIN(MAX(AH588,0),MAX(0,AD561-IF($A589&gt;='1-Input'!$C$12,'1-Input'!$B$12,0)))))*(1/(1-'P-Parametri'!$B$6*AD589))))</f>
        <v>7871.8441517337515</v>
      </c>
      <c r="AF589" s="18">
        <f>IF($A589&gt;'1-Input'!$B$26,AH588,(AH588-MAX(0,AD561-IF($A589&gt;='1-Input'!$C$12,'1-Input'!$B$12,0))+AE589*(1-'P-Parametri'!$B$6*AD589))*(1+'1-Input'!$B$27))</f>
        <v>52473.098295428375</v>
      </c>
      <c r="AG589" s="18">
        <f>IF($A589&gt;'1-Input'!$B$26,AI588,(AI588-AE589)*(1+$C$4))</f>
        <v>78415.299244228314</v>
      </c>
      <c r="AH589" s="18">
        <f>IF($A589&gt;'1-Input'!$B$26,AF589,AF589-'P-Parametri'!$B$8*(AG589+AF589)+MIN(MAX(AG589,0),'P-Parametri'!$B$8*(AG589+AF589)))</f>
        <v>52473.098295428375</v>
      </c>
      <c r="AI589" s="18">
        <f>IF($A589&gt;'1-Input'!$B$26,AG589,AG589-MIN(MAX(AG589,0),'P-Parametri'!$B$8*(AG589+AF589)))</f>
        <v>78153.522449148993</v>
      </c>
      <c r="AJ589" s="18">
        <f>IF($A589&gt;'1-Input'!$B$26,AJ588,AJ588-AE589*(1-AD589))</f>
        <v>30377.299701927306</v>
      </c>
      <c r="AK589" s="11">
        <f>IF($A589&gt;'1-Input'!$B$26,0,IF(AP588&lt;=0,0,MAX(0,(AP588-AQ588)/AP588)))</f>
        <v>0.60098756912254614</v>
      </c>
      <c r="AL589" s="18">
        <f>IF($A589&gt;'1-Input'!$B$26,0,(MAX(0,AK561-IF($A589&gt;='1-Input'!$C$12,'1-Input'!$B$12,0))-MIN(MAX(AO588,0),MAX(0,AK561-IF($A589&gt;='1-Input'!$C$12,'1-Input'!$B$12,0))))*(1/(1-'P-Parametri'!$B$6*AK589))+MIN(MAX(0,AP588-(MAX(0,AK561-IF($A589&gt;='1-Input'!$C$12,'1-Input'!$B$12,0))-MIN(MAX(AO588,0),MAX(0,AK561-IF($A589&gt;='1-Input'!$C$12,'1-Input'!$B$12,0))))*(1/(1-'P-Parametri'!$B$6*AK589))),MAX(0,3*AK561-(AO588-MIN(MAX(AO588,0),MAX(0,AK561-IF($A589&gt;='1-Input'!$C$12,'1-Input'!$B$12,0)))))*(1/(1-'P-Parametri'!$B$6*AK589))))</f>
        <v>7872.3927366900816</v>
      </c>
      <c r="AM589" s="18">
        <f>IF($A589&gt;'1-Input'!$B$26,AO588,(AO588-MAX(0,AK561-IF($A589&gt;='1-Input'!$C$12,'1-Input'!$B$12,0))+AL589*(1-'P-Parametri'!$B$6*AK589))*(1+'1-Input'!$B$27))</f>
        <v>52474.471775783059</v>
      </c>
      <c r="AN589" s="18">
        <f>IF($A589&gt;'1-Input'!$B$26,AP588,(AP588-AL589)*(1+$C$4))</f>
        <v>78392.33593305196</v>
      </c>
      <c r="AO589" s="18">
        <f>IF($A589&gt;'1-Input'!$B$26,AM589,AM589-'P-Parametri'!$B$8*(AN589+AM589)+MIN(MAX(AN589,0),'P-Parametri'!$B$8*(AN589+AM589)))</f>
        <v>52474.471775783066</v>
      </c>
      <c r="AP589" s="18">
        <f>IF($A589&gt;'1-Input'!$B$26,AN589,AN589-MIN(MAX(AN589,0),'P-Parametri'!$B$8*(AN589+AM589)))</f>
        <v>78130.602317634286</v>
      </c>
      <c r="AQ589" s="18">
        <f>IF($A589&gt;'1-Input'!$B$26,AQ588,AQ588-AL589*(1-AK589))</f>
        <v>30368.462643503917</v>
      </c>
    </row>
    <row r="590" spans="1:43">
      <c r="A590" s="10">
        <f>27</f>
        <v>27</v>
      </c>
      <c r="B590" s="11">
        <f>IF($A590&gt;'1-Input'!$B$26,0,IF(G589&lt;=0,0,MAX(0,(G589-H589)/G589)))</f>
        <v>0.61261553243272204</v>
      </c>
      <c r="C590" s="18">
        <f>IF($A590&gt;'1-Input'!$B$26,0,(MAX(0,B561-IF($A590&gt;='1-Input'!$C$12,'1-Input'!$B$12,0))-MIN(MAX(F589,0),MAX(0,B561-IF($A590&gt;='1-Input'!$C$12,'1-Input'!$B$12,0))))*(1/(1-'P-Parametri'!$B$6*B590))+MIN(MAX(0,G589-(MAX(0,B561-IF($A590&gt;='1-Input'!$C$12,'1-Input'!$B$12,0))-MIN(MAX(F589,0),MAX(0,B561-IF($A590&gt;='1-Input'!$C$12,'1-Input'!$B$12,0))))*(1/(1-'P-Parametri'!$B$6*B590))),MAX(0,3*B561-(F589-MIN(MAX(F589,0),MAX(0,B561-IF($A590&gt;='1-Input'!$C$12,'1-Input'!$B$12,0)))))*(1/(1-'P-Parametri'!$B$6*B590))))</f>
        <v>6850.3318290265415</v>
      </c>
      <c r="D590" s="18">
        <f>IF($A590&gt;'1-Input'!$B$26,F589,(F589-MAX(0,B561-IF($A590&gt;='1-Input'!$C$12,'1-Input'!$B$12,0))+C590*(1-'P-Parametri'!$B$6*B590))*(1+'1-Input'!$B$27))</f>
        <v>49863.010546479447</v>
      </c>
      <c r="E590" s="18">
        <f>IF($A590&gt;'1-Input'!$B$26,G589,(G589-C590)*(1+$C$4))</f>
        <v>118313.33325539617</v>
      </c>
      <c r="F590" s="18">
        <f>IF($A590&gt;'1-Input'!$B$26,D590,D590-'P-Parametri'!$B$8*(E590+D590)+MIN(MAX(E590,0),'P-Parametri'!$B$8*(E590+D590)))</f>
        <v>49863.010546479447</v>
      </c>
      <c r="G590" s="18">
        <f>IF($A590&gt;'1-Input'!$B$26,E590,E590-MIN(MAX(E590,0),'P-Parametri'!$B$8*(E590+D590)))</f>
        <v>117976.98056779242</v>
      </c>
      <c r="H590" s="18">
        <f>IF($A590&gt;'1-Input'!$B$26,H589,H589-C590*(1-B590))</f>
        <v>44497.813212865593</v>
      </c>
      <c r="I590" s="11">
        <f>IF($A590&gt;'1-Input'!$B$26,0,IF(N589&lt;=0,0,MAX(0,(N589-O589)/N589)))</f>
        <v>0</v>
      </c>
      <c r="J590" s="18">
        <f>IF($A590&gt;'1-Input'!$B$26,0,(MAX(0,I561-IF($A590&gt;='1-Input'!$C$12,'1-Input'!$B$12,0))-MIN(MAX(M589,0),MAX(0,I561-IF($A590&gt;='1-Input'!$C$12,'1-Input'!$B$12,0))))*(1/(1-'P-Parametri'!$B$6*I590))+MIN(MAX(0,N589-(MAX(0,I561-IF($A590&gt;='1-Input'!$C$12,'1-Input'!$B$12,0))-MIN(MAX(M589,0),MAX(0,I561-IF($A590&gt;='1-Input'!$C$12,'1-Input'!$B$12,0))))*(1/(1-'P-Parametri'!$B$6*I590))),MAX(0,3*I561-(M589-MIN(MAX(M589,0),MAX(0,I561-IF($A590&gt;='1-Input'!$C$12,'1-Input'!$B$12,0)))))*(1/(1-'P-Parametri'!$B$6*I590))))</f>
        <v>10846.756992928691</v>
      </c>
      <c r="K590" s="18">
        <f>IF($A590&gt;'1-Input'!$B$26,M589,(M589-MAX(0,I561-IF($A590&gt;='1-Input'!$C$12,'1-Input'!$B$12,0))+J590*(1-'P-Parametri'!$B$6*I590))*(1+'1-Input'!$B$27))</f>
        <v>0</v>
      </c>
      <c r="L590" s="18">
        <f>IF($A590&gt;'1-Input'!$B$26,N589,(N589-J590)*(1+$C$4))</f>
        <v>-53742.790468657731</v>
      </c>
      <c r="M590" s="18">
        <f>IF($A590&gt;'1-Input'!$B$26,K590,K590-'P-Parametri'!$B$8*(L590+K590)+MIN(MAX(L590,0),'P-Parametri'!$B$8*(L590+K590)))</f>
        <v>0</v>
      </c>
      <c r="N590" s="18">
        <f>IF($A590&gt;'1-Input'!$B$26,L590,L590-MIN(MAX(L590,0),'P-Parametri'!$B$8*(L590+K590)))</f>
        <v>-53635.304887720413</v>
      </c>
      <c r="O590" s="18">
        <f>IF($A590&gt;'1-Input'!$B$26,O589,O589-J590*(1-I590))</f>
        <v>-49600.896934279641</v>
      </c>
      <c r="P590" s="11">
        <f>IF($A590&gt;'1-Input'!$B$26,0,IF(U589&lt;=0,0,MAX(0,(U589-V589)/U589)))</f>
        <v>0.61116041316799408</v>
      </c>
      <c r="Q590" s="18">
        <f>IF($A590&gt;'1-Input'!$B$26,0,(MAX(0,P561-IF($A590&gt;='1-Input'!$C$12,'1-Input'!$B$12,0))-MIN(MAX(T589,0),MAX(0,P561-IF($A590&gt;='1-Input'!$C$12,'1-Input'!$B$12,0))))*(1/(1-'P-Parametri'!$B$6*P590))+MIN(MAX(0,U589-(MAX(0,P561-IF($A590&gt;='1-Input'!$C$12,'1-Input'!$B$12,0))-MIN(MAX(T589,0),MAX(0,P561-IF($A590&gt;='1-Input'!$C$12,'1-Input'!$B$12,0))))*(1/(1-'P-Parametri'!$B$6*P590))),MAX(0,3*P561-(T589-MIN(MAX(T589,0),MAX(0,P561-IF($A590&gt;='1-Input'!$C$12,'1-Input'!$B$12,0)))))*(1/(1-'P-Parametri'!$B$6*P590))))</f>
        <v>7985.2910792258263</v>
      </c>
      <c r="R590" s="18">
        <f>IF($A590&gt;'1-Input'!$B$26,T589,(T589-MAX(0,P561-IF($A590&gt;='1-Input'!$C$12,'1-Input'!$B$12,0))+Q590*(1-'P-Parametri'!$B$6*P590))*(1+'1-Input'!$B$27))</f>
        <v>52693.713097256354</v>
      </c>
      <c r="S590" s="18">
        <f>IF($A590&gt;'1-Input'!$B$26,U589,(U589-Q590)*(1+$C$4))</f>
        <v>68481.364669601026</v>
      </c>
      <c r="T590" s="18">
        <f>IF($A590&gt;'1-Input'!$B$26,R590,R590-'P-Parametri'!$B$8*(S590+R590)+MIN(MAX(S590,0),'P-Parametri'!$B$8*(S590+R590)))</f>
        <v>52693.713097256354</v>
      </c>
      <c r="U590" s="18">
        <f>IF($A590&gt;'1-Input'!$B$26,S590,S590-MIN(MAX(S590,0),'P-Parametri'!$B$8*(S590+R590)))</f>
        <v>68239.014514067312</v>
      </c>
      <c r="V590" s="18">
        <f>IF($A590&gt;'1-Input'!$B$26,V589,V589-Q590*(1-P590))</f>
        <v>25852.68499399961</v>
      </c>
      <c r="W590" s="11">
        <f>IF($A590&gt;'1-Input'!$B$26,0,IF(AB589&lt;=0,0,MAX(0,(AB589-AC589)/AB589)))</f>
        <v>0.61129694934119416</v>
      </c>
      <c r="X590" s="18">
        <f>IF($A590&gt;'1-Input'!$B$26,0,(MAX(0,W561-IF($A590&gt;='1-Input'!$C$12,'1-Input'!$B$12,0))-MIN(MAX(AA589,0),MAX(0,W561-IF($A590&gt;='1-Input'!$C$12,'1-Input'!$B$12,0))))*(1/(1-'P-Parametri'!$B$6*W590))+MIN(MAX(0,AB589-(MAX(0,W561-IF($A590&gt;='1-Input'!$C$12,'1-Input'!$B$12,0))-MIN(MAX(AA589,0),MAX(0,W561-IF($A590&gt;='1-Input'!$C$12,'1-Input'!$B$12,0))))*(1/(1-'P-Parametri'!$B$6*W590))),MAX(0,3*W561-(AA589-MIN(MAX(AA589,0),MAX(0,W561-IF($A590&gt;='1-Input'!$C$12,'1-Input'!$B$12,0)))))*(1/(1-'P-Parametri'!$B$6*W590))))</f>
        <v>7906.2386563689997</v>
      </c>
      <c r="Y590" s="18">
        <f>IF($A590&gt;'1-Input'!$B$26,AA589,(AA589-MAX(0,W561-IF($A590&gt;='1-Input'!$C$12,'1-Input'!$B$12,0))+X590*(1-'P-Parametri'!$B$6*W590))*(1+'1-Input'!$B$27))</f>
        <v>52496.252233084</v>
      </c>
      <c r="Z590" s="18">
        <f>IF($A590&gt;'1-Input'!$B$26,AB589,(AB589-X590)*(1+$C$4))</f>
        <v>71956.727163885385</v>
      </c>
      <c r="AA590" s="18">
        <f>IF($A590&gt;'1-Input'!$B$26,Y590,Y590-'P-Parametri'!$B$8*(Z590+Y590)+MIN(MAX(Z590,0),'P-Parametri'!$B$8*(Z590+Y590)))</f>
        <v>52496.252233084</v>
      </c>
      <c r="AB590" s="18">
        <f>IF($A590&gt;'1-Input'!$B$26,Z590,Z590-MIN(MAX(Z590,0),'P-Parametri'!$B$8*(Z590+Y590)))</f>
        <v>71707.821205091444</v>
      </c>
      <c r="AC590" s="18">
        <f>IF($A590&gt;'1-Input'!$B$26,AC589,AC589-X590*(1-W590))</f>
        <v>27155.14501361709</v>
      </c>
      <c r="AD590" s="11">
        <f>IF($A590&gt;'1-Input'!$B$26,0,IF(AI589&lt;=0,0,MAX(0,(AI589-AJ589)/AI589)))</f>
        <v>0.61131246871575806</v>
      </c>
      <c r="AE590" s="18">
        <f>IF($A590&gt;'1-Input'!$B$26,0,(MAX(0,AD561-IF($A590&gt;='1-Input'!$C$12,'1-Input'!$B$12,0))-MIN(MAX(AH589,0),MAX(0,AD561-IF($A590&gt;='1-Input'!$C$12,'1-Input'!$B$12,0))))*(1/(1-'P-Parametri'!$B$6*AD590))+MIN(MAX(0,AI589-(MAX(0,AD561-IF($A590&gt;='1-Input'!$C$12,'1-Input'!$B$12,0))-MIN(MAX(AH589,0),MAX(0,AD561-IF($A590&gt;='1-Input'!$C$12,'1-Input'!$B$12,0))))*(1/(1-'P-Parametri'!$B$6*AD590))),MAX(0,3*AD561-(AH589-MIN(MAX(AH589,0),MAX(0,AD561-IF($A590&gt;='1-Input'!$C$12,'1-Input'!$B$12,0)))))*(1/(1-'P-Parametri'!$B$6*AD590))))</f>
        <v>7896.9674638144725</v>
      </c>
      <c r="AF590" s="18">
        <f>IF($A590&gt;'1-Input'!$B$26,AH589,(AH589-MAX(0,AD561-IF($A590&gt;='1-Input'!$C$12,'1-Input'!$B$12,0))+AE590*(1-'P-Parametri'!$B$6*AD590))*(1+'1-Input'!$B$27))</f>
        <v>52473.098295428375</v>
      </c>
      <c r="AG590" s="18">
        <f>IF($A590&gt;'1-Input'!$B$26,AI589,(AI589-AE590)*(1+$C$4))</f>
        <v>72364.25163489455</v>
      </c>
      <c r="AH590" s="18">
        <f>IF($A590&gt;'1-Input'!$B$26,AF590,AF590-'P-Parametri'!$B$8*(AG590+AF590)+MIN(MAX(AG590,0),'P-Parametri'!$B$8*(AG590+AF590)))</f>
        <v>52473.098295428375</v>
      </c>
      <c r="AI590" s="18">
        <f>IF($A590&gt;'1-Input'!$B$26,AG590,AG590-MIN(MAX(AG590,0),'P-Parametri'!$B$8*(AG590+AF590)))</f>
        <v>72114.576935033911</v>
      </c>
      <c r="AJ590" s="18">
        <f>IF($A590&gt;'1-Input'!$B$26,AJ589,AJ589-AE590*(1-AD590))</f>
        <v>27307.846913785277</v>
      </c>
      <c r="AK590" s="11">
        <f>IF($A590&gt;'1-Input'!$B$26,0,IF(AP589&lt;=0,0,MAX(0,(AP589-AQ589)/AP589)))</f>
        <v>0.61131155088190492</v>
      </c>
      <c r="AL590" s="18">
        <f>IF($A590&gt;'1-Input'!$B$26,0,(MAX(0,AK561-IF($A590&gt;='1-Input'!$C$12,'1-Input'!$B$12,0))-MIN(MAX(AO589,0),MAX(0,AK561-IF($A590&gt;='1-Input'!$C$12,'1-Input'!$B$12,0))))*(1/(1-'P-Parametri'!$B$6*AK590))+MIN(MAX(0,AP589-(MAX(0,AK561-IF($A590&gt;='1-Input'!$C$12,'1-Input'!$B$12,0))-MIN(MAX(AO589,0),MAX(0,AK561-IF($A590&gt;='1-Input'!$C$12,'1-Input'!$B$12,0))))*(1/(1-'P-Parametri'!$B$6*AK590))),MAX(0,3*AK561-(AO589-MIN(MAX(AO589,0),MAX(0,AK561-IF($A590&gt;='1-Input'!$C$12,'1-Input'!$B$12,0)))))*(1/(1-'P-Parametri'!$B$6*AK590))))</f>
        <v>7897.5174357008764</v>
      </c>
      <c r="AM590" s="18">
        <f>IF($A590&gt;'1-Input'!$B$26,AO589,(AO589-MAX(0,AK561-IF($A590&gt;='1-Input'!$C$12,'1-Input'!$B$12,0))+AL590*(1-'P-Parametri'!$B$6*AK590))*(1+'1-Input'!$B$27))</f>
        <v>52474.471775783059</v>
      </c>
      <c r="AN590" s="18">
        <f>IF($A590&gt;'1-Input'!$B$26,AP589,(AP589-AL590)*(1+$C$4))</f>
        <v>72340.077428391407</v>
      </c>
      <c r="AO590" s="18">
        <f>IF($A590&gt;'1-Input'!$B$26,AM590,AM590-'P-Parametri'!$B$8*(AN590+AM590)+MIN(MAX(AN590,0),'P-Parametri'!$B$8*(AN590+AM590)))</f>
        <v>52474.471775783059</v>
      </c>
      <c r="AP590" s="18">
        <f>IF($A590&gt;'1-Input'!$B$26,AN590,AN590-MIN(MAX(AN590,0),'P-Parametri'!$B$8*(AN590+AM590)))</f>
        <v>72090.448329983061</v>
      </c>
      <c r="AQ590" s="18">
        <f>IF($A590&gt;'1-Input'!$B$26,AQ589,AQ589-AL590*(1-AK590))</f>
        <v>27298.788839538229</v>
      </c>
    </row>
    <row r="591" spans="1:43">
      <c r="A591" s="10">
        <f>28</f>
        <v>28</v>
      </c>
      <c r="B591" s="11">
        <f>IF($A591&gt;'1-Input'!$B$26,0,IF(G590&lt;=0,0,MAX(0,(G590-H590)/G590)))</f>
        <v>0.62282630900783154</v>
      </c>
      <c r="C591" s="18">
        <f>IF($A591&gt;'1-Input'!$B$26,0,(MAX(0,B561-IF($A591&gt;='1-Input'!$C$12,'1-Input'!$B$12,0))-MIN(MAX(F590,0),MAX(0,B561-IF($A591&gt;='1-Input'!$C$12,'1-Input'!$B$12,0))))*(1/(1-'P-Parametri'!$B$6*B591))+MIN(MAX(0,G590-(MAX(0,B561-IF($A591&gt;='1-Input'!$C$12,'1-Input'!$B$12,0))-MIN(MAX(F590,0),MAX(0,B561-IF($A591&gt;='1-Input'!$C$12,'1-Input'!$B$12,0))))*(1/(1-'P-Parametri'!$B$6*B591))),MAX(0,3*B561-(F590-MIN(MAX(F590,0),MAX(0,B561-IF($A591&gt;='1-Input'!$C$12,'1-Input'!$B$12,0)))))*(1/(1-'P-Parametri'!$B$6*B591))))</f>
        <v>6872.0321393318</v>
      </c>
      <c r="D591" s="18">
        <f>IF($A591&gt;'1-Input'!$B$26,F590,(F590-MAX(0,B561-IF($A591&gt;='1-Input'!$C$12,'1-Input'!$B$12,0))+C591*(1-'P-Parametri'!$B$6*B591))*(1+'1-Input'!$B$27))</f>
        <v>49863.010546479447</v>
      </c>
      <c r="E591" s="18">
        <f>IF($A591&gt;'1-Input'!$B$26,G590,(G590-C591)*(1+$C$4))</f>
        <v>114438.09688131444</v>
      </c>
      <c r="F591" s="18">
        <f>IF($A591&gt;'1-Input'!$B$26,D591,D591-'P-Parametri'!$B$8*(E591+D591)+MIN(MAX(E591,0),'P-Parametri'!$B$8*(E591+D591)))</f>
        <v>49863.010546479447</v>
      </c>
      <c r="G591" s="18">
        <f>IF($A591&gt;'1-Input'!$B$26,E591,E591-MIN(MAX(E591,0),'P-Parametri'!$B$8*(E591+D591)))</f>
        <v>114109.49466645885</v>
      </c>
      <c r="H591" s="18">
        <f>IF($A591&gt;'1-Input'!$B$26,H590,H590-C591*(1-B591))</f>
        <v>41905.863486257011</v>
      </c>
      <c r="I591" s="11">
        <f>IF($A591&gt;'1-Input'!$B$26,0,IF(N590&lt;=0,0,MAX(0,(N590-O590)/N590)))</f>
        <v>0</v>
      </c>
      <c r="J591" s="18">
        <f>IF($A591&gt;'1-Input'!$B$26,0,(MAX(0,I561-IF($A591&gt;='1-Input'!$C$12,'1-Input'!$B$12,0))-MIN(MAX(M590,0),MAX(0,I561-IF($A591&gt;='1-Input'!$C$12,'1-Input'!$B$12,0))))*(1/(1-'P-Parametri'!$B$6*I591))+MIN(MAX(0,N590-(MAX(0,I561-IF($A591&gt;='1-Input'!$C$12,'1-Input'!$B$12,0))-MIN(MAX(M590,0),MAX(0,I561-IF($A591&gt;='1-Input'!$C$12,'1-Input'!$B$12,0))))*(1/(1-'P-Parametri'!$B$6*I591))),MAX(0,3*I561-(M590-MIN(MAX(M590,0),MAX(0,I561-IF($A591&gt;='1-Input'!$C$12,'1-Input'!$B$12,0)))))*(1/(1-'P-Parametri'!$B$6*I591))))</f>
        <v>10846.756992928691</v>
      </c>
      <c r="K591" s="18">
        <f>IF($A591&gt;'1-Input'!$B$26,M590,(M590-MAX(0,I561-IF($A591&gt;='1-Input'!$C$12,'1-Input'!$B$12,0))+J591*(1-'P-Parametri'!$B$6*I591))*(1+'1-Input'!$B$27))</f>
        <v>0</v>
      </c>
      <c r="L591" s="18">
        <f>IF($A591&gt;'1-Input'!$B$26,N590,(N590-J591)*(1+$C$4))</f>
        <v>-66416.523737068579</v>
      </c>
      <c r="M591" s="18">
        <f>IF($A591&gt;'1-Input'!$B$26,K591,K591-'P-Parametri'!$B$8*(L591+K591)+MIN(MAX(L591,0),'P-Parametri'!$B$8*(L591+K591)))</f>
        <v>0</v>
      </c>
      <c r="N591" s="18">
        <f>IF($A591&gt;'1-Input'!$B$26,L591,L591-MIN(MAX(L591,0),'P-Parametri'!$B$8*(L591+K591)))</f>
        <v>-66283.690689594441</v>
      </c>
      <c r="O591" s="18">
        <f>IF($A591&gt;'1-Input'!$B$26,O590,O590-J591*(1-I591))</f>
        <v>-60447.653927208332</v>
      </c>
      <c r="P591" s="11">
        <f>IF($A591&gt;'1-Input'!$B$26,0,IF(U590&lt;=0,0,MAX(0,(U590-V590)/U590)))</f>
        <v>0.62114510037846249</v>
      </c>
      <c r="Q591" s="18">
        <f>IF($A591&gt;'1-Input'!$B$26,0,(MAX(0,P561-IF($A591&gt;='1-Input'!$C$12,'1-Input'!$B$12,0))-MIN(MAX(T590,0),MAX(0,P561-IF($A591&gt;='1-Input'!$C$12,'1-Input'!$B$12,0))))*(1/(1-'P-Parametri'!$B$6*P591))+MIN(MAX(0,U590-(MAX(0,P561-IF($A591&gt;='1-Input'!$C$12,'1-Input'!$B$12,0))-MIN(MAX(T590,0),MAX(0,P561-IF($A591&gt;='1-Input'!$C$12,'1-Input'!$B$12,0))))*(1/(1-'P-Parametri'!$B$6*P591))),MAX(0,3*P561-(T590-MIN(MAX(T590,0),MAX(0,P561-IF($A591&gt;='1-Input'!$C$12,'1-Input'!$B$12,0)))))*(1/(1-'P-Parametri'!$B$6*P591))))</f>
        <v>8010.013689300933</v>
      </c>
      <c r="R591" s="18">
        <f>IF($A591&gt;'1-Input'!$B$26,T590,(T590-MAX(0,P561-IF($A591&gt;='1-Input'!$C$12,'1-Input'!$B$12,0))+Q591*(1-'P-Parametri'!$B$6*P591))*(1+'1-Input'!$B$27))</f>
        <v>52693.713097256354</v>
      </c>
      <c r="S591" s="18">
        <f>IF($A591&gt;'1-Input'!$B$26,U590,(U590-Q591)*(1+$C$4))</f>
        <v>62035.870849509374</v>
      </c>
      <c r="T591" s="18">
        <f>IF($A591&gt;'1-Input'!$B$26,R591,R591-'P-Parametri'!$B$8*(S591+R591)+MIN(MAX(S591,0),'P-Parametri'!$B$8*(S591+R591)))</f>
        <v>52693.713097256354</v>
      </c>
      <c r="U591" s="18">
        <f>IF($A591&gt;'1-Input'!$B$26,S591,S591-MIN(MAX(S591,0),'P-Parametri'!$B$8*(S591+R591)))</f>
        <v>61806.411681615842</v>
      </c>
      <c r="V591" s="18">
        <f>IF($A591&gt;'1-Input'!$B$26,V590,V590-Q591*(1-P591))</f>
        <v>22818.052061772363</v>
      </c>
      <c r="W591" s="11">
        <f>IF($A591&gt;'1-Input'!$B$26,0,IF(AB590&lt;=0,0,MAX(0,(AB590-AC590)/AB590)))</f>
        <v>0.62130846318770871</v>
      </c>
      <c r="X591" s="18">
        <f>IF($A591&gt;'1-Input'!$B$26,0,(MAX(0,W561-IF($A591&gt;='1-Input'!$C$12,'1-Input'!$B$12,0))-MIN(MAX(AA590,0),MAX(0,W561-IF($A591&gt;='1-Input'!$C$12,'1-Input'!$B$12,0))))*(1/(1-'P-Parametri'!$B$6*W591))+MIN(MAX(0,AB590-(MAX(0,W561-IF($A591&gt;='1-Input'!$C$12,'1-Input'!$B$12,0))-MIN(MAX(AA590,0),MAX(0,W561-IF($A591&gt;='1-Input'!$C$12,'1-Input'!$B$12,0))))*(1/(1-'P-Parametri'!$B$6*W591))),MAX(0,3*W561-(AA590-MIN(MAX(AA590,0),MAX(0,W561-IF($A591&gt;='1-Input'!$C$12,'1-Input'!$B$12,0)))))*(1/(1-'P-Parametri'!$B$6*W591))))</f>
        <v>7930.7835285666488</v>
      </c>
      <c r="Y591" s="18">
        <f>IF($A591&gt;'1-Input'!$B$26,AA590,(AA590-MAX(0,W561-IF($A591&gt;='1-Input'!$C$12,'1-Input'!$B$12,0))+X591*(1-'P-Parametri'!$B$6*W591))*(1+'1-Input'!$B$27))</f>
        <v>52496.252233084</v>
      </c>
      <c r="Z591" s="18">
        <f>IF($A591&gt;'1-Input'!$B$26,AB590,(AB590-X591)*(1+$C$4))</f>
        <v>65690.348806820533</v>
      </c>
      <c r="AA591" s="18">
        <f>IF($A591&gt;'1-Input'!$B$26,Y591,Y591-'P-Parametri'!$B$8*(Z591+Y591)+MIN(MAX(Z591,0),'P-Parametri'!$B$8*(Z591+Y591)))</f>
        <v>52496.252233084</v>
      </c>
      <c r="AB591" s="18">
        <f>IF($A591&gt;'1-Input'!$B$26,Z591,Z591-MIN(MAX(Z591,0),'P-Parametri'!$B$8*(Z591+Y591)))</f>
        <v>65453.975604740721</v>
      </c>
      <c r="AC591" s="18">
        <f>IF($A591&gt;'1-Input'!$B$26,AC590,AC590-X591*(1-W591))</f>
        <v>24151.82441105858</v>
      </c>
      <c r="AD591" s="11">
        <f>IF($A591&gt;'1-Input'!$B$26,0,IF(AI590&lt;=0,0,MAX(0,(AI590-AJ590)/AI590)))</f>
        <v>0.62132694838678471</v>
      </c>
      <c r="AE591" s="18">
        <f>IF($A591&gt;'1-Input'!$B$26,0,(MAX(0,AD561-IF($A591&gt;='1-Input'!$C$12,'1-Input'!$B$12,0))-MIN(MAX(AH590,0),MAX(0,AD561-IF($A591&gt;='1-Input'!$C$12,'1-Input'!$B$12,0))))*(1/(1-'P-Parametri'!$B$6*AD591))+MIN(MAX(0,AI590-(MAX(0,AD561-IF($A591&gt;='1-Input'!$C$12,'1-Input'!$B$12,0))-MIN(MAX(AH590,0),MAX(0,AD561-IF($A591&gt;='1-Input'!$C$12,'1-Input'!$B$12,0))))*(1/(1-'P-Parametri'!$B$6*AD591))),MAX(0,3*AD561-(AH590-MIN(MAX(AH590,0),MAX(0,AD561-IF($A591&gt;='1-Input'!$C$12,'1-Input'!$B$12,0)))))*(1/(1-'P-Parametri'!$B$6*AD591))))</f>
        <v>7921.4909568999101</v>
      </c>
      <c r="AF591" s="18">
        <f>IF($A591&gt;'1-Input'!$B$26,AH590,(AH590-MAX(0,AD561-IF($A591&gt;='1-Input'!$C$12,'1-Input'!$B$12,0))+AE591*(1-'P-Parametri'!$B$6*AD591))*(1+'1-Input'!$B$27))</f>
        <v>52473.098295428375</v>
      </c>
      <c r="AG591" s="18">
        <f>IF($A591&gt;'1-Input'!$B$26,AI590,(AI590-AE591)*(1+$C$4))</f>
        <v>66118.87855747802</v>
      </c>
      <c r="AH591" s="18">
        <f>IF($A591&gt;'1-Input'!$B$26,AF591,AF591-'P-Parametri'!$B$8*(AG591+AF591)+MIN(MAX(AG591,0),'P-Parametri'!$B$8*(AG591+AF591)))</f>
        <v>52473.098295428375</v>
      </c>
      <c r="AI591" s="18">
        <f>IF($A591&gt;'1-Input'!$B$26,AG591,AG591-MIN(MAX(AG591,0),'P-Parametri'!$B$8*(AG591+AF591)))</f>
        <v>65881.694603772208</v>
      </c>
      <c r="AJ591" s="18">
        <f>IF($A591&gt;'1-Input'!$B$26,AJ590,AJ590-AE591*(1-AD591))</f>
        <v>24308.191759809499</v>
      </c>
      <c r="AK591" s="11">
        <f>IF($A591&gt;'1-Input'!$B$26,0,IF(AP590&lt;=0,0,MAX(0,(AP590-AQ590)/AP590)))</f>
        <v>0.62132585561706899</v>
      </c>
      <c r="AL591" s="18">
        <f>IF($A591&gt;'1-Input'!$B$26,0,(MAX(0,AK561-IF($A591&gt;='1-Input'!$C$12,'1-Input'!$B$12,0))-MIN(MAX(AO590,0),MAX(0,AK561-IF($A591&gt;='1-Input'!$C$12,'1-Input'!$B$12,0))))*(1/(1-'P-Parametri'!$B$6*AK591))+MIN(MAX(0,AP590-(MAX(0,AK561-IF($A591&gt;='1-Input'!$C$12,'1-Input'!$B$12,0))-MIN(MAX(AO590,0),MAX(0,AK561-IF($A591&gt;='1-Input'!$C$12,'1-Input'!$B$12,0))))*(1/(1-'P-Parametri'!$B$6*AK591))),MAX(0,3*AK561-(AO590-MIN(MAX(AO590,0),MAX(0,AK561-IF($A591&gt;='1-Input'!$C$12,'1-Input'!$B$12,0)))))*(1/(1-'P-Parametri'!$B$6*AK591))))</f>
        <v>7922.0421999625551</v>
      </c>
      <c r="AM591" s="18">
        <f>IF($A591&gt;'1-Input'!$B$26,AO590,(AO590-MAX(0,AK561-IF($A591&gt;='1-Input'!$C$12,'1-Input'!$B$12,0))+AL591*(1-'P-Parametri'!$B$6*AK591))*(1+'1-Input'!$B$27))</f>
        <v>52474.471775783059</v>
      </c>
      <c r="AN591" s="18">
        <f>IF($A591&gt;'1-Input'!$B$26,AP590,(AP590-AL591)*(1+$C$4))</f>
        <v>66093.458313921117</v>
      </c>
      <c r="AO591" s="18">
        <f>IF($A591&gt;'1-Input'!$B$26,AM591,AM591-'P-Parametri'!$B$8*(AN591+AM591)+MIN(MAX(AN591,0),'P-Parametri'!$B$8*(AN591+AM591)))</f>
        <v>52474.471775783059</v>
      </c>
      <c r="AP591" s="18">
        <f>IF($A591&gt;'1-Input'!$B$26,AN591,AN591-MIN(MAX(AN591,0),'P-Parametri'!$B$8*(AN591+AM591)))</f>
        <v>65856.322453741712</v>
      </c>
      <c r="AQ591" s="18">
        <f>IF($A591&gt;'1-Input'!$B$26,AQ590,AQ590-AL591*(1-AK591))</f>
        <v>24298.916287701937</v>
      </c>
    </row>
    <row r="592" spans="1:43">
      <c r="A592" s="10">
        <f>29</f>
        <v>29</v>
      </c>
      <c r="B592" s="11">
        <f>IF($A592&gt;'1-Input'!$B$26,0,IF(G591&lt;=0,0,MAX(0,(G591-H591)/G591)))</f>
        <v>0.63275743522703765</v>
      </c>
      <c r="C592" s="18">
        <f>IF($A592&gt;'1-Input'!$B$26,0,(MAX(0,B561-IF($A592&gt;='1-Input'!$C$12,'1-Input'!$B$12,0))-MIN(MAX(F591,0),MAX(0,B561-IF($A592&gt;='1-Input'!$C$12,'1-Input'!$B$12,0))))*(1/(1-'P-Parametri'!$B$6*B592))+MIN(MAX(0,G591-(MAX(0,B561-IF($A592&gt;='1-Input'!$C$12,'1-Input'!$B$12,0))-MIN(MAX(F591,0),MAX(0,B561-IF($A592&gt;='1-Input'!$C$12,'1-Input'!$B$12,0))))*(1/(1-'P-Parametri'!$B$6*B592))),MAX(0,3*B561-(F591-MIN(MAX(F591,0),MAX(0,B561-IF($A592&gt;='1-Input'!$C$12,'1-Input'!$B$12,0)))))*(1/(1-'P-Parametri'!$B$6*B592))))</f>
        <v>6893.2704211466662</v>
      </c>
      <c r="D592" s="18">
        <f>IF($A592&gt;'1-Input'!$B$26,F591,(F591-MAX(0,B561-IF($A592&gt;='1-Input'!$C$12,'1-Input'!$B$12,0))+C592*(1-'P-Parametri'!$B$6*B592))*(1+'1-Input'!$B$27))</f>
        <v>49863.010546479447</v>
      </c>
      <c r="E592" s="18">
        <f>IF($A592&gt;'1-Input'!$B$26,G591,(G591-C592)*(1+$C$4))</f>
        <v>110432.71097267156</v>
      </c>
      <c r="F592" s="18">
        <f>IF($A592&gt;'1-Input'!$B$26,D592,D592-'P-Parametri'!$B$8*(E592+D592)+MIN(MAX(E592,0),'P-Parametri'!$B$8*(E592+D592)))</f>
        <v>49863.010546479447</v>
      </c>
      <c r="G592" s="18">
        <f>IF($A592&gt;'1-Input'!$B$26,E592,E592-MIN(MAX(E592,0),'P-Parametri'!$B$8*(E592+D592)))</f>
        <v>110112.11952963326</v>
      </c>
      <c r="H592" s="18">
        <f>IF($A592&gt;'1-Input'!$B$26,H591,H591-C592*(1-B592))</f>
        <v>39374.361177121507</v>
      </c>
      <c r="I592" s="11">
        <f>IF($A592&gt;'1-Input'!$B$26,0,IF(N591&lt;=0,0,MAX(0,(N591-O591)/N591)))</f>
        <v>0</v>
      </c>
      <c r="J592" s="18">
        <f>IF($A592&gt;'1-Input'!$B$26,0,(MAX(0,I561-IF($A592&gt;='1-Input'!$C$12,'1-Input'!$B$12,0))-MIN(MAX(M591,0),MAX(0,I561-IF($A592&gt;='1-Input'!$C$12,'1-Input'!$B$12,0))))*(1/(1-'P-Parametri'!$B$6*I592))+MIN(MAX(0,N591-(MAX(0,I561-IF($A592&gt;='1-Input'!$C$12,'1-Input'!$B$12,0))-MIN(MAX(M591,0),MAX(0,I561-IF($A592&gt;='1-Input'!$C$12,'1-Input'!$B$12,0))))*(1/(1-'P-Parametri'!$B$6*I592))),MAX(0,3*I561-(M591-MIN(MAX(M591,0),MAX(0,I561-IF($A592&gt;='1-Input'!$C$12,'1-Input'!$B$12,0)))))*(1/(1-'P-Parametri'!$B$6*I592))))</f>
        <v>10846.756992928691</v>
      </c>
      <c r="K592" s="18">
        <f>IF($A592&gt;'1-Input'!$B$26,M591,(M591-MAX(0,I561-IF($A592&gt;='1-Input'!$C$12,'1-Input'!$B$12,0))+J592*(1-'P-Parametri'!$B$6*I592))*(1+'1-Input'!$B$27))</f>
        <v>0</v>
      </c>
      <c r="L592" s="18">
        <f>IF($A592&gt;'1-Input'!$B$26,N591,(N591-J592)*(1+$C$4))</f>
        <v>-79444.361112998842</v>
      </c>
      <c r="M592" s="18">
        <f>IF($A592&gt;'1-Input'!$B$26,K592,K592-'P-Parametri'!$B$8*(L592+K592)+MIN(MAX(L592,0),'P-Parametri'!$B$8*(L592+K592)))</f>
        <v>0</v>
      </c>
      <c r="N592" s="18">
        <f>IF($A592&gt;'1-Input'!$B$26,L592,L592-MIN(MAX(L592,0),'P-Parametri'!$B$8*(L592+K592)))</f>
        <v>-79285.472390772848</v>
      </c>
      <c r="O592" s="18">
        <f>IF($A592&gt;'1-Input'!$B$26,O591,O591-J592*(1-I592))</f>
        <v>-71294.410920137016</v>
      </c>
      <c r="P592" s="11">
        <f>IF($A592&gt;'1-Input'!$B$26,0,IF(U591&lt;=0,0,MAX(0,(U591-V591)/U591)))</f>
        <v>0.63081415922808648</v>
      </c>
      <c r="Q592" s="18">
        <f>IF($A592&gt;'1-Input'!$B$26,0,(MAX(0,P561-IF($A592&gt;='1-Input'!$C$12,'1-Input'!$B$12,0))-MIN(MAX(T591,0),MAX(0,P561-IF($A592&gt;='1-Input'!$C$12,'1-Input'!$B$12,0))))*(1/(1-'P-Parametri'!$B$6*P592))+MIN(MAX(0,U591-(MAX(0,P561-IF($A592&gt;='1-Input'!$C$12,'1-Input'!$B$12,0))-MIN(MAX(T591,0),MAX(0,P561-IF($A592&gt;='1-Input'!$C$12,'1-Input'!$B$12,0))))*(1/(1-'P-Parametri'!$B$6*P592))),MAX(0,3*P561-(T591-MIN(MAX(T591,0),MAX(0,P561-IF($A592&gt;='1-Input'!$C$12,'1-Input'!$B$12,0)))))*(1/(1-'P-Parametri'!$B$6*P592))))</f>
        <v>8034.1011268003267</v>
      </c>
      <c r="R592" s="18">
        <f>IF($A592&gt;'1-Input'!$B$26,T591,(T591-MAX(0,P561-IF($A592&gt;='1-Input'!$C$12,'1-Input'!$B$12,0))+Q592*(1-'P-Parametri'!$B$6*P592))*(1+'1-Input'!$B$27))</f>
        <v>52693.713097256354</v>
      </c>
      <c r="S592" s="18">
        <f>IF($A592&gt;'1-Input'!$B$26,U591,(U591-Q592)*(1+$C$4))</f>
        <v>55385.479871459982</v>
      </c>
      <c r="T592" s="18">
        <f>IF($A592&gt;'1-Input'!$B$26,R592,R592-'P-Parametri'!$B$8*(S592+R592)+MIN(MAX(S592,0),'P-Parametri'!$B$8*(S592+R592)))</f>
        <v>52693.713097256354</v>
      </c>
      <c r="U592" s="18">
        <f>IF($A592&gt;'1-Input'!$B$26,S592,S592-MIN(MAX(S592,0),'P-Parametri'!$B$8*(S592+R592)))</f>
        <v>55169.321485522552</v>
      </c>
      <c r="V592" s="18">
        <f>IF($A592&gt;'1-Input'!$B$26,V591,V591-Q592*(1-P592))</f>
        <v>19851.975682428005</v>
      </c>
      <c r="W592" s="11">
        <f>IF($A592&gt;'1-Input'!$B$26,0,IF(AB591&lt;=0,0,MAX(0,(AB591-AC591)/AB591)))</f>
        <v>0.63101058128378529</v>
      </c>
      <c r="X592" s="18">
        <f>IF($A592&gt;'1-Input'!$B$26,0,(MAX(0,W561-IF($A592&gt;='1-Input'!$C$12,'1-Input'!$B$12,0))-MIN(MAX(AA591,0),MAX(0,W561-IF($A592&gt;='1-Input'!$C$12,'1-Input'!$B$12,0))))*(1/(1-'P-Parametri'!$B$6*W592))+MIN(MAX(0,AB591-(MAX(0,W561-IF($A592&gt;='1-Input'!$C$12,'1-Input'!$B$12,0))-MIN(MAX(AA591,0),MAX(0,W561-IF($A592&gt;='1-Input'!$C$12,'1-Input'!$B$12,0))))*(1/(1-'P-Parametri'!$B$6*W592))),MAX(0,3*W561-(AA591-MIN(MAX(AA591,0),MAX(0,W561-IF($A592&gt;='1-Input'!$C$12,'1-Input'!$B$12,0)))))*(1/(1-'P-Parametri'!$B$6*W592))))</f>
        <v>7954.7157120028623</v>
      </c>
      <c r="Y592" s="18">
        <f>IF($A592&gt;'1-Input'!$B$26,AA591,(AA591-MAX(0,W561-IF($A592&gt;='1-Input'!$C$12,'1-Input'!$B$12,0))+X592*(1-'P-Parametri'!$B$6*W592))*(1+'1-Input'!$B$27))</f>
        <v>52496.252233084</v>
      </c>
      <c r="Z592" s="18">
        <f>IF($A592&gt;'1-Input'!$B$26,AB591,(AB591-X592)*(1+$C$4))</f>
        <v>59224.237689519992</v>
      </c>
      <c r="AA592" s="18">
        <f>IF($A592&gt;'1-Input'!$B$26,Y592,Y592-'P-Parametri'!$B$8*(Z592+Y592)+MIN(MAX(Z592,0),'P-Parametri'!$B$8*(Z592+Y592)))</f>
        <v>52496.252233084</v>
      </c>
      <c r="AB592" s="18">
        <f>IF($A592&gt;'1-Input'!$B$26,Z592,Z592-MIN(MAX(Z592,0),'P-Parametri'!$B$8*(Z592+Y592)))</f>
        <v>59000.796709674782</v>
      </c>
      <c r="AC592" s="18">
        <f>IF($A592&gt;'1-Input'!$B$26,AC591,AC591-X592*(1-W592))</f>
        <v>21216.618484433904</v>
      </c>
      <c r="AD592" s="11">
        <f>IF($A592&gt;'1-Input'!$B$26,0,IF(AI591&lt;=0,0,MAX(0,(AI591-AJ591)/AI591)))</f>
        <v>0.63103268812369495</v>
      </c>
      <c r="AE592" s="18">
        <f>IF($A592&gt;'1-Input'!$B$26,0,(MAX(0,AD561-IF($A592&gt;='1-Input'!$C$12,'1-Input'!$B$12,0))-MIN(MAX(AH591,0),MAX(0,AD561-IF($A592&gt;='1-Input'!$C$12,'1-Input'!$B$12,0))))*(1/(1-'P-Parametri'!$B$6*AD592))+MIN(MAX(0,AI591-(MAX(0,AD561-IF($A592&gt;='1-Input'!$C$12,'1-Input'!$B$12,0))-MIN(MAX(AH591,0),MAX(0,AD561-IF($A592&gt;='1-Input'!$C$12,'1-Input'!$B$12,0))))*(1/(1-'P-Parametri'!$B$6*AD592))),MAX(0,3*AD561-(AH591-MIN(MAX(AH591,0),MAX(0,AD561-IF($A592&gt;='1-Input'!$C$12,'1-Input'!$B$12,0)))))*(1/(1-'P-Parametri'!$B$6*AD592))))</f>
        <v>7945.4041862237673</v>
      </c>
      <c r="AF592" s="18">
        <f>IF($A592&gt;'1-Input'!$B$26,AH591,(AH591-MAX(0,AD561-IF($A592&gt;='1-Input'!$C$12,'1-Input'!$B$12,0))+AE592*(1-'P-Parametri'!$B$6*AD592))*(1+'1-Input'!$B$27))</f>
        <v>52473.098295428375</v>
      </c>
      <c r="AG592" s="18">
        <f>IF($A592&gt;'1-Input'!$B$26,AI591,(AI591-AE592)*(1+$C$4))</f>
        <v>59674.3791300749</v>
      </c>
      <c r="AH592" s="18">
        <f>IF($A592&gt;'1-Input'!$B$26,AF592,AF592-'P-Parametri'!$B$8*(AG592+AF592)+MIN(MAX(AG592,0),'P-Parametri'!$B$8*(AG592+AF592)))</f>
        <v>52473.098295428375</v>
      </c>
      <c r="AI592" s="18">
        <f>IF($A592&gt;'1-Input'!$B$26,AG592,AG592-MIN(MAX(AG592,0),'P-Parametri'!$B$8*(AG592+AF592)))</f>
        <v>59450.084175223892</v>
      </c>
      <c r="AJ592" s="18">
        <f>IF($A592&gt;'1-Input'!$B$26,AJ591,AJ591-AE592*(1-AD592))</f>
        <v>21376.597335447776</v>
      </c>
      <c r="AK592" s="11">
        <f>IF($A592&gt;'1-Input'!$B$26,0,IF(AP591&lt;=0,0,MAX(0,(AP591-AQ591)/AP591)))</f>
        <v>0.63103138191826913</v>
      </c>
      <c r="AL592" s="18">
        <f>IF($A592&gt;'1-Input'!$B$26,0,(MAX(0,AK561-IF($A592&gt;='1-Input'!$C$12,'1-Input'!$B$12,0))-MIN(MAX(AO591,0),MAX(0,AK561-IF($A592&gt;='1-Input'!$C$12,'1-Input'!$B$12,0))))*(1/(1-'P-Parametri'!$B$6*AK592))+MIN(MAX(0,AP591-(MAX(0,AK561-IF($A592&gt;='1-Input'!$C$12,'1-Input'!$B$12,0))-MIN(MAX(AO591,0),MAX(0,AK561-IF($A592&gt;='1-Input'!$C$12,'1-Input'!$B$12,0))))*(1/(1-'P-Parametri'!$B$6*AK592))),MAX(0,3*AK561-(AO591-MIN(MAX(AO591,0),MAX(0,AK561-IF($A592&gt;='1-Input'!$C$12,'1-Input'!$B$12,0)))))*(1/(1-'P-Parametri'!$B$6*AK592))))</f>
        <v>7945.9565577471294</v>
      </c>
      <c r="AM592" s="18">
        <f>IF($A592&gt;'1-Input'!$B$26,AO591,(AO591-MAX(0,AK561-IF($A592&gt;='1-Input'!$C$12,'1-Input'!$B$12,0))+AL592*(1-'P-Parametri'!$B$6*AK592))*(1+'1-Input'!$B$27))</f>
        <v>52474.471775783059</v>
      </c>
      <c r="AN592" s="18">
        <f>IF($A592&gt;'1-Input'!$B$26,AP591,(AP591-AL592)*(1+$C$4))</f>
        <v>59647.676872874421</v>
      </c>
      <c r="AO592" s="18">
        <f>IF($A592&gt;'1-Input'!$B$26,AM592,AM592-'P-Parametri'!$B$8*(AN592+AM592)+MIN(MAX(AN592,0),'P-Parametri'!$B$8*(AN592+AM592)))</f>
        <v>52474.471775783059</v>
      </c>
      <c r="AP592" s="18">
        <f>IF($A592&gt;'1-Input'!$B$26,AN592,AN592-MIN(MAX(AN592,0),'P-Parametri'!$B$8*(AN592+AM592)))</f>
        <v>59423.432575577106</v>
      </c>
      <c r="AQ592" s="18">
        <f>IF($A592&gt;'1-Input'!$B$26,AQ591,AQ591-AL592*(1-AK592))</f>
        <v>21367.107677252512</v>
      </c>
    </row>
    <row r="593" spans="1:43">
      <c r="A593" s="10">
        <f>30</f>
        <v>30</v>
      </c>
      <c r="B593" s="11">
        <f>IF($A593&gt;'1-Input'!$B$26,0,IF(G592&lt;=0,0,MAX(0,(G592-H592)/G592)))</f>
        <v>0.64241573638472083</v>
      </c>
      <c r="C593" s="18">
        <f>IF($A593&gt;'1-Input'!$B$26,0,(MAX(0,B561-IF($A593&gt;='1-Input'!$C$12,'1-Input'!$B$12,0))-MIN(MAX(F592,0),MAX(0,B561-IF($A593&gt;='1-Input'!$C$12,'1-Input'!$B$12,0))))*(1/(1-'P-Parametri'!$B$6*B593))+MIN(MAX(0,G592-(MAX(0,B561-IF($A593&gt;='1-Input'!$C$12,'1-Input'!$B$12,0))-MIN(MAX(F592,0),MAX(0,B561-IF($A593&gt;='1-Input'!$C$12,'1-Input'!$B$12,0))))*(1/(1-'P-Parametri'!$B$6*B593))),MAX(0,3*B561-(F592-MIN(MAX(F592,0),MAX(0,B561-IF($A593&gt;='1-Input'!$C$12,'1-Input'!$B$12,0)))))*(1/(1-'P-Parametri'!$B$6*B593))))</f>
        <v>6914.0515460100787</v>
      </c>
      <c r="D593" s="18">
        <f>IF($A593&gt;'1-Input'!$B$26,F592,(F592-MAX(0,B561-IF($A593&gt;='1-Input'!$C$12,'1-Input'!$B$12,0))+C593*(1-'P-Parametri'!$B$6*B593))*(1+'1-Input'!$B$27))</f>
        <v>49863.010546479447</v>
      </c>
      <c r="E593" s="18">
        <f>IF($A593&gt;'1-Input'!$B$26,G592,(G592-C593)*(1+$C$4))</f>
        <v>106294.01002313188</v>
      </c>
      <c r="F593" s="18">
        <f>IF($A593&gt;'1-Input'!$B$26,D593,D593-'P-Parametri'!$B$8*(E593+D593)+MIN(MAX(E593,0),'P-Parametri'!$B$8*(E593+D593)))</f>
        <v>49863.010546479447</v>
      </c>
      <c r="G593" s="18">
        <f>IF($A593&gt;'1-Input'!$B$26,E593,E593-MIN(MAX(E593,0),'P-Parametri'!$B$8*(E593+D593)))</f>
        <v>105981.69598199266</v>
      </c>
      <c r="H593" s="18">
        <f>IF($A593&gt;'1-Input'!$B$26,H592,H592-C593*(1-B593))</f>
        <v>36902.005146443407</v>
      </c>
      <c r="I593" s="11">
        <f>IF($A593&gt;'1-Input'!$B$26,0,IF(N592&lt;=0,0,MAX(0,(N592-O592)/N592)))</f>
        <v>0</v>
      </c>
      <c r="J593" s="18">
        <f>IF($A593&gt;'1-Input'!$B$26,0,(MAX(0,I561-IF($A593&gt;='1-Input'!$C$12,'1-Input'!$B$12,0))-MIN(MAX(M592,0),MAX(0,I561-IF($A593&gt;='1-Input'!$C$12,'1-Input'!$B$12,0))))*(1/(1-'P-Parametri'!$B$6*I593))+MIN(MAX(0,N592-(MAX(0,I561-IF($A593&gt;='1-Input'!$C$12,'1-Input'!$B$12,0))-MIN(MAX(M592,0),MAX(0,I561-IF($A593&gt;='1-Input'!$C$12,'1-Input'!$B$12,0))))*(1/(1-'P-Parametri'!$B$6*I593))),MAX(0,3*I561-(M592-MIN(MAX(M592,0),MAX(0,I561-IF($A593&gt;='1-Input'!$C$12,'1-Input'!$B$12,0)))))*(1/(1-'P-Parametri'!$B$6*I593))))</f>
        <v>10846.756992928691</v>
      </c>
      <c r="K593" s="18">
        <f>IF($A593&gt;'1-Input'!$B$26,M592,(M592-MAX(0,I561-IF($A593&gt;='1-Input'!$C$12,'1-Input'!$B$12,0))+J593*(1-'P-Parametri'!$B$6*I593))*(1+'1-Input'!$B$27))</f>
        <v>0</v>
      </c>
      <c r="L593" s="18">
        <f>IF($A593&gt;'1-Input'!$B$26,N592,(N592-J593)*(1+$C$4))</f>
        <v>-92836.196265212595</v>
      </c>
      <c r="M593" s="18">
        <f>IF($A593&gt;'1-Input'!$B$26,K593,K593-'P-Parametri'!$B$8*(L593+K593)+MIN(MAX(L593,0),'P-Parametri'!$B$8*(L593+K593)))</f>
        <v>0</v>
      </c>
      <c r="N593" s="18">
        <f>IF($A593&gt;'1-Input'!$B$26,L593,L593-MIN(MAX(L593,0),'P-Parametri'!$B$8*(L593+K593)))</f>
        <v>-92650.52387268217</v>
      </c>
      <c r="O593" s="18">
        <f>IF($A593&gt;'1-Input'!$B$26,O592,O592-J593*(1-I593))</f>
        <v>-82141.167913065699</v>
      </c>
      <c r="P593" s="11">
        <f>IF($A593&gt;'1-Input'!$B$26,0,IF(U592&lt;=0,0,MAX(0,(U592-V592)/U592)))</f>
        <v>0.6401627725721164</v>
      </c>
      <c r="Q593" s="18">
        <f>IF($A593&gt;'1-Input'!$B$26,0,(MAX(0,P561-IF($A593&gt;='1-Input'!$C$12,'1-Input'!$B$12,0))-MIN(MAX(T592,0),MAX(0,P561-IF($A593&gt;='1-Input'!$C$12,'1-Input'!$B$12,0))))*(1/(1-'P-Parametri'!$B$6*P593))+MIN(MAX(0,U592-(MAX(0,P561-IF($A593&gt;='1-Input'!$C$12,'1-Input'!$B$12,0))-MIN(MAX(T592,0),MAX(0,P561-IF($A593&gt;='1-Input'!$C$12,'1-Input'!$B$12,0))))*(1/(1-'P-Parametri'!$B$6*P593))),MAX(0,3*P561-(T592-MIN(MAX(T592,0),MAX(0,P561-IF($A593&gt;='1-Input'!$C$12,'1-Input'!$B$12,0)))))*(1/(1-'P-Parametri'!$B$6*P593))))</f>
        <v>8057.5284237819669</v>
      </c>
      <c r="R593" s="18">
        <f>IF($A593&gt;'1-Input'!$B$26,T592,(T592-MAX(0,P561-IF($A593&gt;='1-Input'!$C$12,'1-Input'!$B$12,0))+Q593*(1-'P-Parametri'!$B$6*P593))*(1+'1-Input'!$B$27))</f>
        <v>52693.713097256354</v>
      </c>
      <c r="S593" s="18">
        <f>IF($A593&gt;'1-Input'!$B$26,U592,(U592-Q593)*(1+$C$4))</f>
        <v>48525.146853592807</v>
      </c>
      <c r="T593" s="18">
        <f>IF($A593&gt;'1-Input'!$B$26,R593,R593-'P-Parametri'!$B$8*(S593+R593)+MIN(MAX(S593,0),'P-Parametri'!$B$8*(S593+R593)))</f>
        <v>52693.713097256354</v>
      </c>
      <c r="U593" s="18">
        <f>IF($A593&gt;'1-Input'!$B$26,S593,S593-MIN(MAX(S593,0),'P-Parametri'!$B$8*(S593+R593)))</f>
        <v>48322.709133691111</v>
      </c>
      <c r="V593" s="18">
        <f>IF($A593&gt;'1-Input'!$B$26,V592,V592-Q593*(1-P593))</f>
        <v>16952.576994492938</v>
      </c>
      <c r="W593" s="11">
        <f>IF($A593&gt;'1-Input'!$B$26,0,IF(AB592&lt;=0,0,MAX(0,(AB592-AC592)/AB592)))</f>
        <v>0.64040115273638554</v>
      </c>
      <c r="X593" s="18">
        <f>IF($A593&gt;'1-Input'!$B$26,0,(MAX(0,W561-IF($A593&gt;='1-Input'!$C$12,'1-Input'!$B$12,0))-MIN(MAX(AA592,0),MAX(0,W561-IF($A593&gt;='1-Input'!$C$12,'1-Input'!$B$12,0))))*(1/(1-'P-Parametri'!$B$6*W593))+MIN(MAX(0,AB592-(MAX(0,W561-IF($A593&gt;='1-Input'!$C$12,'1-Input'!$B$12,0))-MIN(MAX(AA592,0),MAX(0,W561-IF($A593&gt;='1-Input'!$C$12,'1-Input'!$B$12,0))))*(1/(1-'P-Parametri'!$B$6*W593))),MAX(0,3*W561-(AA592-MIN(MAX(AA592,0),MAX(0,W561-IF($A593&gt;='1-Input'!$C$12,'1-Input'!$B$12,0)))))*(1/(1-'P-Parametri'!$B$6*W593))))</f>
        <v>7978.0173617003175</v>
      </c>
      <c r="Y593" s="18">
        <f>IF($A593&gt;'1-Input'!$B$26,AA592,(AA592-MAX(0,W561-IF($A593&gt;='1-Input'!$C$12,'1-Input'!$B$12,0))+X593*(1-'P-Parametri'!$B$6*W593))*(1+'1-Input'!$B$27))</f>
        <v>52496.252233084</v>
      </c>
      <c r="Z593" s="18">
        <f>IF($A593&gt;'1-Input'!$B$26,AB592,(AB592-X593)*(1+$C$4))</f>
        <v>52553.462728413702</v>
      </c>
      <c r="AA593" s="18">
        <f>IF($A593&gt;'1-Input'!$B$26,Y593,Y593-'P-Parametri'!$B$8*(Z593+Y593)+MIN(MAX(Z593,0),'P-Parametri'!$B$8*(Z593+Y593)))</f>
        <v>52496.252233084</v>
      </c>
      <c r="AB593" s="18">
        <f>IF($A593&gt;'1-Input'!$B$26,Z593,Z593-MIN(MAX(Z593,0),'P-Parametri'!$B$8*(Z593+Y593)))</f>
        <v>52343.363298490709</v>
      </c>
      <c r="AC593" s="18">
        <f>IF($A593&gt;'1-Input'!$B$26,AC592,AC592-X593*(1-W593))</f>
        <v>18347.732637717367</v>
      </c>
      <c r="AD593" s="11">
        <f>IF($A593&gt;'1-Input'!$B$26,0,IF(AI592&lt;=0,0,MAX(0,(AI592-AJ592)/AI592)))</f>
        <v>0.64042780372787811</v>
      </c>
      <c r="AE593" s="18">
        <f>IF($A593&gt;'1-Input'!$B$26,0,(MAX(0,AD561-IF($A593&gt;='1-Input'!$C$12,'1-Input'!$B$12,0))-MIN(MAX(AH592,0),MAX(0,AD561-IF($A593&gt;='1-Input'!$C$12,'1-Input'!$B$12,0))))*(1/(1-'P-Parametri'!$B$6*AD593))+MIN(MAX(0,AI592-(MAX(0,AD561-IF($A593&gt;='1-Input'!$C$12,'1-Input'!$B$12,0))-MIN(MAX(AH592,0),MAX(0,AD561-IF($A593&gt;='1-Input'!$C$12,'1-Input'!$B$12,0))))*(1/(1-'P-Parametri'!$B$6*AD593))),MAX(0,3*AD561-(AH592-MIN(MAX(AH592,0),MAX(0,AD561-IF($A593&gt;='1-Input'!$C$12,'1-Input'!$B$12,0)))))*(1/(1-'P-Parametri'!$B$6*AD593))))</f>
        <v>7968.6900159745346</v>
      </c>
      <c r="AF593" s="18">
        <f>IF($A593&gt;'1-Input'!$B$26,AH592,(AH592-MAX(0,AD561-IF($A593&gt;='1-Input'!$C$12,'1-Input'!$B$12,0))+AE593*(1-'P-Parametri'!$B$6*AD593))*(1+'1-Input'!$B$27))</f>
        <v>52473.098295428375</v>
      </c>
      <c r="AG593" s="18">
        <f>IF($A593&gt;'1-Input'!$B$26,AI592,(AI592-AE593)*(1+$C$4))</f>
        <v>53025.835984026839</v>
      </c>
      <c r="AH593" s="18">
        <f>IF($A593&gt;'1-Input'!$B$26,AF593,AF593-'P-Parametri'!$B$8*(AG593+AF593)+MIN(MAX(AG593,0),'P-Parametri'!$B$8*(AG593+AF593)))</f>
        <v>52473.098295428375</v>
      </c>
      <c r="AI593" s="18">
        <f>IF($A593&gt;'1-Input'!$B$26,AG593,AG593-MIN(MAX(AG593,0),'P-Parametri'!$B$8*(AG593+AF593)))</f>
        <v>52814.83811546793</v>
      </c>
      <c r="AJ593" s="18">
        <f>IF($A593&gt;'1-Input'!$B$26,AJ592,AJ592-AE593*(1-AD593))</f>
        <v>18511.277964992081</v>
      </c>
      <c r="AK593" s="11">
        <f>IF($A593&gt;'1-Input'!$B$26,0,IF(AP592&lt;=0,0,MAX(0,(AP592-AQ592)/AP592)))</f>
        <v>0.64042623000485599</v>
      </c>
      <c r="AL593" s="18">
        <f>IF($A593&gt;'1-Input'!$B$26,0,(MAX(0,AK561-IF($A593&gt;='1-Input'!$C$12,'1-Input'!$B$12,0))-MIN(MAX(AO592,0),MAX(0,AK561-IF($A593&gt;='1-Input'!$C$12,'1-Input'!$B$12,0))))*(1/(1-'P-Parametri'!$B$6*AK593))+MIN(MAX(0,AP592-(MAX(0,AK561-IF($A593&gt;='1-Input'!$C$12,'1-Input'!$B$12,0))-MIN(MAX(AO592,0),MAX(0,AK561-IF($A593&gt;='1-Input'!$C$12,'1-Input'!$B$12,0))))*(1/(1-'P-Parametri'!$B$6*AK593))),MAX(0,3*AK561-(AO592-MIN(MAX(AO592,0),MAX(0,AK561-IF($A593&gt;='1-Input'!$C$12,'1-Input'!$B$12,0)))))*(1/(1-'P-Parametri'!$B$6*AK593))))</f>
        <v>7969.2433318281837</v>
      </c>
      <c r="AM593" s="18">
        <f>IF($A593&gt;'1-Input'!$B$26,AO592,(AO592-MAX(0,AK561-IF($A593&gt;='1-Input'!$C$12,'1-Input'!$B$12,0))+AL593*(1-'P-Parametri'!$B$6*AK593))*(1+'1-Input'!$B$27))</f>
        <v>52474.471775783059</v>
      </c>
      <c r="AN593" s="18">
        <f>IF($A593&gt;'1-Input'!$B$26,AP592,(AP592-AL593)*(1+$C$4))</f>
        <v>52997.814921061392</v>
      </c>
      <c r="AO593" s="18">
        <f>IF($A593&gt;'1-Input'!$B$26,AM593,AM593-'P-Parametri'!$B$8*(AN593+AM593)+MIN(MAX(AN593,0),'P-Parametri'!$B$8*(AN593+AM593)))</f>
        <v>52474.471775783059</v>
      </c>
      <c r="AP593" s="18">
        <f>IF($A593&gt;'1-Input'!$B$26,AN593,AN593-MIN(MAX(AN593,0),'P-Parametri'!$B$8*(AN593+AM593)))</f>
        <v>52786.870347667704</v>
      </c>
      <c r="AQ593" s="18">
        <f>IF($A593&gt;'1-Input'!$B$26,AQ592,AQ592-AL593*(1-AK593))</f>
        <v>18501.576808418391</v>
      </c>
    </row>
    <row r="594" spans="1:43">
      <c r="A594" s="10">
        <f>31</f>
        <v>31</v>
      </c>
      <c r="B594" s="11">
        <f>IF($A594&gt;'1-Input'!$B$26,0,IF(G593&lt;=0,0,MAX(0,(G593-H593)/G593)))</f>
        <v>0.65180775034291372</v>
      </c>
      <c r="C594" s="18">
        <f>IF($A594&gt;'1-Input'!$B$26,0,(MAX(0,B561-IF($A594&gt;='1-Input'!$C$12,'1-Input'!$B$12,0))-MIN(MAX(F593,0),MAX(0,B561-IF($A594&gt;='1-Input'!$C$12,'1-Input'!$B$12,0))))*(1/(1-'P-Parametri'!$B$6*B594))+MIN(MAX(0,G593-(MAX(0,B561-IF($A594&gt;='1-Input'!$C$12,'1-Input'!$B$12,0))-MIN(MAX(F593,0),MAX(0,B561-IF($A594&gt;='1-Input'!$C$12,'1-Input'!$B$12,0))))*(1/(1-'P-Parametri'!$B$6*B594))),MAX(0,3*B561-(F593-MIN(MAX(F593,0),MAX(0,B561-IF($A594&gt;='1-Input'!$C$12,'1-Input'!$B$12,0)))))*(1/(1-'P-Parametri'!$B$6*B594))))</f>
        <v>6934.3802351001395</v>
      </c>
      <c r="D594" s="18">
        <f>IF($A594&gt;'1-Input'!$B$26,F593,(F593-MAX(0,B561-IF($A594&gt;='1-Input'!$C$12,'1-Input'!$B$12,0))+C594*(1-'P-Parametri'!$B$6*B594))*(1+'1-Input'!$B$27))</f>
        <v>49863.010546479447</v>
      </c>
      <c r="E594" s="18">
        <f>IF($A594&gt;'1-Input'!$B$26,G593,(G593-C594)*(1+$C$4))</f>
        <v>102018.7352192993</v>
      </c>
      <c r="F594" s="18">
        <f>IF($A594&gt;'1-Input'!$B$26,D594,D594-'P-Parametri'!$B$8*(E594+D594)+MIN(MAX(E594,0),'P-Parametri'!$B$8*(E594+D594)))</f>
        <v>49863.010546479447</v>
      </c>
      <c r="G594" s="18">
        <f>IF($A594&gt;'1-Input'!$B$26,E594,E594-MIN(MAX(E594,0),'P-Parametri'!$B$8*(E594+D594)))</f>
        <v>101714.97172776774</v>
      </c>
      <c r="H594" s="18">
        <f>IF($A594&gt;'1-Input'!$B$26,H593,H593-C594*(1-B594))</f>
        <v>34487.507692406252</v>
      </c>
      <c r="I594" s="11">
        <f>IF($A594&gt;'1-Input'!$B$26,0,IF(N593&lt;=0,0,MAX(0,(N593-O593)/N593)))</f>
        <v>0</v>
      </c>
      <c r="J594" s="18">
        <f>IF($A594&gt;'1-Input'!$B$26,0,(MAX(0,I561-IF($A594&gt;='1-Input'!$C$12,'1-Input'!$B$12,0))-MIN(MAX(M593,0),MAX(0,I561-IF($A594&gt;='1-Input'!$C$12,'1-Input'!$B$12,0))))*(1/(1-'P-Parametri'!$B$6*I594))+MIN(MAX(0,N593-(MAX(0,I561-IF($A594&gt;='1-Input'!$C$12,'1-Input'!$B$12,0))-MIN(MAX(M593,0),MAX(0,I561-IF($A594&gt;='1-Input'!$C$12,'1-Input'!$B$12,0))))*(1/(1-'P-Parametri'!$B$6*I594))),MAX(0,3*I561-(M593-MIN(MAX(M593,0),MAX(0,I561-IF($A594&gt;='1-Input'!$C$12,'1-Input'!$B$12,0)))))*(1/(1-'P-Parametri'!$B$6*I594))))</f>
        <v>10846.756992928691</v>
      </c>
      <c r="K594" s="18">
        <f>IF($A594&gt;'1-Input'!$B$26,M593,(M593-MAX(0,I561-IF($A594&gt;='1-Input'!$C$12,'1-Input'!$B$12,0))+J594*(1-'P-Parametri'!$B$6*I594))*(1+'1-Input'!$B$27))</f>
        <v>0</v>
      </c>
      <c r="L594" s="18">
        <f>IF($A594&gt;'1-Input'!$B$26,N593,(N593-J594)*(1+$C$4))</f>
        <v>-106602.19929157919</v>
      </c>
      <c r="M594" s="18">
        <f>IF($A594&gt;'1-Input'!$B$26,K594,K594-'P-Parametri'!$B$8*(L594+K594)+MIN(MAX(L594,0),'P-Parametri'!$B$8*(L594+K594)))</f>
        <v>0</v>
      </c>
      <c r="N594" s="18">
        <f>IF($A594&gt;'1-Input'!$B$26,L594,L594-MIN(MAX(L594,0),'P-Parametri'!$B$8*(L594+K594)))</f>
        <v>-106388.99489299604</v>
      </c>
      <c r="O594" s="18">
        <f>IF($A594&gt;'1-Input'!$B$26,O593,O593-J594*(1-I594))</f>
        <v>-92987.924905994383</v>
      </c>
      <c r="P594" s="11">
        <f>IF($A594&gt;'1-Input'!$B$26,0,IF(U593&lt;=0,0,MAX(0,(U593-V593)/U593)))</f>
        <v>0.64917991357662896</v>
      </c>
      <c r="Q594" s="18">
        <f>IF($A594&gt;'1-Input'!$B$26,0,(MAX(0,P561-IF($A594&gt;='1-Input'!$C$12,'1-Input'!$B$12,0))-MIN(MAX(T593,0),MAX(0,P561-IF($A594&gt;='1-Input'!$C$12,'1-Input'!$B$12,0))))*(1/(1-'P-Parametri'!$B$6*P594))+MIN(MAX(0,U593-(MAX(0,P561-IF($A594&gt;='1-Input'!$C$12,'1-Input'!$B$12,0))-MIN(MAX(T593,0),MAX(0,P561-IF($A594&gt;='1-Input'!$C$12,'1-Input'!$B$12,0))))*(1/(1-'P-Parametri'!$B$6*P594))),MAX(0,3*P561-(T593-MIN(MAX(T593,0),MAX(0,P561-IF($A594&gt;='1-Input'!$C$12,'1-Input'!$B$12,0)))))*(1/(1-'P-Parametri'!$B$6*P594))))</f>
        <v>8080.2548743184416</v>
      </c>
      <c r="R594" s="18">
        <f>IF($A594&gt;'1-Input'!$B$26,T593,(T593-MAX(0,P561-IF($A594&gt;='1-Input'!$C$12,'1-Input'!$B$12,0))+Q594*(1-'P-Parametri'!$B$6*P594))*(1+'1-Input'!$B$27))</f>
        <v>52693.713097256354</v>
      </c>
      <c r="S594" s="18">
        <f>IF($A594&gt;'1-Input'!$B$26,U593,(U593-Q594)*(1+$C$4))</f>
        <v>41449.727887153844</v>
      </c>
      <c r="T594" s="18">
        <f>IF($A594&gt;'1-Input'!$B$26,R594,R594-'P-Parametri'!$B$8*(S594+R594)+MIN(MAX(S594,0),'P-Parametri'!$B$8*(S594+R594)))</f>
        <v>52693.713097256354</v>
      </c>
      <c r="U594" s="18">
        <f>IF($A594&gt;'1-Input'!$B$26,S594,S594-MIN(MAX(S594,0),'P-Parametri'!$B$8*(S594+R594)))</f>
        <v>41261.441005185021</v>
      </c>
      <c r="V594" s="18">
        <f>IF($A594&gt;'1-Input'!$B$26,V593,V593-Q594*(1-P594))</f>
        <v>14117.861281161677</v>
      </c>
      <c r="W594" s="11">
        <f>IF($A594&gt;'1-Input'!$B$26,0,IF(AB593&lt;=0,0,MAX(0,(AB593-AC593)/AB593)))</f>
        <v>0.64947356299807324</v>
      </c>
      <c r="X594" s="18">
        <f>IF($A594&gt;'1-Input'!$B$26,0,(MAX(0,W561-IF($A594&gt;='1-Input'!$C$12,'1-Input'!$B$12,0))-MIN(MAX(AA593,0),MAX(0,W561-IF($A594&gt;='1-Input'!$C$12,'1-Input'!$B$12,0))))*(1/(1-'P-Parametri'!$B$6*W594))+MIN(MAX(0,AB593-(MAX(0,W561-IF($A594&gt;='1-Input'!$C$12,'1-Input'!$B$12,0))-MIN(MAX(AA593,0),MAX(0,W561-IF($A594&gt;='1-Input'!$C$12,'1-Input'!$B$12,0))))*(1/(1-'P-Parametri'!$B$6*W594))),MAX(0,3*W561-(AA593-MIN(MAX(AA593,0),MAX(0,W561-IF($A594&gt;='1-Input'!$C$12,'1-Input'!$B$12,0)))))*(1/(1-'P-Parametri'!$B$6*W594))))</f>
        <v>8000.6595530266131</v>
      </c>
      <c r="Y594" s="18">
        <f>IF($A594&gt;'1-Input'!$B$26,AA593,(AA593-MAX(0,W561-IF($A594&gt;='1-Input'!$C$12,'1-Input'!$B$12,0))+X594*(1-'P-Parametri'!$B$6*W594))*(1+'1-Input'!$B$27))</f>
        <v>52496.252233084</v>
      </c>
      <c r="Z594" s="18">
        <f>IF($A594&gt;'1-Input'!$B$26,AB593,(AB593-X594)*(1+$C$4))</f>
        <v>45672.984857828022</v>
      </c>
      <c r="AA594" s="18">
        <f>IF($A594&gt;'1-Input'!$B$26,Y594,Y594-'P-Parametri'!$B$8*(Z594+Y594)+MIN(MAX(Z594,0),'P-Parametri'!$B$8*(Z594+Y594)))</f>
        <v>52496.252233084</v>
      </c>
      <c r="AB594" s="18">
        <f>IF($A594&gt;'1-Input'!$B$26,Z594,Z594-MIN(MAX(Z594,0),'P-Parametri'!$B$8*(Z594+Y594)))</f>
        <v>45476.646383646199</v>
      </c>
      <c r="AC594" s="18">
        <f>IF($A594&gt;'1-Input'!$B$26,AC593,AC593-X594*(1-W594))</f>
        <v>15543.28995092952</v>
      </c>
      <c r="AD594" s="11">
        <f>IF($A594&gt;'1-Input'!$B$26,0,IF(AI593&lt;=0,0,MAX(0,(AI593-AJ593)/AI593)))</f>
        <v>0.64950611181423534</v>
      </c>
      <c r="AE594" s="18">
        <f>IF($A594&gt;'1-Input'!$B$26,0,(MAX(0,AD561-IF($A594&gt;='1-Input'!$C$12,'1-Input'!$B$12,0))-MIN(MAX(AH593,0),MAX(0,AD561-IF($A594&gt;='1-Input'!$C$12,'1-Input'!$B$12,0))))*(1/(1-'P-Parametri'!$B$6*AD594))+MIN(MAX(0,AI593-(MAX(0,AD561-IF($A594&gt;='1-Input'!$C$12,'1-Input'!$B$12,0))-MIN(MAX(AH593,0),MAX(0,AD561-IF($A594&gt;='1-Input'!$C$12,'1-Input'!$B$12,0))))*(1/(1-'P-Parametri'!$B$6*AD594))),MAX(0,3*AD561-(AH593-MIN(MAX(AH593,0),MAX(0,AD561-IF($A594&gt;='1-Input'!$C$12,'1-Input'!$B$12,0)))))*(1/(1-'P-Parametri'!$B$6*AD594))))</f>
        <v>7991.3206681519923</v>
      </c>
      <c r="AF594" s="18">
        <f>IF($A594&gt;'1-Input'!$B$26,AH593,(AH593-MAX(0,AD561-IF($A594&gt;='1-Input'!$C$12,'1-Input'!$B$12,0))+AE594*(1-'P-Parametri'!$B$6*AD594))*(1+'1-Input'!$B$27))</f>
        <v>52473.098295428375</v>
      </c>
      <c r="AG594" s="18">
        <f>IF($A594&gt;'1-Input'!$B$26,AI593,(AI593-AE594)*(1+$C$4))</f>
        <v>46168.222970735413</v>
      </c>
      <c r="AH594" s="18">
        <f>IF($A594&gt;'1-Input'!$B$26,AF594,AF594-'P-Parametri'!$B$8*(AG594+AF594)+MIN(MAX(AG594,0),'P-Parametri'!$B$8*(AG594+AF594)))</f>
        <v>52473.098295428375</v>
      </c>
      <c r="AI594" s="18">
        <f>IF($A594&gt;'1-Input'!$B$26,AG594,AG594-MIN(MAX(AG594,0),'P-Parametri'!$B$8*(AG594+AF594)))</f>
        <v>45970.940328203083</v>
      </c>
      <c r="AJ594" s="18">
        <f>IF($A594&gt;'1-Input'!$B$26,AJ593,AJ593-AE594*(1-AD594))</f>
        <v>15710.368912272226</v>
      </c>
      <c r="AK594" s="11">
        <f>IF($A594&gt;'1-Input'!$B$26,0,IF(AP593&lt;=0,0,MAX(0,(AP593-AQ593)/AP593)))</f>
        <v>0.64950419135360138</v>
      </c>
      <c r="AL594" s="18">
        <f>IF($A594&gt;'1-Input'!$B$26,0,(MAX(0,AK561-IF($A594&gt;='1-Input'!$C$12,'1-Input'!$B$12,0))-MIN(MAX(AO593,0),MAX(0,AK561-IF($A594&gt;='1-Input'!$C$12,'1-Input'!$B$12,0))))*(1/(1-'P-Parametri'!$B$6*AK594))+MIN(MAX(0,AP593-(MAX(0,AK561-IF($A594&gt;='1-Input'!$C$12,'1-Input'!$B$12,0))-MIN(MAX(AO593,0),MAX(0,AK561-IF($A594&gt;='1-Input'!$C$12,'1-Input'!$B$12,0))))*(1/(1-'P-Parametri'!$B$6*AK594))),MAX(0,3*AK561-(AO593-MIN(MAX(AO593,0),MAX(0,AK561-IF($A594&gt;='1-Input'!$C$12,'1-Input'!$B$12,0)))))*(1/(1-'P-Parametri'!$B$6*AK594))))</f>
        <v>7991.8746773797502</v>
      </c>
      <c r="AM594" s="18">
        <f>IF($A594&gt;'1-Input'!$B$26,AO593,(AO593-MAX(0,AK561-IF($A594&gt;='1-Input'!$C$12,'1-Input'!$B$12,0))+AL594*(1-'P-Parametri'!$B$6*AK594))*(1+'1-Input'!$B$27))</f>
        <v>52474.471775783059</v>
      </c>
      <c r="AN594" s="18">
        <f>IF($A594&gt;'1-Input'!$B$26,AP593,(AP593-AL594)*(1+$C$4))</f>
        <v>46138.8455403966</v>
      </c>
      <c r="AO594" s="18">
        <f>IF($A594&gt;'1-Input'!$B$26,AM594,AM594-'P-Parametri'!$B$8*(AN594+AM594)+MIN(MAX(AN594,0),'P-Parametri'!$B$8*(AN594+AM594)))</f>
        <v>52474.471775783059</v>
      </c>
      <c r="AP594" s="18">
        <f>IF($A594&gt;'1-Input'!$B$26,AN594,AN594-MIN(MAX(AN594,0),'P-Parametri'!$B$8*(AN594+AM594)))</f>
        <v>45941.61890576424</v>
      </c>
      <c r="AQ594" s="18">
        <f>IF($A594&gt;'1-Input'!$B$26,AQ593,AQ593-AL594*(1-AK594))</f>
        <v>15700.4582307695</v>
      </c>
    </row>
    <row r="595" spans="1:43">
      <c r="A595" s="10">
        <f>32</f>
        <v>32</v>
      </c>
      <c r="B595" s="11">
        <f>IF($A595&gt;'1-Input'!$B$26,0,IF(G594&lt;=0,0,MAX(0,(G594-H594)/G594)))</f>
        <v>0.6609397111694687</v>
      </c>
      <c r="C595" s="18">
        <f>IF($A595&gt;'1-Input'!$B$26,0,(MAX(0,B561-IF($A595&gt;='1-Input'!$C$12,'1-Input'!$B$12,0))-MIN(MAX(F594,0),MAX(0,B561-IF($A595&gt;='1-Input'!$C$12,'1-Input'!$B$12,0))))*(1/(1-'P-Parametri'!$B$6*B595))+MIN(MAX(0,G594-(MAX(0,B561-IF($A595&gt;='1-Input'!$C$12,'1-Input'!$B$12,0))-MIN(MAX(F594,0),MAX(0,B561-IF($A595&gt;='1-Input'!$C$12,'1-Input'!$B$12,0))))*(1/(1-'P-Parametri'!$B$6*B595))),MAX(0,3*B561-(F594-MIN(MAX(F594,0),MAX(0,B561-IF($A595&gt;='1-Input'!$C$12,'1-Input'!$B$12,0)))))*(1/(1-'P-Parametri'!$B$6*B595))))</f>
        <v>6954.2609985213039</v>
      </c>
      <c r="D595" s="18">
        <f>IF($A595&gt;'1-Input'!$B$26,F594,(F594-MAX(0,B561-IF($A595&gt;='1-Input'!$C$12,'1-Input'!$B$12,0))+C595*(1-'P-Parametri'!$B$6*B595))*(1+'1-Input'!$B$27))</f>
        <v>49863.010546479447</v>
      </c>
      <c r="E595" s="18">
        <f>IF($A595&gt;'1-Input'!$B$26,G594,(G594-C595)*(1+$C$4))</f>
        <v>97603.532051123824</v>
      </c>
      <c r="F595" s="18">
        <f>IF($A595&gt;'1-Input'!$B$26,D595,D595-'P-Parametri'!$B$8*(E595+D595)+MIN(MAX(E595,0),'P-Parametri'!$B$8*(E595+D595)))</f>
        <v>49863.010546479447</v>
      </c>
      <c r="G595" s="18">
        <f>IF($A595&gt;'1-Input'!$B$26,E595,E595-MIN(MAX(E595,0),'P-Parametri'!$B$8*(E595+D595)))</f>
        <v>97308.598965928613</v>
      </c>
      <c r="H595" s="18">
        <f>IF($A595&gt;'1-Input'!$B$26,H594,H594-C595*(1-B595))</f>
        <v>32129.593949644721</v>
      </c>
      <c r="I595" s="11">
        <f>IF($A595&gt;'1-Input'!$B$26,0,IF(N594&lt;=0,0,MAX(0,(N594-O594)/N594)))</f>
        <v>0</v>
      </c>
      <c r="J595" s="18">
        <f>IF($A595&gt;'1-Input'!$B$26,0,(MAX(0,I561-IF($A595&gt;='1-Input'!$C$12,'1-Input'!$B$12,0))-MIN(MAX(M594,0),MAX(0,I561-IF($A595&gt;='1-Input'!$C$12,'1-Input'!$B$12,0))))*(1/(1-'P-Parametri'!$B$6*I595))+MIN(MAX(0,N594-(MAX(0,I561-IF($A595&gt;='1-Input'!$C$12,'1-Input'!$B$12,0))-MIN(MAX(M594,0),MAX(0,I561-IF($A595&gt;='1-Input'!$C$12,'1-Input'!$B$12,0))))*(1/(1-'P-Parametri'!$B$6*I595))),MAX(0,3*I561-(M594-MIN(MAX(M594,0),MAX(0,I561-IF($A595&gt;='1-Input'!$C$12,'1-Input'!$B$12,0)))))*(1/(1-'P-Parametri'!$B$6*I595))))</f>
        <v>10846.756992928691</v>
      </c>
      <c r="K595" s="18">
        <f>IF($A595&gt;'1-Input'!$B$26,M594,(M594-MAX(0,I561-IF($A595&gt;='1-Input'!$C$12,'1-Input'!$B$12,0))+J595*(1-'P-Parametri'!$B$6*I595))*(1+'1-Input'!$B$27))</f>
        <v>0</v>
      </c>
      <c r="L595" s="18">
        <f>IF($A595&gt;'1-Input'!$B$26,N594,(N594-J595)*(1+$C$4))</f>
        <v>-120752.82444250246</v>
      </c>
      <c r="M595" s="18">
        <f>IF($A595&gt;'1-Input'!$B$26,K595,K595-'P-Parametri'!$B$8*(L595+K595)+MIN(MAX(L595,0),'P-Parametri'!$B$8*(L595+K595)))</f>
        <v>0</v>
      </c>
      <c r="N595" s="18">
        <f>IF($A595&gt;'1-Input'!$B$26,L595,L595-MIN(MAX(L595,0),'P-Parametri'!$B$8*(L595+K595)))</f>
        <v>-120511.31879361745</v>
      </c>
      <c r="O595" s="18">
        <f>IF($A595&gt;'1-Input'!$B$26,O594,O594-J595*(1-I595))</f>
        <v>-103834.68189892307</v>
      </c>
      <c r="P595" s="11">
        <f>IF($A595&gt;'1-Input'!$B$26,0,IF(U594&lt;=0,0,MAX(0,(U594-V594)/U594)))</f>
        <v>0.65784371710654532</v>
      </c>
      <c r="Q595" s="18">
        <f>IF($A595&gt;'1-Input'!$B$26,0,(MAX(0,P561-IF($A595&gt;='1-Input'!$C$12,'1-Input'!$B$12,0))-MIN(MAX(T594,0),MAX(0,P561-IF($A595&gt;='1-Input'!$C$12,'1-Input'!$B$12,0))))*(1/(1-'P-Parametri'!$B$6*P595))+MIN(MAX(0,U594-(MAX(0,P561-IF($A595&gt;='1-Input'!$C$12,'1-Input'!$B$12,0))-MIN(MAX(T594,0),MAX(0,P561-IF($A595&gt;='1-Input'!$C$12,'1-Input'!$B$12,0))))*(1/(1-'P-Parametri'!$B$6*P595))),MAX(0,3*P561-(T594-MIN(MAX(T594,0),MAX(0,P561-IF($A595&gt;='1-Input'!$C$12,'1-Input'!$B$12,0)))))*(1/(1-'P-Parametri'!$B$6*P595))))</f>
        <v>8102.211879085623</v>
      </c>
      <c r="R595" s="18">
        <f>IF($A595&gt;'1-Input'!$B$26,T594,(T594-MAX(0,P561-IF($A595&gt;='1-Input'!$C$12,'1-Input'!$B$12,0))+Q595*(1-'P-Parametri'!$B$6*P595))*(1+'1-Input'!$B$27))</f>
        <v>52693.713097256354</v>
      </c>
      <c r="S595" s="18">
        <f>IF($A595&gt;'1-Input'!$B$26,U594,(U594-Q595)*(1+$C$4))</f>
        <v>34154.005999882378</v>
      </c>
      <c r="T595" s="18">
        <f>IF($A595&gt;'1-Input'!$B$26,R595,R595-'P-Parametri'!$B$8*(S595+R595)+MIN(MAX(S595,0),'P-Parametri'!$B$8*(S595+R595)))</f>
        <v>52693.713097256354</v>
      </c>
      <c r="U595" s="18">
        <f>IF($A595&gt;'1-Input'!$B$26,S595,S595-MIN(MAX(S595,0),'P-Parametri'!$B$8*(S595+R595)))</f>
        <v>33980.3105616881</v>
      </c>
      <c r="V595" s="18">
        <f>IF($A595&gt;'1-Input'!$B$26,V594,V594-Q595*(1-P595))</f>
        <v>11345.638581398547</v>
      </c>
      <c r="W595" s="11">
        <f>IF($A595&gt;'1-Input'!$B$26,0,IF(AB594&lt;=0,0,MAX(0,(AB594-AC594)/AB594)))</f>
        <v>0.65821380451397959</v>
      </c>
      <c r="X595" s="18">
        <f>IF($A595&gt;'1-Input'!$B$26,0,(MAX(0,W561-IF($A595&gt;='1-Input'!$C$12,'1-Input'!$B$12,0))-MIN(MAX(AA594,0),MAX(0,W561-IF($A595&gt;='1-Input'!$C$12,'1-Input'!$B$12,0))))*(1/(1-'P-Parametri'!$B$6*W595))+MIN(MAX(0,AB594-(MAX(0,W561-IF($A595&gt;='1-Input'!$C$12,'1-Input'!$B$12,0))-MIN(MAX(AA594,0),MAX(0,W561-IF($A595&gt;='1-Input'!$C$12,'1-Input'!$B$12,0))))*(1/(1-'P-Parametri'!$B$6*W595))),MAX(0,3*W561-(AA594-MIN(MAX(AA594,0),MAX(0,W561-IF($A595&gt;='1-Input'!$C$12,'1-Input'!$B$12,0)))))*(1/(1-'P-Parametri'!$B$6*W595))))</f>
        <v>8022.5946257904106</v>
      </c>
      <c r="Y595" s="18">
        <f>IF($A595&gt;'1-Input'!$B$26,AA594,(AA594-MAX(0,W561-IF($A595&gt;='1-Input'!$C$12,'1-Input'!$B$12,0))+X595*(1-'P-Parametri'!$B$6*W595))*(1+'1-Input'!$B$27))</f>
        <v>52496.252233084</v>
      </c>
      <c r="Z595" s="18">
        <f>IF($A595&gt;'1-Input'!$B$26,AB594,(AB594-X595)*(1+$C$4))</f>
        <v>38577.673310591468</v>
      </c>
      <c r="AA595" s="18">
        <f>IF($A595&gt;'1-Input'!$B$26,Y595,Y595-'P-Parametri'!$B$8*(Z595+Y595)+MIN(MAX(Z595,0),'P-Parametri'!$B$8*(Z595+Y595)))</f>
        <v>52496.252233084</v>
      </c>
      <c r="AB595" s="18">
        <f>IF($A595&gt;'1-Input'!$B$26,Z595,Z595-MIN(MAX(Z595,0),'P-Parametri'!$B$8*(Z595+Y595)))</f>
        <v>38395.525459504119</v>
      </c>
      <c r="AC595" s="18">
        <f>IF($A595&gt;'1-Input'!$B$26,AC594,AC594-X595*(1-W595))</f>
        <v>12801.277855854023</v>
      </c>
      <c r="AD595" s="11">
        <f>IF($A595&gt;'1-Input'!$B$26,0,IF(AI594&lt;=0,0,MAX(0,(AI594-AJ594)/AI594)))</f>
        <v>0.65825434937570881</v>
      </c>
      <c r="AE595" s="18">
        <f>IF($A595&gt;'1-Input'!$B$26,0,(MAX(0,AD561-IF($A595&gt;='1-Input'!$C$12,'1-Input'!$B$12,0))-MIN(MAX(AH594,0),MAX(0,AD561-IF($A595&gt;='1-Input'!$C$12,'1-Input'!$B$12,0))))*(1/(1-'P-Parametri'!$B$6*AD595))+MIN(MAX(0,AI594-(MAX(0,AD561-IF($A595&gt;='1-Input'!$C$12,'1-Input'!$B$12,0))-MIN(MAX(AH594,0),MAX(0,AD561-IF($A595&gt;='1-Input'!$C$12,'1-Input'!$B$12,0))))*(1/(1-'P-Parametri'!$B$6*AD595))),MAX(0,3*AD561-(AH594-MIN(MAX(AH594,0),MAX(0,AD561-IF($A595&gt;='1-Input'!$C$12,'1-Input'!$B$12,0)))))*(1/(1-'P-Parametri'!$B$6*AD595))))</f>
        <v>8013.2504597610314</v>
      </c>
      <c r="AF595" s="18">
        <f>IF($A595&gt;'1-Input'!$B$26,AH594,(AH594-MAX(0,AD561-IF($A595&gt;='1-Input'!$C$12,'1-Input'!$B$12,0))+AE595*(1-'P-Parametri'!$B$6*AD595))*(1+'1-Input'!$B$27))</f>
        <v>52473.098295428375</v>
      </c>
      <c r="AG595" s="18">
        <f>IF($A595&gt;'1-Input'!$B$26,AI594,(AI594-AE595)*(1+$C$4))</f>
        <v>39096.420564495318</v>
      </c>
      <c r="AH595" s="18">
        <f>IF($A595&gt;'1-Input'!$B$26,AF595,AF595-'P-Parametri'!$B$8*(AG595+AF595)+MIN(MAX(AG595,0),'P-Parametri'!$B$8*(AG595+AF595)))</f>
        <v>52473.098295428375</v>
      </c>
      <c r="AI595" s="18">
        <f>IF($A595&gt;'1-Input'!$B$26,AG595,AG595-MIN(MAX(AG595,0),'P-Parametri'!$B$8*(AG595+AF595)))</f>
        <v>38913.28152677547</v>
      </c>
      <c r="AJ595" s="18">
        <f>IF($A595&gt;'1-Input'!$B$26,AJ594,AJ594-AE595*(1-AD595))</f>
        <v>12971.875420285793</v>
      </c>
      <c r="AK595" s="11">
        <f>IF($A595&gt;'1-Input'!$B$26,0,IF(AP594&lt;=0,0,MAX(0,(AP594-AQ594)/AP594)))</f>
        <v>0.65825195966702021</v>
      </c>
      <c r="AL595" s="18">
        <f>IF($A595&gt;'1-Input'!$B$26,0,(MAX(0,AK561-IF($A595&gt;='1-Input'!$C$12,'1-Input'!$B$12,0))-MIN(MAX(AO594,0),MAX(0,AK561-IF($A595&gt;='1-Input'!$C$12,'1-Input'!$B$12,0))))*(1/(1-'P-Parametri'!$B$6*AK595))+MIN(MAX(0,AP594-(MAX(0,AK561-IF($A595&gt;='1-Input'!$C$12,'1-Input'!$B$12,0))-MIN(MAX(AO594,0),MAX(0,AK561-IF($A595&gt;='1-Input'!$C$12,'1-Input'!$B$12,0))))*(1/(1-'P-Parametri'!$B$6*AK595))),MAX(0,3*AK561-(AO594-MIN(MAX(AO594,0),MAX(0,AK561-IF($A595&gt;='1-Input'!$C$12,'1-Input'!$B$12,0)))))*(1/(1-'P-Parametri'!$B$6*AK595))))</f>
        <v>8013.8047964853422</v>
      </c>
      <c r="AM595" s="18">
        <f>IF($A595&gt;'1-Input'!$B$26,AO594,(AO594-MAX(0,AK561-IF($A595&gt;='1-Input'!$C$12,'1-Input'!$B$12,0))+AL595*(1-'P-Parametri'!$B$6*AK595))*(1+'1-Input'!$B$27))</f>
        <v>52474.471775783059</v>
      </c>
      <c r="AN595" s="18">
        <f>IF($A595&gt;'1-Input'!$B$26,AP594,(AP594-AL595)*(1+$C$4))</f>
        <v>39065.648532557272</v>
      </c>
      <c r="AO595" s="18">
        <f>IF($A595&gt;'1-Input'!$B$26,AM595,AM595-'P-Parametri'!$B$8*(AN595+AM595)+MIN(MAX(AN595,0),'P-Parametri'!$B$8*(AN595+AM595)))</f>
        <v>52474.471775783059</v>
      </c>
      <c r="AP595" s="18">
        <f>IF($A595&gt;'1-Input'!$B$26,AN595,AN595-MIN(MAX(AN595,0),'P-Parametri'!$B$8*(AN595+AM595)))</f>
        <v>38882.568291940588</v>
      </c>
      <c r="AQ595" s="18">
        <f>IF($A595&gt;'1-Input'!$B$26,AQ594,AQ594-AL595*(1-AK595))</f>
        <v>12961.7561459596</v>
      </c>
    </row>
    <row r="596" spans="1:43">
      <c r="A596" s="10">
        <f>33</f>
        <v>33</v>
      </c>
      <c r="B596" s="11">
        <f>IF($A596&gt;'1-Input'!$B$26,0,IF(G595&lt;=0,0,MAX(0,(G595-H595)/G595)))</f>
        <v>0.6698175259835516</v>
      </c>
      <c r="C596" s="18">
        <f>IF($A596&gt;'1-Input'!$B$26,0,(MAX(0,B561-IF($A596&gt;='1-Input'!$C$12,'1-Input'!$B$12,0))-MIN(MAX(F595,0),MAX(0,B561-IF($A596&gt;='1-Input'!$C$12,'1-Input'!$B$12,0))))*(1/(1-'P-Parametri'!$B$6*B596))+MIN(MAX(0,G595-(MAX(0,B561-IF($A596&gt;='1-Input'!$C$12,'1-Input'!$B$12,0))-MIN(MAX(F595,0),MAX(0,B561-IF($A596&gt;='1-Input'!$C$12,'1-Input'!$B$12,0))))*(1/(1-'P-Parametri'!$B$6*B596))),MAX(0,3*B561-(F595-MIN(MAX(F595,0),MAX(0,B561-IF($A596&gt;='1-Input'!$C$12,'1-Input'!$B$12,0)))))*(1/(1-'P-Parametri'!$B$6*B596))))</f>
        <v>6973.6980590496933</v>
      </c>
      <c r="D596" s="18">
        <f>IF($A596&gt;'1-Input'!$B$26,F595,(F595-MAX(0,B561-IF($A596&gt;='1-Input'!$C$12,'1-Input'!$B$12,0))+C596*(1-'P-Parametri'!$B$6*B596))*(1+'1-Input'!$B$27))</f>
        <v>49863.010546479447</v>
      </c>
      <c r="E596" s="18">
        <f>IF($A596&gt;'1-Input'!$B$26,G595,(G595-C596)*(1+$C$4))</f>
        <v>93044.947934085285</v>
      </c>
      <c r="F596" s="18">
        <f>IF($A596&gt;'1-Input'!$B$26,D596,D596-'P-Parametri'!$B$8*(E596+D596)+MIN(MAX(E596,0),'P-Parametri'!$B$8*(E596+D596)))</f>
        <v>49863.010546479447</v>
      </c>
      <c r="G596" s="18">
        <f>IF($A596&gt;'1-Input'!$B$26,E596,E596-MIN(MAX(E596,0),'P-Parametri'!$B$8*(E596+D596)))</f>
        <v>92759.132017124153</v>
      </c>
      <c r="H596" s="18">
        <f>IF($A596&gt;'1-Input'!$B$26,H595,H595-C596*(1-B596))</f>
        <v>29827.00107146399</v>
      </c>
      <c r="I596" s="11">
        <f>IF($A596&gt;'1-Input'!$B$26,0,IF(N595&lt;=0,0,MAX(0,(N595-O595)/N595)))</f>
        <v>0</v>
      </c>
      <c r="J596" s="18">
        <f>IF($A596&gt;'1-Input'!$B$26,0,(MAX(0,I561-IF($A596&gt;='1-Input'!$C$12,'1-Input'!$B$12,0))-MIN(MAX(M595,0),MAX(0,I561-IF($A596&gt;='1-Input'!$C$12,'1-Input'!$B$12,0))))*(1/(1-'P-Parametri'!$B$6*I596))+MIN(MAX(0,N595-(MAX(0,I561-IF($A596&gt;='1-Input'!$C$12,'1-Input'!$B$12,0))-MIN(MAX(M595,0),MAX(0,I561-IF($A596&gt;='1-Input'!$C$12,'1-Input'!$B$12,0))))*(1/(1-'P-Parametri'!$B$6*I596))),MAX(0,3*I561-(M595-MIN(MAX(M595,0),MAX(0,I561-IF($A596&gt;='1-Input'!$C$12,'1-Input'!$B$12,0)))))*(1/(1-'P-Parametri'!$B$6*I596))))</f>
        <v>10846.756992928691</v>
      </c>
      <c r="K596" s="18">
        <f>IF($A596&gt;'1-Input'!$B$26,M595,(M595-MAX(0,I561-IF($A596&gt;='1-Input'!$C$12,'1-Input'!$B$12,0))+J596*(1-'P-Parametri'!$B$6*I596))*(1+'1-Input'!$B$27))</f>
        <v>0</v>
      </c>
      <c r="L596" s="18">
        <f>IF($A596&gt;'1-Input'!$B$26,N595,(N595-J596)*(1+$C$4))</f>
        <v>-135298.81806014251</v>
      </c>
      <c r="M596" s="18">
        <f>IF($A596&gt;'1-Input'!$B$26,K596,K596-'P-Parametri'!$B$8*(L596+K596)+MIN(MAX(L596,0),'P-Parametri'!$B$8*(L596+K596)))</f>
        <v>0</v>
      </c>
      <c r="N596" s="18">
        <f>IF($A596&gt;'1-Input'!$B$26,L596,L596-MIN(MAX(L596,0),'P-Parametri'!$B$8*(L596+K596)))</f>
        <v>-135028.22042402223</v>
      </c>
      <c r="O596" s="18">
        <f>IF($A596&gt;'1-Input'!$B$26,O595,O595-J596*(1-I596))</f>
        <v>-114681.43889185175</v>
      </c>
      <c r="P596" s="11">
        <f>IF($A596&gt;'1-Input'!$B$26,0,IF(U595&lt;=0,0,MAX(0,(U595-V595)/U595)))</f>
        <v>0.6661113923369949</v>
      </c>
      <c r="Q596" s="18">
        <f>IF($A596&gt;'1-Input'!$B$26,0,(MAX(0,P561-IF($A596&gt;='1-Input'!$C$12,'1-Input'!$B$12,0))-MIN(MAX(T595,0),MAX(0,P561-IF($A596&gt;='1-Input'!$C$12,'1-Input'!$B$12,0))))*(1/(1-'P-Parametri'!$B$6*P596))+MIN(MAX(0,U595-(MAX(0,P561-IF($A596&gt;='1-Input'!$C$12,'1-Input'!$B$12,0))-MIN(MAX(T595,0),MAX(0,P561-IF($A596&gt;='1-Input'!$C$12,'1-Input'!$B$12,0))))*(1/(1-'P-Parametri'!$B$6*P596))),MAX(0,3*P561-(T595-MIN(MAX(T595,0),MAX(0,P561-IF($A596&gt;='1-Input'!$C$12,'1-Input'!$B$12,0)))))*(1/(1-'P-Parametri'!$B$6*P596))))</f>
        <v>8123.2765212837703</v>
      </c>
      <c r="R596" s="18">
        <f>IF($A596&gt;'1-Input'!$B$26,T595,(T595-MAX(0,P561-IF($A596&gt;='1-Input'!$C$12,'1-Input'!$B$12,0))+Q596*(1-'P-Parametri'!$B$6*P596))*(1+'1-Input'!$B$27))</f>
        <v>52693.713097256354</v>
      </c>
      <c r="S596" s="18">
        <f>IF($A596&gt;'1-Input'!$B$26,U595,(U595-Q596)*(1+$C$4))</f>
        <v>26632.745061616461</v>
      </c>
      <c r="T596" s="18">
        <f>IF($A596&gt;'1-Input'!$B$26,R596,R596-'P-Parametri'!$B$8*(S596+R596)+MIN(MAX(S596,0),'P-Parametri'!$B$8*(S596+R596)))</f>
        <v>52693.713097256354</v>
      </c>
      <c r="U596" s="18">
        <f>IF($A596&gt;'1-Input'!$B$26,S596,S596-MIN(MAX(S596,0),'P-Parametri'!$B$8*(S596+R596)))</f>
        <v>26474.092145298713</v>
      </c>
      <c r="V596" s="18">
        <f>IF($A596&gt;'1-Input'!$B$26,V595,V595-Q596*(1-P596))</f>
        <v>8633.369094045529</v>
      </c>
      <c r="W596" s="11">
        <f>IF($A596&gt;'1-Input'!$B$26,0,IF(AB595&lt;=0,0,MAX(0,(AB595-AC595)/AB595)))</f>
        <v>0.66659453926849965</v>
      </c>
      <c r="X596" s="18">
        <f>IF($A596&gt;'1-Input'!$B$26,0,(MAX(0,W561-IF($A596&gt;='1-Input'!$C$12,'1-Input'!$B$12,0))-MIN(MAX(AA595,0),MAX(0,W561-IF($A596&gt;='1-Input'!$C$12,'1-Input'!$B$12,0))))*(1/(1-'P-Parametri'!$B$6*W596))+MIN(MAX(0,AB595-(MAX(0,W561-IF($A596&gt;='1-Input'!$C$12,'1-Input'!$B$12,0))-MIN(MAX(AA595,0),MAX(0,W561-IF($A596&gt;='1-Input'!$C$12,'1-Input'!$B$12,0))))*(1/(1-'P-Parametri'!$B$6*W596))),MAX(0,3*W561-(AA595-MIN(MAX(AA595,0),MAX(0,W561-IF($A596&gt;='1-Input'!$C$12,'1-Input'!$B$12,0)))))*(1/(1-'P-Parametri'!$B$6*W596))))</f>
        <v>8043.7407127516426</v>
      </c>
      <c r="Y596" s="18">
        <f>IF($A596&gt;'1-Input'!$B$26,AA595,(AA595-MAX(0,W561-IF($A596&gt;='1-Input'!$C$12,'1-Input'!$B$12,0))+X596*(1-'P-Parametri'!$B$6*W596))*(1+'1-Input'!$B$27))</f>
        <v>52496.252233084</v>
      </c>
      <c r="Z596" s="18">
        <f>IF($A596&gt;'1-Input'!$B$26,AB595,(AB595-X596)*(1+$C$4))</f>
        <v>31262.338289155054</v>
      </c>
      <c r="AA596" s="18">
        <f>IF($A596&gt;'1-Input'!$B$26,Y596,Y596-'P-Parametri'!$B$8*(Z596+Y596)+MIN(MAX(Z596,0),'P-Parametri'!$B$8*(Z596+Y596)))</f>
        <v>52496.252233084</v>
      </c>
      <c r="AB596" s="18">
        <f>IF($A596&gt;'1-Input'!$B$26,Z596,Z596-MIN(MAX(Z596,0),'P-Parametri'!$B$8*(Z596+Y596)))</f>
        <v>31094.821108110576</v>
      </c>
      <c r="AC596" s="18">
        <f>IF($A596&gt;'1-Input'!$B$26,AC595,AC595-X596*(1-W596))</f>
        <v>10119.450777514336</v>
      </c>
      <c r="AD596" s="11">
        <f>IF($A596&gt;'1-Input'!$B$26,0,IF(AI595&lt;=0,0,MAX(0,(AI595-AJ595)/AI595)))</f>
        <v>0.66664658154414203</v>
      </c>
      <c r="AE596" s="18">
        <f>IF($A596&gt;'1-Input'!$B$26,0,(MAX(0,AD561-IF($A596&gt;='1-Input'!$C$12,'1-Input'!$B$12,0))-MIN(MAX(AH595,0),MAX(0,AD561-IF($A596&gt;='1-Input'!$C$12,'1-Input'!$B$12,0))))*(1/(1-'P-Parametri'!$B$6*AD596))+MIN(MAX(0,AI595-(MAX(0,AD561-IF($A596&gt;='1-Input'!$C$12,'1-Input'!$B$12,0))-MIN(MAX(AH595,0),MAX(0,AD561-IF($A596&gt;='1-Input'!$C$12,'1-Input'!$B$12,0))))*(1/(1-'P-Parametri'!$B$6*AD596))),MAX(0,3*AD561-(AH595-MIN(MAX(AH595,0),MAX(0,AD561-IF($A596&gt;='1-Input'!$C$12,'1-Input'!$B$12,0)))))*(1/(1-'P-Parametri'!$B$6*AD596))))</f>
        <v>8034.4012396415028</v>
      </c>
      <c r="AF596" s="18">
        <f>IF($A596&gt;'1-Input'!$B$26,AH595,(AH595-MAX(0,AD561-IF($A596&gt;='1-Input'!$C$12,'1-Input'!$B$12,0))+AE596*(1-'P-Parametri'!$B$6*AD596))*(1+'1-Input'!$B$27))</f>
        <v>52473.098295428375</v>
      </c>
      <c r="AG596" s="18">
        <f>IF($A596&gt;'1-Input'!$B$26,AI595,(AI595-AE596)*(1+$C$4))</f>
        <v>31805.246695747988</v>
      </c>
      <c r="AH596" s="18">
        <f>IF($A596&gt;'1-Input'!$B$26,AF596,AF596-'P-Parametri'!$B$8*(AG596+AF596)+MIN(MAX(AG596,0),'P-Parametri'!$B$8*(AG596+AF596)))</f>
        <v>52473.098295428375</v>
      </c>
      <c r="AI596" s="18">
        <f>IF($A596&gt;'1-Input'!$B$26,AG596,AG596-MIN(MAX(AG596,0),'P-Parametri'!$B$8*(AG596+AF596)))</f>
        <v>31636.690005765635</v>
      </c>
      <c r="AJ596" s="18">
        <f>IF($A596&gt;'1-Input'!$B$26,AJ595,AJ595-AE596*(1-AD596))</f>
        <v>10293.580301805316</v>
      </c>
      <c r="AK596" s="11">
        <f>IF($A596&gt;'1-Input'!$B$26,0,IF(AP595&lt;=0,0,MAX(0,(AP595-AQ595)/AP595)))</f>
        <v>0.66664351879640993</v>
      </c>
      <c r="AL596" s="18">
        <f>IF($A596&gt;'1-Input'!$B$26,0,(MAX(0,AK561-IF($A596&gt;='1-Input'!$C$12,'1-Input'!$B$12,0))-MIN(MAX(AO595,0),MAX(0,AK561-IF($A596&gt;='1-Input'!$C$12,'1-Input'!$B$12,0))))*(1/(1-'P-Parametri'!$B$6*AK596))+MIN(MAX(0,AP595-(MAX(0,AK561-IF($A596&gt;='1-Input'!$C$12,'1-Input'!$B$12,0))-MIN(MAX(AO595,0),MAX(0,AK561-IF($A596&gt;='1-Input'!$C$12,'1-Input'!$B$12,0))))*(1/(1-'P-Parametri'!$B$6*AK596))),MAX(0,3*AK561-(AO595-MIN(MAX(AO595,0),MAX(0,AK561-IF($A596&gt;='1-Input'!$C$12,'1-Input'!$B$12,0)))))*(1/(1-'P-Parametri'!$B$6*AK596))))</f>
        <v>8034.9553227857205</v>
      </c>
      <c r="AM596" s="18">
        <f>IF($A596&gt;'1-Input'!$B$26,AO595,(AO595-MAX(0,AK561-IF($A596&gt;='1-Input'!$C$12,'1-Input'!$B$12,0))+AL596*(1-'P-Parametri'!$B$6*AK596))*(1+'1-Input'!$B$27))</f>
        <v>52474.471775783059</v>
      </c>
      <c r="AN596" s="18">
        <f>IF($A596&gt;'1-Input'!$B$26,AP595,(AP595-AL596)*(1+$C$4))</f>
        <v>31773.041358229515</v>
      </c>
      <c r="AO596" s="18">
        <f>IF($A596&gt;'1-Input'!$B$26,AM596,AM596-'P-Parametri'!$B$8*(AN596+AM596)+MIN(MAX(AN596,0),'P-Parametri'!$B$8*(AN596+AM596)))</f>
        <v>52474.471775783059</v>
      </c>
      <c r="AP596" s="18">
        <f>IF($A596&gt;'1-Input'!$B$26,AN596,AN596-MIN(MAX(AN596,0),'P-Parametri'!$B$8*(AN596+AM596)))</f>
        <v>31604.54633196149</v>
      </c>
      <c r="AQ596" s="18">
        <f>IF($A596&gt;'1-Input'!$B$26,AQ595,AQ595-AL596*(1-AK596))</f>
        <v>10283.251712927697</v>
      </c>
    </row>
    <row r="597" spans="1:43">
      <c r="A597" s="10">
        <f>34</f>
        <v>34</v>
      </c>
      <c r="B597" s="11">
        <f>IF($A597&gt;'1-Input'!$B$26,0,IF(G596&lt;=0,0,MAX(0,(G596-H596)/G596)))</f>
        <v>0.67844674240852465</v>
      </c>
      <c r="C597" s="18">
        <f>IF($A597&gt;'1-Input'!$B$26,0,(MAX(0,B561-IF($A597&gt;='1-Input'!$C$12,'1-Input'!$B$12,0))-MIN(MAX(F596,0),MAX(0,B561-IF($A597&gt;='1-Input'!$C$12,'1-Input'!$B$12,0))))*(1/(1-'P-Parametri'!$B$6*B597))+MIN(MAX(0,G596-(MAX(0,B561-IF($A597&gt;='1-Input'!$C$12,'1-Input'!$B$12,0))-MIN(MAX(F596,0),MAX(0,B561-IF($A597&gt;='1-Input'!$C$12,'1-Input'!$B$12,0))))*(1/(1-'P-Parametri'!$B$6*B597))),MAX(0,3*B561-(F596-MIN(MAX(F596,0),MAX(0,B561-IF($A597&gt;='1-Input'!$C$12,'1-Input'!$B$12,0)))))*(1/(1-'P-Parametri'!$B$6*B597))))</f>
        <v>6992.6952541384699</v>
      </c>
      <c r="D597" s="18">
        <f>IF($A597&gt;'1-Input'!$B$26,F596,(F596-MAX(0,B561-IF($A597&gt;='1-Input'!$C$12,'1-Input'!$B$12,0))+C597*(1-'P-Parametri'!$B$6*B597))*(1+'1-Input'!$B$27))</f>
        <v>49863.010546479447</v>
      </c>
      <c r="E597" s="18">
        <f>IF($A597&gt;'1-Input'!$B$26,G596,(G596-C597)*(1+$C$4))</f>
        <v>88339.429865875252</v>
      </c>
      <c r="F597" s="18">
        <f>IF($A597&gt;'1-Input'!$B$26,D597,D597-'P-Parametri'!$B$8*(E597+D597)+MIN(MAX(E597,0),'P-Parametri'!$B$8*(E597+D597)))</f>
        <v>49863.010546479447</v>
      </c>
      <c r="G597" s="18">
        <f>IF($A597&gt;'1-Input'!$B$26,E597,E597-MIN(MAX(E597,0),'P-Parametri'!$B$8*(E597+D597)))</f>
        <v>88063.02498505055</v>
      </c>
      <c r="H597" s="18">
        <f>IF($A597&gt;'1-Input'!$B$26,H596,H596-C597*(1-B597))</f>
        <v>27578.477133151315</v>
      </c>
      <c r="I597" s="11">
        <f>IF($A597&gt;'1-Input'!$B$26,0,IF(N596&lt;=0,0,MAX(0,(N596-O596)/N596)))</f>
        <v>0</v>
      </c>
      <c r="J597" s="18">
        <f>IF($A597&gt;'1-Input'!$B$26,0,(MAX(0,I561-IF($A597&gt;='1-Input'!$C$12,'1-Input'!$B$12,0))-MIN(MAX(M596,0),MAX(0,I561-IF($A597&gt;='1-Input'!$C$12,'1-Input'!$B$12,0))))*(1/(1-'P-Parametri'!$B$6*I597))+MIN(MAX(0,N596-(MAX(0,I561-IF($A597&gt;='1-Input'!$C$12,'1-Input'!$B$12,0))-MIN(MAX(M596,0),MAX(0,I561-IF($A597&gt;='1-Input'!$C$12,'1-Input'!$B$12,0))))*(1/(1-'P-Parametri'!$B$6*I597))),MAX(0,3*I561-(M596-MIN(MAX(M596,0),MAX(0,I561-IF($A597&gt;='1-Input'!$C$12,'1-Input'!$B$12,0)))))*(1/(1-'P-Parametri'!$B$6*I597))))</f>
        <v>10846.756992928691</v>
      </c>
      <c r="K597" s="18">
        <f>IF($A597&gt;'1-Input'!$B$26,M596,(M596-MAX(0,I561-IF($A597&gt;='1-Input'!$C$12,'1-Input'!$B$12,0))+J597*(1-'P-Parametri'!$B$6*I597))*(1+'1-Input'!$B$27))</f>
        <v>0</v>
      </c>
      <c r="L597" s="18">
        <f>IF($A597&gt;'1-Input'!$B$26,N596,(N596-J597)*(1+$C$4))</f>
        <v>-150251.22673945944</v>
      </c>
      <c r="M597" s="18">
        <f>IF($A597&gt;'1-Input'!$B$26,K597,K597-'P-Parametri'!$B$8*(L597+K597)+MIN(MAX(L597,0),'P-Parametri'!$B$8*(L597+K597)))</f>
        <v>0</v>
      </c>
      <c r="N597" s="18">
        <f>IF($A597&gt;'1-Input'!$B$26,L597,L597-MIN(MAX(L597,0),'P-Parametri'!$B$8*(L597+K597)))</f>
        <v>-149950.72428598051</v>
      </c>
      <c r="O597" s="18">
        <f>IF($A597&gt;'1-Input'!$B$26,O596,O596-J597*(1-I597))</f>
        <v>-125528.19588478043</v>
      </c>
      <c r="P597" s="11">
        <f>IF($A597&gt;'1-Input'!$B$26,0,IF(U596&lt;=0,0,MAX(0,(U596-V596)/U596)))</f>
        <v>0.6738936675651539</v>
      </c>
      <c r="Q597" s="18">
        <f>IF($A597&gt;'1-Input'!$B$26,0,(MAX(0,P561-IF($A597&gt;='1-Input'!$C$12,'1-Input'!$B$12,0))-MIN(MAX(T596,0),MAX(0,P561-IF($A597&gt;='1-Input'!$C$12,'1-Input'!$B$12,0))))*(1/(1-'P-Parametri'!$B$6*P597))+MIN(MAX(0,U596-(MAX(0,P561-IF($A597&gt;='1-Input'!$C$12,'1-Input'!$B$12,0))-MIN(MAX(T596,0),MAX(0,P561-IF($A597&gt;='1-Input'!$C$12,'1-Input'!$B$12,0))))*(1/(1-'P-Parametri'!$B$6*P597))),MAX(0,3*P561-(T596-MIN(MAX(T596,0),MAX(0,P561-IF($A597&gt;='1-Input'!$C$12,'1-Input'!$B$12,0)))))*(1/(1-'P-Parametri'!$B$6*P597))))</f>
        <v>8143.2047648968764</v>
      </c>
      <c r="R597" s="18">
        <f>IF($A597&gt;'1-Input'!$B$26,T596,(T596-MAX(0,P561-IF($A597&gt;='1-Input'!$C$12,'1-Input'!$B$12,0))+Q597*(1-'P-Parametri'!$B$6*P597))*(1+'1-Input'!$B$27))</f>
        <v>52693.713097256354</v>
      </c>
      <c r="S597" s="18">
        <f>IF($A597&gt;'1-Input'!$B$26,U596,(U596-Q597)*(1+$C$4))</f>
        <v>18880.814001813891</v>
      </c>
      <c r="T597" s="18">
        <f>IF($A597&gt;'1-Input'!$B$26,R597,R597-'P-Parametri'!$B$8*(S597+R597)+MIN(MAX(S597,0),'P-Parametri'!$B$8*(S597+R597)))</f>
        <v>52693.713097256354</v>
      </c>
      <c r="U597" s="18">
        <f>IF($A597&gt;'1-Input'!$B$26,S597,S597-MIN(MAX(S597,0),'P-Parametri'!$B$8*(S597+R597)))</f>
        <v>18737.664947615751</v>
      </c>
      <c r="V597" s="18">
        <f>IF($A597&gt;'1-Input'!$B$26,V596,V596-Q597*(1-P597))</f>
        <v>5977.8184538990454</v>
      </c>
      <c r="W597" s="11">
        <f>IF($A597&gt;'1-Input'!$B$26,0,IF(AB596&lt;=0,0,MAX(0,(AB596-AC596)/AB596)))</f>
        <v>0.67456153735919577</v>
      </c>
      <c r="X597" s="18">
        <f>IF($A597&gt;'1-Input'!$B$26,0,(MAX(0,W561-IF($A597&gt;='1-Input'!$C$12,'1-Input'!$B$12,0))-MIN(MAX(AA596,0),MAX(0,W561-IF($A597&gt;='1-Input'!$C$12,'1-Input'!$B$12,0))))*(1/(1-'P-Parametri'!$B$6*W597))+MIN(MAX(0,AB596-(MAX(0,W561-IF($A597&gt;='1-Input'!$C$12,'1-Input'!$B$12,0))-MIN(MAX(AA596,0),MAX(0,W561-IF($A597&gt;='1-Input'!$C$12,'1-Input'!$B$12,0))))*(1/(1-'P-Parametri'!$B$6*W597))),MAX(0,3*W561-(AA596-MIN(MAX(AA596,0),MAX(0,W561-IF($A597&gt;='1-Input'!$C$12,'1-Input'!$B$12,0)))))*(1/(1-'P-Parametri'!$B$6*W597))))</f>
        <v>8063.946483437503</v>
      </c>
      <c r="Y597" s="18">
        <f>IF($A597&gt;'1-Input'!$B$26,AA596,(AA596-MAX(0,W561-IF($A597&gt;='1-Input'!$C$12,'1-Input'!$B$12,0))+X597*(1-'P-Parametri'!$B$6*W597))*(1+'1-Input'!$B$27))</f>
        <v>52496.252233084</v>
      </c>
      <c r="Z597" s="18">
        <f>IF($A597&gt;'1-Input'!$B$26,AB596,(AB596-X597)*(1+$C$4))</f>
        <v>23721.800863413268</v>
      </c>
      <c r="AA597" s="18">
        <f>IF($A597&gt;'1-Input'!$B$26,Y597,Y597-'P-Parametri'!$B$8*(Z597+Y597)+MIN(MAX(Z597,0),'P-Parametri'!$B$8*(Z597+Y597)))</f>
        <v>52496.252233084</v>
      </c>
      <c r="AB597" s="18">
        <f>IF($A597&gt;'1-Input'!$B$26,Z597,Z597-MIN(MAX(Z597,0),'P-Parametri'!$B$8*(Z597+Y597)))</f>
        <v>23569.364757220272</v>
      </c>
      <c r="AC597" s="18">
        <f>IF($A597&gt;'1-Input'!$B$26,AC596,AC596-X597*(1-W597))</f>
        <v>7495.1324311267153</v>
      </c>
      <c r="AD597" s="11">
        <f>IF($A597&gt;'1-Input'!$B$26,0,IF(AI596&lt;=0,0,MAX(0,(AI596-AJ596)/AI596)))</f>
        <v>0.67463156544096869</v>
      </c>
      <c r="AE597" s="18">
        <f>IF($A597&gt;'1-Input'!$B$26,0,(MAX(0,AD561-IF($A597&gt;='1-Input'!$C$12,'1-Input'!$B$12,0))-MIN(MAX(AH596,0),MAX(0,AD561-IF($A597&gt;='1-Input'!$C$12,'1-Input'!$B$12,0))))*(1/(1-'P-Parametri'!$B$6*AD597))+MIN(MAX(0,AI596-(MAX(0,AD561-IF($A597&gt;='1-Input'!$C$12,'1-Input'!$B$12,0))-MIN(MAX(AH596,0),MAX(0,AD561-IF($A597&gt;='1-Input'!$C$12,'1-Input'!$B$12,0))))*(1/(1-'P-Parametri'!$B$6*AD597))),MAX(0,3*AD561-(AH596-MIN(MAX(AH596,0),MAX(0,AD561-IF($A597&gt;='1-Input'!$C$12,'1-Input'!$B$12,0)))))*(1/(1-'P-Parametri'!$B$6*AD597))))</f>
        <v>8054.6295586759697</v>
      </c>
      <c r="AF597" s="18">
        <f>IF($A597&gt;'1-Input'!$B$26,AH596,(AH596-MAX(0,AD561-IF($A597&gt;='1-Input'!$C$12,'1-Input'!$B$12,0))+AE597*(1-'P-Parametri'!$B$6*AD597))*(1+'1-Input'!$B$27))</f>
        <v>52473.098295428375</v>
      </c>
      <c r="AG597" s="18">
        <f>IF($A597&gt;'1-Input'!$B$26,AI596,(AI596-AE597)*(1+$C$4))</f>
        <v>24289.522260502355</v>
      </c>
      <c r="AH597" s="18">
        <f>IF($A597&gt;'1-Input'!$B$26,AF597,AF597-'P-Parametri'!$B$8*(AG597+AF597)+MIN(MAX(AG597,0),'P-Parametri'!$B$8*(AG597+AF597)))</f>
        <v>52473.098295428375</v>
      </c>
      <c r="AI597" s="18">
        <f>IF($A597&gt;'1-Input'!$B$26,AG597,AG597-MIN(MAX(AG597,0),'P-Parametri'!$B$8*(AG597+AF597)))</f>
        <v>24135.997019390496</v>
      </c>
      <c r="AJ597" s="18">
        <f>IF($A597&gt;'1-Input'!$B$26,AJ596,AJ596-AE597*(1-AD597))</f>
        <v>7672.8580913460137</v>
      </c>
      <c r="AK597" s="11">
        <f>IF($A597&gt;'1-Input'!$B$26,0,IF(AP596&lt;=0,0,MAX(0,(AP596-AQ596)/AP596)))</f>
        <v>0.67462745375565458</v>
      </c>
      <c r="AL597" s="18">
        <f>IF($A597&gt;'1-Input'!$B$26,0,(MAX(0,AK561-IF($A597&gt;='1-Input'!$C$12,'1-Input'!$B$12,0))-MIN(MAX(AO596,0),MAX(0,AK561-IF($A597&gt;='1-Input'!$C$12,'1-Input'!$B$12,0))))*(1/(1-'P-Parametri'!$B$6*AK597))+MIN(MAX(0,AP596-(MAX(0,AK561-IF($A597&gt;='1-Input'!$C$12,'1-Input'!$B$12,0))-MIN(MAX(AO596,0),MAX(0,AK561-IF($A597&gt;='1-Input'!$C$12,'1-Input'!$B$12,0))))*(1/(1-'P-Parametri'!$B$6*AK597))),MAX(0,3*AK561-(AO596-MIN(MAX(AO596,0),MAX(0,AK561-IF($A597&gt;='1-Input'!$C$12,'1-Input'!$B$12,0)))))*(1/(1-'P-Parametri'!$B$6*AK597))))</f>
        <v>8055.1823531681002</v>
      </c>
      <c r="AM597" s="18">
        <f>IF($A597&gt;'1-Input'!$B$26,AO596,(AO596-MAX(0,AK561-IF($A597&gt;='1-Input'!$C$12,'1-Input'!$B$12,0))+AL597*(1-'P-Parametri'!$B$6*AK597))*(1+'1-Input'!$B$27))</f>
        <v>52474.471775783059</v>
      </c>
      <c r="AN597" s="18">
        <f>IF($A597&gt;'1-Input'!$B$26,AP596,(AP596-AL597)*(1+$C$4))</f>
        <v>24255.844898157193</v>
      </c>
      <c r="AO597" s="18">
        <f>IF($A597&gt;'1-Input'!$B$26,AM597,AM597-'P-Parametri'!$B$8*(AN597+AM597)+MIN(MAX(AN597,0),'P-Parametri'!$B$8*(AN597+AM597)))</f>
        <v>52474.471775783059</v>
      </c>
      <c r="AP597" s="18">
        <f>IF($A597&gt;'1-Input'!$B$26,AN597,AN597-MIN(MAX(AN597,0),'P-Parametri'!$B$8*(AN597+AM597)))</f>
        <v>24102.384264809312</v>
      </c>
      <c r="AQ597" s="18">
        <f>IF($A597&gt;'1-Input'!$B$26,AQ596,AQ596-AL597*(1-AK597))</f>
        <v>7662.3165202148739</v>
      </c>
    </row>
    <row r="598" spans="1:43">
      <c r="A598" s="10">
        <f>35</f>
        <v>35</v>
      </c>
      <c r="B598" s="11">
        <f>IF($A598&gt;'1-Input'!$B$26,0,IF(G597&lt;=0,0,MAX(0,(G597-H597)/G597)))</f>
        <v>0.68683250276909069</v>
      </c>
      <c r="C598" s="18">
        <f>IF($A598&gt;'1-Input'!$B$26,0,(MAX(0,B561-IF($A598&gt;='1-Input'!$C$12,'1-Input'!$B$12,0))-MIN(MAX(F597,0),MAX(0,B561-IF($A598&gt;='1-Input'!$C$12,'1-Input'!$B$12,0))))*(1/(1-'P-Parametri'!$B$6*B598))+MIN(MAX(0,G597-(MAX(0,B561-IF($A598&gt;='1-Input'!$C$12,'1-Input'!$B$12,0))-MIN(MAX(F597,0),MAX(0,B561-IF($A598&gt;='1-Input'!$C$12,'1-Input'!$B$12,0))))*(1/(1-'P-Parametri'!$B$6*B598))),MAX(0,3*B561-(F597-MIN(MAX(F597,0),MAX(0,B561-IF($A598&gt;='1-Input'!$C$12,'1-Input'!$B$12,0)))))*(1/(1-'P-Parametri'!$B$6*B598))))</f>
        <v>7011.2559069819863</v>
      </c>
      <c r="D598" s="18">
        <f>IF($A598&gt;'1-Input'!$B$26,F597,(F597-MAX(0,B561-IF($A598&gt;='1-Input'!$C$12,'1-Input'!$B$12,0))+C598*(1-'P-Parametri'!$B$6*B598))*(1+'1-Input'!$B$27))</f>
        <v>49863.010546479447</v>
      </c>
      <c r="E598" s="18">
        <f>IF($A598&gt;'1-Input'!$B$26,G597,(G597-C598)*(1+$C$4))</f>
        <v>83483.322150410619</v>
      </c>
      <c r="F598" s="18">
        <f>IF($A598&gt;'1-Input'!$B$26,D598,D598-'P-Parametri'!$B$8*(E598+D598)+MIN(MAX(E598,0),'P-Parametri'!$B$8*(E598+D598)))</f>
        <v>49863.010546479447</v>
      </c>
      <c r="G598" s="18">
        <f>IF($A598&gt;'1-Input'!$B$26,E598,E598-MIN(MAX(E598,0),'P-Parametri'!$B$8*(E598+D598)))</f>
        <v>83216.629485016834</v>
      </c>
      <c r="H598" s="18">
        <f>IF($A598&gt;'1-Input'!$B$26,H597,H597-C598*(1-B598))</f>
        <v>25382.779668316336</v>
      </c>
      <c r="I598" s="11">
        <f>IF($A598&gt;'1-Input'!$B$26,0,IF(N597&lt;=0,0,MAX(0,(N597-O597)/N597)))</f>
        <v>0</v>
      </c>
      <c r="J598" s="18">
        <f>IF($A598&gt;'1-Input'!$B$26,0,(MAX(0,I561-IF($A598&gt;='1-Input'!$C$12,'1-Input'!$B$12,0))-MIN(MAX(M597,0),MAX(0,I561-IF($A598&gt;='1-Input'!$C$12,'1-Input'!$B$12,0))))*(1/(1-'P-Parametri'!$B$6*I598))+MIN(MAX(0,N597-(MAX(0,I561-IF($A598&gt;='1-Input'!$C$12,'1-Input'!$B$12,0))-MIN(MAX(M597,0),MAX(0,I561-IF($A598&gt;='1-Input'!$C$12,'1-Input'!$B$12,0))))*(1/(1-'P-Parametri'!$B$6*I598))),MAX(0,3*I561-(M597-MIN(MAX(M597,0),MAX(0,I561-IF($A598&gt;='1-Input'!$C$12,'1-Input'!$B$12,0)))))*(1/(1-'P-Parametri'!$B$6*I598))))</f>
        <v>10846.756992928691</v>
      </c>
      <c r="K598" s="18">
        <f>IF($A598&gt;'1-Input'!$B$26,M597,(M597-MAX(0,I561-IF($A598&gt;='1-Input'!$C$12,'1-Input'!$B$12,0))+J598*(1-'P-Parametri'!$B$6*I598))*(1+'1-Input'!$B$27))</f>
        <v>0</v>
      </c>
      <c r="L598" s="18">
        <f>IF($A598&gt;'1-Input'!$B$26,N597,(N597-J598)*(1+$C$4))</f>
        <v>-165621.40571727647</v>
      </c>
      <c r="M598" s="18">
        <f>IF($A598&gt;'1-Input'!$B$26,K598,K598-'P-Parametri'!$B$8*(L598+K598)+MIN(MAX(L598,0),'P-Parametri'!$B$8*(L598+K598)))</f>
        <v>0</v>
      </c>
      <c r="N598" s="18">
        <f>IF($A598&gt;'1-Input'!$B$26,L598,L598-MIN(MAX(L598,0),'P-Parametri'!$B$8*(L598+K598)))</f>
        <v>-165290.16290584192</v>
      </c>
      <c r="O598" s="18">
        <f>IF($A598&gt;'1-Input'!$B$26,O597,O597-J598*(1-I598))</f>
        <v>-136374.95287770912</v>
      </c>
      <c r="P598" s="11">
        <f>IF($A598&gt;'1-Input'!$B$26,0,IF(U597&lt;=0,0,MAX(0,(U597-V597)/U597)))</f>
        <v>0.68097313776230772</v>
      </c>
      <c r="Q598" s="18">
        <f>IF($A598&gt;'1-Input'!$B$26,0,(MAX(0,P561-IF($A598&gt;='1-Input'!$C$12,'1-Input'!$B$12,0))-MIN(MAX(T597,0),MAX(0,P561-IF($A598&gt;='1-Input'!$C$12,'1-Input'!$B$12,0))))*(1/(1-'P-Parametri'!$B$6*P598))+MIN(MAX(0,U597-(MAX(0,P561-IF($A598&gt;='1-Input'!$C$12,'1-Input'!$B$12,0))-MIN(MAX(T597,0),MAX(0,P561-IF($A598&gt;='1-Input'!$C$12,'1-Input'!$B$12,0))))*(1/(1-'P-Parametri'!$B$6*P598))),MAX(0,3*P561-(T597-MIN(MAX(T597,0),MAX(0,P561-IF($A598&gt;='1-Input'!$C$12,'1-Input'!$B$12,0)))))*(1/(1-'P-Parametri'!$B$6*P598))))</f>
        <v>8161.4184407510129</v>
      </c>
      <c r="R598" s="18">
        <f>IF($A598&gt;'1-Input'!$B$26,T597,(T597-MAX(0,P561-IF($A598&gt;='1-Input'!$C$12,'1-Input'!$B$12,0))+Q598*(1-'P-Parametri'!$B$6*P598))*(1+'1-Input'!$B$27))</f>
        <v>52693.713097256354</v>
      </c>
      <c r="S598" s="18">
        <f>IF($A598&gt;'1-Input'!$B$26,U597,(U597-Q598)*(1+$C$4))</f>
        <v>10893.53390207068</v>
      </c>
      <c r="T598" s="18">
        <f>IF($A598&gt;'1-Input'!$B$26,R598,R598-'P-Parametri'!$B$8*(S598+R598)+MIN(MAX(S598,0),'P-Parametri'!$B$8*(S598+R598)))</f>
        <v>52693.713097256354</v>
      </c>
      <c r="U598" s="18">
        <f>IF($A598&gt;'1-Input'!$B$26,S598,S598-MIN(MAX(S598,0),'P-Parametri'!$B$8*(S598+R598)))</f>
        <v>10766.359408072025</v>
      </c>
      <c r="V598" s="18">
        <f>IF($A598&gt;'1-Input'!$B$26,V597,V597-Q598*(1-P598))</f>
        <v>3374.1067373374108</v>
      </c>
      <c r="W598" s="11">
        <f>IF($A598&gt;'1-Input'!$B$26,0,IF(AB597&lt;=0,0,MAX(0,(AB597-AC597)/AB597)))</f>
        <v>0.68199684173368957</v>
      </c>
      <c r="X598" s="18">
        <f>IF($A598&gt;'1-Input'!$B$26,0,(MAX(0,W561-IF($A598&gt;='1-Input'!$C$12,'1-Input'!$B$12,0))-MIN(MAX(AA597,0),MAX(0,W561-IF($A598&gt;='1-Input'!$C$12,'1-Input'!$B$12,0))))*(1/(1-'P-Parametri'!$B$6*W598))+MIN(MAX(0,AB597-(MAX(0,W561-IF($A598&gt;='1-Input'!$C$12,'1-Input'!$B$12,0))-MIN(MAX(AA597,0),MAX(0,W561-IF($A598&gt;='1-Input'!$C$12,'1-Input'!$B$12,0))))*(1/(1-'P-Parametri'!$B$6*W598))),MAX(0,3*W561-(AA597-MIN(MAX(AA597,0),MAX(0,W561-IF($A598&gt;='1-Input'!$C$12,'1-Input'!$B$12,0)))))*(1/(1-'P-Parametri'!$B$6*W598))))</f>
        <v>8082.8955736628723</v>
      </c>
      <c r="Y598" s="18">
        <f>IF($A598&gt;'1-Input'!$B$26,AA597,(AA597-MAX(0,W561-IF($A598&gt;='1-Input'!$C$12,'1-Input'!$B$12,0))+X598*(1-'P-Parametri'!$B$6*W598))*(1+'1-Input'!$B$27))</f>
        <v>52496.252233084</v>
      </c>
      <c r="Z598" s="18">
        <f>IF($A598&gt;'1-Input'!$B$26,AB597,(AB597-X598)*(1+$C$4))</f>
        <v>15951.063259064122</v>
      </c>
      <c r="AA598" s="18">
        <f>IF($A598&gt;'1-Input'!$B$26,Y598,Y598-'P-Parametri'!$B$8*(Z598+Y598)+MIN(MAX(Z598,0),'P-Parametri'!$B$8*(Z598+Y598)))</f>
        <v>52496.252233084</v>
      </c>
      <c r="AB598" s="18">
        <f>IF($A598&gt;'1-Input'!$B$26,Z598,Z598-MIN(MAX(Z598,0),'P-Parametri'!$B$8*(Z598+Y598)))</f>
        <v>15814.168628079826</v>
      </c>
      <c r="AC598" s="18">
        <f>IF($A598&gt;'1-Input'!$B$26,AC597,AC597-X598*(1-W598))</f>
        <v>4924.7461107651416</v>
      </c>
      <c r="AD598" s="11">
        <f>IF($A598&gt;'1-Input'!$B$26,0,IF(AI597&lt;=0,0,MAX(0,(AI597-AJ597)/AI597)))</f>
        <v>0.68209897916453355</v>
      </c>
      <c r="AE598" s="18">
        <f>IF($A598&gt;'1-Input'!$B$26,0,(MAX(0,AD561-IF($A598&gt;='1-Input'!$C$12,'1-Input'!$B$12,0))-MIN(MAX(AH597,0),MAX(0,AD561-IF($A598&gt;='1-Input'!$C$12,'1-Input'!$B$12,0))))*(1/(1-'P-Parametri'!$B$6*AD598))+MIN(MAX(0,AI597-(MAX(0,AD561-IF($A598&gt;='1-Input'!$C$12,'1-Input'!$B$12,0))-MIN(MAX(AH597,0),MAX(0,AD561-IF($A598&gt;='1-Input'!$C$12,'1-Input'!$B$12,0))))*(1/(1-'P-Parametri'!$B$6*AD598))),MAX(0,3*AD561-(AH597-MIN(MAX(AH597,0),MAX(0,AD561-IF($A598&gt;='1-Input'!$C$12,'1-Input'!$B$12,0)))))*(1/(1-'P-Parametri'!$B$6*AD598))))</f>
        <v>8073.639106181673</v>
      </c>
      <c r="AF598" s="18">
        <f>IF($A598&gt;'1-Input'!$B$26,AH597,(AH597-MAX(0,AD561-IF($A598&gt;='1-Input'!$C$12,'1-Input'!$B$12,0))+AE598*(1-'P-Parametri'!$B$6*AD598))*(1+'1-Input'!$B$27))</f>
        <v>52473.098295428375</v>
      </c>
      <c r="AG598" s="18">
        <f>IF($A598&gt;'1-Input'!$B$26,AI597,(AI597-AE598)*(1+$C$4))</f>
        <v>16544.228650605088</v>
      </c>
      <c r="AH598" s="18">
        <f>IF($A598&gt;'1-Input'!$B$26,AF598,AF598-'P-Parametri'!$B$8*(AG598+AF598)+MIN(MAX(AG598,0),'P-Parametri'!$B$8*(AG598+AF598)))</f>
        <v>52473.098295428375</v>
      </c>
      <c r="AI598" s="18">
        <f>IF($A598&gt;'1-Input'!$B$26,AG598,AG598-MIN(MAX(AG598,0),'P-Parametri'!$B$8*(AG598+AF598)))</f>
        <v>16406.19399671302</v>
      </c>
      <c r="AJ598" s="18">
        <f>IF($A598&gt;'1-Input'!$B$26,AJ597,AJ597-AE598*(1-AD598))</f>
        <v>5106.239977633717</v>
      </c>
      <c r="AK598" s="11">
        <f>IF($A598&gt;'1-Input'!$B$26,0,IF(AP597&lt;=0,0,MAX(0,(AP597-AQ597)/AP597)))</f>
        <v>0.68209300640010795</v>
      </c>
      <c r="AL598" s="18">
        <f>IF($A598&gt;'1-Input'!$B$26,0,(MAX(0,AK561-IF($A598&gt;='1-Input'!$C$12,'1-Input'!$B$12,0))-MIN(MAX(AO597,0),MAX(0,AK561-IF($A598&gt;='1-Input'!$C$12,'1-Input'!$B$12,0))))*(1/(1-'P-Parametri'!$B$6*AK598))+MIN(MAX(0,AP597-(MAX(0,AK561-IF($A598&gt;='1-Input'!$C$12,'1-Input'!$B$12,0))-MIN(MAX(AO597,0),MAX(0,AK561-IF($A598&gt;='1-Input'!$C$12,'1-Input'!$B$12,0))))*(1/(1-'P-Parametri'!$B$6*AK598))),MAX(0,3*AK561-(AO597-MIN(MAX(AO597,0),MAX(0,AK561-IF($A598&gt;='1-Input'!$C$12,'1-Input'!$B$12,0)))))*(1/(1-'P-Parametri'!$B$6*AK598))))</f>
        <v>8074.1884314213012</v>
      </c>
      <c r="AM598" s="18">
        <f>IF($A598&gt;'1-Input'!$B$26,AO597,(AO597-MAX(0,AK561-IF($A598&gt;='1-Input'!$C$12,'1-Input'!$B$12,0))+AL598*(1-'P-Parametri'!$B$6*AK598))*(1+'1-Input'!$B$27))</f>
        <v>52474.471775783059</v>
      </c>
      <c r="AN598" s="18">
        <f>IF($A598&gt;'1-Input'!$B$26,AP597,(AP597-AL598)*(1+$C$4))</f>
        <v>16509.04170838965</v>
      </c>
      <c r="AO598" s="18">
        <f>IF($A598&gt;'1-Input'!$B$26,AM598,AM598-'P-Parametri'!$B$8*(AN598+AM598)+MIN(MAX(AN598,0),'P-Parametri'!$B$8*(AN598+AM598)))</f>
        <v>52474.471775783059</v>
      </c>
      <c r="AP598" s="18">
        <f>IF($A598&gt;'1-Input'!$B$26,AN598,AN598-MIN(MAX(AN598,0),'P-Parametri'!$B$8*(AN598+AM598)))</f>
        <v>16371.074681421305</v>
      </c>
      <c r="AQ598" s="18">
        <f>IF($A598&gt;'1-Input'!$B$26,AQ597,AQ597-AL598*(1-AK598))</f>
        <v>5095.4755502226999</v>
      </c>
    </row>
    <row r="599" spans="1:43">
      <c r="A599" s="10">
        <f>36</f>
        <v>36</v>
      </c>
      <c r="B599" s="11">
        <f>IF($A599&gt;'1-Input'!$B$26,0,IF(G598&lt;=0,0,MAX(0,(G598-H598)/G598)))</f>
        <v>0.69497947915702951</v>
      </c>
      <c r="C599" s="18">
        <f>IF($A599&gt;'1-Input'!$B$26,0,(MAX(0,B561-IF($A599&gt;='1-Input'!$C$12,'1-Input'!$B$12,0))-MIN(MAX(F598,0),MAX(0,B561-IF($A599&gt;='1-Input'!$C$12,'1-Input'!$B$12,0))))*(1/(1-'P-Parametri'!$B$6*B599))+MIN(MAX(0,G598-(MAX(0,B561-IF($A599&gt;='1-Input'!$C$12,'1-Input'!$B$12,0))-MIN(MAX(F598,0),MAX(0,B561-IF($A599&gt;='1-Input'!$C$12,'1-Input'!$B$12,0))))*(1/(1-'P-Parametri'!$B$6*B599))),MAX(0,3*B561-(F598-MIN(MAX(F598,0),MAX(0,B561-IF($A599&gt;='1-Input'!$C$12,'1-Input'!$B$12,0)))))*(1/(1-'P-Parametri'!$B$6*B599))))</f>
        <v>7029.3826526556677</v>
      </c>
      <c r="D599" s="18">
        <f>IF($A599&gt;'1-Input'!$B$26,F598,(F598-MAX(0,B561-IF($A599&gt;='1-Input'!$C$12,'1-Input'!$B$12,0))+C599*(1-'P-Parametri'!$B$6*B599))*(1+'1-Input'!$B$27))</f>
        <v>49863.010546479447</v>
      </c>
      <c r="E599" s="18">
        <f>IF($A599&gt;'1-Input'!$B$26,G598,(G598-C599)*(1+$C$4))</f>
        <v>78472.864237332004</v>
      </c>
      <c r="F599" s="18">
        <f>IF($A599&gt;'1-Input'!$B$26,D599,D599-'P-Parametri'!$B$8*(E599+D599)+MIN(MAX(E599,0),'P-Parametri'!$B$8*(E599+D599)))</f>
        <v>49863.010546479447</v>
      </c>
      <c r="G599" s="18">
        <f>IF($A599&gt;'1-Input'!$B$26,E599,E599-MIN(MAX(E599,0),'P-Parametri'!$B$8*(E599+D599)))</f>
        <v>78216.192487764376</v>
      </c>
      <c r="H599" s="18">
        <f>IF($A599&gt;'1-Input'!$B$26,H598,H598-C599*(1-B599))</f>
        <v>23238.673710398762</v>
      </c>
      <c r="I599" s="11">
        <f>IF($A599&gt;'1-Input'!$B$26,0,IF(N598&lt;=0,0,MAX(0,(N598-O598)/N598)))</f>
        <v>0</v>
      </c>
      <c r="J599" s="18">
        <f>IF($A599&gt;'1-Input'!$B$26,0,(MAX(0,I561-IF($A599&gt;='1-Input'!$C$12,'1-Input'!$B$12,0))-MIN(MAX(M598,0),MAX(0,I561-IF($A599&gt;='1-Input'!$C$12,'1-Input'!$B$12,0))))*(1/(1-'P-Parametri'!$B$6*I599))+MIN(MAX(0,N598-(MAX(0,I561-IF($A599&gt;='1-Input'!$C$12,'1-Input'!$B$12,0))-MIN(MAX(M598,0),MAX(0,I561-IF($A599&gt;='1-Input'!$C$12,'1-Input'!$B$12,0))))*(1/(1-'P-Parametri'!$B$6*I599))),MAX(0,3*I561-(M598-MIN(MAX(M598,0),MAX(0,I561-IF($A599&gt;='1-Input'!$C$12,'1-Input'!$B$12,0)))))*(1/(1-'P-Parametri'!$B$6*I599))))</f>
        <v>10846.756992928691</v>
      </c>
      <c r="K599" s="18">
        <f>IF($A599&gt;'1-Input'!$B$26,M598,(M598-MAX(0,I561-IF($A599&gt;='1-Input'!$C$12,'1-Input'!$B$12,0))+J599*(1-'P-Parametri'!$B$6*I599))*(1+'1-Input'!$B$27))</f>
        <v>0</v>
      </c>
      <c r="L599" s="18">
        <f>IF($A599&gt;'1-Input'!$B$26,N598,(N598-J599)*(1+$C$4))</f>
        <v>-181421.02749573372</v>
      </c>
      <c r="M599" s="18">
        <f>IF($A599&gt;'1-Input'!$B$26,K599,K599-'P-Parametri'!$B$8*(L599+K599)+MIN(MAX(L599,0),'P-Parametri'!$B$8*(L599+K599)))</f>
        <v>0</v>
      </c>
      <c r="N599" s="18">
        <f>IF($A599&gt;'1-Input'!$B$26,L599,L599-MIN(MAX(L599,0),'P-Parametri'!$B$8*(L599+K599)))</f>
        <v>-181058.18544074227</v>
      </c>
      <c r="O599" s="18">
        <f>IF($A599&gt;'1-Input'!$B$26,O598,O598-J599*(1-I599))</f>
        <v>-147221.7098706378</v>
      </c>
      <c r="P599" s="11">
        <f>IF($A599&gt;'1-Input'!$B$26,0,IF(U598&lt;=0,0,MAX(0,(U598-V598)/U598)))</f>
        <v>0.68660652970513958</v>
      </c>
      <c r="Q599" s="18">
        <f>IF($A599&gt;'1-Input'!$B$26,0,(MAX(0,P561-IF($A599&gt;='1-Input'!$C$12,'1-Input'!$B$12,0))-MIN(MAX(T598,0),MAX(0,P561-IF($A599&gt;='1-Input'!$C$12,'1-Input'!$B$12,0))))*(1/(1-'P-Parametri'!$B$6*P599))+MIN(MAX(0,U598-(MAX(0,P561-IF($A599&gt;='1-Input'!$C$12,'1-Input'!$B$12,0))-MIN(MAX(T598,0),MAX(0,P561-IF($A599&gt;='1-Input'!$C$12,'1-Input'!$B$12,0))))*(1/(1-'P-Parametri'!$B$6*P599))),MAX(0,3*P561-(T598-MIN(MAX(T598,0),MAX(0,P561-IF($A599&gt;='1-Input'!$C$12,'1-Input'!$B$12,0)))))*(1/(1-'P-Parametri'!$B$6*P599))))</f>
        <v>8175.970040800441</v>
      </c>
      <c r="R599" s="18">
        <f>IF($A599&gt;'1-Input'!$B$26,T598,(T598-MAX(0,P561-IF($A599&gt;='1-Input'!$C$12,'1-Input'!$B$12,0))+Q599*(1-'P-Parametri'!$B$6*P599))*(1+'1-Input'!$B$27))</f>
        <v>52693.713097256354</v>
      </c>
      <c r="S599" s="18">
        <f>IF($A599&gt;'1-Input'!$B$26,U598,(U598-Q599)*(1+$C$4))</f>
        <v>2668.1010482897314</v>
      </c>
      <c r="T599" s="18">
        <f>IF($A599&gt;'1-Input'!$B$26,R599,R599-'P-Parametri'!$B$8*(S599+R599)+MIN(MAX(S599,0),'P-Parametri'!$B$8*(S599+R599)))</f>
        <v>52693.713097256354</v>
      </c>
      <c r="U599" s="18">
        <f>IF($A599&gt;'1-Input'!$B$26,S599,S599-MIN(MAX(S599,0),'P-Parametri'!$B$8*(S599+R599)))</f>
        <v>2557.3774199986392</v>
      </c>
      <c r="V599" s="18">
        <f>IF($A599&gt;'1-Input'!$B$26,V598,V598-Q599*(1-P599))</f>
        <v>811.81111322414881</v>
      </c>
      <c r="W599" s="11">
        <f>IF($A599&gt;'1-Input'!$B$26,0,IF(AB598&lt;=0,0,MAX(0,(AB598-AC598)/AB598)))</f>
        <v>0.68858646783235233</v>
      </c>
      <c r="X599" s="18">
        <f>IF($A599&gt;'1-Input'!$B$26,0,(MAX(0,W561-IF($A599&gt;='1-Input'!$C$12,'1-Input'!$B$12,0))-MIN(MAX(AA598,0),MAX(0,W561-IF($A599&gt;='1-Input'!$C$12,'1-Input'!$B$12,0))))*(1/(1-'P-Parametri'!$B$6*W599))+MIN(MAX(0,AB598-(MAX(0,W561-IF($A599&gt;='1-Input'!$C$12,'1-Input'!$B$12,0))-MIN(MAX(AA598,0),MAX(0,W561-IF($A599&gt;='1-Input'!$C$12,'1-Input'!$B$12,0))))*(1/(1-'P-Parametri'!$B$6*W599))),MAX(0,3*W561-(AA598-MIN(MAX(AA598,0),MAX(0,W561-IF($A599&gt;='1-Input'!$C$12,'1-Input'!$B$12,0)))))*(1/(1-'P-Parametri'!$B$6*W599))))</f>
        <v>8099.7640211869548</v>
      </c>
      <c r="Y599" s="18">
        <f>IF($A599&gt;'1-Input'!$B$26,AA598,(AA598-MAX(0,W561-IF($A599&gt;='1-Input'!$C$12,'1-Input'!$B$12,0))+X599*(1-'P-Parametri'!$B$6*W599))*(1+'1-Input'!$B$27))</f>
        <v>52496.252233084</v>
      </c>
      <c r="Z599" s="18">
        <f>IF($A599&gt;'1-Input'!$B$26,AB598,(AB598-X599)*(1+$C$4))</f>
        <v>7945.8367450996575</v>
      </c>
      <c r="AA599" s="18">
        <f>IF($A599&gt;'1-Input'!$B$26,Y599,Y599-'P-Parametri'!$B$8*(Z599+Y599)+MIN(MAX(Z599,0),'P-Parametri'!$B$8*(Z599+Y599)))</f>
        <v>52496.252233084</v>
      </c>
      <c r="AB599" s="18">
        <f>IF($A599&gt;'1-Input'!$B$26,Z599,Z599-MIN(MAX(Z599,0),'P-Parametri'!$B$8*(Z599+Y599)))</f>
        <v>7824.9525671432903</v>
      </c>
      <c r="AC599" s="18">
        <f>IF($A599&gt;'1-Input'!$B$26,AC598,AC598-X599*(1-W599))</f>
        <v>2402.3699872028824</v>
      </c>
      <c r="AD599" s="11">
        <f>IF($A599&gt;'1-Input'!$B$26,0,IF(AI598&lt;=0,0,MAX(0,(AI598-AJ598)/AI598)))</f>
        <v>0.68876145322572979</v>
      </c>
      <c r="AE599" s="18">
        <f>IF($A599&gt;'1-Input'!$B$26,0,(MAX(0,AD561-IF($A599&gt;='1-Input'!$C$12,'1-Input'!$B$12,0))-MIN(MAX(AH598,0),MAX(0,AD561-IF($A599&gt;='1-Input'!$C$12,'1-Input'!$B$12,0))))*(1/(1-'P-Parametri'!$B$6*AD599))+MIN(MAX(0,AI598-(MAX(0,AD561-IF($A599&gt;='1-Input'!$C$12,'1-Input'!$B$12,0))-MIN(MAX(AH598,0),MAX(0,AD561-IF($A599&gt;='1-Input'!$C$12,'1-Input'!$B$12,0))))*(1/(1-'P-Parametri'!$B$6*AD599))),MAX(0,3*AD561-(AH598-MIN(MAX(AH598,0),MAX(0,AD561-IF($A599&gt;='1-Input'!$C$12,'1-Input'!$B$12,0)))))*(1/(1-'P-Parametri'!$B$6*AD599))))</f>
        <v>8090.6754464366495</v>
      </c>
      <c r="AF599" s="18">
        <f>IF($A599&gt;'1-Input'!$B$26,AH598,(AH598-MAX(0,AD561-IF($A599&gt;='1-Input'!$C$12,'1-Input'!$B$12,0))+AE599*(1-'P-Parametri'!$B$6*AD599))*(1+'1-Input'!$B$27))</f>
        <v>52473.098295428375</v>
      </c>
      <c r="AG599" s="18">
        <f>IF($A599&gt;'1-Input'!$B$26,AI598,(AI598-AE599)*(1+$C$4))</f>
        <v>8564.9841067846628</v>
      </c>
      <c r="AH599" s="18">
        <f>IF($A599&gt;'1-Input'!$B$26,AF599,AF599-'P-Parametri'!$B$8*(AG599+AF599)+MIN(MAX(AG599,0),'P-Parametri'!$B$8*(AG599+AF599)))</f>
        <v>52473.098295428375</v>
      </c>
      <c r="AI599" s="18">
        <f>IF($A599&gt;'1-Input'!$B$26,AG599,AG599-MIN(MAX(AG599,0),'P-Parametri'!$B$8*(AG599+AF599)))</f>
        <v>8442.9079419802365</v>
      </c>
      <c r="AJ599" s="18">
        <f>IF($A599&gt;'1-Input'!$B$26,AJ598,AJ598-AE599*(1-AD599))</f>
        <v>2588.1099092625045</v>
      </c>
      <c r="AK599" s="11">
        <f>IF($A599&gt;'1-Input'!$B$26,0,IF(AP598&lt;=0,0,MAX(0,(AP598-AQ598)/AP598)))</f>
        <v>0.68875130989382793</v>
      </c>
      <c r="AL599" s="18">
        <f>IF($A599&gt;'1-Input'!$B$26,0,(MAX(0,AK561-IF($A599&gt;='1-Input'!$C$12,'1-Input'!$B$12,0))-MIN(MAX(AO598,0),MAX(0,AK561-IF($A599&gt;='1-Input'!$C$12,'1-Input'!$B$12,0))))*(1/(1-'P-Parametri'!$B$6*AK599))+MIN(MAX(0,AP598-(MAX(0,AK561-IF($A599&gt;='1-Input'!$C$12,'1-Input'!$B$12,0))-MIN(MAX(AO598,0),MAX(0,AK561-IF($A599&gt;='1-Input'!$C$12,'1-Input'!$B$12,0))))*(1/(1-'P-Parametri'!$B$6*AK599))),MAX(0,3*AK561-(AO598-MIN(MAX(AO598,0),MAX(0,AK561-IF($A599&gt;='1-Input'!$C$12,'1-Input'!$B$12,0)))))*(1/(1-'P-Parametri'!$B$6*AK599))))</f>
        <v>8091.215211004991</v>
      </c>
      <c r="AM599" s="18">
        <f>IF($A599&gt;'1-Input'!$B$26,AO598,(AO598-MAX(0,AK561-IF($A599&gt;='1-Input'!$C$12,'1-Input'!$B$12,0))+AL599*(1-'P-Parametri'!$B$6*AK599))*(1+'1-Input'!$B$27))</f>
        <v>52474.471775783059</v>
      </c>
      <c r="AN599" s="18">
        <f>IF($A599&gt;'1-Input'!$B$26,AP598,(AP598-AL599)*(1+$C$4))</f>
        <v>8528.2552545288054</v>
      </c>
      <c r="AO599" s="18">
        <f>IF($A599&gt;'1-Input'!$B$26,AM599,AM599-'P-Parametri'!$B$8*(AN599+AM599)+MIN(MAX(AN599,0),'P-Parametri'!$B$8*(AN599+AM599)))</f>
        <v>52474.471775783059</v>
      </c>
      <c r="AP599" s="18">
        <f>IF($A599&gt;'1-Input'!$B$26,AN599,AN599-MIN(MAX(AN599,0),'P-Parametri'!$B$8*(AN599+AM599)))</f>
        <v>8406.249800468182</v>
      </c>
      <c r="AQ599" s="18">
        <f>IF($A599&gt;'1-Input'!$B$26,AQ598,AQ598-AL599*(1-AK599))</f>
        <v>2577.0954144302618</v>
      </c>
    </row>
    <row r="600" spans="1:43">
      <c r="A600" s="10">
        <f>37</f>
        <v>37</v>
      </c>
      <c r="B600" s="11">
        <f>IF($A600&gt;'1-Input'!$B$26,0,IF(G599&lt;=0,0,MAX(0,(G599-H599)/G599)))</f>
        <v>0.70289178018945286</v>
      </c>
      <c r="C600" s="18">
        <f>IF($A600&gt;'1-Input'!$B$26,0,(MAX(0,B561-IF($A600&gt;='1-Input'!$C$12,'1-Input'!$B$12,0))-MIN(MAX(F599,0),MAX(0,B561-IF($A600&gt;='1-Input'!$C$12,'1-Input'!$B$12,0))))*(1/(1-'P-Parametri'!$B$6*B600))+MIN(MAX(0,G599-(MAX(0,B561-IF($A600&gt;='1-Input'!$C$12,'1-Input'!$B$12,0))-MIN(MAX(F599,0),MAX(0,B561-IF($A600&gt;='1-Input'!$C$12,'1-Input'!$B$12,0))))*(1/(1-'P-Parametri'!$B$6*B600))),MAX(0,3*B561-(F599-MIN(MAX(F599,0),MAX(0,B561-IF($A600&gt;='1-Input'!$C$12,'1-Input'!$B$12,0)))))*(1/(1-'P-Parametri'!$B$6*B600))))</f>
        <v>7047.0771975115204</v>
      </c>
      <c r="D600" s="18">
        <f>IF($A600&gt;'1-Input'!$B$26,F599,(F599-MAX(0,B561-IF($A600&gt;='1-Input'!$C$12,'1-Input'!$B$12,0))+C600*(1-'P-Parametri'!$B$6*B600))*(1+'1-Input'!$B$27))</f>
        <v>49863.010546479447</v>
      </c>
      <c r="E600" s="18">
        <f>IF($A600&gt;'1-Input'!$B$26,G599,(G599-C600)*(1+$C$4))</f>
        <v>73304.188748960441</v>
      </c>
      <c r="F600" s="18">
        <f>IF($A600&gt;'1-Input'!$B$26,D600,D600-'P-Parametri'!$B$8*(E600+D600)+MIN(MAX(E600,0),'P-Parametri'!$B$8*(E600+D600)))</f>
        <v>49863.010546479447</v>
      </c>
      <c r="G600" s="18">
        <f>IF($A600&gt;'1-Input'!$B$26,E600,E600-MIN(MAX(E600,0),'P-Parametri'!$B$8*(E600+D600)))</f>
        <v>73057.854350369555</v>
      </c>
      <c r="H600" s="18">
        <f>IF($A600&gt;'1-Input'!$B$26,H599,H599-C600*(1-B600))</f>
        <v>21144.929149378615</v>
      </c>
      <c r="I600" s="11">
        <f>IF($A600&gt;'1-Input'!$B$26,0,IF(N599&lt;=0,0,MAX(0,(N599-O599)/N599)))</f>
        <v>0</v>
      </c>
      <c r="J600" s="18">
        <f>IF($A600&gt;'1-Input'!$B$26,0,(MAX(0,I561-IF($A600&gt;='1-Input'!$C$12,'1-Input'!$B$12,0))-MIN(MAX(M599,0),MAX(0,I561-IF($A600&gt;='1-Input'!$C$12,'1-Input'!$B$12,0))))*(1/(1-'P-Parametri'!$B$6*I600))+MIN(MAX(0,N599-(MAX(0,I561-IF($A600&gt;='1-Input'!$C$12,'1-Input'!$B$12,0))-MIN(MAX(M599,0),MAX(0,I561-IF($A600&gt;='1-Input'!$C$12,'1-Input'!$B$12,0))))*(1/(1-'P-Parametri'!$B$6*I600))),MAX(0,3*I561-(M599-MIN(MAX(M599,0),MAX(0,I561-IF($A600&gt;='1-Input'!$C$12,'1-Input'!$B$12,0)))))*(1/(1-'P-Parametri'!$B$6*I600))))</f>
        <v>10846.756992928691</v>
      </c>
      <c r="K600" s="18">
        <f>IF($A600&gt;'1-Input'!$B$26,M599,(M599-MAX(0,I561-IF($A600&gt;='1-Input'!$C$12,'1-Input'!$B$12,0))+J600*(1-'P-Parametri'!$B$6*I600))*(1+'1-Input'!$B$27))</f>
        <v>0</v>
      </c>
      <c r="L600" s="18">
        <f>IF($A600&gt;'1-Input'!$B$26,N599,(N599-J600)*(1+$C$4))</f>
        <v>-197662.09070668108</v>
      </c>
      <c r="M600" s="18">
        <f>IF($A600&gt;'1-Input'!$B$26,K600,K600-'P-Parametri'!$B$8*(L600+K600)+MIN(MAX(L600,0),'P-Parametri'!$B$8*(L600+K600)))</f>
        <v>0</v>
      </c>
      <c r="N600" s="18">
        <f>IF($A600&gt;'1-Input'!$B$26,L600,L600-MIN(MAX(L600,0),'P-Parametri'!$B$8*(L600+K600)))</f>
        <v>-197266.76652526771</v>
      </c>
      <c r="O600" s="18">
        <f>IF($A600&gt;'1-Input'!$B$26,O599,O599-J600*(1-I600))</f>
        <v>-158068.46686356649</v>
      </c>
      <c r="P600" s="11">
        <f>IF($A600&gt;'1-Input'!$B$26,0,IF(U599&lt;=0,0,MAX(0,(U599-V599)/U599)))</f>
        <v>0.68256108508826174</v>
      </c>
      <c r="Q600" s="18">
        <f>IF($A600&gt;'1-Input'!$B$26,0,(MAX(0,P561-IF($A600&gt;='1-Input'!$C$12,'1-Input'!$B$12,0))-MIN(MAX(T599,0),MAX(0,P561-IF($A600&gt;='1-Input'!$C$12,'1-Input'!$B$12,0))))*(1/(1-'P-Parametri'!$B$6*P600))+MIN(MAX(0,U599-(MAX(0,P561-IF($A600&gt;='1-Input'!$C$12,'1-Input'!$B$12,0))-MIN(MAX(T599,0),MAX(0,P561-IF($A600&gt;='1-Input'!$C$12,'1-Input'!$B$12,0))))*(1/(1-'P-Parametri'!$B$6*P600))),MAX(0,3*P561-(T599-MIN(MAX(T599,0),MAX(0,P561-IF($A600&gt;='1-Input'!$C$12,'1-Input'!$B$12,0)))))*(1/(1-'P-Parametri'!$B$6*P600))))</f>
        <v>2557.3774199986392</v>
      </c>
      <c r="R600" s="18">
        <f>IF($A600&gt;'1-Input'!$B$26,T599,(T599-MAX(0,P561-IF($A600&gt;='1-Input'!$C$12,'1-Input'!$B$12,0))+Q600*(1-'P-Parametri'!$B$6*P600))*(1+'1-Input'!$B$27))</f>
        <v>48097.434969275862</v>
      </c>
      <c r="S600" s="18">
        <f>IF($A600&gt;'1-Input'!$B$26,U599,(U599-Q600)*(1+$C$4))</f>
        <v>0</v>
      </c>
      <c r="T600" s="18">
        <f>IF($A600&gt;'1-Input'!$B$26,R600,R600-'P-Parametri'!$B$8*(S600+R600)+MIN(MAX(S600,0),'P-Parametri'!$B$8*(S600+R600)))</f>
        <v>48001.240099337308</v>
      </c>
      <c r="U600" s="18">
        <f>IF($A600&gt;'1-Input'!$B$26,S600,S600-MIN(MAX(S600,0),'P-Parametri'!$B$8*(S600+R600)))</f>
        <v>0</v>
      </c>
      <c r="V600" s="18">
        <f>IF($A600&gt;'1-Input'!$B$26,V599,V599-Q600*(1-P600))</f>
        <v>1.1368683772161603E-13</v>
      </c>
      <c r="W600" s="11">
        <f>IF($A600&gt;'1-Input'!$B$26,0,IF(AB599&lt;=0,0,MAX(0,(AB599-AC599)/AB599)))</f>
        <v>0.69298600003144406</v>
      </c>
      <c r="X600" s="18">
        <f>IF($A600&gt;'1-Input'!$B$26,0,(MAX(0,W561-IF($A600&gt;='1-Input'!$C$12,'1-Input'!$B$12,0))-MIN(MAX(AA599,0),MAX(0,W561-IF($A600&gt;='1-Input'!$C$12,'1-Input'!$B$12,0))))*(1/(1-'P-Parametri'!$B$6*W600))+MIN(MAX(0,AB599-(MAX(0,W561-IF($A600&gt;='1-Input'!$C$12,'1-Input'!$B$12,0))-MIN(MAX(AA599,0),MAX(0,W561-IF($A600&gt;='1-Input'!$C$12,'1-Input'!$B$12,0))))*(1/(1-'P-Parametri'!$B$6*W600))),MAX(0,3*W561-(AA599-MIN(MAX(AA599,0),MAX(0,W561-IF($A600&gt;='1-Input'!$C$12,'1-Input'!$B$12,0)))))*(1/(1-'P-Parametri'!$B$6*W600))))</f>
        <v>7824.9525671432903</v>
      </c>
      <c r="Y600" s="18">
        <f>IF($A600&gt;'1-Input'!$B$26,AA599,(AA599-MAX(0,W561-IF($A600&gt;='1-Input'!$C$12,'1-Input'!$B$12,0))+X600*(1-'P-Parametri'!$B$6*W600))*(1+'1-Input'!$B$27))</f>
        <v>52262.534585095462</v>
      </c>
      <c r="Z600" s="18">
        <f>IF($A600&gt;'1-Input'!$B$26,AB599,(AB599-X600)*(1+$C$4))</f>
        <v>0</v>
      </c>
      <c r="AA600" s="18">
        <f>IF($A600&gt;'1-Input'!$B$26,Y600,Y600-'P-Parametri'!$B$8*(Z600+Y600)+MIN(MAX(Z600,0),'P-Parametri'!$B$8*(Z600+Y600)))</f>
        <v>52158.009515925274</v>
      </c>
      <c r="AB600" s="18">
        <f>IF($A600&gt;'1-Input'!$B$26,Z600,Z600-MIN(MAX(Z600,0),'P-Parametri'!$B$8*(Z600+Y600)))</f>
        <v>0</v>
      </c>
      <c r="AC600" s="18">
        <f>IF($A600&gt;'1-Input'!$B$26,AC599,AC599-X600*(1-W600))</f>
        <v>4.5474735088646412E-13</v>
      </c>
      <c r="AD600" s="11">
        <f>IF($A600&gt;'1-Input'!$B$26,0,IF(AI599&lt;=0,0,MAX(0,(AI599-AJ599)/AI599)))</f>
        <v>0.69345752351582812</v>
      </c>
      <c r="AE600" s="18">
        <f>IF($A600&gt;'1-Input'!$B$26,0,(MAX(0,AD561-IF($A600&gt;='1-Input'!$C$12,'1-Input'!$B$12,0))-MIN(MAX(AH599,0),MAX(0,AD561-IF($A600&gt;='1-Input'!$C$12,'1-Input'!$B$12,0))))*(1/(1-'P-Parametri'!$B$6*AD600))+MIN(MAX(0,AI599-(MAX(0,AD561-IF($A600&gt;='1-Input'!$C$12,'1-Input'!$B$12,0))-MIN(MAX(AH599,0),MAX(0,AD561-IF($A600&gt;='1-Input'!$C$12,'1-Input'!$B$12,0))))*(1/(1-'P-Parametri'!$B$6*AD600))),MAX(0,3*AD561-(AH599-MIN(MAX(AH599,0),MAX(0,AD561-IF($A600&gt;='1-Input'!$C$12,'1-Input'!$B$12,0)))))*(1/(1-'P-Parametri'!$B$6*AD600))))</f>
        <v>8102.7268388647808</v>
      </c>
      <c r="AF600" s="18">
        <f>IF($A600&gt;'1-Input'!$B$26,AH599,(AH599-MAX(0,AD561-IF($A600&gt;='1-Input'!$C$12,'1-Input'!$B$12,0))+AE600*(1-'P-Parametri'!$B$6*AD600))*(1+'1-Input'!$B$27))</f>
        <v>52473.098295428375</v>
      </c>
      <c r="AG600" s="18">
        <f>IF($A600&gt;'1-Input'!$B$26,AI599,(AI599-AE600)*(1+$C$4))</f>
        <v>350.38653620891938</v>
      </c>
      <c r="AH600" s="18">
        <f>IF($A600&gt;'1-Input'!$B$26,AF600,AF600-'P-Parametri'!$B$8*(AG600+AF600)+MIN(MAX(AG600,0),'P-Parametri'!$B$8*(AG600+AF600)))</f>
        <v>52473.098295428375</v>
      </c>
      <c r="AI600" s="18">
        <f>IF($A600&gt;'1-Input'!$B$26,AG600,AG600-MIN(MAX(AG600,0),'P-Parametri'!$B$8*(AG600+AF600)))</f>
        <v>244.73956654564478</v>
      </c>
      <c r="AJ600" s="18">
        <f>IF($A600&gt;'1-Input'!$B$26,AJ599,AJ599-AE600*(1-AD600))</f>
        <v>104.27995780212905</v>
      </c>
      <c r="AK600" s="11">
        <f>IF($A600&gt;'1-Input'!$B$26,0,IF(AP599&lt;=0,0,MAX(0,(AP599-AQ599)/AP599)))</f>
        <v>0.6934310214899001</v>
      </c>
      <c r="AL600" s="18">
        <f>IF($A600&gt;'1-Input'!$B$26,0,(MAX(0,AK561-IF($A600&gt;='1-Input'!$C$12,'1-Input'!$B$12,0))-MIN(MAX(AO599,0),MAX(0,AK561-IF($A600&gt;='1-Input'!$C$12,'1-Input'!$B$12,0))))*(1/(1-'P-Parametri'!$B$6*AK600))+MIN(MAX(0,AP599-(MAX(0,AK561-IF($A600&gt;='1-Input'!$C$12,'1-Input'!$B$12,0))-MIN(MAX(AO599,0),MAX(0,AK561-IF($A600&gt;='1-Input'!$C$12,'1-Input'!$B$12,0))))*(1/(1-'P-Parametri'!$B$6*AK600))),MAX(0,3*AK561-(AO599-MIN(MAX(AO599,0),MAX(0,AK561-IF($A600&gt;='1-Input'!$C$12,'1-Input'!$B$12,0)))))*(1/(1-'P-Parametri'!$B$6*AK600))))</f>
        <v>8103.2253228210502</v>
      </c>
      <c r="AM600" s="18">
        <f>IF($A600&gt;'1-Input'!$B$26,AO599,(AO599-MAX(0,AK561-IF($A600&gt;='1-Input'!$C$12,'1-Input'!$B$12,0))+AL600*(1-'P-Parametri'!$B$6*AK600))*(1+'1-Input'!$B$27))</f>
        <v>52474.471775783059</v>
      </c>
      <c r="AN600" s="18">
        <f>IF($A600&gt;'1-Input'!$B$26,AP599,(AP599-AL600)*(1+$C$4))</f>
        <v>312.11521197654577</v>
      </c>
      <c r="AO600" s="18">
        <f>IF($A600&gt;'1-Input'!$B$26,AM600,AM600-'P-Parametri'!$B$8*(AN600+AM600)+MIN(MAX(AN600,0),'P-Parametri'!$B$8*(AN600+AM600)))</f>
        <v>52474.471775783059</v>
      </c>
      <c r="AP600" s="18">
        <f>IF($A600&gt;'1-Input'!$B$26,AN600,AN600-MIN(MAX(AN600,0),'P-Parametri'!$B$8*(AN600+AM600)))</f>
        <v>206.54203800102655</v>
      </c>
      <c r="AQ600" s="18">
        <f>IF($A600&gt;'1-Input'!$B$26,AQ599,AQ599-AL600*(1-AK600))</f>
        <v>92.897904575837856</v>
      </c>
    </row>
    <row r="601" spans="1:43">
      <c r="A601" s="10">
        <f>38</f>
        <v>38</v>
      </c>
      <c r="B601" s="11">
        <f>IF($A601&gt;'1-Input'!$B$26,0,IF(G600&lt;=0,0,MAX(0,(G600-H600)/G600)))</f>
        <v>0.71057281469050348</v>
      </c>
      <c r="C601" s="18">
        <f>IF($A601&gt;'1-Input'!$B$26,0,(MAX(0,B561-IF($A601&gt;='1-Input'!$C$12,'1-Input'!$B$12,0))-MIN(MAX(F600,0),MAX(0,B561-IF($A601&gt;='1-Input'!$C$12,'1-Input'!$B$12,0))))*(1/(1-'P-Parametri'!$B$6*B601))+MIN(MAX(0,G600-(MAX(0,B561-IF($A601&gt;='1-Input'!$C$12,'1-Input'!$B$12,0))-MIN(MAX(F600,0),MAX(0,B561-IF($A601&gt;='1-Input'!$C$12,'1-Input'!$B$12,0))))*(1/(1-'P-Parametri'!$B$6*B601))),MAX(0,3*B561-(F600-MIN(MAX(F600,0),MAX(0,B561-IF($A601&gt;='1-Input'!$C$12,'1-Input'!$B$12,0)))))*(1/(1-'P-Parametri'!$B$6*B601))))</f>
        <v>7064.3399767356923</v>
      </c>
      <c r="D601" s="18">
        <f>IF($A601&gt;'1-Input'!$B$26,F600,(F600-MAX(0,B561-IF($A601&gt;='1-Input'!$C$12,'1-Input'!$B$12,0))+C601*(1-'P-Parametri'!$B$6*B601))*(1+'1-Input'!$B$27))</f>
        <v>49863.010546479447</v>
      </c>
      <c r="E601" s="18">
        <f>IF($A601&gt;'1-Input'!$B$26,G600,(G600-C601)*(1+$C$4))</f>
        <v>67973.319804842889</v>
      </c>
      <c r="F601" s="18">
        <f>IF($A601&gt;'1-Input'!$B$26,D601,D601-'P-Parametri'!$B$8*(E601+D601)+MIN(MAX(E601,0),'P-Parametri'!$B$8*(E601+D601)))</f>
        <v>49863.010546479447</v>
      </c>
      <c r="G601" s="18">
        <f>IF($A601&gt;'1-Input'!$B$26,E601,E601-MIN(MAX(E601,0),'P-Parametri'!$B$8*(E601+D601)))</f>
        <v>67737.647144140239</v>
      </c>
      <c r="H601" s="18">
        <f>IF($A601&gt;'1-Input'!$B$26,H600,H600-C601*(1-B601))</f>
        <v>19100.317113842648</v>
      </c>
      <c r="I601" s="11">
        <f>IF($A601&gt;'1-Input'!$B$26,0,IF(N600&lt;=0,0,MAX(0,(N600-O600)/N600)))</f>
        <v>0</v>
      </c>
      <c r="J601" s="18">
        <f>IF($A601&gt;'1-Input'!$B$26,0,(MAX(0,I561-IF($A601&gt;='1-Input'!$C$12,'1-Input'!$B$12,0))-MIN(MAX(M600,0),MAX(0,I561-IF($A601&gt;='1-Input'!$C$12,'1-Input'!$B$12,0))))*(1/(1-'P-Parametri'!$B$6*I601))+MIN(MAX(0,N600-(MAX(0,I561-IF($A601&gt;='1-Input'!$C$12,'1-Input'!$B$12,0))-MIN(MAX(M600,0),MAX(0,I561-IF($A601&gt;='1-Input'!$C$12,'1-Input'!$B$12,0))))*(1/(1-'P-Parametri'!$B$6*I601))),MAX(0,3*I561-(M600-MIN(MAX(M600,0),MAX(0,I561-IF($A601&gt;='1-Input'!$C$12,'1-Input'!$B$12,0)))))*(1/(1-'P-Parametri'!$B$6*I601))))</f>
        <v>10846.756992928691</v>
      </c>
      <c r="K601" s="18">
        <f>IF($A601&gt;'1-Input'!$B$26,M600,(M600-MAX(0,I561-IF($A601&gt;='1-Input'!$C$12,'1-Input'!$B$12,0))+J601*(1-'P-Parametri'!$B$6*I601))*(1+'1-Input'!$B$27))</f>
        <v>0</v>
      </c>
      <c r="L601" s="18">
        <f>IF($A601&gt;'1-Input'!$B$26,N600,(N600-J601)*(1+$C$4))</f>
        <v>-214356.92922374228</v>
      </c>
      <c r="M601" s="18">
        <f>IF($A601&gt;'1-Input'!$B$26,K601,K601-'P-Parametri'!$B$8*(L601+K601)+MIN(MAX(L601,0),'P-Parametri'!$B$8*(L601+K601)))</f>
        <v>0</v>
      </c>
      <c r="N601" s="18">
        <f>IF($A601&gt;'1-Input'!$B$26,L601,L601-MIN(MAX(L601,0),'P-Parametri'!$B$8*(L601+K601)))</f>
        <v>-213928.2153652948</v>
      </c>
      <c r="O601" s="18">
        <f>IF($A601&gt;'1-Input'!$B$26,O600,O600-J601*(1-I601))</f>
        <v>-168915.22385649517</v>
      </c>
      <c r="P601" s="11">
        <f>IF($A601&gt;'1-Input'!$B$26,0,IF(U600&lt;=0,0,MAX(0,(U600-V600)/U600)))</f>
        <v>0</v>
      </c>
      <c r="Q601" s="18">
        <f>IF($A601&gt;'1-Input'!$B$26,0,(MAX(0,P561-IF($A601&gt;='1-Input'!$C$12,'1-Input'!$B$12,0))-MIN(MAX(T600,0),MAX(0,P561-IF($A601&gt;='1-Input'!$C$12,'1-Input'!$B$12,0))))*(1/(1-'P-Parametri'!$B$6*P601))+MIN(MAX(0,U600-(MAX(0,P561-IF($A601&gt;='1-Input'!$C$12,'1-Input'!$B$12,0))-MIN(MAX(T600,0),MAX(0,P561-IF($A601&gt;='1-Input'!$C$12,'1-Input'!$B$12,0))))*(1/(1-'P-Parametri'!$B$6*P601))),MAX(0,3*P561-(T600-MIN(MAX(T600,0),MAX(0,P561-IF($A601&gt;='1-Input'!$C$12,'1-Input'!$B$12,0)))))*(1/(1-'P-Parametri'!$B$6*P601))))</f>
        <v>0</v>
      </c>
      <c r="R601" s="18">
        <f>IF($A601&gt;'1-Input'!$B$26,T600,(T600-MAX(0,P561-IF($A601&gt;='1-Input'!$C$12,'1-Input'!$B$12,0))+Q601*(1-'P-Parametri'!$B$6*P601))*(1+'1-Input'!$B$27))</f>
        <v>41325.897402560906</v>
      </c>
      <c r="S601" s="18">
        <f>IF($A601&gt;'1-Input'!$B$26,U600,(U600-Q601)*(1+$C$4))</f>
        <v>0</v>
      </c>
      <c r="T601" s="18">
        <f>IF($A601&gt;'1-Input'!$B$26,R601,R601-'P-Parametri'!$B$8*(S601+R601)+MIN(MAX(S601,0),'P-Parametri'!$B$8*(S601+R601)))</f>
        <v>41243.245607755787</v>
      </c>
      <c r="U601" s="18">
        <f>IF($A601&gt;'1-Input'!$B$26,S601,S601-MIN(MAX(S601,0),'P-Parametri'!$B$8*(S601+R601)))</f>
        <v>0</v>
      </c>
      <c r="V601" s="18">
        <f>IF($A601&gt;'1-Input'!$B$26,V600,V600-Q601*(1-P601))</f>
        <v>1.1368683772161603E-13</v>
      </c>
      <c r="W601" s="11">
        <f>IF($A601&gt;'1-Input'!$B$26,0,IF(AB600&lt;=0,0,MAX(0,(AB600-AC600)/AB600)))</f>
        <v>0</v>
      </c>
      <c r="X601" s="18">
        <f>IF($A601&gt;'1-Input'!$B$26,0,(MAX(0,W561-IF($A601&gt;='1-Input'!$C$12,'1-Input'!$B$12,0))-MIN(MAX(AA600,0),MAX(0,W561-IF($A601&gt;='1-Input'!$C$12,'1-Input'!$B$12,0))))*(1/(1-'P-Parametri'!$B$6*W601))+MIN(MAX(0,AB600-(MAX(0,W561-IF($A601&gt;='1-Input'!$C$12,'1-Input'!$B$12,0))-MIN(MAX(AA600,0),MAX(0,W561-IF($A601&gt;='1-Input'!$C$12,'1-Input'!$B$12,0))))*(1/(1-'P-Parametri'!$B$6*W601))),MAX(0,3*W561-(AA600-MIN(MAX(AA600,0),MAX(0,W561-IF($A601&gt;='1-Input'!$C$12,'1-Input'!$B$12,0)))))*(1/(1-'P-Parametri'!$B$6*W601))))</f>
        <v>0</v>
      </c>
      <c r="Y601" s="18">
        <f>IF($A601&gt;'1-Input'!$B$26,AA600,(AA600-MAX(0,W561-IF($A601&gt;='1-Input'!$C$12,'1-Input'!$B$12,0))+X601*(1-'P-Parametri'!$B$6*W601))*(1+'1-Input'!$B$27))</f>
        <v>45533.522737306601</v>
      </c>
      <c r="Z601" s="18">
        <f>IF($A601&gt;'1-Input'!$B$26,AB600,(AB600-X601)*(1+$C$4))</f>
        <v>0</v>
      </c>
      <c r="AA601" s="18">
        <f>IF($A601&gt;'1-Input'!$B$26,Y601,Y601-'P-Parametri'!$B$8*(Z601+Y601)+MIN(MAX(Z601,0),'P-Parametri'!$B$8*(Z601+Y601)))</f>
        <v>45442.455691831987</v>
      </c>
      <c r="AB601" s="18">
        <f>IF($A601&gt;'1-Input'!$B$26,Z601,Z601-MIN(MAX(Z601,0),'P-Parametri'!$B$8*(Z601+Y601)))</f>
        <v>0</v>
      </c>
      <c r="AC601" s="18">
        <f>IF($A601&gt;'1-Input'!$B$26,AC600,AC600-X601*(1-W601))</f>
        <v>4.5474735088646412E-13</v>
      </c>
      <c r="AD601" s="11">
        <f>IF($A601&gt;'1-Input'!$B$26,0,IF(AI600&lt;=0,0,MAX(0,(AI600-AJ600)/AI600)))</f>
        <v>0.57391459307549086</v>
      </c>
      <c r="AE601" s="18">
        <f>IF($A601&gt;'1-Input'!$B$26,0,(MAX(0,AD561-IF($A601&gt;='1-Input'!$C$12,'1-Input'!$B$12,0))-MIN(MAX(AH600,0),MAX(0,AD561-IF($A601&gt;='1-Input'!$C$12,'1-Input'!$B$12,0))))*(1/(1-'P-Parametri'!$B$6*AD601))+MIN(MAX(0,AI600-(MAX(0,AD561-IF($A601&gt;='1-Input'!$C$12,'1-Input'!$B$12,0))-MIN(MAX(AH600,0),MAX(0,AD561-IF($A601&gt;='1-Input'!$C$12,'1-Input'!$B$12,0))))*(1/(1-'P-Parametri'!$B$6*AD601))),MAX(0,3*AD561-(AH600-MIN(MAX(AH600,0),MAX(0,AD561-IF($A601&gt;='1-Input'!$C$12,'1-Input'!$B$12,0)))))*(1/(1-'P-Parametri'!$B$6*AD601))))</f>
        <v>244.73956654564478</v>
      </c>
      <c r="AF601" s="18">
        <f>IF($A601&gt;'1-Input'!$B$26,AH600,(AH600-MAX(0,AD561-IF($A601&gt;='1-Input'!$C$12,'1-Input'!$B$12,0))+AE601*(1-'P-Parametri'!$B$6*AD601))*(1+'1-Input'!$B$27))</f>
        <v>46062.665652448595</v>
      </c>
      <c r="AG601" s="18">
        <f>IF($A601&gt;'1-Input'!$B$26,AI600,(AI600-AE601)*(1+$C$4))</f>
        <v>0</v>
      </c>
      <c r="AH601" s="18">
        <f>IF($A601&gt;'1-Input'!$B$26,AF601,AF601-'P-Parametri'!$B$8*(AG601+AF601)+MIN(MAX(AG601,0),'P-Parametri'!$B$8*(AG601+AF601)))</f>
        <v>45970.540321143701</v>
      </c>
      <c r="AI601" s="18">
        <f>IF($A601&gt;'1-Input'!$B$26,AG601,AG601-MIN(MAX(AG601,0),'P-Parametri'!$B$8*(AG601+AF601)))</f>
        <v>0</v>
      </c>
      <c r="AJ601" s="18">
        <f>IF($A601&gt;'1-Input'!$B$26,AJ600,AJ600-AE601*(1-AD601))</f>
        <v>1.4210854715202004E-14</v>
      </c>
      <c r="AK601" s="11">
        <f>IF($A601&gt;'1-Input'!$B$26,0,IF(AP600&lt;=0,0,MAX(0,(AP600-AQ600)/AP600)))</f>
        <v>0.55022277559120369</v>
      </c>
      <c r="AL601" s="18">
        <f>IF($A601&gt;'1-Input'!$B$26,0,(MAX(0,AK561-IF($A601&gt;='1-Input'!$C$12,'1-Input'!$B$12,0))-MIN(MAX(AO600,0),MAX(0,AK561-IF($A601&gt;='1-Input'!$C$12,'1-Input'!$B$12,0))))*(1/(1-'P-Parametri'!$B$6*AK601))+MIN(MAX(0,AP600-(MAX(0,AK561-IF($A601&gt;='1-Input'!$C$12,'1-Input'!$B$12,0))-MIN(MAX(AO600,0),MAX(0,AK561-IF($A601&gt;='1-Input'!$C$12,'1-Input'!$B$12,0))))*(1/(1-'P-Parametri'!$B$6*AK601))),MAX(0,3*AK561-(AO600-MIN(MAX(AO600,0),MAX(0,AK561-IF($A601&gt;='1-Input'!$C$12,'1-Input'!$B$12,0)))))*(1/(1-'P-Parametri'!$B$6*AK601))))</f>
        <v>206.54203800102655</v>
      </c>
      <c r="AM601" s="18">
        <f>IF($A601&gt;'1-Input'!$B$26,AO600,(AO600-MAX(0,AK561-IF($A601&gt;='1-Input'!$C$12,'1-Input'!$B$12,0))+AL601*(1-'P-Parametri'!$B$6*AK601))*(1+'1-Input'!$B$27))</f>
        <v>46032.463268345113</v>
      </c>
      <c r="AN601" s="18">
        <f>IF($A601&gt;'1-Input'!$B$26,AP600,(AP600-AL601)*(1+$C$4))</f>
        <v>0</v>
      </c>
      <c r="AO601" s="18">
        <f>IF($A601&gt;'1-Input'!$B$26,AM601,AM601-'P-Parametri'!$B$8*(AN601+AM601)+MIN(MAX(AN601,0),'P-Parametri'!$B$8*(AN601+AM601)))</f>
        <v>45940.398341808424</v>
      </c>
      <c r="AP601" s="18">
        <f>IF($A601&gt;'1-Input'!$B$26,AN601,AN601-MIN(MAX(AN601,0),'P-Parametri'!$B$8*(AN601+AM601)))</f>
        <v>0</v>
      </c>
      <c r="AQ601" s="18">
        <f>IF($A601&gt;'1-Input'!$B$26,AQ600,AQ600-AL601*(1-AK601))</f>
        <v>0</v>
      </c>
    </row>
    <row r="602" spans="1:43">
      <c r="A602" s="10">
        <f>39</f>
        <v>39</v>
      </c>
      <c r="B602" s="11">
        <f>IF($A602&gt;'1-Input'!$B$26,0,IF(G601&lt;=0,0,MAX(0,(G601-H601)/G601)))</f>
        <v>0.71802508768574858</v>
      </c>
      <c r="C602" s="18">
        <f>IF($A602&gt;'1-Input'!$B$26,0,(MAX(0,B561-IF($A602&gt;='1-Input'!$C$12,'1-Input'!$B$12,0))-MIN(MAX(F601,0),MAX(0,B561-IF($A602&gt;='1-Input'!$C$12,'1-Input'!$B$12,0))))*(1/(1-'P-Parametri'!$B$6*B602))+MIN(MAX(0,G601-(MAX(0,B561-IF($A602&gt;='1-Input'!$C$12,'1-Input'!$B$12,0))-MIN(MAX(F601,0),MAX(0,B561-IF($A602&gt;='1-Input'!$C$12,'1-Input'!$B$12,0))))*(1/(1-'P-Parametri'!$B$6*B602))),MAX(0,3*B561-(F601-MIN(MAX(F601,0),MAX(0,B561-IF($A602&gt;='1-Input'!$C$12,'1-Input'!$B$12,0)))))*(1/(1-'P-Parametri'!$B$6*B602))))</f>
        <v>7081.1696516316961</v>
      </c>
      <c r="D602" s="18">
        <f>IF($A602&gt;'1-Input'!$B$26,F601,(F601-MAX(0,B561-IF($A602&gt;='1-Input'!$C$12,'1-Input'!$B$12,0))+C602*(1-'P-Parametri'!$B$6*B602))*(1+'1-Input'!$B$27))</f>
        <v>49863.010546479447</v>
      </c>
      <c r="E602" s="18">
        <f>IF($A602&gt;'1-Input'!$B$26,G601,(G601-C602)*(1+$C$4))</f>
        <v>62476.171817283801</v>
      </c>
      <c r="F602" s="18">
        <f>IF($A602&gt;'1-Input'!$B$26,D602,D602-'P-Parametri'!$B$8*(E602+D602)+MIN(MAX(E602,0),'P-Parametri'!$B$8*(E602+D602)))</f>
        <v>49863.010546479447</v>
      </c>
      <c r="G602" s="18">
        <f>IF($A602&gt;'1-Input'!$B$26,E602,E602-MIN(MAX(E602,0),'P-Parametri'!$B$8*(E602+D602)))</f>
        <v>62251.493452556271</v>
      </c>
      <c r="H602" s="18">
        <f>IF($A602&gt;'1-Input'!$B$26,H601,H601-C602*(1-B602))</f>
        <v>17103.604922241462</v>
      </c>
      <c r="I602" s="11">
        <f>IF($A602&gt;'1-Input'!$B$26,0,IF(N601&lt;=0,0,MAX(0,(N601-O601)/N601)))</f>
        <v>0</v>
      </c>
      <c r="J602" s="18">
        <f>IF($A602&gt;'1-Input'!$B$26,0,(MAX(0,I561-IF($A602&gt;='1-Input'!$C$12,'1-Input'!$B$12,0))-MIN(MAX(M601,0),MAX(0,I561-IF($A602&gt;='1-Input'!$C$12,'1-Input'!$B$12,0))))*(1/(1-'P-Parametri'!$B$6*I602))+MIN(MAX(0,N601-(MAX(0,I561-IF($A602&gt;='1-Input'!$C$12,'1-Input'!$B$12,0))-MIN(MAX(M601,0),MAX(0,I561-IF($A602&gt;='1-Input'!$C$12,'1-Input'!$B$12,0))))*(1/(1-'P-Parametri'!$B$6*I602))),MAX(0,3*I561-(M601-MIN(MAX(M601,0),MAX(0,I561-IF($A602&gt;='1-Input'!$C$12,'1-Input'!$B$12,0)))))*(1/(1-'P-Parametri'!$B$6*I602))))</f>
        <v>10846.756992928691</v>
      </c>
      <c r="K602" s="18">
        <f>IF($A602&gt;'1-Input'!$B$26,M601,(M601-MAX(0,I561-IF($A602&gt;='1-Input'!$C$12,'1-Input'!$B$12,0))+J602*(1-'P-Parametri'!$B$6*I602))*(1+'1-Input'!$B$27))</f>
        <v>0</v>
      </c>
      <c r="L602" s="18">
        <f>IF($A602&gt;'1-Input'!$B$26,N601,(N601-J602)*(1+$C$4))</f>
        <v>-231518.2215289702</v>
      </c>
      <c r="M602" s="18">
        <f>IF($A602&gt;'1-Input'!$B$26,K602,K602-'P-Parametri'!$B$8*(L602+K602)+MIN(MAX(L602,0),'P-Parametri'!$B$8*(L602+K602)))</f>
        <v>0</v>
      </c>
      <c r="N602" s="18">
        <f>IF($A602&gt;'1-Input'!$B$26,L602,L602-MIN(MAX(L602,0),'P-Parametri'!$B$8*(L602+K602)))</f>
        <v>-231055.18508591226</v>
      </c>
      <c r="O602" s="18">
        <f>IF($A602&gt;'1-Input'!$B$26,O601,O601-J602*(1-I602))</f>
        <v>-179761.98084942385</v>
      </c>
      <c r="P602" s="11">
        <f>IF($A602&gt;'1-Input'!$B$26,0,IF(U601&lt;=0,0,MAX(0,(U601-V601)/U601)))</f>
        <v>0</v>
      </c>
      <c r="Q602" s="18">
        <f>IF($A602&gt;'1-Input'!$B$26,0,(MAX(0,P561-IF($A602&gt;='1-Input'!$C$12,'1-Input'!$B$12,0))-MIN(MAX(T601,0),MAX(0,P561-IF($A602&gt;='1-Input'!$C$12,'1-Input'!$B$12,0))))*(1/(1-'P-Parametri'!$B$6*P602))+MIN(MAX(0,U601-(MAX(0,P561-IF($A602&gt;='1-Input'!$C$12,'1-Input'!$B$12,0))-MIN(MAX(T601,0),MAX(0,P561-IF($A602&gt;='1-Input'!$C$12,'1-Input'!$B$12,0))))*(1/(1-'P-Parametri'!$B$6*P602))),MAX(0,3*P561-(T601-MIN(MAX(T601,0),MAX(0,P561-IF($A602&gt;='1-Input'!$C$12,'1-Input'!$B$12,0)))))*(1/(1-'P-Parametri'!$B$6*P602))))</f>
        <v>0</v>
      </c>
      <c r="R602" s="18">
        <f>IF($A602&gt;'1-Input'!$B$26,T601,(T601-MAX(0,P561-IF($A602&gt;='1-Input'!$C$12,'1-Input'!$B$12,0))+Q602*(1-'P-Parametri'!$B$6*P602))*(1+'1-Input'!$B$27))</f>
        <v>34592.231691149078</v>
      </c>
      <c r="S602" s="18">
        <f>IF($A602&gt;'1-Input'!$B$26,U601,(U601-Q602)*(1+$C$4))</f>
        <v>0</v>
      </c>
      <c r="T602" s="18">
        <f>IF($A602&gt;'1-Input'!$B$26,R602,R602-'P-Parametri'!$B$8*(S602+R602)+MIN(MAX(S602,0),'P-Parametri'!$B$8*(S602+R602)))</f>
        <v>34523.04722776678</v>
      </c>
      <c r="U602" s="18">
        <f>IF($A602&gt;'1-Input'!$B$26,S602,S602-MIN(MAX(S602,0),'P-Parametri'!$B$8*(S602+R602)))</f>
        <v>0</v>
      </c>
      <c r="V602" s="18">
        <f>IF($A602&gt;'1-Input'!$B$26,V601,V601-Q602*(1-P602))</f>
        <v>1.1368683772161603E-13</v>
      </c>
      <c r="W602" s="11">
        <f>IF($A602&gt;'1-Input'!$B$26,0,IF(AB601&lt;=0,0,MAX(0,(AB601-AC601)/AB601)))</f>
        <v>0</v>
      </c>
      <c r="X602" s="18">
        <f>IF($A602&gt;'1-Input'!$B$26,0,(MAX(0,W561-IF($A602&gt;='1-Input'!$C$12,'1-Input'!$B$12,0))-MIN(MAX(AA601,0),MAX(0,W561-IF($A602&gt;='1-Input'!$C$12,'1-Input'!$B$12,0))))*(1/(1-'P-Parametri'!$B$6*W602))+MIN(MAX(0,AB601-(MAX(0,W561-IF($A602&gt;='1-Input'!$C$12,'1-Input'!$B$12,0))-MIN(MAX(AA601,0),MAX(0,W561-IF($A602&gt;='1-Input'!$C$12,'1-Input'!$B$12,0))))*(1/(1-'P-Parametri'!$B$6*W602))),MAX(0,3*W561-(AA601-MIN(MAX(AA601,0),MAX(0,W561-IF($A602&gt;='1-Input'!$C$12,'1-Input'!$B$12,0)))))*(1/(1-'P-Parametri'!$B$6*W602))))</f>
        <v>0</v>
      </c>
      <c r="Y602" s="18">
        <f>IF($A602&gt;'1-Input'!$B$26,AA601,(AA601-MAX(0,W561-IF($A602&gt;='1-Input'!$C$12,'1-Input'!$B$12,0))+X602*(1-'P-Parametri'!$B$6*W602))*(1+'1-Input'!$B$27))</f>
        <v>38842.144906980058</v>
      </c>
      <c r="Z602" s="18">
        <f>IF($A602&gt;'1-Input'!$B$26,AB601,(AB601-X602)*(1+$C$4))</f>
        <v>0</v>
      </c>
      <c r="AA602" s="18">
        <f>IF($A602&gt;'1-Input'!$B$26,Y602,Y602-'P-Parametri'!$B$8*(Z602+Y602)+MIN(MAX(Z602,0),'P-Parametri'!$B$8*(Z602+Y602)))</f>
        <v>38764.4606171661</v>
      </c>
      <c r="AB602" s="18">
        <f>IF($A602&gt;'1-Input'!$B$26,Z602,Z602-MIN(MAX(Z602,0),'P-Parametri'!$B$8*(Z602+Y602)))</f>
        <v>0</v>
      </c>
      <c r="AC602" s="18">
        <f>IF($A602&gt;'1-Input'!$B$26,AC601,AC601-X602*(1-W602))</f>
        <v>4.5474735088646412E-13</v>
      </c>
      <c r="AD602" s="11">
        <f>IF($A602&gt;'1-Input'!$B$26,0,IF(AI601&lt;=0,0,MAX(0,(AI601-AJ601)/AI601)))</f>
        <v>0</v>
      </c>
      <c r="AE602" s="18">
        <f>IF($A602&gt;'1-Input'!$B$26,0,(MAX(0,AD561-IF($A602&gt;='1-Input'!$C$12,'1-Input'!$B$12,0))-MIN(MAX(AH601,0),MAX(0,AD561-IF($A602&gt;='1-Input'!$C$12,'1-Input'!$B$12,0))))*(1/(1-'P-Parametri'!$B$6*AD602))+MIN(MAX(0,AI601-(MAX(0,AD561-IF($A602&gt;='1-Input'!$C$12,'1-Input'!$B$12,0))-MIN(MAX(AH601,0),MAX(0,AD561-IF($A602&gt;='1-Input'!$C$12,'1-Input'!$B$12,0))))*(1/(1-'P-Parametri'!$B$6*AD602))),MAX(0,3*AD561-(AH601-MIN(MAX(AH601,0),MAX(0,AD561-IF($A602&gt;='1-Input'!$C$12,'1-Input'!$B$12,0)))))*(1/(1-'P-Parametri'!$B$6*AD602))))</f>
        <v>0</v>
      </c>
      <c r="AF602" s="18">
        <f>IF($A602&gt;'1-Input'!$B$26,AH601,(AH601-MAX(0,AD561-IF($A602&gt;='1-Input'!$C$12,'1-Input'!$B$12,0))+AE602*(1-'P-Parametri'!$B$6*AD602))*(1+'1-Input'!$B$27))</f>
        <v>39376.046410844792</v>
      </c>
      <c r="AG602" s="18">
        <f>IF($A602&gt;'1-Input'!$B$26,AI601,(AI601-AE602)*(1+$C$4))</f>
        <v>0</v>
      </c>
      <c r="AH602" s="18">
        <f>IF($A602&gt;'1-Input'!$B$26,AF602,AF602-'P-Parametri'!$B$8*(AG602+AF602)+MIN(MAX(AG602,0),'P-Parametri'!$B$8*(AG602+AF602)))</f>
        <v>39297.294318023101</v>
      </c>
      <c r="AI602" s="18">
        <f>IF($A602&gt;'1-Input'!$B$26,AG602,AG602-MIN(MAX(AG602,0),'P-Parametri'!$B$8*(AG602+AF602)))</f>
        <v>0</v>
      </c>
      <c r="AJ602" s="18">
        <f>IF($A602&gt;'1-Input'!$B$26,AJ601,AJ601-AE602*(1-AD602))</f>
        <v>1.4210854715202004E-14</v>
      </c>
      <c r="AK602" s="11">
        <f>IF($A602&gt;'1-Input'!$B$26,0,IF(AP601&lt;=0,0,MAX(0,(AP601-AQ601)/AP601)))</f>
        <v>0</v>
      </c>
      <c r="AL602" s="18">
        <f>IF($A602&gt;'1-Input'!$B$26,0,(MAX(0,AK561-IF($A602&gt;='1-Input'!$C$12,'1-Input'!$B$12,0))-MIN(MAX(AO601,0),MAX(0,AK561-IF($A602&gt;='1-Input'!$C$12,'1-Input'!$B$12,0))))*(1/(1-'P-Parametri'!$B$6*AK602))+MIN(MAX(0,AP601-(MAX(0,AK561-IF($A602&gt;='1-Input'!$C$12,'1-Input'!$B$12,0))-MIN(MAX(AO601,0),MAX(0,AK561-IF($A602&gt;='1-Input'!$C$12,'1-Input'!$B$12,0))))*(1/(1-'P-Parametri'!$B$6*AK602))),MAX(0,3*AK561-(AO601-MIN(MAX(AO601,0),MAX(0,AK561-IF($A602&gt;='1-Input'!$C$12,'1-Input'!$B$12,0)))))*(1/(1-'P-Parametri'!$B$6*AK602))))</f>
        <v>0</v>
      </c>
      <c r="AM602" s="18">
        <f>IF($A602&gt;'1-Input'!$B$26,AO601,(AO601-MAX(0,AK561-IF($A602&gt;='1-Input'!$C$12,'1-Input'!$B$12,0))+AL602*(1-'P-Parametri'!$B$6*AK602))*(1+'1-Input'!$B$27))</f>
        <v>39345.55511585022</v>
      </c>
      <c r="AN602" s="18">
        <f>IF($A602&gt;'1-Input'!$B$26,AP601,(AP601-AL602)*(1+$C$4))</f>
        <v>0</v>
      </c>
      <c r="AO602" s="18">
        <f>IF($A602&gt;'1-Input'!$B$26,AM602,AM602-'P-Parametri'!$B$8*(AN602+AM602)+MIN(MAX(AN602,0),'P-Parametri'!$B$8*(AN602+AM602)))</f>
        <v>39266.864005618518</v>
      </c>
      <c r="AP602" s="18">
        <f>IF($A602&gt;'1-Input'!$B$26,AN602,AN602-MIN(MAX(AN602,0),'P-Parametri'!$B$8*(AN602+AM602)))</f>
        <v>0</v>
      </c>
      <c r="AQ602" s="18">
        <f>IF($A602&gt;'1-Input'!$B$26,AQ601,AQ601-AL602*(1-AK602))</f>
        <v>0</v>
      </c>
    </row>
    <row r="603" spans="1:43">
      <c r="A603" s="10">
        <f>40</f>
        <v>40</v>
      </c>
      <c r="B603" s="11">
        <f>IF($A603&gt;'1-Input'!$B$26,0,IF(G602&lt;=0,0,MAX(0,(G602-H602)/G602)))</f>
        <v>0.72524988600833118</v>
      </c>
      <c r="C603" s="18">
        <f>IF($A603&gt;'1-Input'!$B$26,0,(MAX(0,B561-IF($A603&gt;='1-Input'!$C$12,'1-Input'!$B$12,0))-MIN(MAX(F602,0),MAX(0,B561-IF($A603&gt;='1-Input'!$C$12,'1-Input'!$B$12,0))))*(1/(1-'P-Parametri'!$B$6*B603))+MIN(MAX(0,G602-(MAX(0,B561-IF($A603&gt;='1-Input'!$C$12,'1-Input'!$B$12,0))-MIN(MAX(F602,0),MAX(0,B561-IF($A603&gt;='1-Input'!$C$12,'1-Input'!$B$12,0))))*(1/(1-'P-Parametri'!$B$6*B603))),MAX(0,3*B561-(F602-MIN(MAX(F602,0),MAX(0,B561-IF($A603&gt;='1-Input'!$C$12,'1-Input'!$B$12,0)))))*(1/(1-'P-Parametri'!$B$6*B603))))</f>
        <v>7097.5623453109483</v>
      </c>
      <c r="D603" s="18">
        <f>IF($A603&gt;'1-Input'!$B$26,F602,(F602-MAX(0,B561-IF($A603&gt;='1-Input'!$C$12,'1-Input'!$B$12,0))+C603*(1-'P-Parametri'!$B$6*B603))*(1+'1-Input'!$B$27))</f>
        <v>49863.010546479447</v>
      </c>
      <c r="E603" s="18">
        <f>IF($A603&gt;'1-Input'!$B$26,G602,(G602-C603)*(1+$C$4))</f>
        <v>56808.549040462683</v>
      </c>
      <c r="F603" s="18">
        <f>IF($A603&gt;'1-Input'!$B$26,D603,D603-'P-Parametri'!$B$8*(E603+D603)+MIN(MAX(E603,0),'P-Parametri'!$B$8*(E603+D603)))</f>
        <v>49863.010546479447</v>
      </c>
      <c r="G603" s="18">
        <f>IF($A603&gt;'1-Input'!$B$26,E603,E603-MIN(MAX(E603,0),'P-Parametri'!$B$8*(E603+D603)))</f>
        <v>56595.205921288798</v>
      </c>
      <c r="H603" s="18">
        <f>IF($A603&gt;'1-Input'!$B$26,H602,H602-C603*(1-B603))</f>
        <v>15153.548858804303</v>
      </c>
      <c r="I603" s="11">
        <f>IF($A603&gt;'1-Input'!$B$26,0,IF(N602&lt;=0,0,MAX(0,(N602-O602)/N602)))</f>
        <v>0</v>
      </c>
      <c r="J603" s="18">
        <f>IF($A603&gt;'1-Input'!$B$26,0,(MAX(0,I561-IF($A603&gt;='1-Input'!$C$12,'1-Input'!$B$12,0))-MIN(MAX(M602,0),MAX(0,I561-IF($A603&gt;='1-Input'!$C$12,'1-Input'!$B$12,0))))*(1/(1-'P-Parametri'!$B$6*I603))+MIN(MAX(0,N602-(MAX(0,I561-IF($A603&gt;='1-Input'!$C$12,'1-Input'!$B$12,0))-MIN(MAX(M602,0),MAX(0,I561-IF($A603&gt;='1-Input'!$C$12,'1-Input'!$B$12,0))))*(1/(1-'P-Parametri'!$B$6*I603))),MAX(0,3*I561-(M602-MIN(MAX(M602,0),MAX(0,I561-IF($A603&gt;='1-Input'!$C$12,'1-Input'!$B$12,0)))))*(1/(1-'P-Parametri'!$B$6*I603))))</f>
        <v>10846.756992928691</v>
      </c>
      <c r="K603" s="18">
        <f>IF($A603&gt;'1-Input'!$B$26,M602,(M602-MAX(0,I561-IF($A603&gt;='1-Input'!$C$12,'1-Input'!$B$12,0))+J603*(1-'P-Parametri'!$B$6*I603))*(1+'1-Input'!$B$27))</f>
        <v>0</v>
      </c>
      <c r="L603" s="18">
        <f>IF($A603&gt;'1-Input'!$B$26,N602,(N602-J603)*(1+$C$4))</f>
        <v>-249159.00034120618</v>
      </c>
      <c r="M603" s="18">
        <f>IF($A603&gt;'1-Input'!$B$26,K603,K603-'P-Parametri'!$B$8*(L603+K603)+MIN(MAX(L603,0),'P-Parametri'!$B$8*(L603+K603)))</f>
        <v>0</v>
      </c>
      <c r="N603" s="18">
        <f>IF($A603&gt;'1-Input'!$B$26,L603,L603-MIN(MAX(L603,0),'P-Parametri'!$B$8*(L603+K603)))</f>
        <v>-248660.68234052375</v>
      </c>
      <c r="O603" s="18">
        <f>IF($A603&gt;'1-Input'!$B$26,O602,O602-J603*(1-I603))</f>
        <v>-190608.73784235254</v>
      </c>
      <c r="P603" s="11">
        <f>IF($A603&gt;'1-Input'!$B$26,0,IF(U602&lt;=0,0,MAX(0,(U602-V602)/U602)))</f>
        <v>0</v>
      </c>
      <c r="Q603" s="18">
        <f>IF($A603&gt;'1-Input'!$B$26,0,(MAX(0,P561-IF($A603&gt;='1-Input'!$C$12,'1-Input'!$B$12,0))-MIN(MAX(T602,0),MAX(0,P561-IF($A603&gt;='1-Input'!$C$12,'1-Input'!$B$12,0))))*(1/(1-'P-Parametri'!$B$6*P603))+MIN(MAX(0,U602-(MAX(0,P561-IF($A603&gt;='1-Input'!$C$12,'1-Input'!$B$12,0))-MIN(MAX(T602,0),MAX(0,P561-IF($A603&gt;='1-Input'!$C$12,'1-Input'!$B$12,0))))*(1/(1-'P-Parametri'!$B$6*P603))),MAX(0,3*P561-(T602-MIN(MAX(T602,0),MAX(0,P561-IF($A603&gt;='1-Input'!$C$12,'1-Input'!$B$12,0)))))*(1/(1-'P-Parametri'!$B$6*P603))))</f>
        <v>0</v>
      </c>
      <c r="R603" s="18">
        <f>IF($A603&gt;'1-Input'!$B$26,T602,(T602-MAX(0,P561-IF($A603&gt;='1-Input'!$C$12,'1-Input'!$B$12,0))+Q603*(1-'P-Parametri'!$B$6*P603))*(1+'1-Input'!$B$27))</f>
        <v>27896.226025328033</v>
      </c>
      <c r="S603" s="18">
        <f>IF($A603&gt;'1-Input'!$B$26,U602,(U602-Q603)*(1+$C$4))</f>
        <v>0</v>
      </c>
      <c r="T603" s="18">
        <f>IF($A603&gt;'1-Input'!$B$26,R603,R603-'P-Parametri'!$B$8*(S603+R603)+MIN(MAX(S603,0),'P-Parametri'!$B$8*(S603+R603)))</f>
        <v>27840.433573277376</v>
      </c>
      <c r="U603" s="18">
        <f>IF($A603&gt;'1-Input'!$B$26,S603,S603-MIN(MAX(S603,0),'P-Parametri'!$B$8*(S603+R603)))</f>
        <v>0</v>
      </c>
      <c r="V603" s="18">
        <f>IF($A603&gt;'1-Input'!$B$26,V602,V602-Q603*(1-P603))</f>
        <v>1.1368683772161603E-13</v>
      </c>
      <c r="W603" s="11">
        <f>IF($A603&gt;'1-Input'!$B$26,0,IF(AB602&lt;=0,0,MAX(0,(AB602-AC602)/AB602)))</f>
        <v>0</v>
      </c>
      <c r="X603" s="18">
        <f>IF($A603&gt;'1-Input'!$B$26,0,(MAX(0,W561-IF($A603&gt;='1-Input'!$C$12,'1-Input'!$B$12,0))-MIN(MAX(AA602,0),MAX(0,W561-IF($A603&gt;='1-Input'!$C$12,'1-Input'!$B$12,0))))*(1/(1-'P-Parametri'!$B$6*W603))+MIN(MAX(0,AB602-(MAX(0,W561-IF($A603&gt;='1-Input'!$C$12,'1-Input'!$B$12,0))-MIN(MAX(AA602,0),MAX(0,W561-IF($A603&gt;='1-Input'!$C$12,'1-Input'!$B$12,0))))*(1/(1-'P-Parametri'!$B$6*W603))),MAX(0,3*W561-(AA602-MIN(MAX(AA602,0),MAX(0,W561-IF($A603&gt;='1-Input'!$C$12,'1-Input'!$B$12,0)))))*(1/(1-'P-Parametri'!$B$6*W603))))</f>
        <v>0</v>
      </c>
      <c r="Y603" s="18">
        <f>IF($A603&gt;'1-Input'!$B$26,AA602,(AA602-MAX(0,W561-IF($A603&gt;='1-Input'!$C$12,'1-Input'!$B$12,0))+X603*(1-'P-Parametri'!$B$6*W603))*(1+'1-Input'!$B$27))</f>
        <v>32188.190614582967</v>
      </c>
      <c r="Z603" s="18">
        <f>IF($A603&gt;'1-Input'!$B$26,AB602,(AB602-X603)*(1+$C$4))</f>
        <v>0</v>
      </c>
      <c r="AA603" s="18">
        <f>IF($A603&gt;'1-Input'!$B$26,Y603,Y603-'P-Parametri'!$B$8*(Z603+Y603)+MIN(MAX(Z603,0),'P-Parametri'!$B$8*(Z603+Y603)))</f>
        <v>32123.814233353802</v>
      </c>
      <c r="AB603" s="18">
        <f>IF($A603&gt;'1-Input'!$B$26,Z603,Z603-MIN(MAX(Z603,0),'P-Parametri'!$B$8*(Z603+Y603)))</f>
        <v>0</v>
      </c>
      <c r="AC603" s="18">
        <f>IF($A603&gt;'1-Input'!$B$26,AC602,AC602-X603*(1-W603))</f>
        <v>4.5474735088646412E-13</v>
      </c>
      <c r="AD603" s="11">
        <f>IF($A603&gt;'1-Input'!$B$26,0,IF(AI602&lt;=0,0,MAX(0,(AI602-AJ602)/AI602)))</f>
        <v>0</v>
      </c>
      <c r="AE603" s="18">
        <f>IF($A603&gt;'1-Input'!$B$26,0,(MAX(0,AD561-IF($A603&gt;='1-Input'!$C$12,'1-Input'!$B$12,0))-MIN(MAX(AH602,0),MAX(0,AD561-IF($A603&gt;='1-Input'!$C$12,'1-Input'!$B$12,0))))*(1/(1-'P-Parametri'!$B$6*AD603))+MIN(MAX(0,AI602-(MAX(0,AD561-IF($A603&gt;='1-Input'!$C$12,'1-Input'!$B$12,0))-MIN(MAX(AH602,0),MAX(0,AD561-IF($A603&gt;='1-Input'!$C$12,'1-Input'!$B$12,0))))*(1/(1-'P-Parametri'!$B$6*AD603))),MAX(0,3*AD561-(AH602-MIN(MAX(AH602,0),MAX(0,AD561-IF($A603&gt;='1-Input'!$C$12,'1-Input'!$B$12,0)))))*(1/(1-'P-Parametri'!$B$6*AD603))))</f>
        <v>0</v>
      </c>
      <c r="AF603" s="18">
        <f>IF($A603&gt;'1-Input'!$B$26,AH602,(AH602-MAX(0,AD561-IF($A603&gt;='1-Input'!$C$12,'1-Input'!$B$12,0))+AE603*(1-'P-Parametri'!$B$6*AD603))*(1+'1-Input'!$B$27))</f>
        <v>32726.824093335428</v>
      </c>
      <c r="AG603" s="18">
        <f>IF($A603&gt;'1-Input'!$B$26,AI602,(AI602-AE603)*(1+$C$4))</f>
        <v>0</v>
      </c>
      <c r="AH603" s="18">
        <f>IF($A603&gt;'1-Input'!$B$26,AF603,AF603-'P-Parametri'!$B$8*(AG603+AF603)+MIN(MAX(AG603,0),'P-Parametri'!$B$8*(AG603+AF603)))</f>
        <v>32661.370445148757</v>
      </c>
      <c r="AI603" s="18">
        <f>IF($A603&gt;'1-Input'!$B$26,AG603,AG603-MIN(MAX(AG603,0),'P-Parametri'!$B$8*(AG603+AF603)))</f>
        <v>0</v>
      </c>
      <c r="AJ603" s="18">
        <f>IF($A603&gt;'1-Input'!$B$26,AJ602,AJ602-AE603*(1-AD603))</f>
        <v>1.4210854715202004E-14</v>
      </c>
      <c r="AK603" s="11">
        <f>IF($A603&gt;'1-Input'!$B$26,0,IF(AP602&lt;=0,0,MAX(0,(AP602-AQ602)/AP602)))</f>
        <v>0</v>
      </c>
      <c r="AL603" s="18">
        <f>IF($A603&gt;'1-Input'!$B$26,0,(MAX(0,AK561-IF($A603&gt;='1-Input'!$C$12,'1-Input'!$B$12,0))-MIN(MAX(AO602,0),MAX(0,AK561-IF($A603&gt;='1-Input'!$C$12,'1-Input'!$B$12,0))))*(1/(1-'P-Parametri'!$B$6*AK603))+MIN(MAX(0,AP602-(MAX(0,AK561-IF($A603&gt;='1-Input'!$C$12,'1-Input'!$B$12,0))-MIN(MAX(AO602,0),MAX(0,AK561-IF($A603&gt;='1-Input'!$C$12,'1-Input'!$B$12,0))))*(1/(1-'P-Parametri'!$B$6*AK603))),MAX(0,3*AK561-(AO602-MIN(MAX(AO602,0),MAX(0,AK561-IF($A603&gt;='1-Input'!$C$12,'1-Input'!$B$12,0)))))*(1/(1-'P-Parametri'!$B$6*AK603))))</f>
        <v>0</v>
      </c>
      <c r="AM603" s="18">
        <f>IF($A603&gt;'1-Input'!$B$26,AO602,(AO602-MAX(0,AK561-IF($A603&gt;='1-Input'!$C$12,'1-Input'!$B$12,0))+AL603*(1-'P-Parametri'!$B$6*AK603))*(1+'1-Input'!$B$27))</f>
        <v>32696.045503270605</v>
      </c>
      <c r="AN603" s="18">
        <f>IF($A603&gt;'1-Input'!$B$26,AP602,(AP602-AL603)*(1+$C$4))</f>
        <v>0</v>
      </c>
      <c r="AO603" s="18">
        <f>IF($A603&gt;'1-Input'!$B$26,AM603,AM603-'P-Parametri'!$B$8*(AN603+AM603)+MIN(MAX(AN603,0),'P-Parametri'!$B$8*(AN603+AM603)))</f>
        <v>32630.653412264062</v>
      </c>
      <c r="AP603" s="18">
        <f>IF($A603&gt;'1-Input'!$B$26,AN603,AN603-MIN(MAX(AN603,0),'P-Parametri'!$B$8*(AN603+AM603)))</f>
        <v>0</v>
      </c>
      <c r="AQ603" s="18">
        <f>IF($A603&gt;'1-Input'!$B$26,AQ602,AQ602-AL603*(1-AK603))</f>
        <v>0</v>
      </c>
    </row>
    <row r="604" spans="1:43">
      <c r="A604" s="10">
        <f>41</f>
        <v>41</v>
      </c>
      <c r="B604" s="11">
        <f>IF($A604&gt;'1-Input'!$B$26,0,IF(G603&lt;=0,0,MAX(0,(G603-H603)/G603)))</f>
        <v>0.73224677581561448</v>
      </c>
      <c r="C604" s="18">
        <f>IF($A604&gt;'1-Input'!$B$26,0,(MAX(0,B561-IF($A604&gt;='1-Input'!$C$12,'1-Input'!$B$12,0))-MIN(MAX(F603,0),MAX(0,B561-IF($A604&gt;='1-Input'!$C$12,'1-Input'!$B$12,0))))*(1/(1-'P-Parametri'!$B$6*B604))+MIN(MAX(0,G603-(MAX(0,B561-IF($A604&gt;='1-Input'!$C$12,'1-Input'!$B$12,0))-MIN(MAX(F603,0),MAX(0,B561-IF($A604&gt;='1-Input'!$C$12,'1-Input'!$B$12,0))))*(1/(1-'P-Parametri'!$B$6*B604))),MAX(0,3*B561-(F603-MIN(MAX(F603,0),MAX(0,B561-IF($A604&gt;='1-Input'!$C$12,'1-Input'!$B$12,0)))))*(1/(1-'P-Parametri'!$B$6*B604))))</f>
        <v>7113.5104325559123</v>
      </c>
      <c r="D604" s="18">
        <f>IF($A604&gt;'1-Input'!$B$26,F603,(F603-MAX(0,B561-IF($A604&gt;='1-Input'!$C$12,'1-Input'!$B$12,0))+C604*(1-'P-Parametri'!$B$6*B604))*(1+'1-Input'!$B$27))</f>
        <v>49863.010546479447</v>
      </c>
      <c r="E604" s="18">
        <f>IF($A604&gt;'1-Input'!$B$26,G603,(G603-C604)*(1+$C$4))</f>
        <v>50966.14635339487</v>
      </c>
      <c r="F604" s="18">
        <f>IF($A604&gt;'1-Input'!$B$26,D604,D604-'P-Parametri'!$B$8*(E604+D604)+MIN(MAX(E604,0),'P-Parametri'!$B$8*(E604+D604)))</f>
        <v>49863.010546479447</v>
      </c>
      <c r="G604" s="18">
        <f>IF($A604&gt;'1-Input'!$B$26,E604,E604-MIN(MAX(E604,0),'P-Parametri'!$B$8*(E604+D604)))</f>
        <v>50764.488039595119</v>
      </c>
      <c r="H604" s="18">
        <f>IF($A604&gt;'1-Input'!$B$26,H603,H603-C604*(1-B604))</f>
        <v>13248.883505218195</v>
      </c>
      <c r="I604" s="11">
        <f>IF($A604&gt;'1-Input'!$B$26,0,IF(N603&lt;=0,0,MAX(0,(N603-O603)/N603)))</f>
        <v>0</v>
      </c>
      <c r="J604" s="18">
        <f>IF($A604&gt;'1-Input'!$B$26,0,(MAX(0,I561-IF($A604&gt;='1-Input'!$C$12,'1-Input'!$B$12,0))-MIN(MAX(M603,0),MAX(0,I561-IF($A604&gt;='1-Input'!$C$12,'1-Input'!$B$12,0))))*(1/(1-'P-Parametri'!$B$6*I604))+MIN(MAX(0,N603-(MAX(0,I561-IF($A604&gt;='1-Input'!$C$12,'1-Input'!$B$12,0))-MIN(MAX(M603,0),MAX(0,I561-IF($A604&gt;='1-Input'!$C$12,'1-Input'!$B$12,0))))*(1/(1-'P-Parametri'!$B$6*I604))),MAX(0,3*I561-(M603-MIN(MAX(M603,0),MAX(0,I561-IF($A604&gt;='1-Input'!$C$12,'1-Input'!$B$12,0)))))*(1/(1-'P-Parametri'!$B$6*I604))))</f>
        <v>10846.756992928691</v>
      </c>
      <c r="K604" s="18">
        <f>IF($A604&gt;'1-Input'!$B$26,M603,(M603-MAX(0,I561-IF($A604&gt;='1-Input'!$C$12,'1-Input'!$B$12,0))+J604*(1-'P-Parametri'!$B$6*I604))*(1+'1-Input'!$B$27))</f>
        <v>0</v>
      </c>
      <c r="L604" s="18">
        <f>IF($A604&gt;'1-Input'!$B$26,N603,(N603-J604)*(1+$C$4))</f>
        <v>-267292.66251345602</v>
      </c>
      <c r="M604" s="18">
        <f>IF($A604&gt;'1-Input'!$B$26,K604,K604-'P-Parametri'!$B$8*(L604+K604)+MIN(MAX(L604,0),'P-Parametri'!$B$8*(L604+K604)))</f>
        <v>0</v>
      </c>
      <c r="N604" s="18">
        <f>IF($A604&gt;'1-Input'!$B$26,L604,L604-MIN(MAX(L604,0),'P-Parametri'!$B$8*(L604+K604)))</f>
        <v>-266758.07718842913</v>
      </c>
      <c r="O604" s="18">
        <f>IF($A604&gt;'1-Input'!$B$26,O603,O603-J604*(1-I604))</f>
        <v>-201455.49483528122</v>
      </c>
      <c r="P604" s="11">
        <f>IF($A604&gt;'1-Input'!$B$26,0,IF(U603&lt;=0,0,MAX(0,(U603-V603)/U603)))</f>
        <v>0</v>
      </c>
      <c r="Q604" s="18">
        <f>IF($A604&gt;'1-Input'!$B$26,0,(MAX(0,P561-IF($A604&gt;='1-Input'!$C$12,'1-Input'!$B$12,0))-MIN(MAX(T603,0),MAX(0,P561-IF($A604&gt;='1-Input'!$C$12,'1-Input'!$B$12,0))))*(1/(1-'P-Parametri'!$B$6*P604))+MIN(MAX(0,U603-(MAX(0,P561-IF($A604&gt;='1-Input'!$C$12,'1-Input'!$B$12,0))-MIN(MAX(T603,0),MAX(0,P561-IF($A604&gt;='1-Input'!$C$12,'1-Input'!$B$12,0))))*(1/(1-'P-Parametri'!$B$6*P604))),MAX(0,3*P561-(T603-MIN(MAX(T603,0),MAX(0,P561-IF($A604&gt;='1-Input'!$C$12,'1-Input'!$B$12,0)))))*(1/(1-'P-Parametri'!$B$6*P604))))</f>
        <v>0</v>
      </c>
      <c r="R604" s="18">
        <f>IF($A604&gt;'1-Input'!$B$26,T603,(T603-MAX(0,P561-IF($A604&gt;='1-Input'!$C$12,'1-Input'!$B$12,0))+Q604*(1-'P-Parametri'!$B$6*P604))*(1+'1-Input'!$B$27))</f>
        <v>21237.669779994791</v>
      </c>
      <c r="S604" s="18">
        <f>IF($A604&gt;'1-Input'!$B$26,U603,(U603-Q604)*(1+$C$4))</f>
        <v>0</v>
      </c>
      <c r="T604" s="18">
        <f>IF($A604&gt;'1-Input'!$B$26,R604,R604-'P-Parametri'!$B$8*(S604+R604)+MIN(MAX(S604,0),'P-Parametri'!$B$8*(S604+R604)))</f>
        <v>21195.1944404348</v>
      </c>
      <c r="U604" s="18">
        <f>IF($A604&gt;'1-Input'!$B$26,S604,S604-MIN(MAX(S604,0),'P-Parametri'!$B$8*(S604+R604)))</f>
        <v>0</v>
      </c>
      <c r="V604" s="18">
        <f>IF($A604&gt;'1-Input'!$B$26,V603,V603-Q604*(1-P604))</f>
        <v>1.1368683772161603E-13</v>
      </c>
      <c r="W604" s="11">
        <f>IF($A604&gt;'1-Input'!$B$26,0,IF(AB603&lt;=0,0,MAX(0,(AB603-AC603)/AB603)))</f>
        <v>0</v>
      </c>
      <c r="X604" s="18">
        <f>IF($A604&gt;'1-Input'!$B$26,0,(MAX(0,W561-IF($A604&gt;='1-Input'!$C$12,'1-Input'!$B$12,0))-MIN(MAX(AA603,0),MAX(0,W561-IF($A604&gt;='1-Input'!$C$12,'1-Input'!$B$12,0))))*(1/(1-'P-Parametri'!$B$6*W604))+MIN(MAX(0,AB603-(MAX(0,W561-IF($A604&gt;='1-Input'!$C$12,'1-Input'!$B$12,0))-MIN(MAX(AA603,0),MAX(0,W561-IF($A604&gt;='1-Input'!$C$12,'1-Input'!$B$12,0))))*(1/(1-'P-Parametri'!$B$6*W604))),MAX(0,3*W561-(AA603-MIN(MAX(AA603,0),MAX(0,W561-IF($A604&gt;='1-Input'!$C$12,'1-Input'!$B$12,0)))))*(1/(1-'P-Parametri'!$B$6*W604))))</f>
        <v>0</v>
      </c>
      <c r="Y604" s="18">
        <f>IF($A604&gt;'1-Input'!$B$26,AA603,(AA603-MAX(0,W561-IF($A604&gt;='1-Input'!$C$12,'1-Input'!$B$12,0))+X604*(1-'P-Parametri'!$B$6*W604))*(1+'1-Input'!$B$27))</f>
        <v>25571.450557752392</v>
      </c>
      <c r="Z604" s="18">
        <f>IF($A604&gt;'1-Input'!$B$26,AB603,(AB603-X604)*(1+$C$4))</f>
        <v>0</v>
      </c>
      <c r="AA604" s="18">
        <f>IF($A604&gt;'1-Input'!$B$26,Y604,Y604-'P-Parametri'!$B$8*(Z604+Y604)+MIN(MAX(Z604,0),'P-Parametri'!$B$8*(Z604+Y604)))</f>
        <v>25520.307656636887</v>
      </c>
      <c r="AB604" s="18">
        <f>IF($A604&gt;'1-Input'!$B$26,Z604,Z604-MIN(MAX(Z604,0),'P-Parametri'!$B$8*(Z604+Y604)))</f>
        <v>0</v>
      </c>
      <c r="AC604" s="18">
        <f>IF($A604&gt;'1-Input'!$B$26,AC603,AC603-X604*(1-W604))</f>
        <v>4.5474735088646412E-13</v>
      </c>
      <c r="AD604" s="11">
        <f>IF($A604&gt;'1-Input'!$B$26,0,IF(AI603&lt;=0,0,MAX(0,(AI603-AJ603)/AI603)))</f>
        <v>0</v>
      </c>
      <c r="AE604" s="18">
        <f>IF($A604&gt;'1-Input'!$B$26,0,(MAX(0,AD561-IF($A604&gt;='1-Input'!$C$12,'1-Input'!$B$12,0))-MIN(MAX(AH603,0),MAX(0,AD561-IF($A604&gt;='1-Input'!$C$12,'1-Input'!$B$12,0))))*(1/(1-'P-Parametri'!$B$6*AD604))+MIN(MAX(0,AI603-(MAX(0,AD561-IF($A604&gt;='1-Input'!$C$12,'1-Input'!$B$12,0))-MIN(MAX(AH603,0),MAX(0,AD561-IF($A604&gt;='1-Input'!$C$12,'1-Input'!$B$12,0))))*(1/(1-'P-Parametri'!$B$6*AD604))),MAX(0,3*AD561-(AH603-MIN(MAX(AH603,0),MAX(0,AD561-IF($A604&gt;='1-Input'!$C$12,'1-Input'!$B$12,0)))))*(1/(1-'P-Parametri'!$B$6*AD604))))</f>
        <v>0</v>
      </c>
      <c r="AF604" s="18">
        <f>IF($A604&gt;'1-Input'!$B$26,AH603,(AH603-MAX(0,AD561-IF($A604&gt;='1-Input'!$C$12,'1-Input'!$B$12,0))+AE604*(1-'P-Parametri'!$B$6*AD604))*(1+'1-Input'!$B$27))</f>
        <v>26114.789546403426</v>
      </c>
      <c r="AG604" s="18">
        <f>IF($A604&gt;'1-Input'!$B$26,AI603,(AI603-AE604)*(1+$C$4))</f>
        <v>0</v>
      </c>
      <c r="AH604" s="18">
        <f>IF($A604&gt;'1-Input'!$B$26,AF604,AF604-'P-Parametri'!$B$8*(AG604+AF604)+MIN(MAX(AG604,0),'P-Parametri'!$B$8*(AG604+AF604)))</f>
        <v>26062.559967310619</v>
      </c>
      <c r="AI604" s="18">
        <f>IF($A604&gt;'1-Input'!$B$26,AG604,AG604-MIN(MAX(AG604,0),'P-Parametri'!$B$8*(AG604+AF604)))</f>
        <v>0</v>
      </c>
      <c r="AJ604" s="18">
        <f>IF($A604&gt;'1-Input'!$B$26,AJ603,AJ603-AE604*(1-AD604))</f>
        <v>1.4210854715202004E-14</v>
      </c>
      <c r="AK604" s="11">
        <f>IF($A604&gt;'1-Input'!$B$26,0,IF(AP603&lt;=0,0,MAX(0,(AP603-AQ603)/AP603)))</f>
        <v>0</v>
      </c>
      <c r="AL604" s="18">
        <f>IF($A604&gt;'1-Input'!$B$26,0,(MAX(0,AK561-IF($A604&gt;='1-Input'!$C$12,'1-Input'!$B$12,0))-MIN(MAX(AO603,0),MAX(0,AK561-IF($A604&gt;='1-Input'!$C$12,'1-Input'!$B$12,0))))*(1/(1-'P-Parametri'!$B$6*AK604))+MIN(MAX(0,AP603-(MAX(0,AK561-IF($A604&gt;='1-Input'!$C$12,'1-Input'!$B$12,0))-MIN(MAX(AO603,0),MAX(0,AK561-IF($A604&gt;='1-Input'!$C$12,'1-Input'!$B$12,0))))*(1/(1-'P-Parametri'!$B$6*AK604))),MAX(0,3*AK561-(AO603-MIN(MAX(AO603,0),MAX(0,AK561-IF($A604&gt;='1-Input'!$C$12,'1-Input'!$B$12,0)))))*(1/(1-'P-Parametri'!$B$6*AK604))))</f>
        <v>0</v>
      </c>
      <c r="AM604" s="18">
        <f>IF($A604&gt;'1-Input'!$B$26,AO603,(AO603-MAX(0,AK561-IF($A604&gt;='1-Input'!$C$12,'1-Input'!$B$12,0))+AL604*(1-'P-Parametri'!$B$6*AK604))*(1+'1-Input'!$B$27))</f>
        <v>26083.725268052222</v>
      </c>
      <c r="AN604" s="18">
        <f>IF($A604&gt;'1-Input'!$B$26,AP603,(AP603-AL604)*(1+$C$4))</f>
        <v>0</v>
      </c>
      <c r="AO604" s="18">
        <f>IF($A604&gt;'1-Input'!$B$26,AM604,AM604-'P-Parametri'!$B$8*(AN604+AM604)+MIN(MAX(AN604,0),'P-Parametri'!$B$8*(AN604+AM604)))</f>
        <v>26031.557817516117</v>
      </c>
      <c r="AP604" s="18">
        <f>IF($A604&gt;'1-Input'!$B$26,AN604,AN604-MIN(MAX(AN604,0),'P-Parametri'!$B$8*(AN604+AM604)))</f>
        <v>0</v>
      </c>
      <c r="AQ604" s="18">
        <f>IF($A604&gt;'1-Input'!$B$26,AQ603,AQ603-AL604*(1-AK604))</f>
        <v>0</v>
      </c>
    </row>
    <row r="605" spans="1:43">
      <c r="A605" s="10">
        <f>42</f>
        <v>42</v>
      </c>
      <c r="B605" s="11">
        <f>IF($A605&gt;'1-Input'!$B$26,0,IF(G604&lt;=0,0,MAX(0,(G604-H604)/G604)))</f>
        <v>0.73901276232935953</v>
      </c>
      <c r="C605" s="18">
        <f>IF($A605&gt;'1-Input'!$B$26,0,(MAX(0,B561-IF($A605&gt;='1-Input'!$C$12,'1-Input'!$B$12,0))-MIN(MAX(F604,0),MAX(0,B561-IF($A605&gt;='1-Input'!$C$12,'1-Input'!$B$12,0))))*(1/(1-'P-Parametri'!$B$6*B605))+MIN(MAX(0,G604-(MAX(0,B561-IF($A605&gt;='1-Input'!$C$12,'1-Input'!$B$12,0))-MIN(MAX(F604,0),MAX(0,B561-IF($A605&gt;='1-Input'!$C$12,'1-Input'!$B$12,0))))*(1/(1-'P-Parametri'!$B$6*B605))),MAX(0,3*B561-(F604-MIN(MAX(F604,0),MAX(0,B561-IF($A605&gt;='1-Input'!$C$12,'1-Input'!$B$12,0)))))*(1/(1-'P-Parametri'!$B$6*B605))))</f>
        <v>7129.0005291925327</v>
      </c>
      <c r="D605" s="18">
        <f>IF($A605&gt;'1-Input'!$B$26,F604,(F604-MAX(0,B561-IF($A605&gt;='1-Input'!$C$12,'1-Input'!$B$12,0))+C605*(1-'P-Parametri'!$B$6*B605))*(1+'1-Input'!$B$27))</f>
        <v>49863.010546479447</v>
      </c>
      <c r="E605" s="18">
        <f>IF($A605&gt;'1-Input'!$B$26,G604,(G604-C605)*(1+$C$4))</f>
        <v>44944.552135714664</v>
      </c>
      <c r="F605" s="18">
        <f>IF($A605&gt;'1-Input'!$B$26,D605,D605-'P-Parametri'!$B$8*(E605+D605)+MIN(MAX(E605,0),'P-Parametri'!$B$8*(E605+D605)))</f>
        <v>49863.010546479447</v>
      </c>
      <c r="G605" s="18">
        <f>IF($A605&gt;'1-Input'!$B$26,E605,E605-MIN(MAX(E605,0),'P-Parametri'!$B$8*(E605+D605)))</f>
        <v>44754.937010350273</v>
      </c>
      <c r="H605" s="18">
        <f>IF($A605&gt;'1-Input'!$B$26,H604,H604-C605*(1-B605))</f>
        <v>11388.305349751701</v>
      </c>
      <c r="I605" s="11">
        <f>IF($A605&gt;'1-Input'!$B$26,0,IF(N604&lt;=0,0,MAX(0,(N604-O604)/N604)))</f>
        <v>0</v>
      </c>
      <c r="J605" s="18">
        <f>IF($A605&gt;'1-Input'!$B$26,0,(MAX(0,I561-IF($A605&gt;='1-Input'!$C$12,'1-Input'!$B$12,0))-MIN(MAX(M604,0),MAX(0,I561-IF($A605&gt;='1-Input'!$C$12,'1-Input'!$B$12,0))))*(1/(1-'P-Parametri'!$B$6*I605))+MIN(MAX(0,N604-(MAX(0,I561-IF($A605&gt;='1-Input'!$C$12,'1-Input'!$B$12,0))-MIN(MAX(M604,0),MAX(0,I561-IF($A605&gt;='1-Input'!$C$12,'1-Input'!$B$12,0))))*(1/(1-'P-Parametri'!$B$6*I605))),MAX(0,3*I561-(M604-MIN(MAX(M604,0),MAX(0,I561-IF($A605&gt;='1-Input'!$C$12,'1-Input'!$B$12,0)))))*(1/(1-'P-Parametri'!$B$6*I605))))</f>
        <v>10846.756992928691</v>
      </c>
      <c r="K605" s="18">
        <f>IF($A605&gt;'1-Input'!$B$26,M604,(M604-MAX(0,I561-IF($A605&gt;='1-Input'!$C$12,'1-Input'!$B$12,0))+J605*(1-'P-Parametri'!$B$6*I605))*(1+'1-Input'!$B$27))</f>
        <v>0</v>
      </c>
      <c r="L605" s="18">
        <f>IF($A605&gt;'1-Input'!$B$26,N604,(N604-J605)*(1+$C$4))</f>
        <v>-285932.97920679854</v>
      </c>
      <c r="M605" s="18">
        <f>IF($A605&gt;'1-Input'!$B$26,K605,K605-'P-Parametri'!$B$8*(L605+K605)+MIN(MAX(L605,0),'P-Parametri'!$B$8*(L605+K605)))</f>
        <v>0</v>
      </c>
      <c r="N605" s="18">
        <f>IF($A605&gt;'1-Input'!$B$26,L605,L605-MIN(MAX(L605,0),'P-Parametri'!$B$8*(L605+K605)))</f>
        <v>-285361.11324838497</v>
      </c>
      <c r="O605" s="18">
        <f>IF($A605&gt;'1-Input'!$B$26,O604,O604-J605*(1-I605))</f>
        <v>-212302.2518282099</v>
      </c>
      <c r="P605" s="11">
        <f>IF($A605&gt;'1-Input'!$B$26,0,IF(U604&lt;=0,0,MAX(0,(U604-V604)/U604)))</f>
        <v>0</v>
      </c>
      <c r="Q605" s="18">
        <f>IF($A605&gt;'1-Input'!$B$26,0,(MAX(0,P561-IF($A605&gt;='1-Input'!$C$12,'1-Input'!$B$12,0))-MIN(MAX(T604,0),MAX(0,P561-IF($A605&gt;='1-Input'!$C$12,'1-Input'!$B$12,0))))*(1/(1-'P-Parametri'!$B$6*P605))+MIN(MAX(0,U604-(MAX(0,P561-IF($A605&gt;='1-Input'!$C$12,'1-Input'!$B$12,0))-MIN(MAX(T604,0),MAX(0,P561-IF($A605&gt;='1-Input'!$C$12,'1-Input'!$B$12,0))))*(1/(1-'P-Parametri'!$B$6*P605))),MAX(0,3*P561-(T604-MIN(MAX(T604,0),MAX(0,P561-IF($A605&gt;='1-Input'!$C$12,'1-Input'!$B$12,0)))))*(1/(1-'P-Parametri'!$B$6*P605))))</f>
        <v>0</v>
      </c>
      <c r="R605" s="18">
        <f>IF($A605&gt;'1-Input'!$B$26,T604,(T604-MAX(0,P561-IF($A605&gt;='1-Input'!$C$12,'1-Input'!$B$12,0))+Q605*(1-'P-Parametri'!$B$6*P605))*(1+'1-Input'!$B$27))</f>
        <v>14616.353508030448</v>
      </c>
      <c r="S605" s="18">
        <f>IF($A605&gt;'1-Input'!$B$26,U604,(U604-Q605)*(1+$C$4))</f>
        <v>0</v>
      </c>
      <c r="T605" s="18">
        <f>IF($A605&gt;'1-Input'!$B$26,R605,R605-'P-Parametri'!$B$8*(S605+R605)+MIN(MAX(S605,0),'P-Parametri'!$B$8*(S605+R605)))</f>
        <v>14587.120801014387</v>
      </c>
      <c r="U605" s="18">
        <f>IF($A605&gt;'1-Input'!$B$26,S605,S605-MIN(MAX(S605,0),'P-Parametri'!$B$8*(S605+R605)))</f>
        <v>0</v>
      </c>
      <c r="V605" s="18">
        <f>IF($A605&gt;'1-Input'!$B$26,V604,V604-Q605*(1-P605))</f>
        <v>1.1368683772161603E-13</v>
      </c>
      <c r="W605" s="11">
        <f>IF($A605&gt;'1-Input'!$B$26,0,IF(AB604&lt;=0,0,MAX(0,(AB604-AC604)/AB604)))</f>
        <v>0</v>
      </c>
      <c r="X605" s="18">
        <f>IF($A605&gt;'1-Input'!$B$26,0,(MAX(0,W561-IF($A605&gt;='1-Input'!$C$12,'1-Input'!$B$12,0))-MIN(MAX(AA604,0),MAX(0,W561-IF($A605&gt;='1-Input'!$C$12,'1-Input'!$B$12,0))))*(1/(1-'P-Parametri'!$B$6*W605))+MIN(MAX(0,AB604-(MAX(0,W561-IF($A605&gt;='1-Input'!$C$12,'1-Input'!$B$12,0))-MIN(MAX(AA604,0),MAX(0,W561-IF($A605&gt;='1-Input'!$C$12,'1-Input'!$B$12,0))))*(1/(1-'P-Parametri'!$B$6*W605))),MAX(0,3*W561-(AA604-MIN(MAX(AA604,0),MAX(0,W561-IF($A605&gt;='1-Input'!$C$12,'1-Input'!$B$12,0)))))*(1/(1-'P-Parametri'!$B$6*W605))))</f>
        <v>0</v>
      </c>
      <c r="Y605" s="18">
        <f>IF($A605&gt;'1-Input'!$B$26,AA604,(AA604-MAX(0,W561-IF($A605&gt;='1-Input'!$C$12,'1-Input'!$B$12,0))+X605*(1-'P-Parametri'!$B$6*W605))*(1+'1-Input'!$B$27))</f>
        <v>18991.716604711659</v>
      </c>
      <c r="Z605" s="18">
        <f>IF($A605&gt;'1-Input'!$B$26,AB604,(AB604-X605)*(1+$C$4))</f>
        <v>0</v>
      </c>
      <c r="AA605" s="18">
        <f>IF($A605&gt;'1-Input'!$B$26,Y605,Y605-'P-Parametri'!$B$8*(Z605+Y605)+MIN(MAX(Z605,0),'P-Parametri'!$B$8*(Z605+Y605)))</f>
        <v>18953.733171502234</v>
      </c>
      <c r="AB605" s="18">
        <f>IF($A605&gt;'1-Input'!$B$26,Z605,Z605-MIN(MAX(Z605,0),'P-Parametri'!$B$8*(Z605+Y605)))</f>
        <v>0</v>
      </c>
      <c r="AC605" s="18">
        <f>IF($A605&gt;'1-Input'!$B$26,AC604,AC604-X605*(1-W605))</f>
        <v>4.5474735088646412E-13</v>
      </c>
      <c r="AD605" s="11">
        <f>IF($A605&gt;'1-Input'!$B$26,0,IF(AI604&lt;=0,0,MAX(0,(AI604-AJ604)/AI604)))</f>
        <v>0</v>
      </c>
      <c r="AE605" s="18">
        <f>IF($A605&gt;'1-Input'!$B$26,0,(MAX(0,AD561-IF($A605&gt;='1-Input'!$C$12,'1-Input'!$B$12,0))-MIN(MAX(AH604,0),MAX(0,AD561-IF($A605&gt;='1-Input'!$C$12,'1-Input'!$B$12,0))))*(1/(1-'P-Parametri'!$B$6*AD605))+MIN(MAX(0,AI604-(MAX(0,AD561-IF($A605&gt;='1-Input'!$C$12,'1-Input'!$B$12,0))-MIN(MAX(AH604,0),MAX(0,AD561-IF($A605&gt;='1-Input'!$C$12,'1-Input'!$B$12,0))))*(1/(1-'P-Parametri'!$B$6*AD605))),MAX(0,3*AD561-(AH604-MIN(MAX(AH604,0),MAX(0,AD561-IF($A605&gt;='1-Input'!$C$12,'1-Input'!$B$12,0)))))*(1/(1-'P-Parametri'!$B$6*AD605))))</f>
        <v>0</v>
      </c>
      <c r="AF605" s="18">
        <f>IF($A605&gt;'1-Input'!$B$26,AH604,(AH604-MAX(0,AD561-IF($A605&gt;='1-Input'!$C$12,'1-Input'!$B$12,0))+AE605*(1-'P-Parametri'!$B$6*AD605))*(1+'1-Input'!$B$27))</f>
        <v>19539.734786285506</v>
      </c>
      <c r="AG605" s="18">
        <f>IF($A605&gt;'1-Input'!$B$26,AI604,(AI604-AE605)*(1+$C$4))</f>
        <v>0</v>
      </c>
      <c r="AH605" s="18">
        <f>IF($A605&gt;'1-Input'!$B$26,AF605,AF605-'P-Parametri'!$B$8*(AG605+AF605)+MIN(MAX(AG605,0),'P-Parametri'!$B$8*(AG605+AF605)))</f>
        <v>19500.655316712935</v>
      </c>
      <c r="AI605" s="18">
        <f>IF($A605&gt;'1-Input'!$B$26,AG605,AG605-MIN(MAX(AG605,0),'P-Parametri'!$B$8*(AG605+AF605)))</f>
        <v>0</v>
      </c>
      <c r="AJ605" s="18">
        <f>IF($A605&gt;'1-Input'!$B$26,AJ604,AJ604-AE605*(1-AD605))</f>
        <v>1.4210854715202004E-14</v>
      </c>
      <c r="AK605" s="11">
        <f>IF($A605&gt;'1-Input'!$B$26,0,IF(AP604&lt;=0,0,MAX(0,(AP604-AQ604)/AP604)))</f>
        <v>0</v>
      </c>
      <c r="AL605" s="18">
        <f>IF($A605&gt;'1-Input'!$B$26,0,(MAX(0,AK561-IF($A605&gt;='1-Input'!$C$12,'1-Input'!$B$12,0))-MIN(MAX(AO604,0),MAX(0,AK561-IF($A605&gt;='1-Input'!$C$12,'1-Input'!$B$12,0))))*(1/(1-'P-Parametri'!$B$6*AK605))+MIN(MAX(0,AP604-(MAX(0,AK561-IF($A605&gt;='1-Input'!$C$12,'1-Input'!$B$12,0))-MIN(MAX(AO604,0),MAX(0,AK561-IF($A605&gt;='1-Input'!$C$12,'1-Input'!$B$12,0))))*(1/(1-'P-Parametri'!$B$6*AK605))),MAX(0,3*AK561-(AO604-MIN(MAX(AO604,0),MAX(0,AK561-IF($A605&gt;='1-Input'!$C$12,'1-Input'!$B$12,0)))))*(1/(1-'P-Parametri'!$B$6*AK605))))</f>
        <v>0</v>
      </c>
      <c r="AM605" s="18">
        <f>IF($A605&gt;'1-Input'!$B$26,AO604,(AO604-MAX(0,AK561-IF($A605&gt;='1-Input'!$C$12,'1-Input'!$B$12,0))+AL605*(1-'P-Parametri'!$B$6*AK605))*(1+'1-Input'!$B$27))</f>
        <v>19508.38641744537</v>
      </c>
      <c r="AN605" s="18">
        <f>IF($A605&gt;'1-Input'!$B$26,AP604,(AP604-AL605)*(1+$C$4))</f>
        <v>0</v>
      </c>
      <c r="AO605" s="18">
        <f>IF($A605&gt;'1-Input'!$B$26,AM605,AM605-'P-Parametri'!$B$8*(AN605+AM605)+MIN(MAX(AN605,0),'P-Parametri'!$B$8*(AN605+AM605)))</f>
        <v>19469.36964461048</v>
      </c>
      <c r="AP605" s="18">
        <f>IF($A605&gt;'1-Input'!$B$26,AN605,AN605-MIN(MAX(AN605,0),'P-Parametri'!$B$8*(AN605+AM605)))</f>
        <v>0</v>
      </c>
      <c r="AQ605" s="18">
        <f>IF($A605&gt;'1-Input'!$B$26,AQ604,AQ604-AL605*(1-AK605))</f>
        <v>0</v>
      </c>
    </row>
    <row r="606" spans="1:43">
      <c r="A606" s="10">
        <f>43</f>
        <v>43</v>
      </c>
      <c r="B606" s="11">
        <f>IF($A606&gt;'1-Input'!$B$26,0,IF(G605&lt;=0,0,MAX(0,(G605-H605)/G605)))</f>
        <v>0.74554080263551747</v>
      </c>
      <c r="C606" s="18">
        <f>IF($A606&gt;'1-Input'!$B$26,0,(MAX(0,B561-IF($A606&gt;='1-Input'!$C$12,'1-Input'!$B$12,0))-MIN(MAX(F605,0),MAX(0,B561-IF($A606&gt;='1-Input'!$C$12,'1-Input'!$B$12,0))))*(1/(1-'P-Parametri'!$B$6*B606))+MIN(MAX(0,G605-(MAX(0,B561-IF($A606&gt;='1-Input'!$C$12,'1-Input'!$B$12,0))-MIN(MAX(F605,0),MAX(0,B561-IF($A606&gt;='1-Input'!$C$12,'1-Input'!$B$12,0))))*(1/(1-'P-Parametri'!$B$6*B606))),MAX(0,3*B561-(F605-MIN(MAX(F605,0),MAX(0,B561-IF($A606&gt;='1-Input'!$C$12,'1-Input'!$B$12,0)))))*(1/(1-'P-Parametri'!$B$6*B606))))</f>
        <v>7144.0099489892018</v>
      </c>
      <c r="D606" s="18">
        <f>IF($A606&gt;'1-Input'!$B$26,F605,(F605-MAX(0,B561-IF($A606&gt;='1-Input'!$C$12,'1-Input'!$B$12,0))+C606*(1-'P-Parametri'!$B$6*B606))*(1+'1-Input'!$B$27))</f>
        <v>49863.010546479447</v>
      </c>
      <c r="E606" s="18">
        <f>IF($A606&gt;'1-Input'!$B$26,G605,(G605-C606)*(1+$C$4))</f>
        <v>38739.254873201906</v>
      </c>
      <c r="F606" s="18">
        <f>IF($A606&gt;'1-Input'!$B$26,D606,D606-'P-Parametri'!$B$8*(E606+D606)+MIN(MAX(E606,0),'P-Parametri'!$B$8*(E606+D606)))</f>
        <v>49863.010546479447</v>
      </c>
      <c r="G606" s="18">
        <f>IF($A606&gt;'1-Input'!$B$26,E606,E606-MIN(MAX(E606,0),'P-Parametri'!$B$8*(E606+D606)))</f>
        <v>38562.050342362541</v>
      </c>
      <c r="H606" s="18">
        <f>IF($A606&gt;'1-Input'!$B$26,H605,H605-C606*(1-B606))</f>
        <v>9570.446312168031</v>
      </c>
      <c r="I606" s="11">
        <f>IF($A606&gt;'1-Input'!$B$26,0,IF(N605&lt;=0,0,MAX(0,(N605-O605)/N605)))</f>
        <v>0</v>
      </c>
      <c r="J606" s="18">
        <f>IF($A606&gt;'1-Input'!$B$26,0,(MAX(0,I561-IF($A606&gt;='1-Input'!$C$12,'1-Input'!$B$12,0))-MIN(MAX(M605,0),MAX(0,I561-IF($A606&gt;='1-Input'!$C$12,'1-Input'!$B$12,0))))*(1/(1-'P-Parametri'!$B$6*I606))+MIN(MAX(0,N605-(MAX(0,I561-IF($A606&gt;='1-Input'!$C$12,'1-Input'!$B$12,0))-MIN(MAX(M605,0),MAX(0,I561-IF($A606&gt;='1-Input'!$C$12,'1-Input'!$B$12,0))))*(1/(1-'P-Parametri'!$B$6*I606))),MAX(0,3*I561-(M605-MIN(MAX(M605,0),MAX(0,I561-IF($A606&gt;='1-Input'!$C$12,'1-Input'!$B$12,0)))))*(1/(1-'P-Parametri'!$B$6*I606))))</f>
        <v>10846.756992928691</v>
      </c>
      <c r="K606" s="18">
        <f>IF($A606&gt;'1-Input'!$B$26,M605,(M605-MAX(0,I561-IF($A606&gt;='1-Input'!$C$12,'1-Input'!$B$12,0))+J606*(1-'P-Parametri'!$B$6*I606))*(1+'1-Input'!$B$27))</f>
        <v>0</v>
      </c>
      <c r="L606" s="18">
        <f>IF($A606&gt;'1-Input'!$B$26,N605,(N605-J606)*(1+$C$4))</f>
        <v>-305094.10634855309</v>
      </c>
      <c r="M606" s="18">
        <f>IF($A606&gt;'1-Input'!$B$26,K606,K606-'P-Parametri'!$B$8*(L606+K606)+MIN(MAX(L606,0),'P-Parametri'!$B$8*(L606+K606)))</f>
        <v>0</v>
      </c>
      <c r="N606" s="18">
        <f>IF($A606&gt;'1-Input'!$B$26,L606,L606-MIN(MAX(L606,0),'P-Parametri'!$B$8*(L606+K606)))</f>
        <v>-304483.91813585599</v>
      </c>
      <c r="O606" s="18">
        <f>IF($A606&gt;'1-Input'!$B$26,O605,O605-J606*(1-I606))</f>
        <v>-223149.00882113859</v>
      </c>
      <c r="P606" s="11">
        <f>IF($A606&gt;'1-Input'!$B$26,0,IF(U605&lt;=0,0,MAX(0,(U605-V605)/U605)))</f>
        <v>0</v>
      </c>
      <c r="Q606" s="18">
        <f>IF($A606&gt;'1-Input'!$B$26,0,(MAX(0,P561-IF($A606&gt;='1-Input'!$C$12,'1-Input'!$B$12,0))-MIN(MAX(T605,0),MAX(0,P561-IF($A606&gt;='1-Input'!$C$12,'1-Input'!$B$12,0))))*(1/(1-'P-Parametri'!$B$6*P606))+MIN(MAX(0,U605-(MAX(0,P561-IF($A606&gt;='1-Input'!$C$12,'1-Input'!$B$12,0))-MIN(MAX(T605,0),MAX(0,P561-IF($A606&gt;='1-Input'!$C$12,'1-Input'!$B$12,0))))*(1/(1-'P-Parametri'!$B$6*P606))),MAX(0,3*P561-(T605-MIN(MAX(T605,0),MAX(0,P561-IF($A606&gt;='1-Input'!$C$12,'1-Input'!$B$12,0)))))*(1/(1-'P-Parametri'!$B$6*P606))))</f>
        <v>0</v>
      </c>
      <c r="R606" s="18">
        <f>IF($A606&gt;'1-Input'!$B$26,T605,(T605-MAX(0,P561-IF($A606&gt;='1-Input'!$C$12,'1-Input'!$B$12,0))+Q606*(1-'P-Parametri'!$B$6*P606))*(1+'1-Input'!$B$27))</f>
        <v>8032.0689337119493</v>
      </c>
      <c r="S606" s="18">
        <f>IF($A606&gt;'1-Input'!$B$26,U605,(U605-Q606)*(1+$C$4))</f>
        <v>0</v>
      </c>
      <c r="T606" s="18">
        <f>IF($A606&gt;'1-Input'!$B$26,R606,R606-'P-Parametri'!$B$8*(S606+R606)+MIN(MAX(S606,0),'P-Parametri'!$B$8*(S606+R606)))</f>
        <v>8016.0047958445257</v>
      </c>
      <c r="U606" s="18">
        <f>IF($A606&gt;'1-Input'!$B$26,S606,S606-MIN(MAX(S606,0),'P-Parametri'!$B$8*(S606+R606)))</f>
        <v>0</v>
      </c>
      <c r="V606" s="18">
        <f>IF($A606&gt;'1-Input'!$B$26,V605,V605-Q606*(1-P606))</f>
        <v>1.1368683772161603E-13</v>
      </c>
      <c r="W606" s="11">
        <f>IF($A606&gt;'1-Input'!$B$26,0,IF(AB605&lt;=0,0,MAX(0,(AB605-AC605)/AB605)))</f>
        <v>0</v>
      </c>
      <c r="X606" s="18">
        <f>IF($A606&gt;'1-Input'!$B$26,0,(MAX(0,W561-IF($A606&gt;='1-Input'!$C$12,'1-Input'!$B$12,0))-MIN(MAX(AA605,0),MAX(0,W561-IF($A606&gt;='1-Input'!$C$12,'1-Input'!$B$12,0))))*(1/(1-'P-Parametri'!$B$6*W606))+MIN(MAX(0,AB605-(MAX(0,W561-IF($A606&gt;='1-Input'!$C$12,'1-Input'!$B$12,0))-MIN(MAX(AA605,0),MAX(0,W561-IF($A606&gt;='1-Input'!$C$12,'1-Input'!$B$12,0))))*(1/(1-'P-Parametri'!$B$6*W606))),MAX(0,3*W561-(AA605-MIN(MAX(AA605,0),MAX(0,W561-IF($A606&gt;='1-Input'!$C$12,'1-Input'!$B$12,0)))))*(1/(1-'P-Parametri'!$B$6*W606))))</f>
        <v>0</v>
      </c>
      <c r="Y606" s="18">
        <f>IF($A606&gt;'1-Input'!$B$26,AA605,(AA605-MAX(0,W561-IF($A606&gt;='1-Input'!$C$12,'1-Input'!$B$12,0))+X606*(1-'P-Parametri'!$B$6*W606))*(1+'1-Input'!$B$27))</f>
        <v>12448.781787723492</v>
      </c>
      <c r="Z606" s="18">
        <f>IF($A606&gt;'1-Input'!$B$26,AB605,(AB605-X606)*(1+$C$4))</f>
        <v>0</v>
      </c>
      <c r="AA606" s="18">
        <f>IF($A606&gt;'1-Input'!$B$26,Y606,Y606-'P-Parametri'!$B$8*(Z606+Y606)+MIN(MAX(Z606,0),'P-Parametri'!$B$8*(Z606+Y606)))</f>
        <v>12423.884224148045</v>
      </c>
      <c r="AB606" s="18">
        <f>IF($A606&gt;'1-Input'!$B$26,Z606,Z606-MIN(MAX(Z606,0),'P-Parametri'!$B$8*(Z606+Y606)))</f>
        <v>0</v>
      </c>
      <c r="AC606" s="18">
        <f>IF($A606&gt;'1-Input'!$B$26,AC605,AC605-X606*(1-W606))</f>
        <v>4.5474735088646412E-13</v>
      </c>
      <c r="AD606" s="11">
        <f>IF($A606&gt;'1-Input'!$B$26,0,IF(AI605&lt;=0,0,MAX(0,(AI605-AJ605)/AI605)))</f>
        <v>0</v>
      </c>
      <c r="AE606" s="18">
        <f>IF($A606&gt;'1-Input'!$B$26,0,(MAX(0,AD561-IF($A606&gt;='1-Input'!$C$12,'1-Input'!$B$12,0))-MIN(MAX(AH605,0),MAX(0,AD561-IF($A606&gt;='1-Input'!$C$12,'1-Input'!$B$12,0))))*(1/(1-'P-Parametri'!$B$6*AD606))+MIN(MAX(0,AI605-(MAX(0,AD561-IF($A606&gt;='1-Input'!$C$12,'1-Input'!$B$12,0))-MIN(MAX(AH605,0),MAX(0,AD561-IF($A606&gt;='1-Input'!$C$12,'1-Input'!$B$12,0))))*(1/(1-'P-Parametri'!$B$6*AD606))),MAX(0,3*AD561-(AH605-MIN(MAX(AH605,0),MAX(0,AD561-IF($A606&gt;='1-Input'!$C$12,'1-Input'!$B$12,0)))))*(1/(1-'P-Parametri'!$B$6*AD606))))</f>
        <v>0</v>
      </c>
      <c r="AF606" s="18">
        <f>IF($A606&gt;'1-Input'!$B$26,AH605,(AH605-MAX(0,AD561-IF($A606&gt;='1-Input'!$C$12,'1-Input'!$B$12,0))+AE606*(1-'P-Parametri'!$B$6*AD606))*(1+'1-Input'!$B$27))</f>
        <v>13001.452992429975</v>
      </c>
      <c r="AG606" s="18">
        <f>IF($A606&gt;'1-Input'!$B$26,AI605,(AI605-AE606)*(1+$C$4))</f>
        <v>0</v>
      </c>
      <c r="AH606" s="18">
        <f>IF($A606&gt;'1-Input'!$B$26,AF606,AF606-'P-Parametri'!$B$8*(AG606+AF606)+MIN(MAX(AG606,0),'P-Parametri'!$B$8*(AG606+AF606)))</f>
        <v>12975.450086445115</v>
      </c>
      <c r="AI606" s="18">
        <f>IF($A606&gt;'1-Input'!$B$26,AG606,AG606-MIN(MAX(AG606,0),'P-Parametri'!$B$8*(AG606+AF606)))</f>
        <v>0</v>
      </c>
      <c r="AJ606" s="18">
        <f>IF($A606&gt;'1-Input'!$B$26,AJ605,AJ605-AE606*(1-AD606))</f>
        <v>1.4210854715202004E-14</v>
      </c>
      <c r="AK606" s="11">
        <f>IF($A606&gt;'1-Input'!$B$26,0,IF(AP605&lt;=0,0,MAX(0,(AP605-AQ605)/AP605)))</f>
        <v>0</v>
      </c>
      <c r="AL606" s="18">
        <f>IF($A606&gt;'1-Input'!$B$26,0,(MAX(0,AK561-IF($A606&gt;='1-Input'!$C$12,'1-Input'!$B$12,0))-MIN(MAX(AO605,0),MAX(0,AK561-IF($A606&gt;='1-Input'!$C$12,'1-Input'!$B$12,0))))*(1/(1-'P-Parametri'!$B$6*AK606))+MIN(MAX(0,AP605-(MAX(0,AK561-IF($A606&gt;='1-Input'!$C$12,'1-Input'!$B$12,0))-MIN(MAX(AO605,0),MAX(0,AK561-IF($A606&gt;='1-Input'!$C$12,'1-Input'!$B$12,0))))*(1/(1-'P-Parametri'!$B$6*AK606))),MAX(0,3*AK561-(AO605-MIN(MAX(AO605,0),MAX(0,AK561-IF($A606&gt;='1-Input'!$C$12,'1-Input'!$B$12,0)))))*(1/(1-'P-Parametri'!$B$6*AK606))))</f>
        <v>0</v>
      </c>
      <c r="AM606" s="18">
        <f>IF($A606&gt;'1-Input'!$B$26,AO605,(AO605-MAX(0,AK561-IF($A606&gt;='1-Input'!$C$12,'1-Input'!$B$12,0))+AL606*(1-'P-Parametri'!$B$6*AK606))*(1+'1-Input'!$B$27))</f>
        <v>12969.822121962194</v>
      </c>
      <c r="AN606" s="18">
        <f>IF($A606&gt;'1-Input'!$B$26,AP605,(AP605-AL606)*(1+$C$4))</f>
        <v>0</v>
      </c>
      <c r="AO606" s="18">
        <f>IF($A606&gt;'1-Input'!$B$26,AM606,AM606-'P-Parametri'!$B$8*(AN606+AM606)+MIN(MAX(AN606,0),'P-Parametri'!$B$8*(AN606+AM606)))</f>
        <v>12943.882477718269</v>
      </c>
      <c r="AP606" s="18">
        <f>IF($A606&gt;'1-Input'!$B$26,AN606,AN606-MIN(MAX(AN606,0),'P-Parametri'!$B$8*(AN606+AM606)))</f>
        <v>0</v>
      </c>
      <c r="AQ606" s="18">
        <f>IF($A606&gt;'1-Input'!$B$26,AQ605,AQ605-AL606*(1-AK606))</f>
        <v>0</v>
      </c>
    </row>
    <row r="607" spans="1:43">
      <c r="A607" s="10">
        <f>44</f>
        <v>44</v>
      </c>
      <c r="B607" s="11">
        <f>IF($A607&gt;'1-Input'!$B$26,0,IF(G606&lt;=0,0,MAX(0,(G606-H606)/G606)))</f>
        <v>0.75181697479258858</v>
      </c>
      <c r="C607" s="18">
        <f>IF($A607&gt;'1-Input'!$B$26,0,(MAX(0,B561-IF($A607&gt;='1-Input'!$C$12,'1-Input'!$B$12,0))-MIN(MAX(F606,0),MAX(0,B561-IF($A607&gt;='1-Input'!$C$12,'1-Input'!$B$12,0))))*(1/(1-'P-Parametri'!$B$6*B607))+MIN(MAX(0,G606-(MAX(0,B561-IF($A607&gt;='1-Input'!$C$12,'1-Input'!$B$12,0))-MIN(MAX(F606,0),MAX(0,B561-IF($A607&gt;='1-Input'!$C$12,'1-Input'!$B$12,0))))*(1/(1-'P-Parametri'!$B$6*B607))),MAX(0,3*B561-(F606-MIN(MAX(F606,0),MAX(0,B561-IF($A607&gt;='1-Input'!$C$12,'1-Input'!$B$12,0)))))*(1/(1-'P-Parametri'!$B$6*B607))))</f>
        <v>7158.4999797116679</v>
      </c>
      <c r="D607" s="18">
        <f>IF($A607&gt;'1-Input'!$B$26,F606,(F606-MAX(0,B561-IF($A607&gt;='1-Input'!$C$12,'1-Input'!$B$12,0))+C607*(1-'P-Parametri'!$B$6*B607))*(1+'1-Input'!$B$27))</f>
        <v>49863.010546479447</v>
      </c>
      <c r="E607" s="18">
        <f>IF($A607&gt;'1-Input'!$B$26,G606,(G606-C607)*(1+$C$4))</f>
        <v>32345.656873530399</v>
      </c>
      <c r="F607" s="18">
        <f>IF($A607&gt;'1-Input'!$B$26,D607,D607-'P-Parametri'!$B$8*(E607+D607)+MIN(MAX(E607,0),'P-Parametri'!$B$8*(E607+D607)))</f>
        <v>49863.010546479447</v>
      </c>
      <c r="G607" s="18">
        <f>IF($A607&gt;'1-Input'!$B$26,E607,E607-MIN(MAX(E607,0),'P-Parametri'!$B$8*(E607+D607)))</f>
        <v>32181.239538690381</v>
      </c>
      <c r="H607" s="18">
        <f>IF($A607&gt;'1-Input'!$B$26,H606,H606-C607*(1-B607))</f>
        <v>7793.8281312559957</v>
      </c>
      <c r="I607" s="11">
        <f>IF($A607&gt;'1-Input'!$B$26,0,IF(N606&lt;=0,0,MAX(0,(N606-O606)/N606)))</f>
        <v>0</v>
      </c>
      <c r="J607" s="18">
        <f>IF($A607&gt;'1-Input'!$B$26,0,(MAX(0,I561-IF($A607&gt;='1-Input'!$C$12,'1-Input'!$B$12,0))-MIN(MAX(M606,0),MAX(0,I561-IF($A607&gt;='1-Input'!$C$12,'1-Input'!$B$12,0))))*(1/(1-'P-Parametri'!$B$6*I607))+MIN(MAX(0,N606-(MAX(0,I561-IF($A607&gt;='1-Input'!$C$12,'1-Input'!$B$12,0))-MIN(MAX(M606,0),MAX(0,I561-IF($A607&gt;='1-Input'!$C$12,'1-Input'!$B$12,0))))*(1/(1-'P-Parametri'!$B$6*I607))),MAX(0,3*I561-(M606-MIN(MAX(M606,0),MAX(0,I561-IF($A607&gt;='1-Input'!$C$12,'1-Input'!$B$12,0)))))*(1/(1-'P-Parametri'!$B$6*I607))))</f>
        <v>10846.756992928691</v>
      </c>
      <c r="K607" s="18">
        <f>IF($A607&gt;'1-Input'!$B$26,M606,(M606-MAX(0,I561-IF($A607&gt;='1-Input'!$C$12,'1-Input'!$B$12,0))+J607*(1-'P-Parametri'!$B$6*I607))*(1+'1-Input'!$B$27))</f>
        <v>0</v>
      </c>
      <c r="L607" s="18">
        <f>IF($A607&gt;'1-Input'!$B$26,N606,(N606-J607)*(1+$C$4))</f>
        <v>-324790.59538264823</v>
      </c>
      <c r="M607" s="18">
        <f>IF($A607&gt;'1-Input'!$B$26,K607,K607-'P-Parametri'!$B$8*(L607+K607)+MIN(MAX(L607,0),'P-Parametri'!$B$8*(L607+K607)))</f>
        <v>0</v>
      </c>
      <c r="N607" s="18">
        <f>IF($A607&gt;'1-Input'!$B$26,L607,L607-MIN(MAX(L607,0),'P-Parametri'!$B$8*(L607+K607)))</f>
        <v>-324141.01419188292</v>
      </c>
      <c r="O607" s="18">
        <f>IF($A607&gt;'1-Input'!$B$26,O606,O606-J607*(1-I607))</f>
        <v>-233995.76581406727</v>
      </c>
      <c r="P607" s="11">
        <f>IF($A607&gt;'1-Input'!$B$26,0,IF(U606&lt;=0,0,MAX(0,(U606-V606)/U606)))</f>
        <v>0</v>
      </c>
      <c r="Q607" s="18">
        <f>IF($A607&gt;'1-Input'!$B$26,0,(MAX(0,P561-IF($A607&gt;='1-Input'!$C$12,'1-Input'!$B$12,0))-MIN(MAX(T606,0),MAX(0,P561-IF($A607&gt;='1-Input'!$C$12,'1-Input'!$B$12,0))))*(1/(1-'P-Parametri'!$B$6*P607))+MIN(MAX(0,U606-(MAX(0,P561-IF($A607&gt;='1-Input'!$C$12,'1-Input'!$B$12,0))-MIN(MAX(T606,0),MAX(0,P561-IF($A607&gt;='1-Input'!$C$12,'1-Input'!$B$12,0))))*(1/(1-'P-Parametri'!$B$6*P607))),MAX(0,3*P561-(T606-MIN(MAX(T606,0),MAX(0,P561-IF($A607&gt;='1-Input'!$C$12,'1-Input'!$B$12,0)))))*(1/(1-'P-Parametri'!$B$6*P607))))</f>
        <v>0</v>
      </c>
      <c r="R607" s="18">
        <f>IF($A607&gt;'1-Input'!$B$26,T606,(T606-MAX(0,P561-IF($A607&gt;='1-Input'!$C$12,'1-Input'!$B$12,0))+Q607*(1-'P-Parametri'!$B$6*P607))*(1+'1-Input'!$B$27))</f>
        <v>1484.6089461606996</v>
      </c>
      <c r="S607" s="18">
        <f>IF($A607&gt;'1-Input'!$B$26,U606,(U606-Q607)*(1+$C$4))</f>
        <v>0</v>
      </c>
      <c r="T607" s="18">
        <f>IF($A607&gt;'1-Input'!$B$26,R607,R607-'P-Parametri'!$B$8*(S607+R607)+MIN(MAX(S607,0),'P-Parametri'!$B$8*(S607+R607)))</f>
        <v>1481.6397282683781</v>
      </c>
      <c r="U607" s="18">
        <f>IF($A607&gt;'1-Input'!$B$26,S607,S607-MIN(MAX(S607,0),'P-Parametri'!$B$8*(S607+R607)))</f>
        <v>0</v>
      </c>
      <c r="V607" s="18">
        <f>IF($A607&gt;'1-Input'!$B$26,V606,V606-Q607*(1-P607))</f>
        <v>1.1368683772161603E-13</v>
      </c>
      <c r="W607" s="11">
        <f>IF($A607&gt;'1-Input'!$B$26,0,IF(AB606&lt;=0,0,MAX(0,(AB606-AC606)/AB606)))</f>
        <v>0</v>
      </c>
      <c r="X607" s="18">
        <f>IF($A607&gt;'1-Input'!$B$26,0,(MAX(0,W561-IF($A607&gt;='1-Input'!$C$12,'1-Input'!$B$12,0))-MIN(MAX(AA606,0),MAX(0,W561-IF($A607&gt;='1-Input'!$C$12,'1-Input'!$B$12,0))))*(1/(1-'P-Parametri'!$B$6*W607))+MIN(MAX(0,AB606-(MAX(0,W561-IF($A607&gt;='1-Input'!$C$12,'1-Input'!$B$12,0))-MIN(MAX(AA606,0),MAX(0,W561-IF($A607&gt;='1-Input'!$C$12,'1-Input'!$B$12,0))))*(1/(1-'P-Parametri'!$B$6*W607))),MAX(0,3*W561-(AA606-MIN(MAX(AA606,0),MAX(0,W561-IF($A607&gt;='1-Input'!$C$12,'1-Input'!$B$12,0)))))*(1/(1-'P-Parametri'!$B$6*W607))))</f>
        <v>0</v>
      </c>
      <c r="Y607" s="18">
        <f>IF($A607&gt;'1-Input'!$B$26,AA606,(AA606-MAX(0,W561-IF($A607&gt;='1-Input'!$C$12,'1-Input'!$B$12,0))+X607*(1-'P-Parametri'!$B$6*W607))*(1+'1-Input'!$B$27))</f>
        <v>5942.4402965797781</v>
      </c>
      <c r="Z607" s="18">
        <f>IF($A607&gt;'1-Input'!$B$26,AB606,(AB606-X607)*(1+$C$4))</f>
        <v>0</v>
      </c>
      <c r="AA607" s="18">
        <f>IF($A607&gt;'1-Input'!$B$26,Y607,Y607-'P-Parametri'!$B$8*(Z607+Y607)+MIN(MAX(Z607,0),'P-Parametri'!$B$8*(Z607+Y607)))</f>
        <v>5930.5554159866188</v>
      </c>
      <c r="AB607" s="18">
        <f>IF($A607&gt;'1-Input'!$B$26,Z607,Z607-MIN(MAX(Z607,0),'P-Parametri'!$B$8*(Z607+Y607)))</f>
        <v>0</v>
      </c>
      <c r="AC607" s="18">
        <f>IF($A607&gt;'1-Input'!$B$26,AC606,AC606-X607*(1-W607))</f>
        <v>4.5474735088646412E-13</v>
      </c>
      <c r="AD607" s="11">
        <f>IF($A607&gt;'1-Input'!$B$26,0,IF(AI606&lt;=0,0,MAX(0,(AI606-AJ606)/AI606)))</f>
        <v>0</v>
      </c>
      <c r="AE607" s="18">
        <f>IF($A607&gt;'1-Input'!$B$26,0,(MAX(0,AD561-IF($A607&gt;='1-Input'!$C$12,'1-Input'!$B$12,0))-MIN(MAX(AH606,0),MAX(0,AD561-IF($A607&gt;='1-Input'!$C$12,'1-Input'!$B$12,0))))*(1/(1-'P-Parametri'!$B$6*AD607))+MIN(MAX(0,AI606-(MAX(0,AD561-IF($A607&gt;='1-Input'!$C$12,'1-Input'!$B$12,0))-MIN(MAX(AH606,0),MAX(0,AD561-IF($A607&gt;='1-Input'!$C$12,'1-Input'!$B$12,0))))*(1/(1-'P-Parametri'!$B$6*AD607))),MAX(0,3*AD561-(AH606-MIN(MAX(AH606,0),MAX(0,AD561-IF($A607&gt;='1-Input'!$C$12,'1-Input'!$B$12,0)))))*(1/(1-'P-Parametri'!$B$6*AD607))))</f>
        <v>0</v>
      </c>
      <c r="AF607" s="18">
        <f>IF($A607&gt;'1-Input'!$B$26,AH606,(AH606-MAX(0,AD561-IF($A607&gt;='1-Input'!$C$12,'1-Input'!$B$12,0))+AE607*(1-'P-Parametri'!$B$6*AD607))*(1+'1-Input'!$B$27))</f>
        <v>6499.7385009911186</v>
      </c>
      <c r="AG607" s="18">
        <f>IF($A607&gt;'1-Input'!$B$26,AI606,(AI606-AE607)*(1+$C$4))</f>
        <v>0</v>
      </c>
      <c r="AH607" s="18">
        <f>IF($A607&gt;'1-Input'!$B$26,AF607,AF607-'P-Parametri'!$B$8*(AG607+AF607)+MIN(MAX(AG607,0),'P-Parametri'!$B$8*(AG607+AF607)))</f>
        <v>6486.7390239891365</v>
      </c>
      <c r="AI607" s="18">
        <f>IF($A607&gt;'1-Input'!$B$26,AG607,AG607-MIN(MAX(AG607,0),'P-Parametri'!$B$8*(AG607+AF607)))</f>
        <v>0</v>
      </c>
      <c r="AJ607" s="18">
        <f>IF($A607&gt;'1-Input'!$B$26,AJ606,AJ606-AE607*(1-AD607))</f>
        <v>1.4210854715202004E-14</v>
      </c>
      <c r="AK607" s="11">
        <f>IF($A607&gt;'1-Input'!$B$26,0,IF(AP606&lt;=0,0,MAX(0,(AP606-AQ606)/AP606)))</f>
        <v>0</v>
      </c>
      <c r="AL607" s="18">
        <f>IF($A607&gt;'1-Input'!$B$26,0,(MAX(0,AK561-IF($A607&gt;='1-Input'!$C$12,'1-Input'!$B$12,0))-MIN(MAX(AO606,0),MAX(0,AK561-IF($A607&gt;='1-Input'!$C$12,'1-Input'!$B$12,0))))*(1/(1-'P-Parametri'!$B$6*AK607))+MIN(MAX(0,AP606-(MAX(0,AK561-IF($A607&gt;='1-Input'!$C$12,'1-Input'!$B$12,0))-MIN(MAX(AO606,0),MAX(0,AK561-IF($A607&gt;='1-Input'!$C$12,'1-Input'!$B$12,0))))*(1/(1-'P-Parametri'!$B$6*AK607))),MAX(0,3*AK561-(AO606-MIN(MAX(AO606,0),MAX(0,AK561-IF($A607&gt;='1-Input'!$C$12,'1-Input'!$B$12,0)))))*(1/(1-'P-Parametri'!$B$6*AK607))))</f>
        <v>0</v>
      </c>
      <c r="AM607" s="18">
        <f>IF($A607&gt;'1-Input'!$B$26,AO606,(AO606-MAX(0,AK561-IF($A607&gt;='1-Input'!$C$12,'1-Input'!$B$12,0))+AL607*(1-'P-Parametri'!$B$6*AK607))*(1+'1-Input'!$B$27))</f>
        <v>6467.8267088707944</v>
      </c>
      <c r="AN607" s="18">
        <f>IF($A607&gt;'1-Input'!$B$26,AP606,(AP606-AL607)*(1+$C$4))</f>
        <v>0</v>
      </c>
      <c r="AO607" s="18">
        <f>IF($A607&gt;'1-Input'!$B$26,AM607,AM607-'P-Parametri'!$B$8*(AN607+AM607)+MIN(MAX(AN607,0),'P-Parametri'!$B$8*(AN607+AM607)))</f>
        <v>6454.891055453053</v>
      </c>
      <c r="AP607" s="18">
        <f>IF($A607&gt;'1-Input'!$B$26,AN607,AN607-MIN(MAX(AN607,0),'P-Parametri'!$B$8*(AN607+AM607)))</f>
        <v>0</v>
      </c>
      <c r="AQ607" s="18">
        <f>IF($A607&gt;'1-Input'!$B$26,AQ606,AQ606-AL607*(1-AK607))</f>
        <v>0</v>
      </c>
    </row>
    <row r="608" spans="1:43">
      <c r="A608" s="10">
        <f>45</f>
        <v>45</v>
      </c>
      <c r="B608" s="11">
        <f>IF($A608&gt;'1-Input'!$B$26,0,IF(G607&lt;=0,0,MAX(0,(G607-H607)/G607)))</f>
        <v>0.75781454527611503</v>
      </c>
      <c r="C608" s="18">
        <f>IF($A608&gt;'1-Input'!$B$26,0,(MAX(0,B561-IF($A608&gt;='1-Input'!$C$12,'1-Input'!$B$12,0))-MIN(MAX(F607,0),MAX(0,B561-IF($A608&gt;='1-Input'!$C$12,'1-Input'!$B$12,0))))*(1/(1-'P-Parametri'!$B$6*B608))+MIN(MAX(0,G607-(MAX(0,B561-IF($A608&gt;='1-Input'!$C$12,'1-Input'!$B$12,0))-MIN(MAX(F607,0),MAX(0,B561-IF($A608&gt;='1-Input'!$C$12,'1-Input'!$B$12,0))))*(1/(1-'P-Parametri'!$B$6*B608))),MAX(0,3*B561-(F607-MIN(MAX(F607,0),MAX(0,B561-IF($A608&gt;='1-Input'!$C$12,'1-Input'!$B$12,0)))))*(1/(1-'P-Parametri'!$B$6*B608))))</f>
        <v>7172.4018227418173</v>
      </c>
      <c r="D608" s="18">
        <f>IF($A608&gt;'1-Input'!$B$26,F607,(F607-MAX(0,B561-IF($A608&gt;='1-Input'!$C$12,'1-Input'!$B$12,0))+C608*(1-'P-Parametri'!$B$6*B608))*(1+'1-Input'!$B$27))</f>
        <v>49863.010546479447</v>
      </c>
      <c r="E608" s="18">
        <f>IF($A608&gt;'1-Input'!$B$26,G607,(G607-C608)*(1+$C$4))</f>
        <v>25759.102847427021</v>
      </c>
      <c r="F608" s="18">
        <f>IF($A608&gt;'1-Input'!$B$26,D608,D608-'P-Parametri'!$B$8*(E608+D608)+MIN(MAX(E608,0),'P-Parametri'!$B$8*(E608+D608)))</f>
        <v>49863.010546479447</v>
      </c>
      <c r="G608" s="18">
        <f>IF($A608&gt;'1-Input'!$B$26,E608,E608-MIN(MAX(E608,0),'P-Parametri'!$B$8*(E608+D608)))</f>
        <v>25607.858620639206</v>
      </c>
      <c r="H608" s="18">
        <f>IF($A608&gt;'1-Input'!$B$26,H607,H607-C608*(1-B608))</f>
        <v>6056.7767343528467</v>
      </c>
      <c r="I608" s="11">
        <f>IF($A608&gt;'1-Input'!$B$26,0,IF(N607&lt;=0,0,MAX(0,(N607-O607)/N607)))</f>
        <v>0</v>
      </c>
      <c r="J608" s="18">
        <f>IF($A608&gt;'1-Input'!$B$26,0,(MAX(0,I561-IF($A608&gt;='1-Input'!$C$12,'1-Input'!$B$12,0))-MIN(MAX(M607,0),MAX(0,I561-IF($A608&gt;='1-Input'!$C$12,'1-Input'!$B$12,0))))*(1/(1-'P-Parametri'!$B$6*I608))+MIN(MAX(0,N607-(MAX(0,I561-IF($A608&gt;='1-Input'!$C$12,'1-Input'!$B$12,0))-MIN(MAX(M607,0),MAX(0,I561-IF($A608&gt;='1-Input'!$C$12,'1-Input'!$B$12,0))))*(1/(1-'P-Parametri'!$B$6*I608))),MAX(0,3*I561-(M607-MIN(MAX(M607,0),MAX(0,I561-IF($A608&gt;='1-Input'!$C$12,'1-Input'!$B$12,0)))))*(1/(1-'P-Parametri'!$B$6*I608))))</f>
        <v>10846.756992928691</v>
      </c>
      <c r="K608" s="18">
        <f>IF($A608&gt;'1-Input'!$B$26,M607,(M607-MAX(0,I561-IF($A608&gt;='1-Input'!$C$12,'1-Input'!$B$12,0))+J608*(1-'P-Parametri'!$B$6*I608))*(1+'1-Input'!$B$27))</f>
        <v>0</v>
      </c>
      <c r="L608" s="18">
        <f>IF($A608&gt;'1-Input'!$B$26,N607,(N607-J608)*(1+$C$4))</f>
        <v>-345037.40432035597</v>
      </c>
      <c r="M608" s="18">
        <f>IF($A608&gt;'1-Input'!$B$26,K608,K608-'P-Parametri'!$B$8*(L608+K608)+MIN(MAX(L608,0),'P-Parametri'!$B$8*(L608+K608)))</f>
        <v>0</v>
      </c>
      <c r="N608" s="18">
        <f>IF($A608&gt;'1-Input'!$B$26,L608,L608-MIN(MAX(L608,0),'P-Parametri'!$B$8*(L608+K608)))</f>
        <v>-344347.32951171527</v>
      </c>
      <c r="O608" s="18">
        <f>IF($A608&gt;'1-Input'!$B$26,O607,O607-J608*(1-I608))</f>
        <v>-244842.52280699596</v>
      </c>
      <c r="P608" s="11">
        <f>IF($A608&gt;'1-Input'!$B$26,0,IF(U607&lt;=0,0,MAX(0,(U607-V607)/U607)))</f>
        <v>0</v>
      </c>
      <c r="Q608" s="18">
        <f>IF($A608&gt;'1-Input'!$B$26,0,(MAX(0,P561-IF($A608&gt;='1-Input'!$C$12,'1-Input'!$B$12,0))-MIN(MAX(T607,0),MAX(0,P561-IF($A608&gt;='1-Input'!$C$12,'1-Input'!$B$12,0))))*(1/(1-'P-Parametri'!$B$6*P608))+MIN(MAX(0,U607-(MAX(0,P561-IF($A608&gt;='1-Input'!$C$12,'1-Input'!$B$12,0))-MIN(MAX(T607,0),MAX(0,P561-IF($A608&gt;='1-Input'!$C$12,'1-Input'!$B$12,0))))*(1/(1-'P-Parametri'!$B$6*P608))),MAX(0,3*P561-(T607-MIN(MAX(T607,0),MAX(0,P561-IF($A608&gt;='1-Input'!$C$12,'1-Input'!$B$12,0)))))*(1/(1-'P-Parametri'!$B$6*P608))))</f>
        <v>5044.3922191611537</v>
      </c>
      <c r="R608" s="18">
        <f>IF($A608&gt;'1-Input'!$B$26,T607,(T607-MAX(0,P561-IF($A608&gt;='1-Input'!$C$12,'1-Input'!$B$12,0))+Q608*(1-'P-Parametri'!$B$6*P608))*(1+'1-Input'!$B$27))</f>
        <v>0</v>
      </c>
      <c r="S608" s="18">
        <f>IF($A608&gt;'1-Input'!$B$26,U607,(U607-Q608)*(1+$C$4))</f>
        <v>-5195.7239857359882</v>
      </c>
      <c r="T608" s="18">
        <f>IF($A608&gt;'1-Input'!$B$26,R608,R608-'P-Parametri'!$B$8*(S608+R608)+MIN(MAX(S608,0),'P-Parametri'!$B$8*(S608+R608)))</f>
        <v>0</v>
      </c>
      <c r="U608" s="18">
        <f>IF($A608&gt;'1-Input'!$B$26,S608,S608-MIN(MAX(S608,0),'P-Parametri'!$B$8*(S608+R608)))</f>
        <v>-5185.332537764516</v>
      </c>
      <c r="V608" s="18">
        <f>IF($A608&gt;'1-Input'!$B$26,V607,V607-Q608*(1-P608))</f>
        <v>-5044.3922191611537</v>
      </c>
      <c r="W608" s="11">
        <f>IF($A608&gt;'1-Input'!$B$26,0,IF(AB607&lt;=0,0,MAX(0,(AB607-AC607)/AB607)))</f>
        <v>0</v>
      </c>
      <c r="X608" s="18">
        <f>IF($A608&gt;'1-Input'!$B$26,0,(MAX(0,W561-IF($A608&gt;='1-Input'!$C$12,'1-Input'!$B$12,0))-MIN(MAX(AA607,0),MAX(0,W561-IF($A608&gt;='1-Input'!$C$12,'1-Input'!$B$12,0))))*(1/(1-'P-Parametri'!$B$6*W608))+MIN(MAX(0,AB607-(MAX(0,W561-IF($A608&gt;='1-Input'!$C$12,'1-Input'!$B$12,0))-MIN(MAX(AA607,0),MAX(0,W561-IF($A608&gt;='1-Input'!$C$12,'1-Input'!$B$12,0))))*(1/(1-'P-Parametri'!$B$6*W608))),MAX(0,3*W561-(AA607-MIN(MAX(AA607,0),MAX(0,W561-IF($A608&gt;='1-Input'!$C$12,'1-Input'!$B$12,0)))))*(1/(1-'P-Parametri'!$B$6*W608))))</f>
        <v>529.41843423551472</v>
      </c>
      <c r="Y608" s="18">
        <f>IF($A608&gt;'1-Input'!$B$26,AA607,(AA607-MAX(0,W561-IF($A608&gt;='1-Input'!$C$12,'1-Input'!$B$12,0))+X608*(1-'P-Parametri'!$B$6*W608))*(1+'1-Input'!$B$27))</f>
        <v>0</v>
      </c>
      <c r="Z608" s="18">
        <f>IF($A608&gt;'1-Input'!$B$26,AB607,(AB607-X608)*(1+$C$4))</f>
        <v>-545.30098726258018</v>
      </c>
      <c r="AA608" s="18">
        <f>IF($A608&gt;'1-Input'!$B$26,Y608,Y608-'P-Parametri'!$B$8*(Z608+Y608)+MIN(MAX(Z608,0),'P-Parametri'!$B$8*(Z608+Y608)))</f>
        <v>0</v>
      </c>
      <c r="AB608" s="18">
        <f>IF($A608&gt;'1-Input'!$B$26,Z608,Z608-MIN(MAX(Z608,0),'P-Parametri'!$B$8*(Z608+Y608)))</f>
        <v>-544.21038528805502</v>
      </c>
      <c r="AC608" s="18">
        <f>IF($A608&gt;'1-Input'!$B$26,AC607,AC607-X608*(1-W608))</f>
        <v>-529.41843423551427</v>
      </c>
      <c r="AD608" s="11">
        <f>IF($A608&gt;'1-Input'!$B$26,0,IF(AI607&lt;=0,0,MAX(0,(AI607-AJ607)/AI607)))</f>
        <v>0</v>
      </c>
      <c r="AE608" s="18">
        <f>IF($A608&gt;'1-Input'!$B$26,0,(MAX(0,AD561-IF($A608&gt;='1-Input'!$C$12,'1-Input'!$B$12,0))-MIN(MAX(AH607,0),MAX(0,AD561-IF($A608&gt;='1-Input'!$C$12,'1-Input'!$B$12,0))))*(1/(1-'P-Parametri'!$B$6*AD608))+MIN(MAX(0,AI607-(MAX(0,AD561-IF($A608&gt;='1-Input'!$C$12,'1-Input'!$B$12,0))-MIN(MAX(AH607,0),MAX(0,AD561-IF($A608&gt;='1-Input'!$C$12,'1-Input'!$B$12,0))))*(1/(1-'P-Parametri'!$B$6*AD608))),MAX(0,3*AD561-(AH607-MIN(MAX(AH607,0),MAX(0,AD561-IF($A608&gt;='1-Input'!$C$12,'1-Input'!$B$12,0)))))*(1/(1-'P-Parametri'!$B$6*AD608))))</f>
        <v>0</v>
      </c>
      <c r="AF608" s="18">
        <f>IF($A608&gt;'1-Input'!$B$26,AH607,(AH607-MAX(0,AD561-IF($A608&gt;='1-Input'!$C$12,'1-Input'!$B$12,0))+AE608*(1-'P-Parametri'!$B$6*AD608))*(1+'1-Input'!$B$27))</f>
        <v>34.38679835998218</v>
      </c>
      <c r="AG608" s="18">
        <f>IF($A608&gt;'1-Input'!$B$26,AI607,(AI607-AE608)*(1+$C$4))</f>
        <v>0</v>
      </c>
      <c r="AH608" s="18">
        <f>IF($A608&gt;'1-Input'!$B$26,AF608,AF608-'P-Parametri'!$B$8*(AG608+AF608)+MIN(MAX(AG608,0),'P-Parametri'!$B$8*(AG608+AF608)))</f>
        <v>34.318024763262216</v>
      </c>
      <c r="AI608" s="18">
        <f>IF($A608&gt;'1-Input'!$B$26,AG608,AG608-MIN(MAX(AG608,0),'P-Parametri'!$B$8*(AG608+AF608)))</f>
        <v>0</v>
      </c>
      <c r="AJ608" s="18">
        <f>IF($A608&gt;'1-Input'!$B$26,AJ607,AJ607-AE608*(1-AD608))</f>
        <v>1.4210854715202004E-14</v>
      </c>
      <c r="AK608" s="11">
        <f>IF($A608&gt;'1-Input'!$B$26,0,IF(AP607&lt;=0,0,MAX(0,(AP607-AQ607)/AP607)))</f>
        <v>0</v>
      </c>
      <c r="AL608" s="18">
        <f>IF($A608&gt;'1-Input'!$B$26,0,(MAX(0,AK561-IF($A608&gt;='1-Input'!$C$12,'1-Input'!$B$12,0))-MIN(MAX(AO607,0),MAX(0,AK561-IF($A608&gt;='1-Input'!$C$12,'1-Input'!$B$12,0))))*(1/(1-'P-Parametri'!$B$6*AK608))+MIN(MAX(0,AP607-(MAX(0,AK561-IF($A608&gt;='1-Input'!$C$12,'1-Input'!$B$12,0))-MIN(MAX(AO607,0),MAX(0,AK561-IF($A608&gt;='1-Input'!$C$12,'1-Input'!$B$12,0))))*(1/(1-'P-Parametri'!$B$6*AK608))),MAX(0,3*AK561-(AO607-MIN(MAX(AO607,0),MAX(0,AK561-IF($A608&gt;='1-Input'!$C$12,'1-Input'!$B$12,0)))))*(1/(1-'P-Parametri'!$B$6*AK608))))</f>
        <v>0</v>
      </c>
      <c r="AM608" s="18">
        <f>IF($A608&gt;'1-Input'!$B$26,AO607,(AO607-MAX(0,AK561-IF($A608&gt;='1-Input'!$C$12,'1-Input'!$B$12,0))+AL608*(1-'P-Parametri'!$B$6*AK608))*(1+'1-Input'!$B$27))</f>
        <v>2.1956557257333125</v>
      </c>
      <c r="AN608" s="18">
        <f>IF($A608&gt;'1-Input'!$B$26,AP607,(AP607-AL608)*(1+$C$4))</f>
        <v>0</v>
      </c>
      <c r="AO608" s="18">
        <f>IF($A608&gt;'1-Input'!$B$26,AM608,AM608-'P-Parametri'!$B$8*(AN608+AM608)+MIN(MAX(AN608,0),'P-Parametri'!$B$8*(AN608+AM608)))</f>
        <v>2.191264414281846</v>
      </c>
      <c r="AP608" s="18">
        <f>IF($A608&gt;'1-Input'!$B$26,AN608,AN608-MIN(MAX(AN608,0),'P-Parametri'!$B$8*(AN608+AM608)))</f>
        <v>0</v>
      </c>
      <c r="AQ608" s="18">
        <f>IF($A608&gt;'1-Input'!$B$26,AQ607,AQ607-AL608*(1-AK608))</f>
        <v>0</v>
      </c>
    </row>
    <row r="609" spans="1:43">
      <c r="A609" s="10">
        <f>46</f>
        <v>46</v>
      </c>
      <c r="B609" s="11">
        <f>IF($A609&gt;'1-Input'!$B$26,0,IF(G608&lt;=0,0,MAX(0,(G608-H608)/G608)))</f>
        <v>0</v>
      </c>
      <c r="C609" s="18">
        <f>IF($A609&gt;'1-Input'!$B$26,0,(MAX(0,B561-IF($A609&gt;='1-Input'!$C$12,'1-Input'!$B$12,0))-MIN(MAX(F608,0),MAX(0,B561-IF($A609&gt;='1-Input'!$C$12,'1-Input'!$B$12,0))))*(1/(1-'P-Parametri'!$B$6*B609))+MIN(MAX(0,G608-(MAX(0,B561-IF($A609&gt;='1-Input'!$C$12,'1-Input'!$B$12,0))-MIN(MAX(F608,0),MAX(0,B561-IF($A609&gt;='1-Input'!$C$12,'1-Input'!$B$12,0))))*(1/(1-'P-Parametri'!$B$6*B609))),MAX(0,3*B561-(F608-MIN(MAX(F608,0),MAX(0,B561-IF($A609&gt;='1-Input'!$C$12,'1-Input'!$B$12,0)))))*(1/(1-'P-Parametri'!$B$6*B609))))</f>
        <v>0</v>
      </c>
      <c r="D609" s="18">
        <f>IF($A609&gt;'1-Input'!$B$26,F608,(F608-MAX(0,B561-IF($A609&gt;='1-Input'!$C$12,'1-Input'!$B$12,0))+C609*(1-'P-Parametri'!$B$6*B609))*(1+'1-Input'!$B$27))</f>
        <v>49863.010546479447</v>
      </c>
      <c r="E609" s="18">
        <f>IF($A609&gt;'1-Input'!$B$26,G608,(G608-C609)*(1+$C$4))</f>
        <v>25607.858620639206</v>
      </c>
      <c r="F609" s="18">
        <f>IF($A609&gt;'1-Input'!$B$26,D609,D609-'P-Parametri'!$B$8*(E609+D609)+MIN(MAX(E609,0),'P-Parametri'!$B$8*(E609+D609)))</f>
        <v>49863.010546479447</v>
      </c>
      <c r="G609" s="18">
        <f>IF($A609&gt;'1-Input'!$B$26,E609,E609-MIN(MAX(E609,0),'P-Parametri'!$B$8*(E609+D609)))</f>
        <v>25607.858620639206</v>
      </c>
      <c r="H609" s="18">
        <f>IF($A609&gt;'1-Input'!$B$26,H608,H608-C609*(1-B609))</f>
        <v>6056.7767343528467</v>
      </c>
      <c r="I609" s="11">
        <f>IF($A609&gt;'1-Input'!$B$26,0,IF(N608&lt;=0,0,MAX(0,(N608-O608)/N608)))</f>
        <v>0</v>
      </c>
      <c r="J609" s="18">
        <f>IF($A609&gt;'1-Input'!$B$26,0,(MAX(0,I561-IF($A609&gt;='1-Input'!$C$12,'1-Input'!$B$12,0))-MIN(MAX(M608,0),MAX(0,I561-IF($A609&gt;='1-Input'!$C$12,'1-Input'!$B$12,0))))*(1/(1-'P-Parametri'!$B$6*I609))+MIN(MAX(0,N608-(MAX(0,I561-IF($A609&gt;='1-Input'!$C$12,'1-Input'!$B$12,0))-MIN(MAX(M608,0),MAX(0,I561-IF($A609&gt;='1-Input'!$C$12,'1-Input'!$B$12,0))))*(1/(1-'P-Parametri'!$B$6*I609))),MAX(0,3*I561-(M608-MIN(MAX(M608,0),MAX(0,I561-IF($A609&gt;='1-Input'!$C$12,'1-Input'!$B$12,0)))))*(1/(1-'P-Parametri'!$B$6*I609))))</f>
        <v>0</v>
      </c>
      <c r="K609" s="18">
        <f>IF($A609&gt;'1-Input'!$B$26,M608,(M608-MAX(0,I561-IF($A609&gt;='1-Input'!$C$12,'1-Input'!$B$12,0))+J609*(1-'P-Parametri'!$B$6*I609))*(1+'1-Input'!$B$27))</f>
        <v>0</v>
      </c>
      <c r="L609" s="18">
        <f>IF($A609&gt;'1-Input'!$B$26,N608,(N608-J609)*(1+$C$4))</f>
        <v>-344347.32951171527</v>
      </c>
      <c r="M609" s="18">
        <f>IF($A609&gt;'1-Input'!$B$26,K609,K609-'P-Parametri'!$B$8*(L609+K609)+MIN(MAX(L609,0),'P-Parametri'!$B$8*(L609+K609)))</f>
        <v>0</v>
      </c>
      <c r="N609" s="18">
        <f>IF($A609&gt;'1-Input'!$B$26,L609,L609-MIN(MAX(L609,0),'P-Parametri'!$B$8*(L609+K609)))</f>
        <v>-344347.32951171527</v>
      </c>
      <c r="O609" s="18">
        <f>IF($A609&gt;'1-Input'!$B$26,O608,O608-J609*(1-I609))</f>
        <v>-244842.52280699596</v>
      </c>
      <c r="P609" s="11">
        <f>IF($A609&gt;'1-Input'!$B$26,0,IF(U608&lt;=0,0,MAX(0,(U608-V608)/U608)))</f>
        <v>0</v>
      </c>
      <c r="Q609" s="18">
        <f>IF($A609&gt;'1-Input'!$B$26,0,(MAX(0,P561-IF($A609&gt;='1-Input'!$C$12,'1-Input'!$B$12,0))-MIN(MAX(T608,0),MAX(0,P561-IF($A609&gt;='1-Input'!$C$12,'1-Input'!$B$12,0))))*(1/(1-'P-Parametri'!$B$6*P609))+MIN(MAX(0,U608-(MAX(0,P561-IF($A609&gt;='1-Input'!$C$12,'1-Input'!$B$12,0))-MIN(MAX(T608,0),MAX(0,P561-IF($A609&gt;='1-Input'!$C$12,'1-Input'!$B$12,0))))*(1/(1-'P-Parametri'!$B$6*P609))),MAX(0,3*P561-(T608-MIN(MAX(T608,0),MAX(0,P561-IF($A609&gt;='1-Input'!$C$12,'1-Input'!$B$12,0)))))*(1/(1-'P-Parametri'!$B$6*P609))))</f>
        <v>0</v>
      </c>
      <c r="R609" s="18">
        <f>IF($A609&gt;'1-Input'!$B$26,T608,(T608-MAX(0,P561-IF($A609&gt;='1-Input'!$C$12,'1-Input'!$B$12,0))+Q609*(1-'P-Parametri'!$B$6*P609))*(1+'1-Input'!$B$27))</f>
        <v>0</v>
      </c>
      <c r="S609" s="18">
        <f>IF($A609&gt;'1-Input'!$B$26,U608,(U608-Q609)*(1+$C$4))</f>
        <v>-5185.332537764516</v>
      </c>
      <c r="T609" s="18">
        <f>IF($A609&gt;'1-Input'!$B$26,R609,R609-'P-Parametri'!$B$8*(S609+R609)+MIN(MAX(S609,0),'P-Parametri'!$B$8*(S609+R609)))</f>
        <v>0</v>
      </c>
      <c r="U609" s="18">
        <f>IF($A609&gt;'1-Input'!$B$26,S609,S609-MIN(MAX(S609,0),'P-Parametri'!$B$8*(S609+R609)))</f>
        <v>-5185.332537764516</v>
      </c>
      <c r="V609" s="18">
        <f>IF($A609&gt;'1-Input'!$B$26,V608,V608-Q609*(1-P609))</f>
        <v>-5044.3922191611537</v>
      </c>
      <c r="W609" s="11">
        <f>IF($A609&gt;'1-Input'!$B$26,0,IF(AB608&lt;=0,0,MAX(0,(AB608-AC608)/AB608)))</f>
        <v>0</v>
      </c>
      <c r="X609" s="18">
        <f>IF($A609&gt;'1-Input'!$B$26,0,(MAX(0,W561-IF($A609&gt;='1-Input'!$C$12,'1-Input'!$B$12,0))-MIN(MAX(AA608,0),MAX(0,W561-IF($A609&gt;='1-Input'!$C$12,'1-Input'!$B$12,0))))*(1/(1-'P-Parametri'!$B$6*W609))+MIN(MAX(0,AB608-(MAX(0,W561-IF($A609&gt;='1-Input'!$C$12,'1-Input'!$B$12,0))-MIN(MAX(AA608,0),MAX(0,W561-IF($A609&gt;='1-Input'!$C$12,'1-Input'!$B$12,0))))*(1/(1-'P-Parametri'!$B$6*W609))),MAX(0,3*W561-(AA608-MIN(MAX(AA608,0),MAX(0,W561-IF($A609&gt;='1-Input'!$C$12,'1-Input'!$B$12,0)))))*(1/(1-'P-Parametri'!$B$6*W609))))</f>
        <v>0</v>
      </c>
      <c r="Y609" s="18">
        <f>IF($A609&gt;'1-Input'!$B$26,AA608,(AA608-MAX(0,W561-IF($A609&gt;='1-Input'!$C$12,'1-Input'!$B$12,0))+X609*(1-'P-Parametri'!$B$6*W609))*(1+'1-Input'!$B$27))</f>
        <v>0</v>
      </c>
      <c r="Z609" s="18">
        <f>IF($A609&gt;'1-Input'!$B$26,AB608,(AB608-X609)*(1+$C$4))</f>
        <v>-544.21038528805502</v>
      </c>
      <c r="AA609" s="18">
        <f>IF($A609&gt;'1-Input'!$B$26,Y609,Y609-'P-Parametri'!$B$8*(Z609+Y609)+MIN(MAX(Z609,0),'P-Parametri'!$B$8*(Z609+Y609)))</f>
        <v>0</v>
      </c>
      <c r="AB609" s="18">
        <f>IF($A609&gt;'1-Input'!$B$26,Z609,Z609-MIN(MAX(Z609,0),'P-Parametri'!$B$8*(Z609+Y609)))</f>
        <v>-544.21038528805502</v>
      </c>
      <c r="AC609" s="18">
        <f>IF($A609&gt;'1-Input'!$B$26,AC608,AC608-X609*(1-W609))</f>
        <v>-529.41843423551427</v>
      </c>
      <c r="AD609" s="11">
        <f>IF($A609&gt;'1-Input'!$B$26,0,IF(AI608&lt;=0,0,MAX(0,(AI608-AJ608)/AI608)))</f>
        <v>0</v>
      </c>
      <c r="AE609" s="18">
        <f>IF($A609&gt;'1-Input'!$B$26,0,(MAX(0,AD561-IF($A609&gt;='1-Input'!$C$12,'1-Input'!$B$12,0))-MIN(MAX(AH608,0),MAX(0,AD561-IF($A609&gt;='1-Input'!$C$12,'1-Input'!$B$12,0))))*(1/(1-'P-Parametri'!$B$6*AD609))+MIN(MAX(0,AI608-(MAX(0,AD561-IF($A609&gt;='1-Input'!$C$12,'1-Input'!$B$12,0))-MIN(MAX(AH608,0),MAX(0,AD561-IF($A609&gt;='1-Input'!$C$12,'1-Input'!$B$12,0))))*(1/(1-'P-Parametri'!$B$6*AD609))),MAX(0,3*AD561-(AH608-MIN(MAX(AH608,0),MAX(0,AD561-IF($A609&gt;='1-Input'!$C$12,'1-Input'!$B$12,0)))))*(1/(1-'P-Parametri'!$B$6*AD609))))</f>
        <v>0</v>
      </c>
      <c r="AF609" s="18">
        <f>IF($A609&gt;'1-Input'!$B$26,AH608,(AH608-MAX(0,AD561-IF($A609&gt;='1-Input'!$C$12,'1-Input'!$B$12,0))+AE609*(1-'P-Parametri'!$B$6*AD609))*(1+'1-Input'!$B$27))</f>
        <v>34.318024763262216</v>
      </c>
      <c r="AG609" s="18">
        <f>IF($A609&gt;'1-Input'!$B$26,AI608,(AI608-AE609)*(1+$C$4))</f>
        <v>0</v>
      </c>
      <c r="AH609" s="18">
        <f>IF($A609&gt;'1-Input'!$B$26,AF609,AF609-'P-Parametri'!$B$8*(AG609+AF609)+MIN(MAX(AG609,0),'P-Parametri'!$B$8*(AG609+AF609)))</f>
        <v>34.318024763262216</v>
      </c>
      <c r="AI609" s="18">
        <f>IF($A609&gt;'1-Input'!$B$26,AG609,AG609-MIN(MAX(AG609,0),'P-Parametri'!$B$8*(AG609+AF609)))</f>
        <v>0</v>
      </c>
      <c r="AJ609" s="18">
        <f>IF($A609&gt;'1-Input'!$B$26,AJ608,AJ608-AE609*(1-AD609))</f>
        <v>1.4210854715202004E-14</v>
      </c>
      <c r="AK609" s="11">
        <f>IF($A609&gt;'1-Input'!$B$26,0,IF(AP608&lt;=0,0,MAX(0,(AP608-AQ608)/AP608)))</f>
        <v>0</v>
      </c>
      <c r="AL609" s="18">
        <f>IF($A609&gt;'1-Input'!$B$26,0,(MAX(0,AK561-IF($A609&gt;='1-Input'!$C$12,'1-Input'!$B$12,0))-MIN(MAX(AO608,0),MAX(0,AK561-IF($A609&gt;='1-Input'!$C$12,'1-Input'!$B$12,0))))*(1/(1-'P-Parametri'!$B$6*AK609))+MIN(MAX(0,AP608-(MAX(0,AK561-IF($A609&gt;='1-Input'!$C$12,'1-Input'!$B$12,0))-MIN(MAX(AO608,0),MAX(0,AK561-IF($A609&gt;='1-Input'!$C$12,'1-Input'!$B$12,0))))*(1/(1-'P-Parametri'!$B$6*AK609))),MAX(0,3*AK561-(AO608-MIN(MAX(AO608,0),MAX(0,AK561-IF($A609&gt;='1-Input'!$C$12,'1-Input'!$B$12,0)))))*(1/(1-'P-Parametri'!$B$6*AK609))))</f>
        <v>0</v>
      </c>
      <c r="AM609" s="18">
        <f>IF($A609&gt;'1-Input'!$B$26,AO608,(AO608-MAX(0,AK561-IF($A609&gt;='1-Input'!$C$12,'1-Input'!$B$12,0))+AL609*(1-'P-Parametri'!$B$6*AK609))*(1+'1-Input'!$B$27))</f>
        <v>2.191264414281846</v>
      </c>
      <c r="AN609" s="18">
        <f>IF($A609&gt;'1-Input'!$B$26,AP608,(AP608-AL609)*(1+$C$4))</f>
        <v>0</v>
      </c>
      <c r="AO609" s="18">
        <f>IF($A609&gt;'1-Input'!$B$26,AM609,AM609-'P-Parametri'!$B$8*(AN609+AM609)+MIN(MAX(AN609,0),'P-Parametri'!$B$8*(AN609+AM609)))</f>
        <v>2.191264414281846</v>
      </c>
      <c r="AP609" s="18">
        <f>IF($A609&gt;'1-Input'!$B$26,AN609,AN609-MIN(MAX(AN609,0),'P-Parametri'!$B$8*(AN609+AM609)))</f>
        <v>0</v>
      </c>
      <c r="AQ609" s="18">
        <f>IF($A609&gt;'1-Input'!$B$26,AQ608,AQ608-AL609*(1-AK609))</f>
        <v>0</v>
      </c>
    </row>
    <row r="610" spans="1:43">
      <c r="A610" s="10">
        <f>47</f>
        <v>47</v>
      </c>
      <c r="B610" s="11">
        <f>IF($A610&gt;'1-Input'!$B$26,0,IF(G609&lt;=0,0,MAX(0,(G609-H609)/G609)))</f>
        <v>0</v>
      </c>
      <c r="C610" s="18">
        <f>IF($A610&gt;'1-Input'!$B$26,0,(MAX(0,B561-IF($A610&gt;='1-Input'!$C$12,'1-Input'!$B$12,0))-MIN(MAX(F609,0),MAX(0,B561-IF($A610&gt;='1-Input'!$C$12,'1-Input'!$B$12,0))))*(1/(1-'P-Parametri'!$B$6*B610))+MIN(MAX(0,G609-(MAX(0,B561-IF($A610&gt;='1-Input'!$C$12,'1-Input'!$B$12,0))-MIN(MAX(F609,0),MAX(0,B561-IF($A610&gt;='1-Input'!$C$12,'1-Input'!$B$12,0))))*(1/(1-'P-Parametri'!$B$6*B610))),MAX(0,3*B561-(F609-MIN(MAX(F609,0),MAX(0,B561-IF($A610&gt;='1-Input'!$C$12,'1-Input'!$B$12,0)))))*(1/(1-'P-Parametri'!$B$6*B610))))</f>
        <v>0</v>
      </c>
      <c r="D610" s="18">
        <f>IF($A610&gt;'1-Input'!$B$26,F609,(F609-MAX(0,B561-IF($A610&gt;='1-Input'!$C$12,'1-Input'!$B$12,0))+C610*(1-'P-Parametri'!$B$6*B610))*(1+'1-Input'!$B$27))</f>
        <v>49863.010546479447</v>
      </c>
      <c r="E610" s="18">
        <f>IF($A610&gt;'1-Input'!$B$26,G609,(G609-C610)*(1+$C$4))</f>
        <v>25607.858620639206</v>
      </c>
      <c r="F610" s="18">
        <f>IF($A610&gt;'1-Input'!$B$26,D610,D610-'P-Parametri'!$B$8*(E610+D610)+MIN(MAX(E610,0),'P-Parametri'!$B$8*(E610+D610)))</f>
        <v>49863.010546479447</v>
      </c>
      <c r="G610" s="18">
        <f>IF($A610&gt;'1-Input'!$B$26,E610,E610-MIN(MAX(E610,0),'P-Parametri'!$B$8*(E610+D610)))</f>
        <v>25607.858620639206</v>
      </c>
      <c r="H610" s="18">
        <f>IF($A610&gt;'1-Input'!$B$26,H609,H609-C610*(1-B610))</f>
        <v>6056.7767343528467</v>
      </c>
      <c r="I610" s="11">
        <f>IF($A610&gt;'1-Input'!$B$26,0,IF(N609&lt;=0,0,MAX(0,(N609-O609)/N609)))</f>
        <v>0</v>
      </c>
      <c r="J610" s="18">
        <f>IF($A610&gt;'1-Input'!$B$26,0,(MAX(0,I561-IF($A610&gt;='1-Input'!$C$12,'1-Input'!$B$12,0))-MIN(MAX(M609,0),MAX(0,I561-IF($A610&gt;='1-Input'!$C$12,'1-Input'!$B$12,0))))*(1/(1-'P-Parametri'!$B$6*I610))+MIN(MAX(0,N609-(MAX(0,I561-IF($A610&gt;='1-Input'!$C$12,'1-Input'!$B$12,0))-MIN(MAX(M609,0),MAX(0,I561-IF($A610&gt;='1-Input'!$C$12,'1-Input'!$B$12,0))))*(1/(1-'P-Parametri'!$B$6*I610))),MAX(0,3*I561-(M609-MIN(MAX(M609,0),MAX(0,I561-IF($A610&gt;='1-Input'!$C$12,'1-Input'!$B$12,0)))))*(1/(1-'P-Parametri'!$B$6*I610))))</f>
        <v>0</v>
      </c>
      <c r="K610" s="18">
        <f>IF($A610&gt;'1-Input'!$B$26,M609,(M609-MAX(0,I561-IF($A610&gt;='1-Input'!$C$12,'1-Input'!$B$12,0))+J610*(1-'P-Parametri'!$B$6*I610))*(1+'1-Input'!$B$27))</f>
        <v>0</v>
      </c>
      <c r="L610" s="18">
        <f>IF($A610&gt;'1-Input'!$B$26,N609,(N609-J610)*(1+$C$4))</f>
        <v>-344347.32951171527</v>
      </c>
      <c r="M610" s="18">
        <f>IF($A610&gt;'1-Input'!$B$26,K610,K610-'P-Parametri'!$B$8*(L610+K610)+MIN(MAX(L610,0),'P-Parametri'!$B$8*(L610+K610)))</f>
        <v>0</v>
      </c>
      <c r="N610" s="18">
        <f>IF($A610&gt;'1-Input'!$B$26,L610,L610-MIN(MAX(L610,0),'P-Parametri'!$B$8*(L610+K610)))</f>
        <v>-344347.32951171527</v>
      </c>
      <c r="O610" s="18">
        <f>IF($A610&gt;'1-Input'!$B$26,O609,O609-J610*(1-I610))</f>
        <v>-244842.52280699596</v>
      </c>
      <c r="P610" s="11">
        <f>IF($A610&gt;'1-Input'!$B$26,0,IF(U609&lt;=0,0,MAX(0,(U609-V609)/U609)))</f>
        <v>0</v>
      </c>
      <c r="Q610" s="18">
        <f>IF($A610&gt;'1-Input'!$B$26,0,(MAX(0,P561-IF($A610&gt;='1-Input'!$C$12,'1-Input'!$B$12,0))-MIN(MAX(T609,0),MAX(0,P561-IF($A610&gt;='1-Input'!$C$12,'1-Input'!$B$12,0))))*(1/(1-'P-Parametri'!$B$6*P610))+MIN(MAX(0,U609-(MAX(0,P561-IF($A610&gt;='1-Input'!$C$12,'1-Input'!$B$12,0))-MIN(MAX(T609,0),MAX(0,P561-IF($A610&gt;='1-Input'!$C$12,'1-Input'!$B$12,0))))*(1/(1-'P-Parametri'!$B$6*P610))),MAX(0,3*P561-(T609-MIN(MAX(T609,0),MAX(0,P561-IF($A610&gt;='1-Input'!$C$12,'1-Input'!$B$12,0)))))*(1/(1-'P-Parametri'!$B$6*P610))))</f>
        <v>0</v>
      </c>
      <c r="R610" s="18">
        <f>IF($A610&gt;'1-Input'!$B$26,T609,(T609-MAX(0,P561-IF($A610&gt;='1-Input'!$C$12,'1-Input'!$B$12,0))+Q610*(1-'P-Parametri'!$B$6*P610))*(1+'1-Input'!$B$27))</f>
        <v>0</v>
      </c>
      <c r="S610" s="18">
        <f>IF($A610&gt;'1-Input'!$B$26,U609,(U609-Q610)*(1+$C$4))</f>
        <v>-5185.332537764516</v>
      </c>
      <c r="T610" s="18">
        <f>IF($A610&gt;'1-Input'!$B$26,R610,R610-'P-Parametri'!$B$8*(S610+R610)+MIN(MAX(S610,0),'P-Parametri'!$B$8*(S610+R610)))</f>
        <v>0</v>
      </c>
      <c r="U610" s="18">
        <f>IF($A610&gt;'1-Input'!$B$26,S610,S610-MIN(MAX(S610,0),'P-Parametri'!$B$8*(S610+R610)))</f>
        <v>-5185.332537764516</v>
      </c>
      <c r="V610" s="18">
        <f>IF($A610&gt;'1-Input'!$B$26,V609,V609-Q610*(1-P610))</f>
        <v>-5044.3922191611537</v>
      </c>
      <c r="W610" s="11">
        <f>IF($A610&gt;'1-Input'!$B$26,0,IF(AB609&lt;=0,0,MAX(0,(AB609-AC609)/AB609)))</f>
        <v>0</v>
      </c>
      <c r="X610" s="18">
        <f>IF($A610&gt;'1-Input'!$B$26,0,(MAX(0,W561-IF($A610&gt;='1-Input'!$C$12,'1-Input'!$B$12,0))-MIN(MAX(AA609,0),MAX(0,W561-IF($A610&gt;='1-Input'!$C$12,'1-Input'!$B$12,0))))*(1/(1-'P-Parametri'!$B$6*W610))+MIN(MAX(0,AB609-(MAX(0,W561-IF($A610&gt;='1-Input'!$C$12,'1-Input'!$B$12,0))-MIN(MAX(AA609,0),MAX(0,W561-IF($A610&gt;='1-Input'!$C$12,'1-Input'!$B$12,0))))*(1/(1-'P-Parametri'!$B$6*W610))),MAX(0,3*W561-(AA609-MIN(MAX(AA609,0),MAX(0,W561-IF($A610&gt;='1-Input'!$C$12,'1-Input'!$B$12,0)))))*(1/(1-'P-Parametri'!$B$6*W610))))</f>
        <v>0</v>
      </c>
      <c r="Y610" s="18">
        <f>IF($A610&gt;'1-Input'!$B$26,AA609,(AA609-MAX(0,W561-IF($A610&gt;='1-Input'!$C$12,'1-Input'!$B$12,0))+X610*(1-'P-Parametri'!$B$6*W610))*(1+'1-Input'!$B$27))</f>
        <v>0</v>
      </c>
      <c r="Z610" s="18">
        <f>IF($A610&gt;'1-Input'!$B$26,AB609,(AB609-X610)*(1+$C$4))</f>
        <v>-544.21038528805502</v>
      </c>
      <c r="AA610" s="18">
        <f>IF($A610&gt;'1-Input'!$B$26,Y610,Y610-'P-Parametri'!$B$8*(Z610+Y610)+MIN(MAX(Z610,0),'P-Parametri'!$B$8*(Z610+Y610)))</f>
        <v>0</v>
      </c>
      <c r="AB610" s="18">
        <f>IF($A610&gt;'1-Input'!$B$26,Z610,Z610-MIN(MAX(Z610,0),'P-Parametri'!$B$8*(Z610+Y610)))</f>
        <v>-544.21038528805502</v>
      </c>
      <c r="AC610" s="18">
        <f>IF($A610&gt;'1-Input'!$B$26,AC609,AC609-X610*(1-W610))</f>
        <v>-529.41843423551427</v>
      </c>
      <c r="AD610" s="11">
        <f>IF($A610&gt;'1-Input'!$B$26,0,IF(AI609&lt;=0,0,MAX(0,(AI609-AJ609)/AI609)))</f>
        <v>0</v>
      </c>
      <c r="AE610" s="18">
        <f>IF($A610&gt;'1-Input'!$B$26,0,(MAX(0,AD561-IF($A610&gt;='1-Input'!$C$12,'1-Input'!$B$12,0))-MIN(MAX(AH609,0),MAX(0,AD561-IF($A610&gt;='1-Input'!$C$12,'1-Input'!$B$12,0))))*(1/(1-'P-Parametri'!$B$6*AD610))+MIN(MAX(0,AI609-(MAX(0,AD561-IF($A610&gt;='1-Input'!$C$12,'1-Input'!$B$12,0))-MIN(MAX(AH609,0),MAX(0,AD561-IF($A610&gt;='1-Input'!$C$12,'1-Input'!$B$12,0))))*(1/(1-'P-Parametri'!$B$6*AD610))),MAX(0,3*AD561-(AH609-MIN(MAX(AH609,0),MAX(0,AD561-IF($A610&gt;='1-Input'!$C$12,'1-Input'!$B$12,0)))))*(1/(1-'P-Parametri'!$B$6*AD610))))</f>
        <v>0</v>
      </c>
      <c r="AF610" s="18">
        <f>IF($A610&gt;'1-Input'!$B$26,AH609,(AH609-MAX(0,AD561-IF($A610&gt;='1-Input'!$C$12,'1-Input'!$B$12,0))+AE610*(1-'P-Parametri'!$B$6*AD610))*(1+'1-Input'!$B$27))</f>
        <v>34.318024763262216</v>
      </c>
      <c r="AG610" s="18">
        <f>IF($A610&gt;'1-Input'!$B$26,AI609,(AI609-AE610)*(1+$C$4))</f>
        <v>0</v>
      </c>
      <c r="AH610" s="18">
        <f>IF($A610&gt;'1-Input'!$B$26,AF610,AF610-'P-Parametri'!$B$8*(AG610+AF610)+MIN(MAX(AG610,0),'P-Parametri'!$B$8*(AG610+AF610)))</f>
        <v>34.318024763262216</v>
      </c>
      <c r="AI610" s="18">
        <f>IF($A610&gt;'1-Input'!$B$26,AG610,AG610-MIN(MAX(AG610,0),'P-Parametri'!$B$8*(AG610+AF610)))</f>
        <v>0</v>
      </c>
      <c r="AJ610" s="18">
        <f>IF($A610&gt;'1-Input'!$B$26,AJ609,AJ609-AE610*(1-AD610))</f>
        <v>1.4210854715202004E-14</v>
      </c>
      <c r="AK610" s="11">
        <f>IF($A610&gt;'1-Input'!$B$26,0,IF(AP609&lt;=0,0,MAX(0,(AP609-AQ609)/AP609)))</f>
        <v>0</v>
      </c>
      <c r="AL610" s="18">
        <f>IF($A610&gt;'1-Input'!$B$26,0,(MAX(0,AK561-IF($A610&gt;='1-Input'!$C$12,'1-Input'!$B$12,0))-MIN(MAX(AO609,0),MAX(0,AK561-IF($A610&gt;='1-Input'!$C$12,'1-Input'!$B$12,0))))*(1/(1-'P-Parametri'!$B$6*AK610))+MIN(MAX(0,AP609-(MAX(0,AK561-IF($A610&gt;='1-Input'!$C$12,'1-Input'!$B$12,0))-MIN(MAX(AO609,0),MAX(0,AK561-IF($A610&gt;='1-Input'!$C$12,'1-Input'!$B$12,0))))*(1/(1-'P-Parametri'!$B$6*AK610))),MAX(0,3*AK561-(AO609-MIN(MAX(AO609,0),MAX(0,AK561-IF($A610&gt;='1-Input'!$C$12,'1-Input'!$B$12,0)))))*(1/(1-'P-Parametri'!$B$6*AK610))))</f>
        <v>0</v>
      </c>
      <c r="AM610" s="18">
        <f>IF($A610&gt;'1-Input'!$B$26,AO609,(AO609-MAX(0,AK561-IF($A610&gt;='1-Input'!$C$12,'1-Input'!$B$12,0))+AL610*(1-'P-Parametri'!$B$6*AK610))*(1+'1-Input'!$B$27))</f>
        <v>2.191264414281846</v>
      </c>
      <c r="AN610" s="18">
        <f>IF($A610&gt;'1-Input'!$B$26,AP609,(AP609-AL610)*(1+$C$4))</f>
        <v>0</v>
      </c>
      <c r="AO610" s="18">
        <f>IF($A610&gt;'1-Input'!$B$26,AM610,AM610-'P-Parametri'!$B$8*(AN610+AM610)+MIN(MAX(AN610,0),'P-Parametri'!$B$8*(AN610+AM610)))</f>
        <v>2.191264414281846</v>
      </c>
      <c r="AP610" s="18">
        <f>IF($A610&gt;'1-Input'!$B$26,AN610,AN610-MIN(MAX(AN610,0),'P-Parametri'!$B$8*(AN610+AM610)))</f>
        <v>0</v>
      </c>
      <c r="AQ610" s="18">
        <f>IF($A610&gt;'1-Input'!$B$26,AQ609,AQ609-AL610*(1-AK610))</f>
        <v>0</v>
      </c>
    </row>
    <row r="611" spans="1:43">
      <c r="A611" s="10">
        <f>48</f>
        <v>48</v>
      </c>
      <c r="B611" s="11">
        <f>IF($A611&gt;'1-Input'!$B$26,0,IF(G610&lt;=0,0,MAX(0,(G610-H610)/G610)))</f>
        <v>0</v>
      </c>
      <c r="C611" s="18">
        <f>IF($A611&gt;'1-Input'!$B$26,0,(MAX(0,B561-IF($A611&gt;='1-Input'!$C$12,'1-Input'!$B$12,0))-MIN(MAX(F610,0),MAX(0,B561-IF($A611&gt;='1-Input'!$C$12,'1-Input'!$B$12,0))))*(1/(1-'P-Parametri'!$B$6*B611))+MIN(MAX(0,G610-(MAX(0,B561-IF($A611&gt;='1-Input'!$C$12,'1-Input'!$B$12,0))-MIN(MAX(F610,0),MAX(0,B561-IF($A611&gt;='1-Input'!$C$12,'1-Input'!$B$12,0))))*(1/(1-'P-Parametri'!$B$6*B611))),MAX(0,3*B561-(F610-MIN(MAX(F610,0),MAX(0,B561-IF($A611&gt;='1-Input'!$C$12,'1-Input'!$B$12,0)))))*(1/(1-'P-Parametri'!$B$6*B611))))</f>
        <v>0</v>
      </c>
      <c r="D611" s="18">
        <f>IF($A611&gt;'1-Input'!$B$26,F610,(F610-MAX(0,B561-IF($A611&gt;='1-Input'!$C$12,'1-Input'!$B$12,0))+C611*(1-'P-Parametri'!$B$6*B611))*(1+'1-Input'!$B$27))</f>
        <v>49863.010546479447</v>
      </c>
      <c r="E611" s="18">
        <f>IF($A611&gt;'1-Input'!$B$26,G610,(G610-C611)*(1+$C$4))</f>
        <v>25607.858620639206</v>
      </c>
      <c r="F611" s="18">
        <f>IF($A611&gt;'1-Input'!$B$26,D611,D611-'P-Parametri'!$B$8*(E611+D611)+MIN(MAX(E611,0),'P-Parametri'!$B$8*(E611+D611)))</f>
        <v>49863.010546479447</v>
      </c>
      <c r="G611" s="18">
        <f>IF($A611&gt;'1-Input'!$B$26,E611,E611-MIN(MAX(E611,0),'P-Parametri'!$B$8*(E611+D611)))</f>
        <v>25607.858620639206</v>
      </c>
      <c r="H611" s="18">
        <f>IF($A611&gt;'1-Input'!$B$26,H610,H610-C611*(1-B611))</f>
        <v>6056.7767343528467</v>
      </c>
      <c r="I611" s="11">
        <f>IF($A611&gt;'1-Input'!$B$26,0,IF(N610&lt;=0,0,MAX(0,(N610-O610)/N610)))</f>
        <v>0</v>
      </c>
      <c r="J611" s="18">
        <f>IF($A611&gt;'1-Input'!$B$26,0,(MAX(0,I561-IF($A611&gt;='1-Input'!$C$12,'1-Input'!$B$12,0))-MIN(MAX(M610,0),MAX(0,I561-IF($A611&gt;='1-Input'!$C$12,'1-Input'!$B$12,0))))*(1/(1-'P-Parametri'!$B$6*I611))+MIN(MAX(0,N610-(MAX(0,I561-IF($A611&gt;='1-Input'!$C$12,'1-Input'!$B$12,0))-MIN(MAX(M610,0),MAX(0,I561-IF($A611&gt;='1-Input'!$C$12,'1-Input'!$B$12,0))))*(1/(1-'P-Parametri'!$B$6*I611))),MAX(0,3*I561-(M610-MIN(MAX(M610,0),MAX(0,I561-IF($A611&gt;='1-Input'!$C$12,'1-Input'!$B$12,0)))))*(1/(1-'P-Parametri'!$B$6*I611))))</f>
        <v>0</v>
      </c>
      <c r="K611" s="18">
        <f>IF($A611&gt;'1-Input'!$B$26,M610,(M610-MAX(0,I561-IF($A611&gt;='1-Input'!$C$12,'1-Input'!$B$12,0))+J611*(1-'P-Parametri'!$B$6*I611))*(1+'1-Input'!$B$27))</f>
        <v>0</v>
      </c>
      <c r="L611" s="18">
        <f>IF($A611&gt;'1-Input'!$B$26,N610,(N610-J611)*(1+$C$4))</f>
        <v>-344347.32951171527</v>
      </c>
      <c r="M611" s="18">
        <f>IF($A611&gt;'1-Input'!$B$26,K611,K611-'P-Parametri'!$B$8*(L611+K611)+MIN(MAX(L611,0),'P-Parametri'!$B$8*(L611+K611)))</f>
        <v>0</v>
      </c>
      <c r="N611" s="18">
        <f>IF($A611&gt;'1-Input'!$B$26,L611,L611-MIN(MAX(L611,0),'P-Parametri'!$B$8*(L611+K611)))</f>
        <v>-344347.32951171527</v>
      </c>
      <c r="O611" s="18">
        <f>IF($A611&gt;'1-Input'!$B$26,O610,O610-J611*(1-I611))</f>
        <v>-244842.52280699596</v>
      </c>
      <c r="P611" s="11">
        <f>IF($A611&gt;'1-Input'!$B$26,0,IF(U610&lt;=0,0,MAX(0,(U610-V610)/U610)))</f>
        <v>0</v>
      </c>
      <c r="Q611" s="18">
        <f>IF($A611&gt;'1-Input'!$B$26,0,(MAX(0,P561-IF($A611&gt;='1-Input'!$C$12,'1-Input'!$B$12,0))-MIN(MAX(T610,0),MAX(0,P561-IF($A611&gt;='1-Input'!$C$12,'1-Input'!$B$12,0))))*(1/(1-'P-Parametri'!$B$6*P611))+MIN(MAX(0,U610-(MAX(0,P561-IF($A611&gt;='1-Input'!$C$12,'1-Input'!$B$12,0))-MIN(MAX(T610,0),MAX(0,P561-IF($A611&gt;='1-Input'!$C$12,'1-Input'!$B$12,0))))*(1/(1-'P-Parametri'!$B$6*P611))),MAX(0,3*P561-(T610-MIN(MAX(T610,0),MAX(0,P561-IF($A611&gt;='1-Input'!$C$12,'1-Input'!$B$12,0)))))*(1/(1-'P-Parametri'!$B$6*P611))))</f>
        <v>0</v>
      </c>
      <c r="R611" s="18">
        <f>IF($A611&gt;'1-Input'!$B$26,T610,(T610-MAX(0,P561-IF($A611&gt;='1-Input'!$C$12,'1-Input'!$B$12,0))+Q611*(1-'P-Parametri'!$B$6*P611))*(1+'1-Input'!$B$27))</f>
        <v>0</v>
      </c>
      <c r="S611" s="18">
        <f>IF($A611&gt;'1-Input'!$B$26,U610,(U610-Q611)*(1+$C$4))</f>
        <v>-5185.332537764516</v>
      </c>
      <c r="T611" s="18">
        <f>IF($A611&gt;'1-Input'!$B$26,R611,R611-'P-Parametri'!$B$8*(S611+R611)+MIN(MAX(S611,0),'P-Parametri'!$B$8*(S611+R611)))</f>
        <v>0</v>
      </c>
      <c r="U611" s="18">
        <f>IF($A611&gt;'1-Input'!$B$26,S611,S611-MIN(MAX(S611,0),'P-Parametri'!$B$8*(S611+R611)))</f>
        <v>-5185.332537764516</v>
      </c>
      <c r="V611" s="18">
        <f>IF($A611&gt;'1-Input'!$B$26,V610,V610-Q611*(1-P611))</f>
        <v>-5044.3922191611537</v>
      </c>
      <c r="W611" s="11">
        <f>IF($A611&gt;'1-Input'!$B$26,0,IF(AB610&lt;=0,0,MAX(0,(AB610-AC610)/AB610)))</f>
        <v>0</v>
      </c>
      <c r="X611" s="18">
        <f>IF($A611&gt;'1-Input'!$B$26,0,(MAX(0,W561-IF($A611&gt;='1-Input'!$C$12,'1-Input'!$B$12,0))-MIN(MAX(AA610,0),MAX(0,W561-IF($A611&gt;='1-Input'!$C$12,'1-Input'!$B$12,0))))*(1/(1-'P-Parametri'!$B$6*W611))+MIN(MAX(0,AB610-(MAX(0,W561-IF($A611&gt;='1-Input'!$C$12,'1-Input'!$B$12,0))-MIN(MAX(AA610,0),MAX(0,W561-IF($A611&gt;='1-Input'!$C$12,'1-Input'!$B$12,0))))*(1/(1-'P-Parametri'!$B$6*W611))),MAX(0,3*W561-(AA610-MIN(MAX(AA610,0),MAX(0,W561-IF($A611&gt;='1-Input'!$C$12,'1-Input'!$B$12,0)))))*(1/(1-'P-Parametri'!$B$6*W611))))</f>
        <v>0</v>
      </c>
      <c r="Y611" s="18">
        <f>IF($A611&gt;'1-Input'!$B$26,AA610,(AA610-MAX(0,W561-IF($A611&gt;='1-Input'!$C$12,'1-Input'!$B$12,0))+X611*(1-'P-Parametri'!$B$6*W611))*(1+'1-Input'!$B$27))</f>
        <v>0</v>
      </c>
      <c r="Z611" s="18">
        <f>IF($A611&gt;'1-Input'!$B$26,AB610,(AB610-X611)*(1+$C$4))</f>
        <v>-544.21038528805502</v>
      </c>
      <c r="AA611" s="18">
        <f>IF($A611&gt;'1-Input'!$B$26,Y611,Y611-'P-Parametri'!$B$8*(Z611+Y611)+MIN(MAX(Z611,0),'P-Parametri'!$B$8*(Z611+Y611)))</f>
        <v>0</v>
      </c>
      <c r="AB611" s="18">
        <f>IF($A611&gt;'1-Input'!$B$26,Z611,Z611-MIN(MAX(Z611,0),'P-Parametri'!$B$8*(Z611+Y611)))</f>
        <v>-544.21038528805502</v>
      </c>
      <c r="AC611" s="18">
        <f>IF($A611&gt;'1-Input'!$B$26,AC610,AC610-X611*(1-W611))</f>
        <v>-529.41843423551427</v>
      </c>
      <c r="AD611" s="11">
        <f>IF($A611&gt;'1-Input'!$B$26,0,IF(AI610&lt;=0,0,MAX(0,(AI610-AJ610)/AI610)))</f>
        <v>0</v>
      </c>
      <c r="AE611" s="18">
        <f>IF($A611&gt;'1-Input'!$B$26,0,(MAX(0,AD561-IF($A611&gt;='1-Input'!$C$12,'1-Input'!$B$12,0))-MIN(MAX(AH610,0),MAX(0,AD561-IF($A611&gt;='1-Input'!$C$12,'1-Input'!$B$12,0))))*(1/(1-'P-Parametri'!$B$6*AD611))+MIN(MAX(0,AI610-(MAX(0,AD561-IF($A611&gt;='1-Input'!$C$12,'1-Input'!$B$12,0))-MIN(MAX(AH610,0),MAX(0,AD561-IF($A611&gt;='1-Input'!$C$12,'1-Input'!$B$12,0))))*(1/(1-'P-Parametri'!$B$6*AD611))),MAX(0,3*AD561-(AH610-MIN(MAX(AH610,0),MAX(0,AD561-IF($A611&gt;='1-Input'!$C$12,'1-Input'!$B$12,0)))))*(1/(1-'P-Parametri'!$B$6*AD611))))</f>
        <v>0</v>
      </c>
      <c r="AF611" s="18">
        <f>IF($A611&gt;'1-Input'!$B$26,AH610,(AH610-MAX(0,AD561-IF($A611&gt;='1-Input'!$C$12,'1-Input'!$B$12,0))+AE611*(1-'P-Parametri'!$B$6*AD611))*(1+'1-Input'!$B$27))</f>
        <v>34.318024763262216</v>
      </c>
      <c r="AG611" s="18">
        <f>IF($A611&gt;'1-Input'!$B$26,AI610,(AI610-AE611)*(1+$C$4))</f>
        <v>0</v>
      </c>
      <c r="AH611" s="18">
        <f>IF($A611&gt;'1-Input'!$B$26,AF611,AF611-'P-Parametri'!$B$8*(AG611+AF611)+MIN(MAX(AG611,0),'P-Parametri'!$B$8*(AG611+AF611)))</f>
        <v>34.318024763262216</v>
      </c>
      <c r="AI611" s="18">
        <f>IF($A611&gt;'1-Input'!$B$26,AG611,AG611-MIN(MAX(AG611,0),'P-Parametri'!$B$8*(AG611+AF611)))</f>
        <v>0</v>
      </c>
      <c r="AJ611" s="18">
        <f>IF($A611&gt;'1-Input'!$B$26,AJ610,AJ610-AE611*(1-AD611))</f>
        <v>1.4210854715202004E-14</v>
      </c>
      <c r="AK611" s="11">
        <f>IF($A611&gt;'1-Input'!$B$26,0,IF(AP610&lt;=0,0,MAX(0,(AP610-AQ610)/AP610)))</f>
        <v>0</v>
      </c>
      <c r="AL611" s="18">
        <f>IF($A611&gt;'1-Input'!$B$26,0,(MAX(0,AK561-IF($A611&gt;='1-Input'!$C$12,'1-Input'!$B$12,0))-MIN(MAX(AO610,0),MAX(0,AK561-IF($A611&gt;='1-Input'!$C$12,'1-Input'!$B$12,0))))*(1/(1-'P-Parametri'!$B$6*AK611))+MIN(MAX(0,AP610-(MAX(0,AK561-IF($A611&gt;='1-Input'!$C$12,'1-Input'!$B$12,0))-MIN(MAX(AO610,0),MAX(0,AK561-IF($A611&gt;='1-Input'!$C$12,'1-Input'!$B$12,0))))*(1/(1-'P-Parametri'!$B$6*AK611))),MAX(0,3*AK561-(AO610-MIN(MAX(AO610,0),MAX(0,AK561-IF($A611&gt;='1-Input'!$C$12,'1-Input'!$B$12,0)))))*(1/(1-'P-Parametri'!$B$6*AK611))))</f>
        <v>0</v>
      </c>
      <c r="AM611" s="18">
        <f>IF($A611&gt;'1-Input'!$B$26,AO610,(AO610-MAX(0,AK561-IF($A611&gt;='1-Input'!$C$12,'1-Input'!$B$12,0))+AL611*(1-'P-Parametri'!$B$6*AK611))*(1+'1-Input'!$B$27))</f>
        <v>2.191264414281846</v>
      </c>
      <c r="AN611" s="18">
        <f>IF($A611&gt;'1-Input'!$B$26,AP610,(AP610-AL611)*(1+$C$4))</f>
        <v>0</v>
      </c>
      <c r="AO611" s="18">
        <f>IF($A611&gt;'1-Input'!$B$26,AM611,AM611-'P-Parametri'!$B$8*(AN611+AM611)+MIN(MAX(AN611,0),'P-Parametri'!$B$8*(AN611+AM611)))</f>
        <v>2.191264414281846</v>
      </c>
      <c r="AP611" s="18">
        <f>IF($A611&gt;'1-Input'!$B$26,AN611,AN611-MIN(MAX(AN611,0),'P-Parametri'!$B$8*(AN611+AM611)))</f>
        <v>0</v>
      </c>
      <c r="AQ611" s="18">
        <f>IF($A611&gt;'1-Input'!$B$26,AQ610,AQ610-AL611*(1-AK611))</f>
        <v>0</v>
      </c>
    </row>
    <row r="612" spans="1:43">
      <c r="A612" s="4" t="s">
        <v>365</v>
      </c>
      <c r="B612" s="18">
        <f>F611+G611</f>
        <v>75470.869167118653</v>
      </c>
      <c r="I612" s="18">
        <f>M611+N611</f>
        <v>-344347.32951171527</v>
      </c>
      <c r="P612" s="18">
        <f>T611+U611</f>
        <v>-5185.332537764516</v>
      </c>
      <c r="W612" s="18">
        <f>AA611+AB611</f>
        <v>-544.21038528805502</v>
      </c>
      <c r="AD612" s="18">
        <f>AH611+AI611</f>
        <v>34.318024763262216</v>
      </c>
      <c r="AK612" s="18">
        <f>AO611+AP611</f>
        <v>2.191264414281846</v>
      </c>
    </row>
    <row r="613" spans="1:43">
      <c r="A613" s="5" t="s">
        <v>266</v>
      </c>
      <c r="B613" s="18">
        <f>IFERROR(AK561-AK612*(AK561-AD561)/(AK612-AD612),AK561)</f>
        <v>17554.718806543973</v>
      </c>
    </row>
    <row r="615" spans="1:43">
      <c r="A615" s="2" t="s">
        <v>374</v>
      </c>
    </row>
    <row r="616" spans="1:43">
      <c r="A616" s="4" t="s">
        <v>360</v>
      </c>
      <c r="B616" s="9">
        <f>0.038*'2-Caso'!$B$12</f>
        <v>16681.055314625803</v>
      </c>
      <c r="I616" s="9">
        <f>0.05*'2-Caso'!$B$12</f>
        <v>21948.756992928691</v>
      </c>
      <c r="P616" s="18">
        <f>IFERROR(I616-I667*(I616-B616)/(I667-B667),I616)</f>
        <v>16854.061684963148</v>
      </c>
      <c r="W616" s="18">
        <f>IFERROR(P616-P667*(P616-I616)/(P667-I667),P616)</f>
        <v>16883.042296965359</v>
      </c>
      <c r="AD616" s="18">
        <f>IFERROR(W616-W667*(W616-P616)/(W667-P667),W616)</f>
        <v>16889.888699531555</v>
      </c>
      <c r="AK616" s="18">
        <f>IFERROR(AD616-AD667*(AD616-W616)/(AD667-W667),AD616)</f>
        <v>16889.374052615134</v>
      </c>
    </row>
    <row r="617" spans="1:43" ht="45">
      <c r="A617" s="25" t="s">
        <v>262</v>
      </c>
      <c r="B617" s="25" t="s">
        <v>361</v>
      </c>
      <c r="C617" s="25" t="s">
        <v>263</v>
      </c>
      <c r="D617" s="25" t="s">
        <v>362</v>
      </c>
      <c r="E617" s="25" t="s">
        <v>363</v>
      </c>
      <c r="F617" s="25" t="s">
        <v>264</v>
      </c>
      <c r="G617" s="25" t="s">
        <v>265</v>
      </c>
      <c r="H617" s="25" t="s">
        <v>364</v>
      </c>
      <c r="I617" s="25" t="s">
        <v>361</v>
      </c>
      <c r="J617" s="25" t="s">
        <v>263</v>
      </c>
      <c r="K617" s="25" t="s">
        <v>362</v>
      </c>
      <c r="L617" s="25" t="s">
        <v>363</v>
      </c>
      <c r="M617" s="25" t="s">
        <v>264</v>
      </c>
      <c r="N617" s="25" t="s">
        <v>265</v>
      </c>
      <c r="O617" s="25" t="s">
        <v>364</v>
      </c>
      <c r="P617" s="25" t="s">
        <v>361</v>
      </c>
      <c r="Q617" s="25" t="s">
        <v>263</v>
      </c>
      <c r="R617" s="25" t="s">
        <v>362</v>
      </c>
      <c r="S617" s="25" t="s">
        <v>363</v>
      </c>
      <c r="T617" s="25" t="s">
        <v>264</v>
      </c>
      <c r="U617" s="25" t="s">
        <v>265</v>
      </c>
      <c r="V617" s="25" t="s">
        <v>364</v>
      </c>
      <c r="W617" s="25" t="s">
        <v>361</v>
      </c>
      <c r="X617" s="25" t="s">
        <v>263</v>
      </c>
      <c r="Y617" s="25" t="s">
        <v>362</v>
      </c>
      <c r="Z617" s="25" t="s">
        <v>363</v>
      </c>
      <c r="AA617" s="25" t="s">
        <v>264</v>
      </c>
      <c r="AB617" s="25" t="s">
        <v>265</v>
      </c>
      <c r="AC617" s="25" t="s">
        <v>364</v>
      </c>
      <c r="AD617" s="25" t="s">
        <v>361</v>
      </c>
      <c r="AE617" s="25" t="s">
        <v>263</v>
      </c>
      <c r="AF617" s="25" t="s">
        <v>362</v>
      </c>
      <c r="AG617" s="25" t="s">
        <v>363</v>
      </c>
      <c r="AH617" s="25" t="s">
        <v>264</v>
      </c>
      <c r="AI617" s="25" t="s">
        <v>265</v>
      </c>
      <c r="AJ617" s="25" t="s">
        <v>364</v>
      </c>
      <c r="AK617" s="25" t="s">
        <v>361</v>
      </c>
      <c r="AL617" s="25" t="s">
        <v>263</v>
      </c>
      <c r="AM617" s="25" t="s">
        <v>362</v>
      </c>
      <c r="AN617" s="25" t="s">
        <v>363</v>
      </c>
      <c r="AO617" s="25" t="s">
        <v>264</v>
      </c>
      <c r="AP617" s="25" t="s">
        <v>265</v>
      </c>
      <c r="AQ617" s="25" t="s">
        <v>364</v>
      </c>
    </row>
    <row r="618" spans="1:43">
      <c r="A618" s="3">
        <v>0</v>
      </c>
      <c r="F618" s="18">
        <f>MIN(5*B616,'2-Caso'!$B$12)</f>
        <v>83405.276573129013</v>
      </c>
      <c r="G618" s="18">
        <f>'2-Caso'!$B$12-F618</f>
        <v>355569.86328544479</v>
      </c>
      <c r="H618" s="18">
        <f>'2-Caso'!$B$13*G618/'2-Caso'!$B$12</f>
        <v>278640</v>
      </c>
      <c r="M618" s="18">
        <f>MIN(5*I616,'2-Caso'!$B$12)</f>
        <v>109743.78496464345</v>
      </c>
      <c r="N618" s="18">
        <f>'2-Caso'!$B$12-M618</f>
        <v>329231.35489393037</v>
      </c>
      <c r="O618" s="18">
        <f>'2-Caso'!$B$13*N618/'2-Caso'!$B$12</f>
        <v>258000.00000000003</v>
      </c>
      <c r="T618" s="18">
        <f>MIN(5*P616,'2-Caso'!$B$12)</f>
        <v>84270.308424815739</v>
      </c>
      <c r="U618" s="18">
        <f>'2-Caso'!$B$12-T618</f>
        <v>354704.83143375802</v>
      </c>
      <c r="V618" s="18">
        <f>'2-Caso'!$B$13*U618/'2-Caso'!$B$12</f>
        <v>277962.12344171444</v>
      </c>
      <c r="AA618" s="18">
        <f>MIN(5*W616,'2-Caso'!$B$12)</f>
        <v>84415.211484826796</v>
      </c>
      <c r="AB618" s="18">
        <f>'2-Caso'!$B$12-AA618</f>
        <v>354559.92837374698</v>
      </c>
      <c r="AC618" s="18">
        <f>'2-Caso'!$B$13*AB618/'2-Caso'!$B$12</f>
        <v>277848.57110556198</v>
      </c>
      <c r="AH618" s="18">
        <f>MIN(5*AD616,'2-Caso'!$B$12)</f>
        <v>84449.443497657776</v>
      </c>
      <c r="AI618" s="18">
        <f>'2-Caso'!$B$12-AH618</f>
        <v>354525.69636091602</v>
      </c>
      <c r="AJ618" s="18">
        <f>'2-Caso'!$B$13*AI618/'2-Caso'!$B$12</f>
        <v>277821.74541238573</v>
      </c>
      <c r="AO618" s="18">
        <f>MIN(5*AK616,'2-Caso'!$B$12)</f>
        <v>84446.870263075674</v>
      </c>
      <c r="AP618" s="18">
        <f>'2-Caso'!$B$12-AO618</f>
        <v>354528.2695954981</v>
      </c>
      <c r="AQ618" s="18">
        <f>'2-Caso'!$B$13*AP618/'2-Caso'!$B$12</f>
        <v>277823.76191085199</v>
      </c>
    </row>
    <row r="619" spans="1:43">
      <c r="A619" s="10">
        <f>1</f>
        <v>1</v>
      </c>
      <c r="B619" s="11">
        <f>IF($A619&gt;'1-Input'!$B$26,0,IF(G618&lt;=0,0,MAX(0,(G618-H618)/G618)))</f>
        <v>0.21635653419729486</v>
      </c>
      <c r="C619" s="18">
        <f>IF($A619&gt;'1-Input'!$B$26,0,(MAX(0,B616-IF($A619&gt;='1-Input'!$C$12,'1-Input'!$B$12,0))-MIN(MAX(F618,0),MAX(0,B616-IF($A619&gt;='1-Input'!$C$12,'1-Input'!$B$12,0))))*(1/(1-'P-Parametri'!$B$6*B619))+MIN(MAX(0,G618-(MAX(0,B616-IF($A619&gt;='1-Input'!$C$12,'1-Input'!$B$12,0))-MIN(MAX(F618,0),MAX(0,B616-IF($A619&gt;='1-Input'!$C$12,'1-Input'!$B$12,0))))*(1/(1-'P-Parametri'!$B$6*B619))),MAX(0,5*B616-(F618-MIN(MAX(F618,0),MAX(0,B616-IF($A619&gt;='1-Input'!$C$12,'1-Input'!$B$12,0)))))*(1/(1-'P-Parametri'!$B$6*B619))))</f>
        <v>17675.340946701614</v>
      </c>
      <c r="D619" s="18">
        <f>IF($A619&gt;'1-Input'!$B$26,F618,(F618-MAX(0,B616-IF($A619&gt;='1-Input'!$C$12,'1-Input'!$B$12,0))+C619*(1-'P-Parametri'!$B$6*B619))*(1+'1-Input'!$B$27))</f>
        <v>83105.01757746574</v>
      </c>
      <c r="E619" s="18">
        <f>IF($A619&gt;'1-Input'!$B$26,G618,(G618-C619)*(1+$C$4))</f>
        <v>348031.35800890549</v>
      </c>
      <c r="F619" s="18">
        <f>IF($A619&gt;'1-Input'!$B$26,D619,D619-'P-Parametri'!$B$8*(E619+D619)+MIN(MAX(E619,0),'P-Parametri'!$B$8*(E619+D619)))</f>
        <v>83105.01757746574</v>
      </c>
      <c r="G619" s="18">
        <f>IF($A619&gt;'1-Input'!$B$26,E619,E619-MIN(MAX(E619,0),'P-Parametri'!$B$8*(E619+D619)))</f>
        <v>347169.08525773278</v>
      </c>
      <c r="H619" s="18">
        <f>IF($A619&gt;'1-Input'!$B$26,H618,H618-C619*(1-B619))</f>
        <v>264788.8345612823</v>
      </c>
      <c r="I619" s="11">
        <f>IF($A619&gt;'1-Input'!$B$26,0,IF(N618&lt;=0,0,MAX(0,(N618-O618)/N618)))</f>
        <v>0.21635653419729478</v>
      </c>
      <c r="J619" s="18">
        <f>IF($A619&gt;'1-Input'!$B$26,0,(MAX(0,I616-IF($A619&gt;='1-Input'!$C$12,'1-Input'!$B$12,0))-MIN(MAX(M618,0),MAX(0,I616-IF($A619&gt;='1-Input'!$C$12,'1-Input'!$B$12,0))))*(1/(1-'P-Parametri'!$B$6*I619))+MIN(MAX(0,N618-(MAX(0,I616-IF($A619&gt;='1-Input'!$C$12,'1-Input'!$B$12,0))-MIN(MAX(M618,0),MAX(0,I616-IF($A619&gt;='1-Input'!$C$12,'1-Input'!$B$12,0))))*(1/(1-'P-Parametri'!$B$6*I619))),MAX(0,5*I616-(M618-MIN(MAX(M618,0),MAX(0,I616-IF($A619&gt;='1-Input'!$C$12,'1-Input'!$B$12,0)))))*(1/(1-'P-Parametri'!$B$6*I619))))</f>
        <v>23257.027561449489</v>
      </c>
      <c r="K619" s="18">
        <f>IF($A619&gt;'1-Input'!$B$26,M618,(M618-MAX(0,I616-IF($A619&gt;='1-Input'!$C$12,'1-Input'!$B$12,0))+J619*(1-'P-Parametri'!$B$6*I619))*(1+'1-Input'!$B$27))</f>
        <v>109348.70733877072</v>
      </c>
      <c r="L619" s="18">
        <f>IF($A619&gt;'1-Input'!$B$26,N618,(N618-J619)*(1+$C$4))</f>
        <v>315153.55715245532</v>
      </c>
      <c r="M619" s="18">
        <f>IF($A619&gt;'1-Input'!$B$26,K619,K619-'P-Parametri'!$B$8*(L619+K619)+MIN(MAX(L619,0),'P-Parametri'!$B$8*(L619+K619)))</f>
        <v>109348.70733877072</v>
      </c>
      <c r="N619" s="18">
        <f>IF($A619&gt;'1-Input'!$B$26,L619,L619-MIN(MAX(L619,0),'P-Parametri'!$B$8*(L619+K619)))</f>
        <v>314304.55262347287</v>
      </c>
      <c r="O619" s="18">
        <f>IF($A619&gt;'1-Input'!$B$26,O618,O618-J619*(1-I619))</f>
        <v>239774.78231747673</v>
      </c>
      <c r="P619" s="11">
        <f>IF($A619&gt;'1-Input'!$B$26,0,IF(U618&lt;=0,0,MAX(0,(U618-V618)/U618)))</f>
        <v>0.21635653419729486</v>
      </c>
      <c r="Q619" s="18">
        <f>IF($A619&gt;'1-Input'!$B$26,0,(MAX(0,P616-IF($A619&gt;='1-Input'!$C$12,'1-Input'!$B$12,0))-MIN(MAX(T618,0),MAX(0,P616-IF($A619&gt;='1-Input'!$C$12,'1-Input'!$B$12,0))))*(1/(1-'P-Parametri'!$B$6*P619))+MIN(MAX(0,U618-(MAX(0,P616-IF($A619&gt;='1-Input'!$C$12,'1-Input'!$B$12,0))-MIN(MAX(T618,0),MAX(0,P616-IF($A619&gt;='1-Input'!$C$12,'1-Input'!$B$12,0))))*(1/(1-'P-Parametri'!$B$6*P619))),MAX(0,5*P616-(T618-MIN(MAX(T618,0),MAX(0,P616-IF($A619&gt;='1-Input'!$C$12,'1-Input'!$B$12,0)))))*(1/(1-'P-Parametri'!$B$6*P619))))</f>
        <v>17858.659479251695</v>
      </c>
      <c r="R619" s="18">
        <f>IF($A619&gt;'1-Input'!$B$26,T618,(T618-MAX(0,P616-IF($A619&gt;='1-Input'!$C$12,'1-Input'!$B$12,0))+Q619*(1-'P-Parametri'!$B$6*P619))*(1+'1-Input'!$B$27))</f>
        <v>83966.9353144864</v>
      </c>
      <c r="S619" s="18">
        <f>IF($A619&gt;'1-Input'!$B$26,U618,(U618-Q619)*(1+$C$4))</f>
        <v>346951.55711314152</v>
      </c>
      <c r="T619" s="18">
        <f>IF($A619&gt;'1-Input'!$B$26,R619,R619-'P-Parametri'!$B$8*(S619+R619)+MIN(MAX(S619,0),'P-Parametri'!$B$8*(S619+R619)))</f>
        <v>83966.9353144864</v>
      </c>
      <c r="U619" s="18">
        <f>IF($A619&gt;'1-Input'!$B$26,S619,S619-MIN(MAX(S619,0),'P-Parametri'!$B$8*(S619+R619)))</f>
        <v>346089.72012828628</v>
      </c>
      <c r="V619" s="18">
        <f>IF($A619&gt;'1-Input'!$B$26,V618,V618-Q619*(1-P619))</f>
        <v>263967.30163280328</v>
      </c>
      <c r="W619" s="11">
        <f>IF($A619&gt;'1-Input'!$B$26,0,IF(AB618&lt;=0,0,MAX(0,(AB618-AC618)/AB618)))</f>
        <v>0.21635653419729486</v>
      </c>
      <c r="X619" s="18">
        <f>IF($A619&gt;'1-Input'!$B$26,0,(MAX(0,W616-IF($A619&gt;='1-Input'!$C$12,'1-Input'!$B$12,0))-MIN(MAX(AA618,0),MAX(0,W616-IF($A619&gt;='1-Input'!$C$12,'1-Input'!$B$12,0))))*(1/(1-'P-Parametri'!$B$6*W619))+MIN(MAX(0,AB618-(MAX(0,W616-IF($A619&gt;='1-Input'!$C$12,'1-Input'!$B$12,0))-MIN(MAX(AA618,0),MAX(0,W616-IF($A619&gt;='1-Input'!$C$12,'1-Input'!$B$12,0))))*(1/(1-'P-Parametri'!$B$6*W619))),MAX(0,5*W616-(AA618-MIN(MAX(AA618,0),MAX(0,W616-IF($A619&gt;='1-Input'!$C$12,'1-Input'!$B$12,0)))))*(1/(1-'P-Parametri'!$B$6*W619))))</f>
        <v>17889.367500316406</v>
      </c>
      <c r="Y619" s="18">
        <f>IF($A619&gt;'1-Input'!$B$26,AA618,(AA618-MAX(0,W616-IF($A619&gt;='1-Input'!$C$12,'1-Input'!$B$12,0))+X619*(1-'P-Parametri'!$B$6*W619))*(1+'1-Input'!$B$27))</f>
        <v>84111.316723481417</v>
      </c>
      <c r="Z619" s="18">
        <f>IF($A619&gt;'1-Input'!$B$26,AB618,(AB618-X619)*(1+$C$4))</f>
        <v>346770.67769963352</v>
      </c>
      <c r="AA619" s="18">
        <f>IF($A619&gt;'1-Input'!$B$26,Y619,Y619-'P-Parametri'!$B$8*(Z619+Y619)+MIN(MAX(Z619,0),'P-Parametri'!$B$8*(Z619+Y619)))</f>
        <v>84111.316723481417</v>
      </c>
      <c r="AB619" s="18">
        <f>IF($A619&gt;'1-Input'!$B$26,Z619,Z619-MIN(MAX(Z619,0),'P-Parametri'!$B$8*(Z619+Y619)))</f>
        <v>345908.91371078731</v>
      </c>
      <c r="AC619" s="18">
        <f>IF($A619&gt;'1-Input'!$B$26,AC618,AC618-X619*(1-W619))</f>
        <v>263829.68515659578</v>
      </c>
      <c r="AD619" s="11">
        <f>IF($A619&gt;'1-Input'!$B$26,0,IF(AI618&lt;=0,0,MAX(0,(AI618-AJ618)/AI618)))</f>
        <v>0.21635653419729481</v>
      </c>
      <c r="AE619" s="18">
        <f>IF($A619&gt;'1-Input'!$B$26,0,(MAX(0,AD616-IF($A619&gt;='1-Input'!$C$12,'1-Input'!$B$12,0))-MIN(MAX(AH618,0),MAX(0,AD616-IF($A619&gt;='1-Input'!$C$12,'1-Input'!$B$12,0))))*(1/(1-'P-Parametri'!$B$6*AD619))+MIN(MAX(0,AI618-(MAX(0,AD616-IF($A619&gt;='1-Input'!$C$12,'1-Input'!$B$12,0))-MIN(MAX(AH618,0),MAX(0,AD616-IF($A619&gt;='1-Input'!$C$12,'1-Input'!$B$12,0))))*(1/(1-'P-Parametri'!$B$6*AD619))),MAX(0,5*AD616-(AH618-MIN(MAX(AH618,0),MAX(0,AD616-IF($A619&gt;='1-Input'!$C$12,'1-Input'!$B$12,0)))))*(1/(1-'P-Parametri'!$B$6*AD619))))</f>
        <v>17896.62198735775</v>
      </c>
      <c r="AF619" s="18">
        <f>IF($A619&gt;'1-Input'!$B$26,AH618,(AH618-MAX(0,AD616-IF($A619&gt;='1-Input'!$C$12,'1-Input'!$B$12,0))+AE619*(1-'P-Parametri'!$B$6*AD619))*(1+'1-Input'!$B$27))</f>
        <v>84145.425501066202</v>
      </c>
      <c r="AG619" s="18">
        <f>IF($A619&gt;'1-Input'!$B$26,AI618,(AI618-AE619)*(1+$C$4))</f>
        <v>346727.94660476502</v>
      </c>
      <c r="AH619" s="18">
        <f>IF($A619&gt;'1-Input'!$B$26,AF619,AF619-'P-Parametri'!$B$8*(AG619+AF619)+MIN(MAX(AG619,0),'P-Parametri'!$B$8*(AG619+AF619)))</f>
        <v>84145.425501066202</v>
      </c>
      <c r="AI619" s="18">
        <f>IF($A619&gt;'1-Input'!$B$26,AG619,AG619-MIN(MAX(AG619,0),'P-Parametri'!$B$8*(AG619+AF619)))</f>
        <v>345866.19986055337</v>
      </c>
      <c r="AJ619" s="18">
        <f>IF($A619&gt;'1-Input'!$B$26,AJ618,AJ618-AE619*(1-AD619))</f>
        <v>263797.17453205178</v>
      </c>
      <c r="AK619" s="11">
        <f>IF($A619&gt;'1-Input'!$B$26,0,IF(AP618&lt;=0,0,MAX(0,(AP618-AQ618)/AP618)))</f>
        <v>0.21635653419729475</v>
      </c>
      <c r="AL619" s="18">
        <f>IF($A619&gt;'1-Input'!$B$26,0,(MAX(0,AK616-IF($A619&gt;='1-Input'!$C$12,'1-Input'!$B$12,0))-MIN(MAX(AO618,0),MAX(0,AK616-IF($A619&gt;='1-Input'!$C$12,'1-Input'!$B$12,0))))*(1/(1-'P-Parametri'!$B$6*AK619))+MIN(MAX(0,AP618-(MAX(0,AK616-IF($A619&gt;='1-Input'!$C$12,'1-Input'!$B$12,0))-MIN(MAX(AO618,0),MAX(0,AK616-IF($A619&gt;='1-Input'!$C$12,'1-Input'!$B$12,0))))*(1/(1-'P-Parametri'!$B$6*AK619))),MAX(0,5*AK616-(AO618-MIN(MAX(AO618,0),MAX(0,AK616-IF($A619&gt;='1-Input'!$C$12,'1-Input'!$B$12,0)))))*(1/(1-'P-Parametri'!$B$6*AK619))))</f>
        <v>17896.076664562323</v>
      </c>
      <c r="AM619" s="18">
        <f>IF($A619&gt;'1-Input'!$B$26,AO618,(AO618-MAX(0,AK616-IF($A619&gt;='1-Input'!$C$12,'1-Input'!$B$12,0))+AL619*(1-'P-Parametri'!$B$6*AK619))*(1+'1-Input'!$B$27))</f>
        <v>84142.861530128604</v>
      </c>
      <c r="AN619" s="18">
        <f>IF($A619&gt;'1-Input'!$B$26,AP618,(AP618-AL619)*(1+$C$4))</f>
        <v>346731.15871886385</v>
      </c>
      <c r="AO619" s="18">
        <f>IF($A619&gt;'1-Input'!$B$26,AM619,AM619-'P-Parametri'!$B$8*(AN619+AM619)+MIN(MAX(AN619,0),'P-Parametri'!$B$8*(AN619+AM619)))</f>
        <v>84142.861530128604</v>
      </c>
      <c r="AP619" s="18">
        <f>IF($A619&gt;'1-Input'!$B$26,AN619,AN619-MIN(MAX(AN619,0),'P-Parametri'!$B$8*(AN619+AM619)))</f>
        <v>345869.41067836585</v>
      </c>
      <c r="AQ619" s="18">
        <f>IF($A619&gt;'1-Input'!$B$26,AQ618,AQ618-AL619*(1-AK619))</f>
        <v>263799.61836916348</v>
      </c>
    </row>
    <row r="620" spans="1:43">
      <c r="A620" s="10">
        <f>2</f>
        <v>2</v>
      </c>
      <c r="B620" s="11">
        <f>IF($A620&gt;'1-Input'!$B$26,0,IF(G619&lt;=0,0,MAX(0,(G619-H619)/G619)))</f>
        <v>0.23729143577197459</v>
      </c>
      <c r="C620" s="18">
        <f>IF($A620&gt;'1-Input'!$B$26,0,(MAX(0,B616-IF($A620&gt;='1-Input'!$C$12,'1-Input'!$B$12,0))-MIN(MAX(F619,0),MAX(0,B616-IF($A620&gt;='1-Input'!$C$12,'1-Input'!$B$12,0))))*(1/(1-'P-Parametri'!$B$6*B620))+MIN(MAX(0,G619-(MAX(0,B616-IF($A620&gt;='1-Input'!$C$12,'1-Input'!$B$12,0))-MIN(MAX(F619,0),MAX(0,B616-IF($A620&gt;='1-Input'!$C$12,'1-Input'!$B$12,0))))*(1/(1-'P-Parametri'!$B$6*B620))),MAX(0,5*B616-(F619-MIN(MAX(F619,0),MAX(0,B616-IF($A620&gt;='1-Input'!$C$12,'1-Input'!$B$12,0)))))*(1/(1-'P-Parametri'!$B$6*B620))))</f>
        <v>18097.876815523872</v>
      </c>
      <c r="D620" s="18">
        <f>IF($A620&gt;'1-Input'!$B$26,F619,(F619-MAX(0,B616-IF($A620&gt;='1-Input'!$C$12,'1-Input'!$B$12,0))+C620*(1-'P-Parametri'!$B$6*B620))*(1+'1-Input'!$B$27))</f>
        <v>83105.01757746574</v>
      </c>
      <c r="E620" s="18">
        <f>IF($A620&gt;'1-Input'!$B$26,G619,(G619-C620)*(1+$C$4))</f>
        <v>338943.34469547519</v>
      </c>
      <c r="F620" s="18">
        <f>IF($A620&gt;'1-Input'!$B$26,D620,D620-'P-Parametri'!$B$8*(E620+D620)+MIN(MAX(E620,0),'P-Parametri'!$B$8*(E620+D620)))</f>
        <v>83105.01757746574</v>
      </c>
      <c r="G620" s="18">
        <f>IF($A620&gt;'1-Input'!$B$26,E620,E620-MIN(MAX(E620,0),'P-Parametri'!$B$8*(E620+D620)))</f>
        <v>338099.24797092931</v>
      </c>
      <c r="H620" s="18">
        <f>IF($A620&gt;'1-Input'!$B$26,H619,H619-C620*(1-B620))</f>
        <v>250985.42891973842</v>
      </c>
      <c r="I620" s="11">
        <f>IF($A620&gt;'1-Input'!$B$26,0,IF(N619&lt;=0,0,MAX(0,(N619-O619)/N619)))</f>
        <v>0.23712596487674967</v>
      </c>
      <c r="J620" s="18">
        <f>IF($A620&gt;'1-Input'!$B$26,0,(MAX(0,I616-IF($A620&gt;='1-Input'!$C$12,'1-Input'!$B$12,0))-MIN(MAX(M619,0),MAX(0,I616-IF($A620&gt;='1-Input'!$C$12,'1-Input'!$B$12,0))))*(1/(1-'P-Parametri'!$B$6*I620))+MIN(MAX(0,N619-(MAX(0,I616-IF($A620&gt;='1-Input'!$C$12,'1-Input'!$B$12,0))-MIN(MAX(M619,0),MAX(0,I616-IF($A620&gt;='1-Input'!$C$12,'1-Input'!$B$12,0))))*(1/(1-'P-Parametri'!$B$6*I620))),MAX(0,5*I616-(M619-MIN(MAX(M619,0),MAX(0,I616-IF($A620&gt;='1-Input'!$C$12,'1-Input'!$B$12,0)))))*(1/(1-'P-Parametri'!$B$6*I620))))</f>
        <v>23811.904004055094</v>
      </c>
      <c r="K620" s="18">
        <f>IF($A620&gt;'1-Input'!$B$26,M619,(M619-MAX(0,I616-IF($A620&gt;='1-Input'!$C$12,'1-Input'!$B$12,0))+J620*(1-'P-Parametri'!$B$6*I620))*(1+'1-Input'!$B$27))</f>
        <v>109348.70733877072</v>
      </c>
      <c r="L620" s="18">
        <f>IF($A620&gt;'1-Input'!$B$26,N619,(N619-J620)*(1+$C$4))</f>
        <v>299207.42807800032</v>
      </c>
      <c r="M620" s="18">
        <f>IF($A620&gt;'1-Input'!$B$26,K620,K620-'P-Parametri'!$B$8*(L620+K620)+MIN(MAX(L620,0),'P-Parametri'!$B$8*(L620+K620)))</f>
        <v>109348.70733877072</v>
      </c>
      <c r="N620" s="18">
        <f>IF($A620&gt;'1-Input'!$B$26,L620,L620-MIN(MAX(L620,0),'P-Parametri'!$B$8*(L620+K620)))</f>
        <v>298390.3158071668</v>
      </c>
      <c r="O620" s="18">
        <f>IF($A620&gt;'1-Input'!$B$26,O619,O619-J620*(1-I620))</f>
        <v>221609.29902593573</v>
      </c>
      <c r="P620" s="11">
        <f>IF($A620&gt;'1-Input'!$B$26,0,IF(U619&lt;=0,0,MAX(0,(U619-V619)/U619)))</f>
        <v>0.23728650034748908</v>
      </c>
      <c r="Q620" s="18">
        <f>IF($A620&gt;'1-Input'!$B$26,0,(MAX(0,P616-IF($A620&gt;='1-Input'!$C$12,'1-Input'!$B$12,0))-MIN(MAX(T619,0),MAX(0,P616-IF($A620&gt;='1-Input'!$C$12,'1-Input'!$B$12,0))))*(1/(1-'P-Parametri'!$B$6*P620))+MIN(MAX(0,U619-(MAX(0,P616-IF($A620&gt;='1-Input'!$C$12,'1-Input'!$B$12,0))-MIN(MAX(T619,0),MAX(0,P616-IF($A620&gt;='1-Input'!$C$12,'1-Input'!$B$12,0))))*(1/(1-'P-Parametri'!$B$6*P620))),MAX(0,5*P616-(T619-MIN(MAX(T619,0),MAX(0,P616-IF($A620&gt;='1-Input'!$C$12,'1-Input'!$B$12,0)))))*(1/(1-'P-Parametri'!$B$6*P620))))</f>
        <v>18285.552641532002</v>
      </c>
      <c r="R620" s="18">
        <f>IF($A620&gt;'1-Input'!$B$26,T619,(T619-MAX(0,P616-IF($A620&gt;='1-Input'!$C$12,'1-Input'!$B$12,0))+Q620*(1-'P-Parametri'!$B$6*P620))*(1+'1-Input'!$B$27))</f>
        <v>83966.9353144864</v>
      </c>
      <c r="S620" s="18">
        <f>IF($A620&gt;'1-Input'!$B$26,U619,(U619-Q620)*(1+$C$4))</f>
        <v>337638.29251135694</v>
      </c>
      <c r="T620" s="18">
        <f>IF($A620&gt;'1-Input'!$B$26,R620,R620-'P-Parametri'!$B$8*(S620+R620)+MIN(MAX(S620,0),'P-Parametri'!$B$8*(S620+R620)))</f>
        <v>83966.9353144864</v>
      </c>
      <c r="U620" s="18">
        <f>IF($A620&gt;'1-Input'!$B$26,S620,S620-MIN(MAX(S620,0),'P-Parametri'!$B$8*(S620+R620)))</f>
        <v>336795.08205570525</v>
      </c>
      <c r="V620" s="18">
        <f>IF($A620&gt;'1-Input'!$B$26,V619,V619-Q620*(1-P620))</f>
        <v>250020.66378450018</v>
      </c>
      <c r="W620" s="11">
        <f>IF($A620&gt;'1-Input'!$B$26,0,IF(AB619&lt;=0,0,MAX(0,(AB619-AC619)/AB619)))</f>
        <v>0.23728567059366837</v>
      </c>
      <c r="X620" s="18">
        <f>IF($A620&gt;'1-Input'!$B$26,0,(MAX(0,W616-IF($A620&gt;='1-Input'!$C$12,'1-Input'!$B$12,0))-MIN(MAX(AA619,0),MAX(0,W616-IF($A620&gt;='1-Input'!$C$12,'1-Input'!$B$12,0))))*(1/(1-'P-Parametri'!$B$6*W620))+MIN(MAX(0,AB619-(MAX(0,W616-IF($A620&gt;='1-Input'!$C$12,'1-Input'!$B$12,0))-MIN(MAX(AA619,0),MAX(0,W616-IF($A620&gt;='1-Input'!$C$12,'1-Input'!$B$12,0))))*(1/(1-'P-Parametri'!$B$6*W620))),MAX(0,5*W616-(AA619-MIN(MAX(AA619,0),MAX(0,W616-IF($A620&gt;='1-Input'!$C$12,'1-Input'!$B$12,0)))))*(1/(1-'P-Parametri'!$B$6*W620))))</f>
        <v>18316.990495272148</v>
      </c>
      <c r="Y620" s="18">
        <f>IF($A620&gt;'1-Input'!$B$26,AA619,(AA619-MAX(0,W616-IF($A620&gt;='1-Input'!$C$12,'1-Input'!$B$12,0))+X620*(1-'P-Parametri'!$B$6*W620))*(1+'1-Input'!$B$27))</f>
        <v>84111.316723481417</v>
      </c>
      <c r="Z620" s="18">
        <f>IF($A620&gt;'1-Input'!$B$26,AB619,(AB619-X620)*(1+$C$4))</f>
        <v>337419.68091198063</v>
      </c>
      <c r="AA620" s="18">
        <f>IF($A620&gt;'1-Input'!$B$26,Y620,Y620-'P-Parametri'!$B$8*(Z620+Y620)+MIN(MAX(Z620,0),'P-Parametri'!$B$8*(Z620+Y620)))</f>
        <v>84111.316723481417</v>
      </c>
      <c r="AB620" s="18">
        <f>IF($A620&gt;'1-Input'!$B$26,Z620,Z620-MIN(MAX(Z620,0),'P-Parametri'!$B$8*(Z620+Y620)))</f>
        <v>336576.61891670967</v>
      </c>
      <c r="AC620" s="18">
        <f>IF($A620&gt;'1-Input'!$B$26,AC619,AC619-X620*(1-W620))</f>
        <v>249859.05403425213</v>
      </c>
      <c r="AD620" s="11">
        <f>IF($A620&gt;'1-Input'!$B$26,0,IF(AI619&lt;=0,0,MAX(0,(AI619-AJ619)/AI619)))</f>
        <v>0.23728547444529199</v>
      </c>
      <c r="AE620" s="18">
        <f>IF($A620&gt;'1-Input'!$B$26,0,(MAX(0,AD616-IF($A620&gt;='1-Input'!$C$12,'1-Input'!$B$12,0))-MIN(MAX(AH619,0),MAX(0,AD616-IF($A620&gt;='1-Input'!$C$12,'1-Input'!$B$12,0))))*(1/(1-'P-Parametri'!$B$6*AD620))+MIN(MAX(0,AI619-(MAX(0,AD616-IF($A620&gt;='1-Input'!$C$12,'1-Input'!$B$12,0))-MIN(MAX(AH619,0),MAX(0,AD616-IF($A620&gt;='1-Input'!$C$12,'1-Input'!$B$12,0))))*(1/(1-'P-Parametri'!$B$6*AD620))),MAX(0,5*AD616-(AH619-MIN(MAX(AH619,0),MAX(0,AD616-IF($A620&gt;='1-Input'!$C$12,'1-Input'!$B$12,0)))))*(1/(1-'P-Parametri'!$B$6*AD620))))</f>
        <v>18324.41739580435</v>
      </c>
      <c r="AF620" s="18">
        <f>IF($A620&gt;'1-Input'!$B$26,AH619,(AH619-MAX(0,AD616-IF($A620&gt;='1-Input'!$C$12,'1-Input'!$B$12,0))+AE620*(1-'P-Parametri'!$B$6*AD620))*(1+'1-Input'!$B$27))</f>
        <v>84145.425501066202</v>
      </c>
      <c r="AG620" s="18">
        <f>IF($A620&gt;'1-Input'!$B$26,AI619,(AI619-AE620)*(1+$C$4))</f>
        <v>337368.03593869146</v>
      </c>
      <c r="AH620" s="18">
        <f>IF($A620&gt;'1-Input'!$B$26,AF620,AF620-'P-Parametri'!$B$8*(AG620+AF620)+MIN(MAX(AG620,0),'P-Parametri'!$B$8*(AG620+AF620)))</f>
        <v>84145.425501066202</v>
      </c>
      <c r="AI620" s="18">
        <f>IF($A620&gt;'1-Input'!$B$26,AG620,AG620-MIN(MAX(AG620,0),'P-Parametri'!$B$8*(AG620+AF620)))</f>
        <v>336525.00901581196</v>
      </c>
      <c r="AJ620" s="18">
        <f>IF($A620&gt;'1-Input'!$B$26,AJ619,AJ619-AE620*(1-AD620))</f>
        <v>249820.87521194443</v>
      </c>
      <c r="AK620" s="11">
        <f>IF($A620&gt;'1-Input'!$B$26,0,IF(AP619&lt;=0,0,MAX(0,(AP619-AQ619)/AP619)))</f>
        <v>0.23728548919153039</v>
      </c>
      <c r="AL620" s="18">
        <f>IF($A620&gt;'1-Input'!$B$26,0,(MAX(0,AK616-IF($A620&gt;='1-Input'!$C$12,'1-Input'!$B$12,0))-MIN(MAX(AO619,0),MAX(0,AK616-IF($A620&gt;='1-Input'!$C$12,'1-Input'!$B$12,0))))*(1/(1-'P-Parametri'!$B$6*AK620))+MIN(MAX(0,AP619-(MAX(0,AK616-IF($A620&gt;='1-Input'!$C$12,'1-Input'!$B$12,0))-MIN(MAX(AO619,0),MAX(0,AK616-IF($A620&gt;='1-Input'!$C$12,'1-Input'!$B$12,0))))*(1/(1-'P-Parametri'!$B$6*AK620))),MAX(0,5*AK616-(AO619-MIN(MAX(AO619,0),MAX(0,AK616-IF($A620&gt;='1-Input'!$C$12,'1-Input'!$B$12,0)))))*(1/(1-'P-Parametri'!$B$6*AK620))))</f>
        <v>18323.859112652008</v>
      </c>
      <c r="AM620" s="18">
        <f>IF($A620&gt;'1-Input'!$B$26,AO619,(AO619-MAX(0,AK616-IF($A620&gt;='1-Input'!$C$12,'1-Input'!$B$12,0))+AL620*(1-'P-Parametri'!$B$6*AK620))*(1+'1-Input'!$B$27))</f>
        <v>84142.861530128604</v>
      </c>
      <c r="AN620" s="18">
        <f>IF($A620&gt;'1-Input'!$B$26,AP619,(AP619-AL620)*(1+$C$4))</f>
        <v>337371.91811268526</v>
      </c>
      <c r="AO620" s="18">
        <f>IF($A620&gt;'1-Input'!$B$26,AM620,AM620-'P-Parametri'!$B$8*(AN620+AM620)+MIN(MAX(AN620,0),'P-Parametri'!$B$8*(AN620+AM620)))</f>
        <v>84142.861530128604</v>
      </c>
      <c r="AP620" s="18">
        <f>IF($A620&gt;'1-Input'!$B$26,AN620,AN620-MIN(MAX(AN620,0),'P-Parametri'!$B$8*(AN620+AM620)))</f>
        <v>336528.88855339965</v>
      </c>
      <c r="AQ620" s="18">
        <f>IF($A620&gt;'1-Input'!$B$26,AQ619,AQ619-AL620*(1-AK620))</f>
        <v>249823.74512993378</v>
      </c>
    </row>
    <row r="621" spans="1:43">
      <c r="A621" s="10">
        <f>3</f>
        <v>3</v>
      </c>
      <c r="B621" s="11">
        <f>IF($A621&gt;'1-Input'!$B$26,0,IF(G620&lt;=0,0,MAX(0,(G620-H620)/G620)))</f>
        <v>0.25765753569106187</v>
      </c>
      <c r="C621" s="18">
        <f>IF($A621&gt;'1-Input'!$B$26,0,(MAX(0,B616-IF($A621&gt;='1-Input'!$C$12,'1-Input'!$B$12,0))-MIN(MAX(F620,0),MAX(0,B616-IF($A621&gt;='1-Input'!$C$12,'1-Input'!$B$12,0))))*(1/(1-'P-Parametri'!$B$6*B621))+MIN(MAX(0,G620-(MAX(0,B616-IF($A621&gt;='1-Input'!$C$12,'1-Input'!$B$12,0))-MIN(MAX(F620,0),MAX(0,B616-IF($A621&gt;='1-Input'!$C$12,'1-Input'!$B$12,0))))*(1/(1-'P-Parametri'!$B$6*B621))),MAX(0,5*B616-(F620-MIN(MAX(F620,0),MAX(0,B616-IF($A621&gt;='1-Input'!$C$12,'1-Input'!$B$12,0)))))*(1/(1-'P-Parametri'!$B$6*B621))))</f>
        <v>18200.589243142549</v>
      </c>
      <c r="D621" s="18">
        <f>IF($A621&gt;'1-Input'!$B$26,F620,(F620-MAX(0,B616-IF($A621&gt;='1-Input'!$C$12,'1-Input'!$B$12,0))+C621*(1-'P-Parametri'!$B$6*B621))*(1+'1-Input'!$B$27))</f>
        <v>83105.01757746574</v>
      </c>
      <c r="E621" s="18">
        <f>IF($A621&gt;'1-Input'!$B$26,G620,(G620-C621)*(1+$C$4))</f>
        <v>329495.61848962033</v>
      </c>
      <c r="F621" s="18">
        <f>IF($A621&gt;'1-Input'!$B$26,D621,D621-'P-Parametri'!$B$8*(E621+D621)+MIN(MAX(E621,0),'P-Parametri'!$B$8*(E621+D621)))</f>
        <v>83105.01757746574</v>
      </c>
      <c r="G621" s="18">
        <f>IF($A621&gt;'1-Input'!$B$26,E621,E621-MIN(MAX(E621,0),'P-Parametri'!$B$8*(E621+D621)))</f>
        <v>328670.41721748619</v>
      </c>
      <c r="H621" s="18">
        <f>IF($A621&gt;'1-Input'!$B$26,H620,H620-C621*(1-B621))</f>
        <v>237474.35864910923</v>
      </c>
      <c r="I621" s="11">
        <f>IF($A621&gt;'1-Input'!$B$26,0,IF(N620&lt;=0,0,MAX(0,(N620-O620)/N620)))</f>
        <v>0.25731738837948887</v>
      </c>
      <c r="J621" s="18">
        <f>IF($A621&gt;'1-Input'!$B$26,0,(MAX(0,I616-IF($A621&gt;='1-Input'!$C$12,'1-Input'!$B$12,0))-MIN(MAX(M620,0),MAX(0,I616-IF($A621&gt;='1-Input'!$C$12,'1-Input'!$B$12,0))))*(1/(1-'P-Parametri'!$B$6*I621))+MIN(MAX(0,N620-(MAX(0,I616-IF($A621&gt;='1-Input'!$C$12,'1-Input'!$B$12,0))-MIN(MAX(M620,0),MAX(0,I616-IF($A621&gt;='1-Input'!$C$12,'1-Input'!$B$12,0))))*(1/(1-'P-Parametri'!$B$6*I621))),MAX(0,5*I616-(M620-MIN(MAX(M620,0),MAX(0,I616-IF($A621&gt;='1-Input'!$C$12,'1-Input'!$B$12,0)))))*(1/(1-'P-Parametri'!$B$6*I621))))</f>
        <v>23945.873953315644</v>
      </c>
      <c r="K621" s="18">
        <f>IF($A621&gt;'1-Input'!$B$26,M620,(M620-MAX(0,I616-IF($A621&gt;='1-Input'!$C$12,'1-Input'!$B$12,0))+J621*(1-'P-Parametri'!$B$6*I621))*(1+'1-Input'!$B$27))</f>
        <v>109348.70733877072</v>
      </c>
      <c r="L621" s="18">
        <f>IF($A621&gt;'1-Input'!$B$26,N620,(N620-J621)*(1+$C$4))</f>
        <v>282677.77510946669</v>
      </c>
      <c r="M621" s="18">
        <f>IF($A621&gt;'1-Input'!$B$26,K621,K621-'P-Parametri'!$B$8*(L621+K621)+MIN(MAX(L621,0),'P-Parametri'!$B$8*(L621+K621)))</f>
        <v>109348.70733877072</v>
      </c>
      <c r="N621" s="18">
        <f>IF($A621&gt;'1-Input'!$B$26,L621,L621-MIN(MAX(L621,0),'P-Parametri'!$B$8*(L621+K621)))</f>
        <v>281893.7221445702</v>
      </c>
      <c r="O621" s="18">
        <f>IF($A621&gt;'1-Input'!$B$26,O620,O620-J621*(1-I621))</f>
        <v>203825.11482075171</v>
      </c>
      <c r="P621" s="11">
        <f>IF($A621&gt;'1-Input'!$B$26,0,IF(U620&lt;=0,0,MAX(0,(U620-V620)/U620)))</f>
        <v>0.25764752187460016</v>
      </c>
      <c r="Q621" s="18">
        <f>IF($A621&gt;'1-Input'!$B$26,0,(MAX(0,P616-IF($A621&gt;='1-Input'!$C$12,'1-Input'!$B$12,0))-MIN(MAX(T620,0),MAX(0,P616-IF($A621&gt;='1-Input'!$C$12,'1-Input'!$B$12,0))))*(1/(1-'P-Parametri'!$B$6*P621))+MIN(MAX(0,U620-(MAX(0,P616-IF($A621&gt;='1-Input'!$C$12,'1-Input'!$B$12,0))-MIN(MAX(T620,0),MAX(0,P616-IF($A621&gt;='1-Input'!$C$12,'1-Input'!$B$12,0))))*(1/(1-'P-Parametri'!$B$6*P621))),MAX(0,5*P616-(T620-MIN(MAX(T620,0),MAX(0,P616-IF($A621&gt;='1-Input'!$C$12,'1-Input'!$B$12,0)))))*(1/(1-'P-Parametri'!$B$6*P621))))</f>
        <v>18389.304034820725</v>
      </c>
      <c r="R621" s="18">
        <f>IF($A621&gt;'1-Input'!$B$26,T620,(T620-MAX(0,P616-IF($A621&gt;='1-Input'!$C$12,'1-Input'!$B$12,0))+Q621*(1-'P-Parametri'!$B$6*P621))*(1+'1-Input'!$B$27))</f>
        <v>83966.9353144864</v>
      </c>
      <c r="S621" s="18">
        <f>IF($A621&gt;'1-Input'!$B$26,U620,(U620-Q621)*(1+$C$4))</f>
        <v>327957.95136151108</v>
      </c>
      <c r="T621" s="18">
        <f>IF($A621&gt;'1-Input'!$B$26,R621,R621-'P-Parametri'!$B$8*(S621+R621)+MIN(MAX(S621,0),'P-Parametri'!$B$8*(S621+R621)))</f>
        <v>83966.9353144864</v>
      </c>
      <c r="U621" s="18">
        <f>IF($A621&gt;'1-Input'!$B$26,S621,S621-MIN(MAX(S621,0),'P-Parametri'!$B$8*(S621+R621)))</f>
        <v>327134.1015881591</v>
      </c>
      <c r="V621" s="18">
        <f>IF($A621&gt;'1-Input'!$B$26,V620,V620-Q621*(1-P621))</f>
        <v>236369.31836324959</v>
      </c>
      <c r="W621" s="11">
        <f>IF($A621&gt;'1-Input'!$B$26,0,IF(AB620&lt;=0,0,MAX(0,(AB620-AC620)/AB620)))</f>
        <v>0.25764583755568876</v>
      </c>
      <c r="X621" s="18">
        <f>IF($A621&gt;'1-Input'!$B$26,0,(MAX(0,W616-IF($A621&gt;='1-Input'!$C$12,'1-Input'!$B$12,0))-MIN(MAX(AA620,0),MAX(0,W616-IF($A621&gt;='1-Input'!$C$12,'1-Input'!$B$12,0))))*(1/(1-'P-Parametri'!$B$6*W621))+MIN(MAX(0,AB620-(MAX(0,W616-IF($A621&gt;='1-Input'!$C$12,'1-Input'!$B$12,0))-MIN(MAX(AA620,0),MAX(0,W616-IF($A621&gt;='1-Input'!$C$12,'1-Input'!$B$12,0))))*(1/(1-'P-Parametri'!$B$6*W621))),MAX(0,5*W616-(AA620-MIN(MAX(AA620,0),MAX(0,W616-IF($A621&gt;='1-Input'!$C$12,'1-Input'!$B$12,0)))))*(1/(1-'P-Parametri'!$B$6*W621))))</f>
        <v>18420.915854734052</v>
      </c>
      <c r="Y621" s="18">
        <f>IF($A621&gt;'1-Input'!$B$26,AA620,(AA620-MAX(0,W616-IF($A621&gt;='1-Input'!$C$12,'1-Input'!$B$12,0))+X621*(1-'P-Parametri'!$B$6*W621))*(1+'1-Input'!$B$27))</f>
        <v>84111.316723481417</v>
      </c>
      <c r="Z621" s="18">
        <f>IF($A621&gt;'1-Input'!$B$26,AB620,(AB620-X621)*(1+$C$4))</f>
        <v>327700.37415383488</v>
      </c>
      <c r="AA621" s="18">
        <f>IF($A621&gt;'1-Input'!$B$26,Y621,Y621-'P-Parametri'!$B$8*(Z621+Y621)+MIN(MAX(Z621,0),'P-Parametri'!$B$8*(Z621+Y621)))</f>
        <v>84111.316723481417</v>
      </c>
      <c r="AB621" s="18">
        <f>IF($A621&gt;'1-Input'!$B$26,Z621,Z621-MIN(MAX(Z621,0),'P-Parametri'!$B$8*(Z621+Y621)))</f>
        <v>326876.75077208027</v>
      </c>
      <c r="AC621" s="18">
        <f>IF($A621&gt;'1-Input'!$B$26,AC620,AC620-X621*(1-W621))</f>
        <v>236184.21047345389</v>
      </c>
      <c r="AD621" s="11">
        <f>IF($A621&gt;'1-Input'!$B$26,0,IF(AI620&lt;=0,0,MAX(0,(AI620-AJ620)/AI620)))</f>
        <v>0.25764543936107182</v>
      </c>
      <c r="AE621" s="18">
        <f>IF($A621&gt;'1-Input'!$B$26,0,(MAX(0,AD616-IF($A621&gt;='1-Input'!$C$12,'1-Input'!$B$12,0))-MIN(MAX(AH620,0),MAX(0,AD616-IF($A621&gt;='1-Input'!$C$12,'1-Input'!$B$12,0))))*(1/(1-'P-Parametri'!$B$6*AD621))+MIN(MAX(0,AI620-(MAX(0,AD616-IF($A621&gt;='1-Input'!$C$12,'1-Input'!$B$12,0))-MIN(MAX(AH620,0),MAX(0,AD616-IF($A621&gt;='1-Input'!$C$12,'1-Input'!$B$12,0))))*(1/(1-'P-Parametri'!$B$6*AD621))),MAX(0,5*AD616-(AH620-MIN(MAX(AH620,0),MAX(0,AD616-IF($A621&gt;='1-Input'!$C$12,'1-Input'!$B$12,0)))))*(1/(1-'P-Parametri'!$B$6*AD621))))</f>
        <v>18428.383850104539</v>
      </c>
      <c r="AF621" s="18">
        <f>IF($A621&gt;'1-Input'!$B$26,AH620,(AH620-MAX(0,AD616-IF($A621&gt;='1-Input'!$C$12,'1-Input'!$B$12,0))+AE621*(1-'P-Parametri'!$B$6*AD621))*(1+'1-Input'!$B$27))</f>
        <v>84145.425501066202</v>
      </c>
      <c r="AG621" s="18">
        <f>IF($A621&gt;'1-Input'!$B$26,AI620,(AI620-AE621)*(1+$C$4))</f>
        <v>327639.52392067865</v>
      </c>
      <c r="AH621" s="18">
        <f>IF($A621&gt;'1-Input'!$B$26,AF621,AF621-'P-Parametri'!$B$8*(AG621+AF621)+MIN(MAX(AG621,0),'P-Parametri'!$B$8*(AG621+AF621)))</f>
        <v>84145.425501066202</v>
      </c>
      <c r="AI621" s="18">
        <f>IF($A621&gt;'1-Input'!$B$26,AG621,AG621-MIN(MAX(AG621,0),'P-Parametri'!$B$8*(AG621+AF621)))</f>
        <v>326815.95402183518</v>
      </c>
      <c r="AJ621" s="18">
        <f>IF($A621&gt;'1-Input'!$B$26,AJ620,AJ620-AE621*(1-AD621))</f>
        <v>236140.48041561455</v>
      </c>
      <c r="AK621" s="11">
        <f>IF($A621&gt;'1-Input'!$B$26,0,IF(AP620&lt;=0,0,MAX(0,(AP620-AQ620)/AP620)))</f>
        <v>0.25764546929737858</v>
      </c>
      <c r="AL621" s="18">
        <f>IF($A621&gt;'1-Input'!$B$26,0,(MAX(0,AK616-IF($A621&gt;='1-Input'!$C$12,'1-Input'!$B$12,0))-MIN(MAX(AO620,0),MAX(0,AK616-IF($A621&gt;='1-Input'!$C$12,'1-Input'!$B$12,0))))*(1/(1-'P-Parametri'!$B$6*AK621))+MIN(MAX(0,AP620-(MAX(0,AK616-IF($A621&gt;='1-Input'!$C$12,'1-Input'!$B$12,0))-MIN(MAX(AO620,0),MAX(0,AK616-IF($A621&gt;='1-Input'!$C$12,'1-Input'!$B$12,0))))*(1/(1-'P-Parametri'!$B$6*AK621))),MAX(0,5*AK616-(AO620-MIN(MAX(AO620,0),MAX(0,AK616-IF($A621&gt;='1-Input'!$C$12,'1-Input'!$B$12,0)))))*(1/(1-'P-Parametri'!$B$6*AK621))))</f>
        <v>18427.822477876969</v>
      </c>
      <c r="AM621" s="18">
        <f>IF($A621&gt;'1-Input'!$B$26,AO620,(AO620-MAX(0,AK616-IF($A621&gt;='1-Input'!$C$12,'1-Input'!$B$12,0))+AL621*(1-'P-Parametri'!$B$6*AK621))*(1+'1-Input'!$B$27))</f>
        <v>84142.861530128604</v>
      </c>
      <c r="AN621" s="18">
        <f>IF($A621&gt;'1-Input'!$B$26,AP620,(AP620-AL621)*(1+$C$4))</f>
        <v>327644.09805778839</v>
      </c>
      <c r="AO621" s="18">
        <f>IF($A621&gt;'1-Input'!$B$26,AM621,AM621-'P-Parametri'!$B$8*(AN621+AM621)+MIN(MAX(AN621,0),'P-Parametri'!$B$8*(AN621+AM621)))</f>
        <v>84142.861530128604</v>
      </c>
      <c r="AP621" s="18">
        <f>IF($A621&gt;'1-Input'!$B$26,AN621,AN621-MIN(MAX(AN621,0),'P-Parametri'!$B$8*(AN621+AM621)))</f>
        <v>326820.52413861256</v>
      </c>
      <c r="AQ621" s="18">
        <f>IF($A621&gt;'1-Input'!$B$26,AQ620,AQ620-AL621*(1-AK621))</f>
        <v>236143.76762249821</v>
      </c>
    </row>
    <row r="622" spans="1:43">
      <c r="A622" s="10">
        <f>4</f>
        <v>4</v>
      </c>
      <c r="B622" s="11">
        <f>IF($A622&gt;'1-Input'!$B$26,0,IF(G621&lt;=0,0,MAX(0,(G621-H621)/G621)))</f>
        <v>0.27746962851247775</v>
      </c>
      <c r="C622" s="18">
        <f>IF($A622&gt;'1-Input'!$B$26,0,(MAX(0,B616-IF($A622&gt;='1-Input'!$C$12,'1-Input'!$B$12,0))-MIN(MAX(F621,0),MAX(0,B616-IF($A622&gt;='1-Input'!$C$12,'1-Input'!$B$12,0))))*(1/(1-'P-Parametri'!$B$6*B622))+MIN(MAX(0,G621-(MAX(0,B616-IF($A622&gt;='1-Input'!$C$12,'1-Input'!$B$12,0))-MIN(MAX(F621,0),MAX(0,B616-IF($A622&gt;='1-Input'!$C$12,'1-Input'!$B$12,0))))*(1/(1-'P-Parametri'!$B$6*B622))),MAX(0,5*B616-(F621-MIN(MAX(F621,0),MAX(0,B616-IF($A622&gt;='1-Input'!$C$12,'1-Input'!$B$12,0)))))*(1/(1-'P-Parametri'!$B$6*B622))))</f>
        <v>18301.632580546026</v>
      </c>
      <c r="D622" s="18">
        <f>IF($A622&gt;'1-Input'!$B$26,F621,(F621-MAX(0,B616-IF($A622&gt;='1-Input'!$C$12,'1-Input'!$B$12,0))+C622*(1-'P-Parametri'!$B$6*B622))*(1+'1-Input'!$B$27))</f>
        <v>83105.01757746574</v>
      </c>
      <c r="E622" s="18">
        <f>IF($A622&gt;'1-Input'!$B$26,G621,(G621-C622)*(1+$C$4))</f>
        <v>319679.84817604837</v>
      </c>
      <c r="F622" s="18">
        <f>IF($A622&gt;'1-Input'!$B$26,D622,D622-'P-Parametri'!$B$8*(E622+D622)+MIN(MAX(E622,0),'P-Parametri'!$B$8*(E622+D622)))</f>
        <v>83105.01757746574</v>
      </c>
      <c r="G622" s="18">
        <f>IF($A622&gt;'1-Input'!$B$26,E622,E622-MIN(MAX(E622,0),'P-Parametri'!$B$8*(E622+D622)))</f>
        <v>318874.27844454133</v>
      </c>
      <c r="H622" s="18">
        <f>IF($A622&gt;'1-Input'!$B$26,H621,H621-C622*(1-B622))</f>
        <v>224250.87326185917</v>
      </c>
      <c r="I622" s="11">
        <f>IF($A622&gt;'1-Input'!$B$26,0,IF(N621&lt;=0,0,MAX(0,(N621-O621)/N621)))</f>
        <v>0.27694340523050287</v>
      </c>
      <c r="J622" s="18">
        <f>IF($A622&gt;'1-Input'!$B$26,0,(MAX(0,I616-IF($A622&gt;='1-Input'!$C$12,'1-Input'!$B$12,0))-MIN(MAX(M621,0),MAX(0,I616-IF($A622&gt;='1-Input'!$C$12,'1-Input'!$B$12,0))))*(1/(1-'P-Parametri'!$B$6*I622))+MIN(MAX(0,N621-(MAX(0,I616-IF($A622&gt;='1-Input'!$C$12,'1-Input'!$B$12,0))-MIN(MAX(M621,0),MAX(0,I616-IF($A622&gt;='1-Input'!$C$12,'1-Input'!$B$12,0))))*(1/(1-'P-Parametri'!$B$6*I622))),MAX(0,5*I616-(M621-MIN(MAX(M621,0),MAX(0,I616-IF($A622&gt;='1-Input'!$C$12,'1-Input'!$B$12,0)))))*(1/(1-'P-Parametri'!$B$6*I622))))</f>
        <v>24077.545126394041</v>
      </c>
      <c r="K622" s="18">
        <f>IF($A622&gt;'1-Input'!$B$26,M621,(M621-MAX(0,I616-IF($A622&gt;='1-Input'!$C$12,'1-Input'!$B$12,0))+J622*(1-'P-Parametri'!$B$6*I622))*(1+'1-Input'!$B$27))</f>
        <v>109348.70733877072</v>
      </c>
      <c r="L622" s="18">
        <f>IF($A622&gt;'1-Input'!$B$26,N621,(N621-J622)*(1+$C$4))</f>
        <v>265550.66232872143</v>
      </c>
      <c r="M622" s="18">
        <f>IF($A622&gt;'1-Input'!$B$26,K622,K622-'P-Parametri'!$B$8*(L622+K622)+MIN(MAX(L622,0),'P-Parametri'!$B$8*(L622+K622)))</f>
        <v>109348.70733877072</v>
      </c>
      <c r="N622" s="18">
        <f>IF($A622&gt;'1-Input'!$B$26,L622,L622-MIN(MAX(L622,0),'P-Parametri'!$B$8*(L622+K622)))</f>
        <v>264800.86358938646</v>
      </c>
      <c r="O622" s="18">
        <f>IF($A622&gt;'1-Input'!$B$26,O621,O621-J622*(1-I622))</f>
        <v>186415.68703125234</v>
      </c>
      <c r="P622" s="11">
        <f>IF($A622&gt;'1-Input'!$B$26,0,IF(U621&lt;=0,0,MAX(0,(U621-V621)/U621)))</f>
        <v>0.27745436132848222</v>
      </c>
      <c r="Q622" s="18">
        <f>IF($A622&gt;'1-Input'!$B$26,0,(MAX(0,P616-IF($A622&gt;='1-Input'!$C$12,'1-Input'!$B$12,0))-MIN(MAX(T621,0),MAX(0,P616-IF($A622&gt;='1-Input'!$C$12,'1-Input'!$B$12,0))))*(1/(1-'P-Parametri'!$B$6*P622))+MIN(MAX(0,U621-(MAX(0,P616-IF($A622&gt;='1-Input'!$C$12,'1-Input'!$B$12,0))-MIN(MAX(T621,0),MAX(0,P616-IF($A622&gt;='1-Input'!$C$12,'1-Input'!$B$12,0))))*(1/(1-'P-Parametri'!$B$6*P622))),MAX(0,5*P616-(T621-MIN(MAX(T621,0),MAX(0,P616-IF($A622&gt;='1-Input'!$C$12,'1-Input'!$B$12,0)))))*(1/(1-'P-Parametri'!$B$6*P622))))</f>
        <v>18491.36754401647</v>
      </c>
      <c r="R622" s="18">
        <f>IF($A622&gt;'1-Input'!$B$26,T621,(T621-MAX(0,P616-IF($A622&gt;='1-Input'!$C$12,'1-Input'!$B$12,0))+Q622*(1-'P-Parametri'!$B$6*P622))*(1+'1-Input'!$B$27))</f>
        <v>83966.9353144864</v>
      </c>
      <c r="S622" s="18">
        <f>IF($A622&gt;'1-Input'!$B$26,U621,(U621-Q622)*(1+$C$4))</f>
        <v>317902.01606546692</v>
      </c>
      <c r="T622" s="18">
        <f>IF($A622&gt;'1-Input'!$B$26,R622,R622-'P-Parametri'!$B$8*(S622+R622)+MIN(MAX(S622,0),'P-Parametri'!$B$8*(S622+R622)))</f>
        <v>83966.9353144864</v>
      </c>
      <c r="U622" s="18">
        <f>IF($A622&gt;'1-Input'!$B$26,S622,S622-MIN(MAX(S622,0),'P-Parametri'!$B$8*(S622+R622)))</f>
        <v>317098.27816270699</v>
      </c>
      <c r="V622" s="18">
        <f>IF($A622&gt;'1-Input'!$B$26,V621,V621-Q622*(1-P622))</f>
        <v>223008.46139124845</v>
      </c>
      <c r="W622" s="11">
        <f>IF($A622&gt;'1-Input'!$B$26,0,IF(AB621&lt;=0,0,MAX(0,(AB621-AC621)/AB621)))</f>
        <v>0.27745179210332738</v>
      </c>
      <c r="X622" s="18">
        <f>IF($A622&gt;'1-Input'!$B$26,0,(MAX(0,W616-IF($A622&gt;='1-Input'!$C$12,'1-Input'!$B$12,0))-MIN(MAX(AA621,0),MAX(0,W616-IF($A622&gt;='1-Input'!$C$12,'1-Input'!$B$12,0))))*(1/(1-'P-Parametri'!$B$6*W622))+MIN(MAX(0,AB621-(MAX(0,W616-IF($A622&gt;='1-Input'!$C$12,'1-Input'!$B$12,0))-MIN(MAX(AA621,0),MAX(0,W616-IF($A622&gt;='1-Input'!$C$12,'1-Input'!$B$12,0))))*(1/(1-'P-Parametri'!$B$6*W622))),MAX(0,5*W616-(AA621-MIN(MAX(AA621,0),MAX(0,W616-IF($A622&gt;='1-Input'!$C$12,'1-Input'!$B$12,0)))))*(1/(1-'P-Parametri'!$B$6*W622))))</f>
        <v>18523.150173155405</v>
      </c>
      <c r="Y622" s="18">
        <f>IF($A622&gt;'1-Input'!$B$26,AA621,(AA621-MAX(0,W616-IF($A622&gt;='1-Input'!$C$12,'1-Input'!$B$12,0))+X622*(1-'P-Parametri'!$B$6*W622))*(1+'1-Input'!$B$27))</f>
        <v>84111.316723481417</v>
      </c>
      <c r="Z622" s="18">
        <f>IF($A622&gt;'1-Input'!$B$26,AB621,(AB621-X622)*(1+$C$4))</f>
        <v>317604.20861689263</v>
      </c>
      <c r="AA622" s="18">
        <f>IF($A622&gt;'1-Input'!$B$26,Y622,Y622-'P-Parametri'!$B$8*(Z622+Y622)+MIN(MAX(Z622,0),'P-Parametri'!$B$8*(Z622+Y622)))</f>
        <v>84111.316723481417</v>
      </c>
      <c r="AB622" s="18">
        <f>IF($A622&gt;'1-Input'!$B$26,Z622,Z622-MIN(MAX(Z622,0),'P-Parametri'!$B$8*(Z622+Y622)))</f>
        <v>316800.77756621188</v>
      </c>
      <c r="AC622" s="18">
        <f>IF($A622&gt;'1-Input'!$B$26,AC621,AC621-X622*(1-W622))</f>
        <v>222800.3415112395</v>
      </c>
      <c r="AD622" s="11">
        <f>IF($A622&gt;'1-Input'!$B$26,0,IF(AI621&lt;=0,0,MAX(0,(AI621-AJ621)/AI621)))</f>
        <v>0.27745118465104807</v>
      </c>
      <c r="AE622" s="18">
        <f>IF($A622&gt;'1-Input'!$B$26,0,(MAX(0,AD616-IF($A622&gt;='1-Input'!$C$12,'1-Input'!$B$12,0))-MIN(MAX(AH621,0),MAX(0,AD616-IF($A622&gt;='1-Input'!$C$12,'1-Input'!$B$12,0))))*(1/(1-'P-Parametri'!$B$6*AD622))+MIN(MAX(0,AI621-(MAX(0,AD616-IF($A622&gt;='1-Input'!$C$12,'1-Input'!$B$12,0))-MIN(MAX(AH621,0),MAX(0,AD616-IF($A622&gt;='1-Input'!$C$12,'1-Input'!$B$12,0))))*(1/(1-'P-Parametri'!$B$6*AD622))),MAX(0,5*AD616-(AH621-MIN(MAX(AH621,0),MAX(0,AD616-IF($A622&gt;='1-Input'!$C$12,'1-Input'!$B$12,0)))))*(1/(1-'P-Parametri'!$B$6*AD622))))</f>
        <v>18530.658517192493</v>
      </c>
      <c r="AF622" s="18">
        <f>IF($A622&gt;'1-Input'!$B$26,AH621,(AH621-MAX(0,AD616-IF($A622&gt;='1-Input'!$C$12,'1-Input'!$B$12,0))+AE622*(1-'P-Parametri'!$B$6*AD622))*(1+'1-Input'!$B$27))</f>
        <v>84145.425501066202</v>
      </c>
      <c r="AG622" s="18">
        <f>IF($A622&gt;'1-Input'!$B$26,AI621,(AI621-AE622)*(1+$C$4))</f>
        <v>317533.85436978197</v>
      </c>
      <c r="AH622" s="18">
        <f>IF($A622&gt;'1-Input'!$B$26,AF622,AF622-'P-Parametri'!$B$8*(AG622+AF622)+MIN(MAX(AG622,0),'P-Parametri'!$B$8*(AG622+AF622)))</f>
        <v>84145.425501066202</v>
      </c>
      <c r="AI622" s="18">
        <f>IF($A622&gt;'1-Input'!$B$26,AG622,AG622-MIN(MAX(AG622,0),'P-Parametri'!$B$8*(AG622+AF622)))</f>
        <v>316730.49581004027</v>
      </c>
      <c r="AJ622" s="18">
        <f>IF($A622&gt;'1-Input'!$B$26,AJ621,AJ621-AE622*(1-AD622))</f>
        <v>222751.17505638115</v>
      </c>
      <c r="AK622" s="11">
        <f>IF($A622&gt;'1-Input'!$B$26,0,IF(AP621&lt;=0,0,MAX(0,(AP621-AQ621)/AP621)))</f>
        <v>0.27745123032008884</v>
      </c>
      <c r="AL622" s="18">
        <f>IF($A622&gt;'1-Input'!$B$26,0,(MAX(0,AK616-IF($A622&gt;='1-Input'!$C$12,'1-Input'!$B$12,0))-MIN(MAX(AO621,0),MAX(0,AK616-IF($A622&gt;='1-Input'!$C$12,'1-Input'!$B$12,0))))*(1/(1-'P-Parametri'!$B$6*AK622))+MIN(MAX(0,AP621-(MAX(0,AK616-IF($A622&gt;='1-Input'!$C$12,'1-Input'!$B$12,0))-MIN(MAX(AO621,0),MAX(0,AK616-IF($A622&gt;='1-Input'!$C$12,'1-Input'!$B$12,0))))*(1/(1-'P-Parametri'!$B$6*AK622))),MAX(0,5*AK616-(AO621-MIN(MAX(AO621,0),MAX(0,AK616-IF($A622&gt;='1-Input'!$C$12,'1-Input'!$B$12,0)))))*(1/(1-'P-Parametri'!$B$6*AK622))))</f>
        <v>18530.094111984676</v>
      </c>
      <c r="AM622" s="18">
        <f>IF($A622&gt;'1-Input'!$B$26,AO621,(AO621-MAX(0,AK616-IF($A622&gt;='1-Input'!$C$12,'1-Input'!$B$12,0))+AL622*(1-'P-Parametri'!$B$6*AK622))*(1+'1-Input'!$B$27))</f>
        <v>84142.861530128604</v>
      </c>
      <c r="AN622" s="18">
        <f>IF($A622&gt;'1-Input'!$B$26,AP621,(AP621-AL622)*(1+$C$4))</f>
        <v>317539.14292742673</v>
      </c>
      <c r="AO622" s="18">
        <f>IF($A622&gt;'1-Input'!$B$26,AM622,AM622-'P-Parametri'!$B$8*(AN622+AM622)+MIN(MAX(AN622,0),'P-Parametri'!$B$8*(AN622+AM622)))</f>
        <v>84142.861530128604</v>
      </c>
      <c r="AP622" s="18">
        <f>IF($A622&gt;'1-Input'!$B$26,AN622,AN622-MIN(MAX(AN622,0),'P-Parametri'!$B$8*(AN622+AM622)))</f>
        <v>316735.77891851164</v>
      </c>
      <c r="AQ622" s="18">
        <f>IF($A622&gt;'1-Input'!$B$26,AQ621,AQ621-AL622*(1-AK622))</f>
        <v>222754.87091983072</v>
      </c>
    </row>
    <row r="623" spans="1:43">
      <c r="A623" s="10">
        <f>5</f>
        <v>5</v>
      </c>
      <c r="B623" s="11">
        <f>IF($A623&gt;'1-Input'!$B$26,0,IF(G622&lt;=0,0,MAX(0,(G622-H622)/G622)))</f>
        <v>0.29674204405652327</v>
      </c>
      <c r="C623" s="18">
        <f>IF($A623&gt;'1-Input'!$B$26,0,(MAX(0,B616-IF($A623&gt;='1-Input'!$C$12,'1-Input'!$B$12,0))-MIN(MAX(F622,0),MAX(0,B616-IF($A623&gt;='1-Input'!$C$12,'1-Input'!$B$12,0))))*(1/(1-'P-Parametri'!$B$6*B623))+MIN(MAX(0,G622-(MAX(0,B616-IF($A623&gt;='1-Input'!$C$12,'1-Input'!$B$12,0))-MIN(MAX(F622,0),MAX(0,B616-IF($A623&gt;='1-Input'!$C$12,'1-Input'!$B$12,0))))*(1/(1-'P-Parametri'!$B$6*B623))),MAX(0,5*B616-(F622-MIN(MAX(F622,0),MAX(0,B616-IF($A623&gt;='1-Input'!$C$12,'1-Input'!$B$12,0)))))*(1/(1-'P-Parametri'!$B$6*B623))))</f>
        <v>18401.005853610117</v>
      </c>
      <c r="D623" s="18">
        <f>IF($A623&gt;'1-Input'!$B$26,F622,(F622-MAX(0,B616-IF($A623&gt;='1-Input'!$C$12,'1-Input'!$B$12,0))+C623*(1-'P-Parametri'!$B$6*B623))*(1+'1-Input'!$B$27))</f>
        <v>83105.01757746574</v>
      </c>
      <c r="E623" s="18">
        <f>IF($A623&gt;'1-Input'!$B$26,G622,(G622-C623)*(1+$C$4))</f>
        <v>309487.47076865914</v>
      </c>
      <c r="F623" s="18">
        <f>IF($A623&gt;'1-Input'!$B$26,D623,D623-'P-Parametri'!$B$8*(E623+D623)+MIN(MAX(E623,0),'P-Parametri'!$B$8*(E623+D623)))</f>
        <v>83105.01757746574</v>
      </c>
      <c r="G623" s="18">
        <f>IF($A623&gt;'1-Input'!$B$26,E623,E623-MIN(MAX(E623,0),'P-Parametri'!$B$8*(E623+D623)))</f>
        <v>308702.28579196689</v>
      </c>
      <c r="H623" s="18">
        <f>IF($A623&gt;'1-Input'!$B$26,H622,H622-C623*(1-B623))</f>
        <v>211310.21949794536</v>
      </c>
      <c r="I623" s="11">
        <f>IF($A623&gt;'1-Input'!$B$26,0,IF(N622&lt;=0,0,MAX(0,(N622-O622)/N622)))</f>
        <v>0.29601556239515187</v>
      </c>
      <c r="J623" s="18">
        <f>IF($A623&gt;'1-Input'!$B$26,0,(MAX(0,I616-IF($A623&gt;='1-Input'!$C$12,'1-Input'!$B$12,0))-MIN(MAX(M622,0),MAX(0,I616-IF($A623&gt;='1-Input'!$C$12,'1-Input'!$B$12,0))))*(1/(1-'P-Parametri'!$B$6*I623))+MIN(MAX(0,N622-(MAX(0,I616-IF($A623&gt;='1-Input'!$C$12,'1-Input'!$B$12,0))-MIN(MAX(M622,0),MAX(0,I616-IF($A623&gt;='1-Input'!$C$12,'1-Input'!$B$12,0))))*(1/(1-'P-Parametri'!$B$6*I623))),MAX(0,5*I616-(M622-MIN(MAX(M622,0),MAX(0,I616-IF($A623&gt;='1-Input'!$C$12,'1-Input'!$B$12,0)))))*(1/(1-'P-Parametri'!$B$6*I623))))</f>
        <v>24206.895221541126</v>
      </c>
      <c r="K623" s="18">
        <f>IF($A623&gt;'1-Input'!$B$26,M622,(M622-MAX(0,I616-IF($A623&gt;='1-Input'!$C$12,'1-Input'!$B$12,0))+J623*(1-'P-Parametri'!$B$6*I623))*(1+'1-Input'!$B$27))</f>
        <v>109348.70733877072</v>
      </c>
      <c r="L623" s="18">
        <f>IF($A623&gt;'1-Input'!$B$26,N622,(N622-J623)*(1+$C$4))</f>
        <v>247811.7874188807</v>
      </c>
      <c r="M623" s="18">
        <f>IF($A623&gt;'1-Input'!$B$26,K623,K623-'P-Parametri'!$B$8*(L623+K623)+MIN(MAX(L623,0),'P-Parametri'!$B$8*(L623+K623)))</f>
        <v>109348.70733877072</v>
      </c>
      <c r="N623" s="18">
        <f>IF($A623&gt;'1-Input'!$B$26,L623,L623-MIN(MAX(L623,0),'P-Parametri'!$B$8*(L623+K623)))</f>
        <v>247097.46642936539</v>
      </c>
      <c r="O623" s="18">
        <f>IF($A623&gt;'1-Input'!$B$26,O622,O622-J623*(1-I623))</f>
        <v>169374.40951255622</v>
      </c>
      <c r="P623" s="11">
        <f>IF($A623&gt;'1-Input'!$B$26,0,IF(U622&lt;=0,0,MAX(0,(U622-V622)/U622)))</f>
        <v>0.29672131087126219</v>
      </c>
      <c r="Q623" s="18">
        <f>IF($A623&gt;'1-Input'!$B$26,0,(MAX(0,P616-IF($A623&gt;='1-Input'!$C$12,'1-Input'!$B$12,0))-MIN(MAX(T622,0),MAX(0,P616-IF($A623&gt;='1-Input'!$C$12,'1-Input'!$B$12,0))))*(1/(1-'P-Parametri'!$B$6*P623))+MIN(MAX(0,U622-(MAX(0,P616-IF($A623&gt;='1-Input'!$C$12,'1-Input'!$B$12,0))-MIN(MAX(T622,0),MAX(0,P616-IF($A623&gt;='1-Input'!$C$12,'1-Input'!$B$12,0))))*(1/(1-'P-Parametri'!$B$6*P623))),MAX(0,5*P616-(T622-MIN(MAX(T622,0),MAX(0,P616-IF($A623&gt;='1-Input'!$C$12,'1-Input'!$B$12,0)))))*(1/(1-'P-Parametri'!$B$6*P623))))</f>
        <v>18591.741967788748</v>
      </c>
      <c r="R623" s="18">
        <f>IF($A623&gt;'1-Input'!$B$26,T622,(T622-MAX(0,P616-IF($A623&gt;='1-Input'!$C$12,'1-Input'!$B$12,0))+Q623*(1-'P-Parametri'!$B$6*P623))*(1+'1-Input'!$B$27))</f>
        <v>83966.9353144864</v>
      </c>
      <c r="S623" s="18">
        <f>IF($A623&gt;'1-Input'!$B$26,U622,(U622-Q623)*(1+$C$4))</f>
        <v>307461.73228076583</v>
      </c>
      <c r="T623" s="18">
        <f>IF($A623&gt;'1-Input'!$B$26,R623,R623-'P-Parametri'!$B$8*(S623+R623)+MIN(MAX(S623,0),'P-Parametri'!$B$8*(S623+R623)))</f>
        <v>83966.9353144864</v>
      </c>
      <c r="U623" s="18">
        <f>IF($A623&gt;'1-Input'!$B$26,S623,S623-MIN(MAX(S623,0),'P-Parametri'!$B$8*(S623+R623)))</f>
        <v>306678.87494557531</v>
      </c>
      <c r="V623" s="18">
        <f>IF($A623&gt;'1-Input'!$B$26,V622,V622-Q623*(1-P623))</f>
        <v>209933.28547152225</v>
      </c>
      <c r="W623" s="11">
        <f>IF($A623&gt;'1-Input'!$B$26,0,IF(AB622&lt;=0,0,MAX(0,(AB622-AC622)/AB622)))</f>
        <v>0.2967178198775921</v>
      </c>
      <c r="X623" s="18">
        <f>IF($A623&gt;'1-Input'!$B$26,0,(MAX(0,W616-IF($A623&gt;='1-Input'!$C$12,'1-Input'!$B$12,0))-MIN(MAX(AA622,0),MAX(0,W616-IF($A623&gt;='1-Input'!$C$12,'1-Input'!$B$12,0))))*(1/(1-'P-Parametri'!$B$6*W623))+MIN(MAX(0,AB622-(MAX(0,W616-IF($A623&gt;='1-Input'!$C$12,'1-Input'!$B$12,0))-MIN(MAX(AA622,0),MAX(0,W616-IF($A623&gt;='1-Input'!$C$12,'1-Input'!$B$12,0))))*(1/(1-'P-Parametri'!$B$6*W623))),MAX(0,5*W616-(AA622-MIN(MAX(AA622,0),MAX(0,W616-IF($A623&gt;='1-Input'!$C$12,'1-Input'!$B$12,0)))))*(1/(1-'P-Parametri'!$B$6*W623))))</f>
        <v>18623.692209428496</v>
      </c>
      <c r="Y623" s="18">
        <f>IF($A623&gt;'1-Input'!$B$26,AA622,(AA622-MAX(0,W616-IF($A623&gt;='1-Input'!$C$12,'1-Input'!$B$12,0))+X623*(1-'P-Parametri'!$B$6*W623))*(1+'1-Input'!$B$27))</f>
        <v>84111.316723481417</v>
      </c>
      <c r="Z623" s="18">
        <f>IF($A623&gt;'1-Input'!$B$26,AB622,(AB622-X623)*(1+$C$4))</f>
        <v>307122.39791748684</v>
      </c>
      <c r="AA623" s="18">
        <f>IF($A623&gt;'1-Input'!$B$26,Y623,Y623-'P-Parametri'!$B$8*(Z623+Y623)+MIN(MAX(Z623,0),'P-Parametri'!$B$8*(Z623+Y623)))</f>
        <v>84111.316723481417</v>
      </c>
      <c r="AB623" s="18">
        <f>IF($A623&gt;'1-Input'!$B$26,Z623,Z623-MIN(MAX(Z623,0),'P-Parametri'!$B$8*(Z623+Y623)))</f>
        <v>306339.93048820493</v>
      </c>
      <c r="AC623" s="18">
        <f>IF($A623&gt;'1-Input'!$B$26,AC622,AC622-X623*(1-W623))</f>
        <v>209702.63065226394</v>
      </c>
      <c r="AD623" s="11">
        <f>IF($A623&gt;'1-Input'!$B$26,0,IF(AI622&lt;=0,0,MAX(0,(AI622-AJ622)/AI622)))</f>
        <v>0.29671699440657395</v>
      </c>
      <c r="AE623" s="18">
        <f>IF($A623&gt;'1-Input'!$B$26,0,(MAX(0,AD616-IF($A623&gt;='1-Input'!$C$12,'1-Input'!$B$12,0))-MIN(MAX(AH622,0),MAX(0,AD616-IF($A623&gt;='1-Input'!$C$12,'1-Input'!$B$12,0))))*(1/(1-'P-Parametri'!$B$6*AD623))+MIN(MAX(0,AI622-(MAX(0,AD616-IF($A623&gt;='1-Input'!$C$12,'1-Input'!$B$12,0))-MIN(MAX(AH622,0),MAX(0,AD616-IF($A623&gt;='1-Input'!$C$12,'1-Input'!$B$12,0))))*(1/(1-'P-Parametri'!$B$6*AD623))),MAX(0,5*AD616-(AH622-MIN(MAX(AH622,0),MAX(0,AD616-IF($A623&gt;='1-Input'!$C$12,'1-Input'!$B$12,0)))))*(1/(1-'P-Parametri'!$B$6*AD623))))</f>
        <v>18631.240146489854</v>
      </c>
      <c r="AF623" s="18">
        <f>IF($A623&gt;'1-Input'!$B$26,AH622,(AH622-MAX(0,AD616-IF($A623&gt;='1-Input'!$C$12,'1-Input'!$B$12,0))+AE623*(1-'P-Parametri'!$B$6*AD623))*(1+'1-Input'!$B$27))</f>
        <v>84145.425501066202</v>
      </c>
      <c r="AG623" s="18">
        <f>IF($A623&gt;'1-Input'!$B$26,AI622,(AI622-AE623)*(1+$C$4))</f>
        <v>307042.23333345691</v>
      </c>
      <c r="AH623" s="18">
        <f>IF($A623&gt;'1-Input'!$B$26,AF623,AF623-'P-Parametri'!$B$8*(AG623+AF623)+MIN(MAX(AG623,0),'P-Parametri'!$B$8*(AG623+AF623)))</f>
        <v>84145.425501066202</v>
      </c>
      <c r="AI623" s="18">
        <f>IF($A623&gt;'1-Input'!$B$26,AG623,AG623-MIN(MAX(AG623,0),'P-Parametri'!$B$8*(AG623+AF623)))</f>
        <v>306259.85801578785</v>
      </c>
      <c r="AJ623" s="18">
        <f>IF($A623&gt;'1-Input'!$B$26,AJ622,AJ622-AE623*(1-AD623))</f>
        <v>209648.14048822486</v>
      </c>
      <c r="AK623" s="11">
        <f>IF($A623&gt;'1-Input'!$B$26,0,IF(AP622&lt;=0,0,MAX(0,(AP622-AQ622)/AP622)))</f>
        <v>0.29671705646762409</v>
      </c>
      <c r="AL623" s="18">
        <f>IF($A623&gt;'1-Input'!$B$26,0,(MAX(0,AK616-IF($A623&gt;='1-Input'!$C$12,'1-Input'!$B$12,0))-MIN(MAX(AO622,0),MAX(0,AK616-IF($A623&gt;='1-Input'!$C$12,'1-Input'!$B$12,0))))*(1/(1-'P-Parametri'!$B$6*AK623))+MIN(MAX(0,AP622-(MAX(0,AK616-IF($A623&gt;='1-Input'!$C$12,'1-Input'!$B$12,0))-MIN(MAX(AO622,0),MAX(0,AK616-IF($A623&gt;='1-Input'!$C$12,'1-Input'!$B$12,0))))*(1/(1-'P-Parametri'!$B$6*AK623))),MAX(0,5*AK616-(AO622-MIN(MAX(AO622,0),MAX(0,AK616-IF($A623&gt;='1-Input'!$C$12,'1-Input'!$B$12,0)))))*(1/(1-'P-Parametri'!$B$6*AK623))))</f>
        <v>18630.672765109673</v>
      </c>
      <c r="AM623" s="18">
        <f>IF($A623&gt;'1-Input'!$B$26,AO622,(AO622-MAX(0,AK616-IF($A623&gt;='1-Input'!$C$12,'1-Input'!$B$12,0))+AL623*(1-'P-Parametri'!$B$6*AK623))*(1+'1-Input'!$B$27))</f>
        <v>84142.861530128604</v>
      </c>
      <c r="AN623" s="18">
        <f>IF($A623&gt;'1-Input'!$B$26,AP622,(AP622-AL623)*(1+$C$4))</f>
        <v>307048.25933800405</v>
      </c>
      <c r="AO623" s="18">
        <f>IF($A623&gt;'1-Input'!$B$26,AM623,AM623-'P-Parametri'!$B$8*(AN623+AM623)+MIN(MAX(AN623,0),'P-Parametri'!$B$8*(AN623+AM623)))</f>
        <v>84142.861530128604</v>
      </c>
      <c r="AP623" s="18">
        <f>IF($A623&gt;'1-Input'!$B$26,AN623,AN623-MIN(MAX(AN623,0),'P-Parametri'!$B$8*(AN623+AM623)))</f>
        <v>306265.87709626777</v>
      </c>
      <c r="AQ623" s="18">
        <f>IF($A623&gt;'1-Input'!$B$26,AQ622,AQ622-AL623*(1-AK623))</f>
        <v>209652.23653759592</v>
      </c>
    </row>
    <row r="624" spans="1:43">
      <c r="A624" s="10">
        <f>6</f>
        <v>6</v>
      </c>
      <c r="B624" s="11">
        <f>IF($A624&gt;'1-Input'!$B$26,0,IF(G623&lt;=0,0,MAX(0,(G623-H623)/G623)))</f>
        <v>0.31548864642892088</v>
      </c>
      <c r="C624" s="18">
        <f>IF($A624&gt;'1-Input'!$B$26,0,(MAX(0,B616-IF($A624&gt;='1-Input'!$C$12,'1-Input'!$B$12,0))-MIN(MAX(F623,0),MAX(0,B616-IF($A624&gt;='1-Input'!$C$12,'1-Input'!$B$12,0))))*(1/(1-'P-Parametri'!$B$6*B624))+MIN(MAX(0,G623-(MAX(0,B616-IF($A624&gt;='1-Input'!$C$12,'1-Input'!$B$12,0))-MIN(MAX(F623,0),MAX(0,B616-IF($A624&gt;='1-Input'!$C$12,'1-Input'!$B$12,0))))*(1/(1-'P-Parametri'!$B$6*B624))),MAX(0,5*B616-(F623-MIN(MAX(F623,0),MAX(0,B616-IF($A624&gt;='1-Input'!$C$12,'1-Input'!$B$12,0)))))*(1/(1-'P-Parametri'!$B$6*B624))))</f>
        <v>18498.70878506243</v>
      </c>
      <c r="D624" s="18">
        <f>IF($A624&gt;'1-Input'!$B$26,F623,(F623-MAX(0,B616-IF($A624&gt;='1-Input'!$C$12,'1-Input'!$B$12,0))+C624*(1-'P-Parametri'!$B$6*B624))*(1+'1-Input'!$B$27))</f>
        <v>83105.01757746574</v>
      </c>
      <c r="E624" s="18">
        <f>IF($A624&gt;'1-Input'!$B$26,G623,(G623-C624)*(1+$C$4))</f>
        <v>298909.68431711162</v>
      </c>
      <c r="F624" s="18">
        <f>IF($A624&gt;'1-Input'!$B$26,D624,D624-'P-Parametri'!$B$8*(E624+D624)+MIN(MAX(E624,0),'P-Parametri'!$B$8*(E624+D624)))</f>
        <v>83105.01757746574</v>
      </c>
      <c r="G624" s="18">
        <f>IF($A624&gt;'1-Input'!$B$26,E624,E624-MIN(MAX(E624,0),'P-Parametri'!$B$8*(E624+D624)))</f>
        <v>298145.65491332248</v>
      </c>
      <c r="H624" s="18">
        <f>IF($A624&gt;'1-Input'!$B$26,H623,H623-C624*(1-B624))</f>
        <v>198647.64330816508</v>
      </c>
      <c r="I624" s="11">
        <f>IF($A624&gt;'1-Input'!$B$26,0,IF(N623&lt;=0,0,MAX(0,(N623-O623)/N623)))</f>
        <v>0.31454412722206876</v>
      </c>
      <c r="J624" s="18">
        <f>IF($A624&gt;'1-Input'!$B$26,0,(MAX(0,I616-IF($A624&gt;='1-Input'!$C$12,'1-Input'!$B$12,0))-MIN(MAX(M623,0),MAX(0,I616-IF($A624&gt;='1-Input'!$C$12,'1-Input'!$B$12,0))))*(1/(1-'P-Parametri'!$B$6*I624))+MIN(MAX(0,N623-(MAX(0,I616-IF($A624&gt;='1-Input'!$C$12,'1-Input'!$B$12,0))-MIN(MAX(M623,0),MAX(0,I616-IF($A624&gt;='1-Input'!$C$12,'1-Input'!$B$12,0))))*(1/(1-'P-Parametri'!$B$6*I624))),MAX(0,5*I616-(M623-MIN(MAX(M623,0),MAX(0,I616-IF($A624&gt;='1-Input'!$C$12,'1-Input'!$B$12,0)))))*(1/(1-'P-Parametri'!$B$6*I624))))</f>
        <v>24333.896522100007</v>
      </c>
      <c r="K624" s="18">
        <f>IF($A624&gt;'1-Input'!$B$26,M623,(M623-MAX(0,I616-IF($A624&gt;='1-Input'!$C$12,'1-Input'!$B$12,0))+J624*(1-'P-Parametri'!$B$6*I624))*(1+'1-Input'!$B$27))</f>
        <v>109348.70733877072</v>
      </c>
      <c r="L624" s="18">
        <f>IF($A624&gt;'1-Input'!$B$26,N623,(N623-J624)*(1+$C$4))</f>
        <v>229446.47700448337</v>
      </c>
      <c r="M624" s="18">
        <f>IF($A624&gt;'1-Input'!$B$26,K624,K624-'P-Parametri'!$B$8*(L624+K624)+MIN(MAX(L624,0),'P-Parametri'!$B$8*(L624+K624)))</f>
        <v>109348.70733877072</v>
      </c>
      <c r="N624" s="18">
        <f>IF($A624&gt;'1-Input'!$B$26,L624,L624-MIN(MAX(L624,0),'P-Parametri'!$B$8*(L624+K624)))</f>
        <v>228768.88663579687</v>
      </c>
      <c r="O624" s="18">
        <f>IF($A624&gt;'1-Input'!$B$26,O623,O623-J624*(1-I624))</f>
        <v>152694.5972339123</v>
      </c>
      <c r="P624" s="11">
        <f>IF($A624&gt;'1-Input'!$B$26,0,IF(U623&lt;=0,0,MAX(0,(U623-V623)/U623)))</f>
        <v>0.31546218985974173</v>
      </c>
      <c r="Q624" s="18">
        <f>IF($A624&gt;'1-Input'!$B$26,0,(MAX(0,P616-IF($A624&gt;='1-Input'!$C$12,'1-Input'!$B$12,0))-MIN(MAX(T623,0),MAX(0,P616-IF($A624&gt;='1-Input'!$C$12,'1-Input'!$B$12,0))))*(1/(1-'P-Parametri'!$B$6*P624))+MIN(MAX(0,U623-(MAX(0,P616-IF($A624&gt;='1-Input'!$C$12,'1-Input'!$B$12,0))-MIN(MAX(T623,0),MAX(0,P616-IF($A624&gt;='1-Input'!$C$12,'1-Input'!$B$12,0))))*(1/(1-'P-Parametri'!$B$6*P624))),MAX(0,5*P616-(T623-MIN(MAX(T623,0),MAX(0,P616-IF($A624&gt;='1-Input'!$C$12,'1-Input'!$B$12,0)))))*(1/(1-'P-Parametri'!$B$6*P624))))</f>
        <v>18690.426763948228</v>
      </c>
      <c r="R624" s="18">
        <f>IF($A624&gt;'1-Input'!$B$26,T623,(T623-MAX(0,P616-IF($A624&gt;='1-Input'!$C$12,'1-Input'!$B$12,0))+Q624*(1-'P-Parametri'!$B$6*P624))*(1+'1-Input'!$B$27))</f>
        <v>83966.9353144864</v>
      </c>
      <c r="S624" s="18">
        <f>IF($A624&gt;'1-Input'!$B$26,U623,(U623-Q624)*(1+$C$4))</f>
        <v>296628.10162707593</v>
      </c>
      <c r="T624" s="18">
        <f>IF($A624&gt;'1-Input'!$B$26,R624,R624-'P-Parametri'!$B$8*(S624+R624)+MIN(MAX(S624,0),'P-Parametri'!$B$8*(S624+R624)))</f>
        <v>83966.9353144864</v>
      </c>
      <c r="U624" s="18">
        <f>IF($A624&gt;'1-Input'!$B$26,S624,S624-MIN(MAX(S624,0),'P-Parametri'!$B$8*(S624+R624)))</f>
        <v>295866.91155319283</v>
      </c>
      <c r="V624" s="18">
        <f>IF($A624&gt;'1-Input'!$B$26,V623,V623-Q624*(1-P624))</f>
        <v>197138.98166394225</v>
      </c>
      <c r="W624" s="11">
        <f>IF($A624&gt;'1-Input'!$B$26,0,IF(AB623&lt;=0,0,MAX(0,(AB623-AC623)/AB623)))</f>
        <v>0.31545773246710923</v>
      </c>
      <c r="X624" s="18">
        <f>IF($A624&gt;'1-Input'!$B$26,0,(MAX(0,W616-IF($A624&gt;='1-Input'!$C$12,'1-Input'!$B$12,0))-MIN(MAX(AA623,0),MAX(0,W616-IF($A624&gt;='1-Input'!$C$12,'1-Input'!$B$12,0))))*(1/(1-'P-Parametri'!$B$6*W624))+MIN(MAX(0,AB623-(MAX(0,W616-IF($A624&gt;='1-Input'!$C$12,'1-Input'!$B$12,0))-MIN(MAX(AA623,0),MAX(0,W616-IF($A624&gt;='1-Input'!$C$12,'1-Input'!$B$12,0))))*(1/(1-'P-Parametri'!$B$6*W624))),MAX(0,5*W616-(AA623-MIN(MAX(AA623,0),MAX(0,W616-IF($A624&gt;='1-Input'!$C$12,'1-Input'!$B$12,0)))))*(1/(1-'P-Parametri'!$B$6*W624))))</f>
        <v>18722.541374822777</v>
      </c>
      <c r="Y624" s="18">
        <f>IF($A624&gt;'1-Input'!$B$26,AA623,(AA623-MAX(0,W616-IF($A624&gt;='1-Input'!$C$12,'1-Input'!$B$12,0))+X624*(1-'P-Parametri'!$B$6*W624))*(1+'1-Input'!$B$27))</f>
        <v>84111.316723481417</v>
      </c>
      <c r="Z624" s="18">
        <f>IF($A624&gt;'1-Input'!$B$26,AB623,(AB623-X624)*(1+$C$4))</f>
        <v>296245.91078678361</v>
      </c>
      <c r="AA624" s="18">
        <f>IF($A624&gt;'1-Input'!$B$26,Y624,Y624-'P-Parametri'!$B$8*(Z624+Y624)+MIN(MAX(Z624,0),'P-Parametri'!$B$8*(Z624+Y624)))</f>
        <v>84111.316723481417</v>
      </c>
      <c r="AB624" s="18">
        <f>IF($A624&gt;'1-Input'!$B$26,Z624,Z624-MIN(MAX(Z624,0),'P-Parametri'!$B$8*(Z624+Y624)))</f>
        <v>295485.19633176306</v>
      </c>
      <c r="AC624" s="18">
        <f>IF($A624&gt;'1-Input'!$B$26,AC623,AC623-X624*(1-W624))</f>
        <v>196886.25972556439</v>
      </c>
      <c r="AD624" s="11">
        <f>IF($A624&gt;'1-Input'!$B$26,0,IF(AI623&lt;=0,0,MAX(0,(AI623-AJ623)/AI623)))</f>
        <v>0.31545667836946034</v>
      </c>
      <c r="AE624" s="18">
        <f>IF($A624&gt;'1-Input'!$B$26,0,(MAX(0,AD616-IF($A624&gt;='1-Input'!$C$12,'1-Input'!$B$12,0))-MIN(MAX(AH623,0),MAX(0,AD616-IF($A624&gt;='1-Input'!$C$12,'1-Input'!$B$12,0))))*(1/(1-'P-Parametri'!$B$6*AD624))+MIN(MAX(0,AI623-(MAX(0,AD616-IF($A624&gt;='1-Input'!$C$12,'1-Input'!$B$12,0))-MIN(MAX(AH623,0),MAX(0,AD616-IF($A624&gt;='1-Input'!$C$12,'1-Input'!$B$12,0))))*(1/(1-'P-Parametri'!$B$6*AD624))),MAX(0,5*AD616-(AH623-MIN(MAX(AH623,0),MAX(0,AD616-IF($A624&gt;='1-Input'!$C$12,'1-Input'!$B$12,0)))))*(1/(1-'P-Parametri'!$B$6*AD624))))</f>
        <v>18730.128138178181</v>
      </c>
      <c r="AF624" s="18">
        <f>IF($A624&gt;'1-Input'!$B$26,AH623,(AH623-MAX(0,AD616-IF($A624&gt;='1-Input'!$C$12,'1-Input'!$B$12,0))+AE624*(1-'P-Parametri'!$B$6*AD624))*(1+'1-Input'!$B$27))</f>
        <v>84145.425501066202</v>
      </c>
      <c r="AG624" s="18">
        <f>IF($A624&gt;'1-Input'!$B$26,AI623,(AI623-AE624)*(1+$C$4))</f>
        <v>296155.62177393795</v>
      </c>
      <c r="AH624" s="18">
        <f>IF($A624&gt;'1-Input'!$B$26,AF624,AF624-'P-Parametri'!$B$8*(AG624+AF624)+MIN(MAX(AG624,0),'P-Parametri'!$B$8*(AG624+AF624)))</f>
        <v>84145.425501066202</v>
      </c>
      <c r="AI624" s="18">
        <f>IF($A624&gt;'1-Input'!$B$26,AG624,AG624-MIN(MAX(AG624,0),'P-Parametri'!$B$8*(AG624+AF624)))</f>
        <v>295395.01967938791</v>
      </c>
      <c r="AJ624" s="18">
        <f>IF($A624&gt;'1-Input'!$B$26,AJ623,AJ623-AE624*(1-AD624))</f>
        <v>196826.55635795073</v>
      </c>
      <c r="AK624" s="11">
        <f>IF($A624&gt;'1-Input'!$B$26,0,IF(AP623&lt;=0,0,MAX(0,(AP623-AQ623)/AP623)))</f>
        <v>0.31545675762077646</v>
      </c>
      <c r="AL624" s="18">
        <f>IF($A624&gt;'1-Input'!$B$26,0,(MAX(0,AK616-IF($A624&gt;='1-Input'!$C$12,'1-Input'!$B$12,0))-MIN(MAX(AO623,0),MAX(0,AK616-IF($A624&gt;='1-Input'!$C$12,'1-Input'!$B$12,0))))*(1/(1-'P-Parametri'!$B$6*AK624))+MIN(MAX(0,AP623-(MAX(0,AK616-IF($A624&gt;='1-Input'!$C$12,'1-Input'!$B$12,0))-MIN(MAX(AO623,0),MAX(0,AK616-IF($A624&gt;='1-Input'!$C$12,'1-Input'!$B$12,0))))*(1/(1-'P-Parametri'!$B$6*AK624))),MAX(0,5*AK616-(AO623-MIN(MAX(AO623,0),MAX(0,AK616-IF($A624&gt;='1-Input'!$C$12,'1-Input'!$B$12,0)))))*(1/(1-'P-Parametri'!$B$6*AK624))))</f>
        <v>18729.557838268243</v>
      </c>
      <c r="AM624" s="18">
        <f>IF($A624&gt;'1-Input'!$B$26,AO623,(AO623-MAX(0,AK616-IF($A624&gt;='1-Input'!$C$12,'1-Input'!$B$12,0))+AL624*(1-'P-Parametri'!$B$6*AK624))*(1+'1-Input'!$B$27))</f>
        <v>84142.861530128604</v>
      </c>
      <c r="AN624" s="18">
        <f>IF($A624&gt;'1-Input'!$B$26,AP623,(AP623-AL624)*(1+$C$4))</f>
        <v>296162.40883573954</v>
      </c>
      <c r="AO624" s="18">
        <f>IF($A624&gt;'1-Input'!$B$26,AM624,AM624-'P-Parametri'!$B$8*(AN624+AM624)+MIN(MAX(AN624,0),'P-Parametri'!$B$8*(AN624+AM624)))</f>
        <v>84142.861530128604</v>
      </c>
      <c r="AP624" s="18">
        <f>IF($A624&gt;'1-Input'!$B$26,AN624,AN624-MIN(MAX(AN624,0),'P-Parametri'!$B$8*(AN624+AM624)))</f>
        <v>295401.79829500779</v>
      </c>
      <c r="AQ624" s="18">
        <f>IF($A624&gt;'1-Input'!$B$26,AQ623,AQ623-AL624*(1-AK624))</f>
        <v>196831.04428665858</v>
      </c>
    </row>
    <row r="625" spans="1:43">
      <c r="A625" s="10">
        <f>7</f>
        <v>7</v>
      </c>
      <c r="B625" s="11">
        <f>IF($A625&gt;'1-Input'!$B$26,0,IF(G624&lt;=0,0,MAX(0,(G624-H624)/G624)))</f>
        <v>0.33372282964876232</v>
      </c>
      <c r="C625" s="18">
        <f>IF($A625&gt;'1-Input'!$B$26,0,(MAX(0,B616-IF($A625&gt;='1-Input'!$C$12,'1-Input'!$B$12,0))-MIN(MAX(F624,0),MAX(0,B616-IF($A625&gt;='1-Input'!$C$12,'1-Input'!$B$12,0))))*(1/(1-'P-Parametri'!$B$6*B625))+MIN(MAX(0,G624-(MAX(0,B616-IF($A625&gt;='1-Input'!$C$12,'1-Input'!$B$12,0))-MIN(MAX(F624,0),MAX(0,B616-IF($A625&gt;='1-Input'!$C$12,'1-Input'!$B$12,0))))*(1/(1-'P-Parametri'!$B$6*B625))),MAX(0,5*B616-(F624-MIN(MAX(F624,0),MAX(0,B616-IF($A625&gt;='1-Input'!$C$12,'1-Input'!$B$12,0)))))*(1/(1-'P-Parametri'!$B$6*B625))))</f>
        <v>18594.741659083953</v>
      </c>
      <c r="D625" s="18">
        <f>IF($A625&gt;'1-Input'!$B$26,F624,(F624-MAX(0,B616-IF($A625&gt;='1-Input'!$C$12,'1-Input'!$B$12,0))+C625*(1-'P-Parametri'!$B$6*B625))*(1+'1-Input'!$B$27))</f>
        <v>83105.01757746574</v>
      </c>
      <c r="E625" s="18">
        <f>IF($A625&gt;'1-Input'!$B$26,G624,(G624-C625)*(1+$C$4))</f>
        <v>287937.44065186573</v>
      </c>
      <c r="F625" s="18">
        <f>IF($A625&gt;'1-Input'!$B$26,D625,D625-'P-Parametri'!$B$8*(E625+D625)+MIN(MAX(E625,0),'P-Parametri'!$B$8*(E625+D625)))</f>
        <v>83105.01757746574</v>
      </c>
      <c r="G625" s="18">
        <f>IF($A625&gt;'1-Input'!$B$26,E625,E625-MIN(MAX(E625,0),'P-Parametri'!$B$8*(E625+D625)))</f>
        <v>287195.35573540709</v>
      </c>
      <c r="H625" s="18">
        <f>IF($A625&gt;'1-Input'!$B$26,H624,H624-C625*(1-B625))</f>
        <v>186258.39145213834</v>
      </c>
      <c r="I625" s="11">
        <f>IF($A625&gt;'1-Input'!$B$26,0,IF(N624&lt;=0,0,MAX(0,(N624-O624)/N624)))</f>
        <v>0.33253774374920075</v>
      </c>
      <c r="J625" s="18">
        <f>IF($A625&gt;'1-Input'!$B$26,0,(MAX(0,I616-IF($A625&gt;='1-Input'!$C$12,'1-Input'!$B$12,0))-MIN(MAX(M624,0),MAX(0,I616-IF($A625&gt;='1-Input'!$C$12,'1-Input'!$B$12,0))))*(1/(1-'P-Parametri'!$B$6*I625))+MIN(MAX(0,N624-(MAX(0,I616-IF($A625&gt;='1-Input'!$C$12,'1-Input'!$B$12,0))-MIN(MAX(M624,0),MAX(0,I616-IF($A625&gt;='1-Input'!$C$12,'1-Input'!$B$12,0))))*(1/(1-'P-Parametri'!$B$6*I625))),MAX(0,5*I616-(M624-MIN(MAX(M624,0),MAX(0,I616-IF($A625&gt;='1-Input'!$C$12,'1-Input'!$B$12,0)))))*(1/(1-'P-Parametri'!$B$6*I625))))</f>
        <v>24458.51309655443</v>
      </c>
      <c r="K625" s="18">
        <f>IF($A625&gt;'1-Input'!$B$26,M624,(M624-MAX(0,I616-IF($A625&gt;='1-Input'!$C$12,'1-Input'!$B$12,0))+J625*(1-'P-Parametri'!$B$6*I625))*(1+'1-Input'!$B$27))</f>
        <v>109348.70733877072</v>
      </c>
      <c r="L625" s="18">
        <f>IF($A625&gt;'1-Input'!$B$26,N624,(N624-J625)*(1+$C$4))</f>
        <v>210439.68474541971</v>
      </c>
      <c r="M625" s="18">
        <f>IF($A625&gt;'1-Input'!$B$26,K625,K625-'P-Parametri'!$B$8*(L625+K625)+MIN(MAX(L625,0),'P-Parametri'!$B$8*(L625+K625)))</f>
        <v>109348.70733877072</v>
      </c>
      <c r="N625" s="18">
        <f>IF($A625&gt;'1-Input'!$B$26,L625,L625-MIN(MAX(L625,0),'P-Parametri'!$B$8*(L625+K625)))</f>
        <v>209800.10796125134</v>
      </c>
      <c r="O625" s="18">
        <f>IF($A625&gt;'1-Input'!$B$26,O624,O624-J625*(1-I625))</f>
        <v>136369.46289794636</v>
      </c>
      <c r="P625" s="11">
        <f>IF($A625&gt;'1-Input'!$B$26,0,IF(U624&lt;=0,0,MAX(0,(U624-V624)/U624)))</f>
        <v>0.33369033857475017</v>
      </c>
      <c r="Q625" s="18">
        <f>IF($A625&gt;'1-Input'!$B$26,0,(MAX(0,P616-IF($A625&gt;='1-Input'!$C$12,'1-Input'!$B$12,0))-MIN(MAX(T624,0),MAX(0,P616-IF($A625&gt;='1-Input'!$C$12,'1-Input'!$B$12,0))))*(1/(1-'P-Parametri'!$B$6*P625))+MIN(MAX(0,U624-(MAX(0,P616-IF($A625&gt;='1-Input'!$C$12,'1-Input'!$B$12,0))-MIN(MAX(T624,0),MAX(0,P616-IF($A625&gt;='1-Input'!$C$12,'1-Input'!$B$12,0))))*(1/(1-'P-Parametri'!$B$6*P625))),MAX(0,5*P616-(T624-MIN(MAX(T624,0),MAX(0,P616-IF($A625&gt;='1-Input'!$C$12,'1-Input'!$B$12,0)))))*(1/(1-'P-Parametri'!$B$6*P625))))</f>
        <v>18787.421900798785</v>
      </c>
      <c r="R625" s="18">
        <f>IF($A625&gt;'1-Input'!$B$26,T624,(T624-MAX(0,P616-IF($A625&gt;='1-Input'!$C$12,'1-Input'!$B$12,0))+Q625*(1-'P-Parametri'!$B$6*P625))*(1+'1-Input'!$B$27))</f>
        <v>83966.9353144864</v>
      </c>
      <c r="S625" s="18">
        <f>IF($A625&gt;'1-Input'!$B$26,U624,(U624-Q625)*(1+$C$4))</f>
        <v>285391.87434196583</v>
      </c>
      <c r="T625" s="18">
        <f>IF($A625&gt;'1-Input'!$B$26,R625,R625-'P-Parametri'!$B$8*(S625+R625)+MIN(MAX(S625,0),'P-Parametri'!$B$8*(S625+R625)))</f>
        <v>83966.9353144864</v>
      </c>
      <c r="U625" s="18">
        <f>IF($A625&gt;'1-Input'!$B$26,S625,S625-MIN(MAX(S625,0),'P-Parametri'!$B$8*(S625+R625)))</f>
        <v>284653.1567226529</v>
      </c>
      <c r="V625" s="18">
        <f>IF($A625&gt;'1-Input'!$B$26,V624,V624-Q625*(1-P625))</f>
        <v>184620.7409381677</v>
      </c>
      <c r="W625" s="11">
        <f>IF($A625&gt;'1-Input'!$B$26,0,IF(AB624&lt;=0,0,MAX(0,(AB624-AC624)/AB624)))</f>
        <v>0.33368486079923393</v>
      </c>
      <c r="X625" s="18">
        <f>IF($A625&gt;'1-Input'!$B$26,0,(MAX(0,W616-IF($A625&gt;='1-Input'!$C$12,'1-Input'!$B$12,0))-MIN(MAX(AA624,0),MAX(0,W616-IF($A625&gt;='1-Input'!$C$12,'1-Input'!$B$12,0))))*(1/(1-'P-Parametri'!$B$6*W625))+MIN(MAX(0,AB624-(MAX(0,W616-IF($A625&gt;='1-Input'!$C$12,'1-Input'!$B$12,0))-MIN(MAX(AA624,0),MAX(0,W616-IF($A625&gt;='1-Input'!$C$12,'1-Input'!$B$12,0))))*(1/(1-'P-Parametri'!$B$6*W625))),MAX(0,5*W616-(AA624-MIN(MAX(AA624,0),MAX(0,W616-IF($A625&gt;='1-Input'!$C$12,'1-Input'!$B$12,0)))))*(1/(1-'P-Parametri'!$B$6*W625))))</f>
        <v>18819.697581970879</v>
      </c>
      <c r="Y625" s="18">
        <f>IF($A625&gt;'1-Input'!$B$26,AA624,(AA624-MAX(0,W616-IF($A625&gt;='1-Input'!$C$12,'1-Input'!$B$12,0))+X625*(1-'P-Parametri'!$B$6*W625))*(1+'1-Input'!$B$27))</f>
        <v>84111.316723481417</v>
      </c>
      <c r="Z625" s="18">
        <f>IF($A625&gt;'1-Input'!$B$26,AB624,(AB624-X625)*(1+$C$4))</f>
        <v>284965.46371228591</v>
      </c>
      <c r="AA625" s="18">
        <f>IF($A625&gt;'1-Input'!$B$26,Y625,Y625-'P-Parametri'!$B$8*(Z625+Y625)+MIN(MAX(Z625,0),'P-Parametri'!$B$8*(Z625+Y625)))</f>
        <v>84111.316723481417</v>
      </c>
      <c r="AB625" s="18">
        <f>IF($A625&gt;'1-Input'!$B$26,Z625,Z625-MIN(MAX(Z625,0),'P-Parametri'!$B$8*(Z625+Y625)))</f>
        <v>284227.31015141436</v>
      </c>
      <c r="AC625" s="18">
        <f>IF($A625&gt;'1-Input'!$B$26,AC624,AC624-X625*(1-W625))</f>
        <v>184346.41031151716</v>
      </c>
      <c r="AD625" s="11">
        <f>IF($A625&gt;'1-Input'!$B$26,0,IF(AI624&lt;=0,0,MAX(0,(AI624-AJ624)/AI624)))</f>
        <v>0.33368356524229886</v>
      </c>
      <c r="AE625" s="18">
        <f>IF($A625&gt;'1-Input'!$B$26,0,(MAX(0,AD616-IF($A625&gt;='1-Input'!$C$12,'1-Input'!$B$12,0))-MIN(MAX(AH624,0),MAX(0,AD616-IF($A625&gt;='1-Input'!$C$12,'1-Input'!$B$12,0))))*(1/(1-'P-Parametri'!$B$6*AD625))+MIN(MAX(0,AI624-(MAX(0,AD616-IF($A625&gt;='1-Input'!$C$12,'1-Input'!$B$12,0))-MIN(MAX(AH624,0),MAX(0,AD616-IF($A625&gt;='1-Input'!$C$12,'1-Input'!$B$12,0))))*(1/(1-'P-Parametri'!$B$6*AD625))),MAX(0,5*AD616-(AH624-MIN(MAX(AH624,0),MAX(0,AD616-IF($A625&gt;='1-Input'!$C$12,'1-Input'!$B$12,0)))))*(1/(1-'P-Parametri'!$B$6*AD625))))</f>
        <v>18827.322391619597</v>
      </c>
      <c r="AF625" s="18">
        <f>IF($A625&gt;'1-Input'!$B$26,AH624,(AH624-MAX(0,AD616-IF($A625&gt;='1-Input'!$C$12,'1-Input'!$B$12,0))+AE625*(1-'P-Parametri'!$B$6*AD625))*(1+'1-Input'!$B$27))</f>
        <v>84145.425501066202</v>
      </c>
      <c r="AG625" s="18">
        <f>IF($A625&gt;'1-Input'!$B$26,AI624,(AI624-AE625)*(1+$C$4))</f>
        <v>284864.72820640134</v>
      </c>
      <c r="AH625" s="18">
        <f>IF($A625&gt;'1-Input'!$B$26,AF625,AF625-'P-Parametri'!$B$8*(AG625+AF625)+MIN(MAX(AG625,0),'P-Parametri'!$B$8*(AG625+AF625)))</f>
        <v>84145.425501066202</v>
      </c>
      <c r="AI625" s="18">
        <f>IF($A625&gt;'1-Input'!$B$26,AG625,AG625-MIN(MAX(AG625,0),'P-Parametri'!$B$8*(AG625+AF625)))</f>
        <v>284126.70789898641</v>
      </c>
      <c r="AJ625" s="18">
        <f>IF($A625&gt;'1-Input'!$B$26,AJ624,AJ624-AE625*(1-AD625))</f>
        <v>184281.60202593292</v>
      </c>
      <c r="AK625" s="11">
        <f>IF($A625&gt;'1-Input'!$B$26,0,IF(AP624&lt;=0,0,MAX(0,(AP624-AQ624)/AP624)))</f>
        <v>0.33368366264957511</v>
      </c>
      <c r="AL625" s="18">
        <f>IF($A625&gt;'1-Input'!$B$26,0,(MAX(0,AK616-IF($A625&gt;='1-Input'!$C$12,'1-Input'!$B$12,0))-MIN(MAX(AO624,0),MAX(0,AK616-IF($A625&gt;='1-Input'!$C$12,'1-Input'!$B$12,0))))*(1/(1-'P-Parametri'!$B$6*AK625))+MIN(MAX(0,AP624-(MAX(0,AK616-IF($A625&gt;='1-Input'!$C$12,'1-Input'!$B$12,0))-MIN(MAX(AO624,0),MAX(0,AK616-IF($A625&gt;='1-Input'!$C$12,'1-Input'!$B$12,0))))*(1/(1-'P-Parametri'!$B$6*AK625))),MAX(0,5*AK616-(AO624-MIN(MAX(AO624,0),MAX(0,AK616-IF($A625&gt;='1-Input'!$C$12,'1-Input'!$B$12,0)))))*(1/(1-'P-Parametri'!$B$6*AK625))))</f>
        <v>18826.749231821628</v>
      </c>
      <c r="AM625" s="18">
        <f>IF($A625&gt;'1-Input'!$B$26,AO624,(AO624-MAX(0,AK616-IF($A625&gt;='1-Input'!$C$12,'1-Input'!$B$12,0))+AL625*(1-'P-Parametri'!$B$6*AK625))*(1+'1-Input'!$B$27))</f>
        <v>84142.861530128604</v>
      </c>
      <c r="AN625" s="18">
        <f>IF($A625&gt;'1-Input'!$B$26,AP624,(AP624-AL625)*(1+$C$4))</f>
        <v>284872.30053508177</v>
      </c>
      <c r="AO625" s="18">
        <f>IF($A625&gt;'1-Input'!$B$26,AM625,AM625-'P-Parametri'!$B$8*(AN625+AM625)+MIN(MAX(AN625,0),'P-Parametri'!$B$8*(AN625+AM625)))</f>
        <v>84142.861530128604</v>
      </c>
      <c r="AP625" s="18">
        <f>IF($A625&gt;'1-Input'!$B$26,AN625,AN625-MIN(MAX(AN625,0),'P-Parametri'!$B$8*(AN625+AM625)))</f>
        <v>284134.27021095133</v>
      </c>
      <c r="AQ625" s="18">
        <f>IF($A625&gt;'1-Input'!$B$26,AQ624,AQ624-AL625*(1-AK625))</f>
        <v>184286.47369429626</v>
      </c>
    </row>
    <row r="626" spans="1:43">
      <c r="A626" s="10">
        <f>8</f>
        <v>8</v>
      </c>
      <c r="B626" s="11">
        <f>IF($A626&gt;'1-Input'!$B$26,0,IF(G625&lt;=0,0,MAX(0,(G625-H625)/G625)))</f>
        <v>0.35145750886118754</v>
      </c>
      <c r="C626" s="18">
        <f>IF($A626&gt;'1-Input'!$B$26,0,(MAX(0,B616-IF($A626&gt;='1-Input'!$C$12,'1-Input'!$B$12,0))-MIN(MAX(F625,0),MAX(0,B616-IF($A626&gt;='1-Input'!$C$12,'1-Input'!$B$12,0))))*(1/(1-'P-Parametri'!$B$6*B626))+MIN(MAX(0,G625-(MAX(0,B616-IF($A626&gt;='1-Input'!$C$12,'1-Input'!$B$12,0))-MIN(MAX(F625,0),MAX(0,B616-IF($A626&gt;='1-Input'!$C$12,'1-Input'!$B$12,0))))*(1/(1-'P-Parametri'!$B$6*B626))),MAX(0,5*B616-(F625-MIN(MAX(F625,0),MAX(0,B616-IF($A626&gt;='1-Input'!$C$12,'1-Input'!$B$12,0)))))*(1/(1-'P-Parametri'!$B$6*B626))))</f>
        <v>18689.105159237803</v>
      </c>
      <c r="D626" s="18">
        <f>IF($A626&gt;'1-Input'!$B$26,F625,(F625-MAX(0,B616-IF($A626&gt;='1-Input'!$C$12,'1-Input'!$B$12,0))+C626*(1-'P-Parametri'!$B$6*B626))*(1+'1-Input'!$B$27))</f>
        <v>83105.01757746574</v>
      </c>
      <c r="E626" s="18">
        <f>IF($A626&gt;'1-Input'!$B$26,G625,(G625-C626)*(1+$C$4))</f>
        <v>276561.4380934544</v>
      </c>
      <c r="F626" s="18">
        <f>IF($A626&gt;'1-Input'!$B$26,D626,D626-'P-Parametri'!$B$8*(E626+D626)+MIN(MAX(E626,0),'P-Parametri'!$B$8*(E626+D626)))</f>
        <v>83105.01757746574</v>
      </c>
      <c r="G626" s="18">
        <f>IF($A626&gt;'1-Input'!$B$26,E626,E626-MIN(MAX(E626,0),'P-Parametri'!$B$8*(E626+D626)))</f>
        <v>275842.10518211254</v>
      </c>
      <c r="H626" s="18">
        <f>IF($A626&gt;'1-Input'!$B$26,H625,H625-C626*(1-B626))</f>
        <v>174137.71263501103</v>
      </c>
      <c r="I626" s="11">
        <f>IF($A626&gt;'1-Input'!$B$26,0,IF(N625&lt;=0,0,MAX(0,(N625-O625)/N625)))</f>
        <v>0.35000289454983086</v>
      </c>
      <c r="J626" s="18">
        <f>IF($A626&gt;'1-Input'!$B$26,0,(MAX(0,I616-IF($A626&gt;='1-Input'!$C$12,'1-Input'!$B$12,0))-MIN(MAX(M625,0),MAX(0,I616-IF($A626&gt;='1-Input'!$C$12,'1-Input'!$B$12,0))))*(1/(1-'P-Parametri'!$B$6*I626))+MIN(MAX(0,N625-(MAX(0,I616-IF($A626&gt;='1-Input'!$C$12,'1-Input'!$B$12,0))-MIN(MAX(M625,0),MAX(0,I616-IF($A626&gt;='1-Input'!$C$12,'1-Input'!$B$12,0))))*(1/(1-'P-Parametri'!$B$6*I626))),MAX(0,5*I616-(M625-MIN(MAX(M625,0),MAX(0,I616-IF($A626&gt;='1-Input'!$C$12,'1-Input'!$B$12,0)))))*(1/(1-'P-Parametri'!$B$6*I626))))</f>
        <v>24580.696499246049</v>
      </c>
      <c r="K626" s="18">
        <f>IF($A626&gt;'1-Input'!$B$26,M625,(M625-MAX(0,I616-IF($A626&gt;='1-Input'!$C$12,'1-Input'!$B$12,0))+J626*(1-'P-Parametri'!$B$6*I626))*(1+'1-Input'!$B$27))</f>
        <v>109348.70733877072</v>
      </c>
      <c r="L626" s="18">
        <f>IF($A626&gt;'1-Input'!$B$26,N625,(N625-J626)*(1+$C$4))</f>
        <v>190775.99380586544</v>
      </c>
      <c r="M626" s="18">
        <f>IF($A626&gt;'1-Input'!$B$26,K626,K626-'P-Parametri'!$B$8*(L626+K626)+MIN(MAX(L626,0),'P-Parametri'!$B$8*(L626+K626)))</f>
        <v>109348.70733877072</v>
      </c>
      <c r="N626" s="18">
        <f>IF($A626&gt;'1-Input'!$B$26,L626,L626-MIN(MAX(L626,0),'P-Parametri'!$B$8*(L626+K626)))</f>
        <v>190175.74440357616</v>
      </c>
      <c r="O626" s="18">
        <f>IF($A626&gt;'1-Input'!$B$26,O625,O625-J626*(1-I626))</f>
        <v>120392.08132348732</v>
      </c>
      <c r="P626" s="11">
        <f>IF($A626&gt;'1-Input'!$B$26,0,IF(U625&lt;=0,0,MAX(0,(U625-V625)/U625)))</f>
        <v>0.35141860689762217</v>
      </c>
      <c r="Q626" s="18">
        <f>IF($A626&gt;'1-Input'!$B$26,0,(MAX(0,P616-IF($A626&gt;='1-Input'!$C$12,'1-Input'!$B$12,0))-MIN(MAX(T625,0),MAX(0,P616-IF($A626&gt;='1-Input'!$C$12,'1-Input'!$B$12,0))))*(1/(1-'P-Parametri'!$B$6*P626))+MIN(MAX(0,U625-(MAX(0,P616-IF($A626&gt;='1-Input'!$C$12,'1-Input'!$B$12,0))-MIN(MAX(T625,0),MAX(0,P616-IF($A626&gt;='1-Input'!$C$12,'1-Input'!$B$12,0))))*(1/(1-'P-Parametri'!$B$6*P626))),MAX(0,5*P616-(T625-MIN(MAX(T625,0),MAX(0,P616-IF($A626&gt;='1-Input'!$C$12,'1-Input'!$B$12,0)))))*(1/(1-'P-Parametri'!$B$6*P626))))</f>
        <v>18882.727677560073</v>
      </c>
      <c r="R626" s="18">
        <f>IF($A626&gt;'1-Input'!$B$26,T625,(T625-MAX(0,P616-IF($A626&gt;='1-Input'!$C$12,'1-Input'!$B$12,0))+Q626*(1-'P-Parametri'!$B$6*P626))*(1+'1-Input'!$B$27))</f>
        <v>83966.9353144864</v>
      </c>
      <c r="S626" s="18">
        <f>IF($A626&gt;'1-Input'!$B$26,U625,(U625-Q626)*(1+$C$4))</f>
        <v>273743.54191644565</v>
      </c>
      <c r="T626" s="18">
        <f>IF($A626&gt;'1-Input'!$B$26,R626,R626-'P-Parametri'!$B$8*(S626+R626)+MIN(MAX(S626,0),'P-Parametri'!$B$8*(S626+R626)))</f>
        <v>83966.9353144864</v>
      </c>
      <c r="U626" s="18">
        <f>IF($A626&gt;'1-Input'!$B$26,S626,S626-MIN(MAX(S626,0),'P-Parametri'!$B$8*(S626+R626)))</f>
        <v>273028.1209619838</v>
      </c>
      <c r="V626" s="18">
        <f>IF($A626&gt;'1-Input'!$B$26,V625,V625-Q626*(1-P626))</f>
        <v>172373.75511548296</v>
      </c>
      <c r="W626" s="11">
        <f>IF($A626&gt;'1-Input'!$B$26,0,IF(AB625&lt;=0,0,MAX(0,(AB625-AC625)/AB625)))</f>
        <v>0.35141204336306869</v>
      </c>
      <c r="X626" s="18">
        <f>IF($A626&gt;'1-Input'!$B$26,0,(MAX(0,W616-IF($A626&gt;='1-Input'!$C$12,'1-Input'!$B$12,0))-MIN(MAX(AA625,0),MAX(0,W616-IF($A626&gt;='1-Input'!$C$12,'1-Input'!$B$12,0))))*(1/(1-'P-Parametri'!$B$6*W626))+MIN(MAX(0,AB625-(MAX(0,W616-IF($A626&gt;='1-Input'!$C$12,'1-Input'!$B$12,0))-MIN(MAX(AA625,0),MAX(0,W616-IF($A626&gt;='1-Input'!$C$12,'1-Input'!$B$12,0))))*(1/(1-'P-Parametri'!$B$6*W626))),MAX(0,5*W616-(AA625-MIN(MAX(AA625,0),MAX(0,W616-IF($A626&gt;='1-Input'!$C$12,'1-Input'!$B$12,0)))))*(1/(1-'P-Parametri'!$B$6*W626))))</f>
        <v>18915.161062152834</v>
      </c>
      <c r="Y626" s="18">
        <f>IF($A626&gt;'1-Input'!$B$26,AA625,(AA625-MAX(0,W616-IF($A626&gt;='1-Input'!$C$12,'1-Input'!$B$12,0))+X626*(1-'P-Parametri'!$B$6*W626))*(1+'1-Input'!$B$27))</f>
        <v>84111.316723481417</v>
      </c>
      <c r="Z626" s="18">
        <f>IF($A626&gt;'1-Input'!$B$26,AB625,(AB625-X626)*(1+$C$4))</f>
        <v>273271.51356193941</v>
      </c>
      <c r="AA626" s="18">
        <f>IF($A626&gt;'1-Input'!$B$26,Y626,Y626-'P-Parametri'!$B$8*(Z626+Y626)+MIN(MAX(Z626,0),'P-Parametri'!$B$8*(Z626+Y626)))</f>
        <v>84111.316723481417</v>
      </c>
      <c r="AB626" s="18">
        <f>IF($A626&gt;'1-Input'!$B$26,Z626,Z626-MIN(MAX(Z626,0),'P-Parametri'!$B$8*(Z626+Y626)))</f>
        <v>272556.7479013686</v>
      </c>
      <c r="AC626" s="18">
        <f>IF($A626&gt;'1-Input'!$B$26,AC625,AC625-X626*(1-W626))</f>
        <v>172078.264648757</v>
      </c>
      <c r="AD626" s="11">
        <f>IF($A626&gt;'1-Input'!$B$26,0,IF(AI625&lt;=0,0,MAX(0,(AI625-AJ625)/AI625)))</f>
        <v>0.35141049080310577</v>
      </c>
      <c r="AE626" s="18">
        <f>IF($A626&gt;'1-Input'!$B$26,0,(MAX(0,AD616-IF($A626&gt;='1-Input'!$C$12,'1-Input'!$B$12,0))-MIN(MAX(AH625,0),MAX(0,AD616-IF($A626&gt;='1-Input'!$C$12,'1-Input'!$B$12,0))))*(1/(1-'P-Parametri'!$B$6*AD626))+MIN(MAX(0,AI625-(MAX(0,AD616-IF($A626&gt;='1-Input'!$C$12,'1-Input'!$B$12,0))-MIN(MAX(AH625,0),MAX(0,AD616-IF($A626&gt;='1-Input'!$C$12,'1-Input'!$B$12,0))))*(1/(1-'P-Parametri'!$B$6*AD626))),MAX(0,5*AD616-(AH625-MIN(MAX(AH625,0),MAX(0,AD616-IF($A626&gt;='1-Input'!$C$12,'1-Input'!$B$12,0)))))*(1/(1-'P-Parametri'!$B$6*AD626))))</f>
        <v>18922.823121890546</v>
      </c>
      <c r="AF626" s="18">
        <f>IF($A626&gt;'1-Input'!$B$26,AH625,(AH625-MAX(0,AD616-IF($A626&gt;='1-Input'!$C$12,'1-Input'!$B$12,0))+AE626*(1-'P-Parametri'!$B$6*AD626))*(1+'1-Input'!$B$27))</f>
        <v>84145.425501066202</v>
      </c>
      <c r="AG626" s="18">
        <f>IF($A626&gt;'1-Input'!$B$26,AI625,(AI625-AE626)*(1+$C$4))</f>
        <v>273160.00132040877</v>
      </c>
      <c r="AH626" s="18">
        <f>IF($A626&gt;'1-Input'!$B$26,AF626,AF626-'P-Parametri'!$B$8*(AG626+AF626)+MIN(MAX(AG626,0),'P-Parametri'!$B$8*(AG626+AF626)))</f>
        <v>84145.425501066202</v>
      </c>
      <c r="AI626" s="18">
        <f>IF($A626&gt;'1-Input'!$B$26,AG626,AG626-MIN(MAX(AG626,0),'P-Parametri'!$B$8*(AG626+AF626)))</f>
        <v>272445.39046676585</v>
      </c>
      <c r="AJ626" s="18">
        <f>IF($A626&gt;'1-Input'!$B$26,AJ625,AJ625-AE626*(1-AD626))</f>
        <v>172008.4574646863</v>
      </c>
      <c r="AK626" s="11">
        <f>IF($A626&gt;'1-Input'!$B$26,0,IF(AP625&lt;=0,0,MAX(0,(AP625-AQ625)/AP625)))</f>
        <v>0.35141060753609388</v>
      </c>
      <c r="AL626" s="18">
        <f>IF($A626&gt;'1-Input'!$B$26,0,(MAX(0,AK616-IF($A626&gt;='1-Input'!$C$12,'1-Input'!$B$12,0))-MIN(MAX(AO625,0),MAX(0,AK616-IF($A626&gt;='1-Input'!$C$12,'1-Input'!$B$12,0))))*(1/(1-'P-Parametri'!$B$6*AK626))+MIN(MAX(0,AP625-(MAX(0,AK616-IF($A626&gt;='1-Input'!$C$12,'1-Input'!$B$12,0))-MIN(MAX(AO625,0),MAX(0,AK616-IF($A626&gt;='1-Input'!$C$12,'1-Input'!$B$12,0))))*(1/(1-'P-Parametri'!$B$6*AK626))),MAX(0,5*AK616-(AO625-MIN(MAX(AO625,0),MAX(0,AK616-IF($A626&gt;='1-Input'!$C$12,'1-Input'!$B$12,0)))))*(1/(1-'P-Parametri'!$B$6*AK626))))</f>
        <v>18922.247162066378</v>
      </c>
      <c r="AM626" s="18">
        <f>IF($A626&gt;'1-Input'!$B$26,AO625,(AO625-MAX(0,AK616-IF($A626&gt;='1-Input'!$C$12,'1-Input'!$B$12,0))+AL626*(1-'P-Parametri'!$B$6*AK626))*(1+'1-Input'!$B$27))</f>
        <v>84142.861530128604</v>
      </c>
      <c r="AN626" s="18">
        <f>IF($A626&gt;'1-Input'!$B$26,AP625,(AP625-AL626)*(1+$C$4))</f>
        <v>273168.38374035148</v>
      </c>
      <c r="AO626" s="18">
        <f>IF($A626&gt;'1-Input'!$B$26,AM626,AM626-'P-Parametri'!$B$8*(AN626+AM626)+MIN(MAX(AN626,0),'P-Parametri'!$B$8*(AN626+AM626)))</f>
        <v>84142.861530128604</v>
      </c>
      <c r="AP626" s="18">
        <f>IF($A626&gt;'1-Input'!$B$26,AN626,AN626-MIN(MAX(AN626,0),'P-Parametri'!$B$8*(AN626+AM626)))</f>
        <v>272453.76124981052</v>
      </c>
      <c r="AQ626" s="18">
        <f>IF($A626&gt;'1-Input'!$B$26,AQ625,AQ625-AL626*(1-AK626))</f>
        <v>172013.70490339975</v>
      </c>
    </row>
    <row r="627" spans="1:43">
      <c r="A627" s="10">
        <f>9</f>
        <v>9</v>
      </c>
      <c r="B627" s="11">
        <f>IF($A627&gt;'1-Input'!$B$26,0,IF(G626&lt;=0,0,MAX(0,(G626-H626)/G626)))</f>
        <v>0.36870510569789805</v>
      </c>
      <c r="C627" s="18">
        <f>IF($A627&gt;'1-Input'!$B$26,0,(MAX(0,B616-IF($A627&gt;='1-Input'!$C$12,'1-Input'!$B$12,0))-MIN(MAX(F626,0),MAX(0,B616-IF($A627&gt;='1-Input'!$C$12,'1-Input'!$B$12,0))))*(1/(1-'P-Parametri'!$B$6*B627))+MIN(MAX(0,G626-(MAX(0,B616-IF($A627&gt;='1-Input'!$C$12,'1-Input'!$B$12,0))-MIN(MAX(F626,0),MAX(0,B616-IF($A627&gt;='1-Input'!$C$12,'1-Input'!$B$12,0))))*(1/(1-'P-Parametri'!$B$6*B627))),MAX(0,5*B616-(F626-MIN(MAX(F626,0),MAX(0,B616-IF($A627&gt;='1-Input'!$C$12,'1-Input'!$B$12,0)))))*(1/(1-'P-Parametri'!$B$6*B627))))</f>
        <v>18781.800170748786</v>
      </c>
      <c r="D627" s="18">
        <f>IF($A627&gt;'1-Input'!$B$26,F626,(F626-MAX(0,B616-IF($A627&gt;='1-Input'!$C$12,'1-Input'!$B$12,0))+C627*(1-'P-Parametri'!$B$6*B627))*(1+'1-Input'!$B$27))</f>
        <v>83105.01757746574</v>
      </c>
      <c r="E627" s="18">
        <f>IF($A627&gt;'1-Input'!$B$26,G626,(G626-C627)*(1+$C$4))</f>
        <v>264772.11416170467</v>
      </c>
      <c r="F627" s="18">
        <f>IF($A627&gt;'1-Input'!$B$26,D627,D627-'P-Parametri'!$B$8*(E627+D627)+MIN(MAX(E627,0),'P-Parametri'!$B$8*(E627+D627)))</f>
        <v>83105.01757746574</v>
      </c>
      <c r="G627" s="18">
        <f>IF($A627&gt;'1-Input'!$B$26,E627,E627-MIN(MAX(E627,0),'P-Parametri'!$B$8*(E627+D627)))</f>
        <v>264076.35989822634</v>
      </c>
      <c r="H627" s="18">
        <f>IF($A627&gt;'1-Input'!$B$26,H626,H626-C627*(1-B627))</f>
        <v>162280.85808141498</v>
      </c>
      <c r="I627" s="11">
        <f>IF($A627&gt;'1-Input'!$B$26,0,IF(N626&lt;=0,0,MAX(0,(N626-O626)/N626)))</f>
        <v>0.36694302577304172</v>
      </c>
      <c r="J627" s="18">
        <f>IF($A627&gt;'1-Input'!$B$26,0,(MAX(0,I616-IF($A627&gt;='1-Input'!$C$12,'1-Input'!$B$12,0))-MIN(MAX(M626,0),MAX(0,I616-IF($A627&gt;='1-Input'!$C$12,'1-Input'!$B$12,0))))*(1/(1-'P-Parametri'!$B$6*I627))+MIN(MAX(0,N626-(MAX(0,I616-IF($A627&gt;='1-Input'!$C$12,'1-Input'!$B$12,0))-MIN(MAX(M626,0),MAX(0,I616-IF($A627&gt;='1-Input'!$C$12,'1-Input'!$B$12,0))))*(1/(1-'P-Parametri'!$B$6*I627))),MAX(0,5*I616-(M626-MIN(MAX(M626,0),MAX(0,I616-IF($A627&gt;='1-Input'!$C$12,'1-Input'!$B$12,0)))))*(1/(1-'P-Parametri'!$B$6*I627))))</f>
        <v>24700.378877162304</v>
      </c>
      <c r="K627" s="18">
        <f>IF($A627&gt;'1-Input'!$B$26,M626,(M626-MAX(0,I616-IF($A627&gt;='1-Input'!$C$12,'1-Input'!$B$12,0))+J627*(1-'P-Parametri'!$B$6*I627))*(1+'1-Input'!$B$27))</f>
        <v>109348.70733877072</v>
      </c>
      <c r="L627" s="18">
        <f>IF($A627&gt;'1-Input'!$B$26,N626,(N626-J627)*(1+$C$4))</f>
        <v>170439.6264922063</v>
      </c>
      <c r="M627" s="18">
        <f>IF($A627&gt;'1-Input'!$B$26,K627,K627-'P-Parametri'!$B$8*(L627+K627)+MIN(MAX(L627,0),'P-Parametri'!$B$8*(L627+K627)))</f>
        <v>109348.70733877072</v>
      </c>
      <c r="N627" s="18">
        <f>IF($A627&gt;'1-Input'!$B$26,L627,L627-MIN(MAX(L627,0),'P-Parametri'!$B$8*(L627+K627)))</f>
        <v>169880.04982454435</v>
      </c>
      <c r="O627" s="18">
        <f>IF($A627&gt;'1-Input'!$B$26,O626,O626-J627*(1-I627))</f>
        <v>104755.33420925148</v>
      </c>
      <c r="P627" s="11">
        <f>IF($A627&gt;'1-Input'!$B$26,0,IF(U626&lt;=0,0,MAX(0,(U626-V626)/U626)))</f>
        <v>0.36865933623194758</v>
      </c>
      <c r="Q627" s="18">
        <f>IF($A627&gt;'1-Input'!$B$26,0,(MAX(0,P616-IF($A627&gt;='1-Input'!$C$12,'1-Input'!$B$12,0))-MIN(MAX(T626,0),MAX(0,P616-IF($A627&gt;='1-Input'!$C$12,'1-Input'!$B$12,0))))*(1/(1-'P-Parametri'!$B$6*P627))+MIN(MAX(0,U626-(MAX(0,P616-IF($A627&gt;='1-Input'!$C$12,'1-Input'!$B$12,0))-MIN(MAX(T626,0),MAX(0,P616-IF($A627&gt;='1-Input'!$C$12,'1-Input'!$B$12,0))))*(1/(1-'P-Parametri'!$B$6*P627))),MAX(0,5*P616-(T626-MIN(MAX(T626,0),MAX(0,P616-IF($A627&gt;='1-Input'!$C$12,'1-Input'!$B$12,0)))))*(1/(1-'P-Parametri'!$B$6*P627))))</f>
        <v>18976.344503137723</v>
      </c>
      <c r="R627" s="18">
        <f>IF($A627&gt;'1-Input'!$B$26,T626,(T626-MAX(0,P616-IF($A627&gt;='1-Input'!$C$12,'1-Input'!$B$12,0))+Q627*(1-'P-Parametri'!$B$6*P627))*(1+'1-Input'!$B$27))</f>
        <v>83966.9353144864</v>
      </c>
      <c r="S627" s="18">
        <f>IF($A627&gt;'1-Input'!$B$26,U626,(U626-Q627)*(1+$C$4))</f>
        <v>261673.32975261146</v>
      </c>
      <c r="T627" s="18">
        <f>IF($A627&gt;'1-Input'!$B$26,R627,R627-'P-Parametri'!$B$8*(S627+R627)+MIN(MAX(S627,0),'P-Parametri'!$B$8*(S627+R627)))</f>
        <v>83966.9353144864</v>
      </c>
      <c r="U627" s="18">
        <f>IF($A627&gt;'1-Input'!$B$26,S627,S627-MIN(MAX(S627,0),'P-Parametri'!$B$8*(S627+R627)))</f>
        <v>260982.04922247728</v>
      </c>
      <c r="V627" s="18">
        <f>IF($A627&gt;'1-Input'!$B$26,V626,V626-Q627*(1-P627))</f>
        <v>160393.21718098075</v>
      </c>
      <c r="W627" s="11">
        <f>IF($A627&gt;'1-Input'!$B$26,0,IF(AB626&lt;=0,0,MAX(0,(AB626-AC626)/AB626)))</f>
        <v>0.36865160751394133</v>
      </c>
      <c r="X627" s="18">
        <f>IF($A627&gt;'1-Input'!$B$26,0,(MAX(0,W616-IF($A627&gt;='1-Input'!$C$12,'1-Input'!$B$12,0))-MIN(MAX(AA626,0),MAX(0,W616-IF($A627&gt;='1-Input'!$C$12,'1-Input'!$B$12,0))))*(1/(1-'P-Parametri'!$B$6*W627))+MIN(MAX(0,AB626-(MAX(0,W616-IF($A627&gt;='1-Input'!$C$12,'1-Input'!$B$12,0))-MIN(MAX(AA626,0),MAX(0,W616-IF($A627&gt;='1-Input'!$C$12,'1-Input'!$B$12,0))))*(1/(1-'P-Parametri'!$B$6*W627))),MAX(0,5*W616-(AA626-MIN(MAX(AA626,0),MAX(0,W616-IF($A627&gt;='1-Input'!$C$12,'1-Input'!$B$12,0)))))*(1/(1-'P-Parametri'!$B$6*W627))))</f>
        <v>19008.932139833752</v>
      </c>
      <c r="Y627" s="18">
        <f>IF($A627&gt;'1-Input'!$B$26,AA626,(AA626-MAX(0,W616-IF($A627&gt;='1-Input'!$C$12,'1-Input'!$B$12,0))+X627*(1-'P-Parametri'!$B$6*W627))*(1+'1-Input'!$B$27))</f>
        <v>84111.316723481417</v>
      </c>
      <c r="Z627" s="18">
        <f>IF($A627&gt;'1-Input'!$B$26,AB626,(AB626-X627)*(1+$C$4))</f>
        <v>261154.25023438089</v>
      </c>
      <c r="AA627" s="18">
        <f>IF($A627&gt;'1-Input'!$B$26,Y627,Y627-'P-Parametri'!$B$8*(Z627+Y627)+MIN(MAX(Z627,0),'P-Parametri'!$B$8*(Z627+Y627)))</f>
        <v>84111.316723481417</v>
      </c>
      <c r="AB627" s="18">
        <f>IF($A627&gt;'1-Input'!$B$26,Z627,Z627-MIN(MAX(Z627,0),'P-Parametri'!$B$8*(Z627+Y627)))</f>
        <v>260463.71910046515</v>
      </c>
      <c r="AC627" s="18">
        <f>IF($A627&gt;'1-Input'!$B$26,AC626,AC626-X627*(1-W627))</f>
        <v>160077.00589939638</v>
      </c>
      <c r="AD627" s="11">
        <f>IF($A627&gt;'1-Input'!$B$26,0,IF(AI626&lt;=0,0,MAX(0,(AI626-AJ626)/AI626)))</f>
        <v>0.36864977906216884</v>
      </c>
      <c r="AE627" s="18">
        <f>IF($A627&gt;'1-Input'!$B$26,0,(MAX(0,AD616-IF($A627&gt;='1-Input'!$C$12,'1-Input'!$B$12,0))-MIN(MAX(AH626,0),MAX(0,AD616-IF($A627&gt;='1-Input'!$C$12,'1-Input'!$B$12,0))))*(1/(1-'P-Parametri'!$B$6*AD627))+MIN(MAX(0,AI626-(MAX(0,AD616-IF($A627&gt;='1-Input'!$C$12,'1-Input'!$B$12,0))-MIN(MAX(AH626,0),MAX(0,AD616-IF($A627&gt;='1-Input'!$C$12,'1-Input'!$B$12,0))))*(1/(1-'P-Parametri'!$B$6*AD627))),MAX(0,5*AD616-(AH626-MIN(MAX(AH626,0),MAX(0,AD616-IF($A627&gt;='1-Input'!$C$12,'1-Input'!$B$12,0)))))*(1/(1-'P-Parametri'!$B$6*AD627))))</f>
        <v>19016.630633306733</v>
      </c>
      <c r="AF627" s="18">
        <f>IF($A627&gt;'1-Input'!$B$26,AH626,(AH626-MAX(0,AD616-IF($A627&gt;='1-Input'!$C$12,'1-Input'!$B$12,0))+AE627*(1-'P-Parametri'!$B$6*AD627))*(1+'1-Input'!$B$27))</f>
        <v>84145.425501066202</v>
      </c>
      <c r="AG627" s="18">
        <f>IF($A627&gt;'1-Input'!$B$26,AI626,(AI626-AE627)*(1+$C$4))</f>
        <v>261031.62262846288</v>
      </c>
      <c r="AH627" s="18">
        <f>IF($A627&gt;'1-Input'!$B$26,AF627,AF627-'P-Parametri'!$B$8*(AG627+AF627)+MIN(MAX(AG627,0),'P-Parametri'!$B$8*(AG627+AF627)))</f>
        <v>84145.425501066202</v>
      </c>
      <c r="AI627" s="18">
        <f>IF($A627&gt;'1-Input'!$B$26,AG627,AG627-MIN(MAX(AG627,0),'P-Parametri'!$B$8*(AG627+AF627)))</f>
        <v>260341.26853220383</v>
      </c>
      <c r="AJ627" s="18">
        <f>IF($A627&gt;'1-Input'!$B$26,AJ626,AJ626-AE627*(1-AD627))</f>
        <v>160002.30351285497</v>
      </c>
      <c r="AK627" s="11">
        <f>IF($A627&gt;'1-Input'!$B$26,0,IF(AP626&lt;=0,0,MAX(0,(AP626-AQ626)/AP626)))</f>
        <v>0.36864991654241891</v>
      </c>
      <c r="AL627" s="18">
        <f>IF($A627&gt;'1-Input'!$B$26,0,(MAX(0,AK616-IF($A627&gt;='1-Input'!$C$12,'1-Input'!$B$12,0))-MIN(MAX(AO626,0),MAX(0,AK616-IF($A627&gt;='1-Input'!$C$12,'1-Input'!$B$12,0))))*(1/(1-'P-Parametri'!$B$6*AK627))+MIN(MAX(0,AP626-(MAX(0,AK616-IF($A627&gt;='1-Input'!$C$12,'1-Input'!$B$12,0))-MIN(MAX(AO626,0),MAX(0,AK616-IF($A627&gt;='1-Input'!$C$12,'1-Input'!$B$12,0))))*(1/(1-'P-Parametri'!$B$6*AK627))),MAX(0,5*AK616-(AO626-MIN(MAX(AO626,0),MAX(0,AK616-IF($A627&gt;='1-Input'!$C$12,'1-Input'!$B$12,0)))))*(1/(1-'P-Parametri'!$B$6*AK627))))</f>
        <v>19016.051934835494</v>
      </c>
      <c r="AM627" s="18">
        <f>IF($A627&gt;'1-Input'!$B$26,AO626,(AO626-MAX(0,AK616-IF($A627&gt;='1-Input'!$C$12,'1-Input'!$B$12,0))+AL627*(1-'P-Parametri'!$B$6*AK627))*(1+'1-Input'!$B$27))</f>
        <v>84142.861530128604</v>
      </c>
      <c r="AN627" s="18">
        <f>IF($A627&gt;'1-Input'!$B$26,AP626,(AP626-AL627)*(1+$C$4))</f>
        <v>261040.84059442428</v>
      </c>
      <c r="AO627" s="18">
        <f>IF($A627&gt;'1-Input'!$B$26,AM627,AM627-'P-Parametri'!$B$8*(AN627+AM627)+MIN(MAX(AN627,0),'P-Parametri'!$B$8*(AN627+AM627)))</f>
        <v>84142.861530128604</v>
      </c>
      <c r="AP627" s="18">
        <f>IF($A627&gt;'1-Input'!$B$26,AN627,AN627-MIN(MAX(AN627,0),'P-Parametri'!$B$8*(AN627+AM627)))</f>
        <v>260350.47319017517</v>
      </c>
      <c r="AQ627" s="18">
        <f>IF($A627&gt;'1-Input'!$B$26,AQ626,AQ626-AL627*(1-AK627))</f>
        <v>160007.91892730765</v>
      </c>
    </row>
    <row r="628" spans="1:43">
      <c r="A628" s="10">
        <f>10</f>
        <v>10</v>
      </c>
      <c r="B628" s="11">
        <f>IF($A628&gt;'1-Input'!$B$26,0,IF(G627&lt;=0,0,MAX(0,(G627-H627)/G627)))</f>
        <v>0.38547752572794786</v>
      </c>
      <c r="C628" s="18">
        <f>IF($A628&gt;'1-Input'!$B$26,0,(MAX(0,B616-IF($A628&gt;='1-Input'!$C$12,'1-Input'!$B$12,0))-MIN(MAX(F627,0),MAX(0,B616-IF($A628&gt;='1-Input'!$C$12,'1-Input'!$B$12,0))))*(1/(1-'P-Parametri'!$B$6*B628))+MIN(MAX(0,G627-(MAX(0,B616-IF($A628&gt;='1-Input'!$C$12,'1-Input'!$B$12,0))-MIN(MAX(F627,0),MAX(0,B616-IF($A628&gt;='1-Input'!$C$12,'1-Input'!$B$12,0))))*(1/(1-'P-Parametri'!$B$6*B628))),MAX(0,5*B616-(F627-MIN(MAX(F627,0),MAX(0,B616-IF($A628&gt;='1-Input'!$C$12,'1-Input'!$B$12,0)))))*(1/(1-'P-Parametri'!$B$6*B628))))</f>
        <v>18872.827534251388</v>
      </c>
      <c r="D628" s="18">
        <f>IF($A628&gt;'1-Input'!$B$26,F627,(F627-MAX(0,B616-IF($A628&gt;='1-Input'!$C$12,'1-Input'!$B$12,0))+C628*(1-'P-Parametri'!$B$6*B628))*(1+'1-Input'!$B$27))</f>
        <v>83105.01757746574</v>
      </c>
      <c r="E628" s="18">
        <f>IF($A628&gt;'1-Input'!$B$26,G627,(G627-C628)*(1+$C$4))</f>
        <v>252559.6383348942</v>
      </c>
      <c r="F628" s="18">
        <f>IF($A628&gt;'1-Input'!$B$26,D628,D628-'P-Parametri'!$B$8*(E628+D628)+MIN(MAX(E628,0),'P-Parametri'!$B$8*(E628+D628)))</f>
        <v>83105.01757746574</v>
      </c>
      <c r="G628" s="18">
        <f>IF($A628&gt;'1-Input'!$B$26,E628,E628-MIN(MAX(E628,0),'P-Parametri'!$B$8*(E628+D628)))</f>
        <v>251888.30902306948</v>
      </c>
      <c r="H628" s="18">
        <f>IF($A628&gt;'1-Input'!$B$26,H627,H627-C628*(1-B628))</f>
        <v>150683.0814085571</v>
      </c>
      <c r="I628" s="11">
        <f>IF($A628&gt;'1-Input'!$B$26,0,IF(N627&lt;=0,0,MAX(0,(N627-O627)/N627)))</f>
        <v>0.38335705506653095</v>
      </c>
      <c r="J628" s="18">
        <f>IF($A628&gt;'1-Input'!$B$26,0,(MAX(0,I616-IF($A628&gt;='1-Input'!$C$12,'1-Input'!$B$12,0))-MIN(MAX(M627,0),MAX(0,I616-IF($A628&gt;='1-Input'!$C$12,'1-Input'!$B$12,0))))*(1/(1-'P-Parametri'!$B$6*I628))+MIN(MAX(0,N627-(MAX(0,I616-IF($A628&gt;='1-Input'!$C$12,'1-Input'!$B$12,0))-MIN(MAX(M627,0),MAX(0,I616-IF($A628&gt;='1-Input'!$C$12,'1-Input'!$B$12,0))))*(1/(1-'P-Parametri'!$B$6*I628))),MAX(0,5*I616-(M627-MIN(MAX(M627,0),MAX(0,I616-IF($A628&gt;='1-Input'!$C$12,'1-Input'!$B$12,0)))))*(1/(1-'P-Parametri'!$B$6*I628))))</f>
        <v>24817.461330136022</v>
      </c>
      <c r="K628" s="18">
        <f>IF($A628&gt;'1-Input'!$B$26,M627,(M627-MAX(0,I616-IF($A628&gt;='1-Input'!$C$12,'1-Input'!$B$12,0))+J628*(1-'P-Parametri'!$B$6*I628))*(1+'1-Input'!$B$27))</f>
        <v>109348.70733877072</v>
      </c>
      <c r="L628" s="18">
        <f>IF($A628&gt;'1-Input'!$B$26,N627,(N627-J628)*(1+$C$4))</f>
        <v>149414.46614924059</v>
      </c>
      <c r="M628" s="18">
        <f>IF($A628&gt;'1-Input'!$B$26,K628,K628-'P-Parametri'!$B$8*(L628+K628)+MIN(MAX(L628,0),'P-Parametri'!$B$8*(L628+K628)))</f>
        <v>109348.70733877072</v>
      </c>
      <c r="N628" s="18">
        <f>IF($A628&gt;'1-Input'!$B$26,L628,L628-MIN(MAX(L628,0),'P-Parametri'!$B$8*(L628+K628)))</f>
        <v>148896.93980226456</v>
      </c>
      <c r="O628" s="18">
        <f>IF($A628&gt;'1-Input'!$B$26,O627,O627-J628*(1-I628))</f>
        <v>89451.821768863912</v>
      </c>
      <c r="P628" s="11">
        <f>IF($A628&gt;'1-Input'!$B$26,0,IF(U627&lt;=0,0,MAX(0,(U627-V627)/U627)))</f>
        <v>0.38542433221431399</v>
      </c>
      <c r="Q628" s="18">
        <f>IF($A628&gt;'1-Input'!$B$26,0,(MAX(0,P616-IF($A628&gt;='1-Input'!$C$12,'1-Input'!$B$12,0))-MIN(MAX(T627,0),MAX(0,P616-IF($A628&gt;='1-Input'!$C$12,'1-Input'!$B$12,0))))*(1/(1-'P-Parametri'!$B$6*P628))+MIN(MAX(0,U627-(MAX(0,P616-IF($A628&gt;='1-Input'!$C$12,'1-Input'!$B$12,0))-MIN(MAX(T627,0),MAX(0,P616-IF($A628&gt;='1-Input'!$C$12,'1-Input'!$B$12,0))))*(1/(1-'P-Parametri'!$B$6*P628))),MAX(0,5*P616-(T627-MIN(MAX(T627,0),MAX(0,P616-IF($A628&gt;='1-Input'!$C$12,'1-Input'!$B$12,0)))))*(1/(1-'P-Parametri'!$B$6*P628))))</f>
        <v>19068.272617737166</v>
      </c>
      <c r="R628" s="18">
        <f>IF($A628&gt;'1-Input'!$B$26,T627,(T627-MAX(0,P616-IF($A628&gt;='1-Input'!$C$12,'1-Input'!$B$12,0))+Q628*(1-'P-Parametri'!$B$6*P628))*(1+'1-Input'!$B$27))</f>
        <v>83966.9353144864</v>
      </c>
      <c r="S628" s="18">
        <f>IF($A628&gt;'1-Input'!$B$26,U627,(U627-Q628)*(1+$C$4))</f>
        <v>249171.18990288232</v>
      </c>
      <c r="T628" s="18">
        <f>IF($A628&gt;'1-Input'!$B$26,R628,R628-'P-Parametri'!$B$8*(S628+R628)+MIN(MAX(S628,0),'P-Parametri'!$B$8*(S628+R628)))</f>
        <v>83966.9353144864</v>
      </c>
      <c r="U628" s="18">
        <f>IF($A628&gt;'1-Input'!$B$26,S628,S628-MIN(MAX(S628,0),'P-Parametri'!$B$8*(S628+R628)))</f>
        <v>248504.91365244758</v>
      </c>
      <c r="V628" s="18">
        <f>IF($A628&gt;'1-Input'!$B$26,V627,V627-Q628*(1-P628))</f>
        <v>148674.32080341541</v>
      </c>
      <c r="W628" s="11">
        <f>IF($A628&gt;'1-Input'!$B$26,0,IF(AB627&lt;=0,0,MAX(0,(AB627-AC627)/AB627)))</f>
        <v>0.38541534132954602</v>
      </c>
      <c r="X628" s="18">
        <f>IF($A628&gt;'1-Input'!$B$26,0,(MAX(0,W616-IF($A628&gt;='1-Input'!$C$12,'1-Input'!$B$12,0))-MIN(MAX(AA627,0),MAX(0,W616-IF($A628&gt;='1-Input'!$C$12,'1-Input'!$B$12,0))))*(1/(1-'P-Parametri'!$B$6*W628))+MIN(MAX(0,AB627-(MAX(0,W616-IF($A628&gt;='1-Input'!$C$12,'1-Input'!$B$12,0))-MIN(MAX(AA627,0),MAX(0,W616-IF($A628&gt;='1-Input'!$C$12,'1-Input'!$B$12,0))))*(1/(1-'P-Parametri'!$B$6*W628))),MAX(0,5*W616-(AA627-MIN(MAX(AA627,0),MAX(0,W616-IF($A628&gt;='1-Input'!$C$12,'1-Input'!$B$12,0)))))*(1/(1-'P-Parametri'!$B$6*W628))))</f>
        <v>19101.010948465741</v>
      </c>
      <c r="Y628" s="18">
        <f>IF($A628&gt;'1-Input'!$B$26,AA627,(AA627-MAX(0,W616-IF($A628&gt;='1-Input'!$C$12,'1-Input'!$B$12,0))+X628*(1-'P-Parametri'!$B$6*W628))*(1+'1-Input'!$B$27))</f>
        <v>84111.316723481417</v>
      </c>
      <c r="Z628" s="18">
        <f>IF($A628&gt;'1-Input'!$B$26,AB627,(AB627-X628)*(1+$C$4))</f>
        <v>248603.5893965594</v>
      </c>
      <c r="AA628" s="18">
        <f>IF($A628&gt;'1-Input'!$B$26,Y628,Y628-'P-Parametri'!$B$8*(Z628+Y628)+MIN(MAX(Z628,0),'P-Parametri'!$B$8*(Z628+Y628)))</f>
        <v>84111.316723481417</v>
      </c>
      <c r="AB628" s="18">
        <f>IF($A628&gt;'1-Input'!$B$26,Z628,Z628-MIN(MAX(Z628,0),'P-Parametri'!$B$8*(Z628+Y628)))</f>
        <v>247938.15958431931</v>
      </c>
      <c r="AC628" s="18">
        <f>IF($A628&gt;'1-Input'!$B$26,AC627,AC627-X628*(1-W628))</f>
        <v>148337.81760537295</v>
      </c>
      <c r="AD628" s="11">
        <f>IF($A628&gt;'1-Input'!$B$26,0,IF(AI627&lt;=0,0,MAX(0,(AI627-AJ627)/AI627)))</f>
        <v>0.38541321391363309</v>
      </c>
      <c r="AE628" s="18">
        <f>IF($A628&gt;'1-Input'!$B$26,0,(MAX(0,AD616-IF($A628&gt;='1-Input'!$C$12,'1-Input'!$B$12,0))-MIN(MAX(AH627,0),MAX(0,AD616-IF($A628&gt;='1-Input'!$C$12,'1-Input'!$B$12,0))))*(1/(1-'P-Parametri'!$B$6*AD628))+MIN(MAX(0,AI627-(MAX(0,AD616-IF($A628&gt;='1-Input'!$C$12,'1-Input'!$B$12,0))-MIN(MAX(AH627,0),MAX(0,AD616-IF($A628&gt;='1-Input'!$C$12,'1-Input'!$B$12,0))))*(1/(1-'P-Parametri'!$B$6*AD628))),MAX(0,5*AD616-(AH627-MIN(MAX(AH627,0),MAX(0,AD616-IF($A628&gt;='1-Input'!$C$12,'1-Input'!$B$12,0)))))*(1/(1-'P-Parametri'!$B$6*AD628))))</f>
        <v>19108.745033833031</v>
      </c>
      <c r="AF628" s="18">
        <f>IF($A628&gt;'1-Input'!$B$26,AH627,(AH627-MAX(0,AD616-IF($A628&gt;='1-Input'!$C$12,'1-Input'!$B$12,0))+AE628*(1-'P-Parametri'!$B$6*AD628))*(1+'1-Input'!$B$27))</f>
        <v>84145.425501066202</v>
      </c>
      <c r="AG628" s="18">
        <f>IF($A628&gt;'1-Input'!$B$26,AI627,(AI627-AE628)*(1+$C$4))</f>
        <v>248469.49920332193</v>
      </c>
      <c r="AH628" s="18">
        <f>IF($A628&gt;'1-Input'!$B$26,AF628,AF628-'P-Parametri'!$B$8*(AG628+AF628)+MIN(MAX(AG628,0),'P-Parametri'!$B$8*(AG628+AF628)))</f>
        <v>84145.425501066202</v>
      </c>
      <c r="AI628" s="18">
        <f>IF($A628&gt;'1-Input'!$B$26,AG628,AG628-MIN(MAX(AG628,0),'P-Parametri'!$B$8*(AG628+AF628)))</f>
        <v>247804.26935391314</v>
      </c>
      <c r="AJ628" s="18">
        <f>IF($A628&gt;'1-Input'!$B$26,AJ627,AJ627-AE628*(1-AD628))</f>
        <v>148258.32131636771</v>
      </c>
      <c r="AK628" s="11">
        <f>IF($A628&gt;'1-Input'!$B$26,0,IF(AP627&lt;=0,0,MAX(0,(AP627-AQ627)/AP627)))</f>
        <v>0.38541337387764785</v>
      </c>
      <c r="AL628" s="18">
        <f>IF($A628&gt;'1-Input'!$B$26,0,(MAX(0,AK616-IF($A628&gt;='1-Input'!$C$12,'1-Input'!$B$12,0))-MIN(MAX(AO627,0),MAX(0,AK616-IF($A628&gt;='1-Input'!$C$12,'1-Input'!$B$12,0))))*(1/(1-'P-Parametri'!$B$6*AK628))+MIN(MAX(0,AP627-(MAX(0,AK616-IF($A628&gt;='1-Input'!$C$12,'1-Input'!$B$12,0))-MIN(MAX(AO627,0),MAX(0,AK616-IF($A628&gt;='1-Input'!$C$12,'1-Input'!$B$12,0))))*(1/(1-'P-Parametri'!$B$6*AK628))),MAX(0,5*AK616-(AO627-MIN(MAX(AO627,0),MAX(0,AK616-IF($A628&gt;='1-Input'!$C$12,'1-Input'!$B$12,0)))))*(1/(1-'P-Parametri'!$B$6*AK628))))</f>
        <v>19108.163660013328</v>
      </c>
      <c r="AM628" s="18">
        <f>IF($A628&gt;'1-Input'!$B$26,AO627,(AO627-MAX(0,AK616-IF($A628&gt;='1-Input'!$C$12,'1-Input'!$B$12,0))+AL628*(1-'P-Parametri'!$B$6*AK628))*(1+'1-Input'!$B$27))</f>
        <v>84142.861530128604</v>
      </c>
      <c r="AN628" s="18">
        <f>IF($A628&gt;'1-Input'!$B$26,AP627,(AP627-AL628)*(1+$C$4))</f>
        <v>248479.5788160667</v>
      </c>
      <c r="AO628" s="18">
        <f>IF($A628&gt;'1-Input'!$B$26,AM628,AM628-'P-Parametri'!$B$8*(AN628+AM628)+MIN(MAX(AN628,0),'P-Parametri'!$B$8*(AN628+AM628)))</f>
        <v>84142.861530128604</v>
      </c>
      <c r="AP628" s="18">
        <f>IF($A628&gt;'1-Input'!$B$26,AN628,AN628-MIN(MAX(AN628,0),'P-Parametri'!$B$8*(AN628+AM628)))</f>
        <v>247814.33393537431</v>
      </c>
      <c r="AQ628" s="18">
        <f>IF($A628&gt;'1-Input'!$B$26,AQ627,AQ627-AL628*(1-AK628))</f>
        <v>148264.29709210631</v>
      </c>
    </row>
    <row r="629" spans="1:43">
      <c r="A629" s="10">
        <f>11</f>
        <v>11</v>
      </c>
      <c r="B629" s="11">
        <f>IF($A629&gt;'1-Input'!$B$26,0,IF(G628&lt;=0,0,MAX(0,(G628-H628)/G628)))</f>
        <v>0.40178612499734306</v>
      </c>
      <c r="C629" s="18">
        <f>IF($A629&gt;'1-Input'!$B$26,0,(MAX(0,B616-IF($A629&gt;='1-Input'!$C$12,'1-Input'!$B$12,0))-MIN(MAX(F628,0),MAX(0,B616-IF($A629&gt;='1-Input'!$C$12,'1-Input'!$B$12,0))))*(1/(1-'P-Parametri'!$B$6*B629))+MIN(MAX(0,G628-(MAX(0,B616-IF($A629&gt;='1-Input'!$C$12,'1-Input'!$B$12,0))-MIN(MAX(F628,0),MAX(0,B616-IF($A629&gt;='1-Input'!$C$12,'1-Input'!$B$12,0))))*(1/(1-'P-Parametri'!$B$6*B629))),MAX(0,5*B616-(F628-MIN(MAX(F628,0),MAX(0,B616-IF($A629&gt;='1-Input'!$C$12,'1-Input'!$B$12,0)))))*(1/(1-'P-Parametri'!$B$6*B629))))</f>
        <v>18962.187732190174</v>
      </c>
      <c r="D629" s="18">
        <f>IF($A629&gt;'1-Input'!$B$26,F628,(F628-MAX(0,B616-IF($A629&gt;='1-Input'!$C$12,'1-Input'!$B$12,0))+C629*(1-'P-Parametri'!$B$6*B629))*(1+'1-Input'!$B$27))</f>
        <v>83105.01757746574</v>
      </c>
      <c r="E629" s="18">
        <f>IF($A629&gt;'1-Input'!$B$26,G628,(G628-C629)*(1+$C$4))</f>
        <v>239913.90492960569</v>
      </c>
      <c r="F629" s="18">
        <f>IF($A629&gt;'1-Input'!$B$26,D629,D629-'P-Parametri'!$B$8*(E629+D629)+MIN(MAX(E629,0),'P-Parametri'!$B$8*(E629+D629)))</f>
        <v>83105.01757746574</v>
      </c>
      <c r="G629" s="18">
        <f>IF($A629&gt;'1-Input'!$B$26,E629,E629-MIN(MAX(E629,0),'P-Parametri'!$B$8*(E629+D629)))</f>
        <v>239267.86708459156</v>
      </c>
      <c r="H629" s="18">
        <f>IF($A629&gt;'1-Input'!$B$26,H628,H628-C629*(1-B629))</f>
        <v>139339.63760675577</v>
      </c>
      <c r="I629" s="11">
        <f>IF($A629&gt;'1-Input'!$B$26,0,IF(N628&lt;=0,0,MAX(0,(N628-O628)/N628)))</f>
        <v>0.39923666740460811</v>
      </c>
      <c r="J629" s="18">
        <f>IF($A629&gt;'1-Input'!$B$26,0,(MAX(0,I616-IF($A629&gt;='1-Input'!$C$12,'1-Input'!$B$12,0))-MIN(MAX(M628,0),MAX(0,I616-IF($A629&gt;='1-Input'!$C$12,'1-Input'!$B$12,0))))*(1/(1-'P-Parametri'!$B$6*I629))+MIN(MAX(0,N628-(MAX(0,I616-IF($A629&gt;='1-Input'!$C$12,'1-Input'!$B$12,0))-MIN(MAX(M628,0),MAX(0,I616-IF($A629&gt;='1-Input'!$C$12,'1-Input'!$B$12,0))))*(1/(1-'P-Parametri'!$B$6*I629))),MAX(0,5*I616-(M628-MIN(MAX(M628,0),MAX(0,I616-IF($A629&gt;='1-Input'!$C$12,'1-Input'!$B$12,0)))))*(1/(1-'P-Parametri'!$B$6*I629))))</f>
        <v>24931.792961765412</v>
      </c>
      <c r="K629" s="18">
        <f>IF($A629&gt;'1-Input'!$B$26,M628,(M628-MAX(0,I616-IF($A629&gt;='1-Input'!$C$12,'1-Input'!$B$12,0))+J629*(1-'P-Parametri'!$B$6*I629))*(1+'1-Input'!$B$27))</f>
        <v>109348.70733877072</v>
      </c>
      <c r="L629" s="18">
        <f>IF($A629&gt;'1-Input'!$B$26,N628,(N628-J629)*(1+$C$4))</f>
        <v>127684.10124571412</v>
      </c>
      <c r="M629" s="18">
        <f>IF($A629&gt;'1-Input'!$B$26,K629,K629-'P-Parametri'!$B$8*(L629+K629)+MIN(MAX(L629,0),'P-Parametri'!$B$8*(L629+K629)))</f>
        <v>109348.70733877072</v>
      </c>
      <c r="N629" s="18">
        <f>IF($A629&gt;'1-Input'!$B$26,L629,L629-MIN(MAX(L629,0),'P-Parametri'!$B$8*(L629+K629)))</f>
        <v>127210.03562854516</v>
      </c>
      <c r="O629" s="18">
        <f>IF($A629&gt;'1-Input'!$B$26,O628,O628-J629*(1-I629))</f>
        <v>74473.714741575386</v>
      </c>
      <c r="P629" s="11">
        <f>IF($A629&gt;'1-Input'!$B$26,0,IF(U628&lt;=0,0,MAX(0,(U628-V628)/U628)))</f>
        <v>0.4017248245990524</v>
      </c>
      <c r="Q629" s="18">
        <f>IF($A629&gt;'1-Input'!$B$26,0,(MAX(0,P616-IF($A629&gt;='1-Input'!$C$12,'1-Input'!$B$12,0))-MIN(MAX(T628,0),MAX(0,P616-IF($A629&gt;='1-Input'!$C$12,'1-Input'!$B$12,0))))*(1/(1-'P-Parametri'!$B$6*P629))+MIN(MAX(0,U628-(MAX(0,P616-IF($A629&gt;='1-Input'!$C$12,'1-Input'!$B$12,0))-MIN(MAX(T628,0),MAX(0,P616-IF($A629&gt;='1-Input'!$C$12,'1-Input'!$B$12,0))))*(1/(1-'P-Parametri'!$B$6*P629))),MAX(0,5*P616-(T628-MIN(MAX(T628,0),MAX(0,P616-IF($A629&gt;='1-Input'!$C$12,'1-Input'!$B$12,0)))))*(1/(1-'P-Parametri'!$B$6*P629))))</f>
        <v>19158.511734482043</v>
      </c>
      <c r="R629" s="18">
        <f>IF($A629&gt;'1-Input'!$B$26,T628,(T628-MAX(0,P616-IF($A629&gt;='1-Input'!$C$12,'1-Input'!$B$12,0))+Q629*(1-'P-Parametri'!$B$6*P629))*(1+'1-Input'!$B$27))</f>
        <v>83966.9353144864</v>
      </c>
      <c r="S629" s="18">
        <f>IF($A629&gt;'1-Input'!$B$26,U628,(U628-Q629)*(1+$C$4))</f>
        <v>236226.79397550449</v>
      </c>
      <c r="T629" s="18">
        <f>IF($A629&gt;'1-Input'!$B$26,R629,R629-'P-Parametri'!$B$8*(S629+R629)+MIN(MAX(S629,0),'P-Parametri'!$B$8*(S629+R629)))</f>
        <v>83966.9353144864</v>
      </c>
      <c r="U629" s="18">
        <f>IF($A629&gt;'1-Input'!$B$26,S629,S629-MIN(MAX(S629,0),'P-Parametri'!$B$8*(S629+R629)))</f>
        <v>235586.4065169245</v>
      </c>
      <c r="V629" s="18">
        <f>IF($A629&gt;'1-Input'!$B$26,V628,V628-Q629*(1-P629))</f>
        <v>137212.25883504705</v>
      </c>
      <c r="W629" s="11">
        <f>IF($A629&gt;'1-Input'!$B$26,0,IF(AB628&lt;=0,0,MAX(0,(AB628-AC628)/AB628)))</f>
        <v>0.40171445228895503</v>
      </c>
      <c r="X629" s="18">
        <f>IF($A629&gt;'1-Input'!$B$26,0,(MAX(0,W616-IF($A629&gt;='1-Input'!$C$12,'1-Input'!$B$12,0))-MIN(MAX(AA628,0),MAX(0,W616-IF($A629&gt;='1-Input'!$C$12,'1-Input'!$B$12,0))))*(1/(1-'P-Parametri'!$B$6*W629))+MIN(MAX(0,AB628-(MAX(0,W616-IF($A629&gt;='1-Input'!$C$12,'1-Input'!$B$12,0))-MIN(MAX(AA628,0),MAX(0,W616-IF($A629&gt;='1-Input'!$C$12,'1-Input'!$B$12,0))))*(1/(1-'P-Parametri'!$B$6*W629))),MAX(0,5*W616-(AA628-MIN(MAX(AA628,0),MAX(0,W616-IF($A629&gt;='1-Input'!$C$12,'1-Input'!$B$12,0)))))*(1/(1-'P-Parametri'!$B$6*W629))))</f>
        <v>19191.397063965538</v>
      </c>
      <c r="Y629" s="18">
        <f>IF($A629&gt;'1-Input'!$B$26,AA628,(AA628-MAX(0,W616-IF($A629&gt;='1-Input'!$C$12,'1-Input'!$B$12,0))+X629*(1-'P-Parametri'!$B$6*W629))*(1+'1-Input'!$B$27))</f>
        <v>84111.316723481417</v>
      </c>
      <c r="Z629" s="18">
        <f>IF($A629&gt;'1-Input'!$B$26,AB628,(AB628-X629)*(1+$C$4))</f>
        <v>235609.1653959644</v>
      </c>
      <c r="AA629" s="18">
        <f>IF($A629&gt;'1-Input'!$B$26,Y629,Y629-'P-Parametri'!$B$8*(Z629+Y629)+MIN(MAX(Z629,0),'P-Parametri'!$B$8*(Z629+Y629)))</f>
        <v>84111.316723481417</v>
      </c>
      <c r="AB629" s="18">
        <f>IF($A629&gt;'1-Input'!$B$26,Z629,Z629-MIN(MAX(Z629,0),'P-Parametri'!$B$8*(Z629+Y629)))</f>
        <v>234969.72443172551</v>
      </c>
      <c r="AC629" s="18">
        <f>IF($A629&gt;'1-Input'!$B$26,AC628,AC628-X629*(1-W629))</f>
        <v>136855.88210161819</v>
      </c>
      <c r="AD629" s="11">
        <f>IF($A629&gt;'1-Input'!$B$26,0,IF(AI628&lt;=0,0,MAX(0,(AI628-AJ628)/AI628)))</f>
        <v>0.40171199752565312</v>
      </c>
      <c r="AE629" s="18">
        <f>IF($A629&gt;'1-Input'!$B$26,0,(MAX(0,AD616-IF($A629&gt;='1-Input'!$C$12,'1-Input'!$B$12,0))-MIN(MAX(AH628,0),MAX(0,AD616-IF($A629&gt;='1-Input'!$C$12,'1-Input'!$B$12,0))))*(1/(1-'P-Parametri'!$B$6*AD629))+MIN(MAX(0,AI628-(MAX(0,AD616-IF($A629&gt;='1-Input'!$C$12,'1-Input'!$B$12,0))-MIN(MAX(AH628,0),MAX(0,AD616-IF($A629&gt;='1-Input'!$C$12,'1-Input'!$B$12,0))))*(1/(1-'P-Parametri'!$B$6*AD629))),MAX(0,5*AD616-(AH628-MIN(MAX(AH628,0),MAX(0,AD616-IF($A629&gt;='1-Input'!$C$12,'1-Input'!$B$12,0)))))*(1/(1-'P-Parametri'!$B$6*AD629))))</f>
        <v>19199.165866609677</v>
      </c>
      <c r="AF629" s="18">
        <f>IF($A629&gt;'1-Input'!$B$26,AH628,(AH628-MAX(0,AD616-IF($A629&gt;='1-Input'!$C$12,'1-Input'!$B$12,0))+AE629*(1-'P-Parametri'!$B$6*AD629))*(1+'1-Input'!$B$27))</f>
        <v>84145.425501066202</v>
      </c>
      <c r="AG629" s="18">
        <f>IF($A629&gt;'1-Input'!$B$26,AI628,(AI628-AE629)*(1+$C$4))</f>
        <v>235463.2565919226</v>
      </c>
      <c r="AH629" s="18">
        <f>IF($A629&gt;'1-Input'!$B$26,AF629,AF629-'P-Parametri'!$B$8*(AG629+AF629)+MIN(MAX(AG629,0),'P-Parametri'!$B$8*(AG629+AF629)))</f>
        <v>84145.425501066202</v>
      </c>
      <c r="AI629" s="18">
        <f>IF($A629&gt;'1-Input'!$B$26,AG629,AG629-MIN(MAX(AG629,0),'P-Parametri'!$B$8*(AG629+AF629)))</f>
        <v>234824.03922773662</v>
      </c>
      <c r="AJ629" s="18">
        <f>IF($A629&gt;'1-Input'!$B$26,AJ628,AJ628-AE629*(1-AD629))</f>
        <v>136771.69072086015</v>
      </c>
      <c r="AK629" s="11">
        <f>IF($A629&gt;'1-Input'!$B$26,0,IF(AP628&lt;=0,0,MAX(0,(AP628-AQ628)/AP628)))</f>
        <v>0.40171218210980858</v>
      </c>
      <c r="AL629" s="18">
        <f>IF($A629&gt;'1-Input'!$B$26,0,(MAX(0,AK616-IF($A629&gt;='1-Input'!$C$12,'1-Input'!$B$12,0))-MIN(MAX(AO628,0),MAX(0,AK616-IF($A629&gt;='1-Input'!$C$12,'1-Input'!$B$12,0))))*(1/(1-'P-Parametri'!$B$6*AK629))+MIN(MAX(0,AP628-(MAX(0,AK616-IF($A629&gt;='1-Input'!$C$12,'1-Input'!$B$12,0))-MIN(MAX(AO628,0),MAX(0,AK616-IF($A629&gt;='1-Input'!$C$12,'1-Input'!$B$12,0))))*(1/(1-'P-Parametri'!$B$6*AK629))),MAX(0,5*AK616-(AO628-MIN(MAX(AO628,0),MAX(0,AK616-IF($A629&gt;='1-Input'!$C$12,'1-Input'!$B$12,0)))))*(1/(1-'P-Parametri'!$B$6*AK629))))</f>
        <v>19198.581883208793</v>
      </c>
      <c r="AM629" s="18">
        <f>IF($A629&gt;'1-Input'!$B$26,AO628,(AO628-MAX(0,AK616-IF($A629&gt;='1-Input'!$C$12,'1-Input'!$B$12,0))+AL629*(1-'P-Parametri'!$B$6*AK629))*(1+'1-Input'!$B$27))</f>
        <v>84142.861530128604</v>
      </c>
      <c r="AN629" s="18">
        <f>IF($A629&gt;'1-Input'!$B$26,AP628,(AP628-AL629)*(1+$C$4))</f>
        <v>235474.22461373048</v>
      </c>
      <c r="AO629" s="18">
        <f>IF($A629&gt;'1-Input'!$B$26,AM629,AM629-'P-Parametri'!$B$8*(AN629+AM629)+MIN(MAX(AN629,0),'P-Parametri'!$B$8*(AN629+AM629)))</f>
        <v>84142.861530128604</v>
      </c>
      <c r="AP629" s="18">
        <f>IF($A629&gt;'1-Input'!$B$26,AN629,AN629-MIN(MAX(AN629,0),'P-Parametri'!$B$8*(AN629+AM629)))</f>
        <v>234834.99044144276</v>
      </c>
      <c r="AQ629" s="18">
        <f>IF($A629&gt;'1-Input'!$B$26,AQ628,AQ628-AL629*(1-AK629))</f>
        <v>136778.01943061515</v>
      </c>
    </row>
    <row r="630" spans="1:43">
      <c r="A630" s="10">
        <f>12</f>
        <v>12</v>
      </c>
      <c r="B630" s="11">
        <f>IF($A630&gt;'1-Input'!$B$26,0,IF(G629&lt;=0,0,MAX(0,(G629-H629)/G629)))</f>
        <v>0.41764166118681884</v>
      </c>
      <c r="C630" s="18">
        <f>IF($A630&gt;'1-Input'!$B$26,0,(MAX(0,B616-IF($A630&gt;='1-Input'!$C$12,'1-Input'!$B$12,0))-MIN(MAX(F629,0),MAX(0,B616-IF($A630&gt;='1-Input'!$C$12,'1-Input'!$B$12,0))))*(1/(1-'P-Parametri'!$B$6*B630))+MIN(MAX(0,G629-(MAX(0,B616-IF($A630&gt;='1-Input'!$C$12,'1-Input'!$B$12,0))-MIN(MAX(F629,0),MAX(0,B616-IF($A630&gt;='1-Input'!$C$12,'1-Input'!$B$12,0))))*(1/(1-'P-Parametri'!$B$6*B630))),MAX(0,5*B616-(F629-MIN(MAX(F629,0),MAX(0,B616-IF($A630&gt;='1-Input'!$C$12,'1-Input'!$B$12,0)))))*(1/(1-'P-Parametri'!$B$6*B630))))</f>
        <v>19049.880479830874</v>
      </c>
      <c r="D630" s="18">
        <f>IF($A630&gt;'1-Input'!$B$26,F629,(F629-MAX(0,B616-IF($A630&gt;='1-Input'!$C$12,'1-Input'!$B$12,0))+C630*(1-'P-Parametri'!$B$6*B630))*(1+'1-Input'!$B$27))</f>
        <v>83105.01757746574</v>
      </c>
      <c r="E630" s="18">
        <f>IF($A630&gt;'1-Input'!$B$26,G629,(G629-C630)*(1+$C$4))</f>
        <v>226824.52620290351</v>
      </c>
      <c r="F630" s="18">
        <f>IF($A630&gt;'1-Input'!$B$26,D630,D630-'P-Parametri'!$B$8*(E630+D630)+MIN(MAX(E630,0),'P-Parametri'!$B$8*(E630+D630)))</f>
        <v>83105.01757746574</v>
      </c>
      <c r="G630" s="18">
        <f>IF($A630&gt;'1-Input'!$B$26,E630,E630-MIN(MAX(E630,0),'P-Parametri'!$B$8*(E630+D630)))</f>
        <v>226204.66711534277</v>
      </c>
      <c r="H630" s="18">
        <f>IF($A630&gt;'1-Input'!$B$26,H629,H629-C630*(1-B630))</f>
        <v>128245.78085593182</v>
      </c>
      <c r="I630" s="11">
        <f>IF($A630&gt;'1-Input'!$B$26,0,IF(N629&lt;=0,0,MAX(0,(N629-O629)/N629)))</f>
        <v>0.41456101027249503</v>
      </c>
      <c r="J630" s="18">
        <f>IF($A630&gt;'1-Input'!$B$26,0,(MAX(0,I616-IF($A630&gt;='1-Input'!$C$12,'1-Input'!$B$12,0))-MIN(MAX(M629,0),MAX(0,I616-IF($A630&gt;='1-Input'!$C$12,'1-Input'!$B$12,0))))*(1/(1-'P-Parametri'!$B$6*I630))+MIN(MAX(0,N629-(MAX(0,I616-IF($A630&gt;='1-Input'!$C$12,'1-Input'!$B$12,0))-MIN(MAX(M629,0),MAX(0,I616-IF($A630&gt;='1-Input'!$C$12,'1-Input'!$B$12,0))))*(1/(1-'P-Parametri'!$B$6*I630))),MAX(0,5*I616-(M629-MIN(MAX(M629,0),MAX(0,I616-IF($A630&gt;='1-Input'!$C$12,'1-Input'!$B$12,0)))))*(1/(1-'P-Parametri'!$B$6*I630))))</f>
        <v>25043.129988600984</v>
      </c>
      <c r="K630" s="18">
        <f>IF($A630&gt;'1-Input'!$B$26,M629,(M629-MAX(0,I616-IF($A630&gt;='1-Input'!$C$12,'1-Input'!$B$12,0))+J630*(1-'P-Parametri'!$B$6*I630))*(1+'1-Input'!$B$27))</f>
        <v>109348.70733877072</v>
      </c>
      <c r="L630" s="18">
        <f>IF($A630&gt;'1-Input'!$B$26,N629,(N629-J630)*(1+$C$4))</f>
        <v>105231.91280914251</v>
      </c>
      <c r="M630" s="18">
        <f>IF($A630&gt;'1-Input'!$B$26,K630,K630-'P-Parametri'!$B$8*(L630+K630)+MIN(MAX(L630,0),'P-Parametri'!$B$8*(L630+K630)))</f>
        <v>109348.70733877072</v>
      </c>
      <c r="N630" s="18">
        <f>IF($A630&gt;'1-Input'!$B$26,L630,L630-MIN(MAX(L630,0),'P-Parametri'!$B$8*(L630+K630)))</f>
        <v>104802.75156884668</v>
      </c>
      <c r="O630" s="18">
        <f>IF($A630&gt;'1-Input'!$B$26,O629,O629-J630*(1-I630))</f>
        <v>59812.490021434241</v>
      </c>
      <c r="P630" s="11">
        <f>IF($A630&gt;'1-Input'!$B$26,0,IF(U629&lt;=0,0,MAX(0,(U629-V629)/U629)))</f>
        <v>0.4175714088784247</v>
      </c>
      <c r="Q630" s="18">
        <f>IF($A630&gt;'1-Input'!$B$26,0,(MAX(0,P616-IF($A630&gt;='1-Input'!$C$12,'1-Input'!$B$12,0))-MIN(MAX(T629,0),MAX(0,P616-IF($A630&gt;='1-Input'!$C$12,'1-Input'!$B$12,0))))*(1/(1-'P-Parametri'!$B$6*P630))+MIN(MAX(0,U629-(MAX(0,P616-IF($A630&gt;='1-Input'!$C$12,'1-Input'!$B$12,0))-MIN(MAX(T629,0),MAX(0,P616-IF($A630&gt;='1-Input'!$C$12,'1-Input'!$B$12,0))))*(1/(1-'P-Parametri'!$B$6*P630))),MAX(0,5*P616-(T629-MIN(MAX(T629,0),MAX(0,P616-IF($A630&gt;='1-Input'!$C$12,'1-Input'!$B$12,0)))))*(1/(1-'P-Parametri'!$B$6*P630))))</f>
        <v>19247.06056666619</v>
      </c>
      <c r="R630" s="18">
        <f>IF($A630&gt;'1-Input'!$B$26,T629,(T629-MAX(0,P616-IF($A630&gt;='1-Input'!$C$12,'1-Input'!$B$12,0))+Q630*(1-'P-Parametri'!$B$6*P630))*(1+'1-Input'!$B$27))</f>
        <v>83966.9353144864</v>
      </c>
      <c r="S630" s="18">
        <f>IF($A630&gt;'1-Input'!$B$26,U629,(U629-Q630)*(1+$C$4))</f>
        <v>222829.52632876608</v>
      </c>
      <c r="T630" s="18">
        <f>IF($A630&gt;'1-Input'!$B$26,R630,R630-'P-Parametri'!$B$8*(S630+R630)+MIN(MAX(S630,0),'P-Parametri'!$B$8*(S630+R630)))</f>
        <v>83966.9353144864</v>
      </c>
      <c r="U630" s="18">
        <f>IF($A630&gt;'1-Input'!$B$26,S630,S630-MIN(MAX(S630,0),'P-Parametri'!$B$8*(S630+R630)))</f>
        <v>222215.93340547956</v>
      </c>
      <c r="V630" s="18">
        <f>IF($A630&gt;'1-Input'!$B$26,V629,V629-Q630*(1-P630))</f>
        <v>126002.22046597203</v>
      </c>
      <c r="W630" s="11">
        <f>IF($A630&gt;'1-Input'!$B$26,0,IF(AB629&lt;=0,0,MAX(0,(AB629-AC629)/AB629)))</f>
        <v>0.41755950715521217</v>
      </c>
      <c r="X630" s="18">
        <f>IF($A630&gt;'1-Input'!$B$26,0,(MAX(0,W616-IF($A630&gt;='1-Input'!$C$12,'1-Input'!$B$12,0))-MIN(MAX(AA629,0),MAX(0,W616-IF($A630&gt;='1-Input'!$C$12,'1-Input'!$B$12,0))))*(1/(1-'P-Parametri'!$B$6*W630))+MIN(MAX(0,AB629-(MAX(0,W616-IF($A630&gt;='1-Input'!$C$12,'1-Input'!$B$12,0))-MIN(MAX(AA629,0),MAX(0,W616-IF($A630&gt;='1-Input'!$C$12,'1-Input'!$B$12,0))))*(1/(1-'P-Parametri'!$B$6*W630))),MAX(0,5*W616-(AA629-MIN(MAX(AA629,0),MAX(0,W616-IF($A630&gt;='1-Input'!$C$12,'1-Input'!$B$12,0)))))*(1/(1-'P-Parametri'!$B$6*W630))))</f>
        <v>19280.089020310388</v>
      </c>
      <c r="Y630" s="18">
        <f>IF($A630&gt;'1-Input'!$B$26,AA629,(AA629-MAX(0,W616-IF($A630&gt;='1-Input'!$C$12,'1-Input'!$B$12,0))+X630*(1-'P-Parametri'!$B$6*W630))*(1+'1-Input'!$B$27))</f>
        <v>84111.316723481417</v>
      </c>
      <c r="Z630" s="18">
        <f>IF($A630&gt;'1-Input'!$B$26,AB629,(AB629-X630)*(1+$C$4))</f>
        <v>222160.32447375759</v>
      </c>
      <c r="AA630" s="18">
        <f>IF($A630&gt;'1-Input'!$B$26,Y630,Y630-'P-Parametri'!$B$8*(Z630+Y630)+MIN(MAX(Z630,0),'P-Parametri'!$B$8*(Z630+Y630)))</f>
        <v>84111.316723481417</v>
      </c>
      <c r="AB630" s="18">
        <f>IF($A630&gt;'1-Input'!$B$26,Z630,Z630-MIN(MAX(Z630,0),'P-Parametri'!$B$8*(Z630+Y630)))</f>
        <v>221547.78119136312</v>
      </c>
      <c r="AC630" s="18">
        <f>IF($A630&gt;'1-Input'!$B$26,AC629,AC629-X630*(1-W630))</f>
        <v>125626.37755053723</v>
      </c>
      <c r="AD630" s="11">
        <f>IF($A630&gt;'1-Input'!$B$26,0,IF(AI629&lt;=0,0,MAX(0,(AI629-AJ629)/AI629)))</f>
        <v>0.41755668980629163</v>
      </c>
      <c r="AE630" s="18">
        <f>IF($A630&gt;'1-Input'!$B$26,0,(MAX(0,AD616-IF($A630&gt;='1-Input'!$C$12,'1-Input'!$B$12,0))-MIN(MAX(AH629,0),MAX(0,AD616-IF($A630&gt;='1-Input'!$C$12,'1-Input'!$B$12,0))))*(1/(1-'P-Parametri'!$B$6*AD630))+MIN(MAX(0,AI629-(MAX(0,AD616-IF($A630&gt;='1-Input'!$C$12,'1-Input'!$B$12,0))-MIN(MAX(AH629,0),MAX(0,AD616-IF($A630&gt;='1-Input'!$C$12,'1-Input'!$B$12,0))))*(1/(1-'P-Parametri'!$B$6*AD630))),MAX(0,5*AD616-(AH629-MIN(MAX(AH629,0),MAX(0,AD616-IF($A630&gt;='1-Input'!$C$12,'1-Input'!$B$12,0)))))*(1/(1-'P-Parametri'!$B$6*AD630))))</f>
        <v>19287.891622751129</v>
      </c>
      <c r="AF630" s="18">
        <f>IF($A630&gt;'1-Input'!$B$26,AH629,(AH629-MAX(0,AD616-IF($A630&gt;='1-Input'!$C$12,'1-Input'!$B$12,0))+AE630*(1-'P-Parametri'!$B$6*AD630))*(1+'1-Input'!$B$27))</f>
        <v>84145.425501066202</v>
      </c>
      <c r="AG630" s="18">
        <f>IF($A630&gt;'1-Input'!$B$26,AI629,(AI629-AE630)*(1+$C$4))</f>
        <v>222002.23203313505</v>
      </c>
      <c r="AH630" s="18">
        <f>IF($A630&gt;'1-Input'!$B$26,AF630,AF630-'P-Parametri'!$B$8*(AG630+AF630)+MIN(MAX(AG630,0),'P-Parametri'!$B$8*(AG630+AF630)))</f>
        <v>84145.425501066202</v>
      </c>
      <c r="AI630" s="18">
        <f>IF($A630&gt;'1-Input'!$B$26,AG630,AG630-MIN(MAX(AG630,0),'P-Parametri'!$B$8*(AG630+AF630)))</f>
        <v>221389.93671806666</v>
      </c>
      <c r="AJ630" s="18">
        <f>IF($A630&gt;'1-Input'!$B$26,AJ629,AJ629-AE630*(1-AD630))</f>
        <v>125537.58727744748</v>
      </c>
      <c r="AK630" s="11">
        <f>IF($A630&gt;'1-Input'!$B$26,0,IF(AP629&lt;=0,0,MAX(0,(AP629-AQ629)/AP629)))</f>
        <v>0.41755690166316412</v>
      </c>
      <c r="AL630" s="18">
        <f>IF($A630&gt;'1-Input'!$B$26,0,(MAX(0,AK616-IF($A630&gt;='1-Input'!$C$12,'1-Input'!$B$12,0))-MIN(MAX(AO629,0),MAX(0,AK616-IF($A630&gt;='1-Input'!$C$12,'1-Input'!$B$12,0))))*(1/(1-'P-Parametri'!$B$6*AK630))+MIN(MAX(0,AP629-(MAX(0,AK616-IF($A630&gt;='1-Input'!$C$12,'1-Input'!$B$12,0))-MIN(MAX(AO629,0),MAX(0,AK616-IF($A630&gt;='1-Input'!$C$12,'1-Input'!$B$12,0))))*(1/(1-'P-Parametri'!$B$6*AK630))),MAX(0,5*AK616-(AO629-MIN(MAX(AO629,0),MAX(0,AK616-IF($A630&gt;='1-Input'!$C$12,'1-Input'!$B$12,0)))))*(1/(1-'P-Parametri'!$B$6*AK630))))</f>
        <v>19287.305098765053</v>
      </c>
      <c r="AM630" s="18">
        <f>IF($A630&gt;'1-Input'!$B$26,AO629,(AO629-MAX(0,AK616-IF($A630&gt;='1-Input'!$C$12,'1-Input'!$B$12,0))+AL630*(1-'P-Parametri'!$B$6*AK630))*(1+'1-Input'!$B$27))</f>
        <v>84142.861530128604</v>
      </c>
      <c r="AN630" s="18">
        <f>IF($A630&gt;'1-Input'!$B$26,AP629,(AP629-AL630)*(1+$C$4))</f>
        <v>222014.11590295803</v>
      </c>
      <c r="AO630" s="18">
        <f>IF($A630&gt;'1-Input'!$B$26,AM630,AM630-'P-Parametri'!$B$8*(AN630+AM630)+MIN(MAX(AN630,0),'P-Parametri'!$B$8*(AN630+AM630)))</f>
        <v>84142.861530128604</v>
      </c>
      <c r="AP630" s="18">
        <f>IF($A630&gt;'1-Input'!$B$26,AN630,AN630-MIN(MAX(AN630,0),'P-Parametri'!$B$8*(AN630+AM630)))</f>
        <v>221401.80194809186</v>
      </c>
      <c r="AQ630" s="18">
        <f>IF($A630&gt;'1-Input'!$B$26,AQ629,AQ629-AL630*(1-AK630))</f>
        <v>125544.26169032259</v>
      </c>
    </row>
    <row r="631" spans="1:43">
      <c r="A631" s="10">
        <f>13</f>
        <v>13</v>
      </c>
      <c r="B631" s="11">
        <f>IF($A631&gt;'1-Input'!$B$26,0,IF(G630&lt;=0,0,MAX(0,(G630-H630)/G630)))</f>
        <v>0.43305422257031184</v>
      </c>
      <c r="C631" s="18">
        <f>IF($A631&gt;'1-Input'!$B$26,0,(MAX(0,B616-IF($A631&gt;='1-Input'!$C$12,'1-Input'!$B$12,0))-MIN(MAX(F630,0),MAX(0,B616-IF($A631&gt;='1-Input'!$C$12,'1-Input'!$B$12,0))))*(1/(1-'P-Parametri'!$B$6*B631))+MIN(MAX(0,G630-(MAX(0,B616-IF($A631&gt;='1-Input'!$C$12,'1-Input'!$B$12,0))-MIN(MAX(F630,0),MAX(0,B616-IF($A631&gt;='1-Input'!$C$12,'1-Input'!$B$12,0))))*(1/(1-'P-Parametri'!$B$6*B631))),MAX(0,5*B616-(F630-MIN(MAX(F630,0),MAX(0,B616-IF($A631&gt;='1-Input'!$C$12,'1-Input'!$B$12,0)))))*(1/(1-'P-Parametri'!$B$6*B631))))</f>
        <v>19135.904178118159</v>
      </c>
      <c r="D631" s="18">
        <f>IF($A631&gt;'1-Input'!$B$26,F630,(F630-MAX(0,B616-IF($A631&gt;='1-Input'!$C$12,'1-Input'!$B$12,0))+C631*(1-'P-Parametri'!$B$6*B631))*(1+'1-Input'!$B$27))</f>
        <v>83105.01757746574</v>
      </c>
      <c r="E631" s="18">
        <f>IF($A631&gt;'1-Input'!$B$26,G630,(G630-C631)*(1+$C$4))</f>
        <v>213280.82582534137</v>
      </c>
      <c r="F631" s="18">
        <f>IF($A631&gt;'1-Input'!$B$26,D631,D631-'P-Parametri'!$B$8*(E631+D631)+MIN(MAX(E631,0),'P-Parametri'!$B$8*(E631+D631)))</f>
        <v>83105.01757746574</v>
      </c>
      <c r="G631" s="18">
        <f>IF($A631&gt;'1-Input'!$B$26,E631,E631-MIN(MAX(E631,0),'P-Parametri'!$B$8*(E631+D631)))</f>
        <v>212688.05413853575</v>
      </c>
      <c r="H631" s="18">
        <f>IF($A631&gt;'1-Input'!$B$26,H630,H630-C631*(1-B631))</f>
        <v>117396.76078484861</v>
      </c>
      <c r="I631" s="11">
        <f>IF($A631&gt;'1-Input'!$B$26,0,IF(N630&lt;=0,0,MAX(0,(N630-O630)/N630)))</f>
        <v>0.42928511774671857</v>
      </c>
      <c r="J631" s="18">
        <f>IF($A631&gt;'1-Input'!$B$26,0,(MAX(0,I616-IF($A631&gt;='1-Input'!$C$12,'1-Input'!$B$12,0))-MIN(MAX(M630,0),MAX(0,I616-IF($A631&gt;='1-Input'!$C$12,'1-Input'!$B$12,0))))*(1/(1-'P-Parametri'!$B$6*I631))+MIN(MAX(0,N630-(MAX(0,I616-IF($A631&gt;='1-Input'!$C$12,'1-Input'!$B$12,0))-MIN(MAX(M630,0),MAX(0,I616-IF($A631&gt;='1-Input'!$C$12,'1-Input'!$B$12,0))))*(1/(1-'P-Parametri'!$B$6*I631))),MAX(0,5*I616-(M630-MIN(MAX(M630,0),MAX(0,I616-IF($A631&gt;='1-Input'!$C$12,'1-Input'!$B$12,0)))))*(1/(1-'P-Parametri'!$B$6*I631))))</f>
        <v>25151.046846622925</v>
      </c>
      <c r="K631" s="18">
        <f>IF($A631&gt;'1-Input'!$B$26,M630,(M630-MAX(0,I616-IF($A631&gt;='1-Input'!$C$12,'1-Input'!$B$12,0))+J631*(1-'P-Parametri'!$B$6*I631))*(1+'1-Input'!$B$27))</f>
        <v>109348.70733877072</v>
      </c>
      <c r="L631" s="18">
        <f>IF($A631&gt;'1-Input'!$B$26,N630,(N630-J631)*(1+$C$4))</f>
        <v>82041.255863890474</v>
      </c>
      <c r="M631" s="18">
        <f>IF($A631&gt;'1-Input'!$B$26,K631,K631-'P-Parametri'!$B$8*(L631+K631)+MIN(MAX(L631,0),'P-Parametri'!$B$8*(L631+K631)))</f>
        <v>109348.70733877072</v>
      </c>
      <c r="N631" s="18">
        <f>IF($A631&gt;'1-Input'!$B$26,L631,L631-MIN(MAX(L631,0),'P-Parametri'!$B$8*(L631+K631)))</f>
        <v>81658.475937485156</v>
      </c>
      <c r="O631" s="18">
        <f>IF($A631&gt;'1-Input'!$B$26,O630,O630-J631*(1-I631))</f>
        <v>45458.413281817076</v>
      </c>
      <c r="P631" s="11">
        <f>IF($A631&gt;'1-Input'!$B$26,0,IF(U630&lt;=0,0,MAX(0,(U630-V630)/U630)))</f>
        <v>0.43297396125031878</v>
      </c>
      <c r="Q631" s="18">
        <f>IF($A631&gt;'1-Input'!$B$26,0,(MAX(0,P616-IF($A631&gt;='1-Input'!$C$12,'1-Input'!$B$12,0))-MIN(MAX(T630,0),MAX(0,P616-IF($A631&gt;='1-Input'!$C$12,'1-Input'!$B$12,0))))*(1/(1-'P-Parametri'!$B$6*P631))+MIN(MAX(0,U630-(MAX(0,P616-IF($A631&gt;='1-Input'!$C$12,'1-Input'!$B$12,0))-MIN(MAX(T630,0),MAX(0,P616-IF($A631&gt;='1-Input'!$C$12,'1-Input'!$B$12,0))))*(1/(1-'P-Parametri'!$B$6*P631))),MAX(0,5*P616-(T630-MIN(MAX(T630,0),MAX(0,P616-IF($A631&gt;='1-Input'!$C$12,'1-Input'!$B$12,0)))))*(1/(1-'P-Parametri'!$B$6*P631))))</f>
        <v>19333.916187635456</v>
      </c>
      <c r="R631" s="18">
        <f>IF($A631&gt;'1-Input'!$B$26,T630,(T630-MAX(0,P616-IF($A631&gt;='1-Input'!$C$12,'1-Input'!$B$12,0))+Q631*(1-'P-Parametri'!$B$6*P631))*(1+'1-Input'!$B$27))</f>
        <v>83966.9353144864</v>
      </c>
      <c r="S631" s="18">
        <f>IF($A631&gt;'1-Input'!$B$26,U630,(U630-Q631)*(1+$C$4))</f>
        <v>208968.47773437944</v>
      </c>
      <c r="T631" s="18">
        <f>IF($A631&gt;'1-Input'!$B$26,R631,R631-'P-Parametri'!$B$8*(S631+R631)+MIN(MAX(S631,0),'P-Parametri'!$B$8*(S631+R631)))</f>
        <v>83966.9353144864</v>
      </c>
      <c r="U631" s="18">
        <f>IF($A631&gt;'1-Input'!$B$26,S631,S631-MIN(MAX(S631,0),'P-Parametri'!$B$8*(S631+R631)))</f>
        <v>208382.60690828171</v>
      </c>
      <c r="V631" s="18">
        <f>IF($A631&gt;'1-Input'!$B$26,V630,V630-Q631*(1-P631))</f>
        <v>115039.38655657876</v>
      </c>
      <c r="W631" s="11">
        <f>IF($A631&gt;'1-Input'!$B$26,0,IF(AB630&lt;=0,0,MAX(0,(AB630-AC630)/AB630)))</f>
        <v>0.43296034437814224</v>
      </c>
      <c r="X631" s="18">
        <f>IF($A631&gt;'1-Input'!$B$26,0,(MAX(0,W616-IF($A631&gt;='1-Input'!$C$12,'1-Input'!$B$12,0))-MIN(MAX(AA630,0),MAX(0,W616-IF($A631&gt;='1-Input'!$C$12,'1-Input'!$B$12,0))))*(1/(1-'P-Parametri'!$B$6*W631))+MIN(MAX(0,AB630-(MAX(0,W616-IF($A631&gt;='1-Input'!$C$12,'1-Input'!$B$12,0))-MIN(MAX(AA630,0),MAX(0,W616-IF($A631&gt;='1-Input'!$C$12,'1-Input'!$B$12,0))))*(1/(1-'P-Parametri'!$B$6*W631))),MAX(0,5*W616-(AA630-MIN(MAX(AA630,0),MAX(0,W616-IF($A631&gt;='1-Input'!$C$12,'1-Input'!$B$12,0)))))*(1/(1-'P-Parametri'!$B$6*W631))))</f>
        <v>19367.083652314384</v>
      </c>
      <c r="Y631" s="18">
        <f>IF($A631&gt;'1-Input'!$B$26,AA630,(AA630-MAX(0,W616-IF($A631&gt;='1-Input'!$C$12,'1-Input'!$B$12,0))+X631*(1-'P-Parametri'!$B$6*W631))*(1+'1-Input'!$B$27))</f>
        <v>84111.316723481417</v>
      </c>
      <c r="Z631" s="18">
        <f>IF($A631&gt;'1-Input'!$B$26,AB630,(AB630-X631)*(1+$C$4))</f>
        <v>208246.11846522021</v>
      </c>
      <c r="AA631" s="18">
        <f>IF($A631&gt;'1-Input'!$B$26,Y631,Y631-'P-Parametri'!$B$8*(Z631+Y631)+MIN(MAX(Z631,0),'P-Parametri'!$B$8*(Z631+Y631)))</f>
        <v>84111.316723481417</v>
      </c>
      <c r="AB631" s="18">
        <f>IF($A631&gt;'1-Input'!$B$26,Z631,Z631-MIN(MAX(Z631,0),'P-Parametri'!$B$8*(Z631+Y631)))</f>
        <v>207661.40359484279</v>
      </c>
      <c r="AC631" s="18">
        <f>IF($A631&gt;'1-Input'!$B$26,AC630,AC630-X631*(1-W631))</f>
        <v>114644.47310592917</v>
      </c>
      <c r="AD631" s="11">
        <f>IF($A631&gt;'1-Input'!$B$26,0,IF(AI630&lt;=0,0,MAX(0,(AI630-AJ630)/AI630)))</f>
        <v>0.43295712019053612</v>
      </c>
      <c r="AE631" s="18">
        <f>IF($A631&gt;'1-Input'!$B$26,0,(MAX(0,AD616-IF($A631&gt;='1-Input'!$C$12,'1-Input'!$B$12,0))-MIN(MAX(AH630,0),MAX(0,AD616-IF($A631&gt;='1-Input'!$C$12,'1-Input'!$B$12,0))))*(1/(1-'P-Parametri'!$B$6*AD631))+MIN(MAX(0,AI630-(MAX(0,AD616-IF($A631&gt;='1-Input'!$C$12,'1-Input'!$B$12,0))-MIN(MAX(AH630,0),MAX(0,AD616-IF($A631&gt;='1-Input'!$C$12,'1-Input'!$B$12,0))))*(1/(1-'P-Parametri'!$B$6*AD631))),MAX(0,5*AD616-(AH630-MIN(MAX(AH630,0),MAX(0,AD616-IF($A631&gt;='1-Input'!$C$12,'1-Input'!$B$12,0)))))*(1/(1-'P-Parametri'!$B$6*AD631))))</f>
        <v>19374.919080012973</v>
      </c>
      <c r="AF631" s="18">
        <f>IF($A631&gt;'1-Input'!$B$26,AH630,(AH630-MAX(0,AD616-IF($A631&gt;='1-Input'!$C$12,'1-Input'!$B$12,0))+AE631*(1-'P-Parametri'!$B$6*AD631))*(1+'1-Input'!$B$27))</f>
        <v>84145.425501066202</v>
      </c>
      <c r="AG631" s="18">
        <f>IF($A631&gt;'1-Input'!$B$26,AI630,(AI630-AE631)*(1+$C$4))</f>
        <v>208075.4681671953</v>
      </c>
      <c r="AH631" s="18">
        <f>IF($A631&gt;'1-Input'!$B$26,AF631,AF631-'P-Parametri'!$B$8*(AG631+AF631)+MIN(MAX(AG631,0),'P-Parametri'!$B$8*(AG631+AF631)))</f>
        <v>84145.425501066202</v>
      </c>
      <c r="AI631" s="18">
        <f>IF($A631&gt;'1-Input'!$B$26,AG631,AG631-MIN(MAX(AG631,0),'P-Parametri'!$B$8*(AG631+AF631)))</f>
        <v>207491.02637985878</v>
      </c>
      <c r="AJ631" s="18">
        <f>IF($A631&gt;'1-Input'!$B$26,AJ630,AJ630-AE631*(1-AD631))</f>
        <v>114551.17736624159</v>
      </c>
      <c r="AK631" s="11">
        <f>IF($A631&gt;'1-Input'!$B$26,0,IF(AP630&lt;=0,0,MAX(0,(AP630-AQ630)/AP630)))</f>
        <v>0.43295736265165213</v>
      </c>
      <c r="AL631" s="18">
        <f>IF($A631&gt;'1-Input'!$B$26,0,(MAX(0,AK616-IF($A631&gt;='1-Input'!$C$12,'1-Input'!$B$12,0))-MIN(MAX(AO630,0),MAX(0,AK616-IF($A631&gt;='1-Input'!$C$12,'1-Input'!$B$12,0))))*(1/(1-'P-Parametri'!$B$6*AK631))+MIN(MAX(0,AP630-(MAX(0,AK616-IF($A631&gt;='1-Input'!$C$12,'1-Input'!$B$12,0))-MIN(MAX(AO630,0),MAX(0,AK616-IF($A631&gt;='1-Input'!$C$12,'1-Input'!$B$12,0))))*(1/(1-'P-Parametri'!$B$6*AK631))),MAX(0,5*AK616-(AO630-MIN(MAX(AO630,0),MAX(0,AK616-IF($A631&gt;='1-Input'!$C$12,'1-Input'!$B$12,0)))))*(1/(1-'P-Parametri'!$B$6*AK631))))</f>
        <v>19374.330088736275</v>
      </c>
      <c r="AM631" s="18">
        <f>IF($A631&gt;'1-Input'!$B$26,AO630,(AO630-MAX(0,AK616-IF($A631&gt;='1-Input'!$C$12,'1-Input'!$B$12,0))+AL631*(1-'P-Parametri'!$B$6*AK631))*(1+'1-Input'!$B$27))</f>
        <v>84142.861530128604</v>
      </c>
      <c r="AN631" s="18">
        <f>IF($A631&gt;'1-Input'!$B$26,AP630,(AP630-AL631)*(1+$C$4))</f>
        <v>208088.29601513623</v>
      </c>
      <c r="AO631" s="18">
        <f>IF($A631&gt;'1-Input'!$B$26,AM631,AM631-'P-Parametri'!$B$8*(AN631+AM631)+MIN(MAX(AN631,0),'P-Parametri'!$B$8*(AN631+AM631)))</f>
        <v>84142.861530128604</v>
      </c>
      <c r="AP631" s="18">
        <f>IF($A631&gt;'1-Input'!$B$26,AN631,AN631-MIN(MAX(AN631,0),'P-Parametri'!$B$8*(AN631+AM631)))</f>
        <v>207503.83370004571</v>
      </c>
      <c r="AQ631" s="18">
        <f>IF($A631&gt;'1-Input'!$B$26,AQ630,AQ630-AL631*(1-AK631))</f>
        <v>114558.19045994812</v>
      </c>
    </row>
    <row r="632" spans="1:43">
      <c r="A632" s="10">
        <f>14</f>
        <v>14</v>
      </c>
      <c r="B632" s="11">
        <f>IF($A632&gt;'1-Input'!$B$26,0,IF(G631&lt;=0,0,MAX(0,(G631-H631)/G631)))</f>
        <v>0.44803312409646917</v>
      </c>
      <c r="C632" s="18">
        <f>IF($A632&gt;'1-Input'!$B$26,0,(MAX(0,B616-IF($A632&gt;='1-Input'!$C$12,'1-Input'!$B$12,0))-MIN(MAX(F631,0),MAX(0,B616-IF($A632&gt;='1-Input'!$C$12,'1-Input'!$B$12,0))))*(1/(1-'P-Parametri'!$B$6*B632))+MIN(MAX(0,G631-(MAX(0,B616-IF($A632&gt;='1-Input'!$C$12,'1-Input'!$B$12,0))-MIN(MAX(F631,0),MAX(0,B616-IF($A632&gt;='1-Input'!$C$12,'1-Input'!$B$12,0))))*(1/(1-'P-Parametri'!$B$6*B632))),MAX(0,5*B616-(F631-MIN(MAX(F631,0),MAX(0,B616-IF($A632&gt;='1-Input'!$C$12,'1-Input'!$B$12,0)))))*(1/(1-'P-Parametri'!$B$6*B632))))</f>
        <v>19220.255161424153</v>
      </c>
      <c r="D632" s="18">
        <f>IF($A632&gt;'1-Input'!$B$26,F631,(F631-MAX(0,B616-IF($A632&gt;='1-Input'!$C$12,'1-Input'!$B$12,0))+C632*(1-'P-Parametri'!$B$6*B632))*(1+'1-Input'!$B$27))</f>
        <v>83105.01757746574</v>
      </c>
      <c r="E632" s="18">
        <f>IF($A632&gt;'1-Input'!$B$26,G631,(G631-C632)*(1+$C$4))</f>
        <v>199271.83294642493</v>
      </c>
      <c r="F632" s="18">
        <f>IF($A632&gt;'1-Input'!$B$26,D632,D632-'P-Parametri'!$B$8*(E632+D632)+MIN(MAX(E632,0),'P-Parametri'!$B$8*(E632+D632)))</f>
        <v>83105.01757746574</v>
      </c>
      <c r="G632" s="18">
        <f>IF($A632&gt;'1-Input'!$B$26,E632,E632-MIN(MAX(E632,0),'P-Parametri'!$B$8*(E632+D632)))</f>
        <v>198707.07924537716</v>
      </c>
      <c r="H632" s="18">
        <f>IF($A632&gt;'1-Input'!$B$26,H631,H631-C632*(1-B632))</f>
        <v>106787.81658932861</v>
      </c>
      <c r="I632" s="11">
        <f>IF($A632&gt;'1-Input'!$B$26,0,IF(N631&lt;=0,0,MAX(0,(N631-O631)/N631)))</f>
        <v>0.44331053500657508</v>
      </c>
      <c r="J632" s="18">
        <f>IF($A632&gt;'1-Input'!$B$26,0,(MAX(0,I616-IF($A632&gt;='1-Input'!$C$12,'1-Input'!$B$12,0))-MIN(MAX(M631,0),MAX(0,I616-IF($A632&gt;='1-Input'!$C$12,'1-Input'!$B$12,0))))*(1/(1-'P-Parametri'!$B$6*I632))+MIN(MAX(0,N631-(MAX(0,I616-IF($A632&gt;='1-Input'!$C$12,'1-Input'!$B$12,0))-MIN(MAX(M631,0),MAX(0,I616-IF($A632&gt;='1-Input'!$C$12,'1-Input'!$B$12,0))))*(1/(1-'P-Parametri'!$B$6*I632))),MAX(0,5*I616-(M631-MIN(MAX(M631,0),MAX(0,I616-IF($A632&gt;='1-Input'!$C$12,'1-Input'!$B$12,0)))))*(1/(1-'P-Parametri'!$B$6*I632))))</f>
        <v>25254.711310217386</v>
      </c>
      <c r="K632" s="18">
        <f>IF($A632&gt;'1-Input'!$B$26,M631,(M631-MAX(0,I616-IF($A632&gt;='1-Input'!$C$12,'1-Input'!$B$12,0))+J632*(1-'P-Parametri'!$B$6*I632))*(1+'1-Input'!$B$27))</f>
        <v>109348.70733877072</v>
      </c>
      <c r="L632" s="18">
        <f>IF($A632&gt;'1-Input'!$B$26,N631,(N631-J632)*(1+$C$4))</f>
        <v>58095.877566085801</v>
      </c>
      <c r="M632" s="18">
        <f>IF($A632&gt;'1-Input'!$B$26,K632,K632-'P-Parametri'!$B$8*(L632+K632)+MIN(MAX(L632,0),'P-Parametri'!$B$8*(L632+K632)))</f>
        <v>109348.70733877072</v>
      </c>
      <c r="N632" s="18">
        <f>IF($A632&gt;'1-Input'!$B$26,L632,L632-MIN(MAX(L632,0),'P-Parametri'!$B$8*(L632+K632)))</f>
        <v>57760.988396276087</v>
      </c>
      <c r="O632" s="18">
        <f>IF($A632&gt;'1-Input'!$B$26,O631,O631-J632*(1-I632))</f>
        <v>31399.381553968764</v>
      </c>
      <c r="P632" s="11">
        <f>IF($A632&gt;'1-Input'!$B$26,0,IF(U631&lt;=0,0,MAX(0,(U631-V631)/U631)))</f>
        <v>0.44794151362540247</v>
      </c>
      <c r="Q632" s="18">
        <f>IF($A632&gt;'1-Input'!$B$26,0,(MAX(0,P616-IF($A632&gt;='1-Input'!$C$12,'1-Input'!$B$12,0))-MIN(MAX(T631,0),MAX(0,P616-IF($A632&gt;='1-Input'!$C$12,'1-Input'!$B$12,0))))*(1/(1-'P-Parametri'!$B$6*P632))+MIN(MAX(0,U631-(MAX(0,P616-IF($A632&gt;='1-Input'!$C$12,'1-Input'!$B$12,0))-MIN(MAX(T631,0),MAX(0,P616-IF($A632&gt;='1-Input'!$C$12,'1-Input'!$B$12,0))))*(1/(1-'P-Parametri'!$B$6*P632))),MAX(0,5*P616-(T631-MIN(MAX(T631,0),MAX(0,P616-IF($A632&gt;='1-Input'!$C$12,'1-Input'!$B$12,0)))))*(1/(1-'P-Parametri'!$B$6*P632))))</f>
        <v>19419.073139243184</v>
      </c>
      <c r="R632" s="18">
        <f>IF($A632&gt;'1-Input'!$B$26,T631,(T631-MAX(0,P616-IF($A632&gt;='1-Input'!$C$12,'1-Input'!$B$12,0))+Q632*(1-'P-Parametri'!$B$6*P632))*(1+'1-Input'!$B$27))</f>
        <v>83966.9353144864</v>
      </c>
      <c r="S632" s="18">
        <f>IF($A632&gt;'1-Input'!$B$26,U631,(U631-Q632)*(1+$C$4))</f>
        <v>194632.43978210969</v>
      </c>
      <c r="T632" s="18">
        <f>IF($A632&gt;'1-Input'!$B$26,R632,R632-'P-Parametri'!$B$8*(S632+R632)+MIN(MAX(S632,0),'P-Parametri'!$B$8*(S632+R632)))</f>
        <v>83966.9353144864</v>
      </c>
      <c r="U632" s="18">
        <f>IF($A632&gt;'1-Input'!$B$26,S632,S632-MIN(MAX(S632,0),'P-Parametri'!$B$8*(S632+R632)))</f>
        <v>194075.24103191649</v>
      </c>
      <c r="V632" s="18">
        <f>IF($A632&gt;'1-Input'!$B$26,V631,V631-Q632*(1-P632))</f>
        <v>104318.92243253055</v>
      </c>
      <c r="W632" s="11">
        <f>IF($A632&gt;'1-Input'!$B$26,0,IF(AB631&lt;=0,0,MAX(0,(AB631-AC631)/AB631)))</f>
        <v>0.44792594521028112</v>
      </c>
      <c r="X632" s="18">
        <f>IF($A632&gt;'1-Input'!$B$26,0,(MAX(0,W616-IF($A632&gt;='1-Input'!$C$12,'1-Input'!$B$12,0))-MIN(MAX(AA631,0),MAX(0,W616-IF($A632&gt;='1-Input'!$C$12,'1-Input'!$B$12,0))))*(1/(1-'P-Parametri'!$B$6*W632))+MIN(MAX(0,AB631-(MAX(0,W616-IF($A632&gt;='1-Input'!$C$12,'1-Input'!$B$12,0))-MIN(MAX(AA631,0),MAX(0,W616-IF($A632&gt;='1-Input'!$C$12,'1-Input'!$B$12,0))))*(1/(1-'P-Parametri'!$B$6*W632))),MAX(0,5*W616-(AA631-MIN(MAX(AA631,0),MAX(0,W616-IF($A632&gt;='1-Input'!$C$12,'1-Input'!$B$12,0)))))*(1/(1-'P-Parametri'!$B$6*W632))))</f>
        <v>19452.375178271988</v>
      </c>
      <c r="Y632" s="18">
        <f>IF($A632&gt;'1-Input'!$B$26,AA631,(AA631-MAX(0,W616-IF($A632&gt;='1-Input'!$C$12,'1-Input'!$B$12,0))+X632*(1-'P-Parametri'!$B$6*W632))*(1+'1-Input'!$B$27))</f>
        <v>84111.316723481417</v>
      </c>
      <c r="Z632" s="18">
        <f>IF($A632&gt;'1-Input'!$B$26,AB631,(AB631-X632)*(1+$C$4))</f>
        <v>193855.29926906794</v>
      </c>
      <c r="AA632" s="18">
        <f>IF($A632&gt;'1-Input'!$B$26,Y632,Y632-'P-Parametri'!$B$8*(Z632+Y632)+MIN(MAX(Z632,0),'P-Parametri'!$B$8*(Z632+Y632)))</f>
        <v>84111.316723481417</v>
      </c>
      <c r="AB632" s="18">
        <f>IF($A632&gt;'1-Input'!$B$26,Z632,Z632-MIN(MAX(Z632,0),'P-Parametri'!$B$8*(Z632+Y632)))</f>
        <v>193299.36603708283</v>
      </c>
      <c r="AC632" s="18">
        <f>IF($A632&gt;'1-Input'!$B$26,AC631,AC631-X632*(1-W632))</f>
        <v>103905.32146596967</v>
      </c>
      <c r="AD632" s="11">
        <f>IF($A632&gt;'1-Input'!$B$26,0,IF(AI631&lt;=0,0,MAX(0,(AI631-AJ631)/AI631)))</f>
        <v>0.4479222578207791</v>
      </c>
      <c r="AE632" s="18">
        <f>IF($A632&gt;'1-Input'!$B$26,0,(MAX(0,AD616-IF($A632&gt;='1-Input'!$C$12,'1-Input'!$B$12,0))-MIN(MAX(AH631,0),MAX(0,AD616-IF($A632&gt;='1-Input'!$C$12,'1-Input'!$B$12,0))))*(1/(1-'P-Parametri'!$B$6*AD632))+MIN(MAX(0,AI631-(MAX(0,AD616-IF($A632&gt;='1-Input'!$C$12,'1-Input'!$B$12,0))-MIN(MAX(AH631,0),MAX(0,AD616-IF($A632&gt;='1-Input'!$C$12,'1-Input'!$B$12,0))))*(1/(1-'P-Parametri'!$B$6*AD632))),MAX(0,5*AD616-(AH631-MIN(MAX(AH631,0),MAX(0,AD616-IF($A632&gt;='1-Input'!$C$12,'1-Input'!$B$12,0)))))*(1/(1-'P-Parametri'!$B$6*AD632))))</f>
        <v>19460.242379226209</v>
      </c>
      <c r="AF632" s="18">
        <f>IF($A632&gt;'1-Input'!$B$26,AH631,(AH631-MAX(0,AD616-IF($A632&gt;='1-Input'!$C$12,'1-Input'!$B$12,0))+AE632*(1-'P-Parametri'!$B$6*AD632))*(1+'1-Input'!$B$27))</f>
        <v>84145.425501066202</v>
      </c>
      <c r="AG632" s="18">
        <f>IF($A632&gt;'1-Input'!$B$26,AI631,(AI631-AE632)*(1+$C$4))</f>
        <v>193671.70752065157</v>
      </c>
      <c r="AH632" s="18">
        <f>IF($A632&gt;'1-Input'!$B$26,AF632,AF632-'P-Parametri'!$B$8*(AG632+AF632)+MIN(MAX(AG632,0),'P-Parametri'!$B$8*(AG632+AF632)))</f>
        <v>84145.425501066202</v>
      </c>
      <c r="AI632" s="18">
        <f>IF($A632&gt;'1-Input'!$B$26,AG632,AG632-MIN(MAX(AG632,0),'P-Parametri'!$B$8*(AG632+AF632)))</f>
        <v>193116.07325460814</v>
      </c>
      <c r="AJ632" s="18">
        <f>IF($A632&gt;'1-Input'!$B$26,AJ631,AJ631-AE632*(1-AD632))</f>
        <v>103807.610691258</v>
      </c>
      <c r="AK632" s="11">
        <f>IF($A632&gt;'1-Input'!$B$26,0,IF(AP631&lt;=0,0,MAX(0,(AP631-AQ631)/AP631)))</f>
        <v>0.44792253512989971</v>
      </c>
      <c r="AL632" s="18">
        <f>IF($A632&gt;'1-Input'!$B$26,0,(MAX(0,AK616-IF($A632&gt;='1-Input'!$C$12,'1-Input'!$B$12,0))-MIN(MAX(AO631,0),MAX(0,AK616-IF($A632&gt;='1-Input'!$C$12,'1-Input'!$B$12,0))))*(1/(1-'P-Parametri'!$B$6*AK632))+MIN(MAX(0,AP631-(MAX(0,AK616-IF($A632&gt;='1-Input'!$C$12,'1-Input'!$B$12,0))-MIN(MAX(AO631,0),MAX(0,AK616-IF($A632&gt;='1-Input'!$C$12,'1-Input'!$B$12,0))))*(1/(1-'P-Parametri'!$B$6*AK632))),MAX(0,5*AK616-(AO631-MIN(MAX(AO631,0),MAX(0,AK616-IF($A632&gt;='1-Input'!$C$12,'1-Input'!$B$12,0)))))*(1/(1-'P-Parametri'!$B$6*AK632))))</f>
        <v>19459.650999790174</v>
      </c>
      <c r="AM632" s="18">
        <f>IF($A632&gt;'1-Input'!$B$26,AO631,(AO631-MAX(0,AK616-IF($A632&gt;='1-Input'!$C$12,'1-Input'!$B$12,0))+AL632*(1-'P-Parametri'!$B$6*AK632))*(1+'1-Input'!$B$27))</f>
        <v>84142.861530128604</v>
      </c>
      <c r="AN632" s="18">
        <f>IF($A632&gt;'1-Input'!$B$26,AP631,(AP631-AL632)*(1+$C$4))</f>
        <v>193685.5081812632</v>
      </c>
      <c r="AO632" s="18">
        <f>IF($A632&gt;'1-Input'!$B$26,AM632,AM632-'P-Parametri'!$B$8*(AN632+AM632)+MIN(MAX(AN632,0),'P-Parametri'!$B$8*(AN632+AM632)))</f>
        <v>84142.861530128604</v>
      </c>
      <c r="AP632" s="18">
        <f>IF($A632&gt;'1-Input'!$B$26,AN632,AN632-MIN(MAX(AN632,0),'P-Parametri'!$B$8*(AN632+AM632)))</f>
        <v>193129.85144184041</v>
      </c>
      <c r="AQ632" s="18">
        <f>IF($A632&gt;'1-Input'!$B$26,AQ631,AQ631-AL632*(1-AK632))</f>
        <v>103814.95566872705</v>
      </c>
    </row>
    <row r="633" spans="1:43">
      <c r="A633" s="10">
        <f>15</f>
        <v>15</v>
      </c>
      <c r="B633" s="11">
        <f>IF($A633&gt;'1-Input'!$B$26,0,IF(G632&lt;=0,0,MAX(0,(G632-H632)/G632)))</f>
        <v>0.46258675335135058</v>
      </c>
      <c r="C633" s="18">
        <f>IF($A633&gt;'1-Input'!$B$26,0,(MAX(0,B616-IF($A633&gt;='1-Input'!$C$12,'1-Input'!$B$12,0))-MIN(MAX(F632,0),MAX(0,B616-IF($A633&gt;='1-Input'!$C$12,'1-Input'!$B$12,0))))*(1/(1-'P-Parametri'!$B$6*B633))+MIN(MAX(0,G632-(MAX(0,B616-IF($A633&gt;='1-Input'!$C$12,'1-Input'!$B$12,0))-MIN(MAX(F632,0),MAX(0,B616-IF($A633&gt;='1-Input'!$C$12,'1-Input'!$B$12,0))))*(1/(1-'P-Parametri'!$B$6*B633))),MAX(0,5*B616-(F632-MIN(MAX(F632,0),MAX(0,B616-IF($A633&gt;='1-Input'!$C$12,'1-Input'!$B$12,0)))))*(1/(1-'P-Parametri'!$B$6*B633))))</f>
        <v>19302.926632132865</v>
      </c>
      <c r="D633" s="18">
        <f>IF($A633&gt;'1-Input'!$B$26,F632,(F632-MAX(0,B616-IF($A633&gt;='1-Input'!$C$12,'1-Input'!$B$12,0))+C633*(1-'P-Parametri'!$B$6*B633))*(1+'1-Input'!$B$27))</f>
        <v>83105.01757746574</v>
      </c>
      <c r="E633" s="18">
        <f>IF($A633&gt;'1-Input'!$B$26,G632,(G632-C633)*(1+$C$4))</f>
        <v>184786.27719164162</v>
      </c>
      <c r="F633" s="18">
        <f>IF($A633&gt;'1-Input'!$B$26,D633,D633-'P-Parametri'!$B$8*(E633+D633)+MIN(MAX(E633,0),'P-Parametri'!$B$8*(E633+D633)))</f>
        <v>83105.01757746574</v>
      </c>
      <c r="G633" s="18">
        <f>IF($A633&gt;'1-Input'!$B$26,E633,E633-MIN(MAX(E633,0),'P-Parametri'!$B$8*(E633+D633)))</f>
        <v>184250.4946021034</v>
      </c>
      <c r="H633" s="18">
        <f>IF($A633&gt;'1-Input'!$B$26,H632,H632-C633*(1-B633))</f>
        <v>96414.168118133399</v>
      </c>
      <c r="I633" s="11">
        <f>IF($A633&gt;'1-Input'!$B$26,0,IF(N632&lt;=0,0,MAX(0,(N632-O632)/N632)))</f>
        <v>0.45639120060498972</v>
      </c>
      <c r="J633" s="18">
        <f>IF($A633&gt;'1-Input'!$B$26,0,(MAX(0,I616-IF($A633&gt;='1-Input'!$C$12,'1-Input'!$B$12,0))-MIN(MAX(M632,0),MAX(0,I616-IF($A633&gt;='1-Input'!$C$12,'1-Input'!$B$12,0))))*(1/(1-'P-Parametri'!$B$6*I633))+MIN(MAX(0,N632-(MAX(0,I616-IF($A633&gt;='1-Input'!$C$12,'1-Input'!$B$12,0))-MIN(MAX(M632,0),MAX(0,I616-IF($A633&gt;='1-Input'!$C$12,'1-Input'!$B$12,0))))*(1/(1-'P-Parametri'!$B$6*I633))),MAX(0,5*I616-(M632-MIN(MAX(M632,0),MAX(0,I616-IF($A633&gt;='1-Input'!$C$12,'1-Input'!$B$12,0)))))*(1/(1-'P-Parametri'!$B$6*I633))))</f>
        <v>25352.166049081545</v>
      </c>
      <c r="K633" s="18">
        <f>IF($A633&gt;'1-Input'!$B$26,M632,(M632-MAX(0,I616-IF($A633&gt;='1-Input'!$C$12,'1-Input'!$B$12,0))+J633*(1-'P-Parametri'!$B$6*I633))*(1+'1-Input'!$B$27))</f>
        <v>109348.70733877072</v>
      </c>
      <c r="L633" s="18">
        <f>IF($A633&gt;'1-Input'!$B$26,N632,(N632-J633)*(1+$C$4))</f>
        <v>33381.087017610378</v>
      </c>
      <c r="M633" s="18">
        <f>IF($A633&gt;'1-Input'!$B$26,K633,K633-'P-Parametri'!$B$8*(L633+K633)+MIN(MAX(L633,0),'P-Parametri'!$B$8*(L633+K633)))</f>
        <v>109348.70733877072</v>
      </c>
      <c r="N633" s="18">
        <f>IF($A633&gt;'1-Input'!$B$26,L633,L633-MIN(MAX(L633,0),'P-Parametri'!$B$8*(L633+K633)))</f>
        <v>33095.627428897613</v>
      </c>
      <c r="O633" s="18">
        <f>IF($A633&gt;'1-Input'!$B$26,O632,O632-J633*(1-I633))</f>
        <v>17617.721005964602</v>
      </c>
      <c r="P633" s="11">
        <f>IF($A633&gt;'1-Input'!$B$26,0,IF(U632&lt;=0,0,MAX(0,(U632-V632)/U632)))</f>
        <v>0.46248206686305304</v>
      </c>
      <c r="Q633" s="18">
        <f>IF($A633&gt;'1-Input'!$B$26,0,(MAX(0,P616-IF($A633&gt;='1-Input'!$C$12,'1-Input'!$B$12,0))-MIN(MAX(T632,0),MAX(0,P616-IF($A633&gt;='1-Input'!$C$12,'1-Input'!$B$12,0))))*(1/(1-'P-Parametri'!$B$6*P633))+MIN(MAX(0,U632-(MAX(0,P616-IF($A633&gt;='1-Input'!$C$12,'1-Input'!$B$12,0))-MIN(MAX(T632,0),MAX(0,P616-IF($A633&gt;='1-Input'!$C$12,'1-Input'!$B$12,0))))*(1/(1-'P-Parametri'!$B$6*P633))),MAX(0,5*P616-(T632-MIN(MAX(T632,0),MAX(0,P616-IF($A633&gt;='1-Input'!$C$12,'1-Input'!$B$12,0)))))*(1/(1-'P-Parametri'!$B$6*P633))))</f>
        <v>19502.522151211531</v>
      </c>
      <c r="R633" s="18">
        <f>IF($A633&gt;'1-Input'!$B$26,T632,(T632-MAX(0,P616-IF($A633&gt;='1-Input'!$C$12,'1-Input'!$B$12,0))+Q633*(1-'P-Parametri'!$B$6*P633))*(1+'1-Input'!$B$27))</f>
        <v>83966.9353144864</v>
      </c>
      <c r="S633" s="18">
        <f>IF($A633&gt;'1-Input'!$B$26,U632,(U632-Q633)*(1+$C$4))</f>
        <v>179809.9004471261</v>
      </c>
      <c r="T633" s="18">
        <f>IF($A633&gt;'1-Input'!$B$26,R633,R633-'P-Parametri'!$B$8*(S633+R633)+MIN(MAX(S633,0),'P-Parametri'!$B$8*(S633+R633)))</f>
        <v>83966.9353144864</v>
      </c>
      <c r="U633" s="18">
        <f>IF($A633&gt;'1-Input'!$B$26,S633,S633-MIN(MAX(S633,0),'P-Parametri'!$B$8*(S633+R633)))</f>
        <v>179282.34677560287</v>
      </c>
      <c r="V633" s="18">
        <f>IF($A633&gt;'1-Input'!$B$26,V632,V632-Q633*(1-P633))</f>
        <v>93835.967034853806</v>
      </c>
      <c r="W633" s="11">
        <f>IF($A633&gt;'1-Input'!$B$26,0,IF(AB632&lt;=0,0,MAX(0,(AB632-AC632)/AB632)))</f>
        <v>0.4624642408499347</v>
      </c>
      <c r="X633" s="18">
        <f>IF($A633&gt;'1-Input'!$B$26,0,(MAX(0,W616-IF($A633&gt;='1-Input'!$C$12,'1-Input'!$B$12,0))-MIN(MAX(AA632,0),MAX(0,W616-IF($A633&gt;='1-Input'!$C$12,'1-Input'!$B$12,0))))*(1/(1-'P-Parametri'!$B$6*W633))+MIN(MAX(0,AB632-(MAX(0,W616-IF($A633&gt;='1-Input'!$C$12,'1-Input'!$B$12,0))-MIN(MAX(AA632,0),MAX(0,W616-IF($A633&gt;='1-Input'!$C$12,'1-Input'!$B$12,0))))*(1/(1-'P-Parametri'!$B$6*W633))),MAX(0,5*W616-(AA632-MIN(MAX(AA632,0),MAX(0,W616-IF($A633&gt;='1-Input'!$C$12,'1-Input'!$B$12,0)))))*(1/(1-'P-Parametri'!$B$6*W633))))</f>
        <v>19535.953879105502</v>
      </c>
      <c r="Y633" s="18">
        <f>IF($A633&gt;'1-Input'!$B$26,AA632,(AA632-MAX(0,W616-IF($A633&gt;='1-Input'!$C$12,'1-Input'!$B$12,0))+X633*(1-'P-Parametri'!$B$6*W633))*(1+'1-Input'!$B$27))</f>
        <v>84111.316723481417</v>
      </c>
      <c r="Z633" s="18">
        <f>IF($A633&gt;'1-Input'!$B$26,AB632,(AB632-X633)*(1+$C$4))</f>
        <v>178976.31452271665</v>
      </c>
      <c r="AA633" s="18">
        <f>IF($A633&gt;'1-Input'!$B$26,Y633,Y633-'P-Parametri'!$B$8*(Z633+Y633)+MIN(MAX(Z633,0),'P-Parametri'!$B$8*(Z633+Y633)))</f>
        <v>84111.316723481417</v>
      </c>
      <c r="AB633" s="18">
        <f>IF($A633&gt;'1-Input'!$B$26,Z633,Z633-MIN(MAX(Z633,0),'P-Parametri'!$B$8*(Z633+Y633)))</f>
        <v>178450.13926022427</v>
      </c>
      <c r="AC633" s="18">
        <f>IF($A633&gt;'1-Input'!$B$26,AC632,AC632-X633*(1-W633))</f>
        <v>93404.047666844024</v>
      </c>
      <c r="AD633" s="11">
        <f>IF($A633&gt;'1-Input'!$B$26,0,IF(AI632&lt;=0,0,MAX(0,(AI632-AJ632)/AI632)))</f>
        <v>0.46246001722292712</v>
      </c>
      <c r="AE633" s="18">
        <f>IF($A633&gt;'1-Input'!$B$26,0,(MAX(0,AD616-IF($A633&gt;='1-Input'!$C$12,'1-Input'!$B$12,0))-MIN(MAX(AH632,0),MAX(0,AD616-IF($A633&gt;='1-Input'!$C$12,'1-Input'!$B$12,0))))*(1/(1-'P-Parametri'!$B$6*AD633))+MIN(MAX(0,AI632-(MAX(0,AD616-IF($A633&gt;='1-Input'!$C$12,'1-Input'!$B$12,0))-MIN(MAX(AH632,0),MAX(0,AD616-IF($A633&gt;='1-Input'!$C$12,'1-Input'!$B$12,0))))*(1/(1-'P-Parametri'!$B$6*AD633))),MAX(0,5*AD616-(AH632-MIN(MAX(AH632,0),MAX(0,AD616-IF($A633&gt;='1-Input'!$C$12,'1-Input'!$B$12,0)))))*(1/(1-'P-Parametri'!$B$6*AD633))))</f>
        <v>19543.851693756314</v>
      </c>
      <c r="AF633" s="18">
        <f>IF($A633&gt;'1-Input'!$B$26,AH632,(AH632-MAX(0,AD616-IF($A633&gt;='1-Input'!$C$12,'1-Input'!$B$12,0))+AE633*(1-'P-Parametri'!$B$6*AD633))*(1+'1-Input'!$B$27))</f>
        <v>84145.425501066202</v>
      </c>
      <c r="AG633" s="18">
        <f>IF($A633&gt;'1-Input'!$B$26,AI632,(AI632-AE633)*(1+$C$4))</f>
        <v>178779.38820767737</v>
      </c>
      <c r="AH633" s="18">
        <f>IF($A633&gt;'1-Input'!$B$26,AF633,AF633-'P-Parametri'!$B$8*(AG633+AF633)+MIN(MAX(AG633,0),'P-Parametri'!$B$8*(AG633+AF633)))</f>
        <v>84145.425501066202</v>
      </c>
      <c r="AI633" s="18">
        <f>IF($A633&gt;'1-Input'!$B$26,AG633,AG633-MIN(MAX(AG633,0),'P-Parametri'!$B$8*(AG633+AF633)))</f>
        <v>178253.53858025989</v>
      </c>
      <c r="AJ633" s="18">
        <f>IF($A633&gt;'1-Input'!$B$26,AJ632,AJ632-AE633*(1-AD633))</f>
        <v>93302.008988398564</v>
      </c>
      <c r="AK633" s="11">
        <f>IF($A633&gt;'1-Input'!$B$26,0,IF(AP632&lt;=0,0,MAX(0,(AP632-AQ632)/AP632)))</f>
        <v>0.46246033487997512</v>
      </c>
      <c r="AL633" s="18">
        <f>IF($A633&gt;'1-Input'!$B$26,0,(MAX(0,AK616-IF($A633&gt;='1-Input'!$C$12,'1-Input'!$B$12,0))-MIN(MAX(AO632,0),MAX(0,AK616-IF($A633&gt;='1-Input'!$C$12,'1-Input'!$B$12,0))))*(1/(1-'P-Parametri'!$B$6*AK633))+MIN(MAX(0,AP632-(MAX(0,AK616-IF($A633&gt;='1-Input'!$C$12,'1-Input'!$B$12,0))-MIN(MAX(AO632,0),MAX(0,AK616-IF($A633&gt;='1-Input'!$C$12,'1-Input'!$B$12,0))))*(1/(1-'P-Parametri'!$B$6*AK633))),MAX(0,5*AK616-(AO632-MIN(MAX(AO632,0),MAX(0,AK616-IF($A633&gt;='1-Input'!$C$12,'1-Input'!$B$12,0)))))*(1/(1-'P-Parametri'!$B$6*AK633))))</f>
        <v>19543.258013397855</v>
      </c>
      <c r="AM633" s="18">
        <f>IF($A633&gt;'1-Input'!$B$26,AO632,(AO632-MAX(0,AK616-IF($A633&gt;='1-Input'!$C$12,'1-Input'!$B$12,0))+AL633*(1-'P-Parametri'!$B$6*AK633))*(1+'1-Input'!$B$27))</f>
        <v>84142.861530128604</v>
      </c>
      <c r="AN633" s="18">
        <f>IF($A633&gt;'1-Input'!$B$26,AP632,(AP632-AL633)*(1+$C$4))</f>
        <v>178794.19123129582</v>
      </c>
      <c r="AO633" s="18">
        <f>IF($A633&gt;'1-Input'!$B$26,AM633,AM633-'P-Parametri'!$B$8*(AN633+AM633)+MIN(MAX(AN633,0),'P-Parametri'!$B$8*(AN633+AM633)))</f>
        <v>84142.861530128604</v>
      </c>
      <c r="AP633" s="18">
        <f>IF($A633&gt;'1-Input'!$B$26,AN633,AN633-MIN(MAX(AN633,0),'P-Parametri'!$B$8*(AN633+AM633)))</f>
        <v>178268.31712577297</v>
      </c>
      <c r="AQ633" s="18">
        <f>IF($A633&gt;'1-Input'!$B$26,AQ632,AQ632-AL633*(1-AK633))</f>
        <v>93309.679300850927</v>
      </c>
    </row>
    <row r="634" spans="1:43">
      <c r="A634" s="10">
        <f>16</f>
        <v>16</v>
      </c>
      <c r="B634" s="11">
        <f>IF($A634&gt;'1-Input'!$B$26,0,IF(G633&lt;=0,0,MAX(0,(G633-H633)/G633)))</f>
        <v>0.47672233756363147</v>
      </c>
      <c r="C634" s="18">
        <f>IF($A634&gt;'1-Input'!$B$26,0,(MAX(0,B616-IF($A634&gt;='1-Input'!$C$12,'1-Input'!$B$12,0))-MIN(MAX(F633,0),MAX(0,B616-IF($A634&gt;='1-Input'!$C$12,'1-Input'!$B$12,0))))*(1/(1-'P-Parametri'!$B$6*B634))+MIN(MAX(0,G633-(MAX(0,B616-IF($A634&gt;='1-Input'!$C$12,'1-Input'!$B$12,0))-MIN(MAX(F633,0),MAX(0,B616-IF($A634&gt;='1-Input'!$C$12,'1-Input'!$B$12,0))))*(1/(1-'P-Parametri'!$B$6*B634))),MAX(0,5*B616-(F633-MIN(MAX(F633,0),MAX(0,B616-IF($A634&gt;='1-Input'!$C$12,'1-Input'!$B$12,0)))))*(1/(1-'P-Parametri'!$B$6*B634))))</f>
        <v>19383.907101466153</v>
      </c>
      <c r="D634" s="18">
        <f>IF($A634&gt;'1-Input'!$B$26,F633,(F633-MAX(0,B616-IF($A634&gt;='1-Input'!$C$12,'1-Input'!$B$12,0))+C634*(1-'P-Parametri'!$B$6*B634))*(1+'1-Input'!$B$27))</f>
        <v>83105.01757746574</v>
      </c>
      <c r="E634" s="18">
        <f>IF($A634&gt;'1-Input'!$B$26,G633,(G633-C634)*(1+$C$4))</f>
        <v>169812.58512565636</v>
      </c>
      <c r="F634" s="18">
        <f>IF($A634&gt;'1-Input'!$B$26,D634,D634-'P-Parametri'!$B$8*(E634+D634)+MIN(MAX(E634,0),'P-Parametri'!$B$8*(E634+D634)))</f>
        <v>83105.01757746574</v>
      </c>
      <c r="G634" s="18">
        <f>IF($A634&gt;'1-Input'!$B$26,E634,E634-MIN(MAX(E634,0),'P-Parametri'!$B$8*(E634+D634)))</f>
        <v>169306.74992025012</v>
      </c>
      <c r="H634" s="18">
        <f>IF($A634&gt;'1-Input'!$B$26,H633,H633-C634*(1-B634))</f>
        <v>86271.002521194459</v>
      </c>
      <c r="I634" s="11">
        <f>IF($A634&gt;'1-Input'!$B$26,0,IF(N633&lt;=0,0,MAX(0,(N633-O633)/N633)))</f>
        <v>0.46767224631669618</v>
      </c>
      <c r="J634" s="18">
        <f>IF($A634&gt;'1-Input'!$B$26,0,(MAX(0,I616-IF($A634&gt;='1-Input'!$C$12,'1-Input'!$B$12,0))-MIN(MAX(M633,0),MAX(0,I616-IF($A634&gt;='1-Input'!$C$12,'1-Input'!$B$12,0))))*(1/(1-'P-Parametri'!$B$6*I634))+MIN(MAX(0,N633-(MAX(0,I616-IF($A634&gt;='1-Input'!$C$12,'1-Input'!$B$12,0))-MIN(MAX(M633,0),MAX(0,I616-IF($A634&gt;='1-Input'!$C$12,'1-Input'!$B$12,0))))*(1/(1-'P-Parametri'!$B$6*I634))),MAX(0,5*I616-(M633-MIN(MAX(M633,0),MAX(0,I616-IF($A634&gt;='1-Input'!$C$12,'1-Input'!$B$12,0)))))*(1/(1-'P-Parametri'!$B$6*I634))))</f>
        <v>25436.81915007942</v>
      </c>
      <c r="K634" s="18">
        <f>IF($A634&gt;'1-Input'!$B$26,M633,(M633-MAX(0,I616-IF($A634&gt;='1-Input'!$C$12,'1-Input'!$B$12,0))+J634*(1-'P-Parametri'!$B$6*I634))*(1+'1-Input'!$B$27))</f>
        <v>109348.70733877072</v>
      </c>
      <c r="L634" s="18">
        <f>IF($A634&gt;'1-Input'!$B$26,N633,(N633-J634)*(1+$C$4))</f>
        <v>7888.5725271827387</v>
      </c>
      <c r="M634" s="18">
        <f>IF($A634&gt;'1-Input'!$B$26,K634,K634-'P-Parametri'!$B$8*(L634+K634)+MIN(MAX(L634,0),'P-Parametri'!$B$8*(L634+K634)))</f>
        <v>109348.70733877072</v>
      </c>
      <c r="N634" s="18">
        <f>IF($A634&gt;'1-Input'!$B$26,L634,L634-MIN(MAX(L634,0),'P-Parametri'!$B$8*(L634+K634)))</f>
        <v>7654.0979674508317</v>
      </c>
      <c r="O634" s="18">
        <f>IF($A634&gt;'1-Input'!$B$26,O633,O633-J634*(1-I634))</f>
        <v>4076.9962069543799</v>
      </c>
      <c r="P634" s="11">
        <f>IF($A634&gt;'1-Input'!$B$26,0,IF(U633&lt;=0,0,MAX(0,(U633-V633)/U633)))</f>
        <v>0.47660230512096796</v>
      </c>
      <c r="Q634" s="18">
        <f>IF($A634&gt;'1-Input'!$B$26,0,(MAX(0,P616-IF($A634&gt;='1-Input'!$C$12,'1-Input'!$B$12,0))-MIN(MAX(T633,0),MAX(0,P616-IF($A634&gt;='1-Input'!$C$12,'1-Input'!$B$12,0))))*(1/(1-'P-Parametri'!$B$6*P634))+MIN(MAX(0,U633-(MAX(0,P616-IF($A634&gt;='1-Input'!$C$12,'1-Input'!$B$12,0))-MIN(MAX(T633,0),MAX(0,P616-IF($A634&gt;='1-Input'!$C$12,'1-Input'!$B$12,0))))*(1/(1-'P-Parametri'!$B$6*P634))),MAX(0,5*P616-(T633-MIN(MAX(T633,0),MAX(0,P616-IF($A634&gt;='1-Input'!$C$12,'1-Input'!$B$12,0)))))*(1/(1-'P-Parametri'!$B$6*P634))))</f>
        <v>19584.248237324748</v>
      </c>
      <c r="R634" s="18">
        <f>IF($A634&gt;'1-Input'!$B$26,T633,(T633-MAX(0,P616-IF($A634&gt;='1-Input'!$C$12,'1-Input'!$B$12,0))+Q634*(1-'P-Parametri'!$B$6*P634))*(1+'1-Input'!$B$27))</f>
        <v>83966.9353144864</v>
      </c>
      <c r="S634" s="18">
        <f>IF($A634&gt;'1-Input'!$B$26,U633,(U633-Q634)*(1+$C$4))</f>
        <v>164489.04149442649</v>
      </c>
      <c r="T634" s="18">
        <f>IF($A634&gt;'1-Input'!$B$26,R634,R634-'P-Parametri'!$B$8*(S634+R634)+MIN(MAX(S634,0),'P-Parametri'!$B$8*(S634+R634)))</f>
        <v>83966.9353144864</v>
      </c>
      <c r="U634" s="18">
        <f>IF($A634&gt;'1-Input'!$B$26,S634,S634-MIN(MAX(S634,0),'P-Parametri'!$B$8*(S634+R634)))</f>
        <v>163992.12954080867</v>
      </c>
      <c r="V634" s="18">
        <f>IF($A634&gt;'1-Input'!$B$26,V633,V633-Q634*(1-P634))</f>
        <v>83585.616651499295</v>
      </c>
      <c r="W634" s="11">
        <f>IF($A634&gt;'1-Input'!$B$26,0,IF(AB633&lt;=0,0,MAX(0,(AB633-AC633)/AB633)))</f>
        <v>0.47658181689262841</v>
      </c>
      <c r="X634" s="18">
        <f>IF($A634&gt;'1-Input'!$B$26,0,(MAX(0,W616-IF($A634&gt;='1-Input'!$C$12,'1-Input'!$B$12,0))-MIN(MAX(AA633,0),MAX(0,W616-IF($A634&gt;='1-Input'!$C$12,'1-Input'!$B$12,0))))*(1/(1-'P-Parametri'!$B$6*W634))+MIN(MAX(0,AB633-(MAX(0,W616-IF($A634&gt;='1-Input'!$C$12,'1-Input'!$B$12,0))-MIN(MAX(AA633,0),MAX(0,W616-IF($A634&gt;='1-Input'!$C$12,'1-Input'!$B$12,0))))*(1/(1-'P-Parametri'!$B$6*W634))),MAX(0,5*W616-(AA633-MIN(MAX(AA633,0),MAX(0,W616-IF($A634&gt;='1-Input'!$C$12,'1-Input'!$B$12,0)))))*(1/(1-'P-Parametri'!$B$6*W634))))</f>
        <v>19617.804129540807</v>
      </c>
      <c r="Y634" s="18">
        <f>IF($A634&gt;'1-Input'!$B$26,AA633,(AA633-MAX(0,W616-IF($A634&gt;='1-Input'!$C$12,'1-Input'!$B$12,0))+X634*(1-'P-Parametri'!$B$6*W634))*(1+'1-Input'!$B$27))</f>
        <v>84111.316723481417</v>
      </c>
      <c r="Z634" s="18">
        <f>IF($A634&gt;'1-Input'!$B$26,AB633,(AB633-X634)*(1+$C$4))</f>
        <v>163597.30518460399</v>
      </c>
      <c r="AA634" s="18">
        <f>IF($A634&gt;'1-Input'!$B$26,Y634,Y634-'P-Parametri'!$B$8*(Z634+Y634)+MIN(MAX(Z634,0),'P-Parametri'!$B$8*(Z634+Y634)))</f>
        <v>84111.316723481417</v>
      </c>
      <c r="AB634" s="18">
        <f>IF($A634&gt;'1-Input'!$B$26,Z634,Z634-MIN(MAX(Z634,0),'P-Parametri'!$B$8*(Z634+Y634)))</f>
        <v>163101.88794078783</v>
      </c>
      <c r="AC634" s="18">
        <f>IF($A634&gt;'1-Input'!$B$26,AC633,AC633-X634*(1-W634))</f>
        <v>83135.732272803478</v>
      </c>
      <c r="AD634" s="11">
        <f>IF($A634&gt;'1-Input'!$B$26,0,IF(AI633&lt;=0,0,MAX(0,(AI633-AJ633)/AI633)))</f>
        <v>0.47657696037047426</v>
      </c>
      <c r="AE634" s="18">
        <f>IF($A634&gt;'1-Input'!$B$26,0,(MAX(0,AD616-IF($A634&gt;='1-Input'!$C$12,'1-Input'!$B$12,0))-MIN(MAX(AH633,0),MAX(0,AD616-IF($A634&gt;='1-Input'!$C$12,'1-Input'!$B$12,0))))*(1/(1-'P-Parametri'!$B$6*AD634))+MIN(MAX(0,AI633-(MAX(0,AD616-IF($A634&gt;='1-Input'!$C$12,'1-Input'!$B$12,0))-MIN(MAX(AH633,0),MAX(0,AD616-IF($A634&gt;='1-Input'!$C$12,'1-Input'!$B$12,0))))*(1/(1-'P-Parametri'!$B$6*AD634))),MAX(0,5*AD616-(AH633-MIN(MAX(AH633,0),MAX(0,AD616-IF($A634&gt;='1-Input'!$C$12,'1-Input'!$B$12,0)))))*(1/(1-'P-Parametri'!$B$6*AD634))))</f>
        <v>19625.731244986888</v>
      </c>
      <c r="AF634" s="18">
        <f>IF($A634&gt;'1-Input'!$B$26,AH633,(AH633-MAX(0,AD616-IF($A634&gt;='1-Input'!$C$12,'1-Input'!$B$12,0))+AE634*(1-'P-Parametri'!$B$6*AD634))*(1+'1-Input'!$B$27))</f>
        <v>84145.425501066202</v>
      </c>
      <c r="AG634" s="18">
        <f>IF($A634&gt;'1-Input'!$B$26,AI633,(AI633-AE634)*(1+$C$4))</f>
        <v>163386.64155533121</v>
      </c>
      <c r="AH634" s="18">
        <f>IF($A634&gt;'1-Input'!$B$26,AF634,AF634-'P-Parametri'!$B$8*(AG634+AF634)+MIN(MAX(AG634,0),'P-Parametri'!$B$8*(AG634+AF634)))</f>
        <v>84145.425501066202</v>
      </c>
      <c r="AI634" s="18">
        <f>IF($A634&gt;'1-Input'!$B$26,AG634,AG634-MIN(MAX(AG634,0),'P-Parametri'!$B$8*(AG634+AF634)))</f>
        <v>162891.57742121842</v>
      </c>
      <c r="AJ634" s="18">
        <f>IF($A634&gt;'1-Input'!$B$26,AJ633,AJ633-AE634*(1-AD634))</f>
        <v>83029.449085195374</v>
      </c>
      <c r="AK634" s="11">
        <f>IF($A634&gt;'1-Input'!$B$26,0,IF(AP633&lt;=0,0,MAX(0,(AP633-AQ633)/AP633)))</f>
        <v>0.47657732565558186</v>
      </c>
      <c r="AL634" s="18">
        <f>IF($A634&gt;'1-Input'!$B$26,0,(MAX(0,AK616-IF($A634&gt;='1-Input'!$C$12,'1-Input'!$B$12,0))-MIN(MAX(AO633,0),MAX(0,AK616-IF($A634&gt;='1-Input'!$C$12,'1-Input'!$B$12,0))))*(1/(1-'P-Parametri'!$B$6*AK634))+MIN(MAX(0,AP633-(MAX(0,AK616-IF($A634&gt;='1-Input'!$C$12,'1-Input'!$B$12,0))-MIN(MAX(AO633,0),MAX(0,AK616-IF($A634&gt;='1-Input'!$C$12,'1-Input'!$B$12,0))))*(1/(1-'P-Parametri'!$B$6*AK634))),MAX(0,5*AK616-(AO633-MIN(MAX(AO633,0),MAX(0,AK616-IF($A634&gt;='1-Input'!$C$12,'1-Input'!$B$12,0)))))*(1/(1-'P-Parametri'!$B$6*AK634))))</f>
        <v>19625.135362501547</v>
      </c>
      <c r="AM634" s="18">
        <f>IF($A634&gt;'1-Input'!$B$26,AO633,(AO633-MAX(0,AK616-IF($A634&gt;='1-Input'!$C$12,'1-Input'!$B$12,0))+AL634*(1-'P-Parametri'!$B$6*AK634))*(1+'1-Input'!$B$27))</f>
        <v>84142.861530128604</v>
      </c>
      <c r="AN634" s="18">
        <f>IF($A634&gt;'1-Input'!$B$26,AP633,(AP633-AL634)*(1+$C$4))</f>
        <v>163402.47721616956</v>
      </c>
      <c r="AO634" s="18">
        <f>IF($A634&gt;'1-Input'!$B$26,AM634,AM634-'P-Parametri'!$B$8*(AN634+AM634)+MIN(MAX(AN634,0),'P-Parametri'!$B$8*(AN634+AM634)))</f>
        <v>84142.861530128604</v>
      </c>
      <c r="AP634" s="18">
        <f>IF($A634&gt;'1-Input'!$B$26,AN634,AN634-MIN(MAX(AN634,0),'P-Parametri'!$B$8*(AN634+AM634)))</f>
        <v>162907.38653867698</v>
      </c>
      <c r="AQ634" s="18">
        <f>IF($A634&gt;'1-Input'!$B$26,AQ633,AQ633-AL634*(1-AK634))</f>
        <v>83037.438465039158</v>
      </c>
    </row>
    <row r="635" spans="1:43">
      <c r="A635" s="10">
        <f>17</f>
        <v>17</v>
      </c>
      <c r="B635" s="11">
        <f>IF($A635&gt;'1-Input'!$B$26,0,IF(G634&lt;=0,0,MAX(0,(G634-H634)/G634)))</f>
        <v>0.49044558139689431</v>
      </c>
      <c r="C635" s="18">
        <f>IF($A635&gt;'1-Input'!$B$26,0,(MAX(0,B616-IF($A635&gt;='1-Input'!$C$12,'1-Input'!$B$12,0))-MIN(MAX(F634,0),MAX(0,B616-IF($A635&gt;='1-Input'!$C$12,'1-Input'!$B$12,0))))*(1/(1-'P-Parametri'!$B$6*B635))+MIN(MAX(0,G634-(MAX(0,B616-IF($A635&gt;='1-Input'!$C$12,'1-Input'!$B$12,0))-MIN(MAX(F634,0),MAX(0,B616-IF($A635&gt;='1-Input'!$C$12,'1-Input'!$B$12,0))))*(1/(1-'P-Parametri'!$B$6*B635))),MAX(0,5*B616-(F634-MIN(MAX(F634,0),MAX(0,B616-IF($A635&gt;='1-Input'!$C$12,'1-Input'!$B$12,0)))))*(1/(1-'P-Parametri'!$B$6*B635))))</f>
        <v>19463.178022120515</v>
      </c>
      <c r="D635" s="18">
        <f>IF($A635&gt;'1-Input'!$B$26,F634,(F634-MAX(0,B616-IF($A635&gt;='1-Input'!$C$12,'1-Input'!$B$12,0))+C635*(1-'P-Parametri'!$B$6*B635))*(1+'1-Input'!$B$27))</f>
        <v>83105.01757746574</v>
      </c>
      <c r="E635" s="18">
        <f>IF($A635&gt;'1-Input'!$B$26,G634,(G634-C635)*(1+$C$4))</f>
        <v>154338.87905507348</v>
      </c>
      <c r="F635" s="18">
        <f>IF($A635&gt;'1-Input'!$B$26,D635,D635-'P-Parametri'!$B$8*(E635+D635)+MIN(MAX(E635,0),'P-Parametri'!$B$8*(E635+D635)))</f>
        <v>83105.01757746574</v>
      </c>
      <c r="G635" s="18">
        <f>IF($A635&gt;'1-Input'!$B$26,E635,E635-MIN(MAX(E635,0),'P-Parametri'!$B$8*(E635+D635)))</f>
        <v>153863.99126180841</v>
      </c>
      <c r="H635" s="18">
        <f>IF($A635&gt;'1-Input'!$B$26,H634,H634-C635*(1-B635))</f>
        <v>76353.454159964094</v>
      </c>
      <c r="I635" s="11">
        <f>IF($A635&gt;'1-Input'!$B$26,0,IF(N634&lt;=0,0,MAX(0,(N634-O634)/N634)))</f>
        <v>0.46734465324433155</v>
      </c>
      <c r="J635" s="18">
        <f>IF($A635&gt;'1-Input'!$B$26,0,(MAX(0,I616-IF($A635&gt;='1-Input'!$C$12,'1-Input'!$B$12,0))-MIN(MAX(M634,0),MAX(0,I616-IF($A635&gt;='1-Input'!$C$12,'1-Input'!$B$12,0))))*(1/(1-'P-Parametri'!$B$6*I635))+MIN(MAX(0,N634-(MAX(0,I616-IF($A635&gt;='1-Input'!$C$12,'1-Input'!$B$12,0))-MIN(MAX(M634,0),MAX(0,I616-IF($A635&gt;='1-Input'!$C$12,'1-Input'!$B$12,0))))*(1/(1-'P-Parametri'!$B$6*I635))),MAX(0,5*I616-(M634-MIN(MAX(M634,0),MAX(0,I616-IF($A635&gt;='1-Input'!$C$12,'1-Input'!$B$12,0)))))*(1/(1-'P-Parametri'!$B$6*I635))))</f>
        <v>7654.0979674508317</v>
      </c>
      <c r="K635" s="18">
        <f>IF($A635&gt;'1-Input'!$B$26,M634,(M634-MAX(0,I616-IF($A635&gt;='1-Input'!$C$12,'1-Input'!$B$12,0))+J635*(1-'P-Parametri'!$B$6*I635))*(1+'1-Input'!$B$27))</f>
        <v>93785.155448883743</v>
      </c>
      <c r="L635" s="18">
        <f>IF($A635&gt;'1-Input'!$B$26,N634,(N634-J635)*(1+$C$4))</f>
        <v>0</v>
      </c>
      <c r="M635" s="18">
        <f>IF($A635&gt;'1-Input'!$B$26,K635,K635-'P-Parametri'!$B$8*(L635+K635)+MIN(MAX(L635,0),'P-Parametri'!$B$8*(L635+K635)))</f>
        <v>93597.585137985981</v>
      </c>
      <c r="N635" s="18">
        <f>IF($A635&gt;'1-Input'!$B$26,L635,L635-MIN(MAX(L635,0),'P-Parametri'!$B$8*(L635+K635)))</f>
        <v>0</v>
      </c>
      <c r="O635" s="18">
        <f>IF($A635&gt;'1-Input'!$B$26,O634,O634-J635*(1-I635))</f>
        <v>-4.5474735088646412E-13</v>
      </c>
      <c r="P635" s="11">
        <f>IF($A635&gt;'1-Input'!$B$26,0,IF(U634&lt;=0,0,MAX(0,(U634-V634)/U634)))</f>
        <v>0.4903071453151695</v>
      </c>
      <c r="Q635" s="18">
        <f>IF($A635&gt;'1-Input'!$B$26,0,(MAX(0,P616-IF($A635&gt;='1-Input'!$C$12,'1-Input'!$B$12,0))-MIN(MAX(T634,0),MAX(0,P616-IF($A635&gt;='1-Input'!$C$12,'1-Input'!$B$12,0))))*(1/(1-'P-Parametri'!$B$6*P635))+MIN(MAX(0,U634-(MAX(0,P616-IF($A635&gt;='1-Input'!$C$12,'1-Input'!$B$12,0))-MIN(MAX(T634,0),MAX(0,P616-IF($A635&gt;='1-Input'!$C$12,'1-Input'!$B$12,0))))*(1/(1-'P-Parametri'!$B$6*P635))),MAX(0,5*P616-(T634-MIN(MAX(T634,0),MAX(0,P616-IF($A635&gt;='1-Input'!$C$12,'1-Input'!$B$12,0)))))*(1/(1-'P-Parametri'!$B$6*P635))))</f>
        <v>19664.227752583603</v>
      </c>
      <c r="R635" s="18">
        <f>IF($A635&gt;'1-Input'!$B$26,T634,(T634-MAX(0,P616-IF($A635&gt;='1-Input'!$C$12,'1-Input'!$B$12,0))+Q635*(1-'P-Parametri'!$B$6*P635))*(1+'1-Input'!$B$27))</f>
        <v>83966.9353144864</v>
      </c>
      <c r="S635" s="18">
        <f>IF($A635&gt;'1-Input'!$B$26,U634,(U634-Q635)*(1+$C$4))</f>
        <v>148657.73884187185</v>
      </c>
      <c r="T635" s="18">
        <f>IF($A635&gt;'1-Input'!$B$26,R635,R635-'P-Parametri'!$B$8*(S635+R635)+MIN(MAX(S635,0),'P-Parametri'!$B$8*(S635+R635)))</f>
        <v>83966.9353144864</v>
      </c>
      <c r="U635" s="18">
        <f>IF($A635&gt;'1-Input'!$B$26,S635,S635-MIN(MAX(S635,0),'P-Parametri'!$B$8*(S635+R635)))</f>
        <v>148192.48949355914</v>
      </c>
      <c r="V635" s="18">
        <f>IF($A635&gt;'1-Input'!$B$26,V634,V634-Q635*(1-P635))</f>
        <v>73562.900273112289</v>
      </c>
      <c r="W635" s="11">
        <f>IF($A635&gt;'1-Input'!$B$26,0,IF(AB634&lt;=0,0,MAX(0,(AB634-AC634)/AB634)))</f>
        <v>0.49028344599551843</v>
      </c>
      <c r="X635" s="18">
        <f>IF($A635&gt;'1-Input'!$B$26,0,(MAX(0,W616-IF($A635&gt;='1-Input'!$C$12,'1-Input'!$B$12,0))-MIN(MAX(AA634,0),MAX(0,W616-IF($A635&gt;='1-Input'!$C$12,'1-Input'!$B$12,0))))*(1/(1-'P-Parametri'!$B$6*W635))+MIN(MAX(0,AB634-(MAX(0,W616-IF($A635&gt;='1-Input'!$C$12,'1-Input'!$B$12,0))-MIN(MAX(AA634,0),MAX(0,W616-IF($A635&gt;='1-Input'!$C$12,'1-Input'!$B$12,0))))*(1/(1-'P-Parametri'!$B$6*W635))),MAX(0,5*W616-(AA634-MIN(MAX(AA634,0),MAX(0,W616-IF($A635&gt;='1-Input'!$C$12,'1-Input'!$B$12,0)))))*(1/(1-'P-Parametri'!$B$6*W635))))</f>
        <v>19697.901345447426</v>
      </c>
      <c r="Y635" s="18">
        <f>IF($A635&gt;'1-Input'!$B$26,AA634,(AA634-MAX(0,W616-IF($A635&gt;='1-Input'!$C$12,'1-Input'!$B$12,0))+X635*(1-'P-Parametri'!$B$6*W635))*(1+'1-Input'!$B$27))</f>
        <v>84111.316723481417</v>
      </c>
      <c r="Z635" s="18">
        <f>IF($A635&gt;'1-Input'!$B$26,AB634,(AB634-X635)*(1+$C$4))</f>
        <v>147706.1061932006</v>
      </c>
      <c r="AA635" s="18">
        <f>IF($A635&gt;'1-Input'!$B$26,Y635,Y635-'P-Parametri'!$B$8*(Z635+Y635)+MIN(MAX(Z635,0),'P-Parametri'!$B$8*(Z635+Y635)))</f>
        <v>84111.316723481417</v>
      </c>
      <c r="AB635" s="18">
        <f>IF($A635&gt;'1-Input'!$B$26,Z635,Z635-MIN(MAX(Z635,0),'P-Parametri'!$B$8*(Z635+Y635)))</f>
        <v>147242.47134736725</v>
      </c>
      <c r="AC635" s="18">
        <f>IF($A635&gt;'1-Input'!$B$26,AC634,AC634-X635*(1-W635))</f>
        <v>73095.385877881781</v>
      </c>
      <c r="AD635" s="11">
        <f>IF($A635&gt;'1-Input'!$B$26,0,IF(AI634&lt;=0,0,MAX(0,(AI634-AJ634)/AI634)))</f>
        <v>0.49027782528932723</v>
      </c>
      <c r="AE635" s="18">
        <f>IF($A635&gt;'1-Input'!$B$26,0,(MAX(0,AD616-IF($A635&gt;='1-Input'!$C$12,'1-Input'!$B$12,0))-MIN(MAX(AH634,0),MAX(0,AD616-IF($A635&gt;='1-Input'!$C$12,'1-Input'!$B$12,0))))*(1/(1-'P-Parametri'!$B$6*AD635))+MIN(MAX(0,AI634-(MAX(0,AD616-IF($A635&gt;='1-Input'!$C$12,'1-Input'!$B$12,0))-MIN(MAX(AH634,0),MAX(0,AD616-IF($A635&gt;='1-Input'!$C$12,'1-Input'!$B$12,0))))*(1/(1-'P-Parametri'!$B$6*AD635))),MAX(0,5*AD616-(AH634-MIN(MAX(AH634,0),MAX(0,AD616-IF($A635&gt;='1-Input'!$C$12,'1-Input'!$B$12,0)))))*(1/(1-'P-Parametri'!$B$6*AD635))))</f>
        <v>19705.85622309976</v>
      </c>
      <c r="AF635" s="18">
        <f>IF($A635&gt;'1-Input'!$B$26,AH634,(AH634-MAX(0,AD616-IF($A635&gt;='1-Input'!$C$12,'1-Input'!$B$12,0))+AE635*(1-'P-Parametri'!$B$6*AD635))*(1+'1-Input'!$B$27))</f>
        <v>84145.425501066202</v>
      </c>
      <c r="AG635" s="18">
        <f>IF($A635&gt;'1-Input'!$B$26,AI634,(AI634-AE635)*(1+$C$4))</f>
        <v>147481.29283406225</v>
      </c>
      <c r="AH635" s="18">
        <f>IF($A635&gt;'1-Input'!$B$26,AF635,AF635-'P-Parametri'!$B$8*(AG635+AF635)+MIN(MAX(AG635,0),'P-Parametri'!$B$8*(AG635+AF635)))</f>
        <v>84145.425501066202</v>
      </c>
      <c r="AI635" s="18">
        <f>IF($A635&gt;'1-Input'!$B$26,AG635,AG635-MIN(MAX(AG635,0),'P-Parametri'!$B$8*(AG635+AF635)))</f>
        <v>147018.03939739199</v>
      </c>
      <c r="AJ635" s="18">
        <f>IF($A635&gt;'1-Input'!$B$26,AJ634,AJ634-AE635*(1-AD635))</f>
        <v>72984.937196621118</v>
      </c>
      <c r="AK635" s="11">
        <f>IF($A635&gt;'1-Input'!$B$26,0,IF(AP634&lt;=0,0,MAX(0,(AP634-AQ634)/AP634)))</f>
        <v>0.49027824809328296</v>
      </c>
      <c r="AL635" s="18">
        <f>IF($A635&gt;'1-Input'!$B$26,0,(MAX(0,AK616-IF($A635&gt;='1-Input'!$C$12,'1-Input'!$B$12,0))-MIN(MAX(AO634,0),MAX(0,AK616-IF($A635&gt;='1-Input'!$C$12,'1-Input'!$B$12,0))))*(1/(1-'P-Parametri'!$B$6*AK635))+MIN(MAX(0,AP634-(MAX(0,AK616-IF($A635&gt;='1-Input'!$C$12,'1-Input'!$B$12,0))-MIN(MAX(AO634,0),MAX(0,AK616-IF($A635&gt;='1-Input'!$C$12,'1-Input'!$B$12,0))))*(1/(1-'P-Parametri'!$B$6*AK635))),MAX(0,5*AK616-(AO634-MIN(MAX(AO634,0),MAX(0,AK616-IF($A635&gt;='1-Input'!$C$12,'1-Input'!$B$12,0)))))*(1/(1-'P-Parametri'!$B$6*AK635))))</f>
        <v>19705.25825429957</v>
      </c>
      <c r="AM635" s="18">
        <f>IF($A635&gt;'1-Input'!$B$26,AO634,(AO634-MAX(0,AK616-IF($A635&gt;='1-Input'!$C$12,'1-Input'!$B$12,0))+AL635*(1-'P-Parametri'!$B$6*AK635))*(1+'1-Input'!$B$27))</f>
        <v>84142.861530128604</v>
      </c>
      <c r="AN635" s="18">
        <f>IF($A635&gt;'1-Input'!$B$26,AP634,(AP634-AL635)*(1+$C$4))</f>
        <v>147498.19213290873</v>
      </c>
      <c r="AO635" s="18">
        <f>IF($A635&gt;'1-Input'!$B$26,AM635,AM635-'P-Parametri'!$B$8*(AN635+AM635)+MIN(MAX(AN635,0),'P-Parametri'!$B$8*(AN635+AM635)))</f>
        <v>84142.861530128604</v>
      </c>
      <c r="AP635" s="18">
        <f>IF($A635&gt;'1-Input'!$B$26,AN635,AN635-MIN(MAX(AN635,0),'P-Parametri'!$B$8*(AN635+AM635)))</f>
        <v>147034.91002558265</v>
      </c>
      <c r="AQ635" s="18">
        <f>IF($A635&gt;'1-Input'!$B$26,AQ634,AQ634-AL635*(1-AK635))</f>
        <v>72993.239705883287</v>
      </c>
    </row>
    <row r="636" spans="1:43">
      <c r="A636" s="10">
        <f>18</f>
        <v>18</v>
      </c>
      <c r="B636" s="11">
        <f>IF($A636&gt;'1-Input'!$B$26,0,IF(G635&lt;=0,0,MAX(0,(G635-H635)/G635)))</f>
        <v>0.5037600836049787</v>
      </c>
      <c r="C636" s="18">
        <f>IF($A636&gt;'1-Input'!$B$26,0,(MAX(0,B616-IF($A636&gt;='1-Input'!$C$12,'1-Input'!$B$12,0))-MIN(MAX(F635,0),MAX(0,B616-IF($A636&gt;='1-Input'!$C$12,'1-Input'!$B$12,0))))*(1/(1-'P-Parametri'!$B$6*B636))+MIN(MAX(0,G635-(MAX(0,B616-IF($A636&gt;='1-Input'!$C$12,'1-Input'!$B$12,0))-MIN(MAX(F635,0),MAX(0,B616-IF($A636&gt;='1-Input'!$C$12,'1-Input'!$B$12,0))))*(1/(1-'P-Parametri'!$B$6*B636))),MAX(0,5*B616-(F635-MIN(MAX(F635,0),MAX(0,B616-IF($A636&gt;='1-Input'!$C$12,'1-Input'!$B$12,0)))))*(1/(1-'P-Parametri'!$B$6*B636))))</f>
        <v>19540.710038143137</v>
      </c>
      <c r="D636" s="18">
        <f>IF($A636&gt;'1-Input'!$B$26,F635,(F635-MAX(0,B616-IF($A636&gt;='1-Input'!$C$12,'1-Input'!$B$12,0))+C636*(1-'P-Parametri'!$B$6*B636))*(1+'1-Input'!$B$27))</f>
        <v>83105.01757746574</v>
      </c>
      <c r="E636" s="18">
        <f>IF($A636&gt;'1-Input'!$B$26,G635,(G635-C636)*(1+$C$4))</f>
        <v>138352.97966037525</v>
      </c>
      <c r="F636" s="18">
        <f>IF($A636&gt;'1-Input'!$B$26,D636,D636-'P-Parametri'!$B$8*(E636+D636)+MIN(MAX(E636,0),'P-Parametri'!$B$8*(E636+D636)))</f>
        <v>83105.01757746574</v>
      </c>
      <c r="G636" s="18">
        <f>IF($A636&gt;'1-Input'!$B$26,E636,E636-MIN(MAX(E636,0),'P-Parametri'!$B$8*(E636+D636)))</f>
        <v>137910.06366589956</v>
      </c>
      <c r="H636" s="18">
        <f>IF($A636&gt;'1-Input'!$B$26,H635,H635-C636*(1-B636))</f>
        <v>66656.573844336584</v>
      </c>
      <c r="I636" s="11">
        <f>IF($A636&gt;'1-Input'!$B$26,0,IF(N635&lt;=0,0,MAX(0,(N635-O635)/N635)))</f>
        <v>0</v>
      </c>
      <c r="J636" s="18">
        <f>IF($A636&gt;'1-Input'!$B$26,0,(MAX(0,I616-IF($A636&gt;='1-Input'!$C$12,'1-Input'!$B$12,0))-MIN(MAX(M635,0),MAX(0,I616-IF($A636&gt;='1-Input'!$C$12,'1-Input'!$B$12,0))))*(1/(1-'P-Parametri'!$B$6*I636))+MIN(MAX(0,N635-(MAX(0,I616-IF($A636&gt;='1-Input'!$C$12,'1-Input'!$B$12,0))-MIN(MAX(M635,0),MAX(0,I616-IF($A636&gt;='1-Input'!$C$12,'1-Input'!$B$12,0))))*(1/(1-'P-Parametri'!$B$6*I636))),MAX(0,5*I616-(M635-MIN(MAX(M635,0),MAX(0,I616-IF($A636&gt;='1-Input'!$C$12,'1-Input'!$B$12,0)))))*(1/(1-'P-Parametri'!$B$6*I636))))</f>
        <v>0</v>
      </c>
      <c r="K636" s="18">
        <f>IF($A636&gt;'1-Input'!$B$26,M635,(M635-MAX(0,I616-IF($A636&gt;='1-Input'!$C$12,'1-Input'!$B$12,0))+J636*(1-'P-Parametri'!$B$6*I636))*(1+'1-Input'!$B$27))</f>
        <v>71390.892363735067</v>
      </c>
      <c r="L636" s="18">
        <f>IF($A636&gt;'1-Input'!$B$26,N635,(N635-J636)*(1+$C$4))</f>
        <v>0</v>
      </c>
      <c r="M636" s="18">
        <f>IF($A636&gt;'1-Input'!$B$26,K636,K636-'P-Parametri'!$B$8*(L636+K636)+MIN(MAX(L636,0),'P-Parametri'!$B$8*(L636+K636)))</f>
        <v>71248.110579007596</v>
      </c>
      <c r="N636" s="18">
        <f>IF($A636&gt;'1-Input'!$B$26,L636,L636-MIN(MAX(L636,0),'P-Parametri'!$B$8*(L636+K636)))</f>
        <v>0</v>
      </c>
      <c r="O636" s="18">
        <f>IF($A636&gt;'1-Input'!$B$26,O635,O635-J636*(1-I636))</f>
        <v>-4.5474735088646412E-13</v>
      </c>
      <c r="P636" s="11">
        <f>IF($A636&gt;'1-Input'!$B$26,0,IF(U635&lt;=0,0,MAX(0,(U635-V635)/U635)))</f>
        <v>0.50359899800246266</v>
      </c>
      <c r="Q636" s="18">
        <f>IF($A636&gt;'1-Input'!$B$26,0,(MAX(0,P616-IF($A636&gt;='1-Input'!$C$12,'1-Input'!$B$12,0))-MIN(MAX(T635,0),MAX(0,P616-IF($A636&gt;='1-Input'!$C$12,'1-Input'!$B$12,0))))*(1/(1-'P-Parametri'!$B$6*P636))+MIN(MAX(0,U635-(MAX(0,P616-IF($A636&gt;='1-Input'!$C$12,'1-Input'!$B$12,0))-MIN(MAX(T635,0),MAX(0,P616-IF($A636&gt;='1-Input'!$C$12,'1-Input'!$B$12,0))))*(1/(1-'P-Parametri'!$B$6*P636))),MAX(0,5*P616-(T635-MIN(MAX(T635,0),MAX(0,P616-IF($A636&gt;='1-Input'!$C$12,'1-Input'!$B$12,0)))))*(1/(1-'P-Parametri'!$B$6*P636))))</f>
        <v>19742.423632792201</v>
      </c>
      <c r="R636" s="18">
        <f>IF($A636&gt;'1-Input'!$B$26,T635,(T635-MAX(0,P616-IF($A636&gt;='1-Input'!$C$12,'1-Input'!$B$12,0))+Q636*(1-'P-Parametri'!$B$6*P636))*(1+'1-Input'!$B$27))</f>
        <v>83966.9353144864</v>
      </c>
      <c r="S636" s="18">
        <f>IF($A636&gt;'1-Input'!$B$26,U635,(U635-Q636)*(1+$C$4))</f>
        <v>132303.56783658997</v>
      </c>
      <c r="T636" s="18">
        <f>IF($A636&gt;'1-Input'!$B$26,R636,R636-'P-Parametri'!$B$8*(S636+R636)+MIN(MAX(S636,0),'P-Parametri'!$B$8*(S636+R636)))</f>
        <v>83966.9353144864</v>
      </c>
      <c r="U636" s="18">
        <f>IF($A636&gt;'1-Input'!$B$26,S636,S636-MIN(MAX(S636,0),'P-Parametri'!$B$8*(S636+R636)))</f>
        <v>131871.02683028782</v>
      </c>
      <c r="V636" s="18">
        <f>IF($A636&gt;'1-Input'!$B$26,V635,V635-Q636*(1-P636))</f>
        <v>63762.741399934377</v>
      </c>
      <c r="W636" s="11">
        <f>IF($A636&gt;'1-Input'!$B$26,0,IF(AB635&lt;=0,0,MAX(0,(AB635-AC635)/AB635)))</f>
        <v>0.50357131873018679</v>
      </c>
      <c r="X636" s="18">
        <f>IF($A636&gt;'1-Input'!$B$26,0,(MAX(0,W616-IF($A636&gt;='1-Input'!$C$12,'1-Input'!$B$12,0))-MIN(MAX(AA635,0),MAX(0,W616-IF($A636&gt;='1-Input'!$C$12,'1-Input'!$B$12,0))))*(1/(1-'P-Parametri'!$B$6*W636))+MIN(MAX(0,AB635-(MAX(0,W616-IF($A636&gt;='1-Input'!$C$12,'1-Input'!$B$12,0))-MIN(MAX(AA635,0),MAX(0,W616-IF($A636&gt;='1-Input'!$C$12,'1-Input'!$B$12,0))))*(1/(1-'P-Parametri'!$B$6*W636))),MAX(0,5*W616-(AA635-MIN(MAX(AA635,0),MAX(0,W616-IF($A636&gt;='1-Input'!$C$12,'1-Input'!$B$12,0)))))*(1/(1-'P-Parametri'!$B$6*W636))))</f>
        <v>19776.207027976106</v>
      </c>
      <c r="Y636" s="18">
        <f>IF($A636&gt;'1-Input'!$B$26,AA635,(AA635-MAX(0,W616-IF($A636&gt;='1-Input'!$C$12,'1-Input'!$B$12,0))+X636*(1-'P-Parametri'!$B$6*W636))*(1+'1-Input'!$B$27))</f>
        <v>84111.316723481417</v>
      </c>
      <c r="Z636" s="18">
        <f>IF($A636&gt;'1-Input'!$B$26,AB635,(AB635-X636)*(1+$C$4))</f>
        <v>131290.25224897289</v>
      </c>
      <c r="AA636" s="18">
        <f>IF($A636&gt;'1-Input'!$B$26,Y636,Y636-'P-Parametri'!$B$8*(Z636+Y636)+MIN(MAX(Z636,0),'P-Parametri'!$B$8*(Z636+Y636)))</f>
        <v>84111.316723481417</v>
      </c>
      <c r="AB636" s="18">
        <f>IF($A636&gt;'1-Input'!$B$26,Z636,Z636-MIN(MAX(Z636,0),'P-Parametri'!$B$8*(Z636+Y636)))</f>
        <v>130859.44911102798</v>
      </c>
      <c r="AC636" s="18">
        <f>IF($A636&gt;'1-Input'!$B$26,AC635,AC635-X636*(1-W636))</f>
        <v>63277.90950246479</v>
      </c>
      <c r="AD636" s="11">
        <f>IF($A636&gt;'1-Input'!$B$26,0,IF(AI635&lt;=0,0,MAX(0,(AI635-AJ635)/AI635)))</f>
        <v>0.50356474963360298</v>
      </c>
      <c r="AE636" s="18">
        <f>IF($A636&gt;'1-Input'!$B$26,0,(MAX(0,AD616-IF($A636&gt;='1-Input'!$C$12,'1-Input'!$B$12,0))-MIN(MAX(AH635,0),MAX(0,AD616-IF($A636&gt;='1-Input'!$C$12,'1-Input'!$B$12,0))))*(1/(1-'P-Parametri'!$B$6*AD636))+MIN(MAX(0,AI635-(MAX(0,AD616-IF($A636&gt;='1-Input'!$C$12,'1-Input'!$B$12,0))-MIN(MAX(AH635,0),MAX(0,AD616-IF($A636&gt;='1-Input'!$C$12,'1-Input'!$B$12,0))))*(1/(1-'P-Parametri'!$B$6*AD636))),MAX(0,5*AD616-(AH635-MIN(MAX(AH635,0),MAX(0,AD616-IF($A636&gt;='1-Input'!$C$12,'1-Input'!$B$12,0)))))*(1/(1-'P-Parametri'!$B$6*AD636))))</f>
        <v>19784.187783819587</v>
      </c>
      <c r="AF636" s="18">
        <f>IF($A636&gt;'1-Input'!$B$26,AH635,(AH635-MAX(0,AD616-IF($A636&gt;='1-Input'!$C$12,'1-Input'!$B$12,0))+AE636*(1-'P-Parametri'!$B$6*AD636))*(1+'1-Input'!$B$27))</f>
        <v>84145.425501066202</v>
      </c>
      <c r="AG636" s="18">
        <f>IF($A636&gt;'1-Input'!$B$26,AI635,(AI635-AE636)*(1+$C$4))</f>
        <v>131050.86716197956</v>
      </c>
      <c r="AH636" s="18">
        <f>IF($A636&gt;'1-Input'!$B$26,AF636,AF636-'P-Parametri'!$B$8*(AG636+AF636)+MIN(MAX(AG636,0),'P-Parametri'!$B$8*(AG636+AF636)))</f>
        <v>84145.425501066202</v>
      </c>
      <c r="AI636" s="18">
        <f>IF($A636&gt;'1-Input'!$B$26,AG636,AG636-MIN(MAX(AG636,0),'P-Parametri'!$B$8*(AG636+AF636)))</f>
        <v>130620.47457665348</v>
      </c>
      <c r="AJ636" s="18">
        <f>IF($A636&gt;'1-Input'!$B$26,AJ635,AJ635-AE636*(1-AD636))</f>
        <v>63163.368980864827</v>
      </c>
      <c r="AK636" s="11">
        <f>IF($A636&gt;'1-Input'!$B$26,0,IF(AP635&lt;=0,0,MAX(0,(AP635-AQ635)/AP635)))</f>
        <v>0.50356524383778534</v>
      </c>
      <c r="AL636" s="18">
        <f>IF($A636&gt;'1-Input'!$B$26,0,(MAX(0,AK616-IF($A636&gt;='1-Input'!$C$12,'1-Input'!$B$12,0))-MIN(MAX(AO635,0),MAX(0,AK616-IF($A636&gt;='1-Input'!$C$12,'1-Input'!$B$12,0))))*(1/(1-'P-Parametri'!$B$6*AK636))+MIN(MAX(0,AP635-(MAX(0,AK616-IF($A636&gt;='1-Input'!$C$12,'1-Input'!$B$12,0))-MIN(MAX(AO635,0),MAX(0,AK616-IF($A636&gt;='1-Input'!$C$12,'1-Input'!$B$12,0))))*(1/(1-'P-Parametri'!$B$6*AK636))),MAX(0,5*AK616-(AO635-MIN(MAX(AO635,0),MAX(0,AK616-IF($A636&gt;='1-Input'!$C$12,'1-Input'!$B$12,0)))))*(1/(1-'P-Parametri'!$B$6*AK636))))</f>
        <v>19783.587870569958</v>
      </c>
      <c r="AM636" s="18">
        <f>IF($A636&gt;'1-Input'!$B$26,AO635,(AO635-MAX(0,AK616-IF($A636&gt;='1-Input'!$C$12,'1-Input'!$B$12,0))+AL636*(1-'P-Parametri'!$B$6*AK636))*(1+'1-Input'!$B$27))</f>
        <v>84142.861530128604</v>
      </c>
      <c r="AN636" s="18">
        <f>IF($A636&gt;'1-Input'!$B$26,AP635,(AP635-AL636)*(1+$C$4))</f>
        <v>131068.86181966307</v>
      </c>
      <c r="AO636" s="18">
        <f>IF($A636&gt;'1-Input'!$B$26,AM636,AM636-'P-Parametri'!$B$8*(AN636+AM636)+MIN(MAX(AN636,0),'P-Parametri'!$B$8*(AN636+AM636)))</f>
        <v>84142.861530128604</v>
      </c>
      <c r="AP636" s="18">
        <f>IF($A636&gt;'1-Input'!$B$26,AN636,AN636-MIN(MAX(AN636,0),'P-Parametri'!$B$8*(AN636+AM636)))</f>
        <v>130638.43837296349</v>
      </c>
      <c r="AQ636" s="18">
        <f>IF($A636&gt;'1-Input'!$B$26,AQ635,AQ635-AL636*(1-AK636))</f>
        <v>63171.97908534314</v>
      </c>
    </row>
    <row r="637" spans="1:43">
      <c r="A637" s="10">
        <f>19</f>
        <v>19</v>
      </c>
      <c r="B637" s="11">
        <f>IF($A637&gt;'1-Input'!$B$26,0,IF(G636&lt;=0,0,MAX(0,(G636-H636)/G636)))</f>
        <v>0.51666635434366437</v>
      </c>
      <c r="C637" s="18">
        <f>IF($A637&gt;'1-Input'!$B$26,0,(MAX(0,B616-IF($A637&gt;='1-Input'!$C$12,'1-Input'!$B$12,0))-MIN(MAX(F636,0),MAX(0,B616-IF($A637&gt;='1-Input'!$C$12,'1-Input'!$B$12,0))))*(1/(1-'P-Parametri'!$B$6*B637))+MIN(MAX(0,G636-(MAX(0,B616-IF($A637&gt;='1-Input'!$C$12,'1-Input'!$B$12,0))-MIN(MAX(F636,0),MAX(0,B616-IF($A637&gt;='1-Input'!$C$12,'1-Input'!$B$12,0))))*(1/(1-'P-Parametri'!$B$6*B637))),MAX(0,5*B616-(F636-MIN(MAX(F636,0),MAX(0,B616-IF($A637&gt;='1-Input'!$C$12,'1-Input'!$B$12,0)))))*(1/(1-'P-Parametri'!$B$6*B637))))</f>
        <v>19616.456739339283</v>
      </c>
      <c r="D637" s="18">
        <f>IF($A637&gt;'1-Input'!$B$26,F636,(F636-MAX(0,B616-IF($A637&gt;='1-Input'!$C$12,'1-Input'!$B$12,0))+C637*(1-'P-Parametri'!$B$6*B637))*(1+'1-Input'!$B$27))</f>
        <v>83105.01757746574</v>
      </c>
      <c r="E637" s="18">
        <f>IF($A637&gt;'1-Input'!$B$26,G636,(G636-C637)*(1+$C$4))</f>
        <v>121842.4151343571</v>
      </c>
      <c r="F637" s="18">
        <f>IF($A637&gt;'1-Input'!$B$26,D637,D637-'P-Parametri'!$B$8*(E637+D637)+MIN(MAX(E637,0),'P-Parametri'!$B$8*(E637+D637)))</f>
        <v>83105.01757746574</v>
      </c>
      <c r="G637" s="18">
        <f>IF($A637&gt;'1-Input'!$B$26,E637,E637-MIN(MAX(E637,0),'P-Parametri'!$B$8*(E637+D637)))</f>
        <v>121432.52026893345</v>
      </c>
      <c r="H637" s="18">
        <f>IF($A637&gt;'1-Input'!$B$26,H636,H636-C637*(1-B637))</f>
        <v>57175.280293651937</v>
      </c>
      <c r="I637" s="11">
        <f>IF($A637&gt;'1-Input'!$B$26,0,IF(N636&lt;=0,0,MAX(0,(N636-O636)/N636)))</f>
        <v>0</v>
      </c>
      <c r="J637" s="18">
        <f>IF($A637&gt;'1-Input'!$B$26,0,(MAX(0,I616-IF($A637&gt;='1-Input'!$C$12,'1-Input'!$B$12,0))-MIN(MAX(M636,0),MAX(0,I616-IF($A637&gt;='1-Input'!$C$12,'1-Input'!$B$12,0))))*(1/(1-'P-Parametri'!$B$6*I637))+MIN(MAX(0,N636-(MAX(0,I616-IF($A637&gt;='1-Input'!$C$12,'1-Input'!$B$12,0))-MIN(MAX(M636,0),MAX(0,I616-IF($A637&gt;='1-Input'!$C$12,'1-Input'!$B$12,0))))*(1/(1-'P-Parametri'!$B$6*I637))),MAX(0,5*I616-(M636-MIN(MAX(M636,0),MAX(0,I616-IF($A637&gt;='1-Input'!$C$12,'1-Input'!$B$12,0)))))*(1/(1-'P-Parametri'!$B$6*I637))))</f>
        <v>0</v>
      </c>
      <c r="K637" s="18">
        <f>IF($A637&gt;'1-Input'!$B$26,M636,(M636-MAX(0,I616-IF($A637&gt;='1-Input'!$C$12,'1-Input'!$B$12,0))+J637*(1-'P-Parametri'!$B$6*I637))*(1+'1-Input'!$B$27))</f>
        <v>49121.875913169017</v>
      </c>
      <c r="L637" s="18">
        <f>IF($A637&gt;'1-Input'!$B$26,N636,(N636-J637)*(1+$C$4))</f>
        <v>0</v>
      </c>
      <c r="M637" s="18">
        <f>IF($A637&gt;'1-Input'!$B$26,K637,K637-'P-Parametri'!$B$8*(L637+K637)+MIN(MAX(L637,0),'P-Parametri'!$B$8*(L637+K637)))</f>
        <v>49023.632161342677</v>
      </c>
      <c r="N637" s="18">
        <f>IF($A637&gt;'1-Input'!$B$26,L637,L637-MIN(MAX(L637,0),'P-Parametri'!$B$8*(L637+K637)))</f>
        <v>0</v>
      </c>
      <c r="O637" s="18">
        <f>IF($A637&gt;'1-Input'!$B$26,O636,O636-J637*(1-I637))</f>
        <v>-4.5474735088646412E-13</v>
      </c>
      <c r="P637" s="11">
        <f>IF($A637&gt;'1-Input'!$B$26,0,IF(U636&lt;=0,0,MAX(0,(U636-V636)/U636)))</f>
        <v>0.51647649273259855</v>
      </c>
      <c r="Q637" s="18">
        <f>IF($A637&gt;'1-Input'!$B$26,0,(MAX(0,P616-IF($A637&gt;='1-Input'!$C$12,'1-Input'!$B$12,0))-MIN(MAX(T636,0),MAX(0,P616-IF($A637&gt;='1-Input'!$C$12,'1-Input'!$B$12,0))))*(1/(1-'P-Parametri'!$B$6*P637))+MIN(MAX(0,U636-(MAX(0,P616-IF($A637&gt;='1-Input'!$C$12,'1-Input'!$B$12,0))-MIN(MAX(T636,0),MAX(0,P616-IF($A637&gt;='1-Input'!$C$12,'1-Input'!$B$12,0))))*(1/(1-'P-Parametri'!$B$6*P637))),MAX(0,5*P616-(T636-MIN(MAX(T636,0),MAX(0,P616-IF($A637&gt;='1-Input'!$C$12,'1-Input'!$B$12,0)))))*(1/(1-'P-Parametri'!$B$6*P637))))</f>
        <v>19818.777263882064</v>
      </c>
      <c r="R637" s="18">
        <f>IF($A637&gt;'1-Input'!$B$26,T636,(T636-MAX(0,P616-IF($A637&gt;='1-Input'!$C$12,'1-Input'!$B$12,0))+Q637*(1-'P-Parametri'!$B$6*P637))*(1+'1-Input'!$B$27))</f>
        <v>83966.9353144864</v>
      </c>
      <c r="S637" s="18">
        <f>IF($A637&gt;'1-Input'!$B$26,U636,(U636-Q637)*(1+$C$4))</f>
        <v>115413.81705339794</v>
      </c>
      <c r="T637" s="18">
        <f>IF($A637&gt;'1-Input'!$B$26,R637,R637-'P-Parametri'!$B$8*(S637+R637)+MIN(MAX(S637,0),'P-Parametri'!$B$8*(S637+R637)))</f>
        <v>83966.9353144864</v>
      </c>
      <c r="U637" s="18">
        <f>IF($A637&gt;'1-Input'!$B$26,S637,S637-MIN(MAX(S637,0),'P-Parametri'!$B$8*(S637+R637)))</f>
        <v>115015.05554866217</v>
      </c>
      <c r="V637" s="18">
        <f>IF($A637&gt;'1-Input'!$B$26,V636,V636-Q637*(1-P637))</f>
        <v>54179.896707550688</v>
      </c>
      <c r="W637" s="11">
        <f>IF($A637&gt;'1-Input'!$B$26,0,IF(AB636&lt;=0,0,MAX(0,(AB636-AC636)/AB636)))</f>
        <v>0.51644371168965786</v>
      </c>
      <c r="X637" s="18">
        <f>IF($A637&gt;'1-Input'!$B$26,0,(MAX(0,W616-IF($A637&gt;='1-Input'!$C$12,'1-Input'!$B$12,0))-MIN(MAX(AA636,0),MAX(0,W616-IF($A637&gt;='1-Input'!$C$12,'1-Input'!$B$12,0))))*(1/(1-'P-Parametri'!$B$6*W637))+MIN(MAX(0,AB636-(MAX(0,W616-IF($A637&gt;='1-Input'!$C$12,'1-Input'!$B$12,0))-MIN(MAX(AA636,0),MAX(0,W616-IF($A637&gt;='1-Input'!$C$12,'1-Input'!$B$12,0))))*(1/(1-'P-Parametri'!$B$6*W637))),MAX(0,5*W616-(AA636-MIN(MAX(AA636,0),MAX(0,W616-IF($A637&gt;='1-Input'!$C$12,'1-Input'!$B$12,0)))))*(1/(1-'P-Parametri'!$B$6*W637))))</f>
        <v>19852.660261991001</v>
      </c>
      <c r="Y637" s="18">
        <f>IF($A637&gt;'1-Input'!$B$26,AA636,(AA636-MAX(0,W616-IF($A637&gt;='1-Input'!$C$12,'1-Input'!$B$12,0))+X637*(1-'P-Parametri'!$B$6*W637))*(1+'1-Input'!$B$27))</f>
        <v>84111.316723481417</v>
      </c>
      <c r="Z637" s="18">
        <f>IF($A637&gt;'1-Input'!$B$26,AB636,(AB636-X637)*(1+$C$4))</f>
        <v>114336.99251450809</v>
      </c>
      <c r="AA637" s="18">
        <f>IF($A637&gt;'1-Input'!$B$26,Y637,Y637-'P-Parametri'!$B$8*(Z637+Y637)+MIN(MAX(Z637,0),'P-Parametri'!$B$8*(Z637+Y637)))</f>
        <v>84111.316723481417</v>
      </c>
      <c r="AB637" s="18">
        <f>IF($A637&gt;'1-Input'!$B$26,Z637,Z637-MIN(MAX(Z637,0),'P-Parametri'!$B$8*(Z637+Y637)))</f>
        <v>113940.09589603211</v>
      </c>
      <c r="AC637" s="18">
        <f>IF($A637&gt;'1-Input'!$B$26,AC636,AC636-X637*(1-W637))</f>
        <v>53678.030793090198</v>
      </c>
      <c r="AD637" s="11">
        <f>IF($A637&gt;'1-Input'!$B$26,0,IF(AI636&lt;=0,0,MAX(0,(AI636-AJ636)/AI636)))</f>
        <v>0.51643592487640244</v>
      </c>
      <c r="AE637" s="18">
        <f>IF($A637&gt;'1-Input'!$B$26,0,(MAX(0,AD616-IF($A637&gt;='1-Input'!$C$12,'1-Input'!$B$12,0))-MIN(MAX(AH636,0),MAX(0,AD616-IF($A637&gt;='1-Input'!$C$12,'1-Input'!$B$12,0))))*(1/(1-'P-Parametri'!$B$6*AD637))+MIN(MAX(0,AI636-(MAX(0,AD616-IF($A637&gt;='1-Input'!$C$12,'1-Input'!$B$12,0))-MIN(MAX(AH636,0),MAX(0,AD616-IF($A637&gt;='1-Input'!$C$12,'1-Input'!$B$12,0))))*(1/(1-'P-Parametri'!$B$6*AD637))),MAX(0,5*AD616-(AH636-MIN(MAX(AH636,0),MAX(0,AD616-IF($A637&gt;='1-Input'!$C$12,'1-Input'!$B$12,0)))))*(1/(1-'P-Parametri'!$B$6*AD637))))</f>
        <v>19860.66445662564</v>
      </c>
      <c r="AF637" s="18">
        <f>IF($A637&gt;'1-Input'!$B$26,AH636,(AH636-MAX(0,AD616-IF($A637&gt;='1-Input'!$C$12,'1-Input'!$B$12,0))+AE637*(1-'P-Parametri'!$B$6*AD637))*(1+'1-Input'!$B$27))</f>
        <v>84145.425501066202</v>
      </c>
      <c r="AG637" s="18">
        <f>IF($A637&gt;'1-Input'!$B$26,AI636,(AI636-AE637)*(1+$C$4))</f>
        <v>114082.60442362867</v>
      </c>
      <c r="AH637" s="18">
        <f>IF($A637&gt;'1-Input'!$B$26,AF637,AF637-'P-Parametri'!$B$8*(AG637+AF637)+MIN(MAX(AG637,0),'P-Parametri'!$B$8*(AG637+AF637)))</f>
        <v>84145.425501066202</v>
      </c>
      <c r="AI637" s="18">
        <f>IF($A637&gt;'1-Input'!$B$26,AG637,AG637-MIN(MAX(AG637,0),'P-Parametri'!$B$8*(AG637+AF637)))</f>
        <v>113686.14836377928</v>
      </c>
      <c r="AJ637" s="18">
        <f>IF($A637&gt;'1-Input'!$B$26,AJ636,AJ636-AE637*(1-AD637))</f>
        <v>53559.465141556546</v>
      </c>
      <c r="AK637" s="11">
        <f>IF($A637&gt;'1-Input'!$B$26,0,IF(AP636&lt;=0,0,MAX(0,(AP636-AQ636)/AP636)))</f>
        <v>0.51643651078412611</v>
      </c>
      <c r="AL637" s="18">
        <f>IF($A637&gt;'1-Input'!$B$26,0,(MAX(0,AK616-IF($A637&gt;='1-Input'!$C$12,'1-Input'!$B$12,0))-MIN(MAX(AO636,0),MAX(0,AK616-IF($A637&gt;='1-Input'!$C$12,'1-Input'!$B$12,0))))*(1/(1-'P-Parametri'!$B$6*AK637))+MIN(MAX(0,AP636-(MAX(0,AK616-IF($A637&gt;='1-Input'!$C$12,'1-Input'!$B$12,0))-MIN(MAX(AO636,0),MAX(0,AK616-IF($A637&gt;='1-Input'!$C$12,'1-Input'!$B$12,0))))*(1/(1-'P-Parametri'!$B$6*AK637))),MAX(0,5*AK616-(AO636-MIN(MAX(AO636,0),MAX(0,AK616-IF($A637&gt;='1-Input'!$C$12,'1-Input'!$B$12,0)))))*(1/(1-'P-Parametri'!$B$6*AK637))))</f>
        <v>19860.062782699468</v>
      </c>
      <c r="AM637" s="18">
        <f>IF($A637&gt;'1-Input'!$B$26,AO636,(AO636-MAX(0,AK616-IF($A637&gt;='1-Input'!$C$12,'1-Input'!$B$12,0))+AL637*(1-'P-Parametri'!$B$6*AK637))*(1+'1-Input'!$B$27))</f>
        <v>84142.861530128604</v>
      </c>
      <c r="AN637" s="18">
        <f>IF($A637&gt;'1-Input'!$B$26,AP636,(AP636-AL637)*(1+$C$4))</f>
        <v>114101.72685797194</v>
      </c>
      <c r="AO637" s="18">
        <f>IF($A637&gt;'1-Input'!$B$26,AM637,AM637-'P-Parametri'!$B$8*(AN637+AM637)+MIN(MAX(AN637,0),'P-Parametri'!$B$8*(AN637+AM637)))</f>
        <v>84142.861530128604</v>
      </c>
      <c r="AP637" s="18">
        <f>IF($A637&gt;'1-Input'!$B$26,AN637,AN637-MIN(MAX(AN637,0),'P-Parametri'!$B$8*(AN637+AM637)))</f>
        <v>113705.23768119574</v>
      </c>
      <c r="AQ637" s="18">
        <f>IF($A637&gt;'1-Input'!$B$26,AQ636,AQ636-AL637*(1-AK637))</f>
        <v>53568.377830094672</v>
      </c>
    </row>
    <row r="638" spans="1:43">
      <c r="A638" s="10">
        <f>20</f>
        <v>20</v>
      </c>
      <c r="B638" s="11">
        <f>IF($A638&gt;'1-Input'!$B$26,0,IF(G637&lt;=0,0,MAX(0,(G637-H637)/G637)))</f>
        <v>0.52916006217257683</v>
      </c>
      <c r="C638" s="18">
        <f>IF($A638&gt;'1-Input'!$B$26,0,(MAX(0,B616-IF($A638&gt;='1-Input'!$C$12,'1-Input'!$B$12,0))-MIN(MAX(F637,0),MAX(0,B616-IF($A638&gt;='1-Input'!$C$12,'1-Input'!$B$12,0))))*(1/(1-'P-Parametri'!$B$6*B638))+MIN(MAX(0,G637-(MAX(0,B616-IF($A638&gt;='1-Input'!$C$12,'1-Input'!$B$12,0))-MIN(MAX(F637,0),MAX(0,B616-IF($A638&gt;='1-Input'!$C$12,'1-Input'!$B$12,0))))*(1/(1-'P-Parametri'!$B$6*B638))),MAX(0,5*B616-(F637-MIN(MAX(F637,0),MAX(0,B616-IF($A638&gt;='1-Input'!$C$12,'1-Input'!$B$12,0)))))*(1/(1-'P-Parametri'!$B$6*B638))))</f>
        <v>19690.343606515027</v>
      </c>
      <c r="D638" s="18">
        <f>IF($A638&gt;'1-Input'!$B$26,F637,(F637-MAX(0,B616-IF($A638&gt;='1-Input'!$C$12,'1-Input'!$B$12,0))+C638*(1-'P-Parametri'!$B$6*B638))*(1+'1-Input'!$B$27))</f>
        <v>83105.01757746574</v>
      </c>
      <c r="E638" s="18">
        <f>IF($A638&gt;'1-Input'!$B$26,G637,(G637-C638)*(1+$C$4))</f>
        <v>104794.44196229098</v>
      </c>
      <c r="F638" s="18">
        <f>IF($A638&gt;'1-Input'!$B$26,D638,D638-'P-Parametri'!$B$8*(E638+D638)+MIN(MAX(E638,0),'P-Parametri'!$B$8*(E638+D638)))</f>
        <v>83105.01757746574</v>
      </c>
      <c r="G638" s="18">
        <f>IF($A638&gt;'1-Input'!$B$26,E638,E638-MIN(MAX(E638,0),'P-Parametri'!$B$8*(E638+D638)))</f>
        <v>104418.64304321146</v>
      </c>
      <c r="H638" s="18">
        <f>IF($A638&gt;'1-Input'!$B$26,H637,H637-C638*(1-B638))</f>
        <v>47904.280134159802</v>
      </c>
      <c r="I638" s="11">
        <f>IF($A638&gt;'1-Input'!$B$26,0,IF(N637&lt;=0,0,MAX(0,(N637-O637)/N637)))</f>
        <v>0</v>
      </c>
      <c r="J638" s="18">
        <f>IF($A638&gt;'1-Input'!$B$26,0,(MAX(0,I616-IF($A638&gt;='1-Input'!$C$12,'1-Input'!$B$12,0))-MIN(MAX(M637,0),MAX(0,I616-IF($A638&gt;='1-Input'!$C$12,'1-Input'!$B$12,0))))*(1/(1-'P-Parametri'!$B$6*I638))+MIN(MAX(0,N637-(MAX(0,I616-IF($A638&gt;='1-Input'!$C$12,'1-Input'!$B$12,0))-MIN(MAX(M637,0),MAX(0,I616-IF($A638&gt;='1-Input'!$C$12,'1-Input'!$B$12,0))))*(1/(1-'P-Parametri'!$B$6*I638))),MAX(0,5*I616-(M637-MIN(MAX(M637,0),MAX(0,I616-IF($A638&gt;='1-Input'!$C$12,'1-Input'!$B$12,0)))))*(1/(1-'P-Parametri'!$B$6*I638))))</f>
        <v>0</v>
      </c>
      <c r="K638" s="18">
        <f>IF($A638&gt;'1-Input'!$B$26,M637,(M637-MAX(0,I616-IF($A638&gt;='1-Input'!$C$12,'1-Input'!$B$12,0))+J638*(1-'P-Parametri'!$B$6*I638))*(1+'1-Input'!$B$27))</f>
        <v>26977.405617807693</v>
      </c>
      <c r="L638" s="18">
        <f>IF($A638&gt;'1-Input'!$B$26,N637,(N637-J638)*(1+$C$4))</f>
        <v>0</v>
      </c>
      <c r="M638" s="18">
        <f>IF($A638&gt;'1-Input'!$B$26,K638,K638-'P-Parametri'!$B$8*(L638+K638)+MIN(MAX(L638,0),'P-Parametri'!$B$8*(L638+K638)))</f>
        <v>26923.450806572077</v>
      </c>
      <c r="N638" s="18">
        <f>IF($A638&gt;'1-Input'!$B$26,L638,L638-MIN(MAX(L638,0),'P-Parametri'!$B$8*(L638+K638)))</f>
        <v>0</v>
      </c>
      <c r="O638" s="18">
        <f>IF($A638&gt;'1-Input'!$B$26,O637,O637-J638*(1-I638))</f>
        <v>-4.5474735088646412E-13</v>
      </c>
      <c r="P638" s="11">
        <f>IF($A638&gt;'1-Input'!$B$26,0,IF(U637&lt;=0,0,MAX(0,(U637-V637)/U637)))</f>
        <v>0.52893213458800181</v>
      </c>
      <c r="Q638" s="18">
        <f>IF($A638&gt;'1-Input'!$B$26,0,(MAX(0,P616-IF($A638&gt;='1-Input'!$C$12,'1-Input'!$B$12,0))-MIN(MAX(T637,0),MAX(0,P616-IF($A638&gt;='1-Input'!$C$12,'1-Input'!$B$12,0))))*(1/(1-'P-Parametri'!$B$6*P638))+MIN(MAX(0,U637-(MAX(0,P616-IF($A638&gt;='1-Input'!$C$12,'1-Input'!$B$12,0))-MIN(MAX(T637,0),MAX(0,P616-IF($A638&gt;='1-Input'!$C$12,'1-Input'!$B$12,0))))*(1/(1-'P-Parametri'!$B$6*P638))),MAX(0,5*P616-(T637-MIN(MAX(T637,0),MAX(0,P616-IF($A638&gt;='1-Input'!$C$12,'1-Input'!$B$12,0)))))*(1/(1-'P-Parametri'!$B$6*P638))))</f>
        <v>19893.193631877679</v>
      </c>
      <c r="R638" s="18">
        <f>IF($A638&gt;'1-Input'!$B$26,T637,(T637-MAX(0,P616-IF($A638&gt;='1-Input'!$C$12,'1-Input'!$B$12,0))+Q638*(1-'P-Parametri'!$B$6*P638))*(1+'1-Input'!$B$27))</f>
        <v>83966.9353144864</v>
      </c>
      <c r="S638" s="18">
        <f>IF($A638&gt;'1-Input'!$B$26,U637,(U637-Q638)*(1+$C$4))</f>
        <v>97975.517774288019</v>
      </c>
      <c r="T638" s="18">
        <f>IF($A638&gt;'1-Input'!$B$26,R638,R638-'P-Parametri'!$B$8*(S638+R638)+MIN(MAX(S638,0),'P-Parametri'!$B$8*(S638+R638)))</f>
        <v>83966.9353144864</v>
      </c>
      <c r="U638" s="18">
        <f>IF($A638&gt;'1-Input'!$B$26,S638,S638-MIN(MAX(S638,0),'P-Parametri'!$B$8*(S638+R638)))</f>
        <v>97611.632868110464</v>
      </c>
      <c r="V638" s="18">
        <f>IF($A638&gt;'1-Input'!$B$26,V637,V637-Q638*(1-P638))</f>
        <v>44808.85244715451</v>
      </c>
      <c r="W638" s="11">
        <f>IF($A638&gt;'1-Input'!$B$26,0,IF(AB637&lt;=0,0,MAX(0,(AB637-AC637)/AB637)))</f>
        <v>0.52889252575256518</v>
      </c>
      <c r="X638" s="18">
        <f>IF($A638&gt;'1-Input'!$B$26,0,(MAX(0,W616-IF($A638&gt;='1-Input'!$C$12,'1-Input'!$B$12,0))-MIN(MAX(AA637,0),MAX(0,W616-IF($A638&gt;='1-Input'!$C$12,'1-Input'!$B$12,0))))*(1/(1-'P-Parametri'!$B$6*W638))+MIN(MAX(0,AB637-(MAX(0,W616-IF($A638&gt;='1-Input'!$C$12,'1-Input'!$B$12,0))-MIN(MAX(AA637,0),MAX(0,W616-IF($A638&gt;='1-Input'!$C$12,'1-Input'!$B$12,0))))*(1/(1-'P-Parametri'!$B$6*W638))),MAX(0,5*W616-(AA637-MIN(MAX(AA637,0),MAX(0,W616-IF($A638&gt;='1-Input'!$C$12,'1-Input'!$B$12,0)))))*(1/(1-'P-Parametri'!$B$6*W638))))</f>
        <v>19927.162103234463</v>
      </c>
      <c r="Y638" s="18">
        <f>IF($A638&gt;'1-Input'!$B$26,AA637,(AA637-MAX(0,W616-IF($A638&gt;='1-Input'!$C$12,'1-Input'!$B$12,0))+X638*(1-'P-Parametri'!$B$6*W638))*(1+'1-Input'!$B$27))</f>
        <v>84111.316723481417</v>
      </c>
      <c r="Z638" s="18">
        <f>IF($A638&gt;'1-Input'!$B$26,AB637,(AB637-X638)*(1+$C$4))</f>
        <v>96833.321806581574</v>
      </c>
      <c r="AA638" s="18">
        <f>IF($A638&gt;'1-Input'!$B$26,Y638,Y638-'P-Parametri'!$B$8*(Z638+Y638)+MIN(MAX(Z638,0),'P-Parametri'!$B$8*(Z638+Y638)))</f>
        <v>84111.316723481417</v>
      </c>
      <c r="AB638" s="18">
        <f>IF($A638&gt;'1-Input'!$B$26,Z638,Z638-MIN(MAX(Z638,0),'P-Parametri'!$B$8*(Z638+Y638)))</f>
        <v>96471.432529521451</v>
      </c>
      <c r="AC638" s="18">
        <f>IF($A638&gt;'1-Input'!$B$26,AC637,AC637-X638*(1-W638))</f>
        <v>44290.195785716205</v>
      </c>
      <c r="AD638" s="11">
        <f>IF($A638&gt;'1-Input'!$B$26,0,IF(AI637&lt;=0,0,MAX(0,(AI637-AJ637)/AI637)))</f>
        <v>0.52888310570454033</v>
      </c>
      <c r="AE638" s="18">
        <f>IF($A638&gt;'1-Input'!$B$26,0,(MAX(0,AD616-IF($A638&gt;='1-Input'!$C$12,'1-Input'!$B$12,0))-MIN(MAX(AH637,0),MAX(0,AD616-IF($A638&gt;='1-Input'!$C$12,'1-Input'!$B$12,0))))*(1/(1-'P-Parametri'!$B$6*AD638))+MIN(MAX(0,AI637-(MAX(0,AD616-IF($A638&gt;='1-Input'!$C$12,'1-Input'!$B$12,0))-MIN(MAX(AH637,0),MAX(0,AD616-IF($A638&gt;='1-Input'!$C$12,'1-Input'!$B$12,0))))*(1/(1-'P-Parametri'!$B$6*AD638))),MAX(0,5*AD616-(AH637-MIN(MAX(AH637,0),MAX(0,AD616-IF($A638&gt;='1-Input'!$C$12,'1-Input'!$B$12,0)))))*(1/(1-'P-Parametri'!$B$6*AD638))))</f>
        <v>19935.186345612343</v>
      </c>
      <c r="AF638" s="18">
        <f>IF($A638&gt;'1-Input'!$B$26,AH637,(AH637-MAX(0,AD616-IF($A638&gt;='1-Input'!$C$12,'1-Input'!$B$12,0))+AE638*(1-'P-Parametri'!$B$6*AD638))*(1+'1-Input'!$B$27))</f>
        <v>84145.425501066202</v>
      </c>
      <c r="AG638" s="18">
        <f>IF($A638&gt;'1-Input'!$B$26,AI637,(AI637-AE638)*(1+$C$4))</f>
        <v>96563.490878711949</v>
      </c>
      <c r="AH638" s="18">
        <f>IF($A638&gt;'1-Input'!$B$26,AF638,AF638-'P-Parametri'!$B$8*(AG638+AF638)+MIN(MAX(AG638,0),'P-Parametri'!$B$8*(AG638+AF638)))</f>
        <v>84145.425501066202</v>
      </c>
      <c r="AI638" s="18">
        <f>IF($A638&gt;'1-Input'!$B$26,AG638,AG638-MIN(MAX(AG638,0),'P-Parametri'!$B$8*(AG638+AF638)))</f>
        <v>96202.073045952391</v>
      </c>
      <c r="AJ638" s="18">
        <f>IF($A638&gt;'1-Input'!$B$26,AJ637,AJ637-AE638*(1-AD638))</f>
        <v>44167.662063210402</v>
      </c>
      <c r="AK638" s="11">
        <f>IF($A638&gt;'1-Input'!$B$26,0,IF(AP637&lt;=0,0,MAX(0,(AP637-AQ637)/AP637)))</f>
        <v>0.52888381465514789</v>
      </c>
      <c r="AL638" s="18">
        <f>IF($A638&gt;'1-Input'!$B$26,0,(MAX(0,AK616-IF($A638&gt;='1-Input'!$C$12,'1-Input'!$B$12,0))-MIN(MAX(AO637,0),MAX(0,AK616-IF($A638&gt;='1-Input'!$C$12,'1-Input'!$B$12,0))))*(1/(1-'P-Parametri'!$B$6*AK638))+MIN(MAX(0,AP637-(MAX(0,AK616-IF($A638&gt;='1-Input'!$C$12,'1-Input'!$B$12,0))-MIN(MAX(AO637,0),MAX(0,AK616-IF($A638&gt;='1-Input'!$C$12,'1-Input'!$B$12,0))))*(1/(1-'P-Parametri'!$B$6*AK638))),MAX(0,5*AK616-(AO637-MIN(MAX(AO637,0),MAX(0,AK616-IF($A638&gt;='1-Input'!$C$12,'1-Input'!$B$12,0)))))*(1/(1-'P-Parametri'!$B$6*AK638))))</f>
        <v>19934.583166631601</v>
      </c>
      <c r="AM638" s="18">
        <f>IF($A638&gt;'1-Input'!$B$26,AO637,(AO637-MAX(0,AK616-IF($A638&gt;='1-Input'!$C$12,'1-Input'!$B$12,0))+AL638*(1-'P-Parametri'!$B$6*AK638))*(1+'1-Input'!$B$27))</f>
        <v>84142.861530128604</v>
      </c>
      <c r="AN638" s="18">
        <f>IF($A638&gt;'1-Input'!$B$26,AP637,(AP637-AL638)*(1+$C$4))</f>
        <v>96583.774150001074</v>
      </c>
      <c r="AO638" s="18">
        <f>IF($A638&gt;'1-Input'!$B$26,AM638,AM638-'P-Parametri'!$B$8*(AN638+AM638)+MIN(MAX(AN638,0),'P-Parametri'!$B$8*(AN638+AM638)))</f>
        <v>84142.861530128604</v>
      </c>
      <c r="AP638" s="18">
        <f>IF($A638&gt;'1-Input'!$B$26,AN638,AN638-MIN(MAX(AN638,0),'P-Parametri'!$B$8*(AN638+AM638)))</f>
        <v>96222.320878640821</v>
      </c>
      <c r="AQ638" s="18">
        <f>IF($A638&gt;'1-Input'!$B$26,AQ637,AQ637-AL638*(1-AK638))</f>
        <v>44176.873052191491</v>
      </c>
    </row>
    <row r="639" spans="1:43">
      <c r="A639" s="10">
        <f>21</f>
        <v>21</v>
      </c>
      <c r="B639" s="11">
        <f>IF($A639&gt;'1-Input'!$B$26,0,IF(G638&lt;=0,0,MAX(0,(G638-H638)/G638)))</f>
        <v>0.54122866628006627</v>
      </c>
      <c r="C639" s="18">
        <f>IF($A639&gt;'1-Input'!$B$26,0,(MAX(0,B616-IF($A639&gt;='1-Input'!$C$12,'1-Input'!$B$12,0))-MIN(MAX(F638,0),MAX(0,B616-IF($A639&gt;='1-Input'!$C$12,'1-Input'!$B$12,0))))*(1/(1-'P-Parametri'!$B$6*B639))+MIN(MAX(0,G638-(MAX(0,B616-IF($A639&gt;='1-Input'!$C$12,'1-Input'!$B$12,0))-MIN(MAX(F638,0),MAX(0,B616-IF($A639&gt;='1-Input'!$C$12,'1-Input'!$B$12,0))))*(1/(1-'P-Parametri'!$B$6*B639))),MAX(0,5*B616-(F638-MIN(MAX(F638,0),MAX(0,B616-IF($A639&gt;='1-Input'!$C$12,'1-Input'!$B$12,0)))))*(1/(1-'P-Parametri'!$B$6*B639))))</f>
        <v>19762.246886859954</v>
      </c>
      <c r="D639" s="18">
        <f>IF($A639&gt;'1-Input'!$B$26,F638,(F638-MAX(0,B616-IF($A639&gt;='1-Input'!$C$12,'1-Input'!$B$12,0))+C639*(1-'P-Parametri'!$B$6*B639))*(1+'1-Input'!$B$27))</f>
        <v>83105.01757746574</v>
      </c>
      <c r="E639" s="18">
        <f>IF($A639&gt;'1-Input'!$B$26,G638,(G638-C639)*(1+$C$4))</f>
        <v>87196.08804104205</v>
      </c>
      <c r="F639" s="18">
        <f>IF($A639&gt;'1-Input'!$B$26,D639,D639-'P-Parametri'!$B$8*(E639+D639)+MIN(MAX(E639,0),'P-Parametri'!$B$8*(E639+D639)))</f>
        <v>83105.01757746574</v>
      </c>
      <c r="G639" s="18">
        <f>IF($A639&gt;'1-Input'!$B$26,E639,E639-MIN(MAX(E639,0),'P-Parametri'!$B$8*(E639+D639)))</f>
        <v>86855.485829805039</v>
      </c>
      <c r="H639" s="18">
        <f>IF($A639&gt;'1-Input'!$B$26,H638,H638-C639*(1-B639))</f>
        <v>38837.927772572453</v>
      </c>
      <c r="I639" s="11">
        <f>IF($A639&gt;'1-Input'!$B$26,0,IF(N638&lt;=0,0,MAX(0,(N638-O638)/N638)))</f>
        <v>0</v>
      </c>
      <c r="J639" s="18">
        <f>IF($A639&gt;'1-Input'!$B$26,0,(MAX(0,I616-IF($A639&gt;='1-Input'!$C$12,'1-Input'!$B$12,0))-MIN(MAX(M638,0),MAX(0,I616-IF($A639&gt;='1-Input'!$C$12,'1-Input'!$B$12,0))))*(1/(1-'P-Parametri'!$B$6*I639))+MIN(MAX(0,N638-(MAX(0,I616-IF($A639&gt;='1-Input'!$C$12,'1-Input'!$B$12,0))-MIN(MAX(M638,0),MAX(0,I616-IF($A639&gt;='1-Input'!$C$12,'1-Input'!$B$12,0))))*(1/(1-'P-Parametri'!$B$6*I639))),MAX(0,5*I616-(M638-MIN(MAX(M638,0),MAX(0,I616-IF($A639&gt;='1-Input'!$C$12,'1-Input'!$B$12,0)))))*(1/(1-'P-Parametri'!$B$6*I639))))</f>
        <v>0</v>
      </c>
      <c r="K639" s="18">
        <f>IF($A639&gt;'1-Input'!$B$26,M638,(M638-MAX(0,I616-IF($A639&gt;='1-Input'!$C$12,'1-Input'!$B$12,0))+J639*(1-'P-Parametri'!$B$6*I639))*(1+'1-Input'!$B$27))</f>
        <v>4956.7849159142688</v>
      </c>
      <c r="L639" s="18">
        <f>IF($A639&gt;'1-Input'!$B$26,N638,(N638-J639)*(1+$C$4))</f>
        <v>0</v>
      </c>
      <c r="M639" s="18">
        <f>IF($A639&gt;'1-Input'!$B$26,K639,K639-'P-Parametri'!$B$8*(L639+K639)+MIN(MAX(L639,0),'P-Parametri'!$B$8*(L639+K639)))</f>
        <v>4946.8713460824401</v>
      </c>
      <c r="N639" s="18">
        <f>IF($A639&gt;'1-Input'!$B$26,L639,L639-MIN(MAX(L639,0),'P-Parametri'!$B$8*(L639+K639)))</f>
        <v>0</v>
      </c>
      <c r="O639" s="18">
        <f>IF($A639&gt;'1-Input'!$B$26,O638,O638-J639*(1-I639))</f>
        <v>-4.5474735088646412E-13</v>
      </c>
      <c r="P639" s="11">
        <f>IF($A639&gt;'1-Input'!$B$26,0,IF(U638&lt;=0,0,MAX(0,(U638-V638)/U638)))</f>
        <v>0.54094761935087476</v>
      </c>
      <c r="Q639" s="18">
        <f>IF($A639&gt;'1-Input'!$B$26,0,(MAX(0,P616-IF($A639&gt;='1-Input'!$C$12,'1-Input'!$B$12,0))-MIN(MAX(T638,0),MAX(0,P616-IF($A639&gt;='1-Input'!$C$12,'1-Input'!$B$12,0))))*(1/(1-'P-Parametri'!$B$6*P639))+MIN(MAX(0,U638-(MAX(0,P616-IF($A639&gt;='1-Input'!$C$12,'1-Input'!$B$12,0))-MIN(MAX(T638,0),MAX(0,P616-IF($A639&gt;='1-Input'!$C$12,'1-Input'!$B$12,0))))*(1/(1-'P-Parametri'!$B$6*P639))),MAX(0,5*P616-(T638-MIN(MAX(T638,0),MAX(0,P616-IF($A639&gt;='1-Input'!$C$12,'1-Input'!$B$12,0)))))*(1/(1-'P-Parametri'!$B$6*P639))))</f>
        <v>19965.511771372385</v>
      </c>
      <c r="R639" s="18">
        <f>IF($A639&gt;'1-Input'!$B$26,T638,(T638-MAX(0,P616-IF($A639&gt;='1-Input'!$C$12,'1-Input'!$B$12,0))+Q639*(1-'P-Parametri'!$B$6*P639))*(1+'1-Input'!$B$27))</f>
        <v>83966.9353144864</v>
      </c>
      <c r="S639" s="18">
        <f>IF($A639&gt;'1-Input'!$B$26,U638,(U638-Q639)*(1+$C$4))</f>
        <v>79975.504729640219</v>
      </c>
      <c r="T639" s="18">
        <f>IF($A639&gt;'1-Input'!$B$26,R639,R639-'P-Parametri'!$B$8*(S639+R639)+MIN(MAX(S639,0),'P-Parametri'!$B$8*(S639+R639)))</f>
        <v>83966.9353144864</v>
      </c>
      <c r="U639" s="18">
        <f>IF($A639&gt;'1-Input'!$B$26,S639,S639-MIN(MAX(S639,0),'P-Parametri'!$B$8*(S639+R639)))</f>
        <v>79647.619849551964</v>
      </c>
      <c r="V639" s="18">
        <f>IF($A639&gt;'1-Input'!$B$26,V638,V638-Q639*(1-P639))</f>
        <v>35643.636737627879</v>
      </c>
      <c r="W639" s="11">
        <f>IF($A639&gt;'1-Input'!$B$26,0,IF(AB638&lt;=0,0,MAX(0,(AB638-AC638)/AB638)))</f>
        <v>0.54089832995728704</v>
      </c>
      <c r="X639" s="18">
        <f>IF($A639&gt;'1-Input'!$B$26,0,(MAX(0,W616-IF($A639&gt;='1-Input'!$C$12,'1-Input'!$B$12,0))-MIN(MAX(AA638,0),MAX(0,W616-IF($A639&gt;='1-Input'!$C$12,'1-Input'!$B$12,0))))*(1/(1-'P-Parametri'!$B$6*W639))+MIN(MAX(0,AB638-(MAX(0,W616-IF($A639&gt;='1-Input'!$C$12,'1-Input'!$B$12,0))-MIN(MAX(AA638,0),MAX(0,W616-IF($A639&gt;='1-Input'!$C$12,'1-Input'!$B$12,0))))*(1/(1-'P-Parametri'!$B$6*W639))),MAX(0,5*W616-(AA638-MIN(MAX(AA638,0),MAX(0,W616-IF($A639&gt;='1-Input'!$C$12,'1-Input'!$B$12,0)))))*(1/(1-'P-Parametri'!$B$6*W639))))</f>
        <v>19999.544285306267</v>
      </c>
      <c r="Y639" s="18">
        <f>IF($A639&gt;'1-Input'!$B$26,AA638,(AA638-MAX(0,W616-IF($A639&gt;='1-Input'!$C$12,'1-Input'!$B$12,0))+X639*(1-'P-Parametri'!$B$6*W639))*(1+'1-Input'!$B$27))</f>
        <v>84111.316723481417</v>
      </c>
      <c r="Z639" s="18">
        <f>IF($A639&gt;'1-Input'!$B$26,AB638,(AB638-X639)*(1+$C$4))</f>
        <v>78766.044891541635</v>
      </c>
      <c r="AA639" s="18">
        <f>IF($A639&gt;'1-Input'!$B$26,Y639,Y639-'P-Parametri'!$B$8*(Z639+Y639)+MIN(MAX(Z639,0),'P-Parametri'!$B$8*(Z639+Y639)))</f>
        <v>84111.316723481417</v>
      </c>
      <c r="AB639" s="18">
        <f>IF($A639&gt;'1-Input'!$B$26,Z639,Z639-MIN(MAX(Z639,0),'P-Parametri'!$B$8*(Z639+Y639)))</f>
        <v>78440.290168311592</v>
      </c>
      <c r="AC639" s="18">
        <f>IF($A639&gt;'1-Input'!$B$26,AC638,AC638-X639*(1-W639))</f>
        <v>35108.371604238899</v>
      </c>
      <c r="AD639" s="11">
        <f>IF($A639&gt;'1-Input'!$B$26,0,IF(AI638&lt;=0,0,MAX(0,(AI638-AJ638)/AI638)))</f>
        <v>0.54088658731799844</v>
      </c>
      <c r="AE639" s="18">
        <f>IF($A639&gt;'1-Input'!$B$26,0,(MAX(0,AD616-IF($A639&gt;='1-Input'!$C$12,'1-Input'!$B$12,0))-MIN(MAX(AH638,0),MAX(0,AD616-IF($A639&gt;='1-Input'!$C$12,'1-Input'!$B$12,0))))*(1/(1-'P-Parametri'!$B$6*AD639))+MIN(MAX(0,AI638-(MAX(0,AD616-IF($A639&gt;='1-Input'!$C$12,'1-Input'!$B$12,0))-MIN(MAX(AH638,0),MAX(0,AD616-IF($A639&gt;='1-Input'!$C$12,'1-Input'!$B$12,0))))*(1/(1-'P-Parametri'!$B$6*AD639))),MAX(0,5*AD616-(AH638-MIN(MAX(AH638,0),MAX(0,AD616-IF($A639&gt;='1-Input'!$C$12,'1-Input'!$B$12,0)))))*(1/(1-'P-Parametri'!$B$6*AD639))))</f>
        <v>20007.583408851548</v>
      </c>
      <c r="AF639" s="18">
        <f>IF($A639&gt;'1-Input'!$B$26,AH638,(AH638-MAX(0,AD616-IF($A639&gt;='1-Input'!$C$12,'1-Input'!$B$12,0))+AE639*(1-'P-Parametri'!$B$6*AD639))*(1+'1-Input'!$B$27))</f>
        <v>84145.425501066202</v>
      </c>
      <c r="AG639" s="18">
        <f>IF($A639&gt;'1-Input'!$B$26,AI638,(AI638-AE639)*(1+$C$4))</f>
        <v>78480.324326213857</v>
      </c>
      <c r="AH639" s="18">
        <f>IF($A639&gt;'1-Input'!$B$26,AF639,AF639-'P-Parametri'!$B$8*(AG639+AF639)+MIN(MAX(AG639,0),'P-Parametri'!$B$8*(AG639+AF639)))</f>
        <v>84145.425501066202</v>
      </c>
      <c r="AI639" s="18">
        <f>IF($A639&gt;'1-Input'!$B$26,AG639,AG639-MIN(MAX(AG639,0),'P-Parametri'!$B$8*(AG639+AF639)))</f>
        <v>78155.072826559292</v>
      </c>
      <c r="AJ639" s="18">
        <f>IF($A639&gt;'1-Input'!$B$26,AJ638,AJ638-AE639*(1-AD639))</f>
        <v>34981.912164852773</v>
      </c>
      <c r="AK639" s="11">
        <f>IF($A639&gt;'1-Input'!$B$26,0,IF(AP638&lt;=0,0,MAX(0,(AP638-AQ638)/AP638)))</f>
        <v>0.54088747133932669</v>
      </c>
      <c r="AL639" s="18">
        <f>IF($A639&gt;'1-Input'!$B$26,0,(MAX(0,AK616-IF($A639&gt;='1-Input'!$C$12,'1-Input'!$B$12,0))-MIN(MAX(AO638,0),MAX(0,AK616-IF($A639&gt;='1-Input'!$C$12,'1-Input'!$B$12,0))))*(1/(1-'P-Parametri'!$B$6*AK639))+MIN(MAX(0,AP638-(MAX(0,AK616-IF($A639&gt;='1-Input'!$C$12,'1-Input'!$B$12,0))-MIN(MAX(AO638,0),MAX(0,AK616-IF($A639&gt;='1-Input'!$C$12,'1-Input'!$B$12,0))))*(1/(1-'P-Parametri'!$B$6*AK639))),MAX(0,5*AK616-(AO638-MIN(MAX(AO638,0),MAX(0,AK616-IF($A639&gt;='1-Input'!$C$12,'1-Input'!$B$12,0)))))*(1/(1-'P-Parametri'!$B$6*AK639))))</f>
        <v>20006.979114594455</v>
      </c>
      <c r="AM639" s="18">
        <f>IF($A639&gt;'1-Input'!$B$26,AO638,(AO638-MAX(0,AK616-IF($A639&gt;='1-Input'!$C$12,'1-Input'!$B$12,0))+AL639*(1-'P-Parametri'!$B$6*AK639))*(1+'1-Input'!$B$27))</f>
        <v>84142.861530128604</v>
      </c>
      <c r="AN639" s="18">
        <f>IF($A639&gt;'1-Input'!$B$26,AP638,(AP638-AL639)*(1+$C$4))</f>
        <v>78501.802016967762</v>
      </c>
      <c r="AO639" s="18">
        <f>IF($A639&gt;'1-Input'!$B$26,AM639,AM639-'P-Parametri'!$B$8*(AN639+AM639)+MIN(MAX(AN639,0),'P-Parametri'!$B$8*(AN639+AM639)))</f>
        <v>84142.861530128604</v>
      </c>
      <c r="AP639" s="18">
        <f>IF($A639&gt;'1-Input'!$B$26,AN639,AN639-MIN(MAX(AN639,0),'P-Parametri'!$B$8*(AN639+AM639)))</f>
        <v>78176.512689873576</v>
      </c>
      <c r="AQ639" s="18">
        <f>IF($A639&gt;'1-Input'!$B$26,AQ638,AQ638-AL639*(1-AK639))</f>
        <v>34991.418280028753</v>
      </c>
    </row>
    <row r="640" spans="1:43">
      <c r="A640" s="10">
        <f>22</f>
        <v>22</v>
      </c>
      <c r="B640" s="11">
        <f>IF($A640&gt;'1-Input'!$B$26,0,IF(G639&lt;=0,0,MAX(0,(G639-H639)/G639)))</f>
        <v>0.5528442745841512</v>
      </c>
      <c r="C640" s="18">
        <f>IF($A640&gt;'1-Input'!$B$26,0,(MAX(0,B616-IF($A640&gt;='1-Input'!$C$12,'1-Input'!$B$12,0))-MIN(MAX(F639,0),MAX(0,B616-IF($A640&gt;='1-Input'!$C$12,'1-Input'!$B$12,0))))*(1/(1-'P-Parametri'!$B$6*B640))+MIN(MAX(0,G639-(MAX(0,B616-IF($A640&gt;='1-Input'!$C$12,'1-Input'!$B$12,0))-MIN(MAX(F639,0),MAX(0,B616-IF($A640&gt;='1-Input'!$C$12,'1-Input'!$B$12,0))))*(1/(1-'P-Parametri'!$B$6*B640))),MAX(0,5*B616-(F639-MIN(MAX(F639,0),MAX(0,B616-IF($A640&gt;='1-Input'!$C$12,'1-Input'!$B$12,0)))))*(1/(1-'P-Parametri'!$B$6*B640))))</f>
        <v>19831.948964377367</v>
      </c>
      <c r="D640" s="18">
        <f>IF($A640&gt;'1-Input'!$B$26,F639,(F639-MAX(0,B616-IF($A640&gt;='1-Input'!$C$12,'1-Input'!$B$12,0))+C640*(1-'P-Parametri'!$B$6*B640))*(1+'1-Input'!$B$27))</f>
        <v>83105.01757746574</v>
      </c>
      <c r="E640" s="18">
        <f>IF($A640&gt;'1-Input'!$B$26,G639,(G639-C640)*(1+$C$4))</f>
        <v>69034.2429713905</v>
      </c>
      <c r="F640" s="18">
        <f>IF($A640&gt;'1-Input'!$B$26,D640,D640-'P-Parametri'!$B$8*(E640+D640)+MIN(MAX(E640,0),'P-Parametri'!$B$8*(E640+D640)))</f>
        <v>83105.01757746574</v>
      </c>
      <c r="G640" s="18">
        <f>IF($A640&gt;'1-Input'!$B$26,E640,E640-MIN(MAX(E640,0),'P-Parametri'!$B$8*(E640+D640)))</f>
        <v>68729.964450292784</v>
      </c>
      <c r="H640" s="18">
        <f>IF($A640&gt;'1-Input'!$B$26,H639,H639-C640*(1-B640))</f>
        <v>29969.958246996201</v>
      </c>
      <c r="I640" s="11">
        <f>IF($A640&gt;'1-Input'!$B$26,0,IF(N639&lt;=0,0,MAX(0,(N639-O639)/N639)))</f>
        <v>0</v>
      </c>
      <c r="J640" s="18">
        <f>IF($A640&gt;'1-Input'!$B$26,0,(MAX(0,I616-IF($A640&gt;='1-Input'!$C$12,'1-Input'!$B$12,0))-MIN(MAX(M639,0),MAX(0,I616-IF($A640&gt;='1-Input'!$C$12,'1-Input'!$B$12,0))))*(1/(1-'P-Parametri'!$B$6*I640))+MIN(MAX(0,N639-(MAX(0,I616-IF($A640&gt;='1-Input'!$C$12,'1-Input'!$B$12,0))-MIN(MAX(M639,0),MAX(0,I616-IF($A640&gt;='1-Input'!$C$12,'1-Input'!$B$12,0))))*(1/(1-'P-Parametri'!$B$6*I640))),MAX(0,5*I616-(M639-MIN(MAX(M639,0),MAX(0,I616-IF($A640&gt;='1-Input'!$C$12,'1-Input'!$B$12,0)))))*(1/(1-'P-Parametri'!$B$6*I640))))</f>
        <v>17001.885646846251</v>
      </c>
      <c r="K640" s="18">
        <f>IF($A640&gt;'1-Input'!$B$26,M639,(M639-MAX(0,I616-IF($A640&gt;='1-Input'!$C$12,'1-Input'!$B$12,0))+J640*(1-'P-Parametri'!$B$6*I640))*(1+'1-Input'!$B$27))</f>
        <v>0</v>
      </c>
      <c r="L640" s="18">
        <f>IF($A640&gt;'1-Input'!$B$26,N639,(N639-J640)*(1+$C$4))</f>
        <v>-17511.942216251638</v>
      </c>
      <c r="M640" s="18">
        <f>IF($A640&gt;'1-Input'!$B$26,K640,K640-'P-Parametri'!$B$8*(L640+K640)+MIN(MAX(L640,0),'P-Parametri'!$B$8*(L640+K640)))</f>
        <v>0</v>
      </c>
      <c r="N640" s="18">
        <f>IF($A640&gt;'1-Input'!$B$26,L640,L640-MIN(MAX(L640,0),'P-Parametri'!$B$8*(L640+K640)))</f>
        <v>-17476.918331819135</v>
      </c>
      <c r="O640" s="18">
        <f>IF($A640&gt;'1-Input'!$B$26,O639,O639-J640*(1-I640))</f>
        <v>-17001.885646846251</v>
      </c>
      <c r="P640" s="11">
        <f>IF($A640&gt;'1-Input'!$B$26,0,IF(U639&lt;=0,0,MAX(0,(U639-V639)/U639)))</f>
        <v>0.55248334093403062</v>
      </c>
      <c r="Q640" s="18">
        <f>IF($A640&gt;'1-Input'!$B$26,0,(MAX(0,P616-IF($A640&gt;='1-Input'!$C$12,'1-Input'!$B$12,0))-MIN(MAX(T639,0),MAX(0,P616-IF($A640&gt;='1-Input'!$C$12,'1-Input'!$B$12,0))))*(1/(1-'P-Parametri'!$B$6*P640))+MIN(MAX(0,U639-(MAX(0,P616-IF($A640&gt;='1-Input'!$C$12,'1-Input'!$B$12,0))-MIN(MAX(T639,0),MAX(0,P616-IF($A640&gt;='1-Input'!$C$12,'1-Input'!$B$12,0))))*(1/(1-'P-Parametri'!$B$6*P640))),MAX(0,5*P616-(T639-MIN(MAX(T639,0),MAX(0,P616-IF($A640&gt;='1-Input'!$C$12,'1-Input'!$B$12,0)))))*(1/(1-'P-Parametri'!$B$6*P640))))</f>
        <v>20035.438797981384</v>
      </c>
      <c r="R640" s="18">
        <f>IF($A640&gt;'1-Input'!$B$26,T639,(T639-MAX(0,P616-IF($A640&gt;='1-Input'!$C$12,'1-Input'!$B$12,0))+Q640*(1-'P-Parametri'!$B$6*P640))*(1+'1-Input'!$B$27))</f>
        <v>83966.9353144864</v>
      </c>
      <c r="S640" s="18">
        <f>IF($A640&gt;'1-Input'!$B$26,U639,(U639-Q640)*(1+$C$4))</f>
        <v>61400.546483117701</v>
      </c>
      <c r="T640" s="18">
        <f>IF($A640&gt;'1-Input'!$B$26,R640,R640-'P-Parametri'!$B$8*(S640+R640)+MIN(MAX(S640,0),'P-Parametri'!$B$8*(S640+R640)))</f>
        <v>83966.9353144864</v>
      </c>
      <c r="U640" s="18">
        <f>IF($A640&gt;'1-Input'!$B$26,S640,S640-MIN(MAX(S640,0),'P-Parametri'!$B$8*(S640+R640)))</f>
        <v>61109.811519522496</v>
      </c>
      <c r="V640" s="18">
        <f>IF($A640&gt;'1-Input'!$B$26,V639,V639-Q640*(1-P640))</f>
        <v>26677.444103834547</v>
      </c>
      <c r="W640" s="11">
        <f>IF($A640&gt;'1-Input'!$B$26,0,IF(AB639&lt;=0,0,MAX(0,(AB639-AC639)/AB639)))</f>
        <v>0.55241915182993517</v>
      </c>
      <c r="X640" s="18">
        <f>IF($A640&gt;'1-Input'!$B$26,0,(MAX(0,W616-IF($A640&gt;='1-Input'!$C$12,'1-Input'!$B$12,0))-MIN(MAX(AA639,0),MAX(0,W616-IF($A640&gt;='1-Input'!$C$12,'1-Input'!$B$12,0))))*(1/(1-'P-Parametri'!$B$6*W640))+MIN(MAX(0,AB639-(MAX(0,W616-IF($A640&gt;='1-Input'!$C$12,'1-Input'!$B$12,0))-MIN(MAX(AA639,0),MAX(0,W616-IF($A640&gt;='1-Input'!$C$12,'1-Input'!$B$12,0))))*(1/(1-'P-Parametri'!$B$6*W640))),MAX(0,5*W616-(AA639-MIN(MAX(AA639,0),MAX(0,W616-IF($A640&gt;='1-Input'!$C$12,'1-Input'!$B$12,0)))))*(1/(1-'P-Parametri'!$B$6*W640))))</f>
        <v>20069.498671019912</v>
      </c>
      <c r="Y640" s="18">
        <f>IF($A640&gt;'1-Input'!$B$26,AA639,(AA639-MAX(0,W616-IF($A640&gt;='1-Input'!$C$12,'1-Input'!$B$12,0))+X640*(1-'P-Parametri'!$B$6*W640))*(1+'1-Input'!$B$27))</f>
        <v>84111.316723481417</v>
      </c>
      <c r="Z640" s="18">
        <f>IF($A640&gt;'1-Input'!$B$26,AB639,(AB639-X640)*(1+$C$4))</f>
        <v>60121.915242210431</v>
      </c>
      <c r="AA640" s="18">
        <f>IF($A640&gt;'1-Input'!$B$26,Y640,Y640-'P-Parametri'!$B$8*(Z640+Y640)+MIN(MAX(Z640,0),'P-Parametri'!$B$8*(Z640+Y640)))</f>
        <v>84111.316723481417</v>
      </c>
      <c r="AB640" s="18">
        <f>IF($A640&gt;'1-Input'!$B$26,Z640,Z640-MIN(MAX(Z640,0),'P-Parametri'!$B$8*(Z640+Y640)))</f>
        <v>59833.448778279046</v>
      </c>
      <c r="AC640" s="18">
        <f>IF($A640&gt;'1-Input'!$B$26,AC639,AC639-X640*(1-W640))</f>
        <v>26125.648366715817</v>
      </c>
      <c r="AD640" s="11">
        <f>IF($A640&gt;'1-Input'!$B$26,0,IF(AI639&lt;=0,0,MAX(0,(AI639-AJ639)/AI639)))</f>
        <v>0.5524038184637845</v>
      </c>
      <c r="AE640" s="18">
        <f>IF($A640&gt;'1-Input'!$B$26,0,(MAX(0,AD616-IF($A640&gt;='1-Input'!$C$12,'1-Input'!$B$12,0))-MIN(MAX(AH639,0),MAX(0,AD616-IF($A640&gt;='1-Input'!$C$12,'1-Input'!$B$12,0))))*(1/(1-'P-Parametri'!$B$6*AD640))+MIN(MAX(0,AI639-(MAX(0,AD616-IF($A640&gt;='1-Input'!$C$12,'1-Input'!$B$12,0))-MIN(MAX(AH639,0),MAX(0,AD616-IF($A640&gt;='1-Input'!$C$12,'1-Input'!$B$12,0))))*(1/(1-'P-Parametri'!$B$6*AD640))),MAX(0,5*AD616-(AH639-MIN(MAX(AH639,0),MAX(0,AD616-IF($A640&gt;='1-Input'!$C$12,'1-Input'!$B$12,0)))))*(1/(1-'P-Parametri'!$B$6*AD640))))</f>
        <v>20077.543776472383</v>
      </c>
      <c r="AF640" s="18">
        <f>IF($A640&gt;'1-Input'!$B$26,AH639,(AH639-MAX(0,AD616-IF($A640&gt;='1-Input'!$C$12,'1-Input'!$B$12,0))+AE640*(1-'P-Parametri'!$B$6*AD640))*(1+'1-Input'!$B$27))</f>
        <v>84145.425501066202</v>
      </c>
      <c r="AG640" s="18">
        <f>IF($A640&gt;'1-Input'!$B$26,AI639,(AI639-AE640)*(1+$C$4))</f>
        <v>59819.854921589518</v>
      </c>
      <c r="AH640" s="18">
        <f>IF($A640&gt;'1-Input'!$B$26,AF640,AF640-'P-Parametri'!$B$8*(AG640+AF640)+MIN(MAX(AG640,0),'P-Parametri'!$B$8*(AG640+AF640)))</f>
        <v>84145.425501066202</v>
      </c>
      <c r="AI640" s="18">
        <f>IF($A640&gt;'1-Input'!$B$26,AG640,AG640-MIN(MAX(AG640,0),'P-Parametri'!$B$8*(AG640+AF640)))</f>
        <v>59531.924360744204</v>
      </c>
      <c r="AJ640" s="18">
        <f>IF($A640&gt;'1-Input'!$B$26,AJ639,AJ639-AE640*(1-AD640))</f>
        <v>25995.280235877526</v>
      </c>
      <c r="AK640" s="11">
        <f>IF($A640&gt;'1-Input'!$B$26,0,IF(AP639&lt;=0,0,MAX(0,(AP639-AQ639)/AP639)))</f>
        <v>0.55240497336022398</v>
      </c>
      <c r="AL640" s="18">
        <f>IF($A640&gt;'1-Input'!$B$26,0,(MAX(0,AK616-IF($A640&gt;='1-Input'!$C$12,'1-Input'!$B$12,0))-MIN(MAX(AO639,0),MAX(0,AK616-IF($A640&gt;='1-Input'!$C$12,'1-Input'!$B$12,0))))*(1/(1-'P-Parametri'!$B$6*AK640))+MIN(MAX(0,AP639-(MAX(0,AK616-IF($A640&gt;='1-Input'!$C$12,'1-Input'!$B$12,0))-MIN(MAX(AO639,0),MAX(0,AK616-IF($A640&gt;='1-Input'!$C$12,'1-Input'!$B$12,0))))*(1/(1-'P-Parametri'!$B$6*AK640))),MAX(0,5*AK616-(AO639-MIN(MAX(AO639,0),MAX(0,AK616-IF($A640&gt;='1-Input'!$C$12,'1-Input'!$B$12,0)))))*(1/(1-'P-Parametri'!$B$6*AK640))))</f>
        <v>20076.939039070709</v>
      </c>
      <c r="AM640" s="18">
        <f>IF($A640&gt;'1-Input'!$B$26,AO639,(AO639-MAX(0,AK616-IF($A640&gt;='1-Input'!$C$12,'1-Input'!$B$12,0))+AL640*(1-'P-Parametri'!$B$6*AK640))*(1+'1-Input'!$B$27))</f>
        <v>84142.861530128604</v>
      </c>
      <c r="AN640" s="18">
        <f>IF($A640&gt;'1-Input'!$B$26,AP639,(AP639-AL640)*(1+$C$4))</f>
        <v>59842.56086032695</v>
      </c>
      <c r="AO640" s="18">
        <f>IF($A640&gt;'1-Input'!$B$26,AM640,AM640-'P-Parametri'!$B$8*(AN640+AM640)+MIN(MAX(AN640,0),'P-Parametri'!$B$8*(AN640+AM640)))</f>
        <v>84142.861530128604</v>
      </c>
      <c r="AP640" s="18">
        <f>IF($A640&gt;'1-Input'!$B$26,AN640,AN640-MIN(MAX(AN640,0),'P-Parametri'!$B$8*(AN640+AM640)))</f>
        <v>59554.59001554604</v>
      </c>
      <c r="AQ640" s="18">
        <f>IF($A640&gt;'1-Input'!$B$26,AQ639,AQ639-AL640*(1-AK640))</f>
        <v>26005.08021599074</v>
      </c>
    </row>
    <row r="641" spans="1:43">
      <c r="A641" s="10">
        <f>23</f>
        <v>23</v>
      </c>
      <c r="B641" s="11">
        <f>IF($A641&gt;'1-Input'!$B$26,0,IF(G640&lt;=0,0,MAX(0,(G640-H640)/G640)))</f>
        <v>0.56394625711364621</v>
      </c>
      <c r="C641" s="18">
        <f>IF($A641&gt;'1-Input'!$B$26,0,(MAX(0,B616-IF($A641&gt;='1-Input'!$C$12,'1-Input'!$B$12,0))-MIN(MAX(F640,0),MAX(0,B616-IF($A641&gt;='1-Input'!$C$12,'1-Input'!$B$12,0))))*(1/(1-'P-Parametri'!$B$6*B641))+MIN(MAX(0,G640-(MAX(0,B616-IF($A641&gt;='1-Input'!$C$12,'1-Input'!$B$12,0))-MIN(MAX(F640,0),MAX(0,B616-IF($A641&gt;='1-Input'!$C$12,'1-Input'!$B$12,0))))*(1/(1-'P-Parametri'!$B$6*B641))),MAX(0,5*B616-(F640-MIN(MAX(F640,0),MAX(0,B616-IF($A641&gt;='1-Input'!$C$12,'1-Input'!$B$12,0)))))*(1/(1-'P-Parametri'!$B$6*B641))))</f>
        <v>6889.4933467258879</v>
      </c>
      <c r="D641" s="18">
        <f>IF($A641&gt;'1-Input'!$B$26,F640,(F640-MAX(0,B616-IF($A641&gt;='1-Input'!$C$12,'1-Input'!$B$12,0))+C641*(1-'P-Parametri'!$B$6*B641))*(1+'1-Input'!$B$27))</f>
        <v>83105.01757746574</v>
      </c>
      <c r="E641" s="18">
        <f>IF($A641&gt;'1-Input'!$B$26,G640,(G640-C641)*(1+$C$4))</f>
        <v>63695.685236673904</v>
      </c>
      <c r="F641" s="18">
        <f>IF($A641&gt;'1-Input'!$B$26,D641,D641-'P-Parametri'!$B$8*(E641+D641)+MIN(MAX(E641,0),'P-Parametri'!$B$8*(E641+D641)))</f>
        <v>83105.01757746574</v>
      </c>
      <c r="G641" s="18">
        <f>IF($A641&gt;'1-Input'!$B$26,E641,E641-MIN(MAX(E641,0),'P-Parametri'!$B$8*(E641+D641)))</f>
        <v>63402.083831045624</v>
      </c>
      <c r="H641" s="18">
        <f>IF($A641&gt;'1-Input'!$B$26,H640,H640-C641*(1-B641))</f>
        <v>26965.768886565744</v>
      </c>
      <c r="I641" s="11">
        <f>IF($A641&gt;'1-Input'!$B$26,0,IF(N640&lt;=0,0,MAX(0,(N640-O640)/N640)))</f>
        <v>0</v>
      </c>
      <c r="J641" s="18">
        <f>IF($A641&gt;'1-Input'!$B$26,0,(MAX(0,I616-IF($A641&gt;='1-Input'!$C$12,'1-Input'!$B$12,0))-MIN(MAX(M640,0),MAX(0,I616-IF($A641&gt;='1-Input'!$C$12,'1-Input'!$B$12,0))))*(1/(1-'P-Parametri'!$B$6*I641))+MIN(MAX(0,N640-(MAX(0,I616-IF($A641&gt;='1-Input'!$C$12,'1-Input'!$B$12,0))-MIN(MAX(M640,0),MAX(0,I616-IF($A641&gt;='1-Input'!$C$12,'1-Input'!$B$12,0))))*(1/(1-'P-Parametri'!$B$6*I641))),MAX(0,5*I616-(M640-MIN(MAX(M640,0),MAX(0,I616-IF($A641&gt;='1-Input'!$C$12,'1-Input'!$B$12,0)))))*(1/(1-'P-Parametri'!$B$6*I641))))</f>
        <v>10846.756992928691</v>
      </c>
      <c r="K641" s="18">
        <f>IF($A641&gt;'1-Input'!$B$26,M640,(M640-MAX(0,I616-IF($A641&gt;='1-Input'!$C$12,'1-Input'!$B$12,0))+J641*(1-'P-Parametri'!$B$6*I641))*(1+'1-Input'!$B$27))</f>
        <v>0</v>
      </c>
      <c r="L641" s="18">
        <f>IF($A641&gt;'1-Input'!$B$26,N640,(N640-J641)*(1+$C$4))</f>
        <v>-29173.385584490261</v>
      </c>
      <c r="M641" s="18">
        <f>IF($A641&gt;'1-Input'!$B$26,K641,K641-'P-Parametri'!$B$8*(L641+K641)+MIN(MAX(L641,0),'P-Parametri'!$B$8*(L641+K641)))</f>
        <v>0</v>
      </c>
      <c r="N641" s="18">
        <f>IF($A641&gt;'1-Input'!$B$26,L641,L641-MIN(MAX(L641,0),'P-Parametri'!$B$8*(L641+K641)))</f>
        <v>-29115.03881332128</v>
      </c>
      <c r="O641" s="18">
        <f>IF($A641&gt;'1-Input'!$B$26,O640,O640-J641*(1-I641))</f>
        <v>-27848.642639774942</v>
      </c>
      <c r="P641" s="11">
        <f>IF($A641&gt;'1-Input'!$B$26,0,IF(U640&lt;=0,0,MAX(0,(U640-V640)/U640)))</f>
        <v>0.56345072189738277</v>
      </c>
      <c r="Q641" s="18">
        <f>IF($A641&gt;'1-Input'!$B$26,0,(MAX(0,P616-IF($A641&gt;='1-Input'!$C$12,'1-Input'!$B$12,0))-MIN(MAX(T640,0),MAX(0,P616-IF($A641&gt;='1-Input'!$C$12,'1-Input'!$B$12,0))))*(1/(1-'P-Parametri'!$B$6*P641))+MIN(MAX(0,U640-(MAX(0,P616-IF($A641&gt;='1-Input'!$C$12,'1-Input'!$B$12,0))-MIN(MAX(T640,0),MAX(0,P616-IF($A641&gt;='1-Input'!$C$12,'1-Input'!$B$12,0))))*(1/(1-'P-Parametri'!$B$6*P641))),MAX(0,5*P616-(T640-MIN(MAX(T640,0),MAX(0,P616-IF($A641&gt;='1-Input'!$C$12,'1-Input'!$B$12,0)))))*(1/(1-'P-Parametri'!$B$6*P641))))</f>
        <v>7094.8035647674587</v>
      </c>
      <c r="R641" s="18">
        <f>IF($A641&gt;'1-Input'!$B$26,T640,(T640-MAX(0,P616-IF($A641&gt;='1-Input'!$C$12,'1-Input'!$B$12,0))+Q641*(1-'P-Parametri'!$B$6*P641))*(1+'1-Input'!$B$27))</f>
        <v>83966.9353144864</v>
      </c>
      <c r="S641" s="18">
        <f>IF($A641&gt;'1-Input'!$B$26,U640,(U640-Q641)*(1+$C$4))</f>
        <v>55635.458193397695</v>
      </c>
      <c r="T641" s="18">
        <f>IF($A641&gt;'1-Input'!$B$26,R641,R641-'P-Parametri'!$B$8*(S641+R641)+MIN(MAX(S641,0),'P-Parametri'!$B$8*(S641+R641)))</f>
        <v>83966.9353144864</v>
      </c>
      <c r="U641" s="18">
        <f>IF($A641&gt;'1-Input'!$B$26,S641,S641-MIN(MAX(S641,0),'P-Parametri'!$B$8*(S641+R641)))</f>
        <v>55356.253406381926</v>
      </c>
      <c r="V641" s="18">
        <f>IF($A641&gt;'1-Input'!$B$26,V640,V640-Q641*(1-P641))</f>
        <v>23580.212729355437</v>
      </c>
      <c r="W641" s="11">
        <f>IF($A641&gt;'1-Input'!$B$26,0,IF(AB640&lt;=0,0,MAX(0,(AB640-AC640)/AB640)))</f>
        <v>0.56336047979570847</v>
      </c>
      <c r="X641" s="18">
        <f>IF($A641&gt;'1-Input'!$B$26,0,(MAX(0,W616-IF($A641&gt;='1-Input'!$C$12,'1-Input'!$B$12,0))-MIN(MAX(AA640,0),MAX(0,W616-IF($A641&gt;='1-Input'!$C$12,'1-Input'!$B$12,0))))*(1/(1-'P-Parametri'!$B$6*W641))+MIN(MAX(0,AB640-(MAX(0,W616-IF($A641&gt;='1-Input'!$C$12,'1-Input'!$B$12,0))-MIN(MAX(AA640,0),MAX(0,W616-IF($A641&gt;='1-Input'!$C$12,'1-Input'!$B$12,0))))*(1/(1-'P-Parametri'!$B$6*W641))),MAX(0,5*W616-(AA640-MIN(MAX(AA640,0),MAX(0,W616-IF($A641&gt;='1-Input'!$C$12,'1-Input'!$B$12,0)))))*(1/(1-'P-Parametri'!$B$6*W641))))</f>
        <v>7129.1736818602694</v>
      </c>
      <c r="Y641" s="18">
        <f>IF($A641&gt;'1-Input'!$B$26,AA640,(AA640-MAX(0,W616-IF($A641&gt;='1-Input'!$C$12,'1-Input'!$B$12,0))+X641*(1-'P-Parametri'!$B$6*W641))*(1+'1-Input'!$B$27))</f>
        <v>84111.316723481417</v>
      </c>
      <c r="Z641" s="18">
        <f>IF($A641&gt;'1-Input'!$B$26,AB640,(AB640-X641)*(1+$C$4))</f>
        <v>54285.403349311338</v>
      </c>
      <c r="AA641" s="18">
        <f>IF($A641&gt;'1-Input'!$B$26,Y641,Y641-'P-Parametri'!$B$8*(Z641+Y641)+MIN(MAX(Z641,0),'P-Parametri'!$B$8*(Z641+Y641)))</f>
        <v>84111.316723481417</v>
      </c>
      <c r="AB641" s="18">
        <f>IF($A641&gt;'1-Input'!$B$26,Z641,Z641-MIN(MAX(Z641,0),'P-Parametri'!$B$8*(Z641+Y641)))</f>
        <v>54008.609909165752</v>
      </c>
      <c r="AC641" s="18">
        <f>IF($A641&gt;'1-Input'!$B$26,AC640,AC640-X641*(1-W641))</f>
        <v>23012.769390815287</v>
      </c>
      <c r="AD641" s="11">
        <f>IF($A641&gt;'1-Input'!$B$26,0,IF(AI640&lt;=0,0,MAX(0,(AI640-AJ640)/AI640)))</f>
        <v>0.56333882173278105</v>
      </c>
      <c r="AE641" s="18">
        <f>IF($A641&gt;'1-Input'!$B$26,0,(MAX(0,AD616-IF($A641&gt;='1-Input'!$C$12,'1-Input'!$B$12,0))-MIN(MAX(AH640,0),MAX(0,AD616-IF($A641&gt;='1-Input'!$C$12,'1-Input'!$B$12,0))))*(1/(1-'P-Parametri'!$B$6*AD641))+MIN(MAX(0,AI640-(MAX(0,AD616-IF($A641&gt;='1-Input'!$C$12,'1-Input'!$B$12,0))-MIN(MAX(AH640,0),MAX(0,AD616-IF($A641&gt;='1-Input'!$C$12,'1-Input'!$B$12,0))))*(1/(1-'P-Parametri'!$B$6*AD641))),MAX(0,5*AD616-(AH640-MIN(MAX(AH640,0),MAX(0,AD616-IF($A641&gt;='1-Input'!$C$12,'1-Input'!$B$12,0)))))*(1/(1-'P-Parametri'!$B$6*AD641))))</f>
        <v>7137.292291951896</v>
      </c>
      <c r="AF641" s="18">
        <f>IF($A641&gt;'1-Input'!$B$26,AH640,(AH640-MAX(0,AD616-IF($A641&gt;='1-Input'!$C$12,'1-Input'!$B$12,0))+AE641*(1-'P-Parametri'!$B$6*AD641))*(1+'1-Input'!$B$27))</f>
        <v>84145.425501066202</v>
      </c>
      <c r="AG641" s="18">
        <f>IF($A641&gt;'1-Input'!$B$26,AI640,(AI640-AE641)*(1+$C$4))</f>
        <v>53966.471030856075</v>
      </c>
      <c r="AH641" s="18">
        <f>IF($A641&gt;'1-Input'!$B$26,AF641,AF641-'P-Parametri'!$B$8*(AG641+AF641)+MIN(MAX(AG641,0),'P-Parametri'!$B$8*(AG641+AF641)))</f>
        <v>84145.425501066202</v>
      </c>
      <c r="AI641" s="18">
        <f>IF($A641&gt;'1-Input'!$B$26,AG641,AG641-MIN(MAX(AG641,0),'P-Parametri'!$B$8*(AG641+AF641)))</f>
        <v>53690.247237792231</v>
      </c>
      <c r="AJ641" s="18">
        <f>IF($A641&gt;'1-Input'!$B$26,AJ640,AJ640-AE641*(1-AD641))</f>
        <v>22878.701774036272</v>
      </c>
      <c r="AK641" s="11">
        <f>IF($A641&gt;'1-Input'!$B$26,0,IF(AP640&lt;=0,0,MAX(0,(AP640-AQ640)/AP640)))</f>
        <v>0.56334045437635605</v>
      </c>
      <c r="AL641" s="18">
        <f>IF($A641&gt;'1-Input'!$B$26,0,(MAX(0,AK616-IF($A641&gt;='1-Input'!$C$12,'1-Input'!$B$12,0))-MIN(MAX(AO640,0),MAX(0,AK616-IF($A641&gt;='1-Input'!$C$12,'1-Input'!$B$12,0))))*(1/(1-'P-Parametri'!$B$6*AK641))+MIN(MAX(0,AP640-(MAX(0,AK616-IF($A641&gt;='1-Input'!$C$12,'1-Input'!$B$12,0))-MIN(MAX(AO640,0),MAX(0,AK616-IF($A641&gt;='1-Input'!$C$12,'1-Input'!$B$12,0))))*(1/(1-'P-Parametri'!$B$6*AK641))),MAX(0,5*AK616-(AO640-MIN(MAX(AO640,0),MAX(0,AK616-IF($A641&gt;='1-Input'!$C$12,'1-Input'!$B$12,0)))))*(1/(1-'P-Parametri'!$B$6*AK641))))</f>
        <v>7136.6820263883574</v>
      </c>
      <c r="AM641" s="18">
        <f>IF($A641&gt;'1-Input'!$B$26,AO640,(AO640-MAX(0,AK616-IF($A641&gt;='1-Input'!$C$12,'1-Input'!$B$12,0))+AL641*(1-'P-Parametri'!$B$6*AK641))*(1+'1-Input'!$B$27))</f>
        <v>84142.861530128604</v>
      </c>
      <c r="AN641" s="18">
        <f>IF($A641&gt;'1-Input'!$B$26,AP640,(AP640-AL641)*(1+$C$4))</f>
        <v>53990.445228832417</v>
      </c>
      <c r="AO641" s="18">
        <f>IF($A641&gt;'1-Input'!$B$26,AM641,AM641-'P-Parametri'!$B$8*(AN641+AM641)+MIN(MAX(AN641,0),'P-Parametri'!$B$8*(AN641+AM641)))</f>
        <v>84142.861530128604</v>
      </c>
      <c r="AP641" s="18">
        <f>IF($A641&gt;'1-Input'!$B$26,AN641,AN641-MIN(MAX(AN641,0),'P-Parametri'!$B$8*(AN641+AM641)))</f>
        <v>53714.178615314493</v>
      </c>
      <c r="AQ641" s="18">
        <f>IF($A641&gt;'1-Input'!$B$26,AQ640,AQ640-AL641*(1-AK641))</f>
        <v>22888.779885087573</v>
      </c>
    </row>
    <row r="642" spans="1:43">
      <c r="A642" s="10">
        <f>24</f>
        <v>24</v>
      </c>
      <c r="B642" s="11">
        <f>IF($A642&gt;'1-Input'!$B$26,0,IF(G641&lt;=0,0,MAX(0,(G641-H641)/G641)))</f>
        <v>0.57468639424495349</v>
      </c>
      <c r="C642" s="18">
        <f>IF($A642&gt;'1-Input'!$B$26,0,(MAX(0,B616-IF($A642&gt;='1-Input'!$C$12,'1-Input'!$B$12,0))-MIN(MAX(F641,0),MAX(0,B616-IF($A642&gt;='1-Input'!$C$12,'1-Input'!$B$12,0))))*(1/(1-'P-Parametri'!$B$6*B642))+MIN(MAX(0,G641-(MAX(0,B616-IF($A642&gt;='1-Input'!$C$12,'1-Input'!$B$12,0))-MIN(MAX(F641,0),MAX(0,B616-IF($A642&gt;='1-Input'!$C$12,'1-Input'!$B$12,0))))*(1/(1-'P-Parametri'!$B$6*B642))),MAX(0,5*B616-(F641-MIN(MAX(F641,0),MAX(0,B616-IF($A642&gt;='1-Input'!$C$12,'1-Input'!$B$12,0)))))*(1/(1-'P-Parametri'!$B$6*B642))))</f>
        <v>6912.1113627681661</v>
      </c>
      <c r="D642" s="18">
        <f>IF($A642&gt;'1-Input'!$B$26,F641,(F641-MAX(0,B616-IF($A642&gt;='1-Input'!$C$12,'1-Input'!$B$12,0))+C642*(1-'P-Parametri'!$B$6*B642))*(1+'1-Input'!$B$27))</f>
        <v>83105.01757746574</v>
      </c>
      <c r="E642" s="18">
        <f>IF($A642&gt;'1-Input'!$B$26,G641,(G641-C642)*(1+$C$4))</f>
        <v>58184.671642325782</v>
      </c>
      <c r="F642" s="18">
        <f>IF($A642&gt;'1-Input'!$B$26,D642,D642-'P-Parametri'!$B$8*(E642+D642)+MIN(MAX(E642,0),'P-Parametri'!$B$8*(E642+D642)))</f>
        <v>83105.01757746574</v>
      </c>
      <c r="G642" s="18">
        <f>IF($A642&gt;'1-Input'!$B$26,E642,E642-MIN(MAX(E642,0),'P-Parametri'!$B$8*(E642+D642)))</f>
        <v>57902.092263886196</v>
      </c>
      <c r="H642" s="18">
        <f>IF($A642&gt;'1-Input'!$B$26,H641,H641-C642*(1-B642))</f>
        <v>24025.953879486387</v>
      </c>
      <c r="I642" s="11">
        <f>IF($A642&gt;'1-Input'!$B$26,0,IF(N641&lt;=0,0,MAX(0,(N641-O641)/N641)))</f>
        <v>0</v>
      </c>
      <c r="J642" s="18">
        <f>IF($A642&gt;'1-Input'!$B$26,0,(MAX(0,I616-IF($A642&gt;='1-Input'!$C$12,'1-Input'!$B$12,0))-MIN(MAX(M641,0),MAX(0,I616-IF($A642&gt;='1-Input'!$C$12,'1-Input'!$B$12,0))))*(1/(1-'P-Parametri'!$B$6*I642))+MIN(MAX(0,N641-(MAX(0,I616-IF($A642&gt;='1-Input'!$C$12,'1-Input'!$B$12,0))-MIN(MAX(M641,0),MAX(0,I616-IF($A642&gt;='1-Input'!$C$12,'1-Input'!$B$12,0))))*(1/(1-'P-Parametri'!$B$6*I642))),MAX(0,5*I616-(M641-MIN(MAX(M641,0),MAX(0,I616-IF($A642&gt;='1-Input'!$C$12,'1-Input'!$B$12,0)))))*(1/(1-'P-Parametri'!$B$6*I642))))</f>
        <v>10846.756992928691</v>
      </c>
      <c r="K642" s="18">
        <f>IF($A642&gt;'1-Input'!$B$26,M641,(M641-MAX(0,I616-IF($A642&gt;='1-Input'!$C$12,'1-Input'!$B$12,0))+J642*(1-'P-Parametri'!$B$6*I642))*(1+'1-Input'!$B$27))</f>
        <v>0</v>
      </c>
      <c r="L642" s="18">
        <f>IF($A642&gt;'1-Input'!$B$26,N641,(N641-J642)*(1+$C$4))</f>
        <v>-41160.649680437469</v>
      </c>
      <c r="M642" s="18">
        <f>IF($A642&gt;'1-Input'!$B$26,K642,K642-'P-Parametri'!$B$8*(L642+K642)+MIN(MAX(L642,0),'P-Parametri'!$B$8*(L642+K642)))</f>
        <v>0</v>
      </c>
      <c r="N642" s="18">
        <f>IF($A642&gt;'1-Input'!$B$26,L642,L642-MIN(MAX(L642,0),'P-Parametri'!$B$8*(L642+K642)))</f>
        <v>-41078.328381076593</v>
      </c>
      <c r="O642" s="18">
        <f>IF($A642&gt;'1-Input'!$B$26,O641,O641-J642*(1-I642))</f>
        <v>-38695.399632703629</v>
      </c>
      <c r="P642" s="11">
        <f>IF($A642&gt;'1-Input'!$B$26,0,IF(U641&lt;=0,0,MAX(0,(U641-V641)/U641)))</f>
        <v>0.57402802252081397</v>
      </c>
      <c r="Q642" s="18">
        <f>IF($A642&gt;'1-Input'!$B$26,0,(MAX(0,P616-IF($A642&gt;='1-Input'!$C$12,'1-Input'!$B$12,0))-MIN(MAX(T641,0),MAX(0,P616-IF($A642&gt;='1-Input'!$C$12,'1-Input'!$B$12,0))))*(1/(1-'P-Parametri'!$B$6*P642))+MIN(MAX(0,U641-(MAX(0,P616-IF($A642&gt;='1-Input'!$C$12,'1-Input'!$B$12,0))-MIN(MAX(T641,0),MAX(0,P616-IF($A642&gt;='1-Input'!$C$12,'1-Input'!$B$12,0))))*(1/(1-'P-Parametri'!$B$6*P642))),MAX(0,5*P616-(T641-MIN(MAX(T641,0),MAX(0,P616-IF($A642&gt;='1-Input'!$C$12,'1-Input'!$B$12,0)))))*(1/(1-'P-Parametri'!$B$6*P642))))</f>
        <v>7117.73785098186</v>
      </c>
      <c r="R642" s="18">
        <f>IF($A642&gt;'1-Input'!$B$26,T641,(T641-MAX(0,P616-IF($A642&gt;='1-Input'!$C$12,'1-Input'!$B$12,0))+Q642*(1-'P-Parametri'!$B$6*P642))*(1+'1-Input'!$B$27))</f>
        <v>83966.9353144864</v>
      </c>
      <c r="S642" s="18">
        <f>IF($A642&gt;'1-Input'!$B$26,U641,(U641-Q642)*(1+$C$4))</f>
        <v>49685.671022062073</v>
      </c>
      <c r="T642" s="18">
        <f>IF($A642&gt;'1-Input'!$B$26,R642,R642-'P-Parametri'!$B$8*(S642+R642)+MIN(MAX(S642,0),'P-Parametri'!$B$8*(S642+R642)))</f>
        <v>83966.9353144864</v>
      </c>
      <c r="U642" s="18">
        <f>IF($A642&gt;'1-Input'!$B$26,S642,S642-MIN(MAX(S642,0),'P-Parametri'!$B$8*(S642+R642)))</f>
        <v>49418.365809388975</v>
      </c>
      <c r="V642" s="18">
        <f>IF($A642&gt;'1-Input'!$B$26,V641,V641-Q642*(1-P642))</f>
        <v>20548.255861794241</v>
      </c>
      <c r="W642" s="11">
        <f>IF($A642&gt;'1-Input'!$B$26,0,IF(AB641&lt;=0,0,MAX(0,(AB641-AC641)/AB641)))</f>
        <v>0.57390554155125906</v>
      </c>
      <c r="X642" s="18">
        <f>IF($A642&gt;'1-Input'!$B$26,0,(MAX(0,W616-IF($A642&gt;='1-Input'!$C$12,'1-Input'!$B$12,0))-MIN(MAX(AA641,0),MAX(0,W616-IF($A642&gt;='1-Input'!$C$12,'1-Input'!$B$12,0))))*(1/(1-'P-Parametri'!$B$6*W642))+MIN(MAX(0,AB641-(MAX(0,W616-IF($A642&gt;='1-Input'!$C$12,'1-Input'!$B$12,0))-MIN(MAX(AA641,0),MAX(0,W616-IF($A642&gt;='1-Input'!$C$12,'1-Input'!$B$12,0))))*(1/(1-'P-Parametri'!$B$6*W642))),MAX(0,5*W616-(AA641-MIN(MAX(AA641,0),MAX(0,W616-IF($A642&gt;='1-Input'!$C$12,'1-Input'!$B$12,0)))))*(1/(1-'P-Parametri'!$B$6*W642))))</f>
        <v>7152.1479704054027</v>
      </c>
      <c r="Y642" s="18">
        <f>IF($A642&gt;'1-Input'!$B$26,AA641,(AA641-MAX(0,W616-IF($A642&gt;='1-Input'!$C$12,'1-Input'!$B$12,0))+X642*(1-'P-Parametri'!$B$6*W642))*(1+'1-Input'!$B$27))</f>
        <v>84111.316723481417</v>
      </c>
      <c r="Z642" s="18">
        <f>IF($A642&gt;'1-Input'!$B$26,AB641,(AB641-X642)*(1+$C$4))</f>
        <v>48262.155796923165</v>
      </c>
      <c r="AA642" s="18">
        <f>IF($A642&gt;'1-Input'!$B$26,Y642,Y642-'P-Parametri'!$B$8*(Z642+Y642)+MIN(MAX(Z642,0),'P-Parametri'!$B$8*(Z642+Y642)))</f>
        <v>84111.316723481417</v>
      </c>
      <c r="AB642" s="18">
        <f>IF($A642&gt;'1-Input'!$B$26,Z642,Z642-MIN(MAX(Z642,0),'P-Parametri'!$B$8*(Z642+Y642)))</f>
        <v>47997.408851882356</v>
      </c>
      <c r="AC642" s="18">
        <f>IF($A642&gt;'1-Input'!$B$26,AC641,AC641-X642*(1-W642))</f>
        <v>19965.278774620136</v>
      </c>
      <c r="AD642" s="11">
        <f>IF($A642&gt;'1-Input'!$B$26,0,IF(AI641&lt;=0,0,MAX(0,(AI641-AJ641)/AI641)))</f>
        <v>0.57387602123142967</v>
      </c>
      <c r="AE642" s="18">
        <f>IF($A642&gt;'1-Input'!$B$26,0,(MAX(0,AD616-IF($A642&gt;='1-Input'!$C$12,'1-Input'!$B$12,0))-MIN(MAX(AH641,0),MAX(0,AD616-IF($A642&gt;='1-Input'!$C$12,'1-Input'!$B$12,0))))*(1/(1-'P-Parametri'!$B$6*AD642))+MIN(MAX(0,AI641-(MAX(0,AD616-IF($A642&gt;='1-Input'!$C$12,'1-Input'!$B$12,0))-MIN(MAX(AH641,0),MAX(0,AD616-IF($A642&gt;='1-Input'!$C$12,'1-Input'!$B$12,0))))*(1/(1-'P-Parametri'!$B$6*AD642))),MAX(0,5*AD616-(AH641-MIN(MAX(AH641,0),MAX(0,AD616-IF($A642&gt;='1-Input'!$C$12,'1-Input'!$B$12,0)))))*(1/(1-'P-Parametri'!$B$6*AD642))))</f>
        <v>7160.2753871486648</v>
      </c>
      <c r="AF642" s="18">
        <f>IF($A642&gt;'1-Input'!$B$26,AH641,(AH641-MAX(0,AD616-IF($A642&gt;='1-Input'!$C$12,'1-Input'!$B$12,0))+AE642*(1-'P-Parametri'!$B$6*AD642))*(1+'1-Input'!$B$27))</f>
        <v>84145.425501066202</v>
      </c>
      <c r="AG642" s="18">
        <f>IF($A642&gt;'1-Input'!$B$26,AI641,(AI641-AE642)*(1+$C$4))</f>
        <v>47925.871006162874</v>
      </c>
      <c r="AH642" s="18">
        <f>IF($A642&gt;'1-Input'!$B$26,AF642,AF642-'P-Parametri'!$B$8*(AG642+AF642)+MIN(MAX(AG642,0),'P-Parametri'!$B$8*(AG642+AF642)))</f>
        <v>84145.425501066202</v>
      </c>
      <c r="AI642" s="18">
        <f>IF($A642&gt;'1-Input'!$B$26,AG642,AG642-MIN(MAX(AG642,0),'P-Parametri'!$B$8*(AG642+AF642)))</f>
        <v>47661.728413148412</v>
      </c>
      <c r="AJ642" s="18">
        <f>IF($A642&gt;'1-Input'!$B$26,AJ641,AJ641-AE642*(1-AD642))</f>
        <v>19827.536736985818</v>
      </c>
      <c r="AK642" s="11">
        <f>IF($A642&gt;'1-Input'!$B$26,0,IF(AP641&lt;=0,0,MAX(0,(AP641-AQ641)/AP641)))</f>
        <v>0.57387824825526168</v>
      </c>
      <c r="AL642" s="18">
        <f>IF($A642&gt;'1-Input'!$B$26,0,(MAX(0,AK616-IF($A642&gt;='1-Input'!$C$12,'1-Input'!$B$12,0))-MIN(MAX(AO641,0),MAX(0,AK616-IF($A642&gt;='1-Input'!$C$12,'1-Input'!$B$12,0))))*(1/(1-'P-Parametri'!$B$6*AK642))+MIN(MAX(0,AP641-(MAX(0,AK616-IF($A642&gt;='1-Input'!$C$12,'1-Input'!$B$12,0))-MIN(MAX(AO641,0),MAX(0,AK616-IF($A642&gt;='1-Input'!$C$12,'1-Input'!$B$12,0))))*(1/(1-'P-Parametri'!$B$6*AK642))),MAX(0,5*AK616-(AO641-MIN(MAX(AO641,0),MAX(0,AK616-IF($A642&gt;='1-Input'!$C$12,'1-Input'!$B$12,0)))))*(1/(1-'P-Parametri'!$B$6*AK642))))</f>
        <v>7159.6644683995582</v>
      </c>
      <c r="AM642" s="18">
        <f>IF($A642&gt;'1-Input'!$B$26,AO641,(AO641-MAX(0,AK616-IF($A642&gt;='1-Input'!$C$12,'1-Input'!$B$12,0))+AL642*(1-'P-Parametri'!$B$6*AK642))*(1+'1-Input'!$B$27))</f>
        <v>84142.861530128604</v>
      </c>
      <c r="AN642" s="18">
        <f>IF($A642&gt;'1-Input'!$B$26,AP641,(AP641-AL642)*(1+$C$4))</f>
        <v>47951.149571322385</v>
      </c>
      <c r="AO642" s="18">
        <f>IF($A642&gt;'1-Input'!$B$26,AM642,AM642-'P-Parametri'!$B$8*(AN642+AM642)+MIN(MAX(AN642,0),'P-Parametri'!$B$8*(AN642+AM642)))</f>
        <v>84142.861530128604</v>
      </c>
      <c r="AP642" s="18">
        <f>IF($A642&gt;'1-Input'!$B$26,AN642,AN642-MIN(MAX(AN642,0),'P-Parametri'!$B$8*(AN642+AM642)))</f>
        <v>47686.961549119485</v>
      </c>
      <c r="AQ642" s="18">
        <f>IF($A642&gt;'1-Input'!$B$26,AQ641,AQ641-AL642*(1-AK642))</f>
        <v>19837.891119908592</v>
      </c>
    </row>
    <row r="643" spans="1:43">
      <c r="A643" s="10">
        <f>25</f>
        <v>25</v>
      </c>
      <c r="B643" s="11">
        <f>IF($A643&gt;'1-Input'!$B$26,0,IF(G642&lt;=0,0,MAX(0,(G642-H642)/G642)))</f>
        <v>0.58505896868131846</v>
      </c>
      <c r="C643" s="18">
        <f>IF($A643&gt;'1-Input'!$B$26,0,(MAX(0,B616-IF($A643&gt;='1-Input'!$C$12,'1-Input'!$B$12,0))-MIN(MAX(F642,0),MAX(0,B616-IF($A643&gt;='1-Input'!$C$12,'1-Input'!$B$12,0))))*(1/(1-'P-Parametri'!$B$6*B643))+MIN(MAX(0,G642-(MAX(0,B616-IF($A643&gt;='1-Input'!$C$12,'1-Input'!$B$12,0))-MIN(MAX(F642,0),MAX(0,B616-IF($A643&gt;='1-Input'!$C$12,'1-Input'!$B$12,0))))*(1/(1-'P-Parametri'!$B$6*B643))),MAX(0,5*B616-(F642-MIN(MAX(F642,0),MAX(0,B616-IF($A643&gt;='1-Input'!$C$12,'1-Input'!$B$12,0)))))*(1/(1-'P-Parametri'!$B$6*B643))))</f>
        <v>6934.0967364897433</v>
      </c>
      <c r="D643" s="18">
        <f>IF($A643&gt;'1-Input'!$B$26,F642,(F642-MAX(0,B616-IF($A643&gt;='1-Input'!$C$12,'1-Input'!$B$12,0))+C643*(1-'P-Parametri'!$B$6*B643))*(1+'1-Input'!$B$27))</f>
        <v>83105.01757746574</v>
      </c>
      <c r="E643" s="18">
        <f>IF($A643&gt;'1-Input'!$B$26,G642,(G642-C643)*(1+$C$4))</f>
        <v>52497.03539321835</v>
      </c>
      <c r="F643" s="18">
        <f>IF($A643&gt;'1-Input'!$B$26,D643,D643-'P-Parametri'!$B$8*(E643+D643)+MIN(MAX(E643,0),'P-Parametri'!$B$8*(E643+D643)))</f>
        <v>83105.01757746574</v>
      </c>
      <c r="G643" s="18">
        <f>IF($A643&gt;'1-Input'!$B$26,E643,E643-MIN(MAX(E643,0),'P-Parametri'!$B$8*(E643+D643)))</f>
        <v>52225.831287276982</v>
      </c>
      <c r="H643" s="18">
        <f>IF($A643&gt;'1-Input'!$B$26,H642,H642-C643*(1-B643))</f>
        <v>21148.71262838383</v>
      </c>
      <c r="I643" s="11">
        <f>IF($A643&gt;'1-Input'!$B$26,0,IF(N642&lt;=0,0,MAX(0,(N642-O642)/N642)))</f>
        <v>0</v>
      </c>
      <c r="J643" s="18">
        <f>IF($A643&gt;'1-Input'!$B$26,0,(MAX(0,I616-IF($A643&gt;='1-Input'!$C$12,'1-Input'!$B$12,0))-MIN(MAX(M642,0),MAX(0,I616-IF($A643&gt;='1-Input'!$C$12,'1-Input'!$B$12,0))))*(1/(1-'P-Parametri'!$B$6*I643))+MIN(MAX(0,N642-(MAX(0,I616-IF($A643&gt;='1-Input'!$C$12,'1-Input'!$B$12,0))-MIN(MAX(M642,0),MAX(0,I616-IF($A643&gt;='1-Input'!$C$12,'1-Input'!$B$12,0))))*(1/(1-'P-Parametri'!$B$6*I643))),MAX(0,5*I616-(M642-MIN(MAX(M642,0),MAX(0,I616-IF($A643&gt;='1-Input'!$C$12,'1-Input'!$B$12,0)))))*(1/(1-'P-Parametri'!$B$6*I643))))</f>
        <v>10846.756992928691</v>
      </c>
      <c r="K643" s="18">
        <f>IF($A643&gt;'1-Input'!$B$26,M642,(M642-MAX(0,I616-IF($A643&gt;='1-Input'!$C$12,'1-Input'!$B$12,0))+J643*(1-'P-Parametri'!$B$6*I643))*(1+'1-Input'!$B$27))</f>
        <v>0</v>
      </c>
      <c r="L643" s="18">
        <f>IF($A643&gt;'1-Input'!$B$26,N642,(N642-J643)*(1+$C$4))</f>
        <v>-53482.837935225441</v>
      </c>
      <c r="M643" s="18">
        <f>IF($A643&gt;'1-Input'!$B$26,K643,K643-'P-Parametri'!$B$8*(L643+K643)+MIN(MAX(L643,0),'P-Parametri'!$B$8*(L643+K643)))</f>
        <v>0</v>
      </c>
      <c r="N643" s="18">
        <f>IF($A643&gt;'1-Input'!$B$26,L643,L643-MIN(MAX(L643,0),'P-Parametri'!$B$8*(L643+K643)))</f>
        <v>-53375.87225935499</v>
      </c>
      <c r="O643" s="18">
        <f>IF($A643&gt;'1-Input'!$B$26,O642,O642-J643*(1-I643))</f>
        <v>-49542.15662563232</v>
      </c>
      <c r="P643" s="11">
        <f>IF($A643&gt;'1-Input'!$B$26,0,IF(U642&lt;=0,0,MAX(0,(U642-V642)/U642)))</f>
        <v>0.58419798944686496</v>
      </c>
      <c r="Q643" s="18">
        <f>IF($A643&gt;'1-Input'!$B$26,0,(MAX(0,P616-IF($A643&gt;='1-Input'!$C$12,'1-Input'!$B$12,0))-MIN(MAX(T642,0),MAX(0,P616-IF($A643&gt;='1-Input'!$C$12,'1-Input'!$B$12,0))))*(1/(1-'P-Parametri'!$B$6*P643))+MIN(MAX(0,U642-(MAX(0,P616-IF($A643&gt;='1-Input'!$C$12,'1-Input'!$B$12,0))-MIN(MAX(T642,0),MAX(0,P616-IF($A643&gt;='1-Input'!$C$12,'1-Input'!$B$12,0))))*(1/(1-'P-Parametri'!$B$6*P643))),MAX(0,5*P616-(T642-MIN(MAX(T642,0),MAX(0,P616-IF($A643&gt;='1-Input'!$C$12,'1-Input'!$B$12,0)))))*(1/(1-'P-Parametri'!$B$6*P643))))</f>
        <v>7139.9291870123434</v>
      </c>
      <c r="R643" s="18">
        <f>IF($A643&gt;'1-Input'!$B$26,T642,(T642-MAX(0,P616-IF($A643&gt;='1-Input'!$C$12,'1-Input'!$B$12,0))+Q643*(1-'P-Parametri'!$B$6*P643))*(1+'1-Input'!$B$27))</f>
        <v>83966.9353144864</v>
      </c>
      <c r="S643" s="18">
        <f>IF($A643&gt;'1-Input'!$B$26,U642,(U642-Q643)*(1+$C$4))</f>
        <v>43546.789721047935</v>
      </c>
      <c r="T643" s="18">
        <f>IF($A643&gt;'1-Input'!$B$26,R643,R643-'P-Parametri'!$B$8*(S643+R643)+MIN(MAX(S643,0),'P-Parametri'!$B$8*(S643+R643)))</f>
        <v>83966.9353144864</v>
      </c>
      <c r="U643" s="18">
        <f>IF($A643&gt;'1-Input'!$B$26,S643,S643-MIN(MAX(S643,0),'P-Parametri'!$B$8*(S643+R643)))</f>
        <v>43291.762270976869</v>
      </c>
      <c r="V643" s="18">
        <f>IF($A643&gt;'1-Input'!$B$26,V642,V642-Q643*(1-P643))</f>
        <v>17579.458950627497</v>
      </c>
      <c r="W643" s="11">
        <f>IF($A643&gt;'1-Input'!$B$26,0,IF(AB642&lt;=0,0,MAX(0,(AB642-AC642)/AB642)))</f>
        <v>0.58403423742660765</v>
      </c>
      <c r="X643" s="18">
        <f>IF($A643&gt;'1-Input'!$B$26,0,(MAX(0,W616-IF($A643&gt;='1-Input'!$C$12,'1-Input'!$B$12,0))-MIN(MAX(AA642,0),MAX(0,W616-IF($A643&gt;='1-Input'!$C$12,'1-Input'!$B$12,0))))*(1/(1-'P-Parametri'!$B$6*W643))+MIN(MAX(0,AB642-(MAX(0,W616-IF($A643&gt;='1-Input'!$C$12,'1-Input'!$B$12,0))-MIN(MAX(AA642,0),MAX(0,W616-IF($A643&gt;='1-Input'!$C$12,'1-Input'!$B$12,0))))*(1/(1-'P-Parametri'!$B$6*W643))),MAX(0,5*W616-(AA642-MIN(MAX(AA642,0),MAX(0,W616-IF($A643&gt;='1-Input'!$C$12,'1-Input'!$B$12,0)))))*(1/(1-'P-Parametri'!$B$6*W643))))</f>
        <v>7174.354983126188</v>
      </c>
      <c r="Y643" s="18">
        <f>IF($A643&gt;'1-Input'!$B$26,AA642,(AA642-MAX(0,W616-IF($A643&gt;='1-Input'!$C$12,'1-Input'!$B$12,0))+X643*(1-'P-Parametri'!$B$6*W643))*(1+'1-Input'!$B$27))</f>
        <v>84111.316723481417</v>
      </c>
      <c r="Z643" s="18">
        <f>IF($A643&gt;'1-Input'!$B$26,AB642,(AB642-X643)*(1+$C$4))</f>
        <v>42047.74548481885</v>
      </c>
      <c r="AA643" s="18">
        <f>IF($A643&gt;'1-Input'!$B$26,Y643,Y643-'P-Parametri'!$B$8*(Z643+Y643)+MIN(MAX(Z643,0),'P-Parametri'!$B$8*(Z643+Y643)))</f>
        <v>84111.316723481417</v>
      </c>
      <c r="AB643" s="18">
        <f>IF($A643&gt;'1-Input'!$B$26,Z643,Z643-MIN(MAX(Z643,0),'P-Parametri'!$B$8*(Z643+Y643)))</f>
        <v>41795.427360402253</v>
      </c>
      <c r="AC643" s="18">
        <f>IF($A643&gt;'1-Input'!$B$26,AC642,AC642-X643*(1-W643))</f>
        <v>16980.992733091833</v>
      </c>
      <c r="AD643" s="11">
        <f>IF($A643&gt;'1-Input'!$B$26,0,IF(AI642&lt;=0,0,MAX(0,(AI642-AJ642)/AI642)))</f>
        <v>0.58399459278702937</v>
      </c>
      <c r="AE643" s="18">
        <f>IF($A643&gt;'1-Input'!$B$26,0,(MAX(0,AD616-IF($A643&gt;='1-Input'!$C$12,'1-Input'!$B$12,0))-MIN(MAX(AH642,0),MAX(0,AD616-IF($A643&gt;='1-Input'!$C$12,'1-Input'!$B$12,0))))*(1/(1-'P-Parametri'!$B$6*AD643))+MIN(MAX(0,AI642-(MAX(0,AD616-IF($A643&gt;='1-Input'!$C$12,'1-Input'!$B$12,0))-MIN(MAX(AH642,0),MAX(0,AD616-IF($A643&gt;='1-Input'!$C$12,'1-Input'!$B$12,0))))*(1/(1-'P-Parametri'!$B$6*AD643))),MAX(0,5*AD616-(AH642-MIN(MAX(AH642,0),MAX(0,AD616-IF($A643&gt;='1-Input'!$C$12,'1-Input'!$B$12,0)))))*(1/(1-'P-Parametri'!$B$6*AD643))))</f>
        <v>7182.4851424780181</v>
      </c>
      <c r="AF643" s="18">
        <f>IF($A643&gt;'1-Input'!$B$26,AH642,(AH642-MAX(0,AD616-IF($A643&gt;='1-Input'!$C$12,'1-Input'!$B$12,0))+AE643*(1-'P-Parametri'!$B$6*AD643))*(1+'1-Input'!$B$27))</f>
        <v>84145.425501066202</v>
      </c>
      <c r="AG643" s="18">
        <f>IF($A643&gt;'1-Input'!$B$26,AI642,(AI642-AE643)*(1+$C$4))</f>
        <v>41693.620568790502</v>
      </c>
      <c r="AH643" s="18">
        <f>IF($A643&gt;'1-Input'!$B$26,AF643,AF643-'P-Parametri'!$B$8*(AG643+AF643)+MIN(MAX(AG643,0),'P-Parametri'!$B$8*(AG643+AF643)))</f>
        <v>84145.425501066202</v>
      </c>
      <c r="AI643" s="18">
        <f>IF($A643&gt;'1-Input'!$B$26,AG643,AG643-MIN(MAX(AG643,0),'P-Parametri'!$B$8*(AG643+AF643)))</f>
        <v>41441.942476650787</v>
      </c>
      <c r="AJ643" s="18">
        <f>IF($A643&gt;'1-Input'!$B$26,AJ642,AJ642-AE643*(1-AD643))</f>
        <v>16839.584080488137</v>
      </c>
      <c r="AK643" s="11">
        <f>IF($A643&gt;'1-Input'!$B$26,0,IF(AP642&lt;=0,0,MAX(0,(AP642-AQ642)/AP642)))</f>
        <v>0.58399758601783069</v>
      </c>
      <c r="AL643" s="18">
        <f>IF($A643&gt;'1-Input'!$B$26,0,(MAX(0,AK616-IF($A643&gt;='1-Input'!$C$12,'1-Input'!$B$12,0))-MIN(MAX(AO642,0),MAX(0,AK616-IF($A643&gt;='1-Input'!$C$12,'1-Input'!$B$12,0))))*(1/(1-'P-Parametri'!$B$6*AK643))+MIN(MAX(0,AP642-(MAX(0,AK616-IF($A643&gt;='1-Input'!$C$12,'1-Input'!$B$12,0))-MIN(MAX(AO642,0),MAX(0,AK616-IF($A643&gt;='1-Input'!$C$12,'1-Input'!$B$12,0))))*(1/(1-'P-Parametri'!$B$6*AK643))),MAX(0,5*AK616-(AO642-MIN(MAX(AO642,0),MAX(0,AK616-IF($A643&gt;='1-Input'!$C$12,'1-Input'!$B$12,0)))))*(1/(1-'P-Parametri'!$B$6*AK643))))</f>
        <v>7181.8740308008937</v>
      </c>
      <c r="AM643" s="18">
        <f>IF($A643&gt;'1-Input'!$B$26,AO642,(AO642-MAX(0,AK616-IF($A643&gt;='1-Input'!$C$12,'1-Input'!$B$12,0))+AL643*(1-'P-Parametri'!$B$6*AK643))*(1+'1-Input'!$B$27))</f>
        <v>84142.861530128604</v>
      </c>
      <c r="AN643" s="18">
        <f>IF($A643&gt;'1-Input'!$B$26,AP642,(AP642-AL643)*(1+$C$4))</f>
        <v>41720.240143868148</v>
      </c>
      <c r="AO643" s="18">
        <f>IF($A643&gt;'1-Input'!$B$26,AM643,AM643-'P-Parametri'!$B$8*(AN643+AM643)+MIN(MAX(AN643,0),'P-Parametri'!$B$8*(AN643+AM643)))</f>
        <v>84142.861530128604</v>
      </c>
      <c r="AP643" s="18">
        <f>IF($A643&gt;'1-Input'!$B$26,AN643,AN643-MIN(MAX(AN643,0),'P-Parametri'!$B$8*(AN643+AM643)))</f>
        <v>41468.513940520155</v>
      </c>
      <c r="AQ643" s="18">
        <f>IF($A643&gt;'1-Input'!$B$26,AQ642,AQ642-AL643*(1-AK643))</f>
        <v>16850.214186179568</v>
      </c>
    </row>
    <row r="644" spans="1:43">
      <c r="A644" s="10">
        <f>26</f>
        <v>26</v>
      </c>
      <c r="B644" s="11">
        <f>IF($A644&gt;'1-Input'!$B$26,0,IF(G643&lt;=0,0,MAX(0,(G643-H643)/G643)))</f>
        <v>0.5950526376104619</v>
      </c>
      <c r="C644" s="18">
        <f>IF($A644&gt;'1-Input'!$B$26,0,(MAX(0,B616-IF($A644&gt;='1-Input'!$C$12,'1-Input'!$B$12,0))-MIN(MAX(F643,0),MAX(0,B616-IF($A644&gt;='1-Input'!$C$12,'1-Input'!$B$12,0))))*(1/(1-'P-Parametri'!$B$6*B644))+MIN(MAX(0,G643-(MAX(0,B616-IF($A644&gt;='1-Input'!$C$12,'1-Input'!$B$12,0))-MIN(MAX(F643,0),MAX(0,B616-IF($A644&gt;='1-Input'!$C$12,'1-Input'!$B$12,0))))*(1/(1-'P-Parametri'!$B$6*B644))),MAX(0,5*B616-(F643-MIN(MAX(F643,0),MAX(0,B616-IF($A644&gt;='1-Input'!$C$12,'1-Input'!$B$12,0)))))*(1/(1-'P-Parametri'!$B$6*B644))))</f>
        <v>6955.4116887665386</v>
      </c>
      <c r="D644" s="18">
        <f>IF($A644&gt;'1-Input'!$B$26,F643,(F643-MAX(0,B616-IF($A644&gt;='1-Input'!$C$12,'1-Input'!$B$12,0))+C644*(1-'P-Parametri'!$B$6*B644))*(1+'1-Input'!$B$27))</f>
        <v>83105.01757746574</v>
      </c>
      <c r="E644" s="18">
        <f>IF($A644&gt;'1-Input'!$B$26,G643,(G643-C644)*(1+$C$4))</f>
        <v>46628.53218646576</v>
      </c>
      <c r="F644" s="18">
        <f>IF($A644&gt;'1-Input'!$B$26,D644,D644-'P-Parametri'!$B$8*(E644+D644)+MIN(MAX(E644,0),'P-Parametri'!$B$8*(E644+D644)))</f>
        <v>83105.01757746574</v>
      </c>
      <c r="G644" s="18">
        <f>IF($A644&gt;'1-Input'!$B$26,E644,E644-MIN(MAX(E644,0),'P-Parametri'!$B$8*(E644+D644)))</f>
        <v>46369.065086937895</v>
      </c>
      <c r="H644" s="18">
        <f>IF($A644&gt;'1-Input'!$B$26,H643,H643-C644*(1-B644))</f>
        <v>18332.137010684455</v>
      </c>
      <c r="I644" s="11">
        <f>IF($A644&gt;'1-Input'!$B$26,0,IF(N643&lt;=0,0,MAX(0,(N643-O643)/N643)))</f>
        <v>0</v>
      </c>
      <c r="J644" s="18">
        <f>IF($A644&gt;'1-Input'!$B$26,0,(MAX(0,I616-IF($A644&gt;='1-Input'!$C$12,'1-Input'!$B$12,0))-MIN(MAX(M643,0),MAX(0,I616-IF($A644&gt;='1-Input'!$C$12,'1-Input'!$B$12,0))))*(1/(1-'P-Parametri'!$B$6*I644))+MIN(MAX(0,N643-(MAX(0,I616-IF($A644&gt;='1-Input'!$C$12,'1-Input'!$B$12,0))-MIN(MAX(M643,0),MAX(0,I616-IF($A644&gt;='1-Input'!$C$12,'1-Input'!$B$12,0))))*(1/(1-'P-Parametri'!$B$6*I644))),MAX(0,5*I616-(M643-MIN(MAX(M643,0),MAX(0,I616-IF($A644&gt;='1-Input'!$C$12,'1-Input'!$B$12,0)))))*(1/(1-'P-Parametri'!$B$6*I644))))</f>
        <v>10846.756992928691</v>
      </c>
      <c r="K644" s="18">
        <f>IF($A644&gt;'1-Input'!$B$26,M643,(M643-MAX(0,I616-IF($A644&gt;='1-Input'!$C$12,'1-Input'!$B$12,0))+J644*(1-'P-Parametri'!$B$6*I644))*(1+'1-Input'!$B$27))</f>
        <v>0</v>
      </c>
      <c r="L644" s="18">
        <f>IF($A644&gt;'1-Input'!$B$26,N643,(N643-J644)*(1+$C$4))</f>
        <v>-66149.308129852187</v>
      </c>
      <c r="M644" s="18">
        <f>IF($A644&gt;'1-Input'!$B$26,K644,K644-'P-Parametri'!$B$8*(L644+K644)+MIN(MAX(L644,0),'P-Parametri'!$B$8*(L644+K644)))</f>
        <v>0</v>
      </c>
      <c r="N644" s="18">
        <f>IF($A644&gt;'1-Input'!$B$26,L644,L644-MIN(MAX(L644,0),'P-Parametri'!$B$8*(L644+K644)))</f>
        <v>-66017.009513592478</v>
      </c>
      <c r="O644" s="18">
        <f>IF($A644&gt;'1-Input'!$B$26,O643,O643-J644*(1-I644))</f>
        <v>-60388.913618561011</v>
      </c>
      <c r="P644" s="11">
        <f>IF($A644&gt;'1-Input'!$B$26,0,IF(U643&lt;=0,0,MAX(0,(U643-V643)/U643)))</f>
        <v>0.59393062262995699</v>
      </c>
      <c r="Q644" s="18">
        <f>IF($A644&gt;'1-Input'!$B$26,0,(MAX(0,P616-IF($A644&gt;='1-Input'!$C$12,'1-Input'!$B$12,0))-MIN(MAX(T643,0),MAX(0,P616-IF($A644&gt;='1-Input'!$C$12,'1-Input'!$B$12,0))))*(1/(1-'P-Parametri'!$B$6*P644))+MIN(MAX(0,U643-(MAX(0,P616-IF($A644&gt;='1-Input'!$C$12,'1-Input'!$B$12,0))-MIN(MAX(T643,0),MAX(0,P616-IF($A644&gt;='1-Input'!$C$12,'1-Input'!$B$12,0))))*(1/(1-'P-Parametri'!$B$6*P644))),MAX(0,5*P616-(T643-MIN(MAX(T643,0),MAX(0,P616-IF($A644&gt;='1-Input'!$C$12,'1-Input'!$B$12,0)))))*(1/(1-'P-Parametri'!$B$6*P644))))</f>
        <v>7161.2962048811678</v>
      </c>
      <c r="R644" s="18">
        <f>IF($A644&gt;'1-Input'!$B$26,T643,(T643-MAX(0,P616-IF($A644&gt;='1-Input'!$C$12,'1-Input'!$B$12,0))+Q644*(1-'P-Parametri'!$B$6*P644))*(1+'1-Input'!$B$27))</f>
        <v>83966.9353144864</v>
      </c>
      <c r="S644" s="18">
        <f>IF($A644&gt;'1-Input'!$B$26,U643,(U643-Q644)*(1+$C$4))</f>
        <v>37214.380048078572</v>
      </c>
      <c r="T644" s="18">
        <f>IF($A644&gt;'1-Input'!$B$26,R644,R644-'P-Parametri'!$B$8*(S644+R644)+MIN(MAX(S644,0),'P-Parametri'!$B$8*(S644+R644)))</f>
        <v>83966.9353144864</v>
      </c>
      <c r="U644" s="18">
        <f>IF($A644&gt;'1-Input'!$B$26,S644,S644-MIN(MAX(S644,0),'P-Parametri'!$B$8*(S644+R644)))</f>
        <v>36972.01741735344</v>
      </c>
      <c r="V644" s="18">
        <f>IF($A644&gt;'1-Input'!$B$26,V643,V643-Q644*(1-P644))</f>
        <v>14671.475859548949</v>
      </c>
      <c r="W644" s="11">
        <f>IF($A644&gt;'1-Input'!$B$26,0,IF(AB643&lt;=0,0,MAX(0,(AB643-AC643)/AB643)))</f>
        <v>0.59371170949719887</v>
      </c>
      <c r="X644" s="18">
        <f>IF($A644&gt;'1-Input'!$B$26,0,(MAX(0,W616-IF($A644&gt;='1-Input'!$C$12,'1-Input'!$B$12,0))-MIN(MAX(AA643,0),MAX(0,W616-IF($A644&gt;='1-Input'!$C$12,'1-Input'!$B$12,0))))*(1/(1-'P-Parametri'!$B$6*W644))+MIN(MAX(0,AB643-(MAX(0,W616-IF($A644&gt;='1-Input'!$C$12,'1-Input'!$B$12,0))-MIN(MAX(AA643,0),MAX(0,W616-IF($A644&gt;='1-Input'!$C$12,'1-Input'!$B$12,0))))*(1/(1-'P-Parametri'!$B$6*W644))),MAX(0,5*W616-(AA643-MIN(MAX(AA643,0),MAX(0,W616-IF($A644&gt;='1-Input'!$C$12,'1-Input'!$B$12,0)))))*(1/(1-'P-Parametri'!$B$6*W644))))</f>
        <v>7195.7019024737156</v>
      </c>
      <c r="Y644" s="18">
        <f>IF($A644&gt;'1-Input'!$B$26,AA643,(AA643-MAX(0,W616-IF($A644&gt;='1-Input'!$C$12,'1-Input'!$B$12,0))+X644*(1-'P-Parametri'!$B$6*W644))*(1+'1-Input'!$B$27))</f>
        <v>84111.316723481417</v>
      </c>
      <c r="Z644" s="18">
        <f>IF($A644&gt;'1-Input'!$B$26,AB643,(AB643-X644)*(1+$C$4))</f>
        <v>35637.717221666397</v>
      </c>
      <c r="AA644" s="18">
        <f>IF($A644&gt;'1-Input'!$B$26,Y644,Y644-'P-Parametri'!$B$8*(Z644+Y644)+MIN(MAX(Z644,0),'P-Parametri'!$B$8*(Z644+Y644)))</f>
        <v>84111.316723481417</v>
      </c>
      <c r="AB644" s="18">
        <f>IF($A644&gt;'1-Input'!$B$26,Z644,Z644-MIN(MAX(Z644,0),'P-Parametri'!$B$8*(Z644+Y644)))</f>
        <v>35398.219153776103</v>
      </c>
      <c r="AC644" s="18">
        <f>IF($A644&gt;'1-Input'!$B$26,AC643,AC643-X644*(1-W644))</f>
        <v>14057.463308168033</v>
      </c>
      <c r="AD644" s="11">
        <f>IF($A644&gt;'1-Input'!$B$26,0,IF(AI643&lt;=0,0,MAX(0,(AI643-AJ643)/AI643)))</f>
        <v>0.59365842732936824</v>
      </c>
      <c r="AE644" s="18">
        <f>IF($A644&gt;'1-Input'!$B$26,0,(MAX(0,AD616-IF($A644&gt;='1-Input'!$C$12,'1-Input'!$B$12,0))-MIN(MAX(AH643,0),MAX(0,AD616-IF($A644&gt;='1-Input'!$C$12,'1-Input'!$B$12,0))))*(1/(1-'P-Parametri'!$B$6*AD644))+MIN(MAX(0,AI643-(MAX(0,AD616-IF($A644&gt;='1-Input'!$C$12,'1-Input'!$B$12,0))-MIN(MAX(AH643,0),MAX(0,AD616-IF($A644&gt;='1-Input'!$C$12,'1-Input'!$B$12,0))))*(1/(1-'P-Parametri'!$B$6*AD644))),MAX(0,5*AD616-(AH643-MIN(MAX(AH643,0),MAX(0,AD616-IF($A644&gt;='1-Input'!$C$12,'1-Input'!$B$12,0)))))*(1/(1-'P-Parametri'!$B$6*AD644))))</f>
        <v>7203.8257868392629</v>
      </c>
      <c r="AF644" s="18">
        <f>IF($A644&gt;'1-Input'!$B$26,AH643,(AH643-MAX(0,AD616-IF($A644&gt;='1-Input'!$C$12,'1-Input'!$B$12,0))+AE644*(1-'P-Parametri'!$B$6*AD644))*(1+'1-Input'!$B$27))</f>
        <v>84145.425501066202</v>
      </c>
      <c r="AG644" s="18">
        <f>IF($A644&gt;'1-Input'!$B$26,AI643,(AI643-AE644)*(1+$C$4))</f>
        <v>35265.260190505876</v>
      </c>
      <c r="AH644" s="18">
        <f>IF($A644&gt;'1-Input'!$B$26,AF644,AF644-'P-Parametri'!$B$8*(AG644+AF644)+MIN(MAX(AG644,0),'P-Parametri'!$B$8*(AG644+AF644)))</f>
        <v>84145.425501066202</v>
      </c>
      <c r="AI644" s="18">
        <f>IF($A644&gt;'1-Input'!$B$26,AG644,AG644-MIN(MAX(AG644,0),'P-Parametri'!$B$8*(AG644+AF644)))</f>
        <v>35026.438819122734</v>
      </c>
      <c r="AJ644" s="18">
        <f>IF($A644&gt;'1-Input'!$B$26,AJ643,AJ643-AE644*(1-AD644))</f>
        <v>13912.370181018619</v>
      </c>
      <c r="AK644" s="11">
        <f>IF($A644&gt;'1-Input'!$B$26,0,IF(AP643&lt;=0,0,MAX(0,(AP643-AQ643)/AP643)))</f>
        <v>0.59366245411281282</v>
      </c>
      <c r="AL644" s="18">
        <f>IF($A644&gt;'1-Input'!$B$26,0,(MAX(0,AK616-IF($A644&gt;='1-Input'!$C$12,'1-Input'!$B$12,0))-MIN(MAX(AO643,0),MAX(0,AK616-IF($A644&gt;='1-Input'!$C$12,'1-Input'!$B$12,0))))*(1/(1-'P-Parametri'!$B$6*AK644))+MIN(MAX(0,AP643-(MAX(0,AK616-IF($A644&gt;='1-Input'!$C$12,'1-Input'!$B$12,0))-MIN(MAX(AO643,0),MAX(0,AK616-IF($A644&gt;='1-Input'!$C$12,'1-Input'!$B$12,0))))*(1/(1-'P-Parametri'!$B$6*AK644))),MAX(0,5*AK616-(AO643-MIN(MAX(AO643,0),MAX(0,AK616-IF($A644&gt;='1-Input'!$C$12,'1-Input'!$B$12,0)))))*(1/(1-'P-Parametri'!$B$6*AK644))))</f>
        <v>7203.2151680448924</v>
      </c>
      <c r="AM644" s="18">
        <f>IF($A644&gt;'1-Input'!$B$26,AO643,(AO643-MAX(0,AK616-IF($A644&gt;='1-Input'!$C$12,'1-Input'!$B$12,0))+AL644*(1-'P-Parametri'!$B$6*AK644))*(1+'1-Input'!$B$27))</f>
        <v>84142.861530128604</v>
      </c>
      <c r="AN644" s="18">
        <f>IF($A644&gt;'1-Input'!$B$26,AP643,(AP643-AL644)*(1+$C$4))</f>
        <v>35293.257735649517</v>
      </c>
      <c r="AO644" s="18">
        <f>IF($A644&gt;'1-Input'!$B$26,AM644,AM644-'P-Parametri'!$B$8*(AN644+AM644)+MIN(MAX(AN644,0),'P-Parametri'!$B$8*(AN644+AM644)))</f>
        <v>84142.861530128604</v>
      </c>
      <c r="AP644" s="18">
        <f>IF($A644&gt;'1-Input'!$B$26,AN644,AN644-MIN(MAX(AN644,0),'P-Parametri'!$B$8*(AN644+AM644)))</f>
        <v>35054.385497117961</v>
      </c>
      <c r="AQ644" s="18">
        <f>IF($A644&gt;'1-Input'!$B$26,AQ643,AQ643-AL644*(1-AK644))</f>
        <v>13923.277412298845</v>
      </c>
    </row>
    <row r="645" spans="1:43">
      <c r="A645" s="10">
        <f>27</f>
        <v>27</v>
      </c>
      <c r="B645" s="11">
        <f>IF($A645&gt;'1-Input'!$B$26,0,IF(G644&lt;=0,0,MAX(0,(G644-H644)/G644)))</f>
        <v>0.60464725833239641</v>
      </c>
      <c r="C645" s="18">
        <f>IF($A645&gt;'1-Input'!$B$26,0,(MAX(0,B616-IF($A645&gt;='1-Input'!$C$12,'1-Input'!$B$12,0))-MIN(MAX(F644,0),MAX(0,B616-IF($A645&gt;='1-Input'!$C$12,'1-Input'!$B$12,0))))*(1/(1-'P-Parametri'!$B$6*B645))+MIN(MAX(0,G644-(MAX(0,B616-IF($A645&gt;='1-Input'!$C$12,'1-Input'!$B$12,0))-MIN(MAX(F644,0),MAX(0,B616-IF($A645&gt;='1-Input'!$C$12,'1-Input'!$B$12,0))))*(1/(1-'P-Parametri'!$B$6*B645))),MAX(0,5*B616-(F644-MIN(MAX(F644,0),MAX(0,B616-IF($A645&gt;='1-Input'!$C$12,'1-Input'!$B$12,0)))))*(1/(1-'P-Parametri'!$B$6*B645))))</f>
        <v>6975.9991950111198</v>
      </c>
      <c r="D645" s="18">
        <f>IF($A645&gt;'1-Input'!$B$26,F644,(F644-MAX(0,B616-IF($A645&gt;='1-Input'!$C$12,'1-Input'!$B$12,0))+C645*(1-'P-Parametri'!$B$6*B645))*(1+'1-Input'!$B$27))</f>
        <v>83105.01757746574</v>
      </c>
      <c r="E645" s="18">
        <f>IF($A645&gt;'1-Input'!$B$26,G644,(G644-C645)*(1+$C$4))</f>
        <v>40574.857868684579</v>
      </c>
      <c r="F645" s="18">
        <f>IF($A645&gt;'1-Input'!$B$26,D645,D645-'P-Parametri'!$B$8*(E645+D645)+MIN(MAX(E645,0),'P-Parametri'!$B$8*(E645+D645)))</f>
        <v>83105.01757746574</v>
      </c>
      <c r="G645" s="18">
        <f>IF($A645&gt;'1-Input'!$B$26,E645,E645-MIN(MAX(E645,0),'P-Parametri'!$B$8*(E645+D645)))</f>
        <v>40327.498117792282</v>
      </c>
      <c r="H645" s="18">
        <f>IF($A645&gt;'1-Input'!$B$26,H644,H644-C645*(1-B645))</f>
        <v>15574.156603065814</v>
      </c>
      <c r="I645" s="11">
        <f>IF($A645&gt;'1-Input'!$B$26,0,IF(N644&lt;=0,0,MAX(0,(N644-O644)/N644)))</f>
        <v>0</v>
      </c>
      <c r="J645" s="18">
        <f>IF($A645&gt;'1-Input'!$B$26,0,(MAX(0,I616-IF($A645&gt;='1-Input'!$C$12,'1-Input'!$B$12,0))-MIN(MAX(M644,0),MAX(0,I616-IF($A645&gt;='1-Input'!$C$12,'1-Input'!$B$12,0))))*(1/(1-'P-Parametri'!$B$6*I645))+MIN(MAX(0,N644-(MAX(0,I616-IF($A645&gt;='1-Input'!$C$12,'1-Input'!$B$12,0))-MIN(MAX(M644,0),MAX(0,I616-IF($A645&gt;='1-Input'!$C$12,'1-Input'!$B$12,0))))*(1/(1-'P-Parametri'!$B$6*I645))),MAX(0,5*I616-(M644-MIN(MAX(M644,0),MAX(0,I616-IF($A645&gt;='1-Input'!$C$12,'1-Input'!$B$12,0)))))*(1/(1-'P-Parametri'!$B$6*I645))))</f>
        <v>10846.756992928691</v>
      </c>
      <c r="K645" s="18">
        <f>IF($A645&gt;'1-Input'!$B$26,M644,(M644-MAX(0,I616-IF($A645&gt;='1-Input'!$C$12,'1-Input'!$B$12,0))+J645*(1-'P-Parametri'!$B$6*I645))*(1+'1-Input'!$B$27))</f>
        <v>0</v>
      </c>
      <c r="L645" s="18">
        <f>IF($A645&gt;'1-Input'!$B$26,N644,(N644-J645)*(1+$C$4))</f>
        <v>-79169.679501716819</v>
      </c>
      <c r="M645" s="18">
        <f>IF($A645&gt;'1-Input'!$B$26,K645,K645-'P-Parametri'!$B$8*(L645+K645)+MIN(MAX(L645,0),'P-Parametri'!$B$8*(L645+K645)))</f>
        <v>0</v>
      </c>
      <c r="N645" s="18">
        <f>IF($A645&gt;'1-Input'!$B$26,L645,L645-MIN(MAX(L645,0),'P-Parametri'!$B$8*(L645+K645)))</f>
        <v>-79011.340142713379</v>
      </c>
      <c r="O645" s="18">
        <f>IF($A645&gt;'1-Input'!$B$26,O644,O644-J645*(1-I645))</f>
        <v>-71235.67061148971</v>
      </c>
      <c r="P645" s="11">
        <f>IF($A645&gt;'1-Input'!$B$26,0,IF(U644&lt;=0,0,MAX(0,(U644-V644)/U644)))</f>
        <v>0.60317351109267181</v>
      </c>
      <c r="Q645" s="18">
        <f>IF($A645&gt;'1-Input'!$B$26,0,(MAX(0,P616-IF($A645&gt;='1-Input'!$C$12,'1-Input'!$B$12,0))-MIN(MAX(T644,0),MAX(0,P616-IF($A645&gt;='1-Input'!$C$12,'1-Input'!$B$12,0))))*(1/(1-'P-Parametri'!$B$6*P645))+MIN(MAX(0,U644-(MAX(0,P616-IF($A645&gt;='1-Input'!$C$12,'1-Input'!$B$12,0))-MIN(MAX(T644,0),MAX(0,P616-IF($A645&gt;='1-Input'!$C$12,'1-Input'!$B$12,0))))*(1/(1-'P-Parametri'!$B$6*P645))),MAX(0,5*P616-(T644-MIN(MAX(T644,0),MAX(0,P616-IF($A645&gt;='1-Input'!$C$12,'1-Input'!$B$12,0)))))*(1/(1-'P-Parametri'!$B$6*P645))))</f>
        <v>7181.7067702350687</v>
      </c>
      <c r="R645" s="18">
        <f>IF($A645&gt;'1-Input'!$B$26,T644,(T644-MAX(0,P616-IF($A645&gt;='1-Input'!$C$12,'1-Input'!$B$12,0))+Q645*(1-'P-Parametri'!$B$6*P645))*(1+'1-Input'!$B$27))</f>
        <v>83966.9353144864</v>
      </c>
      <c r="S645" s="18">
        <f>IF($A645&gt;'1-Input'!$B$26,U644,(U644-Q645)*(1+$C$4))</f>
        <v>30684.019966531923</v>
      </c>
      <c r="T645" s="18">
        <f>IF($A645&gt;'1-Input'!$B$26,R645,R645-'P-Parametri'!$B$8*(S645+R645)+MIN(MAX(S645,0),'P-Parametri'!$B$8*(S645+R645)))</f>
        <v>83966.9353144864</v>
      </c>
      <c r="U645" s="18">
        <f>IF($A645&gt;'1-Input'!$B$26,S645,S645-MIN(MAX(S645,0),'P-Parametri'!$B$8*(S645+R645)))</f>
        <v>30454.718055969886</v>
      </c>
      <c r="V645" s="18">
        <f>IF($A645&gt;'1-Input'!$B$26,V644,V644-Q645*(1-P645))</f>
        <v>11821.58437755458</v>
      </c>
      <c r="W645" s="11">
        <f>IF($A645&gt;'1-Input'!$B$26,0,IF(AB644&lt;=0,0,MAX(0,(AB644-AC644)/AB644)))</f>
        <v>0.60287653887050263</v>
      </c>
      <c r="X645" s="18">
        <f>IF($A645&gt;'1-Input'!$B$26,0,(MAX(0,W616-IF($A645&gt;='1-Input'!$C$12,'1-Input'!$B$12,0))-MIN(MAX(AA644,0),MAX(0,W616-IF($A645&gt;='1-Input'!$C$12,'1-Input'!$B$12,0))))*(1/(1-'P-Parametri'!$B$6*W645))+MIN(MAX(0,AB644-(MAX(0,W616-IF($A645&gt;='1-Input'!$C$12,'1-Input'!$B$12,0))-MIN(MAX(AA644,0),MAX(0,W616-IF($A645&gt;='1-Input'!$C$12,'1-Input'!$B$12,0))))*(1/(1-'P-Parametri'!$B$6*W645))),MAX(0,5*W616-(AA644-MIN(MAX(AA644,0),MAX(0,W616-IF($A645&gt;='1-Input'!$C$12,'1-Input'!$B$12,0)))))*(1/(1-'P-Parametri'!$B$6*W645))))</f>
        <v>7216.0354644572162</v>
      </c>
      <c r="Y645" s="18">
        <f>IF($A645&gt;'1-Input'!$B$26,AA644,(AA644-MAX(0,W616-IF($A645&gt;='1-Input'!$C$12,'1-Input'!$B$12,0))+X645*(1-'P-Parametri'!$B$6*W645))*(1+'1-Input'!$B$27))</f>
        <v>84111.316723481417</v>
      </c>
      <c r="Z645" s="18">
        <f>IF($A645&gt;'1-Input'!$B$26,AB644,(AB644-X645)*(1+$C$4))</f>
        <v>29027.649199998457</v>
      </c>
      <c r="AA645" s="18">
        <f>IF($A645&gt;'1-Input'!$B$26,Y645,Y645-'P-Parametri'!$B$8*(Z645+Y645)+MIN(MAX(Z645,0),'P-Parametri'!$B$8*(Z645+Y645)))</f>
        <v>84111.316723481417</v>
      </c>
      <c r="AB645" s="18">
        <f>IF($A645&gt;'1-Input'!$B$26,Z645,Z645-MIN(MAX(Z645,0),'P-Parametri'!$B$8*(Z645+Y645)))</f>
        <v>28801.371268151499</v>
      </c>
      <c r="AC645" s="18">
        <f>IF($A645&gt;'1-Input'!$B$26,AC644,AC644-X645*(1-W645))</f>
        <v>11191.806328889583</v>
      </c>
      <c r="AD645" s="11">
        <f>IF($A645&gt;'1-Input'!$B$26,0,IF(AI644&lt;=0,0,MAX(0,(AI644-AJ644)/AI644)))</f>
        <v>0.60280374910899759</v>
      </c>
      <c r="AE645" s="18">
        <f>IF($A645&gt;'1-Input'!$B$26,0,(MAX(0,AD616-IF($A645&gt;='1-Input'!$C$12,'1-Input'!$B$12,0))-MIN(MAX(AH644,0),MAX(0,AD616-IF($A645&gt;='1-Input'!$C$12,'1-Input'!$B$12,0))))*(1/(1-'P-Parametri'!$B$6*AD645))+MIN(MAX(0,AI644-(MAX(0,AD616-IF($A645&gt;='1-Input'!$C$12,'1-Input'!$B$12,0))-MIN(MAX(AH644,0),MAX(0,AD616-IF($A645&gt;='1-Input'!$C$12,'1-Input'!$B$12,0))))*(1/(1-'P-Parametri'!$B$6*AD645))),MAX(0,5*AD616-(AH644-MIN(MAX(AH644,0),MAX(0,AD616-IF($A645&gt;='1-Input'!$C$12,'1-Input'!$B$12,0)))))*(1/(1-'P-Parametri'!$B$6*AD645))))</f>
        <v>7224.1385199373844</v>
      </c>
      <c r="AF645" s="18">
        <f>IF($A645&gt;'1-Input'!$B$26,AH644,(AH644-MAX(0,AD616-IF($A645&gt;='1-Input'!$C$12,'1-Input'!$B$12,0))+AE645*(1-'P-Parametri'!$B$6*AD645))*(1+'1-Input'!$B$27))</f>
        <v>84145.425501066202</v>
      </c>
      <c r="AG645" s="18">
        <f>IF($A645&gt;'1-Input'!$B$26,AI644,(AI644-AE645)*(1+$C$4))</f>
        <v>28636.369308160913</v>
      </c>
      <c r="AH645" s="18">
        <f>IF($A645&gt;'1-Input'!$B$26,AF645,AF645-'P-Parametri'!$B$8*(AG645+AF645)+MIN(MAX(AG645,0),'P-Parametri'!$B$8*(AG645+AF645)))</f>
        <v>84145.425501066202</v>
      </c>
      <c r="AI645" s="18">
        <f>IF($A645&gt;'1-Input'!$B$26,AG645,AG645-MIN(MAX(AG645,0),'P-Parametri'!$B$8*(AG645+AF645)))</f>
        <v>28410.805718542459</v>
      </c>
      <c r="AJ645" s="18">
        <f>IF($A645&gt;'1-Input'!$B$26,AJ644,AJ644-AE645*(1-AD645))</f>
        <v>11042.969444982215</v>
      </c>
      <c r="AK645" s="11">
        <f>IF($A645&gt;'1-Input'!$B$26,0,IF(AP644&lt;=0,0,MAX(0,(AP644-AQ644)/AP644)))</f>
        <v>0.60280925724846712</v>
      </c>
      <c r="AL645" s="18">
        <f>IF($A645&gt;'1-Input'!$B$26,0,(MAX(0,AK616-IF($A645&gt;='1-Input'!$C$12,'1-Input'!$B$12,0))-MIN(MAX(AO644,0),MAX(0,AK616-IF($A645&gt;='1-Input'!$C$12,'1-Input'!$B$12,0))))*(1/(1-'P-Parametri'!$B$6*AK645))+MIN(MAX(0,AP644-(MAX(0,AK616-IF($A645&gt;='1-Input'!$C$12,'1-Input'!$B$12,0))-MIN(MAX(AO644,0),MAX(0,AK616-IF($A645&gt;='1-Input'!$C$12,'1-Input'!$B$12,0))))*(1/(1-'P-Parametri'!$B$6*AK645))),MAX(0,5*AK616-(AO644-MIN(MAX(AO644,0),MAX(0,AK616-IF($A645&gt;='1-Input'!$C$12,'1-Input'!$B$12,0)))))*(1/(1-'P-Parametri'!$B$6*AK645))))</f>
        <v>7223.529503842341</v>
      </c>
      <c r="AM645" s="18">
        <f>IF($A645&gt;'1-Input'!$B$26,AO644,(AO644-MAX(0,AK616-IF($A645&gt;='1-Input'!$C$12,'1-Input'!$B$12,0))+AL645*(1-'P-Parametri'!$B$6*AK645))*(1+'1-Input'!$B$27))</f>
        <v>84142.861530128604</v>
      </c>
      <c r="AN645" s="18">
        <f>IF($A645&gt;'1-Input'!$B$26,AP644,(AP644-AL645)*(1+$C$4))</f>
        <v>28665.781673073889</v>
      </c>
      <c r="AO645" s="18">
        <f>IF($A645&gt;'1-Input'!$B$26,AM645,AM645-'P-Parametri'!$B$8*(AN645+AM645)+MIN(MAX(AN645,0),'P-Parametri'!$B$8*(AN645+AM645)))</f>
        <v>84142.861530128604</v>
      </c>
      <c r="AP645" s="18">
        <f>IF($A645&gt;'1-Input'!$B$26,AN645,AN645-MIN(MAX(AN645,0),'P-Parametri'!$B$8*(AN645+AM645)))</f>
        <v>28440.164386667482</v>
      </c>
      <c r="AQ645" s="18">
        <f>IF($A645&gt;'1-Input'!$B$26,AQ644,AQ644-AL645*(1-AK645))</f>
        <v>11054.158363380095</v>
      </c>
    </row>
    <row r="646" spans="1:43">
      <c r="A646" s="10">
        <f>28</f>
        <v>28</v>
      </c>
      <c r="B646" s="11">
        <f>IF($A646&gt;'1-Input'!$B$26,0,IF(G645&lt;=0,0,MAX(0,(G645-H645)/G645)))</f>
        <v>0.61380801363934412</v>
      </c>
      <c r="C646" s="18">
        <f>IF($A646&gt;'1-Input'!$B$26,0,(MAX(0,B616-IF($A646&gt;='1-Input'!$C$12,'1-Input'!$B$12,0))-MIN(MAX(F645,0),MAX(0,B616-IF($A646&gt;='1-Input'!$C$12,'1-Input'!$B$12,0))))*(1/(1-'P-Parametri'!$B$6*B646))+MIN(MAX(0,G645-(MAX(0,B616-IF($A646&gt;='1-Input'!$C$12,'1-Input'!$B$12,0))-MIN(MAX(F645,0),MAX(0,B616-IF($A646&gt;='1-Input'!$C$12,'1-Input'!$B$12,0))))*(1/(1-'P-Parametri'!$B$6*B646))),MAX(0,5*B616-(F645-MIN(MAX(F645,0),MAX(0,B616-IF($A646&gt;='1-Input'!$C$12,'1-Input'!$B$12,0)))))*(1/(1-'P-Parametri'!$B$6*B646))))</f>
        <v>6995.7697965984034</v>
      </c>
      <c r="D646" s="18">
        <f>IF($A646&gt;'1-Input'!$B$26,F645,(F645-MAX(0,B616-IF($A646&gt;='1-Input'!$C$12,'1-Input'!$B$12,0))+C646*(1-'P-Parametri'!$B$6*B646))*(1+'1-Input'!$B$27))</f>
        <v>83105.01757746574</v>
      </c>
      <c r="E646" s="18">
        <f>IF($A646&gt;'1-Input'!$B$26,G645,(G645-C646)*(1+$C$4))</f>
        <v>34331.680170829692</v>
      </c>
      <c r="F646" s="18">
        <f>IF($A646&gt;'1-Input'!$B$26,D646,D646-'P-Parametri'!$B$8*(E646+D646)+MIN(MAX(E646,0),'P-Parametri'!$B$8*(E646+D646)))</f>
        <v>83105.01757746574</v>
      </c>
      <c r="G646" s="18">
        <f>IF($A646&gt;'1-Input'!$B$26,E646,E646-MIN(MAX(E646,0),'P-Parametri'!$B$8*(E646+D646)))</f>
        <v>34096.806775333098</v>
      </c>
      <c r="H646" s="18">
        <f>IF($A646&gt;'1-Input'!$B$26,H645,H645-C646*(1-B646))</f>
        <v>12872.446369195595</v>
      </c>
      <c r="I646" s="11">
        <f>IF($A646&gt;'1-Input'!$B$26,0,IF(N645&lt;=0,0,MAX(0,(N645-O645)/N645)))</f>
        <v>0</v>
      </c>
      <c r="J646" s="18">
        <f>IF($A646&gt;'1-Input'!$B$26,0,(MAX(0,I616-IF($A646&gt;='1-Input'!$C$12,'1-Input'!$B$12,0))-MIN(MAX(M645,0),MAX(0,I616-IF($A646&gt;='1-Input'!$C$12,'1-Input'!$B$12,0))))*(1/(1-'P-Parametri'!$B$6*I646))+MIN(MAX(0,N645-(MAX(0,I616-IF($A646&gt;='1-Input'!$C$12,'1-Input'!$B$12,0))-MIN(MAX(M645,0),MAX(0,I616-IF($A646&gt;='1-Input'!$C$12,'1-Input'!$B$12,0))))*(1/(1-'P-Parametri'!$B$6*I646))),MAX(0,5*I616-(M645-MIN(MAX(M645,0),MAX(0,I616-IF($A646&gt;='1-Input'!$C$12,'1-Input'!$B$12,0)))))*(1/(1-'P-Parametri'!$B$6*I646))))</f>
        <v>10846.756992928691</v>
      </c>
      <c r="K646" s="18">
        <f>IF($A646&gt;'1-Input'!$B$26,M645,(M645-MAX(0,I616-IF($A646&gt;='1-Input'!$C$12,'1-Input'!$B$12,0))+J646*(1-'P-Parametri'!$B$6*I646))*(1+'1-Input'!$B$27))</f>
        <v>0</v>
      </c>
      <c r="L646" s="18">
        <f>IF($A646&gt;'1-Input'!$B$26,N645,(N645-J646)*(1+$C$4))</f>
        <v>-92553.840049711347</v>
      </c>
      <c r="M646" s="18">
        <f>IF($A646&gt;'1-Input'!$B$26,K646,K646-'P-Parametri'!$B$8*(L646+K646)+MIN(MAX(L646,0),'P-Parametri'!$B$8*(L646+K646)))</f>
        <v>0</v>
      </c>
      <c r="N646" s="18">
        <f>IF($A646&gt;'1-Input'!$B$26,L646,L646-MIN(MAX(L646,0),'P-Parametri'!$B$8*(L646+K646)))</f>
        <v>-92368.732369611927</v>
      </c>
      <c r="O646" s="18">
        <f>IF($A646&gt;'1-Input'!$B$26,O645,O645-J646*(1-I646))</f>
        <v>-82082.427604418393</v>
      </c>
      <c r="P646" s="11">
        <f>IF($A646&gt;'1-Input'!$B$26,0,IF(U645&lt;=0,0,MAX(0,(U645-V645)/U645)))</f>
        <v>0.61183077263008012</v>
      </c>
      <c r="Q646" s="18">
        <f>IF($A646&gt;'1-Input'!$B$26,0,(MAX(0,P616-IF($A646&gt;='1-Input'!$C$12,'1-Input'!$B$12,0))-MIN(MAX(T645,0),MAX(0,P616-IF($A646&gt;='1-Input'!$C$12,'1-Input'!$B$12,0))))*(1/(1-'P-Parametri'!$B$6*P646))+MIN(MAX(0,U645-(MAX(0,P616-IF($A646&gt;='1-Input'!$C$12,'1-Input'!$B$12,0))-MIN(MAX(T645,0),MAX(0,P616-IF($A646&gt;='1-Input'!$C$12,'1-Input'!$B$12,0))))*(1/(1-'P-Parametri'!$B$6*P646))),MAX(0,5*P616-(T645-MIN(MAX(T645,0),MAX(0,P616-IF($A646&gt;='1-Input'!$C$12,'1-Input'!$B$12,0)))))*(1/(1-'P-Parametri'!$B$6*P646))))</f>
        <v>7200.9299314287846</v>
      </c>
      <c r="R646" s="18">
        <f>IF($A646&gt;'1-Input'!$B$26,T645,(T645-MAX(0,P616-IF($A646&gt;='1-Input'!$C$12,'1-Input'!$B$12,0))+Q646*(1-'P-Parametri'!$B$6*P646))*(1+'1-Input'!$B$27))</f>
        <v>83966.9353144864</v>
      </c>
      <c r="S646" s="18">
        <f>IF($A646&gt;'1-Input'!$B$26,U645,(U645-Q646)*(1+$C$4))</f>
        <v>23951.401768277334</v>
      </c>
      <c r="T646" s="18">
        <f>IF($A646&gt;'1-Input'!$B$26,R646,R646-'P-Parametri'!$B$8*(S646+R646)+MIN(MAX(S646,0),'P-Parametri'!$B$8*(S646+R646)))</f>
        <v>83966.9353144864</v>
      </c>
      <c r="U646" s="18">
        <f>IF($A646&gt;'1-Input'!$B$26,S646,S646-MIN(MAX(S646,0),'P-Parametri'!$B$8*(S646+R646)))</f>
        <v>23735.565094111807</v>
      </c>
      <c r="V646" s="18">
        <f>IF($A646&gt;'1-Input'!$B$26,V645,V645-Q646*(1-P646))</f>
        <v>9026.4049697269384</v>
      </c>
      <c r="W646" s="11">
        <f>IF($A646&gt;'1-Input'!$B$26,0,IF(AB645&lt;=0,0,MAX(0,(AB645-AC645)/AB645)))</f>
        <v>0.6114141155054843</v>
      </c>
      <c r="X646" s="18">
        <f>IF($A646&gt;'1-Input'!$B$26,0,(MAX(0,W616-IF($A646&gt;='1-Input'!$C$12,'1-Input'!$B$12,0))-MIN(MAX(AA645,0),MAX(0,W616-IF($A646&gt;='1-Input'!$C$12,'1-Input'!$B$12,0))))*(1/(1-'P-Parametri'!$B$6*W646))+MIN(MAX(0,AB645-(MAX(0,W616-IF($A646&gt;='1-Input'!$C$12,'1-Input'!$B$12,0))-MIN(MAX(AA645,0),MAX(0,W616-IF($A646&gt;='1-Input'!$C$12,'1-Input'!$B$12,0))))*(1/(1-'P-Parametri'!$B$6*W646))),MAX(0,5*W616-(AA645-MIN(MAX(AA645,0),MAX(0,W616-IF($A646&gt;='1-Input'!$C$12,'1-Input'!$B$12,0)))))*(1/(1-'P-Parametri'!$B$6*W646))))</f>
        <v>7235.0810325425982</v>
      </c>
      <c r="Y646" s="18">
        <f>IF($A646&gt;'1-Input'!$B$26,AA645,(AA645-MAX(0,W616-IF($A646&gt;='1-Input'!$C$12,'1-Input'!$B$12,0))+X646*(1-'P-Parametri'!$B$6*W646))*(1+'1-Input'!$B$27))</f>
        <v>84111.316723481417</v>
      </c>
      <c r="Z646" s="18">
        <f>IF($A646&gt;'1-Input'!$B$26,AB645,(AB645-X646)*(1+$C$4))</f>
        <v>22213.278942677167</v>
      </c>
      <c r="AA646" s="18">
        <f>IF($A646&gt;'1-Input'!$B$26,Y646,Y646-'P-Parametri'!$B$8*(Z646+Y646)+MIN(MAX(Z646,0),'P-Parametri'!$B$8*(Z646+Y646)))</f>
        <v>84111.316723481417</v>
      </c>
      <c r="AB646" s="18">
        <f>IF($A646&gt;'1-Input'!$B$26,Z646,Z646-MIN(MAX(Z646,0),'P-Parametri'!$B$8*(Z646+Y646)))</f>
        <v>22000.629751344848</v>
      </c>
      <c r="AC646" s="18">
        <f>IF($A646&gt;'1-Input'!$B$26,AC645,AC645-X646*(1-W646))</f>
        <v>8380.355966469524</v>
      </c>
      <c r="AD646" s="11">
        <f>IF($A646&gt;'1-Input'!$B$26,0,IF(AI645&lt;=0,0,MAX(0,(AI645-AJ645)/AI645)))</f>
        <v>0.61131093731090613</v>
      </c>
      <c r="AE646" s="18">
        <f>IF($A646&gt;'1-Input'!$B$26,0,(MAX(0,AD616-IF($A646&gt;='1-Input'!$C$12,'1-Input'!$B$12,0))-MIN(MAX(AH645,0),MAX(0,AD616-IF($A646&gt;='1-Input'!$C$12,'1-Input'!$B$12,0))))*(1/(1-'P-Parametri'!$B$6*AD646))+MIN(MAX(0,AI645-(MAX(0,AD616-IF($A646&gt;='1-Input'!$C$12,'1-Input'!$B$12,0))-MIN(MAX(AH645,0),MAX(0,AD616-IF($A646&gt;='1-Input'!$C$12,'1-Input'!$B$12,0))))*(1/(1-'P-Parametri'!$B$6*AD646))),MAX(0,5*AD616-(AH645-MIN(MAX(AH645,0),MAX(0,AD616-IF($A646&gt;='1-Input'!$C$12,'1-Input'!$B$12,0)))))*(1/(1-'P-Parametri'!$B$6*AD646))))</f>
        <v>7243.1370023112149</v>
      </c>
      <c r="AF646" s="18">
        <f>IF($A646&gt;'1-Input'!$B$26,AH645,(AH645-MAX(0,AD616-IF($A646&gt;='1-Input'!$C$12,'1-Input'!$B$12,0))+AE646*(1-'P-Parametri'!$B$6*AD646))*(1+'1-Input'!$B$27))</f>
        <v>84145.425501066202</v>
      </c>
      <c r="AG646" s="18">
        <f>IF($A646&gt;'1-Input'!$B$26,AI645,(AI645-AE646)*(1+$C$4))</f>
        <v>21802.698777718182</v>
      </c>
      <c r="AH646" s="18">
        <f>IF($A646&gt;'1-Input'!$B$26,AF646,AF646-'P-Parametri'!$B$8*(AG646+AF646)+MIN(MAX(AG646,0),'P-Parametri'!$B$8*(AG646+AF646)))</f>
        <v>84145.425501066202</v>
      </c>
      <c r="AI646" s="18">
        <f>IF($A646&gt;'1-Input'!$B$26,AG646,AG646-MIN(MAX(AG646,0),'P-Parametri'!$B$8*(AG646+AF646)))</f>
        <v>21590.802529160614</v>
      </c>
      <c r="AJ646" s="18">
        <f>IF($A646&gt;'1-Input'!$B$26,AJ645,AJ645-AE646*(1-AD646))</f>
        <v>8227.6413126251755</v>
      </c>
      <c r="AK646" s="11">
        <f>IF($A646&gt;'1-Input'!$B$26,0,IF(AP645&lt;=0,0,MAX(0,(AP645-AQ645)/AP645)))</f>
        <v>0.61131875986756978</v>
      </c>
      <c r="AL646" s="18">
        <f>IF($A646&gt;'1-Input'!$B$26,0,(MAX(0,AK616-IF($A646&gt;='1-Input'!$C$12,'1-Input'!$B$12,0))-MIN(MAX(AO645,0),MAX(0,AK616-IF($A646&gt;='1-Input'!$C$12,'1-Input'!$B$12,0))))*(1/(1-'P-Parametri'!$B$6*AK646))+MIN(MAX(0,AP645-(MAX(0,AK616-IF($A646&gt;='1-Input'!$C$12,'1-Input'!$B$12,0))-MIN(MAX(AO645,0),MAX(0,AK616-IF($A646&gt;='1-Input'!$C$12,'1-Input'!$B$12,0))))*(1/(1-'P-Parametri'!$B$6*AK646))),MAX(0,5*AK616-(AO645-MIN(MAX(AO645,0),MAX(0,AK616-IF($A646&gt;='1-Input'!$C$12,'1-Input'!$B$12,0)))))*(1/(1-'P-Parametri'!$B$6*AK646))))</f>
        <v>7242.5315987227568</v>
      </c>
      <c r="AM646" s="18">
        <f>IF($A646&gt;'1-Input'!$B$26,AO645,(AO645-MAX(0,AK616-IF($A646&gt;='1-Input'!$C$12,'1-Input'!$B$12,0))+AL646*(1-'P-Parametri'!$B$6*AK646))*(1+'1-Input'!$B$27))</f>
        <v>84142.861530128604</v>
      </c>
      <c r="AN646" s="18">
        <f>IF($A646&gt;'1-Input'!$B$26,AP645,(AP645-AL646)*(1+$C$4))</f>
        <v>21833.56177158307</v>
      </c>
      <c r="AO646" s="18">
        <f>IF($A646&gt;'1-Input'!$B$26,AM646,AM646-'P-Parametri'!$B$8*(AN646+AM646)+MIN(MAX(AN646,0),'P-Parametri'!$B$8*(AN646+AM646)))</f>
        <v>84142.861530128604</v>
      </c>
      <c r="AP646" s="18">
        <f>IF($A646&gt;'1-Input'!$B$26,AN646,AN646-MIN(MAX(AN646,0),'P-Parametri'!$B$8*(AN646+AM646)))</f>
        <v>21621.608924979646</v>
      </c>
      <c r="AQ646" s="18">
        <f>IF($A646&gt;'1-Input'!$B$26,AQ645,AQ645-AL646*(1-AK646))</f>
        <v>8239.122199890222</v>
      </c>
    </row>
    <row r="647" spans="1:43">
      <c r="A647" s="10">
        <f>29</f>
        <v>29</v>
      </c>
      <c r="B647" s="11">
        <f>IF($A647&gt;'1-Input'!$B$26,0,IF(G646&lt;=0,0,MAX(0,(G646-H646)/G646)))</f>
        <v>0.62247355143801897</v>
      </c>
      <c r="C647" s="18">
        <f>IF($A647&gt;'1-Input'!$B$26,0,(MAX(0,B616-IF($A647&gt;='1-Input'!$C$12,'1-Input'!$B$12,0))-MIN(MAX(F646,0),MAX(0,B616-IF($A647&gt;='1-Input'!$C$12,'1-Input'!$B$12,0))))*(1/(1-'P-Parametri'!$B$6*B647))+MIN(MAX(0,G646-(MAX(0,B616-IF($A647&gt;='1-Input'!$C$12,'1-Input'!$B$12,0))-MIN(MAX(F646,0),MAX(0,B616-IF($A647&gt;='1-Input'!$C$12,'1-Input'!$B$12,0))))*(1/(1-'P-Parametri'!$B$6*B647))),MAX(0,5*B616-(F646-MIN(MAX(F646,0),MAX(0,B616-IF($A647&gt;='1-Input'!$C$12,'1-Input'!$B$12,0)))))*(1/(1-'P-Parametri'!$B$6*B647))))</f>
        <v>7014.5750446568481</v>
      </c>
      <c r="D647" s="18">
        <f>IF($A647&gt;'1-Input'!$B$26,F646,(F646-MAX(0,B616-IF($A647&gt;='1-Input'!$C$12,'1-Input'!$B$12,0))+C647*(1-'P-Parametri'!$B$6*B647))*(1+'1-Input'!$B$27))</f>
        <v>83105.01757746574</v>
      </c>
      <c r="E647" s="18">
        <f>IF($A647&gt;'1-Input'!$B$26,G646,(G646-C647)*(1+$C$4))</f>
        <v>27894.698682596536</v>
      </c>
      <c r="F647" s="18">
        <f>IF($A647&gt;'1-Input'!$B$26,D647,D647-'P-Parametri'!$B$8*(E647+D647)+MIN(MAX(E647,0),'P-Parametri'!$B$8*(E647+D647)))</f>
        <v>83105.01757746574</v>
      </c>
      <c r="G647" s="18">
        <f>IF($A647&gt;'1-Input'!$B$26,E647,E647-MIN(MAX(E647,0),'P-Parametri'!$B$8*(E647+D647)))</f>
        <v>27672.69925007641</v>
      </c>
      <c r="H647" s="18">
        <f>IF($A647&gt;'1-Input'!$B$26,H646,H646-C647*(1-B647))</f>
        <v>10224.258764414795</v>
      </c>
      <c r="I647" s="11">
        <f>IF($A647&gt;'1-Input'!$B$26,0,IF(N646&lt;=0,0,MAX(0,(N646-O646)/N646)))</f>
        <v>0</v>
      </c>
      <c r="J647" s="18">
        <f>IF($A647&gt;'1-Input'!$B$26,0,(MAX(0,I616-IF($A647&gt;='1-Input'!$C$12,'1-Input'!$B$12,0))-MIN(MAX(M646,0),MAX(0,I616-IF($A647&gt;='1-Input'!$C$12,'1-Input'!$B$12,0))))*(1/(1-'P-Parametri'!$B$6*I647))+MIN(MAX(0,N646-(MAX(0,I616-IF($A647&gt;='1-Input'!$C$12,'1-Input'!$B$12,0))-MIN(MAX(M646,0),MAX(0,I616-IF($A647&gt;='1-Input'!$C$12,'1-Input'!$B$12,0))))*(1/(1-'P-Parametri'!$B$6*I647))),MAX(0,5*I616-(M646-MIN(MAX(M646,0),MAX(0,I616-IF($A647&gt;='1-Input'!$C$12,'1-Input'!$B$12,0)))))*(1/(1-'P-Parametri'!$B$6*I647))))</f>
        <v>10846.756992928691</v>
      </c>
      <c r="K647" s="18">
        <f>IF($A647&gt;'1-Input'!$B$26,M646,(M646-MAX(0,I616-IF($A647&gt;='1-Input'!$C$12,'1-Input'!$B$12,0))+J647*(1-'P-Parametri'!$B$6*I647))*(1+'1-Input'!$B$27))</f>
        <v>0</v>
      </c>
      <c r="L647" s="18">
        <f>IF($A647&gt;'1-Input'!$B$26,N646,(N646-J647)*(1+$C$4))</f>
        <v>-106311.95404341684</v>
      </c>
      <c r="M647" s="18">
        <f>IF($A647&gt;'1-Input'!$B$26,K647,K647-'P-Parametri'!$B$8*(L647+K647)+MIN(MAX(L647,0),'P-Parametri'!$B$8*(L647+K647)))</f>
        <v>0</v>
      </c>
      <c r="N647" s="18">
        <f>IF($A647&gt;'1-Input'!$B$26,L647,L647-MIN(MAX(L647,0),'P-Parametri'!$B$8*(L647+K647)))</f>
        <v>-106099.33013533</v>
      </c>
      <c r="O647" s="18">
        <f>IF($A647&gt;'1-Input'!$B$26,O646,O646-J647*(1-I647))</f>
        <v>-92929.184597347077</v>
      </c>
      <c r="P647" s="11">
        <f>IF($A647&gt;'1-Input'!$B$26,0,IF(U646&lt;=0,0,MAX(0,(U646-V646)/U646)))</f>
        <v>0.61970970845070961</v>
      </c>
      <c r="Q647" s="18">
        <f>IF($A647&gt;'1-Input'!$B$26,0,(MAX(0,P616-IF($A647&gt;='1-Input'!$C$12,'1-Input'!$B$12,0))-MIN(MAX(T646,0),MAX(0,P616-IF($A647&gt;='1-Input'!$C$12,'1-Input'!$B$12,0))))*(1/(1-'P-Parametri'!$B$6*P647))+MIN(MAX(0,U646-(MAX(0,P616-IF($A647&gt;='1-Input'!$C$12,'1-Input'!$B$12,0))-MIN(MAX(T646,0),MAX(0,P616-IF($A647&gt;='1-Input'!$C$12,'1-Input'!$B$12,0))))*(1/(1-'P-Parametri'!$B$6*P647))),MAX(0,5*P616-(T646-MIN(MAX(T646,0),MAX(0,P616-IF($A647&gt;='1-Input'!$C$12,'1-Input'!$B$12,0)))))*(1/(1-'P-Parametri'!$B$6*P647))))</f>
        <v>7218.514511343119</v>
      </c>
      <c r="R647" s="18">
        <f>IF($A647&gt;'1-Input'!$B$26,T646,(T646-MAX(0,P616-IF($A647&gt;='1-Input'!$C$12,'1-Input'!$B$12,0))+Q647*(1-'P-Parametri'!$B$6*P647))*(1+'1-Input'!$B$27))</f>
        <v>83966.9353144864</v>
      </c>
      <c r="S647" s="18">
        <f>IF($A647&gt;'1-Input'!$B$26,U646,(U646-Q647)*(1+$C$4))</f>
        <v>17012.562100251747</v>
      </c>
      <c r="T647" s="18">
        <f>IF($A647&gt;'1-Input'!$B$26,R647,R647-'P-Parametri'!$B$8*(S647+R647)+MIN(MAX(S647,0),'P-Parametri'!$B$8*(S647+R647)))</f>
        <v>83966.9353144864</v>
      </c>
      <c r="U647" s="18">
        <f>IF($A647&gt;'1-Input'!$B$26,S647,S647-MIN(MAX(S647,0),'P-Parametri'!$B$8*(S647+R647)))</f>
        <v>16810.603105422269</v>
      </c>
      <c r="V647" s="18">
        <f>IF($A647&gt;'1-Input'!$B$26,V646,V646-Q647*(1-P647))</f>
        <v>6281.2739816554804</v>
      </c>
      <c r="W647" s="11">
        <f>IF($A647&gt;'1-Input'!$B$26,0,IF(AB646&lt;=0,0,MAX(0,(AB646-AC646)/AB646)))</f>
        <v>0.61908563249389481</v>
      </c>
      <c r="X647" s="18">
        <f>IF($A647&gt;'1-Input'!$B$26,0,(MAX(0,W616-IF($A647&gt;='1-Input'!$C$12,'1-Input'!$B$12,0))-MIN(MAX(AA646,0),MAX(0,W616-IF($A647&gt;='1-Input'!$C$12,'1-Input'!$B$12,0))))*(1/(1-'P-Parametri'!$B$6*W647))+MIN(MAX(0,AB646-(MAX(0,W616-IF($A647&gt;='1-Input'!$C$12,'1-Input'!$B$12,0))-MIN(MAX(AA646,0),MAX(0,W616-IF($A647&gt;='1-Input'!$C$12,'1-Input'!$B$12,0))))*(1/(1-'P-Parametri'!$B$6*W647))),MAX(0,5*W616-(AA646-MIN(MAX(AA646,0),MAX(0,W616-IF($A647&gt;='1-Input'!$C$12,'1-Input'!$B$12,0)))))*(1/(1-'P-Parametri'!$B$6*W647))))</f>
        <v>7252.2805595989921</v>
      </c>
      <c r="Y647" s="18">
        <f>IF($A647&gt;'1-Input'!$B$26,AA646,(AA646-MAX(0,W616-IF($A647&gt;='1-Input'!$C$12,'1-Input'!$B$12,0))+X647*(1-'P-Parametri'!$B$6*W647))*(1+'1-Input'!$B$27))</f>
        <v>84111.316723481417</v>
      </c>
      <c r="Z647" s="18">
        <f>IF($A647&gt;'1-Input'!$B$26,AB646,(AB646-X647)*(1+$C$4))</f>
        <v>15190.799667498231</v>
      </c>
      <c r="AA647" s="18">
        <f>IF($A647&gt;'1-Input'!$B$26,Y647,Y647-'P-Parametri'!$B$8*(Z647+Y647)+MIN(MAX(Z647,0),'P-Parametri'!$B$8*(Z647+Y647)))</f>
        <v>84111.316723481417</v>
      </c>
      <c r="AB647" s="18">
        <f>IF($A647&gt;'1-Input'!$B$26,Z647,Z647-MIN(MAX(Z647,0),'P-Parametri'!$B$8*(Z647+Y647)))</f>
        <v>14992.195434716272</v>
      </c>
      <c r="AC647" s="18">
        <f>IF($A647&gt;'1-Input'!$B$26,AC646,AC646-X647*(1-W647))</f>
        <v>5617.8581041330508</v>
      </c>
      <c r="AD647" s="11">
        <f>IF($A647&gt;'1-Input'!$B$26,0,IF(AI646&lt;=0,0,MAX(0,(AI646-AJ646)/AI646)))</f>
        <v>0.61892841632390028</v>
      </c>
      <c r="AE647" s="18">
        <f>IF($A647&gt;'1-Input'!$B$26,0,(MAX(0,AD616-IF($A647&gt;='1-Input'!$C$12,'1-Input'!$B$12,0))-MIN(MAX(AH646,0),MAX(0,AD616-IF($A647&gt;='1-Input'!$C$12,'1-Input'!$B$12,0))))*(1/(1-'P-Parametri'!$B$6*AD647))+MIN(MAX(0,AI646-(MAX(0,AD616-IF($A647&gt;='1-Input'!$C$12,'1-Input'!$B$12,0))-MIN(MAX(AH646,0),MAX(0,AD616-IF($A647&gt;='1-Input'!$C$12,'1-Input'!$B$12,0))))*(1/(1-'P-Parametri'!$B$6*AD647))),MAX(0,5*AD616-(AH646-MIN(MAX(AH646,0),MAX(0,AD616-IF($A647&gt;='1-Input'!$C$12,'1-Input'!$B$12,0)))))*(1/(1-'P-Parametri'!$B$6*AD647))))</f>
        <v>7260.2335594941615</v>
      </c>
      <c r="AF647" s="18">
        <f>IF($A647&gt;'1-Input'!$B$26,AH646,(AH646-MAX(0,AD616-IF($A647&gt;='1-Input'!$C$12,'1-Input'!$B$12,0))+AE647*(1-'P-Parametri'!$B$6*AD647))*(1+'1-Input'!$B$27))</f>
        <v>84145.425501066202</v>
      </c>
      <c r="AG647" s="18">
        <f>IF($A647&gt;'1-Input'!$B$26,AI646,(AI646-AE647)*(1+$C$4))</f>
        <v>14760.486038756446</v>
      </c>
      <c r="AH647" s="18">
        <f>IF($A647&gt;'1-Input'!$B$26,AF647,AF647-'P-Parametri'!$B$8*(AG647+AF647)+MIN(MAX(AG647,0),'P-Parametri'!$B$8*(AG647+AF647)))</f>
        <v>84145.425501066202</v>
      </c>
      <c r="AI647" s="18">
        <f>IF($A647&gt;'1-Input'!$B$26,AG647,AG647-MIN(MAX(AG647,0),'P-Parametri'!$B$8*(AG647+AF647)))</f>
        <v>14562.674215676801</v>
      </c>
      <c r="AJ647" s="18">
        <f>IF($A647&gt;'1-Input'!$B$26,AJ646,AJ646-AE647*(1-AD647))</f>
        <v>5460.9726122503689</v>
      </c>
      <c r="AK647" s="11">
        <f>IF($A647&gt;'1-Input'!$B$26,0,IF(AP646&lt;=0,0,MAX(0,(AP646-AQ646)/AP646)))</f>
        <v>0.61894037448936157</v>
      </c>
      <c r="AL647" s="18">
        <f>IF($A647&gt;'1-Input'!$B$26,0,(MAX(0,AK616-IF($A647&gt;='1-Input'!$C$12,'1-Input'!$B$12,0))-MIN(MAX(AO646,0),MAX(0,AK616-IF($A647&gt;='1-Input'!$C$12,'1-Input'!$B$12,0))))*(1/(1-'P-Parametri'!$B$6*AK647))+MIN(MAX(0,AP646-(MAX(0,AK616-IF($A647&gt;='1-Input'!$C$12,'1-Input'!$B$12,0))-MIN(MAX(AO646,0),MAX(0,AK616-IF($A647&gt;='1-Input'!$C$12,'1-Input'!$B$12,0))))*(1/(1-'P-Parametri'!$B$6*AK647))),MAX(0,5*AK616-(AO646-MIN(MAX(AO646,0),MAX(0,AK616-IF($A647&gt;='1-Input'!$C$12,'1-Input'!$B$12,0)))))*(1/(1-'P-Parametri'!$B$6*AK647))))</f>
        <v>7259.6360714253769</v>
      </c>
      <c r="AM647" s="18">
        <f>IF($A647&gt;'1-Input'!$B$26,AO646,(AO646-MAX(0,AK616-IF($A647&gt;='1-Input'!$C$12,'1-Input'!$B$12,0))+AL647*(1-'P-Parametri'!$B$6*AK647))*(1+'1-Input'!$B$27))</f>
        <v>84142.861530128604</v>
      </c>
      <c r="AN647" s="18">
        <f>IF($A647&gt;'1-Input'!$B$26,AP646,(AP646-AL647)*(1+$C$4))</f>
        <v>14792.832039160898</v>
      </c>
      <c r="AO647" s="18">
        <f>IF($A647&gt;'1-Input'!$B$26,AM647,AM647-'P-Parametri'!$B$8*(AN647+AM647)+MIN(MAX(AN647,0),'P-Parametri'!$B$8*(AN647+AM647)))</f>
        <v>84142.861530128604</v>
      </c>
      <c r="AP647" s="18">
        <f>IF($A647&gt;'1-Input'!$B$26,AN647,AN647-MIN(MAX(AN647,0),'P-Parametri'!$B$8*(AN647+AM647)))</f>
        <v>14594.960652022319</v>
      </c>
      <c r="AQ647" s="18">
        <f>IF($A647&gt;'1-Input'!$B$26,AQ646,AQ646-AL647*(1-AK647))</f>
        <v>5472.7679971693451</v>
      </c>
    </row>
    <row r="648" spans="1:43">
      <c r="A648" s="10">
        <f>30</f>
        <v>30</v>
      </c>
      <c r="B648" s="11">
        <f>IF($A648&gt;'1-Input'!$B$26,0,IF(G647&lt;=0,0,MAX(0,(G647-H647)/G647)))</f>
        <v>0.63052903975796426</v>
      </c>
      <c r="C648" s="18">
        <f>IF($A648&gt;'1-Input'!$B$26,0,(MAX(0,B616-IF($A648&gt;='1-Input'!$C$12,'1-Input'!$B$12,0))-MIN(MAX(F647,0),MAX(0,B616-IF($A648&gt;='1-Input'!$C$12,'1-Input'!$B$12,0))))*(1/(1-'P-Parametri'!$B$6*B648))+MIN(MAX(0,G647-(MAX(0,B616-IF($A648&gt;='1-Input'!$C$12,'1-Input'!$B$12,0))-MIN(MAX(F647,0),MAX(0,B616-IF($A648&gt;='1-Input'!$C$12,'1-Input'!$B$12,0))))*(1/(1-'P-Parametri'!$B$6*B648))),MAX(0,5*B616-(F647-MIN(MAX(F647,0),MAX(0,B616-IF($A648&gt;='1-Input'!$C$12,'1-Input'!$B$12,0)))))*(1/(1-'P-Parametri'!$B$6*B648))))</f>
        <v>7032.1473146645994</v>
      </c>
      <c r="D648" s="18">
        <f>IF($A648&gt;'1-Input'!$B$26,F647,(F647-MAX(0,B616-IF($A648&gt;='1-Input'!$C$12,'1-Input'!$B$12,0))+C648*(1-'P-Parametri'!$B$6*B648))*(1+'1-Input'!$B$27))</f>
        <v>83105.01757746574</v>
      </c>
      <c r="E648" s="18">
        <f>IF($A648&gt;'1-Input'!$B$26,G647,(G647-C648)*(1+$C$4))</f>
        <v>21259.768493474166</v>
      </c>
      <c r="F648" s="18">
        <f>IF($A648&gt;'1-Input'!$B$26,D648,D648-'P-Parametri'!$B$8*(E648+D648)+MIN(MAX(E648,0),'P-Parametri'!$B$8*(E648+D648)))</f>
        <v>83105.01757746574</v>
      </c>
      <c r="G648" s="18">
        <f>IF($A648&gt;'1-Input'!$B$26,E648,E648-MIN(MAX(E648,0),'P-Parametri'!$B$8*(E648+D648)))</f>
        <v>21051.038921332285</v>
      </c>
      <c r="H648" s="18">
        <f>IF($A648&gt;'1-Input'!$B$26,H647,H647-C648*(1-B648))</f>
        <v>7626.0845435022129</v>
      </c>
      <c r="I648" s="11">
        <f>IF($A648&gt;'1-Input'!$B$26,0,IF(N647&lt;=0,0,MAX(0,(N647-O647)/N647)))</f>
        <v>0</v>
      </c>
      <c r="J648" s="18">
        <f>IF($A648&gt;'1-Input'!$B$26,0,(MAX(0,I616-IF($A648&gt;='1-Input'!$C$12,'1-Input'!$B$12,0))-MIN(MAX(M647,0),MAX(0,I616-IF($A648&gt;='1-Input'!$C$12,'1-Input'!$B$12,0))))*(1/(1-'P-Parametri'!$B$6*I648))+MIN(MAX(0,N647-(MAX(0,I616-IF($A648&gt;='1-Input'!$C$12,'1-Input'!$B$12,0))-MIN(MAX(M647,0),MAX(0,I616-IF($A648&gt;='1-Input'!$C$12,'1-Input'!$B$12,0))))*(1/(1-'P-Parametri'!$B$6*I648))),MAX(0,5*I616-(M647-MIN(MAX(M647,0),MAX(0,I616-IF($A648&gt;='1-Input'!$C$12,'1-Input'!$B$12,0)))))*(1/(1-'P-Parametri'!$B$6*I648))))</f>
        <v>10846.756992928691</v>
      </c>
      <c r="K648" s="18">
        <f>IF($A648&gt;'1-Input'!$B$26,M647,(M647-MAX(0,I616-IF($A648&gt;='1-Input'!$C$12,'1-Input'!$B$12,0))+J648*(1-'P-Parametri'!$B$6*I648))*(1+'1-Input'!$B$27))</f>
        <v>0</v>
      </c>
      <c r="L648" s="18">
        <f>IF($A648&gt;'1-Input'!$B$26,N647,(N647-J648)*(1+$C$4))</f>
        <v>-120454.46974210645</v>
      </c>
      <c r="M648" s="18">
        <f>IF($A648&gt;'1-Input'!$B$26,K648,K648-'P-Parametri'!$B$8*(L648+K648)+MIN(MAX(L648,0),'P-Parametri'!$B$8*(L648+K648)))</f>
        <v>0</v>
      </c>
      <c r="N648" s="18">
        <f>IF($A648&gt;'1-Input'!$B$26,L648,L648-MIN(MAX(L648,0),'P-Parametri'!$B$8*(L648+K648)))</f>
        <v>-120213.56080262223</v>
      </c>
      <c r="O648" s="18">
        <f>IF($A648&gt;'1-Input'!$B$26,O647,O647-J648*(1-I648))</f>
        <v>-103775.94159027576</v>
      </c>
      <c r="P648" s="11">
        <f>IF($A648&gt;'1-Input'!$B$26,0,IF(U647&lt;=0,0,MAX(0,(U647-V647)/U647)))</f>
        <v>0.62635046807871797</v>
      </c>
      <c r="Q648" s="18">
        <f>IF($A648&gt;'1-Input'!$B$26,0,(MAX(0,P616-IF($A648&gt;='1-Input'!$C$12,'1-Input'!$B$12,0))-MIN(MAX(T647,0),MAX(0,P616-IF($A648&gt;='1-Input'!$C$12,'1-Input'!$B$12,0))))*(1/(1-'P-Parametri'!$B$6*P648))+MIN(MAX(0,U647-(MAX(0,P616-IF($A648&gt;='1-Input'!$C$12,'1-Input'!$B$12,0))-MIN(MAX(T647,0),MAX(0,P616-IF($A648&gt;='1-Input'!$C$12,'1-Input'!$B$12,0))))*(1/(1-'P-Parametri'!$B$6*P648))),MAX(0,5*P616-(T647-MIN(MAX(T647,0),MAX(0,P616-IF($A648&gt;='1-Input'!$C$12,'1-Input'!$B$12,0)))))*(1/(1-'P-Parametri'!$B$6*P648))))</f>
        <v>7233.4025073206185</v>
      </c>
      <c r="R648" s="18">
        <f>IF($A648&gt;'1-Input'!$B$26,T647,(T647-MAX(0,P616-IF($A648&gt;='1-Input'!$C$12,'1-Input'!$B$12,0))+Q648*(1-'P-Parametri'!$B$6*P648))*(1+'1-Input'!$B$27))</f>
        <v>83966.9353144864</v>
      </c>
      <c r="S648" s="18">
        <f>IF($A648&gt;'1-Input'!$B$26,U647,(U647-Q648)*(1+$C$4))</f>
        <v>9864.5166160447025</v>
      </c>
      <c r="T648" s="18">
        <f>IF($A648&gt;'1-Input'!$B$26,R648,R648-'P-Parametri'!$B$8*(S648+R648)+MIN(MAX(S648,0),'P-Parametri'!$B$8*(S648+R648)))</f>
        <v>83966.9353144864</v>
      </c>
      <c r="U648" s="18">
        <f>IF($A648&gt;'1-Input'!$B$26,S648,S648-MIN(MAX(S648,0),'P-Parametri'!$B$8*(S648+R648)))</f>
        <v>9676.8537121836398</v>
      </c>
      <c r="V648" s="18">
        <f>IF($A648&gt;'1-Input'!$B$26,V647,V647-Q648*(1-P648))</f>
        <v>3578.5165205969033</v>
      </c>
      <c r="W648" s="11">
        <f>IF($A648&gt;'1-Input'!$B$26,0,IF(AB647&lt;=0,0,MAX(0,(AB647-AC647)/AB647)))</f>
        <v>0.62528115854705246</v>
      </c>
      <c r="X648" s="18">
        <f>IF($A648&gt;'1-Input'!$B$26,0,(MAX(0,W616-IF($A648&gt;='1-Input'!$C$12,'1-Input'!$B$12,0))-MIN(MAX(AA647,0),MAX(0,W616-IF($A648&gt;='1-Input'!$C$12,'1-Input'!$B$12,0))))*(1/(1-'P-Parametri'!$B$6*W648))+MIN(MAX(0,AB647-(MAX(0,W616-IF($A648&gt;='1-Input'!$C$12,'1-Input'!$B$12,0))-MIN(MAX(AA647,0),MAX(0,W616-IF($A648&gt;='1-Input'!$C$12,'1-Input'!$B$12,0))))*(1/(1-'P-Parametri'!$B$6*W648))),MAX(0,5*W616-(AA647-MIN(MAX(AA647,0),MAX(0,W616-IF($A648&gt;='1-Input'!$C$12,'1-Input'!$B$12,0)))))*(1/(1-'P-Parametri'!$B$6*W648))))</f>
        <v>7266.2307207850245</v>
      </c>
      <c r="Y648" s="18">
        <f>IF($A648&gt;'1-Input'!$B$26,AA647,(AA647-MAX(0,W616-IF($A648&gt;='1-Input'!$C$12,'1-Input'!$B$12,0))+X648*(1-'P-Parametri'!$B$6*W648))*(1+'1-Input'!$B$27))</f>
        <v>84111.316723481417</v>
      </c>
      <c r="Z648" s="18">
        <f>IF($A648&gt;'1-Input'!$B$26,AB647,(AB647-X648)*(1+$C$4))</f>
        <v>7957.7436553491852</v>
      </c>
      <c r="AA648" s="18">
        <f>IF($A648&gt;'1-Input'!$B$26,Y648,Y648-'P-Parametri'!$B$8*(Z648+Y648)+MIN(MAX(Z648,0),'P-Parametri'!$B$8*(Z648+Y648)))</f>
        <v>84111.316723481417</v>
      </c>
      <c r="AB648" s="18">
        <f>IF($A648&gt;'1-Input'!$B$26,Z648,Z648-MIN(MAX(Z648,0),'P-Parametri'!$B$8*(Z648+Y648)))</f>
        <v>7773.6055345915238</v>
      </c>
      <c r="AC648" s="18">
        <f>IF($A648&gt;'1-Input'!$B$26,AC647,AC647-X648*(1-W648))</f>
        <v>2895.0645467106706</v>
      </c>
      <c r="AD648" s="11">
        <f>IF($A648&gt;'1-Input'!$B$26,0,IF(AI647&lt;=0,0,MAX(0,(AI647-AJ647)/AI647)))</f>
        <v>0.62500207507412331</v>
      </c>
      <c r="AE648" s="18">
        <f>IF($A648&gt;'1-Input'!$B$26,0,(MAX(0,AD616-IF($A648&gt;='1-Input'!$C$12,'1-Input'!$B$12,0))-MIN(MAX(AH647,0),MAX(0,AD616-IF($A648&gt;='1-Input'!$C$12,'1-Input'!$B$12,0))))*(1/(1-'P-Parametri'!$B$6*AD648))+MIN(MAX(0,AI647-(MAX(0,AD616-IF($A648&gt;='1-Input'!$C$12,'1-Input'!$B$12,0))-MIN(MAX(AH647,0),MAX(0,AD616-IF($A648&gt;='1-Input'!$C$12,'1-Input'!$B$12,0))))*(1/(1-'P-Parametri'!$B$6*AD648))),MAX(0,5*AD616-(AH647-MIN(MAX(AH647,0),MAX(0,AD616-IF($A648&gt;='1-Input'!$C$12,'1-Input'!$B$12,0)))))*(1/(1-'P-Parametri'!$B$6*AD648))))</f>
        <v>7273.9231290087646</v>
      </c>
      <c r="AF648" s="18">
        <f>IF($A648&gt;'1-Input'!$B$26,AH647,(AH647-MAX(0,AD616-IF($A648&gt;='1-Input'!$C$12,'1-Input'!$B$12,0))+AE648*(1-'P-Parametri'!$B$6*AD648))*(1+'1-Input'!$B$27))</f>
        <v>84145.425501066202</v>
      </c>
      <c r="AG648" s="18">
        <f>IF($A648&gt;'1-Input'!$B$26,AI647,(AI647-AE648)*(1+$C$4))</f>
        <v>7507.413619268078</v>
      </c>
      <c r="AH648" s="18">
        <f>IF($A648&gt;'1-Input'!$B$26,AF648,AF648-'P-Parametri'!$B$8*(AG648+AF648)+MIN(MAX(AG648,0),'P-Parametri'!$B$8*(AG648+AF648)))</f>
        <v>84145.425501066202</v>
      </c>
      <c r="AI648" s="18">
        <f>IF($A648&gt;'1-Input'!$B$26,AG648,AG648-MIN(MAX(AG648,0),'P-Parametri'!$B$8*(AG648+AF648)))</f>
        <v>7324.1079410274097</v>
      </c>
      <c r="AJ648" s="18">
        <f>IF($A648&gt;'1-Input'!$B$26,AJ647,AJ647-AE648*(1-AD648))</f>
        <v>2733.266532801742</v>
      </c>
      <c r="AK648" s="11">
        <f>IF($A648&gt;'1-Input'!$B$26,0,IF(AP647&lt;=0,0,MAX(0,(AP647-AQ647)/AP647)))</f>
        <v>0.62502344969247836</v>
      </c>
      <c r="AL648" s="18">
        <f>IF($A648&gt;'1-Input'!$B$26,0,(MAX(0,AK616-IF($A648&gt;='1-Input'!$C$12,'1-Input'!$B$12,0))-MIN(MAX(AO647,0),MAX(0,AK616-IF($A648&gt;='1-Input'!$C$12,'1-Input'!$B$12,0))))*(1/(1-'P-Parametri'!$B$6*AK648))+MIN(MAX(0,AP647-(MAX(0,AK616-IF($A648&gt;='1-Input'!$C$12,'1-Input'!$B$12,0))-MIN(MAX(AO647,0),MAX(0,AK616-IF($A648&gt;='1-Input'!$C$12,'1-Input'!$B$12,0))))*(1/(1-'P-Parametri'!$B$6*AK648))),MAX(0,5*AK616-(AO647-MIN(MAX(AO647,0),MAX(0,AK616-IF($A648&gt;='1-Input'!$C$12,'1-Input'!$B$12,0)))))*(1/(1-'P-Parametri'!$B$6*AK648))))</f>
        <v>7273.3458275464754</v>
      </c>
      <c r="AM648" s="18">
        <f>IF($A648&gt;'1-Input'!$B$26,AO647,(AO647-MAX(0,AK616-IF($A648&gt;='1-Input'!$C$12,'1-Input'!$B$12,0))+AL648*(1-'P-Parametri'!$B$6*AK648))*(1+'1-Input'!$B$27))</f>
        <v>84142.861530128604</v>
      </c>
      <c r="AN648" s="18">
        <f>IF($A648&gt;'1-Input'!$B$26,AP647,(AP647-AL648)*(1+$C$4))</f>
        <v>7541.2632692101188</v>
      </c>
      <c r="AO648" s="18">
        <f>IF($A648&gt;'1-Input'!$B$26,AM648,AM648-'P-Parametri'!$B$8*(AN648+AM648)+MIN(MAX(AN648,0),'P-Parametri'!$B$8*(AN648+AM648)))</f>
        <v>84142.861530128604</v>
      </c>
      <c r="AP648" s="18">
        <f>IF($A648&gt;'1-Input'!$B$26,AN648,AN648-MIN(MAX(AN648,0),'P-Parametri'!$B$8*(AN648+AM648)))</f>
        <v>7357.8950196114411</v>
      </c>
      <c r="AQ648" s="18">
        <f>IF($A648&gt;'1-Input'!$B$26,AQ647,AQ647-AL648*(1-AK648))</f>
        <v>2745.4338695623615</v>
      </c>
    </row>
    <row r="649" spans="1:43">
      <c r="A649" s="10">
        <f>31</f>
        <v>31</v>
      </c>
      <c r="B649" s="11">
        <f>IF($A649&gt;'1-Input'!$B$26,0,IF(G648&lt;=0,0,MAX(0,(G648-H648)/G648)))</f>
        <v>0.637733578280821</v>
      </c>
      <c r="C649" s="18">
        <f>IF($A649&gt;'1-Input'!$B$26,0,(MAX(0,B616-IF($A649&gt;='1-Input'!$C$12,'1-Input'!$B$12,0))-MIN(MAX(F648,0),MAX(0,B616-IF($A649&gt;='1-Input'!$C$12,'1-Input'!$B$12,0))))*(1/(1-'P-Parametri'!$B$6*B649))+MIN(MAX(0,G648-(MAX(0,B616-IF($A649&gt;='1-Input'!$C$12,'1-Input'!$B$12,0))-MIN(MAX(F648,0),MAX(0,B616-IF($A649&gt;='1-Input'!$C$12,'1-Input'!$B$12,0))))*(1/(1-'P-Parametri'!$B$6*B649))),MAX(0,5*B616-(F648-MIN(MAX(F648,0),MAX(0,B616-IF($A649&gt;='1-Input'!$C$12,'1-Input'!$B$12,0)))))*(1/(1-'P-Parametri'!$B$6*B649))))</f>
        <v>7047.938068991336</v>
      </c>
      <c r="D649" s="18">
        <f>IF($A649&gt;'1-Input'!$B$26,F648,(F648-MAX(0,B616-IF($A649&gt;='1-Input'!$C$12,'1-Input'!$B$12,0))+C649*(1-'P-Parametri'!$B$6*B649))*(1+'1-Input'!$B$27))</f>
        <v>83105.01757746574</v>
      </c>
      <c r="E649" s="18">
        <f>IF($A649&gt;'1-Input'!$B$26,G648,(G648-C649)*(1+$C$4))</f>
        <v>14423.193877911179</v>
      </c>
      <c r="F649" s="18">
        <f>IF($A649&gt;'1-Input'!$B$26,D649,D649-'P-Parametri'!$B$8*(E649+D649)+MIN(MAX(E649,0),'P-Parametri'!$B$8*(E649+D649)))</f>
        <v>83105.01757746574</v>
      </c>
      <c r="G649" s="18">
        <f>IF($A649&gt;'1-Input'!$B$26,E649,E649-MIN(MAX(E649,0),'P-Parametri'!$B$8*(E649+D649)))</f>
        <v>14228.137455000426</v>
      </c>
      <c r="H649" s="18">
        <f>IF($A649&gt;'1-Input'!$B$26,H648,H648-C649*(1-B649))</f>
        <v>5072.8532387503419</v>
      </c>
      <c r="I649" s="11">
        <f>IF($A649&gt;'1-Input'!$B$26,0,IF(N648&lt;=0,0,MAX(0,(N648-O648)/N648)))</f>
        <v>0</v>
      </c>
      <c r="J649" s="18">
        <f>IF($A649&gt;'1-Input'!$B$26,0,(MAX(0,I616-IF($A649&gt;='1-Input'!$C$12,'1-Input'!$B$12,0))-MIN(MAX(M648,0),MAX(0,I616-IF($A649&gt;='1-Input'!$C$12,'1-Input'!$B$12,0))))*(1/(1-'P-Parametri'!$B$6*I649))+MIN(MAX(0,N648-(MAX(0,I616-IF($A649&gt;='1-Input'!$C$12,'1-Input'!$B$12,0))-MIN(MAX(M648,0),MAX(0,I616-IF($A649&gt;='1-Input'!$C$12,'1-Input'!$B$12,0))))*(1/(1-'P-Parametri'!$B$6*I649))),MAX(0,5*I616-(M648-MIN(MAX(M648,0),MAX(0,I616-IF($A649&gt;='1-Input'!$C$12,'1-Input'!$B$12,0)))))*(1/(1-'P-Parametri'!$B$6*I649))))</f>
        <v>10846.756992928691</v>
      </c>
      <c r="K649" s="18">
        <f>IF($A649&gt;'1-Input'!$B$26,M648,(M648-MAX(0,I616-IF($A649&gt;='1-Input'!$C$12,'1-Input'!$B$12,0))+J649*(1-'P-Parametri'!$B$6*I649))*(1+'1-Input'!$B$27))</f>
        <v>0</v>
      </c>
      <c r="L649" s="18">
        <f>IF($A649&gt;'1-Input'!$B$26,N648,(N648-J649)*(1+$C$4))</f>
        <v>-134992.12732941745</v>
      </c>
      <c r="M649" s="18">
        <f>IF($A649&gt;'1-Input'!$B$26,K649,K649-'P-Parametri'!$B$8*(L649+K649)+MIN(MAX(L649,0),'P-Parametri'!$B$8*(L649+K649)))</f>
        <v>0</v>
      </c>
      <c r="N649" s="18">
        <f>IF($A649&gt;'1-Input'!$B$26,L649,L649-MIN(MAX(L649,0),'P-Parametri'!$B$8*(L649+K649)))</f>
        <v>-134722.14307475861</v>
      </c>
      <c r="O649" s="18">
        <f>IF($A649&gt;'1-Input'!$B$26,O648,O648-J649*(1-I649))</f>
        <v>-114622.69858320444</v>
      </c>
      <c r="P649" s="11">
        <f>IF($A649&gt;'1-Input'!$B$26,0,IF(U648&lt;=0,0,MAX(0,(U648-V648)/U648)))</f>
        <v>0.63019834472733904</v>
      </c>
      <c r="Q649" s="18">
        <f>IF($A649&gt;'1-Input'!$B$26,0,(MAX(0,P616-IF($A649&gt;='1-Input'!$C$12,'1-Input'!$B$12,0))-MIN(MAX(T648,0),MAX(0,P616-IF($A649&gt;='1-Input'!$C$12,'1-Input'!$B$12,0))))*(1/(1-'P-Parametri'!$B$6*P649))+MIN(MAX(0,U648-(MAX(0,P616-IF($A649&gt;='1-Input'!$C$12,'1-Input'!$B$12,0))-MIN(MAX(T648,0),MAX(0,P616-IF($A649&gt;='1-Input'!$C$12,'1-Input'!$B$12,0))))*(1/(1-'P-Parametri'!$B$6*P649))),MAX(0,5*P616-(T648-MIN(MAX(T648,0),MAX(0,P616-IF($A649&gt;='1-Input'!$C$12,'1-Input'!$B$12,0)))))*(1/(1-'P-Parametri'!$B$6*P649))))</f>
        <v>7242.0572416867035</v>
      </c>
      <c r="R649" s="18">
        <f>IF($A649&gt;'1-Input'!$B$26,T648,(T648-MAX(0,P616-IF($A649&gt;='1-Input'!$C$12,'1-Input'!$B$12,0))+Q649*(1-'P-Parametri'!$B$6*P649))*(1+'1-Input'!$B$27))</f>
        <v>83966.9353144864</v>
      </c>
      <c r="S649" s="18">
        <f>IF($A649&gt;'1-Input'!$B$26,U648,(U648-Q649)*(1+$C$4))</f>
        <v>2507.8403646118445</v>
      </c>
      <c r="T649" s="18">
        <f>IF($A649&gt;'1-Input'!$B$26,R649,R649-'P-Parametri'!$B$8*(S649+R649)+MIN(MAX(S649,0),'P-Parametri'!$B$8*(S649+R649)))</f>
        <v>83966.9353144864</v>
      </c>
      <c r="U649" s="18">
        <f>IF($A649&gt;'1-Input'!$B$26,S649,S649-MIN(MAX(S649,0),'P-Parametri'!$B$8*(S649+R649)))</f>
        <v>2334.890813253648</v>
      </c>
      <c r="V649" s="18">
        <f>IF($A649&gt;'1-Input'!$B$26,V648,V648-Q649*(1-P649))</f>
        <v>900.39176504179932</v>
      </c>
      <c r="W649" s="11">
        <f>IF($A649&gt;'1-Input'!$B$26,0,IF(AB648&lt;=0,0,MAX(0,(AB648-AC648)/AB648)))</f>
        <v>0.62757763642263376</v>
      </c>
      <c r="X649" s="18">
        <f>IF($A649&gt;'1-Input'!$B$26,0,(MAX(0,W616-IF($A649&gt;='1-Input'!$C$12,'1-Input'!$B$12,0))-MIN(MAX(AA648,0),MAX(0,W616-IF($A649&gt;='1-Input'!$C$12,'1-Input'!$B$12,0))))*(1/(1-'P-Parametri'!$B$6*W649))+MIN(MAX(0,AB648-(MAX(0,W616-IF($A649&gt;='1-Input'!$C$12,'1-Input'!$B$12,0))-MIN(MAX(AA648,0),MAX(0,W616-IF($A649&gt;='1-Input'!$C$12,'1-Input'!$B$12,0))))*(1/(1-'P-Parametri'!$B$6*W649))),MAX(0,5*W616-(AA648-MIN(MAX(AA648,0),MAX(0,W616-IF($A649&gt;='1-Input'!$C$12,'1-Input'!$B$12,0)))))*(1/(1-'P-Parametri'!$B$6*W649))))</f>
        <v>7271.4152300219675</v>
      </c>
      <c r="Y649" s="18">
        <f>IF($A649&gt;'1-Input'!$B$26,AA648,(AA648-MAX(0,W616-IF($A649&gt;='1-Input'!$C$12,'1-Input'!$B$12,0))+X649*(1-'P-Parametri'!$B$6*W649))*(1+'1-Input'!$B$27))</f>
        <v>84111.316723481417</v>
      </c>
      <c r="Z649" s="18">
        <f>IF($A649&gt;'1-Input'!$B$26,AB648,(AB648-X649)*(1+$C$4))</f>
        <v>517.25601370664299</v>
      </c>
      <c r="AA649" s="18">
        <f>IF($A649&gt;'1-Input'!$B$26,Y649,Y649-'P-Parametri'!$B$8*(Z649+Y649)+MIN(MAX(Z649,0),'P-Parametri'!$B$8*(Z649+Y649)))</f>
        <v>84111.316723481417</v>
      </c>
      <c r="AB649" s="18">
        <f>IF($A649&gt;'1-Input'!$B$26,Z649,Z649-MIN(MAX(Z649,0),'P-Parametri'!$B$8*(Z649+Y649)))</f>
        <v>347.99886823226689</v>
      </c>
      <c r="AC649" s="18">
        <f>IF($A649&gt;'1-Input'!$B$26,AC648,AC648-X649*(1-W649))</f>
        <v>187.02690019343117</v>
      </c>
      <c r="AD649" s="11">
        <f>IF($A649&gt;'1-Input'!$B$26,0,IF(AI648&lt;=0,0,MAX(0,(AI648-AJ648)/AI648)))</f>
        <v>0.62681236338819912</v>
      </c>
      <c r="AE649" s="18">
        <f>IF($A649&gt;'1-Input'!$B$26,0,(MAX(0,AD616-IF($A649&gt;='1-Input'!$C$12,'1-Input'!$B$12,0))-MIN(MAX(AH648,0),MAX(0,AD616-IF($A649&gt;='1-Input'!$C$12,'1-Input'!$B$12,0))))*(1/(1-'P-Parametri'!$B$6*AD649))+MIN(MAX(0,AI648-(MAX(0,AD616-IF($A649&gt;='1-Input'!$C$12,'1-Input'!$B$12,0))-MIN(MAX(AH648,0),MAX(0,AD616-IF($A649&gt;='1-Input'!$C$12,'1-Input'!$B$12,0))))*(1/(1-'P-Parametri'!$B$6*AD649))),MAX(0,5*AD616-(AH648-MIN(MAX(AH648,0),MAX(0,AD616-IF($A649&gt;='1-Input'!$C$12,'1-Input'!$B$12,0)))))*(1/(1-'P-Parametri'!$B$6*AD649))))</f>
        <v>7278.0133748271801</v>
      </c>
      <c r="AF649" s="18">
        <f>IF($A649&gt;'1-Input'!$B$26,AH648,(AH648-MAX(0,AD616-IF($A649&gt;='1-Input'!$C$12,'1-Input'!$B$12,0))+AE649*(1-'P-Parametri'!$B$6*AD649))*(1+'1-Input'!$B$27))</f>
        <v>84145.425501066202</v>
      </c>
      <c r="AG649" s="18">
        <f>IF($A649&gt;'1-Input'!$B$26,AI648,(AI648-AE649)*(1+$C$4))</f>
        <v>47.477403186236451</v>
      </c>
      <c r="AH649" s="18">
        <f>IF($A649&gt;'1-Input'!$B$26,AF649,AF649-'P-Parametri'!$B$8*(AG649+AF649)+MIN(MAX(AG649,0),'P-Parametri'!$B$8*(AG649+AF649)))</f>
        <v>84024.517098443932</v>
      </c>
      <c r="AI649" s="18">
        <f>IF($A649&gt;'1-Input'!$B$26,AG649,AG649-MIN(MAX(AG649,0),'P-Parametri'!$B$8*(AG649+AF649)))</f>
        <v>0</v>
      </c>
      <c r="AJ649" s="18">
        <f>IF($A649&gt;'1-Input'!$B$26,AJ648,AJ648-AE649*(1-AD649))</f>
        <v>17.201922220909637</v>
      </c>
      <c r="AK649" s="11">
        <f>IF($A649&gt;'1-Input'!$B$26,0,IF(AP648&lt;=0,0,MAX(0,(AP648-AQ648)/AP648)))</f>
        <v>0.62687237827601627</v>
      </c>
      <c r="AL649" s="18">
        <f>IF($A649&gt;'1-Input'!$B$26,0,(MAX(0,AK616-IF($A649&gt;='1-Input'!$C$12,'1-Input'!$B$12,0))-MIN(MAX(AO648,0),MAX(0,AK616-IF($A649&gt;='1-Input'!$C$12,'1-Input'!$B$12,0))))*(1/(1-'P-Parametri'!$B$6*AK649))+MIN(MAX(0,AP648-(MAX(0,AK616-IF($A649&gt;='1-Input'!$C$12,'1-Input'!$B$12,0))-MIN(MAX(AO648,0),MAX(0,AK616-IF($A649&gt;='1-Input'!$C$12,'1-Input'!$B$12,0))))*(1/(1-'P-Parametri'!$B$6*AK649))),MAX(0,5*AK616-(AO648-MIN(MAX(AO648,0),MAX(0,AK616-IF($A649&gt;='1-Input'!$C$12,'1-Input'!$B$12,0)))))*(1/(1-'P-Parametri'!$B$6*AK649))))</f>
        <v>7277.5231252238264</v>
      </c>
      <c r="AM649" s="18">
        <f>IF($A649&gt;'1-Input'!$B$26,AO648,(AO648-MAX(0,AK616-IF($A649&gt;='1-Input'!$C$12,'1-Input'!$B$12,0))+AL649*(1-'P-Parametri'!$B$6*AK649))*(1+'1-Input'!$B$27))</f>
        <v>84142.861530128604</v>
      </c>
      <c r="AN649" s="18">
        <f>IF($A649&gt;'1-Input'!$B$26,AP648,(AP648-AL649)*(1+$C$4))</f>
        <v>82.783051219243148</v>
      </c>
      <c r="AO649" s="18">
        <f>IF($A649&gt;'1-Input'!$B$26,AM649,AM649-'P-Parametri'!$B$8*(AN649+AM649)+MIN(MAX(AN649,0),'P-Parametri'!$B$8*(AN649+AM649)))</f>
        <v>84057.193292185155</v>
      </c>
      <c r="AP649" s="18">
        <f>IF($A649&gt;'1-Input'!$B$26,AN649,AN649-MIN(MAX(AN649,0),'P-Parametri'!$B$8*(AN649+AM649)))</f>
        <v>0</v>
      </c>
      <c r="AQ649" s="18">
        <f>IF($A649&gt;'1-Input'!$B$26,AQ648,AQ648-AL649*(1-AK649))</f>
        <v>29.988973806301601</v>
      </c>
    </row>
    <row r="650" spans="1:43">
      <c r="A650" s="10">
        <f>32</f>
        <v>32</v>
      </c>
      <c r="B650" s="11">
        <f>IF($A650&gt;'1-Input'!$B$26,0,IF(G649&lt;=0,0,MAX(0,(G649-H649)/G649)))</f>
        <v>0.64346329554417492</v>
      </c>
      <c r="C650" s="18">
        <f>IF($A650&gt;'1-Input'!$B$26,0,(MAX(0,B616-IF($A650&gt;='1-Input'!$C$12,'1-Input'!$B$12,0))-MIN(MAX(F649,0),MAX(0,B616-IF($A650&gt;='1-Input'!$C$12,'1-Input'!$B$12,0))))*(1/(1-'P-Parametri'!$B$6*B650))+MIN(MAX(0,G649-(MAX(0,B616-IF($A650&gt;='1-Input'!$C$12,'1-Input'!$B$12,0))-MIN(MAX(F649,0),MAX(0,B616-IF($A650&gt;='1-Input'!$C$12,'1-Input'!$B$12,0))))*(1/(1-'P-Parametri'!$B$6*B650))),MAX(0,5*B616-(F649-MIN(MAX(F649,0),MAX(0,B616-IF($A650&gt;='1-Input'!$C$12,'1-Input'!$B$12,0)))))*(1/(1-'P-Parametri'!$B$6*B650))))</f>
        <v>7060.5470587725258</v>
      </c>
      <c r="D650" s="18">
        <f>IF($A650&gt;'1-Input'!$B$26,F649,(F649-MAX(0,B616-IF($A650&gt;='1-Input'!$C$12,'1-Input'!$B$12,0))+C650*(1-'P-Parametri'!$B$6*B650))*(1+'1-Input'!$B$27))</f>
        <v>83105.01757746574</v>
      </c>
      <c r="E650" s="18">
        <f>IF($A650&gt;'1-Input'!$B$26,G649,(G649-C650)*(1+$C$4))</f>
        <v>7382.618108114737</v>
      </c>
      <c r="F650" s="18">
        <f>IF($A650&gt;'1-Input'!$B$26,D650,D650-'P-Parametri'!$B$8*(E650+D650)+MIN(MAX(E650,0),'P-Parametri'!$B$8*(E650+D650)))</f>
        <v>83105.01757746574</v>
      </c>
      <c r="G650" s="18">
        <f>IF($A650&gt;'1-Input'!$B$26,E650,E650-MIN(MAX(E650,0),'P-Parametri'!$B$8*(E650+D650)))</f>
        <v>7201.6428367435756</v>
      </c>
      <c r="H650" s="18">
        <f>IF($A650&gt;'1-Input'!$B$26,H649,H649-C650*(1-B650))</f>
        <v>2555.5090587603167</v>
      </c>
      <c r="I650" s="11">
        <f>IF($A650&gt;'1-Input'!$B$26,0,IF(N649&lt;=0,0,MAX(0,(N649-O649)/N649)))</f>
        <v>0</v>
      </c>
      <c r="J650" s="18">
        <f>IF($A650&gt;'1-Input'!$B$26,0,(MAX(0,I616-IF($A650&gt;='1-Input'!$C$12,'1-Input'!$B$12,0))-MIN(MAX(M649,0),MAX(0,I616-IF($A650&gt;='1-Input'!$C$12,'1-Input'!$B$12,0))))*(1/(1-'P-Parametri'!$B$6*I650))+MIN(MAX(0,N649-(MAX(0,I616-IF($A650&gt;='1-Input'!$C$12,'1-Input'!$B$12,0))-MIN(MAX(M649,0),MAX(0,I616-IF($A650&gt;='1-Input'!$C$12,'1-Input'!$B$12,0))))*(1/(1-'P-Parametri'!$B$6*I650))),MAX(0,5*I616-(M649-MIN(MAX(M649,0),MAX(0,I616-IF($A650&gt;='1-Input'!$C$12,'1-Input'!$B$12,0)))))*(1/(1-'P-Parametri'!$B$6*I650))))</f>
        <v>10846.756992928691</v>
      </c>
      <c r="K650" s="18">
        <f>IF($A650&gt;'1-Input'!$B$26,M649,(M649-MAX(0,I616-IF($A650&gt;='1-Input'!$C$12,'1-Input'!$B$12,0))+J650*(1-'P-Parametri'!$B$6*I650))*(1+'1-Input'!$B$27))</f>
        <v>0</v>
      </c>
      <c r="L650" s="18">
        <f>IF($A650&gt;'1-Input'!$B$26,N649,(N649-J650)*(1+$C$4))</f>
        <v>-149935.96706971791</v>
      </c>
      <c r="M650" s="18">
        <f>IF($A650&gt;'1-Input'!$B$26,K650,K650-'P-Parametri'!$B$8*(L650+K650)+MIN(MAX(L650,0),'P-Parametri'!$B$8*(L650+K650)))</f>
        <v>0</v>
      </c>
      <c r="N650" s="18">
        <f>IF($A650&gt;'1-Input'!$B$26,L650,L650-MIN(MAX(L650,0),'P-Parametri'!$B$8*(L650+K650)))</f>
        <v>-149636.09513557848</v>
      </c>
      <c r="O650" s="18">
        <f>IF($A650&gt;'1-Input'!$B$26,O649,O649-J650*(1-I650))</f>
        <v>-125469.45557613313</v>
      </c>
      <c r="P650" s="11">
        <f>IF($A650&gt;'1-Input'!$B$26,0,IF(U649&lt;=0,0,MAX(0,(U649-V649)/U649)))</f>
        <v>0.61437521620674329</v>
      </c>
      <c r="Q650" s="18">
        <f>IF($A650&gt;'1-Input'!$B$26,0,(MAX(0,P616-IF($A650&gt;='1-Input'!$C$12,'1-Input'!$B$12,0))-MIN(MAX(T649,0),MAX(0,P616-IF($A650&gt;='1-Input'!$C$12,'1-Input'!$B$12,0))))*(1/(1-'P-Parametri'!$B$6*P650))+MIN(MAX(0,U649-(MAX(0,P616-IF($A650&gt;='1-Input'!$C$12,'1-Input'!$B$12,0))-MIN(MAX(T649,0),MAX(0,P616-IF($A650&gt;='1-Input'!$C$12,'1-Input'!$B$12,0))))*(1/(1-'P-Parametri'!$B$6*P650))),MAX(0,5*P616-(T649-MIN(MAX(T649,0),MAX(0,P616-IF($A650&gt;='1-Input'!$C$12,'1-Input'!$B$12,0)))))*(1/(1-'P-Parametri'!$B$6*P650))))</f>
        <v>2334.890813253648</v>
      </c>
      <c r="R650" s="18">
        <f>IF($A650&gt;'1-Input'!$B$26,T649,(T649-MAX(0,P616-IF($A650&gt;='1-Input'!$C$12,'1-Input'!$B$12,0))+Q650*(1-'P-Parametri'!$B$6*P650))*(1+'1-Input'!$B$27))</f>
        <v>79888.158229356952</v>
      </c>
      <c r="S650" s="18">
        <f>IF($A650&gt;'1-Input'!$B$26,U649,(U649-Q650)*(1+$C$4))</f>
        <v>0</v>
      </c>
      <c r="T650" s="18">
        <f>IF($A650&gt;'1-Input'!$B$26,R650,R650-'P-Parametri'!$B$8*(S650+R650)+MIN(MAX(S650,0),'P-Parametri'!$B$8*(S650+R650)))</f>
        <v>79728.381912898243</v>
      </c>
      <c r="U650" s="18">
        <f>IF($A650&gt;'1-Input'!$B$26,S650,S650-MIN(MAX(S650,0),'P-Parametri'!$B$8*(S650+R650)))</f>
        <v>0</v>
      </c>
      <c r="V650" s="18">
        <f>IF($A650&gt;'1-Input'!$B$26,V649,V649-Q650*(1-P650))</f>
        <v>0</v>
      </c>
      <c r="W650" s="11">
        <f>IF($A650&gt;'1-Input'!$B$26,0,IF(AB649&lt;=0,0,MAX(0,(AB649-AC649)/AB649)))</f>
        <v>0.46256463090390648</v>
      </c>
      <c r="X650" s="18">
        <f>IF($A650&gt;'1-Input'!$B$26,0,(MAX(0,W616-IF($A650&gt;='1-Input'!$C$12,'1-Input'!$B$12,0))-MIN(MAX(AA649,0),MAX(0,W616-IF($A650&gt;='1-Input'!$C$12,'1-Input'!$B$12,0))))*(1/(1-'P-Parametri'!$B$6*W650))+MIN(MAX(0,AB649-(MAX(0,W616-IF($A650&gt;='1-Input'!$C$12,'1-Input'!$B$12,0))-MIN(MAX(AA649,0),MAX(0,W616-IF($A650&gt;='1-Input'!$C$12,'1-Input'!$B$12,0))))*(1/(1-'P-Parametri'!$B$6*W650))),MAX(0,5*W616-(AA649-MIN(MAX(AA649,0),MAX(0,W616-IF($A650&gt;='1-Input'!$C$12,'1-Input'!$B$12,0)))))*(1/(1-'P-Parametri'!$B$6*W650))))</f>
        <v>347.99886823226689</v>
      </c>
      <c r="Y650" s="18">
        <f>IF($A650&gt;'1-Input'!$B$26,AA649,(AA649-MAX(0,W616-IF($A650&gt;='1-Input'!$C$12,'1-Input'!$B$12,0))+X650*(1-'P-Parametri'!$B$6*W650))*(1+'1-Input'!$B$27))</f>
        <v>78353.329468959215</v>
      </c>
      <c r="Z650" s="18">
        <f>IF($A650&gt;'1-Input'!$B$26,AB649,(AB649-X650)*(1+$C$4))</f>
        <v>0</v>
      </c>
      <c r="AA650" s="18">
        <f>IF($A650&gt;'1-Input'!$B$26,Y650,Y650-'P-Parametri'!$B$8*(Z650+Y650)+MIN(MAX(Z650,0),'P-Parametri'!$B$8*(Z650+Y650)))</f>
        <v>78196.62281002129</v>
      </c>
      <c r="AB650" s="18">
        <f>IF($A650&gt;'1-Input'!$B$26,Z650,Z650-MIN(MAX(Z650,0),'P-Parametri'!$B$8*(Z650+Y650)))</f>
        <v>0</v>
      </c>
      <c r="AC650" s="18">
        <f>IF($A650&gt;'1-Input'!$B$26,AC649,AC649-X650*(1-W650))</f>
        <v>0</v>
      </c>
      <c r="AD650" s="11">
        <f>IF($A650&gt;'1-Input'!$B$26,0,IF(AI649&lt;=0,0,MAX(0,(AI649-AJ649)/AI649)))</f>
        <v>0</v>
      </c>
      <c r="AE650" s="18">
        <f>IF($A650&gt;'1-Input'!$B$26,0,(MAX(0,AD616-IF($A650&gt;='1-Input'!$C$12,'1-Input'!$B$12,0))-MIN(MAX(AH649,0),MAX(0,AD616-IF($A650&gt;='1-Input'!$C$12,'1-Input'!$B$12,0))))*(1/(1-'P-Parametri'!$B$6*AD650))+MIN(MAX(0,AI649-(MAX(0,AD616-IF($A650&gt;='1-Input'!$C$12,'1-Input'!$B$12,0))-MIN(MAX(AH649,0),MAX(0,AD616-IF($A650&gt;='1-Input'!$C$12,'1-Input'!$B$12,0))))*(1/(1-'P-Parametri'!$B$6*AD650))),MAX(0,5*AD616-(AH649-MIN(MAX(AH649,0),MAX(0,AD616-IF($A650&gt;='1-Input'!$C$12,'1-Input'!$B$12,0)))))*(1/(1-'P-Parametri'!$B$6*AD650))))</f>
        <v>0</v>
      </c>
      <c r="AF650" s="18">
        <f>IF($A650&gt;'1-Input'!$B$26,AH649,(AH649-MAX(0,AD616-IF($A650&gt;='1-Input'!$C$12,'1-Input'!$B$12,0))+AE650*(1-'P-Parametri'!$B$6*AD650))*(1+'1-Input'!$B$27))</f>
        <v>77954.976536676288</v>
      </c>
      <c r="AG650" s="18">
        <f>IF($A650&gt;'1-Input'!$B$26,AI649,(AI649-AE650)*(1+$C$4))</f>
        <v>0</v>
      </c>
      <c r="AH650" s="18">
        <f>IF($A650&gt;'1-Input'!$B$26,AF650,AF650-'P-Parametri'!$B$8*(AG650+AF650)+MIN(MAX(AG650,0),'P-Parametri'!$B$8*(AG650+AF650)))</f>
        <v>77799.066583602937</v>
      </c>
      <c r="AI650" s="18">
        <f>IF($A650&gt;'1-Input'!$B$26,AG650,AG650-MIN(MAX(AG650,0),'P-Parametri'!$B$8*(AG650+AF650)))</f>
        <v>0</v>
      </c>
      <c r="AJ650" s="18">
        <f>IF($A650&gt;'1-Input'!$B$26,AJ649,AJ649-AE650*(1-AD650))</f>
        <v>17.201922220909637</v>
      </c>
      <c r="AK650" s="11">
        <f>IF($A650&gt;'1-Input'!$B$26,0,IF(AP649&lt;=0,0,MAX(0,(AP649-AQ649)/AP649)))</f>
        <v>0</v>
      </c>
      <c r="AL650" s="18">
        <f>IF($A650&gt;'1-Input'!$B$26,0,(MAX(0,AK616-IF($A650&gt;='1-Input'!$C$12,'1-Input'!$B$12,0))-MIN(MAX(AO649,0),MAX(0,AK616-IF($A650&gt;='1-Input'!$C$12,'1-Input'!$B$12,0))))*(1/(1-'P-Parametri'!$B$6*AK650))+MIN(MAX(0,AP649-(MAX(0,AK616-IF($A650&gt;='1-Input'!$C$12,'1-Input'!$B$12,0))-MIN(MAX(AO649,0),MAX(0,AK616-IF($A650&gt;='1-Input'!$C$12,'1-Input'!$B$12,0))))*(1/(1-'P-Parametri'!$B$6*AK650))),MAX(0,5*AK616-(AO649-MIN(MAX(AO649,0),MAX(0,AK616-IF($A650&gt;='1-Input'!$C$12,'1-Input'!$B$12,0)))))*(1/(1-'P-Parametri'!$B$6*AK650))))</f>
        <v>0</v>
      </c>
      <c r="AM650" s="18">
        <f>IF($A650&gt;'1-Input'!$B$26,AO649,(AO649-MAX(0,AK616-IF($A650&gt;='1-Input'!$C$12,'1-Input'!$B$12,0))+AL650*(1-'P-Parametri'!$B$6*AK650))*(1+'1-Input'!$B$27))</f>
        <v>77988.047890307556</v>
      </c>
      <c r="AN650" s="18">
        <f>IF($A650&gt;'1-Input'!$B$26,AP649,(AP649-AL650)*(1+$C$4))</f>
        <v>0</v>
      </c>
      <c r="AO650" s="18">
        <f>IF($A650&gt;'1-Input'!$B$26,AM650,AM650-'P-Parametri'!$B$8*(AN650+AM650)+MIN(MAX(AN650,0),'P-Parametri'!$B$8*(AN650+AM650)))</f>
        <v>77832.071794526943</v>
      </c>
      <c r="AP650" s="18">
        <f>IF($A650&gt;'1-Input'!$B$26,AN650,AN650-MIN(MAX(AN650,0),'P-Parametri'!$B$8*(AN650+AM650)))</f>
        <v>0</v>
      </c>
      <c r="AQ650" s="18">
        <f>IF($A650&gt;'1-Input'!$B$26,AQ649,AQ649-AL650*(1-AK650))</f>
        <v>29.988973806301601</v>
      </c>
    </row>
    <row r="651" spans="1:43">
      <c r="A651" s="10">
        <f>33</f>
        <v>33</v>
      </c>
      <c r="B651" s="11">
        <f>IF($A651&gt;'1-Input'!$B$26,0,IF(G650&lt;=0,0,MAX(0,(G650-H650)/G650)))</f>
        <v>0.64514915322906219</v>
      </c>
      <c r="C651" s="18">
        <f>IF($A651&gt;'1-Input'!$B$26,0,(MAX(0,B616-IF($A651&gt;='1-Input'!$C$12,'1-Input'!$B$12,0))-MIN(MAX(F650,0),MAX(0,B616-IF($A651&gt;='1-Input'!$C$12,'1-Input'!$B$12,0))))*(1/(1-'P-Parametri'!$B$6*B651))+MIN(MAX(0,G650-(MAX(0,B616-IF($A651&gt;='1-Input'!$C$12,'1-Input'!$B$12,0))-MIN(MAX(F650,0),MAX(0,B616-IF($A651&gt;='1-Input'!$C$12,'1-Input'!$B$12,0))))*(1/(1-'P-Parametri'!$B$6*B651))),MAX(0,5*B616-(F650-MIN(MAX(F650,0),MAX(0,B616-IF($A651&gt;='1-Input'!$C$12,'1-Input'!$B$12,0)))))*(1/(1-'P-Parametri'!$B$6*B651))))</f>
        <v>7064.2656029986083</v>
      </c>
      <c r="D651" s="18">
        <f>IF($A651&gt;'1-Input'!$B$26,F650,(F650-MAX(0,B616-IF($A651&gt;='1-Input'!$C$12,'1-Input'!$B$12,0))+C651*(1-'P-Parametri'!$B$6*B651))*(1+'1-Input'!$B$27))</f>
        <v>83105.01757746574</v>
      </c>
      <c r="E651" s="18">
        <f>IF($A651&gt;'1-Input'!$B$26,G650,(G650-C651)*(1+$C$4))</f>
        <v>141.49855075731628</v>
      </c>
      <c r="F651" s="18">
        <f>IF($A651&gt;'1-Input'!$B$26,D651,D651-'P-Parametri'!$B$8*(E651+D651)+MIN(MAX(E651,0),'P-Parametri'!$B$8*(E651+D651)))</f>
        <v>83080.023095966608</v>
      </c>
      <c r="G651" s="18">
        <f>IF($A651&gt;'1-Input'!$B$26,E651,E651-MIN(MAX(E651,0),'P-Parametri'!$B$8*(E651+D651)))</f>
        <v>0</v>
      </c>
      <c r="H651" s="18">
        <f>IF($A651&gt;'1-Input'!$B$26,H650,H650-C651*(1-B651))</f>
        <v>48.748427721451208</v>
      </c>
      <c r="I651" s="11">
        <f>IF($A651&gt;'1-Input'!$B$26,0,IF(N650&lt;=0,0,MAX(0,(N650-O650)/N650)))</f>
        <v>0</v>
      </c>
      <c r="J651" s="18">
        <f>IF($A651&gt;'1-Input'!$B$26,0,(MAX(0,I616-IF($A651&gt;='1-Input'!$C$12,'1-Input'!$B$12,0))-MIN(MAX(M650,0),MAX(0,I616-IF($A651&gt;='1-Input'!$C$12,'1-Input'!$B$12,0))))*(1/(1-'P-Parametri'!$B$6*I651))+MIN(MAX(0,N650-(MAX(0,I616-IF($A651&gt;='1-Input'!$C$12,'1-Input'!$B$12,0))-MIN(MAX(M650,0),MAX(0,I616-IF($A651&gt;='1-Input'!$C$12,'1-Input'!$B$12,0))))*(1/(1-'P-Parametri'!$B$6*I651))),MAX(0,5*I616-(M650-MIN(MAX(M650,0),MAX(0,I616-IF($A651&gt;='1-Input'!$C$12,'1-Input'!$B$12,0)))))*(1/(1-'P-Parametri'!$B$6*I651))))</f>
        <v>10846.756992928691</v>
      </c>
      <c r="K651" s="18">
        <f>IF($A651&gt;'1-Input'!$B$26,M650,(M650-MAX(0,I616-IF($A651&gt;='1-Input'!$C$12,'1-Input'!$B$12,0))+J651*(1-'P-Parametri'!$B$6*I651))*(1+'1-Input'!$B$27))</f>
        <v>0</v>
      </c>
      <c r="L651" s="18">
        <f>IF($A651&gt;'1-Input'!$B$26,N650,(N650-J651)*(1+$C$4))</f>
        <v>-165297.33769236237</v>
      </c>
      <c r="M651" s="18">
        <f>IF($A651&gt;'1-Input'!$B$26,K651,K651-'P-Parametri'!$B$8*(L651+K651)+MIN(MAX(L651,0),'P-Parametri'!$B$8*(L651+K651)))</f>
        <v>0</v>
      </c>
      <c r="N651" s="18">
        <f>IF($A651&gt;'1-Input'!$B$26,L651,L651-MIN(MAX(L651,0),'P-Parametri'!$B$8*(L651+K651)))</f>
        <v>-164966.74301697765</v>
      </c>
      <c r="O651" s="18">
        <f>IF($A651&gt;'1-Input'!$B$26,O650,O650-J651*(1-I651))</f>
        <v>-136316.21256906181</v>
      </c>
      <c r="P651" s="11">
        <f>IF($A651&gt;'1-Input'!$B$26,0,IF(U650&lt;=0,0,MAX(0,(U650-V650)/U650)))</f>
        <v>0</v>
      </c>
      <c r="Q651" s="18">
        <f>IF($A651&gt;'1-Input'!$B$26,0,(MAX(0,P616-IF($A651&gt;='1-Input'!$C$12,'1-Input'!$B$12,0))-MIN(MAX(T650,0),MAX(0,P616-IF($A651&gt;='1-Input'!$C$12,'1-Input'!$B$12,0))))*(1/(1-'P-Parametri'!$B$6*P651))+MIN(MAX(0,U650-(MAX(0,P616-IF($A651&gt;='1-Input'!$C$12,'1-Input'!$B$12,0))-MIN(MAX(T650,0),MAX(0,P616-IF($A651&gt;='1-Input'!$C$12,'1-Input'!$B$12,0))))*(1/(1-'P-Parametri'!$B$6*P651))),MAX(0,5*P616-(T650-MIN(MAX(T650,0),MAX(0,P616-IF($A651&gt;='1-Input'!$C$12,'1-Input'!$B$12,0)))))*(1/(1-'P-Parametri'!$B$6*P651))))</f>
        <v>0</v>
      </c>
      <c r="R651" s="18">
        <f>IF($A651&gt;'1-Input'!$B$26,T650,(T650-MAX(0,P616-IF($A651&gt;='1-Input'!$C$12,'1-Input'!$B$12,0))+Q651*(1-'P-Parametri'!$B$6*P651))*(1+'1-Input'!$B$27))</f>
        <v>73710.005475114522</v>
      </c>
      <c r="S651" s="18">
        <f>IF($A651&gt;'1-Input'!$B$26,U650,(U650-Q651)*(1+$C$4))</f>
        <v>0</v>
      </c>
      <c r="T651" s="18">
        <f>IF($A651&gt;'1-Input'!$B$26,R651,R651-'P-Parametri'!$B$8*(S651+R651)+MIN(MAX(S651,0),'P-Parametri'!$B$8*(S651+R651)))</f>
        <v>73562.585464164295</v>
      </c>
      <c r="U651" s="18">
        <f>IF($A651&gt;'1-Input'!$B$26,S651,S651-MIN(MAX(S651,0),'P-Parametri'!$B$8*(S651+R651)))</f>
        <v>0</v>
      </c>
      <c r="V651" s="18">
        <f>IF($A651&gt;'1-Input'!$B$26,V650,V650-Q651*(1-P651))</f>
        <v>0</v>
      </c>
      <c r="W651" s="11">
        <f>IF($A651&gt;'1-Input'!$B$26,0,IF(AB650&lt;=0,0,MAX(0,(AB650-AC650)/AB650)))</f>
        <v>0</v>
      </c>
      <c r="X651" s="18">
        <f>IF($A651&gt;'1-Input'!$B$26,0,(MAX(0,W616-IF($A651&gt;='1-Input'!$C$12,'1-Input'!$B$12,0))-MIN(MAX(AA650,0),MAX(0,W616-IF($A651&gt;='1-Input'!$C$12,'1-Input'!$B$12,0))))*(1/(1-'P-Parametri'!$B$6*W651))+MIN(MAX(0,AB650-(MAX(0,W616-IF($A651&gt;='1-Input'!$C$12,'1-Input'!$B$12,0))-MIN(MAX(AA650,0),MAX(0,W616-IF($A651&gt;='1-Input'!$C$12,'1-Input'!$B$12,0))))*(1/(1-'P-Parametri'!$B$6*W651))),MAX(0,5*W616-(AA650-MIN(MAX(AA650,0),MAX(0,W616-IF($A651&gt;='1-Input'!$C$12,'1-Input'!$B$12,0)))))*(1/(1-'P-Parametri'!$B$6*W651))))</f>
        <v>0</v>
      </c>
      <c r="Y651" s="18">
        <f>IF($A651&gt;'1-Input'!$B$26,AA650,(AA650-MAX(0,W616-IF($A651&gt;='1-Input'!$C$12,'1-Input'!$B$12,0))+X651*(1-'P-Parametri'!$B$6*W651))*(1+'1-Input'!$B$27))</f>
        <v>72154.884423208932</v>
      </c>
      <c r="Z651" s="18">
        <f>IF($A651&gt;'1-Input'!$B$26,AB650,(AB650-X651)*(1+$C$4))</f>
        <v>0</v>
      </c>
      <c r="AA651" s="18">
        <f>IF($A651&gt;'1-Input'!$B$26,Y651,Y651-'P-Parametri'!$B$8*(Z651+Y651)+MIN(MAX(Z651,0),'P-Parametri'!$B$8*(Z651+Y651)))</f>
        <v>72010.574654362514</v>
      </c>
      <c r="AB651" s="18">
        <f>IF($A651&gt;'1-Input'!$B$26,Z651,Z651-MIN(MAX(Z651,0),'P-Parametri'!$B$8*(Z651+Y651)))</f>
        <v>0</v>
      </c>
      <c r="AC651" s="18">
        <f>IF($A651&gt;'1-Input'!$B$26,AC650,AC650-X651*(1-W651))</f>
        <v>0</v>
      </c>
      <c r="AD651" s="11">
        <f>IF($A651&gt;'1-Input'!$B$26,0,IF(AI650&lt;=0,0,MAX(0,(AI650-AJ650)/AI650)))</f>
        <v>0</v>
      </c>
      <c r="AE651" s="18">
        <f>IF($A651&gt;'1-Input'!$B$26,0,(MAX(0,AD616-IF($A651&gt;='1-Input'!$C$12,'1-Input'!$B$12,0))-MIN(MAX(AH650,0),MAX(0,AD616-IF($A651&gt;='1-Input'!$C$12,'1-Input'!$B$12,0))))*(1/(1-'P-Parametri'!$B$6*AD651))+MIN(MAX(0,AI650-(MAX(0,AD616-IF($A651&gt;='1-Input'!$C$12,'1-Input'!$B$12,0))-MIN(MAX(AH650,0),MAX(0,AD616-IF($A651&gt;='1-Input'!$C$12,'1-Input'!$B$12,0))))*(1/(1-'P-Parametri'!$B$6*AD651))),MAX(0,5*AD616-(AH650-MIN(MAX(AH650,0),MAX(0,AD616-IF($A651&gt;='1-Input'!$C$12,'1-Input'!$B$12,0)))))*(1/(1-'P-Parametri'!$B$6*AD651))))</f>
        <v>0</v>
      </c>
      <c r="AF651" s="18">
        <f>IF($A651&gt;'1-Input'!$B$26,AH650,(AH650-MAX(0,AD616-IF($A651&gt;='1-Input'!$C$12,'1-Input'!$B$12,0))+AE651*(1-'P-Parametri'!$B$6*AD651))*(1+'1-Input'!$B$27))</f>
        <v>71751.937643688725</v>
      </c>
      <c r="AG651" s="18">
        <f>IF($A651&gt;'1-Input'!$B$26,AI650,(AI650-AE651)*(1+$C$4))</f>
        <v>0</v>
      </c>
      <c r="AH651" s="18">
        <f>IF($A651&gt;'1-Input'!$B$26,AF651,AF651-'P-Parametri'!$B$8*(AG651+AF651)+MIN(MAX(AG651,0),'P-Parametri'!$B$8*(AG651+AF651)))</f>
        <v>71608.433768401344</v>
      </c>
      <c r="AI651" s="18">
        <f>IF($A651&gt;'1-Input'!$B$26,AG651,AG651-MIN(MAX(AG651,0),'P-Parametri'!$B$8*(AG651+AF651)))</f>
        <v>0</v>
      </c>
      <c r="AJ651" s="18">
        <f>IF($A651&gt;'1-Input'!$B$26,AJ650,AJ650-AE651*(1-AD651))</f>
        <v>17.201922220909637</v>
      </c>
      <c r="AK651" s="11">
        <f>IF($A651&gt;'1-Input'!$B$26,0,IF(AP650&lt;=0,0,MAX(0,(AP650-AQ650)/AP650)))</f>
        <v>0</v>
      </c>
      <c r="AL651" s="18">
        <f>IF($A651&gt;'1-Input'!$B$26,0,(MAX(0,AK616-IF($A651&gt;='1-Input'!$C$12,'1-Input'!$B$12,0))-MIN(MAX(AO650,0),MAX(0,AK616-IF($A651&gt;='1-Input'!$C$12,'1-Input'!$B$12,0))))*(1/(1-'P-Parametri'!$B$6*AK651))+MIN(MAX(0,AP650-(MAX(0,AK616-IF($A651&gt;='1-Input'!$C$12,'1-Input'!$B$12,0))-MIN(MAX(AO650,0),MAX(0,AK616-IF($A651&gt;='1-Input'!$C$12,'1-Input'!$B$12,0))))*(1/(1-'P-Parametri'!$B$6*AK651))),MAX(0,5*AK616-(AO650-MIN(MAX(AO650,0),MAX(0,AK616-IF($A651&gt;='1-Input'!$C$12,'1-Input'!$B$12,0)))))*(1/(1-'P-Parametri'!$B$6*AK651))))</f>
        <v>0</v>
      </c>
      <c r="AM651" s="18">
        <f>IF($A651&gt;'1-Input'!$B$26,AO650,(AO650-MAX(0,AK616-IF($A651&gt;='1-Input'!$C$12,'1-Input'!$B$12,0))+AL651*(1-'P-Parametri'!$B$6*AK651))*(1+'1-Input'!$B$27))</f>
        <v>71785.33683004092</v>
      </c>
      <c r="AN651" s="18">
        <f>IF($A651&gt;'1-Input'!$B$26,AP650,(AP650-AL651)*(1+$C$4))</f>
        <v>0</v>
      </c>
      <c r="AO651" s="18">
        <f>IF($A651&gt;'1-Input'!$B$26,AM651,AM651-'P-Parametri'!$B$8*(AN651+AM651)+MIN(MAX(AN651,0),'P-Parametri'!$B$8*(AN651+AM651)))</f>
        <v>71641.766156380836</v>
      </c>
      <c r="AP651" s="18">
        <f>IF($A651&gt;'1-Input'!$B$26,AN651,AN651-MIN(MAX(AN651,0),'P-Parametri'!$B$8*(AN651+AM651)))</f>
        <v>0</v>
      </c>
      <c r="AQ651" s="18">
        <f>IF($A651&gt;'1-Input'!$B$26,AQ650,AQ650-AL651*(1-AK651))</f>
        <v>29.988973806301601</v>
      </c>
    </row>
    <row r="652" spans="1:43">
      <c r="A652" s="10">
        <f>34</f>
        <v>34</v>
      </c>
      <c r="B652" s="11">
        <f>IF($A652&gt;'1-Input'!$B$26,0,IF(G651&lt;=0,0,MAX(0,(G651-H651)/G651)))</f>
        <v>0</v>
      </c>
      <c r="C652" s="18">
        <f>IF($A652&gt;'1-Input'!$B$26,0,(MAX(0,B616-IF($A652&gt;='1-Input'!$C$12,'1-Input'!$B$12,0))-MIN(MAX(F651,0),MAX(0,B616-IF($A652&gt;='1-Input'!$C$12,'1-Input'!$B$12,0))))*(1/(1-'P-Parametri'!$B$6*B652))+MIN(MAX(0,G651-(MAX(0,B616-IF($A652&gt;='1-Input'!$C$12,'1-Input'!$B$12,0))-MIN(MAX(F651,0),MAX(0,B616-IF($A652&gt;='1-Input'!$C$12,'1-Input'!$B$12,0))))*(1/(1-'P-Parametri'!$B$6*B652))),MAX(0,5*B616-(F651-MIN(MAX(F651,0),MAX(0,B616-IF($A652&gt;='1-Input'!$C$12,'1-Input'!$B$12,0)))))*(1/(1-'P-Parametri'!$B$6*B652))))</f>
        <v>0</v>
      </c>
      <c r="D652" s="18">
        <f>IF($A652&gt;'1-Input'!$B$26,F651,(F651-MAX(0,B616-IF($A652&gt;='1-Input'!$C$12,'1-Input'!$B$12,0))+C652*(1-'P-Parametri'!$B$6*B652))*(1+'1-Input'!$B$27))</f>
        <v>77221.96429732797</v>
      </c>
      <c r="E652" s="18">
        <f>IF($A652&gt;'1-Input'!$B$26,G651,(G651-C652)*(1+$C$4))</f>
        <v>0</v>
      </c>
      <c r="F652" s="18">
        <f>IF($A652&gt;'1-Input'!$B$26,D652,D652-'P-Parametri'!$B$8*(E652+D652)+MIN(MAX(E652,0),'P-Parametri'!$B$8*(E652+D652)))</f>
        <v>77067.520368733312</v>
      </c>
      <c r="G652" s="18">
        <f>IF($A652&gt;'1-Input'!$B$26,E652,E652-MIN(MAX(E652,0),'P-Parametri'!$B$8*(E652+D652)))</f>
        <v>0</v>
      </c>
      <c r="H652" s="18">
        <f>IF($A652&gt;'1-Input'!$B$26,H651,H651-C652*(1-B652))</f>
        <v>48.748427721451208</v>
      </c>
      <c r="I652" s="11">
        <f>IF($A652&gt;'1-Input'!$B$26,0,IF(N651&lt;=0,0,MAX(0,(N651-O651)/N651)))</f>
        <v>0</v>
      </c>
      <c r="J652" s="18">
        <f>IF($A652&gt;'1-Input'!$B$26,0,(MAX(0,I616-IF($A652&gt;='1-Input'!$C$12,'1-Input'!$B$12,0))-MIN(MAX(M651,0),MAX(0,I616-IF($A652&gt;='1-Input'!$C$12,'1-Input'!$B$12,0))))*(1/(1-'P-Parametri'!$B$6*I652))+MIN(MAX(0,N651-(MAX(0,I616-IF($A652&gt;='1-Input'!$C$12,'1-Input'!$B$12,0))-MIN(MAX(M651,0),MAX(0,I616-IF($A652&gt;='1-Input'!$C$12,'1-Input'!$B$12,0))))*(1/(1-'P-Parametri'!$B$6*I652))),MAX(0,5*I616-(M651-MIN(MAX(M651,0),MAX(0,I616-IF($A652&gt;='1-Input'!$C$12,'1-Input'!$B$12,0)))))*(1/(1-'P-Parametri'!$B$6*I652))))</f>
        <v>10846.756992928691</v>
      </c>
      <c r="K652" s="18">
        <f>IF($A652&gt;'1-Input'!$B$26,M651,(M651-MAX(0,I616-IF($A652&gt;='1-Input'!$C$12,'1-Input'!$B$12,0))+J652*(1-'P-Parametri'!$B$6*I652))*(1+'1-Input'!$B$27))</f>
        <v>0</v>
      </c>
      <c r="L652" s="18">
        <f>IF($A652&gt;'1-Input'!$B$26,N651,(N651-J652)*(1+$C$4))</f>
        <v>-181087.90501020354</v>
      </c>
      <c r="M652" s="18">
        <f>IF($A652&gt;'1-Input'!$B$26,K652,K652-'P-Parametri'!$B$8*(L652+K652)+MIN(MAX(L652,0),'P-Parametri'!$B$8*(L652+K652)))</f>
        <v>0</v>
      </c>
      <c r="N652" s="18">
        <f>IF($A652&gt;'1-Input'!$B$26,L652,L652-MIN(MAX(L652,0),'P-Parametri'!$B$8*(L652+K652)))</f>
        <v>-180725.72920018312</v>
      </c>
      <c r="O652" s="18">
        <f>IF($A652&gt;'1-Input'!$B$26,O651,O651-J652*(1-I652))</f>
        <v>-147162.9695619905</v>
      </c>
      <c r="P652" s="11">
        <f>IF($A652&gt;'1-Input'!$B$26,0,IF(U651&lt;=0,0,MAX(0,(U651-V651)/U651)))</f>
        <v>0</v>
      </c>
      <c r="Q652" s="18">
        <f>IF($A652&gt;'1-Input'!$B$26,0,(MAX(0,P616-IF($A652&gt;='1-Input'!$C$12,'1-Input'!$B$12,0))-MIN(MAX(T651,0),MAX(0,P616-IF($A652&gt;='1-Input'!$C$12,'1-Input'!$B$12,0))))*(1/(1-'P-Parametri'!$B$6*P652))+MIN(MAX(0,U651-(MAX(0,P616-IF($A652&gt;='1-Input'!$C$12,'1-Input'!$B$12,0))-MIN(MAX(T651,0),MAX(0,P616-IF($A652&gt;='1-Input'!$C$12,'1-Input'!$B$12,0))))*(1/(1-'P-Parametri'!$B$6*P652))),MAX(0,5*P616-(T651-MIN(MAX(T651,0),MAX(0,P616-IF($A652&gt;='1-Input'!$C$12,'1-Input'!$B$12,0)))))*(1/(1-'P-Parametri'!$B$6*P652))))</f>
        <v>0</v>
      </c>
      <c r="R652" s="18">
        <f>IF($A652&gt;'1-Input'!$B$26,T651,(T651-MAX(0,P616-IF($A652&gt;='1-Input'!$C$12,'1-Input'!$B$12,0))+Q652*(1-'P-Parametri'!$B$6*P652))*(1+'1-Input'!$B$27))</f>
        <v>67566.40589359602</v>
      </c>
      <c r="S652" s="18">
        <f>IF($A652&gt;'1-Input'!$B$26,U651,(U651-Q652)*(1+$C$4))</f>
        <v>0</v>
      </c>
      <c r="T652" s="18">
        <f>IF($A652&gt;'1-Input'!$B$26,R652,R652-'P-Parametri'!$B$8*(S652+R652)+MIN(MAX(S652,0),'P-Parametri'!$B$8*(S652+R652)))</f>
        <v>67431.273081808831</v>
      </c>
      <c r="U652" s="18">
        <f>IF($A652&gt;'1-Input'!$B$26,S652,S652-MIN(MAX(S652,0),'P-Parametri'!$B$8*(S652+R652)))</f>
        <v>0</v>
      </c>
      <c r="V652" s="18">
        <f>IF($A652&gt;'1-Input'!$B$26,V651,V651-Q652*(1-P652))</f>
        <v>0</v>
      </c>
      <c r="W652" s="11">
        <f>IF($A652&gt;'1-Input'!$B$26,0,IF(AB651&lt;=0,0,MAX(0,(AB651-AC651)/AB651)))</f>
        <v>0</v>
      </c>
      <c r="X652" s="18">
        <f>IF($A652&gt;'1-Input'!$B$26,0,(MAX(0,W616-IF($A652&gt;='1-Input'!$C$12,'1-Input'!$B$12,0))-MIN(MAX(AA651,0),MAX(0,W616-IF($A652&gt;='1-Input'!$C$12,'1-Input'!$B$12,0))))*(1/(1-'P-Parametri'!$B$6*W652))+MIN(MAX(0,AB651-(MAX(0,W616-IF($A652&gt;='1-Input'!$C$12,'1-Input'!$B$12,0))-MIN(MAX(AA651,0),MAX(0,W616-IF($A652&gt;='1-Input'!$C$12,'1-Input'!$B$12,0))))*(1/(1-'P-Parametri'!$B$6*W652))),MAX(0,5*W616-(AA651-MIN(MAX(AA651,0),MAX(0,W616-IF($A652&gt;='1-Input'!$C$12,'1-Input'!$B$12,0)))))*(1/(1-'P-Parametri'!$B$6*W652))))</f>
        <v>0</v>
      </c>
      <c r="Y652" s="18">
        <f>IF($A652&gt;'1-Input'!$B$26,AA651,(AA651-MAX(0,W616-IF($A652&gt;='1-Input'!$C$12,'1-Input'!$B$12,0))+X652*(1-'P-Parametri'!$B$6*W652))*(1+'1-Input'!$B$27))</f>
        <v>65991.106040910527</v>
      </c>
      <c r="Z652" s="18">
        <f>IF($A652&gt;'1-Input'!$B$26,AB651,(AB651-X652)*(1+$C$4))</f>
        <v>0</v>
      </c>
      <c r="AA652" s="18">
        <f>IF($A652&gt;'1-Input'!$B$26,Y652,Y652-'P-Parametri'!$B$8*(Z652+Y652)+MIN(MAX(Z652,0),'P-Parametri'!$B$8*(Z652+Y652)))</f>
        <v>65859.123828828699</v>
      </c>
      <c r="AB652" s="18">
        <f>IF($A652&gt;'1-Input'!$B$26,Z652,Z652-MIN(MAX(Z652,0),'P-Parametri'!$B$8*(Z652+Y652)))</f>
        <v>0</v>
      </c>
      <c r="AC652" s="18">
        <f>IF($A652&gt;'1-Input'!$B$26,AC651,AC651-X652*(1-W652))</f>
        <v>0</v>
      </c>
      <c r="AD652" s="11">
        <f>IF($A652&gt;'1-Input'!$B$26,0,IF(AI651&lt;=0,0,MAX(0,(AI651-AJ651)/AI651)))</f>
        <v>0</v>
      </c>
      <c r="AE652" s="18">
        <f>IF($A652&gt;'1-Input'!$B$26,0,(MAX(0,AD616-IF($A652&gt;='1-Input'!$C$12,'1-Input'!$B$12,0))-MIN(MAX(AH651,0),MAX(0,AD616-IF($A652&gt;='1-Input'!$C$12,'1-Input'!$B$12,0))))*(1/(1-'P-Parametri'!$B$6*AD652))+MIN(MAX(0,AI651-(MAX(0,AD616-IF($A652&gt;='1-Input'!$C$12,'1-Input'!$B$12,0))-MIN(MAX(AH651,0),MAX(0,AD616-IF($A652&gt;='1-Input'!$C$12,'1-Input'!$B$12,0))))*(1/(1-'P-Parametri'!$B$6*AD652))),MAX(0,5*AD616-(AH651-MIN(MAX(AH651,0),MAX(0,AD616-IF($A652&gt;='1-Input'!$C$12,'1-Input'!$B$12,0)))))*(1/(1-'P-Parametri'!$B$6*AD652))))</f>
        <v>0</v>
      </c>
      <c r="AF652" s="18">
        <f>IF($A652&gt;'1-Input'!$B$26,AH651,(AH651-MAX(0,AD616-IF($A652&gt;='1-Input'!$C$12,'1-Input'!$B$12,0))+AE652*(1-'P-Parametri'!$B$6*AD652))*(1+'1-Input'!$B$27))</f>
        <v>65583.591106621854</v>
      </c>
      <c r="AG652" s="18">
        <f>IF($A652&gt;'1-Input'!$B$26,AI651,(AI651-AE652)*(1+$C$4))</f>
        <v>0</v>
      </c>
      <c r="AH652" s="18">
        <f>IF($A652&gt;'1-Input'!$B$26,AF652,AF652-'P-Parametri'!$B$8*(AG652+AF652)+MIN(MAX(AG652,0),'P-Parametri'!$B$8*(AG652+AF652)))</f>
        <v>65452.423924408613</v>
      </c>
      <c r="AI652" s="18">
        <f>IF($A652&gt;'1-Input'!$B$26,AG652,AG652-MIN(MAX(AG652,0),'P-Parametri'!$B$8*(AG652+AF652)))</f>
        <v>0</v>
      </c>
      <c r="AJ652" s="18">
        <f>IF($A652&gt;'1-Input'!$B$26,AJ651,AJ651-AE652*(1-AD652))</f>
        <v>17.201922220909637</v>
      </c>
      <c r="AK652" s="11">
        <f>IF($A652&gt;'1-Input'!$B$26,0,IF(AP651&lt;=0,0,MAX(0,(AP651-AQ651)/AP651)))</f>
        <v>0</v>
      </c>
      <c r="AL652" s="18">
        <f>IF($A652&gt;'1-Input'!$B$26,0,(MAX(0,AK616-IF($A652&gt;='1-Input'!$C$12,'1-Input'!$B$12,0))-MIN(MAX(AO651,0),MAX(0,AK616-IF($A652&gt;='1-Input'!$C$12,'1-Input'!$B$12,0))))*(1/(1-'P-Parametri'!$B$6*AK652))+MIN(MAX(0,AP651-(MAX(0,AK616-IF($A652&gt;='1-Input'!$C$12,'1-Input'!$B$12,0))-MIN(MAX(AO651,0),MAX(0,AK616-IF($A652&gt;='1-Input'!$C$12,'1-Input'!$B$12,0))))*(1/(1-'P-Parametri'!$B$6*AK652))),MAX(0,5*AK616-(AO651-MIN(MAX(AO651,0),MAX(0,AK616-IF($A652&gt;='1-Input'!$C$12,'1-Input'!$B$12,0)))))*(1/(1-'P-Parametri'!$B$6*AK652))))</f>
        <v>0</v>
      </c>
      <c r="AM652" s="18">
        <f>IF($A652&gt;'1-Input'!$B$26,AO651,(AO651-MAX(0,AK616-IF($A652&gt;='1-Input'!$C$12,'1-Input'!$B$12,0))+AL652*(1-'P-Parametri'!$B$6*AK652))*(1+'1-Input'!$B$27))</f>
        <v>65617.316292192132</v>
      </c>
      <c r="AN652" s="18">
        <f>IF($A652&gt;'1-Input'!$B$26,AP651,(AP651-AL652)*(1+$C$4))</f>
        <v>0</v>
      </c>
      <c r="AO652" s="18">
        <f>IF($A652&gt;'1-Input'!$B$26,AM652,AM652-'P-Parametri'!$B$8*(AN652+AM652)+MIN(MAX(AN652,0),'P-Parametri'!$B$8*(AN652+AM652)))</f>
        <v>65486.081659607749</v>
      </c>
      <c r="AP652" s="18">
        <f>IF($A652&gt;'1-Input'!$B$26,AN652,AN652-MIN(MAX(AN652,0),'P-Parametri'!$B$8*(AN652+AM652)))</f>
        <v>0</v>
      </c>
      <c r="AQ652" s="18">
        <f>IF($A652&gt;'1-Input'!$B$26,AQ651,AQ651-AL652*(1-AK652))</f>
        <v>29.988973806301601</v>
      </c>
    </row>
    <row r="653" spans="1:43">
      <c r="A653" s="10">
        <f>35</f>
        <v>35</v>
      </c>
      <c r="B653" s="11">
        <f>IF($A653&gt;'1-Input'!$B$26,0,IF(G652&lt;=0,0,MAX(0,(G652-H652)/G652)))</f>
        <v>0</v>
      </c>
      <c r="C653" s="18">
        <f>IF($A653&gt;'1-Input'!$B$26,0,(MAX(0,B616-IF($A653&gt;='1-Input'!$C$12,'1-Input'!$B$12,0))-MIN(MAX(F652,0),MAX(0,B616-IF($A653&gt;='1-Input'!$C$12,'1-Input'!$B$12,0))))*(1/(1-'P-Parametri'!$B$6*B653))+MIN(MAX(0,G652-(MAX(0,B616-IF($A653&gt;='1-Input'!$C$12,'1-Input'!$B$12,0))-MIN(MAX(F652,0),MAX(0,B616-IF($A653&gt;='1-Input'!$C$12,'1-Input'!$B$12,0))))*(1/(1-'P-Parametri'!$B$6*B653))),MAX(0,5*B616-(F652-MIN(MAX(F652,0),MAX(0,B616-IF($A653&gt;='1-Input'!$C$12,'1-Input'!$B$12,0)))))*(1/(1-'P-Parametri'!$B$6*B653))))</f>
        <v>0</v>
      </c>
      <c r="D653" s="18">
        <f>IF($A653&gt;'1-Input'!$B$26,F652,(F652-MAX(0,B616-IF($A653&gt;='1-Input'!$C$12,'1-Input'!$B$12,0))+C653*(1-'P-Parametri'!$B$6*B653))*(1+'1-Input'!$B$27))</f>
        <v>71231.106579912725</v>
      </c>
      <c r="E653" s="18">
        <f>IF($A653&gt;'1-Input'!$B$26,G652,(G652-C653)*(1+$C$4))</f>
        <v>0</v>
      </c>
      <c r="F653" s="18">
        <f>IF($A653&gt;'1-Input'!$B$26,D653,D653-'P-Parametri'!$B$8*(E653+D653)+MIN(MAX(E653,0),'P-Parametri'!$B$8*(E653+D653)))</f>
        <v>71088.644366752895</v>
      </c>
      <c r="G653" s="18">
        <f>IF($A653&gt;'1-Input'!$B$26,E653,E653-MIN(MAX(E653,0),'P-Parametri'!$B$8*(E653+D653)))</f>
        <v>0</v>
      </c>
      <c r="H653" s="18">
        <f>IF($A653&gt;'1-Input'!$B$26,H652,H652-C653*(1-B653))</f>
        <v>48.748427721451208</v>
      </c>
      <c r="I653" s="11">
        <f>IF($A653&gt;'1-Input'!$B$26,0,IF(N652&lt;=0,0,MAX(0,(N652-O652)/N652)))</f>
        <v>0</v>
      </c>
      <c r="J653" s="18">
        <f>IF($A653&gt;'1-Input'!$B$26,0,(MAX(0,I616-IF($A653&gt;='1-Input'!$C$12,'1-Input'!$B$12,0))-MIN(MAX(M652,0),MAX(0,I616-IF($A653&gt;='1-Input'!$C$12,'1-Input'!$B$12,0))))*(1/(1-'P-Parametri'!$B$6*I653))+MIN(MAX(0,N652-(MAX(0,I616-IF($A653&gt;='1-Input'!$C$12,'1-Input'!$B$12,0))-MIN(MAX(M652,0),MAX(0,I616-IF($A653&gt;='1-Input'!$C$12,'1-Input'!$B$12,0))))*(1/(1-'P-Parametri'!$B$6*I653))),MAX(0,5*I616-(M652-MIN(MAX(M652,0),MAX(0,I616-IF($A653&gt;='1-Input'!$C$12,'1-Input'!$B$12,0)))))*(1/(1-'P-Parametri'!$B$6*I653))))</f>
        <v>10846.756992928691</v>
      </c>
      <c r="K653" s="18">
        <f>IF($A653&gt;'1-Input'!$B$26,M652,(M652-MAX(0,I616-IF($A653&gt;='1-Input'!$C$12,'1-Input'!$B$12,0))+J653*(1-'P-Parametri'!$B$6*I653))*(1+'1-Input'!$B$27))</f>
        <v>0</v>
      </c>
      <c r="L653" s="18">
        <f>IF($A653&gt;'1-Input'!$B$26,N652,(N652-J653)*(1+$C$4))</f>
        <v>-197319.66077890518</v>
      </c>
      <c r="M653" s="18">
        <f>IF($A653&gt;'1-Input'!$B$26,K653,K653-'P-Parametri'!$B$8*(L653+K653)+MIN(MAX(L653,0),'P-Parametri'!$B$8*(L653+K653)))</f>
        <v>0</v>
      </c>
      <c r="N653" s="18">
        <f>IF($A653&gt;'1-Input'!$B$26,L653,L653-MIN(MAX(L653,0),'P-Parametri'!$B$8*(L653+K653)))</f>
        <v>-196925.02145734738</v>
      </c>
      <c r="O653" s="18">
        <f>IF($A653&gt;'1-Input'!$B$26,O652,O652-J653*(1-I653))</f>
        <v>-158009.72655491918</v>
      </c>
      <c r="P653" s="11">
        <f>IF($A653&gt;'1-Input'!$B$26,0,IF(U652&lt;=0,0,MAX(0,(U652-V652)/U652)))</f>
        <v>0</v>
      </c>
      <c r="Q653" s="18">
        <f>IF($A653&gt;'1-Input'!$B$26,0,(MAX(0,P616-IF($A653&gt;='1-Input'!$C$12,'1-Input'!$B$12,0))-MIN(MAX(T652,0),MAX(0,P616-IF($A653&gt;='1-Input'!$C$12,'1-Input'!$B$12,0))))*(1/(1-'P-Parametri'!$B$6*P653))+MIN(MAX(0,U652-(MAX(0,P616-IF($A653&gt;='1-Input'!$C$12,'1-Input'!$B$12,0))-MIN(MAX(T652,0),MAX(0,P616-IF($A653&gt;='1-Input'!$C$12,'1-Input'!$B$12,0))))*(1/(1-'P-Parametri'!$B$6*P653))),MAX(0,5*P616-(T652-MIN(MAX(T652,0),MAX(0,P616-IF($A653&gt;='1-Input'!$C$12,'1-Input'!$B$12,0)))))*(1/(1-'P-Parametri'!$B$6*P653))))</f>
        <v>0</v>
      </c>
      <c r="R653" s="18">
        <f>IF($A653&gt;'1-Input'!$B$26,T652,(T652-MAX(0,P616-IF($A653&gt;='1-Input'!$C$12,'1-Input'!$B$12,0))+Q653*(1-'P-Parametri'!$B$6*P653))*(1+'1-Input'!$B$27))</f>
        <v>61457.166235817036</v>
      </c>
      <c r="S653" s="18">
        <f>IF($A653&gt;'1-Input'!$B$26,U652,(U652-Q653)*(1+$C$4))</f>
        <v>0</v>
      </c>
      <c r="T653" s="18">
        <f>IF($A653&gt;'1-Input'!$B$26,R653,R653-'P-Parametri'!$B$8*(S653+R653)+MIN(MAX(S653,0),'P-Parametri'!$B$8*(S653+R653)))</f>
        <v>61334.251903345401</v>
      </c>
      <c r="U653" s="18">
        <f>IF($A653&gt;'1-Input'!$B$26,S653,S653-MIN(MAX(S653,0),'P-Parametri'!$B$8*(S653+R653)))</f>
        <v>0</v>
      </c>
      <c r="V653" s="18">
        <f>IF($A653&gt;'1-Input'!$B$26,V652,V652-Q653*(1-P653))</f>
        <v>0</v>
      </c>
      <c r="W653" s="11">
        <f>IF($A653&gt;'1-Input'!$B$26,0,IF(AB652&lt;=0,0,MAX(0,(AB652-AC652)/AB652)))</f>
        <v>0</v>
      </c>
      <c r="X653" s="18">
        <f>IF($A653&gt;'1-Input'!$B$26,0,(MAX(0,W616-IF($A653&gt;='1-Input'!$C$12,'1-Input'!$B$12,0))-MIN(MAX(AA652,0),MAX(0,W616-IF($A653&gt;='1-Input'!$C$12,'1-Input'!$B$12,0))))*(1/(1-'P-Parametri'!$B$6*W653))+MIN(MAX(0,AB652-(MAX(0,W616-IF($A653&gt;='1-Input'!$C$12,'1-Input'!$B$12,0))-MIN(MAX(AA652,0),MAX(0,W616-IF($A653&gt;='1-Input'!$C$12,'1-Input'!$B$12,0))))*(1/(1-'P-Parametri'!$B$6*W653))),MAX(0,5*W616-(AA652-MIN(MAX(AA652,0),MAX(0,W616-IF($A653&gt;='1-Input'!$C$12,'1-Input'!$B$12,0)))))*(1/(1-'P-Parametri'!$B$6*W653))))</f>
        <v>0</v>
      </c>
      <c r="Y653" s="18">
        <f>IF($A653&gt;'1-Input'!$B$26,AA652,(AA652-MAX(0,W616-IF($A653&gt;='1-Input'!$C$12,'1-Input'!$B$12,0))+X653*(1-'P-Parametri'!$B$6*W653))*(1+'1-Input'!$B$27))</f>
        <v>59861.800438348626</v>
      </c>
      <c r="Z653" s="18">
        <f>IF($A653&gt;'1-Input'!$B$26,AB652,(AB652-X653)*(1+$C$4))</f>
        <v>0</v>
      </c>
      <c r="AA653" s="18">
        <f>IF($A653&gt;'1-Input'!$B$26,Y653,Y653-'P-Parametri'!$B$8*(Z653+Y653)+MIN(MAX(Z653,0),'P-Parametri'!$B$8*(Z653+Y653)))</f>
        <v>59742.076837471926</v>
      </c>
      <c r="AB653" s="18">
        <f>IF($A653&gt;'1-Input'!$B$26,Z653,Z653-MIN(MAX(Z653,0),'P-Parametri'!$B$8*(Z653+Y653)))</f>
        <v>0</v>
      </c>
      <c r="AC653" s="18">
        <f>IF($A653&gt;'1-Input'!$B$26,AC652,AC652-X653*(1-W653))</f>
        <v>0</v>
      </c>
      <c r="AD653" s="11">
        <f>IF($A653&gt;'1-Input'!$B$26,0,IF(AI652&lt;=0,0,MAX(0,(AI652-AJ652)/AI652)))</f>
        <v>0</v>
      </c>
      <c r="AE653" s="18">
        <f>IF($A653&gt;'1-Input'!$B$26,0,(MAX(0,AD616-IF($A653&gt;='1-Input'!$C$12,'1-Input'!$B$12,0))-MIN(MAX(AH652,0),MAX(0,AD616-IF($A653&gt;='1-Input'!$C$12,'1-Input'!$B$12,0))))*(1/(1-'P-Parametri'!$B$6*AD653))+MIN(MAX(0,AI652-(MAX(0,AD616-IF($A653&gt;='1-Input'!$C$12,'1-Input'!$B$12,0))-MIN(MAX(AH652,0),MAX(0,AD616-IF($A653&gt;='1-Input'!$C$12,'1-Input'!$B$12,0))))*(1/(1-'P-Parametri'!$B$6*AD653))),MAX(0,5*AD616-(AH652-MIN(MAX(AH652,0),MAX(0,AD616-IF($A653&gt;='1-Input'!$C$12,'1-Input'!$B$12,0)))))*(1/(1-'P-Parametri'!$B$6*AD653))))</f>
        <v>0</v>
      </c>
      <c r="AF653" s="18">
        <f>IF($A653&gt;'1-Input'!$B$26,AH652,(AH652-MAX(0,AD616-IF($A653&gt;='1-Input'!$C$12,'1-Input'!$B$12,0))+AE653*(1-'P-Parametri'!$B$6*AD653))*(1+'1-Input'!$B$27))</f>
        <v>59449.742898067496</v>
      </c>
      <c r="AG653" s="18">
        <f>IF($A653&gt;'1-Input'!$B$26,AI652,(AI652-AE653)*(1+$C$4))</f>
        <v>0</v>
      </c>
      <c r="AH653" s="18">
        <f>IF($A653&gt;'1-Input'!$B$26,AF653,AF653-'P-Parametri'!$B$8*(AG653+AF653)+MIN(MAX(AG653,0),'P-Parametri'!$B$8*(AG653+AF653)))</f>
        <v>59330.843412271359</v>
      </c>
      <c r="AI653" s="18">
        <f>IF($A653&gt;'1-Input'!$B$26,AG653,AG653-MIN(MAX(AG653,0),'P-Parametri'!$B$8*(AG653+AF653)))</f>
        <v>0</v>
      </c>
      <c r="AJ653" s="18">
        <f>IF($A653&gt;'1-Input'!$B$26,AJ652,AJ652-AE653*(1-AD653))</f>
        <v>17.201922220909637</v>
      </c>
      <c r="AK653" s="11">
        <f>IF($A653&gt;'1-Input'!$B$26,0,IF(AP652&lt;=0,0,MAX(0,(AP652-AQ652)/AP652)))</f>
        <v>0</v>
      </c>
      <c r="AL653" s="18">
        <f>IF($A653&gt;'1-Input'!$B$26,0,(MAX(0,AK616-IF($A653&gt;='1-Input'!$C$12,'1-Input'!$B$12,0))-MIN(MAX(AO652,0),MAX(0,AK616-IF($A653&gt;='1-Input'!$C$12,'1-Input'!$B$12,0))))*(1/(1-'P-Parametri'!$B$6*AK653))+MIN(MAX(0,AP652-(MAX(0,AK616-IF($A653&gt;='1-Input'!$C$12,'1-Input'!$B$12,0))-MIN(MAX(AO652,0),MAX(0,AK616-IF($A653&gt;='1-Input'!$C$12,'1-Input'!$B$12,0))))*(1/(1-'P-Parametri'!$B$6*AK653))),MAX(0,5*AK616-(AO652-MIN(MAX(AO652,0),MAX(0,AK616-IF($A653&gt;='1-Input'!$C$12,'1-Input'!$B$12,0)))))*(1/(1-'P-Parametri'!$B$6*AK653))))</f>
        <v>0</v>
      </c>
      <c r="AM653" s="18">
        <f>IF($A653&gt;'1-Input'!$B$26,AO652,(AO652-MAX(0,AK616-IF($A653&gt;='1-Input'!$C$12,'1-Input'!$B$12,0))+AL653*(1-'P-Parametri'!$B$6*AK653))*(1+'1-Input'!$B$27))</f>
        <v>59483.792259607435</v>
      </c>
      <c r="AN653" s="18">
        <f>IF($A653&gt;'1-Input'!$B$26,AP652,(AP652-AL653)*(1+$C$4))</f>
        <v>0</v>
      </c>
      <c r="AO653" s="18">
        <f>IF($A653&gt;'1-Input'!$B$26,AM653,AM653-'P-Parametri'!$B$8*(AN653+AM653)+MIN(MAX(AN653,0),'P-Parametri'!$B$8*(AN653+AM653)))</f>
        <v>59364.824675088217</v>
      </c>
      <c r="AP653" s="18">
        <f>IF($A653&gt;'1-Input'!$B$26,AN653,AN653-MIN(MAX(AN653,0),'P-Parametri'!$B$8*(AN653+AM653)))</f>
        <v>0</v>
      </c>
      <c r="AQ653" s="18">
        <f>IF($A653&gt;'1-Input'!$B$26,AQ652,AQ652-AL653*(1-AK653))</f>
        <v>29.988973806301601</v>
      </c>
    </row>
    <row r="654" spans="1:43">
      <c r="A654" s="10">
        <f>36</f>
        <v>36</v>
      </c>
      <c r="B654" s="11">
        <f>IF($A654&gt;'1-Input'!$B$26,0,IF(G653&lt;=0,0,MAX(0,(G653-H653)/G653)))</f>
        <v>0</v>
      </c>
      <c r="C654" s="18">
        <f>IF($A654&gt;'1-Input'!$B$26,0,(MAX(0,B616-IF($A654&gt;='1-Input'!$C$12,'1-Input'!$B$12,0))-MIN(MAX(F653,0),MAX(0,B616-IF($A654&gt;='1-Input'!$C$12,'1-Input'!$B$12,0))))*(1/(1-'P-Parametri'!$B$6*B654))+MIN(MAX(0,G653-(MAX(0,B616-IF($A654&gt;='1-Input'!$C$12,'1-Input'!$B$12,0))-MIN(MAX(F653,0),MAX(0,B616-IF($A654&gt;='1-Input'!$C$12,'1-Input'!$B$12,0))))*(1/(1-'P-Parametri'!$B$6*B654))),MAX(0,5*B616-(F653-MIN(MAX(F653,0),MAX(0,B616-IF($A654&gt;='1-Input'!$C$12,'1-Input'!$B$12,0)))))*(1/(1-'P-Parametri'!$B$6*B654))))</f>
        <v>0</v>
      </c>
      <c r="D654" s="18">
        <f>IF($A654&gt;'1-Input'!$B$26,F653,(F653-MAX(0,B616-IF($A654&gt;='1-Input'!$C$12,'1-Input'!$B$12,0))+C654*(1-'P-Parametri'!$B$6*B654))*(1+'1-Input'!$B$27))</f>
        <v>65273.754531539431</v>
      </c>
      <c r="E654" s="18">
        <f>IF($A654&gt;'1-Input'!$B$26,G653,(G653-C654)*(1+$C$4))</f>
        <v>0</v>
      </c>
      <c r="F654" s="18">
        <f>IF($A654&gt;'1-Input'!$B$26,D654,D654-'P-Parametri'!$B$8*(E654+D654)+MIN(MAX(E654,0),'P-Parametri'!$B$8*(E654+D654)))</f>
        <v>65143.207022476352</v>
      </c>
      <c r="G654" s="18">
        <f>IF($A654&gt;'1-Input'!$B$26,E654,E654-MIN(MAX(E654,0),'P-Parametri'!$B$8*(E654+D654)))</f>
        <v>0</v>
      </c>
      <c r="H654" s="18">
        <f>IF($A654&gt;'1-Input'!$B$26,H653,H653-C654*(1-B654))</f>
        <v>48.748427721451208</v>
      </c>
      <c r="I654" s="11">
        <f>IF($A654&gt;'1-Input'!$B$26,0,IF(N653&lt;=0,0,MAX(0,(N653-O653)/N653)))</f>
        <v>0</v>
      </c>
      <c r="J654" s="18">
        <f>IF($A654&gt;'1-Input'!$B$26,0,(MAX(0,I616-IF($A654&gt;='1-Input'!$C$12,'1-Input'!$B$12,0))-MIN(MAX(M653,0),MAX(0,I616-IF($A654&gt;='1-Input'!$C$12,'1-Input'!$B$12,0))))*(1/(1-'P-Parametri'!$B$6*I654))+MIN(MAX(0,N653-(MAX(0,I616-IF($A654&gt;='1-Input'!$C$12,'1-Input'!$B$12,0))-MIN(MAX(M653,0),MAX(0,I616-IF($A654&gt;='1-Input'!$C$12,'1-Input'!$B$12,0))))*(1/(1-'P-Parametri'!$B$6*I654))),MAX(0,5*I616-(M653-MIN(MAX(M653,0),MAX(0,I616-IF($A654&gt;='1-Input'!$C$12,'1-Input'!$B$12,0)))))*(1/(1-'P-Parametri'!$B$6*I654))))</f>
        <v>10846.756992928691</v>
      </c>
      <c r="K654" s="18">
        <f>IF($A654&gt;'1-Input'!$B$26,M653,(M653-MAX(0,I616-IF($A654&gt;='1-Input'!$C$12,'1-Input'!$B$12,0))+J654*(1-'P-Parametri'!$B$6*I654))*(1+'1-Input'!$B$27))</f>
        <v>0</v>
      </c>
      <c r="L654" s="18">
        <f>IF($A654&gt;'1-Input'!$B$26,N653,(N653-J654)*(1+$C$4))</f>
        <v>-214004.93180378436</v>
      </c>
      <c r="M654" s="18">
        <f>IF($A654&gt;'1-Input'!$B$26,K654,K654-'P-Parametri'!$B$8*(L654+K654)+MIN(MAX(L654,0),'P-Parametri'!$B$8*(L654+K654)))</f>
        <v>0</v>
      </c>
      <c r="N654" s="18">
        <f>IF($A654&gt;'1-Input'!$B$26,L654,L654-MIN(MAX(L654,0),'P-Parametri'!$B$8*(L654+K654)))</f>
        <v>-213576.92194017681</v>
      </c>
      <c r="O654" s="18">
        <f>IF($A654&gt;'1-Input'!$B$26,O653,O653-J654*(1-I654))</f>
        <v>-168856.48354784786</v>
      </c>
      <c r="P654" s="11">
        <f>IF($A654&gt;'1-Input'!$B$26,0,IF(U653&lt;=0,0,MAX(0,(U653-V653)/U653)))</f>
        <v>0</v>
      </c>
      <c r="Q654" s="18">
        <f>IF($A654&gt;'1-Input'!$B$26,0,(MAX(0,P616-IF($A654&gt;='1-Input'!$C$12,'1-Input'!$B$12,0))-MIN(MAX(T653,0),MAX(0,P616-IF($A654&gt;='1-Input'!$C$12,'1-Input'!$B$12,0))))*(1/(1-'P-Parametri'!$B$6*P654))+MIN(MAX(0,U653-(MAX(0,P616-IF($A654&gt;='1-Input'!$C$12,'1-Input'!$B$12,0))-MIN(MAX(T653,0),MAX(0,P616-IF($A654&gt;='1-Input'!$C$12,'1-Input'!$B$12,0))))*(1/(1-'P-Parametri'!$B$6*P654))),MAX(0,5*P616-(T653-MIN(MAX(T653,0),MAX(0,P616-IF($A654&gt;='1-Input'!$C$12,'1-Input'!$B$12,0)))))*(1/(1-'P-Parametri'!$B$6*P654))))</f>
        <v>0</v>
      </c>
      <c r="R654" s="18">
        <f>IF($A654&gt;'1-Input'!$B$26,T653,(T653-MAX(0,P616-IF($A654&gt;='1-Input'!$C$12,'1-Input'!$B$12,0))+Q654*(1-'P-Parametri'!$B$6*P654))*(1+'1-Input'!$B$27))</f>
        <v>55382.094333596076</v>
      </c>
      <c r="S654" s="18">
        <f>IF($A654&gt;'1-Input'!$B$26,U653,(U653-Q654)*(1+$C$4))</f>
        <v>0</v>
      </c>
      <c r="T654" s="18">
        <f>IF($A654&gt;'1-Input'!$B$26,R654,R654-'P-Parametri'!$B$8*(S654+R654)+MIN(MAX(S654,0),'P-Parametri'!$B$8*(S654+R654)))</f>
        <v>55271.330144928885</v>
      </c>
      <c r="U654" s="18">
        <f>IF($A654&gt;'1-Input'!$B$26,S654,S654-MIN(MAX(S654,0),'P-Parametri'!$B$8*(S654+R654)))</f>
        <v>0</v>
      </c>
      <c r="V654" s="18">
        <f>IF($A654&gt;'1-Input'!$B$26,V653,V653-Q654*(1-P654))</f>
        <v>0</v>
      </c>
      <c r="W654" s="11">
        <f>IF($A654&gt;'1-Input'!$B$26,0,IF(AB653&lt;=0,0,MAX(0,(AB653-AC653)/AB653)))</f>
        <v>0</v>
      </c>
      <c r="X654" s="18">
        <f>IF($A654&gt;'1-Input'!$B$26,0,(MAX(0,W616-IF($A654&gt;='1-Input'!$C$12,'1-Input'!$B$12,0))-MIN(MAX(AA653,0),MAX(0,W616-IF($A654&gt;='1-Input'!$C$12,'1-Input'!$B$12,0))))*(1/(1-'P-Parametri'!$B$6*W654))+MIN(MAX(0,AB653-(MAX(0,W616-IF($A654&gt;='1-Input'!$C$12,'1-Input'!$B$12,0))-MIN(MAX(AA653,0),MAX(0,W616-IF($A654&gt;='1-Input'!$C$12,'1-Input'!$B$12,0))))*(1/(1-'P-Parametri'!$B$6*W654))),MAX(0,5*W616-(AA653-MIN(MAX(AA653,0),MAX(0,W616-IF($A654&gt;='1-Input'!$C$12,'1-Input'!$B$12,0)))))*(1/(1-'P-Parametri'!$B$6*W654))))</f>
        <v>0</v>
      </c>
      <c r="Y654" s="18">
        <f>IF($A654&gt;'1-Input'!$B$26,AA653,(AA653-MAX(0,W616-IF($A654&gt;='1-Input'!$C$12,'1-Input'!$B$12,0))+X654*(1-'P-Parametri'!$B$6*W654))*(1+'1-Input'!$B$27))</f>
        <v>53766.774816160738</v>
      </c>
      <c r="Z654" s="18">
        <f>IF($A654&gt;'1-Input'!$B$26,AB653,(AB653-X654)*(1+$C$4))</f>
        <v>0</v>
      </c>
      <c r="AA654" s="18">
        <f>IF($A654&gt;'1-Input'!$B$26,Y654,Y654-'P-Parametri'!$B$8*(Z654+Y654)+MIN(MAX(Z654,0),'P-Parametri'!$B$8*(Z654+Y654)))</f>
        <v>53659.241266528414</v>
      </c>
      <c r="AB654" s="18">
        <f>IF($A654&gt;'1-Input'!$B$26,Z654,Z654-MIN(MAX(Z654,0),'P-Parametri'!$B$8*(Z654+Y654)))</f>
        <v>0</v>
      </c>
      <c r="AC654" s="18">
        <f>IF($A654&gt;'1-Input'!$B$26,AC653,AC653-X654*(1-W654))</f>
        <v>0</v>
      </c>
      <c r="AD654" s="11">
        <f>IF($A654&gt;'1-Input'!$B$26,0,IF(AI653&lt;=0,0,MAX(0,(AI653-AJ653)/AI653)))</f>
        <v>0</v>
      </c>
      <c r="AE654" s="18">
        <f>IF($A654&gt;'1-Input'!$B$26,0,(MAX(0,AD616-IF($A654&gt;='1-Input'!$C$12,'1-Input'!$B$12,0))-MIN(MAX(AH653,0),MAX(0,AD616-IF($A654&gt;='1-Input'!$C$12,'1-Input'!$B$12,0))))*(1/(1-'P-Parametri'!$B$6*AD654))+MIN(MAX(0,AI653-(MAX(0,AD616-IF($A654&gt;='1-Input'!$C$12,'1-Input'!$B$12,0))-MIN(MAX(AH653,0),MAX(0,AD616-IF($A654&gt;='1-Input'!$C$12,'1-Input'!$B$12,0))))*(1/(1-'P-Parametri'!$B$6*AD654))),MAX(0,5*AD616-(AH653-MIN(MAX(AH653,0),MAX(0,AD616-IF($A654&gt;='1-Input'!$C$12,'1-Input'!$B$12,0)))))*(1/(1-'P-Parametri'!$B$6*AD654))))</f>
        <v>0</v>
      </c>
      <c r="AF654" s="18">
        <f>IF($A654&gt;'1-Input'!$B$26,AH653,(AH653-MAX(0,AD616-IF($A654&gt;='1-Input'!$C$12,'1-Input'!$B$12,0))+AE654*(1-'P-Parametri'!$B$6*AD654))*(1+'1-Input'!$B$27))</f>
        <v>53350.200075773937</v>
      </c>
      <c r="AG654" s="18">
        <f>IF($A654&gt;'1-Input'!$B$26,AI653,(AI653-AE654)*(1+$C$4))</f>
        <v>0</v>
      </c>
      <c r="AH654" s="18">
        <f>IF($A654&gt;'1-Input'!$B$26,AF654,AF654-'P-Parametri'!$B$8*(AG654+AF654)+MIN(MAX(AG654,0),'P-Parametri'!$B$8*(AG654+AF654)))</f>
        <v>53243.499675622392</v>
      </c>
      <c r="AI654" s="18">
        <f>IF($A654&gt;'1-Input'!$B$26,AG654,AG654-MIN(MAX(AG654,0),'P-Parametri'!$B$8*(AG654+AF654)))</f>
        <v>0</v>
      </c>
      <c r="AJ654" s="18">
        <f>IF($A654&gt;'1-Input'!$B$26,AJ653,AJ653-AE654*(1-AD654))</f>
        <v>17.201922220909637</v>
      </c>
      <c r="AK654" s="11">
        <f>IF($A654&gt;'1-Input'!$B$26,0,IF(AP653&lt;=0,0,MAX(0,(AP653-AQ653)/AP653)))</f>
        <v>0</v>
      </c>
      <c r="AL654" s="18">
        <f>IF($A654&gt;'1-Input'!$B$26,0,(MAX(0,AK616-IF($A654&gt;='1-Input'!$C$12,'1-Input'!$B$12,0))-MIN(MAX(AO653,0),MAX(0,AK616-IF($A654&gt;='1-Input'!$C$12,'1-Input'!$B$12,0))))*(1/(1-'P-Parametri'!$B$6*AK654))+MIN(MAX(0,AP653-(MAX(0,AK616-IF($A654&gt;='1-Input'!$C$12,'1-Input'!$B$12,0))-MIN(MAX(AO653,0),MAX(0,AK616-IF($A654&gt;='1-Input'!$C$12,'1-Input'!$B$12,0))))*(1/(1-'P-Parametri'!$B$6*AK654))),MAX(0,5*AK616-(AO653-MIN(MAX(AO653,0),MAX(0,AK616-IF($A654&gt;='1-Input'!$C$12,'1-Input'!$B$12,0)))))*(1/(1-'P-Parametri'!$B$6*AK654))))</f>
        <v>0</v>
      </c>
      <c r="AM654" s="18">
        <f>IF($A654&gt;'1-Input'!$B$26,AO653,(AO653-MAX(0,AK616-IF($A654&gt;='1-Input'!$C$12,'1-Input'!$B$12,0))+AL654*(1-'P-Parametri'!$B$6*AK654))*(1+'1-Input'!$B$27))</f>
        <v>53384.571800232181</v>
      </c>
      <c r="AN654" s="18">
        <f>IF($A654&gt;'1-Input'!$B$26,AP653,(AP653-AL654)*(1+$C$4))</f>
        <v>0</v>
      </c>
      <c r="AO654" s="18">
        <f>IF($A654&gt;'1-Input'!$B$26,AM654,AM654-'P-Parametri'!$B$8*(AN654+AM654)+MIN(MAX(AN654,0),'P-Parametri'!$B$8*(AN654+AM654)))</f>
        <v>53277.802656631713</v>
      </c>
      <c r="AP654" s="18">
        <f>IF($A654&gt;'1-Input'!$B$26,AN654,AN654-MIN(MAX(AN654,0),'P-Parametri'!$B$8*(AN654+AM654)))</f>
        <v>0</v>
      </c>
      <c r="AQ654" s="18">
        <f>IF($A654&gt;'1-Input'!$B$26,AQ653,AQ653-AL654*(1-AK654))</f>
        <v>29.988973806301601</v>
      </c>
    </row>
    <row r="655" spans="1:43">
      <c r="A655" s="10">
        <f>37</f>
        <v>37</v>
      </c>
      <c r="B655" s="11">
        <f>IF($A655&gt;'1-Input'!$B$26,0,IF(G654&lt;=0,0,MAX(0,(G654-H654)/G654)))</f>
        <v>0</v>
      </c>
      <c r="C655" s="18">
        <f>IF($A655&gt;'1-Input'!$B$26,0,(MAX(0,B616-IF($A655&gt;='1-Input'!$C$12,'1-Input'!$B$12,0))-MIN(MAX(F654,0),MAX(0,B616-IF($A655&gt;='1-Input'!$C$12,'1-Input'!$B$12,0))))*(1/(1-'P-Parametri'!$B$6*B655))+MIN(MAX(0,G654-(MAX(0,B616-IF($A655&gt;='1-Input'!$C$12,'1-Input'!$B$12,0))-MIN(MAX(F654,0),MAX(0,B616-IF($A655&gt;='1-Input'!$C$12,'1-Input'!$B$12,0))))*(1/(1-'P-Parametri'!$B$6*B655))),MAX(0,5*B616-(F654-MIN(MAX(F654,0),MAX(0,B616-IF($A655&gt;='1-Input'!$C$12,'1-Input'!$B$12,0)))))*(1/(1-'P-Parametri'!$B$6*B655))))</f>
        <v>0</v>
      </c>
      <c r="D655" s="18">
        <f>IF($A655&gt;'1-Input'!$B$26,F654,(F654-MAX(0,B616-IF($A655&gt;='1-Input'!$C$12,'1-Input'!$B$12,0))+C655*(1-'P-Parametri'!$B$6*B655))*(1+'1-Input'!$B$27))</f>
        <v>59349.720761702287</v>
      </c>
      <c r="E655" s="18">
        <f>IF($A655&gt;'1-Input'!$B$26,G654,(G654-C655)*(1+$C$4))</f>
        <v>0</v>
      </c>
      <c r="F655" s="18">
        <f>IF($A655&gt;'1-Input'!$B$26,D655,D655-'P-Parametri'!$B$8*(E655+D655)+MIN(MAX(E655,0),'P-Parametri'!$B$8*(E655+D655)))</f>
        <v>59231.021320178879</v>
      </c>
      <c r="G655" s="18">
        <f>IF($A655&gt;'1-Input'!$B$26,E655,E655-MIN(MAX(E655,0),'P-Parametri'!$B$8*(E655+D655)))</f>
        <v>0</v>
      </c>
      <c r="H655" s="18">
        <f>IF($A655&gt;'1-Input'!$B$26,H654,H654-C655*(1-B655))</f>
        <v>48.748427721451208</v>
      </c>
      <c r="I655" s="11">
        <f>IF($A655&gt;'1-Input'!$B$26,0,IF(N654&lt;=0,0,MAX(0,(N654-O654)/N654)))</f>
        <v>0</v>
      </c>
      <c r="J655" s="18">
        <f>IF($A655&gt;'1-Input'!$B$26,0,(MAX(0,I616-IF($A655&gt;='1-Input'!$C$12,'1-Input'!$B$12,0))-MIN(MAX(M654,0),MAX(0,I616-IF($A655&gt;='1-Input'!$C$12,'1-Input'!$B$12,0))))*(1/(1-'P-Parametri'!$B$6*I655))+MIN(MAX(0,N654-(MAX(0,I616-IF($A655&gt;='1-Input'!$C$12,'1-Input'!$B$12,0))-MIN(MAX(M654,0),MAX(0,I616-IF($A655&gt;='1-Input'!$C$12,'1-Input'!$B$12,0))))*(1/(1-'P-Parametri'!$B$6*I655))),MAX(0,5*I616-(M654-MIN(MAX(M654,0),MAX(0,I616-IF($A655&gt;='1-Input'!$C$12,'1-Input'!$B$12,0)))))*(1/(1-'P-Parametri'!$B$6*I655))))</f>
        <v>10846.756992928691</v>
      </c>
      <c r="K655" s="18">
        <f>IF($A655&gt;'1-Input'!$B$26,M654,(M654-MAX(0,I616-IF($A655&gt;='1-Input'!$C$12,'1-Input'!$B$12,0))+J655*(1-'P-Parametri'!$B$6*I655))*(1+'1-Input'!$B$27))</f>
        <v>0</v>
      </c>
      <c r="L655" s="18">
        <f>IF($A655&gt;'1-Input'!$B$26,N654,(N654-J655)*(1+$C$4))</f>
        <v>-231156.38930109865</v>
      </c>
      <c r="M655" s="18">
        <f>IF($A655&gt;'1-Input'!$B$26,K655,K655-'P-Parametri'!$B$8*(L655+K655)+MIN(MAX(L655,0),'P-Parametri'!$B$8*(L655+K655)))</f>
        <v>0</v>
      </c>
      <c r="N655" s="18">
        <f>IF($A655&gt;'1-Input'!$B$26,L655,L655-MIN(MAX(L655,0),'P-Parametri'!$B$8*(L655+K655)))</f>
        <v>-230694.07652249644</v>
      </c>
      <c r="O655" s="18">
        <f>IF($A655&gt;'1-Input'!$B$26,O654,O654-J655*(1-I655))</f>
        <v>-179703.24054077655</v>
      </c>
      <c r="P655" s="11">
        <f>IF($A655&gt;'1-Input'!$B$26,0,IF(U654&lt;=0,0,MAX(0,(U654-V654)/U654)))</f>
        <v>0</v>
      </c>
      <c r="Q655" s="18">
        <f>IF($A655&gt;'1-Input'!$B$26,0,(MAX(0,P616-IF($A655&gt;='1-Input'!$C$12,'1-Input'!$B$12,0))-MIN(MAX(T654,0),MAX(0,P616-IF($A655&gt;='1-Input'!$C$12,'1-Input'!$B$12,0))))*(1/(1-'P-Parametri'!$B$6*P655))+MIN(MAX(0,U654-(MAX(0,P616-IF($A655&gt;='1-Input'!$C$12,'1-Input'!$B$12,0))-MIN(MAX(T654,0),MAX(0,P616-IF($A655&gt;='1-Input'!$C$12,'1-Input'!$B$12,0))))*(1/(1-'P-Parametri'!$B$6*P655))),MAX(0,5*P616-(T654-MIN(MAX(T654,0),MAX(0,P616-IF($A655&gt;='1-Input'!$C$12,'1-Input'!$B$12,0)))))*(1/(1-'P-Parametri'!$B$6*P655))))</f>
        <v>0</v>
      </c>
      <c r="R655" s="18">
        <f>IF($A655&gt;'1-Input'!$B$26,T654,(T654-MAX(0,P616-IF($A655&gt;='1-Input'!$C$12,'1-Input'!$B$12,0))+Q655*(1-'P-Parametri'!$B$6*P655))*(1+'1-Input'!$B$27))</f>
        <v>49340.999093509861</v>
      </c>
      <c r="S655" s="18">
        <f>IF($A655&gt;'1-Input'!$B$26,U654,(U654-Q655)*(1+$C$4))</f>
        <v>0</v>
      </c>
      <c r="T655" s="18">
        <f>IF($A655&gt;'1-Input'!$B$26,R655,R655-'P-Parametri'!$B$8*(S655+R655)+MIN(MAX(S655,0),'P-Parametri'!$B$8*(S655+R655)))</f>
        <v>49242.31709532284</v>
      </c>
      <c r="U655" s="18">
        <f>IF($A655&gt;'1-Input'!$B$26,S655,S655-MIN(MAX(S655,0),'P-Parametri'!$B$8*(S655+R655)))</f>
        <v>0</v>
      </c>
      <c r="V655" s="18">
        <f>IF($A655&gt;'1-Input'!$B$26,V654,V654-Q655*(1-P655))</f>
        <v>0</v>
      </c>
      <c r="W655" s="11">
        <f>IF($A655&gt;'1-Input'!$B$26,0,IF(AB654&lt;=0,0,MAX(0,(AB654-AC654)/AB654)))</f>
        <v>0</v>
      </c>
      <c r="X655" s="18">
        <f>IF($A655&gt;'1-Input'!$B$26,0,(MAX(0,W616-IF($A655&gt;='1-Input'!$C$12,'1-Input'!$B$12,0))-MIN(MAX(AA654,0),MAX(0,W616-IF($A655&gt;='1-Input'!$C$12,'1-Input'!$B$12,0))))*(1/(1-'P-Parametri'!$B$6*W655))+MIN(MAX(0,AB654-(MAX(0,W616-IF($A655&gt;='1-Input'!$C$12,'1-Input'!$B$12,0))-MIN(MAX(AA654,0),MAX(0,W616-IF($A655&gt;='1-Input'!$C$12,'1-Input'!$B$12,0))))*(1/(1-'P-Parametri'!$B$6*W655))),MAX(0,5*W616-(AA654-MIN(MAX(AA654,0),MAX(0,W616-IF($A655&gt;='1-Input'!$C$12,'1-Input'!$B$12,0)))))*(1/(1-'P-Parametri'!$B$6*W655))))</f>
        <v>0</v>
      </c>
      <c r="Y655" s="18">
        <f>IF($A655&gt;'1-Input'!$B$26,AA654,(AA654-MAX(0,W616-IF($A655&gt;='1-Input'!$C$12,'1-Input'!$B$12,0))+X655*(1-'P-Parametri'!$B$6*W655))*(1+'1-Input'!$B$27))</f>
        <v>47705.837453272623</v>
      </c>
      <c r="Z655" s="18">
        <f>IF($A655&gt;'1-Input'!$B$26,AB654,(AB654-X655)*(1+$C$4))</f>
        <v>0</v>
      </c>
      <c r="AA655" s="18">
        <f>IF($A655&gt;'1-Input'!$B$26,Y655,Y655-'P-Parametri'!$B$8*(Z655+Y655)+MIN(MAX(Z655,0),'P-Parametri'!$B$8*(Z655+Y655)))</f>
        <v>47610.42577836608</v>
      </c>
      <c r="AB655" s="18">
        <f>IF($A655&gt;'1-Input'!$B$26,Z655,Z655-MIN(MAX(Z655,0),'P-Parametri'!$B$8*(Z655+Y655)))</f>
        <v>0</v>
      </c>
      <c r="AC655" s="18">
        <f>IF($A655&gt;'1-Input'!$B$26,AC654,AC654-X655*(1-W655))</f>
        <v>0</v>
      </c>
      <c r="AD655" s="11">
        <f>IF($A655&gt;'1-Input'!$B$26,0,IF(AI654&lt;=0,0,MAX(0,(AI654-AJ654)/AI654)))</f>
        <v>0</v>
      </c>
      <c r="AE655" s="18">
        <f>IF($A655&gt;'1-Input'!$B$26,0,(MAX(0,AD616-IF($A655&gt;='1-Input'!$C$12,'1-Input'!$B$12,0))-MIN(MAX(AH654,0),MAX(0,AD616-IF($A655&gt;='1-Input'!$C$12,'1-Input'!$B$12,0))))*(1/(1-'P-Parametri'!$B$6*AD655))+MIN(MAX(0,AI654-(MAX(0,AD616-IF($A655&gt;='1-Input'!$C$12,'1-Input'!$B$12,0))-MIN(MAX(AH654,0),MAX(0,AD616-IF($A655&gt;='1-Input'!$C$12,'1-Input'!$B$12,0))))*(1/(1-'P-Parametri'!$B$6*AD655))),MAX(0,5*AD616-(AH654-MIN(MAX(AH654,0),MAX(0,AD616-IF($A655&gt;='1-Input'!$C$12,'1-Input'!$B$12,0)))))*(1/(1-'P-Parametri'!$B$6*AD655))))</f>
        <v>0</v>
      </c>
      <c r="AF655" s="18">
        <f>IF($A655&gt;'1-Input'!$B$26,AH654,(AH654-MAX(0,AD616-IF($A655&gt;='1-Input'!$C$12,'1-Input'!$B$12,0))+AE655*(1-'P-Parametri'!$B$6*AD655))*(1+'1-Input'!$B$27))</f>
        <v>47284.770776576908</v>
      </c>
      <c r="AG655" s="18">
        <f>IF($A655&gt;'1-Input'!$B$26,AI654,(AI654-AE655)*(1+$C$4))</f>
        <v>0</v>
      </c>
      <c r="AH655" s="18">
        <f>IF($A655&gt;'1-Input'!$B$26,AF655,AF655-'P-Parametri'!$B$8*(AG655+AF655)+MIN(MAX(AG655,0),'P-Parametri'!$B$8*(AG655+AF655)))</f>
        <v>47190.201235023756</v>
      </c>
      <c r="AI655" s="18">
        <f>IF($A655&gt;'1-Input'!$B$26,AG655,AG655-MIN(MAX(AG655,0),'P-Parametri'!$B$8*(AG655+AF655)))</f>
        <v>0</v>
      </c>
      <c r="AJ655" s="18">
        <f>IF($A655&gt;'1-Input'!$B$26,AJ654,AJ654-AE655*(1-AD655))</f>
        <v>17.201922220909637</v>
      </c>
      <c r="AK655" s="11">
        <f>IF($A655&gt;'1-Input'!$B$26,0,IF(AP654&lt;=0,0,MAX(0,(AP654-AQ654)/AP654)))</f>
        <v>0</v>
      </c>
      <c r="AL655" s="18">
        <f>IF($A655&gt;'1-Input'!$B$26,0,(MAX(0,AK616-IF($A655&gt;='1-Input'!$C$12,'1-Input'!$B$12,0))-MIN(MAX(AO654,0),MAX(0,AK616-IF($A655&gt;='1-Input'!$C$12,'1-Input'!$B$12,0))))*(1/(1-'P-Parametri'!$B$6*AK655))+MIN(MAX(0,AP654-(MAX(0,AK616-IF($A655&gt;='1-Input'!$C$12,'1-Input'!$B$12,0))-MIN(MAX(AO654,0),MAX(0,AK616-IF($A655&gt;='1-Input'!$C$12,'1-Input'!$B$12,0))))*(1/(1-'P-Parametri'!$B$6*AK655))),MAX(0,5*AK616-(AO654-MIN(MAX(AO654,0),MAX(0,AK616-IF($A655&gt;='1-Input'!$C$12,'1-Input'!$B$12,0)))))*(1/(1-'P-Parametri'!$B$6*AK655))))</f>
        <v>0</v>
      </c>
      <c r="AM655" s="18">
        <f>IF($A655&gt;'1-Input'!$B$26,AO654,(AO654-MAX(0,AK616-IF($A655&gt;='1-Input'!$C$12,'1-Input'!$B$12,0))+AL655*(1-'P-Parametri'!$B$6*AK655))*(1+'1-Input'!$B$27))</f>
        <v>47319.463061042115</v>
      </c>
      <c r="AN655" s="18">
        <f>IF($A655&gt;'1-Input'!$B$26,AP654,(AP654-AL655)*(1+$C$4))</f>
        <v>0</v>
      </c>
      <c r="AO655" s="18">
        <f>IF($A655&gt;'1-Input'!$B$26,AM655,AM655-'P-Parametri'!$B$8*(AN655+AM655)+MIN(MAX(AN655,0),'P-Parametri'!$B$8*(AN655+AM655)))</f>
        <v>47224.824134920033</v>
      </c>
      <c r="AP655" s="18">
        <f>IF($A655&gt;'1-Input'!$B$26,AN655,AN655-MIN(MAX(AN655,0),'P-Parametri'!$B$8*(AN655+AM655)))</f>
        <v>0</v>
      </c>
      <c r="AQ655" s="18">
        <f>IF($A655&gt;'1-Input'!$B$26,AQ654,AQ654-AL655*(1-AK655))</f>
        <v>29.988973806301601</v>
      </c>
    </row>
    <row r="656" spans="1:43">
      <c r="A656" s="10">
        <f>38</f>
        <v>38</v>
      </c>
      <c r="B656" s="11">
        <f>IF($A656&gt;'1-Input'!$B$26,0,IF(G655&lt;=0,0,MAX(0,(G655-H655)/G655)))</f>
        <v>0</v>
      </c>
      <c r="C656" s="18">
        <f>IF($A656&gt;'1-Input'!$B$26,0,(MAX(0,B616-IF($A656&gt;='1-Input'!$C$12,'1-Input'!$B$12,0))-MIN(MAX(F655,0),MAX(0,B616-IF($A656&gt;='1-Input'!$C$12,'1-Input'!$B$12,0))))*(1/(1-'P-Parametri'!$B$6*B656))+MIN(MAX(0,G655-(MAX(0,B616-IF($A656&gt;='1-Input'!$C$12,'1-Input'!$B$12,0))-MIN(MAX(F655,0),MAX(0,B616-IF($A656&gt;='1-Input'!$C$12,'1-Input'!$B$12,0))))*(1/(1-'P-Parametri'!$B$6*B656))),MAX(0,5*B616-(F655-MIN(MAX(F655,0),MAX(0,B616-IF($A656&gt;='1-Input'!$C$12,'1-Input'!$B$12,0)))))*(1/(1-'P-Parametri'!$B$6*B656))))</f>
        <v>0</v>
      </c>
      <c r="D656" s="18">
        <f>IF($A656&gt;'1-Input'!$B$26,F655,(F655-MAX(0,B616-IF($A656&gt;='1-Input'!$C$12,'1-Input'!$B$12,0))+C656*(1-'P-Parametri'!$B$6*B656))*(1+'1-Input'!$B$27))</f>
        <v>53458.818927933084</v>
      </c>
      <c r="E656" s="18">
        <f>IF($A656&gt;'1-Input'!$B$26,G655,(G655-C656)*(1+$C$4))</f>
        <v>0</v>
      </c>
      <c r="F656" s="18">
        <f>IF($A656&gt;'1-Input'!$B$26,D656,D656-'P-Parametri'!$B$8*(E656+D656)+MIN(MAX(E656,0),'P-Parametri'!$B$8*(E656+D656)))</f>
        <v>53351.901290077214</v>
      </c>
      <c r="G656" s="18">
        <f>IF($A656&gt;'1-Input'!$B$26,E656,E656-MIN(MAX(E656,0),'P-Parametri'!$B$8*(E656+D656)))</f>
        <v>0</v>
      </c>
      <c r="H656" s="18">
        <f>IF($A656&gt;'1-Input'!$B$26,H655,H655-C656*(1-B656))</f>
        <v>48.748427721451208</v>
      </c>
      <c r="I656" s="11">
        <f>IF($A656&gt;'1-Input'!$B$26,0,IF(N655&lt;=0,0,MAX(0,(N655-O655)/N655)))</f>
        <v>0</v>
      </c>
      <c r="J656" s="18">
        <f>IF($A656&gt;'1-Input'!$B$26,0,(MAX(0,I616-IF($A656&gt;='1-Input'!$C$12,'1-Input'!$B$12,0))-MIN(MAX(M655,0),MAX(0,I616-IF($A656&gt;='1-Input'!$C$12,'1-Input'!$B$12,0))))*(1/(1-'P-Parametri'!$B$6*I656))+MIN(MAX(0,N655-(MAX(0,I616-IF($A656&gt;='1-Input'!$C$12,'1-Input'!$B$12,0))-MIN(MAX(M655,0),MAX(0,I616-IF($A656&gt;='1-Input'!$C$12,'1-Input'!$B$12,0))))*(1/(1-'P-Parametri'!$B$6*I656))),MAX(0,5*I616-(M655-MIN(MAX(M655,0),MAX(0,I616-IF($A656&gt;='1-Input'!$C$12,'1-Input'!$B$12,0)))))*(1/(1-'P-Parametri'!$B$6*I656))))</f>
        <v>10846.756992928691</v>
      </c>
      <c r="K656" s="18">
        <f>IF($A656&gt;'1-Input'!$B$26,M655,(M655-MAX(0,I616-IF($A656&gt;='1-Input'!$C$12,'1-Input'!$B$12,0))+J656*(1-'P-Parametri'!$B$6*I656))*(1+'1-Input'!$B$27))</f>
        <v>0</v>
      </c>
      <c r="L656" s="18">
        <f>IF($A656&gt;'1-Input'!$B$26,N655,(N655-J656)*(1+$C$4))</f>
        <v>-248787.05852088789</v>
      </c>
      <c r="M656" s="18">
        <f>IF($A656&gt;'1-Input'!$B$26,K656,K656-'P-Parametri'!$B$8*(L656+K656)+MIN(MAX(L656,0),'P-Parametri'!$B$8*(L656+K656)))</f>
        <v>0</v>
      </c>
      <c r="N656" s="18">
        <f>IF($A656&gt;'1-Input'!$B$26,L656,L656-MIN(MAX(L656,0),'P-Parametri'!$B$8*(L656+K656)))</f>
        <v>-248289.48440384612</v>
      </c>
      <c r="O656" s="18">
        <f>IF($A656&gt;'1-Input'!$B$26,O655,O655-J656*(1-I656))</f>
        <v>-190549.99753370523</v>
      </c>
      <c r="P656" s="11">
        <f>IF($A656&gt;'1-Input'!$B$26,0,IF(U655&lt;=0,0,MAX(0,(U655-V655)/U655)))</f>
        <v>0</v>
      </c>
      <c r="Q656" s="18">
        <f>IF($A656&gt;'1-Input'!$B$26,0,(MAX(0,P616-IF($A656&gt;='1-Input'!$C$12,'1-Input'!$B$12,0))-MIN(MAX(T655,0),MAX(0,P616-IF($A656&gt;='1-Input'!$C$12,'1-Input'!$B$12,0))))*(1/(1-'P-Parametri'!$B$6*P656))+MIN(MAX(0,U655-(MAX(0,P616-IF($A656&gt;='1-Input'!$C$12,'1-Input'!$B$12,0))-MIN(MAX(T655,0),MAX(0,P616-IF($A656&gt;='1-Input'!$C$12,'1-Input'!$B$12,0))))*(1/(1-'P-Parametri'!$B$6*P656))),MAX(0,5*P616-(T655-MIN(MAX(T655,0),MAX(0,P616-IF($A656&gt;='1-Input'!$C$12,'1-Input'!$B$12,0)))))*(1/(1-'P-Parametri'!$B$6*P656))))</f>
        <v>0</v>
      </c>
      <c r="R656" s="18">
        <f>IF($A656&gt;'1-Input'!$B$26,T655,(T655-MAX(0,P616-IF($A656&gt;='1-Input'!$C$12,'1-Input'!$B$12,0))+Q656*(1-'P-Parametri'!$B$6*P656))*(1+'1-Input'!$B$27))</f>
        <v>43333.690490882393</v>
      </c>
      <c r="S656" s="18">
        <f>IF($A656&gt;'1-Input'!$B$26,U655,(U655-Q656)*(1+$C$4))</f>
        <v>0</v>
      </c>
      <c r="T656" s="18">
        <f>IF($A656&gt;'1-Input'!$B$26,R656,R656-'P-Parametri'!$B$8*(S656+R656)+MIN(MAX(S656,0),'P-Parametri'!$B$8*(S656+R656)))</f>
        <v>43247.023109900627</v>
      </c>
      <c r="U656" s="18">
        <f>IF($A656&gt;'1-Input'!$B$26,S656,S656-MIN(MAX(S656,0),'P-Parametri'!$B$8*(S656+R656)))</f>
        <v>0</v>
      </c>
      <c r="V656" s="18">
        <f>IF($A656&gt;'1-Input'!$B$26,V655,V655-Q656*(1-P656))</f>
        <v>0</v>
      </c>
      <c r="W656" s="11">
        <f>IF($A656&gt;'1-Input'!$B$26,0,IF(AB655&lt;=0,0,MAX(0,(AB655-AC655)/AB655)))</f>
        <v>0</v>
      </c>
      <c r="X656" s="18">
        <f>IF($A656&gt;'1-Input'!$B$26,0,(MAX(0,W616-IF($A656&gt;='1-Input'!$C$12,'1-Input'!$B$12,0))-MIN(MAX(AA655,0),MAX(0,W616-IF($A656&gt;='1-Input'!$C$12,'1-Input'!$B$12,0))))*(1/(1-'P-Parametri'!$B$6*W656))+MIN(MAX(0,AB655-(MAX(0,W616-IF($A656&gt;='1-Input'!$C$12,'1-Input'!$B$12,0))-MIN(MAX(AA655,0),MAX(0,W616-IF($A656&gt;='1-Input'!$C$12,'1-Input'!$B$12,0))))*(1/(1-'P-Parametri'!$B$6*W656))),MAX(0,5*W616-(AA655-MIN(MAX(AA655,0),MAX(0,W616-IF($A656&gt;='1-Input'!$C$12,'1-Input'!$B$12,0)))))*(1/(1-'P-Parametri'!$B$6*W656))))</f>
        <v>0</v>
      </c>
      <c r="Y656" s="18">
        <f>IF($A656&gt;'1-Input'!$B$26,AA655,(AA655-MAX(0,W616-IF($A656&gt;='1-Input'!$C$12,'1-Input'!$B$12,0))+X656*(1-'P-Parametri'!$B$6*W656))*(1+'1-Input'!$B$27))</f>
        <v>41678.797700867675</v>
      </c>
      <c r="Z656" s="18">
        <f>IF($A656&gt;'1-Input'!$B$26,AB655,(AB655-X656)*(1+$C$4))</f>
        <v>0</v>
      </c>
      <c r="AA656" s="18">
        <f>IF($A656&gt;'1-Input'!$B$26,Y656,Y656-'P-Parametri'!$B$8*(Z656+Y656)+MIN(MAX(Z656,0),'P-Parametri'!$B$8*(Z656+Y656)))</f>
        <v>41595.440105465939</v>
      </c>
      <c r="AB656" s="18">
        <f>IF($A656&gt;'1-Input'!$B$26,Z656,Z656-MIN(MAX(Z656,0),'P-Parametri'!$B$8*(Z656+Y656)))</f>
        <v>0</v>
      </c>
      <c r="AC656" s="18">
        <f>IF($A656&gt;'1-Input'!$B$26,AC655,AC655-X656*(1-W656))</f>
        <v>0</v>
      </c>
      <c r="AD656" s="11">
        <f>IF($A656&gt;'1-Input'!$B$26,0,IF(AI655&lt;=0,0,MAX(0,(AI655-AJ655)/AI655)))</f>
        <v>0</v>
      </c>
      <c r="AE656" s="18">
        <f>IF($A656&gt;'1-Input'!$B$26,0,(MAX(0,AD616-IF($A656&gt;='1-Input'!$C$12,'1-Input'!$B$12,0))-MIN(MAX(AH655,0),MAX(0,AD616-IF($A656&gt;='1-Input'!$C$12,'1-Input'!$B$12,0))))*(1/(1-'P-Parametri'!$B$6*AD656))+MIN(MAX(0,AI655-(MAX(0,AD616-IF($A656&gt;='1-Input'!$C$12,'1-Input'!$B$12,0))-MIN(MAX(AH655,0),MAX(0,AD616-IF($A656&gt;='1-Input'!$C$12,'1-Input'!$B$12,0))))*(1/(1-'P-Parametri'!$B$6*AD656))),MAX(0,5*AD616-(AH655-MIN(MAX(AH655,0),MAX(0,AD616-IF($A656&gt;='1-Input'!$C$12,'1-Input'!$B$12,0)))))*(1/(1-'P-Parametri'!$B$6*AD656))))</f>
        <v>0</v>
      </c>
      <c r="AF656" s="18">
        <f>IF($A656&gt;'1-Input'!$B$26,AH655,(AH655-MAX(0,AD616-IF($A656&gt;='1-Input'!$C$12,'1-Input'!$B$12,0))+AE656*(1-'P-Parametri'!$B$6*AD656))*(1+'1-Input'!$B$27))</f>
        <v>41253.264210364425</v>
      </c>
      <c r="AG656" s="18">
        <f>IF($A656&gt;'1-Input'!$B$26,AI655,(AI655-AE656)*(1+$C$4))</f>
        <v>0</v>
      </c>
      <c r="AH656" s="18">
        <f>IF($A656&gt;'1-Input'!$B$26,AF656,AF656-'P-Parametri'!$B$8*(AG656+AF656)+MIN(MAX(AG656,0),'P-Parametri'!$B$8*(AG656+AF656)))</f>
        <v>41170.757681943694</v>
      </c>
      <c r="AI656" s="18">
        <f>IF($A656&gt;'1-Input'!$B$26,AG656,AG656-MIN(MAX(AG656,0),'P-Parametri'!$B$8*(AG656+AF656)))</f>
        <v>0</v>
      </c>
      <c r="AJ656" s="18">
        <f>IF($A656&gt;'1-Input'!$B$26,AJ655,AJ655-AE656*(1-AD656))</f>
        <v>17.201922220909637</v>
      </c>
      <c r="AK656" s="11">
        <f>IF($A656&gt;'1-Input'!$B$26,0,IF(AP655&lt;=0,0,MAX(0,(AP655-AQ655)/AP655)))</f>
        <v>0</v>
      </c>
      <c r="AL656" s="18">
        <f>IF($A656&gt;'1-Input'!$B$26,0,(MAX(0,AK616-IF($A656&gt;='1-Input'!$C$12,'1-Input'!$B$12,0))-MIN(MAX(AO655,0),MAX(0,AK616-IF($A656&gt;='1-Input'!$C$12,'1-Input'!$B$12,0))))*(1/(1-'P-Parametri'!$B$6*AK656))+MIN(MAX(0,AP655-(MAX(0,AK616-IF($A656&gt;='1-Input'!$C$12,'1-Input'!$B$12,0))-MIN(MAX(AO655,0),MAX(0,AK616-IF($A656&gt;='1-Input'!$C$12,'1-Input'!$B$12,0))))*(1/(1-'P-Parametri'!$B$6*AK656))),MAX(0,5*AK616-(AO655-MIN(MAX(AO655,0),MAX(0,AK616-IF($A656&gt;='1-Input'!$C$12,'1-Input'!$B$12,0)))))*(1/(1-'P-Parametri'!$B$6*AK656))))</f>
        <v>0</v>
      </c>
      <c r="AM656" s="18">
        <f>IF($A656&gt;'1-Input'!$B$26,AO655,(AO655-MAX(0,AK616-IF($A656&gt;='1-Input'!$C$12,'1-Input'!$B$12,0))+AL656*(1-'P-Parametri'!$B$6*AK656))*(1+'1-Input'!$B$27))</f>
        <v>41288.275262008603</v>
      </c>
      <c r="AN656" s="18">
        <f>IF($A656&gt;'1-Input'!$B$26,AP655,(AP655-AL656)*(1+$C$4))</f>
        <v>0</v>
      </c>
      <c r="AO656" s="18">
        <f>IF($A656&gt;'1-Input'!$B$26,AM656,AM656-'P-Parametri'!$B$8*(AN656+AM656)+MIN(MAX(AN656,0),'P-Parametri'!$B$8*(AN656+AM656)))</f>
        <v>41205.698711484583</v>
      </c>
      <c r="AP656" s="18">
        <f>IF($A656&gt;'1-Input'!$B$26,AN656,AN656-MIN(MAX(AN656,0),'P-Parametri'!$B$8*(AN656+AM656)))</f>
        <v>0</v>
      </c>
      <c r="AQ656" s="18">
        <f>IF($A656&gt;'1-Input'!$B$26,AQ655,AQ655-AL656*(1-AK656))</f>
        <v>29.988973806301601</v>
      </c>
    </row>
    <row r="657" spans="1:43">
      <c r="A657" s="10">
        <f>39</f>
        <v>39</v>
      </c>
      <c r="B657" s="11">
        <f>IF($A657&gt;'1-Input'!$B$26,0,IF(G656&lt;=0,0,MAX(0,(G656-H656)/G656)))</f>
        <v>0</v>
      </c>
      <c r="C657" s="18">
        <f>IF($A657&gt;'1-Input'!$B$26,0,(MAX(0,B616-IF($A657&gt;='1-Input'!$C$12,'1-Input'!$B$12,0))-MIN(MAX(F656,0),MAX(0,B616-IF($A657&gt;='1-Input'!$C$12,'1-Input'!$B$12,0))))*(1/(1-'P-Parametri'!$B$6*B657))+MIN(MAX(0,G656-(MAX(0,B616-IF($A657&gt;='1-Input'!$C$12,'1-Input'!$B$12,0))-MIN(MAX(F656,0),MAX(0,B616-IF($A657&gt;='1-Input'!$C$12,'1-Input'!$B$12,0))))*(1/(1-'P-Parametri'!$B$6*B657))),MAX(0,5*B616-(F656-MIN(MAX(F656,0),MAX(0,B616-IF($A657&gt;='1-Input'!$C$12,'1-Input'!$B$12,0)))))*(1/(1-'P-Parametri'!$B$6*B657))))</f>
        <v>0</v>
      </c>
      <c r="D657" s="18">
        <f>IF($A657&gt;'1-Input'!$B$26,F656,(F656-MAX(0,B616-IF($A657&gt;='1-Input'!$C$12,'1-Input'!$B$12,0))+C657*(1-'P-Parametri'!$B$6*B657))*(1+'1-Input'!$B$27))</f>
        <v>47600.863729939781</v>
      </c>
      <c r="E657" s="18">
        <f>IF($A657&gt;'1-Input'!$B$26,G656,(G656-C657)*(1+$C$4))</f>
        <v>0</v>
      </c>
      <c r="F657" s="18">
        <f>IF($A657&gt;'1-Input'!$B$26,D657,D657-'P-Parametri'!$B$8*(E657+D657)+MIN(MAX(E657,0),'P-Parametri'!$B$8*(E657+D657)))</f>
        <v>47505.662002479905</v>
      </c>
      <c r="G657" s="18">
        <f>IF($A657&gt;'1-Input'!$B$26,E657,E657-MIN(MAX(E657,0),'P-Parametri'!$B$8*(E657+D657)))</f>
        <v>0</v>
      </c>
      <c r="H657" s="18">
        <f>IF($A657&gt;'1-Input'!$B$26,H656,H656-C657*(1-B657))</f>
        <v>48.748427721451208</v>
      </c>
      <c r="I657" s="11">
        <f>IF($A657&gt;'1-Input'!$B$26,0,IF(N656&lt;=0,0,MAX(0,(N656-O656)/N656)))</f>
        <v>0</v>
      </c>
      <c r="J657" s="18">
        <f>IF($A657&gt;'1-Input'!$B$26,0,(MAX(0,I616-IF($A657&gt;='1-Input'!$C$12,'1-Input'!$B$12,0))-MIN(MAX(M656,0),MAX(0,I616-IF($A657&gt;='1-Input'!$C$12,'1-Input'!$B$12,0))))*(1/(1-'P-Parametri'!$B$6*I657))+MIN(MAX(0,N656-(MAX(0,I616-IF($A657&gt;='1-Input'!$C$12,'1-Input'!$B$12,0))-MIN(MAX(M656,0),MAX(0,I616-IF($A657&gt;='1-Input'!$C$12,'1-Input'!$B$12,0))))*(1/(1-'P-Parametri'!$B$6*I657))),MAX(0,5*I616-(M656-MIN(MAX(M656,0),MAX(0,I616-IF($A657&gt;='1-Input'!$C$12,'1-Input'!$B$12,0)))))*(1/(1-'P-Parametri'!$B$6*I657))))</f>
        <v>10846.756992928691</v>
      </c>
      <c r="K657" s="18">
        <f>IF($A657&gt;'1-Input'!$B$26,M656,(M656-MAX(0,I616-IF($A657&gt;='1-Input'!$C$12,'1-Input'!$B$12,0))+J657*(1-'P-Parametri'!$B$6*I657))*(1+'1-Input'!$B$27))</f>
        <v>0</v>
      </c>
      <c r="L657" s="18">
        <f>IF($A657&gt;'1-Input'!$B$26,N656,(N656-J657)*(1+$C$4))</f>
        <v>-266910.32863867807</v>
      </c>
      <c r="M657" s="18">
        <f>IF($A657&gt;'1-Input'!$B$26,K657,K657-'P-Parametri'!$B$8*(L657+K657)+MIN(MAX(L657,0),'P-Parametri'!$B$8*(L657+K657)))</f>
        <v>0</v>
      </c>
      <c r="N657" s="18">
        <f>IF($A657&gt;'1-Input'!$B$26,L657,L657-MIN(MAX(L657,0),'P-Parametri'!$B$8*(L657+K657)))</f>
        <v>-266376.5079814007</v>
      </c>
      <c r="O657" s="18">
        <f>IF($A657&gt;'1-Input'!$B$26,O656,O656-J657*(1-I657))</f>
        <v>-201396.75452663391</v>
      </c>
      <c r="P657" s="11">
        <f>IF($A657&gt;'1-Input'!$B$26,0,IF(U656&lt;=0,0,MAX(0,(U656-V656)/U656)))</f>
        <v>0</v>
      </c>
      <c r="Q657" s="18">
        <f>IF($A657&gt;'1-Input'!$B$26,0,(MAX(0,P616-IF($A657&gt;='1-Input'!$C$12,'1-Input'!$B$12,0))-MIN(MAX(T656,0),MAX(0,P616-IF($A657&gt;='1-Input'!$C$12,'1-Input'!$B$12,0))))*(1/(1-'P-Parametri'!$B$6*P657))+MIN(MAX(0,U656-(MAX(0,P616-IF($A657&gt;='1-Input'!$C$12,'1-Input'!$B$12,0))-MIN(MAX(T656,0),MAX(0,P616-IF($A657&gt;='1-Input'!$C$12,'1-Input'!$B$12,0))))*(1/(1-'P-Parametri'!$B$6*P657))),MAX(0,5*P616-(T656-MIN(MAX(T656,0),MAX(0,P616-IF($A657&gt;='1-Input'!$C$12,'1-Input'!$B$12,0)))))*(1/(1-'P-Parametri'!$B$6*P657))))</f>
        <v>0</v>
      </c>
      <c r="R657" s="18">
        <f>IF($A657&gt;'1-Input'!$B$26,T656,(T656-MAX(0,P616-IF($A657&gt;='1-Input'!$C$12,'1-Input'!$B$12,0))+Q657*(1-'P-Parametri'!$B$6*P657))*(1+'1-Input'!$B$27))</f>
        <v>37359.979563807705</v>
      </c>
      <c r="S657" s="18">
        <f>IF($A657&gt;'1-Input'!$B$26,U656,(U656-Q657)*(1+$C$4))</f>
        <v>0</v>
      </c>
      <c r="T657" s="18">
        <f>IF($A657&gt;'1-Input'!$B$26,R657,R657-'P-Parametri'!$B$8*(S657+R657)+MIN(MAX(S657,0),'P-Parametri'!$B$8*(S657+R657)))</f>
        <v>37285.25960468009</v>
      </c>
      <c r="U657" s="18">
        <f>IF($A657&gt;'1-Input'!$B$26,S657,S657-MIN(MAX(S657,0),'P-Parametri'!$B$8*(S657+R657)))</f>
        <v>0</v>
      </c>
      <c r="V657" s="18">
        <f>IF($A657&gt;'1-Input'!$B$26,V656,V656-Q657*(1-P657))</f>
        <v>0</v>
      </c>
      <c r="W657" s="11">
        <f>IF($A657&gt;'1-Input'!$B$26,0,IF(AB656&lt;=0,0,MAX(0,(AB656-AC656)/AB656)))</f>
        <v>0</v>
      </c>
      <c r="X657" s="18">
        <f>IF($A657&gt;'1-Input'!$B$26,0,(MAX(0,W616-IF($A657&gt;='1-Input'!$C$12,'1-Input'!$B$12,0))-MIN(MAX(AA656,0),MAX(0,W616-IF($A657&gt;='1-Input'!$C$12,'1-Input'!$B$12,0))))*(1/(1-'P-Parametri'!$B$6*W657))+MIN(MAX(0,AB656-(MAX(0,W616-IF($A657&gt;='1-Input'!$C$12,'1-Input'!$B$12,0))-MIN(MAX(AA656,0),MAX(0,W616-IF($A657&gt;='1-Input'!$C$12,'1-Input'!$B$12,0))))*(1/(1-'P-Parametri'!$B$6*W657))),MAX(0,5*W616-(AA656-MIN(MAX(AA656,0),MAX(0,W616-IF($A657&gt;='1-Input'!$C$12,'1-Input'!$B$12,0)))))*(1/(1-'P-Parametri'!$B$6*W657))))</f>
        <v>0</v>
      </c>
      <c r="Y657" s="18">
        <f>IF($A657&gt;'1-Input'!$B$26,AA656,(AA656-MAX(0,W616-IF($A657&gt;='1-Input'!$C$12,'1-Input'!$B$12,0))+X657*(1-'P-Parametri'!$B$6*W657))*(1+'1-Input'!$B$27))</f>
        <v>35685.465976389976</v>
      </c>
      <c r="Z657" s="18">
        <f>IF($A657&gt;'1-Input'!$B$26,AB656,(AB656-X657)*(1+$C$4))</f>
        <v>0</v>
      </c>
      <c r="AA657" s="18">
        <f>IF($A657&gt;'1-Input'!$B$26,Y657,Y657-'P-Parametri'!$B$8*(Z657+Y657)+MIN(MAX(Z657,0),'P-Parametri'!$B$8*(Z657+Y657)))</f>
        <v>35614.095044437199</v>
      </c>
      <c r="AB657" s="18">
        <f>IF($A657&gt;'1-Input'!$B$26,Z657,Z657-MIN(MAX(Z657,0),'P-Parametri'!$B$8*(Z657+Y657)))</f>
        <v>0</v>
      </c>
      <c r="AC657" s="18">
        <f>IF($A657&gt;'1-Input'!$B$26,AC656,AC656-X657*(1-W657))</f>
        <v>0</v>
      </c>
      <c r="AD657" s="11">
        <f>IF($A657&gt;'1-Input'!$B$26,0,IF(AI656&lt;=0,0,MAX(0,(AI656-AJ656)/AI656)))</f>
        <v>0</v>
      </c>
      <c r="AE657" s="18">
        <f>IF($A657&gt;'1-Input'!$B$26,0,(MAX(0,AD616-IF($A657&gt;='1-Input'!$C$12,'1-Input'!$B$12,0))-MIN(MAX(AH656,0),MAX(0,AD616-IF($A657&gt;='1-Input'!$C$12,'1-Input'!$B$12,0))))*(1/(1-'P-Parametri'!$B$6*AD657))+MIN(MAX(0,AI656-(MAX(0,AD616-IF($A657&gt;='1-Input'!$C$12,'1-Input'!$B$12,0))-MIN(MAX(AH656,0),MAX(0,AD616-IF($A657&gt;='1-Input'!$C$12,'1-Input'!$B$12,0))))*(1/(1-'P-Parametri'!$B$6*AD657))),MAX(0,5*AD616-(AH656-MIN(MAX(AH656,0),MAX(0,AD616-IF($A657&gt;='1-Input'!$C$12,'1-Input'!$B$12,0)))))*(1/(1-'P-Parametri'!$B$6*AD657))))</f>
        <v>0</v>
      </c>
      <c r="AF657" s="18">
        <f>IF($A657&gt;'1-Input'!$B$26,AH656,(AH656-MAX(0,AD616-IF($A657&gt;='1-Input'!$C$12,'1-Input'!$B$12,0))+AE657*(1-'P-Parametri'!$B$6*AD657))*(1+'1-Input'!$B$27))</f>
        <v>35255.490654075453</v>
      </c>
      <c r="AG657" s="18">
        <f>IF($A657&gt;'1-Input'!$B$26,AI656,(AI656-AE657)*(1+$C$4))</f>
        <v>0</v>
      </c>
      <c r="AH657" s="18">
        <f>IF($A657&gt;'1-Input'!$B$26,AF657,AF657-'P-Parametri'!$B$8*(AG657+AF657)+MIN(MAX(AG657,0),'P-Parametri'!$B$8*(AG657+AF657)))</f>
        <v>35184.979672767302</v>
      </c>
      <c r="AI657" s="18">
        <f>IF($A657&gt;'1-Input'!$B$26,AG657,AG657-MIN(MAX(AG657,0),'P-Parametri'!$B$8*(AG657+AF657)))</f>
        <v>0</v>
      </c>
      <c r="AJ657" s="18">
        <f>IF($A657&gt;'1-Input'!$B$26,AJ656,AJ656-AE657*(1-AD657))</f>
        <v>17.201922220909637</v>
      </c>
      <c r="AK657" s="11">
        <f>IF($A657&gt;'1-Input'!$B$26,0,IF(AP656&lt;=0,0,MAX(0,(AP656-AQ656)/AP656)))</f>
        <v>0</v>
      </c>
      <c r="AL657" s="18">
        <f>IF($A657&gt;'1-Input'!$B$26,0,(MAX(0,AK616-IF($A657&gt;='1-Input'!$C$12,'1-Input'!$B$12,0))-MIN(MAX(AO656,0),MAX(0,AK616-IF($A657&gt;='1-Input'!$C$12,'1-Input'!$B$12,0))))*(1/(1-'P-Parametri'!$B$6*AK657))+MIN(MAX(0,AP656-(MAX(0,AK616-IF($A657&gt;='1-Input'!$C$12,'1-Input'!$B$12,0))-MIN(MAX(AO656,0),MAX(0,AK616-IF($A657&gt;='1-Input'!$C$12,'1-Input'!$B$12,0))))*(1/(1-'P-Parametri'!$B$6*AK657))),MAX(0,5*AK616-(AO656-MIN(MAX(AO656,0),MAX(0,AK616-IF($A657&gt;='1-Input'!$C$12,'1-Input'!$B$12,0)))))*(1/(1-'P-Parametri'!$B$6*AK657))))</f>
        <v>0</v>
      </c>
      <c r="AM657" s="18">
        <f>IF($A657&gt;'1-Input'!$B$26,AO656,(AO656-MAX(0,AK616-IF($A657&gt;='1-Input'!$C$12,'1-Input'!$B$12,0))+AL657*(1-'P-Parametri'!$B$6*AK657))*(1+'1-Input'!$B$27))</f>
        <v>35290.818690097512</v>
      </c>
      <c r="AN657" s="18">
        <f>IF($A657&gt;'1-Input'!$B$26,AP656,(AP656-AL657)*(1+$C$4))</f>
        <v>0</v>
      </c>
      <c r="AO657" s="18">
        <f>IF($A657&gt;'1-Input'!$B$26,AM657,AM657-'P-Parametri'!$B$8*(AN657+AM657)+MIN(MAX(AN657,0),'P-Parametri'!$B$8*(AN657+AM657)))</f>
        <v>35220.237052717319</v>
      </c>
      <c r="AP657" s="18">
        <f>IF($A657&gt;'1-Input'!$B$26,AN657,AN657-MIN(MAX(AN657,0),'P-Parametri'!$B$8*(AN657+AM657)))</f>
        <v>0</v>
      </c>
      <c r="AQ657" s="18">
        <f>IF($A657&gt;'1-Input'!$B$26,AQ656,AQ656-AL657*(1-AK657))</f>
        <v>29.988973806301601</v>
      </c>
    </row>
    <row r="658" spans="1:43">
      <c r="A658" s="10">
        <f>40</f>
        <v>40</v>
      </c>
      <c r="B658" s="11">
        <f>IF($A658&gt;'1-Input'!$B$26,0,IF(G657&lt;=0,0,MAX(0,(G657-H657)/G657)))</f>
        <v>0</v>
      </c>
      <c r="C658" s="18">
        <f>IF($A658&gt;'1-Input'!$B$26,0,(MAX(0,B616-IF($A658&gt;='1-Input'!$C$12,'1-Input'!$B$12,0))-MIN(MAX(F657,0),MAX(0,B616-IF($A658&gt;='1-Input'!$C$12,'1-Input'!$B$12,0))))*(1/(1-'P-Parametri'!$B$6*B658))+MIN(MAX(0,G657-(MAX(0,B616-IF($A658&gt;='1-Input'!$C$12,'1-Input'!$B$12,0))-MIN(MAX(F657,0),MAX(0,B616-IF($A658&gt;='1-Input'!$C$12,'1-Input'!$B$12,0))))*(1/(1-'P-Parametri'!$B$6*B658))),MAX(0,5*B616-(F657-MIN(MAX(F657,0),MAX(0,B616-IF($A658&gt;='1-Input'!$C$12,'1-Input'!$B$12,0)))))*(1/(1-'P-Parametri'!$B$6*B658))))</f>
        <v>0</v>
      </c>
      <c r="D658" s="18">
        <f>IF($A658&gt;'1-Input'!$B$26,F657,(F657-MAX(0,B616-IF($A658&gt;='1-Input'!$C$12,'1-Input'!$B$12,0))+C658*(1-'P-Parametri'!$B$6*B658))*(1+'1-Input'!$B$27))</f>
        <v>41775.670903777827</v>
      </c>
      <c r="E658" s="18">
        <f>IF($A658&gt;'1-Input'!$B$26,G657,(G657-C658)*(1+$C$4))</f>
        <v>0</v>
      </c>
      <c r="F658" s="18">
        <f>IF($A658&gt;'1-Input'!$B$26,D658,D658-'P-Parametri'!$B$8*(E658+D658)+MIN(MAX(E658,0),'P-Parametri'!$B$8*(E658+D658)))</f>
        <v>41692.11956197027</v>
      </c>
      <c r="G658" s="18">
        <f>IF($A658&gt;'1-Input'!$B$26,E658,E658-MIN(MAX(E658,0),'P-Parametri'!$B$8*(E658+D658)))</f>
        <v>0</v>
      </c>
      <c r="H658" s="18">
        <f>IF($A658&gt;'1-Input'!$B$26,H657,H657-C658*(1-B658))</f>
        <v>48.748427721451208</v>
      </c>
      <c r="I658" s="11">
        <f>IF($A658&gt;'1-Input'!$B$26,0,IF(N657&lt;=0,0,MAX(0,(N657-O657)/N657)))</f>
        <v>0</v>
      </c>
      <c r="J658" s="18">
        <f>IF($A658&gt;'1-Input'!$B$26,0,(MAX(0,I616-IF($A658&gt;='1-Input'!$C$12,'1-Input'!$B$12,0))-MIN(MAX(M657,0),MAX(0,I616-IF($A658&gt;='1-Input'!$C$12,'1-Input'!$B$12,0))))*(1/(1-'P-Parametri'!$B$6*I658))+MIN(MAX(0,N657-(MAX(0,I616-IF($A658&gt;='1-Input'!$C$12,'1-Input'!$B$12,0))-MIN(MAX(M657,0),MAX(0,I616-IF($A658&gt;='1-Input'!$C$12,'1-Input'!$B$12,0))))*(1/(1-'P-Parametri'!$B$6*I658))),MAX(0,5*I616-(M657-MIN(MAX(M657,0),MAX(0,I616-IF($A658&gt;='1-Input'!$C$12,'1-Input'!$B$12,0)))))*(1/(1-'P-Parametri'!$B$6*I658))))</f>
        <v>10846.756992928691</v>
      </c>
      <c r="K658" s="18">
        <f>IF($A658&gt;'1-Input'!$B$26,M657,(M657-MAX(0,I616-IF($A658&gt;='1-Input'!$C$12,'1-Input'!$B$12,0))+J658*(1-'P-Parametri'!$B$6*I658))*(1+'1-Input'!$B$27))</f>
        <v>0</v>
      </c>
      <c r="L658" s="18">
        <f>IF($A658&gt;'1-Input'!$B$26,N657,(N657-J658)*(1+$C$4))</f>
        <v>-285539.9629235593</v>
      </c>
      <c r="M658" s="18">
        <f>IF($A658&gt;'1-Input'!$B$26,K658,K658-'P-Parametri'!$B$8*(L658+K658)+MIN(MAX(L658,0),'P-Parametri'!$B$8*(L658+K658)))</f>
        <v>0</v>
      </c>
      <c r="N658" s="18">
        <f>IF($A658&gt;'1-Input'!$B$26,L658,L658-MIN(MAX(L658,0),'P-Parametri'!$B$8*(L658+K658)))</f>
        <v>-284968.88299771218</v>
      </c>
      <c r="O658" s="18">
        <f>IF($A658&gt;'1-Input'!$B$26,O657,O657-J658*(1-I658))</f>
        <v>-212243.5115195626</v>
      </c>
      <c r="P658" s="11">
        <f>IF($A658&gt;'1-Input'!$B$26,0,IF(U657&lt;=0,0,MAX(0,(U657-V657)/U657)))</f>
        <v>0</v>
      </c>
      <c r="Q658" s="18">
        <f>IF($A658&gt;'1-Input'!$B$26,0,(MAX(0,P616-IF($A658&gt;='1-Input'!$C$12,'1-Input'!$B$12,0))-MIN(MAX(T657,0),MAX(0,P616-IF($A658&gt;='1-Input'!$C$12,'1-Input'!$B$12,0))))*(1/(1-'P-Parametri'!$B$6*P658))+MIN(MAX(0,U657-(MAX(0,P616-IF($A658&gt;='1-Input'!$C$12,'1-Input'!$B$12,0))-MIN(MAX(T657,0),MAX(0,P616-IF($A658&gt;='1-Input'!$C$12,'1-Input'!$B$12,0))))*(1/(1-'P-Parametri'!$B$6*P658))),MAX(0,5*P616-(T657-MIN(MAX(T657,0),MAX(0,P616-IF($A658&gt;='1-Input'!$C$12,'1-Input'!$B$12,0)))))*(1/(1-'P-Parametri'!$B$6*P658))))</f>
        <v>0</v>
      </c>
      <c r="R658" s="18">
        <f>IF($A658&gt;'1-Input'!$B$26,T657,(T657-MAX(0,P616-IF($A658&gt;='1-Input'!$C$12,'1-Input'!$B$12,0))+Q658*(1-'P-Parametri'!$B$6*P658))*(1+'1-Input'!$B$27))</f>
        <v>31419.67840720596</v>
      </c>
      <c r="S658" s="18">
        <f>IF($A658&gt;'1-Input'!$B$26,U657,(U657-Q658)*(1+$C$4))</f>
        <v>0</v>
      </c>
      <c r="T658" s="18">
        <f>IF($A658&gt;'1-Input'!$B$26,R658,R658-'P-Parametri'!$B$8*(S658+R658)+MIN(MAX(S658,0),'P-Parametri'!$B$8*(S658+R658)))</f>
        <v>31356.839050391547</v>
      </c>
      <c r="U658" s="18">
        <f>IF($A658&gt;'1-Input'!$B$26,S658,S658-MIN(MAX(S658,0),'P-Parametri'!$B$8*(S658+R658)))</f>
        <v>0</v>
      </c>
      <c r="V658" s="18">
        <f>IF($A658&gt;'1-Input'!$B$26,V657,V657-Q658*(1-P658))</f>
        <v>0</v>
      </c>
      <c r="W658" s="11">
        <f>IF($A658&gt;'1-Input'!$B$26,0,IF(AB657&lt;=0,0,MAX(0,(AB657-AC657)/AB657)))</f>
        <v>0</v>
      </c>
      <c r="X658" s="18">
        <f>IF($A658&gt;'1-Input'!$B$26,0,(MAX(0,W616-IF($A658&gt;='1-Input'!$C$12,'1-Input'!$B$12,0))-MIN(MAX(AA657,0),MAX(0,W616-IF($A658&gt;='1-Input'!$C$12,'1-Input'!$B$12,0))))*(1/(1-'P-Parametri'!$B$6*W658))+MIN(MAX(0,AB657-(MAX(0,W616-IF($A658&gt;='1-Input'!$C$12,'1-Input'!$B$12,0))-MIN(MAX(AA657,0),MAX(0,W616-IF($A658&gt;='1-Input'!$C$12,'1-Input'!$B$12,0))))*(1/(1-'P-Parametri'!$B$6*W658))),MAX(0,5*W616-(AA657-MIN(MAX(AA657,0),MAX(0,W616-IF($A658&gt;='1-Input'!$C$12,'1-Input'!$B$12,0)))))*(1/(1-'P-Parametri'!$B$6*W658))))</f>
        <v>0</v>
      </c>
      <c r="Y658" s="18">
        <f>IF($A658&gt;'1-Input'!$B$26,AA657,(AA657-MAX(0,W616-IF($A658&gt;='1-Input'!$C$12,'1-Input'!$B$12,0))+X658*(1-'P-Parametri'!$B$6*W658))*(1+'1-Input'!$B$27))</f>
        <v>29725.653757580942</v>
      </c>
      <c r="Z658" s="18">
        <f>IF($A658&gt;'1-Input'!$B$26,AB657,(AB657-X658)*(1+$C$4))</f>
        <v>0</v>
      </c>
      <c r="AA658" s="18">
        <f>IF($A658&gt;'1-Input'!$B$26,Y658,Y658-'P-Parametri'!$B$8*(Z658+Y658)+MIN(MAX(Z658,0),'P-Parametri'!$B$8*(Z658+Y658)))</f>
        <v>29666.202450065779</v>
      </c>
      <c r="AB658" s="18">
        <f>IF($A658&gt;'1-Input'!$B$26,Z658,Z658-MIN(MAX(Z658,0),'P-Parametri'!$B$8*(Z658+Y658)))</f>
        <v>0</v>
      </c>
      <c r="AC658" s="18">
        <f>IF($A658&gt;'1-Input'!$B$26,AC657,AC657-X658*(1-W658))</f>
        <v>0</v>
      </c>
      <c r="AD658" s="11">
        <f>IF($A658&gt;'1-Input'!$B$26,0,IF(AI657&lt;=0,0,MAX(0,(AI657-AJ657)/AI657)))</f>
        <v>0</v>
      </c>
      <c r="AE658" s="18">
        <f>IF($A658&gt;'1-Input'!$B$26,0,(MAX(0,AD616-IF($A658&gt;='1-Input'!$C$12,'1-Input'!$B$12,0))-MIN(MAX(AH657,0),MAX(0,AD616-IF($A658&gt;='1-Input'!$C$12,'1-Input'!$B$12,0))))*(1/(1-'P-Parametri'!$B$6*AD658))+MIN(MAX(0,AI657-(MAX(0,AD616-IF($A658&gt;='1-Input'!$C$12,'1-Input'!$B$12,0))-MIN(MAX(AH657,0),MAX(0,AD616-IF($A658&gt;='1-Input'!$C$12,'1-Input'!$B$12,0))))*(1/(1-'P-Parametri'!$B$6*AD658))),MAX(0,5*AD616-(AH657-MIN(MAX(AH657,0),MAX(0,AD616-IF($A658&gt;='1-Input'!$C$12,'1-Input'!$B$12,0)))))*(1/(1-'P-Parametri'!$B$6*AD658))))</f>
        <v>0</v>
      </c>
      <c r="AF658" s="18">
        <f>IF($A658&gt;'1-Input'!$B$26,AH657,(AH657-MAX(0,AD616-IF($A658&gt;='1-Input'!$C$12,'1-Input'!$B$12,0))+AE658*(1-'P-Parametri'!$B$6*AD658))*(1+'1-Input'!$B$27))</f>
        <v>29291.261445732096</v>
      </c>
      <c r="AG658" s="18">
        <f>IF($A658&gt;'1-Input'!$B$26,AI657,(AI657-AE658)*(1+$C$4))</f>
        <v>0</v>
      </c>
      <c r="AH658" s="18">
        <f>IF($A658&gt;'1-Input'!$B$26,AF658,AF658-'P-Parametri'!$B$8*(AG658+AF658)+MIN(MAX(AG658,0),'P-Parametri'!$B$8*(AG658+AF658)))</f>
        <v>29232.678922840631</v>
      </c>
      <c r="AI658" s="18">
        <f>IF($A658&gt;'1-Input'!$B$26,AG658,AG658-MIN(MAX(AG658,0),'P-Parametri'!$B$8*(AG658+AF658)))</f>
        <v>0</v>
      </c>
      <c r="AJ658" s="18">
        <f>IF($A658&gt;'1-Input'!$B$26,AJ657,AJ657-AE658*(1-AD658))</f>
        <v>17.201922220909637</v>
      </c>
      <c r="AK658" s="11">
        <f>IF($A658&gt;'1-Input'!$B$26,0,IF(AP657&lt;=0,0,MAX(0,(AP657-AQ657)/AP657)))</f>
        <v>0</v>
      </c>
      <c r="AL658" s="18">
        <f>IF($A658&gt;'1-Input'!$B$26,0,(MAX(0,AK616-IF($A658&gt;='1-Input'!$C$12,'1-Input'!$B$12,0))-MIN(MAX(AO657,0),MAX(0,AK616-IF($A658&gt;='1-Input'!$C$12,'1-Input'!$B$12,0))))*(1/(1-'P-Parametri'!$B$6*AK658))+MIN(MAX(0,AP657-(MAX(0,AK616-IF($A658&gt;='1-Input'!$C$12,'1-Input'!$B$12,0))-MIN(MAX(AO657,0),MAX(0,AK616-IF($A658&gt;='1-Input'!$C$12,'1-Input'!$B$12,0))))*(1/(1-'P-Parametri'!$B$6*AK658))),MAX(0,5*AK616-(AO657-MIN(MAX(AO657,0),MAX(0,AK616-IF($A658&gt;='1-Input'!$C$12,'1-Input'!$B$12,0)))))*(1/(1-'P-Parametri'!$B$6*AK658))))</f>
        <v>0</v>
      </c>
      <c r="AM658" s="18">
        <f>IF($A658&gt;'1-Input'!$B$26,AO657,(AO657-MAX(0,AK616-IF($A658&gt;='1-Input'!$C$12,'1-Input'!$B$12,0))+AL658*(1-'P-Parametri'!$B$6*AK658))*(1+'1-Input'!$B$27))</f>
        <v>29326.904693301814</v>
      </c>
      <c r="AN658" s="18">
        <f>IF($A658&gt;'1-Input'!$B$26,AP657,(AP657-AL658)*(1+$C$4))</f>
        <v>0</v>
      </c>
      <c r="AO658" s="18">
        <f>IF($A658&gt;'1-Input'!$B$26,AM658,AM658-'P-Parametri'!$B$8*(AN658+AM658)+MIN(MAX(AN658,0),'P-Parametri'!$B$8*(AN658+AM658)))</f>
        <v>29268.250883915211</v>
      </c>
      <c r="AP658" s="18">
        <f>IF($A658&gt;'1-Input'!$B$26,AN658,AN658-MIN(MAX(AN658,0),'P-Parametri'!$B$8*(AN658+AM658)))</f>
        <v>0</v>
      </c>
      <c r="AQ658" s="18">
        <f>IF($A658&gt;'1-Input'!$B$26,AQ657,AQ657-AL658*(1-AK658))</f>
        <v>29.988973806301601</v>
      </c>
    </row>
    <row r="659" spans="1:43">
      <c r="A659" s="10">
        <f>41</f>
        <v>41</v>
      </c>
      <c r="B659" s="11">
        <f>IF($A659&gt;'1-Input'!$B$26,0,IF(G658&lt;=0,0,MAX(0,(G658-H658)/G658)))</f>
        <v>0</v>
      </c>
      <c r="C659" s="18">
        <f>IF($A659&gt;'1-Input'!$B$26,0,(MAX(0,B616-IF($A659&gt;='1-Input'!$C$12,'1-Input'!$B$12,0))-MIN(MAX(F658,0),MAX(0,B616-IF($A659&gt;='1-Input'!$C$12,'1-Input'!$B$12,0))))*(1/(1-'P-Parametri'!$B$6*B659))+MIN(MAX(0,G658-(MAX(0,B616-IF($A659&gt;='1-Input'!$C$12,'1-Input'!$B$12,0))-MIN(MAX(F658,0),MAX(0,B616-IF($A659&gt;='1-Input'!$C$12,'1-Input'!$B$12,0))))*(1/(1-'P-Parametri'!$B$6*B659))),MAX(0,5*B616-(F658-MIN(MAX(F658,0),MAX(0,B616-IF($A659&gt;='1-Input'!$C$12,'1-Input'!$B$12,0)))))*(1/(1-'P-Parametri'!$B$6*B659))))</f>
        <v>0</v>
      </c>
      <c r="D659" s="18">
        <f>IF($A659&gt;'1-Input'!$B$26,F658,(F658-MAX(0,B616-IF($A659&gt;='1-Input'!$C$12,'1-Input'!$B$12,0))+C659*(1-'P-Parametri'!$B$6*B659))*(1+'1-Input'!$B$27))</f>
        <v>35983.057216054025</v>
      </c>
      <c r="E659" s="18">
        <f>IF($A659&gt;'1-Input'!$B$26,G658,(G658-C659)*(1+$C$4))</f>
        <v>0</v>
      </c>
      <c r="F659" s="18">
        <f>IF($A659&gt;'1-Input'!$B$26,D659,D659-'P-Parametri'!$B$8*(E659+D659)+MIN(MAX(E659,0),'P-Parametri'!$B$8*(E659+D659)))</f>
        <v>35911.091101621918</v>
      </c>
      <c r="G659" s="18">
        <f>IF($A659&gt;'1-Input'!$B$26,E659,E659-MIN(MAX(E659,0),'P-Parametri'!$B$8*(E659+D659)))</f>
        <v>0</v>
      </c>
      <c r="H659" s="18">
        <f>IF($A659&gt;'1-Input'!$B$26,H658,H658-C659*(1-B659))</f>
        <v>48.748427721451208</v>
      </c>
      <c r="I659" s="11">
        <f>IF($A659&gt;'1-Input'!$B$26,0,IF(N658&lt;=0,0,MAX(0,(N658-O658)/N658)))</f>
        <v>0</v>
      </c>
      <c r="J659" s="18">
        <f>IF($A659&gt;'1-Input'!$B$26,0,(MAX(0,I616-IF($A659&gt;='1-Input'!$C$12,'1-Input'!$B$12,0))-MIN(MAX(M658,0),MAX(0,I616-IF($A659&gt;='1-Input'!$C$12,'1-Input'!$B$12,0))))*(1/(1-'P-Parametri'!$B$6*I659))+MIN(MAX(0,N658-(MAX(0,I616-IF($A659&gt;='1-Input'!$C$12,'1-Input'!$B$12,0))-MIN(MAX(M658,0),MAX(0,I616-IF($A659&gt;='1-Input'!$C$12,'1-Input'!$B$12,0))))*(1/(1-'P-Parametri'!$B$6*I659))),MAX(0,5*I616-(M658-MIN(MAX(M658,0),MAX(0,I616-IF($A659&gt;='1-Input'!$C$12,'1-Input'!$B$12,0)))))*(1/(1-'P-Parametri'!$B$6*I659))))</f>
        <v>10846.756992928691</v>
      </c>
      <c r="K659" s="18">
        <f>IF($A659&gt;'1-Input'!$B$26,M658,(M658-MAX(0,I616-IF($A659&gt;='1-Input'!$C$12,'1-Input'!$B$12,0))+J659*(1-'P-Parametri'!$B$6*I659))*(1+'1-Input'!$B$27))</f>
        <v>0</v>
      </c>
      <c r="L659" s="18">
        <f>IF($A659&gt;'1-Input'!$B$26,N658,(N658-J659)*(1+$C$4))</f>
        <v>-304690.10919036012</v>
      </c>
      <c r="M659" s="18">
        <f>IF($A659&gt;'1-Input'!$B$26,K659,K659-'P-Parametri'!$B$8*(L659+K659)+MIN(MAX(L659,0),'P-Parametri'!$B$8*(L659+K659)))</f>
        <v>0</v>
      </c>
      <c r="N659" s="18">
        <f>IF($A659&gt;'1-Input'!$B$26,L659,L659-MIN(MAX(L659,0),'P-Parametri'!$B$8*(L659+K659)))</f>
        <v>-304080.72897197941</v>
      </c>
      <c r="O659" s="18">
        <f>IF($A659&gt;'1-Input'!$B$26,O658,O658-J659*(1-I659))</f>
        <v>-223090.26851249128</v>
      </c>
      <c r="P659" s="11">
        <f>IF($A659&gt;'1-Input'!$B$26,0,IF(U658&lt;=0,0,MAX(0,(U658-V658)/U658)))</f>
        <v>0</v>
      </c>
      <c r="Q659" s="18">
        <f>IF($A659&gt;'1-Input'!$B$26,0,(MAX(0,P616-IF($A659&gt;='1-Input'!$C$12,'1-Input'!$B$12,0))-MIN(MAX(T658,0),MAX(0,P616-IF($A659&gt;='1-Input'!$C$12,'1-Input'!$B$12,0))))*(1/(1-'P-Parametri'!$B$6*P659))+MIN(MAX(0,U658-(MAX(0,P616-IF($A659&gt;='1-Input'!$C$12,'1-Input'!$B$12,0))-MIN(MAX(T658,0),MAX(0,P616-IF($A659&gt;='1-Input'!$C$12,'1-Input'!$B$12,0))))*(1/(1-'P-Parametri'!$B$6*P659))),MAX(0,5*P616-(T658-MIN(MAX(T658,0),MAX(0,P616-IF($A659&gt;='1-Input'!$C$12,'1-Input'!$B$12,0)))))*(1/(1-'P-Parametri'!$B$6*P659))))</f>
        <v>0</v>
      </c>
      <c r="R659" s="18">
        <f>IF($A659&gt;'1-Input'!$B$26,T658,(T658-MAX(0,P616-IF($A659&gt;='1-Input'!$C$12,'1-Input'!$B$12,0))+Q659*(1-'P-Parametri'!$B$6*P659))*(1+'1-Input'!$B$27))</f>
        <v>25512.600166912856</v>
      </c>
      <c r="S659" s="18">
        <f>IF($A659&gt;'1-Input'!$B$26,U658,(U658-Q659)*(1+$C$4))</f>
        <v>0</v>
      </c>
      <c r="T659" s="18">
        <f>IF($A659&gt;'1-Input'!$B$26,R659,R659-'P-Parametri'!$B$8*(S659+R659)+MIN(MAX(S659,0),'P-Parametri'!$B$8*(S659+R659)))</f>
        <v>25461.574966579032</v>
      </c>
      <c r="U659" s="18">
        <f>IF($A659&gt;'1-Input'!$B$26,S659,S659-MIN(MAX(S659,0),'P-Parametri'!$B$8*(S659+R659)))</f>
        <v>0</v>
      </c>
      <c r="V659" s="18">
        <f>IF($A659&gt;'1-Input'!$B$26,V658,V658-Q659*(1-P659))</f>
        <v>0</v>
      </c>
      <c r="W659" s="11">
        <f>IF($A659&gt;'1-Input'!$B$26,0,IF(AB658&lt;=0,0,MAX(0,(AB658-AC658)/AB658)))</f>
        <v>0</v>
      </c>
      <c r="X659" s="18">
        <f>IF($A659&gt;'1-Input'!$B$26,0,(MAX(0,W616-IF($A659&gt;='1-Input'!$C$12,'1-Input'!$B$12,0))-MIN(MAX(AA658,0),MAX(0,W616-IF($A659&gt;='1-Input'!$C$12,'1-Input'!$B$12,0))))*(1/(1-'P-Parametri'!$B$6*W659))+MIN(MAX(0,AB658-(MAX(0,W616-IF($A659&gt;='1-Input'!$C$12,'1-Input'!$B$12,0))-MIN(MAX(AA658,0),MAX(0,W616-IF($A659&gt;='1-Input'!$C$12,'1-Input'!$B$12,0))))*(1/(1-'P-Parametri'!$B$6*W659))),MAX(0,5*W616-(AA658-MIN(MAX(AA658,0),MAX(0,W616-IF($A659&gt;='1-Input'!$C$12,'1-Input'!$B$12,0)))))*(1/(1-'P-Parametri'!$B$6*W659))))</f>
        <v>0</v>
      </c>
      <c r="Y659" s="18">
        <f>IF($A659&gt;'1-Input'!$B$26,AA658,(AA658-MAX(0,W616-IF($A659&gt;='1-Input'!$C$12,'1-Input'!$B$12,0))+X659*(1-'P-Parametri'!$B$6*W659))*(1+'1-Input'!$B$27))</f>
        <v>23799.173576549256</v>
      </c>
      <c r="Z659" s="18">
        <f>IF($A659&gt;'1-Input'!$B$26,AB658,(AB658-X659)*(1+$C$4))</f>
        <v>0</v>
      </c>
      <c r="AA659" s="18">
        <f>IF($A659&gt;'1-Input'!$B$26,Y659,Y659-'P-Parametri'!$B$8*(Z659+Y659)+MIN(MAX(Z659,0),'P-Parametri'!$B$8*(Z659+Y659)))</f>
        <v>23751.575229396156</v>
      </c>
      <c r="AB659" s="18">
        <f>IF($A659&gt;'1-Input'!$B$26,Z659,Z659-MIN(MAX(Z659,0),'P-Parametri'!$B$8*(Z659+Y659)))</f>
        <v>0</v>
      </c>
      <c r="AC659" s="18">
        <f>IF($A659&gt;'1-Input'!$B$26,AC658,AC658-X659*(1-W659))</f>
        <v>0</v>
      </c>
      <c r="AD659" s="11">
        <f>IF($A659&gt;'1-Input'!$B$26,0,IF(AI658&lt;=0,0,MAX(0,(AI658-AJ658)/AI658)))</f>
        <v>0</v>
      </c>
      <c r="AE659" s="18">
        <f>IF($A659&gt;'1-Input'!$B$26,0,(MAX(0,AD616-IF($A659&gt;='1-Input'!$C$12,'1-Input'!$B$12,0))-MIN(MAX(AH658,0),MAX(0,AD616-IF($A659&gt;='1-Input'!$C$12,'1-Input'!$B$12,0))))*(1/(1-'P-Parametri'!$B$6*AD659))+MIN(MAX(0,AI658-(MAX(0,AD616-IF($A659&gt;='1-Input'!$C$12,'1-Input'!$B$12,0))-MIN(MAX(AH658,0),MAX(0,AD616-IF($A659&gt;='1-Input'!$C$12,'1-Input'!$B$12,0))))*(1/(1-'P-Parametri'!$B$6*AD659))),MAX(0,5*AD616-(AH658-MIN(MAX(AH658,0),MAX(0,AD616-IF($A659&gt;='1-Input'!$C$12,'1-Input'!$B$12,0)))))*(1/(1-'P-Parametri'!$B$6*AD659))))</f>
        <v>0</v>
      </c>
      <c r="AF659" s="18">
        <f>IF($A659&gt;'1-Input'!$B$26,AH658,(AH658-MAX(0,AD616-IF($A659&gt;='1-Input'!$C$12,'1-Input'!$B$12,0))+AE659*(1-'P-Parametri'!$B$6*AD659))*(1+'1-Input'!$B$27))</f>
        <v>23360.388978505162</v>
      </c>
      <c r="AG659" s="18">
        <f>IF($A659&gt;'1-Input'!$B$26,AI658,(AI658-AE659)*(1+$C$4))</f>
        <v>0</v>
      </c>
      <c r="AH659" s="18">
        <f>IF($A659&gt;'1-Input'!$B$26,AF659,AF659-'P-Parametri'!$B$8*(AG659+AF659)+MIN(MAX(AG659,0),'P-Parametri'!$B$8*(AG659+AF659)))</f>
        <v>23313.668200548153</v>
      </c>
      <c r="AI659" s="18">
        <f>IF($A659&gt;'1-Input'!$B$26,AG659,AG659-MIN(MAX(AG659,0),'P-Parametri'!$B$8*(AG659+AF659)))</f>
        <v>0</v>
      </c>
      <c r="AJ659" s="18">
        <f>IF($A659&gt;'1-Input'!$B$26,AJ658,AJ658-AE659*(1-AD659))</f>
        <v>17.201922220909637</v>
      </c>
      <c r="AK659" s="11">
        <f>IF($A659&gt;'1-Input'!$B$26,0,IF(AP658&lt;=0,0,MAX(0,(AP658-AQ658)/AP658)))</f>
        <v>0</v>
      </c>
      <c r="AL659" s="18">
        <f>IF($A659&gt;'1-Input'!$B$26,0,(MAX(0,AK616-IF($A659&gt;='1-Input'!$C$12,'1-Input'!$B$12,0))-MIN(MAX(AO658,0),MAX(0,AK616-IF($A659&gt;='1-Input'!$C$12,'1-Input'!$B$12,0))))*(1/(1-'P-Parametri'!$B$6*AK659))+MIN(MAX(0,AP658-(MAX(0,AK616-IF($A659&gt;='1-Input'!$C$12,'1-Input'!$B$12,0))-MIN(MAX(AO658,0),MAX(0,AK616-IF($A659&gt;='1-Input'!$C$12,'1-Input'!$B$12,0))))*(1/(1-'P-Parametri'!$B$6*AK659))),MAX(0,5*AK616-(AO658-MIN(MAX(AO658,0),MAX(0,AK616-IF($A659&gt;='1-Input'!$C$12,'1-Input'!$B$12,0)))))*(1/(1-'P-Parametri'!$B$6*AK659))))</f>
        <v>0</v>
      </c>
      <c r="AM659" s="18">
        <f>IF($A659&gt;'1-Input'!$B$26,AO658,(AO658-MAX(0,AK616-IF($A659&gt;='1-Input'!$C$12,'1-Input'!$B$12,0))+AL659*(1-'P-Parametri'!$B$6*AK659))*(1+'1-Input'!$B$27))</f>
        <v>23396.345674707394</v>
      </c>
      <c r="AN659" s="18">
        <f>IF($A659&gt;'1-Input'!$B$26,AP658,(AP658-AL659)*(1+$C$4))</f>
        <v>0</v>
      </c>
      <c r="AO659" s="18">
        <f>IF($A659&gt;'1-Input'!$B$26,AM659,AM659-'P-Parametri'!$B$8*(AN659+AM659)+MIN(MAX(AN659,0),'P-Parametri'!$B$8*(AN659+AM659)))</f>
        <v>23349.552983357979</v>
      </c>
      <c r="AP659" s="18">
        <f>IF($A659&gt;'1-Input'!$B$26,AN659,AN659-MIN(MAX(AN659,0),'P-Parametri'!$B$8*(AN659+AM659)))</f>
        <v>0</v>
      </c>
      <c r="AQ659" s="18">
        <f>IF($A659&gt;'1-Input'!$B$26,AQ658,AQ658-AL659*(1-AK659))</f>
        <v>29.988973806301601</v>
      </c>
    </row>
    <row r="660" spans="1:43">
      <c r="A660" s="10">
        <f>42</f>
        <v>42</v>
      </c>
      <c r="B660" s="11">
        <f>IF($A660&gt;'1-Input'!$B$26,0,IF(G659&lt;=0,0,MAX(0,(G659-H659)/G659)))</f>
        <v>0</v>
      </c>
      <c r="C660" s="18">
        <f>IF($A660&gt;'1-Input'!$B$26,0,(MAX(0,B616-IF($A660&gt;='1-Input'!$C$12,'1-Input'!$B$12,0))-MIN(MAX(F659,0),MAX(0,B616-IF($A660&gt;='1-Input'!$C$12,'1-Input'!$B$12,0))))*(1/(1-'P-Parametri'!$B$6*B660))+MIN(MAX(0,G659-(MAX(0,B616-IF($A660&gt;='1-Input'!$C$12,'1-Input'!$B$12,0))-MIN(MAX(F659,0),MAX(0,B616-IF($A660&gt;='1-Input'!$C$12,'1-Input'!$B$12,0))))*(1/(1-'P-Parametri'!$B$6*B660))),MAX(0,5*B616-(F659-MIN(MAX(F659,0),MAX(0,B616-IF($A660&gt;='1-Input'!$C$12,'1-Input'!$B$12,0)))))*(1/(1-'P-Parametri'!$B$6*B660))))</f>
        <v>0</v>
      </c>
      <c r="D660" s="18">
        <f>IF($A660&gt;'1-Input'!$B$26,F659,(F659-MAX(0,B616-IF($A660&gt;='1-Input'!$C$12,'1-Input'!$B$12,0))+C660*(1-'P-Parametri'!$B$6*B660))*(1+'1-Input'!$B$27))</f>
        <v>30222.840458162929</v>
      </c>
      <c r="E660" s="18">
        <f>IF($A660&gt;'1-Input'!$B$26,G659,(G659-C660)*(1+$C$4))</f>
        <v>0</v>
      </c>
      <c r="F660" s="18">
        <f>IF($A660&gt;'1-Input'!$B$26,D660,D660-'P-Parametri'!$B$8*(E660+D660)+MIN(MAX(E660,0),'P-Parametri'!$B$8*(E660+D660)))</f>
        <v>30162.394777246602</v>
      </c>
      <c r="G660" s="18">
        <f>IF($A660&gt;'1-Input'!$B$26,E660,E660-MIN(MAX(E660,0),'P-Parametri'!$B$8*(E660+D660)))</f>
        <v>0</v>
      </c>
      <c r="H660" s="18">
        <f>IF($A660&gt;'1-Input'!$B$26,H659,H659-C660*(1-B660))</f>
        <v>48.748427721451208</v>
      </c>
      <c r="I660" s="11">
        <f>IF($A660&gt;'1-Input'!$B$26,0,IF(N659&lt;=0,0,MAX(0,(N659-O659)/N659)))</f>
        <v>0</v>
      </c>
      <c r="J660" s="18">
        <f>IF($A660&gt;'1-Input'!$B$26,0,(MAX(0,I616-IF($A660&gt;='1-Input'!$C$12,'1-Input'!$B$12,0))-MIN(MAX(M659,0),MAX(0,I616-IF($A660&gt;='1-Input'!$C$12,'1-Input'!$B$12,0))))*(1/(1-'P-Parametri'!$B$6*I660))+MIN(MAX(0,N659-(MAX(0,I616-IF($A660&gt;='1-Input'!$C$12,'1-Input'!$B$12,0))-MIN(MAX(M659,0),MAX(0,I616-IF($A660&gt;='1-Input'!$C$12,'1-Input'!$B$12,0))))*(1/(1-'P-Parametri'!$B$6*I660))),MAX(0,5*I616-(M659-MIN(MAX(M659,0),MAX(0,I616-IF($A660&gt;='1-Input'!$C$12,'1-Input'!$B$12,0)))))*(1/(1-'P-Parametri'!$B$6*I660))))</f>
        <v>10846.756992928691</v>
      </c>
      <c r="K660" s="18">
        <f>IF($A660&gt;'1-Input'!$B$26,M659,(M659-MAX(0,I616-IF($A660&gt;='1-Input'!$C$12,'1-Input'!$B$12,0))+J660*(1-'P-Parametri'!$B$6*I660))*(1+'1-Input'!$B$27))</f>
        <v>0</v>
      </c>
      <c r="L660" s="18">
        <f>IF($A660&gt;'1-Input'!$B$26,N659,(N659-J660)*(1+$C$4))</f>
        <v>-324375.31054385536</v>
      </c>
      <c r="M660" s="18">
        <f>IF($A660&gt;'1-Input'!$B$26,K660,K660-'P-Parametri'!$B$8*(L660+K660)+MIN(MAX(L660,0),'P-Parametri'!$B$8*(L660+K660)))</f>
        <v>0</v>
      </c>
      <c r="N660" s="18">
        <f>IF($A660&gt;'1-Input'!$B$26,L660,L660-MIN(MAX(L660,0),'P-Parametri'!$B$8*(L660+K660)))</f>
        <v>-323726.55992276763</v>
      </c>
      <c r="O660" s="18">
        <f>IF($A660&gt;'1-Input'!$B$26,O659,O659-J660*(1-I660))</f>
        <v>-233937.02550541997</v>
      </c>
      <c r="P660" s="11">
        <f>IF($A660&gt;'1-Input'!$B$26,0,IF(U659&lt;=0,0,MAX(0,(U659-V659)/U659)))</f>
        <v>0</v>
      </c>
      <c r="Q660" s="18">
        <f>IF($A660&gt;'1-Input'!$B$26,0,(MAX(0,P616-IF($A660&gt;='1-Input'!$C$12,'1-Input'!$B$12,0))-MIN(MAX(T659,0),MAX(0,P616-IF($A660&gt;='1-Input'!$C$12,'1-Input'!$B$12,0))))*(1/(1-'P-Parametri'!$B$6*P660))+MIN(MAX(0,U659-(MAX(0,P616-IF($A660&gt;='1-Input'!$C$12,'1-Input'!$B$12,0))-MIN(MAX(T659,0),MAX(0,P616-IF($A660&gt;='1-Input'!$C$12,'1-Input'!$B$12,0))))*(1/(1-'P-Parametri'!$B$6*P660))),MAX(0,5*P616-(T659-MIN(MAX(T659,0),MAX(0,P616-IF($A660&gt;='1-Input'!$C$12,'1-Input'!$B$12,0)))))*(1/(1-'P-Parametri'!$B$6*P660))))</f>
        <v>0</v>
      </c>
      <c r="R660" s="18">
        <f>IF($A660&gt;'1-Input'!$B$26,T659,(T659-MAX(0,P616-IF($A660&gt;='1-Input'!$C$12,'1-Input'!$B$12,0))+Q660*(1-'P-Parametri'!$B$6*P660))*(1+'1-Input'!$B$27))</f>
        <v>19638.559033802067</v>
      </c>
      <c r="S660" s="18">
        <f>IF($A660&gt;'1-Input'!$B$26,U659,(U659-Q660)*(1+$C$4))</f>
        <v>0</v>
      </c>
      <c r="T660" s="18">
        <f>IF($A660&gt;'1-Input'!$B$26,R660,R660-'P-Parametri'!$B$8*(S660+R660)+MIN(MAX(S660,0),'P-Parametri'!$B$8*(S660+R660)))</f>
        <v>19599.281915734464</v>
      </c>
      <c r="U660" s="18">
        <f>IF($A660&gt;'1-Input'!$B$26,S660,S660-MIN(MAX(S660,0),'P-Parametri'!$B$8*(S660+R660)))</f>
        <v>0</v>
      </c>
      <c r="V660" s="18">
        <f>IF($A660&gt;'1-Input'!$B$26,V659,V659-Q660*(1-P660))</f>
        <v>0</v>
      </c>
      <c r="W660" s="11">
        <f>IF($A660&gt;'1-Input'!$B$26,0,IF(AB659&lt;=0,0,MAX(0,(AB659-AC659)/AB659)))</f>
        <v>0</v>
      </c>
      <c r="X660" s="18">
        <f>IF($A660&gt;'1-Input'!$B$26,0,(MAX(0,W616-IF($A660&gt;='1-Input'!$C$12,'1-Input'!$B$12,0))-MIN(MAX(AA659,0),MAX(0,W616-IF($A660&gt;='1-Input'!$C$12,'1-Input'!$B$12,0))))*(1/(1-'P-Parametri'!$B$6*W660))+MIN(MAX(0,AB659-(MAX(0,W616-IF($A660&gt;='1-Input'!$C$12,'1-Input'!$B$12,0))-MIN(MAX(AA659,0),MAX(0,W616-IF($A660&gt;='1-Input'!$C$12,'1-Input'!$B$12,0))))*(1/(1-'P-Parametri'!$B$6*W660))),MAX(0,5*W616-(AA659-MIN(MAX(AA659,0),MAX(0,W616-IF($A660&gt;='1-Input'!$C$12,'1-Input'!$B$12,0)))))*(1/(1-'P-Parametri'!$B$6*W660))))</f>
        <v>0</v>
      </c>
      <c r="Y660" s="18">
        <f>IF($A660&gt;'1-Input'!$B$26,AA659,(AA659-MAX(0,W616-IF($A660&gt;='1-Input'!$C$12,'1-Input'!$B$12,0))+X660*(1-'P-Parametri'!$B$6*W660))*(1+'1-Input'!$B$27))</f>
        <v>17905.839013874043</v>
      </c>
      <c r="Z660" s="18">
        <f>IF($A660&gt;'1-Input'!$B$26,AB659,(AB659-X660)*(1+$C$4))</f>
        <v>0</v>
      </c>
      <c r="AA660" s="18">
        <f>IF($A660&gt;'1-Input'!$B$26,Y660,Y660-'P-Parametri'!$B$8*(Z660+Y660)+MIN(MAX(Z660,0),'P-Parametri'!$B$8*(Z660+Y660)))</f>
        <v>17870.027335846295</v>
      </c>
      <c r="AB660" s="18">
        <f>IF($A660&gt;'1-Input'!$B$26,Z660,Z660-MIN(MAX(Z660,0),'P-Parametri'!$B$8*(Z660+Y660)))</f>
        <v>0</v>
      </c>
      <c r="AC660" s="18">
        <f>IF($A660&gt;'1-Input'!$B$26,AC659,AC659-X660*(1-W660))</f>
        <v>0</v>
      </c>
      <c r="AD660" s="11">
        <f>IF($A660&gt;'1-Input'!$B$26,0,IF(AI659&lt;=0,0,MAX(0,(AI659-AJ659)/AI659)))</f>
        <v>0</v>
      </c>
      <c r="AE660" s="18">
        <f>IF($A660&gt;'1-Input'!$B$26,0,(MAX(0,AD616-IF($A660&gt;='1-Input'!$C$12,'1-Input'!$B$12,0))-MIN(MAX(AH659,0),MAX(0,AD616-IF($A660&gt;='1-Input'!$C$12,'1-Input'!$B$12,0))))*(1/(1-'P-Parametri'!$B$6*AD660))+MIN(MAX(0,AI659-(MAX(0,AD616-IF($A660&gt;='1-Input'!$C$12,'1-Input'!$B$12,0))-MIN(MAX(AH659,0),MAX(0,AD616-IF($A660&gt;='1-Input'!$C$12,'1-Input'!$B$12,0))))*(1/(1-'P-Parametri'!$B$6*AD660))),MAX(0,5*AD616-(AH659-MIN(MAX(AH659,0),MAX(0,AD616-IF($A660&gt;='1-Input'!$C$12,'1-Input'!$B$12,0)))))*(1/(1-'P-Parametri'!$B$6*AD660))))</f>
        <v>0</v>
      </c>
      <c r="AF660" s="18">
        <f>IF($A660&gt;'1-Input'!$B$26,AH659,(AH659-MAX(0,AD616-IF($A660&gt;='1-Input'!$C$12,'1-Input'!$B$12,0))+AE660*(1-'P-Parametri'!$B$6*AD660))*(1+'1-Input'!$B$27))</f>
        <v>17462.686694812935</v>
      </c>
      <c r="AG660" s="18">
        <f>IF($A660&gt;'1-Input'!$B$26,AI659,(AI659-AE660)*(1+$C$4))</f>
        <v>0</v>
      </c>
      <c r="AH660" s="18">
        <f>IF($A660&gt;'1-Input'!$B$26,AF660,AF660-'P-Parametri'!$B$8*(AG660+AF660)+MIN(MAX(AG660,0),'P-Parametri'!$B$8*(AG660+AF660)))</f>
        <v>17427.76132142331</v>
      </c>
      <c r="AI660" s="18">
        <f>IF($A660&gt;'1-Input'!$B$26,AG660,AG660-MIN(MAX(AG660,0),'P-Parametri'!$B$8*(AG660+AF660)))</f>
        <v>0</v>
      </c>
      <c r="AJ660" s="18">
        <f>IF($A660&gt;'1-Input'!$B$26,AJ659,AJ659-AE660*(1-AD660))</f>
        <v>17.201922220909637</v>
      </c>
      <c r="AK660" s="11">
        <f>IF($A660&gt;'1-Input'!$B$26,0,IF(AP659&lt;=0,0,MAX(0,(AP659-AQ659)/AP659)))</f>
        <v>0</v>
      </c>
      <c r="AL660" s="18">
        <f>IF($A660&gt;'1-Input'!$B$26,0,(MAX(0,AK616-IF($A660&gt;='1-Input'!$C$12,'1-Input'!$B$12,0))-MIN(MAX(AO659,0),MAX(0,AK616-IF($A660&gt;='1-Input'!$C$12,'1-Input'!$B$12,0))))*(1/(1-'P-Parametri'!$B$6*AK660))+MIN(MAX(0,AP659-(MAX(0,AK616-IF($A660&gt;='1-Input'!$C$12,'1-Input'!$B$12,0))-MIN(MAX(AO659,0),MAX(0,AK616-IF($A660&gt;='1-Input'!$C$12,'1-Input'!$B$12,0))))*(1/(1-'P-Parametri'!$B$6*AK660))),MAX(0,5*AK616-(AO659-MIN(MAX(AO659,0),MAX(0,AK616-IF($A660&gt;='1-Input'!$C$12,'1-Input'!$B$12,0)))))*(1/(1-'P-Parametri'!$B$6*AK660))))</f>
        <v>0</v>
      </c>
      <c r="AM660" s="18">
        <f>IF($A660&gt;'1-Input'!$B$26,AO659,(AO659-MAX(0,AK616-IF($A660&gt;='1-Input'!$C$12,'1-Input'!$B$12,0))+AL660*(1-'P-Parametri'!$B$6*AK660))*(1+'1-Input'!$B$27))</f>
        <v>17498.95508659217</v>
      </c>
      <c r="AN660" s="18">
        <f>IF($A660&gt;'1-Input'!$B$26,AP659,(AP659-AL660)*(1+$C$4))</f>
        <v>0</v>
      </c>
      <c r="AO660" s="18">
        <f>IF($A660&gt;'1-Input'!$B$26,AM660,AM660-'P-Parametri'!$B$8*(AN660+AM660)+MIN(MAX(AN660,0),'P-Parametri'!$B$8*(AN660+AM660)))</f>
        <v>17463.957176418986</v>
      </c>
      <c r="AP660" s="18">
        <f>IF($A660&gt;'1-Input'!$B$26,AN660,AN660-MIN(MAX(AN660,0),'P-Parametri'!$B$8*(AN660+AM660)))</f>
        <v>0</v>
      </c>
      <c r="AQ660" s="18">
        <f>IF($A660&gt;'1-Input'!$B$26,AQ659,AQ659-AL660*(1-AK660))</f>
        <v>29.988973806301601</v>
      </c>
    </row>
    <row r="661" spans="1:43">
      <c r="A661" s="10">
        <f>43</f>
        <v>43</v>
      </c>
      <c r="B661" s="11">
        <f>IF($A661&gt;'1-Input'!$B$26,0,IF(G660&lt;=0,0,MAX(0,(G660-H660)/G660)))</f>
        <v>0</v>
      </c>
      <c r="C661" s="18">
        <f>IF($A661&gt;'1-Input'!$B$26,0,(MAX(0,B616-IF($A661&gt;='1-Input'!$C$12,'1-Input'!$B$12,0))-MIN(MAX(F660,0),MAX(0,B616-IF($A661&gt;='1-Input'!$C$12,'1-Input'!$B$12,0))))*(1/(1-'P-Parametri'!$B$6*B661))+MIN(MAX(0,G660-(MAX(0,B616-IF($A661&gt;='1-Input'!$C$12,'1-Input'!$B$12,0))-MIN(MAX(F660,0),MAX(0,B616-IF($A661&gt;='1-Input'!$C$12,'1-Input'!$B$12,0))))*(1/(1-'P-Parametri'!$B$6*B661))),MAX(0,5*B616-(F660-MIN(MAX(F660,0),MAX(0,B616-IF($A661&gt;='1-Input'!$C$12,'1-Input'!$B$12,0)))))*(1/(1-'P-Parametri'!$B$6*B661))))</f>
        <v>0</v>
      </c>
      <c r="D661" s="18">
        <f>IF($A661&gt;'1-Input'!$B$26,F660,(F660-MAX(0,B616-IF($A661&gt;='1-Input'!$C$12,'1-Input'!$B$12,0))+C661*(1-'P-Parametri'!$B$6*B661))*(1+'1-Input'!$B$27))</f>
        <v>24494.839440555363</v>
      </c>
      <c r="E661" s="18">
        <f>IF($A661&gt;'1-Input'!$B$26,G660,(G660-C661)*(1+$C$4))</f>
        <v>0</v>
      </c>
      <c r="F661" s="18">
        <f>IF($A661&gt;'1-Input'!$B$26,D661,D661-'P-Parametri'!$B$8*(E661+D661)+MIN(MAX(E661,0),'P-Parametri'!$B$8*(E661+D661)))</f>
        <v>24445.849761674253</v>
      </c>
      <c r="G661" s="18">
        <f>IF($A661&gt;'1-Input'!$B$26,E661,E661-MIN(MAX(E661,0),'P-Parametri'!$B$8*(E661+D661)))</f>
        <v>0</v>
      </c>
      <c r="H661" s="18">
        <f>IF($A661&gt;'1-Input'!$B$26,H660,H660-C661*(1-B661))</f>
        <v>48.748427721451208</v>
      </c>
      <c r="I661" s="11">
        <f>IF($A661&gt;'1-Input'!$B$26,0,IF(N660&lt;=0,0,MAX(0,(N660-O660)/N660)))</f>
        <v>0</v>
      </c>
      <c r="J661" s="18">
        <f>IF($A661&gt;'1-Input'!$B$26,0,(MAX(0,I616-IF($A661&gt;='1-Input'!$C$12,'1-Input'!$B$12,0))-MIN(MAX(M660,0),MAX(0,I616-IF($A661&gt;='1-Input'!$C$12,'1-Input'!$B$12,0))))*(1/(1-'P-Parametri'!$B$6*I661))+MIN(MAX(0,N660-(MAX(0,I616-IF($A661&gt;='1-Input'!$C$12,'1-Input'!$B$12,0))-MIN(MAX(M660,0),MAX(0,I616-IF($A661&gt;='1-Input'!$C$12,'1-Input'!$B$12,0))))*(1/(1-'P-Parametri'!$B$6*I661))),MAX(0,5*I616-(M660-MIN(MAX(M660,0),MAX(0,I616-IF($A661&gt;='1-Input'!$C$12,'1-Input'!$B$12,0)))))*(1/(1-'P-Parametri'!$B$6*I661))))</f>
        <v>10846.756992928691</v>
      </c>
      <c r="K661" s="18">
        <f>IF($A661&gt;'1-Input'!$B$26,M660,(M660-MAX(0,I616-IF($A661&gt;='1-Input'!$C$12,'1-Input'!$B$12,0))+J661*(1-'P-Parametri'!$B$6*I661))*(1+'1-Input'!$B$27))</f>
        <v>0</v>
      </c>
      <c r="L661" s="18">
        <f>IF($A661&gt;'1-Input'!$B$26,N660,(N660-J661)*(1+$C$4))</f>
        <v>-344610.5164231672</v>
      </c>
      <c r="M661" s="18">
        <f>IF($A661&gt;'1-Input'!$B$26,K661,K661-'P-Parametri'!$B$8*(L661+K661)+MIN(MAX(L661,0),'P-Parametri'!$B$8*(L661+K661)))</f>
        <v>0</v>
      </c>
      <c r="N661" s="18">
        <f>IF($A661&gt;'1-Input'!$B$26,L661,L661-MIN(MAX(L661,0),'P-Parametri'!$B$8*(L661+K661)))</f>
        <v>-343921.29539032088</v>
      </c>
      <c r="O661" s="18">
        <f>IF($A661&gt;'1-Input'!$B$26,O660,O660-J661*(1-I661))</f>
        <v>-244783.78249834865</v>
      </c>
      <c r="P661" s="11">
        <f>IF($A661&gt;'1-Input'!$B$26,0,IF(U660&lt;=0,0,MAX(0,(U660-V660)/U660)))</f>
        <v>0</v>
      </c>
      <c r="Q661" s="18">
        <f>IF($A661&gt;'1-Input'!$B$26,0,(MAX(0,P616-IF($A661&gt;='1-Input'!$C$12,'1-Input'!$B$12,0))-MIN(MAX(T660,0),MAX(0,P616-IF($A661&gt;='1-Input'!$C$12,'1-Input'!$B$12,0))))*(1/(1-'P-Parametri'!$B$6*P661))+MIN(MAX(0,U660-(MAX(0,P616-IF($A661&gt;='1-Input'!$C$12,'1-Input'!$B$12,0))-MIN(MAX(T660,0),MAX(0,P616-IF($A661&gt;='1-Input'!$C$12,'1-Input'!$B$12,0))))*(1/(1-'P-Parametri'!$B$6*P661))),MAX(0,5*P616-(T660-MIN(MAX(T660,0),MAX(0,P616-IF($A661&gt;='1-Input'!$C$12,'1-Input'!$B$12,0)))))*(1/(1-'P-Parametri'!$B$6*P661))))</f>
        <v>0</v>
      </c>
      <c r="R661" s="18">
        <f>IF($A661&gt;'1-Input'!$B$26,T660,(T660-MAX(0,P616-IF($A661&gt;='1-Input'!$C$12,'1-Input'!$B$12,0))+Q661*(1-'P-Parametri'!$B$6*P661))*(1+'1-Input'!$B$27))</f>
        <v>13797.370237940539</v>
      </c>
      <c r="S661" s="18">
        <f>IF($A661&gt;'1-Input'!$B$26,U660,(U660-Q661)*(1+$C$4))</f>
        <v>0</v>
      </c>
      <c r="T661" s="18">
        <f>IF($A661&gt;'1-Input'!$B$26,R661,R661-'P-Parametri'!$B$8*(S661+R661)+MIN(MAX(S661,0),'P-Parametri'!$B$8*(S661+R661)))</f>
        <v>13769.775497464658</v>
      </c>
      <c r="U661" s="18">
        <f>IF($A661&gt;'1-Input'!$B$26,S661,S661-MIN(MAX(S661,0),'P-Parametri'!$B$8*(S661+R661)))</f>
        <v>0</v>
      </c>
      <c r="V661" s="18">
        <f>IF($A661&gt;'1-Input'!$B$26,V660,V660-Q661*(1-P661))</f>
        <v>0</v>
      </c>
      <c r="W661" s="11">
        <f>IF($A661&gt;'1-Input'!$B$26,0,IF(AB660&lt;=0,0,MAX(0,(AB660-AC660)/AB660)))</f>
        <v>0</v>
      </c>
      <c r="X661" s="18">
        <f>IF($A661&gt;'1-Input'!$B$26,0,(MAX(0,W616-IF($A661&gt;='1-Input'!$C$12,'1-Input'!$B$12,0))-MIN(MAX(AA660,0),MAX(0,W616-IF($A661&gt;='1-Input'!$C$12,'1-Input'!$B$12,0))))*(1/(1-'P-Parametri'!$B$6*W661))+MIN(MAX(0,AB660-(MAX(0,W616-IF($A661&gt;='1-Input'!$C$12,'1-Input'!$B$12,0))-MIN(MAX(AA660,0),MAX(0,W616-IF($A661&gt;='1-Input'!$C$12,'1-Input'!$B$12,0))))*(1/(1-'P-Parametri'!$B$6*W661))),MAX(0,5*W616-(AA660-MIN(MAX(AA660,0),MAX(0,W616-IF($A661&gt;='1-Input'!$C$12,'1-Input'!$B$12,0)))))*(1/(1-'P-Parametri'!$B$6*W661))))</f>
        <v>0</v>
      </c>
      <c r="Y661" s="18">
        <f>IF($A661&gt;'1-Input'!$B$26,AA660,(AA660-MAX(0,W616-IF($A661&gt;='1-Input'!$C$12,'1-Input'!$B$12,0))+X661*(1-'P-Parametri'!$B$6*W661))*(1+'1-Input'!$B$27))</f>
        <v>12045.464692740963</v>
      </c>
      <c r="Z661" s="18">
        <f>IF($A661&gt;'1-Input'!$B$26,AB660,(AB660-X661)*(1+$C$4))</f>
        <v>0</v>
      </c>
      <c r="AA661" s="18">
        <f>IF($A661&gt;'1-Input'!$B$26,Y661,Y661-'P-Parametri'!$B$8*(Z661+Y661)+MIN(MAX(Z661,0),'P-Parametri'!$B$8*(Z661+Y661)))</f>
        <v>12021.373763355481</v>
      </c>
      <c r="AB661" s="18">
        <f>IF($A661&gt;'1-Input'!$B$26,Z661,Z661-MIN(MAX(Z661,0),'P-Parametri'!$B$8*(Z661+Y661)))</f>
        <v>0</v>
      </c>
      <c r="AC661" s="18">
        <f>IF($A661&gt;'1-Input'!$B$26,AC660,AC660-X661*(1-W661))</f>
        <v>0</v>
      </c>
      <c r="AD661" s="11">
        <f>IF($A661&gt;'1-Input'!$B$26,0,IF(AI660&lt;=0,0,MAX(0,(AI660-AJ660)/AI660)))</f>
        <v>0</v>
      </c>
      <c r="AE661" s="18">
        <f>IF($A661&gt;'1-Input'!$B$26,0,(MAX(0,AD616-IF($A661&gt;='1-Input'!$C$12,'1-Input'!$B$12,0))-MIN(MAX(AH660,0),MAX(0,AD616-IF($A661&gt;='1-Input'!$C$12,'1-Input'!$B$12,0))))*(1/(1-'P-Parametri'!$B$6*AD661))+MIN(MAX(0,AI660-(MAX(0,AD616-IF($A661&gt;='1-Input'!$C$12,'1-Input'!$B$12,0))-MIN(MAX(AH660,0),MAX(0,AD616-IF($A661&gt;='1-Input'!$C$12,'1-Input'!$B$12,0))))*(1/(1-'P-Parametri'!$B$6*AD661))),MAX(0,5*AD616-(AH660-MIN(MAX(AH660,0),MAX(0,AD616-IF($A661&gt;='1-Input'!$C$12,'1-Input'!$B$12,0)))))*(1/(1-'P-Parametri'!$B$6*AD661))))</f>
        <v>0</v>
      </c>
      <c r="AF661" s="18">
        <f>IF($A661&gt;'1-Input'!$B$26,AH660,(AH660-MAX(0,AD616-IF($A661&gt;='1-Input'!$C$12,'1-Input'!$B$12,0))+AE661*(1-'P-Parametri'!$B$6*AD661))*(1+'1-Input'!$B$27))</f>
        <v>11597.969080452944</v>
      </c>
      <c r="AG661" s="18">
        <f>IF($A661&gt;'1-Input'!$B$26,AI660,(AI660-AE661)*(1+$C$4))</f>
        <v>0</v>
      </c>
      <c r="AH661" s="18">
        <f>IF($A661&gt;'1-Input'!$B$26,AF661,AF661-'P-Parametri'!$B$8*(AG661+AF661)+MIN(MAX(AG661,0),'P-Parametri'!$B$8*(AG661+AF661)))</f>
        <v>11574.773142292037</v>
      </c>
      <c r="AI661" s="18">
        <f>IF($A661&gt;'1-Input'!$B$26,AG661,AG661-MIN(MAX(AG661,0),'P-Parametri'!$B$8*(AG661+AF661)))</f>
        <v>0</v>
      </c>
      <c r="AJ661" s="18">
        <f>IF($A661&gt;'1-Input'!$B$26,AJ660,AJ660-AE661*(1-AD661))</f>
        <v>17.201922220909637</v>
      </c>
      <c r="AK661" s="11">
        <f>IF($A661&gt;'1-Input'!$B$26,0,IF(AP660&lt;=0,0,MAX(0,(AP660-AQ660)/AP660)))</f>
        <v>0</v>
      </c>
      <c r="AL661" s="18">
        <f>IF($A661&gt;'1-Input'!$B$26,0,(MAX(0,AK616-IF($A661&gt;='1-Input'!$C$12,'1-Input'!$B$12,0))-MIN(MAX(AO660,0),MAX(0,AK616-IF($A661&gt;='1-Input'!$C$12,'1-Input'!$B$12,0))))*(1/(1-'P-Parametri'!$B$6*AK661))+MIN(MAX(0,AP660-(MAX(0,AK616-IF($A661&gt;='1-Input'!$C$12,'1-Input'!$B$12,0))-MIN(MAX(AO660,0),MAX(0,AK616-IF($A661&gt;='1-Input'!$C$12,'1-Input'!$B$12,0))))*(1/(1-'P-Parametri'!$B$6*AK661))),MAX(0,5*AK616-(AO660-MIN(MAX(AO660,0),MAX(0,AK616-IF($A661&gt;='1-Input'!$C$12,'1-Input'!$B$12,0)))))*(1/(1-'P-Parametri'!$B$6*AK661))))</f>
        <v>0</v>
      </c>
      <c r="AM661" s="18">
        <f>IF($A661&gt;'1-Input'!$B$26,AO660,(AO660-MAX(0,AK616-IF($A661&gt;='1-Input'!$C$12,'1-Input'!$B$12,0))+AL661*(1-'P-Parametri'!$B$6*AK661))*(1+'1-Input'!$B$27))</f>
        <v>11634.547424558157</v>
      </c>
      <c r="AN661" s="18">
        <f>IF($A661&gt;'1-Input'!$B$26,AP660,(AP660-AL661)*(1+$C$4))</f>
        <v>0</v>
      </c>
      <c r="AO661" s="18">
        <f>IF($A661&gt;'1-Input'!$B$26,AM661,AM661-'P-Parametri'!$B$8*(AN661+AM661)+MIN(MAX(AN661,0),'P-Parametri'!$B$8*(AN661+AM661)))</f>
        <v>11611.278329709041</v>
      </c>
      <c r="AP661" s="18">
        <f>IF($A661&gt;'1-Input'!$B$26,AN661,AN661-MIN(MAX(AN661,0),'P-Parametri'!$B$8*(AN661+AM661)))</f>
        <v>0</v>
      </c>
      <c r="AQ661" s="18">
        <f>IF($A661&gt;'1-Input'!$B$26,AQ660,AQ660-AL661*(1-AK661))</f>
        <v>29.988973806301601</v>
      </c>
    </row>
    <row r="662" spans="1:43">
      <c r="A662" s="10">
        <f>44</f>
        <v>44</v>
      </c>
      <c r="B662" s="11">
        <f>IF($A662&gt;'1-Input'!$B$26,0,IF(G661&lt;=0,0,MAX(0,(G661-H661)/G661)))</f>
        <v>0</v>
      </c>
      <c r="C662" s="18">
        <f>IF($A662&gt;'1-Input'!$B$26,0,(MAX(0,B616-IF($A662&gt;='1-Input'!$C$12,'1-Input'!$B$12,0))-MIN(MAX(F661,0),MAX(0,B616-IF($A662&gt;='1-Input'!$C$12,'1-Input'!$B$12,0))))*(1/(1-'P-Parametri'!$B$6*B662))+MIN(MAX(0,G661-(MAX(0,B616-IF($A662&gt;='1-Input'!$C$12,'1-Input'!$B$12,0))-MIN(MAX(F661,0),MAX(0,B616-IF($A662&gt;='1-Input'!$C$12,'1-Input'!$B$12,0))))*(1/(1-'P-Parametri'!$B$6*B662))),MAX(0,5*B616-(F661-MIN(MAX(F661,0),MAX(0,B616-IF($A662&gt;='1-Input'!$C$12,'1-Input'!$B$12,0)))))*(1/(1-'P-Parametri'!$B$6*B662))))</f>
        <v>0</v>
      </c>
      <c r="D662" s="18">
        <f>IF($A662&gt;'1-Input'!$B$26,F661,(F661-MAX(0,B616-IF($A662&gt;='1-Input'!$C$12,'1-Input'!$B$12,0))+C662*(1-'P-Parametri'!$B$6*B662))*(1+'1-Input'!$B$27))</f>
        <v>18798.873987039075</v>
      </c>
      <c r="E662" s="18">
        <f>IF($A662&gt;'1-Input'!$B$26,G661,(G661-C662)*(1+$C$4))</f>
        <v>0</v>
      </c>
      <c r="F662" s="18">
        <f>IF($A662&gt;'1-Input'!$B$26,D662,D662-'P-Parametri'!$B$8*(E662+D662)+MIN(MAX(E662,0),'P-Parametri'!$B$8*(E662+D662)))</f>
        <v>18761.276239064995</v>
      </c>
      <c r="G662" s="18">
        <f>IF($A662&gt;'1-Input'!$B$26,E662,E662-MIN(MAX(E662,0),'P-Parametri'!$B$8*(E662+D662)))</f>
        <v>0</v>
      </c>
      <c r="H662" s="18">
        <f>IF($A662&gt;'1-Input'!$B$26,H661,H661-C662*(1-B662))</f>
        <v>48.748427721451208</v>
      </c>
      <c r="I662" s="11">
        <f>IF($A662&gt;'1-Input'!$B$26,0,IF(N661&lt;=0,0,MAX(0,(N661-O661)/N661)))</f>
        <v>0</v>
      </c>
      <c r="J662" s="18">
        <f>IF($A662&gt;'1-Input'!$B$26,0,(MAX(0,I616-IF($A662&gt;='1-Input'!$C$12,'1-Input'!$B$12,0))-MIN(MAX(M661,0),MAX(0,I616-IF($A662&gt;='1-Input'!$C$12,'1-Input'!$B$12,0))))*(1/(1-'P-Parametri'!$B$6*I662))+MIN(MAX(0,N661-(MAX(0,I616-IF($A662&gt;='1-Input'!$C$12,'1-Input'!$B$12,0))-MIN(MAX(M661,0),MAX(0,I616-IF($A662&gt;='1-Input'!$C$12,'1-Input'!$B$12,0))))*(1/(1-'P-Parametri'!$B$6*I662))),MAX(0,5*I616-(M661-MIN(MAX(M661,0),MAX(0,I616-IF($A662&gt;='1-Input'!$C$12,'1-Input'!$B$12,0)))))*(1/(1-'P-Parametri'!$B$6*I662))))</f>
        <v>10846.756992928691</v>
      </c>
      <c r="K662" s="18">
        <f>IF($A662&gt;'1-Input'!$B$26,M661,(M661-MAX(0,I616-IF($A662&gt;='1-Input'!$C$12,'1-Input'!$B$12,0))+J662*(1-'P-Parametri'!$B$6*I662))*(1+'1-Input'!$B$27))</f>
        <v>0</v>
      </c>
      <c r="L662" s="18">
        <f>IF($A662&gt;'1-Input'!$B$26,N661,(N661-J662)*(1+$C$4))</f>
        <v>-365411.09395474708</v>
      </c>
      <c r="M662" s="18">
        <f>IF($A662&gt;'1-Input'!$B$26,K662,K662-'P-Parametri'!$B$8*(L662+K662)+MIN(MAX(L662,0),'P-Parametri'!$B$8*(L662+K662)))</f>
        <v>0</v>
      </c>
      <c r="N662" s="18">
        <f>IF($A662&gt;'1-Input'!$B$26,L662,L662-MIN(MAX(L662,0),'P-Parametri'!$B$8*(L662+K662)))</f>
        <v>-364680.27176683757</v>
      </c>
      <c r="O662" s="18">
        <f>IF($A662&gt;'1-Input'!$B$26,O661,O661-J662*(1-I662))</f>
        <v>-255630.53949127733</v>
      </c>
      <c r="P662" s="11">
        <f>IF($A662&gt;'1-Input'!$B$26,0,IF(U661&lt;=0,0,MAX(0,(U661-V661)/U661)))</f>
        <v>0</v>
      </c>
      <c r="Q662" s="18">
        <f>IF($A662&gt;'1-Input'!$B$26,0,(MAX(0,P616-IF($A662&gt;='1-Input'!$C$12,'1-Input'!$B$12,0))-MIN(MAX(T661,0),MAX(0,P616-IF($A662&gt;='1-Input'!$C$12,'1-Input'!$B$12,0))))*(1/(1-'P-Parametri'!$B$6*P662))+MIN(MAX(0,U661-(MAX(0,P616-IF($A662&gt;='1-Input'!$C$12,'1-Input'!$B$12,0))-MIN(MAX(T661,0),MAX(0,P616-IF($A662&gt;='1-Input'!$C$12,'1-Input'!$B$12,0))))*(1/(1-'P-Parametri'!$B$6*P662))),MAX(0,5*P616-(T661-MIN(MAX(T661,0),MAX(0,P616-IF($A662&gt;='1-Input'!$C$12,'1-Input'!$B$12,0)))))*(1/(1-'P-Parametri'!$B$6*P662))))</f>
        <v>0</v>
      </c>
      <c r="R662" s="18">
        <f>IF($A662&gt;'1-Input'!$B$26,T661,(T661-MAX(0,P616-IF($A662&gt;='1-Input'!$C$12,'1-Input'!$B$12,0))+Q662*(1-'P-Parametri'!$B$6*P662))*(1+'1-Input'!$B$27))</f>
        <v>7988.8500427765039</v>
      </c>
      <c r="S662" s="18">
        <f>IF($A662&gt;'1-Input'!$B$26,U661,(U661-Q662)*(1+$C$4))</f>
        <v>0</v>
      </c>
      <c r="T662" s="18">
        <f>IF($A662&gt;'1-Input'!$B$26,R662,R662-'P-Parametri'!$B$8*(S662+R662)+MIN(MAX(S662,0),'P-Parametri'!$B$8*(S662+R662)))</f>
        <v>7972.872342690951</v>
      </c>
      <c r="U662" s="18">
        <f>IF($A662&gt;'1-Input'!$B$26,S662,S662-MIN(MAX(S662,0),'P-Parametri'!$B$8*(S662+R662)))</f>
        <v>0</v>
      </c>
      <c r="V662" s="18">
        <f>IF($A662&gt;'1-Input'!$B$26,V661,V661-Q662*(1-P662))</f>
        <v>0</v>
      </c>
      <c r="W662" s="11">
        <f>IF($A662&gt;'1-Input'!$B$26,0,IF(AB661&lt;=0,0,MAX(0,(AB661-AC661)/AB661)))</f>
        <v>0</v>
      </c>
      <c r="X662" s="18">
        <f>IF($A662&gt;'1-Input'!$B$26,0,(MAX(0,W616-IF($A662&gt;='1-Input'!$C$12,'1-Input'!$B$12,0))-MIN(MAX(AA661,0),MAX(0,W616-IF($A662&gt;='1-Input'!$C$12,'1-Input'!$B$12,0))))*(1/(1-'P-Parametri'!$B$6*W662))+MIN(MAX(0,AB661-(MAX(0,W616-IF($A662&gt;='1-Input'!$C$12,'1-Input'!$B$12,0))-MIN(MAX(AA661,0),MAX(0,W616-IF($A662&gt;='1-Input'!$C$12,'1-Input'!$B$12,0))))*(1/(1-'P-Parametri'!$B$6*W662))),MAX(0,5*W616-(AA661-MIN(MAX(AA661,0),MAX(0,W616-IF($A662&gt;='1-Input'!$C$12,'1-Input'!$B$12,0)))))*(1/(1-'P-Parametri'!$B$6*W662))))</f>
        <v>0</v>
      </c>
      <c r="Y662" s="18">
        <f>IF($A662&gt;'1-Input'!$B$26,AA661,(AA661-MAX(0,W616-IF($A662&gt;='1-Input'!$C$12,'1-Input'!$B$12,0))+X662*(1-'P-Parametri'!$B$6*W662))*(1+'1-Input'!$B$27))</f>
        <v>6217.8662731111172</v>
      </c>
      <c r="Z662" s="18">
        <f>IF($A662&gt;'1-Input'!$B$26,AB661,(AB661-X662)*(1+$C$4))</f>
        <v>0</v>
      </c>
      <c r="AA662" s="18">
        <f>IF($A662&gt;'1-Input'!$B$26,Y662,Y662-'P-Parametri'!$B$8*(Z662+Y662)+MIN(MAX(Z662,0),'P-Parametri'!$B$8*(Z662+Y662)))</f>
        <v>6205.4305405648947</v>
      </c>
      <c r="AB662" s="18">
        <f>IF($A662&gt;'1-Input'!$B$26,Z662,Z662-MIN(MAX(Z662,0),'P-Parametri'!$B$8*(Z662+Y662)))</f>
        <v>0</v>
      </c>
      <c r="AC662" s="18">
        <f>IF($A662&gt;'1-Input'!$B$26,AC661,AC661-X662*(1-W662))</f>
        <v>0</v>
      </c>
      <c r="AD662" s="11">
        <f>IF($A662&gt;'1-Input'!$B$26,0,IF(AI661&lt;=0,0,MAX(0,(AI661-AJ661)/AI661)))</f>
        <v>0</v>
      </c>
      <c r="AE662" s="18">
        <f>IF($A662&gt;'1-Input'!$B$26,0,(MAX(0,AD616-IF($A662&gt;='1-Input'!$C$12,'1-Input'!$B$12,0))-MIN(MAX(AH661,0),MAX(0,AD616-IF($A662&gt;='1-Input'!$C$12,'1-Input'!$B$12,0))))*(1/(1-'P-Parametri'!$B$6*AD662))+MIN(MAX(0,AI661-(MAX(0,AD616-IF($A662&gt;='1-Input'!$C$12,'1-Input'!$B$12,0))-MIN(MAX(AH661,0),MAX(0,AD616-IF($A662&gt;='1-Input'!$C$12,'1-Input'!$B$12,0))))*(1/(1-'P-Parametri'!$B$6*AD662))),MAX(0,5*AD616-(AH661-MIN(MAX(AH661,0),MAX(0,AD616-IF($A662&gt;='1-Input'!$C$12,'1-Input'!$B$12,0)))))*(1/(1-'P-Parametri'!$B$6*AD662))))</f>
        <v>0</v>
      </c>
      <c r="AF662" s="18">
        <f>IF($A662&gt;'1-Input'!$B$26,AH661,(AH661-MAX(0,AD616-IF($A662&gt;='1-Input'!$C$12,'1-Input'!$B$12,0))+AE662*(1-'P-Parametri'!$B$6*AD662))*(1+'1-Input'!$B$27))</f>
        <v>5766.0516587665434</v>
      </c>
      <c r="AG662" s="18">
        <f>IF($A662&gt;'1-Input'!$B$26,AI661,(AI661-AE662)*(1+$C$4))</f>
        <v>0</v>
      </c>
      <c r="AH662" s="18">
        <f>IF($A662&gt;'1-Input'!$B$26,AF662,AF662-'P-Parametri'!$B$8*(AG662+AF662)+MIN(MAX(AG662,0),'P-Parametri'!$B$8*(AG662+AF662)))</f>
        <v>5754.5195554490101</v>
      </c>
      <c r="AI662" s="18">
        <f>IF($A662&gt;'1-Input'!$B$26,AG662,AG662-MIN(MAX(AG662,0),'P-Parametri'!$B$8*(AG662+AF662)))</f>
        <v>0</v>
      </c>
      <c r="AJ662" s="18">
        <f>IF($A662&gt;'1-Input'!$B$26,AJ661,AJ661-AE662*(1-AD662))</f>
        <v>17.201922220909637</v>
      </c>
      <c r="AK662" s="11">
        <f>IF($A662&gt;'1-Input'!$B$26,0,IF(AP661&lt;=0,0,MAX(0,(AP661-AQ661)/AP661)))</f>
        <v>0</v>
      </c>
      <c r="AL662" s="18">
        <f>IF($A662&gt;'1-Input'!$B$26,0,(MAX(0,AK616-IF($A662&gt;='1-Input'!$C$12,'1-Input'!$B$12,0))-MIN(MAX(AO661,0),MAX(0,AK616-IF($A662&gt;='1-Input'!$C$12,'1-Input'!$B$12,0))))*(1/(1-'P-Parametri'!$B$6*AK662))+MIN(MAX(0,AP661-(MAX(0,AK616-IF($A662&gt;='1-Input'!$C$12,'1-Input'!$B$12,0))-MIN(MAX(AO661,0),MAX(0,AK616-IF($A662&gt;='1-Input'!$C$12,'1-Input'!$B$12,0))))*(1/(1-'P-Parametri'!$B$6*AK662))),MAX(0,5*AK616-(AO661-MIN(MAX(AO661,0),MAX(0,AK616-IF($A662&gt;='1-Input'!$C$12,'1-Input'!$B$12,0)))))*(1/(1-'P-Parametri'!$B$6*AK662))))</f>
        <v>0</v>
      </c>
      <c r="AM662" s="18">
        <f>IF($A662&gt;'1-Input'!$B$26,AO661,(AO661-MAX(0,AK616-IF($A662&gt;='1-Input'!$C$12,'1-Input'!$B$12,0))+AL662*(1-'P-Parametri'!$B$6*AK662))*(1+'1-Input'!$B$27))</f>
        <v>5802.9382216963686</v>
      </c>
      <c r="AN662" s="18">
        <f>IF($A662&gt;'1-Input'!$B$26,AP661,(AP661-AL662)*(1+$C$4))</f>
        <v>0</v>
      </c>
      <c r="AO662" s="18">
        <f>IF($A662&gt;'1-Input'!$B$26,AM662,AM662-'P-Parametri'!$B$8*(AN662+AM662)+MIN(MAX(AN662,0),'P-Parametri'!$B$8*(AN662+AM662)))</f>
        <v>5791.3323452529758</v>
      </c>
      <c r="AP662" s="18">
        <f>IF($A662&gt;'1-Input'!$B$26,AN662,AN662-MIN(MAX(AN662,0),'P-Parametri'!$B$8*(AN662+AM662)))</f>
        <v>0</v>
      </c>
      <c r="AQ662" s="18">
        <f>IF($A662&gt;'1-Input'!$B$26,AQ661,AQ661-AL662*(1-AK662))</f>
        <v>29.988973806301601</v>
      </c>
    </row>
    <row r="663" spans="1:43">
      <c r="A663" s="10">
        <f>45</f>
        <v>45</v>
      </c>
      <c r="B663" s="11">
        <f>IF($A663&gt;'1-Input'!$B$26,0,IF(G662&lt;=0,0,MAX(0,(G662-H662)/G662)))</f>
        <v>0</v>
      </c>
      <c r="C663" s="18">
        <f>IF($A663&gt;'1-Input'!$B$26,0,(MAX(0,B616-IF($A663&gt;='1-Input'!$C$12,'1-Input'!$B$12,0))-MIN(MAX(F662,0),MAX(0,B616-IF($A663&gt;='1-Input'!$C$12,'1-Input'!$B$12,0))))*(1/(1-'P-Parametri'!$B$6*B663))+MIN(MAX(0,G662-(MAX(0,B616-IF($A663&gt;='1-Input'!$C$12,'1-Input'!$B$12,0))-MIN(MAX(F662,0),MAX(0,B616-IF($A663&gt;='1-Input'!$C$12,'1-Input'!$B$12,0))))*(1/(1-'P-Parametri'!$B$6*B663))),MAX(0,5*B616-(F662-MIN(MAX(F662,0),MAX(0,B616-IF($A663&gt;='1-Input'!$C$12,'1-Input'!$B$12,0)))))*(1/(1-'P-Parametri'!$B$6*B663))))</f>
        <v>0</v>
      </c>
      <c r="D663" s="18">
        <f>IF($A663&gt;'1-Input'!$B$26,F662,(F662-MAX(0,B616-IF($A663&gt;='1-Input'!$C$12,'1-Input'!$B$12,0))+C663*(1-'P-Parametri'!$B$6*B663))*(1+'1-Input'!$B$27))</f>
        <v>13134.76492911121</v>
      </c>
      <c r="E663" s="18">
        <f>IF($A663&gt;'1-Input'!$B$26,G662,(G662-C663)*(1+$C$4))</f>
        <v>0</v>
      </c>
      <c r="F663" s="18">
        <f>IF($A663&gt;'1-Input'!$B$26,D663,D663-'P-Parametri'!$B$8*(E663+D663)+MIN(MAX(E663,0),'P-Parametri'!$B$8*(E663+D663)))</f>
        <v>13108.495399252988</v>
      </c>
      <c r="G663" s="18">
        <f>IF($A663&gt;'1-Input'!$B$26,E663,E663-MIN(MAX(E663,0),'P-Parametri'!$B$8*(E663+D663)))</f>
        <v>0</v>
      </c>
      <c r="H663" s="18">
        <f>IF($A663&gt;'1-Input'!$B$26,H662,H662-C663*(1-B663))</f>
        <v>48.748427721451208</v>
      </c>
      <c r="I663" s="11">
        <f>IF($A663&gt;'1-Input'!$B$26,0,IF(N662&lt;=0,0,MAX(0,(N662-O662)/N662)))</f>
        <v>0</v>
      </c>
      <c r="J663" s="18">
        <f>IF($A663&gt;'1-Input'!$B$26,0,(MAX(0,I616-IF($A663&gt;='1-Input'!$C$12,'1-Input'!$B$12,0))-MIN(MAX(M662,0),MAX(0,I616-IF($A663&gt;='1-Input'!$C$12,'1-Input'!$B$12,0))))*(1/(1-'P-Parametri'!$B$6*I663))+MIN(MAX(0,N662-(MAX(0,I616-IF($A663&gt;='1-Input'!$C$12,'1-Input'!$B$12,0))-MIN(MAX(M662,0),MAX(0,I616-IF($A663&gt;='1-Input'!$C$12,'1-Input'!$B$12,0))))*(1/(1-'P-Parametri'!$B$6*I663))),MAX(0,5*I616-(M662-MIN(MAX(M662,0),MAX(0,I616-IF($A663&gt;='1-Input'!$C$12,'1-Input'!$B$12,0)))))*(1/(1-'P-Parametri'!$B$6*I663))))</f>
        <v>10846.756992928691</v>
      </c>
      <c r="K663" s="18">
        <f>IF($A663&gt;'1-Input'!$B$26,M662,(M662-MAX(0,I616-IF($A663&gt;='1-Input'!$C$12,'1-Input'!$B$12,0))+J663*(1-'P-Parametri'!$B$6*I663))*(1+'1-Input'!$B$27))</f>
        <v>0</v>
      </c>
      <c r="L663" s="18">
        <f>IF($A663&gt;'1-Input'!$B$26,N662,(N662-J663)*(1+$C$4))</f>
        <v>-386792.83962255926</v>
      </c>
      <c r="M663" s="18">
        <f>IF($A663&gt;'1-Input'!$B$26,K663,K663-'P-Parametri'!$B$8*(L663+K663)+MIN(MAX(L663,0),'P-Parametri'!$B$8*(L663+K663)))</f>
        <v>0</v>
      </c>
      <c r="N663" s="18">
        <f>IF($A663&gt;'1-Input'!$B$26,L663,L663-MIN(MAX(L663,0),'P-Parametri'!$B$8*(L663+K663)))</f>
        <v>-386019.25394331414</v>
      </c>
      <c r="O663" s="18">
        <f>IF($A663&gt;'1-Input'!$B$26,O662,O662-J663*(1-I663))</f>
        <v>-266477.29648420605</v>
      </c>
      <c r="P663" s="11">
        <f>IF($A663&gt;'1-Input'!$B$26,0,IF(U662&lt;=0,0,MAX(0,(U662-V662)/U662)))</f>
        <v>0</v>
      </c>
      <c r="Q663" s="18">
        <f>IF($A663&gt;'1-Input'!$B$26,0,(MAX(0,P616-IF($A663&gt;='1-Input'!$C$12,'1-Input'!$B$12,0))-MIN(MAX(T662,0),MAX(0,P616-IF($A663&gt;='1-Input'!$C$12,'1-Input'!$B$12,0))))*(1/(1-'P-Parametri'!$B$6*P663))+MIN(MAX(0,U662-(MAX(0,P616-IF($A663&gt;='1-Input'!$C$12,'1-Input'!$B$12,0))-MIN(MAX(T662,0),MAX(0,P616-IF($A663&gt;='1-Input'!$C$12,'1-Input'!$B$12,0))))*(1/(1-'P-Parametri'!$B$6*P663))),MAX(0,5*P616-(T662-MIN(MAX(T662,0),MAX(0,P616-IF($A663&gt;='1-Input'!$C$12,'1-Input'!$B$12,0)))))*(1/(1-'P-Parametri'!$B$6*P663))))</f>
        <v>0</v>
      </c>
      <c r="R663" s="18">
        <f>IF($A663&gt;'1-Input'!$B$26,T662,(T662-MAX(0,P616-IF($A663&gt;='1-Input'!$C$12,'1-Input'!$B$12,0))+Q663*(1-'P-Parametri'!$B$6*P663))*(1+'1-Input'!$B$27))</f>
        <v>2212.8157393599831</v>
      </c>
      <c r="S663" s="18">
        <f>IF($A663&gt;'1-Input'!$B$26,U662,(U662-Q663)*(1+$C$4))</f>
        <v>0</v>
      </c>
      <c r="T663" s="18">
        <f>IF($A663&gt;'1-Input'!$B$26,R663,R663-'P-Parametri'!$B$8*(S663+R663)+MIN(MAX(S663,0),'P-Parametri'!$B$8*(S663+R663)))</f>
        <v>2208.3901078812632</v>
      </c>
      <c r="U663" s="18">
        <f>IF($A663&gt;'1-Input'!$B$26,S663,S663-MIN(MAX(S663,0),'P-Parametri'!$B$8*(S663+R663)))</f>
        <v>0</v>
      </c>
      <c r="V663" s="18">
        <f>IF($A663&gt;'1-Input'!$B$26,V662,V662-Q663*(1-P663))</f>
        <v>0</v>
      </c>
      <c r="W663" s="11">
        <f>IF($A663&gt;'1-Input'!$B$26,0,IF(AB662&lt;=0,0,MAX(0,(AB662-AC662)/AB662)))</f>
        <v>0</v>
      </c>
      <c r="X663" s="18">
        <f>IF($A663&gt;'1-Input'!$B$26,0,(MAX(0,W616-IF($A663&gt;='1-Input'!$C$12,'1-Input'!$B$12,0))-MIN(MAX(AA662,0),MAX(0,W616-IF($A663&gt;='1-Input'!$C$12,'1-Input'!$B$12,0))))*(1/(1-'P-Parametri'!$B$6*W663))+MIN(MAX(0,AB662-(MAX(0,W616-IF($A663&gt;='1-Input'!$C$12,'1-Input'!$B$12,0))-MIN(MAX(AA662,0),MAX(0,W616-IF($A663&gt;='1-Input'!$C$12,'1-Input'!$B$12,0))))*(1/(1-'P-Parametri'!$B$6*W663))),MAX(0,5*W616-(AA662-MIN(MAX(AA662,0),MAX(0,W616-IF($A663&gt;='1-Input'!$C$12,'1-Input'!$B$12,0)))))*(1/(1-'P-Parametri'!$B$6*W663))))</f>
        <v>0</v>
      </c>
      <c r="Y663" s="18">
        <f>IF($A663&gt;'1-Input'!$B$26,AA662,(AA662-MAX(0,W616-IF($A663&gt;='1-Input'!$C$12,'1-Input'!$B$12,0))+X663*(1-'P-Parametri'!$B$6*W663))*(1+'1-Input'!$B$27))</f>
        <v>422.86044592257724</v>
      </c>
      <c r="Z663" s="18">
        <f>IF($A663&gt;'1-Input'!$B$26,AB662,(AB662-X663)*(1+$C$4))</f>
        <v>0</v>
      </c>
      <c r="AA663" s="18">
        <f>IF($A663&gt;'1-Input'!$B$26,Y663,Y663-'P-Parametri'!$B$8*(Z663+Y663)+MIN(MAX(Z663,0),'P-Parametri'!$B$8*(Z663+Y663)))</f>
        <v>422.01472503073211</v>
      </c>
      <c r="AB663" s="18">
        <f>IF($A663&gt;'1-Input'!$B$26,Z663,Z663-MIN(MAX(Z663,0),'P-Parametri'!$B$8*(Z663+Y663)))</f>
        <v>0</v>
      </c>
      <c r="AC663" s="18">
        <f>IF($A663&gt;'1-Input'!$B$26,AC662,AC662-X663*(1-W663))</f>
        <v>0</v>
      </c>
      <c r="AD663" s="11">
        <f>IF($A663&gt;'1-Input'!$B$26,0,IF(AI662&lt;=0,0,MAX(0,(AI662-AJ662)/AI662)))</f>
        <v>0</v>
      </c>
      <c r="AE663" s="18">
        <f>IF($A663&gt;'1-Input'!$B$26,0,(MAX(0,AD616-IF($A663&gt;='1-Input'!$C$12,'1-Input'!$B$12,0))-MIN(MAX(AH662,0),MAX(0,AD616-IF($A663&gt;='1-Input'!$C$12,'1-Input'!$B$12,0))))*(1/(1-'P-Parametri'!$B$6*AD663))+MIN(MAX(0,AI662-(MAX(0,AD616-IF($A663&gt;='1-Input'!$C$12,'1-Input'!$B$12,0))-MIN(MAX(AH662,0),MAX(0,AD616-IF($A663&gt;='1-Input'!$C$12,'1-Input'!$B$12,0))))*(1/(1-'P-Parametri'!$B$6*AD663))),MAX(0,5*AD616-(AH662-MIN(MAX(AH662,0),MAX(0,AD616-IF($A663&gt;='1-Input'!$C$12,'1-Input'!$B$12,0)))))*(1/(1-'P-Parametri'!$B$6*AD663))))</f>
        <v>33.369144082545063</v>
      </c>
      <c r="AF663" s="18">
        <f>IF($A663&gt;'1-Input'!$B$26,AH662,(AH662-MAX(0,AD616-IF($A663&gt;='1-Input'!$C$12,'1-Input'!$B$12,0))+AE663*(1-'P-Parametri'!$B$6*AD663))*(1+'1-Input'!$B$27))</f>
        <v>0</v>
      </c>
      <c r="AG663" s="18">
        <f>IF($A663&gt;'1-Input'!$B$26,AI662,(AI662-AE663)*(1+$C$4))</f>
        <v>-34.370218405021419</v>
      </c>
      <c r="AH663" s="18">
        <f>IF($A663&gt;'1-Input'!$B$26,AF663,AF663-'P-Parametri'!$B$8*(AG663+AF663)+MIN(MAX(AG663,0),'P-Parametri'!$B$8*(AG663+AF663)))</f>
        <v>0</v>
      </c>
      <c r="AI663" s="18">
        <f>IF($A663&gt;'1-Input'!$B$26,AG663,AG663-MIN(MAX(AG663,0),'P-Parametri'!$B$8*(AG663+AF663)))</f>
        <v>-34.301477968211373</v>
      </c>
      <c r="AJ663" s="18">
        <f>IF($A663&gt;'1-Input'!$B$26,AJ662,AJ662-AE663*(1-AD663))</f>
        <v>-16.167221861635426</v>
      </c>
      <c r="AK663" s="11">
        <f>IF($A663&gt;'1-Input'!$B$26,0,IF(AP662&lt;=0,0,MAX(0,(AP662-AQ662)/AP662)))</f>
        <v>0</v>
      </c>
      <c r="AL663" s="18">
        <f>IF($A663&gt;'1-Input'!$B$26,0,(MAX(0,AK616-IF($A663&gt;='1-Input'!$C$12,'1-Input'!$B$12,0))-MIN(MAX(AO662,0),MAX(0,AK616-IF($A663&gt;='1-Input'!$C$12,'1-Input'!$B$12,0))))*(1/(1-'P-Parametri'!$B$6*AK663))+MIN(MAX(0,AP662-(MAX(0,AK616-IF($A663&gt;='1-Input'!$C$12,'1-Input'!$B$12,0))-MIN(MAX(AO662,0),MAX(0,AK616-IF($A663&gt;='1-Input'!$C$12,'1-Input'!$B$12,0))))*(1/(1-'P-Parametri'!$B$6*AK663))),MAX(0,5*AK616-(AO662-MIN(MAX(AO662,0),MAX(0,AK616-IF($A663&gt;='1-Input'!$C$12,'1-Input'!$B$12,0)))))*(1/(1-'P-Parametri'!$B$6*AK663))))</f>
        <v>0</v>
      </c>
      <c r="AM663" s="18">
        <f>IF($A663&gt;'1-Input'!$B$26,AO662,(AO662-MAX(0,AK616-IF($A663&gt;='1-Input'!$C$12,'1-Input'!$B$12,0))+AL663*(1-'P-Parametri'!$B$6*AK663))*(1+'1-Input'!$B$27))</f>
        <v>3.9440427843453931</v>
      </c>
      <c r="AN663" s="18">
        <f>IF($A663&gt;'1-Input'!$B$26,AP662,(AP662-AL663)*(1+$C$4))</f>
        <v>0</v>
      </c>
      <c r="AO663" s="18">
        <f>IF($A663&gt;'1-Input'!$B$26,AM663,AM663-'P-Parametri'!$B$8*(AN663+AM663)+MIN(MAX(AN663,0),'P-Parametri'!$B$8*(AN663+AM663)))</f>
        <v>3.9361546987767024</v>
      </c>
      <c r="AP663" s="18">
        <f>IF($A663&gt;'1-Input'!$B$26,AN663,AN663-MIN(MAX(AN663,0),'P-Parametri'!$B$8*(AN663+AM663)))</f>
        <v>0</v>
      </c>
      <c r="AQ663" s="18">
        <f>IF($A663&gt;'1-Input'!$B$26,AQ662,AQ662-AL663*(1-AK663))</f>
        <v>29.988973806301601</v>
      </c>
    </row>
    <row r="664" spans="1:43">
      <c r="A664" s="10">
        <f>46</f>
        <v>46</v>
      </c>
      <c r="B664" s="11">
        <f>IF($A664&gt;'1-Input'!$B$26,0,IF(G663&lt;=0,0,MAX(0,(G663-H663)/G663)))</f>
        <v>0</v>
      </c>
      <c r="C664" s="18">
        <f>IF($A664&gt;'1-Input'!$B$26,0,(MAX(0,B616-IF($A664&gt;='1-Input'!$C$12,'1-Input'!$B$12,0))-MIN(MAX(F663,0),MAX(0,B616-IF($A664&gt;='1-Input'!$C$12,'1-Input'!$B$12,0))))*(1/(1-'P-Parametri'!$B$6*B664))+MIN(MAX(0,G663-(MAX(0,B616-IF($A664&gt;='1-Input'!$C$12,'1-Input'!$B$12,0))-MIN(MAX(F663,0),MAX(0,B616-IF($A664&gt;='1-Input'!$C$12,'1-Input'!$B$12,0))))*(1/(1-'P-Parametri'!$B$6*B664))),MAX(0,5*B616-(F663-MIN(MAX(F663,0),MAX(0,B616-IF($A664&gt;='1-Input'!$C$12,'1-Input'!$B$12,0)))))*(1/(1-'P-Parametri'!$B$6*B664))))</f>
        <v>0</v>
      </c>
      <c r="D664" s="18">
        <f>IF($A664&gt;'1-Input'!$B$26,F663,(F663-MAX(0,B616-IF($A664&gt;='1-Input'!$C$12,'1-Input'!$B$12,0))+C664*(1-'P-Parametri'!$B$6*B664))*(1+'1-Input'!$B$27))</f>
        <v>13108.495399252988</v>
      </c>
      <c r="E664" s="18">
        <f>IF($A664&gt;'1-Input'!$B$26,G663,(G663-C664)*(1+$C$4))</f>
        <v>0</v>
      </c>
      <c r="F664" s="18">
        <f>IF($A664&gt;'1-Input'!$B$26,D664,D664-'P-Parametri'!$B$8*(E664+D664)+MIN(MAX(E664,0),'P-Parametri'!$B$8*(E664+D664)))</f>
        <v>13108.495399252988</v>
      </c>
      <c r="G664" s="18">
        <f>IF($A664&gt;'1-Input'!$B$26,E664,E664-MIN(MAX(E664,0),'P-Parametri'!$B$8*(E664+D664)))</f>
        <v>0</v>
      </c>
      <c r="H664" s="18">
        <f>IF($A664&gt;'1-Input'!$B$26,H663,H663-C664*(1-B664))</f>
        <v>48.748427721451208</v>
      </c>
      <c r="I664" s="11">
        <f>IF($A664&gt;'1-Input'!$B$26,0,IF(N663&lt;=0,0,MAX(0,(N663-O663)/N663)))</f>
        <v>0</v>
      </c>
      <c r="J664" s="18">
        <f>IF($A664&gt;'1-Input'!$B$26,0,(MAX(0,I616-IF($A664&gt;='1-Input'!$C$12,'1-Input'!$B$12,0))-MIN(MAX(M663,0),MAX(0,I616-IF($A664&gt;='1-Input'!$C$12,'1-Input'!$B$12,0))))*(1/(1-'P-Parametri'!$B$6*I664))+MIN(MAX(0,N663-(MAX(0,I616-IF($A664&gt;='1-Input'!$C$12,'1-Input'!$B$12,0))-MIN(MAX(M663,0),MAX(0,I616-IF($A664&gt;='1-Input'!$C$12,'1-Input'!$B$12,0))))*(1/(1-'P-Parametri'!$B$6*I664))),MAX(0,5*I616-(M663-MIN(MAX(M663,0),MAX(0,I616-IF($A664&gt;='1-Input'!$C$12,'1-Input'!$B$12,0)))))*(1/(1-'P-Parametri'!$B$6*I664))))</f>
        <v>0</v>
      </c>
      <c r="K664" s="18">
        <f>IF($A664&gt;'1-Input'!$B$26,M663,(M663-MAX(0,I616-IF($A664&gt;='1-Input'!$C$12,'1-Input'!$B$12,0))+J664*(1-'P-Parametri'!$B$6*I664))*(1+'1-Input'!$B$27))</f>
        <v>0</v>
      </c>
      <c r="L664" s="18">
        <f>IF($A664&gt;'1-Input'!$B$26,N663,(N663-J664)*(1+$C$4))</f>
        <v>-386019.25394331414</v>
      </c>
      <c r="M664" s="18">
        <f>IF($A664&gt;'1-Input'!$B$26,K664,K664-'P-Parametri'!$B$8*(L664+K664)+MIN(MAX(L664,0),'P-Parametri'!$B$8*(L664+K664)))</f>
        <v>0</v>
      </c>
      <c r="N664" s="18">
        <f>IF($A664&gt;'1-Input'!$B$26,L664,L664-MIN(MAX(L664,0),'P-Parametri'!$B$8*(L664+K664)))</f>
        <v>-386019.25394331414</v>
      </c>
      <c r="O664" s="18">
        <f>IF($A664&gt;'1-Input'!$B$26,O663,O663-J664*(1-I664))</f>
        <v>-266477.29648420605</v>
      </c>
      <c r="P664" s="11">
        <f>IF($A664&gt;'1-Input'!$B$26,0,IF(U663&lt;=0,0,MAX(0,(U663-V663)/U663)))</f>
        <v>0</v>
      </c>
      <c r="Q664" s="18">
        <f>IF($A664&gt;'1-Input'!$B$26,0,(MAX(0,P616-IF($A664&gt;='1-Input'!$C$12,'1-Input'!$B$12,0))-MIN(MAX(T663,0),MAX(0,P616-IF($A664&gt;='1-Input'!$C$12,'1-Input'!$B$12,0))))*(1/(1-'P-Parametri'!$B$6*P664))+MIN(MAX(0,U663-(MAX(0,P616-IF($A664&gt;='1-Input'!$C$12,'1-Input'!$B$12,0))-MIN(MAX(T663,0),MAX(0,P616-IF($A664&gt;='1-Input'!$C$12,'1-Input'!$B$12,0))))*(1/(1-'P-Parametri'!$B$6*P664))),MAX(0,5*P616-(T663-MIN(MAX(T663,0),MAX(0,P616-IF($A664&gt;='1-Input'!$C$12,'1-Input'!$B$12,0)))))*(1/(1-'P-Parametri'!$B$6*P664))))</f>
        <v>0</v>
      </c>
      <c r="R664" s="18">
        <f>IF($A664&gt;'1-Input'!$B$26,T663,(T663-MAX(0,P616-IF($A664&gt;='1-Input'!$C$12,'1-Input'!$B$12,0))+Q664*(1-'P-Parametri'!$B$6*P664))*(1+'1-Input'!$B$27))</f>
        <v>2208.3901078812632</v>
      </c>
      <c r="S664" s="18">
        <f>IF($A664&gt;'1-Input'!$B$26,U663,(U663-Q664)*(1+$C$4))</f>
        <v>0</v>
      </c>
      <c r="T664" s="18">
        <f>IF($A664&gt;'1-Input'!$B$26,R664,R664-'P-Parametri'!$B$8*(S664+R664)+MIN(MAX(S664,0),'P-Parametri'!$B$8*(S664+R664)))</f>
        <v>2208.3901078812632</v>
      </c>
      <c r="U664" s="18">
        <f>IF($A664&gt;'1-Input'!$B$26,S664,S664-MIN(MAX(S664,0),'P-Parametri'!$B$8*(S664+R664)))</f>
        <v>0</v>
      </c>
      <c r="V664" s="18">
        <f>IF($A664&gt;'1-Input'!$B$26,V663,V663-Q664*(1-P664))</f>
        <v>0</v>
      </c>
      <c r="W664" s="11">
        <f>IF($A664&gt;'1-Input'!$B$26,0,IF(AB663&lt;=0,0,MAX(0,(AB663-AC663)/AB663)))</f>
        <v>0</v>
      </c>
      <c r="X664" s="18">
        <f>IF($A664&gt;'1-Input'!$B$26,0,(MAX(0,W616-IF($A664&gt;='1-Input'!$C$12,'1-Input'!$B$12,0))-MIN(MAX(AA663,0),MAX(0,W616-IF($A664&gt;='1-Input'!$C$12,'1-Input'!$B$12,0))))*(1/(1-'P-Parametri'!$B$6*W664))+MIN(MAX(0,AB663-(MAX(0,W616-IF($A664&gt;='1-Input'!$C$12,'1-Input'!$B$12,0))-MIN(MAX(AA663,0),MAX(0,W616-IF($A664&gt;='1-Input'!$C$12,'1-Input'!$B$12,0))))*(1/(1-'P-Parametri'!$B$6*W664))),MAX(0,5*W616-(AA663-MIN(MAX(AA663,0),MAX(0,W616-IF($A664&gt;='1-Input'!$C$12,'1-Input'!$B$12,0)))))*(1/(1-'P-Parametri'!$B$6*W664))))</f>
        <v>0</v>
      </c>
      <c r="Y664" s="18">
        <f>IF($A664&gt;'1-Input'!$B$26,AA663,(AA663-MAX(0,W616-IF($A664&gt;='1-Input'!$C$12,'1-Input'!$B$12,0))+X664*(1-'P-Parametri'!$B$6*W664))*(1+'1-Input'!$B$27))</f>
        <v>422.01472503073211</v>
      </c>
      <c r="Z664" s="18">
        <f>IF($A664&gt;'1-Input'!$B$26,AB663,(AB663-X664)*(1+$C$4))</f>
        <v>0</v>
      </c>
      <c r="AA664" s="18">
        <f>IF($A664&gt;'1-Input'!$B$26,Y664,Y664-'P-Parametri'!$B$8*(Z664+Y664)+MIN(MAX(Z664,0),'P-Parametri'!$B$8*(Z664+Y664)))</f>
        <v>422.01472503073211</v>
      </c>
      <c r="AB664" s="18">
        <f>IF($A664&gt;'1-Input'!$B$26,Z664,Z664-MIN(MAX(Z664,0),'P-Parametri'!$B$8*(Z664+Y664)))</f>
        <v>0</v>
      </c>
      <c r="AC664" s="18">
        <f>IF($A664&gt;'1-Input'!$B$26,AC663,AC663-X664*(1-W664))</f>
        <v>0</v>
      </c>
      <c r="AD664" s="11">
        <f>IF($A664&gt;'1-Input'!$B$26,0,IF(AI663&lt;=0,0,MAX(0,(AI663-AJ663)/AI663)))</f>
        <v>0</v>
      </c>
      <c r="AE664" s="18">
        <f>IF($A664&gt;'1-Input'!$B$26,0,(MAX(0,AD616-IF($A664&gt;='1-Input'!$C$12,'1-Input'!$B$12,0))-MIN(MAX(AH663,0),MAX(0,AD616-IF($A664&gt;='1-Input'!$C$12,'1-Input'!$B$12,0))))*(1/(1-'P-Parametri'!$B$6*AD664))+MIN(MAX(0,AI663-(MAX(0,AD616-IF($A664&gt;='1-Input'!$C$12,'1-Input'!$B$12,0))-MIN(MAX(AH663,0),MAX(0,AD616-IF($A664&gt;='1-Input'!$C$12,'1-Input'!$B$12,0))))*(1/(1-'P-Parametri'!$B$6*AD664))),MAX(0,5*AD616-(AH663-MIN(MAX(AH663,0),MAX(0,AD616-IF($A664&gt;='1-Input'!$C$12,'1-Input'!$B$12,0)))))*(1/(1-'P-Parametri'!$B$6*AD664))))</f>
        <v>0</v>
      </c>
      <c r="AF664" s="18">
        <f>IF($A664&gt;'1-Input'!$B$26,AH663,(AH663-MAX(0,AD616-IF($A664&gt;='1-Input'!$C$12,'1-Input'!$B$12,0))+AE664*(1-'P-Parametri'!$B$6*AD664))*(1+'1-Input'!$B$27))</f>
        <v>0</v>
      </c>
      <c r="AG664" s="18">
        <f>IF($A664&gt;'1-Input'!$B$26,AI663,(AI663-AE664)*(1+$C$4))</f>
        <v>-34.301477968211373</v>
      </c>
      <c r="AH664" s="18">
        <f>IF($A664&gt;'1-Input'!$B$26,AF664,AF664-'P-Parametri'!$B$8*(AG664+AF664)+MIN(MAX(AG664,0),'P-Parametri'!$B$8*(AG664+AF664)))</f>
        <v>0</v>
      </c>
      <c r="AI664" s="18">
        <f>IF($A664&gt;'1-Input'!$B$26,AG664,AG664-MIN(MAX(AG664,0),'P-Parametri'!$B$8*(AG664+AF664)))</f>
        <v>-34.301477968211373</v>
      </c>
      <c r="AJ664" s="18">
        <f>IF($A664&gt;'1-Input'!$B$26,AJ663,AJ663-AE664*(1-AD664))</f>
        <v>-16.167221861635426</v>
      </c>
      <c r="AK664" s="11">
        <f>IF($A664&gt;'1-Input'!$B$26,0,IF(AP663&lt;=0,0,MAX(0,(AP663-AQ663)/AP663)))</f>
        <v>0</v>
      </c>
      <c r="AL664" s="18">
        <f>IF($A664&gt;'1-Input'!$B$26,0,(MAX(0,AK616-IF($A664&gt;='1-Input'!$C$12,'1-Input'!$B$12,0))-MIN(MAX(AO663,0),MAX(0,AK616-IF($A664&gt;='1-Input'!$C$12,'1-Input'!$B$12,0))))*(1/(1-'P-Parametri'!$B$6*AK664))+MIN(MAX(0,AP663-(MAX(0,AK616-IF($A664&gt;='1-Input'!$C$12,'1-Input'!$B$12,0))-MIN(MAX(AO663,0),MAX(0,AK616-IF($A664&gt;='1-Input'!$C$12,'1-Input'!$B$12,0))))*(1/(1-'P-Parametri'!$B$6*AK664))),MAX(0,5*AK616-(AO663-MIN(MAX(AO663,0),MAX(0,AK616-IF($A664&gt;='1-Input'!$C$12,'1-Input'!$B$12,0)))))*(1/(1-'P-Parametri'!$B$6*AK664))))</f>
        <v>0</v>
      </c>
      <c r="AM664" s="18">
        <f>IF($A664&gt;'1-Input'!$B$26,AO663,(AO663-MAX(0,AK616-IF($A664&gt;='1-Input'!$C$12,'1-Input'!$B$12,0))+AL664*(1-'P-Parametri'!$B$6*AK664))*(1+'1-Input'!$B$27))</f>
        <v>3.9361546987767024</v>
      </c>
      <c r="AN664" s="18">
        <f>IF($A664&gt;'1-Input'!$B$26,AP663,(AP663-AL664)*(1+$C$4))</f>
        <v>0</v>
      </c>
      <c r="AO664" s="18">
        <f>IF($A664&gt;'1-Input'!$B$26,AM664,AM664-'P-Parametri'!$B$8*(AN664+AM664)+MIN(MAX(AN664,0),'P-Parametri'!$B$8*(AN664+AM664)))</f>
        <v>3.9361546987767024</v>
      </c>
      <c r="AP664" s="18">
        <f>IF($A664&gt;'1-Input'!$B$26,AN664,AN664-MIN(MAX(AN664,0),'P-Parametri'!$B$8*(AN664+AM664)))</f>
        <v>0</v>
      </c>
      <c r="AQ664" s="18">
        <f>IF($A664&gt;'1-Input'!$B$26,AQ663,AQ663-AL664*(1-AK664))</f>
        <v>29.988973806301601</v>
      </c>
    </row>
    <row r="665" spans="1:43">
      <c r="A665" s="10">
        <f>47</f>
        <v>47</v>
      </c>
      <c r="B665" s="11">
        <f>IF($A665&gt;'1-Input'!$B$26,0,IF(G664&lt;=0,0,MAX(0,(G664-H664)/G664)))</f>
        <v>0</v>
      </c>
      <c r="C665" s="18">
        <f>IF($A665&gt;'1-Input'!$B$26,0,(MAX(0,B616-IF($A665&gt;='1-Input'!$C$12,'1-Input'!$B$12,0))-MIN(MAX(F664,0),MAX(0,B616-IF($A665&gt;='1-Input'!$C$12,'1-Input'!$B$12,0))))*(1/(1-'P-Parametri'!$B$6*B665))+MIN(MAX(0,G664-(MAX(0,B616-IF($A665&gt;='1-Input'!$C$12,'1-Input'!$B$12,0))-MIN(MAX(F664,0),MAX(0,B616-IF($A665&gt;='1-Input'!$C$12,'1-Input'!$B$12,0))))*(1/(1-'P-Parametri'!$B$6*B665))),MAX(0,5*B616-(F664-MIN(MAX(F664,0),MAX(0,B616-IF($A665&gt;='1-Input'!$C$12,'1-Input'!$B$12,0)))))*(1/(1-'P-Parametri'!$B$6*B665))))</f>
        <v>0</v>
      </c>
      <c r="D665" s="18">
        <f>IF($A665&gt;'1-Input'!$B$26,F664,(F664-MAX(0,B616-IF($A665&gt;='1-Input'!$C$12,'1-Input'!$B$12,0))+C665*(1-'P-Parametri'!$B$6*B665))*(1+'1-Input'!$B$27))</f>
        <v>13108.495399252988</v>
      </c>
      <c r="E665" s="18">
        <f>IF($A665&gt;'1-Input'!$B$26,G664,(G664-C665)*(1+$C$4))</f>
        <v>0</v>
      </c>
      <c r="F665" s="18">
        <f>IF($A665&gt;'1-Input'!$B$26,D665,D665-'P-Parametri'!$B$8*(E665+D665)+MIN(MAX(E665,0),'P-Parametri'!$B$8*(E665+D665)))</f>
        <v>13108.495399252988</v>
      </c>
      <c r="G665" s="18">
        <f>IF($A665&gt;'1-Input'!$B$26,E665,E665-MIN(MAX(E665,0),'P-Parametri'!$B$8*(E665+D665)))</f>
        <v>0</v>
      </c>
      <c r="H665" s="18">
        <f>IF($A665&gt;'1-Input'!$B$26,H664,H664-C665*(1-B665))</f>
        <v>48.748427721451208</v>
      </c>
      <c r="I665" s="11">
        <f>IF($A665&gt;'1-Input'!$B$26,0,IF(N664&lt;=0,0,MAX(0,(N664-O664)/N664)))</f>
        <v>0</v>
      </c>
      <c r="J665" s="18">
        <f>IF($A665&gt;'1-Input'!$B$26,0,(MAX(0,I616-IF($A665&gt;='1-Input'!$C$12,'1-Input'!$B$12,0))-MIN(MAX(M664,0),MAX(0,I616-IF($A665&gt;='1-Input'!$C$12,'1-Input'!$B$12,0))))*(1/(1-'P-Parametri'!$B$6*I665))+MIN(MAX(0,N664-(MAX(0,I616-IF($A665&gt;='1-Input'!$C$12,'1-Input'!$B$12,0))-MIN(MAX(M664,0),MAX(0,I616-IF($A665&gt;='1-Input'!$C$12,'1-Input'!$B$12,0))))*(1/(1-'P-Parametri'!$B$6*I665))),MAX(0,5*I616-(M664-MIN(MAX(M664,0),MAX(0,I616-IF($A665&gt;='1-Input'!$C$12,'1-Input'!$B$12,0)))))*(1/(1-'P-Parametri'!$B$6*I665))))</f>
        <v>0</v>
      </c>
      <c r="K665" s="18">
        <f>IF($A665&gt;'1-Input'!$B$26,M664,(M664-MAX(0,I616-IF($A665&gt;='1-Input'!$C$12,'1-Input'!$B$12,0))+J665*(1-'P-Parametri'!$B$6*I665))*(1+'1-Input'!$B$27))</f>
        <v>0</v>
      </c>
      <c r="L665" s="18">
        <f>IF($A665&gt;'1-Input'!$B$26,N664,(N664-J665)*(1+$C$4))</f>
        <v>-386019.25394331414</v>
      </c>
      <c r="M665" s="18">
        <f>IF($A665&gt;'1-Input'!$B$26,K665,K665-'P-Parametri'!$B$8*(L665+K665)+MIN(MAX(L665,0),'P-Parametri'!$B$8*(L665+K665)))</f>
        <v>0</v>
      </c>
      <c r="N665" s="18">
        <f>IF($A665&gt;'1-Input'!$B$26,L665,L665-MIN(MAX(L665,0),'P-Parametri'!$B$8*(L665+K665)))</f>
        <v>-386019.25394331414</v>
      </c>
      <c r="O665" s="18">
        <f>IF($A665&gt;'1-Input'!$B$26,O664,O664-J665*(1-I665))</f>
        <v>-266477.29648420605</v>
      </c>
      <c r="P665" s="11">
        <f>IF($A665&gt;'1-Input'!$B$26,0,IF(U664&lt;=0,0,MAX(0,(U664-V664)/U664)))</f>
        <v>0</v>
      </c>
      <c r="Q665" s="18">
        <f>IF($A665&gt;'1-Input'!$B$26,0,(MAX(0,P616-IF($A665&gt;='1-Input'!$C$12,'1-Input'!$B$12,0))-MIN(MAX(T664,0),MAX(0,P616-IF($A665&gt;='1-Input'!$C$12,'1-Input'!$B$12,0))))*(1/(1-'P-Parametri'!$B$6*P665))+MIN(MAX(0,U664-(MAX(0,P616-IF($A665&gt;='1-Input'!$C$12,'1-Input'!$B$12,0))-MIN(MAX(T664,0),MAX(0,P616-IF($A665&gt;='1-Input'!$C$12,'1-Input'!$B$12,0))))*(1/(1-'P-Parametri'!$B$6*P665))),MAX(0,5*P616-(T664-MIN(MAX(T664,0),MAX(0,P616-IF($A665&gt;='1-Input'!$C$12,'1-Input'!$B$12,0)))))*(1/(1-'P-Parametri'!$B$6*P665))))</f>
        <v>0</v>
      </c>
      <c r="R665" s="18">
        <f>IF($A665&gt;'1-Input'!$B$26,T664,(T664-MAX(0,P616-IF($A665&gt;='1-Input'!$C$12,'1-Input'!$B$12,0))+Q665*(1-'P-Parametri'!$B$6*P665))*(1+'1-Input'!$B$27))</f>
        <v>2208.3901078812632</v>
      </c>
      <c r="S665" s="18">
        <f>IF($A665&gt;'1-Input'!$B$26,U664,(U664-Q665)*(1+$C$4))</f>
        <v>0</v>
      </c>
      <c r="T665" s="18">
        <f>IF($A665&gt;'1-Input'!$B$26,R665,R665-'P-Parametri'!$B$8*(S665+R665)+MIN(MAX(S665,0),'P-Parametri'!$B$8*(S665+R665)))</f>
        <v>2208.3901078812632</v>
      </c>
      <c r="U665" s="18">
        <f>IF($A665&gt;'1-Input'!$B$26,S665,S665-MIN(MAX(S665,0),'P-Parametri'!$B$8*(S665+R665)))</f>
        <v>0</v>
      </c>
      <c r="V665" s="18">
        <f>IF($A665&gt;'1-Input'!$B$26,V664,V664-Q665*(1-P665))</f>
        <v>0</v>
      </c>
      <c r="W665" s="11">
        <f>IF($A665&gt;'1-Input'!$B$26,0,IF(AB664&lt;=0,0,MAX(0,(AB664-AC664)/AB664)))</f>
        <v>0</v>
      </c>
      <c r="X665" s="18">
        <f>IF($A665&gt;'1-Input'!$B$26,0,(MAX(0,W616-IF($A665&gt;='1-Input'!$C$12,'1-Input'!$B$12,0))-MIN(MAX(AA664,0),MAX(0,W616-IF($A665&gt;='1-Input'!$C$12,'1-Input'!$B$12,0))))*(1/(1-'P-Parametri'!$B$6*W665))+MIN(MAX(0,AB664-(MAX(0,W616-IF($A665&gt;='1-Input'!$C$12,'1-Input'!$B$12,0))-MIN(MAX(AA664,0),MAX(0,W616-IF($A665&gt;='1-Input'!$C$12,'1-Input'!$B$12,0))))*(1/(1-'P-Parametri'!$B$6*W665))),MAX(0,5*W616-(AA664-MIN(MAX(AA664,0),MAX(0,W616-IF($A665&gt;='1-Input'!$C$12,'1-Input'!$B$12,0)))))*(1/(1-'P-Parametri'!$B$6*W665))))</f>
        <v>0</v>
      </c>
      <c r="Y665" s="18">
        <f>IF($A665&gt;'1-Input'!$B$26,AA664,(AA664-MAX(0,W616-IF($A665&gt;='1-Input'!$C$12,'1-Input'!$B$12,0))+X665*(1-'P-Parametri'!$B$6*W665))*(1+'1-Input'!$B$27))</f>
        <v>422.01472503073211</v>
      </c>
      <c r="Z665" s="18">
        <f>IF($A665&gt;'1-Input'!$B$26,AB664,(AB664-X665)*(1+$C$4))</f>
        <v>0</v>
      </c>
      <c r="AA665" s="18">
        <f>IF($A665&gt;'1-Input'!$B$26,Y665,Y665-'P-Parametri'!$B$8*(Z665+Y665)+MIN(MAX(Z665,0),'P-Parametri'!$B$8*(Z665+Y665)))</f>
        <v>422.01472503073211</v>
      </c>
      <c r="AB665" s="18">
        <f>IF($A665&gt;'1-Input'!$B$26,Z665,Z665-MIN(MAX(Z665,0),'P-Parametri'!$B$8*(Z665+Y665)))</f>
        <v>0</v>
      </c>
      <c r="AC665" s="18">
        <f>IF($A665&gt;'1-Input'!$B$26,AC664,AC664-X665*(1-W665))</f>
        <v>0</v>
      </c>
      <c r="AD665" s="11">
        <f>IF($A665&gt;'1-Input'!$B$26,0,IF(AI664&lt;=0,0,MAX(0,(AI664-AJ664)/AI664)))</f>
        <v>0</v>
      </c>
      <c r="AE665" s="18">
        <f>IF($A665&gt;'1-Input'!$B$26,0,(MAX(0,AD616-IF($A665&gt;='1-Input'!$C$12,'1-Input'!$B$12,0))-MIN(MAX(AH664,0),MAX(0,AD616-IF($A665&gt;='1-Input'!$C$12,'1-Input'!$B$12,0))))*(1/(1-'P-Parametri'!$B$6*AD665))+MIN(MAX(0,AI664-(MAX(0,AD616-IF($A665&gt;='1-Input'!$C$12,'1-Input'!$B$12,0))-MIN(MAX(AH664,0),MAX(0,AD616-IF($A665&gt;='1-Input'!$C$12,'1-Input'!$B$12,0))))*(1/(1-'P-Parametri'!$B$6*AD665))),MAX(0,5*AD616-(AH664-MIN(MAX(AH664,0),MAX(0,AD616-IF($A665&gt;='1-Input'!$C$12,'1-Input'!$B$12,0)))))*(1/(1-'P-Parametri'!$B$6*AD665))))</f>
        <v>0</v>
      </c>
      <c r="AF665" s="18">
        <f>IF($A665&gt;'1-Input'!$B$26,AH664,(AH664-MAX(0,AD616-IF($A665&gt;='1-Input'!$C$12,'1-Input'!$B$12,0))+AE665*(1-'P-Parametri'!$B$6*AD665))*(1+'1-Input'!$B$27))</f>
        <v>0</v>
      </c>
      <c r="AG665" s="18">
        <f>IF($A665&gt;'1-Input'!$B$26,AI664,(AI664-AE665)*(1+$C$4))</f>
        <v>-34.301477968211373</v>
      </c>
      <c r="AH665" s="18">
        <f>IF($A665&gt;'1-Input'!$B$26,AF665,AF665-'P-Parametri'!$B$8*(AG665+AF665)+MIN(MAX(AG665,0),'P-Parametri'!$B$8*(AG665+AF665)))</f>
        <v>0</v>
      </c>
      <c r="AI665" s="18">
        <f>IF($A665&gt;'1-Input'!$B$26,AG665,AG665-MIN(MAX(AG665,0),'P-Parametri'!$B$8*(AG665+AF665)))</f>
        <v>-34.301477968211373</v>
      </c>
      <c r="AJ665" s="18">
        <f>IF($A665&gt;'1-Input'!$B$26,AJ664,AJ664-AE665*(1-AD665))</f>
        <v>-16.167221861635426</v>
      </c>
      <c r="AK665" s="11">
        <f>IF($A665&gt;'1-Input'!$B$26,0,IF(AP664&lt;=0,0,MAX(0,(AP664-AQ664)/AP664)))</f>
        <v>0</v>
      </c>
      <c r="AL665" s="18">
        <f>IF($A665&gt;'1-Input'!$B$26,0,(MAX(0,AK616-IF($A665&gt;='1-Input'!$C$12,'1-Input'!$B$12,0))-MIN(MAX(AO664,0),MAX(0,AK616-IF($A665&gt;='1-Input'!$C$12,'1-Input'!$B$12,0))))*(1/(1-'P-Parametri'!$B$6*AK665))+MIN(MAX(0,AP664-(MAX(0,AK616-IF($A665&gt;='1-Input'!$C$12,'1-Input'!$B$12,0))-MIN(MAX(AO664,0),MAX(0,AK616-IF($A665&gt;='1-Input'!$C$12,'1-Input'!$B$12,0))))*(1/(1-'P-Parametri'!$B$6*AK665))),MAX(0,5*AK616-(AO664-MIN(MAX(AO664,0),MAX(0,AK616-IF($A665&gt;='1-Input'!$C$12,'1-Input'!$B$12,0)))))*(1/(1-'P-Parametri'!$B$6*AK665))))</f>
        <v>0</v>
      </c>
      <c r="AM665" s="18">
        <f>IF($A665&gt;'1-Input'!$B$26,AO664,(AO664-MAX(0,AK616-IF($A665&gt;='1-Input'!$C$12,'1-Input'!$B$12,0))+AL665*(1-'P-Parametri'!$B$6*AK665))*(1+'1-Input'!$B$27))</f>
        <v>3.9361546987767024</v>
      </c>
      <c r="AN665" s="18">
        <f>IF($A665&gt;'1-Input'!$B$26,AP664,(AP664-AL665)*(1+$C$4))</f>
        <v>0</v>
      </c>
      <c r="AO665" s="18">
        <f>IF($A665&gt;'1-Input'!$B$26,AM665,AM665-'P-Parametri'!$B$8*(AN665+AM665)+MIN(MAX(AN665,0),'P-Parametri'!$B$8*(AN665+AM665)))</f>
        <v>3.9361546987767024</v>
      </c>
      <c r="AP665" s="18">
        <f>IF($A665&gt;'1-Input'!$B$26,AN665,AN665-MIN(MAX(AN665,0),'P-Parametri'!$B$8*(AN665+AM665)))</f>
        <v>0</v>
      </c>
      <c r="AQ665" s="18">
        <f>IF($A665&gt;'1-Input'!$B$26,AQ664,AQ664-AL665*(1-AK665))</f>
        <v>29.988973806301601</v>
      </c>
    </row>
    <row r="666" spans="1:43">
      <c r="A666" s="10">
        <f>48</f>
        <v>48</v>
      </c>
      <c r="B666" s="11">
        <f>IF($A666&gt;'1-Input'!$B$26,0,IF(G665&lt;=0,0,MAX(0,(G665-H665)/G665)))</f>
        <v>0</v>
      </c>
      <c r="C666" s="18">
        <f>IF($A666&gt;'1-Input'!$B$26,0,(MAX(0,B616-IF($A666&gt;='1-Input'!$C$12,'1-Input'!$B$12,0))-MIN(MAX(F665,0),MAX(0,B616-IF($A666&gt;='1-Input'!$C$12,'1-Input'!$B$12,0))))*(1/(1-'P-Parametri'!$B$6*B666))+MIN(MAX(0,G665-(MAX(0,B616-IF($A666&gt;='1-Input'!$C$12,'1-Input'!$B$12,0))-MIN(MAX(F665,0),MAX(0,B616-IF($A666&gt;='1-Input'!$C$12,'1-Input'!$B$12,0))))*(1/(1-'P-Parametri'!$B$6*B666))),MAX(0,5*B616-(F665-MIN(MAX(F665,0),MAX(0,B616-IF($A666&gt;='1-Input'!$C$12,'1-Input'!$B$12,0)))))*(1/(1-'P-Parametri'!$B$6*B666))))</f>
        <v>0</v>
      </c>
      <c r="D666" s="18">
        <f>IF($A666&gt;'1-Input'!$B$26,F665,(F665-MAX(0,B616-IF($A666&gt;='1-Input'!$C$12,'1-Input'!$B$12,0))+C666*(1-'P-Parametri'!$B$6*B666))*(1+'1-Input'!$B$27))</f>
        <v>13108.495399252988</v>
      </c>
      <c r="E666" s="18">
        <f>IF($A666&gt;'1-Input'!$B$26,G665,(G665-C666)*(1+$C$4))</f>
        <v>0</v>
      </c>
      <c r="F666" s="18">
        <f>IF($A666&gt;'1-Input'!$B$26,D666,D666-'P-Parametri'!$B$8*(E666+D666)+MIN(MAX(E666,0),'P-Parametri'!$B$8*(E666+D666)))</f>
        <v>13108.495399252988</v>
      </c>
      <c r="G666" s="18">
        <f>IF($A666&gt;'1-Input'!$B$26,E666,E666-MIN(MAX(E666,0),'P-Parametri'!$B$8*(E666+D666)))</f>
        <v>0</v>
      </c>
      <c r="H666" s="18">
        <f>IF($A666&gt;'1-Input'!$B$26,H665,H665-C666*(1-B666))</f>
        <v>48.748427721451208</v>
      </c>
      <c r="I666" s="11">
        <f>IF($A666&gt;'1-Input'!$B$26,0,IF(N665&lt;=0,0,MAX(0,(N665-O665)/N665)))</f>
        <v>0</v>
      </c>
      <c r="J666" s="18">
        <f>IF($A666&gt;'1-Input'!$B$26,0,(MAX(0,I616-IF($A666&gt;='1-Input'!$C$12,'1-Input'!$B$12,0))-MIN(MAX(M665,0),MAX(0,I616-IF($A666&gt;='1-Input'!$C$12,'1-Input'!$B$12,0))))*(1/(1-'P-Parametri'!$B$6*I666))+MIN(MAX(0,N665-(MAX(0,I616-IF($A666&gt;='1-Input'!$C$12,'1-Input'!$B$12,0))-MIN(MAX(M665,0),MAX(0,I616-IF($A666&gt;='1-Input'!$C$12,'1-Input'!$B$12,0))))*(1/(1-'P-Parametri'!$B$6*I666))),MAX(0,5*I616-(M665-MIN(MAX(M665,0),MAX(0,I616-IF($A666&gt;='1-Input'!$C$12,'1-Input'!$B$12,0)))))*(1/(1-'P-Parametri'!$B$6*I666))))</f>
        <v>0</v>
      </c>
      <c r="K666" s="18">
        <f>IF($A666&gt;'1-Input'!$B$26,M665,(M665-MAX(0,I616-IF($A666&gt;='1-Input'!$C$12,'1-Input'!$B$12,0))+J666*(1-'P-Parametri'!$B$6*I666))*(1+'1-Input'!$B$27))</f>
        <v>0</v>
      </c>
      <c r="L666" s="18">
        <f>IF($A666&gt;'1-Input'!$B$26,N665,(N665-J666)*(1+$C$4))</f>
        <v>-386019.25394331414</v>
      </c>
      <c r="M666" s="18">
        <f>IF($A666&gt;'1-Input'!$B$26,K666,K666-'P-Parametri'!$B$8*(L666+K666)+MIN(MAX(L666,0),'P-Parametri'!$B$8*(L666+K666)))</f>
        <v>0</v>
      </c>
      <c r="N666" s="18">
        <f>IF($A666&gt;'1-Input'!$B$26,L666,L666-MIN(MAX(L666,0),'P-Parametri'!$B$8*(L666+K666)))</f>
        <v>-386019.25394331414</v>
      </c>
      <c r="O666" s="18">
        <f>IF($A666&gt;'1-Input'!$B$26,O665,O665-J666*(1-I666))</f>
        <v>-266477.29648420605</v>
      </c>
      <c r="P666" s="11">
        <f>IF($A666&gt;'1-Input'!$B$26,0,IF(U665&lt;=0,0,MAX(0,(U665-V665)/U665)))</f>
        <v>0</v>
      </c>
      <c r="Q666" s="18">
        <f>IF($A666&gt;'1-Input'!$B$26,0,(MAX(0,P616-IF($A666&gt;='1-Input'!$C$12,'1-Input'!$B$12,0))-MIN(MAX(T665,0),MAX(0,P616-IF($A666&gt;='1-Input'!$C$12,'1-Input'!$B$12,0))))*(1/(1-'P-Parametri'!$B$6*P666))+MIN(MAX(0,U665-(MAX(0,P616-IF($A666&gt;='1-Input'!$C$12,'1-Input'!$B$12,0))-MIN(MAX(T665,0),MAX(0,P616-IF($A666&gt;='1-Input'!$C$12,'1-Input'!$B$12,0))))*(1/(1-'P-Parametri'!$B$6*P666))),MAX(0,5*P616-(T665-MIN(MAX(T665,0),MAX(0,P616-IF($A666&gt;='1-Input'!$C$12,'1-Input'!$B$12,0)))))*(1/(1-'P-Parametri'!$B$6*P666))))</f>
        <v>0</v>
      </c>
      <c r="R666" s="18">
        <f>IF($A666&gt;'1-Input'!$B$26,T665,(T665-MAX(0,P616-IF($A666&gt;='1-Input'!$C$12,'1-Input'!$B$12,0))+Q666*(1-'P-Parametri'!$B$6*P666))*(1+'1-Input'!$B$27))</f>
        <v>2208.3901078812632</v>
      </c>
      <c r="S666" s="18">
        <f>IF($A666&gt;'1-Input'!$B$26,U665,(U665-Q666)*(1+$C$4))</f>
        <v>0</v>
      </c>
      <c r="T666" s="18">
        <f>IF($A666&gt;'1-Input'!$B$26,R666,R666-'P-Parametri'!$B$8*(S666+R666)+MIN(MAX(S666,0),'P-Parametri'!$B$8*(S666+R666)))</f>
        <v>2208.3901078812632</v>
      </c>
      <c r="U666" s="18">
        <f>IF($A666&gt;'1-Input'!$B$26,S666,S666-MIN(MAX(S666,0),'P-Parametri'!$B$8*(S666+R666)))</f>
        <v>0</v>
      </c>
      <c r="V666" s="18">
        <f>IF($A666&gt;'1-Input'!$B$26,V665,V665-Q666*(1-P666))</f>
        <v>0</v>
      </c>
      <c r="W666" s="11">
        <f>IF($A666&gt;'1-Input'!$B$26,0,IF(AB665&lt;=0,0,MAX(0,(AB665-AC665)/AB665)))</f>
        <v>0</v>
      </c>
      <c r="X666" s="18">
        <f>IF($A666&gt;'1-Input'!$B$26,0,(MAX(0,W616-IF($A666&gt;='1-Input'!$C$12,'1-Input'!$B$12,0))-MIN(MAX(AA665,0),MAX(0,W616-IF($A666&gt;='1-Input'!$C$12,'1-Input'!$B$12,0))))*(1/(1-'P-Parametri'!$B$6*W666))+MIN(MAX(0,AB665-(MAX(0,W616-IF($A666&gt;='1-Input'!$C$12,'1-Input'!$B$12,0))-MIN(MAX(AA665,0),MAX(0,W616-IF($A666&gt;='1-Input'!$C$12,'1-Input'!$B$12,0))))*(1/(1-'P-Parametri'!$B$6*W666))),MAX(0,5*W616-(AA665-MIN(MAX(AA665,0),MAX(0,W616-IF($A666&gt;='1-Input'!$C$12,'1-Input'!$B$12,0)))))*(1/(1-'P-Parametri'!$B$6*W666))))</f>
        <v>0</v>
      </c>
      <c r="Y666" s="18">
        <f>IF($A666&gt;'1-Input'!$B$26,AA665,(AA665-MAX(0,W616-IF($A666&gt;='1-Input'!$C$12,'1-Input'!$B$12,0))+X666*(1-'P-Parametri'!$B$6*W666))*(1+'1-Input'!$B$27))</f>
        <v>422.01472503073211</v>
      </c>
      <c r="Z666" s="18">
        <f>IF($A666&gt;'1-Input'!$B$26,AB665,(AB665-X666)*(1+$C$4))</f>
        <v>0</v>
      </c>
      <c r="AA666" s="18">
        <f>IF($A666&gt;'1-Input'!$B$26,Y666,Y666-'P-Parametri'!$B$8*(Z666+Y666)+MIN(MAX(Z666,0),'P-Parametri'!$B$8*(Z666+Y666)))</f>
        <v>422.01472503073211</v>
      </c>
      <c r="AB666" s="18">
        <f>IF($A666&gt;'1-Input'!$B$26,Z666,Z666-MIN(MAX(Z666,0),'P-Parametri'!$B$8*(Z666+Y666)))</f>
        <v>0</v>
      </c>
      <c r="AC666" s="18">
        <f>IF($A666&gt;'1-Input'!$B$26,AC665,AC665-X666*(1-W666))</f>
        <v>0</v>
      </c>
      <c r="AD666" s="11">
        <f>IF($A666&gt;'1-Input'!$B$26,0,IF(AI665&lt;=0,0,MAX(0,(AI665-AJ665)/AI665)))</f>
        <v>0</v>
      </c>
      <c r="AE666" s="18">
        <f>IF($A666&gt;'1-Input'!$B$26,0,(MAX(0,AD616-IF($A666&gt;='1-Input'!$C$12,'1-Input'!$B$12,0))-MIN(MAX(AH665,0),MAX(0,AD616-IF($A666&gt;='1-Input'!$C$12,'1-Input'!$B$12,0))))*(1/(1-'P-Parametri'!$B$6*AD666))+MIN(MAX(0,AI665-(MAX(0,AD616-IF($A666&gt;='1-Input'!$C$12,'1-Input'!$B$12,0))-MIN(MAX(AH665,0),MAX(0,AD616-IF($A666&gt;='1-Input'!$C$12,'1-Input'!$B$12,0))))*(1/(1-'P-Parametri'!$B$6*AD666))),MAX(0,5*AD616-(AH665-MIN(MAX(AH665,0),MAX(0,AD616-IF($A666&gt;='1-Input'!$C$12,'1-Input'!$B$12,0)))))*(1/(1-'P-Parametri'!$B$6*AD666))))</f>
        <v>0</v>
      </c>
      <c r="AF666" s="18">
        <f>IF($A666&gt;'1-Input'!$B$26,AH665,(AH665-MAX(0,AD616-IF($A666&gt;='1-Input'!$C$12,'1-Input'!$B$12,0))+AE666*(1-'P-Parametri'!$B$6*AD666))*(1+'1-Input'!$B$27))</f>
        <v>0</v>
      </c>
      <c r="AG666" s="18">
        <f>IF($A666&gt;'1-Input'!$B$26,AI665,(AI665-AE666)*(1+$C$4))</f>
        <v>-34.301477968211373</v>
      </c>
      <c r="AH666" s="18">
        <f>IF($A666&gt;'1-Input'!$B$26,AF666,AF666-'P-Parametri'!$B$8*(AG666+AF666)+MIN(MAX(AG666,0),'P-Parametri'!$B$8*(AG666+AF666)))</f>
        <v>0</v>
      </c>
      <c r="AI666" s="18">
        <f>IF($A666&gt;'1-Input'!$B$26,AG666,AG666-MIN(MAX(AG666,0),'P-Parametri'!$B$8*(AG666+AF666)))</f>
        <v>-34.301477968211373</v>
      </c>
      <c r="AJ666" s="18">
        <f>IF($A666&gt;'1-Input'!$B$26,AJ665,AJ665-AE666*(1-AD666))</f>
        <v>-16.167221861635426</v>
      </c>
      <c r="AK666" s="11">
        <f>IF($A666&gt;'1-Input'!$B$26,0,IF(AP665&lt;=0,0,MAX(0,(AP665-AQ665)/AP665)))</f>
        <v>0</v>
      </c>
      <c r="AL666" s="18">
        <f>IF($A666&gt;'1-Input'!$B$26,0,(MAX(0,AK616-IF($A666&gt;='1-Input'!$C$12,'1-Input'!$B$12,0))-MIN(MAX(AO665,0),MAX(0,AK616-IF($A666&gt;='1-Input'!$C$12,'1-Input'!$B$12,0))))*(1/(1-'P-Parametri'!$B$6*AK666))+MIN(MAX(0,AP665-(MAX(0,AK616-IF($A666&gt;='1-Input'!$C$12,'1-Input'!$B$12,0))-MIN(MAX(AO665,0),MAX(0,AK616-IF($A666&gt;='1-Input'!$C$12,'1-Input'!$B$12,0))))*(1/(1-'P-Parametri'!$B$6*AK666))),MAX(0,5*AK616-(AO665-MIN(MAX(AO665,0),MAX(0,AK616-IF($A666&gt;='1-Input'!$C$12,'1-Input'!$B$12,0)))))*(1/(1-'P-Parametri'!$B$6*AK666))))</f>
        <v>0</v>
      </c>
      <c r="AM666" s="18">
        <f>IF($A666&gt;'1-Input'!$B$26,AO665,(AO665-MAX(0,AK616-IF($A666&gt;='1-Input'!$C$12,'1-Input'!$B$12,0))+AL666*(1-'P-Parametri'!$B$6*AK666))*(1+'1-Input'!$B$27))</f>
        <v>3.9361546987767024</v>
      </c>
      <c r="AN666" s="18">
        <f>IF($A666&gt;'1-Input'!$B$26,AP665,(AP665-AL666)*(1+$C$4))</f>
        <v>0</v>
      </c>
      <c r="AO666" s="18">
        <f>IF($A666&gt;'1-Input'!$B$26,AM666,AM666-'P-Parametri'!$B$8*(AN666+AM666)+MIN(MAX(AN666,0),'P-Parametri'!$B$8*(AN666+AM666)))</f>
        <v>3.9361546987767024</v>
      </c>
      <c r="AP666" s="18">
        <f>IF($A666&gt;'1-Input'!$B$26,AN666,AN666-MIN(MAX(AN666,0),'P-Parametri'!$B$8*(AN666+AM666)))</f>
        <v>0</v>
      </c>
      <c r="AQ666" s="18">
        <f>IF($A666&gt;'1-Input'!$B$26,AQ665,AQ665-AL666*(1-AK666))</f>
        <v>29.988973806301601</v>
      </c>
    </row>
    <row r="667" spans="1:43">
      <c r="A667" s="4" t="s">
        <v>365</v>
      </c>
      <c r="B667" s="18">
        <f>F666+G666</f>
        <v>13108.495399252988</v>
      </c>
      <c r="I667" s="18">
        <f>M666+N666</f>
        <v>-386019.25394331414</v>
      </c>
      <c r="P667" s="18">
        <f>T666+U666</f>
        <v>2208.3901078812632</v>
      </c>
      <c r="W667" s="18">
        <f>AA666+AB666</f>
        <v>422.01472503073211</v>
      </c>
      <c r="AD667" s="18">
        <f>AH666+AI666</f>
        <v>-34.301477968211373</v>
      </c>
      <c r="AK667" s="18">
        <f>AO666+AP666</f>
        <v>3.9361546987767024</v>
      </c>
    </row>
    <row r="668" spans="1:43">
      <c r="A668" s="5" t="s">
        <v>266</v>
      </c>
      <c r="B668" s="18">
        <f>IFERROR(AK616-AK667*(AK616-AD616)/(AK667-AD667),AK616)</f>
        <v>16889.427030002513</v>
      </c>
    </row>
    <row r="670" spans="1:43">
      <c r="A670" s="2" t="s">
        <v>375</v>
      </c>
    </row>
    <row r="671" spans="1:43">
      <c r="A671" s="4" t="s">
        <v>360</v>
      </c>
      <c r="B671" s="9">
        <f>0.038*'2-Caso'!$B$12</f>
        <v>16681.055314625803</v>
      </c>
      <c r="I671" s="9">
        <f>0.05*'2-Caso'!$B$12</f>
        <v>21948.756992928691</v>
      </c>
      <c r="P671" s="18">
        <f>IFERROR(I671-I722*(I671-B671)/(I722-B722),I671)</f>
        <v>20894.097247593611</v>
      </c>
      <c r="W671" s="18">
        <f>IFERROR(P671-P722*(P671-I671)/(P722-I722),P671)</f>
        <v>20683.25799532664</v>
      </c>
      <c r="AD671" s="18">
        <f>IFERROR(W671-W722*(W671-P671)/(W722-P722),W671)</f>
        <v>20685.273597116848</v>
      </c>
      <c r="AK671" s="18">
        <f>IFERROR(AD671-AD722*(AD671-W671)/(AD722-W722),AD671)</f>
        <v>20684.869773408609</v>
      </c>
    </row>
    <row r="672" spans="1:43" ht="45">
      <c r="A672" s="25" t="s">
        <v>262</v>
      </c>
      <c r="B672" s="25" t="s">
        <v>361</v>
      </c>
      <c r="C672" s="25" t="s">
        <v>263</v>
      </c>
      <c r="D672" s="25" t="s">
        <v>362</v>
      </c>
      <c r="E672" s="25" t="s">
        <v>363</v>
      </c>
      <c r="F672" s="25" t="s">
        <v>264</v>
      </c>
      <c r="G672" s="25" t="s">
        <v>265</v>
      </c>
      <c r="H672" s="25" t="s">
        <v>364</v>
      </c>
      <c r="I672" s="25" t="s">
        <v>361</v>
      </c>
      <c r="J672" s="25" t="s">
        <v>263</v>
      </c>
      <c r="K672" s="25" t="s">
        <v>362</v>
      </c>
      <c r="L672" s="25" t="s">
        <v>363</v>
      </c>
      <c r="M672" s="25" t="s">
        <v>264</v>
      </c>
      <c r="N672" s="25" t="s">
        <v>265</v>
      </c>
      <c r="O672" s="25" t="s">
        <v>364</v>
      </c>
      <c r="P672" s="25" t="s">
        <v>361</v>
      </c>
      <c r="Q672" s="25" t="s">
        <v>263</v>
      </c>
      <c r="R672" s="25" t="s">
        <v>362</v>
      </c>
      <c r="S672" s="25" t="s">
        <v>363</v>
      </c>
      <c r="T672" s="25" t="s">
        <v>264</v>
      </c>
      <c r="U672" s="25" t="s">
        <v>265</v>
      </c>
      <c r="V672" s="25" t="s">
        <v>364</v>
      </c>
      <c r="W672" s="25" t="s">
        <v>361</v>
      </c>
      <c r="X672" s="25" t="s">
        <v>263</v>
      </c>
      <c r="Y672" s="25" t="s">
        <v>362</v>
      </c>
      <c r="Z672" s="25" t="s">
        <v>363</v>
      </c>
      <c r="AA672" s="25" t="s">
        <v>264</v>
      </c>
      <c r="AB672" s="25" t="s">
        <v>265</v>
      </c>
      <c r="AC672" s="25" t="s">
        <v>364</v>
      </c>
      <c r="AD672" s="25" t="s">
        <v>361</v>
      </c>
      <c r="AE672" s="25" t="s">
        <v>263</v>
      </c>
      <c r="AF672" s="25" t="s">
        <v>362</v>
      </c>
      <c r="AG672" s="25" t="s">
        <v>363</v>
      </c>
      <c r="AH672" s="25" t="s">
        <v>264</v>
      </c>
      <c r="AI672" s="25" t="s">
        <v>265</v>
      </c>
      <c r="AJ672" s="25" t="s">
        <v>364</v>
      </c>
      <c r="AK672" s="25" t="s">
        <v>361</v>
      </c>
      <c r="AL672" s="25" t="s">
        <v>263</v>
      </c>
      <c r="AM672" s="25" t="s">
        <v>362</v>
      </c>
      <c r="AN672" s="25" t="s">
        <v>363</v>
      </c>
      <c r="AO672" s="25" t="s">
        <v>264</v>
      </c>
      <c r="AP672" s="25" t="s">
        <v>265</v>
      </c>
      <c r="AQ672" s="25" t="s">
        <v>364</v>
      </c>
    </row>
    <row r="673" spans="1:43">
      <c r="A673" s="3">
        <v>0</v>
      </c>
      <c r="F673" s="18">
        <f>MIN(0*B671,'2-Caso'!$B$12)</f>
        <v>0</v>
      </c>
      <c r="G673" s="18">
        <f>'2-Caso'!$B$12-F673</f>
        <v>438975.13985857379</v>
      </c>
      <c r="H673" s="18">
        <f>'2-Caso'!$B$13*G673/'2-Caso'!$B$12</f>
        <v>344000</v>
      </c>
      <c r="M673" s="18">
        <f>MIN(0*I671,'2-Caso'!$B$12)</f>
        <v>0</v>
      </c>
      <c r="N673" s="18">
        <f>'2-Caso'!$B$12-M673</f>
        <v>438975.13985857379</v>
      </c>
      <c r="O673" s="18">
        <f>'2-Caso'!$B$13*N673/'2-Caso'!$B$12</f>
        <v>344000</v>
      </c>
      <c r="T673" s="18">
        <f>MIN(0*P671,'2-Caso'!$B$12)</f>
        <v>0</v>
      </c>
      <c r="U673" s="18">
        <f>'2-Caso'!$B$12-T673</f>
        <v>438975.13985857379</v>
      </c>
      <c r="V673" s="18">
        <f>'2-Caso'!$B$13*U673/'2-Caso'!$B$12</f>
        <v>344000</v>
      </c>
      <c r="AA673" s="18">
        <f>MIN(0*W671,'2-Caso'!$B$12)</f>
        <v>0</v>
      </c>
      <c r="AB673" s="18">
        <f>'2-Caso'!$B$12-AA673</f>
        <v>438975.13985857379</v>
      </c>
      <c r="AC673" s="18">
        <f>'2-Caso'!$B$13*AB673/'2-Caso'!$B$12</f>
        <v>344000</v>
      </c>
      <c r="AH673" s="18">
        <f>MIN(0*AD671,'2-Caso'!$B$12)</f>
        <v>0</v>
      </c>
      <c r="AI673" s="18">
        <f>'2-Caso'!$B$12-AH673</f>
        <v>438975.13985857379</v>
      </c>
      <c r="AJ673" s="18">
        <f>'2-Caso'!$B$13*AI673/'2-Caso'!$B$12</f>
        <v>344000</v>
      </c>
      <c r="AO673" s="18">
        <f>MIN(0*AK671,'2-Caso'!$B$12)</f>
        <v>0</v>
      </c>
      <c r="AP673" s="18">
        <f>'2-Caso'!$B$12-AO673</f>
        <v>438975.13985857379</v>
      </c>
      <c r="AQ673" s="18">
        <f>'2-Caso'!$B$13*AP673/'2-Caso'!$B$12</f>
        <v>344000</v>
      </c>
    </row>
    <row r="674" spans="1:43">
      <c r="A674" s="10">
        <f>1</f>
        <v>1</v>
      </c>
      <c r="B674" s="11">
        <f>IF($A674&gt;'1-Input'!$B$26,0,IF(G673&lt;=0,0,MAX(0,(G673-H673)/G673)))</f>
        <v>0.21635653419729481</v>
      </c>
      <c r="C674" s="18">
        <f>IF($A674&gt;'1-Input'!$B$26,0,(MAX(0,B671-IF($A674&gt;='1-Input'!$C$12,'1-Input'!$B$12,0))-MIN(MAX(F673,0),MAX(0,B671-IF($A674&gt;='1-Input'!$C$12,'1-Input'!$B$12,0))))*(1/(1-'P-Parametri'!$B$6*B674))+MIN(MAX(0,G673-(MAX(0,B671-IF($A674&gt;='1-Input'!$C$12,'1-Input'!$B$12,0))-MIN(MAX(F673,0),MAX(0,B671-IF($A674&gt;='1-Input'!$C$12,'1-Input'!$B$12,0))))*(1/(1-'P-Parametri'!$B$6*B674))),MAX(0,0*B671-(F673-MIN(MAX(F673,0),MAX(0,B671-IF($A674&gt;='1-Input'!$C$12,'1-Input'!$B$12,0)))))*(1/(1-'P-Parametri'!$B$6*B674))))</f>
        <v>17675.340946701614</v>
      </c>
      <c r="D674" s="18">
        <f>IF($A674&gt;'1-Input'!$B$26,F673,(F673-MAX(0,B671-IF($A674&gt;='1-Input'!$C$12,'1-Input'!$B$12,0))+C674*(1-'P-Parametri'!$B$6*B674))*(1+'1-Input'!$B$27))</f>
        <v>-3.6248820833861826E-12</v>
      </c>
      <c r="E674" s="18">
        <f>IF($A674&gt;'1-Input'!$B$26,G673,(G673-C674)*(1+$D$4))</f>
        <v>438151.7908683471</v>
      </c>
      <c r="F674" s="18">
        <f>IF($A674&gt;'1-Input'!$B$26,D674,D674-'P-Parametri'!$B$8*(E674+D674)+MIN(MAX(E674,0),'P-Parametri'!$B$8*(E674+D674)))</f>
        <v>-3.637978807091713E-12</v>
      </c>
      <c r="G674" s="18">
        <f>IF($A674&gt;'1-Input'!$B$26,E674,E674-MIN(MAX(E674,0),'P-Parametri'!$B$8*(E674+D674)))</f>
        <v>437275.48728661041</v>
      </c>
      <c r="H674" s="18">
        <f>IF($A674&gt;'1-Input'!$B$26,H673,H673-C674*(1-B674))</f>
        <v>330148.8345612823</v>
      </c>
      <c r="I674" s="11">
        <f>IF($A674&gt;'1-Input'!$B$26,0,IF(N673&lt;=0,0,MAX(0,(N673-O673)/N673)))</f>
        <v>0.21635653419729481</v>
      </c>
      <c r="J674" s="18">
        <f>IF($A674&gt;'1-Input'!$B$26,0,(MAX(0,I671-IF($A674&gt;='1-Input'!$C$12,'1-Input'!$B$12,0))-MIN(MAX(M673,0),MAX(0,I671-IF($A674&gt;='1-Input'!$C$12,'1-Input'!$B$12,0))))*(1/(1-'P-Parametri'!$B$6*I674))+MIN(MAX(0,N673-(MAX(0,I671-IF($A674&gt;='1-Input'!$C$12,'1-Input'!$B$12,0))-MIN(MAX(M673,0),MAX(0,I671-IF($A674&gt;='1-Input'!$C$12,'1-Input'!$B$12,0))))*(1/(1-'P-Parametri'!$B$6*I674))),MAX(0,0*I671-(M673-MIN(MAX(M673,0),MAX(0,I671-IF($A674&gt;='1-Input'!$C$12,'1-Input'!$B$12,0)))))*(1/(1-'P-Parametri'!$B$6*I674))))</f>
        <v>23257.027561449497</v>
      </c>
      <c r="K674" s="18">
        <f>IF($A674&gt;'1-Input'!$B$26,M673,(M673-MAX(0,I671-IF($A674&gt;='1-Input'!$C$12,'1-Input'!$B$12,0))+J674*(1-'P-Parametri'!$B$6*I674))*(1+'1-Input'!$B$27))</f>
        <v>0</v>
      </c>
      <c r="L674" s="18">
        <f>IF($A674&gt;'1-Input'!$B$26,N673,(N673-J674)*(1+$D$4))</f>
        <v>432346.83678900928</v>
      </c>
      <c r="M674" s="18">
        <f>IF($A674&gt;'1-Input'!$B$26,K674,K674-'P-Parametri'!$B$8*(L674+K674)+MIN(MAX(L674,0),'P-Parametri'!$B$8*(L674+K674)))</f>
        <v>0</v>
      </c>
      <c r="N674" s="18">
        <f>IF($A674&gt;'1-Input'!$B$26,L674,L674-MIN(MAX(L674,0),'P-Parametri'!$B$8*(L674+K674)))</f>
        <v>431482.14311543124</v>
      </c>
      <c r="O674" s="18">
        <f>IF($A674&gt;'1-Input'!$B$26,O673,O673-J674*(1-I674))</f>
        <v>325774.7823174767</v>
      </c>
      <c r="P674" s="11">
        <f>IF($A674&gt;'1-Input'!$B$26,0,IF(U673&lt;=0,0,MAX(0,(U673-V673)/U673)))</f>
        <v>0.21635653419729481</v>
      </c>
      <c r="Q674" s="18">
        <f>IF($A674&gt;'1-Input'!$B$26,0,(MAX(0,P671-IF($A674&gt;='1-Input'!$C$12,'1-Input'!$B$12,0))-MIN(MAX(T673,0),MAX(0,P671-IF($A674&gt;='1-Input'!$C$12,'1-Input'!$B$12,0))))*(1/(1-'P-Parametri'!$B$6*P674))+MIN(MAX(0,U673-(MAX(0,P671-IF($A674&gt;='1-Input'!$C$12,'1-Input'!$B$12,0))-MIN(MAX(T673,0),MAX(0,P671-IF($A674&gt;='1-Input'!$C$12,'1-Input'!$B$12,0))))*(1/(1-'P-Parametri'!$B$6*P674))),MAX(0,0*P671-(T673-MIN(MAX(T673,0),MAX(0,P671-IF($A674&gt;='1-Input'!$C$12,'1-Input'!$B$12,0)))))*(1/(1-'P-Parametri'!$B$6*P674))))</f>
        <v>22139.504105651449</v>
      </c>
      <c r="R674" s="18">
        <f>IF($A674&gt;'1-Input'!$B$26,T673,(T673-MAX(0,P671-IF($A674&gt;='1-Input'!$C$12,'1-Input'!$B$12,0))+Q674*(1-'P-Parametri'!$B$6*P674))*(1+'1-Input'!$B$27))</f>
        <v>0</v>
      </c>
      <c r="S674" s="18">
        <f>IF($A674&gt;'1-Input'!$B$26,U673,(U673-Q674)*(1+$D$4))</f>
        <v>433509.06118303922</v>
      </c>
      <c r="T674" s="18">
        <f>IF($A674&gt;'1-Input'!$B$26,R674,R674-'P-Parametri'!$B$8*(S674+R674)+MIN(MAX(S674,0),'P-Parametri'!$B$8*(S674+R674)))</f>
        <v>0</v>
      </c>
      <c r="U674" s="18">
        <f>IF($A674&gt;'1-Input'!$B$26,S674,S674-MIN(MAX(S674,0),'P-Parametri'!$B$8*(S674+R674)))</f>
        <v>432642.04306067311</v>
      </c>
      <c r="V674" s="18">
        <f>IF($A674&gt;'1-Input'!$B$26,V673,V673-Q674*(1-P674))</f>
        <v>326650.52227149409</v>
      </c>
      <c r="W674" s="11">
        <f>IF($A674&gt;'1-Input'!$B$26,0,IF(AB673&lt;=0,0,MAX(0,(AB673-AC673)/AB673)))</f>
        <v>0.21635653419729481</v>
      </c>
      <c r="X674" s="18">
        <f>IF($A674&gt;'1-Input'!$B$26,0,(MAX(0,W671-IF($A674&gt;='1-Input'!$C$12,'1-Input'!$B$12,0))-MIN(MAX(AA673,0),MAX(0,W671-IF($A674&gt;='1-Input'!$C$12,'1-Input'!$B$12,0))))*(1/(1-'P-Parametri'!$B$6*W674))+MIN(MAX(0,AB673-(MAX(0,W671-IF($A674&gt;='1-Input'!$C$12,'1-Input'!$B$12,0))-MIN(MAX(AA673,0),MAX(0,W671-IF($A674&gt;='1-Input'!$C$12,'1-Input'!$B$12,0))))*(1/(1-'P-Parametri'!$B$6*W674))),MAX(0,0*W671-(AA673-MIN(MAX(AA673,0),MAX(0,W671-IF($A674&gt;='1-Input'!$C$12,'1-Input'!$B$12,0)))))*(1/(1-'P-Parametri'!$B$6*W674))))</f>
        <v>21916.097636547609</v>
      </c>
      <c r="Y674" s="18">
        <f>IF($A674&gt;'1-Input'!$B$26,AA673,(AA673-MAX(0,W671-IF($A674&gt;='1-Input'!$C$12,'1-Input'!$B$12,0))+X674*(1-'P-Parametri'!$B$6*W674))*(1+'1-Input'!$B$27))</f>
        <v>-3.6248820833861826E-12</v>
      </c>
      <c r="Z674" s="18">
        <f>IF($A674&gt;'1-Input'!$B$26,AB673,(AB673-X674)*(1+$D$4))</f>
        <v>433741.40391090722</v>
      </c>
      <c r="AA674" s="18">
        <f>IF($A674&gt;'1-Input'!$B$26,Y674,Y674-'P-Parametri'!$B$8*(Z674+Y674)+MIN(MAX(Z674,0),'P-Parametri'!$B$8*(Z674+Y674)))</f>
        <v>-3.637978807091713E-12</v>
      </c>
      <c r="AB674" s="18">
        <f>IF($A674&gt;'1-Input'!$B$26,Z674,Z674-MIN(MAX(Z674,0),'P-Parametri'!$B$8*(Z674+Y674)))</f>
        <v>432873.92110308539</v>
      </c>
      <c r="AC674" s="18">
        <f>IF($A674&gt;'1-Input'!$B$26,AC673,AC673-X674*(1-W674))</f>
        <v>326825.59329122538</v>
      </c>
      <c r="AD674" s="11">
        <f>IF($A674&gt;'1-Input'!$B$26,0,IF(AI673&lt;=0,0,MAX(0,(AI673-AJ673)/AI673)))</f>
        <v>0.21635653419729481</v>
      </c>
      <c r="AE674" s="18">
        <f>IF($A674&gt;'1-Input'!$B$26,0,(MAX(0,AD671-IF($A674&gt;='1-Input'!$C$12,'1-Input'!$B$12,0))-MIN(MAX(AH673,0),MAX(0,AD671-IF($A674&gt;='1-Input'!$C$12,'1-Input'!$B$12,0))))*(1/(1-'P-Parametri'!$B$6*AD674))+MIN(MAX(0,AI673-(MAX(0,AD671-IF($A674&gt;='1-Input'!$C$12,'1-Input'!$B$12,0))-MIN(MAX(AH673,0),MAX(0,AD671-IF($A674&gt;='1-Input'!$C$12,'1-Input'!$B$12,0))))*(1/(1-'P-Parametri'!$B$6*AD674))),MAX(0,0*AD671-(AH673-MIN(MAX(AH673,0),MAX(0,AD671-IF($A674&gt;='1-Input'!$C$12,'1-Input'!$B$12,0)))))*(1/(1-'P-Parametri'!$B$6*AD674))))</f>
        <v>21918.233379651556</v>
      </c>
      <c r="AF674" s="18">
        <f>IF($A674&gt;'1-Input'!$B$26,AH673,(AH673-MAX(0,AD671-IF($A674&gt;='1-Input'!$C$12,'1-Input'!$B$12,0))+AE674*(1-'P-Parametri'!$B$6*AD674))*(1+'1-Input'!$B$27))</f>
        <v>0</v>
      </c>
      <c r="AG674" s="18">
        <f>IF($A674&gt;'1-Input'!$B$26,AI673,(AI673-AE674)*(1+$D$4))</f>
        <v>433739.18273807911</v>
      </c>
      <c r="AH674" s="18">
        <f>IF($A674&gt;'1-Input'!$B$26,AF674,AF674-'P-Parametri'!$B$8*(AG674+AF674)+MIN(MAX(AG674,0),'P-Parametri'!$B$8*(AG674+AF674)))</f>
        <v>0</v>
      </c>
      <c r="AI674" s="18">
        <f>IF($A674&gt;'1-Input'!$B$26,AG674,AG674-MIN(MAX(AG674,0),'P-Parametri'!$B$8*(AG674+AF674)))</f>
        <v>432871.70437260292</v>
      </c>
      <c r="AJ674" s="18">
        <f>IF($A674&gt;'1-Input'!$B$26,AJ673,AJ673-AE674*(1-AD674))</f>
        <v>326823.91963009734</v>
      </c>
      <c r="AK674" s="11">
        <f>IF($A674&gt;'1-Input'!$B$26,0,IF(AP673&lt;=0,0,MAX(0,(AP673-AQ673)/AP673)))</f>
        <v>0.21635653419729481</v>
      </c>
      <c r="AL674" s="18">
        <f>IF($A674&gt;'1-Input'!$B$26,0,(MAX(0,AK671-IF($A674&gt;='1-Input'!$C$12,'1-Input'!$B$12,0))-MIN(MAX(AO673,0),MAX(0,AK671-IF($A674&gt;='1-Input'!$C$12,'1-Input'!$B$12,0))))*(1/(1-'P-Parametri'!$B$6*AK674))+MIN(MAX(0,AP673-(MAX(0,AK671-IF($A674&gt;='1-Input'!$C$12,'1-Input'!$B$12,0))-MIN(MAX(AO673,0),MAX(0,AK671-IF($A674&gt;='1-Input'!$C$12,'1-Input'!$B$12,0))))*(1/(1-'P-Parametri'!$B$6*AK674))),MAX(0,0*AK671-(AO673-MIN(MAX(AO673,0),MAX(0,AK671-IF($A674&gt;='1-Input'!$C$12,'1-Input'!$B$12,0)))))*(1/(1-'P-Parametri'!$B$6*AK674))))</f>
        <v>21917.8054857569</v>
      </c>
      <c r="AM674" s="18">
        <f>IF($A674&gt;'1-Input'!$B$26,AO673,(AO673-MAX(0,AK671-IF($A674&gt;='1-Input'!$C$12,'1-Input'!$B$12,0))+AL674*(1-'P-Parametri'!$B$6*AK674))*(1+'1-Input'!$B$27))</f>
        <v>-3.6248820833861826E-12</v>
      </c>
      <c r="AN674" s="18">
        <f>IF($A674&gt;'1-Input'!$B$26,AP673,(AP673-AL674)*(1+$D$4))</f>
        <v>433739.6277477296</v>
      </c>
      <c r="AO674" s="18">
        <f>IF($A674&gt;'1-Input'!$B$26,AM674,AM674-'P-Parametri'!$B$8*(AN674+AM674)+MIN(MAX(AN674,0),'P-Parametri'!$B$8*(AN674+AM674)))</f>
        <v>-3.637978807091713E-12</v>
      </c>
      <c r="AP674" s="18">
        <f>IF($A674&gt;'1-Input'!$B$26,AN674,AN674-MIN(MAX(AN674,0),'P-Parametri'!$B$8*(AN674+AM674)))</f>
        <v>432872.14849223412</v>
      </c>
      <c r="AQ674" s="18">
        <f>IF($A674&gt;'1-Input'!$B$26,AQ673,AQ673-AL674*(1-AK674))</f>
        <v>326824.25494635192</v>
      </c>
    </row>
    <row r="675" spans="1:43">
      <c r="A675" s="10">
        <f>2</f>
        <v>2</v>
      </c>
      <c r="B675" s="11">
        <f>IF($A675&gt;'1-Input'!$B$26,0,IF(G674&lt;=0,0,MAX(0,(G674-H674)/G674)))</f>
        <v>0.24498664077895679</v>
      </c>
      <c r="C675" s="18">
        <f>IF($A675&gt;'1-Input'!$B$26,0,(MAX(0,B671-IF($A675&gt;='1-Input'!$C$12,'1-Input'!$B$12,0))-MIN(MAX(F674,0),MAX(0,B671-IF($A675&gt;='1-Input'!$C$12,'1-Input'!$B$12,0))))*(1/(1-'P-Parametri'!$B$6*B675))+MIN(MAX(0,G674-(MAX(0,B671-IF($A675&gt;='1-Input'!$C$12,'1-Input'!$B$12,0))-MIN(MAX(F674,0),MAX(0,B671-IF($A675&gt;='1-Input'!$C$12,'1-Input'!$B$12,0))))*(1/(1-'P-Parametri'!$B$6*B675))),MAX(0,0*B671-(F674-MIN(MAX(F674,0),MAX(0,B671-IF($A675&gt;='1-Input'!$C$12,'1-Input'!$B$12,0)))))*(1/(1-'P-Parametri'!$B$6*B675))))</f>
        <v>17815.863967797664</v>
      </c>
      <c r="D675" s="18">
        <f>IF($A675&gt;'1-Input'!$B$26,F674,(F674-MAX(0,B671-IF($A675&gt;='1-Input'!$C$12,'1-Input'!$B$12,0))+C675*(1-'P-Parametri'!$B$6*B675))*(1+'1-Input'!$B$27))</f>
        <v>0</v>
      </c>
      <c r="E675" s="18">
        <f>IF($A675&gt;'1-Input'!$B$26,G674,(G674-C675)*(1+$D$4))</f>
        <v>436238.00825156528</v>
      </c>
      <c r="F675" s="18">
        <f>IF($A675&gt;'1-Input'!$B$26,D675,D675-'P-Parametri'!$B$8*(E675+D675)+MIN(MAX(E675,0),'P-Parametri'!$B$8*(E675+D675)))</f>
        <v>0</v>
      </c>
      <c r="G675" s="18">
        <f>IF($A675&gt;'1-Input'!$B$26,E675,E675-MIN(MAX(E675,0),'P-Parametri'!$B$8*(E675+D675)))</f>
        <v>435365.53223506216</v>
      </c>
      <c r="H675" s="18">
        <f>IF($A675&gt;'1-Input'!$B$26,H674,H674-C675*(1-B675))</f>
        <v>316697.61925953027</v>
      </c>
      <c r="I675" s="11">
        <f>IF($A675&gt;'1-Input'!$B$26,0,IF(N674&lt;=0,0,MAX(0,(N674-O674)/N674)))</f>
        <v>0.24498664077895671</v>
      </c>
      <c r="J675" s="18">
        <f>IF($A675&gt;'1-Input'!$B$26,0,(MAX(0,I671-IF($A675&gt;='1-Input'!$C$12,'1-Input'!$B$12,0))-MIN(MAX(M674,0),MAX(0,I671-IF($A675&gt;='1-Input'!$C$12,'1-Input'!$B$12,0))))*(1/(1-'P-Parametri'!$B$6*I675))+MIN(MAX(0,N674-(MAX(0,I671-IF($A675&gt;='1-Input'!$C$12,'1-Input'!$B$12,0))-MIN(MAX(M674,0),MAX(0,I671-IF($A675&gt;='1-Input'!$C$12,'1-Input'!$B$12,0))))*(1/(1-'P-Parametri'!$B$6*I675))),MAX(0,0*I671-(M674-MIN(MAX(M674,0),MAX(0,I671-IF($A675&gt;='1-Input'!$C$12,'1-Input'!$B$12,0)))))*(1/(1-'P-Parametri'!$B$6*I675))))</f>
        <v>23441.926273417976</v>
      </c>
      <c r="K675" s="18">
        <f>IF($A675&gt;'1-Input'!$B$26,M674,(M674-MAX(0,I671-IF($A675&gt;='1-Input'!$C$12,'1-Input'!$B$12,0))+J675*(1-'P-Parametri'!$B$6*I675))*(1+'1-Input'!$B$27))</f>
        <v>-3.6248820833861826E-12</v>
      </c>
      <c r="L675" s="18">
        <f>IF($A675&gt;'1-Input'!$B$26,N674,(N674-J675)*(1+$D$4))</f>
        <v>424361.82551569387</v>
      </c>
      <c r="M675" s="18">
        <f>IF($A675&gt;'1-Input'!$B$26,K675,K675-'P-Parametri'!$B$8*(L675+K675)+MIN(MAX(L675,0),'P-Parametri'!$B$8*(L675+K675)))</f>
        <v>-3.637978807091713E-12</v>
      </c>
      <c r="N675" s="18">
        <f>IF($A675&gt;'1-Input'!$B$26,L675,L675-MIN(MAX(L675,0),'P-Parametri'!$B$8*(L675+K675)))</f>
        <v>423513.10186466249</v>
      </c>
      <c r="O675" s="18">
        <f>IF($A675&gt;'1-Input'!$B$26,O674,O674-J675*(1-I675))</f>
        <v>308075.81481517135</v>
      </c>
      <c r="P675" s="11">
        <f>IF($A675&gt;'1-Input'!$B$26,0,IF(U674&lt;=0,0,MAX(0,(U674-V674)/U674)))</f>
        <v>0.24498664077895665</v>
      </c>
      <c r="Q675" s="18">
        <f>IF($A675&gt;'1-Input'!$B$26,0,(MAX(0,P671-IF($A675&gt;='1-Input'!$C$12,'1-Input'!$B$12,0))-MIN(MAX(T674,0),MAX(0,P671-IF($A675&gt;='1-Input'!$C$12,'1-Input'!$B$12,0))))*(1/(1-'P-Parametri'!$B$6*P675))+MIN(MAX(0,U674-(MAX(0,P671-IF($A675&gt;='1-Input'!$C$12,'1-Input'!$B$12,0))-MIN(MAX(T674,0),MAX(0,P671-IF($A675&gt;='1-Input'!$C$12,'1-Input'!$B$12,0))))*(1/(1-'P-Parametri'!$B$6*P675))),MAX(0,0*P671-(T674-MIN(MAX(T674,0),MAX(0,P671-IF($A675&gt;='1-Input'!$C$12,'1-Input'!$B$12,0)))))*(1/(1-'P-Parametri'!$B$6*P675))))</f>
        <v>22315.518249416804</v>
      </c>
      <c r="R675" s="18">
        <f>IF($A675&gt;'1-Input'!$B$26,T674,(T674-MAX(0,P671-IF($A675&gt;='1-Input'!$C$12,'1-Input'!$B$12,0))+Q675*(1-'P-Parametri'!$B$6*P675))*(1+'1-Input'!$B$27))</f>
        <v>0</v>
      </c>
      <c r="S675" s="18">
        <f>IF($A675&gt;'1-Input'!$B$26,U674,(U674-Q675)*(1+$D$4))</f>
        <v>426739.58580370661</v>
      </c>
      <c r="T675" s="18">
        <f>IF($A675&gt;'1-Input'!$B$26,R675,R675-'P-Parametri'!$B$8*(S675+R675)+MIN(MAX(S675,0),'P-Parametri'!$B$8*(S675+R675)))</f>
        <v>0</v>
      </c>
      <c r="U675" s="18">
        <f>IF($A675&gt;'1-Input'!$B$26,S675,S675-MIN(MAX(S675,0),'P-Parametri'!$B$8*(S675+R675)))</f>
        <v>425886.1066320992</v>
      </c>
      <c r="V675" s="18">
        <f>IF($A675&gt;'1-Input'!$B$26,V674,V674-Q675*(1-P675))</f>
        <v>309802.00787524343</v>
      </c>
      <c r="W675" s="11">
        <f>IF($A675&gt;'1-Input'!$B$26,0,IF(AB674&lt;=0,0,MAX(0,(AB674-AC674)/AB674)))</f>
        <v>0.24498664077895668</v>
      </c>
      <c r="X675" s="18">
        <f>IF($A675&gt;'1-Input'!$B$26,0,(MAX(0,W671-IF($A675&gt;='1-Input'!$C$12,'1-Input'!$B$12,0))-MIN(MAX(AA674,0),MAX(0,W671-IF($A675&gt;='1-Input'!$C$12,'1-Input'!$B$12,0))))*(1/(1-'P-Parametri'!$B$6*W675))+MIN(MAX(0,AB674-(MAX(0,W671-IF($A675&gt;='1-Input'!$C$12,'1-Input'!$B$12,0))-MIN(MAX(AA674,0),MAX(0,W671-IF($A675&gt;='1-Input'!$C$12,'1-Input'!$B$12,0))))*(1/(1-'P-Parametri'!$B$6*W675))),MAX(0,0*W671-(AA674-MIN(MAX(AA674,0),MAX(0,W671-IF($A675&gt;='1-Input'!$C$12,'1-Input'!$B$12,0)))))*(1/(1-'P-Parametri'!$B$6*W675))))</f>
        <v>22090.335647560252</v>
      </c>
      <c r="Y675" s="18">
        <f>IF($A675&gt;'1-Input'!$B$26,AA674,(AA674-MAX(0,W671-IF($A675&gt;='1-Input'!$C$12,'1-Input'!$B$12,0))+X675*(1-'P-Parametri'!$B$6*W675))*(1+'1-Input'!$B$27))</f>
        <v>-3.6248820833861826E-12</v>
      </c>
      <c r="Z675" s="18">
        <f>IF($A675&gt;'1-Input'!$B$26,AB674,(AB674-X675)*(1+$D$4))</f>
        <v>427214.92887374619</v>
      </c>
      <c r="AA675" s="18">
        <f>IF($A675&gt;'1-Input'!$B$26,Y675,Y675-'P-Parametri'!$B$8*(Z675+Y675)+MIN(MAX(Z675,0),'P-Parametri'!$B$8*(Z675+Y675)))</f>
        <v>-3.637978807091713E-12</v>
      </c>
      <c r="AB675" s="18">
        <f>IF($A675&gt;'1-Input'!$B$26,Z675,Z675-MIN(MAX(Z675,0),'P-Parametri'!$B$8*(Z675+Y675)))</f>
        <v>426360.49901599868</v>
      </c>
      <c r="AC675" s="18">
        <f>IF($A675&gt;'1-Input'!$B$26,AC674,AC674-X675*(1-W675))</f>
        <v>310147.09476764058</v>
      </c>
      <c r="AD675" s="11">
        <f>IF($A675&gt;'1-Input'!$B$26,0,IF(AI674&lt;=0,0,MAX(0,(AI674-AJ674)/AI674)))</f>
        <v>0.24498664077895663</v>
      </c>
      <c r="AE675" s="18">
        <f>IF($A675&gt;'1-Input'!$B$26,0,(MAX(0,AD671-IF($A675&gt;='1-Input'!$C$12,'1-Input'!$B$12,0))-MIN(MAX(AH674,0),MAX(0,AD671-IF($A675&gt;='1-Input'!$C$12,'1-Input'!$B$12,0))))*(1/(1-'P-Parametri'!$B$6*AD675))+MIN(MAX(0,AI674-(MAX(0,AD671-IF($A675&gt;='1-Input'!$C$12,'1-Input'!$B$12,0))-MIN(MAX(AH674,0),MAX(0,AD671-IF($A675&gt;='1-Input'!$C$12,'1-Input'!$B$12,0))))*(1/(1-'P-Parametri'!$B$6*AD675))),MAX(0,0*AD671-(AH674-MIN(MAX(AH674,0),MAX(0,AD671-IF($A675&gt;='1-Input'!$C$12,'1-Input'!$B$12,0)))))*(1/(1-'P-Parametri'!$B$6*AD675))))</f>
        <v>22092.488370312516</v>
      </c>
      <c r="AF675" s="18">
        <f>IF($A675&gt;'1-Input'!$B$26,AH674,(AH674-MAX(0,AD671-IF($A675&gt;='1-Input'!$C$12,'1-Input'!$B$12,0))+AE675*(1-'P-Parametri'!$B$6*AD675))*(1+'1-Input'!$B$27))</f>
        <v>3.6248820833861826E-12</v>
      </c>
      <c r="AG675" s="18">
        <f>IF($A675&gt;'1-Input'!$B$26,AI674,(AI674-AE675)*(1+$D$4))</f>
        <v>427210.38464238204</v>
      </c>
      <c r="AH675" s="18">
        <f>IF($A675&gt;'1-Input'!$B$26,AF675,AF675-'P-Parametri'!$B$8*(AG675+AF675)+MIN(MAX(AG675,0),'P-Parametri'!$B$8*(AG675+AF675)))</f>
        <v>3.637978807091713E-12</v>
      </c>
      <c r="AI675" s="18">
        <f>IF($A675&gt;'1-Input'!$B$26,AG675,AG675-MIN(MAX(AG675,0),'P-Parametri'!$B$8*(AG675+AF675)))</f>
        <v>426355.96387309727</v>
      </c>
      <c r="AJ675" s="18">
        <f>IF($A675&gt;'1-Input'!$B$26,AJ674,AJ674-AE675*(1-AD675))</f>
        <v>310143.79577207583</v>
      </c>
      <c r="AK675" s="11">
        <f>IF($A675&gt;'1-Input'!$B$26,0,IF(AP674&lt;=0,0,MAX(0,(AP674-AQ674)/AP674)))</f>
        <v>0.24498664077895677</v>
      </c>
      <c r="AL675" s="18">
        <f>IF($A675&gt;'1-Input'!$B$26,0,(MAX(0,AK671-IF($A675&gt;='1-Input'!$C$12,'1-Input'!$B$12,0))-MIN(MAX(AO674,0),MAX(0,AK671-IF($A675&gt;='1-Input'!$C$12,'1-Input'!$B$12,0))))*(1/(1-'P-Parametri'!$B$6*AK675))+MIN(MAX(0,AP674-(MAX(0,AK671-IF($A675&gt;='1-Input'!$C$12,'1-Input'!$B$12,0))-MIN(MAX(AO674,0),MAX(0,AK671-IF($A675&gt;='1-Input'!$C$12,'1-Input'!$B$12,0))))*(1/(1-'P-Parametri'!$B$6*AK675))),MAX(0,0*AK671-(AO674-MIN(MAX(AO674,0),MAX(0,AK671-IF($A675&gt;='1-Input'!$C$12,'1-Input'!$B$12,0)))))*(1/(1-'P-Parametri'!$B$6*AK675))))</f>
        <v>22092.057074563105</v>
      </c>
      <c r="AM675" s="18">
        <f>IF($A675&gt;'1-Input'!$B$26,AO674,(AO674-MAX(0,AK671-IF($A675&gt;='1-Input'!$C$12,'1-Input'!$B$12,0))+AL675*(1-'P-Parametri'!$B$6*AK675))*(1+'1-Input'!$B$27))</f>
        <v>0</v>
      </c>
      <c r="AN675" s="18">
        <f>IF($A675&gt;'1-Input'!$B$26,AP674,(AP674-AL675)*(1+$D$4))</f>
        <v>427211.29507437785</v>
      </c>
      <c r="AO675" s="18">
        <f>IF($A675&gt;'1-Input'!$B$26,AM675,AM675-'P-Parametri'!$B$8*(AN675+AM675)+MIN(MAX(AN675,0),'P-Parametri'!$B$8*(AN675+AM675)))</f>
        <v>0</v>
      </c>
      <c r="AP675" s="18">
        <f>IF($A675&gt;'1-Input'!$B$26,AN675,AN675-MIN(MAX(AN675,0),'P-Parametri'!$B$8*(AN675+AM675)))</f>
        <v>426356.8724842291</v>
      </c>
      <c r="AQ675" s="18">
        <f>IF($A675&gt;'1-Input'!$B$26,AQ674,AQ674-AL675*(1-AK675))</f>
        <v>310144.45672238304</v>
      </c>
    </row>
    <row r="676" spans="1:43">
      <c r="A676" s="10">
        <f>3</f>
        <v>3</v>
      </c>
      <c r="B676" s="11">
        <f>IF($A676&gt;'1-Input'!$B$26,0,IF(G675&lt;=0,0,MAX(0,(G675-H675)/G675)))</f>
        <v>0.27257075764891009</v>
      </c>
      <c r="C676" s="18">
        <f>IF($A676&gt;'1-Input'!$B$26,0,(MAX(0,B671-IF($A676&gt;='1-Input'!$C$12,'1-Input'!$B$12,0))-MIN(MAX(F675,0),MAX(0,B671-IF($A676&gt;='1-Input'!$C$12,'1-Input'!$B$12,0))))*(1/(1-'P-Parametri'!$B$6*B676))+MIN(MAX(0,G675-(MAX(0,B671-IF($A676&gt;='1-Input'!$C$12,'1-Input'!$B$12,0))-MIN(MAX(F675,0),MAX(0,B671-IF($A676&gt;='1-Input'!$C$12,'1-Input'!$B$12,0))))*(1/(1-'P-Parametri'!$B$6*B676))),MAX(0,0*B671-(F675-MIN(MAX(F675,0),MAX(0,B671-IF($A676&gt;='1-Input'!$C$12,'1-Input'!$B$12,0)))))*(1/(1-'P-Parametri'!$B$6*B676))))</f>
        <v>17953.382772217716</v>
      </c>
      <c r="D676" s="18">
        <f>IF($A676&gt;'1-Input'!$B$26,F675,(F675-MAX(0,B671-IF($A676&gt;='1-Input'!$C$12,'1-Input'!$B$12,0))+C676*(1-'P-Parametri'!$B$6*B676))*(1+'1-Input'!$B$27))</f>
        <v>3.6248820833861826E-12</v>
      </c>
      <c r="E676" s="18">
        <f>IF($A676&gt;'1-Input'!$B$26,G675,(G675-C676)*(1+$D$4))</f>
        <v>434108.6354413582</v>
      </c>
      <c r="F676" s="18">
        <f>IF($A676&gt;'1-Input'!$B$26,D676,D676-'P-Parametri'!$B$8*(E676+D676)+MIN(MAX(E676,0),'P-Parametri'!$B$8*(E676+D676)))</f>
        <v>3.637978807091713E-12</v>
      </c>
      <c r="G676" s="18">
        <f>IF($A676&gt;'1-Input'!$B$26,E676,E676-MIN(MAX(E676,0),'P-Parametri'!$B$8*(E676+D676)))</f>
        <v>433240.41817047546</v>
      </c>
      <c r="H676" s="18">
        <f>IF($A676&gt;'1-Input'!$B$26,H675,H675-C676*(1-B676))</f>
        <v>303637.80363189685</v>
      </c>
      <c r="I676" s="11">
        <f>IF($A676&gt;'1-Input'!$B$26,0,IF(N675&lt;=0,0,MAX(0,(N675-O675)/N675)))</f>
        <v>0.2725707576489102</v>
      </c>
      <c r="J676" s="18">
        <f>IF($A676&gt;'1-Input'!$B$26,0,(MAX(0,I671-IF($A676&gt;='1-Input'!$C$12,'1-Input'!$B$12,0))-MIN(MAX(M675,0),MAX(0,I671-IF($A676&gt;='1-Input'!$C$12,'1-Input'!$B$12,0))))*(1/(1-'P-Parametri'!$B$6*I676))+MIN(MAX(0,N675-(MAX(0,I671-IF($A676&gt;='1-Input'!$C$12,'1-Input'!$B$12,0))-MIN(MAX(M675,0),MAX(0,I671-IF($A676&gt;='1-Input'!$C$12,'1-Input'!$B$12,0))))*(1/(1-'P-Parametri'!$B$6*I676))),MAX(0,0*I671-(M675-MIN(MAX(M675,0),MAX(0,I671-IF($A676&gt;='1-Input'!$C$12,'1-Input'!$B$12,0)))))*(1/(1-'P-Parametri'!$B$6*I676))))</f>
        <v>23622.872068707526</v>
      </c>
      <c r="K676" s="18">
        <f>IF($A676&gt;'1-Input'!$B$26,M675,(M675-MAX(0,I671-IF($A676&gt;='1-Input'!$C$12,'1-Input'!$B$12,0))+J676*(1-'P-Parametri'!$B$6*I676))*(1+'1-Input'!$B$27))</f>
        <v>0</v>
      </c>
      <c r="L676" s="18">
        <f>IF($A676&gt;'1-Input'!$B$26,N675,(N675-J676)*(1+$D$4))</f>
        <v>415885.83898779313</v>
      </c>
      <c r="M676" s="18">
        <f>IF($A676&gt;'1-Input'!$B$26,K676,K676-'P-Parametri'!$B$8*(L676+K676)+MIN(MAX(L676,0),'P-Parametri'!$B$8*(L676+K676)))</f>
        <v>0</v>
      </c>
      <c r="N676" s="18">
        <f>IF($A676&gt;'1-Input'!$B$26,L676,L676-MIN(MAX(L676,0),'P-Parametri'!$B$8*(L676+K676)))</f>
        <v>415054.06730981753</v>
      </c>
      <c r="O676" s="18">
        <f>IF($A676&gt;'1-Input'!$B$26,O675,O675-J676*(1-I676))</f>
        <v>290891.84688407474</v>
      </c>
      <c r="P676" s="11">
        <f>IF($A676&gt;'1-Input'!$B$26,0,IF(U675&lt;=0,0,MAX(0,(U675-V675)/U675)))</f>
        <v>0.27257075764891003</v>
      </c>
      <c r="Q676" s="18">
        <f>IF($A676&gt;'1-Input'!$B$26,0,(MAX(0,P671-IF($A676&gt;='1-Input'!$C$12,'1-Input'!$B$12,0))-MIN(MAX(T675,0),MAX(0,P671-IF($A676&gt;='1-Input'!$C$12,'1-Input'!$B$12,0))))*(1/(1-'P-Parametri'!$B$6*P676))+MIN(MAX(0,U675-(MAX(0,P671-IF($A676&gt;='1-Input'!$C$12,'1-Input'!$B$12,0))-MIN(MAX(T675,0),MAX(0,P671-IF($A676&gt;='1-Input'!$C$12,'1-Input'!$B$12,0))))*(1/(1-'P-Parametri'!$B$6*P676))),MAX(0,0*P671-(T675-MIN(MAX(T675,0),MAX(0,P671-IF($A676&gt;='1-Input'!$C$12,'1-Input'!$B$12,0)))))*(1/(1-'P-Parametri'!$B$6*P676))))</f>
        <v>22487.76941810672</v>
      </c>
      <c r="R676" s="18">
        <f>IF($A676&gt;'1-Input'!$B$26,T675,(T675-MAX(0,P671-IF($A676&gt;='1-Input'!$C$12,'1-Input'!$B$12,0))+Q676*(1-'P-Parametri'!$B$6*P676))*(1+'1-Input'!$B$27))</f>
        <v>0</v>
      </c>
      <c r="S676" s="18">
        <f>IF($A676&gt;'1-Input'!$B$26,U675,(U675-Q676)*(1+$D$4))</f>
        <v>419534.27070255222</v>
      </c>
      <c r="T676" s="18">
        <f>IF($A676&gt;'1-Input'!$B$26,R676,R676-'P-Parametri'!$B$8*(S676+R676)+MIN(MAX(S676,0),'P-Parametri'!$B$8*(S676+R676)))</f>
        <v>0</v>
      </c>
      <c r="U676" s="18">
        <f>IF($A676&gt;'1-Input'!$B$26,S676,S676-MIN(MAX(S676,0),'P-Parametri'!$B$8*(S676+R676)))</f>
        <v>418695.20216114714</v>
      </c>
      <c r="V676" s="18">
        <f>IF($A676&gt;'1-Input'!$B$26,V675,V675-Q676*(1-P676))</f>
        <v>293443.74680526403</v>
      </c>
      <c r="W676" s="11">
        <f>IF($A676&gt;'1-Input'!$B$26,0,IF(AB675&lt;=0,0,MAX(0,(AB675-AC675)/AB675)))</f>
        <v>0.27257075764890998</v>
      </c>
      <c r="X676" s="18">
        <f>IF($A676&gt;'1-Input'!$B$26,0,(MAX(0,W671-IF($A676&gt;='1-Input'!$C$12,'1-Input'!$B$12,0))-MIN(MAX(AA675,0),MAX(0,W671-IF($A676&gt;='1-Input'!$C$12,'1-Input'!$B$12,0))))*(1/(1-'P-Parametri'!$B$6*W676))+MIN(MAX(0,AB675-(MAX(0,W671-IF($A676&gt;='1-Input'!$C$12,'1-Input'!$B$12,0))-MIN(MAX(AA675,0),MAX(0,W671-IF($A676&gt;='1-Input'!$C$12,'1-Input'!$B$12,0))))*(1/(1-'P-Parametri'!$B$6*W676))),MAX(0,0*W671-(AA675-MIN(MAX(AA675,0),MAX(0,W671-IF($A676&gt;='1-Input'!$C$12,'1-Input'!$B$12,0)))))*(1/(1-'P-Parametri'!$B$6*W676))))</f>
        <v>22260.848655123689</v>
      </c>
      <c r="Y676" s="18">
        <f>IF($A676&gt;'1-Input'!$B$26,AA675,(AA675-MAX(0,W671-IF($A676&gt;='1-Input'!$C$12,'1-Input'!$B$12,0))+X676*(1-'P-Parametri'!$B$6*W676))*(1+'1-Input'!$B$27))</f>
        <v>3.6248820833861826E-12</v>
      </c>
      <c r="Z676" s="18">
        <f>IF($A676&gt;'1-Input'!$B$26,AB675,(AB675-X676)*(1+$D$4))</f>
        <v>420263.63637531002</v>
      </c>
      <c r="AA676" s="18">
        <f>IF($A676&gt;'1-Input'!$B$26,Y676,Y676-'P-Parametri'!$B$8*(Z676+Y676)+MIN(MAX(Z676,0),'P-Parametri'!$B$8*(Z676+Y676)))</f>
        <v>3.637978807091713E-12</v>
      </c>
      <c r="AB676" s="18">
        <f>IF($A676&gt;'1-Input'!$B$26,Z676,Z676-MIN(MAX(Z676,0),'P-Parametri'!$B$8*(Z676+Y676)))</f>
        <v>419423.10910255939</v>
      </c>
      <c r="AC676" s="18">
        <f>IF($A676&gt;'1-Input'!$B$26,AC675,AC675-X676*(1-W676))</f>
        <v>293953.90249635169</v>
      </c>
      <c r="AD676" s="11">
        <f>IF($A676&gt;'1-Input'!$B$26,0,IF(AI675&lt;=0,0,MAX(0,(AI675-AJ675)/AI675)))</f>
        <v>0.27257075764891003</v>
      </c>
      <c r="AE676" s="18">
        <f>IF($A676&gt;'1-Input'!$B$26,0,(MAX(0,AD671-IF($A676&gt;='1-Input'!$C$12,'1-Input'!$B$12,0))-MIN(MAX(AH675,0),MAX(0,AD671-IF($A676&gt;='1-Input'!$C$12,'1-Input'!$B$12,0))))*(1/(1-'P-Parametri'!$B$6*AD676))+MIN(MAX(0,AI675-(MAX(0,AD671-IF($A676&gt;='1-Input'!$C$12,'1-Input'!$B$12,0))-MIN(MAX(AH675,0),MAX(0,AD671-IF($A676&gt;='1-Input'!$C$12,'1-Input'!$B$12,0))))*(1/(1-'P-Parametri'!$B$6*AD676))),MAX(0,0*AD671-(AH675-MIN(MAX(AH675,0),MAX(0,AD671-IF($A676&gt;='1-Input'!$C$12,'1-Input'!$B$12,0)))))*(1/(1-'P-Parametri'!$B$6*AD676))))</f>
        <v>22263.017994519389</v>
      </c>
      <c r="AF676" s="18">
        <f>IF($A676&gt;'1-Input'!$B$26,AH675,(AH675-MAX(0,AD671-IF($A676&gt;='1-Input'!$C$12,'1-Input'!$B$12,0))+AE676*(1-'P-Parametri'!$B$6*AD676))*(1+'1-Input'!$B$27))</f>
        <v>3.6248820833861826E-12</v>
      </c>
      <c r="AG676" s="18">
        <f>IF($A676&gt;'1-Input'!$B$26,AI675,(AI675-AE676)*(1+$D$4))</f>
        <v>420256.66371372103</v>
      </c>
      <c r="AH676" s="18">
        <f>IF($A676&gt;'1-Input'!$B$26,AF676,AF676-'P-Parametri'!$B$8*(AG676+AF676)+MIN(MAX(AG676,0),'P-Parametri'!$B$8*(AG676+AF676)))</f>
        <v>3.637978807091713E-12</v>
      </c>
      <c r="AI676" s="18">
        <f>IF($A676&gt;'1-Input'!$B$26,AG676,AG676-MIN(MAX(AG676,0),'P-Parametri'!$B$8*(AG676+AF676)))</f>
        <v>419416.15038629359</v>
      </c>
      <c r="AJ676" s="18">
        <f>IF($A676&gt;'1-Input'!$B$26,AJ675,AJ675-AE676*(1-AD676))</f>
        <v>293949.0254598739</v>
      </c>
      <c r="AK676" s="11">
        <f>IF($A676&gt;'1-Input'!$B$26,0,IF(AP675&lt;=0,0,MAX(0,(AP675-AQ675)/AP675)))</f>
        <v>0.27257075764891003</v>
      </c>
      <c r="AL676" s="18">
        <f>IF($A676&gt;'1-Input'!$B$26,0,(MAX(0,AK671-IF($A676&gt;='1-Input'!$C$12,'1-Input'!$B$12,0))-MIN(MAX(AO675,0),MAX(0,AK671-IF($A676&gt;='1-Input'!$C$12,'1-Input'!$B$12,0))))*(1/(1-'P-Parametri'!$B$6*AK676))+MIN(MAX(0,AP675-(MAX(0,AK671-IF($A676&gt;='1-Input'!$C$12,'1-Input'!$B$12,0))-MIN(MAX(AO675,0),MAX(0,AK671-IF($A676&gt;='1-Input'!$C$12,'1-Input'!$B$12,0))))*(1/(1-'P-Parametri'!$B$6*AK676))),MAX(0,0*AK671-(AO675-MIN(MAX(AO675,0),MAX(0,AK671-IF($A676&gt;='1-Input'!$C$12,'1-Input'!$B$12,0)))))*(1/(1-'P-Parametri'!$B$6*AK676))))</f>
        <v>22262.58336964286</v>
      </c>
      <c r="AM676" s="18">
        <f>IF($A676&gt;'1-Input'!$B$26,AO675,(AO675-MAX(0,AK671-IF($A676&gt;='1-Input'!$C$12,'1-Input'!$B$12,0))+AL676*(1-'P-Parametri'!$B$6*AK676))*(1+'1-Input'!$B$27))</f>
        <v>0</v>
      </c>
      <c r="AN676" s="18">
        <f>IF($A676&gt;'1-Input'!$B$26,AP675,(AP675-AL676)*(1+$D$4))</f>
        <v>420258.06067916972</v>
      </c>
      <c r="AO676" s="18">
        <f>IF($A676&gt;'1-Input'!$B$26,AM676,AM676-'P-Parametri'!$B$8*(AN676+AM676)+MIN(MAX(AN676,0),'P-Parametri'!$B$8*(AN676+AM676)))</f>
        <v>0</v>
      </c>
      <c r="AP676" s="18">
        <f>IF($A676&gt;'1-Input'!$B$26,AN676,AN676-MIN(MAX(AN676,0),'P-Parametri'!$B$8*(AN676+AM676)))</f>
        <v>419417.5445578114</v>
      </c>
      <c r="AQ676" s="18">
        <f>IF($A676&gt;'1-Input'!$B$26,AQ675,AQ675-AL676*(1-AK676))</f>
        <v>293950.00256902573</v>
      </c>
    </row>
    <row r="677" spans="1:43">
      <c r="A677" s="10">
        <f>4</f>
        <v>4</v>
      </c>
      <c r="B677" s="11">
        <f>IF($A677&gt;'1-Input'!$B$26,0,IF(G676&lt;=0,0,MAX(0,(G676-H676)/G676)))</f>
        <v>0.29914709963090602</v>
      </c>
      <c r="C677" s="18">
        <f>IF($A677&gt;'1-Input'!$B$26,0,(MAX(0,B671-IF($A677&gt;='1-Input'!$C$12,'1-Input'!$B$12,0))-MIN(MAX(F676,0),MAX(0,B671-IF($A677&gt;='1-Input'!$C$12,'1-Input'!$B$12,0))))*(1/(1-'P-Parametri'!$B$6*B677))+MIN(MAX(0,G676-(MAX(0,B671-IF($A677&gt;='1-Input'!$C$12,'1-Input'!$B$12,0))-MIN(MAX(F676,0),MAX(0,B671-IF($A677&gt;='1-Input'!$C$12,'1-Input'!$B$12,0))))*(1/(1-'P-Parametri'!$B$6*B677))),MAX(0,0*B671-(F676-MIN(MAX(F676,0),MAX(0,B671-IF($A677&gt;='1-Input'!$C$12,'1-Input'!$B$12,0)))))*(1/(1-'P-Parametri'!$B$6*B677))))</f>
        <v>18087.900486556951</v>
      </c>
      <c r="D677" s="18">
        <f>IF($A677&gt;'1-Input'!$B$26,F676,(F676-MAX(0,B671-IF($A677&gt;='1-Input'!$C$12,'1-Input'!$B$12,0))+C677*(1-'P-Parametri'!$B$6*B677))*(1+'1-Input'!$B$27))</f>
        <v>0</v>
      </c>
      <c r="E677" s="18">
        <f>IF($A677&gt;'1-Input'!$B$26,G676,(G676-C677)*(1+$D$4))</f>
        <v>431758.61839127529</v>
      </c>
      <c r="F677" s="18">
        <f>IF($A677&gt;'1-Input'!$B$26,D677,D677-'P-Parametri'!$B$8*(E677+D677)+MIN(MAX(E677,0),'P-Parametri'!$B$8*(E677+D677)))</f>
        <v>0</v>
      </c>
      <c r="G677" s="18">
        <f>IF($A677&gt;'1-Input'!$B$26,E677,E677-MIN(MAX(E677,0),'P-Parametri'!$B$8*(E677+D677)))</f>
        <v>430895.10115449276</v>
      </c>
      <c r="H677" s="18">
        <f>IF($A677&gt;'1-Input'!$B$26,H676,H676-C677*(1-B677))</f>
        <v>290960.8461143059</v>
      </c>
      <c r="I677" s="11">
        <f>IF($A677&gt;'1-Input'!$B$26,0,IF(N676&lt;=0,0,MAX(0,(N676-O676)/N676)))</f>
        <v>0.29914709963090613</v>
      </c>
      <c r="J677" s="18">
        <f>IF($A677&gt;'1-Input'!$B$26,0,(MAX(0,I671-IF($A677&gt;='1-Input'!$C$12,'1-Input'!$B$12,0))-MIN(MAX(M676,0),MAX(0,I671-IF($A677&gt;='1-Input'!$C$12,'1-Input'!$B$12,0))))*(1/(1-'P-Parametri'!$B$6*I677))+MIN(MAX(0,N676-(MAX(0,I671-IF($A677&gt;='1-Input'!$C$12,'1-Input'!$B$12,0))-MIN(MAX(M676,0),MAX(0,I671-IF($A677&gt;='1-Input'!$C$12,'1-Input'!$B$12,0))))*(1/(1-'P-Parametri'!$B$6*I677))),MAX(0,0*I671-(M676-MIN(MAX(M676,0),MAX(0,I671-IF($A677&gt;='1-Input'!$C$12,'1-Input'!$B$12,0)))))*(1/(1-'P-Parametri'!$B$6*I677))))</f>
        <v>23799.869061259156</v>
      </c>
      <c r="K677" s="18">
        <f>IF($A677&gt;'1-Input'!$B$26,M676,(M676-MAX(0,I671-IF($A677&gt;='1-Input'!$C$12,'1-Input'!$B$12,0))+J677*(1-'P-Parametri'!$B$6*I677))*(1+'1-Input'!$B$27))</f>
        <v>3.6248820833861826E-12</v>
      </c>
      <c r="L677" s="18">
        <f>IF($A677&gt;'1-Input'!$B$26,N676,(N676-J677)*(1+$D$4))</f>
        <v>406904.36617850076</v>
      </c>
      <c r="M677" s="18">
        <f>IF($A677&gt;'1-Input'!$B$26,K677,K677-'P-Parametri'!$B$8*(L677+K677)+MIN(MAX(L677,0),'P-Parametri'!$B$8*(L677+K677)))</f>
        <v>3.637978807091713E-12</v>
      </c>
      <c r="N677" s="18">
        <f>IF($A677&gt;'1-Input'!$B$26,L677,L677-MIN(MAX(L677,0),'P-Parametri'!$B$8*(L677+K677)))</f>
        <v>406090.55744614376</v>
      </c>
      <c r="O677" s="18">
        <f>IF($A677&gt;'1-Input'!$B$26,O676,O676-J677*(1-I677))</f>
        <v>274211.63962408662</v>
      </c>
      <c r="P677" s="11">
        <f>IF($A677&gt;'1-Input'!$B$26,0,IF(U676&lt;=0,0,MAX(0,(U676-V676)/U676)))</f>
        <v>0.29914709963090624</v>
      </c>
      <c r="Q677" s="18">
        <f>IF($A677&gt;'1-Input'!$B$26,0,(MAX(0,P671-IF($A677&gt;='1-Input'!$C$12,'1-Input'!$B$12,0))-MIN(MAX(T676,0),MAX(0,P671-IF($A677&gt;='1-Input'!$C$12,'1-Input'!$B$12,0))))*(1/(1-'P-Parametri'!$B$6*P677))+MIN(MAX(0,U676-(MAX(0,P671-IF($A677&gt;='1-Input'!$C$12,'1-Input'!$B$12,0))-MIN(MAX(T676,0),MAX(0,P671-IF($A677&gt;='1-Input'!$C$12,'1-Input'!$B$12,0))))*(1/(1-'P-Parametri'!$B$6*P677))),MAX(0,0*P671-(T676-MIN(MAX(T676,0),MAX(0,P671-IF($A677&gt;='1-Input'!$C$12,'1-Input'!$B$12,0)))))*(1/(1-'P-Parametri'!$B$6*P677))))</f>
        <v>22656.261527983235</v>
      </c>
      <c r="R677" s="18">
        <f>IF($A677&gt;'1-Input'!$B$26,T676,(T676-MAX(0,P671-IF($A677&gt;='1-Input'!$C$12,'1-Input'!$B$12,0))+Q677*(1-'P-Parametri'!$B$6*P677))*(1+'1-Input'!$B$27))</f>
        <v>3.6248820833861826E-12</v>
      </c>
      <c r="S677" s="18">
        <f>IF($A677&gt;'1-Input'!$B$26,U676,(U676-Q677)*(1+$D$4))</f>
        <v>411880.49825849046</v>
      </c>
      <c r="T677" s="18">
        <f>IF($A677&gt;'1-Input'!$B$26,R677,R677-'P-Parametri'!$B$8*(S677+R677)+MIN(MAX(S677,0),'P-Parametri'!$B$8*(S677+R677)))</f>
        <v>3.637978807091713E-12</v>
      </c>
      <c r="U677" s="18">
        <f>IF($A677&gt;'1-Input'!$B$26,S677,S677-MIN(MAX(S677,0),'P-Parametri'!$B$8*(S677+R677)))</f>
        <v>411056.7372619735</v>
      </c>
      <c r="V677" s="18">
        <f>IF($A677&gt;'1-Input'!$B$26,V676,V676-Q677*(1-P677))</f>
        <v>277565.04020185629</v>
      </c>
      <c r="W677" s="11">
        <f>IF($A677&gt;'1-Input'!$B$26,0,IF(AB676&lt;=0,0,MAX(0,(AB676-AC676)/AB676)))</f>
        <v>0.29914709963090602</v>
      </c>
      <c r="X677" s="18">
        <f>IF($A677&gt;'1-Input'!$B$26,0,(MAX(0,W671-IF($A677&gt;='1-Input'!$C$12,'1-Input'!$B$12,0))-MIN(MAX(AA676,0),MAX(0,W671-IF($A677&gt;='1-Input'!$C$12,'1-Input'!$B$12,0))))*(1/(1-'P-Parametri'!$B$6*W677))+MIN(MAX(0,AB676-(MAX(0,W671-IF($A677&gt;='1-Input'!$C$12,'1-Input'!$B$12,0))-MIN(MAX(AA676,0),MAX(0,W671-IF($A677&gt;='1-Input'!$C$12,'1-Input'!$B$12,0))))*(1/(1-'P-Parametri'!$B$6*W677))),MAX(0,0*W671-(AA676-MIN(MAX(AA676,0),MAX(0,W671-IF($A677&gt;='1-Input'!$C$12,'1-Input'!$B$12,0)))))*(1/(1-'P-Parametri'!$B$6*W677))))</f>
        <v>22427.640535981525</v>
      </c>
      <c r="Y677" s="18">
        <f>IF($A677&gt;'1-Input'!$B$26,AA676,(AA676-MAX(0,W671-IF($A677&gt;='1-Input'!$C$12,'1-Input'!$B$12,0))+X677*(1-'P-Parametri'!$B$6*W677))*(1+'1-Input'!$B$27))</f>
        <v>0</v>
      </c>
      <c r="Z677" s="18">
        <f>IF($A677&gt;'1-Input'!$B$26,AB676,(AB676-X677)*(1+$D$4))</f>
        <v>412875.28730924102</v>
      </c>
      <c r="AA677" s="18">
        <f>IF($A677&gt;'1-Input'!$B$26,Y677,Y677-'P-Parametri'!$B$8*(Z677+Y677)+MIN(MAX(Z677,0),'P-Parametri'!$B$8*(Z677+Y677)))</f>
        <v>0</v>
      </c>
      <c r="AB677" s="18">
        <f>IF($A677&gt;'1-Input'!$B$26,Z677,Z677-MIN(MAX(Z677,0),'P-Parametri'!$B$8*(Z677+Y677)))</f>
        <v>412049.53673462255</v>
      </c>
      <c r="AC677" s="18">
        <f>IF($A677&gt;'1-Input'!$B$26,AC676,AC676-X677*(1-W677))</f>
        <v>278235.4255782736</v>
      </c>
      <c r="AD677" s="11">
        <f>IF($A677&gt;'1-Input'!$B$26,0,IF(AI676&lt;=0,0,MAX(0,(AI676-AJ676)/AI676)))</f>
        <v>0.29914709963090619</v>
      </c>
      <c r="AE677" s="18">
        <f>IF($A677&gt;'1-Input'!$B$26,0,(MAX(0,AD671-IF($A677&gt;='1-Input'!$C$12,'1-Input'!$B$12,0))-MIN(MAX(AH676,0),MAX(0,AD671-IF($A677&gt;='1-Input'!$C$12,'1-Input'!$B$12,0))))*(1/(1-'P-Parametri'!$B$6*AD677))+MIN(MAX(0,AI676-(MAX(0,AD671-IF($A677&gt;='1-Input'!$C$12,'1-Input'!$B$12,0))-MIN(MAX(AH676,0),MAX(0,AD671-IF($A677&gt;='1-Input'!$C$12,'1-Input'!$B$12,0))))*(1/(1-'P-Parametri'!$B$6*AD677))),MAX(0,0*AD671-(AH676-MIN(MAX(AH676,0),MAX(0,AD671-IF($A677&gt;='1-Input'!$C$12,'1-Input'!$B$12,0)))))*(1/(1-'P-Parametri'!$B$6*AD677))))</f>
        <v>22429.826129393583</v>
      </c>
      <c r="AF677" s="18">
        <f>IF($A677&gt;'1-Input'!$B$26,AH676,(AH676-MAX(0,AD671-IF($A677&gt;='1-Input'!$C$12,'1-Input'!$B$12,0))+AE677*(1-'P-Parametri'!$B$6*AD677))*(1+'1-Input'!$B$27))</f>
        <v>3.6248820833861826E-12</v>
      </c>
      <c r="AG677" s="18">
        <f>IF($A677&gt;'1-Input'!$B$26,AI676,(AI676-AE677)*(1+$D$4))</f>
        <v>412865.777227176</v>
      </c>
      <c r="AH677" s="18">
        <f>IF($A677&gt;'1-Input'!$B$26,AF677,AF677-'P-Parametri'!$B$8*(AG677+AF677)+MIN(MAX(AG677,0),'P-Parametri'!$B$8*(AG677+AF677)))</f>
        <v>3.637978807091713E-12</v>
      </c>
      <c r="AI677" s="18">
        <f>IF($A677&gt;'1-Input'!$B$26,AG677,AG677-MIN(MAX(AG677,0),'P-Parametri'!$B$8*(AG677+AF677)))</f>
        <v>412040.04567272164</v>
      </c>
      <c r="AJ677" s="18">
        <f>IF($A677&gt;'1-Input'!$B$26,AJ676,AJ676-AE677*(1-AD677))</f>
        <v>278229.0167623139</v>
      </c>
      <c r="AK677" s="11">
        <f>IF($A677&gt;'1-Input'!$B$26,0,IF(AP676&lt;=0,0,MAX(0,(AP676-AQ676)/AP676)))</f>
        <v>0.29914709963090624</v>
      </c>
      <c r="AL677" s="18">
        <f>IF($A677&gt;'1-Input'!$B$26,0,(MAX(0,AK671-IF($A677&gt;='1-Input'!$C$12,'1-Input'!$B$12,0))-MIN(MAX(AO676,0),MAX(0,AK671-IF($A677&gt;='1-Input'!$C$12,'1-Input'!$B$12,0))))*(1/(1-'P-Parametri'!$B$6*AK677))+MIN(MAX(0,AP676-(MAX(0,AK671-IF($A677&gt;='1-Input'!$C$12,'1-Input'!$B$12,0))-MIN(MAX(AO676,0),MAX(0,AK671-IF($A677&gt;='1-Input'!$C$12,'1-Input'!$B$12,0))))*(1/(1-'P-Parametri'!$B$6*AK677))),MAX(0,0*AK671-(AO676-MIN(MAX(AO676,0),MAX(0,AK671-IF($A677&gt;='1-Input'!$C$12,'1-Input'!$B$12,0)))))*(1/(1-'P-Parametri'!$B$6*AK677))))</f>
        <v>22429.388248041902</v>
      </c>
      <c r="AM677" s="18">
        <f>IF($A677&gt;'1-Input'!$B$26,AO676,(AO676-MAX(0,AK671-IF($A677&gt;='1-Input'!$C$12,'1-Input'!$B$12,0))+AL677*(1-'P-Parametri'!$B$6*AK677))*(1+'1-Input'!$B$27))</f>
        <v>3.6248820833861826E-12</v>
      </c>
      <c r="AN677" s="18">
        <f>IF($A677&gt;'1-Input'!$B$26,AP676,(AP676-AL677)*(1+$D$4))</f>
        <v>412867.68256216031</v>
      </c>
      <c r="AO677" s="18">
        <f>IF($A677&gt;'1-Input'!$B$26,AM677,AM677-'P-Parametri'!$B$8*(AN677+AM677)+MIN(MAX(AN677,0),'P-Parametri'!$B$8*(AN677+AM677)))</f>
        <v>3.637978807091713E-12</v>
      </c>
      <c r="AP677" s="18">
        <f>IF($A677&gt;'1-Input'!$B$26,AN677,AN677-MIN(MAX(AN677,0),'P-Parametri'!$B$8*(AN677+AM677)))</f>
        <v>412041.947197036</v>
      </c>
      <c r="AQ677" s="18">
        <f>IF($A677&gt;'1-Input'!$B$26,AQ676,AQ676-AL677*(1-AK677))</f>
        <v>278230.30076188111</v>
      </c>
    </row>
    <row r="678" spans="1:43">
      <c r="A678" s="10">
        <f>5</f>
        <v>5</v>
      </c>
      <c r="B678" s="11">
        <f>IF($A678&gt;'1-Input'!$B$26,0,IF(G677&lt;=0,0,MAX(0,(G677-H677)/G677)))</f>
        <v>0.32475248538510293</v>
      </c>
      <c r="C678" s="18">
        <f>IF($A678&gt;'1-Input'!$B$26,0,(MAX(0,B671-IF($A678&gt;='1-Input'!$C$12,'1-Input'!$B$12,0))-MIN(MAX(F677,0),MAX(0,B671-IF($A678&gt;='1-Input'!$C$12,'1-Input'!$B$12,0))))*(1/(1-'P-Parametri'!$B$6*B678))+MIN(MAX(0,G677-(MAX(0,B671-IF($A678&gt;='1-Input'!$C$12,'1-Input'!$B$12,0))-MIN(MAX(F677,0),MAX(0,B671-IF($A678&gt;='1-Input'!$C$12,'1-Input'!$B$12,0))))*(1/(1-'P-Parametri'!$B$6*B678))),MAX(0,0*B671-(F677-MIN(MAX(F677,0),MAX(0,B671-IF($A678&gt;='1-Input'!$C$12,'1-Input'!$B$12,0)))))*(1/(1-'P-Parametri'!$B$6*B678))))</f>
        <v>18219.42416761236</v>
      </c>
      <c r="D678" s="18">
        <f>IF($A678&gt;'1-Input'!$B$26,F677,(F677-MAX(0,B671-IF($A678&gt;='1-Input'!$C$12,'1-Input'!$B$12,0))+C678*(1-'P-Parametri'!$B$6*B678))*(1+'1-Input'!$B$27))</f>
        <v>0</v>
      </c>
      <c r="E678" s="18">
        <f>IF($A678&gt;'1-Input'!$B$26,G677,(G677-C678)*(1+$D$4))</f>
        <v>429182.70406635565</v>
      </c>
      <c r="F678" s="18">
        <f>IF($A678&gt;'1-Input'!$B$26,D678,D678-'P-Parametri'!$B$8*(E678+D678)+MIN(MAX(E678,0),'P-Parametri'!$B$8*(E678+D678)))</f>
        <v>0</v>
      </c>
      <c r="G678" s="18">
        <f>IF($A678&gt;'1-Input'!$B$26,E678,E678-MIN(MAX(E678,0),'P-Parametri'!$B$8*(E678+D678)))</f>
        <v>428324.33865822293</v>
      </c>
      <c r="H678" s="18">
        <f>IF($A678&gt;'1-Input'!$B$26,H677,H677-C678*(1-B678))</f>
        <v>278658.22522741108</v>
      </c>
      <c r="I678" s="11">
        <f>IF($A678&gt;'1-Input'!$B$26,0,IF(N677&lt;=0,0,MAX(0,(N677-O677)/N677)))</f>
        <v>0.32475248538510304</v>
      </c>
      <c r="J678" s="18">
        <f>IF($A678&gt;'1-Input'!$B$26,0,(MAX(0,I671-IF($A678&gt;='1-Input'!$C$12,'1-Input'!$B$12,0))-MIN(MAX(M677,0),MAX(0,I671-IF($A678&gt;='1-Input'!$C$12,'1-Input'!$B$12,0))))*(1/(1-'P-Parametri'!$B$6*I678))+MIN(MAX(0,N677-(MAX(0,I671-IF($A678&gt;='1-Input'!$C$12,'1-Input'!$B$12,0))-MIN(MAX(M677,0),MAX(0,I671-IF($A678&gt;='1-Input'!$C$12,'1-Input'!$B$12,0))))*(1/(1-'P-Parametri'!$B$6*I678))),MAX(0,0*I671-(M677-MIN(MAX(M677,0),MAX(0,I671-IF($A678&gt;='1-Input'!$C$12,'1-Input'!$B$12,0)))))*(1/(1-'P-Parametri'!$B$6*I678))))</f>
        <v>23972.926536332052</v>
      </c>
      <c r="K678" s="18">
        <f>IF($A678&gt;'1-Input'!$B$26,M677,(M677-MAX(0,I671-IF($A678&gt;='1-Input'!$C$12,'1-Input'!$B$12,0))+J678*(1-'P-Parametri'!$B$6*I678))*(1+'1-Input'!$B$27))</f>
        <v>0</v>
      </c>
      <c r="L678" s="18">
        <f>IF($A678&gt;'1-Input'!$B$26,N677,(N677-J678)*(1+$D$4))</f>
        <v>397402.33614620421</v>
      </c>
      <c r="M678" s="18">
        <f>IF($A678&gt;'1-Input'!$B$26,K678,K678-'P-Parametri'!$B$8*(L678+K678)+MIN(MAX(L678,0),'P-Parametri'!$B$8*(L678+K678)))</f>
        <v>0</v>
      </c>
      <c r="N678" s="18">
        <f>IF($A678&gt;'1-Input'!$B$26,L678,L678-MIN(MAX(L678,0),'P-Parametri'!$B$8*(L678+K678)))</f>
        <v>396607.53147391177</v>
      </c>
      <c r="O678" s="18">
        <f>IF($A678&gt;'1-Input'!$B$26,O677,O677-J678*(1-I678))</f>
        <v>258023.9805623829</v>
      </c>
      <c r="P678" s="11">
        <f>IF($A678&gt;'1-Input'!$B$26,0,IF(U677&lt;=0,0,MAX(0,(U677-V677)/U677)))</f>
        <v>0.3247524853851031</v>
      </c>
      <c r="Q678" s="18">
        <f>IF($A678&gt;'1-Input'!$B$26,0,(MAX(0,P671-IF($A678&gt;='1-Input'!$C$12,'1-Input'!$B$12,0))-MIN(MAX(T677,0),MAX(0,P671-IF($A678&gt;='1-Input'!$C$12,'1-Input'!$B$12,0))))*(1/(1-'P-Parametri'!$B$6*P678))+MIN(MAX(0,U677-(MAX(0,P671-IF($A678&gt;='1-Input'!$C$12,'1-Input'!$B$12,0))-MIN(MAX(T677,0),MAX(0,P671-IF($A678&gt;='1-Input'!$C$12,'1-Input'!$B$12,0))))*(1/(1-'P-Parametri'!$B$6*P678))),MAX(0,0*P671-(T677-MIN(MAX(T677,0),MAX(0,P671-IF($A678&gt;='1-Input'!$C$12,'1-Input'!$B$12,0)))))*(1/(1-'P-Parametri'!$B$6*P678))))</f>
        <v>22821.00341813952</v>
      </c>
      <c r="R678" s="18">
        <f>IF($A678&gt;'1-Input'!$B$26,T677,(T677-MAX(0,P671-IF($A678&gt;='1-Input'!$C$12,'1-Input'!$B$12,0))+Q678*(1-'P-Parametri'!$B$6*P678))*(1+'1-Input'!$B$27))</f>
        <v>0</v>
      </c>
      <c r="S678" s="18">
        <f>IF($A678&gt;'1-Input'!$B$26,U677,(U677-Q678)*(1+$D$4))</f>
        <v>403765.16319758736</v>
      </c>
      <c r="T678" s="18">
        <f>IF($A678&gt;'1-Input'!$B$26,R678,R678-'P-Parametri'!$B$8*(S678+R678)+MIN(MAX(S678,0),'P-Parametri'!$B$8*(S678+R678)))</f>
        <v>0</v>
      </c>
      <c r="U678" s="18">
        <f>IF($A678&gt;'1-Input'!$B$26,S678,S678-MIN(MAX(S678,0),'P-Parametri'!$B$8*(S678+R678)))</f>
        <v>402957.63287119218</v>
      </c>
      <c r="V678" s="18">
        <f>IF($A678&gt;'1-Input'!$B$26,V677,V677-Q678*(1-P678))</f>
        <v>262155.21436273953</v>
      </c>
      <c r="W678" s="11">
        <f>IF($A678&gt;'1-Input'!$B$26,0,IF(AB677&lt;=0,0,MAX(0,(AB677-AC677)/AB677)))</f>
        <v>0.32475248538510293</v>
      </c>
      <c r="X678" s="18">
        <f>IF($A678&gt;'1-Input'!$B$26,0,(MAX(0,W671-IF($A678&gt;='1-Input'!$C$12,'1-Input'!$B$12,0))-MIN(MAX(AA677,0),MAX(0,W671-IF($A678&gt;='1-Input'!$C$12,'1-Input'!$B$12,0))))*(1/(1-'P-Parametri'!$B$6*W678))+MIN(MAX(0,AB677-(MAX(0,W671-IF($A678&gt;='1-Input'!$C$12,'1-Input'!$B$12,0))-MIN(MAX(AA677,0),MAX(0,W671-IF($A678&gt;='1-Input'!$C$12,'1-Input'!$B$12,0))))*(1/(1-'P-Parametri'!$B$6*W678))),MAX(0,0*W671-(AA677-MIN(MAX(AA677,0),MAX(0,W671-IF($A678&gt;='1-Input'!$C$12,'1-Input'!$B$12,0)))))*(1/(1-'P-Parametri'!$B$6*W678))))</f>
        <v>22590.720040032978</v>
      </c>
      <c r="Y678" s="18">
        <f>IF($A678&gt;'1-Input'!$B$26,AA677,(AA677-MAX(0,W671-IF($A678&gt;='1-Input'!$C$12,'1-Input'!$B$12,0))+X678*(1-'P-Parametri'!$B$6*W678))*(1+'1-Input'!$B$27))</f>
        <v>0</v>
      </c>
      <c r="Z678" s="18">
        <f>IF($A678&gt;'1-Input'!$B$26,AB677,(AB677-X678)*(1+$D$4))</f>
        <v>405037.16936237318</v>
      </c>
      <c r="AA678" s="18">
        <f>IF($A678&gt;'1-Input'!$B$26,Y678,Y678-'P-Parametri'!$B$8*(Z678+Y678)+MIN(MAX(Z678,0),'P-Parametri'!$B$8*(Z678+Y678)))</f>
        <v>0</v>
      </c>
      <c r="AB678" s="18">
        <f>IF($A678&gt;'1-Input'!$B$26,Z678,Z678-MIN(MAX(Z678,0),'P-Parametri'!$B$8*(Z678+Y678)))</f>
        <v>404227.09502364846</v>
      </c>
      <c r="AC678" s="18">
        <f>IF($A678&gt;'1-Input'!$B$26,AC677,AC677-X678*(1-W678))</f>
        <v>262981.0980178804</v>
      </c>
      <c r="AD678" s="11">
        <f>IF($A678&gt;'1-Input'!$B$26,0,IF(AI677&lt;=0,0,MAX(0,(AI677-AJ677)/AI677)))</f>
        <v>0.3247524853851031</v>
      </c>
      <c r="AE678" s="18">
        <f>IF($A678&gt;'1-Input'!$B$26,0,(MAX(0,AD671-IF($A678&gt;='1-Input'!$C$12,'1-Input'!$B$12,0))-MIN(MAX(AH677,0),MAX(0,AD671-IF($A678&gt;='1-Input'!$C$12,'1-Input'!$B$12,0))))*(1/(1-'P-Parametri'!$B$6*AD678))+MIN(MAX(0,AI677-(MAX(0,AD671-IF($A678&gt;='1-Input'!$C$12,'1-Input'!$B$12,0))-MIN(MAX(AH677,0),MAX(0,AD671-IF($A678&gt;='1-Input'!$C$12,'1-Input'!$B$12,0))))*(1/(1-'P-Parametri'!$B$6*AD678))),MAX(0,0*AD671-(AH677-MIN(MAX(AH677,0),MAX(0,AD671-IF($A678&gt;='1-Input'!$C$12,'1-Input'!$B$12,0)))))*(1/(1-'P-Parametri'!$B$6*AD678))))</f>
        <v>22592.921525686979</v>
      </c>
      <c r="AF678" s="18">
        <f>IF($A678&gt;'1-Input'!$B$26,AH677,(AH677-MAX(0,AD671-IF($A678&gt;='1-Input'!$C$12,'1-Input'!$B$12,0))+AE678*(1-'P-Parametri'!$B$6*AD678))*(1+'1-Input'!$B$27))</f>
        <v>0</v>
      </c>
      <c r="AG678" s="18">
        <f>IF($A678&gt;'1-Input'!$B$26,AI677,(AI677-AE678)*(1+$D$4))</f>
        <v>405025.00911291607</v>
      </c>
      <c r="AH678" s="18">
        <f>IF($A678&gt;'1-Input'!$B$26,AF678,AF678-'P-Parametri'!$B$8*(AG678+AF678)+MIN(MAX(AG678,0),'P-Parametri'!$B$8*(AG678+AF678)))</f>
        <v>0</v>
      </c>
      <c r="AI678" s="18">
        <f>IF($A678&gt;'1-Input'!$B$26,AG678,AG678-MIN(MAX(AG678,0),'P-Parametri'!$B$8*(AG678+AF678)))</f>
        <v>404214.95909469022</v>
      </c>
      <c r="AJ678" s="18">
        <f>IF($A678&gt;'1-Input'!$B$26,AJ677,AJ677-AE678*(1-AD678))</f>
        <v>262973.20265420439</v>
      </c>
      <c r="AK678" s="11">
        <f>IF($A678&gt;'1-Input'!$B$26,0,IF(AP677&lt;=0,0,MAX(0,(AP677-AQ677)/AP677)))</f>
        <v>0.32475248538510321</v>
      </c>
      <c r="AL678" s="18">
        <f>IF($A678&gt;'1-Input'!$B$26,0,(MAX(0,AK671-IF($A678&gt;='1-Input'!$C$12,'1-Input'!$B$12,0))-MIN(MAX(AO677,0),MAX(0,AK671-IF($A678&gt;='1-Input'!$C$12,'1-Input'!$B$12,0))))*(1/(1-'P-Parametri'!$B$6*AK678))+MIN(MAX(0,AP677-(MAX(0,AK671-IF($A678&gt;='1-Input'!$C$12,'1-Input'!$B$12,0))-MIN(MAX(AO677,0),MAX(0,AK671-IF($A678&gt;='1-Input'!$C$12,'1-Input'!$B$12,0))))*(1/(1-'P-Parametri'!$B$6*AK678))),MAX(0,0*AK671-(AO677-MIN(MAX(AO677,0),MAX(0,AK671-IF($A678&gt;='1-Input'!$C$12,'1-Input'!$B$12,0)))))*(1/(1-'P-Parametri'!$B$6*AK678))))</f>
        <v>22592.480460341256</v>
      </c>
      <c r="AM678" s="18">
        <f>IF($A678&gt;'1-Input'!$B$26,AO677,(AO677-MAX(0,AK671-IF($A678&gt;='1-Input'!$C$12,'1-Input'!$B$12,0))+AL678*(1-'P-Parametri'!$B$6*AK678))*(1+'1-Input'!$B$27))</f>
        <v>0</v>
      </c>
      <c r="AN678" s="18">
        <f>IF($A678&gt;'1-Input'!$B$26,AP677,(AP677-AL678)*(1+$D$4))</f>
        <v>405027.44540616253</v>
      </c>
      <c r="AO678" s="18">
        <f>IF($A678&gt;'1-Input'!$B$26,AM678,AM678-'P-Parametri'!$B$8*(AN678+AM678)+MIN(MAX(AN678,0),'P-Parametri'!$B$8*(AN678+AM678)))</f>
        <v>0</v>
      </c>
      <c r="AP678" s="18">
        <f>IF($A678&gt;'1-Input'!$B$26,AN678,AN678-MIN(MAX(AN678,0),'P-Parametri'!$B$8*(AN678+AM678)))</f>
        <v>404217.39051535021</v>
      </c>
      <c r="AQ678" s="18">
        <f>IF($A678&gt;'1-Input'!$B$26,AQ677,AQ677-AL678*(1-AK678))</f>
        <v>262974.78448205005</v>
      </c>
    </row>
    <row r="679" spans="1:43">
      <c r="A679" s="10">
        <f>6</f>
        <v>6</v>
      </c>
      <c r="B679" s="11">
        <f>IF($A679&gt;'1-Input'!$B$26,0,IF(G678&lt;=0,0,MAX(0,(G678-H678)/G678)))</f>
        <v>0.34942238841635476</v>
      </c>
      <c r="C679" s="18">
        <f>IF($A679&gt;'1-Input'!$B$26,0,(MAX(0,B671-IF($A679&gt;='1-Input'!$C$12,'1-Input'!$B$12,0))-MIN(MAX(F678,0),MAX(0,B671-IF($A679&gt;='1-Input'!$C$12,'1-Input'!$B$12,0))))*(1/(1-'P-Parametri'!$B$6*B679))+MIN(MAX(0,G678-(MAX(0,B671-IF($A679&gt;='1-Input'!$C$12,'1-Input'!$B$12,0))-MIN(MAX(F678,0),MAX(0,B671-IF($A679&gt;='1-Input'!$C$12,'1-Input'!$B$12,0))))*(1/(1-'P-Parametri'!$B$6*B679))),MAX(0,0*B671-(F678-MIN(MAX(F678,0),MAX(0,B671-IF($A679&gt;='1-Input'!$C$12,'1-Input'!$B$12,0)))))*(1/(1-'P-Parametri'!$B$6*B679))))</f>
        <v>18347.964615437046</v>
      </c>
      <c r="D679" s="18">
        <f>IF($A679&gt;'1-Input'!$B$26,F678,(F678-MAX(0,B671-IF($A679&gt;='1-Input'!$C$12,'1-Input'!$B$12,0))+C679*(1-'P-Parametri'!$B$6*B679))*(1+'1-Input'!$B$27))</f>
        <v>0</v>
      </c>
      <c r="E679" s="18">
        <f>IF($A679&gt;'1-Input'!$B$26,G678,(G678-C679)*(1+$D$4))</f>
        <v>426375.42900449736</v>
      </c>
      <c r="F679" s="18">
        <f>IF($A679&gt;'1-Input'!$B$26,D679,D679-'P-Parametri'!$B$8*(E679+D679)+MIN(MAX(E679,0),'P-Parametri'!$B$8*(E679+D679)))</f>
        <v>0</v>
      </c>
      <c r="G679" s="18">
        <f>IF($A679&gt;'1-Input'!$B$26,E679,E679-MIN(MAX(E679,0),'P-Parametri'!$B$8*(E679+D679)))</f>
        <v>425522.67814648838</v>
      </c>
      <c r="H679" s="18">
        <f>IF($A679&gt;'1-Input'!$B$26,H678,H678-C679*(1-B679))</f>
        <v>266721.45023047883</v>
      </c>
      <c r="I679" s="11">
        <f>IF($A679&gt;'1-Input'!$B$26,0,IF(N678&lt;=0,0,MAX(0,(N678-O678)/N678)))</f>
        <v>0.34942238841635481</v>
      </c>
      <c r="J679" s="18">
        <f>IF($A679&gt;'1-Input'!$B$26,0,(MAX(0,I671-IF($A679&gt;='1-Input'!$C$12,'1-Input'!$B$12,0))-MIN(MAX(M678,0),MAX(0,I671-IF($A679&gt;='1-Input'!$C$12,'1-Input'!$B$12,0))))*(1/(1-'P-Parametri'!$B$6*I679))+MIN(MAX(0,N678-(MAX(0,I671-IF($A679&gt;='1-Input'!$C$12,'1-Input'!$B$12,0))-MIN(MAX(M678,0),MAX(0,I671-IF($A679&gt;='1-Input'!$C$12,'1-Input'!$B$12,0))))*(1/(1-'P-Parametri'!$B$6*I679))),MAX(0,0*I671-(M678-MIN(MAX(M678,0),MAX(0,I671-IF($A679&gt;='1-Input'!$C$12,'1-Input'!$B$12,0)))))*(1/(1-'P-Parametri'!$B$6*I679))))</f>
        <v>24142.058704522431</v>
      </c>
      <c r="K679" s="18">
        <f>IF($A679&gt;'1-Input'!$B$26,M678,(M678-MAX(0,I671-IF($A679&gt;='1-Input'!$C$12,'1-Input'!$B$12,0))+J679*(1-'P-Parametri'!$B$6*I679))*(1+'1-Input'!$B$27))</f>
        <v>0</v>
      </c>
      <c r="L679" s="18">
        <f>IF($A679&gt;'1-Input'!$B$26,N678,(N678-J679)*(1+$D$4))</f>
        <v>387364.09168016491</v>
      </c>
      <c r="M679" s="18">
        <f>IF($A679&gt;'1-Input'!$B$26,K679,K679-'P-Parametri'!$B$8*(L679+K679)+MIN(MAX(L679,0),'P-Parametri'!$B$8*(L679+K679)))</f>
        <v>0</v>
      </c>
      <c r="N679" s="18">
        <f>IF($A679&gt;'1-Input'!$B$26,L679,L679-MIN(MAX(L679,0),'P-Parametri'!$B$8*(L679+K679)))</f>
        <v>386589.36349680461</v>
      </c>
      <c r="O679" s="18">
        <f>IF($A679&gt;'1-Input'!$B$26,O678,O678-J679*(1-I679))</f>
        <v>242317.69767168254</v>
      </c>
      <c r="P679" s="11">
        <f>IF($A679&gt;'1-Input'!$B$26,0,IF(U678&lt;=0,0,MAX(0,(U678-V678)/U678)))</f>
        <v>0.34942238841635492</v>
      </c>
      <c r="Q679" s="18">
        <f>IF($A679&gt;'1-Input'!$B$26,0,(MAX(0,P671-IF($A679&gt;='1-Input'!$C$12,'1-Input'!$B$12,0))-MIN(MAX(T678,0),MAX(0,P671-IF($A679&gt;='1-Input'!$C$12,'1-Input'!$B$12,0))))*(1/(1-'P-Parametri'!$B$6*P679))+MIN(MAX(0,U678-(MAX(0,P671-IF($A679&gt;='1-Input'!$C$12,'1-Input'!$B$12,0))-MIN(MAX(T678,0),MAX(0,P671-IF($A679&gt;='1-Input'!$C$12,'1-Input'!$B$12,0))))*(1/(1-'P-Parametri'!$B$6*P679))),MAX(0,0*P671-(T678-MIN(MAX(T678,0),MAX(0,P671-IF($A679&gt;='1-Input'!$C$12,'1-Input'!$B$12,0)))))*(1/(1-'P-Parametri'!$B$6*P679))))</f>
        <v>22982.008616338426</v>
      </c>
      <c r="R679" s="18">
        <f>IF($A679&gt;'1-Input'!$B$26,T678,(T678-MAX(0,P671-IF($A679&gt;='1-Input'!$C$12,'1-Input'!$B$12,0))+Q679*(1-'P-Parametri'!$B$6*P679))*(1+'1-Input'!$B$27))</f>
        <v>0</v>
      </c>
      <c r="S679" s="18">
        <f>IF($A679&gt;'1-Input'!$B$26,U678,(U678-Q679)*(1+$D$4))</f>
        <v>395174.64922504791</v>
      </c>
      <c r="T679" s="18">
        <f>IF($A679&gt;'1-Input'!$B$26,R679,R679-'P-Parametri'!$B$8*(S679+R679)+MIN(MAX(S679,0),'P-Parametri'!$B$8*(S679+R679)))</f>
        <v>0</v>
      </c>
      <c r="U679" s="18">
        <f>IF($A679&gt;'1-Input'!$B$26,S679,S679-MIN(MAX(S679,0),'P-Parametri'!$B$8*(S679+R679)))</f>
        <v>394384.2999265978</v>
      </c>
      <c r="V679" s="18">
        <f>IF($A679&gt;'1-Input'!$B$26,V678,V678-Q679*(1-P679))</f>
        <v>247203.63408772732</v>
      </c>
      <c r="W679" s="11">
        <f>IF($A679&gt;'1-Input'!$B$26,0,IF(AB678&lt;=0,0,MAX(0,(AB678-AC678)/AB678)))</f>
        <v>0.34942238841635481</v>
      </c>
      <c r="X679" s="18">
        <f>IF($A679&gt;'1-Input'!$B$26,0,(MAX(0,W671-IF($A679&gt;='1-Input'!$C$12,'1-Input'!$B$12,0))-MIN(MAX(AA678,0),MAX(0,W671-IF($A679&gt;='1-Input'!$C$12,'1-Input'!$B$12,0))))*(1/(1-'P-Parametri'!$B$6*W679))+MIN(MAX(0,AB678-(MAX(0,W671-IF($A679&gt;='1-Input'!$C$12,'1-Input'!$B$12,0))-MIN(MAX(AA678,0),MAX(0,W671-IF($A679&gt;='1-Input'!$C$12,'1-Input'!$B$12,0))))*(1/(1-'P-Parametri'!$B$6*W679))),MAX(0,0*W671-(AA678-MIN(MAX(AA678,0),MAX(0,W671-IF($A679&gt;='1-Input'!$C$12,'1-Input'!$B$12,0)))))*(1/(1-'P-Parametri'!$B$6*W679))))</f>
        <v>22750.10055853421</v>
      </c>
      <c r="Y679" s="18">
        <f>IF($A679&gt;'1-Input'!$B$26,AA678,(AA678-MAX(0,W671-IF($A679&gt;='1-Input'!$C$12,'1-Input'!$B$12,0))+X679*(1-'P-Parametri'!$B$6*W679))*(1+'1-Input'!$B$27))</f>
        <v>0</v>
      </c>
      <c r="Z679" s="18">
        <f>IF($A679&gt;'1-Input'!$B$26,AB678,(AB678-X679)*(1+$D$4))</f>
        <v>396736.07424371882</v>
      </c>
      <c r="AA679" s="18">
        <f>IF($A679&gt;'1-Input'!$B$26,Y679,Y679-'P-Parametri'!$B$8*(Z679+Y679)+MIN(MAX(Z679,0),'P-Parametri'!$B$8*(Z679+Y679)))</f>
        <v>0</v>
      </c>
      <c r="AB679" s="18">
        <f>IF($A679&gt;'1-Input'!$B$26,Z679,Z679-MIN(MAX(Z679,0),'P-Parametri'!$B$8*(Z679+Y679)))</f>
        <v>395942.60209523136</v>
      </c>
      <c r="AC679" s="18">
        <f>IF($A679&gt;'1-Input'!$B$26,AC678,AC678-X679*(1-W679))</f>
        <v>248180.39193322146</v>
      </c>
      <c r="AD679" s="11">
        <f>IF($A679&gt;'1-Input'!$B$26,0,IF(AI678&lt;=0,0,MAX(0,(AI678-AJ678)/AI678)))</f>
        <v>0.34942238841635481</v>
      </c>
      <c r="AE679" s="18">
        <f>IF($A679&gt;'1-Input'!$B$26,0,(MAX(0,AD671-IF($A679&gt;='1-Input'!$C$12,'1-Input'!$B$12,0))-MIN(MAX(AH678,0),MAX(0,AD671-IF($A679&gt;='1-Input'!$C$12,'1-Input'!$B$12,0))))*(1/(1-'P-Parametri'!$B$6*AD679))+MIN(MAX(0,AI678-(MAX(0,AD671-IF($A679&gt;='1-Input'!$C$12,'1-Input'!$B$12,0))-MIN(MAX(AH678,0),MAX(0,AD671-IF($A679&gt;='1-Input'!$C$12,'1-Input'!$B$12,0))))*(1/(1-'P-Parametri'!$B$6*AD679))),MAX(0,0*AD671-(AH678-MIN(MAX(AH678,0),MAX(0,AD671-IF($A679&gt;='1-Input'!$C$12,'1-Input'!$B$12,0)))))*(1/(1-'P-Parametri'!$B$6*AD679))))</f>
        <v>22752.317575960747</v>
      </c>
      <c r="AF679" s="18">
        <f>IF($A679&gt;'1-Input'!$B$26,AH678,(AH678-MAX(0,AD671-IF($A679&gt;='1-Input'!$C$12,'1-Input'!$B$12,0))+AE679*(1-'P-Parametri'!$B$6*AD679))*(1+'1-Input'!$B$27))</f>
        <v>0</v>
      </c>
      <c r="AG679" s="18">
        <f>IF($A679&gt;'1-Input'!$B$26,AI678,(AI678-AE679)*(1+$D$4))</f>
        <v>396721.14717947866</v>
      </c>
      <c r="AH679" s="18">
        <f>IF($A679&gt;'1-Input'!$B$26,AF679,AF679-'P-Parametri'!$B$8*(AG679+AF679)+MIN(MAX(AG679,0),'P-Parametri'!$B$8*(AG679+AF679)))</f>
        <v>0</v>
      </c>
      <c r="AI679" s="18">
        <f>IF($A679&gt;'1-Input'!$B$26,AG679,AG679-MIN(MAX(AG679,0),'P-Parametri'!$B$8*(AG679+AF679)))</f>
        <v>395927.70488511969</v>
      </c>
      <c r="AJ679" s="18">
        <f>IF($A679&gt;'1-Input'!$B$26,AJ678,AJ678-AE679*(1-AD679))</f>
        <v>248171.05422764324</v>
      </c>
      <c r="AK679" s="11">
        <f>IF($A679&gt;'1-Input'!$B$26,0,IF(AP678&lt;=0,0,MAX(0,(AP678-AQ678)/AP678)))</f>
        <v>0.34942238841635503</v>
      </c>
      <c r="AL679" s="18">
        <f>IF($A679&gt;'1-Input'!$B$26,0,(MAX(0,AK671-IF($A679&gt;='1-Input'!$C$12,'1-Input'!$B$12,0))-MIN(MAX(AO678,0),MAX(0,AK671-IF($A679&gt;='1-Input'!$C$12,'1-Input'!$B$12,0))))*(1/(1-'P-Parametri'!$B$6*AK679))+MIN(MAX(0,AP678-(MAX(0,AK671-IF($A679&gt;='1-Input'!$C$12,'1-Input'!$B$12,0))-MIN(MAX(AO678,0),MAX(0,AK671-IF($A679&gt;='1-Input'!$C$12,'1-Input'!$B$12,0))))*(1/(1-'P-Parametri'!$B$6*AK679))),MAX(0,0*AK671-(AO678-MIN(MAX(AO678,0),MAX(0,AK671-IF($A679&gt;='1-Input'!$C$12,'1-Input'!$B$12,0)))))*(1/(1-'P-Parametri'!$B$6*AK679))))</f>
        <v>22751.873398840668</v>
      </c>
      <c r="AM679" s="18">
        <f>IF($A679&gt;'1-Input'!$B$26,AO678,(AO678-MAX(0,AK671-IF($A679&gt;='1-Input'!$C$12,'1-Input'!$B$12,0))+AL679*(1-'P-Parametri'!$B$6*AK679))*(1+'1-Input'!$B$27))</f>
        <v>3.6248820833861826E-12</v>
      </c>
      <c r="AN679" s="18">
        <f>IF($A679&gt;'1-Input'!$B$26,AP678,(AP678-AL679)*(1+$D$4))</f>
        <v>396724.13780116994</v>
      </c>
      <c r="AO679" s="18">
        <f>IF($A679&gt;'1-Input'!$B$26,AM679,AM679-'P-Parametri'!$B$8*(AN679+AM679)+MIN(MAX(AN679,0),'P-Parametri'!$B$8*(AN679+AM679)))</f>
        <v>3.637978807091713E-12</v>
      </c>
      <c r="AP679" s="18">
        <f>IF($A679&gt;'1-Input'!$B$26,AN679,AN679-MIN(MAX(AN679,0),'P-Parametri'!$B$8*(AN679+AM679)))</f>
        <v>395930.68952556758</v>
      </c>
      <c r="AQ679" s="18">
        <f>IF($A679&gt;'1-Input'!$B$26,AQ678,AQ678-AL679*(1-AK679))</f>
        <v>248172.9250271788</v>
      </c>
    </row>
    <row r="680" spans="1:43">
      <c r="A680" s="10">
        <f>7</f>
        <v>7</v>
      </c>
      <c r="B680" s="11">
        <f>IF($A680&gt;'1-Input'!$B$26,0,IF(G679&lt;=0,0,MAX(0,(G679-H679)/G679)))</f>
        <v>0.37319098621893287</v>
      </c>
      <c r="C680" s="18">
        <f>IF($A680&gt;'1-Input'!$B$26,0,(MAX(0,B671-IF($A680&gt;='1-Input'!$C$12,'1-Input'!$B$12,0))-MIN(MAX(F679,0),MAX(0,B671-IF($A680&gt;='1-Input'!$C$12,'1-Input'!$B$12,0))))*(1/(1-'P-Parametri'!$B$6*B680))+MIN(MAX(0,G679-(MAX(0,B671-IF($A680&gt;='1-Input'!$C$12,'1-Input'!$B$12,0))-MIN(MAX(F679,0),MAX(0,B671-IF($A680&gt;='1-Input'!$C$12,'1-Input'!$B$12,0))))*(1/(1-'P-Parametri'!$B$6*B680))),MAX(0,0*B671-(F679-MIN(MAX(F679,0),MAX(0,B671-IF($A680&gt;='1-Input'!$C$12,'1-Input'!$B$12,0)))))*(1/(1-'P-Parametri'!$B$6*B680))))</f>
        <v>18473.536183296663</v>
      </c>
      <c r="D680" s="18">
        <f>IF($A680&gt;'1-Input'!$B$26,F679,(F679-MAX(0,B671-IF($A680&gt;='1-Input'!$C$12,'1-Input'!$B$12,0))+C680*(1-'P-Parametri'!$B$6*B680))*(1+'1-Input'!$B$27))</f>
        <v>0</v>
      </c>
      <c r="E680" s="18">
        <f>IF($A680&gt;'1-Input'!$B$26,G679,(G679-C680)*(1+$D$4))</f>
        <v>423331.1076417194</v>
      </c>
      <c r="F680" s="18">
        <f>IF($A680&gt;'1-Input'!$B$26,D680,D680-'P-Parametri'!$B$8*(E680+D680)+MIN(MAX(E680,0),'P-Parametri'!$B$8*(E680+D680)))</f>
        <v>0</v>
      </c>
      <c r="G680" s="18">
        <f>IF($A680&gt;'1-Input'!$B$26,E680,E680-MIN(MAX(E680,0),'P-Parametri'!$B$8*(E680+D680)))</f>
        <v>422484.44542643597</v>
      </c>
      <c r="H680" s="18">
        <f>IF($A680&gt;'1-Input'!$B$26,H679,H679-C680*(1-B680))</f>
        <v>255142.0712343778</v>
      </c>
      <c r="I680" s="11">
        <f>IF($A680&gt;'1-Input'!$B$26,0,IF(N679&lt;=0,0,MAX(0,(N679-O679)/N679)))</f>
        <v>0.37319098621893293</v>
      </c>
      <c r="J680" s="18">
        <f>IF($A680&gt;'1-Input'!$B$26,0,(MAX(0,I671-IF($A680&gt;='1-Input'!$C$12,'1-Input'!$B$12,0))-MIN(MAX(M679,0),MAX(0,I671-IF($A680&gt;='1-Input'!$C$12,'1-Input'!$B$12,0))))*(1/(1-'P-Parametri'!$B$6*I680))+MIN(MAX(0,N679-(MAX(0,I671-IF($A680&gt;='1-Input'!$C$12,'1-Input'!$B$12,0))-MIN(MAX(M679,0),MAX(0,I671-IF($A680&gt;='1-Input'!$C$12,'1-Input'!$B$12,0))))*(1/(1-'P-Parametri'!$B$6*I680))),MAX(0,0*I671-(M679-MIN(MAX(M679,0),MAX(0,I671-IF($A680&gt;='1-Input'!$C$12,'1-Input'!$B$12,0)))))*(1/(1-'P-Parametri'!$B$6*I680))))</f>
        <v>24307.284451706146</v>
      </c>
      <c r="K680" s="18">
        <f>IF($A680&gt;'1-Input'!$B$26,M679,(M679-MAX(0,I671-IF($A680&gt;='1-Input'!$C$12,'1-Input'!$B$12,0))+J680*(1-'P-Parametri'!$B$6*I680))*(1+'1-Input'!$B$27))</f>
        <v>3.6248820833861826E-12</v>
      </c>
      <c r="L680" s="18">
        <f>IF($A680&gt;'1-Input'!$B$26,N679,(N679-J680)*(1+$D$4))</f>
        <v>376773.36220690241</v>
      </c>
      <c r="M680" s="18">
        <f>IF($A680&gt;'1-Input'!$B$26,K680,K680-'P-Parametri'!$B$8*(L680+K680)+MIN(MAX(L680,0),'P-Parametri'!$B$8*(L680+K680)))</f>
        <v>3.637978807091713E-12</v>
      </c>
      <c r="N680" s="18">
        <f>IF($A680&gt;'1-Input'!$B$26,L680,L680-MIN(MAX(L680,0),'P-Parametri'!$B$8*(L680+K680)))</f>
        <v>376019.8154824886</v>
      </c>
      <c r="O680" s="18">
        <f>IF($A680&gt;'1-Input'!$B$26,O679,O679-J680*(1-I680))</f>
        <v>227081.67267681274</v>
      </c>
      <c r="P680" s="11">
        <f>IF($A680&gt;'1-Input'!$B$26,0,IF(U679&lt;=0,0,MAX(0,(U679-V679)/U679)))</f>
        <v>0.37319098621893299</v>
      </c>
      <c r="Q680" s="18">
        <f>IF($A680&gt;'1-Input'!$B$26,0,(MAX(0,P671-IF($A680&gt;='1-Input'!$C$12,'1-Input'!$B$12,0))-MIN(MAX(T679,0),MAX(0,P671-IF($A680&gt;='1-Input'!$C$12,'1-Input'!$B$12,0))))*(1/(1-'P-Parametri'!$B$6*P680))+MIN(MAX(0,U679-(MAX(0,P671-IF($A680&gt;='1-Input'!$C$12,'1-Input'!$B$12,0))-MIN(MAX(T679,0),MAX(0,P671-IF($A680&gt;='1-Input'!$C$12,'1-Input'!$B$12,0))))*(1/(1-'P-Parametri'!$B$6*P680))),MAX(0,0*P671-(T679-MIN(MAX(T679,0),MAX(0,P671-IF($A680&gt;='1-Input'!$C$12,'1-Input'!$B$12,0)))))*(1/(1-'P-Parametri'!$B$6*P680))))</f>
        <v>23139.295100970565</v>
      </c>
      <c r="R680" s="18">
        <f>IF($A680&gt;'1-Input'!$B$26,T679,(T679-MAX(0,P671-IF($A680&gt;='1-Input'!$C$12,'1-Input'!$B$12,0))+Q680*(1-'P-Parametri'!$B$6*P680))*(1+'1-Input'!$B$27))</f>
        <v>0</v>
      </c>
      <c r="S680" s="18">
        <f>IF($A680&gt;'1-Input'!$B$26,U679,(U679-Q680)*(1+$D$4))</f>
        <v>386094.80501865235</v>
      </c>
      <c r="T680" s="18">
        <f>IF($A680&gt;'1-Input'!$B$26,R680,R680-'P-Parametri'!$B$8*(S680+R680)+MIN(MAX(S680,0),'P-Parametri'!$B$8*(S680+R680)))</f>
        <v>0</v>
      </c>
      <c r="U680" s="18">
        <f>IF($A680&gt;'1-Input'!$B$26,S680,S680-MIN(MAX(S680,0),'P-Parametri'!$B$8*(S680+R680)))</f>
        <v>385322.61540861503</v>
      </c>
      <c r="V680" s="18">
        <f>IF($A680&gt;'1-Input'!$B$26,V679,V679-Q680*(1-P680))</f>
        <v>232699.71534589888</v>
      </c>
      <c r="W680" s="11">
        <f>IF($A680&gt;'1-Input'!$B$26,0,IF(AB679&lt;=0,0,MAX(0,(AB679-AC679)/AB679)))</f>
        <v>0.37319098621893287</v>
      </c>
      <c r="X680" s="18">
        <f>IF($A680&gt;'1-Input'!$B$26,0,(MAX(0,W671-IF($A680&gt;='1-Input'!$C$12,'1-Input'!$B$12,0))-MIN(MAX(AA679,0),MAX(0,W671-IF($A680&gt;='1-Input'!$C$12,'1-Input'!$B$12,0))))*(1/(1-'P-Parametri'!$B$6*W680))+MIN(MAX(0,AB679-(MAX(0,W671-IF($A680&gt;='1-Input'!$C$12,'1-Input'!$B$12,0))-MIN(MAX(AA679,0),MAX(0,W671-IF($A680&gt;='1-Input'!$C$12,'1-Input'!$B$12,0))))*(1/(1-'P-Parametri'!$B$6*W680))),MAX(0,0*W671-(AA679-MIN(MAX(AA679,0),MAX(0,W671-IF($A680&gt;='1-Input'!$C$12,'1-Input'!$B$12,0)))))*(1/(1-'P-Parametri'!$B$6*W680))))</f>
        <v>22905.799888458554</v>
      </c>
      <c r="Y680" s="18">
        <f>IF($A680&gt;'1-Input'!$B$26,AA679,(AA679-MAX(0,W671-IF($A680&gt;='1-Input'!$C$12,'1-Input'!$B$12,0))+X680*(1-'P-Parametri'!$B$6*W680))*(1+'1-Input'!$B$27))</f>
        <v>0</v>
      </c>
      <c r="Z680" s="18">
        <f>IF($A680&gt;'1-Input'!$B$26,AB679,(AB679-X680)*(1+$D$4))</f>
        <v>387958.27429504372</v>
      </c>
      <c r="AA680" s="18">
        <f>IF($A680&gt;'1-Input'!$B$26,Y680,Y680-'P-Parametri'!$B$8*(Z680+Y680)+MIN(MAX(Z680,0),'P-Parametri'!$B$8*(Z680+Y680)))</f>
        <v>0</v>
      </c>
      <c r="AB680" s="18">
        <f>IF($A680&gt;'1-Input'!$B$26,Z680,Z680-MIN(MAX(Z680,0),'P-Parametri'!$B$8*(Z680+Y680)))</f>
        <v>387182.35774645366</v>
      </c>
      <c r="AC680" s="18">
        <f>IF($A680&gt;'1-Input'!$B$26,AC679,AC679-X680*(1-W680))</f>
        <v>233822.83009527027</v>
      </c>
      <c r="AD680" s="11">
        <f>IF($A680&gt;'1-Input'!$B$26,0,IF(AI679&lt;=0,0,MAX(0,(AI679-AJ679)/AI679)))</f>
        <v>0.37319098621893293</v>
      </c>
      <c r="AE680" s="18">
        <f>IF($A680&gt;'1-Input'!$B$26,0,(MAX(0,AD671-IF($A680&gt;='1-Input'!$C$12,'1-Input'!$B$12,0))-MIN(MAX(AH679,0),MAX(0,AD671-IF($A680&gt;='1-Input'!$C$12,'1-Input'!$B$12,0))))*(1/(1-'P-Parametri'!$B$6*AD680))+MIN(MAX(0,AI679-(MAX(0,AD671-IF($A680&gt;='1-Input'!$C$12,'1-Input'!$B$12,0))-MIN(MAX(AH679,0),MAX(0,AD671-IF($A680&gt;='1-Input'!$C$12,'1-Input'!$B$12,0))))*(1/(1-'P-Parametri'!$B$6*AD680))),MAX(0,0*AD671-(AH679-MIN(MAX(AH679,0),MAX(0,AD671-IF($A680&gt;='1-Input'!$C$12,'1-Input'!$B$12,0)))))*(1/(1-'P-Parametri'!$B$6*AD680))))</f>
        <v>22908.032078922544</v>
      </c>
      <c r="AF680" s="18">
        <f>IF($A680&gt;'1-Input'!$B$26,AH679,(AH679-MAX(0,AD671-IF($A680&gt;='1-Input'!$C$12,'1-Input'!$B$12,0))+AE680*(1-'P-Parametri'!$B$6*AD680))*(1+'1-Input'!$B$27))</f>
        <v>0</v>
      </c>
      <c r="AG680" s="18">
        <f>IF($A680&gt;'1-Input'!$B$26,AI679,(AI679-AE680)*(1+$D$4))</f>
        <v>387940.45971844502</v>
      </c>
      <c r="AH680" s="18">
        <f>IF($A680&gt;'1-Input'!$B$26,AF680,AF680-'P-Parametri'!$B$8*(AG680+AF680)+MIN(MAX(AG680,0),'P-Parametri'!$B$8*(AG680+AF680)))</f>
        <v>0</v>
      </c>
      <c r="AI680" s="18">
        <f>IF($A680&gt;'1-Input'!$B$26,AG680,AG680-MIN(MAX(AG680,0),'P-Parametri'!$B$8*(AG680+AF680)))</f>
        <v>387164.57879900816</v>
      </c>
      <c r="AJ680" s="18">
        <f>IF($A680&gt;'1-Input'!$B$26,AJ679,AJ679-AE680*(1-AD680))</f>
        <v>233812.09323258876</v>
      </c>
      <c r="AK680" s="11">
        <f>IF($A680&gt;'1-Input'!$B$26,0,IF(AP679&lt;=0,0,MAX(0,(AP679-AQ679)/AP679)))</f>
        <v>0.3731909862189331</v>
      </c>
      <c r="AL680" s="18">
        <f>IF($A680&gt;'1-Input'!$B$26,0,(MAX(0,AK671-IF($A680&gt;='1-Input'!$C$12,'1-Input'!$B$12,0))-MIN(MAX(AO679,0),MAX(0,AK671-IF($A680&gt;='1-Input'!$C$12,'1-Input'!$B$12,0))))*(1/(1-'P-Parametri'!$B$6*AK680))+MIN(MAX(0,AP679-(MAX(0,AK671-IF($A680&gt;='1-Input'!$C$12,'1-Input'!$B$12,0))-MIN(MAX(AO679,0),MAX(0,AK671-IF($A680&gt;='1-Input'!$C$12,'1-Input'!$B$12,0))))*(1/(1-'P-Parametri'!$B$6*AK680))),MAX(0,0*AK671-(AO679-MIN(MAX(AO679,0),MAX(0,AK671-IF($A680&gt;='1-Input'!$C$12,'1-Input'!$B$12,0)))))*(1/(1-'P-Parametri'!$B$6*AK680))))</f>
        <v>22907.58486190029</v>
      </c>
      <c r="AM680" s="18">
        <f>IF($A680&gt;'1-Input'!$B$26,AO679,(AO679-MAX(0,AK671-IF($A680&gt;='1-Input'!$C$12,'1-Input'!$B$12,0))+AL680*(1-'P-Parametri'!$B$6*AK680))*(1+'1-Input'!$B$27))</f>
        <v>0</v>
      </c>
      <c r="AN680" s="18">
        <f>IF($A680&gt;'1-Input'!$B$26,AP679,(AP679-AL680)*(1+$D$4))</f>
        <v>387944.02885021397</v>
      </c>
      <c r="AO680" s="18">
        <f>IF($A680&gt;'1-Input'!$B$26,AM680,AM680-'P-Parametri'!$B$8*(AN680+AM680)+MIN(MAX(AN680,0),'P-Parametri'!$B$8*(AN680+AM680)))</f>
        <v>0</v>
      </c>
      <c r="AP680" s="18">
        <f>IF($A680&gt;'1-Input'!$B$26,AN680,AN680-MIN(MAX(AN680,0),'P-Parametri'!$B$8*(AN680+AM680)))</f>
        <v>387168.14079251356</v>
      </c>
      <c r="AQ680" s="18">
        <f>IF($A680&gt;'1-Input'!$B$26,AQ679,AQ679-AL680*(1-AK680))</f>
        <v>233814.24435178499</v>
      </c>
    </row>
    <row r="681" spans="1:43">
      <c r="A681" s="10">
        <f>8</f>
        <v>8</v>
      </c>
      <c r="B681" s="11">
        <f>IF($A681&gt;'1-Input'!$B$26,0,IF(G680&lt;=0,0,MAX(0,(G680-H680)/G680)))</f>
        <v>0.39609120762576389</v>
      </c>
      <c r="C681" s="18">
        <f>IF($A681&gt;'1-Input'!$B$26,0,(MAX(0,B671-IF($A681&gt;='1-Input'!$C$12,'1-Input'!$B$12,0))-MIN(MAX(F680,0),MAX(0,B671-IF($A681&gt;='1-Input'!$C$12,'1-Input'!$B$12,0))))*(1/(1-'P-Parametri'!$B$6*B681))+MIN(MAX(0,G680-(MAX(0,B671-IF($A681&gt;='1-Input'!$C$12,'1-Input'!$B$12,0))-MIN(MAX(F680,0),MAX(0,B671-IF($A681&gt;='1-Input'!$C$12,'1-Input'!$B$12,0))))*(1/(1-'P-Parametri'!$B$6*B681))),MAX(0,0*B671-(F680-MIN(MAX(F680,0),MAX(0,B671-IF($A681&gt;='1-Input'!$C$12,'1-Input'!$B$12,0)))))*(1/(1-'P-Parametri'!$B$6*B681))))</f>
        <v>18596.156585616398</v>
      </c>
      <c r="D681" s="18">
        <f>IF($A681&gt;'1-Input'!$B$26,F680,(F680-MAX(0,B671-IF($A681&gt;='1-Input'!$C$12,'1-Input'!$B$12,0))+C681*(1-'P-Parametri'!$B$6*B681))*(1+'1-Input'!$B$27))</f>
        <v>0</v>
      </c>
      <c r="E681" s="18">
        <f>IF($A681&gt;'1-Input'!$B$26,G680,(G680-C681)*(1+$D$4))</f>
        <v>420043.82039445237</v>
      </c>
      <c r="F681" s="18">
        <f>IF($A681&gt;'1-Input'!$B$26,D681,D681-'P-Parametri'!$B$8*(E681+D681)+MIN(MAX(E681,0),'P-Parametri'!$B$8*(E681+D681)))</f>
        <v>0</v>
      </c>
      <c r="G681" s="18">
        <f>IF($A681&gt;'1-Input'!$B$26,E681,E681-MIN(MAX(E681,0),'P-Parametri'!$B$8*(E681+D681)))</f>
        <v>419203.73275366344</v>
      </c>
      <c r="H681" s="18">
        <f>IF($A681&gt;'1-Input'!$B$26,H680,H680-C681*(1-B681))</f>
        <v>243911.68876795599</v>
      </c>
      <c r="I681" s="11">
        <f>IF($A681&gt;'1-Input'!$B$26,0,IF(N680&lt;=0,0,MAX(0,(N680-O680)/N680)))</f>
        <v>0.396091207625764</v>
      </c>
      <c r="J681" s="18">
        <f>IF($A681&gt;'1-Input'!$B$26,0,(MAX(0,I671-IF($A681&gt;='1-Input'!$C$12,'1-Input'!$B$12,0))-MIN(MAX(M680,0),MAX(0,I671-IF($A681&gt;='1-Input'!$C$12,'1-Input'!$B$12,0))))*(1/(1-'P-Parametri'!$B$6*I681))+MIN(MAX(0,N680-(MAX(0,I671-IF($A681&gt;='1-Input'!$C$12,'1-Input'!$B$12,0))-MIN(MAX(M680,0),MAX(0,I671-IF($A681&gt;='1-Input'!$C$12,'1-Input'!$B$12,0))))*(1/(1-'P-Parametri'!$B$6*I681))),MAX(0,0*I671-(M680-MIN(MAX(M680,0),MAX(0,I671-IF($A681&gt;='1-Input'!$C$12,'1-Input'!$B$12,0)))))*(1/(1-'P-Parametri'!$B$6*I681))))</f>
        <v>24468.627086337368</v>
      </c>
      <c r="K681" s="18">
        <f>IF($A681&gt;'1-Input'!$B$26,M680,(M680-MAX(0,I671-IF($A681&gt;='1-Input'!$C$12,'1-Input'!$B$12,0))+J681*(1-'P-Parametri'!$B$6*I681))*(1+'1-Input'!$B$27))</f>
        <v>0</v>
      </c>
      <c r="L681" s="18">
        <f>IF($A681&gt;'1-Input'!$B$26,N680,(N680-J681)*(1+$D$4))</f>
        <v>365613.2359319973</v>
      </c>
      <c r="M681" s="18">
        <f>IF($A681&gt;'1-Input'!$B$26,K681,K681-'P-Parametri'!$B$8*(L681+K681)+MIN(MAX(L681,0),'P-Parametri'!$B$8*(L681+K681)))</f>
        <v>0</v>
      </c>
      <c r="N681" s="18">
        <f>IF($A681&gt;'1-Input'!$B$26,L681,L681-MIN(MAX(L681,0),'P-Parametri'!$B$8*(L681+K681)))</f>
        <v>364882.00946013333</v>
      </c>
      <c r="O681" s="18">
        <f>IF($A681&gt;'1-Input'!$B$26,O680,O680-J681*(1-I681))</f>
        <v>212304.85364204721</v>
      </c>
      <c r="P681" s="11">
        <f>IF($A681&gt;'1-Input'!$B$26,0,IF(U680&lt;=0,0,MAX(0,(U680-V680)/U680)))</f>
        <v>0.39609120762576405</v>
      </c>
      <c r="Q681" s="18">
        <f>IF($A681&gt;'1-Input'!$B$26,0,(MAX(0,P671-IF($A681&gt;='1-Input'!$C$12,'1-Input'!$B$12,0))-MIN(MAX(T680,0),MAX(0,P671-IF($A681&gt;='1-Input'!$C$12,'1-Input'!$B$12,0))))*(1/(1-'P-Parametri'!$B$6*P681))+MIN(MAX(0,U680-(MAX(0,P671-IF($A681&gt;='1-Input'!$C$12,'1-Input'!$B$12,0))-MIN(MAX(T680,0),MAX(0,P671-IF($A681&gt;='1-Input'!$C$12,'1-Input'!$B$12,0))))*(1/(1-'P-Parametri'!$B$6*P681))),MAX(0,0*P671-(T680-MIN(MAX(T680,0),MAX(0,P671-IF($A681&gt;='1-Input'!$C$12,'1-Input'!$B$12,0)))))*(1/(1-'P-Parametri'!$B$6*P681))))</f>
        <v>23292.885060495562</v>
      </c>
      <c r="R681" s="18">
        <f>IF($A681&gt;'1-Input'!$B$26,T680,(T680-MAX(0,P671-IF($A681&gt;='1-Input'!$C$12,'1-Input'!$B$12,0))+Q681*(1-'P-Parametri'!$B$6*P681))*(1+'1-Input'!$B$27))</f>
        <v>3.6248820833861826E-12</v>
      </c>
      <c r="S681" s="18">
        <f>IF($A681&gt;'1-Input'!$B$26,U680,(U680-Q681)*(1+$D$4))</f>
        <v>376510.91956204426</v>
      </c>
      <c r="T681" s="18">
        <f>IF($A681&gt;'1-Input'!$B$26,R681,R681-'P-Parametri'!$B$8*(S681+R681)+MIN(MAX(S681,0),'P-Parametri'!$B$8*(S681+R681)))</f>
        <v>3.637978807091713E-12</v>
      </c>
      <c r="U681" s="18">
        <f>IF($A681&gt;'1-Input'!$B$26,S681,S681-MIN(MAX(S681,0),'P-Parametri'!$B$8*(S681+R681)))</f>
        <v>375757.89772292017</v>
      </c>
      <c r="V681" s="18">
        <f>IF($A681&gt;'1-Input'!$B$26,V680,V680-Q681*(1-P681))</f>
        <v>218632.93725810311</v>
      </c>
      <c r="W681" s="11">
        <f>IF($A681&gt;'1-Input'!$B$26,0,IF(AB680&lt;=0,0,MAX(0,(AB680-AC680)/AB680)))</f>
        <v>0.39609120762576394</v>
      </c>
      <c r="X681" s="18">
        <f>IF($A681&gt;'1-Input'!$B$26,0,(MAX(0,W671-IF($A681&gt;='1-Input'!$C$12,'1-Input'!$B$12,0))-MIN(MAX(AA680,0),MAX(0,W671-IF($A681&gt;='1-Input'!$C$12,'1-Input'!$B$12,0))))*(1/(1-'P-Parametri'!$B$6*W681))+MIN(MAX(0,AB680-(MAX(0,W671-IF($A681&gt;='1-Input'!$C$12,'1-Input'!$B$12,0))-MIN(MAX(AA680,0),MAX(0,W671-IF($A681&gt;='1-Input'!$C$12,'1-Input'!$B$12,0))))*(1/(1-'P-Parametri'!$B$6*W681))),MAX(0,0*W671-(AA680-MIN(MAX(AA680,0),MAX(0,W671-IF($A681&gt;='1-Input'!$C$12,'1-Input'!$B$12,0)))))*(1/(1-'P-Parametri'!$B$6*W681))))</f>
        <v>23057.839994365171</v>
      </c>
      <c r="Y681" s="18">
        <f>IF($A681&gt;'1-Input'!$B$26,AA680,(AA680-MAX(0,W671-IF($A681&gt;='1-Input'!$C$12,'1-Input'!$B$12,0))+X681*(1-'P-Parametri'!$B$6*W681))*(1+'1-Input'!$B$27))</f>
        <v>0</v>
      </c>
      <c r="Z681" s="18">
        <f>IF($A681&gt;'1-Input'!$B$26,AB680,(AB680-X681)*(1+$D$4))</f>
        <v>378689.49846217205</v>
      </c>
      <c r="AA681" s="18">
        <f>IF($A681&gt;'1-Input'!$B$26,Y681,Y681-'P-Parametri'!$B$8*(Z681+Y681)+MIN(MAX(Z681,0),'P-Parametri'!$B$8*(Z681+Y681)))</f>
        <v>0</v>
      </c>
      <c r="AB681" s="18">
        <f>IF($A681&gt;'1-Input'!$B$26,Z681,Z681-MIN(MAX(Z681,0),'P-Parametri'!$B$8*(Z681+Y681)))</f>
        <v>377932.11946524773</v>
      </c>
      <c r="AC681" s="18">
        <f>IF($A681&gt;'1-Input'!$B$26,AC680,AC680-X681*(1-W681))</f>
        <v>219897.99778951483</v>
      </c>
      <c r="AD681" s="11">
        <f>IF($A681&gt;'1-Input'!$B$26,0,IF(AI680&lt;=0,0,MAX(0,(AI680-AJ680)/AI680)))</f>
        <v>0.396091207625764</v>
      </c>
      <c r="AE681" s="18">
        <f>IF($A681&gt;'1-Input'!$B$26,0,(MAX(0,AD671-IF($A681&gt;='1-Input'!$C$12,'1-Input'!$B$12,0))-MIN(MAX(AH680,0),MAX(0,AD671-IF($A681&gt;='1-Input'!$C$12,'1-Input'!$B$12,0))))*(1/(1-'P-Parametri'!$B$6*AD681))+MIN(MAX(0,AI680-(MAX(0,AD671-IF($A681&gt;='1-Input'!$C$12,'1-Input'!$B$12,0))-MIN(MAX(AH680,0),MAX(0,AD671-IF($A681&gt;='1-Input'!$C$12,'1-Input'!$B$12,0))))*(1/(1-'P-Parametri'!$B$6*AD681))),MAX(0,0*AD671-(AH680-MIN(MAX(AH680,0),MAX(0,AD671-IF($A681&gt;='1-Input'!$C$12,'1-Input'!$B$12,0)))))*(1/(1-'P-Parametri'!$B$6*AD681))))</f>
        <v>23060.08700127199</v>
      </c>
      <c r="AF681" s="18">
        <f>IF($A681&gt;'1-Input'!$B$26,AH680,(AH680-MAX(0,AD671-IF($A681&gt;='1-Input'!$C$12,'1-Input'!$B$12,0))+AE681*(1-'P-Parametri'!$B$6*AD681))*(1+'1-Input'!$B$27))</f>
        <v>0</v>
      </c>
      <c r="AG681" s="18">
        <f>IF($A681&gt;'1-Input'!$B$26,AI680,(AI680-AE681)*(1+$D$4))</f>
        <v>378668.67146964563</v>
      </c>
      <c r="AH681" s="18">
        <f>IF($A681&gt;'1-Input'!$B$26,AF681,AF681-'P-Parametri'!$B$8*(AG681+AF681)+MIN(MAX(AG681,0),'P-Parametri'!$B$8*(AG681+AF681)))</f>
        <v>0</v>
      </c>
      <c r="AI681" s="18">
        <f>IF($A681&gt;'1-Input'!$B$26,AG681,AG681-MIN(MAX(AG681,0),'P-Parametri'!$B$8*(AG681+AF681)))</f>
        <v>377911.33412670635</v>
      </c>
      <c r="AJ681" s="18">
        <f>IF($A681&gt;'1-Input'!$B$26,AJ680,AJ680-AE681*(1-AD681))</f>
        <v>219885.90393960578</v>
      </c>
      <c r="AK681" s="11">
        <f>IF($A681&gt;'1-Input'!$B$26,0,IF(AP680&lt;=0,0,MAX(0,(AP680-AQ680)/AP680)))</f>
        <v>0.39609120762576411</v>
      </c>
      <c r="AL681" s="18">
        <f>IF($A681&gt;'1-Input'!$B$26,0,(MAX(0,AK671-IF($A681&gt;='1-Input'!$C$12,'1-Input'!$B$12,0))-MIN(MAX(AO680,0),MAX(0,AK671-IF($A681&gt;='1-Input'!$C$12,'1-Input'!$B$12,0))))*(1/(1-'P-Parametri'!$B$6*AK681))+MIN(MAX(0,AP680-(MAX(0,AK671-IF($A681&gt;='1-Input'!$C$12,'1-Input'!$B$12,0))-MIN(MAX(AO680,0),MAX(0,AK671-IF($A681&gt;='1-Input'!$C$12,'1-Input'!$B$12,0))))*(1/(1-'P-Parametri'!$B$6*AK681))),MAX(0,0*AK671-(AO680-MIN(MAX(AO680,0),MAX(0,AK671-IF($A681&gt;='1-Input'!$C$12,'1-Input'!$B$12,0)))))*(1/(1-'P-Parametri'!$B$6*AK681))))</f>
        <v>23059.636815790931</v>
      </c>
      <c r="AM681" s="18">
        <f>IF($A681&gt;'1-Input'!$B$26,AO680,(AO680-MAX(0,AK671-IF($A681&gt;='1-Input'!$C$12,'1-Input'!$B$12,0))+AL681*(1-'P-Parametri'!$B$6*AK681))*(1+'1-Input'!$B$27))</f>
        <v>0</v>
      </c>
      <c r="AN681" s="18">
        <f>IF($A681&gt;'1-Input'!$B$26,AP680,(AP680-AL681)*(1+$D$4))</f>
        <v>378672.84413579153</v>
      </c>
      <c r="AO681" s="18">
        <f>IF($A681&gt;'1-Input'!$B$26,AM681,AM681-'P-Parametri'!$B$8*(AN681+AM681)+MIN(MAX(AN681,0),'P-Parametri'!$B$8*(AN681+AM681)))</f>
        <v>0</v>
      </c>
      <c r="AP681" s="18">
        <f>IF($A681&gt;'1-Input'!$B$26,AN681,AN681-MIN(MAX(AN681,0),'P-Parametri'!$B$8*(AN681+AM681)))</f>
        <v>377915.49844751996</v>
      </c>
      <c r="AQ681" s="18">
        <f>IF($A681&gt;'1-Input'!$B$26,AQ680,AQ680-AL681*(1-AK681))</f>
        <v>219888.32692977221</v>
      </c>
    </row>
    <row r="682" spans="1:43">
      <c r="A682" s="10">
        <f>9</f>
        <v>9</v>
      </c>
      <c r="B682" s="11">
        <f>IF($A682&gt;'1-Input'!$B$26,0,IF(G681&lt;=0,0,MAX(0,(G681-H681)/G681)))</f>
        <v>0.41815477842778243</v>
      </c>
      <c r="C682" s="18">
        <f>IF($A682&gt;'1-Input'!$B$26,0,(MAX(0,B671-IF($A682&gt;='1-Input'!$C$12,'1-Input'!$B$12,0))-MIN(MAX(F681,0),MAX(0,B671-IF($A682&gt;='1-Input'!$C$12,'1-Input'!$B$12,0))))*(1/(1-'P-Parametri'!$B$6*B682))+MIN(MAX(0,G681-(MAX(0,B671-IF($A682&gt;='1-Input'!$C$12,'1-Input'!$B$12,0))-MIN(MAX(F681,0),MAX(0,B671-IF($A682&gt;='1-Input'!$C$12,'1-Input'!$B$12,0))))*(1/(1-'P-Parametri'!$B$6*B682))),MAX(0,0*B671-(F681-MIN(MAX(F681,0),MAX(0,B671-IF($A682&gt;='1-Input'!$C$12,'1-Input'!$B$12,0)))))*(1/(1-'P-Parametri'!$B$6*B682))))</f>
        <v>18715.846704944332</v>
      </c>
      <c r="D682" s="18">
        <f>IF($A682&gt;'1-Input'!$B$26,F681,(F681-MAX(0,B671-IF($A682&gt;='1-Input'!$C$12,'1-Input'!$B$12,0))+C682*(1-'P-Parametri'!$B$6*B682))*(1+'1-Input'!$B$27))</f>
        <v>0</v>
      </c>
      <c r="E682" s="18">
        <f>IF($A682&gt;'1-Input'!$B$26,G681,(G681-C682)*(1+$D$4))</f>
        <v>416507.40149066789</v>
      </c>
      <c r="F682" s="18">
        <f>IF($A682&gt;'1-Input'!$B$26,D682,D682-'P-Parametri'!$B$8*(E682+D682)+MIN(MAX(E682,0),'P-Parametri'!$B$8*(E682+D682)))</f>
        <v>0</v>
      </c>
      <c r="G682" s="18">
        <f>IF($A682&gt;'1-Input'!$B$26,E682,E682-MIN(MAX(E682,0),'P-Parametri'!$B$8*(E682+D682)))</f>
        <v>415674.38668768655</v>
      </c>
      <c r="H682" s="18">
        <f>IF($A682&gt;'1-Input'!$B$26,H681,H681-C682*(1-B682))</f>
        <v>233021.96279500599</v>
      </c>
      <c r="I682" s="11">
        <f>IF($A682&gt;'1-Input'!$B$26,0,IF(N681&lt;=0,0,MAX(0,(N681-O681)/N681)))</f>
        <v>0.41815477842778259</v>
      </c>
      <c r="J682" s="18">
        <f>IF($A682&gt;'1-Input'!$B$26,0,(MAX(0,I671-IF($A682&gt;='1-Input'!$C$12,'1-Input'!$B$12,0))-MIN(MAX(M681,0),MAX(0,I671-IF($A682&gt;='1-Input'!$C$12,'1-Input'!$B$12,0))))*(1/(1-'P-Parametri'!$B$6*I682))+MIN(MAX(0,N681-(MAX(0,I671-IF($A682&gt;='1-Input'!$C$12,'1-Input'!$B$12,0))-MIN(MAX(M681,0),MAX(0,I671-IF($A682&gt;='1-Input'!$C$12,'1-Input'!$B$12,0))))*(1/(1-'P-Parametri'!$B$6*I682))),MAX(0,0*I671-(M681-MIN(MAX(M681,0),MAX(0,I671-IF($A682&gt;='1-Input'!$C$12,'1-Input'!$B$12,0)))))*(1/(1-'P-Parametri'!$B$6*I682))))</f>
        <v>24626.114085453071</v>
      </c>
      <c r="K682" s="18">
        <f>IF($A682&gt;'1-Input'!$B$26,M681,(M681-MAX(0,I671-IF($A682&gt;='1-Input'!$C$12,'1-Input'!$B$12,0))+J682*(1-'P-Parametri'!$B$6*I682))*(1+'1-Input'!$B$27))</f>
        <v>0</v>
      </c>
      <c r="L682" s="18">
        <f>IF($A682&gt;'1-Input'!$B$26,N681,(N681-J682)*(1+$D$4))</f>
        <v>353866.13118966745</v>
      </c>
      <c r="M682" s="18">
        <f>IF($A682&gt;'1-Input'!$B$26,K682,K682-'P-Parametri'!$B$8*(L682+K682)+MIN(MAX(L682,0),'P-Parametri'!$B$8*(L682+K682)))</f>
        <v>0</v>
      </c>
      <c r="N682" s="18">
        <f>IF($A682&gt;'1-Input'!$B$26,L682,L682-MIN(MAX(L682,0),'P-Parametri'!$B$8*(L682+K682)))</f>
        <v>353158.39892728813</v>
      </c>
      <c r="O682" s="18">
        <f>IF($A682&gt;'1-Input'!$B$26,O681,O681-J682*(1-I682))</f>
        <v>197976.26683553407</v>
      </c>
      <c r="P682" s="11">
        <f>IF($A682&gt;'1-Input'!$B$26,0,IF(U681&lt;=0,0,MAX(0,(U681-V681)/U681)))</f>
        <v>0.41815477842778254</v>
      </c>
      <c r="Q682" s="18">
        <f>IF($A682&gt;'1-Input'!$B$26,0,(MAX(0,P671-IF($A682&gt;='1-Input'!$C$12,'1-Input'!$B$12,0))-MIN(MAX(T681,0),MAX(0,P671-IF($A682&gt;='1-Input'!$C$12,'1-Input'!$B$12,0))))*(1/(1-'P-Parametri'!$B$6*P682))+MIN(MAX(0,U681-(MAX(0,P671-IF($A682&gt;='1-Input'!$C$12,'1-Input'!$B$12,0))-MIN(MAX(T681,0),MAX(0,P671-IF($A682&gt;='1-Input'!$C$12,'1-Input'!$B$12,0))))*(1/(1-'P-Parametri'!$B$6*P682))),MAX(0,0*P671-(T681-MIN(MAX(T681,0),MAX(0,P671-IF($A682&gt;='1-Input'!$C$12,'1-Input'!$B$12,0)))))*(1/(1-'P-Parametri'!$B$6*P682))))</f>
        <v>23442.80465165123</v>
      </c>
      <c r="R682" s="18">
        <f>IF($A682&gt;'1-Input'!$B$26,T681,(T681-MAX(0,P671-IF($A682&gt;='1-Input'!$C$12,'1-Input'!$B$12,0))+Q682*(1-'P-Parametri'!$B$6*P682))*(1+'1-Input'!$B$27))</f>
        <v>0</v>
      </c>
      <c r="S682" s="18">
        <f>IF($A682&gt;'1-Input'!$B$26,U681,(U681-Q682)*(1+$D$4))</f>
        <v>366407.69679411972</v>
      </c>
      <c r="T682" s="18">
        <f>IF($A682&gt;'1-Input'!$B$26,R682,R682-'P-Parametri'!$B$8*(S682+R682)+MIN(MAX(S682,0),'P-Parametri'!$B$8*(S682+R682)))</f>
        <v>0</v>
      </c>
      <c r="U682" s="18">
        <f>IF($A682&gt;'1-Input'!$B$26,S682,S682-MIN(MAX(S682,0),'P-Parametri'!$B$8*(S682+R682)))</f>
        <v>365674.88140053151</v>
      </c>
      <c r="V682" s="18">
        <f>IF($A682&gt;'1-Input'!$B$26,V681,V681-Q682*(1-P682))</f>
        <v>204992.8533912889</v>
      </c>
      <c r="W682" s="11">
        <f>IF($A682&gt;'1-Input'!$B$26,0,IF(AB681&lt;=0,0,MAX(0,(AB681-AC681)/AB681)))</f>
        <v>0.41815477842778254</v>
      </c>
      <c r="X682" s="18">
        <f>IF($A682&gt;'1-Input'!$B$26,0,(MAX(0,W671-IF($A682&gt;='1-Input'!$C$12,'1-Input'!$B$12,0))-MIN(MAX(AA681,0),MAX(0,W671-IF($A682&gt;='1-Input'!$C$12,'1-Input'!$B$12,0))))*(1/(1-'P-Parametri'!$B$6*W682))+MIN(MAX(0,AB681-(MAX(0,W671-IF($A682&gt;='1-Input'!$C$12,'1-Input'!$B$12,0))-MIN(MAX(AA681,0),MAX(0,W671-IF($A682&gt;='1-Input'!$C$12,'1-Input'!$B$12,0))))*(1/(1-'P-Parametri'!$B$6*W682))),MAX(0,0*W671-(AA681-MIN(MAX(AA681,0),MAX(0,W671-IF($A682&gt;='1-Input'!$C$12,'1-Input'!$B$12,0)))))*(1/(1-'P-Parametri'!$B$6*W682))))</f>
        <v>23206.246769048095</v>
      </c>
      <c r="Y682" s="18">
        <f>IF($A682&gt;'1-Input'!$B$26,AA681,(AA681-MAX(0,W671-IF($A682&gt;='1-Input'!$C$12,'1-Input'!$B$12,0))+X682*(1-'P-Parametri'!$B$6*W682))*(1+'1-Input'!$B$27))</f>
        <v>0</v>
      </c>
      <c r="Z682" s="18">
        <f>IF($A682&gt;'1-Input'!$B$26,AB681,(AB681-X682)*(1+$D$4))</f>
        <v>368914.90760404762</v>
      </c>
      <c r="AA682" s="18">
        <f>IF($A682&gt;'1-Input'!$B$26,Y682,Y682-'P-Parametri'!$B$8*(Z682+Y682)+MIN(MAX(Z682,0),'P-Parametri'!$B$8*(Z682+Y682)))</f>
        <v>0</v>
      </c>
      <c r="AB682" s="18">
        <f>IF($A682&gt;'1-Input'!$B$26,Z682,Z682-MIN(MAX(Z682,0),'P-Parametri'!$B$8*(Z682+Y682)))</f>
        <v>368177.07778883952</v>
      </c>
      <c r="AC682" s="18">
        <f>IF($A682&gt;'1-Input'!$B$26,AC681,AC681-X682*(1-W682))</f>
        <v>206395.55399631849</v>
      </c>
      <c r="AD682" s="11">
        <f>IF($A682&gt;'1-Input'!$B$26,0,IF(AI681&lt;=0,0,MAX(0,(AI681-AJ681)/AI681)))</f>
        <v>0.41815477842778248</v>
      </c>
      <c r="AE682" s="18">
        <f>IF($A682&gt;'1-Input'!$B$26,0,(MAX(0,AD671-IF($A682&gt;='1-Input'!$C$12,'1-Input'!$B$12,0))-MIN(MAX(AH681,0),MAX(0,AD671-IF($A682&gt;='1-Input'!$C$12,'1-Input'!$B$12,0))))*(1/(1-'P-Parametri'!$B$6*AD682))+MIN(MAX(0,AI681-(MAX(0,AD671-IF($A682&gt;='1-Input'!$C$12,'1-Input'!$B$12,0))-MIN(MAX(AH681,0),MAX(0,AD671-IF($A682&gt;='1-Input'!$C$12,'1-Input'!$B$12,0))))*(1/(1-'P-Parametri'!$B$6*AD682))),MAX(0,0*AD671-(AH681-MIN(MAX(AH681,0),MAX(0,AD671-IF($A682&gt;='1-Input'!$C$12,'1-Input'!$B$12,0)))))*(1/(1-'P-Parametri'!$B$6*AD682))))</f>
        <v>23208.508238326402</v>
      </c>
      <c r="AF682" s="18">
        <f>IF($A682&gt;'1-Input'!$B$26,AH681,(AH681-MAX(0,AD671-IF($A682&gt;='1-Input'!$C$12,'1-Input'!$B$12,0))+AE682*(1-'P-Parametri'!$B$6*AD682))*(1+'1-Input'!$B$27))</f>
        <v>0</v>
      </c>
      <c r="AG682" s="18">
        <f>IF($A682&gt;'1-Input'!$B$26,AI681,(AI681-AE682)*(1+$D$4))</f>
        <v>368890.93892391515</v>
      </c>
      <c r="AH682" s="18">
        <f>IF($A682&gt;'1-Input'!$B$26,AF682,AF682-'P-Parametri'!$B$8*(AG682+AF682)+MIN(MAX(AG682,0),'P-Parametri'!$B$8*(AG682+AF682)))</f>
        <v>0</v>
      </c>
      <c r="AI682" s="18">
        <f>IF($A682&gt;'1-Input'!$B$26,AG682,AG682-MIN(MAX(AG682,0),'P-Parametri'!$B$8*(AG682+AF682)))</f>
        <v>368153.1570460673</v>
      </c>
      <c r="AJ682" s="18">
        <f>IF($A682&gt;'1-Input'!$B$26,AJ681,AJ681-AE682*(1-AD682))</f>
        <v>206382.14432131613</v>
      </c>
      <c r="AK682" s="11">
        <f>IF($A682&gt;'1-Input'!$B$26,0,IF(AP681&lt;=0,0,MAX(0,(AP681-AQ681)/AP681)))</f>
        <v>0.41815477842778265</v>
      </c>
      <c r="AL682" s="18">
        <f>IF($A682&gt;'1-Input'!$B$26,0,(MAX(0,AK671-IF($A682&gt;='1-Input'!$C$12,'1-Input'!$B$12,0))-MIN(MAX(AO681,0),MAX(0,AK671-IF($A682&gt;='1-Input'!$C$12,'1-Input'!$B$12,0))))*(1/(1-'P-Parametri'!$B$6*AK682))+MIN(MAX(0,AP681-(MAX(0,AK671-IF($A682&gt;='1-Input'!$C$12,'1-Input'!$B$12,0))-MIN(MAX(AO681,0),MAX(0,AK671-IF($A682&gt;='1-Input'!$C$12,'1-Input'!$B$12,0))))*(1/(1-'P-Parametri'!$B$6*AK682))),MAX(0,0*AK671-(AO681-MIN(MAX(AO681,0),MAX(0,AK671-IF($A682&gt;='1-Input'!$C$12,'1-Input'!$B$12,0)))))*(1/(1-'P-Parametri'!$B$6*AK682))))</f>
        <v>23208.055155324357</v>
      </c>
      <c r="AM682" s="18">
        <f>IF($A682&gt;'1-Input'!$B$26,AO681,(AO681-MAX(0,AK671-IF($A682&gt;='1-Input'!$C$12,'1-Input'!$B$12,0))+AL682*(1-'P-Parametri'!$B$6*AK682))*(1+'1-Input'!$B$27))</f>
        <v>0</v>
      </c>
      <c r="AN682" s="18">
        <f>IF($A682&gt;'1-Input'!$B$26,AP681,(AP681-AL682)*(1+$D$4))</f>
        <v>368895.74102388346</v>
      </c>
      <c r="AO682" s="18">
        <f>IF($A682&gt;'1-Input'!$B$26,AM682,AM682-'P-Parametri'!$B$8*(AN682+AM682)+MIN(MAX(AN682,0),'P-Parametri'!$B$8*(AN682+AM682)))</f>
        <v>0</v>
      </c>
      <c r="AP682" s="18">
        <f>IF($A682&gt;'1-Input'!$B$26,AN682,AN682-MIN(MAX(AN682,0),'P-Parametri'!$B$8*(AN682+AM682)))</f>
        <v>368157.9495418357</v>
      </c>
      <c r="AQ682" s="18">
        <f>IF($A682&gt;'1-Input'!$B$26,AQ681,AQ681-AL682*(1-AK682))</f>
        <v>206384.83093566226</v>
      </c>
    </row>
    <row r="683" spans="1:43">
      <c r="A683" s="10">
        <f>10</f>
        <v>10</v>
      </c>
      <c r="B683" s="11">
        <f>IF($A683&gt;'1-Input'!$B$26,0,IF(G682&lt;=0,0,MAX(0,(G682-H682)/G682)))</f>
        <v>0.43941226532659783</v>
      </c>
      <c r="C683" s="18">
        <f>IF($A683&gt;'1-Input'!$B$26,0,(MAX(0,B671-IF($A683&gt;='1-Input'!$C$12,'1-Input'!$B$12,0))-MIN(MAX(F682,0),MAX(0,B671-IF($A683&gt;='1-Input'!$C$12,'1-Input'!$B$12,0))))*(1/(1-'P-Parametri'!$B$6*B683))+MIN(MAX(0,G682-(MAX(0,B671-IF($A683&gt;='1-Input'!$C$12,'1-Input'!$B$12,0))-MIN(MAX(F682,0),MAX(0,B671-IF($A683&gt;='1-Input'!$C$12,'1-Input'!$B$12,0))))*(1/(1-'P-Parametri'!$B$6*B683))),MAX(0,0*B671-(F682-MIN(MAX(F682,0),MAX(0,B671-IF($A683&gt;='1-Input'!$C$12,'1-Input'!$B$12,0)))))*(1/(1-'P-Parametri'!$B$6*B683))))</f>
        <v>18832.630398890964</v>
      </c>
      <c r="D683" s="18">
        <f>IF($A683&gt;'1-Input'!$B$26,F682,(F682-MAX(0,B671-IF($A683&gt;='1-Input'!$C$12,'1-Input'!$B$12,0))+C683*(1-'P-Parametri'!$B$6*B683))*(1+'1-Input'!$B$27))</f>
        <v>0</v>
      </c>
      <c r="E683" s="18">
        <f>IF($A683&gt;'1-Input'!$B$26,G682,(G682-C683)*(1+$D$4))</f>
        <v>412715.42654034746</v>
      </c>
      <c r="F683" s="18">
        <f>IF($A683&gt;'1-Input'!$B$26,D683,D683-'P-Parametri'!$B$8*(E683+D683)+MIN(MAX(E683,0),'P-Parametri'!$B$8*(E683+D683)))</f>
        <v>0</v>
      </c>
      <c r="G683" s="18">
        <f>IF($A683&gt;'1-Input'!$B$26,E683,E683-MIN(MAX(E683,0),'P-Parametri'!$B$8*(E683+D683)))</f>
        <v>411889.99568726675</v>
      </c>
      <c r="H683" s="18">
        <f>IF($A683&gt;'1-Input'!$B$26,H682,H682-C683*(1-B683))</f>
        <v>222464.62118175026</v>
      </c>
      <c r="I683" s="11">
        <f>IF($A683&gt;'1-Input'!$B$26,0,IF(N682&lt;=0,0,MAX(0,(N682-O682)/N682)))</f>
        <v>0.43941226532659794</v>
      </c>
      <c r="J683" s="18">
        <f>IF($A683&gt;'1-Input'!$B$26,0,(MAX(0,I671-IF($A683&gt;='1-Input'!$C$12,'1-Input'!$B$12,0))-MIN(MAX(M682,0),MAX(0,I671-IF($A683&gt;='1-Input'!$C$12,'1-Input'!$B$12,0))))*(1/(1-'P-Parametri'!$B$6*I683))+MIN(MAX(0,N682-(MAX(0,I671-IF($A683&gt;='1-Input'!$C$12,'1-Input'!$B$12,0))-MIN(MAX(M682,0),MAX(0,I671-IF($A683&gt;='1-Input'!$C$12,'1-Input'!$B$12,0))))*(1/(1-'P-Parametri'!$B$6*I683))),MAX(0,0*I671-(M682-MIN(MAX(M682,0),MAX(0,I671-IF($A683&gt;='1-Input'!$C$12,'1-Input'!$B$12,0)))))*(1/(1-'P-Parametri'!$B$6*I683))))</f>
        <v>24779.776840646009</v>
      </c>
      <c r="K683" s="18">
        <f>IF($A683&gt;'1-Input'!$B$26,M682,(M682-MAX(0,I671-IF($A683&gt;='1-Input'!$C$12,'1-Input'!$B$12,0))+J683*(1-'P-Parametri'!$B$6*I683))*(1+'1-Input'!$B$27))</f>
        <v>0</v>
      </c>
      <c r="L683" s="18">
        <f>IF($A683&gt;'1-Input'!$B$26,N682,(N682-J683)*(1+$D$4))</f>
        <v>341513.76697010786</v>
      </c>
      <c r="M683" s="18">
        <f>IF($A683&gt;'1-Input'!$B$26,K683,K683-'P-Parametri'!$B$8*(L683+K683)+MIN(MAX(L683,0),'P-Parametri'!$B$8*(L683+K683)))</f>
        <v>0</v>
      </c>
      <c r="N683" s="18">
        <f>IF($A683&gt;'1-Input'!$B$26,L683,L683-MIN(MAX(L683,0),'P-Parametri'!$B$8*(L683+K683)))</f>
        <v>340830.73943616764</v>
      </c>
      <c r="O683" s="18">
        <f>IF($A683&gt;'1-Input'!$B$26,O682,O682-J683*(1-I683))</f>
        <v>184085.02787072389</v>
      </c>
      <c r="P683" s="11">
        <f>IF($A683&gt;'1-Input'!$B$26,0,IF(U682&lt;=0,0,MAX(0,(U682-V682)/U682)))</f>
        <v>0.43941226532659799</v>
      </c>
      <c r="Q683" s="18">
        <f>IF($A683&gt;'1-Input'!$B$26,0,(MAX(0,P671-IF($A683&gt;='1-Input'!$C$12,'1-Input'!$B$12,0))-MIN(MAX(T682,0),MAX(0,P671-IF($A683&gt;='1-Input'!$C$12,'1-Input'!$B$12,0))))*(1/(1-'P-Parametri'!$B$6*P683))+MIN(MAX(0,U682-(MAX(0,P671-IF($A683&gt;='1-Input'!$C$12,'1-Input'!$B$12,0))-MIN(MAX(T682,0),MAX(0,P671-IF($A683&gt;='1-Input'!$C$12,'1-Input'!$B$12,0))))*(1/(1-'P-Parametri'!$B$6*P683))),MAX(0,0*P671-(T682-MIN(MAX(T682,0),MAX(0,P671-IF($A683&gt;='1-Input'!$C$12,'1-Input'!$B$12,0)))))*(1/(1-'P-Parametri'!$B$6*P683))))</f>
        <v>23589.083757632896</v>
      </c>
      <c r="R683" s="18">
        <f>IF($A683&gt;'1-Input'!$B$26,T682,(T682-MAX(0,P671-IF($A683&gt;='1-Input'!$C$12,'1-Input'!$B$12,0))+Q683*(1-'P-Parametri'!$B$6*P683))*(1+'1-Input'!$B$27))</f>
        <v>0</v>
      </c>
      <c r="S683" s="18">
        <f>IF($A683&gt;'1-Input'!$B$26,U682,(U682-Q683)*(1+$D$4))</f>
        <v>355769.22954861459</v>
      </c>
      <c r="T683" s="18">
        <f>IF($A683&gt;'1-Input'!$B$26,R683,R683-'P-Parametri'!$B$8*(S683+R683)+MIN(MAX(S683,0),'P-Parametri'!$B$8*(S683+R683)))</f>
        <v>0</v>
      </c>
      <c r="U683" s="18">
        <f>IF($A683&gt;'1-Input'!$B$26,S683,S683-MIN(MAX(S683,0),'P-Parametri'!$B$8*(S683+R683)))</f>
        <v>355057.69108951738</v>
      </c>
      <c r="V683" s="18">
        <f>IF($A683&gt;'1-Input'!$B$26,V682,V682-Q683*(1-P683))</f>
        <v>191769.10236457633</v>
      </c>
      <c r="W683" s="11">
        <f>IF($A683&gt;'1-Input'!$B$26,0,IF(AB682&lt;=0,0,MAX(0,(AB682-AC682)/AB682)))</f>
        <v>0.43941226532659794</v>
      </c>
      <c r="X683" s="18">
        <f>IF($A683&gt;'1-Input'!$B$26,0,(MAX(0,W671-IF($A683&gt;='1-Input'!$C$12,'1-Input'!$B$12,0))-MIN(MAX(AA682,0),MAX(0,W671-IF($A683&gt;='1-Input'!$C$12,'1-Input'!$B$12,0))))*(1/(1-'P-Parametri'!$B$6*W683))+MIN(MAX(0,AB682-(MAX(0,W671-IF($A683&gt;='1-Input'!$C$12,'1-Input'!$B$12,0))-MIN(MAX(AA682,0),MAX(0,W671-IF($A683&gt;='1-Input'!$C$12,'1-Input'!$B$12,0))))*(1/(1-'P-Parametri'!$B$6*W683))),MAX(0,0*W671-(AA682-MIN(MAX(AA682,0),MAX(0,W671-IF($A683&gt;='1-Input'!$C$12,'1-Input'!$B$12,0)))))*(1/(1-'P-Parametri'!$B$6*W683))))</f>
        <v>23351.049794155722</v>
      </c>
      <c r="Y683" s="18">
        <f>IF($A683&gt;'1-Input'!$B$26,AA682,(AA682-MAX(0,W671-IF($A683&gt;='1-Input'!$C$12,'1-Input'!$B$12,0))+X683*(1-'P-Parametri'!$B$6*W683))*(1+'1-Input'!$B$27))</f>
        <v>3.6248820833861826E-12</v>
      </c>
      <c r="Z683" s="18">
        <f>IF($A683&gt;'1-Input'!$B$26,AB682,(AB682-X683)*(1+$D$4))</f>
        <v>358619.0691144712</v>
      </c>
      <c r="AA683" s="18">
        <f>IF($A683&gt;'1-Input'!$B$26,Y683,Y683-'P-Parametri'!$B$8*(Z683+Y683)+MIN(MAX(Z683,0),'P-Parametri'!$B$8*(Z683+Y683)))</f>
        <v>3.637978807091713E-12</v>
      </c>
      <c r="AB683" s="18">
        <f>IF($A683&gt;'1-Input'!$B$26,Z683,Z683-MIN(MAX(Z683,0),'P-Parametri'!$B$8*(Z683+Y683)))</f>
        <v>357901.83097624226</v>
      </c>
      <c r="AC683" s="18">
        <f>IF($A683&gt;'1-Input'!$B$26,AC682,AC682-X683*(1-W683))</f>
        <v>193305.24188996691</v>
      </c>
      <c r="AD683" s="11">
        <f>IF($A683&gt;'1-Input'!$B$26,0,IF(AI682&lt;=0,0,MAX(0,(AI682-AJ682)/AI682)))</f>
        <v>0.43941226532659783</v>
      </c>
      <c r="AE683" s="18">
        <f>IF($A683&gt;'1-Input'!$B$26,0,(MAX(0,AD671-IF($A683&gt;='1-Input'!$C$12,'1-Input'!$B$12,0))-MIN(MAX(AH682,0),MAX(0,AD671-IF($A683&gt;='1-Input'!$C$12,'1-Input'!$B$12,0))))*(1/(1-'P-Parametri'!$B$6*AD683))+MIN(MAX(0,AI682-(MAX(0,AD671-IF($A683&gt;='1-Input'!$C$12,'1-Input'!$B$12,0))-MIN(MAX(AH682,0),MAX(0,AD671-IF($A683&gt;='1-Input'!$C$12,'1-Input'!$B$12,0))))*(1/(1-'P-Parametri'!$B$6*AD683))),MAX(0,0*AD671-(AH682-MIN(MAX(AH682,0),MAX(0,AD671-IF($A683&gt;='1-Input'!$C$12,'1-Input'!$B$12,0)))))*(1/(1-'P-Parametri'!$B$6*AD683))))</f>
        <v>23353.325374616932</v>
      </c>
      <c r="AF683" s="18">
        <f>IF($A683&gt;'1-Input'!$B$26,AH682,(AH682-MAX(0,AD671-IF($A683&gt;='1-Input'!$C$12,'1-Input'!$B$12,0))+AE683*(1-'P-Parametri'!$B$6*AD683))*(1+'1-Input'!$B$27))</f>
        <v>0</v>
      </c>
      <c r="AG683" s="18">
        <f>IF($A683&gt;'1-Input'!$B$26,AI682,(AI682-AE683)*(1+$D$4))</f>
        <v>358591.82493830839</v>
      </c>
      <c r="AH683" s="18">
        <f>IF($A683&gt;'1-Input'!$B$26,AF683,AF683-'P-Parametri'!$B$8*(AG683+AF683)+MIN(MAX(AG683,0),'P-Parametri'!$B$8*(AG683+AF683)))</f>
        <v>0</v>
      </c>
      <c r="AI683" s="18">
        <f>IF($A683&gt;'1-Input'!$B$26,AG683,AG683-MIN(MAX(AG683,0),'P-Parametri'!$B$8*(AG683+AF683)))</f>
        <v>357874.64128843177</v>
      </c>
      <c r="AJ683" s="18">
        <f>IF($A683&gt;'1-Input'!$B$26,AJ682,AJ682-AE683*(1-AD683))</f>
        <v>193290.55655246874</v>
      </c>
      <c r="AK683" s="11">
        <f>IF($A683&gt;'1-Input'!$B$26,0,IF(AP682&lt;=0,0,MAX(0,(AP682-AQ682)/AP682)))</f>
        <v>0.43941226532659811</v>
      </c>
      <c r="AL683" s="18">
        <f>IF($A683&gt;'1-Input'!$B$26,0,(MAX(0,AK671-IF($A683&gt;='1-Input'!$C$12,'1-Input'!$B$12,0))-MIN(MAX(AO682,0),MAX(0,AK671-IF($A683&gt;='1-Input'!$C$12,'1-Input'!$B$12,0))))*(1/(1-'P-Parametri'!$B$6*AK683))+MIN(MAX(0,AP682-(MAX(0,AK671-IF($A683&gt;='1-Input'!$C$12,'1-Input'!$B$12,0))-MIN(MAX(AO682,0),MAX(0,AK671-IF($A683&gt;='1-Input'!$C$12,'1-Input'!$B$12,0))))*(1/(1-'P-Parametri'!$B$6*AK683))),MAX(0,0*AK671-(AO682-MIN(MAX(AO682,0),MAX(0,AK671-IF($A683&gt;='1-Input'!$C$12,'1-Input'!$B$12,0)))))*(1/(1-'P-Parametri'!$B$6*AK683))))</f>
        <v>23352.869464454168</v>
      </c>
      <c r="AM683" s="18">
        <f>IF($A683&gt;'1-Input'!$B$26,AO682,(AO682-MAX(0,AK671-IF($A683&gt;='1-Input'!$C$12,'1-Input'!$B$12,0))+AL683*(1-'P-Parametri'!$B$6*AK683))*(1+'1-Input'!$B$27))</f>
        <v>3.6248820833861826E-12</v>
      </c>
      <c r="AN683" s="18">
        <f>IF($A683&gt;'1-Input'!$B$26,AP682,(AP682-AL683)*(1+$D$4))</f>
        <v>358597.28328047681</v>
      </c>
      <c r="AO683" s="18">
        <f>IF($A683&gt;'1-Input'!$B$26,AM683,AM683-'P-Parametri'!$B$8*(AN683+AM683)+MIN(MAX(AN683,0),'P-Parametri'!$B$8*(AN683+AM683)))</f>
        <v>3.637978807091713E-12</v>
      </c>
      <c r="AP683" s="18">
        <f>IF($A683&gt;'1-Input'!$B$26,AN683,AN683-MIN(MAX(AN683,0),'P-Parametri'!$B$8*(AN683+AM683)))</f>
        <v>357880.08871391584</v>
      </c>
      <c r="AQ683" s="18">
        <f>IF($A683&gt;'1-Input'!$B$26,AQ682,AQ682-AL683*(1-AK683))</f>
        <v>193293.49874446023</v>
      </c>
    </row>
    <row r="684" spans="1:43">
      <c r="A684" s="10">
        <f>11</f>
        <v>11</v>
      </c>
      <c r="B684" s="11">
        <f>IF($A684&gt;'1-Input'!$B$26,0,IF(G683&lt;=0,0,MAX(0,(G683-H683)/G683)))</f>
        <v>0.45989311828136842</v>
      </c>
      <c r="C684" s="18">
        <f>IF($A684&gt;'1-Input'!$B$26,0,(MAX(0,B671-IF($A684&gt;='1-Input'!$C$12,'1-Input'!$B$12,0))-MIN(MAX(F683,0),MAX(0,B671-IF($A684&gt;='1-Input'!$C$12,'1-Input'!$B$12,0))))*(1/(1-'P-Parametri'!$B$6*B684))+MIN(MAX(0,G683-(MAX(0,B671-IF($A684&gt;='1-Input'!$C$12,'1-Input'!$B$12,0))-MIN(MAX(F683,0),MAX(0,B671-IF($A684&gt;='1-Input'!$C$12,'1-Input'!$B$12,0))))*(1/(1-'P-Parametri'!$B$6*B684))),MAX(0,0*B671-(F683-MIN(MAX(F683,0),MAX(0,B671-IF($A684&gt;='1-Input'!$C$12,'1-Input'!$B$12,0)))))*(1/(1-'P-Parametri'!$B$6*B684))))</f>
        <v>18946.534307936254</v>
      </c>
      <c r="D684" s="18">
        <f>IF($A684&gt;'1-Input'!$B$26,F683,(F683-MAX(0,B671-IF($A684&gt;='1-Input'!$C$12,'1-Input'!$B$12,0))+C684*(1-'P-Parametri'!$B$6*B684))*(1+'1-Input'!$B$27))</f>
        <v>0</v>
      </c>
      <c r="E684" s="18">
        <f>IF($A684&gt;'1-Input'!$B$26,G683,(G683-C684)*(1+$D$4))</f>
        <v>408661.1998345037</v>
      </c>
      <c r="F684" s="18">
        <f>IF($A684&gt;'1-Input'!$B$26,D684,D684-'P-Parametri'!$B$8*(E684+D684)+MIN(MAX(E684,0),'P-Parametri'!$B$8*(E684+D684)))</f>
        <v>0</v>
      </c>
      <c r="G684" s="18">
        <f>IF($A684&gt;'1-Input'!$B$26,E684,E684-MIN(MAX(E684,0),'P-Parametri'!$B$8*(E684+D684)))</f>
        <v>407843.87743483466</v>
      </c>
      <c r="H684" s="18">
        <f>IF($A684&gt;'1-Input'!$B$26,H683,H683-C684*(1-B684))</f>
        <v>212231.46761731573</v>
      </c>
      <c r="I684" s="11">
        <f>IF($A684&gt;'1-Input'!$B$26,0,IF(N683&lt;=0,0,MAX(0,(N683-O683)/N683)))</f>
        <v>0.45989311828136853</v>
      </c>
      <c r="J684" s="18">
        <f>IF($A684&gt;'1-Input'!$B$26,0,(MAX(0,I671-IF($A684&gt;='1-Input'!$C$12,'1-Input'!$B$12,0))-MIN(MAX(M683,0),MAX(0,I671-IF($A684&gt;='1-Input'!$C$12,'1-Input'!$B$12,0))))*(1/(1-'P-Parametri'!$B$6*I684))+MIN(MAX(0,N683-(MAX(0,I671-IF($A684&gt;='1-Input'!$C$12,'1-Input'!$B$12,0))-MIN(MAX(M683,0),MAX(0,I671-IF($A684&gt;='1-Input'!$C$12,'1-Input'!$B$12,0))))*(1/(1-'P-Parametri'!$B$6*I684))),MAX(0,0*I671-(M683-MIN(MAX(M683,0),MAX(0,I671-IF($A684&gt;='1-Input'!$C$12,'1-Input'!$B$12,0)))))*(1/(1-'P-Parametri'!$B$6*I684))))</f>
        <v>24929.650405179284</v>
      </c>
      <c r="K684" s="18">
        <f>IF($A684&gt;'1-Input'!$B$26,M683,(M683-MAX(0,I671-IF($A684&gt;='1-Input'!$C$12,'1-Input'!$B$12,0))+J684*(1-'P-Parametri'!$B$6*I684))*(1+'1-Input'!$B$27))</f>
        <v>0</v>
      </c>
      <c r="L684" s="18">
        <f>IF($A684&gt;'1-Input'!$B$26,N683,(N683-J684)*(1+$D$4))</f>
        <v>328537.13259222789</v>
      </c>
      <c r="M684" s="18">
        <f>IF($A684&gt;'1-Input'!$B$26,K684,K684-'P-Parametri'!$B$8*(L684+K684)+MIN(MAX(L684,0),'P-Parametri'!$B$8*(L684+K684)))</f>
        <v>0</v>
      </c>
      <c r="N684" s="18">
        <f>IF($A684&gt;'1-Input'!$B$26,L684,L684-MIN(MAX(L684,0),'P-Parametri'!$B$8*(L684+K684)))</f>
        <v>327880.05832704343</v>
      </c>
      <c r="O684" s="18">
        <f>IF($A684&gt;'1-Input'!$B$26,O683,O683-J684*(1-I684))</f>
        <v>170620.35212804688</v>
      </c>
      <c r="P684" s="11">
        <f>IF($A684&gt;'1-Input'!$B$26,0,IF(U683&lt;=0,0,MAX(0,(U683-V683)/U683)))</f>
        <v>0.45989311828136858</v>
      </c>
      <c r="Q684" s="18">
        <f>IF($A684&gt;'1-Input'!$B$26,0,(MAX(0,P671-IF($A684&gt;='1-Input'!$C$12,'1-Input'!$B$12,0))-MIN(MAX(T683,0),MAX(0,P671-IF($A684&gt;='1-Input'!$C$12,'1-Input'!$B$12,0))))*(1/(1-'P-Parametri'!$B$6*P684))+MIN(MAX(0,U683-(MAX(0,P671-IF($A684&gt;='1-Input'!$C$12,'1-Input'!$B$12,0))-MIN(MAX(T683,0),MAX(0,P671-IF($A684&gt;='1-Input'!$C$12,'1-Input'!$B$12,0))))*(1/(1-'P-Parametri'!$B$6*P684))),MAX(0,0*P671-(T683-MIN(MAX(T683,0),MAX(0,P671-IF($A684&gt;='1-Input'!$C$12,'1-Input'!$B$12,0)))))*(1/(1-'P-Parametri'!$B$6*P684))))</f>
        <v>23731.755747359268</v>
      </c>
      <c r="R684" s="18">
        <f>IF($A684&gt;'1-Input'!$B$26,T683,(T683-MAX(0,P671-IF($A684&gt;='1-Input'!$C$12,'1-Input'!$B$12,0))+Q684*(1-'P-Parametri'!$B$6*P684))*(1+'1-Input'!$B$27))</f>
        <v>-3.6248820833861826E-12</v>
      </c>
      <c r="S684" s="18">
        <f>IF($A684&gt;'1-Input'!$B$26,U683,(U683-Q684)*(1+$D$4))</f>
        <v>344578.97275584447</v>
      </c>
      <c r="T684" s="18">
        <f>IF($A684&gt;'1-Input'!$B$26,R684,R684-'P-Parametri'!$B$8*(S684+R684)+MIN(MAX(S684,0),'P-Parametri'!$B$8*(S684+R684)))</f>
        <v>-3.637978807091713E-12</v>
      </c>
      <c r="U684" s="18">
        <f>IF($A684&gt;'1-Input'!$B$26,S684,S684-MIN(MAX(S684,0),'P-Parametri'!$B$8*(S684+R684)))</f>
        <v>343889.81481033278</v>
      </c>
      <c r="V684" s="18">
        <f>IF($A684&gt;'1-Input'!$B$26,V683,V683-Q684*(1-P684))</f>
        <v>178951.4177701619</v>
      </c>
      <c r="W684" s="11">
        <f>IF($A684&gt;'1-Input'!$B$26,0,IF(AB683&lt;=0,0,MAX(0,(AB683-AC683)/AB683)))</f>
        <v>0.45989311828136853</v>
      </c>
      <c r="X684" s="18">
        <f>IF($A684&gt;'1-Input'!$B$26,0,(MAX(0,W671-IF($A684&gt;='1-Input'!$C$12,'1-Input'!$B$12,0))-MIN(MAX(AA683,0),MAX(0,W671-IF($A684&gt;='1-Input'!$C$12,'1-Input'!$B$12,0))))*(1/(1-'P-Parametri'!$B$6*W684))+MIN(MAX(0,AB683-(MAX(0,W671-IF($A684&gt;='1-Input'!$C$12,'1-Input'!$B$12,0))-MIN(MAX(AA683,0),MAX(0,W671-IF($A684&gt;='1-Input'!$C$12,'1-Input'!$B$12,0))))*(1/(1-'P-Parametri'!$B$6*W684))),MAX(0,0*W671-(AA683-MIN(MAX(AA683,0),MAX(0,W671-IF($A684&gt;='1-Input'!$C$12,'1-Input'!$B$12,0)))))*(1/(1-'P-Parametri'!$B$6*W684))))</f>
        <v>23492.282101885929</v>
      </c>
      <c r="Y684" s="18">
        <f>IF($A684&gt;'1-Input'!$B$26,AA683,(AA683-MAX(0,W671-IF($A684&gt;='1-Input'!$C$12,'1-Input'!$B$12,0))+X684*(1-'P-Parametri'!$B$6*W684))*(1+'1-Input'!$B$27))</f>
        <v>-3.6248820833861826E-12</v>
      </c>
      <c r="Z684" s="18">
        <f>IF($A684&gt;'1-Input'!$B$26,AB683,(AB683-X684)*(1+$D$4))</f>
        <v>347785.93082933058</v>
      </c>
      <c r="AA684" s="18">
        <f>IF($A684&gt;'1-Input'!$B$26,Y684,Y684-'P-Parametri'!$B$8*(Z684+Y684)+MIN(MAX(Z684,0),'P-Parametri'!$B$8*(Z684+Y684)))</f>
        <v>-3.637978807091713E-12</v>
      </c>
      <c r="AB684" s="18">
        <f>IF($A684&gt;'1-Input'!$B$26,Z684,Z684-MIN(MAX(Z684,0),'P-Parametri'!$B$8*(Z684+Y684)))</f>
        <v>347090.35896767193</v>
      </c>
      <c r="AC684" s="18">
        <f>IF($A684&gt;'1-Input'!$B$26,AC683,AC683-X684*(1-W684))</f>
        <v>180616.8986594629</v>
      </c>
      <c r="AD684" s="11">
        <f>IF($A684&gt;'1-Input'!$B$26,0,IF(AI683&lt;=0,0,MAX(0,(AI683-AJ683)/AI683)))</f>
        <v>0.45989311828136836</v>
      </c>
      <c r="AE684" s="18">
        <f>IF($A684&gt;'1-Input'!$B$26,0,(MAX(0,AD671-IF($A684&gt;='1-Input'!$C$12,'1-Input'!$B$12,0))-MIN(MAX(AH683,0),MAX(0,AD671-IF($A684&gt;='1-Input'!$C$12,'1-Input'!$B$12,0))))*(1/(1-'P-Parametri'!$B$6*AD684))+MIN(MAX(0,AI683-(MAX(0,AD671-IF($A684&gt;='1-Input'!$C$12,'1-Input'!$B$12,0))-MIN(MAX(AH683,0),MAX(0,AD671-IF($A684&gt;='1-Input'!$C$12,'1-Input'!$B$12,0))))*(1/(1-'P-Parametri'!$B$6*AD684))),MAX(0,0*AD671-(AH683-MIN(MAX(AH683,0),MAX(0,AD671-IF($A684&gt;='1-Input'!$C$12,'1-Input'!$B$12,0)))))*(1/(1-'P-Parametri'!$B$6*AD684))))</f>
        <v>23494.571445560483</v>
      </c>
      <c r="AF684" s="18">
        <f>IF($A684&gt;'1-Input'!$B$26,AH683,(AH683-MAX(0,AD671-IF($A684&gt;='1-Input'!$C$12,'1-Input'!$B$12,0))+AE684*(1-'P-Parametri'!$B$6*AD684))*(1+'1-Input'!$B$27))</f>
        <v>0</v>
      </c>
      <c r="AG684" s="18">
        <f>IF($A684&gt;'1-Input'!$B$26,AI683,(AI683-AE684)*(1+$D$4))</f>
        <v>347755.27263658616</v>
      </c>
      <c r="AH684" s="18">
        <f>IF($A684&gt;'1-Input'!$B$26,AF684,AF684-'P-Parametri'!$B$8*(AG684+AF684)+MIN(MAX(AG684,0),'P-Parametri'!$B$8*(AG684+AF684)))</f>
        <v>0</v>
      </c>
      <c r="AI684" s="18">
        <f>IF($A684&gt;'1-Input'!$B$26,AG684,AG684-MIN(MAX(AG684,0),'P-Parametri'!$B$8*(AG684+AF684)))</f>
        <v>347059.76209131296</v>
      </c>
      <c r="AJ684" s="18">
        <f>IF($A684&gt;'1-Input'!$B$26,AJ683,AJ683-AE684*(1-AD684))</f>
        <v>180600.97683169146</v>
      </c>
      <c r="AK684" s="11">
        <f>IF($A684&gt;'1-Input'!$B$26,0,IF(AP683&lt;=0,0,MAX(0,(AP683-AQ683)/AP683)))</f>
        <v>0.4598931182813687</v>
      </c>
      <c r="AL684" s="18">
        <f>IF($A684&gt;'1-Input'!$B$26,0,(MAX(0,AK671-IF($A684&gt;='1-Input'!$C$12,'1-Input'!$B$12,0))-MIN(MAX(AO683,0),MAX(0,AK671-IF($A684&gt;='1-Input'!$C$12,'1-Input'!$B$12,0))))*(1/(1-'P-Parametri'!$B$6*AK684))+MIN(MAX(0,AP683-(MAX(0,AK671-IF($A684&gt;='1-Input'!$C$12,'1-Input'!$B$12,0))-MIN(MAX(AO683,0),MAX(0,AK671-IF($A684&gt;='1-Input'!$C$12,'1-Input'!$B$12,0))))*(1/(1-'P-Parametri'!$B$6*AK684))),MAX(0,0*AK671-(AO683-MIN(MAX(AO683,0),MAX(0,AK671-IF($A684&gt;='1-Input'!$C$12,'1-Input'!$B$12,0)))))*(1/(1-'P-Parametri'!$B$6*AK684))))</f>
        <v>23494.11277795233</v>
      </c>
      <c r="AM684" s="18">
        <f>IF($A684&gt;'1-Input'!$B$26,AO683,(AO683-MAX(0,AK671-IF($A684&gt;='1-Input'!$C$12,'1-Input'!$B$12,0))+AL684*(1-'P-Parametri'!$B$6*AK684))*(1+'1-Input'!$B$27))</f>
        <v>-3.6248820833861826E-12</v>
      </c>
      <c r="AN684" s="18">
        <f>IF($A684&gt;'1-Input'!$B$26,AP683,(AP683-AL684)*(1+$D$4))</f>
        <v>347761.41497340205</v>
      </c>
      <c r="AO684" s="18">
        <f>IF($A684&gt;'1-Input'!$B$26,AM684,AM684-'P-Parametri'!$B$8*(AN684+AM684)+MIN(MAX(AN684,0),'P-Parametri'!$B$8*(AN684+AM684)))</f>
        <v>-3.637978807091713E-12</v>
      </c>
      <c r="AP684" s="18">
        <f>IF($A684&gt;'1-Input'!$B$26,AN684,AN684-MIN(MAX(AN684,0),'P-Parametri'!$B$8*(AN684+AM684)))</f>
        <v>347065.89214345522</v>
      </c>
      <c r="AQ684" s="18">
        <f>IF($A684&gt;'1-Input'!$B$26,AQ683,AQ683-AL684*(1-AK684))</f>
        <v>180604.16675321455</v>
      </c>
    </row>
    <row r="685" spans="1:43">
      <c r="A685" s="10">
        <f>12</f>
        <v>12</v>
      </c>
      <c r="B685" s="11">
        <f>IF($A685&gt;'1-Input'!$B$26,0,IF(G684&lt;=0,0,MAX(0,(G684-H684)/G684)))</f>
        <v>0.4796257113085482</v>
      </c>
      <c r="C685" s="18">
        <f>IF($A685&gt;'1-Input'!$B$26,0,(MAX(0,B671-IF($A685&gt;='1-Input'!$C$12,'1-Input'!$B$12,0))-MIN(MAX(F684,0),MAX(0,B671-IF($A685&gt;='1-Input'!$C$12,'1-Input'!$B$12,0))))*(1/(1-'P-Parametri'!$B$6*B685))+MIN(MAX(0,G684-(MAX(0,B671-IF($A685&gt;='1-Input'!$C$12,'1-Input'!$B$12,0))-MIN(MAX(F684,0),MAX(0,B671-IF($A685&gt;='1-Input'!$C$12,'1-Input'!$B$12,0))))*(1/(1-'P-Parametri'!$B$6*B685))),MAX(0,0*B671-(F684-MIN(MAX(F684,0),MAX(0,B671-IF($A685&gt;='1-Input'!$C$12,'1-Input'!$B$12,0)))))*(1/(1-'P-Parametri'!$B$6*B685))))</f>
        <v>19057.587664925704</v>
      </c>
      <c r="D685" s="18">
        <f>IF($A685&gt;'1-Input'!$B$26,F684,(F684-MAX(0,B671-IF($A685&gt;='1-Input'!$C$12,'1-Input'!$B$12,0))+C685*(1-'P-Parametri'!$B$6*B685))*(1+'1-Input'!$B$27))</f>
        <v>0</v>
      </c>
      <c r="E685" s="18">
        <f>IF($A685&gt;'1-Input'!$B$26,G684,(G684-C685)*(1+$D$4))</f>
        <v>404337.74136070529</v>
      </c>
      <c r="F685" s="18">
        <f>IF($A685&gt;'1-Input'!$B$26,D685,D685-'P-Parametri'!$B$8*(E685+D685)+MIN(MAX(E685,0),'P-Parametri'!$B$8*(E685+D685)))</f>
        <v>0</v>
      </c>
      <c r="G685" s="18">
        <f>IF($A685&gt;'1-Input'!$B$26,E685,E685-MIN(MAX(E685,0),'P-Parametri'!$B$8*(E685+D685)))</f>
        <v>403529.06587798387</v>
      </c>
      <c r="H685" s="18">
        <f>IF($A685&gt;'1-Input'!$B$26,H684,H684-C685*(1-B685))</f>
        <v>202314.38899200503</v>
      </c>
      <c r="I685" s="11">
        <f>IF($A685&gt;'1-Input'!$B$26,0,IF(N684&lt;=0,0,MAX(0,(N684-O684)/N684)))</f>
        <v>0.47962571130854842</v>
      </c>
      <c r="J685" s="18">
        <f>IF($A685&gt;'1-Input'!$B$26,0,(MAX(0,I671-IF($A685&gt;='1-Input'!$C$12,'1-Input'!$B$12,0))-MIN(MAX(M684,0),MAX(0,I671-IF($A685&gt;='1-Input'!$C$12,'1-Input'!$B$12,0))))*(1/(1-'P-Parametri'!$B$6*I685))+MIN(MAX(0,N684-(MAX(0,I671-IF($A685&gt;='1-Input'!$C$12,'1-Input'!$B$12,0))-MIN(MAX(M684,0),MAX(0,I671-IF($A685&gt;='1-Input'!$C$12,'1-Input'!$B$12,0))))*(1/(1-'P-Parametri'!$B$6*I685))),MAX(0,0*I671-(M684-MIN(MAX(M684,0),MAX(0,I671-IF($A685&gt;='1-Input'!$C$12,'1-Input'!$B$12,0)))))*(1/(1-'P-Parametri'!$B$6*I685))))</f>
        <v>25075.773243323303</v>
      </c>
      <c r="K685" s="18">
        <f>IF($A685&gt;'1-Input'!$B$26,M684,(M684-MAX(0,I671-IF($A685&gt;='1-Input'!$C$12,'1-Input'!$B$12,0))+J685*(1-'P-Parametri'!$B$6*I685))*(1+'1-Input'!$B$27))</f>
        <v>0</v>
      </c>
      <c r="L685" s="18">
        <f>IF($A685&gt;'1-Input'!$B$26,N684,(N684-J685)*(1+$D$4))</f>
        <v>314916.45648706891</v>
      </c>
      <c r="M685" s="18">
        <f>IF($A685&gt;'1-Input'!$B$26,K685,K685-'P-Parametri'!$B$8*(L685+K685)+MIN(MAX(L685,0),'P-Parametri'!$B$8*(L685+K685)))</f>
        <v>0</v>
      </c>
      <c r="N685" s="18">
        <f>IF($A685&gt;'1-Input'!$B$26,L685,L685-MIN(MAX(L685,0),'P-Parametri'!$B$8*(L685+K685)))</f>
        <v>314286.62357409479</v>
      </c>
      <c r="O685" s="18">
        <f>IF($A685&gt;'1-Input'!$B$26,O684,O684-J685*(1-I685))</f>
        <v>157571.5644631644</v>
      </c>
      <c r="P685" s="11">
        <f>IF($A685&gt;'1-Input'!$B$26,0,IF(U684&lt;=0,0,MAX(0,(U684-V684)/U684)))</f>
        <v>0.47962571130854853</v>
      </c>
      <c r="Q685" s="18">
        <f>IF($A685&gt;'1-Input'!$B$26,0,(MAX(0,P671-IF($A685&gt;='1-Input'!$C$12,'1-Input'!$B$12,0))-MIN(MAX(T684,0),MAX(0,P671-IF($A685&gt;='1-Input'!$C$12,'1-Input'!$B$12,0))))*(1/(1-'P-Parametri'!$B$6*P685))+MIN(MAX(0,U684-(MAX(0,P671-IF($A685&gt;='1-Input'!$C$12,'1-Input'!$B$12,0))-MIN(MAX(T684,0),MAX(0,P671-IF($A685&gt;='1-Input'!$C$12,'1-Input'!$B$12,0))))*(1/(1-'P-Parametri'!$B$6*P685))),MAX(0,0*P671-(T684-MIN(MAX(T684,0),MAX(0,P671-IF($A685&gt;='1-Input'!$C$12,'1-Input'!$B$12,0)))))*(1/(1-'P-Parametri'!$B$6*P685))))</f>
        <v>23870.857236854063</v>
      </c>
      <c r="R685" s="18">
        <f>IF($A685&gt;'1-Input'!$B$26,T684,(T684-MAX(0,P671-IF($A685&gt;='1-Input'!$C$12,'1-Input'!$B$12,0))+Q685*(1-'P-Parametri'!$B$6*P685))*(1+'1-Input'!$B$27))</f>
        <v>3.6248820833861826E-12</v>
      </c>
      <c r="S685" s="18">
        <f>IF($A685&gt;'1-Input'!$B$26,U684,(U684-Q685)*(1+$D$4))</f>
        <v>332819.71587641787</v>
      </c>
      <c r="T685" s="18">
        <f>IF($A685&gt;'1-Input'!$B$26,R685,R685-'P-Parametri'!$B$8*(S685+R685)+MIN(MAX(S685,0),'P-Parametri'!$B$8*(S685+R685)))</f>
        <v>3.637978807091713E-12</v>
      </c>
      <c r="U685" s="18">
        <f>IF($A685&gt;'1-Input'!$B$26,S685,S685-MIN(MAX(S685,0),'P-Parametri'!$B$8*(S685+R685)))</f>
        <v>332154.07644466503</v>
      </c>
      <c r="V685" s="18">
        <f>IF($A685&gt;'1-Input'!$B$26,V684,V684-Q685*(1-P685))</f>
        <v>166529.63741507879</v>
      </c>
      <c r="W685" s="11">
        <f>IF($A685&gt;'1-Input'!$B$26,0,IF(AB684&lt;=0,0,MAX(0,(AB684-AC684)/AB684)))</f>
        <v>0.47962571130854836</v>
      </c>
      <c r="X685" s="18">
        <f>IF($A685&gt;'1-Input'!$B$26,0,(MAX(0,W671-IF($A685&gt;='1-Input'!$C$12,'1-Input'!$B$12,0))-MIN(MAX(AA684,0),MAX(0,W671-IF($A685&gt;='1-Input'!$C$12,'1-Input'!$B$12,0))))*(1/(1-'P-Parametri'!$B$6*W685))+MIN(MAX(0,AB684-(MAX(0,W671-IF($A685&gt;='1-Input'!$C$12,'1-Input'!$B$12,0))-MIN(MAX(AA684,0),MAX(0,W671-IF($A685&gt;='1-Input'!$C$12,'1-Input'!$B$12,0))))*(1/(1-'P-Parametri'!$B$6*W685))),MAX(0,0*W671-(AA684-MIN(MAX(AA684,0),MAX(0,W671-IF($A685&gt;='1-Input'!$C$12,'1-Input'!$B$12,0)))))*(1/(1-'P-Parametri'!$B$6*W685))))</f>
        <v>23629.979938775552</v>
      </c>
      <c r="Y685" s="18">
        <f>IF($A685&gt;'1-Input'!$B$26,AA684,(AA684-MAX(0,W671-IF($A685&gt;='1-Input'!$C$12,'1-Input'!$B$12,0))+X685*(1-'P-Parametri'!$B$6*W685))*(1+'1-Input'!$B$27))</f>
        <v>0</v>
      </c>
      <c r="Z685" s="18">
        <f>IF($A685&gt;'1-Input'!$B$26,AB684,(AB684-X685)*(1+$D$4))</f>
        <v>336398.79419005226</v>
      </c>
      <c r="AA685" s="18">
        <f>IF($A685&gt;'1-Input'!$B$26,Y685,Y685-'P-Parametri'!$B$8*(Z685+Y685)+MIN(MAX(Z685,0),'P-Parametri'!$B$8*(Z685+Y685)))</f>
        <v>0</v>
      </c>
      <c r="AB685" s="18">
        <f>IF($A685&gt;'1-Input'!$B$26,Z685,Z685-MIN(MAX(Z685,0),'P-Parametri'!$B$8*(Z685+Y685)))</f>
        <v>335725.99660167214</v>
      </c>
      <c r="AC685" s="18">
        <f>IF($A685&gt;'1-Input'!$B$26,AC684,AC684-X685*(1-W685))</f>
        <v>168320.46465702928</v>
      </c>
      <c r="AD685" s="11">
        <f>IF($A685&gt;'1-Input'!$B$26,0,IF(AI684&lt;=0,0,MAX(0,(AI684-AJ684)/AI684)))</f>
        <v>0.47962571130854825</v>
      </c>
      <c r="AE685" s="18">
        <f>IF($A685&gt;'1-Input'!$B$26,0,(MAX(0,AD671-IF($A685&gt;='1-Input'!$C$12,'1-Input'!$B$12,0))-MIN(MAX(AH684,0),MAX(0,AD671-IF($A685&gt;='1-Input'!$C$12,'1-Input'!$B$12,0))))*(1/(1-'P-Parametri'!$B$6*AD685))+MIN(MAX(0,AI684-(MAX(0,AD671-IF($A685&gt;='1-Input'!$C$12,'1-Input'!$B$12,0))-MIN(MAX(AH684,0),MAX(0,AD671-IF($A685&gt;='1-Input'!$C$12,'1-Input'!$B$12,0))))*(1/(1-'P-Parametri'!$B$6*AD685))),MAX(0,0*AD671-(AH684-MIN(MAX(AH684,0),MAX(0,AD671-IF($A685&gt;='1-Input'!$C$12,'1-Input'!$B$12,0)))))*(1/(1-'P-Parametri'!$B$6*AD685))))</f>
        <v>23632.282701226119</v>
      </c>
      <c r="AF685" s="18">
        <f>IF($A685&gt;'1-Input'!$B$26,AH684,(AH684-MAX(0,AD671-IF($A685&gt;='1-Input'!$C$12,'1-Input'!$B$12,0))+AE685*(1-'P-Parametri'!$B$6*AD685))*(1+'1-Input'!$B$27))</f>
        <v>0</v>
      </c>
      <c r="AG685" s="18">
        <f>IF($A685&gt;'1-Input'!$B$26,AI684,(AI684-AE685)*(1+$D$4))</f>
        <v>336364.57856569032</v>
      </c>
      <c r="AH685" s="18">
        <f>IF($A685&gt;'1-Input'!$B$26,AF685,AF685-'P-Parametri'!$B$8*(AG685+AF685)+MIN(MAX(AG685,0),'P-Parametri'!$B$8*(AG685+AF685)))</f>
        <v>0</v>
      </c>
      <c r="AI685" s="18">
        <f>IF($A685&gt;'1-Input'!$B$26,AG685,AG685-MIN(MAX(AG685,0),'P-Parametri'!$B$8*(AG685+AF685)))</f>
        <v>335691.84940855892</v>
      </c>
      <c r="AJ685" s="18">
        <f>IF($A685&gt;'1-Input'!$B$26,AJ684,AJ684-AE685*(1-AD685))</f>
        <v>168303.3445308856</v>
      </c>
      <c r="AK685" s="11">
        <f>IF($A685&gt;'1-Input'!$B$26,0,IF(AP684&lt;=0,0,MAX(0,(AP684-AQ684)/AP684)))</f>
        <v>0.47962571130854847</v>
      </c>
      <c r="AL685" s="18">
        <f>IF($A685&gt;'1-Input'!$B$26,0,(MAX(0,AK671-IF($A685&gt;='1-Input'!$C$12,'1-Input'!$B$12,0))-MIN(MAX(AO684,0),MAX(0,AK671-IF($A685&gt;='1-Input'!$C$12,'1-Input'!$B$12,0))))*(1/(1-'P-Parametri'!$B$6*AK685))+MIN(MAX(0,AP684-(MAX(0,AK671-IF($A685&gt;='1-Input'!$C$12,'1-Input'!$B$12,0))-MIN(MAX(AO684,0),MAX(0,AK671-IF($A685&gt;='1-Input'!$C$12,'1-Input'!$B$12,0))))*(1/(1-'P-Parametri'!$B$6*AK685))),MAX(0,0*AK671-(AO684-MIN(MAX(AO684,0),MAX(0,AK671-IF($A685&gt;='1-Input'!$C$12,'1-Input'!$B$12,0)))))*(1/(1-'P-Parametri'!$B$6*AK685))))</f>
        <v>23631.821345180255</v>
      </c>
      <c r="AM685" s="18">
        <f>IF($A685&gt;'1-Input'!$B$26,AO684,(AO684-MAX(0,AK671-IF($A685&gt;='1-Input'!$C$12,'1-Input'!$B$12,0))+AL685*(1-'P-Parametri'!$B$6*AK685))*(1+'1-Input'!$B$27))</f>
        <v>0</v>
      </c>
      <c r="AN685" s="18">
        <f>IF($A685&gt;'1-Input'!$B$26,AP684,(AP684-AL685)*(1+$D$4))</f>
        <v>336371.43363020598</v>
      </c>
      <c r="AO685" s="18">
        <f>IF($A685&gt;'1-Input'!$B$26,AM685,AM685-'P-Parametri'!$B$8*(AN685+AM685)+MIN(MAX(AN685,0),'P-Parametri'!$B$8*(AN685+AM685)))</f>
        <v>0</v>
      </c>
      <c r="AP685" s="18">
        <f>IF($A685&gt;'1-Input'!$B$26,AN685,AN685-MIN(MAX(AN685,0),'P-Parametri'!$B$8*(AN685+AM685)))</f>
        <v>335698.69076294557</v>
      </c>
      <c r="AQ685" s="18">
        <f>IF($A685&gt;'1-Input'!$B$26,AQ684,AQ684-AL685*(1-AK685))</f>
        <v>168306.77453023291</v>
      </c>
    </row>
    <row r="686" spans="1:43">
      <c r="A686" s="10">
        <f>13</f>
        <v>13</v>
      </c>
      <c r="B686" s="11">
        <f>IF($A686&gt;'1-Input'!$B$26,0,IF(G685&lt;=0,0,MAX(0,(G685-H685)/G685)))</f>
        <v>0.49863738179103223</v>
      </c>
      <c r="C686" s="18">
        <f>IF($A686&gt;'1-Input'!$B$26,0,(MAX(0,B671-IF($A686&gt;='1-Input'!$C$12,'1-Input'!$B$12,0))-MIN(MAX(F685,0),MAX(0,B671-IF($A686&gt;='1-Input'!$C$12,'1-Input'!$B$12,0))))*(1/(1-'P-Parametri'!$B$6*B686))+MIN(MAX(0,G685-(MAX(0,B671-IF($A686&gt;='1-Input'!$C$12,'1-Input'!$B$12,0))-MIN(MAX(F685,0),MAX(0,B671-IF($A686&gt;='1-Input'!$C$12,'1-Input'!$B$12,0))))*(1/(1-'P-Parametri'!$B$6*B686))),MAX(0,0*B671-(F685-MIN(MAX(F685,0),MAX(0,B671-IF($A686&gt;='1-Input'!$C$12,'1-Input'!$B$12,0)))))*(1/(1-'P-Parametri'!$B$6*B686))))</f>
        <v>19165.822107006508</v>
      </c>
      <c r="D686" s="18">
        <f>IF($A686&gt;'1-Input'!$B$26,F685,(F685-MAX(0,B671-IF($A686&gt;='1-Input'!$C$12,'1-Input'!$B$12,0))+C686*(1-'P-Parametri'!$B$6*B686))*(1+'1-Input'!$B$27))</f>
        <v>0</v>
      </c>
      <c r="E686" s="18">
        <f>IF($A686&gt;'1-Input'!$B$26,G685,(G685-C686)*(1+$D$4))</f>
        <v>399737.77352181647</v>
      </c>
      <c r="F686" s="18">
        <f>IF($A686&gt;'1-Input'!$B$26,D686,D686-'P-Parametri'!$B$8*(E686+D686)+MIN(MAX(E686,0),'P-Parametri'!$B$8*(E686+D686)))</f>
        <v>0</v>
      </c>
      <c r="G686" s="18">
        <f>IF($A686&gt;'1-Input'!$B$26,E686,E686-MIN(MAX(E686,0),'P-Parametri'!$B$8*(E686+D686)))</f>
        <v>398938.29797477287</v>
      </c>
      <c r="H686" s="18">
        <f>IF($A686&gt;'1-Input'!$B$26,H685,H685-C686*(1-B686))</f>
        <v>192705.36224030892</v>
      </c>
      <c r="I686" s="11">
        <f>IF($A686&gt;'1-Input'!$B$26,0,IF(N685&lt;=0,0,MAX(0,(N685-O685)/N685)))</f>
        <v>0.4986373817910324</v>
      </c>
      <c r="J686" s="18">
        <f>IF($A686&gt;'1-Input'!$B$26,0,(MAX(0,I671-IF($A686&gt;='1-Input'!$C$12,'1-Input'!$B$12,0))-MIN(MAX(M685,0),MAX(0,I671-IF($A686&gt;='1-Input'!$C$12,'1-Input'!$B$12,0))))*(1/(1-'P-Parametri'!$B$6*I686))+MIN(MAX(0,N685-(MAX(0,I671-IF($A686&gt;='1-Input'!$C$12,'1-Input'!$B$12,0))-MIN(MAX(M685,0),MAX(0,I671-IF($A686&gt;='1-Input'!$C$12,'1-Input'!$B$12,0))))*(1/(1-'P-Parametri'!$B$6*I686))),MAX(0,0*I671-(M685-MIN(MAX(M685,0),MAX(0,I671-IF($A686&gt;='1-Input'!$C$12,'1-Input'!$B$12,0)))))*(1/(1-'P-Parametri'!$B$6*I686))))</f>
        <v>25218.186982903306</v>
      </c>
      <c r="K686" s="18">
        <f>IF($A686&gt;'1-Input'!$B$26,M685,(M685-MAX(0,I671-IF($A686&gt;='1-Input'!$C$12,'1-Input'!$B$12,0))+J686*(1-'P-Parametri'!$B$6*I686))*(1+'1-Input'!$B$27))</f>
        <v>0</v>
      </c>
      <c r="L686" s="18">
        <f>IF($A686&gt;'1-Input'!$B$26,N685,(N685-J686)*(1+$D$4))</f>
        <v>300631.17405483918</v>
      </c>
      <c r="M686" s="18">
        <f>IF($A686&gt;'1-Input'!$B$26,K686,K686-'P-Parametri'!$B$8*(L686+K686)+MIN(MAX(L686,0),'P-Parametri'!$B$8*(L686+K686)))</f>
        <v>0</v>
      </c>
      <c r="N686" s="18">
        <f>IF($A686&gt;'1-Input'!$B$26,L686,L686-MIN(MAX(L686,0),'P-Parametri'!$B$8*(L686+K686)))</f>
        <v>300029.9117067295</v>
      </c>
      <c r="O686" s="18">
        <f>IF($A686&gt;'1-Input'!$B$26,O685,O685-J686*(1-I686))</f>
        <v>144928.1082109327</v>
      </c>
      <c r="P686" s="11">
        <f>IF($A686&gt;'1-Input'!$B$26,0,IF(U685&lt;=0,0,MAX(0,(U685-V685)/U685)))</f>
        <v>0.49863738179103251</v>
      </c>
      <c r="Q686" s="18">
        <f>IF($A686&gt;'1-Input'!$B$26,0,(MAX(0,P671-IF($A686&gt;='1-Input'!$C$12,'1-Input'!$B$12,0))-MIN(MAX(T685,0),MAX(0,P671-IF($A686&gt;='1-Input'!$C$12,'1-Input'!$B$12,0))))*(1/(1-'P-Parametri'!$B$6*P686))+MIN(MAX(0,U685-(MAX(0,P671-IF($A686&gt;='1-Input'!$C$12,'1-Input'!$B$12,0))-MIN(MAX(T685,0),MAX(0,P671-IF($A686&gt;='1-Input'!$C$12,'1-Input'!$B$12,0))))*(1/(1-'P-Parametri'!$B$6*P686))),MAX(0,0*P671-(T685-MIN(MAX(T685,0),MAX(0,P671-IF($A686&gt;='1-Input'!$C$12,'1-Input'!$B$12,0)))))*(1/(1-'P-Parametri'!$B$6*P686))))</f>
        <v>24006.427853683821</v>
      </c>
      <c r="R686" s="18">
        <f>IF($A686&gt;'1-Input'!$B$26,T685,(T685-MAX(0,P671-IF($A686&gt;='1-Input'!$C$12,'1-Input'!$B$12,0))+Q686*(1-'P-Parametri'!$B$6*P686))*(1+'1-Input'!$B$27))</f>
        <v>-3.6248820833861826E-12</v>
      </c>
      <c r="S686" s="18">
        <f>IF($A686&gt;'1-Input'!$B$26,U685,(U685-Q686)*(1+$D$4))</f>
        <v>320473.55453462049</v>
      </c>
      <c r="T686" s="18">
        <f>IF($A686&gt;'1-Input'!$B$26,R686,R686-'P-Parametri'!$B$8*(S686+R686)+MIN(MAX(S686,0),'P-Parametri'!$B$8*(S686+R686)))</f>
        <v>-3.637978807091713E-12</v>
      </c>
      <c r="U686" s="18">
        <f>IF($A686&gt;'1-Input'!$B$26,S686,S686-MIN(MAX(S686,0),'P-Parametri'!$B$8*(S686+R686)))</f>
        <v>319832.60742555122</v>
      </c>
      <c r="V686" s="18">
        <f>IF($A686&gt;'1-Input'!$B$26,V685,V685-Q686*(1-P686))</f>
        <v>154493.71189251117</v>
      </c>
      <c r="W686" s="11">
        <f>IF($A686&gt;'1-Input'!$B$26,0,IF(AB685&lt;=0,0,MAX(0,(AB685-AC685)/AB685)))</f>
        <v>0.49863738179103245</v>
      </c>
      <c r="X686" s="18">
        <f>IF($A686&gt;'1-Input'!$B$26,0,(MAX(0,W671-IF($A686&gt;='1-Input'!$C$12,'1-Input'!$B$12,0))-MIN(MAX(AA685,0),MAX(0,W671-IF($A686&gt;='1-Input'!$C$12,'1-Input'!$B$12,0))))*(1/(1-'P-Parametri'!$B$6*W686))+MIN(MAX(0,AB685-(MAX(0,W671-IF($A686&gt;='1-Input'!$C$12,'1-Input'!$B$12,0))-MIN(MAX(AA685,0),MAX(0,W671-IF($A686&gt;='1-Input'!$C$12,'1-Input'!$B$12,0))))*(1/(1-'P-Parametri'!$B$6*W686))),MAX(0,0*W671-(AA685-MIN(MAX(AA685,0),MAX(0,W671-IF($A686&gt;='1-Input'!$C$12,'1-Input'!$B$12,0)))))*(1/(1-'P-Parametri'!$B$6*W686))))</f>
        <v>23764.182532515206</v>
      </c>
      <c r="Y686" s="18">
        <f>IF($A686&gt;'1-Input'!$B$26,AA685,(AA685-MAX(0,W671-IF($A686&gt;='1-Input'!$C$12,'1-Input'!$B$12,0))+X686*(1-'P-Parametri'!$B$6*W686))*(1+'1-Input'!$B$27))</f>
        <v>-3.6248820833861826E-12</v>
      </c>
      <c r="Z686" s="18">
        <f>IF($A686&gt;'1-Input'!$B$26,AB685,(AB685-X686)*(1+$D$4))</f>
        <v>324440.28663192323</v>
      </c>
      <c r="AA686" s="18">
        <f>IF($A686&gt;'1-Input'!$B$26,Y686,Y686-'P-Parametri'!$B$8*(Z686+Y686)+MIN(MAX(Z686,0),'P-Parametri'!$B$8*(Z686+Y686)))</f>
        <v>-3.637978807091713E-12</v>
      </c>
      <c r="AB686" s="18">
        <f>IF($A686&gt;'1-Input'!$B$26,Z686,Z686-MIN(MAX(Z686,0),'P-Parametri'!$B$8*(Z686+Y686)))</f>
        <v>323791.40605865937</v>
      </c>
      <c r="AC686" s="18">
        <f>IF($A686&gt;'1-Input'!$B$26,AC685,AC685-X686*(1-W686))</f>
        <v>156405.99188293164</v>
      </c>
      <c r="AD686" s="11">
        <f>IF($A686&gt;'1-Input'!$B$26,0,IF(AI685&lt;=0,0,MAX(0,(AI685-AJ685)/AI685)))</f>
        <v>0.49863738179103229</v>
      </c>
      <c r="AE686" s="18">
        <f>IF($A686&gt;'1-Input'!$B$26,0,(MAX(0,AD671-IF($A686&gt;='1-Input'!$C$12,'1-Input'!$B$12,0))-MIN(MAX(AH685,0),MAX(0,AD671-IF($A686&gt;='1-Input'!$C$12,'1-Input'!$B$12,0))))*(1/(1-'P-Parametri'!$B$6*AD686))+MIN(MAX(0,AI685-(MAX(0,AD671-IF($A686&gt;='1-Input'!$C$12,'1-Input'!$B$12,0))-MIN(MAX(AH685,0),MAX(0,AD671-IF($A686&gt;='1-Input'!$C$12,'1-Input'!$B$12,0))))*(1/(1-'P-Parametri'!$B$6*AD686))),MAX(0,0*AD671-(AH685-MIN(MAX(AH685,0),MAX(0,AD671-IF($A686&gt;='1-Input'!$C$12,'1-Input'!$B$12,0)))))*(1/(1-'P-Parametri'!$B$6*AD686))))</f>
        <v>23766.49837312727</v>
      </c>
      <c r="AF686" s="18">
        <f>IF($A686&gt;'1-Input'!$B$26,AH685,(AH685-MAX(0,AD671-IF($A686&gt;='1-Input'!$C$12,'1-Input'!$B$12,0))+AE686*(1-'P-Parametri'!$B$6*AD686))*(1+'1-Input'!$B$27))</f>
        <v>0</v>
      </c>
      <c r="AG686" s="18">
        <f>IF($A686&gt;'1-Input'!$B$26,AI685,(AI685-AE686)*(1+$D$4))</f>
        <v>324402.36507684895</v>
      </c>
      <c r="AH686" s="18">
        <f>IF($A686&gt;'1-Input'!$B$26,AF686,AF686-'P-Parametri'!$B$8*(AG686+AF686)+MIN(MAX(AG686,0),'P-Parametri'!$B$8*(AG686+AF686)))</f>
        <v>0</v>
      </c>
      <c r="AI686" s="18">
        <f>IF($A686&gt;'1-Input'!$B$26,AG686,AG686-MIN(MAX(AG686,0),'P-Parametri'!$B$8*(AG686+AF686)))</f>
        <v>323753.56034669525</v>
      </c>
      <c r="AJ686" s="18">
        <f>IF($A686&gt;'1-Input'!$B$26,AJ685,AJ685-AE686*(1-AD686))</f>
        <v>156387.71068087535</v>
      </c>
      <c r="AK686" s="11">
        <f>IF($A686&gt;'1-Input'!$B$26,0,IF(AP685&lt;=0,0,MAX(0,(AP685-AQ685)/AP685)))</f>
        <v>0.49863738179103251</v>
      </c>
      <c r="AL686" s="18">
        <f>IF($A686&gt;'1-Input'!$B$26,0,(MAX(0,AK671-IF($A686&gt;='1-Input'!$C$12,'1-Input'!$B$12,0))-MIN(MAX(AO685,0),MAX(0,AK671-IF($A686&gt;='1-Input'!$C$12,'1-Input'!$B$12,0))))*(1/(1-'P-Parametri'!$B$6*AK686))+MIN(MAX(0,AP685-(MAX(0,AK671-IF($A686&gt;='1-Input'!$C$12,'1-Input'!$B$12,0))-MIN(MAX(AO685,0),MAX(0,AK671-IF($A686&gt;='1-Input'!$C$12,'1-Input'!$B$12,0))))*(1/(1-'P-Parametri'!$B$6*AK686))),MAX(0,0*AK671-(AO685-MIN(MAX(AO685,0),MAX(0,AK671-IF($A686&gt;='1-Input'!$C$12,'1-Input'!$B$12,0)))))*(1/(1-'P-Parametri'!$B$6*AK686))))</f>
        <v>23766.034396885436</v>
      </c>
      <c r="AM686" s="18">
        <f>IF($A686&gt;'1-Input'!$B$26,AO685,(AO685-MAX(0,AK671-IF($A686&gt;='1-Input'!$C$12,'1-Input'!$B$12,0))+AL686*(1-'P-Parametri'!$B$6*AK686))*(1+'1-Input'!$B$27))</f>
        <v>-3.6248820833861826E-12</v>
      </c>
      <c r="AN686" s="18">
        <f>IF($A686&gt;'1-Input'!$B$26,AP685,(AP685-AL686)*(1+$D$4))</f>
        <v>324409.96262070257</v>
      </c>
      <c r="AO686" s="18">
        <f>IF($A686&gt;'1-Input'!$B$26,AM686,AM686-'P-Parametri'!$B$8*(AN686+AM686)+MIN(MAX(AN686,0),'P-Parametri'!$B$8*(AN686+AM686)))</f>
        <v>-3.637978807091713E-12</v>
      </c>
      <c r="AP686" s="18">
        <f>IF($A686&gt;'1-Input'!$B$26,AN686,AN686-MIN(MAX(AN686,0),'P-Parametri'!$B$8*(AN686+AM686)))</f>
        <v>323761.14269546117</v>
      </c>
      <c r="AQ686" s="18">
        <f>IF($A686&gt;'1-Input'!$B$26,AQ685,AQ685-AL686*(1-AK686))</f>
        <v>156391.37330056605</v>
      </c>
    </row>
    <row r="687" spans="1:43">
      <c r="A687" s="10">
        <f>14</f>
        <v>14</v>
      </c>
      <c r="B687" s="11">
        <f>IF($A687&gt;'1-Input'!$B$26,0,IF(G686&lt;=0,0,MAX(0,(G686-H686)/G686)))</f>
        <v>0.51695446835115644</v>
      </c>
      <c r="C687" s="18">
        <f>IF($A687&gt;'1-Input'!$B$26,0,(MAX(0,B671-IF($A687&gt;='1-Input'!$C$12,'1-Input'!$B$12,0))-MIN(MAX(F686,0),MAX(0,B671-IF($A687&gt;='1-Input'!$C$12,'1-Input'!$B$12,0))))*(1/(1-'P-Parametri'!$B$6*B687))+MIN(MAX(0,G686-(MAX(0,B671-IF($A687&gt;='1-Input'!$C$12,'1-Input'!$B$12,0))-MIN(MAX(F686,0),MAX(0,B671-IF($A687&gt;='1-Input'!$C$12,'1-Input'!$B$12,0))))*(1/(1-'P-Parametri'!$B$6*B687))),MAX(0,0*B671-(F686-MIN(MAX(F686,0),MAX(0,B671-IF($A687&gt;='1-Input'!$C$12,'1-Input'!$B$12,0)))))*(1/(1-'P-Parametri'!$B$6*B687))))</f>
        <v>19271.271490684361</v>
      </c>
      <c r="D687" s="18">
        <f>IF($A687&gt;'1-Input'!$B$26,F686,(F686-MAX(0,B671-IF($A687&gt;='1-Input'!$C$12,'1-Input'!$B$12,0))+C687*(1-'P-Parametri'!$B$6*B687))*(1+'1-Input'!$B$27))</f>
        <v>0</v>
      </c>
      <c r="E687" s="18">
        <f>IF($A687&gt;'1-Input'!$B$26,G686,(G686-C687)*(1+$D$4))</f>
        <v>394853.70754345204</v>
      </c>
      <c r="F687" s="18">
        <f>IF($A687&gt;'1-Input'!$B$26,D687,D687-'P-Parametri'!$B$8*(E687+D687)+MIN(MAX(E687,0),'P-Parametri'!$B$8*(E687+D687)))</f>
        <v>0</v>
      </c>
      <c r="G687" s="18">
        <f>IF($A687&gt;'1-Input'!$B$26,E687,E687-MIN(MAX(E687,0),'P-Parametri'!$B$8*(E687+D687)))</f>
        <v>394064.00012836512</v>
      </c>
      <c r="H687" s="18">
        <f>IF($A687&gt;'1-Input'!$B$26,H686,H686-C687*(1-B687))</f>
        <v>183396.46065754211</v>
      </c>
      <c r="I687" s="11">
        <f>IF($A687&gt;'1-Input'!$B$26,0,IF(N686&lt;=0,0,MAX(0,(N686-O686)/N686)))</f>
        <v>0.51695446835115655</v>
      </c>
      <c r="J687" s="18">
        <f>IF($A687&gt;'1-Input'!$B$26,0,(MAX(0,I671-IF($A687&gt;='1-Input'!$C$12,'1-Input'!$B$12,0))-MIN(MAX(M686,0),MAX(0,I671-IF($A687&gt;='1-Input'!$C$12,'1-Input'!$B$12,0))))*(1/(1-'P-Parametri'!$B$6*I687))+MIN(MAX(0,N686-(MAX(0,I671-IF($A687&gt;='1-Input'!$C$12,'1-Input'!$B$12,0))-MIN(MAX(M686,0),MAX(0,I671-IF($A687&gt;='1-Input'!$C$12,'1-Input'!$B$12,0))))*(1/(1-'P-Parametri'!$B$6*I687))),MAX(0,0*I671-(M686-MIN(MAX(M686,0),MAX(0,I671-IF($A687&gt;='1-Input'!$C$12,'1-Input'!$B$12,0)))))*(1/(1-'P-Parametri'!$B$6*I687))))</f>
        <v>25356.936171953108</v>
      </c>
      <c r="K687" s="18">
        <f>IF($A687&gt;'1-Input'!$B$26,M686,(M686-MAX(0,I671-IF($A687&gt;='1-Input'!$C$12,'1-Input'!$B$12,0))+J687*(1-'P-Parametri'!$B$6*I687))*(1+'1-Input'!$B$27))</f>
        <v>0</v>
      </c>
      <c r="L687" s="18">
        <f>IF($A687&gt;'1-Input'!$B$26,N686,(N686-J687)*(1+$D$4))</f>
        <v>285659.89455616748</v>
      </c>
      <c r="M687" s="18">
        <f>IF($A687&gt;'1-Input'!$B$26,K687,K687-'P-Parametri'!$B$8*(L687+K687)+MIN(MAX(L687,0),'P-Parametri'!$B$8*(L687+K687)))</f>
        <v>0</v>
      </c>
      <c r="N687" s="18">
        <f>IF($A687&gt;'1-Input'!$B$26,L687,L687-MIN(MAX(L687,0),'P-Parametri'!$B$8*(L687+K687)))</f>
        <v>285088.57476705516</v>
      </c>
      <c r="O687" s="18">
        <f>IF($A687&gt;'1-Input'!$B$26,O686,O686-J687*(1-I687))</f>
        <v>132679.55349676582</v>
      </c>
      <c r="P687" s="11">
        <f>IF($A687&gt;'1-Input'!$B$26,0,IF(U686&lt;=0,0,MAX(0,(U686-V686)/U686)))</f>
        <v>0.51695446835115677</v>
      </c>
      <c r="Q687" s="18">
        <f>IF($A687&gt;'1-Input'!$B$26,0,(MAX(0,P671-IF($A687&gt;='1-Input'!$C$12,'1-Input'!$B$12,0))-MIN(MAX(T686,0),MAX(0,P671-IF($A687&gt;='1-Input'!$C$12,'1-Input'!$B$12,0))))*(1/(1-'P-Parametri'!$B$6*P687))+MIN(MAX(0,U686-(MAX(0,P671-IF($A687&gt;='1-Input'!$C$12,'1-Input'!$B$12,0))-MIN(MAX(T686,0),MAX(0,P671-IF($A687&gt;='1-Input'!$C$12,'1-Input'!$B$12,0))))*(1/(1-'P-Parametri'!$B$6*P687))),MAX(0,0*P671-(T686-MIN(MAX(T686,0),MAX(0,P671-IF($A687&gt;='1-Input'!$C$12,'1-Input'!$B$12,0)))))*(1/(1-'P-Parametri'!$B$6*P687))))</f>
        <v>24138.510005304783</v>
      </c>
      <c r="R687" s="18">
        <f>IF($A687&gt;'1-Input'!$B$26,T686,(T686-MAX(0,P671-IF($A687&gt;='1-Input'!$C$12,'1-Input'!$B$12,0))+Q687*(1-'P-Parametri'!$B$6*P687))*(1+'1-Input'!$B$27))</f>
        <v>0</v>
      </c>
      <c r="S687" s="18">
        <f>IF($A687&gt;'1-Input'!$B$26,U686,(U686-Q687)*(1+$D$4))</f>
        <v>307521.86131705635</v>
      </c>
      <c r="T687" s="18">
        <f>IF($A687&gt;'1-Input'!$B$26,R687,R687-'P-Parametri'!$B$8*(S687+R687)+MIN(MAX(S687,0),'P-Parametri'!$B$8*(S687+R687)))</f>
        <v>0</v>
      </c>
      <c r="U687" s="18">
        <f>IF($A687&gt;'1-Input'!$B$26,S687,S687-MIN(MAX(S687,0),'P-Parametri'!$B$8*(S687+R687)))</f>
        <v>306906.81759442226</v>
      </c>
      <c r="V687" s="18">
        <f>IF($A687&gt;'1-Input'!$B$26,V686,V686-Q687*(1-P687))</f>
        <v>142833.71249378781</v>
      </c>
      <c r="W687" s="11">
        <f>IF($A687&gt;'1-Input'!$B$26,0,IF(AB686&lt;=0,0,MAX(0,(AB686-AC686)/AB686)))</f>
        <v>0.51695446835115666</v>
      </c>
      <c r="X687" s="18">
        <f>IF($A687&gt;'1-Input'!$B$26,0,(MAX(0,W671-IF($A687&gt;='1-Input'!$C$12,'1-Input'!$B$12,0))-MIN(MAX(AA686,0),MAX(0,W671-IF($A687&gt;='1-Input'!$C$12,'1-Input'!$B$12,0))))*(1/(1-'P-Parametri'!$B$6*W687))+MIN(MAX(0,AB686-(MAX(0,W671-IF($A687&gt;='1-Input'!$C$12,'1-Input'!$B$12,0))-MIN(MAX(AA686,0),MAX(0,W671-IF($A687&gt;='1-Input'!$C$12,'1-Input'!$B$12,0))))*(1/(1-'P-Parametri'!$B$6*W687))),MAX(0,0*W671-(AA686-MIN(MAX(AA686,0),MAX(0,W671-IF($A687&gt;='1-Input'!$C$12,'1-Input'!$B$12,0)))))*(1/(1-'P-Parametri'!$B$6*W687))))</f>
        <v>23894.931862633726</v>
      </c>
      <c r="Y687" s="18">
        <f>IF($A687&gt;'1-Input'!$B$26,AA686,(AA686-MAX(0,W671-IF($A687&gt;='1-Input'!$C$12,'1-Input'!$B$12,0))+X687*(1-'P-Parametri'!$B$6*W687))*(1+'1-Input'!$B$27))</f>
        <v>0</v>
      </c>
      <c r="Z687" s="18">
        <f>IF($A687&gt;'1-Input'!$B$26,AB686,(AB686-X687)*(1+$D$4))</f>
        <v>311892.33316386666</v>
      </c>
      <c r="AA687" s="18">
        <f>IF($A687&gt;'1-Input'!$B$26,Y687,Y687-'P-Parametri'!$B$8*(Z687+Y687)+MIN(MAX(Z687,0),'P-Parametri'!$B$8*(Z687+Y687)))</f>
        <v>0</v>
      </c>
      <c r="AB687" s="18">
        <f>IF($A687&gt;'1-Input'!$B$26,Z687,Z687-MIN(MAX(Z687,0),'P-Parametri'!$B$8*(Z687+Y687)))</f>
        <v>311268.5484975389</v>
      </c>
      <c r="AC687" s="18">
        <f>IF($A687&gt;'1-Input'!$B$26,AC686,AC686-X687*(1-W687))</f>
        <v>144863.65181763284</v>
      </c>
      <c r="AD687" s="11">
        <f>IF($A687&gt;'1-Input'!$B$26,0,IF(AI686&lt;=0,0,MAX(0,(AI686-AJ686)/AI686)))</f>
        <v>0.51695446835115644</v>
      </c>
      <c r="AE687" s="18">
        <f>IF($A687&gt;'1-Input'!$B$26,0,(MAX(0,AD671-IF($A687&gt;='1-Input'!$C$12,'1-Input'!$B$12,0))-MIN(MAX(AH686,0),MAX(0,AD671-IF($A687&gt;='1-Input'!$C$12,'1-Input'!$B$12,0))))*(1/(1-'P-Parametri'!$B$6*AD687))+MIN(MAX(0,AI686-(MAX(0,AD671-IF($A687&gt;='1-Input'!$C$12,'1-Input'!$B$12,0))-MIN(MAX(AH686,0),MAX(0,AD671-IF($A687&gt;='1-Input'!$C$12,'1-Input'!$B$12,0))))*(1/(1-'P-Parametri'!$B$6*AD687))),MAX(0,0*AD671-(AH686-MIN(MAX(AH686,0),MAX(0,AD671-IF($A687&gt;='1-Input'!$C$12,'1-Input'!$B$12,0)))))*(1/(1-'P-Parametri'!$B$6*AD687))))</f>
        <v>23897.260444883676</v>
      </c>
      <c r="AF687" s="18">
        <f>IF($A687&gt;'1-Input'!$B$26,AH686,(AH686-MAX(0,AD671-IF($A687&gt;='1-Input'!$C$12,'1-Input'!$B$12,0))+AE687*(1-'P-Parametri'!$B$6*AD687))*(1+'1-Input'!$B$27))</f>
        <v>0</v>
      </c>
      <c r="AG687" s="18">
        <f>IF($A687&gt;'1-Input'!$B$26,AI686,(AI686-AE687)*(1+$D$4))</f>
        <v>311850.55189788406</v>
      </c>
      <c r="AH687" s="18">
        <f>IF($A687&gt;'1-Input'!$B$26,AF687,AF687-'P-Parametri'!$B$8*(AG687+AF687)+MIN(MAX(AG687,0),'P-Parametri'!$B$8*(AG687+AF687)))</f>
        <v>0</v>
      </c>
      <c r="AI687" s="18">
        <f>IF($A687&gt;'1-Input'!$B$26,AG687,AG687-MIN(MAX(AG687,0),'P-Parametri'!$B$8*(AG687+AF687)))</f>
        <v>311226.85079408827</v>
      </c>
      <c r="AJ687" s="18">
        <f>IF($A687&gt;'1-Input'!$B$26,AJ686,AJ686-AE687*(1-AD687))</f>
        <v>144844.24580432562</v>
      </c>
      <c r="AK687" s="11">
        <f>IF($A687&gt;'1-Input'!$B$26,0,IF(AP686&lt;=0,0,MAX(0,(AP686-AQ686)/AP686)))</f>
        <v>0.51695446835115677</v>
      </c>
      <c r="AL687" s="18">
        <f>IF($A687&gt;'1-Input'!$B$26,0,(MAX(0,AK671-IF($A687&gt;='1-Input'!$C$12,'1-Input'!$B$12,0))-MIN(MAX(AO686,0),MAX(0,AK671-IF($A687&gt;='1-Input'!$C$12,'1-Input'!$B$12,0))))*(1/(1-'P-Parametri'!$B$6*AK687))+MIN(MAX(0,AP686-(MAX(0,AK671-IF($A687&gt;='1-Input'!$C$12,'1-Input'!$B$12,0))-MIN(MAX(AO686,0),MAX(0,AK671-IF($A687&gt;='1-Input'!$C$12,'1-Input'!$B$12,0))))*(1/(1-'P-Parametri'!$B$6*AK687))),MAX(0,0*AK671-(AO686-MIN(MAX(AO686,0),MAX(0,AK671-IF($A687&gt;='1-Input'!$C$12,'1-Input'!$B$12,0)))))*(1/(1-'P-Parametri'!$B$6*AK687))))</f>
        <v>23896.793915868042</v>
      </c>
      <c r="AM687" s="18">
        <f>IF($A687&gt;'1-Input'!$B$26,AO686,(AO686-MAX(0,AK671-IF($A687&gt;='1-Input'!$C$12,'1-Input'!$B$12,0))+AL687*(1-'P-Parametri'!$B$6*AK687))*(1+'1-Input'!$B$27))</f>
        <v>0</v>
      </c>
      <c r="AN687" s="18">
        <f>IF($A687&gt;'1-Input'!$B$26,AP686,(AP686-AL687)*(1+$D$4))</f>
        <v>311858.92273077689</v>
      </c>
      <c r="AO687" s="18">
        <f>IF($A687&gt;'1-Input'!$B$26,AM687,AM687-'P-Parametri'!$B$8*(AN687+AM687)+MIN(MAX(AN687,0),'P-Parametri'!$B$8*(AN687+AM687)))</f>
        <v>0</v>
      </c>
      <c r="AP687" s="18">
        <f>IF($A687&gt;'1-Input'!$B$26,AN687,AN687-MIN(MAX(AN687,0),'P-Parametri'!$B$8*(AN687+AM687)))</f>
        <v>311235.20488531532</v>
      </c>
      <c r="AQ687" s="18">
        <f>IF($A687&gt;'1-Input'!$B$26,AQ686,AQ686-AL687*(1-AK687))</f>
        <v>144848.13377877272</v>
      </c>
    </row>
    <row r="688" spans="1:43">
      <c r="A688" s="10">
        <f>15</f>
        <v>15</v>
      </c>
      <c r="B688" s="11">
        <f>IF($A688&gt;'1-Input'!$B$26,0,IF(G687&lt;=0,0,MAX(0,(G687-H687)/G687)))</f>
        <v>0.53460234734002277</v>
      </c>
      <c r="C688" s="18">
        <f>IF($A688&gt;'1-Input'!$B$26,0,(MAX(0,B671-IF($A688&gt;='1-Input'!$C$12,'1-Input'!$B$12,0))-MIN(MAX(F687,0),MAX(0,B671-IF($A688&gt;='1-Input'!$C$12,'1-Input'!$B$12,0))))*(1/(1-'P-Parametri'!$B$6*B688))+MIN(MAX(0,G687-(MAX(0,B671-IF($A688&gt;='1-Input'!$C$12,'1-Input'!$B$12,0))-MIN(MAX(F687,0),MAX(0,B671-IF($A688&gt;='1-Input'!$C$12,'1-Input'!$B$12,0))))*(1/(1-'P-Parametri'!$B$6*B688))),MAX(0,0*B671-(F687-MIN(MAX(F687,0),MAX(0,B671-IF($A688&gt;='1-Input'!$C$12,'1-Input'!$B$12,0)))))*(1/(1-'P-Parametri'!$B$6*B688))))</f>
        <v>19373.97171061179</v>
      </c>
      <c r="D688" s="18">
        <f>IF($A688&gt;'1-Input'!$B$26,F687,(F687-MAX(0,B671-IF($A688&gt;='1-Input'!$C$12,'1-Input'!$B$12,0))+C688*(1-'P-Parametri'!$B$6*B688))*(1+'1-Input'!$B$27))</f>
        <v>0</v>
      </c>
      <c r="E688" s="18">
        <f>IF($A688&gt;'1-Input'!$B$26,G687,(G687-C688)*(1+$D$4))</f>
        <v>389677.62955446349</v>
      </c>
      <c r="F688" s="18">
        <f>IF($A688&gt;'1-Input'!$B$26,D688,D688-'P-Parametri'!$B$8*(E688+D688)+MIN(MAX(E688,0),'P-Parametri'!$B$8*(E688+D688)))</f>
        <v>0</v>
      </c>
      <c r="G688" s="18">
        <f>IF($A688&gt;'1-Input'!$B$26,E688,E688-MIN(MAX(E688,0),'P-Parametri'!$B$8*(E688+D688)))</f>
        <v>388898.27429535455</v>
      </c>
      <c r="H688" s="18">
        <f>IF($A688&gt;'1-Input'!$B$26,H687,H687-C688*(1-B688))</f>
        <v>174379.85970072256</v>
      </c>
      <c r="I688" s="11">
        <f>IF($A688&gt;'1-Input'!$B$26,0,IF(N687&lt;=0,0,MAX(0,(N687-O687)/N687)))</f>
        <v>0.53460234734002299</v>
      </c>
      <c r="J688" s="18">
        <f>IF($A688&gt;'1-Input'!$B$26,0,(MAX(0,I671-IF($A688&gt;='1-Input'!$C$12,'1-Input'!$B$12,0))-MIN(MAX(M687,0),MAX(0,I671-IF($A688&gt;='1-Input'!$C$12,'1-Input'!$B$12,0))))*(1/(1-'P-Parametri'!$B$6*I688))+MIN(MAX(0,N687-(MAX(0,I671-IF($A688&gt;='1-Input'!$C$12,'1-Input'!$B$12,0))-MIN(MAX(M687,0),MAX(0,I671-IF($A688&gt;='1-Input'!$C$12,'1-Input'!$B$12,0))))*(1/(1-'P-Parametri'!$B$6*I688))),MAX(0,0*I671-(M687-MIN(MAX(M687,0),MAX(0,I671-IF($A688&gt;='1-Input'!$C$12,'1-Input'!$B$12,0)))))*(1/(1-'P-Parametri'!$B$6*I688))))</f>
        <v>25492.068040278675</v>
      </c>
      <c r="K688" s="18">
        <f>IF($A688&gt;'1-Input'!$B$26,M687,(M687-MAX(0,I671-IF($A688&gt;='1-Input'!$C$12,'1-Input'!$B$12,0))+J688*(1-'P-Parametri'!$B$6*I688))*(1+'1-Input'!$B$27))</f>
        <v>0</v>
      </c>
      <c r="L688" s="18">
        <f>IF($A688&gt;'1-Input'!$B$26,N687,(N687-J688)*(1+$D$4))</f>
        <v>269980.36699584755</v>
      </c>
      <c r="M688" s="18">
        <f>IF($A688&gt;'1-Input'!$B$26,K688,K688-'P-Parametri'!$B$8*(L688+K688)+MIN(MAX(L688,0),'P-Parametri'!$B$8*(L688+K688)))</f>
        <v>0</v>
      </c>
      <c r="N688" s="18">
        <f>IF($A688&gt;'1-Input'!$B$26,L688,L688-MIN(MAX(L688,0),'P-Parametri'!$B$8*(L688+K688)))</f>
        <v>269440.40626185585</v>
      </c>
      <c r="O688" s="18">
        <f>IF($A688&gt;'1-Input'!$B$26,O687,O687-J688*(1-I688))</f>
        <v>120815.6048693717</v>
      </c>
      <c r="P688" s="11">
        <f>IF($A688&gt;'1-Input'!$B$26,0,IF(U687&lt;=0,0,MAX(0,(U687-V687)/U687)))</f>
        <v>0.5346023473400231</v>
      </c>
      <c r="Q688" s="18">
        <f>IF($A688&gt;'1-Input'!$B$26,0,(MAX(0,P671-IF($A688&gt;='1-Input'!$C$12,'1-Input'!$B$12,0))-MIN(MAX(T687,0),MAX(0,P671-IF($A688&gt;='1-Input'!$C$12,'1-Input'!$B$12,0))))*(1/(1-'P-Parametri'!$B$6*P688))+MIN(MAX(0,U687-(MAX(0,P671-IF($A688&gt;='1-Input'!$C$12,'1-Input'!$B$12,0))-MIN(MAX(T687,0),MAX(0,P671-IF($A688&gt;='1-Input'!$C$12,'1-Input'!$B$12,0))))*(1/(1-'P-Parametri'!$B$6*P688))),MAX(0,0*P671-(T687-MIN(MAX(T687,0),MAX(0,P671-IF($A688&gt;='1-Input'!$C$12,'1-Input'!$B$12,0)))))*(1/(1-'P-Parametri'!$B$6*P688))))</f>
        <v>24267.148652083408</v>
      </c>
      <c r="R688" s="18">
        <f>IF($A688&gt;'1-Input'!$B$26,T687,(T687-MAX(0,P671-IF($A688&gt;='1-Input'!$C$12,'1-Input'!$B$12,0))+Q688*(1-'P-Parametri'!$B$6*P688))*(1+'1-Input'!$B$27))</f>
        <v>0</v>
      </c>
      <c r="S688" s="18">
        <f>IF($A688&gt;'1-Input'!$B$26,U687,(U687-Q688)*(1+$D$4))</f>
        <v>293945.2557000324</v>
      </c>
      <c r="T688" s="18">
        <f>IF($A688&gt;'1-Input'!$B$26,R688,R688-'P-Parametri'!$B$8*(S688+R688)+MIN(MAX(S688,0),'P-Parametri'!$B$8*(S688+R688)))</f>
        <v>0</v>
      </c>
      <c r="U688" s="18">
        <f>IF($A688&gt;'1-Input'!$B$26,S688,S688-MIN(MAX(S688,0),'P-Parametri'!$B$8*(S688+R688)))</f>
        <v>293357.36518863234</v>
      </c>
      <c r="V688" s="18">
        <f>IF($A688&gt;'1-Input'!$B$26,V687,V687-Q688*(1-P688))</f>
        <v>131539.83847435747</v>
      </c>
      <c r="W688" s="11">
        <f>IF($A688&gt;'1-Input'!$B$26,0,IF(AB687&lt;=0,0,MAX(0,(AB687-AC687)/AB687)))</f>
        <v>0.53460234734002288</v>
      </c>
      <c r="X688" s="18">
        <f>IF($A688&gt;'1-Input'!$B$26,0,(MAX(0,W671-IF($A688&gt;='1-Input'!$C$12,'1-Input'!$B$12,0))-MIN(MAX(AA687,0),MAX(0,W671-IF($A688&gt;='1-Input'!$C$12,'1-Input'!$B$12,0))))*(1/(1-'P-Parametri'!$B$6*W688))+MIN(MAX(0,AB687-(MAX(0,W671-IF($A688&gt;='1-Input'!$C$12,'1-Input'!$B$12,0))-MIN(MAX(AA687,0),MAX(0,W671-IF($A688&gt;='1-Input'!$C$12,'1-Input'!$B$12,0))))*(1/(1-'P-Parametri'!$B$6*W688))),MAX(0,0*W671-(AA687-MIN(MAX(AA687,0),MAX(0,W671-IF($A688&gt;='1-Input'!$C$12,'1-Input'!$B$12,0)))))*(1/(1-'P-Parametri'!$B$6*W688))))</f>
        <v>24022.272435809169</v>
      </c>
      <c r="Y688" s="18">
        <f>IF($A688&gt;'1-Input'!$B$26,AA687,(AA687-MAX(0,W671-IF($A688&gt;='1-Input'!$C$12,'1-Input'!$B$12,0))+X688*(1-'P-Parametri'!$B$6*W688))*(1+'1-Input'!$B$27))</f>
        <v>0</v>
      </c>
      <c r="Z688" s="18">
        <f>IF($A688&gt;'1-Input'!$B$26,AB687,(AB687-X688)*(1+$D$4))</f>
        <v>298736.12710419891</v>
      </c>
      <c r="AA688" s="18">
        <f>IF($A688&gt;'1-Input'!$B$26,Y688,Y688-'P-Parametri'!$B$8*(Z688+Y688)+MIN(MAX(Z688,0),'P-Parametri'!$B$8*(Z688+Y688)))</f>
        <v>0</v>
      </c>
      <c r="AB688" s="18">
        <f>IF($A688&gt;'1-Input'!$B$26,Z688,Z688-MIN(MAX(Z688,0),'P-Parametri'!$B$8*(Z688+Y688)))</f>
        <v>298138.6548499905</v>
      </c>
      <c r="AC688" s="18">
        <f>IF($A688&gt;'1-Input'!$B$26,AC687,AC687-X688*(1-W688))</f>
        <v>133683.74261444877</v>
      </c>
      <c r="AD688" s="11">
        <f>IF($A688&gt;'1-Input'!$B$26,0,IF(AI687&lt;=0,0,MAX(0,(AI687-AJ687)/AI687)))</f>
        <v>0.53460234734002288</v>
      </c>
      <c r="AE688" s="18">
        <f>IF($A688&gt;'1-Input'!$B$26,0,(MAX(0,AD671-IF($A688&gt;='1-Input'!$C$12,'1-Input'!$B$12,0))-MIN(MAX(AH687,0),MAX(0,AD671-IF($A688&gt;='1-Input'!$C$12,'1-Input'!$B$12,0))))*(1/(1-'P-Parametri'!$B$6*AD688))+MIN(MAX(0,AI687-(MAX(0,AD671-IF($A688&gt;='1-Input'!$C$12,'1-Input'!$B$12,0))-MIN(MAX(AH687,0),MAX(0,AD671-IF($A688&gt;='1-Input'!$C$12,'1-Input'!$B$12,0))))*(1/(1-'P-Parametri'!$B$6*AD688))),MAX(0,0*AD671-(AH687-MIN(MAX(AH687,0),MAX(0,AD671-IF($A688&gt;='1-Input'!$C$12,'1-Input'!$B$12,0)))))*(1/(1-'P-Parametri'!$B$6*AD688))))</f>
        <v>24024.613427510641</v>
      </c>
      <c r="AF688" s="18">
        <f>IF($A688&gt;'1-Input'!$B$26,AH687,(AH687-MAX(0,AD671-IF($A688&gt;='1-Input'!$C$12,'1-Input'!$B$12,0))+AE688*(1-'P-Parametri'!$B$6*AD688))*(1+'1-Input'!$B$27))</f>
        <v>0</v>
      </c>
      <c r="AG688" s="18">
        <f>IF($A688&gt;'1-Input'!$B$26,AI687,(AI687-AE688)*(1+$D$4))</f>
        <v>298690.32686124073</v>
      </c>
      <c r="AH688" s="18">
        <f>IF($A688&gt;'1-Input'!$B$26,AF688,AF688-'P-Parametri'!$B$8*(AG688+AF688)+MIN(MAX(AG688,0),'P-Parametri'!$B$8*(AG688+AF688)))</f>
        <v>0</v>
      </c>
      <c r="AI688" s="18">
        <f>IF($A688&gt;'1-Input'!$B$26,AG688,AG688-MIN(MAX(AG688,0),'P-Parametri'!$B$8*(AG688+AF688)))</f>
        <v>298092.94620751822</v>
      </c>
      <c r="AJ688" s="18">
        <f>IF($A688&gt;'1-Input'!$B$26,AJ687,AJ687-AE688*(1-AD688))</f>
        <v>133663.2471090988</v>
      </c>
      <c r="AK688" s="11">
        <f>IF($A688&gt;'1-Input'!$B$26,0,IF(AP687&lt;=0,0,MAX(0,(AP687-AQ687)/AP687)))</f>
        <v>0.5346023473400231</v>
      </c>
      <c r="AL688" s="18">
        <f>IF($A688&gt;'1-Input'!$B$26,0,(MAX(0,AK671-IF($A688&gt;='1-Input'!$C$12,'1-Input'!$B$12,0))-MIN(MAX(AO687,0),MAX(0,AK671-IF($A688&gt;='1-Input'!$C$12,'1-Input'!$B$12,0))))*(1/(1-'P-Parametri'!$B$6*AK688))+MIN(MAX(0,AP687-(MAX(0,AK671-IF($A688&gt;='1-Input'!$C$12,'1-Input'!$B$12,0))-MIN(MAX(AO687,0),MAX(0,AK671-IF($A688&gt;='1-Input'!$C$12,'1-Input'!$B$12,0))))*(1/(1-'P-Parametri'!$B$6*AK688))),MAX(0,0*AK671-(AO687-MIN(MAX(AO687,0),MAX(0,AK671-IF($A688&gt;='1-Input'!$C$12,'1-Input'!$B$12,0)))))*(1/(1-'P-Parametri'!$B$6*AK688))))</f>
        <v>24024.144412274378</v>
      </c>
      <c r="AM688" s="18">
        <f>IF($A688&gt;'1-Input'!$B$26,AO687,(AO687-MAX(0,AK671-IF($A688&gt;='1-Input'!$C$12,'1-Input'!$B$12,0))+AL688*(1-'P-Parametri'!$B$6*AK688))*(1+'1-Input'!$B$27))</f>
        <v>-3.6248820833861826E-12</v>
      </c>
      <c r="AN688" s="18">
        <f>IF($A688&gt;'1-Input'!$B$26,AP687,(AP687-AL688)*(1+$D$4))</f>
        <v>298699.50289196259</v>
      </c>
      <c r="AO688" s="18">
        <f>IF($A688&gt;'1-Input'!$B$26,AM688,AM688-'P-Parametri'!$B$8*(AN688+AM688)+MIN(MAX(AN688,0),'P-Parametri'!$B$8*(AN688+AM688)))</f>
        <v>-3.637978807091713E-12</v>
      </c>
      <c r="AP688" s="18">
        <f>IF($A688&gt;'1-Input'!$B$26,AN688,AN688-MIN(MAX(AN688,0),'P-Parametri'!$B$8*(AN688+AM688)))</f>
        <v>298102.10388617869</v>
      </c>
      <c r="AQ688" s="18">
        <f>IF($A688&gt;'1-Input'!$B$26,AQ687,AQ687-AL688*(1-AK688))</f>
        <v>133667.35336213594</v>
      </c>
    </row>
    <row r="689" spans="1:43">
      <c r="A689" s="10">
        <f>16</f>
        <v>16</v>
      </c>
      <c r="B689" s="11">
        <f>IF($A689&gt;'1-Input'!$B$26,0,IF(G688&lt;=0,0,MAX(0,(G688-H688)/G688)))</f>
        <v>0.55160546799370158</v>
      </c>
      <c r="C689" s="18">
        <f>IF($A689&gt;'1-Input'!$B$26,0,(MAX(0,B671-IF($A689&gt;='1-Input'!$C$12,'1-Input'!$B$12,0))-MIN(MAX(F688,0),MAX(0,B671-IF($A689&gt;='1-Input'!$C$12,'1-Input'!$B$12,0))))*(1/(1-'P-Parametri'!$B$6*B689))+MIN(MAX(0,G688-(MAX(0,B671-IF($A689&gt;='1-Input'!$C$12,'1-Input'!$B$12,0))-MIN(MAX(F688,0),MAX(0,B671-IF($A689&gt;='1-Input'!$C$12,'1-Input'!$B$12,0))))*(1/(1-'P-Parametri'!$B$6*B689))),MAX(0,0*B671-(F688-MIN(MAX(F688,0),MAX(0,B671-IF($A689&gt;='1-Input'!$C$12,'1-Input'!$B$12,0)))))*(1/(1-'P-Parametri'!$B$6*B689))))</f>
        <v>19473.960522650559</v>
      </c>
      <c r="D689" s="18">
        <f>IF($A689&gt;'1-Input'!$B$26,F688,(F688-MAX(0,B671-IF($A689&gt;='1-Input'!$C$12,'1-Input'!$B$12,0))+C689*(1-'P-Parametri'!$B$6*B689))*(1+'1-Input'!$B$27))</f>
        <v>0</v>
      </c>
      <c r="E689" s="18">
        <f>IF($A689&gt;'1-Input'!$B$26,G688,(G688-C689)*(1+$D$4))</f>
        <v>384201.28632361215</v>
      </c>
      <c r="F689" s="18">
        <f>IF($A689&gt;'1-Input'!$B$26,D689,D689-'P-Parametri'!$B$8*(E689+D689)+MIN(MAX(E689,0),'P-Parametri'!$B$8*(E689+D689)))</f>
        <v>0</v>
      </c>
      <c r="G689" s="18">
        <f>IF($A689&gt;'1-Input'!$B$26,E689,E689-MIN(MAX(E689,0),'P-Parametri'!$B$8*(E689+D689)))</f>
        <v>383432.88375096495</v>
      </c>
      <c r="H689" s="18">
        <f>IF($A689&gt;'1-Input'!$B$26,H688,H688-C689*(1-B689))</f>
        <v>165647.84228585954</v>
      </c>
      <c r="I689" s="11">
        <f>IF($A689&gt;'1-Input'!$B$26,0,IF(N688&lt;=0,0,MAX(0,(N688-O688)/N688)))</f>
        <v>0.55160546799370191</v>
      </c>
      <c r="J689" s="18">
        <f>IF($A689&gt;'1-Input'!$B$26,0,(MAX(0,I671-IF($A689&gt;='1-Input'!$C$12,'1-Input'!$B$12,0))-MIN(MAX(M688,0),MAX(0,I671-IF($A689&gt;='1-Input'!$C$12,'1-Input'!$B$12,0))))*(1/(1-'P-Parametri'!$B$6*I689))+MIN(MAX(0,N688-(MAX(0,I671-IF($A689&gt;='1-Input'!$C$12,'1-Input'!$B$12,0))-MIN(MAX(M688,0),MAX(0,I671-IF($A689&gt;='1-Input'!$C$12,'1-Input'!$B$12,0))))*(1/(1-'P-Parametri'!$B$6*I689))),MAX(0,0*I671-(M688-MIN(MAX(M688,0),MAX(0,I671-IF($A689&gt;='1-Input'!$C$12,'1-Input'!$B$12,0)))))*(1/(1-'P-Parametri'!$B$6*I689))))</f>
        <v>25623.632266645483</v>
      </c>
      <c r="K689" s="18">
        <f>IF($A689&gt;'1-Input'!$B$26,M688,(M688-MAX(0,I671-IF($A689&gt;='1-Input'!$C$12,'1-Input'!$B$12,0))+J689*(1-'P-Parametri'!$B$6*I689))*(1+'1-Input'!$B$27))</f>
        <v>3.6248820833861826E-12</v>
      </c>
      <c r="L689" s="18">
        <f>IF($A689&gt;'1-Input'!$B$26,N688,(N688-J689)*(1+$D$4))</f>
        <v>253569.44495501879</v>
      </c>
      <c r="M689" s="18">
        <f>IF($A689&gt;'1-Input'!$B$26,K689,K689-'P-Parametri'!$B$8*(L689+K689)+MIN(MAX(L689,0),'P-Parametri'!$B$8*(L689+K689)))</f>
        <v>3.637978807091713E-12</v>
      </c>
      <c r="N689" s="18">
        <f>IF($A689&gt;'1-Input'!$B$26,L689,L689-MIN(MAX(L689,0),'P-Parametri'!$B$8*(L689+K689)))</f>
        <v>253062.30606510874</v>
      </c>
      <c r="O689" s="18">
        <f>IF($A689&gt;'1-Input'!$B$26,O688,O688-J689*(1-I689))</f>
        <v>109326.10827086773</v>
      </c>
      <c r="P689" s="11">
        <f>IF($A689&gt;'1-Input'!$B$26,0,IF(U688&lt;=0,0,MAX(0,(U688-V688)/U688)))</f>
        <v>0.55160546799370191</v>
      </c>
      <c r="Q689" s="18">
        <f>IF($A689&gt;'1-Input'!$B$26,0,(MAX(0,P671-IF($A689&gt;='1-Input'!$C$12,'1-Input'!$B$12,0))-MIN(MAX(T688,0),MAX(0,P671-IF($A689&gt;='1-Input'!$C$12,'1-Input'!$B$12,0))))*(1/(1-'P-Parametri'!$B$6*P689))+MIN(MAX(0,U688-(MAX(0,P671-IF($A689&gt;='1-Input'!$C$12,'1-Input'!$B$12,0))-MIN(MAX(T688,0),MAX(0,P671-IF($A689&gt;='1-Input'!$C$12,'1-Input'!$B$12,0))))*(1/(1-'P-Parametri'!$B$6*P689))),MAX(0,0*P671-(T688-MIN(MAX(T688,0),MAX(0,P671-IF($A689&gt;='1-Input'!$C$12,'1-Input'!$B$12,0)))))*(1/(1-'P-Parametri'!$B$6*P689))))</f>
        <v>24392.391085670788</v>
      </c>
      <c r="R689" s="18">
        <f>IF($A689&gt;'1-Input'!$B$26,T688,(T688-MAX(0,P671-IF($A689&gt;='1-Input'!$C$12,'1-Input'!$B$12,0))+Q689*(1-'P-Parametri'!$B$6*P689))*(1+'1-Input'!$B$27))</f>
        <v>0</v>
      </c>
      <c r="S689" s="18">
        <f>IF($A689&gt;'1-Input'!$B$26,U688,(U688-Q689)*(1+$D$4))</f>
        <v>279723.57306708</v>
      </c>
      <c r="T689" s="18">
        <f>IF($A689&gt;'1-Input'!$B$26,R689,R689-'P-Parametri'!$B$8*(S689+R689)+MIN(MAX(S689,0),'P-Parametri'!$B$8*(S689+R689)))</f>
        <v>0</v>
      </c>
      <c r="U689" s="18">
        <f>IF($A689&gt;'1-Input'!$B$26,S689,S689-MIN(MAX(S689,0),'P-Parametri'!$B$8*(S689+R689)))</f>
        <v>279164.12592094584</v>
      </c>
      <c r="V689" s="18">
        <f>IF($A689&gt;'1-Input'!$B$26,V688,V688-Q689*(1-P689))</f>
        <v>120602.42368898352</v>
      </c>
      <c r="W689" s="11">
        <f>IF($A689&gt;'1-Input'!$B$26,0,IF(AB688&lt;=0,0,MAX(0,(AB688-AC688)/AB688)))</f>
        <v>0.5516054679937018</v>
      </c>
      <c r="X689" s="18">
        <f>IF($A689&gt;'1-Input'!$B$26,0,(MAX(0,W671-IF($A689&gt;='1-Input'!$C$12,'1-Input'!$B$12,0))-MIN(MAX(AA688,0),MAX(0,W671-IF($A689&gt;='1-Input'!$C$12,'1-Input'!$B$12,0))))*(1/(1-'P-Parametri'!$B$6*W689))+MIN(MAX(0,AB688-(MAX(0,W671-IF($A689&gt;='1-Input'!$C$12,'1-Input'!$B$12,0))-MIN(MAX(AA688,0),MAX(0,W671-IF($A689&gt;='1-Input'!$C$12,'1-Input'!$B$12,0))))*(1/(1-'P-Parametri'!$B$6*W689))),MAX(0,0*W671-(AA688-MIN(MAX(AA688,0),MAX(0,W671-IF($A689&gt;='1-Input'!$C$12,'1-Input'!$B$12,0)))))*(1/(1-'P-Parametri'!$B$6*W689))))</f>
        <v>24146.251066479548</v>
      </c>
      <c r="Y689" s="18">
        <f>IF($A689&gt;'1-Input'!$B$26,AA688,(AA688-MAX(0,W671-IF($A689&gt;='1-Input'!$C$12,'1-Input'!$B$12,0))+X689*(1-'P-Parametri'!$B$6*W689))*(1+'1-Input'!$B$27))</f>
        <v>3.6248820833861826E-12</v>
      </c>
      <c r="Z689" s="18">
        <f>IF($A689&gt;'1-Input'!$B$26,AB688,(AB688-X689)*(1+$D$4))</f>
        <v>284952.0999348514</v>
      </c>
      <c r="AA689" s="18">
        <f>IF($A689&gt;'1-Input'!$B$26,Y689,Y689-'P-Parametri'!$B$8*(Z689+Y689)+MIN(MAX(Z689,0),'P-Parametri'!$B$8*(Z689+Y689)))</f>
        <v>3.637978807091713E-12</v>
      </c>
      <c r="AB689" s="18">
        <f>IF($A689&gt;'1-Input'!$B$26,Z689,Z689-MIN(MAX(Z689,0),'P-Parametri'!$B$8*(Z689+Y689)))</f>
        <v>284382.19573498168</v>
      </c>
      <c r="AC689" s="18">
        <f>IF($A689&gt;'1-Input'!$B$26,AC688,AC688-X689*(1-W689))</f>
        <v>122856.6956677881</v>
      </c>
      <c r="AD689" s="11">
        <f>IF($A689&gt;'1-Input'!$B$26,0,IF(AI688&lt;=0,0,MAX(0,(AI688-AJ688)/AI688)))</f>
        <v>0.55160546799370169</v>
      </c>
      <c r="AE689" s="18">
        <f>IF($A689&gt;'1-Input'!$B$26,0,(MAX(0,AD671-IF($A689&gt;='1-Input'!$C$12,'1-Input'!$B$12,0))-MIN(MAX(AH688,0),MAX(0,AD671-IF($A689&gt;='1-Input'!$C$12,'1-Input'!$B$12,0))))*(1/(1-'P-Parametri'!$B$6*AD689))+MIN(MAX(0,AI688-(MAX(0,AD671-IF($A689&gt;='1-Input'!$C$12,'1-Input'!$B$12,0))-MIN(MAX(AH688,0),MAX(0,AD671-IF($A689&gt;='1-Input'!$C$12,'1-Input'!$B$12,0))))*(1/(1-'P-Parametri'!$B$6*AD689))),MAX(0,0*AD671-(AH688-MIN(MAX(AH688,0),MAX(0,AD671-IF($A689&gt;='1-Input'!$C$12,'1-Input'!$B$12,0)))))*(1/(1-'P-Parametri'!$B$6*AD689))))</f>
        <v>24148.604140008265</v>
      </c>
      <c r="AF689" s="18">
        <f>IF($A689&gt;'1-Input'!$B$26,AH688,(AH688-MAX(0,AD671-IF($A689&gt;='1-Input'!$C$12,'1-Input'!$B$12,0))+AE689*(1-'P-Parametri'!$B$6*AD689))*(1+'1-Input'!$B$27))</f>
        <v>3.6248820833861826E-12</v>
      </c>
      <c r="AG689" s="18">
        <f>IF($A689&gt;'1-Input'!$B$26,AI688,(AI688-AE689)*(1+$D$4))</f>
        <v>284902.11575021036</v>
      </c>
      <c r="AH689" s="18">
        <f>IF($A689&gt;'1-Input'!$B$26,AF689,AF689-'P-Parametri'!$B$8*(AG689+AF689)+MIN(MAX(AG689,0),'P-Parametri'!$B$8*(AG689+AF689)))</f>
        <v>3.637978807091713E-12</v>
      </c>
      <c r="AI689" s="18">
        <f>IF($A689&gt;'1-Input'!$B$26,AG689,AG689-MIN(MAX(AG689,0),'P-Parametri'!$B$8*(AG689+AF689)))</f>
        <v>284332.31151870993</v>
      </c>
      <c r="AJ689" s="18">
        <f>IF($A689&gt;'1-Input'!$B$26,AJ688,AJ688-AE689*(1-AD689))</f>
        <v>122835.14505713443</v>
      </c>
      <c r="AK689" s="11">
        <f>IF($A689&gt;'1-Input'!$B$26,0,IF(AP688&lt;=0,0,MAX(0,(AP688-AQ688)/AP688)))</f>
        <v>0.55160546799370191</v>
      </c>
      <c r="AL689" s="18">
        <f>IF($A689&gt;'1-Input'!$B$26,0,(MAX(0,AK671-IF($A689&gt;='1-Input'!$C$12,'1-Input'!$B$12,0))-MIN(MAX(AO688,0),MAX(0,AK671-IF($A689&gt;='1-Input'!$C$12,'1-Input'!$B$12,0))))*(1/(1-'P-Parametri'!$B$6*AK689))+MIN(MAX(0,AP688-(MAX(0,AK671-IF($A689&gt;='1-Input'!$C$12,'1-Input'!$B$12,0))-MIN(MAX(AO688,0),MAX(0,AK671-IF($A689&gt;='1-Input'!$C$12,'1-Input'!$B$12,0))))*(1/(1-'P-Parametri'!$B$6*AK689))),MAX(0,0*AK671-(AO688-MIN(MAX(AO688,0),MAX(0,AK671-IF($A689&gt;='1-Input'!$C$12,'1-Input'!$B$12,0)))))*(1/(1-'P-Parametri'!$B$6*AK689))))</f>
        <v>24148.132704190568</v>
      </c>
      <c r="AM689" s="18">
        <f>IF($A689&gt;'1-Input'!$B$26,AO688,(AO688-MAX(0,AK671-IF($A689&gt;='1-Input'!$C$12,'1-Input'!$B$12,0))+AL689*(1-'P-Parametri'!$B$6*AK689))*(1+'1-Input'!$B$27))</f>
        <v>0</v>
      </c>
      <c r="AN689" s="18">
        <f>IF($A689&gt;'1-Input'!$B$26,AP688,(AP688-AL689)*(1+$D$4))</f>
        <v>284912.13002926769</v>
      </c>
      <c r="AO689" s="18">
        <f>IF($A689&gt;'1-Input'!$B$26,AM689,AM689-'P-Parametri'!$B$8*(AN689+AM689)+MIN(MAX(AN689,0),'P-Parametri'!$B$8*(AN689+AM689)))</f>
        <v>0</v>
      </c>
      <c r="AP689" s="18">
        <f>IF($A689&gt;'1-Input'!$B$26,AN689,AN689-MIN(MAX(AN689,0),'P-Parametri'!$B$8*(AN689+AM689)))</f>
        <v>284342.30576920917</v>
      </c>
      <c r="AQ689" s="18">
        <f>IF($A689&gt;'1-Input'!$B$26,AQ688,AQ688-AL689*(1-AK689))</f>
        <v>122839.46269941443</v>
      </c>
    </row>
    <row r="690" spans="1:43">
      <c r="A690" s="10">
        <f>17</f>
        <v>17</v>
      </c>
      <c r="B690" s="11">
        <f>IF($A690&gt;'1-Input'!$B$26,0,IF(G689&lt;=0,0,MAX(0,(G689-H689)/G689)))</f>
        <v>0.56798738630501544</v>
      </c>
      <c r="C690" s="18">
        <f>IF($A690&gt;'1-Input'!$B$26,0,(MAX(0,B671-IF($A690&gt;='1-Input'!$C$12,'1-Input'!$B$12,0))-MIN(MAX(F689,0),MAX(0,B671-IF($A690&gt;='1-Input'!$C$12,'1-Input'!$B$12,0))))*(1/(1-'P-Parametri'!$B$6*B690))+MIN(MAX(0,G689-(MAX(0,B671-IF($A690&gt;='1-Input'!$C$12,'1-Input'!$B$12,0))-MIN(MAX(F689,0),MAX(0,B671-IF($A690&gt;='1-Input'!$C$12,'1-Input'!$B$12,0))))*(1/(1-'P-Parametri'!$B$6*B690))),MAX(0,0*B671-(F689-MIN(MAX(F689,0),MAX(0,B671-IF($A690&gt;='1-Input'!$C$12,'1-Input'!$B$12,0)))))*(1/(1-'P-Parametri'!$B$6*B690))))</f>
        <v>19571.277371684067</v>
      </c>
      <c r="D690" s="18">
        <f>IF($A690&gt;'1-Input'!$B$26,F689,(F689-MAX(0,B671-IF($A690&gt;='1-Input'!$C$12,'1-Input'!$B$12,0))+C690*(1-'P-Parametri'!$B$6*B690))*(1+'1-Input'!$B$27))</f>
        <v>0</v>
      </c>
      <c r="E690" s="18">
        <f>IF($A690&gt;'1-Input'!$B$26,G689,(G689-C690)*(1+$D$4))</f>
        <v>378416.0706344521</v>
      </c>
      <c r="F690" s="18">
        <f>IF($A690&gt;'1-Input'!$B$26,D690,D690-'P-Parametri'!$B$8*(E690+D690)+MIN(MAX(E690,0),'P-Parametri'!$B$8*(E690+D690)))</f>
        <v>0</v>
      </c>
      <c r="G690" s="18">
        <f>IF($A690&gt;'1-Input'!$B$26,E690,E690-MIN(MAX(E690,0),'P-Parametri'!$B$8*(E690+D690)))</f>
        <v>377659.23849318322</v>
      </c>
      <c r="H690" s="18">
        <f>IF($A690&gt;'1-Input'!$B$26,H689,H689-C690*(1-B690))</f>
        <v>157192.80359516881</v>
      </c>
      <c r="I690" s="11">
        <f>IF($A690&gt;'1-Input'!$B$26,0,IF(N689&lt;=0,0,MAX(0,(N689-O689)/N689)))</f>
        <v>0.56798738630501566</v>
      </c>
      <c r="J690" s="18">
        <f>IF($A690&gt;'1-Input'!$B$26,0,(MAX(0,I671-IF($A690&gt;='1-Input'!$C$12,'1-Input'!$B$12,0))-MIN(MAX(M689,0),MAX(0,I671-IF($A690&gt;='1-Input'!$C$12,'1-Input'!$B$12,0))))*(1/(1-'P-Parametri'!$B$6*I690))+MIN(MAX(0,N689-(MAX(0,I671-IF($A690&gt;='1-Input'!$C$12,'1-Input'!$B$12,0))-MIN(MAX(M689,0),MAX(0,I671-IF($A690&gt;='1-Input'!$C$12,'1-Input'!$B$12,0))))*(1/(1-'P-Parametri'!$B$6*I690))),MAX(0,0*I671-(M689-MIN(MAX(M689,0),MAX(0,I671-IF($A690&gt;='1-Input'!$C$12,'1-Input'!$B$12,0)))))*(1/(1-'P-Parametri'!$B$6*I690))))</f>
        <v>25751.680752215882</v>
      </c>
      <c r="K690" s="18">
        <f>IF($A690&gt;'1-Input'!$B$26,M689,(M689-MAX(0,I671-IF($A690&gt;='1-Input'!$C$12,'1-Input'!$B$12,0))+J690*(1-'P-Parametri'!$B$6*I690))*(1+'1-Input'!$B$27))</f>
        <v>0</v>
      </c>
      <c r="L690" s="18">
        <f>IF($A690&gt;'1-Input'!$B$26,N689,(N689-J690)*(1+$D$4))</f>
        <v>236403.05032540858</v>
      </c>
      <c r="M690" s="18">
        <f>IF($A690&gt;'1-Input'!$B$26,K690,K690-'P-Parametri'!$B$8*(L690+K690)+MIN(MAX(L690,0),'P-Parametri'!$B$8*(L690+K690)))</f>
        <v>0</v>
      </c>
      <c r="N690" s="18">
        <f>IF($A690&gt;'1-Input'!$B$26,L690,L690-MIN(MAX(L690,0),'P-Parametri'!$B$8*(L690+K690)))</f>
        <v>235930.24422475777</v>
      </c>
      <c r="O690" s="18">
        <f>IF($A690&gt;'1-Input'!$B$26,O689,O689-J690*(1-I690))</f>
        <v>98201.057362064123</v>
      </c>
      <c r="P690" s="11">
        <f>IF($A690&gt;'1-Input'!$B$26,0,IF(U689&lt;=0,0,MAX(0,(U689-V689)/U689)))</f>
        <v>0.56798738630501577</v>
      </c>
      <c r="Q690" s="18">
        <f>IF($A690&gt;'1-Input'!$B$26,0,(MAX(0,P671-IF($A690&gt;='1-Input'!$C$12,'1-Input'!$B$12,0))-MIN(MAX(T689,0),MAX(0,P671-IF($A690&gt;='1-Input'!$C$12,'1-Input'!$B$12,0))))*(1/(1-'P-Parametri'!$B$6*P690))+MIN(MAX(0,U689-(MAX(0,P671-IF($A690&gt;='1-Input'!$C$12,'1-Input'!$B$12,0))-MIN(MAX(T689,0),MAX(0,P671-IF($A690&gt;='1-Input'!$C$12,'1-Input'!$B$12,0))))*(1/(1-'P-Parametri'!$B$6*P690))),MAX(0,0*P671-(T689-MIN(MAX(T689,0),MAX(0,P671-IF($A690&gt;='1-Input'!$C$12,'1-Input'!$B$12,0)))))*(1/(1-'P-Parametri'!$B$6*P690))))</f>
        <v>24514.286713326474</v>
      </c>
      <c r="R690" s="18">
        <f>IF($A690&gt;'1-Input'!$B$26,T689,(T689-MAX(0,P671-IF($A690&gt;='1-Input'!$C$12,'1-Input'!$B$12,0))+Q690*(1-'P-Parametri'!$B$6*P690))*(1+'1-Input'!$B$27))</f>
        <v>0</v>
      </c>
      <c r="S690" s="18">
        <f>IF($A690&gt;'1-Input'!$B$26,U689,(U689-Q690)*(1+$D$4))</f>
        <v>264835.83277592418</v>
      </c>
      <c r="T690" s="18">
        <f>IF($A690&gt;'1-Input'!$B$26,R690,R690-'P-Parametri'!$B$8*(S690+R690)+MIN(MAX(S690,0),'P-Parametri'!$B$8*(S690+R690)))</f>
        <v>0</v>
      </c>
      <c r="U690" s="18">
        <f>IF($A690&gt;'1-Input'!$B$26,S690,S690-MIN(MAX(S690,0),'P-Parametri'!$B$8*(S690+R690)))</f>
        <v>264306.16111037234</v>
      </c>
      <c r="V690" s="18">
        <f>IF($A690&gt;'1-Input'!$B$26,V689,V689-Q690*(1-P690))</f>
        <v>110011.94261309112</v>
      </c>
      <c r="W690" s="11">
        <f>IF($A690&gt;'1-Input'!$B$26,0,IF(AB689&lt;=0,0,MAX(0,(AB689-AC689)/AB689)))</f>
        <v>0.56798738630501555</v>
      </c>
      <c r="X690" s="18">
        <f>IF($A690&gt;'1-Input'!$B$26,0,(MAX(0,W671-IF($A690&gt;='1-Input'!$C$12,'1-Input'!$B$12,0))-MIN(MAX(AA689,0),MAX(0,W671-IF($A690&gt;='1-Input'!$C$12,'1-Input'!$B$12,0))))*(1/(1-'P-Parametri'!$B$6*W690))+MIN(MAX(0,AB689-(MAX(0,W671-IF($A690&gt;='1-Input'!$C$12,'1-Input'!$B$12,0))-MIN(MAX(AA689,0),MAX(0,W671-IF($A690&gt;='1-Input'!$C$12,'1-Input'!$B$12,0))))*(1/(1-'P-Parametri'!$B$6*W690))),MAX(0,0*W671-(AA689-MIN(MAX(AA689,0),MAX(0,W671-IF($A690&gt;='1-Input'!$C$12,'1-Input'!$B$12,0)))))*(1/(1-'P-Parametri'!$B$6*W690))))</f>
        <v>24266.916663343032</v>
      </c>
      <c r="Y690" s="18">
        <f>IF($A690&gt;'1-Input'!$B$26,AA689,(AA689-MAX(0,W671-IF($A690&gt;='1-Input'!$C$12,'1-Input'!$B$12,0))+X690*(1-'P-Parametri'!$B$6*W690))*(1+'1-Input'!$B$27))</f>
        <v>0</v>
      </c>
      <c r="Z690" s="18">
        <f>IF($A690&gt;'1-Input'!$B$26,AB689,(AB689-X690)*(1+$D$4))</f>
        <v>270519.89023450419</v>
      </c>
      <c r="AA690" s="18">
        <f>IF($A690&gt;'1-Input'!$B$26,Y690,Y690-'P-Parametri'!$B$8*(Z690+Y690)+MIN(MAX(Z690,0),'P-Parametri'!$B$8*(Z690+Y690)))</f>
        <v>0</v>
      </c>
      <c r="AB690" s="18">
        <f>IF($A690&gt;'1-Input'!$B$26,Z690,Z690-MIN(MAX(Z690,0),'P-Parametri'!$B$8*(Z690+Y690)))</f>
        <v>269978.85045403516</v>
      </c>
      <c r="AC690" s="18">
        <f>IF($A690&gt;'1-Input'!$B$26,AC689,AC689-X690*(1-W690))</f>
        <v>112373.08157373891</v>
      </c>
      <c r="AD690" s="11">
        <f>IF($A690&gt;'1-Input'!$B$26,0,IF(AI689&lt;=0,0,MAX(0,(AI689-AJ689)/AI689)))</f>
        <v>0.56798738630501544</v>
      </c>
      <c r="AE690" s="18">
        <f>IF($A690&gt;'1-Input'!$B$26,0,(MAX(0,AD671-IF($A690&gt;='1-Input'!$C$12,'1-Input'!$B$12,0))-MIN(MAX(AH689,0),MAX(0,AD671-IF($A690&gt;='1-Input'!$C$12,'1-Input'!$B$12,0))))*(1/(1-'P-Parametri'!$B$6*AD690))+MIN(MAX(0,AI689-(MAX(0,AD671-IF($A690&gt;='1-Input'!$C$12,'1-Input'!$B$12,0))-MIN(MAX(AH689,0),MAX(0,AD671-IF($A690&gt;='1-Input'!$C$12,'1-Input'!$B$12,0))))*(1/(1-'P-Parametri'!$B$6*AD690))),MAX(0,0*AD671-(AH689-MIN(MAX(AH689,0),MAX(0,AD671-IF($A690&gt;='1-Input'!$C$12,'1-Input'!$B$12,0)))))*(1/(1-'P-Parametri'!$B$6*AD690))))</f>
        <v>24269.281495840918</v>
      </c>
      <c r="AF690" s="18">
        <f>IF($A690&gt;'1-Input'!$B$26,AH689,(AH689-MAX(0,AD671-IF($A690&gt;='1-Input'!$C$12,'1-Input'!$B$12,0))+AE690*(1-'P-Parametri'!$B$6*AD690))*(1+'1-Input'!$B$27))</f>
        <v>0</v>
      </c>
      <c r="AG690" s="18">
        <f>IF($A690&gt;'1-Input'!$B$26,AI689,(AI689-AE690)*(1+$D$4))</f>
        <v>270465.55122378375</v>
      </c>
      <c r="AH690" s="18">
        <f>IF($A690&gt;'1-Input'!$B$26,AF690,AF690-'P-Parametri'!$B$8*(AG690+AF690)+MIN(MAX(AG690,0),'P-Parametri'!$B$8*(AG690+AF690)))</f>
        <v>0</v>
      </c>
      <c r="AI690" s="18">
        <f>IF($A690&gt;'1-Input'!$B$26,AG690,AG690-MIN(MAX(AG690,0),'P-Parametri'!$B$8*(AG690+AF690)))</f>
        <v>269924.62012133619</v>
      </c>
      <c r="AJ690" s="18">
        <f>IF($A690&gt;'1-Input'!$B$26,AJ689,AJ689-AE690*(1-AD690))</f>
        <v>112350.50932561688</v>
      </c>
      <c r="AK690" s="11">
        <f>IF($A690&gt;'1-Input'!$B$26,0,IF(AP689&lt;=0,0,MAX(0,(AP689-AQ689)/AP689)))</f>
        <v>0.56798738630501577</v>
      </c>
      <c r="AL690" s="18">
        <f>IF($A690&gt;'1-Input'!$B$26,0,(MAX(0,AK671-IF($A690&gt;='1-Input'!$C$12,'1-Input'!$B$12,0))-MIN(MAX(AO689,0),MAX(0,AK671-IF($A690&gt;='1-Input'!$C$12,'1-Input'!$B$12,0))))*(1/(1-'P-Parametri'!$B$6*AK690))+MIN(MAX(0,AP689-(MAX(0,AK671-IF($A690&gt;='1-Input'!$C$12,'1-Input'!$B$12,0))-MIN(MAX(AO689,0),MAX(0,AK671-IF($A690&gt;='1-Input'!$C$12,'1-Input'!$B$12,0))))*(1/(1-'P-Parametri'!$B$6*AK690))),MAX(0,0*AK671-(AO689-MIN(MAX(AO689,0),MAX(0,AK671-IF($A690&gt;='1-Input'!$C$12,'1-Input'!$B$12,0)))))*(1/(1-'P-Parametri'!$B$6*AK690))))</f>
        <v>24268.807704126066</v>
      </c>
      <c r="AM690" s="18">
        <f>IF($A690&gt;'1-Input'!$B$26,AO689,(AO689-MAX(0,AK671-IF($A690&gt;='1-Input'!$C$12,'1-Input'!$B$12,0))+AL690*(1-'P-Parametri'!$B$6*AK690))*(1+'1-Input'!$B$27))</f>
        <v>0</v>
      </c>
      <c r="AN690" s="18">
        <f>IF($A690&gt;'1-Input'!$B$26,AP689,(AP689-AL690)*(1+$D$4))</f>
        <v>270476.43798768643</v>
      </c>
      <c r="AO690" s="18">
        <f>IF($A690&gt;'1-Input'!$B$26,AM690,AM690-'P-Parametri'!$B$8*(AN690+AM690)+MIN(MAX(AN690,0),'P-Parametri'!$B$8*(AN690+AM690)))</f>
        <v>0</v>
      </c>
      <c r="AP690" s="18">
        <f>IF($A690&gt;'1-Input'!$B$26,AN690,AN690-MIN(MAX(AN690,0),'P-Parametri'!$B$8*(AN690+AM690)))</f>
        <v>269935.48511171108</v>
      </c>
      <c r="AQ690" s="18">
        <f>IF($A690&gt;'1-Input'!$B$26,AQ689,AQ689-AL690*(1-AK690))</f>
        <v>112355.03165189397</v>
      </c>
    </row>
    <row r="691" spans="1:43">
      <c r="A691" s="10">
        <f>18</f>
        <v>18</v>
      </c>
      <c r="B691" s="11">
        <f>IF($A691&gt;'1-Input'!$B$26,0,IF(G690&lt;=0,0,MAX(0,(G690-H690)/G690)))</f>
        <v>0.58377079765783046</v>
      </c>
      <c r="C691" s="18">
        <f>IF($A691&gt;'1-Input'!$B$26,0,(MAX(0,B671-IF($A691&gt;='1-Input'!$C$12,'1-Input'!$B$12,0))-MIN(MAX(F690,0),MAX(0,B671-IF($A691&gt;='1-Input'!$C$12,'1-Input'!$B$12,0))))*(1/(1-'P-Parametri'!$B$6*B691))+MIN(MAX(0,G690-(MAX(0,B671-IF($A691&gt;='1-Input'!$C$12,'1-Input'!$B$12,0))-MIN(MAX(F690,0),MAX(0,B671-IF($A691&gt;='1-Input'!$C$12,'1-Input'!$B$12,0))))*(1/(1-'P-Parametri'!$B$6*B691))),MAX(0,0*B671-(F690-MIN(MAX(F690,0),MAX(0,B671-IF($A691&gt;='1-Input'!$C$12,'1-Input'!$B$12,0)))))*(1/(1-'P-Parametri'!$B$6*B691))))</f>
        <v>19665.963224591422</v>
      </c>
      <c r="D691" s="18">
        <f>IF($A691&gt;'1-Input'!$B$26,F690,(F690-MAX(0,B671-IF($A691&gt;='1-Input'!$C$12,'1-Input'!$B$12,0))+C691*(1-'P-Parametri'!$B$6*B691))*(1+'1-Input'!$B$27))</f>
        <v>3.6248820833861826E-12</v>
      </c>
      <c r="E691" s="18">
        <f>IF($A691&gt;'1-Input'!$B$26,G690,(G690-C691)*(1+$D$4))</f>
        <v>372313.00627933553</v>
      </c>
      <c r="F691" s="18">
        <f>IF($A691&gt;'1-Input'!$B$26,D691,D691-'P-Parametri'!$B$8*(E691+D691)+MIN(MAX(E691,0),'P-Parametri'!$B$8*(E691+D691)))</f>
        <v>3.637978807091713E-12</v>
      </c>
      <c r="G691" s="18">
        <f>IF($A691&gt;'1-Input'!$B$26,E691,E691-MIN(MAX(E691,0),'P-Parametri'!$B$8*(E691+D691)))</f>
        <v>371568.38026677683</v>
      </c>
      <c r="H691" s="18">
        <f>IF($A691&gt;'1-Input'!$B$26,H690,H690-C691*(1-B691))</f>
        <v>149007.25540890667</v>
      </c>
      <c r="I691" s="11">
        <f>IF($A691&gt;'1-Input'!$B$26,0,IF(N690&lt;=0,0,MAX(0,(N690-O690)/N690)))</f>
        <v>0.58377079765783069</v>
      </c>
      <c r="J691" s="18">
        <f>IF($A691&gt;'1-Input'!$B$26,0,(MAX(0,I671-IF($A691&gt;='1-Input'!$C$12,'1-Input'!$B$12,0))-MIN(MAX(M690,0),MAX(0,I671-IF($A691&gt;='1-Input'!$C$12,'1-Input'!$B$12,0))))*(1/(1-'P-Parametri'!$B$6*I691))+MIN(MAX(0,N690-(MAX(0,I671-IF($A691&gt;='1-Input'!$C$12,'1-Input'!$B$12,0))-MIN(MAX(M690,0),MAX(0,I671-IF($A691&gt;='1-Input'!$C$12,'1-Input'!$B$12,0))))*(1/(1-'P-Parametri'!$B$6*I691))),MAX(0,0*I671-(M690-MIN(MAX(M690,0),MAX(0,I671-IF($A691&gt;='1-Input'!$C$12,'1-Input'!$B$12,0)))))*(1/(1-'P-Parametri'!$B$6*I691))))</f>
        <v>25876.26740077819</v>
      </c>
      <c r="K691" s="18">
        <f>IF($A691&gt;'1-Input'!$B$26,M690,(M690-MAX(0,I671-IF($A691&gt;='1-Input'!$C$12,'1-Input'!$B$12,0))+J691*(1-'P-Parametri'!$B$6*I691))*(1+'1-Input'!$B$27))</f>
        <v>0</v>
      </c>
      <c r="L691" s="18">
        <f>IF($A691&gt;'1-Input'!$B$26,N690,(N690-J691)*(1+$D$4))</f>
        <v>218456.13589693877</v>
      </c>
      <c r="M691" s="18">
        <f>IF($A691&gt;'1-Input'!$B$26,K691,K691-'P-Parametri'!$B$8*(L691+K691)+MIN(MAX(L691,0),'P-Parametri'!$B$8*(L691+K691)))</f>
        <v>0</v>
      </c>
      <c r="N691" s="18">
        <f>IF($A691&gt;'1-Input'!$B$26,L691,L691-MIN(MAX(L691,0),'P-Parametri'!$B$8*(L691+K691)))</f>
        <v>218019.22362514489</v>
      </c>
      <c r="O691" s="18">
        <f>IF($A691&gt;'1-Input'!$B$26,O690,O690-J691*(1-I691))</f>
        <v>87430.599222245539</v>
      </c>
      <c r="P691" s="11">
        <f>IF($A691&gt;'1-Input'!$B$26,0,IF(U690&lt;=0,0,MAX(0,(U690-V690)/U690)))</f>
        <v>0.58377079765783091</v>
      </c>
      <c r="Q691" s="18">
        <f>IF($A691&gt;'1-Input'!$B$26,0,(MAX(0,P671-IF($A691&gt;='1-Input'!$C$12,'1-Input'!$B$12,0))-MIN(MAX(T690,0),MAX(0,P671-IF($A691&gt;='1-Input'!$C$12,'1-Input'!$B$12,0))))*(1/(1-'P-Parametri'!$B$6*P691))+MIN(MAX(0,U690-(MAX(0,P671-IF($A691&gt;='1-Input'!$C$12,'1-Input'!$B$12,0))-MIN(MAX(T690,0),MAX(0,P671-IF($A691&gt;='1-Input'!$C$12,'1-Input'!$B$12,0))))*(1/(1-'P-Parametri'!$B$6*P691))),MAX(0,0*P671-(T690-MIN(MAX(T690,0),MAX(0,P671-IF($A691&gt;='1-Input'!$C$12,'1-Input'!$B$12,0)))))*(1/(1-'P-Parametri'!$B$6*P691))))</f>
        <v>24632.886848707767</v>
      </c>
      <c r="R691" s="18">
        <f>IF($A691&gt;'1-Input'!$B$26,T690,(T690-MAX(0,P671-IF($A691&gt;='1-Input'!$C$12,'1-Input'!$B$12,0))+Q691*(1-'P-Parametri'!$B$6*P691))*(1+'1-Input'!$B$27))</f>
        <v>-3.6248820833861826E-12</v>
      </c>
      <c r="S691" s="18">
        <f>IF($A691&gt;'1-Input'!$B$26,U690,(U690-Q691)*(1+$D$4))</f>
        <v>249260.20523213115</v>
      </c>
      <c r="T691" s="18">
        <f>IF($A691&gt;'1-Input'!$B$26,R691,R691-'P-Parametri'!$B$8*(S691+R691)+MIN(MAX(S691,0),'P-Parametri'!$B$8*(S691+R691)))</f>
        <v>-3.637978807091713E-12</v>
      </c>
      <c r="U691" s="18">
        <f>IF($A691&gt;'1-Input'!$B$26,S691,S691-MIN(MAX(S691,0),'P-Parametri'!$B$8*(S691+R691)))</f>
        <v>248761.68482166689</v>
      </c>
      <c r="V691" s="18">
        <f>IF($A691&gt;'1-Input'!$B$26,V690,V690-Q691*(1-P691))</f>
        <v>99759.015768668571</v>
      </c>
      <c r="W691" s="11">
        <f>IF($A691&gt;'1-Input'!$B$26,0,IF(AB690&lt;=0,0,MAX(0,(AB690-AC690)/AB690)))</f>
        <v>0.58377079765783058</v>
      </c>
      <c r="X691" s="18">
        <f>IF($A691&gt;'1-Input'!$B$26,0,(MAX(0,W671-IF($A691&gt;='1-Input'!$C$12,'1-Input'!$B$12,0))-MIN(MAX(AA690,0),MAX(0,W671-IF($A691&gt;='1-Input'!$C$12,'1-Input'!$B$12,0))))*(1/(1-'P-Parametri'!$B$6*W691))+MIN(MAX(0,AB690-(MAX(0,W671-IF($A691&gt;='1-Input'!$C$12,'1-Input'!$B$12,0))-MIN(MAX(AA690,0),MAX(0,W671-IF($A691&gt;='1-Input'!$C$12,'1-Input'!$B$12,0))))*(1/(1-'P-Parametri'!$B$6*W691))),MAX(0,0*W671-(AA690-MIN(MAX(AA690,0),MAX(0,W671-IF($A691&gt;='1-Input'!$C$12,'1-Input'!$B$12,0)))))*(1/(1-'P-Parametri'!$B$6*W691))))</f>
        <v>24384.320022258416</v>
      </c>
      <c r="Y691" s="18">
        <f>IF($A691&gt;'1-Input'!$B$26,AA690,(AA690-MAX(0,W671-IF($A691&gt;='1-Input'!$C$12,'1-Input'!$B$12,0))+X691*(1-'P-Parametri'!$B$6*W691))*(1+'1-Input'!$B$27))</f>
        <v>0</v>
      </c>
      <c r="Z691" s="18">
        <f>IF($A691&gt;'1-Input'!$B$26,AB690,(AB690-X691)*(1+$D$4))</f>
        <v>255418.31164904783</v>
      </c>
      <c r="AA691" s="18">
        <f>IF($A691&gt;'1-Input'!$B$26,Y691,Y691-'P-Parametri'!$B$8*(Z691+Y691)+MIN(MAX(Z691,0),'P-Parametri'!$B$8*(Z691+Y691)))</f>
        <v>0</v>
      </c>
      <c r="AB691" s="18">
        <f>IF($A691&gt;'1-Input'!$B$26,Z691,Z691-MIN(MAX(Z691,0),'P-Parametri'!$B$8*(Z691+Y691)))</f>
        <v>254907.47502574974</v>
      </c>
      <c r="AC691" s="18">
        <f>IF($A691&gt;'1-Input'!$B$26,AC690,AC690-X691*(1-W691))</f>
        <v>102223.6155012181</v>
      </c>
      <c r="AD691" s="11">
        <f>IF($A691&gt;'1-Input'!$B$26,0,IF(AI690&lt;=0,0,MAX(0,(AI690-AJ690)/AI690)))</f>
        <v>0.58377079765783046</v>
      </c>
      <c r="AE691" s="18">
        <f>IF($A691&gt;'1-Input'!$B$26,0,(MAX(0,AD671-IF($A691&gt;='1-Input'!$C$12,'1-Input'!$B$12,0))-MIN(MAX(AH690,0),MAX(0,AD671-IF($A691&gt;='1-Input'!$C$12,'1-Input'!$B$12,0))))*(1/(1-'P-Parametri'!$B$6*AD691))+MIN(MAX(0,AI690-(MAX(0,AD671-IF($A691&gt;='1-Input'!$C$12,'1-Input'!$B$12,0))-MIN(MAX(AH690,0),MAX(0,AD671-IF($A691&gt;='1-Input'!$C$12,'1-Input'!$B$12,0))))*(1/(1-'P-Parametri'!$B$6*AD691))),MAX(0,0*AD671-(AH690-MIN(MAX(AH690,0),MAX(0,AD671-IF($A691&gt;='1-Input'!$C$12,'1-Input'!$B$12,0)))))*(1/(1-'P-Parametri'!$B$6*AD691))))</f>
        <v>24386.696295817495</v>
      </c>
      <c r="AF691" s="18">
        <f>IF($A691&gt;'1-Input'!$B$26,AH690,(AH690-MAX(0,AD671-IF($A691&gt;='1-Input'!$C$12,'1-Input'!$B$12,0))+AE691*(1-'P-Parametri'!$B$6*AD691))*(1+'1-Input'!$B$27))</f>
        <v>0</v>
      </c>
      <c r="AG691" s="18">
        <f>IF($A691&gt;'1-Input'!$B$26,AI690,(AI690-AE691)*(1+$D$4))</f>
        <v>255359.44077853946</v>
      </c>
      <c r="AH691" s="18">
        <f>IF($A691&gt;'1-Input'!$B$26,AF691,AF691-'P-Parametri'!$B$8*(AG691+AF691)+MIN(MAX(AG691,0),'P-Parametri'!$B$8*(AG691+AF691)))</f>
        <v>0</v>
      </c>
      <c r="AI691" s="18">
        <f>IF($A691&gt;'1-Input'!$B$26,AG691,AG691-MIN(MAX(AG691,0),'P-Parametri'!$B$8*(AG691+AF691)))</f>
        <v>254848.72189698237</v>
      </c>
      <c r="AJ691" s="18">
        <f>IF($A691&gt;'1-Input'!$B$26,AJ690,AJ690-AE691*(1-AD691))</f>
        <v>102200.05417864802</v>
      </c>
      <c r="AK691" s="11">
        <f>IF($A691&gt;'1-Input'!$B$26,0,IF(AP690&lt;=0,0,MAX(0,(AP690-AQ690)/AP690)))</f>
        <v>0.5837707976578308</v>
      </c>
      <c r="AL691" s="18">
        <f>IF($A691&gt;'1-Input'!$B$26,0,(MAX(0,AK671-IF($A691&gt;='1-Input'!$C$12,'1-Input'!$B$12,0))-MIN(MAX(AO690,0),MAX(0,AK671-IF($A691&gt;='1-Input'!$C$12,'1-Input'!$B$12,0))))*(1/(1-'P-Parametri'!$B$6*AK691))+MIN(MAX(0,AP690-(MAX(0,AK671-IF($A691&gt;='1-Input'!$C$12,'1-Input'!$B$12,0))-MIN(MAX(AO690,0),MAX(0,AK671-IF($A691&gt;='1-Input'!$C$12,'1-Input'!$B$12,0))))*(1/(1-'P-Parametri'!$B$6*AK691))),MAX(0,0*AK671-(AO690-MIN(MAX(AO690,0),MAX(0,AK671-IF($A691&gt;='1-Input'!$C$12,'1-Input'!$B$12,0)))))*(1/(1-'P-Parametri'!$B$6*AK691))))</f>
        <v>24386.220211898002</v>
      </c>
      <c r="AM691" s="18">
        <f>IF($A691&gt;'1-Input'!$B$26,AO690,(AO690-MAX(0,AK671-IF($A691&gt;='1-Input'!$C$12,'1-Input'!$B$12,0))+AL691*(1-'P-Parametri'!$B$6*AK691))*(1+'1-Input'!$B$27))</f>
        <v>-3.6248820833861826E-12</v>
      </c>
      <c r="AN691" s="18">
        <f>IF($A691&gt;'1-Input'!$B$26,AP690,(AP690-AL691)*(1+$D$4))</f>
        <v>255371.23549580559</v>
      </c>
      <c r="AO691" s="18">
        <f>IF($A691&gt;'1-Input'!$B$26,AM691,AM691-'P-Parametri'!$B$8*(AN691+AM691)+MIN(MAX(AN691,0),'P-Parametri'!$B$8*(AN691+AM691)))</f>
        <v>-3.637978807091713E-12</v>
      </c>
      <c r="AP691" s="18">
        <f>IF($A691&gt;'1-Input'!$B$26,AN691,AN691-MIN(MAX(AN691,0),'P-Parametri'!$B$8*(AN691+AM691)))</f>
        <v>254860.49302481397</v>
      </c>
      <c r="AQ691" s="18">
        <f>IF($A691&gt;'1-Input'!$B$26,AQ690,AQ690-AL691*(1-AK691))</f>
        <v>102204.77466495517</v>
      </c>
    </row>
    <row r="692" spans="1:43">
      <c r="A692" s="10">
        <f>19</f>
        <v>19</v>
      </c>
      <c r="B692" s="11">
        <f>IF($A692&gt;'1-Input'!$B$26,0,IF(G691&lt;=0,0,MAX(0,(G691-H691)/G691)))</f>
        <v>0.59897756826906756</v>
      </c>
      <c r="C692" s="18">
        <f>IF($A692&gt;'1-Input'!$B$26,0,(MAX(0,B671-IF($A692&gt;='1-Input'!$C$12,'1-Input'!$B$12,0))-MIN(MAX(F691,0),MAX(0,B671-IF($A692&gt;='1-Input'!$C$12,'1-Input'!$B$12,0))))*(1/(1-'P-Parametri'!$B$6*B692))+MIN(MAX(0,G691-(MAX(0,B671-IF($A692&gt;='1-Input'!$C$12,'1-Input'!$B$12,0))-MIN(MAX(F691,0),MAX(0,B671-IF($A692&gt;='1-Input'!$C$12,'1-Input'!$B$12,0))))*(1/(1-'P-Parametri'!$B$6*B692))),MAX(0,0*B671-(F691-MIN(MAX(F691,0),MAX(0,B671-IF($A692&gt;='1-Input'!$C$12,'1-Input'!$B$12,0)))))*(1/(1-'P-Parametri'!$B$6*B692))))</f>
        <v>19758.060408733258</v>
      </c>
      <c r="D692" s="18">
        <f>IF($A692&gt;'1-Input'!$B$26,F691,(F691-MAX(0,B671-IF($A692&gt;='1-Input'!$C$12,'1-Input'!$B$12,0))+C692*(1-'P-Parametri'!$B$6*B692))*(1+'1-Input'!$B$27))</f>
        <v>0</v>
      </c>
      <c r="E692" s="18">
        <f>IF($A692&gt;'1-Input'!$B$26,G691,(G691-C692)*(1+$D$4))</f>
        <v>365882.73265236535</v>
      </c>
      <c r="F692" s="18">
        <f>IF($A692&gt;'1-Input'!$B$26,D692,D692-'P-Parametri'!$B$8*(E692+D692)+MIN(MAX(E692,0),'P-Parametri'!$B$8*(E692+D692)))</f>
        <v>0</v>
      </c>
      <c r="G692" s="18">
        <f>IF($A692&gt;'1-Input'!$B$26,E692,E692-MIN(MAX(E692,0),'P-Parametri'!$B$8*(E692+D692)))</f>
        <v>365150.96718706063</v>
      </c>
      <c r="H692" s="18">
        <f>IF($A692&gt;'1-Input'!$B$26,H691,H691-C692*(1-B692))</f>
        <v>141083.8299775098</v>
      </c>
      <c r="I692" s="11">
        <f>IF($A692&gt;'1-Input'!$B$26,0,IF(N691&lt;=0,0,MAX(0,(N691-O691)/N691)))</f>
        <v>0.59897756826906767</v>
      </c>
      <c r="J692" s="18">
        <f>IF($A692&gt;'1-Input'!$B$26,0,(MAX(0,I671-IF($A692&gt;='1-Input'!$C$12,'1-Input'!$B$12,0))-MIN(MAX(M691,0),MAX(0,I671-IF($A692&gt;='1-Input'!$C$12,'1-Input'!$B$12,0))))*(1/(1-'P-Parametri'!$B$6*I692))+MIN(MAX(0,N691-(MAX(0,I671-IF($A692&gt;='1-Input'!$C$12,'1-Input'!$B$12,0))-MIN(MAX(M691,0),MAX(0,I671-IF($A692&gt;='1-Input'!$C$12,'1-Input'!$B$12,0))))*(1/(1-'P-Parametri'!$B$6*I692))),MAX(0,0*I671-(M691-MIN(MAX(M691,0),MAX(0,I671-IF($A692&gt;='1-Input'!$C$12,'1-Input'!$B$12,0)))))*(1/(1-'P-Parametri'!$B$6*I692))))</f>
        <v>25997.447906227986</v>
      </c>
      <c r="K692" s="18">
        <f>IF($A692&gt;'1-Input'!$B$26,M691,(M691-MAX(0,I671-IF($A692&gt;='1-Input'!$C$12,'1-Input'!$B$12,0))+J692*(1-'P-Parametri'!$B$6*I692))*(1+'1-Input'!$B$27))</f>
        <v>0</v>
      </c>
      <c r="L692" s="18">
        <f>IF($A692&gt;'1-Input'!$B$26,N691,(N691-J692)*(1+$D$4))</f>
        <v>199702.6467476736</v>
      </c>
      <c r="M692" s="18">
        <f>IF($A692&gt;'1-Input'!$B$26,K692,K692-'P-Parametri'!$B$8*(L692+K692)+MIN(MAX(L692,0),'P-Parametri'!$B$8*(L692+K692)))</f>
        <v>0</v>
      </c>
      <c r="N692" s="18">
        <f>IF($A692&gt;'1-Input'!$B$26,L692,L692-MIN(MAX(L692,0),'P-Parametri'!$B$8*(L692+K692)))</f>
        <v>199303.24145417826</v>
      </c>
      <c r="O692" s="18">
        <f>IF($A692&gt;'1-Input'!$B$26,O691,O691-J692*(1-I692))</f>
        <v>77005.039444091759</v>
      </c>
      <c r="P692" s="11">
        <f>IF($A692&gt;'1-Input'!$B$26,0,IF(U691&lt;=0,0,MAX(0,(U691-V691)/U691)))</f>
        <v>0.59897756826906778</v>
      </c>
      <c r="Q692" s="18">
        <f>IF($A692&gt;'1-Input'!$B$26,0,(MAX(0,P671-IF($A692&gt;='1-Input'!$C$12,'1-Input'!$B$12,0))-MIN(MAX(T691,0),MAX(0,P671-IF($A692&gt;='1-Input'!$C$12,'1-Input'!$B$12,0))))*(1/(1-'P-Parametri'!$B$6*P692))+MIN(MAX(0,U691-(MAX(0,P671-IF($A692&gt;='1-Input'!$C$12,'1-Input'!$B$12,0))-MIN(MAX(T691,0),MAX(0,P671-IF($A692&gt;='1-Input'!$C$12,'1-Input'!$B$12,0))))*(1/(1-'P-Parametri'!$B$6*P692))),MAX(0,0*P671-(T691-MIN(MAX(T691,0),MAX(0,P671-IF($A692&gt;='1-Input'!$C$12,'1-Input'!$B$12,0)))))*(1/(1-'P-Parametri'!$B$6*P692))))</f>
        <v>24748.244509562843</v>
      </c>
      <c r="R692" s="18">
        <f>IF($A692&gt;'1-Input'!$B$26,T691,(T691-MAX(0,P671-IF($A692&gt;='1-Input'!$C$12,'1-Input'!$B$12,0))+Q692*(1-'P-Parametri'!$B$6*P692))*(1+'1-Input'!$B$27))</f>
        <v>0</v>
      </c>
      <c r="S692" s="18">
        <f>IF($A692&gt;'1-Input'!$B$26,U691,(U691-Q692)*(1+$D$4))</f>
        <v>232973.97792458819</v>
      </c>
      <c r="T692" s="18">
        <f>IF($A692&gt;'1-Input'!$B$26,R692,R692-'P-Parametri'!$B$8*(S692+R692)+MIN(MAX(S692,0),'P-Parametri'!$B$8*(S692+R692)))</f>
        <v>0</v>
      </c>
      <c r="U692" s="18">
        <f>IF($A692&gt;'1-Input'!$B$26,S692,S692-MIN(MAX(S692,0),'P-Parametri'!$B$8*(S692+R692)))</f>
        <v>232508.02996873902</v>
      </c>
      <c r="V692" s="18">
        <f>IF($A692&gt;'1-Input'!$B$26,V691,V691-Q692*(1-P692))</f>
        <v>89834.414574371986</v>
      </c>
      <c r="W692" s="11">
        <f>IF($A692&gt;'1-Input'!$B$26,0,IF(AB691&lt;=0,0,MAX(0,(AB691-AC691)/AB691)))</f>
        <v>0.59897756826906756</v>
      </c>
      <c r="X692" s="18">
        <f>IF($A692&gt;'1-Input'!$B$26,0,(MAX(0,W671-IF($A692&gt;='1-Input'!$C$12,'1-Input'!$B$12,0))-MIN(MAX(AA691,0),MAX(0,W671-IF($A692&gt;='1-Input'!$C$12,'1-Input'!$B$12,0))))*(1/(1-'P-Parametri'!$B$6*W692))+MIN(MAX(0,AB691-(MAX(0,W671-IF($A692&gt;='1-Input'!$C$12,'1-Input'!$B$12,0))-MIN(MAX(AA691,0),MAX(0,W671-IF($A692&gt;='1-Input'!$C$12,'1-Input'!$B$12,0))))*(1/(1-'P-Parametri'!$B$6*W692))),MAX(0,0*W671-(AA691-MIN(MAX(AA691,0),MAX(0,W671-IF($A692&gt;='1-Input'!$C$12,'1-Input'!$B$12,0)))))*(1/(1-'P-Parametri'!$B$6*W692))))</f>
        <v>24498.513625979558</v>
      </c>
      <c r="Y692" s="18">
        <f>IF($A692&gt;'1-Input'!$B$26,AA691,(AA691-MAX(0,W671-IF($A692&gt;='1-Input'!$C$12,'1-Input'!$B$12,0))+X692*(1-'P-Parametri'!$B$6*W692))*(1+'1-Input'!$B$27))</f>
        <v>-3.6248820833861826E-12</v>
      </c>
      <c r="Z692" s="18">
        <f>IF($A692&gt;'1-Input'!$B$26,AB691,(AB691-X692)*(1+$D$4))</f>
        <v>239625.31985576099</v>
      </c>
      <c r="AA692" s="18">
        <f>IF($A692&gt;'1-Input'!$B$26,Y692,Y692-'P-Parametri'!$B$8*(Z692+Y692)+MIN(MAX(Z692,0),'P-Parametri'!$B$8*(Z692+Y692)))</f>
        <v>-3.637978807091713E-12</v>
      </c>
      <c r="AB692" s="18">
        <f>IF($A692&gt;'1-Input'!$B$26,Z692,Z692-MIN(MAX(Z692,0),'P-Parametri'!$B$8*(Z692+Y692)))</f>
        <v>239146.06921604945</v>
      </c>
      <c r="AC692" s="18">
        <f>IF($A692&gt;'1-Input'!$B$26,AC691,AC691-X692*(1-W692))</f>
        <v>92399.161993134388</v>
      </c>
      <c r="AD692" s="11">
        <f>IF($A692&gt;'1-Input'!$B$26,0,IF(AI691&lt;=0,0,MAX(0,(AI691-AJ691)/AI691)))</f>
        <v>0.59897756826906745</v>
      </c>
      <c r="AE692" s="18">
        <f>IF($A692&gt;'1-Input'!$B$26,0,(MAX(0,AD671-IF($A692&gt;='1-Input'!$C$12,'1-Input'!$B$12,0))-MIN(MAX(AH691,0),MAX(0,AD671-IF($A692&gt;='1-Input'!$C$12,'1-Input'!$B$12,0))))*(1/(1-'P-Parametri'!$B$6*AD692))+MIN(MAX(0,AI691-(MAX(0,AD671-IF($A692&gt;='1-Input'!$C$12,'1-Input'!$B$12,0))-MIN(MAX(AH691,0),MAX(0,AD671-IF($A692&gt;='1-Input'!$C$12,'1-Input'!$B$12,0))))*(1/(1-'P-Parametri'!$B$6*AD692))),MAX(0,0*AD671-(AH691-MIN(MAX(AH691,0),MAX(0,AD671-IF($A692&gt;='1-Input'!$C$12,'1-Input'!$B$12,0)))))*(1/(1-'P-Parametri'!$B$6*AD692))))</f>
        <v>24500.901027806347</v>
      </c>
      <c r="AF692" s="18">
        <f>IF($A692&gt;'1-Input'!$B$26,AH691,(AH691-MAX(0,AD671-IF($A692&gt;='1-Input'!$C$12,'1-Input'!$B$12,0))+AE692*(1-'P-Parametri'!$B$6*AD692))*(1+'1-Input'!$B$27))</f>
        <v>0</v>
      </c>
      <c r="AG692" s="18">
        <f>IF($A692&gt;'1-Input'!$B$26,AI691,(AI691-AE692)*(1+$D$4))</f>
        <v>239561.73370394309</v>
      </c>
      <c r="AH692" s="18">
        <f>IF($A692&gt;'1-Input'!$B$26,AF692,AF692-'P-Parametri'!$B$8*(AG692+AF692)+MIN(MAX(AG692,0),'P-Parametri'!$B$8*(AG692+AF692)))</f>
        <v>0</v>
      </c>
      <c r="AI692" s="18">
        <f>IF($A692&gt;'1-Input'!$B$26,AG692,AG692-MIN(MAX(AG692,0),'P-Parametri'!$B$8*(AG692+AF692)))</f>
        <v>239082.6102365352</v>
      </c>
      <c r="AJ692" s="18">
        <f>IF($A692&gt;'1-Input'!$B$26,AJ691,AJ691-AE692*(1-AD692))</f>
        <v>92374.643268878208</v>
      </c>
      <c r="AK692" s="11">
        <f>IF($A692&gt;'1-Input'!$B$26,0,IF(AP691&lt;=0,0,MAX(0,(AP691-AQ691)/AP691)))</f>
        <v>0.59897756826906778</v>
      </c>
      <c r="AL692" s="18">
        <f>IF($A692&gt;'1-Input'!$B$26,0,(MAX(0,AK671-IF($A692&gt;='1-Input'!$C$12,'1-Input'!$B$12,0))-MIN(MAX(AO691,0),MAX(0,AK671-IF($A692&gt;='1-Input'!$C$12,'1-Input'!$B$12,0))))*(1/(1-'P-Parametri'!$B$6*AK692))+MIN(MAX(0,AP691-(MAX(0,AK671-IF($A692&gt;='1-Input'!$C$12,'1-Input'!$B$12,0))-MIN(MAX(AO691,0),MAX(0,AK671-IF($A692&gt;='1-Input'!$C$12,'1-Input'!$B$12,0))))*(1/(1-'P-Parametri'!$B$6*AK692))),MAX(0,0*AK671-(AO691-MIN(MAX(AO691,0),MAX(0,AK671-IF($A692&gt;='1-Input'!$C$12,'1-Input'!$B$12,0)))))*(1/(1-'P-Parametri'!$B$6*AK692))))</f>
        <v>24500.422714350079</v>
      </c>
      <c r="AM692" s="18">
        <f>IF($A692&gt;'1-Input'!$B$26,AO691,(AO691-MAX(0,AK671-IF($A692&gt;='1-Input'!$C$12,'1-Input'!$B$12,0))+AL692*(1-'P-Parametri'!$B$6*AK692))*(1+'1-Input'!$B$27))</f>
        <v>0</v>
      </c>
      <c r="AN692" s="18">
        <f>IF($A692&gt;'1-Input'!$B$26,AP691,(AP691-AL692)*(1+$D$4))</f>
        <v>239574.47312288245</v>
      </c>
      <c r="AO692" s="18">
        <f>IF($A692&gt;'1-Input'!$B$26,AM692,AM692-'P-Parametri'!$B$8*(AN692+AM692)+MIN(MAX(AN692,0),'P-Parametri'!$B$8*(AN692+AM692)))</f>
        <v>0</v>
      </c>
      <c r="AP692" s="18">
        <f>IF($A692&gt;'1-Input'!$B$26,AN692,AN692-MIN(MAX(AN692,0),'P-Parametri'!$B$8*(AN692+AM692)))</f>
        <v>239095.3241766367</v>
      </c>
      <c r="AQ692" s="18">
        <f>IF($A692&gt;'1-Input'!$B$26,AQ691,AQ691-AL692*(1-AK692))</f>
        <v>92379.555569610733</v>
      </c>
    </row>
    <row r="693" spans="1:43">
      <c r="A693" s="10">
        <f>20</f>
        <v>20</v>
      </c>
      <c r="B693" s="11">
        <f>IF($A693&gt;'1-Input'!$B$26,0,IF(G692&lt;=0,0,MAX(0,(G692-H692)/G692)))</f>
        <v>0.61362876548199052</v>
      </c>
      <c r="C693" s="18">
        <f>IF($A693&gt;'1-Input'!$B$26,0,(MAX(0,B671-IF($A693&gt;='1-Input'!$C$12,'1-Input'!$B$12,0))-MIN(MAX(F692,0),MAX(0,B671-IF($A693&gt;='1-Input'!$C$12,'1-Input'!$B$12,0))))*(1/(1-'P-Parametri'!$B$6*B693))+MIN(MAX(0,G692-(MAX(0,B671-IF($A693&gt;='1-Input'!$C$12,'1-Input'!$B$12,0))-MIN(MAX(F692,0),MAX(0,B671-IF($A693&gt;='1-Input'!$C$12,'1-Input'!$B$12,0))))*(1/(1-'P-Parametri'!$B$6*B693))),MAX(0,0*B671-(F692-MIN(MAX(F692,0),MAX(0,B671-IF($A693&gt;='1-Input'!$C$12,'1-Input'!$B$12,0)))))*(1/(1-'P-Parametri'!$B$6*B693))))</f>
        <v>19847.612456240666</v>
      </c>
      <c r="D693" s="18">
        <f>IF($A693&gt;'1-Input'!$B$26,F692,(F692-MAX(0,B671-IF($A693&gt;='1-Input'!$C$12,'1-Input'!$B$12,0))+C693*(1-'P-Parametri'!$B$6*B693))*(1+'1-Input'!$B$27))</f>
        <v>0</v>
      </c>
      <c r="E693" s="18">
        <f>IF($A693&gt;'1-Input'!$B$26,G692,(G692-C693)*(1+$D$4))</f>
        <v>359115.48892005277</v>
      </c>
      <c r="F693" s="18">
        <f>IF($A693&gt;'1-Input'!$B$26,D693,D693-'P-Parametri'!$B$8*(E693+D693)+MIN(MAX(E693,0),'P-Parametri'!$B$8*(E693+D693)))</f>
        <v>0</v>
      </c>
      <c r="G693" s="18">
        <f>IF($A693&gt;'1-Input'!$B$26,E693,E693-MIN(MAX(E693,0),'P-Parametri'!$B$8*(E693+D693)))</f>
        <v>358397.25794221269</v>
      </c>
      <c r="H693" s="18">
        <f>IF($A693&gt;'1-Input'!$B$26,H692,H692-C693*(1-B693))</f>
        <v>133415.28345055706</v>
      </c>
      <c r="I693" s="11">
        <f>IF($A693&gt;'1-Input'!$B$26,0,IF(N692&lt;=0,0,MAX(0,(N692-O692)/N692)))</f>
        <v>0.61362876548199063</v>
      </c>
      <c r="J693" s="18">
        <f>IF($A693&gt;'1-Input'!$B$26,0,(MAX(0,I671-IF($A693&gt;='1-Input'!$C$12,'1-Input'!$B$12,0))-MIN(MAX(M692,0),MAX(0,I671-IF($A693&gt;='1-Input'!$C$12,'1-Input'!$B$12,0))))*(1/(1-'P-Parametri'!$B$6*I693))+MIN(MAX(0,N692-(MAX(0,I671-IF($A693&gt;='1-Input'!$C$12,'1-Input'!$B$12,0))-MIN(MAX(M692,0),MAX(0,I671-IF($A693&gt;='1-Input'!$C$12,'1-Input'!$B$12,0))))*(1/(1-'P-Parametri'!$B$6*I693))),MAX(0,0*I671-(M692-MIN(MAX(M692,0),MAX(0,I671-IF($A693&gt;='1-Input'!$C$12,'1-Input'!$B$12,0)))))*(1/(1-'P-Parametri'!$B$6*I693))))</f>
        <v>26115.279547685095</v>
      </c>
      <c r="K693" s="18">
        <f>IF($A693&gt;'1-Input'!$B$26,M692,(M692-MAX(0,I671-IF($A693&gt;='1-Input'!$C$12,'1-Input'!$B$12,0))+J693*(1-'P-Parametri'!$B$6*I693))*(1+'1-Input'!$B$27))</f>
        <v>0</v>
      </c>
      <c r="L693" s="18">
        <f>IF($A693&gt;'1-Input'!$B$26,N692,(N692-J693)*(1+$D$4))</f>
        <v>180115.4803827529</v>
      </c>
      <c r="M693" s="18">
        <f>IF($A693&gt;'1-Input'!$B$26,K693,K693-'P-Parametri'!$B$8*(L693+K693)+MIN(MAX(L693,0),'P-Parametri'!$B$8*(L693+K693)))</f>
        <v>0</v>
      </c>
      <c r="N693" s="18">
        <f>IF($A693&gt;'1-Input'!$B$26,L693,L693-MIN(MAX(L693,0),'P-Parametri'!$B$8*(L693+K693)))</f>
        <v>179755.24942198739</v>
      </c>
      <c r="O693" s="18">
        <f>IF($A693&gt;'1-Input'!$B$26,O692,O692-J693*(1-I693))</f>
        <v>66914.846645469748</v>
      </c>
      <c r="P693" s="11">
        <f>IF($A693&gt;'1-Input'!$B$26,0,IF(U692&lt;=0,0,MAX(0,(U692-V692)/U692)))</f>
        <v>0.61362876548199075</v>
      </c>
      <c r="Q693" s="18">
        <f>IF($A693&gt;'1-Input'!$B$26,0,(MAX(0,P671-IF($A693&gt;='1-Input'!$C$12,'1-Input'!$B$12,0))-MIN(MAX(T692,0),MAX(0,P671-IF($A693&gt;='1-Input'!$C$12,'1-Input'!$B$12,0))))*(1/(1-'P-Parametri'!$B$6*P693))+MIN(MAX(0,U692-(MAX(0,P671-IF($A693&gt;='1-Input'!$C$12,'1-Input'!$B$12,0))-MIN(MAX(T692,0),MAX(0,P671-IF($A693&gt;='1-Input'!$C$12,'1-Input'!$B$12,0))))*(1/(1-'P-Parametri'!$B$6*P693))),MAX(0,0*P671-(T692-MIN(MAX(T692,0),MAX(0,P671-IF($A693&gt;='1-Input'!$C$12,'1-Input'!$B$12,0)))))*(1/(1-'P-Parametri'!$B$6*P693))))</f>
        <v>24860.414222692452</v>
      </c>
      <c r="R693" s="18">
        <f>IF($A693&gt;'1-Input'!$B$26,T692,(T692-MAX(0,P671-IF($A693&gt;='1-Input'!$C$12,'1-Input'!$B$12,0))+Q693*(1-'P-Parametri'!$B$6*P693))*(1+'1-Input'!$B$27))</f>
        <v>0</v>
      </c>
      <c r="S693" s="18">
        <f>IF($A693&gt;'1-Input'!$B$26,U692,(U692-Q693)*(1+$D$4))</f>
        <v>215953.52037588845</v>
      </c>
      <c r="T693" s="18">
        <f>IF($A693&gt;'1-Input'!$B$26,R693,R693-'P-Parametri'!$B$8*(S693+R693)+MIN(MAX(S693,0),'P-Parametri'!$B$8*(S693+R693)))</f>
        <v>0</v>
      </c>
      <c r="U693" s="18">
        <f>IF($A693&gt;'1-Input'!$B$26,S693,S693-MIN(MAX(S693,0),'P-Parametri'!$B$8*(S693+R693)))</f>
        <v>215521.61333513667</v>
      </c>
      <c r="V693" s="18">
        <f>IF($A693&gt;'1-Input'!$B$26,V692,V692-Q693*(1-P693))</f>
        <v>80229.065640521221</v>
      </c>
      <c r="W693" s="11">
        <f>IF($A693&gt;'1-Input'!$B$26,0,IF(AB692&lt;=0,0,MAX(0,(AB692-AC692)/AB692)))</f>
        <v>0.61362876548199041</v>
      </c>
      <c r="X693" s="18">
        <f>IF($A693&gt;'1-Input'!$B$26,0,(MAX(0,W671-IF($A693&gt;='1-Input'!$C$12,'1-Input'!$B$12,0))-MIN(MAX(AA692,0),MAX(0,W671-IF($A693&gt;='1-Input'!$C$12,'1-Input'!$B$12,0))))*(1/(1-'P-Parametri'!$B$6*W693))+MIN(MAX(0,AB692-(MAX(0,W671-IF($A693&gt;='1-Input'!$C$12,'1-Input'!$B$12,0))-MIN(MAX(AA692,0),MAX(0,W671-IF($A693&gt;='1-Input'!$C$12,'1-Input'!$B$12,0))))*(1/(1-'P-Parametri'!$B$6*W693))),MAX(0,0*W671-(AA692-MIN(MAX(AA692,0),MAX(0,W671-IF($A693&gt;='1-Input'!$C$12,'1-Input'!$B$12,0)))))*(1/(1-'P-Parametri'!$B$6*W693))))</f>
        <v>24609.55145108535</v>
      </c>
      <c r="Y693" s="18">
        <f>IF($A693&gt;'1-Input'!$B$26,AA692,(AA692-MAX(0,W671-IF($A693&gt;='1-Input'!$C$12,'1-Input'!$B$12,0))+X693*(1-'P-Parametri'!$B$6*W693))*(1+'1-Input'!$B$27))</f>
        <v>0</v>
      </c>
      <c r="Z693" s="18">
        <f>IF($A693&gt;'1-Input'!$B$26,AB692,(AB692-X693)*(1+$D$4))</f>
        <v>223117.97847556268</v>
      </c>
      <c r="AA693" s="18">
        <f>IF($A693&gt;'1-Input'!$B$26,Y693,Y693-'P-Parametri'!$B$8*(Z693+Y693)+MIN(MAX(Z693,0),'P-Parametri'!$B$8*(Z693+Y693)))</f>
        <v>0</v>
      </c>
      <c r="AB693" s="18">
        <f>IF($A693&gt;'1-Input'!$B$26,Z693,Z693-MIN(MAX(Z693,0),'P-Parametri'!$B$8*(Z693+Y693)))</f>
        <v>222671.74251861154</v>
      </c>
      <c r="AC693" s="18">
        <f>IF($A693&gt;'1-Input'!$B$26,AC692,AC692-X693*(1-W693))</f>
        <v>82890.739218044066</v>
      </c>
      <c r="AD693" s="11">
        <f>IF($A693&gt;'1-Input'!$B$26,0,IF(AI692&lt;=0,0,MAX(0,(AI692-AJ692)/AI692)))</f>
        <v>0.61362876548199041</v>
      </c>
      <c r="AE693" s="18">
        <f>IF($A693&gt;'1-Input'!$B$26,0,(MAX(0,AD671-IF($A693&gt;='1-Input'!$C$12,'1-Input'!$B$12,0))-MIN(MAX(AH692,0),MAX(0,AD671-IF($A693&gt;='1-Input'!$C$12,'1-Input'!$B$12,0))))*(1/(1-'P-Parametri'!$B$6*AD693))+MIN(MAX(0,AI692-(MAX(0,AD671-IF($A693&gt;='1-Input'!$C$12,'1-Input'!$B$12,0))-MIN(MAX(AH692,0),MAX(0,AD671-IF($A693&gt;='1-Input'!$C$12,'1-Input'!$B$12,0))))*(1/(1-'P-Parametri'!$B$6*AD693))),MAX(0,0*AD671-(AH692-MIN(MAX(AH692,0),MAX(0,AD671-IF($A693&gt;='1-Input'!$C$12,'1-Input'!$B$12,0)))))*(1/(1-'P-Parametri'!$B$6*AD693))))</f>
        <v>24611.949673646428</v>
      </c>
      <c r="AF693" s="18">
        <f>IF($A693&gt;'1-Input'!$B$26,AH692,(AH692-MAX(0,AD671-IF($A693&gt;='1-Input'!$C$12,'1-Input'!$B$12,0))+AE693*(1-'P-Parametri'!$B$6*AD693))*(1+'1-Input'!$B$27))</f>
        <v>0</v>
      </c>
      <c r="AG693" s="18">
        <f>IF($A693&gt;'1-Input'!$B$26,AI692,(AI692-AE693)*(1+$D$4))</f>
        <v>223049.48698540434</v>
      </c>
      <c r="AH693" s="18">
        <f>IF($A693&gt;'1-Input'!$B$26,AF693,AF693-'P-Parametri'!$B$8*(AG693+AF693)+MIN(MAX(AG693,0),'P-Parametri'!$B$8*(AG693+AF693)))</f>
        <v>0</v>
      </c>
      <c r="AI693" s="18">
        <f>IF($A693&gt;'1-Input'!$B$26,AG693,AG693-MIN(MAX(AG693,0),'P-Parametri'!$B$8*(AG693+AF693)))</f>
        <v>222603.38801143353</v>
      </c>
      <c r="AJ693" s="18">
        <f>IF($A693&gt;'1-Input'!$B$26,AJ692,AJ692-AE693*(1-AD693))</f>
        <v>82865.293889576307</v>
      </c>
      <c r="AK693" s="11">
        <f>IF($A693&gt;'1-Input'!$B$26,0,IF(AP692&lt;=0,0,MAX(0,(AP692-AQ692)/AP692)))</f>
        <v>0.61362876548199075</v>
      </c>
      <c r="AL693" s="18">
        <f>IF($A693&gt;'1-Input'!$B$26,0,(MAX(0,AK671-IF($A693&gt;='1-Input'!$C$12,'1-Input'!$B$12,0))-MIN(MAX(AO692,0),MAX(0,AK671-IF($A693&gt;='1-Input'!$C$12,'1-Input'!$B$12,0))))*(1/(1-'P-Parametri'!$B$6*AK693))+MIN(MAX(0,AP692-(MAX(0,AK671-IF($A693&gt;='1-Input'!$C$12,'1-Input'!$B$12,0))-MIN(MAX(AO692,0),MAX(0,AK671-IF($A693&gt;='1-Input'!$C$12,'1-Input'!$B$12,0))))*(1/(1-'P-Parametri'!$B$6*AK693))),MAX(0,0*AK671-(AO692-MIN(MAX(AO692,0),MAX(0,AK671-IF($A693&gt;='1-Input'!$C$12,'1-Input'!$B$12,0)))))*(1/(1-'P-Parametri'!$B$6*AK693))))</f>
        <v>24611.46919226737</v>
      </c>
      <c r="AM693" s="18">
        <f>IF($A693&gt;'1-Input'!$B$26,AO692,(AO692-MAX(0,AK671-IF($A693&gt;='1-Input'!$C$12,'1-Input'!$B$12,0))+AL693*(1-'P-Parametri'!$B$6*AK693))*(1+'1-Input'!$B$27))</f>
        <v>0</v>
      </c>
      <c r="AN693" s="18">
        <f>IF($A693&gt;'1-Input'!$B$26,AP692,(AP692-AL693)*(1+$D$4))</f>
        <v>223063.20918374413</v>
      </c>
      <c r="AO693" s="18">
        <f>IF($A693&gt;'1-Input'!$B$26,AM693,AM693-'P-Parametri'!$B$8*(AN693+AM693)+MIN(MAX(AN693,0),'P-Parametri'!$B$8*(AN693+AM693)))</f>
        <v>0</v>
      </c>
      <c r="AP693" s="18">
        <f>IF($A693&gt;'1-Input'!$B$26,AN693,AN693-MIN(MAX(AN693,0),'P-Parametri'!$B$8*(AN693+AM693)))</f>
        <v>222617.08276537663</v>
      </c>
      <c r="AQ693" s="18">
        <f>IF($A693&gt;'1-Input'!$B$26,AQ692,AQ692-AL693*(1-AK693))</f>
        <v>82870.391834492431</v>
      </c>
    </row>
    <row r="694" spans="1:43">
      <c r="A694" s="10">
        <f>21</f>
        <v>21</v>
      </c>
      <c r="B694" s="11">
        <f>IF($A694&gt;'1-Input'!$B$26,0,IF(G693&lt;=0,0,MAX(0,(G693-H693)/G693)))</f>
        <v>0.62774468695274255</v>
      </c>
      <c r="C694" s="18">
        <f>IF($A694&gt;'1-Input'!$B$26,0,(MAX(0,B671-IF($A694&gt;='1-Input'!$C$12,'1-Input'!$B$12,0))-MIN(MAX(F693,0),MAX(0,B671-IF($A694&gt;='1-Input'!$C$12,'1-Input'!$B$12,0))))*(1/(1-'P-Parametri'!$B$6*B694))+MIN(MAX(0,G693-(MAX(0,B671-IF($A694&gt;='1-Input'!$C$12,'1-Input'!$B$12,0))-MIN(MAX(F693,0),MAX(0,B671-IF($A694&gt;='1-Input'!$C$12,'1-Input'!$B$12,0))))*(1/(1-'P-Parametri'!$B$6*B694))),MAX(0,0*B671-(F693-MIN(MAX(F693,0),MAX(0,B671-IF($A694&gt;='1-Input'!$C$12,'1-Input'!$B$12,0)))))*(1/(1-'P-Parametri'!$B$6*B694))))</f>
        <v>19934.663954342843</v>
      </c>
      <c r="D694" s="18">
        <f>IF($A694&gt;'1-Input'!$B$26,F693,(F693-MAX(0,B671-IF($A694&gt;='1-Input'!$C$12,'1-Input'!$B$12,0))+C694*(1-'P-Parametri'!$B$6*B694))*(1+'1-Input'!$B$27))</f>
        <v>0</v>
      </c>
      <c r="E694" s="18">
        <f>IF($A694&gt;'1-Input'!$B$26,G693,(G693-C694)*(1+$D$4))</f>
        <v>352001.09774738469</v>
      </c>
      <c r="F694" s="18">
        <f>IF($A694&gt;'1-Input'!$B$26,D694,D694-'P-Parametri'!$B$8*(E694+D694)+MIN(MAX(E694,0),'P-Parametri'!$B$8*(E694+D694)))</f>
        <v>0</v>
      </c>
      <c r="G694" s="18">
        <f>IF($A694&gt;'1-Input'!$B$26,E694,E694-MIN(MAX(E694,0),'P-Parametri'!$B$8*(E694+D694)))</f>
        <v>351297.09555188991</v>
      </c>
      <c r="H694" s="18">
        <f>IF($A694&gt;'1-Input'!$B$26,H693,H693-C694*(1-B694))</f>
        <v>125994.4988797413</v>
      </c>
      <c r="I694" s="11">
        <f>IF($A694&gt;'1-Input'!$B$26,0,IF(N693&lt;=0,0,MAX(0,(N693-O693)/N693)))</f>
        <v>0.62774468695274266</v>
      </c>
      <c r="J694" s="18">
        <f>IF($A694&gt;'1-Input'!$B$26,0,(MAX(0,I671-IF($A694&gt;='1-Input'!$C$12,'1-Input'!$B$12,0))-MIN(MAX(M693,0),MAX(0,I671-IF($A694&gt;='1-Input'!$C$12,'1-Input'!$B$12,0))))*(1/(1-'P-Parametri'!$B$6*I694))+MIN(MAX(0,N693-(MAX(0,I671-IF($A694&gt;='1-Input'!$C$12,'1-Input'!$B$12,0))-MIN(MAX(M693,0),MAX(0,I671-IF($A694&gt;='1-Input'!$C$12,'1-Input'!$B$12,0))))*(1/(1-'P-Parametri'!$B$6*I694))),MAX(0,0*I671-(M693-MIN(MAX(M693,0),MAX(0,I671-IF($A694&gt;='1-Input'!$C$12,'1-Input'!$B$12,0)))))*(1/(1-'P-Parametri'!$B$6*I694))))</f>
        <v>26229.820992556375</v>
      </c>
      <c r="K694" s="18">
        <f>IF($A694&gt;'1-Input'!$B$26,M693,(M693-MAX(0,I671-IF($A694&gt;='1-Input'!$C$12,'1-Input'!$B$12,0))+J694*(1-'P-Parametri'!$B$6*I694))*(1+'1-Input'!$B$27))</f>
        <v>0</v>
      </c>
      <c r="L694" s="18">
        <f>IF($A694&gt;'1-Input'!$B$26,N693,(N693-J694)*(1+$D$4))</f>
        <v>159666.44556660828</v>
      </c>
      <c r="M694" s="18">
        <f>IF($A694&gt;'1-Input'!$B$26,K694,K694-'P-Parametri'!$B$8*(L694+K694)+MIN(MAX(L694,0),'P-Parametri'!$B$8*(L694+K694)))</f>
        <v>0</v>
      </c>
      <c r="N694" s="18">
        <f>IF($A694&gt;'1-Input'!$B$26,L694,L694-MIN(MAX(L694,0),'P-Parametri'!$B$8*(L694+K694)))</f>
        <v>159347.11267547507</v>
      </c>
      <c r="O694" s="18">
        <f>IF($A694&gt;'1-Input'!$B$26,O693,O693-J694*(1-I694))</f>
        <v>57150.656420712156</v>
      </c>
      <c r="P694" s="11">
        <f>IF($A694&gt;'1-Input'!$B$26,0,IF(U693&lt;=0,0,MAX(0,(U693-V693)/U693)))</f>
        <v>0.62774468695274277</v>
      </c>
      <c r="Q694" s="18">
        <f>IF($A694&gt;'1-Input'!$B$26,0,(MAX(0,P671-IF($A694&gt;='1-Input'!$C$12,'1-Input'!$B$12,0))-MIN(MAX(T693,0),MAX(0,P671-IF($A694&gt;='1-Input'!$C$12,'1-Input'!$B$12,0))))*(1/(1-'P-Parametri'!$B$6*P694))+MIN(MAX(0,U693-(MAX(0,P671-IF($A694&gt;='1-Input'!$C$12,'1-Input'!$B$12,0))-MIN(MAX(T693,0),MAX(0,P671-IF($A694&gt;='1-Input'!$C$12,'1-Input'!$B$12,0))))*(1/(1-'P-Parametri'!$B$6*P694))),MAX(0,0*P671-(T693-MIN(MAX(T693,0),MAX(0,P671-IF($A694&gt;='1-Input'!$C$12,'1-Input'!$B$12,0)))))*(1/(1-'P-Parametri'!$B$6*P694))))</f>
        <v>24969.451836475841</v>
      </c>
      <c r="R694" s="18">
        <f>IF($A694&gt;'1-Input'!$B$26,T693,(T693-MAX(0,P671-IF($A694&gt;='1-Input'!$C$12,'1-Input'!$B$12,0))+Q694*(1-'P-Parametri'!$B$6*P694))*(1+'1-Input'!$B$27))</f>
        <v>0</v>
      </c>
      <c r="S694" s="18">
        <f>IF($A694&gt;'1-Input'!$B$26,U693,(U693-Q694)*(1+$D$4))</f>
        <v>198174.24795860727</v>
      </c>
      <c r="T694" s="18">
        <f>IF($A694&gt;'1-Input'!$B$26,R694,R694-'P-Parametri'!$B$8*(S694+R694)+MIN(MAX(S694,0),'P-Parametri'!$B$8*(S694+R694)))</f>
        <v>0</v>
      </c>
      <c r="U694" s="18">
        <f>IF($A694&gt;'1-Input'!$B$26,S694,S694-MIN(MAX(S694,0),'P-Parametri'!$B$8*(S694+R694)))</f>
        <v>197777.89946269005</v>
      </c>
      <c r="V694" s="18">
        <f>IF($A694&gt;'1-Input'!$B$26,V693,V693-Q694*(1-P694))</f>
        <v>70934.054530515496</v>
      </c>
      <c r="W694" s="11">
        <f>IF($A694&gt;'1-Input'!$B$26,0,IF(AB693&lt;=0,0,MAX(0,(AB693-AC693)/AB693)))</f>
        <v>0.62774468695274244</v>
      </c>
      <c r="X694" s="18">
        <f>IF($A694&gt;'1-Input'!$B$26,0,(MAX(0,W671-IF($A694&gt;='1-Input'!$C$12,'1-Input'!$B$12,0))-MIN(MAX(AA693,0),MAX(0,W671-IF($A694&gt;='1-Input'!$C$12,'1-Input'!$B$12,0))))*(1/(1-'P-Parametri'!$B$6*W694))+MIN(MAX(0,AB693-(MAX(0,W671-IF($A694&gt;='1-Input'!$C$12,'1-Input'!$B$12,0))-MIN(MAX(AA693,0),MAX(0,W671-IF($A694&gt;='1-Input'!$C$12,'1-Input'!$B$12,0))))*(1/(1-'P-Parametri'!$B$6*W694))),MAX(0,0*W671-(AA693-MIN(MAX(AA693,0),MAX(0,W671-IF($A694&gt;='1-Input'!$C$12,'1-Input'!$B$12,0)))))*(1/(1-'P-Parametri'!$B$6*W694))))</f>
        <v>24717.488782397253</v>
      </c>
      <c r="Y694" s="18">
        <f>IF($A694&gt;'1-Input'!$B$26,AA693,(AA693-MAX(0,W671-IF($A694&gt;='1-Input'!$C$12,'1-Input'!$B$12,0))+X694*(1-'P-Parametri'!$B$6*W694))*(1+'1-Input'!$B$27))</f>
        <v>0</v>
      </c>
      <c r="Z694" s="18">
        <f>IF($A694&gt;'1-Input'!$B$26,AB693,(AB693-X694)*(1+$D$4))</f>
        <v>205872.42388566289</v>
      </c>
      <c r="AA694" s="18">
        <f>IF($A694&gt;'1-Input'!$B$26,Y694,Y694-'P-Parametri'!$B$8*(Z694+Y694)+MIN(MAX(Z694,0),'P-Parametri'!$B$8*(Z694+Y694)))</f>
        <v>0</v>
      </c>
      <c r="AB694" s="18">
        <f>IF($A694&gt;'1-Input'!$B$26,Z694,Z694-MIN(MAX(Z694,0),'P-Parametri'!$B$8*(Z694+Y694)))</f>
        <v>205460.67903789156</v>
      </c>
      <c r="AC694" s="18">
        <f>IF($A694&gt;'1-Input'!$B$26,AC693,AC693-X694*(1-W694))</f>
        <v>73689.522693610692</v>
      </c>
      <c r="AD694" s="11">
        <f>IF($A694&gt;'1-Input'!$B$26,0,IF(AI693&lt;=0,0,MAX(0,(AI693-AJ693)/AI693)))</f>
        <v>0.62774468695274255</v>
      </c>
      <c r="AE694" s="18">
        <f>IF($A694&gt;'1-Input'!$B$26,0,(MAX(0,AD671-IF($A694&gt;='1-Input'!$C$12,'1-Input'!$B$12,0))-MIN(MAX(AH693,0),MAX(0,AD671-IF($A694&gt;='1-Input'!$C$12,'1-Input'!$B$12,0))))*(1/(1-'P-Parametri'!$B$6*AD694))+MIN(MAX(0,AI693-(MAX(0,AD671-IF($A694&gt;='1-Input'!$C$12,'1-Input'!$B$12,0))-MIN(MAX(AH693,0),MAX(0,AD671-IF($A694&gt;='1-Input'!$C$12,'1-Input'!$B$12,0))))*(1/(1-'P-Parametri'!$B$6*AD694))),MAX(0,0*AD671-(AH693-MIN(MAX(AH693,0),MAX(0,AD671-IF($A694&gt;='1-Input'!$C$12,'1-Input'!$B$12,0)))))*(1/(1-'P-Parametri'!$B$6*AD694))))</f>
        <v>24719.897523546762</v>
      </c>
      <c r="AF694" s="18">
        <f>IF($A694&gt;'1-Input'!$B$26,AH693,(AH693-MAX(0,AD671-IF($A694&gt;='1-Input'!$C$12,'1-Input'!$B$12,0))+AE694*(1-'P-Parametri'!$B$6*AD694))*(1+'1-Input'!$B$27))</f>
        <v>0</v>
      </c>
      <c r="AG694" s="18">
        <f>IF($A694&gt;'1-Input'!$B$26,AI693,(AI693-AE694)*(1+$D$4))</f>
        <v>205798.83010740223</v>
      </c>
      <c r="AH694" s="18">
        <f>IF($A694&gt;'1-Input'!$B$26,AF694,AF694-'P-Parametri'!$B$8*(AG694+AF694)+MIN(MAX(AG694,0),'P-Parametri'!$B$8*(AG694+AF694)))</f>
        <v>0</v>
      </c>
      <c r="AI694" s="18">
        <f>IF($A694&gt;'1-Input'!$B$26,AG694,AG694-MIN(MAX(AG694,0),'P-Parametri'!$B$8*(AG694+AF694)))</f>
        <v>205387.23244718742</v>
      </c>
      <c r="AJ694" s="18">
        <f>IF($A694&gt;'1-Input'!$B$26,AJ693,AJ693-AE694*(1-AD694))</f>
        <v>73663.180698452285</v>
      </c>
      <c r="AK694" s="11">
        <f>IF($A694&gt;'1-Input'!$B$26,0,IF(AP693&lt;=0,0,MAX(0,(AP693-AQ693)/AP693)))</f>
        <v>0.62774468695274288</v>
      </c>
      <c r="AL694" s="18">
        <f>IF($A694&gt;'1-Input'!$B$26,0,(MAX(0,AK671-IF($A694&gt;='1-Input'!$C$12,'1-Input'!$B$12,0))-MIN(MAX(AO693,0),MAX(0,AK671-IF($A694&gt;='1-Input'!$C$12,'1-Input'!$B$12,0))))*(1/(1-'P-Parametri'!$B$6*AK694))+MIN(MAX(0,AP693-(MAX(0,AK671-IF($A694&gt;='1-Input'!$C$12,'1-Input'!$B$12,0))-MIN(MAX(AO693,0),MAX(0,AK671-IF($A694&gt;='1-Input'!$C$12,'1-Input'!$B$12,0))))*(1/(1-'P-Parametri'!$B$6*AK694))),MAX(0,0*AK671-(AO693-MIN(MAX(AO693,0),MAX(0,AK671-IF($A694&gt;='1-Input'!$C$12,'1-Input'!$B$12,0)))))*(1/(1-'P-Parametri'!$B$6*AK694))))</f>
        <v>24719.414934779525</v>
      </c>
      <c r="AM694" s="18">
        <f>IF($A694&gt;'1-Input'!$B$26,AO693,(AO693-MAX(0,AK671-IF($A694&gt;='1-Input'!$C$12,'1-Input'!$B$12,0))+AL694*(1-'P-Parametri'!$B$6*AK694))*(1+'1-Input'!$B$27))</f>
        <v>3.6248820833861826E-12</v>
      </c>
      <c r="AN694" s="18">
        <f>IF($A694&gt;'1-Input'!$B$26,AP693,(AP693-AL694)*(1+$D$4))</f>
        <v>205813.57454382101</v>
      </c>
      <c r="AO694" s="18">
        <f>IF($A694&gt;'1-Input'!$B$26,AM694,AM694-'P-Parametri'!$B$8*(AN694+AM694)+MIN(MAX(AN694,0),'P-Parametri'!$B$8*(AN694+AM694)))</f>
        <v>3.637978807091713E-12</v>
      </c>
      <c r="AP694" s="18">
        <f>IF($A694&gt;'1-Input'!$B$26,AN694,AN694-MIN(MAX(AN694,0),'P-Parametri'!$B$8*(AN694+AM694)))</f>
        <v>205401.94739473338</v>
      </c>
      <c r="AQ694" s="18">
        <f>IF($A694&gt;'1-Input'!$B$26,AQ693,AQ693-AL694*(1-AK694))</f>
        <v>73668.45828960104</v>
      </c>
    </row>
    <row r="695" spans="1:43">
      <c r="A695" s="10">
        <f>22</f>
        <v>22</v>
      </c>
      <c r="B695" s="11">
        <f>IF($A695&gt;'1-Input'!$B$26,0,IF(G694&lt;=0,0,MAX(0,(G694-H694)/G694)))</f>
        <v>0.64134488877056284</v>
      </c>
      <c r="C695" s="18">
        <f>IF($A695&gt;'1-Input'!$B$26,0,(MAX(0,B671-IF($A695&gt;='1-Input'!$C$12,'1-Input'!$B$12,0))-MIN(MAX(F694,0),MAX(0,B671-IF($A695&gt;='1-Input'!$C$12,'1-Input'!$B$12,0))))*(1/(1-'P-Parametri'!$B$6*B695))+MIN(MAX(0,G694-(MAX(0,B671-IF($A695&gt;='1-Input'!$C$12,'1-Input'!$B$12,0))-MIN(MAX(F694,0),MAX(0,B671-IF($A695&gt;='1-Input'!$C$12,'1-Input'!$B$12,0))))*(1/(1-'P-Parametri'!$B$6*B695))),MAX(0,0*B671-(F694-MIN(MAX(F694,0),MAX(0,B671-IF($A695&gt;='1-Input'!$C$12,'1-Input'!$B$12,0)))))*(1/(1-'P-Parametri'!$B$6*B695))))</f>
        <v>20019.26040191732</v>
      </c>
      <c r="D695" s="18">
        <f>IF($A695&gt;'1-Input'!$B$26,F694,(F694-MAX(0,B671-IF($A695&gt;='1-Input'!$C$12,'1-Input'!$B$12,0))+C695*(1-'P-Parametri'!$B$6*B695))*(1+'1-Input'!$B$27))</f>
        <v>3.6248820833861826E-12</v>
      </c>
      <c r="E695" s="18">
        <f>IF($A695&gt;'1-Input'!$B$26,G694,(G694-C695)*(1+$D$4))</f>
        <v>344528.9485559715</v>
      </c>
      <c r="F695" s="18">
        <f>IF($A695&gt;'1-Input'!$B$26,D695,D695-'P-Parametri'!$B$8*(E695+D695)+MIN(MAX(E695,0),'P-Parametri'!$B$8*(E695+D695)))</f>
        <v>3.637978807091713E-12</v>
      </c>
      <c r="G695" s="18">
        <f>IF($A695&gt;'1-Input'!$B$26,E695,E695-MIN(MAX(E695,0),'P-Parametri'!$B$8*(E695+D695)))</f>
        <v>343839.89065885957</v>
      </c>
      <c r="H695" s="18">
        <f>IF($A695&gt;'1-Input'!$B$26,H694,H694-C695*(1-B695))</f>
        <v>118814.48881356057</v>
      </c>
      <c r="I695" s="11">
        <f>IF($A695&gt;'1-Input'!$B$26,0,IF(N694&lt;=0,0,MAX(0,(N694-O694)/N694)))</f>
        <v>0.64134488877056295</v>
      </c>
      <c r="J695" s="18">
        <f>IF($A695&gt;'1-Input'!$B$26,0,(MAX(0,I671-IF($A695&gt;='1-Input'!$C$12,'1-Input'!$B$12,0))-MIN(MAX(M694,0),MAX(0,I671-IF($A695&gt;='1-Input'!$C$12,'1-Input'!$B$12,0))))*(1/(1-'P-Parametri'!$B$6*I695))+MIN(MAX(0,N694-(MAX(0,I671-IF($A695&gt;='1-Input'!$C$12,'1-Input'!$B$12,0))-MIN(MAX(M694,0),MAX(0,I671-IF($A695&gt;='1-Input'!$C$12,'1-Input'!$B$12,0))))*(1/(1-'P-Parametri'!$B$6*I695))),MAX(0,0*I671-(M694-MIN(MAX(M694,0),MAX(0,I671-IF($A695&gt;='1-Input'!$C$12,'1-Input'!$B$12,0)))))*(1/(1-'P-Parametri'!$B$6*I695))))</f>
        <v>26341.13210778595</v>
      </c>
      <c r="K695" s="18">
        <f>IF($A695&gt;'1-Input'!$B$26,M694,(M694-MAX(0,I671-IF($A695&gt;='1-Input'!$C$12,'1-Input'!$B$12,0))+J695*(1-'P-Parametri'!$B$6*I695))*(1+'1-Input'!$B$27))</f>
        <v>0</v>
      </c>
      <c r="L695" s="18">
        <f>IF($A695&gt;'1-Input'!$B$26,N694,(N694-J695)*(1+$D$4))</f>
        <v>138326.21979039669</v>
      </c>
      <c r="M695" s="18">
        <f>IF($A695&gt;'1-Input'!$B$26,K695,K695-'P-Parametri'!$B$8*(L695+K695)+MIN(MAX(L695,0),'P-Parametri'!$B$8*(L695+K695)))</f>
        <v>0</v>
      </c>
      <c r="N695" s="18">
        <f>IF($A695&gt;'1-Input'!$B$26,L695,L695-MIN(MAX(L695,0),'P-Parametri'!$B$8*(L695+K695)))</f>
        <v>138049.56735081589</v>
      </c>
      <c r="O695" s="18">
        <f>IF($A695&gt;'1-Input'!$B$26,O694,O694-J695*(1-I695))</f>
        <v>47703.274754684891</v>
      </c>
      <c r="P695" s="11">
        <f>IF($A695&gt;'1-Input'!$B$26,0,IF(U694&lt;=0,0,MAX(0,(U694-V694)/U694)))</f>
        <v>0.64134488877056306</v>
      </c>
      <c r="Q695" s="18">
        <f>IF($A695&gt;'1-Input'!$B$26,0,(MAX(0,P671-IF($A695&gt;='1-Input'!$C$12,'1-Input'!$B$12,0))-MIN(MAX(T694,0),MAX(0,P671-IF($A695&gt;='1-Input'!$C$12,'1-Input'!$B$12,0))))*(1/(1-'P-Parametri'!$B$6*P695))+MIN(MAX(0,U694-(MAX(0,P671-IF($A695&gt;='1-Input'!$C$12,'1-Input'!$B$12,0))-MIN(MAX(T694,0),MAX(0,P671-IF($A695&gt;='1-Input'!$C$12,'1-Input'!$B$12,0))))*(1/(1-'P-Parametri'!$B$6*P695))),MAX(0,0*P671-(T694-MIN(MAX(T694,0),MAX(0,P671-IF($A695&gt;='1-Input'!$C$12,'1-Input'!$B$12,0)))))*(1/(1-'P-Parametri'!$B$6*P695))))</f>
        <v>25075.414341190532</v>
      </c>
      <c r="R695" s="18">
        <f>IF($A695&gt;'1-Input'!$B$26,T694,(T694-MAX(0,P671-IF($A695&gt;='1-Input'!$C$12,'1-Input'!$B$12,0))+Q695*(1-'P-Parametri'!$B$6*P695))*(1+'1-Input'!$B$27))</f>
        <v>-3.6248820833861826E-12</v>
      </c>
      <c r="S695" s="18">
        <f>IF($A695&gt;'1-Input'!$B$26,U694,(U694-Q695)*(1+$D$4))</f>
        <v>179610.58452635951</v>
      </c>
      <c r="T695" s="18">
        <f>IF($A695&gt;'1-Input'!$B$26,R695,R695-'P-Parametri'!$B$8*(S695+R695)+MIN(MAX(S695,0),'P-Parametri'!$B$8*(S695+R695)))</f>
        <v>-3.637978807091713E-12</v>
      </c>
      <c r="U695" s="18">
        <f>IF($A695&gt;'1-Input'!$B$26,S695,S695-MIN(MAX(S695,0),'P-Parametri'!$B$8*(S695+R695)))</f>
        <v>179251.36335730678</v>
      </c>
      <c r="V695" s="18">
        <f>IF($A695&gt;'1-Input'!$B$26,V694,V694-Q695*(1-P695))</f>
        <v>61940.62901085159</v>
      </c>
      <c r="W695" s="11">
        <f>IF($A695&gt;'1-Input'!$B$26,0,IF(AB694&lt;=0,0,MAX(0,(AB694-AC694)/AB694)))</f>
        <v>0.64134488877056284</v>
      </c>
      <c r="X695" s="18">
        <f>IF($A695&gt;'1-Input'!$B$26,0,(MAX(0,W671-IF($A695&gt;='1-Input'!$C$12,'1-Input'!$B$12,0))-MIN(MAX(AA694,0),MAX(0,W671-IF($A695&gt;='1-Input'!$C$12,'1-Input'!$B$12,0))))*(1/(1-'P-Parametri'!$B$6*W695))+MIN(MAX(0,AB694-(MAX(0,W671-IF($A695&gt;='1-Input'!$C$12,'1-Input'!$B$12,0))-MIN(MAX(AA694,0),MAX(0,W671-IF($A695&gt;='1-Input'!$C$12,'1-Input'!$B$12,0))))*(1/(1-'P-Parametri'!$B$6*W695))),MAX(0,0*W671-(AA694-MIN(MAX(AA694,0),MAX(0,W671-IF($A695&gt;='1-Input'!$C$12,'1-Input'!$B$12,0)))))*(1/(1-'P-Parametri'!$B$6*W695))))</f>
        <v>24822.382035112318</v>
      </c>
      <c r="Y695" s="18">
        <f>IF($A695&gt;'1-Input'!$B$26,AA694,(AA694-MAX(0,W671-IF($A695&gt;='1-Input'!$C$12,'1-Input'!$B$12,0))+X695*(1-'P-Parametri'!$B$6*W695))*(1+'1-Input'!$B$27))</f>
        <v>0</v>
      </c>
      <c r="Z695" s="18">
        <f>IF($A695&gt;'1-Input'!$B$26,AB694,(AB694-X695)*(1+$D$4))</f>
        <v>187863.8288828904</v>
      </c>
      <c r="AA695" s="18">
        <f>IF($A695&gt;'1-Input'!$B$26,Y695,Y695-'P-Parametri'!$B$8*(Z695+Y695)+MIN(MAX(Z695,0),'P-Parametri'!$B$8*(Z695+Y695)))</f>
        <v>0</v>
      </c>
      <c r="AB695" s="18">
        <f>IF($A695&gt;'1-Input'!$B$26,Z695,Z695-MIN(MAX(Z695,0),'P-Parametri'!$B$8*(Z695+Y695)))</f>
        <v>187488.10122512461</v>
      </c>
      <c r="AC695" s="18">
        <f>IF($A695&gt;'1-Input'!$B$26,AC694,AC694-X695*(1-W695))</f>
        <v>64786.848503827903</v>
      </c>
      <c r="AD695" s="11">
        <f>IF($A695&gt;'1-Input'!$B$26,0,IF(AI694&lt;=0,0,MAX(0,(AI694-AJ694)/AI694)))</f>
        <v>0.64134488877056273</v>
      </c>
      <c r="AE695" s="18">
        <f>IF($A695&gt;'1-Input'!$B$26,0,(MAX(0,AD671-IF($A695&gt;='1-Input'!$C$12,'1-Input'!$B$12,0))-MIN(MAX(AH694,0),MAX(0,AD671-IF($A695&gt;='1-Input'!$C$12,'1-Input'!$B$12,0))))*(1/(1-'P-Parametri'!$B$6*AD695))+MIN(MAX(0,AI694-(MAX(0,AD671-IF($A695&gt;='1-Input'!$C$12,'1-Input'!$B$12,0))-MIN(MAX(AH694,0),MAX(0,AD671-IF($A695&gt;='1-Input'!$C$12,'1-Input'!$B$12,0))))*(1/(1-'P-Parametri'!$B$6*AD695))),MAX(0,0*AD671-(AH694-MIN(MAX(AH694,0),MAX(0,AD671-IF($A695&gt;='1-Input'!$C$12,'1-Input'!$B$12,0)))))*(1/(1-'P-Parametri'!$B$6*AD695))))</f>
        <v>24824.800998202103</v>
      </c>
      <c r="AF695" s="18">
        <f>IF($A695&gt;'1-Input'!$B$26,AH694,(AH694-MAX(0,AD671-IF($A695&gt;='1-Input'!$C$12,'1-Input'!$B$12,0))+AE695*(1-'P-Parametri'!$B$6*AD695))*(1+'1-Input'!$B$27))</f>
        <v>0</v>
      </c>
      <c r="AG695" s="18">
        <f>IF($A695&gt;'1-Input'!$B$26,AI694,(AI694-AE695)*(1+$D$4))</f>
        <v>187784.92870694472</v>
      </c>
      <c r="AH695" s="18">
        <f>IF($A695&gt;'1-Input'!$B$26,AF695,AF695-'P-Parametri'!$B$8*(AG695+AF695)+MIN(MAX(AG695,0),'P-Parametri'!$B$8*(AG695+AF695)))</f>
        <v>0</v>
      </c>
      <c r="AI695" s="18">
        <f>IF($A695&gt;'1-Input'!$B$26,AG695,AG695-MIN(MAX(AG695,0),'P-Parametri'!$B$8*(AG695+AF695)))</f>
        <v>187409.35884953084</v>
      </c>
      <c r="AJ695" s="18">
        <f>IF($A695&gt;'1-Input'!$B$26,AJ694,AJ694-AE695*(1-AD695))</f>
        <v>64759.638935193463</v>
      </c>
      <c r="AK695" s="11">
        <f>IF($A695&gt;'1-Input'!$B$26,0,IF(AP694&lt;=0,0,MAX(0,(AP694-AQ694)/AP694)))</f>
        <v>0.64134488877056317</v>
      </c>
      <c r="AL695" s="18">
        <f>IF($A695&gt;'1-Input'!$B$26,0,(MAX(0,AK671-IF($A695&gt;='1-Input'!$C$12,'1-Input'!$B$12,0))-MIN(MAX(AO694,0),MAX(0,AK671-IF($A695&gt;='1-Input'!$C$12,'1-Input'!$B$12,0))))*(1/(1-'P-Parametri'!$B$6*AK695))+MIN(MAX(0,AP694-(MAX(0,AK671-IF($A695&gt;='1-Input'!$C$12,'1-Input'!$B$12,0))-MIN(MAX(AO694,0),MAX(0,AK671-IF($A695&gt;='1-Input'!$C$12,'1-Input'!$B$12,0))))*(1/(1-'P-Parametri'!$B$6*AK695))),MAX(0,0*AK671-(AO694-MIN(MAX(AO694,0),MAX(0,AK671-IF($A695&gt;='1-Input'!$C$12,'1-Input'!$B$12,0)))))*(1/(1-'P-Parametri'!$B$6*AK695))))</f>
        <v>24824.316361479829</v>
      </c>
      <c r="AM695" s="18">
        <f>IF($A695&gt;'1-Input'!$B$26,AO694,(AO694-MAX(0,AK671-IF($A695&gt;='1-Input'!$C$12,'1-Input'!$B$12,0))+AL695*(1-'P-Parametri'!$B$6*AK695))*(1+'1-Input'!$B$27))</f>
        <v>0</v>
      </c>
      <c r="AN695" s="18">
        <f>IF($A695&gt;'1-Input'!$B$26,AP694,(AP694-AL695)*(1+$D$4))</f>
        <v>187800.73627458367</v>
      </c>
      <c r="AO695" s="18">
        <f>IF($A695&gt;'1-Input'!$B$26,AM695,AM695-'P-Parametri'!$B$8*(AN695+AM695)+MIN(MAX(AN695,0),'P-Parametri'!$B$8*(AN695+AM695)))</f>
        <v>0</v>
      </c>
      <c r="AP695" s="18">
        <f>IF($A695&gt;'1-Input'!$B$26,AN695,AN695-MIN(MAX(AN695,0),'P-Parametri'!$B$8*(AN695+AM695)))</f>
        <v>187425.1348020345</v>
      </c>
      <c r="AQ695" s="18">
        <f>IF($A695&gt;'1-Input'!$B$26,AQ694,AQ694-AL695*(1-AK695))</f>
        <v>64765.090343779761</v>
      </c>
    </row>
    <row r="696" spans="1:43">
      <c r="A696" s="10">
        <f>23</f>
        <v>23</v>
      </c>
      <c r="B696" s="11">
        <f>IF($A696&gt;'1-Input'!$B$26,0,IF(G695&lt;=0,0,MAX(0,(G695-H695)/G695)))</f>
        <v>0.65444821255064245</v>
      </c>
      <c r="C696" s="18">
        <f>IF($A696&gt;'1-Input'!$B$26,0,(MAX(0,B671-IF($A696&gt;='1-Input'!$C$12,'1-Input'!$B$12,0))-MIN(MAX(F695,0),MAX(0,B671-IF($A696&gt;='1-Input'!$C$12,'1-Input'!$B$12,0))))*(1/(1-'P-Parametri'!$B$6*B696))+MIN(MAX(0,G695-(MAX(0,B671-IF($A696&gt;='1-Input'!$C$12,'1-Input'!$B$12,0))-MIN(MAX(F695,0),MAX(0,B671-IF($A696&gt;='1-Input'!$C$12,'1-Input'!$B$12,0))))*(1/(1-'P-Parametri'!$B$6*B696))),MAX(0,0*B671-(F695-MIN(MAX(F695,0),MAX(0,B671-IF($A696&gt;='1-Input'!$C$12,'1-Input'!$B$12,0)))))*(1/(1-'P-Parametri'!$B$6*B696))))</f>
        <v>6723.0213307699869</v>
      </c>
      <c r="D696" s="18">
        <f>IF($A696&gt;'1-Input'!$B$26,F695,(F695-MAX(0,B671-IF($A696&gt;='1-Input'!$C$12,'1-Input'!$B$12,0))+C696*(1-'P-Parametri'!$B$6*B696))*(1+'1-Input'!$B$27))</f>
        <v>0</v>
      </c>
      <c r="E696" s="18">
        <f>IF($A696&gt;'1-Input'!$B$26,G695,(G695-C696)*(1+$D$4))</f>
        <v>350601.54410121316</v>
      </c>
      <c r="F696" s="18">
        <f>IF($A696&gt;'1-Input'!$B$26,D696,D696-'P-Parametri'!$B$8*(E696+D696)+MIN(MAX(E696,0),'P-Parametri'!$B$8*(E696+D696)))</f>
        <v>0</v>
      </c>
      <c r="G696" s="18">
        <f>IF($A696&gt;'1-Input'!$B$26,E696,E696-MIN(MAX(E696,0),'P-Parametri'!$B$8*(E696+D696)))</f>
        <v>349900.34101301077</v>
      </c>
      <c r="H696" s="18">
        <f>IF($A696&gt;'1-Input'!$B$26,H695,H695-C696*(1-B696))</f>
        <v>116491.33677565285</v>
      </c>
      <c r="I696" s="11">
        <f>IF($A696&gt;'1-Input'!$B$26,0,IF(N695&lt;=0,0,MAX(0,(N695-O695)/N695)))</f>
        <v>0.65444821255064256</v>
      </c>
      <c r="J696" s="18">
        <f>IF($A696&gt;'1-Input'!$B$26,0,(MAX(0,I671-IF($A696&gt;='1-Input'!$C$12,'1-Input'!$B$12,0))-MIN(MAX(M695,0),MAX(0,I671-IF($A696&gt;='1-Input'!$C$12,'1-Input'!$B$12,0))))*(1/(1-'P-Parametri'!$B$6*I696))+MIN(MAX(0,N695-(MAX(0,I671-IF($A696&gt;='1-Input'!$C$12,'1-Input'!$B$12,0))-MIN(MAX(M695,0),MAX(0,I671-IF($A696&gt;='1-Input'!$C$12,'1-Input'!$B$12,0))))*(1/(1-'P-Parametri'!$B$6*I696))),MAX(0,0*I671-(M695-MIN(MAX(M695,0),MAX(0,I671-IF($A696&gt;='1-Input'!$C$12,'1-Input'!$B$12,0)))))*(1/(1-'P-Parametri'!$B$6*I696))))</f>
        <v>13070.847037842865</v>
      </c>
      <c r="K696" s="18">
        <f>IF($A696&gt;'1-Input'!$B$26,M695,(M695-MAX(0,I671-IF($A696&gt;='1-Input'!$C$12,'1-Input'!$B$12,0))+J696*(1-'P-Parametri'!$B$6*I696))*(1+'1-Input'!$B$27))</f>
        <v>1.8124410416930913E-12</v>
      </c>
      <c r="L696" s="18">
        <f>IF($A696&gt;'1-Input'!$B$26,N695,(N695-J696)*(1+$D$4))</f>
        <v>129977.86912549195</v>
      </c>
      <c r="M696" s="18">
        <f>IF($A696&gt;'1-Input'!$B$26,K696,K696-'P-Parametri'!$B$8*(L696+K696)+MIN(MAX(L696,0),'P-Parametri'!$B$8*(L696+K696)))</f>
        <v>1.8189894035458565E-12</v>
      </c>
      <c r="N696" s="18">
        <f>IF($A696&gt;'1-Input'!$B$26,L696,L696-MIN(MAX(L696,0),'P-Parametri'!$B$8*(L696+K696)))</f>
        <v>129717.91338724097</v>
      </c>
      <c r="O696" s="18">
        <f>IF($A696&gt;'1-Input'!$B$26,O695,O695-J696*(1-I696))</f>
        <v>43186.620197281154</v>
      </c>
      <c r="P696" s="11">
        <f>IF($A696&gt;'1-Input'!$B$26,0,IF(U695&lt;=0,0,MAX(0,(U695-V695)/U695)))</f>
        <v>0.65444821255064267</v>
      </c>
      <c r="Q696" s="18">
        <f>IF($A696&gt;'1-Input'!$B$26,0,(MAX(0,P671-IF($A696&gt;='1-Input'!$C$12,'1-Input'!$B$12,0))-MIN(MAX(T695,0),MAX(0,P671-IF($A696&gt;='1-Input'!$C$12,'1-Input'!$B$12,0))))*(1/(1-'P-Parametri'!$B$6*P696))+MIN(MAX(0,U695-(MAX(0,P671-IF($A696&gt;='1-Input'!$C$12,'1-Input'!$B$12,0))-MIN(MAX(T695,0),MAX(0,P671-IF($A696&gt;='1-Input'!$C$12,'1-Input'!$B$12,0))))*(1/(1-'P-Parametri'!$B$6*P696))),MAX(0,0*P671-(T695-MIN(MAX(T695,0),MAX(0,P671-IF($A696&gt;='1-Input'!$C$12,'1-Input'!$B$12,0)))))*(1/(1-'P-Parametri'!$B$6*P696))))</f>
        <v>11799.932955667691</v>
      </c>
      <c r="R696" s="18">
        <f>IF($A696&gt;'1-Input'!$B$26,T695,(T695-MAX(0,P671-IF($A696&gt;='1-Input'!$C$12,'1-Input'!$B$12,0))+Q696*(1-'P-Parametri'!$B$6*P696))*(1+'1-Input'!$B$27))</f>
        <v>0</v>
      </c>
      <c r="S696" s="18">
        <f>IF($A696&gt;'1-Input'!$B$26,U695,(U695-Q696)*(1+$D$4))</f>
        <v>174149.48761770464</v>
      </c>
      <c r="T696" s="18">
        <f>IF($A696&gt;'1-Input'!$B$26,R696,R696-'P-Parametri'!$B$8*(S696+R696)+MIN(MAX(S696,0),'P-Parametri'!$B$8*(S696+R696)))</f>
        <v>0</v>
      </c>
      <c r="U696" s="18">
        <f>IF($A696&gt;'1-Input'!$B$26,S696,S696-MIN(MAX(S696,0),'P-Parametri'!$B$8*(S696+R696)))</f>
        <v>173801.18864246923</v>
      </c>
      <c r="V696" s="18">
        <f>IF($A696&gt;'1-Input'!$B$26,V695,V695-Q696*(1-P696))</f>
        <v>57863.141086238043</v>
      </c>
      <c r="W696" s="11">
        <f>IF($A696&gt;'1-Input'!$B$26,0,IF(AB695&lt;=0,0,MAX(0,(AB695-AC695)/AB695)))</f>
        <v>0.65444821255064245</v>
      </c>
      <c r="X696" s="18">
        <f>IF($A696&gt;'1-Input'!$B$26,0,(MAX(0,W671-IF($A696&gt;='1-Input'!$C$12,'1-Input'!$B$12,0))-MIN(MAX(AA695,0),MAX(0,W671-IF($A696&gt;='1-Input'!$C$12,'1-Input'!$B$12,0))))*(1/(1-'P-Parametri'!$B$6*W696))+MIN(MAX(0,AB695-(MAX(0,W671-IF($A696&gt;='1-Input'!$C$12,'1-Input'!$B$12,0))-MIN(MAX(AA695,0),MAX(0,W671-IF($A696&gt;='1-Input'!$C$12,'1-Input'!$B$12,0))))*(1/(1-'P-Parametri'!$B$6*W696))),MAX(0,0*W671-(AA695-MIN(MAX(AA695,0),MAX(0,W671-IF($A696&gt;='1-Input'!$C$12,'1-Input'!$B$12,0)))))*(1/(1-'P-Parametri'!$B$6*W696))))</f>
        <v>11545.861843191271</v>
      </c>
      <c r="Y696" s="18">
        <f>IF($A696&gt;'1-Input'!$B$26,AA695,(AA695-MAX(0,W671-IF($A696&gt;='1-Input'!$C$12,'1-Input'!$B$12,0))+X696*(1-'P-Parametri'!$B$6*W696))*(1+'1-Input'!$B$27))</f>
        <v>0</v>
      </c>
      <c r="Z696" s="18">
        <f>IF($A696&gt;'1-Input'!$B$26,AB695,(AB695-X696)*(1+$D$4))</f>
        <v>182979.92895721068</v>
      </c>
      <c r="AA696" s="18">
        <f>IF($A696&gt;'1-Input'!$B$26,Y696,Y696-'P-Parametri'!$B$8*(Z696+Y696)+MIN(MAX(Z696,0),'P-Parametri'!$B$8*(Z696+Y696)))</f>
        <v>0</v>
      </c>
      <c r="AB696" s="18">
        <f>IF($A696&gt;'1-Input'!$B$26,Z696,Z696-MIN(MAX(Z696,0),'P-Parametri'!$B$8*(Z696+Y696)))</f>
        <v>182613.96909929626</v>
      </c>
      <c r="AC696" s="18">
        <f>IF($A696&gt;'1-Input'!$B$26,AC695,AC695-X696*(1-W696))</f>
        <v>60797.155306269822</v>
      </c>
      <c r="AD696" s="11">
        <f>IF($A696&gt;'1-Input'!$B$26,0,IF(AI695&lt;=0,0,MAX(0,(AI695-AJ695)/AI695)))</f>
        <v>0.65444821255064245</v>
      </c>
      <c r="AE696" s="18">
        <f>IF($A696&gt;'1-Input'!$B$26,0,(MAX(0,AD671-IF($A696&gt;='1-Input'!$C$12,'1-Input'!$B$12,0))-MIN(MAX(AH695,0),MAX(0,AD671-IF($A696&gt;='1-Input'!$C$12,'1-Input'!$B$12,0))))*(1/(1-'P-Parametri'!$B$6*AD696))+MIN(MAX(0,AI695-(MAX(0,AD671-IF($A696&gt;='1-Input'!$C$12,'1-Input'!$B$12,0))-MIN(MAX(AH695,0),MAX(0,AD671-IF($A696&gt;='1-Input'!$C$12,'1-Input'!$B$12,0))))*(1/(1-'P-Parametri'!$B$6*AD696))),MAX(0,0*AD671-(AH695-MIN(MAX(AH695,0),MAX(0,AD671-IF($A696&gt;='1-Input'!$C$12,'1-Input'!$B$12,0)))))*(1/(1-'P-Parametri'!$B$6*AD696))))</f>
        <v>11548.290737164483</v>
      </c>
      <c r="AF696" s="18">
        <f>IF($A696&gt;'1-Input'!$B$26,AH695,(AH695-MAX(0,AD671-IF($A696&gt;='1-Input'!$C$12,'1-Input'!$B$12,0))+AE696*(1-'P-Parametri'!$B$6*AD696))*(1+'1-Input'!$B$27))</f>
        <v>1.8124410416930913E-12</v>
      </c>
      <c r="AG696" s="18">
        <f>IF($A696&gt;'1-Input'!$B$26,AI695,(AI695-AE696)*(1+$D$4))</f>
        <v>182895.51083686104</v>
      </c>
      <c r="AH696" s="18">
        <f>IF($A696&gt;'1-Input'!$B$26,AF696,AF696-'P-Parametri'!$B$8*(AG696+AF696)+MIN(MAX(AG696,0),'P-Parametri'!$B$8*(AG696+AF696)))</f>
        <v>1.8189894035458565E-12</v>
      </c>
      <c r="AI696" s="18">
        <f>IF($A696&gt;'1-Input'!$B$26,AG696,AG696-MIN(MAX(AG696,0),'P-Parametri'!$B$8*(AG696+AF696)))</f>
        <v>182529.7198151873</v>
      </c>
      <c r="AJ696" s="18">
        <f>IF($A696&gt;'1-Input'!$B$26,AJ695,AJ695-AE696*(1-AD696))</f>
        <v>60769.106428981417</v>
      </c>
      <c r="AK696" s="11">
        <f>IF($A696&gt;'1-Input'!$B$26,0,IF(AP695&lt;=0,0,MAX(0,(AP695-AQ695)/AP695)))</f>
        <v>0.65444821255064267</v>
      </c>
      <c r="AL696" s="18">
        <f>IF($A696&gt;'1-Input'!$B$26,0,(MAX(0,AK671-IF($A696&gt;='1-Input'!$C$12,'1-Input'!$B$12,0))-MIN(MAX(AO695,0),MAX(0,AK671-IF($A696&gt;='1-Input'!$C$12,'1-Input'!$B$12,0))))*(1/(1-'P-Parametri'!$B$6*AK696))+MIN(MAX(0,AP695-(MAX(0,AK671-IF($A696&gt;='1-Input'!$C$12,'1-Input'!$B$12,0))-MIN(MAX(AO695,0),MAX(0,AK671-IF($A696&gt;='1-Input'!$C$12,'1-Input'!$B$12,0))))*(1/(1-'P-Parametri'!$B$6*AK696))),MAX(0,0*AK671-(AO695-MIN(MAX(AO695,0),MAX(0,AK671-IF($A696&gt;='1-Input'!$C$12,'1-Input'!$B$12,0)))))*(1/(1-'P-Parametri'!$B$6*AK696))))</f>
        <v>11547.804110800116</v>
      </c>
      <c r="AM696" s="18">
        <f>IF($A696&gt;'1-Input'!$B$26,AO695,(AO695-MAX(0,AK671-IF($A696&gt;='1-Input'!$C$12,'1-Input'!$B$12,0))+AL696*(1-'P-Parametri'!$B$6*AK696))*(1+'1-Input'!$B$27))</f>
        <v>1.8124410416930913E-12</v>
      </c>
      <c r="AN696" s="18">
        <f>IF($A696&gt;'1-Input'!$B$26,AP695,(AP695-AL696)*(1+$D$4))</f>
        <v>182912.42391888375</v>
      </c>
      <c r="AO696" s="18">
        <f>IF($A696&gt;'1-Input'!$B$26,AM696,AM696-'P-Parametri'!$B$8*(AN696+AM696)+MIN(MAX(AN696,0),'P-Parametri'!$B$8*(AN696+AM696)))</f>
        <v>1.8189894035458565E-12</v>
      </c>
      <c r="AP696" s="18">
        <f>IF($A696&gt;'1-Input'!$B$26,AN696,AN696-MIN(MAX(AN696,0),'P-Parametri'!$B$8*(AN696+AM696)))</f>
        <v>182546.59907104599</v>
      </c>
      <c r="AQ696" s="18">
        <f>IF($A696&gt;'1-Input'!$B$26,AQ695,AQ695-AL696*(1-AK696))</f>
        <v>60774.725992177744</v>
      </c>
    </row>
    <row r="697" spans="1:43">
      <c r="A697" s="10">
        <f>24</f>
        <v>24</v>
      </c>
      <c r="B697" s="11">
        <f>IF($A697&gt;'1-Input'!$B$26,0,IF(G696&lt;=0,0,MAX(0,(G696-H696)/G696)))</f>
        <v>0.6670728115371537</v>
      </c>
      <c r="C697" s="18">
        <f>IF($A697&gt;'1-Input'!$B$26,0,(MAX(0,B671-IF($A697&gt;='1-Input'!$C$12,'1-Input'!$B$12,0))-MIN(MAX(F696,0),MAX(0,B671-IF($A697&gt;='1-Input'!$C$12,'1-Input'!$B$12,0))))*(1/(1-'P-Parametri'!$B$6*B697))+MIN(MAX(0,G696-(MAX(0,B671-IF($A697&gt;='1-Input'!$C$12,'1-Input'!$B$12,0))-MIN(MAX(F696,0),MAX(0,B671-IF($A697&gt;='1-Input'!$C$12,'1-Input'!$B$12,0))))*(1/(1-'P-Parametri'!$B$6*B697))),MAX(0,0*B671-(F696-MIN(MAX(F696,0),MAX(0,B671-IF($A697&gt;='1-Input'!$C$12,'1-Input'!$B$12,0)))))*(1/(1-'P-Parametri'!$B$6*B697))))</f>
        <v>6749.719438605096</v>
      </c>
      <c r="D697" s="18">
        <f>IF($A697&gt;'1-Input'!$B$26,F696,(F696-MAX(0,B671-IF($A697&gt;='1-Input'!$C$12,'1-Input'!$B$12,0))+C697*(1-'P-Parametri'!$B$6*B697))*(1+'1-Input'!$B$27))</f>
        <v>0</v>
      </c>
      <c r="E697" s="18">
        <f>IF($A697&gt;'1-Input'!$B$26,G696,(G696-C697)*(1+$D$4))</f>
        <v>356876.64643738192</v>
      </c>
      <c r="F697" s="18">
        <f>IF($A697&gt;'1-Input'!$B$26,D697,D697-'P-Parametri'!$B$8*(E697+D697)+MIN(MAX(E697,0),'P-Parametri'!$B$8*(E697+D697)))</f>
        <v>0</v>
      </c>
      <c r="G697" s="18">
        <f>IF($A697&gt;'1-Input'!$B$26,E697,E697-MIN(MAX(E697,0),'P-Parametri'!$B$8*(E697+D697)))</f>
        <v>356162.89314450714</v>
      </c>
      <c r="H697" s="18">
        <f>IF($A697&gt;'1-Input'!$B$26,H696,H696-C697*(1-B697))</f>
        <v>114244.17166004503</v>
      </c>
      <c r="I697" s="11">
        <f>IF($A697&gt;'1-Input'!$B$26,0,IF(N696&lt;=0,0,MAX(0,(N696-O696)/N696)))</f>
        <v>0.6670728115371537</v>
      </c>
      <c r="J697" s="18">
        <f>IF($A697&gt;'1-Input'!$B$26,0,(MAX(0,I671-IF($A697&gt;='1-Input'!$C$12,'1-Input'!$B$12,0))-MIN(MAX(M696,0),MAX(0,I671-IF($A697&gt;='1-Input'!$C$12,'1-Input'!$B$12,0))))*(1/(1-'P-Parametri'!$B$6*I697))+MIN(MAX(0,N696-(MAX(0,I671-IF($A697&gt;='1-Input'!$C$12,'1-Input'!$B$12,0))-MIN(MAX(M696,0),MAX(0,I671-IF($A697&gt;='1-Input'!$C$12,'1-Input'!$B$12,0))))*(1/(1-'P-Parametri'!$B$6*I697))),MAX(0,0*I671-(M696-MIN(MAX(M696,0),MAX(0,I671-IF($A697&gt;='1-Input'!$C$12,'1-Input'!$B$12,0)))))*(1/(1-'P-Parametri'!$B$6*I697))))</f>
        <v>13122.753296434565</v>
      </c>
      <c r="K697" s="18">
        <f>IF($A697&gt;'1-Input'!$B$26,M696,(M696-MAX(0,I671-IF($A697&gt;='1-Input'!$C$12,'1-Input'!$B$12,0))+J697*(1-'P-Parametri'!$B$6*I697))*(1+'1-Input'!$B$27))</f>
        <v>0</v>
      </c>
      <c r="L697" s="18">
        <f>IF($A697&gt;'1-Input'!$B$26,N696,(N696-J697)*(1+$D$4))</f>
        <v>121258.96649443867</v>
      </c>
      <c r="M697" s="18">
        <f>IF($A697&gt;'1-Input'!$B$26,K697,K697-'P-Parametri'!$B$8*(L697+K697)+MIN(MAX(L697,0),'P-Parametri'!$B$8*(L697+K697)))</f>
        <v>0</v>
      </c>
      <c r="N697" s="18">
        <f>IF($A697&gt;'1-Input'!$B$26,L697,L697-MIN(MAX(L697,0),'P-Parametri'!$B$8*(L697+K697)))</f>
        <v>121016.4485614498</v>
      </c>
      <c r="O697" s="18">
        <f>IF($A697&gt;'1-Input'!$B$26,O696,O696-J697*(1-I697))</f>
        <v>38817.698837407646</v>
      </c>
      <c r="P697" s="11">
        <f>IF($A697&gt;'1-Input'!$B$26,0,IF(U696&lt;=0,0,MAX(0,(U696-V696)/U696)))</f>
        <v>0.66707281153715381</v>
      </c>
      <c r="Q697" s="18">
        <f>IF($A697&gt;'1-Input'!$B$26,0,(MAX(0,P671-IF($A697&gt;='1-Input'!$C$12,'1-Input'!$B$12,0))-MIN(MAX(T696,0),MAX(0,P671-IF($A697&gt;='1-Input'!$C$12,'1-Input'!$B$12,0))))*(1/(1-'P-Parametri'!$B$6*P697))+MIN(MAX(0,U696-(MAX(0,P671-IF($A697&gt;='1-Input'!$C$12,'1-Input'!$B$12,0))-MIN(MAX(T696,0),MAX(0,P671-IF($A697&gt;='1-Input'!$C$12,'1-Input'!$B$12,0))))*(1/(1-'P-Parametri'!$B$6*P697))),MAX(0,0*P671-(T696-MIN(MAX(T696,0),MAX(0,P671-IF($A697&gt;='1-Input'!$C$12,'1-Input'!$B$12,0)))))*(1/(1-'P-Parametri'!$B$6*P697))))</f>
        <v>11846.792227265645</v>
      </c>
      <c r="R697" s="18">
        <f>IF($A697&gt;'1-Input'!$B$26,T696,(T696-MAX(0,P671-IF($A697&gt;='1-Input'!$C$12,'1-Input'!$B$12,0))+Q697*(1-'P-Parametri'!$B$6*P697))*(1+'1-Input'!$B$27))</f>
        <v>0</v>
      </c>
      <c r="S697" s="18">
        <f>IF($A697&gt;'1-Input'!$B$26,U696,(U696-Q697)*(1+$D$4))</f>
        <v>168432.57227181172</v>
      </c>
      <c r="T697" s="18">
        <f>IF($A697&gt;'1-Input'!$B$26,R697,R697-'P-Parametri'!$B$8*(S697+R697)+MIN(MAX(S697,0),'P-Parametri'!$B$8*(S697+R697)))</f>
        <v>0</v>
      </c>
      <c r="U697" s="18">
        <f>IF($A697&gt;'1-Input'!$B$26,S697,S697-MIN(MAX(S697,0),'P-Parametri'!$B$8*(S697+R697)))</f>
        <v>168095.70712726811</v>
      </c>
      <c r="V697" s="18">
        <f>IF($A697&gt;'1-Input'!$B$26,V696,V696-Q697*(1-P697))</f>
        <v>53919.021857710992</v>
      </c>
      <c r="W697" s="11">
        <f>IF($A697&gt;'1-Input'!$B$26,0,IF(AB696&lt;=0,0,MAX(0,(AB696-AC696)/AB696)))</f>
        <v>0.66707281153715359</v>
      </c>
      <c r="X697" s="18">
        <f>IF($A697&gt;'1-Input'!$B$26,0,(MAX(0,W671-IF($A697&gt;='1-Input'!$C$12,'1-Input'!$B$12,0))-MIN(MAX(AA696,0),MAX(0,W671-IF($A697&gt;='1-Input'!$C$12,'1-Input'!$B$12,0))))*(1/(1-'P-Parametri'!$B$6*W697))+MIN(MAX(0,AB696-(MAX(0,W671-IF($A697&gt;='1-Input'!$C$12,'1-Input'!$B$12,0))-MIN(MAX(AA696,0),MAX(0,W671-IF($A697&gt;='1-Input'!$C$12,'1-Input'!$B$12,0))))*(1/(1-'P-Parametri'!$B$6*W697))),MAX(0,0*W671-(AA696-MIN(MAX(AA696,0),MAX(0,W671-IF($A697&gt;='1-Input'!$C$12,'1-Input'!$B$12,0)))))*(1/(1-'P-Parametri'!$B$6*W697))))</f>
        <v>11591.712160983348</v>
      </c>
      <c r="Y697" s="18">
        <f>IF($A697&gt;'1-Input'!$B$26,AA696,(AA696-MAX(0,W671-IF($A697&gt;='1-Input'!$C$12,'1-Input'!$B$12,0))+X697*(1-'P-Parametri'!$B$6*W697))*(1+'1-Input'!$B$27))</f>
        <v>0</v>
      </c>
      <c r="Z697" s="18">
        <f>IF($A697&gt;'1-Input'!$B$26,AB696,(AB696-X697)*(1+$D$4))</f>
        <v>177863.14721584541</v>
      </c>
      <c r="AA697" s="18">
        <f>IF($A697&gt;'1-Input'!$B$26,Y697,Y697-'P-Parametri'!$B$8*(Z697+Y697)+MIN(MAX(Z697,0),'P-Parametri'!$B$8*(Z697+Y697)))</f>
        <v>0</v>
      </c>
      <c r="AB697" s="18">
        <f>IF($A697&gt;'1-Input'!$B$26,Z697,Z697-MIN(MAX(Z697,0),'P-Parametri'!$B$8*(Z697+Y697)))</f>
        <v>177507.42092141372</v>
      </c>
      <c r="AC697" s="18">
        <f>IF($A697&gt;'1-Input'!$B$26,AC696,AC696-X697*(1-W697))</f>
        <v>56937.959167043053</v>
      </c>
      <c r="AD697" s="11">
        <f>IF($A697&gt;'1-Input'!$B$26,0,IF(AI696&lt;=0,0,MAX(0,(AI696-AJ696)/AI696)))</f>
        <v>0.66707281153715359</v>
      </c>
      <c r="AE697" s="18">
        <f>IF($A697&gt;'1-Input'!$B$26,0,(MAX(0,AD671-IF($A697&gt;='1-Input'!$C$12,'1-Input'!$B$12,0))-MIN(MAX(AH696,0),MAX(0,AD671-IF($A697&gt;='1-Input'!$C$12,'1-Input'!$B$12,0))))*(1/(1-'P-Parametri'!$B$6*AD697))+MIN(MAX(0,AI696-(MAX(0,AD671-IF($A697&gt;='1-Input'!$C$12,'1-Input'!$B$12,0))-MIN(MAX(AH696,0),MAX(0,AD671-IF($A697&gt;='1-Input'!$C$12,'1-Input'!$B$12,0))))*(1/(1-'P-Parametri'!$B$6*AD697))),MAX(0,0*AD671-(AH696-MIN(MAX(AH696,0),MAX(0,AD671-IF($A697&gt;='1-Input'!$C$12,'1-Input'!$B$12,0)))))*(1/(1-'P-Parametri'!$B$6*AD697))))</f>
        <v>11594.150700452239</v>
      </c>
      <c r="AF697" s="18">
        <f>IF($A697&gt;'1-Input'!$B$26,AH696,(AH696-MAX(0,AD671-IF($A697&gt;='1-Input'!$C$12,'1-Input'!$B$12,0))+AE697*(1-'P-Parametri'!$B$6*AD697))*(1+'1-Input'!$B$27))</f>
        <v>-1.8124410416930913E-12</v>
      </c>
      <c r="AG697" s="18">
        <f>IF($A697&gt;'1-Input'!$B$26,AI696,(AI696-AE697)*(1+$D$4))</f>
        <v>177772.99187932446</v>
      </c>
      <c r="AH697" s="18">
        <f>IF($A697&gt;'1-Input'!$B$26,AF697,AF697-'P-Parametri'!$B$8*(AG697+AF697)+MIN(MAX(AG697,0),'P-Parametri'!$B$8*(AG697+AF697)))</f>
        <v>-1.8189894035458565E-12</v>
      </c>
      <c r="AI697" s="18">
        <f>IF($A697&gt;'1-Input'!$B$26,AG697,AG697-MIN(MAX(AG697,0),'P-Parametri'!$B$8*(AG697+AF697)))</f>
        <v>177417.44589556582</v>
      </c>
      <c r="AJ697" s="18">
        <f>IF($A697&gt;'1-Input'!$B$26,AJ696,AJ696-AE697*(1-AD697))</f>
        <v>56909.098433665313</v>
      </c>
      <c r="AK697" s="11">
        <f>IF($A697&gt;'1-Input'!$B$26,0,IF(AP696&lt;=0,0,MAX(0,(AP696-AQ696)/AP696)))</f>
        <v>0.66707281153715381</v>
      </c>
      <c r="AL697" s="18">
        <f>IF($A697&gt;'1-Input'!$B$26,0,(MAX(0,AK671-IF($A697&gt;='1-Input'!$C$12,'1-Input'!$B$12,0))-MIN(MAX(AO696,0),MAX(0,AK671-IF($A697&gt;='1-Input'!$C$12,'1-Input'!$B$12,0))))*(1/(1-'P-Parametri'!$B$6*AK697))+MIN(MAX(0,AP696-(MAX(0,AK671-IF($A697&gt;='1-Input'!$C$12,'1-Input'!$B$12,0))-MIN(MAX(AO696,0),MAX(0,AK671-IF($A697&gt;='1-Input'!$C$12,'1-Input'!$B$12,0))))*(1/(1-'P-Parametri'!$B$6*AK697))),MAX(0,0*AK671-(AO696-MIN(MAX(AO696,0),MAX(0,AK671-IF($A697&gt;='1-Input'!$C$12,'1-Input'!$B$12,0)))))*(1/(1-'P-Parametri'!$B$6*AK697))))</f>
        <v>11593.662141622914</v>
      </c>
      <c r="AM697" s="18">
        <f>IF($A697&gt;'1-Input'!$B$26,AO696,(AO696-MAX(0,AK671-IF($A697&gt;='1-Input'!$C$12,'1-Input'!$B$12,0))+AL697*(1-'P-Parametri'!$B$6*AK697))*(1+'1-Input'!$B$27))</f>
        <v>0</v>
      </c>
      <c r="AN697" s="18">
        <f>IF($A697&gt;'1-Input'!$B$26,AP696,(AP696-AL697)*(1+$D$4))</f>
        <v>177791.05440659999</v>
      </c>
      <c r="AO697" s="18">
        <f>IF($A697&gt;'1-Input'!$B$26,AM697,AM697-'P-Parametri'!$B$8*(AN697+AM697)+MIN(MAX(AN697,0),'P-Parametri'!$B$8*(AN697+AM697)))</f>
        <v>0</v>
      </c>
      <c r="AP697" s="18">
        <f>IF($A697&gt;'1-Input'!$B$26,AN697,AN697-MIN(MAX(AN697,0),'P-Parametri'!$B$8*(AN697+AM697)))</f>
        <v>177435.47229778679</v>
      </c>
      <c r="AQ697" s="18">
        <f>IF($A697&gt;'1-Input'!$B$26,AQ696,AQ696-AL697*(1-AK697))</f>
        <v>56914.880651379084</v>
      </c>
    </row>
    <row r="698" spans="1:43">
      <c r="A698" s="10">
        <f>25</f>
        <v>25</v>
      </c>
      <c r="B698" s="11">
        <f>IF($A698&gt;'1-Input'!$B$26,0,IF(G697&lt;=0,0,MAX(0,(G697-H697)/G697)))</f>
        <v>0.67923617575261441</v>
      </c>
      <c r="C698" s="18">
        <f>IF($A698&gt;'1-Input'!$B$26,0,(MAX(0,B671-IF($A698&gt;='1-Input'!$C$12,'1-Input'!$B$12,0))-MIN(MAX(F697,0),MAX(0,B671-IF($A698&gt;='1-Input'!$C$12,'1-Input'!$B$12,0))))*(1/(1-'P-Parametri'!$B$6*B698))+MIN(MAX(0,G697-(MAX(0,B671-IF($A698&gt;='1-Input'!$C$12,'1-Input'!$B$12,0))-MIN(MAX(F697,0),MAX(0,B671-IF($A698&gt;='1-Input'!$C$12,'1-Input'!$B$12,0))))*(1/(1-'P-Parametri'!$B$6*B698))),MAX(0,0*B671-(F697-MIN(MAX(F697,0),MAX(0,B671-IF($A698&gt;='1-Input'!$C$12,'1-Input'!$B$12,0)))))*(1/(1-'P-Parametri'!$B$6*B698))))</f>
        <v>6775.6434771903887</v>
      </c>
      <c r="D698" s="18">
        <f>IF($A698&gt;'1-Input'!$B$26,F697,(F697-MAX(0,B671-IF($A698&gt;='1-Input'!$C$12,'1-Input'!$B$12,0))+C698*(1-'P-Parametri'!$B$6*B698))*(1+'1-Input'!$B$27))</f>
        <v>0</v>
      </c>
      <c r="E698" s="18">
        <f>IF($A698&gt;'1-Input'!$B$26,G697,(G697-C698)*(1+$D$4))</f>
        <v>363362.73965400941</v>
      </c>
      <c r="F698" s="18">
        <f>IF($A698&gt;'1-Input'!$B$26,D698,D698-'P-Parametri'!$B$8*(E698+D698)+MIN(MAX(E698,0),'P-Parametri'!$B$8*(E698+D698)))</f>
        <v>0</v>
      </c>
      <c r="G698" s="18">
        <f>IF($A698&gt;'1-Input'!$B$26,E698,E698-MIN(MAX(E698,0),'P-Parametri'!$B$8*(E698+D698)))</f>
        <v>362636.01417470141</v>
      </c>
      <c r="H698" s="18">
        <f>IF($A698&gt;'1-Input'!$B$26,H697,H697-C698*(1-B698))</f>
        <v>112070.79034656459</v>
      </c>
      <c r="I698" s="11">
        <f>IF($A698&gt;'1-Input'!$B$26,0,IF(N697&lt;=0,0,MAX(0,(N697-O697)/N697)))</f>
        <v>0.67923617575261452</v>
      </c>
      <c r="J698" s="18">
        <f>IF($A698&gt;'1-Input'!$B$26,0,(MAX(0,I671-IF($A698&gt;='1-Input'!$C$12,'1-Input'!$B$12,0))-MIN(MAX(M697,0),MAX(0,I671-IF($A698&gt;='1-Input'!$C$12,'1-Input'!$B$12,0))))*(1/(1-'P-Parametri'!$B$6*I698))+MIN(MAX(0,N697-(MAX(0,I671-IF($A698&gt;='1-Input'!$C$12,'1-Input'!$B$12,0))-MIN(MAX(M697,0),MAX(0,I671-IF($A698&gt;='1-Input'!$C$12,'1-Input'!$B$12,0))))*(1/(1-'P-Parametri'!$B$6*I698))),MAX(0,0*I671-(M697-MIN(MAX(M697,0),MAX(0,I671-IF($A698&gt;='1-Input'!$C$12,'1-Input'!$B$12,0)))))*(1/(1-'P-Parametri'!$B$6*I698))))</f>
        <v>13173.154615466628</v>
      </c>
      <c r="K698" s="18">
        <f>IF($A698&gt;'1-Input'!$B$26,M697,(M697-MAX(0,I671-IF($A698&gt;='1-Input'!$C$12,'1-Input'!$B$12,0))+J698*(1-'P-Parametri'!$B$6*I698))*(1+'1-Input'!$B$27))</f>
        <v>0</v>
      </c>
      <c r="L698" s="18">
        <f>IF($A698&gt;'1-Input'!$B$26,N697,(N697-J698)*(1+$D$4))</f>
        <v>112157.0257038225</v>
      </c>
      <c r="M698" s="18">
        <f>IF($A698&gt;'1-Input'!$B$26,K698,K698-'P-Parametri'!$B$8*(L698+K698)+MIN(MAX(L698,0),'P-Parametri'!$B$8*(L698+K698)))</f>
        <v>0</v>
      </c>
      <c r="N698" s="18">
        <f>IF($A698&gt;'1-Input'!$B$26,L698,L698-MIN(MAX(L698,0),'P-Parametri'!$B$8*(L698+K698)))</f>
        <v>111932.71165241484</v>
      </c>
      <c r="O698" s="18">
        <f>IF($A698&gt;'1-Input'!$B$26,O697,O697-J698*(1-I698))</f>
        <v>34592.227385548475</v>
      </c>
      <c r="P698" s="11">
        <f>IF($A698&gt;'1-Input'!$B$26,0,IF(U697&lt;=0,0,MAX(0,(U697-V697)/U697)))</f>
        <v>0.67923617575261463</v>
      </c>
      <c r="Q698" s="18">
        <f>IF($A698&gt;'1-Input'!$B$26,0,(MAX(0,P671-IF($A698&gt;='1-Input'!$C$12,'1-Input'!$B$12,0))-MIN(MAX(T697,0),MAX(0,P671-IF($A698&gt;='1-Input'!$C$12,'1-Input'!$B$12,0))))*(1/(1-'P-Parametri'!$B$6*P698))+MIN(MAX(0,U697-(MAX(0,P671-IF($A698&gt;='1-Input'!$C$12,'1-Input'!$B$12,0))-MIN(MAX(T697,0),MAX(0,P671-IF($A698&gt;='1-Input'!$C$12,'1-Input'!$B$12,0))))*(1/(1-'P-Parametri'!$B$6*P698))),MAX(0,0*P671-(T697-MIN(MAX(T697,0),MAX(0,P671-IF($A698&gt;='1-Input'!$C$12,'1-Input'!$B$12,0)))))*(1/(1-'P-Parametri'!$B$6*P698))))</f>
        <v>11892.292888679072</v>
      </c>
      <c r="R698" s="18">
        <f>IF($A698&gt;'1-Input'!$B$26,T697,(T697-MAX(0,P671-IF($A698&gt;='1-Input'!$C$12,'1-Input'!$B$12,0))+Q698*(1-'P-Parametri'!$B$6*P698))*(1+'1-Input'!$B$27))</f>
        <v>0</v>
      </c>
      <c r="S698" s="18">
        <f>IF($A698&gt;'1-Input'!$B$26,U697,(U697-Q698)*(1+$D$4))</f>
        <v>162451.5508081326</v>
      </c>
      <c r="T698" s="18">
        <f>IF($A698&gt;'1-Input'!$B$26,R698,R698-'P-Parametri'!$B$8*(S698+R698)+MIN(MAX(S698,0),'P-Parametri'!$B$8*(S698+R698)))</f>
        <v>0</v>
      </c>
      <c r="U698" s="18">
        <f>IF($A698&gt;'1-Input'!$B$26,S698,S698-MIN(MAX(S698,0),'P-Parametri'!$B$8*(S698+R698)))</f>
        <v>162126.64770651632</v>
      </c>
      <c r="V698" s="18">
        <f>IF($A698&gt;'1-Input'!$B$26,V697,V697-Q698*(1-P698))</f>
        <v>50104.404511668305</v>
      </c>
      <c r="W698" s="11">
        <f>IF($A698&gt;'1-Input'!$B$26,0,IF(AB697&lt;=0,0,MAX(0,(AB697-AC697)/AB697)))</f>
        <v>0.67923617575261441</v>
      </c>
      <c r="X698" s="18">
        <f>IF($A698&gt;'1-Input'!$B$26,0,(MAX(0,W671-IF($A698&gt;='1-Input'!$C$12,'1-Input'!$B$12,0))-MIN(MAX(AA697,0),MAX(0,W671-IF($A698&gt;='1-Input'!$C$12,'1-Input'!$B$12,0))))*(1/(1-'P-Parametri'!$B$6*W698))+MIN(MAX(0,AB697-(MAX(0,W671-IF($A698&gt;='1-Input'!$C$12,'1-Input'!$B$12,0))-MIN(MAX(AA697,0),MAX(0,W671-IF($A698&gt;='1-Input'!$C$12,'1-Input'!$B$12,0))))*(1/(1-'P-Parametri'!$B$6*W698))),MAX(0,0*W671-(AA697-MIN(MAX(AA697,0),MAX(0,W671-IF($A698&gt;='1-Input'!$C$12,'1-Input'!$B$12,0)))))*(1/(1-'P-Parametri'!$B$6*W698))))</f>
        <v>11636.233121604648</v>
      </c>
      <c r="Y698" s="18">
        <f>IF($A698&gt;'1-Input'!$B$26,AA697,(AA697-MAX(0,W671-IF($A698&gt;='1-Input'!$C$12,'1-Input'!$B$12,0))+X698*(1-'P-Parametri'!$B$6*W698))*(1+'1-Input'!$B$27))</f>
        <v>0</v>
      </c>
      <c r="Z698" s="18">
        <f>IF($A698&gt;'1-Input'!$B$26,AB697,(AB697-X698)*(1+$D$4))</f>
        <v>172506.03531180145</v>
      </c>
      <c r="AA698" s="18">
        <f>IF($A698&gt;'1-Input'!$B$26,Y698,Y698-'P-Parametri'!$B$8*(Z698+Y698)+MIN(MAX(Z698,0),'P-Parametri'!$B$8*(Z698+Y698)))</f>
        <v>0</v>
      </c>
      <c r="AB698" s="18">
        <f>IF($A698&gt;'1-Input'!$B$26,Z698,Z698-MIN(MAX(Z698,0),'P-Parametri'!$B$8*(Z698+Y698)))</f>
        <v>172161.02324117784</v>
      </c>
      <c r="AC698" s="18">
        <f>IF($A698&gt;'1-Input'!$B$26,AC697,AC697-X698*(1-W698))</f>
        <v>53205.476531123051</v>
      </c>
      <c r="AD698" s="11">
        <f>IF($A698&gt;'1-Input'!$B$26,0,IF(AI697&lt;=0,0,MAX(0,(AI697-AJ697)/AI697)))</f>
        <v>0.67923617575261441</v>
      </c>
      <c r="AE698" s="18">
        <f>IF($A698&gt;'1-Input'!$B$26,0,(MAX(0,AD671-IF($A698&gt;='1-Input'!$C$12,'1-Input'!$B$12,0))-MIN(MAX(AH697,0),MAX(0,AD671-IF($A698&gt;='1-Input'!$C$12,'1-Input'!$B$12,0))))*(1/(1-'P-Parametri'!$B$6*AD698))+MIN(MAX(0,AI697-(MAX(0,AD671-IF($A698&gt;='1-Input'!$C$12,'1-Input'!$B$12,0))-MIN(MAX(AH697,0),MAX(0,AD671-IF($A698&gt;='1-Input'!$C$12,'1-Input'!$B$12,0))))*(1/(1-'P-Parametri'!$B$6*AD698))),MAX(0,0*AD671-(AH697-MIN(MAX(AH697,0),MAX(0,AD671-IF($A698&gt;='1-Input'!$C$12,'1-Input'!$B$12,0)))))*(1/(1-'P-Parametri'!$B$6*AD698))))</f>
        <v>11638.681026913391</v>
      </c>
      <c r="AF698" s="18">
        <f>IF($A698&gt;'1-Input'!$B$26,AH697,(AH697-MAX(0,AD671-IF($A698&gt;='1-Input'!$C$12,'1-Input'!$B$12,0))+AE698*(1-'P-Parametri'!$B$6*AD698))*(1+'1-Input'!$B$27))</f>
        <v>0</v>
      </c>
      <c r="AG698" s="18">
        <f>IF($A698&gt;'1-Input'!$B$26,AI697,(AI697-AE698)*(1+$D$4))</f>
        <v>172409.91546339853</v>
      </c>
      <c r="AH698" s="18">
        <f>IF($A698&gt;'1-Input'!$B$26,AF698,AF698-'P-Parametri'!$B$8*(AG698+AF698)+MIN(MAX(AG698,0),'P-Parametri'!$B$8*(AG698+AF698)))</f>
        <v>0</v>
      </c>
      <c r="AI698" s="18">
        <f>IF($A698&gt;'1-Input'!$B$26,AG698,AG698-MIN(MAX(AG698,0),'P-Parametri'!$B$8*(AG698+AF698)))</f>
        <v>172065.09563247173</v>
      </c>
      <c r="AJ698" s="18">
        <f>IF($A698&gt;'1-Input'!$B$26,AJ697,AJ697-AE698*(1-AD698))</f>
        <v>53175.830598277083</v>
      </c>
      <c r="AK698" s="11">
        <f>IF($A698&gt;'1-Input'!$B$26,0,IF(AP697&lt;=0,0,MAX(0,(AP697-AQ697)/AP697)))</f>
        <v>0.67923617575261463</v>
      </c>
      <c r="AL698" s="18">
        <f>IF($A698&gt;'1-Input'!$B$26,0,(MAX(0,AK671-IF($A698&gt;='1-Input'!$C$12,'1-Input'!$B$12,0))-MIN(MAX(AO697,0),MAX(0,AK671-IF($A698&gt;='1-Input'!$C$12,'1-Input'!$B$12,0))))*(1/(1-'P-Parametri'!$B$6*AK698))+MIN(MAX(0,AP697-(MAX(0,AK671-IF($A698&gt;='1-Input'!$C$12,'1-Input'!$B$12,0))-MIN(MAX(AO697,0),MAX(0,AK671-IF($A698&gt;='1-Input'!$C$12,'1-Input'!$B$12,0))))*(1/(1-'P-Parametri'!$B$6*AK698))),MAX(0,0*AK671-(AO697-MIN(MAX(AO697,0),MAX(0,AK671-IF($A698&gt;='1-Input'!$C$12,'1-Input'!$B$12,0)))))*(1/(1-'P-Parametri'!$B$6*AK698))))</f>
        <v>11638.190591647857</v>
      </c>
      <c r="AM698" s="18">
        <f>IF($A698&gt;'1-Input'!$B$26,AO697,(AO697-MAX(0,AK671-IF($A698&gt;='1-Input'!$C$12,'1-Input'!$B$12,0))+AL698*(1-'P-Parametri'!$B$6*AK698))*(1+'1-Input'!$B$27))</f>
        <v>0</v>
      </c>
      <c r="AN698" s="18">
        <f>IF($A698&gt;'1-Input'!$B$26,AP697,(AP697-AL698)*(1+$D$4))</f>
        <v>172429.17297438448</v>
      </c>
      <c r="AO698" s="18">
        <f>IF($A698&gt;'1-Input'!$B$26,AM698,AM698-'P-Parametri'!$B$8*(AN698+AM698)+MIN(MAX(AN698,0),'P-Parametri'!$B$8*(AN698+AM698)))</f>
        <v>0</v>
      </c>
      <c r="AP698" s="18">
        <f>IF($A698&gt;'1-Input'!$B$26,AN698,AN698-MIN(MAX(AN698,0),'P-Parametri'!$B$8*(AN698+AM698)))</f>
        <v>172084.31462843571</v>
      </c>
      <c r="AQ698" s="18">
        <f>IF($A698&gt;'1-Input'!$B$26,AQ697,AQ697-AL698*(1-AK698))</f>
        <v>53181.770129882178</v>
      </c>
    </row>
    <row r="699" spans="1:43">
      <c r="A699" s="10">
        <f>26</f>
        <v>26</v>
      </c>
      <c r="B699" s="11">
        <f>IF($A699&gt;'1-Input'!$B$26,0,IF(G698&lt;=0,0,MAX(0,(G698-H698)/G698)))</f>
        <v>0.69095515622843229</v>
      </c>
      <c r="C699" s="18">
        <f>IF($A699&gt;'1-Input'!$B$26,0,(MAX(0,B671-IF($A699&gt;='1-Input'!$C$12,'1-Input'!$B$12,0))-MIN(MAX(F698,0),MAX(0,B671-IF($A699&gt;='1-Input'!$C$12,'1-Input'!$B$12,0))))*(1/(1-'P-Parametri'!$B$6*B699))+MIN(MAX(0,G698-(MAX(0,B671-IF($A699&gt;='1-Input'!$C$12,'1-Input'!$B$12,0))-MIN(MAX(F698,0),MAX(0,B671-IF($A699&gt;='1-Input'!$C$12,'1-Input'!$B$12,0))))*(1/(1-'P-Parametri'!$B$6*B699))),MAX(0,0*B671-(F698-MIN(MAX(F698,0),MAX(0,B671-IF($A699&gt;='1-Input'!$C$12,'1-Input'!$B$12,0)))))*(1/(1-'P-Parametri'!$B$6*B699))))</f>
        <v>6800.8094465709646</v>
      </c>
      <c r="D699" s="18">
        <f>IF($A699&gt;'1-Input'!$B$26,F698,(F698-MAX(0,B671-IF($A699&gt;='1-Input'!$C$12,'1-Input'!$B$12,0))+C699*(1-'P-Parametri'!$B$6*B699))*(1+'1-Input'!$B$27))</f>
        <v>0</v>
      </c>
      <c r="E699" s="18">
        <f>IF($A699&gt;'1-Input'!$B$26,G698,(G698-C699)*(1+$D$4))</f>
        <v>370068.61291725567</v>
      </c>
      <c r="F699" s="18">
        <f>IF($A699&gt;'1-Input'!$B$26,D699,D699-'P-Parametri'!$B$8*(E699+D699)+MIN(MAX(E699,0),'P-Parametri'!$B$8*(E699+D699)))</f>
        <v>0</v>
      </c>
      <c r="G699" s="18">
        <f>IF($A699&gt;'1-Input'!$B$26,E699,E699-MIN(MAX(E699,0),'P-Parametri'!$B$8*(E699+D699)))</f>
        <v>369328.47569142113</v>
      </c>
      <c r="H699" s="18">
        <f>IF($A699&gt;'1-Input'!$B$26,H698,H698-C699*(1-B699))</f>
        <v>109969.03525362887</v>
      </c>
      <c r="I699" s="11">
        <f>IF($A699&gt;'1-Input'!$B$26,0,IF(N698&lt;=0,0,MAX(0,(N698-O698)/N698)))</f>
        <v>0.6909551562284324</v>
      </c>
      <c r="J699" s="18">
        <f>IF($A699&gt;'1-Input'!$B$26,0,(MAX(0,I671-IF($A699&gt;='1-Input'!$C$12,'1-Input'!$B$12,0))-MIN(MAX(M698,0),MAX(0,I671-IF($A699&gt;='1-Input'!$C$12,'1-Input'!$B$12,0))))*(1/(1-'P-Parametri'!$B$6*I699))+MIN(MAX(0,N698-(MAX(0,I671-IF($A699&gt;='1-Input'!$C$12,'1-Input'!$B$12,0))-MIN(MAX(M698,0),MAX(0,I671-IF($A699&gt;='1-Input'!$C$12,'1-Input'!$B$12,0))))*(1/(1-'P-Parametri'!$B$6*I699))),MAX(0,0*I671-(M698-MIN(MAX(M698,0),MAX(0,I671-IF($A699&gt;='1-Input'!$C$12,'1-Input'!$B$12,0)))))*(1/(1-'P-Parametri'!$B$6*I699))))</f>
        <v>13222.082102105272</v>
      </c>
      <c r="K699" s="18">
        <f>IF($A699&gt;'1-Input'!$B$26,M698,(M698-MAX(0,I671-IF($A699&gt;='1-Input'!$C$12,'1-Input'!$B$12,0))+J699*(1-'P-Parametri'!$B$6*I699))*(1+'1-Input'!$B$27))</f>
        <v>0</v>
      </c>
      <c r="L699" s="18">
        <f>IF($A699&gt;'1-Input'!$B$26,N698,(N698-J699)*(1+$D$4))</f>
        <v>102659.05473232197</v>
      </c>
      <c r="M699" s="18">
        <f>IF($A699&gt;'1-Input'!$B$26,K699,K699-'P-Parametri'!$B$8*(L699+K699)+MIN(MAX(L699,0),'P-Parametri'!$B$8*(L699+K699)))</f>
        <v>0</v>
      </c>
      <c r="N699" s="18">
        <f>IF($A699&gt;'1-Input'!$B$26,L699,L699-MIN(MAX(L699,0),'P-Parametri'!$B$8*(L699+K699)))</f>
        <v>102453.73662285732</v>
      </c>
      <c r="O699" s="18">
        <f>IF($A699&gt;'1-Input'!$B$26,O698,O698-J699*(1-I699))</f>
        <v>30506.011087968509</v>
      </c>
      <c r="P699" s="11">
        <f>IF($A699&gt;'1-Input'!$B$26,0,IF(U698&lt;=0,0,MAX(0,(U698-V698)/U698)))</f>
        <v>0.6909551562284324</v>
      </c>
      <c r="Q699" s="18">
        <f>IF($A699&gt;'1-Input'!$B$26,0,(MAX(0,P671-IF($A699&gt;='1-Input'!$C$12,'1-Input'!$B$12,0))-MIN(MAX(T698,0),MAX(0,P671-IF($A699&gt;='1-Input'!$C$12,'1-Input'!$B$12,0))))*(1/(1-'P-Parametri'!$B$6*P699))+MIN(MAX(0,U698-(MAX(0,P671-IF($A699&gt;='1-Input'!$C$12,'1-Input'!$B$12,0))-MIN(MAX(T698,0),MAX(0,P671-IF($A699&gt;='1-Input'!$C$12,'1-Input'!$B$12,0))))*(1/(1-'P-Parametri'!$B$6*P699))),MAX(0,0*P671-(T698-MIN(MAX(T698,0),MAX(0,P671-IF($A699&gt;='1-Input'!$C$12,'1-Input'!$B$12,0)))))*(1/(1-'P-Parametri'!$B$6*P699))))</f>
        <v>11936.463022439628</v>
      </c>
      <c r="R699" s="18">
        <f>IF($A699&gt;'1-Input'!$B$26,T698,(T698-MAX(0,P671-IF($A699&gt;='1-Input'!$C$12,'1-Input'!$B$12,0))+Q699*(1-'P-Parametri'!$B$6*P699))*(1+'1-Input'!$B$27))</f>
        <v>0</v>
      </c>
      <c r="S699" s="18">
        <f>IF($A699&gt;'1-Input'!$B$26,U698,(U698-Q699)*(1+$D$4))</f>
        <v>156197.79207143976</v>
      </c>
      <c r="T699" s="18">
        <f>IF($A699&gt;'1-Input'!$B$26,R699,R699-'P-Parametri'!$B$8*(S699+R699)+MIN(MAX(S699,0),'P-Parametri'!$B$8*(S699+R699)))</f>
        <v>0</v>
      </c>
      <c r="U699" s="18">
        <f>IF($A699&gt;'1-Input'!$B$26,S699,S699-MIN(MAX(S699,0),'P-Parametri'!$B$8*(S699+R699)))</f>
        <v>155885.39648729688</v>
      </c>
      <c r="V699" s="18">
        <f>IF($A699&gt;'1-Input'!$B$26,V698,V698-Q699*(1-P699))</f>
        <v>46415.502161713353</v>
      </c>
      <c r="W699" s="11">
        <f>IF($A699&gt;'1-Input'!$B$26,0,IF(AB698&lt;=0,0,MAX(0,(AB698-AC698)/AB698)))</f>
        <v>0.69095515622843229</v>
      </c>
      <c r="X699" s="18">
        <f>IF($A699&gt;'1-Input'!$B$26,0,(MAX(0,W671-IF($A699&gt;='1-Input'!$C$12,'1-Input'!$B$12,0))-MIN(MAX(AA698,0),MAX(0,W671-IF($A699&gt;='1-Input'!$C$12,'1-Input'!$B$12,0))))*(1/(1-'P-Parametri'!$B$6*W699))+MIN(MAX(0,AB698-(MAX(0,W671-IF($A699&gt;='1-Input'!$C$12,'1-Input'!$B$12,0))-MIN(MAX(AA698,0),MAX(0,W671-IF($A699&gt;='1-Input'!$C$12,'1-Input'!$B$12,0))))*(1/(1-'P-Parametri'!$B$6*W699))),MAX(0,0*W671-(AA698-MIN(MAX(AA698,0),MAX(0,W671-IF($A699&gt;='1-Input'!$C$12,'1-Input'!$B$12,0)))))*(1/(1-'P-Parametri'!$B$6*W699))))</f>
        <v>11679.452202925759</v>
      </c>
      <c r="Y699" s="18">
        <f>IF($A699&gt;'1-Input'!$B$26,AA698,(AA698-MAX(0,W671-IF($A699&gt;='1-Input'!$C$12,'1-Input'!$B$12,0))+X699*(1-'P-Parametri'!$B$6*W699))*(1+'1-Input'!$B$27))</f>
        <v>0</v>
      </c>
      <c r="Z699" s="18">
        <f>IF($A699&gt;'1-Input'!$B$26,AB698,(AB698-X699)*(1+$D$4))</f>
        <v>166900.83387978218</v>
      </c>
      <c r="AA699" s="18">
        <f>IF($A699&gt;'1-Input'!$B$26,Y699,Y699-'P-Parametri'!$B$8*(Z699+Y699)+MIN(MAX(Z699,0),'P-Parametri'!$B$8*(Z699+Y699)))</f>
        <v>0</v>
      </c>
      <c r="AB699" s="18">
        <f>IF($A699&gt;'1-Input'!$B$26,Z699,Z699-MIN(MAX(Z699,0),'P-Parametri'!$B$8*(Z699+Y699)))</f>
        <v>166567.0322120226</v>
      </c>
      <c r="AC699" s="18">
        <f>IF($A699&gt;'1-Input'!$B$26,AC698,AC698-X699*(1-W699))</f>
        <v>49596.002049732371</v>
      </c>
      <c r="AD699" s="11">
        <f>IF($A699&gt;'1-Input'!$B$26,0,IF(AI698&lt;=0,0,MAX(0,(AI698-AJ698)/AI698)))</f>
        <v>0.69095515622843229</v>
      </c>
      <c r="AE699" s="18">
        <f>IF($A699&gt;'1-Input'!$B$26,0,(MAX(0,AD671-IF($A699&gt;='1-Input'!$C$12,'1-Input'!$B$12,0))-MIN(MAX(AH698,0),MAX(0,AD671-IF($A699&gt;='1-Input'!$C$12,'1-Input'!$B$12,0))))*(1/(1-'P-Parametri'!$B$6*AD699))+MIN(MAX(0,AI698-(MAX(0,AD671-IF($A699&gt;='1-Input'!$C$12,'1-Input'!$B$12,0))-MIN(MAX(AH698,0),MAX(0,AD671-IF($A699&gt;='1-Input'!$C$12,'1-Input'!$B$12,0))))*(1/(1-'P-Parametri'!$B$6*AD699))),MAX(0,0*AD671-(AH698-MIN(MAX(AH698,0),MAX(0,AD671-IF($A699&gt;='1-Input'!$C$12,'1-Input'!$B$12,0)))))*(1/(1-'P-Parametri'!$B$6*AD699))))</f>
        <v>11681.909200199014</v>
      </c>
      <c r="AF699" s="18">
        <f>IF($A699&gt;'1-Input'!$B$26,AH698,(AH698-MAX(0,AD671-IF($A699&gt;='1-Input'!$C$12,'1-Input'!$B$12,0))+AE699*(1-'P-Parametri'!$B$6*AD699))*(1+'1-Input'!$B$27))</f>
        <v>0</v>
      </c>
      <c r="AG699" s="18">
        <f>IF($A699&gt;'1-Input'!$B$26,AI698,(AI698-AE699)*(1+$D$4))</f>
        <v>166798.51388956365</v>
      </c>
      <c r="AH699" s="18">
        <f>IF($A699&gt;'1-Input'!$B$26,AF699,AF699-'P-Parametri'!$B$8*(AG699+AF699)+MIN(MAX(AG699,0),'P-Parametri'!$B$8*(AG699+AF699)))</f>
        <v>0</v>
      </c>
      <c r="AI699" s="18">
        <f>IF($A699&gt;'1-Input'!$B$26,AG699,AG699-MIN(MAX(AG699,0),'P-Parametri'!$B$8*(AG699+AF699)))</f>
        <v>166464.91686178453</v>
      </c>
      <c r="AJ699" s="18">
        <f>IF($A699&gt;'1-Input'!$B$26,AJ698,AJ698-AE699*(1-AD699))</f>
        <v>49565.596794547942</v>
      </c>
      <c r="AK699" s="11">
        <f>IF($A699&gt;'1-Input'!$B$26,0,IF(AP698&lt;=0,0,MAX(0,(AP698-AQ698)/AP698)))</f>
        <v>0.69095515622843251</v>
      </c>
      <c r="AL699" s="18">
        <f>IF($A699&gt;'1-Input'!$B$26,0,(MAX(0,AK671-IF($A699&gt;='1-Input'!$C$12,'1-Input'!$B$12,0))-MIN(MAX(AO698,0),MAX(0,AK671-IF($A699&gt;='1-Input'!$C$12,'1-Input'!$B$12,0))))*(1/(1-'P-Parametri'!$B$6*AK699))+MIN(MAX(0,AP698-(MAX(0,AK671-IF($A699&gt;='1-Input'!$C$12,'1-Input'!$B$12,0))-MIN(MAX(AO698,0),MAX(0,AK671-IF($A699&gt;='1-Input'!$C$12,'1-Input'!$B$12,0))))*(1/(1-'P-Parametri'!$B$6*AK699))),MAX(0,0*AK671-(AO698-MIN(MAX(AO698,0),MAX(0,AK671-IF($A699&gt;='1-Input'!$C$12,'1-Input'!$B$12,0)))))*(1/(1-'P-Parametri'!$B$6*AK699))))</f>
        <v>11681.416943367911</v>
      </c>
      <c r="AM699" s="18">
        <f>IF($A699&gt;'1-Input'!$B$26,AO698,(AO698-MAX(0,AK671-IF($A699&gt;='1-Input'!$C$12,'1-Input'!$B$12,0))+AL699*(1-'P-Parametri'!$B$6*AK699))*(1+'1-Input'!$B$27))</f>
        <v>0</v>
      </c>
      <c r="AN699" s="18">
        <f>IF($A699&gt;'1-Input'!$B$26,AP698,(AP698-AL699)*(1+$D$4))</f>
        <v>166819.0135924705</v>
      </c>
      <c r="AO699" s="18">
        <f>IF($A699&gt;'1-Input'!$B$26,AM699,AM699-'P-Parametri'!$B$8*(AN699+AM699)+MIN(MAX(AN699,0),'P-Parametri'!$B$8*(AN699+AM699)))</f>
        <v>0</v>
      </c>
      <c r="AP699" s="18">
        <f>IF($A699&gt;'1-Input'!$B$26,AN699,AN699-MIN(MAX(AN699,0),'P-Parametri'!$B$8*(AN699+AM699)))</f>
        <v>166485.37556528556</v>
      </c>
      <c r="AQ699" s="18">
        <f>IF($A699&gt;'1-Input'!$B$26,AQ698,AQ698-AL699*(1-AK699))</f>
        <v>49571.688455588497</v>
      </c>
    </row>
    <row r="700" spans="1:43">
      <c r="A700" s="10">
        <f>27</f>
        <v>27</v>
      </c>
      <c r="B700" s="11">
        <f>IF($A700&gt;'1-Input'!$B$26,0,IF(G699&lt;=0,0,MAX(0,(G699-H699)/G699)))</f>
        <v>0.70224598835019303</v>
      </c>
      <c r="C700" s="18">
        <f>IF($A700&gt;'1-Input'!$B$26,0,(MAX(0,B671-IF($A700&gt;='1-Input'!$C$12,'1-Input'!$B$12,0))-MIN(MAX(F699,0),MAX(0,B671-IF($A700&gt;='1-Input'!$C$12,'1-Input'!$B$12,0))))*(1/(1-'P-Parametri'!$B$6*B700))+MIN(MAX(0,G699-(MAX(0,B671-IF($A700&gt;='1-Input'!$C$12,'1-Input'!$B$12,0))-MIN(MAX(F699,0),MAX(0,B671-IF($A700&gt;='1-Input'!$C$12,'1-Input'!$B$12,0))))*(1/(1-'P-Parametri'!$B$6*B700))),MAX(0,0*B671-(F699-MIN(MAX(F699,0),MAX(0,B671-IF($A700&gt;='1-Input'!$C$12,'1-Input'!$B$12,0)))))*(1/(1-'P-Parametri'!$B$6*B700))))</f>
        <v>6825.2334441008925</v>
      </c>
      <c r="D700" s="18">
        <f>IF($A700&gt;'1-Input'!$B$26,F699,(F699-MAX(0,B671-IF($A700&gt;='1-Input'!$C$12,'1-Input'!$B$12,0))+C700*(1-'P-Parametri'!$B$6*B700))*(1+'1-Input'!$B$27))</f>
        <v>0</v>
      </c>
      <c r="E700" s="18">
        <f>IF($A700&gt;'1-Input'!$B$26,G699,(G699-C700)*(1+$D$4))</f>
        <v>377003.37193721306</v>
      </c>
      <c r="F700" s="18">
        <f>IF($A700&gt;'1-Input'!$B$26,D700,D700-'P-Parametri'!$B$8*(E700+D700)+MIN(MAX(E700,0),'P-Parametri'!$B$8*(E700+D700)))</f>
        <v>0</v>
      </c>
      <c r="G700" s="18">
        <f>IF($A700&gt;'1-Input'!$B$26,E700,E700-MIN(MAX(E700,0),'P-Parametri'!$B$8*(E700+D700)))</f>
        <v>376249.36519333866</v>
      </c>
      <c r="H700" s="18">
        <f>IF($A700&gt;'1-Input'!$B$26,H699,H699-C700*(1-B700))</f>
        <v>107936.7946152014</v>
      </c>
      <c r="I700" s="11">
        <f>IF($A700&gt;'1-Input'!$B$26,0,IF(N699&lt;=0,0,MAX(0,(N699-O699)/N699)))</f>
        <v>0.70224598835019303</v>
      </c>
      <c r="J700" s="18">
        <f>IF($A700&gt;'1-Input'!$B$26,0,(MAX(0,I671-IF($A700&gt;='1-Input'!$C$12,'1-Input'!$B$12,0))-MIN(MAX(M699,0),MAX(0,I671-IF($A700&gt;='1-Input'!$C$12,'1-Input'!$B$12,0))))*(1/(1-'P-Parametri'!$B$6*I700))+MIN(MAX(0,N699-(MAX(0,I671-IF($A700&gt;='1-Input'!$C$12,'1-Input'!$B$12,0))-MIN(MAX(M699,0),MAX(0,I671-IF($A700&gt;='1-Input'!$C$12,'1-Input'!$B$12,0))))*(1/(1-'P-Parametri'!$B$6*I700))),MAX(0,0*I671-(M699-MIN(MAX(M699,0),MAX(0,I671-IF($A700&gt;='1-Input'!$C$12,'1-Input'!$B$12,0)))))*(1/(1-'P-Parametri'!$B$6*I700))))</f>
        <v>13269.567052704078</v>
      </c>
      <c r="K700" s="18">
        <f>IF($A700&gt;'1-Input'!$B$26,M699,(M699-MAX(0,I671-IF($A700&gt;='1-Input'!$C$12,'1-Input'!$B$12,0))+J700*(1-'P-Parametri'!$B$6*I700))*(1+'1-Input'!$B$27))</f>
        <v>0</v>
      </c>
      <c r="L700" s="18">
        <f>IF($A700&gt;'1-Input'!$B$26,N699,(N699-J700)*(1+$D$4))</f>
        <v>92751.536352959374</v>
      </c>
      <c r="M700" s="18">
        <f>IF($A700&gt;'1-Input'!$B$26,K700,K700-'P-Parametri'!$B$8*(L700+K700)+MIN(MAX(L700,0),'P-Parametri'!$B$8*(L700+K700)))</f>
        <v>0</v>
      </c>
      <c r="N700" s="18">
        <f>IF($A700&gt;'1-Input'!$B$26,L700,L700-MIN(MAX(L700,0),'P-Parametri'!$B$8*(L700+K700)))</f>
        <v>92566.033280253454</v>
      </c>
      <c r="O700" s="18">
        <f>IF($A700&gt;'1-Input'!$B$26,O699,O699-J700*(1-I700))</f>
        <v>26554.944265169765</v>
      </c>
      <c r="P700" s="11">
        <f>IF($A700&gt;'1-Input'!$B$26,0,IF(U699&lt;=0,0,MAX(0,(U699-V699)/U699)))</f>
        <v>0.70224598835019325</v>
      </c>
      <c r="Q700" s="18">
        <f>IF($A700&gt;'1-Input'!$B$26,0,(MAX(0,P671-IF($A700&gt;='1-Input'!$C$12,'1-Input'!$B$12,0))-MIN(MAX(T699,0),MAX(0,P671-IF($A700&gt;='1-Input'!$C$12,'1-Input'!$B$12,0))))*(1/(1-'P-Parametri'!$B$6*P700))+MIN(MAX(0,U699-(MAX(0,P671-IF($A700&gt;='1-Input'!$C$12,'1-Input'!$B$12,0))-MIN(MAX(T699,0),MAX(0,P671-IF($A700&gt;='1-Input'!$C$12,'1-Input'!$B$12,0))))*(1/(1-'P-Parametri'!$B$6*P700))),MAX(0,0*P671-(T699-MIN(MAX(T699,0),MAX(0,P671-IF($A700&gt;='1-Input'!$C$12,'1-Input'!$B$12,0)))))*(1/(1-'P-Parametri'!$B$6*P700))))</f>
        <v>11979.330881871145</v>
      </c>
      <c r="R700" s="18">
        <f>IF($A700&gt;'1-Input'!$B$26,T699,(T699-MAX(0,P671-IF($A700&gt;='1-Input'!$C$12,'1-Input'!$B$12,0))+Q700*(1-'P-Parametri'!$B$6*P700))*(1+'1-Input'!$B$27))</f>
        <v>0</v>
      </c>
      <c r="S700" s="18">
        <f>IF($A700&gt;'1-Input'!$B$26,U699,(U699-Q700)*(1+$D$4))</f>
        <v>149662.30822964277</v>
      </c>
      <c r="T700" s="18">
        <f>IF($A700&gt;'1-Input'!$B$26,R700,R700-'P-Parametri'!$B$8*(S700+R700)+MIN(MAX(S700,0),'P-Parametri'!$B$8*(S700+R700)))</f>
        <v>0</v>
      </c>
      <c r="U700" s="18">
        <f>IF($A700&gt;'1-Input'!$B$26,S700,S700-MIN(MAX(S700,0),'P-Parametri'!$B$8*(S700+R700)))</f>
        <v>149362.98361318349</v>
      </c>
      <c r="V700" s="18">
        <f>IF($A700&gt;'1-Input'!$B$26,V699,V699-Q700*(1-P700))</f>
        <v>42848.608334755801</v>
      </c>
      <c r="W700" s="11">
        <f>IF($A700&gt;'1-Input'!$B$26,0,IF(AB699&lt;=0,0,MAX(0,(AB699-AC699)/AB699)))</f>
        <v>0.70224598835019292</v>
      </c>
      <c r="X700" s="18">
        <f>IF($A700&gt;'1-Input'!$B$26,0,(MAX(0,W671-IF($A700&gt;='1-Input'!$C$12,'1-Input'!$B$12,0))-MIN(MAX(AA699,0),MAX(0,W671-IF($A700&gt;='1-Input'!$C$12,'1-Input'!$B$12,0))))*(1/(1-'P-Parametri'!$B$6*W700))+MIN(MAX(0,AB699-(MAX(0,W671-IF($A700&gt;='1-Input'!$C$12,'1-Input'!$B$12,0))-MIN(MAX(AA699,0),MAX(0,W671-IF($A700&gt;='1-Input'!$C$12,'1-Input'!$B$12,0))))*(1/(1-'P-Parametri'!$B$6*W700))),MAX(0,0*W671-(AA699-MIN(MAX(AA699,0),MAX(0,W671-IF($A700&gt;='1-Input'!$C$12,'1-Input'!$B$12,0)))))*(1/(1-'P-Parametri'!$B$6*W700))))</f>
        <v>11721.39704993202</v>
      </c>
      <c r="Y700" s="18">
        <f>IF($A700&gt;'1-Input'!$B$26,AA699,(AA699-MAX(0,W671-IF($A700&gt;='1-Input'!$C$12,'1-Input'!$B$12,0))+X700*(1-'P-Parametri'!$B$6*W700))*(1+'1-Input'!$B$27))</f>
        <v>-1.8124410416930913E-12</v>
      </c>
      <c r="Z700" s="18">
        <f>IF($A700&gt;'1-Input'!$B$26,AB699,(AB699-X700)*(1+$D$4))</f>
        <v>161039.46056857423</v>
      </c>
      <c r="AA700" s="18">
        <f>IF($A700&gt;'1-Input'!$B$26,Y700,Y700-'P-Parametri'!$B$8*(Z700+Y700)+MIN(MAX(Z700,0),'P-Parametri'!$B$8*(Z700+Y700)))</f>
        <v>-1.8189894035458565E-12</v>
      </c>
      <c r="AB700" s="18">
        <f>IF($A700&gt;'1-Input'!$B$26,Z700,Z700-MIN(MAX(Z700,0),'P-Parametri'!$B$8*(Z700+Y700)))</f>
        <v>160717.38164743708</v>
      </c>
      <c r="AC700" s="18">
        <f>IF($A700&gt;'1-Input'!$B$26,AC699,AC699-X700*(1-W700))</f>
        <v>46105.909055974895</v>
      </c>
      <c r="AD700" s="11">
        <f>IF($A700&gt;'1-Input'!$B$26,0,IF(AI699&lt;=0,0,MAX(0,(AI699-AJ699)/AI699)))</f>
        <v>0.70224598835019292</v>
      </c>
      <c r="AE700" s="18">
        <f>IF($A700&gt;'1-Input'!$B$26,0,(MAX(0,AD671-IF($A700&gt;='1-Input'!$C$12,'1-Input'!$B$12,0))-MIN(MAX(AH699,0),MAX(0,AD671-IF($A700&gt;='1-Input'!$C$12,'1-Input'!$B$12,0))))*(1/(1-'P-Parametri'!$B$6*AD700))+MIN(MAX(0,AI699-(MAX(0,AD671-IF($A700&gt;='1-Input'!$C$12,'1-Input'!$B$12,0))-MIN(MAX(AH699,0),MAX(0,AD671-IF($A700&gt;='1-Input'!$C$12,'1-Input'!$B$12,0))))*(1/(1-'P-Parametri'!$B$6*AD700))),MAX(0,0*AD671-(AH699-MIN(MAX(AH699,0),MAX(0,AD671-IF($A700&gt;='1-Input'!$C$12,'1-Input'!$B$12,0)))))*(1/(1-'P-Parametri'!$B$6*AD700))))</f>
        <v>11723.862871110106</v>
      </c>
      <c r="AF700" s="18">
        <f>IF($A700&gt;'1-Input'!$B$26,AH699,(AH699-MAX(0,AD671-IF($A700&gt;='1-Input'!$C$12,'1-Input'!$B$12,0))+AE700*(1-'P-Parametri'!$B$6*AD700))*(1+'1-Input'!$B$27))</f>
        <v>-1.8124410416930913E-12</v>
      </c>
      <c r="AG700" s="18">
        <f>IF($A700&gt;'1-Input'!$B$26,AI699,(AI699-AE700)*(1+$D$4))</f>
        <v>160930.6961503014</v>
      </c>
      <c r="AH700" s="18">
        <f>IF($A700&gt;'1-Input'!$B$26,AF700,AF700-'P-Parametri'!$B$8*(AG700+AF700)+MIN(MAX(AG700,0),'P-Parametri'!$B$8*(AG700+AF700)))</f>
        <v>-1.8189894035458565E-12</v>
      </c>
      <c r="AI700" s="18">
        <f>IF($A700&gt;'1-Input'!$B$26,AG700,AG700-MIN(MAX(AG700,0),'P-Parametri'!$B$8*(AG700+AF700)))</f>
        <v>160608.8347580008</v>
      </c>
      <c r="AJ700" s="18">
        <f>IF($A700&gt;'1-Input'!$B$26,AJ699,AJ699-AE700*(1-AD700))</f>
        <v>46074.769592642682</v>
      </c>
      <c r="AK700" s="11">
        <f>IF($A700&gt;'1-Input'!$B$26,0,IF(AP699&lt;=0,0,MAX(0,(AP699-AQ699)/AP699)))</f>
        <v>0.70224598835019314</v>
      </c>
      <c r="AL700" s="18">
        <f>IF($A700&gt;'1-Input'!$B$26,0,(MAX(0,AK671-IF($A700&gt;='1-Input'!$C$12,'1-Input'!$B$12,0))-MIN(MAX(AO699,0),MAX(0,AK671-IF($A700&gt;='1-Input'!$C$12,'1-Input'!$B$12,0))))*(1/(1-'P-Parametri'!$B$6*AK700))+MIN(MAX(0,AP699-(MAX(0,AK671-IF($A700&gt;='1-Input'!$C$12,'1-Input'!$B$12,0))-MIN(MAX(AO699,0),MAX(0,AK671-IF($A700&gt;='1-Input'!$C$12,'1-Input'!$B$12,0))))*(1/(1-'P-Parametri'!$B$6*AK700))),MAX(0,0*AK671-(AO699-MIN(MAX(AO699,0),MAX(0,AK671-IF($A700&gt;='1-Input'!$C$12,'1-Input'!$B$12,0)))))*(1/(1-'P-Parametri'!$B$6*AK700))))</f>
        <v>11723.368846418909</v>
      </c>
      <c r="AM700" s="18">
        <f>IF($A700&gt;'1-Input'!$B$26,AO699,(AO699-MAX(0,AK671-IF($A700&gt;='1-Input'!$C$12,'1-Input'!$B$12,0))+AL700*(1-'P-Parametri'!$B$6*AK700))*(1+'1-Input'!$B$27))</f>
        <v>0</v>
      </c>
      <c r="AN700" s="18">
        <f>IF($A700&gt;'1-Input'!$B$26,AP699,(AP699-AL700)*(1+$D$4))</f>
        <v>160952.48698762132</v>
      </c>
      <c r="AO700" s="18">
        <f>IF($A700&gt;'1-Input'!$B$26,AM700,AM700-'P-Parametri'!$B$8*(AN700+AM700)+MIN(MAX(AN700,0),'P-Parametri'!$B$8*(AN700+AM700)))</f>
        <v>0</v>
      </c>
      <c r="AP700" s="18">
        <f>IF($A700&gt;'1-Input'!$B$26,AN700,AN700-MIN(MAX(AN700,0),'P-Parametri'!$B$8*(AN700+AM700)))</f>
        <v>160630.58201364608</v>
      </c>
      <c r="AQ700" s="18">
        <f>IF($A700&gt;'1-Input'!$B$26,AQ699,AQ699-AL700*(1-AK700))</f>
        <v>46081.008351516895</v>
      </c>
    </row>
    <row r="701" spans="1:43">
      <c r="A701" s="10">
        <f>28</f>
        <v>28</v>
      </c>
      <c r="B701" s="11">
        <f>IF($A701&gt;'1-Input'!$B$26,0,IF(G700&lt;=0,0,MAX(0,(G700-H700)/G700)))</f>
        <v>0.71312431435003942</v>
      </c>
      <c r="C701" s="18">
        <f>IF($A701&gt;'1-Input'!$B$26,0,(MAX(0,B671-IF($A701&gt;='1-Input'!$C$12,'1-Input'!$B$12,0))-MIN(MAX(F700,0),MAX(0,B671-IF($A701&gt;='1-Input'!$C$12,'1-Input'!$B$12,0))))*(1/(1-'P-Parametri'!$B$6*B701))+MIN(MAX(0,G700-(MAX(0,B671-IF($A701&gt;='1-Input'!$C$12,'1-Input'!$B$12,0))-MIN(MAX(F700,0),MAX(0,B671-IF($A701&gt;='1-Input'!$C$12,'1-Input'!$B$12,0))))*(1/(1-'P-Parametri'!$B$6*B701))),MAX(0,0*B671-(F700-MIN(MAX(F700,0),MAX(0,B671-IF($A701&gt;='1-Input'!$C$12,'1-Input'!$B$12,0)))))*(1/(1-'P-Parametri'!$B$6*B701))))</f>
        <v>6848.931629412039</v>
      </c>
      <c r="D701" s="18">
        <f>IF($A701&gt;'1-Input'!$B$26,F700,(F700-MAX(0,B671-IF($A701&gt;='1-Input'!$C$12,'1-Input'!$B$12,0))+C701*(1-'P-Parametri'!$B$6*B701))*(1+'1-Input'!$B$27))</f>
        <v>0</v>
      </c>
      <c r="E701" s="18">
        <f>IF($A701&gt;'1-Input'!$B$26,G700,(G700-C701)*(1+$D$4))</f>
        <v>384176.45090648369</v>
      </c>
      <c r="F701" s="18">
        <f>IF($A701&gt;'1-Input'!$B$26,D701,D701-'P-Parametri'!$B$8*(E701+D701)+MIN(MAX(E701,0),'P-Parametri'!$B$8*(E701+D701)))</f>
        <v>0</v>
      </c>
      <c r="G701" s="18">
        <f>IF($A701&gt;'1-Input'!$B$26,E701,E701-MIN(MAX(E701,0),'P-Parametri'!$B$8*(E701+D701)))</f>
        <v>383408.0980046707</v>
      </c>
      <c r="H701" s="18">
        <f>IF($A701&gt;'1-Input'!$B$26,H700,H700-C701*(1-B701))</f>
        <v>105972.00265804412</v>
      </c>
      <c r="I701" s="11">
        <f>IF($A701&gt;'1-Input'!$B$26,0,IF(N700&lt;=0,0,MAX(0,(N700-O700)/N700)))</f>
        <v>0.71312431435003965</v>
      </c>
      <c r="J701" s="18">
        <f>IF($A701&gt;'1-Input'!$B$26,0,(MAX(0,I671-IF($A701&gt;='1-Input'!$C$12,'1-Input'!$B$12,0))-MIN(MAX(M700,0),MAX(0,I671-IF($A701&gt;='1-Input'!$C$12,'1-Input'!$B$12,0))))*(1/(1-'P-Parametri'!$B$6*I701))+MIN(MAX(0,N700-(MAX(0,I671-IF($A701&gt;='1-Input'!$C$12,'1-Input'!$B$12,0))-MIN(MAX(M700,0),MAX(0,I671-IF($A701&gt;='1-Input'!$C$12,'1-Input'!$B$12,0))))*(1/(1-'P-Parametri'!$B$6*I701))),MAX(0,0*I671-(M700-MIN(MAX(M700,0),MAX(0,I671-IF($A701&gt;='1-Input'!$C$12,'1-Input'!$B$12,0)))))*(1/(1-'P-Parametri'!$B$6*I701))))</f>
        <v>13315.640884696662</v>
      </c>
      <c r="K701" s="18">
        <f>IF($A701&gt;'1-Input'!$B$26,M700,(M700-MAX(0,I671-IF($A701&gt;='1-Input'!$C$12,'1-Input'!$B$12,0))+J701*(1-'P-Parametri'!$B$6*I701))*(1+'1-Input'!$B$27))</f>
        <v>0</v>
      </c>
      <c r="L701" s="18">
        <f>IF($A701&gt;'1-Input'!$B$26,N700,(N700-J701)*(1+$D$4))</f>
        <v>82420.408091379068</v>
      </c>
      <c r="M701" s="18">
        <f>IF($A701&gt;'1-Input'!$B$26,K701,K701-'P-Parametri'!$B$8*(L701+K701)+MIN(MAX(L701,0),'P-Parametri'!$B$8*(L701+K701)))</f>
        <v>0</v>
      </c>
      <c r="N701" s="18">
        <f>IF($A701&gt;'1-Input'!$B$26,L701,L701-MIN(MAX(L701,0),'P-Parametri'!$B$8*(L701+K701)))</f>
        <v>82255.567275196314</v>
      </c>
      <c r="O701" s="18">
        <f>IF($A701&gt;'1-Input'!$B$26,O700,O700-J701*(1-I701))</f>
        <v>22735.010656503764</v>
      </c>
      <c r="P701" s="11">
        <f>IF($A701&gt;'1-Input'!$B$26,0,IF(U700&lt;=0,0,MAX(0,(U700-V700)/U700)))</f>
        <v>0.71312431435003965</v>
      </c>
      <c r="Q701" s="18">
        <f>IF($A701&gt;'1-Input'!$B$26,0,(MAX(0,P671-IF($A701&gt;='1-Input'!$C$12,'1-Input'!$B$12,0))-MIN(MAX(T700,0),MAX(0,P671-IF($A701&gt;='1-Input'!$C$12,'1-Input'!$B$12,0))))*(1/(1-'P-Parametri'!$B$6*P701))+MIN(MAX(0,U700-(MAX(0,P671-IF($A701&gt;='1-Input'!$C$12,'1-Input'!$B$12,0))-MIN(MAX(T700,0),MAX(0,P671-IF($A701&gt;='1-Input'!$C$12,'1-Input'!$B$12,0))))*(1/(1-'P-Parametri'!$B$6*P701))),MAX(0,0*P671-(T700-MIN(MAX(T700,0),MAX(0,P671-IF($A701&gt;='1-Input'!$C$12,'1-Input'!$B$12,0)))))*(1/(1-'P-Parametri'!$B$6*P701))))</f>
        <v>12020.924829604537</v>
      </c>
      <c r="R701" s="18">
        <f>IF($A701&gt;'1-Input'!$B$26,T700,(T700-MAX(0,P671-IF($A701&gt;='1-Input'!$C$12,'1-Input'!$B$12,0))+Q701*(1-'P-Parametri'!$B$6*P701))*(1+'1-Input'!$B$27))</f>
        <v>0</v>
      </c>
      <c r="S701" s="18">
        <f>IF($A701&gt;'1-Input'!$B$26,U700,(U700-Q701)*(1+$D$4))</f>
        <v>142835.74113492211</v>
      </c>
      <c r="T701" s="18">
        <f>IF($A701&gt;'1-Input'!$B$26,R701,R701-'P-Parametri'!$B$8*(S701+R701)+MIN(MAX(S701,0),'P-Parametri'!$B$8*(S701+R701)))</f>
        <v>0</v>
      </c>
      <c r="U701" s="18">
        <f>IF($A701&gt;'1-Input'!$B$26,S701,S701-MIN(MAX(S701,0),'P-Parametri'!$B$8*(S701+R701)))</f>
        <v>142550.06965265225</v>
      </c>
      <c r="V701" s="18">
        <f>IF($A701&gt;'1-Input'!$B$26,V700,V700-Q701*(1-P701))</f>
        <v>39400.097282116367</v>
      </c>
      <c r="W701" s="11">
        <f>IF($A701&gt;'1-Input'!$B$26,0,IF(AB700&lt;=0,0,MAX(0,(AB700-AC700)/AB700)))</f>
        <v>0.71312431435003953</v>
      </c>
      <c r="X701" s="18">
        <f>IF($A701&gt;'1-Input'!$B$26,0,(MAX(0,W671-IF($A701&gt;='1-Input'!$C$12,'1-Input'!$B$12,0))-MIN(MAX(AA700,0),MAX(0,W671-IF($A701&gt;='1-Input'!$C$12,'1-Input'!$B$12,0))))*(1/(1-'P-Parametri'!$B$6*W701))+MIN(MAX(0,AB700-(MAX(0,W671-IF($A701&gt;='1-Input'!$C$12,'1-Input'!$B$12,0))-MIN(MAX(AA700,0),MAX(0,W671-IF($A701&gt;='1-Input'!$C$12,'1-Input'!$B$12,0))))*(1/(1-'P-Parametri'!$B$6*W701))),MAX(0,0*W671-(AA700-MIN(MAX(AA700,0),MAX(0,W671-IF($A701&gt;='1-Input'!$C$12,'1-Input'!$B$12,0)))))*(1/(1-'P-Parametri'!$B$6*W701))))</f>
        <v>11762.095414562309</v>
      </c>
      <c r="Y701" s="18">
        <f>IF($A701&gt;'1-Input'!$B$26,AA700,(AA700-MAX(0,W671-IF($A701&gt;='1-Input'!$C$12,'1-Input'!$B$12,0))+X701*(1-'P-Parametri'!$B$6*W701))*(1+'1-Input'!$B$27))</f>
        <v>0</v>
      </c>
      <c r="Z701" s="18">
        <f>IF($A701&gt;'1-Input'!$B$26,AB700,(AB700-X701)*(1+$D$4))</f>
        <v>154913.49768218977</v>
      </c>
      <c r="AA701" s="18">
        <f>IF($A701&gt;'1-Input'!$B$26,Y701,Y701-'P-Parametri'!$B$8*(Z701+Y701)+MIN(MAX(Z701,0),'P-Parametri'!$B$8*(Z701+Y701)))</f>
        <v>0</v>
      </c>
      <c r="AB701" s="18">
        <f>IF($A701&gt;'1-Input'!$B$26,Z701,Z701-MIN(MAX(Z701,0),'P-Parametri'!$B$8*(Z701+Y701)))</f>
        <v>154603.67068682538</v>
      </c>
      <c r="AC701" s="18">
        <f>IF($A701&gt;'1-Input'!$B$26,AC700,AC700-X701*(1-W701))</f>
        <v>42731.649869242079</v>
      </c>
      <c r="AD701" s="11">
        <f>IF($A701&gt;'1-Input'!$B$26,0,IF(AI700&lt;=0,0,MAX(0,(AI700-AJ700)/AI700)))</f>
        <v>0.71312431435003953</v>
      </c>
      <c r="AE701" s="18">
        <f>IF($A701&gt;'1-Input'!$B$26,0,(MAX(0,AD671-IF($A701&gt;='1-Input'!$C$12,'1-Input'!$B$12,0))-MIN(MAX(AH700,0),MAX(0,AD671-IF($A701&gt;='1-Input'!$C$12,'1-Input'!$B$12,0))))*(1/(1-'P-Parametri'!$B$6*AD701))+MIN(MAX(0,AI700-(MAX(0,AD671-IF($A701&gt;='1-Input'!$C$12,'1-Input'!$B$12,0))-MIN(MAX(AH700,0),MAX(0,AD671-IF($A701&gt;='1-Input'!$C$12,'1-Input'!$B$12,0))))*(1/(1-'P-Parametri'!$B$6*AD701))),MAX(0,0*AD671-(AH700-MIN(MAX(AH700,0),MAX(0,AD671-IF($A701&gt;='1-Input'!$C$12,'1-Input'!$B$12,0)))))*(1/(1-'P-Parametri'!$B$6*AD701))))</f>
        <v>11764.569797423699</v>
      </c>
      <c r="AF701" s="18">
        <f>IF($A701&gt;'1-Input'!$B$26,AH700,(AH700-MAX(0,AD671-IF($A701&gt;='1-Input'!$C$12,'1-Input'!$B$12,0))+AE701*(1-'P-Parametri'!$B$6*AD701))*(1+'1-Input'!$B$27))</f>
        <v>0</v>
      </c>
      <c r="AG701" s="18">
        <f>IF($A701&gt;'1-Input'!$B$26,AI700,(AI700-AE701)*(1+$D$4))</f>
        <v>154798.03555900019</v>
      </c>
      <c r="AH701" s="18">
        <f>IF($A701&gt;'1-Input'!$B$26,AF701,AF701-'P-Parametri'!$B$8*(AG701+AF701)+MIN(MAX(AG701,0),'P-Parametri'!$B$8*(AG701+AF701)))</f>
        <v>0</v>
      </c>
      <c r="AI701" s="18">
        <f>IF($A701&gt;'1-Input'!$B$26,AG701,AG701-MIN(MAX(AG701,0),'P-Parametri'!$B$8*(AG701+AF701)))</f>
        <v>154488.43948788219</v>
      </c>
      <c r="AJ701" s="18">
        <f>IF($A701&gt;'1-Input'!$B$26,AJ700,AJ700-AE701*(1-AD701))</f>
        <v>42699.800565629943</v>
      </c>
      <c r="AK701" s="11">
        <f>IF($A701&gt;'1-Input'!$B$26,0,IF(AP700&lt;=0,0,MAX(0,(AP700-AQ700)/AP700)))</f>
        <v>0.71312431435003976</v>
      </c>
      <c r="AL701" s="18">
        <f>IF($A701&gt;'1-Input'!$B$26,0,(MAX(0,AK671-IF($A701&gt;='1-Input'!$C$12,'1-Input'!$B$12,0))-MIN(MAX(AO700,0),MAX(0,AK671-IF($A701&gt;='1-Input'!$C$12,'1-Input'!$B$12,0))))*(1/(1-'P-Parametri'!$B$6*AK701))+MIN(MAX(0,AP700-(MAX(0,AK671-IF($A701&gt;='1-Input'!$C$12,'1-Input'!$B$12,0))-MIN(MAX(AO700,0),MAX(0,AK671-IF($A701&gt;='1-Input'!$C$12,'1-Input'!$B$12,0))))*(1/(1-'P-Parametri'!$B$6*AK701))),MAX(0,0*AK671-(AO700-MIN(MAX(AO700,0),MAX(0,AK671-IF($A701&gt;='1-Input'!$C$12,'1-Input'!$B$12,0)))))*(1/(1-'P-Parametri'!$B$6*AK701))))</f>
        <v>11764.074057408214</v>
      </c>
      <c r="AM701" s="18">
        <f>IF($A701&gt;'1-Input'!$B$26,AO700,(AO700-MAX(0,AK671-IF($A701&gt;='1-Input'!$C$12,'1-Input'!$B$12,0))+AL701*(1-'P-Parametri'!$B$6*AK701))*(1+'1-Input'!$B$27))</f>
        <v>0</v>
      </c>
      <c r="AN701" s="18">
        <f>IF($A701&gt;'1-Input'!$B$26,AP700,(AP700-AL701)*(1+$D$4))</f>
        <v>154821.1682744874</v>
      </c>
      <c r="AO701" s="18">
        <f>IF($A701&gt;'1-Input'!$B$26,AM701,AM701-'P-Parametri'!$B$8*(AN701+AM701)+MIN(MAX(AN701,0),'P-Parametri'!$B$8*(AN701+AM701)))</f>
        <v>0</v>
      </c>
      <c r="AP701" s="18">
        <f>IF($A701&gt;'1-Input'!$B$26,AN701,AN701-MIN(MAX(AN701,0),'P-Parametri'!$B$8*(AN701+AM701)))</f>
        <v>154511.52593793842</v>
      </c>
      <c r="AQ701" s="18">
        <f>IF($A701&gt;'1-Input'!$B$26,AQ700,AQ700-AL701*(1-AK701))</f>
        <v>42706.181540261001</v>
      </c>
    </row>
    <row r="702" spans="1:43">
      <c r="A702" s="10">
        <f>29</f>
        <v>29</v>
      </c>
      <c r="B702" s="11">
        <f>IF($A702&gt;'1-Input'!$B$26,0,IF(G701&lt;=0,0,MAX(0,(G701-H701)/G701)))</f>
        <v>0.7236052049773003</v>
      </c>
      <c r="C702" s="18">
        <f>IF($A702&gt;'1-Input'!$B$26,0,(MAX(0,B671-IF($A702&gt;='1-Input'!$C$12,'1-Input'!$B$12,0))-MIN(MAX(F701,0),MAX(0,B671-IF($A702&gt;='1-Input'!$C$12,'1-Input'!$B$12,0))))*(1/(1-'P-Parametri'!$B$6*B702))+MIN(MAX(0,G701-(MAX(0,B671-IF($A702&gt;='1-Input'!$C$12,'1-Input'!$B$12,0))-MIN(MAX(F701,0),MAX(0,B671-IF($A702&gt;='1-Input'!$C$12,'1-Input'!$B$12,0))))*(1/(1-'P-Parametri'!$B$6*B702))),MAX(0,0*B671-(F701-MIN(MAX(F701,0),MAX(0,B671-IF($A702&gt;='1-Input'!$C$12,'1-Input'!$B$12,0)))))*(1/(1-'P-Parametri'!$B$6*B702))))</f>
        <v>6871.9201915035519</v>
      </c>
      <c r="D702" s="18">
        <f>IF($A702&gt;'1-Input'!$B$26,F701,(F701-MAX(0,B671-IF($A702&gt;='1-Input'!$C$12,'1-Input'!$B$12,0))+C702*(1-'P-Parametri'!$B$6*B702))*(1+'1-Input'!$B$27))</f>
        <v>-9.0622052084654565E-13</v>
      </c>
      <c r="E702" s="18">
        <f>IF($A702&gt;'1-Input'!$B$26,G701,(G701-C702)*(1+$D$4))</f>
        <v>391597.62492569385</v>
      </c>
      <c r="F702" s="18">
        <f>IF($A702&gt;'1-Input'!$B$26,D702,D702-'P-Parametri'!$B$8*(E702+D702)+MIN(MAX(E702,0),'P-Parametri'!$B$8*(E702+D702)))</f>
        <v>-9.0949470177292824E-13</v>
      </c>
      <c r="G702" s="18">
        <f>IF($A702&gt;'1-Input'!$B$26,E702,E702-MIN(MAX(E702,0),'P-Parametri'!$B$8*(E702+D702)))</f>
        <v>390814.42967584246</v>
      </c>
      <c r="H702" s="18">
        <f>IF($A702&gt;'1-Input'!$B$26,H701,H701-C702*(1-B702))</f>
        <v>104072.63968530114</v>
      </c>
      <c r="I702" s="11">
        <f>IF($A702&gt;'1-Input'!$B$26,0,IF(N701&lt;=0,0,MAX(0,(N701-O701)/N701)))</f>
        <v>0.72360520497730041</v>
      </c>
      <c r="J702" s="18">
        <f>IF($A702&gt;'1-Input'!$B$26,0,(MAX(0,I671-IF($A702&gt;='1-Input'!$C$12,'1-Input'!$B$12,0))-MIN(MAX(M701,0),MAX(0,I671-IF($A702&gt;='1-Input'!$C$12,'1-Input'!$B$12,0))))*(1/(1-'P-Parametri'!$B$6*I702))+MIN(MAX(0,N701-(MAX(0,I671-IF($A702&gt;='1-Input'!$C$12,'1-Input'!$B$12,0))-MIN(MAX(M701,0),MAX(0,I671-IF($A702&gt;='1-Input'!$C$12,'1-Input'!$B$12,0))))*(1/(1-'P-Parametri'!$B$6*I702))),MAX(0,0*I671-(M701-MIN(MAX(M701,0),MAX(0,I671-IF($A702&gt;='1-Input'!$C$12,'1-Input'!$B$12,0)))))*(1/(1-'P-Parametri'!$B$6*I702))))</f>
        <v>13360.335072612275</v>
      </c>
      <c r="K702" s="18">
        <f>IF($A702&gt;'1-Input'!$B$26,M701,(M701-MAX(0,I671-IF($A702&gt;='1-Input'!$C$12,'1-Input'!$B$12,0))+J702*(1-'P-Parametri'!$B$6*I702))*(1+'1-Input'!$B$27))</f>
        <v>-1.8124410416930913E-12</v>
      </c>
      <c r="L702" s="18">
        <f>IF($A702&gt;'1-Input'!$B$26,N701,(N701-J702)*(1+$D$4))</f>
        <v>71651.041490687407</v>
      </c>
      <c r="M702" s="18">
        <f>IF($A702&gt;'1-Input'!$B$26,K702,K702-'P-Parametri'!$B$8*(L702+K702)+MIN(MAX(L702,0),'P-Parametri'!$B$8*(L702+K702)))</f>
        <v>-1.8189894035458565E-12</v>
      </c>
      <c r="N702" s="18">
        <f>IF($A702&gt;'1-Input'!$B$26,L702,L702-MIN(MAX(L702,0),'P-Parametri'!$B$8*(L702+K702)))</f>
        <v>71507.739407706031</v>
      </c>
      <c r="O702" s="18">
        <f>IF($A702&gt;'1-Input'!$B$26,O701,O701-J702*(1-I702))</f>
        <v>19042.28358267451</v>
      </c>
      <c r="P702" s="11">
        <f>IF($A702&gt;'1-Input'!$B$26,0,IF(U701&lt;=0,0,MAX(0,(U701-V701)/U701)))</f>
        <v>0.72360520497730052</v>
      </c>
      <c r="Q702" s="18">
        <f>IF($A702&gt;'1-Input'!$B$26,0,(MAX(0,P671-IF($A702&gt;='1-Input'!$C$12,'1-Input'!$B$12,0))-MIN(MAX(T701,0),MAX(0,P671-IF($A702&gt;='1-Input'!$C$12,'1-Input'!$B$12,0))))*(1/(1-'P-Parametri'!$B$6*P702))+MIN(MAX(0,U701-(MAX(0,P671-IF($A702&gt;='1-Input'!$C$12,'1-Input'!$B$12,0))-MIN(MAX(T701,0),MAX(0,P671-IF($A702&gt;='1-Input'!$C$12,'1-Input'!$B$12,0))))*(1/(1-'P-Parametri'!$B$6*P702))),MAX(0,0*P671-(T701-MIN(MAX(T701,0),MAX(0,P671-IF($A702&gt;='1-Input'!$C$12,'1-Input'!$B$12,0)))))*(1/(1-'P-Parametri'!$B$6*P702))))</f>
        <v>12061.273279814792</v>
      </c>
      <c r="R702" s="18">
        <f>IF($A702&gt;'1-Input'!$B$26,T701,(T701-MAX(0,P671-IF($A702&gt;='1-Input'!$C$12,'1-Input'!$B$12,0))+Q702*(1-'P-Parametri'!$B$6*P702))*(1+'1-Input'!$B$27))</f>
        <v>0</v>
      </c>
      <c r="S702" s="18">
        <f>IF($A702&gt;'1-Input'!$B$26,U701,(U701-Q702)*(1+$D$4))</f>
        <v>135708.34822775098</v>
      </c>
      <c r="T702" s="18">
        <f>IF($A702&gt;'1-Input'!$B$26,R702,R702-'P-Parametri'!$B$8*(S702+R702)+MIN(MAX(S702,0),'P-Parametri'!$B$8*(S702+R702)))</f>
        <v>0</v>
      </c>
      <c r="U702" s="18">
        <f>IF($A702&gt;'1-Input'!$B$26,S702,S702-MIN(MAX(S702,0),'P-Parametri'!$B$8*(S702+R702)))</f>
        <v>135436.93153129547</v>
      </c>
      <c r="V702" s="18">
        <f>IF($A702&gt;'1-Input'!$B$26,V701,V701-Q702*(1-P702))</f>
        <v>36066.424126229198</v>
      </c>
      <c r="W702" s="11">
        <f>IF($A702&gt;'1-Input'!$B$26,0,IF(AB701&lt;=0,0,MAX(0,(AB701-AC701)/AB701)))</f>
        <v>0.7236052049773003</v>
      </c>
      <c r="X702" s="18">
        <f>IF($A702&gt;'1-Input'!$B$26,0,(MAX(0,W671-IF($A702&gt;='1-Input'!$C$12,'1-Input'!$B$12,0))-MIN(MAX(AA701,0),MAX(0,W671-IF($A702&gt;='1-Input'!$C$12,'1-Input'!$B$12,0))))*(1/(1-'P-Parametri'!$B$6*W702))+MIN(MAX(0,AB701-(MAX(0,W671-IF($A702&gt;='1-Input'!$C$12,'1-Input'!$B$12,0))-MIN(MAX(AA701,0),MAX(0,W671-IF($A702&gt;='1-Input'!$C$12,'1-Input'!$B$12,0))))*(1/(1-'P-Parametri'!$B$6*W702))),MAX(0,0*W671-(AA701-MIN(MAX(AA701,0),MAX(0,W671-IF($A702&gt;='1-Input'!$C$12,'1-Input'!$B$12,0)))))*(1/(1-'P-Parametri'!$B$6*W702))))</f>
        <v>11801.575099189728</v>
      </c>
      <c r="Y702" s="18">
        <f>IF($A702&gt;'1-Input'!$B$26,AA701,(AA701-MAX(0,W671-IF($A702&gt;='1-Input'!$C$12,'1-Input'!$B$12,0))+X702*(1-'P-Parametri'!$B$6*W702))*(1+'1-Input'!$B$27))</f>
        <v>0</v>
      </c>
      <c r="Z702" s="18">
        <f>IF($A702&gt;'1-Input'!$B$26,AB701,(AB701-X702)*(1+$D$4))</f>
        <v>148514.17941114109</v>
      </c>
      <c r="AA702" s="18">
        <f>IF($A702&gt;'1-Input'!$B$26,Y702,Y702-'P-Parametri'!$B$8*(Z702+Y702)+MIN(MAX(Z702,0),'P-Parametri'!$B$8*(Z702+Y702)))</f>
        <v>0</v>
      </c>
      <c r="AB702" s="18">
        <f>IF($A702&gt;'1-Input'!$B$26,Z702,Z702-MIN(MAX(Z702,0),'P-Parametri'!$B$8*(Z702+Y702)))</f>
        <v>148217.1510523188</v>
      </c>
      <c r="AC702" s="18">
        <f>IF($A702&gt;'1-Input'!$B$26,AC701,AC701-X702*(1-W702))</f>
        <v>39469.755938756534</v>
      </c>
      <c r="AD702" s="11">
        <f>IF($A702&gt;'1-Input'!$B$26,0,IF(AI701&lt;=0,0,MAX(0,(AI701-AJ701)/AI701)))</f>
        <v>0.72360520497730041</v>
      </c>
      <c r="AE702" s="18">
        <f>IF($A702&gt;'1-Input'!$B$26,0,(MAX(0,AD671-IF($A702&gt;='1-Input'!$C$12,'1-Input'!$B$12,0))-MIN(MAX(AH701,0),MAX(0,AD671-IF($A702&gt;='1-Input'!$C$12,'1-Input'!$B$12,0))))*(1/(1-'P-Parametri'!$B$6*AD702))+MIN(MAX(0,AI701-(MAX(0,AD671-IF($A702&gt;='1-Input'!$C$12,'1-Input'!$B$12,0))-MIN(MAX(AH701,0),MAX(0,AD671-IF($A702&gt;='1-Input'!$C$12,'1-Input'!$B$12,0))))*(1/(1-'P-Parametri'!$B$6*AD702))),MAX(0,0*AD671-(AH701-MIN(MAX(AH701,0),MAX(0,AD671-IF($A702&gt;='1-Input'!$C$12,'1-Input'!$B$12,0)))))*(1/(1-'P-Parametri'!$B$6*AD702))))</f>
        <v>11804.057787361657</v>
      </c>
      <c r="AF702" s="18">
        <f>IF($A702&gt;'1-Input'!$B$26,AH701,(AH701-MAX(0,AD671-IF($A702&gt;='1-Input'!$C$12,'1-Input'!$B$12,0))+AE702*(1-'P-Parametri'!$B$6*AD702))*(1+'1-Input'!$B$27))</f>
        <v>0</v>
      </c>
      <c r="AG702" s="18">
        <f>IF($A702&gt;'1-Input'!$B$26,AI701,(AI701-AE702)*(1+$D$4))</f>
        <v>148391.75696854133</v>
      </c>
      <c r="AH702" s="18">
        <f>IF($A702&gt;'1-Input'!$B$26,AF702,AF702-'P-Parametri'!$B$8*(AG702+AF702)+MIN(MAX(AG702,0),'P-Parametri'!$B$8*(AG702+AF702)))</f>
        <v>0</v>
      </c>
      <c r="AI702" s="18">
        <f>IF($A702&gt;'1-Input'!$B$26,AG702,AG702-MIN(MAX(AG702,0),'P-Parametri'!$B$8*(AG702+AF702)))</f>
        <v>148094.97345460425</v>
      </c>
      <c r="AJ702" s="18">
        <f>IF($A702&gt;'1-Input'!$B$26,AJ701,AJ701-AE702*(1-AD702))</f>
        <v>39437.22043305602</v>
      </c>
      <c r="AK702" s="11">
        <f>IF($A702&gt;'1-Input'!$B$26,0,IF(AP701&lt;=0,0,MAX(0,(AP701-AQ701)/AP701)))</f>
        <v>0.72360520497730063</v>
      </c>
      <c r="AL702" s="18">
        <f>IF($A702&gt;'1-Input'!$B$26,0,(MAX(0,AK671-IF($A702&gt;='1-Input'!$C$12,'1-Input'!$B$12,0))-MIN(MAX(AO701,0),MAX(0,AK671-IF($A702&gt;='1-Input'!$C$12,'1-Input'!$B$12,0))))*(1/(1-'P-Parametri'!$B$6*AK702))+MIN(MAX(0,AP701-(MAX(0,AK671-IF($A702&gt;='1-Input'!$C$12,'1-Input'!$B$12,0))-MIN(MAX(AO701,0),MAX(0,AK671-IF($A702&gt;='1-Input'!$C$12,'1-Input'!$B$12,0))))*(1/(1-'P-Parametri'!$B$6*AK702))),MAX(0,0*AK671-(AO701-MIN(MAX(AO701,0),MAX(0,AK671-IF($A702&gt;='1-Input'!$C$12,'1-Input'!$B$12,0)))))*(1/(1-'P-Parametri'!$B$6*AK702))))</f>
        <v>11803.560383385904</v>
      </c>
      <c r="AM702" s="18">
        <f>IF($A702&gt;'1-Input'!$B$26,AO701,(AO701-MAX(0,AK671-IF($A702&gt;='1-Input'!$C$12,'1-Input'!$B$12,0))+AL702*(1-'P-Parametri'!$B$6*AK702))*(1+'1-Input'!$B$27))</f>
        <v>0</v>
      </c>
      <c r="AN702" s="18">
        <f>IF($A702&gt;'1-Input'!$B$26,AP701,(AP701-AL702)*(1+$D$4))</f>
        <v>148416.28417673463</v>
      </c>
      <c r="AO702" s="18">
        <f>IF($A702&gt;'1-Input'!$B$26,AM702,AM702-'P-Parametri'!$B$8*(AN702+AM702)+MIN(MAX(AN702,0),'P-Parametri'!$B$8*(AN702+AM702)))</f>
        <v>0</v>
      </c>
      <c r="AP702" s="18">
        <f>IF($A702&gt;'1-Input'!$B$26,AN702,AN702-MIN(MAX(AN702,0),'P-Parametri'!$B$8*(AN702+AM702)))</f>
        <v>148119.45160838115</v>
      </c>
      <c r="AQ702" s="18">
        <f>IF($A702&gt;'1-Input'!$B$26,AQ701,AQ701-AL702*(1-AK702))</f>
        <v>39443.738887556996</v>
      </c>
    </row>
    <row r="703" spans="1:43">
      <c r="A703" s="10">
        <f>30</f>
        <v>30</v>
      </c>
      <c r="B703" s="11">
        <f>IF($A703&gt;'1-Input'!$B$26,0,IF(G702&lt;=0,0,MAX(0,(G702-H702)/G702)))</f>
        <v>0.73370318037738957</v>
      </c>
      <c r="C703" s="18">
        <f>IF($A703&gt;'1-Input'!$B$26,0,(MAX(0,B671-IF($A703&gt;='1-Input'!$C$12,'1-Input'!$B$12,0))-MIN(MAX(F702,0),MAX(0,B671-IF($A703&gt;='1-Input'!$C$12,'1-Input'!$B$12,0))))*(1/(1-'P-Parametri'!$B$6*B703))+MIN(MAX(0,G702-(MAX(0,B671-IF($A703&gt;='1-Input'!$C$12,'1-Input'!$B$12,0))-MIN(MAX(F702,0),MAX(0,B671-IF($A703&gt;='1-Input'!$C$12,'1-Input'!$B$12,0))))*(1/(1-'P-Parametri'!$B$6*B703))),MAX(0,0*B671-(F702-MIN(MAX(F702,0),MAX(0,B671-IF($A703&gt;='1-Input'!$C$12,'1-Input'!$B$12,0)))))*(1/(1-'P-Parametri'!$B$6*B703))))</f>
        <v>6894.2153179157403</v>
      </c>
      <c r="D703" s="18">
        <f>IF($A703&gt;'1-Input'!$B$26,F702,(F702-MAX(0,B671-IF($A703&gt;='1-Input'!$C$12,'1-Input'!$B$12,0))+C703*(1-'P-Parametri'!$B$6*B703))*(1+'1-Input'!$B$27))</f>
        <v>0</v>
      </c>
      <c r="E703" s="18">
        <f>IF($A703&gt;'1-Input'!$B$26,G702,(G702-C703)*(1+$D$4))</f>
        <v>399277.02293224382</v>
      </c>
      <c r="F703" s="18">
        <f>IF($A703&gt;'1-Input'!$B$26,D703,D703-'P-Parametri'!$B$8*(E703+D703)+MIN(MAX(E703,0),'P-Parametri'!$B$8*(E703+D703)))</f>
        <v>0</v>
      </c>
      <c r="G703" s="18">
        <f>IF($A703&gt;'1-Input'!$B$26,E703,E703-MIN(MAX(E703,0),'P-Parametri'!$B$8*(E703+D703)))</f>
        <v>398478.46888637933</v>
      </c>
      <c r="H703" s="18">
        <f>IF($A703&gt;'1-Input'!$B$26,H702,H702-C703*(1-B703))</f>
        <v>102236.7320723467</v>
      </c>
      <c r="I703" s="11">
        <f>IF($A703&gt;'1-Input'!$B$26,0,IF(N702&lt;=0,0,MAX(0,(N702-O702)/N702)))</f>
        <v>0.73370318037738969</v>
      </c>
      <c r="J703" s="18">
        <f>IF($A703&gt;'1-Input'!$B$26,0,(MAX(0,I671-IF($A703&gt;='1-Input'!$C$12,'1-Input'!$B$12,0))-MIN(MAX(M702,0),MAX(0,I671-IF($A703&gt;='1-Input'!$C$12,'1-Input'!$B$12,0))))*(1/(1-'P-Parametri'!$B$6*I703))+MIN(MAX(0,N702-(MAX(0,I671-IF($A703&gt;='1-Input'!$C$12,'1-Input'!$B$12,0))-MIN(MAX(M702,0),MAX(0,I671-IF($A703&gt;='1-Input'!$C$12,'1-Input'!$B$12,0))))*(1/(1-'P-Parametri'!$B$6*I703))),MAX(0,0*I671-(M702-MIN(MAX(M702,0),MAX(0,I671-IF($A703&gt;='1-Input'!$C$12,'1-Input'!$B$12,0)))))*(1/(1-'P-Parametri'!$B$6*I703))))</f>
        <v>13403.681088143912</v>
      </c>
      <c r="K703" s="18">
        <f>IF($A703&gt;'1-Input'!$B$26,M702,(M702-MAX(0,I671-IF($A703&gt;='1-Input'!$C$12,'1-Input'!$B$12,0))+J703*(1-'P-Parametri'!$B$6*I703))*(1+'1-Input'!$B$27))</f>
        <v>0</v>
      </c>
      <c r="L703" s="18">
        <f>IF($A703&gt;'1-Input'!$B$26,N702,(N702-J703)*(1+$D$4))</f>
        <v>60428.2206523446</v>
      </c>
      <c r="M703" s="18">
        <f>IF($A703&gt;'1-Input'!$B$26,K703,K703-'P-Parametri'!$B$8*(L703+K703)+MIN(MAX(L703,0),'P-Parametri'!$B$8*(L703+K703)))</f>
        <v>0</v>
      </c>
      <c r="N703" s="18">
        <f>IF($A703&gt;'1-Input'!$B$26,L703,L703-MIN(MAX(L703,0),'P-Parametri'!$B$8*(L703+K703)))</f>
        <v>60307.364211039909</v>
      </c>
      <c r="O703" s="18">
        <f>IF($A703&gt;'1-Input'!$B$26,O702,O702-J703*(1-I703))</f>
        <v>15472.925937666058</v>
      </c>
      <c r="P703" s="11">
        <f>IF($A703&gt;'1-Input'!$B$26,0,IF(U702&lt;=0,0,MAX(0,(U702-V702)/U702)))</f>
        <v>0.73370318037738991</v>
      </c>
      <c r="Q703" s="18">
        <f>IF($A703&gt;'1-Input'!$B$26,0,(MAX(0,P671-IF($A703&gt;='1-Input'!$C$12,'1-Input'!$B$12,0))-MIN(MAX(T702,0),MAX(0,P671-IF($A703&gt;='1-Input'!$C$12,'1-Input'!$B$12,0))))*(1/(1-'P-Parametri'!$B$6*P703))+MIN(MAX(0,U702-(MAX(0,P671-IF($A703&gt;='1-Input'!$C$12,'1-Input'!$B$12,0))-MIN(MAX(T702,0),MAX(0,P671-IF($A703&gt;='1-Input'!$C$12,'1-Input'!$B$12,0))))*(1/(1-'P-Parametri'!$B$6*P703))),MAX(0,0*P671-(T702-MIN(MAX(T702,0),MAX(0,P671-IF($A703&gt;='1-Input'!$C$12,'1-Input'!$B$12,0)))))*(1/(1-'P-Parametri'!$B$6*P703))))</f>
        <v>12100.404644116416</v>
      </c>
      <c r="R703" s="18">
        <f>IF($A703&gt;'1-Input'!$B$26,T702,(T702-MAX(0,P671-IF($A703&gt;='1-Input'!$C$12,'1-Input'!$B$12,0))+Q703*(1-'P-Parametri'!$B$6*P703))*(1+'1-Input'!$B$27))</f>
        <v>0</v>
      </c>
      <c r="S703" s="18">
        <f>IF($A703&gt;'1-Input'!$B$26,U702,(U702-Q703)*(1+$D$4))</f>
        <v>128269.98796266623</v>
      </c>
      <c r="T703" s="18">
        <f>IF($A703&gt;'1-Input'!$B$26,R703,R703-'P-Parametri'!$B$8*(S703+R703)+MIN(MAX(S703,0),'P-Parametri'!$B$8*(S703+R703)))</f>
        <v>0</v>
      </c>
      <c r="U703" s="18">
        <f>IF($A703&gt;'1-Input'!$B$26,S703,S703-MIN(MAX(S703,0),'P-Parametri'!$B$8*(S703+R703)))</f>
        <v>128013.4479867409</v>
      </c>
      <c r="V703" s="18">
        <f>IF($A703&gt;'1-Input'!$B$26,V702,V702-Q703*(1-P703))</f>
        <v>32844.124853354333</v>
      </c>
      <c r="W703" s="11">
        <f>IF($A703&gt;'1-Input'!$B$26,0,IF(AB702&lt;=0,0,MAX(0,(AB702-AC702)/AB702)))</f>
        <v>0.73370318037738957</v>
      </c>
      <c r="X703" s="18">
        <f>IF($A703&gt;'1-Input'!$B$26,0,(MAX(0,W671-IF($A703&gt;='1-Input'!$C$12,'1-Input'!$B$12,0))-MIN(MAX(AA702,0),MAX(0,W671-IF($A703&gt;='1-Input'!$C$12,'1-Input'!$B$12,0))))*(1/(1-'P-Parametri'!$B$6*W703))+MIN(MAX(0,AB702-(MAX(0,W671-IF($A703&gt;='1-Input'!$C$12,'1-Input'!$B$12,0))-MIN(MAX(AA702,0),MAX(0,W671-IF($A703&gt;='1-Input'!$C$12,'1-Input'!$B$12,0))))*(1/(1-'P-Parametri'!$B$6*W703))),MAX(0,0*W671-(AA702-MIN(MAX(AA702,0),MAX(0,W671-IF($A703&gt;='1-Input'!$C$12,'1-Input'!$B$12,0)))))*(1/(1-'P-Parametri'!$B$6*W703))))</f>
        <v>11839.863903682053</v>
      </c>
      <c r="Y703" s="18">
        <f>IF($A703&gt;'1-Input'!$B$26,AA702,(AA702-MAX(0,W671-IF($A703&gt;='1-Input'!$C$12,'1-Input'!$B$12,0))+X703*(1-'P-Parametri'!$B$6*W703))*(1+'1-Input'!$B$27))</f>
        <v>0</v>
      </c>
      <c r="Z703" s="18">
        <f>IF($A703&gt;'1-Input'!$B$26,AB702,(AB702-X703)*(1+$D$4))</f>
        <v>141832.37863458224</v>
      </c>
      <c r="AA703" s="18">
        <f>IF($A703&gt;'1-Input'!$B$26,Y703,Y703-'P-Parametri'!$B$8*(Z703+Y703)+MIN(MAX(Z703,0),'P-Parametri'!$B$8*(Z703+Y703)))</f>
        <v>0</v>
      </c>
      <c r="AB703" s="18">
        <f>IF($A703&gt;'1-Input'!$B$26,Z703,Z703-MIN(MAX(Z703,0),'P-Parametri'!$B$8*(Z703+Y703)))</f>
        <v>141548.71387731307</v>
      </c>
      <c r="AC703" s="18">
        <f>IF($A703&gt;'1-Input'!$B$26,AC702,AC702-X703*(1-W703))</f>
        <v>36316.83783644146</v>
      </c>
      <c r="AD703" s="11">
        <f>IF($A703&gt;'1-Input'!$B$26,0,IF(AI702&lt;=0,0,MAX(0,(AI702-AJ702)/AI702)))</f>
        <v>0.73370318037738957</v>
      </c>
      <c r="AE703" s="18">
        <f>IF($A703&gt;'1-Input'!$B$26,0,(MAX(0,AD671-IF($A703&gt;='1-Input'!$C$12,'1-Input'!$B$12,0))-MIN(MAX(AH702,0),MAX(0,AD671-IF($A703&gt;='1-Input'!$C$12,'1-Input'!$B$12,0))))*(1/(1-'P-Parametri'!$B$6*AD703))+MIN(MAX(0,AI702-(MAX(0,AD671-IF($A703&gt;='1-Input'!$C$12,'1-Input'!$B$12,0))-MIN(MAX(AH702,0),MAX(0,AD671-IF($A703&gt;='1-Input'!$C$12,'1-Input'!$B$12,0))))*(1/(1-'P-Parametri'!$B$6*AD703))),MAX(0,0*AD671-(AH702-MIN(MAX(AH702,0),MAX(0,AD671-IF($A703&gt;='1-Input'!$C$12,'1-Input'!$B$12,0)))))*(1/(1-'P-Parametri'!$B$6*AD703))))</f>
        <v>11842.354646639997</v>
      </c>
      <c r="AF703" s="18">
        <f>IF($A703&gt;'1-Input'!$B$26,AH702,(AH702-MAX(0,AD671-IF($A703&gt;='1-Input'!$C$12,'1-Input'!$B$12,0))+AE703*(1-'P-Parametri'!$B$6*AD703))*(1+'1-Input'!$B$27))</f>
        <v>0</v>
      </c>
      <c r="AG703" s="18">
        <f>IF($A703&gt;'1-Input'!$B$26,AI702,(AI702-AE703)*(1+$D$4))</f>
        <v>141702.72356028284</v>
      </c>
      <c r="AH703" s="18">
        <f>IF($A703&gt;'1-Input'!$B$26,AF703,AF703-'P-Parametri'!$B$8*(AG703+AF703)+MIN(MAX(AG703,0),'P-Parametri'!$B$8*(AG703+AF703)))</f>
        <v>0</v>
      </c>
      <c r="AI703" s="18">
        <f>IF($A703&gt;'1-Input'!$B$26,AG703,AG703-MIN(MAX(AG703,0),'P-Parametri'!$B$8*(AG703+AF703)))</f>
        <v>141419.31811316227</v>
      </c>
      <c r="AJ703" s="18">
        <f>IF($A703&gt;'1-Input'!$B$26,AJ702,AJ702-AE703*(1-AD703))</f>
        <v>36283.639053812745</v>
      </c>
      <c r="AK703" s="11">
        <f>IF($A703&gt;'1-Input'!$B$26,0,IF(AP702&lt;=0,0,MAX(0,(AP702-AQ702)/AP702)))</f>
        <v>0.73370318037738991</v>
      </c>
      <c r="AL703" s="18">
        <f>IF($A703&gt;'1-Input'!$B$26,0,(MAX(0,AK671-IF($A703&gt;='1-Input'!$C$12,'1-Input'!$B$12,0))-MIN(MAX(AO702,0),MAX(0,AK671-IF($A703&gt;='1-Input'!$C$12,'1-Input'!$B$12,0))))*(1/(1-'P-Parametri'!$B$6*AK703))+MIN(MAX(0,AP702-(MAX(0,AK671-IF($A703&gt;='1-Input'!$C$12,'1-Input'!$B$12,0))-MIN(MAX(AO702,0),MAX(0,AK671-IF($A703&gt;='1-Input'!$C$12,'1-Input'!$B$12,0))))*(1/(1-'P-Parametri'!$B$6*AK703))),MAX(0,0*AK671-(AO702-MIN(MAX(AO702,0),MAX(0,AK671-IF($A703&gt;='1-Input'!$C$12,'1-Input'!$B$12,0)))))*(1/(1-'P-Parametri'!$B$6*AK703))))</f>
        <v>11841.855628896299</v>
      </c>
      <c r="AM703" s="18">
        <f>IF($A703&gt;'1-Input'!$B$26,AO702,(AO702-MAX(0,AK671-IF($A703&gt;='1-Input'!$C$12,'1-Input'!$B$12,0))+AL703*(1-'P-Parametri'!$B$6*AK703))*(1+'1-Input'!$B$27))</f>
        <v>0</v>
      </c>
      <c r="AN703" s="18">
        <f>IF($A703&gt;'1-Input'!$B$26,AP702,(AP702-AL703)*(1+$D$4))</f>
        <v>141728.69981866423</v>
      </c>
      <c r="AO703" s="18">
        <f>IF($A703&gt;'1-Input'!$B$26,AM703,AM703-'P-Parametri'!$B$8*(AN703+AM703)+MIN(MAX(AN703,0),'P-Parametri'!$B$8*(AN703+AM703)))</f>
        <v>0</v>
      </c>
      <c r="AP703" s="18">
        <f>IF($A703&gt;'1-Input'!$B$26,AN703,AN703-MIN(MAX(AN703,0),'P-Parametri'!$B$8*(AN703+AM703)))</f>
        <v>141445.24241902691</v>
      </c>
      <c r="AQ703" s="18">
        <f>IF($A703&gt;'1-Input'!$B$26,AQ702,AQ702-AL703*(1-AK703))</f>
        <v>36290.290395151809</v>
      </c>
    </row>
    <row r="704" spans="1:43">
      <c r="A704" s="10">
        <f>31</f>
        <v>31</v>
      </c>
      <c r="B704" s="11">
        <f>IF($A704&gt;'1-Input'!$B$26,0,IF(G703&lt;=0,0,MAX(0,(G703-H703)/G703)))</f>
        <v>0.74343223020790594</v>
      </c>
      <c r="C704" s="18">
        <f>IF($A704&gt;'1-Input'!$B$26,0,(MAX(0,B671-IF($A704&gt;='1-Input'!$C$12,'1-Input'!$B$12,0))-MIN(MAX(F703,0),MAX(0,B671-IF($A704&gt;='1-Input'!$C$12,'1-Input'!$B$12,0))))*(1/(1-'P-Parametri'!$B$6*B704))+MIN(MAX(0,G703-(MAX(0,B671-IF($A704&gt;='1-Input'!$C$12,'1-Input'!$B$12,0))-MIN(MAX(F703,0),MAX(0,B671-IF($A704&gt;='1-Input'!$C$12,'1-Input'!$B$12,0))))*(1/(1-'P-Parametri'!$B$6*B704))),MAX(0,0*B671-(F703-MIN(MAX(F703,0),MAX(0,B671-IF($A704&gt;='1-Input'!$C$12,'1-Input'!$B$12,0)))))*(1/(1-'P-Parametri'!$B$6*B704))))</f>
        <v>6915.8331659448995</v>
      </c>
      <c r="D704" s="18">
        <f>IF($A704&gt;'1-Input'!$B$26,F703,(F703-MAX(0,B671-IF($A704&gt;='1-Input'!$C$12,'1-Input'!$B$12,0))+C704*(1-'P-Parametri'!$B$6*B704))*(1+'1-Input'!$B$27))</f>
        <v>0</v>
      </c>
      <c r="E704" s="18">
        <f>IF($A704&gt;'1-Input'!$B$26,G703,(G703-C704)*(1+$D$4))</f>
        <v>407225.14114925184</v>
      </c>
      <c r="F704" s="18">
        <f>IF($A704&gt;'1-Input'!$B$26,D704,D704-'P-Parametri'!$B$8*(E704+D704)+MIN(MAX(E704,0),'P-Parametri'!$B$8*(E704+D704)))</f>
        <v>0</v>
      </c>
      <c r="G704" s="18">
        <f>IF($A704&gt;'1-Input'!$B$26,E704,E704-MIN(MAX(E704,0),'P-Parametri'!$B$8*(E704+D704)))</f>
        <v>406410.69086695334</v>
      </c>
      <c r="H704" s="18">
        <f>IF($A704&gt;'1-Input'!$B$26,H703,H703-C704*(1-B704))</f>
        <v>100462.35218070602</v>
      </c>
      <c r="I704" s="11">
        <f>IF($A704&gt;'1-Input'!$B$26,0,IF(N703&lt;=0,0,MAX(0,(N703-O703)/N703)))</f>
        <v>0.74343223020790605</v>
      </c>
      <c r="J704" s="18">
        <f>IF($A704&gt;'1-Input'!$B$26,0,(MAX(0,I671-IF($A704&gt;='1-Input'!$C$12,'1-Input'!$B$12,0))-MIN(MAX(M703,0),MAX(0,I671-IF($A704&gt;='1-Input'!$C$12,'1-Input'!$B$12,0))))*(1/(1-'P-Parametri'!$B$6*I704))+MIN(MAX(0,N703-(MAX(0,I671-IF($A704&gt;='1-Input'!$C$12,'1-Input'!$B$12,0))-MIN(MAX(M703,0),MAX(0,I671-IF($A704&gt;='1-Input'!$C$12,'1-Input'!$B$12,0))))*(1/(1-'P-Parametri'!$B$6*I704))),MAX(0,0*I671-(M703-MIN(MAX(M703,0),MAX(0,I671-IF($A704&gt;='1-Input'!$C$12,'1-Input'!$B$12,0)))))*(1/(1-'P-Parametri'!$B$6*I704))))</f>
        <v>13445.710344184383</v>
      </c>
      <c r="K704" s="18">
        <f>IF($A704&gt;'1-Input'!$B$26,M703,(M703-MAX(0,I671-IF($A704&gt;='1-Input'!$C$12,'1-Input'!$B$12,0))+J704*(1-'P-Parametri'!$B$6*I704))*(1+'1-Input'!$B$27))</f>
        <v>0</v>
      </c>
      <c r="L704" s="18">
        <f>IF($A704&gt;'1-Input'!$B$26,N703,(N703-J704)*(1+$D$4))</f>
        <v>48736.12002152975</v>
      </c>
      <c r="M704" s="18">
        <f>IF($A704&gt;'1-Input'!$B$26,K704,K704-'P-Parametri'!$B$8*(L704+K704)+MIN(MAX(L704,0),'P-Parametri'!$B$8*(L704+K704)))</f>
        <v>0</v>
      </c>
      <c r="N704" s="18">
        <f>IF($A704&gt;'1-Input'!$B$26,L704,L704-MIN(MAX(L704,0),'P-Parametri'!$B$8*(L704+K704)))</f>
        <v>48638.647781486688</v>
      </c>
      <c r="O704" s="18">
        <f>IF($A704&gt;'1-Input'!$B$26,O703,O703-J704*(1-I704))</f>
        <v>12023.190021388182</v>
      </c>
      <c r="P704" s="11">
        <f>IF($A704&gt;'1-Input'!$B$26,0,IF(U703&lt;=0,0,MAX(0,(U703-V703)/U703)))</f>
        <v>0.74343223020790594</v>
      </c>
      <c r="Q704" s="18">
        <f>IF($A704&gt;'1-Input'!$B$26,0,(MAX(0,P671-IF($A704&gt;='1-Input'!$C$12,'1-Input'!$B$12,0))-MIN(MAX(T703,0),MAX(0,P671-IF($A704&gt;='1-Input'!$C$12,'1-Input'!$B$12,0))))*(1/(1-'P-Parametri'!$B$6*P704))+MIN(MAX(0,U703-(MAX(0,P671-IF($A704&gt;='1-Input'!$C$12,'1-Input'!$B$12,0))-MIN(MAX(T703,0),MAX(0,P671-IF($A704&gt;='1-Input'!$C$12,'1-Input'!$B$12,0))))*(1/(1-'P-Parametri'!$B$6*P704))),MAX(0,0*P671-(T703-MIN(MAX(T703,0),MAX(0,P671-IF($A704&gt;='1-Input'!$C$12,'1-Input'!$B$12,0)))))*(1/(1-'P-Parametri'!$B$6*P704))))</f>
        <v>12138.347281041037</v>
      </c>
      <c r="R704" s="18">
        <f>IF($A704&gt;'1-Input'!$B$26,T703,(T703-MAX(0,P671-IF($A704&gt;='1-Input'!$C$12,'1-Input'!$B$12,0))+Q704*(1-'P-Parametri'!$B$6*P704))*(1+'1-Input'!$B$27))</f>
        <v>0</v>
      </c>
      <c r="S704" s="18">
        <f>IF($A704&gt;'1-Input'!$B$26,U703,(U703-Q704)*(1+$D$4))</f>
        <v>120510.10473392786</v>
      </c>
      <c r="T704" s="18">
        <f>IF($A704&gt;'1-Input'!$B$26,R704,R704-'P-Parametri'!$B$8*(S704+R704)+MIN(MAX(S704,0),'P-Parametri'!$B$8*(S704+R704)))</f>
        <v>0</v>
      </c>
      <c r="U704" s="18">
        <f>IF($A704&gt;'1-Input'!$B$26,S704,S704-MIN(MAX(S704,0),'P-Parametri'!$B$8*(S704+R704)))</f>
        <v>120269.08452446001</v>
      </c>
      <c r="V704" s="18">
        <f>IF($A704&gt;'1-Input'!$B$26,V703,V703-Q704*(1-P704))</f>
        <v>29729.816162495707</v>
      </c>
      <c r="W704" s="11">
        <f>IF($A704&gt;'1-Input'!$B$26,0,IF(AB703&lt;=0,0,MAX(0,(AB703-AC703)/AB703)))</f>
        <v>0.74343223020790583</v>
      </c>
      <c r="X704" s="18">
        <f>IF($A704&gt;'1-Input'!$B$26,0,(MAX(0,W671-IF($A704&gt;='1-Input'!$C$12,'1-Input'!$B$12,0))-MIN(MAX(AA703,0),MAX(0,W671-IF($A704&gt;='1-Input'!$C$12,'1-Input'!$B$12,0))))*(1/(1-'P-Parametri'!$B$6*W704))+MIN(MAX(0,AB703-(MAX(0,W671-IF($A704&gt;='1-Input'!$C$12,'1-Input'!$B$12,0))-MIN(MAX(AA703,0),MAX(0,W671-IF($A704&gt;='1-Input'!$C$12,'1-Input'!$B$12,0))))*(1/(1-'P-Parametri'!$B$6*W704))),MAX(0,0*W671-(AA703-MIN(MAX(AA703,0),MAX(0,W671-IF($A704&gt;='1-Input'!$C$12,'1-Input'!$B$12,0)))))*(1/(1-'P-Parametri'!$B$6*W704))))</f>
        <v>11876.989575967138</v>
      </c>
      <c r="Y704" s="18">
        <f>IF($A704&gt;'1-Input'!$B$26,AA703,(AA703-MAX(0,W671-IF($A704&gt;='1-Input'!$C$12,'1-Input'!$B$12,0))+X704*(1-'P-Parametri'!$B$6*W704))*(1+'1-Input'!$B$27))</f>
        <v>0</v>
      </c>
      <c r="Z704" s="18">
        <f>IF($A704&gt;'1-Input'!$B$26,AB703,(AB703-X704)*(1+$D$4))</f>
        <v>134858.59327339978</v>
      </c>
      <c r="AA704" s="18">
        <f>IF($A704&gt;'1-Input'!$B$26,Y704,Y704-'P-Parametri'!$B$8*(Z704+Y704)+MIN(MAX(Z704,0),'P-Parametri'!$B$8*(Z704+Y704)))</f>
        <v>0</v>
      </c>
      <c r="AB704" s="18">
        <f>IF($A704&gt;'1-Input'!$B$26,Z704,Z704-MIN(MAX(Z704,0),'P-Parametri'!$B$8*(Z704+Y704)))</f>
        <v>134588.87608685298</v>
      </c>
      <c r="AC704" s="18">
        <f>IF($A704&gt;'1-Input'!$B$26,AC703,AC703-X704*(1-W704))</f>
        <v>33269.585109091619</v>
      </c>
      <c r="AD704" s="11">
        <f>IF($A704&gt;'1-Input'!$B$26,0,IF(AI703&lt;=0,0,MAX(0,(AI703-AJ703)/AI703)))</f>
        <v>0.74343223020790583</v>
      </c>
      <c r="AE704" s="18">
        <f>IF($A704&gt;'1-Input'!$B$26,0,(MAX(0,AD671-IF($A704&gt;='1-Input'!$C$12,'1-Input'!$B$12,0))-MIN(MAX(AH703,0),MAX(0,AD671-IF($A704&gt;='1-Input'!$C$12,'1-Input'!$B$12,0))))*(1/(1-'P-Parametri'!$B$6*AD704))+MIN(MAX(0,AI703-(MAX(0,AD671-IF($A704&gt;='1-Input'!$C$12,'1-Input'!$B$12,0))-MIN(MAX(AH703,0),MAX(0,AD671-IF($A704&gt;='1-Input'!$C$12,'1-Input'!$B$12,0))))*(1/(1-'P-Parametri'!$B$6*AD704))),MAX(0,0*AD671-(AH703-MIN(MAX(AH703,0),MAX(0,AD671-IF($A704&gt;='1-Input'!$C$12,'1-Input'!$B$12,0)))))*(1/(1-'P-Parametri'!$B$6*AD704))))</f>
        <v>11879.488129023874</v>
      </c>
      <c r="AF704" s="18">
        <f>IF($A704&gt;'1-Input'!$B$26,AH703,(AH703-MAX(0,AD671-IF($A704&gt;='1-Input'!$C$12,'1-Input'!$B$12,0))+AE704*(1-'P-Parametri'!$B$6*AD704))*(1+'1-Input'!$B$27))</f>
        <v>0</v>
      </c>
      <c r="AG704" s="18">
        <f>IF($A704&gt;'1-Input'!$B$26,AI703,(AI703-AE704)*(1+$D$4))</f>
        <v>134721.42318350394</v>
      </c>
      <c r="AH704" s="18">
        <f>IF($A704&gt;'1-Input'!$B$26,AF704,AF704-'P-Parametri'!$B$8*(AG704+AF704)+MIN(MAX(AG704,0),'P-Parametri'!$B$8*(AG704+AF704)))</f>
        <v>0</v>
      </c>
      <c r="AI704" s="18">
        <f>IF($A704&gt;'1-Input'!$B$26,AG704,AG704-MIN(MAX(AG704,0),'P-Parametri'!$B$8*(AG704+AF704)))</f>
        <v>134451.98033713692</v>
      </c>
      <c r="AJ704" s="18">
        <f>IF($A704&gt;'1-Input'!$B$26,AJ703,AJ703-AE704*(1-AD704))</f>
        <v>33235.745278277434</v>
      </c>
      <c r="AK704" s="11">
        <f>IF($A704&gt;'1-Input'!$B$26,0,IF(AP703&lt;=0,0,MAX(0,(AP703-AQ703)/AP703)))</f>
        <v>0.74343223020790616</v>
      </c>
      <c r="AL704" s="18">
        <f>IF($A704&gt;'1-Input'!$B$26,0,(MAX(0,AK671-IF($A704&gt;='1-Input'!$C$12,'1-Input'!$B$12,0))-MIN(MAX(AO703,0),MAX(0,AK671-IF($A704&gt;='1-Input'!$C$12,'1-Input'!$B$12,0))))*(1/(1-'P-Parametri'!$B$6*AK704))+MIN(MAX(0,AP703-(MAX(0,AK671-IF($A704&gt;='1-Input'!$C$12,'1-Input'!$B$12,0))-MIN(MAX(AO703,0),MAX(0,AK671-IF($A704&gt;='1-Input'!$C$12,'1-Input'!$B$12,0))))*(1/(1-'P-Parametri'!$B$6*AK704))),MAX(0,0*AK671-(AO703-MIN(MAX(AO703,0),MAX(0,AK671-IF($A704&gt;='1-Input'!$C$12,'1-Input'!$B$12,0)))))*(1/(1-'P-Parametri'!$B$6*AK704))))</f>
        <v>11878.98754653506</v>
      </c>
      <c r="AM704" s="18">
        <f>IF($A704&gt;'1-Input'!$B$26,AO703,(AO703-MAX(0,AK671-IF($A704&gt;='1-Input'!$C$12,'1-Input'!$B$12,0))+AL704*(1-'P-Parametri'!$B$6*AK704))*(1+'1-Input'!$B$27))</f>
        <v>0</v>
      </c>
      <c r="AN704" s="18">
        <f>IF($A704&gt;'1-Input'!$B$26,AP703,(AP703-AL704)*(1+$D$4))</f>
        <v>134748.90506739152</v>
      </c>
      <c r="AO704" s="18">
        <f>IF($A704&gt;'1-Input'!$B$26,AM704,AM704-'P-Parametri'!$B$8*(AN704+AM704)+MIN(MAX(AN704,0),'P-Parametri'!$B$8*(AN704+AM704)))</f>
        <v>0</v>
      </c>
      <c r="AP704" s="18">
        <f>IF($A704&gt;'1-Input'!$B$26,AN704,AN704-MIN(MAX(AN704,0),'P-Parametri'!$B$8*(AN704+AM704)))</f>
        <v>134479.40725725674</v>
      </c>
      <c r="AQ704" s="18">
        <f>IF($A704&gt;'1-Input'!$B$26,AQ703,AQ703-AL704*(1-AK704))</f>
        <v>33242.525052949255</v>
      </c>
    </row>
    <row r="705" spans="1:43">
      <c r="A705" s="10">
        <f>32</f>
        <v>32</v>
      </c>
      <c r="B705" s="11">
        <f>IF($A705&gt;'1-Input'!$B$26,0,IF(G704&lt;=0,0,MAX(0,(G704-H704)/G704)))</f>
        <v>0.75280583301979542</v>
      </c>
      <c r="C705" s="18">
        <f>IF($A705&gt;'1-Input'!$B$26,0,(MAX(0,B671-IF($A705&gt;='1-Input'!$C$12,'1-Input'!$B$12,0))-MIN(MAX(F704,0),MAX(0,B671-IF($A705&gt;='1-Input'!$C$12,'1-Input'!$B$12,0))))*(1/(1-'P-Parametri'!$B$6*B705))+MIN(MAX(0,G704-(MAX(0,B671-IF($A705&gt;='1-Input'!$C$12,'1-Input'!$B$12,0))-MIN(MAX(F704,0),MAX(0,B671-IF($A705&gt;='1-Input'!$C$12,'1-Input'!$B$12,0))))*(1/(1-'P-Parametri'!$B$6*B705))),MAX(0,0*B671-(F704-MIN(MAX(F704,0),MAX(0,B671-IF($A705&gt;='1-Input'!$C$12,'1-Input'!$B$12,0)))))*(1/(1-'P-Parametri'!$B$6*B705))))</f>
        <v>6936.7898358493576</v>
      </c>
      <c r="D705" s="18">
        <f>IF($A705&gt;'1-Input'!$B$26,F704,(F704-MAX(0,B671-IF($A705&gt;='1-Input'!$C$12,'1-Input'!$B$12,0))+C705*(1-'P-Parametri'!$B$6*B705))*(1+'1-Input'!$B$27))</f>
        <v>0</v>
      </c>
      <c r="E705" s="18">
        <f>IF($A705&gt;'1-Input'!$B$26,G704,(G704-C705)*(1+$D$4))</f>
        <v>415452.85707234812</v>
      </c>
      <c r="F705" s="18">
        <f>IF($A705&gt;'1-Input'!$B$26,D705,D705-'P-Parametri'!$B$8*(E705+D705)+MIN(MAX(E705,0),'P-Parametri'!$B$8*(E705+D705)))</f>
        <v>0</v>
      </c>
      <c r="G705" s="18">
        <f>IF($A705&gt;'1-Input'!$B$26,E705,E705-MIN(MAX(E705,0),'P-Parametri'!$B$8*(E705+D705)))</f>
        <v>414621.95135820343</v>
      </c>
      <c r="H705" s="18">
        <f>IF($A705&gt;'1-Input'!$B$26,H704,H704-C705*(1-B705))</f>
        <v>98747.618195716481</v>
      </c>
      <c r="I705" s="11">
        <f>IF($A705&gt;'1-Input'!$B$26,0,IF(N704&lt;=0,0,MAX(0,(N704-O704)/N704)))</f>
        <v>0.75280583301979531</v>
      </c>
      <c r="J705" s="18">
        <f>IF($A705&gt;'1-Input'!$B$26,0,(MAX(0,I671-IF($A705&gt;='1-Input'!$C$12,'1-Input'!$B$12,0))-MIN(MAX(M704,0),MAX(0,I671-IF($A705&gt;='1-Input'!$C$12,'1-Input'!$B$12,0))))*(1/(1-'P-Parametri'!$B$6*I705))+MIN(MAX(0,N704-(MAX(0,I671-IF($A705&gt;='1-Input'!$C$12,'1-Input'!$B$12,0))-MIN(MAX(M704,0),MAX(0,I671-IF($A705&gt;='1-Input'!$C$12,'1-Input'!$B$12,0))))*(1/(1-'P-Parametri'!$B$6*I705))),MAX(0,0*I671-(M704-MIN(MAX(M704,0),MAX(0,I671-IF($A705&gt;='1-Input'!$C$12,'1-Input'!$B$12,0)))))*(1/(1-'P-Parametri'!$B$6*I705))))</f>
        <v>13486.454142733712</v>
      </c>
      <c r="K705" s="18">
        <f>IF($A705&gt;'1-Input'!$B$26,M704,(M704-MAX(0,I671-IF($A705&gt;='1-Input'!$C$12,'1-Input'!$B$12,0))+J705*(1-'P-Parametri'!$B$6*I705))*(1+'1-Input'!$B$27))</f>
        <v>0</v>
      </c>
      <c r="L705" s="18">
        <f>IF($A705&gt;'1-Input'!$B$26,N704,(N704-J705)*(1+$D$4))</f>
        <v>36558.281384303096</v>
      </c>
      <c r="M705" s="18">
        <f>IF($A705&gt;'1-Input'!$B$26,K705,K705-'P-Parametri'!$B$8*(L705+K705)+MIN(MAX(L705,0),'P-Parametri'!$B$8*(L705+K705)))</f>
        <v>0</v>
      </c>
      <c r="N705" s="18">
        <f>IF($A705&gt;'1-Input'!$B$26,L705,L705-MIN(MAX(L705,0),'P-Parametri'!$B$8*(L705+K705)))</f>
        <v>36485.16482153449</v>
      </c>
      <c r="O705" s="18">
        <f>IF($A705&gt;'1-Input'!$B$26,O704,O704-J705*(1-I705))</f>
        <v>8689.4172240583903</v>
      </c>
      <c r="P705" s="11">
        <f>IF($A705&gt;'1-Input'!$B$26,0,IF(U704&lt;=0,0,MAX(0,(U704-V704)/U704)))</f>
        <v>0.75280583301979531</v>
      </c>
      <c r="Q705" s="18">
        <f>IF($A705&gt;'1-Input'!$B$26,0,(MAX(0,P671-IF($A705&gt;='1-Input'!$C$12,'1-Input'!$B$12,0))-MIN(MAX(T704,0),MAX(0,P671-IF($A705&gt;='1-Input'!$C$12,'1-Input'!$B$12,0))))*(1/(1-'P-Parametri'!$B$6*P705))+MIN(MAX(0,U704-(MAX(0,P671-IF($A705&gt;='1-Input'!$C$12,'1-Input'!$B$12,0))-MIN(MAX(T704,0),MAX(0,P671-IF($A705&gt;='1-Input'!$C$12,'1-Input'!$B$12,0))))*(1/(1-'P-Parametri'!$B$6*P705))),MAX(0,0*P671-(T704-MIN(MAX(T704,0),MAX(0,P671-IF($A705&gt;='1-Input'!$C$12,'1-Input'!$B$12,0)))))*(1/(1-'P-Parametri'!$B$6*P705))))</f>
        <v>12175.129449009904</v>
      </c>
      <c r="R705" s="18">
        <f>IF($A705&gt;'1-Input'!$B$26,T704,(T704-MAX(0,P671-IF($A705&gt;='1-Input'!$C$12,'1-Input'!$B$12,0))+Q705*(1-'P-Parametri'!$B$6*P705))*(1+'1-Input'!$B$27))</f>
        <v>0</v>
      </c>
      <c r="S705" s="18">
        <f>IF($A705&gt;'1-Input'!$B$26,U704,(U704-Q705)*(1+$D$4))</f>
        <v>112417.7132784681</v>
      </c>
      <c r="T705" s="18">
        <f>IF($A705&gt;'1-Input'!$B$26,R705,R705-'P-Parametri'!$B$8*(S705+R705)+MIN(MAX(S705,0),'P-Parametri'!$B$8*(S705+R705)))</f>
        <v>0</v>
      </c>
      <c r="U705" s="18">
        <f>IF($A705&gt;'1-Input'!$B$26,S705,S705-MIN(MAX(S705,0),'P-Parametri'!$B$8*(S705+R705)))</f>
        <v>112192.87785191117</v>
      </c>
      <c r="V705" s="18">
        <f>IF($A705&gt;'1-Input'!$B$26,V704,V704-Q705*(1-P705))</f>
        <v>26720.195180471543</v>
      </c>
      <c r="W705" s="11">
        <f>IF($A705&gt;'1-Input'!$B$26,0,IF(AB704&lt;=0,0,MAX(0,(AB704-AC704)/AB704)))</f>
        <v>0.7528058330197952</v>
      </c>
      <c r="X705" s="18">
        <f>IF($A705&gt;'1-Input'!$B$26,0,(MAX(0,W671-IF($A705&gt;='1-Input'!$C$12,'1-Input'!$B$12,0))-MIN(MAX(AA704,0),MAX(0,W671-IF($A705&gt;='1-Input'!$C$12,'1-Input'!$B$12,0))))*(1/(1-'P-Parametri'!$B$6*W705))+MIN(MAX(0,AB704-(MAX(0,W671-IF($A705&gt;='1-Input'!$C$12,'1-Input'!$B$12,0))-MIN(MAX(AA704,0),MAX(0,W671-IF($A705&gt;='1-Input'!$C$12,'1-Input'!$B$12,0))))*(1/(1-'P-Parametri'!$B$6*W705))),MAX(0,0*W671-(AA704-MIN(MAX(AA704,0),MAX(0,W671-IF($A705&gt;='1-Input'!$C$12,'1-Input'!$B$12,0)))))*(1/(1-'P-Parametri'!$B$6*W705))))</f>
        <v>11912.97976601797</v>
      </c>
      <c r="Y705" s="18">
        <f>IF($A705&gt;'1-Input'!$B$26,AA704,(AA704-MAX(0,W671-IF($A705&gt;='1-Input'!$C$12,'1-Input'!$B$12,0))+X705*(1-'P-Parametri'!$B$6*W705))*(1+'1-Input'!$B$27))</f>
        <v>0</v>
      </c>
      <c r="Z705" s="18">
        <f>IF($A705&gt;'1-Input'!$B$26,AB704,(AB704-X705)*(1+$D$4))</f>
        <v>127582.93217366841</v>
      </c>
      <c r="AA705" s="18">
        <f>IF($A705&gt;'1-Input'!$B$26,Y705,Y705-'P-Parametri'!$B$8*(Z705+Y705)+MIN(MAX(Z705,0),'P-Parametri'!$B$8*(Z705+Y705)))</f>
        <v>0</v>
      </c>
      <c r="AB705" s="18">
        <f>IF($A705&gt;'1-Input'!$B$26,Z705,Z705-MIN(MAX(Z705,0),'P-Parametri'!$B$8*(Z705+Y705)))</f>
        <v>127327.76630932107</v>
      </c>
      <c r="AC705" s="18">
        <f>IF($A705&gt;'1-Input'!$B$26,AC704,AC704-X705*(1-W705))</f>
        <v>30324.765999578773</v>
      </c>
      <c r="AD705" s="11">
        <f>IF($A705&gt;'1-Input'!$B$26,0,IF(AI704&lt;=0,0,MAX(0,(AI704-AJ704)/AI704)))</f>
        <v>0.7528058330197952</v>
      </c>
      <c r="AE705" s="18">
        <f>IF($A705&gt;'1-Input'!$B$26,0,(MAX(0,AD671-IF($A705&gt;='1-Input'!$C$12,'1-Input'!$B$12,0))-MIN(MAX(AH704,0),MAX(0,AD671-IF($A705&gt;='1-Input'!$C$12,'1-Input'!$B$12,0))))*(1/(1-'P-Parametri'!$B$6*AD705))+MIN(MAX(0,AI704-(MAX(0,AD671-IF($A705&gt;='1-Input'!$C$12,'1-Input'!$B$12,0))-MIN(MAX(AH704,0),MAX(0,AD671-IF($A705&gt;='1-Input'!$C$12,'1-Input'!$B$12,0))))*(1/(1-'P-Parametri'!$B$6*AD705))),MAX(0,0*AD671-(AH704-MIN(MAX(AH704,0),MAX(0,AD671-IF($A705&gt;='1-Input'!$C$12,'1-Input'!$B$12,0)))))*(1/(1-'P-Parametri'!$B$6*AD705))))</f>
        <v>11915.485890302987</v>
      </c>
      <c r="AF705" s="18">
        <f>IF($A705&gt;'1-Input'!$B$26,AH704,(AH704-MAX(0,AD671-IF($A705&gt;='1-Input'!$C$12,'1-Input'!$B$12,0))+AE705*(1-'P-Parametri'!$B$6*AD705))*(1+'1-Input'!$B$27))</f>
        <v>0</v>
      </c>
      <c r="AG705" s="18">
        <f>IF($A705&gt;'1-Input'!$B$26,AI704,(AI704-AE705)*(1+$D$4))</f>
        <v>127437.9542247073</v>
      </c>
      <c r="AH705" s="18">
        <f>IF($A705&gt;'1-Input'!$B$26,AF705,AF705-'P-Parametri'!$B$8*(AG705+AF705)+MIN(MAX(AG705,0),'P-Parametri'!$B$8*(AG705+AF705)))</f>
        <v>0</v>
      </c>
      <c r="AI705" s="18">
        <f>IF($A705&gt;'1-Input'!$B$26,AG705,AG705-MIN(MAX(AG705,0),'P-Parametri'!$B$8*(AG705+AF705)))</f>
        <v>127183.07831625789</v>
      </c>
      <c r="AJ705" s="18">
        <f>IF($A705&gt;'1-Input'!$B$26,AJ704,AJ704-AE705*(1-AD705))</f>
        <v>30290.306669459605</v>
      </c>
      <c r="AK705" s="11">
        <f>IF($A705&gt;'1-Input'!$B$26,0,IF(AP704&lt;=0,0,MAX(0,(AP704-AQ704)/AP704)))</f>
        <v>0.75280583301979542</v>
      </c>
      <c r="AL705" s="18">
        <f>IF($A705&gt;'1-Input'!$B$26,0,(MAX(0,AK671-IF($A705&gt;='1-Input'!$C$12,'1-Input'!$B$12,0))-MIN(MAX(AO704,0),MAX(0,AK671-IF($A705&gt;='1-Input'!$C$12,'1-Input'!$B$12,0))))*(1/(1-'P-Parametri'!$B$6*AK705))+MIN(MAX(0,AP704-(MAX(0,AK671-IF($A705&gt;='1-Input'!$C$12,'1-Input'!$B$12,0))-MIN(MAX(AO704,0),MAX(0,AK671-IF($A705&gt;='1-Input'!$C$12,'1-Input'!$B$12,0))))*(1/(1-'P-Parametri'!$B$6*AK705))),MAX(0,0*AK671-(AO704-MIN(MAX(AO704,0),MAX(0,AK671-IF($A705&gt;='1-Input'!$C$12,'1-Input'!$B$12,0)))))*(1/(1-'P-Parametri'!$B$6*AK705))))</f>
        <v>11914.983790926517</v>
      </c>
      <c r="AM705" s="18">
        <f>IF($A705&gt;'1-Input'!$B$26,AO704,(AO704-MAX(0,AK671-IF($A705&gt;='1-Input'!$C$12,'1-Input'!$B$12,0))+AL705*(1-'P-Parametri'!$B$6*AK705))*(1+'1-Input'!$B$27))</f>
        <v>0</v>
      </c>
      <c r="AN705" s="18">
        <f>IF($A705&gt;'1-Input'!$B$26,AP704,(AP704-AL705)*(1+$D$4))</f>
        <v>127467.00040498344</v>
      </c>
      <c r="AO705" s="18">
        <f>IF($A705&gt;'1-Input'!$B$26,AM705,AM705-'P-Parametri'!$B$8*(AN705+AM705)+MIN(MAX(AN705,0),'P-Parametri'!$B$8*(AN705+AM705)))</f>
        <v>0</v>
      </c>
      <c r="AP705" s="18">
        <f>IF($A705&gt;'1-Input'!$B$26,AN705,AN705-MIN(MAX(AN705,0),'P-Parametri'!$B$8*(AN705+AM705)))</f>
        <v>127212.06640417347</v>
      </c>
      <c r="AQ705" s="18">
        <f>IF($A705&gt;'1-Input'!$B$26,AQ704,AQ704-AL705*(1-AK705))</f>
        <v>30297.210560168536</v>
      </c>
    </row>
    <row r="706" spans="1:43">
      <c r="A706" s="10">
        <f>33</f>
        <v>33</v>
      </c>
      <c r="B706" s="11">
        <f>IF($A706&gt;'1-Input'!$B$26,0,IF(G705&lt;=0,0,MAX(0,(G705-H705)/G705)))</f>
        <v>0.76183697493043334</v>
      </c>
      <c r="C706" s="18">
        <f>IF($A706&gt;'1-Input'!$B$26,0,(MAX(0,B671-IF($A706&gt;='1-Input'!$C$12,'1-Input'!$B$12,0))-MIN(MAX(F705,0),MAX(0,B671-IF($A706&gt;='1-Input'!$C$12,'1-Input'!$B$12,0))))*(1/(1-'P-Parametri'!$B$6*B706))+MIN(MAX(0,G705-(MAX(0,B671-IF($A706&gt;='1-Input'!$C$12,'1-Input'!$B$12,0))-MIN(MAX(F705,0),MAX(0,B671-IF($A706&gt;='1-Input'!$C$12,'1-Input'!$B$12,0))))*(1/(1-'P-Parametri'!$B$6*B706))),MAX(0,0*B671-(F705-MIN(MAX(F705,0),MAX(0,B671-IF($A706&gt;='1-Input'!$C$12,'1-Input'!$B$12,0)))))*(1/(1-'P-Parametri'!$B$6*B706))))</f>
        <v>6957.1013459916257</v>
      </c>
      <c r="D706" s="18">
        <f>IF($A706&gt;'1-Input'!$B$26,F705,(F705-MAX(0,B671-IF($A706&gt;='1-Input'!$C$12,'1-Input'!$B$12,0))+C706*(1-'P-Parametri'!$B$6*B706))*(1+'1-Input'!$B$27))</f>
        <v>0</v>
      </c>
      <c r="E706" s="18">
        <f>IF($A706&gt;'1-Input'!$B$26,G705,(G705-C706)*(1+$D$4))</f>
        <v>423971.44401270029</v>
      </c>
      <c r="F706" s="18">
        <f>IF($A706&gt;'1-Input'!$B$26,D706,D706-'P-Parametri'!$B$8*(E706+D706)+MIN(MAX(E706,0),'P-Parametri'!$B$8*(E706+D706)))</f>
        <v>0</v>
      </c>
      <c r="G706" s="18">
        <f>IF($A706&gt;'1-Input'!$B$26,E706,E706-MIN(MAX(E706,0),'P-Parametri'!$B$8*(E706+D706)))</f>
        <v>423123.50112467486</v>
      </c>
      <c r="H706" s="18">
        <f>IF($A706&gt;'1-Input'!$B$26,H705,H705-C706*(1-B706))</f>
        <v>97090.693893439558</v>
      </c>
      <c r="I706" s="11">
        <f>IF($A706&gt;'1-Input'!$B$26,0,IF(N705&lt;=0,0,MAX(0,(N705-O705)/N705)))</f>
        <v>0.76183697493043334</v>
      </c>
      <c r="J706" s="18">
        <f>IF($A706&gt;'1-Input'!$B$26,0,(MAX(0,I671-IF($A706&gt;='1-Input'!$C$12,'1-Input'!$B$12,0))-MIN(MAX(M705,0),MAX(0,I671-IF($A706&gt;='1-Input'!$C$12,'1-Input'!$B$12,0))))*(1/(1-'P-Parametri'!$B$6*I706))+MIN(MAX(0,N705-(MAX(0,I671-IF($A706&gt;='1-Input'!$C$12,'1-Input'!$B$12,0))-MIN(MAX(M705,0),MAX(0,I671-IF($A706&gt;='1-Input'!$C$12,'1-Input'!$B$12,0))))*(1/(1-'P-Parametri'!$B$6*I706))),MAX(0,0*I671-(M705-MIN(MAX(M705,0),MAX(0,I671-IF($A706&gt;='1-Input'!$C$12,'1-Input'!$B$12,0)))))*(1/(1-'P-Parametri'!$B$6*I706))))</f>
        <v>13525.943626570703</v>
      </c>
      <c r="K706" s="18">
        <f>IF($A706&gt;'1-Input'!$B$26,M705,(M705-MAX(0,I671-IF($A706&gt;='1-Input'!$C$12,'1-Input'!$B$12,0))+J706*(1-'P-Parametri'!$B$6*I706))*(1+'1-Input'!$B$27))</f>
        <v>0</v>
      </c>
      <c r="L706" s="18">
        <f>IF($A706&gt;'1-Input'!$B$26,N705,(N705-J706)*(1+$D$4))</f>
        <v>23877.590042762338</v>
      </c>
      <c r="M706" s="18">
        <f>IF($A706&gt;'1-Input'!$B$26,K706,K706-'P-Parametri'!$B$8*(L706+K706)+MIN(MAX(L706,0),'P-Parametri'!$B$8*(L706+K706)))</f>
        <v>0</v>
      </c>
      <c r="N706" s="18">
        <f>IF($A706&gt;'1-Input'!$B$26,L706,L706-MIN(MAX(L706,0),'P-Parametri'!$B$8*(L706+K706)))</f>
        <v>23829.834862676813</v>
      </c>
      <c r="O706" s="18">
        <f>IF($A706&gt;'1-Input'!$B$26,O705,O705-J706*(1-I706))</f>
        <v>5468.0375730338865</v>
      </c>
      <c r="P706" s="11">
        <f>IF($A706&gt;'1-Input'!$B$26,0,IF(U705&lt;=0,0,MAX(0,(U705-V705)/U705)))</f>
        <v>0.76183697493043345</v>
      </c>
      <c r="Q706" s="18">
        <f>IF($A706&gt;'1-Input'!$B$26,0,(MAX(0,P671-IF($A706&gt;='1-Input'!$C$12,'1-Input'!$B$12,0))-MIN(MAX(T705,0),MAX(0,P671-IF($A706&gt;='1-Input'!$C$12,'1-Input'!$B$12,0))))*(1/(1-'P-Parametri'!$B$6*P706))+MIN(MAX(0,U705-(MAX(0,P671-IF($A706&gt;='1-Input'!$C$12,'1-Input'!$B$12,0))-MIN(MAX(T705,0),MAX(0,P671-IF($A706&gt;='1-Input'!$C$12,'1-Input'!$B$12,0))))*(1/(1-'P-Parametri'!$B$6*P706))),MAX(0,0*P671-(T705-MIN(MAX(T705,0),MAX(0,P671-IF($A706&gt;='1-Input'!$C$12,'1-Input'!$B$12,0)))))*(1/(1-'P-Parametri'!$B$6*P706))))</f>
        <v>12210.779262704558</v>
      </c>
      <c r="R706" s="18">
        <f>IF($A706&gt;'1-Input'!$B$26,T705,(T705-MAX(0,P671-IF($A706&gt;='1-Input'!$C$12,'1-Input'!$B$12,0))+Q706*(1-'P-Parametri'!$B$6*P706))*(1+'1-Input'!$B$27))</f>
        <v>0</v>
      </c>
      <c r="S706" s="18">
        <f>IF($A706&gt;'1-Input'!$B$26,U705,(U705-Q706)*(1+$D$4))</f>
        <v>103981.38253277488</v>
      </c>
      <c r="T706" s="18">
        <f>IF($A706&gt;'1-Input'!$B$26,R706,R706-'P-Parametri'!$B$8*(S706+R706)+MIN(MAX(S706,0),'P-Parametri'!$B$8*(S706+R706)))</f>
        <v>0</v>
      </c>
      <c r="U706" s="18">
        <f>IF($A706&gt;'1-Input'!$B$26,S706,S706-MIN(MAX(S706,0),'P-Parametri'!$B$8*(S706+R706)))</f>
        <v>103773.41976770933</v>
      </c>
      <c r="V706" s="18">
        <f>IF($A706&gt;'1-Input'!$B$26,V705,V705-Q706*(1-P706))</f>
        <v>23812.039052809094</v>
      </c>
      <c r="W706" s="11">
        <f>IF($A706&gt;'1-Input'!$B$26,0,IF(AB705&lt;=0,0,MAX(0,(AB705-AC705)/AB705)))</f>
        <v>0.76183697493043323</v>
      </c>
      <c r="X706" s="18">
        <f>IF($A706&gt;'1-Input'!$B$26,0,(MAX(0,W671-IF($A706&gt;='1-Input'!$C$12,'1-Input'!$B$12,0))-MIN(MAX(AA705,0),MAX(0,W671-IF($A706&gt;='1-Input'!$C$12,'1-Input'!$B$12,0))))*(1/(1-'P-Parametri'!$B$6*W706))+MIN(MAX(0,AB705-(MAX(0,W671-IF($A706&gt;='1-Input'!$C$12,'1-Input'!$B$12,0))-MIN(MAX(AA705,0),MAX(0,W671-IF($A706&gt;='1-Input'!$C$12,'1-Input'!$B$12,0))))*(1/(1-'P-Parametri'!$B$6*W706))),MAX(0,0*W671-(AA705-MIN(MAX(AA705,0),MAX(0,W671-IF($A706&gt;='1-Input'!$C$12,'1-Input'!$B$12,0)))))*(1/(1-'P-Parametri'!$B$6*W706))))</f>
        <v>11947.861983162798</v>
      </c>
      <c r="Y706" s="18">
        <f>IF($A706&gt;'1-Input'!$B$26,AA705,(AA705-MAX(0,W671-IF($A706&gt;='1-Input'!$C$12,'1-Input'!$B$12,0))+X706*(1-'P-Parametri'!$B$6*W706))*(1+'1-Input'!$B$27))</f>
        <v>0</v>
      </c>
      <c r="Z706" s="18">
        <f>IF($A706&gt;'1-Input'!$B$26,AB705,(AB705-X706)*(1+$D$4))</f>
        <v>119995.10049920461</v>
      </c>
      <c r="AA706" s="18">
        <f>IF($A706&gt;'1-Input'!$B$26,Y706,Y706-'P-Parametri'!$B$8*(Z706+Y706)+MIN(MAX(Z706,0),'P-Parametri'!$B$8*(Z706+Y706)))</f>
        <v>0</v>
      </c>
      <c r="AB706" s="18">
        <f>IF($A706&gt;'1-Input'!$B$26,Z706,Z706-MIN(MAX(Z706,0),'P-Parametri'!$B$8*(Z706+Y706)))</f>
        <v>119755.1102982062</v>
      </c>
      <c r="AC706" s="18">
        <f>IF($A706&gt;'1-Input'!$B$26,AC705,AC705-X706*(1-W706))</f>
        <v>27479.227046555046</v>
      </c>
      <c r="AD706" s="11">
        <f>IF($A706&gt;'1-Input'!$B$26,0,IF(AI705&lt;=0,0,MAX(0,(AI705-AJ705)/AI705)))</f>
        <v>0.76183697493043323</v>
      </c>
      <c r="AE706" s="18">
        <f>IF($A706&gt;'1-Input'!$B$26,0,(MAX(0,AD671-IF($A706&gt;='1-Input'!$C$12,'1-Input'!$B$12,0))-MIN(MAX(AH705,0),MAX(0,AD671-IF($A706&gt;='1-Input'!$C$12,'1-Input'!$B$12,0))))*(1/(1-'P-Parametri'!$B$6*AD706))+MIN(MAX(0,AI705-(MAX(0,AD671-IF($A706&gt;='1-Input'!$C$12,'1-Input'!$B$12,0))-MIN(MAX(AH705,0),MAX(0,AD671-IF($A706&gt;='1-Input'!$C$12,'1-Input'!$B$12,0))))*(1/(1-'P-Parametri'!$B$6*AD706))),MAX(0,0*AD671-(AH705-MIN(MAX(AH705,0),MAX(0,AD671-IF($A706&gt;='1-Input'!$C$12,'1-Input'!$B$12,0)))))*(1/(1-'P-Parametri'!$B$6*AD706))))</f>
        <v>11950.375445592697</v>
      </c>
      <c r="AF706" s="18">
        <f>IF($A706&gt;'1-Input'!$B$26,AH705,(AH705-MAX(0,AD671-IF($A706&gt;='1-Input'!$C$12,'1-Input'!$B$12,0))+AE706*(1-'P-Parametri'!$B$6*AD706))*(1+'1-Input'!$B$27))</f>
        <v>0</v>
      </c>
      <c r="AG706" s="18">
        <f>IF($A706&gt;'1-Input'!$B$26,AI705,(AI705-AE706)*(1+$D$4))</f>
        <v>119842.0109854918</v>
      </c>
      <c r="AH706" s="18">
        <f>IF($A706&gt;'1-Input'!$B$26,AF706,AF706-'P-Parametri'!$B$8*(AG706+AF706)+MIN(MAX(AG706,0),'P-Parametri'!$B$8*(AG706+AF706)))</f>
        <v>0</v>
      </c>
      <c r="AI706" s="18">
        <f>IF($A706&gt;'1-Input'!$B$26,AG706,AG706-MIN(MAX(AG706,0),'P-Parametri'!$B$8*(AG706+AF706)))</f>
        <v>119602.32696352081</v>
      </c>
      <c r="AJ706" s="18">
        <f>IF($A706&gt;'1-Input'!$B$26,AJ705,AJ705-AE706*(1-AD706))</f>
        <v>27444.169102620177</v>
      </c>
      <c r="AK706" s="11">
        <f>IF($A706&gt;'1-Input'!$B$26,0,IF(AP705&lt;=0,0,MAX(0,(AP705-AQ705)/AP705)))</f>
        <v>0.76183697493043345</v>
      </c>
      <c r="AL706" s="18">
        <f>IF($A706&gt;'1-Input'!$B$26,0,(MAX(0,AK671-IF($A706&gt;='1-Input'!$C$12,'1-Input'!$B$12,0))-MIN(MAX(AO705,0),MAX(0,AK671-IF($A706&gt;='1-Input'!$C$12,'1-Input'!$B$12,0))))*(1/(1-'P-Parametri'!$B$6*AK706))+MIN(MAX(0,AP705-(MAX(0,AK671-IF($A706&gt;='1-Input'!$C$12,'1-Input'!$B$12,0))-MIN(MAX(AO705,0),MAX(0,AK671-IF($A706&gt;='1-Input'!$C$12,'1-Input'!$B$12,0))))*(1/(1-'P-Parametri'!$B$6*AK706))),MAX(0,0*AK671-(AO705-MIN(MAX(AO705,0),MAX(0,AK671-IF($A706&gt;='1-Input'!$C$12,'1-Input'!$B$12,0)))))*(1/(1-'P-Parametri'!$B$6*AK706))))</f>
        <v>11949.87187602658</v>
      </c>
      <c r="AM706" s="18">
        <f>IF($A706&gt;'1-Input'!$B$26,AO705,(AO705-MAX(0,AK671-IF($A706&gt;='1-Input'!$C$12,'1-Input'!$B$12,0))+AL706*(1-'P-Parametri'!$B$6*AK706))*(1+'1-Input'!$B$27))</f>
        <v>0</v>
      </c>
      <c r="AN706" s="18">
        <f>IF($A706&gt;'1-Input'!$B$26,AP705,(AP705-AL706)*(1+$D$4))</f>
        <v>119872.68230927277</v>
      </c>
      <c r="AO706" s="18">
        <f>IF($A706&gt;'1-Input'!$B$26,AM706,AM706-'P-Parametri'!$B$8*(AN706+AM706)+MIN(MAX(AN706,0),'P-Parametri'!$B$8*(AN706+AM706)))</f>
        <v>0</v>
      </c>
      <c r="AP706" s="18">
        <f>IF($A706&gt;'1-Input'!$B$26,AN706,AN706-MIN(MAX(AN706,0),'P-Parametri'!$B$8*(AN706+AM706)))</f>
        <v>119632.93694465423</v>
      </c>
      <c r="AQ706" s="18">
        <f>IF($A706&gt;'1-Input'!$B$26,AQ705,AQ705-AL706*(1-AK706))</f>
        <v>27451.192924980311</v>
      </c>
    </row>
    <row r="707" spans="1:43">
      <c r="A707" s="10">
        <f>34</f>
        <v>34</v>
      </c>
      <c r="B707" s="11">
        <f>IF($A707&gt;'1-Input'!$B$26,0,IF(G706&lt;=0,0,MAX(0,(G706-H706)/G706)))</f>
        <v>0.77053816761449179</v>
      </c>
      <c r="C707" s="18">
        <f>IF($A707&gt;'1-Input'!$B$26,0,(MAX(0,B671-IF($A707&gt;='1-Input'!$C$12,'1-Input'!$B$12,0))-MIN(MAX(F706,0),MAX(0,B671-IF($A707&gt;='1-Input'!$C$12,'1-Input'!$B$12,0))))*(1/(1-'P-Parametri'!$B$6*B707))+MIN(MAX(0,G706-(MAX(0,B671-IF($A707&gt;='1-Input'!$C$12,'1-Input'!$B$12,0))-MIN(MAX(F706,0),MAX(0,B671-IF($A707&gt;='1-Input'!$C$12,'1-Input'!$B$12,0))))*(1/(1-'P-Parametri'!$B$6*B707))),MAX(0,0*B671-(F706-MIN(MAX(F706,0),MAX(0,B671-IF($A707&gt;='1-Input'!$C$12,'1-Input'!$B$12,0)))))*(1/(1-'P-Parametri'!$B$6*B707))))</f>
        <v>6976.7836098571634</v>
      </c>
      <c r="D707" s="18">
        <f>IF($A707&gt;'1-Input'!$B$26,F706,(F706-MAX(0,B671-IF($A707&gt;='1-Input'!$C$12,'1-Input'!$B$12,0))+C707*(1-'P-Parametri'!$B$6*B707))*(1+'1-Input'!$B$27))</f>
        <v>0</v>
      </c>
      <c r="E707" s="18">
        <f>IF($A707&gt;'1-Input'!$B$26,G706,(G706-C707)*(1+$D$4))</f>
        <v>432792.58621541044</v>
      </c>
      <c r="F707" s="18">
        <f>IF($A707&gt;'1-Input'!$B$26,D707,D707-'P-Parametri'!$B$8*(E707+D707)+MIN(MAX(E707,0),'P-Parametri'!$B$8*(E707+D707)))</f>
        <v>0</v>
      </c>
      <c r="G707" s="18">
        <f>IF($A707&gt;'1-Input'!$B$26,E707,E707-MIN(MAX(E707,0),'P-Parametri'!$B$8*(E707+D707)))</f>
        <v>431927.00104297959</v>
      </c>
      <c r="H707" s="18">
        <f>IF($A707&gt;'1-Input'!$B$26,H706,H706-C707*(1-B707))</f>
        <v>95489.788342164553</v>
      </c>
      <c r="I707" s="11">
        <f>IF($A707&gt;'1-Input'!$B$26,0,IF(N706&lt;=0,0,MAX(0,(N706-O706)/N706)))</f>
        <v>0.7705381676144919</v>
      </c>
      <c r="J707" s="18">
        <f>IF($A707&gt;'1-Input'!$B$26,0,(MAX(0,I671-IF($A707&gt;='1-Input'!$C$12,'1-Input'!$B$12,0))-MIN(MAX(M706,0),MAX(0,I671-IF($A707&gt;='1-Input'!$C$12,'1-Input'!$B$12,0))))*(1/(1-'P-Parametri'!$B$6*I707))+MIN(MAX(0,N706-(MAX(0,I671-IF($A707&gt;='1-Input'!$C$12,'1-Input'!$B$12,0))-MIN(MAX(M706,0),MAX(0,I671-IF($A707&gt;='1-Input'!$C$12,'1-Input'!$B$12,0))))*(1/(1-'P-Parametri'!$B$6*I707))),MAX(0,0*I671-(M706-MIN(MAX(M706,0),MAX(0,I671-IF($A707&gt;='1-Input'!$C$12,'1-Input'!$B$12,0)))))*(1/(1-'P-Parametri'!$B$6*I707))))</f>
        <v>13564.209734572987</v>
      </c>
      <c r="K707" s="18">
        <f>IF($A707&gt;'1-Input'!$B$26,M706,(M706-MAX(0,I671-IF($A707&gt;='1-Input'!$C$12,'1-Input'!$B$12,0))+J707*(1-'P-Parametri'!$B$6*I707))*(1+'1-Input'!$B$27))</f>
        <v>0</v>
      </c>
      <c r="L707" s="18">
        <f>IF($A707&gt;'1-Input'!$B$26,N706,(N706-J707)*(1+$D$4))</f>
        <v>10676.250133227979</v>
      </c>
      <c r="M707" s="18">
        <f>IF($A707&gt;'1-Input'!$B$26,K707,K707-'P-Parametri'!$B$8*(L707+K707)+MIN(MAX(L707,0),'P-Parametri'!$B$8*(L707+K707)))</f>
        <v>0</v>
      </c>
      <c r="N707" s="18">
        <f>IF($A707&gt;'1-Input'!$B$26,L707,L707-MIN(MAX(L707,0),'P-Parametri'!$B$8*(L707+K707)))</f>
        <v>10654.897632961523</v>
      </c>
      <c r="O707" s="18">
        <f>IF($A707&gt;'1-Input'!$B$26,O706,O706-J707*(1-I707))</f>
        <v>2355.5691524774224</v>
      </c>
      <c r="P707" s="11">
        <f>IF($A707&gt;'1-Input'!$B$26,0,IF(U706&lt;=0,0,MAX(0,(U706-V706)/U706)))</f>
        <v>0.7705381676144919</v>
      </c>
      <c r="Q707" s="18">
        <f>IF($A707&gt;'1-Input'!$B$26,0,(MAX(0,P671-IF($A707&gt;='1-Input'!$C$12,'1-Input'!$B$12,0))-MIN(MAX(T706,0),MAX(0,P671-IF($A707&gt;='1-Input'!$C$12,'1-Input'!$B$12,0))))*(1/(1-'P-Parametri'!$B$6*P707))+MIN(MAX(0,U706-(MAX(0,P671-IF($A707&gt;='1-Input'!$C$12,'1-Input'!$B$12,0))-MIN(MAX(T706,0),MAX(0,P671-IF($A707&gt;='1-Input'!$C$12,'1-Input'!$B$12,0))))*(1/(1-'P-Parametri'!$B$6*P707))),MAX(0,0*P671-(T706-MIN(MAX(T706,0),MAX(0,P671-IF($A707&gt;='1-Input'!$C$12,'1-Input'!$B$12,0)))))*(1/(1-'P-Parametri'!$B$6*P707))))</f>
        <v>12245.324652731235</v>
      </c>
      <c r="R707" s="18">
        <f>IF($A707&gt;'1-Input'!$B$26,T706,(T706-MAX(0,P671-IF($A707&gt;='1-Input'!$C$12,'1-Input'!$B$12,0))+Q707*(1-'P-Parametri'!$B$6*P707))*(1+'1-Input'!$B$27))</f>
        <v>0</v>
      </c>
      <c r="S707" s="18">
        <f>IF($A707&gt;'1-Input'!$B$26,U706,(U706-Q707)*(1+$D$4))</f>
        <v>95189.218919577237</v>
      </c>
      <c r="T707" s="18">
        <f>IF($A707&gt;'1-Input'!$B$26,R707,R707-'P-Parametri'!$B$8*(S707+R707)+MIN(MAX(S707,0),'P-Parametri'!$B$8*(S707+R707)))</f>
        <v>0</v>
      </c>
      <c r="U707" s="18">
        <f>IF($A707&gt;'1-Input'!$B$26,S707,S707-MIN(MAX(S707,0),'P-Parametri'!$B$8*(S707+R707)))</f>
        <v>94998.84048173808</v>
      </c>
      <c r="V707" s="18">
        <f>IF($A707&gt;'1-Input'!$B$26,V706,V706-Q707*(1-P707))</f>
        <v>21002.204419837948</v>
      </c>
      <c r="W707" s="11">
        <f>IF($A707&gt;'1-Input'!$B$26,0,IF(AB706&lt;=0,0,MAX(0,(AB706-AC706)/AB706)))</f>
        <v>0.77053816761449179</v>
      </c>
      <c r="X707" s="18">
        <f>IF($A707&gt;'1-Input'!$B$26,0,(MAX(0,W671-IF($A707&gt;='1-Input'!$C$12,'1-Input'!$B$12,0))-MIN(MAX(AA706,0),MAX(0,W671-IF($A707&gt;='1-Input'!$C$12,'1-Input'!$B$12,0))))*(1/(1-'P-Parametri'!$B$6*W707))+MIN(MAX(0,AB706-(MAX(0,W671-IF($A707&gt;='1-Input'!$C$12,'1-Input'!$B$12,0))-MIN(MAX(AA706,0),MAX(0,W671-IF($A707&gt;='1-Input'!$C$12,'1-Input'!$B$12,0))))*(1/(1-'P-Parametri'!$B$6*W707))),MAX(0,0*W671-(AA706-MIN(MAX(AA706,0),MAX(0,W671-IF($A707&gt;='1-Input'!$C$12,'1-Input'!$B$12,0)))))*(1/(1-'P-Parametri'!$B$6*W707))))</f>
        <v>11981.663556617974</v>
      </c>
      <c r="Y707" s="18">
        <f>IF($A707&gt;'1-Input'!$B$26,AA706,(AA706-MAX(0,W671-IF($A707&gt;='1-Input'!$C$12,'1-Input'!$B$12,0))+X707*(1-'P-Parametri'!$B$6*W707))*(1+'1-Input'!$B$27))</f>
        <v>0</v>
      </c>
      <c r="Z707" s="18">
        <f>IF($A707&gt;'1-Input'!$B$26,AB706,(AB706-X707)*(1+$D$4))</f>
        <v>112084.38461125176</v>
      </c>
      <c r="AA707" s="18">
        <f>IF($A707&gt;'1-Input'!$B$26,Y707,Y707-'P-Parametri'!$B$8*(Z707+Y707)+MIN(MAX(Z707,0),'P-Parametri'!$B$8*(Z707+Y707)))</f>
        <v>0</v>
      </c>
      <c r="AB707" s="18">
        <f>IF($A707&gt;'1-Input'!$B$26,Z707,Z707-MIN(MAX(Z707,0),'P-Parametri'!$B$8*(Z707+Y707)))</f>
        <v>111860.21584202925</v>
      </c>
      <c r="AC707" s="18">
        <f>IF($A707&gt;'1-Input'!$B$26,AC706,AC706-X707*(1-W707))</f>
        <v>24729.892571826822</v>
      </c>
      <c r="AD707" s="11">
        <f>IF($A707&gt;'1-Input'!$B$26,0,IF(AI706&lt;=0,0,MAX(0,(AI706-AJ706)/AI706)))</f>
        <v>0.77053816761449168</v>
      </c>
      <c r="AE707" s="18">
        <f>IF($A707&gt;'1-Input'!$B$26,0,(MAX(0,AD671-IF($A707&gt;='1-Input'!$C$12,'1-Input'!$B$12,0))-MIN(MAX(AH706,0),MAX(0,AD671-IF($A707&gt;='1-Input'!$C$12,'1-Input'!$B$12,0))))*(1/(1-'P-Parametri'!$B$6*AD707))+MIN(MAX(0,AI706-(MAX(0,AD671-IF($A707&gt;='1-Input'!$C$12,'1-Input'!$B$12,0))-MIN(MAX(AH706,0),MAX(0,AD671-IF($A707&gt;='1-Input'!$C$12,'1-Input'!$B$12,0))))*(1/(1-'P-Parametri'!$B$6*AD707))),MAX(0,0*AD671-(AH706-MIN(MAX(AH706,0),MAX(0,AD671-IF($A707&gt;='1-Input'!$C$12,'1-Input'!$B$12,0)))))*(1/(1-'P-Parametri'!$B$6*AD707))))</f>
        <v>11984.184129858582</v>
      </c>
      <c r="AF707" s="18">
        <f>IF($A707&gt;'1-Input'!$B$26,AH706,(AH706-MAX(0,AD671-IF($A707&gt;='1-Input'!$C$12,'1-Input'!$B$12,0))+AE707*(1-'P-Parametri'!$B$6*AD707))*(1+'1-Input'!$B$27))</f>
        <v>0</v>
      </c>
      <c r="AG707" s="18">
        <f>IF($A707&gt;'1-Input'!$B$26,AI706,(AI706-AE707)*(1+$D$4))</f>
        <v>111922.86854700872</v>
      </c>
      <c r="AH707" s="18">
        <f>IF($A707&gt;'1-Input'!$B$26,AF707,AF707-'P-Parametri'!$B$8*(AG707+AF707)+MIN(MAX(AG707,0),'P-Parametri'!$B$8*(AG707+AF707)))</f>
        <v>0</v>
      </c>
      <c r="AI707" s="18">
        <f>IF($A707&gt;'1-Input'!$B$26,AG707,AG707-MIN(MAX(AG707,0),'P-Parametri'!$B$8*(AG707+AF707)))</f>
        <v>111699.02280991471</v>
      </c>
      <c r="AJ707" s="18">
        <f>IF($A707&gt;'1-Input'!$B$26,AJ706,AJ706-AE707*(1-AD707))</f>
        <v>24694.256252537496</v>
      </c>
      <c r="AK707" s="11">
        <f>IF($A707&gt;'1-Input'!$B$26,0,IF(AP706&lt;=0,0,MAX(0,(AP706-AQ706)/AP706)))</f>
        <v>0.7705381676144919</v>
      </c>
      <c r="AL707" s="18">
        <f>IF($A707&gt;'1-Input'!$B$26,0,(MAX(0,AK671-IF($A707&gt;='1-Input'!$C$12,'1-Input'!$B$12,0))-MIN(MAX(AO706,0),MAX(0,AK671-IF($A707&gt;='1-Input'!$C$12,'1-Input'!$B$12,0))))*(1/(1-'P-Parametri'!$B$6*AK707))+MIN(MAX(0,AP706-(MAX(0,AK671-IF($A707&gt;='1-Input'!$C$12,'1-Input'!$B$12,0))-MIN(MAX(AO706,0),MAX(0,AK671-IF($A707&gt;='1-Input'!$C$12,'1-Input'!$B$12,0))))*(1/(1-'P-Parametri'!$B$6*AK707))),MAX(0,0*AK671-(AO706-MIN(MAX(AO706,0),MAX(0,AK671-IF($A707&gt;='1-Input'!$C$12,'1-Input'!$B$12,0)))))*(1/(1-'P-Parametri'!$B$6*AK707))))</f>
        <v>11983.679135648987</v>
      </c>
      <c r="AM707" s="18">
        <f>IF($A707&gt;'1-Input'!$B$26,AO706,(AO706-MAX(0,AK671-IF($A707&gt;='1-Input'!$C$12,'1-Input'!$B$12,0))+AL707*(1-'P-Parametri'!$B$6*AK707))*(1+'1-Input'!$B$27))</f>
        <v>0</v>
      </c>
      <c r="AN707" s="18">
        <f>IF($A707&gt;'1-Input'!$B$26,AP706,(AP706-AL707)*(1+$D$4))</f>
        <v>111955.22812136545</v>
      </c>
      <c r="AO707" s="18">
        <f>IF($A707&gt;'1-Input'!$B$26,AM707,AM707-'P-Parametri'!$B$8*(AN707+AM707)+MIN(MAX(AN707,0),'P-Parametri'!$B$8*(AN707+AM707)))</f>
        <v>0</v>
      </c>
      <c r="AP707" s="18">
        <f>IF($A707&gt;'1-Input'!$B$26,AN707,AN707-MIN(MAX(AN707,0),'P-Parametri'!$B$8*(AN707+AM707)))</f>
        <v>111731.31766512273</v>
      </c>
      <c r="AQ707" s="18">
        <f>IF($A707&gt;'1-Input'!$B$26,AQ706,AQ706-AL707*(1-AK707))</f>
        <v>24701.395951794311</v>
      </c>
    </row>
    <row r="708" spans="1:43">
      <c r="A708" s="10">
        <f>35</f>
        <v>35</v>
      </c>
      <c r="B708" s="11">
        <f>IF($A708&gt;'1-Input'!$B$26,0,IF(G707&lt;=0,0,MAX(0,(G707-H707)/G707)))</f>
        <v>0.77892146563751719</v>
      </c>
      <c r="C708" s="18">
        <f>IF($A708&gt;'1-Input'!$B$26,0,(MAX(0,B671-IF($A708&gt;='1-Input'!$C$12,'1-Input'!$B$12,0))-MIN(MAX(F707,0),MAX(0,B671-IF($A708&gt;='1-Input'!$C$12,'1-Input'!$B$12,0))))*(1/(1-'P-Parametri'!$B$6*B708))+MIN(MAX(0,G707-(MAX(0,B671-IF($A708&gt;='1-Input'!$C$12,'1-Input'!$B$12,0))-MIN(MAX(F707,0),MAX(0,B671-IF($A708&gt;='1-Input'!$C$12,'1-Input'!$B$12,0))))*(1/(1-'P-Parametri'!$B$6*B708))),MAX(0,0*B671-(F707-MIN(MAX(F707,0),MAX(0,B671-IF($A708&gt;='1-Input'!$C$12,'1-Input'!$B$12,0)))))*(1/(1-'P-Parametri'!$B$6*B708))))</f>
        <v>6995.8524148864544</v>
      </c>
      <c r="D708" s="18">
        <f>IF($A708&gt;'1-Input'!$B$26,F707,(F707-MAX(0,B671-IF($A708&gt;='1-Input'!$C$12,'1-Input'!$B$12,0))+C708*(1-'P-Parametri'!$B$6*B708))*(1+'1-Input'!$B$27))</f>
        <v>0</v>
      </c>
      <c r="E708" s="18">
        <f>IF($A708&gt;'1-Input'!$B$26,G707,(G707-C708)*(1+$D$4))</f>
        <v>441928.39457321685</v>
      </c>
      <c r="F708" s="18">
        <f>IF($A708&gt;'1-Input'!$B$26,D708,D708-'P-Parametri'!$B$8*(E708+D708)+MIN(MAX(E708,0),'P-Parametri'!$B$8*(E708+D708)))</f>
        <v>0</v>
      </c>
      <c r="G708" s="18">
        <f>IF($A708&gt;'1-Input'!$B$26,E708,E708-MIN(MAX(E708,0),'P-Parametri'!$B$8*(E708+D708)))</f>
        <v>441044.53778407042</v>
      </c>
      <c r="H708" s="18">
        <f>IF($A708&gt;'1-Input'!$B$26,H707,H707-C708*(1-B708))</f>
        <v>93943.155543665212</v>
      </c>
      <c r="I708" s="11">
        <f>IF($A708&gt;'1-Input'!$B$26,0,IF(N707&lt;=0,0,MAX(0,(N707-O707)/N707)))</f>
        <v>0.77892146563751696</v>
      </c>
      <c r="J708" s="18">
        <f>IF($A708&gt;'1-Input'!$B$26,0,(MAX(0,I671-IF($A708&gt;='1-Input'!$C$12,'1-Input'!$B$12,0))-MIN(MAX(M707,0),MAX(0,I671-IF($A708&gt;='1-Input'!$C$12,'1-Input'!$B$12,0))))*(1/(1-'P-Parametri'!$B$6*I708))+MIN(MAX(0,N707-(MAX(0,I671-IF($A708&gt;='1-Input'!$C$12,'1-Input'!$B$12,0))-MIN(MAX(M707,0),MAX(0,I671-IF($A708&gt;='1-Input'!$C$12,'1-Input'!$B$12,0))))*(1/(1-'P-Parametri'!$B$6*I708))),MAX(0,0*I671-(M707-MIN(MAX(M707,0),MAX(0,I671-IF($A708&gt;='1-Input'!$C$12,'1-Input'!$B$12,0)))))*(1/(1-'P-Parametri'!$B$6*I708))))</f>
        <v>13601.283160562511</v>
      </c>
      <c r="K708" s="18">
        <f>IF($A708&gt;'1-Input'!$B$26,M707,(M707-MAX(0,I671-IF($A708&gt;='1-Input'!$C$12,'1-Input'!$B$12,0))+J708*(1-'P-Parametri'!$B$6*I708))*(1+'1-Input'!$B$27))</f>
        <v>0</v>
      </c>
      <c r="L708" s="18">
        <f>IF($A708&gt;'1-Input'!$B$26,N707,(N707-J708)*(1+$D$4))</f>
        <v>-3064.2409487050268</v>
      </c>
      <c r="M708" s="18">
        <f>IF($A708&gt;'1-Input'!$B$26,K708,K708-'P-Parametri'!$B$8*(L708+K708)+MIN(MAX(L708,0),'P-Parametri'!$B$8*(L708+K708)))</f>
        <v>0</v>
      </c>
      <c r="N708" s="18">
        <f>IF($A708&gt;'1-Input'!$B$26,L708,L708-MIN(MAX(L708,0),'P-Parametri'!$B$8*(L708+K708)))</f>
        <v>-3058.1124668076168</v>
      </c>
      <c r="O708" s="18">
        <f>IF($A708&gt;'1-Input'!$B$26,O707,O707-J708*(1-I708))</f>
        <v>-651.38259410885848</v>
      </c>
      <c r="P708" s="11">
        <f>IF($A708&gt;'1-Input'!$B$26,0,IF(U707&lt;=0,0,MAX(0,(U707-V707)/U707)))</f>
        <v>0.7789214656375173</v>
      </c>
      <c r="Q708" s="18">
        <f>IF($A708&gt;'1-Input'!$B$26,0,(MAX(0,P671-IF($A708&gt;='1-Input'!$C$12,'1-Input'!$B$12,0))-MIN(MAX(T707,0),MAX(0,P671-IF($A708&gt;='1-Input'!$C$12,'1-Input'!$B$12,0))))*(1/(1-'P-Parametri'!$B$6*P708))+MIN(MAX(0,U707-(MAX(0,P671-IF($A708&gt;='1-Input'!$C$12,'1-Input'!$B$12,0))-MIN(MAX(T707,0),MAX(0,P671-IF($A708&gt;='1-Input'!$C$12,'1-Input'!$B$12,0))))*(1/(1-'P-Parametri'!$B$6*P708))),MAX(0,0*P671-(T707-MIN(MAX(T707,0),MAX(0,P671-IF($A708&gt;='1-Input'!$C$12,'1-Input'!$B$12,0)))))*(1/(1-'P-Parametri'!$B$6*P708))))</f>
        <v>12278.793328467915</v>
      </c>
      <c r="R708" s="18">
        <f>IF($A708&gt;'1-Input'!$B$26,T707,(T707-MAX(0,P671-IF($A708&gt;='1-Input'!$C$12,'1-Input'!$B$12,0))+Q708*(1-'P-Parametri'!$B$6*P708))*(1+'1-Input'!$B$27))</f>
        <v>0</v>
      </c>
      <c r="S708" s="18">
        <f>IF($A708&gt;'1-Input'!$B$26,U707,(U707-Q708)*(1+$D$4))</f>
        <v>86028.849039400971</v>
      </c>
      <c r="T708" s="18">
        <f>IF($A708&gt;'1-Input'!$B$26,R708,R708-'P-Parametri'!$B$8*(S708+R708)+MIN(MAX(S708,0),'P-Parametri'!$B$8*(S708+R708)))</f>
        <v>0</v>
      </c>
      <c r="U708" s="18">
        <f>IF($A708&gt;'1-Input'!$B$26,S708,S708-MIN(MAX(S708,0),'P-Parametri'!$B$8*(S708+R708)))</f>
        <v>85856.791341322169</v>
      </c>
      <c r="V708" s="18">
        <f>IF($A708&gt;'1-Input'!$B$26,V707,V707-Q708*(1-P708))</f>
        <v>18287.62678704043</v>
      </c>
      <c r="W708" s="11">
        <f>IF($A708&gt;'1-Input'!$B$26,0,IF(AB707&lt;=0,0,MAX(0,(AB707-AC707)/AB707)))</f>
        <v>0.77892146563751719</v>
      </c>
      <c r="X708" s="18">
        <f>IF($A708&gt;'1-Input'!$B$26,0,(MAX(0,W671-IF($A708&gt;='1-Input'!$C$12,'1-Input'!$B$12,0))-MIN(MAX(AA707,0),MAX(0,W671-IF($A708&gt;='1-Input'!$C$12,'1-Input'!$B$12,0))))*(1/(1-'P-Parametri'!$B$6*W708))+MIN(MAX(0,AB707-(MAX(0,W671-IF($A708&gt;='1-Input'!$C$12,'1-Input'!$B$12,0))-MIN(MAX(AA707,0),MAX(0,W671-IF($A708&gt;='1-Input'!$C$12,'1-Input'!$B$12,0))))*(1/(1-'P-Parametri'!$B$6*W708))),MAX(0,0*W671-(AA707-MIN(MAX(AA707,0),MAX(0,W671-IF($A708&gt;='1-Input'!$C$12,'1-Input'!$B$12,0)))))*(1/(1-'P-Parametri'!$B$6*W708))))</f>
        <v>12014.411599135003</v>
      </c>
      <c r="Y708" s="18">
        <f>IF($A708&gt;'1-Input'!$B$26,AA707,(AA707-MAX(0,W671-IF($A708&gt;='1-Input'!$C$12,'1-Input'!$B$12,0))+X708*(1-'P-Parametri'!$B$6*W708))*(1+'1-Input'!$B$27))</f>
        <v>0</v>
      </c>
      <c r="Z708" s="18">
        <f>IF($A708&gt;'1-Input'!$B$26,AB707,(AB707-X708)*(1+$D$4))</f>
        <v>103839.63641261004</v>
      </c>
      <c r="AA708" s="18">
        <f>IF($A708&gt;'1-Input'!$B$26,Y708,Y708-'P-Parametri'!$B$8*(Z708+Y708)+MIN(MAX(Z708,0),'P-Parametri'!$B$8*(Z708+Y708)))</f>
        <v>0</v>
      </c>
      <c r="AB708" s="18">
        <f>IF($A708&gt;'1-Input'!$B$26,Z708,Z708-MIN(MAX(Z708,0),'P-Parametri'!$B$8*(Z708+Y708)))</f>
        <v>103631.95713978482</v>
      </c>
      <c r="AC708" s="18">
        <f>IF($A708&gt;'1-Input'!$B$26,AC707,AC707-X708*(1-W708))</f>
        <v>22073.764064262443</v>
      </c>
      <c r="AD708" s="11">
        <f>IF($A708&gt;'1-Input'!$B$26,0,IF(AI707&lt;=0,0,MAX(0,(AI707-AJ707)/AI707)))</f>
        <v>0.77892146563751707</v>
      </c>
      <c r="AE708" s="18">
        <f>IF($A708&gt;'1-Input'!$B$26,0,(MAX(0,AD671-IF($A708&gt;='1-Input'!$C$12,'1-Input'!$B$12,0))-MIN(MAX(AH707,0),MAX(0,AD671-IF($A708&gt;='1-Input'!$C$12,'1-Input'!$B$12,0))))*(1/(1-'P-Parametri'!$B$6*AD708))+MIN(MAX(0,AI707-(MAX(0,AD671-IF($A708&gt;='1-Input'!$C$12,'1-Input'!$B$12,0))-MIN(MAX(AH707,0),MAX(0,AD671-IF($A708&gt;='1-Input'!$C$12,'1-Input'!$B$12,0))))*(1/(1-'P-Parametri'!$B$6*AD708))),MAX(0,0*AD671-(AH707-MIN(MAX(AH707,0),MAX(0,AD671-IF($A708&gt;='1-Input'!$C$12,'1-Input'!$B$12,0)))))*(1/(1-'P-Parametri'!$B$6*AD708))))</f>
        <v>12016.939061555835</v>
      </c>
      <c r="AF708" s="18">
        <f>IF($A708&gt;'1-Input'!$B$26,AH707,(AH707-MAX(0,AD671-IF($A708&gt;='1-Input'!$C$12,'1-Input'!$B$12,0))+AE708*(1-'P-Parametri'!$B$6*AD708))*(1+'1-Input'!$B$27))</f>
        <v>0</v>
      </c>
      <c r="AG708" s="18">
        <f>IF($A708&gt;'1-Input'!$B$26,AI707,(AI707-AE708)*(1+$D$4))</f>
        <v>103669.36709829322</v>
      </c>
      <c r="AH708" s="18">
        <f>IF($A708&gt;'1-Input'!$B$26,AF708,AF708-'P-Parametri'!$B$8*(AG708+AF708)+MIN(MAX(AG708,0),'P-Parametri'!$B$8*(AG708+AF708)))</f>
        <v>0</v>
      </c>
      <c r="AI708" s="18">
        <f>IF($A708&gt;'1-Input'!$B$26,AG708,AG708-MIN(MAX(AG708,0),'P-Parametri'!$B$8*(AG708+AF708)))</f>
        <v>103462.02836409664</v>
      </c>
      <c r="AJ708" s="18">
        <f>IF($A708&gt;'1-Input'!$B$26,AJ707,AJ707-AE708*(1-AD708))</f>
        <v>22037.56897728546</v>
      </c>
      <c r="AK708" s="11">
        <f>IF($A708&gt;'1-Input'!$B$26,0,IF(AP707&lt;=0,0,MAX(0,(AP707-AQ707)/AP707)))</f>
        <v>0.77892146563751719</v>
      </c>
      <c r="AL708" s="18">
        <f>IF($A708&gt;'1-Input'!$B$26,0,(MAX(0,AK671-IF($A708&gt;='1-Input'!$C$12,'1-Input'!$B$12,0))-MIN(MAX(AO707,0),MAX(0,AK671-IF($A708&gt;='1-Input'!$C$12,'1-Input'!$B$12,0))))*(1/(1-'P-Parametri'!$B$6*AK708))+MIN(MAX(0,AP707-(MAX(0,AK671-IF($A708&gt;='1-Input'!$C$12,'1-Input'!$B$12,0))-MIN(MAX(AO707,0),MAX(0,AK671-IF($A708&gt;='1-Input'!$C$12,'1-Input'!$B$12,0))))*(1/(1-'P-Parametri'!$B$6*AK708))),MAX(0,0*AK671-(AO707-MIN(MAX(AO707,0),MAX(0,AK671-IF($A708&gt;='1-Input'!$C$12,'1-Input'!$B$12,0)))))*(1/(1-'P-Parametri'!$B$6*AK708))))</f>
        <v>12016.432687106195</v>
      </c>
      <c r="AM708" s="18">
        <f>IF($A708&gt;'1-Input'!$B$26,AO707,(AO707-MAX(0,AK671-IF($A708&gt;='1-Input'!$C$12,'1-Input'!$B$12,0))+AL708*(1-'P-Parametri'!$B$6*AK708))*(1+'1-Input'!$B$27))</f>
        <v>0</v>
      </c>
      <c r="AN708" s="18">
        <f>IF($A708&gt;'1-Input'!$B$26,AP707,(AP707-AL708)*(1+$D$4))</f>
        <v>103703.4803771372</v>
      </c>
      <c r="AO708" s="18">
        <f>IF($A708&gt;'1-Input'!$B$26,AM708,AM708-'P-Parametri'!$B$8*(AN708+AM708)+MIN(MAX(AN708,0),'P-Parametri'!$B$8*(AN708+AM708)))</f>
        <v>0</v>
      </c>
      <c r="AP708" s="18">
        <f>IF($A708&gt;'1-Input'!$B$26,AN708,AN708-MIN(MAX(AN708,0),'P-Parametri'!$B$8*(AN708+AM708)))</f>
        <v>103496.07341638292</v>
      </c>
      <c r="AQ708" s="18">
        <f>IF($A708&gt;'1-Input'!$B$26,AQ707,AQ707-AL708*(1-AK708))</f>
        <v>22044.820625063443</v>
      </c>
    </row>
    <row r="709" spans="1:43">
      <c r="A709" s="10">
        <f>36</f>
        <v>36</v>
      </c>
      <c r="B709" s="11">
        <f>IF($A709&gt;'1-Input'!$B$26,0,IF(G708&lt;=0,0,MAX(0,(G708-H708)/G708)))</f>
        <v>0.78699848315623278</v>
      </c>
      <c r="C709" s="18">
        <f>IF($A709&gt;'1-Input'!$B$26,0,(MAX(0,B671-IF($A709&gt;='1-Input'!$C$12,'1-Input'!$B$12,0))-MIN(MAX(F708,0),MAX(0,B671-IF($A709&gt;='1-Input'!$C$12,'1-Input'!$B$12,0))))*(1/(1-'P-Parametri'!$B$6*B709))+MIN(MAX(0,G708-(MAX(0,B671-IF($A709&gt;='1-Input'!$C$12,'1-Input'!$B$12,0))-MIN(MAX(F708,0),MAX(0,B671-IF($A709&gt;='1-Input'!$C$12,'1-Input'!$B$12,0))))*(1/(1-'P-Parametri'!$B$6*B709))),MAX(0,0*B671-(F708-MIN(MAX(F708,0),MAX(0,B671-IF($A709&gt;='1-Input'!$C$12,'1-Input'!$B$12,0)))))*(1/(1-'P-Parametri'!$B$6*B709))))</f>
        <v>7014.3234030542526</v>
      </c>
      <c r="D709" s="18">
        <f>IF($A709&gt;'1-Input'!$B$26,F708,(F708-MAX(0,B671-IF($A709&gt;='1-Input'!$C$12,'1-Input'!$B$12,0))+C709*(1-'P-Parametri'!$B$6*B709))*(1+'1-Input'!$B$27))</f>
        <v>0</v>
      </c>
      <c r="E709" s="18">
        <f>IF($A709&gt;'1-Input'!$B$26,G708,(G708-C709)*(1+$D$4))</f>
        <v>451391.42295625684</v>
      </c>
      <c r="F709" s="18">
        <f>IF($A709&gt;'1-Input'!$B$26,D709,D709-'P-Parametri'!$B$8*(E709+D709)+MIN(MAX(E709,0),'P-Parametri'!$B$8*(E709+D709)))</f>
        <v>0</v>
      </c>
      <c r="G709" s="18">
        <f>IF($A709&gt;'1-Input'!$B$26,E709,E709-MIN(MAX(E709,0),'P-Parametri'!$B$8*(E709+D709)))</f>
        <v>450488.64011034433</v>
      </c>
      <c r="H709" s="18">
        <f>IF($A709&gt;'1-Input'!$B$26,H708,H708-C709*(1-B709))</f>
        <v>92449.094019181925</v>
      </c>
      <c r="I709" s="11">
        <f>IF($A709&gt;'1-Input'!$B$26,0,IF(N708&lt;=0,0,MAX(0,(N708-O708)/N708)))</f>
        <v>0</v>
      </c>
      <c r="J709" s="18">
        <f>IF($A709&gt;'1-Input'!$B$26,0,(MAX(0,I671-IF($A709&gt;='1-Input'!$C$12,'1-Input'!$B$12,0))-MIN(MAX(M708,0),MAX(0,I671-IF($A709&gt;='1-Input'!$C$12,'1-Input'!$B$12,0))))*(1/(1-'P-Parametri'!$B$6*I709))+MIN(MAX(0,N708-(MAX(0,I671-IF($A709&gt;='1-Input'!$C$12,'1-Input'!$B$12,0))-MIN(MAX(M708,0),MAX(0,I671-IF($A709&gt;='1-Input'!$C$12,'1-Input'!$B$12,0))))*(1/(1-'P-Parametri'!$B$6*I709))),MAX(0,0*I671-(M708-MIN(MAX(M708,0),MAX(0,I671-IF($A709&gt;='1-Input'!$C$12,'1-Input'!$B$12,0)))))*(1/(1-'P-Parametri'!$B$6*I709))))</f>
        <v>10846.756992928691</v>
      </c>
      <c r="K709" s="18">
        <f>IF($A709&gt;'1-Input'!$B$26,M708,(M708-MAX(0,I671-IF($A709&gt;='1-Input'!$C$12,'1-Input'!$B$12,0))+J709*(1-'P-Parametri'!$B$6*I709))*(1+'1-Input'!$B$27))</f>
        <v>0</v>
      </c>
      <c r="L709" s="18">
        <f>IF($A709&gt;'1-Input'!$B$26,N708,(N708-J709)*(1+$D$4))</f>
        <v>-14461.06423812576</v>
      </c>
      <c r="M709" s="18">
        <f>IF($A709&gt;'1-Input'!$B$26,K709,K709-'P-Parametri'!$B$8*(L709+K709)+MIN(MAX(L709,0),'P-Parametri'!$B$8*(L709+K709)))</f>
        <v>0</v>
      </c>
      <c r="N709" s="18">
        <f>IF($A709&gt;'1-Input'!$B$26,L709,L709-MIN(MAX(L709,0),'P-Parametri'!$B$8*(L709+K709)))</f>
        <v>-14432.142109649509</v>
      </c>
      <c r="O709" s="18">
        <f>IF($A709&gt;'1-Input'!$B$26,O708,O708-J709*(1-I709))</f>
        <v>-11498.139587037549</v>
      </c>
      <c r="P709" s="11">
        <f>IF($A709&gt;'1-Input'!$B$26,0,IF(U708&lt;=0,0,MAX(0,(U708-V708)/U708)))</f>
        <v>0.786998483156233</v>
      </c>
      <c r="Q709" s="18">
        <f>IF($A709&gt;'1-Input'!$B$26,0,(MAX(0,P671-IF($A709&gt;='1-Input'!$C$12,'1-Input'!$B$12,0))-MIN(MAX(T708,0),MAX(0,P671-IF($A709&gt;='1-Input'!$C$12,'1-Input'!$B$12,0))))*(1/(1-'P-Parametri'!$B$6*P709))+MIN(MAX(0,U708-(MAX(0,P671-IF($A709&gt;='1-Input'!$C$12,'1-Input'!$B$12,0))-MIN(MAX(T708,0),MAX(0,P671-IF($A709&gt;='1-Input'!$C$12,'1-Input'!$B$12,0))))*(1/(1-'P-Parametri'!$B$6*P709))),MAX(0,0*P671-(T708-MIN(MAX(T708,0),MAX(0,P671-IF($A709&gt;='1-Input'!$C$12,'1-Input'!$B$12,0)))))*(1/(1-'P-Parametri'!$B$6*P709))))</f>
        <v>12311.212743977934</v>
      </c>
      <c r="R709" s="18">
        <f>IF($A709&gt;'1-Input'!$B$26,T708,(T708-MAX(0,P671-IF($A709&gt;='1-Input'!$C$12,'1-Input'!$B$12,0))+Q709*(1-'P-Parametri'!$B$6*P709))*(1+'1-Input'!$B$27))</f>
        <v>0</v>
      </c>
      <c r="S709" s="18">
        <f>IF($A709&gt;'1-Input'!$B$26,U708,(U708-Q709)*(1+$D$4))</f>
        <v>76487.401741238005</v>
      </c>
      <c r="T709" s="18">
        <f>IF($A709&gt;'1-Input'!$B$26,R709,R709-'P-Parametri'!$B$8*(S709+R709)+MIN(MAX(S709,0),'P-Parametri'!$B$8*(S709+R709)))</f>
        <v>0</v>
      </c>
      <c r="U709" s="18">
        <f>IF($A709&gt;'1-Input'!$B$26,S709,S709-MIN(MAX(S709,0),'P-Parametri'!$B$8*(S709+R709)))</f>
        <v>76334.426937755532</v>
      </c>
      <c r="V709" s="18">
        <f>IF($A709&gt;'1-Input'!$B$26,V708,V708-Q709*(1-P709))</f>
        <v>15665.319798386816</v>
      </c>
      <c r="W709" s="11">
        <f>IF($A709&gt;'1-Input'!$B$26,0,IF(AB708&lt;=0,0,MAX(0,(AB708-AC708)/AB708)))</f>
        <v>0.78699848315623266</v>
      </c>
      <c r="X709" s="18">
        <f>IF($A709&gt;'1-Input'!$B$26,0,(MAX(0,W671-IF($A709&gt;='1-Input'!$C$12,'1-Input'!$B$12,0))-MIN(MAX(AA708,0),MAX(0,W671-IF($A709&gt;='1-Input'!$C$12,'1-Input'!$B$12,0))))*(1/(1-'P-Parametri'!$B$6*W709))+MIN(MAX(0,AB708-(MAX(0,W671-IF($A709&gt;='1-Input'!$C$12,'1-Input'!$B$12,0))-MIN(MAX(AA708,0),MAX(0,W671-IF($A709&gt;='1-Input'!$C$12,'1-Input'!$B$12,0))))*(1/(1-'P-Parametri'!$B$6*W709))),MAX(0,0*W671-(AA708-MIN(MAX(AA708,0),MAX(0,W671-IF($A709&gt;='1-Input'!$C$12,'1-Input'!$B$12,0)))))*(1/(1-'P-Parametri'!$B$6*W709))))</f>
        <v>12046.132973648058</v>
      </c>
      <c r="Y709" s="18">
        <f>IF($A709&gt;'1-Input'!$B$26,AA708,(AA708-MAX(0,W671-IF($A709&gt;='1-Input'!$C$12,'1-Input'!$B$12,0))+X709*(1-'P-Parametri'!$B$6*W709))*(1+'1-Input'!$B$27))</f>
        <v>0</v>
      </c>
      <c r="Z709" s="18">
        <f>IF($A709&gt;'1-Input'!$B$26,AB708,(AB708-X709)*(1+$D$4))</f>
        <v>95249.257132782237</v>
      </c>
      <c r="AA709" s="18">
        <f>IF($A709&gt;'1-Input'!$B$26,Y709,Y709-'P-Parametri'!$B$8*(Z709+Y709)+MIN(MAX(Z709,0),'P-Parametri'!$B$8*(Z709+Y709)))</f>
        <v>0</v>
      </c>
      <c r="AB709" s="18">
        <f>IF($A709&gt;'1-Input'!$B$26,Z709,Z709-MIN(MAX(Z709,0),'P-Parametri'!$B$8*(Z709+Y709)))</f>
        <v>95058.758618516673</v>
      </c>
      <c r="AC709" s="18">
        <f>IF($A709&gt;'1-Input'!$B$26,AC708,AC708-X709*(1-W709))</f>
        <v>19507.919468773685</v>
      </c>
      <c r="AD709" s="11">
        <f>IF($A709&gt;'1-Input'!$B$26,0,IF(AI708&lt;=0,0,MAX(0,(AI708-AJ708)/AI708)))</f>
        <v>0.78699848315623278</v>
      </c>
      <c r="AE709" s="18">
        <f>IF($A709&gt;'1-Input'!$B$26,0,(MAX(0,AD671-IF($A709&gt;='1-Input'!$C$12,'1-Input'!$B$12,0))-MIN(MAX(AH708,0),MAX(0,AD671-IF($A709&gt;='1-Input'!$C$12,'1-Input'!$B$12,0))))*(1/(1-'P-Parametri'!$B$6*AD709))+MIN(MAX(0,AI708-(MAX(0,AD671-IF($A709&gt;='1-Input'!$C$12,'1-Input'!$B$12,0))-MIN(MAX(AH708,0),MAX(0,AD671-IF($A709&gt;='1-Input'!$C$12,'1-Input'!$B$12,0))))*(1/(1-'P-Parametri'!$B$6*AD709))),MAX(0,0*AD671-(AH708-MIN(MAX(AH708,0),MAX(0,AD671-IF($A709&gt;='1-Input'!$C$12,'1-Input'!$B$12,0)))))*(1/(1-'P-Parametri'!$B$6*AD709))))</f>
        <v>12048.667109269769</v>
      </c>
      <c r="AF709" s="18">
        <f>IF($A709&gt;'1-Input'!$B$26,AH708,(AH708-MAX(0,AD671-IF($A709&gt;='1-Input'!$C$12,'1-Input'!$B$12,0))+AE709*(1-'P-Parametri'!$B$6*AD709))*(1+'1-Input'!$B$27))</f>
        <v>-1.8124410416930913E-12</v>
      </c>
      <c r="AG709" s="18">
        <f>IF($A709&gt;'1-Input'!$B$26,AI708,(AI708-AE709)*(1+$D$4))</f>
        <v>95069.895705019953</v>
      </c>
      <c r="AH709" s="18">
        <f>IF($A709&gt;'1-Input'!$B$26,AF709,AF709-'P-Parametri'!$B$8*(AG709+AF709)+MIN(MAX(AG709,0),'P-Parametri'!$B$8*(AG709+AF709)))</f>
        <v>-1.8189894035458565E-12</v>
      </c>
      <c r="AI709" s="18">
        <f>IF($A709&gt;'1-Input'!$B$26,AG709,AG709-MIN(MAX(AG709,0),'P-Parametri'!$B$8*(AG709+AF709)))</f>
        <v>94879.755913609915</v>
      </c>
      <c r="AJ709" s="18">
        <f>IF($A709&gt;'1-Input'!$B$26,AJ708,AJ708-AE709*(1-AD709))</f>
        <v>19471.184607065392</v>
      </c>
      <c r="AK709" s="11">
        <f>IF($A709&gt;'1-Input'!$B$26,0,IF(AP708&lt;=0,0,MAX(0,(AP708-AQ708)/AP708)))</f>
        <v>0.78699848315623289</v>
      </c>
      <c r="AL709" s="18">
        <f>IF($A709&gt;'1-Input'!$B$26,0,(MAX(0,AK671-IF($A709&gt;='1-Input'!$C$12,'1-Input'!$B$12,0))-MIN(MAX(AO708,0),MAX(0,AK671-IF($A709&gt;='1-Input'!$C$12,'1-Input'!$B$12,0))))*(1/(1-'P-Parametri'!$B$6*AK709))+MIN(MAX(0,AP708-(MAX(0,AK671-IF($A709&gt;='1-Input'!$C$12,'1-Input'!$B$12,0))-MIN(MAX(AO708,0),MAX(0,AK671-IF($A709&gt;='1-Input'!$C$12,'1-Input'!$B$12,0))))*(1/(1-'P-Parametri'!$B$6*AK709))),MAX(0,0*AK671-(AO708-MIN(MAX(AO708,0),MAX(0,AK671-IF($A709&gt;='1-Input'!$C$12,'1-Input'!$B$12,0)))))*(1/(1-'P-Parametri'!$B$6*AK709))))</f>
        <v>12048.159397851319</v>
      </c>
      <c r="AM709" s="18">
        <f>IF($A709&gt;'1-Input'!$B$26,AO708,(AO708-MAX(0,AK671-IF($A709&gt;='1-Input'!$C$12,'1-Input'!$B$12,0))+AL709*(1-'P-Parametri'!$B$6*AK709))*(1+'1-Input'!$B$27))</f>
        <v>0</v>
      </c>
      <c r="AN709" s="18">
        <f>IF($A709&gt;'1-Input'!$B$26,AP708,(AP708-AL709)*(1+$D$4))</f>
        <v>95105.830579272864</v>
      </c>
      <c r="AO709" s="18">
        <f>IF($A709&gt;'1-Input'!$B$26,AM709,AM709-'P-Parametri'!$B$8*(AN709+AM709)+MIN(MAX(AN709,0),'P-Parametri'!$B$8*(AN709+AM709)))</f>
        <v>0</v>
      </c>
      <c r="AP709" s="18">
        <f>IF($A709&gt;'1-Input'!$B$26,AN709,AN709-MIN(MAX(AN709,0),'P-Parametri'!$B$8*(AN709+AM709)))</f>
        <v>94915.618918114313</v>
      </c>
      <c r="AQ709" s="18">
        <f>IF($A709&gt;'1-Input'!$B$26,AQ708,AQ708-AL709*(1-AK709))</f>
        <v>19478.544398145623</v>
      </c>
    </row>
    <row r="710" spans="1:43">
      <c r="A710" s="10">
        <f>37</f>
        <v>37</v>
      </c>
      <c r="B710" s="11">
        <f>IF($A710&gt;'1-Input'!$B$26,0,IF(G709&lt;=0,0,MAX(0,(G709-H709)/G709)))</f>
        <v>0.79478041000870281</v>
      </c>
      <c r="C710" s="18">
        <f>IF($A710&gt;'1-Input'!$B$26,0,(MAX(0,B671-IF($A710&gt;='1-Input'!$C$12,'1-Input'!$B$12,0))-MIN(MAX(F709,0),MAX(0,B671-IF($A710&gt;='1-Input'!$C$12,'1-Input'!$B$12,0))))*(1/(1-'P-Parametri'!$B$6*B710))+MIN(MAX(0,G709-(MAX(0,B671-IF($A710&gt;='1-Input'!$C$12,'1-Input'!$B$12,0))-MIN(MAX(F709,0),MAX(0,B671-IF($A710&gt;='1-Input'!$C$12,'1-Input'!$B$12,0))))*(1/(1-'P-Parametri'!$B$6*B710))),MAX(0,0*B671-(F709-MIN(MAX(F709,0),MAX(0,B671-IF($A710&gt;='1-Input'!$C$12,'1-Input'!$B$12,0)))))*(1/(1-'P-Parametri'!$B$6*B710))))</f>
        <v>7032.2120531275432</v>
      </c>
      <c r="D710" s="18">
        <f>IF($A710&gt;'1-Input'!$B$26,F709,(F709-MAX(0,B671-IF($A710&gt;='1-Input'!$C$12,'1-Input'!$B$12,0))+C710*(1-'P-Parametri'!$B$6*B710))*(1+'1-Input'!$B$27))</f>
        <v>0</v>
      </c>
      <c r="E710" s="18">
        <f>IF($A710&gt;'1-Input'!$B$26,G709,(G709-C710)*(1+$D$4))</f>
        <v>461194.6851795055</v>
      </c>
      <c r="F710" s="18">
        <f>IF($A710&gt;'1-Input'!$B$26,D710,D710-'P-Parametri'!$B$8*(E710+D710)+MIN(MAX(E710,0),'P-Parametri'!$B$8*(E710+D710)))</f>
        <v>0</v>
      </c>
      <c r="G710" s="18">
        <f>IF($A710&gt;'1-Input'!$B$26,E710,E710-MIN(MAX(E710,0),'P-Parametri'!$B$8*(E710+D710)))</f>
        <v>460272.29580914648</v>
      </c>
      <c r="H710" s="18">
        <f>IF($A710&gt;'1-Input'!$B$26,H709,H709-C710*(1-B710))</f>
        <v>91005.946344907235</v>
      </c>
      <c r="I710" s="11">
        <f>IF($A710&gt;'1-Input'!$B$26,0,IF(N709&lt;=0,0,MAX(0,(N709-O709)/N709)))</f>
        <v>0</v>
      </c>
      <c r="J710" s="18">
        <f>IF($A710&gt;'1-Input'!$B$26,0,(MAX(0,I671-IF($A710&gt;='1-Input'!$C$12,'1-Input'!$B$12,0))-MIN(MAX(M709,0),MAX(0,I671-IF($A710&gt;='1-Input'!$C$12,'1-Input'!$B$12,0))))*(1/(1-'P-Parametri'!$B$6*I710))+MIN(MAX(0,N709-(MAX(0,I671-IF($A710&gt;='1-Input'!$C$12,'1-Input'!$B$12,0))-MIN(MAX(M709,0),MAX(0,I671-IF($A710&gt;='1-Input'!$C$12,'1-Input'!$B$12,0))))*(1/(1-'P-Parametri'!$B$6*I710))),MAX(0,0*I671-(M709-MIN(MAX(M709,0),MAX(0,I671-IF($A710&gt;='1-Input'!$C$12,'1-Input'!$B$12,0)))))*(1/(1-'P-Parametri'!$B$6*I710))))</f>
        <v>10846.756992928691</v>
      </c>
      <c r="K710" s="18">
        <f>IF($A710&gt;'1-Input'!$B$26,M709,(M709-MAX(0,I671-IF($A710&gt;='1-Input'!$C$12,'1-Input'!$B$12,0))+J710*(1-'P-Parametri'!$B$6*I710))*(1+'1-Input'!$B$27))</f>
        <v>0</v>
      </c>
      <c r="L710" s="18">
        <f>IF($A710&gt;'1-Input'!$B$26,N709,(N709-J710)*(1+$D$4))</f>
        <v>-26290.055066681329</v>
      </c>
      <c r="M710" s="18">
        <f>IF($A710&gt;'1-Input'!$B$26,K710,K710-'P-Parametri'!$B$8*(L710+K710)+MIN(MAX(L710,0),'P-Parametri'!$B$8*(L710+K710)))</f>
        <v>0</v>
      </c>
      <c r="N710" s="18">
        <f>IF($A710&gt;'1-Input'!$B$26,L710,L710-MIN(MAX(L710,0),'P-Parametri'!$B$8*(L710+K710)))</f>
        <v>-26237.474956547965</v>
      </c>
      <c r="O710" s="18">
        <f>IF($A710&gt;'1-Input'!$B$26,O709,O709-J710*(1-I710))</f>
        <v>-22344.89657996624</v>
      </c>
      <c r="P710" s="11">
        <f>IF($A710&gt;'1-Input'!$B$26,0,IF(U709&lt;=0,0,MAX(0,(U709-V709)/U709)))</f>
        <v>0.79478041000870292</v>
      </c>
      <c r="Q710" s="18">
        <f>IF($A710&gt;'1-Input'!$B$26,0,(MAX(0,P671-IF($A710&gt;='1-Input'!$C$12,'1-Input'!$B$12,0))-MIN(MAX(T709,0),MAX(0,P671-IF($A710&gt;='1-Input'!$C$12,'1-Input'!$B$12,0))))*(1/(1-'P-Parametri'!$B$6*P710))+MIN(MAX(0,U709-(MAX(0,P671-IF($A710&gt;='1-Input'!$C$12,'1-Input'!$B$12,0))-MIN(MAX(T709,0),MAX(0,P671-IF($A710&gt;='1-Input'!$C$12,'1-Input'!$B$12,0))))*(1/(1-'P-Parametri'!$B$6*P710))),MAX(0,0*P671-(T709-MIN(MAX(T709,0),MAX(0,P671-IF($A710&gt;='1-Input'!$C$12,'1-Input'!$B$12,0)))))*(1/(1-'P-Parametri'!$B$6*P710))))</f>
        <v>12342.610066869971</v>
      </c>
      <c r="R710" s="18">
        <f>IF($A710&gt;'1-Input'!$B$26,T709,(T709-MAX(0,P671-IF($A710&gt;='1-Input'!$C$12,'1-Input'!$B$12,0))+Q710*(1-'P-Parametri'!$B$6*P710))*(1+'1-Input'!$B$27))</f>
        <v>0</v>
      </c>
      <c r="S710" s="18">
        <f>IF($A710&gt;'1-Input'!$B$26,U709,(U709-Q710)*(1+$D$4))</f>
        <v>66551.489545720979</v>
      </c>
      <c r="T710" s="18">
        <f>IF($A710&gt;'1-Input'!$B$26,R710,R710-'P-Parametri'!$B$8*(S710+R710)+MIN(MAX(S710,0),'P-Parametri'!$B$8*(S710+R710)))</f>
        <v>0</v>
      </c>
      <c r="U710" s="18">
        <f>IF($A710&gt;'1-Input'!$B$26,S710,S710-MIN(MAX(S710,0),'P-Parametri'!$B$8*(S710+R710)))</f>
        <v>66418.386566629531</v>
      </c>
      <c r="V710" s="18">
        <f>IF($A710&gt;'1-Input'!$B$26,V709,V709-Q710*(1-P710))</f>
        <v>13132.374421041304</v>
      </c>
      <c r="W710" s="11">
        <f>IF($A710&gt;'1-Input'!$B$26,0,IF(AB709&lt;=0,0,MAX(0,(AB709-AC709)/AB709)))</f>
        <v>0.7947804100087027</v>
      </c>
      <c r="X710" s="18">
        <f>IF($A710&gt;'1-Input'!$B$26,0,(MAX(0,W671-IF($A710&gt;='1-Input'!$C$12,'1-Input'!$B$12,0))-MIN(MAX(AA709,0),MAX(0,W671-IF($A710&gt;='1-Input'!$C$12,'1-Input'!$B$12,0))))*(1/(1-'P-Parametri'!$B$6*W710))+MIN(MAX(0,AB709-(MAX(0,W671-IF($A710&gt;='1-Input'!$C$12,'1-Input'!$B$12,0))-MIN(MAX(AA709,0),MAX(0,W671-IF($A710&gt;='1-Input'!$C$12,'1-Input'!$B$12,0))))*(1/(1-'P-Parametri'!$B$6*W710))),MAX(0,0*W671-(AA709-MIN(MAX(AA709,0),MAX(0,W671-IF($A710&gt;='1-Input'!$C$12,'1-Input'!$B$12,0)))))*(1/(1-'P-Parametri'!$B$6*W710))))</f>
        <v>12076.854262804485</v>
      </c>
      <c r="Y710" s="18">
        <f>IF($A710&gt;'1-Input'!$B$26,AA709,(AA709-MAX(0,W671-IF($A710&gt;='1-Input'!$C$12,'1-Input'!$B$12,0))+X710*(1-'P-Parametri'!$B$6*W710))*(1+'1-Input'!$B$27))</f>
        <v>0</v>
      </c>
      <c r="Z710" s="18">
        <f>IF($A710&gt;'1-Input'!$B$26,AB709,(AB709-X710)*(1+$D$4))</f>
        <v>86301.180529940684</v>
      </c>
      <c r="AA710" s="18">
        <f>IF($A710&gt;'1-Input'!$B$26,Y710,Y710-'P-Parametri'!$B$8*(Z710+Y710)+MIN(MAX(Z710,0),'P-Parametri'!$B$8*(Z710+Y710)))</f>
        <v>0</v>
      </c>
      <c r="AB710" s="18">
        <f>IF($A710&gt;'1-Input'!$B$26,Z710,Z710-MIN(MAX(Z710,0),'P-Parametri'!$B$8*(Z710+Y710)))</f>
        <v>86128.578168880806</v>
      </c>
      <c r="AC710" s="18">
        <f>IF($A710&gt;'1-Input'!$B$26,AC709,AC709-X710*(1-W710))</f>
        <v>17029.512388576299</v>
      </c>
      <c r="AD710" s="11">
        <f>IF($A710&gt;'1-Input'!$B$26,0,IF(AI709&lt;=0,0,MAX(0,(AI709-AJ709)/AI709)))</f>
        <v>0.79478041000870281</v>
      </c>
      <c r="AE710" s="18">
        <f>IF($A710&gt;'1-Input'!$B$26,0,(MAX(0,AD671-IF($A710&gt;='1-Input'!$C$12,'1-Input'!$B$12,0))-MIN(MAX(AH709,0),MAX(0,AD671-IF($A710&gt;='1-Input'!$C$12,'1-Input'!$B$12,0))))*(1/(1-'P-Parametri'!$B$6*AD710))+MIN(MAX(0,AI709-(MAX(0,AD671-IF($A710&gt;='1-Input'!$C$12,'1-Input'!$B$12,0))-MIN(MAX(AH709,0),MAX(0,AD671-IF($A710&gt;='1-Input'!$C$12,'1-Input'!$B$12,0))))*(1/(1-'P-Parametri'!$B$6*AD710))),MAX(0,0*AD671-(AH709-MIN(MAX(AH709,0),MAX(0,AD671-IF($A710&gt;='1-Input'!$C$12,'1-Input'!$B$12,0)))))*(1/(1-'P-Parametri'!$B$6*AD710))))</f>
        <v>12079.394861239896</v>
      </c>
      <c r="AF710" s="18">
        <f>IF($A710&gt;'1-Input'!$B$26,AH709,(AH709-MAX(0,AD671-IF($A710&gt;='1-Input'!$C$12,'1-Input'!$B$12,0))+AE710*(1-'P-Parametri'!$B$6*AD710))*(1+'1-Input'!$B$27))</f>
        <v>-1.8124410416930913E-12</v>
      </c>
      <c r="AG710" s="18">
        <f>IF($A710&gt;'1-Input'!$B$26,AI709,(AI709-AE710)*(1+$D$4))</f>
        <v>86112.375494464824</v>
      </c>
      <c r="AH710" s="18">
        <f>IF($A710&gt;'1-Input'!$B$26,AF710,AF710-'P-Parametri'!$B$8*(AG710+AF710)+MIN(MAX(AG710,0),'P-Parametri'!$B$8*(AG710+AF710)))</f>
        <v>-1.8189894035458565E-12</v>
      </c>
      <c r="AI710" s="18">
        <f>IF($A710&gt;'1-Input'!$B$26,AG710,AG710-MIN(MAX(AG710,0),'P-Parametri'!$B$8*(AG710+AF710)))</f>
        <v>85940.150743475897</v>
      </c>
      <c r="AJ710" s="18">
        <f>IF($A710&gt;'1-Input'!$B$26,AJ709,AJ709-AE710*(1-AD710))</f>
        <v>16992.256146298758</v>
      </c>
      <c r="AK710" s="11">
        <f>IF($A710&gt;'1-Input'!$B$26,0,IF(AP709&lt;=0,0,MAX(0,(AP709-AQ709)/AP709)))</f>
        <v>0.79478041000870292</v>
      </c>
      <c r="AL710" s="18">
        <f>IF($A710&gt;'1-Input'!$B$26,0,(MAX(0,AK671-IF($A710&gt;='1-Input'!$C$12,'1-Input'!$B$12,0))-MIN(MAX(AO709,0),MAX(0,AK671-IF($A710&gt;='1-Input'!$C$12,'1-Input'!$B$12,0))))*(1/(1-'P-Parametri'!$B$6*AK710))+MIN(MAX(0,AP709-(MAX(0,AK671-IF($A710&gt;='1-Input'!$C$12,'1-Input'!$B$12,0))-MIN(MAX(AO709,0),MAX(0,AK671-IF($A710&gt;='1-Input'!$C$12,'1-Input'!$B$12,0))))*(1/(1-'P-Parametri'!$B$6*AK710))),MAX(0,0*AK671-(AO709-MIN(MAX(AO709,0),MAX(0,AK671-IF($A710&gt;='1-Input'!$C$12,'1-Input'!$B$12,0)))))*(1/(1-'P-Parametri'!$B$6*AK710))))</f>
        <v>12078.885855003489</v>
      </c>
      <c r="AM710" s="18">
        <f>IF($A710&gt;'1-Input'!$B$26,AO709,(AO709-MAX(0,AK671-IF($A710&gt;='1-Input'!$C$12,'1-Input'!$B$12,0))+AL710*(1-'P-Parametri'!$B$6*AK710))*(1+'1-Input'!$B$27))</f>
        <v>0</v>
      </c>
      <c r="AN710" s="18">
        <f>IF($A710&gt;'1-Input'!$B$26,AP709,(AP709-AL710)*(1+$D$4))</f>
        <v>86150.202385635261</v>
      </c>
      <c r="AO710" s="18">
        <f>IF($A710&gt;'1-Input'!$B$26,AM710,AM710-'P-Parametri'!$B$8*(AN710+AM710)+MIN(MAX(AN710,0),'P-Parametri'!$B$8*(AN710+AM710)))</f>
        <v>0</v>
      </c>
      <c r="AP710" s="18">
        <f>IF($A710&gt;'1-Input'!$B$26,AN710,AN710-MIN(MAX(AN710,0),'P-Parametri'!$B$8*(AN710+AM710)))</f>
        <v>85977.901980863986</v>
      </c>
      <c r="AQ710" s="18">
        <f>IF($A710&gt;'1-Input'!$B$26,AQ709,AQ709-AL710*(1-AK710))</f>
        <v>16999.720395430129</v>
      </c>
    </row>
    <row r="711" spans="1:43">
      <c r="A711" s="10">
        <f>38</f>
        <v>38</v>
      </c>
      <c r="B711" s="11">
        <f>IF($A711&gt;'1-Input'!$B$26,0,IF(G710&lt;=0,0,MAX(0,(G710-H710)/G710)))</f>
        <v>0.80227802721664754</v>
      </c>
      <c r="C711" s="18">
        <f>IF($A711&gt;'1-Input'!$B$26,0,(MAX(0,B671-IF($A711&gt;='1-Input'!$C$12,'1-Input'!$B$12,0))-MIN(MAX(F710,0),MAX(0,B671-IF($A711&gt;='1-Input'!$C$12,'1-Input'!$B$12,0))))*(1/(1-'P-Parametri'!$B$6*B711))+MIN(MAX(0,G710-(MAX(0,B671-IF($A711&gt;='1-Input'!$C$12,'1-Input'!$B$12,0))-MIN(MAX(F710,0),MAX(0,B671-IF($A711&gt;='1-Input'!$C$12,'1-Input'!$B$12,0))))*(1/(1-'P-Parametri'!$B$6*B711))),MAX(0,0*B671-(F710-MIN(MAX(F710,0),MAX(0,B671-IF($A711&gt;='1-Input'!$C$12,'1-Input'!$B$12,0)))))*(1/(1-'P-Parametri'!$B$6*B711))))</f>
        <v>7049.5336645321295</v>
      </c>
      <c r="D711" s="18">
        <f>IF($A711&gt;'1-Input'!$B$26,F710,(F710-MAX(0,B671-IF($A711&gt;='1-Input'!$C$12,'1-Input'!$B$12,0))+C711*(1-'P-Parametri'!$B$6*B711))*(1+'1-Input'!$B$27))</f>
        <v>0</v>
      </c>
      <c r="E711" s="18">
        <f>IF($A711&gt;'1-Input'!$B$26,G710,(G710-C711)*(1+$D$4))</f>
        <v>471351.67263039894</v>
      </c>
      <c r="F711" s="18">
        <f>IF($A711&gt;'1-Input'!$B$26,D711,D711-'P-Parametri'!$B$8*(E711+D711)+MIN(MAX(E711,0),'P-Parametri'!$B$8*(E711+D711)))</f>
        <v>0</v>
      </c>
      <c r="G711" s="18">
        <f>IF($A711&gt;'1-Input'!$B$26,E711,E711-MIN(MAX(E711,0),'P-Parametri'!$B$8*(E711+D711)))</f>
        <v>470408.96928513813</v>
      </c>
      <c r="H711" s="18">
        <f>IF($A711&gt;'1-Input'!$B$26,H710,H710-C711*(1-B711))</f>
        <v>89612.098641553283</v>
      </c>
      <c r="I711" s="11">
        <f>IF($A711&gt;'1-Input'!$B$26,0,IF(N710&lt;=0,0,MAX(0,(N710-O710)/N710)))</f>
        <v>0</v>
      </c>
      <c r="J711" s="18">
        <f>IF($A711&gt;'1-Input'!$B$26,0,(MAX(0,I671-IF($A711&gt;='1-Input'!$C$12,'1-Input'!$B$12,0))-MIN(MAX(M710,0),MAX(0,I671-IF($A711&gt;='1-Input'!$C$12,'1-Input'!$B$12,0))))*(1/(1-'P-Parametri'!$B$6*I711))+MIN(MAX(0,N710-(MAX(0,I671-IF($A711&gt;='1-Input'!$C$12,'1-Input'!$B$12,0))-MIN(MAX(M710,0),MAX(0,I671-IF($A711&gt;='1-Input'!$C$12,'1-Input'!$B$12,0))))*(1/(1-'P-Parametri'!$B$6*I711))),MAX(0,0*I671-(M710-MIN(MAX(M710,0),MAX(0,I671-IF($A711&gt;='1-Input'!$C$12,'1-Input'!$B$12,0)))))*(1/(1-'P-Parametri'!$B$6*I711))))</f>
        <v>10846.756992928691</v>
      </c>
      <c r="K711" s="18">
        <f>IF($A711&gt;'1-Input'!$B$26,M710,(M710-MAX(0,I671-IF($A711&gt;='1-Input'!$C$12,'1-Input'!$B$12,0))+J711*(1-'P-Parametri'!$B$6*I711))*(1+'1-Input'!$B$27))</f>
        <v>0</v>
      </c>
      <c r="L711" s="18">
        <f>IF($A711&gt;'1-Input'!$B$26,N710,(N710-J711)*(1+$D$4))</f>
        <v>-38567.601227455722</v>
      </c>
      <c r="M711" s="18">
        <f>IF($A711&gt;'1-Input'!$B$26,K711,K711-'P-Parametri'!$B$8*(L711+K711)+MIN(MAX(L711,0),'P-Parametri'!$B$8*(L711+K711)))</f>
        <v>0</v>
      </c>
      <c r="N711" s="18">
        <f>IF($A711&gt;'1-Input'!$B$26,L711,L711-MIN(MAX(L711,0),'P-Parametri'!$B$8*(L711+K711)))</f>
        <v>-38490.466025000809</v>
      </c>
      <c r="O711" s="18">
        <f>IF($A711&gt;'1-Input'!$B$26,O710,O710-J711*(1-I711))</f>
        <v>-33191.653572894931</v>
      </c>
      <c r="P711" s="11">
        <f>IF($A711&gt;'1-Input'!$B$26,0,IF(U710&lt;=0,0,MAX(0,(U710-V710)/U710)))</f>
        <v>0.80227802721664754</v>
      </c>
      <c r="Q711" s="18">
        <f>IF($A711&gt;'1-Input'!$B$26,0,(MAX(0,P671-IF($A711&gt;='1-Input'!$C$12,'1-Input'!$B$12,0))-MIN(MAX(T710,0),MAX(0,P671-IF($A711&gt;='1-Input'!$C$12,'1-Input'!$B$12,0))))*(1/(1-'P-Parametri'!$B$6*P711))+MIN(MAX(0,U710-(MAX(0,P671-IF($A711&gt;='1-Input'!$C$12,'1-Input'!$B$12,0))-MIN(MAX(T710,0),MAX(0,P671-IF($A711&gt;='1-Input'!$C$12,'1-Input'!$B$12,0))))*(1/(1-'P-Parametri'!$B$6*P711))),MAX(0,0*P671-(T710-MIN(MAX(T710,0),MAX(0,P671-IF($A711&gt;='1-Input'!$C$12,'1-Input'!$B$12,0)))))*(1/(1-'P-Parametri'!$B$6*P711))))</f>
        <v>12373.012149981438</v>
      </c>
      <c r="R711" s="18">
        <f>IF($A711&gt;'1-Input'!$B$26,T710,(T710-MAX(0,P671-IF($A711&gt;='1-Input'!$C$12,'1-Input'!$B$12,0))+Q711*(1-'P-Parametri'!$B$6*P711))*(1+'1-Input'!$B$27))</f>
        <v>0</v>
      </c>
      <c r="S711" s="18">
        <f>IF($A711&gt;'1-Input'!$B$26,U710,(U710-Q711)*(1+$D$4))</f>
        <v>56207.189393314016</v>
      </c>
      <c r="T711" s="18">
        <f>IF($A711&gt;'1-Input'!$B$26,R711,R711-'P-Parametri'!$B$8*(S711+R711)+MIN(MAX(S711,0),'P-Parametri'!$B$8*(S711+R711)))</f>
        <v>0</v>
      </c>
      <c r="U711" s="18">
        <f>IF($A711&gt;'1-Input'!$B$26,S711,S711-MIN(MAX(S711,0),'P-Parametri'!$B$8*(S711+R711)))</f>
        <v>56094.775014527389</v>
      </c>
      <c r="V711" s="18">
        <f>IF($A711&gt;'1-Input'!$B$26,V710,V710-Q711*(1-P711))</f>
        <v>10685.958049474586</v>
      </c>
      <c r="W711" s="11">
        <f>IF($A711&gt;'1-Input'!$B$26,0,IF(AB710&lt;=0,0,MAX(0,(AB710-AC710)/AB710)))</f>
        <v>0.80227802721664743</v>
      </c>
      <c r="X711" s="18">
        <f>IF($A711&gt;'1-Input'!$B$26,0,(MAX(0,W671-IF($A711&gt;='1-Input'!$C$12,'1-Input'!$B$12,0))-MIN(MAX(AA710,0),MAX(0,W671-IF($A711&gt;='1-Input'!$C$12,'1-Input'!$B$12,0))))*(1/(1-'P-Parametri'!$B$6*W711))+MIN(MAX(0,AB710-(MAX(0,W671-IF($A711&gt;='1-Input'!$C$12,'1-Input'!$B$12,0))-MIN(MAX(AA710,0),MAX(0,W671-IF($A711&gt;='1-Input'!$C$12,'1-Input'!$B$12,0))))*(1/(1-'P-Parametri'!$B$6*W711))),MAX(0,0*W671-(AA710-MIN(MAX(AA710,0),MAX(0,W671-IF($A711&gt;='1-Input'!$C$12,'1-Input'!$B$12,0)))))*(1/(1-'P-Parametri'!$B$6*W711))))</f>
        <v>12106.60174125788</v>
      </c>
      <c r="Y711" s="18">
        <f>IF($A711&gt;'1-Input'!$B$26,AA710,(AA710-MAX(0,W671-IF($A711&gt;='1-Input'!$C$12,'1-Input'!$B$12,0))+X711*(1-'P-Parametri'!$B$6*W711))*(1+'1-Input'!$B$27))</f>
        <v>0</v>
      </c>
      <c r="Z711" s="18">
        <f>IF($A711&gt;'1-Input'!$B$26,AB710,(AB710-X711)*(1+$D$4))</f>
        <v>76982.855484727843</v>
      </c>
      <c r="AA711" s="18">
        <f>IF($A711&gt;'1-Input'!$B$26,Y711,Y711-'P-Parametri'!$B$8*(Z711+Y711)+MIN(MAX(Z711,0),'P-Parametri'!$B$8*(Z711+Y711)))</f>
        <v>0</v>
      </c>
      <c r="AB711" s="18">
        <f>IF($A711&gt;'1-Input'!$B$26,Z711,Z711-MIN(MAX(Z711,0),'P-Parametri'!$B$8*(Z711+Y711)))</f>
        <v>76828.88977375839</v>
      </c>
      <c r="AC711" s="18">
        <f>IF($A711&gt;'1-Input'!$B$26,AC710,AC710-X711*(1-W711))</f>
        <v>14635.771208592419</v>
      </c>
      <c r="AD711" s="11">
        <f>IF($A711&gt;'1-Input'!$B$26,0,IF(AI710&lt;=0,0,MAX(0,(AI710-AJ710)/AI710)))</f>
        <v>0.80227802721664732</v>
      </c>
      <c r="AE711" s="18">
        <f>IF($A711&gt;'1-Input'!$B$26,0,(MAX(0,AD671-IF($A711&gt;='1-Input'!$C$12,'1-Input'!$B$12,0))-MIN(MAX(AH710,0),MAX(0,AD671-IF($A711&gt;='1-Input'!$C$12,'1-Input'!$B$12,0))))*(1/(1-'P-Parametri'!$B$6*AD711))+MIN(MAX(0,AI710-(MAX(0,AD671-IF($A711&gt;='1-Input'!$C$12,'1-Input'!$B$12,0))-MIN(MAX(AH710,0),MAX(0,AD671-IF($A711&gt;='1-Input'!$C$12,'1-Input'!$B$12,0))))*(1/(1-'P-Parametri'!$B$6*AD711))),MAX(0,0*AD671-(AH710-MIN(MAX(AH710,0),MAX(0,AD671-IF($A711&gt;='1-Input'!$C$12,'1-Input'!$B$12,0)))))*(1/(1-'P-Parametri'!$B$6*AD711))))</f>
        <v>12109.14859764719</v>
      </c>
      <c r="AF711" s="18">
        <f>IF($A711&gt;'1-Input'!$B$26,AH710,(AH710-MAX(0,AD671-IF($A711&gt;='1-Input'!$C$12,'1-Input'!$B$12,0))+AE711*(1-'P-Parametri'!$B$6*AD711))*(1+'1-Input'!$B$27))</f>
        <v>-1.8124410416930913E-12</v>
      </c>
      <c r="AG711" s="18">
        <f>IF($A711&gt;'1-Input'!$B$26,AI710,(AI710-AE711)*(1+$D$4))</f>
        <v>76784.242231661861</v>
      </c>
      <c r="AH711" s="18">
        <f>IF($A711&gt;'1-Input'!$B$26,AF711,AF711-'P-Parametri'!$B$8*(AG711+AF711)+MIN(MAX(AG711,0),'P-Parametri'!$B$8*(AG711+AF711)))</f>
        <v>-1.8189894035458565E-12</v>
      </c>
      <c r="AI711" s="18">
        <f>IF($A711&gt;'1-Input'!$B$26,AG711,AG711-MIN(MAX(AG711,0),'P-Parametri'!$B$8*(AG711+AF711)))</f>
        <v>76630.67374719854</v>
      </c>
      <c r="AJ711" s="18">
        <f>IF($A711&gt;'1-Input'!$B$26,AJ710,AJ710-AE711*(1-AD711))</f>
        <v>14598.011396845188</v>
      </c>
      <c r="AK711" s="11">
        <f>IF($A711&gt;'1-Input'!$B$26,0,IF(AP710&lt;=0,0,MAX(0,(AP710-AQ710)/AP710)))</f>
        <v>0.80227802721664765</v>
      </c>
      <c r="AL711" s="18">
        <f>IF($A711&gt;'1-Input'!$B$26,0,(MAX(0,AK671-IF($A711&gt;='1-Input'!$C$12,'1-Input'!$B$12,0))-MIN(MAX(AO710,0),MAX(0,AK671-IF($A711&gt;='1-Input'!$C$12,'1-Input'!$B$12,0))))*(1/(1-'P-Parametri'!$B$6*AK711))+MIN(MAX(0,AP710-(MAX(0,AK671-IF($A711&gt;='1-Input'!$C$12,'1-Input'!$B$12,0))-MIN(MAX(AO710,0),MAX(0,AK671-IF($A711&gt;='1-Input'!$C$12,'1-Input'!$B$12,0))))*(1/(1-'P-Parametri'!$B$6*AK711))),MAX(0,0*AK671-(AO710-MIN(MAX(AO710,0),MAX(0,AK671-IF($A711&gt;='1-Input'!$C$12,'1-Input'!$B$12,0)))))*(1/(1-'P-Parametri'!$B$6*AK711))))</f>
        <v>12108.638337636268</v>
      </c>
      <c r="AM711" s="18">
        <f>IF($A711&gt;'1-Input'!$B$26,AO710,(AO710-MAX(0,AK671-IF($A711&gt;='1-Input'!$C$12,'1-Input'!$B$12,0))+AL711*(1-'P-Parametri'!$B$6*AK711))*(1+'1-Input'!$B$27))</f>
        <v>0</v>
      </c>
      <c r="AN711" s="18">
        <f>IF($A711&gt;'1-Input'!$B$26,AP710,(AP710-AL711)*(1+$D$4))</f>
        <v>76824.034188956837</v>
      </c>
      <c r="AO711" s="18">
        <f>IF($A711&gt;'1-Input'!$B$26,AM711,AM711-'P-Parametri'!$B$8*(AN711+AM711)+MIN(MAX(AN711,0),'P-Parametri'!$B$8*(AN711+AM711)))</f>
        <v>0</v>
      </c>
      <c r="AP711" s="18">
        <f>IF($A711&gt;'1-Input'!$B$26,AN711,AN711-MIN(MAX(AN711,0),'P-Parametri'!$B$8*(AN711+AM711)))</f>
        <v>76670.386120578929</v>
      </c>
      <c r="AQ711" s="18">
        <f>IF($A711&gt;'1-Input'!$B$26,AQ710,AQ710-AL711*(1-AK711))</f>
        <v>14605.576535592554</v>
      </c>
    </row>
    <row r="712" spans="1:43">
      <c r="A712" s="10">
        <f>39</f>
        <v>39</v>
      </c>
      <c r="B712" s="11">
        <f>IF($A712&gt;'1-Input'!$B$26,0,IF(G711&lt;=0,0,MAX(0,(G711-H711)/G711)))</f>
        <v>0.80950172192138847</v>
      </c>
      <c r="C712" s="18">
        <f>IF($A712&gt;'1-Input'!$B$26,0,(MAX(0,B671-IF($A712&gt;='1-Input'!$C$12,'1-Input'!$B$12,0))-MIN(MAX(F711,0),MAX(0,B671-IF($A712&gt;='1-Input'!$C$12,'1-Input'!$B$12,0))))*(1/(1-'P-Parametri'!$B$6*B712))+MIN(MAX(0,G711-(MAX(0,B671-IF($A712&gt;='1-Input'!$C$12,'1-Input'!$B$12,0))-MIN(MAX(F711,0),MAX(0,B671-IF($A712&gt;='1-Input'!$C$12,'1-Input'!$B$12,0))))*(1/(1-'P-Parametri'!$B$6*B712))),MAX(0,0*B671-(F711-MIN(MAX(F711,0),MAX(0,B671-IF($A712&gt;='1-Input'!$C$12,'1-Input'!$B$12,0)))))*(1/(1-'P-Parametri'!$B$6*B712))))</f>
        <v>7066.3033427567125</v>
      </c>
      <c r="D712" s="18">
        <f>IF($A712&gt;'1-Input'!$B$26,F711,(F711-MAX(0,B671-IF($A712&gt;='1-Input'!$C$12,'1-Input'!$B$12,0))+C712*(1-'P-Parametri'!$B$6*B712))*(1+'1-Input'!$B$27))</f>
        <v>0</v>
      </c>
      <c r="E712" s="18">
        <f>IF($A712&gt;'1-Input'!$B$26,G711,(G711-C712)*(1+$D$4))</f>
        <v>481876.37258007668</v>
      </c>
      <c r="F712" s="18">
        <f>IF($A712&gt;'1-Input'!$B$26,D712,D712-'P-Parametri'!$B$8*(E712+D712)+MIN(MAX(E712,0),'P-Parametri'!$B$8*(E712+D712)))</f>
        <v>0</v>
      </c>
      <c r="G712" s="18">
        <f>IF($A712&gt;'1-Input'!$B$26,E712,E712-MIN(MAX(E712,0),'P-Parametri'!$B$8*(E712+D712)))</f>
        <v>480912.61983491655</v>
      </c>
      <c r="H712" s="18">
        <f>IF($A712&gt;'1-Input'!$B$26,H711,H711-C712*(1-B712))</f>
        <v>88265.980022376985</v>
      </c>
      <c r="I712" s="11">
        <f>IF($A712&gt;'1-Input'!$B$26,0,IF(N711&lt;=0,0,MAX(0,(N711-O711)/N711)))</f>
        <v>0</v>
      </c>
      <c r="J712" s="18">
        <f>IF($A712&gt;'1-Input'!$B$26,0,(MAX(0,I671-IF($A712&gt;='1-Input'!$C$12,'1-Input'!$B$12,0))-MIN(MAX(M711,0),MAX(0,I671-IF($A712&gt;='1-Input'!$C$12,'1-Input'!$B$12,0))))*(1/(1-'P-Parametri'!$B$6*I712))+MIN(MAX(0,N711-(MAX(0,I671-IF($A712&gt;='1-Input'!$C$12,'1-Input'!$B$12,0))-MIN(MAX(M711,0),MAX(0,I671-IF($A712&gt;='1-Input'!$C$12,'1-Input'!$B$12,0))))*(1/(1-'P-Parametri'!$B$6*I712))),MAX(0,0*I671-(M711-MIN(MAX(M711,0),MAX(0,I671-IF($A712&gt;='1-Input'!$C$12,'1-Input'!$B$12,0)))))*(1/(1-'P-Parametri'!$B$6*I712))))</f>
        <v>10846.756992928691</v>
      </c>
      <c r="K712" s="18">
        <f>IF($A712&gt;'1-Input'!$B$26,M711,(M711-MAX(0,I671-IF($A712&gt;='1-Input'!$C$12,'1-Input'!$B$12,0))+J712*(1-'P-Parametri'!$B$6*I712))*(1+'1-Input'!$B$27))</f>
        <v>0</v>
      </c>
      <c r="L712" s="18">
        <f>IF($A712&gt;'1-Input'!$B$26,N711,(N711-J712)*(1+$D$4))</f>
        <v>-51310.71193864668</v>
      </c>
      <c r="M712" s="18">
        <f>IF($A712&gt;'1-Input'!$B$26,K712,K712-'P-Parametri'!$B$8*(L712+K712)+MIN(MAX(L712,0),'P-Parametri'!$B$8*(L712+K712)))</f>
        <v>0</v>
      </c>
      <c r="N712" s="18">
        <f>IF($A712&gt;'1-Input'!$B$26,L712,L712-MIN(MAX(L712,0),'P-Parametri'!$B$8*(L712+K712)))</f>
        <v>-51208.090514769385</v>
      </c>
      <c r="O712" s="18">
        <f>IF($A712&gt;'1-Input'!$B$26,O711,O711-J712*(1-I712))</f>
        <v>-44038.410565823622</v>
      </c>
      <c r="P712" s="11">
        <f>IF($A712&gt;'1-Input'!$B$26,0,IF(U711&lt;=0,0,MAX(0,(U711-V711)/U711)))</f>
        <v>0.80950172192138847</v>
      </c>
      <c r="Q712" s="18">
        <f>IF($A712&gt;'1-Input'!$B$26,0,(MAX(0,P671-IF($A712&gt;='1-Input'!$C$12,'1-Input'!$B$12,0))-MIN(MAX(T711,0),MAX(0,P671-IF($A712&gt;='1-Input'!$C$12,'1-Input'!$B$12,0))))*(1/(1-'P-Parametri'!$B$6*P712))+MIN(MAX(0,U711-(MAX(0,P671-IF($A712&gt;='1-Input'!$C$12,'1-Input'!$B$12,0))-MIN(MAX(T711,0),MAX(0,P671-IF($A712&gt;='1-Input'!$C$12,'1-Input'!$B$12,0))))*(1/(1-'P-Parametri'!$B$6*P712))),MAX(0,0*P671-(T711-MIN(MAX(T711,0),MAX(0,P671-IF($A712&gt;='1-Input'!$C$12,'1-Input'!$B$12,0)))))*(1/(1-'P-Parametri'!$B$6*P712))))</f>
        <v>12402.445505760414</v>
      </c>
      <c r="R712" s="18">
        <f>IF($A712&gt;'1-Input'!$B$26,T711,(T711-MAX(0,P671-IF($A712&gt;='1-Input'!$C$12,'1-Input'!$B$12,0))+Q712*(1-'P-Parametri'!$B$6*P712))*(1+'1-Input'!$B$27))</f>
        <v>0</v>
      </c>
      <c r="S712" s="18">
        <f>IF($A712&gt;'1-Input'!$B$26,U711,(U711-Q712)*(1+$D$4))</f>
        <v>45440.022689117657</v>
      </c>
      <c r="T712" s="18">
        <f>IF($A712&gt;'1-Input'!$B$26,R712,R712-'P-Parametri'!$B$8*(S712+R712)+MIN(MAX(S712,0),'P-Parametri'!$B$8*(S712+R712)))</f>
        <v>0</v>
      </c>
      <c r="U712" s="18">
        <f>IF($A712&gt;'1-Input'!$B$26,S712,S712-MIN(MAX(S712,0),'P-Parametri'!$B$8*(S712+R712)))</f>
        <v>45349.142643739418</v>
      </c>
      <c r="V712" s="18">
        <f>IF($A712&gt;'1-Input'!$B$26,V711,V711-Q712*(1-P712))</f>
        <v>8323.3135366634124</v>
      </c>
      <c r="W712" s="11">
        <f>IF($A712&gt;'1-Input'!$B$26,0,IF(AB711&lt;=0,0,MAX(0,(AB711-AC711)/AB711)))</f>
        <v>0.80950172192138847</v>
      </c>
      <c r="X712" s="18">
        <f>IF($A712&gt;'1-Input'!$B$26,0,(MAX(0,W671-IF($A712&gt;='1-Input'!$C$12,'1-Input'!$B$12,0))-MIN(MAX(AA711,0),MAX(0,W671-IF($A712&gt;='1-Input'!$C$12,'1-Input'!$B$12,0))))*(1/(1-'P-Parametri'!$B$6*W712))+MIN(MAX(0,AB711-(MAX(0,W671-IF($A712&gt;='1-Input'!$C$12,'1-Input'!$B$12,0))-MIN(MAX(AA711,0),MAX(0,W671-IF($A712&gt;='1-Input'!$C$12,'1-Input'!$B$12,0))))*(1/(1-'P-Parametri'!$B$6*W712))),MAX(0,0*W671-(AA711-MIN(MAX(AA711,0),MAX(0,W671-IF($A712&gt;='1-Input'!$C$12,'1-Input'!$B$12,0)))))*(1/(1-'P-Parametri'!$B$6*W712))))</f>
        <v>12135.40135060162</v>
      </c>
      <c r="Y712" s="18">
        <f>IF($A712&gt;'1-Input'!$B$26,AA711,(AA711-MAX(0,W671-IF($A712&gt;='1-Input'!$C$12,'1-Input'!$B$12,0))+X712*(1-'P-Parametri'!$B$6*W712))*(1+'1-Input'!$B$27))</f>
        <v>0</v>
      </c>
      <c r="Z712" s="18">
        <f>IF($A712&gt;'1-Input'!$B$26,AB711,(AB711-X712)*(1+$D$4))</f>
        <v>67281.227960083037</v>
      </c>
      <c r="AA712" s="18">
        <f>IF($A712&gt;'1-Input'!$B$26,Y712,Y712-'P-Parametri'!$B$8*(Z712+Y712)+MIN(MAX(Z712,0),'P-Parametri'!$B$8*(Z712+Y712)))</f>
        <v>0</v>
      </c>
      <c r="AB712" s="18">
        <f>IF($A712&gt;'1-Input'!$B$26,Z712,Z712-MIN(MAX(Z712,0),'P-Parametri'!$B$8*(Z712+Y712)))</f>
        <v>67146.665504162869</v>
      </c>
      <c r="AC712" s="18">
        <f>IF($A712&gt;'1-Input'!$B$26,AC711,AC711-X712*(1-W712))</f>
        <v>12323.998147509954</v>
      </c>
      <c r="AD712" s="11">
        <f>IF($A712&gt;'1-Input'!$B$26,0,IF(AI711&lt;=0,0,MAX(0,(AI711-AJ711)/AI711)))</f>
        <v>0.80950172192138836</v>
      </c>
      <c r="AE712" s="18">
        <f>IF($A712&gt;'1-Input'!$B$26,0,(MAX(0,AD671-IF($A712&gt;='1-Input'!$C$12,'1-Input'!$B$12,0))-MIN(MAX(AH711,0),MAX(0,AD671-IF($A712&gt;='1-Input'!$C$12,'1-Input'!$B$12,0))))*(1/(1-'P-Parametri'!$B$6*AD712))+MIN(MAX(0,AI711-(MAX(0,AD671-IF($A712&gt;='1-Input'!$C$12,'1-Input'!$B$12,0))-MIN(MAX(AH711,0),MAX(0,AD671-IF($A712&gt;='1-Input'!$C$12,'1-Input'!$B$12,0))))*(1/(1-'P-Parametri'!$B$6*AD712))),MAX(0,0*AD671-(AH711-MIN(MAX(AH711,0),MAX(0,AD671-IF($A712&gt;='1-Input'!$C$12,'1-Input'!$B$12,0)))))*(1/(1-'P-Parametri'!$B$6*AD712))))</f>
        <v>12137.954265542341</v>
      </c>
      <c r="AF712" s="18">
        <f>IF($A712&gt;'1-Input'!$B$26,AH711,(AH711-MAX(0,AD671-IF($A712&gt;='1-Input'!$C$12,'1-Input'!$B$12,0))+AE712*(1-'P-Parametri'!$B$6*AD712))*(1+'1-Input'!$B$27))</f>
        <v>0</v>
      </c>
      <c r="AG712" s="18">
        <f>IF($A712&gt;'1-Input'!$B$26,AI711,(AI711-AE712)*(1+$D$4))</f>
        <v>67072.428260922446</v>
      </c>
      <c r="AH712" s="18">
        <f>IF($A712&gt;'1-Input'!$B$26,AF712,AF712-'P-Parametri'!$B$8*(AG712+AF712)+MIN(MAX(AG712,0),'P-Parametri'!$B$8*(AG712+AF712)))</f>
        <v>0</v>
      </c>
      <c r="AI712" s="18">
        <f>IF($A712&gt;'1-Input'!$B$26,AG712,AG712-MIN(MAX(AG712,0),'P-Parametri'!$B$8*(AG712+AF712)))</f>
        <v>66938.283404400601</v>
      </c>
      <c r="AJ712" s="18">
        <f>IF($A712&gt;'1-Input'!$B$26,AJ711,AJ711-AE712*(1-AD712))</f>
        <v>12285.752009862434</v>
      </c>
      <c r="AK712" s="11">
        <f>IF($A712&gt;'1-Input'!$B$26,0,IF(AP711&lt;=0,0,MAX(0,(AP711-AQ711)/AP711)))</f>
        <v>0.80950172192138858</v>
      </c>
      <c r="AL712" s="18">
        <f>IF($A712&gt;'1-Input'!$B$26,0,(MAX(0,AK671-IF($A712&gt;='1-Input'!$C$12,'1-Input'!$B$12,0))-MIN(MAX(AO711,0),MAX(0,AK671-IF($A712&gt;='1-Input'!$C$12,'1-Input'!$B$12,0))))*(1/(1-'P-Parametri'!$B$6*AK712))+MIN(MAX(0,AP711-(MAX(0,AK671-IF($A712&gt;='1-Input'!$C$12,'1-Input'!$B$12,0))-MIN(MAX(AO711,0),MAX(0,AK671-IF($A712&gt;='1-Input'!$C$12,'1-Input'!$B$12,0))))*(1/(1-'P-Parametri'!$B$6*AK712))),MAX(0,0*AK671-(AO711-MIN(MAX(AO711,0),MAX(0,AK671-IF($A712&gt;='1-Input'!$C$12,'1-Input'!$B$12,0)))))*(1/(1-'P-Parametri'!$B$6*AK712))))</f>
        <v>12137.44279170699</v>
      </c>
      <c r="AM712" s="18">
        <f>IF($A712&gt;'1-Input'!$B$26,AO711,(AO711-MAX(0,AK671-IF($A712&gt;='1-Input'!$C$12,'1-Input'!$B$12,0))+AL712*(1-'P-Parametri'!$B$6*AK712))*(1+'1-Input'!$B$27))</f>
        <v>0</v>
      </c>
      <c r="AN712" s="18">
        <f>IF($A712&gt;'1-Input'!$B$26,AP711,(AP711-AL712)*(1+$D$4))</f>
        <v>67114.261062026824</v>
      </c>
      <c r="AO712" s="18">
        <f>IF($A712&gt;'1-Input'!$B$26,AM712,AM712-'P-Parametri'!$B$8*(AN712+AM712)+MIN(MAX(AN712,0),'P-Parametri'!$B$8*(AN712+AM712)))</f>
        <v>0</v>
      </c>
      <c r="AP712" s="18">
        <f>IF($A712&gt;'1-Input'!$B$26,AN712,AN712-MIN(MAX(AN712,0),'P-Parametri'!$B$8*(AN712+AM712)))</f>
        <v>66980.032539902764</v>
      </c>
      <c r="AQ712" s="18">
        <f>IF($A712&gt;'1-Input'!$B$26,AQ711,AQ711-AL712*(1-AK712))</f>
        <v>12293.414583494719</v>
      </c>
    </row>
    <row r="713" spans="1:43">
      <c r="A713" s="10">
        <f>40</f>
        <v>40</v>
      </c>
      <c r="B713" s="11">
        <f>IF($A713&gt;'1-Input'!$B$26,0,IF(G712&lt;=0,0,MAX(0,(G712-H712)/G712)))</f>
        <v>0.81646150177411403</v>
      </c>
      <c r="C713" s="18">
        <f>IF($A713&gt;'1-Input'!$B$26,0,(MAX(0,B671-IF($A713&gt;='1-Input'!$C$12,'1-Input'!$B$12,0))-MIN(MAX(F712,0),MAX(0,B671-IF($A713&gt;='1-Input'!$C$12,'1-Input'!$B$12,0))))*(1/(1-'P-Parametri'!$B$6*B713))+MIN(MAX(0,G712-(MAX(0,B671-IF($A713&gt;='1-Input'!$C$12,'1-Input'!$B$12,0))-MIN(MAX(F712,0),MAX(0,B671-IF($A713&gt;='1-Input'!$C$12,'1-Input'!$B$12,0))))*(1/(1-'P-Parametri'!$B$6*B713))),MAX(0,0*B671-(F712-MIN(MAX(F712,0),MAX(0,B671-IF($A713&gt;='1-Input'!$C$12,'1-Input'!$B$12,0)))))*(1/(1-'P-Parametri'!$B$6*B713))))</f>
        <v>7082.5359862227715</v>
      </c>
      <c r="D713" s="18">
        <f>IF($A713&gt;'1-Input'!$B$26,F712,(F712-MAX(0,B671-IF($A713&gt;='1-Input'!$C$12,'1-Input'!$B$12,0))+C713*(1-'P-Parametri'!$B$6*B713))*(1+'1-Input'!$B$27))</f>
        <v>0</v>
      </c>
      <c r="E713" s="18">
        <f>IF($A713&gt;'1-Input'!$B$26,G712,(G712-C713)*(1+$D$4))</f>
        <v>492783.28720264154</v>
      </c>
      <c r="F713" s="18">
        <f>IF($A713&gt;'1-Input'!$B$26,D713,D713-'P-Parametri'!$B$8*(E713+D713)+MIN(MAX(E713,0),'P-Parametri'!$B$8*(E713+D713)))</f>
        <v>0</v>
      </c>
      <c r="G713" s="18">
        <f>IF($A713&gt;'1-Input'!$B$26,E713,E713-MIN(MAX(E713,0),'P-Parametri'!$B$8*(E713+D713)))</f>
        <v>491797.72062823625</v>
      </c>
      <c r="H713" s="18">
        <f>IF($A713&gt;'1-Input'!$B$26,H712,H712-C713*(1-B713))</f>
        <v>86966.062003834857</v>
      </c>
      <c r="I713" s="11">
        <f>IF($A713&gt;'1-Input'!$B$26,0,IF(N712&lt;=0,0,MAX(0,(N712-O712)/N712)))</f>
        <v>0</v>
      </c>
      <c r="J713" s="18">
        <f>IF($A713&gt;'1-Input'!$B$26,0,(MAX(0,I671-IF($A713&gt;='1-Input'!$C$12,'1-Input'!$B$12,0))-MIN(MAX(M712,0),MAX(0,I671-IF($A713&gt;='1-Input'!$C$12,'1-Input'!$B$12,0))))*(1/(1-'P-Parametri'!$B$6*I713))+MIN(MAX(0,N712-(MAX(0,I671-IF($A713&gt;='1-Input'!$C$12,'1-Input'!$B$12,0))-MIN(MAX(M712,0),MAX(0,I671-IF($A713&gt;='1-Input'!$C$12,'1-Input'!$B$12,0))))*(1/(1-'P-Parametri'!$B$6*I713))),MAX(0,0*I671-(M712-MIN(MAX(M712,0),MAX(0,I671-IF($A713&gt;='1-Input'!$C$12,'1-Input'!$B$12,0)))))*(1/(1-'P-Parametri'!$B$6*I713))))</f>
        <v>10846.756992928691</v>
      </c>
      <c r="K713" s="18">
        <f>IF($A713&gt;'1-Input'!$B$26,M712,(M712-MAX(0,I671-IF($A713&gt;='1-Input'!$C$12,'1-Input'!$B$12,0))+J713*(1-'P-Parametri'!$B$6*I713))*(1+'1-Input'!$B$27))</f>
        <v>0</v>
      </c>
      <c r="L713" s="18">
        <f>IF($A713&gt;'1-Input'!$B$26,N712,(N712-J713)*(1+$D$4))</f>
        <v>-64537.041408006</v>
      </c>
      <c r="M713" s="18">
        <f>IF($A713&gt;'1-Input'!$B$26,K713,K713-'P-Parametri'!$B$8*(L713+K713)+MIN(MAX(L713,0),'P-Parametri'!$B$8*(L713+K713)))</f>
        <v>0</v>
      </c>
      <c r="N713" s="18">
        <f>IF($A713&gt;'1-Input'!$B$26,L713,L713-MIN(MAX(L713,0),'P-Parametri'!$B$8*(L713+K713)))</f>
        <v>-64407.967325189988</v>
      </c>
      <c r="O713" s="18">
        <f>IF($A713&gt;'1-Input'!$B$26,O712,O712-J713*(1-I713))</f>
        <v>-54885.167558752313</v>
      </c>
      <c r="P713" s="11">
        <f>IF($A713&gt;'1-Input'!$B$26,0,IF(U712&lt;=0,0,MAX(0,(U712-V712)/U712)))</f>
        <v>0.81646150177411403</v>
      </c>
      <c r="Q713" s="18">
        <f>IF($A713&gt;'1-Input'!$B$26,0,(MAX(0,P671-IF($A713&gt;='1-Input'!$C$12,'1-Input'!$B$12,0))-MIN(MAX(T712,0),MAX(0,P671-IF($A713&gt;='1-Input'!$C$12,'1-Input'!$B$12,0))))*(1/(1-'P-Parametri'!$B$6*P713))+MIN(MAX(0,U712-(MAX(0,P671-IF($A713&gt;='1-Input'!$C$12,'1-Input'!$B$12,0))-MIN(MAX(T712,0),MAX(0,P671-IF($A713&gt;='1-Input'!$C$12,'1-Input'!$B$12,0))))*(1/(1-'P-Parametri'!$B$6*P713))),MAX(0,0*P671-(T712-MIN(MAX(T712,0),MAX(0,P671-IF($A713&gt;='1-Input'!$C$12,'1-Input'!$B$12,0)))))*(1/(1-'P-Parametri'!$B$6*P713))))</f>
        <v>12430.936283220257</v>
      </c>
      <c r="R713" s="18">
        <f>IF($A713&gt;'1-Input'!$B$26,T712,(T712-MAX(0,P671-IF($A713&gt;='1-Input'!$C$12,'1-Input'!$B$12,0))+Q713*(1-'P-Parametri'!$B$6*P713))*(1+'1-Input'!$B$27))</f>
        <v>0</v>
      </c>
      <c r="S713" s="18">
        <f>IF($A713&gt;'1-Input'!$B$26,U712,(U712-Q713)*(1+$D$4))</f>
        <v>34234.934614939935</v>
      </c>
      <c r="T713" s="18">
        <f>IF($A713&gt;'1-Input'!$B$26,R713,R713-'P-Parametri'!$B$8*(S713+R713)+MIN(MAX(S713,0),'P-Parametri'!$B$8*(S713+R713)))</f>
        <v>0</v>
      </c>
      <c r="U713" s="18">
        <f>IF($A713&gt;'1-Input'!$B$26,S713,S713-MIN(MAX(S713,0),'P-Parametri'!$B$8*(S713+R713)))</f>
        <v>34166.464745710058</v>
      </c>
      <c r="V713" s="18">
        <f>IF($A713&gt;'1-Input'!$B$26,V712,V712-Q713*(1-P713))</f>
        <v>6041.7581596994896</v>
      </c>
      <c r="W713" s="11">
        <f>IF($A713&gt;'1-Input'!$B$26,0,IF(AB712&lt;=0,0,MAX(0,(AB712-AC712)/AB712)))</f>
        <v>0.81646150177411403</v>
      </c>
      <c r="X713" s="18">
        <f>IF($A713&gt;'1-Input'!$B$26,0,(MAX(0,W671-IF($A713&gt;='1-Input'!$C$12,'1-Input'!$B$12,0))-MIN(MAX(AA712,0),MAX(0,W671-IF($A713&gt;='1-Input'!$C$12,'1-Input'!$B$12,0))))*(1/(1-'P-Parametri'!$B$6*W713))+MIN(MAX(0,AB712-(MAX(0,W671-IF($A713&gt;='1-Input'!$C$12,'1-Input'!$B$12,0))-MIN(MAX(AA712,0),MAX(0,W671-IF($A713&gt;='1-Input'!$C$12,'1-Input'!$B$12,0))))*(1/(1-'P-Parametri'!$B$6*W713))),MAX(0,0*W671-(AA712-MIN(MAX(AA712,0),MAX(0,W671-IF($A713&gt;='1-Input'!$C$12,'1-Input'!$B$12,0)))))*(1/(1-'P-Parametri'!$B$6*W713))))</f>
        <v>12163.278676819687</v>
      </c>
      <c r="Y713" s="18">
        <f>IF($A713&gt;'1-Input'!$B$26,AA712,(AA712-MAX(0,W671-IF($A713&gt;='1-Input'!$C$12,'1-Input'!$B$12,0))+X713*(1-'P-Parametri'!$B$6*W713))*(1+'1-Input'!$B$27))</f>
        <v>0</v>
      </c>
      <c r="Z713" s="18">
        <f>IF($A713&gt;'1-Input'!$B$26,AB712,(AB712-X713)*(1+$D$4))</f>
        <v>57182.722300436908</v>
      </c>
      <c r="AA713" s="18">
        <f>IF($A713&gt;'1-Input'!$B$26,Y713,Y713-'P-Parametri'!$B$8*(Z713+Y713)+MIN(MAX(Z713,0),'P-Parametri'!$B$8*(Z713+Y713)))</f>
        <v>0</v>
      </c>
      <c r="AB713" s="18">
        <f>IF($A713&gt;'1-Input'!$B$26,Z713,Z713-MIN(MAX(Z713,0),'P-Parametri'!$B$8*(Z713+Y713)))</f>
        <v>57068.356855836035</v>
      </c>
      <c r="AC713" s="18">
        <f>IF($A713&gt;'1-Input'!$B$26,AC712,AC712-X713*(1-W713))</f>
        <v>10091.568245663528</v>
      </c>
      <c r="AD713" s="11">
        <f>IF($A713&gt;'1-Input'!$B$26,0,IF(AI712&lt;=0,0,MAX(0,(AI712-AJ712)/AI712)))</f>
        <v>0.81646150177411392</v>
      </c>
      <c r="AE713" s="18">
        <f>IF($A713&gt;'1-Input'!$B$26,0,(MAX(0,AD671-IF($A713&gt;='1-Input'!$C$12,'1-Input'!$B$12,0))-MIN(MAX(AH712,0),MAX(0,AD671-IF($A713&gt;='1-Input'!$C$12,'1-Input'!$B$12,0))))*(1/(1-'P-Parametri'!$B$6*AD713))+MIN(MAX(0,AI712-(MAX(0,AD671-IF($A713&gt;='1-Input'!$C$12,'1-Input'!$B$12,0))-MIN(MAX(AH712,0),MAX(0,AD671-IF($A713&gt;='1-Input'!$C$12,'1-Input'!$B$12,0))))*(1/(1-'P-Parametri'!$B$6*AD713))),MAX(0,0*AD671-(AH712-MIN(MAX(AH712,0),MAX(0,AD671-IF($A713&gt;='1-Input'!$C$12,'1-Input'!$B$12,0)))))*(1/(1-'P-Parametri'!$B$6*AD713))))</f>
        <v>12165.837456291836</v>
      </c>
      <c r="AF713" s="18">
        <f>IF($A713&gt;'1-Input'!$B$26,AH712,(AH712-MAX(0,AD671-IF($A713&gt;='1-Input'!$C$12,'1-Input'!$B$12,0))+AE713*(1-'P-Parametri'!$B$6*AD713))*(1+'1-Input'!$B$27))</f>
        <v>0</v>
      </c>
      <c r="AG713" s="18">
        <f>IF($A713&gt;'1-Input'!$B$26,AI712,(AI712-AE713)*(1+$D$4))</f>
        <v>56963.343786033125</v>
      </c>
      <c r="AH713" s="18">
        <f>IF($A713&gt;'1-Input'!$B$26,AF713,AF713-'P-Parametri'!$B$8*(AG713+AF713)+MIN(MAX(AG713,0),'P-Parametri'!$B$8*(AG713+AF713)))</f>
        <v>0</v>
      </c>
      <c r="AI713" s="18">
        <f>IF($A713&gt;'1-Input'!$B$26,AG713,AG713-MIN(MAX(AG713,0),'P-Parametri'!$B$8*(AG713+AF713)))</f>
        <v>56849.417098461061</v>
      </c>
      <c r="AJ713" s="18">
        <f>IF($A713&gt;'1-Input'!$B$26,AJ712,AJ712-AE713*(1-AD713))</f>
        <v>10052.852473474395</v>
      </c>
      <c r="AK713" s="11">
        <f>IF($A713&gt;'1-Input'!$B$26,0,IF(AP712&lt;=0,0,MAX(0,(AP712-AQ712)/AP712)))</f>
        <v>0.81646150177411414</v>
      </c>
      <c r="AL713" s="18">
        <f>IF($A713&gt;'1-Input'!$B$26,0,(MAX(0,AK671-IF($A713&gt;='1-Input'!$C$12,'1-Input'!$B$12,0))-MIN(MAX(AO712,0),MAX(0,AK671-IF($A713&gt;='1-Input'!$C$12,'1-Input'!$B$12,0))))*(1/(1-'P-Parametri'!$B$6*AK713))+MIN(MAX(0,AP712-(MAX(0,AK671-IF($A713&gt;='1-Input'!$C$12,'1-Input'!$B$12,0))-MIN(MAX(AO712,0),MAX(0,AK671-IF($A713&gt;='1-Input'!$C$12,'1-Input'!$B$12,0))))*(1/(1-'P-Parametri'!$B$6*AK713))),MAX(0,0*AK671-(AO712-MIN(MAX(AO712,0),MAX(0,AK671-IF($A713&gt;='1-Input'!$C$12,'1-Input'!$B$12,0)))))*(1/(1-'P-Parametri'!$B$6*AK713))))</f>
        <v>12165.324807503754</v>
      </c>
      <c r="AM713" s="18">
        <f>IF($A713&gt;'1-Input'!$B$26,AO712,(AO712-MAX(0,AK671-IF($A713&gt;='1-Input'!$C$12,'1-Input'!$B$12,0))+AL713*(1-'P-Parametri'!$B$6*AK713))*(1+'1-Input'!$B$27))</f>
        <v>0</v>
      </c>
      <c r="AN713" s="18">
        <f>IF($A713&gt;'1-Input'!$B$26,AP712,(AP712-AL713)*(1+$D$4))</f>
        <v>57007.296041694972</v>
      </c>
      <c r="AO713" s="18">
        <f>IF($A713&gt;'1-Input'!$B$26,AM713,AM713-'P-Parametri'!$B$8*(AN713+AM713)+MIN(MAX(AN713,0),'P-Parametri'!$B$8*(AN713+AM713)))</f>
        <v>0</v>
      </c>
      <c r="AP713" s="18">
        <f>IF($A713&gt;'1-Input'!$B$26,AN713,AN713-MIN(MAX(AN713,0),'P-Parametri'!$B$8*(AN713+AM713)))</f>
        <v>56893.281449611583</v>
      </c>
      <c r="AQ713" s="18">
        <f>IF($A713&gt;'1-Input'!$B$26,AQ712,AQ712-AL713*(1-AK713))</f>
        <v>10060.609137895366</v>
      </c>
    </row>
    <row r="714" spans="1:43">
      <c r="A714" s="10">
        <f>41</f>
        <v>41</v>
      </c>
      <c r="B714" s="11">
        <f>IF($A714&gt;'1-Input'!$B$26,0,IF(G713&lt;=0,0,MAX(0,(G713-H713)/G713)))</f>
        <v>0.82316700880040283</v>
      </c>
      <c r="C714" s="18">
        <f>IF($A714&gt;'1-Input'!$B$26,0,(MAX(0,B671-IF($A714&gt;='1-Input'!$C$12,'1-Input'!$B$12,0))-MIN(MAX(F713,0),MAX(0,B671-IF($A714&gt;='1-Input'!$C$12,'1-Input'!$B$12,0))))*(1/(1-'P-Parametri'!$B$6*B714))+MIN(MAX(0,G713-(MAX(0,B671-IF($A714&gt;='1-Input'!$C$12,'1-Input'!$B$12,0))-MIN(MAX(F713,0),MAX(0,B671-IF($A714&gt;='1-Input'!$C$12,'1-Input'!$B$12,0))))*(1/(1-'P-Parametri'!$B$6*B714))),MAX(0,0*B671-(F713-MIN(MAX(F713,0),MAX(0,B671-IF($A714&gt;='1-Input'!$C$12,'1-Input'!$B$12,0)))))*(1/(1-'P-Parametri'!$B$6*B714))))</f>
        <v>7098.2462745484518</v>
      </c>
      <c r="D714" s="18">
        <f>IF($A714&gt;'1-Input'!$B$26,F713,(F713-MAX(0,B671-IF($A714&gt;='1-Input'!$C$12,'1-Input'!$B$12,0))+C714*(1-'P-Parametri'!$B$6*B714))*(1+'1-Input'!$B$27))</f>
        <v>-9.0622052084654565E-13</v>
      </c>
      <c r="E714" s="18">
        <f>IF($A714&gt;'1-Input'!$B$26,G713,(G713-C714)*(1+$D$4))</f>
        <v>504087.4533278353</v>
      </c>
      <c r="F714" s="18">
        <f>IF($A714&gt;'1-Input'!$B$26,D714,D714-'P-Parametri'!$B$8*(E714+D714)+MIN(MAX(E714,0),'P-Parametri'!$B$8*(E714+D714)))</f>
        <v>-9.0949470177292824E-13</v>
      </c>
      <c r="G714" s="18">
        <f>IF($A714&gt;'1-Input'!$B$26,E714,E714-MIN(MAX(E714,0),'P-Parametri'!$B$8*(E714+D714)))</f>
        <v>503079.27842117962</v>
      </c>
      <c r="H714" s="18">
        <f>IF($A714&gt;'1-Input'!$B$26,H713,H713-C714*(1-B714))</f>
        <v>85710.857882835058</v>
      </c>
      <c r="I714" s="11">
        <f>IF($A714&gt;'1-Input'!$B$26,0,IF(N713&lt;=0,0,MAX(0,(N713-O713)/N713)))</f>
        <v>0</v>
      </c>
      <c r="J714" s="18">
        <f>IF($A714&gt;'1-Input'!$B$26,0,(MAX(0,I671-IF($A714&gt;='1-Input'!$C$12,'1-Input'!$B$12,0))-MIN(MAX(M713,0),MAX(0,I671-IF($A714&gt;='1-Input'!$C$12,'1-Input'!$B$12,0))))*(1/(1-'P-Parametri'!$B$6*I714))+MIN(MAX(0,N713-(MAX(0,I671-IF($A714&gt;='1-Input'!$C$12,'1-Input'!$B$12,0))-MIN(MAX(M713,0),MAX(0,I671-IF($A714&gt;='1-Input'!$C$12,'1-Input'!$B$12,0))))*(1/(1-'P-Parametri'!$B$6*I714))),MAX(0,0*I671-(M713-MIN(MAX(M713,0),MAX(0,I671-IF($A714&gt;='1-Input'!$C$12,'1-Input'!$B$12,0)))))*(1/(1-'P-Parametri'!$B$6*I714))))</f>
        <v>10846.756992928691</v>
      </c>
      <c r="K714" s="18">
        <f>IF($A714&gt;'1-Input'!$B$26,M713,(M713-MAX(0,I671-IF($A714&gt;='1-Input'!$C$12,'1-Input'!$B$12,0))+J714*(1-'P-Parametri'!$B$6*I714))*(1+'1-Input'!$B$27))</f>
        <v>0</v>
      </c>
      <c r="L714" s="18">
        <f>IF($A714&gt;'1-Input'!$B$26,N713,(N713-J714)*(1+$D$4))</f>
        <v>-78264.913290843426</v>
      </c>
      <c r="M714" s="18">
        <f>IF($A714&gt;'1-Input'!$B$26,K714,K714-'P-Parametri'!$B$8*(L714+K714)+MIN(MAX(L714,0),'P-Parametri'!$B$8*(L714+K714)))</f>
        <v>0</v>
      </c>
      <c r="N714" s="18">
        <f>IF($A714&gt;'1-Input'!$B$26,L714,L714-MIN(MAX(L714,0),'P-Parametri'!$B$8*(L714+K714)))</f>
        <v>-78108.383464261744</v>
      </c>
      <c r="O714" s="18">
        <f>IF($A714&gt;'1-Input'!$B$26,O713,O713-J714*(1-I714))</f>
        <v>-65731.924551681004</v>
      </c>
      <c r="P714" s="11">
        <f>IF($A714&gt;'1-Input'!$B$26,0,IF(U713&lt;=0,0,MAX(0,(U713-V713)/U713)))</f>
        <v>0.82316700880040294</v>
      </c>
      <c r="Q714" s="18">
        <f>IF($A714&gt;'1-Input'!$B$26,0,(MAX(0,P671-IF($A714&gt;='1-Input'!$C$12,'1-Input'!$B$12,0))-MIN(MAX(T713,0),MAX(0,P671-IF($A714&gt;='1-Input'!$C$12,'1-Input'!$B$12,0))))*(1/(1-'P-Parametri'!$B$6*P714))+MIN(MAX(0,U713-(MAX(0,P671-IF($A714&gt;='1-Input'!$C$12,'1-Input'!$B$12,0))-MIN(MAX(T713,0),MAX(0,P671-IF($A714&gt;='1-Input'!$C$12,'1-Input'!$B$12,0))))*(1/(1-'P-Parametri'!$B$6*P714))),MAX(0,0*P671-(T713-MIN(MAX(T713,0),MAX(0,P671-IF($A714&gt;='1-Input'!$C$12,'1-Input'!$B$12,0)))))*(1/(1-'P-Parametri'!$B$6*P714))))</f>
        <v>12458.510247340941</v>
      </c>
      <c r="R714" s="18">
        <f>IF($A714&gt;'1-Input'!$B$26,T713,(T713-MAX(0,P671-IF($A714&gt;='1-Input'!$C$12,'1-Input'!$B$12,0))+Q714*(1-'P-Parametri'!$B$6*P714))*(1+'1-Input'!$B$27))</f>
        <v>0</v>
      </c>
      <c r="S714" s="18">
        <f>IF($A714&gt;'1-Input'!$B$26,U713,(U713-Q714)*(1+$D$4))</f>
        <v>22576.272678303882</v>
      </c>
      <c r="T714" s="18">
        <f>IF($A714&gt;'1-Input'!$B$26,R714,R714-'P-Parametri'!$B$8*(S714+R714)+MIN(MAX(S714,0),'P-Parametri'!$B$8*(S714+R714)))</f>
        <v>0</v>
      </c>
      <c r="U714" s="18">
        <f>IF($A714&gt;'1-Input'!$B$26,S714,S714-MIN(MAX(S714,0),'P-Parametri'!$B$8*(S714+R714)))</f>
        <v>22531.120132947275</v>
      </c>
      <c r="V714" s="18">
        <f>IF($A714&gt;'1-Input'!$B$26,V713,V713-Q714*(1-P714))</f>
        <v>3838.6825267713593</v>
      </c>
      <c r="W714" s="11">
        <f>IF($A714&gt;'1-Input'!$B$26,0,IF(AB713&lt;=0,0,MAX(0,(AB713-AC713)/AB713)))</f>
        <v>0.82316700880040283</v>
      </c>
      <c r="X714" s="18">
        <f>IF($A714&gt;'1-Input'!$B$26,0,(MAX(0,W671-IF($A714&gt;='1-Input'!$C$12,'1-Input'!$B$12,0))-MIN(MAX(AA713,0),MAX(0,W671-IF($A714&gt;='1-Input'!$C$12,'1-Input'!$B$12,0))))*(1/(1-'P-Parametri'!$B$6*W714))+MIN(MAX(0,AB713-(MAX(0,W671-IF($A714&gt;='1-Input'!$C$12,'1-Input'!$B$12,0))-MIN(MAX(AA713,0),MAX(0,W671-IF($A714&gt;='1-Input'!$C$12,'1-Input'!$B$12,0))))*(1/(1-'P-Parametri'!$B$6*W714))),MAX(0,0*W671-(AA713-MIN(MAX(AA713,0),MAX(0,W671-IF($A714&gt;='1-Input'!$C$12,'1-Input'!$B$12,0)))))*(1/(1-'P-Parametri'!$B$6*W714))))</f>
        <v>12190.258930131517</v>
      </c>
      <c r="Y714" s="18">
        <f>IF($A714&gt;'1-Input'!$B$26,AA713,(AA713-MAX(0,W671-IF($A714&gt;='1-Input'!$C$12,'1-Input'!$B$12,0))+X714*(1-'P-Parametri'!$B$6*W714))*(1+'1-Input'!$B$27))</f>
        <v>-1.8124410416930913E-12</v>
      </c>
      <c r="Z714" s="18">
        <f>IF($A714&gt;'1-Input'!$B$26,AB713,(AB713-X714)*(1+$D$4))</f>
        <v>46673.221842732702</v>
      </c>
      <c r="AA714" s="18">
        <f>IF($A714&gt;'1-Input'!$B$26,Y714,Y714-'P-Parametri'!$B$8*(Z714+Y714)+MIN(MAX(Z714,0),'P-Parametri'!$B$8*(Z714+Y714)))</f>
        <v>-1.8189894035458565E-12</v>
      </c>
      <c r="AB714" s="18">
        <f>IF($A714&gt;'1-Input'!$B$26,Z714,Z714-MIN(MAX(Z714,0),'P-Parametri'!$B$8*(Z714+Y714)))</f>
        <v>46579.87539904724</v>
      </c>
      <c r="AC714" s="18">
        <f>IF($A714&gt;'1-Input'!$B$26,AC713,AC713-X714*(1-W714))</f>
        <v>7935.9282955507706</v>
      </c>
      <c r="AD714" s="11">
        <f>IF($A714&gt;'1-Input'!$B$26,0,IF(AI713&lt;=0,0,MAX(0,(AI713-AJ713)/AI713)))</f>
        <v>0.82316700880040283</v>
      </c>
      <c r="AE714" s="18">
        <f>IF($A714&gt;'1-Input'!$B$26,0,(MAX(0,AD671-IF($A714&gt;='1-Input'!$C$12,'1-Input'!$B$12,0))-MIN(MAX(AH713,0),MAX(0,AD671-IF($A714&gt;='1-Input'!$C$12,'1-Input'!$B$12,0))))*(1/(1-'P-Parametri'!$B$6*AD714))+MIN(MAX(0,AI713-(MAX(0,AD671-IF($A714&gt;='1-Input'!$C$12,'1-Input'!$B$12,0))-MIN(MAX(AH713,0),MAX(0,AD671-IF($A714&gt;='1-Input'!$C$12,'1-Input'!$B$12,0))))*(1/(1-'P-Parametri'!$B$6*AD714))),MAX(0,0*AD671-(AH713-MIN(MAX(AH713,0),MAX(0,AD671-IF($A714&gt;='1-Input'!$C$12,'1-Input'!$B$12,0)))))*(1/(1-'P-Parametri'!$B$6*AD714))))</f>
        <v>12192.823385418564</v>
      </c>
      <c r="AF714" s="18">
        <f>IF($A714&gt;'1-Input'!$B$26,AH713,(AH713-MAX(0,AD671-IF($A714&gt;='1-Input'!$C$12,'1-Input'!$B$12,0))+AE714*(1-'P-Parametri'!$B$6*AD714))*(1+'1-Input'!$B$27))</f>
        <v>0</v>
      </c>
      <c r="AG714" s="18">
        <f>IF($A714&gt;'1-Input'!$B$26,AI713,(AI713-AE714)*(1+$D$4))</f>
        <v>46442.857461564199</v>
      </c>
      <c r="AH714" s="18">
        <f>IF($A714&gt;'1-Input'!$B$26,AF714,AF714-'P-Parametri'!$B$8*(AG714+AF714)+MIN(MAX(AG714,0),'P-Parametri'!$B$8*(AG714+AF714)))</f>
        <v>0</v>
      </c>
      <c r="AI714" s="18">
        <f>IF($A714&gt;'1-Input'!$B$26,AG714,AG714-MIN(MAX(AG714,0),'P-Parametri'!$B$8*(AG714+AF714)))</f>
        <v>46349.971746641073</v>
      </c>
      <c r="AJ714" s="18">
        <f>IF($A714&gt;'1-Input'!$B$26,AJ713,AJ713-AE714*(1-AD714))</f>
        <v>7896.7590430624314</v>
      </c>
      <c r="AK714" s="11">
        <f>IF($A714&gt;'1-Input'!$B$26,0,IF(AP713&lt;=0,0,MAX(0,(AP713-AQ713)/AP713)))</f>
        <v>0.82316700880040294</v>
      </c>
      <c r="AL714" s="18">
        <f>IF($A714&gt;'1-Input'!$B$26,0,(MAX(0,AK671-IF($A714&gt;='1-Input'!$C$12,'1-Input'!$B$12,0))-MIN(MAX(AO713,0),MAX(0,AK671-IF($A714&gt;='1-Input'!$C$12,'1-Input'!$B$12,0))))*(1/(1-'P-Parametri'!$B$6*AK714))+MIN(MAX(0,AP713-(MAX(0,AK671-IF($A714&gt;='1-Input'!$C$12,'1-Input'!$B$12,0))-MIN(MAX(AO713,0),MAX(0,AK671-IF($A714&gt;='1-Input'!$C$12,'1-Input'!$B$12,0))))*(1/(1-'P-Parametri'!$B$6*AK714))),MAX(0,0*AK671-(AO713-MIN(MAX(AO713,0),MAX(0,AK671-IF($A714&gt;='1-Input'!$C$12,'1-Input'!$B$12,0)))))*(1/(1-'P-Parametri'!$B$6*AK714))))</f>
        <v>12192.309599486909</v>
      </c>
      <c r="AM714" s="18">
        <f>IF($A714&gt;'1-Input'!$B$26,AO713,(AO713-MAX(0,AK671-IF($A714&gt;='1-Input'!$C$12,'1-Input'!$B$12,0))+AL714*(1-'P-Parametri'!$B$6*AK714))*(1+'1-Input'!$B$27))</f>
        <v>0</v>
      </c>
      <c r="AN714" s="18">
        <f>IF($A714&gt;'1-Input'!$B$26,AP713,(AP713-AL714)*(1+$D$4))</f>
        <v>46489.010724129665</v>
      </c>
      <c r="AO714" s="18">
        <f>IF($A714&gt;'1-Input'!$B$26,AM714,AM714-'P-Parametri'!$B$8*(AN714+AM714)+MIN(MAX(AN714,0),'P-Parametri'!$B$8*(AN714+AM714)))</f>
        <v>0</v>
      </c>
      <c r="AP714" s="18">
        <f>IF($A714&gt;'1-Input'!$B$26,AN714,AN714-MIN(MAX(AN714,0),'P-Parametri'!$B$8*(AN714+AM714)))</f>
        <v>46396.032702681405</v>
      </c>
      <c r="AQ714" s="18">
        <f>IF($A714&gt;'1-Input'!$B$26,AQ713,AQ713-AL714*(1-AK714))</f>
        <v>7904.6065617865352</v>
      </c>
    </row>
    <row r="715" spans="1:43">
      <c r="A715" s="10">
        <f>42</f>
        <v>42</v>
      </c>
      <c r="B715" s="11">
        <f>IF($A715&gt;'1-Input'!$B$26,0,IF(G714&lt;=0,0,MAX(0,(G714-H714)/G714)))</f>
        <v>0.82962753275821133</v>
      </c>
      <c r="C715" s="18">
        <f>IF($A715&gt;'1-Input'!$B$26,0,(MAX(0,B671-IF($A715&gt;='1-Input'!$C$12,'1-Input'!$B$12,0))-MIN(MAX(F714,0),MAX(0,B671-IF($A715&gt;='1-Input'!$C$12,'1-Input'!$B$12,0))))*(1/(1-'P-Parametri'!$B$6*B715))+MIN(MAX(0,G714-(MAX(0,B671-IF($A715&gt;='1-Input'!$C$12,'1-Input'!$B$12,0))-MIN(MAX(F714,0),MAX(0,B671-IF($A715&gt;='1-Input'!$C$12,'1-Input'!$B$12,0))))*(1/(1-'P-Parametri'!$B$6*B715))),MAX(0,0*B671-(F714-MIN(MAX(F714,0),MAX(0,B671-IF($A715&gt;='1-Input'!$C$12,'1-Input'!$B$12,0)))))*(1/(1-'P-Parametri'!$B$6*B715))))</f>
        <v>7113.4486581349975</v>
      </c>
      <c r="D715" s="18">
        <f>IF($A715&gt;'1-Input'!$B$26,F714,(F714-MAX(0,B671-IF($A715&gt;='1-Input'!$C$12,'1-Input'!$B$12,0))+C715*(1-'P-Parametri'!$B$6*B715))*(1+'1-Input'!$B$27))</f>
        <v>0</v>
      </c>
      <c r="E715" s="18">
        <f>IF($A715&gt;'1-Input'!$B$26,G714,(G714-C715)*(1+$D$4))</f>
        <v>515804.4629535664</v>
      </c>
      <c r="F715" s="18">
        <f>IF($A715&gt;'1-Input'!$B$26,D715,D715-'P-Parametri'!$B$8*(E715+D715)+MIN(MAX(E715,0),'P-Parametri'!$B$8*(E715+D715)))</f>
        <v>0</v>
      </c>
      <c r="G715" s="18">
        <f>IF($A715&gt;'1-Input'!$B$26,E715,E715-MIN(MAX(E715,0),'P-Parametri'!$B$8*(E715+D715)))</f>
        <v>514772.85402765928</v>
      </c>
      <c r="H715" s="18">
        <f>IF($A715&gt;'1-Input'!$B$26,H714,H714-C715*(1-B715))</f>
        <v>84498.922084350808</v>
      </c>
      <c r="I715" s="11">
        <f>IF($A715&gt;'1-Input'!$B$26,0,IF(N714&lt;=0,0,MAX(0,(N714-O714)/N714)))</f>
        <v>0</v>
      </c>
      <c r="J715" s="18">
        <f>IF($A715&gt;'1-Input'!$B$26,0,(MAX(0,I671-IF($A715&gt;='1-Input'!$C$12,'1-Input'!$B$12,0))-MIN(MAX(M714,0),MAX(0,I671-IF($A715&gt;='1-Input'!$C$12,'1-Input'!$B$12,0))))*(1/(1-'P-Parametri'!$B$6*I715))+MIN(MAX(0,N714-(MAX(0,I671-IF($A715&gt;='1-Input'!$C$12,'1-Input'!$B$12,0))-MIN(MAX(M714,0),MAX(0,I671-IF($A715&gt;='1-Input'!$C$12,'1-Input'!$B$12,0))))*(1/(1-'P-Parametri'!$B$6*I715))),MAX(0,0*I671-(M714-MIN(MAX(M714,0),MAX(0,I671-IF($A715&gt;='1-Input'!$C$12,'1-Input'!$B$12,0)))))*(1/(1-'P-Parametri'!$B$6*I715))))</f>
        <v>10846.756992928691</v>
      </c>
      <c r="K715" s="18">
        <f>IF($A715&gt;'1-Input'!$B$26,M714,(M714-MAX(0,I671-IF($A715&gt;='1-Input'!$C$12,'1-Input'!$B$12,0))+J715*(1-'P-Parametri'!$B$6*I715))*(1+'1-Input'!$B$27))</f>
        <v>0</v>
      </c>
      <c r="L715" s="18">
        <f>IF($A715&gt;'1-Input'!$B$26,N714,(N714-J715)*(1+$D$4))</f>
        <v>-92513.346075478054</v>
      </c>
      <c r="M715" s="18">
        <f>IF($A715&gt;'1-Input'!$B$26,K715,K715-'P-Parametri'!$B$8*(L715+K715)+MIN(MAX(L715,0),'P-Parametri'!$B$8*(L715+K715)))</f>
        <v>0</v>
      </c>
      <c r="N715" s="18">
        <f>IF($A715&gt;'1-Input'!$B$26,L715,L715-MIN(MAX(L715,0),'P-Parametri'!$B$8*(L715+K715)))</f>
        <v>-92328.319383327093</v>
      </c>
      <c r="O715" s="18">
        <f>IF($A715&gt;'1-Input'!$B$26,O714,O714-J715*(1-I715))</f>
        <v>-76578.681544609688</v>
      </c>
      <c r="P715" s="11">
        <f>IF($A715&gt;'1-Input'!$B$26,0,IF(U714&lt;=0,0,MAX(0,(U714-V714)/U714)))</f>
        <v>0.82962753275821166</v>
      </c>
      <c r="Q715" s="18">
        <f>IF($A715&gt;'1-Input'!$B$26,0,(MAX(0,P671-IF($A715&gt;='1-Input'!$C$12,'1-Input'!$B$12,0))-MIN(MAX(T714,0),MAX(0,P671-IF($A715&gt;='1-Input'!$C$12,'1-Input'!$B$12,0))))*(1/(1-'P-Parametri'!$B$6*P715))+MIN(MAX(0,U714-(MAX(0,P671-IF($A715&gt;='1-Input'!$C$12,'1-Input'!$B$12,0))-MIN(MAX(T714,0),MAX(0,P671-IF($A715&gt;='1-Input'!$C$12,'1-Input'!$B$12,0))))*(1/(1-'P-Parametri'!$B$6*P715))),MAX(0,0*P671-(T714-MIN(MAX(T714,0),MAX(0,P671-IF($A715&gt;='1-Input'!$C$12,'1-Input'!$B$12,0)))))*(1/(1-'P-Parametri'!$B$6*P715))))</f>
        <v>12485.192760791635</v>
      </c>
      <c r="R715" s="18">
        <f>IF($A715&gt;'1-Input'!$B$26,T714,(T714-MAX(0,P671-IF($A715&gt;='1-Input'!$C$12,'1-Input'!$B$12,0))+Q715*(1-'P-Parametri'!$B$6*P715))*(1+'1-Input'!$B$27))</f>
        <v>0</v>
      </c>
      <c r="S715" s="18">
        <f>IF($A715&gt;'1-Input'!$B$26,U714,(U714-Q715)*(1+$D$4))</f>
        <v>10447.764467041867</v>
      </c>
      <c r="T715" s="18">
        <f>IF($A715&gt;'1-Input'!$B$26,R715,R715-'P-Parametri'!$B$8*(S715+R715)+MIN(MAX(S715,0),'P-Parametri'!$B$8*(S715+R715)))</f>
        <v>0</v>
      </c>
      <c r="U715" s="18">
        <f>IF($A715&gt;'1-Input'!$B$26,S715,S715-MIN(MAX(S715,0),'P-Parametri'!$B$8*(S715+R715)))</f>
        <v>10426.868938107784</v>
      </c>
      <c r="V715" s="18">
        <f>IF($A715&gt;'1-Input'!$B$26,V714,V714-Q715*(1-P715))</f>
        <v>1711.5494321259735</v>
      </c>
      <c r="W715" s="11">
        <f>IF($A715&gt;'1-Input'!$B$26,0,IF(AB714&lt;=0,0,MAX(0,(AB714-AC714)/AB714)))</f>
        <v>0.82962753275821133</v>
      </c>
      <c r="X715" s="18">
        <f>IF($A715&gt;'1-Input'!$B$26,0,(MAX(0,W671-IF($A715&gt;='1-Input'!$C$12,'1-Input'!$B$12,0))-MIN(MAX(AA714,0),MAX(0,W671-IF($A715&gt;='1-Input'!$C$12,'1-Input'!$B$12,0))))*(1/(1-'P-Parametri'!$B$6*W715))+MIN(MAX(0,AB714-(MAX(0,W671-IF($A715&gt;='1-Input'!$C$12,'1-Input'!$B$12,0))-MIN(MAX(AA714,0),MAX(0,W671-IF($A715&gt;='1-Input'!$C$12,'1-Input'!$B$12,0))))*(1/(1-'P-Parametri'!$B$6*W715))),MAX(0,0*W671-(AA714-MIN(MAX(AA714,0),MAX(0,W671-IF($A715&gt;='1-Input'!$C$12,'1-Input'!$B$12,0)))))*(1/(1-'P-Parametri'!$B$6*W715))))</f>
        <v>12216.366927108131</v>
      </c>
      <c r="Y715" s="18">
        <f>IF($A715&gt;'1-Input'!$B$26,AA714,(AA714-MAX(0,W671-IF($A715&gt;='1-Input'!$C$12,'1-Input'!$B$12,0))+X715*(1-'P-Parametri'!$B$6*W715))*(1+'1-Input'!$B$27))</f>
        <v>0</v>
      </c>
      <c r="Z715" s="18">
        <f>IF($A715&gt;'1-Input'!$B$26,AB714,(AB714-X715)*(1+$D$4))</f>
        <v>35738.048810816676</v>
      </c>
      <c r="AA715" s="18">
        <f>IF($A715&gt;'1-Input'!$B$26,Y715,Y715-'P-Parametri'!$B$8*(Z715+Y715)+MIN(MAX(Z715,0),'P-Parametri'!$B$8*(Z715+Y715)))</f>
        <v>0</v>
      </c>
      <c r="AB715" s="18">
        <f>IF($A715&gt;'1-Input'!$B$26,Z715,Z715-MIN(MAX(Z715,0),'P-Parametri'!$B$8*(Z715+Y715)))</f>
        <v>35666.572713195041</v>
      </c>
      <c r="AC715" s="18">
        <f>IF($A715&gt;'1-Input'!$B$26,AC714,AC714-X715*(1-W715))</f>
        <v>5854.5957214483697</v>
      </c>
      <c r="AD715" s="11">
        <f>IF($A715&gt;'1-Input'!$B$26,0,IF(AI714&lt;=0,0,MAX(0,(AI714-AJ714)/AI714)))</f>
        <v>0.82962753275821144</v>
      </c>
      <c r="AE715" s="18">
        <f>IF($A715&gt;'1-Input'!$B$26,0,(MAX(0,AD671-IF($A715&gt;='1-Input'!$C$12,'1-Input'!$B$12,0))-MIN(MAX(AH714,0),MAX(0,AD671-IF($A715&gt;='1-Input'!$C$12,'1-Input'!$B$12,0))))*(1/(1-'P-Parametri'!$B$6*AD715))+MIN(MAX(0,AI714-(MAX(0,AD671-IF($A715&gt;='1-Input'!$C$12,'1-Input'!$B$12,0))-MIN(MAX(AH714,0),MAX(0,AD671-IF($A715&gt;='1-Input'!$C$12,'1-Input'!$B$12,0))))*(1/(1-'P-Parametri'!$B$6*AD715))),MAX(0,0*AD671-(AH714-MIN(MAX(AH714,0),MAX(0,AD671-IF($A715&gt;='1-Input'!$C$12,'1-Input'!$B$12,0)))))*(1/(1-'P-Parametri'!$B$6*AD715))))</f>
        <v>12218.936874714187</v>
      </c>
      <c r="AF715" s="18">
        <f>IF($A715&gt;'1-Input'!$B$26,AH714,(AH714-MAX(0,AD671-IF($A715&gt;='1-Input'!$C$12,'1-Input'!$B$12,0))+AE715*(1-'P-Parametri'!$B$6*AD715))*(1+'1-Input'!$B$27))</f>
        <v>0</v>
      </c>
      <c r="AG715" s="18">
        <f>IF($A715&gt;'1-Input'!$B$26,AI714,(AI714-AE715)*(1+$D$4))</f>
        <v>35496.276266803965</v>
      </c>
      <c r="AH715" s="18">
        <f>IF($A715&gt;'1-Input'!$B$26,AF715,AF715-'P-Parametri'!$B$8*(AG715+AF715)+MIN(MAX(AG715,0),'P-Parametri'!$B$8*(AG715+AF715)))</f>
        <v>0</v>
      </c>
      <c r="AI715" s="18">
        <f>IF($A715&gt;'1-Input'!$B$26,AG715,AG715-MIN(MAX(AG715,0),'P-Parametri'!$B$8*(AG715+AF715)))</f>
        <v>35425.283714270357</v>
      </c>
      <c r="AJ715" s="18">
        <f>IF($A715&gt;'1-Input'!$B$26,AJ714,AJ714-AE715*(1-AD715))</f>
        <v>5814.9886206457068</v>
      </c>
      <c r="AK715" s="11">
        <f>IF($A715&gt;'1-Input'!$B$26,0,IF(AP714&lt;=0,0,MAX(0,(AP714-AQ714)/AP714)))</f>
        <v>0.82962753275821144</v>
      </c>
      <c r="AL715" s="18">
        <f>IF($A715&gt;'1-Input'!$B$26,0,(MAX(0,AK671-IF($A715&gt;='1-Input'!$C$12,'1-Input'!$B$12,0))-MIN(MAX(AO714,0),MAX(0,AK671-IF($A715&gt;='1-Input'!$C$12,'1-Input'!$B$12,0))))*(1/(1-'P-Parametri'!$B$6*AK715))+MIN(MAX(0,AP714-(MAX(0,AK671-IF($A715&gt;='1-Input'!$C$12,'1-Input'!$B$12,0))-MIN(MAX(AO714,0),MAX(0,AK671-IF($A715&gt;='1-Input'!$C$12,'1-Input'!$B$12,0))))*(1/(1-'P-Parametri'!$B$6*AK715))),MAX(0,0*AK671-(AO714-MIN(MAX(AO714,0),MAX(0,AK671-IF($A715&gt;='1-Input'!$C$12,'1-Input'!$B$12,0)))))*(1/(1-'P-Parametri'!$B$6*AK715))))</f>
        <v>12218.421988402168</v>
      </c>
      <c r="AM715" s="18">
        <f>IF($A715&gt;'1-Input'!$B$26,AO714,(AO714-MAX(0,AK671-IF($A715&gt;='1-Input'!$C$12,'1-Input'!$B$12,0))+AL715*(1-'P-Parametri'!$B$6*AK715))*(1+'1-Input'!$B$27))</f>
        <v>-1.8124410416930913E-12</v>
      </c>
      <c r="AN715" s="18">
        <f>IF($A715&gt;'1-Input'!$B$26,AP714,(AP714-AL715)*(1+$D$4))</f>
        <v>35544.715142850408</v>
      </c>
      <c r="AO715" s="18">
        <f>IF($A715&gt;'1-Input'!$B$26,AM715,AM715-'P-Parametri'!$B$8*(AN715+AM715)+MIN(MAX(AN715,0),'P-Parametri'!$B$8*(AN715+AM715)))</f>
        <v>-1.8189894035458565E-12</v>
      </c>
      <c r="AP715" s="18">
        <f>IF($A715&gt;'1-Input'!$B$26,AN715,AN715-MIN(MAX(AN715,0),'P-Parametri'!$B$8*(AN715+AM715)))</f>
        <v>35473.62571256471</v>
      </c>
      <c r="AQ715" s="18">
        <f>IF($A715&gt;'1-Input'!$B$26,AQ714,AQ714-AL715*(1-AK715))</f>
        <v>5822.9238618211384</v>
      </c>
    </row>
    <row r="716" spans="1:43">
      <c r="A716" s="10">
        <f>43</f>
        <v>43</v>
      </c>
      <c r="B716" s="11">
        <f>IF($A716&gt;'1-Input'!$B$26,0,IF(G715&lt;=0,0,MAX(0,(G715-H715)/G715)))</f>
        <v>0.83585202400783432</v>
      </c>
      <c r="C716" s="18">
        <f>IF($A716&gt;'1-Input'!$B$26,0,(MAX(0,B671-IF($A716&gt;='1-Input'!$C$12,'1-Input'!$B$12,0))-MIN(MAX(F715,0),MAX(0,B671-IF($A716&gt;='1-Input'!$C$12,'1-Input'!$B$12,0))))*(1/(1-'P-Parametri'!$B$6*B716))+MIN(MAX(0,G715-(MAX(0,B671-IF($A716&gt;='1-Input'!$C$12,'1-Input'!$B$12,0))-MIN(MAX(F715,0),MAX(0,B671-IF($A716&gt;='1-Input'!$C$12,'1-Input'!$B$12,0))))*(1/(1-'P-Parametri'!$B$6*B716))),MAX(0,0*B671-(F715-MIN(MAX(F715,0),MAX(0,B671-IF($A716&gt;='1-Input'!$C$12,'1-Input'!$B$12,0)))))*(1/(1-'P-Parametri'!$B$6*B716))))</f>
        <v>7128.1573490049504</v>
      </c>
      <c r="D716" s="18">
        <f>IF($A716&gt;'1-Input'!$B$26,F715,(F715-MAX(0,B671-IF($A716&gt;='1-Input'!$C$12,'1-Input'!$B$12,0))+C716*(1-'P-Parametri'!$B$6*B716))*(1+'1-Input'!$B$27))</f>
        <v>0</v>
      </c>
      <c r="E716" s="18">
        <f>IF($A716&gt;'1-Input'!$B$26,G715,(G715-C716)*(1+$D$4))</f>
        <v>527950.48454580049</v>
      </c>
      <c r="F716" s="18">
        <f>IF($A716&gt;'1-Input'!$B$26,D716,D716-'P-Parametri'!$B$8*(E716+D716)+MIN(MAX(E716,0),'P-Parametri'!$B$8*(E716+D716)))</f>
        <v>0</v>
      </c>
      <c r="G716" s="18">
        <f>IF($A716&gt;'1-Input'!$B$26,E716,E716-MIN(MAX(E716,0),'P-Parametri'!$B$8*(E716+D716)))</f>
        <v>526894.58357670892</v>
      </c>
      <c r="H716" s="18">
        <f>IF($A716&gt;'1-Input'!$B$26,H715,H715-C716*(1-B716))</f>
        <v>83328.849482957958</v>
      </c>
      <c r="I716" s="11">
        <f>IF($A716&gt;'1-Input'!$B$26,0,IF(N715&lt;=0,0,MAX(0,(N715-O715)/N715)))</f>
        <v>0</v>
      </c>
      <c r="J716" s="18">
        <f>IF($A716&gt;'1-Input'!$B$26,0,(MAX(0,I671-IF($A716&gt;='1-Input'!$C$12,'1-Input'!$B$12,0))-MIN(MAX(M715,0),MAX(0,I671-IF($A716&gt;='1-Input'!$C$12,'1-Input'!$B$12,0))))*(1/(1-'P-Parametri'!$B$6*I716))+MIN(MAX(0,N715-(MAX(0,I671-IF($A716&gt;='1-Input'!$C$12,'1-Input'!$B$12,0))-MIN(MAX(M715,0),MAX(0,I671-IF($A716&gt;='1-Input'!$C$12,'1-Input'!$B$12,0))))*(1/(1-'P-Parametri'!$B$6*I716))),MAX(0,0*I671-(M715-MIN(MAX(M715,0),MAX(0,I671-IF($A716&gt;='1-Input'!$C$12,'1-Input'!$B$12,0)))))*(1/(1-'P-Parametri'!$B$6*I716))))</f>
        <v>10846.756992928691</v>
      </c>
      <c r="K716" s="18">
        <f>IF($A716&gt;'1-Input'!$B$26,M715,(M715-MAX(0,I671-IF($A716&gt;='1-Input'!$C$12,'1-Input'!$B$12,0))+J716*(1-'P-Parametri'!$B$6*I716))*(1+'1-Input'!$B$27))</f>
        <v>0</v>
      </c>
      <c r="L716" s="18">
        <f>IF($A716&gt;'1-Input'!$B$26,N715,(N715-J716)*(1+$D$4))</f>
        <v>-107302.07943130602</v>
      </c>
      <c r="M716" s="18">
        <f>IF($A716&gt;'1-Input'!$B$26,K716,K716-'P-Parametri'!$B$8*(L716+K716)+MIN(MAX(L716,0),'P-Parametri'!$B$8*(L716+K716)))</f>
        <v>0</v>
      </c>
      <c r="N716" s="18">
        <f>IF($A716&gt;'1-Input'!$B$26,L716,L716-MIN(MAX(L716,0),'P-Parametri'!$B$8*(L716+K716)))</f>
        <v>-107087.47527244341</v>
      </c>
      <c r="O716" s="18">
        <f>IF($A716&gt;'1-Input'!$B$26,O715,O715-J716*(1-I716))</f>
        <v>-87425.438537538372</v>
      </c>
      <c r="P716" s="11">
        <f>IF($A716&gt;'1-Input'!$B$26,0,IF(U715&lt;=0,0,MAX(0,(U715-V715)/U715)))</f>
        <v>0.83585202400783443</v>
      </c>
      <c r="Q716" s="18">
        <f>IF($A716&gt;'1-Input'!$B$26,0,(MAX(0,P671-IF($A716&gt;='1-Input'!$C$12,'1-Input'!$B$12,0))-MIN(MAX(T715,0),MAX(0,P671-IF($A716&gt;='1-Input'!$C$12,'1-Input'!$B$12,0))))*(1/(1-'P-Parametri'!$B$6*P716))+MIN(MAX(0,U715-(MAX(0,P671-IF($A716&gt;='1-Input'!$C$12,'1-Input'!$B$12,0))-MIN(MAX(T715,0),MAX(0,P671-IF($A716&gt;='1-Input'!$C$12,'1-Input'!$B$12,0))))*(1/(1-'P-Parametri'!$B$6*P716))),MAX(0,0*P671-(T715-MIN(MAX(T715,0),MAX(0,P671-IF($A716&gt;='1-Input'!$C$12,'1-Input'!$B$12,0)))))*(1/(1-'P-Parametri'!$B$6*P716))))</f>
        <v>12511.008767850357</v>
      </c>
      <c r="R716" s="18">
        <f>IF($A716&gt;'1-Input'!$B$26,T715,(T715-MAX(0,P671-IF($A716&gt;='1-Input'!$C$12,'1-Input'!$B$12,0))+Q716*(1-'P-Parametri'!$B$6*P716))*(1+'1-Input'!$B$27))</f>
        <v>0</v>
      </c>
      <c r="S716" s="18">
        <f>IF($A716&gt;'1-Input'!$B$26,U715,(U715-Q716)*(1+$D$4))</f>
        <v>-2167.5054229322759</v>
      </c>
      <c r="T716" s="18">
        <f>IF($A716&gt;'1-Input'!$B$26,R716,R716-'P-Parametri'!$B$8*(S716+R716)+MIN(MAX(S716,0),'P-Parametri'!$B$8*(S716+R716)))</f>
        <v>0</v>
      </c>
      <c r="U716" s="18">
        <f>IF($A716&gt;'1-Input'!$B$26,S716,S716-MIN(MAX(S716,0),'P-Parametri'!$B$8*(S716+R716)))</f>
        <v>-2163.1704120864115</v>
      </c>
      <c r="V716" s="18">
        <f>IF($A716&gt;'1-Input'!$B$26,V715,V715-Q716*(1-P716))</f>
        <v>-342.1073347368997</v>
      </c>
      <c r="W716" s="11">
        <f>IF($A716&gt;'1-Input'!$B$26,0,IF(AB715&lt;=0,0,MAX(0,(AB715-AC715)/AB715)))</f>
        <v>0.83585202400783432</v>
      </c>
      <c r="X716" s="18">
        <f>IF($A716&gt;'1-Input'!$B$26,0,(MAX(0,W671-IF($A716&gt;='1-Input'!$C$12,'1-Input'!$B$12,0))-MIN(MAX(AA715,0),MAX(0,W671-IF($A716&gt;='1-Input'!$C$12,'1-Input'!$B$12,0))))*(1/(1-'P-Parametri'!$B$6*W716))+MIN(MAX(0,AB715-(MAX(0,W671-IF($A716&gt;='1-Input'!$C$12,'1-Input'!$B$12,0))-MIN(MAX(AA715,0),MAX(0,W671-IF($A716&gt;='1-Input'!$C$12,'1-Input'!$B$12,0))))*(1/(1-'P-Parametri'!$B$6*W716))),MAX(0,0*W671-(AA715-MIN(MAX(AA715,0),MAX(0,W671-IF($A716&gt;='1-Input'!$C$12,'1-Input'!$B$12,0)))))*(1/(1-'P-Parametri'!$B$6*W716))))</f>
        <v>12241.627074938011</v>
      </c>
      <c r="Y716" s="18">
        <f>IF($A716&gt;'1-Input'!$B$26,AA715,(AA715-MAX(0,W671-IF($A716&gt;='1-Input'!$C$12,'1-Input'!$B$12,0))+X716*(1-'P-Parametri'!$B$6*W716))*(1+'1-Input'!$B$27))</f>
        <v>0</v>
      </c>
      <c r="Z716" s="18">
        <f>IF($A716&gt;'1-Input'!$B$26,AB715,(AB715-X716)*(1+$D$4))</f>
        <v>24361.943463787309</v>
      </c>
      <c r="AA716" s="18">
        <f>IF($A716&gt;'1-Input'!$B$26,Y716,Y716-'P-Parametri'!$B$8*(Z716+Y716)+MIN(MAX(Z716,0),'P-Parametri'!$B$8*(Z716+Y716)))</f>
        <v>0</v>
      </c>
      <c r="AB716" s="18">
        <f>IF($A716&gt;'1-Input'!$B$26,Z716,Z716-MIN(MAX(Z716,0),'P-Parametri'!$B$8*(Z716+Y716)))</f>
        <v>24313.219576859734</v>
      </c>
      <c r="AC716" s="18">
        <f>IF($A716&gt;'1-Input'!$B$26,AC715,AC715-X716*(1-W716))</f>
        <v>3845.1574142463996</v>
      </c>
      <c r="AD716" s="11">
        <f>IF($A716&gt;'1-Input'!$B$26,0,IF(AI715&lt;=0,0,MAX(0,(AI715-AJ715)/AI715)))</f>
        <v>0.83585202400783432</v>
      </c>
      <c r="AE716" s="18">
        <f>IF($A716&gt;'1-Input'!$B$26,0,(MAX(0,AD671-IF($A716&gt;='1-Input'!$C$12,'1-Input'!$B$12,0))-MIN(MAX(AH715,0),MAX(0,AD671-IF($A716&gt;='1-Input'!$C$12,'1-Input'!$B$12,0))))*(1/(1-'P-Parametri'!$B$6*AD716))+MIN(MAX(0,AI715-(MAX(0,AD671-IF($A716&gt;='1-Input'!$C$12,'1-Input'!$B$12,0))-MIN(MAX(AH715,0),MAX(0,AD671-IF($A716&gt;='1-Input'!$C$12,'1-Input'!$B$12,0))))*(1/(1-'P-Parametri'!$B$6*AD716))),MAX(0,0*AD671-(AH715-MIN(MAX(AH715,0),MAX(0,AD671-IF($A716&gt;='1-Input'!$C$12,'1-Input'!$B$12,0)))))*(1/(1-'P-Parametri'!$B$6*AD716))))</f>
        <v>12244.202336501716</v>
      </c>
      <c r="AF716" s="18">
        <f>IF($A716&gt;'1-Input'!$B$26,AH715,(AH715-MAX(0,AD671-IF($A716&gt;='1-Input'!$C$12,'1-Input'!$B$12,0))+AE716*(1-'P-Parametri'!$B$6*AD716))*(1+'1-Input'!$B$27))</f>
        <v>0</v>
      </c>
      <c r="AG716" s="18">
        <f>IF($A716&gt;'1-Input'!$B$26,AI715,(AI715-AE716)*(1+$D$4))</f>
        <v>24108.324632879387</v>
      </c>
      <c r="AH716" s="18">
        <f>IF($A716&gt;'1-Input'!$B$26,AF716,AF716-'P-Parametri'!$B$8*(AG716+AF716)+MIN(MAX(AG716,0),'P-Parametri'!$B$8*(AG716+AF716)))</f>
        <v>0</v>
      </c>
      <c r="AI716" s="18">
        <f>IF($A716&gt;'1-Input'!$B$26,AG716,AG716-MIN(MAX(AG716,0),'P-Parametri'!$B$8*(AG716+AF716)))</f>
        <v>24060.107983613627</v>
      </c>
      <c r="AJ716" s="18">
        <f>IF($A716&gt;'1-Input'!$B$26,AJ715,AJ715-AE716*(1-AD716))</f>
        <v>3805.127589470404</v>
      </c>
      <c r="AK716" s="11">
        <f>IF($A716&gt;'1-Input'!$B$26,0,IF(AP715&lt;=0,0,MAX(0,(AP715-AQ715)/AP715)))</f>
        <v>0.83585202400783443</v>
      </c>
      <c r="AL716" s="18">
        <f>IF($A716&gt;'1-Input'!$B$26,0,(MAX(0,AK671-IF($A716&gt;='1-Input'!$C$12,'1-Input'!$B$12,0))-MIN(MAX(AO715,0),MAX(0,AK671-IF($A716&gt;='1-Input'!$C$12,'1-Input'!$B$12,0))))*(1/(1-'P-Parametri'!$B$6*AK716))+MIN(MAX(0,AP715-(MAX(0,AK671-IF($A716&gt;='1-Input'!$C$12,'1-Input'!$B$12,0))-MIN(MAX(AO715,0),MAX(0,AK671-IF($A716&gt;='1-Input'!$C$12,'1-Input'!$B$12,0))))*(1/(1-'P-Parametri'!$B$6*AK716))),MAX(0,0*AK671-(AO715-MIN(MAX(AO715,0),MAX(0,AK671-IF($A716&gt;='1-Input'!$C$12,'1-Input'!$B$12,0)))))*(1/(1-'P-Parametri'!$B$6*AK716))))</f>
        <v>12243.68638554385</v>
      </c>
      <c r="AM716" s="18">
        <f>IF($A716&gt;'1-Input'!$B$26,AO715,(AO715-MAX(0,AK671-IF($A716&gt;='1-Input'!$C$12,'1-Input'!$B$12,0))+AL716*(1-'P-Parametri'!$B$6*AK716))*(1+'1-Input'!$B$27))</f>
        <v>0</v>
      </c>
      <c r="AN716" s="18">
        <f>IF($A716&gt;'1-Input'!$B$26,AP715,(AP715-AL716)*(1+$D$4))</f>
        <v>24159.136900101694</v>
      </c>
      <c r="AO716" s="18">
        <f>IF($A716&gt;'1-Input'!$B$26,AM716,AM716-'P-Parametri'!$B$8*(AN716+AM716)+MIN(MAX(AN716,0),'P-Parametri'!$B$8*(AN716+AM716)))</f>
        <v>0</v>
      </c>
      <c r="AP716" s="18">
        <f>IF($A716&gt;'1-Input'!$B$26,AN716,AN716-MIN(MAX(AN716,0),'P-Parametri'!$B$8*(AN716+AM716)))</f>
        <v>24110.81862630149</v>
      </c>
      <c r="AQ716" s="18">
        <f>IF($A716&gt;'1-Input'!$B$26,AQ715,AQ715-AL716*(1-AK716))</f>
        <v>3813.1475229512821</v>
      </c>
    </row>
    <row r="717" spans="1:43">
      <c r="A717" s="10">
        <f>44</f>
        <v>44</v>
      </c>
      <c r="B717" s="11">
        <f>IF($A717&gt;'1-Input'!$B$26,0,IF(G716&lt;=0,0,MAX(0,(G716-H716)/G716)))</f>
        <v>0.84184910591166406</v>
      </c>
      <c r="C717" s="18">
        <f>IF($A717&gt;'1-Input'!$B$26,0,(MAX(0,B671-IF($A717&gt;='1-Input'!$C$12,'1-Input'!$B$12,0))-MIN(MAX(F716,0),MAX(0,B671-IF($A717&gt;='1-Input'!$C$12,'1-Input'!$B$12,0))))*(1/(1-'P-Parametri'!$B$6*B717))+MIN(MAX(0,G716-(MAX(0,B671-IF($A717&gt;='1-Input'!$C$12,'1-Input'!$B$12,0))-MIN(MAX(F716,0),MAX(0,B671-IF($A717&gt;='1-Input'!$C$12,'1-Input'!$B$12,0))))*(1/(1-'P-Parametri'!$B$6*B717))),MAX(0,0*B671-(F716-MIN(MAX(F716,0),MAX(0,B671-IF($A717&gt;='1-Input'!$C$12,'1-Input'!$B$12,0)))))*(1/(1-'P-Parametri'!$B$6*B717))))</f>
        <v>7142.3863128223575</v>
      </c>
      <c r="D717" s="18">
        <f>IF($A717&gt;'1-Input'!$B$26,F716,(F716-MAX(0,B671-IF($A717&gt;='1-Input'!$C$12,'1-Input'!$B$12,0))+C717*(1-'P-Parametri'!$B$6*B717))*(1+'1-Input'!$B$27))</f>
        <v>9.0622052084654565E-13</v>
      </c>
      <c r="E717" s="18">
        <f>IF($A717&gt;'1-Input'!$B$26,G716,(G716-C717)*(1+$D$4))</f>
        <v>540542.28515444207</v>
      </c>
      <c r="F717" s="18">
        <f>IF($A717&gt;'1-Input'!$B$26,D717,D717-'P-Parametri'!$B$8*(E717+D717)+MIN(MAX(E717,0),'P-Parametri'!$B$8*(E717+D717)))</f>
        <v>9.0949470177292824E-13</v>
      </c>
      <c r="G717" s="18">
        <f>IF($A717&gt;'1-Input'!$B$26,E717,E717-MIN(MAX(E717,0),'P-Parametri'!$B$8*(E717+D717)))</f>
        <v>539461.20058413316</v>
      </c>
      <c r="H717" s="18">
        <f>IF($A717&gt;'1-Input'!$B$26,H716,H716-C717*(1-B717))</f>
        <v>82199.274701660805</v>
      </c>
      <c r="I717" s="11">
        <f>IF($A717&gt;'1-Input'!$B$26,0,IF(N716&lt;=0,0,MAX(0,(N716-O716)/N716)))</f>
        <v>0</v>
      </c>
      <c r="J717" s="18">
        <f>IF($A717&gt;'1-Input'!$B$26,0,(MAX(0,I671-IF($A717&gt;='1-Input'!$C$12,'1-Input'!$B$12,0))-MIN(MAX(M716,0),MAX(0,I671-IF($A717&gt;='1-Input'!$C$12,'1-Input'!$B$12,0))))*(1/(1-'P-Parametri'!$B$6*I717))+MIN(MAX(0,N716-(MAX(0,I671-IF($A717&gt;='1-Input'!$C$12,'1-Input'!$B$12,0))-MIN(MAX(M716,0),MAX(0,I671-IF($A717&gt;='1-Input'!$C$12,'1-Input'!$B$12,0))))*(1/(1-'P-Parametri'!$B$6*I717))),MAX(0,0*I671-(M716-MIN(MAX(M716,0),MAX(0,I671-IF($A717&gt;='1-Input'!$C$12,'1-Input'!$B$12,0)))))*(1/(1-'P-Parametri'!$B$6*I717))))</f>
        <v>10846.756992928691</v>
      </c>
      <c r="K717" s="18">
        <f>IF($A717&gt;'1-Input'!$B$26,M716,(M716-MAX(0,I671-IF($A717&gt;='1-Input'!$C$12,'1-Input'!$B$12,0))+J717*(1-'P-Parametri'!$B$6*I717))*(1+'1-Input'!$B$27))</f>
        <v>0</v>
      </c>
      <c r="L717" s="18">
        <f>IF($A717&gt;'1-Input'!$B$26,N716,(N716-J717)*(1+$D$4))</f>
        <v>-122651.60155598698</v>
      </c>
      <c r="M717" s="18">
        <f>IF($A717&gt;'1-Input'!$B$26,K717,K717-'P-Parametri'!$B$8*(L717+K717)+MIN(MAX(L717,0),'P-Parametri'!$B$8*(L717+K717)))</f>
        <v>0</v>
      </c>
      <c r="N717" s="18">
        <f>IF($A717&gt;'1-Input'!$B$26,L717,L717-MIN(MAX(L717,0),'P-Parametri'!$B$8*(L717+K717)))</f>
        <v>-122406.298352875</v>
      </c>
      <c r="O717" s="18">
        <f>IF($A717&gt;'1-Input'!$B$26,O716,O716-J717*(1-I717))</f>
        <v>-98272.195530467056</v>
      </c>
      <c r="P717" s="11">
        <f>IF($A717&gt;'1-Input'!$B$26,0,IF(U716&lt;=0,0,MAX(0,(U716-V716)/U716)))</f>
        <v>0</v>
      </c>
      <c r="Q717" s="18">
        <f>IF($A717&gt;'1-Input'!$B$26,0,(MAX(0,P671-IF($A717&gt;='1-Input'!$C$12,'1-Input'!$B$12,0))-MIN(MAX(T716,0),MAX(0,P671-IF($A717&gt;='1-Input'!$C$12,'1-Input'!$B$12,0))))*(1/(1-'P-Parametri'!$B$6*P717))+MIN(MAX(0,U716-(MAX(0,P671-IF($A717&gt;='1-Input'!$C$12,'1-Input'!$B$12,0))-MIN(MAX(T716,0),MAX(0,P671-IF($A717&gt;='1-Input'!$C$12,'1-Input'!$B$12,0))))*(1/(1-'P-Parametri'!$B$6*P717))),MAX(0,0*P671-(T716-MIN(MAX(T716,0),MAX(0,P671-IF($A717&gt;='1-Input'!$C$12,'1-Input'!$B$12,0)))))*(1/(1-'P-Parametri'!$B$6*P717))))</f>
        <v>9792.0972475936105</v>
      </c>
      <c r="R717" s="18">
        <f>IF($A717&gt;'1-Input'!$B$26,T716,(T716-MAX(0,P671-IF($A717&gt;='1-Input'!$C$12,'1-Input'!$B$12,0))+Q717*(1-'P-Parametri'!$B$6*P717))*(1+'1-Input'!$B$27))</f>
        <v>0</v>
      </c>
      <c r="S717" s="18">
        <f>IF($A717&gt;'1-Input'!$B$26,U716,(U716-Q717)*(1+$D$4))</f>
        <v>-12433.478366067224</v>
      </c>
      <c r="T717" s="18">
        <f>IF($A717&gt;'1-Input'!$B$26,R717,R717-'P-Parametri'!$B$8*(S717+R717)+MIN(MAX(S717,0),'P-Parametri'!$B$8*(S717+R717)))</f>
        <v>0</v>
      </c>
      <c r="U717" s="18">
        <f>IF($A717&gt;'1-Input'!$B$26,S717,S717-MIN(MAX(S717,0),'P-Parametri'!$B$8*(S717+R717)))</f>
        <v>-12408.61140933509</v>
      </c>
      <c r="V717" s="18">
        <f>IF($A717&gt;'1-Input'!$B$26,V716,V716-Q717*(1-P717))</f>
        <v>-10134.204582330511</v>
      </c>
      <c r="W717" s="11">
        <f>IF($A717&gt;'1-Input'!$B$26,0,IF(AB716&lt;=0,0,MAX(0,(AB716-AC716)/AB716)))</f>
        <v>0.84184910591166418</v>
      </c>
      <c r="X717" s="18">
        <f>IF($A717&gt;'1-Input'!$B$26,0,(MAX(0,W671-IF($A717&gt;='1-Input'!$C$12,'1-Input'!$B$12,0))-MIN(MAX(AA716,0),MAX(0,W671-IF($A717&gt;='1-Input'!$C$12,'1-Input'!$B$12,0))))*(1/(1-'P-Parametri'!$B$6*W717))+MIN(MAX(0,AB716-(MAX(0,W671-IF($A717&gt;='1-Input'!$C$12,'1-Input'!$B$12,0))-MIN(MAX(AA716,0),MAX(0,W671-IF($A717&gt;='1-Input'!$C$12,'1-Input'!$B$12,0))))*(1/(1-'P-Parametri'!$B$6*W717))),MAX(0,0*W671-(AA716-MIN(MAX(AA716,0),MAX(0,W671-IF($A717&gt;='1-Input'!$C$12,'1-Input'!$B$12,0)))))*(1/(1-'P-Parametri'!$B$6*W717))))</f>
        <v>12266.0633577229</v>
      </c>
      <c r="Y717" s="18">
        <f>IF($A717&gt;'1-Input'!$B$26,AA716,(AA716-MAX(0,W671-IF($A717&gt;='1-Input'!$C$12,'1-Input'!$B$12,0))+X717*(1-'P-Parametri'!$B$6*W717))*(1+'1-Input'!$B$27))</f>
        <v>0</v>
      </c>
      <c r="Z717" s="18">
        <f>IF($A717&gt;'1-Input'!$B$26,AB716,(AB716-X717)*(1+$D$4))</f>
        <v>12529.042467902307</v>
      </c>
      <c r="AA717" s="18">
        <f>IF($A717&gt;'1-Input'!$B$26,Y717,Y717-'P-Parametri'!$B$8*(Z717+Y717)+MIN(MAX(Z717,0),'P-Parametri'!$B$8*(Z717+Y717)))</f>
        <v>0</v>
      </c>
      <c r="AB717" s="18">
        <f>IF($A717&gt;'1-Input'!$B$26,Z717,Z717-MIN(MAX(Z717,0),'P-Parametri'!$B$8*(Z717+Y717)))</f>
        <v>12503.984382966502</v>
      </c>
      <c r="AC717" s="18">
        <f>IF($A717&gt;'1-Input'!$B$26,AC716,AC716-X717*(1-W717))</f>
        <v>1905.2685272783483</v>
      </c>
      <c r="AD717" s="11">
        <f>IF($A717&gt;'1-Input'!$B$26,0,IF(AI716&lt;=0,0,MAX(0,(AI716-AJ716)/AI716)))</f>
        <v>0.84184910591166406</v>
      </c>
      <c r="AE717" s="18">
        <f>IF($A717&gt;'1-Input'!$B$26,0,(MAX(0,AD671-IF($A717&gt;='1-Input'!$C$12,'1-Input'!$B$12,0))-MIN(MAX(AH716,0),MAX(0,AD671-IF($A717&gt;='1-Input'!$C$12,'1-Input'!$B$12,0))))*(1/(1-'P-Parametri'!$B$6*AD717))+MIN(MAX(0,AI716-(MAX(0,AD671-IF($A717&gt;='1-Input'!$C$12,'1-Input'!$B$12,0))-MIN(MAX(AH716,0),MAX(0,AD671-IF($A717&gt;='1-Input'!$C$12,'1-Input'!$B$12,0))))*(1/(1-'P-Parametri'!$B$6*AD717))),MAX(0,0*AD671-(AH716-MIN(MAX(AH716,0),MAX(0,AD671-IF($A717&gt;='1-Input'!$C$12,'1-Input'!$B$12,0)))))*(1/(1-'P-Parametri'!$B$6*AD717))))</f>
        <v>12268.643759928404</v>
      </c>
      <c r="AF717" s="18">
        <f>IF($A717&gt;'1-Input'!$B$26,AH716,(AH716-MAX(0,AD671-IF($A717&gt;='1-Input'!$C$12,'1-Input'!$B$12,0))+AE717*(1-'P-Parametri'!$B$6*AD717))*(1+'1-Input'!$B$27))</f>
        <v>0</v>
      </c>
      <c r="AG717" s="18">
        <f>IF($A717&gt;'1-Input'!$B$26,AI716,(AI716-AE717)*(1+$D$4))</f>
        <v>12263.122792632632</v>
      </c>
      <c r="AH717" s="18">
        <f>IF($A717&gt;'1-Input'!$B$26,AF717,AF717-'P-Parametri'!$B$8*(AG717+AF717)+MIN(MAX(AG717,0),'P-Parametri'!$B$8*(AG717+AF717)))</f>
        <v>0</v>
      </c>
      <c r="AI717" s="18">
        <f>IF($A717&gt;'1-Input'!$B$26,AG717,AG717-MIN(MAX(AG717,0),'P-Parametri'!$B$8*(AG717+AF717)))</f>
        <v>12238.596547047367</v>
      </c>
      <c r="AJ717" s="18">
        <f>IF($A717&gt;'1-Input'!$B$26,AJ716,AJ716-AE717*(1-AD717))</f>
        <v>1864.8306095864434</v>
      </c>
      <c r="AK717" s="11">
        <f>IF($A717&gt;'1-Input'!$B$26,0,IF(AP716&lt;=0,0,MAX(0,(AP716-AQ716)/AP716)))</f>
        <v>0.84184910591166406</v>
      </c>
      <c r="AL717" s="18">
        <f>IF($A717&gt;'1-Input'!$B$26,0,(MAX(0,AK671-IF($A717&gt;='1-Input'!$C$12,'1-Input'!$B$12,0))-MIN(MAX(AO716,0),MAX(0,AK671-IF($A717&gt;='1-Input'!$C$12,'1-Input'!$B$12,0))))*(1/(1-'P-Parametri'!$B$6*AK717))+MIN(MAX(0,AP716-(MAX(0,AK671-IF($A717&gt;='1-Input'!$C$12,'1-Input'!$B$12,0))-MIN(MAX(AO716,0),MAX(0,AK671-IF($A717&gt;='1-Input'!$C$12,'1-Input'!$B$12,0))))*(1/(1-'P-Parametri'!$B$6*AK717))),MAX(0,0*AK671-(AO716-MIN(MAX(AO716,0),MAX(0,AK671-IF($A717&gt;='1-Input'!$C$12,'1-Input'!$B$12,0)))))*(1/(1-'P-Parametri'!$B$6*AK717))))</f>
        <v>12268.126779048333</v>
      </c>
      <c r="AM717" s="18">
        <f>IF($A717&gt;'1-Input'!$B$26,AO716,(AO716-MAX(0,AK671-IF($A717&gt;='1-Input'!$C$12,'1-Input'!$B$12,0))+AL717*(1-'P-Parametri'!$B$6*AK717))*(1+'1-Input'!$B$27))</f>
        <v>0</v>
      </c>
      <c r="AN717" s="18">
        <f>IF($A717&gt;'1-Input'!$B$26,AP716,(AP716-AL717)*(1+$D$4))</f>
        <v>12316.399521143285</v>
      </c>
      <c r="AO717" s="18">
        <f>IF($A717&gt;'1-Input'!$B$26,AM717,AM717-'P-Parametri'!$B$8*(AN717+AM717)+MIN(MAX(AN717,0),'P-Parametri'!$B$8*(AN717+AM717)))</f>
        <v>0</v>
      </c>
      <c r="AP717" s="18">
        <f>IF($A717&gt;'1-Input'!$B$26,AN717,AN717-MIN(MAX(AN717,0),'P-Parametri'!$B$8*(AN717+AM717)))</f>
        <v>12291.766722100998</v>
      </c>
      <c r="AQ717" s="18">
        <f>IF($A717&gt;'1-Input'!$B$26,AQ716,AQ716-AL717*(1-AK717))</f>
        <v>1872.9323040557313</v>
      </c>
    </row>
    <row r="718" spans="1:43">
      <c r="A718" s="10">
        <f>45</f>
        <v>45</v>
      </c>
      <c r="B718" s="11">
        <f>IF($A718&gt;'1-Input'!$B$26,0,IF(G717&lt;=0,0,MAX(0,(G717-H717)/G717)))</f>
        <v>0.84762708678093124</v>
      </c>
      <c r="C718" s="18">
        <f>IF($A718&gt;'1-Input'!$B$26,0,(MAX(0,B671-IF($A718&gt;='1-Input'!$C$12,'1-Input'!$B$12,0))-MIN(MAX(F717,0),MAX(0,B671-IF($A718&gt;='1-Input'!$C$12,'1-Input'!$B$12,0))))*(1/(1-'P-Parametri'!$B$6*B718))+MIN(MAX(0,G717-(MAX(0,B671-IF($A718&gt;='1-Input'!$C$12,'1-Input'!$B$12,0))-MIN(MAX(F717,0),MAX(0,B671-IF($A718&gt;='1-Input'!$C$12,'1-Input'!$B$12,0))))*(1/(1-'P-Parametri'!$B$6*B718))),MAX(0,0*B671-(F717-MIN(MAX(F717,0),MAX(0,B671-IF($A718&gt;='1-Input'!$C$12,'1-Input'!$B$12,0)))))*(1/(1-'P-Parametri'!$B$6*B718))))</f>
        <v>7156.1492620264626</v>
      </c>
      <c r="D718" s="18">
        <f>IF($A718&gt;'1-Input'!$B$26,F717,(F717-MAX(0,B671-IF($A718&gt;='1-Input'!$C$12,'1-Input'!$B$12,0))+C718*(1-'P-Parametri'!$B$6*B718))*(1+'1-Input'!$B$27))</f>
        <v>0</v>
      </c>
      <c r="E718" s="18">
        <f>IF($A718&gt;'1-Input'!$B$26,G717,(G717-C718)*(1+$D$4))</f>
        <v>553597.25337499101</v>
      </c>
      <c r="F718" s="18">
        <f>IF($A718&gt;'1-Input'!$B$26,D718,D718-'P-Parametri'!$B$8*(E718+D718)+MIN(MAX(E718,0),'P-Parametri'!$B$8*(E718+D718)))</f>
        <v>0</v>
      </c>
      <c r="G718" s="18">
        <f>IF($A718&gt;'1-Input'!$B$26,E718,E718-MIN(MAX(E718,0),'P-Parametri'!$B$8*(E718+D718)))</f>
        <v>552490.05886824103</v>
      </c>
      <c r="H718" s="18">
        <f>IF($A718&gt;'1-Input'!$B$26,H717,H717-C718*(1-B718))</f>
        <v>81108.871391175344</v>
      </c>
      <c r="I718" s="11">
        <f>IF($A718&gt;'1-Input'!$B$26,0,IF(N717&lt;=0,0,MAX(0,(N717-O717)/N717)))</f>
        <v>0</v>
      </c>
      <c r="J718" s="18">
        <f>IF($A718&gt;'1-Input'!$B$26,0,(MAX(0,I671-IF($A718&gt;='1-Input'!$C$12,'1-Input'!$B$12,0))-MIN(MAX(M717,0),MAX(0,I671-IF($A718&gt;='1-Input'!$C$12,'1-Input'!$B$12,0))))*(1/(1-'P-Parametri'!$B$6*I718))+MIN(MAX(0,N717-(MAX(0,I671-IF($A718&gt;='1-Input'!$C$12,'1-Input'!$B$12,0))-MIN(MAX(M717,0),MAX(0,I671-IF($A718&gt;='1-Input'!$C$12,'1-Input'!$B$12,0))))*(1/(1-'P-Parametri'!$B$6*I718))),MAX(0,0*I671-(M717-MIN(MAX(M717,0),MAX(0,I671-IF($A718&gt;='1-Input'!$C$12,'1-Input'!$B$12,0)))))*(1/(1-'P-Parametri'!$B$6*I718))))</f>
        <v>10846.756992928691</v>
      </c>
      <c r="K718" s="18">
        <f>IF($A718&gt;'1-Input'!$B$26,M717,(M717-MAX(0,I671-IF($A718&gt;='1-Input'!$C$12,'1-Input'!$B$12,0))+J718*(1-'P-Parametri'!$B$6*I718))*(1+'1-Input'!$B$27))</f>
        <v>0</v>
      </c>
      <c r="L718" s="18">
        <f>IF($A718&gt;'1-Input'!$B$26,N717,(N717-J718)*(1+$D$4))</f>
        <v>-138583.17755963586</v>
      </c>
      <c r="M718" s="18">
        <f>IF($A718&gt;'1-Input'!$B$26,K718,K718-'P-Parametri'!$B$8*(L718+K718)+MIN(MAX(L718,0),'P-Parametri'!$B$8*(L718+K718)))</f>
        <v>0</v>
      </c>
      <c r="N718" s="18">
        <f>IF($A718&gt;'1-Input'!$B$26,L718,L718-MIN(MAX(L718,0),'P-Parametri'!$B$8*(L718+K718)))</f>
        <v>-138306.0112045166</v>
      </c>
      <c r="O718" s="18">
        <f>IF($A718&gt;'1-Input'!$B$26,O717,O717-J718*(1-I718))</f>
        <v>-109118.95252339574</v>
      </c>
      <c r="P718" s="11">
        <f>IF($A718&gt;'1-Input'!$B$26,0,IF(U717&lt;=0,0,MAX(0,(U717-V717)/U717)))</f>
        <v>0</v>
      </c>
      <c r="Q718" s="18">
        <f>IF($A718&gt;'1-Input'!$B$26,0,(MAX(0,P671-IF($A718&gt;='1-Input'!$C$12,'1-Input'!$B$12,0))-MIN(MAX(T717,0),MAX(0,P671-IF($A718&gt;='1-Input'!$C$12,'1-Input'!$B$12,0))))*(1/(1-'P-Parametri'!$B$6*P718))+MIN(MAX(0,U717-(MAX(0,P671-IF($A718&gt;='1-Input'!$C$12,'1-Input'!$B$12,0))-MIN(MAX(T717,0),MAX(0,P671-IF($A718&gt;='1-Input'!$C$12,'1-Input'!$B$12,0))))*(1/(1-'P-Parametri'!$B$6*P718))),MAX(0,0*P671-(T717-MIN(MAX(T717,0),MAX(0,P671-IF($A718&gt;='1-Input'!$C$12,'1-Input'!$B$12,0)))))*(1/(1-'P-Parametri'!$B$6*P718))))</f>
        <v>9792.0972475936105</v>
      </c>
      <c r="R718" s="18">
        <f>IF($A718&gt;'1-Input'!$B$26,T717,(T717-MAX(0,P671-IF($A718&gt;='1-Input'!$C$12,'1-Input'!$B$12,0))+Q718*(1-'P-Parametri'!$B$6*P718))*(1+'1-Input'!$B$27))</f>
        <v>0</v>
      </c>
      <c r="S718" s="18">
        <f>IF($A718&gt;'1-Input'!$B$26,U717,(U717-Q718)*(1+$D$4))</f>
        <v>-23088.737003205846</v>
      </c>
      <c r="T718" s="18">
        <f>IF($A718&gt;'1-Input'!$B$26,R718,R718-'P-Parametri'!$B$8*(S718+R718)+MIN(MAX(S718,0),'P-Parametri'!$B$8*(S718+R718)))</f>
        <v>0</v>
      </c>
      <c r="U718" s="18">
        <f>IF($A718&gt;'1-Input'!$B$26,S718,S718-MIN(MAX(S718,0),'P-Parametri'!$B$8*(S718+R718)))</f>
        <v>-23042.559529199436</v>
      </c>
      <c r="V718" s="18">
        <f>IF($A718&gt;'1-Input'!$B$26,V717,V717-Q718*(1-P718))</f>
        <v>-19926.301829924123</v>
      </c>
      <c r="W718" s="11">
        <f>IF($A718&gt;'1-Input'!$B$26,0,IF(AB717&lt;=0,0,MAX(0,(AB717-AC717)/AB717)))</f>
        <v>0.84762708678093113</v>
      </c>
      <c r="X718" s="18">
        <f>IF($A718&gt;'1-Input'!$B$26,0,(MAX(0,W671-IF($A718&gt;='1-Input'!$C$12,'1-Input'!$B$12,0))-MIN(MAX(AA717,0),MAX(0,W671-IF($A718&gt;='1-Input'!$C$12,'1-Input'!$B$12,0))))*(1/(1-'P-Parametri'!$B$6*W718))+MIN(MAX(0,AB717-(MAX(0,W671-IF($A718&gt;='1-Input'!$C$12,'1-Input'!$B$12,0))-MIN(MAX(AA717,0),MAX(0,W671-IF($A718&gt;='1-Input'!$C$12,'1-Input'!$B$12,0))))*(1/(1-'P-Parametri'!$B$6*W718))),MAX(0,0*W671-(AA717-MIN(MAX(AA717,0),MAX(0,W671-IF($A718&gt;='1-Input'!$C$12,'1-Input'!$B$12,0)))))*(1/(1-'P-Parametri'!$B$6*W718))))</f>
        <v>12289.699324685876</v>
      </c>
      <c r="Y718" s="18">
        <f>IF($A718&gt;'1-Input'!$B$26,AA717,(AA717-MAX(0,W671-IF($A718&gt;='1-Input'!$C$12,'1-Input'!$B$12,0))+X718*(1-'P-Parametri'!$B$6*W718))*(1+'1-Input'!$B$27))</f>
        <v>0</v>
      </c>
      <c r="Z718" s="18">
        <f>IF($A718&gt;'1-Input'!$B$26,AB717,(AB717-X718)*(1+$D$4))</f>
        <v>222.85646061185093</v>
      </c>
      <c r="AA718" s="18">
        <f>IF($A718&gt;'1-Input'!$B$26,Y718,Y718-'P-Parametri'!$B$8*(Z718+Y718)+MIN(MAX(Z718,0),'P-Parametri'!$B$8*(Z718+Y718)))</f>
        <v>0</v>
      </c>
      <c r="AB718" s="18">
        <f>IF($A718&gt;'1-Input'!$B$26,Z718,Z718-MIN(MAX(Z718,0),'P-Parametri'!$B$8*(Z718+Y718)))</f>
        <v>222.41074769062723</v>
      </c>
      <c r="AC718" s="18">
        <f>IF($A718&gt;'1-Input'!$B$26,AC717,AC717-X718*(1-W718))</f>
        <v>32.651238589538025</v>
      </c>
      <c r="AD718" s="11">
        <f>IF($A718&gt;'1-Input'!$B$26,0,IF(AI717&lt;=0,0,MAX(0,(AI717-AJ717)/AI717)))</f>
        <v>0.84762708678093124</v>
      </c>
      <c r="AE718" s="18">
        <f>IF($A718&gt;'1-Input'!$B$26,0,(MAX(0,AD671-IF($A718&gt;='1-Input'!$C$12,'1-Input'!$B$12,0))-MIN(MAX(AH717,0),MAX(0,AD671-IF($A718&gt;='1-Input'!$C$12,'1-Input'!$B$12,0))))*(1/(1-'P-Parametri'!$B$6*AD718))+MIN(MAX(0,AI717-(MAX(0,AD671-IF($A718&gt;='1-Input'!$C$12,'1-Input'!$B$12,0))-MIN(MAX(AH717,0),MAX(0,AD671-IF($A718&gt;='1-Input'!$C$12,'1-Input'!$B$12,0))))*(1/(1-'P-Parametri'!$B$6*AD718))),MAX(0,0*AD671-(AH717-MIN(MAX(AH717,0),MAX(0,AD671-IF($A718&gt;='1-Input'!$C$12,'1-Input'!$B$12,0)))))*(1/(1-'P-Parametri'!$B$6*AD718))))</f>
        <v>12292.284699171361</v>
      </c>
      <c r="AF718" s="18">
        <f>IF($A718&gt;'1-Input'!$B$26,AH717,(AH717-MAX(0,AD671-IF($A718&gt;='1-Input'!$C$12,'1-Input'!$B$12,0))+AE718*(1-'P-Parametri'!$B$6*AD718))*(1+'1-Input'!$B$27))</f>
        <v>0</v>
      </c>
      <c r="AG718" s="18">
        <f>IF($A718&gt;'1-Input'!$B$26,AI717,(AI717-AE718)*(1+$D$4))</f>
        <v>-55.835678208953617</v>
      </c>
      <c r="AH718" s="18">
        <f>IF($A718&gt;'1-Input'!$B$26,AF718,AF718-'P-Parametri'!$B$8*(AG718+AF718)+MIN(MAX(AG718,0),'P-Parametri'!$B$8*(AG718+AF718)))</f>
        <v>0</v>
      </c>
      <c r="AI718" s="18">
        <f>IF($A718&gt;'1-Input'!$B$26,AG718,AG718-MIN(MAX(AG718,0),'P-Parametri'!$B$8*(AG718+AF718)))</f>
        <v>-55.724006852535709</v>
      </c>
      <c r="AJ718" s="18">
        <f>IF($A718&gt;'1-Input'!$B$26,AJ717,AJ717-AE718*(1-AD718))</f>
        <v>-8.1806201444812814</v>
      </c>
      <c r="AK718" s="11">
        <f>IF($A718&gt;'1-Input'!$B$26,0,IF(AP717&lt;=0,0,MAX(0,(AP717-AQ717)/AP717)))</f>
        <v>0.84762708678093135</v>
      </c>
      <c r="AL718" s="18">
        <f>IF($A718&gt;'1-Input'!$B$26,0,(MAX(0,AK671-IF($A718&gt;='1-Input'!$C$12,'1-Input'!$B$12,0))-MIN(MAX(AO717,0),MAX(0,AK671-IF($A718&gt;='1-Input'!$C$12,'1-Input'!$B$12,0))))*(1/(1-'P-Parametri'!$B$6*AK718))+MIN(MAX(0,AP717-(MAX(0,AK671-IF($A718&gt;='1-Input'!$C$12,'1-Input'!$B$12,0))-MIN(MAX(AO717,0),MAX(0,AK671-IF($A718&gt;='1-Input'!$C$12,'1-Input'!$B$12,0))))*(1/(1-'P-Parametri'!$B$6*AK718))),MAX(0,0*AK671-(AO717-MIN(MAX(AO717,0),MAX(0,AK671-IF($A718&gt;='1-Input'!$C$12,'1-Input'!$B$12,0)))))*(1/(1-'P-Parametri'!$B$6*AK718))))</f>
        <v>12291.766722100203</v>
      </c>
      <c r="AM718" s="18">
        <f>IF($A718&gt;'1-Input'!$B$26,AO717,(AO717-MAX(0,AK671-IF($A718&gt;='1-Input'!$C$12,'1-Input'!$B$12,0))+AL718*(1-'P-Parametri'!$B$6*AK718))*(1+'1-Input'!$B$27))</f>
        <v>0</v>
      </c>
      <c r="AN718" s="18">
        <f>IF($A718&gt;'1-Input'!$B$26,AP717,(AP717-AL718)*(1+$D$4))</f>
        <v>8.2669430412352088E-10</v>
      </c>
      <c r="AO718" s="18">
        <f>IF($A718&gt;'1-Input'!$B$26,AM718,AM718-'P-Parametri'!$B$8*(AN718+AM718)+MIN(MAX(AN718,0),'P-Parametri'!$B$8*(AN718+AM718)))</f>
        <v>0</v>
      </c>
      <c r="AP718" s="18">
        <f>IF($A718&gt;'1-Input'!$B$26,AN718,AN718-MIN(MAX(AN718,0),'P-Parametri'!$B$8*(AN718+AM718)))</f>
        <v>8.2504091551527388E-10</v>
      </c>
      <c r="AQ718" s="18">
        <f>IF($A718&gt;'1-Input'!$B$26,AQ717,AQ717-AL718*(1-AK718))</f>
        <v>1.2119016901124269E-10</v>
      </c>
    </row>
    <row r="719" spans="1:43">
      <c r="A719" s="10">
        <f>46</f>
        <v>46</v>
      </c>
      <c r="B719" s="11">
        <f>IF($A719&gt;'1-Input'!$B$26,0,IF(G718&lt;=0,0,MAX(0,(G718-H718)/G718)))</f>
        <v>0</v>
      </c>
      <c r="C719" s="18">
        <f>IF($A719&gt;'1-Input'!$B$26,0,(MAX(0,B671-IF($A719&gt;='1-Input'!$C$12,'1-Input'!$B$12,0))-MIN(MAX(F718,0),MAX(0,B671-IF($A719&gt;='1-Input'!$C$12,'1-Input'!$B$12,0))))*(1/(1-'P-Parametri'!$B$6*B719))+MIN(MAX(0,G718-(MAX(0,B671-IF($A719&gt;='1-Input'!$C$12,'1-Input'!$B$12,0))-MIN(MAX(F718,0),MAX(0,B671-IF($A719&gt;='1-Input'!$C$12,'1-Input'!$B$12,0))))*(1/(1-'P-Parametri'!$B$6*B719))),MAX(0,0*B671-(F718-MIN(MAX(F718,0),MAX(0,B671-IF($A719&gt;='1-Input'!$C$12,'1-Input'!$B$12,0)))))*(1/(1-'P-Parametri'!$B$6*B719))))</f>
        <v>0</v>
      </c>
      <c r="D719" s="18">
        <f>IF($A719&gt;'1-Input'!$B$26,F718,(F718-MAX(0,B671-IF($A719&gt;='1-Input'!$C$12,'1-Input'!$B$12,0))+C719*(1-'P-Parametri'!$B$6*B719))*(1+'1-Input'!$B$27))</f>
        <v>0</v>
      </c>
      <c r="E719" s="18">
        <f>IF($A719&gt;'1-Input'!$B$26,G718,(G718-C719)*(1+$D$4))</f>
        <v>552490.05886824103</v>
      </c>
      <c r="F719" s="18">
        <f>IF($A719&gt;'1-Input'!$B$26,D719,D719-'P-Parametri'!$B$8*(E719+D719)+MIN(MAX(E719,0),'P-Parametri'!$B$8*(E719+D719)))</f>
        <v>0</v>
      </c>
      <c r="G719" s="18">
        <f>IF($A719&gt;'1-Input'!$B$26,E719,E719-MIN(MAX(E719,0),'P-Parametri'!$B$8*(E719+D719)))</f>
        <v>552490.05886824103</v>
      </c>
      <c r="H719" s="18">
        <f>IF($A719&gt;'1-Input'!$B$26,H718,H718-C719*(1-B719))</f>
        <v>81108.871391175344</v>
      </c>
      <c r="I719" s="11">
        <f>IF($A719&gt;'1-Input'!$B$26,0,IF(N718&lt;=0,0,MAX(0,(N718-O718)/N718)))</f>
        <v>0</v>
      </c>
      <c r="J719" s="18">
        <f>IF($A719&gt;'1-Input'!$B$26,0,(MAX(0,I671-IF($A719&gt;='1-Input'!$C$12,'1-Input'!$B$12,0))-MIN(MAX(M718,0),MAX(0,I671-IF($A719&gt;='1-Input'!$C$12,'1-Input'!$B$12,0))))*(1/(1-'P-Parametri'!$B$6*I719))+MIN(MAX(0,N718-(MAX(0,I671-IF($A719&gt;='1-Input'!$C$12,'1-Input'!$B$12,0))-MIN(MAX(M718,0),MAX(0,I671-IF($A719&gt;='1-Input'!$C$12,'1-Input'!$B$12,0))))*(1/(1-'P-Parametri'!$B$6*I719))),MAX(0,0*I671-(M718-MIN(MAX(M718,0),MAX(0,I671-IF($A719&gt;='1-Input'!$C$12,'1-Input'!$B$12,0)))))*(1/(1-'P-Parametri'!$B$6*I719))))</f>
        <v>0</v>
      </c>
      <c r="K719" s="18">
        <f>IF($A719&gt;'1-Input'!$B$26,M718,(M718-MAX(0,I671-IF($A719&gt;='1-Input'!$C$12,'1-Input'!$B$12,0))+J719*(1-'P-Parametri'!$B$6*I719))*(1+'1-Input'!$B$27))</f>
        <v>0</v>
      </c>
      <c r="L719" s="18">
        <f>IF($A719&gt;'1-Input'!$B$26,N718,(N718-J719)*(1+$D$4))</f>
        <v>-138306.0112045166</v>
      </c>
      <c r="M719" s="18">
        <f>IF($A719&gt;'1-Input'!$B$26,K719,K719-'P-Parametri'!$B$8*(L719+K719)+MIN(MAX(L719,0),'P-Parametri'!$B$8*(L719+K719)))</f>
        <v>0</v>
      </c>
      <c r="N719" s="18">
        <f>IF($A719&gt;'1-Input'!$B$26,L719,L719-MIN(MAX(L719,0),'P-Parametri'!$B$8*(L719+K719)))</f>
        <v>-138306.0112045166</v>
      </c>
      <c r="O719" s="18">
        <f>IF($A719&gt;'1-Input'!$B$26,O718,O718-J719*(1-I719))</f>
        <v>-109118.95252339574</v>
      </c>
      <c r="P719" s="11">
        <f>IF($A719&gt;'1-Input'!$B$26,0,IF(U718&lt;=0,0,MAX(0,(U718-V718)/U718)))</f>
        <v>0</v>
      </c>
      <c r="Q719" s="18">
        <f>IF($A719&gt;'1-Input'!$B$26,0,(MAX(0,P671-IF($A719&gt;='1-Input'!$C$12,'1-Input'!$B$12,0))-MIN(MAX(T718,0),MAX(0,P671-IF($A719&gt;='1-Input'!$C$12,'1-Input'!$B$12,0))))*(1/(1-'P-Parametri'!$B$6*P719))+MIN(MAX(0,U718-(MAX(0,P671-IF($A719&gt;='1-Input'!$C$12,'1-Input'!$B$12,0))-MIN(MAX(T718,0),MAX(0,P671-IF($A719&gt;='1-Input'!$C$12,'1-Input'!$B$12,0))))*(1/(1-'P-Parametri'!$B$6*P719))),MAX(0,0*P671-(T718-MIN(MAX(T718,0),MAX(0,P671-IF($A719&gt;='1-Input'!$C$12,'1-Input'!$B$12,0)))))*(1/(1-'P-Parametri'!$B$6*P719))))</f>
        <v>0</v>
      </c>
      <c r="R719" s="18">
        <f>IF($A719&gt;'1-Input'!$B$26,T718,(T718-MAX(0,P671-IF($A719&gt;='1-Input'!$C$12,'1-Input'!$B$12,0))+Q719*(1-'P-Parametri'!$B$6*P719))*(1+'1-Input'!$B$27))</f>
        <v>0</v>
      </c>
      <c r="S719" s="18">
        <f>IF($A719&gt;'1-Input'!$B$26,U718,(U718-Q719)*(1+$D$4))</f>
        <v>-23042.559529199436</v>
      </c>
      <c r="T719" s="18">
        <f>IF($A719&gt;'1-Input'!$B$26,R719,R719-'P-Parametri'!$B$8*(S719+R719)+MIN(MAX(S719,0),'P-Parametri'!$B$8*(S719+R719)))</f>
        <v>0</v>
      </c>
      <c r="U719" s="18">
        <f>IF($A719&gt;'1-Input'!$B$26,S719,S719-MIN(MAX(S719,0),'P-Parametri'!$B$8*(S719+R719)))</f>
        <v>-23042.559529199436</v>
      </c>
      <c r="V719" s="18">
        <f>IF($A719&gt;'1-Input'!$B$26,V718,V718-Q719*(1-P719))</f>
        <v>-19926.301829924123</v>
      </c>
      <c r="W719" s="11">
        <f>IF($A719&gt;'1-Input'!$B$26,0,IF(AB718&lt;=0,0,MAX(0,(AB718-AC718)/AB718)))</f>
        <v>0</v>
      </c>
      <c r="X719" s="18">
        <f>IF($A719&gt;'1-Input'!$B$26,0,(MAX(0,W671-IF($A719&gt;='1-Input'!$C$12,'1-Input'!$B$12,0))-MIN(MAX(AA718,0),MAX(0,W671-IF($A719&gt;='1-Input'!$C$12,'1-Input'!$B$12,0))))*(1/(1-'P-Parametri'!$B$6*W719))+MIN(MAX(0,AB718-(MAX(0,W671-IF($A719&gt;='1-Input'!$C$12,'1-Input'!$B$12,0))-MIN(MAX(AA718,0),MAX(0,W671-IF($A719&gt;='1-Input'!$C$12,'1-Input'!$B$12,0))))*(1/(1-'P-Parametri'!$B$6*W719))),MAX(0,0*W671-(AA718-MIN(MAX(AA718,0),MAX(0,W671-IF($A719&gt;='1-Input'!$C$12,'1-Input'!$B$12,0)))))*(1/(1-'P-Parametri'!$B$6*W719))))</f>
        <v>0</v>
      </c>
      <c r="Y719" s="18">
        <f>IF($A719&gt;'1-Input'!$B$26,AA718,(AA718-MAX(0,W671-IF($A719&gt;='1-Input'!$C$12,'1-Input'!$B$12,0))+X719*(1-'P-Parametri'!$B$6*W719))*(1+'1-Input'!$B$27))</f>
        <v>0</v>
      </c>
      <c r="Z719" s="18">
        <f>IF($A719&gt;'1-Input'!$B$26,AB718,(AB718-X719)*(1+$D$4))</f>
        <v>222.41074769062723</v>
      </c>
      <c r="AA719" s="18">
        <f>IF($A719&gt;'1-Input'!$B$26,Y719,Y719-'P-Parametri'!$B$8*(Z719+Y719)+MIN(MAX(Z719,0),'P-Parametri'!$B$8*(Z719+Y719)))</f>
        <v>0</v>
      </c>
      <c r="AB719" s="18">
        <f>IF($A719&gt;'1-Input'!$B$26,Z719,Z719-MIN(MAX(Z719,0),'P-Parametri'!$B$8*(Z719+Y719)))</f>
        <v>222.41074769062723</v>
      </c>
      <c r="AC719" s="18">
        <f>IF($A719&gt;'1-Input'!$B$26,AC718,AC718-X719*(1-W719))</f>
        <v>32.651238589538025</v>
      </c>
      <c r="AD719" s="11">
        <f>IF($A719&gt;'1-Input'!$B$26,0,IF(AI718&lt;=0,0,MAX(0,(AI718-AJ718)/AI718)))</f>
        <v>0</v>
      </c>
      <c r="AE719" s="18">
        <f>IF($A719&gt;'1-Input'!$B$26,0,(MAX(0,AD671-IF($A719&gt;='1-Input'!$C$12,'1-Input'!$B$12,0))-MIN(MAX(AH718,0),MAX(0,AD671-IF($A719&gt;='1-Input'!$C$12,'1-Input'!$B$12,0))))*(1/(1-'P-Parametri'!$B$6*AD719))+MIN(MAX(0,AI718-(MAX(0,AD671-IF($A719&gt;='1-Input'!$C$12,'1-Input'!$B$12,0))-MIN(MAX(AH718,0),MAX(0,AD671-IF($A719&gt;='1-Input'!$C$12,'1-Input'!$B$12,0))))*(1/(1-'P-Parametri'!$B$6*AD719))),MAX(0,0*AD671-(AH718-MIN(MAX(AH718,0),MAX(0,AD671-IF($A719&gt;='1-Input'!$C$12,'1-Input'!$B$12,0)))))*(1/(1-'P-Parametri'!$B$6*AD719))))</f>
        <v>0</v>
      </c>
      <c r="AF719" s="18">
        <f>IF($A719&gt;'1-Input'!$B$26,AH718,(AH718-MAX(0,AD671-IF($A719&gt;='1-Input'!$C$12,'1-Input'!$B$12,0))+AE719*(1-'P-Parametri'!$B$6*AD719))*(1+'1-Input'!$B$27))</f>
        <v>0</v>
      </c>
      <c r="AG719" s="18">
        <f>IF($A719&gt;'1-Input'!$B$26,AI718,(AI718-AE719)*(1+$D$4))</f>
        <v>-55.724006852535709</v>
      </c>
      <c r="AH719" s="18">
        <f>IF($A719&gt;'1-Input'!$B$26,AF719,AF719-'P-Parametri'!$B$8*(AG719+AF719)+MIN(MAX(AG719,0),'P-Parametri'!$B$8*(AG719+AF719)))</f>
        <v>0</v>
      </c>
      <c r="AI719" s="18">
        <f>IF($A719&gt;'1-Input'!$B$26,AG719,AG719-MIN(MAX(AG719,0),'P-Parametri'!$B$8*(AG719+AF719)))</f>
        <v>-55.724006852535709</v>
      </c>
      <c r="AJ719" s="18">
        <f>IF($A719&gt;'1-Input'!$B$26,AJ718,AJ718-AE719*(1-AD719))</f>
        <v>-8.1806201444812814</v>
      </c>
      <c r="AK719" s="11">
        <f>IF($A719&gt;'1-Input'!$B$26,0,IF(AP718&lt;=0,0,MAX(0,(AP718-AQ718)/AP718)))</f>
        <v>0</v>
      </c>
      <c r="AL719" s="18">
        <f>IF($A719&gt;'1-Input'!$B$26,0,(MAX(0,AK671-IF($A719&gt;='1-Input'!$C$12,'1-Input'!$B$12,0))-MIN(MAX(AO718,0),MAX(0,AK671-IF($A719&gt;='1-Input'!$C$12,'1-Input'!$B$12,0))))*(1/(1-'P-Parametri'!$B$6*AK719))+MIN(MAX(0,AP718-(MAX(0,AK671-IF($A719&gt;='1-Input'!$C$12,'1-Input'!$B$12,0))-MIN(MAX(AO718,0),MAX(0,AK671-IF($A719&gt;='1-Input'!$C$12,'1-Input'!$B$12,0))))*(1/(1-'P-Parametri'!$B$6*AK719))),MAX(0,0*AK671-(AO718-MIN(MAX(AO718,0),MAX(0,AK671-IF($A719&gt;='1-Input'!$C$12,'1-Input'!$B$12,0)))))*(1/(1-'P-Parametri'!$B$6*AK719))))</f>
        <v>0</v>
      </c>
      <c r="AM719" s="18">
        <f>IF($A719&gt;'1-Input'!$B$26,AO718,(AO718-MAX(0,AK671-IF($A719&gt;='1-Input'!$C$12,'1-Input'!$B$12,0))+AL719*(1-'P-Parametri'!$B$6*AK719))*(1+'1-Input'!$B$27))</f>
        <v>0</v>
      </c>
      <c r="AN719" s="18">
        <f>IF($A719&gt;'1-Input'!$B$26,AP718,(AP718-AL719)*(1+$D$4))</f>
        <v>8.2504091551527388E-10</v>
      </c>
      <c r="AO719" s="18">
        <f>IF($A719&gt;'1-Input'!$B$26,AM719,AM719-'P-Parametri'!$B$8*(AN719+AM719)+MIN(MAX(AN719,0),'P-Parametri'!$B$8*(AN719+AM719)))</f>
        <v>0</v>
      </c>
      <c r="AP719" s="18">
        <f>IF($A719&gt;'1-Input'!$B$26,AN719,AN719-MIN(MAX(AN719,0),'P-Parametri'!$B$8*(AN719+AM719)))</f>
        <v>8.2504091551527388E-10</v>
      </c>
      <c r="AQ719" s="18">
        <f>IF($A719&gt;'1-Input'!$B$26,AQ718,AQ718-AL719*(1-AK719))</f>
        <v>1.2119016901124269E-10</v>
      </c>
    </row>
    <row r="720" spans="1:43">
      <c r="A720" s="10">
        <f>47</f>
        <v>47</v>
      </c>
      <c r="B720" s="11">
        <f>IF($A720&gt;'1-Input'!$B$26,0,IF(G719&lt;=0,0,MAX(0,(G719-H719)/G719)))</f>
        <v>0</v>
      </c>
      <c r="C720" s="18">
        <f>IF($A720&gt;'1-Input'!$B$26,0,(MAX(0,B671-IF($A720&gt;='1-Input'!$C$12,'1-Input'!$B$12,0))-MIN(MAX(F719,0),MAX(0,B671-IF($A720&gt;='1-Input'!$C$12,'1-Input'!$B$12,0))))*(1/(1-'P-Parametri'!$B$6*B720))+MIN(MAX(0,G719-(MAX(0,B671-IF($A720&gt;='1-Input'!$C$12,'1-Input'!$B$12,0))-MIN(MAX(F719,0),MAX(0,B671-IF($A720&gt;='1-Input'!$C$12,'1-Input'!$B$12,0))))*(1/(1-'P-Parametri'!$B$6*B720))),MAX(0,0*B671-(F719-MIN(MAX(F719,0),MAX(0,B671-IF($A720&gt;='1-Input'!$C$12,'1-Input'!$B$12,0)))))*(1/(1-'P-Parametri'!$B$6*B720))))</f>
        <v>0</v>
      </c>
      <c r="D720" s="18">
        <f>IF($A720&gt;'1-Input'!$B$26,F719,(F719-MAX(0,B671-IF($A720&gt;='1-Input'!$C$12,'1-Input'!$B$12,0))+C720*(1-'P-Parametri'!$B$6*B720))*(1+'1-Input'!$B$27))</f>
        <v>0</v>
      </c>
      <c r="E720" s="18">
        <f>IF($A720&gt;'1-Input'!$B$26,G719,(G719-C720)*(1+$D$4))</f>
        <v>552490.05886824103</v>
      </c>
      <c r="F720" s="18">
        <f>IF($A720&gt;'1-Input'!$B$26,D720,D720-'P-Parametri'!$B$8*(E720+D720)+MIN(MAX(E720,0),'P-Parametri'!$B$8*(E720+D720)))</f>
        <v>0</v>
      </c>
      <c r="G720" s="18">
        <f>IF($A720&gt;'1-Input'!$B$26,E720,E720-MIN(MAX(E720,0),'P-Parametri'!$B$8*(E720+D720)))</f>
        <v>552490.05886824103</v>
      </c>
      <c r="H720" s="18">
        <f>IF($A720&gt;'1-Input'!$B$26,H719,H719-C720*(1-B720))</f>
        <v>81108.871391175344</v>
      </c>
      <c r="I720" s="11">
        <f>IF($A720&gt;'1-Input'!$B$26,0,IF(N719&lt;=0,0,MAX(0,(N719-O719)/N719)))</f>
        <v>0</v>
      </c>
      <c r="J720" s="18">
        <f>IF($A720&gt;'1-Input'!$B$26,0,(MAX(0,I671-IF($A720&gt;='1-Input'!$C$12,'1-Input'!$B$12,0))-MIN(MAX(M719,0),MAX(0,I671-IF($A720&gt;='1-Input'!$C$12,'1-Input'!$B$12,0))))*(1/(1-'P-Parametri'!$B$6*I720))+MIN(MAX(0,N719-(MAX(0,I671-IF($A720&gt;='1-Input'!$C$12,'1-Input'!$B$12,0))-MIN(MAX(M719,0),MAX(0,I671-IF($A720&gt;='1-Input'!$C$12,'1-Input'!$B$12,0))))*(1/(1-'P-Parametri'!$B$6*I720))),MAX(0,0*I671-(M719-MIN(MAX(M719,0),MAX(0,I671-IF($A720&gt;='1-Input'!$C$12,'1-Input'!$B$12,0)))))*(1/(1-'P-Parametri'!$B$6*I720))))</f>
        <v>0</v>
      </c>
      <c r="K720" s="18">
        <f>IF($A720&gt;'1-Input'!$B$26,M719,(M719-MAX(0,I671-IF($A720&gt;='1-Input'!$C$12,'1-Input'!$B$12,0))+J720*(1-'P-Parametri'!$B$6*I720))*(1+'1-Input'!$B$27))</f>
        <v>0</v>
      </c>
      <c r="L720" s="18">
        <f>IF($A720&gt;'1-Input'!$B$26,N719,(N719-J720)*(1+$D$4))</f>
        <v>-138306.0112045166</v>
      </c>
      <c r="M720" s="18">
        <f>IF($A720&gt;'1-Input'!$B$26,K720,K720-'P-Parametri'!$B$8*(L720+K720)+MIN(MAX(L720,0),'P-Parametri'!$B$8*(L720+K720)))</f>
        <v>0</v>
      </c>
      <c r="N720" s="18">
        <f>IF($A720&gt;'1-Input'!$B$26,L720,L720-MIN(MAX(L720,0),'P-Parametri'!$B$8*(L720+K720)))</f>
        <v>-138306.0112045166</v>
      </c>
      <c r="O720" s="18">
        <f>IF($A720&gt;'1-Input'!$B$26,O719,O719-J720*(1-I720))</f>
        <v>-109118.95252339574</v>
      </c>
      <c r="P720" s="11">
        <f>IF($A720&gt;'1-Input'!$B$26,0,IF(U719&lt;=0,0,MAX(0,(U719-V719)/U719)))</f>
        <v>0</v>
      </c>
      <c r="Q720" s="18">
        <f>IF($A720&gt;'1-Input'!$B$26,0,(MAX(0,P671-IF($A720&gt;='1-Input'!$C$12,'1-Input'!$B$12,0))-MIN(MAX(T719,0),MAX(0,P671-IF($A720&gt;='1-Input'!$C$12,'1-Input'!$B$12,0))))*(1/(1-'P-Parametri'!$B$6*P720))+MIN(MAX(0,U719-(MAX(0,P671-IF($A720&gt;='1-Input'!$C$12,'1-Input'!$B$12,0))-MIN(MAX(T719,0),MAX(0,P671-IF($A720&gt;='1-Input'!$C$12,'1-Input'!$B$12,0))))*(1/(1-'P-Parametri'!$B$6*P720))),MAX(0,0*P671-(T719-MIN(MAX(T719,0),MAX(0,P671-IF($A720&gt;='1-Input'!$C$12,'1-Input'!$B$12,0)))))*(1/(1-'P-Parametri'!$B$6*P720))))</f>
        <v>0</v>
      </c>
      <c r="R720" s="18">
        <f>IF($A720&gt;'1-Input'!$B$26,T719,(T719-MAX(0,P671-IF($A720&gt;='1-Input'!$C$12,'1-Input'!$B$12,0))+Q720*(1-'P-Parametri'!$B$6*P720))*(1+'1-Input'!$B$27))</f>
        <v>0</v>
      </c>
      <c r="S720" s="18">
        <f>IF($A720&gt;'1-Input'!$B$26,U719,(U719-Q720)*(1+$D$4))</f>
        <v>-23042.559529199436</v>
      </c>
      <c r="T720" s="18">
        <f>IF($A720&gt;'1-Input'!$B$26,R720,R720-'P-Parametri'!$B$8*(S720+R720)+MIN(MAX(S720,0),'P-Parametri'!$B$8*(S720+R720)))</f>
        <v>0</v>
      </c>
      <c r="U720" s="18">
        <f>IF($A720&gt;'1-Input'!$B$26,S720,S720-MIN(MAX(S720,0),'P-Parametri'!$B$8*(S720+R720)))</f>
        <v>-23042.559529199436</v>
      </c>
      <c r="V720" s="18">
        <f>IF($A720&gt;'1-Input'!$B$26,V719,V719-Q720*(1-P720))</f>
        <v>-19926.301829924123</v>
      </c>
      <c r="W720" s="11">
        <f>IF($A720&gt;'1-Input'!$B$26,0,IF(AB719&lt;=0,0,MAX(0,(AB719-AC719)/AB719)))</f>
        <v>0</v>
      </c>
      <c r="X720" s="18">
        <f>IF($A720&gt;'1-Input'!$B$26,0,(MAX(0,W671-IF($A720&gt;='1-Input'!$C$12,'1-Input'!$B$12,0))-MIN(MAX(AA719,0),MAX(0,W671-IF($A720&gt;='1-Input'!$C$12,'1-Input'!$B$12,0))))*(1/(1-'P-Parametri'!$B$6*W720))+MIN(MAX(0,AB719-(MAX(0,W671-IF($A720&gt;='1-Input'!$C$12,'1-Input'!$B$12,0))-MIN(MAX(AA719,0),MAX(0,W671-IF($A720&gt;='1-Input'!$C$12,'1-Input'!$B$12,0))))*(1/(1-'P-Parametri'!$B$6*W720))),MAX(0,0*W671-(AA719-MIN(MAX(AA719,0),MAX(0,W671-IF($A720&gt;='1-Input'!$C$12,'1-Input'!$B$12,0)))))*(1/(1-'P-Parametri'!$B$6*W720))))</f>
        <v>0</v>
      </c>
      <c r="Y720" s="18">
        <f>IF($A720&gt;'1-Input'!$B$26,AA719,(AA719-MAX(0,W671-IF($A720&gt;='1-Input'!$C$12,'1-Input'!$B$12,0))+X720*(1-'P-Parametri'!$B$6*W720))*(1+'1-Input'!$B$27))</f>
        <v>0</v>
      </c>
      <c r="Z720" s="18">
        <f>IF($A720&gt;'1-Input'!$B$26,AB719,(AB719-X720)*(1+$D$4))</f>
        <v>222.41074769062723</v>
      </c>
      <c r="AA720" s="18">
        <f>IF($A720&gt;'1-Input'!$B$26,Y720,Y720-'P-Parametri'!$B$8*(Z720+Y720)+MIN(MAX(Z720,0),'P-Parametri'!$B$8*(Z720+Y720)))</f>
        <v>0</v>
      </c>
      <c r="AB720" s="18">
        <f>IF($A720&gt;'1-Input'!$B$26,Z720,Z720-MIN(MAX(Z720,0),'P-Parametri'!$B$8*(Z720+Y720)))</f>
        <v>222.41074769062723</v>
      </c>
      <c r="AC720" s="18">
        <f>IF($A720&gt;'1-Input'!$B$26,AC719,AC719-X720*(1-W720))</f>
        <v>32.651238589538025</v>
      </c>
      <c r="AD720" s="11">
        <f>IF($A720&gt;'1-Input'!$B$26,0,IF(AI719&lt;=0,0,MAX(0,(AI719-AJ719)/AI719)))</f>
        <v>0</v>
      </c>
      <c r="AE720" s="18">
        <f>IF($A720&gt;'1-Input'!$B$26,0,(MAX(0,AD671-IF($A720&gt;='1-Input'!$C$12,'1-Input'!$B$12,0))-MIN(MAX(AH719,0),MAX(0,AD671-IF($A720&gt;='1-Input'!$C$12,'1-Input'!$B$12,0))))*(1/(1-'P-Parametri'!$B$6*AD720))+MIN(MAX(0,AI719-(MAX(0,AD671-IF($A720&gt;='1-Input'!$C$12,'1-Input'!$B$12,0))-MIN(MAX(AH719,0),MAX(0,AD671-IF($A720&gt;='1-Input'!$C$12,'1-Input'!$B$12,0))))*(1/(1-'P-Parametri'!$B$6*AD720))),MAX(0,0*AD671-(AH719-MIN(MAX(AH719,0),MAX(0,AD671-IF($A720&gt;='1-Input'!$C$12,'1-Input'!$B$12,0)))))*(1/(1-'P-Parametri'!$B$6*AD720))))</f>
        <v>0</v>
      </c>
      <c r="AF720" s="18">
        <f>IF($A720&gt;'1-Input'!$B$26,AH719,(AH719-MAX(0,AD671-IF($A720&gt;='1-Input'!$C$12,'1-Input'!$B$12,0))+AE720*(1-'P-Parametri'!$B$6*AD720))*(1+'1-Input'!$B$27))</f>
        <v>0</v>
      </c>
      <c r="AG720" s="18">
        <f>IF($A720&gt;'1-Input'!$B$26,AI719,(AI719-AE720)*(1+$D$4))</f>
        <v>-55.724006852535709</v>
      </c>
      <c r="AH720" s="18">
        <f>IF($A720&gt;'1-Input'!$B$26,AF720,AF720-'P-Parametri'!$B$8*(AG720+AF720)+MIN(MAX(AG720,0),'P-Parametri'!$B$8*(AG720+AF720)))</f>
        <v>0</v>
      </c>
      <c r="AI720" s="18">
        <f>IF($A720&gt;'1-Input'!$B$26,AG720,AG720-MIN(MAX(AG720,0),'P-Parametri'!$B$8*(AG720+AF720)))</f>
        <v>-55.724006852535709</v>
      </c>
      <c r="AJ720" s="18">
        <f>IF($A720&gt;'1-Input'!$B$26,AJ719,AJ719-AE720*(1-AD720))</f>
        <v>-8.1806201444812814</v>
      </c>
      <c r="AK720" s="11">
        <f>IF($A720&gt;'1-Input'!$B$26,0,IF(AP719&lt;=0,0,MAX(0,(AP719-AQ719)/AP719)))</f>
        <v>0</v>
      </c>
      <c r="AL720" s="18">
        <f>IF($A720&gt;'1-Input'!$B$26,0,(MAX(0,AK671-IF($A720&gt;='1-Input'!$C$12,'1-Input'!$B$12,0))-MIN(MAX(AO719,0),MAX(0,AK671-IF($A720&gt;='1-Input'!$C$12,'1-Input'!$B$12,0))))*(1/(1-'P-Parametri'!$B$6*AK720))+MIN(MAX(0,AP719-(MAX(0,AK671-IF($A720&gt;='1-Input'!$C$12,'1-Input'!$B$12,0))-MIN(MAX(AO719,0),MAX(0,AK671-IF($A720&gt;='1-Input'!$C$12,'1-Input'!$B$12,0))))*(1/(1-'P-Parametri'!$B$6*AK720))),MAX(0,0*AK671-(AO719-MIN(MAX(AO719,0),MAX(0,AK671-IF($A720&gt;='1-Input'!$C$12,'1-Input'!$B$12,0)))))*(1/(1-'P-Parametri'!$B$6*AK720))))</f>
        <v>0</v>
      </c>
      <c r="AM720" s="18">
        <f>IF($A720&gt;'1-Input'!$B$26,AO719,(AO719-MAX(0,AK671-IF($A720&gt;='1-Input'!$C$12,'1-Input'!$B$12,0))+AL720*(1-'P-Parametri'!$B$6*AK720))*(1+'1-Input'!$B$27))</f>
        <v>0</v>
      </c>
      <c r="AN720" s="18">
        <f>IF($A720&gt;'1-Input'!$B$26,AP719,(AP719-AL720)*(1+$D$4))</f>
        <v>8.2504091551527388E-10</v>
      </c>
      <c r="AO720" s="18">
        <f>IF($A720&gt;'1-Input'!$B$26,AM720,AM720-'P-Parametri'!$B$8*(AN720+AM720)+MIN(MAX(AN720,0),'P-Parametri'!$B$8*(AN720+AM720)))</f>
        <v>0</v>
      </c>
      <c r="AP720" s="18">
        <f>IF($A720&gt;'1-Input'!$B$26,AN720,AN720-MIN(MAX(AN720,0),'P-Parametri'!$B$8*(AN720+AM720)))</f>
        <v>8.2504091551527388E-10</v>
      </c>
      <c r="AQ720" s="18">
        <f>IF($A720&gt;'1-Input'!$B$26,AQ719,AQ719-AL720*(1-AK720))</f>
        <v>1.2119016901124269E-10</v>
      </c>
    </row>
    <row r="721" spans="1:43">
      <c r="A721" s="10">
        <f>48</f>
        <v>48</v>
      </c>
      <c r="B721" s="11">
        <f>IF($A721&gt;'1-Input'!$B$26,0,IF(G720&lt;=0,0,MAX(0,(G720-H720)/G720)))</f>
        <v>0</v>
      </c>
      <c r="C721" s="18">
        <f>IF($A721&gt;'1-Input'!$B$26,0,(MAX(0,B671-IF($A721&gt;='1-Input'!$C$12,'1-Input'!$B$12,0))-MIN(MAX(F720,0),MAX(0,B671-IF($A721&gt;='1-Input'!$C$12,'1-Input'!$B$12,0))))*(1/(1-'P-Parametri'!$B$6*B721))+MIN(MAX(0,G720-(MAX(0,B671-IF($A721&gt;='1-Input'!$C$12,'1-Input'!$B$12,0))-MIN(MAX(F720,0),MAX(0,B671-IF($A721&gt;='1-Input'!$C$12,'1-Input'!$B$12,0))))*(1/(1-'P-Parametri'!$B$6*B721))),MAX(0,0*B671-(F720-MIN(MAX(F720,0),MAX(0,B671-IF($A721&gt;='1-Input'!$C$12,'1-Input'!$B$12,0)))))*(1/(1-'P-Parametri'!$B$6*B721))))</f>
        <v>0</v>
      </c>
      <c r="D721" s="18">
        <f>IF($A721&gt;'1-Input'!$B$26,F720,(F720-MAX(0,B671-IF($A721&gt;='1-Input'!$C$12,'1-Input'!$B$12,0))+C721*(1-'P-Parametri'!$B$6*B721))*(1+'1-Input'!$B$27))</f>
        <v>0</v>
      </c>
      <c r="E721" s="18">
        <f>IF($A721&gt;'1-Input'!$B$26,G720,(G720-C721)*(1+$D$4))</f>
        <v>552490.05886824103</v>
      </c>
      <c r="F721" s="18">
        <f>IF($A721&gt;'1-Input'!$B$26,D721,D721-'P-Parametri'!$B$8*(E721+D721)+MIN(MAX(E721,0),'P-Parametri'!$B$8*(E721+D721)))</f>
        <v>0</v>
      </c>
      <c r="G721" s="18">
        <f>IF($A721&gt;'1-Input'!$B$26,E721,E721-MIN(MAX(E721,0),'P-Parametri'!$B$8*(E721+D721)))</f>
        <v>552490.05886824103</v>
      </c>
      <c r="H721" s="18">
        <f>IF($A721&gt;'1-Input'!$B$26,H720,H720-C721*(1-B721))</f>
        <v>81108.871391175344</v>
      </c>
      <c r="I721" s="11">
        <f>IF($A721&gt;'1-Input'!$B$26,0,IF(N720&lt;=0,0,MAX(0,(N720-O720)/N720)))</f>
        <v>0</v>
      </c>
      <c r="J721" s="18">
        <f>IF($A721&gt;'1-Input'!$B$26,0,(MAX(0,I671-IF($A721&gt;='1-Input'!$C$12,'1-Input'!$B$12,0))-MIN(MAX(M720,0),MAX(0,I671-IF($A721&gt;='1-Input'!$C$12,'1-Input'!$B$12,0))))*(1/(1-'P-Parametri'!$B$6*I721))+MIN(MAX(0,N720-(MAX(0,I671-IF($A721&gt;='1-Input'!$C$12,'1-Input'!$B$12,0))-MIN(MAX(M720,0),MAX(0,I671-IF($A721&gt;='1-Input'!$C$12,'1-Input'!$B$12,0))))*(1/(1-'P-Parametri'!$B$6*I721))),MAX(0,0*I671-(M720-MIN(MAX(M720,0),MAX(0,I671-IF($A721&gt;='1-Input'!$C$12,'1-Input'!$B$12,0)))))*(1/(1-'P-Parametri'!$B$6*I721))))</f>
        <v>0</v>
      </c>
      <c r="K721" s="18">
        <f>IF($A721&gt;'1-Input'!$B$26,M720,(M720-MAX(0,I671-IF($A721&gt;='1-Input'!$C$12,'1-Input'!$B$12,0))+J721*(1-'P-Parametri'!$B$6*I721))*(1+'1-Input'!$B$27))</f>
        <v>0</v>
      </c>
      <c r="L721" s="18">
        <f>IF($A721&gt;'1-Input'!$B$26,N720,(N720-J721)*(1+$D$4))</f>
        <v>-138306.0112045166</v>
      </c>
      <c r="M721" s="18">
        <f>IF($A721&gt;'1-Input'!$B$26,K721,K721-'P-Parametri'!$B$8*(L721+K721)+MIN(MAX(L721,0),'P-Parametri'!$B$8*(L721+K721)))</f>
        <v>0</v>
      </c>
      <c r="N721" s="18">
        <f>IF($A721&gt;'1-Input'!$B$26,L721,L721-MIN(MAX(L721,0),'P-Parametri'!$B$8*(L721+K721)))</f>
        <v>-138306.0112045166</v>
      </c>
      <c r="O721" s="18">
        <f>IF($A721&gt;'1-Input'!$B$26,O720,O720-J721*(1-I721))</f>
        <v>-109118.95252339574</v>
      </c>
      <c r="P721" s="11">
        <f>IF($A721&gt;'1-Input'!$B$26,0,IF(U720&lt;=0,0,MAX(0,(U720-V720)/U720)))</f>
        <v>0</v>
      </c>
      <c r="Q721" s="18">
        <f>IF($A721&gt;'1-Input'!$B$26,0,(MAX(0,P671-IF($A721&gt;='1-Input'!$C$12,'1-Input'!$B$12,0))-MIN(MAX(T720,0),MAX(0,P671-IF($A721&gt;='1-Input'!$C$12,'1-Input'!$B$12,0))))*(1/(1-'P-Parametri'!$B$6*P721))+MIN(MAX(0,U720-(MAX(0,P671-IF($A721&gt;='1-Input'!$C$12,'1-Input'!$B$12,0))-MIN(MAX(T720,0),MAX(0,P671-IF($A721&gt;='1-Input'!$C$12,'1-Input'!$B$12,0))))*(1/(1-'P-Parametri'!$B$6*P721))),MAX(0,0*P671-(T720-MIN(MAX(T720,0),MAX(0,P671-IF($A721&gt;='1-Input'!$C$12,'1-Input'!$B$12,0)))))*(1/(1-'P-Parametri'!$B$6*P721))))</f>
        <v>0</v>
      </c>
      <c r="R721" s="18">
        <f>IF($A721&gt;'1-Input'!$B$26,T720,(T720-MAX(0,P671-IF($A721&gt;='1-Input'!$C$12,'1-Input'!$B$12,0))+Q721*(1-'P-Parametri'!$B$6*P721))*(1+'1-Input'!$B$27))</f>
        <v>0</v>
      </c>
      <c r="S721" s="18">
        <f>IF($A721&gt;'1-Input'!$B$26,U720,(U720-Q721)*(1+$D$4))</f>
        <v>-23042.559529199436</v>
      </c>
      <c r="T721" s="18">
        <f>IF($A721&gt;'1-Input'!$B$26,R721,R721-'P-Parametri'!$B$8*(S721+R721)+MIN(MAX(S721,0),'P-Parametri'!$B$8*(S721+R721)))</f>
        <v>0</v>
      </c>
      <c r="U721" s="18">
        <f>IF($A721&gt;'1-Input'!$B$26,S721,S721-MIN(MAX(S721,0),'P-Parametri'!$B$8*(S721+R721)))</f>
        <v>-23042.559529199436</v>
      </c>
      <c r="V721" s="18">
        <f>IF($A721&gt;'1-Input'!$B$26,V720,V720-Q721*(1-P721))</f>
        <v>-19926.301829924123</v>
      </c>
      <c r="W721" s="11">
        <f>IF($A721&gt;'1-Input'!$B$26,0,IF(AB720&lt;=0,0,MAX(0,(AB720-AC720)/AB720)))</f>
        <v>0</v>
      </c>
      <c r="X721" s="18">
        <f>IF($A721&gt;'1-Input'!$B$26,0,(MAX(0,W671-IF($A721&gt;='1-Input'!$C$12,'1-Input'!$B$12,0))-MIN(MAX(AA720,0),MAX(0,W671-IF($A721&gt;='1-Input'!$C$12,'1-Input'!$B$12,0))))*(1/(1-'P-Parametri'!$B$6*W721))+MIN(MAX(0,AB720-(MAX(0,W671-IF($A721&gt;='1-Input'!$C$12,'1-Input'!$B$12,0))-MIN(MAX(AA720,0),MAX(0,W671-IF($A721&gt;='1-Input'!$C$12,'1-Input'!$B$12,0))))*(1/(1-'P-Parametri'!$B$6*W721))),MAX(0,0*W671-(AA720-MIN(MAX(AA720,0),MAX(0,W671-IF($A721&gt;='1-Input'!$C$12,'1-Input'!$B$12,0)))))*(1/(1-'P-Parametri'!$B$6*W721))))</f>
        <v>0</v>
      </c>
      <c r="Y721" s="18">
        <f>IF($A721&gt;'1-Input'!$B$26,AA720,(AA720-MAX(0,W671-IF($A721&gt;='1-Input'!$C$12,'1-Input'!$B$12,0))+X721*(1-'P-Parametri'!$B$6*W721))*(1+'1-Input'!$B$27))</f>
        <v>0</v>
      </c>
      <c r="Z721" s="18">
        <f>IF($A721&gt;'1-Input'!$B$26,AB720,(AB720-X721)*(1+$D$4))</f>
        <v>222.41074769062723</v>
      </c>
      <c r="AA721" s="18">
        <f>IF($A721&gt;'1-Input'!$B$26,Y721,Y721-'P-Parametri'!$B$8*(Z721+Y721)+MIN(MAX(Z721,0),'P-Parametri'!$B$8*(Z721+Y721)))</f>
        <v>0</v>
      </c>
      <c r="AB721" s="18">
        <f>IF($A721&gt;'1-Input'!$B$26,Z721,Z721-MIN(MAX(Z721,0),'P-Parametri'!$B$8*(Z721+Y721)))</f>
        <v>222.41074769062723</v>
      </c>
      <c r="AC721" s="18">
        <f>IF($A721&gt;'1-Input'!$B$26,AC720,AC720-X721*(1-W721))</f>
        <v>32.651238589538025</v>
      </c>
      <c r="AD721" s="11">
        <f>IF($A721&gt;'1-Input'!$B$26,0,IF(AI720&lt;=0,0,MAX(0,(AI720-AJ720)/AI720)))</f>
        <v>0</v>
      </c>
      <c r="AE721" s="18">
        <f>IF($A721&gt;'1-Input'!$B$26,0,(MAX(0,AD671-IF($A721&gt;='1-Input'!$C$12,'1-Input'!$B$12,0))-MIN(MAX(AH720,0),MAX(0,AD671-IF($A721&gt;='1-Input'!$C$12,'1-Input'!$B$12,0))))*(1/(1-'P-Parametri'!$B$6*AD721))+MIN(MAX(0,AI720-(MAX(0,AD671-IF($A721&gt;='1-Input'!$C$12,'1-Input'!$B$12,0))-MIN(MAX(AH720,0),MAX(0,AD671-IF($A721&gt;='1-Input'!$C$12,'1-Input'!$B$12,0))))*(1/(1-'P-Parametri'!$B$6*AD721))),MAX(0,0*AD671-(AH720-MIN(MAX(AH720,0),MAX(0,AD671-IF($A721&gt;='1-Input'!$C$12,'1-Input'!$B$12,0)))))*(1/(1-'P-Parametri'!$B$6*AD721))))</f>
        <v>0</v>
      </c>
      <c r="AF721" s="18">
        <f>IF($A721&gt;'1-Input'!$B$26,AH720,(AH720-MAX(0,AD671-IF($A721&gt;='1-Input'!$C$12,'1-Input'!$B$12,0))+AE721*(1-'P-Parametri'!$B$6*AD721))*(1+'1-Input'!$B$27))</f>
        <v>0</v>
      </c>
      <c r="AG721" s="18">
        <f>IF($A721&gt;'1-Input'!$B$26,AI720,(AI720-AE721)*(1+$D$4))</f>
        <v>-55.724006852535709</v>
      </c>
      <c r="AH721" s="18">
        <f>IF($A721&gt;'1-Input'!$B$26,AF721,AF721-'P-Parametri'!$B$8*(AG721+AF721)+MIN(MAX(AG721,0),'P-Parametri'!$B$8*(AG721+AF721)))</f>
        <v>0</v>
      </c>
      <c r="AI721" s="18">
        <f>IF($A721&gt;'1-Input'!$B$26,AG721,AG721-MIN(MAX(AG721,0),'P-Parametri'!$B$8*(AG721+AF721)))</f>
        <v>-55.724006852535709</v>
      </c>
      <c r="AJ721" s="18">
        <f>IF($A721&gt;'1-Input'!$B$26,AJ720,AJ720-AE721*(1-AD721))</f>
        <v>-8.1806201444812814</v>
      </c>
      <c r="AK721" s="11">
        <f>IF($A721&gt;'1-Input'!$B$26,0,IF(AP720&lt;=0,0,MAX(0,(AP720-AQ720)/AP720)))</f>
        <v>0</v>
      </c>
      <c r="AL721" s="18">
        <f>IF($A721&gt;'1-Input'!$B$26,0,(MAX(0,AK671-IF($A721&gt;='1-Input'!$C$12,'1-Input'!$B$12,0))-MIN(MAX(AO720,0),MAX(0,AK671-IF($A721&gt;='1-Input'!$C$12,'1-Input'!$B$12,0))))*(1/(1-'P-Parametri'!$B$6*AK721))+MIN(MAX(0,AP720-(MAX(0,AK671-IF($A721&gt;='1-Input'!$C$12,'1-Input'!$B$12,0))-MIN(MAX(AO720,0),MAX(0,AK671-IF($A721&gt;='1-Input'!$C$12,'1-Input'!$B$12,0))))*(1/(1-'P-Parametri'!$B$6*AK721))),MAX(0,0*AK671-(AO720-MIN(MAX(AO720,0),MAX(0,AK671-IF($A721&gt;='1-Input'!$C$12,'1-Input'!$B$12,0)))))*(1/(1-'P-Parametri'!$B$6*AK721))))</f>
        <v>0</v>
      </c>
      <c r="AM721" s="18">
        <f>IF($A721&gt;'1-Input'!$B$26,AO720,(AO720-MAX(0,AK671-IF($A721&gt;='1-Input'!$C$12,'1-Input'!$B$12,0))+AL721*(1-'P-Parametri'!$B$6*AK721))*(1+'1-Input'!$B$27))</f>
        <v>0</v>
      </c>
      <c r="AN721" s="18">
        <f>IF($A721&gt;'1-Input'!$B$26,AP720,(AP720-AL721)*(1+$D$4))</f>
        <v>8.2504091551527388E-10</v>
      </c>
      <c r="AO721" s="18">
        <f>IF($A721&gt;'1-Input'!$B$26,AM721,AM721-'P-Parametri'!$B$8*(AN721+AM721)+MIN(MAX(AN721,0),'P-Parametri'!$B$8*(AN721+AM721)))</f>
        <v>0</v>
      </c>
      <c r="AP721" s="18">
        <f>IF($A721&gt;'1-Input'!$B$26,AN721,AN721-MIN(MAX(AN721,0),'P-Parametri'!$B$8*(AN721+AM721)))</f>
        <v>8.2504091551527388E-10</v>
      </c>
      <c r="AQ721" s="18">
        <f>IF($A721&gt;'1-Input'!$B$26,AQ720,AQ720-AL721*(1-AK721))</f>
        <v>1.2119016901124269E-10</v>
      </c>
    </row>
    <row r="722" spans="1:43">
      <c r="A722" s="4" t="s">
        <v>365</v>
      </c>
      <c r="B722" s="18">
        <f>F721+G721</f>
        <v>552490.05886824103</v>
      </c>
      <c r="I722" s="18">
        <f>M721+N721</f>
        <v>-138306.0112045166</v>
      </c>
      <c r="P722" s="18">
        <f>T721+U721</f>
        <v>-23042.559529199436</v>
      </c>
      <c r="W722" s="18">
        <f>AA721+AB721</f>
        <v>222.41074769062723</v>
      </c>
      <c r="AD722" s="18">
        <f>AH721+AI721</f>
        <v>-55.724006852535709</v>
      </c>
      <c r="AK722" s="18">
        <f>AO721+AP721</f>
        <v>8.2504091551527388E-10</v>
      </c>
    </row>
    <row r="723" spans="1:43">
      <c r="A723" s="5" t="s">
        <v>266</v>
      </c>
      <c r="B723" s="18">
        <f>IFERROR(AK671-AK722*(AK671-AD671)/(AK722-AD722),AK671)</f>
        <v>20684.869773408616</v>
      </c>
    </row>
    <row r="725" spans="1:43">
      <c r="A725" s="2" t="s">
        <v>376</v>
      </c>
    </row>
    <row r="726" spans="1:43">
      <c r="A726" s="4" t="s">
        <v>360</v>
      </c>
      <c r="B726" s="9">
        <f>0.038*'2-Caso'!$B$12</f>
        <v>16681.055314625803</v>
      </c>
      <c r="I726" s="9">
        <f>0.05*'2-Caso'!$B$12</f>
        <v>21948.756992928691</v>
      </c>
      <c r="P726" s="18">
        <f>IFERROR(I726-I777*(I726-B726)/(I777-B777),I726)</f>
        <v>20360.409265299819</v>
      </c>
      <c r="W726" s="18">
        <f>IFERROR(P726-P777*(P726-I726)/(P777-I777),P726)</f>
        <v>20018.944572879878</v>
      </c>
      <c r="AD726" s="18">
        <f>IFERROR(W726-W777*(W726-P726)/(W777-P777),W726)</f>
        <v>20010.443702549765</v>
      </c>
      <c r="AK726" s="18">
        <f>IFERROR(AD726-AD777*(AD726-W726)/(AD777-W777),AD726)</f>
        <v>20010.463928083918</v>
      </c>
    </row>
    <row r="727" spans="1:43" ht="45">
      <c r="A727" s="25" t="s">
        <v>262</v>
      </c>
      <c r="B727" s="25" t="s">
        <v>361</v>
      </c>
      <c r="C727" s="25" t="s">
        <v>263</v>
      </c>
      <c r="D727" s="25" t="s">
        <v>362</v>
      </c>
      <c r="E727" s="25" t="s">
        <v>363</v>
      </c>
      <c r="F727" s="25" t="s">
        <v>264</v>
      </c>
      <c r="G727" s="25" t="s">
        <v>265</v>
      </c>
      <c r="H727" s="25" t="s">
        <v>364</v>
      </c>
      <c r="I727" s="25" t="s">
        <v>361</v>
      </c>
      <c r="J727" s="25" t="s">
        <v>263</v>
      </c>
      <c r="K727" s="25" t="s">
        <v>362</v>
      </c>
      <c r="L727" s="25" t="s">
        <v>363</v>
      </c>
      <c r="M727" s="25" t="s">
        <v>264</v>
      </c>
      <c r="N727" s="25" t="s">
        <v>265</v>
      </c>
      <c r="O727" s="25" t="s">
        <v>364</v>
      </c>
      <c r="P727" s="25" t="s">
        <v>361</v>
      </c>
      <c r="Q727" s="25" t="s">
        <v>263</v>
      </c>
      <c r="R727" s="25" t="s">
        <v>362</v>
      </c>
      <c r="S727" s="25" t="s">
        <v>363</v>
      </c>
      <c r="T727" s="25" t="s">
        <v>264</v>
      </c>
      <c r="U727" s="25" t="s">
        <v>265</v>
      </c>
      <c r="V727" s="25" t="s">
        <v>364</v>
      </c>
      <c r="W727" s="25" t="s">
        <v>361</v>
      </c>
      <c r="X727" s="25" t="s">
        <v>263</v>
      </c>
      <c r="Y727" s="25" t="s">
        <v>362</v>
      </c>
      <c r="Z727" s="25" t="s">
        <v>363</v>
      </c>
      <c r="AA727" s="25" t="s">
        <v>264</v>
      </c>
      <c r="AB727" s="25" t="s">
        <v>265</v>
      </c>
      <c r="AC727" s="25" t="s">
        <v>364</v>
      </c>
      <c r="AD727" s="25" t="s">
        <v>361</v>
      </c>
      <c r="AE727" s="25" t="s">
        <v>263</v>
      </c>
      <c r="AF727" s="25" t="s">
        <v>362</v>
      </c>
      <c r="AG727" s="25" t="s">
        <v>363</v>
      </c>
      <c r="AH727" s="25" t="s">
        <v>264</v>
      </c>
      <c r="AI727" s="25" t="s">
        <v>265</v>
      </c>
      <c r="AJ727" s="25" t="s">
        <v>364</v>
      </c>
      <c r="AK727" s="25" t="s">
        <v>361</v>
      </c>
      <c r="AL727" s="25" t="s">
        <v>263</v>
      </c>
      <c r="AM727" s="25" t="s">
        <v>362</v>
      </c>
      <c r="AN727" s="25" t="s">
        <v>363</v>
      </c>
      <c r="AO727" s="25" t="s">
        <v>264</v>
      </c>
      <c r="AP727" s="25" t="s">
        <v>265</v>
      </c>
      <c r="AQ727" s="25" t="s">
        <v>364</v>
      </c>
    </row>
    <row r="728" spans="1:43">
      <c r="A728" s="3">
        <v>0</v>
      </c>
      <c r="F728" s="18">
        <f>MIN(1*B726,'2-Caso'!$B$12)</f>
        <v>16681.055314625803</v>
      </c>
      <c r="G728" s="18">
        <f>'2-Caso'!$B$12-F728</f>
        <v>422294.084543948</v>
      </c>
      <c r="H728" s="18">
        <f>'2-Caso'!$B$13*G728/'2-Caso'!$B$12</f>
        <v>330928</v>
      </c>
      <c r="M728" s="18">
        <f>MIN(1*I726,'2-Caso'!$B$12)</f>
        <v>21948.756992928691</v>
      </c>
      <c r="N728" s="18">
        <f>'2-Caso'!$B$12-M728</f>
        <v>417026.38286564511</v>
      </c>
      <c r="O728" s="18">
        <f>'2-Caso'!$B$13*N728/'2-Caso'!$B$12</f>
        <v>326800</v>
      </c>
      <c r="T728" s="18">
        <f>MIN(1*P726,'2-Caso'!$B$12)</f>
        <v>20360.409265299819</v>
      </c>
      <c r="U728" s="18">
        <f>'2-Caso'!$B$12-T728</f>
        <v>418614.730593274</v>
      </c>
      <c r="V728" s="18">
        <f>'2-Caso'!$B$13*U728/'2-Caso'!$B$12</f>
        <v>328044.69831817894</v>
      </c>
      <c r="AA728" s="18">
        <f>MIN(1*W726,'2-Caso'!$B$12)</f>
        <v>20018.944572879878</v>
      </c>
      <c r="AB728" s="18">
        <f>'2-Caso'!$B$12-AA728</f>
        <v>418956.19528569392</v>
      </c>
      <c r="AC728" s="18">
        <f>'2-Caso'!$B$13*AB728/'2-Caso'!$B$12</f>
        <v>328312.28489319619</v>
      </c>
      <c r="AH728" s="18">
        <f>MIN(1*AD726,'2-Caso'!$B$12)</f>
        <v>20010.443702549765</v>
      </c>
      <c r="AI728" s="18">
        <f>'2-Caso'!$B$12-AH728</f>
        <v>418964.696156024</v>
      </c>
      <c r="AJ728" s="18">
        <f>'2-Caso'!$B$13*AI728/'2-Caso'!$B$12</f>
        <v>328318.946544684</v>
      </c>
      <c r="AO728" s="18">
        <f>MIN(1*AK726,'2-Caso'!$B$12)</f>
        <v>20010.463928083918</v>
      </c>
      <c r="AP728" s="18">
        <f>'2-Caso'!$B$12-AO728</f>
        <v>418964.6759304899</v>
      </c>
      <c r="AQ728" s="18">
        <f>'2-Caso'!$B$13*AP728/'2-Caso'!$B$12</f>
        <v>328318.93069507636</v>
      </c>
    </row>
    <row r="729" spans="1:43">
      <c r="A729" s="10">
        <f>1</f>
        <v>1</v>
      </c>
      <c r="B729" s="11">
        <f>IF($A729&gt;'1-Input'!$B$26,0,IF(G728&lt;=0,0,MAX(0,(G728-H728)/G728)))</f>
        <v>0.21635653419729484</v>
      </c>
      <c r="C729" s="18">
        <f>IF($A729&gt;'1-Input'!$B$26,0,(MAX(0,B726-IF($A729&gt;='1-Input'!$C$12,'1-Input'!$B$12,0))-MIN(MAX(F728,0),MAX(0,B726-IF($A729&gt;='1-Input'!$C$12,'1-Input'!$B$12,0))))*(1/(1-'P-Parametri'!$B$6*B729))+MIN(MAX(0,G728-(MAX(0,B726-IF($A729&gt;='1-Input'!$C$12,'1-Input'!$B$12,0))-MIN(MAX(F728,0),MAX(0,B726-IF($A729&gt;='1-Input'!$C$12,'1-Input'!$B$12,0))))*(1/(1-'P-Parametri'!$B$6*B729))),MAX(0,1*B726-(F728-MIN(MAX(F728,0),MAX(0,B726-IF($A729&gt;='1-Input'!$C$12,'1-Input'!$B$12,0)))))*(1/(1-'P-Parametri'!$B$6*B729))))</f>
        <v>17675.340946701614</v>
      </c>
      <c r="D729" s="18">
        <f>IF($A729&gt;'1-Input'!$B$26,F728,(F728-MAX(0,B726-IF($A729&gt;='1-Input'!$C$12,'1-Input'!$B$12,0))+C729*(1-'P-Parametri'!$B$6*B729))*(1+'1-Input'!$B$27))</f>
        <v>16621.003515493147</v>
      </c>
      <c r="E729" s="18">
        <f>IF($A729&gt;'1-Input'!$B$26,G728,(G728-C729)*(1+$D$4))</f>
        <v>420803.49334113626</v>
      </c>
      <c r="F729" s="18">
        <f>IF($A729&gt;'1-Input'!$B$26,D729,D729-'P-Parametri'!$B$8*(E729+D729)+MIN(MAX(E729,0),'P-Parametri'!$B$8*(E729+D729)))</f>
        <v>16621.003515493147</v>
      </c>
      <c r="G729" s="18">
        <f>IF($A729&gt;'1-Input'!$B$26,E729,E729-MIN(MAX(E729,0),'P-Parametri'!$B$8*(E729+D729)))</f>
        <v>419928.64434742299</v>
      </c>
      <c r="H729" s="18">
        <f>IF($A729&gt;'1-Input'!$B$26,H728,H728-C729*(1-B729))</f>
        <v>317076.8345612823</v>
      </c>
      <c r="I729" s="11">
        <f>IF($A729&gt;'1-Input'!$B$26,0,IF(N728&lt;=0,0,MAX(0,(N728-O728)/N728)))</f>
        <v>0.21635653419729481</v>
      </c>
      <c r="J729" s="18">
        <f>IF($A729&gt;'1-Input'!$B$26,0,(MAX(0,I726-IF($A729&gt;='1-Input'!$C$12,'1-Input'!$B$12,0))-MIN(MAX(M728,0),MAX(0,I726-IF($A729&gt;='1-Input'!$C$12,'1-Input'!$B$12,0))))*(1/(1-'P-Parametri'!$B$6*I729))+MIN(MAX(0,N728-(MAX(0,I726-IF($A729&gt;='1-Input'!$C$12,'1-Input'!$B$12,0))-MIN(MAX(M728,0),MAX(0,I726-IF($A729&gt;='1-Input'!$C$12,'1-Input'!$B$12,0))))*(1/(1-'P-Parametri'!$B$6*I729))),MAX(0,1*I726-(M728-MIN(MAX(M728,0),MAX(0,I726-IF($A729&gt;='1-Input'!$C$12,'1-Input'!$B$12,0)))))*(1/(1-'P-Parametri'!$B$6*I729))))</f>
        <v>23257.027561449497</v>
      </c>
      <c r="K729" s="18">
        <f>IF($A729&gt;'1-Input'!$B$26,M728,(M728-MAX(0,I726-IF($A729&gt;='1-Input'!$C$12,'1-Input'!$B$12,0))+J729*(1-'P-Parametri'!$B$6*I729))*(1+'1-Input'!$B$27))</f>
        <v>21869.741467754146</v>
      </c>
      <c r="L729" s="18">
        <f>IF($A729&gt;'1-Input'!$B$26,N728,(N728-J729)*(1+$D$4))</f>
        <v>409520.12951636343</v>
      </c>
      <c r="M729" s="18">
        <f>IF($A729&gt;'1-Input'!$B$26,K729,K729-'P-Parametri'!$B$8*(L729+K729)+MIN(MAX(L729,0),'P-Parametri'!$B$8*(L729+K729)))</f>
        <v>21869.741467754146</v>
      </c>
      <c r="N729" s="18">
        <f>IF($A729&gt;'1-Input'!$B$26,L729,L729-MIN(MAX(L729,0),'P-Parametri'!$B$8*(L729+K729)))</f>
        <v>408657.34977439517</v>
      </c>
      <c r="O729" s="18">
        <f>IF($A729&gt;'1-Input'!$B$26,O728,O728-J729*(1-I729))</f>
        <v>308574.7823174767</v>
      </c>
      <c r="P729" s="11">
        <f>IF($A729&gt;'1-Input'!$B$26,0,IF(U728&lt;=0,0,MAX(0,(U728-V728)/U728)))</f>
        <v>0.21635653419729486</v>
      </c>
      <c r="Q729" s="18">
        <f>IF($A729&gt;'1-Input'!$B$26,0,(MAX(0,P726-IF($A729&gt;='1-Input'!$C$12,'1-Input'!$B$12,0))-MIN(MAX(T728,0),MAX(0,P726-IF($A729&gt;='1-Input'!$C$12,'1-Input'!$B$12,0))))*(1/(1-'P-Parametri'!$B$6*P729))+MIN(MAX(0,U728-(MAX(0,P726-IF($A729&gt;='1-Input'!$C$12,'1-Input'!$B$12,0))-MIN(MAX(T728,0),MAX(0,P726-IF($A729&gt;='1-Input'!$C$12,'1-Input'!$B$12,0))))*(1/(1-'P-Parametri'!$B$6*P729))),MAX(0,1*P726-(T728-MIN(MAX(T728,0),MAX(0,P726-IF($A729&gt;='1-Input'!$C$12,'1-Input'!$B$12,0)))))*(1/(1-'P-Parametri'!$B$6*P729))))</f>
        <v>21574.005288683366</v>
      </c>
      <c r="R729" s="18">
        <f>IF($A729&gt;'1-Input'!$B$26,T728,(T728-MAX(0,P726-IF($A729&gt;='1-Input'!$C$12,'1-Input'!$B$12,0))+Q729*(1-'P-Parametri'!$B$6*P729))*(1+'1-Input'!$B$27))</f>
        <v>20287.111791944739</v>
      </c>
      <c r="S729" s="18">
        <f>IF($A729&gt;'1-Input'!$B$26,U728,(U728-Q729)*(1+$D$4))</f>
        <v>412922.35431677429</v>
      </c>
      <c r="T729" s="18">
        <f>IF($A729&gt;'1-Input'!$B$26,R729,R729-'P-Parametri'!$B$8*(S729+R729)+MIN(MAX(S729,0),'P-Parametri'!$B$8*(S729+R729)))</f>
        <v>20287.111791944739</v>
      </c>
      <c r="U729" s="18">
        <f>IF($A729&gt;'1-Input'!$B$26,S729,S729-MIN(MAX(S729,0),'P-Parametri'!$B$8*(S729+R729)))</f>
        <v>412055.93538455683</v>
      </c>
      <c r="V729" s="18">
        <f>IF($A729&gt;'1-Input'!$B$26,V728,V728-Q729*(1-P729))</f>
        <v>311138.37004250922</v>
      </c>
      <c r="W729" s="11">
        <f>IF($A729&gt;'1-Input'!$B$26,0,IF(AB728&lt;=0,0,MAX(0,(AB728-AC728)/AB728)))</f>
        <v>0.21635653419729473</v>
      </c>
      <c r="X729" s="18">
        <f>IF($A729&gt;'1-Input'!$B$26,0,(MAX(0,W726-IF($A729&gt;='1-Input'!$C$12,'1-Input'!$B$12,0))-MIN(MAX(AA728,0),MAX(0,W726-IF($A729&gt;='1-Input'!$C$12,'1-Input'!$B$12,0))))*(1/(1-'P-Parametri'!$B$6*W729))+MIN(MAX(0,AB728-(MAX(0,W726-IF($A729&gt;='1-Input'!$C$12,'1-Input'!$B$12,0))-MIN(MAX(AA728,0),MAX(0,W726-IF($A729&gt;='1-Input'!$C$12,'1-Input'!$B$12,0))))*(1/(1-'P-Parametri'!$B$6*W729))),MAX(0,1*W726-(AA728-MIN(MAX(AA728,0),MAX(0,W726-IF($A729&gt;='1-Input'!$C$12,'1-Input'!$B$12,0)))))*(1/(1-'P-Parametri'!$B$6*W729))))</f>
        <v>21212.187361343291</v>
      </c>
      <c r="Y729" s="18">
        <f>IF($A729&gt;'1-Input'!$B$26,AA728,(AA728-MAX(0,W726-IF($A729&gt;='1-Input'!$C$12,'1-Input'!$B$12,0))+X729*(1-'P-Parametri'!$B$6*W729))*(1+'1-Input'!$B$27))</f>
        <v>19946.876372417511</v>
      </c>
      <c r="Z729" s="18">
        <f>IF($A729&gt;'1-Input'!$B$26,AB728,(AB728-X729)*(1+$D$4))</f>
        <v>413653.76824132464</v>
      </c>
      <c r="AA729" s="18">
        <f>IF($A729&gt;'1-Input'!$B$26,Y729,Y729-'P-Parametri'!$B$8*(Z729+Y729)+MIN(MAX(Z729,0),'P-Parametri'!$B$8*(Z729+Y729)))</f>
        <v>19946.876372417511</v>
      </c>
      <c r="AB729" s="18">
        <f>IF($A729&gt;'1-Input'!$B$26,Z729,Z729-MIN(MAX(Z729,0),'P-Parametri'!$B$8*(Z729+Y729)))</f>
        <v>412786.56695209717</v>
      </c>
      <c r="AC729" s="18">
        <f>IF($A729&gt;'1-Input'!$B$26,AC728,AC728-X729*(1-W729))</f>
        <v>311689.49287209677</v>
      </c>
      <c r="AD729" s="11">
        <f>IF($A729&gt;'1-Input'!$B$26,0,IF(AI728&lt;=0,0,MAX(0,(AI728-AJ728)/AI728)))</f>
        <v>0.21635653419729473</v>
      </c>
      <c r="AE729" s="18">
        <f>IF($A729&gt;'1-Input'!$B$26,0,(MAX(0,AD726-IF($A729&gt;='1-Input'!$C$12,'1-Input'!$B$12,0))-MIN(MAX(AH728,0),MAX(0,AD726-IF($A729&gt;='1-Input'!$C$12,'1-Input'!$B$12,0))))*(1/(1-'P-Parametri'!$B$6*AD729))+MIN(MAX(0,AI728-(MAX(0,AD726-IF($A729&gt;='1-Input'!$C$12,'1-Input'!$B$12,0))-MIN(MAX(AH728,0),MAX(0,AD726-IF($A729&gt;='1-Input'!$C$12,'1-Input'!$B$12,0))))*(1/(1-'P-Parametri'!$B$6*AD729))),MAX(0,1*AD726-(AH728-MIN(MAX(AH728,0),MAX(0,AD726-IF($A729&gt;='1-Input'!$C$12,'1-Input'!$B$12,0)))))*(1/(1-'P-Parametri'!$B$6*AD729))))</f>
        <v>21203.179790863222</v>
      </c>
      <c r="AF729" s="18">
        <f>IF($A729&gt;'1-Input'!$B$26,AH728,(AH728-MAX(0,AD726-IF($A729&gt;='1-Input'!$C$12,'1-Input'!$B$12,0))+AE729*(1-'P-Parametri'!$B$6*AD729))*(1+'1-Input'!$B$27))</f>
        <v>19938.406105220587</v>
      </c>
      <c r="AG729" s="18">
        <f>IF($A729&gt;'1-Input'!$B$26,AI728,(AI728-AE729)*(1+$D$4))</f>
        <v>413671.97701976722</v>
      </c>
      <c r="AH729" s="18">
        <f>IF($A729&gt;'1-Input'!$B$26,AF729,AF729-'P-Parametri'!$B$8*(AG729+AF729)+MIN(MAX(AG729,0),'P-Parametri'!$B$8*(AG729+AF729)))</f>
        <v>19938.406105220587</v>
      </c>
      <c r="AI729" s="18">
        <f>IF($A729&gt;'1-Input'!$B$26,AG729,AG729-MIN(MAX(AG729,0),'P-Parametri'!$B$8*(AG729+AF729)))</f>
        <v>412804.75625351723</v>
      </c>
      <c r="AJ729" s="18">
        <f>IF($A729&gt;'1-Input'!$B$26,AJ728,AJ728-AE729*(1-AD729))</f>
        <v>311703.21324733406</v>
      </c>
      <c r="AK729" s="11">
        <f>IF($A729&gt;'1-Input'!$B$26,0,IF(AP728&lt;=0,0,MAX(0,(AP728-AQ728)/AP728)))</f>
        <v>0.21635653419729473</v>
      </c>
      <c r="AL729" s="18">
        <f>IF($A729&gt;'1-Input'!$B$26,0,(MAX(0,AK726-IF($A729&gt;='1-Input'!$C$12,'1-Input'!$B$12,0))-MIN(MAX(AO728,0),MAX(0,AK726-IF($A729&gt;='1-Input'!$C$12,'1-Input'!$B$12,0))))*(1/(1-'P-Parametri'!$B$6*AK729))+MIN(MAX(0,AP728-(MAX(0,AK726-IF($A729&gt;='1-Input'!$C$12,'1-Input'!$B$12,0))-MIN(MAX(AO728,0),MAX(0,AK726-IF($A729&gt;='1-Input'!$C$12,'1-Input'!$B$12,0))))*(1/(1-'P-Parametri'!$B$6*AK729))),MAX(0,1*AK726-(AO728-MIN(MAX(AO728,0),MAX(0,AK726-IF($A729&gt;='1-Input'!$C$12,'1-Input'!$B$12,0)))))*(1/(1-'P-Parametri'!$B$6*AK729))))</f>
        <v>21203.201221954074</v>
      </c>
      <c r="AM729" s="18">
        <f>IF($A729&gt;'1-Input'!$B$26,AO728,(AO728-MAX(0,AK726-IF($A729&gt;='1-Input'!$C$12,'1-Input'!$B$12,0))+AL729*(1-'P-Parametri'!$B$6*AK729))*(1+'1-Input'!$B$27))</f>
        <v>19938.426257942814</v>
      </c>
      <c r="AN729" s="18">
        <f>IF($A729&gt;'1-Input'!$B$26,AP728,(AP728-AL729)*(1+$D$4))</f>
        <v>413671.93369687727</v>
      </c>
      <c r="AO729" s="18">
        <f>IF($A729&gt;'1-Input'!$B$26,AM729,AM729-'P-Parametri'!$B$8*(AN729+AM729)+MIN(MAX(AN729,0),'P-Parametri'!$B$8*(AN729+AM729)))</f>
        <v>19938.426257942814</v>
      </c>
      <c r="AP729" s="18">
        <f>IF($A729&gt;'1-Input'!$B$26,AN729,AN729-MIN(MAX(AN729,0),'P-Parametri'!$B$8*(AN729+AM729)))</f>
        <v>412804.71297696762</v>
      </c>
      <c r="AQ729" s="18">
        <f>IF($A729&gt;'1-Input'!$B$26,AQ728,AQ728-AL729*(1-AK729))</f>
        <v>311703.18060339213</v>
      </c>
    </row>
    <row r="730" spans="1:43">
      <c r="A730" s="10">
        <f>2</f>
        <v>2</v>
      </c>
      <c r="B730" s="11">
        <f>IF($A730&gt;'1-Input'!$B$26,0,IF(G729&lt;=0,0,MAX(0,(G729-H729)/G729)))</f>
        <v>0.24492687310239181</v>
      </c>
      <c r="C730" s="18">
        <f>IF($A730&gt;'1-Input'!$B$26,0,(MAX(0,B726-IF($A730&gt;='1-Input'!$C$12,'1-Input'!$B$12,0))-MIN(MAX(F729,0),MAX(0,B726-IF($A730&gt;='1-Input'!$C$12,'1-Input'!$B$12,0))))*(1/(1-'P-Parametri'!$B$6*B730))+MIN(MAX(0,G729-(MAX(0,B726-IF($A730&gt;='1-Input'!$C$12,'1-Input'!$B$12,0))-MIN(MAX(F729,0),MAX(0,B726-IF($A730&gt;='1-Input'!$C$12,'1-Input'!$B$12,0))))*(1/(1-'P-Parametri'!$B$6*B730))),MAX(0,1*B726-(F729-MIN(MAX(F729,0),MAX(0,B726-IF($A730&gt;='1-Input'!$C$12,'1-Input'!$B$12,0)))))*(1/(1-'P-Parametri'!$B$6*B730))))</f>
        <v>17879.704333075264</v>
      </c>
      <c r="D730" s="18">
        <f>IF($A730&gt;'1-Input'!$B$26,F729,(F729-MAX(0,B726-IF($A730&gt;='1-Input'!$C$12,'1-Input'!$B$12,0))+C730*(1-'P-Parametri'!$B$6*B730))*(1+'1-Input'!$B$27))</f>
        <v>16621.00351549315</v>
      </c>
      <c r="E730" s="18">
        <f>IF($A730&gt;'1-Input'!$B$26,G729,(G729-C730)*(1+$D$4))</f>
        <v>418130.89761492168</v>
      </c>
      <c r="F730" s="18">
        <f>IF($A730&gt;'1-Input'!$B$26,D730,D730-'P-Parametri'!$B$8*(E730+D730)+MIN(MAX(E730,0),'P-Parametri'!$B$8*(E730+D730)))</f>
        <v>16621.00351549315</v>
      </c>
      <c r="G730" s="18">
        <f>IF($A730&gt;'1-Input'!$B$26,E730,E730-MIN(MAX(E730,0),'P-Parametri'!$B$8*(E730+D730)))</f>
        <v>417261.39381266083</v>
      </c>
      <c r="H730" s="18">
        <f>IF($A730&gt;'1-Input'!$B$26,H729,H729-C730*(1-B730))</f>
        <v>303576.35030250245</v>
      </c>
      <c r="I730" s="11">
        <f>IF($A730&gt;'1-Input'!$B$26,0,IF(N729&lt;=0,0,MAX(0,(N729-O729)/N729)))</f>
        <v>0.24490583006073527</v>
      </c>
      <c r="J730" s="18">
        <f>IF($A730&gt;'1-Input'!$B$26,0,(MAX(0,I726-IF($A730&gt;='1-Input'!$C$12,'1-Input'!$B$12,0))-MIN(MAX(M729,0),MAX(0,I726-IF($A730&gt;='1-Input'!$C$12,'1-Input'!$B$12,0))))*(1/(1-'P-Parametri'!$B$6*I730))+MIN(MAX(0,N729-(MAX(0,I726-IF($A730&gt;='1-Input'!$C$12,'1-Input'!$B$12,0))-MIN(MAX(M729,0),MAX(0,I726-IF($A730&gt;='1-Input'!$C$12,'1-Input'!$B$12,0))))*(1/(1-'P-Parametri'!$B$6*I730))),MAX(0,1*I726-(M729-MIN(MAX(M729,0),MAX(0,I726-IF($A730&gt;='1-Input'!$C$12,'1-Input'!$B$12,0)))))*(1/(1-'P-Parametri'!$B$6*I730))))</f>
        <v>23525.789285853571</v>
      </c>
      <c r="K730" s="18">
        <f>IF($A730&gt;'1-Input'!$B$26,M729,(M729-MAX(0,I726-IF($A730&gt;='1-Input'!$C$12,'1-Input'!$B$12,0))+J730*(1-'P-Parametri'!$B$6*I730))*(1+'1-Input'!$B$27))</f>
        <v>21869.741467754142</v>
      </c>
      <c r="L730" s="18">
        <f>IF($A730&gt;'1-Input'!$B$26,N729,(N729-J730)*(1+$D$4))</f>
        <v>400536.82290808327</v>
      </c>
      <c r="M730" s="18">
        <f>IF($A730&gt;'1-Input'!$B$26,K730,K730-'P-Parametri'!$B$8*(L730+K730)+MIN(MAX(L730,0),'P-Parametri'!$B$8*(L730+K730)))</f>
        <v>21869.741467754142</v>
      </c>
      <c r="N730" s="18">
        <f>IF($A730&gt;'1-Input'!$B$26,L730,L730-MIN(MAX(L730,0),'P-Parametri'!$B$8*(L730+K730)))</f>
        <v>399692.00977933157</v>
      </c>
      <c r="O730" s="18">
        <f>IF($A730&gt;'1-Input'!$B$26,O729,O729-J730*(1-I730))</f>
        <v>290810.59598450904</v>
      </c>
      <c r="P730" s="11">
        <f>IF($A730&gt;'1-Input'!$B$26,0,IF(U729&lt;=0,0,MAX(0,(U729-V729)/U729)))</f>
        <v>0.24491229630721106</v>
      </c>
      <c r="Q730" s="18">
        <f>IF($A730&gt;'1-Input'!$B$26,0,(MAX(0,P726-IF($A730&gt;='1-Input'!$C$12,'1-Input'!$B$12,0))-MIN(MAX(T729,0),MAX(0,P726-IF($A730&gt;='1-Input'!$C$12,'1-Input'!$B$12,0))))*(1/(1-'P-Parametri'!$B$6*P730))+MIN(MAX(0,U729-(MAX(0,P726-IF($A730&gt;='1-Input'!$C$12,'1-Input'!$B$12,0))-MIN(MAX(T729,0),MAX(0,P726-IF($A730&gt;='1-Input'!$C$12,'1-Input'!$B$12,0))))*(1/(1-'P-Parametri'!$B$6*P730))),MAX(0,1*P726-(T729-MIN(MAX(T729,0),MAX(0,P726-IF($A730&gt;='1-Input'!$C$12,'1-Input'!$B$12,0)))))*(1/(1-'P-Parametri'!$B$6*P730))))</f>
        <v>21823.356938499237</v>
      </c>
      <c r="R730" s="18">
        <f>IF($A730&gt;'1-Input'!$B$26,T729,(T729-MAX(0,P726-IF($A730&gt;='1-Input'!$C$12,'1-Input'!$B$12,0))+Q730*(1-'P-Parametri'!$B$6*P730))*(1+'1-Input'!$B$27))</f>
        <v>20287.111791944742</v>
      </c>
      <c r="S730" s="18">
        <f>IF($A730&gt;'1-Input'!$B$26,U729,(U729-Q730)*(1+$D$4))</f>
        <v>405841.8815838999</v>
      </c>
      <c r="T730" s="18">
        <f>IF($A730&gt;'1-Input'!$B$26,R730,R730-'P-Parametri'!$B$8*(S730+R730)+MIN(MAX(S730,0),'P-Parametri'!$B$8*(S730+R730)))</f>
        <v>20287.111791944742</v>
      </c>
      <c r="U730" s="18">
        <f>IF($A730&gt;'1-Input'!$B$26,S730,S730-MIN(MAX(S730,0),'P-Parametri'!$B$8*(S730+R730)))</f>
        <v>404989.62359714822</v>
      </c>
      <c r="V730" s="18">
        <f>IF($A730&gt;'1-Input'!$B$26,V729,V729-Q730*(1-P730))</f>
        <v>294659.82156494976</v>
      </c>
      <c r="W730" s="11">
        <f>IF($A730&gt;'1-Input'!$B$26,0,IF(AB729&lt;=0,0,MAX(0,(AB729-AC729)/AB729)))</f>
        <v>0.24491367252203353</v>
      </c>
      <c r="X730" s="18">
        <f>IF($A730&gt;'1-Input'!$B$26,0,(MAX(0,W726-IF($A730&gt;='1-Input'!$C$12,'1-Input'!$B$12,0))-MIN(MAX(AA729,0),MAX(0,W726-IF($A730&gt;='1-Input'!$C$12,'1-Input'!$B$12,0))))*(1/(1-'P-Parametri'!$B$6*W730))+MIN(MAX(0,AB729-(MAX(0,W726-IF($A730&gt;='1-Input'!$C$12,'1-Input'!$B$12,0))-MIN(MAX(AA729,0),MAX(0,W726-IF($A730&gt;='1-Input'!$C$12,'1-Input'!$B$12,0))))*(1/(1-'P-Parametri'!$B$6*W730))),MAX(0,1*W726-(AA729-MIN(MAX(AA729,0),MAX(0,W726-IF($A730&gt;='1-Input'!$C$12,'1-Input'!$B$12,0)))))*(1/(1-'P-Parametri'!$B$6*W730))))</f>
        <v>21457.365331284531</v>
      </c>
      <c r="Y730" s="18">
        <f>IF($A730&gt;'1-Input'!$B$26,AA729,(AA729-MAX(0,W726-IF($A730&gt;='1-Input'!$C$12,'1-Input'!$B$12,0))+X730*(1-'P-Parametri'!$B$6*W730))*(1+'1-Input'!$B$27))</f>
        <v>19946.876372417515</v>
      </c>
      <c r="Z730" s="18">
        <f>IF($A730&gt;'1-Input'!$B$26,AB729,(AB729-X730)*(1+$D$4))</f>
        <v>406982.36968564516</v>
      </c>
      <c r="AA730" s="18">
        <f>IF($A730&gt;'1-Input'!$B$26,Y730,Y730-'P-Parametri'!$B$8*(Z730+Y730)+MIN(MAX(Z730,0),'P-Parametri'!$B$8*(Z730+Y730)))</f>
        <v>19946.876372417515</v>
      </c>
      <c r="AB730" s="18">
        <f>IF($A730&gt;'1-Input'!$B$26,Z730,Z730-MIN(MAX(Z730,0),'P-Parametri'!$B$8*(Z730+Y730)))</f>
        <v>406128.511193529</v>
      </c>
      <c r="AC730" s="18">
        <f>IF($A730&gt;'1-Input'!$B$26,AC729,AC729-X730*(1-W730))</f>
        <v>295487.32968674408</v>
      </c>
      <c r="AD730" s="11">
        <f>IF($A730&gt;'1-Input'!$B$26,0,IF(AI729&lt;=0,0,MAX(0,(AI729-AJ729)/AI729)))</f>
        <v>0.24491370672118257</v>
      </c>
      <c r="AE730" s="18">
        <f>IF($A730&gt;'1-Input'!$B$26,0,(MAX(0,AD726-IF($A730&gt;='1-Input'!$C$12,'1-Input'!$B$12,0))-MIN(MAX(AH729,0),MAX(0,AD726-IF($A730&gt;='1-Input'!$C$12,'1-Input'!$B$12,0))))*(1/(1-'P-Parametri'!$B$6*AD730))+MIN(MAX(0,AI729-(MAX(0,AD726-IF($A730&gt;='1-Input'!$C$12,'1-Input'!$B$12,0))-MIN(MAX(AH729,0),MAX(0,AD726-IF($A730&gt;='1-Input'!$C$12,'1-Input'!$B$12,0))))*(1/(1-'P-Parametri'!$B$6*AD730))),MAX(0,1*AD726-(AH729-MIN(MAX(AH729,0),MAX(0,AD726-IF($A730&gt;='1-Input'!$C$12,'1-Input'!$B$12,0)))))*(1/(1-'P-Parametri'!$B$6*AD730))))</f>
        <v>21448.253851799633</v>
      </c>
      <c r="AF730" s="18">
        <f>IF($A730&gt;'1-Input'!$B$26,AH729,(AH729-MAX(0,AD726-IF($A730&gt;='1-Input'!$C$12,'1-Input'!$B$12,0))+AE730*(1-'P-Parametri'!$B$6*AD730))*(1+'1-Input'!$B$27))</f>
        <v>19938.40610522058</v>
      </c>
      <c r="AG730" s="18">
        <f>IF($A730&gt;'1-Input'!$B$26,AI729,(AI729-AE730)*(1+$D$4))</f>
        <v>407010.76249778632</v>
      </c>
      <c r="AH730" s="18">
        <f>IF($A730&gt;'1-Input'!$B$26,AF730,AF730-'P-Parametri'!$B$8*(AG730+AF730)+MIN(MAX(AG730,0),'P-Parametri'!$B$8*(AG730+AF730)))</f>
        <v>19938.40610522058</v>
      </c>
      <c r="AI730" s="18">
        <f>IF($A730&gt;'1-Input'!$B$26,AG730,AG730-MIN(MAX(AG730,0),'P-Parametri'!$B$8*(AG730+AF730)))</f>
        <v>406156.86416058033</v>
      </c>
      <c r="AJ730" s="18">
        <f>IF($A730&gt;'1-Input'!$B$26,AJ729,AJ729-AE730*(1-AD730))</f>
        <v>295507.93074907555</v>
      </c>
      <c r="AK730" s="11">
        <f>IF($A730&gt;'1-Input'!$B$26,0,IF(AP729&lt;=0,0,MAX(0,(AP729-AQ729)/AP729)))</f>
        <v>0.24491370663981843</v>
      </c>
      <c r="AL730" s="18">
        <f>IF($A730&gt;'1-Input'!$B$26,0,(MAX(0,AK726-IF($A730&gt;='1-Input'!$C$12,'1-Input'!$B$12,0))-MIN(MAX(AO729,0),MAX(0,AK726-IF($A730&gt;='1-Input'!$C$12,'1-Input'!$B$12,0))))*(1/(1-'P-Parametri'!$B$6*AK730))+MIN(MAX(0,AP729-(MAX(0,AK726-IF($A730&gt;='1-Input'!$C$12,'1-Input'!$B$12,0))-MIN(MAX(AO729,0),MAX(0,AK726-IF($A730&gt;='1-Input'!$C$12,'1-Input'!$B$12,0))))*(1/(1-'P-Parametri'!$B$6*AK730))),MAX(0,1*AK726-(AO729-MIN(MAX(AO729,0),MAX(0,AK726-IF($A730&gt;='1-Input'!$C$12,'1-Input'!$B$12,0)))))*(1/(1-'P-Parametri'!$B$6*AK730))))</f>
        <v>21448.275530114246</v>
      </c>
      <c r="AM730" s="18">
        <f>IF($A730&gt;'1-Input'!$B$26,AO729,(AO729-MAX(0,AK726-IF($A730&gt;='1-Input'!$C$12,'1-Input'!$B$12,0))+AL730*(1-'P-Parametri'!$B$6*AK730))*(1+'1-Input'!$B$27))</f>
        <v>19938.426257942814</v>
      </c>
      <c r="AN730" s="18">
        <f>IF($A730&gt;'1-Input'!$B$26,AP729,(AP729-AL730)*(1+$D$4))</f>
        <v>407010.69494472753</v>
      </c>
      <c r="AO730" s="18">
        <f>IF($A730&gt;'1-Input'!$B$26,AM730,AM730-'P-Parametri'!$B$8*(AN730+AM730)+MIN(MAX(AN730,0),'P-Parametri'!$B$8*(AN730+AM730)))</f>
        <v>19938.426257942814</v>
      </c>
      <c r="AP730" s="18">
        <f>IF($A730&gt;'1-Input'!$B$26,AN730,AN730-MIN(MAX(AN730,0),'P-Parametri'!$B$8*(AN730+AM730)))</f>
        <v>406156.7967023222</v>
      </c>
      <c r="AQ730" s="18">
        <f>IF($A730&gt;'1-Input'!$B$26,AQ729,AQ729-AL730*(1-AK730))</f>
        <v>295507.88173439028</v>
      </c>
    </row>
    <row r="731" spans="1:43">
      <c r="A731" s="10">
        <f>3</f>
        <v>3</v>
      </c>
      <c r="B731" s="11">
        <f>IF($A731&gt;'1-Input'!$B$26,0,IF(G730&lt;=0,0,MAX(0,(G730-H730)/G730)))</f>
        <v>0.27245521679199469</v>
      </c>
      <c r="C731" s="18">
        <f>IF($A731&gt;'1-Input'!$B$26,0,(MAX(0,B726-IF($A731&gt;='1-Input'!$C$12,'1-Input'!$B$12,0))-MIN(MAX(F730,0),MAX(0,B726-IF($A731&gt;='1-Input'!$C$12,'1-Input'!$B$12,0))))*(1/(1-'P-Parametri'!$B$6*B731))+MIN(MAX(0,G730-(MAX(0,B726-IF($A731&gt;='1-Input'!$C$12,'1-Input'!$B$12,0))-MIN(MAX(F730,0),MAX(0,B726-IF($A731&gt;='1-Input'!$C$12,'1-Input'!$B$12,0))))*(1/(1-'P-Parametri'!$B$6*B731))),MAX(0,1*B726-(F730-MIN(MAX(F730,0),MAX(0,B726-IF($A731&gt;='1-Input'!$C$12,'1-Input'!$B$12,0)))))*(1/(1-'P-Parametri'!$B$6*B731))))</f>
        <v>18017.432411740156</v>
      </c>
      <c r="D731" s="18">
        <f>IF($A731&gt;'1-Input'!$B$26,F730,(F730-MAX(0,B726-IF($A731&gt;='1-Input'!$C$12,'1-Input'!$B$12,0))+C731*(1-'P-Parametri'!$B$6*B731))*(1+'1-Input'!$B$27))</f>
        <v>16621.00351549315</v>
      </c>
      <c r="E731" s="18">
        <f>IF($A731&gt;'1-Input'!$B$26,G730,(G730-C731)*(1+$D$4))</f>
        <v>415213.7198569575</v>
      </c>
      <c r="F731" s="18">
        <f>IF($A731&gt;'1-Input'!$B$26,D731,D731-'P-Parametri'!$B$8*(E731+D731)+MIN(MAX(E731,0),'P-Parametri'!$B$8*(E731+D731)))</f>
        <v>16621.00351549315</v>
      </c>
      <c r="G731" s="18">
        <f>IF($A731&gt;'1-Input'!$B$26,E731,E731-MIN(MAX(E731,0),'P-Parametri'!$B$8*(E731+D731)))</f>
        <v>414350.0504102126</v>
      </c>
      <c r="H731" s="18">
        <f>IF($A731&gt;'1-Input'!$B$26,H730,H730-C731*(1-B731))</f>
        <v>290467.86134453805</v>
      </c>
      <c r="I731" s="11">
        <f>IF($A731&gt;'1-Input'!$B$26,0,IF(N730&lt;=0,0,MAX(0,(N730-O730)/N730)))</f>
        <v>0.27241328605727078</v>
      </c>
      <c r="J731" s="18">
        <f>IF($A731&gt;'1-Input'!$B$26,0,(MAX(0,I726-IF($A731&gt;='1-Input'!$C$12,'1-Input'!$B$12,0))-MIN(MAX(M730,0),MAX(0,I726-IF($A731&gt;='1-Input'!$C$12,'1-Input'!$B$12,0))))*(1/(1-'P-Parametri'!$B$6*I731))+MIN(MAX(0,N730-(MAX(0,I726-IF($A731&gt;='1-Input'!$C$12,'1-Input'!$B$12,0))-MIN(MAX(M730,0),MAX(0,I726-IF($A731&gt;='1-Input'!$C$12,'1-Input'!$B$12,0))))*(1/(1-'P-Parametri'!$B$6*I731))),MAX(0,1*I726-(M730-MIN(MAX(M730,0),MAX(0,I726-IF($A731&gt;='1-Input'!$C$12,'1-Input'!$B$12,0)))))*(1/(1-'P-Parametri'!$B$6*I731))))</f>
        <v>23706.869753974323</v>
      </c>
      <c r="K731" s="18">
        <f>IF($A731&gt;'1-Input'!$B$26,M730,(M730-MAX(0,I726-IF($A731&gt;='1-Input'!$C$12,'1-Input'!$B$12,0))+J731*(1-'P-Parametri'!$B$6*I731))*(1+'1-Input'!$B$27))</f>
        <v>21869.741467754142</v>
      </c>
      <c r="L731" s="18">
        <f>IF($A731&gt;'1-Input'!$B$26,N730,(N730-J731)*(1+$D$4))</f>
        <v>391024.54562637158</v>
      </c>
      <c r="M731" s="18">
        <f>IF($A731&gt;'1-Input'!$B$26,K731,K731-'P-Parametri'!$B$8*(L731+K731)+MIN(MAX(L731,0),'P-Parametri'!$B$8*(L731+K731)))</f>
        <v>21869.741467754142</v>
      </c>
      <c r="N731" s="18">
        <f>IF($A731&gt;'1-Input'!$B$26,L731,L731-MIN(MAX(L731,0),'P-Parametri'!$B$8*(L731+K731)))</f>
        <v>390198.75705218333</v>
      </c>
      <c r="O731" s="18">
        <f>IF($A731&gt;'1-Input'!$B$26,O730,O730-J731*(1-I731))</f>
        <v>273561.7925223466</v>
      </c>
      <c r="P731" s="11">
        <f>IF($A731&gt;'1-Input'!$B$26,0,IF(U730&lt;=0,0,MAX(0,(U730-V730)/U730)))</f>
        <v>0.27242624404112109</v>
      </c>
      <c r="Q731" s="18">
        <f>IF($A731&gt;'1-Input'!$B$26,0,(MAX(0,P726-IF($A731&gt;='1-Input'!$C$12,'1-Input'!$B$12,0))-MIN(MAX(T730,0),MAX(0,P726-IF($A731&gt;='1-Input'!$C$12,'1-Input'!$B$12,0))))*(1/(1-'P-Parametri'!$B$6*P731))+MIN(MAX(0,U730-(MAX(0,P726-IF($A731&gt;='1-Input'!$C$12,'1-Input'!$B$12,0))-MIN(MAX(T730,0),MAX(0,P726-IF($A731&gt;='1-Input'!$C$12,'1-Input'!$B$12,0))))*(1/(1-'P-Parametri'!$B$6*P731))),MAX(0,1*P726-(T730-MIN(MAX(T730,0),MAX(0,P726-IF($A731&gt;='1-Input'!$C$12,'1-Input'!$B$12,0)))))*(1/(1-'P-Parametri'!$B$6*P731))))</f>
        <v>21991.373857816016</v>
      </c>
      <c r="R731" s="18">
        <f>IF($A731&gt;'1-Input'!$B$26,T730,(T730-MAX(0,P726-IF($A731&gt;='1-Input'!$C$12,'1-Input'!$B$12,0))+Q731*(1-'P-Parametri'!$B$6*P731))*(1+'1-Input'!$B$27))</f>
        <v>20287.111791944742</v>
      </c>
      <c r="S731" s="18">
        <f>IF($A731&gt;'1-Input'!$B$26,U730,(U730-Q731)*(1+$D$4))</f>
        <v>398318.1797289055</v>
      </c>
      <c r="T731" s="18">
        <f>IF($A731&gt;'1-Input'!$B$26,R731,R731-'P-Parametri'!$B$8*(S731+R731)+MIN(MAX(S731,0),'P-Parametri'!$B$8*(S731+R731)))</f>
        <v>20287.111791944742</v>
      </c>
      <c r="U731" s="18">
        <f>IF($A731&gt;'1-Input'!$B$26,S731,S731-MIN(MAX(S731,0),'P-Parametri'!$B$8*(S731+R731)))</f>
        <v>397480.96914586378</v>
      </c>
      <c r="V731" s="18">
        <f>IF($A731&gt;'1-Input'!$B$26,V730,V730-Q731*(1-P731))</f>
        <v>278659.47508852265</v>
      </c>
      <c r="W731" s="11">
        <f>IF($A731&gt;'1-Input'!$B$26,0,IF(AB730&lt;=0,0,MAX(0,(AB730-AC730)/AB730)))</f>
        <v>0.27242899342780202</v>
      </c>
      <c r="X731" s="18">
        <f>IF($A731&gt;'1-Input'!$B$26,0,(MAX(0,W726-IF($A731&gt;='1-Input'!$C$12,'1-Input'!$B$12,0))-MIN(MAX(AA730,0),MAX(0,W726-IF($A731&gt;='1-Input'!$C$12,'1-Input'!$B$12,0))))*(1/(1-'P-Parametri'!$B$6*W731))+MIN(MAX(0,AB730-(MAX(0,W726-IF($A731&gt;='1-Input'!$C$12,'1-Input'!$B$12,0))-MIN(MAX(AA730,0),MAX(0,W726-IF($A731&gt;='1-Input'!$C$12,'1-Input'!$B$12,0))))*(1/(1-'P-Parametri'!$B$6*W731))),MAX(0,1*W726-(AA730-MIN(MAX(AA730,0),MAX(0,W726-IF($A731&gt;='1-Input'!$C$12,'1-Input'!$B$12,0)))))*(1/(1-'P-Parametri'!$B$6*W731))))</f>
        <v>21622.572871655811</v>
      </c>
      <c r="Y731" s="18">
        <f>IF($A731&gt;'1-Input'!$B$26,AA730,(AA730-MAX(0,W726-IF($A731&gt;='1-Input'!$C$12,'1-Input'!$B$12,0))+X731*(1-'P-Parametri'!$B$6*W731))*(1+'1-Input'!$B$27))</f>
        <v>19946.876372417511</v>
      </c>
      <c r="Z731" s="18">
        <f>IF($A731&gt;'1-Input'!$B$26,AB730,(AB730-X731)*(1+$D$4))</f>
        <v>399886.17585474811</v>
      </c>
      <c r="AA731" s="18">
        <f>IF($A731&gt;'1-Input'!$B$26,Y731,Y731-'P-Parametri'!$B$8*(Z731+Y731)+MIN(MAX(Z731,0),'P-Parametri'!$B$8*(Z731+Y731)))</f>
        <v>19946.876372417511</v>
      </c>
      <c r="AB731" s="18">
        <f>IF($A731&gt;'1-Input'!$B$26,Z731,Z731-MIN(MAX(Z731,0),'P-Parametri'!$B$8*(Z731+Y731)))</f>
        <v>399046.5097502938</v>
      </c>
      <c r="AC731" s="18">
        <f>IF($A731&gt;'1-Input'!$B$26,AC730,AC730-X731*(1-W731))</f>
        <v>279755.37257783278</v>
      </c>
      <c r="AD731" s="11">
        <f>IF($A731&gt;'1-Input'!$B$26,0,IF(AI730&lt;=0,0,MAX(0,(AI730-AJ730)/AI730)))</f>
        <v>0.27242906171286085</v>
      </c>
      <c r="AE731" s="18">
        <f>IF($A731&gt;'1-Input'!$B$26,0,(MAX(0,AD726-IF($A731&gt;='1-Input'!$C$12,'1-Input'!$B$12,0))-MIN(MAX(AH730,0),MAX(0,AD726-IF($A731&gt;='1-Input'!$C$12,'1-Input'!$B$12,0))))*(1/(1-'P-Parametri'!$B$6*AD731))+MIN(MAX(0,AI730-(MAX(0,AD726-IF($A731&gt;='1-Input'!$C$12,'1-Input'!$B$12,0))-MIN(MAX(AH730,0),MAX(0,AD726-IF($A731&gt;='1-Input'!$C$12,'1-Input'!$B$12,0))))*(1/(1-'P-Parametri'!$B$6*AD731))),MAX(0,1*AD726-(AH730-MIN(MAX(AH730,0),MAX(0,AD726-IF($A731&gt;='1-Input'!$C$12,'1-Input'!$B$12,0)))))*(1/(1-'P-Parametri'!$B$6*AD731))))</f>
        <v>21613.391447524216</v>
      </c>
      <c r="AF731" s="18">
        <f>IF($A731&gt;'1-Input'!$B$26,AH730,(AH730-MAX(0,AD726-IF($A731&gt;='1-Input'!$C$12,'1-Input'!$B$12,0))+AE731*(1-'P-Parametri'!$B$6*AD731))*(1+'1-Input'!$B$27))</f>
        <v>19938.406105220583</v>
      </c>
      <c r="AG731" s="18">
        <f>IF($A731&gt;'1-Input'!$B$26,AI730,(AI730-AE731)*(1+$D$4))</f>
        <v>399925.21162157838</v>
      </c>
      <c r="AH731" s="18">
        <f>IF($A731&gt;'1-Input'!$B$26,AF731,AF731-'P-Parametri'!$B$8*(AG731+AF731)+MIN(MAX(AG731,0),'P-Parametri'!$B$8*(AG731+AF731)))</f>
        <v>19938.40610522058</v>
      </c>
      <c r="AI731" s="18">
        <f>IF($A731&gt;'1-Input'!$B$26,AG731,AG731-MIN(MAX(AG731,0),'P-Parametri'!$B$8*(AG731+AF731)))</f>
        <v>399085.48438612476</v>
      </c>
      <c r="AJ731" s="18">
        <f>IF($A731&gt;'1-Input'!$B$26,AJ730,AJ730-AE731*(1-AD731))</f>
        <v>279782.6552540331</v>
      </c>
      <c r="AK731" s="11">
        <f>IF($A731&gt;'1-Input'!$B$26,0,IF(AP730&lt;=0,0,MAX(0,(AP730-AQ730)/AP730)))</f>
        <v>0.27242906155040414</v>
      </c>
      <c r="AL731" s="18">
        <f>IF($A731&gt;'1-Input'!$B$26,0,(MAX(0,AK726-IF($A731&gt;='1-Input'!$C$12,'1-Input'!$B$12,0))-MIN(MAX(AO730,0),MAX(0,AK726-IF($A731&gt;='1-Input'!$C$12,'1-Input'!$B$12,0))))*(1/(1-'P-Parametri'!$B$6*AK731))+MIN(MAX(0,AP730-(MAX(0,AK726-IF($A731&gt;='1-Input'!$C$12,'1-Input'!$B$12,0))-MIN(MAX(AO730,0),MAX(0,AK726-IF($A731&gt;='1-Input'!$C$12,'1-Input'!$B$12,0))))*(1/(1-'P-Parametri'!$B$6*AK731))),MAX(0,1*AK726-(AO730-MIN(MAX(AO730,0),MAX(0,AK726-IF($A731&gt;='1-Input'!$C$12,'1-Input'!$B$12,0)))))*(1/(1-'P-Parametri'!$B$6*AK731))))</f>
        <v>21613.413292253532</v>
      </c>
      <c r="AM731" s="18">
        <f>IF($A731&gt;'1-Input'!$B$26,AO730,(AO730-MAX(0,AK726-IF($A731&gt;='1-Input'!$C$12,'1-Input'!$B$12,0))+AL731*(1-'P-Parametri'!$B$6*AK731))*(1+'1-Input'!$B$27))</f>
        <v>19938.42625794281</v>
      </c>
      <c r="AN731" s="18">
        <f>IF($A731&gt;'1-Input'!$B$26,AP730,(AP730-AL731)*(1+$D$4))</f>
        <v>399925.11874647147</v>
      </c>
      <c r="AO731" s="18">
        <f>IF($A731&gt;'1-Input'!$B$26,AM731,AM731-'P-Parametri'!$B$8*(AN731+AM731)+MIN(MAX(AN731,0),'P-Parametri'!$B$8*(AN731+AM731)))</f>
        <v>19938.42625794281</v>
      </c>
      <c r="AP731" s="18">
        <f>IF($A731&gt;'1-Input'!$B$26,AN731,AN731-MIN(MAX(AN731,0),'P-Parametri'!$B$8*(AN731+AM731)))</f>
        <v>399085.39165646263</v>
      </c>
      <c r="AQ731" s="18">
        <f>IF($A731&gt;'1-Input'!$B$26,AQ730,AQ730-AL731*(1-AK731))</f>
        <v>279782.5903422464</v>
      </c>
    </row>
    <row r="732" spans="1:43">
      <c r="A732" s="10">
        <f>4</f>
        <v>4</v>
      </c>
      <c r="B732" s="11">
        <f>IF($A732&gt;'1-Input'!$B$26,0,IF(G731&lt;=0,0,MAX(0,(G731-H731)/G731)))</f>
        <v>0.29897954384952863</v>
      </c>
      <c r="C732" s="18">
        <f>IF($A732&gt;'1-Input'!$B$26,0,(MAX(0,B726-IF($A732&gt;='1-Input'!$C$12,'1-Input'!$B$12,0))-MIN(MAX(F731,0),MAX(0,B726-IF($A732&gt;='1-Input'!$C$12,'1-Input'!$B$12,0))))*(1/(1-'P-Parametri'!$B$6*B732))+MIN(MAX(0,G731-(MAX(0,B726-IF($A732&gt;='1-Input'!$C$12,'1-Input'!$B$12,0))-MIN(MAX(F731,0),MAX(0,B726-IF($A732&gt;='1-Input'!$C$12,'1-Input'!$B$12,0))))*(1/(1-'P-Parametri'!$B$6*B732))),MAX(0,1*B726-(F731-MIN(MAX(F731,0),MAX(0,B726-IF($A732&gt;='1-Input'!$C$12,'1-Input'!$B$12,0)))))*(1/(1-'P-Parametri'!$B$6*B732))))</f>
        <v>18152.159444949535</v>
      </c>
      <c r="D732" s="18">
        <f>IF($A732&gt;'1-Input'!$B$26,F731,(F731-MAX(0,B726-IF($A732&gt;='1-Input'!$C$12,'1-Input'!$B$12,0))+C732*(1-'P-Parametri'!$B$6*B732))*(1+'1-Input'!$B$27))</f>
        <v>16621.00351549315</v>
      </c>
      <c r="E732" s="18">
        <f>IF($A732&gt;'1-Input'!$B$26,G731,(G731-C732)*(1+$D$4))</f>
        <v>412045.80660387361</v>
      </c>
      <c r="F732" s="18">
        <f>IF($A732&gt;'1-Input'!$B$26,D732,D732-'P-Parametri'!$B$8*(E732+D732)+MIN(MAX(E732,0),'P-Parametri'!$B$8*(E732+D732)))</f>
        <v>16621.00351549315</v>
      </c>
      <c r="G732" s="18">
        <f>IF($A732&gt;'1-Input'!$B$26,E732,E732-MIN(MAX(E732,0),'P-Parametri'!$B$8*(E732+D732)))</f>
        <v>411188.47298363486</v>
      </c>
      <c r="H732" s="18">
        <f>IF($A732&gt;'1-Input'!$B$26,H731,H731-C732*(1-B732))</f>
        <v>277742.82625032344</v>
      </c>
      <c r="I732" s="11">
        <f>IF($A732&gt;'1-Input'!$B$26,0,IF(N731&lt;=0,0,MAX(0,(N731-O731)/N731)))</f>
        <v>0.29891680181400027</v>
      </c>
      <c r="J732" s="18">
        <f>IF($A732&gt;'1-Input'!$B$26,0,(MAX(0,I726-IF($A732&gt;='1-Input'!$C$12,'1-Input'!$B$12,0))-MIN(MAX(M731,0),MAX(0,I726-IF($A732&gt;='1-Input'!$C$12,'1-Input'!$B$12,0))))*(1/(1-'P-Parametri'!$B$6*I732))+MIN(MAX(0,N731-(MAX(0,I726-IF($A732&gt;='1-Input'!$C$12,'1-Input'!$B$12,0))-MIN(MAX(M731,0),MAX(0,I726-IF($A732&gt;='1-Input'!$C$12,'1-Input'!$B$12,0))))*(1/(1-'P-Parametri'!$B$6*I732))),MAX(0,1*I726-(M731-MIN(MAX(M731,0),MAX(0,I726-IF($A732&gt;='1-Input'!$C$12,'1-Input'!$B$12,0)))))*(1/(1-'P-Parametri'!$B$6*I732))))</f>
        <v>23883.997864730209</v>
      </c>
      <c r="K732" s="18">
        <f>IF($A732&gt;'1-Input'!$B$26,M731,(M731-MAX(0,I726-IF($A732&gt;='1-Input'!$C$12,'1-Input'!$B$12,0))+J732*(1-'P-Parametri'!$B$6*I732))*(1+'1-Input'!$B$27))</f>
        <v>21869.741467754149</v>
      </c>
      <c r="L732" s="18">
        <f>IF($A732&gt;'1-Input'!$B$26,N731,(N731-J732)*(1+$D$4))</f>
        <v>380967.3495549513</v>
      </c>
      <c r="M732" s="18">
        <f>IF($A732&gt;'1-Input'!$B$26,K732,K732-'P-Parametri'!$B$8*(L732+K732)+MIN(MAX(L732,0),'P-Parametri'!$B$8*(L732+K732)))</f>
        <v>21869.741467754149</v>
      </c>
      <c r="N732" s="18">
        <f>IF($A732&gt;'1-Input'!$B$26,L732,L732-MIN(MAX(L732,0),'P-Parametri'!$B$8*(L732+K732)))</f>
        <v>380161.67537290591</v>
      </c>
      <c r="O732" s="18">
        <f>IF($A732&gt;'1-Input'!$B$26,O731,O731-J732*(1-I732))</f>
        <v>256817.12291387396</v>
      </c>
      <c r="P732" s="11">
        <f>IF($A732&gt;'1-Input'!$B$26,0,IF(U731&lt;=0,0,MAX(0,(U731-V731)/U731)))</f>
        <v>0.29893630961168643</v>
      </c>
      <c r="Q732" s="18">
        <f>IF($A732&gt;'1-Input'!$B$26,0,(MAX(0,P726-IF($A732&gt;='1-Input'!$C$12,'1-Input'!$B$12,0))-MIN(MAX(T731,0),MAX(0,P726-IF($A732&gt;='1-Input'!$C$12,'1-Input'!$B$12,0))))*(1/(1-'P-Parametri'!$B$6*P732))+MIN(MAX(0,U731-(MAX(0,P726-IF($A732&gt;='1-Input'!$C$12,'1-Input'!$B$12,0))-MIN(MAX(T731,0),MAX(0,P726-IF($A732&gt;='1-Input'!$C$12,'1-Input'!$B$12,0))))*(1/(1-'P-Parametri'!$B$6*P732))),MAX(0,1*P726-(T731-MIN(MAX(T731,0),MAX(0,P726-IF($A732&gt;='1-Input'!$C$12,'1-Input'!$B$12,0)))))*(1/(1-'P-Parametri'!$B$6*P732))))</f>
        <v>22155.725989297021</v>
      </c>
      <c r="R732" s="18">
        <f>IF($A732&gt;'1-Input'!$B$26,T731,(T731-MAX(0,P726-IF($A732&gt;='1-Input'!$C$12,'1-Input'!$B$12,0))+Q732*(1-'P-Parametri'!$B$6*P732))*(1+'1-Input'!$B$27))</f>
        <v>20287.111791944739</v>
      </c>
      <c r="S732" s="18">
        <f>IF($A732&gt;'1-Input'!$B$26,U731,(U731-Q732)*(1+$D$4))</f>
        <v>390338.25288282946</v>
      </c>
      <c r="T732" s="18">
        <f>IF($A732&gt;'1-Input'!$B$26,R732,R732-'P-Parametri'!$B$8*(S732+R732)+MIN(MAX(S732,0),'P-Parametri'!$B$8*(S732+R732)))</f>
        <v>20287.111791944739</v>
      </c>
      <c r="U732" s="18">
        <f>IF($A732&gt;'1-Input'!$B$26,S732,S732-MIN(MAX(S732,0),'P-Parametri'!$B$8*(S732+R732)))</f>
        <v>389517.0021534799</v>
      </c>
      <c r="V732" s="18">
        <f>IF($A732&gt;'1-Input'!$B$26,V731,V731-Q732*(1-P732))</f>
        <v>263126.9000632338</v>
      </c>
      <c r="W732" s="11">
        <f>IF($A732&gt;'1-Input'!$B$26,0,IF(AB731&lt;=0,0,MAX(0,(AB731-AC731)/AB731)))</f>
        <v>0.298940434905967</v>
      </c>
      <c r="X732" s="18">
        <f>IF($A732&gt;'1-Input'!$B$26,0,(MAX(0,W726-IF($A732&gt;='1-Input'!$C$12,'1-Input'!$B$12,0))-MIN(MAX(AA731,0),MAX(0,W726-IF($A732&gt;='1-Input'!$C$12,'1-Input'!$B$12,0))))*(1/(1-'P-Parametri'!$B$6*W732))+MIN(MAX(0,AB731-(MAX(0,W726-IF($A732&gt;='1-Input'!$C$12,'1-Input'!$B$12,0))-MIN(MAX(AA731,0),MAX(0,W726-IF($A732&gt;='1-Input'!$C$12,'1-Input'!$B$12,0))))*(1/(1-'P-Parametri'!$B$6*W732))),MAX(0,1*W726-(AA731-MIN(MAX(AA731,0),MAX(0,W726-IF($A732&gt;='1-Input'!$C$12,'1-Input'!$B$12,0)))))*(1/(1-'P-Parametri'!$B$6*W732))))</f>
        <v>21784.177350674912</v>
      </c>
      <c r="Y732" s="18">
        <f>IF($A732&gt;'1-Input'!$B$26,AA731,(AA731-MAX(0,W726-IF($A732&gt;='1-Input'!$C$12,'1-Input'!$B$12,0))+X732*(1-'P-Parametri'!$B$6*W732))*(1+'1-Input'!$B$27))</f>
        <v>19946.876372417515</v>
      </c>
      <c r="Z732" s="18">
        <f>IF($A732&gt;'1-Input'!$B$26,AB731,(AB731-X732)*(1+$D$4))</f>
        <v>392352.82569560362</v>
      </c>
      <c r="AA732" s="18">
        <f>IF($A732&gt;'1-Input'!$B$26,Y732,Y732-'P-Parametri'!$B$8*(Z732+Y732)+MIN(MAX(Z732,0),'P-Parametri'!$B$8*(Z732+Y732)))</f>
        <v>19946.876372417515</v>
      </c>
      <c r="AB732" s="18">
        <f>IF($A732&gt;'1-Input'!$B$26,Z732,Z732-MIN(MAX(Z732,0),'P-Parametri'!$B$8*(Z732+Y732)))</f>
        <v>391528.22629146755</v>
      </c>
      <c r="AC732" s="18">
        <f>IF($A732&gt;'1-Input'!$B$26,AC731,AC731-X732*(1-W732))</f>
        <v>264483.36667843733</v>
      </c>
      <c r="AD732" s="11">
        <f>IF($A732&gt;'1-Input'!$B$26,0,IF(AI731&lt;=0,0,MAX(0,(AI731-AJ731)/AI731)))</f>
        <v>0.29894053730268805</v>
      </c>
      <c r="AE732" s="18">
        <f>IF($A732&gt;'1-Input'!$B$26,0,(MAX(0,AD726-IF($A732&gt;='1-Input'!$C$12,'1-Input'!$B$12,0))-MIN(MAX(AH731,0),MAX(0,AD726-IF($A732&gt;='1-Input'!$C$12,'1-Input'!$B$12,0))))*(1/(1-'P-Parametri'!$B$6*AD732))+MIN(MAX(0,AI731-(MAX(0,AD726-IF($A732&gt;='1-Input'!$C$12,'1-Input'!$B$12,0))-MIN(MAX(AH731,0),MAX(0,AD726-IF($A732&gt;='1-Input'!$C$12,'1-Input'!$B$12,0))))*(1/(1-'P-Parametri'!$B$6*AD732))),MAX(0,1*AD726-(AH731-MIN(MAX(AH731,0),MAX(0,AD726-IF($A732&gt;='1-Input'!$C$12,'1-Input'!$B$12,0)))))*(1/(1-'P-Parametri'!$B$6*AD732))))</f>
        <v>21774.92751820388</v>
      </c>
      <c r="AF732" s="18">
        <f>IF($A732&gt;'1-Input'!$B$26,AH731,(AH731-MAX(0,AD726-IF($A732&gt;='1-Input'!$C$12,'1-Input'!$B$12,0))+AE732*(1-'P-Parametri'!$B$6*AD732))*(1+'1-Input'!$B$27))</f>
        <v>19938.406105220587</v>
      </c>
      <c r="AG732" s="18">
        <f>IF($A732&gt;'1-Input'!$B$26,AI731,(AI731-AE732)*(1+$D$4))</f>
        <v>392402.97914263775</v>
      </c>
      <c r="AH732" s="18">
        <f>IF($A732&gt;'1-Input'!$B$26,AF732,AF732-'P-Parametri'!$B$8*(AG732+AF732)+MIN(MAX(AG732,0),'P-Parametri'!$B$8*(AG732+AF732)))</f>
        <v>19938.406105220587</v>
      </c>
      <c r="AI732" s="18">
        <f>IF($A732&gt;'1-Input'!$B$26,AG732,AG732-MIN(MAX(AG732,0),'P-Parametri'!$B$8*(AG732+AF732)))</f>
        <v>391578.29637214204</v>
      </c>
      <c r="AJ732" s="18">
        <f>IF($A732&gt;'1-Input'!$B$26,AJ731,AJ731-AE732*(1-AD732))</f>
        <v>264517.1362678482</v>
      </c>
      <c r="AK732" s="11">
        <f>IF($A732&gt;'1-Input'!$B$26,0,IF(AP731&lt;=0,0,MAX(0,(AP731-AQ731)/AP731)))</f>
        <v>0.29894053705908002</v>
      </c>
      <c r="AL732" s="18">
        <f>IF($A732&gt;'1-Input'!$B$26,0,(MAX(0,AK726-IF($A732&gt;='1-Input'!$C$12,'1-Input'!$B$12,0))-MIN(MAX(AO731,0),MAX(0,AK726-IF($A732&gt;='1-Input'!$C$12,'1-Input'!$B$12,0))))*(1/(1-'P-Parametri'!$B$6*AK732))+MIN(MAX(0,AP731-(MAX(0,AK726-IF($A732&gt;='1-Input'!$C$12,'1-Input'!$B$12,0))-MIN(MAX(AO731,0),MAX(0,AK726-IF($A732&gt;='1-Input'!$C$12,'1-Input'!$B$12,0))))*(1/(1-'P-Parametri'!$B$6*AK732))),MAX(0,1*AK726-(AO731-MIN(MAX(AO731,0),MAX(0,AK726-IF($A732&gt;='1-Input'!$C$12,'1-Input'!$B$12,0)))))*(1/(1-'P-Parametri'!$B$6*AK732))))</f>
        <v>21774.949525692711</v>
      </c>
      <c r="AM732" s="18">
        <f>IF($A732&gt;'1-Input'!$B$26,AO731,(AO731-MAX(0,AK726-IF($A732&gt;='1-Input'!$C$12,'1-Input'!$B$12,0))+AL732*(1-'P-Parametri'!$B$6*AK732))*(1+'1-Input'!$B$27))</f>
        <v>19938.426257942814</v>
      </c>
      <c r="AN732" s="18">
        <f>IF($A732&gt;'1-Input'!$B$26,AP731,(AP731-AL732)*(1+$D$4))</f>
        <v>392402.85981600068</v>
      </c>
      <c r="AO732" s="18">
        <f>IF($A732&gt;'1-Input'!$B$26,AM732,AM732-'P-Parametri'!$B$8*(AN732+AM732)+MIN(MAX(AN732,0),'P-Parametri'!$B$8*(AN732+AM732)))</f>
        <v>19938.426257942814</v>
      </c>
      <c r="AP732" s="18">
        <f>IF($A732&gt;'1-Input'!$B$26,AN732,AN732-MIN(MAX(AN732,0),'P-Parametri'!$B$8*(AN732+AM732)))</f>
        <v>391578.17724385281</v>
      </c>
      <c r="AQ732" s="18">
        <f>IF($A732&gt;'1-Input'!$B$26,AQ731,AQ731-AL732*(1-AK732))</f>
        <v>264517.05592219863</v>
      </c>
    </row>
    <row r="733" spans="1:43">
      <c r="A733" s="10">
        <f>5</f>
        <v>5</v>
      </c>
      <c r="B733" s="11">
        <f>IF($A733&gt;'1-Input'!$B$26,0,IF(G732&lt;=0,0,MAX(0,(G732-H732)/G732)))</f>
        <v>0.32453644861445935</v>
      </c>
      <c r="C733" s="18">
        <f>IF($A733&gt;'1-Input'!$B$26,0,(MAX(0,B726-IF($A733&gt;='1-Input'!$C$12,'1-Input'!$B$12,0))-MIN(MAX(F732,0),MAX(0,B726-IF($A733&gt;='1-Input'!$C$12,'1-Input'!$B$12,0))))*(1/(1-'P-Parametri'!$B$6*B733))+MIN(MAX(0,G732-(MAX(0,B726-IF($A733&gt;='1-Input'!$C$12,'1-Input'!$B$12,0))-MIN(MAX(F732,0),MAX(0,B726-IF($A733&gt;='1-Input'!$C$12,'1-Input'!$B$12,0))))*(1/(1-'P-Parametri'!$B$6*B733))),MAX(0,1*B726-(F732-MIN(MAX(F732,0),MAX(0,B726-IF($A733&gt;='1-Input'!$C$12,'1-Input'!$B$12,0)))))*(1/(1-'P-Parametri'!$B$6*B733))))</f>
        <v>18283.892384063409</v>
      </c>
      <c r="D733" s="18">
        <f>IF($A733&gt;'1-Input'!$B$26,F732,(F732-MAX(0,B726-IF($A733&gt;='1-Input'!$C$12,'1-Input'!$B$12,0))+C733*(1-'P-Parametri'!$B$6*B733))*(1+'1-Input'!$B$27))</f>
        <v>16621.00351549315</v>
      </c>
      <c r="E733" s="18">
        <f>IF($A733&gt;'1-Input'!$B$26,G732,(G732-C733)*(1+$D$4))</f>
        <v>408620.76382355433</v>
      </c>
      <c r="F733" s="18">
        <f>IF($A733&gt;'1-Input'!$B$26,D733,D733-'P-Parametri'!$B$8*(E733+D733)+MIN(MAX(E733,0),'P-Parametri'!$B$8*(E733+D733)))</f>
        <v>16621.00351549315</v>
      </c>
      <c r="G733" s="18">
        <f>IF($A733&gt;'1-Input'!$B$26,E733,E733-MIN(MAX(E733,0),'P-Parametri'!$B$8*(E733+D733)))</f>
        <v>407770.28028887621</v>
      </c>
      <c r="H733" s="18">
        <f>IF($A733&gt;'1-Input'!$B$26,H732,H732-C733*(1-B733))</f>
        <v>265392.72336743295</v>
      </c>
      <c r="I733" s="11">
        <f>IF($A733&gt;'1-Input'!$B$26,0,IF(N732&lt;=0,0,MAX(0,(N732-O732)/N732)))</f>
        <v>0.32445288531002381</v>
      </c>
      <c r="J733" s="18">
        <f>IF($A733&gt;'1-Input'!$B$26,0,(MAX(0,I726-IF($A733&gt;='1-Input'!$C$12,'1-Input'!$B$12,0))-MIN(MAX(M732,0),MAX(0,I726-IF($A733&gt;='1-Input'!$C$12,'1-Input'!$B$12,0))))*(1/(1-'P-Parametri'!$B$6*I733))+MIN(MAX(0,N732-(MAX(0,I726-IF($A733&gt;='1-Input'!$C$12,'1-Input'!$B$12,0))-MIN(MAX(M732,0),MAX(0,I726-IF($A733&gt;='1-Input'!$C$12,'1-Input'!$B$12,0))))*(1/(1-'P-Parametri'!$B$6*I733))),MAX(0,1*I726-(M732-MIN(MAX(M732,0),MAX(0,I726-IF($A733&gt;='1-Input'!$C$12,'1-Input'!$B$12,0)))))*(1/(1-'P-Parametri'!$B$6*I733))))</f>
        <v>24057.182291935642</v>
      </c>
      <c r="K733" s="18">
        <f>IF($A733&gt;'1-Input'!$B$26,M732,(M732-MAX(0,I726-IF($A733&gt;='1-Input'!$C$12,'1-Input'!$B$12,0))+J733*(1-'P-Parametri'!$B$6*I733))*(1+'1-Input'!$B$27))</f>
        <v>21869.741467754146</v>
      </c>
      <c r="L733" s="18">
        <f>IF($A733&gt;'1-Input'!$B$26,N732,(N732-J733)*(1+$D$4))</f>
        <v>370348.67280420905</v>
      </c>
      <c r="M733" s="18">
        <f>IF($A733&gt;'1-Input'!$B$26,K733,K733-'P-Parametri'!$B$8*(L733+K733)+MIN(MAX(L733,0),'P-Parametri'!$B$8*(L733+K733)))</f>
        <v>21869.741467754146</v>
      </c>
      <c r="N733" s="18">
        <f>IF($A733&gt;'1-Input'!$B$26,L733,L733-MIN(MAX(L733,0),'P-Parametri'!$B$8*(L733+K733)))</f>
        <v>369564.23597566516</v>
      </c>
      <c r="O733" s="18">
        <f>IF($A733&gt;'1-Input'!$B$26,O732,O732-J733*(1-I733))</f>
        <v>240565.36282898605</v>
      </c>
      <c r="P733" s="11">
        <f>IF($A733&gt;'1-Input'!$B$26,0,IF(U732&lt;=0,0,MAX(0,(U732-V732)/U732)))</f>
        <v>0.32447903786352589</v>
      </c>
      <c r="Q733" s="18">
        <f>IF($A733&gt;'1-Input'!$B$26,0,(MAX(0,P726-IF($A733&gt;='1-Input'!$C$12,'1-Input'!$B$12,0))-MIN(MAX(T732,0),MAX(0,P726-IF($A733&gt;='1-Input'!$C$12,'1-Input'!$B$12,0))))*(1/(1-'P-Parametri'!$B$6*P733))+MIN(MAX(0,U732-(MAX(0,P726-IF($A733&gt;='1-Input'!$C$12,'1-Input'!$B$12,0))-MIN(MAX(T732,0),MAX(0,P726-IF($A733&gt;='1-Input'!$C$12,'1-Input'!$B$12,0))))*(1/(1-'P-Parametri'!$B$6*P733))),MAX(0,1*P726-(T732-MIN(MAX(T732,0),MAX(0,P726-IF($A733&gt;='1-Input'!$C$12,'1-Input'!$B$12,0)))))*(1/(1-'P-Parametri'!$B$6*P733))))</f>
        <v>22316.421601178794</v>
      </c>
      <c r="R733" s="18">
        <f>IF($A733&gt;'1-Input'!$B$26,T732,(T732-MAX(0,P726-IF($A733&gt;='1-Input'!$C$12,'1-Input'!$B$12,0))+Q733*(1-'P-Parametri'!$B$6*P733))*(1+'1-Input'!$B$27))</f>
        <v>20287.111791944735</v>
      </c>
      <c r="S733" s="18">
        <f>IF($A733&gt;'1-Input'!$B$26,U732,(U732-Q733)*(1+$D$4))</f>
        <v>381888.60377439321</v>
      </c>
      <c r="T733" s="18">
        <f>IF($A733&gt;'1-Input'!$B$26,R733,R733-'P-Parametri'!$B$8*(S733+R733)+MIN(MAX(S733,0),'P-Parametri'!$B$8*(S733+R733)))</f>
        <v>20287.111791944735</v>
      </c>
      <c r="U733" s="18">
        <f>IF($A733&gt;'1-Input'!$B$26,S733,S733-MIN(MAX(S733,0),'P-Parametri'!$B$8*(S733+R733)))</f>
        <v>381084.25234326051</v>
      </c>
      <c r="V733" s="18">
        <f>IF($A733&gt;'1-Input'!$B$26,V732,V732-Q733*(1-P733))</f>
        <v>248051.68947176231</v>
      </c>
      <c r="W733" s="11">
        <f>IF($A733&gt;'1-Input'!$B$26,0,IF(AB732&lt;=0,0,MAX(0,(AB732-AC732)/AB732)))</f>
        <v>0.32448454819309375</v>
      </c>
      <c r="X733" s="18">
        <f>IF($A733&gt;'1-Input'!$B$26,0,(MAX(0,W726-IF($A733&gt;='1-Input'!$C$12,'1-Input'!$B$12,0))-MIN(MAX(AA732,0),MAX(0,W726-IF($A733&gt;='1-Input'!$C$12,'1-Input'!$B$12,0))))*(1/(1-'P-Parametri'!$B$6*W733))+MIN(MAX(0,AB732-(MAX(0,W726-IF($A733&gt;='1-Input'!$C$12,'1-Input'!$B$12,0))-MIN(MAX(AA732,0),MAX(0,W726-IF($A733&gt;='1-Input'!$C$12,'1-Input'!$B$12,0))))*(1/(1-'P-Parametri'!$B$6*W733))),MAX(0,1*W726-(AA732-MIN(MAX(AA732,0),MAX(0,W726-IF($A733&gt;='1-Input'!$C$12,'1-Input'!$B$12,0)))))*(1/(1-'P-Parametri'!$B$6*W733))))</f>
        <v>21942.18693278834</v>
      </c>
      <c r="Y733" s="18">
        <f>IF($A733&gt;'1-Input'!$B$26,AA732,(AA732-MAX(0,W726-IF($A733&gt;='1-Input'!$C$12,'1-Input'!$B$12,0))+X733*(1-'P-Parametri'!$B$6*W733))*(1+'1-Input'!$B$27))</f>
        <v>19946.876372417511</v>
      </c>
      <c r="Z733" s="18">
        <f>IF($A733&gt;'1-Input'!$B$26,AB732,(AB732-X733)*(1+$D$4))</f>
        <v>384369.48093302641</v>
      </c>
      <c r="AA733" s="18">
        <f>IF($A733&gt;'1-Input'!$B$26,Y733,Y733-'P-Parametri'!$B$8*(Z733+Y733)+MIN(MAX(Z733,0),'P-Parametri'!$B$8*(Z733+Y733)))</f>
        <v>19946.876372417511</v>
      </c>
      <c r="AB733" s="18">
        <f>IF($A733&gt;'1-Input'!$B$26,Z733,Z733-MIN(MAX(Z733,0),'P-Parametri'!$B$8*(Z733+Y733)))</f>
        <v>383560.84821841551</v>
      </c>
      <c r="AC733" s="18">
        <f>IF($A733&gt;'1-Input'!$B$26,AC732,AC732-X733*(1-W733))</f>
        <v>249661.08035890321</v>
      </c>
      <c r="AD733" s="11">
        <f>IF($A733&gt;'1-Input'!$B$26,0,IF(AI732&lt;=0,0,MAX(0,(AI732-AJ732)/AI732)))</f>
        <v>0.32448468488033733</v>
      </c>
      <c r="AE733" s="18">
        <f>IF($A733&gt;'1-Input'!$B$26,0,(MAX(0,AD726-IF($A733&gt;='1-Input'!$C$12,'1-Input'!$B$12,0))-MIN(MAX(AH732,0),MAX(0,AD726-IF($A733&gt;='1-Input'!$C$12,'1-Input'!$B$12,0))))*(1/(1-'P-Parametri'!$B$6*AD733))+MIN(MAX(0,AI732-(MAX(0,AD726-IF($A733&gt;='1-Input'!$C$12,'1-Input'!$B$12,0))-MIN(MAX(AH732,0),MAX(0,AD726-IF($A733&gt;='1-Input'!$C$12,'1-Input'!$B$12,0))))*(1/(1-'P-Parametri'!$B$6*AD733))),MAX(0,1*AD726-(AH732-MIN(MAX(AH732,0),MAX(0,AD726-IF($A733&gt;='1-Input'!$C$12,'1-Input'!$B$12,0)))))*(1/(1-'P-Parametri'!$B$6*AD733))))</f>
        <v>21932.870225637656</v>
      </c>
      <c r="AF733" s="18">
        <f>IF($A733&gt;'1-Input'!$B$26,AH732,(AH732-MAX(0,AD726-IF($A733&gt;='1-Input'!$C$12,'1-Input'!$B$12,0))+AE733*(1-'P-Parametri'!$B$6*AD733))*(1+'1-Input'!$B$27))</f>
        <v>19938.406105220583</v>
      </c>
      <c r="AG733" s="18">
        <f>IF($A733&gt;'1-Input'!$B$26,AI732,(AI732-AE733)*(1+$D$4))</f>
        <v>384431.24319236452</v>
      </c>
      <c r="AH733" s="18">
        <f>IF($A733&gt;'1-Input'!$B$26,AF733,AF733-'P-Parametri'!$B$8*(AG733+AF733)+MIN(MAX(AG733,0),'P-Parametri'!$B$8*(AG733+AF733)))</f>
        <v>19938.406105220583</v>
      </c>
      <c r="AI733" s="18">
        <f>IF($A733&gt;'1-Input'!$B$26,AG733,AG733-MIN(MAX(AG733,0),'P-Parametri'!$B$8*(AG733+AF733)))</f>
        <v>383622.50389376935</v>
      </c>
      <c r="AJ733" s="18">
        <f>IF($A733&gt;'1-Input'!$B$26,AJ732,AJ732-AE733*(1-AD733))</f>
        <v>249701.1465258979</v>
      </c>
      <c r="AK733" s="11">
        <f>IF($A733&gt;'1-Input'!$B$26,0,IF(AP732&lt;=0,0,MAX(0,(AP732-AQ732)/AP732)))</f>
        <v>0.32448468455515506</v>
      </c>
      <c r="AL733" s="18">
        <f>IF($A733&gt;'1-Input'!$B$26,0,(MAX(0,AK726-IF($A733&gt;='1-Input'!$C$12,'1-Input'!$B$12,0))-MIN(MAX(AO732,0),MAX(0,AK726-IF($A733&gt;='1-Input'!$C$12,'1-Input'!$B$12,0))))*(1/(1-'P-Parametri'!$B$6*AK733))+MIN(MAX(0,AP732-(MAX(0,AK726-IF($A733&gt;='1-Input'!$C$12,'1-Input'!$B$12,0))-MIN(MAX(AO732,0),MAX(0,AK726-IF($A733&gt;='1-Input'!$C$12,'1-Input'!$B$12,0))))*(1/(1-'P-Parametri'!$B$6*AK733))),MAX(0,1*AK726-(AO732-MIN(MAX(AO732,0),MAX(0,AK726-IF($A733&gt;='1-Input'!$C$12,'1-Input'!$B$12,0)))))*(1/(1-'P-Parametri'!$B$6*AK733))))</f>
        <v>21932.8923922371</v>
      </c>
      <c r="AM733" s="18">
        <f>IF($A733&gt;'1-Input'!$B$26,AO732,(AO732-MAX(0,AK726-IF($A733&gt;='1-Input'!$C$12,'1-Input'!$B$12,0))+AL733*(1-'P-Parametri'!$B$6*AK733))*(1+'1-Input'!$B$27))</f>
        <v>19938.426257942814</v>
      </c>
      <c r="AN733" s="18">
        <f>IF($A733&gt;'1-Input'!$B$26,AP732,(AP732-AL733)*(1+$D$4))</f>
        <v>384431.09624568035</v>
      </c>
      <c r="AO733" s="18">
        <f>IF($A733&gt;'1-Input'!$B$26,AM733,AM733-'P-Parametri'!$B$8*(AN733+AM733)+MIN(MAX(AN733,0),'P-Parametri'!$B$8*(AN733+AM733)))</f>
        <v>19938.426257942814</v>
      </c>
      <c r="AP733" s="18">
        <f>IF($A733&gt;'1-Input'!$B$26,AN733,AN733-MIN(MAX(AN733,0),'P-Parametri'!$B$8*(AN733+AM733)))</f>
        <v>383622.35720067308</v>
      </c>
      <c r="AQ733" s="18">
        <f>IF($A733&gt;'1-Input'!$B$26,AQ732,AQ732-AL733*(1-AK733))</f>
        <v>249701.05119923875</v>
      </c>
    </row>
    <row r="734" spans="1:43">
      <c r="A734" s="10">
        <f>6</f>
        <v>6</v>
      </c>
      <c r="B734" s="11">
        <f>IF($A734&gt;'1-Input'!$B$26,0,IF(G733&lt;=0,0,MAX(0,(G733-H733)/G733)))</f>
        <v>0.34916119149384528</v>
      </c>
      <c r="C734" s="18">
        <f>IF($A734&gt;'1-Input'!$B$26,0,(MAX(0,B726-IF($A734&gt;='1-Input'!$C$12,'1-Input'!$B$12,0))-MIN(MAX(F733,0),MAX(0,B726-IF($A734&gt;='1-Input'!$C$12,'1-Input'!$B$12,0))))*(1/(1-'P-Parametri'!$B$6*B734))+MIN(MAX(0,G733-(MAX(0,B726-IF($A734&gt;='1-Input'!$C$12,'1-Input'!$B$12,0))-MIN(MAX(F733,0),MAX(0,B726-IF($A734&gt;='1-Input'!$C$12,'1-Input'!$B$12,0))))*(1/(1-'P-Parametri'!$B$6*B734))),MAX(0,1*B726-(F733-MIN(MAX(F733,0),MAX(0,B726-IF($A734&gt;='1-Input'!$C$12,'1-Input'!$B$12,0)))))*(1/(1-'P-Parametri'!$B$6*B734))))</f>
        <v>18412.641910657912</v>
      </c>
      <c r="D734" s="18">
        <f>IF($A734&gt;'1-Input'!$B$26,F733,(F733-MAX(0,B726-IF($A734&gt;='1-Input'!$C$12,'1-Input'!$B$12,0))+C734*(1-'P-Parametri'!$B$6*B734))*(1+'1-Input'!$B$27))</f>
        <v>16621.003515493154</v>
      </c>
      <c r="E734" s="18">
        <f>IF($A734&gt;'1-Input'!$B$26,G733,(G733-C734)*(1+$D$4))</f>
        <v>404931.94391334703</v>
      </c>
      <c r="F734" s="18">
        <f>IF($A734&gt;'1-Input'!$B$26,D734,D734-'P-Parametri'!$B$8*(E734+D734)+MIN(MAX(E734,0),'P-Parametri'!$B$8*(E734+D734)))</f>
        <v>16621.003515493154</v>
      </c>
      <c r="G734" s="18">
        <f>IF($A734&gt;'1-Input'!$B$26,E734,E734-MIN(MAX(E734,0),'P-Parametri'!$B$8*(E734+D734)))</f>
        <v>404088.83801848936</v>
      </c>
      <c r="H734" s="18">
        <f>IF($A734&gt;'1-Input'!$B$26,H733,H733-C734*(1-B734))</f>
        <v>253409.06144484985</v>
      </c>
      <c r="I734" s="11">
        <f>IF($A734&gt;'1-Input'!$B$26,0,IF(N733&lt;=0,0,MAX(0,(N733-O733)/N733)))</f>
        <v>0.34905670135021766</v>
      </c>
      <c r="J734" s="18">
        <f>IF($A734&gt;'1-Input'!$B$26,0,(MAX(0,I726-IF($A734&gt;='1-Input'!$C$12,'1-Input'!$B$12,0))-MIN(MAX(M733,0),MAX(0,I726-IF($A734&gt;='1-Input'!$C$12,'1-Input'!$B$12,0))))*(1/(1-'P-Parametri'!$B$6*I734))+MIN(MAX(0,N733-(MAX(0,I726-IF($A734&gt;='1-Input'!$C$12,'1-Input'!$B$12,0))-MIN(MAX(M733,0),MAX(0,I726-IF($A734&gt;='1-Input'!$C$12,'1-Input'!$B$12,0))))*(1/(1-'P-Parametri'!$B$6*I734))),MAX(0,1*I726-(M733-MIN(MAX(M733,0),MAX(0,I726-IF($A734&gt;='1-Input'!$C$12,'1-Input'!$B$12,0)))))*(1/(1-'P-Parametri'!$B$6*I734))))</f>
        <v>24226.436522815595</v>
      </c>
      <c r="K734" s="18">
        <f>IF($A734&gt;'1-Input'!$B$26,M733,(M733-MAX(0,I726-IF($A734&gt;='1-Input'!$C$12,'1-Input'!$B$12,0))+J734*(1-'P-Parametri'!$B$6*I734))*(1+'1-Input'!$B$27))</f>
        <v>21869.741467754146</v>
      </c>
      <c r="L734" s="18">
        <f>IF($A734&gt;'1-Input'!$B$26,N733,(N733-J734)*(1+$D$4))</f>
        <v>359151.31143096351</v>
      </c>
      <c r="M734" s="18">
        <f>IF($A734&gt;'1-Input'!$B$26,K734,K734-'P-Parametri'!$B$8*(L734+K734)+MIN(MAX(L734,0),'P-Parametri'!$B$8*(L734+K734)))</f>
        <v>21869.741467754146</v>
      </c>
      <c r="N734" s="18">
        <f>IF($A734&gt;'1-Input'!$B$26,L734,L734-MIN(MAX(L734,0),'P-Parametri'!$B$8*(L734+K734)))</f>
        <v>358389.26932516607</v>
      </c>
      <c r="O734" s="18">
        <f>IF($A734&gt;'1-Input'!$B$26,O733,O733-J734*(1-I734))</f>
        <v>224795.3263242949</v>
      </c>
      <c r="P734" s="11">
        <f>IF($A734&gt;'1-Input'!$B$26,0,IF(U733&lt;=0,0,MAX(0,(U733-V733)/U733)))</f>
        <v>0.34908963583115871</v>
      </c>
      <c r="Q734" s="18">
        <f>IF($A734&gt;'1-Input'!$B$26,0,(MAX(0,P726-IF($A734&gt;='1-Input'!$C$12,'1-Input'!$B$12,0))-MIN(MAX(T733,0),MAX(0,P726-IF($A734&gt;='1-Input'!$C$12,'1-Input'!$B$12,0))))*(1/(1-'P-Parametri'!$B$6*P734))+MIN(MAX(0,U733-(MAX(0,P726-IF($A734&gt;='1-Input'!$C$12,'1-Input'!$B$12,0))-MIN(MAX(T733,0),MAX(0,P726-IF($A734&gt;='1-Input'!$C$12,'1-Input'!$B$12,0))))*(1/(1-'P-Parametri'!$B$6*P734))),MAX(0,1*P726-(T733-MIN(MAX(T733,0),MAX(0,P726-IF($A734&gt;='1-Input'!$C$12,'1-Input'!$B$12,0)))))*(1/(1-'P-Parametri'!$B$6*P734))))</f>
        <v>22473.473472997914</v>
      </c>
      <c r="R734" s="18">
        <f>IF($A734&gt;'1-Input'!$B$26,T733,(T733-MAX(0,P726-IF($A734&gt;='1-Input'!$C$12,'1-Input'!$B$12,0))+Q734*(1-'P-Parametri'!$B$6*P734))*(1+'1-Input'!$B$27))</f>
        <v>20287.111791944739</v>
      </c>
      <c r="S734" s="18">
        <f>IF($A734&gt;'1-Input'!$B$26,U733,(U733-Q734)*(1+$D$4))</f>
        <v>372955.21002507315</v>
      </c>
      <c r="T734" s="18">
        <f>IF($A734&gt;'1-Input'!$B$26,R734,R734-'P-Parametri'!$B$8*(S734+R734)+MIN(MAX(S734,0),'P-Parametri'!$B$8*(S734+R734)))</f>
        <v>20287.111791944739</v>
      </c>
      <c r="U734" s="18">
        <f>IF($A734&gt;'1-Input'!$B$26,S734,S734-MIN(MAX(S734,0),'P-Parametri'!$B$8*(S734+R734)))</f>
        <v>372168.72538143909</v>
      </c>
      <c r="V734" s="18">
        <f>IF($A734&gt;'1-Input'!$B$26,V733,V733-Q734*(1-P734))</f>
        <v>233423.47266931445</v>
      </c>
      <c r="W734" s="11">
        <f>IF($A734&gt;'1-Input'!$B$26,0,IF(AB733&lt;=0,0,MAX(0,(AB733-AC733)/AB733)))</f>
        <v>0.3490965474746896</v>
      </c>
      <c r="X734" s="18">
        <f>IF($A734&gt;'1-Input'!$B$26,0,(MAX(0,W726-IF($A734&gt;='1-Input'!$C$12,'1-Input'!$B$12,0))-MIN(MAX(AA733,0),MAX(0,W726-IF($A734&gt;='1-Input'!$C$12,'1-Input'!$B$12,0))))*(1/(1-'P-Parametri'!$B$6*W734))+MIN(MAX(0,AB733-(MAX(0,W726-IF($A734&gt;='1-Input'!$C$12,'1-Input'!$B$12,0))-MIN(MAX(AA733,0),MAX(0,W726-IF($A734&gt;='1-Input'!$C$12,'1-Input'!$B$12,0))))*(1/(1-'P-Parametri'!$B$6*W734))),MAX(0,1*W726-(AA733-MIN(MAX(AA733,0),MAX(0,W726-IF($A734&gt;='1-Input'!$C$12,'1-Input'!$B$12,0)))))*(1/(1-'P-Parametri'!$B$6*W734))))</f>
        <v>22096.614224909183</v>
      </c>
      <c r="Y734" s="18">
        <f>IF($A734&gt;'1-Input'!$B$26,AA733,(AA733-MAX(0,W726-IF($A734&gt;='1-Input'!$C$12,'1-Input'!$B$12,0))+X734*(1-'P-Parametri'!$B$6*W734))*(1+'1-Input'!$B$27))</f>
        <v>19946.876372417511</v>
      </c>
      <c r="Z734" s="18">
        <f>IF($A734&gt;'1-Input'!$B$26,AB733,(AB733-X734)*(1+$D$4))</f>
        <v>375922.80335324659</v>
      </c>
      <c r="AA734" s="18">
        <f>IF($A734&gt;'1-Input'!$B$26,Y734,Y734-'P-Parametri'!$B$8*(Z734+Y734)+MIN(MAX(Z734,0),'P-Parametri'!$B$8*(Z734+Y734)))</f>
        <v>19946.876372417511</v>
      </c>
      <c r="AB734" s="18">
        <f>IF($A734&gt;'1-Input'!$B$26,Z734,Z734-MIN(MAX(Z734,0),'P-Parametri'!$B$8*(Z734+Y734)))</f>
        <v>375131.06399379525</v>
      </c>
      <c r="AC734" s="18">
        <f>IF($A734&gt;'1-Input'!$B$26,AC733,AC733-X734*(1-W734))</f>
        <v>235278.31787078994</v>
      </c>
      <c r="AD734" s="11">
        <f>IF($A734&gt;'1-Input'!$B$26,0,IF(AI733&lt;=0,0,MAX(0,(AI733-AJ733)/AI733)))</f>
        <v>0.34909671880186732</v>
      </c>
      <c r="AE734" s="18">
        <f>IF($A734&gt;'1-Input'!$B$26,0,(MAX(0,AD726-IF($A734&gt;='1-Input'!$C$12,'1-Input'!$B$12,0))-MIN(MAX(AH733,0),MAX(0,AD726-IF($A734&gt;='1-Input'!$C$12,'1-Input'!$B$12,0))))*(1/(1-'P-Parametri'!$B$6*AD734))+MIN(MAX(0,AI733-(MAX(0,AD726-IF($A734&gt;='1-Input'!$C$12,'1-Input'!$B$12,0))-MIN(MAX(AH733,0),MAX(0,AD726-IF($A734&gt;='1-Input'!$C$12,'1-Input'!$B$12,0))))*(1/(1-'P-Parametri'!$B$6*AD734))),MAX(0,1*AD726-(AH733-MIN(MAX(AH733,0),MAX(0,AD726-IF($A734&gt;='1-Input'!$C$12,'1-Input'!$B$12,0)))))*(1/(1-'P-Parametri'!$B$6*AD734))))</f>
        <v>22087.232172363609</v>
      </c>
      <c r="AF734" s="18">
        <f>IF($A734&gt;'1-Input'!$B$26,AH733,(AH733-MAX(0,AD726-IF($A734&gt;='1-Input'!$C$12,'1-Input'!$B$12,0))+AE734*(1-'P-Parametri'!$B$6*AD734))*(1+'1-Input'!$B$27))</f>
        <v>19938.40610522058</v>
      </c>
      <c r="AG734" s="18">
        <f>IF($A734&gt;'1-Input'!$B$26,AI733,(AI733-AE734)*(1+$D$4))</f>
        <v>375996.68259026197</v>
      </c>
      <c r="AH734" s="18">
        <f>IF($A734&gt;'1-Input'!$B$26,AF734,AF734-'P-Parametri'!$B$8*(AG734+AF734)+MIN(MAX(AG734,0),'P-Parametri'!$B$8*(AG734+AF734)))</f>
        <v>19938.40610522058</v>
      </c>
      <c r="AI734" s="18">
        <f>IF($A734&gt;'1-Input'!$B$26,AG734,AG734-MIN(MAX(AG734,0),'P-Parametri'!$B$8*(AG734+AF734)))</f>
        <v>375204.81241287099</v>
      </c>
      <c r="AJ734" s="18">
        <f>IF($A734&gt;'1-Input'!$B$26,AJ733,AJ733-AE734*(1-AD734))</f>
        <v>235324.49463232147</v>
      </c>
      <c r="AK734" s="11">
        <f>IF($A734&gt;'1-Input'!$B$26,0,IF(AP733&lt;=0,0,MAX(0,(AP733-AQ733)/AP733)))</f>
        <v>0.3490967183942828</v>
      </c>
      <c r="AL734" s="18">
        <f>IF($A734&gt;'1-Input'!$B$26,0,(MAX(0,AK726-IF($A734&gt;='1-Input'!$C$12,'1-Input'!$B$12,0))-MIN(MAX(AO733,0),MAX(0,AK726-IF($A734&gt;='1-Input'!$C$12,'1-Input'!$B$12,0))))*(1/(1-'P-Parametri'!$B$6*AK734))+MIN(MAX(0,AP733-(MAX(0,AK726-IF($A734&gt;='1-Input'!$C$12,'1-Input'!$B$12,0))-MIN(MAX(AO733,0),MAX(0,AK726-IF($A734&gt;='1-Input'!$C$12,'1-Input'!$B$12,0))))*(1/(1-'P-Parametri'!$B$6*AK734))),MAX(0,1*AK726-(AO733-MIN(MAX(AO733,0),MAX(0,AK726-IF($A734&gt;='1-Input'!$C$12,'1-Input'!$B$12,0)))))*(1/(1-'P-Parametri'!$B$6*AK734))))</f>
        <v>22087.254494435161</v>
      </c>
      <c r="AM734" s="18">
        <f>IF($A734&gt;'1-Input'!$B$26,AO733,(AO733-MAX(0,AK726-IF($A734&gt;='1-Input'!$C$12,'1-Input'!$B$12,0))+AL734*(1-'P-Parametri'!$B$6*AK734))*(1+'1-Input'!$B$27))</f>
        <v>19938.426257942814</v>
      </c>
      <c r="AN734" s="18">
        <f>IF($A734&gt;'1-Input'!$B$26,AP733,(AP733-AL734)*(1+$D$4))</f>
        <v>375996.50681448745</v>
      </c>
      <c r="AO734" s="18">
        <f>IF($A734&gt;'1-Input'!$B$26,AM734,AM734-'P-Parametri'!$B$8*(AN734+AM734)+MIN(MAX(AN734,0),'P-Parametri'!$B$8*(AN734+AM734)))</f>
        <v>19938.426257942814</v>
      </c>
      <c r="AP734" s="18">
        <f>IF($A734&gt;'1-Input'!$B$26,AN734,AN734-MIN(MAX(AN734,0),'P-Parametri'!$B$8*(AN734+AM734)))</f>
        <v>375204.63694834261</v>
      </c>
      <c r="AQ734" s="18">
        <f>IF($A734&gt;'1-Input'!$B$26,AQ733,AQ733-AL734*(1-AK734))</f>
        <v>235324.38476715027</v>
      </c>
    </row>
    <row r="735" spans="1:43">
      <c r="A735" s="10">
        <f>7</f>
        <v>7</v>
      </c>
      <c r="B735" s="11">
        <f>IF($A735&gt;'1-Input'!$B$26,0,IF(G734&lt;=0,0,MAX(0,(G734-H734)/G734)))</f>
        <v>0.37288774743821324</v>
      </c>
      <c r="C735" s="18">
        <f>IF($A735&gt;'1-Input'!$B$26,0,(MAX(0,B726-IF($A735&gt;='1-Input'!$C$12,'1-Input'!$B$12,0))-MIN(MAX(F734,0),MAX(0,B726-IF($A735&gt;='1-Input'!$C$12,'1-Input'!$B$12,0))))*(1/(1-'P-Parametri'!$B$6*B735))+MIN(MAX(0,G734-(MAX(0,B726-IF($A735&gt;='1-Input'!$C$12,'1-Input'!$B$12,0))-MIN(MAX(F734,0),MAX(0,B726-IF($A735&gt;='1-Input'!$C$12,'1-Input'!$B$12,0))))*(1/(1-'P-Parametri'!$B$6*B735))),MAX(0,1*B726-(F734-MIN(MAX(F734,0),MAX(0,B726-IF($A735&gt;='1-Input'!$C$12,'1-Input'!$B$12,0)))))*(1/(1-'P-Parametri'!$B$6*B735))))</f>
        <v>18538.422247079117</v>
      </c>
      <c r="D735" s="18">
        <f>IF($A735&gt;'1-Input'!$B$26,F734,(F734-MAX(0,B726-IF($A735&gt;='1-Input'!$C$12,'1-Input'!$B$12,0))+C735*(1-'P-Parametri'!$B$6*B735))*(1+'1-Input'!$B$27))</f>
        <v>16621.00351549315</v>
      </c>
      <c r="E735" s="18">
        <f>IF($A735&gt;'1-Input'!$B$26,G734,(G734-C735)*(1+$D$4))</f>
        <v>400972.43240226666</v>
      </c>
      <c r="F735" s="18">
        <f>IF($A735&gt;'1-Input'!$B$26,D735,D735-'P-Parametri'!$B$8*(E735+D735)+MIN(MAX(E735,0),'P-Parametri'!$B$8*(E735+D735)))</f>
        <v>16621.00351549315</v>
      </c>
      <c r="G735" s="18">
        <f>IF($A735&gt;'1-Input'!$B$26,E735,E735-MIN(MAX(E735,0),'P-Parametri'!$B$8*(E735+D735)))</f>
        <v>400137.24553043116</v>
      </c>
      <c r="H735" s="18">
        <f>IF($A735&gt;'1-Input'!$B$26,H734,H734-C735*(1-B735))</f>
        <v>241783.38971054251</v>
      </c>
      <c r="I735" s="11">
        <f>IF($A735&gt;'1-Input'!$B$26,0,IF(N734&lt;=0,0,MAX(0,(N734-O734)/N734)))</f>
        <v>0.37276211771748546</v>
      </c>
      <c r="J735" s="18">
        <f>IF($A735&gt;'1-Input'!$B$26,0,(MAX(0,I726-IF($A735&gt;='1-Input'!$C$12,'1-Input'!$B$12,0))-MIN(MAX(M734,0),MAX(0,I726-IF($A735&gt;='1-Input'!$C$12,'1-Input'!$B$12,0))))*(1/(1-'P-Parametri'!$B$6*I735))+MIN(MAX(0,N734-(MAX(0,I726-IF($A735&gt;='1-Input'!$C$12,'1-Input'!$B$12,0))-MIN(MAX(M734,0),MAX(0,I726-IF($A735&gt;='1-Input'!$C$12,'1-Input'!$B$12,0))))*(1/(1-'P-Parametri'!$B$6*I735))),MAX(0,1*I726-(M734-MIN(MAX(M734,0),MAX(0,I726-IF($A735&gt;='1-Input'!$C$12,'1-Input'!$B$12,0)))))*(1/(1-'P-Parametri'!$B$6*I735))))</f>
        <v>24391.778588948473</v>
      </c>
      <c r="K735" s="18">
        <f>IF($A735&gt;'1-Input'!$B$26,M734,(M734-MAX(0,I726-IF($A735&gt;='1-Input'!$C$12,'1-Input'!$B$12,0))+J735*(1-'P-Parametri'!$B$6*I735))*(1+'1-Input'!$B$27))</f>
        <v>21869.741467754146</v>
      </c>
      <c r="L735" s="18">
        <f>IF($A735&gt;'1-Input'!$B$26,N734,(N734-J735)*(1+$D$4))</f>
        <v>347357.3903656663</v>
      </c>
      <c r="M735" s="18">
        <f>IF($A735&gt;'1-Input'!$B$26,K735,K735-'P-Parametri'!$B$8*(L735+K735)+MIN(MAX(L735,0),'P-Parametri'!$B$8*(L735+K735)))</f>
        <v>21869.741467754146</v>
      </c>
      <c r="N735" s="18">
        <f>IF($A735&gt;'1-Input'!$B$26,L735,L735-MIN(MAX(L735,0),'P-Parametri'!$B$8*(L735+K735)))</f>
        <v>346618.93610199948</v>
      </c>
      <c r="O735" s="18">
        <f>IF($A735&gt;'1-Input'!$B$26,O734,O734-J735*(1-I735))</f>
        <v>209495.87877705888</v>
      </c>
      <c r="P735" s="11">
        <f>IF($A735&gt;'1-Input'!$B$26,0,IF(U734&lt;=0,0,MAX(0,(U734-V734)/U734)))</f>
        <v>0.37280202029314358</v>
      </c>
      <c r="Q735" s="18">
        <f>IF($A735&gt;'1-Input'!$B$26,0,(MAX(0,P726-IF($A735&gt;='1-Input'!$C$12,'1-Input'!$B$12,0))-MIN(MAX(T734,0),MAX(0,P726-IF($A735&gt;='1-Input'!$C$12,'1-Input'!$B$12,0))))*(1/(1-'P-Parametri'!$B$6*P735))+MIN(MAX(0,U734-(MAX(0,P726-IF($A735&gt;='1-Input'!$C$12,'1-Input'!$B$12,0))-MIN(MAX(T734,0),MAX(0,P726-IF($A735&gt;='1-Input'!$C$12,'1-Input'!$B$12,0))))*(1/(1-'P-Parametri'!$B$6*P735))),MAX(0,1*P726-(T734-MIN(MAX(T734,0),MAX(0,P726-IF($A735&gt;='1-Input'!$C$12,'1-Input'!$B$12,0)))))*(1/(1-'P-Parametri'!$B$6*P735))))</f>
        <v>22626.898657057947</v>
      </c>
      <c r="R735" s="18">
        <f>IF($A735&gt;'1-Input'!$B$26,T734,(T734-MAX(0,P726-IF($A735&gt;='1-Input'!$C$12,'1-Input'!$B$12,0))+Q735*(1-'P-Parametri'!$B$6*P735))*(1+'1-Input'!$B$27))</f>
        <v>20287.111791944739</v>
      </c>
      <c r="S735" s="18">
        <f>IF($A735&gt;'1-Input'!$B$26,U734,(U734-Q735)*(1+$D$4))</f>
        <v>363523.4997933564</v>
      </c>
      <c r="T735" s="18">
        <f>IF($A735&gt;'1-Input'!$B$26,R735,R735-'P-Parametri'!$B$8*(S735+R735)+MIN(MAX(S735,0),'P-Parametri'!$B$8*(S735+R735)))</f>
        <v>20287.111791944739</v>
      </c>
      <c r="U735" s="18">
        <f>IF($A735&gt;'1-Input'!$B$26,S735,S735-MIN(MAX(S735,0),'P-Parametri'!$B$8*(S735+R735)))</f>
        <v>362755.8785701858</v>
      </c>
      <c r="V735" s="18">
        <f>IF($A735&gt;'1-Input'!$B$26,V734,V734-Q735*(1-P735))</f>
        <v>219231.92754457591</v>
      </c>
      <c r="W735" s="11">
        <f>IF($A735&gt;'1-Input'!$B$26,0,IF(AB734&lt;=0,0,MAX(0,(AB734-AC734)/AB734)))</f>
        <v>0.37281035762295206</v>
      </c>
      <c r="X735" s="18">
        <f>IF($A735&gt;'1-Input'!$B$26,0,(MAX(0,W726-IF($A735&gt;='1-Input'!$C$12,'1-Input'!$B$12,0))-MIN(MAX(AA734,0),MAX(0,W726-IF($A735&gt;='1-Input'!$C$12,'1-Input'!$B$12,0))))*(1/(1-'P-Parametri'!$B$6*W735))+MIN(MAX(0,AB734-(MAX(0,W726-IF($A735&gt;='1-Input'!$C$12,'1-Input'!$B$12,0))-MIN(MAX(AA734,0),MAX(0,W726-IF($A735&gt;='1-Input'!$C$12,'1-Input'!$B$12,0))))*(1/(1-'P-Parametri'!$B$6*W735))),MAX(0,1*W726-(AA734-MIN(MAX(AA734,0),MAX(0,W726-IF($A735&gt;='1-Input'!$C$12,'1-Input'!$B$12,0)))))*(1/(1-'P-Parametri'!$B$6*W735))))</f>
        <v>22247.476043321079</v>
      </c>
      <c r="Y735" s="18">
        <f>IF($A735&gt;'1-Input'!$B$26,AA734,(AA734-MAX(0,W726-IF($A735&gt;='1-Input'!$C$12,'1-Input'!$B$12,0))+X735*(1-'P-Parametri'!$B$6*W735))*(1+'1-Input'!$B$27))</f>
        <v>19946.876372417511</v>
      </c>
      <c r="Z735" s="18">
        <f>IF($A735&gt;'1-Input'!$B$26,AB734,(AB734-X735)*(1+$D$4))</f>
        <v>366998.93146849313</v>
      </c>
      <c r="AA735" s="18">
        <f>IF($A735&gt;'1-Input'!$B$26,Y735,Y735-'P-Parametri'!$B$8*(Z735+Y735)+MIN(MAX(Z735,0),'P-Parametri'!$B$8*(Z735+Y735)))</f>
        <v>19946.876372417511</v>
      </c>
      <c r="AB735" s="18">
        <f>IF($A735&gt;'1-Input'!$B$26,Z735,Z735-MIN(MAX(Z735,0),'P-Parametri'!$B$8*(Z735+Y735)))</f>
        <v>366225.03985281131</v>
      </c>
      <c r="AC735" s="18">
        <f>IF($A735&gt;'1-Input'!$B$26,AC734,AC734-X735*(1-W735))</f>
        <v>221324.93132738746</v>
      </c>
      <c r="AD735" s="11">
        <f>IF($A735&gt;'1-Input'!$B$26,0,IF(AI734&lt;=0,0,MAX(0,(AI734-AJ734)/AI734)))</f>
        <v>0.37281056413164249</v>
      </c>
      <c r="AE735" s="18">
        <f>IF($A735&gt;'1-Input'!$B$26,0,(MAX(0,AD726-IF($A735&gt;='1-Input'!$C$12,'1-Input'!$B$12,0))-MIN(MAX(AH734,0),MAX(0,AD726-IF($A735&gt;='1-Input'!$C$12,'1-Input'!$B$12,0))))*(1/(1-'P-Parametri'!$B$6*AD735))+MIN(MAX(0,AI734-(MAX(0,AD726-IF($A735&gt;='1-Input'!$C$12,'1-Input'!$B$12,0))-MIN(MAX(AH734,0),MAX(0,AD726-IF($A735&gt;='1-Input'!$C$12,'1-Input'!$B$12,0))))*(1/(1-'P-Parametri'!$B$6*AD735))),MAX(0,1*AD726-(AH734-MIN(MAX(AH734,0),MAX(0,AD726-IF($A735&gt;='1-Input'!$C$12,'1-Input'!$B$12,0)))))*(1/(1-'P-Parametri'!$B$6*AD735))))</f>
        <v>22238.030168694499</v>
      </c>
      <c r="AF735" s="18">
        <f>IF($A735&gt;'1-Input'!$B$26,AH734,(AH734-MAX(0,AD726-IF($A735&gt;='1-Input'!$C$12,'1-Input'!$B$12,0))+AE735*(1-'P-Parametri'!$B$6*AD735))*(1+'1-Input'!$B$27))</f>
        <v>19938.406105220587</v>
      </c>
      <c r="AG735" s="18">
        <f>IF($A735&gt;'1-Input'!$B$26,AI734,(AI734-AE735)*(1+$D$4))</f>
        <v>367085.45353394357</v>
      </c>
      <c r="AH735" s="18">
        <f>IF($A735&gt;'1-Input'!$B$26,AF735,AF735-'P-Parametri'!$B$8*(AG735+AF735)+MIN(MAX(AG735,0),'P-Parametri'!$B$8*(AG735+AF735)))</f>
        <v>19938.406105220587</v>
      </c>
      <c r="AI735" s="18">
        <f>IF($A735&gt;'1-Input'!$B$26,AG735,AG735-MIN(MAX(AG735,0),'P-Parametri'!$B$8*(AG735+AF735)))</f>
        <v>366311.40581466525</v>
      </c>
      <c r="AJ735" s="18">
        <f>IF($A735&gt;'1-Input'!$B$26,AJ734,AJ734-AE735*(1-AD735))</f>
        <v>221377.03703599446</v>
      </c>
      <c r="AK735" s="11">
        <f>IF($A735&gt;'1-Input'!$B$26,0,IF(AP734&lt;=0,0,MAX(0,(AP734-AQ734)/AP734)))</f>
        <v>0.37281056364037091</v>
      </c>
      <c r="AL735" s="18">
        <f>IF($A735&gt;'1-Input'!$B$26,0,(MAX(0,AK726-IF($A735&gt;='1-Input'!$C$12,'1-Input'!$B$12,0))-MIN(MAX(AO734,0),MAX(0,AK726-IF($A735&gt;='1-Input'!$C$12,'1-Input'!$B$12,0))))*(1/(1-'P-Parametri'!$B$6*AK735))+MIN(MAX(0,AP734-(MAX(0,AK726-IF($A735&gt;='1-Input'!$C$12,'1-Input'!$B$12,0))-MIN(MAX(AO734,0),MAX(0,AK726-IF($A735&gt;='1-Input'!$C$12,'1-Input'!$B$12,0))))*(1/(1-'P-Parametri'!$B$6*AK735))),MAX(0,1*AK726-(AO734-MIN(MAX(AO734,0),MAX(0,AK726-IF($A735&gt;='1-Input'!$C$12,'1-Input'!$B$12,0)))))*(1/(1-'P-Parametri'!$B$6*AK735))))</f>
        <v>22238.052642613875</v>
      </c>
      <c r="AM735" s="18">
        <f>IF($A735&gt;'1-Input'!$B$26,AO734,(AO734-MAX(0,AK726-IF($A735&gt;='1-Input'!$C$12,'1-Input'!$B$12,0))+AL735*(1-'P-Parametri'!$B$6*AK735))*(1+'1-Input'!$B$27))</f>
        <v>19938.426257942814</v>
      </c>
      <c r="AN735" s="18">
        <f>IF($A735&gt;'1-Input'!$B$26,AP734,(AP734-AL735)*(1+$D$4))</f>
        <v>367085.24767795787</v>
      </c>
      <c r="AO735" s="18">
        <f>IF($A735&gt;'1-Input'!$B$26,AM735,AM735-'P-Parametri'!$B$8*(AN735+AM735)+MIN(MAX(AN735,0),'P-Parametri'!$B$8*(AN735+AM735)))</f>
        <v>19938.426257942814</v>
      </c>
      <c r="AP735" s="18">
        <f>IF($A735&gt;'1-Input'!$B$26,AN735,AN735-MIN(MAX(AN735,0),'P-Parametri'!$B$8*(AN735+AM735)))</f>
        <v>366311.20033008605</v>
      </c>
      <c r="AQ735" s="18">
        <f>IF($A735&gt;'1-Input'!$B$26,AQ734,AQ734-AL735*(1-AK735))</f>
        <v>221376.91306449351</v>
      </c>
    </row>
    <row r="736" spans="1:43">
      <c r="A736" s="10">
        <f>8</f>
        <v>8</v>
      </c>
      <c r="B736" s="11">
        <f>IF($A736&gt;'1-Input'!$B$26,0,IF(G735&lt;=0,0,MAX(0,(G735-H735)/G735)))</f>
        <v>0.39574885264672405</v>
      </c>
      <c r="C736" s="18">
        <f>IF($A736&gt;'1-Input'!$B$26,0,(MAX(0,B726-IF($A736&gt;='1-Input'!$C$12,'1-Input'!$B$12,0))-MIN(MAX(F735,0),MAX(0,B726-IF($A736&gt;='1-Input'!$C$12,'1-Input'!$B$12,0))))*(1/(1-'P-Parametri'!$B$6*B736))+MIN(MAX(0,G735-(MAX(0,B726-IF($A736&gt;='1-Input'!$C$12,'1-Input'!$B$12,0))-MIN(MAX(F735,0),MAX(0,B726-IF($A736&gt;='1-Input'!$C$12,'1-Input'!$B$12,0))))*(1/(1-'P-Parametri'!$B$6*B736))),MAX(0,1*B726-(F735-MIN(MAX(F735,0),MAX(0,B726-IF($A736&gt;='1-Input'!$C$12,'1-Input'!$B$12,0)))))*(1/(1-'P-Parametri'!$B$6*B736))))</f>
        <v>18661.250964921746</v>
      </c>
      <c r="D736" s="18">
        <f>IF($A736&gt;'1-Input'!$B$26,F735,(F735-MAX(0,B726-IF($A736&gt;='1-Input'!$C$12,'1-Input'!$B$12,0))+C736*(1-'P-Parametri'!$B$6*B736))*(1+'1-Input'!$B$27))</f>
        <v>16621.00351549315</v>
      </c>
      <c r="E736" s="18">
        <f>IF($A736&gt;'1-Input'!$B$26,G735,(G735-C736)*(1+$D$4))</f>
        <v>396735.03434812982</v>
      </c>
      <c r="F736" s="18">
        <f>IF($A736&gt;'1-Input'!$B$26,D736,D736-'P-Parametri'!$B$8*(E736+D736)+MIN(MAX(E736,0),'P-Parametri'!$B$8*(E736+D736)))</f>
        <v>16621.00351549315</v>
      </c>
      <c r="G736" s="18">
        <f>IF($A736&gt;'1-Input'!$B$26,E736,E736-MIN(MAX(E736,0),'P-Parametri'!$B$8*(E736+D736)))</f>
        <v>395908.32227240258</v>
      </c>
      <c r="H736" s="18">
        <f>IF($A736&gt;'1-Input'!$B$26,H735,H735-C736*(1-B736))</f>
        <v>230507.30740394111</v>
      </c>
      <c r="I736" s="11">
        <f>IF($A736&gt;'1-Input'!$B$26,0,IF(N735&lt;=0,0,MAX(0,(N735-O735)/N735)))</f>
        <v>0.39560174890326655</v>
      </c>
      <c r="J736" s="18">
        <f>IF($A736&gt;'1-Input'!$B$26,0,(MAX(0,I726-IF($A736&gt;='1-Input'!$C$12,'1-Input'!$B$12,0))-MIN(MAX(M735,0),MAX(0,I726-IF($A736&gt;='1-Input'!$C$12,'1-Input'!$B$12,0))))*(1/(1-'P-Parametri'!$B$6*I736))+MIN(MAX(0,N735-(MAX(0,I726-IF($A736&gt;='1-Input'!$C$12,'1-Input'!$B$12,0))-MIN(MAX(M735,0),MAX(0,I726-IF($A736&gt;='1-Input'!$C$12,'1-Input'!$B$12,0))))*(1/(1-'P-Parametri'!$B$6*I736))),MAX(0,1*I726-(M735-MIN(MAX(M735,0),MAX(0,I726-IF($A736&gt;='1-Input'!$C$12,'1-Input'!$B$12,0)))))*(1/(1-'P-Parametri'!$B$6*I736))))</f>
        <v>24553.230788838664</v>
      </c>
      <c r="K736" s="18">
        <f>IF($A736&gt;'1-Input'!$B$26,M735,(M735-MAX(0,I726-IF($A736&gt;='1-Input'!$C$12,'1-Input'!$B$12,0))+J736*(1-'P-Parametri'!$B$6*I736))*(1+'1-Input'!$B$27))</f>
        <v>21869.741467754146</v>
      </c>
      <c r="L736" s="18">
        <f>IF($A736&gt;'1-Input'!$B$26,N735,(N735-J736)*(1+$D$4))</f>
        <v>334948.33352568728</v>
      </c>
      <c r="M736" s="18">
        <f>IF($A736&gt;'1-Input'!$B$26,K736,K736-'P-Parametri'!$B$8*(L736+K736)+MIN(MAX(L736,0),'P-Parametri'!$B$8*(L736+K736)))</f>
        <v>21869.741467754146</v>
      </c>
      <c r="N736" s="18">
        <f>IF($A736&gt;'1-Input'!$B$26,L736,L736-MIN(MAX(L736,0),'P-Parametri'!$B$8*(L736+K736)))</f>
        <v>334234.6973757004</v>
      </c>
      <c r="O736" s="18">
        <f>IF($A736&gt;'1-Input'!$B$26,O735,O735-J736*(1-I736))</f>
        <v>194655.94902951032</v>
      </c>
      <c r="P736" s="11">
        <f>IF($A736&gt;'1-Input'!$B$26,0,IF(U735&lt;=0,0,MAX(0,(U735-V735)/U735)))</f>
        <v>0.39564886333838128</v>
      </c>
      <c r="Q736" s="18">
        <f>IF($A736&gt;'1-Input'!$B$26,0,(MAX(0,P726-IF($A736&gt;='1-Input'!$C$12,'1-Input'!$B$12,0))-MIN(MAX(T735,0),MAX(0,P726-IF($A736&gt;='1-Input'!$C$12,'1-Input'!$B$12,0))))*(1/(1-'P-Parametri'!$B$6*P736))+MIN(MAX(0,U735-(MAX(0,P726-IF($A736&gt;='1-Input'!$C$12,'1-Input'!$B$12,0))-MIN(MAX(T735,0),MAX(0,P726-IF($A736&gt;='1-Input'!$C$12,'1-Input'!$B$12,0))))*(1/(1-'P-Parametri'!$B$6*P736))),MAX(0,1*P726-(T735-MIN(MAX(T735,0),MAX(0,P726-IF($A736&gt;='1-Input'!$C$12,'1-Input'!$B$12,0)))))*(1/(1-'P-Parametri'!$B$6*P736))))</f>
        <v>22776.718235581346</v>
      </c>
      <c r="R736" s="18">
        <f>IF($A736&gt;'1-Input'!$B$26,T735,(T735-MAX(0,P726-IF($A736&gt;='1-Input'!$C$12,'1-Input'!$B$12,0))+Q736*(1-'P-Parametri'!$B$6*P736))*(1+'1-Input'!$B$27))</f>
        <v>20287.111791944739</v>
      </c>
      <c r="S736" s="18">
        <f>IF($A736&gt;'1-Input'!$B$26,U735,(U735-Q736)*(1+$D$4))</f>
        <v>353578.32674798864</v>
      </c>
      <c r="T736" s="18">
        <f>IF($A736&gt;'1-Input'!$B$26,R736,R736-'P-Parametri'!$B$8*(S736+R736)+MIN(MAX(S736,0),'P-Parametri'!$B$8*(S736+R736)))</f>
        <v>20287.111791944739</v>
      </c>
      <c r="U736" s="18">
        <f>IF($A736&gt;'1-Input'!$B$26,S736,S736-MIN(MAX(S736,0),'P-Parametri'!$B$8*(S736+R736)))</f>
        <v>352830.59587090876</v>
      </c>
      <c r="V736" s="18">
        <f>IF($A736&gt;'1-Input'!$B$26,V735,V735-Q736*(1-P736))</f>
        <v>205466.7919894809</v>
      </c>
      <c r="W736" s="11">
        <f>IF($A736&gt;'1-Input'!$B$26,0,IF(AB735&lt;=0,0,MAX(0,(AB735-AC735)/AB735)))</f>
        <v>0.39565865999676136</v>
      </c>
      <c r="X736" s="18">
        <f>IF($A736&gt;'1-Input'!$B$26,0,(MAX(0,W726-IF($A736&gt;='1-Input'!$C$12,'1-Input'!$B$12,0))-MIN(MAX(AA735,0),MAX(0,W726-IF($A736&gt;='1-Input'!$C$12,'1-Input'!$B$12,0))))*(1/(1-'P-Parametri'!$B$6*W736))+MIN(MAX(0,AB735-(MAX(0,W726-IF($A736&gt;='1-Input'!$C$12,'1-Input'!$B$12,0))-MIN(MAX(AA735,0),MAX(0,W726-IF($A736&gt;='1-Input'!$C$12,'1-Input'!$B$12,0))))*(1/(1-'P-Parametri'!$B$6*W736))),MAX(0,1*W726-(AA735-MIN(MAX(AA735,0),MAX(0,W726-IF($A736&gt;='1-Input'!$C$12,'1-Input'!$B$12,0)))))*(1/(1-'P-Parametri'!$B$6*W736))))</f>
        <v>22394.793176737516</v>
      </c>
      <c r="Y736" s="18">
        <f>IF($A736&gt;'1-Input'!$B$26,AA735,(AA735-MAX(0,W726-IF($A736&gt;='1-Input'!$C$12,'1-Input'!$B$12,0))+X736*(1-'P-Parametri'!$B$6*W736))*(1+'1-Input'!$B$27))</f>
        <v>19946.876372417511</v>
      </c>
      <c r="Z736" s="18">
        <f>IF($A736&gt;'1-Input'!$B$26,AB735,(AB735-X736)*(1+$D$4))</f>
        <v>357583.45654311677</v>
      </c>
      <c r="AA736" s="18">
        <f>IF($A736&gt;'1-Input'!$B$26,Y736,Y736-'P-Parametri'!$B$8*(Z736+Y736)+MIN(MAX(Z736,0),'P-Parametri'!$B$8*(Z736+Y736)))</f>
        <v>19946.876372417511</v>
      </c>
      <c r="AB736" s="18">
        <f>IF($A736&gt;'1-Input'!$B$26,Z736,Z736-MIN(MAX(Z736,0),'P-Parametri'!$B$8*(Z736+Y736)))</f>
        <v>356828.39587728569</v>
      </c>
      <c r="AC736" s="18">
        <f>IF($A736&gt;'1-Input'!$B$26,AC735,AC735-X736*(1-W736))</f>
        <v>207790.83200986253</v>
      </c>
      <c r="AD736" s="11">
        <f>IF($A736&gt;'1-Input'!$B$26,0,IF(AI735&lt;=0,0,MAX(0,(AI735-AJ735)/AI735)))</f>
        <v>0.39565890244760799</v>
      </c>
      <c r="AE736" s="18">
        <f>IF($A736&gt;'1-Input'!$B$26,0,(MAX(0,AD726-IF($A736&gt;='1-Input'!$C$12,'1-Input'!$B$12,0))-MIN(MAX(AH735,0),MAX(0,AD726-IF($A736&gt;='1-Input'!$C$12,'1-Input'!$B$12,0))))*(1/(1-'P-Parametri'!$B$6*AD736))+MIN(MAX(0,AI735-(MAX(0,AD726-IF($A736&gt;='1-Input'!$C$12,'1-Input'!$B$12,0))-MIN(MAX(AH735,0),MAX(0,AD726-IF($A736&gt;='1-Input'!$C$12,'1-Input'!$B$12,0))))*(1/(1-'P-Parametri'!$B$6*AD736))),MAX(0,1*AD726-(AH735-MIN(MAX(AH735,0),MAX(0,AD726-IF($A736&gt;='1-Input'!$C$12,'1-Input'!$B$12,0)))))*(1/(1-'P-Parametri'!$B$6*AD736))))</f>
        <v>22385.284995919134</v>
      </c>
      <c r="AF736" s="18">
        <f>IF($A736&gt;'1-Input'!$B$26,AH735,(AH735-MAX(0,AD726-IF($A736&gt;='1-Input'!$C$12,'1-Input'!$B$12,0))+AE736*(1-'P-Parametri'!$B$6*AD736))*(1+'1-Input'!$B$27))</f>
        <v>19938.406105220583</v>
      </c>
      <c r="AG736" s="18">
        <f>IF($A736&gt;'1-Input'!$B$26,AI735,(AI735-AE736)*(1+$D$4))</f>
        <v>357683.16565149598</v>
      </c>
      <c r="AH736" s="18">
        <f>IF($A736&gt;'1-Input'!$B$26,AF736,AF736-'P-Parametri'!$B$8*(AG736+AF736)+MIN(MAX(AG736,0),'P-Parametri'!$B$8*(AG736+AF736)))</f>
        <v>19938.406105220583</v>
      </c>
      <c r="AI736" s="18">
        <f>IF($A736&gt;'1-Input'!$B$26,AG736,AG736-MIN(MAX(AG736,0),'P-Parametri'!$B$8*(AG736+AF736)))</f>
        <v>356927.92250798253</v>
      </c>
      <c r="AJ736" s="18">
        <f>IF($A736&gt;'1-Input'!$B$26,AJ735,AJ735-AE736*(1-AD736))</f>
        <v>207848.68933253761</v>
      </c>
      <c r="AK736" s="11">
        <f>IF($A736&gt;'1-Input'!$B$26,0,IF(AP735&lt;=0,0,MAX(0,(AP735-AQ735)/AP735)))</f>
        <v>0.39565890187084385</v>
      </c>
      <c r="AL736" s="18">
        <f>IF($A736&gt;'1-Input'!$B$26,0,(MAX(0,AK726-IF($A736&gt;='1-Input'!$C$12,'1-Input'!$B$12,0))-MIN(MAX(AO735,0),MAX(0,AK726-IF($A736&gt;='1-Input'!$C$12,'1-Input'!$B$12,0))))*(1/(1-'P-Parametri'!$B$6*AK736))+MIN(MAX(0,AP735-(MAX(0,AK726-IF($A736&gt;='1-Input'!$C$12,'1-Input'!$B$12,0))-MIN(MAX(AO735,0),MAX(0,AK726-IF($A736&gt;='1-Input'!$C$12,'1-Input'!$B$12,0))))*(1/(1-'P-Parametri'!$B$6*AK736))),MAX(0,1*AK726-(AO735-MIN(MAX(AO735,0),MAX(0,AK726-IF($A736&gt;='1-Input'!$C$12,'1-Input'!$B$12,0)))))*(1/(1-'P-Parametri'!$B$6*AK736))))</f>
        <v>22385.307618079743</v>
      </c>
      <c r="AM736" s="18">
        <f>IF($A736&gt;'1-Input'!$B$26,AO735,(AO735-MAX(0,AK726-IF($A736&gt;='1-Input'!$C$12,'1-Input'!$B$12,0))+AL736*(1-'P-Parametri'!$B$6*AK736))*(1+'1-Input'!$B$27))</f>
        <v>19938.426257942814</v>
      </c>
      <c r="AN736" s="18">
        <f>IF($A736&gt;'1-Input'!$B$26,AP735,(AP735-AL736)*(1+$D$4))</f>
        <v>357682.92842048657</v>
      </c>
      <c r="AO736" s="18">
        <f>IF($A736&gt;'1-Input'!$B$26,AM736,AM736-'P-Parametri'!$B$8*(AN736+AM736)+MIN(MAX(AN736,0),'P-Parametri'!$B$8*(AN736+AM736)))</f>
        <v>19938.426257942814</v>
      </c>
      <c r="AP736" s="18">
        <f>IF($A736&gt;'1-Input'!$B$26,AN736,AN736-MIN(MAX(AN736,0),'P-Parametri'!$B$8*(AN736+AM736)))</f>
        <v>356927.68571112968</v>
      </c>
      <c r="AQ736" s="18">
        <f>IF($A736&gt;'1-Input'!$B$26,AQ735,AQ735-AL736*(1-AK736))</f>
        <v>207848.55167662422</v>
      </c>
    </row>
    <row r="737" spans="1:43">
      <c r="A737" s="10">
        <f>9</f>
        <v>9</v>
      </c>
      <c r="B737" s="11">
        <f>IF($A737&gt;'1-Input'!$B$26,0,IF(G736&lt;=0,0,MAX(0,(G736-H736)/G736)))</f>
        <v>0.41777604956396497</v>
      </c>
      <c r="C737" s="18">
        <f>IF($A737&gt;'1-Input'!$B$26,0,(MAX(0,B726-IF($A737&gt;='1-Input'!$C$12,'1-Input'!$B$12,0))-MIN(MAX(F736,0),MAX(0,B726-IF($A737&gt;='1-Input'!$C$12,'1-Input'!$B$12,0))))*(1/(1-'P-Parametri'!$B$6*B737))+MIN(MAX(0,G736-(MAX(0,B726-IF($A737&gt;='1-Input'!$C$12,'1-Input'!$B$12,0))-MIN(MAX(F736,0),MAX(0,B726-IF($A737&gt;='1-Input'!$C$12,'1-Input'!$B$12,0))))*(1/(1-'P-Parametri'!$B$6*B737))),MAX(0,1*B726-(F736-MIN(MAX(F736,0),MAX(0,B726-IF($A737&gt;='1-Input'!$C$12,'1-Input'!$B$12,0)))))*(1/(1-'P-Parametri'!$B$6*B737))))</f>
        <v>18781.148792441007</v>
      </c>
      <c r="D737" s="18">
        <f>IF($A737&gt;'1-Input'!$B$26,F736,(F736-MAX(0,B726-IF($A737&gt;='1-Input'!$C$12,'1-Input'!$B$12,0))+C737*(1-'P-Parametri'!$B$6*B737))*(1+'1-Input'!$B$27))</f>
        <v>16621.003515493154</v>
      </c>
      <c r="E737" s="18">
        <f>IF($A737&gt;'1-Input'!$B$26,G736,(G736-C737)*(1+$D$4))</f>
        <v>392212.26041916007</v>
      </c>
      <c r="F737" s="18">
        <f>IF($A737&gt;'1-Input'!$B$26,D737,D737-'P-Parametri'!$B$8*(E737+D737)+MIN(MAX(E737,0),'P-Parametri'!$B$8*(E737+D737)))</f>
        <v>16621.003515493154</v>
      </c>
      <c r="G737" s="18">
        <f>IF($A737&gt;'1-Input'!$B$26,E737,E737-MIN(MAX(E737,0),'P-Parametri'!$B$8*(E737+D737)))</f>
        <v>391394.59389129077</v>
      </c>
      <c r="H737" s="18">
        <f>IF($A737&gt;'1-Input'!$B$26,H736,H736-C737*(1-B737))</f>
        <v>219572.47276027914</v>
      </c>
      <c r="I737" s="11">
        <f>IF($A737&gt;'1-Input'!$B$26,0,IF(N736&lt;=0,0,MAX(0,(N736-O736)/N736)))</f>
        <v>0.41760699724509742</v>
      </c>
      <c r="J737" s="18">
        <f>IF($A737&gt;'1-Input'!$B$26,0,(MAX(0,I726-IF($A737&gt;='1-Input'!$C$12,'1-Input'!$B$12,0))-MIN(MAX(M736,0),MAX(0,I726-IF($A737&gt;='1-Input'!$C$12,'1-Input'!$B$12,0))))*(1/(1-'P-Parametri'!$B$6*I737))+MIN(MAX(0,N736-(MAX(0,I726-IF($A737&gt;='1-Input'!$C$12,'1-Input'!$B$12,0))-MIN(MAX(M736,0),MAX(0,I726-IF($A737&gt;='1-Input'!$C$12,'1-Input'!$B$12,0))))*(1/(1-'P-Parametri'!$B$6*I737))),MAX(0,1*I726-(M736-MIN(MAX(M736,0),MAX(0,I726-IF($A737&gt;='1-Input'!$C$12,'1-Input'!$B$12,0)))))*(1/(1-'P-Parametri'!$B$6*I737))))</f>
        <v>24710.819401423803</v>
      </c>
      <c r="K737" s="18">
        <f>IF($A737&gt;'1-Input'!$B$26,M736,(M736-MAX(0,I726-IF($A737&gt;='1-Input'!$C$12,'1-Input'!$B$12,0))+J737*(1-'P-Parametri'!$B$6*I737))*(1+'1-Input'!$B$27))</f>
        <v>21869.741467754146</v>
      </c>
      <c r="L737" s="18">
        <f>IF($A737&gt;'1-Input'!$B$26,N736,(N736-J737)*(1+$D$4))</f>
        <v>321904.83309324767</v>
      </c>
      <c r="M737" s="18">
        <f>IF($A737&gt;'1-Input'!$B$26,K737,K737-'P-Parametri'!$B$8*(L737+K737)+MIN(MAX(L737,0),'P-Parametri'!$B$8*(L737+K737)))</f>
        <v>21869.741467754146</v>
      </c>
      <c r="N737" s="18">
        <f>IF($A737&gt;'1-Input'!$B$26,L737,L737-MIN(MAX(L737,0),'P-Parametri'!$B$8*(L737+K737)))</f>
        <v>321217.28394412564</v>
      </c>
      <c r="O737" s="18">
        <f>IF($A737&gt;'1-Input'!$B$26,O736,O736-J737*(1-I737))</f>
        <v>180264.540717781</v>
      </c>
      <c r="P737" s="11">
        <f>IF($A737&gt;'1-Input'!$B$26,0,IF(U736&lt;=0,0,MAX(0,(U736-V736)/U736)))</f>
        <v>0.41766163594084771</v>
      </c>
      <c r="Q737" s="18">
        <f>IF($A737&gt;'1-Input'!$B$26,0,(MAX(0,P726-IF($A737&gt;='1-Input'!$C$12,'1-Input'!$B$12,0))-MIN(MAX(T736,0),MAX(0,P726-IF($A737&gt;='1-Input'!$C$12,'1-Input'!$B$12,0))))*(1/(1-'P-Parametri'!$B$6*P737))+MIN(MAX(0,U736-(MAX(0,P726-IF($A737&gt;='1-Input'!$C$12,'1-Input'!$B$12,0))-MIN(MAX(T736,0),MAX(0,P726-IF($A737&gt;='1-Input'!$C$12,'1-Input'!$B$12,0))))*(1/(1-'P-Parametri'!$B$6*P737))),MAX(0,1*P726-(T736-MIN(MAX(T736,0),MAX(0,P726-IF($A737&gt;='1-Input'!$C$12,'1-Input'!$B$12,0)))))*(1/(1-'P-Parametri'!$B$6*P737))))</f>
        <v>22922.957074233731</v>
      </c>
      <c r="R737" s="18">
        <f>IF($A737&gt;'1-Input'!$B$26,T736,(T736-MAX(0,P726-IF($A737&gt;='1-Input'!$C$12,'1-Input'!$B$12,0))+Q737*(1-'P-Parametri'!$B$6*P737))*(1+'1-Input'!$B$27))</f>
        <v>20287.111791944735</v>
      </c>
      <c r="S737" s="18">
        <f>IF($A737&gt;'1-Input'!$B$26,U736,(U736-Q737)*(1+$D$4))</f>
        <v>343103.94434854202</v>
      </c>
      <c r="T737" s="18">
        <f>IF($A737&gt;'1-Input'!$B$26,R737,R737-'P-Parametri'!$B$8*(S737+R737)+MIN(MAX(S737,0),'P-Parametri'!$B$8*(S737+R737)))</f>
        <v>20287.111791944735</v>
      </c>
      <c r="U737" s="18">
        <f>IF($A737&gt;'1-Input'!$B$26,S737,S737-MIN(MAX(S737,0),'P-Parametri'!$B$8*(S737+R737)))</f>
        <v>342377.16223626107</v>
      </c>
      <c r="V737" s="18">
        <f>IF($A737&gt;'1-Input'!$B$26,V736,V736-Q737*(1-P737))</f>
        <v>192117.87466747346</v>
      </c>
      <c r="W737" s="11">
        <f>IF($A737&gt;'1-Input'!$B$26,0,IF(AB736&lt;=0,0,MAX(0,(AB736-AC736)/AB736)))</f>
        <v>0.41767293631720276</v>
      </c>
      <c r="X737" s="18">
        <f>IF($A737&gt;'1-Input'!$B$26,0,(MAX(0,W726-IF($A737&gt;='1-Input'!$C$12,'1-Input'!$B$12,0))-MIN(MAX(AA736,0),MAX(0,W726-IF($A737&gt;='1-Input'!$C$12,'1-Input'!$B$12,0))))*(1/(1-'P-Parametri'!$B$6*W737))+MIN(MAX(0,AB736-(MAX(0,W726-IF($A737&gt;='1-Input'!$C$12,'1-Input'!$B$12,0))-MIN(MAX(AA736,0),MAX(0,W726-IF($A737&gt;='1-Input'!$C$12,'1-Input'!$B$12,0))))*(1/(1-'P-Parametri'!$B$6*W737))),MAX(0,1*W726-(AA736-MIN(MAX(AA736,0),MAX(0,W726-IF($A737&gt;='1-Input'!$C$12,'1-Input'!$B$12,0)))))*(1/(1-'P-Parametri'!$B$6*W737))))</f>
        <v>22538.590146327566</v>
      </c>
      <c r="Y737" s="18">
        <f>IF($A737&gt;'1-Input'!$B$26,AA736,(AA736-MAX(0,W726-IF($A737&gt;='1-Input'!$C$12,'1-Input'!$B$12,0))+X737*(1-'P-Parametri'!$B$6*W737))*(1+'1-Input'!$B$27))</f>
        <v>19946.876372417515</v>
      </c>
      <c r="Z737" s="18">
        <f>IF($A737&gt;'1-Input'!$B$26,AB736,(AB736-X737)*(1+$D$4))</f>
        <v>347661.39796019648</v>
      </c>
      <c r="AA737" s="18">
        <f>IF($A737&gt;'1-Input'!$B$26,Y737,Y737-'P-Parametri'!$B$8*(Z737+Y737)+MIN(MAX(Z737,0),'P-Parametri'!$B$8*(Z737+Y737)))</f>
        <v>19946.876372417515</v>
      </c>
      <c r="AB737" s="18">
        <f>IF($A737&gt;'1-Input'!$B$26,Z737,Z737-MIN(MAX(Z737,0),'P-Parametri'!$B$8*(Z737+Y737)))</f>
        <v>346926.18141153123</v>
      </c>
      <c r="AC737" s="18">
        <f>IF($A737&gt;'1-Input'!$B$26,AC736,AC736-X737*(1-W737))</f>
        <v>194666.00099040158</v>
      </c>
      <c r="AD737" s="11">
        <f>IF($A737&gt;'1-Input'!$B$26,0,IF(AI736&lt;=0,0,MAX(0,(AI736-AJ736)/AI736)))</f>
        <v>0.41767321572357741</v>
      </c>
      <c r="AE737" s="18">
        <f>IF($A737&gt;'1-Input'!$B$26,0,(MAX(0,AD726-IF($A737&gt;='1-Input'!$C$12,'1-Input'!$B$12,0))-MIN(MAX(AH736,0),MAX(0,AD726-IF($A737&gt;='1-Input'!$C$12,'1-Input'!$B$12,0))))*(1/(1-'P-Parametri'!$B$6*AD737))+MIN(MAX(0,AI736-(MAX(0,AD726-IF($A737&gt;='1-Input'!$C$12,'1-Input'!$B$12,0))-MIN(MAX(AH736,0),MAX(0,AD726-IF($A737&gt;='1-Input'!$C$12,'1-Input'!$B$12,0))))*(1/(1-'P-Parametri'!$B$6*AD737))),MAX(0,1*AD726-(AH736-MIN(MAX(AH736,0),MAX(0,AD726-IF($A737&gt;='1-Input'!$C$12,'1-Input'!$B$12,0)))))*(1/(1-'P-Parametri'!$B$6*AD737))))</f>
        <v>22529.021166483468</v>
      </c>
      <c r="AF737" s="18">
        <f>IF($A737&gt;'1-Input'!$B$26,AH736,(AH736-MAX(0,AD726-IF($A737&gt;='1-Input'!$C$12,'1-Input'!$B$12,0))+AE737*(1-'P-Parametri'!$B$6*AD737))*(1+'1-Input'!$B$27))</f>
        <v>19938.406105220587</v>
      </c>
      <c r="AG737" s="18">
        <f>IF($A737&gt;'1-Input'!$B$26,AI736,(AI736-AE737)*(1+$D$4))</f>
        <v>347774.85739515902</v>
      </c>
      <c r="AH737" s="18">
        <f>IF($A737&gt;'1-Input'!$B$26,AF737,AF737-'P-Parametri'!$B$8*(AG737+AF737)+MIN(MAX(AG737,0),'P-Parametri'!$B$8*(AG737+AF737)))</f>
        <v>19938.406105220587</v>
      </c>
      <c r="AI737" s="18">
        <f>IF($A737&gt;'1-Input'!$B$26,AG737,AG737-MIN(MAX(AG737,0),'P-Parametri'!$B$8*(AG737+AF737)))</f>
        <v>347039.43086815829</v>
      </c>
      <c r="AJ737" s="18">
        <f>IF($A737&gt;'1-Input'!$B$26,AJ736,AJ736-AE737*(1-AD737))</f>
        <v>194729.43688376385</v>
      </c>
      <c r="AK737" s="11">
        <f>IF($A737&gt;'1-Input'!$B$26,0,IF(AP736&lt;=0,0,MAX(0,(AP736-AQ736)/AP736)))</f>
        <v>0.41767321505891492</v>
      </c>
      <c r="AL737" s="18">
        <f>IF($A737&gt;'1-Input'!$B$26,0,(MAX(0,AK726-IF($A737&gt;='1-Input'!$C$12,'1-Input'!$B$12,0))-MIN(MAX(AO736,0),MAX(0,AK726-IF($A737&gt;='1-Input'!$C$12,'1-Input'!$B$12,0))))*(1/(1-'P-Parametri'!$B$6*AK737))+MIN(MAX(0,AP736-(MAX(0,AK726-IF($A737&gt;='1-Input'!$C$12,'1-Input'!$B$12,0))-MIN(MAX(AO736,0),MAX(0,AK726-IF($A737&gt;='1-Input'!$C$12,'1-Input'!$B$12,0))))*(1/(1-'P-Parametri'!$B$6*AK737))),MAX(0,1*AK726-(AO736-MIN(MAX(AO736,0),MAX(0,AK726-IF($A737&gt;='1-Input'!$C$12,'1-Input'!$B$12,0)))))*(1/(1-'P-Parametri'!$B$6*AK737))))</f>
        <v>22529.04393329945</v>
      </c>
      <c r="AM737" s="18">
        <f>IF($A737&gt;'1-Input'!$B$26,AO736,(AO736-MAX(0,AK726-IF($A737&gt;='1-Input'!$C$12,'1-Input'!$B$12,0))+AL737*(1-'P-Parametri'!$B$6*AK737))*(1+'1-Input'!$B$27))</f>
        <v>19938.426257942814</v>
      </c>
      <c r="AN737" s="18">
        <f>IF($A737&gt;'1-Input'!$B$26,AP736,(AP736-AL737)*(1+$D$4))</f>
        <v>347774.58744894346</v>
      </c>
      <c r="AO737" s="18">
        <f>IF($A737&gt;'1-Input'!$B$26,AM737,AM737-'P-Parametri'!$B$8*(AN737+AM737)+MIN(MAX(AN737,0),'P-Parametri'!$B$8*(AN737+AM737)))</f>
        <v>19938.426257942814</v>
      </c>
      <c r="AP737" s="18">
        <f>IF($A737&gt;'1-Input'!$B$26,AN737,AN737-MIN(MAX(AN737,0),'P-Parametri'!$B$8*(AN737+AM737)))</f>
        <v>347039.16142152972</v>
      </c>
      <c r="AQ737" s="18">
        <f>IF($A737&gt;'1-Input'!$B$26,AQ736,AQ736-AL737*(1-AK737))</f>
        <v>194729.28595514951</v>
      </c>
    </row>
    <row r="738" spans="1:43">
      <c r="A738" s="10">
        <f>10</f>
        <v>10</v>
      </c>
      <c r="B738" s="11">
        <f>IF($A738&gt;'1-Input'!$B$26,0,IF(G737&lt;=0,0,MAX(0,(G737-H737)/G737)))</f>
        <v>0.43899973022809546</v>
      </c>
      <c r="C738" s="18">
        <f>IF($A738&gt;'1-Input'!$B$26,0,(MAX(0,B726-IF($A738&gt;='1-Input'!$C$12,'1-Input'!$B$12,0))-MIN(MAX(F737,0),MAX(0,B726-IF($A738&gt;='1-Input'!$C$12,'1-Input'!$B$12,0))))*(1/(1-'P-Parametri'!$B$6*B738))+MIN(MAX(0,G737-(MAX(0,B726-IF($A738&gt;='1-Input'!$C$12,'1-Input'!$B$12,0))-MIN(MAX(F737,0),MAX(0,B726-IF($A738&gt;='1-Input'!$C$12,'1-Input'!$B$12,0))))*(1/(1-'P-Parametri'!$B$6*B738))),MAX(0,1*B726-(F737-MIN(MAX(F737,0),MAX(0,B726-IF($A738&gt;='1-Input'!$C$12,'1-Input'!$B$12,0)))))*(1/(1-'P-Parametri'!$B$6*B738))))</f>
        <v>18898.139421838459</v>
      </c>
      <c r="D738" s="18">
        <f>IF($A738&gt;'1-Input'!$B$26,F737,(F737-MAX(0,B726-IF($A738&gt;='1-Input'!$C$12,'1-Input'!$B$12,0))+C738*(1-'P-Parametri'!$B$6*B738))*(1+'1-Input'!$B$27))</f>
        <v>16621.003515493154</v>
      </c>
      <c r="E738" s="18">
        <f>IF($A738&gt;'1-Input'!$B$26,G737,(G737-C738)*(1+$D$4))</f>
        <v>387396.31264823041</v>
      </c>
      <c r="F738" s="18">
        <f>IF($A738&gt;'1-Input'!$B$26,D738,D738-'P-Parametri'!$B$8*(E738+D738)+MIN(MAX(E738,0),'P-Parametri'!$B$8*(E738+D738)))</f>
        <v>16621.003515493154</v>
      </c>
      <c r="G738" s="18">
        <f>IF($A738&gt;'1-Input'!$B$26,E738,E738-MIN(MAX(E738,0),'P-Parametri'!$B$8*(E738+D738)))</f>
        <v>386588.27801590296</v>
      </c>
      <c r="H738" s="18">
        <f>IF($A738&gt;'1-Input'!$B$26,H737,H737-C738*(1-B738))</f>
        <v>208970.61144644069</v>
      </c>
      <c r="I738" s="11">
        <f>IF($A738&gt;'1-Input'!$B$26,0,IF(N737&lt;=0,0,MAX(0,(N737-O737)/N737)))</f>
        <v>0.43880809119493946</v>
      </c>
      <c r="J738" s="18">
        <f>IF($A738&gt;'1-Input'!$B$26,0,(MAX(0,I726-IF($A738&gt;='1-Input'!$C$12,'1-Input'!$B$12,0))-MIN(MAX(M737,0),MAX(0,I726-IF($A738&gt;='1-Input'!$C$12,'1-Input'!$B$12,0))))*(1/(1-'P-Parametri'!$B$6*I738))+MIN(MAX(0,N737-(MAX(0,I726-IF($A738&gt;='1-Input'!$C$12,'1-Input'!$B$12,0))-MIN(MAX(M737,0),MAX(0,I726-IF($A738&gt;='1-Input'!$C$12,'1-Input'!$B$12,0))))*(1/(1-'P-Parametri'!$B$6*I738))),MAX(0,1*I726-(M737-MIN(MAX(M737,0),MAX(0,I726-IF($A738&gt;='1-Input'!$C$12,'1-Input'!$B$12,0)))))*(1/(1-'P-Parametri'!$B$6*I738))))</f>
        <v>24864.574388849054</v>
      </c>
      <c r="K738" s="18">
        <f>IF($A738&gt;'1-Input'!$B$26,M737,(M737-MAX(0,I726-IF($A738&gt;='1-Input'!$C$12,'1-Input'!$B$12,0))+J738*(1-'P-Parametri'!$B$6*I738))*(1+'1-Input'!$B$27))</f>
        <v>21869.741467754149</v>
      </c>
      <c r="L738" s="18">
        <f>IF($A738&gt;'1-Input'!$B$26,N737,(N737-J738)*(1+$D$4))</f>
        <v>308206.81793748762</v>
      </c>
      <c r="M738" s="18">
        <f>IF($A738&gt;'1-Input'!$B$26,K738,K738-'P-Parametri'!$B$8*(L738+K738)+MIN(MAX(L738,0),'P-Parametri'!$B$8*(L738+K738)))</f>
        <v>21869.741467754149</v>
      </c>
      <c r="N738" s="18">
        <f>IF($A738&gt;'1-Input'!$B$26,L738,L738-MIN(MAX(L738,0),'P-Parametri'!$B$8*(L738+K738)))</f>
        <v>307546.66481867712</v>
      </c>
      <c r="O738" s="18">
        <f>IF($A738&gt;'1-Input'!$B$26,O737,O737-J738*(1-I738))</f>
        <v>166310.74275487737</v>
      </c>
      <c r="P738" s="11">
        <f>IF($A738&gt;'1-Input'!$B$26,0,IF(U737&lt;=0,0,MAX(0,(U737-V737)/U737)))</f>
        <v>0.43887064951224625</v>
      </c>
      <c r="Q738" s="18">
        <f>IF($A738&gt;'1-Input'!$B$26,0,(MAX(0,P726-IF($A738&gt;='1-Input'!$C$12,'1-Input'!$B$12,0))-MIN(MAX(T737,0),MAX(0,P726-IF($A738&gt;='1-Input'!$C$12,'1-Input'!$B$12,0))))*(1/(1-'P-Parametri'!$B$6*P738))+MIN(MAX(0,U737-(MAX(0,P726-IF($A738&gt;='1-Input'!$C$12,'1-Input'!$B$12,0))-MIN(MAX(T737,0),MAX(0,P726-IF($A738&gt;='1-Input'!$C$12,'1-Input'!$B$12,0))))*(1/(1-'P-Parametri'!$B$6*P738))),MAX(0,1*P726-(T737-MIN(MAX(T737,0),MAX(0,P726-IF($A738&gt;='1-Input'!$C$12,'1-Input'!$B$12,0)))))*(1/(1-'P-Parametri'!$B$6*P738))))</f>
        <v>23065.643572427725</v>
      </c>
      <c r="R738" s="18">
        <f>IF($A738&gt;'1-Input'!$B$26,T737,(T737-MAX(0,P726-IF($A738&gt;='1-Input'!$C$12,'1-Input'!$B$12,0))+Q738*(1-'P-Parametri'!$B$6*P738))*(1+'1-Input'!$B$27))</f>
        <v>20287.111791944739</v>
      </c>
      <c r="S738" s="18">
        <f>IF($A738&gt;'1-Input'!$B$26,U737,(U737-Q738)*(1+$D$4))</f>
        <v>332083.97941038664</v>
      </c>
      <c r="T738" s="18">
        <f>IF($A738&gt;'1-Input'!$B$26,R738,R738-'P-Parametri'!$B$8*(S738+R738)+MIN(MAX(S738,0),'P-Parametri'!$B$8*(S738+R738)))</f>
        <v>20287.111791944739</v>
      </c>
      <c r="U738" s="18">
        <f>IF($A738&gt;'1-Input'!$B$26,S738,S738-MIN(MAX(S738,0),'P-Parametri'!$B$8*(S738+R738)))</f>
        <v>331379.23722798197</v>
      </c>
      <c r="V738" s="18">
        <f>IF($A738&gt;'1-Input'!$B$26,V737,V737-Q738*(1-P738))</f>
        <v>179175.06507109507</v>
      </c>
      <c r="W738" s="11">
        <f>IF($A738&gt;'1-Input'!$B$26,0,IF(AB737&lt;=0,0,MAX(0,(AB737-AC737)/AB737)))</f>
        <v>0.43888351061206127</v>
      </c>
      <c r="X738" s="18">
        <f>IF($A738&gt;'1-Input'!$B$26,0,(MAX(0,W726-IF($A738&gt;='1-Input'!$C$12,'1-Input'!$B$12,0))-MIN(MAX(AA737,0),MAX(0,W726-IF($A738&gt;='1-Input'!$C$12,'1-Input'!$B$12,0))))*(1/(1-'P-Parametri'!$B$6*W738))+MIN(MAX(0,AB737-(MAX(0,W726-IF($A738&gt;='1-Input'!$C$12,'1-Input'!$B$12,0))-MIN(MAX(AA737,0),MAX(0,W726-IF($A738&gt;='1-Input'!$C$12,'1-Input'!$B$12,0))))*(1/(1-'P-Parametri'!$B$6*W738))),MAX(0,1*W726-(AA737-MIN(MAX(AA737,0),MAX(0,W726-IF($A738&gt;='1-Input'!$C$12,'1-Input'!$B$12,0)))))*(1/(1-'P-Parametri'!$B$6*W738))))</f>
        <v>22678.894963298895</v>
      </c>
      <c r="Y738" s="18">
        <f>IF($A738&gt;'1-Input'!$B$26,AA737,(AA737-MAX(0,W726-IF($A738&gt;='1-Input'!$C$12,'1-Input'!$B$12,0))+X738*(1-'P-Parametri'!$B$6*W738))*(1+'1-Input'!$B$27))</f>
        <v>19946.876372417511</v>
      </c>
      <c r="Z738" s="18">
        <f>IF($A738&gt;'1-Input'!$B$26,AB737,(AB737-X738)*(1+$D$4))</f>
        <v>337217.1779061617</v>
      </c>
      <c r="AA738" s="18">
        <f>IF($A738&gt;'1-Input'!$B$26,Y738,Y738-'P-Parametri'!$B$8*(Z738+Y738)+MIN(MAX(Z738,0),'P-Parametri'!$B$8*(Z738+Y738)))</f>
        <v>19946.876372417511</v>
      </c>
      <c r="AB738" s="18">
        <f>IF($A738&gt;'1-Input'!$B$26,Z738,Z738-MIN(MAX(Z738,0),'P-Parametri'!$B$8*(Z738+Y738)))</f>
        <v>336502.84979760455</v>
      </c>
      <c r="AC738" s="18">
        <f>IF($A738&gt;'1-Input'!$B$26,AC737,AC737-X738*(1-W738))</f>
        <v>181940.49906539748</v>
      </c>
      <c r="AD738" s="11">
        <f>IF($A738&gt;'1-Input'!$B$26,0,IF(AI737&lt;=0,0,MAX(0,(AI737-AJ737)/AI737)))</f>
        <v>0.43888382828249173</v>
      </c>
      <c r="AE738" s="18">
        <f>IF($A738&gt;'1-Input'!$B$26,0,(MAX(0,AD726-IF($A738&gt;='1-Input'!$C$12,'1-Input'!$B$12,0))-MIN(MAX(AH737,0),MAX(0,AD726-IF($A738&gt;='1-Input'!$C$12,'1-Input'!$B$12,0))))*(1/(1-'P-Parametri'!$B$6*AD738))+MIN(MAX(0,AI737-(MAX(0,AD726-IF($A738&gt;='1-Input'!$C$12,'1-Input'!$B$12,0))-MIN(MAX(AH737,0),MAX(0,AD726-IF($A738&gt;='1-Input'!$C$12,'1-Input'!$B$12,0))))*(1/(1-'P-Parametri'!$B$6*AD738))),MAX(0,1*AD726-(AH737-MIN(MAX(AH737,0),MAX(0,AD726-IF($A738&gt;='1-Input'!$C$12,'1-Input'!$B$12,0)))))*(1/(1-'P-Parametri'!$B$6*AD738))))</f>
        <v>22669.266681745674</v>
      </c>
      <c r="AF738" s="18">
        <f>IF($A738&gt;'1-Input'!$B$26,AH737,(AH737-MAX(0,AD726-IF($A738&gt;='1-Input'!$C$12,'1-Input'!$B$12,0))+AE738*(1-'P-Parametri'!$B$6*AD738))*(1+'1-Input'!$B$27))</f>
        <v>19938.40610522058</v>
      </c>
      <c r="AG738" s="18">
        <f>IF($A738&gt;'1-Input'!$B$26,AI737,(AI737-AE738)*(1+$D$4))</f>
        <v>337344.97075386916</v>
      </c>
      <c r="AH738" s="18">
        <f>IF($A738&gt;'1-Input'!$B$26,AF738,AF738-'P-Parametri'!$B$8*(AG738+AF738)+MIN(MAX(AG738,0),'P-Parametri'!$B$8*(AG738+AF738)))</f>
        <v>19938.40610522058</v>
      </c>
      <c r="AI738" s="18">
        <f>IF($A738&gt;'1-Input'!$B$26,AG738,AG738-MIN(MAX(AG738,0),'P-Parametri'!$B$8*(AG738+AF738)))</f>
        <v>336630.40400015097</v>
      </c>
      <c r="AJ738" s="18">
        <f>IF($A738&gt;'1-Input'!$B$26,AJ737,AJ737-AE738*(1-AD738))</f>
        <v>182009.34474765946</v>
      </c>
      <c r="AK738" s="11">
        <f>IF($A738&gt;'1-Input'!$B$26,0,IF(AP737&lt;=0,0,MAX(0,(AP737-AQ737)/AP737)))</f>
        <v>0.43888382752682381</v>
      </c>
      <c r="AL738" s="18">
        <f>IF($A738&gt;'1-Input'!$B$26,0,(MAX(0,AK726-IF($A738&gt;='1-Input'!$C$12,'1-Input'!$B$12,0))-MIN(MAX(AO737,0),MAX(0,AK726-IF($A738&gt;='1-Input'!$C$12,'1-Input'!$B$12,0))))*(1/(1-'P-Parametri'!$B$6*AK738))+MIN(MAX(0,AP737-(MAX(0,AK726-IF($A738&gt;='1-Input'!$C$12,'1-Input'!$B$12,0))-MIN(MAX(AO737,0),MAX(0,AK726-IF($A738&gt;='1-Input'!$C$12,'1-Input'!$B$12,0))))*(1/(1-'P-Parametri'!$B$6*AK738))),MAX(0,1*AK726-(AO737-MIN(MAX(AO737,0),MAX(0,AK726-IF($A738&gt;='1-Input'!$C$12,'1-Input'!$B$12,0)))))*(1/(1-'P-Parametri'!$B$6*AK738))))</f>
        <v>22669.28958965464</v>
      </c>
      <c r="AM738" s="18">
        <f>IF($A738&gt;'1-Input'!$B$26,AO737,(AO737-MAX(0,AK726-IF($A738&gt;='1-Input'!$C$12,'1-Input'!$B$12,0))+AL738*(1-'P-Parametri'!$B$6*AK738))*(1+'1-Input'!$B$27))</f>
        <v>19938.426257942814</v>
      </c>
      <c r="AN738" s="18">
        <f>IF($A738&gt;'1-Input'!$B$26,AP737,(AP737-AL738)*(1+$D$4))</f>
        <v>337344.6667051501</v>
      </c>
      <c r="AO738" s="18">
        <f>IF($A738&gt;'1-Input'!$B$26,AM738,AM738-'P-Parametri'!$B$8*(AN738+AM738)+MIN(MAX(AN738,0),'P-Parametri'!$B$8*(AN738+AM738)))</f>
        <v>19938.426257942814</v>
      </c>
      <c r="AP738" s="18">
        <f>IF($A738&gt;'1-Input'!$B$26,AN738,AN738-MIN(MAX(AN738,0),'P-Parametri'!$B$8*(AN738+AM738)))</f>
        <v>336630.1005192239</v>
      </c>
      <c r="AQ738" s="18">
        <f>IF($A738&gt;'1-Input'!$B$26,AQ737,AQ737-AL738*(1-AK738))</f>
        <v>182009.18094791647</v>
      </c>
    </row>
    <row r="739" spans="1:43">
      <c r="A739" s="10">
        <f>11</f>
        <v>11</v>
      </c>
      <c r="B739" s="11">
        <f>IF($A739&gt;'1-Input'!$B$26,0,IF(G738&lt;=0,0,MAX(0,(G738-H738)/G738)))</f>
        <v>0.45944917802747159</v>
      </c>
      <c r="C739" s="18">
        <f>IF($A739&gt;'1-Input'!$B$26,0,(MAX(0,B726-IF($A739&gt;='1-Input'!$C$12,'1-Input'!$B$12,0))-MIN(MAX(F738,0),MAX(0,B726-IF($A739&gt;='1-Input'!$C$12,'1-Input'!$B$12,0))))*(1/(1-'P-Parametri'!$B$6*B739))+MIN(MAX(0,G738-(MAX(0,B726-IF($A739&gt;='1-Input'!$C$12,'1-Input'!$B$12,0))-MIN(MAX(F738,0),MAX(0,B726-IF($A739&gt;='1-Input'!$C$12,'1-Input'!$B$12,0))))*(1/(1-'P-Parametri'!$B$6*B739))),MAX(0,1*B726-(F738-MIN(MAX(F738,0),MAX(0,B726-IF($A739&gt;='1-Input'!$C$12,'1-Input'!$B$12,0)))))*(1/(1-'P-Parametri'!$B$6*B739))))</f>
        <v>19012.249317292084</v>
      </c>
      <c r="D739" s="18">
        <f>IF($A739&gt;'1-Input'!$B$26,F738,(F738-MAX(0,B726-IF($A739&gt;='1-Input'!$C$12,'1-Input'!$B$12,0))+C739*(1-'P-Parametri'!$B$6*B739))*(1+'1-Input'!$B$27))</f>
        <v>16621.00351549315</v>
      </c>
      <c r="E739" s="18">
        <f>IF($A739&gt;'1-Input'!$B$26,G738,(G738-C739)*(1+$D$4))</f>
        <v>382279.06984655536</v>
      </c>
      <c r="F739" s="18">
        <f>IF($A739&gt;'1-Input'!$B$26,D739,D739-'P-Parametri'!$B$8*(E739+D739)+MIN(MAX(E739,0),'P-Parametri'!$B$8*(E739+D739)))</f>
        <v>16621.00351549315</v>
      </c>
      <c r="G739" s="18">
        <f>IF($A739&gt;'1-Input'!$B$26,E739,E739-MIN(MAX(E739,0),'P-Parametri'!$B$8*(E739+D739)))</f>
        <v>381481.26969983126</v>
      </c>
      <c r="H739" s="18">
        <f>IF($A739&gt;'1-Input'!$B$26,H738,H738-C739*(1-B739))</f>
        <v>198693.52445043181</v>
      </c>
      <c r="I739" s="11">
        <f>IF($A739&gt;'1-Input'!$B$26,0,IF(N738&lt;=0,0,MAX(0,(N738-O738)/N738)))</f>
        <v>0.45923412028242738</v>
      </c>
      <c r="J739" s="18">
        <f>IF($A739&gt;'1-Input'!$B$26,0,(MAX(0,I726-IF($A739&gt;='1-Input'!$C$12,'1-Input'!$B$12,0))-MIN(MAX(M738,0),MAX(0,I726-IF($A739&gt;='1-Input'!$C$12,'1-Input'!$B$12,0))))*(1/(1-'P-Parametri'!$B$6*I739))+MIN(MAX(0,N738-(MAX(0,I726-IF($A739&gt;='1-Input'!$C$12,'1-Input'!$B$12,0))-MIN(MAX(M738,0),MAX(0,I726-IF($A739&gt;='1-Input'!$C$12,'1-Input'!$B$12,0))))*(1/(1-'P-Parametri'!$B$6*I739))),MAX(0,1*I726-(M738-MIN(MAX(M738,0),MAX(0,I726-IF($A739&gt;='1-Input'!$C$12,'1-Input'!$B$12,0)))))*(1/(1-'P-Parametri'!$B$6*I739))))</f>
        <v>25014.529085393842</v>
      </c>
      <c r="K739" s="18">
        <f>IF($A739&gt;'1-Input'!$B$26,M738,(M738-MAX(0,I726-IF($A739&gt;='1-Input'!$C$12,'1-Input'!$B$12,0))+J739*(1-'P-Parametri'!$B$6*I739))*(1+'1-Input'!$B$27))</f>
        <v>21869.741467754146</v>
      </c>
      <c r="L739" s="18">
        <f>IF($A739&gt;'1-Input'!$B$26,N738,(N738-J739)*(1+$D$4))</f>
        <v>293833.42116261466</v>
      </c>
      <c r="M739" s="18">
        <f>IF($A739&gt;'1-Input'!$B$26,K739,K739-'P-Parametri'!$B$8*(L739+K739)+MIN(MAX(L739,0),'P-Parametri'!$B$8*(L739+K739)))</f>
        <v>21869.741467754146</v>
      </c>
      <c r="N739" s="18">
        <f>IF($A739&gt;'1-Input'!$B$26,L739,L739-MIN(MAX(L739,0),'P-Parametri'!$B$8*(L739+K739)))</f>
        <v>293202.0148373539</v>
      </c>
      <c r="O739" s="18">
        <f>IF($A739&gt;'1-Input'!$B$26,O738,O738-J739*(1-I739))</f>
        <v>152783.73892829358</v>
      </c>
      <c r="P739" s="11">
        <f>IF($A739&gt;'1-Input'!$B$26,0,IF(U738&lt;=0,0,MAX(0,(U738-V738)/U738)))</f>
        <v>0.45930509536472142</v>
      </c>
      <c r="Q739" s="18">
        <f>IF($A739&gt;'1-Input'!$B$26,0,(MAX(0,P726-IF($A739&gt;='1-Input'!$C$12,'1-Input'!$B$12,0))-MIN(MAX(T738,0),MAX(0,P726-IF($A739&gt;='1-Input'!$C$12,'1-Input'!$B$12,0))))*(1/(1-'P-Parametri'!$B$6*P739))+MIN(MAX(0,U738-(MAX(0,P726-IF($A739&gt;='1-Input'!$C$12,'1-Input'!$B$12,0))-MIN(MAX(T738,0),MAX(0,P726-IF($A739&gt;='1-Input'!$C$12,'1-Input'!$B$12,0))))*(1/(1-'P-Parametri'!$B$6*P739))),MAX(0,1*P726-(T738-MIN(MAX(T738,0),MAX(0,P726-IF($A739&gt;='1-Input'!$C$12,'1-Input'!$B$12,0)))))*(1/(1-'P-Parametri'!$B$6*P739))))</f>
        <v>23204.809410442616</v>
      </c>
      <c r="R739" s="18">
        <f>IF($A739&gt;'1-Input'!$B$26,T738,(T738-MAX(0,P726-IF($A739&gt;='1-Input'!$C$12,'1-Input'!$B$12,0))+Q739*(1-'P-Parametri'!$B$6*P739))*(1+'1-Input'!$B$27))</f>
        <v>20287.111791944739</v>
      </c>
      <c r="S739" s="18">
        <f>IF($A739&gt;'1-Input'!$B$26,U738,(U738-Q739)*(1+$D$4))</f>
        <v>320501.40493024094</v>
      </c>
      <c r="T739" s="18">
        <f>IF($A739&gt;'1-Input'!$B$26,R739,R739-'P-Parametri'!$B$8*(S739+R739)+MIN(MAX(S739,0),'P-Parametri'!$B$8*(S739+R739)))</f>
        <v>20287.111791944739</v>
      </c>
      <c r="U739" s="18">
        <f>IF($A739&gt;'1-Input'!$B$26,S739,S739-MIN(MAX(S739,0),'P-Parametri'!$B$8*(S739+R739)))</f>
        <v>319819.82789679657</v>
      </c>
      <c r="V739" s="18">
        <f>IF($A739&gt;'1-Input'!$B$26,V738,V738-Q739*(1-P739))</f>
        <v>166628.34285983598</v>
      </c>
      <c r="W739" s="11">
        <f>IF($A739&gt;'1-Input'!$B$26,0,IF(AB738&lt;=0,0,MAX(0,(AB738-AC738)/AB738)))</f>
        <v>0.45931958919566734</v>
      </c>
      <c r="X739" s="18">
        <f>IF($A739&gt;'1-Input'!$B$26,0,(MAX(0,W726-IF($A739&gt;='1-Input'!$C$12,'1-Input'!$B$12,0))-MIN(MAX(AA738,0),MAX(0,W726-IF($A739&gt;='1-Input'!$C$12,'1-Input'!$B$12,0))))*(1/(1-'P-Parametri'!$B$6*W739))+MIN(MAX(0,AB738-(MAX(0,W726-IF($A739&gt;='1-Input'!$C$12,'1-Input'!$B$12,0))-MIN(MAX(AA738,0),MAX(0,W726-IF($A739&gt;='1-Input'!$C$12,'1-Input'!$B$12,0))))*(1/(1-'P-Parametri'!$B$6*W739))),MAX(0,1*W726-(AA738-MIN(MAX(AA738,0),MAX(0,W726-IF($A739&gt;='1-Input'!$C$12,'1-Input'!$B$12,0)))))*(1/(1-'P-Parametri'!$B$6*W739))))</f>
        <v>22815.738884346152</v>
      </c>
      <c r="Y739" s="18">
        <f>IF($A739&gt;'1-Input'!$B$26,AA738,(AA738-MAX(0,W726-IF($A739&gt;='1-Input'!$C$12,'1-Input'!$B$12,0))+X739*(1-'P-Parametri'!$B$6*W739))*(1+'1-Input'!$B$27))</f>
        <v>19946.876372417511</v>
      </c>
      <c r="Z739" s="18">
        <f>IF($A739&gt;'1-Input'!$B$26,AB738,(AB738-X739)*(1+$D$4))</f>
        <v>326234.59534978872</v>
      </c>
      <c r="AA739" s="18">
        <f>IF($A739&gt;'1-Input'!$B$26,Y739,Y739-'P-Parametri'!$B$8*(Z739+Y739)+MIN(MAX(Z739,0),'P-Parametri'!$B$8*(Z739+Y739)))</f>
        <v>19946.876372417511</v>
      </c>
      <c r="AB739" s="18">
        <f>IF($A739&gt;'1-Input'!$B$26,Z739,Z739-MIN(MAX(Z739,0),'P-Parametri'!$B$8*(Z739+Y739)))</f>
        <v>325542.23240634432</v>
      </c>
      <c r="AC739" s="18">
        <f>IF($A739&gt;'1-Input'!$B$26,AC738,AC738-X739*(1-W739))</f>
        <v>169604.47599260483</v>
      </c>
      <c r="AD739" s="11">
        <f>IF($A739&gt;'1-Input'!$B$26,0,IF(AI738&lt;=0,0,MAX(0,(AI738-AJ738)/AI738)))</f>
        <v>0.45931994678776006</v>
      </c>
      <c r="AE739" s="18">
        <f>IF($A739&gt;'1-Input'!$B$26,0,(MAX(0,AD726-IF($A739&gt;='1-Input'!$C$12,'1-Input'!$B$12,0))-MIN(MAX(AH738,0),MAX(0,AD726-IF($A739&gt;='1-Input'!$C$12,'1-Input'!$B$12,0))))*(1/(1-'P-Parametri'!$B$6*AD739))+MIN(MAX(0,AI738-(MAX(0,AD726-IF($A739&gt;='1-Input'!$C$12,'1-Input'!$B$12,0))-MIN(MAX(AH738,0),MAX(0,AD726-IF($A739&gt;='1-Input'!$C$12,'1-Input'!$B$12,0))))*(1/(1-'P-Parametri'!$B$6*AD739))),MAX(0,1*AD726-(AH738-MIN(MAX(AH738,0),MAX(0,AD726-IF($A739&gt;='1-Input'!$C$12,'1-Input'!$B$12,0)))))*(1/(1-'P-Parametri'!$B$6*AD739))))</f>
        <v>22806.05278761949</v>
      </c>
      <c r="AF739" s="18">
        <f>IF($A739&gt;'1-Input'!$B$26,AH738,(AH738-MAX(0,AD726-IF($A739&gt;='1-Input'!$C$12,'1-Input'!$B$12,0))+AE739*(1-'P-Parametri'!$B$6*AD739))*(1+'1-Input'!$B$27))</f>
        <v>19938.406105220583</v>
      </c>
      <c r="AG739" s="18">
        <f>IF($A739&gt;'1-Input'!$B$26,AI738,(AI738-AE739)*(1+$D$4))</f>
        <v>326377.32526103279</v>
      </c>
      <c r="AH739" s="18">
        <f>IF($A739&gt;'1-Input'!$B$26,AF739,AF739-'P-Parametri'!$B$8*(AG739+AF739)+MIN(MAX(AG739,0),'P-Parametri'!$B$8*(AG739+AF739)))</f>
        <v>19938.406105220583</v>
      </c>
      <c r="AI739" s="18">
        <f>IF($A739&gt;'1-Input'!$B$26,AG739,AG739-MIN(MAX(AG739,0),'P-Parametri'!$B$8*(AG739+AF739)))</f>
        <v>325684.69379830029</v>
      </c>
      <c r="AJ739" s="18">
        <f>IF($A739&gt;'1-Input'!$B$26,AJ738,AJ738-AE739*(1-AD739))</f>
        <v>169678.5669128882</v>
      </c>
      <c r="AK739" s="11">
        <f>IF($A739&gt;'1-Input'!$B$26,0,IF(AP738&lt;=0,0,MAX(0,(AP738-AQ738)/AP738)))</f>
        <v>0.45931994593715042</v>
      </c>
      <c r="AL739" s="18">
        <f>IF($A739&gt;'1-Input'!$B$26,0,(MAX(0,AK726-IF($A739&gt;='1-Input'!$C$12,'1-Input'!$B$12,0))-MIN(MAX(AO738,0),MAX(0,AK726-IF($A739&gt;='1-Input'!$C$12,'1-Input'!$B$12,0))))*(1/(1-'P-Parametri'!$B$6*AK739))+MIN(MAX(0,AP738-(MAX(0,AK726-IF($A739&gt;='1-Input'!$C$12,'1-Input'!$B$12,0))-MIN(MAX(AO738,0),MAX(0,AK726-IF($A739&gt;='1-Input'!$C$12,'1-Input'!$B$12,0))))*(1/(1-'P-Parametri'!$B$6*AK739))),MAX(0,1*AK726-(AO738-MIN(MAX(AO738,0),MAX(0,AK726-IF($A739&gt;='1-Input'!$C$12,'1-Input'!$B$12,0)))))*(1/(1-'P-Parametri'!$B$6*AK739))))</f>
        <v>22806.075833084687</v>
      </c>
      <c r="AM739" s="18">
        <f>IF($A739&gt;'1-Input'!$B$26,AO738,(AO738-MAX(0,AK726-IF($A739&gt;='1-Input'!$C$12,'1-Input'!$B$12,0))+AL739*(1-'P-Parametri'!$B$6*AK739))*(1+'1-Input'!$B$27))</f>
        <v>19938.426257942818</v>
      </c>
      <c r="AN739" s="18">
        <f>IF($A739&gt;'1-Input'!$B$26,AP738,(AP738-AL739)*(1+$D$4))</f>
        <v>326376.9856735848</v>
      </c>
      <c r="AO739" s="18">
        <f>IF($A739&gt;'1-Input'!$B$26,AM739,AM739-'P-Parametri'!$B$8*(AN739+AM739)+MIN(MAX(AN739,0),'P-Parametri'!$B$8*(AN739+AM739)))</f>
        <v>19938.426257942818</v>
      </c>
      <c r="AP739" s="18">
        <f>IF($A739&gt;'1-Input'!$B$26,AN739,AN739-MIN(MAX(AN739,0),'P-Parametri'!$B$8*(AN739+AM739)))</f>
        <v>325684.35484972177</v>
      </c>
      <c r="AQ739" s="18">
        <f>IF($A739&gt;'1-Input'!$B$26,AQ738,AQ738-AL739*(1-AK739))</f>
        <v>169678.39063352279</v>
      </c>
    </row>
    <row r="740" spans="1:43">
      <c r="A740" s="10">
        <f>12</f>
        <v>12</v>
      </c>
      <c r="B740" s="11">
        <f>IF($A740&gt;'1-Input'!$B$26,0,IF(G739&lt;=0,0,MAX(0,(G739-H739)/G739)))</f>
        <v>0.47915260792024228</v>
      </c>
      <c r="C740" s="18">
        <f>IF($A740&gt;'1-Input'!$B$26,0,(MAX(0,B726-IF($A740&gt;='1-Input'!$C$12,'1-Input'!$B$12,0))-MIN(MAX(F739,0),MAX(0,B726-IF($A740&gt;='1-Input'!$C$12,'1-Input'!$B$12,0))))*(1/(1-'P-Parametri'!$B$6*B740))+MIN(MAX(0,G739-(MAX(0,B726-IF($A740&gt;='1-Input'!$C$12,'1-Input'!$B$12,0))-MIN(MAX(F739,0),MAX(0,B726-IF($A740&gt;='1-Input'!$C$12,'1-Input'!$B$12,0))))*(1/(1-'P-Parametri'!$B$6*B740))),MAX(0,1*B726-(F739-MIN(MAX(F739,0),MAX(0,B726-IF($A740&gt;='1-Input'!$C$12,'1-Input'!$B$12,0)))))*(1/(1-'P-Parametri'!$B$6*B740))))</f>
        <v>19123.507524528053</v>
      </c>
      <c r="D740" s="18">
        <f>IF($A740&gt;'1-Input'!$B$26,F739,(F739-MAX(0,B726-IF($A740&gt;='1-Input'!$C$12,'1-Input'!$B$12,0))+C740*(1-'P-Parametri'!$B$6*B740))*(1+'1-Input'!$B$27))</f>
        <v>16621.00351549315</v>
      </c>
      <c r="E740" s="18">
        <f>IF($A740&gt;'1-Input'!$B$26,G739,(G739-C740)*(1+$D$4))</f>
        <v>376852.07266231533</v>
      </c>
      <c r="F740" s="18">
        <f>IF($A740&gt;'1-Input'!$B$26,D740,D740-'P-Parametri'!$B$8*(E740+D740)+MIN(MAX(E740,0),'P-Parametri'!$B$8*(E740+D740)))</f>
        <v>16621.00351549315</v>
      </c>
      <c r="G740" s="18">
        <f>IF($A740&gt;'1-Input'!$B$26,E740,E740-MIN(MAX(E740,0),'P-Parametri'!$B$8*(E740+D740)))</f>
        <v>376065.12650995969</v>
      </c>
      <c r="H740" s="18">
        <f>IF($A740&gt;'1-Input'!$B$26,H739,H739-C740*(1-B740))</f>
        <v>188733.09542886374</v>
      </c>
      <c r="I740" s="11">
        <f>IF($A740&gt;'1-Input'!$B$26,0,IF(N739&lt;=0,0,MAX(0,(N739-O739)/N739)))</f>
        <v>0.47891306608842255</v>
      </c>
      <c r="J740" s="18">
        <f>IF($A740&gt;'1-Input'!$B$26,0,(MAX(0,I726-IF($A740&gt;='1-Input'!$C$12,'1-Input'!$B$12,0))-MIN(MAX(M739,0),MAX(0,I726-IF($A740&gt;='1-Input'!$C$12,'1-Input'!$B$12,0))))*(1/(1-'P-Parametri'!$B$6*I740))+MIN(MAX(0,N739-(MAX(0,I726-IF($A740&gt;='1-Input'!$C$12,'1-Input'!$B$12,0))-MIN(MAX(M739,0),MAX(0,I726-IF($A740&gt;='1-Input'!$C$12,'1-Input'!$B$12,0))))*(1/(1-'P-Parametri'!$B$6*I740))),MAX(0,1*I726-(M739-MIN(MAX(M739,0),MAX(0,I726-IF($A740&gt;='1-Input'!$C$12,'1-Input'!$B$12,0)))))*(1/(1-'P-Parametri'!$B$6*I740))))</f>
        <v>25160.719867219785</v>
      </c>
      <c r="K740" s="18">
        <f>IF($A740&gt;'1-Input'!$B$26,M739,(M739-MAX(0,I726-IF($A740&gt;='1-Input'!$C$12,'1-Input'!$B$12,0))+J740*(1-'P-Parametri'!$B$6*I740))*(1+'1-Input'!$B$27))</f>
        <v>21869.741467754146</v>
      </c>
      <c r="L740" s="18">
        <f>IF($A740&gt;'1-Input'!$B$26,N739,(N739-J740)*(1+$D$4))</f>
        <v>278762.9467689395</v>
      </c>
      <c r="M740" s="18">
        <f>IF($A740&gt;'1-Input'!$B$26,K740,K740-'P-Parametri'!$B$8*(L740+K740)+MIN(MAX(L740,0),'P-Parametri'!$B$8*(L740+K740)))</f>
        <v>21869.741467754146</v>
      </c>
      <c r="N740" s="18">
        <f>IF($A740&gt;'1-Input'!$B$26,L740,L740-MIN(MAX(L740,0),'P-Parametri'!$B$8*(L740+K740)))</f>
        <v>278161.68139246613</v>
      </c>
      <c r="O740" s="18">
        <f>IF($A740&gt;'1-Input'!$B$26,O739,O739-J740*(1-I740))</f>
        <v>139672.81655767592</v>
      </c>
      <c r="P740" s="11">
        <f>IF($A740&gt;'1-Input'!$B$26,0,IF(U739&lt;=0,0,MAX(0,(U739-V739)/U739)))</f>
        <v>0.47899308196236767</v>
      </c>
      <c r="Q740" s="18">
        <f>IF($A740&gt;'1-Input'!$B$26,0,(MAX(0,P726-IF($A740&gt;='1-Input'!$C$12,'1-Input'!$B$12,0))-MIN(MAX(T739,0),MAX(0,P726-IF($A740&gt;='1-Input'!$C$12,'1-Input'!$B$12,0))))*(1/(1-'P-Parametri'!$B$6*P740))+MIN(MAX(0,U739-(MAX(0,P726-IF($A740&gt;='1-Input'!$C$12,'1-Input'!$B$12,0))-MIN(MAX(T739,0),MAX(0,P726-IF($A740&gt;='1-Input'!$C$12,'1-Input'!$B$12,0))))*(1/(1-'P-Parametri'!$B$6*P740))),MAX(0,1*P726-(T739-MIN(MAX(T739,0),MAX(0,P726-IF($A740&gt;='1-Input'!$C$12,'1-Input'!$B$12,0)))))*(1/(1-'P-Parametri'!$B$6*P740))))</f>
        <v>23340.48929289202</v>
      </c>
      <c r="R740" s="18">
        <f>IF($A740&gt;'1-Input'!$B$26,T739,(T739-MAX(0,P726-IF($A740&gt;='1-Input'!$C$12,'1-Input'!$B$12,0))+Q740*(1-'P-Parametri'!$B$6*P740))*(1+'1-Input'!$B$27))</f>
        <v>20287.111791944742</v>
      </c>
      <c r="S740" s="18">
        <f>IF($A740&gt;'1-Input'!$B$26,U739,(U739-Q740)*(1+$D$4))</f>
        <v>308338.51214806072</v>
      </c>
      <c r="T740" s="18">
        <f>IF($A740&gt;'1-Input'!$B$26,R740,R740-'P-Parametri'!$B$8*(S740+R740)+MIN(MAX(S740,0),'P-Parametri'!$B$8*(S740+R740)))</f>
        <v>20287.111791944742</v>
      </c>
      <c r="U740" s="18">
        <f>IF($A740&gt;'1-Input'!$B$26,S740,S740-MIN(MAX(S740,0),'P-Parametri'!$B$8*(S740+R740)))</f>
        <v>307681.26090018073</v>
      </c>
      <c r="V740" s="18">
        <f>IF($A740&gt;'1-Input'!$B$26,V739,V739-Q740*(1-P740))</f>
        <v>154467.78646785594</v>
      </c>
      <c r="W740" s="11">
        <f>IF($A740&gt;'1-Input'!$B$26,0,IF(AB739&lt;=0,0,MAX(0,(AB739-AC739)/AB739)))</f>
        <v>0.47900929861258917</v>
      </c>
      <c r="X740" s="18">
        <f>IF($A740&gt;'1-Input'!$B$26,0,(MAX(0,W726-IF($A740&gt;='1-Input'!$C$12,'1-Input'!$B$12,0))-MIN(MAX(AA739,0),MAX(0,W726-IF($A740&gt;='1-Input'!$C$12,'1-Input'!$B$12,0))))*(1/(1-'P-Parametri'!$B$6*W740))+MIN(MAX(0,AB739-(MAX(0,W726-IF($A740&gt;='1-Input'!$C$12,'1-Input'!$B$12,0))-MIN(MAX(AA739,0),MAX(0,W726-IF($A740&gt;='1-Input'!$C$12,'1-Input'!$B$12,0))))*(1/(1-'P-Parametri'!$B$6*W740))),MAX(0,1*W726-(AA739-MIN(MAX(AA739,0),MAX(0,W726-IF($A740&gt;='1-Input'!$C$12,'1-Input'!$B$12,0)))))*(1/(1-'P-Parametri'!$B$6*W740))))</f>
        <v>22949.156164900138</v>
      </c>
      <c r="Y740" s="18">
        <f>IF($A740&gt;'1-Input'!$B$26,AA739,(AA739-MAX(0,W726-IF($A740&gt;='1-Input'!$C$12,'1-Input'!$B$12,0))+X740*(1-'P-Parametri'!$B$6*W740))*(1+'1-Input'!$B$27))</f>
        <v>19946.876372417511</v>
      </c>
      <c r="Z740" s="18">
        <f>IF($A740&gt;'1-Input'!$B$26,AB739,(AB739-X740)*(1+$D$4))</f>
        <v>314696.79929110198</v>
      </c>
      <c r="AA740" s="18">
        <f>IF($A740&gt;'1-Input'!$B$26,Y740,Y740-'P-Parametri'!$B$8*(Z740+Y740)+MIN(MAX(Z740,0),'P-Parametri'!$B$8*(Z740+Y740)))</f>
        <v>19946.876372417511</v>
      </c>
      <c r="AB740" s="18">
        <f>IF($A740&gt;'1-Input'!$B$26,Z740,Z740-MIN(MAX(Z740,0),'P-Parametri'!$B$8*(Z740+Y740)))</f>
        <v>314027.51193977497</v>
      </c>
      <c r="AC740" s="18">
        <f>IF($A740&gt;'1-Input'!$B$26,AC739,AC739-X740*(1-W740))</f>
        <v>157648.17902600428</v>
      </c>
      <c r="AD740" s="11">
        <f>IF($A740&gt;'1-Input'!$B$26,0,IF(AI739&lt;=0,0,MAX(0,(AI739-AJ739)/AI739)))</f>
        <v>0.47900969820223793</v>
      </c>
      <c r="AE740" s="18">
        <f>IF($A740&gt;'1-Input'!$B$26,0,(MAX(0,AD726-IF($A740&gt;='1-Input'!$C$12,'1-Input'!$B$12,0))-MIN(MAX(AH739,0),MAX(0,AD726-IF($A740&gt;='1-Input'!$C$12,'1-Input'!$B$12,0))))*(1/(1-'P-Parametri'!$B$6*AD740))+MIN(MAX(0,AI739-(MAX(0,AD726-IF($A740&gt;='1-Input'!$C$12,'1-Input'!$B$12,0))-MIN(MAX(AH739,0),MAX(0,AD726-IF($A740&gt;='1-Input'!$C$12,'1-Input'!$B$12,0))))*(1/(1-'P-Parametri'!$B$6*AD740))),MAX(0,1*AD726-(AH739-MIN(MAX(AH739,0),MAX(0,AD726-IF($A740&gt;='1-Input'!$C$12,'1-Input'!$B$12,0)))))*(1/(1-'P-Parametri'!$B$6*AD740))))</f>
        <v>22939.413728049334</v>
      </c>
      <c r="AF740" s="18">
        <f>IF($A740&gt;'1-Input'!$B$26,AH739,(AH739-MAX(0,AD726-IF($A740&gt;='1-Input'!$C$12,'1-Input'!$B$12,0))+AE740*(1-'P-Parametri'!$B$6*AD740))*(1+'1-Input'!$B$27))</f>
        <v>19938.406105220583</v>
      </c>
      <c r="AG740" s="18">
        <f>IF($A740&gt;'1-Input'!$B$26,AI739,(AI739-AE740)*(1+$D$4))</f>
        <v>314855.091273061</v>
      </c>
      <c r="AH740" s="18">
        <f>IF($A740&gt;'1-Input'!$B$26,AF740,AF740-'P-Parametri'!$B$8*(AG740+AF740)+MIN(MAX(AG740,0),'P-Parametri'!$B$8*(AG740+AF740)))</f>
        <v>19938.406105220583</v>
      </c>
      <c r="AI740" s="18">
        <f>IF($A740&gt;'1-Input'!$B$26,AG740,AG740-MIN(MAX(AG740,0),'P-Parametri'!$B$8*(AG740+AF740)))</f>
        <v>314185.50427830446</v>
      </c>
      <c r="AJ740" s="18">
        <f>IF($A740&gt;'1-Input'!$B$26,AJ739,AJ739-AE740*(1-AD740))</f>
        <v>157727.35483164806</v>
      </c>
      <c r="AK740" s="11">
        <f>IF($A740&gt;'1-Input'!$B$26,0,IF(AP739&lt;=0,0,MAX(0,(AP739-AQ739)/AP739)))</f>
        <v>0.47900969725175685</v>
      </c>
      <c r="AL740" s="18">
        <f>IF($A740&gt;'1-Input'!$B$26,0,(MAX(0,AK726-IF($A740&gt;='1-Input'!$C$12,'1-Input'!$B$12,0))-MIN(MAX(AO739,0),MAX(0,AK726-IF($A740&gt;='1-Input'!$C$12,'1-Input'!$B$12,0))))*(1/(1-'P-Parametri'!$B$6*AK740))+MIN(MAX(0,AP739-(MAX(0,AK726-IF($A740&gt;='1-Input'!$C$12,'1-Input'!$B$12,0))-MIN(MAX(AO739,0),MAX(0,AK726-IF($A740&gt;='1-Input'!$C$12,'1-Input'!$B$12,0))))*(1/(1-'P-Parametri'!$B$6*AK740))),MAX(0,1*AK726-(AO739-MIN(MAX(AO739,0),MAX(0,AK726-IF($A740&gt;='1-Input'!$C$12,'1-Input'!$B$12,0)))))*(1/(1-'P-Parametri'!$B$6*AK740))))</f>
        <v>22939.436907561376</v>
      </c>
      <c r="AM740" s="18">
        <f>IF($A740&gt;'1-Input'!$B$26,AO739,(AO739-MAX(0,AK726-IF($A740&gt;='1-Input'!$C$12,'1-Input'!$B$12,0))+AL740*(1-'P-Parametri'!$B$6*AK740))*(1+'1-Input'!$B$27))</f>
        <v>19938.426257942818</v>
      </c>
      <c r="AN740" s="18">
        <f>IF($A740&gt;'1-Input'!$B$26,AP739,(AP739-AL740)*(1+$D$4))</f>
        <v>314854.7146598468</v>
      </c>
      <c r="AO740" s="18">
        <f>IF($A740&gt;'1-Input'!$B$26,AM740,AM740-'P-Parametri'!$B$8*(AN740+AM740)+MIN(MAX(AN740,0),'P-Parametri'!$B$8*(AN740+AM740)))</f>
        <v>19938.426257942818</v>
      </c>
      <c r="AP740" s="18">
        <f>IF($A740&gt;'1-Input'!$B$26,AN740,AN740-MIN(MAX(AN740,0),'P-Parametri'!$B$8*(AN740+AM740)))</f>
        <v>314185.12837801123</v>
      </c>
      <c r="AQ740" s="18">
        <f>IF($A740&gt;'1-Input'!$B$26,AQ739,AQ739-AL740*(1-AK740))</f>
        <v>157727.16645417816</v>
      </c>
    </row>
    <row r="741" spans="1:43">
      <c r="A741" s="10">
        <f>13</f>
        <v>13</v>
      </c>
      <c r="B741" s="11">
        <f>IF($A741&gt;'1-Input'!$B$26,0,IF(G740&lt;=0,0,MAX(0,(G740-H740)/G740)))</f>
        <v>0.49813720516872934</v>
      </c>
      <c r="C741" s="18">
        <f>IF($A741&gt;'1-Input'!$B$26,0,(MAX(0,B726-IF($A741&gt;='1-Input'!$C$12,'1-Input'!$B$12,0))-MIN(MAX(F740,0),MAX(0,B726-IF($A741&gt;='1-Input'!$C$12,'1-Input'!$B$12,0))))*(1/(1-'P-Parametri'!$B$6*B741))+MIN(MAX(0,G740-(MAX(0,B726-IF($A741&gt;='1-Input'!$C$12,'1-Input'!$B$12,0))-MIN(MAX(F740,0),MAX(0,B726-IF($A741&gt;='1-Input'!$C$12,'1-Input'!$B$12,0))))*(1/(1-'P-Parametri'!$B$6*B741))),MAX(0,1*B726-(F740-MIN(MAX(F740,0),MAX(0,B726-IF($A741&gt;='1-Input'!$C$12,'1-Input'!$B$12,0)))))*(1/(1-'P-Parametri'!$B$6*B741))))</f>
        <v>19231.945482657422</v>
      </c>
      <c r="D741" s="18">
        <f>IF($A741&gt;'1-Input'!$B$26,F740,(F740-MAX(0,B726-IF($A741&gt;='1-Input'!$C$12,'1-Input'!$B$12,0))+C741*(1-'P-Parametri'!$B$6*B741))*(1+'1-Input'!$B$27))</f>
        <v>16621.00351549315</v>
      </c>
      <c r="E741" s="18">
        <f>IF($A741&gt;'1-Input'!$B$26,G740,(G740-C741)*(1+$D$4))</f>
        <v>371106.50826839439</v>
      </c>
      <c r="F741" s="18">
        <f>IF($A741&gt;'1-Input'!$B$26,D741,D741-'P-Parametri'!$B$8*(E741+D741)+MIN(MAX(E741,0),'P-Parametri'!$B$8*(E741+D741)))</f>
        <v>16621.00351549315</v>
      </c>
      <c r="G741" s="18">
        <f>IF($A741&gt;'1-Input'!$B$26,E741,E741-MIN(MAX(E741,0),'P-Parametri'!$B$8*(E741+D741)))</f>
        <v>370331.05324482662</v>
      </c>
      <c r="H741" s="18">
        <f>IF($A741&gt;'1-Input'!$B$26,H740,H740-C741*(1-B741))</f>
        <v>179081.29751889466</v>
      </c>
      <c r="I741" s="11">
        <f>IF($A741&gt;'1-Input'!$B$26,0,IF(N740&lt;=0,0,MAX(0,(N740-O740)/N740)))</f>
        <v>0.49787182814512965</v>
      </c>
      <c r="J741" s="18">
        <f>IF($A741&gt;'1-Input'!$B$26,0,(MAX(0,I726-IF($A741&gt;='1-Input'!$C$12,'1-Input'!$B$12,0))-MIN(MAX(M740,0),MAX(0,I726-IF($A741&gt;='1-Input'!$C$12,'1-Input'!$B$12,0))))*(1/(1-'P-Parametri'!$B$6*I741))+MIN(MAX(0,N740-(MAX(0,I726-IF($A741&gt;='1-Input'!$C$12,'1-Input'!$B$12,0))-MIN(MAX(M740,0),MAX(0,I726-IF($A741&gt;='1-Input'!$C$12,'1-Input'!$B$12,0))))*(1/(1-'P-Parametri'!$B$6*I741))),MAX(0,1*I726-(M740-MIN(MAX(M740,0),MAX(0,I726-IF($A741&gt;='1-Input'!$C$12,'1-Input'!$B$12,0)))))*(1/(1-'P-Parametri'!$B$6*I741))))</f>
        <v>25303.185794095858</v>
      </c>
      <c r="K741" s="18">
        <f>IF($A741&gt;'1-Input'!$B$26,M740,(M740-MAX(0,I726-IF($A741&gt;='1-Input'!$C$12,'1-Input'!$B$12,0))+J741*(1-'P-Parametri'!$B$6*I741))*(1+'1-Input'!$B$27))</f>
        <v>21869.741467754149</v>
      </c>
      <c r="L741" s="18">
        <f>IF($A741&gt;'1-Input'!$B$26,N740,(N740-J741)*(1+$D$4))</f>
        <v>262972.8354223051</v>
      </c>
      <c r="M741" s="18">
        <f>IF($A741&gt;'1-Input'!$B$26,K741,K741-'P-Parametri'!$B$8*(L741+K741)+MIN(MAX(L741,0),'P-Parametri'!$B$8*(L741+K741)))</f>
        <v>21869.741467754149</v>
      </c>
      <c r="N741" s="18">
        <f>IF($A741&gt;'1-Input'!$B$26,L741,L741-MIN(MAX(L741,0),'P-Parametri'!$B$8*(L741+K741)))</f>
        <v>262403.150268525</v>
      </c>
      <c r="O741" s="18">
        <f>IF($A741&gt;'1-Input'!$B$26,O740,O740-J741*(1-I741))</f>
        <v>126967.37413278244</v>
      </c>
      <c r="P741" s="11">
        <f>IF($A741&gt;'1-Input'!$B$26,0,IF(U740&lt;=0,0,MAX(0,(U740-V740)/U740)))</f>
        <v>0.49796166976197798</v>
      </c>
      <c r="Q741" s="18">
        <f>IF($A741&gt;'1-Input'!$B$26,0,(MAX(0,P726-IF($A741&gt;='1-Input'!$C$12,'1-Input'!$B$12,0))-MIN(MAX(T740,0),MAX(0,P726-IF($A741&gt;='1-Input'!$C$12,'1-Input'!$B$12,0))))*(1/(1-'P-Parametri'!$B$6*P741))+MIN(MAX(0,U740-(MAX(0,P726-IF($A741&gt;='1-Input'!$C$12,'1-Input'!$B$12,0))-MIN(MAX(T740,0),MAX(0,P726-IF($A741&gt;='1-Input'!$C$12,'1-Input'!$B$12,0))))*(1/(1-'P-Parametri'!$B$6*P741))),MAX(0,1*P726-(T740-MIN(MAX(T740,0),MAX(0,P726-IF($A741&gt;='1-Input'!$C$12,'1-Input'!$B$12,0)))))*(1/(1-'P-Parametri'!$B$6*P741))))</f>
        <v>23472.720687362085</v>
      </c>
      <c r="R741" s="18">
        <f>IF($A741&gt;'1-Input'!$B$26,T740,(T740-MAX(0,P726-IF($A741&gt;='1-Input'!$C$12,'1-Input'!$B$12,0))+Q741*(1-'P-Parametri'!$B$6*P741))*(1+'1-Input'!$B$27))</f>
        <v>20287.111791944739</v>
      </c>
      <c r="S741" s="18">
        <f>IF($A741&gt;'1-Input'!$B$26,U740,(U740-Q741)*(1+$D$4))</f>
        <v>295576.88182133139</v>
      </c>
      <c r="T741" s="18">
        <f>IF($A741&gt;'1-Input'!$B$26,R741,R741-'P-Parametri'!$B$8*(S741+R741)+MIN(MAX(S741,0),'P-Parametri'!$B$8*(S741+R741)))</f>
        <v>20287.111791944739</v>
      </c>
      <c r="U741" s="18">
        <f>IF($A741&gt;'1-Input'!$B$26,S741,S741-MIN(MAX(S741,0),'P-Parametri'!$B$8*(S741+R741)))</f>
        <v>294945.15383410483</v>
      </c>
      <c r="V741" s="18">
        <f>IF($A741&gt;'1-Input'!$B$26,V740,V740-Q741*(1-P741))</f>
        <v>142683.58096782921</v>
      </c>
      <c r="W741" s="11">
        <f>IF($A741&gt;'1-Input'!$B$26,0,IF(AB740&lt;=0,0,MAX(0,(AB740-AC740)/AB740)))</f>
        <v>0.49797972141931801</v>
      </c>
      <c r="X741" s="18">
        <f>IF($A741&gt;'1-Input'!$B$26,0,(MAX(0,W726-IF($A741&gt;='1-Input'!$C$12,'1-Input'!$B$12,0))-MIN(MAX(AA740,0),MAX(0,W726-IF($A741&gt;='1-Input'!$C$12,'1-Input'!$B$12,0))))*(1/(1-'P-Parametri'!$B$6*W741))+MIN(MAX(0,AB740-(MAX(0,W726-IF($A741&gt;='1-Input'!$C$12,'1-Input'!$B$12,0))-MIN(MAX(AA740,0),MAX(0,W726-IF($A741&gt;='1-Input'!$C$12,'1-Input'!$B$12,0))))*(1/(1-'P-Parametri'!$B$6*W741))),MAX(0,1*W726-(AA740-MIN(MAX(AA740,0),MAX(0,W726-IF($A741&gt;='1-Input'!$C$12,'1-Input'!$B$12,0)))))*(1/(1-'P-Parametri'!$B$6*W741))))</f>
        <v>23079.183809606438</v>
      </c>
      <c r="Y741" s="18">
        <f>IF($A741&gt;'1-Input'!$B$26,AA740,(AA740-MAX(0,W726-IF($A741&gt;='1-Input'!$C$12,'1-Input'!$B$12,0))+X741*(1-'P-Parametri'!$B$6*W741))*(1+'1-Input'!$B$27))</f>
        <v>19946.876372417511</v>
      </c>
      <c r="Z741" s="18">
        <f>IF($A741&gt;'1-Input'!$B$26,AB740,(AB740-X741)*(1+$D$4))</f>
        <v>302586.26125537528</v>
      </c>
      <c r="AA741" s="18">
        <f>IF($A741&gt;'1-Input'!$B$26,Y741,Y741-'P-Parametri'!$B$8*(Z741+Y741)+MIN(MAX(Z741,0),'P-Parametri'!$B$8*(Z741+Y741)))</f>
        <v>19946.876372417511</v>
      </c>
      <c r="AB741" s="18">
        <f>IF($A741&gt;'1-Input'!$B$26,Z741,Z741-MIN(MAX(Z741,0),'P-Parametri'!$B$8*(Z741+Y741)))</f>
        <v>301941.1949801197</v>
      </c>
      <c r="AC741" s="18">
        <f>IF($A741&gt;'1-Input'!$B$26,AC740,AC740-X741*(1-W741))</f>
        <v>146061.96074049087</v>
      </c>
      <c r="AD741" s="11">
        <f>IF($A741&gt;'1-Input'!$B$26,0,IF(AI740&lt;=0,0,MAX(0,(AI740-AJ740)/AI740)))</f>
        <v>0.49798016559053693</v>
      </c>
      <c r="AE741" s="18">
        <f>IF($A741&gt;'1-Input'!$B$26,0,(MAX(0,AD726-IF($A741&gt;='1-Input'!$C$12,'1-Input'!$B$12,0))-MIN(MAX(AH740,0),MAX(0,AD726-IF($A741&gt;='1-Input'!$C$12,'1-Input'!$B$12,0))))*(1/(1-'P-Parametri'!$B$6*AD741))+MIN(MAX(0,AI740-(MAX(0,AD726-IF($A741&gt;='1-Input'!$C$12,'1-Input'!$B$12,0))-MIN(MAX(AH740,0),MAX(0,AD726-IF($A741&gt;='1-Input'!$C$12,'1-Input'!$B$12,0))))*(1/(1-'P-Parametri'!$B$6*AD741))),MAX(0,1*AD726-(AH740-MIN(MAX(AH740,0),MAX(0,AD726-IF($A741&gt;='1-Input'!$C$12,'1-Input'!$B$12,0)))))*(1/(1-'P-Parametri'!$B$6*AD741))))</f>
        <v>23069.386495758758</v>
      </c>
      <c r="AF741" s="18">
        <f>IF($A741&gt;'1-Input'!$B$26,AH740,(AH740-MAX(0,AD726-IF($A741&gt;='1-Input'!$C$12,'1-Input'!$B$12,0))+AE741*(1-'P-Parametri'!$B$6*AD741))*(1+'1-Input'!$B$27))</f>
        <v>19938.406105220583</v>
      </c>
      <c r="AG741" s="18">
        <f>IF($A741&gt;'1-Input'!$B$26,AI740,(AI740-AE741)*(1+$D$4))</f>
        <v>302760.76249384752</v>
      </c>
      <c r="AH741" s="18">
        <f>IF($A741&gt;'1-Input'!$B$26,AF741,AF741-'P-Parametri'!$B$8*(AG741+AF741)+MIN(MAX(AG741,0),'P-Parametri'!$B$8*(AG741+AF741)))</f>
        <v>19938.406105220583</v>
      </c>
      <c r="AI741" s="18">
        <f>IF($A741&gt;'1-Input'!$B$26,AG741,AG741-MIN(MAX(AG741,0),'P-Parametri'!$B$8*(AG741+AF741)))</f>
        <v>302115.36415664939</v>
      </c>
      <c r="AJ741" s="18">
        <f>IF($A741&gt;'1-Input'!$B$26,AJ740,AJ740-AE741*(1-AD741))</f>
        <v>146146.06524311934</v>
      </c>
      <c r="AK741" s="11">
        <f>IF($A741&gt;'1-Input'!$B$26,0,IF(AP740&lt;=0,0,MAX(0,(AP740-AQ740)/AP740)))</f>
        <v>0.49798016453404814</v>
      </c>
      <c r="AL741" s="18">
        <f>IF($A741&gt;'1-Input'!$B$26,0,(MAX(0,AK726-IF($A741&gt;='1-Input'!$C$12,'1-Input'!$B$12,0))-MIN(MAX(AO740,0),MAX(0,AK726-IF($A741&gt;='1-Input'!$C$12,'1-Input'!$B$12,0))))*(1/(1-'P-Parametri'!$B$6*AK741))+MIN(MAX(0,AP740-(MAX(0,AK726-IF($A741&gt;='1-Input'!$C$12,'1-Input'!$B$12,0))-MIN(MAX(AO740,0),MAX(0,AK726-IF($A741&gt;='1-Input'!$C$12,'1-Input'!$B$12,0))))*(1/(1-'P-Parametri'!$B$6*AK741))),MAX(0,1*AK726-(AO740-MIN(MAX(AO740,0),MAX(0,AK726-IF($A741&gt;='1-Input'!$C$12,'1-Input'!$B$12,0)))))*(1/(1-'P-Parametri'!$B$6*AK741))))</f>
        <v>23069.409805836636</v>
      </c>
      <c r="AM741" s="18">
        <f>IF($A741&gt;'1-Input'!$B$26,AO740,(AO740-MAX(0,AK726-IF($A741&gt;='1-Input'!$C$12,'1-Input'!$B$12,0))+AL741*(1-'P-Parametri'!$B$6*AK741))*(1+'1-Input'!$B$27))</f>
        <v>19938.426257942814</v>
      </c>
      <c r="AN741" s="18">
        <f>IF($A741&gt;'1-Input'!$B$26,AP740,(AP740-AL741)*(1+$D$4))</f>
        <v>302760.3473150616</v>
      </c>
      <c r="AO741" s="18">
        <f>IF($A741&gt;'1-Input'!$B$26,AM741,AM741-'P-Parametri'!$B$8*(AN741+AM741)+MIN(MAX(AN741,0),'P-Parametri'!$B$8*(AN741+AM741)))</f>
        <v>19938.426257942814</v>
      </c>
      <c r="AP741" s="18">
        <f>IF($A741&gt;'1-Input'!$B$26,AN741,AN741-MIN(MAX(AN741,0),'P-Parametri'!$B$8*(AN741+AM741)))</f>
        <v>302114.94976791559</v>
      </c>
      <c r="AQ741" s="18">
        <f>IF($A741&gt;'1-Input'!$B$26,AQ740,AQ740-AL741*(1-AK741))</f>
        <v>146145.86513915544</v>
      </c>
    </row>
    <row r="742" spans="1:43">
      <c r="A742" s="10">
        <f>14</f>
        <v>14</v>
      </c>
      <c r="B742" s="11">
        <f>IF($A742&gt;'1-Input'!$B$26,0,IF(G741&lt;=0,0,MAX(0,(G741-H741)/G741)))</f>
        <v>0.5164291626376154</v>
      </c>
      <c r="C742" s="18">
        <f>IF($A742&gt;'1-Input'!$B$26,0,(MAX(0,B726-IF($A742&gt;='1-Input'!$C$12,'1-Input'!$B$12,0))-MIN(MAX(F741,0),MAX(0,B726-IF($A742&gt;='1-Input'!$C$12,'1-Input'!$B$12,0))))*(1/(1-'P-Parametri'!$B$6*B742))+MIN(MAX(0,G741-(MAX(0,B726-IF($A742&gt;='1-Input'!$C$12,'1-Input'!$B$12,0))-MIN(MAX(F741,0),MAX(0,B726-IF($A742&gt;='1-Input'!$C$12,'1-Input'!$B$12,0))))*(1/(1-'P-Parametri'!$B$6*B742))),MAX(0,1*B726-(F741-MIN(MAX(F741,0),MAX(0,B726-IF($A742&gt;='1-Input'!$C$12,'1-Input'!$B$12,0)))))*(1/(1-'P-Parametri'!$B$6*B742))))</f>
        <v>19337.596838925478</v>
      </c>
      <c r="D742" s="18">
        <f>IF($A742&gt;'1-Input'!$B$26,F741,(F741-MAX(0,B726-IF($A742&gt;='1-Input'!$C$12,'1-Input'!$B$12,0))+C742*(1-'P-Parametri'!$B$6*B742))*(1+'1-Input'!$B$27))</f>
        <v>16621.00351549315</v>
      </c>
      <c r="E742" s="18">
        <f>IF($A742&gt;'1-Input'!$B$26,G741,(G741-C742)*(1+$D$4))</f>
        <v>365033.19466213719</v>
      </c>
      <c r="F742" s="18">
        <f>IF($A742&gt;'1-Input'!$B$26,D742,D742-'P-Parametri'!$B$8*(E742+D742)+MIN(MAX(E742,0),'P-Parametri'!$B$8*(E742+D742)))</f>
        <v>16621.00351549315</v>
      </c>
      <c r="G742" s="18">
        <f>IF($A742&gt;'1-Input'!$B$26,E742,E742-MIN(MAX(E742,0),'P-Parametri'!$B$8*(E742+D742)))</f>
        <v>364269.88626578194</v>
      </c>
      <c r="H742" s="18">
        <f>IF($A742&gt;'1-Input'!$B$26,H741,H741-C742*(1-B742))</f>
        <v>169730.19962291926</v>
      </c>
      <c r="I742" s="11">
        <f>IF($A742&gt;'1-Input'!$B$26,0,IF(N741&lt;=0,0,MAX(0,(N741-O741)/N741)))</f>
        <v>0.51613624301822236</v>
      </c>
      <c r="J742" s="18">
        <f>IF($A742&gt;'1-Input'!$B$26,0,(MAX(0,I726-IF($A742&gt;='1-Input'!$C$12,'1-Input'!$B$12,0))-MIN(MAX(M741,0),MAX(0,I726-IF($A742&gt;='1-Input'!$C$12,'1-Input'!$B$12,0))))*(1/(1-'P-Parametri'!$B$6*I742))+MIN(MAX(0,N741-(MAX(0,I726-IF($A742&gt;='1-Input'!$C$12,'1-Input'!$B$12,0))-MIN(MAX(M741,0),MAX(0,I726-IF($A742&gt;='1-Input'!$C$12,'1-Input'!$B$12,0))))*(1/(1-'P-Parametri'!$B$6*I742))),MAX(0,1*I726-(M741-MIN(MAX(M741,0),MAX(0,I726-IF($A742&gt;='1-Input'!$C$12,'1-Input'!$B$12,0)))))*(1/(1-'P-Parametri'!$B$6*I742))))</f>
        <v>25441.968208494844</v>
      </c>
      <c r="K742" s="18">
        <f>IF($A742&gt;'1-Input'!$B$26,M741,(M741-MAX(0,I726-IF($A742&gt;='1-Input'!$C$12,'1-Input'!$B$12,0))+J742*(1-'P-Parametri'!$B$6*I742))*(1+'1-Input'!$B$27))</f>
        <v>21869.741467754146</v>
      </c>
      <c r="L742" s="18">
        <f>IF($A742&gt;'1-Input'!$B$26,N741,(N741-J742)*(1+$D$4))</f>
        <v>246439.62934243138</v>
      </c>
      <c r="M742" s="18">
        <f>IF($A742&gt;'1-Input'!$B$26,K742,K742-'P-Parametri'!$B$8*(L742+K742)+MIN(MAX(L742,0),'P-Parametri'!$B$8*(L742+K742)))</f>
        <v>21869.741467754146</v>
      </c>
      <c r="N742" s="18">
        <f>IF($A742&gt;'1-Input'!$B$26,L742,L742-MIN(MAX(L742,0),'P-Parametri'!$B$8*(L742+K742)))</f>
        <v>245903.01060081102</v>
      </c>
      <c r="O742" s="18">
        <f>IF($A742&gt;'1-Input'!$B$26,O741,O741-J742*(1-I742))</f>
        <v>114656.92781040918</v>
      </c>
      <c r="P742" s="11">
        <f>IF($A742&gt;'1-Input'!$B$26,0,IF(U741&lt;=0,0,MAX(0,(U741-V741)/U741)))</f>
        <v>0.51623690332581906</v>
      </c>
      <c r="Q742" s="18">
        <f>IF($A742&gt;'1-Input'!$B$26,0,(MAX(0,P726-IF($A742&gt;='1-Input'!$C$12,'1-Input'!$B$12,0))-MIN(MAX(T741,0),MAX(0,P726-IF($A742&gt;='1-Input'!$C$12,'1-Input'!$B$12,0))))*(1/(1-'P-Parametri'!$B$6*P742))+MIN(MAX(0,U741-(MAX(0,P726-IF($A742&gt;='1-Input'!$C$12,'1-Input'!$B$12,0))-MIN(MAX(T741,0),MAX(0,P726-IF($A742&gt;='1-Input'!$C$12,'1-Input'!$B$12,0))))*(1/(1-'P-Parametri'!$B$6*P742))),MAX(0,1*P726-(T741-MIN(MAX(T741,0),MAX(0,P726-IF($A742&gt;='1-Input'!$C$12,'1-Input'!$B$12,0)))))*(1/(1-'P-Parametri'!$B$6*P742))))</f>
        <v>23601.543556011791</v>
      </c>
      <c r="R742" s="18">
        <f>IF($A742&gt;'1-Input'!$B$26,T741,(T741-MAX(0,P726-IF($A742&gt;='1-Input'!$C$12,'1-Input'!$B$12,0))+Q742*(1-'P-Parametri'!$B$6*P742))*(1+'1-Input'!$B$27))</f>
        <v>20287.111791944739</v>
      </c>
      <c r="S742" s="18">
        <f>IF($A742&gt;'1-Input'!$B$26,U741,(U741-Q742)*(1+$D$4))</f>
        <v>282197.35468921677</v>
      </c>
      <c r="T742" s="18">
        <f>IF($A742&gt;'1-Input'!$B$26,R742,R742-'P-Parametri'!$B$8*(S742+R742)+MIN(MAX(S742,0),'P-Parametri'!$B$8*(S742+R742)))</f>
        <v>20287.111791944739</v>
      </c>
      <c r="U742" s="18">
        <f>IF($A742&gt;'1-Input'!$B$26,S742,S742-MIN(MAX(S742,0),'P-Parametri'!$B$8*(S742+R742)))</f>
        <v>281592.38575625443</v>
      </c>
      <c r="V742" s="18">
        <f>IF($A742&gt;'1-Input'!$B$26,V741,V741-Q742*(1-P742))</f>
        <v>131266.02517088238</v>
      </c>
      <c r="W742" s="11">
        <f>IF($A742&gt;'1-Input'!$B$26,0,IF(AB741&lt;=0,0,MAX(0,(AB741-AC741)/AB741)))</f>
        <v>0.5162569295981364</v>
      </c>
      <c r="X742" s="18">
        <f>IF($A742&gt;'1-Input'!$B$26,0,(MAX(0,W726-IF($A742&gt;='1-Input'!$C$12,'1-Input'!$B$12,0))-MIN(MAX(AA741,0),MAX(0,W726-IF($A742&gt;='1-Input'!$C$12,'1-Input'!$B$12,0))))*(1/(1-'P-Parametri'!$B$6*W742))+MIN(MAX(0,AB741-(MAX(0,W726-IF($A742&gt;='1-Input'!$C$12,'1-Input'!$B$12,0))-MIN(MAX(AA741,0),MAX(0,W726-IF($A742&gt;='1-Input'!$C$12,'1-Input'!$B$12,0))))*(1/(1-'P-Parametri'!$B$6*W742))),MAX(0,1*W726-(AA741-MIN(MAX(AA741,0),MAX(0,W726-IF($A742&gt;='1-Input'!$C$12,'1-Input'!$B$12,0)))))*(1/(1-'P-Parametri'!$B$6*W742))))</f>
        <v>23205.861318747386</v>
      </c>
      <c r="Y742" s="18">
        <f>IF($A742&gt;'1-Input'!$B$26,AA741,(AA741-MAX(0,W726-IF($A742&gt;='1-Input'!$C$12,'1-Input'!$B$12,0))+X742*(1-'P-Parametri'!$B$6*W742))*(1+'1-Input'!$B$27))</f>
        <v>19946.876372417511</v>
      </c>
      <c r="Z742" s="18">
        <f>IF($A742&gt;'1-Input'!$B$26,AB741,(AB741-X742)*(1+$D$4))</f>
        <v>289884.74700782722</v>
      </c>
      <c r="AA742" s="18">
        <f>IF($A742&gt;'1-Input'!$B$26,Y742,Y742-'P-Parametri'!$B$8*(Z742+Y742)+MIN(MAX(Z742,0),'P-Parametri'!$B$8*(Z742+Y742)))</f>
        <v>19946.876372417511</v>
      </c>
      <c r="AB742" s="18">
        <f>IF($A742&gt;'1-Input'!$B$26,Z742,Z742-MIN(MAX(Z742,0),'P-Parametri'!$B$8*(Z742+Y742)))</f>
        <v>289265.08376106672</v>
      </c>
      <c r="AC742" s="18">
        <f>IF($A742&gt;'1-Input'!$B$26,AC741,AC741-X742*(1-W742))</f>
        <v>134836.28613484016</v>
      </c>
      <c r="AD742" s="11">
        <f>IF($A742&gt;'1-Input'!$B$26,0,IF(AI741&lt;=0,0,MAX(0,(AI741-AJ741)/AI741)))</f>
        <v>0.51625742156118426</v>
      </c>
      <c r="AE742" s="18">
        <f>IF($A742&gt;'1-Input'!$B$26,0,(MAX(0,AD726-IF($A742&gt;='1-Input'!$C$12,'1-Input'!$B$12,0))-MIN(MAX(AH741,0),MAX(0,AD726-IF($A742&gt;='1-Input'!$C$12,'1-Input'!$B$12,0))))*(1/(1-'P-Parametri'!$B$6*AD742))+MIN(MAX(0,AI741-(MAX(0,AD726-IF($A742&gt;='1-Input'!$C$12,'1-Input'!$B$12,0))-MIN(MAX(AH741,0),MAX(0,AD726-IF($A742&gt;='1-Input'!$C$12,'1-Input'!$B$12,0))))*(1/(1-'P-Parametri'!$B$6*AD742))),MAX(0,1*AD726-(AH741-MIN(MAX(AH741,0),MAX(0,AD726-IF($A742&gt;='1-Input'!$C$12,'1-Input'!$B$12,0)))))*(1/(1-'P-Parametri'!$B$6*AD742))))</f>
        <v>23196.010579004935</v>
      </c>
      <c r="AF742" s="18">
        <f>IF($A742&gt;'1-Input'!$B$26,AH741,(AH741-MAX(0,AD726-IF($A742&gt;='1-Input'!$C$12,'1-Input'!$B$12,0))+AE742*(1-'P-Parametri'!$B$6*AD742))*(1+'1-Input'!$B$27))</f>
        <v>19938.406105220583</v>
      </c>
      <c r="AG742" s="18">
        <f>IF($A742&gt;'1-Input'!$B$26,AI741,(AI741-AE742)*(1+$D$4))</f>
        <v>290076.12772075023</v>
      </c>
      <c r="AH742" s="18">
        <f>IF($A742&gt;'1-Input'!$B$26,AF742,AF742-'P-Parametri'!$B$8*(AG742+AF742)+MIN(MAX(AG742,0),'P-Parametri'!$B$8*(AG742+AF742)))</f>
        <v>19938.406105220587</v>
      </c>
      <c r="AI742" s="18">
        <f>IF($A742&gt;'1-Input'!$B$26,AG742,AG742-MIN(MAX(AG742,0),'P-Parametri'!$B$8*(AG742+AF742)))</f>
        <v>289456.09865309828</v>
      </c>
      <c r="AJ742" s="18">
        <f>IF($A742&gt;'1-Input'!$B$26,AJ741,AJ741-AE742*(1-AD742))</f>
        <v>134925.16727613745</v>
      </c>
      <c r="AK742" s="11">
        <f>IF($A742&gt;'1-Input'!$B$26,0,IF(AP741&lt;=0,0,MAX(0,(AP741-AQ741)/AP741)))</f>
        <v>0.51625742039106459</v>
      </c>
      <c r="AL742" s="18">
        <f>IF($A742&gt;'1-Input'!$B$26,0,(MAX(0,AK726-IF($A742&gt;='1-Input'!$C$12,'1-Input'!$B$12,0))-MIN(MAX(AO741,0),MAX(0,AK726-IF($A742&gt;='1-Input'!$C$12,'1-Input'!$B$12,0))))*(1/(1-'P-Parametri'!$B$6*AK742))+MIN(MAX(0,AP741-(MAX(0,AK726-IF($A742&gt;='1-Input'!$C$12,'1-Input'!$B$12,0))-MIN(MAX(AO741,0),MAX(0,AK726-IF($A742&gt;='1-Input'!$C$12,'1-Input'!$B$12,0))))*(1/(1-'P-Parametri'!$B$6*AK742))),MAX(0,1*AK726-(AO741-MIN(MAX(AO741,0),MAX(0,AK726-IF($A742&gt;='1-Input'!$C$12,'1-Input'!$B$12,0)))))*(1/(1-'P-Parametri'!$B$6*AK742))))</f>
        <v>23196.034016196292</v>
      </c>
      <c r="AM742" s="18">
        <f>IF($A742&gt;'1-Input'!$B$26,AO741,(AO741-MAX(0,AK726-IF($A742&gt;='1-Input'!$C$12,'1-Input'!$B$12,0))+AL742*(1-'P-Parametri'!$B$6*AK742))*(1+'1-Input'!$B$27))</f>
        <v>19938.426257942814</v>
      </c>
      <c r="AN742" s="18">
        <f>IF($A742&gt;'1-Input'!$B$26,AP741,(AP741-AL742)*(1+$D$4))</f>
        <v>290075.67238178808</v>
      </c>
      <c r="AO742" s="18">
        <f>IF($A742&gt;'1-Input'!$B$26,AM742,AM742-'P-Parametri'!$B$8*(AN742+AM742)+MIN(MAX(AN742,0),'P-Parametri'!$B$8*(AN742+AM742)))</f>
        <v>19938.426257942814</v>
      </c>
      <c r="AP742" s="18">
        <f>IF($A742&gt;'1-Input'!$B$26,AN742,AN742-MIN(MAX(AN742,0),'P-Parametri'!$B$8*(AN742+AM742)))</f>
        <v>289455.64418450865</v>
      </c>
      <c r="AQ742" s="18">
        <f>IF($A742&gt;'1-Input'!$B$26,AQ741,AQ741-AL742*(1-AK742))</f>
        <v>134924.95580746402</v>
      </c>
    </row>
    <row r="743" spans="1:43">
      <c r="A743" s="10">
        <f>15</f>
        <v>15</v>
      </c>
      <c r="B743" s="11">
        <f>IF($A743&gt;'1-Input'!$B$26,0,IF(G742&lt;=0,0,MAX(0,(G742-H742)/G742)))</f>
        <v>0.53405371670201929</v>
      </c>
      <c r="C743" s="18">
        <f>IF($A743&gt;'1-Input'!$B$26,0,(MAX(0,B726-IF($A743&gt;='1-Input'!$C$12,'1-Input'!$B$12,0))-MIN(MAX(F742,0),MAX(0,B726-IF($A743&gt;='1-Input'!$C$12,'1-Input'!$B$12,0))))*(1/(1-'P-Parametri'!$B$6*B743))+MIN(MAX(0,G742-(MAX(0,B726-IF($A743&gt;='1-Input'!$C$12,'1-Input'!$B$12,0))-MIN(MAX(F742,0),MAX(0,B726-IF($A743&gt;='1-Input'!$C$12,'1-Input'!$B$12,0))))*(1/(1-'P-Parametri'!$B$6*B743))),MAX(0,1*B726-(F742-MIN(MAX(F742,0),MAX(0,B726-IF($A743&gt;='1-Input'!$C$12,'1-Input'!$B$12,0)))))*(1/(1-'P-Parametri'!$B$6*B743))))</f>
        <v>19440.497266944749</v>
      </c>
      <c r="D743" s="18">
        <f>IF($A743&gt;'1-Input'!$B$26,F742,(F742-MAX(0,B726-IF($A743&gt;='1-Input'!$C$12,'1-Input'!$B$12,0))+C743*(1-'P-Parametri'!$B$6*B743))*(1+'1-Input'!$B$27))</f>
        <v>16621.00351549315</v>
      </c>
      <c r="E743" s="18">
        <f>IF($A743&gt;'1-Input'!$B$26,G742,(G742-C743)*(1+$D$4))</f>
        <v>358622.56455879071</v>
      </c>
      <c r="F743" s="18">
        <f>IF($A743&gt;'1-Input'!$B$26,D743,D743-'P-Parametri'!$B$8*(E743+D743)+MIN(MAX(E743,0),'P-Parametri'!$B$8*(E743+D743)))</f>
        <v>16621.00351549315</v>
      </c>
      <c r="G743" s="18">
        <f>IF($A743&gt;'1-Input'!$B$26,E743,E743-MIN(MAX(E743,0),'P-Parametri'!$B$8*(E743+D743)))</f>
        <v>357872.07742264215</v>
      </c>
      <c r="H743" s="18">
        <f>IF($A743&gt;'1-Input'!$B$26,H742,H742-C743*(1-B743))</f>
        <v>160671.97217592181</v>
      </c>
      <c r="I743" s="11">
        <f>IF($A743&gt;'1-Input'!$B$26,0,IF(N742&lt;=0,0,MAX(0,(N742-O742)/N742)))</f>
        <v>0.53373109369312033</v>
      </c>
      <c r="J743" s="18">
        <f>IF($A743&gt;'1-Input'!$B$26,0,(MAX(0,I726-IF($A743&gt;='1-Input'!$C$12,'1-Input'!$B$12,0))-MIN(MAX(M742,0),MAX(0,I726-IF($A743&gt;='1-Input'!$C$12,'1-Input'!$B$12,0))))*(1/(1-'P-Parametri'!$B$6*I743))+MIN(MAX(0,N742-(MAX(0,I726-IF($A743&gt;='1-Input'!$C$12,'1-Input'!$B$12,0))-MIN(MAX(M742,0),MAX(0,I726-IF($A743&gt;='1-Input'!$C$12,'1-Input'!$B$12,0))))*(1/(1-'P-Parametri'!$B$6*I743))),MAX(0,1*I726-(M742-MIN(MAX(M742,0),MAX(0,I726-IF($A743&gt;='1-Input'!$C$12,'1-Input'!$B$12,0)))))*(1/(1-'P-Parametri'!$B$6*I743))))</f>
        <v>25577.11026763311</v>
      </c>
      <c r="K743" s="18">
        <f>IF($A743&gt;'1-Input'!$B$26,M742,(M742-MAX(0,I726-IF($A743&gt;='1-Input'!$C$12,'1-Input'!$B$12,0))+J743*(1-'P-Parametri'!$B$6*I743))*(1+'1-Input'!$B$27))</f>
        <v>21869.741467754146</v>
      </c>
      <c r="L743" s="18">
        <f>IF($A743&gt;'1-Input'!$B$26,N742,(N742-J743)*(1+$D$4))</f>
        <v>229138.93634650504</v>
      </c>
      <c r="M743" s="18">
        <f>IF($A743&gt;'1-Input'!$B$26,K743,K743-'P-Parametri'!$B$8*(L743+K743)+MIN(MAX(L743,0),'P-Parametri'!$B$8*(L743+K743)))</f>
        <v>21869.741467754146</v>
      </c>
      <c r="N743" s="18">
        <f>IF($A743&gt;'1-Input'!$B$26,L743,L743-MIN(MAX(L743,0),'P-Parametri'!$B$8*(L743+K743)))</f>
        <v>228636.91899087653</v>
      </c>
      <c r="O743" s="18">
        <f>IF($A743&gt;'1-Input'!$B$26,O742,O742-J743*(1-I743))</f>
        <v>102731.11657942942</v>
      </c>
      <c r="P743" s="11">
        <f>IF($A743&gt;'1-Input'!$B$26,0,IF(U742&lt;=0,0,MAX(0,(U742-V742)/U742)))</f>
        <v>0.53384384020771825</v>
      </c>
      <c r="Q743" s="18">
        <f>IF($A743&gt;'1-Input'!$B$26,0,(MAX(0,P726-IF($A743&gt;='1-Input'!$C$12,'1-Input'!$B$12,0))-MIN(MAX(T742,0),MAX(0,P726-IF($A743&gt;='1-Input'!$C$12,'1-Input'!$B$12,0))))*(1/(1-'P-Parametri'!$B$6*P743))+MIN(MAX(0,U742-(MAX(0,P726-IF($A743&gt;='1-Input'!$C$12,'1-Input'!$B$12,0))-MIN(MAX(T742,0),MAX(0,P726-IF($A743&gt;='1-Input'!$C$12,'1-Input'!$B$12,0))))*(1/(1-'P-Parametri'!$B$6*P743))),MAX(0,1*P726-(T742-MIN(MAX(T742,0),MAX(0,P726-IF($A743&gt;='1-Input'!$C$12,'1-Input'!$B$12,0)))))*(1/(1-'P-Parametri'!$B$6*P743))))</f>
        <v>23727.000076373748</v>
      </c>
      <c r="R743" s="18">
        <f>IF($A743&gt;'1-Input'!$B$26,T742,(T742-MAX(0,P726-IF($A743&gt;='1-Input'!$C$12,'1-Input'!$B$12,0))+Q743*(1-'P-Parametri'!$B$6*P743))*(1+'1-Input'!$B$27))</f>
        <v>20287.111791944739</v>
      </c>
      <c r="S743" s="18">
        <f>IF($A743&gt;'1-Input'!$B$26,U742,(U742-Q743)*(1+$D$4))</f>
        <v>268180.00110707589</v>
      </c>
      <c r="T743" s="18">
        <f>IF($A743&gt;'1-Input'!$B$26,R743,R743-'P-Parametri'!$B$8*(S743+R743)+MIN(MAX(S743,0),'P-Parametri'!$B$8*(S743+R743)))</f>
        <v>20287.111791944739</v>
      </c>
      <c r="U743" s="18">
        <f>IF($A743&gt;'1-Input'!$B$26,S743,S743-MIN(MAX(S743,0),'P-Parametri'!$B$8*(S743+R743)))</f>
        <v>267603.06688127783</v>
      </c>
      <c r="V743" s="18">
        <f>IF($A743&gt;'1-Input'!$B$26,V742,V742-Q743*(1-P743))</f>
        <v>120205.53793188882</v>
      </c>
      <c r="W743" s="11">
        <f>IF($A743&gt;'1-Input'!$B$26,0,IF(AB742&lt;=0,0,MAX(0,(AB742-AC742)/AB742)))</f>
        <v>0.53386601527678645</v>
      </c>
      <c r="X743" s="18">
        <f>IF($A743&gt;'1-Input'!$B$26,0,(MAX(0,W726-IF($A743&gt;='1-Input'!$C$12,'1-Input'!$B$12,0))-MIN(MAX(AA742,0),MAX(0,W726-IF($A743&gt;='1-Input'!$C$12,'1-Input'!$B$12,0))))*(1/(1-'P-Parametri'!$B$6*W743))+MIN(MAX(0,AB742-(MAX(0,W726-IF($A743&gt;='1-Input'!$C$12,'1-Input'!$B$12,0))-MIN(MAX(AA742,0),MAX(0,W726-IF($A743&gt;='1-Input'!$C$12,'1-Input'!$B$12,0))))*(1/(1-'P-Parametri'!$B$6*W743))),MAX(0,1*W726-(AA742-MIN(MAX(AA742,0),MAX(0,W726-IF($A743&gt;='1-Input'!$C$12,'1-Input'!$B$12,0)))))*(1/(1-'P-Parametri'!$B$6*W743))))</f>
        <v>23329.230428279297</v>
      </c>
      <c r="Y743" s="18">
        <f>IF($A743&gt;'1-Input'!$B$26,AA742,(AA742-MAX(0,W726-IF($A743&gt;='1-Input'!$C$12,'1-Input'!$B$12,0))+X743*(1-'P-Parametri'!$B$6*W743))*(1+'1-Input'!$B$27))</f>
        <v>19946.876372417511</v>
      </c>
      <c r="Z743" s="18">
        <f>IF($A743&gt;'1-Input'!$B$26,AB742,(AB742-X743)*(1+$D$4))</f>
        <v>276573.2874660989</v>
      </c>
      <c r="AA743" s="18">
        <f>IF($A743&gt;'1-Input'!$B$26,Y743,Y743-'P-Parametri'!$B$8*(Z743+Y743)+MIN(MAX(Z743,0),'P-Parametri'!$B$8*(Z743+Y743)))</f>
        <v>19946.876372417511</v>
      </c>
      <c r="AB743" s="18">
        <f>IF($A743&gt;'1-Input'!$B$26,Z743,Z743-MIN(MAX(Z743,0),'P-Parametri'!$B$8*(Z743+Y743)))</f>
        <v>275980.24713842187</v>
      </c>
      <c r="AC743" s="18">
        <f>IF($A743&gt;'1-Input'!$B$26,AC742,AC742-X743*(1-W743))</f>
        <v>123961.73899478029</v>
      </c>
      <c r="AD743" s="11">
        <f>IF($A743&gt;'1-Input'!$B$26,0,IF(AI742&lt;=0,0,MAX(0,(AI742-AJ742)/AI742)))</f>
        <v>0.53386655902579572</v>
      </c>
      <c r="AE743" s="18">
        <f>IF($A743&gt;'1-Input'!$B$26,0,(MAX(0,AD726-IF($A743&gt;='1-Input'!$C$12,'1-Input'!$B$12,0))-MIN(MAX(AH742,0),MAX(0,AD726-IF($A743&gt;='1-Input'!$C$12,'1-Input'!$B$12,0))))*(1/(1-'P-Parametri'!$B$6*AD743))+MIN(MAX(0,AI742-(MAX(0,AD726-IF($A743&gt;='1-Input'!$C$12,'1-Input'!$B$12,0))-MIN(MAX(AH742,0),MAX(0,AD726-IF($A743&gt;='1-Input'!$C$12,'1-Input'!$B$12,0))))*(1/(1-'P-Parametri'!$B$6*AD743))),MAX(0,1*AD726-(AH742-MIN(MAX(AH742,0),MAX(0,AD726-IF($A743&gt;='1-Input'!$C$12,'1-Input'!$B$12,0)))))*(1/(1-'P-Parametri'!$B$6*AD743))))</f>
        <v>23319.327702040606</v>
      </c>
      <c r="AF743" s="18">
        <f>IF($A743&gt;'1-Input'!$B$26,AH742,(AH742-MAX(0,AD726-IF($A743&gt;='1-Input'!$C$12,'1-Input'!$B$12,0))+AE743*(1-'P-Parametri'!$B$6*AD743))*(1+'1-Input'!$B$27))</f>
        <v>19938.40610522058</v>
      </c>
      <c r="AG743" s="18">
        <f>IF($A743&gt;'1-Input'!$B$26,AI742,(AI742-AE743)*(1+$D$4))</f>
        <v>276782.24178909999</v>
      </c>
      <c r="AH743" s="18">
        <f>IF($A743&gt;'1-Input'!$B$26,AF743,AF743-'P-Parametri'!$B$8*(AG743+AF743)+MIN(MAX(AG743,0),'P-Parametri'!$B$8*(AG743+AF743)))</f>
        <v>19938.40610522058</v>
      </c>
      <c r="AI743" s="18">
        <f>IF($A743&gt;'1-Input'!$B$26,AG743,AG743-MIN(MAX(AG743,0),'P-Parametri'!$B$8*(AG743+AF743)))</f>
        <v>276188.80049331137</v>
      </c>
      <c r="AJ743" s="18">
        <f>IF($A743&gt;'1-Input'!$B$26,AJ742,AJ742-AE743*(1-AD743))</f>
        <v>124055.24881318018</v>
      </c>
      <c r="AK743" s="11">
        <f>IF($A743&gt;'1-Input'!$B$26,0,IF(AP742&lt;=0,0,MAX(0,(AP742-AQ742)/AP742)))</f>
        <v>0.53386655773256098</v>
      </c>
      <c r="AL743" s="18">
        <f>IF($A743&gt;'1-Input'!$B$26,0,(MAX(0,AK726-IF($A743&gt;='1-Input'!$C$12,'1-Input'!$B$12,0))-MIN(MAX(AO742,0),MAX(0,AK726-IF($A743&gt;='1-Input'!$C$12,'1-Input'!$B$12,0))))*(1/(1-'P-Parametri'!$B$6*AK743))+MIN(MAX(0,AP742-(MAX(0,AK726-IF($A743&gt;='1-Input'!$C$12,'1-Input'!$B$12,0))-MIN(MAX(AO742,0),MAX(0,AK726-IF($A743&gt;='1-Input'!$C$12,'1-Input'!$B$12,0))))*(1/(1-'P-Parametri'!$B$6*AK743))),MAX(0,1*AK726-(AO742-MIN(MAX(AO742,0),MAX(0,AK726-IF($A743&gt;='1-Input'!$C$12,'1-Input'!$B$12,0)))))*(1/(1-'P-Parametri'!$B$6*AK743))))</f>
        <v>23319.351262920958</v>
      </c>
      <c r="AM743" s="18">
        <f>IF($A743&gt;'1-Input'!$B$26,AO742,(AO742-MAX(0,AK726-IF($A743&gt;='1-Input'!$C$12,'1-Input'!$B$12,0))+AL743*(1-'P-Parametri'!$B$6*AK743))*(1+'1-Input'!$B$27))</f>
        <v>19938.426257942814</v>
      </c>
      <c r="AN743" s="18">
        <f>IF($A743&gt;'1-Input'!$B$26,AP742,(AP742-AL743)*(1+$D$4))</f>
        <v>276781.7446384512</v>
      </c>
      <c r="AO743" s="18">
        <f>IF($A743&gt;'1-Input'!$B$26,AM743,AM743-'P-Parametri'!$B$8*(AN743+AM743)+MIN(MAX(AN743,0),'P-Parametri'!$B$8*(AN743+AM743)))</f>
        <v>19938.426257942814</v>
      </c>
      <c r="AP743" s="18">
        <f>IF($A743&gt;'1-Input'!$B$26,AN743,AN743-MIN(MAX(AN743,0),'P-Parametri'!$B$8*(AN743+AM743)))</f>
        <v>276188.30429665843</v>
      </c>
      <c r="AQ743" s="18">
        <f>IF($A743&gt;'1-Input'!$B$26,AQ742,AQ742-AL743*(1-AK743))</f>
        <v>124055.02633183512</v>
      </c>
    </row>
    <row r="744" spans="1:43">
      <c r="A744" s="10">
        <f>16</f>
        <v>16</v>
      </c>
      <c r="B744" s="11">
        <f>IF($A744&gt;'1-Input'!$B$26,0,IF(G743&lt;=0,0,MAX(0,(G743-H743)/G743)))</f>
        <v>0.55103518180835787</v>
      </c>
      <c r="C744" s="18">
        <f>IF($A744&gt;'1-Input'!$B$26,0,(MAX(0,B726-IF($A744&gt;='1-Input'!$C$12,'1-Input'!$B$12,0))-MIN(MAX(F743,0),MAX(0,B726-IF($A744&gt;='1-Input'!$C$12,'1-Input'!$B$12,0))))*(1/(1-'P-Parametri'!$B$6*B744))+MIN(MAX(0,G743-(MAX(0,B726-IF($A744&gt;='1-Input'!$C$12,'1-Input'!$B$12,0))-MIN(MAX(F743,0),MAX(0,B726-IF($A744&gt;='1-Input'!$C$12,'1-Input'!$B$12,0))))*(1/(1-'P-Parametri'!$B$6*B744))),MAX(0,1*B726-(F743-MIN(MAX(F743,0),MAX(0,B726-IF($A744&gt;='1-Input'!$C$12,'1-Input'!$B$12,0)))))*(1/(1-'P-Parametri'!$B$6*B744))))</f>
        <v>19540.684288905632</v>
      </c>
      <c r="D744" s="18">
        <f>IF($A744&gt;'1-Input'!$B$26,F743,(F743-MAX(0,B726-IF($A744&gt;='1-Input'!$C$12,'1-Input'!$B$12,0))+C744*(1-'P-Parametri'!$B$6*B744))*(1+'1-Input'!$B$27))</f>
        <v>16621.00351549315</v>
      </c>
      <c r="E744" s="18">
        <f>IF($A744&gt;'1-Input'!$B$26,G743,(G743-C744)*(1+$D$4))</f>
        <v>351864.64885908598</v>
      </c>
      <c r="F744" s="18">
        <f>IF($A744&gt;'1-Input'!$B$26,D744,D744-'P-Parametri'!$B$8*(E744+D744)+MIN(MAX(E744,0),'P-Parametri'!$B$8*(E744+D744)))</f>
        <v>16621.00351549315</v>
      </c>
      <c r="G744" s="18">
        <f>IF($A744&gt;'1-Input'!$B$26,E744,E744-MIN(MAX(E744,0),'P-Parametri'!$B$8*(E744+D744)))</f>
        <v>351127.67755433684</v>
      </c>
      <c r="H744" s="18">
        <f>IF($A744&gt;'1-Input'!$B$26,H743,H743-C744*(1-B744))</f>
        <v>151898.89240681301</v>
      </c>
      <c r="I744" s="11">
        <f>IF($A744&gt;'1-Input'!$B$26,0,IF(N743&lt;=0,0,MAX(0,(N743-O743)/N743)))</f>
        <v>0.55068010436438408</v>
      </c>
      <c r="J744" s="18">
        <f>IF($A744&gt;'1-Input'!$B$26,0,(MAX(0,I726-IF($A744&gt;='1-Input'!$C$12,'1-Input'!$B$12,0))-MIN(MAX(M743,0),MAX(0,I726-IF($A744&gt;='1-Input'!$C$12,'1-Input'!$B$12,0))))*(1/(1-'P-Parametri'!$B$6*I744))+MIN(MAX(0,N743-(MAX(0,I726-IF($A744&gt;='1-Input'!$C$12,'1-Input'!$B$12,0))-MIN(MAX(M743,0),MAX(0,I726-IF($A744&gt;='1-Input'!$C$12,'1-Input'!$B$12,0))))*(1/(1-'P-Parametri'!$B$6*I744))),MAX(0,1*I726-(M743-MIN(MAX(M743,0),MAX(0,I726-IF($A744&gt;='1-Input'!$C$12,'1-Input'!$B$12,0)))))*(1/(1-'P-Parametri'!$B$6*I744))))</f>
        <v>25708.656366565403</v>
      </c>
      <c r="K744" s="18">
        <f>IF($A744&gt;'1-Input'!$B$26,M743,(M743-MAX(0,I726-IF($A744&gt;='1-Input'!$C$12,'1-Input'!$B$12,0))+J744*(1-'P-Parametri'!$B$6*I744))*(1+'1-Input'!$B$27))</f>
        <v>21869.741467754146</v>
      </c>
      <c r="L744" s="18">
        <f>IF($A744&gt;'1-Input'!$B$26,N743,(N743-J744)*(1+$D$4))</f>
        <v>211045.39312928356</v>
      </c>
      <c r="M744" s="18">
        <f>IF($A744&gt;'1-Input'!$B$26,K744,K744-'P-Parametri'!$B$8*(L744+K744)+MIN(MAX(L744,0),'P-Parametri'!$B$8*(L744+K744)))</f>
        <v>21869.741467754146</v>
      </c>
      <c r="N744" s="18">
        <f>IF($A744&gt;'1-Input'!$B$26,L744,L744-MIN(MAX(L744,0),'P-Parametri'!$B$8*(L744+K744)))</f>
        <v>210579.5628600895</v>
      </c>
      <c r="O744" s="18">
        <f>IF($A744&gt;'1-Input'!$B$26,O743,O743-J744*(1-I744))</f>
        <v>91179.705783872341</v>
      </c>
      <c r="P744" s="11">
        <f>IF($A744&gt;'1-Input'!$B$26,0,IF(U743&lt;=0,0,MAX(0,(U743-V743)/U743)))</f>
        <v>0.55080657582591142</v>
      </c>
      <c r="Q744" s="18">
        <f>IF($A744&gt;'1-Input'!$B$26,0,(MAX(0,P726-IF($A744&gt;='1-Input'!$C$12,'1-Input'!$B$12,0))-MIN(MAX(T743,0),MAX(0,P726-IF($A744&gt;='1-Input'!$C$12,'1-Input'!$B$12,0))))*(1/(1-'P-Parametri'!$B$6*P744))+MIN(MAX(0,U743-(MAX(0,P726-IF($A744&gt;='1-Input'!$C$12,'1-Input'!$B$12,0))-MIN(MAX(T743,0),MAX(0,P726-IF($A744&gt;='1-Input'!$C$12,'1-Input'!$B$12,0))))*(1/(1-'P-Parametri'!$B$6*P744))),MAX(0,1*P726-(T743-MIN(MAX(T743,0),MAX(0,P726-IF($A744&gt;='1-Input'!$C$12,'1-Input'!$B$12,0)))))*(1/(1-'P-Parametri'!$B$6*P744))))</f>
        <v>23849.134345175207</v>
      </c>
      <c r="R744" s="18">
        <f>IF($A744&gt;'1-Input'!$B$26,T743,(T743-MAX(0,P726-IF($A744&gt;='1-Input'!$C$12,'1-Input'!$B$12,0))+Q744*(1-'P-Parametri'!$B$6*P744))*(1+'1-Input'!$B$27))</f>
        <v>20287.111791944742</v>
      </c>
      <c r="S744" s="18">
        <f>IF($A744&gt;'1-Input'!$B$26,U743,(U743-Q744)*(1+$D$4))</f>
        <v>253504.08983754675</v>
      </c>
      <c r="T744" s="18">
        <f>IF($A744&gt;'1-Input'!$B$26,R744,R744-'P-Parametri'!$B$8*(S744+R744)+MIN(MAX(S744,0),'P-Parametri'!$B$8*(S744+R744)))</f>
        <v>20287.111791944742</v>
      </c>
      <c r="U744" s="18">
        <f>IF($A744&gt;'1-Input'!$B$26,S744,S744-MIN(MAX(S744,0),'P-Parametri'!$B$8*(S744+R744)))</f>
        <v>252956.50743428778</v>
      </c>
      <c r="V744" s="18">
        <f>IF($A744&gt;'1-Input'!$B$26,V743,V743-Q744*(1-P744))</f>
        <v>109492.66361179171</v>
      </c>
      <c r="W744" s="11">
        <f>IF($A744&gt;'1-Input'!$B$26,0,IF(AB743&lt;=0,0,MAX(0,(AB743-AC743)/AB743)))</f>
        <v>0.55083111824084463</v>
      </c>
      <c r="X744" s="18">
        <f>IF($A744&gt;'1-Input'!$B$26,0,(MAX(0,W726-IF($A744&gt;='1-Input'!$C$12,'1-Input'!$B$12,0))-MIN(MAX(AA743,0),MAX(0,W726-IF($A744&gt;='1-Input'!$C$12,'1-Input'!$B$12,0))))*(1/(1-'P-Parametri'!$B$6*W744))+MIN(MAX(0,AB743-(MAX(0,W726-IF($A744&gt;='1-Input'!$C$12,'1-Input'!$B$12,0))-MIN(MAX(AA743,0),MAX(0,W726-IF($A744&gt;='1-Input'!$C$12,'1-Input'!$B$12,0))))*(1/(1-'P-Parametri'!$B$6*W744))),MAX(0,1*W726-(AA743-MIN(MAX(AA743,0),MAX(0,W726-IF($A744&gt;='1-Input'!$C$12,'1-Input'!$B$12,0)))))*(1/(1-'P-Parametri'!$B$6*W744))))</f>
        <v>23449.334839581876</v>
      </c>
      <c r="Y744" s="18">
        <f>IF($A744&gt;'1-Input'!$B$26,AA743,(AA743-MAX(0,W726-IF($A744&gt;='1-Input'!$C$12,'1-Input'!$B$12,0))+X744*(1-'P-Parametri'!$B$6*W744))*(1+'1-Input'!$B$27))</f>
        <v>19946.876372417511</v>
      </c>
      <c r="Z744" s="18">
        <f>IF($A744&gt;'1-Input'!$B$26,AB743,(AB743-X744)*(1+$D$4))</f>
        <v>262632.14879079361</v>
      </c>
      <c r="AA744" s="18">
        <f>IF($A744&gt;'1-Input'!$B$26,Y744,Y744-'P-Parametri'!$B$8*(Z744+Y744)+MIN(MAX(Z744,0),'P-Parametri'!$B$8*(Z744+Y744)))</f>
        <v>19946.876372417511</v>
      </c>
      <c r="AB744" s="18">
        <f>IF($A744&gt;'1-Input'!$B$26,Z744,Z744-MIN(MAX(Z744,0),'P-Parametri'!$B$8*(Z744+Y744)))</f>
        <v>262066.99074046718</v>
      </c>
      <c r="AC744" s="18">
        <f>IF($A744&gt;'1-Input'!$B$26,AC743,AC743-X744*(1-W744))</f>
        <v>113429.02748688929</v>
      </c>
      <c r="AD744" s="11">
        <f>IF($A744&gt;'1-Input'!$B$26,0,IF(AI743&lt;=0,0,MAX(0,(AI743-AJ743)/AI743)))</f>
        <v>0.55083171876774017</v>
      </c>
      <c r="AE744" s="18">
        <f>IF($A744&gt;'1-Input'!$B$26,0,(MAX(0,AD726-IF($A744&gt;='1-Input'!$C$12,'1-Input'!$B$12,0))-MIN(MAX(AH743,0),MAX(0,AD726-IF($A744&gt;='1-Input'!$C$12,'1-Input'!$B$12,0))))*(1/(1-'P-Parametri'!$B$6*AD744))+MIN(MAX(0,AI743-(MAX(0,AD726-IF($A744&gt;='1-Input'!$C$12,'1-Input'!$B$12,0))-MIN(MAX(AH743,0),MAX(0,AD726-IF($A744&gt;='1-Input'!$C$12,'1-Input'!$B$12,0))))*(1/(1-'P-Parametri'!$B$6*AD744))),MAX(0,1*AD726-(AH743-MIN(MAX(AH743,0),MAX(0,AD726-IF($A744&gt;='1-Input'!$C$12,'1-Input'!$B$12,0)))))*(1/(1-'P-Parametri'!$B$6*AD744))))</f>
        <v>23439.381555426316</v>
      </c>
      <c r="AF744" s="18">
        <f>IF($A744&gt;'1-Input'!$B$26,AH743,(AH743-MAX(0,AD726-IF($A744&gt;='1-Input'!$C$12,'1-Input'!$B$12,0))+AE744*(1-'P-Parametri'!$B$6*AD744))*(1+'1-Input'!$B$27))</f>
        <v>19938.40610522058</v>
      </c>
      <c r="AG744" s="18">
        <f>IF($A744&gt;'1-Input'!$B$26,AI743,(AI743-AE744)*(1+$D$4))</f>
        <v>262859.39569540048</v>
      </c>
      <c r="AH744" s="18">
        <f>IF($A744&gt;'1-Input'!$B$26,AF744,AF744-'P-Parametri'!$B$8*(AG744+AF744)+MIN(MAX(AG744,0),'P-Parametri'!$B$8*(AG744+AF744)))</f>
        <v>19938.40610522058</v>
      </c>
      <c r="AI744" s="18">
        <f>IF($A744&gt;'1-Input'!$B$26,AG744,AG744-MIN(MAX(AG744,0),'P-Parametri'!$B$8*(AG744+AF744)))</f>
        <v>262293.80009179923</v>
      </c>
      <c r="AJ744" s="18">
        <f>IF($A744&gt;'1-Input'!$B$26,AJ743,AJ743-AE744*(1-AD744))</f>
        <v>113527.02208678221</v>
      </c>
      <c r="AK744" s="11">
        <f>IF($A744&gt;'1-Input'!$B$26,0,IF(AP743&lt;=0,0,MAX(0,(AP743-AQ743)/AP743)))</f>
        <v>0.55083171733953806</v>
      </c>
      <c r="AL744" s="18">
        <f>IF($A744&gt;'1-Input'!$B$26,0,(MAX(0,AK726-IF($A744&gt;='1-Input'!$C$12,'1-Input'!$B$12,0))-MIN(MAX(AO743,0),MAX(0,AK726-IF($A744&gt;='1-Input'!$C$12,'1-Input'!$B$12,0))))*(1/(1-'P-Parametri'!$B$6*AK744))+MIN(MAX(0,AP743-(MAX(0,AK726-IF($A744&gt;='1-Input'!$C$12,'1-Input'!$B$12,0))-MIN(MAX(AO743,0),MAX(0,AK726-IF($A744&gt;='1-Input'!$C$12,'1-Input'!$B$12,0))))*(1/(1-'P-Parametri'!$B$6*AK744))),MAX(0,1*AK726-(AO743-MIN(MAX(AO743,0),MAX(0,AK726-IF($A744&gt;='1-Input'!$C$12,'1-Input'!$B$12,0)))))*(1/(1-'P-Parametri'!$B$6*AK744))))</f>
        <v>23439.405236596962</v>
      </c>
      <c r="AM744" s="18">
        <f>IF($A744&gt;'1-Input'!$B$26,AO743,(AO743-MAX(0,AK726-IF($A744&gt;='1-Input'!$C$12,'1-Input'!$B$12,0))+AL744*(1-'P-Parametri'!$B$6*AK744))*(1+'1-Input'!$B$27))</f>
        <v>19938.426257942818</v>
      </c>
      <c r="AN744" s="18">
        <f>IF($A744&gt;'1-Input'!$B$26,AP743,(AP743-AL744)*(1+$D$4))</f>
        <v>262858.85502246395</v>
      </c>
      <c r="AO744" s="18">
        <f>IF($A744&gt;'1-Input'!$B$26,AM744,AM744-'P-Parametri'!$B$8*(AN744+AM744)+MIN(MAX(AN744,0),'P-Parametri'!$B$8*(AN744+AM744)))</f>
        <v>19938.426257942818</v>
      </c>
      <c r="AP744" s="18">
        <f>IF($A744&gt;'1-Input'!$B$26,AN744,AN744-MIN(MAX(AN744,0),'P-Parametri'!$B$8*(AN744+AM744)))</f>
        <v>262293.26045990316</v>
      </c>
      <c r="AQ744" s="18">
        <f>IF($A744&gt;'1-Input'!$B$26,AQ743,AQ743-AL744*(1-AK744))</f>
        <v>113526.78893513023</v>
      </c>
    </row>
    <row r="745" spans="1:43">
      <c r="A745" s="10">
        <f>17</f>
        <v>17</v>
      </c>
      <c r="B745" s="11">
        <f>IF($A745&gt;'1-Input'!$B$26,0,IF(G744&lt;=0,0,MAX(0,(G744-H744)/G744)))</f>
        <v>0.56739698372736014</v>
      </c>
      <c r="C745" s="18">
        <f>IF($A745&gt;'1-Input'!$B$26,0,(MAX(0,B726-IF($A745&gt;='1-Input'!$C$12,'1-Input'!$B$12,0))-MIN(MAX(F744,0),MAX(0,B726-IF($A745&gt;='1-Input'!$C$12,'1-Input'!$B$12,0))))*(1/(1-'P-Parametri'!$B$6*B745))+MIN(MAX(0,G744-(MAX(0,B726-IF($A745&gt;='1-Input'!$C$12,'1-Input'!$B$12,0))-MIN(MAX(F744,0),MAX(0,B726-IF($A745&gt;='1-Input'!$C$12,'1-Input'!$B$12,0))))*(1/(1-'P-Parametri'!$B$6*B745))),MAX(0,1*B726-(F744-MIN(MAX(F744,0),MAX(0,B726-IF($A745&gt;='1-Input'!$C$12,'1-Input'!$B$12,0)))))*(1/(1-'P-Parametri'!$B$6*B745))))</f>
        <v>19638.197102179693</v>
      </c>
      <c r="D745" s="18">
        <f>IF($A745&gt;'1-Input'!$B$26,F744,(F744-MAX(0,B726-IF($A745&gt;='1-Input'!$C$12,'1-Input'!$B$12,0))+C745*(1-'P-Parametri'!$B$6*B745))*(1+'1-Input'!$B$27))</f>
        <v>16621.00351549315</v>
      </c>
      <c r="E745" s="18">
        <f>IF($A745&gt;'1-Input'!$B$26,G744,(G744-C745)*(1+$D$4))</f>
        <v>344749.05967024347</v>
      </c>
      <c r="F745" s="18">
        <f>IF($A745&gt;'1-Input'!$B$26,D745,D745-'P-Parametri'!$B$8*(E745+D745)+MIN(MAX(E745,0),'P-Parametri'!$B$8*(E745+D745)))</f>
        <v>16621.00351549315</v>
      </c>
      <c r="G745" s="18">
        <f>IF($A745&gt;'1-Input'!$B$26,E745,E745-MIN(MAX(E745,0),'P-Parametri'!$B$8*(E745+D745)))</f>
        <v>344026.31954387197</v>
      </c>
      <c r="H745" s="18">
        <f>IF($A745&gt;'1-Input'!$B$26,H744,H744-C745*(1-B745))</f>
        <v>143403.34910625347</v>
      </c>
      <c r="I745" s="11">
        <f>IF($A745&gt;'1-Input'!$B$26,0,IF(N744&lt;=0,0,MAX(0,(N744-O744)/N744)))</f>
        <v>0.56700591194382544</v>
      </c>
      <c r="J745" s="18">
        <f>IF($A745&gt;'1-Input'!$B$26,0,(MAX(0,I726-IF($A745&gt;='1-Input'!$C$12,'1-Input'!$B$12,0))-MIN(MAX(M744,0),MAX(0,I726-IF($A745&gt;='1-Input'!$C$12,'1-Input'!$B$12,0))))*(1/(1-'P-Parametri'!$B$6*I745))+MIN(MAX(0,N744-(MAX(0,I726-IF($A745&gt;='1-Input'!$C$12,'1-Input'!$B$12,0))-MIN(MAX(M744,0),MAX(0,I726-IF($A745&gt;='1-Input'!$C$12,'1-Input'!$B$12,0))))*(1/(1-'P-Parametri'!$B$6*I745))),MAX(0,1*I726-(M744-MIN(MAX(M744,0),MAX(0,I726-IF($A745&gt;='1-Input'!$C$12,'1-Input'!$B$12,0)))))*(1/(1-'P-Parametri'!$B$6*I745))))</f>
        <v>25836.651377887643</v>
      </c>
      <c r="K745" s="18">
        <f>IF($A745&gt;'1-Input'!$B$26,M744,(M744-MAX(0,I726-IF($A745&gt;='1-Input'!$C$12,'1-Input'!$B$12,0))+J745*(1-'P-Parametri'!$B$6*I745))*(1+'1-Input'!$B$27))</f>
        <v>21869.741467754146</v>
      </c>
      <c r="L745" s="18">
        <f>IF($A745&gt;'1-Input'!$B$26,N744,(N744-J745)*(1+$D$4))</f>
        <v>192132.62794148995</v>
      </c>
      <c r="M745" s="18">
        <f>IF($A745&gt;'1-Input'!$B$26,K745,K745-'P-Parametri'!$B$8*(L745+K745)+MIN(MAX(L745,0),'P-Parametri'!$B$8*(L745+K745)))</f>
        <v>21869.741467754146</v>
      </c>
      <c r="N745" s="18">
        <f>IF($A745&gt;'1-Input'!$B$26,L745,L745-MIN(MAX(L745,0),'P-Parametri'!$B$8*(L745+K745)))</f>
        <v>191704.62320267147</v>
      </c>
      <c r="O745" s="18">
        <f>IF($A745&gt;'1-Input'!$B$26,O744,O744-J745*(1-I745))</f>
        <v>79992.588482078572</v>
      </c>
      <c r="P745" s="11">
        <f>IF($A745&gt;'1-Input'!$B$26,0,IF(U744&lt;=0,0,MAX(0,(U744-V744)/U744)))</f>
        <v>0.56714826306559696</v>
      </c>
      <c r="Q745" s="18">
        <f>IF($A745&gt;'1-Input'!$B$26,0,(MAX(0,P726-IF($A745&gt;='1-Input'!$C$12,'1-Input'!$B$12,0))-MIN(MAX(T744,0),MAX(0,P726-IF($A745&gt;='1-Input'!$C$12,'1-Input'!$B$12,0))))*(1/(1-'P-Parametri'!$B$6*P745))+MIN(MAX(0,U744-(MAX(0,P726-IF($A745&gt;='1-Input'!$C$12,'1-Input'!$B$12,0))-MIN(MAX(T744,0),MAX(0,P726-IF($A745&gt;='1-Input'!$C$12,'1-Input'!$B$12,0))))*(1/(1-'P-Parametri'!$B$6*P745))),MAX(0,1*P726-(T744-MIN(MAX(T744,0),MAX(0,P726-IF($A745&gt;='1-Input'!$C$12,'1-Input'!$B$12,0)))))*(1/(1-'P-Parametri'!$B$6*P745))))</f>
        <v>23967.992055090726</v>
      </c>
      <c r="R745" s="18">
        <f>IF($A745&gt;'1-Input'!$B$26,T744,(T744-MAX(0,P726-IF($A745&gt;='1-Input'!$C$12,'1-Input'!$B$12,0))+Q745*(1-'P-Parametri'!$B$6*P745))*(1+'1-Input'!$B$27))</f>
        <v>20287.111791944739</v>
      </c>
      <c r="S745" s="18">
        <f>IF($A745&gt;'1-Input'!$B$26,U744,(U744-Q745)*(1+$D$4))</f>
        <v>238148.05599436493</v>
      </c>
      <c r="T745" s="18">
        <f>IF($A745&gt;'1-Input'!$B$26,R745,R745-'P-Parametri'!$B$8*(S745+R745)+MIN(MAX(S745,0),'P-Parametri'!$B$8*(S745+R745)))</f>
        <v>20287.111791944735</v>
      </c>
      <c r="U745" s="18">
        <f>IF($A745&gt;'1-Input'!$B$26,S745,S745-MIN(MAX(S745,0),'P-Parametri'!$B$8*(S745+R745)))</f>
        <v>237631.1856587923</v>
      </c>
      <c r="V745" s="18">
        <f>IF($A745&gt;'1-Input'!$B$26,V744,V744-Q745*(1-P745))</f>
        <v>99118.076619915722</v>
      </c>
      <c r="W745" s="11">
        <f>IF($A745&gt;'1-Input'!$B$26,0,IF(AB744&lt;=0,0,MAX(0,(AB744-AC744)/AB744)))</f>
        <v>0.56717544942841935</v>
      </c>
      <c r="X745" s="18">
        <f>IF($A745&gt;'1-Input'!$B$26,0,(MAX(0,W726-IF($A745&gt;='1-Input'!$C$12,'1-Input'!$B$12,0))-MIN(MAX(AA744,0),MAX(0,W726-IF($A745&gt;='1-Input'!$C$12,'1-Input'!$B$12,0))))*(1/(1-'P-Parametri'!$B$6*W745))+MIN(MAX(0,AB744-(MAX(0,W726-IF($A745&gt;='1-Input'!$C$12,'1-Input'!$B$12,0))-MIN(MAX(AA744,0),MAX(0,W726-IF($A745&gt;='1-Input'!$C$12,'1-Input'!$B$12,0))))*(1/(1-'P-Parametri'!$B$6*W745))),MAX(0,1*W726-(AA744-MIN(MAX(AA744,0),MAX(0,W726-IF($A745&gt;='1-Input'!$C$12,'1-Input'!$B$12,0)))))*(1/(1-'P-Parametri'!$B$6*W745))))</f>
        <v>23566.219932551441</v>
      </c>
      <c r="Y745" s="18">
        <f>IF($A745&gt;'1-Input'!$B$26,AA744,(AA744-MAX(0,W726-IF($A745&gt;='1-Input'!$C$12,'1-Input'!$B$12,0))+X745*(1-'P-Parametri'!$B$6*W745))*(1+'1-Input'!$B$27))</f>
        <v>19946.876372417508</v>
      </c>
      <c r="Z745" s="18">
        <f>IF($A745&gt;'1-Input'!$B$26,AB744,(AB744-X745)*(1+$D$4))</f>
        <v>248040.80164023238</v>
      </c>
      <c r="AA745" s="18">
        <f>IF($A745&gt;'1-Input'!$B$26,Y745,Y745-'P-Parametri'!$B$8*(Z745+Y745)+MIN(MAX(Z745,0),'P-Parametri'!$B$8*(Z745+Y745)))</f>
        <v>19946.876372417508</v>
      </c>
      <c r="AB745" s="18">
        <f>IF($A745&gt;'1-Input'!$B$26,Z745,Z745-MIN(MAX(Z745,0),'P-Parametri'!$B$8*(Z745+Y745)))</f>
        <v>247504.82628420708</v>
      </c>
      <c r="AC745" s="18">
        <f>IF($A745&gt;'1-Input'!$B$26,AC744,AC744-X745*(1-W745))</f>
        <v>103228.98893591168</v>
      </c>
      <c r="AD745" s="11">
        <f>IF($A745&gt;'1-Input'!$B$26,0,IF(AI744&lt;=0,0,MAX(0,(AI744-AJ744)/AI744)))</f>
        <v>0.56717611301887694</v>
      </c>
      <c r="AE745" s="18">
        <f>IF($A745&gt;'1-Input'!$B$26,0,(MAX(0,AD726-IF($A745&gt;='1-Input'!$C$12,'1-Input'!$B$12,0))-MIN(MAX(AH744,0),MAX(0,AD726-IF($A745&gt;='1-Input'!$C$12,'1-Input'!$B$12,0))))*(1/(1-'P-Parametri'!$B$6*AD745))+MIN(MAX(0,AI744-(MAX(0,AD726-IF($A745&gt;='1-Input'!$C$12,'1-Input'!$B$12,0))-MIN(MAX(AH744,0),MAX(0,AD726-IF($A745&gt;='1-Input'!$C$12,'1-Input'!$B$12,0))))*(1/(1-'P-Parametri'!$B$6*AD745))),MAX(0,1*AD726-(AH744-MIN(MAX(AH744,0),MAX(0,AD726-IF($A745&gt;='1-Input'!$C$12,'1-Input'!$B$12,0)))))*(1/(1-'P-Parametri'!$B$6*AD745))))</f>
        <v>23556.217509898765</v>
      </c>
      <c r="AF745" s="18">
        <f>IF($A745&gt;'1-Input'!$B$26,AH744,(AH744-MAX(0,AD726-IF($A745&gt;='1-Input'!$C$12,'1-Input'!$B$12,0))+AE745*(1-'P-Parametri'!$B$6*AD745))*(1+'1-Input'!$B$27))</f>
        <v>19938.406105220583</v>
      </c>
      <c r="AG745" s="18">
        <f>IF($A745&gt;'1-Input'!$B$26,AI744,(AI744-AE745)*(1+$D$4))</f>
        <v>248287.08588517649</v>
      </c>
      <c r="AH745" s="18">
        <f>IF($A745&gt;'1-Input'!$B$26,AF745,AF745-'P-Parametri'!$B$8*(AG745+AF745)+MIN(MAX(AG745,0),'P-Parametri'!$B$8*(AG745+AF745)))</f>
        <v>19938.406105220583</v>
      </c>
      <c r="AI745" s="18">
        <f>IF($A745&gt;'1-Input'!$B$26,AG745,AG745-MIN(MAX(AG745,0),'P-Parametri'!$B$8*(AG745+AF745)))</f>
        <v>247750.63490119571</v>
      </c>
      <c r="AJ745" s="18">
        <f>IF($A745&gt;'1-Input'!$B$26,AJ744,AJ744-AE745*(1-AD745))</f>
        <v>103331.32846157503</v>
      </c>
      <c r="AK745" s="11">
        <f>IF($A745&gt;'1-Input'!$B$26,0,IF(AP744&lt;=0,0,MAX(0,(AP744-AQ744)/AP744)))</f>
        <v>0.56717611144078517</v>
      </c>
      <c r="AL745" s="18">
        <f>IF($A745&gt;'1-Input'!$B$26,0,(MAX(0,AK726-IF($A745&gt;='1-Input'!$C$12,'1-Input'!$B$12,0))-MIN(MAX(AO744,0),MAX(0,AK726-IF($A745&gt;='1-Input'!$C$12,'1-Input'!$B$12,0))))*(1/(1-'P-Parametri'!$B$6*AK745))+MIN(MAX(0,AP744-(MAX(0,AK726-IF($A745&gt;='1-Input'!$C$12,'1-Input'!$B$12,0))-MIN(MAX(AO744,0),MAX(0,AK726-IF($A745&gt;='1-Input'!$C$12,'1-Input'!$B$12,0))))*(1/(1-'P-Parametri'!$B$6*AK745))),MAX(0,1*AK726-(AO744-MIN(MAX(AO744,0),MAX(0,AK726-IF($A745&gt;='1-Input'!$C$12,'1-Input'!$B$12,0)))))*(1/(1-'P-Parametri'!$B$6*AK745))))</f>
        <v>23556.241307982873</v>
      </c>
      <c r="AM745" s="18">
        <f>IF($A745&gt;'1-Input'!$B$26,AO744,(AO744-MAX(0,AK726-IF($A745&gt;='1-Input'!$C$12,'1-Input'!$B$12,0))+AL745*(1-'P-Parametri'!$B$6*AK745))*(1+'1-Input'!$B$27))</f>
        <v>19938.426257942814</v>
      </c>
      <c r="AN745" s="18">
        <f>IF($A745&gt;'1-Input'!$B$26,AP744,(AP744-AL745)*(1+$D$4))</f>
        <v>248286.49991799711</v>
      </c>
      <c r="AO745" s="18">
        <f>IF($A745&gt;'1-Input'!$B$26,AM745,AM745-'P-Parametri'!$B$8*(AN745+AM745)+MIN(MAX(AN745,0),'P-Parametri'!$B$8*(AN745+AM745)))</f>
        <v>19938.426257942814</v>
      </c>
      <c r="AP745" s="18">
        <f>IF($A745&gt;'1-Input'!$B$26,AN745,AN745-MIN(MAX(AN745,0),'P-Parametri'!$B$8*(AN745+AM745)))</f>
        <v>247750.05006564522</v>
      </c>
      <c r="AQ745" s="18">
        <f>IF($A745&gt;'1-Input'!$B$26,AQ744,AQ744-AL745*(1-AK745))</f>
        <v>103331.08497236988</v>
      </c>
    </row>
    <row r="746" spans="1:43">
      <c r="A746" s="10">
        <f>18</f>
        <v>18</v>
      </c>
      <c r="B746" s="11">
        <f>IF($A746&gt;'1-Input'!$B$26,0,IF(G745&lt;=0,0,MAX(0,(G745-H745)/G745)))</f>
        <v>0.58316169153457476</v>
      </c>
      <c r="C746" s="18">
        <f>IF($A746&gt;'1-Input'!$B$26,0,(MAX(0,B726-IF($A746&gt;='1-Input'!$C$12,'1-Input'!$B$12,0))-MIN(MAX(F745,0),MAX(0,B726-IF($A746&gt;='1-Input'!$C$12,'1-Input'!$B$12,0))))*(1/(1-'P-Parametri'!$B$6*B746))+MIN(MAX(0,G745-(MAX(0,B726-IF($A746&gt;='1-Input'!$C$12,'1-Input'!$B$12,0))-MIN(MAX(F745,0),MAX(0,B726-IF($A746&gt;='1-Input'!$C$12,'1-Input'!$B$12,0))))*(1/(1-'P-Parametri'!$B$6*B746))),MAX(0,1*B726-(F745-MIN(MAX(F745,0),MAX(0,B726-IF($A746&gt;='1-Input'!$C$12,'1-Input'!$B$12,0)))))*(1/(1-'P-Parametri'!$B$6*B746))))</f>
        <v>19733.076410650625</v>
      </c>
      <c r="D746" s="18">
        <f>IF($A746&gt;'1-Input'!$B$26,F745,(F745-MAX(0,B726-IF($A746&gt;='1-Input'!$C$12,'1-Input'!$B$12,0))+C746*(1-'P-Parametri'!$B$6*B746))*(1+'1-Input'!$B$27))</f>
        <v>16621.00351549315</v>
      </c>
      <c r="E746" s="18">
        <f>IF($A746&gt;'1-Input'!$B$26,G745,(G745-C746)*(1+$D$4))</f>
        <v>337264.9728585502</v>
      </c>
      <c r="F746" s="18">
        <f>IF($A746&gt;'1-Input'!$B$26,D746,D746-'P-Parametri'!$B$8*(E746+D746)+MIN(MAX(E746,0),'P-Parametri'!$B$8*(E746+D746)))</f>
        <v>16621.00351549315</v>
      </c>
      <c r="G746" s="18">
        <f>IF($A746&gt;'1-Input'!$B$26,E746,E746-MIN(MAX(E746,0),'P-Parametri'!$B$8*(E746+D746)))</f>
        <v>336557.20090580214</v>
      </c>
      <c r="H746" s="18">
        <f>IF($A746&gt;'1-Input'!$B$26,H745,H745-C746*(1-B746))</f>
        <v>135177.84691441889</v>
      </c>
      <c r="I746" s="11">
        <f>IF($A746&gt;'1-Input'!$B$26,0,IF(N745&lt;=0,0,MAX(0,(N745-O745)/N745)))</f>
        <v>0.58272999813097959</v>
      </c>
      <c r="J746" s="18">
        <f>IF($A746&gt;'1-Input'!$B$26,0,(MAX(0,I726-IF($A746&gt;='1-Input'!$C$12,'1-Input'!$B$12,0))-MIN(MAX(M745,0),MAX(0,I726-IF($A746&gt;='1-Input'!$C$12,'1-Input'!$B$12,0))))*(1/(1-'P-Parametri'!$B$6*I746))+MIN(MAX(0,N745-(MAX(0,I726-IF($A746&gt;='1-Input'!$C$12,'1-Input'!$B$12,0))-MIN(MAX(M745,0),MAX(0,I726-IF($A746&gt;='1-Input'!$C$12,'1-Input'!$B$12,0))))*(1/(1-'P-Parametri'!$B$6*I746))),MAX(0,1*I726-(M745-MIN(MAX(M745,0),MAX(0,I726-IF($A746&gt;='1-Input'!$C$12,'1-Input'!$B$12,0)))))*(1/(1-'P-Parametri'!$B$6*I746))))</f>
        <v>25961.139569422892</v>
      </c>
      <c r="K746" s="18">
        <f>IF($A746&gt;'1-Input'!$B$26,M745,(M745-MAX(0,I726-IF($A746&gt;='1-Input'!$C$12,'1-Input'!$B$12,0))+J746*(1-'P-Parametri'!$B$6*I746))*(1+'1-Input'!$B$27))</f>
        <v>21869.741467754149</v>
      </c>
      <c r="L746" s="18">
        <f>IF($A746&gt;'1-Input'!$B$26,N745,(N745-J746)*(1+$D$4))</f>
        <v>172373.22297857853</v>
      </c>
      <c r="M746" s="18">
        <f>IF($A746&gt;'1-Input'!$B$26,K746,K746-'P-Parametri'!$B$8*(L746+K746)+MIN(MAX(L746,0),'P-Parametri'!$B$8*(L746+K746)))</f>
        <v>21869.741467754149</v>
      </c>
      <c r="N746" s="18">
        <f>IF($A746&gt;'1-Input'!$B$26,L746,L746-MIN(MAX(L746,0),'P-Parametri'!$B$8*(L746+K746)))</f>
        <v>171984.73704968588</v>
      </c>
      <c r="O746" s="18">
        <f>IF($A746&gt;'1-Input'!$B$26,O745,O745-J746*(1-I746))</f>
        <v>69159.783725423578</v>
      </c>
      <c r="P746" s="11">
        <f>IF($A746&gt;'1-Input'!$B$26,0,IF(U745&lt;=0,0,MAX(0,(U745-V745)/U745)))</f>
        <v>0.58289112455872483</v>
      </c>
      <c r="Q746" s="18">
        <f>IF($A746&gt;'1-Input'!$B$26,0,(MAX(0,P726-IF($A746&gt;='1-Input'!$C$12,'1-Input'!$B$12,0))-MIN(MAX(T745,0),MAX(0,P726-IF($A746&gt;='1-Input'!$C$12,'1-Input'!$B$12,0))))*(1/(1-'P-Parametri'!$B$6*P746))+MIN(MAX(0,U745-(MAX(0,P726-IF($A746&gt;='1-Input'!$C$12,'1-Input'!$B$12,0))-MIN(MAX(T745,0),MAX(0,P726-IF($A746&gt;='1-Input'!$C$12,'1-Input'!$B$12,0))))*(1/(1-'P-Parametri'!$B$6*P746))),MAX(0,1*P726-(T745-MIN(MAX(T745,0),MAX(0,P726-IF($A746&gt;='1-Input'!$C$12,'1-Input'!$B$12,0)))))*(1/(1-'P-Parametri'!$B$6*P746))))</f>
        <v>24083.620127784568</v>
      </c>
      <c r="R746" s="18">
        <f>IF($A746&gt;'1-Input'!$B$26,T745,(T745-MAX(0,P726-IF($A746&gt;='1-Input'!$C$12,'1-Input'!$B$12,0))+Q746*(1-'P-Parametri'!$B$6*P746))*(1+'1-Input'!$B$27))</f>
        <v>20287.111791944739</v>
      </c>
      <c r="S746" s="18">
        <f>IF($A746&gt;'1-Input'!$B$26,U745,(U745-Q746)*(1+$D$4))</f>
        <v>222089.46815224804</v>
      </c>
      <c r="T746" s="18">
        <f>IF($A746&gt;'1-Input'!$B$26,R746,R746-'P-Parametri'!$B$8*(S746+R746)+MIN(MAX(S746,0),'P-Parametri'!$B$8*(S746+R746)))</f>
        <v>20287.111791944739</v>
      </c>
      <c r="U746" s="18">
        <f>IF($A746&gt;'1-Input'!$B$26,S746,S746-MIN(MAX(S746,0),'P-Parametri'!$B$8*(S746+R746)))</f>
        <v>221604.71499235966</v>
      </c>
      <c r="V746" s="18">
        <f>IF($A746&gt;'1-Input'!$B$26,V745,V745-Q746*(1-P746))</f>
        <v>89072.584911860642</v>
      </c>
      <c r="W746" s="11">
        <f>IF($A746&gt;'1-Input'!$B$26,0,IF(AB745&lt;=0,0,MAX(0,(AB745-AC745)/AB745)))</f>
        <v>0.58292130910863549</v>
      </c>
      <c r="X746" s="18">
        <f>IF($A746&gt;'1-Input'!$B$26,0,(MAX(0,W726-IF($A746&gt;='1-Input'!$C$12,'1-Input'!$B$12,0))-MIN(MAX(AA745,0),MAX(0,W726-IF($A746&gt;='1-Input'!$C$12,'1-Input'!$B$12,0))))*(1/(1-'P-Parametri'!$B$6*W746))+MIN(MAX(0,AB745-(MAX(0,W726-IF($A746&gt;='1-Input'!$C$12,'1-Input'!$B$12,0))-MIN(MAX(AA745,0),MAX(0,W726-IF($A746&gt;='1-Input'!$C$12,'1-Input'!$B$12,0))))*(1/(1-'P-Parametri'!$B$6*W746))),MAX(0,1*W726-(AA745-MIN(MAX(AA745,0),MAX(0,W726-IF($A746&gt;='1-Input'!$C$12,'1-Input'!$B$12,0)))))*(1/(1-'P-Parametri'!$B$6*W746))))</f>
        <v>23679.932451668174</v>
      </c>
      <c r="Y746" s="18">
        <f>IF($A746&gt;'1-Input'!$B$26,AA745,(AA745-MAX(0,W726-IF($A746&gt;='1-Input'!$C$12,'1-Input'!$B$12,0))+X746*(1-'P-Parametri'!$B$6*W746))*(1+'1-Input'!$B$27))</f>
        <v>19946.876372417511</v>
      </c>
      <c r="Z746" s="18">
        <f>IF($A746&gt;'1-Input'!$B$26,AB745,(AB745-X746)*(1+$D$4))</f>
        <v>232777.88958584049</v>
      </c>
      <c r="AA746" s="18">
        <f>IF($A746&gt;'1-Input'!$B$26,Y746,Y746-'P-Parametri'!$B$8*(Z746+Y746)+MIN(MAX(Z746,0),'P-Parametri'!$B$8*(Z746+Y746)))</f>
        <v>19946.876372417511</v>
      </c>
      <c r="AB746" s="18">
        <f>IF($A746&gt;'1-Input'!$B$26,Z746,Z746-MIN(MAX(Z746,0),'P-Parametri'!$B$8*(Z746+Y746)))</f>
        <v>232272.44005392396</v>
      </c>
      <c r="AC746" s="18">
        <f>IF($A746&gt;'1-Input'!$B$26,AC745,AC745-X746*(1-W746))</f>
        <v>93352.593708573972</v>
      </c>
      <c r="AD746" s="11">
        <f>IF($A746&gt;'1-Input'!$B$26,0,IF(AI745&lt;=0,0,MAX(0,(AI745-AJ745)/AI745)))</f>
        <v>0.58292204376071888</v>
      </c>
      <c r="AE746" s="18">
        <f>IF($A746&gt;'1-Input'!$B$26,0,(MAX(0,AD726-IF($A746&gt;='1-Input'!$C$12,'1-Input'!$B$12,0))-MIN(MAX(AH745,0),MAX(0,AD726-IF($A746&gt;='1-Input'!$C$12,'1-Input'!$B$12,0))))*(1/(1-'P-Parametri'!$B$6*AD746))+MIN(MAX(0,AI745-(MAX(0,AD726-IF($A746&gt;='1-Input'!$C$12,'1-Input'!$B$12,0))-MIN(MAX(AH745,0),MAX(0,AD726-IF($A746&gt;='1-Input'!$C$12,'1-Input'!$B$12,0))))*(1/(1-'P-Parametri'!$B$6*AD746))),MAX(0,1*AD726-(AH745-MIN(MAX(AH745,0),MAX(0,AD726-IF($A746&gt;='1-Input'!$C$12,'1-Input'!$B$12,0)))))*(1/(1-'P-Parametri'!$B$6*AD746))))</f>
        <v>23669.882303548602</v>
      </c>
      <c r="AF746" s="18">
        <f>IF($A746&gt;'1-Input'!$B$26,AH745,(AH745-MAX(0,AD726-IF($A746&gt;='1-Input'!$C$12,'1-Input'!$B$12,0))+AE746*(1-'P-Parametri'!$B$6*AD746))*(1+'1-Input'!$B$27))</f>
        <v>19938.406105220583</v>
      </c>
      <c r="AG746" s="18">
        <f>IF($A746&gt;'1-Input'!$B$26,AI745,(AI745-AE746)*(1+$D$4))</f>
        <v>233043.982701553</v>
      </c>
      <c r="AH746" s="18">
        <f>IF($A746&gt;'1-Input'!$B$26,AF746,AF746-'P-Parametri'!$B$8*(AG746+AF746)+MIN(MAX(AG746,0),'P-Parametri'!$B$8*(AG746+AF746)))</f>
        <v>19938.406105220583</v>
      </c>
      <c r="AI746" s="18">
        <f>IF($A746&gt;'1-Input'!$B$26,AG746,AG746-MIN(MAX(AG746,0),'P-Parametri'!$B$8*(AG746+AF746)))</f>
        <v>232538.01792393945</v>
      </c>
      <c r="AJ746" s="18">
        <f>IF($A746&gt;'1-Input'!$B$26,AJ745,AJ745-AE746*(1-AD746))</f>
        <v>93459.142325986657</v>
      </c>
      <c r="AK746" s="11">
        <f>IF($A746&gt;'1-Input'!$B$26,0,IF(AP745&lt;=0,0,MAX(0,(AP745-AQ745)/AP745)))</f>
        <v>0.58292204201375264</v>
      </c>
      <c r="AL746" s="18">
        <f>IF($A746&gt;'1-Input'!$B$26,0,(MAX(0,AK726-IF($A746&gt;='1-Input'!$C$12,'1-Input'!$B$12,0))-MIN(MAX(AO745,0),MAX(0,AK726-IF($A746&gt;='1-Input'!$C$12,'1-Input'!$B$12,0))))*(1/(1-'P-Parametri'!$B$6*AK746))+MIN(MAX(0,AP745-(MAX(0,AK726-IF($A746&gt;='1-Input'!$C$12,'1-Input'!$B$12,0))-MIN(MAX(AO745,0),MAX(0,AK726-IF($A746&gt;='1-Input'!$C$12,'1-Input'!$B$12,0))))*(1/(1-'P-Parametri'!$B$6*AK746))),MAX(0,1*AK726-(AO745-MIN(MAX(AO745,0),MAX(0,AK726-IF($A746&gt;='1-Input'!$C$12,'1-Input'!$B$12,0)))))*(1/(1-'P-Parametri'!$B$6*AK746))))</f>
        <v>23669.906215184681</v>
      </c>
      <c r="AM746" s="18">
        <f>IF($A746&gt;'1-Input'!$B$26,AO745,(AO745-MAX(0,AK726-IF($A746&gt;='1-Input'!$C$12,'1-Input'!$B$12,0))+AL746*(1-'P-Parametri'!$B$6*AK746))*(1+'1-Input'!$B$27))</f>
        <v>19938.42625794281</v>
      </c>
      <c r="AN746" s="18">
        <f>IF($A746&gt;'1-Input'!$B$26,AP745,(AP745-AL746)*(1+$D$4))</f>
        <v>233043.34960447895</v>
      </c>
      <c r="AO746" s="18">
        <f>IF($A746&gt;'1-Input'!$B$26,AM746,AM746-'P-Parametri'!$B$8*(AN746+AM746)+MIN(MAX(AN746,0),'P-Parametri'!$B$8*(AN746+AM746)))</f>
        <v>19938.42625794281</v>
      </c>
      <c r="AP746" s="18">
        <f>IF($A746&gt;'1-Input'!$B$26,AN746,AN746-MIN(MAX(AN746,0),'P-Parametri'!$B$8*(AN746+AM746)))</f>
        <v>232537.3860527541</v>
      </c>
      <c r="AQ746" s="18">
        <f>IF($A746&gt;'1-Input'!$B$26,AQ745,AQ745-AL746*(1-AK746))</f>
        <v>93458.888822414665</v>
      </c>
    </row>
    <row r="747" spans="1:43">
      <c r="A747" s="10">
        <f>19</f>
        <v>19</v>
      </c>
      <c r="B747" s="11">
        <f>IF($A747&gt;'1-Input'!$B$26,0,IF(G746&lt;=0,0,MAX(0,(G746-H746)/G746)))</f>
        <v>0.59835104834897479</v>
      </c>
      <c r="C747" s="18">
        <f>IF($A747&gt;'1-Input'!$B$26,0,(MAX(0,B726-IF($A747&gt;='1-Input'!$C$12,'1-Input'!$B$12,0))-MIN(MAX(F746,0),MAX(0,B726-IF($A747&gt;='1-Input'!$C$12,'1-Input'!$B$12,0))))*(1/(1-'P-Parametri'!$B$6*B747))+MIN(MAX(0,G746-(MAX(0,B726-IF($A747&gt;='1-Input'!$C$12,'1-Input'!$B$12,0))-MIN(MAX(F746,0),MAX(0,B726-IF($A747&gt;='1-Input'!$C$12,'1-Input'!$B$12,0))))*(1/(1-'P-Parametri'!$B$6*B747))),MAX(0,1*B726-(F746-MIN(MAX(F746,0),MAX(0,B726-IF($A747&gt;='1-Input'!$C$12,'1-Input'!$B$12,0)))))*(1/(1-'P-Parametri'!$B$6*B747))))</f>
        <v>19825.364261024351</v>
      </c>
      <c r="D747" s="18">
        <f>IF($A747&gt;'1-Input'!$B$26,F746,(F746-MAX(0,B726-IF($A747&gt;='1-Input'!$C$12,'1-Input'!$B$12,0))+C747*(1-'P-Parametri'!$B$6*B747))*(1+'1-Input'!$B$27))</f>
        <v>16621.00351549315</v>
      </c>
      <c r="E747" s="18">
        <f>IF($A747&gt;'1-Input'!$B$26,G746,(G746-C747)*(1+$D$4))</f>
        <v>329401.11011056893</v>
      </c>
      <c r="F747" s="18">
        <f>IF($A747&gt;'1-Input'!$B$26,D747,D747-'P-Parametri'!$B$8*(E747+D747)+MIN(MAX(E747,0),'P-Parametri'!$B$8*(E747+D747)))</f>
        <v>16621.00351549315</v>
      </c>
      <c r="G747" s="18">
        <f>IF($A747&gt;'1-Input'!$B$26,E747,E747-MIN(MAX(E747,0),'P-Parametri'!$B$8*(E747+D747)))</f>
        <v>328709.0658833168</v>
      </c>
      <c r="H747" s="18">
        <f>IF($A747&gt;'1-Input'!$B$26,H746,H746-C747*(1-B747))</f>
        <v>127215.01014287875</v>
      </c>
      <c r="I747" s="11">
        <f>IF($A747&gt;'1-Input'!$B$26,0,IF(N746&lt;=0,0,MAX(0,(N746-O746)/N746)))</f>
        <v>0.5978725501354023</v>
      </c>
      <c r="J747" s="18">
        <f>IF($A747&gt;'1-Input'!$B$26,0,(MAX(0,I726-IF($A747&gt;='1-Input'!$C$12,'1-Input'!$B$12,0))-MIN(MAX(M746,0),MAX(0,I726-IF($A747&gt;='1-Input'!$C$12,'1-Input'!$B$12,0))))*(1/(1-'P-Parametri'!$B$6*I747))+MIN(MAX(0,N746-(MAX(0,I726-IF($A747&gt;='1-Input'!$C$12,'1-Input'!$B$12,0))-MIN(MAX(M746,0),MAX(0,I726-IF($A747&gt;='1-Input'!$C$12,'1-Input'!$B$12,0))))*(1/(1-'P-Parametri'!$B$6*I747))),MAX(0,1*I726-(M746-MIN(MAX(M746,0),MAX(0,I726-IF($A747&gt;='1-Input'!$C$12,'1-Input'!$B$12,0)))))*(1/(1-'P-Parametri'!$B$6*I747))))</f>
        <v>26082.162926145698</v>
      </c>
      <c r="K747" s="18">
        <f>IF($A747&gt;'1-Input'!$B$26,M746,(M746-MAX(0,I726-IF($A747&gt;='1-Input'!$C$12,'1-Input'!$B$12,0))+J747*(1-'P-Parametri'!$B$6*I747))*(1+'1-Input'!$B$27))</f>
        <v>21869.741467754149</v>
      </c>
      <c r="L747" s="18">
        <f>IF($A747&gt;'1-Input'!$B$26,N746,(N746-J747)*(1+$D$4))</f>
        <v>151738.67708848181</v>
      </c>
      <c r="M747" s="18">
        <f>IF($A747&gt;'1-Input'!$B$26,K747,K747-'P-Parametri'!$B$8*(L747+K747)+MIN(MAX(L747,0),'P-Parametri'!$B$8*(L747+K747)))</f>
        <v>21869.741467754149</v>
      </c>
      <c r="N747" s="18">
        <f>IF($A747&gt;'1-Input'!$B$26,L747,L747-MIN(MAX(L747,0),'P-Parametri'!$B$8*(L747+K747)))</f>
        <v>151391.46025136934</v>
      </c>
      <c r="O747" s="18">
        <f>IF($A747&gt;'1-Input'!$B$26,O746,O746-J747*(1-I747))</f>
        <v>58671.430060979656</v>
      </c>
      <c r="P747" s="11">
        <f>IF($A747&gt;'1-Input'!$B$26,0,IF(U746&lt;=0,0,MAX(0,(U746-V746)/U746)))</f>
        <v>0.5980564541917277</v>
      </c>
      <c r="Q747" s="18">
        <f>IF($A747&gt;'1-Input'!$B$26,0,(MAX(0,P726-IF($A747&gt;='1-Input'!$C$12,'1-Input'!$B$12,0))-MIN(MAX(T746,0),MAX(0,P726-IF($A747&gt;='1-Input'!$C$12,'1-Input'!$B$12,0))))*(1/(1-'P-Parametri'!$B$6*P747))+MIN(MAX(0,U746-(MAX(0,P726-IF($A747&gt;='1-Input'!$C$12,'1-Input'!$B$12,0))-MIN(MAX(T746,0),MAX(0,P726-IF($A747&gt;='1-Input'!$C$12,'1-Input'!$B$12,0))))*(1/(1-'P-Parametri'!$B$6*P747))),MAX(0,1*P726-(T746-MIN(MAX(T746,0),MAX(0,P726-IF($A747&gt;='1-Input'!$C$12,'1-Input'!$B$12,0)))))*(1/(1-'P-Parametri'!$B$6*P747))))</f>
        <v>24196.066275150006</v>
      </c>
      <c r="R747" s="18">
        <f>IF($A747&gt;'1-Input'!$B$26,T746,(T746-MAX(0,P726-IF($A747&gt;='1-Input'!$C$12,'1-Input'!$B$12,0))+Q747*(1-'P-Parametri'!$B$6*P747))*(1+'1-Input'!$B$27))</f>
        <v>20287.111791944739</v>
      </c>
      <c r="S747" s="18">
        <f>IF($A747&gt;'1-Input'!$B$26,U746,(U746-Q747)*(1+$D$4))</f>
        <v>205304.99466589803</v>
      </c>
      <c r="T747" s="18">
        <f>IF($A747&gt;'1-Input'!$B$26,R747,R747-'P-Parametri'!$B$8*(S747+R747)+MIN(MAX(S747,0),'P-Parametri'!$B$8*(S747+R747)))</f>
        <v>20287.111791944739</v>
      </c>
      <c r="U747" s="18">
        <f>IF($A747&gt;'1-Input'!$B$26,S747,S747-MIN(MAX(S747,0),'P-Parametri'!$B$8*(S747+R747)))</f>
        <v>204853.81045298235</v>
      </c>
      <c r="V747" s="18">
        <f>IF($A747&gt;'1-Input'!$B$26,V746,V746-Q747*(1-P747))</f>
        <v>79347.132238614897</v>
      </c>
      <c r="W747" s="11">
        <f>IF($A747&gt;'1-Input'!$B$26,0,IF(AB746&lt;=0,0,MAX(0,(AB746-AC746)/AB746)))</f>
        <v>0.59809009761596588</v>
      </c>
      <c r="X747" s="18">
        <f>IF($A747&gt;'1-Input'!$B$26,0,(MAX(0,W726-IF($A747&gt;='1-Input'!$C$12,'1-Input'!$B$12,0))-MIN(MAX(AA746,0),MAX(0,W726-IF($A747&gt;='1-Input'!$C$12,'1-Input'!$B$12,0))))*(1/(1-'P-Parametri'!$B$6*W747))+MIN(MAX(0,AB746-(MAX(0,W726-IF($A747&gt;='1-Input'!$C$12,'1-Input'!$B$12,0))-MIN(MAX(AA746,0),MAX(0,W726-IF($A747&gt;='1-Input'!$C$12,'1-Input'!$B$12,0))))*(1/(1-'P-Parametri'!$B$6*W747))),MAX(0,1*W726-(AA746-MIN(MAX(AA746,0),MAX(0,W726-IF($A747&gt;='1-Input'!$C$12,'1-Input'!$B$12,0)))))*(1/(1-'P-Parametri'!$B$6*W747))))</f>
        <v>23790.520147919178</v>
      </c>
      <c r="Y747" s="18">
        <f>IF($A747&gt;'1-Input'!$B$26,AA746,(AA746-MAX(0,W726-IF($A747&gt;='1-Input'!$C$12,'1-Input'!$B$12,0))+X747*(1-'P-Parametri'!$B$6*W747))*(1+'1-Input'!$B$27))</f>
        <v>19946.876372417511</v>
      </c>
      <c r="Z747" s="18">
        <f>IF($A747&gt;'1-Input'!$B$26,AB746,(AB746-X747)*(1+$D$4))</f>
        <v>216821.19670224495</v>
      </c>
      <c r="AA747" s="18">
        <f>IF($A747&gt;'1-Input'!$B$26,Y747,Y747-'P-Parametri'!$B$8*(Z747+Y747)+MIN(MAX(Z747,0),'P-Parametri'!$B$8*(Z747+Y747)))</f>
        <v>19946.876372417511</v>
      </c>
      <c r="AB747" s="18">
        <f>IF($A747&gt;'1-Input'!$B$26,Z747,Z747-MIN(MAX(Z747,0),'P-Parametri'!$B$8*(Z747+Y747)))</f>
        <v>216347.66055609562</v>
      </c>
      <c r="AC747" s="18">
        <f>IF($A747&gt;'1-Input'!$B$26,AC746,AC746-X747*(1-W747))</f>
        <v>83790.948078258371</v>
      </c>
      <c r="AD747" s="11">
        <f>IF($A747&gt;'1-Input'!$B$26,0,IF(AI746&lt;=0,0,MAX(0,(AI746-AJ746)/AI746)))</f>
        <v>0.59809091364769407</v>
      </c>
      <c r="AE747" s="18">
        <f>IF($A747&gt;'1-Input'!$B$26,0,(MAX(0,AD726-IF($A747&gt;='1-Input'!$C$12,'1-Input'!$B$12,0))-MIN(MAX(AH746,0),MAX(0,AD726-IF($A747&gt;='1-Input'!$C$12,'1-Input'!$B$12,0))))*(1/(1-'P-Parametri'!$B$6*AD747))+MIN(MAX(0,AI746-(MAX(0,AD726-IF($A747&gt;='1-Input'!$C$12,'1-Input'!$B$12,0))-MIN(MAX(AH746,0),MAX(0,AD726-IF($A747&gt;='1-Input'!$C$12,'1-Input'!$B$12,0))))*(1/(1-'P-Parametri'!$B$6*AD747))),MAX(0,1*AD726-(AH746-MIN(MAX(AH746,0),MAX(0,AD726-IF($A747&gt;='1-Input'!$C$12,'1-Input'!$B$12,0)))))*(1/(1-'P-Parametri'!$B$6*AD747))))</f>
        <v>23780.423685400929</v>
      </c>
      <c r="AF747" s="18">
        <f>IF($A747&gt;'1-Input'!$B$26,AH746,(AH746-MAX(0,AD726-IF($A747&gt;='1-Input'!$C$12,'1-Input'!$B$12,0))+AE747*(1-'P-Parametri'!$B$6*AD747))*(1+'1-Input'!$B$27))</f>
        <v>19938.406105220583</v>
      </c>
      <c r="AG747" s="18">
        <f>IF($A747&gt;'1-Input'!$B$26,AI746,(AI746-AE747)*(1+$D$4))</f>
        <v>217107.89800808008</v>
      </c>
      <c r="AH747" s="18">
        <f>IF($A747&gt;'1-Input'!$B$26,AF747,AF747-'P-Parametri'!$B$8*(AG747+AF747)+MIN(MAX(AG747,0),'P-Parametri'!$B$8*(AG747+AF747)))</f>
        <v>19938.406105220583</v>
      </c>
      <c r="AI747" s="18">
        <f>IF($A747&gt;'1-Input'!$B$26,AG747,AG747-MIN(MAX(AG747,0),'P-Parametri'!$B$8*(AG747+AF747)))</f>
        <v>216633.80539985347</v>
      </c>
      <c r="AJ747" s="18">
        <f>IF($A747&gt;'1-Input'!$B$26,AJ746,AJ746-AE747*(1-AD747))</f>
        <v>83901.573969516438</v>
      </c>
      <c r="AK747" s="11">
        <f>IF($A747&gt;'1-Input'!$B$26,0,IF(AP746&lt;=0,0,MAX(0,(AP746-AQ746)/AP746)))</f>
        <v>0.59809091170736606</v>
      </c>
      <c r="AL747" s="18">
        <f>IF($A747&gt;'1-Input'!$B$26,0,(MAX(0,AK726-IF($A747&gt;='1-Input'!$C$12,'1-Input'!$B$12,0))-MIN(MAX(AO746,0),MAX(0,AK726-IF($A747&gt;='1-Input'!$C$12,'1-Input'!$B$12,0))))*(1/(1-'P-Parametri'!$B$6*AK747))+MIN(MAX(0,AP746-(MAX(0,AK726-IF($A747&gt;='1-Input'!$C$12,'1-Input'!$B$12,0))-MIN(MAX(AO746,0),MAX(0,AK726-IF($A747&gt;='1-Input'!$C$12,'1-Input'!$B$12,0))))*(1/(1-'P-Parametri'!$B$6*AK747))),MAX(0,1*AK726-(AO746-MIN(MAX(AO746,0),MAX(0,AK726-IF($A747&gt;='1-Input'!$C$12,'1-Input'!$B$12,0)))))*(1/(1-'P-Parametri'!$B$6*AK747))))</f>
        <v>23780.447707232277</v>
      </c>
      <c r="AM747" s="18">
        <f>IF($A747&gt;'1-Input'!$B$26,AO746,(AO746-MAX(0,AK726-IF($A747&gt;='1-Input'!$C$12,'1-Input'!$B$12,0))+AL747*(1-'P-Parametri'!$B$6*AK747))*(1+'1-Input'!$B$27))</f>
        <v>19938.426257942814</v>
      </c>
      <c r="AN747" s="18">
        <f>IF($A747&gt;'1-Input'!$B$26,AP746,(AP746-AL747)*(1+$D$4))</f>
        <v>217107.21587934269</v>
      </c>
      <c r="AO747" s="18">
        <f>IF($A747&gt;'1-Input'!$B$26,AM747,AM747-'P-Parametri'!$B$8*(AN747+AM747)+MIN(MAX(AN747,0),'P-Parametri'!$B$8*(AN747+AM747)))</f>
        <v>19938.426257942814</v>
      </c>
      <c r="AP747" s="18">
        <f>IF($A747&gt;'1-Input'!$B$26,AN747,AN747-MIN(MAX(AN747,0),'P-Parametri'!$B$8*(AN747+AM747)))</f>
        <v>216633.12459506813</v>
      </c>
      <c r="AQ747" s="18">
        <f>IF($A747&gt;'1-Input'!$B$26,AQ746,AQ746-AL747*(1-AK747))</f>
        <v>83901.310765210277</v>
      </c>
    </row>
    <row r="748" spans="1:43">
      <c r="A748" s="10">
        <f>20</f>
        <v>20</v>
      </c>
      <c r="B748" s="11">
        <f>IF($A748&gt;'1-Input'!$B$26,0,IF(G747&lt;=0,0,MAX(0,(G747-H747)/G747)))</f>
        <v>0.61298600085451616</v>
      </c>
      <c r="C748" s="18">
        <f>IF($A748&gt;'1-Input'!$B$26,0,(MAX(0,B726-IF($A748&gt;='1-Input'!$C$12,'1-Input'!$B$12,0))-MIN(MAX(F747,0),MAX(0,B726-IF($A748&gt;='1-Input'!$C$12,'1-Input'!$B$12,0))))*(1/(1-'P-Parametri'!$B$6*B748))+MIN(MAX(0,G747-(MAX(0,B726-IF($A748&gt;='1-Input'!$C$12,'1-Input'!$B$12,0))-MIN(MAX(F747,0),MAX(0,B726-IF($A748&gt;='1-Input'!$C$12,'1-Input'!$B$12,0))))*(1/(1-'P-Parametri'!$B$6*B748))),MAX(0,1*B726-(F747-MIN(MAX(F747,0),MAX(0,B726-IF($A748&gt;='1-Input'!$C$12,'1-Input'!$B$12,0)))))*(1/(1-'P-Parametri'!$B$6*B748))))</f>
        <v>19915.103884281769</v>
      </c>
      <c r="D748" s="18">
        <f>IF($A748&gt;'1-Input'!$B$26,F747,(F747-MAX(0,B726-IF($A748&gt;='1-Input'!$C$12,'1-Input'!$B$12,0))+C748*(1-'P-Parametri'!$B$6*B748))*(1+'1-Input'!$B$27))</f>
        <v>16621.00351549315</v>
      </c>
      <c r="E748" s="18">
        <f>IF($A748&gt;'1-Input'!$B$26,G747,(G747-C748)*(1+$D$4))</f>
        <v>321145.72047899646</v>
      </c>
      <c r="F748" s="18">
        <f>IF($A748&gt;'1-Input'!$B$26,D748,D748-'P-Parametri'!$B$8*(E748+D748)+MIN(MAX(E748,0),'P-Parametri'!$B$8*(E748+D748)))</f>
        <v>16621.00351549315</v>
      </c>
      <c r="G748" s="18">
        <f>IF($A748&gt;'1-Input'!$B$26,E748,E748-MIN(MAX(E748,0),'P-Parametri'!$B$8*(E748+D748)))</f>
        <v>320470.18703100749</v>
      </c>
      <c r="H748" s="18">
        <f>IF($A748&gt;'1-Input'!$B$26,H747,H747-C748*(1-B748))</f>
        <v>119507.5861452251</v>
      </c>
      <c r="I748" s="11">
        <f>IF($A748&gt;'1-Input'!$B$26,0,IF(N747&lt;=0,0,MAX(0,(N747-O747)/N747)))</f>
        <v>0.61245218215372244</v>
      </c>
      <c r="J748" s="18">
        <f>IF($A748&gt;'1-Input'!$B$26,0,(MAX(0,I726-IF($A748&gt;='1-Input'!$C$12,'1-Input'!$B$12,0))-MIN(MAX(M747,0),MAX(0,I726-IF($A748&gt;='1-Input'!$C$12,'1-Input'!$B$12,0))))*(1/(1-'P-Parametri'!$B$6*I748))+MIN(MAX(0,N747-(MAX(0,I726-IF($A748&gt;='1-Input'!$C$12,'1-Input'!$B$12,0))-MIN(MAX(M747,0),MAX(0,I726-IF($A748&gt;='1-Input'!$C$12,'1-Input'!$B$12,0))))*(1/(1-'P-Parametri'!$B$6*I748))),MAX(0,1*I726-(M747-MIN(MAX(M747,0),MAX(0,I726-IF($A748&gt;='1-Input'!$C$12,'1-Input'!$B$12,0)))))*(1/(1-'P-Parametri'!$B$6*I748))))</f>
        <v>26199.758294307976</v>
      </c>
      <c r="K748" s="18">
        <f>IF($A748&gt;'1-Input'!$B$26,M747,(M747-MAX(0,I726-IF($A748&gt;='1-Input'!$C$12,'1-Input'!$B$12,0))+J748*(1-'P-Parametri'!$B$6*I748))*(1+'1-Input'!$B$27))</f>
        <v>21869.741467754146</v>
      </c>
      <c r="L748" s="18">
        <f>IF($A748&gt;'1-Input'!$B$26,N747,(N747-J748)*(1+$D$4))</f>
        <v>130199.37003534382</v>
      </c>
      <c r="M748" s="18">
        <f>IF($A748&gt;'1-Input'!$B$26,K748,K748-'P-Parametri'!$B$8*(L748+K748)+MIN(MAX(L748,0),'P-Parametri'!$B$8*(L748+K748)))</f>
        <v>21869.741467754146</v>
      </c>
      <c r="N748" s="18">
        <f>IF($A748&gt;'1-Input'!$B$26,L748,L748-MIN(MAX(L748,0),'P-Parametri'!$B$8*(L748+K748)))</f>
        <v>129895.23181233762</v>
      </c>
      <c r="O748" s="18">
        <f>IF($A748&gt;'1-Input'!$B$26,O747,O747-J748*(1-I748))</f>
        <v>48517.77090592069</v>
      </c>
      <c r="P748" s="11">
        <f>IF($A748&gt;'1-Input'!$B$26,0,IF(U747&lt;=0,0,MAX(0,(U747-V747)/U747)))</f>
        <v>0.61266460182918347</v>
      </c>
      <c r="Q748" s="18">
        <f>IF($A748&gt;'1-Input'!$B$26,0,(MAX(0,P726-IF($A748&gt;='1-Input'!$C$12,'1-Input'!$B$12,0))-MIN(MAX(T747,0),MAX(0,P726-IF($A748&gt;='1-Input'!$C$12,'1-Input'!$B$12,0))))*(1/(1-'P-Parametri'!$B$6*P748))+MIN(MAX(0,U747-(MAX(0,P726-IF($A748&gt;='1-Input'!$C$12,'1-Input'!$B$12,0))-MIN(MAX(T747,0),MAX(0,P726-IF($A748&gt;='1-Input'!$C$12,'1-Input'!$B$12,0))))*(1/(1-'P-Parametri'!$B$6*P748))),MAX(0,1*P726-(T747-MIN(MAX(T747,0),MAX(0,P726-IF($A748&gt;='1-Input'!$C$12,'1-Input'!$B$12,0)))))*(1/(1-'P-Parametri'!$B$6*P748))))</f>
        <v>24305.37843971447</v>
      </c>
      <c r="R748" s="18">
        <f>IF($A748&gt;'1-Input'!$B$26,T747,(T747-MAX(0,P726-IF($A748&gt;='1-Input'!$C$12,'1-Input'!$B$12,0))+Q748*(1-'P-Parametri'!$B$6*P748))*(1+'1-Input'!$B$27))</f>
        <v>20287.111791944735</v>
      </c>
      <c r="S748" s="18">
        <f>IF($A748&gt;'1-Input'!$B$26,U747,(U747-Q748)*(1+$D$4))</f>
        <v>187770.36929379861</v>
      </c>
      <c r="T748" s="18">
        <f>IF($A748&gt;'1-Input'!$B$26,R748,R748-'P-Parametri'!$B$8*(S748+R748)+MIN(MAX(S748,0),'P-Parametri'!$B$8*(S748+R748)))</f>
        <v>20287.111791944735</v>
      </c>
      <c r="U748" s="18">
        <f>IF($A748&gt;'1-Input'!$B$26,S748,S748-MIN(MAX(S748,0),'P-Parametri'!$B$8*(S748+R748)))</f>
        <v>187354.2543316271</v>
      </c>
      <c r="V748" s="18">
        <f>IF($A748&gt;'1-Input'!$B$26,V747,V747-Q748*(1-P748))</f>
        <v>69932.798802975711</v>
      </c>
      <c r="W748" s="11">
        <f>IF($A748&gt;'1-Input'!$B$26,0,IF(AB747&lt;=0,0,MAX(0,(AB747-AC747)/AB747)))</f>
        <v>0.61270231504753125</v>
      </c>
      <c r="X748" s="18">
        <f>IF($A748&gt;'1-Input'!$B$26,0,(MAX(0,W726-IF($A748&gt;='1-Input'!$C$12,'1-Input'!$B$12,0))-MIN(MAX(AA747,0),MAX(0,W726-IF($A748&gt;='1-Input'!$C$12,'1-Input'!$B$12,0))))*(1/(1-'P-Parametri'!$B$6*W748))+MIN(MAX(0,AB747-(MAX(0,W726-IF($A748&gt;='1-Input'!$C$12,'1-Input'!$B$12,0))-MIN(MAX(AA747,0),MAX(0,W726-IF($A748&gt;='1-Input'!$C$12,'1-Input'!$B$12,0))))*(1/(1-'P-Parametri'!$B$6*W748))),MAX(0,1*W726-(AA747-MIN(MAX(AA747,0),MAX(0,W726-IF($A748&gt;='1-Input'!$C$12,'1-Input'!$B$12,0)))))*(1/(1-'P-Parametri'!$B$6*W748))))</f>
        <v>23898.031347597647</v>
      </c>
      <c r="Y748" s="18">
        <f>IF($A748&gt;'1-Input'!$B$26,AA747,(AA747-MAX(0,W726-IF($A748&gt;='1-Input'!$C$12,'1-Input'!$B$12,0))+X748*(1-'P-Parametri'!$B$6*W748))*(1+'1-Input'!$B$27))</f>
        <v>19946.876372417511</v>
      </c>
      <c r="Z748" s="18">
        <f>IF($A748&gt;'1-Input'!$B$26,AB747,(AB747-X748)*(1+$D$4))</f>
        <v>200147.61437683788</v>
      </c>
      <c r="AA748" s="18">
        <f>IF($A748&gt;'1-Input'!$B$26,Y748,Y748-'P-Parametri'!$B$8*(Z748+Y748)+MIN(MAX(Z748,0),'P-Parametri'!$B$8*(Z748+Y748)))</f>
        <v>19946.876372417511</v>
      </c>
      <c r="AB748" s="18">
        <f>IF($A748&gt;'1-Input'!$B$26,Z748,Z748-MIN(MAX(Z748,0),'P-Parametri'!$B$8*(Z748+Y748)))</f>
        <v>199707.42539533938</v>
      </c>
      <c r="AC748" s="18">
        <f>IF($A748&gt;'1-Input'!$B$26,AC747,AC747-X748*(1-W748))</f>
        <v>74535.295862412269</v>
      </c>
      <c r="AD748" s="11">
        <f>IF($A748&gt;'1-Input'!$B$26,0,IF(AI747&lt;=0,0,MAX(0,(AI747-AJ747)/AI747)))</f>
        <v>0.61270322600549587</v>
      </c>
      <c r="AE748" s="18">
        <f>IF($A748&gt;'1-Input'!$B$26,0,(MAX(0,AD726-IF($A748&gt;='1-Input'!$C$12,'1-Input'!$B$12,0))-MIN(MAX(AH747,0),MAX(0,AD726-IF($A748&gt;='1-Input'!$C$12,'1-Input'!$B$12,0))))*(1/(1-'P-Parametri'!$B$6*AD748))+MIN(MAX(0,AI747-(MAX(0,AD726-IF($A748&gt;='1-Input'!$C$12,'1-Input'!$B$12,0))-MIN(MAX(AH747,0),MAX(0,AD726-IF($A748&gt;='1-Input'!$C$12,'1-Input'!$B$12,0))))*(1/(1-'P-Parametri'!$B$6*AD748))),MAX(0,1*AD726-(AH747-MIN(MAX(AH747,0),MAX(0,AD726-IF($A748&gt;='1-Input'!$C$12,'1-Input'!$B$12,0)))))*(1/(1-'P-Parametri'!$B$6*AD748))))</f>
        <v>23887.889986796312</v>
      </c>
      <c r="AF748" s="18">
        <f>IF($A748&gt;'1-Input'!$B$26,AH747,(AH747-MAX(0,AD726-IF($A748&gt;='1-Input'!$C$12,'1-Input'!$B$12,0))+AE748*(1-'P-Parametri'!$B$6*AD748))*(1+'1-Input'!$B$27))</f>
        <v>19938.406105220583</v>
      </c>
      <c r="AG748" s="18">
        <f>IF($A748&gt;'1-Input'!$B$26,AI747,(AI747-AE748)*(1+$D$4))</f>
        <v>200455.75202957945</v>
      </c>
      <c r="AH748" s="18">
        <f>IF($A748&gt;'1-Input'!$B$26,AF748,AF748-'P-Parametri'!$B$8*(AG748+AF748)+MIN(MAX(AG748,0),'P-Parametri'!$B$8*(AG748+AF748)))</f>
        <v>19938.406105220583</v>
      </c>
      <c r="AI748" s="18">
        <f>IF($A748&gt;'1-Input'!$B$26,AG748,AG748-MIN(MAX(AG748,0),'P-Parametri'!$B$8*(AG748+AF748)))</f>
        <v>200014.96371330984</v>
      </c>
      <c r="AJ748" s="18">
        <f>IF($A748&gt;'1-Input'!$B$26,AJ747,AJ747-AE748*(1-AD748))</f>
        <v>74649.87124009461</v>
      </c>
      <c r="AK748" s="11">
        <f>IF($A748&gt;'1-Input'!$B$26,0,IF(AP747&lt;=0,0,MAX(0,(AP747-AQ747)/AP747)))</f>
        <v>0.61270322383966402</v>
      </c>
      <c r="AL748" s="18">
        <f>IF($A748&gt;'1-Input'!$B$26,0,(MAX(0,AK726-IF($A748&gt;='1-Input'!$C$12,'1-Input'!$B$12,0))-MIN(MAX(AO747,0),MAX(0,AK726-IF($A748&gt;='1-Input'!$C$12,'1-Input'!$B$12,0))))*(1/(1-'P-Parametri'!$B$6*AK748))+MIN(MAX(0,AP747-(MAX(0,AK726-IF($A748&gt;='1-Input'!$C$12,'1-Input'!$B$12,0))-MIN(MAX(AO747,0),MAX(0,AK726-IF($A748&gt;='1-Input'!$C$12,'1-Input'!$B$12,0))))*(1/(1-'P-Parametri'!$B$6*AK748))),MAX(0,1*AK726-(AO747-MIN(MAX(AO747,0),MAX(0,AK726-IF($A748&gt;='1-Input'!$C$12,'1-Input'!$B$12,0)))))*(1/(1-'P-Parametri'!$B$6*AK748))))</f>
        <v>23887.914115454452</v>
      </c>
      <c r="AM748" s="18">
        <f>IF($A748&gt;'1-Input'!$B$26,AO747,(AO747-MAX(0,AK726-IF($A748&gt;='1-Input'!$C$12,'1-Input'!$B$12,0))+AL748*(1-'P-Parametri'!$B$6*AK748))*(1+'1-Input'!$B$27))</f>
        <v>19938.426257942814</v>
      </c>
      <c r="AN748" s="18">
        <f>IF($A748&gt;'1-Input'!$B$26,AP747,(AP747-AL748)*(1+$D$4))</f>
        <v>200455.01889879824</v>
      </c>
      <c r="AO748" s="18">
        <f>IF($A748&gt;'1-Input'!$B$26,AM748,AM748-'P-Parametri'!$B$8*(AN748+AM748)+MIN(MAX(AN748,0),'P-Parametri'!$B$8*(AN748+AM748)))</f>
        <v>19938.426257942814</v>
      </c>
      <c r="AP748" s="18">
        <f>IF($A748&gt;'1-Input'!$B$26,AN748,AN748-MIN(MAX(AN748,0),'P-Parametri'!$B$8*(AN748+AM748)))</f>
        <v>200014.23200848475</v>
      </c>
      <c r="AQ748" s="18">
        <f>IF($A748&gt;'1-Input'!$B$26,AQ747,AQ747-AL748*(1-AK748))</f>
        <v>74649.598639099786</v>
      </c>
    </row>
    <row r="749" spans="1:43">
      <c r="A749" s="10">
        <f>21</f>
        <v>21</v>
      </c>
      <c r="B749" s="11">
        <f>IF($A749&gt;'1-Input'!$B$26,0,IF(G748&lt;=0,0,MAX(0,(G748-H748)/G748)))</f>
        <v>0.62708672762230455</v>
      </c>
      <c r="C749" s="18">
        <f>IF($A749&gt;'1-Input'!$B$26,0,(MAX(0,B726-IF($A749&gt;='1-Input'!$C$12,'1-Input'!$B$12,0))-MIN(MAX(F748,0),MAX(0,B726-IF($A749&gt;='1-Input'!$C$12,'1-Input'!$B$12,0))))*(1/(1-'P-Parametri'!$B$6*B749))+MIN(MAX(0,G748-(MAX(0,B726-IF($A749&gt;='1-Input'!$C$12,'1-Input'!$B$12,0))-MIN(MAX(F748,0),MAX(0,B726-IF($A749&gt;='1-Input'!$C$12,'1-Input'!$B$12,0))))*(1/(1-'P-Parametri'!$B$6*B749))),MAX(0,1*B726-(F748-MIN(MAX(F748,0),MAX(0,B726-IF($A749&gt;='1-Input'!$C$12,'1-Input'!$B$12,0)))))*(1/(1-'P-Parametri'!$B$6*B749))))</f>
        <v>20002.339542341757</v>
      </c>
      <c r="D749" s="18">
        <f>IF($A749&gt;'1-Input'!$B$26,F748,(F748-MAX(0,B726-IF($A749&gt;='1-Input'!$C$12,'1-Input'!$B$12,0))+C749*(1-'P-Parametri'!$B$6*B749))*(1+'1-Input'!$B$27))</f>
        <v>16621.00351549315</v>
      </c>
      <c r="E749" s="18">
        <f>IF($A749&gt;'1-Input'!$B$26,G748,(G748-C749)*(1+$D$4))</f>
        <v>312486.56138821237</v>
      </c>
      <c r="F749" s="18">
        <f>IF($A749&gt;'1-Input'!$B$26,D749,D749-'P-Parametri'!$B$8*(E749+D749)+MIN(MAX(E749,0),'P-Parametri'!$B$8*(E749+D749)))</f>
        <v>16621.00351549315</v>
      </c>
      <c r="G749" s="18">
        <f>IF($A749&gt;'1-Input'!$B$26,E749,E749-MIN(MAX(E749,0),'P-Parametri'!$B$8*(E749+D749)))</f>
        <v>311828.34625840496</v>
      </c>
      <c r="H749" s="18">
        <f>IF($A749&gt;'1-Input'!$B$26,H748,H748-C749*(1-B749))</f>
        <v>112048.44825128066</v>
      </c>
      <c r="I749" s="11">
        <f>IF($A749&gt;'1-Input'!$B$26,0,IF(N748&lt;=0,0,MAX(0,(N748-O748)/N748)))</f>
        <v>0.62648535878502964</v>
      </c>
      <c r="J749" s="18">
        <f>IF($A749&gt;'1-Input'!$B$26,0,(MAX(0,I726-IF($A749&gt;='1-Input'!$C$12,'1-Input'!$B$12,0))-MIN(MAX(M748,0),MAX(0,I726-IF($A749&gt;='1-Input'!$C$12,'1-Input'!$B$12,0))))*(1/(1-'P-Parametri'!$B$6*I749))+MIN(MAX(0,N748-(MAX(0,I726-IF($A749&gt;='1-Input'!$C$12,'1-Input'!$B$12,0))-MIN(MAX(M748,0),MAX(0,I726-IF($A749&gt;='1-Input'!$C$12,'1-Input'!$B$12,0))))*(1/(1-'P-Parametri'!$B$6*I749))),MAX(0,1*I726-(M748-MIN(MAX(M748,0),MAX(0,I726-IF($A749&gt;='1-Input'!$C$12,'1-Input'!$B$12,0)))))*(1/(1-'P-Parametri'!$B$6*I749))))</f>
        <v>26313.951987628887</v>
      </c>
      <c r="K749" s="18">
        <f>IF($A749&gt;'1-Input'!$B$26,M748,(M748-MAX(0,I726-IF($A749&gt;='1-Input'!$C$12,'1-Input'!$B$12,0))+J749*(1-'P-Parametri'!$B$6*I749))*(1+'1-Input'!$B$27))</f>
        <v>21869.741467754146</v>
      </c>
      <c r="L749" s="18">
        <f>IF($A749&gt;'1-Input'!$B$26,N748,(N748-J749)*(1+$D$4))</f>
        <v>107724.53101769708</v>
      </c>
      <c r="M749" s="18">
        <f>IF($A749&gt;'1-Input'!$B$26,K749,K749-'P-Parametri'!$B$8*(L749+K749)+MIN(MAX(L749,0),'P-Parametri'!$B$8*(L749+K749)))</f>
        <v>21869.741467754146</v>
      </c>
      <c r="N749" s="18">
        <f>IF($A749&gt;'1-Input'!$B$26,L749,L749-MIN(MAX(L749,0),'P-Parametri'!$B$8*(L749+K749)))</f>
        <v>107465.34247272617</v>
      </c>
      <c r="O749" s="18">
        <f>IF($A749&gt;'1-Input'!$B$26,O748,O748-J749*(1-I749))</f>
        <v>38689.124570313528</v>
      </c>
      <c r="P749" s="11">
        <f>IF($A749&gt;'1-Input'!$B$26,0,IF(U748&lt;=0,0,MAX(0,(U748-V748)/U748)))</f>
        <v>0.62673493029311789</v>
      </c>
      <c r="Q749" s="18">
        <f>IF($A749&gt;'1-Input'!$B$26,0,(MAX(0,P726-IF($A749&gt;='1-Input'!$C$12,'1-Input'!$B$12,0))-MIN(MAX(T748,0),MAX(0,P726-IF($A749&gt;='1-Input'!$C$12,'1-Input'!$B$12,0))))*(1/(1-'P-Parametri'!$B$6*P749))+MIN(MAX(0,U748-(MAX(0,P726-IF($A749&gt;='1-Input'!$C$12,'1-Input'!$B$12,0))-MIN(MAX(T748,0),MAX(0,P726-IF($A749&gt;='1-Input'!$C$12,'1-Input'!$B$12,0))))*(1/(1-'P-Parametri'!$B$6*P749))),MAX(0,1*P726-(T748-MIN(MAX(T748,0),MAX(0,P726-IF($A749&gt;='1-Input'!$C$12,'1-Input'!$B$12,0)))))*(1/(1-'P-Parametri'!$B$6*P749))))</f>
        <v>24411.604024835509</v>
      </c>
      <c r="R749" s="18">
        <f>IF($A749&gt;'1-Input'!$B$26,T748,(T748-MAX(0,P726-IF($A749&gt;='1-Input'!$C$12,'1-Input'!$B$12,0))+Q749*(1-'P-Parametri'!$B$6*P749))*(1+'1-Input'!$B$27))</f>
        <v>20287.111791944742</v>
      </c>
      <c r="S749" s="18">
        <f>IF($A749&gt;'1-Input'!$B$26,U748,(U748-Q749)*(1+$D$4))</f>
        <v>169460.35631906326</v>
      </c>
      <c r="T749" s="18">
        <f>IF($A749&gt;'1-Input'!$B$26,R749,R749-'P-Parametri'!$B$8*(S749+R749)+MIN(MAX(S749,0),'P-Parametri'!$B$8*(S749+R749)))</f>
        <v>20287.111791944742</v>
      </c>
      <c r="U749" s="18">
        <f>IF($A749&gt;'1-Input'!$B$26,S749,S749-MIN(MAX(S749,0),'P-Parametri'!$B$8*(S749+R749)))</f>
        <v>169080.86138284125</v>
      </c>
      <c r="V749" s="18">
        <f>IF($A749&gt;'1-Input'!$B$26,V748,V748-Q749*(1-P749))</f>
        <v>60820.799724988683</v>
      </c>
      <c r="W749" s="11">
        <f>IF($A749&gt;'1-Input'!$B$26,0,IF(AB748&lt;=0,0,MAX(0,(AB748-AC748)/AB748)))</f>
        <v>0.62677754362481652</v>
      </c>
      <c r="X749" s="18">
        <f>IF($A749&gt;'1-Input'!$B$26,0,(MAX(0,W726-IF($A749&gt;='1-Input'!$C$12,'1-Input'!$B$12,0))-MIN(MAX(AA748,0),MAX(0,W726-IF($A749&gt;='1-Input'!$C$12,'1-Input'!$B$12,0))))*(1/(1-'P-Parametri'!$B$6*W749))+MIN(MAX(0,AB748-(MAX(0,W726-IF($A749&gt;='1-Input'!$C$12,'1-Input'!$B$12,0))-MIN(MAX(AA748,0),MAX(0,W726-IF($A749&gt;='1-Input'!$C$12,'1-Input'!$B$12,0))))*(1/(1-'P-Parametri'!$B$6*W749))),MAX(0,1*W726-(AA748-MIN(MAX(AA748,0),MAX(0,W726-IF($A749&gt;='1-Input'!$C$12,'1-Input'!$B$12,0)))))*(1/(1-'P-Parametri'!$B$6*W749))))</f>
        <v>24002.514397156137</v>
      </c>
      <c r="Y749" s="18">
        <f>IF($A749&gt;'1-Input'!$B$26,AA748,(AA748-MAX(0,W726-IF($A749&gt;='1-Input'!$C$12,'1-Input'!$B$12,0))+X749*(1-'P-Parametri'!$B$6*W749))*(1+'1-Input'!$B$27))</f>
        <v>19946.876372417511</v>
      </c>
      <c r="Z749" s="18">
        <f>IF($A749&gt;'1-Input'!$B$26,AB748,(AB748-X749)*(1+$D$4))</f>
        <v>182733.10743811057</v>
      </c>
      <c r="AA749" s="18">
        <f>IF($A749&gt;'1-Input'!$B$26,Y749,Y749-'P-Parametri'!$B$8*(Z749+Y749)+MIN(MAX(Z749,0),'P-Parametri'!$B$8*(Z749+Y749)))</f>
        <v>19946.876372417511</v>
      </c>
      <c r="AB749" s="18">
        <f>IF($A749&gt;'1-Input'!$B$26,Z749,Z749-MIN(MAX(Z749,0),'P-Parametri'!$B$8*(Z749+Y749)))</f>
        <v>182327.74747048953</v>
      </c>
      <c r="AC749" s="18">
        <f>IF($A749&gt;'1-Input'!$B$26,AC748,AC748-X749*(1-W749))</f>
        <v>65577.018479924955</v>
      </c>
      <c r="AD749" s="11">
        <f>IF($A749&gt;'1-Input'!$B$26,0,IF(AI748&lt;=0,0,MAX(0,(AI748-AJ748)/AI748)))</f>
        <v>0.62677856769209772</v>
      </c>
      <c r="AE749" s="18">
        <f>IF($A749&gt;'1-Input'!$B$26,0,(MAX(0,AD726-IF($A749&gt;='1-Input'!$C$12,'1-Input'!$B$12,0))-MIN(MAX(AH748,0),MAX(0,AD726-IF($A749&gt;='1-Input'!$C$12,'1-Input'!$B$12,0))))*(1/(1-'P-Parametri'!$B$6*AD749))+MIN(MAX(0,AI748-(MAX(0,AD726-IF($A749&gt;='1-Input'!$C$12,'1-Input'!$B$12,0))-MIN(MAX(AH748,0),MAX(0,AD726-IF($A749&gt;='1-Input'!$C$12,'1-Input'!$B$12,0))))*(1/(1-'P-Parametri'!$B$6*AD749))),MAX(0,1*AD726-(AH748-MIN(MAX(AH748,0),MAX(0,AD726-IF($A749&gt;='1-Input'!$C$12,'1-Input'!$B$12,0)))))*(1/(1-'P-Parametri'!$B$6*AD749))))</f>
        <v>23992.329570458882</v>
      </c>
      <c r="AF749" s="18">
        <f>IF($A749&gt;'1-Input'!$B$26,AH748,(AH748-MAX(0,AD726-IF($A749&gt;='1-Input'!$C$12,'1-Input'!$B$12,0))+AE749*(1-'P-Parametri'!$B$6*AD749))*(1+'1-Input'!$B$27))</f>
        <v>19938.406105220583</v>
      </c>
      <c r="AG749" s="18">
        <f>IF($A749&gt;'1-Input'!$B$26,AI748,(AI748-AE749)*(1+$D$4))</f>
        <v>183063.53950856501</v>
      </c>
      <c r="AH749" s="18">
        <f>IF($A749&gt;'1-Input'!$B$26,AF749,AF749-'P-Parametri'!$B$8*(AG749+AF749)+MIN(MAX(AG749,0),'P-Parametri'!$B$8*(AG749+AF749)))</f>
        <v>19938.406105220583</v>
      </c>
      <c r="AI749" s="18">
        <f>IF($A749&gt;'1-Input'!$B$26,AG749,AG749-MIN(MAX(AG749,0),'P-Parametri'!$B$8*(AG749+AF749)))</f>
        <v>182657.53561733745</v>
      </c>
      <c r="AJ749" s="18">
        <f>IF($A749&gt;'1-Input'!$B$26,AJ748,AJ748-AE749*(1-AD749))</f>
        <v>65695.419633404701</v>
      </c>
      <c r="AK749" s="11">
        <f>IF($A749&gt;'1-Input'!$B$26,0,IF(AP748&lt;=0,0,MAX(0,(AP748-AQ748)/AP748)))</f>
        <v>0.62677856525763076</v>
      </c>
      <c r="AL749" s="18">
        <f>IF($A749&gt;'1-Input'!$B$26,0,(MAX(0,AK726-IF($A749&gt;='1-Input'!$C$12,'1-Input'!$B$12,0))-MIN(MAX(AO748,0),MAX(0,AK726-IF($A749&gt;='1-Input'!$C$12,'1-Input'!$B$12,0))))*(1/(1-'P-Parametri'!$B$6*AK749))+MIN(MAX(0,AP748-(MAX(0,AK726-IF($A749&gt;='1-Input'!$C$12,'1-Input'!$B$12,0))-MIN(MAX(AO748,0),MAX(0,AK726-IF($A749&gt;='1-Input'!$C$12,'1-Input'!$B$12,0))))*(1/(1-'P-Parametri'!$B$6*AK749))),MAX(0,1*AK726-(AO748-MIN(MAX(AO748,0),MAX(0,AK726-IF($A749&gt;='1-Input'!$C$12,'1-Input'!$B$12,0)))))*(1/(1-'P-Parametri'!$B$6*AK749))))</f>
        <v>23992.353802536996</v>
      </c>
      <c r="AM749" s="18">
        <f>IF($A749&gt;'1-Input'!$B$26,AO748,(AO748-MAX(0,AK726-IF($A749&gt;='1-Input'!$C$12,'1-Input'!$B$12,0))+AL749*(1-'P-Parametri'!$B$6*AK749))*(1+'1-Input'!$B$27))</f>
        <v>19938.42625794281</v>
      </c>
      <c r="AN749" s="18">
        <f>IF($A749&gt;'1-Input'!$B$26,AP748,(AP748-AL749)*(1+$D$4))</f>
        <v>183062.75333418566</v>
      </c>
      <c r="AO749" s="18">
        <f>IF($A749&gt;'1-Input'!$B$26,AM749,AM749-'P-Parametri'!$B$8*(AN749+AM749)+MIN(MAX(AN749,0),'P-Parametri'!$B$8*(AN749+AM749)))</f>
        <v>19938.42625794281</v>
      </c>
      <c r="AP749" s="18">
        <f>IF($A749&gt;'1-Input'!$B$26,AN749,AN749-MIN(MAX(AN749,0),'P-Parametri'!$B$8*(AN749+AM749)))</f>
        <v>182656.7509750014</v>
      </c>
      <c r="AQ749" s="18">
        <f>IF($A749&gt;'1-Input'!$B$26,AQ748,AQ748-AL749*(1-AK749))</f>
        <v>65695.137930070385</v>
      </c>
    </row>
    <row r="750" spans="1:43">
      <c r="A750" s="10">
        <f>22</f>
        <v>22</v>
      </c>
      <c r="B750" s="11">
        <f>IF($A750&gt;'1-Input'!$B$26,0,IF(G749&lt;=0,0,MAX(0,(G749-H749)/G749)))</f>
        <v>0.64067266624173835</v>
      </c>
      <c r="C750" s="18">
        <f>IF($A750&gt;'1-Input'!$B$26,0,(MAX(0,B726-IF($A750&gt;='1-Input'!$C$12,'1-Input'!$B$12,0))-MIN(MAX(F749,0),MAX(0,B726-IF($A750&gt;='1-Input'!$C$12,'1-Input'!$B$12,0))))*(1/(1-'P-Parametri'!$B$6*B750))+MIN(MAX(0,G749-(MAX(0,B726-IF($A750&gt;='1-Input'!$C$12,'1-Input'!$B$12,0))-MIN(MAX(F749,0),MAX(0,B726-IF($A750&gt;='1-Input'!$C$12,'1-Input'!$B$12,0))))*(1/(1-'P-Parametri'!$B$6*B750))),MAX(0,1*B726-(F749-MIN(MAX(F749,0),MAX(0,B726-IF($A750&gt;='1-Input'!$C$12,'1-Input'!$B$12,0)))))*(1/(1-'P-Parametri'!$B$6*B750))))</f>
        <v>20087.11637989436</v>
      </c>
      <c r="D750" s="18">
        <f>IF($A750&gt;'1-Input'!$B$26,F749,(F749-MAX(0,B726-IF($A750&gt;='1-Input'!$C$12,'1-Input'!$B$12,0))+C750*(1-'P-Parametri'!$B$6*B750))*(1+'1-Input'!$B$27))</f>
        <v>16621.00351549315</v>
      </c>
      <c r="E750" s="18">
        <f>IF($A750&gt;'1-Input'!$B$26,G749,(G749-C750)*(1+$D$4))</f>
        <v>303410.87907365104</v>
      </c>
      <c r="F750" s="18">
        <f>IF($A750&gt;'1-Input'!$B$26,D750,D750-'P-Parametri'!$B$8*(E750+D750)+MIN(MAX(E750,0),'P-Parametri'!$B$8*(E750+D750)))</f>
        <v>16621.00351549315</v>
      </c>
      <c r="G750" s="18">
        <f>IF($A750&gt;'1-Input'!$B$26,E750,E750-MIN(MAX(E750,0),'P-Parametri'!$B$8*(E750+D750)))</f>
        <v>302770.81530847278</v>
      </c>
      <c r="H750" s="18">
        <f>IF($A750&gt;'1-Input'!$B$26,H749,H749-C750*(1-B750))</f>
        <v>104830.59827960131</v>
      </c>
      <c r="I750" s="11">
        <f>IF($A750&gt;'1-Input'!$B$26,0,IF(N749&lt;=0,0,MAX(0,(N749-O749)/N749)))</f>
        <v>0.63998509956702998</v>
      </c>
      <c r="J750" s="18">
        <f>IF($A750&gt;'1-Input'!$B$26,0,(MAX(0,I726-IF($A750&gt;='1-Input'!$C$12,'1-Input'!$B$12,0))-MIN(MAX(M749,0),MAX(0,I726-IF($A750&gt;='1-Input'!$C$12,'1-Input'!$B$12,0))))*(1/(1-'P-Parametri'!$B$6*I750))+MIN(MAX(0,N749-(MAX(0,I726-IF($A750&gt;='1-Input'!$C$12,'1-Input'!$B$12,0))-MIN(MAX(M749,0),MAX(0,I726-IF($A750&gt;='1-Input'!$C$12,'1-Input'!$B$12,0))))*(1/(1-'P-Parametri'!$B$6*I750))),MAX(0,1*I726-(M749-MIN(MAX(M749,0),MAX(0,I726-IF($A750&gt;='1-Input'!$C$12,'1-Input'!$B$12,0)))))*(1/(1-'P-Parametri'!$B$6*I750))))</f>
        <v>26424.748255342853</v>
      </c>
      <c r="K750" s="18">
        <f>IF($A750&gt;'1-Input'!$B$26,M749,(M749-MAX(0,I726-IF($A750&gt;='1-Input'!$C$12,'1-Input'!$B$12,0))+J750*(1-'P-Parametri'!$B$6*I750))*(1+'1-Input'!$B$27))</f>
        <v>21869.741467754146</v>
      </c>
      <c r="L750" s="18">
        <f>IF($A750&gt;'1-Input'!$B$26,N749,(N749-J750)*(1+$D$4))</f>
        <v>84282.217986078656</v>
      </c>
      <c r="M750" s="18">
        <f>IF($A750&gt;'1-Input'!$B$26,K750,K750-'P-Parametri'!$B$8*(L750+K750)+MIN(MAX(L750,0),'P-Parametri'!$B$8*(L750+K750)))</f>
        <v>21869.741467754146</v>
      </c>
      <c r="N750" s="18">
        <f>IF($A750&gt;'1-Input'!$B$26,L750,L750-MIN(MAX(L750,0),'P-Parametri'!$B$8*(L750+K750)))</f>
        <v>84069.91406717099</v>
      </c>
      <c r="O750" s="18">
        <f>IF($A750&gt;'1-Input'!$B$26,O749,O749-J750*(1-I750))</f>
        <v>29175.821458199971</v>
      </c>
      <c r="P750" s="11">
        <f>IF($A750&gt;'1-Input'!$B$26,0,IF(U749&lt;=0,0,MAX(0,(U749-V749)/U749)))</f>
        <v>0.64028572348424928</v>
      </c>
      <c r="Q750" s="18">
        <f>IF($A750&gt;'1-Input'!$B$26,0,(MAX(0,P726-IF($A750&gt;='1-Input'!$C$12,'1-Input'!$B$12,0))-MIN(MAX(T749,0),MAX(0,P726-IF($A750&gt;='1-Input'!$C$12,'1-Input'!$B$12,0))))*(1/(1-'P-Parametri'!$B$6*P750))+MIN(MAX(0,U749-(MAX(0,P726-IF($A750&gt;='1-Input'!$C$12,'1-Input'!$B$12,0))-MIN(MAX(T749,0),MAX(0,P726-IF($A750&gt;='1-Input'!$C$12,'1-Input'!$B$12,0))))*(1/(1-'P-Parametri'!$B$6*P750))),MAX(0,1*P726-(T749-MIN(MAX(T749,0),MAX(0,P726-IF($A750&gt;='1-Input'!$C$12,'1-Input'!$B$12,0)))))*(1/(1-'P-Parametri'!$B$6*P750))))</f>
        <v>24514.788742655044</v>
      </c>
      <c r="R750" s="18">
        <f>IF($A750&gt;'1-Input'!$B$26,T749,(T749-MAX(0,P726-IF($A750&gt;='1-Input'!$C$12,'1-Input'!$B$12,0))+Q750*(1-'P-Parametri'!$B$6*P750))*(1+'1-Input'!$B$27))</f>
        <v>20287.111791944739</v>
      </c>
      <c r="S750" s="18">
        <f>IF($A750&gt;'1-Input'!$B$26,U749,(U749-Q750)*(1+$D$4))</f>
        <v>150348.71554579365</v>
      </c>
      <c r="T750" s="18">
        <f>IF($A750&gt;'1-Input'!$B$26,R750,R750-'P-Parametri'!$B$8*(S750+R750)+MIN(MAX(S750,0),'P-Parametri'!$B$8*(S750+R750)))</f>
        <v>20287.111791944739</v>
      </c>
      <c r="U750" s="18">
        <f>IF($A750&gt;'1-Input'!$B$26,S750,S750-MIN(MAX(S750,0),'P-Parametri'!$B$8*(S750+R750)))</f>
        <v>150007.44389111816</v>
      </c>
      <c r="V750" s="18">
        <f>IF($A750&gt;'1-Input'!$B$26,V749,V749-Q750*(1-P750))</f>
        <v>52002.480228488057</v>
      </c>
      <c r="W750" s="11">
        <f>IF($A750&gt;'1-Input'!$B$26,0,IF(AB749&lt;=0,0,MAX(0,(AB749-AC749)/AB749)))</f>
        <v>0.64033440115559559</v>
      </c>
      <c r="X750" s="18">
        <f>IF($A750&gt;'1-Input'!$B$26,0,(MAX(0,W726-IF($A750&gt;='1-Input'!$C$12,'1-Input'!$B$12,0))-MIN(MAX(AA749,0),MAX(0,W726-IF($A750&gt;='1-Input'!$C$12,'1-Input'!$B$12,0))))*(1/(1-'P-Parametri'!$B$6*W750))+MIN(MAX(0,AB749-(MAX(0,W726-IF($A750&gt;='1-Input'!$C$12,'1-Input'!$B$12,0))-MIN(MAX(AA749,0),MAX(0,W726-IF($A750&gt;='1-Input'!$C$12,'1-Input'!$B$12,0))))*(1/(1-'P-Parametri'!$B$6*W750))),MAX(0,1*W726-(AA749-MIN(MAX(AA749,0),MAX(0,W726-IF($A750&gt;='1-Input'!$C$12,'1-Input'!$B$12,0)))))*(1/(1-'P-Parametri'!$B$6*W750))))</f>
        <v>24104.016890869691</v>
      </c>
      <c r="Y750" s="18">
        <f>IF($A750&gt;'1-Input'!$B$26,AA749,(AA749-MAX(0,W726-IF($A750&gt;='1-Input'!$C$12,'1-Input'!$B$12,0))+X750*(1-'P-Parametri'!$B$6*W750))*(1+'1-Input'!$B$27))</f>
        <v>19946.876372417511</v>
      </c>
      <c r="Z750" s="18">
        <f>IF($A750&gt;'1-Input'!$B$26,AB749,(AB749-X750)*(1+$D$4))</f>
        <v>164552.67980280466</v>
      </c>
      <c r="AA750" s="18">
        <f>IF($A750&gt;'1-Input'!$B$26,Y750,Y750-'P-Parametri'!$B$8*(Z750+Y750)+MIN(MAX(Z750,0),'P-Parametri'!$B$8*(Z750+Y750)))</f>
        <v>19946.876372417511</v>
      </c>
      <c r="AB750" s="18">
        <f>IF($A750&gt;'1-Input'!$B$26,Z750,Z750-MIN(MAX(Z750,0),'P-Parametri'!$B$8*(Z750+Y750)))</f>
        <v>164183.6806904542</v>
      </c>
      <c r="AC750" s="18">
        <f>IF($A750&gt;'1-Input'!$B$26,AC749,AC749-X750*(1-W750))</f>
        <v>56907.632810314666</v>
      </c>
      <c r="AD750" s="11">
        <f>IF($A750&gt;'1-Input'!$B$26,0,IF(AI749&lt;=0,0,MAX(0,(AI749-AJ749)/AI749)))</f>
        <v>0.64033556342819153</v>
      </c>
      <c r="AE750" s="18">
        <f>IF($A750&gt;'1-Input'!$B$26,0,(MAX(0,AD726-IF($A750&gt;='1-Input'!$C$12,'1-Input'!$B$12,0))-MIN(MAX(AH749,0),MAX(0,AD726-IF($A750&gt;='1-Input'!$C$12,'1-Input'!$B$12,0))))*(1/(1-'P-Parametri'!$B$6*AD750))+MIN(MAX(0,AI749-(MAX(0,AD726-IF($A750&gt;='1-Input'!$C$12,'1-Input'!$B$12,0))-MIN(MAX(AH749,0),MAX(0,AD726-IF($A750&gt;='1-Input'!$C$12,'1-Input'!$B$12,0))))*(1/(1-'P-Parametri'!$B$6*AD750))),MAX(0,1*AD726-(AH749-MIN(MAX(AH749,0),MAX(0,AD726-IF($A750&gt;='1-Input'!$C$12,'1-Input'!$B$12,0)))))*(1/(1-'P-Parametri'!$B$6*AD750))))</f>
        <v>24093.790065409059</v>
      </c>
      <c r="AF750" s="18">
        <f>IF($A750&gt;'1-Input'!$B$26,AH749,(AH749-MAX(0,AD726-IF($A750&gt;='1-Input'!$C$12,'1-Input'!$B$12,0))+AE750*(1-'P-Parametri'!$B$6*AD750))*(1+'1-Input'!$B$27))</f>
        <v>19938.406105220583</v>
      </c>
      <c r="AG750" s="18">
        <f>IF($A750&gt;'1-Input'!$B$26,AI749,(AI749-AE750)*(1+$D$4))</f>
        <v>164906.29537400554</v>
      </c>
      <c r="AH750" s="18">
        <f>IF($A750&gt;'1-Input'!$B$26,AF750,AF750-'P-Parametri'!$B$8*(AG750+AF750)+MIN(MAX(AG750,0),'P-Parametri'!$B$8*(AG750+AF750)))</f>
        <v>19938.406105220583</v>
      </c>
      <c r="AI750" s="18">
        <f>IF($A750&gt;'1-Input'!$B$26,AG750,AG750-MIN(MAX(AG750,0),'P-Parametri'!$B$8*(AG750+AF750)))</f>
        <v>164536.60597104707</v>
      </c>
      <c r="AJ750" s="18">
        <f>IF($A750&gt;'1-Input'!$B$26,AJ749,AJ749-AE750*(1-AD750))</f>
        <v>57029.740204649919</v>
      </c>
      <c r="AK750" s="11">
        <f>IF($A750&gt;'1-Input'!$B$26,0,IF(AP749&lt;=0,0,MAX(0,(AP749-AQ749)/AP749)))</f>
        <v>0.6403355606655815</v>
      </c>
      <c r="AL750" s="18">
        <f>IF($A750&gt;'1-Input'!$B$26,0,(MAX(0,AK726-IF($A750&gt;='1-Input'!$C$12,'1-Input'!$B$12,0))-MIN(MAX(AO749,0),MAX(0,AK726-IF($A750&gt;='1-Input'!$C$12,'1-Input'!$B$12,0))))*(1/(1-'P-Parametri'!$B$6*AK750))+MIN(MAX(0,AP749-(MAX(0,AK726-IF($A750&gt;='1-Input'!$C$12,'1-Input'!$B$12,0))-MIN(MAX(AO749,0),MAX(0,AK726-IF($A750&gt;='1-Input'!$C$12,'1-Input'!$B$12,0))))*(1/(1-'P-Parametri'!$B$6*AK750))),MAX(0,1*AK726-(AO749-MIN(MAX(AO749,0),MAX(0,AK726-IF($A750&gt;='1-Input'!$C$12,'1-Input'!$B$12,0)))))*(1/(1-'P-Parametri'!$B$6*AK750))))</f>
        <v>24093.814397418282</v>
      </c>
      <c r="AM750" s="18">
        <f>IF($A750&gt;'1-Input'!$B$26,AO749,(AO749-MAX(0,AK726-IF($A750&gt;='1-Input'!$C$12,'1-Input'!$B$12,0))+AL750*(1-'P-Parametri'!$B$6*AK750))*(1+'1-Input'!$B$27))</f>
        <v>19938.426257942814</v>
      </c>
      <c r="AN750" s="18">
        <f>IF($A750&gt;'1-Input'!$B$26,AP749,(AP749-AL750)*(1+$D$4))</f>
        <v>164905.45404068645</v>
      </c>
      <c r="AO750" s="18">
        <f>IF($A750&gt;'1-Input'!$B$26,AM750,AM750-'P-Parametri'!$B$8*(AN750+AM750)+MIN(MAX(AN750,0),'P-Parametri'!$B$8*(AN750+AM750)))</f>
        <v>19938.426257942814</v>
      </c>
      <c r="AP750" s="18">
        <f>IF($A750&gt;'1-Input'!$B$26,AN750,AN750-MIN(MAX(AN750,0),'P-Parametri'!$B$8*(AN750+AM750)))</f>
        <v>164535.76628008918</v>
      </c>
      <c r="AQ750" s="18">
        <f>IF($A750&gt;'1-Input'!$B$26,AQ749,AQ749-AL750*(1-AK750))</f>
        <v>57029.449683395396</v>
      </c>
    </row>
    <row r="751" spans="1:43">
      <c r="A751" s="10">
        <f>23</f>
        <v>23</v>
      </c>
      <c r="B751" s="11">
        <f>IF($A751&gt;'1-Input'!$B$26,0,IF(G750&lt;=0,0,MAX(0,(G750-H750)/G750)))</f>
        <v>0.65376253925664374</v>
      </c>
      <c r="C751" s="18">
        <f>IF($A751&gt;'1-Input'!$B$26,0,(MAX(0,B726-IF($A751&gt;='1-Input'!$C$12,'1-Input'!$B$12,0))-MIN(MAX(F750,0),MAX(0,B726-IF($A751&gt;='1-Input'!$C$12,'1-Input'!$B$12,0))))*(1/(1-'P-Parametri'!$B$6*B751))+MIN(MAX(0,G750-(MAX(0,B726-IF($A751&gt;='1-Input'!$C$12,'1-Input'!$B$12,0))-MIN(MAX(F750,0),MAX(0,B726-IF($A751&gt;='1-Input'!$C$12,'1-Input'!$B$12,0))))*(1/(1-'P-Parametri'!$B$6*B751))),MAX(0,1*B726-(F750-MIN(MAX(F750,0),MAX(0,B726-IF($A751&gt;='1-Input'!$C$12,'1-Input'!$B$12,0)))))*(1/(1-'P-Parametri'!$B$6*B751))))</f>
        <v>6793.9270062528067</v>
      </c>
      <c r="D751" s="18">
        <f>IF($A751&gt;'1-Input'!$B$26,F750,(F750-MAX(0,B726-IF($A751&gt;='1-Input'!$C$12,'1-Input'!$B$12,0))+C751*(1-'P-Parametri'!$B$6*B751))*(1+'1-Input'!$B$27))</f>
        <v>16621.00351549315</v>
      </c>
      <c r="E751" s="18">
        <f>IF($A751&gt;'1-Input'!$B$26,G750,(G750-C751)*(1+$D$4))</f>
        <v>307815.96383430879</v>
      </c>
      <c r="F751" s="18">
        <f>IF($A751&gt;'1-Input'!$B$26,D751,D751-'P-Parametri'!$B$8*(E751+D751)+MIN(MAX(E751,0),'P-Parametri'!$B$8*(E751+D751)))</f>
        <v>16621.00351549315</v>
      </c>
      <c r="G751" s="18">
        <f>IF($A751&gt;'1-Input'!$B$26,E751,E751-MIN(MAX(E751,0),'P-Parametri'!$B$8*(E751+D751)))</f>
        <v>307167.08989960916</v>
      </c>
      <c r="H751" s="18">
        <f>IF($A751&gt;'1-Input'!$B$26,H750,H750-C751*(1-B751))</f>
        <v>102478.28624448062</v>
      </c>
      <c r="I751" s="11">
        <f>IF($A751&gt;'1-Input'!$B$26,0,IF(N750&lt;=0,0,MAX(0,(N750-O750)/N750)))</f>
        <v>0.65295763910393922</v>
      </c>
      <c r="J751" s="18">
        <f>IF($A751&gt;'1-Input'!$B$26,0,(MAX(0,I726-IF($A751&gt;='1-Input'!$C$12,'1-Input'!$B$12,0))-MIN(MAX(M750,0),MAX(0,I726-IF($A751&gt;='1-Input'!$C$12,'1-Input'!$B$12,0))))*(1/(1-'P-Parametri'!$B$6*I751))+MIN(MAX(0,N750-(MAX(0,I726-IF($A751&gt;='1-Input'!$C$12,'1-Input'!$B$12,0))-MIN(MAX(M750,0),MAX(0,I726-IF($A751&gt;='1-Input'!$C$12,'1-Input'!$B$12,0))))*(1/(1-'P-Parametri'!$B$6*I751))),MAX(0,1*I726-(M750-MIN(MAX(M750,0),MAX(0,I726-IF($A751&gt;='1-Input'!$C$12,'1-Input'!$B$12,0)))))*(1/(1-'P-Parametri'!$B$6*I751))))</f>
        <v>13159.918548045545</v>
      </c>
      <c r="K751" s="18">
        <f>IF($A751&gt;'1-Input'!$B$26,M750,(M750-MAX(0,I726-IF($A751&gt;='1-Input'!$C$12,'1-Input'!$B$12,0))+J751*(1-'P-Parametri'!$B$6*I751))*(1+'1-Input'!$B$27))</f>
        <v>21869.741467754146</v>
      </c>
      <c r="L751" s="18">
        <f>IF($A751&gt;'1-Input'!$B$26,N750,(N750-J751)*(1+$D$4))</f>
        <v>73746.395339890456</v>
      </c>
      <c r="M751" s="18">
        <f>IF($A751&gt;'1-Input'!$B$26,K751,K751-'P-Parametri'!$B$8*(L751+K751)+MIN(MAX(L751,0),'P-Parametri'!$B$8*(L751+K751)))</f>
        <v>21869.741467754146</v>
      </c>
      <c r="N751" s="18">
        <f>IF($A751&gt;'1-Input'!$B$26,L751,L751-MIN(MAX(L751,0),'P-Parametri'!$B$8*(L751+K751)))</f>
        <v>73555.16306627517</v>
      </c>
      <c r="O751" s="18">
        <f>IF($A751&gt;'1-Input'!$B$26,O750,O750-J751*(1-I751))</f>
        <v>24608.772256086384</v>
      </c>
      <c r="P751" s="11">
        <f>IF($A751&gt;'1-Input'!$B$26,0,IF(U750&lt;=0,0,MAX(0,(U750-V750)/U750)))</f>
        <v>0.65333400210303105</v>
      </c>
      <c r="Q751" s="18">
        <f>IF($A751&gt;'1-Input'!$B$26,0,(MAX(0,P726-IF($A751&gt;='1-Input'!$C$12,'1-Input'!$B$12,0))-MIN(MAX(T750,0),MAX(0,P726-IF($A751&gt;='1-Input'!$C$12,'1-Input'!$B$12,0))))*(1/(1-'P-Parametri'!$B$6*P751))+MIN(MAX(0,U750-(MAX(0,P726-IF($A751&gt;='1-Input'!$C$12,'1-Input'!$B$12,0))-MIN(MAX(T750,0),MAX(0,P726-IF($A751&gt;='1-Input'!$C$12,'1-Input'!$B$12,0))))*(1/(1-'P-Parametri'!$B$6*P751))),MAX(0,1*P726-(T750-MIN(MAX(T750,0),MAX(0,P726-IF($A751&gt;='1-Input'!$C$12,'1-Input'!$B$12,0)))))*(1/(1-'P-Parametri'!$B$6*P751))))</f>
        <v>11241.21670407849</v>
      </c>
      <c r="R751" s="18">
        <f>IF($A751&gt;'1-Input'!$B$26,T750,(T750-MAX(0,P726-IF($A751&gt;='1-Input'!$C$12,'1-Input'!$B$12,0))+Q751*(1-'P-Parametri'!$B$6*P751))*(1+'1-Input'!$B$27))</f>
        <v>20287.111791944739</v>
      </c>
      <c r="S751" s="18">
        <f>IF($A751&gt;'1-Input'!$B$26,U750,(U750-Q751)*(1+$D$4))</f>
        <v>144316.87627452126</v>
      </c>
      <c r="T751" s="18">
        <f>IF($A751&gt;'1-Input'!$B$26,R751,R751-'P-Parametri'!$B$8*(S751+R751)+MIN(MAX(S751,0),'P-Parametri'!$B$8*(S751+R751)))</f>
        <v>20287.111791944739</v>
      </c>
      <c r="U751" s="18">
        <f>IF($A751&gt;'1-Input'!$B$26,S751,S751-MIN(MAX(S751,0),'P-Parametri'!$B$8*(S751+R751)))</f>
        <v>143987.66829838834</v>
      </c>
      <c r="V751" s="18">
        <f>IF($A751&gt;'1-Input'!$B$26,V750,V750-Q751*(1-P751))</f>
        <v>48105.532622192608</v>
      </c>
      <c r="W751" s="11">
        <f>IF($A751&gt;'1-Input'!$B$26,0,IF(AB750&lt;=0,0,MAX(0,(AB750-AC750)/AB750)))</f>
        <v>0.65339044312445282</v>
      </c>
      <c r="X751" s="18">
        <f>IF($A751&gt;'1-Input'!$B$26,0,(MAX(0,W726-IF($A751&gt;='1-Input'!$C$12,'1-Input'!$B$12,0))-MIN(MAX(AA750,0),MAX(0,W726-IF($A751&gt;='1-Input'!$C$12,'1-Input'!$B$12,0))))*(1/(1-'P-Parametri'!$B$6*W751))+MIN(MAX(0,AB750-(MAX(0,W726-IF($A751&gt;='1-Input'!$C$12,'1-Input'!$B$12,0))-MIN(MAX(AA750,0),MAX(0,W726-IF($A751&gt;='1-Input'!$C$12,'1-Input'!$B$12,0))))*(1/(1-'P-Parametri'!$B$6*W751))),MAX(0,1*W726-(AA750-MIN(MAX(AA750,0),MAX(0,W726-IF($A751&gt;='1-Input'!$C$12,'1-Input'!$B$12,0)))))*(1/(1-'P-Parametri'!$B$6*W751))))</f>
        <v>10828.590060419845</v>
      </c>
      <c r="Y751" s="18">
        <f>IF($A751&gt;'1-Input'!$B$26,AA750,(AA750-MAX(0,W726-IF($A751&gt;='1-Input'!$C$12,'1-Input'!$B$12,0))+X751*(1-'P-Parametri'!$B$6*W751))*(1+'1-Input'!$B$27))</f>
        <v>19946.876372417511</v>
      </c>
      <c r="Z751" s="18">
        <f>IF($A751&gt;'1-Input'!$B$26,AB750,(AB750-X751)*(1+$D$4))</f>
        <v>159489.29425523576</v>
      </c>
      <c r="AA751" s="18">
        <f>IF($A751&gt;'1-Input'!$B$26,Y751,Y751-'P-Parametri'!$B$8*(Z751+Y751)+MIN(MAX(Z751,0),'P-Parametri'!$B$8*(Z751+Y751)))</f>
        <v>19946.876372417511</v>
      </c>
      <c r="AB751" s="18">
        <f>IF($A751&gt;'1-Input'!$B$26,Z751,Z751-MIN(MAX(Z751,0),'P-Parametri'!$B$8*(Z751+Y751)))</f>
        <v>159130.42191398045</v>
      </c>
      <c r="AC751" s="18">
        <f>IF($A751&gt;'1-Input'!$B$26,AC750,AC750-X751*(1-W751))</f>
        <v>53154.340007885592</v>
      </c>
      <c r="AD751" s="11">
        <f>IF($A751&gt;'1-Input'!$B$26,0,IF(AI750&lt;=0,0,MAX(0,(AI750-AJ750)/AI750)))</f>
        <v>0.65339177948835747</v>
      </c>
      <c r="AE751" s="18">
        <f>IF($A751&gt;'1-Input'!$B$26,0,(MAX(0,AD726-IF($A751&gt;='1-Input'!$C$12,'1-Input'!$B$12,0))-MIN(MAX(AH750,0),MAX(0,AD726-IF($A751&gt;='1-Input'!$C$12,'1-Input'!$B$12,0))))*(1/(1-'P-Parametri'!$B$6*AD751))+MIN(MAX(0,AI750-(MAX(0,AD726-IF($A751&gt;='1-Input'!$C$12,'1-Input'!$B$12,0))-MIN(MAX(AH750,0),MAX(0,AD726-IF($A751&gt;='1-Input'!$C$12,'1-Input'!$B$12,0))))*(1/(1-'P-Parametri'!$B$6*AD751))),MAX(0,1*AD726-(AH750-MIN(MAX(AH750,0),MAX(0,AD726-IF($A751&gt;='1-Input'!$C$12,'1-Input'!$B$12,0)))))*(1/(1-'P-Parametri'!$B$6*AD751))))</f>
        <v>10818.317171976394</v>
      </c>
      <c r="AF751" s="18">
        <f>IF($A751&gt;'1-Input'!$B$26,AH750,(AH750-MAX(0,AD726-IF($A751&gt;='1-Input'!$C$12,'1-Input'!$B$12,0))+AE751*(1-'P-Parametri'!$B$6*AD751))*(1+'1-Input'!$B$27))</f>
        <v>19938.406105220583</v>
      </c>
      <c r="AG751" s="18">
        <f>IF($A751&gt;'1-Input'!$B$26,AI750,(AI750-AE751)*(1+$D$4))</f>
        <v>159867.02035103351</v>
      </c>
      <c r="AH751" s="18">
        <f>IF($A751&gt;'1-Input'!$B$26,AF751,AF751-'P-Parametri'!$B$8*(AG751+AF751)+MIN(MAX(AG751,0),'P-Parametri'!$B$8*(AG751+AF751)))</f>
        <v>19938.406105220583</v>
      </c>
      <c r="AI751" s="18">
        <f>IF($A751&gt;'1-Input'!$B$26,AG751,AG751-MIN(MAX(AG751,0),'P-Parametri'!$B$8*(AG751+AF751)))</f>
        <v>159507.40949812101</v>
      </c>
      <c r="AJ751" s="18">
        <f>IF($A751&gt;'1-Input'!$B$26,AJ750,AJ750-AE751*(1-AD751))</f>
        <v>53280.02254074064</v>
      </c>
      <c r="AK751" s="11">
        <f>IF($A751&gt;'1-Input'!$B$26,0,IF(AP750&lt;=0,0,MAX(0,(AP750-AQ750)/AP750)))</f>
        <v>0.65339177631254852</v>
      </c>
      <c r="AL751" s="18">
        <f>IF($A751&gt;'1-Input'!$B$26,0,(MAX(0,AK726-IF($A751&gt;='1-Input'!$C$12,'1-Input'!$B$12,0))-MIN(MAX(AO750,0),MAX(0,AK726-IF($A751&gt;='1-Input'!$C$12,'1-Input'!$B$12,0))))*(1/(1-'P-Parametri'!$B$6*AK751))+MIN(MAX(0,AP750-(MAX(0,AK726-IF($A751&gt;='1-Input'!$C$12,'1-Input'!$B$12,0))-MIN(MAX(AO750,0),MAX(0,AK726-IF($A751&gt;='1-Input'!$C$12,'1-Input'!$B$12,0))))*(1/(1-'P-Parametri'!$B$6*AK751))),MAX(0,1*AK726-(AO750-MIN(MAX(AO750,0),MAX(0,AK726-IF($A751&gt;='1-Input'!$C$12,'1-Input'!$B$12,0)))))*(1/(1-'P-Parametri'!$B$6*AK751))))</f>
        <v>10818.341613573737</v>
      </c>
      <c r="AM751" s="18">
        <f>IF($A751&gt;'1-Input'!$B$26,AO750,(AO750-MAX(0,AK726-IF($A751&gt;='1-Input'!$C$12,'1-Input'!$B$12,0))+AL751*(1-'P-Parametri'!$B$6*AK751))*(1+'1-Input'!$B$27))</f>
        <v>19938.426257942814</v>
      </c>
      <c r="AN751" s="18">
        <f>IF($A751&gt;'1-Input'!$B$26,AP750,(AP750-AL751)*(1+$D$4))</f>
        <v>159866.12165317606</v>
      </c>
      <c r="AO751" s="18">
        <f>IF($A751&gt;'1-Input'!$B$26,AM751,AM751-'P-Parametri'!$B$8*(AN751+AM751)+MIN(MAX(AN751,0),'P-Parametri'!$B$8*(AN751+AM751)))</f>
        <v>19938.426257942814</v>
      </c>
      <c r="AP751" s="18">
        <f>IF($A751&gt;'1-Input'!$B$26,AN751,AN751-MIN(MAX(AN751,0),'P-Parametri'!$B$8*(AN751+AM751)))</f>
        <v>159506.51255735382</v>
      </c>
      <c r="AQ751" s="18">
        <f>IF($A751&gt;'1-Input'!$B$26,AQ750,AQ750-AL751*(1-AK751))</f>
        <v>53279.723513470562</v>
      </c>
    </row>
    <row r="752" spans="1:43">
      <c r="A752" s="10">
        <f>24</f>
        <v>24</v>
      </c>
      <c r="B752" s="11">
        <f>IF($A752&gt;'1-Input'!$B$26,0,IF(G751&lt;=0,0,MAX(0,(G751-H751)/G751)))</f>
        <v>0.66637608775740453</v>
      </c>
      <c r="C752" s="18">
        <f>IF($A752&gt;'1-Input'!$B$26,0,(MAX(0,B726-IF($A752&gt;='1-Input'!$C$12,'1-Input'!$B$12,0))-MIN(MAX(F751,0),MAX(0,B726-IF($A752&gt;='1-Input'!$C$12,'1-Input'!$B$12,0))))*(1/(1-'P-Parametri'!$B$6*B752))+MIN(MAX(0,G751-(MAX(0,B726-IF($A752&gt;='1-Input'!$C$12,'1-Input'!$B$12,0))-MIN(MAX(F751,0),MAX(0,B726-IF($A752&gt;='1-Input'!$C$12,'1-Input'!$B$12,0))))*(1/(1-'P-Parametri'!$B$6*B752))),MAX(0,1*B726-(F751-MIN(MAX(F751,0),MAX(0,B726-IF($A752&gt;='1-Input'!$C$12,'1-Input'!$B$12,0)))))*(1/(1-'P-Parametri'!$B$6*B752))))</f>
        <v>6820.8771689104688</v>
      </c>
      <c r="D752" s="18">
        <f>IF($A752&gt;'1-Input'!$B$26,F751,(F751-MAX(0,B726-IF($A752&gt;='1-Input'!$C$12,'1-Input'!$B$12,0))+C752*(1-'P-Parametri'!$B$6*B752))*(1+'1-Input'!$B$27))</f>
        <v>16621.00351549315</v>
      </c>
      <c r="E752" s="18">
        <f>IF($A752&gt;'1-Input'!$B$26,G751,(G751-C752)*(1+$D$4))</f>
        <v>312360.06123992667</v>
      </c>
      <c r="F752" s="18">
        <f>IF($A752&gt;'1-Input'!$B$26,D752,D752-'P-Parametri'!$B$8*(E752+D752)+MIN(MAX(E752,0),'P-Parametri'!$B$8*(E752+D752)))</f>
        <v>16621.00351549315</v>
      </c>
      <c r="G752" s="18">
        <f>IF($A752&gt;'1-Input'!$B$26,E752,E752-MIN(MAX(E752,0),'P-Parametri'!$B$8*(E752+D752)))</f>
        <v>311702.09911041585</v>
      </c>
      <c r="H752" s="18">
        <f>IF($A752&gt;'1-Input'!$B$26,H751,H751-C752*(1-B752))</f>
        <v>100202.67851846252</v>
      </c>
      <c r="I752" s="11">
        <f>IF($A752&gt;'1-Input'!$B$26,0,IF(N751&lt;=0,0,MAX(0,(N751-O751)/N751)))</f>
        <v>0.6654378668984362</v>
      </c>
      <c r="J752" s="18">
        <f>IF($A752&gt;'1-Input'!$B$26,0,(MAX(0,I726-IF($A752&gt;='1-Input'!$C$12,'1-Input'!$B$12,0))-MIN(MAX(M751,0),MAX(0,I726-IF($A752&gt;='1-Input'!$C$12,'1-Input'!$B$12,0))))*(1/(1-'P-Parametri'!$B$6*I752))+MIN(MAX(0,N751-(MAX(0,I726-IF($A752&gt;='1-Input'!$C$12,'1-Input'!$B$12,0))-MIN(MAX(M751,0),MAX(0,I726-IF($A752&gt;='1-Input'!$C$12,'1-Input'!$B$12,0))))*(1/(1-'P-Parametri'!$B$6*I752))),MAX(0,1*I726-(M751-MIN(MAX(M751,0),MAX(0,I726-IF($A752&gt;='1-Input'!$C$12,'1-Input'!$B$12,0)))))*(1/(1-'P-Parametri'!$B$6*I752))))</f>
        <v>13211.554337694102</v>
      </c>
      <c r="K752" s="18">
        <f>IF($A752&gt;'1-Input'!$B$26,M751,(M751-MAX(0,I726-IF($A752&gt;='1-Input'!$C$12,'1-Input'!$B$12,0))+J752*(1-'P-Parametri'!$B$6*I752))*(1+'1-Input'!$B$27))</f>
        <v>21869.741467754146</v>
      </c>
      <c r="L752" s="18">
        <f>IF($A752&gt;'1-Input'!$B$26,N751,(N751-J752)*(1+$D$4))</f>
        <v>62757.353077724307</v>
      </c>
      <c r="M752" s="18">
        <f>IF($A752&gt;'1-Input'!$B$26,K752,K752-'P-Parametri'!$B$8*(L752+K752)+MIN(MAX(L752,0),'P-Parametri'!$B$8*(L752+K752)))</f>
        <v>21869.741467754146</v>
      </c>
      <c r="N752" s="18">
        <f>IF($A752&gt;'1-Input'!$B$26,L752,L752-MIN(MAX(L752,0),'P-Parametri'!$B$8*(L752+K752)))</f>
        <v>62588.098888633351</v>
      </c>
      <c r="O752" s="18">
        <f>IF($A752&gt;'1-Input'!$B$26,O751,O751-J752*(1-I752))</f>
        <v>20188.686455280229</v>
      </c>
      <c r="P752" s="11">
        <f>IF($A752&gt;'1-Input'!$B$26,0,IF(U751&lt;=0,0,MAX(0,(U751-V751)/U751)))</f>
        <v>0.66590519041878915</v>
      </c>
      <c r="Q752" s="18">
        <f>IF($A752&gt;'1-Input'!$B$26,0,(MAX(0,P726-IF($A752&gt;='1-Input'!$C$12,'1-Input'!$B$12,0))-MIN(MAX(T751,0),MAX(0,P726-IF($A752&gt;='1-Input'!$C$12,'1-Input'!$B$12,0))))*(1/(1-'P-Parametri'!$B$6*P752))+MIN(MAX(0,U751-(MAX(0,P726-IF($A752&gt;='1-Input'!$C$12,'1-Input'!$B$12,0))-MIN(MAX(T751,0),MAX(0,P726-IF($A752&gt;='1-Input'!$C$12,'1-Input'!$B$12,0))))*(1/(1-'P-Parametri'!$B$6*P752))),MAX(0,1*P726-(T751-MIN(MAX(T751,0),MAX(0,P726-IF($A752&gt;='1-Input'!$C$12,'1-Input'!$B$12,0)))))*(1/(1-'P-Parametri'!$B$6*P752))))</f>
        <v>11285.652050927984</v>
      </c>
      <c r="R752" s="18">
        <f>IF($A752&gt;'1-Input'!$B$26,T751,(T751-MAX(0,P726-IF($A752&gt;='1-Input'!$C$12,'1-Input'!$B$12,0))+Q752*(1-'P-Parametri'!$B$6*P752))*(1+'1-Input'!$B$27))</f>
        <v>20287.111791944742</v>
      </c>
      <c r="S752" s="18">
        <f>IF($A752&gt;'1-Input'!$B$26,U751,(U751-Q752)*(1+$D$4))</f>
        <v>138010.09689735877</v>
      </c>
      <c r="T752" s="18">
        <f>IF($A752&gt;'1-Input'!$B$26,R752,R752-'P-Parametri'!$B$8*(S752+R752)+MIN(MAX(S752,0),'P-Parametri'!$B$8*(S752+R752)))</f>
        <v>20287.111791944742</v>
      </c>
      <c r="U752" s="18">
        <f>IF($A752&gt;'1-Input'!$B$26,S752,S752-MIN(MAX(S752,0),'P-Parametri'!$B$8*(S752+R752)))</f>
        <v>137693.50247998018</v>
      </c>
      <c r="V752" s="18">
        <f>IF($A752&gt;'1-Input'!$B$26,V751,V751-Q752*(1-P752))</f>
        <v>44335.054849238019</v>
      </c>
      <c r="W752" s="11">
        <f>IF($A752&gt;'1-Input'!$B$26,0,IF(AB751&lt;=0,0,MAX(0,(AB751-AC751)/AB751)))</f>
        <v>0.66596996747348092</v>
      </c>
      <c r="X752" s="18">
        <f>IF($A752&gt;'1-Input'!$B$26,0,(MAX(0,W726-IF($A752&gt;='1-Input'!$C$12,'1-Input'!$B$12,0))-MIN(MAX(AA751,0),MAX(0,W726-IF($A752&gt;='1-Input'!$C$12,'1-Input'!$B$12,0))))*(1/(1-'P-Parametri'!$B$6*W752))+MIN(MAX(0,AB751-(MAX(0,W726-IF($A752&gt;='1-Input'!$C$12,'1-Input'!$B$12,0))-MIN(MAX(AA751,0),MAX(0,W726-IF($A752&gt;='1-Input'!$C$12,'1-Input'!$B$12,0))))*(1/(1-'P-Parametri'!$B$6*W752))),MAX(0,1*W726-(AA751-MIN(MAX(AA751,0),MAX(0,W726-IF($A752&gt;='1-Input'!$C$12,'1-Input'!$B$12,0)))))*(1/(1-'P-Parametri'!$B$6*W752))))</f>
        <v>10871.423593802581</v>
      </c>
      <c r="Y752" s="18">
        <f>IF($A752&gt;'1-Input'!$B$26,AA751,(AA751-MAX(0,W726-IF($A752&gt;='1-Input'!$C$12,'1-Input'!$B$12,0))+X752*(1-'P-Parametri'!$B$6*W752))*(1+'1-Input'!$B$27))</f>
        <v>19946.876372417511</v>
      </c>
      <c r="Z752" s="18">
        <f>IF($A752&gt;'1-Input'!$B$26,AB751,(AB751-X752)*(1+$D$4))</f>
        <v>154189.358252985</v>
      </c>
      <c r="AA752" s="18">
        <f>IF($A752&gt;'1-Input'!$B$26,Y752,Y752-'P-Parametri'!$B$8*(Z752+Y752)+MIN(MAX(Z752,0),'P-Parametri'!$B$8*(Z752+Y752)))</f>
        <v>19946.876372417511</v>
      </c>
      <c r="AB752" s="18">
        <f>IF($A752&gt;'1-Input'!$B$26,Z752,Z752-MIN(MAX(Z752,0),'P-Parametri'!$B$8*(Z752+Y752)))</f>
        <v>153841.08578373419</v>
      </c>
      <c r="AC752" s="18">
        <f>IF($A752&gt;'1-Input'!$B$26,AC751,AC751-X752*(1-W752))</f>
        <v>49522.958031238151</v>
      </c>
      <c r="AD752" s="11">
        <f>IF($A752&gt;'1-Input'!$B$26,0,IF(AI751&lt;=0,0,MAX(0,(AI751-AJ751)/AI751)))</f>
        <v>0.66597148867013434</v>
      </c>
      <c r="AE752" s="18">
        <f>IF($A752&gt;'1-Input'!$B$26,0,(MAX(0,AD726-IF($A752&gt;='1-Input'!$C$12,'1-Input'!$B$12,0))-MIN(MAX(AH751,0),MAX(0,AD726-IF($A752&gt;='1-Input'!$C$12,'1-Input'!$B$12,0))))*(1/(1-'P-Parametri'!$B$6*AD752))+MIN(MAX(0,AI751-(MAX(0,AD726-IF($A752&gt;='1-Input'!$C$12,'1-Input'!$B$12,0))-MIN(MAX(AH751,0),MAX(0,AD726-IF($A752&gt;='1-Input'!$C$12,'1-Input'!$B$12,0))))*(1/(1-'P-Parametri'!$B$6*AD752))),MAX(0,1*AD726-(AH751-MIN(MAX(AH751,0),MAX(0,AD726-IF($A752&gt;='1-Input'!$C$12,'1-Input'!$B$12,0)))))*(1/(1-'P-Parametri'!$B$6*AD752))))</f>
        <v>10861.110719189004</v>
      </c>
      <c r="AF752" s="18">
        <f>IF($A752&gt;'1-Input'!$B$26,AH751,(AH751-MAX(0,AD726-IF($A752&gt;='1-Input'!$C$12,'1-Input'!$B$12,0))+AE752*(1-'P-Parametri'!$B$6*AD752))*(1+'1-Input'!$B$27))</f>
        <v>19938.406105220583</v>
      </c>
      <c r="AG752" s="18">
        <f>IF($A752&gt;'1-Input'!$B$26,AI751,(AI751-AE752)*(1+$D$4))</f>
        <v>154592.15073008931</v>
      </c>
      <c r="AH752" s="18">
        <f>IF($A752&gt;'1-Input'!$B$26,AF752,AF752-'P-Parametri'!$B$8*(AG752+AF752)+MIN(MAX(AG752,0),'P-Parametri'!$B$8*(AG752+AF752)))</f>
        <v>19938.406105220583</v>
      </c>
      <c r="AI752" s="18">
        <f>IF($A752&gt;'1-Input'!$B$26,AG752,AG752-MIN(MAX(AG752,0),'P-Parametri'!$B$8*(AG752+AF752)))</f>
        <v>154243.0896164187</v>
      </c>
      <c r="AJ752" s="18">
        <f>IF($A752&gt;'1-Input'!$B$26,AJ751,AJ751-AE752*(1-AD752))</f>
        <v>49652.101895821092</v>
      </c>
      <c r="AK752" s="11">
        <f>IF($A752&gt;'1-Input'!$B$26,0,IF(AP751&lt;=0,0,MAX(0,(AP751-AQ751)/AP751)))</f>
        <v>0.66597148505574189</v>
      </c>
      <c r="AL752" s="18">
        <f>IF($A752&gt;'1-Input'!$B$26,0,(MAX(0,AK726-IF($A752&gt;='1-Input'!$C$12,'1-Input'!$B$12,0))-MIN(MAX(AO751,0),MAX(0,AK726-IF($A752&gt;='1-Input'!$C$12,'1-Input'!$B$12,0))))*(1/(1-'P-Parametri'!$B$6*AK752))+MIN(MAX(0,AP751-(MAX(0,AK726-IF($A752&gt;='1-Input'!$C$12,'1-Input'!$B$12,0))-MIN(MAX(AO751,0),MAX(0,AK726-IF($A752&gt;='1-Input'!$C$12,'1-Input'!$B$12,0))))*(1/(1-'P-Parametri'!$B$6*AK752))),MAX(0,1*AK726-(AO751-MIN(MAX(AO751,0),MAX(0,AK726-IF($A752&gt;='1-Input'!$C$12,'1-Input'!$B$12,0)))))*(1/(1-'P-Parametri'!$B$6*AK752))))</f>
        <v>10861.135255928302</v>
      </c>
      <c r="AM752" s="18">
        <f>IF($A752&gt;'1-Input'!$B$26,AO751,(AO751-MAX(0,AK726-IF($A752&gt;='1-Input'!$C$12,'1-Input'!$B$12,0))+AL752*(1-'P-Parametri'!$B$6*AK752))*(1+'1-Input'!$B$27))</f>
        <v>19938.426257942814</v>
      </c>
      <c r="AN752" s="18">
        <f>IF($A752&gt;'1-Input'!$B$26,AP751,(AP751-AL752)*(1+$D$4))</f>
        <v>154591.19239348255</v>
      </c>
      <c r="AO752" s="18">
        <f>IF($A752&gt;'1-Input'!$B$26,AM752,AM752-'P-Parametri'!$B$8*(AN752+AM752)+MIN(MAX(AN752,0),'P-Parametri'!$B$8*(AN752+AM752)))</f>
        <v>19938.426257942814</v>
      </c>
      <c r="AP752" s="18">
        <f>IF($A752&gt;'1-Input'!$B$26,AN752,AN752-MIN(MAX(AN752,0),'P-Parametri'!$B$8*(AN752+AM752)))</f>
        <v>154242.13315617968</v>
      </c>
      <c r="AQ752" s="18">
        <f>IF($A752&gt;'1-Input'!$B$26,AQ751,AQ751-AL752*(1-AK752))</f>
        <v>49651.794633324105</v>
      </c>
    </row>
    <row r="753" spans="1:43">
      <c r="A753" s="10">
        <f>25</f>
        <v>25</v>
      </c>
      <c r="B753" s="11">
        <f>IF($A753&gt;'1-Input'!$B$26,0,IF(G752&lt;=0,0,MAX(0,(G752-H752)/G752)))</f>
        <v>0.67853062650384266</v>
      </c>
      <c r="C753" s="18">
        <f>IF($A753&gt;'1-Input'!$B$26,0,(MAX(0,B726-IF($A753&gt;='1-Input'!$C$12,'1-Input'!$B$12,0))-MIN(MAX(F752,0),MAX(0,B726-IF($A753&gt;='1-Input'!$C$12,'1-Input'!$B$12,0))))*(1/(1-'P-Parametri'!$B$6*B753))+MIN(MAX(0,G752-(MAX(0,B726-IF($A753&gt;='1-Input'!$C$12,'1-Input'!$B$12,0))-MIN(MAX(F752,0),MAX(0,B726-IF($A753&gt;='1-Input'!$C$12,'1-Input'!$B$12,0))))*(1/(1-'P-Parametri'!$B$6*B753))),MAX(0,1*B726-(F752-MIN(MAX(F752,0),MAX(0,B726-IF($A753&gt;='1-Input'!$C$12,'1-Input'!$B$12,0)))))*(1/(1-'P-Parametri'!$B$6*B753))))</f>
        <v>6847.0496680006154</v>
      </c>
      <c r="D753" s="18">
        <f>IF($A753&gt;'1-Input'!$B$26,F752,(F752-MAX(0,B726-IF($A753&gt;='1-Input'!$C$12,'1-Input'!$B$12,0))+C753*(1-'P-Parametri'!$B$6*B753))*(1+'1-Input'!$B$27))</f>
        <v>16621.00351549315</v>
      </c>
      <c r="E753" s="18">
        <f>IF($A753&gt;'1-Input'!$B$26,G752,(G752-C753)*(1+$D$4))</f>
        <v>317049.25142011186</v>
      </c>
      <c r="F753" s="18">
        <f>IF($A753&gt;'1-Input'!$B$26,D753,D753-'P-Parametri'!$B$8*(E753+D753)+MIN(MAX(E753,0),'P-Parametri'!$B$8*(E753+D753)))</f>
        <v>16621.00351549315</v>
      </c>
      <c r="G753" s="18">
        <f>IF($A753&gt;'1-Input'!$B$26,E753,E753-MIN(MAX(E753,0),'P-Parametri'!$B$8*(E753+D753)))</f>
        <v>316381.91091024067</v>
      </c>
      <c r="H753" s="18">
        <f>IF($A753&gt;'1-Input'!$B$26,H752,H752-C753*(1-B753))</f>
        <v>98001.561751393296</v>
      </c>
      <c r="I753" s="11">
        <f>IF($A753&gt;'1-Input'!$B$26,0,IF(N752&lt;=0,0,MAX(0,(N752-O752)/N752)))</f>
        <v>0.67743569762035538</v>
      </c>
      <c r="J753" s="18">
        <f>IF($A753&gt;'1-Input'!$B$26,0,(MAX(0,I726-IF($A753&gt;='1-Input'!$C$12,'1-Input'!$B$12,0))-MIN(MAX(M752,0),MAX(0,I726-IF($A753&gt;='1-Input'!$C$12,'1-Input'!$B$12,0))))*(1/(1-'P-Parametri'!$B$6*I753))+MIN(MAX(0,N752-(MAX(0,I726-IF($A753&gt;='1-Input'!$C$12,'1-Input'!$B$12,0))-MIN(MAX(M752,0),MAX(0,I726-IF($A753&gt;='1-Input'!$C$12,'1-Input'!$B$12,0))))*(1/(1-'P-Parametri'!$B$6*I753))),MAX(0,1*I726-(M752-MIN(MAX(M752,0),MAX(0,I726-IF($A753&gt;='1-Input'!$C$12,'1-Input'!$B$12,0)))))*(1/(1-'P-Parametri'!$B$6*I753))))</f>
        <v>13261.577717839304</v>
      </c>
      <c r="K753" s="18">
        <f>IF($A753&gt;'1-Input'!$B$26,M752,(M752-MAX(0,I726-IF($A753&gt;='1-Input'!$C$12,'1-Input'!$B$12,0))+J753*(1-'P-Parametri'!$B$6*I753))*(1+'1-Input'!$B$27))</f>
        <v>21869.741467754146</v>
      </c>
      <c r="L753" s="18">
        <f>IF($A753&gt;'1-Input'!$B$26,N752,(N752-J753)*(1+$D$4))</f>
        <v>51299.582017625813</v>
      </c>
      <c r="M753" s="18">
        <f>IF($A753&gt;'1-Input'!$B$26,K753,K753-'P-Parametri'!$B$8*(L753+K753)+MIN(MAX(L753,0),'P-Parametri'!$B$8*(L753+K753)))</f>
        <v>21869.741467754146</v>
      </c>
      <c r="N753" s="18">
        <f>IF($A753&gt;'1-Input'!$B$26,L753,L753-MIN(MAX(L753,0),'P-Parametri'!$B$8*(L753+K753)))</f>
        <v>51153.243370655051</v>
      </c>
      <c r="O753" s="18">
        <f>IF($A753&gt;'1-Input'!$B$26,O752,O752-J753*(1-I753))</f>
        <v>15910.974890271955</v>
      </c>
      <c r="P753" s="11">
        <f>IF($A753&gt;'1-Input'!$B$26,0,IF(U752&lt;=0,0,MAX(0,(U752-V752)/U752)))</f>
        <v>0.67801636205975602</v>
      </c>
      <c r="Q753" s="18">
        <f>IF($A753&gt;'1-Input'!$B$26,0,(MAX(0,P726-IF($A753&gt;='1-Input'!$C$12,'1-Input'!$B$12,0))-MIN(MAX(T752,0),MAX(0,P726-IF($A753&gt;='1-Input'!$C$12,'1-Input'!$B$12,0))))*(1/(1-'P-Parametri'!$B$6*P753))+MIN(MAX(0,U752-(MAX(0,P726-IF($A753&gt;='1-Input'!$C$12,'1-Input'!$B$12,0))-MIN(MAX(T752,0),MAX(0,P726-IF($A753&gt;='1-Input'!$C$12,'1-Input'!$B$12,0))))*(1/(1-'P-Parametri'!$B$6*P753))),MAX(0,1*P726-(T752-MIN(MAX(T752,0),MAX(0,P726-IF($A753&gt;='1-Input'!$C$12,'1-Input'!$B$12,0)))))*(1/(1-'P-Parametri'!$B$6*P753))))</f>
        <v>11328.794897396998</v>
      </c>
      <c r="R753" s="18">
        <f>IF($A753&gt;'1-Input'!$B$26,T752,(T752-MAX(0,P726-IF($A753&gt;='1-Input'!$C$12,'1-Input'!$B$12,0))+Q753*(1-'P-Parametri'!$B$6*P753))*(1+'1-Input'!$B$27))</f>
        <v>20287.111791944739</v>
      </c>
      <c r="S753" s="18">
        <f>IF($A753&gt;'1-Input'!$B$26,U752,(U752-Q753)*(1+$D$4))</f>
        <v>131419.29588588653</v>
      </c>
      <c r="T753" s="18">
        <f>IF($A753&gt;'1-Input'!$B$26,R753,R753-'P-Parametri'!$B$8*(S753+R753)+MIN(MAX(S753,0),'P-Parametri'!$B$8*(S753+R753)))</f>
        <v>20287.111791944739</v>
      </c>
      <c r="U753" s="18">
        <f>IF($A753&gt;'1-Input'!$B$26,S753,S753-MIN(MAX(S753,0),'P-Parametri'!$B$8*(S753+R753)))</f>
        <v>131115.88307053086</v>
      </c>
      <c r="V753" s="18">
        <f>IF($A753&gt;'1-Input'!$B$26,V752,V752-Q753*(1-P753))</f>
        <v>40687.368254695262</v>
      </c>
      <c r="W753" s="11">
        <f>IF($A753&gt;'1-Input'!$B$26,0,IF(AB752&lt;=0,0,MAX(0,(AB752-AC752)/AB752)))</f>
        <v>0.67809016831266888</v>
      </c>
      <c r="X753" s="18">
        <f>IF($A753&gt;'1-Input'!$B$26,0,(MAX(0,W726-IF($A753&gt;='1-Input'!$C$12,'1-Input'!$B$12,0))-MIN(MAX(AA752,0),MAX(0,W726-IF($A753&gt;='1-Input'!$C$12,'1-Input'!$B$12,0))))*(1/(1-'P-Parametri'!$B$6*W753))+MIN(MAX(0,AB752-(MAX(0,W726-IF($A753&gt;='1-Input'!$C$12,'1-Input'!$B$12,0))-MIN(MAX(AA752,0),MAX(0,W726-IF($A753&gt;='1-Input'!$C$12,'1-Input'!$B$12,0))))*(1/(1-'P-Parametri'!$B$6*W753))),MAX(0,1*W726-(AA752-MIN(MAX(AA752,0),MAX(0,W726-IF($A753&gt;='1-Input'!$C$12,'1-Input'!$B$12,0)))))*(1/(1-'P-Parametri'!$B$6*W753))))</f>
        <v>10913.014878184391</v>
      </c>
      <c r="Y753" s="18">
        <f>IF($A753&gt;'1-Input'!$B$26,AA752,(AA752-MAX(0,W726-IF($A753&gt;='1-Input'!$C$12,'1-Input'!$B$12,0))+X753*(1-'P-Parametri'!$B$6*W753))*(1+'1-Input'!$B$27))</f>
        <v>19946.876372417511</v>
      </c>
      <c r="Z753" s="18">
        <f>IF($A753&gt;'1-Input'!$B$26,AB752,(AB752-X753)*(1+$D$4))</f>
        <v>148645.1937417718</v>
      </c>
      <c r="AA753" s="18">
        <f>IF($A753&gt;'1-Input'!$B$26,Y753,Y753-'P-Parametri'!$B$8*(Z753+Y753)+MIN(MAX(Z753,0),'P-Parametri'!$B$8*(Z753+Y753)))</f>
        <v>19946.876372417511</v>
      </c>
      <c r="AB753" s="18">
        <f>IF($A753&gt;'1-Input'!$B$26,Z753,Z753-MIN(MAX(Z753,0),'P-Parametri'!$B$8*(Z753+Y753)))</f>
        <v>148308.00960154342</v>
      </c>
      <c r="AC753" s="18">
        <f>IF($A753&gt;'1-Input'!$B$26,AC752,AC752-X753*(1-W753))</f>
        <v>46009.951248600475</v>
      </c>
      <c r="AD753" s="11">
        <f>IF($A753&gt;'1-Input'!$B$26,0,IF(AI752&lt;=0,0,MAX(0,(AI752-AJ752)/AI752)))</f>
        <v>0.67809188716785285</v>
      </c>
      <c r="AE753" s="18">
        <f>IF($A753&gt;'1-Input'!$B$26,0,(MAX(0,AD726-IF($A753&gt;='1-Input'!$C$12,'1-Input'!$B$12,0))-MIN(MAX(AH752,0),MAX(0,AD726-IF($A753&gt;='1-Input'!$C$12,'1-Input'!$B$12,0))))*(1/(1-'P-Parametri'!$B$6*AD753))+MIN(MAX(0,AI752-(MAX(0,AD726-IF($A753&gt;='1-Input'!$C$12,'1-Input'!$B$12,0))-MIN(MAX(AH752,0),MAX(0,AD726-IF($A753&gt;='1-Input'!$C$12,'1-Input'!$B$12,0))))*(1/(1-'P-Parametri'!$B$6*AD753))),MAX(0,1*AD726-(AH752-MIN(MAX(AH752,0),MAX(0,AD726-IF($A753&gt;='1-Input'!$C$12,'1-Input'!$B$12,0)))))*(1/(1-'P-Parametri'!$B$6*AD753))))</f>
        <v>10902.66324933161</v>
      </c>
      <c r="AF753" s="18">
        <f>IF($A753&gt;'1-Input'!$B$26,AH752,(AH752-MAX(0,AD726-IF($A753&gt;='1-Input'!$C$12,'1-Input'!$B$12,0))+AE753*(1-'P-Parametri'!$B$6*AD753))*(1+'1-Input'!$B$27))</f>
        <v>19938.406105220583</v>
      </c>
      <c r="AG753" s="18">
        <f>IF($A753&gt;'1-Input'!$B$26,AI752,(AI752-AE753)*(1+$D$4))</f>
        <v>149074.04342177056</v>
      </c>
      <c r="AH753" s="18">
        <f>IF($A753&gt;'1-Input'!$B$26,AF753,AF753-'P-Parametri'!$B$8*(AG753+AF753)+MIN(MAX(AG753,0),'P-Parametri'!$B$8*(AG753+AF753)))</f>
        <v>19938.406105220583</v>
      </c>
      <c r="AI753" s="18">
        <f>IF($A753&gt;'1-Input'!$B$26,AG753,AG753-MIN(MAX(AG753,0),'P-Parametri'!$B$8*(AG753+AF753)))</f>
        <v>148736.01852271659</v>
      </c>
      <c r="AJ753" s="18">
        <f>IF($A753&gt;'1-Input'!$B$26,AJ752,AJ752-AE753*(1-AD753))</f>
        <v>46142.446144384347</v>
      </c>
      <c r="AK753" s="11">
        <f>IF($A753&gt;'1-Input'!$B$26,0,IF(AP752&lt;=0,0,MAX(0,(AP752-AQ752)/AP752)))</f>
        <v>0.67809188308457458</v>
      </c>
      <c r="AL753" s="18">
        <f>IF($A753&gt;'1-Input'!$B$26,0,(MAX(0,AK726-IF($A753&gt;='1-Input'!$C$12,'1-Input'!$B$12,0))-MIN(MAX(AO752,0),MAX(0,AK726-IF($A753&gt;='1-Input'!$C$12,'1-Input'!$B$12,0))))*(1/(1-'P-Parametri'!$B$6*AK753))+MIN(MAX(0,AP752-(MAX(0,AK726-IF($A753&gt;='1-Input'!$C$12,'1-Input'!$B$12,0))-MIN(MAX(AO752,0),MAX(0,AK726-IF($A753&gt;='1-Input'!$C$12,'1-Input'!$B$12,0))))*(1/(1-'P-Parametri'!$B$6*AK753))),MAX(0,1*AK726-(AO752-MIN(MAX(AO752,0),MAX(0,AK726-IF($A753&gt;='1-Input'!$C$12,'1-Input'!$B$12,0)))))*(1/(1-'P-Parametri'!$B$6*AK753))))</f>
        <v>10902.68787828273</v>
      </c>
      <c r="AM753" s="18">
        <f>IF($A753&gt;'1-Input'!$B$26,AO752,(AO752-MAX(0,AK726-IF($A753&gt;='1-Input'!$C$12,'1-Input'!$B$12,0))+AL753*(1-'P-Parametri'!$B$6*AK753))*(1+'1-Input'!$B$27))</f>
        <v>19938.426257942814</v>
      </c>
      <c r="AN753" s="18">
        <f>IF($A753&gt;'1-Input'!$B$26,AP752,(AP752-AL753)*(1+$D$4))</f>
        <v>149073.02308901283</v>
      </c>
      <c r="AO753" s="18">
        <f>IF($A753&gt;'1-Input'!$B$26,AM753,AM753-'P-Parametri'!$B$8*(AN753+AM753)+MIN(MAX(AN753,0),'P-Parametri'!$B$8*(AN753+AM753)))</f>
        <v>19938.426257942814</v>
      </c>
      <c r="AP753" s="18">
        <f>IF($A753&gt;'1-Input'!$B$26,AN753,AN753-MIN(MAX(AN753,0),'P-Parametri'!$B$8*(AN753+AM753)))</f>
        <v>148735.00019031891</v>
      </c>
      <c r="AQ753" s="18">
        <f>IF($A753&gt;'1-Input'!$B$26,AQ752,AQ752-AL753*(1-AK753))</f>
        <v>46142.130909109474</v>
      </c>
    </row>
    <row r="754" spans="1:43">
      <c r="A754" s="10">
        <f>26</f>
        <v>26</v>
      </c>
      <c r="B754" s="11">
        <f>IF($A754&gt;'1-Input'!$B$26,0,IF(G753&lt;=0,0,MAX(0,(G753-H753)/G753)))</f>
        <v>0.69024284141454306</v>
      </c>
      <c r="C754" s="18">
        <f>IF($A754&gt;'1-Input'!$B$26,0,(MAX(0,B726-IF($A754&gt;='1-Input'!$C$12,'1-Input'!$B$12,0))-MIN(MAX(F753,0),MAX(0,B726-IF($A754&gt;='1-Input'!$C$12,'1-Input'!$B$12,0))))*(1/(1-'P-Parametri'!$B$6*B754))+MIN(MAX(0,G753-(MAX(0,B726-IF($A754&gt;='1-Input'!$C$12,'1-Input'!$B$12,0))-MIN(MAX(F753,0),MAX(0,B726-IF($A754&gt;='1-Input'!$C$12,'1-Input'!$B$12,0))))*(1/(1-'P-Parametri'!$B$6*B754))),MAX(0,1*B726-(F753-MIN(MAX(F753,0),MAX(0,B726-IF($A754&gt;='1-Input'!$C$12,'1-Input'!$B$12,0)))))*(1/(1-'P-Parametri'!$B$6*B754))))</f>
        <v>6872.4604343674218</v>
      </c>
      <c r="D754" s="18">
        <f>IF($A754&gt;'1-Input'!$B$26,F753,(F753-MAX(0,B726-IF($A754&gt;='1-Input'!$C$12,'1-Input'!$B$12,0))+C754*(1-'P-Parametri'!$B$6*B754))*(1+'1-Input'!$B$27))</f>
        <v>16621.00351549315</v>
      </c>
      <c r="E754" s="18">
        <f>IF($A754&gt;'1-Input'!$B$26,G753,(G753-C754)*(1+$D$4))</f>
        <v>321889.82849490817</v>
      </c>
      <c r="F754" s="18">
        <f>IF($A754&gt;'1-Input'!$B$26,D754,D754-'P-Parametri'!$B$8*(E754+D754)+MIN(MAX(E754,0),'P-Parametri'!$B$8*(E754+D754)))</f>
        <v>16621.00351549315</v>
      </c>
      <c r="G754" s="18">
        <f>IF($A754&gt;'1-Input'!$B$26,E754,E754-MIN(MAX(E754,0),'P-Parametri'!$B$8*(E754+D754)))</f>
        <v>321212.80683088739</v>
      </c>
      <c r="H754" s="18">
        <f>IF($A754&gt;'1-Input'!$B$26,H753,H753-C754*(1-B754))</f>
        <v>95872.767934752672</v>
      </c>
      <c r="I754" s="11">
        <f>IF($A754&gt;'1-Input'!$B$26,0,IF(N753&lt;=0,0,MAX(0,(N753-O753)/N753)))</f>
        <v>0.6889547203296289</v>
      </c>
      <c r="J754" s="18">
        <f>IF($A754&gt;'1-Input'!$B$26,0,(MAX(0,I726-IF($A754&gt;='1-Input'!$C$12,'1-Input'!$B$12,0))-MIN(MAX(M753,0),MAX(0,I726-IF($A754&gt;='1-Input'!$C$12,'1-Input'!$B$12,0))))*(1/(1-'P-Parametri'!$B$6*I754))+MIN(MAX(0,N753-(MAX(0,I726-IF($A754&gt;='1-Input'!$C$12,'1-Input'!$B$12,0))-MIN(MAX(M753,0),MAX(0,I726-IF($A754&gt;='1-Input'!$C$12,'1-Input'!$B$12,0))))*(1/(1-'P-Parametri'!$B$6*I754))),MAX(0,1*I726-(M753-MIN(MAX(M753,0),MAX(0,I726-IF($A754&gt;='1-Input'!$C$12,'1-Input'!$B$12,0)))))*(1/(1-'P-Parametri'!$B$6*I754))))</f>
        <v>13309.962507269622</v>
      </c>
      <c r="K754" s="18">
        <f>IF($A754&gt;'1-Input'!$B$26,M753,(M753-MAX(0,I726-IF($A754&gt;='1-Input'!$C$12,'1-Input'!$B$12,0))+J754*(1-'P-Parametri'!$B$6*I754))*(1+'1-Input'!$B$27))</f>
        <v>21869.741467754146</v>
      </c>
      <c r="L754" s="18">
        <f>IF($A754&gt;'1-Input'!$B$26,N753,(N753-J754)*(1+$D$4))</f>
        <v>39357.012097920851</v>
      </c>
      <c r="M754" s="18">
        <f>IF($A754&gt;'1-Input'!$B$26,K754,K754-'P-Parametri'!$B$8*(L754+K754)+MIN(MAX(L754,0),'P-Parametri'!$B$8*(L754+K754)))</f>
        <v>21869.741467754146</v>
      </c>
      <c r="N754" s="18">
        <f>IF($A754&gt;'1-Input'!$B$26,L754,L754-MIN(MAX(L754,0),'P-Parametri'!$B$8*(L754+K754)))</f>
        <v>39234.5585907895</v>
      </c>
      <c r="O754" s="18">
        <f>IF($A754&gt;'1-Input'!$B$26,O753,O753-J754*(1-I754))</f>
        <v>11770.973879796122</v>
      </c>
      <c r="P754" s="11">
        <f>IF($A754&gt;'1-Input'!$B$26,0,IF(U753&lt;=0,0,MAX(0,(U753-V753)/U753)))</f>
        <v>0.68968390936429569</v>
      </c>
      <c r="Q754" s="18">
        <f>IF($A754&gt;'1-Input'!$B$26,0,(MAX(0,P726-IF($A754&gt;='1-Input'!$C$12,'1-Input'!$B$12,0))-MIN(MAX(T753,0),MAX(0,P726-IF($A754&gt;='1-Input'!$C$12,'1-Input'!$B$12,0))))*(1/(1-'P-Parametri'!$B$6*P754))+MIN(MAX(0,U753-(MAX(0,P726-IF($A754&gt;='1-Input'!$C$12,'1-Input'!$B$12,0))-MIN(MAX(T753,0),MAX(0,P726-IF($A754&gt;='1-Input'!$C$12,'1-Input'!$B$12,0))))*(1/(1-'P-Parametri'!$B$6*P754))),MAX(0,1*P726-(T753-MIN(MAX(T753,0),MAX(0,P726-IF($A754&gt;='1-Input'!$C$12,'1-Input'!$B$12,0)))))*(1/(1-'P-Parametri'!$B$6*P754))))</f>
        <v>11370.670553752292</v>
      </c>
      <c r="R754" s="18">
        <f>IF($A754&gt;'1-Input'!$B$26,T753,(T753-MAX(0,P726-IF($A754&gt;='1-Input'!$C$12,'1-Input'!$B$12,0))+Q754*(1-'P-Parametri'!$B$6*P754))*(1+'1-Input'!$B$27))</f>
        <v>20287.111791944739</v>
      </c>
      <c r="S754" s="18">
        <f>IF($A754&gt;'1-Input'!$B$26,U753,(U753-Q754)*(1+$D$4))</f>
        <v>124535.02101744972</v>
      </c>
      <c r="T754" s="18">
        <f>IF($A754&gt;'1-Input'!$B$26,R754,R754-'P-Parametri'!$B$8*(S754+R754)+MIN(MAX(S754,0),'P-Parametri'!$B$8*(S754+R754)))</f>
        <v>20287.111791944739</v>
      </c>
      <c r="U754" s="18">
        <f>IF($A754&gt;'1-Input'!$B$26,S754,S754-MIN(MAX(S754,0),'P-Parametri'!$B$8*(S754+R754)))</f>
        <v>124245.37675183093</v>
      </c>
      <c r="V754" s="18">
        <f>IF($A754&gt;'1-Input'!$B$26,V753,V753-Q754*(1-P754))</f>
        <v>37158.866220548334</v>
      </c>
      <c r="W754" s="11">
        <f>IF($A754&gt;'1-Input'!$B$26,0,IF(AB753&lt;=0,0,MAX(0,(AB753-AC753)/AB753)))</f>
        <v>0.68976758994868437</v>
      </c>
      <c r="X754" s="18">
        <f>IF($A754&gt;'1-Input'!$B$26,0,(MAX(0,W726-IF($A754&gt;='1-Input'!$C$12,'1-Input'!$B$12,0))-MIN(MAX(AA753,0),MAX(0,W726-IF($A754&gt;='1-Input'!$C$12,'1-Input'!$B$12,0))))*(1/(1-'P-Parametri'!$B$6*W754))+MIN(MAX(0,AB753-(MAX(0,W726-IF($A754&gt;='1-Input'!$C$12,'1-Input'!$B$12,0))-MIN(MAX(AA753,0),MAX(0,W726-IF($A754&gt;='1-Input'!$C$12,'1-Input'!$B$12,0))))*(1/(1-'P-Parametri'!$B$6*W754))),MAX(0,1*W726-(AA753-MIN(MAX(AA753,0),MAX(0,W726-IF($A754&gt;='1-Input'!$C$12,'1-Input'!$B$12,0)))))*(1/(1-'P-Parametri'!$B$6*W754))))</f>
        <v>10953.388858334045</v>
      </c>
      <c r="Y754" s="18">
        <f>IF($A754&gt;'1-Input'!$B$26,AA753,(AA753-MAX(0,W726-IF($A754&gt;='1-Input'!$C$12,'1-Input'!$B$12,0))+X754*(1-'P-Parametri'!$B$6*W754))*(1+'1-Input'!$B$27))</f>
        <v>19946.876372417511</v>
      </c>
      <c r="Z754" s="18">
        <f>IF($A754&gt;'1-Input'!$B$26,AB753,(AB753-X754)*(1+$D$4))</f>
        <v>142848.80557293777</v>
      </c>
      <c r="AA754" s="18">
        <f>IF($A754&gt;'1-Input'!$B$26,Y754,Y754-'P-Parametri'!$B$8*(Z754+Y754)+MIN(MAX(Z754,0),'P-Parametri'!$B$8*(Z754+Y754)))</f>
        <v>19946.876372417511</v>
      </c>
      <c r="AB754" s="18">
        <f>IF($A754&gt;'1-Input'!$B$26,Z754,Z754-MIN(MAX(Z754,0),'P-Parametri'!$B$8*(Z754+Y754)))</f>
        <v>142523.21420904706</v>
      </c>
      <c r="AC754" s="18">
        <f>IF($A754&gt;'1-Input'!$B$26,AC753,AC753-X754*(1-W754))</f>
        <v>42611.855024850272</v>
      </c>
      <c r="AD754" s="11">
        <f>IF($A754&gt;'1-Input'!$B$26,0,IF(AI753&lt;=0,0,MAX(0,(AI753-AJ753)/AI753)))</f>
        <v>0.68976952185030438</v>
      </c>
      <c r="AE754" s="18">
        <f>IF($A754&gt;'1-Input'!$B$26,0,(MAX(0,AD726-IF($A754&gt;='1-Input'!$C$12,'1-Input'!$B$12,0))-MIN(MAX(AH753,0),MAX(0,AD726-IF($A754&gt;='1-Input'!$C$12,'1-Input'!$B$12,0))))*(1/(1-'P-Parametri'!$B$6*AD754))+MIN(MAX(0,AI753-(MAX(0,AD726-IF($A754&gt;='1-Input'!$C$12,'1-Input'!$B$12,0))-MIN(MAX(AH753,0),MAX(0,AD726-IF($A754&gt;='1-Input'!$C$12,'1-Input'!$B$12,0))))*(1/(1-'P-Parametri'!$B$6*AD754))),MAX(0,1*AD726-(AH753-MIN(MAX(AH753,0),MAX(0,AD726-IF($A754&gt;='1-Input'!$C$12,'1-Input'!$B$12,0)))))*(1/(1-'P-Parametri'!$B$6*AD754))))</f>
        <v>10942.999692999501</v>
      </c>
      <c r="AF754" s="18">
        <f>IF($A754&gt;'1-Input'!$B$26,AH753,(AH753-MAX(0,AD726-IF($A754&gt;='1-Input'!$C$12,'1-Input'!$B$12,0))+AE754*(1-'P-Parametri'!$B$6*AD754))*(1+'1-Input'!$B$27))</f>
        <v>19938.406105220583</v>
      </c>
      <c r="AG754" s="18">
        <f>IF($A754&gt;'1-Input'!$B$26,AI753,(AI753-AE754)*(1+$D$4))</f>
        <v>143304.73958290578</v>
      </c>
      <c r="AH754" s="18">
        <f>IF($A754&gt;'1-Input'!$B$26,AF754,AF754-'P-Parametri'!$B$8*(AG754+AF754)+MIN(MAX(AG754,0),'P-Parametri'!$B$8*(AG754+AF754)))</f>
        <v>19938.406105220583</v>
      </c>
      <c r="AI754" s="18">
        <f>IF($A754&gt;'1-Input'!$B$26,AG754,AG754-MIN(MAX(AG754,0),'P-Parametri'!$B$8*(AG754+AF754)))</f>
        <v>142978.25329152952</v>
      </c>
      <c r="AJ754" s="18">
        <f>IF($A754&gt;'1-Input'!$B$26,AJ753,AJ753-AE754*(1-AD754))</f>
        <v>42747.594117233137</v>
      </c>
      <c r="AK754" s="11">
        <f>IF($A754&gt;'1-Input'!$B$26,0,IF(AP753&lt;=0,0,MAX(0,(AP753-AQ753)/AP753)))</f>
        <v>0.68976951726179614</v>
      </c>
      <c r="AL754" s="18">
        <f>IF($A754&gt;'1-Input'!$B$26,0,(MAX(0,AK726-IF($A754&gt;='1-Input'!$C$12,'1-Input'!$B$12,0))-MIN(MAX(AO753,0),MAX(0,AK726-IF($A754&gt;='1-Input'!$C$12,'1-Input'!$B$12,0))))*(1/(1-'P-Parametri'!$B$6*AK754))+MIN(MAX(0,AP753-(MAX(0,AK726-IF($A754&gt;='1-Input'!$C$12,'1-Input'!$B$12,0))-MIN(MAX(AO753,0),MAX(0,AK726-IF($A754&gt;='1-Input'!$C$12,'1-Input'!$B$12,0))))*(1/(1-'P-Parametri'!$B$6*AK754))),MAX(0,1*AK726-(AO753-MIN(MAX(AO753,0),MAX(0,AK726-IF($A754&gt;='1-Input'!$C$12,'1-Input'!$B$12,0)))))*(1/(1-'P-Parametri'!$B$6*AK754))))</f>
        <v>10943.024411266246</v>
      </c>
      <c r="AM754" s="18">
        <f>IF($A754&gt;'1-Input'!$B$26,AO753,(AO753-MAX(0,AK726-IF($A754&gt;='1-Input'!$C$12,'1-Input'!$B$12,0))+AL754*(1-'P-Parametri'!$B$6*AK754))*(1+'1-Input'!$B$27))</f>
        <v>19938.426257942814</v>
      </c>
      <c r="AN754" s="18">
        <f>IF($A754&gt;'1-Input'!$B$26,AP753,(AP753-AL754)*(1+$D$4))</f>
        <v>143303.65481021479</v>
      </c>
      <c r="AO754" s="18">
        <f>IF($A754&gt;'1-Input'!$B$26,AM754,AM754-'P-Parametri'!$B$8*(AN754+AM754)+MIN(MAX(AN754,0),'P-Parametri'!$B$8*(AN754+AM754)))</f>
        <v>19938.426257942814</v>
      </c>
      <c r="AP754" s="18">
        <f>IF($A754&gt;'1-Input'!$B$26,AN754,AN754-MIN(MAX(AN754,0),'P-Parametri'!$B$8*(AN754+AM754)))</f>
        <v>142977.17064807849</v>
      </c>
      <c r="AQ754" s="18">
        <f>IF($A754&gt;'1-Input'!$B$26,AQ753,AQ753-AL754*(1-AK754))</f>
        <v>42747.271163386395</v>
      </c>
    </row>
    <row r="755" spans="1:43">
      <c r="A755" s="10">
        <f>27</f>
        <v>27</v>
      </c>
      <c r="B755" s="11">
        <f>IF($A755&gt;'1-Input'!$B$26,0,IF(G754&lt;=0,0,MAX(0,(G754-H754)/G754)))</f>
        <v>0.7015288123763137</v>
      </c>
      <c r="C755" s="18">
        <f>IF($A755&gt;'1-Input'!$B$26,0,(MAX(0,B726-IF($A755&gt;='1-Input'!$C$12,'1-Input'!$B$12,0))-MIN(MAX(F754,0),MAX(0,B726-IF($A755&gt;='1-Input'!$C$12,'1-Input'!$B$12,0))))*(1/(1-'P-Parametri'!$B$6*B755))+MIN(MAX(0,G754-(MAX(0,B726-IF($A755&gt;='1-Input'!$C$12,'1-Input'!$B$12,0))-MIN(MAX(F754,0),MAX(0,B726-IF($A755&gt;='1-Input'!$C$12,'1-Input'!$B$12,0))))*(1/(1-'P-Parametri'!$B$6*B755))),MAX(0,1*B726-(F754-MIN(MAX(F754,0),MAX(0,B726-IF($A755&gt;='1-Input'!$C$12,'1-Input'!$B$12,0)))))*(1/(1-'P-Parametri'!$B$6*B755))))</f>
        <v>6897.1255019239861</v>
      </c>
      <c r="D755" s="18">
        <f>IF($A755&gt;'1-Input'!$B$26,F754,(F754-MAX(0,B726-IF($A755&gt;='1-Input'!$C$12,'1-Input'!$B$12,0))+C755*(1-'P-Parametri'!$B$6*B755))*(1+'1-Input'!$B$27))</f>
        <v>16621.00351549315</v>
      </c>
      <c r="E755" s="18">
        <f>IF($A755&gt;'1-Input'!$B$26,G754,(G754-C755)*(1+$D$4))</f>
        <v>326888.30858212197</v>
      </c>
      <c r="F755" s="18">
        <f>IF($A755&gt;'1-Input'!$B$26,D755,D755-'P-Parametri'!$B$8*(E755+D755)+MIN(MAX(E755,0),'P-Parametri'!$B$8*(E755+D755)))</f>
        <v>16621.00351549315</v>
      </c>
      <c r="G755" s="18">
        <f>IF($A755&gt;'1-Input'!$B$26,E755,E755-MIN(MAX(E755,0),'P-Parametri'!$B$8*(E755+D755)))</f>
        <v>326201.28995792673</v>
      </c>
      <c r="H755" s="18">
        <f>IF($A755&gt;'1-Input'!$B$26,H754,H754-C755*(1-B755))</f>
        <v>93814.174695003807</v>
      </c>
      <c r="I755" s="11">
        <f>IF($A755&gt;'1-Input'!$B$26,0,IF(N754&lt;=0,0,MAX(0,(N754-O754)/N754)))</f>
        <v>0.69998454672153709</v>
      </c>
      <c r="J755" s="18">
        <f>IF($A755&gt;'1-Input'!$B$26,0,(MAX(0,I726-IF($A755&gt;='1-Input'!$C$12,'1-Input'!$B$12,0))-MIN(MAX(M754,0),MAX(0,I726-IF($A755&gt;='1-Input'!$C$12,'1-Input'!$B$12,0))))*(1/(1-'P-Parametri'!$B$6*I755))+MIN(MAX(0,N754-(MAX(0,I726-IF($A755&gt;='1-Input'!$C$12,'1-Input'!$B$12,0))-MIN(MAX(M754,0),MAX(0,I726-IF($A755&gt;='1-Input'!$C$12,'1-Input'!$B$12,0))))*(1/(1-'P-Parametri'!$B$6*I755))),MAX(0,1*I726-(M754-MIN(MAX(M754,0),MAX(0,I726-IF($A755&gt;='1-Input'!$C$12,'1-Input'!$B$12,0)))))*(1/(1-'P-Parametri'!$B$6*I755))))</f>
        <v>13356.624514862307</v>
      </c>
      <c r="K755" s="18">
        <f>IF($A755&gt;'1-Input'!$B$26,M754,(M754-MAX(0,I726-IF($A755&gt;='1-Input'!$C$12,'1-Input'!$B$12,0))+J755*(1-'P-Parametri'!$B$6*I755))*(1+'1-Input'!$B$27))</f>
        <v>21869.741467754146</v>
      </c>
      <c r="L755" s="18">
        <f>IF($A755&gt;'1-Input'!$B$26,N754,(N754-J755)*(1+$D$4))</f>
        <v>26913.051438964285</v>
      </c>
      <c r="M755" s="18">
        <f>IF($A755&gt;'1-Input'!$B$26,K755,K755-'P-Parametri'!$B$8*(L755+K755)+MIN(MAX(L755,0),'P-Parametri'!$B$8*(L755+K755)))</f>
        <v>21869.741467754146</v>
      </c>
      <c r="N755" s="18">
        <f>IF($A755&gt;'1-Input'!$B$26,L755,L755-MIN(MAX(L755,0),'P-Parametri'!$B$8*(L755+K755)))</f>
        <v>26815.485853150847</v>
      </c>
      <c r="O755" s="18">
        <f>IF($A755&gt;'1-Input'!$B$26,O754,O754-J755*(1-I755))</f>
        <v>7763.7801216994767</v>
      </c>
      <c r="P755" s="11">
        <f>IF($A755&gt;'1-Input'!$B$26,0,IF(U754&lt;=0,0,MAX(0,(U754-V754)/U754)))</f>
        <v>0.70092354989779737</v>
      </c>
      <c r="Q755" s="18">
        <f>IF($A755&gt;'1-Input'!$B$26,0,(MAX(0,P726-IF($A755&gt;='1-Input'!$C$12,'1-Input'!$B$12,0))-MIN(MAX(T754,0),MAX(0,P726-IF($A755&gt;='1-Input'!$C$12,'1-Input'!$B$12,0))))*(1/(1-'P-Parametri'!$B$6*P755))+MIN(MAX(0,U754-(MAX(0,P726-IF($A755&gt;='1-Input'!$C$12,'1-Input'!$B$12,0))-MIN(MAX(T754,0),MAX(0,P726-IF($A755&gt;='1-Input'!$C$12,'1-Input'!$B$12,0))))*(1/(1-'P-Parametri'!$B$6*P755))),MAX(0,1*P726-(T754-MIN(MAX(T754,0),MAX(0,P726-IF($A755&gt;='1-Input'!$C$12,'1-Input'!$B$12,0)))))*(1/(1-'P-Parametri'!$B$6*P755))))</f>
        <v>11411.304223662308</v>
      </c>
      <c r="R755" s="18">
        <f>IF($A755&gt;'1-Input'!$B$26,T754,(T754-MAX(0,P726-IF($A755&gt;='1-Input'!$C$12,'1-Input'!$B$12,0))+Q755*(1-'P-Parametri'!$B$6*P755))*(1+'1-Input'!$B$27))</f>
        <v>20287.111791944739</v>
      </c>
      <c r="S755" s="18">
        <f>IF($A755&gt;'1-Input'!$B$26,U754,(U754-Q755)*(1+$D$4))</f>
        <v>117347.43542929536</v>
      </c>
      <c r="T755" s="18">
        <f>IF($A755&gt;'1-Input'!$B$26,R755,R755-'P-Parametri'!$B$8*(S755+R755)+MIN(MAX(S755,0),'P-Parametri'!$B$8*(S755+R755)))</f>
        <v>20287.111791944739</v>
      </c>
      <c r="U755" s="18">
        <f>IF($A755&gt;'1-Input'!$B$26,S755,S755-MIN(MAX(S755,0),'P-Parametri'!$B$8*(S755+R755)))</f>
        <v>117072.16633485288</v>
      </c>
      <c r="V755" s="18">
        <f>IF($A755&gt;'1-Input'!$B$26,V754,V754-Q755*(1-P755))</f>
        <v>33746.013862299136</v>
      </c>
      <c r="W755" s="11">
        <f>IF($A755&gt;'1-Input'!$B$26,0,IF(AB754&lt;=0,0,MAX(0,(AB754-AC754)/AB754)))</f>
        <v>0.70101814457854572</v>
      </c>
      <c r="X755" s="18">
        <f>IF($A755&gt;'1-Input'!$B$26,0,(MAX(0,W726-IF($A755&gt;='1-Input'!$C$12,'1-Input'!$B$12,0))-MIN(MAX(AA754,0),MAX(0,W726-IF($A755&gt;='1-Input'!$C$12,'1-Input'!$B$12,0))))*(1/(1-'P-Parametri'!$B$6*W755))+MIN(MAX(0,AB754-(MAX(0,W726-IF($A755&gt;='1-Input'!$C$12,'1-Input'!$B$12,0))-MIN(MAX(AA754,0),MAX(0,W726-IF($A755&gt;='1-Input'!$C$12,'1-Input'!$B$12,0))))*(1/(1-'P-Parametri'!$B$6*W755))),MAX(0,1*W726-(AA754-MIN(MAX(AA754,0),MAX(0,W726-IF($A755&gt;='1-Input'!$C$12,'1-Input'!$B$12,0)))))*(1/(1-'P-Parametri'!$B$6*W755))))</f>
        <v>10992.570538053329</v>
      </c>
      <c r="Y755" s="18">
        <f>IF($A755&gt;'1-Input'!$B$26,AA754,(AA754-MAX(0,W726-IF($A755&gt;='1-Input'!$C$12,'1-Input'!$B$12,0))+X755*(1-'P-Parametri'!$B$6*W755))*(1+'1-Input'!$B$27))</f>
        <v>19946.876372417515</v>
      </c>
      <c r="Z755" s="18">
        <f>IF($A755&gt;'1-Input'!$B$26,AB754,(AB754-X755)*(1+$D$4))</f>
        <v>136791.86941783348</v>
      </c>
      <c r="AA755" s="18">
        <f>IF($A755&gt;'1-Input'!$B$26,Y755,Y755-'P-Parametri'!$B$8*(Z755+Y755)+MIN(MAX(Z755,0),'P-Parametri'!$B$8*(Z755+Y755)))</f>
        <v>19946.876372417515</v>
      </c>
      <c r="AB755" s="18">
        <f>IF($A755&gt;'1-Input'!$B$26,Z755,Z755-MIN(MAX(Z755,0),'P-Parametri'!$B$8*(Z755+Y755)))</f>
        <v>136478.39192625298</v>
      </c>
      <c r="AC755" s="18">
        <f>IF($A755&gt;'1-Input'!$B$26,AC754,AC754-X755*(1-W755))</f>
        <v>39325.275889531877</v>
      </c>
      <c r="AD755" s="11">
        <f>IF($A755&gt;'1-Input'!$B$26,0,IF(AI754&lt;=0,0,MAX(0,(AI754-AJ754)/AI754)))</f>
        <v>0.70102030810187799</v>
      </c>
      <c r="AE755" s="18">
        <f>IF($A755&gt;'1-Input'!$B$26,0,(MAX(0,AD726-IF($A755&gt;='1-Input'!$C$12,'1-Input'!$B$12,0))-MIN(MAX(AH754,0),MAX(0,AD726-IF($A755&gt;='1-Input'!$C$12,'1-Input'!$B$12,0))))*(1/(1-'P-Parametri'!$B$6*AD755))+MIN(MAX(0,AI754-(MAX(0,AD726-IF($A755&gt;='1-Input'!$C$12,'1-Input'!$B$12,0))-MIN(MAX(AH754,0),MAX(0,AD726-IF($A755&gt;='1-Input'!$C$12,'1-Input'!$B$12,0))))*(1/(1-'P-Parametri'!$B$6*AD755))),MAX(0,1*AD726-(AH754-MIN(MAX(AH754,0),MAX(0,AD726-IF($A755&gt;='1-Input'!$C$12,'1-Input'!$B$12,0)))))*(1/(1-'P-Parametri'!$B$6*AD755))))</f>
        <v>10982.145042157945</v>
      </c>
      <c r="AF755" s="18">
        <f>IF($A755&gt;'1-Input'!$B$26,AH754,(AH754-MAX(0,AD726-IF($A755&gt;='1-Input'!$C$12,'1-Input'!$B$12,0))+AE755*(1-'P-Parametri'!$B$6*AD755))*(1+'1-Input'!$B$27))</f>
        <v>19938.40610522058</v>
      </c>
      <c r="AG755" s="18">
        <f>IF($A755&gt;'1-Input'!$B$26,AI754,(AI754-AE755)*(1+$D$4))</f>
        <v>137275.95257934646</v>
      </c>
      <c r="AH755" s="18">
        <f>IF($A755&gt;'1-Input'!$B$26,AF755,AF755-'P-Parametri'!$B$8*(AG755+AF755)+MIN(MAX(AG755,0),'P-Parametri'!$B$8*(AG755+AF755)))</f>
        <v>19938.40610522058</v>
      </c>
      <c r="AI755" s="18">
        <f>IF($A755&gt;'1-Input'!$B$26,AG755,AG755-MIN(MAX(AG755,0),'P-Parametri'!$B$8*(AG755+AF755)))</f>
        <v>136961.52386197733</v>
      </c>
      <c r="AJ755" s="18">
        <f>IF($A755&gt;'1-Input'!$B$26,AJ754,AJ754-AE755*(1-AD755))</f>
        <v>39464.155776148269</v>
      </c>
      <c r="AK755" s="11">
        <f>IF($A755&gt;'1-Input'!$B$26,0,IF(AP754&lt;=0,0,MAX(0,(AP754-AQ754)/AP754)))</f>
        <v>0.70102030296428386</v>
      </c>
      <c r="AL755" s="18">
        <f>IF($A755&gt;'1-Input'!$B$26,0,(MAX(0,AK726-IF($A755&gt;='1-Input'!$C$12,'1-Input'!$B$12,0))-MIN(MAX(AO754,0),MAX(0,AK726-IF($A755&gt;='1-Input'!$C$12,'1-Input'!$B$12,0))))*(1/(1-'P-Parametri'!$B$6*AK755))+MIN(MAX(0,AP754-(MAX(0,AK726-IF($A755&gt;='1-Input'!$C$12,'1-Input'!$B$12,0))-MIN(MAX(AO754,0),MAX(0,AK726-IF($A755&gt;='1-Input'!$C$12,'1-Input'!$B$12,0))))*(1/(1-'P-Parametri'!$B$6*AK755))),MAX(0,1*AK726-(AO754-MIN(MAX(AO754,0),MAX(0,AK726-IF($A755&gt;='1-Input'!$C$12,'1-Input'!$B$12,0)))))*(1/(1-'P-Parametri'!$B$6*AK755))))</f>
        <v>10982.169846872579</v>
      </c>
      <c r="AM755" s="18">
        <f>IF($A755&gt;'1-Input'!$B$26,AO754,(AO754-MAX(0,AK726-IF($A755&gt;='1-Input'!$C$12,'1-Input'!$B$12,0))+AL755*(1-'P-Parametri'!$B$6*AK755))*(1+'1-Input'!$B$27))</f>
        <v>19938.426257942814</v>
      </c>
      <c r="AN755" s="18">
        <f>IF($A755&gt;'1-Input'!$B$26,AP754,(AP754-AL755)*(1+$D$4))</f>
        <v>137274.80083325418</v>
      </c>
      <c r="AO755" s="18">
        <f>IF($A755&gt;'1-Input'!$B$26,AM755,AM755-'P-Parametri'!$B$8*(AN755+AM755)+MIN(MAX(AN755,0),'P-Parametri'!$B$8*(AN755+AM755)))</f>
        <v>19938.426257942814</v>
      </c>
      <c r="AP755" s="18">
        <f>IF($A755&gt;'1-Input'!$B$26,AN755,AN755-MIN(MAX(AN755,0),'P-Parametri'!$B$8*(AN755+AM755)))</f>
        <v>136960.37437907179</v>
      </c>
      <c r="AQ755" s="18">
        <f>IF($A755&gt;'1-Input'!$B$26,AQ754,AQ754-AL755*(1-AK755))</f>
        <v>39463.825349773651</v>
      </c>
    </row>
    <row r="756" spans="1:43">
      <c r="A756" s="10">
        <f>28</f>
        <v>28</v>
      </c>
      <c r="B756" s="11">
        <f>IF($A756&gt;'1-Input'!$B$26,0,IF(G755&lt;=0,0,MAX(0,(G755-H755)/G755)))</f>
        <v>0.71240403522897189</v>
      </c>
      <c r="C756" s="18">
        <f>IF($A756&gt;'1-Input'!$B$26,0,(MAX(0,B726-IF($A756&gt;='1-Input'!$C$12,'1-Input'!$B$12,0))-MIN(MAX(F755,0),MAX(0,B726-IF($A756&gt;='1-Input'!$C$12,'1-Input'!$B$12,0))))*(1/(1-'P-Parametri'!$B$6*B756))+MIN(MAX(0,G755-(MAX(0,B726-IF($A756&gt;='1-Input'!$C$12,'1-Input'!$B$12,0))-MIN(MAX(F755,0),MAX(0,B726-IF($A756&gt;='1-Input'!$C$12,'1-Input'!$B$12,0))))*(1/(1-'P-Parametri'!$B$6*B756))),MAX(0,1*B726-(F755-MIN(MAX(F755,0),MAX(0,B726-IF($A756&gt;='1-Input'!$C$12,'1-Input'!$B$12,0)))))*(1/(1-'P-Parametri'!$B$6*B756))))</f>
        <v>6921.060972654509</v>
      </c>
      <c r="D756" s="18">
        <f>IF($A756&gt;'1-Input'!$B$26,F755,(F755-MAX(0,B726-IF($A756&gt;='1-Input'!$C$12,'1-Input'!$B$12,0))+C756*(1-'P-Parametri'!$B$6*B756))*(1+'1-Input'!$B$27))</f>
        <v>16621.00351549315</v>
      </c>
      <c r="E756" s="18">
        <f>IF($A756&gt;'1-Input'!$B$26,G755,(G755-C756)*(1+$D$4))</f>
        <v>332051.43814468314</v>
      </c>
      <c r="F756" s="18">
        <f>IF($A756&gt;'1-Input'!$B$26,D756,D756-'P-Parametri'!$B$8*(E756+D756)+MIN(MAX(E756,0),'P-Parametri'!$B$8*(E756+D756)))</f>
        <v>16621.00351549315</v>
      </c>
      <c r="G756" s="18">
        <f>IF($A756&gt;'1-Input'!$B$26,E756,E756-MIN(MAX(E756,0),'P-Parametri'!$B$8*(E756+D756)))</f>
        <v>331354.09326136281</v>
      </c>
      <c r="H756" s="18">
        <f>IF($A756&gt;'1-Input'!$B$26,H755,H755-C756*(1-B756))</f>
        <v>91823.705487334126</v>
      </c>
      <c r="I756" s="11">
        <f>IF($A756&gt;'1-Input'!$B$26,0,IF(N755&lt;=0,0,MAX(0,(N755-O755)/N755)))</f>
        <v>0.71047400877925071</v>
      </c>
      <c r="J756" s="18">
        <f>IF($A756&gt;'1-Input'!$B$26,0,(MAX(0,I726-IF($A756&gt;='1-Input'!$C$12,'1-Input'!$B$12,0))-MIN(MAX(M755,0),MAX(0,I726-IF($A756&gt;='1-Input'!$C$12,'1-Input'!$B$12,0))))*(1/(1-'P-Parametri'!$B$6*I756))+MIN(MAX(0,N755-(MAX(0,I726-IF($A756&gt;='1-Input'!$C$12,'1-Input'!$B$12,0))-MIN(MAX(M755,0),MAX(0,I726-IF($A756&gt;='1-Input'!$C$12,'1-Input'!$B$12,0))))*(1/(1-'P-Parametri'!$B$6*I756))),MAX(0,1*I726-(M755-MIN(MAX(M755,0),MAX(0,I726-IF($A756&gt;='1-Input'!$C$12,'1-Input'!$B$12,0)))))*(1/(1-'P-Parametri'!$B$6*I756))))</f>
        <v>13401.30503498361</v>
      </c>
      <c r="K756" s="18">
        <f>IF($A756&gt;'1-Input'!$B$26,M755,(M755-MAX(0,I726-IF($A756&gt;='1-Input'!$C$12,'1-Input'!$B$12,0))+J756*(1-'P-Parametri'!$B$6*I756))*(1+'1-Input'!$B$27))</f>
        <v>21869.741467754146</v>
      </c>
      <c r="L756" s="18">
        <f>IF($A756&gt;'1-Input'!$B$26,N755,(N755-J756)*(1+$D$4))</f>
        <v>13950.748050893926</v>
      </c>
      <c r="M756" s="18">
        <f>IF($A756&gt;'1-Input'!$B$26,K756,K756-'P-Parametri'!$B$8*(L756+K756)+MIN(MAX(L756,0),'P-Parametri'!$B$8*(L756+K756)))</f>
        <v>21869.741467754146</v>
      </c>
      <c r="N756" s="18">
        <f>IF($A756&gt;'1-Input'!$B$26,L756,L756-MIN(MAX(L756,0),'P-Parametri'!$B$8*(L756+K756)))</f>
        <v>13879.10707185663</v>
      </c>
      <c r="O756" s="18">
        <f>IF($A756&gt;'1-Input'!$B$26,O755,O755-J756*(1-I756))</f>
        <v>3883.7539977942288</v>
      </c>
      <c r="P756" s="11">
        <f>IF($A756&gt;'1-Input'!$B$26,0,IF(U755&lt;=0,0,MAX(0,(U755-V755)/U755)))</f>
        <v>0.71175032530125137</v>
      </c>
      <c r="Q756" s="18">
        <f>IF($A756&gt;'1-Input'!$B$26,0,(MAX(0,P726-IF($A756&gt;='1-Input'!$C$12,'1-Input'!$B$12,0))-MIN(MAX(T755,0),MAX(0,P726-IF($A756&gt;='1-Input'!$C$12,'1-Input'!$B$12,0))))*(1/(1-'P-Parametri'!$B$6*P756))+MIN(MAX(0,U755-(MAX(0,P726-IF($A756&gt;='1-Input'!$C$12,'1-Input'!$B$12,0))-MIN(MAX(T755,0),MAX(0,P726-IF($A756&gt;='1-Input'!$C$12,'1-Input'!$B$12,0))))*(1/(1-'P-Parametri'!$B$6*P756))),MAX(0,1*P726-(T755-MIN(MAX(T755,0),MAX(0,P726-IF($A756&gt;='1-Input'!$C$12,'1-Input'!$B$12,0)))))*(1/(1-'P-Parametri'!$B$6*P756))))</f>
        <v>11450.720854950572</v>
      </c>
      <c r="R756" s="18">
        <f>IF($A756&gt;'1-Input'!$B$26,T755,(T755-MAX(0,P726-IF($A756&gt;='1-Input'!$C$12,'1-Input'!$B$12,0))+Q756*(1-'P-Parametri'!$B$6*P756))*(1+'1-Input'!$B$27))</f>
        <v>20287.111791944739</v>
      </c>
      <c r="S756" s="18">
        <f>IF($A756&gt;'1-Input'!$B$26,U755,(U755-Q756)*(1+$D$4))</f>
        <v>109846.30329909841</v>
      </c>
      <c r="T756" s="18">
        <f>IF($A756&gt;'1-Input'!$B$26,R756,R756-'P-Parametri'!$B$8*(S756+R756)+MIN(MAX(S756,0),'P-Parametri'!$B$8*(S756+R756)))</f>
        <v>20287.111791944739</v>
      </c>
      <c r="U756" s="18">
        <f>IF($A756&gt;'1-Input'!$B$26,S756,S756-MIN(MAX(S756,0),'P-Parametri'!$B$8*(S756+R756)))</f>
        <v>109586.03646891633</v>
      </c>
      <c r="V756" s="18">
        <f>IF($A756&gt;'1-Input'!$B$26,V755,V755-Q756*(1-P756))</f>
        <v>30445.347300793459</v>
      </c>
      <c r="W756" s="11">
        <f>IF($A756&gt;'1-Input'!$B$26,0,IF(AB755&lt;=0,0,MAX(0,(AB755-AC755)/AB755)))</f>
        <v>0.7118571274580846</v>
      </c>
      <c r="X756" s="18">
        <f>IF($A756&gt;'1-Input'!$B$26,0,(MAX(0,W726-IF($A756&gt;='1-Input'!$C$12,'1-Input'!$B$12,0))-MIN(MAX(AA755,0),MAX(0,W726-IF($A756&gt;='1-Input'!$C$12,'1-Input'!$B$12,0))))*(1/(1-'P-Parametri'!$B$6*W756))+MIN(MAX(0,AB755-(MAX(0,W726-IF($A756&gt;='1-Input'!$C$12,'1-Input'!$B$12,0))-MIN(MAX(AA755,0),MAX(0,W726-IF($A756&gt;='1-Input'!$C$12,'1-Input'!$B$12,0))))*(1/(1-'P-Parametri'!$B$6*W756))),MAX(0,1*W726-(AA755-MIN(MAX(AA755,0),MAX(0,W726-IF($A756&gt;='1-Input'!$C$12,'1-Input'!$B$12,0)))))*(1/(1-'P-Parametri'!$B$6*W756))))</f>
        <v>11030.584898070156</v>
      </c>
      <c r="Y756" s="18">
        <f>IF($A756&gt;'1-Input'!$B$26,AA755,(AA755-MAX(0,W726-IF($A756&gt;='1-Input'!$C$12,'1-Input'!$B$12,0))+X756*(1-'P-Parametri'!$B$6*W756))*(1+'1-Input'!$B$27))</f>
        <v>19946.876372417511</v>
      </c>
      <c r="Z756" s="18">
        <f>IF($A756&gt;'1-Input'!$B$26,AB755,(AB755-X756)*(1+$D$4))</f>
        <v>130465.71930931014</v>
      </c>
      <c r="AA756" s="18">
        <f>IF($A756&gt;'1-Input'!$B$26,Y756,Y756-'P-Parametri'!$B$8*(Z756+Y756)+MIN(MAX(Z756,0),'P-Parametri'!$B$8*(Z756+Y756)))</f>
        <v>19946.876372417511</v>
      </c>
      <c r="AB756" s="18">
        <f>IF($A756&gt;'1-Input'!$B$26,Z756,Z756-MIN(MAX(Z756,0),'P-Parametri'!$B$8*(Z756+Y756)))</f>
        <v>130164.89411794668</v>
      </c>
      <c r="AC756" s="18">
        <f>IF($A756&gt;'1-Input'!$B$26,AC755,AC755-X756*(1-W756))</f>
        <v>36146.89147118447</v>
      </c>
      <c r="AD756" s="11">
        <f>IF($A756&gt;'1-Input'!$B$26,0,IF(AI755&lt;=0,0,MAX(0,(AI755-AJ755)/AI755)))</f>
        <v>0.71185954519666284</v>
      </c>
      <c r="AE756" s="18">
        <f>IF($A756&gt;'1-Input'!$B$26,0,(MAX(0,AD726-IF($A756&gt;='1-Input'!$C$12,'1-Input'!$B$12,0))-MIN(MAX(AH755,0),MAX(0,AD726-IF($A756&gt;='1-Input'!$C$12,'1-Input'!$B$12,0))))*(1/(1-'P-Parametri'!$B$6*AD756))+MIN(MAX(0,AI755-(MAX(0,AD726-IF($A756&gt;='1-Input'!$C$12,'1-Input'!$B$12,0))-MIN(MAX(AH755,0),MAX(0,AD726-IF($A756&gt;='1-Input'!$C$12,'1-Input'!$B$12,0))))*(1/(1-'P-Parametri'!$B$6*AD756))),MAX(0,1*AD726-(AH755-MIN(MAX(AH755,0),MAX(0,AD726-IF($A756&gt;='1-Input'!$C$12,'1-Input'!$B$12,0)))))*(1/(1-'P-Parametri'!$B$6*AD756))))</f>
        <v>11020.124268896458</v>
      </c>
      <c r="AF756" s="18">
        <f>IF($A756&gt;'1-Input'!$B$26,AH755,(AH755-MAX(0,AD726-IF($A756&gt;='1-Input'!$C$12,'1-Input'!$B$12,0))+AE756*(1-'P-Parametri'!$B$6*AD756))*(1+'1-Input'!$B$27))</f>
        <v>19938.406105220583</v>
      </c>
      <c r="AG756" s="18">
        <f>IF($A756&gt;'1-Input'!$B$26,AI755,(AI755-AE756)*(1+$D$4))</f>
        <v>130979.05557680411</v>
      </c>
      <c r="AH756" s="18">
        <f>IF($A756&gt;'1-Input'!$B$26,AF756,AF756-'P-Parametri'!$B$8*(AG756+AF756)+MIN(MAX(AG756,0),'P-Parametri'!$B$8*(AG756+AF756)))</f>
        <v>19938.406105220583</v>
      </c>
      <c r="AI756" s="18">
        <f>IF($A756&gt;'1-Input'!$B$26,AG756,AG756-MIN(MAX(AG756,0),'P-Parametri'!$B$8*(AG756+AF756)))</f>
        <v>130677.22065344006</v>
      </c>
      <c r="AJ756" s="18">
        <f>IF($A756&gt;'1-Input'!$B$26,AJ755,AJ755-AE756*(1-AD756))</f>
        <v>36288.812157319153</v>
      </c>
      <c r="AK756" s="11">
        <f>IF($A756&gt;'1-Input'!$B$26,0,IF(AP755&lt;=0,0,MAX(0,(AP755-AQ755)/AP755)))</f>
        <v>0.71185953945666258</v>
      </c>
      <c r="AL756" s="18">
        <f>IF($A756&gt;'1-Input'!$B$26,0,(MAX(0,AK726-IF($A756&gt;='1-Input'!$C$12,'1-Input'!$B$12,0))-MIN(MAX(AO755,0),MAX(0,AK726-IF($A756&gt;='1-Input'!$C$12,'1-Input'!$B$12,0))))*(1/(1-'P-Parametri'!$B$6*AK756))+MIN(MAX(0,AP755-(MAX(0,AK726-IF($A756&gt;='1-Input'!$C$12,'1-Input'!$B$12,0))-MIN(MAX(AO755,0),MAX(0,AK726-IF($A756&gt;='1-Input'!$C$12,'1-Input'!$B$12,0))))*(1/(1-'P-Parametri'!$B$6*AK756))),MAX(0,1*AK726-(AO755-MIN(MAX(AO755,0),MAX(0,AK726-IF($A756&gt;='1-Input'!$C$12,'1-Input'!$B$12,0)))))*(1/(1-'P-Parametri'!$B$6*AK756))))</f>
        <v>11020.14915721219</v>
      </c>
      <c r="AM756" s="18">
        <f>IF($A756&gt;'1-Input'!$B$26,AO755,(AO755-MAX(0,AK726-IF($A756&gt;='1-Input'!$C$12,'1-Input'!$B$12,0))+AL756*(1-'P-Parametri'!$B$6*AK756))*(1+'1-Input'!$B$27))</f>
        <v>19938.426257942814</v>
      </c>
      <c r="AN756" s="18">
        <f>IF($A756&gt;'1-Input'!$B$26,AP755,(AP755-AL756)*(1+$D$4))</f>
        <v>130977.83423073399</v>
      </c>
      <c r="AO756" s="18">
        <f>IF($A756&gt;'1-Input'!$B$26,AM756,AM756-'P-Parametri'!$B$8*(AN756+AM756)+MIN(MAX(AN756,0),'P-Parametri'!$B$8*(AN756+AM756)))</f>
        <v>19938.426257942814</v>
      </c>
      <c r="AP756" s="18">
        <f>IF($A756&gt;'1-Input'!$B$26,AN756,AN756-MIN(MAX(AN756,0),'P-Parametri'!$B$8*(AN756+AM756)))</f>
        <v>130676.00170975665</v>
      </c>
      <c r="AQ756" s="18">
        <f>IF($A756&gt;'1-Input'!$B$26,AQ755,AQ755-AL756*(1-AK756))</f>
        <v>36288.474496358256</v>
      </c>
    </row>
    <row r="757" spans="1:43">
      <c r="A757" s="10">
        <f>29</f>
        <v>29</v>
      </c>
      <c r="B757" s="11">
        <f>IF($A757&gt;'1-Input'!$B$26,0,IF(G756&lt;=0,0,MAX(0,(G756-H756)/G756)))</f>
        <v>0.72288344295506812</v>
      </c>
      <c r="C757" s="18">
        <f>IF($A757&gt;'1-Input'!$B$26,0,(MAX(0,B726-IF($A757&gt;='1-Input'!$C$12,'1-Input'!$B$12,0))-MIN(MAX(F756,0),MAX(0,B726-IF($A757&gt;='1-Input'!$C$12,'1-Input'!$B$12,0))))*(1/(1-'P-Parametri'!$B$6*B757))+MIN(MAX(0,G756-(MAX(0,B726-IF($A757&gt;='1-Input'!$C$12,'1-Input'!$B$12,0))-MIN(MAX(F756,0),MAX(0,B726-IF($A757&gt;='1-Input'!$C$12,'1-Input'!$B$12,0))))*(1/(1-'P-Parametri'!$B$6*B757))),MAX(0,1*B726-(F756-MIN(MAX(F756,0),MAX(0,B726-IF($A757&gt;='1-Input'!$C$12,'1-Input'!$B$12,0)))))*(1/(1-'P-Parametri'!$B$6*B757))))</f>
        <v>6944.2829837091194</v>
      </c>
      <c r="D757" s="18">
        <f>IF($A757&gt;'1-Input'!$B$26,F756,(F756-MAX(0,B726-IF($A757&gt;='1-Input'!$C$12,'1-Input'!$B$12,0))+C757*(1-'P-Parametri'!$B$6*B757))*(1+'1-Input'!$B$27))</f>
        <v>16621.00351549315</v>
      </c>
      <c r="E757" s="18">
        <f>IF($A757&gt;'1-Input'!$B$26,G756,(G756-C757)*(1+$D$4))</f>
        <v>337386.20268875983</v>
      </c>
      <c r="F757" s="18">
        <f>IF($A757&gt;'1-Input'!$B$26,D757,D757-'P-Parametri'!$B$8*(E757+D757)+MIN(MAX(E757,0),'P-Parametri'!$B$8*(E757+D757)))</f>
        <v>16621.00351549315</v>
      </c>
      <c r="G757" s="18">
        <f>IF($A757&gt;'1-Input'!$B$26,E757,E757-MIN(MAX(E757,0),'P-Parametri'!$B$8*(E757+D757)))</f>
        <v>336678.18827635131</v>
      </c>
      <c r="H757" s="18">
        <f>IF($A757&gt;'1-Input'!$B$26,H756,H756-C757*(1-B757))</f>
        <v>89899.329695742941</v>
      </c>
      <c r="I757" s="11">
        <f>IF($A757&gt;'1-Input'!$B$26,0,IF(N756&lt;=0,0,MAX(0,(N756-O756)/N756)))</f>
        <v>0.72017263231079798</v>
      </c>
      <c r="J757" s="18">
        <f>IF($A757&gt;'1-Input'!$B$26,0,(MAX(0,I726-IF($A757&gt;='1-Input'!$C$12,'1-Input'!$B$12,0))-MIN(MAX(M756,0),MAX(0,I726-IF($A757&gt;='1-Input'!$C$12,'1-Input'!$B$12,0))))*(1/(1-'P-Parametri'!$B$6*I757))+MIN(MAX(0,N756-(MAX(0,I726-IF($A757&gt;='1-Input'!$C$12,'1-Input'!$B$12,0))-MIN(MAX(M756,0),MAX(0,I726-IF($A757&gt;='1-Input'!$C$12,'1-Input'!$B$12,0))))*(1/(1-'P-Parametri'!$B$6*I757))),MAX(0,1*I726-(M756-MIN(MAX(M756,0),MAX(0,I726-IF($A757&gt;='1-Input'!$C$12,'1-Input'!$B$12,0)))))*(1/(1-'P-Parametri'!$B$6*I757))))</f>
        <v>13442.883727712204</v>
      </c>
      <c r="K757" s="18">
        <f>IF($A757&gt;'1-Input'!$B$26,M756,(M756-MAX(0,I726-IF($A757&gt;='1-Input'!$C$12,'1-Input'!$B$12,0))+J757*(1-'P-Parametri'!$B$6*I757))*(1+'1-Input'!$B$27))</f>
        <v>21869.741467754146</v>
      </c>
      <c r="L757" s="18">
        <f>IF($A757&gt;'1-Input'!$B$26,N756,(N756-J757)*(1+$D$4))</f>
        <v>453.67227791020298</v>
      </c>
      <c r="M757" s="18">
        <f>IF($A757&gt;'1-Input'!$B$26,K757,K757-'P-Parametri'!$B$8*(L757+K757)+MIN(MAX(L757,0),'P-Parametri'!$B$8*(L757+K757)))</f>
        <v>21869.741467754146</v>
      </c>
      <c r="N757" s="18">
        <f>IF($A757&gt;'1-Input'!$B$26,L757,L757-MIN(MAX(L757,0),'P-Parametri'!$B$8*(L757+K757)))</f>
        <v>409.0254504188743</v>
      </c>
      <c r="O757" s="18">
        <f>IF($A757&gt;'1-Input'!$B$26,O756,O756-J757*(1-I757))</f>
        <v>122.06723011651502</v>
      </c>
      <c r="P757" s="11">
        <f>IF($A757&gt;'1-Input'!$B$26,0,IF(U756&lt;=0,0,MAX(0,(U756-V756)/U756)))</f>
        <v>0.72217858878919139</v>
      </c>
      <c r="Q757" s="18">
        <f>IF($A757&gt;'1-Input'!$B$26,0,(MAX(0,P726-IF($A757&gt;='1-Input'!$C$12,'1-Input'!$B$12,0))-MIN(MAX(T756,0),MAX(0,P726-IF($A757&gt;='1-Input'!$C$12,'1-Input'!$B$12,0))))*(1/(1-'P-Parametri'!$B$6*P757))+MIN(MAX(0,U756-(MAX(0,P726-IF($A757&gt;='1-Input'!$C$12,'1-Input'!$B$12,0))-MIN(MAX(T756,0),MAX(0,P726-IF($A757&gt;='1-Input'!$C$12,'1-Input'!$B$12,0))))*(1/(1-'P-Parametri'!$B$6*P757))),MAX(0,1*P726-(T756-MIN(MAX(T756,0),MAX(0,P726-IF($A757&gt;='1-Input'!$C$12,'1-Input'!$B$12,0)))))*(1/(1-'P-Parametri'!$B$6*P757))))</f>
        <v>11488.944952251202</v>
      </c>
      <c r="R757" s="18">
        <f>IF($A757&gt;'1-Input'!$B$26,T756,(T756-MAX(0,P726-IF($A757&gt;='1-Input'!$C$12,'1-Input'!$B$12,0))+Q757*(1-'P-Parametri'!$B$6*P757))*(1+'1-Input'!$B$27))</f>
        <v>20287.111791944735</v>
      </c>
      <c r="S757" s="18">
        <f>IF($A757&gt;'1-Input'!$B$26,U756,(U756-Q757)*(1+$D$4))</f>
        <v>102020.97517733174</v>
      </c>
      <c r="T757" s="18">
        <f>IF($A757&gt;'1-Input'!$B$26,R757,R757-'P-Parametri'!$B$8*(S757+R757)+MIN(MAX(S757,0),'P-Parametri'!$B$8*(S757+R757)))</f>
        <v>20287.111791944735</v>
      </c>
      <c r="U757" s="18">
        <f>IF($A757&gt;'1-Input'!$B$26,S757,S757-MIN(MAX(S757,0),'P-Parametri'!$B$8*(S757+R757)))</f>
        <v>101776.35900339318</v>
      </c>
      <c r="V757" s="18">
        <f>IF($A757&gt;'1-Input'!$B$26,V756,V756-Q757*(1-P757))</f>
        <v>27253.472400835733</v>
      </c>
      <c r="W757" s="11">
        <f>IF($A757&gt;'1-Input'!$B$26,0,IF(AB756&lt;=0,0,MAX(0,(AB756-AC756)/AB756)))</f>
        <v>0.72229922886557585</v>
      </c>
      <c r="X757" s="18">
        <f>IF($A757&gt;'1-Input'!$B$26,0,(MAX(0,W726-IF($A757&gt;='1-Input'!$C$12,'1-Input'!$B$12,0))-MIN(MAX(AA756,0),MAX(0,W726-IF($A757&gt;='1-Input'!$C$12,'1-Input'!$B$12,0))))*(1/(1-'P-Parametri'!$B$6*W757))+MIN(MAX(0,AB756-(MAX(0,W726-IF($A757&gt;='1-Input'!$C$12,'1-Input'!$B$12,0))-MIN(MAX(AA756,0),MAX(0,W726-IF($A757&gt;='1-Input'!$C$12,'1-Input'!$B$12,0))))*(1/(1-'P-Parametri'!$B$6*W757))),MAX(0,1*W726-(AA756-MIN(MAX(AA756,0),MAX(0,W726-IF($A757&gt;='1-Input'!$C$12,'1-Input'!$B$12,0)))))*(1/(1-'P-Parametri'!$B$6*W757))))</f>
        <v>11067.456808002249</v>
      </c>
      <c r="Y757" s="18">
        <f>IF($A757&gt;'1-Input'!$B$26,AA756,(AA756-MAX(0,W726-IF($A757&gt;='1-Input'!$C$12,'1-Input'!$B$12,0))+X757*(1-'P-Parametri'!$B$6*W757))*(1+'1-Input'!$B$27))</f>
        <v>19946.876372417511</v>
      </c>
      <c r="Z757" s="18">
        <f>IF($A757&gt;'1-Input'!$B$26,AB756,(AB756-X757)*(1+$D$4))</f>
        <v>123861.33480234221</v>
      </c>
      <c r="AA757" s="18">
        <f>IF($A757&gt;'1-Input'!$B$26,Y757,Y757-'P-Parametri'!$B$8*(Z757+Y757)+MIN(MAX(Z757,0),'P-Parametri'!$B$8*(Z757+Y757)))</f>
        <v>19946.876372417511</v>
      </c>
      <c r="AB757" s="18">
        <f>IF($A757&gt;'1-Input'!$B$26,Z757,Z757-MIN(MAX(Z757,0),'P-Parametri'!$B$8*(Z757+Y757)))</f>
        <v>123573.7183799927</v>
      </c>
      <c r="AC757" s="18">
        <f>IF($A757&gt;'1-Input'!$B$26,AC756,AC756-X757*(1-W757))</f>
        <v>33073.450181105312</v>
      </c>
      <c r="AD757" s="11">
        <f>IF($A757&gt;'1-Input'!$B$26,0,IF(AI756&lt;=0,0,MAX(0,(AI756-AJ756)/AI756)))</f>
        <v>0.72230192855449404</v>
      </c>
      <c r="AE757" s="18">
        <f>IF($A757&gt;'1-Input'!$B$26,0,(MAX(0,AD726-IF($A757&gt;='1-Input'!$C$12,'1-Input'!$B$12,0))-MIN(MAX(AH756,0),MAX(0,AD726-IF($A757&gt;='1-Input'!$C$12,'1-Input'!$B$12,0))))*(1/(1-'P-Parametri'!$B$6*AD757))+MIN(MAX(0,AI756-(MAX(0,AD726-IF($A757&gt;='1-Input'!$C$12,'1-Input'!$B$12,0))-MIN(MAX(AH756,0),MAX(0,AD726-IF($A757&gt;='1-Input'!$C$12,'1-Input'!$B$12,0))))*(1/(1-'P-Parametri'!$B$6*AD757))),MAX(0,1*AD726-(AH756-MIN(MAX(AH756,0),MAX(0,AD726-IF($A757&gt;='1-Input'!$C$12,'1-Input'!$B$12,0)))))*(1/(1-'P-Parametri'!$B$6*AD757))))</f>
        <v>11056.962238589713</v>
      </c>
      <c r="AF757" s="18">
        <f>IF($A757&gt;'1-Input'!$B$26,AH756,(AH756-MAX(0,AD726-IF($A757&gt;='1-Input'!$C$12,'1-Input'!$B$12,0))+AE757*(1-'P-Parametri'!$B$6*AD757))*(1+'1-Input'!$B$27))</f>
        <v>19938.406105220583</v>
      </c>
      <c r="AG757" s="18">
        <f>IF($A757&gt;'1-Input'!$B$26,AI756,(AI756-AE757)*(1+$D$4))</f>
        <v>124405.06875144437</v>
      </c>
      <c r="AH757" s="18">
        <f>IF($A757&gt;'1-Input'!$B$26,AF757,AF757-'P-Parametri'!$B$8*(AG757+AF757)+MIN(MAX(AG757,0),'P-Parametri'!$B$8*(AG757+AF757)))</f>
        <v>19938.406105220583</v>
      </c>
      <c r="AI757" s="18">
        <f>IF($A757&gt;'1-Input'!$B$26,AG757,AG757-MIN(MAX(AG757,0),'P-Parametri'!$B$8*(AG757+AF757)))</f>
        <v>124116.38180173104</v>
      </c>
      <c r="AJ757" s="18">
        <f>IF($A757&gt;'1-Input'!$B$26,AJ756,AJ756-AE757*(1-AD757))</f>
        <v>33218.315067617004</v>
      </c>
      <c r="AK757" s="11">
        <f>IF($A757&gt;'1-Input'!$B$26,0,IF(AP756&lt;=0,0,MAX(0,(AP756-AQ756)/AP756)))</f>
        <v>0.72230192214666722</v>
      </c>
      <c r="AL757" s="18">
        <f>IF($A757&gt;'1-Input'!$B$26,0,(MAX(0,AK726-IF($A757&gt;='1-Input'!$C$12,'1-Input'!$B$12,0))-MIN(MAX(AO756,0),MAX(0,AK726-IF($A757&gt;='1-Input'!$C$12,'1-Input'!$B$12,0))))*(1/(1-'P-Parametri'!$B$6*AK757))+MIN(MAX(0,AP756-(MAX(0,AK726-IF($A757&gt;='1-Input'!$C$12,'1-Input'!$B$12,0))-MIN(MAX(AO756,0),MAX(0,AK726-IF($A757&gt;='1-Input'!$C$12,'1-Input'!$B$12,0))))*(1/(1-'P-Parametri'!$B$6*AK757))),MAX(0,1*AK726-(AO756-MIN(MAX(AO756,0),MAX(0,AK726-IF($A757&gt;='1-Input'!$C$12,'1-Input'!$B$12,0)))))*(1/(1-'P-Parametri'!$B$6*AK757))))</f>
        <v>11056.987207670396</v>
      </c>
      <c r="AM757" s="18">
        <f>IF($A757&gt;'1-Input'!$B$26,AO756,(AO756-MAX(0,AK726-IF($A757&gt;='1-Input'!$C$12,'1-Input'!$B$12,0))+AL757*(1-'P-Parametri'!$B$6*AK757))*(1+'1-Input'!$B$27))</f>
        <v>19938.426257942814</v>
      </c>
      <c r="AN757" s="18">
        <f>IF($A757&gt;'1-Input'!$B$26,AP756,(AP756-AL757)*(1+$D$4))</f>
        <v>124403.77508216971</v>
      </c>
      <c r="AO757" s="18">
        <f>IF($A757&gt;'1-Input'!$B$26,AM757,AM757-'P-Parametri'!$B$8*(AN757+AM757)+MIN(MAX(AN757,0),'P-Parametri'!$B$8*(AN757+AM757)))</f>
        <v>19938.426257942814</v>
      </c>
      <c r="AP757" s="18">
        <f>IF($A757&gt;'1-Input'!$B$26,AN757,AN757-MIN(MAX(AN757,0),'P-Parametri'!$B$8*(AN757+AM757)))</f>
        <v>124115.09067948948</v>
      </c>
      <c r="AQ757" s="18">
        <f>IF($A757&gt;'1-Input'!$B$26,AQ756,AQ756-AL757*(1-AK757))</f>
        <v>33217.970401939296</v>
      </c>
    </row>
    <row r="758" spans="1:43">
      <c r="A758" s="10">
        <f>30</f>
        <v>30</v>
      </c>
      <c r="B758" s="11">
        <f>IF($A758&gt;'1-Input'!$B$26,0,IF(G757&lt;=0,0,MAX(0,(G757-H757)/G757)))</f>
        <v>0.73298142610310113</v>
      </c>
      <c r="C758" s="18">
        <f>IF($A758&gt;'1-Input'!$B$26,0,(MAX(0,B726-IF($A758&gt;='1-Input'!$C$12,'1-Input'!$B$12,0))-MIN(MAX(F757,0),MAX(0,B726-IF($A758&gt;='1-Input'!$C$12,'1-Input'!$B$12,0))))*(1/(1-'P-Parametri'!$B$6*B758))+MIN(MAX(0,G757-(MAX(0,B726-IF($A758&gt;='1-Input'!$C$12,'1-Input'!$B$12,0))-MIN(MAX(F757,0),MAX(0,B726-IF($A758&gt;='1-Input'!$C$12,'1-Input'!$B$12,0))))*(1/(1-'P-Parametri'!$B$6*B758))),MAX(0,1*B726-(F757-MIN(MAX(F757,0),MAX(0,B726-IF($A758&gt;='1-Input'!$C$12,'1-Input'!$B$12,0)))))*(1/(1-'P-Parametri'!$B$6*B758))))</f>
        <v>6966.8076765571714</v>
      </c>
      <c r="D758" s="18">
        <f>IF($A758&gt;'1-Input'!$B$26,F757,(F757-MAX(0,B726-IF($A758&gt;='1-Input'!$C$12,'1-Input'!$B$12,0))+C758*(1-'P-Parametri'!$B$6*B758))*(1+'1-Input'!$B$27))</f>
        <v>16621.00351549315</v>
      </c>
      <c r="E758" s="18">
        <f>IF($A758&gt;'1-Input'!$B$26,G757,(G757-C758)*(1+$D$4))</f>
        <v>342899.83582378592</v>
      </c>
      <c r="F758" s="18">
        <f>IF($A758&gt;'1-Input'!$B$26,D758,D758-'P-Parametri'!$B$8*(E758+D758)+MIN(MAX(E758,0),'P-Parametri'!$B$8*(E758+D758)))</f>
        <v>16621.00351549315</v>
      </c>
      <c r="G758" s="18">
        <f>IF($A758&gt;'1-Input'!$B$26,E758,E758-MIN(MAX(E758,0),'P-Parametri'!$B$8*(E758+D758)))</f>
        <v>342180.79414510739</v>
      </c>
      <c r="H758" s="18">
        <f>IF($A758&gt;'1-Input'!$B$26,H757,H757-C758*(1-B758))</f>
        <v>88039.062645334678</v>
      </c>
      <c r="I758" s="11">
        <f>IF($A758&gt;'1-Input'!$B$26,0,IF(N757&lt;=0,0,MAX(0,(N757-O757)/N757)))</f>
        <v>0.70156568499219651</v>
      </c>
      <c r="J758" s="18">
        <f>IF($A758&gt;'1-Input'!$B$26,0,(MAX(0,I726-IF($A758&gt;='1-Input'!$C$12,'1-Input'!$B$12,0))-MIN(MAX(M757,0),MAX(0,I726-IF($A758&gt;='1-Input'!$C$12,'1-Input'!$B$12,0))))*(1/(1-'P-Parametri'!$B$6*I758))+MIN(MAX(0,N757-(MAX(0,I726-IF($A758&gt;='1-Input'!$C$12,'1-Input'!$B$12,0))-MIN(MAX(M757,0),MAX(0,I726-IF($A758&gt;='1-Input'!$C$12,'1-Input'!$B$12,0))))*(1/(1-'P-Parametri'!$B$6*I758))),MAX(0,1*I726-(M757-MIN(MAX(M757,0),MAX(0,I726-IF($A758&gt;='1-Input'!$C$12,'1-Input'!$B$12,0)))))*(1/(1-'P-Parametri'!$B$6*I758))))</f>
        <v>409.0254504188743</v>
      </c>
      <c r="K758" s="18">
        <f>IF($A758&gt;'1-Input'!$B$26,M757,(M757-MAX(0,I726-IF($A758&gt;='1-Input'!$C$12,'1-Input'!$B$12,0))+J758*(1-'P-Parametri'!$B$6*I758))*(1+'1-Input'!$B$27))</f>
        <v>11316.514145129038</v>
      </c>
      <c r="L758" s="18">
        <f>IF($A758&gt;'1-Input'!$B$26,N757,(N757-J758)*(1+$D$4))</f>
        <v>0</v>
      </c>
      <c r="M758" s="18">
        <f>IF($A758&gt;'1-Input'!$B$26,K758,K758-'P-Parametri'!$B$8*(L758+K758)+MIN(MAX(L758,0),'P-Parametri'!$B$8*(L758+K758)))</f>
        <v>11293.88111683878</v>
      </c>
      <c r="N758" s="18">
        <f>IF($A758&gt;'1-Input'!$B$26,L758,L758-MIN(MAX(L758,0),'P-Parametri'!$B$8*(L758+K758)))</f>
        <v>0</v>
      </c>
      <c r="O758" s="18">
        <f>IF($A758&gt;'1-Input'!$B$26,O757,O757-J758*(1-I758))</f>
        <v>-1.4210854715202004E-14</v>
      </c>
      <c r="P758" s="11">
        <f>IF($A758&gt;'1-Input'!$B$26,0,IF(U757&lt;=0,0,MAX(0,(U757-V757)/U757)))</f>
        <v>0.7322219750470037</v>
      </c>
      <c r="Q758" s="18">
        <f>IF($A758&gt;'1-Input'!$B$26,0,(MAX(0,P726-IF($A758&gt;='1-Input'!$C$12,'1-Input'!$B$12,0))-MIN(MAX(T757,0),MAX(0,P726-IF($A758&gt;='1-Input'!$C$12,'1-Input'!$B$12,0))))*(1/(1-'P-Parametri'!$B$6*P758))+MIN(MAX(0,U757-(MAX(0,P726-IF($A758&gt;='1-Input'!$C$12,'1-Input'!$B$12,0))-MIN(MAX(T757,0),MAX(0,P726-IF($A758&gt;='1-Input'!$C$12,'1-Input'!$B$12,0))))*(1/(1-'P-Parametri'!$B$6*P758))),MAX(0,1*P726-(T757-MIN(MAX(T757,0),MAX(0,P726-IF($A758&gt;='1-Input'!$C$12,'1-Input'!$B$12,0)))))*(1/(1-'P-Parametri'!$B$6*P758))))</f>
        <v>11526.000326815065</v>
      </c>
      <c r="R758" s="18">
        <f>IF($A758&gt;'1-Input'!$B$26,T757,(T757-MAX(0,P726-IF($A758&gt;='1-Input'!$C$12,'1-Input'!$B$12,0))+Q758*(1-'P-Parametri'!$B$6*P758))*(1+'1-Input'!$B$27))</f>
        <v>20287.111791944735</v>
      </c>
      <c r="S758" s="18">
        <f>IF($A758&gt;'1-Input'!$B$26,U757,(U757-Q758)*(1+$D$4))</f>
        <v>93860.373023641252</v>
      </c>
      <c r="T758" s="18">
        <f>IF($A758&gt;'1-Input'!$B$26,R758,R758-'P-Parametri'!$B$8*(S758+R758)+MIN(MAX(S758,0),'P-Parametri'!$B$8*(S758+R758)))</f>
        <v>20287.111791944735</v>
      </c>
      <c r="U758" s="18">
        <f>IF($A758&gt;'1-Input'!$B$26,S758,S758-MIN(MAX(S758,0),'P-Parametri'!$B$8*(S758+R758)))</f>
        <v>93632.078054010082</v>
      </c>
      <c r="V758" s="18">
        <f>IF($A758&gt;'1-Input'!$B$26,V757,V757-Q758*(1-P758))</f>
        <v>24167.062797713606</v>
      </c>
      <c r="W758" s="11">
        <f>IF($A758&gt;'1-Input'!$B$26,0,IF(AB757&lt;=0,0,MAX(0,(AB757-AC757)/AB757)))</f>
        <v>0.73235854181061766</v>
      </c>
      <c r="X758" s="18">
        <f>IF($A758&gt;'1-Input'!$B$26,0,(MAX(0,W726-IF($A758&gt;='1-Input'!$C$12,'1-Input'!$B$12,0))-MIN(MAX(AA757,0),MAX(0,W726-IF($A758&gt;='1-Input'!$C$12,'1-Input'!$B$12,0))))*(1/(1-'P-Parametri'!$B$6*W758))+MIN(MAX(0,AB757-(MAX(0,W726-IF($A758&gt;='1-Input'!$C$12,'1-Input'!$B$12,0))-MIN(MAX(AA757,0),MAX(0,W726-IF($A758&gt;='1-Input'!$C$12,'1-Input'!$B$12,0))))*(1/(1-'P-Parametri'!$B$6*W758))),MAX(0,1*W726-(AA757-MIN(MAX(AA757,0),MAX(0,W726-IF($A758&gt;='1-Input'!$C$12,'1-Input'!$B$12,0)))))*(1/(1-'P-Parametri'!$B$6*W758))))</f>
        <v>11103.210928185468</v>
      </c>
      <c r="Y758" s="18">
        <f>IF($A758&gt;'1-Input'!$B$26,AA757,(AA757-MAX(0,W726-IF($A758&gt;='1-Input'!$C$12,'1-Input'!$B$12,0))+X758*(1-'P-Parametri'!$B$6*W758))*(1+'1-Input'!$B$27))</f>
        <v>19946.876372417511</v>
      </c>
      <c r="Z758" s="18">
        <f>IF($A758&gt;'1-Input'!$B$26,AB757,(AB757-X758)*(1+$D$4))</f>
        <v>116969.32774987954</v>
      </c>
      <c r="AA758" s="18">
        <f>IF($A758&gt;'1-Input'!$B$26,Y758,Y758-'P-Parametri'!$B$8*(Z758+Y758)+MIN(MAX(Z758,0),'P-Parametri'!$B$8*(Z758+Y758)))</f>
        <v>19946.876372417511</v>
      </c>
      <c r="AB758" s="18">
        <f>IF($A758&gt;'1-Input'!$B$26,Z758,Z758-MIN(MAX(Z758,0),'P-Parametri'!$B$8*(Z758+Y758)))</f>
        <v>116695.49534163495</v>
      </c>
      <c r="AC758" s="18">
        <f>IF($A758&gt;'1-Input'!$B$26,AC757,AC757-X758*(1-W758))</f>
        <v>30101.77061770147</v>
      </c>
      <c r="AD758" s="11">
        <f>IF($A758&gt;'1-Input'!$B$26,0,IF(AI757&lt;=0,0,MAX(0,(AI757-AJ757)/AI757)))</f>
        <v>0.73236155787491941</v>
      </c>
      <c r="AE758" s="18">
        <f>IF($A758&gt;'1-Input'!$B$26,0,(MAX(0,AD726-IF($A758&gt;='1-Input'!$C$12,'1-Input'!$B$12,0))-MIN(MAX(AH757,0),MAX(0,AD726-IF($A758&gt;='1-Input'!$C$12,'1-Input'!$B$12,0))))*(1/(1-'P-Parametri'!$B$6*AD758))+MIN(MAX(0,AI757-(MAX(0,AD726-IF($A758&gt;='1-Input'!$C$12,'1-Input'!$B$12,0))-MIN(MAX(AH757,0),MAX(0,AD726-IF($A758&gt;='1-Input'!$C$12,'1-Input'!$B$12,0))))*(1/(1-'P-Parametri'!$B$6*AD758))),MAX(0,1*AD726-(AH757-MIN(MAX(AH757,0),MAX(0,AD726-IF($A758&gt;='1-Input'!$C$12,'1-Input'!$B$12,0)))))*(1/(1-'P-Parametri'!$B$6*AD758))))</f>
        <v>11092.68361343827</v>
      </c>
      <c r="AF758" s="18">
        <f>IF($A758&gt;'1-Input'!$B$26,AH757,(AH757-MAX(0,AD726-IF($A758&gt;='1-Input'!$C$12,'1-Input'!$B$12,0))+AE758*(1-'P-Parametri'!$B$6*AD758))*(1+'1-Input'!$B$27))</f>
        <v>19938.406105220587</v>
      </c>
      <c r="AG758" s="18">
        <f>IF($A758&gt;'1-Input'!$B$26,AI757,(AI757-AE758)*(1+$D$4))</f>
        <v>117544.64611582448</v>
      </c>
      <c r="AH758" s="18">
        <f>IF($A758&gt;'1-Input'!$B$26,AF758,AF758-'P-Parametri'!$B$8*(AG758+AF758)+MIN(MAX(AG758,0),'P-Parametri'!$B$8*(AG758+AF758)))</f>
        <v>19938.406105220587</v>
      </c>
      <c r="AI758" s="18">
        <f>IF($A758&gt;'1-Input'!$B$26,AG758,AG758-MIN(MAX(AG758,0),'P-Parametri'!$B$8*(AG758+AF758)))</f>
        <v>117269.68001138238</v>
      </c>
      <c r="AJ758" s="18">
        <f>IF($A758&gt;'1-Input'!$B$26,AJ757,AJ757-AE758*(1-AD758))</f>
        <v>30249.486506329977</v>
      </c>
      <c r="AK758" s="11">
        <f>IF($A758&gt;'1-Input'!$B$26,0,IF(AP757&lt;=0,0,MAX(0,(AP757-AQ757)/AP757)))</f>
        <v>0.73236155071811349</v>
      </c>
      <c r="AL758" s="18">
        <f>IF($A758&gt;'1-Input'!$B$26,0,(MAX(0,AK726-IF($A758&gt;='1-Input'!$C$12,'1-Input'!$B$12,0))-MIN(MAX(AO757,0),MAX(0,AK726-IF($A758&gt;='1-Input'!$C$12,'1-Input'!$B$12,0))))*(1/(1-'P-Parametri'!$B$6*AK758))+MIN(MAX(0,AP757-(MAX(0,AK726-IF($A758&gt;='1-Input'!$C$12,'1-Input'!$B$12,0))-MIN(MAX(AO757,0),MAX(0,AK726-IF($A758&gt;='1-Input'!$C$12,'1-Input'!$B$12,0))))*(1/(1-'P-Parametri'!$B$6*AK758))),MAX(0,1*AK726-(AO757-MIN(MAX(AO757,0),MAX(0,AK726-IF($A758&gt;='1-Input'!$C$12,'1-Input'!$B$12,0)))))*(1/(1-'P-Parametri'!$B$6*AK758))))</f>
        <v>11092.708660444057</v>
      </c>
      <c r="AM758" s="18">
        <f>IF($A758&gt;'1-Input'!$B$26,AO757,(AO757-MAX(0,AK726-IF($A758&gt;='1-Input'!$C$12,'1-Input'!$B$12,0))+AL758*(1-'P-Parametri'!$B$6*AK758))*(1+'1-Input'!$B$27))</f>
        <v>19938.426257942814</v>
      </c>
      <c r="AN758" s="18">
        <f>IF($A758&gt;'1-Input'!$B$26,AP757,(AP757-AL758)*(1+$D$4))</f>
        <v>117543.27729980725</v>
      </c>
      <c r="AO758" s="18">
        <f>IF($A758&gt;'1-Input'!$B$26,AM758,AM758-'P-Parametri'!$B$8*(AN758+AM758)+MIN(MAX(AN758,0),'P-Parametri'!$B$8*(AN758+AM758)))</f>
        <v>19938.426257942814</v>
      </c>
      <c r="AP758" s="18">
        <f>IF($A758&gt;'1-Input'!$B$26,AN758,AN758-MIN(MAX(AN758,0),'P-Parametri'!$B$8*(AN758+AM758)))</f>
        <v>117268.31389269175</v>
      </c>
      <c r="AQ758" s="18">
        <f>IF($A758&gt;'1-Input'!$B$26,AQ757,AQ757-AL758*(1-AK758))</f>
        <v>30249.135057722295</v>
      </c>
    </row>
    <row r="759" spans="1:43">
      <c r="A759" s="10">
        <f>31</f>
        <v>31</v>
      </c>
      <c r="B759" s="11">
        <f>IF($A759&gt;'1-Input'!$B$26,0,IF(G758&lt;=0,0,MAX(0,(G758-H758)/G758)))</f>
        <v>0.74271185247176585</v>
      </c>
      <c r="C759" s="18">
        <f>IF($A759&gt;'1-Input'!$B$26,0,(MAX(0,B726-IF($A759&gt;='1-Input'!$C$12,'1-Input'!$B$12,0))-MIN(MAX(F758,0),MAX(0,B726-IF($A759&gt;='1-Input'!$C$12,'1-Input'!$B$12,0))))*(1/(1-'P-Parametri'!$B$6*B759))+MIN(MAX(0,G758-(MAX(0,B726-IF($A759&gt;='1-Input'!$C$12,'1-Input'!$B$12,0))-MIN(MAX(F758,0),MAX(0,B726-IF($A759&gt;='1-Input'!$C$12,'1-Input'!$B$12,0))))*(1/(1-'P-Parametri'!$B$6*B759))),MAX(0,1*B726-(F758-MIN(MAX(F758,0),MAX(0,B726-IF($A759&gt;='1-Input'!$C$12,'1-Input'!$B$12,0)))))*(1/(1-'P-Parametri'!$B$6*B759))))</f>
        <v>6988.6511681575921</v>
      </c>
      <c r="D759" s="18">
        <f>IF($A759&gt;'1-Input'!$B$26,F758,(F758-MAX(0,B726-IF($A759&gt;='1-Input'!$C$12,'1-Input'!$B$12,0))+C759*(1-'P-Parametri'!$B$6*B759))*(1+'1-Input'!$B$27))</f>
        <v>16621.00351549315</v>
      </c>
      <c r="E759" s="18">
        <f>IF($A759&gt;'1-Input'!$B$26,G758,(G758-C759)*(1+$D$4))</f>
        <v>348599.82869602781</v>
      </c>
      <c r="F759" s="18">
        <f>IF($A759&gt;'1-Input'!$B$26,D759,D759-'P-Parametri'!$B$8*(E759+D759)+MIN(MAX(E759,0),'P-Parametri'!$B$8*(E759+D759)))</f>
        <v>16621.00351549315</v>
      </c>
      <c r="G759" s="18">
        <f>IF($A759&gt;'1-Input'!$B$26,E759,E759-MIN(MAX(E759,0),'P-Parametri'!$B$8*(E759+D759)))</f>
        <v>347869.38703160477</v>
      </c>
      <c r="H759" s="18">
        <f>IF($A759&gt;'1-Input'!$B$26,H758,H758-C759*(1-B759))</f>
        <v>86240.965532558388</v>
      </c>
      <c r="I759" s="11">
        <f>IF($A759&gt;'1-Input'!$B$26,0,IF(N758&lt;=0,0,MAX(0,(N758-O758)/N758)))</f>
        <v>0</v>
      </c>
      <c r="J759" s="18">
        <f>IF($A759&gt;'1-Input'!$B$26,0,(MAX(0,I726-IF($A759&gt;='1-Input'!$C$12,'1-Input'!$B$12,0))-MIN(MAX(M758,0),MAX(0,I726-IF($A759&gt;='1-Input'!$C$12,'1-Input'!$B$12,0))))*(1/(1-'P-Parametri'!$B$6*I759))+MIN(MAX(0,N758-(MAX(0,I726-IF($A759&gt;='1-Input'!$C$12,'1-Input'!$B$12,0))-MIN(MAX(M758,0),MAX(0,I726-IF($A759&gt;='1-Input'!$C$12,'1-Input'!$B$12,0))))*(1/(1-'P-Parametri'!$B$6*I759))),MAX(0,1*I726-(M758-MIN(MAX(M758,0),MAX(0,I726-IF($A759&gt;='1-Input'!$C$12,'1-Input'!$B$12,0)))))*(1/(1-'P-Parametri'!$B$6*I759))))</f>
        <v>0</v>
      </c>
      <c r="K759" s="18">
        <f>IF($A759&gt;'1-Input'!$B$26,M758,(M758-MAX(0,I726-IF($A759&gt;='1-Input'!$C$12,'1-Input'!$B$12,0))+J759*(1-'P-Parametri'!$B$6*I759))*(1+'1-Input'!$B$27))</f>
        <v>445.51447706401279</v>
      </c>
      <c r="L759" s="18">
        <f>IF($A759&gt;'1-Input'!$B$26,N758,(N758-J759)*(1+$D$4))</f>
        <v>0</v>
      </c>
      <c r="M759" s="18">
        <f>IF($A759&gt;'1-Input'!$B$26,K759,K759-'P-Parametri'!$B$8*(L759+K759)+MIN(MAX(L759,0),'P-Parametri'!$B$8*(L759+K759)))</f>
        <v>444.62344810988475</v>
      </c>
      <c r="N759" s="18">
        <f>IF($A759&gt;'1-Input'!$B$26,L759,L759-MIN(MAX(L759,0),'P-Parametri'!$B$8*(L759+K759)))</f>
        <v>0</v>
      </c>
      <c r="O759" s="18">
        <f>IF($A759&gt;'1-Input'!$B$26,O758,O758-J759*(1-I759))</f>
        <v>-1.4210854715202004E-14</v>
      </c>
      <c r="P759" s="11">
        <f>IF($A759&gt;'1-Input'!$B$26,0,IF(U758&lt;=0,0,MAX(0,(U758-V758)/U758)))</f>
        <v>0.74189334147028929</v>
      </c>
      <c r="Q759" s="18">
        <f>IF($A759&gt;'1-Input'!$B$26,0,(MAX(0,P726-IF($A759&gt;='1-Input'!$C$12,'1-Input'!$B$12,0))-MIN(MAX(T758,0),MAX(0,P726-IF($A759&gt;='1-Input'!$C$12,'1-Input'!$B$12,0))))*(1/(1-'P-Parametri'!$B$6*P759))+MIN(MAX(0,U758-(MAX(0,P726-IF($A759&gt;='1-Input'!$C$12,'1-Input'!$B$12,0))-MIN(MAX(T758,0),MAX(0,P726-IF($A759&gt;='1-Input'!$C$12,'1-Input'!$B$12,0))))*(1/(1-'P-Parametri'!$B$6*P759))),MAX(0,1*P726-(T758-MIN(MAX(T758,0),MAX(0,P726-IF($A759&gt;='1-Input'!$C$12,'1-Input'!$B$12,0)))))*(1/(1-'P-Parametri'!$B$6*P759))))</f>
        <v>11561.909739825782</v>
      </c>
      <c r="R759" s="18">
        <f>IF($A759&gt;'1-Input'!$B$26,T758,(T758-MAX(0,P726-IF($A759&gt;='1-Input'!$C$12,'1-Input'!$B$12,0))+Q759*(1-'P-Parametri'!$B$6*P759))*(1+'1-Input'!$B$27))</f>
        <v>20287.111791944739</v>
      </c>
      <c r="S759" s="18">
        <f>IF($A759&gt;'1-Input'!$B$26,U758,(U758-Q759)*(1+$D$4))</f>
        <v>85352.975046751671</v>
      </c>
      <c r="T759" s="18">
        <f>IF($A759&gt;'1-Input'!$B$26,R759,R759-'P-Parametri'!$B$8*(S759+R759)+MIN(MAX(S759,0),'P-Parametri'!$B$8*(S759+R759)))</f>
        <v>20287.111791944739</v>
      </c>
      <c r="U759" s="18">
        <f>IF($A759&gt;'1-Input'!$B$26,S759,S759-MIN(MAX(S759,0),'P-Parametri'!$B$8*(S759+R759)))</f>
        <v>85141.694873074273</v>
      </c>
      <c r="V759" s="18">
        <f>IF($A759&gt;'1-Input'!$B$26,V758,V758-Q759*(1-P759))</f>
        <v>21182.856908545058</v>
      </c>
      <c r="W759" s="11">
        <f>IF($A759&gt;'1-Input'!$B$26,0,IF(AB758&lt;=0,0,MAX(0,(AB758-AC758)/AB758)))</f>
        <v>0.74204856383208062</v>
      </c>
      <c r="X759" s="18">
        <f>IF($A759&gt;'1-Input'!$B$26,0,(MAX(0,W726-IF($A759&gt;='1-Input'!$C$12,'1-Input'!$B$12,0))-MIN(MAX(AA758,0),MAX(0,W726-IF($A759&gt;='1-Input'!$C$12,'1-Input'!$B$12,0))))*(1/(1-'P-Parametri'!$B$6*W759))+MIN(MAX(0,AB758-(MAX(0,W726-IF($A759&gt;='1-Input'!$C$12,'1-Input'!$B$12,0))-MIN(MAX(AA758,0),MAX(0,W726-IF($A759&gt;='1-Input'!$C$12,'1-Input'!$B$12,0))))*(1/(1-'P-Parametri'!$B$6*W759))),MAX(0,1*W726-(AA758-MIN(MAX(AA758,0),MAX(0,W726-IF($A759&gt;='1-Input'!$C$12,'1-Input'!$B$12,0)))))*(1/(1-'P-Parametri'!$B$6*W759))))</f>
        <v>11137.871594824515</v>
      </c>
      <c r="Y759" s="18">
        <f>IF($A759&gt;'1-Input'!$B$26,AA758,(AA758-MAX(0,W726-IF($A759&gt;='1-Input'!$C$12,'1-Input'!$B$12,0))+X759*(1-'P-Parametri'!$B$6*W759))*(1+'1-Input'!$B$27))</f>
        <v>19946.876372417511</v>
      </c>
      <c r="Z759" s="18">
        <f>IF($A759&gt;'1-Input'!$B$26,AB758,(AB758-X759)*(1+$D$4))</f>
        <v>109779.92869668284</v>
      </c>
      <c r="AA759" s="18">
        <f>IF($A759&gt;'1-Input'!$B$26,Y759,Y759-'P-Parametri'!$B$8*(Z759+Y759)+MIN(MAX(Z759,0),'P-Parametri'!$B$8*(Z759+Y759)))</f>
        <v>19946.876372417511</v>
      </c>
      <c r="AB759" s="18">
        <f>IF($A759&gt;'1-Input'!$B$26,Z759,Z759-MIN(MAX(Z759,0),'P-Parametri'!$B$8*(Z759+Y759)))</f>
        <v>109520.47508654464</v>
      </c>
      <c r="AC759" s="18">
        <f>IF($A759&gt;'1-Input'!$B$26,AC758,AC758-X759*(1-W759))</f>
        <v>27228.74064396261</v>
      </c>
      <c r="AD759" s="11">
        <f>IF($A759&gt;'1-Input'!$B$26,0,IF(AI758&lt;=0,0,MAX(0,(AI758-AJ758)/AI758)))</f>
        <v>0.74205193956874516</v>
      </c>
      <c r="AE759" s="18">
        <f>IF($A759&gt;'1-Input'!$B$26,0,(MAX(0,AD726-IF($A759&gt;='1-Input'!$C$12,'1-Input'!$B$12,0))-MIN(MAX(AH758,0),MAX(0,AD726-IF($A759&gt;='1-Input'!$C$12,'1-Input'!$B$12,0))))*(1/(1-'P-Parametri'!$B$6*AD759))+MIN(MAX(0,AI758-(MAX(0,AD726-IF($A759&gt;='1-Input'!$C$12,'1-Input'!$B$12,0))-MIN(MAX(AH758,0),MAX(0,AD726-IF($A759&gt;='1-Input'!$C$12,'1-Input'!$B$12,0))))*(1/(1-'P-Parametri'!$B$6*AD759))),MAX(0,1*AD726-(AH758-MIN(MAX(AH758,0),MAX(0,AD726-IF($A759&gt;='1-Input'!$C$12,'1-Input'!$B$12,0)))))*(1/(1-'P-Parametri'!$B$6*AD759))))</f>
        <v>11127.312740141553</v>
      </c>
      <c r="AF759" s="18">
        <f>IF($A759&gt;'1-Input'!$B$26,AH758,(AH758-MAX(0,AD726-IF($A759&gt;='1-Input'!$C$12,'1-Input'!$B$12,0))+AE759*(1-'P-Parametri'!$B$6*AD759))*(1+'1-Input'!$B$27))</f>
        <v>19938.40610522058</v>
      </c>
      <c r="AG759" s="18">
        <f>IF($A759&gt;'1-Input'!$B$26,AI758,(AI758-AE759)*(1+$D$4))</f>
        <v>110388.06196209046</v>
      </c>
      <c r="AH759" s="18">
        <f>IF($A759&gt;'1-Input'!$B$26,AF759,AF759-'P-Parametri'!$B$8*(AG759+AF759)+MIN(MAX(AG759,0),'P-Parametri'!$B$8*(AG759+AF759)))</f>
        <v>19938.40610522058</v>
      </c>
      <c r="AI759" s="18">
        <f>IF($A759&gt;'1-Input'!$B$26,AG759,AG759-MIN(MAX(AG759,0),'P-Parametri'!$B$8*(AG759+AF759)))</f>
        <v>110127.40902595584</v>
      </c>
      <c r="AJ759" s="18">
        <f>IF($A759&gt;'1-Input'!$B$26,AJ758,AJ758-AE759*(1-AD759))</f>
        <v>27379.217767198472</v>
      </c>
      <c r="AK759" s="11">
        <f>IF($A759&gt;'1-Input'!$B$26,0,IF(AP758&lt;=0,0,MAX(0,(AP758-AQ758)/AP758)))</f>
        <v>0.74205193156096494</v>
      </c>
      <c r="AL759" s="18">
        <f>IF($A759&gt;'1-Input'!$B$26,0,(MAX(0,AK726-IF($A759&gt;='1-Input'!$C$12,'1-Input'!$B$12,0))-MIN(MAX(AO758,0),MAX(0,AK726-IF($A759&gt;='1-Input'!$C$12,'1-Input'!$B$12,0))))*(1/(1-'P-Parametri'!$B$6*AK759))+MIN(MAX(0,AP758-(MAX(0,AK726-IF($A759&gt;='1-Input'!$C$12,'1-Input'!$B$12,0))-MIN(MAX(AO758,0),MAX(0,AK726-IF($A759&gt;='1-Input'!$C$12,'1-Input'!$B$12,0))))*(1/(1-'P-Parametri'!$B$6*AK759))),MAX(0,1*AK726-(AO758-MIN(MAX(AO758,0),MAX(0,AK726-IF($A759&gt;='1-Input'!$C$12,'1-Input'!$B$12,0)))))*(1/(1-'P-Parametri'!$B$6*AK759))))</f>
        <v>11127.337862208717</v>
      </c>
      <c r="AM759" s="18">
        <f>IF($A759&gt;'1-Input'!$B$26,AO758,(AO758-MAX(0,AK726-IF($A759&gt;='1-Input'!$C$12,'1-Input'!$B$12,0))+AL759*(1-'P-Parametri'!$B$6*AK759))*(1+'1-Input'!$B$27))</f>
        <v>19938.426257942814</v>
      </c>
      <c r="AN759" s="18">
        <f>IF($A759&gt;'1-Input'!$B$26,AP758,(AP758-AL759)*(1+$D$4))</f>
        <v>110386.61507170236</v>
      </c>
      <c r="AO759" s="18">
        <f>IF($A759&gt;'1-Input'!$B$26,AM759,AM759-'P-Parametri'!$B$8*(AN759+AM759)+MIN(MAX(AN759,0),'P-Parametri'!$B$8*(AN759+AM759)))</f>
        <v>19938.426257942814</v>
      </c>
      <c r="AP759" s="18">
        <f>IF($A759&gt;'1-Input'!$B$26,AN759,AN759-MIN(MAX(AN759,0),'P-Parametri'!$B$8*(AN759+AM759)))</f>
        <v>110125.96498904306</v>
      </c>
      <c r="AQ759" s="18">
        <f>IF($A759&gt;'1-Input'!$B$26,AQ758,AQ758-AL759*(1-AK759))</f>
        <v>27378.859749297015</v>
      </c>
    </row>
    <row r="760" spans="1:43">
      <c r="A760" s="10">
        <f>32</f>
        <v>32</v>
      </c>
      <c r="B760" s="11">
        <f>IF($A760&gt;'1-Input'!$B$26,0,IF(G759&lt;=0,0,MAX(0,(G759-H759)/G759)))</f>
        <v>0.75208808608179367</v>
      </c>
      <c r="C760" s="18">
        <f>IF($A760&gt;'1-Input'!$B$26,0,(MAX(0,B726-IF($A760&gt;='1-Input'!$C$12,'1-Input'!$B$12,0))-MIN(MAX(F759,0),MAX(0,B726-IF($A760&gt;='1-Input'!$C$12,'1-Input'!$B$12,0))))*(1/(1-'P-Parametri'!$B$6*B760))+MIN(MAX(0,G759-(MAX(0,B726-IF($A760&gt;='1-Input'!$C$12,'1-Input'!$B$12,0))-MIN(MAX(F759,0),MAX(0,B726-IF($A760&gt;='1-Input'!$C$12,'1-Input'!$B$12,0))))*(1/(1-'P-Parametri'!$B$6*B760))),MAX(0,1*B726-(F759-MIN(MAX(F759,0),MAX(0,B726-IF($A760&gt;='1-Input'!$C$12,'1-Input'!$B$12,0)))))*(1/(1-'P-Parametri'!$B$6*B760))))</f>
        <v>7009.8295240985835</v>
      </c>
      <c r="D760" s="18">
        <f>IF($A760&gt;'1-Input'!$B$26,F759,(F759-MAX(0,B726-IF($A760&gt;='1-Input'!$C$12,'1-Input'!$B$12,0))+C760*(1-'P-Parametri'!$B$6*B760))*(1+'1-Input'!$B$27))</f>
        <v>16621.00351549315</v>
      </c>
      <c r="E760" s="18">
        <f>IF($A760&gt;'1-Input'!$B$26,G759,(G759-C760)*(1+$D$4))</f>
        <v>354493.9398078064</v>
      </c>
      <c r="F760" s="18">
        <f>IF($A760&gt;'1-Input'!$B$26,D760,D760-'P-Parametri'!$B$8*(E760+D760)+MIN(MAX(E760,0),'P-Parametri'!$B$8*(E760+D760)))</f>
        <v>16621.00351549315</v>
      </c>
      <c r="G760" s="18">
        <f>IF($A760&gt;'1-Input'!$B$26,E760,E760-MIN(MAX(E760,0),'P-Parametri'!$B$8*(E760+D760)))</f>
        <v>353751.70992115978</v>
      </c>
      <c r="H760" s="18">
        <f>IF($A760&gt;'1-Input'!$B$26,H759,H759-C760*(1-B760))</f>
        <v>84503.145278998752</v>
      </c>
      <c r="I760" s="11">
        <f>IF($A760&gt;'1-Input'!$B$26,0,IF(N759&lt;=0,0,MAX(0,(N759-O759)/N759)))</f>
        <v>0</v>
      </c>
      <c r="J760" s="18">
        <f>IF($A760&gt;'1-Input'!$B$26,0,(MAX(0,I726-IF($A760&gt;='1-Input'!$C$12,'1-Input'!$B$12,0))-MIN(MAX(M759,0),MAX(0,I726-IF($A760&gt;='1-Input'!$C$12,'1-Input'!$B$12,0))))*(1/(1-'P-Parametri'!$B$6*I760))+MIN(MAX(0,N759-(MAX(0,I726-IF($A760&gt;='1-Input'!$C$12,'1-Input'!$B$12,0))-MIN(MAX(M759,0),MAX(0,I726-IF($A760&gt;='1-Input'!$C$12,'1-Input'!$B$12,0))))*(1/(1-'P-Parametri'!$B$6*I760))),MAX(0,1*I726-(M759-MIN(MAX(M759,0),MAX(0,I726-IF($A760&gt;='1-Input'!$C$12,'1-Input'!$B$12,0)))))*(1/(1-'P-Parametri'!$B$6*I760))))</f>
        <v>10402.133544818806</v>
      </c>
      <c r="K760" s="18">
        <f>IF($A760&gt;'1-Input'!$B$26,M759,(M759-MAX(0,I726-IF($A760&gt;='1-Input'!$C$12,'1-Input'!$B$12,0))+J760*(1-'P-Parametri'!$B$6*I760))*(1+'1-Input'!$B$27))</f>
        <v>0</v>
      </c>
      <c r="L760" s="18">
        <f>IF($A760&gt;'1-Input'!$B$26,N759,(N759-J760)*(1+$D$4))</f>
        <v>-10818.218886611558</v>
      </c>
      <c r="M760" s="18">
        <f>IF($A760&gt;'1-Input'!$B$26,K760,K760-'P-Parametri'!$B$8*(L760+K760)+MIN(MAX(L760,0),'P-Parametri'!$B$8*(L760+K760)))</f>
        <v>0</v>
      </c>
      <c r="N760" s="18">
        <f>IF($A760&gt;'1-Input'!$B$26,L760,L760-MIN(MAX(L760,0),'P-Parametri'!$B$8*(L760+K760)))</f>
        <v>-10796.582448838335</v>
      </c>
      <c r="O760" s="18">
        <f>IF($A760&gt;'1-Input'!$B$26,O759,O759-J760*(1-I760))</f>
        <v>-10402.133544818806</v>
      </c>
      <c r="P760" s="11">
        <f>IF($A760&gt;'1-Input'!$B$26,0,IF(U759&lt;=0,0,MAX(0,(U759-V759)/U759)))</f>
        <v>0.75120466018296217</v>
      </c>
      <c r="Q760" s="18">
        <f>IF($A760&gt;'1-Input'!$B$26,0,(MAX(0,P726-IF($A760&gt;='1-Input'!$C$12,'1-Input'!$B$12,0))-MIN(MAX(T759,0),MAX(0,P726-IF($A760&gt;='1-Input'!$C$12,'1-Input'!$B$12,0))))*(1/(1-'P-Parametri'!$B$6*P760))+MIN(MAX(0,U759-(MAX(0,P726-IF($A760&gt;='1-Input'!$C$12,'1-Input'!$B$12,0))-MIN(MAX(T759,0),MAX(0,P726-IF($A760&gt;='1-Input'!$C$12,'1-Input'!$B$12,0))))*(1/(1-'P-Parametri'!$B$6*P760))),MAX(0,1*P726-(T759-MIN(MAX(T759,0),MAX(0,P726-IF($A760&gt;='1-Input'!$C$12,'1-Input'!$B$12,0)))))*(1/(1-'P-Parametri'!$B$6*P760))))</f>
        <v>11596.694358262383</v>
      </c>
      <c r="R760" s="18">
        <f>IF($A760&gt;'1-Input'!$B$26,T759,(T759-MAX(0,P726-IF($A760&gt;='1-Input'!$C$12,'1-Input'!$B$12,0))+Q760*(1-'P-Parametri'!$B$6*P760))*(1+'1-Input'!$B$27))</f>
        <v>20287.111791944739</v>
      </c>
      <c r="S760" s="18">
        <f>IF($A760&gt;'1-Input'!$B$26,U759,(U759-Q760)*(1+$D$4))</f>
        <v>76486.800535404371</v>
      </c>
      <c r="T760" s="18">
        <f>IF($A760&gt;'1-Input'!$B$26,R760,R760-'P-Parametri'!$B$8*(S760+R760)+MIN(MAX(S760,0),'P-Parametri'!$B$8*(S760+R760)))</f>
        <v>20287.111791944739</v>
      </c>
      <c r="U760" s="18">
        <f>IF($A760&gt;'1-Input'!$B$26,S760,S760-MIN(MAX(S760,0),'P-Parametri'!$B$8*(S760+R760)))</f>
        <v>76293.252710749672</v>
      </c>
      <c r="V760" s="18">
        <f>IF($A760&gt;'1-Input'!$B$26,V759,V759-Q760*(1-P760))</f>
        <v>18297.653394926841</v>
      </c>
      <c r="W760" s="11">
        <f>IF($A760&gt;'1-Input'!$B$26,0,IF(AB759&lt;=0,0,MAX(0,(AB759-AC759)/AB759)))</f>
        <v>0.75138219020282671</v>
      </c>
      <c r="X760" s="18">
        <f>IF($A760&gt;'1-Input'!$B$26,0,(MAX(0,W726-IF($A760&gt;='1-Input'!$C$12,'1-Input'!$B$12,0))-MIN(MAX(AA759,0),MAX(0,W726-IF($A760&gt;='1-Input'!$C$12,'1-Input'!$B$12,0))))*(1/(1-'P-Parametri'!$B$6*W760))+MIN(MAX(0,AB759-(MAX(0,W726-IF($A760&gt;='1-Input'!$C$12,'1-Input'!$B$12,0))-MIN(MAX(AA759,0),MAX(0,W726-IF($A760&gt;='1-Input'!$C$12,'1-Input'!$B$12,0))))*(1/(1-'P-Parametri'!$B$6*W760))),MAX(0,1*W726-(AA759-MIN(MAX(AA759,0),MAX(0,W726-IF($A760&gt;='1-Input'!$C$12,'1-Input'!$B$12,0)))))*(1/(1-'P-Parametri'!$B$6*W760))))</f>
        <v>11171.462677976493</v>
      </c>
      <c r="Y760" s="18">
        <f>IF($A760&gt;'1-Input'!$B$26,AA759,(AA759-MAX(0,W726-IF($A760&gt;='1-Input'!$C$12,'1-Input'!$B$12,0))+X760*(1-'P-Parametri'!$B$6*W760))*(1+'1-Input'!$B$27))</f>
        <v>19946.876372417508</v>
      </c>
      <c r="Z760" s="18">
        <f>IF($A760&gt;'1-Input'!$B$26,AB759,(AB759-X760)*(1+$D$4))</f>
        <v>102282.97290491087</v>
      </c>
      <c r="AA760" s="18">
        <f>IF($A760&gt;'1-Input'!$B$26,Y760,Y760-'P-Parametri'!$B$8*(Z760+Y760)+MIN(MAX(Z760,0),'P-Parametri'!$B$8*(Z760+Y760)))</f>
        <v>19946.876372417508</v>
      </c>
      <c r="AB760" s="18">
        <f>IF($A760&gt;'1-Input'!$B$26,Z760,Z760-MIN(MAX(Z760,0),'P-Parametri'!$B$8*(Z760+Y760)))</f>
        <v>102038.51320635622</v>
      </c>
      <c r="AC760" s="18">
        <f>IF($A760&gt;'1-Input'!$B$26,AC759,AC759-X760*(1-W760))</f>
        <v>24451.316060733232</v>
      </c>
      <c r="AD760" s="11">
        <f>IF($A760&gt;'1-Input'!$B$26,0,IF(AI759&lt;=0,0,MAX(0,(AI759-AJ759)/AI759)))</f>
        <v>0.75138598093463294</v>
      </c>
      <c r="AE760" s="18">
        <f>IF($A760&gt;'1-Input'!$B$26,0,(MAX(0,AD726-IF($A760&gt;='1-Input'!$C$12,'1-Input'!$B$12,0))-MIN(MAX(AH759,0),MAX(0,AD726-IF($A760&gt;='1-Input'!$C$12,'1-Input'!$B$12,0))))*(1/(1-'P-Parametri'!$B$6*AD760))+MIN(MAX(0,AI759-(MAX(0,AD726-IF($A760&gt;='1-Input'!$C$12,'1-Input'!$B$12,0))-MIN(MAX(AH759,0),MAX(0,AD726-IF($A760&gt;='1-Input'!$C$12,'1-Input'!$B$12,0))))*(1/(1-'P-Parametri'!$B$6*AD760))),MAX(0,1*AD726-(AH759-MIN(MAX(AH759,0),MAX(0,AD726-IF($A760&gt;='1-Input'!$C$12,'1-Input'!$B$12,0)))))*(1/(1-'P-Parametri'!$B$6*AD760))))</f>
        <v>11160.873511718301</v>
      </c>
      <c r="AF760" s="18">
        <f>IF($A760&gt;'1-Input'!$B$26,AH759,(AH759-MAX(0,AD726-IF($A760&gt;='1-Input'!$C$12,'1-Input'!$B$12,0))+AE760*(1-'P-Parametri'!$B$6*AD760))*(1+'1-Input'!$B$27))</f>
        <v>19938.406105220583</v>
      </c>
      <c r="AG760" s="18">
        <f>IF($A760&gt;'1-Input'!$B$26,AI759,(AI759-AE760)*(1+$D$4))</f>
        <v>102925.19693480706</v>
      </c>
      <c r="AH760" s="18">
        <f>IF($A760&gt;'1-Input'!$B$26,AF760,AF760-'P-Parametri'!$B$8*(AG760+AF760)+MIN(MAX(AG760,0),'P-Parametri'!$B$8*(AG760+AF760)))</f>
        <v>19938.406105220583</v>
      </c>
      <c r="AI760" s="18">
        <f>IF($A760&gt;'1-Input'!$B$26,AG760,AG760-MIN(MAX(AG760,0),'P-Parametri'!$B$8*(AG760+AF760)))</f>
        <v>102679.469728727</v>
      </c>
      <c r="AJ760" s="18">
        <f>IF($A760&gt;'1-Input'!$B$26,AJ759,AJ759-AE760*(1-AD760))</f>
        <v>24604.468147169988</v>
      </c>
      <c r="AK760" s="11">
        <f>IF($A760&gt;'1-Input'!$B$26,0,IF(AP759&lt;=0,0,MAX(0,(AP759-AQ759)/AP759)))</f>
        <v>0.75138597194566181</v>
      </c>
      <c r="AL760" s="18">
        <f>IF($A760&gt;'1-Input'!$B$26,0,(MAX(0,AK726-IF($A760&gt;='1-Input'!$C$12,'1-Input'!$B$12,0))-MIN(MAX(AO759,0),MAX(0,AK726-IF($A760&gt;='1-Input'!$C$12,'1-Input'!$B$12,0))))*(1/(1-'P-Parametri'!$B$6*AK760))+MIN(MAX(0,AP759-(MAX(0,AK726-IF($A760&gt;='1-Input'!$C$12,'1-Input'!$B$12,0))-MIN(MAX(AO759,0),MAX(0,AK726-IF($A760&gt;='1-Input'!$C$12,'1-Input'!$B$12,0))))*(1/(1-'P-Parametri'!$B$6*AK760))),MAX(0,1*AK726-(AO759-MIN(MAX(AO759,0),MAX(0,AK726-IF($A760&gt;='1-Input'!$C$12,'1-Input'!$B$12,0)))))*(1/(1-'P-Parametri'!$B$6*AK760))))</f>
        <v>11160.898705930022</v>
      </c>
      <c r="AM760" s="18">
        <f>IF($A760&gt;'1-Input'!$B$26,AO759,(AO759-MAX(0,AK726-IF($A760&gt;='1-Input'!$C$12,'1-Input'!$B$12,0))+AL760*(1-'P-Parametri'!$B$6*AK760))*(1+'1-Input'!$B$27))</f>
        <v>19938.426257942814</v>
      </c>
      <c r="AN760" s="18">
        <f>IF($A760&gt;'1-Input'!$B$26,AP759,(AP759-AL760)*(1+$D$4))</f>
        <v>102923.66893443756</v>
      </c>
      <c r="AO760" s="18">
        <f>IF($A760&gt;'1-Input'!$B$26,AM760,AM760-'P-Parametri'!$B$8*(AN760+AM760)+MIN(MAX(AN760,0),'P-Parametri'!$B$8*(AN760+AM760)))</f>
        <v>19938.426257942814</v>
      </c>
      <c r="AP760" s="18">
        <f>IF($A760&gt;'1-Input'!$B$26,AN760,AN760-MIN(MAX(AN760,0),'P-Parametri'!$B$8*(AN760+AM760)))</f>
        <v>102677.9447440528</v>
      </c>
      <c r="AQ760" s="18">
        <f>IF($A760&gt;'1-Input'!$B$26,AQ759,AQ759-AL760*(1-AK760))</f>
        <v>24604.103765309301</v>
      </c>
    </row>
    <row r="761" spans="1:43">
      <c r="A761" s="10">
        <f>33</f>
        <v>33</v>
      </c>
      <c r="B761" s="11">
        <f>IF($A761&gt;'1-Input'!$B$26,0,IF(G760&lt;=0,0,MAX(0,(G760-H760)/G760)))</f>
        <v>0.76112300546100009</v>
      </c>
      <c r="C761" s="18">
        <f>IF($A761&gt;'1-Input'!$B$26,0,(MAX(0,B726-IF($A761&gt;='1-Input'!$C$12,'1-Input'!$B$12,0))-MIN(MAX(F760,0),MAX(0,B726-IF($A761&gt;='1-Input'!$C$12,'1-Input'!$B$12,0))))*(1/(1-'P-Parametri'!$B$6*B761))+MIN(MAX(0,G760-(MAX(0,B726-IF($A761&gt;='1-Input'!$C$12,'1-Input'!$B$12,0))-MIN(MAX(F760,0),MAX(0,B726-IF($A761&gt;='1-Input'!$C$12,'1-Input'!$B$12,0))))*(1/(1-'P-Parametri'!$B$6*B761))),MAX(0,1*B726-(F760-MIN(MAX(F760,0),MAX(0,B726-IF($A761&gt;='1-Input'!$C$12,'1-Input'!$B$12,0)))))*(1/(1-'P-Parametri'!$B$6*B761))))</f>
        <v>7030.3587336535811</v>
      </c>
      <c r="D761" s="18">
        <f>IF($A761&gt;'1-Input'!$B$26,F760,(F760-MAX(0,B726-IF($A761&gt;='1-Input'!$C$12,'1-Input'!$B$12,0))+C761*(1-'P-Parametri'!$B$6*B761))*(1+'1-Input'!$B$27))</f>
        <v>16621.00351549315</v>
      </c>
      <c r="E761" s="18">
        <f>IF($A761&gt;'1-Input'!$B$26,G760,(G760-C761)*(1+$D$4))</f>
        <v>360590.20523500646</v>
      </c>
      <c r="F761" s="18">
        <f>IF($A761&gt;'1-Input'!$B$26,D761,D761-'P-Parametri'!$B$8*(E761+D761)+MIN(MAX(E761,0),'P-Parametri'!$B$8*(E761+D761)))</f>
        <v>16621.00351549315</v>
      </c>
      <c r="G761" s="18">
        <f>IF($A761&gt;'1-Input'!$B$26,E761,E761-MIN(MAX(E761,0),'P-Parametri'!$B$8*(E761+D761)))</f>
        <v>359835.78281750547</v>
      </c>
      <c r="H761" s="18">
        <f>IF($A761&gt;'1-Input'!$B$26,H760,H760-C761*(1-B761))</f>
        <v>82823.754314172576</v>
      </c>
      <c r="I761" s="11">
        <f>IF($A761&gt;'1-Input'!$B$26,0,IF(N760&lt;=0,0,MAX(0,(N760-O760)/N760)))</f>
        <v>0</v>
      </c>
      <c r="J761" s="18">
        <f>IF($A761&gt;'1-Input'!$B$26,0,(MAX(0,I726-IF($A761&gt;='1-Input'!$C$12,'1-Input'!$B$12,0))-MIN(MAX(M760,0),MAX(0,I726-IF($A761&gt;='1-Input'!$C$12,'1-Input'!$B$12,0))))*(1/(1-'P-Parametri'!$B$6*I761))+MIN(MAX(0,N760-(MAX(0,I726-IF($A761&gt;='1-Input'!$C$12,'1-Input'!$B$12,0))-MIN(MAX(M760,0),MAX(0,I726-IF($A761&gt;='1-Input'!$C$12,'1-Input'!$B$12,0))))*(1/(1-'P-Parametri'!$B$6*I761))),MAX(0,1*I726-(M760-MIN(MAX(M760,0),MAX(0,I726-IF($A761&gt;='1-Input'!$C$12,'1-Input'!$B$12,0)))))*(1/(1-'P-Parametri'!$B$6*I761))))</f>
        <v>10846.756992928691</v>
      </c>
      <c r="K761" s="18">
        <f>IF($A761&gt;'1-Input'!$B$26,M760,(M760-MAX(0,I726-IF($A761&gt;='1-Input'!$C$12,'1-Input'!$B$12,0))+J761*(1-'P-Parametri'!$B$6*I761))*(1+'1-Input'!$B$27))</f>
        <v>0</v>
      </c>
      <c r="L761" s="18">
        <f>IF($A761&gt;'1-Input'!$B$26,N760,(N760-J761)*(1+$D$4))</f>
        <v>-22509.07301943771</v>
      </c>
      <c r="M761" s="18">
        <f>IF($A761&gt;'1-Input'!$B$26,K761,K761-'P-Parametri'!$B$8*(L761+K761)+MIN(MAX(L761,0),'P-Parametri'!$B$8*(L761+K761)))</f>
        <v>0</v>
      </c>
      <c r="N761" s="18">
        <f>IF($A761&gt;'1-Input'!$B$26,L761,L761-MIN(MAX(L761,0),'P-Parametri'!$B$8*(L761+K761)))</f>
        <v>-22464.054873398836</v>
      </c>
      <c r="O761" s="18">
        <f>IF($A761&gt;'1-Input'!$B$26,O760,O760-J761*(1-I761))</f>
        <v>-21248.890537747495</v>
      </c>
      <c r="P761" s="11">
        <f>IF($A761&gt;'1-Input'!$B$26,0,IF(U760&lt;=0,0,MAX(0,(U760-V760)/U760)))</f>
        <v>0.76016682019970139</v>
      </c>
      <c r="Q761" s="18">
        <f>IF($A761&gt;'1-Input'!$B$26,0,(MAX(0,P726-IF($A761&gt;='1-Input'!$C$12,'1-Input'!$B$12,0))-MIN(MAX(T760,0),MAX(0,P726-IF($A761&gt;='1-Input'!$C$12,'1-Input'!$B$12,0))))*(1/(1-'P-Parametri'!$B$6*P761))+MIN(MAX(0,U760-(MAX(0,P726-IF($A761&gt;='1-Input'!$C$12,'1-Input'!$B$12,0))-MIN(MAX(T760,0),MAX(0,P726-IF($A761&gt;='1-Input'!$C$12,'1-Input'!$B$12,0))))*(1/(1-'P-Parametri'!$B$6*P761))),MAX(0,1*P726-(T760-MIN(MAX(T760,0),MAX(0,P726-IF($A761&gt;='1-Input'!$C$12,'1-Input'!$B$12,0)))))*(1/(1-'P-Parametri'!$B$6*P761))))</f>
        <v>11630.372863593049</v>
      </c>
      <c r="R761" s="18">
        <f>IF($A761&gt;'1-Input'!$B$26,T760,(T760-MAX(0,P726-IF($A761&gt;='1-Input'!$C$12,'1-Input'!$B$12,0))+Q761*(1-'P-Parametri'!$B$6*P761))*(1+'1-Input'!$B$27))</f>
        <v>20287.111791944739</v>
      </c>
      <c r="S761" s="18">
        <f>IF($A761&gt;'1-Input'!$B$26,U760,(U760-Q761)*(1+$D$4))</f>
        <v>67249.395041042895</v>
      </c>
      <c r="T761" s="18">
        <f>IF($A761&gt;'1-Input'!$B$26,R761,R761-'P-Parametri'!$B$8*(S761+R761)+MIN(MAX(S761,0),'P-Parametri'!$B$8*(S761+R761)))</f>
        <v>20287.111791944739</v>
      </c>
      <c r="U761" s="18">
        <f>IF($A761&gt;'1-Input'!$B$26,S761,S761-MIN(MAX(S761,0),'P-Parametri'!$B$8*(S761+R761)))</f>
        <v>67074.322027376926</v>
      </c>
      <c r="V761" s="18">
        <f>IF($A761&gt;'1-Input'!$B$26,V760,V760-Q761*(1-P761))</f>
        <v>15508.304088788216</v>
      </c>
      <c r="W761" s="11">
        <f>IF($A761&gt;'1-Input'!$B$26,0,IF(AB760&lt;=0,0,MAX(0,(AB760-AC760)/AB760)))</f>
        <v>0.76037169405551364</v>
      </c>
      <c r="X761" s="18">
        <f>IF($A761&gt;'1-Input'!$B$26,0,(MAX(0,W726-IF($A761&gt;='1-Input'!$C$12,'1-Input'!$B$12,0))-MIN(MAX(AA760,0),MAX(0,W726-IF($A761&gt;='1-Input'!$C$12,'1-Input'!$B$12,0))))*(1/(1-'P-Parametri'!$B$6*W761))+MIN(MAX(0,AB760-(MAX(0,W726-IF($A761&gt;='1-Input'!$C$12,'1-Input'!$B$12,0))-MIN(MAX(AA760,0),MAX(0,W726-IF($A761&gt;='1-Input'!$C$12,'1-Input'!$B$12,0))))*(1/(1-'P-Parametri'!$B$6*W761))),MAX(0,1*W726-(AA760-MIN(MAX(AA760,0),MAX(0,W726-IF($A761&gt;='1-Input'!$C$12,'1-Input'!$B$12,0)))))*(1/(1-'P-Parametri'!$B$6*W761))))</f>
        <v>11204.007394950615</v>
      </c>
      <c r="Y761" s="18">
        <f>IF($A761&gt;'1-Input'!$B$26,AA760,(AA760-MAX(0,W726-IF($A761&gt;='1-Input'!$C$12,'1-Input'!$B$12,0))+X761*(1-'P-Parametri'!$B$6*W761))*(1+'1-Input'!$B$27))</f>
        <v>19946.876372417511</v>
      </c>
      <c r="Z761" s="18">
        <f>IF($A761&gt;'1-Input'!$B$26,AB760,(AB760-X761)*(1+$D$4))</f>
        <v>94467.886043861829</v>
      </c>
      <c r="AA761" s="18">
        <f>IF($A761&gt;'1-Input'!$B$26,Y761,Y761-'P-Parametri'!$B$8*(Z761+Y761)+MIN(MAX(Z761,0),'P-Parametri'!$B$8*(Z761+Y761)))</f>
        <v>19946.876372417511</v>
      </c>
      <c r="AB761" s="18">
        <f>IF($A761&gt;'1-Input'!$B$26,Z761,Z761-MIN(MAX(Z761,0),'P-Parametri'!$B$8*(Z761+Y761)))</f>
        <v>94239.056519029269</v>
      </c>
      <c r="AC761" s="18">
        <f>IF($A761&gt;'1-Input'!$B$26,AC760,AC760-X761*(1-W761))</f>
        <v>21766.518748891718</v>
      </c>
      <c r="AD761" s="11">
        <f>IF($A761&gt;'1-Input'!$B$26,0,IF(AI760&lt;=0,0,MAX(0,(AI760-AJ760)/AI760)))</f>
        <v>0.76037597182597927</v>
      </c>
      <c r="AE761" s="18">
        <f>IF($A761&gt;'1-Input'!$B$26,0,(MAX(0,AD726-IF($A761&gt;='1-Input'!$C$12,'1-Input'!$B$12,0))-MIN(MAX(AH760,0),MAX(0,AD726-IF($A761&gt;='1-Input'!$C$12,'1-Input'!$B$12,0))))*(1/(1-'P-Parametri'!$B$6*AD761))+MIN(MAX(0,AI760-(MAX(0,AD726-IF($A761&gt;='1-Input'!$C$12,'1-Input'!$B$12,0))-MIN(MAX(AH760,0),MAX(0,AD726-IF($A761&gt;='1-Input'!$C$12,'1-Input'!$B$12,0))))*(1/(1-'P-Parametri'!$B$6*AD761))),MAX(0,1*AD726-(AH760-MIN(MAX(AH760,0),MAX(0,AD726-IF($A761&gt;='1-Input'!$C$12,'1-Input'!$B$12,0)))))*(1/(1-'P-Parametri'!$B$6*AD761))))</f>
        <v>11193.389186953564</v>
      </c>
      <c r="AF761" s="18">
        <f>IF($A761&gt;'1-Input'!$B$26,AH760,(AH760-MAX(0,AD726-IF($A761&gt;='1-Input'!$C$12,'1-Input'!$B$12,0))+AE761*(1-'P-Parametri'!$B$6*AD761))*(1+'1-Input'!$B$27))</f>
        <v>19938.406105220583</v>
      </c>
      <c r="AG761" s="18">
        <f>IF($A761&gt;'1-Input'!$B$26,AI760,(AI760-AE761)*(1+$D$4))</f>
        <v>95145.523763444377</v>
      </c>
      <c r="AH761" s="18">
        <f>IF($A761&gt;'1-Input'!$B$26,AF761,AF761-'P-Parametri'!$B$8*(AG761+AF761)+MIN(MAX(AG761,0),'P-Parametri'!$B$8*(AG761+AF761)))</f>
        <v>19938.406105220583</v>
      </c>
      <c r="AI761" s="18">
        <f>IF($A761&gt;'1-Input'!$B$26,AG761,AG761-MIN(MAX(AG761,0),'P-Parametri'!$B$8*(AG761+AF761)))</f>
        <v>94915.355903707052</v>
      </c>
      <c r="AJ761" s="18">
        <f>IF($A761&gt;'1-Input'!$B$26,AJ760,AJ760-AE761*(1-AD761))</f>
        <v>21922.263141272648</v>
      </c>
      <c r="AK761" s="11">
        <f>IF($A761&gt;'1-Input'!$B$26,0,IF(AP760&lt;=0,0,MAX(0,(AP760-AQ760)/AP760)))</f>
        <v>0.76037596168641286</v>
      </c>
      <c r="AL761" s="18">
        <f>IF($A761&gt;'1-Input'!$B$26,0,(MAX(0,AK726-IF($A761&gt;='1-Input'!$C$12,'1-Input'!$B$12,0))-MIN(MAX(AO760,0),MAX(0,AK726-IF($A761&gt;='1-Input'!$C$12,'1-Input'!$B$12,0))))*(1/(1-'P-Parametri'!$B$6*AK761))+MIN(MAX(0,AP760-(MAX(0,AK726-IF($A761&gt;='1-Input'!$C$12,'1-Input'!$B$12,0))-MIN(MAX(AO760,0),MAX(0,AK726-IF($A761&gt;='1-Input'!$C$12,'1-Input'!$B$12,0))))*(1/(1-'P-Parametri'!$B$6*AK761))),MAX(0,1*AK726-(AO760-MIN(MAX(AO760,0),MAX(0,AK726-IF($A761&gt;='1-Input'!$C$12,'1-Input'!$B$12,0)))))*(1/(1-'P-Parametri'!$B$6*AK761))))</f>
        <v>11193.414450296759</v>
      </c>
      <c r="AM761" s="18">
        <f>IF($A761&gt;'1-Input'!$B$26,AO760,(AO760-MAX(0,AK726-IF($A761&gt;='1-Input'!$C$12,'1-Input'!$B$12,0))+AL761*(1-'P-Parametri'!$B$6*AK761))*(1+'1-Input'!$B$27))</f>
        <v>19938.426257942814</v>
      </c>
      <c r="AN761" s="18">
        <f>IF($A761&gt;'1-Input'!$B$26,AP760,(AP760-AL761)*(1+$D$4))</f>
        <v>95143.911505506287</v>
      </c>
      <c r="AO761" s="18">
        <f>IF($A761&gt;'1-Input'!$B$26,AM761,AM761-'P-Parametri'!$B$8*(AN761+AM761)+MIN(MAX(AN761,0),'P-Parametri'!$B$8*(AN761+AM761)))</f>
        <v>19938.426257942814</v>
      </c>
      <c r="AP761" s="18">
        <f>IF($A761&gt;'1-Input'!$B$26,AN761,AN761-MIN(MAX(AN761,0),'P-Parametri'!$B$8*(AN761+AM761)))</f>
        <v>94913.746829979384</v>
      </c>
      <c r="AQ761" s="18">
        <f>IF($A761&gt;'1-Input'!$B$26,AQ760,AQ760-AL761*(1-AK761))</f>
        <v>21921.89259221153</v>
      </c>
    </row>
    <row r="762" spans="1:43">
      <c r="A762" s="10">
        <f>34</f>
        <v>34</v>
      </c>
      <c r="B762" s="11">
        <f>IF($A762&gt;'1-Input'!$B$26,0,IF(G761&lt;=0,0,MAX(0,(G761-H761)/G761)))</f>
        <v>0.76982902126724417</v>
      </c>
      <c r="C762" s="18">
        <f>IF($A762&gt;'1-Input'!$B$26,0,(MAX(0,B726-IF($A762&gt;='1-Input'!$C$12,'1-Input'!$B$12,0))-MIN(MAX(F761,0),MAX(0,B726-IF($A762&gt;='1-Input'!$C$12,'1-Input'!$B$12,0))))*(1/(1-'P-Parametri'!$B$6*B762))+MIN(MAX(0,G761-(MAX(0,B726-IF($A762&gt;='1-Input'!$C$12,'1-Input'!$B$12,0))-MIN(MAX(F761,0),MAX(0,B726-IF($A762&gt;='1-Input'!$C$12,'1-Input'!$B$12,0))))*(1/(1-'P-Parametri'!$B$6*B762))),MAX(0,1*B726-(F761-MIN(MAX(F761,0),MAX(0,B726-IF($A762&gt;='1-Input'!$C$12,'1-Input'!$B$12,0)))))*(1/(1-'P-Parametri'!$B$6*B762))))</f>
        <v>7050.2546866958628</v>
      </c>
      <c r="D762" s="18">
        <f>IF($A762&gt;'1-Input'!$B$26,F761,(F761-MAX(0,B726-IF($A762&gt;='1-Input'!$C$12,'1-Input'!$B$12,0))+C762*(1-'P-Parametri'!$B$6*B762))*(1+'1-Input'!$B$27))</f>
        <v>16621.00351549315</v>
      </c>
      <c r="E762" s="18">
        <f>IF($A762&gt;'1-Input'!$B$26,G761,(G761-C762)*(1+$D$4))</f>
        <v>366896.94925604202</v>
      </c>
      <c r="F762" s="18">
        <f>IF($A762&gt;'1-Input'!$B$26,D762,D762-'P-Parametri'!$B$8*(E762+D762)+MIN(MAX(E762,0),'P-Parametri'!$B$8*(E762+D762)))</f>
        <v>16621.00351549315</v>
      </c>
      <c r="G762" s="18">
        <f>IF($A762&gt;'1-Input'!$B$26,E762,E762-MIN(MAX(E762,0),'P-Parametri'!$B$8*(E762+D762)))</f>
        <v>366129.91335049894</v>
      </c>
      <c r="H762" s="18">
        <f>IF($A762&gt;'1-Input'!$B$26,H761,H761-C762*(1-B762))</f>
        <v>81200.990292620598</v>
      </c>
      <c r="I762" s="11">
        <f>IF($A762&gt;'1-Input'!$B$26,0,IF(N761&lt;=0,0,MAX(0,(N761-O761)/N761)))</f>
        <v>0</v>
      </c>
      <c r="J762" s="18">
        <f>IF($A762&gt;'1-Input'!$B$26,0,(MAX(0,I726-IF($A762&gt;='1-Input'!$C$12,'1-Input'!$B$12,0))-MIN(MAX(M761,0),MAX(0,I726-IF($A762&gt;='1-Input'!$C$12,'1-Input'!$B$12,0))))*(1/(1-'P-Parametri'!$B$6*I762))+MIN(MAX(0,N761-(MAX(0,I726-IF($A762&gt;='1-Input'!$C$12,'1-Input'!$B$12,0))-MIN(MAX(M761,0),MAX(0,I726-IF($A762&gt;='1-Input'!$C$12,'1-Input'!$B$12,0))))*(1/(1-'P-Parametri'!$B$6*I762))),MAX(0,1*I726-(M761-MIN(MAX(M761,0),MAX(0,I726-IF($A762&gt;='1-Input'!$C$12,'1-Input'!$B$12,0)))))*(1/(1-'P-Parametri'!$B$6*I762))))</f>
        <v>10846.756992928691</v>
      </c>
      <c r="K762" s="18">
        <f>IF($A762&gt;'1-Input'!$B$26,M761,(M761-MAX(0,I726-IF($A762&gt;='1-Input'!$C$12,'1-Input'!$B$12,0))+J762*(1-'P-Parametri'!$B$6*I762))*(1+'1-Input'!$B$27))</f>
        <v>0</v>
      </c>
      <c r="L762" s="18">
        <f>IF($A762&gt;'1-Input'!$B$26,N761,(N761-J762)*(1+$D$4))</f>
        <v>-34643.244340980629</v>
      </c>
      <c r="M762" s="18">
        <f>IF($A762&gt;'1-Input'!$B$26,K762,K762-'P-Parametri'!$B$8*(L762+K762)+MIN(MAX(L762,0),'P-Parametri'!$B$8*(L762+K762)))</f>
        <v>0</v>
      </c>
      <c r="N762" s="18">
        <f>IF($A762&gt;'1-Input'!$B$26,L762,L762-MIN(MAX(L762,0),'P-Parametri'!$B$8*(L762+K762)))</f>
        <v>-34573.95785229867</v>
      </c>
      <c r="O762" s="18">
        <f>IF($A762&gt;'1-Input'!$B$26,O761,O761-J762*(1-I762))</f>
        <v>-32095.647530676186</v>
      </c>
      <c r="P762" s="11">
        <f>IF($A762&gt;'1-Input'!$B$26,0,IF(U761&lt;=0,0,MAX(0,(U761-V761)/U761)))</f>
        <v>0.76878925317413749</v>
      </c>
      <c r="Q762" s="18">
        <f>IF($A762&gt;'1-Input'!$B$26,0,(MAX(0,P726-IF($A762&gt;='1-Input'!$C$12,'1-Input'!$B$12,0))-MIN(MAX(T761,0),MAX(0,P726-IF($A762&gt;='1-Input'!$C$12,'1-Input'!$B$12,0))))*(1/(1-'P-Parametri'!$B$6*P762))+MIN(MAX(0,U761-(MAX(0,P726-IF($A762&gt;='1-Input'!$C$12,'1-Input'!$B$12,0))-MIN(MAX(T761,0),MAX(0,P726-IF($A762&gt;='1-Input'!$C$12,'1-Input'!$B$12,0))))*(1/(1-'P-Parametri'!$B$6*P762))),MAX(0,1*P726-(T761-MIN(MAX(T761,0),MAX(0,P726-IF($A762&gt;='1-Input'!$C$12,'1-Input'!$B$12,0)))))*(1/(1-'P-Parametri'!$B$6*P762))))</f>
        <v>11662.959873501724</v>
      </c>
      <c r="R762" s="18">
        <f>IF($A762&gt;'1-Input'!$B$26,T761,(T761-MAX(0,P726-IF($A762&gt;='1-Input'!$C$12,'1-Input'!$B$12,0))+Q762*(1-'P-Parametri'!$B$6*P762))*(1+'1-Input'!$B$27))</f>
        <v>20287.111791944739</v>
      </c>
      <c r="S762" s="18">
        <f>IF($A762&gt;'1-Input'!$B$26,U761,(U761-Q762)*(1+$D$4))</f>
        <v>57627.816640030214</v>
      </c>
      <c r="T762" s="18">
        <f>IF($A762&gt;'1-Input'!$B$26,R762,R762-'P-Parametri'!$B$8*(S762+R762)+MIN(MAX(S762,0),'P-Parametri'!$B$8*(S762+R762)))</f>
        <v>20287.111791944739</v>
      </c>
      <c r="U762" s="18">
        <f>IF($A762&gt;'1-Input'!$B$26,S762,S762-MIN(MAX(S762,0),'P-Parametri'!$B$8*(S762+R762)))</f>
        <v>57471.986783166263</v>
      </c>
      <c r="V762" s="18">
        <f>IF($A762&gt;'1-Input'!$B$26,V761,V761-Q762*(1-P762))</f>
        <v>12811.702426235815</v>
      </c>
      <c r="W762" s="11">
        <f>IF($A762&gt;'1-Input'!$B$26,0,IF(AB761&lt;=0,0,MAX(0,(AB761-AC761)/AB761)))</f>
        <v>0.76902868563315363</v>
      </c>
      <c r="X762" s="18">
        <f>IF($A762&gt;'1-Input'!$B$26,0,(MAX(0,W726-IF($A762&gt;='1-Input'!$C$12,'1-Input'!$B$12,0))-MIN(MAX(AA761,0),MAX(0,W726-IF($A762&gt;='1-Input'!$C$12,'1-Input'!$B$12,0))))*(1/(1-'P-Parametri'!$B$6*W762))+MIN(MAX(0,AB761-(MAX(0,W726-IF($A762&gt;='1-Input'!$C$12,'1-Input'!$B$12,0))-MIN(MAX(AA761,0),MAX(0,W726-IF($A762&gt;='1-Input'!$C$12,'1-Input'!$B$12,0))))*(1/(1-'P-Parametri'!$B$6*W762))),MAX(0,1*W726-(AA761-MIN(MAX(AA761,0),MAX(0,W726-IF($A762&gt;='1-Input'!$C$12,'1-Input'!$B$12,0)))))*(1/(1-'P-Parametri'!$B$6*W762))))</f>
        <v>11235.528049000799</v>
      </c>
      <c r="Y762" s="18">
        <f>IF($A762&gt;'1-Input'!$B$26,AA761,(AA761-MAX(0,W726-IF($A762&gt;='1-Input'!$C$12,'1-Input'!$B$12,0))+X762*(1-'P-Parametri'!$B$6*W762))*(1+'1-Input'!$B$27))</f>
        <v>19946.876372417511</v>
      </c>
      <c r="Z762" s="18">
        <f>IF($A762&gt;'1-Input'!$B$26,AB761,(AB761-X762)*(1+$D$4))</f>
        <v>86323.669608829616</v>
      </c>
      <c r="AA762" s="18">
        <f>IF($A762&gt;'1-Input'!$B$26,Y762,Y762-'P-Parametri'!$B$8*(Z762+Y762)+MIN(MAX(Z762,0),'P-Parametri'!$B$8*(Z762+Y762)))</f>
        <v>19946.876372417511</v>
      </c>
      <c r="AB762" s="18">
        <f>IF($A762&gt;'1-Input'!$B$26,Z762,Z762-MIN(MAX(Z762,0),'P-Parametri'!$B$8*(Z762+Y762)))</f>
        <v>86111.128516867117</v>
      </c>
      <c r="AC762" s="18">
        <f>IF($A762&gt;'1-Input'!$B$26,AC761,AC761-X762*(1-W762))</f>
        <v>19171.434067808434</v>
      </c>
      <c r="AD762" s="11">
        <f>IF($A762&gt;'1-Input'!$B$26,0,IF(AI761&lt;=0,0,MAX(0,(AI761-AJ761)/AI761)))</f>
        <v>0.76903354644202049</v>
      </c>
      <c r="AE762" s="18">
        <f>IF($A762&gt;'1-Input'!$B$26,0,(MAX(0,AD726-IF($A762&gt;='1-Input'!$C$12,'1-Input'!$B$12,0))-MIN(MAX(AH761,0),MAX(0,AD726-IF($A762&gt;='1-Input'!$C$12,'1-Input'!$B$12,0))))*(1/(1-'P-Parametri'!$B$6*AD762))+MIN(MAX(0,AI761-(MAX(0,AD726-IF($A762&gt;='1-Input'!$C$12,'1-Input'!$B$12,0))-MIN(MAX(AH761,0),MAX(0,AD726-IF($A762&gt;='1-Input'!$C$12,'1-Input'!$B$12,0))))*(1/(1-'P-Parametri'!$B$6*AD762))),MAX(0,1*AD726-(AH761-MIN(MAX(AH761,0),MAX(0,AD726-IF($A762&gt;='1-Input'!$C$12,'1-Input'!$B$12,0)))))*(1/(1-'P-Parametri'!$B$6*AD762))))</f>
        <v>11224.882139017061</v>
      </c>
      <c r="AF762" s="18">
        <f>IF($A762&gt;'1-Input'!$B$26,AH761,(AH761-MAX(0,AD726-IF($A762&gt;='1-Input'!$C$12,'1-Input'!$B$12,0))+AE762*(1-'P-Parametri'!$B$6*AD762))*(1+'1-Input'!$B$27))</f>
        <v>19938.406105220583</v>
      </c>
      <c r="AG762" s="18">
        <f>IF($A762&gt;'1-Input'!$B$26,AI761,(AI761-AE762)*(1+$D$4))</f>
        <v>87038.092715277584</v>
      </c>
      <c r="AH762" s="18">
        <f>IF($A762&gt;'1-Input'!$B$26,AF762,AF762-'P-Parametri'!$B$8*(AG762+AF762)+MIN(MAX(AG762,0),'P-Parametri'!$B$8*(AG762+AF762)))</f>
        <v>19938.406105220583</v>
      </c>
      <c r="AI762" s="18">
        <f>IF($A762&gt;'1-Input'!$B$26,AG762,AG762-MIN(MAX(AG762,0),'P-Parametri'!$B$8*(AG762+AF762)))</f>
        <v>86824.139717636586</v>
      </c>
      <c r="AJ762" s="18">
        <f>IF($A762&gt;'1-Input'!$B$26,AJ761,AJ761-AE762*(1-AD762))</f>
        <v>19329.69192201757</v>
      </c>
      <c r="AK762" s="11">
        <f>IF($A762&gt;'1-Input'!$B$26,0,IF(AP761&lt;=0,0,MAX(0,(AP761-AQ761)/AP761)))</f>
        <v>0.76903353492639381</v>
      </c>
      <c r="AL762" s="18">
        <f>IF($A762&gt;'1-Input'!$B$26,0,(MAX(0,AK726-IF($A762&gt;='1-Input'!$C$12,'1-Input'!$B$12,0))-MIN(MAX(AO761,0),MAX(0,AK726-IF($A762&gt;='1-Input'!$C$12,'1-Input'!$B$12,0))))*(1/(1-'P-Parametri'!$B$6*AK762))+MIN(MAX(0,AP761-(MAX(0,AK726-IF($A762&gt;='1-Input'!$C$12,'1-Input'!$B$12,0))-MIN(MAX(AO761,0),MAX(0,AK726-IF($A762&gt;='1-Input'!$C$12,'1-Input'!$B$12,0))))*(1/(1-'P-Parametri'!$B$6*AK762))),MAX(0,1*AK726-(AO761-MIN(MAX(AO761,0),MAX(0,AK726-IF($A762&gt;='1-Input'!$C$12,'1-Input'!$B$12,0)))))*(1/(1-'P-Parametri'!$B$6*AK762))))</f>
        <v>11224.907468316016</v>
      </c>
      <c r="AM762" s="18">
        <f>IF($A762&gt;'1-Input'!$B$26,AO761,(AO761-MAX(0,AK726-IF($A762&gt;='1-Input'!$C$12,'1-Input'!$B$12,0))+AL762*(1-'P-Parametri'!$B$6*AK762))*(1+'1-Input'!$B$27))</f>
        <v>19938.426257942814</v>
      </c>
      <c r="AN762" s="18">
        <f>IF($A762&gt;'1-Input'!$B$26,AP761,(AP761-AL762)*(1+$D$4))</f>
        <v>87036.392936129909</v>
      </c>
      <c r="AO762" s="18">
        <f>IF($A762&gt;'1-Input'!$B$26,AM762,AM762-'P-Parametri'!$B$8*(AN762+AM762)+MIN(MAX(AN762,0),'P-Parametri'!$B$8*(AN762+AM762)))</f>
        <v>19938.426257942814</v>
      </c>
      <c r="AP762" s="18">
        <f>IF($A762&gt;'1-Input'!$B$26,AN762,AN762-MIN(MAX(AN762,0),'P-Parametri'!$B$8*(AN762+AM762)))</f>
        <v>86822.44329774176</v>
      </c>
      <c r="AQ762" s="18">
        <f>IF($A762&gt;'1-Input'!$B$26,AQ761,AQ761-AL762*(1-AK762))</f>
        <v>19329.315393476259</v>
      </c>
    </row>
    <row r="763" spans="1:43">
      <c r="A763" s="10">
        <f>35</f>
        <v>35</v>
      </c>
      <c r="B763" s="11">
        <f>IF($A763&gt;'1-Input'!$B$26,0,IF(G762&lt;=0,0,MAX(0,(G762-H762)/G762)))</f>
        <v>0.77821809327312108</v>
      </c>
      <c r="C763" s="18">
        <f>IF($A763&gt;'1-Input'!$B$26,0,(MAX(0,B726-IF($A763&gt;='1-Input'!$C$12,'1-Input'!$B$12,0))-MIN(MAX(F762,0),MAX(0,B726-IF($A763&gt;='1-Input'!$C$12,'1-Input'!$B$12,0))))*(1/(1-'P-Parametri'!$B$6*B763))+MIN(MAX(0,G762-(MAX(0,B726-IF($A763&gt;='1-Input'!$C$12,'1-Input'!$B$12,0))-MIN(MAX(F762,0),MAX(0,B726-IF($A763&gt;='1-Input'!$C$12,'1-Input'!$B$12,0))))*(1/(1-'P-Parametri'!$B$6*B763))),MAX(0,1*B726-(F762-MIN(MAX(F762,0),MAX(0,B726-IF($A763&gt;='1-Input'!$C$12,'1-Input'!$B$12,0)))))*(1/(1-'P-Parametri'!$B$6*B763))))</f>
        <v>7069.5331524104486</v>
      </c>
      <c r="D763" s="18">
        <f>IF($A763&gt;'1-Input'!$B$26,F762,(F762-MAX(0,B726-IF($A763&gt;='1-Input'!$C$12,'1-Input'!$B$12,0))+C763*(1-'P-Parametri'!$B$6*B763))*(1+'1-Input'!$B$27))</f>
        <v>16621.00351549315</v>
      </c>
      <c r="E763" s="18">
        <f>IF($A763&gt;'1-Input'!$B$26,G762,(G762-C763)*(1+$D$4))</f>
        <v>373422.79540601204</v>
      </c>
      <c r="F763" s="18">
        <f>IF($A763&gt;'1-Input'!$B$26,D763,D763-'P-Parametri'!$B$8*(E763+D763)+MIN(MAX(E763,0),'P-Parametri'!$B$8*(E763+D763)))</f>
        <v>16621.00351549315</v>
      </c>
      <c r="G763" s="18">
        <f>IF($A763&gt;'1-Input'!$B$26,E763,E763-MIN(MAX(E763,0),'P-Parametri'!$B$8*(E763+D763)))</f>
        <v>372642.70780816901</v>
      </c>
      <c r="H763" s="18">
        <f>IF($A763&gt;'1-Input'!$B$26,H762,H762-C763*(1-B763))</f>
        <v>79633.095750410124</v>
      </c>
      <c r="I763" s="11">
        <f>IF($A763&gt;'1-Input'!$B$26,0,IF(N762&lt;=0,0,MAX(0,(N762-O762)/N762)))</f>
        <v>0</v>
      </c>
      <c r="J763" s="18">
        <f>IF($A763&gt;'1-Input'!$B$26,0,(MAX(0,I726-IF($A763&gt;='1-Input'!$C$12,'1-Input'!$B$12,0))-MIN(MAX(M762,0),MAX(0,I726-IF($A763&gt;='1-Input'!$C$12,'1-Input'!$B$12,0))))*(1/(1-'P-Parametri'!$B$6*I763))+MIN(MAX(0,N762-(MAX(0,I726-IF($A763&gt;='1-Input'!$C$12,'1-Input'!$B$12,0))-MIN(MAX(M762,0),MAX(0,I726-IF($A763&gt;='1-Input'!$C$12,'1-Input'!$B$12,0))))*(1/(1-'P-Parametri'!$B$6*I763))),MAX(0,1*I726-(M762-MIN(MAX(M762,0),MAX(0,I726-IF($A763&gt;='1-Input'!$C$12,'1-Input'!$B$12,0)))))*(1/(1-'P-Parametri'!$B$6*I763))))</f>
        <v>10846.756992928691</v>
      </c>
      <c r="K763" s="18">
        <f>IF($A763&gt;'1-Input'!$B$26,M762,(M762-MAX(0,I726-IF($A763&gt;='1-Input'!$C$12,'1-Input'!$B$12,0))+J763*(1-'P-Parametri'!$B$6*I763))*(1+'1-Input'!$B$27))</f>
        <v>0</v>
      </c>
      <c r="L763" s="18">
        <f>IF($A763&gt;'1-Input'!$B$26,N762,(N762-J763)*(1+$D$4))</f>
        <v>-47237.543439036461</v>
      </c>
      <c r="M763" s="18">
        <f>IF($A763&gt;'1-Input'!$B$26,K763,K763-'P-Parametri'!$B$8*(L763+K763)+MIN(MAX(L763,0),'P-Parametri'!$B$8*(L763+K763)))</f>
        <v>0</v>
      </c>
      <c r="N763" s="18">
        <f>IF($A763&gt;'1-Input'!$B$26,L763,L763-MIN(MAX(L763,0),'P-Parametri'!$B$8*(L763+K763)))</f>
        <v>-47143.068352158385</v>
      </c>
      <c r="O763" s="18">
        <f>IF($A763&gt;'1-Input'!$B$26,O762,O762-J763*(1-I763))</f>
        <v>-42942.404523604877</v>
      </c>
      <c r="P763" s="11">
        <f>IF($A763&gt;'1-Input'!$B$26,0,IF(U762&lt;=0,0,MAX(0,(U762-V762)/U762)))</f>
        <v>0.77707917990424502</v>
      </c>
      <c r="Q763" s="18">
        <f>IF($A763&gt;'1-Input'!$B$26,0,(MAX(0,P726-IF($A763&gt;='1-Input'!$C$12,'1-Input'!$B$12,0))-MIN(MAX(T762,0),MAX(0,P726-IF($A763&gt;='1-Input'!$C$12,'1-Input'!$B$12,0))))*(1/(1-'P-Parametri'!$B$6*P763))+MIN(MAX(0,U762-(MAX(0,P726-IF($A763&gt;='1-Input'!$C$12,'1-Input'!$B$12,0))-MIN(MAX(T762,0),MAX(0,P726-IF($A763&gt;='1-Input'!$C$12,'1-Input'!$B$12,0))))*(1/(1-'P-Parametri'!$B$6*P763))),MAX(0,1*P726-(T762-MIN(MAX(T762,0),MAX(0,P726-IF($A763&gt;='1-Input'!$C$12,'1-Input'!$B$12,0)))))*(1/(1-'P-Parametri'!$B$6*P763))))</f>
        <v>11694.462881190246</v>
      </c>
      <c r="R763" s="18">
        <f>IF($A763&gt;'1-Input'!$B$26,T762,(T762-MAX(0,P726-IF($A763&gt;='1-Input'!$C$12,'1-Input'!$B$12,0))+Q763*(1-'P-Parametri'!$B$6*P763))*(1+'1-Input'!$B$27))</f>
        <v>20287.111791944739</v>
      </c>
      <c r="S763" s="18">
        <f>IF($A763&gt;'1-Input'!$B$26,U762,(U762-Q763)*(1+$D$4))</f>
        <v>47608.62485805506</v>
      </c>
      <c r="T763" s="18">
        <f>IF($A763&gt;'1-Input'!$B$26,R763,R763-'P-Parametri'!$B$8*(S763+R763)+MIN(MAX(S763,0),'P-Parametri'!$B$8*(S763+R763)))</f>
        <v>20287.111791944739</v>
      </c>
      <c r="U763" s="18">
        <f>IF($A763&gt;'1-Input'!$B$26,S763,S763-MIN(MAX(S763,0),'P-Parametri'!$B$8*(S763+R763)))</f>
        <v>47472.83338475506</v>
      </c>
      <c r="V763" s="18">
        <f>IF($A763&gt;'1-Input'!$B$26,V762,V762-Q763*(1-P763))</f>
        <v>10204.763170181521</v>
      </c>
      <c r="W763" s="11">
        <f>IF($A763&gt;'1-Input'!$B$26,0,IF(AB762&lt;=0,0,MAX(0,(AB762-AC762)/AB762)))</f>
        <v>0.77736403647232177</v>
      </c>
      <c r="X763" s="18">
        <f>IF($A763&gt;'1-Input'!$B$26,0,(MAX(0,W726-IF($A763&gt;='1-Input'!$C$12,'1-Input'!$B$12,0))-MIN(MAX(AA762,0),MAX(0,W726-IF($A763&gt;='1-Input'!$C$12,'1-Input'!$B$12,0))))*(1/(1-'P-Parametri'!$B$6*W763))+MIN(MAX(0,AB762-(MAX(0,W726-IF($A763&gt;='1-Input'!$C$12,'1-Input'!$B$12,0))-MIN(MAX(AA762,0),MAX(0,W726-IF($A763&gt;='1-Input'!$C$12,'1-Input'!$B$12,0))))*(1/(1-'P-Parametri'!$B$6*W763))),MAX(0,1*W726-(AA762-MIN(MAX(AA762,0),MAX(0,W726-IF($A763&gt;='1-Input'!$C$12,'1-Input'!$B$12,0)))))*(1/(1-'P-Parametri'!$B$6*W763))))</f>
        <v>11266.045638656589</v>
      </c>
      <c r="Y763" s="18">
        <f>IF($A763&gt;'1-Input'!$B$26,AA762,(AA762-MAX(0,W726-IF($A763&gt;='1-Input'!$C$12,'1-Input'!$B$12,0))+X763*(1-'P-Parametri'!$B$6*W763))*(1+'1-Input'!$B$27))</f>
        <v>19946.876372417508</v>
      </c>
      <c r="Z763" s="18">
        <f>IF($A763&gt;'1-Input'!$B$26,AB762,(AB762-X763)*(1+$D$4))</f>
        <v>77838.886193338942</v>
      </c>
      <c r="AA763" s="18">
        <f>IF($A763&gt;'1-Input'!$B$26,Y763,Y763-'P-Parametri'!$B$8*(Z763+Y763)+MIN(MAX(Z763,0),'P-Parametri'!$B$8*(Z763+Y763)))</f>
        <v>19946.876372417508</v>
      </c>
      <c r="AB763" s="18">
        <f>IF($A763&gt;'1-Input'!$B$26,Z763,Z763-MIN(MAX(Z763,0),'P-Parametri'!$B$8*(Z763+Y763)))</f>
        <v>77643.314668207429</v>
      </c>
      <c r="AC763" s="18">
        <f>IF($A763&gt;'1-Input'!$B$26,AC762,AC762-X763*(1-W763))</f>
        <v>16663.207141899326</v>
      </c>
      <c r="AD763" s="11">
        <f>IF($A763&gt;'1-Input'!$B$26,0,IF(AI762&lt;=0,0,MAX(0,(AI762-AJ762)/AI762)))</f>
        <v>0.77736961189733367</v>
      </c>
      <c r="AE763" s="18">
        <f>IF($A763&gt;'1-Input'!$B$26,0,(MAX(0,AD726-IF($A763&gt;='1-Input'!$C$12,'1-Input'!$B$12,0))-MIN(MAX(AH762,0),MAX(0,AD726-IF($A763&gt;='1-Input'!$C$12,'1-Input'!$B$12,0))))*(1/(1-'P-Parametri'!$B$6*AD763))+MIN(MAX(0,AI762-(MAX(0,AD726-IF($A763&gt;='1-Input'!$C$12,'1-Input'!$B$12,0))-MIN(MAX(AH762,0),MAX(0,AD726-IF($A763&gt;='1-Input'!$C$12,'1-Input'!$B$12,0))))*(1/(1-'P-Parametri'!$B$6*AD763))),MAX(0,1*AD726-(AH762-MIN(MAX(AH762,0),MAX(0,AD726-IF($A763&gt;='1-Input'!$C$12,'1-Input'!$B$12,0)))))*(1/(1-'P-Parametri'!$B$6*AD763))))</f>
        <v>11255.373481873459</v>
      </c>
      <c r="AF763" s="18">
        <f>IF($A763&gt;'1-Input'!$B$26,AH762,(AH762-MAX(0,AD726-IF($A763&gt;='1-Input'!$C$12,'1-Input'!$B$12,0))+AE763*(1-'P-Parametri'!$B$6*AD763))*(1+'1-Input'!$B$27))</f>
        <v>19938.406105220583</v>
      </c>
      <c r="AG763" s="18">
        <f>IF($A763&gt;'1-Input'!$B$26,AI762,(AI762-AE763)*(1+$D$4))</f>
        <v>78591.516885193647</v>
      </c>
      <c r="AH763" s="18">
        <f>IF($A763&gt;'1-Input'!$B$26,AF763,AF763-'P-Parametri'!$B$8*(AG763+AF763)+MIN(MAX(AG763,0),'P-Parametri'!$B$8*(AG763+AF763)))</f>
        <v>19938.406105220583</v>
      </c>
      <c r="AI763" s="18">
        <f>IF($A763&gt;'1-Input'!$B$26,AG763,AG763-MIN(MAX(AG763,0),'P-Parametri'!$B$8*(AG763+AF763)))</f>
        <v>78394.457039212823</v>
      </c>
      <c r="AJ763" s="18">
        <f>IF($A763&gt;'1-Input'!$B$26,AJ762,AJ762-AE763*(1-AD763))</f>
        <v>16823.903755507621</v>
      </c>
      <c r="AK763" s="11">
        <f>IF($A763&gt;'1-Input'!$B$26,0,IF(AP762&lt;=0,0,MAX(0,(AP762-AQ762)/AP762)))</f>
        <v>0.77736959869708011</v>
      </c>
      <c r="AL763" s="18">
        <f>IF($A763&gt;'1-Input'!$B$26,0,(MAX(0,AK726-IF($A763&gt;='1-Input'!$C$12,'1-Input'!$B$12,0))-MIN(MAX(AO762,0),MAX(0,AK726-IF($A763&gt;='1-Input'!$C$12,'1-Input'!$B$12,0))))*(1/(1-'P-Parametri'!$B$6*AK763))+MIN(MAX(0,AP762-(MAX(0,AK726-IF($A763&gt;='1-Input'!$C$12,'1-Input'!$B$12,0))-MIN(MAX(AO762,0),MAX(0,AK726-IF($A763&gt;='1-Input'!$C$12,'1-Input'!$B$12,0))))*(1/(1-'P-Parametri'!$B$6*AK763))),MAX(0,1*AK726-(AO762-MIN(MAX(AO762,0),MAX(0,AK726-IF($A763&gt;='1-Input'!$C$12,'1-Input'!$B$12,0)))))*(1/(1-'P-Parametri'!$B$6*AK763))))</f>
        <v>11255.398873683951</v>
      </c>
      <c r="AM763" s="18">
        <f>IF($A763&gt;'1-Input'!$B$26,AO762,(AO762-MAX(0,AK726-IF($A763&gt;='1-Input'!$C$12,'1-Input'!$B$12,0))+AL763*(1-'P-Parametri'!$B$6*AK763))*(1+'1-Input'!$B$27))</f>
        <v>19938.426257942814</v>
      </c>
      <c r="AN763" s="18">
        <f>IF($A763&gt;'1-Input'!$B$26,AP762,(AP762-AL763)*(1+$D$4))</f>
        <v>78589.726201020123</v>
      </c>
      <c r="AO763" s="18">
        <f>IF($A763&gt;'1-Input'!$B$26,AM763,AM763-'P-Parametri'!$B$8*(AN763+AM763)+MIN(MAX(AN763,0),'P-Parametri'!$B$8*(AN763+AM763)))</f>
        <v>19938.426257942814</v>
      </c>
      <c r="AP763" s="18">
        <f>IF($A763&gt;'1-Input'!$B$26,AN763,AN763-MIN(MAX(AN763,0),'P-Parametri'!$B$8*(AN763+AM763)))</f>
        <v>78392.66989610219</v>
      </c>
      <c r="AQ763" s="18">
        <f>IF($A763&gt;'1-Input'!$B$26,AQ762,AQ762-AL763*(1-AK763))</f>
        <v>16823.521425403567</v>
      </c>
    </row>
    <row r="764" spans="1:43">
      <c r="A764" s="10">
        <f>36</f>
        <v>36</v>
      </c>
      <c r="B764" s="11">
        <f>IF($A764&gt;'1-Input'!$B$26,0,IF(G763&lt;=0,0,MAX(0,(G763-H763)/G763)))</f>
        <v>0.78630174673536335</v>
      </c>
      <c r="C764" s="18">
        <f>IF($A764&gt;'1-Input'!$B$26,0,(MAX(0,B726-IF($A764&gt;='1-Input'!$C$12,'1-Input'!$B$12,0))-MIN(MAX(F763,0),MAX(0,B726-IF($A764&gt;='1-Input'!$C$12,'1-Input'!$B$12,0))))*(1/(1-'P-Parametri'!$B$6*B764))+MIN(MAX(0,G763-(MAX(0,B726-IF($A764&gt;='1-Input'!$C$12,'1-Input'!$B$12,0))-MIN(MAX(F763,0),MAX(0,B726-IF($A764&gt;='1-Input'!$C$12,'1-Input'!$B$12,0))))*(1/(1-'P-Parametri'!$B$6*B764))),MAX(0,1*B726-(F763-MIN(MAX(F763,0),MAX(0,B726-IF($A764&gt;='1-Input'!$C$12,'1-Input'!$B$12,0)))))*(1/(1-'P-Parametri'!$B$6*B764))))</f>
        <v>7088.2097597388811</v>
      </c>
      <c r="D764" s="18">
        <f>IF($A764&gt;'1-Input'!$B$26,F763,(F763-MAX(0,B726-IF($A764&gt;='1-Input'!$C$12,'1-Input'!$B$12,0))+C764*(1-'P-Parametri'!$B$6*B764))*(1+'1-Input'!$B$27))</f>
        <v>16621.00351549315</v>
      </c>
      <c r="E764" s="18">
        <f>IF($A764&gt;'1-Input'!$B$26,G763,(G763-C764)*(1+$D$4))</f>
        <v>380176.67797036737</v>
      </c>
      <c r="F764" s="18">
        <f>IF($A764&gt;'1-Input'!$B$26,D764,D764-'P-Parametri'!$B$8*(E764+D764)+MIN(MAX(E764,0),'P-Parametri'!$B$8*(E764+D764)))</f>
        <v>16621.00351549315</v>
      </c>
      <c r="G764" s="18">
        <f>IF($A764&gt;'1-Input'!$B$26,E764,E764-MIN(MAX(E764,0),'P-Parametri'!$B$8*(E764+D764)))</f>
        <v>379383.08260739566</v>
      </c>
      <c r="H764" s="18">
        <f>IF($A764&gt;'1-Input'!$B$26,H763,H763-C764*(1-B764))</f>
        <v>78118.357705980568</v>
      </c>
      <c r="I764" s="11">
        <f>IF($A764&gt;'1-Input'!$B$26,0,IF(N763&lt;=0,0,MAX(0,(N763-O763)/N763)))</f>
        <v>0</v>
      </c>
      <c r="J764" s="18">
        <f>IF($A764&gt;'1-Input'!$B$26,0,(MAX(0,I726-IF($A764&gt;='1-Input'!$C$12,'1-Input'!$B$12,0))-MIN(MAX(M763,0),MAX(0,I726-IF($A764&gt;='1-Input'!$C$12,'1-Input'!$B$12,0))))*(1/(1-'P-Parametri'!$B$6*I764))+MIN(MAX(0,N763-(MAX(0,I726-IF($A764&gt;='1-Input'!$C$12,'1-Input'!$B$12,0))-MIN(MAX(M763,0),MAX(0,I726-IF($A764&gt;='1-Input'!$C$12,'1-Input'!$B$12,0))))*(1/(1-'P-Parametri'!$B$6*I764))),MAX(0,1*I726-(M763-MIN(MAX(M763,0),MAX(0,I726-IF($A764&gt;='1-Input'!$C$12,'1-Input'!$B$12,0)))))*(1/(1-'P-Parametri'!$B$6*I764))))</f>
        <v>10846.756992928691</v>
      </c>
      <c r="K764" s="18">
        <f>IF($A764&gt;'1-Input'!$B$26,M763,(M763-MAX(0,I726-IF($A764&gt;='1-Input'!$C$12,'1-Input'!$B$12,0))+J764*(1-'P-Parametri'!$B$6*I764))*(1+'1-Input'!$B$27))</f>
        <v>0</v>
      </c>
      <c r="L764" s="18">
        <f>IF($A764&gt;'1-Input'!$B$26,N763,(N763-J764)*(1+$D$4))</f>
        <v>-60309.418358890558</v>
      </c>
      <c r="M764" s="18">
        <f>IF($A764&gt;'1-Input'!$B$26,K764,K764-'P-Parametri'!$B$8*(L764+K764)+MIN(MAX(L764,0),'P-Parametri'!$B$8*(L764+K764)))</f>
        <v>0</v>
      </c>
      <c r="N764" s="18">
        <f>IF($A764&gt;'1-Input'!$B$26,L764,L764-MIN(MAX(L764,0),'P-Parametri'!$B$8*(L764+K764)))</f>
        <v>-60188.799522172776</v>
      </c>
      <c r="O764" s="18">
        <f>IF($A764&gt;'1-Input'!$B$26,O763,O763-J764*(1-I764))</f>
        <v>-53789.161516533568</v>
      </c>
      <c r="P764" s="11">
        <f>IF($A764&gt;'1-Input'!$B$26,0,IF(U763&lt;=0,0,MAX(0,(U763-V763)/U763)))</f>
        <v>0.78503993879036993</v>
      </c>
      <c r="Q764" s="18">
        <f>IF($A764&gt;'1-Input'!$B$26,0,(MAX(0,P726-IF($A764&gt;='1-Input'!$C$12,'1-Input'!$B$12,0))-MIN(MAX(T763,0),MAX(0,P726-IF($A764&gt;='1-Input'!$C$12,'1-Input'!$B$12,0))))*(1/(1-'P-Parametri'!$B$6*P764))+MIN(MAX(0,U763-(MAX(0,P726-IF($A764&gt;='1-Input'!$C$12,'1-Input'!$B$12,0))-MIN(MAX(T763,0),MAX(0,P726-IF($A764&gt;='1-Input'!$C$12,'1-Input'!$B$12,0))))*(1/(1-'P-Parametri'!$B$6*P764))),MAX(0,1*P726-(T763-MIN(MAX(T763,0),MAX(0,P726-IF($A764&gt;='1-Input'!$C$12,'1-Input'!$B$12,0)))))*(1/(1-'P-Parametri'!$B$6*P764))))</f>
        <v>11724.875600911637</v>
      </c>
      <c r="R764" s="18">
        <f>IF($A764&gt;'1-Input'!$B$26,T763,(T763-MAX(0,P726-IF($A764&gt;='1-Input'!$C$12,'1-Input'!$B$12,0))+Q764*(1-'P-Parametri'!$B$6*P764))*(1+'1-Input'!$B$27))</f>
        <v>20287.111791944739</v>
      </c>
      <c r="S764" s="18">
        <f>IF($A764&gt;'1-Input'!$B$26,U763,(U763-Q764)*(1+$D$4))</f>
        <v>37177.876095197156</v>
      </c>
      <c r="T764" s="18">
        <f>IF($A764&gt;'1-Input'!$B$26,R764,R764-'P-Parametri'!$B$8*(S764+R764)+MIN(MAX(S764,0),'P-Parametri'!$B$8*(S764+R764)))</f>
        <v>20287.111791944739</v>
      </c>
      <c r="U764" s="18">
        <f>IF($A764&gt;'1-Input'!$B$26,S764,S764-MIN(MAX(S764,0),'P-Parametri'!$B$8*(S764+R764)))</f>
        <v>37062.946119422872</v>
      </c>
      <c r="V764" s="18">
        <f>IF($A764&gt;'1-Input'!$B$26,V763,V763-Q764*(1-P764))</f>
        <v>7684.3831933342572</v>
      </c>
      <c r="W764" s="11">
        <f>IF($A764&gt;'1-Input'!$B$26,0,IF(AB763&lt;=0,0,MAX(0,(AB763-AC763)/AB763)))</f>
        <v>0.78538774119695842</v>
      </c>
      <c r="X764" s="18">
        <f>IF($A764&gt;'1-Input'!$B$26,0,(MAX(0,W726-IF($A764&gt;='1-Input'!$C$12,'1-Input'!$B$12,0))-MIN(MAX(AA763,0),MAX(0,W726-IF($A764&gt;='1-Input'!$C$12,'1-Input'!$B$12,0))))*(1/(1-'P-Parametri'!$B$6*W764))+MIN(MAX(0,AB763-(MAX(0,W726-IF($A764&gt;='1-Input'!$C$12,'1-Input'!$B$12,0))-MIN(MAX(AA763,0),MAX(0,W726-IF($A764&gt;='1-Input'!$C$12,'1-Input'!$B$12,0))))*(1/(1-'P-Parametri'!$B$6*W764))),MAX(0,1*W726-(AA763-MIN(MAX(AA763,0),MAX(0,W726-IF($A764&gt;='1-Input'!$C$12,'1-Input'!$B$12,0)))))*(1/(1-'P-Parametri'!$B$6*W764))))</f>
        <v>11295.579232704329</v>
      </c>
      <c r="Y764" s="18">
        <f>IF($A764&gt;'1-Input'!$B$26,AA763,(AA763-MAX(0,W726-IF($A764&gt;='1-Input'!$C$12,'1-Input'!$B$12,0))+X764*(1-'P-Parametri'!$B$6*W764))*(1+'1-Input'!$B$27))</f>
        <v>19946.876372417511</v>
      </c>
      <c r="Z764" s="18">
        <f>IF($A764&gt;'1-Input'!$B$26,AB763,(AB763-X764)*(1+$D$4))</f>
        <v>69001.644852923229</v>
      </c>
      <c r="AA764" s="18">
        <f>IF($A764&gt;'1-Input'!$B$26,Y764,Y764-'P-Parametri'!$B$8*(Z764+Y764)+MIN(MAX(Z764,0),'P-Parametri'!$B$8*(Z764+Y764)))</f>
        <v>19946.876372417511</v>
      </c>
      <c r="AB764" s="18">
        <f>IF($A764&gt;'1-Input'!$B$26,Z764,Z764-MIN(MAX(Z764,0),'P-Parametri'!$B$8*(Z764+Y764)))</f>
        <v>68823.747810472545</v>
      </c>
      <c r="AC764" s="18">
        <f>IF($A764&gt;'1-Input'!$B$26,AC763,AC763-X764*(1-W764))</f>
        <v>14239.037368279922</v>
      </c>
      <c r="AD764" s="11">
        <f>IF($A764&gt;'1-Input'!$B$26,0,IF(AI763&lt;=0,0,MAX(0,(AI763-AJ763)/AI763)))</f>
        <v>0.78539421802370135</v>
      </c>
      <c r="AE764" s="18">
        <f>IF($A764&gt;'1-Input'!$B$26,0,(MAX(0,AD726-IF($A764&gt;='1-Input'!$C$12,'1-Input'!$B$12,0))-MIN(MAX(AH763,0),MAX(0,AD726-IF($A764&gt;='1-Input'!$C$12,'1-Input'!$B$12,0))))*(1/(1-'P-Parametri'!$B$6*AD764))+MIN(MAX(0,AI763-(MAX(0,AD726-IF($A764&gt;='1-Input'!$C$12,'1-Input'!$B$12,0))-MIN(MAX(AH763,0),MAX(0,AD726-IF($A764&gt;='1-Input'!$C$12,'1-Input'!$B$12,0))))*(1/(1-'P-Parametri'!$B$6*AD764))),MAX(0,1*AD726-(AH763-MIN(MAX(AH763,0),MAX(0,AD726-IF($A764&gt;='1-Input'!$C$12,'1-Input'!$B$12,0)))))*(1/(1-'P-Parametri'!$B$6*AD764))))</f>
        <v>11284.882476361987</v>
      </c>
      <c r="AF764" s="18">
        <f>IF($A764&gt;'1-Input'!$B$26,AH763,(AH763-MAX(0,AD726-IF($A764&gt;='1-Input'!$C$12,'1-Input'!$B$12,0))+AE764*(1-'P-Parametri'!$B$6*AD764))*(1+'1-Input'!$B$27))</f>
        <v>19938.406105220583</v>
      </c>
      <c r="AG764" s="18">
        <f>IF($A764&gt;'1-Input'!$B$26,AI763,(AI763-AE764)*(1+$D$4))</f>
        <v>69793.957545364872</v>
      </c>
      <c r="AH764" s="18">
        <f>IF($A764&gt;'1-Input'!$B$26,AF764,AF764-'P-Parametri'!$B$8*(AG764+AF764)+MIN(MAX(AG764,0),'P-Parametri'!$B$8*(AG764+AF764)))</f>
        <v>19938.406105220583</v>
      </c>
      <c r="AI764" s="18">
        <f>IF($A764&gt;'1-Input'!$B$26,AG764,AG764-MIN(MAX(AG764,0),'P-Parametri'!$B$8*(AG764+AF764)))</f>
        <v>69614.492818063707</v>
      </c>
      <c r="AJ764" s="18">
        <f>IF($A764&gt;'1-Input'!$B$26,AJ763,AJ763-AE764*(1-AD764))</f>
        <v>14402.102727157328</v>
      </c>
      <c r="AK764" s="11">
        <f>IF($A764&gt;'1-Input'!$B$26,0,IF(AP763&lt;=0,0,MAX(0,(AP763-AQ763)/AP763)))</f>
        <v>0.78539420270159643</v>
      </c>
      <c r="AL764" s="18">
        <f>IF($A764&gt;'1-Input'!$B$26,0,(MAX(0,AK726-IF($A764&gt;='1-Input'!$C$12,'1-Input'!$B$12,0))-MIN(MAX(AO763,0),MAX(0,AK726-IF($A764&gt;='1-Input'!$C$12,'1-Input'!$B$12,0))))*(1/(1-'P-Parametri'!$B$6*AK764))+MIN(MAX(0,AP763-(MAX(0,AK726-IF($A764&gt;='1-Input'!$C$12,'1-Input'!$B$12,0))-MIN(MAX(AO763,0),MAX(0,AK726-IF($A764&gt;='1-Input'!$C$12,'1-Input'!$B$12,0))))*(1/(1-'P-Parametri'!$B$6*AK764))),MAX(0,1*AK726-(AO763-MIN(MAX(AO763,0),MAX(0,AK726-IF($A764&gt;='1-Input'!$C$12,'1-Input'!$B$12,0)))))*(1/(1-'P-Parametri'!$B$6*AK764))))</f>
        <v>11284.907926793498</v>
      </c>
      <c r="AM764" s="18">
        <f>IF($A764&gt;'1-Input'!$B$26,AO763,(AO763-MAX(0,AK726-IF($A764&gt;='1-Input'!$C$12,'1-Input'!$B$12,0))+AL764*(1-'P-Parametri'!$B$6*AK764))*(1+'1-Input'!$B$27))</f>
        <v>19938.426257942814</v>
      </c>
      <c r="AN764" s="18">
        <f>IF($A764&gt;'1-Input'!$B$26,AP763,(AP763-AL764)*(1+$D$4))</f>
        <v>69792.072448081046</v>
      </c>
      <c r="AO764" s="18">
        <f>IF($A764&gt;'1-Input'!$B$26,AM764,AM764-'P-Parametri'!$B$8*(AN764+AM764)+MIN(MAX(AN764,0),'P-Parametri'!$B$8*(AN764+AM764)))</f>
        <v>19938.426257942814</v>
      </c>
      <c r="AP764" s="18">
        <f>IF($A764&gt;'1-Input'!$B$26,AN764,AN764-MIN(MAX(AN764,0),'P-Parametri'!$B$8*(AN764+AM764)))</f>
        <v>69612.611450668992</v>
      </c>
      <c r="AQ764" s="18">
        <f>IF($A764&gt;'1-Input'!$B$26,AQ763,AQ763-AL764*(1-AK764))</f>
        <v>14401.714762334974</v>
      </c>
    </row>
    <row r="765" spans="1:43">
      <c r="A765" s="10">
        <f>37</f>
        <v>37</v>
      </c>
      <c r="B765" s="11">
        <f>IF($A765&gt;'1-Input'!$B$26,0,IF(G764&lt;=0,0,MAX(0,(G764-H764)/G764)))</f>
        <v>0.79409108817110508</v>
      </c>
      <c r="C765" s="18">
        <f>IF($A765&gt;'1-Input'!$B$26,0,(MAX(0,B726-IF($A765&gt;='1-Input'!$C$12,'1-Input'!$B$12,0))-MIN(MAX(F764,0),MAX(0,B726-IF($A765&gt;='1-Input'!$C$12,'1-Input'!$B$12,0))))*(1/(1-'P-Parametri'!$B$6*B765))+MIN(MAX(0,G764-(MAX(0,B726-IF($A765&gt;='1-Input'!$C$12,'1-Input'!$B$12,0))-MIN(MAX(F764,0),MAX(0,B726-IF($A765&gt;='1-Input'!$C$12,'1-Input'!$B$12,0))))*(1/(1-'P-Parametri'!$B$6*B765))),MAX(0,1*B726-(F764-MIN(MAX(F764,0),MAX(0,B726-IF($A765&gt;='1-Input'!$C$12,'1-Input'!$B$12,0)))))*(1/(1-'P-Parametri'!$B$6*B765))))</f>
        <v>7106.2999794902134</v>
      </c>
      <c r="D765" s="18">
        <f>IF($A765&gt;'1-Input'!$B$26,F764,(F764-MAX(0,B726-IF($A765&gt;='1-Input'!$C$12,'1-Input'!$B$12,0))+C765*(1-'P-Parametri'!$B$6*B765))*(1+'1-Input'!$B$27))</f>
        <v>16621.00351549315</v>
      </c>
      <c r="E765" s="18">
        <f>IF($A765&gt;'1-Input'!$B$26,G764,(G764-C765)*(1+$D$4))</f>
        <v>387167.85393302166</v>
      </c>
      <c r="F765" s="18">
        <f>IF($A765&gt;'1-Input'!$B$26,D765,D765-'P-Parametri'!$B$8*(E765+D765)+MIN(MAX(E765,0),'P-Parametri'!$B$8*(E765+D765)))</f>
        <v>16621.00351549315</v>
      </c>
      <c r="G765" s="18">
        <f>IF($A765&gt;'1-Input'!$B$26,E765,E765-MIN(MAX(E765,0),'P-Parametri'!$B$8*(E765+D765)))</f>
        <v>386360.27621812461</v>
      </c>
      <c r="H765" s="18">
        <f>IF($A765&gt;'1-Input'!$B$26,H764,H764-C765*(1-B765))</f>
        <v>76655.107210074042</v>
      </c>
      <c r="I765" s="11">
        <f>IF($A765&gt;'1-Input'!$B$26,0,IF(N764&lt;=0,0,MAX(0,(N764-O764)/N764)))</f>
        <v>0</v>
      </c>
      <c r="J765" s="18">
        <f>IF($A765&gt;'1-Input'!$B$26,0,(MAX(0,I726-IF($A765&gt;='1-Input'!$C$12,'1-Input'!$B$12,0))-MIN(MAX(M764,0),MAX(0,I726-IF($A765&gt;='1-Input'!$C$12,'1-Input'!$B$12,0))))*(1/(1-'P-Parametri'!$B$6*I765))+MIN(MAX(0,N764-(MAX(0,I726-IF($A765&gt;='1-Input'!$C$12,'1-Input'!$B$12,0))-MIN(MAX(M764,0),MAX(0,I726-IF($A765&gt;='1-Input'!$C$12,'1-Input'!$B$12,0))))*(1/(1-'P-Parametri'!$B$6*I765))),MAX(0,1*I726-(M764-MIN(MAX(M764,0),MAX(0,I726-IF($A765&gt;='1-Input'!$C$12,'1-Input'!$B$12,0)))))*(1/(1-'P-Parametri'!$B$6*I765))))</f>
        <v>10846.756992928691</v>
      </c>
      <c r="K765" s="18">
        <f>IF($A765&gt;'1-Input'!$B$26,M764,(M764-MAX(0,I726-IF($A765&gt;='1-Input'!$C$12,'1-Input'!$B$12,0))+J765*(1-'P-Parametri'!$B$6*I765))*(1+'1-Input'!$B$27))</f>
        <v>0</v>
      </c>
      <c r="L765" s="18">
        <f>IF($A765&gt;'1-Input'!$B$26,N764,(N764-J765)*(1+$D$4))</f>
        <v>-73876.978775705516</v>
      </c>
      <c r="M765" s="18">
        <f>IF($A765&gt;'1-Input'!$B$26,K765,K765-'P-Parametri'!$B$8*(L765+K765)+MIN(MAX(L765,0),'P-Parametri'!$B$8*(L765+K765)))</f>
        <v>0</v>
      </c>
      <c r="N765" s="18">
        <f>IF($A765&gt;'1-Input'!$B$26,L765,L765-MIN(MAX(L765,0),'P-Parametri'!$B$8*(L765+K765)))</f>
        <v>-73729.224818154107</v>
      </c>
      <c r="O765" s="18">
        <f>IF($A765&gt;'1-Input'!$B$26,O764,O764-J765*(1-I765))</f>
        <v>-64635.918509462259</v>
      </c>
      <c r="P765" s="11">
        <f>IF($A765&gt;'1-Input'!$B$26,0,IF(U764&lt;=0,0,MAX(0,(U764-V764)/U764)))</f>
        <v>0.792666692804886</v>
      </c>
      <c r="Q765" s="18">
        <f>IF($A765&gt;'1-Input'!$B$26,0,(MAX(0,P726-IF($A765&gt;='1-Input'!$C$12,'1-Input'!$B$12,0))-MIN(MAX(T764,0),MAX(0,P726-IF($A765&gt;='1-Input'!$C$12,'1-Input'!$B$12,0))))*(1/(1-'P-Parametri'!$B$6*P765))+MIN(MAX(0,U764-(MAX(0,P726-IF($A765&gt;='1-Input'!$C$12,'1-Input'!$B$12,0))-MIN(MAX(T764,0),MAX(0,P726-IF($A765&gt;='1-Input'!$C$12,'1-Input'!$B$12,0))))*(1/(1-'P-Parametri'!$B$6*P765))),MAX(0,1*P726-(T764-MIN(MAX(T764,0),MAX(0,P726-IF($A765&gt;='1-Input'!$C$12,'1-Input'!$B$12,0)))))*(1/(1-'P-Parametri'!$B$6*P765))))</f>
        <v>11754.161049832184</v>
      </c>
      <c r="R765" s="18">
        <f>IF($A765&gt;'1-Input'!$B$26,T764,(T764-MAX(0,P726-IF($A765&gt;='1-Input'!$C$12,'1-Input'!$B$12,0))+Q765*(1-'P-Parametri'!$B$6*P765))*(1+'1-Input'!$B$27))</f>
        <v>20287.111791944739</v>
      </c>
      <c r="S765" s="18">
        <f>IF($A765&gt;'1-Input'!$B$26,U764,(U764-Q765)*(1+$D$4))</f>
        <v>26321.136472374317</v>
      </c>
      <c r="T765" s="18">
        <f>IF($A765&gt;'1-Input'!$B$26,R765,R765-'P-Parametri'!$B$8*(S765+R765)+MIN(MAX(S765,0),'P-Parametri'!$B$8*(S765+R765)))</f>
        <v>20287.111791944739</v>
      </c>
      <c r="U765" s="18">
        <f>IF($A765&gt;'1-Input'!$B$26,S765,S765-MIN(MAX(S765,0),'P-Parametri'!$B$8*(S765+R765)))</f>
        <v>26227.919975845678</v>
      </c>
      <c r="V765" s="18">
        <f>IF($A765&gt;'1-Input'!$B$26,V764,V764-Q765*(1-P765))</f>
        <v>5247.3541095685578</v>
      </c>
      <c r="W765" s="11">
        <f>IF($A765&gt;'1-Input'!$B$26,0,IF(AB764&lt;=0,0,MAX(0,(AB764-AC764)/AB764)))</f>
        <v>0.79310866058193297</v>
      </c>
      <c r="X765" s="18">
        <f>IF($A765&gt;'1-Input'!$B$26,0,(MAX(0,W726-IF($A765&gt;='1-Input'!$C$12,'1-Input'!$B$12,0))-MIN(MAX(AA764,0),MAX(0,W726-IF($A765&gt;='1-Input'!$C$12,'1-Input'!$B$12,0))))*(1/(1-'P-Parametri'!$B$6*W765))+MIN(MAX(0,AB764-(MAX(0,W726-IF($A765&gt;='1-Input'!$C$12,'1-Input'!$B$12,0))-MIN(MAX(AA764,0),MAX(0,W726-IF($A765&gt;='1-Input'!$C$12,'1-Input'!$B$12,0))))*(1/(1-'P-Parametri'!$B$6*W765))),MAX(0,1*W726-(AA764-MIN(MAX(AA764,0),MAX(0,W726-IF($A765&gt;='1-Input'!$C$12,'1-Input'!$B$12,0)))))*(1/(1-'P-Parametri'!$B$6*W765))))</f>
        <v>11324.144894645542</v>
      </c>
      <c r="Y765" s="18">
        <f>IF($A765&gt;'1-Input'!$B$26,AA764,(AA764-MAX(0,W726-IF($A765&gt;='1-Input'!$C$12,'1-Input'!$B$12,0))+X765*(1-'P-Parametri'!$B$6*W765))*(1+'1-Input'!$B$27))</f>
        <v>19946.876372417511</v>
      </c>
      <c r="Z765" s="18">
        <f>IF($A765&gt;'1-Input'!$B$26,AB764,(AB764-X765)*(1+$D$4))</f>
        <v>59799.587032460084</v>
      </c>
      <c r="AA765" s="18">
        <f>IF($A765&gt;'1-Input'!$B$26,Y765,Y765-'P-Parametri'!$B$8*(Z765+Y765)+MIN(MAX(Z765,0),'P-Parametri'!$B$8*(Z765+Y765)))</f>
        <v>19946.876372417511</v>
      </c>
      <c r="AB765" s="18">
        <f>IF($A765&gt;'1-Input'!$B$26,Z765,Z765-MIN(MAX(Z765,0),'P-Parametri'!$B$8*(Z765+Y765)))</f>
        <v>59640.094105650329</v>
      </c>
      <c r="AC765" s="18">
        <f>IF($A765&gt;'1-Input'!$B$26,AC764,AC764-X765*(1-W765))</f>
        <v>11896.169863262439</v>
      </c>
      <c r="AD765" s="11">
        <f>IF($A765&gt;'1-Input'!$B$26,0,IF(AI764&lt;=0,0,MAX(0,(AI764-AJ764)/AI764)))</f>
        <v>0.793116316098187</v>
      </c>
      <c r="AE765" s="18">
        <f>IF($A765&gt;'1-Input'!$B$26,0,(MAX(0,AD726-IF($A765&gt;='1-Input'!$C$12,'1-Input'!$B$12,0))-MIN(MAX(AH764,0),MAX(0,AD726-IF($A765&gt;='1-Input'!$C$12,'1-Input'!$B$12,0))))*(1/(1-'P-Parametri'!$B$6*AD765))+MIN(MAX(0,AI764-(MAX(0,AD726-IF($A765&gt;='1-Input'!$C$12,'1-Input'!$B$12,0))-MIN(MAX(AH764,0),MAX(0,AD726-IF($A765&gt;='1-Input'!$C$12,'1-Input'!$B$12,0))))*(1/(1-'P-Parametri'!$B$6*AD765))),MAX(0,1*AD726-(AH764-MIN(MAX(AH764,0),MAX(0,AD726-IF($A765&gt;='1-Input'!$C$12,'1-Input'!$B$12,0)))))*(1/(1-'P-Parametri'!$B$6*AD765))))</f>
        <v>11313.425515346484</v>
      </c>
      <c r="AF765" s="18">
        <f>IF($A765&gt;'1-Input'!$B$26,AH764,(AH764-MAX(0,AD726-IF($A765&gt;='1-Input'!$C$12,'1-Input'!$B$12,0))+AE765*(1-'P-Parametri'!$B$6*AD765))*(1+'1-Input'!$B$27))</f>
        <v>19938.406105220583</v>
      </c>
      <c r="AG765" s="18">
        <f>IF($A765&gt;'1-Input'!$B$26,AI764,(AI764-AE765)*(1+$D$4))</f>
        <v>60633.109994825914</v>
      </c>
      <c r="AH765" s="18">
        <f>IF($A765&gt;'1-Input'!$B$26,AF765,AF765-'P-Parametri'!$B$8*(AG765+AF765)+MIN(MAX(AG765,0),'P-Parametri'!$B$8*(AG765+AF765)))</f>
        <v>19938.406105220583</v>
      </c>
      <c r="AI765" s="18">
        <f>IF($A765&gt;'1-Input'!$B$26,AG765,AG765-MIN(MAX(AG765,0),'P-Parametri'!$B$8*(AG765+AF765)))</f>
        <v>60471.966962625818</v>
      </c>
      <c r="AJ765" s="18">
        <f>IF($A765&gt;'1-Input'!$B$26,AJ764,AJ764-AE765*(1-AD765))</f>
        <v>12061.539578993679</v>
      </c>
      <c r="AK765" s="11">
        <f>IF($A765&gt;'1-Input'!$B$26,0,IF(AP764&lt;=0,0,MAX(0,(AP764-AQ764)/AP764)))</f>
        <v>0.7931162980067088</v>
      </c>
      <c r="AL765" s="18">
        <f>IF($A765&gt;'1-Input'!$B$26,0,(MAX(0,AK726-IF($A765&gt;='1-Input'!$C$12,'1-Input'!$B$12,0))-MIN(MAX(AO764,0),MAX(0,AK726-IF($A765&gt;='1-Input'!$C$12,'1-Input'!$B$12,0))))*(1/(1-'P-Parametri'!$B$6*AK765))+MIN(MAX(0,AP764-(MAX(0,AK726-IF($A765&gt;='1-Input'!$C$12,'1-Input'!$B$12,0))-MIN(MAX(AO764,0),MAX(0,AK726-IF($A765&gt;='1-Input'!$C$12,'1-Input'!$B$12,0))))*(1/(1-'P-Parametri'!$B$6*AK765))),MAX(0,1*AK726-(AO764-MIN(MAX(AO764,0),MAX(0,AK726-IF($A765&gt;='1-Input'!$C$12,'1-Input'!$B$12,0)))))*(1/(1-'P-Parametri'!$B$6*AK765))))</f>
        <v>11313.451019744647</v>
      </c>
      <c r="AM765" s="18">
        <f>IF($A765&gt;'1-Input'!$B$26,AO764,(AO764-MAX(0,AK726-IF($A765&gt;='1-Input'!$C$12,'1-Input'!$B$12,0))+AL765*(1-'P-Parametri'!$B$6*AK765))*(1+'1-Input'!$B$27))</f>
        <v>19938.426257942814</v>
      </c>
      <c r="AN765" s="18">
        <f>IF($A765&gt;'1-Input'!$B$26,AP764,(AP764-AL765)*(1+$D$4))</f>
        <v>60631.126848161315</v>
      </c>
      <c r="AO765" s="18">
        <f>IF($A765&gt;'1-Input'!$B$26,AM765,AM765-'P-Parametri'!$B$8*(AN765+AM765)+MIN(MAX(AN765,0),'P-Parametri'!$B$8*(AN765+AM765)))</f>
        <v>19938.426257942814</v>
      </c>
      <c r="AP765" s="18">
        <f>IF($A765&gt;'1-Input'!$B$26,AN765,AN765-MIN(MAX(AN765,0),'P-Parametri'!$B$8*(AN765+AM765)))</f>
        <v>60469.987741949109</v>
      </c>
      <c r="AQ765" s="18">
        <f>IF($A765&gt;'1-Input'!$B$26,AQ764,AQ764-AL765*(1-AK765))</f>
        <v>12061.146133050426</v>
      </c>
    </row>
    <row r="766" spans="1:43">
      <c r="A766" s="10">
        <f>38</f>
        <v>38</v>
      </c>
      <c r="B766" s="11">
        <f>IF($A766&gt;'1-Input'!$B$26,0,IF(G765&lt;=0,0,MAX(0,(G765-H765)/G765)))</f>
        <v>0.80159682056237735</v>
      </c>
      <c r="C766" s="18">
        <f>IF($A766&gt;'1-Input'!$B$26,0,(MAX(0,B726-IF($A766&gt;='1-Input'!$C$12,'1-Input'!$B$12,0))-MIN(MAX(F765,0),MAX(0,B726-IF($A766&gt;='1-Input'!$C$12,'1-Input'!$B$12,0))))*(1/(1-'P-Parametri'!$B$6*B766))+MIN(MAX(0,G765-(MAX(0,B726-IF($A766&gt;='1-Input'!$C$12,'1-Input'!$B$12,0))-MIN(MAX(F765,0),MAX(0,B726-IF($A766&gt;='1-Input'!$C$12,'1-Input'!$B$12,0))))*(1/(1-'P-Parametri'!$B$6*B766))),MAX(0,1*B726-(F765-MIN(MAX(F765,0),MAX(0,B726-IF($A766&gt;='1-Input'!$C$12,'1-Input'!$B$12,0)))))*(1/(1-'P-Parametri'!$B$6*B766))))</f>
        <v>7123.8191080497418</v>
      </c>
      <c r="D766" s="18">
        <f>IF($A766&gt;'1-Input'!$B$26,F765,(F765-MAX(0,B726-IF($A766&gt;='1-Input'!$C$12,'1-Input'!$B$12,0))+C766*(1-'P-Parametri'!$B$6*B766))*(1+'1-Input'!$B$27))</f>
        <v>16621.00351549315</v>
      </c>
      <c r="E766" s="18">
        <f>IF($A766&gt;'1-Input'!$B$26,G765,(G765-C766)*(1+$D$4))</f>
        <v>394405.9153944779</v>
      </c>
      <c r="F766" s="18">
        <f>IF($A766&gt;'1-Input'!$B$26,D766,D766-'P-Parametri'!$B$8*(E766+D766)+MIN(MAX(E766,0),'P-Parametri'!$B$8*(E766+D766)))</f>
        <v>16621.00351549315</v>
      </c>
      <c r="G766" s="18">
        <f>IF($A766&gt;'1-Input'!$B$26,E766,E766-MIN(MAX(E766,0),'P-Parametri'!$B$8*(E766+D766)))</f>
        <v>393583.86155665794</v>
      </c>
      <c r="H766" s="18">
        <f>IF($A766&gt;'1-Input'!$B$26,H765,H765-C766*(1-B766))</f>
        <v>75241.718849298486</v>
      </c>
      <c r="I766" s="11">
        <f>IF($A766&gt;'1-Input'!$B$26,0,IF(N765&lt;=0,0,MAX(0,(N765-O765)/N765)))</f>
        <v>0</v>
      </c>
      <c r="J766" s="18">
        <f>IF($A766&gt;'1-Input'!$B$26,0,(MAX(0,I726-IF($A766&gt;='1-Input'!$C$12,'1-Input'!$B$12,0))-MIN(MAX(M765,0),MAX(0,I726-IF($A766&gt;='1-Input'!$C$12,'1-Input'!$B$12,0))))*(1/(1-'P-Parametri'!$B$6*I766))+MIN(MAX(0,N765-(MAX(0,I726-IF($A766&gt;='1-Input'!$C$12,'1-Input'!$B$12,0))-MIN(MAX(M765,0),MAX(0,I726-IF($A766&gt;='1-Input'!$C$12,'1-Input'!$B$12,0))))*(1/(1-'P-Parametri'!$B$6*I766))),MAX(0,1*I726-(M765-MIN(MAX(M765,0),MAX(0,I726-IF($A766&gt;='1-Input'!$C$12,'1-Input'!$B$12,0)))))*(1/(1-'P-Parametri'!$B$6*I766))))</f>
        <v>10846.756992928691</v>
      </c>
      <c r="K766" s="18">
        <f>IF($A766&gt;'1-Input'!$B$26,M765,(M765-MAX(0,I726-IF($A766&gt;='1-Input'!$C$12,'1-Input'!$B$12,0))+J766*(1-'P-Parametri'!$B$6*I766))*(1+'1-Input'!$B$27))</f>
        <v>0</v>
      </c>
      <c r="L766" s="18">
        <f>IF($A766&gt;'1-Input'!$B$26,N765,(N765-J766)*(1+$D$4))</f>
        <v>-87959.021083526124</v>
      </c>
      <c r="M766" s="18">
        <f>IF($A766&gt;'1-Input'!$B$26,K766,K766-'P-Parametri'!$B$8*(L766+K766)+MIN(MAX(L766,0),'P-Parametri'!$B$8*(L766+K766)))</f>
        <v>0</v>
      </c>
      <c r="N766" s="18">
        <f>IF($A766&gt;'1-Input'!$B$26,L766,L766-MIN(MAX(L766,0),'P-Parametri'!$B$8*(L766+K766)))</f>
        <v>-87783.103041359078</v>
      </c>
      <c r="O766" s="18">
        <f>IF($A766&gt;'1-Input'!$B$26,O765,O765-J766*(1-I766))</f>
        <v>-75482.67550239095</v>
      </c>
      <c r="P766" s="11">
        <f>IF($A766&gt;'1-Input'!$B$26,0,IF(U765&lt;=0,0,MAX(0,(U765-V765)/U765)))</f>
        <v>0.79993251030195867</v>
      </c>
      <c r="Q766" s="18">
        <f>IF($A766&gt;'1-Input'!$B$26,0,(MAX(0,P726-IF($A766&gt;='1-Input'!$C$12,'1-Input'!$B$12,0))-MIN(MAX(T765,0),MAX(0,P726-IF($A766&gt;='1-Input'!$C$12,'1-Input'!$B$12,0))))*(1/(1-'P-Parametri'!$B$6*P766))+MIN(MAX(0,U765-(MAX(0,P726-IF($A766&gt;='1-Input'!$C$12,'1-Input'!$B$12,0))-MIN(MAX(T765,0),MAX(0,P726-IF($A766&gt;='1-Input'!$C$12,'1-Input'!$B$12,0))))*(1/(1-'P-Parametri'!$B$6*P766))),MAX(0,1*P726-(T765-MIN(MAX(T765,0),MAX(0,P726-IF($A766&gt;='1-Input'!$C$12,'1-Input'!$B$12,0)))))*(1/(1-'P-Parametri'!$B$6*P766))))</f>
        <v>11782.196960425465</v>
      </c>
      <c r="R766" s="18">
        <f>IF($A766&gt;'1-Input'!$B$26,T765,(T765-MAX(0,P726-IF($A766&gt;='1-Input'!$C$12,'1-Input'!$B$12,0))+Q766*(1-'P-Parametri'!$B$6*P766))*(1+'1-Input'!$B$27))</f>
        <v>20287.111791944742</v>
      </c>
      <c r="S766" s="18">
        <f>IF($A766&gt;'1-Input'!$B$26,U765,(U765-Q766)*(1+$D$4))</f>
        <v>15023.551936037022</v>
      </c>
      <c r="T766" s="18">
        <f>IF($A766&gt;'1-Input'!$B$26,R766,R766-'P-Parametri'!$B$8*(S766+R766)+MIN(MAX(S766,0),'P-Parametri'!$B$8*(S766+R766)))</f>
        <v>20287.111791944742</v>
      </c>
      <c r="U766" s="18">
        <f>IF($A766&gt;'1-Input'!$B$26,S766,S766-MIN(MAX(S766,0),'P-Parametri'!$B$8*(S766+R766)))</f>
        <v>14952.930608581059</v>
      </c>
      <c r="V766" s="18">
        <f>IF($A766&gt;'1-Input'!$B$26,V765,V765-Q766*(1-P766))</f>
        <v>2890.119540568342</v>
      </c>
      <c r="W766" s="11">
        <f>IF($A766&gt;'1-Input'!$B$26,0,IF(AB765&lt;=0,0,MAX(0,(AB765-AC765)/AB765)))</f>
        <v>0.80053401924234402</v>
      </c>
      <c r="X766" s="18">
        <f>IF($A766&gt;'1-Input'!$B$26,0,(MAX(0,W726-IF($A766&gt;='1-Input'!$C$12,'1-Input'!$B$12,0))-MIN(MAX(AA765,0),MAX(0,W726-IF($A766&gt;='1-Input'!$C$12,'1-Input'!$B$12,0))))*(1/(1-'P-Parametri'!$B$6*W766))+MIN(MAX(0,AB765-(MAX(0,W726-IF($A766&gt;='1-Input'!$C$12,'1-Input'!$B$12,0))-MIN(MAX(AA765,0),MAX(0,W726-IF($A766&gt;='1-Input'!$C$12,'1-Input'!$B$12,0))))*(1/(1-'P-Parametri'!$B$6*W766))),MAX(0,1*W726-(AA765-MIN(MAX(AA765,0),MAX(0,W726-IF($A766&gt;='1-Input'!$C$12,'1-Input'!$B$12,0)))))*(1/(1-'P-Parametri'!$B$6*W766))))</f>
        <v>11351.753671230921</v>
      </c>
      <c r="Y766" s="18">
        <f>IF($A766&gt;'1-Input'!$B$26,AA765,(AA765-MAX(0,W726-IF($A766&gt;='1-Input'!$C$12,'1-Input'!$B$12,0))+X766*(1-'P-Parametri'!$B$6*W766))*(1+'1-Input'!$B$27))</f>
        <v>19946.876372417511</v>
      </c>
      <c r="Z766" s="18">
        <f>IF($A766&gt;'1-Input'!$B$26,AB765,(AB765-X766)*(1+$D$4))</f>
        <v>50219.874051796185</v>
      </c>
      <c r="AA766" s="18">
        <f>IF($A766&gt;'1-Input'!$B$26,Y766,Y766-'P-Parametri'!$B$8*(Z766+Y766)+MIN(MAX(Z766,0),'P-Parametri'!$B$8*(Z766+Y766)))</f>
        <v>19946.876372417511</v>
      </c>
      <c r="AB766" s="18">
        <f>IF($A766&gt;'1-Input'!$B$26,Z766,Z766-MIN(MAX(Z766,0),'P-Parametri'!$B$8*(Z766+Y766)))</f>
        <v>50079.540550947757</v>
      </c>
      <c r="AC766" s="18">
        <f>IF($A766&gt;'1-Input'!$B$26,AC765,AC765-X766*(1-W766))</f>
        <v>9631.8811839110422</v>
      </c>
      <c r="AD766" s="11">
        <f>IF($A766&gt;'1-Input'!$B$26,0,IF(AI765&lt;=0,0,MAX(0,(AI765-AJ765)/AI765)))</f>
        <v>0.80054328997685464</v>
      </c>
      <c r="AE766" s="18">
        <f>IF($A766&gt;'1-Input'!$B$26,0,(MAX(0,AD726-IF($A766&gt;='1-Input'!$C$12,'1-Input'!$B$12,0))-MIN(MAX(AH765,0),MAX(0,AD726-IF($A766&gt;='1-Input'!$C$12,'1-Input'!$B$12,0))))*(1/(1-'P-Parametri'!$B$6*AD766))+MIN(MAX(0,AI765-(MAX(0,AD726-IF($A766&gt;='1-Input'!$C$12,'1-Input'!$B$12,0))-MIN(MAX(AH765,0),MAX(0,AD726-IF($A766&gt;='1-Input'!$C$12,'1-Input'!$B$12,0))))*(1/(1-'P-Parametri'!$B$6*AD766))),MAX(0,1*AD726-(AH765-MIN(MAX(AH765,0),MAX(0,AD726-IF($A766&gt;='1-Input'!$C$12,'1-Input'!$B$12,0)))))*(1/(1-'P-Parametri'!$B$6*AD766))))</f>
        <v>11341.014241557821</v>
      </c>
      <c r="AF766" s="18">
        <f>IF($A766&gt;'1-Input'!$B$26,AH765,(AH765-MAX(0,AD726-IF($A766&gt;='1-Input'!$C$12,'1-Input'!$B$12,0))+AE766*(1-'P-Parametri'!$B$6*AD766))*(1+'1-Input'!$B$27))</f>
        <v>19938.406105220583</v>
      </c>
      <c r="AG766" s="18">
        <f>IF($A766&gt;'1-Input'!$B$26,AI765,(AI765-AE766)*(1+$D$4))</f>
        <v>51096.190829910716</v>
      </c>
      <c r="AH766" s="18">
        <f>IF($A766&gt;'1-Input'!$B$26,AF766,AF766-'P-Parametri'!$B$8*(AG766+AF766)+MIN(MAX(AG766,0),'P-Parametri'!$B$8*(AG766+AF766)))</f>
        <v>19938.406105220583</v>
      </c>
      <c r="AI766" s="18">
        <f>IF($A766&gt;'1-Input'!$B$26,AG766,AG766-MIN(MAX(AG766,0),'P-Parametri'!$B$8*(AG766+AF766)))</f>
        <v>50954.121636040451</v>
      </c>
      <c r="AJ766" s="18">
        <f>IF($A766&gt;'1-Input'!$B$26,AJ765,AJ765-AE766*(1-AD766))</f>
        <v>9799.4981900469193</v>
      </c>
      <c r="AK766" s="11">
        <f>IF($A766&gt;'1-Input'!$B$26,0,IF(AP765&lt;=0,0,MAX(0,(AP765-AQ765)/AP765)))</f>
        <v>0.80054326809986454</v>
      </c>
      <c r="AL766" s="18">
        <f>IF($A766&gt;'1-Input'!$B$26,0,(MAX(0,AK726-IF($A766&gt;='1-Input'!$C$12,'1-Input'!$B$12,0))-MIN(MAX(AO765,0),MAX(0,AK726-IF($A766&gt;='1-Input'!$C$12,'1-Input'!$B$12,0))))*(1/(1-'P-Parametri'!$B$6*AK766))+MIN(MAX(0,AP765-(MAX(0,AK726-IF($A766&gt;='1-Input'!$C$12,'1-Input'!$B$12,0))-MIN(MAX(AO765,0),MAX(0,AK726-IF($A766&gt;='1-Input'!$C$12,'1-Input'!$B$12,0))))*(1/(1-'P-Parametri'!$B$6*AK766))),MAX(0,1*AK726-(AO765-MIN(MAX(AO765,0),MAX(0,AK726-IF($A766&gt;='1-Input'!$C$12,'1-Input'!$B$12,0)))))*(1/(1-'P-Parametri'!$B$6*AK766))))</f>
        <v>11341.039793890461</v>
      </c>
      <c r="AM766" s="18">
        <f>IF($A766&gt;'1-Input'!$B$26,AO765,(AO765-MAX(0,AK726-IF($A766&gt;='1-Input'!$C$12,'1-Input'!$B$12,0))+AL766*(1-'P-Parametri'!$B$6*AK766))*(1+'1-Input'!$B$27))</f>
        <v>19938.426257942814</v>
      </c>
      <c r="AN766" s="18">
        <f>IF($A766&gt;'1-Input'!$B$26,AP765,(AP765-AL766)*(1+$D$4))</f>
        <v>51094.105865980993</v>
      </c>
      <c r="AO766" s="18">
        <f>IF($A766&gt;'1-Input'!$B$26,AM766,AM766-'P-Parametri'!$B$8*(AN766+AM766)+MIN(MAX(AN766,0),'P-Parametri'!$B$8*(AN766+AM766)))</f>
        <v>19938.426257942814</v>
      </c>
      <c r="AP766" s="18">
        <f>IF($A766&gt;'1-Input'!$B$26,AN766,AN766-MIN(MAX(AN766,0),'P-Parametri'!$B$8*(AN766+AM766)))</f>
        <v>50952.040801733143</v>
      </c>
      <c r="AQ766" s="18">
        <f>IF($A766&gt;'1-Input'!$B$26,AQ765,AQ765-AL766*(1-AK766))</f>
        <v>9799.0993994116488</v>
      </c>
    </row>
    <row r="767" spans="1:43">
      <c r="A767" s="10">
        <f>39</f>
        <v>39</v>
      </c>
      <c r="B767" s="11">
        <f>IF($A767&gt;'1-Input'!$B$26,0,IF(G766&lt;=0,0,MAX(0,(G766-H766)/G766)))</f>
        <v>0.80882925800943406</v>
      </c>
      <c r="C767" s="18">
        <f>IF($A767&gt;'1-Input'!$B$26,0,(MAX(0,B726-IF($A767&gt;='1-Input'!$C$12,'1-Input'!$B$12,0))-MIN(MAX(F766,0),MAX(0,B726-IF($A767&gt;='1-Input'!$C$12,'1-Input'!$B$12,0))))*(1/(1-'P-Parametri'!$B$6*B767))+MIN(MAX(0,G766-(MAX(0,B726-IF($A767&gt;='1-Input'!$C$12,'1-Input'!$B$12,0))-MIN(MAX(F766,0),MAX(0,B726-IF($A767&gt;='1-Input'!$C$12,'1-Input'!$B$12,0))))*(1/(1-'P-Parametri'!$B$6*B767))),MAX(0,1*B726-(F766-MIN(MAX(F766,0),MAX(0,B726-IF($A767&gt;='1-Input'!$C$12,'1-Input'!$B$12,0)))))*(1/(1-'P-Parametri'!$B$6*B767))))</f>
        <v>7140.7822526159262</v>
      </c>
      <c r="D767" s="18">
        <f>IF($A767&gt;'1-Input'!$B$26,F766,(F766-MAX(0,B726-IF($A767&gt;='1-Input'!$C$12,'1-Input'!$B$12,0))+C767*(1-'P-Parametri'!$B$6*B767))*(1+'1-Input'!$B$27))</f>
        <v>16621.00351549315</v>
      </c>
      <c r="E767" s="18">
        <f>IF($A767&gt;'1-Input'!$B$26,G766,(G766-C767)*(1+$D$4))</f>
        <v>401900.80247620371</v>
      </c>
      <c r="F767" s="18">
        <f>IF($A767&gt;'1-Input'!$B$26,D767,D767-'P-Parametri'!$B$8*(E767+D767)+MIN(MAX(E767,0),'P-Parametri'!$B$8*(E767+D767)))</f>
        <v>16621.00351549315</v>
      </c>
      <c r="G767" s="18">
        <f>IF($A767&gt;'1-Input'!$B$26,E767,E767-MIN(MAX(E767,0),'P-Parametri'!$B$8*(E767+D767)))</f>
        <v>401063.75886422029</v>
      </c>
      <c r="H767" s="18">
        <f>IF($A767&gt;'1-Input'!$B$26,H766,H766-C767*(1-B767))</f>
        <v>73876.610207672828</v>
      </c>
      <c r="I767" s="11">
        <f>IF($A767&gt;'1-Input'!$B$26,0,IF(N766&lt;=0,0,MAX(0,(N766-O766)/N766)))</f>
        <v>0</v>
      </c>
      <c r="J767" s="18">
        <f>IF($A767&gt;'1-Input'!$B$26,0,(MAX(0,I726-IF($A767&gt;='1-Input'!$C$12,'1-Input'!$B$12,0))-MIN(MAX(M766,0),MAX(0,I726-IF($A767&gt;='1-Input'!$C$12,'1-Input'!$B$12,0))))*(1/(1-'P-Parametri'!$B$6*I767))+MIN(MAX(0,N766-(MAX(0,I726-IF($A767&gt;='1-Input'!$C$12,'1-Input'!$B$12,0))-MIN(MAX(M766,0),MAX(0,I726-IF($A767&gt;='1-Input'!$C$12,'1-Input'!$B$12,0))))*(1/(1-'P-Parametri'!$B$6*I767))),MAX(0,1*I726-(M766-MIN(MAX(M766,0),MAX(0,I726-IF($A767&gt;='1-Input'!$C$12,'1-Input'!$B$12,0)))))*(1/(1-'P-Parametri'!$B$6*I767))))</f>
        <v>10846.756992928691</v>
      </c>
      <c r="K767" s="18">
        <f>IF($A767&gt;'1-Input'!$B$26,M766,(M766-MAX(0,I726-IF($A767&gt;='1-Input'!$C$12,'1-Input'!$B$12,0))+J767*(1-'P-Parametri'!$B$6*I767))*(1+'1-Input'!$B$27))</f>
        <v>0</v>
      </c>
      <c r="L767" s="18">
        <f>IF($A767&gt;'1-Input'!$B$26,N766,(N766-J767)*(1+$D$4))</f>
        <v>-102575.05443565927</v>
      </c>
      <c r="M767" s="18">
        <f>IF($A767&gt;'1-Input'!$B$26,K767,K767-'P-Parametri'!$B$8*(L767+K767)+MIN(MAX(L767,0),'P-Parametri'!$B$8*(L767+K767)))</f>
        <v>0</v>
      </c>
      <c r="N767" s="18">
        <f>IF($A767&gt;'1-Input'!$B$26,L767,L767-MIN(MAX(L767,0),'P-Parametri'!$B$8*(L767+K767)))</f>
        <v>-102369.90432678796</v>
      </c>
      <c r="O767" s="18">
        <f>IF($A767&gt;'1-Input'!$B$26,O766,O766-J767*(1-I767))</f>
        <v>-86329.432495319634</v>
      </c>
      <c r="P767" s="11">
        <f>IF($A767&gt;'1-Input'!$B$26,0,IF(U766&lt;=0,0,MAX(0,(U766-V766)/U766)))</f>
        <v>0.80671885557271406</v>
      </c>
      <c r="Q767" s="18">
        <f>IF($A767&gt;'1-Input'!$B$26,0,(MAX(0,P726-IF($A767&gt;='1-Input'!$C$12,'1-Input'!$B$12,0))-MIN(MAX(T766,0),MAX(0,P726-IF($A767&gt;='1-Input'!$C$12,'1-Input'!$B$12,0))))*(1/(1-'P-Parametri'!$B$6*P767))+MIN(MAX(0,U766-(MAX(0,P726-IF($A767&gt;='1-Input'!$C$12,'1-Input'!$B$12,0))-MIN(MAX(T766,0),MAX(0,P726-IF($A767&gt;='1-Input'!$C$12,'1-Input'!$B$12,0))))*(1/(1-'P-Parametri'!$B$6*P767))),MAX(0,1*P726-(T766-MIN(MAX(T766,0),MAX(0,P726-IF($A767&gt;='1-Input'!$C$12,'1-Input'!$B$12,0)))))*(1/(1-'P-Parametri'!$B$6*P767))))</f>
        <v>11808.503842089081</v>
      </c>
      <c r="R767" s="18">
        <f>IF($A767&gt;'1-Input'!$B$26,T766,(T766-MAX(0,P726-IF($A767&gt;='1-Input'!$C$12,'1-Input'!$B$12,0))+Q767*(1-'P-Parametri'!$B$6*P767))*(1+'1-Input'!$B$27))</f>
        <v>20287.111791944739</v>
      </c>
      <c r="S767" s="18">
        <f>IF($A767&gt;'1-Input'!$B$26,U766,(U766-Q767)*(1+$D$4))</f>
        <v>3270.2038371516564</v>
      </c>
      <c r="T767" s="18">
        <f>IF($A767&gt;'1-Input'!$B$26,R767,R767-'P-Parametri'!$B$8*(S767+R767)+MIN(MAX(S767,0),'P-Parametri'!$B$8*(S767+R767)))</f>
        <v>20287.111791944739</v>
      </c>
      <c r="U767" s="18">
        <f>IF($A767&gt;'1-Input'!$B$26,S767,S767-MIN(MAX(S767,0),'P-Parametri'!$B$8*(S767+R767)))</f>
        <v>3223.0892058934637</v>
      </c>
      <c r="V767" s="18">
        <f>IF($A767&gt;'1-Input'!$B$26,V766,V766-Q767*(1-P767))</f>
        <v>607.75840399536128</v>
      </c>
      <c r="W767" s="11">
        <f>IF($A767&gt;'1-Input'!$B$26,0,IF(AB766&lt;=0,0,MAX(0,(AB766-AC766)/AB766)))</f>
        <v>0.80766833964636364</v>
      </c>
      <c r="X767" s="18">
        <f>IF($A767&gt;'1-Input'!$B$26,0,(MAX(0,W726-IF($A767&gt;='1-Input'!$C$12,'1-Input'!$B$12,0))-MIN(MAX(AA766,0),MAX(0,W726-IF($A767&gt;='1-Input'!$C$12,'1-Input'!$B$12,0))))*(1/(1-'P-Parametri'!$B$6*W767))+MIN(MAX(0,AB766-(MAX(0,W726-IF($A767&gt;='1-Input'!$C$12,'1-Input'!$B$12,0))-MIN(MAX(AA766,0),MAX(0,W726-IF($A767&gt;='1-Input'!$C$12,'1-Input'!$B$12,0))))*(1/(1-'P-Parametri'!$B$6*W767))),MAX(0,1*W726-(AA766-MIN(MAX(AA766,0),MAX(0,W726-IF($A767&gt;='1-Input'!$C$12,'1-Input'!$B$12,0)))))*(1/(1-'P-Parametri'!$B$6*W767))))</f>
        <v>11378.407426091564</v>
      </c>
      <c r="Y767" s="18">
        <f>IF($A767&gt;'1-Input'!$B$26,AA766,(AA766-MAX(0,W726-IF($A767&gt;='1-Input'!$C$12,'1-Input'!$B$12,0))+X767*(1-'P-Parametri'!$B$6*W767))*(1+'1-Input'!$B$27))</f>
        <v>19946.876372417511</v>
      </c>
      <c r="Z767" s="18">
        <f>IF($A767&gt;'1-Input'!$B$26,AB766,(AB766-X767)*(1+$D$4))</f>
        <v>40249.178449850442</v>
      </c>
      <c r="AA767" s="18">
        <f>IF($A767&gt;'1-Input'!$B$26,Y767,Y767-'P-Parametri'!$B$8*(Z767+Y767)+MIN(MAX(Z767,0),'P-Parametri'!$B$8*(Z767+Y767)))</f>
        <v>19946.876372417511</v>
      </c>
      <c r="AB767" s="18">
        <f>IF($A767&gt;'1-Input'!$B$26,Z767,Z767-MIN(MAX(Z767,0),'P-Parametri'!$B$8*(Z767+Y767)))</f>
        <v>40128.786340205908</v>
      </c>
      <c r="AC767" s="18">
        <f>IF($A767&gt;'1-Input'!$B$26,AC766,AC766-X767*(1-W767))</f>
        <v>7443.4531914707059</v>
      </c>
      <c r="AD767" s="11">
        <f>IF($A767&gt;'1-Input'!$B$26,0,IF(AI766&lt;=0,0,MAX(0,(AI766-AJ766)/AI766)))</f>
        <v>0.80767997022804883</v>
      </c>
      <c r="AE767" s="18">
        <f>IF($A767&gt;'1-Input'!$B$26,0,(MAX(0,AD726-IF($A767&gt;='1-Input'!$C$12,'1-Input'!$B$12,0))-MIN(MAX(AH766,0),MAX(0,AD726-IF($A767&gt;='1-Input'!$C$12,'1-Input'!$B$12,0))))*(1/(1-'P-Parametri'!$B$6*AD767))+MIN(MAX(0,AI766-(MAX(0,AD726-IF($A767&gt;='1-Input'!$C$12,'1-Input'!$B$12,0))-MIN(MAX(AH766,0),MAX(0,AD726-IF($A767&gt;='1-Input'!$C$12,'1-Input'!$B$12,0))))*(1/(1-'P-Parametri'!$B$6*AD767))),MAX(0,1*AD726-(AH766-MIN(MAX(AH766,0),MAX(0,AD726-IF($A767&gt;='1-Input'!$C$12,'1-Input'!$B$12,0)))))*(1/(1-'P-Parametri'!$B$6*AD767))))</f>
        <v>11367.651690379585</v>
      </c>
      <c r="AF767" s="18">
        <f>IF($A767&gt;'1-Input'!$B$26,AH766,(AH766-MAX(0,AD726-IF($A767&gt;='1-Input'!$C$12,'1-Input'!$B$12,0))+AE767*(1-'P-Parametri'!$B$6*AD767))*(1+'1-Input'!$B$27))</f>
        <v>19938.406105220583</v>
      </c>
      <c r="AG767" s="18">
        <f>IF($A767&gt;'1-Input'!$B$26,AI766,(AI766-AE767)*(1+$D$4))</f>
        <v>41169.928743487304</v>
      </c>
      <c r="AH767" s="18">
        <f>IF($A767&gt;'1-Input'!$B$26,AF767,AF767-'P-Parametri'!$B$8*(AG767+AF767)+MIN(MAX(AG767,0),'P-Parametri'!$B$8*(AG767+AF767)))</f>
        <v>19938.406105220583</v>
      </c>
      <c r="AI767" s="18">
        <f>IF($A767&gt;'1-Input'!$B$26,AG767,AG767-MIN(MAX(AG767,0),'P-Parametri'!$B$8*(AG767+AF767)))</f>
        <v>41047.712073789888</v>
      </c>
      <c r="AJ767" s="18">
        <f>IF($A767&gt;'1-Input'!$B$26,AJ766,AJ766-AE767*(1-AD767))</f>
        <v>7613.2710785159461</v>
      </c>
      <c r="AK767" s="11">
        <f>IF($A767&gt;'1-Input'!$B$26,0,IF(AP766&lt;=0,0,MAX(0,(AP766-AQ766)/AP766)))</f>
        <v>0.80767994283992772</v>
      </c>
      <c r="AL767" s="18">
        <f>IF($A767&gt;'1-Input'!$B$26,0,(MAX(0,AK726-IF($A767&gt;='1-Input'!$C$12,'1-Input'!$B$12,0))-MIN(MAX(AO766,0),MAX(0,AK726-IF($A767&gt;='1-Input'!$C$12,'1-Input'!$B$12,0))))*(1/(1-'P-Parametri'!$B$6*AK767))+MIN(MAX(0,AP766-(MAX(0,AK726-IF($A767&gt;='1-Input'!$C$12,'1-Input'!$B$12,0))-MIN(MAX(AO766,0),MAX(0,AK726-IF($A767&gt;='1-Input'!$C$12,'1-Input'!$B$12,0))))*(1/(1-'P-Parametri'!$B$6*AK767))),MAX(0,1*AK726-(AO766-MIN(MAX(AO766,0),MAX(0,AK726-IF($A767&gt;='1-Input'!$C$12,'1-Input'!$B$12,0)))))*(1/(1-'P-Parametri'!$B$6*AK767))))</f>
        <v>11367.677281918526</v>
      </c>
      <c r="AM767" s="18">
        <f>IF($A767&gt;'1-Input'!$B$26,AO766,(AO766-MAX(0,AK726-IF($A767&gt;='1-Input'!$C$12,'1-Input'!$B$12,0))+AL767*(1-'P-Parametri'!$B$6*AK767))*(1+'1-Input'!$B$27))</f>
        <v>19938.426257942814</v>
      </c>
      <c r="AN767" s="18">
        <f>IF($A767&gt;'1-Input'!$B$26,AP766,(AP766-AL767)*(1+$D$4))</f>
        <v>41167.738060607204</v>
      </c>
      <c r="AO767" s="18">
        <f>IF($A767&gt;'1-Input'!$B$26,AM767,AM767-'P-Parametri'!$B$8*(AN767+AM767)+MIN(MAX(AN767,0),'P-Parametri'!$B$8*(AN767+AM767)))</f>
        <v>19938.426257942814</v>
      </c>
      <c r="AP767" s="18">
        <f>IF($A767&gt;'1-Input'!$B$26,AN767,AN767-MIN(MAX(AN767,0),'P-Parametri'!$B$8*(AN767+AM767)))</f>
        <v>41045.525731970105</v>
      </c>
      <c r="AQ767" s="18">
        <f>IF($A767&gt;'1-Input'!$B$26,AQ766,AQ766-AL767*(1-AK767))</f>
        <v>7612.8670547758229</v>
      </c>
    </row>
    <row r="768" spans="1:43">
      <c r="A768" s="10">
        <f>40</f>
        <v>40</v>
      </c>
      <c r="B768" s="11">
        <f>IF($A768&gt;'1-Input'!$B$26,0,IF(G767&lt;=0,0,MAX(0,(G767-H767)/G767)))</f>
        <v>0.81579833985278216</v>
      </c>
      <c r="C768" s="18">
        <f>IF($A768&gt;'1-Input'!$B$26,0,(MAX(0,B726-IF($A768&gt;='1-Input'!$C$12,'1-Input'!$B$12,0))-MIN(MAX(F767,0),MAX(0,B726-IF($A768&gt;='1-Input'!$C$12,'1-Input'!$B$12,0))))*(1/(1-'P-Parametri'!$B$6*B768))+MIN(MAX(0,G767-(MAX(0,B726-IF($A768&gt;='1-Input'!$C$12,'1-Input'!$B$12,0))-MIN(MAX(F767,0),MAX(0,B726-IF($A768&gt;='1-Input'!$C$12,'1-Input'!$B$12,0))))*(1/(1-'P-Parametri'!$B$6*B768))),MAX(0,1*B726-(F767-MIN(MAX(F767,0),MAX(0,B726-IF($A768&gt;='1-Input'!$C$12,'1-Input'!$B$12,0)))))*(1/(1-'P-Parametri'!$B$6*B768))))</f>
        <v>7157.2043178952417</v>
      </c>
      <c r="D768" s="18">
        <f>IF($A768&gt;'1-Input'!$B$26,F767,(F767-MAX(0,B726-IF($A768&gt;='1-Input'!$C$12,'1-Input'!$B$12,0))+C768*(1-'P-Parametri'!$B$6*B768))*(1+'1-Input'!$B$27))</f>
        <v>16621.00351549315</v>
      </c>
      <c r="E768" s="18">
        <f>IF($A768&gt;'1-Input'!$B$26,G767,(G767-C768)*(1+$D$4))</f>
        <v>409662.81672817806</v>
      </c>
      <c r="F768" s="18">
        <f>IF($A768&gt;'1-Input'!$B$26,D768,D768-'P-Parametri'!$B$8*(E768+D768)+MIN(MAX(E768,0),'P-Parametri'!$B$8*(E768+D768)))</f>
        <v>16621.00351549315</v>
      </c>
      <c r="G768" s="18">
        <f>IF($A768&gt;'1-Input'!$B$26,E768,E768-MIN(MAX(E768,0),'P-Parametri'!$B$8*(E768+D768)))</f>
        <v>408810.24908769072</v>
      </c>
      <c r="H768" s="18">
        <f>IF($A768&gt;'1-Input'!$B$26,H767,H767-C768*(1-B768))</f>
        <v>72558.241290303689</v>
      </c>
      <c r="I768" s="11">
        <f>IF($A768&gt;'1-Input'!$B$26,0,IF(N767&lt;=0,0,MAX(0,(N767-O767)/N767)))</f>
        <v>0</v>
      </c>
      <c r="J768" s="18">
        <f>IF($A768&gt;'1-Input'!$B$26,0,(MAX(0,I726-IF($A768&gt;='1-Input'!$C$12,'1-Input'!$B$12,0))-MIN(MAX(M767,0),MAX(0,I726-IF($A768&gt;='1-Input'!$C$12,'1-Input'!$B$12,0))))*(1/(1-'P-Parametri'!$B$6*I768))+MIN(MAX(0,N767-(MAX(0,I726-IF($A768&gt;='1-Input'!$C$12,'1-Input'!$B$12,0))-MIN(MAX(M767,0),MAX(0,I726-IF($A768&gt;='1-Input'!$C$12,'1-Input'!$B$12,0))))*(1/(1-'P-Parametri'!$B$6*I768))),MAX(0,1*I726-(M767-MIN(MAX(M767,0),MAX(0,I726-IF($A768&gt;='1-Input'!$C$12,'1-Input'!$B$12,0)))))*(1/(1-'P-Parametri'!$B$6*I768))))</f>
        <v>10846.756992928691</v>
      </c>
      <c r="K768" s="18">
        <f>IF($A768&gt;'1-Input'!$B$26,M767,(M767-MAX(0,I726-IF($A768&gt;='1-Input'!$C$12,'1-Input'!$B$12,0))+J768*(1-'P-Parametri'!$B$6*I768))*(1+'1-Input'!$B$27))</f>
        <v>0</v>
      </c>
      <c r="L768" s="18">
        <f>IF($A768&gt;'1-Input'!$B$26,N767,(N767-J768)*(1+$D$4))</f>
        <v>-117745.32777250533</v>
      </c>
      <c r="M768" s="18">
        <f>IF($A768&gt;'1-Input'!$B$26,K768,K768-'P-Parametri'!$B$8*(L768+K768)+MIN(MAX(L768,0),'P-Parametri'!$B$8*(L768+K768)))</f>
        <v>0</v>
      </c>
      <c r="N768" s="18">
        <f>IF($A768&gt;'1-Input'!$B$26,L768,L768-MIN(MAX(L768,0),'P-Parametri'!$B$8*(L768+K768)))</f>
        <v>-117509.83711696032</v>
      </c>
      <c r="O768" s="18">
        <f>IF($A768&gt;'1-Input'!$B$26,O767,O767-J768*(1-I768))</f>
        <v>-97176.189488248318</v>
      </c>
      <c r="P768" s="11">
        <f>IF($A768&gt;'1-Input'!$B$26,0,IF(U767&lt;=0,0,MAX(0,(U767-V767)/U767)))</f>
        <v>0.81143605864706858</v>
      </c>
      <c r="Q768" s="18">
        <f>IF($A768&gt;'1-Input'!$B$26,0,(MAX(0,P726-IF($A768&gt;='1-Input'!$C$12,'1-Input'!$B$12,0))-MIN(MAX(T767,0),MAX(0,P726-IF($A768&gt;='1-Input'!$C$12,'1-Input'!$B$12,0))))*(1/(1-'P-Parametri'!$B$6*P768))+MIN(MAX(0,U767-(MAX(0,P726-IF($A768&gt;='1-Input'!$C$12,'1-Input'!$B$12,0))-MIN(MAX(T767,0),MAX(0,P726-IF($A768&gt;='1-Input'!$C$12,'1-Input'!$B$12,0))))*(1/(1-'P-Parametri'!$B$6*P768))),MAX(0,1*P726-(T767-MIN(MAX(T767,0),MAX(0,P726-IF($A768&gt;='1-Input'!$C$12,'1-Input'!$B$12,0)))))*(1/(1-'P-Parametri'!$B$6*P768))))</f>
        <v>3223.0892058934637</v>
      </c>
      <c r="R768" s="18">
        <f>IF($A768&gt;'1-Input'!$B$26,T767,(T767-MAX(0,P726-IF($A768&gt;='1-Input'!$C$12,'1-Input'!$B$12,0))+Q768*(1-'P-Parametri'!$B$6*P768))*(1+'1-Input'!$B$27))</f>
        <v>13522.947223438314</v>
      </c>
      <c r="S768" s="18">
        <f>IF($A768&gt;'1-Input'!$B$26,U767,(U767-Q768)*(1+$D$4))</f>
        <v>0</v>
      </c>
      <c r="T768" s="18">
        <f>IF($A768&gt;'1-Input'!$B$26,R768,R768-'P-Parametri'!$B$8*(S768+R768)+MIN(MAX(S768,0),'P-Parametri'!$B$8*(S768+R768)))</f>
        <v>13495.901328991436</v>
      </c>
      <c r="U768" s="18">
        <f>IF($A768&gt;'1-Input'!$B$26,S768,S768-MIN(MAX(S768,0),'P-Parametri'!$B$8*(S768+R768)))</f>
        <v>0</v>
      </c>
      <c r="V768" s="18">
        <f>IF($A768&gt;'1-Input'!$B$26,V767,V767-Q768*(1-P768))</f>
        <v>-1.1368683772161603E-13</v>
      </c>
      <c r="W768" s="11">
        <f>IF($A768&gt;'1-Input'!$B$26,0,IF(AB767&lt;=0,0,MAX(0,(AB767-AC767)/AB767)))</f>
        <v>0.81451088183016029</v>
      </c>
      <c r="X768" s="18">
        <f>IF($A768&gt;'1-Input'!$B$26,0,(MAX(0,W726-IF($A768&gt;='1-Input'!$C$12,'1-Input'!$B$12,0))-MIN(MAX(AA767,0),MAX(0,W726-IF($A768&gt;='1-Input'!$C$12,'1-Input'!$B$12,0))))*(1/(1-'P-Parametri'!$B$6*W768))+MIN(MAX(0,AB767-(MAX(0,W726-IF($A768&gt;='1-Input'!$C$12,'1-Input'!$B$12,0))-MIN(MAX(AA767,0),MAX(0,W726-IF($A768&gt;='1-Input'!$C$12,'1-Input'!$B$12,0))))*(1/(1-'P-Parametri'!$B$6*W768))),MAX(0,1*W726-(AA767-MIN(MAX(AA767,0),MAX(0,W726-IF($A768&gt;='1-Input'!$C$12,'1-Input'!$B$12,0)))))*(1/(1-'P-Parametri'!$B$6*W768))))</f>
        <v>11404.088957100881</v>
      </c>
      <c r="Y768" s="18">
        <f>IF($A768&gt;'1-Input'!$B$26,AA767,(AA767-MAX(0,W726-IF($A768&gt;='1-Input'!$C$12,'1-Input'!$B$12,0))+X768*(1-'P-Parametri'!$B$6*W768))*(1+'1-Input'!$B$27))</f>
        <v>19946.876372417511</v>
      </c>
      <c r="Z768" s="18">
        <f>IF($A768&gt;'1-Input'!$B$26,AB767,(AB767-X768)*(1+$D$4))</f>
        <v>29873.685278429228</v>
      </c>
      <c r="AA768" s="18">
        <f>IF($A768&gt;'1-Input'!$B$26,Y768,Y768-'P-Parametri'!$B$8*(Z768+Y768)+MIN(MAX(Z768,0),'P-Parametri'!$B$8*(Z768+Y768)))</f>
        <v>19946.876372417511</v>
      </c>
      <c r="AB768" s="18">
        <f>IF($A768&gt;'1-Input'!$B$26,Z768,Z768-MIN(MAX(Z768,0),'P-Parametri'!$B$8*(Z768+Y768)))</f>
        <v>29774.044155127533</v>
      </c>
      <c r="AC768" s="18">
        <f>IF($A768&gt;'1-Input'!$B$26,AC767,AC767-X768*(1-W768))</f>
        <v>5328.1187872876562</v>
      </c>
      <c r="AD768" s="11">
        <f>IF($A768&gt;'1-Input'!$B$26,0,IF(AI767&lt;=0,0,MAX(0,(AI767-AJ767)/AI767)))</f>
        <v>0.81452629893647033</v>
      </c>
      <c r="AE768" s="18">
        <f>IF($A768&gt;'1-Input'!$B$26,0,(MAX(0,AD726-IF($A768&gt;='1-Input'!$C$12,'1-Input'!$B$12,0))-MIN(MAX(AH767,0),MAX(0,AD726-IF($A768&gt;='1-Input'!$C$12,'1-Input'!$B$12,0))))*(1/(1-'P-Parametri'!$B$6*AD768))+MIN(MAX(0,AI767-(MAX(0,AD726-IF($A768&gt;='1-Input'!$C$12,'1-Input'!$B$12,0))-MIN(MAX(AH767,0),MAX(0,AD726-IF($A768&gt;='1-Input'!$C$12,'1-Input'!$B$12,0))))*(1/(1-'P-Parametri'!$B$6*AD768))),MAX(0,1*AD726-(AH767-MIN(MAX(AH767,0),MAX(0,AD726-IF($A768&gt;='1-Input'!$C$12,'1-Input'!$B$12,0)))))*(1/(1-'P-Parametri'!$B$6*AD768))))</f>
        <v>11393.323274010172</v>
      </c>
      <c r="AF768" s="18">
        <f>IF($A768&gt;'1-Input'!$B$26,AH767,(AH767-MAX(0,AD726-IF($A768&gt;='1-Input'!$C$12,'1-Input'!$B$12,0))+AE768*(1-'P-Parametri'!$B$6*AD768))*(1+'1-Input'!$B$27))</f>
        <v>19938.406105220583</v>
      </c>
      <c r="AG768" s="18">
        <f>IF($A768&gt;'1-Input'!$B$26,AI767,(AI767-AE768)*(1+$D$4))</f>
        <v>30840.564351770903</v>
      </c>
      <c r="AH768" s="18">
        <f>IF($A768&gt;'1-Input'!$B$26,AF768,AF768-'P-Parametri'!$B$8*(AG768+AF768)+MIN(MAX(AG768,0),'P-Parametri'!$B$8*(AG768+AF768)))</f>
        <v>19938.406105220583</v>
      </c>
      <c r="AI768" s="18">
        <f>IF($A768&gt;'1-Input'!$B$26,AG768,AG768-MIN(MAX(AG768,0),'P-Parametri'!$B$8*(AG768+AF768)))</f>
        <v>30739.00641085692</v>
      </c>
      <c r="AJ768" s="18">
        <f>IF($A768&gt;'1-Input'!$B$26,AJ767,AJ767-AE768*(1-AD768))</f>
        <v>5500.1092434720285</v>
      </c>
      <c r="AK768" s="11">
        <f>IF($A768&gt;'1-Input'!$B$26,0,IF(AP767&lt;=0,0,MAX(0,(AP767-AQ767)/AP767)))</f>
        <v>0.8145262627530141</v>
      </c>
      <c r="AL768" s="18">
        <f>IF($A768&gt;'1-Input'!$B$26,0,(MAX(0,AK726-IF($A768&gt;='1-Input'!$C$12,'1-Input'!$B$12,0))-MIN(MAX(AO767,0),MAX(0,AK726-IF($A768&gt;='1-Input'!$C$12,'1-Input'!$B$12,0))))*(1/(1-'P-Parametri'!$B$6*AK768))+MIN(MAX(0,AP767-(MAX(0,AK726-IF($A768&gt;='1-Input'!$C$12,'1-Input'!$B$12,0))-MIN(MAX(AO767,0),MAX(0,AK726-IF($A768&gt;='1-Input'!$C$12,'1-Input'!$B$12,0))))*(1/(1-'P-Parametri'!$B$6*AK768))),MAX(0,1*AK726-(AO767-MIN(MAX(AO767,0),MAX(0,AK726-IF($A768&gt;='1-Input'!$C$12,'1-Input'!$B$12,0)))))*(1/(1-'P-Parametri'!$B$6*AK768))))</f>
        <v>11393.348890056301</v>
      </c>
      <c r="AM768" s="18">
        <f>IF($A768&gt;'1-Input'!$B$26,AO767,(AO767-MAX(0,AK726-IF($A768&gt;='1-Input'!$C$12,'1-Input'!$B$12,0))+AL768*(1-'P-Parametri'!$B$6*AK768))*(1+'1-Input'!$B$27))</f>
        <v>19938.426257942814</v>
      </c>
      <c r="AN768" s="18">
        <f>IF($A768&gt;'1-Input'!$B$26,AP767,(AP767-AL768)*(1+$D$4))</f>
        <v>30838.263915590356</v>
      </c>
      <c r="AO768" s="18">
        <f>IF($A768&gt;'1-Input'!$B$26,AM768,AM768-'P-Parametri'!$B$8*(AN768+AM768)+MIN(MAX(AN768,0),'P-Parametri'!$B$8*(AN768+AM768)))</f>
        <v>19938.426257942814</v>
      </c>
      <c r="AP768" s="18">
        <f>IF($A768&gt;'1-Input'!$B$26,AN768,AN768-MIN(MAX(AN768,0),'P-Parametri'!$B$8*(AN768+AM768)))</f>
        <v>30736.710535243288</v>
      </c>
      <c r="AQ768" s="18">
        <f>IF($A768&gt;'1-Input'!$B$26,AQ767,AQ767-AL768*(1-AK768))</f>
        <v>5499.7000563782822</v>
      </c>
    </row>
    <row r="769" spans="1:43">
      <c r="A769" s="10">
        <f>41</f>
        <v>41</v>
      </c>
      <c r="B769" s="11">
        <f>IF($A769&gt;'1-Input'!$B$26,0,IF(G768&lt;=0,0,MAX(0,(G768-H768)/G768)))</f>
        <v>0.82251364428307228</v>
      </c>
      <c r="C769" s="18">
        <f>IF($A769&gt;'1-Input'!$B$26,0,(MAX(0,B726-IF($A769&gt;='1-Input'!$C$12,'1-Input'!$B$12,0))-MIN(MAX(F768,0),MAX(0,B726-IF($A769&gt;='1-Input'!$C$12,'1-Input'!$B$12,0))))*(1/(1-'P-Parametri'!$B$6*B769))+MIN(MAX(0,G768-(MAX(0,B726-IF($A769&gt;='1-Input'!$C$12,'1-Input'!$B$12,0))-MIN(MAX(F768,0),MAX(0,B726-IF($A769&gt;='1-Input'!$C$12,'1-Input'!$B$12,0))))*(1/(1-'P-Parametri'!$B$6*B769))),MAX(0,1*B726-(F768-MIN(MAX(F768,0),MAX(0,B726-IF($A769&gt;='1-Input'!$C$12,'1-Input'!$B$12,0)))))*(1/(1-'P-Parametri'!$B$6*B769))))</f>
        <v>7173.0999941846076</v>
      </c>
      <c r="D769" s="18">
        <f>IF($A769&gt;'1-Input'!$B$26,F768,(F768-MAX(0,B726-IF($A769&gt;='1-Input'!$C$12,'1-Input'!$B$12,0))+C769*(1-'P-Parametri'!$B$6*B769))*(1+'1-Input'!$B$27))</f>
        <v>16621.00351549315</v>
      </c>
      <c r="E769" s="18">
        <f>IF($A769&gt;'1-Input'!$B$26,G768,(G768-C769)*(1+$D$4))</f>
        <v>417702.63505724637</v>
      </c>
      <c r="F769" s="18">
        <f>IF($A769&gt;'1-Input'!$B$26,D769,D769-'P-Parametri'!$B$8*(E769+D769)+MIN(MAX(E769,0),'P-Parametri'!$B$8*(E769+D769)))</f>
        <v>16621.00351549315</v>
      </c>
      <c r="G769" s="18">
        <f>IF($A769&gt;'1-Input'!$B$26,E769,E769-MIN(MAX(E769,0),'P-Parametri'!$B$8*(E769+D769)))</f>
        <v>416833.9877801009</v>
      </c>
      <c r="H769" s="18">
        <f>IF($A769&gt;'1-Input'!$B$26,H768,H768-C769*(1-B769))</f>
        <v>71285.113913142748</v>
      </c>
      <c r="I769" s="11">
        <f>IF($A769&gt;'1-Input'!$B$26,0,IF(N768&lt;=0,0,MAX(0,(N768-O768)/N768)))</f>
        <v>0</v>
      </c>
      <c r="J769" s="18">
        <f>IF($A769&gt;'1-Input'!$B$26,0,(MAX(0,I726-IF($A769&gt;='1-Input'!$C$12,'1-Input'!$B$12,0))-MIN(MAX(M768,0),MAX(0,I726-IF($A769&gt;='1-Input'!$C$12,'1-Input'!$B$12,0))))*(1/(1-'P-Parametri'!$B$6*I769))+MIN(MAX(0,N768-(MAX(0,I726-IF($A769&gt;='1-Input'!$C$12,'1-Input'!$B$12,0))-MIN(MAX(M768,0),MAX(0,I726-IF($A769&gt;='1-Input'!$C$12,'1-Input'!$B$12,0))))*(1/(1-'P-Parametri'!$B$6*I769))),MAX(0,1*I726-(M768-MIN(MAX(M768,0),MAX(0,I726-IF($A769&gt;='1-Input'!$C$12,'1-Input'!$B$12,0)))))*(1/(1-'P-Parametri'!$B$6*I769))))</f>
        <v>10846.756992928691</v>
      </c>
      <c r="K769" s="18">
        <f>IF($A769&gt;'1-Input'!$B$26,M768,(M768-MAX(0,I726-IF($A769&gt;='1-Input'!$C$12,'1-Input'!$B$12,0))+J769*(1-'P-Parametri'!$B$6*I769))*(1+'1-Input'!$B$27))</f>
        <v>0</v>
      </c>
      <c r="L769" s="18">
        <f>IF($A769&gt;'1-Input'!$B$26,N768,(N768-J769)*(1+$D$4))</f>
        <v>-133490.85787428456</v>
      </c>
      <c r="M769" s="18">
        <f>IF($A769&gt;'1-Input'!$B$26,K769,K769-'P-Parametri'!$B$8*(L769+K769)+MIN(MAX(L769,0),'P-Parametri'!$B$8*(L769+K769)))</f>
        <v>0</v>
      </c>
      <c r="N769" s="18">
        <f>IF($A769&gt;'1-Input'!$B$26,L769,L769-MIN(MAX(L769,0),'P-Parametri'!$B$8*(L769+K769)))</f>
        <v>-133223.87615853598</v>
      </c>
      <c r="O769" s="18">
        <f>IF($A769&gt;'1-Input'!$B$26,O768,O768-J769*(1-I769))</f>
        <v>-108022.946481177</v>
      </c>
      <c r="P769" s="11">
        <f>IF($A769&gt;'1-Input'!$B$26,0,IF(U768&lt;=0,0,MAX(0,(U768-V768)/U768)))</f>
        <v>0</v>
      </c>
      <c r="Q769" s="18">
        <f>IF($A769&gt;'1-Input'!$B$26,0,(MAX(0,P726-IF($A769&gt;='1-Input'!$C$12,'1-Input'!$B$12,0))-MIN(MAX(T768,0),MAX(0,P726-IF($A769&gt;='1-Input'!$C$12,'1-Input'!$B$12,0))))*(1/(1-'P-Parametri'!$B$6*P769))+MIN(MAX(0,U768-(MAX(0,P726-IF($A769&gt;='1-Input'!$C$12,'1-Input'!$B$12,0))-MIN(MAX(T768,0),MAX(0,P726-IF($A769&gt;='1-Input'!$C$12,'1-Input'!$B$12,0))))*(1/(1-'P-Parametri'!$B$6*P769))),MAX(0,1*P726-(T768-MIN(MAX(T768,0),MAX(0,P726-IF($A769&gt;='1-Input'!$C$12,'1-Input'!$B$12,0)))))*(1/(1-'P-Parametri'!$B$6*P769))))</f>
        <v>0</v>
      </c>
      <c r="R769" s="18">
        <f>IF($A769&gt;'1-Input'!$B$26,T768,(T768-MAX(0,P726-IF($A769&gt;='1-Input'!$C$12,'1-Input'!$B$12,0))+Q769*(1-'P-Parametri'!$B$6*P769))*(1+'1-Input'!$B$27))</f>
        <v>4222.2370922623277</v>
      </c>
      <c r="S769" s="18">
        <f>IF($A769&gt;'1-Input'!$B$26,U768,(U768-Q769)*(1+$D$4))</f>
        <v>0</v>
      </c>
      <c r="T769" s="18">
        <f>IF($A769&gt;'1-Input'!$B$26,R769,R769-'P-Parametri'!$B$8*(S769+R769)+MIN(MAX(S769,0),'P-Parametri'!$B$8*(S769+R769)))</f>
        <v>4213.7926180778031</v>
      </c>
      <c r="U769" s="18">
        <f>IF($A769&gt;'1-Input'!$B$26,S769,S769-MIN(MAX(S769,0),'P-Parametri'!$B$8*(S769+R769)))</f>
        <v>0</v>
      </c>
      <c r="V769" s="18">
        <f>IF($A769&gt;'1-Input'!$B$26,V768,V768-Q769*(1-P769))</f>
        <v>-1.1368683772161603E-13</v>
      </c>
      <c r="W769" s="11">
        <f>IF($A769&gt;'1-Input'!$B$26,0,IF(AB768&lt;=0,0,MAX(0,(AB768-AC768)/AB768)))</f>
        <v>0.82104820025364011</v>
      </c>
      <c r="X769" s="18">
        <f>IF($A769&gt;'1-Input'!$B$26,0,(MAX(0,W726-IF($A769&gt;='1-Input'!$C$12,'1-Input'!$B$12,0))-MIN(MAX(AA768,0),MAX(0,W726-IF($A769&gt;='1-Input'!$C$12,'1-Input'!$B$12,0))))*(1/(1-'P-Parametri'!$B$6*W769))+MIN(MAX(0,AB768-(MAX(0,W726-IF($A769&gt;='1-Input'!$C$12,'1-Input'!$B$12,0))-MIN(MAX(AA768,0),MAX(0,W726-IF($A769&gt;='1-Input'!$C$12,'1-Input'!$B$12,0))))*(1/(1-'P-Parametri'!$B$6*W769))),MAX(0,1*W726-(AA768-MIN(MAX(AA768,0),MAX(0,W726-IF($A769&gt;='1-Input'!$C$12,'1-Input'!$B$12,0)))))*(1/(1-'P-Parametri'!$B$6*W769))))</f>
        <v>11428.733438837675</v>
      </c>
      <c r="Y769" s="18">
        <f>IF($A769&gt;'1-Input'!$B$26,AA768,(AA768-MAX(0,W726-IF($A769&gt;='1-Input'!$C$12,'1-Input'!$B$12,0))+X769*(1-'P-Parametri'!$B$6*W769))*(1+'1-Input'!$B$27))</f>
        <v>19946.876372417511</v>
      </c>
      <c r="Z769" s="18">
        <f>IF($A769&gt;'1-Input'!$B$26,AB768,(AB768-X769)*(1+$D$4))</f>
        <v>19079.123144941455</v>
      </c>
      <c r="AA769" s="18">
        <f>IF($A769&gt;'1-Input'!$B$26,Y769,Y769-'P-Parametri'!$B$8*(Z769+Y769)+MIN(MAX(Z769,0),'P-Parametri'!$B$8*(Z769+Y769)))</f>
        <v>19946.876372417511</v>
      </c>
      <c r="AB769" s="18">
        <f>IF($A769&gt;'1-Input'!$B$26,Z769,Z769-MIN(MAX(Z769,0),'P-Parametri'!$B$8*(Z769+Y769)))</f>
        <v>19001.071145906739</v>
      </c>
      <c r="AC769" s="18">
        <f>IF($A769&gt;'1-Input'!$B$26,AC768,AC768-X769*(1-W769))</f>
        <v>3282.9263695862496</v>
      </c>
      <c r="AD769" s="11">
        <f>IF($A769&gt;'1-Input'!$B$26,0,IF(AI768&lt;=0,0,MAX(0,(AI768-AJ768)/AI768)))</f>
        <v>0.82107068881935608</v>
      </c>
      <c r="AE769" s="18">
        <f>IF($A769&gt;'1-Input'!$B$26,0,(MAX(0,AD726-IF($A769&gt;='1-Input'!$C$12,'1-Input'!$B$12,0))-MIN(MAX(AH768,0),MAX(0,AD726-IF($A769&gt;='1-Input'!$C$12,'1-Input'!$B$12,0))))*(1/(1-'P-Parametri'!$B$6*AD769))+MIN(MAX(0,AI768-(MAX(0,AD726-IF($A769&gt;='1-Input'!$C$12,'1-Input'!$B$12,0))-MIN(MAX(AH768,0),MAX(0,AD726-IF($A769&gt;='1-Input'!$C$12,'1-Input'!$B$12,0))))*(1/(1-'P-Parametri'!$B$6*AD769))),MAX(0,1*AD726-(AH768-MIN(MAX(AH768,0),MAX(0,AD726-IF($A769&gt;='1-Input'!$C$12,'1-Input'!$B$12,0)))))*(1/(1-'P-Parametri'!$B$6*AD769))))</f>
        <v>11417.971307035677</v>
      </c>
      <c r="AF769" s="18">
        <f>IF($A769&gt;'1-Input'!$B$26,AH768,(AH768-MAX(0,AD726-IF($A769&gt;='1-Input'!$C$12,'1-Input'!$B$12,0))+AE769*(1-'P-Parametri'!$B$6*AD769))*(1+'1-Input'!$B$27))</f>
        <v>19938.406105220583</v>
      </c>
      <c r="AG769" s="18">
        <f>IF($A769&gt;'1-Input'!$B$26,AI768,(AI768-AE769)*(1+$D$4))</f>
        <v>20093.876507974095</v>
      </c>
      <c r="AH769" s="18">
        <f>IF($A769&gt;'1-Input'!$B$26,AF769,AF769-'P-Parametri'!$B$8*(AG769+AF769)+MIN(MAX(AG769,0),'P-Parametri'!$B$8*(AG769+AF769)))</f>
        <v>19938.406105220583</v>
      </c>
      <c r="AI769" s="18">
        <f>IF($A769&gt;'1-Input'!$B$26,AG769,AG769-MIN(MAX(AG769,0),'P-Parametri'!$B$8*(AG769+AF769)))</f>
        <v>20013.811942747707</v>
      </c>
      <c r="AJ769" s="18">
        <f>IF($A769&gt;'1-Input'!$B$26,AJ768,AJ768-AE769*(1-AD769))</f>
        <v>3457.0995024237782</v>
      </c>
      <c r="AK769" s="11">
        <f>IF($A769&gt;'1-Input'!$B$26,0,IF(AP768&lt;=0,0,MAX(0,(AP768-AQ768)/AP768)))</f>
        <v>0.82107063636259248</v>
      </c>
      <c r="AL769" s="18">
        <f>IF($A769&gt;'1-Input'!$B$26,0,(MAX(0,AK726-IF($A769&gt;='1-Input'!$C$12,'1-Input'!$B$12,0))-MIN(MAX(AO768,0),MAX(0,AK726-IF($A769&gt;='1-Input'!$C$12,'1-Input'!$B$12,0))))*(1/(1-'P-Parametri'!$B$6*AK769))+MIN(MAX(0,AP768-(MAX(0,AK726-IF($A769&gt;='1-Input'!$C$12,'1-Input'!$B$12,0))-MIN(MAX(AO768,0),MAX(0,AK726-IF($A769&gt;='1-Input'!$C$12,'1-Input'!$B$12,0))))*(1/(1-'P-Parametri'!$B$6*AK769))),MAX(0,1*AK726-(AO768-MIN(MAX(AO768,0),MAX(0,AK726-IF($A769&gt;='1-Input'!$C$12,'1-Input'!$B$12,0)))))*(1/(1-'P-Parametri'!$B$6*AK769))))</f>
        <v>11417.996916781472</v>
      </c>
      <c r="AM769" s="18">
        <f>IF($A769&gt;'1-Input'!$B$26,AO768,(AO768-MAX(0,AK726-IF($A769&gt;='1-Input'!$C$12,'1-Input'!$B$12,0))+AL769*(1-'P-Parametri'!$B$6*AK769))*(1+'1-Input'!$B$27))</f>
        <v>19938.426257942814</v>
      </c>
      <c r="AN769" s="18">
        <f>IF($A769&gt;'1-Input'!$B$26,AP768,(AP768-AL769)*(1+$D$4))</f>
        <v>20091.462163200285</v>
      </c>
      <c r="AO769" s="18">
        <f>IF($A769&gt;'1-Input'!$B$26,AM769,AM769-'P-Parametri'!$B$8*(AN769+AM769)+MIN(MAX(AN769,0),'P-Parametri'!$B$8*(AN769+AM769)))</f>
        <v>19938.426257942814</v>
      </c>
      <c r="AP769" s="18">
        <f>IF($A769&gt;'1-Input'!$B$26,AN769,AN769-MIN(MAX(AN769,0),'P-Parametri'!$B$8*(AN769+AM769)))</f>
        <v>20011.402386358001</v>
      </c>
      <c r="AQ769" s="18">
        <f>IF($A769&gt;'1-Input'!$B$26,AQ768,AQ768-AL769*(1-AK769))</f>
        <v>3456.6851340446919</v>
      </c>
    </row>
    <row r="770" spans="1:43">
      <c r="A770" s="10">
        <f>42</f>
        <v>42</v>
      </c>
      <c r="B770" s="11">
        <f>IF($A770&gt;'1-Input'!$B$26,0,IF(G769&lt;=0,0,MAX(0,(G769-H769)/G769)))</f>
        <v>0.82898440145732799</v>
      </c>
      <c r="C770" s="18">
        <f>IF($A770&gt;'1-Input'!$B$26,0,(MAX(0,B726-IF($A770&gt;='1-Input'!$C$12,'1-Input'!$B$12,0))-MIN(MAX(F769,0),MAX(0,B726-IF($A770&gt;='1-Input'!$C$12,'1-Input'!$B$12,0))))*(1/(1-'P-Parametri'!$B$6*B770))+MIN(MAX(0,G769-(MAX(0,B726-IF($A770&gt;='1-Input'!$C$12,'1-Input'!$B$12,0))-MIN(MAX(F769,0),MAX(0,B726-IF($A770&gt;='1-Input'!$C$12,'1-Input'!$B$12,0))))*(1/(1-'P-Parametri'!$B$6*B770))),MAX(0,1*B726-(F769-MIN(MAX(F769,0),MAX(0,B726-IF($A770&gt;='1-Input'!$C$12,'1-Input'!$B$12,0)))))*(1/(1-'P-Parametri'!$B$6*B770))))</f>
        <v>7188.4837467711968</v>
      </c>
      <c r="D770" s="18">
        <f>IF($A770&gt;'1-Input'!$B$26,F769,(F769-MAX(0,B726-IF($A770&gt;='1-Input'!$C$12,'1-Input'!$B$12,0))+C770*(1-'P-Parametri'!$B$6*B770))*(1+'1-Input'!$B$27))</f>
        <v>16621.00351549315</v>
      </c>
      <c r="E770" s="18">
        <f>IF($A770&gt;'1-Input'!$B$26,G769,(G769-C770)*(1+$D$4))</f>
        <v>426031.32419466291</v>
      </c>
      <c r="F770" s="18">
        <f>IF($A770&gt;'1-Input'!$B$26,D770,D770-'P-Parametri'!$B$8*(E770+D770)+MIN(MAX(E770,0),'P-Parametri'!$B$8*(E770+D770)))</f>
        <v>16621.00351549315</v>
      </c>
      <c r="G770" s="18">
        <f>IF($A770&gt;'1-Input'!$B$26,E770,E770-MIN(MAX(E770,0),'P-Parametri'!$B$8*(E770+D770)))</f>
        <v>425146.01953924261</v>
      </c>
      <c r="H770" s="18">
        <f>IF($A770&gt;'1-Input'!$B$26,H769,H769-C770*(1-B770))</f>
        <v>70055.771062574408</v>
      </c>
      <c r="I770" s="11">
        <f>IF($A770&gt;'1-Input'!$B$26,0,IF(N769&lt;=0,0,MAX(0,(N769-O769)/N769)))</f>
        <v>0</v>
      </c>
      <c r="J770" s="18">
        <f>IF($A770&gt;'1-Input'!$B$26,0,(MAX(0,I726-IF($A770&gt;='1-Input'!$C$12,'1-Input'!$B$12,0))-MIN(MAX(M769,0),MAX(0,I726-IF($A770&gt;='1-Input'!$C$12,'1-Input'!$B$12,0))))*(1/(1-'P-Parametri'!$B$6*I770))+MIN(MAX(0,N769-(MAX(0,I726-IF($A770&gt;='1-Input'!$C$12,'1-Input'!$B$12,0))-MIN(MAX(M769,0),MAX(0,I726-IF($A770&gt;='1-Input'!$C$12,'1-Input'!$B$12,0))))*(1/(1-'P-Parametri'!$B$6*I770))),MAX(0,1*I726-(M769-MIN(MAX(M769,0),MAX(0,I726-IF($A770&gt;='1-Input'!$C$12,'1-Input'!$B$12,0)))))*(1/(1-'P-Parametri'!$B$6*I770))))</f>
        <v>10846.756992928691</v>
      </c>
      <c r="K770" s="18">
        <f>IF($A770&gt;'1-Input'!$B$26,M769,(M769-MAX(0,I726-IF($A770&gt;='1-Input'!$C$12,'1-Input'!$B$12,0))+J770*(1-'P-Parametri'!$B$6*I770))*(1+'1-Input'!$B$27))</f>
        <v>0</v>
      </c>
      <c r="L770" s="18">
        <f>IF($A770&gt;'1-Input'!$B$26,N769,(N769-J770)*(1+$D$4))</f>
        <v>-149833.45847752324</v>
      </c>
      <c r="M770" s="18">
        <f>IF($A770&gt;'1-Input'!$B$26,K770,K770-'P-Parametri'!$B$8*(L770+K770)+MIN(MAX(L770,0),'P-Parametri'!$B$8*(L770+K770)))</f>
        <v>0</v>
      </c>
      <c r="N770" s="18">
        <f>IF($A770&gt;'1-Input'!$B$26,L770,L770-MIN(MAX(L770,0),'P-Parametri'!$B$8*(L770+K770)))</f>
        <v>-149533.79156056818</v>
      </c>
      <c r="O770" s="18">
        <f>IF($A770&gt;'1-Input'!$B$26,O769,O769-J770*(1-I770))</f>
        <v>-118869.70347410569</v>
      </c>
      <c r="P770" s="11">
        <f>IF($A770&gt;'1-Input'!$B$26,0,IF(U769&lt;=0,0,MAX(0,(U769-V769)/U769)))</f>
        <v>0</v>
      </c>
      <c r="Q770" s="18">
        <f>IF($A770&gt;'1-Input'!$B$26,0,(MAX(0,P726-IF($A770&gt;='1-Input'!$C$12,'1-Input'!$B$12,0))-MIN(MAX(T769,0),MAX(0,P726-IF($A770&gt;='1-Input'!$C$12,'1-Input'!$B$12,0))))*(1/(1-'P-Parametri'!$B$6*P770))+MIN(MAX(0,U769-(MAX(0,P726-IF($A770&gt;='1-Input'!$C$12,'1-Input'!$B$12,0))-MIN(MAX(T769,0),MAX(0,P726-IF($A770&gt;='1-Input'!$C$12,'1-Input'!$B$12,0))))*(1/(1-'P-Parametri'!$B$6*P770))),MAX(0,1*P726-(T769-MIN(MAX(T769,0),MAX(0,P726-IF($A770&gt;='1-Input'!$C$12,'1-Input'!$B$12,0)))))*(1/(1-'P-Parametri'!$B$6*P770))))</f>
        <v>5044.6166472220157</v>
      </c>
      <c r="R770" s="18">
        <f>IF($A770&gt;'1-Input'!$B$26,T769,(T769-MAX(0,P726-IF($A770&gt;='1-Input'!$C$12,'1-Input'!$B$12,0))+Q770*(1-'P-Parametri'!$B$6*P770))*(1+'1-Input'!$B$27))</f>
        <v>0</v>
      </c>
      <c r="S770" s="18">
        <f>IF($A770&gt;'1-Input'!$B$26,U769,(U769-Q770)*(1+$D$4))</f>
        <v>-5246.4013131108968</v>
      </c>
      <c r="T770" s="18">
        <f>IF($A770&gt;'1-Input'!$B$26,R770,R770-'P-Parametri'!$B$8*(S770+R770)+MIN(MAX(S770,0),'P-Parametri'!$B$8*(S770+R770)))</f>
        <v>0</v>
      </c>
      <c r="U770" s="18">
        <f>IF($A770&gt;'1-Input'!$B$26,S770,S770-MIN(MAX(S770,0),'P-Parametri'!$B$8*(S770+R770)))</f>
        <v>-5235.9085104846754</v>
      </c>
      <c r="V770" s="18">
        <f>IF($A770&gt;'1-Input'!$B$26,V769,V769-Q770*(1-P770))</f>
        <v>-5044.6166472220157</v>
      </c>
      <c r="W770" s="11">
        <f>IF($A770&gt;'1-Input'!$B$26,0,IF(AB769&lt;=0,0,MAX(0,(AB769-AC769)/AB769)))</f>
        <v>0.82722414202983152</v>
      </c>
      <c r="X770" s="18">
        <f>IF($A770&gt;'1-Input'!$B$26,0,(MAX(0,W726-IF($A770&gt;='1-Input'!$C$12,'1-Input'!$B$12,0))-MIN(MAX(AA769,0),MAX(0,W726-IF($A770&gt;='1-Input'!$C$12,'1-Input'!$B$12,0))))*(1/(1-'P-Parametri'!$B$6*W770))+MIN(MAX(0,AB769-(MAX(0,W726-IF($A770&gt;='1-Input'!$C$12,'1-Input'!$B$12,0))-MIN(MAX(AA769,0),MAX(0,W726-IF($A770&gt;='1-Input'!$C$12,'1-Input'!$B$12,0))))*(1/(1-'P-Parametri'!$B$6*W770))),MAX(0,1*W726-(AA769-MIN(MAX(AA769,0),MAX(0,W726-IF($A770&gt;='1-Input'!$C$12,'1-Input'!$B$12,0)))))*(1/(1-'P-Parametri'!$B$6*W770))))</f>
        <v>11452.113642821043</v>
      </c>
      <c r="Y770" s="18">
        <f>IF($A770&gt;'1-Input'!$B$26,AA769,(AA769-MAX(0,W726-IF($A770&gt;='1-Input'!$C$12,'1-Input'!$B$12,0))+X770*(1-'P-Parametri'!$B$6*W770))*(1+'1-Input'!$B$27))</f>
        <v>19946.876372417511</v>
      </c>
      <c r="Z770" s="18">
        <f>IF($A770&gt;'1-Input'!$B$26,AB769,(AB769-X770)*(1+$D$4))</f>
        <v>7850.9158032091236</v>
      </c>
      <c r="AA770" s="18">
        <f>IF($A770&gt;'1-Input'!$B$26,Y770,Y770-'P-Parametri'!$B$8*(Z770+Y770)+MIN(MAX(Z770,0),'P-Parametri'!$B$8*(Z770+Y770)))</f>
        <v>19946.876372417511</v>
      </c>
      <c r="AB770" s="18">
        <f>IF($A770&gt;'1-Input'!$B$26,Z770,Z770-MIN(MAX(Z770,0),'P-Parametri'!$B$8*(Z770+Y770)))</f>
        <v>7795.3202188578707</v>
      </c>
      <c r="AC770" s="18">
        <f>IF($A770&gt;'1-Input'!$B$26,AC769,AC769-X770*(1-W770))</f>
        <v>1304.2776093759724</v>
      </c>
      <c r="AD770" s="11">
        <f>IF($A770&gt;'1-Input'!$B$26,0,IF(AI769&lt;=0,0,MAX(0,(AI769-AJ769)/AI769)))</f>
        <v>0.82726431564794889</v>
      </c>
      <c r="AE770" s="18">
        <f>IF($A770&gt;'1-Input'!$B$26,0,(MAX(0,AD726-IF($A770&gt;='1-Input'!$C$12,'1-Input'!$B$12,0))-MIN(MAX(AH769,0),MAX(0,AD726-IF($A770&gt;='1-Input'!$C$12,'1-Input'!$B$12,0))))*(1/(1-'P-Parametri'!$B$6*AD770))+MIN(MAX(0,AI769-(MAX(0,AD726-IF($A770&gt;='1-Input'!$C$12,'1-Input'!$B$12,0))-MIN(MAX(AH769,0),MAX(0,AD726-IF($A770&gt;='1-Input'!$C$12,'1-Input'!$B$12,0))))*(1/(1-'P-Parametri'!$B$6*AD770))),MAX(0,1*AD726-(AH769-MIN(MAX(AH769,0),MAX(0,AD726-IF($A770&gt;='1-Input'!$C$12,'1-Input'!$B$12,0)))))*(1/(1-'P-Parametri'!$B$6*AD770))))</f>
        <v>11441.39669332449</v>
      </c>
      <c r="AF770" s="18">
        <f>IF($A770&gt;'1-Input'!$B$26,AH769,(AH769-MAX(0,AD726-IF($A770&gt;='1-Input'!$C$12,'1-Input'!$B$12,0))+AE770*(1-'P-Parametri'!$B$6*AD770))*(1+'1-Input'!$B$27))</f>
        <v>19938.40610522058</v>
      </c>
      <c r="AG770" s="18">
        <f>IF($A770&gt;'1-Input'!$B$26,AI769,(AI769-AE770)*(1+$D$4))</f>
        <v>8915.3118594001462</v>
      </c>
      <c r="AH770" s="18">
        <f>IF($A770&gt;'1-Input'!$B$26,AF770,AF770-'P-Parametri'!$B$8*(AG770+AF770)+MIN(MAX(AG770,0),'P-Parametri'!$B$8*(AG770+AF770)))</f>
        <v>19938.40610522058</v>
      </c>
      <c r="AI770" s="18">
        <f>IF($A770&gt;'1-Input'!$B$26,AG770,AG770-MIN(MAX(AG770,0),'P-Parametri'!$B$8*(AG770+AF770)))</f>
        <v>8857.6044234709043</v>
      </c>
      <c r="AJ770" s="18">
        <f>IF($A770&gt;'1-Input'!$B$26,AJ769,AJ769-AE770*(1-AD770))</f>
        <v>1480.7620146590777</v>
      </c>
      <c r="AK770" s="11">
        <f>IF($A770&gt;'1-Input'!$B$26,0,IF(AP769&lt;=0,0,MAX(0,(AP769-AQ769)/AP769)))</f>
        <v>0.82726422330095395</v>
      </c>
      <c r="AL770" s="18">
        <f>IF($A770&gt;'1-Input'!$B$26,0,(MAX(0,AK726-IF($A770&gt;='1-Input'!$C$12,'1-Input'!$B$12,0))-MIN(MAX(AO769,0),MAX(0,AK726-IF($A770&gt;='1-Input'!$C$12,'1-Input'!$B$12,0))))*(1/(1-'P-Parametri'!$B$6*AK770))+MIN(MAX(0,AP769-(MAX(0,AK726-IF($A770&gt;='1-Input'!$C$12,'1-Input'!$B$12,0))-MIN(MAX(AO769,0),MAX(0,AK726-IF($A770&gt;='1-Input'!$C$12,'1-Input'!$B$12,0))))*(1/(1-'P-Parametri'!$B$6*AK770))),MAX(0,1*AK726-(AO769-MIN(MAX(AO769,0),MAX(0,AK726-IF($A770&gt;='1-Input'!$C$12,'1-Input'!$B$12,0)))))*(1/(1-'P-Parametri'!$B$6*AK770))))</f>
        <v>11441.422204023076</v>
      </c>
      <c r="AM770" s="18">
        <f>IF($A770&gt;'1-Input'!$B$26,AO769,(AO769-MAX(0,AK726-IF($A770&gt;='1-Input'!$C$12,'1-Input'!$B$12,0))+AL770*(1-'P-Parametri'!$B$6*AK770))*(1+'1-Input'!$B$27))</f>
        <v>19938.426257942814</v>
      </c>
      <c r="AN770" s="18">
        <f>IF($A770&gt;'1-Input'!$B$26,AP769,(AP769-AL770)*(1+$D$4))</f>
        <v>8912.779389628322</v>
      </c>
      <c r="AO770" s="18">
        <f>IF($A770&gt;'1-Input'!$B$26,AM770,AM770-'P-Parametri'!$B$8*(AN770+AM770)+MIN(MAX(AN770,0),'P-Parametri'!$B$8*(AN770+AM770)))</f>
        <v>19938.426257942814</v>
      </c>
      <c r="AP770" s="18">
        <f>IF($A770&gt;'1-Input'!$B$26,AN770,AN770-MIN(MAX(AN770,0),'P-Parametri'!$B$8*(AN770+AM770)))</f>
        <v>8855.0769783331798</v>
      </c>
      <c r="AQ770" s="18">
        <f>IF($A770&gt;'1-Input'!$B$26,AQ769,AQ769-AL770*(1-AK770))</f>
        <v>1480.3421830910545</v>
      </c>
    </row>
    <row r="771" spans="1:43">
      <c r="A771" s="10">
        <f>43</f>
        <v>43</v>
      </c>
      <c r="B771" s="11">
        <f>IF($A771&gt;'1-Input'!$B$26,0,IF(G770&lt;=0,0,MAX(0,(G770-H770)/G770)))</f>
        <v>0.83521950613933016</v>
      </c>
      <c r="C771" s="18">
        <f>IF($A771&gt;'1-Input'!$B$26,0,(MAX(0,B726-IF($A771&gt;='1-Input'!$C$12,'1-Input'!$B$12,0))-MIN(MAX(F770,0),MAX(0,B726-IF($A771&gt;='1-Input'!$C$12,'1-Input'!$B$12,0))))*(1/(1-'P-Parametri'!$B$6*B771))+MIN(MAX(0,G770-(MAX(0,B726-IF($A771&gt;='1-Input'!$C$12,'1-Input'!$B$12,0))-MIN(MAX(F770,0),MAX(0,B726-IF($A771&gt;='1-Input'!$C$12,'1-Input'!$B$12,0))))*(1/(1-'P-Parametri'!$B$6*B771))),MAX(0,1*B726-(F770-MIN(MAX(F770,0),MAX(0,B726-IF($A771&gt;='1-Input'!$C$12,'1-Input'!$B$12,0)))))*(1/(1-'P-Parametri'!$B$6*B771))))</f>
        <v>7203.36980658005</v>
      </c>
      <c r="D771" s="18">
        <f>IF($A771&gt;'1-Input'!$B$26,F770,(F770-MAX(0,B726-IF($A771&gt;='1-Input'!$C$12,'1-Input'!$B$12,0))+C771*(1-'P-Parametri'!$B$6*B771))*(1+'1-Input'!$B$27))</f>
        <v>16621.00351549315</v>
      </c>
      <c r="E771" s="18">
        <f>IF($A771&gt;'1-Input'!$B$26,G770,(G770-C771)*(1+$D$4))</f>
        <v>434660.35572196904</v>
      </c>
      <c r="F771" s="18">
        <f>IF($A771&gt;'1-Input'!$B$26,D771,D771-'P-Parametri'!$B$8*(E771+D771)+MIN(MAX(E771,0),'P-Parametri'!$B$8*(E771+D771)))</f>
        <v>16621.00351549315</v>
      </c>
      <c r="G771" s="18">
        <f>IF($A771&gt;'1-Input'!$B$26,E771,E771-MIN(MAX(E771,0),'P-Parametri'!$B$8*(E771+D771)))</f>
        <v>433757.79300349409</v>
      </c>
      <c r="H771" s="18">
        <f>IF($A771&gt;'1-Input'!$B$26,H770,H770-C771*(1-B771))</f>
        <v>68868.796228385108</v>
      </c>
      <c r="I771" s="11">
        <f>IF($A771&gt;'1-Input'!$B$26,0,IF(N770&lt;=0,0,MAX(0,(N770-O770)/N770)))</f>
        <v>0</v>
      </c>
      <c r="J771" s="18">
        <f>IF($A771&gt;'1-Input'!$B$26,0,(MAX(0,I726-IF($A771&gt;='1-Input'!$C$12,'1-Input'!$B$12,0))-MIN(MAX(M770,0),MAX(0,I726-IF($A771&gt;='1-Input'!$C$12,'1-Input'!$B$12,0))))*(1/(1-'P-Parametri'!$B$6*I771))+MIN(MAX(0,N770-(MAX(0,I726-IF($A771&gt;='1-Input'!$C$12,'1-Input'!$B$12,0))-MIN(MAX(M770,0),MAX(0,I726-IF($A771&gt;='1-Input'!$C$12,'1-Input'!$B$12,0))))*(1/(1-'P-Parametri'!$B$6*I771))),MAX(0,1*I726-(M770-MIN(MAX(M770,0),MAX(0,I726-IF($A771&gt;='1-Input'!$C$12,'1-Input'!$B$12,0)))))*(1/(1-'P-Parametri'!$B$6*I771))))</f>
        <v>10846.756992928691</v>
      </c>
      <c r="K771" s="18">
        <f>IF($A771&gt;'1-Input'!$B$26,M770,(M770-MAX(0,I726-IF($A771&gt;='1-Input'!$C$12,'1-Input'!$B$12,0))+J771*(1-'P-Parametri'!$B$6*I771))*(1+'1-Input'!$B$27))</f>
        <v>0</v>
      </c>
      <c r="L771" s="18">
        <f>IF($A771&gt;'1-Input'!$B$26,N770,(N770-J771)*(1+$D$4))</f>
        <v>-166795.77049563674</v>
      </c>
      <c r="M771" s="18">
        <f>IF($A771&gt;'1-Input'!$B$26,K771,K771-'P-Parametri'!$B$8*(L771+K771)+MIN(MAX(L771,0),'P-Parametri'!$B$8*(L771+K771)))</f>
        <v>0</v>
      </c>
      <c r="N771" s="18">
        <f>IF($A771&gt;'1-Input'!$B$26,L771,L771-MIN(MAX(L771,0),'P-Parametri'!$B$8*(L771+K771)))</f>
        <v>-166462.17895464547</v>
      </c>
      <c r="O771" s="18">
        <f>IF($A771&gt;'1-Input'!$B$26,O770,O770-J771*(1-I771))</f>
        <v>-129716.46046703437</v>
      </c>
      <c r="P771" s="11">
        <f>IF($A771&gt;'1-Input'!$B$26,0,IF(U770&lt;=0,0,MAX(0,(U770-V770)/U770)))</f>
        <v>0</v>
      </c>
      <c r="Q771" s="18">
        <f>IF($A771&gt;'1-Input'!$B$26,0,(MAX(0,P726-IF($A771&gt;='1-Input'!$C$12,'1-Input'!$B$12,0))-MIN(MAX(T770,0),MAX(0,P726-IF($A771&gt;='1-Input'!$C$12,'1-Input'!$B$12,0))))*(1/(1-'P-Parametri'!$B$6*P771))+MIN(MAX(0,U770-(MAX(0,P726-IF($A771&gt;='1-Input'!$C$12,'1-Input'!$B$12,0))-MIN(MAX(T770,0),MAX(0,P726-IF($A771&gt;='1-Input'!$C$12,'1-Input'!$B$12,0))))*(1/(1-'P-Parametri'!$B$6*P771))),MAX(0,1*P726-(T770-MIN(MAX(T770,0),MAX(0,P726-IF($A771&gt;='1-Input'!$C$12,'1-Input'!$B$12,0)))))*(1/(1-'P-Parametri'!$B$6*P771))))</f>
        <v>9258.4092652998188</v>
      </c>
      <c r="R771" s="18">
        <f>IF($A771&gt;'1-Input'!$B$26,T770,(T770-MAX(0,P726-IF($A771&gt;='1-Input'!$C$12,'1-Input'!$B$12,0))+Q771*(1-'P-Parametri'!$B$6*P771))*(1+'1-Input'!$B$27))</f>
        <v>0</v>
      </c>
      <c r="S771" s="18">
        <f>IF($A771&gt;'1-Input'!$B$26,U770,(U770-Q771)*(1+$D$4))</f>
        <v>-15074.090486815874</v>
      </c>
      <c r="T771" s="18">
        <f>IF($A771&gt;'1-Input'!$B$26,R771,R771-'P-Parametri'!$B$8*(S771+R771)+MIN(MAX(S771,0),'P-Parametri'!$B$8*(S771+R771)))</f>
        <v>0</v>
      </c>
      <c r="U771" s="18">
        <f>IF($A771&gt;'1-Input'!$B$26,S771,S771-MIN(MAX(S771,0),'P-Parametri'!$B$8*(S771+R771)))</f>
        <v>-15043.942305842242</v>
      </c>
      <c r="V771" s="18">
        <f>IF($A771&gt;'1-Input'!$B$26,V770,V770-Q771*(1-P771))</f>
        <v>-14303.025912521834</v>
      </c>
      <c r="W771" s="11">
        <f>IF($A771&gt;'1-Input'!$B$26,0,IF(AB770&lt;=0,0,MAX(0,(AB770-AC770)/AB770)))</f>
        <v>0.83268453729190517</v>
      </c>
      <c r="X771" s="18">
        <f>IF($A771&gt;'1-Input'!$B$26,0,(MAX(0,W726-IF($A771&gt;='1-Input'!$C$12,'1-Input'!$B$12,0))-MIN(MAX(AA770,0),MAX(0,W726-IF($A771&gt;='1-Input'!$C$12,'1-Input'!$B$12,0))))*(1/(1-'P-Parametri'!$B$6*W771))+MIN(MAX(0,AB770-(MAX(0,W726-IF($A771&gt;='1-Input'!$C$12,'1-Input'!$B$12,0))-MIN(MAX(AA770,0),MAX(0,W726-IF($A771&gt;='1-Input'!$C$12,'1-Input'!$B$12,0))))*(1/(1-'P-Parametri'!$B$6*W771))),MAX(0,1*W726-(AA770-MIN(MAX(AA770,0),MAX(0,W726-IF($A771&gt;='1-Input'!$C$12,'1-Input'!$B$12,0)))))*(1/(1-'P-Parametri'!$B$6*W771))))</f>
        <v>7795.3202188578707</v>
      </c>
      <c r="Y771" s="18">
        <f>IF($A771&gt;'1-Input'!$B$26,AA770,(AA770-MAX(0,W726-IF($A771&gt;='1-Input'!$C$12,'1-Input'!$B$12,0))+X771*(1-'P-Parametri'!$B$6*W771))*(1+'1-Input'!$B$27))</f>
        <v>17075.88564854646</v>
      </c>
      <c r="Z771" s="18">
        <f>IF($A771&gt;'1-Input'!$B$26,AB770,(AB770-X771)*(1+$D$4))</f>
        <v>0</v>
      </c>
      <c r="AA771" s="18">
        <f>IF($A771&gt;'1-Input'!$B$26,Y771,Y771-'P-Parametri'!$B$8*(Z771+Y771)+MIN(MAX(Z771,0),'P-Parametri'!$B$8*(Z771+Y771)))</f>
        <v>17041.733877249368</v>
      </c>
      <c r="AB771" s="18">
        <f>IF($A771&gt;'1-Input'!$B$26,Z771,Z771-MIN(MAX(Z771,0),'P-Parametri'!$B$8*(Z771+Y771)))</f>
        <v>0</v>
      </c>
      <c r="AC771" s="18">
        <f>IF($A771&gt;'1-Input'!$B$26,AC770,AC770-X771*(1-W771))</f>
        <v>6.8212102632969618E-13</v>
      </c>
      <c r="AD771" s="11">
        <f>IF($A771&gt;'1-Input'!$B$26,0,IF(AI770&lt;=0,0,MAX(0,(AI770-AJ770)/AI770)))</f>
        <v>0.83282590372456111</v>
      </c>
      <c r="AE771" s="18">
        <f>IF($A771&gt;'1-Input'!$B$26,0,(MAX(0,AD726-IF($A771&gt;='1-Input'!$C$12,'1-Input'!$B$12,0))-MIN(MAX(AH770,0),MAX(0,AD726-IF($A771&gt;='1-Input'!$C$12,'1-Input'!$B$12,0))))*(1/(1-'P-Parametri'!$B$6*AD771))+MIN(MAX(0,AI770-(MAX(0,AD726-IF($A771&gt;='1-Input'!$C$12,'1-Input'!$B$12,0))-MIN(MAX(AH770,0),MAX(0,AD726-IF($A771&gt;='1-Input'!$C$12,'1-Input'!$B$12,0))))*(1/(1-'P-Parametri'!$B$6*AD771))),MAX(0,1*AD726-(AH770-MIN(MAX(AH770,0),MAX(0,AD726-IF($A771&gt;='1-Input'!$C$12,'1-Input'!$B$12,0)))))*(1/(1-'P-Parametri'!$B$6*AD771))))</f>
        <v>8857.6044234709043</v>
      </c>
      <c r="AF771" s="18">
        <f>IF($A771&gt;'1-Input'!$B$26,AH770,(AH770-MAX(0,AD726-IF($A771&gt;='1-Input'!$C$12,'1-Input'!$B$12,0))+AE771*(1-'P-Parametri'!$B$6*AD771))*(1+'1-Input'!$B$27))</f>
        <v>17904.897283771181</v>
      </c>
      <c r="AG771" s="18">
        <f>IF($A771&gt;'1-Input'!$B$26,AI770,(AI770-AE771)*(1+$D$4))</f>
        <v>0</v>
      </c>
      <c r="AH771" s="18">
        <f>IF($A771&gt;'1-Input'!$B$26,AF771,AF771-'P-Parametri'!$B$8*(AG771+AF771)+MIN(MAX(AG771,0),'P-Parametri'!$B$8*(AG771+AF771)))</f>
        <v>17869.087489203637</v>
      </c>
      <c r="AI771" s="18">
        <f>IF($A771&gt;'1-Input'!$B$26,AG771,AG771-MIN(MAX(AG771,0),'P-Parametri'!$B$8*(AG771+AF771)))</f>
        <v>0</v>
      </c>
      <c r="AJ771" s="18">
        <f>IF($A771&gt;'1-Input'!$B$26,AJ770,AJ770-AE771*(1-AD771))</f>
        <v>-6.8212102632969618E-13</v>
      </c>
      <c r="AK771" s="11">
        <f>IF($A771&gt;'1-Input'!$B$26,0,IF(AP770&lt;=0,0,MAX(0,(AP770-AQ770)/AP770)))</f>
        <v>0.83282559974202452</v>
      </c>
      <c r="AL771" s="18">
        <f>IF($A771&gt;'1-Input'!$B$26,0,(MAX(0,AK726-IF($A771&gt;='1-Input'!$C$12,'1-Input'!$B$12,0))-MIN(MAX(AO770,0),MAX(0,AK726-IF($A771&gt;='1-Input'!$C$12,'1-Input'!$B$12,0))))*(1/(1-'P-Parametri'!$B$6*AK771))+MIN(MAX(0,AP770-(MAX(0,AK726-IF($A771&gt;='1-Input'!$C$12,'1-Input'!$B$12,0))-MIN(MAX(AO770,0),MAX(0,AK726-IF($A771&gt;='1-Input'!$C$12,'1-Input'!$B$12,0))))*(1/(1-'P-Parametri'!$B$6*AK771))),MAX(0,1*AK726-(AO770-MIN(MAX(AO770,0),MAX(0,AK726-IF($A771&gt;='1-Input'!$C$12,'1-Input'!$B$12,0)))))*(1/(1-'P-Parametri'!$B$6*AK771))))</f>
        <v>8855.0769783331798</v>
      </c>
      <c r="AM771" s="18">
        <f>IF($A771&gt;'1-Input'!$B$26,AO770,(AO770-MAX(0,AK726-IF($A771&gt;='1-Input'!$C$12,'1-Input'!$B$12,0))+AL771*(1-'P-Parametri'!$B$6*AK771))*(1+'1-Input'!$B$27))</f>
        <v>17902.924871687977</v>
      </c>
      <c r="AN771" s="18">
        <f>IF($A771&gt;'1-Input'!$B$26,AP770,(AP770-AL771)*(1+$D$4))</f>
        <v>0</v>
      </c>
      <c r="AO771" s="18">
        <f>IF($A771&gt;'1-Input'!$B$26,AM771,AM771-'P-Parametri'!$B$8*(AN771+AM771)+MIN(MAX(AN771,0),'P-Parametri'!$B$8*(AN771+AM771)))</f>
        <v>17867.1190219446</v>
      </c>
      <c r="AP771" s="18">
        <f>IF($A771&gt;'1-Input'!$B$26,AN771,AN771-MIN(MAX(AN771,0),'P-Parametri'!$B$8*(AN771+AM771)))</f>
        <v>0</v>
      </c>
      <c r="AQ771" s="18">
        <f>IF($A771&gt;'1-Input'!$B$26,AQ770,AQ770-AL771*(1-AK771))</f>
        <v>-4.5474735088646412E-13</v>
      </c>
    </row>
    <row r="772" spans="1:43">
      <c r="A772" s="10">
        <f>44</f>
        <v>44</v>
      </c>
      <c r="B772" s="11">
        <f>IF($A772&gt;'1-Input'!$B$26,0,IF(G771&lt;=0,0,MAX(0,(G771-H771)/G771)))</f>
        <v>0.84122752988133553</v>
      </c>
      <c r="C772" s="18">
        <f>IF($A772&gt;'1-Input'!$B$26,0,(MAX(0,B726-IF($A772&gt;='1-Input'!$C$12,'1-Input'!$B$12,0))-MIN(MAX(F771,0),MAX(0,B726-IF($A772&gt;='1-Input'!$C$12,'1-Input'!$B$12,0))))*(1/(1-'P-Parametri'!$B$6*B772))+MIN(MAX(0,G771-(MAX(0,B726-IF($A772&gt;='1-Input'!$C$12,'1-Input'!$B$12,0))-MIN(MAX(F771,0),MAX(0,B726-IF($A772&gt;='1-Input'!$C$12,'1-Input'!$B$12,0))))*(1/(1-'P-Parametri'!$B$6*B772))),MAX(0,1*B726-(F771-MIN(MAX(F771,0),MAX(0,B726-IF($A772&gt;='1-Input'!$C$12,'1-Input'!$B$12,0)))))*(1/(1-'P-Parametri'!$B$6*B772))))</f>
        <v>7217.7721620008861</v>
      </c>
      <c r="D772" s="18">
        <f>IF($A772&gt;'1-Input'!$B$26,F771,(F771-MAX(0,B726-IF($A772&gt;='1-Input'!$C$12,'1-Input'!$B$12,0))+C772*(1-'P-Parametri'!$B$6*B772))*(1+'1-Input'!$B$27))</f>
        <v>16621.00351549315</v>
      </c>
      <c r="E772" s="18">
        <f>IF($A772&gt;'1-Input'!$B$26,G771,(G771-C772)*(1+$D$4))</f>
        <v>443601.62167515297</v>
      </c>
      <c r="F772" s="18">
        <f>IF($A772&gt;'1-Input'!$B$26,D772,D772-'P-Parametri'!$B$8*(E772+D772)+MIN(MAX(E772,0),'P-Parametri'!$B$8*(E772+D772)))</f>
        <v>16621.00351549315</v>
      </c>
      <c r="G772" s="18">
        <f>IF($A772&gt;'1-Input'!$B$26,E772,E772-MIN(MAX(E772,0),'P-Parametri'!$B$8*(E772+D772)))</f>
        <v>442681.17642477166</v>
      </c>
      <c r="H772" s="18">
        <f>IF($A772&gt;'1-Input'!$B$26,H771,H771-C772*(1-B772))</f>
        <v>67722.812713470499</v>
      </c>
      <c r="I772" s="11">
        <f>IF($A772&gt;'1-Input'!$B$26,0,IF(N771&lt;=0,0,MAX(0,(N771-O771)/N771)))</f>
        <v>0</v>
      </c>
      <c r="J772" s="18">
        <f>IF($A772&gt;'1-Input'!$B$26,0,(MAX(0,I726-IF($A772&gt;='1-Input'!$C$12,'1-Input'!$B$12,0))-MIN(MAX(M771,0),MAX(0,I726-IF($A772&gt;='1-Input'!$C$12,'1-Input'!$B$12,0))))*(1/(1-'P-Parametri'!$B$6*I772))+MIN(MAX(0,N771-(MAX(0,I726-IF($A772&gt;='1-Input'!$C$12,'1-Input'!$B$12,0))-MIN(MAX(M771,0),MAX(0,I726-IF($A772&gt;='1-Input'!$C$12,'1-Input'!$B$12,0))))*(1/(1-'P-Parametri'!$B$6*I772))),MAX(0,1*I726-(M771-MIN(MAX(M771,0),MAX(0,I726-IF($A772&gt;='1-Input'!$C$12,'1-Input'!$B$12,0)))))*(1/(1-'P-Parametri'!$B$6*I772))))</f>
        <v>10846.756992928691</v>
      </c>
      <c r="K772" s="18">
        <f>IF($A772&gt;'1-Input'!$B$26,M771,(M771-MAX(0,I726-IF($A772&gt;='1-Input'!$C$12,'1-Input'!$B$12,0))+J772*(1-'P-Parametri'!$B$6*I772))*(1+'1-Input'!$B$27))</f>
        <v>0</v>
      </c>
      <c r="L772" s="18">
        <f>IF($A772&gt;'1-Input'!$B$26,N771,(N771-J772)*(1+$D$4))</f>
        <v>-184401.29338547713</v>
      </c>
      <c r="M772" s="18">
        <f>IF($A772&gt;'1-Input'!$B$26,K772,K772-'P-Parametri'!$B$8*(L772+K772)+MIN(MAX(L772,0),'P-Parametri'!$B$8*(L772+K772)))</f>
        <v>0</v>
      </c>
      <c r="N772" s="18">
        <f>IF($A772&gt;'1-Input'!$B$26,L772,L772-MIN(MAX(L772,0),'P-Parametri'!$B$8*(L772+K772)))</f>
        <v>-184032.49079870616</v>
      </c>
      <c r="O772" s="18">
        <f>IF($A772&gt;'1-Input'!$B$26,O771,O771-J772*(1-I772))</f>
        <v>-140563.21745996305</v>
      </c>
      <c r="P772" s="11">
        <f>IF($A772&gt;'1-Input'!$B$26,0,IF(U771&lt;=0,0,MAX(0,(U771-V771)/U771)))</f>
        <v>0</v>
      </c>
      <c r="Q772" s="18">
        <f>IF($A772&gt;'1-Input'!$B$26,0,(MAX(0,P726-IF($A772&gt;='1-Input'!$C$12,'1-Input'!$B$12,0))-MIN(MAX(T771,0),MAX(0,P726-IF($A772&gt;='1-Input'!$C$12,'1-Input'!$B$12,0))))*(1/(1-'P-Parametri'!$B$6*P772))+MIN(MAX(0,U771-(MAX(0,P726-IF($A772&gt;='1-Input'!$C$12,'1-Input'!$B$12,0))-MIN(MAX(T771,0),MAX(0,P726-IF($A772&gt;='1-Input'!$C$12,'1-Input'!$B$12,0))))*(1/(1-'P-Parametri'!$B$6*P772))),MAX(0,1*P726-(T771-MIN(MAX(T771,0),MAX(0,P726-IF($A772&gt;='1-Input'!$C$12,'1-Input'!$B$12,0)))))*(1/(1-'P-Parametri'!$B$6*P772))))</f>
        <v>9258.4092652998188</v>
      </c>
      <c r="R772" s="18">
        <f>IF($A772&gt;'1-Input'!$B$26,T771,(T771-MAX(0,P726-IF($A772&gt;='1-Input'!$C$12,'1-Input'!$B$12,0))+Q772*(1-'P-Parametri'!$B$6*P772))*(1+'1-Input'!$B$27))</f>
        <v>0</v>
      </c>
      <c r="S772" s="18">
        <f>IF($A772&gt;'1-Input'!$B$26,U771,(U771-Q772)*(1+$D$4))</f>
        <v>-25274.445633987747</v>
      </c>
      <c r="T772" s="18">
        <f>IF($A772&gt;'1-Input'!$B$26,R772,R772-'P-Parametri'!$B$8*(S772+R772)+MIN(MAX(S772,0),'P-Parametri'!$B$8*(S772+R772)))</f>
        <v>0</v>
      </c>
      <c r="U772" s="18">
        <f>IF($A772&gt;'1-Input'!$B$26,S772,S772-MIN(MAX(S772,0),'P-Parametri'!$B$8*(S772+R772)))</f>
        <v>-25223.896742719771</v>
      </c>
      <c r="V772" s="18">
        <f>IF($A772&gt;'1-Input'!$B$26,V771,V771-Q772*(1-P772))</f>
        <v>-23561.435177821651</v>
      </c>
      <c r="W772" s="11">
        <f>IF($A772&gt;'1-Input'!$B$26,0,IF(AB771&lt;=0,0,MAX(0,(AB771-AC771)/AB771)))</f>
        <v>0</v>
      </c>
      <c r="X772" s="18">
        <f>IF($A772&gt;'1-Input'!$B$26,0,(MAX(0,W726-IF($A772&gt;='1-Input'!$C$12,'1-Input'!$B$12,0))-MIN(MAX(AA771,0),MAX(0,W726-IF($A772&gt;='1-Input'!$C$12,'1-Input'!$B$12,0))))*(1/(1-'P-Parametri'!$B$6*W772))+MIN(MAX(0,AB771-(MAX(0,W726-IF($A772&gt;='1-Input'!$C$12,'1-Input'!$B$12,0))-MIN(MAX(AA771,0),MAX(0,W726-IF($A772&gt;='1-Input'!$C$12,'1-Input'!$B$12,0))))*(1/(1-'P-Parametri'!$B$6*W772))),MAX(0,1*W726-(AA771-MIN(MAX(AA771,0),MAX(0,W726-IF($A772&gt;='1-Input'!$C$12,'1-Input'!$B$12,0)))))*(1/(1-'P-Parametri'!$B$6*W772))))</f>
        <v>0</v>
      </c>
      <c r="Y772" s="18">
        <f>IF($A772&gt;'1-Input'!$B$26,AA771,(AA771-MAX(0,W726-IF($A772&gt;='1-Input'!$C$12,'1-Input'!$B$12,0))+X772*(1-'P-Parametri'!$B$6*W772))*(1+'1-Input'!$B$27))</f>
        <v>8095.5400628737589</v>
      </c>
      <c r="Z772" s="18">
        <f>IF($A772&gt;'1-Input'!$B$26,AB771,(AB771-X772)*(1+$D$4))</f>
        <v>0</v>
      </c>
      <c r="AA772" s="18">
        <f>IF($A772&gt;'1-Input'!$B$26,Y772,Y772-'P-Parametri'!$B$8*(Z772+Y772)+MIN(MAX(Z772,0),'P-Parametri'!$B$8*(Z772+Y772)))</f>
        <v>8079.3489827480116</v>
      </c>
      <c r="AB772" s="18">
        <f>IF($A772&gt;'1-Input'!$B$26,Z772,Z772-MIN(MAX(Z772,0),'P-Parametri'!$B$8*(Z772+Y772)))</f>
        <v>0</v>
      </c>
      <c r="AC772" s="18">
        <f>IF($A772&gt;'1-Input'!$B$26,AC771,AC771-X772*(1-W772))</f>
        <v>6.8212102632969618E-13</v>
      </c>
      <c r="AD772" s="11">
        <f>IF($A772&gt;'1-Input'!$B$26,0,IF(AI771&lt;=0,0,MAX(0,(AI771-AJ771)/AI771)))</f>
        <v>0</v>
      </c>
      <c r="AE772" s="18">
        <f>IF($A772&gt;'1-Input'!$B$26,0,(MAX(0,AD726-IF($A772&gt;='1-Input'!$C$12,'1-Input'!$B$12,0))-MIN(MAX(AH771,0),MAX(0,AD726-IF($A772&gt;='1-Input'!$C$12,'1-Input'!$B$12,0))))*(1/(1-'P-Parametri'!$B$6*AD772))+MIN(MAX(0,AI771-(MAX(0,AD726-IF($A772&gt;='1-Input'!$C$12,'1-Input'!$B$12,0))-MIN(MAX(AH771,0),MAX(0,AD726-IF($A772&gt;='1-Input'!$C$12,'1-Input'!$B$12,0))))*(1/(1-'P-Parametri'!$B$6*AD772))),MAX(0,1*AD726-(AH771-MIN(MAX(AH771,0),MAX(0,AD726-IF($A772&gt;='1-Input'!$C$12,'1-Input'!$B$12,0)))))*(1/(1-'P-Parametri'!$B$6*AD772))))</f>
        <v>0</v>
      </c>
      <c r="AF772" s="18">
        <f>IF($A772&gt;'1-Input'!$B$26,AH771,(AH771-MAX(0,AD726-IF($A772&gt;='1-Input'!$C$12,'1-Input'!$B$12,0))+AE772*(1-'P-Parametri'!$B$6*AD772))*(1+'1-Input'!$B$27))</f>
        <v>8928.3854690219177</v>
      </c>
      <c r="AG772" s="18">
        <f>IF($A772&gt;'1-Input'!$B$26,AI771,(AI771-AE772)*(1+$D$4))</f>
        <v>0</v>
      </c>
      <c r="AH772" s="18">
        <f>IF($A772&gt;'1-Input'!$B$26,AF772,AF772-'P-Parametri'!$B$8*(AG772+AF772)+MIN(MAX(AG772,0),'P-Parametri'!$B$8*(AG772+AF772)))</f>
        <v>8910.5286980838737</v>
      </c>
      <c r="AI772" s="18">
        <f>IF($A772&gt;'1-Input'!$B$26,AG772,AG772-MIN(MAX(AG772,0),'P-Parametri'!$B$8*(AG772+AF772)))</f>
        <v>0</v>
      </c>
      <c r="AJ772" s="18">
        <f>IF($A772&gt;'1-Input'!$B$26,AJ771,AJ771-AE772*(1-AD772))</f>
        <v>-6.8212102632969618E-13</v>
      </c>
      <c r="AK772" s="11">
        <f>IF($A772&gt;'1-Input'!$B$26,0,IF(AP771&lt;=0,0,MAX(0,(AP771-AQ771)/AP771)))</f>
        <v>0</v>
      </c>
      <c r="AL772" s="18">
        <f>IF($A772&gt;'1-Input'!$B$26,0,(MAX(0,AK726-IF($A772&gt;='1-Input'!$C$12,'1-Input'!$B$12,0))-MIN(MAX(AO771,0),MAX(0,AK726-IF($A772&gt;='1-Input'!$C$12,'1-Input'!$B$12,0))))*(1/(1-'P-Parametri'!$B$6*AK772))+MIN(MAX(0,AP771-(MAX(0,AK726-IF($A772&gt;='1-Input'!$C$12,'1-Input'!$B$12,0))-MIN(MAX(AO771,0),MAX(0,AK726-IF($A772&gt;='1-Input'!$C$12,'1-Input'!$B$12,0))))*(1/(1-'P-Parametri'!$B$6*AK772))),MAX(0,1*AK726-(AO771-MIN(MAX(AO771,0),MAX(0,AK726-IF($A772&gt;='1-Input'!$C$12,'1-Input'!$B$12,0)))))*(1/(1-'P-Parametri'!$B$6*AK772))))</f>
        <v>0</v>
      </c>
      <c r="AM772" s="18">
        <f>IF($A772&gt;'1-Input'!$B$26,AO771,(AO771-MAX(0,AK726-IF($A772&gt;='1-Input'!$C$12,'1-Input'!$B$12,0))+AL772*(1-'P-Parametri'!$B$6*AK772))*(1+'1-Input'!$B$27))</f>
        <v>8926.4039355227833</v>
      </c>
      <c r="AN772" s="18">
        <f>IF($A772&gt;'1-Input'!$B$26,AP771,(AP771-AL772)*(1+$D$4))</f>
        <v>0</v>
      </c>
      <c r="AO772" s="18">
        <f>IF($A772&gt;'1-Input'!$B$26,AM772,AM772-'P-Parametri'!$B$8*(AN772+AM772)+MIN(MAX(AN772,0),'P-Parametri'!$B$8*(AN772+AM772)))</f>
        <v>8908.5511276517373</v>
      </c>
      <c r="AP772" s="18">
        <f>IF($A772&gt;'1-Input'!$B$26,AN772,AN772-MIN(MAX(AN772,0),'P-Parametri'!$B$8*(AN772+AM772)))</f>
        <v>0</v>
      </c>
      <c r="AQ772" s="18">
        <f>IF($A772&gt;'1-Input'!$B$26,AQ771,AQ771-AL772*(1-AK772))</f>
        <v>-4.5474735088646412E-13</v>
      </c>
    </row>
    <row r="773" spans="1:43">
      <c r="A773" s="10">
        <f>45</f>
        <v>45</v>
      </c>
      <c r="B773" s="11">
        <f>IF($A773&gt;'1-Input'!$B$26,0,IF(G772&lt;=0,0,MAX(0,(G772-H772)/G772)))</f>
        <v>0.84701673276370004</v>
      </c>
      <c r="C773" s="18">
        <f>IF($A773&gt;'1-Input'!$B$26,0,(MAX(0,B726-IF($A773&gt;='1-Input'!$C$12,'1-Input'!$B$12,0))-MIN(MAX(F772,0),MAX(0,B726-IF($A773&gt;='1-Input'!$C$12,'1-Input'!$B$12,0))))*(1/(1-'P-Parametri'!$B$6*B773))+MIN(MAX(0,G772-(MAX(0,B726-IF($A773&gt;='1-Input'!$C$12,'1-Input'!$B$12,0))-MIN(MAX(F772,0),MAX(0,B726-IF($A773&gt;='1-Input'!$C$12,'1-Input'!$B$12,0))))*(1/(1-'P-Parametri'!$B$6*B773))),MAX(0,1*B726-(F772-MIN(MAX(F772,0),MAX(0,B726-IF($A773&gt;='1-Input'!$C$12,'1-Input'!$B$12,0)))))*(1/(1-'P-Parametri'!$B$6*B773))))</f>
        <v>7231.7045518265959</v>
      </c>
      <c r="D773" s="18">
        <f>IF($A773&gt;'1-Input'!$B$26,F772,(F772-MAX(0,B726-IF($A773&gt;='1-Input'!$C$12,'1-Input'!$B$12,0))+C773*(1-'P-Parametri'!$B$6*B773))*(1+'1-Input'!$B$27))</f>
        <v>16621.00351549315</v>
      </c>
      <c r="E773" s="18">
        <f>IF($A773&gt;'1-Input'!$B$26,G772,(G772-C773)*(1+$D$4))</f>
        <v>452867.45074786292</v>
      </c>
      <c r="F773" s="18">
        <f>IF($A773&gt;'1-Input'!$B$26,D773,D773-'P-Parametri'!$B$8*(E773+D773)+MIN(MAX(E773,0),'P-Parametri'!$B$8*(E773+D773)))</f>
        <v>16621.00351549315</v>
      </c>
      <c r="G773" s="18">
        <f>IF($A773&gt;'1-Input'!$B$26,E773,E773-MIN(MAX(E773,0),'P-Parametri'!$B$8*(E773+D773)))</f>
        <v>451928.47383933619</v>
      </c>
      <c r="H773" s="18">
        <f>IF($A773&gt;'1-Input'!$B$26,H772,H772-C773*(1-B773))</f>
        <v>66616.482923444448</v>
      </c>
      <c r="I773" s="11">
        <f>IF($A773&gt;'1-Input'!$B$26,0,IF(N772&lt;=0,0,MAX(0,(N772-O772)/N772)))</f>
        <v>0</v>
      </c>
      <c r="J773" s="18">
        <f>IF($A773&gt;'1-Input'!$B$26,0,(MAX(0,I726-IF($A773&gt;='1-Input'!$C$12,'1-Input'!$B$12,0))-MIN(MAX(M772,0),MAX(0,I726-IF($A773&gt;='1-Input'!$C$12,'1-Input'!$B$12,0))))*(1/(1-'P-Parametri'!$B$6*I773))+MIN(MAX(0,N772-(MAX(0,I726-IF($A773&gt;='1-Input'!$C$12,'1-Input'!$B$12,0))-MIN(MAX(M772,0),MAX(0,I726-IF($A773&gt;='1-Input'!$C$12,'1-Input'!$B$12,0))))*(1/(1-'P-Parametri'!$B$6*I773))),MAX(0,1*I726-(M772-MIN(MAX(M772,0),MAX(0,I726-IF($A773&gt;='1-Input'!$C$12,'1-Input'!$B$12,0)))))*(1/(1-'P-Parametri'!$B$6*I773))))</f>
        <v>10846.756992928691</v>
      </c>
      <c r="K773" s="18">
        <f>IF($A773&gt;'1-Input'!$B$26,M772,(M772-MAX(0,I726-IF($A773&gt;='1-Input'!$C$12,'1-Input'!$B$12,0))+J773*(1-'P-Parametri'!$B$6*I773))*(1+'1-Input'!$B$27))</f>
        <v>0</v>
      </c>
      <c r="L773" s="18">
        <f>IF($A773&gt;'1-Input'!$B$26,N772,(N772-J773)*(1+$D$4))</f>
        <v>-202674.41770330025</v>
      </c>
      <c r="M773" s="18">
        <f>IF($A773&gt;'1-Input'!$B$26,K773,K773-'P-Parametri'!$B$8*(L773+K773)+MIN(MAX(L773,0),'P-Parametri'!$B$8*(L773+K773)))</f>
        <v>0</v>
      </c>
      <c r="N773" s="18">
        <f>IF($A773&gt;'1-Input'!$B$26,L773,L773-MIN(MAX(L773,0),'P-Parametri'!$B$8*(L773+K773)))</f>
        <v>-202269.06886789366</v>
      </c>
      <c r="O773" s="18">
        <f>IF($A773&gt;'1-Input'!$B$26,O772,O772-J773*(1-I773))</f>
        <v>-151409.97445289174</v>
      </c>
      <c r="P773" s="11">
        <f>IF($A773&gt;'1-Input'!$B$26,0,IF(U772&lt;=0,0,MAX(0,(U772-V772)/U772)))</f>
        <v>0</v>
      </c>
      <c r="Q773" s="18">
        <f>IF($A773&gt;'1-Input'!$B$26,0,(MAX(0,P726-IF($A773&gt;='1-Input'!$C$12,'1-Input'!$B$12,0))-MIN(MAX(T772,0),MAX(0,P726-IF($A773&gt;='1-Input'!$C$12,'1-Input'!$B$12,0))))*(1/(1-'P-Parametri'!$B$6*P773))+MIN(MAX(0,U772-(MAX(0,P726-IF($A773&gt;='1-Input'!$C$12,'1-Input'!$B$12,0))-MIN(MAX(T772,0),MAX(0,P726-IF($A773&gt;='1-Input'!$C$12,'1-Input'!$B$12,0))))*(1/(1-'P-Parametri'!$B$6*P773))),MAX(0,1*P726-(T772-MIN(MAX(T772,0),MAX(0,P726-IF($A773&gt;='1-Input'!$C$12,'1-Input'!$B$12,0)))))*(1/(1-'P-Parametri'!$B$6*P773))))</f>
        <v>9258.4092652998188</v>
      </c>
      <c r="R773" s="18">
        <f>IF($A773&gt;'1-Input'!$B$26,T772,(T772-MAX(0,P726-IF($A773&gt;='1-Input'!$C$12,'1-Input'!$B$12,0))+Q773*(1-'P-Parametri'!$B$6*P773))*(1+'1-Input'!$B$27))</f>
        <v>0</v>
      </c>
      <c r="S773" s="18">
        <f>IF($A773&gt;'1-Input'!$B$26,U772,(U772-Q773)*(1+$D$4))</f>
        <v>-35861.598248340371</v>
      </c>
      <c r="T773" s="18">
        <f>IF($A773&gt;'1-Input'!$B$26,R773,R773-'P-Parametri'!$B$8*(S773+R773)+MIN(MAX(S773,0),'P-Parametri'!$B$8*(S773+R773)))</f>
        <v>0</v>
      </c>
      <c r="U773" s="18">
        <f>IF($A773&gt;'1-Input'!$B$26,S773,S773-MIN(MAX(S773,0),'P-Parametri'!$B$8*(S773+R773)))</f>
        <v>-35789.875051843694</v>
      </c>
      <c r="V773" s="18">
        <f>IF($A773&gt;'1-Input'!$B$26,V772,V772-Q773*(1-P773))</f>
        <v>-32819.844443121474</v>
      </c>
      <c r="W773" s="11">
        <f>IF($A773&gt;'1-Input'!$B$26,0,IF(AB772&lt;=0,0,MAX(0,(AB772-AC772)/AB772)))</f>
        <v>0</v>
      </c>
      <c r="X773" s="18">
        <f>IF($A773&gt;'1-Input'!$B$26,0,(MAX(0,W726-IF($A773&gt;='1-Input'!$C$12,'1-Input'!$B$12,0))-MIN(MAX(AA772,0),MAX(0,W726-IF($A773&gt;='1-Input'!$C$12,'1-Input'!$B$12,0))))*(1/(1-'P-Parametri'!$B$6*W773))+MIN(MAX(0,AB772-(MAX(0,W726-IF($A773&gt;='1-Input'!$C$12,'1-Input'!$B$12,0))-MIN(MAX(AA772,0),MAX(0,W726-IF($A773&gt;='1-Input'!$C$12,'1-Input'!$B$12,0))))*(1/(1-'P-Parametri'!$B$6*W773))),MAX(0,1*W726-(AA772-MIN(MAX(AA772,0),MAX(0,W726-IF($A773&gt;='1-Input'!$C$12,'1-Input'!$B$12,0)))))*(1/(1-'P-Parametri'!$B$6*W773))))</f>
        <v>837.59559013186663</v>
      </c>
      <c r="Y773" s="18">
        <f>IF($A773&gt;'1-Input'!$B$26,AA772,(AA772-MAX(0,W726-IF($A773&gt;='1-Input'!$C$12,'1-Input'!$B$12,0))+X773*(1-'P-Parametri'!$B$6*W773))*(1+'1-Input'!$B$27))</f>
        <v>0</v>
      </c>
      <c r="Z773" s="18">
        <f>IF($A773&gt;'1-Input'!$B$26,AB772,(AB772-X773)*(1+$D$4))</f>
        <v>-871.09941373714128</v>
      </c>
      <c r="AA773" s="18">
        <f>IF($A773&gt;'1-Input'!$B$26,Y773,Y773-'P-Parametri'!$B$8*(Z773+Y773)+MIN(MAX(Z773,0),'P-Parametri'!$B$8*(Z773+Y773)))</f>
        <v>0</v>
      </c>
      <c r="AB773" s="18">
        <f>IF($A773&gt;'1-Input'!$B$26,Z773,Z773-MIN(MAX(Z773,0),'P-Parametri'!$B$8*(Z773+Y773)))</f>
        <v>-869.35721490966705</v>
      </c>
      <c r="AC773" s="18">
        <f>IF($A773&gt;'1-Input'!$B$26,AC772,AC772-X773*(1-W773))</f>
        <v>-837.59559013186595</v>
      </c>
      <c r="AD773" s="11">
        <f>IF($A773&gt;'1-Input'!$B$26,0,IF(AI772&lt;=0,0,MAX(0,(AI772-AJ772)/AI772)))</f>
        <v>0</v>
      </c>
      <c r="AE773" s="18">
        <f>IF($A773&gt;'1-Input'!$B$26,0,(MAX(0,AD726-IF($A773&gt;='1-Input'!$C$12,'1-Input'!$B$12,0))-MIN(MAX(AH772,0),MAX(0,AD726-IF($A773&gt;='1-Input'!$C$12,'1-Input'!$B$12,0))))*(1/(1-'P-Parametri'!$B$6*AD773))+MIN(MAX(0,AI772-(MAX(0,AD726-IF($A773&gt;='1-Input'!$C$12,'1-Input'!$B$12,0))-MIN(MAX(AH772,0),MAX(0,AD726-IF($A773&gt;='1-Input'!$C$12,'1-Input'!$B$12,0))))*(1/(1-'P-Parametri'!$B$6*AD773))),MAX(0,1*AD726-(AH772-MIN(MAX(AH772,0),MAX(0,AD726-IF($A773&gt;='1-Input'!$C$12,'1-Input'!$B$12,0)))))*(1/(1-'P-Parametri'!$B$6*AD773))))</f>
        <v>0</v>
      </c>
      <c r="AF773" s="18">
        <f>IF($A773&gt;'1-Input'!$B$26,AH772,(AH772-MAX(0,AD726-IF($A773&gt;='1-Input'!$C$12,'1-Input'!$B$12,0))+AE773*(1-'P-Parametri'!$B$6*AD773))*(1+'1-Input'!$B$27))</f>
        <v>2.0774895501863186</v>
      </c>
      <c r="AG773" s="18">
        <f>IF($A773&gt;'1-Input'!$B$26,AI772,(AI772-AE773)*(1+$D$4))</f>
        <v>0</v>
      </c>
      <c r="AH773" s="18">
        <f>IF($A773&gt;'1-Input'!$B$26,AF773,AF773-'P-Parametri'!$B$8*(AG773+AF773)+MIN(MAX(AG773,0),'P-Parametri'!$B$8*(AG773+AF773)))</f>
        <v>2.0733345710859461</v>
      </c>
      <c r="AI773" s="18">
        <f>IF($A773&gt;'1-Input'!$B$26,AG773,AG773-MIN(MAX(AG773,0),'P-Parametri'!$B$8*(AG773+AF773)))</f>
        <v>0</v>
      </c>
      <c r="AJ773" s="18">
        <f>IF($A773&gt;'1-Input'!$B$26,AJ772,AJ772-AE773*(1-AD773))</f>
        <v>-6.8212102632969618E-13</v>
      </c>
      <c r="AK773" s="11">
        <f>IF($A773&gt;'1-Input'!$B$26,0,IF(AP772&lt;=0,0,MAX(0,(AP772-AQ772)/AP772)))</f>
        <v>0</v>
      </c>
      <c r="AL773" s="18">
        <f>IF($A773&gt;'1-Input'!$B$26,0,(MAX(0,AK726-IF($A773&gt;='1-Input'!$C$12,'1-Input'!$B$12,0))-MIN(MAX(AO772,0),MAX(0,AK726-IF($A773&gt;='1-Input'!$C$12,'1-Input'!$B$12,0))))*(1/(1-'P-Parametri'!$B$6*AK773))+MIN(MAX(0,AP772-(MAX(0,AK726-IF($A773&gt;='1-Input'!$C$12,'1-Input'!$B$12,0))-MIN(MAX(AO772,0),MAX(0,AK726-IF($A773&gt;='1-Input'!$C$12,'1-Input'!$B$12,0))))*(1/(1-'P-Parametri'!$B$6*AK773))),MAX(0,1*AK726-(AO772-MIN(MAX(AO772,0),MAX(0,AK726-IF($A773&gt;='1-Input'!$C$12,'1-Input'!$B$12,0)))))*(1/(1-'P-Parametri'!$B$6*AK773))))</f>
        <v>0</v>
      </c>
      <c r="AM773" s="18">
        <f>IF($A773&gt;'1-Input'!$B$26,AO772,(AO772-MAX(0,AK726-IF($A773&gt;='1-Input'!$C$12,'1-Input'!$B$12,0))+AL773*(1-'P-Parametri'!$B$6*AK773))*(1+'1-Input'!$B$27))</f>
        <v>8.6885649374822238E-2</v>
      </c>
      <c r="AN773" s="18">
        <f>IF($A773&gt;'1-Input'!$B$26,AP772,(AP772-AL773)*(1+$D$4))</f>
        <v>0</v>
      </c>
      <c r="AO773" s="18">
        <f>IF($A773&gt;'1-Input'!$B$26,AM773,AM773-'P-Parametri'!$B$8*(AN773+AM773)+MIN(MAX(AN773,0),'P-Parametri'!$B$8*(AN773+AM773)))</f>
        <v>8.6711878076072599E-2</v>
      </c>
      <c r="AP773" s="18">
        <f>IF($A773&gt;'1-Input'!$B$26,AN773,AN773-MIN(MAX(AN773,0),'P-Parametri'!$B$8*(AN773+AM773)))</f>
        <v>0</v>
      </c>
      <c r="AQ773" s="18">
        <f>IF($A773&gt;'1-Input'!$B$26,AQ772,AQ772-AL773*(1-AK773))</f>
        <v>-4.5474735088646412E-13</v>
      </c>
    </row>
    <row r="774" spans="1:43">
      <c r="A774" s="10">
        <f>46</f>
        <v>46</v>
      </c>
      <c r="B774" s="11">
        <f>IF($A774&gt;'1-Input'!$B$26,0,IF(G773&lt;=0,0,MAX(0,(G773-H773)/G773)))</f>
        <v>0</v>
      </c>
      <c r="C774" s="18">
        <f>IF($A774&gt;'1-Input'!$B$26,0,(MAX(0,B726-IF($A774&gt;='1-Input'!$C$12,'1-Input'!$B$12,0))-MIN(MAX(F773,0),MAX(0,B726-IF($A774&gt;='1-Input'!$C$12,'1-Input'!$B$12,0))))*(1/(1-'P-Parametri'!$B$6*B774))+MIN(MAX(0,G773-(MAX(0,B726-IF($A774&gt;='1-Input'!$C$12,'1-Input'!$B$12,0))-MIN(MAX(F773,0),MAX(0,B726-IF($A774&gt;='1-Input'!$C$12,'1-Input'!$B$12,0))))*(1/(1-'P-Parametri'!$B$6*B774))),MAX(0,1*B726-(F773-MIN(MAX(F773,0),MAX(0,B726-IF($A774&gt;='1-Input'!$C$12,'1-Input'!$B$12,0)))))*(1/(1-'P-Parametri'!$B$6*B774))))</f>
        <v>0</v>
      </c>
      <c r="D774" s="18">
        <f>IF($A774&gt;'1-Input'!$B$26,F773,(F773-MAX(0,B726-IF($A774&gt;='1-Input'!$C$12,'1-Input'!$B$12,0))+C774*(1-'P-Parametri'!$B$6*B774))*(1+'1-Input'!$B$27))</f>
        <v>16621.00351549315</v>
      </c>
      <c r="E774" s="18">
        <f>IF($A774&gt;'1-Input'!$B$26,G773,(G773-C774)*(1+$D$4))</f>
        <v>451928.47383933619</v>
      </c>
      <c r="F774" s="18">
        <f>IF($A774&gt;'1-Input'!$B$26,D774,D774-'P-Parametri'!$B$8*(E774+D774)+MIN(MAX(E774,0),'P-Parametri'!$B$8*(E774+D774)))</f>
        <v>16621.00351549315</v>
      </c>
      <c r="G774" s="18">
        <f>IF($A774&gt;'1-Input'!$B$26,E774,E774-MIN(MAX(E774,0),'P-Parametri'!$B$8*(E774+D774)))</f>
        <v>451928.47383933619</v>
      </c>
      <c r="H774" s="18">
        <f>IF($A774&gt;'1-Input'!$B$26,H773,H773-C774*(1-B774))</f>
        <v>66616.482923444448</v>
      </c>
      <c r="I774" s="11">
        <f>IF($A774&gt;'1-Input'!$B$26,0,IF(N773&lt;=0,0,MAX(0,(N773-O773)/N773)))</f>
        <v>0</v>
      </c>
      <c r="J774" s="18">
        <f>IF($A774&gt;'1-Input'!$B$26,0,(MAX(0,I726-IF($A774&gt;='1-Input'!$C$12,'1-Input'!$B$12,0))-MIN(MAX(M773,0),MAX(0,I726-IF($A774&gt;='1-Input'!$C$12,'1-Input'!$B$12,0))))*(1/(1-'P-Parametri'!$B$6*I774))+MIN(MAX(0,N773-(MAX(0,I726-IF($A774&gt;='1-Input'!$C$12,'1-Input'!$B$12,0))-MIN(MAX(M773,0),MAX(0,I726-IF($A774&gt;='1-Input'!$C$12,'1-Input'!$B$12,0))))*(1/(1-'P-Parametri'!$B$6*I774))),MAX(0,1*I726-(M773-MIN(MAX(M773,0),MAX(0,I726-IF($A774&gt;='1-Input'!$C$12,'1-Input'!$B$12,0)))))*(1/(1-'P-Parametri'!$B$6*I774))))</f>
        <v>0</v>
      </c>
      <c r="K774" s="18">
        <f>IF($A774&gt;'1-Input'!$B$26,M773,(M773-MAX(0,I726-IF($A774&gt;='1-Input'!$C$12,'1-Input'!$B$12,0))+J774*(1-'P-Parametri'!$B$6*I774))*(1+'1-Input'!$B$27))</f>
        <v>0</v>
      </c>
      <c r="L774" s="18">
        <f>IF($A774&gt;'1-Input'!$B$26,N773,(N773-J774)*(1+$D$4))</f>
        <v>-202269.06886789366</v>
      </c>
      <c r="M774" s="18">
        <f>IF($A774&gt;'1-Input'!$B$26,K774,K774-'P-Parametri'!$B$8*(L774+K774)+MIN(MAX(L774,0),'P-Parametri'!$B$8*(L774+K774)))</f>
        <v>0</v>
      </c>
      <c r="N774" s="18">
        <f>IF($A774&gt;'1-Input'!$B$26,L774,L774-MIN(MAX(L774,0),'P-Parametri'!$B$8*(L774+K774)))</f>
        <v>-202269.06886789366</v>
      </c>
      <c r="O774" s="18">
        <f>IF($A774&gt;'1-Input'!$B$26,O773,O773-J774*(1-I774))</f>
        <v>-151409.97445289174</v>
      </c>
      <c r="P774" s="11">
        <f>IF($A774&gt;'1-Input'!$B$26,0,IF(U773&lt;=0,0,MAX(0,(U773-V773)/U773)))</f>
        <v>0</v>
      </c>
      <c r="Q774" s="18">
        <f>IF($A774&gt;'1-Input'!$B$26,0,(MAX(0,P726-IF($A774&gt;='1-Input'!$C$12,'1-Input'!$B$12,0))-MIN(MAX(T773,0),MAX(0,P726-IF($A774&gt;='1-Input'!$C$12,'1-Input'!$B$12,0))))*(1/(1-'P-Parametri'!$B$6*P774))+MIN(MAX(0,U773-(MAX(0,P726-IF($A774&gt;='1-Input'!$C$12,'1-Input'!$B$12,0))-MIN(MAX(T773,0),MAX(0,P726-IF($A774&gt;='1-Input'!$C$12,'1-Input'!$B$12,0))))*(1/(1-'P-Parametri'!$B$6*P774))),MAX(0,1*P726-(T773-MIN(MAX(T773,0),MAX(0,P726-IF($A774&gt;='1-Input'!$C$12,'1-Input'!$B$12,0)))))*(1/(1-'P-Parametri'!$B$6*P774))))</f>
        <v>0</v>
      </c>
      <c r="R774" s="18">
        <f>IF($A774&gt;'1-Input'!$B$26,T773,(T773-MAX(0,P726-IF($A774&gt;='1-Input'!$C$12,'1-Input'!$B$12,0))+Q774*(1-'P-Parametri'!$B$6*P774))*(1+'1-Input'!$B$27))</f>
        <v>0</v>
      </c>
      <c r="S774" s="18">
        <f>IF($A774&gt;'1-Input'!$B$26,U773,(U773-Q774)*(1+$D$4))</f>
        <v>-35789.875051843694</v>
      </c>
      <c r="T774" s="18">
        <f>IF($A774&gt;'1-Input'!$B$26,R774,R774-'P-Parametri'!$B$8*(S774+R774)+MIN(MAX(S774,0),'P-Parametri'!$B$8*(S774+R774)))</f>
        <v>0</v>
      </c>
      <c r="U774" s="18">
        <f>IF($A774&gt;'1-Input'!$B$26,S774,S774-MIN(MAX(S774,0),'P-Parametri'!$B$8*(S774+R774)))</f>
        <v>-35789.875051843694</v>
      </c>
      <c r="V774" s="18">
        <f>IF($A774&gt;'1-Input'!$B$26,V773,V773-Q774*(1-P774))</f>
        <v>-32819.844443121474</v>
      </c>
      <c r="W774" s="11">
        <f>IF($A774&gt;'1-Input'!$B$26,0,IF(AB773&lt;=0,0,MAX(0,(AB773-AC773)/AB773)))</f>
        <v>0</v>
      </c>
      <c r="X774" s="18">
        <f>IF($A774&gt;'1-Input'!$B$26,0,(MAX(0,W726-IF($A774&gt;='1-Input'!$C$12,'1-Input'!$B$12,0))-MIN(MAX(AA773,0),MAX(0,W726-IF($A774&gt;='1-Input'!$C$12,'1-Input'!$B$12,0))))*(1/(1-'P-Parametri'!$B$6*W774))+MIN(MAX(0,AB773-(MAX(0,W726-IF($A774&gt;='1-Input'!$C$12,'1-Input'!$B$12,0))-MIN(MAX(AA773,0),MAX(0,W726-IF($A774&gt;='1-Input'!$C$12,'1-Input'!$B$12,0))))*(1/(1-'P-Parametri'!$B$6*W774))),MAX(0,1*W726-(AA773-MIN(MAX(AA773,0),MAX(0,W726-IF($A774&gt;='1-Input'!$C$12,'1-Input'!$B$12,0)))))*(1/(1-'P-Parametri'!$B$6*W774))))</f>
        <v>0</v>
      </c>
      <c r="Y774" s="18">
        <f>IF($A774&gt;'1-Input'!$B$26,AA773,(AA773-MAX(0,W726-IF($A774&gt;='1-Input'!$C$12,'1-Input'!$B$12,0))+X774*(1-'P-Parametri'!$B$6*W774))*(1+'1-Input'!$B$27))</f>
        <v>0</v>
      </c>
      <c r="Z774" s="18">
        <f>IF($A774&gt;'1-Input'!$B$26,AB773,(AB773-X774)*(1+$D$4))</f>
        <v>-869.35721490966705</v>
      </c>
      <c r="AA774" s="18">
        <f>IF($A774&gt;'1-Input'!$B$26,Y774,Y774-'P-Parametri'!$B$8*(Z774+Y774)+MIN(MAX(Z774,0),'P-Parametri'!$B$8*(Z774+Y774)))</f>
        <v>0</v>
      </c>
      <c r="AB774" s="18">
        <f>IF($A774&gt;'1-Input'!$B$26,Z774,Z774-MIN(MAX(Z774,0),'P-Parametri'!$B$8*(Z774+Y774)))</f>
        <v>-869.35721490966705</v>
      </c>
      <c r="AC774" s="18">
        <f>IF($A774&gt;'1-Input'!$B$26,AC773,AC773-X774*(1-W774))</f>
        <v>-837.59559013186595</v>
      </c>
      <c r="AD774" s="11">
        <f>IF($A774&gt;'1-Input'!$B$26,0,IF(AI773&lt;=0,0,MAX(0,(AI773-AJ773)/AI773)))</f>
        <v>0</v>
      </c>
      <c r="AE774" s="18">
        <f>IF($A774&gt;'1-Input'!$B$26,0,(MAX(0,AD726-IF($A774&gt;='1-Input'!$C$12,'1-Input'!$B$12,0))-MIN(MAX(AH773,0),MAX(0,AD726-IF($A774&gt;='1-Input'!$C$12,'1-Input'!$B$12,0))))*(1/(1-'P-Parametri'!$B$6*AD774))+MIN(MAX(0,AI773-(MAX(0,AD726-IF($A774&gt;='1-Input'!$C$12,'1-Input'!$B$12,0))-MIN(MAX(AH773,0),MAX(0,AD726-IF($A774&gt;='1-Input'!$C$12,'1-Input'!$B$12,0))))*(1/(1-'P-Parametri'!$B$6*AD774))),MAX(0,1*AD726-(AH773-MIN(MAX(AH773,0),MAX(0,AD726-IF($A774&gt;='1-Input'!$C$12,'1-Input'!$B$12,0)))))*(1/(1-'P-Parametri'!$B$6*AD774))))</f>
        <v>0</v>
      </c>
      <c r="AF774" s="18">
        <f>IF($A774&gt;'1-Input'!$B$26,AH773,(AH773-MAX(0,AD726-IF($A774&gt;='1-Input'!$C$12,'1-Input'!$B$12,0))+AE774*(1-'P-Parametri'!$B$6*AD774))*(1+'1-Input'!$B$27))</f>
        <v>2.0733345710859461</v>
      </c>
      <c r="AG774" s="18">
        <f>IF($A774&gt;'1-Input'!$B$26,AI773,(AI773-AE774)*(1+$D$4))</f>
        <v>0</v>
      </c>
      <c r="AH774" s="18">
        <f>IF($A774&gt;'1-Input'!$B$26,AF774,AF774-'P-Parametri'!$B$8*(AG774+AF774)+MIN(MAX(AG774,0),'P-Parametri'!$B$8*(AG774+AF774)))</f>
        <v>2.0733345710859461</v>
      </c>
      <c r="AI774" s="18">
        <f>IF($A774&gt;'1-Input'!$B$26,AG774,AG774-MIN(MAX(AG774,0),'P-Parametri'!$B$8*(AG774+AF774)))</f>
        <v>0</v>
      </c>
      <c r="AJ774" s="18">
        <f>IF($A774&gt;'1-Input'!$B$26,AJ773,AJ773-AE774*(1-AD774))</f>
        <v>-6.8212102632969618E-13</v>
      </c>
      <c r="AK774" s="11">
        <f>IF($A774&gt;'1-Input'!$B$26,0,IF(AP773&lt;=0,0,MAX(0,(AP773-AQ773)/AP773)))</f>
        <v>0</v>
      </c>
      <c r="AL774" s="18">
        <f>IF($A774&gt;'1-Input'!$B$26,0,(MAX(0,AK726-IF($A774&gt;='1-Input'!$C$12,'1-Input'!$B$12,0))-MIN(MAX(AO773,0),MAX(0,AK726-IF($A774&gt;='1-Input'!$C$12,'1-Input'!$B$12,0))))*(1/(1-'P-Parametri'!$B$6*AK774))+MIN(MAX(0,AP773-(MAX(0,AK726-IF($A774&gt;='1-Input'!$C$12,'1-Input'!$B$12,0))-MIN(MAX(AO773,0),MAX(0,AK726-IF($A774&gt;='1-Input'!$C$12,'1-Input'!$B$12,0))))*(1/(1-'P-Parametri'!$B$6*AK774))),MAX(0,1*AK726-(AO773-MIN(MAX(AO773,0),MAX(0,AK726-IF($A774&gt;='1-Input'!$C$12,'1-Input'!$B$12,0)))))*(1/(1-'P-Parametri'!$B$6*AK774))))</f>
        <v>0</v>
      </c>
      <c r="AM774" s="18">
        <f>IF($A774&gt;'1-Input'!$B$26,AO773,(AO773-MAX(0,AK726-IF($A774&gt;='1-Input'!$C$12,'1-Input'!$B$12,0))+AL774*(1-'P-Parametri'!$B$6*AK774))*(1+'1-Input'!$B$27))</f>
        <v>8.6711878076072599E-2</v>
      </c>
      <c r="AN774" s="18">
        <f>IF($A774&gt;'1-Input'!$B$26,AP773,(AP773-AL774)*(1+$D$4))</f>
        <v>0</v>
      </c>
      <c r="AO774" s="18">
        <f>IF($A774&gt;'1-Input'!$B$26,AM774,AM774-'P-Parametri'!$B$8*(AN774+AM774)+MIN(MAX(AN774,0),'P-Parametri'!$B$8*(AN774+AM774)))</f>
        <v>8.6711878076072599E-2</v>
      </c>
      <c r="AP774" s="18">
        <f>IF($A774&gt;'1-Input'!$B$26,AN774,AN774-MIN(MAX(AN774,0),'P-Parametri'!$B$8*(AN774+AM774)))</f>
        <v>0</v>
      </c>
      <c r="AQ774" s="18">
        <f>IF($A774&gt;'1-Input'!$B$26,AQ773,AQ773-AL774*(1-AK774))</f>
        <v>-4.5474735088646412E-13</v>
      </c>
    </row>
    <row r="775" spans="1:43">
      <c r="A775" s="10">
        <f>47</f>
        <v>47</v>
      </c>
      <c r="B775" s="11">
        <f>IF($A775&gt;'1-Input'!$B$26,0,IF(G774&lt;=0,0,MAX(0,(G774-H774)/G774)))</f>
        <v>0</v>
      </c>
      <c r="C775" s="18">
        <f>IF($A775&gt;'1-Input'!$B$26,0,(MAX(0,B726-IF($A775&gt;='1-Input'!$C$12,'1-Input'!$B$12,0))-MIN(MAX(F774,0),MAX(0,B726-IF($A775&gt;='1-Input'!$C$12,'1-Input'!$B$12,0))))*(1/(1-'P-Parametri'!$B$6*B775))+MIN(MAX(0,G774-(MAX(0,B726-IF($A775&gt;='1-Input'!$C$12,'1-Input'!$B$12,0))-MIN(MAX(F774,0),MAX(0,B726-IF($A775&gt;='1-Input'!$C$12,'1-Input'!$B$12,0))))*(1/(1-'P-Parametri'!$B$6*B775))),MAX(0,1*B726-(F774-MIN(MAX(F774,0),MAX(0,B726-IF($A775&gt;='1-Input'!$C$12,'1-Input'!$B$12,0)))))*(1/(1-'P-Parametri'!$B$6*B775))))</f>
        <v>0</v>
      </c>
      <c r="D775" s="18">
        <f>IF($A775&gt;'1-Input'!$B$26,F774,(F774-MAX(0,B726-IF($A775&gt;='1-Input'!$C$12,'1-Input'!$B$12,0))+C775*(1-'P-Parametri'!$B$6*B775))*(1+'1-Input'!$B$27))</f>
        <v>16621.00351549315</v>
      </c>
      <c r="E775" s="18">
        <f>IF($A775&gt;'1-Input'!$B$26,G774,(G774-C775)*(1+$D$4))</f>
        <v>451928.47383933619</v>
      </c>
      <c r="F775" s="18">
        <f>IF($A775&gt;'1-Input'!$B$26,D775,D775-'P-Parametri'!$B$8*(E775+D775)+MIN(MAX(E775,0),'P-Parametri'!$B$8*(E775+D775)))</f>
        <v>16621.00351549315</v>
      </c>
      <c r="G775" s="18">
        <f>IF($A775&gt;'1-Input'!$B$26,E775,E775-MIN(MAX(E775,0),'P-Parametri'!$B$8*(E775+D775)))</f>
        <v>451928.47383933619</v>
      </c>
      <c r="H775" s="18">
        <f>IF($A775&gt;'1-Input'!$B$26,H774,H774-C775*(1-B775))</f>
        <v>66616.482923444448</v>
      </c>
      <c r="I775" s="11">
        <f>IF($A775&gt;'1-Input'!$B$26,0,IF(N774&lt;=0,0,MAX(0,(N774-O774)/N774)))</f>
        <v>0</v>
      </c>
      <c r="J775" s="18">
        <f>IF($A775&gt;'1-Input'!$B$26,0,(MAX(0,I726-IF($A775&gt;='1-Input'!$C$12,'1-Input'!$B$12,0))-MIN(MAX(M774,0),MAX(0,I726-IF($A775&gt;='1-Input'!$C$12,'1-Input'!$B$12,0))))*(1/(1-'P-Parametri'!$B$6*I775))+MIN(MAX(0,N774-(MAX(0,I726-IF($A775&gt;='1-Input'!$C$12,'1-Input'!$B$12,0))-MIN(MAX(M774,0),MAX(0,I726-IF($A775&gt;='1-Input'!$C$12,'1-Input'!$B$12,0))))*(1/(1-'P-Parametri'!$B$6*I775))),MAX(0,1*I726-(M774-MIN(MAX(M774,0),MAX(0,I726-IF($A775&gt;='1-Input'!$C$12,'1-Input'!$B$12,0)))))*(1/(1-'P-Parametri'!$B$6*I775))))</f>
        <v>0</v>
      </c>
      <c r="K775" s="18">
        <f>IF($A775&gt;'1-Input'!$B$26,M774,(M774-MAX(0,I726-IF($A775&gt;='1-Input'!$C$12,'1-Input'!$B$12,0))+J775*(1-'P-Parametri'!$B$6*I775))*(1+'1-Input'!$B$27))</f>
        <v>0</v>
      </c>
      <c r="L775" s="18">
        <f>IF($A775&gt;'1-Input'!$B$26,N774,(N774-J775)*(1+$D$4))</f>
        <v>-202269.06886789366</v>
      </c>
      <c r="M775" s="18">
        <f>IF($A775&gt;'1-Input'!$B$26,K775,K775-'P-Parametri'!$B$8*(L775+K775)+MIN(MAX(L775,0),'P-Parametri'!$B$8*(L775+K775)))</f>
        <v>0</v>
      </c>
      <c r="N775" s="18">
        <f>IF($A775&gt;'1-Input'!$B$26,L775,L775-MIN(MAX(L775,0),'P-Parametri'!$B$8*(L775+K775)))</f>
        <v>-202269.06886789366</v>
      </c>
      <c r="O775" s="18">
        <f>IF($A775&gt;'1-Input'!$B$26,O774,O774-J775*(1-I775))</f>
        <v>-151409.97445289174</v>
      </c>
      <c r="P775" s="11">
        <f>IF($A775&gt;'1-Input'!$B$26,0,IF(U774&lt;=0,0,MAX(0,(U774-V774)/U774)))</f>
        <v>0</v>
      </c>
      <c r="Q775" s="18">
        <f>IF($A775&gt;'1-Input'!$B$26,0,(MAX(0,P726-IF($A775&gt;='1-Input'!$C$12,'1-Input'!$B$12,0))-MIN(MAX(T774,0),MAX(0,P726-IF($A775&gt;='1-Input'!$C$12,'1-Input'!$B$12,0))))*(1/(1-'P-Parametri'!$B$6*P775))+MIN(MAX(0,U774-(MAX(0,P726-IF($A775&gt;='1-Input'!$C$12,'1-Input'!$B$12,0))-MIN(MAX(T774,0),MAX(0,P726-IF($A775&gt;='1-Input'!$C$12,'1-Input'!$B$12,0))))*(1/(1-'P-Parametri'!$B$6*P775))),MAX(0,1*P726-(T774-MIN(MAX(T774,0),MAX(0,P726-IF($A775&gt;='1-Input'!$C$12,'1-Input'!$B$12,0)))))*(1/(1-'P-Parametri'!$B$6*P775))))</f>
        <v>0</v>
      </c>
      <c r="R775" s="18">
        <f>IF($A775&gt;'1-Input'!$B$26,T774,(T774-MAX(0,P726-IF($A775&gt;='1-Input'!$C$12,'1-Input'!$B$12,0))+Q775*(1-'P-Parametri'!$B$6*P775))*(1+'1-Input'!$B$27))</f>
        <v>0</v>
      </c>
      <c r="S775" s="18">
        <f>IF($A775&gt;'1-Input'!$B$26,U774,(U774-Q775)*(1+$D$4))</f>
        <v>-35789.875051843694</v>
      </c>
      <c r="T775" s="18">
        <f>IF($A775&gt;'1-Input'!$B$26,R775,R775-'P-Parametri'!$B$8*(S775+R775)+MIN(MAX(S775,0),'P-Parametri'!$B$8*(S775+R775)))</f>
        <v>0</v>
      </c>
      <c r="U775" s="18">
        <f>IF($A775&gt;'1-Input'!$B$26,S775,S775-MIN(MAX(S775,0),'P-Parametri'!$B$8*(S775+R775)))</f>
        <v>-35789.875051843694</v>
      </c>
      <c r="V775" s="18">
        <f>IF($A775&gt;'1-Input'!$B$26,V774,V774-Q775*(1-P775))</f>
        <v>-32819.844443121474</v>
      </c>
      <c r="W775" s="11">
        <f>IF($A775&gt;'1-Input'!$B$26,0,IF(AB774&lt;=0,0,MAX(0,(AB774-AC774)/AB774)))</f>
        <v>0</v>
      </c>
      <c r="X775" s="18">
        <f>IF($A775&gt;'1-Input'!$B$26,0,(MAX(0,W726-IF($A775&gt;='1-Input'!$C$12,'1-Input'!$B$12,0))-MIN(MAX(AA774,0),MAX(0,W726-IF($A775&gt;='1-Input'!$C$12,'1-Input'!$B$12,0))))*(1/(1-'P-Parametri'!$B$6*W775))+MIN(MAX(0,AB774-(MAX(0,W726-IF($A775&gt;='1-Input'!$C$12,'1-Input'!$B$12,0))-MIN(MAX(AA774,0),MAX(0,W726-IF($A775&gt;='1-Input'!$C$12,'1-Input'!$B$12,0))))*(1/(1-'P-Parametri'!$B$6*W775))),MAX(0,1*W726-(AA774-MIN(MAX(AA774,0),MAX(0,W726-IF($A775&gt;='1-Input'!$C$12,'1-Input'!$B$12,0)))))*(1/(1-'P-Parametri'!$B$6*W775))))</f>
        <v>0</v>
      </c>
      <c r="Y775" s="18">
        <f>IF($A775&gt;'1-Input'!$B$26,AA774,(AA774-MAX(0,W726-IF($A775&gt;='1-Input'!$C$12,'1-Input'!$B$12,0))+X775*(1-'P-Parametri'!$B$6*W775))*(1+'1-Input'!$B$27))</f>
        <v>0</v>
      </c>
      <c r="Z775" s="18">
        <f>IF($A775&gt;'1-Input'!$B$26,AB774,(AB774-X775)*(1+$D$4))</f>
        <v>-869.35721490966705</v>
      </c>
      <c r="AA775" s="18">
        <f>IF($A775&gt;'1-Input'!$B$26,Y775,Y775-'P-Parametri'!$B$8*(Z775+Y775)+MIN(MAX(Z775,0),'P-Parametri'!$B$8*(Z775+Y775)))</f>
        <v>0</v>
      </c>
      <c r="AB775" s="18">
        <f>IF($A775&gt;'1-Input'!$B$26,Z775,Z775-MIN(MAX(Z775,0),'P-Parametri'!$B$8*(Z775+Y775)))</f>
        <v>-869.35721490966705</v>
      </c>
      <c r="AC775" s="18">
        <f>IF($A775&gt;'1-Input'!$B$26,AC774,AC774-X775*(1-W775))</f>
        <v>-837.59559013186595</v>
      </c>
      <c r="AD775" s="11">
        <f>IF($A775&gt;'1-Input'!$B$26,0,IF(AI774&lt;=0,0,MAX(0,(AI774-AJ774)/AI774)))</f>
        <v>0</v>
      </c>
      <c r="AE775" s="18">
        <f>IF($A775&gt;'1-Input'!$B$26,0,(MAX(0,AD726-IF($A775&gt;='1-Input'!$C$12,'1-Input'!$B$12,0))-MIN(MAX(AH774,0),MAX(0,AD726-IF($A775&gt;='1-Input'!$C$12,'1-Input'!$B$12,0))))*(1/(1-'P-Parametri'!$B$6*AD775))+MIN(MAX(0,AI774-(MAX(0,AD726-IF($A775&gt;='1-Input'!$C$12,'1-Input'!$B$12,0))-MIN(MAX(AH774,0),MAX(0,AD726-IF($A775&gt;='1-Input'!$C$12,'1-Input'!$B$12,0))))*(1/(1-'P-Parametri'!$B$6*AD775))),MAX(0,1*AD726-(AH774-MIN(MAX(AH774,0),MAX(0,AD726-IF($A775&gt;='1-Input'!$C$12,'1-Input'!$B$12,0)))))*(1/(1-'P-Parametri'!$B$6*AD775))))</f>
        <v>0</v>
      </c>
      <c r="AF775" s="18">
        <f>IF($A775&gt;'1-Input'!$B$26,AH774,(AH774-MAX(0,AD726-IF($A775&gt;='1-Input'!$C$12,'1-Input'!$B$12,0))+AE775*(1-'P-Parametri'!$B$6*AD775))*(1+'1-Input'!$B$27))</f>
        <v>2.0733345710859461</v>
      </c>
      <c r="AG775" s="18">
        <f>IF($A775&gt;'1-Input'!$B$26,AI774,(AI774-AE775)*(1+$D$4))</f>
        <v>0</v>
      </c>
      <c r="AH775" s="18">
        <f>IF($A775&gt;'1-Input'!$B$26,AF775,AF775-'P-Parametri'!$B$8*(AG775+AF775)+MIN(MAX(AG775,0),'P-Parametri'!$B$8*(AG775+AF775)))</f>
        <v>2.0733345710859461</v>
      </c>
      <c r="AI775" s="18">
        <f>IF($A775&gt;'1-Input'!$B$26,AG775,AG775-MIN(MAX(AG775,0),'P-Parametri'!$B$8*(AG775+AF775)))</f>
        <v>0</v>
      </c>
      <c r="AJ775" s="18">
        <f>IF($A775&gt;'1-Input'!$B$26,AJ774,AJ774-AE775*(1-AD775))</f>
        <v>-6.8212102632969618E-13</v>
      </c>
      <c r="AK775" s="11">
        <f>IF($A775&gt;'1-Input'!$B$26,0,IF(AP774&lt;=0,0,MAX(0,(AP774-AQ774)/AP774)))</f>
        <v>0</v>
      </c>
      <c r="AL775" s="18">
        <f>IF($A775&gt;'1-Input'!$B$26,0,(MAX(0,AK726-IF($A775&gt;='1-Input'!$C$12,'1-Input'!$B$12,0))-MIN(MAX(AO774,0),MAX(0,AK726-IF($A775&gt;='1-Input'!$C$12,'1-Input'!$B$12,0))))*(1/(1-'P-Parametri'!$B$6*AK775))+MIN(MAX(0,AP774-(MAX(0,AK726-IF($A775&gt;='1-Input'!$C$12,'1-Input'!$B$12,0))-MIN(MAX(AO774,0),MAX(0,AK726-IF($A775&gt;='1-Input'!$C$12,'1-Input'!$B$12,0))))*(1/(1-'P-Parametri'!$B$6*AK775))),MAX(0,1*AK726-(AO774-MIN(MAX(AO774,0),MAX(0,AK726-IF($A775&gt;='1-Input'!$C$12,'1-Input'!$B$12,0)))))*(1/(1-'P-Parametri'!$B$6*AK775))))</f>
        <v>0</v>
      </c>
      <c r="AM775" s="18">
        <f>IF($A775&gt;'1-Input'!$B$26,AO774,(AO774-MAX(0,AK726-IF($A775&gt;='1-Input'!$C$12,'1-Input'!$B$12,0))+AL775*(1-'P-Parametri'!$B$6*AK775))*(1+'1-Input'!$B$27))</f>
        <v>8.6711878076072599E-2</v>
      </c>
      <c r="AN775" s="18">
        <f>IF($A775&gt;'1-Input'!$B$26,AP774,(AP774-AL775)*(1+$D$4))</f>
        <v>0</v>
      </c>
      <c r="AO775" s="18">
        <f>IF($A775&gt;'1-Input'!$B$26,AM775,AM775-'P-Parametri'!$B$8*(AN775+AM775)+MIN(MAX(AN775,0),'P-Parametri'!$B$8*(AN775+AM775)))</f>
        <v>8.6711878076072599E-2</v>
      </c>
      <c r="AP775" s="18">
        <f>IF($A775&gt;'1-Input'!$B$26,AN775,AN775-MIN(MAX(AN775,0),'P-Parametri'!$B$8*(AN775+AM775)))</f>
        <v>0</v>
      </c>
      <c r="AQ775" s="18">
        <f>IF($A775&gt;'1-Input'!$B$26,AQ774,AQ774-AL775*(1-AK775))</f>
        <v>-4.5474735088646412E-13</v>
      </c>
    </row>
    <row r="776" spans="1:43">
      <c r="A776" s="10">
        <f>48</f>
        <v>48</v>
      </c>
      <c r="B776" s="11">
        <f>IF($A776&gt;'1-Input'!$B$26,0,IF(G775&lt;=0,0,MAX(0,(G775-H775)/G775)))</f>
        <v>0</v>
      </c>
      <c r="C776" s="18">
        <f>IF($A776&gt;'1-Input'!$B$26,0,(MAX(0,B726-IF($A776&gt;='1-Input'!$C$12,'1-Input'!$B$12,0))-MIN(MAX(F775,0),MAX(0,B726-IF($A776&gt;='1-Input'!$C$12,'1-Input'!$B$12,0))))*(1/(1-'P-Parametri'!$B$6*B776))+MIN(MAX(0,G775-(MAX(0,B726-IF($A776&gt;='1-Input'!$C$12,'1-Input'!$B$12,0))-MIN(MAX(F775,0),MAX(0,B726-IF($A776&gt;='1-Input'!$C$12,'1-Input'!$B$12,0))))*(1/(1-'P-Parametri'!$B$6*B776))),MAX(0,1*B726-(F775-MIN(MAX(F775,0),MAX(0,B726-IF($A776&gt;='1-Input'!$C$12,'1-Input'!$B$12,0)))))*(1/(1-'P-Parametri'!$B$6*B776))))</f>
        <v>0</v>
      </c>
      <c r="D776" s="18">
        <f>IF($A776&gt;'1-Input'!$B$26,F775,(F775-MAX(0,B726-IF($A776&gt;='1-Input'!$C$12,'1-Input'!$B$12,0))+C776*(1-'P-Parametri'!$B$6*B776))*(1+'1-Input'!$B$27))</f>
        <v>16621.00351549315</v>
      </c>
      <c r="E776" s="18">
        <f>IF($A776&gt;'1-Input'!$B$26,G775,(G775-C776)*(1+$D$4))</f>
        <v>451928.47383933619</v>
      </c>
      <c r="F776" s="18">
        <f>IF($A776&gt;'1-Input'!$B$26,D776,D776-'P-Parametri'!$B$8*(E776+D776)+MIN(MAX(E776,0),'P-Parametri'!$B$8*(E776+D776)))</f>
        <v>16621.00351549315</v>
      </c>
      <c r="G776" s="18">
        <f>IF($A776&gt;'1-Input'!$B$26,E776,E776-MIN(MAX(E776,0),'P-Parametri'!$B$8*(E776+D776)))</f>
        <v>451928.47383933619</v>
      </c>
      <c r="H776" s="18">
        <f>IF($A776&gt;'1-Input'!$B$26,H775,H775-C776*(1-B776))</f>
        <v>66616.482923444448</v>
      </c>
      <c r="I776" s="11">
        <f>IF($A776&gt;'1-Input'!$B$26,0,IF(N775&lt;=0,0,MAX(0,(N775-O775)/N775)))</f>
        <v>0</v>
      </c>
      <c r="J776" s="18">
        <f>IF($A776&gt;'1-Input'!$B$26,0,(MAX(0,I726-IF($A776&gt;='1-Input'!$C$12,'1-Input'!$B$12,0))-MIN(MAX(M775,0),MAX(0,I726-IF($A776&gt;='1-Input'!$C$12,'1-Input'!$B$12,0))))*(1/(1-'P-Parametri'!$B$6*I776))+MIN(MAX(0,N775-(MAX(0,I726-IF($A776&gt;='1-Input'!$C$12,'1-Input'!$B$12,0))-MIN(MAX(M775,0),MAX(0,I726-IF($A776&gt;='1-Input'!$C$12,'1-Input'!$B$12,0))))*(1/(1-'P-Parametri'!$B$6*I776))),MAX(0,1*I726-(M775-MIN(MAX(M775,0),MAX(0,I726-IF($A776&gt;='1-Input'!$C$12,'1-Input'!$B$12,0)))))*(1/(1-'P-Parametri'!$B$6*I776))))</f>
        <v>0</v>
      </c>
      <c r="K776" s="18">
        <f>IF($A776&gt;'1-Input'!$B$26,M775,(M775-MAX(0,I726-IF($A776&gt;='1-Input'!$C$12,'1-Input'!$B$12,0))+J776*(1-'P-Parametri'!$B$6*I776))*(1+'1-Input'!$B$27))</f>
        <v>0</v>
      </c>
      <c r="L776" s="18">
        <f>IF($A776&gt;'1-Input'!$B$26,N775,(N775-J776)*(1+$D$4))</f>
        <v>-202269.06886789366</v>
      </c>
      <c r="M776" s="18">
        <f>IF($A776&gt;'1-Input'!$B$26,K776,K776-'P-Parametri'!$B$8*(L776+K776)+MIN(MAX(L776,0),'P-Parametri'!$B$8*(L776+K776)))</f>
        <v>0</v>
      </c>
      <c r="N776" s="18">
        <f>IF($A776&gt;'1-Input'!$B$26,L776,L776-MIN(MAX(L776,0),'P-Parametri'!$B$8*(L776+K776)))</f>
        <v>-202269.06886789366</v>
      </c>
      <c r="O776" s="18">
        <f>IF($A776&gt;'1-Input'!$B$26,O775,O775-J776*(1-I776))</f>
        <v>-151409.97445289174</v>
      </c>
      <c r="P776" s="11">
        <f>IF($A776&gt;'1-Input'!$B$26,0,IF(U775&lt;=0,0,MAX(0,(U775-V775)/U775)))</f>
        <v>0</v>
      </c>
      <c r="Q776" s="18">
        <f>IF($A776&gt;'1-Input'!$B$26,0,(MAX(0,P726-IF($A776&gt;='1-Input'!$C$12,'1-Input'!$B$12,0))-MIN(MAX(T775,0),MAX(0,P726-IF($A776&gt;='1-Input'!$C$12,'1-Input'!$B$12,0))))*(1/(1-'P-Parametri'!$B$6*P776))+MIN(MAX(0,U775-(MAX(0,P726-IF($A776&gt;='1-Input'!$C$12,'1-Input'!$B$12,0))-MIN(MAX(T775,0),MAX(0,P726-IF($A776&gt;='1-Input'!$C$12,'1-Input'!$B$12,0))))*(1/(1-'P-Parametri'!$B$6*P776))),MAX(0,1*P726-(T775-MIN(MAX(T775,0),MAX(0,P726-IF($A776&gt;='1-Input'!$C$12,'1-Input'!$B$12,0)))))*(1/(1-'P-Parametri'!$B$6*P776))))</f>
        <v>0</v>
      </c>
      <c r="R776" s="18">
        <f>IF($A776&gt;'1-Input'!$B$26,T775,(T775-MAX(0,P726-IF($A776&gt;='1-Input'!$C$12,'1-Input'!$B$12,0))+Q776*(1-'P-Parametri'!$B$6*P776))*(1+'1-Input'!$B$27))</f>
        <v>0</v>
      </c>
      <c r="S776" s="18">
        <f>IF($A776&gt;'1-Input'!$B$26,U775,(U775-Q776)*(1+$D$4))</f>
        <v>-35789.875051843694</v>
      </c>
      <c r="T776" s="18">
        <f>IF($A776&gt;'1-Input'!$B$26,R776,R776-'P-Parametri'!$B$8*(S776+R776)+MIN(MAX(S776,0),'P-Parametri'!$B$8*(S776+R776)))</f>
        <v>0</v>
      </c>
      <c r="U776" s="18">
        <f>IF($A776&gt;'1-Input'!$B$26,S776,S776-MIN(MAX(S776,0),'P-Parametri'!$B$8*(S776+R776)))</f>
        <v>-35789.875051843694</v>
      </c>
      <c r="V776" s="18">
        <f>IF($A776&gt;'1-Input'!$B$26,V775,V775-Q776*(1-P776))</f>
        <v>-32819.844443121474</v>
      </c>
      <c r="W776" s="11">
        <f>IF($A776&gt;'1-Input'!$B$26,0,IF(AB775&lt;=0,0,MAX(0,(AB775-AC775)/AB775)))</f>
        <v>0</v>
      </c>
      <c r="X776" s="18">
        <f>IF($A776&gt;'1-Input'!$B$26,0,(MAX(0,W726-IF($A776&gt;='1-Input'!$C$12,'1-Input'!$B$12,0))-MIN(MAX(AA775,0),MAX(0,W726-IF($A776&gt;='1-Input'!$C$12,'1-Input'!$B$12,0))))*(1/(1-'P-Parametri'!$B$6*W776))+MIN(MAX(0,AB775-(MAX(0,W726-IF($A776&gt;='1-Input'!$C$12,'1-Input'!$B$12,0))-MIN(MAX(AA775,0),MAX(0,W726-IF($A776&gt;='1-Input'!$C$12,'1-Input'!$B$12,0))))*(1/(1-'P-Parametri'!$B$6*W776))),MAX(0,1*W726-(AA775-MIN(MAX(AA775,0),MAX(0,W726-IF($A776&gt;='1-Input'!$C$12,'1-Input'!$B$12,0)))))*(1/(1-'P-Parametri'!$B$6*W776))))</f>
        <v>0</v>
      </c>
      <c r="Y776" s="18">
        <f>IF($A776&gt;'1-Input'!$B$26,AA775,(AA775-MAX(0,W726-IF($A776&gt;='1-Input'!$C$12,'1-Input'!$B$12,0))+X776*(1-'P-Parametri'!$B$6*W776))*(1+'1-Input'!$B$27))</f>
        <v>0</v>
      </c>
      <c r="Z776" s="18">
        <f>IF($A776&gt;'1-Input'!$B$26,AB775,(AB775-X776)*(1+$D$4))</f>
        <v>-869.35721490966705</v>
      </c>
      <c r="AA776" s="18">
        <f>IF($A776&gt;'1-Input'!$B$26,Y776,Y776-'P-Parametri'!$B$8*(Z776+Y776)+MIN(MAX(Z776,0),'P-Parametri'!$B$8*(Z776+Y776)))</f>
        <v>0</v>
      </c>
      <c r="AB776" s="18">
        <f>IF($A776&gt;'1-Input'!$B$26,Z776,Z776-MIN(MAX(Z776,0),'P-Parametri'!$B$8*(Z776+Y776)))</f>
        <v>-869.35721490966705</v>
      </c>
      <c r="AC776" s="18">
        <f>IF($A776&gt;'1-Input'!$B$26,AC775,AC775-X776*(1-W776))</f>
        <v>-837.59559013186595</v>
      </c>
      <c r="AD776" s="11">
        <f>IF($A776&gt;'1-Input'!$B$26,0,IF(AI775&lt;=0,0,MAX(0,(AI775-AJ775)/AI775)))</f>
        <v>0</v>
      </c>
      <c r="AE776" s="18">
        <f>IF($A776&gt;'1-Input'!$B$26,0,(MAX(0,AD726-IF($A776&gt;='1-Input'!$C$12,'1-Input'!$B$12,0))-MIN(MAX(AH775,0),MAX(0,AD726-IF($A776&gt;='1-Input'!$C$12,'1-Input'!$B$12,0))))*(1/(1-'P-Parametri'!$B$6*AD776))+MIN(MAX(0,AI775-(MAX(0,AD726-IF($A776&gt;='1-Input'!$C$12,'1-Input'!$B$12,0))-MIN(MAX(AH775,0),MAX(0,AD726-IF($A776&gt;='1-Input'!$C$12,'1-Input'!$B$12,0))))*(1/(1-'P-Parametri'!$B$6*AD776))),MAX(0,1*AD726-(AH775-MIN(MAX(AH775,0),MAX(0,AD726-IF($A776&gt;='1-Input'!$C$12,'1-Input'!$B$12,0)))))*(1/(1-'P-Parametri'!$B$6*AD776))))</f>
        <v>0</v>
      </c>
      <c r="AF776" s="18">
        <f>IF($A776&gt;'1-Input'!$B$26,AH775,(AH775-MAX(0,AD726-IF($A776&gt;='1-Input'!$C$12,'1-Input'!$B$12,0))+AE776*(1-'P-Parametri'!$B$6*AD776))*(1+'1-Input'!$B$27))</f>
        <v>2.0733345710859461</v>
      </c>
      <c r="AG776" s="18">
        <f>IF($A776&gt;'1-Input'!$B$26,AI775,(AI775-AE776)*(1+$D$4))</f>
        <v>0</v>
      </c>
      <c r="AH776" s="18">
        <f>IF($A776&gt;'1-Input'!$B$26,AF776,AF776-'P-Parametri'!$B$8*(AG776+AF776)+MIN(MAX(AG776,0),'P-Parametri'!$B$8*(AG776+AF776)))</f>
        <v>2.0733345710859461</v>
      </c>
      <c r="AI776" s="18">
        <f>IF($A776&gt;'1-Input'!$B$26,AG776,AG776-MIN(MAX(AG776,0),'P-Parametri'!$B$8*(AG776+AF776)))</f>
        <v>0</v>
      </c>
      <c r="AJ776" s="18">
        <f>IF($A776&gt;'1-Input'!$B$26,AJ775,AJ775-AE776*(1-AD776))</f>
        <v>-6.8212102632969618E-13</v>
      </c>
      <c r="AK776" s="11">
        <f>IF($A776&gt;'1-Input'!$B$26,0,IF(AP775&lt;=0,0,MAX(0,(AP775-AQ775)/AP775)))</f>
        <v>0</v>
      </c>
      <c r="AL776" s="18">
        <f>IF($A776&gt;'1-Input'!$B$26,0,(MAX(0,AK726-IF($A776&gt;='1-Input'!$C$12,'1-Input'!$B$12,0))-MIN(MAX(AO775,0),MAX(0,AK726-IF($A776&gt;='1-Input'!$C$12,'1-Input'!$B$12,0))))*(1/(1-'P-Parametri'!$B$6*AK776))+MIN(MAX(0,AP775-(MAX(0,AK726-IF($A776&gt;='1-Input'!$C$12,'1-Input'!$B$12,0))-MIN(MAX(AO775,0),MAX(0,AK726-IF($A776&gt;='1-Input'!$C$12,'1-Input'!$B$12,0))))*(1/(1-'P-Parametri'!$B$6*AK776))),MAX(0,1*AK726-(AO775-MIN(MAX(AO775,0),MAX(0,AK726-IF($A776&gt;='1-Input'!$C$12,'1-Input'!$B$12,0)))))*(1/(1-'P-Parametri'!$B$6*AK776))))</f>
        <v>0</v>
      </c>
      <c r="AM776" s="18">
        <f>IF($A776&gt;'1-Input'!$B$26,AO775,(AO775-MAX(0,AK726-IF($A776&gt;='1-Input'!$C$12,'1-Input'!$B$12,0))+AL776*(1-'P-Parametri'!$B$6*AK776))*(1+'1-Input'!$B$27))</f>
        <v>8.6711878076072599E-2</v>
      </c>
      <c r="AN776" s="18">
        <f>IF($A776&gt;'1-Input'!$B$26,AP775,(AP775-AL776)*(1+$D$4))</f>
        <v>0</v>
      </c>
      <c r="AO776" s="18">
        <f>IF($A776&gt;'1-Input'!$B$26,AM776,AM776-'P-Parametri'!$B$8*(AN776+AM776)+MIN(MAX(AN776,0),'P-Parametri'!$B$8*(AN776+AM776)))</f>
        <v>8.6711878076072599E-2</v>
      </c>
      <c r="AP776" s="18">
        <f>IF($A776&gt;'1-Input'!$B$26,AN776,AN776-MIN(MAX(AN776,0),'P-Parametri'!$B$8*(AN776+AM776)))</f>
        <v>0</v>
      </c>
      <c r="AQ776" s="18">
        <f>IF($A776&gt;'1-Input'!$B$26,AQ775,AQ775-AL776*(1-AK776))</f>
        <v>-4.5474735088646412E-13</v>
      </c>
    </row>
    <row r="777" spans="1:43">
      <c r="A777" s="4" t="s">
        <v>365</v>
      </c>
      <c r="B777" s="18">
        <f>F776+G776</f>
        <v>468549.47735482932</v>
      </c>
      <c r="I777" s="18">
        <f>M776+N776</f>
        <v>-202269.06886789366</v>
      </c>
      <c r="P777" s="18">
        <f>T776+U776</f>
        <v>-35789.875051843694</v>
      </c>
      <c r="W777" s="18">
        <f>AA776+AB776</f>
        <v>-869.35721490966705</v>
      </c>
      <c r="AD777" s="18">
        <f>AH776+AI776</f>
        <v>2.0733345710859461</v>
      </c>
      <c r="AK777" s="18">
        <f>AO776+AP776</f>
        <v>8.6711878076072599E-2</v>
      </c>
    </row>
    <row r="778" spans="1:43">
      <c r="A778" s="5" t="s">
        <v>266</v>
      </c>
      <c r="B778" s="18">
        <f>IFERROR(AK726-AK777*(AK726-AD726)/(AK777-AD777),AK726)</f>
        <v>20010.4648108857</v>
      </c>
    </row>
    <row r="780" spans="1:43">
      <c r="A780" s="2" t="s">
        <v>377</v>
      </c>
    </row>
    <row r="781" spans="1:43">
      <c r="A781" s="4" t="s">
        <v>360</v>
      </c>
      <c r="B781" s="9">
        <f>0.038*'2-Caso'!$B$12</f>
        <v>16681.055314625803</v>
      </c>
      <c r="I781" s="9">
        <f>0.05*'2-Caso'!$B$12</f>
        <v>21948.756992928691</v>
      </c>
      <c r="P781" s="18">
        <f>IFERROR(I781-I832*(I781-B781)/(I832-B832),I781)</f>
        <v>19845.447700248315</v>
      </c>
      <c r="W781" s="18">
        <f>IFERROR(P781-P832*(P781-I781)/(P832-I832),P781)</f>
        <v>19415.759035048828</v>
      </c>
      <c r="AD781" s="18">
        <f>IFERROR(W781-W832*(W781-P781)/(W832-P832),W781)</f>
        <v>19396.164621114334</v>
      </c>
      <c r="AK781" s="18">
        <f>IFERROR(AD781-AD832*(AD781-W781)/(AD832-W832),AD781)</f>
        <v>19396.376046885085</v>
      </c>
    </row>
    <row r="782" spans="1:43" ht="45">
      <c r="A782" s="25" t="s">
        <v>262</v>
      </c>
      <c r="B782" s="25" t="s">
        <v>361</v>
      </c>
      <c r="C782" s="25" t="s">
        <v>263</v>
      </c>
      <c r="D782" s="25" t="s">
        <v>362</v>
      </c>
      <c r="E782" s="25" t="s">
        <v>363</v>
      </c>
      <c r="F782" s="25" t="s">
        <v>264</v>
      </c>
      <c r="G782" s="25" t="s">
        <v>265</v>
      </c>
      <c r="H782" s="25" t="s">
        <v>364</v>
      </c>
      <c r="I782" s="25" t="s">
        <v>361</v>
      </c>
      <c r="J782" s="25" t="s">
        <v>263</v>
      </c>
      <c r="K782" s="25" t="s">
        <v>362</v>
      </c>
      <c r="L782" s="25" t="s">
        <v>363</v>
      </c>
      <c r="M782" s="25" t="s">
        <v>264</v>
      </c>
      <c r="N782" s="25" t="s">
        <v>265</v>
      </c>
      <c r="O782" s="25" t="s">
        <v>364</v>
      </c>
      <c r="P782" s="25" t="s">
        <v>361</v>
      </c>
      <c r="Q782" s="25" t="s">
        <v>263</v>
      </c>
      <c r="R782" s="25" t="s">
        <v>362</v>
      </c>
      <c r="S782" s="25" t="s">
        <v>363</v>
      </c>
      <c r="T782" s="25" t="s">
        <v>264</v>
      </c>
      <c r="U782" s="25" t="s">
        <v>265</v>
      </c>
      <c r="V782" s="25" t="s">
        <v>364</v>
      </c>
      <c r="W782" s="25" t="s">
        <v>361</v>
      </c>
      <c r="X782" s="25" t="s">
        <v>263</v>
      </c>
      <c r="Y782" s="25" t="s">
        <v>362</v>
      </c>
      <c r="Z782" s="25" t="s">
        <v>363</v>
      </c>
      <c r="AA782" s="25" t="s">
        <v>264</v>
      </c>
      <c r="AB782" s="25" t="s">
        <v>265</v>
      </c>
      <c r="AC782" s="25" t="s">
        <v>364</v>
      </c>
      <c r="AD782" s="25" t="s">
        <v>361</v>
      </c>
      <c r="AE782" s="25" t="s">
        <v>263</v>
      </c>
      <c r="AF782" s="25" t="s">
        <v>362</v>
      </c>
      <c r="AG782" s="25" t="s">
        <v>363</v>
      </c>
      <c r="AH782" s="25" t="s">
        <v>264</v>
      </c>
      <c r="AI782" s="25" t="s">
        <v>265</v>
      </c>
      <c r="AJ782" s="25" t="s">
        <v>364</v>
      </c>
      <c r="AK782" s="25" t="s">
        <v>361</v>
      </c>
      <c r="AL782" s="25" t="s">
        <v>263</v>
      </c>
      <c r="AM782" s="25" t="s">
        <v>362</v>
      </c>
      <c r="AN782" s="25" t="s">
        <v>363</v>
      </c>
      <c r="AO782" s="25" t="s">
        <v>264</v>
      </c>
      <c r="AP782" s="25" t="s">
        <v>265</v>
      </c>
      <c r="AQ782" s="25" t="s">
        <v>364</v>
      </c>
    </row>
    <row r="783" spans="1:43">
      <c r="A783" s="3">
        <v>0</v>
      </c>
      <c r="F783" s="18">
        <f>MIN(2*B781,'2-Caso'!$B$12)</f>
        <v>33362.110629251605</v>
      </c>
      <c r="G783" s="18">
        <f>'2-Caso'!$B$12-F783</f>
        <v>405613.02922932222</v>
      </c>
      <c r="H783" s="18">
        <f>'2-Caso'!$B$13*G783/'2-Caso'!$B$12</f>
        <v>317856</v>
      </c>
      <c r="M783" s="18">
        <f>MIN(2*I781,'2-Caso'!$B$12)</f>
        <v>43897.513985857382</v>
      </c>
      <c r="N783" s="18">
        <f>'2-Caso'!$B$12-M783</f>
        <v>395077.62587271642</v>
      </c>
      <c r="O783" s="18">
        <f>'2-Caso'!$B$13*N783/'2-Caso'!$B$12</f>
        <v>309600</v>
      </c>
      <c r="T783" s="18">
        <f>MIN(2*P781,'2-Caso'!$B$12)</f>
        <v>39690.895400496629</v>
      </c>
      <c r="U783" s="18">
        <f>'2-Caso'!$B$12-T783</f>
        <v>399284.24445807718</v>
      </c>
      <c r="V783" s="18">
        <f>'2-Caso'!$B$13*U783/'2-Caso'!$B$12</f>
        <v>312896.4891675422</v>
      </c>
      <c r="AA783" s="18">
        <f>MIN(2*W781,'2-Caso'!$B$12)</f>
        <v>38831.518070097656</v>
      </c>
      <c r="AB783" s="18">
        <f>'2-Caso'!$B$12-AA783</f>
        <v>400143.62178847613</v>
      </c>
      <c r="AC783" s="18">
        <f>'2-Caso'!$B$13*AB783/'2-Caso'!$B$12</f>
        <v>313569.93459716829</v>
      </c>
      <c r="AH783" s="18">
        <f>MIN(2*AD781,'2-Caso'!$B$12)</f>
        <v>38792.329242228669</v>
      </c>
      <c r="AI783" s="18">
        <f>'2-Caso'!$B$12-AH783</f>
        <v>400182.81061634514</v>
      </c>
      <c r="AJ783" s="18">
        <f>'2-Caso'!$B$13*AI783/'2-Caso'!$B$12</f>
        <v>313600.64466606034</v>
      </c>
      <c r="AO783" s="18">
        <f>MIN(2*AK781,'2-Caso'!$B$12)</f>
        <v>38792.75209377017</v>
      </c>
      <c r="AP783" s="18">
        <f>'2-Caso'!$B$12-AO783</f>
        <v>400182.3877648036</v>
      </c>
      <c r="AQ783" s="18">
        <f>'2-Caso'!$B$13*AP783/'2-Caso'!$B$12</f>
        <v>313600.31330121279</v>
      </c>
    </row>
    <row r="784" spans="1:43">
      <c r="A784" s="10">
        <f>1</f>
        <v>1</v>
      </c>
      <c r="B784" s="11">
        <f>IF($A784&gt;'1-Input'!$B$26,0,IF(G783&lt;=0,0,MAX(0,(G783-H783)/G783)))</f>
        <v>0.21635653419729486</v>
      </c>
      <c r="C784" s="18">
        <f>IF($A784&gt;'1-Input'!$B$26,0,(MAX(0,B781-IF($A784&gt;='1-Input'!$C$12,'1-Input'!$B$12,0))-MIN(MAX(F783,0),MAX(0,B781-IF($A784&gt;='1-Input'!$C$12,'1-Input'!$B$12,0))))*(1/(1-'P-Parametri'!$B$6*B784))+MIN(MAX(0,G783-(MAX(0,B781-IF($A784&gt;='1-Input'!$C$12,'1-Input'!$B$12,0))-MIN(MAX(F783,0),MAX(0,B781-IF($A784&gt;='1-Input'!$C$12,'1-Input'!$B$12,0))))*(1/(1-'P-Parametri'!$B$6*B784))),MAX(0,2*B781-(F783-MIN(MAX(F783,0),MAX(0,B781-IF($A784&gt;='1-Input'!$C$12,'1-Input'!$B$12,0)))))*(1/(1-'P-Parametri'!$B$6*B784))))</f>
        <v>17675.340946701614</v>
      </c>
      <c r="D784" s="18">
        <f>IF($A784&gt;'1-Input'!$B$26,F783,(F783-MAX(0,B781-IF($A784&gt;='1-Input'!$C$12,'1-Input'!$B$12,0))+C784*(1-'P-Parametri'!$B$6*B784))*(1+'1-Input'!$B$27))</f>
        <v>33242.0070309863</v>
      </c>
      <c r="E784" s="18">
        <f>IF($A784&gt;'1-Input'!$B$26,G783,(G783-C784)*(1+$D$4))</f>
        <v>403455.19581392547</v>
      </c>
      <c r="F784" s="18">
        <f>IF($A784&gt;'1-Input'!$B$26,D784,D784-'P-Parametri'!$B$8*(E784+D784)+MIN(MAX(E784,0),'P-Parametri'!$B$8*(E784+D784)))</f>
        <v>33242.0070309863</v>
      </c>
      <c r="G784" s="18">
        <f>IF($A784&gt;'1-Input'!$B$26,E784,E784-MIN(MAX(E784,0),'P-Parametri'!$B$8*(E784+D784)))</f>
        <v>402581.80140823562</v>
      </c>
      <c r="H784" s="18">
        <f>IF($A784&gt;'1-Input'!$B$26,H783,H783-C784*(1-B784))</f>
        <v>304004.8345612823</v>
      </c>
      <c r="I784" s="11">
        <f>IF($A784&gt;'1-Input'!$B$26,0,IF(N783&lt;=0,0,MAX(0,(N783-O783)/N783)))</f>
        <v>0.21635653419729484</v>
      </c>
      <c r="J784" s="18">
        <f>IF($A784&gt;'1-Input'!$B$26,0,(MAX(0,I781-IF($A784&gt;='1-Input'!$C$12,'1-Input'!$B$12,0))-MIN(MAX(M783,0),MAX(0,I781-IF($A784&gt;='1-Input'!$C$12,'1-Input'!$B$12,0))))*(1/(1-'P-Parametri'!$B$6*I784))+MIN(MAX(0,N783-(MAX(0,I781-IF($A784&gt;='1-Input'!$C$12,'1-Input'!$B$12,0))-MIN(MAX(M783,0),MAX(0,I781-IF($A784&gt;='1-Input'!$C$12,'1-Input'!$B$12,0))))*(1/(1-'P-Parametri'!$B$6*I784))),MAX(0,2*I781-(M783-MIN(MAX(M783,0),MAX(0,I781-IF($A784&gt;='1-Input'!$C$12,'1-Input'!$B$12,0)))))*(1/(1-'P-Parametri'!$B$6*I784))))</f>
        <v>23257.027561449497</v>
      </c>
      <c r="K784" s="18">
        <f>IF($A784&gt;'1-Input'!$B$26,M783,(M783-MAX(0,I781-IF($A784&gt;='1-Input'!$C$12,'1-Input'!$B$12,0))+J784*(1-'P-Parametri'!$B$6*I784))*(1+'1-Input'!$B$27))</f>
        <v>43739.482935508291</v>
      </c>
      <c r="L784" s="18">
        <f>IF($A784&gt;'1-Input'!$B$26,N783,(N783-J784)*(1+$D$4))</f>
        <v>386693.42224371759</v>
      </c>
      <c r="M784" s="18">
        <f>IF($A784&gt;'1-Input'!$B$26,K784,K784-'P-Parametri'!$B$8*(L784+K784)+MIN(MAX(L784,0),'P-Parametri'!$B$8*(L784+K784)))</f>
        <v>43739.482935508291</v>
      </c>
      <c r="N784" s="18">
        <f>IF($A784&gt;'1-Input'!$B$26,L784,L784-MIN(MAX(L784,0),'P-Parametri'!$B$8*(L784+K784)))</f>
        <v>385832.55643335916</v>
      </c>
      <c r="O784" s="18">
        <f>IF($A784&gt;'1-Input'!$B$26,O783,O783-J784*(1-I784))</f>
        <v>291374.7823174767</v>
      </c>
      <c r="P784" s="11">
        <f>IF($A784&gt;'1-Input'!$B$26,0,IF(U783&lt;=0,0,MAX(0,(U783-V783)/U783)))</f>
        <v>0.21635653419729478</v>
      </c>
      <c r="Q784" s="18">
        <f>IF($A784&gt;'1-Input'!$B$26,0,(MAX(0,P781-IF($A784&gt;='1-Input'!$C$12,'1-Input'!$B$12,0))-MIN(MAX(T783,0),MAX(0,P781-IF($A784&gt;='1-Input'!$C$12,'1-Input'!$B$12,0))))*(1/(1-'P-Parametri'!$B$6*P784))+MIN(MAX(0,U783-(MAX(0,P781-IF($A784&gt;='1-Input'!$C$12,'1-Input'!$B$12,0))-MIN(MAX(T783,0),MAX(0,P781-IF($A784&gt;='1-Input'!$C$12,'1-Input'!$B$12,0))))*(1/(1-'P-Parametri'!$B$6*P784))),MAX(0,2*P781-(T783-MIN(MAX(T783,0),MAX(0,P781-IF($A784&gt;='1-Input'!$C$12,'1-Input'!$B$12,0)))))*(1/(1-'P-Parametri'!$B$6*P784))))</f>
        <v>21028.349089776588</v>
      </c>
      <c r="R784" s="18">
        <f>IF($A784&gt;'1-Input'!$B$26,T783,(T783-MAX(0,P781-IF($A784&gt;='1-Input'!$C$12,'1-Input'!$B$12,0))+Q784*(1-'P-Parametri'!$B$6*P784))*(1+'1-Input'!$B$27))</f>
        <v>39548.008177054835</v>
      </c>
      <c r="S784" s="18">
        <f>IF($A784&gt;'1-Input'!$B$26,U783,(U783-Q784)*(1+$D$4))</f>
        <v>393386.13118303264</v>
      </c>
      <c r="T784" s="18">
        <f>IF($A784&gt;'1-Input'!$B$26,R784,R784-'P-Parametri'!$B$8*(S784+R784)+MIN(MAX(S784,0),'P-Parametri'!$B$8*(S784+R784)))</f>
        <v>39548.008177054835</v>
      </c>
      <c r="U784" s="18">
        <f>IF($A784&gt;'1-Input'!$B$26,S784,S784-MIN(MAX(S784,0),'P-Parametri'!$B$8*(S784+R784)))</f>
        <v>392520.26290431246</v>
      </c>
      <c r="V784" s="18">
        <f>IF($A784&gt;'1-Input'!$B$26,V783,V783-Q784*(1-P784))</f>
        <v>296417.76080672053</v>
      </c>
      <c r="W784" s="11">
        <f>IF($A784&gt;'1-Input'!$B$26,0,IF(AB783&lt;=0,0,MAX(0,(AB783-AC783)/AB783)))</f>
        <v>0.21635653419729481</v>
      </c>
      <c r="X784" s="18">
        <f>IF($A784&gt;'1-Input'!$B$26,0,(MAX(0,W781-IF($A784&gt;='1-Input'!$C$12,'1-Input'!$B$12,0))-MIN(MAX(AA783,0),MAX(0,W781-IF($A784&gt;='1-Input'!$C$12,'1-Input'!$B$12,0))))*(1/(1-'P-Parametri'!$B$6*W784))+MIN(MAX(0,AB783-(MAX(0,W781-IF($A784&gt;='1-Input'!$C$12,'1-Input'!$B$12,0))-MIN(MAX(AA783,0),MAX(0,W781-IF($A784&gt;='1-Input'!$C$12,'1-Input'!$B$12,0))))*(1/(1-'P-Parametri'!$B$6*W784))),MAX(0,2*W781-(AA783-MIN(MAX(AA783,0),MAX(0,W781-IF($A784&gt;='1-Input'!$C$12,'1-Input'!$B$12,0)))))*(1/(1-'P-Parametri'!$B$6*W784))))</f>
        <v>20573.048539836269</v>
      </c>
      <c r="Y784" s="18">
        <f>IF($A784&gt;'1-Input'!$B$26,AA783,(AA783-MAX(0,W781-IF($A784&gt;='1-Input'!$C$12,'1-Input'!$B$12,0))+X784*(1-'P-Parametri'!$B$6*W784))*(1+'1-Input'!$B$27))</f>
        <v>38691.724605045303</v>
      </c>
      <c r="Z784" s="18">
        <f>IF($A784&gt;'1-Input'!$B$26,AB783,(AB783-X784)*(1+$D$4))</f>
        <v>394753.39617858548</v>
      </c>
      <c r="AA784" s="18">
        <f>IF($A784&gt;'1-Input'!$B$26,Y784,Y784-'P-Parametri'!$B$8*(Z784+Y784)+MIN(MAX(Z784,0),'P-Parametri'!$B$8*(Z784+Y784)))</f>
        <v>38691.724605045303</v>
      </c>
      <c r="AB784" s="18">
        <f>IF($A784&gt;'1-Input'!$B$26,Z784,Z784-MIN(MAX(Z784,0),'P-Parametri'!$B$8*(Z784+Y784)))</f>
        <v>393886.5059370182</v>
      </c>
      <c r="AC784" s="18">
        <f>IF($A784&gt;'1-Input'!$B$26,AC783,AC783-X784*(1-W784))</f>
        <v>297447.99953728373</v>
      </c>
      <c r="AD784" s="11">
        <f>IF($A784&gt;'1-Input'!$B$26,0,IF(AI783&lt;=0,0,MAX(0,(AI783-AJ783)/AI783)))</f>
        <v>0.21635653419729475</v>
      </c>
      <c r="AE784" s="18">
        <f>IF($A784&gt;'1-Input'!$B$26,0,(MAX(0,AD781-IF($A784&gt;='1-Input'!$C$12,'1-Input'!$B$12,0))-MIN(MAX(AH783,0),MAX(0,AD781-IF($A784&gt;='1-Input'!$C$12,'1-Input'!$B$12,0))))*(1/(1-'P-Parametri'!$B$6*AD784))+MIN(MAX(0,AI783-(MAX(0,AD781-IF($A784&gt;='1-Input'!$C$12,'1-Input'!$B$12,0))-MIN(MAX(AH783,0),MAX(0,AD781-IF($A784&gt;='1-Input'!$C$12,'1-Input'!$B$12,0))))*(1/(1-'P-Parametri'!$B$6*AD784))),MAX(0,2*AD781-(AH783-MIN(MAX(AH783,0),MAX(0,AD781-IF($A784&gt;='1-Input'!$C$12,'1-Input'!$B$12,0)))))*(1/(1-'P-Parametri'!$B$6*AD784))))</f>
        <v>20552.286187550359</v>
      </c>
      <c r="AF784" s="18">
        <f>IF($A784&gt;'1-Input'!$B$26,AH783,(AH783-MAX(0,AD781-IF($A784&gt;='1-Input'!$C$12,'1-Input'!$B$12,0))+AE784*(1-'P-Parametri'!$B$6*AD784))*(1+'1-Input'!$B$27))</f>
        <v>38652.676856956641</v>
      </c>
      <c r="AG784" s="18">
        <f>IF($A784&gt;'1-Input'!$B$26,AI783,(AI783-AE784)*(1+$D$4))</f>
        <v>394815.74540594663</v>
      </c>
      <c r="AH784" s="18">
        <f>IF($A784&gt;'1-Input'!$B$26,AF784,AF784-'P-Parametri'!$B$8*(AG784+AF784)+MIN(MAX(AG784,0),'P-Parametri'!$B$8*(AG784+AF784)))</f>
        <v>38652.676856956641</v>
      </c>
      <c r="AI784" s="18">
        <f>IF($A784&gt;'1-Input'!$B$26,AG784,AG784-MIN(MAX(AG784,0),'P-Parametri'!$B$8*(AG784+AF784)))</f>
        <v>393948.80856142082</v>
      </c>
      <c r="AJ784" s="18">
        <f>IF($A784&gt;'1-Input'!$B$26,AJ783,AJ783-AE784*(1-AD784))</f>
        <v>297494.97988787934</v>
      </c>
      <c r="AK784" s="11">
        <f>IF($A784&gt;'1-Input'!$B$26,0,IF(AP783&lt;=0,0,MAX(0,(AP783-AQ783)/AP783)))</f>
        <v>0.21635653419729478</v>
      </c>
      <c r="AL784" s="18">
        <f>IF($A784&gt;'1-Input'!$B$26,0,(MAX(0,AK781-IF($A784&gt;='1-Input'!$C$12,'1-Input'!$B$12,0))-MIN(MAX(AO783,0),MAX(0,AK781-IF($A784&gt;='1-Input'!$C$12,'1-Input'!$B$12,0))))*(1/(1-'P-Parametri'!$B$6*AK784))+MIN(MAX(0,AP783-(MAX(0,AK781-IF($A784&gt;='1-Input'!$C$12,'1-Input'!$B$12,0))-MIN(MAX(AO783,0),MAX(0,AK781-IF($A784&gt;='1-Input'!$C$12,'1-Input'!$B$12,0))))*(1/(1-'P-Parametri'!$B$6*AK784))),MAX(0,2*AK781-(AO783-MIN(MAX(AO783,0),MAX(0,AK781-IF($A784&gt;='1-Input'!$C$12,'1-Input'!$B$12,0)))))*(1/(1-'P-Parametri'!$B$6*AK784))))</f>
        <v>20552.510215497779</v>
      </c>
      <c r="AM784" s="18">
        <f>IF($A784&gt;'1-Input'!$B$26,AO783,(AO783-MAX(0,AK781-IF($A784&gt;='1-Input'!$C$12,'1-Input'!$B$12,0))+AL784*(1-'P-Parametri'!$B$6*AK784))*(1+'1-Input'!$B$27))</f>
        <v>38653.098186232593</v>
      </c>
      <c r="AN784" s="18">
        <f>IF($A784&gt;'1-Input'!$B$26,AP783,(AP783-AL784)*(1+$D$4))</f>
        <v>394815.07265127805</v>
      </c>
      <c r="AO784" s="18">
        <f>IF($A784&gt;'1-Input'!$B$26,AM784,AM784-'P-Parametri'!$B$8*(AN784+AM784)+MIN(MAX(AN784,0),'P-Parametri'!$B$8*(AN784+AM784)))</f>
        <v>38653.098186232593</v>
      </c>
      <c r="AP784" s="18">
        <f>IF($A784&gt;'1-Input'!$B$26,AN784,AN784-MIN(MAX(AN784,0),'P-Parametri'!$B$8*(AN784+AM784)))</f>
        <v>393948.13630960305</v>
      </c>
      <c r="AQ784" s="18">
        <f>IF($A784&gt;'1-Input'!$B$26,AQ783,AQ783-AL784*(1-AK784))</f>
        <v>297494.47296499461</v>
      </c>
    </row>
    <row r="785" spans="1:43">
      <c r="A785" s="10">
        <f>2</f>
        <v>2</v>
      </c>
      <c r="B785" s="11">
        <f>IF($A785&gt;'1-Input'!$B$26,0,IF(G784&lt;=0,0,MAX(0,(G784-H784)/G784)))</f>
        <v>0.24486195476827316</v>
      </c>
      <c r="C785" s="18">
        <f>IF($A785&gt;'1-Input'!$B$26,0,(MAX(0,B781-IF($A785&gt;='1-Input'!$C$12,'1-Input'!$B$12,0))-MIN(MAX(F784,0),MAX(0,B781-IF($A785&gt;='1-Input'!$C$12,'1-Input'!$B$12,0))))*(1/(1-'P-Parametri'!$B$6*B785))+MIN(MAX(0,G784-(MAX(0,B781-IF($A785&gt;='1-Input'!$C$12,'1-Input'!$B$12,0))-MIN(MAX(F784,0),MAX(0,B781-IF($A785&gt;='1-Input'!$C$12,'1-Input'!$B$12,0))))*(1/(1-'P-Parametri'!$B$6*B785))),MAX(0,2*B781-(F784-MIN(MAX(F784,0),MAX(0,B781-IF($A785&gt;='1-Input'!$C$12,'1-Input'!$B$12,0)))))*(1/(1-'P-Parametri'!$B$6*B785))))</f>
        <v>17943.516916035387</v>
      </c>
      <c r="D785" s="18">
        <f>IF($A785&gt;'1-Input'!$B$26,F784,(F784-MAX(0,B781-IF($A785&gt;='1-Input'!$C$12,'1-Input'!$B$12,0))+C785*(1-'P-Parametri'!$B$6*B785))*(1+'1-Input'!$B$27))</f>
        <v>33242.0070309863</v>
      </c>
      <c r="E785" s="18">
        <f>IF($A785&gt;'1-Input'!$B$26,G784,(G784-C785)*(1+$D$4))</f>
        <v>400023.81587188825</v>
      </c>
      <c r="F785" s="18">
        <f>IF($A785&gt;'1-Input'!$B$26,D785,D785-'P-Parametri'!$B$8*(E785+D785)+MIN(MAX(E785,0),'P-Parametri'!$B$8*(E785+D785)))</f>
        <v>33242.0070309863</v>
      </c>
      <c r="G785" s="18">
        <f>IF($A785&gt;'1-Input'!$B$26,E785,E785-MIN(MAX(E785,0),'P-Parametri'!$B$8*(E785+D785)))</f>
        <v>399157.2842260825</v>
      </c>
      <c r="H785" s="18">
        <f>IF($A785&gt;'1-Input'!$B$26,H784,H784-C785*(1-B785))</f>
        <v>290455.00227272493</v>
      </c>
      <c r="I785" s="11">
        <f>IF($A785&gt;'1-Input'!$B$26,0,IF(N784&lt;=0,0,MAX(0,(N784-O784)/N784)))</f>
        <v>0.24481545826264967</v>
      </c>
      <c r="J785" s="18">
        <f>IF($A785&gt;'1-Input'!$B$26,0,(MAX(0,I781-IF($A785&gt;='1-Input'!$C$12,'1-Input'!$B$12,0))-MIN(MAX(M784,0),MAX(0,I781-IF($A785&gt;='1-Input'!$C$12,'1-Input'!$B$12,0))))*(1/(1-'P-Parametri'!$B$6*I785))+MIN(MAX(0,N784-(MAX(0,I781-IF($A785&gt;='1-Input'!$C$12,'1-Input'!$B$12,0))-MIN(MAX(M784,0),MAX(0,I781-IF($A785&gt;='1-Input'!$C$12,'1-Input'!$B$12,0))))*(1/(1-'P-Parametri'!$B$6*I785))),MAX(0,2*I781-(M784-MIN(MAX(M784,0),MAX(0,I781-IF($A785&gt;='1-Input'!$C$12,'1-Input'!$B$12,0)))))*(1/(1-'P-Parametri'!$B$6*I785))))</f>
        <v>23609.585854149263</v>
      </c>
      <c r="K785" s="18">
        <f>IF($A785&gt;'1-Input'!$B$26,M784,(M784-MAX(0,I781-IF($A785&gt;='1-Input'!$C$12,'1-Input'!$B$12,0))+J785*(1-'P-Parametri'!$B$6*I785))*(1+'1-Input'!$B$27))</f>
        <v>43739.482935508291</v>
      </c>
      <c r="L785" s="18">
        <f>IF($A785&gt;'1-Input'!$B$26,N784,(N784-J785)*(1+$D$4))</f>
        <v>376711.88940237835</v>
      </c>
      <c r="M785" s="18">
        <f>IF($A785&gt;'1-Input'!$B$26,K785,K785-'P-Parametri'!$B$8*(L785+K785)+MIN(MAX(L785,0),'P-Parametri'!$B$8*(L785+K785)))</f>
        <v>43739.482935508291</v>
      </c>
      <c r="N785" s="18">
        <f>IF($A785&gt;'1-Input'!$B$26,L785,L785-MIN(MAX(L785,0),'P-Parametri'!$B$8*(L785+K785)))</f>
        <v>375870.9866577026</v>
      </c>
      <c r="O785" s="18">
        <f>IF($A785&gt;'1-Input'!$B$26,O784,O784-J785*(1-I785))</f>
        <v>273545.18804360233</v>
      </c>
      <c r="P785" s="11">
        <f>IF($A785&gt;'1-Input'!$B$26,0,IF(U784&lt;=0,0,MAX(0,(U784-V784)/U784)))</f>
        <v>0.24483449946383926</v>
      </c>
      <c r="Q785" s="18">
        <f>IF($A785&gt;'1-Input'!$B$26,0,(MAX(0,P781-IF($A785&gt;='1-Input'!$C$12,'1-Input'!$B$12,0))-MIN(MAX(T784,0),MAX(0,P781-IF($A785&gt;='1-Input'!$C$12,'1-Input'!$B$12,0))))*(1/(1-'P-Parametri'!$B$6*P785))+MIN(MAX(0,U784-(MAX(0,P781-IF($A785&gt;='1-Input'!$C$12,'1-Input'!$B$12,0))-MIN(MAX(T784,0),MAX(0,P781-IF($A785&gt;='1-Input'!$C$12,'1-Input'!$B$12,0))))*(1/(1-'P-Parametri'!$B$6*P785))),MAX(0,2*P781-(T784-MIN(MAX(T784,0),MAX(0,P781-IF($A785&gt;='1-Input'!$C$12,'1-Input'!$B$12,0)))))*(1/(1-'P-Parametri'!$B$6*P785))))</f>
        <v>21347.235233559935</v>
      </c>
      <c r="R785" s="18">
        <f>IF($A785&gt;'1-Input'!$B$26,T784,(T784-MAX(0,P781-IF($A785&gt;='1-Input'!$C$12,'1-Input'!$B$12,0))+Q785*(1-'P-Parametri'!$B$6*P785))*(1+'1-Input'!$B$27))</f>
        <v>39548.008177054842</v>
      </c>
      <c r="S785" s="18">
        <f>IF($A785&gt;'1-Input'!$B$26,U784,(U784-Q785)*(1+$D$4))</f>
        <v>386019.94877758267</v>
      </c>
      <c r="T785" s="18">
        <f>IF($A785&gt;'1-Input'!$B$26,R785,R785-'P-Parametri'!$B$8*(S785+R785)+MIN(MAX(S785,0),'P-Parametri'!$B$8*(S785+R785)))</f>
        <v>39548.008177054842</v>
      </c>
      <c r="U785" s="18">
        <f>IF($A785&gt;'1-Input'!$B$26,S785,S785-MIN(MAX(S785,0),'P-Parametri'!$B$8*(S785+R785)))</f>
        <v>385168.81286367337</v>
      </c>
      <c r="V785" s="18">
        <f>IF($A785&gt;'1-Input'!$B$26,V784,V784-Q785*(1-P785))</f>
        <v>280297.06522650609</v>
      </c>
      <c r="W785" s="11">
        <f>IF($A785&gt;'1-Input'!$B$26,0,IF(AB784&lt;=0,0,MAX(0,(AB784-AC784)/AB784)))</f>
        <v>0.24483830988400204</v>
      </c>
      <c r="X785" s="18">
        <f>IF($A785&gt;'1-Input'!$B$26,0,(MAX(0,W781-IF($A785&gt;='1-Input'!$C$12,'1-Input'!$B$12,0))-MIN(MAX(AA784,0),MAX(0,W781-IF($A785&gt;='1-Input'!$C$12,'1-Input'!$B$12,0))))*(1/(1-'P-Parametri'!$B$6*W785))+MIN(MAX(0,AB784-(MAX(0,W781-IF($A785&gt;='1-Input'!$C$12,'1-Input'!$B$12,0))-MIN(MAX(AA784,0),MAX(0,W781-IF($A785&gt;='1-Input'!$C$12,'1-Input'!$B$12,0))))*(1/(1-'P-Parametri'!$B$6*W785))),MAX(0,2*W781-(AA784-MIN(MAX(AA784,0),MAX(0,W781-IF($A785&gt;='1-Input'!$C$12,'1-Input'!$B$12,0)))))*(1/(1-'P-Parametri'!$B$6*W785))))</f>
        <v>20885.052338355257</v>
      </c>
      <c r="Y785" s="18">
        <f>IF($A785&gt;'1-Input'!$B$26,AA784,(AA784-MAX(0,W781-IF($A785&gt;='1-Input'!$C$12,'1-Input'!$B$12,0))+X785*(1-'P-Parametri'!$B$6*W785))*(1+'1-Input'!$B$27))</f>
        <v>38691.724605045303</v>
      </c>
      <c r="Z785" s="18">
        <f>IF($A785&gt;'1-Input'!$B$26,AB784,(AB784-X785)*(1+$D$4))</f>
        <v>387921.51174260944</v>
      </c>
      <c r="AA785" s="18">
        <f>IF($A785&gt;'1-Input'!$B$26,Y785,Y785-'P-Parametri'!$B$8*(Z785+Y785)+MIN(MAX(Z785,0),'P-Parametri'!$B$8*(Z785+Y785)))</f>
        <v>38691.724605045303</v>
      </c>
      <c r="AB785" s="18">
        <f>IF($A785&gt;'1-Input'!$B$26,Z785,Z785-MIN(MAX(Z785,0),'P-Parametri'!$B$8*(Z785+Y785)))</f>
        <v>387068.28526991414</v>
      </c>
      <c r="AC785" s="18">
        <f>IF($A785&gt;'1-Input'!$B$26,AC784,AC784-X785*(1-W785))</f>
        <v>281676.40811529028</v>
      </c>
      <c r="AD785" s="11">
        <f>IF($A785&gt;'1-Input'!$B$26,0,IF(AI784&lt;=0,0,MAX(0,(AI784-AJ784)/AI784)))</f>
        <v>0.2448384830144836</v>
      </c>
      <c r="AE785" s="18">
        <f>IF($A785&gt;'1-Input'!$B$26,0,(MAX(0,AD781-IF($A785&gt;='1-Input'!$C$12,'1-Input'!$B$12,0))-MIN(MAX(AH784,0),MAX(0,AD781-IF($A785&gt;='1-Input'!$C$12,'1-Input'!$B$12,0))))*(1/(1-'P-Parametri'!$B$6*AD785))+MIN(MAX(0,AI784-(MAX(0,AD781-IF($A785&gt;='1-Input'!$C$12,'1-Input'!$B$12,0))-MIN(MAX(AH784,0),MAX(0,AD781-IF($A785&gt;='1-Input'!$C$12,'1-Input'!$B$12,0))))*(1/(1-'P-Parametri'!$B$6*AD785))),MAX(0,2*AD781-(AH784-MIN(MAX(AH784,0),MAX(0,AD781-IF($A785&gt;='1-Input'!$C$12,'1-Input'!$B$12,0)))))*(1/(1-'P-Parametri'!$B$6*AD785))))</f>
        <v>20863.976114374789</v>
      </c>
      <c r="AF785" s="18">
        <f>IF($A785&gt;'1-Input'!$B$26,AH784,(AH784-MAX(0,AD781-IF($A785&gt;='1-Input'!$C$12,'1-Input'!$B$12,0))+AE785*(1-'P-Parametri'!$B$6*AD785))*(1+'1-Input'!$B$27))</f>
        <v>38652.676856956641</v>
      </c>
      <c r="AG785" s="18">
        <f>IF($A785&gt;'1-Input'!$B$26,AI784,(AI784-AE785)*(1+$D$4))</f>
        <v>388008.22574492794</v>
      </c>
      <c r="AH785" s="18">
        <f>IF($A785&gt;'1-Input'!$B$26,AF785,AF785-'P-Parametri'!$B$8*(AG785+AF785)+MIN(MAX(AG785,0),'P-Parametri'!$B$8*(AG785+AF785)))</f>
        <v>38652.676856956641</v>
      </c>
      <c r="AI785" s="18">
        <f>IF($A785&gt;'1-Input'!$B$26,AG785,AG785-MIN(MAX(AG785,0),'P-Parametri'!$B$8*(AG785+AF785)))</f>
        <v>387154.9039397242</v>
      </c>
      <c r="AJ785" s="18">
        <f>IF($A785&gt;'1-Input'!$B$26,AJ784,AJ784-AE785*(1-AD785))</f>
        <v>281739.30803499848</v>
      </c>
      <c r="AK785" s="11">
        <f>IF($A785&gt;'1-Input'!$B$26,0,IF(AP784&lt;=0,0,MAX(0,(AP784-AQ784)/AP784)))</f>
        <v>0.24483848114667994</v>
      </c>
      <c r="AL785" s="18">
        <f>IF($A785&gt;'1-Input'!$B$26,0,(MAX(0,AK781-IF($A785&gt;='1-Input'!$C$12,'1-Input'!$B$12,0))-MIN(MAX(AO784,0),MAX(0,AK781-IF($A785&gt;='1-Input'!$C$12,'1-Input'!$B$12,0))))*(1/(1-'P-Parametri'!$B$6*AK785))+MIN(MAX(0,AP784-(MAX(0,AK781-IF($A785&gt;='1-Input'!$C$12,'1-Input'!$B$12,0))-MIN(MAX(AO784,0),MAX(0,AK781-IF($A785&gt;='1-Input'!$C$12,'1-Input'!$B$12,0))))*(1/(1-'P-Parametri'!$B$6*AK785))),MAX(0,2*AK781-(AO784-MIN(MAX(AO784,0),MAX(0,AK781-IF($A785&gt;='1-Input'!$C$12,'1-Input'!$B$12,0)))))*(1/(1-'P-Parametri'!$B$6*AK785))))</f>
        <v>20864.20352904305</v>
      </c>
      <c r="AM785" s="18">
        <f>IF($A785&gt;'1-Input'!$B$26,AO784,(AO784-MAX(0,AK781-IF($A785&gt;='1-Input'!$C$12,'1-Input'!$B$12,0))+AL785*(1-'P-Parametri'!$B$6*AK785))*(1+'1-Input'!$B$27))</f>
        <v>38653.098186232601</v>
      </c>
      <c r="AN785" s="18">
        <f>IF($A785&gt;'1-Input'!$B$26,AP784,(AP784-AL785)*(1+$D$4))</f>
        <v>388007.2900917824</v>
      </c>
      <c r="AO785" s="18">
        <f>IF($A785&gt;'1-Input'!$B$26,AM785,AM785-'P-Parametri'!$B$8*(AN785+AM785)+MIN(MAX(AN785,0),'P-Parametri'!$B$8*(AN785+AM785)))</f>
        <v>38653.098186232601</v>
      </c>
      <c r="AP785" s="18">
        <f>IF($A785&gt;'1-Input'!$B$26,AN785,AN785-MIN(MAX(AN785,0),'P-Parametri'!$B$8*(AN785+AM785)))</f>
        <v>387153.96931522636</v>
      </c>
      <c r="AQ785" s="18">
        <f>IF($A785&gt;'1-Input'!$B$26,AQ784,AQ784-AL785*(1-AK785))</f>
        <v>281738.62933833763</v>
      </c>
    </row>
    <row r="786" spans="1:43">
      <c r="A786" s="10">
        <f>3</f>
        <v>3</v>
      </c>
      <c r="B786" s="11">
        <f>IF($A786&gt;'1-Input'!$B$26,0,IF(G785&lt;=0,0,MAX(0,(G785-H785)/G785)))</f>
        <v>0.27232944568234069</v>
      </c>
      <c r="C786" s="18">
        <f>IF($A786&gt;'1-Input'!$B$26,0,(MAX(0,B781-IF($A786&gt;='1-Input'!$C$12,'1-Input'!$B$12,0))-MIN(MAX(F785,0),MAX(0,B781-IF($A786&gt;='1-Input'!$C$12,'1-Input'!$B$12,0))))*(1/(1-'P-Parametri'!$B$6*B786))+MIN(MAX(0,G785-(MAX(0,B781-IF($A786&gt;='1-Input'!$C$12,'1-Input'!$B$12,0))-MIN(MAX(F785,0),MAX(0,B781-IF($A786&gt;='1-Input'!$C$12,'1-Input'!$B$12,0))))*(1/(1-'P-Parametri'!$B$6*B786))),MAX(0,2*B781-(F785-MIN(MAX(F785,0),MAX(0,B781-IF($A786&gt;='1-Input'!$C$12,'1-Input'!$B$12,0)))))*(1/(1-'P-Parametri'!$B$6*B786))))</f>
        <v>18081.426150689611</v>
      </c>
      <c r="D786" s="18">
        <f>IF($A786&gt;'1-Input'!$B$26,F785,(F785-MAX(0,B781-IF($A786&gt;='1-Input'!$C$12,'1-Input'!$B$12,0))+C786*(1-'P-Parametri'!$B$6*B786))*(1+'1-Input'!$B$27))</f>
        <v>33242.0070309863</v>
      </c>
      <c r="E786" s="18">
        <f>IF($A786&gt;'1-Input'!$B$26,G785,(G785-C786)*(1+$D$4))</f>
        <v>396318.89239840861</v>
      </c>
      <c r="F786" s="18">
        <f>IF($A786&gt;'1-Input'!$B$26,D786,D786-'P-Parametri'!$B$8*(E786+D786)+MIN(MAX(E786,0),'P-Parametri'!$B$8*(E786+D786)))</f>
        <v>33242.0070309863</v>
      </c>
      <c r="G786" s="18">
        <f>IF($A786&gt;'1-Input'!$B$26,E786,E786-MIN(MAX(E786,0),'P-Parametri'!$B$8*(E786+D786)))</f>
        <v>395459.77059954981</v>
      </c>
      <c r="H786" s="18">
        <f>IF($A786&gt;'1-Input'!$B$26,H785,H785-C786*(1-B786))</f>
        <v>277297.6808827988</v>
      </c>
      <c r="I786" s="11">
        <f>IF($A786&gt;'1-Input'!$B$26,0,IF(N785&lt;=0,0,MAX(0,(N785-O785)/N785)))</f>
        <v>0.27223649136634775</v>
      </c>
      <c r="J786" s="18">
        <f>IF($A786&gt;'1-Input'!$B$26,0,(MAX(0,I781-IF($A786&gt;='1-Input'!$C$12,'1-Input'!$B$12,0))-MIN(MAX(M785,0),MAX(0,I781-IF($A786&gt;='1-Input'!$C$12,'1-Input'!$B$12,0))))*(1/(1-'P-Parametri'!$B$6*I786))+MIN(MAX(0,N785-(MAX(0,I781-IF($A786&gt;='1-Input'!$C$12,'1-Input'!$B$12,0))-MIN(MAX(M785,0),MAX(0,I781-IF($A786&gt;='1-Input'!$C$12,'1-Input'!$B$12,0))))*(1/(1-'P-Parametri'!$B$6*I786))),MAX(0,2*I781-(M785-MIN(MAX(M785,0),MAX(0,I781-IF($A786&gt;='1-Input'!$C$12,'1-Input'!$B$12,0)))))*(1/(1-'P-Parametri'!$B$6*I786))))</f>
        <v>23790.731407054671</v>
      </c>
      <c r="K786" s="18">
        <f>IF($A786&gt;'1-Input'!$B$26,M785,(M785-MAX(0,I781-IF($A786&gt;='1-Input'!$C$12,'1-Input'!$B$12,0))+J786*(1-'P-Parametri'!$B$6*I786))*(1+'1-Input'!$B$27))</f>
        <v>43739.482935508291</v>
      </c>
      <c r="L786" s="18">
        <f>IF($A786&gt;'1-Input'!$B$26,N785,(N785-J786)*(1+$D$4))</f>
        <v>366163.46546067385</v>
      </c>
      <c r="M786" s="18">
        <f>IF($A786&gt;'1-Input'!$B$26,K786,K786-'P-Parametri'!$B$8*(L786+K786)+MIN(MAX(L786,0),'P-Parametri'!$B$8*(L786+K786)))</f>
        <v>43739.482935508291</v>
      </c>
      <c r="N786" s="18">
        <f>IF($A786&gt;'1-Input'!$B$26,L786,L786-MIN(MAX(L786,0),'P-Parametri'!$B$8*(L786+K786)))</f>
        <v>365343.65956388146</v>
      </c>
      <c r="O786" s="18">
        <f>IF($A786&gt;'1-Input'!$B$26,O785,O785-J786*(1-I786))</f>
        <v>256231.16188184341</v>
      </c>
      <c r="P786" s="11">
        <f>IF($A786&gt;'1-Input'!$B$26,0,IF(U785&lt;=0,0,MAX(0,(U785-V785)/U785)))</f>
        <v>0.27227476403777678</v>
      </c>
      <c r="Q786" s="18">
        <f>IF($A786&gt;'1-Input'!$B$26,0,(MAX(0,P781-IF($A786&gt;='1-Input'!$C$12,'1-Input'!$B$12,0))-MIN(MAX(T785,0),MAX(0,P781-IF($A786&gt;='1-Input'!$C$12,'1-Input'!$B$12,0))))*(1/(1-'P-Parametri'!$B$6*P786))+MIN(MAX(0,U785-(MAX(0,P781-IF($A786&gt;='1-Input'!$C$12,'1-Input'!$B$12,0))-MIN(MAX(T785,0),MAX(0,P781-IF($A786&gt;='1-Input'!$C$12,'1-Input'!$B$12,0))))*(1/(1-'P-Parametri'!$B$6*P786))),MAX(0,2*P781-(T785-MIN(MAX(T785,0),MAX(0,P781-IF($A786&gt;='1-Input'!$C$12,'1-Input'!$B$12,0)))))*(1/(1-'P-Parametri'!$B$6*P786))))</f>
        <v>21511.139431008076</v>
      </c>
      <c r="R786" s="18">
        <f>IF($A786&gt;'1-Input'!$B$26,T785,(T785-MAX(0,P781-IF($A786&gt;='1-Input'!$C$12,'1-Input'!$B$12,0))+Q786*(1-'P-Parametri'!$B$6*P786))*(1+'1-Input'!$B$27))</f>
        <v>39548.008177054842</v>
      </c>
      <c r="S786" s="18">
        <f>IF($A786&gt;'1-Input'!$B$26,U785,(U785-Q786)*(1+$D$4))</f>
        <v>378203.98036997195</v>
      </c>
      <c r="T786" s="18">
        <f>IF($A786&gt;'1-Input'!$B$26,R786,R786-'P-Parametri'!$B$8*(S786+R786)+MIN(MAX(S786,0),'P-Parametri'!$B$8*(S786+R786)))</f>
        <v>39548.008177054842</v>
      </c>
      <c r="U786" s="18">
        <f>IF($A786&gt;'1-Input'!$B$26,S786,S786-MIN(MAX(S786,0),'P-Parametri'!$B$8*(S786+R786)))</f>
        <v>377368.47639287787</v>
      </c>
      <c r="V786" s="18">
        <f>IF($A786&gt;'1-Input'!$B$26,V785,V785-Q786*(1-P786))</f>
        <v>264642.86620825948</v>
      </c>
      <c r="W786" s="11">
        <f>IF($A786&gt;'1-Input'!$B$26,0,IF(AB785&lt;=0,0,MAX(0,(AB785-AC785)/AB785)))</f>
        <v>0.27228238831587814</v>
      </c>
      <c r="X786" s="18">
        <f>IF($A786&gt;'1-Input'!$B$26,0,(MAX(0,W781-IF($A786&gt;='1-Input'!$C$12,'1-Input'!$B$12,0))-MIN(MAX(AA785,0),MAX(0,W781-IF($A786&gt;='1-Input'!$C$12,'1-Input'!$B$12,0))))*(1/(1-'P-Parametri'!$B$6*W786))+MIN(MAX(0,AB785-(MAX(0,W781-IF($A786&gt;='1-Input'!$C$12,'1-Input'!$B$12,0))-MIN(MAX(AA785,0),MAX(0,W781-IF($A786&gt;='1-Input'!$C$12,'1-Input'!$B$12,0))))*(1/(1-'P-Parametri'!$B$6*W786))),MAX(0,2*W781-(AA785-MIN(MAX(AA785,0),MAX(0,W781-IF($A786&gt;='1-Input'!$C$12,'1-Input'!$B$12,0)))))*(1/(1-'P-Parametri'!$B$6*W786))))</f>
        <v>21045.430522402872</v>
      </c>
      <c r="Y786" s="18">
        <f>IF($A786&gt;'1-Input'!$B$26,AA785,(AA785-MAX(0,W781-IF($A786&gt;='1-Input'!$C$12,'1-Input'!$B$12,0))+X786*(1-'P-Parametri'!$B$6*W786))*(1+'1-Input'!$B$27))</f>
        <v>38691.724605045303</v>
      </c>
      <c r="Z786" s="18">
        <f>IF($A786&gt;'1-Input'!$B$26,AB785,(AB785-X786)*(1+$D$4))</f>
        <v>380663.76893741172</v>
      </c>
      <c r="AA786" s="18">
        <f>IF($A786&gt;'1-Input'!$B$26,Y786,Y786-'P-Parametri'!$B$8*(Z786+Y786)+MIN(MAX(Z786,0),'P-Parametri'!$B$8*(Z786+Y786)))</f>
        <v>38691.724605045303</v>
      </c>
      <c r="AB786" s="18">
        <f>IF($A786&gt;'1-Input'!$B$26,Z786,Z786-MIN(MAX(Z786,0),'P-Parametri'!$B$8*(Z786+Y786)))</f>
        <v>379825.05795032682</v>
      </c>
      <c r="AC786" s="18">
        <f>IF($A786&gt;'1-Input'!$B$26,AC785,AC785-X786*(1-W786))</f>
        <v>266361.27767866314</v>
      </c>
      <c r="AD786" s="11">
        <f>IF($A786&gt;'1-Input'!$B$26,0,IF(AI785&lt;=0,0,MAX(0,(AI785-AJ785)/AI785)))</f>
        <v>0.2722827344610822</v>
      </c>
      <c r="AE786" s="18">
        <f>IF($A786&gt;'1-Input'!$B$26,0,(MAX(0,AD781-IF($A786&gt;='1-Input'!$C$12,'1-Input'!$B$12,0))-MIN(MAX(AH785,0),MAX(0,AD781-IF($A786&gt;='1-Input'!$C$12,'1-Input'!$B$12,0))))*(1/(1-'P-Parametri'!$B$6*AD786))+MIN(MAX(0,AI785-(MAX(0,AD781-IF($A786&gt;='1-Input'!$C$12,'1-Input'!$B$12,0))-MIN(MAX(AH785,0),MAX(0,AD781-IF($A786&gt;='1-Input'!$C$12,'1-Input'!$B$12,0))))*(1/(1-'P-Parametri'!$B$6*AD786))),MAX(0,2*AD781-(AH785-MIN(MAX(AH785,0),MAX(0,AD781-IF($A786&gt;='1-Input'!$C$12,'1-Input'!$B$12,0)))))*(1/(1-'P-Parametri'!$B$6*AD786))))</f>
        <v>21024.193477778113</v>
      </c>
      <c r="AF786" s="18">
        <f>IF($A786&gt;'1-Input'!$B$26,AH785,(AH785-MAX(0,AD781-IF($A786&gt;='1-Input'!$C$12,'1-Input'!$B$12,0))+AE786*(1-'P-Parametri'!$B$6*AD786))*(1+'1-Input'!$B$27))</f>
        <v>38652.676856956641</v>
      </c>
      <c r="AG786" s="18">
        <f>IF($A786&gt;'1-Input'!$B$26,AI785,(AI785-AE786)*(1+$D$4))</f>
        <v>380775.93888042396</v>
      </c>
      <c r="AH786" s="18">
        <f>IF($A786&gt;'1-Input'!$B$26,AF786,AF786-'P-Parametri'!$B$8*(AG786+AF786)+MIN(MAX(AG786,0),'P-Parametri'!$B$8*(AG786+AF786)))</f>
        <v>38652.676856956641</v>
      </c>
      <c r="AI786" s="18">
        <f>IF($A786&gt;'1-Input'!$B$26,AG786,AG786-MIN(MAX(AG786,0),'P-Parametri'!$B$8*(AG786+AF786)))</f>
        <v>379937.08164894918</v>
      </c>
      <c r="AJ786" s="18">
        <f>IF($A786&gt;'1-Input'!$B$26,AJ785,AJ785-AE786*(1-AD786))</f>
        <v>266439.63944718865</v>
      </c>
      <c r="AK786" s="11">
        <f>IF($A786&gt;'1-Input'!$B$26,0,IF(AP785&lt;=0,0,MAX(0,(AP785-AQ785)/AP785)))</f>
        <v>0.2722827307268495</v>
      </c>
      <c r="AL786" s="18">
        <f>IF($A786&gt;'1-Input'!$B$26,0,(MAX(0,AK781-IF($A786&gt;='1-Input'!$C$12,'1-Input'!$B$12,0))-MIN(MAX(AO785,0),MAX(0,AK781-IF($A786&gt;='1-Input'!$C$12,'1-Input'!$B$12,0))))*(1/(1-'P-Parametri'!$B$6*AK786))+MIN(MAX(0,AP785-(MAX(0,AK781-IF($A786&gt;='1-Input'!$C$12,'1-Input'!$B$12,0))-MIN(MAX(AO785,0),MAX(0,AK781-IF($A786&gt;='1-Input'!$C$12,'1-Input'!$B$12,0))))*(1/(1-'P-Parametri'!$B$6*AK786))),MAX(0,2*AK781-(AO785-MIN(MAX(AO785,0),MAX(0,AK781-IF($A786&gt;='1-Input'!$C$12,'1-Input'!$B$12,0)))))*(1/(1-'P-Parametri'!$B$6*AK786))))</f>
        <v>21024.422627731525</v>
      </c>
      <c r="AM786" s="18">
        <f>IF($A786&gt;'1-Input'!$B$26,AO785,(AO785-MAX(0,AK781-IF($A786&gt;='1-Input'!$C$12,'1-Input'!$B$12,0))+AL786*(1-'P-Parametri'!$B$6*AK786))*(1+'1-Input'!$B$27))</f>
        <v>38653.098186232593</v>
      </c>
      <c r="AN786" s="18">
        <f>IF($A786&gt;'1-Input'!$B$26,AP785,(AP785-AL786)*(1+$D$4))</f>
        <v>380774.72855499468</v>
      </c>
      <c r="AO786" s="18">
        <f>IF($A786&gt;'1-Input'!$B$26,AM786,AM786-'P-Parametri'!$B$8*(AN786+AM786)+MIN(MAX(AN786,0),'P-Parametri'!$B$8*(AN786+AM786)))</f>
        <v>38653.098186232593</v>
      </c>
      <c r="AP786" s="18">
        <f>IF($A786&gt;'1-Input'!$B$26,AN786,AN786-MIN(MAX(AN786,0),'P-Parametri'!$B$8*(AN786+AM786)))</f>
        <v>379935.87290151225</v>
      </c>
      <c r="AQ786" s="18">
        <f>IF($A786&gt;'1-Input'!$B$26,AQ785,AQ785-AL786*(1-AK786))</f>
        <v>266438.79391564021</v>
      </c>
    </row>
    <row r="787" spans="1:43">
      <c r="A787" s="10">
        <f>4</f>
        <v>4</v>
      </c>
      <c r="B787" s="11">
        <f>IF($A787&gt;'1-Input'!$B$26,0,IF(G786&lt;=0,0,MAX(0,(G786-H786)/G786)))</f>
        <v>0.29879673863565814</v>
      </c>
      <c r="C787" s="18">
        <f>IF($A787&gt;'1-Input'!$B$26,0,(MAX(0,B781-IF($A787&gt;='1-Input'!$C$12,'1-Input'!$B$12,0))-MIN(MAX(F786,0),MAX(0,B781-IF($A787&gt;='1-Input'!$C$12,'1-Input'!$B$12,0))))*(1/(1-'P-Parametri'!$B$6*B787))+MIN(MAX(0,G786-(MAX(0,B781-IF($A787&gt;='1-Input'!$C$12,'1-Input'!$B$12,0))-MIN(MAX(F786,0),MAX(0,B781-IF($A787&gt;='1-Input'!$C$12,'1-Input'!$B$12,0))))*(1/(1-'P-Parametri'!$B$6*B787))),MAX(0,2*B781-(F786-MIN(MAX(F786,0),MAX(0,B781-IF($A787&gt;='1-Input'!$C$12,'1-Input'!$B$12,0)))))*(1/(1-'P-Parametri'!$B$6*B787))))</f>
        <v>18216.334023914387</v>
      </c>
      <c r="D787" s="18">
        <f>IF($A787&gt;'1-Input'!$B$26,F786,(F786-MAX(0,B781-IF($A787&gt;='1-Input'!$C$12,'1-Input'!$B$12,0))+C787*(1-'P-Parametri'!$B$6*B787))*(1+'1-Input'!$B$27))</f>
        <v>33242.0070309863</v>
      </c>
      <c r="E787" s="18">
        <f>IF($A787&gt;'1-Input'!$B$26,G786,(G786-C787)*(1+$D$4))</f>
        <v>392333.17403866089</v>
      </c>
      <c r="F787" s="18">
        <f>IF($A787&gt;'1-Input'!$B$26,D787,D787-'P-Parametri'!$B$8*(E787+D787)+MIN(MAX(E787,0),'P-Parametri'!$B$8*(E787+D787)))</f>
        <v>33242.0070309863</v>
      </c>
      <c r="G787" s="18">
        <f>IF($A787&gt;'1-Input'!$B$26,E787,E787-MIN(MAX(E787,0),'P-Parametri'!$B$8*(E787+D787)))</f>
        <v>391482.02367652161</v>
      </c>
      <c r="H787" s="18">
        <f>IF($A787&gt;'1-Input'!$B$26,H786,H786-C787*(1-B787))</f>
        <v>264524.32805512781</v>
      </c>
      <c r="I787" s="11">
        <f>IF($A787&gt;'1-Input'!$B$26,0,IF(N786&lt;=0,0,MAX(0,(N786-O786)/N786)))</f>
        <v>0.29865715423195788</v>
      </c>
      <c r="J787" s="18">
        <f>IF($A787&gt;'1-Input'!$B$26,0,(MAX(0,I781-IF($A787&gt;='1-Input'!$C$12,'1-Input'!$B$12,0))-MIN(MAX(M786,0),MAX(0,I781-IF($A787&gt;='1-Input'!$C$12,'1-Input'!$B$12,0))))*(1/(1-'P-Parametri'!$B$6*I787))+MIN(MAX(0,N786-(MAX(0,I781-IF($A787&gt;='1-Input'!$C$12,'1-Input'!$B$12,0))-MIN(MAX(M786,0),MAX(0,I781-IF($A787&gt;='1-Input'!$C$12,'1-Input'!$B$12,0))))*(1/(1-'P-Parametri'!$B$6*I787))),MAX(0,2*I781-(M786-MIN(MAX(M786,0),MAX(0,I781-IF($A787&gt;='1-Input'!$C$12,'1-Input'!$B$12,0)))))*(1/(1-'P-Parametri'!$B$6*I787))))</f>
        <v>23967.91744792214</v>
      </c>
      <c r="K787" s="18">
        <f>IF($A787&gt;'1-Input'!$B$26,M786,(M786-MAX(0,I781-IF($A787&gt;='1-Input'!$C$12,'1-Input'!$B$12,0))+J787*(1-'P-Parametri'!$B$6*I787))*(1+'1-Input'!$B$27))</f>
        <v>43739.482935508291</v>
      </c>
      <c r="L787" s="18">
        <f>IF($A787&gt;'1-Input'!$B$26,N786,(N786-J787)*(1+$D$4))</f>
        <v>355030.77180059766</v>
      </c>
      <c r="M787" s="18">
        <f>IF($A787&gt;'1-Input'!$B$26,K787,K787-'P-Parametri'!$B$8*(L787+K787)+MIN(MAX(L787,0),'P-Parametri'!$B$8*(L787+K787)))</f>
        <v>43739.482935508291</v>
      </c>
      <c r="N787" s="18">
        <f>IF($A787&gt;'1-Input'!$B$26,L787,L787-MIN(MAX(L787,0),'P-Parametri'!$B$8*(L787+K787)))</f>
        <v>354233.23129112547</v>
      </c>
      <c r="O787" s="18">
        <f>IF($A787&gt;'1-Input'!$B$26,O786,O786-J787*(1-I787))</f>
        <v>239421.43445178418</v>
      </c>
      <c r="P787" s="11">
        <f>IF($A787&gt;'1-Input'!$B$26,0,IF(U786&lt;=0,0,MAX(0,(U786-V786)/U786)))</f>
        <v>0.29871496226213629</v>
      </c>
      <c r="Q787" s="18">
        <f>IF($A787&gt;'1-Input'!$B$26,0,(MAX(0,P781-IF($A787&gt;='1-Input'!$C$12,'1-Input'!$B$12,0))-MIN(MAX(T786,0),MAX(0,P781-IF($A787&gt;='1-Input'!$C$12,'1-Input'!$B$12,0))))*(1/(1-'P-Parametri'!$B$6*P787))+MIN(MAX(0,U786-(MAX(0,P781-IF($A787&gt;='1-Input'!$C$12,'1-Input'!$B$12,0))-MIN(MAX(T786,0),MAX(0,P781-IF($A787&gt;='1-Input'!$C$12,'1-Input'!$B$12,0))))*(1/(1-'P-Parametri'!$B$6*P787))),MAX(0,2*P781-(T786-MIN(MAX(T786,0),MAX(0,P781-IF($A787&gt;='1-Input'!$C$12,'1-Input'!$B$12,0)))))*(1/(1-'P-Parametri'!$B$6*P787))))</f>
        <v>21671.468843072176</v>
      </c>
      <c r="R787" s="18">
        <f>IF($A787&gt;'1-Input'!$B$26,T786,(T786-MAX(0,P781-IF($A787&gt;='1-Input'!$C$12,'1-Input'!$B$12,0))+Q787*(1-'P-Parametri'!$B$6*P787))*(1+'1-Input'!$B$27))</f>
        <v>39548.008177054842</v>
      </c>
      <c r="S787" s="18">
        <f>IF($A787&gt;'1-Input'!$B$26,U786,(U786-Q787)*(1+$D$4))</f>
        <v>369924.88785179792</v>
      </c>
      <c r="T787" s="18">
        <f>IF($A787&gt;'1-Input'!$B$26,R787,R787-'P-Parametri'!$B$8*(S787+R787)+MIN(MAX(S787,0),'P-Parametri'!$B$8*(S787+R787)))</f>
        <v>39548.008177054842</v>
      </c>
      <c r="U787" s="18">
        <f>IF($A787&gt;'1-Input'!$B$26,S787,S787-MIN(MAX(S787,0),'P-Parametri'!$B$8*(S787+R787)))</f>
        <v>369105.94205974019</v>
      </c>
      <c r="V787" s="18">
        <f>IF($A787&gt;'1-Input'!$B$26,V786,V786-Q787*(1-P787))</f>
        <v>249444.98936281068</v>
      </c>
      <c r="W787" s="11">
        <f>IF($A787&gt;'1-Input'!$B$26,0,IF(AB786&lt;=0,0,MAX(0,(AB786-AC786)/AB786)))</f>
        <v>0.29872642127392862</v>
      </c>
      <c r="X787" s="18">
        <f>IF($A787&gt;'1-Input'!$B$26,0,(MAX(0,W781-IF($A787&gt;='1-Input'!$C$12,'1-Input'!$B$12,0))-MIN(MAX(AA786,0),MAX(0,W781-IF($A787&gt;='1-Input'!$C$12,'1-Input'!$B$12,0))))*(1/(1-'P-Parametri'!$B$6*W787))+MIN(MAX(0,AB786-(MAX(0,W781-IF($A787&gt;='1-Input'!$C$12,'1-Input'!$B$12,0))-MIN(MAX(AA786,0),MAX(0,W781-IF($A787&gt;='1-Input'!$C$12,'1-Input'!$B$12,0))))*(1/(1-'P-Parametri'!$B$6*W787))),MAX(0,2*W781-(AA786-MIN(MAX(AA786,0),MAX(0,W781-IF($A787&gt;='1-Input'!$C$12,'1-Input'!$B$12,0)))))*(1/(1-'P-Parametri'!$B$6*W787))))</f>
        <v>21202.312113396834</v>
      </c>
      <c r="Y787" s="18">
        <f>IF($A787&gt;'1-Input'!$B$26,AA786,(AA786-MAX(0,W781-IF($A787&gt;='1-Input'!$C$12,'1-Input'!$B$12,0))+X787*(1-'P-Parametri'!$B$6*W787))*(1+'1-Input'!$B$27))</f>
        <v>38691.724605045303</v>
      </c>
      <c r="Z787" s="18">
        <f>IF($A787&gt;'1-Input'!$B$26,AB786,(AB786-X787)*(1+$D$4))</f>
        <v>372967.65567040723</v>
      </c>
      <c r="AA787" s="18">
        <f>IF($A787&gt;'1-Input'!$B$26,Y787,Y787-'P-Parametri'!$B$8*(Z787+Y787)+MIN(MAX(Z787,0),'P-Parametri'!$B$8*(Z787+Y787)))</f>
        <v>38691.724605045303</v>
      </c>
      <c r="AB787" s="18">
        <f>IF($A787&gt;'1-Input'!$B$26,Z787,Z787-MIN(MAX(Z787,0),'P-Parametri'!$B$8*(Z787+Y787)))</f>
        <v>372144.3369098563</v>
      </c>
      <c r="AC787" s="18">
        <f>IF($A787&gt;'1-Input'!$B$26,AC786,AC786-X787*(1-W787))</f>
        <v>251492.65638563421</v>
      </c>
      <c r="AD787" s="11">
        <f>IF($A787&gt;'1-Input'!$B$26,0,IF(AI786&lt;=0,0,MAX(0,(AI786-AJ786)/AI786)))</f>
        <v>0.29872694107449316</v>
      </c>
      <c r="AE787" s="18">
        <f>IF($A787&gt;'1-Input'!$B$26,0,(MAX(0,AD781-IF($A787&gt;='1-Input'!$C$12,'1-Input'!$B$12,0))-MIN(MAX(AH786,0),MAX(0,AD781-IF($A787&gt;='1-Input'!$C$12,'1-Input'!$B$12,0))))*(1/(1-'P-Parametri'!$B$6*AD787))+MIN(MAX(0,AI786-(MAX(0,AD781-IF($A787&gt;='1-Input'!$C$12,'1-Input'!$B$12,0))-MIN(MAX(AH786,0),MAX(0,AD781-IF($A787&gt;='1-Input'!$C$12,'1-Input'!$B$12,0))))*(1/(1-'P-Parametri'!$B$6*AD787))),MAX(0,2*AD781-(AH786-MIN(MAX(AH786,0),MAX(0,AD781-IF($A787&gt;='1-Input'!$C$12,'1-Input'!$B$12,0)))))*(1/(1-'P-Parametri'!$B$6*AD787))))</f>
        <v>21180.917810959054</v>
      </c>
      <c r="AF787" s="18">
        <f>IF($A787&gt;'1-Input'!$B$26,AH786,(AH786-MAX(0,AD781-IF($A787&gt;='1-Input'!$C$12,'1-Input'!$B$12,0))+AE787*(1-'P-Parametri'!$B$6*AD787))*(1+'1-Input'!$B$27))</f>
        <v>38652.676856956641</v>
      </c>
      <c r="AG787" s="18">
        <f>IF($A787&gt;'1-Input'!$B$26,AI786,(AI786-AE787)*(1+$D$4))</f>
        <v>373106.41039150977</v>
      </c>
      <c r="AH787" s="18">
        <f>IF($A787&gt;'1-Input'!$B$26,AF787,AF787-'P-Parametri'!$B$8*(AG787+AF787)+MIN(MAX(AG787,0),'P-Parametri'!$B$8*(AG787+AF787)))</f>
        <v>38652.676856956641</v>
      </c>
      <c r="AI787" s="18">
        <f>IF($A787&gt;'1-Input'!$B$26,AG787,AG787-MIN(MAX(AG787,0),'P-Parametri'!$B$8*(AG787+AF787)))</f>
        <v>372282.89221701282</v>
      </c>
      <c r="AJ787" s="18">
        <f>IF($A787&gt;'1-Input'!$B$26,AJ786,AJ786-AE787*(1-AD787))</f>
        <v>251586.03242304764</v>
      </c>
      <c r="AK787" s="11">
        <f>IF($A787&gt;'1-Input'!$B$26,0,IF(AP786&lt;=0,0,MAX(0,(AP786-AQ786)/AP786)))</f>
        <v>0.2987269354670623</v>
      </c>
      <c r="AL787" s="18">
        <f>IF($A787&gt;'1-Input'!$B$26,0,(MAX(0,AK781-IF($A787&gt;='1-Input'!$C$12,'1-Input'!$B$12,0))-MIN(MAX(AO786,0),MAX(0,AK781-IF($A787&gt;='1-Input'!$C$12,'1-Input'!$B$12,0))))*(1/(1-'P-Parametri'!$B$6*AK787))+MIN(MAX(0,AP786-(MAX(0,AK781-IF($A787&gt;='1-Input'!$C$12,'1-Input'!$B$12,0))-MIN(MAX(AO786,0),MAX(0,AK781-IF($A787&gt;='1-Input'!$C$12,'1-Input'!$B$12,0))))*(1/(1-'P-Parametri'!$B$6*AK787))),MAX(0,2*AK781-(AO786-MIN(MAX(AO786,0),MAX(0,AK781-IF($A787&gt;='1-Input'!$C$12,'1-Input'!$B$12,0)))))*(1/(1-'P-Parametri'!$B$6*AK787))))</f>
        <v>21181.148657755599</v>
      </c>
      <c r="AM787" s="18">
        <f>IF($A787&gt;'1-Input'!$B$26,AO786,(AO786-MAX(0,AK781-IF($A787&gt;='1-Input'!$C$12,'1-Input'!$B$12,0))+AL787*(1-'P-Parametri'!$B$6*AK787))*(1+'1-Input'!$B$27))</f>
        <v>38653.098186232586</v>
      </c>
      <c r="AN787" s="18">
        <f>IF($A787&gt;'1-Input'!$B$26,AP786,(AP786-AL787)*(1+$D$4))</f>
        <v>373104.91321350698</v>
      </c>
      <c r="AO787" s="18">
        <f>IF($A787&gt;'1-Input'!$B$26,AM787,AM787-'P-Parametri'!$B$8*(AN787+AM787)+MIN(MAX(AN787,0),'P-Parametri'!$B$8*(AN787+AM787)))</f>
        <v>38653.098186232586</v>
      </c>
      <c r="AP787" s="18">
        <f>IF($A787&gt;'1-Input'!$B$26,AN787,AN787-MIN(MAX(AN787,0),'P-Parametri'!$B$8*(AN787+AM787)))</f>
        <v>372281.3971907075</v>
      </c>
      <c r="AQ787" s="18">
        <f>IF($A787&gt;'1-Input'!$B$26,AQ786,AQ786-AL787*(1-AK787))</f>
        <v>251585.02488608821</v>
      </c>
    </row>
    <row r="788" spans="1:43">
      <c r="A788" s="10">
        <f>5</f>
        <v>5</v>
      </c>
      <c r="B788" s="11">
        <f>IF($A788&gt;'1-Input'!$B$26,0,IF(G787&lt;=0,0,MAX(0,(G787-H787)/G787)))</f>
        <v>0.32430019245608555</v>
      </c>
      <c r="C788" s="18">
        <f>IF($A788&gt;'1-Input'!$B$26,0,(MAX(0,B781-IF($A788&gt;='1-Input'!$C$12,'1-Input'!$B$12,0))-MIN(MAX(F787,0),MAX(0,B781-IF($A788&gt;='1-Input'!$C$12,'1-Input'!$B$12,0))))*(1/(1-'P-Parametri'!$B$6*B788))+MIN(MAX(0,G787-(MAX(0,B781-IF($A788&gt;='1-Input'!$C$12,'1-Input'!$B$12,0))-MIN(MAX(F787,0),MAX(0,B781-IF($A788&gt;='1-Input'!$C$12,'1-Input'!$B$12,0))))*(1/(1-'P-Parametri'!$B$6*B788))),MAX(0,2*B781-(F787-MIN(MAX(F787,0),MAX(0,B781-IF($A788&gt;='1-Input'!$C$12,'1-Input'!$B$12,0)))))*(1/(1-'P-Parametri'!$B$6*B788))))</f>
        <v>18348.247351167101</v>
      </c>
      <c r="D788" s="18">
        <f>IF($A788&gt;'1-Input'!$B$26,F787,(F787-MAX(0,B781-IF($A788&gt;='1-Input'!$C$12,'1-Input'!$B$12,0))+C788*(1-'P-Parametri'!$B$6*B788))*(1+'1-Input'!$B$27))</f>
        <v>33242.0070309863</v>
      </c>
      <c r="E788" s="18">
        <f>IF($A788&gt;'1-Input'!$B$26,G787,(G787-C788)*(1+$D$4))</f>
        <v>388059.12737836875</v>
      </c>
      <c r="F788" s="18">
        <f>IF($A788&gt;'1-Input'!$B$26,D788,D788-'P-Parametri'!$B$8*(E788+D788)+MIN(MAX(E788,0),'P-Parametri'!$B$8*(E788+D788)))</f>
        <v>33242.0070309863</v>
      </c>
      <c r="G788" s="18">
        <f>IF($A788&gt;'1-Input'!$B$26,E788,E788-MIN(MAX(E788,0),'P-Parametri'!$B$8*(E788+D788)))</f>
        <v>387216.52510955004</v>
      </c>
      <c r="H788" s="18">
        <f>IF($A788&gt;'1-Input'!$B$26,H787,H787-C788*(1-B788))</f>
        <v>252126.42085117608</v>
      </c>
      <c r="I788" s="11">
        <f>IF($A788&gt;'1-Input'!$B$26,0,IF(N787&lt;=0,0,MAX(0,(N787-O787)/N787)))</f>
        <v>0.32411356896378696</v>
      </c>
      <c r="J788" s="18">
        <f>IF($A788&gt;'1-Input'!$B$26,0,(MAX(0,I781-IF($A788&gt;='1-Input'!$C$12,'1-Input'!$B$12,0))-MIN(MAX(M787,0),MAX(0,I781-IF($A788&gt;='1-Input'!$C$12,'1-Input'!$B$12,0))))*(1/(1-'P-Parametri'!$B$6*I788))+MIN(MAX(0,N787-(MAX(0,I781-IF($A788&gt;='1-Input'!$C$12,'1-Input'!$B$12,0))-MIN(MAX(M787,0),MAX(0,I781-IF($A788&gt;='1-Input'!$C$12,'1-Input'!$B$12,0))))*(1/(1-'P-Parametri'!$B$6*I788))),MAX(0,2*I781-(M787-MIN(MAX(M787,0),MAX(0,I781-IF($A788&gt;='1-Input'!$C$12,'1-Input'!$B$12,0)))))*(1/(1-'P-Parametri'!$B$6*I788))))</f>
        <v>24141.151482400397</v>
      </c>
      <c r="K788" s="18">
        <f>IF($A788&gt;'1-Input'!$B$26,M787,(M787-MAX(0,I781-IF($A788&gt;='1-Input'!$C$12,'1-Input'!$B$12,0))+J788*(1-'P-Parametri'!$B$6*I788))*(1+'1-Input'!$B$27))</f>
        <v>43739.482935508291</v>
      </c>
      <c r="L788" s="18">
        <f>IF($A788&gt;'1-Input'!$B$26,N787,(N787-J788)*(1+$D$4))</f>
        <v>343295.76300107408</v>
      </c>
      <c r="M788" s="18">
        <f>IF($A788&gt;'1-Input'!$B$26,K788,K788-'P-Parametri'!$B$8*(L788+K788)+MIN(MAX(L788,0),'P-Parametri'!$B$8*(L788+K788)))</f>
        <v>43739.482935508291</v>
      </c>
      <c r="N788" s="18">
        <f>IF($A788&gt;'1-Input'!$B$26,L788,L788-MIN(MAX(L788,0),'P-Parametri'!$B$8*(L788+K788)))</f>
        <v>342521.69250920089</v>
      </c>
      <c r="O788" s="18">
        <f>IF($A788&gt;'1-Input'!$B$26,O787,O787-J788*(1-I788))</f>
        <v>223104.75773523998</v>
      </c>
      <c r="P788" s="11">
        <f>IF($A788&gt;'1-Input'!$B$26,0,IF(U787&lt;=0,0,MAX(0,(U787-V787)/U787)))</f>
        <v>0.32419134741960415</v>
      </c>
      <c r="Q788" s="18">
        <f>IF($A788&gt;'1-Input'!$B$26,0,(MAX(0,P781-IF($A788&gt;='1-Input'!$C$12,'1-Input'!$B$12,0))-MIN(MAX(T787,0),MAX(0,P781-IF($A788&gt;='1-Input'!$C$12,'1-Input'!$B$12,0))))*(1/(1-'P-Parametri'!$B$6*P788))+MIN(MAX(0,U787-(MAX(0,P781-IF($A788&gt;='1-Input'!$C$12,'1-Input'!$B$12,0))-MIN(MAX(T787,0),MAX(0,P781-IF($A788&gt;='1-Input'!$C$12,'1-Input'!$B$12,0))))*(1/(1-'P-Parametri'!$B$6*P788))),MAX(0,2*P781-(T787-MIN(MAX(T787,0),MAX(0,P781-IF($A788&gt;='1-Input'!$C$12,'1-Input'!$B$12,0)))))*(1/(1-'P-Parametri'!$B$6*P788))))</f>
        <v>21828.23107077125</v>
      </c>
      <c r="R788" s="18">
        <f>IF($A788&gt;'1-Input'!$B$26,T787,(T787-MAX(0,P781-IF($A788&gt;='1-Input'!$C$12,'1-Input'!$B$12,0))+Q788*(1-'P-Parametri'!$B$6*P788))*(1+'1-Input'!$B$27))</f>
        <v>39548.008177054842</v>
      </c>
      <c r="S788" s="18">
        <f>IF($A788&gt;'1-Input'!$B$26,U787,(U787-Q788)*(1+$D$4))</f>
        <v>361168.81942852773</v>
      </c>
      <c r="T788" s="18">
        <f>IF($A788&gt;'1-Input'!$B$26,R788,R788-'P-Parametri'!$B$8*(S788+R788)+MIN(MAX(S788,0),'P-Parametri'!$B$8*(S788+R788)))</f>
        <v>39548.008177054842</v>
      </c>
      <c r="U788" s="18">
        <f>IF($A788&gt;'1-Input'!$B$26,S788,S788-MIN(MAX(S788,0),'P-Parametri'!$B$8*(S788+R788)))</f>
        <v>360367.38577331655</v>
      </c>
      <c r="V788" s="18">
        <f>IF($A788&gt;'1-Input'!$B$26,V787,V787-Q788*(1-P788))</f>
        <v>234693.28193465923</v>
      </c>
      <c r="W788" s="11">
        <f>IF($A788&gt;'1-Input'!$B$26,0,IF(AB787&lt;=0,0,MAX(0,(AB787-AC787)/AB787)))</f>
        <v>0.32420668154207938</v>
      </c>
      <c r="X788" s="18">
        <f>IF($A788&gt;'1-Input'!$B$26,0,(MAX(0,W781-IF($A788&gt;='1-Input'!$C$12,'1-Input'!$B$12,0))-MIN(MAX(AA787,0),MAX(0,W781-IF($A788&gt;='1-Input'!$C$12,'1-Input'!$B$12,0))))*(1/(1-'P-Parametri'!$B$6*W788))+MIN(MAX(0,AB787-(MAX(0,W781-IF($A788&gt;='1-Input'!$C$12,'1-Input'!$B$12,0))-MIN(MAX(AA787,0),MAX(0,W781-IF($A788&gt;='1-Input'!$C$12,'1-Input'!$B$12,0))))*(1/(1-'P-Parametri'!$B$6*W788))),MAX(0,2*W781-(AA787-MIN(MAX(AA787,0),MAX(0,W781-IF($A788&gt;='1-Input'!$C$12,'1-Input'!$B$12,0)))))*(1/(1-'P-Parametri'!$B$6*W788))))</f>
        <v>21355.70465612553</v>
      </c>
      <c r="Y788" s="18">
        <f>IF($A788&gt;'1-Input'!$B$26,AA787,(AA787-MAX(0,W781-IF($A788&gt;='1-Input'!$C$12,'1-Input'!$B$12,0))+X788*(1-'P-Parametri'!$B$6*W788))*(1+'1-Input'!$B$27))</f>
        <v>38691.724605045303</v>
      </c>
      <c r="Z788" s="18">
        <f>IF($A788&gt;'1-Input'!$B$26,AB787,(AB787-X788)*(1+$D$4))</f>
        <v>364820.17754388001</v>
      </c>
      <c r="AA788" s="18">
        <f>IF($A788&gt;'1-Input'!$B$26,Y788,Y788-'P-Parametri'!$B$8*(Z788+Y788)+MIN(MAX(Z788,0),'P-Parametri'!$B$8*(Z788+Y788)))</f>
        <v>38691.724605045303</v>
      </c>
      <c r="AB788" s="18">
        <f>IF($A788&gt;'1-Input'!$B$26,Z788,Z788-MIN(MAX(Z788,0),'P-Parametri'!$B$8*(Z788+Y788)))</f>
        <v>364013.15373958217</v>
      </c>
      <c r="AC788" s="18">
        <f>IF($A788&gt;'1-Input'!$B$26,AC787,AC787-X788*(1-W788))</f>
        <v>237060.61386806387</v>
      </c>
      <c r="AD788" s="11">
        <f>IF($A788&gt;'1-Input'!$B$26,0,IF(AI787&lt;=0,0,MAX(0,(AI787-AJ787)/AI787)))</f>
        <v>0.32420737647973363</v>
      </c>
      <c r="AE788" s="18">
        <f>IF($A788&gt;'1-Input'!$B$26,0,(MAX(0,AD781-IF($A788&gt;='1-Input'!$C$12,'1-Input'!$B$12,0))-MIN(MAX(AH787,0),MAX(0,AD781-IF($A788&gt;='1-Input'!$C$12,'1-Input'!$B$12,0))))*(1/(1-'P-Parametri'!$B$6*AD788))+MIN(MAX(0,AI787-(MAX(0,AD781-IF($A788&gt;='1-Input'!$C$12,'1-Input'!$B$12,0))-MIN(MAX(AH787,0),MAX(0,AD781-IF($A788&gt;='1-Input'!$C$12,'1-Input'!$B$12,0))))*(1/(1-'P-Parametri'!$B$6*AD788))),MAX(0,2*AD781-(AH787-MIN(MAX(AH787,0),MAX(0,AD781-IF($A788&gt;='1-Input'!$C$12,'1-Input'!$B$12,0)))))*(1/(1-'P-Parametri'!$B$6*AD788))))</f>
        <v>21334.156655658415</v>
      </c>
      <c r="AF788" s="18">
        <f>IF($A788&gt;'1-Input'!$B$26,AH787,(AH787-MAX(0,AD781-IF($A788&gt;='1-Input'!$C$12,'1-Input'!$B$12,0))+AE788*(1-'P-Parametri'!$B$6*AD788))*(1+'1-Input'!$B$27))</f>
        <v>38652.676856956641</v>
      </c>
      <c r="AG788" s="18">
        <f>IF($A788&gt;'1-Input'!$B$26,AI787,(AI787-AE788)*(1+$D$4))</f>
        <v>364986.68498380861</v>
      </c>
      <c r="AH788" s="18">
        <f>IF($A788&gt;'1-Input'!$B$26,AF788,AF788-'P-Parametri'!$B$8*(AG788+AF788)+MIN(MAX(AG788,0),'P-Parametri'!$B$8*(AG788+AF788)))</f>
        <v>38652.676856956641</v>
      </c>
      <c r="AI788" s="18">
        <f>IF($A788&gt;'1-Input'!$B$26,AG788,AG788-MIN(MAX(AG788,0),'P-Parametri'!$B$8*(AG788+AF788)))</f>
        <v>364179.40626012709</v>
      </c>
      <c r="AJ788" s="18">
        <f>IF($A788&gt;'1-Input'!$B$26,AJ787,AJ787-AE788*(1-AD788))</f>
        <v>237168.5667261279</v>
      </c>
      <c r="AK788" s="11">
        <f>IF($A788&gt;'1-Input'!$B$26,0,IF(AP787&lt;=0,0,MAX(0,(AP787-AQ787)/AP787)))</f>
        <v>0.32420736898328151</v>
      </c>
      <c r="AL788" s="18">
        <f>IF($A788&gt;'1-Input'!$B$26,0,(MAX(0,AK781-IF($A788&gt;='1-Input'!$C$12,'1-Input'!$B$12,0))-MIN(MAX(AO787,0),MAX(0,AK781-IF($A788&gt;='1-Input'!$C$12,'1-Input'!$B$12,0))))*(1/(1-'P-Parametri'!$B$6*AK788))+MIN(MAX(0,AP787-(MAX(0,AK781-IF($A788&gt;='1-Input'!$C$12,'1-Input'!$B$12,0))-MIN(MAX(AO787,0),MAX(0,AK781-IF($A788&gt;='1-Input'!$C$12,'1-Input'!$B$12,0))))*(1/(1-'P-Parametri'!$B$6*AK788))),MAX(0,2*AK781-(AO787-MIN(MAX(AO787,0),MAX(0,AK781-IF($A788&gt;='1-Input'!$C$12,'1-Input'!$B$12,0)))))*(1/(1-'P-Parametri'!$B$6*AK788))))</f>
        <v>21334.389160889172</v>
      </c>
      <c r="AM788" s="18">
        <f>IF($A788&gt;'1-Input'!$B$26,AO787,(AO787-MAX(0,AK781-IF($A788&gt;='1-Input'!$C$12,'1-Input'!$B$12,0))+AL788*(1-'P-Parametri'!$B$6*AK788))*(1+'1-Input'!$B$27))</f>
        <v>38653.098186232593</v>
      </c>
      <c r="AN788" s="18">
        <f>IF($A788&gt;'1-Input'!$B$26,AP787,(AP787-AL788)*(1+$D$4))</f>
        <v>364984.88835101103</v>
      </c>
      <c r="AO788" s="18">
        <f>IF($A788&gt;'1-Input'!$B$26,AM788,AM788-'P-Parametri'!$B$8*(AN788+AM788)+MIN(MAX(AN788,0),'P-Parametri'!$B$8*(AN788+AM788)))</f>
        <v>38653.098186232593</v>
      </c>
      <c r="AP788" s="18">
        <f>IF($A788&gt;'1-Input'!$B$26,AN788,AN788-MIN(MAX(AN788,0),'P-Parametri'!$B$8*(AN788+AM788)))</f>
        <v>364177.61237793654</v>
      </c>
      <c r="AQ788" s="18">
        <f>IF($A788&gt;'1-Input'!$B$26,AQ787,AQ787-AL788*(1-AK788))</f>
        <v>237167.40190391635</v>
      </c>
    </row>
    <row r="789" spans="1:43">
      <c r="A789" s="10">
        <f>6</f>
        <v>6</v>
      </c>
      <c r="B789" s="11">
        <f>IF($A789&gt;'1-Input'!$B$26,0,IF(G788&lt;=0,0,MAX(0,(G788-H788)/G788)))</f>
        <v>0.34887484262236668</v>
      </c>
      <c r="C789" s="18">
        <f>IF($A789&gt;'1-Input'!$B$26,0,(MAX(0,B781-IF($A789&gt;='1-Input'!$C$12,'1-Input'!$B$12,0))-MIN(MAX(F788,0),MAX(0,B781-IF($A789&gt;='1-Input'!$C$12,'1-Input'!$B$12,0))))*(1/(1-'P-Parametri'!$B$6*B789))+MIN(MAX(0,G788-(MAX(0,B781-IF($A789&gt;='1-Input'!$C$12,'1-Input'!$B$12,0))-MIN(MAX(F788,0),MAX(0,B781-IF($A789&gt;='1-Input'!$C$12,'1-Input'!$B$12,0))))*(1/(1-'P-Parametri'!$B$6*B789))),MAX(0,2*B781-(F788-MIN(MAX(F788,0),MAX(0,B781-IF($A789&gt;='1-Input'!$C$12,'1-Input'!$B$12,0)))))*(1/(1-'P-Parametri'!$B$6*B789))))</f>
        <v>18477.176658598393</v>
      </c>
      <c r="D789" s="18">
        <f>IF($A789&gt;'1-Input'!$B$26,F788,(F788-MAX(0,B781-IF($A789&gt;='1-Input'!$C$12,'1-Input'!$B$12,0))+C789*(1-'P-Parametri'!$B$6*B789))*(1+'1-Input'!$B$27))</f>
        <v>33242.0070309863</v>
      </c>
      <c r="E789" s="18">
        <f>IF($A789&gt;'1-Input'!$B$26,G788,(G788-C789)*(1+$D$4))</f>
        <v>383488.92238898971</v>
      </c>
      <c r="F789" s="18">
        <f>IF($A789&gt;'1-Input'!$B$26,D789,D789-'P-Parametri'!$B$8*(E789+D789)+MIN(MAX(E789,0),'P-Parametri'!$B$8*(E789+D789)))</f>
        <v>33242.0070309863</v>
      </c>
      <c r="G789" s="18">
        <f>IF($A789&gt;'1-Input'!$B$26,E789,E789-MIN(MAX(E789,0),'P-Parametri'!$B$8*(E789+D789)))</f>
        <v>382655.46053014975</v>
      </c>
      <c r="H789" s="18">
        <f>IF($A789&gt;'1-Input'!$B$26,H788,H788-C789*(1-B789))</f>
        <v>240095.46629145186</v>
      </c>
      <c r="I789" s="11">
        <f>IF($A789&gt;'1-Input'!$B$26,0,IF(N788&lt;=0,0,MAX(0,(N788-O788)/N788)))</f>
        <v>0.3486405018588804</v>
      </c>
      <c r="J789" s="18">
        <f>IF($A789&gt;'1-Input'!$B$26,0,(MAX(0,I781-IF($A789&gt;='1-Input'!$C$12,'1-Input'!$B$12,0))-MIN(MAX(M788,0),MAX(0,I781-IF($A789&gt;='1-Input'!$C$12,'1-Input'!$B$12,0))))*(1/(1-'P-Parametri'!$B$6*I789))+MIN(MAX(0,N788-(MAX(0,I781-IF($A789&gt;='1-Input'!$C$12,'1-Input'!$B$12,0))-MIN(MAX(M788,0),MAX(0,I781-IF($A789&gt;='1-Input'!$C$12,'1-Input'!$B$12,0))))*(1/(1-'P-Parametri'!$B$6*I789))),MAX(0,2*I781-(M788-MIN(MAX(M788,0),MAX(0,I781-IF($A789&gt;='1-Input'!$C$12,'1-Input'!$B$12,0)))))*(1/(1-'P-Parametri'!$B$6*I789))))</f>
        <v>24310.445590565832</v>
      </c>
      <c r="K789" s="18">
        <f>IF($A789&gt;'1-Input'!$B$26,M788,(M788-MAX(0,I781-IF($A789&gt;='1-Input'!$C$12,'1-Input'!$B$12,0))+J789*(1-'P-Parametri'!$B$6*I789))*(1+'1-Input'!$B$27))</f>
        <v>43739.482935508291</v>
      </c>
      <c r="L789" s="18">
        <f>IF($A789&gt;'1-Input'!$B$26,N788,(N788-J789)*(1+$D$4))</f>
        <v>330939.69679538044</v>
      </c>
      <c r="M789" s="18">
        <f>IF($A789&gt;'1-Input'!$B$26,K789,K789-'P-Parametri'!$B$8*(L789+K789)+MIN(MAX(L789,0),'P-Parametri'!$B$8*(L789+K789)))</f>
        <v>43739.482935508291</v>
      </c>
      <c r="N789" s="18">
        <f>IF($A789&gt;'1-Input'!$B$26,L789,L789-MIN(MAX(L789,0),'P-Parametri'!$B$8*(L789+K789)))</f>
        <v>330190.33843591867</v>
      </c>
      <c r="O789" s="18">
        <f>IF($A789&gt;'1-Input'!$B$26,O788,O788-J789*(1-I789))</f>
        <v>207269.91809578202</v>
      </c>
      <c r="P789" s="11">
        <f>IF($A789&gt;'1-Input'!$B$26,0,IF(U788&lt;=0,0,MAX(0,(U788-V788)/U788)))</f>
        <v>0.34873883930692506</v>
      </c>
      <c r="Q789" s="18">
        <f>IF($A789&gt;'1-Input'!$B$26,0,(MAX(0,P781-IF($A789&gt;='1-Input'!$C$12,'1-Input'!$B$12,0))-MIN(MAX(T788,0),MAX(0,P781-IF($A789&gt;='1-Input'!$C$12,'1-Input'!$B$12,0))))*(1/(1-'P-Parametri'!$B$6*P789))+MIN(MAX(0,U788-(MAX(0,P781-IF($A789&gt;='1-Input'!$C$12,'1-Input'!$B$12,0))-MIN(MAX(T788,0),MAX(0,P781-IF($A789&gt;='1-Input'!$C$12,'1-Input'!$B$12,0))))*(1/(1-'P-Parametri'!$B$6*P789))),MAX(0,2*P781-(T788-MIN(MAX(T788,0),MAX(0,P781-IF($A789&gt;='1-Input'!$C$12,'1-Input'!$B$12,0)))))*(1/(1-'P-Parametri'!$B$6*P789))))</f>
        <v>21981.438031934089</v>
      </c>
      <c r="R789" s="18">
        <f>IF($A789&gt;'1-Input'!$B$26,T788,(T788-MAX(0,P781-IF($A789&gt;='1-Input'!$C$12,'1-Input'!$B$12,0))+Q789*(1-'P-Parametri'!$B$6*P789))*(1+'1-Input'!$B$27))</f>
        <v>39548.00817705485</v>
      </c>
      <c r="S789" s="18">
        <f>IF($A789&gt;'1-Input'!$B$26,U788,(U788-Q789)*(1+$D$4))</f>
        <v>351921.3856510378</v>
      </c>
      <c r="T789" s="18">
        <f>IF($A789&gt;'1-Input'!$B$26,R789,R789-'P-Parametri'!$B$8*(S789+R789)+MIN(MAX(S789,0),'P-Parametri'!$B$8*(S789+R789)))</f>
        <v>39548.00817705485</v>
      </c>
      <c r="U789" s="18">
        <f>IF($A789&gt;'1-Input'!$B$26,S789,S789-MIN(MAX(S789,0),'P-Parametri'!$B$8*(S789+R789)))</f>
        <v>351138.4468633816</v>
      </c>
      <c r="V789" s="18">
        <f>IF($A789&gt;'1-Input'!$B$26,V788,V788-Q789*(1-P789))</f>
        <v>220377.62508827893</v>
      </c>
      <c r="W789" s="11">
        <f>IF($A789&gt;'1-Input'!$B$26,0,IF(AB788&lt;=0,0,MAX(0,(AB788-AC788)/AB788)))</f>
        <v>0.34875811098392651</v>
      </c>
      <c r="X789" s="18">
        <f>IF($A789&gt;'1-Input'!$B$26,0,(MAX(0,W781-IF($A789&gt;='1-Input'!$C$12,'1-Input'!$B$12,0))-MIN(MAX(AA788,0),MAX(0,W781-IF($A789&gt;='1-Input'!$C$12,'1-Input'!$B$12,0))))*(1/(1-'P-Parametri'!$B$6*W789))+MIN(MAX(0,AB788-(MAX(0,W781-IF($A789&gt;='1-Input'!$C$12,'1-Input'!$B$12,0))-MIN(MAX(AA788,0),MAX(0,W781-IF($A789&gt;='1-Input'!$C$12,'1-Input'!$B$12,0))))*(1/(1-'P-Parametri'!$B$6*W789))),MAX(0,2*W781-(AA788-MIN(MAX(AA788,0),MAX(0,W781-IF($A789&gt;='1-Input'!$C$12,'1-Input'!$B$12,0)))))*(1/(1-'P-Parametri'!$B$6*W789))))</f>
        <v>21505.619940453606</v>
      </c>
      <c r="Y789" s="18">
        <f>IF($A789&gt;'1-Input'!$B$26,AA788,(AA788-MAX(0,W781-IF($A789&gt;='1-Input'!$C$12,'1-Input'!$B$12,0))+X789*(1-'P-Parametri'!$B$6*W789))*(1+'1-Input'!$B$27))</f>
        <v>38691.724605045303</v>
      </c>
      <c r="Z789" s="18">
        <f>IF($A789&gt;'1-Input'!$B$26,AB788,(AB788-X789)*(1+$D$4))</f>
        <v>356207.83515109372</v>
      </c>
      <c r="AA789" s="18">
        <f>IF($A789&gt;'1-Input'!$B$26,Y789,Y789-'P-Parametri'!$B$8*(Z789+Y789)+MIN(MAX(Z789,0),'P-Parametri'!$B$8*(Z789+Y789)))</f>
        <v>38691.724605045303</v>
      </c>
      <c r="AB789" s="18">
        <f>IF($A789&gt;'1-Input'!$B$26,Z789,Z789-MIN(MAX(Z789,0),'P-Parametri'!$B$8*(Z789+Y789)))</f>
        <v>355418.03603158146</v>
      </c>
      <c r="AC789" s="18">
        <f>IF($A789&gt;'1-Input'!$B$26,AC788,AC788-X789*(1-W789))</f>
        <v>223055.25331358111</v>
      </c>
      <c r="AD789" s="11">
        <f>IF($A789&gt;'1-Input'!$B$26,0,IF(AI788&lt;=0,0,MAX(0,(AI788-AJ788)/AI788)))</f>
        <v>0.34875898348650042</v>
      </c>
      <c r="AE789" s="18">
        <f>IF($A789&gt;'1-Input'!$B$26,0,(MAX(0,AD781-IF($A789&gt;='1-Input'!$C$12,'1-Input'!$B$12,0))-MIN(MAX(AH788,0),MAX(0,AD781-IF($A789&gt;='1-Input'!$C$12,'1-Input'!$B$12,0))))*(1/(1-'P-Parametri'!$B$6*AD789))+MIN(MAX(0,AI788-(MAX(0,AD781-IF($A789&gt;='1-Input'!$C$12,'1-Input'!$B$12,0))-MIN(MAX(AH788,0),MAX(0,AD781-IF($A789&gt;='1-Input'!$C$12,'1-Input'!$B$12,0))))*(1/(1-'P-Parametri'!$B$6*AD789))),MAX(0,2*AD781-(AH788-MIN(MAX(AH788,0),MAX(0,AD781-IF($A789&gt;='1-Input'!$C$12,'1-Input'!$B$12,0)))))*(1/(1-'P-Parametri'!$B$6*AD789))))</f>
        <v>21483.921795311831</v>
      </c>
      <c r="AF789" s="18">
        <f>IF($A789&gt;'1-Input'!$B$26,AH788,(AH788-MAX(0,AD781-IF($A789&gt;='1-Input'!$C$12,'1-Input'!$B$12,0))+AE789*(1-'P-Parametri'!$B$6*AD789))*(1+'1-Input'!$B$27))</f>
        <v>38652.676856956641</v>
      </c>
      <c r="AG789" s="18">
        <f>IF($A789&gt;'1-Input'!$B$26,AI788,(AI788-AE789)*(1+$D$4))</f>
        <v>356403.30384340783</v>
      </c>
      <c r="AH789" s="18">
        <f>IF($A789&gt;'1-Input'!$B$26,AF789,AF789-'P-Parametri'!$B$8*(AG789+AF789)+MIN(MAX(AG789,0),'P-Parametri'!$B$8*(AG789+AF789)))</f>
        <v>38652.676856956641</v>
      </c>
      <c r="AI789" s="18">
        <f>IF($A789&gt;'1-Input'!$B$26,AG789,AG789-MIN(MAX(AG789,0),'P-Parametri'!$B$8*(AG789+AF789)))</f>
        <v>355613.19188200712</v>
      </c>
      <c r="AJ789" s="18">
        <f>IF($A789&gt;'1-Input'!$B$26,AJ788,AJ788-AE789*(1-AD789))</f>
        <v>223177.35565745248</v>
      </c>
      <c r="AK789" s="11">
        <f>IF($A789&gt;'1-Input'!$B$26,0,IF(AP788&lt;=0,0,MAX(0,(AP788-AQ788)/AP788)))</f>
        <v>0.34875897407502204</v>
      </c>
      <c r="AL789" s="18">
        <f>IF($A789&gt;'1-Input'!$B$26,0,(MAX(0,AK781-IF($A789&gt;='1-Input'!$C$12,'1-Input'!$B$12,0))-MIN(MAX(AO788,0),MAX(0,AK781-IF($A789&gt;='1-Input'!$C$12,'1-Input'!$B$12,0))))*(1/(1-'P-Parametri'!$B$6*AK789))+MIN(MAX(0,AP788-(MAX(0,AK781-IF($A789&gt;='1-Input'!$C$12,'1-Input'!$B$12,0))-MIN(MAX(AO788,0),MAX(0,AK781-IF($A789&gt;='1-Input'!$C$12,'1-Input'!$B$12,0))))*(1/(1-'P-Parametri'!$B$6*AK789))),MAX(0,2*AK781-(AO788-MIN(MAX(AO788,0),MAX(0,AK781-IF($A789&gt;='1-Input'!$C$12,'1-Input'!$B$12,0)))))*(1/(1-'P-Parametri'!$B$6*AK789))))</f>
        <v>21484.155920637491</v>
      </c>
      <c r="AM789" s="18">
        <f>IF($A789&gt;'1-Input'!$B$26,AO788,(AO788-MAX(0,AK781-IF($A789&gt;='1-Input'!$C$12,'1-Input'!$B$12,0))+AL789*(1-'P-Parametri'!$B$6*AK789))*(1+'1-Input'!$B$27))</f>
        <v>38653.098186232593</v>
      </c>
      <c r="AN789" s="18">
        <f>IF($A789&gt;'1-Input'!$B$26,AP788,(AP788-AL789)*(1+$D$4))</f>
        <v>356401.19471559103</v>
      </c>
      <c r="AO789" s="18">
        <f>IF($A789&gt;'1-Input'!$B$26,AM789,AM789-'P-Parametri'!$B$8*(AN789+AM789)+MIN(MAX(AN789,0),'P-Parametri'!$B$8*(AN789+AM789)))</f>
        <v>38653.098186232593</v>
      </c>
      <c r="AP789" s="18">
        <f>IF($A789&gt;'1-Input'!$B$26,AN789,AN789-MIN(MAX(AN789,0),'P-Parametri'!$B$8*(AN789+AM789)))</f>
        <v>355611.08612978738</v>
      </c>
      <c r="AQ789" s="18">
        <f>IF($A789&gt;'1-Input'!$B$26,AQ788,AQ788-AL789*(1-AK789))</f>
        <v>223176.03816102821</v>
      </c>
    </row>
    <row r="790" spans="1:43">
      <c r="A790" s="10">
        <f>7</f>
        <v>7</v>
      </c>
      <c r="B790" s="11">
        <f>IF($A790&gt;'1-Input'!$B$26,0,IF(G789&lt;=0,0,MAX(0,(G789-H789)/G789)))</f>
        <v>0.37255444895830897</v>
      </c>
      <c r="C790" s="18">
        <f>IF($A790&gt;'1-Input'!$B$26,0,(MAX(0,B781-IF($A790&gt;='1-Input'!$C$12,'1-Input'!$B$12,0))-MIN(MAX(F789,0),MAX(0,B781-IF($A790&gt;='1-Input'!$C$12,'1-Input'!$B$12,0))))*(1/(1-'P-Parametri'!$B$6*B790))+MIN(MAX(0,G789-(MAX(0,B781-IF($A790&gt;='1-Input'!$C$12,'1-Input'!$B$12,0))-MIN(MAX(F789,0),MAX(0,B781-IF($A790&gt;='1-Input'!$C$12,'1-Input'!$B$12,0))))*(1/(1-'P-Parametri'!$B$6*B790))),MAX(0,2*B781-(F789-MIN(MAX(F789,0),MAX(0,B781-IF($A790&gt;='1-Input'!$C$12,'1-Input'!$B$12,0)))))*(1/(1-'P-Parametri'!$B$6*B790))))</f>
        <v>18603.135993410728</v>
      </c>
      <c r="D790" s="18">
        <f>IF($A790&gt;'1-Input'!$B$26,F789,(F789-MAX(0,B781-IF($A790&gt;='1-Input'!$C$12,'1-Input'!$B$12,0))+C790*(1-'P-Parametri'!$B$6*B790))*(1+'1-Input'!$B$27))</f>
        <v>33242.0070309863</v>
      </c>
      <c r="E790" s="18">
        <f>IF($A790&gt;'1-Input'!$B$26,G789,(G789-C790)*(1+$D$4))</f>
        <v>378614.41751820862</v>
      </c>
      <c r="F790" s="18">
        <f>IF($A790&gt;'1-Input'!$B$26,D790,D790-'P-Parametri'!$B$8*(E790+D790)+MIN(MAX(E790,0),'P-Parametri'!$B$8*(E790+D790)))</f>
        <v>33242.0070309863</v>
      </c>
      <c r="G790" s="18">
        <f>IF($A790&gt;'1-Input'!$B$26,E790,E790-MIN(MAX(E790,0),'P-Parametri'!$B$8*(E790+D790)))</f>
        <v>377790.70466911024</v>
      </c>
      <c r="H790" s="18">
        <f>IF($A790&gt;'1-Input'!$B$26,H789,H789-C790*(1-B790))</f>
        <v>228423.01137696274</v>
      </c>
      <c r="I790" s="11">
        <f>IF($A790&gt;'1-Input'!$B$26,0,IF(N789&lt;=0,0,MAX(0,(N789-O789)/N789)))</f>
        <v>0.37227140237476181</v>
      </c>
      <c r="J790" s="18">
        <f>IF($A790&gt;'1-Input'!$B$26,0,(MAX(0,I781-IF($A790&gt;='1-Input'!$C$12,'1-Input'!$B$12,0))-MIN(MAX(M789,0),MAX(0,I781-IF($A790&gt;='1-Input'!$C$12,'1-Input'!$B$12,0))))*(1/(1-'P-Parametri'!$B$6*I790))+MIN(MAX(0,N789-(MAX(0,I781-IF($A790&gt;='1-Input'!$C$12,'1-Input'!$B$12,0))-MIN(MAX(M789,0),MAX(0,I781-IF($A790&gt;='1-Input'!$C$12,'1-Input'!$B$12,0))))*(1/(1-'P-Parametri'!$B$6*I790))),MAX(0,2*I781-(M789-MIN(MAX(M789,0),MAX(0,I781-IF($A790&gt;='1-Input'!$C$12,'1-Input'!$B$12,0)))))*(1/(1-'P-Parametri'!$B$6*I790))))</f>
        <v>24475.816103398283</v>
      </c>
      <c r="K790" s="18">
        <f>IF($A790&gt;'1-Input'!$B$26,M789,(M789-MAX(0,I781-IF($A790&gt;='1-Input'!$C$12,'1-Input'!$B$12,0))+J790*(1-'P-Parametri'!$B$6*I790))*(1+'1-Input'!$B$27))</f>
        <v>43739.482935508291</v>
      </c>
      <c r="L790" s="18">
        <f>IF($A790&gt;'1-Input'!$B$26,N789,(N789-J790)*(1+$D$4))</f>
        <v>317943.10322582122</v>
      </c>
      <c r="M790" s="18">
        <f>IF($A790&gt;'1-Input'!$B$26,K790,K790-'P-Parametri'!$B$8*(L790+K790)+MIN(MAX(L790,0),'P-Parametri'!$B$8*(L790+K790)))</f>
        <v>43739.482935508291</v>
      </c>
      <c r="N790" s="18">
        <f>IF($A790&gt;'1-Input'!$B$26,L790,L790-MIN(MAX(L790,0),'P-Parametri'!$B$8*(L790+K790)))</f>
        <v>317219.73805349856</v>
      </c>
      <c r="O790" s="18">
        <f>IF($A790&gt;'1-Input'!$B$26,O789,O789-J790*(1-I790))</f>
        <v>191905.74837746259</v>
      </c>
      <c r="P790" s="11">
        <f>IF($A790&gt;'1-Input'!$B$26,0,IF(U789&lt;=0,0,MAX(0,(U789-V789)/U789)))</f>
        <v>0.3723910695144646</v>
      </c>
      <c r="Q790" s="18">
        <f>IF($A790&gt;'1-Input'!$B$26,0,(MAX(0,P781-IF($A790&gt;='1-Input'!$C$12,'1-Input'!$B$12,0))-MIN(MAX(T789,0),MAX(0,P781-IF($A790&gt;='1-Input'!$C$12,'1-Input'!$B$12,0))))*(1/(1-'P-Parametri'!$B$6*P790))+MIN(MAX(0,U789-(MAX(0,P781-IF($A790&gt;='1-Input'!$C$12,'1-Input'!$B$12,0))-MIN(MAX(T789,0),MAX(0,P781-IF($A790&gt;='1-Input'!$C$12,'1-Input'!$B$12,0))))*(1/(1-'P-Parametri'!$B$6*P790))),MAX(0,2*P781-(T789-MIN(MAX(T789,0),MAX(0,P781-IF($A790&gt;='1-Input'!$C$12,'1-Input'!$B$12,0)))))*(1/(1-'P-Parametri'!$B$6*P790))))</f>
        <v>22131.10571682045</v>
      </c>
      <c r="R790" s="18">
        <f>IF($A790&gt;'1-Input'!$B$26,T789,(T789-MAX(0,P781-IF($A790&gt;='1-Input'!$C$12,'1-Input'!$B$12,0))+Q790*(1-'P-Parametri'!$B$6*P790))*(1+'1-Input'!$B$27))</f>
        <v>39548.008177054842</v>
      </c>
      <c r="S790" s="18">
        <f>IF($A790&gt;'1-Input'!$B$26,U789,(U789-Q790)*(1+$D$4))</f>
        <v>342167.63479242357</v>
      </c>
      <c r="T790" s="18">
        <f>IF($A790&gt;'1-Input'!$B$26,R790,R790-'P-Parametri'!$B$8*(S790+R790)+MIN(MAX(S790,0),'P-Parametri'!$B$8*(S790+R790)))</f>
        <v>39548.008177054842</v>
      </c>
      <c r="U790" s="18">
        <f>IF($A790&gt;'1-Input'!$B$26,S790,S790-MIN(MAX(S790,0),'P-Parametri'!$B$8*(S790+R790)))</f>
        <v>341404.20350648463</v>
      </c>
      <c r="V790" s="18">
        <f>IF($A790&gt;'1-Input'!$B$26,V789,V789-Q790*(1-P790))</f>
        <v>206487.94549888294</v>
      </c>
      <c r="W790" s="11">
        <f>IF($A790&gt;'1-Input'!$B$26,0,IF(AB789&lt;=0,0,MAX(0,(AB789-AC789)/AB789)))</f>
        <v>0.37241436646236759</v>
      </c>
      <c r="X790" s="18">
        <f>IF($A790&gt;'1-Input'!$B$26,0,(MAX(0,W781-IF($A790&gt;='1-Input'!$C$12,'1-Input'!$B$12,0))-MIN(MAX(AA789,0),MAX(0,W781-IF($A790&gt;='1-Input'!$C$12,'1-Input'!$B$12,0))))*(1/(1-'P-Parametri'!$B$6*W790))+MIN(MAX(0,AB789-(MAX(0,W781-IF($A790&gt;='1-Input'!$C$12,'1-Input'!$B$12,0))-MIN(MAX(AA789,0),MAX(0,W781-IF($A790&gt;='1-Input'!$C$12,'1-Input'!$B$12,0))))*(1/(1-'P-Parametri'!$B$6*W790))),MAX(0,2*W781-(AA789-MIN(MAX(AA789,0),MAX(0,W781-IF($A790&gt;='1-Input'!$C$12,'1-Input'!$B$12,0)))))*(1/(1-'P-Parametri'!$B$6*W790))))</f>
        <v>21652.073767088528</v>
      </c>
      <c r="Y790" s="18">
        <f>IF($A790&gt;'1-Input'!$B$26,AA789,(AA789-MAX(0,W781-IF($A790&gt;='1-Input'!$C$12,'1-Input'!$B$12,0))+X790*(1-'P-Parametri'!$B$6*W790))*(1+'1-Input'!$B$27))</f>
        <v>38691.724605045303</v>
      </c>
      <c r="Z790" s="18">
        <f>IF($A790&gt;'1-Input'!$B$26,AB789,(AB789-X790)*(1+$D$4))</f>
        <v>347116.60075507266</v>
      </c>
      <c r="AA790" s="18">
        <f>IF($A790&gt;'1-Input'!$B$26,Y790,Y790-'P-Parametri'!$B$8*(Z790+Y790)+MIN(MAX(Z790,0),'P-Parametri'!$B$8*(Z790+Y790)))</f>
        <v>38691.724605045303</v>
      </c>
      <c r="AB790" s="18">
        <f>IF($A790&gt;'1-Input'!$B$26,Z790,Z790-MIN(MAX(Z790,0),'P-Parametri'!$B$8*(Z790+Y790)))</f>
        <v>346344.98410435242</v>
      </c>
      <c r="AC790" s="18">
        <f>IF($A790&gt;'1-Input'!$B$26,AC789,AC789-X790*(1-W790))</f>
        <v>209466.72288105931</v>
      </c>
      <c r="AD790" s="11">
        <f>IF($A790&gt;'1-Input'!$B$26,0,IF(AI789&lt;=0,0,MAX(0,(AI789-AJ789)/AI789)))</f>
        <v>0.37241542003452166</v>
      </c>
      <c r="AE790" s="18">
        <f>IF($A790&gt;'1-Input'!$B$26,0,(MAX(0,AD781-IF($A790&gt;='1-Input'!$C$12,'1-Input'!$B$12,0))-MIN(MAX(AH789,0),MAX(0,AD781-IF($A790&gt;='1-Input'!$C$12,'1-Input'!$B$12,0))))*(1/(1-'P-Parametri'!$B$6*AD790))+MIN(MAX(0,AI789-(MAX(0,AD781-IF($A790&gt;='1-Input'!$C$12,'1-Input'!$B$12,0))-MIN(MAX(AH789,0),MAX(0,AD781-IF($A790&gt;='1-Input'!$C$12,'1-Input'!$B$12,0))))*(1/(1-'P-Parametri'!$B$6*AD790))),MAX(0,2*AD781-(AH789-MIN(MAX(AH789,0),MAX(0,AD781-IF($A790&gt;='1-Input'!$C$12,'1-Input'!$B$12,0)))))*(1/(1-'P-Parametri'!$B$6*AD790))))</f>
        <v>21630.229021248015</v>
      </c>
      <c r="AF790" s="18">
        <f>IF($A790&gt;'1-Input'!$B$26,AH789,(AH789-MAX(0,AD781-IF($A790&gt;='1-Input'!$C$12,'1-Input'!$B$12,0))+AE790*(1-'P-Parametri'!$B$6*AD790))*(1+'1-Input'!$B$27))</f>
        <v>38652.676856956641</v>
      </c>
      <c r="AG790" s="18">
        <f>IF($A790&gt;'1-Input'!$B$26,AI789,(AI789-AE790)*(1+$D$4))</f>
        <v>347342.28137518949</v>
      </c>
      <c r="AH790" s="18">
        <f>IF($A790&gt;'1-Input'!$B$26,AF790,AF790-'P-Parametri'!$B$8*(AG790+AF790)+MIN(MAX(AG790,0),'P-Parametri'!$B$8*(AG790+AF790)))</f>
        <v>38652.676856956641</v>
      </c>
      <c r="AI790" s="18">
        <f>IF($A790&gt;'1-Input'!$B$26,AG790,AG790-MIN(MAX(AG790,0),'P-Parametri'!$B$8*(AG790+AF790)))</f>
        <v>346570.29145872517</v>
      </c>
      <c r="AJ790" s="18">
        <f>IF($A790&gt;'1-Input'!$B$26,AJ789,AJ789-AE790*(1-AD790))</f>
        <v>209602.55746259546</v>
      </c>
      <c r="AK790" s="11">
        <f>IF($A790&gt;'1-Input'!$B$26,0,IF(AP789&lt;=0,0,MAX(0,(AP789-AQ789)/AP789)))</f>
        <v>0.372415408670427</v>
      </c>
      <c r="AL790" s="18">
        <f>IF($A790&gt;'1-Input'!$B$26,0,(MAX(0,AK781-IF($A790&gt;='1-Input'!$C$12,'1-Input'!$B$12,0))-MIN(MAX(AO789,0),MAX(0,AK781-IF($A790&gt;='1-Input'!$C$12,'1-Input'!$B$12,0))))*(1/(1-'P-Parametri'!$B$6*AK790))+MIN(MAX(0,AP789-(MAX(0,AK781-IF($A790&gt;='1-Input'!$C$12,'1-Input'!$B$12,0))-MIN(MAX(AO789,0),MAX(0,AK781-IF($A790&gt;='1-Input'!$C$12,'1-Input'!$B$12,0))))*(1/(1-'P-Parametri'!$B$6*AK790))),MAX(0,2*AK781-(AO789-MIN(MAX(AO789,0),MAX(0,AK781-IF($A790&gt;='1-Input'!$C$12,'1-Input'!$B$12,0)))))*(1/(1-'P-Parametri'!$B$6*AK790))))</f>
        <v>21630.464728430812</v>
      </c>
      <c r="AM790" s="18">
        <f>IF($A790&gt;'1-Input'!$B$26,AO789,(AO789-MAX(0,AK781-IF($A790&gt;='1-Input'!$C$12,'1-Input'!$B$12,0))+AL790*(1-'P-Parametri'!$B$6*AK790))*(1+'1-Input'!$B$27))</f>
        <v>38653.098186232593</v>
      </c>
      <c r="AN790" s="18">
        <f>IF($A790&gt;'1-Input'!$B$26,AP789,(AP789-AL790)*(1+$D$4))</f>
        <v>347339.84625741089</v>
      </c>
      <c r="AO790" s="18">
        <f>IF($A790&gt;'1-Input'!$B$26,AM790,AM790-'P-Parametri'!$B$8*(AN790+AM790)+MIN(MAX(AN790,0),'P-Parametri'!$B$8*(AN790+AM790)))</f>
        <v>38653.098186232593</v>
      </c>
      <c r="AP790" s="18">
        <f>IF($A790&gt;'1-Input'!$B$26,AN790,AN790-MIN(MAX(AN790,0),'P-Parametri'!$B$8*(AN790+AM790)))</f>
        <v>346567.86036852357</v>
      </c>
      <c r="AQ790" s="18">
        <f>IF($A790&gt;'1-Input'!$B$26,AQ789,AQ789-AL790*(1-AK790))</f>
        <v>209601.09179416721</v>
      </c>
    </row>
    <row r="791" spans="1:43">
      <c r="A791" s="10">
        <f>8</f>
        <v>8</v>
      </c>
      <c r="B791" s="11">
        <f>IF($A791&gt;'1-Input'!$B$26,0,IF(G790&lt;=0,0,MAX(0,(G790-H790)/G790)))</f>
        <v>0.39537154156021892</v>
      </c>
      <c r="C791" s="18">
        <f>IF($A791&gt;'1-Input'!$B$26,0,(MAX(0,B781-IF($A791&gt;='1-Input'!$C$12,'1-Input'!$B$12,0))-MIN(MAX(F790,0),MAX(0,B781-IF($A791&gt;='1-Input'!$C$12,'1-Input'!$B$12,0))))*(1/(1-'P-Parametri'!$B$6*B791))+MIN(MAX(0,G790-(MAX(0,B781-IF($A791&gt;='1-Input'!$C$12,'1-Input'!$B$12,0))-MIN(MAX(F790,0),MAX(0,B781-IF($A791&gt;='1-Input'!$C$12,'1-Input'!$B$12,0))))*(1/(1-'P-Parametri'!$B$6*B791))),MAX(0,2*B781-(F790-MIN(MAX(F790,0),MAX(0,B781-IF($A791&gt;='1-Input'!$C$12,'1-Input'!$B$12,0)))))*(1/(1-'P-Parametri'!$B$6*B791))))</f>
        <v>18726.142731935648</v>
      </c>
      <c r="D791" s="18">
        <f>IF($A791&gt;'1-Input'!$B$26,F790,(F790-MAX(0,B781-IF($A791&gt;='1-Input'!$C$12,'1-Input'!$B$12,0))+C791*(1-'P-Parametri'!$B$6*B791))*(1+'1-Input'!$B$27))</f>
        <v>33242.0070309863</v>
      </c>
      <c r="E791" s="18">
        <f>IF($A791&gt;'1-Input'!$B$26,G790,(G790-C791)*(1+$D$4))</f>
        <v>373427.14441466157</v>
      </c>
      <c r="F791" s="18">
        <f>IF($A791&gt;'1-Input'!$B$26,D791,D791-'P-Parametri'!$B$8*(E791+D791)+MIN(MAX(E791,0),'P-Parametri'!$B$8*(E791+D791)))</f>
        <v>33242.0070309863</v>
      </c>
      <c r="G791" s="18">
        <f>IF($A791&gt;'1-Input'!$B$26,E791,E791-MIN(MAX(E791,0),'P-Parametri'!$B$8*(E791+D791)))</f>
        <v>372613.80611177027</v>
      </c>
      <c r="H791" s="18">
        <f>IF($A791&gt;'1-Input'!$B$26,H790,H790-C791*(1-B791))</f>
        <v>217100.65256442918</v>
      </c>
      <c r="I791" s="11">
        <f>IF($A791&gt;'1-Input'!$B$26,0,IF(N790&lt;=0,0,MAX(0,(N790-O790)/N790)))</f>
        <v>0.39503843753537804</v>
      </c>
      <c r="J791" s="18">
        <f>IF($A791&gt;'1-Input'!$B$26,0,(MAX(0,I781-IF($A791&gt;='1-Input'!$C$12,'1-Input'!$B$12,0))-MIN(MAX(M790,0),MAX(0,I781-IF($A791&gt;='1-Input'!$C$12,'1-Input'!$B$12,0))))*(1/(1-'P-Parametri'!$B$6*I791))+MIN(MAX(0,N790-(MAX(0,I781-IF($A791&gt;='1-Input'!$C$12,'1-Input'!$B$12,0))-MIN(MAX(M790,0),MAX(0,I781-IF($A791&gt;='1-Input'!$C$12,'1-Input'!$B$12,0))))*(1/(1-'P-Parametri'!$B$6*I791))),MAX(0,2*I781-(M790-MIN(MAX(M790,0),MAX(0,I781-IF($A791&gt;='1-Input'!$C$12,'1-Input'!$B$12,0)))))*(1/(1-'P-Parametri'!$B$6*I791))))</f>
        <v>24637.28325237257</v>
      </c>
      <c r="K791" s="18">
        <f>IF($A791&gt;'1-Input'!$B$26,M790,(M790-MAX(0,I781-IF($A791&gt;='1-Input'!$C$12,'1-Input'!$B$12,0))+J791*(1-'P-Parametri'!$B$6*I791))*(1+'1-Input'!$B$27))</f>
        <v>43739.482935508291</v>
      </c>
      <c r="L791" s="18">
        <f>IF($A791&gt;'1-Input'!$B$26,N790,(N790-J791)*(1+$D$4))</f>
        <v>304285.75299317105</v>
      </c>
      <c r="M791" s="18">
        <f>IF($A791&gt;'1-Input'!$B$26,K791,K791-'P-Parametri'!$B$8*(L791+K791)+MIN(MAX(L791,0),'P-Parametri'!$B$8*(L791+K791)))</f>
        <v>43739.482935508291</v>
      </c>
      <c r="N791" s="18">
        <f>IF($A791&gt;'1-Input'!$B$26,L791,L791-MIN(MAX(L791,0),'P-Parametri'!$B$8*(L791+K791)))</f>
        <v>303589.70252131368</v>
      </c>
      <c r="O791" s="18">
        <f>IF($A791&gt;'1-Input'!$B$26,O790,O790-J791*(1-I791))</f>
        <v>177001.13900622382</v>
      </c>
      <c r="P791" s="11">
        <f>IF($A791&gt;'1-Input'!$B$26,0,IF(U790&lt;=0,0,MAX(0,(U790-V790)/U790)))</f>
        <v>0.39518042432374179</v>
      </c>
      <c r="Q791" s="18">
        <f>IF($A791&gt;'1-Input'!$B$26,0,(MAX(0,P781-IF($A791&gt;='1-Input'!$C$12,'1-Input'!$B$12,0))-MIN(MAX(T790,0),MAX(0,P781-IF($A791&gt;='1-Input'!$C$12,'1-Input'!$B$12,0))))*(1/(1-'P-Parametri'!$B$6*P791))+MIN(MAX(0,U790-(MAX(0,P781-IF($A791&gt;='1-Input'!$C$12,'1-Input'!$B$12,0))-MIN(MAX(T790,0),MAX(0,P781-IF($A791&gt;='1-Input'!$C$12,'1-Input'!$B$12,0))))*(1/(1-'P-Parametri'!$B$6*P791))),MAX(0,2*P781-(T790-MIN(MAX(T790,0),MAX(0,P781-IF($A791&gt;='1-Input'!$C$12,'1-Input'!$B$12,0)))))*(1/(1-'P-Parametri'!$B$6*P791))))</f>
        <v>22277.253936134988</v>
      </c>
      <c r="R791" s="18">
        <f>IF($A791&gt;'1-Input'!$B$26,T790,(T790-MAX(0,P781-IF($A791&gt;='1-Input'!$C$12,'1-Input'!$B$12,0))+Q791*(1-'P-Parametri'!$B$6*P791))*(1+'1-Input'!$B$27))</f>
        <v>39548.008177054842</v>
      </c>
      <c r="S791" s="18">
        <f>IF($A791&gt;'1-Input'!$B$26,U790,(U790-Q791)*(1+$D$4))</f>
        <v>331892.02755316364</v>
      </c>
      <c r="T791" s="18">
        <f>IF($A791&gt;'1-Input'!$B$26,R791,R791-'P-Parametri'!$B$8*(S791+R791)+MIN(MAX(S791,0),'P-Parametri'!$B$8*(S791+R791)))</f>
        <v>39548.008177054842</v>
      </c>
      <c r="U791" s="18">
        <f>IF($A791&gt;'1-Input'!$B$26,S791,S791-MIN(MAX(S791,0),'P-Parametri'!$B$8*(S791+R791)))</f>
        <v>331149.1474817032</v>
      </c>
      <c r="V791" s="18">
        <f>IF($A791&gt;'1-Input'!$B$26,V790,V790-Q791*(1-P791))</f>
        <v>193014.22622599753</v>
      </c>
      <c r="W791" s="11">
        <f>IF($A791&gt;'1-Input'!$B$26,0,IF(AB790&lt;=0,0,MAX(0,(AB790-AC790)/AB790)))</f>
        <v>0.39520786356199172</v>
      </c>
      <c r="X791" s="18">
        <f>IF($A791&gt;'1-Input'!$B$26,0,(MAX(0,W781-IF($A791&gt;='1-Input'!$C$12,'1-Input'!$B$12,0))-MIN(MAX(AA790,0),MAX(0,W781-IF($A791&gt;='1-Input'!$C$12,'1-Input'!$B$12,0))))*(1/(1-'P-Parametri'!$B$6*W791))+MIN(MAX(0,AB790-(MAX(0,W781-IF($A791&gt;='1-Input'!$C$12,'1-Input'!$B$12,0))-MIN(MAX(AA790,0),MAX(0,W781-IF($A791&gt;='1-Input'!$C$12,'1-Input'!$B$12,0))))*(1/(1-'P-Parametri'!$B$6*W791))),MAX(0,2*W781-(AA790-MIN(MAX(AA790,0),MAX(0,W781-IF($A791&gt;='1-Input'!$C$12,'1-Input'!$B$12,0)))))*(1/(1-'P-Parametri'!$B$6*W791))))</f>
        <v>21795.085707321887</v>
      </c>
      <c r="Y791" s="18">
        <f>IF($A791&gt;'1-Input'!$B$26,AA790,(AA790-MAX(0,W781-IF($A791&gt;='1-Input'!$C$12,'1-Input'!$B$12,0))+X791*(1-'P-Parametri'!$B$6*W791))*(1+'1-Input'!$B$27))</f>
        <v>38691.724605045303</v>
      </c>
      <c r="Z791" s="18">
        <f>IF($A791&gt;'1-Input'!$B$26,AB790,(AB790-X791)*(1+$D$4))</f>
        <v>337531.89433291176</v>
      </c>
      <c r="AA791" s="18">
        <f>IF($A791&gt;'1-Input'!$B$26,Y791,Y791-'P-Parametri'!$B$8*(Z791+Y791)+MIN(MAX(Z791,0),'P-Parametri'!$B$8*(Z791+Y791)))</f>
        <v>38691.724605045303</v>
      </c>
      <c r="AB791" s="18">
        <f>IF($A791&gt;'1-Input'!$B$26,Z791,Z791-MIN(MAX(Z791,0),'P-Parametri'!$B$8*(Z791+Y791)))</f>
        <v>336779.44709503587</v>
      </c>
      <c r="AC791" s="18">
        <f>IF($A791&gt;'1-Input'!$B$26,AC790,AC790-X791*(1-W791))</f>
        <v>196285.22643227861</v>
      </c>
      <c r="AD791" s="11">
        <f>IF($A791&gt;'1-Input'!$B$26,0,IF(AI790&lt;=0,0,MAX(0,(AI790-AJ790)/AI790)))</f>
        <v>0.39520910294886569</v>
      </c>
      <c r="AE791" s="18">
        <f>IF($A791&gt;'1-Input'!$B$26,0,(MAX(0,AD781-IF($A791&gt;='1-Input'!$C$12,'1-Input'!$B$12,0))-MIN(MAX(AH790,0),MAX(0,AD781-IF($A791&gt;='1-Input'!$C$12,'1-Input'!$B$12,0))))*(1/(1-'P-Parametri'!$B$6*AD791))+MIN(MAX(0,AI790-(MAX(0,AD781-IF($A791&gt;='1-Input'!$C$12,'1-Input'!$B$12,0))-MIN(MAX(AH790,0),MAX(0,AD781-IF($A791&gt;='1-Input'!$C$12,'1-Input'!$B$12,0))))*(1/(1-'P-Parametri'!$B$6*AD791))),MAX(0,2*AD781-(AH790-MIN(MAX(AH790,0),MAX(0,AD781-IF($A791&gt;='1-Input'!$C$12,'1-Input'!$B$12,0)))))*(1/(1-'P-Parametri'!$B$6*AD791))))</f>
        <v>21773.097892923164</v>
      </c>
      <c r="AF791" s="18">
        <f>IF($A791&gt;'1-Input'!$B$26,AH790,(AH790-MAX(0,AD781-IF($A791&gt;='1-Input'!$C$12,'1-Input'!$B$12,0))+AE791*(1-'P-Parametri'!$B$6*AD791))*(1+'1-Input'!$B$27))</f>
        <v>38652.676856956641</v>
      </c>
      <c r="AG791" s="18">
        <f>IF($A791&gt;'1-Input'!$B$26,AI790,(AI790-AE791)*(1+$D$4))</f>
        <v>337789.08130843408</v>
      </c>
      <c r="AH791" s="18">
        <f>IF($A791&gt;'1-Input'!$B$26,AF791,AF791-'P-Parametri'!$B$8*(AG791+AF791)+MIN(MAX(AG791,0),'P-Parametri'!$B$8*(AG791+AF791)))</f>
        <v>38652.676856956641</v>
      </c>
      <c r="AI791" s="18">
        <f>IF($A791&gt;'1-Input'!$B$26,AG791,AG791-MIN(MAX(AG791,0),'P-Parametri'!$B$8*(AG791+AF791)))</f>
        <v>337036.19779210328</v>
      </c>
      <c r="AJ791" s="18">
        <f>IF($A791&gt;'1-Input'!$B$26,AJ790,AJ790-AE791*(1-AD791))</f>
        <v>196434.38605635229</v>
      </c>
      <c r="AK791" s="11">
        <f>IF($A791&gt;'1-Input'!$B$26,0,IF(AP790&lt;=0,0,MAX(0,(AP790-AQ790)/AP790)))</f>
        <v>0.39520908958122225</v>
      </c>
      <c r="AL791" s="18">
        <f>IF($A791&gt;'1-Input'!$B$26,0,(MAX(0,AK781-IF($A791&gt;='1-Input'!$C$12,'1-Input'!$B$12,0))-MIN(MAX(AO790,0),MAX(0,AK781-IF($A791&gt;='1-Input'!$C$12,'1-Input'!$B$12,0))))*(1/(1-'P-Parametri'!$B$6*AK791))+MIN(MAX(0,AP790-(MAX(0,AK781-IF($A791&gt;='1-Input'!$C$12,'1-Input'!$B$12,0))-MIN(MAX(AO790,0),MAX(0,AK781-IF($A791&gt;='1-Input'!$C$12,'1-Input'!$B$12,0))))*(1/(1-'P-Parametri'!$B$6*AK791))),MAX(0,2*AK781-(AO790-MIN(MAX(AO790,0),MAX(0,AK781-IF($A791&gt;='1-Input'!$C$12,'1-Input'!$B$12,0)))))*(1/(1-'P-Parametri'!$B$6*AK791))))</f>
        <v>21773.335143853441</v>
      </c>
      <c r="AM791" s="18">
        <f>IF($A791&gt;'1-Input'!$B$26,AO790,(AO790-MAX(0,AK781-IF($A791&gt;='1-Input'!$C$12,'1-Input'!$B$12,0))+AL791*(1-'P-Parametri'!$B$6*AK791))*(1+'1-Input'!$B$27))</f>
        <v>38653.098186232593</v>
      </c>
      <c r="AN791" s="18">
        <f>IF($A791&gt;'1-Input'!$B$26,AP790,(AP790-AL791)*(1+$D$4))</f>
        <v>337786.30623365694</v>
      </c>
      <c r="AO791" s="18">
        <f>IF($A791&gt;'1-Input'!$B$26,AM791,AM791-'P-Parametri'!$B$8*(AN791+AM791)+MIN(MAX(AN791,0),'P-Parametri'!$B$8*(AN791+AM791)))</f>
        <v>38653.098186232593</v>
      </c>
      <c r="AP791" s="18">
        <f>IF($A791&gt;'1-Input'!$B$26,AN791,AN791-MIN(MAX(AN791,0),'P-Parametri'!$B$8*(AN791+AM791)))</f>
        <v>337033.42742481717</v>
      </c>
      <c r="AQ791" s="18">
        <f>IF($A791&gt;'1-Input'!$B$26,AQ790,AQ790-AL791*(1-AK791))</f>
        <v>196432.77660966292</v>
      </c>
    </row>
    <row r="792" spans="1:43">
      <c r="A792" s="10">
        <f>9</f>
        <v>9</v>
      </c>
      <c r="B792" s="11">
        <f>IF($A792&gt;'1-Input'!$B$26,0,IF(G791&lt;=0,0,MAX(0,(G791-H791)/G791)))</f>
        <v>0.41735746501216042</v>
      </c>
      <c r="C792" s="18">
        <f>IF($A792&gt;'1-Input'!$B$26,0,(MAX(0,B781-IF($A792&gt;='1-Input'!$C$12,'1-Input'!$B$12,0))-MIN(MAX(F791,0),MAX(0,B781-IF($A792&gt;='1-Input'!$C$12,'1-Input'!$B$12,0))))*(1/(1-'P-Parametri'!$B$6*B792))+MIN(MAX(0,G791-(MAX(0,B781-IF($A792&gt;='1-Input'!$C$12,'1-Input'!$B$12,0))-MIN(MAX(F791,0),MAX(0,B781-IF($A792&gt;='1-Input'!$C$12,'1-Input'!$B$12,0))))*(1/(1-'P-Parametri'!$B$6*B792))),MAX(0,2*B781-(F791-MIN(MAX(F791,0),MAX(0,B781-IF($A792&gt;='1-Input'!$C$12,'1-Input'!$B$12,0)))))*(1/(1-'P-Parametri'!$B$6*B792))))</f>
        <v>18846.217386388413</v>
      </c>
      <c r="D792" s="18">
        <f>IF($A792&gt;'1-Input'!$B$26,F791,(F791-MAX(0,B781-IF($A792&gt;='1-Input'!$C$12,'1-Input'!$B$12,0))+C792*(1-'P-Parametri'!$B$6*B792))*(1+'1-Input'!$B$27))</f>
        <v>33242.0070309863</v>
      </c>
      <c r="E792" s="18">
        <f>IF($A792&gt;'1-Input'!$B$26,G791,(G791-C792)*(1+$D$4))</f>
        <v>367918.29227439716</v>
      </c>
      <c r="F792" s="18">
        <f>IF($A792&gt;'1-Input'!$B$26,D792,D792-'P-Parametri'!$B$8*(E792+D792)+MIN(MAX(E792,0),'P-Parametri'!$B$8*(E792+D792)))</f>
        <v>33242.0070309863</v>
      </c>
      <c r="G792" s="18">
        <f>IF($A792&gt;'1-Input'!$B$26,E792,E792-MIN(MAX(E792,0),'P-Parametri'!$B$8*(E792+D792)))</f>
        <v>367115.97167578636</v>
      </c>
      <c r="H792" s="18">
        <f>IF($A792&gt;'1-Input'!$B$26,H791,H791-C792*(1-B792))</f>
        <v>206120.04469149193</v>
      </c>
      <c r="I792" s="11">
        <f>IF($A792&gt;'1-Input'!$B$26,0,IF(N791&lt;=0,0,MAX(0,(N791-O791)/N791)))</f>
        <v>0.41697252068753105</v>
      </c>
      <c r="J792" s="18">
        <f>IF($A792&gt;'1-Input'!$B$26,0,(MAX(0,I781-IF($A792&gt;='1-Input'!$C$12,'1-Input'!$B$12,0))-MIN(MAX(M791,0),MAX(0,I781-IF($A792&gt;='1-Input'!$C$12,'1-Input'!$B$12,0))))*(1/(1-'P-Parametri'!$B$6*I792))+MIN(MAX(0,N791-(MAX(0,I781-IF($A792&gt;='1-Input'!$C$12,'1-Input'!$B$12,0))-MIN(MAX(M791,0),MAX(0,I781-IF($A792&gt;='1-Input'!$C$12,'1-Input'!$B$12,0))))*(1/(1-'P-Parametri'!$B$6*I792))),MAX(0,2*I781-(M791-MIN(MAX(M791,0),MAX(0,I781-IF($A792&gt;='1-Input'!$C$12,'1-Input'!$B$12,0)))))*(1/(1-'P-Parametri'!$B$6*I792))))</f>
        <v>24794.87078368435</v>
      </c>
      <c r="K792" s="18">
        <f>IF($A792&gt;'1-Input'!$B$26,M791,(M791-MAX(0,I781-IF($A792&gt;='1-Input'!$C$12,'1-Input'!$B$12,0))+J792*(1-'P-Parametri'!$B$6*I792))*(1+'1-Input'!$B$27))</f>
        <v>43739.482935508291</v>
      </c>
      <c r="L792" s="18">
        <f>IF($A792&gt;'1-Input'!$B$26,N791,(N791-J792)*(1+$D$4))</f>
        <v>289946.62500713451</v>
      </c>
      <c r="M792" s="18">
        <f>IF($A792&gt;'1-Input'!$B$26,K792,K792-'P-Parametri'!$B$8*(L792+K792)+MIN(MAX(L792,0),'P-Parametri'!$B$8*(L792+K792)))</f>
        <v>43739.482935508291</v>
      </c>
      <c r="N792" s="18">
        <f>IF($A792&gt;'1-Input'!$B$26,L792,L792-MIN(MAX(L792,0),'P-Parametri'!$B$8*(L792+K792)))</f>
        <v>289279.25279124925</v>
      </c>
      <c r="O792" s="18">
        <f>IF($A792&gt;'1-Input'!$B$26,O791,O791-J792*(1-I792))</f>
        <v>162545.04799333395</v>
      </c>
      <c r="P792" s="11">
        <f>IF($A792&gt;'1-Input'!$B$26,0,IF(U791&lt;=0,0,MAX(0,(U791-V791)/U791)))</f>
        <v>0.41713808507792693</v>
      </c>
      <c r="Q792" s="18">
        <f>IF($A792&gt;'1-Input'!$B$26,0,(MAX(0,P781-IF($A792&gt;='1-Input'!$C$12,'1-Input'!$B$12,0))-MIN(MAX(T791,0),MAX(0,P781-IF($A792&gt;='1-Input'!$C$12,'1-Input'!$B$12,0))))*(1/(1-'P-Parametri'!$B$6*P792))+MIN(MAX(0,U791-(MAX(0,P781-IF($A792&gt;='1-Input'!$C$12,'1-Input'!$B$12,0))-MIN(MAX(T791,0),MAX(0,P781-IF($A792&gt;='1-Input'!$C$12,'1-Input'!$B$12,0))))*(1/(1-'P-Parametri'!$B$6*P792))),MAX(0,2*P781-(T791-MIN(MAX(T791,0),MAX(0,P781-IF($A792&gt;='1-Input'!$C$12,'1-Input'!$B$12,0)))))*(1/(1-'P-Parametri'!$B$6*P792))))</f>
        <v>22419.906060985828</v>
      </c>
      <c r="R792" s="18">
        <f>IF($A792&gt;'1-Input'!$B$26,T791,(T791-MAX(0,P781-IF($A792&gt;='1-Input'!$C$12,'1-Input'!$B$12,0))+Q792*(1-'P-Parametri'!$B$6*P792))*(1+'1-Input'!$B$27))</f>
        <v>39548.008177054842</v>
      </c>
      <c r="S792" s="18">
        <f>IF($A792&gt;'1-Input'!$B$26,U791,(U791-Q792)*(1+$D$4))</f>
        <v>321078.41107754607</v>
      </c>
      <c r="T792" s="18">
        <f>IF($A792&gt;'1-Input'!$B$26,R792,R792-'P-Parametri'!$B$8*(S792+R792)+MIN(MAX(S792,0),'P-Parametri'!$B$8*(S792+R792)))</f>
        <v>39548.008177054842</v>
      </c>
      <c r="U792" s="18">
        <f>IF($A792&gt;'1-Input'!$B$26,S792,S792-MIN(MAX(S792,0),'P-Parametri'!$B$8*(S792+R792)))</f>
        <v>320357.15823903686</v>
      </c>
      <c r="V792" s="18">
        <f>IF($A792&gt;'1-Input'!$B$26,V791,V791-Q792*(1-P792))</f>
        <v>179946.51684691833</v>
      </c>
      <c r="W792" s="11">
        <f>IF($A792&gt;'1-Input'!$B$26,0,IF(AB791&lt;=0,0,MAX(0,(AB791-AC791)/AB791)))</f>
        <v>0.41716981803557379</v>
      </c>
      <c r="X792" s="18">
        <f>IF($A792&gt;'1-Input'!$B$26,0,(MAX(0,W781-IF($A792&gt;='1-Input'!$C$12,'1-Input'!$B$12,0))-MIN(MAX(AA791,0),MAX(0,W781-IF($A792&gt;='1-Input'!$C$12,'1-Input'!$B$12,0))))*(1/(1-'P-Parametri'!$B$6*W792))+MIN(MAX(0,AB791-(MAX(0,W781-IF($A792&gt;='1-Input'!$C$12,'1-Input'!$B$12,0))-MIN(MAX(AA791,0),MAX(0,W781-IF($A792&gt;='1-Input'!$C$12,'1-Input'!$B$12,0))))*(1/(1-'P-Parametri'!$B$6*W792))),MAX(0,2*W781-(AA791-MIN(MAX(AA791,0),MAX(0,W781-IF($A792&gt;='1-Input'!$C$12,'1-Input'!$B$12,0)))))*(1/(1-'P-Parametri'!$B$6*W792))))</f>
        <v>21934.678856816579</v>
      </c>
      <c r="Y792" s="18">
        <f>IF($A792&gt;'1-Input'!$B$26,AA791,(AA791-MAX(0,W781-IF($A792&gt;='1-Input'!$C$12,'1-Input'!$B$12,0))+X792*(1-'P-Parametri'!$B$6*W792))*(1+'1-Input'!$B$27))</f>
        <v>38691.724605045303</v>
      </c>
      <c r="Z792" s="18">
        <f>IF($A792&gt;'1-Input'!$B$26,AB791,(AB791-X792)*(1+$D$4))</f>
        <v>327438.55896774807</v>
      </c>
      <c r="AA792" s="18">
        <f>IF($A792&gt;'1-Input'!$B$26,Y792,Y792-'P-Parametri'!$B$8*(Z792+Y792)+MIN(MAX(Z792,0),'P-Parametri'!$B$8*(Z792+Y792)))</f>
        <v>38691.724605045303</v>
      </c>
      <c r="AB792" s="18">
        <f>IF($A792&gt;'1-Input'!$B$26,Z792,Z792-MIN(MAX(Z792,0),'P-Parametri'!$B$8*(Z792+Y792)))</f>
        <v>326706.29840060248</v>
      </c>
      <c r="AC792" s="18">
        <f>IF($A792&gt;'1-Input'!$B$26,AC791,AC791-X792*(1-W792))</f>
        <v>183501.03356282896</v>
      </c>
      <c r="AD792" s="11">
        <f>IF($A792&gt;'1-Input'!$B$26,0,IF(AI791&lt;=0,0,MAX(0,(AI791-AJ791)/AI791)))</f>
        <v>0.41717124942905842</v>
      </c>
      <c r="AE792" s="18">
        <f>IF($A792&gt;'1-Input'!$B$26,0,(MAX(0,AD781-IF($A792&gt;='1-Input'!$C$12,'1-Input'!$B$12,0))-MIN(MAX(AH791,0),MAX(0,AD781-IF($A792&gt;='1-Input'!$C$12,'1-Input'!$B$12,0))))*(1/(1-'P-Parametri'!$B$6*AD792))+MIN(MAX(0,AI791-(MAX(0,AD781-IF($A792&gt;='1-Input'!$C$12,'1-Input'!$B$12,0))-MIN(MAX(AH791,0),MAX(0,AD781-IF($A792&gt;='1-Input'!$C$12,'1-Input'!$B$12,0))))*(1/(1-'P-Parametri'!$B$6*AD792))),MAX(0,2*AD781-(AH791-MIN(MAX(AH791,0),MAX(0,AD781-IF($A792&gt;='1-Input'!$C$12,'1-Input'!$B$12,0)))))*(1/(1-'P-Parametri'!$B$6*AD792))))</f>
        <v>21912.55149228196</v>
      </c>
      <c r="AF792" s="18">
        <f>IF($A792&gt;'1-Input'!$B$26,AH791,(AH791-MAX(0,AD781-IF($A792&gt;='1-Input'!$C$12,'1-Input'!$B$12,0))+AE792*(1-'P-Parametri'!$B$6*AD792))*(1+'1-Input'!$B$27))</f>
        <v>38652.676856956641</v>
      </c>
      <c r="AG792" s="18">
        <f>IF($A792&gt;'1-Input'!$B$26,AI791,(AI791-AE792)*(1+$D$4))</f>
        <v>327728.5921518142</v>
      </c>
      <c r="AH792" s="18">
        <f>IF($A792&gt;'1-Input'!$B$26,AF792,AF792-'P-Parametri'!$B$8*(AG792+AF792)+MIN(MAX(AG792,0),'P-Parametri'!$B$8*(AG792+AF792)))</f>
        <v>38652.676856956641</v>
      </c>
      <c r="AI792" s="18">
        <f>IF($A792&gt;'1-Input'!$B$26,AG792,AG792-MIN(MAX(AG792,0),'P-Parametri'!$B$8*(AG792+AF792)))</f>
        <v>326995.82961379667</v>
      </c>
      <c r="AJ792" s="18">
        <f>IF($A792&gt;'1-Input'!$B$26,AJ791,AJ791-AE792*(1-AD792))</f>
        <v>183663.12104828417</v>
      </c>
      <c r="AK792" s="11">
        <f>IF($A792&gt;'1-Input'!$B$26,0,IF(AP791&lt;=0,0,MAX(0,(AP791-AQ791)/AP791)))</f>
        <v>0.41717123399137718</v>
      </c>
      <c r="AL792" s="18">
        <f>IF($A792&gt;'1-Input'!$B$26,0,(MAX(0,AK781-IF($A792&gt;='1-Input'!$C$12,'1-Input'!$B$12,0))-MIN(MAX(AO791,0),MAX(0,AK781-IF($A792&gt;='1-Input'!$C$12,'1-Input'!$B$12,0))))*(1/(1-'P-Parametri'!$B$6*AK792))+MIN(MAX(0,AP791-(MAX(0,AK781-IF($A792&gt;='1-Input'!$C$12,'1-Input'!$B$12,0))-MIN(MAX(AO791,0),MAX(0,AK781-IF($A792&gt;='1-Input'!$C$12,'1-Input'!$B$12,0))))*(1/(1-'P-Parametri'!$B$6*AK792))),MAX(0,2*AK781-(AO791-MIN(MAX(AO791,0),MAX(0,AK781-IF($A792&gt;='1-Input'!$C$12,'1-Input'!$B$12,0)))))*(1/(1-'P-Parametri'!$B$6*AK792))))</f>
        <v>21912.79024899859</v>
      </c>
      <c r="AM792" s="18">
        <f>IF($A792&gt;'1-Input'!$B$26,AO791,(AO791-MAX(0,AK781-IF($A792&gt;='1-Input'!$C$12,'1-Input'!$B$12,0))+AL792*(1-'P-Parametri'!$B$6*AK792))*(1+'1-Input'!$B$27))</f>
        <v>38653.098186232593</v>
      </c>
      <c r="AN792" s="18">
        <f>IF($A792&gt;'1-Input'!$B$26,AP791,(AP791-AL792)*(1+$D$4))</f>
        <v>327725.46266285132</v>
      </c>
      <c r="AO792" s="18">
        <f>IF($A792&gt;'1-Input'!$B$26,AM792,AM792-'P-Parametri'!$B$8*(AN792+AM792)+MIN(MAX(AN792,0),'P-Parametri'!$B$8*(AN792+AM792)))</f>
        <v>38653.098186232593</v>
      </c>
      <c r="AP792" s="18">
        <f>IF($A792&gt;'1-Input'!$B$26,AN792,AN792-MIN(MAX(AN792,0),'P-Parametri'!$B$8*(AN792+AM792)))</f>
        <v>326992.70554115315</v>
      </c>
      <c r="AQ792" s="18">
        <f>IF($A792&gt;'1-Input'!$B$26,AQ791,AQ791-AL792*(1-AK792))</f>
        <v>183661.37210903328</v>
      </c>
    </row>
    <row r="793" spans="1:43">
      <c r="A793" s="10">
        <f>10</f>
        <v>10</v>
      </c>
      <c r="B793" s="11">
        <f>IF($A793&gt;'1-Input'!$B$26,0,IF(G792&lt;=0,0,MAX(0,(G792-H792)/G792)))</f>
        <v>0.43854242093960399</v>
      </c>
      <c r="C793" s="18">
        <f>IF($A793&gt;'1-Input'!$B$26,0,(MAX(0,B781-IF($A793&gt;='1-Input'!$C$12,'1-Input'!$B$12,0))-MIN(MAX(F792,0),MAX(0,B781-IF($A793&gt;='1-Input'!$C$12,'1-Input'!$B$12,0))))*(1/(1-'P-Parametri'!$B$6*B793))+MIN(MAX(0,G792-(MAX(0,B781-IF($A793&gt;='1-Input'!$C$12,'1-Input'!$B$12,0))-MIN(MAX(F792,0),MAX(0,B781-IF($A793&gt;='1-Input'!$C$12,'1-Input'!$B$12,0))))*(1/(1-'P-Parametri'!$B$6*B793))),MAX(0,2*B781-(F792-MIN(MAX(F792,0),MAX(0,B781-IF($A793&gt;='1-Input'!$C$12,'1-Input'!$B$12,0)))))*(1/(1-'P-Parametri'!$B$6*B793))))</f>
        <v>18963.383411180854</v>
      </c>
      <c r="D793" s="18">
        <f>IF($A793&gt;'1-Input'!$B$26,F792,(F792-MAX(0,B781-IF($A793&gt;='1-Input'!$C$12,'1-Input'!$B$12,0))+C793*(1-'P-Parametri'!$B$6*B793))*(1+'1-Input'!$B$27))</f>
        <v>33242.0070309863</v>
      </c>
      <c r="E793" s="18">
        <f>IF($A793&gt;'1-Input'!$B$26,G792,(G792-C793)*(1+$D$4))</f>
        <v>362078.69179518975</v>
      </c>
      <c r="F793" s="18">
        <f>IF($A793&gt;'1-Input'!$B$26,D793,D793-'P-Parametri'!$B$8*(E793+D793)+MIN(MAX(E793,0),'P-Parametri'!$B$8*(E793+D793)))</f>
        <v>33242.0070309863</v>
      </c>
      <c r="G793" s="18">
        <f>IF($A793&gt;'1-Input'!$B$26,E793,E793-MIN(MAX(E793,0),'P-Parametri'!$B$8*(E793+D793)))</f>
        <v>361288.05039753742</v>
      </c>
      <c r="H793" s="18">
        <f>IF($A793&gt;'1-Input'!$B$26,H792,H792-C793*(1-B793))</f>
        <v>195472.90935065626</v>
      </c>
      <c r="I793" s="11">
        <f>IF($A793&gt;'1-Input'!$B$26,0,IF(N792&lt;=0,0,MAX(0,(N792-O792)/N792)))</f>
        <v>0.43810333293888071</v>
      </c>
      <c r="J793" s="18">
        <f>IF($A793&gt;'1-Input'!$B$26,0,(MAX(0,I781-IF($A793&gt;='1-Input'!$C$12,'1-Input'!$B$12,0))-MIN(MAX(M792,0),MAX(0,I781-IF($A793&gt;='1-Input'!$C$12,'1-Input'!$B$12,0))))*(1/(1-'P-Parametri'!$B$6*I793))+MIN(MAX(0,N792-(MAX(0,I781-IF($A793&gt;='1-Input'!$C$12,'1-Input'!$B$12,0))-MIN(MAX(M792,0),MAX(0,I781-IF($A793&gt;='1-Input'!$C$12,'1-Input'!$B$12,0))))*(1/(1-'P-Parametri'!$B$6*I793))),MAX(0,2*I781-(M792-MIN(MAX(M792,0),MAX(0,I781-IF($A793&gt;='1-Input'!$C$12,'1-Input'!$B$12,0)))))*(1/(1-'P-Parametri'!$B$6*I793))))</f>
        <v>24948.605523617018</v>
      </c>
      <c r="K793" s="18">
        <f>IF($A793&gt;'1-Input'!$B$26,M792,(M792-MAX(0,I781-IF($A793&gt;='1-Input'!$C$12,'1-Input'!$B$12,0))+J793*(1-'P-Parametri'!$B$6*I793))*(1+'1-Input'!$B$27))</f>
        <v>43739.482935508291</v>
      </c>
      <c r="L793" s="18">
        <f>IF($A793&gt;'1-Input'!$B$26,N792,(N792-J793)*(1+$D$4))</f>
        <v>274903.87315833755</v>
      </c>
      <c r="M793" s="18">
        <f>IF($A793&gt;'1-Input'!$B$26,K793,K793-'P-Parametri'!$B$8*(L793+K793)+MIN(MAX(L793,0),'P-Parametri'!$B$8*(L793+K793)))</f>
        <v>43739.482935508291</v>
      </c>
      <c r="N793" s="18">
        <f>IF($A793&gt;'1-Input'!$B$26,L793,L793-MIN(MAX(L793,0),'P-Parametri'!$B$8*(L793+K793)))</f>
        <v>274266.58644614986</v>
      </c>
      <c r="O793" s="18">
        <f>IF($A793&gt;'1-Input'!$B$26,O792,O792-J793*(1-I793))</f>
        <v>148526.50970179093</v>
      </c>
      <c r="P793" s="11">
        <f>IF($A793&gt;'1-Input'!$B$26,0,IF(U792&lt;=0,0,MAX(0,(U792-V792)/U792)))</f>
        <v>0.43829406579811803</v>
      </c>
      <c r="Q793" s="18">
        <f>IF($A793&gt;'1-Input'!$B$26,0,(MAX(0,P781-IF($A793&gt;='1-Input'!$C$12,'1-Input'!$B$12,0))-MIN(MAX(T792,0),MAX(0,P781-IF($A793&gt;='1-Input'!$C$12,'1-Input'!$B$12,0))))*(1/(1-'P-Parametri'!$B$6*P793))+MIN(MAX(0,U792-(MAX(0,P781-IF($A793&gt;='1-Input'!$C$12,'1-Input'!$B$12,0))-MIN(MAX(T792,0),MAX(0,P781-IF($A793&gt;='1-Input'!$C$12,'1-Input'!$B$12,0))))*(1/(1-'P-Parametri'!$B$6*P793))),MAX(0,2*P781-(T792-MIN(MAX(T792,0),MAX(0,P781-IF($A793&gt;='1-Input'!$C$12,'1-Input'!$B$12,0)))))*(1/(1-'P-Parametri'!$B$6*P793))))</f>
        <v>22559.088753627362</v>
      </c>
      <c r="R793" s="18">
        <f>IF($A793&gt;'1-Input'!$B$26,T792,(T792-MAX(0,P781-IF($A793&gt;='1-Input'!$C$12,'1-Input'!$B$12,0))+Q793*(1-'P-Parametri'!$B$6*P793))*(1+'1-Input'!$B$27))</f>
        <v>39548.008177054835</v>
      </c>
      <c r="S793" s="18">
        <f>IF($A793&gt;'1-Input'!$B$26,U792,(U792-Q793)*(1+$D$4))</f>
        <v>309709.99226482585</v>
      </c>
      <c r="T793" s="18">
        <f>IF($A793&gt;'1-Input'!$B$26,R793,R793-'P-Parametri'!$B$8*(S793+R793)+MIN(MAX(S793,0),'P-Parametri'!$B$8*(S793+R793)))</f>
        <v>39548.008177054835</v>
      </c>
      <c r="U793" s="18">
        <f>IF($A793&gt;'1-Input'!$B$26,S793,S793-MIN(MAX(S793,0),'P-Parametri'!$B$8*(S793+R793)))</f>
        <v>309011.47626394208</v>
      </c>
      <c r="V793" s="18">
        <f>IF($A793&gt;'1-Input'!$B$26,V792,V792-Q793*(1-P793))</f>
        <v>167274.94282381888</v>
      </c>
      <c r="W793" s="11">
        <f>IF($A793&gt;'1-Input'!$B$26,0,IF(AB792&lt;=0,0,MAX(0,(AB792-AC792)/AB792)))</f>
        <v>0.43833028484249581</v>
      </c>
      <c r="X793" s="18">
        <f>IF($A793&gt;'1-Input'!$B$26,0,(MAX(0,W781-IF($A793&gt;='1-Input'!$C$12,'1-Input'!$B$12,0))-MIN(MAX(AA792,0),MAX(0,W781-IF($A793&gt;='1-Input'!$C$12,'1-Input'!$B$12,0))))*(1/(1-'P-Parametri'!$B$6*W793))+MIN(MAX(0,AB792-(MAX(0,W781-IF($A793&gt;='1-Input'!$C$12,'1-Input'!$B$12,0))-MIN(MAX(AA792,0),MAX(0,W781-IF($A793&gt;='1-Input'!$C$12,'1-Input'!$B$12,0))))*(1/(1-'P-Parametri'!$B$6*W793))),MAX(0,2*W781-(AA792-MIN(MAX(AA792,0),MAX(0,W781-IF($A793&gt;='1-Input'!$C$12,'1-Input'!$B$12,0)))))*(1/(1-'P-Parametri'!$B$6*W793))))</f>
        <v>22070.879583033624</v>
      </c>
      <c r="Y793" s="18">
        <f>IF($A793&gt;'1-Input'!$B$26,AA792,(AA792-MAX(0,W781-IF($A793&gt;='1-Input'!$C$12,'1-Input'!$B$12,0))+X793*(1-'P-Parametri'!$B$6*W793))*(1+'1-Input'!$B$27))</f>
        <v>38691.724605045303</v>
      </c>
      <c r="Z793" s="18">
        <f>IF($A793&gt;'1-Input'!$B$26,AB792,(AB792-X793)*(1+$D$4))</f>
        <v>316820.83557027165</v>
      </c>
      <c r="AA793" s="18">
        <f>IF($A793&gt;'1-Input'!$B$26,Y793,Y793-'P-Parametri'!$B$8*(Z793+Y793)+MIN(MAX(Z793,0),'P-Parametri'!$B$8*(Z793+Y793)))</f>
        <v>38691.724605045303</v>
      </c>
      <c r="AB793" s="18">
        <f>IF($A793&gt;'1-Input'!$B$26,Z793,Z793-MIN(MAX(Z793,0),'P-Parametri'!$B$8*(Z793+Y793)))</f>
        <v>316109.810449921</v>
      </c>
      <c r="AC793" s="18">
        <f>IF($A793&gt;'1-Input'!$B$26,AC792,AC792-X793*(1-W793))</f>
        <v>171104.48891415089</v>
      </c>
      <c r="AD793" s="11">
        <f>IF($A793&gt;'1-Input'!$B$26,0,IF(AI792&lt;=0,0,MAX(0,(AI792-AJ792)/AI792)))</f>
        <v>0.43833191614338857</v>
      </c>
      <c r="AE793" s="18">
        <f>IF($A793&gt;'1-Input'!$B$26,0,(MAX(0,AD781-IF($A793&gt;='1-Input'!$C$12,'1-Input'!$B$12,0))-MIN(MAX(AH792,0),MAX(0,AD781-IF($A793&gt;='1-Input'!$C$12,'1-Input'!$B$12,0))))*(1/(1-'P-Parametri'!$B$6*AD793))+MIN(MAX(0,AI792-(MAX(0,AD781-IF($A793&gt;='1-Input'!$C$12,'1-Input'!$B$12,0))-MIN(MAX(AH792,0),MAX(0,AD781-IF($A793&gt;='1-Input'!$C$12,'1-Input'!$B$12,0))))*(1/(1-'P-Parametri'!$B$6*AD793))),MAX(0,2*AD781-(AH792-MIN(MAX(AH792,0),MAX(0,AD781-IF($A793&gt;='1-Input'!$C$12,'1-Input'!$B$12,0)))))*(1/(1-'P-Parametri'!$B$6*AD793))))</f>
        <v>22048.616171866717</v>
      </c>
      <c r="AF793" s="18">
        <f>IF($A793&gt;'1-Input'!$B$26,AH792,(AH792-MAX(0,AD781-IF($A793&gt;='1-Input'!$C$12,'1-Input'!$B$12,0))+AE793*(1-'P-Parametri'!$B$6*AD793))*(1+'1-Input'!$B$27))</f>
        <v>38652.676856956641</v>
      </c>
      <c r="AG793" s="18">
        <f>IF($A793&gt;'1-Input'!$B$26,AI792,(AI792-AE793)*(1+$D$4))</f>
        <v>317145.10197960719</v>
      </c>
      <c r="AH793" s="18">
        <f>IF($A793&gt;'1-Input'!$B$26,AF793,AF793-'P-Parametri'!$B$8*(AG793+AF793)+MIN(MAX(AG793,0),'P-Parametri'!$B$8*(AG793+AF793)))</f>
        <v>38652.676856956641</v>
      </c>
      <c r="AI793" s="18">
        <f>IF($A793&gt;'1-Input'!$B$26,AG793,AG793-MIN(MAX(AG793,0),'P-Parametri'!$B$8*(AG793+AF793)))</f>
        <v>316433.50642193406</v>
      </c>
      <c r="AJ793" s="18">
        <f>IF($A793&gt;'1-Input'!$B$26,AJ792,AJ792-AE793*(1-AD793))</f>
        <v>171279.11705134189</v>
      </c>
      <c r="AK793" s="11">
        <f>IF($A793&gt;'1-Input'!$B$26,0,IF(AP792&lt;=0,0,MAX(0,(AP792-AQ792)/AP792)))</f>
        <v>0.43833189855081073</v>
      </c>
      <c r="AL793" s="18">
        <f>IF($A793&gt;'1-Input'!$B$26,0,(MAX(0,AK781-IF($A793&gt;='1-Input'!$C$12,'1-Input'!$B$12,0))-MIN(MAX(AO792,0),MAX(0,AK781-IF($A793&gt;='1-Input'!$C$12,'1-Input'!$B$12,0))))*(1/(1-'P-Parametri'!$B$6*AK793))+MIN(MAX(0,AP792-(MAX(0,AK781-IF($A793&gt;='1-Input'!$C$12,'1-Input'!$B$12,0))-MIN(MAX(AO792,0),MAX(0,AK781-IF($A793&gt;='1-Input'!$C$12,'1-Input'!$B$12,0))))*(1/(1-'P-Parametri'!$B$6*AK793))),MAX(0,2*AK781-(AO792-MIN(MAX(AO792,0),MAX(0,AK781-IF($A793&gt;='1-Input'!$C$12,'1-Input'!$B$12,0)))))*(1/(1-'P-Parametri'!$B$6*AK793))))</f>
        <v>22048.856396570187</v>
      </c>
      <c r="AM793" s="18">
        <f>IF($A793&gt;'1-Input'!$B$26,AO792,(AO792-MAX(0,AK781-IF($A793&gt;='1-Input'!$C$12,'1-Input'!$B$12,0))+AL793*(1-'P-Parametri'!$B$6*AK793))*(1+'1-Input'!$B$27))</f>
        <v>38653.098186232593</v>
      </c>
      <c r="AN793" s="18">
        <f>IF($A793&gt;'1-Input'!$B$26,AP792,(AP792-AL793)*(1+$D$4))</f>
        <v>317141.60311036633</v>
      </c>
      <c r="AO793" s="18">
        <f>IF($A793&gt;'1-Input'!$B$26,AM793,AM793-'P-Parametri'!$B$8*(AN793+AM793)+MIN(MAX(AN793,0),'P-Parametri'!$B$8*(AN793+AM793)))</f>
        <v>38653.098186232593</v>
      </c>
      <c r="AP793" s="18">
        <f>IF($A793&gt;'1-Input'!$B$26,AN793,AN793-MIN(MAX(AN793,0),'P-Parametri'!$B$8*(AN793+AM793)))</f>
        <v>316430.01370777312</v>
      </c>
      <c r="AQ793" s="18">
        <f>IF($A793&gt;'1-Input'!$B$26,AQ792,AQ792-AL793*(1-AK793))</f>
        <v>171277.23279764591</v>
      </c>
    </row>
    <row r="794" spans="1:43">
      <c r="A794" s="10">
        <f>11</f>
        <v>11</v>
      </c>
      <c r="B794" s="11">
        <f>IF($A794&gt;'1-Input'!$B$26,0,IF(G793&lt;=0,0,MAX(0,(G793-H793)/G793)))</f>
        <v>0.45895550894758119</v>
      </c>
      <c r="C794" s="18">
        <f>IF($A794&gt;'1-Input'!$B$26,0,(MAX(0,B781-IF($A794&gt;='1-Input'!$C$12,'1-Input'!$B$12,0))-MIN(MAX(F793,0),MAX(0,B781-IF($A794&gt;='1-Input'!$C$12,'1-Input'!$B$12,0))))*(1/(1-'P-Parametri'!$B$6*B794))+MIN(MAX(0,G793-(MAX(0,B781-IF($A794&gt;='1-Input'!$C$12,'1-Input'!$B$12,0))-MIN(MAX(F793,0),MAX(0,B781-IF($A794&gt;='1-Input'!$C$12,'1-Input'!$B$12,0))))*(1/(1-'P-Parametri'!$B$6*B794))),MAX(0,2*B781-(F793-MIN(MAX(F793,0),MAX(0,B781-IF($A794&gt;='1-Input'!$C$12,'1-Input'!$B$12,0)))))*(1/(1-'P-Parametri'!$B$6*B794))))</f>
        <v>19077.667009590012</v>
      </c>
      <c r="D794" s="18">
        <f>IF($A794&gt;'1-Input'!$B$26,F793,(F793-MAX(0,B781-IF($A794&gt;='1-Input'!$C$12,'1-Input'!$B$12,0))+C794*(1-'P-Parametri'!$B$6*B794))*(1+'1-Input'!$B$27))</f>
        <v>33242.0070309863</v>
      </c>
      <c r="E794" s="18">
        <f>IF($A794&gt;'1-Input'!$B$26,G793,(G793-C794)*(1+$D$4))</f>
        <v>355898.7987234653</v>
      </c>
      <c r="F794" s="18">
        <f>IF($A794&gt;'1-Input'!$B$26,D794,D794-'P-Parametri'!$B$8*(E794+D794)+MIN(MAX(E794,0),'P-Parametri'!$B$8*(E794+D794)))</f>
        <v>33242.0070309863</v>
      </c>
      <c r="G794" s="18">
        <f>IF($A794&gt;'1-Input'!$B$26,E794,E794-MIN(MAX(E794,0),'P-Parametri'!$B$8*(E794+D794)))</f>
        <v>355120.51711195637</v>
      </c>
      <c r="H794" s="18">
        <f>IF($A794&gt;'1-Input'!$B$26,H793,H793-C794*(1-B794))</f>
        <v>185151.04271298513</v>
      </c>
      <c r="I794" s="11">
        <f>IF($A794&gt;'1-Input'!$B$26,0,IF(N793&lt;=0,0,MAX(0,(N793-O793)/N793)))</f>
        <v>0.45845933467016414</v>
      </c>
      <c r="J794" s="18">
        <f>IF($A794&gt;'1-Input'!$B$26,0,(MAX(0,I781-IF($A794&gt;='1-Input'!$C$12,'1-Input'!$B$12,0))-MIN(MAX(M793,0),MAX(0,I781-IF($A794&gt;='1-Input'!$C$12,'1-Input'!$B$12,0))))*(1/(1-'P-Parametri'!$B$6*I794))+MIN(MAX(0,N793-(MAX(0,I781-IF($A794&gt;='1-Input'!$C$12,'1-Input'!$B$12,0))-MIN(MAX(M793,0),MAX(0,I781-IF($A794&gt;='1-Input'!$C$12,'1-Input'!$B$12,0))))*(1/(1-'P-Parametri'!$B$6*I794))),MAX(0,2*I781-(M793-MIN(MAX(M793,0),MAX(0,I781-IF($A794&gt;='1-Input'!$C$12,'1-Input'!$B$12,0)))))*(1/(1-'P-Parametri'!$B$6*I794))))</f>
        <v>25098.516873507131</v>
      </c>
      <c r="K794" s="18">
        <f>IF($A794&gt;'1-Input'!$B$26,M793,(M793-MAX(0,I781-IF($A794&gt;='1-Input'!$C$12,'1-Input'!$B$12,0))+J794*(1-'P-Parametri'!$B$6*I794))*(1+'1-Input'!$B$27))</f>
        <v>43739.482935508291</v>
      </c>
      <c r="L794" s="18">
        <f>IF($A794&gt;'1-Input'!$B$26,N793,(N793-J794)*(1+$D$4))</f>
        <v>259134.79235554844</v>
      </c>
      <c r="M794" s="18">
        <f>IF($A794&gt;'1-Input'!$B$26,K794,K794-'P-Parametri'!$B$8*(L794+K794)+MIN(MAX(L794,0),'P-Parametri'!$B$8*(L794+K794)))</f>
        <v>43739.482935508291</v>
      </c>
      <c r="N794" s="18">
        <f>IF($A794&gt;'1-Input'!$B$26,L794,L794-MIN(MAX(L794,0),'P-Parametri'!$B$8*(L794+K794)))</f>
        <v>258529.04380496632</v>
      </c>
      <c r="O794" s="18">
        <f>IF($A794&gt;'1-Input'!$B$26,O793,O793-J794*(1-I794))</f>
        <v>134934.64217531978</v>
      </c>
      <c r="P794" s="11">
        <f>IF($A794&gt;'1-Input'!$B$26,0,IF(U793&lt;=0,0,MAX(0,(U793-V793)/U793)))</f>
        <v>0.45867724769891383</v>
      </c>
      <c r="Q794" s="18">
        <f>IF($A794&gt;'1-Input'!$B$26,0,(MAX(0,P781-IF($A794&gt;='1-Input'!$C$12,'1-Input'!$B$12,0))-MIN(MAX(T793,0),MAX(0,P781-IF($A794&gt;='1-Input'!$C$12,'1-Input'!$B$12,0))))*(1/(1-'P-Parametri'!$B$6*P794))+MIN(MAX(0,U793-(MAX(0,P781-IF($A794&gt;='1-Input'!$C$12,'1-Input'!$B$12,0))-MIN(MAX(T793,0),MAX(0,P781-IF($A794&gt;='1-Input'!$C$12,'1-Input'!$B$12,0))))*(1/(1-'P-Parametri'!$B$6*P794))),MAX(0,2*P781-(T793-MIN(MAX(T793,0),MAX(0,P781-IF($A794&gt;='1-Input'!$C$12,'1-Input'!$B$12,0)))))*(1/(1-'P-Parametri'!$B$6*P794))))</f>
        <v>22694.831686815789</v>
      </c>
      <c r="R794" s="18">
        <f>IF($A794&gt;'1-Input'!$B$26,T793,(T793-MAX(0,P781-IF($A794&gt;='1-Input'!$C$12,'1-Input'!$B$12,0))+Q794*(1-'P-Parametri'!$B$6*P794))*(1+'1-Input'!$B$27))</f>
        <v>39548.008177054842</v>
      </c>
      <c r="S794" s="18">
        <f>IF($A794&gt;'1-Input'!$B$26,U793,(U793-Q794)*(1+$D$4))</f>
        <v>297769.31036021136</v>
      </c>
      <c r="T794" s="18">
        <f>IF($A794&gt;'1-Input'!$B$26,R794,R794-'P-Parametri'!$B$8*(S794+R794)+MIN(MAX(S794,0),'P-Parametri'!$B$8*(S794+R794)))</f>
        <v>39548.008177054842</v>
      </c>
      <c r="U794" s="18">
        <f>IF($A794&gt;'1-Input'!$B$26,S794,S794-MIN(MAX(S794,0),'P-Parametri'!$B$8*(S794+R794)))</f>
        <v>297094.67572313681</v>
      </c>
      <c r="V794" s="18">
        <f>IF($A794&gt;'1-Input'!$B$26,V793,V793-Q794*(1-P794))</f>
        <v>154989.71407210187</v>
      </c>
      <c r="W794" s="11">
        <f>IF($A794&gt;'1-Input'!$B$26,0,IF(AB793&lt;=0,0,MAX(0,(AB793-AC793)/AB793)))</f>
        <v>0.45871819457100416</v>
      </c>
      <c r="X794" s="18">
        <f>IF($A794&gt;'1-Input'!$B$26,0,(MAX(0,W781-IF($A794&gt;='1-Input'!$C$12,'1-Input'!$B$12,0))-MIN(MAX(AA793,0),MAX(0,W781-IF($A794&gt;='1-Input'!$C$12,'1-Input'!$B$12,0))))*(1/(1-'P-Parametri'!$B$6*W794))+MIN(MAX(0,AB793-(MAX(0,W781-IF($A794&gt;='1-Input'!$C$12,'1-Input'!$B$12,0))-MIN(MAX(AA793,0),MAX(0,W781-IF($A794&gt;='1-Input'!$C$12,'1-Input'!$B$12,0))))*(1/(1-'P-Parametri'!$B$6*W794))),MAX(0,2*W781-(AA793-MIN(MAX(AA793,0),MAX(0,W781-IF($A794&gt;='1-Input'!$C$12,'1-Input'!$B$12,0)))))*(1/(1-'P-Parametri'!$B$6*W794))))</f>
        <v>22203.717265236504</v>
      </c>
      <c r="Y794" s="18">
        <f>IF($A794&gt;'1-Input'!$B$26,AA793,(AA793-MAX(0,W781-IF($A794&gt;='1-Input'!$C$12,'1-Input'!$B$12,0))+X794*(1-'P-Parametri'!$B$6*W794))*(1+'1-Input'!$B$27))</f>
        <v>38691.724605045303</v>
      </c>
      <c r="Z794" s="18">
        <f>IF($A794&gt;'1-Input'!$B$26,AB793,(AB793-X794)*(1+$D$4))</f>
        <v>305662.33691207191</v>
      </c>
      <c r="AA794" s="18">
        <f>IF($A794&gt;'1-Input'!$B$26,Y794,Y794-'P-Parametri'!$B$8*(Z794+Y794)+MIN(MAX(Z794,0),'P-Parametri'!$B$8*(Z794+Y794)))</f>
        <v>38691.724605045303</v>
      </c>
      <c r="AB794" s="18">
        <f>IF($A794&gt;'1-Input'!$B$26,Z794,Z794-MIN(MAX(Z794,0),'P-Parametri'!$B$8*(Z794+Y794)))</f>
        <v>304973.6287890377</v>
      </c>
      <c r="AC794" s="18">
        <f>IF($A794&gt;'1-Input'!$B$26,AC793,AC793-X794*(1-W794))</f>
        <v>159086.0207455887</v>
      </c>
      <c r="AD794" s="11">
        <f>IF($A794&gt;'1-Input'!$B$26,0,IF(AI793&lt;=0,0,MAX(0,(AI793-AJ793)/AI793)))</f>
        <v>0.45872003572542841</v>
      </c>
      <c r="AE794" s="18">
        <f>IF($A794&gt;'1-Input'!$B$26,0,(MAX(0,AD781-IF($A794&gt;='1-Input'!$C$12,'1-Input'!$B$12,0))-MIN(MAX(AH793,0),MAX(0,AD781-IF($A794&gt;='1-Input'!$C$12,'1-Input'!$B$12,0))))*(1/(1-'P-Parametri'!$B$6*AD794))+MIN(MAX(0,AI793-(MAX(0,AD781-IF($A794&gt;='1-Input'!$C$12,'1-Input'!$B$12,0))-MIN(MAX(AH793,0),MAX(0,AD781-IF($A794&gt;='1-Input'!$C$12,'1-Input'!$B$12,0))))*(1/(1-'P-Parametri'!$B$6*AD794))),MAX(0,2*AD781-(AH793-MIN(MAX(AH793,0),MAX(0,AD781-IF($A794&gt;='1-Input'!$C$12,'1-Input'!$B$12,0)))))*(1/(1-'P-Parametri'!$B$6*AD794))))</f>
        <v>22181.321295652931</v>
      </c>
      <c r="AF794" s="18">
        <f>IF($A794&gt;'1-Input'!$B$26,AH793,(AH793-MAX(0,AD781-IF($A794&gt;='1-Input'!$C$12,'1-Input'!$B$12,0))+AE794*(1-'P-Parametri'!$B$6*AD794))*(1+'1-Input'!$B$27))</f>
        <v>38652.676856956641</v>
      </c>
      <c r="AG794" s="18">
        <f>IF($A794&gt;'1-Input'!$B$26,AI793,(AI793-AE794)*(1+$D$4))</f>
        <v>306022.27253133239</v>
      </c>
      <c r="AH794" s="18">
        <f>IF($A794&gt;'1-Input'!$B$26,AF794,AF794-'P-Parametri'!$B$8*(AG794+AF794)+MIN(MAX(AG794,0),'P-Parametri'!$B$8*(AG794+AF794)))</f>
        <v>38652.676856956641</v>
      </c>
      <c r="AI794" s="18">
        <f>IF($A794&gt;'1-Input'!$B$26,AG794,AG794-MIN(MAX(AG794,0),'P-Parametri'!$B$8*(AG794+AF794)))</f>
        <v>305332.92263255583</v>
      </c>
      <c r="AJ794" s="18">
        <f>IF($A794&gt;'1-Input'!$B$26,AJ793,AJ793-AE794*(1-AD794))</f>
        <v>159272.81225286808</v>
      </c>
      <c r="AK794" s="11">
        <f>IF($A794&gt;'1-Input'!$B$26,0,IF(AP793&lt;=0,0,MAX(0,(AP793-AQ793)/AP793)))</f>
        <v>0.45872001587111622</v>
      </c>
      <c r="AL794" s="18">
        <f>IF($A794&gt;'1-Input'!$B$26,0,(MAX(0,AK781-IF($A794&gt;='1-Input'!$C$12,'1-Input'!$B$12,0))-MIN(MAX(AO793,0),MAX(0,AK781-IF($A794&gt;='1-Input'!$C$12,'1-Input'!$B$12,0))))*(1/(1-'P-Parametri'!$B$6*AK794))+MIN(MAX(0,AP793-(MAX(0,AK781-IF($A794&gt;='1-Input'!$C$12,'1-Input'!$B$12,0))-MIN(MAX(AO793,0),MAX(0,AK781-IF($A794&gt;='1-Input'!$C$12,'1-Input'!$B$12,0))))*(1/(1-'P-Parametri'!$B$6*AK794))),MAX(0,2*AK781-(AO793-MIN(MAX(AO793,0),MAX(0,AK781-IF($A794&gt;='1-Input'!$C$12,'1-Input'!$B$12,0)))))*(1/(1-'P-Parametri'!$B$6*AK794))))</f>
        <v>22181.562950709529</v>
      </c>
      <c r="AM794" s="18">
        <f>IF($A794&gt;'1-Input'!$B$26,AO793,(AO793-MAX(0,AK781-IF($A794&gt;='1-Input'!$C$12,'1-Input'!$B$12,0))+AL794*(1-'P-Parametri'!$B$6*AK794))*(1+'1-Input'!$B$27))</f>
        <v>38653.098186232601</v>
      </c>
      <c r="AN794" s="18">
        <f>IF($A794&gt;'1-Input'!$B$26,AP793,(AP793-AL794)*(1+$D$4))</f>
        <v>306018.38878734614</v>
      </c>
      <c r="AO794" s="18">
        <f>IF($A794&gt;'1-Input'!$B$26,AM794,AM794-'P-Parametri'!$B$8*(AN794+AM794)+MIN(MAX(AN794,0),'P-Parametri'!$B$8*(AN794+AM794)))</f>
        <v>38653.098186232601</v>
      </c>
      <c r="AP794" s="18">
        <f>IF($A794&gt;'1-Input'!$B$26,AN794,AN794-MIN(MAX(AN794,0),'P-Parametri'!$B$8*(AN794+AM794)))</f>
        <v>305329.04581339896</v>
      </c>
      <c r="AQ794" s="18">
        <f>IF($A794&gt;'1-Input'!$B$26,AQ793,AQ793-AL794*(1-AK794))</f>
        <v>159270.79675573201</v>
      </c>
    </row>
    <row r="795" spans="1:43">
      <c r="A795" s="10">
        <f>12</f>
        <v>12</v>
      </c>
      <c r="B795" s="11">
        <f>IF($A795&gt;'1-Input'!$B$26,0,IF(G794&lt;=0,0,MAX(0,(G794-H794)/G794)))</f>
        <v>0.47862476598440568</v>
      </c>
      <c r="C795" s="18">
        <f>IF($A795&gt;'1-Input'!$B$26,0,(MAX(0,B781-IF($A795&gt;='1-Input'!$C$12,'1-Input'!$B$12,0))-MIN(MAX(F794,0),MAX(0,B781-IF($A795&gt;='1-Input'!$C$12,'1-Input'!$B$12,0))))*(1/(1-'P-Parametri'!$B$6*B795))+MIN(MAX(0,G794-(MAX(0,B781-IF($A795&gt;='1-Input'!$C$12,'1-Input'!$B$12,0))-MIN(MAX(F794,0),MAX(0,B781-IF($A795&gt;='1-Input'!$C$12,'1-Input'!$B$12,0))))*(1/(1-'P-Parametri'!$B$6*B795))),MAX(0,2*B781-(F794-MIN(MAX(F794,0),MAX(0,B781-IF($A795&gt;='1-Input'!$C$12,'1-Input'!$B$12,0)))))*(1/(1-'P-Parametri'!$B$6*B795))))</f>
        <v>19189.096941490017</v>
      </c>
      <c r="D795" s="18">
        <f>IF($A795&gt;'1-Input'!$B$26,F794,(F794-MAX(0,B781-IF($A795&gt;='1-Input'!$C$12,'1-Input'!$B$12,0))+C795*(1-'P-Parametri'!$B$6*B795))*(1+'1-Input'!$B$27))</f>
        <v>33242.0070309863</v>
      </c>
      <c r="E795" s="18">
        <f>IF($A795&gt;'1-Input'!$B$26,G794,(G794-C795)*(1+$D$4))</f>
        <v>349368.67697728501</v>
      </c>
      <c r="F795" s="18">
        <f>IF($A795&gt;'1-Input'!$B$26,D795,D795-'P-Parametri'!$B$8*(E795+D795)+MIN(MAX(E795,0),'P-Parametri'!$B$8*(E795+D795)))</f>
        <v>33242.0070309863</v>
      </c>
      <c r="G795" s="18">
        <f>IF($A795&gt;'1-Input'!$B$26,E795,E795-MIN(MAX(E795,0),'P-Parametri'!$B$8*(E795+D795)))</f>
        <v>348603.45560926845</v>
      </c>
      <c r="H795" s="18">
        <f>IF($A795&gt;'1-Input'!$B$26,H794,H794-C795*(1-B795))</f>
        <v>175146.32280456784</v>
      </c>
      <c r="I795" s="11">
        <f>IF($A795&gt;'1-Input'!$B$26,0,IF(N794&lt;=0,0,MAX(0,(N794-O794)/N794)))</f>
        <v>0.47806776295078807</v>
      </c>
      <c r="J795" s="18">
        <f>IF($A795&gt;'1-Input'!$B$26,0,(MAX(0,I781-IF($A795&gt;='1-Input'!$C$12,'1-Input'!$B$12,0))-MIN(MAX(M794,0),MAX(0,I781-IF($A795&gt;='1-Input'!$C$12,'1-Input'!$B$12,0))))*(1/(1-'P-Parametri'!$B$6*I795))+MIN(MAX(0,N794-(MAX(0,I781-IF($A795&gt;='1-Input'!$C$12,'1-Input'!$B$12,0))-MIN(MAX(M794,0),MAX(0,I781-IF($A795&gt;='1-Input'!$C$12,'1-Input'!$B$12,0))))*(1/(1-'P-Parametri'!$B$6*I795))),MAX(0,2*I781-(M794-MIN(MAX(M794,0),MAX(0,I781-IF($A795&gt;='1-Input'!$C$12,'1-Input'!$B$12,0)))))*(1/(1-'P-Parametri'!$B$6*I795))))</f>
        <v>25244.636199411107</v>
      </c>
      <c r="K795" s="18">
        <f>IF($A795&gt;'1-Input'!$B$26,M794,(M794-MAX(0,I781-IF($A795&gt;='1-Input'!$C$12,'1-Input'!$B$12,0))+J795*(1-'P-Parametri'!$B$6*I795))*(1+'1-Input'!$B$27))</f>
        <v>43739.482935508291</v>
      </c>
      <c r="L795" s="18">
        <f>IF($A795&gt;'1-Input'!$B$26,N794,(N794-J795)*(1+$D$4))</f>
        <v>242615.78390977741</v>
      </c>
      <c r="M795" s="18">
        <f>IF($A795&gt;'1-Input'!$B$26,K795,K795-'P-Parametri'!$B$8*(L795+K795)+MIN(MAX(L795,0),'P-Parametri'!$B$8*(L795+K795)))</f>
        <v>43739.482935508291</v>
      </c>
      <c r="N795" s="18">
        <f>IF($A795&gt;'1-Input'!$B$26,L795,L795-MIN(MAX(L795,0),'P-Parametri'!$B$8*(L795+K795)))</f>
        <v>242043.07337608683</v>
      </c>
      <c r="O795" s="18">
        <f>IF($A795&gt;'1-Input'!$B$26,O794,O794-J795*(1-I795))</f>
        <v>121758.65273026763</v>
      </c>
      <c r="P795" s="11">
        <f>IF($A795&gt;'1-Input'!$B$26,0,IF(U794&lt;=0,0,MAX(0,(U794-V794)/U794)))</f>
        <v>0.47831541007979178</v>
      </c>
      <c r="Q795" s="18">
        <f>IF($A795&gt;'1-Input'!$B$26,0,(MAX(0,P781-IF($A795&gt;='1-Input'!$C$12,'1-Input'!$B$12,0))-MIN(MAX(T794,0),MAX(0,P781-IF($A795&gt;='1-Input'!$C$12,'1-Input'!$B$12,0))))*(1/(1-'P-Parametri'!$B$6*P795))+MIN(MAX(0,U794-(MAX(0,P781-IF($A795&gt;='1-Input'!$C$12,'1-Input'!$B$12,0))-MIN(MAX(T794,0),MAX(0,P781-IF($A795&gt;='1-Input'!$C$12,'1-Input'!$B$12,0))))*(1/(1-'P-Parametri'!$B$6*P795))),MAX(0,2*P781-(T794-MIN(MAX(T794,0),MAX(0,P781-IF($A795&gt;='1-Input'!$C$12,'1-Input'!$B$12,0)))))*(1/(1-'P-Parametri'!$B$6*P795))))</f>
        <v>22827.167248135618</v>
      </c>
      <c r="R795" s="18">
        <f>IF($A795&gt;'1-Input'!$B$26,T794,(T794-MAX(0,P781-IF($A795&gt;='1-Input'!$C$12,'1-Input'!$B$12,0))+Q795*(1-'P-Parametri'!$B$6*P795))*(1+'1-Input'!$B$27))</f>
        <v>39548.00817705485</v>
      </c>
      <c r="S795" s="18">
        <f>IF($A795&gt;'1-Input'!$B$26,U794,(U794-Q795)*(1+$D$4))</f>
        <v>285238.20881400123</v>
      </c>
      <c r="T795" s="18">
        <f>IF($A795&gt;'1-Input'!$B$26,R795,R795-'P-Parametri'!$B$8*(S795+R795)+MIN(MAX(S795,0),'P-Parametri'!$B$8*(S795+R795)))</f>
        <v>39548.00817705485</v>
      </c>
      <c r="U795" s="18">
        <f>IF($A795&gt;'1-Input'!$B$26,S795,S795-MIN(MAX(S795,0),'P-Parametri'!$B$8*(S795+R795)))</f>
        <v>284588.63638001913</v>
      </c>
      <c r="V795" s="18">
        <f>IF($A795&gt;'1-Input'!$B$26,V794,V794-Q795*(1-P795))</f>
        <v>143081.13268721823</v>
      </c>
      <c r="W795" s="11">
        <f>IF($A795&gt;'1-Input'!$B$26,0,IF(AB794&lt;=0,0,MAX(0,(AB794-AC794)/AB794)))</f>
        <v>0.47836138692622904</v>
      </c>
      <c r="X795" s="18">
        <f>IF($A795&gt;'1-Input'!$B$26,0,(MAX(0,W781-IF($A795&gt;='1-Input'!$C$12,'1-Input'!$B$12,0))-MIN(MAX(AA794,0),MAX(0,W781-IF($A795&gt;='1-Input'!$C$12,'1-Input'!$B$12,0))))*(1/(1-'P-Parametri'!$B$6*W795))+MIN(MAX(0,AB794-(MAX(0,W781-IF($A795&gt;='1-Input'!$C$12,'1-Input'!$B$12,0))-MIN(MAX(AA794,0),MAX(0,W781-IF($A795&gt;='1-Input'!$C$12,'1-Input'!$B$12,0))))*(1/(1-'P-Parametri'!$B$6*W795))),MAX(0,2*W781-(AA794-MIN(MAX(AA794,0),MAX(0,W781-IF($A795&gt;='1-Input'!$C$12,'1-Input'!$B$12,0)))))*(1/(1-'P-Parametri'!$B$6*W795))))</f>
        <v>22333.224025086576</v>
      </c>
      <c r="Y795" s="18">
        <f>IF($A795&gt;'1-Input'!$B$26,AA794,(AA794-MAX(0,W781-IF($A795&gt;='1-Input'!$C$12,'1-Input'!$B$12,0))+X795*(1-'P-Parametri'!$B$6*W795))*(1+'1-Input'!$B$27))</f>
        <v>38691.724605045303</v>
      </c>
      <c r="Z795" s="18">
        <f>IF($A795&gt;'1-Input'!$B$26,AB794,(AB794-X795)*(1+$D$4))</f>
        <v>293946.02095450921</v>
      </c>
      <c r="AA795" s="18">
        <f>IF($A795&gt;'1-Input'!$B$26,Y795,Y795-'P-Parametri'!$B$8*(Z795+Y795)+MIN(MAX(Z795,0),'P-Parametri'!$B$8*(Z795+Y795)))</f>
        <v>38691.724605045303</v>
      </c>
      <c r="AB795" s="18">
        <f>IF($A795&gt;'1-Input'!$B$26,Z795,Z795-MIN(MAX(Z795,0),'P-Parametri'!$B$8*(Z795+Y795)))</f>
        <v>293280.74546339008</v>
      </c>
      <c r="AC795" s="18">
        <f>IF($A795&gt;'1-Input'!$B$26,AC794,AC794-X795*(1-W795))</f>
        <v>147436.14873967672</v>
      </c>
      <c r="AD795" s="11">
        <f>IF($A795&gt;'1-Input'!$B$26,0,IF(AI794&lt;=0,0,MAX(0,(AI794-AJ794)/AI794)))</f>
        <v>0.47836345036221201</v>
      </c>
      <c r="AE795" s="18">
        <f>IF($A795&gt;'1-Input'!$B$26,0,(MAX(0,AD781-IF($A795&gt;='1-Input'!$C$12,'1-Input'!$B$12,0))-MIN(MAX(AH794,0),MAX(0,AD781-IF($A795&gt;='1-Input'!$C$12,'1-Input'!$B$12,0))))*(1/(1-'P-Parametri'!$B$6*AD795))+MIN(MAX(0,AI794-(MAX(0,AD781-IF($A795&gt;='1-Input'!$C$12,'1-Input'!$B$12,0))-MIN(MAX(AH794,0),MAX(0,AD781-IF($A795&gt;='1-Input'!$C$12,'1-Input'!$B$12,0))))*(1/(1-'P-Parametri'!$B$6*AD795))),MAX(0,2*AD781-(AH794-MIN(MAX(AH794,0),MAX(0,AD781-IF($A795&gt;='1-Input'!$C$12,'1-Input'!$B$12,0)))))*(1/(1-'P-Parametri'!$B$6*AD795))))</f>
        <v>22310.698970684818</v>
      </c>
      <c r="AF795" s="18">
        <f>IF($A795&gt;'1-Input'!$B$26,AH794,(AH794-MAX(0,AD781-IF($A795&gt;='1-Input'!$C$12,'1-Input'!$B$12,0))+AE795*(1-'P-Parametri'!$B$6*AD795))*(1+'1-Input'!$B$27))</f>
        <v>38652.676856956641</v>
      </c>
      <c r="AG795" s="18">
        <f>IF($A795&gt;'1-Input'!$B$26,AI794,(AI794-AE795)*(1+$D$4))</f>
        <v>294343.11260834581</v>
      </c>
      <c r="AH795" s="18">
        <f>IF($A795&gt;'1-Input'!$B$26,AF795,AF795-'P-Parametri'!$B$8*(AG795+AF795)+MIN(MAX(AG795,0),'P-Parametri'!$B$8*(AG795+AF795)))</f>
        <v>38652.676856956641</v>
      </c>
      <c r="AI795" s="18">
        <f>IF($A795&gt;'1-Input'!$B$26,AG795,AG795-MIN(MAX(AG795,0),'P-Parametri'!$B$8*(AG795+AF795)))</f>
        <v>293677.12102941523</v>
      </c>
      <c r="AJ795" s="18">
        <f>IF($A795&gt;'1-Input'!$B$26,AJ794,AJ794-AE795*(1-AD795))</f>
        <v>147634.7362217927</v>
      </c>
      <c r="AK795" s="11">
        <f>IF($A795&gt;'1-Input'!$B$26,0,IF(AP794&lt;=0,0,MAX(0,(AP794-AQ794)/AP794)))</f>
        <v>0.47836342811266658</v>
      </c>
      <c r="AL795" s="18">
        <f>IF($A795&gt;'1-Input'!$B$26,0,(MAX(0,AK781-IF($A795&gt;='1-Input'!$C$12,'1-Input'!$B$12,0))-MIN(MAX(AO794,0),MAX(0,AK781-IF($A795&gt;='1-Input'!$C$12,'1-Input'!$B$12,0))))*(1/(1-'P-Parametri'!$B$6*AK795))+MIN(MAX(0,AP794-(MAX(0,AK781-IF($A795&gt;='1-Input'!$C$12,'1-Input'!$B$12,0))-MIN(MAX(AO794,0),MAX(0,AK781-IF($A795&gt;='1-Input'!$C$12,'1-Input'!$B$12,0))))*(1/(1-'P-Parametri'!$B$6*AK795))),MAX(0,2*AK781-(AO794-MIN(MAX(AO794,0),MAX(0,AK781-IF($A795&gt;='1-Input'!$C$12,'1-Input'!$B$12,0)))))*(1/(1-'P-Parametri'!$B$6*AK795))))</f>
        <v>22310.942018619608</v>
      </c>
      <c r="AM795" s="18">
        <f>IF($A795&gt;'1-Input'!$B$26,AO794,(AO794-MAX(0,AK781-IF($A795&gt;='1-Input'!$C$12,'1-Input'!$B$12,0))+AL795*(1-'P-Parametri'!$B$6*AK795))*(1+'1-Input'!$B$27))</f>
        <v>38653.098186232593</v>
      </c>
      <c r="AN795" s="18">
        <f>IF($A795&gt;'1-Input'!$B$26,AP794,(AP794-AL795)*(1+$D$4))</f>
        <v>294338.82794657053</v>
      </c>
      <c r="AO795" s="18">
        <f>IF($A795&gt;'1-Input'!$B$26,AM795,AM795-'P-Parametri'!$B$8*(AN795+AM795)+MIN(MAX(AN795,0),'P-Parametri'!$B$8*(AN795+AM795)))</f>
        <v>38653.098186232593</v>
      </c>
      <c r="AP795" s="18">
        <f>IF($A795&gt;'1-Input'!$B$26,AN795,AN795-MIN(MAX(AN795,0),'P-Parametri'!$B$8*(AN795+AM795)))</f>
        <v>293672.84409430495</v>
      </c>
      <c r="AQ795" s="18">
        <f>IF($A795&gt;'1-Input'!$B$26,AQ794,AQ794-AL795*(1-AK795))</f>
        <v>147632.5934455622</v>
      </c>
    </row>
    <row r="796" spans="1:43">
      <c r="A796" s="10">
        <f>13</f>
        <v>13</v>
      </c>
      <c r="B796" s="11">
        <f>IF($A796&gt;'1-Input'!$B$26,0,IF(G795&lt;=0,0,MAX(0,(G795-H795)/G795)))</f>
        <v>0.49757720416609902</v>
      </c>
      <c r="C796" s="18">
        <f>IF($A796&gt;'1-Input'!$B$26,0,(MAX(0,B781-IF($A796&gt;='1-Input'!$C$12,'1-Input'!$B$12,0))-MIN(MAX(F795,0),MAX(0,B781-IF($A796&gt;='1-Input'!$C$12,'1-Input'!$B$12,0))))*(1/(1-'P-Parametri'!$B$6*B796))+MIN(MAX(0,G795-(MAX(0,B781-IF($A796&gt;='1-Input'!$C$12,'1-Input'!$B$12,0))-MIN(MAX(F795,0),MAX(0,B781-IF($A796&gt;='1-Input'!$C$12,'1-Input'!$B$12,0))))*(1/(1-'P-Parametri'!$B$6*B796))),MAX(0,2*B781-(F795-MIN(MAX(F795,0),MAX(0,B781-IF($A796&gt;='1-Input'!$C$12,'1-Input'!$B$12,0)))))*(1/(1-'P-Parametri'!$B$6*B796))))</f>
        <v>19297.704332757679</v>
      </c>
      <c r="D796" s="18">
        <f>IF($A796&gt;'1-Input'!$B$26,F795,(F795-MAX(0,B781-IF($A796&gt;='1-Input'!$C$12,'1-Input'!$B$12,0))+C796*(1-'P-Parametri'!$B$6*B796))*(1+'1-Input'!$B$27))</f>
        <v>33242.0070309863</v>
      </c>
      <c r="E796" s="18">
        <f>IF($A796&gt;'1-Input'!$B$26,G795,(G795-C796)*(1+$D$4))</f>
        <v>342477.98132757121</v>
      </c>
      <c r="F796" s="18">
        <f>IF($A796&gt;'1-Input'!$B$26,D796,D796-'P-Parametri'!$B$8*(E796+D796)+MIN(MAX(E796,0),'P-Parametri'!$B$8*(E796+D796)))</f>
        <v>33242.0070309863</v>
      </c>
      <c r="G796" s="18">
        <f>IF($A796&gt;'1-Input'!$B$26,E796,E796-MIN(MAX(E796,0),'P-Parametri'!$B$8*(E796+D796)))</f>
        <v>341726.5413508541</v>
      </c>
      <c r="H796" s="18">
        <f>IF($A796&gt;'1-Input'!$B$26,H795,H795-C796*(1-B796))</f>
        <v>165450.71624052775</v>
      </c>
      <c r="I796" s="11">
        <f>IF($A796&gt;'1-Input'!$B$26,0,IF(N795&lt;=0,0,MAX(0,(N795-O795)/N795)))</f>
        <v>0.49695460798798041</v>
      </c>
      <c r="J796" s="18">
        <f>IF($A796&gt;'1-Input'!$B$26,0,(MAX(0,I781-IF($A796&gt;='1-Input'!$C$12,'1-Input'!$B$12,0))-MIN(MAX(M795,0),MAX(0,I781-IF($A796&gt;='1-Input'!$C$12,'1-Input'!$B$12,0))))*(1/(1-'P-Parametri'!$B$6*I796))+MIN(MAX(0,N795-(MAX(0,I781-IF($A796&gt;='1-Input'!$C$12,'1-Input'!$B$12,0))-MIN(MAX(M795,0),MAX(0,I781-IF($A796&gt;='1-Input'!$C$12,'1-Input'!$B$12,0))))*(1/(1-'P-Parametri'!$B$6*I796))),MAX(0,2*I781-(M795-MIN(MAX(M795,0),MAX(0,I781-IF($A796&gt;='1-Input'!$C$12,'1-Input'!$B$12,0)))))*(1/(1-'P-Parametri'!$B$6*I796))))</f>
        <v>25386.996058593355</v>
      </c>
      <c r="K796" s="18">
        <f>IF($A796&gt;'1-Input'!$B$26,M795,(M795-MAX(0,I781-IF($A796&gt;='1-Input'!$C$12,'1-Input'!$B$12,0))+J796*(1-'P-Parametri'!$B$6*I796))*(1+'1-Input'!$B$27))</f>
        <v>43739.482935508291</v>
      </c>
      <c r="L796" s="18">
        <f>IF($A796&gt;'1-Input'!$B$26,N795,(N795-J796)*(1+$D$4))</f>
        <v>225322.32041019321</v>
      </c>
      <c r="M796" s="18">
        <f>IF($A796&gt;'1-Input'!$B$26,K796,K796-'P-Parametri'!$B$8*(L796+K796)+MIN(MAX(L796,0),'P-Parametri'!$B$8*(L796+K796)))</f>
        <v>43739.482935508291</v>
      </c>
      <c r="N796" s="18">
        <f>IF($A796&gt;'1-Input'!$B$26,L796,L796-MIN(MAX(L796,0),'P-Parametri'!$B$8*(L796+K796)))</f>
        <v>224784.19680350181</v>
      </c>
      <c r="O796" s="18">
        <f>IF($A796&gt;'1-Input'!$B$26,O795,O795-J796*(1-I796))</f>
        <v>108987.84134596493</v>
      </c>
      <c r="P796" s="11">
        <f>IF($A796&gt;'1-Input'!$B$26,0,IF(U795&lt;=0,0,MAX(0,(U795-V795)/U795)))</f>
        <v>0.49723525680007125</v>
      </c>
      <c r="Q796" s="18">
        <f>IF($A796&gt;'1-Input'!$B$26,0,(MAX(0,P781-IF($A796&gt;='1-Input'!$C$12,'1-Input'!$B$12,0))-MIN(MAX(T795,0),MAX(0,P781-IF($A796&gt;='1-Input'!$C$12,'1-Input'!$B$12,0))))*(1/(1-'P-Parametri'!$B$6*P796))+MIN(MAX(0,U795-(MAX(0,P781-IF($A796&gt;='1-Input'!$C$12,'1-Input'!$B$12,0))-MIN(MAX(T795,0),MAX(0,P781-IF($A796&gt;='1-Input'!$C$12,'1-Input'!$B$12,0))))*(1/(1-'P-Parametri'!$B$6*P796))),MAX(0,2*P781-(T795-MIN(MAX(T795,0),MAX(0,P781-IF($A796&gt;='1-Input'!$C$12,'1-Input'!$B$12,0)))))*(1/(1-'P-Parametri'!$B$6*P796))))</f>
        <v>22956.130223457218</v>
      </c>
      <c r="R796" s="18">
        <f>IF($A796&gt;'1-Input'!$B$26,T795,(T795-MAX(0,P781-IF($A796&gt;='1-Input'!$C$12,'1-Input'!$B$12,0))+Q796*(1-'P-Parametri'!$B$6*P796))*(1+'1-Input'!$B$27))</f>
        <v>39548.008177054842</v>
      </c>
      <c r="S796" s="18">
        <f>IF($A796&gt;'1-Input'!$B$26,U795,(U795-Q796)*(1+$D$4))</f>
        <v>272097.80640282441</v>
      </c>
      <c r="T796" s="18">
        <f>IF($A796&gt;'1-Input'!$B$26,R796,R796-'P-Parametri'!$B$8*(S796+R796)+MIN(MAX(S796,0),'P-Parametri'!$B$8*(S796+R796)))</f>
        <v>39548.008177054842</v>
      </c>
      <c r="U796" s="18">
        <f>IF($A796&gt;'1-Input'!$B$26,S796,S796-MIN(MAX(S796,0),'P-Parametri'!$B$8*(S796+R796)))</f>
        <v>271474.51477366465</v>
      </c>
      <c r="V796" s="18">
        <f>IF($A796&gt;'1-Input'!$B$26,V795,V795-Q796*(1-P796))</f>
        <v>131539.59977055763</v>
      </c>
      <c r="W796" s="11">
        <f>IF($A796&gt;'1-Input'!$B$26,0,IF(AB795&lt;=0,0,MAX(0,(AB795-AC795)/AB795)))</f>
        <v>0.49728664080308327</v>
      </c>
      <c r="X796" s="18">
        <f>IF($A796&gt;'1-Input'!$B$26,0,(MAX(0,W781-IF($A796&gt;='1-Input'!$C$12,'1-Input'!$B$12,0))-MIN(MAX(AA795,0),MAX(0,W781-IF($A796&gt;='1-Input'!$C$12,'1-Input'!$B$12,0))))*(1/(1-'P-Parametri'!$B$6*W796))+MIN(MAX(0,AB795-(MAX(0,W781-IF($A796&gt;='1-Input'!$C$12,'1-Input'!$B$12,0))-MIN(MAX(AA795,0),MAX(0,W781-IF($A796&gt;='1-Input'!$C$12,'1-Input'!$B$12,0))))*(1/(1-'P-Parametri'!$B$6*W796))),MAX(0,2*W781-(AA795-MIN(MAX(AA795,0),MAX(0,W781-IF($A796&gt;='1-Input'!$C$12,'1-Input'!$B$12,0)))))*(1/(1-'P-Parametri'!$B$6*W796))))</f>
        <v>22459.434444504852</v>
      </c>
      <c r="Y796" s="18">
        <f>IF($A796&gt;'1-Input'!$B$26,AA795,(AA795-MAX(0,W781-IF($A796&gt;='1-Input'!$C$12,'1-Input'!$B$12,0))+X796*(1-'P-Parametri'!$B$6*W796))*(1+'1-Input'!$B$27))</f>
        <v>38691.724605045303</v>
      </c>
      <c r="Z796" s="18">
        <f>IF($A796&gt;'1-Input'!$B$26,AB795,(AB795-X796)*(1+$D$4))</f>
        <v>281654.16345964064</v>
      </c>
      <c r="AA796" s="18">
        <f>IF($A796&gt;'1-Input'!$B$26,Y796,Y796-'P-Parametri'!$B$8*(Z796+Y796)+MIN(MAX(Z796,0),'P-Parametri'!$B$8*(Z796+Y796)))</f>
        <v>38691.724605045303</v>
      </c>
      <c r="AB796" s="18">
        <f>IF($A796&gt;'1-Input'!$B$26,Z796,Z796-MIN(MAX(Z796,0),'P-Parametri'!$B$8*(Z796+Y796)))</f>
        <v>281013.47168351128</v>
      </c>
      <c r="AC796" s="18">
        <f>IF($A796&gt;'1-Input'!$B$26,AC795,AC795-X796*(1-W796))</f>
        <v>136145.49100441675</v>
      </c>
      <c r="AD796" s="11">
        <f>IF($A796&gt;'1-Input'!$B$26,0,IF(AI795&lt;=0,0,MAX(0,(AI795-AJ795)/AI795)))</f>
        <v>0.49728894200442214</v>
      </c>
      <c r="AE796" s="18">
        <f>IF($A796&gt;'1-Input'!$B$26,0,(MAX(0,AD781-IF($A796&gt;='1-Input'!$C$12,'1-Input'!$B$12,0))-MIN(MAX(AH795,0),MAX(0,AD781-IF($A796&gt;='1-Input'!$C$12,'1-Input'!$B$12,0))))*(1/(1-'P-Parametri'!$B$6*AD796))+MIN(MAX(0,AI795-(MAX(0,AD781-IF($A796&gt;='1-Input'!$C$12,'1-Input'!$B$12,0))-MIN(MAX(AH795,0),MAX(0,AD781-IF($A796&gt;='1-Input'!$C$12,'1-Input'!$B$12,0))))*(1/(1-'P-Parametri'!$B$6*AD796))),MAX(0,2*AD781-(AH795-MIN(MAX(AH795,0),MAX(0,AD781-IF($A796&gt;='1-Input'!$C$12,'1-Input'!$B$12,0)))))*(1/(1-'P-Parametri'!$B$6*AD796))))</f>
        <v>22436.783766275821</v>
      </c>
      <c r="AF796" s="18">
        <f>IF($A796&gt;'1-Input'!$B$26,AH795,(AH795-MAX(0,AD781-IF($A796&gt;='1-Input'!$C$12,'1-Input'!$B$12,0))+AE796*(1-'P-Parametri'!$B$6*AD796))*(1+'1-Input'!$B$27))</f>
        <v>38652.676856956641</v>
      </c>
      <c r="AG796" s="18">
        <f>IF($A796&gt;'1-Input'!$B$26,AI795,(AI795-AE796)*(1+$D$4))</f>
        <v>282089.95075366501</v>
      </c>
      <c r="AH796" s="18">
        <f>IF($A796&gt;'1-Input'!$B$26,AF796,AF796-'P-Parametri'!$B$8*(AG796+AF796)+MIN(MAX(AG796,0),'P-Parametri'!$B$8*(AG796+AF796)))</f>
        <v>38652.676856956634</v>
      </c>
      <c r="AI796" s="18">
        <f>IF($A796&gt;'1-Input'!$B$26,AG796,AG796-MIN(MAX(AG796,0),'P-Parametri'!$B$8*(AG796+AF796)))</f>
        <v>281448.46549844375</v>
      </c>
      <c r="AJ796" s="18">
        <f>IF($A796&gt;'1-Input'!$B$26,AJ795,AJ795-AE796*(1-AD796))</f>
        <v>136355.51691663018</v>
      </c>
      <c r="AK796" s="11">
        <f>IF($A796&gt;'1-Input'!$B$26,0,IF(AP795&lt;=0,0,MAX(0,(AP795-AQ795)/AP795)))</f>
        <v>0.49728891719333074</v>
      </c>
      <c r="AL796" s="18">
        <f>IF($A796&gt;'1-Input'!$B$26,0,(MAX(0,AK781-IF($A796&gt;='1-Input'!$C$12,'1-Input'!$B$12,0))-MIN(MAX(AO795,0),MAX(0,AK781-IF($A796&gt;='1-Input'!$C$12,'1-Input'!$B$12,0))))*(1/(1-'P-Parametri'!$B$6*AK796))+MIN(MAX(0,AP795-(MAX(0,AK781-IF($A796&gt;='1-Input'!$C$12,'1-Input'!$B$12,0))-MIN(MAX(AO795,0),MAX(0,AK781-IF($A796&gt;='1-Input'!$C$12,'1-Input'!$B$12,0))))*(1/(1-'P-Parametri'!$B$6*AK796))),MAX(0,2*AK781-(AO795-MIN(MAX(AO795,0),MAX(0,AK781-IF($A796&gt;='1-Input'!$C$12,'1-Input'!$B$12,0)))))*(1/(1-'P-Parametri'!$B$6*AK796))))</f>
        <v>22437.02816975136</v>
      </c>
      <c r="AM796" s="18">
        <f>IF($A796&gt;'1-Input'!$B$26,AO795,(AO795-MAX(0,AK781-IF($A796&gt;='1-Input'!$C$12,'1-Input'!$B$12,0))+AL796*(1-'P-Parametri'!$B$6*AK796))*(1+'1-Input'!$B$27))</f>
        <v>38653.098186232593</v>
      </c>
      <c r="AN796" s="18">
        <f>IF($A796&gt;'1-Input'!$B$26,AP795,(AP795-AL796)*(1+$D$4))</f>
        <v>282085.24856153579</v>
      </c>
      <c r="AO796" s="18">
        <f>IF($A796&gt;'1-Input'!$B$26,AM796,AM796-'P-Parametri'!$B$8*(AN796+AM796)+MIN(MAX(AN796,0),'P-Parametri'!$B$8*(AN796+AM796)))</f>
        <v>38653.098186232593</v>
      </c>
      <c r="AP796" s="18">
        <f>IF($A796&gt;'1-Input'!$B$26,AN796,AN796-MIN(MAX(AN796,0),'P-Parametri'!$B$8*(AN796+AM796)))</f>
        <v>281443.77186804026</v>
      </c>
      <c r="AQ796" s="18">
        <f>IF($A796&gt;'1-Input'!$B$26,AQ795,AQ795-AL796*(1-AK796))</f>
        <v>136353.25071938275</v>
      </c>
    </row>
    <row r="797" spans="1:43">
      <c r="A797" s="10">
        <f>14</f>
        <v>14</v>
      </c>
      <c r="B797" s="11">
        <f>IF($A797&gt;'1-Input'!$B$26,0,IF(G796&lt;=0,0,MAX(0,(G796-H796)/G796)))</f>
        <v>0.51583884708955685</v>
      </c>
      <c r="C797" s="18">
        <f>IF($A797&gt;'1-Input'!$B$26,0,(MAX(0,B781-IF($A797&gt;='1-Input'!$C$12,'1-Input'!$B$12,0))-MIN(MAX(F796,0),MAX(0,B781-IF($A797&gt;='1-Input'!$C$12,'1-Input'!$B$12,0))))*(1/(1-'P-Parametri'!$B$6*B797))+MIN(MAX(0,G796-(MAX(0,B781-IF($A797&gt;='1-Input'!$C$12,'1-Input'!$B$12,0))-MIN(MAX(F796,0),MAX(0,B781-IF($A797&gt;='1-Input'!$C$12,'1-Input'!$B$12,0))))*(1/(1-'P-Parametri'!$B$6*B797))),MAX(0,2*B781-(F796-MIN(MAX(F796,0),MAX(0,B781-IF($A797&gt;='1-Input'!$C$12,'1-Input'!$B$12,0)))))*(1/(1-'P-Parametri'!$B$6*B797))))</f>
        <v>19403.522486856102</v>
      </c>
      <c r="D797" s="18">
        <f>IF($A797&gt;'1-Input'!$B$26,F796,(F796-MAX(0,B781-IF($A797&gt;='1-Input'!$C$12,'1-Input'!$B$12,0))+C797*(1-'P-Parametri'!$B$6*B797))*(1+'1-Input'!$B$27))</f>
        <v>33242.0070309863</v>
      </c>
      <c r="E797" s="18">
        <f>IF($A797&gt;'1-Input'!$B$26,G796,(G796-C797)*(1+$D$4))</f>
        <v>335215.93961855792</v>
      </c>
      <c r="F797" s="18">
        <f>IF($A797&gt;'1-Input'!$B$26,D797,D797-'P-Parametri'!$B$8*(E797+D797)+MIN(MAX(E797,0),'P-Parametri'!$B$8*(E797+D797)))</f>
        <v>33242.0070309863</v>
      </c>
      <c r="G797" s="18">
        <f>IF($A797&gt;'1-Input'!$B$26,E797,E797-MIN(MAX(E797,0),'P-Parametri'!$B$8*(E797+D797)))</f>
        <v>334479.02372525883</v>
      </c>
      <c r="H797" s="18">
        <f>IF($A797&gt;'1-Input'!$B$26,H796,H796-C797*(1-B797))</f>
        <v>156056.28442276779</v>
      </c>
      <c r="I797" s="11">
        <f>IF($A797&gt;'1-Input'!$B$26,0,IF(N796&lt;=0,0,MAX(0,(N796-O796)/N796)))</f>
        <v>0.51514455688698546</v>
      </c>
      <c r="J797" s="18">
        <f>IF($A797&gt;'1-Input'!$B$26,0,(MAX(0,I781-IF($A797&gt;='1-Input'!$C$12,'1-Input'!$B$12,0))-MIN(MAX(M796,0),MAX(0,I781-IF($A797&gt;='1-Input'!$C$12,'1-Input'!$B$12,0))))*(1/(1-'P-Parametri'!$B$6*I797))+MIN(MAX(0,N796-(MAX(0,I781-IF($A797&gt;='1-Input'!$C$12,'1-Input'!$B$12,0))-MIN(MAX(M796,0),MAX(0,I781-IF($A797&gt;='1-Input'!$C$12,'1-Input'!$B$12,0))))*(1/(1-'P-Parametri'!$B$6*I797))),MAX(0,2*I781-(M796-MIN(MAX(M796,0),MAX(0,I781-IF($A797&gt;='1-Input'!$C$12,'1-Input'!$B$12,0)))))*(1/(1-'P-Parametri'!$B$6*I797))))</f>
        <v>25525.629163728496</v>
      </c>
      <c r="K797" s="18">
        <f>IF($A797&gt;'1-Input'!$B$26,M796,(M796-MAX(0,I781-IF($A797&gt;='1-Input'!$C$12,'1-Input'!$B$12,0))+J797*(1-'P-Parametri'!$B$6*I797))*(1+'1-Input'!$B$27))</f>
        <v>43739.482935508291</v>
      </c>
      <c r="L797" s="18">
        <f>IF($A797&gt;'1-Input'!$B$26,N796,(N796-J797)*(1+$D$4))</f>
        <v>207228.91034536425</v>
      </c>
      <c r="M797" s="18">
        <f>IF($A797&gt;'1-Input'!$B$26,K797,K797-'P-Parametri'!$B$8*(L797+K797)+MIN(MAX(L797,0),'P-Parametri'!$B$8*(L797+K797)))</f>
        <v>43739.482935508291</v>
      </c>
      <c r="N797" s="18">
        <f>IF($A797&gt;'1-Input'!$B$26,L797,L797-MIN(MAX(L797,0),'P-Parametri'!$B$8*(L797+K797)))</f>
        <v>206726.97355880251</v>
      </c>
      <c r="O797" s="18">
        <f>IF($A797&gt;'1-Input'!$B$26,O796,O796-J797*(1-I797))</f>
        <v>96611.601107046867</v>
      </c>
      <c r="P797" s="11">
        <f>IF($A797&gt;'1-Input'!$B$26,0,IF(U796&lt;=0,0,MAX(0,(U796-V796)/U796)))</f>
        <v>0.51546243712701501</v>
      </c>
      <c r="Q797" s="18">
        <f>IF($A797&gt;'1-Input'!$B$26,0,(MAX(0,P781-IF($A797&gt;='1-Input'!$C$12,'1-Input'!$B$12,0))-MIN(MAX(T796,0),MAX(0,P781-IF($A797&gt;='1-Input'!$C$12,'1-Input'!$B$12,0))))*(1/(1-'P-Parametri'!$B$6*P797))+MIN(MAX(0,U796-(MAX(0,P781-IF($A797&gt;='1-Input'!$C$12,'1-Input'!$B$12,0))-MIN(MAX(T796,0),MAX(0,P781-IF($A797&gt;='1-Input'!$C$12,'1-Input'!$B$12,0))))*(1/(1-'P-Parametri'!$B$6*P797))),MAX(0,2*P781-(T796-MIN(MAX(T796,0),MAX(0,P781-IF($A797&gt;='1-Input'!$C$12,'1-Input'!$B$12,0)))))*(1/(1-'P-Parametri'!$B$6*P797))))</f>
        <v>23081.757450302001</v>
      </c>
      <c r="R797" s="18">
        <f>IF($A797&gt;'1-Input'!$B$26,T796,(T796-MAX(0,P781-IF($A797&gt;='1-Input'!$C$12,'1-Input'!$B$12,0))+Q797*(1-'P-Parametri'!$B$6*P797))*(1+'1-Input'!$B$27))</f>
        <v>39548.008177054842</v>
      </c>
      <c r="S797" s="18">
        <f>IF($A797&gt;'1-Input'!$B$26,U796,(U796-Q797)*(1+$D$4))</f>
        <v>258328.46761629716</v>
      </c>
      <c r="T797" s="18">
        <f>IF($A797&gt;'1-Input'!$B$26,R797,R797-'P-Parametri'!$B$8*(S797+R797)+MIN(MAX(S797,0),'P-Parametri'!$B$8*(S797+R797)))</f>
        <v>39548.008177054842</v>
      </c>
      <c r="U797" s="18">
        <f>IF($A797&gt;'1-Input'!$B$26,S797,S797-MIN(MAX(S797,0),'P-Parametri'!$B$8*(S797+R797)))</f>
        <v>257732.71466471045</v>
      </c>
      <c r="V797" s="18">
        <f>IF($A797&gt;'1-Input'!$B$26,V796,V796-Q797*(1-P797))</f>
        <v>120355.62126876293</v>
      </c>
      <c r="W797" s="11">
        <f>IF($A797&gt;'1-Input'!$B$26,0,IF(AB796&lt;=0,0,MAX(0,(AB796-AC796)/AB796)))</f>
        <v>0.51551970021654581</v>
      </c>
      <c r="X797" s="18">
        <f>IF($A797&gt;'1-Input'!$B$26,0,(MAX(0,W781-IF($A797&gt;='1-Input'!$C$12,'1-Input'!$B$12,0))-MIN(MAX(AA796,0),MAX(0,W781-IF($A797&gt;='1-Input'!$C$12,'1-Input'!$B$12,0))))*(1/(1-'P-Parametri'!$B$6*W797))+MIN(MAX(0,AB796-(MAX(0,W781-IF($A797&gt;='1-Input'!$C$12,'1-Input'!$B$12,0))-MIN(MAX(AA796,0),MAX(0,W781-IF($A797&gt;='1-Input'!$C$12,'1-Input'!$B$12,0))))*(1/(1-'P-Parametri'!$B$6*W797))),MAX(0,2*W781-(AA796-MIN(MAX(AA796,0),MAX(0,W781-IF($A797&gt;='1-Input'!$C$12,'1-Input'!$B$12,0)))))*(1/(1-'P-Parametri'!$B$6*W797))))</f>
        <v>22582.385265482568</v>
      </c>
      <c r="Y797" s="18">
        <f>IF($A797&gt;'1-Input'!$B$26,AA796,(AA796-MAX(0,W781-IF($A797&gt;='1-Input'!$C$12,'1-Input'!$B$12,0))+X797*(1-'P-Parametri'!$B$6*W797))*(1+'1-Input'!$B$27))</f>
        <v>38691.724605045296</v>
      </c>
      <c r="Z797" s="18">
        <f>IF($A797&gt;'1-Input'!$B$26,AB796,(AB796-X797)*(1+$D$4))</f>
        <v>268768.32987474988</v>
      </c>
      <c r="AA797" s="18">
        <f>IF($A797&gt;'1-Input'!$B$26,Y797,Y797-'P-Parametri'!$B$8*(Z797+Y797)+MIN(MAX(Z797,0),'P-Parametri'!$B$8*(Z797+Y797)))</f>
        <v>38691.724605045296</v>
      </c>
      <c r="AB797" s="18">
        <f>IF($A797&gt;'1-Input'!$B$26,Z797,Z797-MIN(MAX(Z797,0),'P-Parametri'!$B$8*(Z797+Y797)))</f>
        <v>268153.40976579027</v>
      </c>
      <c r="AC797" s="18">
        <f>IF($A797&gt;'1-Input'!$B$26,AC796,AC796-X797*(1-W797))</f>
        <v>125204.7702211703</v>
      </c>
      <c r="AD797" s="11">
        <f>IF($A797&gt;'1-Input'!$B$26,0,IF(AI796&lt;=0,0,MAX(0,(AI796-AJ796)/AI796)))</f>
        <v>0.51552225848826261</v>
      </c>
      <c r="AE797" s="18">
        <f>IF($A797&gt;'1-Input'!$B$26,0,(MAX(0,AD781-IF($A797&gt;='1-Input'!$C$12,'1-Input'!$B$12,0))-MIN(MAX(AH796,0),MAX(0,AD781-IF($A797&gt;='1-Input'!$C$12,'1-Input'!$B$12,0))))*(1/(1-'P-Parametri'!$B$6*AD797))+MIN(MAX(0,AI796-(MAX(0,AD781-IF($A797&gt;='1-Input'!$C$12,'1-Input'!$B$12,0))-MIN(MAX(AH796,0),MAX(0,AD781-IF($A797&gt;='1-Input'!$C$12,'1-Input'!$B$12,0))))*(1/(1-'P-Parametri'!$B$6*AD797))),MAX(0,2*AD781-(AH796-MIN(MAX(AH796,0),MAX(0,AD781-IF($A797&gt;='1-Input'!$C$12,'1-Input'!$B$12,0)))))*(1/(1-'P-Parametri'!$B$6*AD797))))</f>
        <v>22559.61241559418</v>
      </c>
      <c r="AF797" s="18">
        <f>IF($A797&gt;'1-Input'!$B$26,AH796,(AH796-MAX(0,AD781-IF($A797&gt;='1-Input'!$C$12,'1-Input'!$B$12,0))+AE797*(1-'P-Parametri'!$B$6*AD797))*(1+'1-Input'!$B$27))</f>
        <v>38652.676856956641</v>
      </c>
      <c r="AG797" s="18">
        <f>IF($A797&gt;'1-Input'!$B$26,AI796,(AI796-AE797)*(1+$D$4))</f>
        <v>269244.40720616357</v>
      </c>
      <c r="AH797" s="18">
        <f>IF($A797&gt;'1-Input'!$B$26,AF797,AF797-'P-Parametri'!$B$8*(AG797+AF797)+MIN(MAX(AG797,0),'P-Parametri'!$B$8*(AG797+AF797)))</f>
        <v>38652.676856956641</v>
      </c>
      <c r="AI797" s="18">
        <f>IF($A797&gt;'1-Input'!$B$26,AG797,AG797-MIN(MAX(AG797,0),'P-Parametri'!$B$8*(AG797+AF797)))</f>
        <v>268628.61303803732</v>
      </c>
      <c r="AJ797" s="18">
        <f>IF($A797&gt;'1-Input'!$B$26,AJ796,AJ796-AE797*(1-AD797))</f>
        <v>125425.88684414297</v>
      </c>
      <c r="AK797" s="11">
        <f>IF($A797&gt;'1-Input'!$B$26,0,IF(AP796&lt;=0,0,MAX(0,(AP796-AQ796)/AP796)))</f>
        <v>0.51552223090829552</v>
      </c>
      <c r="AL797" s="18">
        <f>IF($A797&gt;'1-Input'!$B$26,0,(MAX(0,AK781-IF($A797&gt;='1-Input'!$C$12,'1-Input'!$B$12,0))-MIN(MAX(AO796,0),MAX(0,AK781-IF($A797&gt;='1-Input'!$C$12,'1-Input'!$B$12,0))))*(1/(1-'P-Parametri'!$B$6*AK797))+MIN(MAX(0,AP796-(MAX(0,AK781-IF($A797&gt;='1-Input'!$C$12,'1-Input'!$B$12,0))-MIN(MAX(AO796,0),MAX(0,AK781-IF($A797&gt;='1-Input'!$C$12,'1-Input'!$B$12,0))))*(1/(1-'P-Parametri'!$B$6*AK797))),MAX(0,2*AK781-(AO796-MIN(MAX(AO796,0),MAX(0,AK781-IF($A797&gt;='1-Input'!$C$12,'1-Input'!$B$12,0)))))*(1/(1-'P-Parametri'!$B$6*AK797))))</f>
        <v>22559.858137370105</v>
      </c>
      <c r="AM797" s="18">
        <f>IF($A797&gt;'1-Input'!$B$26,AO796,(AO796-MAX(0,AK781-IF($A797&gt;='1-Input'!$C$12,'1-Input'!$B$12,0))+AL797*(1-'P-Parametri'!$B$6*AK797))*(1+'1-Input'!$B$27))</f>
        <v>38653.098186232593</v>
      </c>
      <c r="AN797" s="18">
        <f>IF($A797&gt;'1-Input'!$B$26,AP796,(AP796-AL797)*(1+$D$4))</f>
        <v>269239.27027989697</v>
      </c>
      <c r="AO797" s="18">
        <f>IF($A797&gt;'1-Input'!$B$26,AM797,AM797-'P-Parametri'!$B$8*(AN797+AM797)+MIN(MAX(AN797,0),'P-Parametri'!$B$8*(AN797+AM797)))</f>
        <v>38653.098186232593</v>
      </c>
      <c r="AP797" s="18">
        <f>IF($A797&gt;'1-Input'!$B$26,AN797,AN797-MIN(MAX(AN797,0),'P-Parametri'!$B$8*(AN797+AM797)))</f>
        <v>268623.48554296471</v>
      </c>
      <c r="AQ797" s="18">
        <f>IF($A797&gt;'1-Input'!$B$26,AQ796,AQ796-AL797*(1-AK797))</f>
        <v>125423.50097796434</v>
      </c>
    </row>
    <row r="798" spans="1:43">
      <c r="A798" s="10">
        <f>15</f>
        <v>15</v>
      </c>
      <c r="B798" s="11">
        <f>IF($A798&gt;'1-Input'!$B$26,0,IF(G797&lt;=0,0,MAX(0,(G797-H797)/G797)))</f>
        <v>0.53343476465372475</v>
      </c>
      <c r="C798" s="18">
        <f>IF($A798&gt;'1-Input'!$B$26,0,(MAX(0,B781-IF($A798&gt;='1-Input'!$C$12,'1-Input'!$B$12,0))-MIN(MAX(F797,0),MAX(0,B781-IF($A798&gt;='1-Input'!$C$12,'1-Input'!$B$12,0))))*(1/(1-'P-Parametri'!$B$6*B798))+MIN(MAX(0,G797-(MAX(0,B781-IF($A798&gt;='1-Input'!$C$12,'1-Input'!$B$12,0))-MIN(MAX(F797,0),MAX(0,B781-IF($A798&gt;='1-Input'!$C$12,'1-Input'!$B$12,0))))*(1/(1-'P-Parametri'!$B$6*B798))),MAX(0,2*B781-(F797-MIN(MAX(F797,0),MAX(0,B781-IF($A798&gt;='1-Input'!$C$12,'1-Input'!$B$12,0)))))*(1/(1-'P-Parametri'!$B$6*B798))))</f>
        <v>19506.586698983196</v>
      </c>
      <c r="D798" s="18">
        <f>IF($A798&gt;'1-Input'!$B$26,F797,(F797-MAX(0,B781-IF($A798&gt;='1-Input'!$C$12,'1-Input'!$B$12,0))+C798*(1-'P-Parametri'!$B$6*B798))*(1+'1-Input'!$B$27))</f>
        <v>33242.0070309863</v>
      </c>
      <c r="E798" s="18">
        <f>IF($A798&gt;'1-Input'!$B$26,G797,(G797-C798)*(1+$D$4))</f>
        <v>327571.33450732665</v>
      </c>
      <c r="F798" s="18">
        <f>IF($A798&gt;'1-Input'!$B$26,D798,D798-'P-Parametri'!$B$8*(E798+D798)+MIN(MAX(E798,0),'P-Parametri'!$B$8*(E798+D798)))</f>
        <v>33242.0070309863</v>
      </c>
      <c r="G798" s="18">
        <f>IF($A798&gt;'1-Input'!$B$26,E798,E798-MIN(MAX(E798,0),'P-Parametri'!$B$8*(E798+D798)))</f>
        <v>326849.70782425004</v>
      </c>
      <c r="H798" s="18">
        <f>IF($A798&gt;'1-Input'!$B$26,H797,H797-C798*(1-B798))</f>
        <v>146955.18920875416</v>
      </c>
      <c r="I798" s="11">
        <f>IF($A798&gt;'1-Input'!$B$26,0,IF(N797&lt;=0,0,MAX(0,(N797-O797)/N797)))</f>
        <v>0.53266088385139465</v>
      </c>
      <c r="J798" s="18">
        <f>IF($A798&gt;'1-Input'!$B$26,0,(MAX(0,I781-IF($A798&gt;='1-Input'!$C$12,'1-Input'!$B$12,0))-MIN(MAX(M797,0),MAX(0,I781-IF($A798&gt;='1-Input'!$C$12,'1-Input'!$B$12,0))))*(1/(1-'P-Parametri'!$B$6*I798))+MIN(MAX(0,N797-(MAX(0,I781-IF($A798&gt;='1-Input'!$C$12,'1-Input'!$B$12,0))-MIN(MAX(M797,0),MAX(0,I781-IF($A798&gt;='1-Input'!$C$12,'1-Input'!$B$12,0))))*(1/(1-'P-Parametri'!$B$6*I798))),MAX(0,2*I781-(M797-MIN(MAX(M797,0),MAX(0,I781-IF($A798&gt;='1-Input'!$C$12,'1-Input'!$B$12,0)))))*(1/(1-'P-Parametri'!$B$6*I798))))</f>
        <v>25660.566908124198</v>
      </c>
      <c r="K798" s="18">
        <f>IF($A798&gt;'1-Input'!$B$26,M797,(M797-MAX(0,I781-IF($A798&gt;='1-Input'!$C$12,'1-Input'!$B$12,0))+J798*(1-'P-Parametri'!$B$6*I798))*(1+'1-Input'!$B$27))</f>
        <v>43739.482935508291</v>
      </c>
      <c r="L798" s="18">
        <f>IF($A798&gt;'1-Input'!$B$26,N797,(N797-J798)*(1+$D$4))</f>
        <v>188309.06291670544</v>
      </c>
      <c r="M798" s="18">
        <f>IF($A798&gt;'1-Input'!$B$26,K798,K798-'P-Parametri'!$B$8*(L798+K798)+MIN(MAX(L798,0),'P-Parametri'!$B$8*(L798+K798)))</f>
        <v>43739.482935508291</v>
      </c>
      <c r="N798" s="18">
        <f>IF($A798&gt;'1-Input'!$B$26,L798,L798-MIN(MAX(L798,0),'P-Parametri'!$B$8*(L798+K798)))</f>
        <v>187844.96582500101</v>
      </c>
      <c r="O798" s="18">
        <f>IF($A798&gt;'1-Input'!$B$26,O797,O797-J798*(1-I798))</f>
        <v>84619.414448331954</v>
      </c>
      <c r="P798" s="11">
        <f>IF($A798&gt;'1-Input'!$B$26,0,IF(U797&lt;=0,0,MAX(0,(U797-V797)/U797)))</f>
        <v>0.53302155907783799</v>
      </c>
      <c r="Q798" s="18">
        <f>IF($A798&gt;'1-Input'!$B$26,0,(MAX(0,P781-IF($A798&gt;='1-Input'!$C$12,'1-Input'!$B$12,0))-MIN(MAX(T797,0),MAX(0,P781-IF($A798&gt;='1-Input'!$C$12,'1-Input'!$B$12,0))))*(1/(1-'P-Parametri'!$B$6*P798))+MIN(MAX(0,U797-(MAX(0,P781-IF($A798&gt;='1-Input'!$C$12,'1-Input'!$B$12,0))-MIN(MAX(T797,0),MAX(0,P781-IF($A798&gt;='1-Input'!$C$12,'1-Input'!$B$12,0))))*(1/(1-'P-Parametri'!$B$6*P798))),MAX(0,2*P781-(T797-MIN(MAX(T797,0),MAX(0,P781-IF($A798&gt;='1-Input'!$C$12,'1-Input'!$B$12,0)))))*(1/(1-'P-Parametri'!$B$6*P798))))</f>
        <v>23204.087426527265</v>
      </c>
      <c r="R798" s="18">
        <f>IF($A798&gt;'1-Input'!$B$26,T797,(T797-MAX(0,P781-IF($A798&gt;='1-Input'!$C$12,'1-Input'!$B$12,0))+Q798*(1-'P-Parametri'!$B$6*P798))*(1+'1-Input'!$B$27))</f>
        <v>39548.008177054835</v>
      </c>
      <c r="S798" s="18">
        <f>IF($A798&gt;'1-Input'!$B$26,U797,(U797-Q798)*(1+$D$4))</f>
        <v>243909.77232771053</v>
      </c>
      <c r="T798" s="18">
        <f>IF($A798&gt;'1-Input'!$B$26,R798,R798-'P-Parametri'!$B$8*(S798+R798)+MIN(MAX(S798,0),'P-Parametri'!$B$8*(S798+R798)))</f>
        <v>39548.008177054835</v>
      </c>
      <c r="U798" s="18">
        <f>IF($A798&gt;'1-Input'!$B$26,S798,S798-MIN(MAX(S798,0),'P-Parametri'!$B$8*(S798+R798)))</f>
        <v>243342.85676670101</v>
      </c>
      <c r="V798" s="18">
        <f>IF($A798&gt;'1-Input'!$B$26,V797,V797-Q798*(1-P798))</f>
        <v>109519.81269930169</v>
      </c>
      <c r="W798" s="11">
        <f>IF($A798&gt;'1-Input'!$B$26,0,IF(AB797&lt;=0,0,MAX(0,(AB797-AC797)/AB797)))</f>
        <v>0.53308529497899626</v>
      </c>
      <c r="X798" s="18">
        <f>IF($A798&gt;'1-Input'!$B$26,0,(MAX(0,W781-IF($A798&gt;='1-Input'!$C$12,'1-Input'!$B$12,0))-MIN(MAX(AA797,0),MAX(0,W781-IF($A798&gt;='1-Input'!$C$12,'1-Input'!$B$12,0))))*(1/(1-'P-Parametri'!$B$6*W798))+MIN(MAX(0,AB797-(MAX(0,W781-IF($A798&gt;='1-Input'!$C$12,'1-Input'!$B$12,0))-MIN(MAX(AA797,0),MAX(0,W781-IF($A798&gt;='1-Input'!$C$12,'1-Input'!$B$12,0))))*(1/(1-'P-Parametri'!$B$6*W798))),MAX(0,2*W781-(AA797-MIN(MAX(AA797,0),MAX(0,W781-IF($A798&gt;='1-Input'!$C$12,'1-Input'!$B$12,0)))))*(1/(1-'P-Parametri'!$B$6*W798))))</f>
        <v>22702.115063467692</v>
      </c>
      <c r="Y798" s="18">
        <f>IF($A798&gt;'1-Input'!$B$26,AA797,(AA797-MAX(0,W781-IF($A798&gt;='1-Input'!$C$12,'1-Input'!$B$12,0))+X798*(1-'P-Parametri'!$B$6*W798))*(1+'1-Input'!$B$27))</f>
        <v>38691.724605045303</v>
      </c>
      <c r="Z798" s="18">
        <f>IF($A798&gt;'1-Input'!$B$26,AB797,(AB797-X798)*(1+$D$4))</f>
        <v>255269.34649041548</v>
      </c>
      <c r="AA798" s="18">
        <f>IF($A798&gt;'1-Input'!$B$26,Y798,Y798-'P-Parametri'!$B$8*(Z798+Y798)+MIN(MAX(Z798,0),'P-Parametri'!$B$8*(Z798+Y798)))</f>
        <v>38691.724605045303</v>
      </c>
      <c r="AB798" s="18">
        <f>IF($A798&gt;'1-Input'!$B$26,Z798,Z798-MIN(MAX(Z798,0),'P-Parametri'!$B$8*(Z798+Y798)))</f>
        <v>254681.42434822457</v>
      </c>
      <c r="AC798" s="18">
        <f>IF($A798&gt;'1-Input'!$B$26,AC797,AC797-X798*(1-W798))</f>
        <v>114604.8188629584</v>
      </c>
      <c r="AD798" s="11">
        <f>IF($A798&gt;'1-Input'!$B$26,0,IF(AI797&lt;=0,0,MAX(0,(AI797-AJ797)/AI797)))</f>
        <v>0.53308813448557357</v>
      </c>
      <c r="AE798" s="18">
        <f>IF($A798&gt;'1-Input'!$B$26,0,(MAX(0,AD781-IF($A798&gt;='1-Input'!$C$12,'1-Input'!$B$12,0))-MIN(MAX(AH797,0),MAX(0,AD781-IF($A798&gt;='1-Input'!$C$12,'1-Input'!$B$12,0))))*(1/(1-'P-Parametri'!$B$6*AD798))+MIN(MAX(0,AI797-(MAX(0,AD781-IF($A798&gt;='1-Input'!$C$12,'1-Input'!$B$12,0))-MIN(MAX(AH797,0),MAX(0,AD781-IF($A798&gt;='1-Input'!$C$12,'1-Input'!$B$12,0))))*(1/(1-'P-Parametri'!$B$6*AD798))),MAX(0,2*AD781-(AH797-MIN(MAX(AH797,0),MAX(0,AD781-IF($A798&gt;='1-Input'!$C$12,'1-Input'!$B$12,0)))))*(1/(1-'P-Parametri'!$B$6*AD798))))</f>
        <v>22679.223491475965</v>
      </c>
      <c r="AF798" s="18">
        <f>IF($A798&gt;'1-Input'!$B$26,AH797,(AH797-MAX(0,AD781-IF($A798&gt;='1-Input'!$C$12,'1-Input'!$B$12,0))+AE798*(1-'P-Parametri'!$B$6*AD798))*(1+'1-Input'!$B$27))</f>
        <v>38652.676856956641</v>
      </c>
      <c r="AG798" s="18">
        <f>IF($A798&gt;'1-Input'!$B$26,AI797,(AI797-AE798)*(1+$D$4))</f>
        <v>255787.36512842381</v>
      </c>
      <c r="AH798" s="18">
        <f>IF($A798&gt;'1-Input'!$B$26,AF798,AF798-'P-Parametri'!$B$8*(AG798+AF798)+MIN(MAX(AG798,0),'P-Parametri'!$B$8*(AG798+AF798)))</f>
        <v>38652.676856956641</v>
      </c>
      <c r="AI798" s="18">
        <f>IF($A798&gt;'1-Input'!$B$26,AG798,AG798-MIN(MAX(AG798,0),'P-Parametri'!$B$8*(AG798+AF798)))</f>
        <v>255198.48504445306</v>
      </c>
      <c r="AJ798" s="18">
        <f>IF($A798&gt;'1-Input'!$B$26,AJ797,AJ797-AE798*(1-AD798))</f>
        <v>114836.68829531933</v>
      </c>
      <c r="AK798" s="11">
        <f>IF($A798&gt;'1-Input'!$B$26,0,IF(AP797&lt;=0,0,MAX(0,(AP797-AQ797)/AP797)))</f>
        <v>0.5330881038772628</v>
      </c>
      <c r="AL798" s="18">
        <f>IF($A798&gt;'1-Input'!$B$26,0,(MAX(0,AK781-IF($A798&gt;='1-Input'!$C$12,'1-Input'!$B$12,0))-MIN(MAX(AO797,0),MAX(0,AK781-IF($A798&gt;='1-Input'!$C$12,'1-Input'!$B$12,0))))*(1/(1-'P-Parametri'!$B$6*AK798))+MIN(MAX(0,AP797-(MAX(0,AK781-IF($A798&gt;='1-Input'!$C$12,'1-Input'!$B$12,0))-MIN(MAX(AO797,0),MAX(0,AK781-IF($A798&gt;='1-Input'!$C$12,'1-Input'!$B$12,0))))*(1/(1-'P-Parametri'!$B$6*AK798))),MAX(0,2*AK781-(AO797-MIN(MAX(AO797,0),MAX(0,AK781-IF($A798&gt;='1-Input'!$C$12,'1-Input'!$B$12,0)))))*(1/(1-'P-Parametri'!$B$6*AK798))))</f>
        <v>22679.470494342728</v>
      </c>
      <c r="AM798" s="18">
        <f>IF($A798&gt;'1-Input'!$B$26,AO797,(AO797-MAX(0,AK781-IF($A798&gt;='1-Input'!$C$12,'1-Input'!$B$12,0))+AL798*(1-'P-Parametri'!$B$6*AK798))*(1+'1-Input'!$B$27))</f>
        <v>38653.098186232593</v>
      </c>
      <c r="AN798" s="18">
        <f>IF($A798&gt;'1-Input'!$B$26,AP797,(AP797-AL798)*(1+$D$4))</f>
        <v>255781.77565056688</v>
      </c>
      <c r="AO798" s="18">
        <f>IF($A798&gt;'1-Input'!$B$26,AM798,AM798-'P-Parametri'!$B$8*(AN798+AM798)+MIN(MAX(AN798,0),'P-Parametri'!$B$8*(AN798+AM798)))</f>
        <v>38653.098186232593</v>
      </c>
      <c r="AP798" s="18">
        <f>IF($A798&gt;'1-Input'!$B$26,AN798,AN798-MIN(MAX(AN798,0),'P-Parametri'!$B$8*(AN798+AM798)))</f>
        <v>255192.90590289328</v>
      </c>
      <c r="AQ798" s="18">
        <f>IF($A798&gt;'1-Input'!$B$26,AQ797,AQ797-AL798*(1-AK798))</f>
        <v>114834.18640639111</v>
      </c>
    </row>
    <row r="799" spans="1:43">
      <c r="A799" s="10">
        <f>16</f>
        <v>16</v>
      </c>
      <c r="B799" s="11">
        <f>IF($A799&gt;'1-Input'!$B$26,0,IF(G798&lt;=0,0,MAX(0,(G798-H798)/G798)))</f>
        <v>0.55038910639695826</v>
      </c>
      <c r="C799" s="18">
        <f>IF($A799&gt;'1-Input'!$B$26,0,(MAX(0,B781-IF($A799&gt;='1-Input'!$C$12,'1-Input'!$B$12,0))-MIN(MAX(F798,0),MAX(0,B781-IF($A799&gt;='1-Input'!$C$12,'1-Input'!$B$12,0))))*(1/(1-'P-Parametri'!$B$6*B799))+MIN(MAX(0,G798-(MAX(0,B781-IF($A799&gt;='1-Input'!$C$12,'1-Input'!$B$12,0))-MIN(MAX(F798,0),MAX(0,B781-IF($A799&gt;='1-Input'!$C$12,'1-Input'!$B$12,0))))*(1/(1-'P-Parametri'!$B$6*B799))),MAX(0,2*B781-(F798-MIN(MAX(F798,0),MAX(0,B781-IF($A799&gt;='1-Input'!$C$12,'1-Input'!$B$12,0)))))*(1/(1-'P-Parametri'!$B$6*B799))))</f>
        <v>19606.934073038476</v>
      </c>
      <c r="D799" s="18">
        <f>IF($A799&gt;'1-Input'!$B$26,F798,(F798-MAX(0,B781-IF($A799&gt;='1-Input'!$C$12,'1-Input'!$B$12,0))+C799*(1-'P-Parametri'!$B$6*B799))*(1+'1-Input'!$B$27))</f>
        <v>33242.0070309863</v>
      </c>
      <c r="E799" s="18">
        <f>IF($A799&gt;'1-Input'!$B$26,G798,(G798-C799)*(1+$D$4))</f>
        <v>319532.48470126005</v>
      </c>
      <c r="F799" s="18">
        <f>IF($A799&gt;'1-Input'!$B$26,D799,D799-'P-Parametri'!$B$8*(E799+D799)+MIN(MAX(E799,0),'P-Parametri'!$B$8*(E799+D799)))</f>
        <v>33242.0070309863</v>
      </c>
      <c r="G799" s="18">
        <f>IF($A799&gt;'1-Input'!$B$26,E799,E799-MIN(MAX(E799,0),'P-Parametri'!$B$8*(E799+D799)))</f>
        <v>318826.93571779557</v>
      </c>
      <c r="H799" s="18">
        <f>IF($A799&gt;'1-Input'!$B$26,H798,H798-C799*(1-B799))</f>
        <v>138139.69805935942</v>
      </c>
      <c r="I799" s="11">
        <f>IF($A799&gt;'1-Input'!$B$26,0,IF(N798&lt;=0,0,MAX(0,(N798-O798)/N798)))</f>
        <v>0.5495252477132414</v>
      </c>
      <c r="J799" s="18">
        <f>IF($A799&gt;'1-Input'!$B$26,0,(MAX(0,I781-IF($A799&gt;='1-Input'!$C$12,'1-Input'!$B$12,0))-MIN(MAX(M798,0),MAX(0,I781-IF($A799&gt;='1-Input'!$C$12,'1-Input'!$B$12,0))))*(1/(1-'P-Parametri'!$B$6*I799))+MIN(MAX(0,N798-(MAX(0,I781-IF($A799&gt;='1-Input'!$C$12,'1-Input'!$B$12,0))-MIN(MAX(M798,0),MAX(0,I781-IF($A799&gt;='1-Input'!$C$12,'1-Input'!$B$12,0))))*(1/(1-'P-Parametri'!$B$6*I799))),MAX(0,2*I781-(M798-MIN(MAX(M798,0),MAX(0,I781-IF($A799&gt;='1-Input'!$C$12,'1-Input'!$B$12,0)))))*(1/(1-'P-Parametri'!$B$6*I799))))</f>
        <v>25791.837120802862</v>
      </c>
      <c r="K799" s="18">
        <f>IF($A799&gt;'1-Input'!$B$26,M798,(M798-MAX(0,I781-IF($A799&gt;='1-Input'!$C$12,'1-Input'!$B$12,0))+J799*(1-'P-Parametri'!$B$6*I799))*(1+'1-Input'!$B$27))</f>
        <v>43739.482935508291</v>
      </c>
      <c r="L799" s="18">
        <f>IF($A799&gt;'1-Input'!$B$26,N798,(N798-J799)*(1+$D$4))</f>
        <v>168535.25385236606</v>
      </c>
      <c r="M799" s="18">
        <f>IF($A799&gt;'1-Input'!$B$26,K799,K799-'P-Parametri'!$B$8*(L799+K799)+MIN(MAX(L799,0),'P-Parametri'!$B$8*(L799+K799)))</f>
        <v>43739.482935508291</v>
      </c>
      <c r="N799" s="18">
        <f>IF($A799&gt;'1-Input'!$B$26,L799,L799-MIN(MAX(L799,0),'P-Parametri'!$B$8*(L799+K799)))</f>
        <v>168110.70437879031</v>
      </c>
      <c r="O799" s="18">
        <f>IF($A799&gt;'1-Input'!$B$26,O798,O798-J799*(1-I799))</f>
        <v>73000.843010317854</v>
      </c>
      <c r="P799" s="11">
        <f>IF($A799&gt;'1-Input'!$B$26,0,IF(U798&lt;=0,0,MAX(0,(U798-V798)/U798)))</f>
        <v>0.54993619227417423</v>
      </c>
      <c r="Q799" s="18">
        <f>IF($A799&gt;'1-Input'!$B$26,0,(MAX(0,P781-IF($A799&gt;='1-Input'!$C$12,'1-Input'!$B$12,0))-MIN(MAX(T798,0),MAX(0,P781-IF($A799&gt;='1-Input'!$C$12,'1-Input'!$B$12,0))))*(1/(1-'P-Parametri'!$B$6*P799))+MIN(MAX(0,U798-(MAX(0,P781-IF($A799&gt;='1-Input'!$C$12,'1-Input'!$B$12,0))-MIN(MAX(T798,0),MAX(0,P781-IF($A799&gt;='1-Input'!$C$12,'1-Input'!$B$12,0))))*(1/(1-'P-Parametri'!$B$6*P799))),MAX(0,2*P781-(T798-MIN(MAX(T798,0),MAX(0,P781-IF($A799&gt;='1-Input'!$C$12,'1-Input'!$B$12,0)))))*(1/(1-'P-Parametri'!$B$6*P799))))</f>
        <v>23323.159850950906</v>
      </c>
      <c r="R799" s="18">
        <f>IF($A799&gt;'1-Input'!$B$26,T798,(T798-MAX(0,P781-IF($A799&gt;='1-Input'!$C$12,'1-Input'!$B$12,0))+Q799*(1-'P-Parametri'!$B$6*P799))*(1+'1-Input'!$B$27))</f>
        <v>39548.008177054842</v>
      </c>
      <c r="S799" s="18">
        <f>IF($A799&gt;'1-Input'!$B$26,U798,(U798-Q799)*(1+$D$4))</f>
        <v>228820.4847923801</v>
      </c>
      <c r="T799" s="18">
        <f>IF($A799&gt;'1-Input'!$B$26,R799,R799-'P-Parametri'!$B$8*(S799+R799)+MIN(MAX(S799,0),'P-Parametri'!$B$8*(S799+R799)))</f>
        <v>39548.008177054842</v>
      </c>
      <c r="U799" s="18">
        <f>IF($A799&gt;'1-Input'!$B$26,S799,S799-MIN(MAX(S799,0),'P-Parametri'!$B$8*(S799+R799)))</f>
        <v>228283.74780644124</v>
      </c>
      <c r="V799" s="18">
        <f>IF($A799&gt;'1-Input'!$B$26,V798,V798-Q799*(1-P799))</f>
        <v>99022.902568584628</v>
      </c>
      <c r="W799" s="11">
        <f>IF($A799&gt;'1-Input'!$B$26,0,IF(AB798&lt;=0,0,MAX(0,(AB798-AC798)/AB798)))</f>
        <v>0.55000715440377057</v>
      </c>
      <c r="X799" s="18">
        <f>IF($A799&gt;'1-Input'!$B$26,0,(MAX(0,W781-IF($A799&gt;='1-Input'!$C$12,'1-Input'!$B$12,0))-MIN(MAX(AA798,0),MAX(0,W781-IF($A799&gt;='1-Input'!$C$12,'1-Input'!$B$12,0))))*(1/(1-'P-Parametri'!$B$6*W799))+MIN(MAX(0,AB798-(MAX(0,W781-IF($A799&gt;='1-Input'!$C$12,'1-Input'!$B$12,0))-MIN(MAX(AA798,0),MAX(0,W781-IF($A799&gt;='1-Input'!$C$12,'1-Input'!$B$12,0))))*(1/(1-'P-Parametri'!$B$6*W799))),MAX(0,2*W781-(AA798-MIN(MAX(AA798,0),MAX(0,W781-IF($A799&gt;='1-Input'!$C$12,'1-Input'!$B$12,0)))))*(1/(1-'P-Parametri'!$B$6*W799))))</f>
        <v>22818.663881125151</v>
      </c>
      <c r="Y799" s="18">
        <f>IF($A799&gt;'1-Input'!$B$26,AA798,(AA798-MAX(0,W781-IF($A799&gt;='1-Input'!$C$12,'1-Input'!$B$12,0))+X799*(1-'P-Parametri'!$B$6*W799))*(1+'1-Input'!$B$27))</f>
        <v>38691.724605045296</v>
      </c>
      <c r="Z799" s="18">
        <f>IF($A799&gt;'1-Input'!$B$26,AB798,(AB798-X799)*(1+$D$4))</f>
        <v>241137.27088578339</v>
      </c>
      <c r="AA799" s="18">
        <f>IF($A799&gt;'1-Input'!$B$26,Y799,Y799-'P-Parametri'!$B$8*(Z799+Y799)+MIN(MAX(Z799,0),'P-Parametri'!$B$8*(Z799+Y799)))</f>
        <v>38691.724605045296</v>
      </c>
      <c r="AB799" s="18">
        <f>IF($A799&gt;'1-Input'!$B$26,Z799,Z799-MIN(MAX(Z799,0),'P-Parametri'!$B$8*(Z799+Y799)))</f>
        <v>240577.61289480174</v>
      </c>
      <c r="AC799" s="18">
        <f>IF($A799&gt;'1-Input'!$B$26,AC798,AC798-X799*(1-W799))</f>
        <v>104336.583370387</v>
      </c>
      <c r="AD799" s="11">
        <f>IF($A799&gt;'1-Input'!$B$26,0,IF(AI798&lt;=0,0,MAX(0,(AI798-AJ798)/AI798)))</f>
        <v>0.55001030560461239</v>
      </c>
      <c r="AE799" s="18">
        <f>IF($A799&gt;'1-Input'!$B$26,0,(MAX(0,AD781-IF($A799&gt;='1-Input'!$C$12,'1-Input'!$B$12,0))-MIN(MAX(AH798,0),MAX(0,AD781-IF($A799&gt;='1-Input'!$C$12,'1-Input'!$B$12,0))))*(1/(1-'P-Parametri'!$B$6*AD799))+MIN(MAX(0,AI798-(MAX(0,AD781-IF($A799&gt;='1-Input'!$C$12,'1-Input'!$B$12,0))-MIN(MAX(AH798,0),MAX(0,AD781-IF($A799&gt;='1-Input'!$C$12,'1-Input'!$B$12,0))))*(1/(1-'P-Parametri'!$B$6*AD799))),MAX(0,2*AD781-(AH798-MIN(MAX(AH798,0),MAX(0,AD781-IF($A799&gt;='1-Input'!$C$12,'1-Input'!$B$12,0)))))*(1/(1-'P-Parametri'!$B$6*AD799))))</f>
        <v>22795.657043609961</v>
      </c>
      <c r="AF799" s="18">
        <f>IF($A799&gt;'1-Input'!$B$26,AH798,(AH798-MAX(0,AD781-IF($A799&gt;='1-Input'!$C$12,'1-Input'!$B$12,0))+AE799*(1-'P-Parametri'!$B$6*AD799))*(1+'1-Input'!$B$27))</f>
        <v>38652.676856956634</v>
      </c>
      <c r="AG799" s="18">
        <f>IF($A799&gt;'1-Input'!$B$26,AI798,(AI798-AE799)*(1+$D$4))</f>
        <v>241698.94112087681</v>
      </c>
      <c r="AH799" s="18">
        <f>IF($A799&gt;'1-Input'!$B$26,AF799,AF799-'P-Parametri'!$B$8*(AG799+AF799)+MIN(MAX(AG799,0),'P-Parametri'!$B$8*(AG799+AF799)))</f>
        <v>38652.676856956634</v>
      </c>
      <c r="AI799" s="18">
        <f>IF($A799&gt;'1-Input'!$B$26,AG799,AG799-MIN(MAX(AG799,0),'P-Parametri'!$B$8*(AG799+AF799)))</f>
        <v>241138.23788492114</v>
      </c>
      <c r="AJ799" s="18">
        <f>IF($A799&gt;'1-Input'!$B$26,AJ798,AJ798-AE799*(1-AD799))</f>
        <v>104578.87754872322</v>
      </c>
      <c r="AK799" s="11">
        <f>IF($A799&gt;'1-Input'!$B$26,0,IF(AP798&lt;=0,0,MAX(0,(AP798-AQ798)/AP798)))</f>
        <v>0.55001027164098315</v>
      </c>
      <c r="AL799" s="18">
        <f>IF($A799&gt;'1-Input'!$B$26,0,(MAX(0,AK781-IF($A799&gt;='1-Input'!$C$12,'1-Input'!$B$12,0))-MIN(MAX(AO798,0),MAX(0,AK781-IF($A799&gt;='1-Input'!$C$12,'1-Input'!$B$12,0))))*(1/(1-'P-Parametri'!$B$6*AK799))+MIN(MAX(0,AP798-(MAX(0,AK781-IF($A799&gt;='1-Input'!$C$12,'1-Input'!$B$12,0))-MIN(MAX(AO798,0),MAX(0,AK781-IF($A799&gt;='1-Input'!$C$12,'1-Input'!$B$12,0))))*(1/(1-'P-Parametri'!$B$6*AK799))),MAX(0,2*AK781-(AO798-MIN(MAX(AO798,0),MAX(0,AK781-IF($A799&gt;='1-Input'!$C$12,'1-Input'!$B$12,0)))))*(1/(1-'P-Parametri'!$B$6*AK799))))</f>
        <v>22795.905290285842</v>
      </c>
      <c r="AM799" s="18">
        <f>IF($A799&gt;'1-Input'!$B$26,AO798,(AO798-MAX(0,AK781-IF($A799&gt;='1-Input'!$C$12,'1-Input'!$B$12,0))+AL799*(1-'P-Parametri'!$B$6*AK799))*(1+'1-Input'!$B$27))</f>
        <v>38653.098186232586</v>
      </c>
      <c r="AN799" s="18">
        <f>IF($A799&gt;'1-Input'!$B$26,AP798,(AP798-AL799)*(1+$D$4))</f>
        <v>241692.88063711172</v>
      </c>
      <c r="AO799" s="18">
        <f>IF($A799&gt;'1-Input'!$B$26,AM799,AM799-'P-Parametri'!$B$8*(AN799+AM799)+MIN(MAX(AN799,0),'P-Parametri'!$B$8*(AN799+AM799)))</f>
        <v>38653.098186232586</v>
      </c>
      <c r="AP799" s="18">
        <f>IF($A799&gt;'1-Input'!$B$26,AN799,AN799-MIN(MAX(AN799,0),'P-Parametri'!$B$8*(AN799+AM799)))</f>
        <v>241132.18867946503</v>
      </c>
      <c r="AQ799" s="18">
        <f>IF($A799&gt;'1-Input'!$B$26,AQ798,AQ798-AL799*(1-AK799))</f>
        <v>104576.26317711751</v>
      </c>
    </row>
    <row r="800" spans="1:43">
      <c r="A800" s="10">
        <f>17</f>
        <v>17</v>
      </c>
      <c r="B800" s="11">
        <f>IF($A800&gt;'1-Input'!$B$26,0,IF(G799&lt;=0,0,MAX(0,(G799-H799)/G799)))</f>
        <v>0.5667251333443436</v>
      </c>
      <c r="C800" s="18">
        <f>IF($A800&gt;'1-Input'!$B$26,0,(MAX(0,B781-IF($A800&gt;='1-Input'!$C$12,'1-Input'!$B$12,0))-MIN(MAX(F799,0),MAX(0,B781-IF($A800&gt;='1-Input'!$C$12,'1-Input'!$B$12,0))))*(1/(1-'P-Parametri'!$B$6*B800))+MIN(MAX(0,G799-(MAX(0,B781-IF($A800&gt;='1-Input'!$C$12,'1-Input'!$B$12,0))-MIN(MAX(F799,0),MAX(0,B781-IF($A800&gt;='1-Input'!$C$12,'1-Input'!$B$12,0))))*(1/(1-'P-Parametri'!$B$6*B800))),MAX(0,2*B781-(F799-MIN(MAX(F799,0),MAX(0,B781-IF($A800&gt;='1-Input'!$C$12,'1-Input'!$B$12,0)))))*(1/(1-'P-Parametri'!$B$6*B800))))</f>
        <v>19704.603341506387</v>
      </c>
      <c r="D800" s="18">
        <f>IF($A800&gt;'1-Input'!$B$26,F799,(F799-MAX(0,B781-IF($A800&gt;='1-Input'!$C$12,'1-Input'!$B$12,0))+C800*(1-'P-Parametri'!$B$6*B800))*(1+'1-Input'!$B$27))</f>
        <v>33242.0070309863</v>
      </c>
      <c r="E800" s="18">
        <f>IF($A800&gt;'1-Input'!$B$26,G799,(G799-C800)*(1+$D$4))</f>
        <v>311087.22567134077</v>
      </c>
      <c r="F800" s="18">
        <f>IF($A800&gt;'1-Input'!$B$26,D800,D800-'P-Parametri'!$B$8*(E800+D800)+MIN(MAX(E800,0),'P-Parametri'!$B$8*(E800+D800)))</f>
        <v>33242.0070309863</v>
      </c>
      <c r="G800" s="18">
        <f>IF($A800&gt;'1-Input'!$B$26,E800,E800-MIN(MAX(E800,0),'P-Parametri'!$B$8*(E800+D800)))</f>
        <v>310398.56720593612</v>
      </c>
      <c r="H800" s="18">
        <f>IF($A800&gt;'1-Input'!$B$26,H799,H799-C800*(1-B800))</f>
        <v>129602.18867406563</v>
      </c>
      <c r="I800" s="11">
        <f>IF($A800&gt;'1-Input'!$B$26,0,IF(N799&lt;=0,0,MAX(0,(N799-O799)/N799)))</f>
        <v>0.56575731878541813</v>
      </c>
      <c r="J800" s="18">
        <f>IF($A800&gt;'1-Input'!$B$26,0,(MAX(0,I781-IF($A800&gt;='1-Input'!$C$12,'1-Input'!$B$12,0))-MIN(MAX(M799,0),MAX(0,I781-IF($A800&gt;='1-Input'!$C$12,'1-Input'!$B$12,0))))*(1/(1-'P-Parametri'!$B$6*I800))+MIN(MAX(0,N799-(MAX(0,I781-IF($A800&gt;='1-Input'!$C$12,'1-Input'!$B$12,0))-MIN(MAX(M799,0),MAX(0,I781-IF($A800&gt;='1-Input'!$C$12,'1-Input'!$B$12,0))))*(1/(1-'P-Parametri'!$B$6*I800))),MAX(0,2*I781-(M799-MIN(MAX(M799,0),MAX(0,I781-IF($A800&gt;='1-Input'!$C$12,'1-Input'!$B$12,0)))))*(1/(1-'P-Parametri'!$B$6*I800))))</f>
        <v>25919.460391262404</v>
      </c>
      <c r="K800" s="18">
        <f>IF($A800&gt;'1-Input'!$B$26,M799,(M799-MAX(0,I781-IF($A800&gt;='1-Input'!$C$12,'1-Input'!$B$12,0))+J800*(1-'P-Parametri'!$B$6*I800))*(1+'1-Input'!$B$27))</f>
        <v>43739.482935508291</v>
      </c>
      <c r="L800" s="18">
        <f>IF($A800&gt;'1-Input'!$B$26,N799,(N799-J800)*(1+$D$4))</f>
        <v>147878.89374702904</v>
      </c>
      <c r="M800" s="18">
        <f>IF($A800&gt;'1-Input'!$B$26,K800,K800-'P-Parametri'!$B$8*(L800+K800)+MIN(MAX(L800,0),'P-Parametri'!$B$8*(L800+K800)))</f>
        <v>43739.482935508291</v>
      </c>
      <c r="N800" s="18">
        <f>IF($A800&gt;'1-Input'!$B$26,L800,L800-MIN(MAX(L800,0),'P-Parametri'!$B$8*(L800+K800)))</f>
        <v>147495.65699366396</v>
      </c>
      <c r="O800" s="18">
        <f>IF($A800&gt;'1-Input'!$B$26,O799,O799-J800*(1-I800))</f>
        <v>61745.507034380913</v>
      </c>
      <c r="P800" s="11">
        <f>IF($A800&gt;'1-Input'!$B$26,0,IF(U799&lt;=0,0,MAX(0,(U799-V799)/U799)))</f>
        <v>0.5662288554481556</v>
      </c>
      <c r="Q800" s="18">
        <f>IF($A800&gt;'1-Input'!$B$26,0,(MAX(0,P781-IF($A800&gt;='1-Input'!$C$12,'1-Input'!$B$12,0))-MIN(MAX(T799,0),MAX(0,P781-IF($A800&gt;='1-Input'!$C$12,'1-Input'!$B$12,0))))*(1/(1-'P-Parametri'!$B$6*P800))+MIN(MAX(0,U799-(MAX(0,P781-IF($A800&gt;='1-Input'!$C$12,'1-Input'!$B$12,0))-MIN(MAX(T799,0),MAX(0,P781-IF($A800&gt;='1-Input'!$C$12,'1-Input'!$B$12,0))))*(1/(1-'P-Parametri'!$B$6*P800))),MAX(0,2*P781-(T799-MIN(MAX(T799,0),MAX(0,P781-IF($A800&gt;='1-Input'!$C$12,'1-Input'!$B$12,0)))))*(1/(1-'P-Parametri'!$B$6*P800))))</f>
        <v>23439.015057603876</v>
      </c>
      <c r="R800" s="18">
        <f>IF($A800&gt;'1-Input'!$B$26,T799,(T799-MAX(0,P781-IF($A800&gt;='1-Input'!$C$12,'1-Input'!$B$12,0))+Q800*(1-'P-Parametri'!$B$6*P800))*(1+'1-Input'!$B$27))</f>
        <v>39548.008177054842</v>
      </c>
      <c r="S800" s="18">
        <f>IF($A800&gt;'1-Input'!$B$26,U799,(U799-Q800)*(1+$D$4))</f>
        <v>213038.52205879087</v>
      </c>
      <c r="T800" s="18">
        <f>IF($A800&gt;'1-Input'!$B$26,R800,R800-'P-Parametri'!$B$8*(S800+R800)+MIN(MAX(S800,0),'P-Parametri'!$B$8*(S800+R800)))</f>
        <v>39548.008177054842</v>
      </c>
      <c r="U800" s="18">
        <f>IF($A800&gt;'1-Input'!$B$26,S800,S800-MIN(MAX(S800,0),'P-Parametri'!$B$8*(S800+R800)))</f>
        <v>212533.34899831918</v>
      </c>
      <c r="V800" s="18">
        <f>IF($A800&gt;'1-Input'!$B$26,V799,V799-Q800*(1-P800))</f>
        <v>88855.734179879888</v>
      </c>
      <c r="W800" s="11">
        <f>IF($A800&gt;'1-Input'!$B$26,0,IF(AB799&lt;=0,0,MAX(0,(AB799-AC799)/AB799)))</f>
        <v>0.5663080113110498</v>
      </c>
      <c r="X800" s="18">
        <f>IF($A800&gt;'1-Input'!$B$26,0,(MAX(0,W781-IF($A800&gt;='1-Input'!$C$12,'1-Input'!$B$12,0))-MIN(MAX(AA799,0),MAX(0,W781-IF($A800&gt;='1-Input'!$C$12,'1-Input'!$B$12,0))))*(1/(1-'P-Parametri'!$B$6*W800))+MIN(MAX(0,AB799-(MAX(0,W781-IF($A800&gt;='1-Input'!$C$12,'1-Input'!$B$12,0))-MIN(MAX(AA799,0),MAX(0,W781-IF($A800&gt;='1-Input'!$C$12,'1-Input'!$B$12,0))))*(1/(1-'P-Parametri'!$B$6*W800))),MAX(0,2*W781-(AA799-MIN(MAX(AA799,0),MAX(0,W781-IF($A800&gt;='1-Input'!$C$12,'1-Input'!$B$12,0)))))*(1/(1-'P-Parametri'!$B$6*W800))))</f>
        <v>22932.072801382954</v>
      </c>
      <c r="Y800" s="18">
        <f>IF($A800&gt;'1-Input'!$B$26,AA799,(AA799-MAX(0,W781-IF($A800&gt;='1-Input'!$C$12,'1-Input'!$B$12,0))+X800*(1-'P-Parametri'!$B$6*W800))*(1+'1-Input'!$B$27))</f>
        <v>38691.72460504531</v>
      </c>
      <c r="Z800" s="18">
        <f>IF($A800&gt;'1-Input'!$B$26,AB799,(AB799-X800)*(1+$D$4))</f>
        <v>226351.36169715555</v>
      </c>
      <c r="AA800" s="18">
        <f>IF($A800&gt;'1-Input'!$B$26,Y800,Y800-'P-Parametri'!$B$8*(Z800+Y800)+MIN(MAX(Z800,0),'P-Parametri'!$B$8*(Z800+Y800)))</f>
        <v>38691.72460504531</v>
      </c>
      <c r="AB800" s="18">
        <f>IF($A800&gt;'1-Input'!$B$26,Z800,Z800-MIN(MAX(Z800,0),'P-Parametri'!$B$8*(Z800+Y800)))</f>
        <v>225821.27552455114</v>
      </c>
      <c r="AC800" s="18">
        <f>IF($A800&gt;'1-Input'!$B$26,AC799,AC799-X800*(1-W800))</f>
        <v>94391.12711239545</v>
      </c>
      <c r="AD800" s="11">
        <f>IF($A800&gt;'1-Input'!$B$26,0,IF(AI799&lt;=0,0,MAX(0,(AI799-AJ799)/AI799)))</f>
        <v>0.56631151298936011</v>
      </c>
      <c r="AE800" s="18">
        <f>IF($A800&gt;'1-Input'!$B$26,0,(MAX(0,AD781-IF($A800&gt;='1-Input'!$C$12,'1-Input'!$B$12,0))-MIN(MAX(AH799,0),MAX(0,AD781-IF($A800&gt;='1-Input'!$C$12,'1-Input'!$B$12,0))))*(1/(1-'P-Parametri'!$B$6*AD800))+MIN(MAX(0,AI799-(MAX(0,AD781-IF($A800&gt;='1-Input'!$C$12,'1-Input'!$B$12,0))-MIN(MAX(AH799,0),MAX(0,AD781-IF($A800&gt;='1-Input'!$C$12,'1-Input'!$B$12,0))))*(1/(1-'P-Parametri'!$B$6*AD800))),MAX(0,2*AD781-(AH799-MIN(MAX(AH799,0),MAX(0,AD781-IF($A800&gt;='1-Input'!$C$12,'1-Input'!$B$12,0)))))*(1/(1-'P-Parametri'!$B$6*AD800))))</f>
        <v>22908.954176579457</v>
      </c>
      <c r="AF800" s="18">
        <f>IF($A800&gt;'1-Input'!$B$26,AH799,(AH799-MAX(0,AD781-IF($A800&gt;='1-Input'!$C$12,'1-Input'!$B$12,0))+AE800*(1-'P-Parametri'!$B$6*AD800))*(1+'1-Input'!$B$27))</f>
        <v>38652.676856956648</v>
      </c>
      <c r="AG800" s="18">
        <f>IF($A800&gt;'1-Input'!$B$26,AI799,(AI799-AE800)*(1+$D$4))</f>
        <v>226958.45505667536</v>
      </c>
      <c r="AH800" s="18">
        <f>IF($A800&gt;'1-Input'!$B$26,AF800,AF800-'P-Parametri'!$B$8*(AG800+AF800)+MIN(MAX(AG800,0),'P-Parametri'!$B$8*(AG800+AF800)))</f>
        <v>38652.676856956648</v>
      </c>
      <c r="AI800" s="18">
        <f>IF($A800&gt;'1-Input'!$B$26,AG800,AG800-MIN(MAX(AG800,0),'P-Parametri'!$B$8*(AG800+AF800)))</f>
        <v>226427.23279284811</v>
      </c>
      <c r="AJ800" s="18">
        <f>IF($A800&gt;'1-Input'!$B$26,AJ799,AJ799-AE800*(1-AD800))</f>
        <v>94643.527872886392</v>
      </c>
      <c r="AK800" s="11">
        <f>IF($A800&gt;'1-Input'!$B$26,0,IF(AP799&lt;=0,0,MAX(0,(AP799-AQ799)/AP799)))</f>
        <v>0.5663114752542231</v>
      </c>
      <c r="AL800" s="18">
        <f>IF($A800&gt;'1-Input'!$B$26,0,(MAX(0,AK781-IF($A800&gt;='1-Input'!$C$12,'1-Input'!$B$12,0))-MIN(MAX(AO799,0),MAX(0,AK781-IF($A800&gt;='1-Input'!$C$12,'1-Input'!$B$12,0))))*(1/(1-'P-Parametri'!$B$6*AK800))+MIN(MAX(0,AP799-(MAX(0,AK781-IF($A800&gt;='1-Input'!$C$12,'1-Input'!$B$12,0))-MIN(MAX(AO799,0),MAX(0,AK781-IF($A800&gt;='1-Input'!$C$12,'1-Input'!$B$12,0))))*(1/(1-'P-Parametri'!$B$6*AK800))),MAX(0,2*AK781-(AO799-MIN(MAX(AO799,0),MAX(0,AK781-IF($A800&gt;='1-Input'!$C$12,'1-Input'!$B$12,0)))))*(1/(1-'P-Parametri'!$B$6*AK800))))</f>
        <v>22909.20362955426</v>
      </c>
      <c r="AM800" s="18">
        <f>IF($A800&gt;'1-Input'!$B$26,AO799,(AO799-MAX(0,AK781-IF($A800&gt;='1-Input'!$C$12,'1-Input'!$B$12,0))+AL800*(1-'P-Parametri'!$B$6*AK800))*(1+'1-Input'!$B$27))</f>
        <v>38653.098186232593</v>
      </c>
      <c r="AN800" s="18">
        <f>IF($A800&gt;'1-Input'!$B$26,AP799,(AP799-AL800)*(1+$D$4))</f>
        <v>226951.90445190723</v>
      </c>
      <c r="AO800" s="18">
        <f>IF($A800&gt;'1-Input'!$B$26,AM800,AM800-'P-Parametri'!$B$8*(AN800+AM800)+MIN(MAX(AN800,0),'P-Parametri'!$B$8*(AN800+AM800)))</f>
        <v>38653.098186232593</v>
      </c>
      <c r="AP800" s="18">
        <f>IF($A800&gt;'1-Input'!$B$26,AN800,AN800-MIN(MAX(AN800,0),'P-Parametri'!$B$8*(AN800+AM800)))</f>
        <v>226420.69444663095</v>
      </c>
      <c r="AQ800" s="18">
        <f>IF($A800&gt;'1-Input'!$B$26,AQ799,AQ799-AL800*(1-AK800))</f>
        <v>94640.804451915523</v>
      </c>
    </row>
    <row r="801" spans="1:43">
      <c r="A801" s="10">
        <f>18</f>
        <v>18</v>
      </c>
      <c r="B801" s="11">
        <f>IF($A801&gt;'1-Input'!$B$26,0,IF(G800&lt;=0,0,MAX(0,(G800-H800)/G800)))</f>
        <v>0.58246524833962865</v>
      </c>
      <c r="C801" s="18">
        <f>IF($A801&gt;'1-Input'!$B$26,0,(MAX(0,B781-IF($A801&gt;='1-Input'!$C$12,'1-Input'!$B$12,0))-MIN(MAX(F800,0),MAX(0,B781-IF($A801&gt;='1-Input'!$C$12,'1-Input'!$B$12,0))))*(1/(1-'P-Parametri'!$B$6*B801))+MIN(MAX(0,G800-(MAX(0,B781-IF($A801&gt;='1-Input'!$C$12,'1-Input'!$B$12,0))-MIN(MAX(F800,0),MAX(0,B781-IF($A801&gt;='1-Input'!$C$12,'1-Input'!$B$12,0))))*(1/(1-'P-Parametri'!$B$6*B801))),MAX(0,2*B781-(F800-MIN(MAX(F800,0),MAX(0,B781-IF($A801&gt;='1-Input'!$C$12,'1-Input'!$B$12,0)))))*(1/(1-'P-Parametri'!$B$6*B801))))</f>
        <v>19799.634688167185</v>
      </c>
      <c r="D801" s="18">
        <f>IF($A801&gt;'1-Input'!$B$26,F800,(F800-MAX(0,B781-IF($A801&gt;='1-Input'!$C$12,'1-Input'!$B$12,0))+C801*(1-'P-Parametri'!$B$6*B801))*(1+'1-Input'!$B$27))</f>
        <v>33242.0070309863</v>
      </c>
      <c r="E801" s="18">
        <f>IF($A801&gt;'1-Input'!$B$26,G800,(G800-C801)*(1+$D$4))</f>
        <v>302222.88981847971</v>
      </c>
      <c r="F801" s="18">
        <f>IF($A801&gt;'1-Input'!$B$26,D801,D801-'P-Parametri'!$B$8*(E801+D801)+MIN(MAX(E801,0),'P-Parametri'!$B$8*(E801+D801)))</f>
        <v>33242.0070309863</v>
      </c>
      <c r="G801" s="18">
        <f>IF($A801&gt;'1-Input'!$B$26,E801,E801-MIN(MAX(E801,0),'P-Parametri'!$B$8*(E801+D801)))</f>
        <v>301551.96002478077</v>
      </c>
      <c r="H801" s="18">
        <f>IF($A801&gt;'1-Input'!$B$26,H800,H800-C801*(1-B801))</f>
        <v>121335.15312157567</v>
      </c>
      <c r="I801" s="11">
        <f>IF($A801&gt;'1-Input'!$B$26,0,IF(N800&lt;=0,0,MAX(0,(N800-O800)/N800)))</f>
        <v>0.58137406691891036</v>
      </c>
      <c r="J801" s="18">
        <f>IF($A801&gt;'1-Input'!$B$26,0,(MAX(0,I781-IF($A801&gt;='1-Input'!$C$12,'1-Input'!$B$12,0))-MIN(MAX(M800,0),MAX(0,I781-IF($A801&gt;='1-Input'!$C$12,'1-Input'!$B$12,0))))*(1/(1-'P-Parametri'!$B$6*I801))+MIN(MAX(0,N800-(MAX(0,I781-IF($A801&gt;='1-Input'!$C$12,'1-Input'!$B$12,0))-MIN(MAX(M800,0),MAX(0,I781-IF($A801&gt;='1-Input'!$C$12,'1-Input'!$B$12,0))))*(1/(1-'P-Parametri'!$B$6*I801))),MAX(0,2*I781-(M800-MIN(MAX(M800,0),MAX(0,I781-IF($A801&gt;='1-Input'!$C$12,'1-Input'!$B$12,0)))))*(1/(1-'P-Parametri'!$B$6*I801))))</f>
        <v>26043.443542365239</v>
      </c>
      <c r="K801" s="18">
        <f>IF($A801&gt;'1-Input'!$B$26,M800,(M800-MAX(0,I781-IF($A801&gt;='1-Input'!$C$12,'1-Input'!$B$12,0))+J801*(1-'P-Parametri'!$B$6*I801))*(1+'1-Input'!$B$27))</f>
        <v>43739.482935508291</v>
      </c>
      <c r="L801" s="18">
        <f>IF($A801&gt;'1-Input'!$B$26,N800,(N800-J801)*(1+$D$4))</f>
        <v>126310.30198935066</v>
      </c>
      <c r="M801" s="18">
        <f>IF($A801&gt;'1-Input'!$B$26,K801,K801-'P-Parametri'!$B$8*(L801+K801)+MIN(MAX(L801,0),'P-Parametri'!$B$8*(L801+K801)))</f>
        <v>43739.482935508291</v>
      </c>
      <c r="N801" s="18">
        <f>IF($A801&gt;'1-Input'!$B$26,L801,L801-MIN(MAX(L801,0),'P-Parametri'!$B$8*(L801+K801)))</f>
        <v>125970.20241950094</v>
      </c>
      <c r="O801" s="18">
        <f>IF($A801&gt;'1-Input'!$B$26,O800,O800-J801*(1-I801))</f>
        <v>50843.046180813588</v>
      </c>
      <c r="P801" s="11">
        <f>IF($A801&gt;'1-Input'!$B$26,0,IF(U800&lt;=0,0,MAX(0,(U800-V800)/U800)))</f>
        <v>0.581920980407726</v>
      </c>
      <c r="Q801" s="18">
        <f>IF($A801&gt;'1-Input'!$B$26,0,(MAX(0,P781-IF($A801&gt;='1-Input'!$C$12,'1-Input'!$B$12,0))-MIN(MAX(T800,0),MAX(0,P781-IF($A801&gt;='1-Input'!$C$12,'1-Input'!$B$12,0))))*(1/(1-'P-Parametri'!$B$6*P801))+MIN(MAX(0,U800-(MAX(0,P781-IF($A801&gt;='1-Input'!$C$12,'1-Input'!$B$12,0))-MIN(MAX(T800,0),MAX(0,P781-IF($A801&gt;='1-Input'!$C$12,'1-Input'!$B$12,0))))*(1/(1-'P-Parametri'!$B$6*P801))),MAX(0,2*P781-(T800-MIN(MAX(T800,0),MAX(0,P781-IF($A801&gt;='1-Input'!$C$12,'1-Input'!$B$12,0)))))*(1/(1-'P-Parametri'!$B$6*P801))))</f>
        <v>23551.693278901392</v>
      </c>
      <c r="R801" s="18">
        <f>IF($A801&gt;'1-Input'!$B$26,T800,(T800-MAX(0,P781-IF($A801&gt;='1-Input'!$C$12,'1-Input'!$B$12,0))+Q801*(1-'P-Parametri'!$B$6*P801))*(1+'1-Input'!$B$27))</f>
        <v>39548.008177054842</v>
      </c>
      <c r="S801" s="18">
        <f>IF($A801&gt;'1-Input'!$B$26,U800,(U800-Q801)*(1+$D$4))</f>
        <v>196540.9219481945</v>
      </c>
      <c r="T801" s="18">
        <f>IF($A801&gt;'1-Input'!$B$26,R801,R801-'P-Parametri'!$B$8*(S801+R801)+MIN(MAX(S801,0),'P-Parametri'!$B$8*(S801+R801)))</f>
        <v>39548.008177054842</v>
      </c>
      <c r="U801" s="18">
        <f>IF($A801&gt;'1-Input'!$B$26,S801,S801-MIN(MAX(S801,0),'P-Parametri'!$B$8*(S801+R801)))</f>
        <v>196068.74408794401</v>
      </c>
      <c r="V801" s="18">
        <f>IF($A801&gt;'1-Input'!$B$26,V800,V800-Q801*(1-P801))</f>
        <v>79009.265344098851</v>
      </c>
      <c r="W801" s="11">
        <f>IF($A801&gt;'1-Input'!$B$26,0,IF(AB800&lt;=0,0,MAX(0,(AB800-AC800)/AB800)))</f>
        <v>0.58200959190785673</v>
      </c>
      <c r="X801" s="18">
        <f>IF($A801&gt;'1-Input'!$B$26,0,(MAX(0,W781-IF($A801&gt;='1-Input'!$C$12,'1-Input'!$B$12,0))-MIN(MAX(AA800,0),MAX(0,W781-IF($A801&gt;='1-Input'!$C$12,'1-Input'!$B$12,0))))*(1/(1-'P-Parametri'!$B$6*W801))+MIN(MAX(0,AB800-(MAX(0,W781-IF($A801&gt;='1-Input'!$C$12,'1-Input'!$B$12,0))-MIN(MAX(AA800,0),MAX(0,W781-IF($A801&gt;='1-Input'!$C$12,'1-Input'!$B$12,0))))*(1/(1-'P-Parametri'!$B$6*W801))),MAX(0,2*W781-(AA800-MIN(MAX(AA800,0),MAX(0,W781-IF($A801&gt;='1-Input'!$C$12,'1-Input'!$B$12,0)))))*(1/(1-'P-Parametri'!$B$6*W801))))</f>
        <v>23042.383425331118</v>
      </c>
      <c r="Y801" s="18">
        <f>IF($A801&gt;'1-Input'!$B$26,AA800,(AA800-MAX(0,W781-IF($A801&gt;='1-Input'!$C$12,'1-Input'!$B$12,0))+X801*(1-'P-Parametri'!$B$6*W801))*(1+'1-Input'!$B$27))</f>
        <v>38691.724605045303</v>
      </c>
      <c r="Z801" s="18">
        <f>IF($A801&gt;'1-Input'!$B$26,AB800,(AB800-X801)*(1+$D$4))</f>
        <v>210890.04778318881</v>
      </c>
      <c r="AA801" s="18">
        <f>IF($A801&gt;'1-Input'!$B$26,Y801,Y801-'P-Parametri'!$B$8*(Z801+Y801)+MIN(MAX(Z801,0),'P-Parametri'!$B$8*(Z801+Y801)))</f>
        <v>38691.724605045303</v>
      </c>
      <c r="AB801" s="18">
        <f>IF($A801&gt;'1-Input'!$B$26,Z801,Z801-MIN(MAX(Z801,0),'P-Parametri'!$B$8*(Z801+Y801)))</f>
        <v>210390.88423841234</v>
      </c>
      <c r="AC801" s="18">
        <f>IF($A801&gt;'1-Input'!$B$26,AC800,AC800-X801*(1-W801))</f>
        <v>84759.631861025657</v>
      </c>
      <c r="AD801" s="11">
        <f>IF($A801&gt;'1-Input'!$B$26,0,IF(AI800&lt;=0,0,MAX(0,(AI800-AJ800)/AI800)))</f>
        <v>0.58201349411237524</v>
      </c>
      <c r="AE801" s="18">
        <f>IF($A801&gt;'1-Input'!$B$26,0,(MAX(0,AD781-IF($A801&gt;='1-Input'!$C$12,'1-Input'!$B$12,0))-MIN(MAX(AH800,0),MAX(0,AD781-IF($A801&gt;='1-Input'!$C$12,'1-Input'!$B$12,0))))*(1/(1-'P-Parametri'!$B$6*AD801))+MIN(MAX(0,AI800-(MAX(0,AD781-IF($A801&gt;='1-Input'!$C$12,'1-Input'!$B$12,0))-MIN(MAX(AH800,0),MAX(0,AD781-IF($A801&gt;='1-Input'!$C$12,'1-Input'!$B$12,0))))*(1/(1-'P-Parametri'!$B$6*AD801))),MAX(0,2*AD781-(AH800-MIN(MAX(AH800,0),MAX(0,AD781-IF($A801&gt;='1-Input'!$C$12,'1-Input'!$B$12,0)))))*(1/(1-'P-Parametri'!$B$6*AD801))))</f>
        <v>23019.156535311868</v>
      </c>
      <c r="AF801" s="18">
        <f>IF($A801&gt;'1-Input'!$B$26,AH800,(AH800-MAX(0,AD781-IF($A801&gt;='1-Input'!$C$12,'1-Input'!$B$12,0))+AE801*(1-'P-Parametri'!$B$6*AD801))*(1+'1-Input'!$B$27))</f>
        <v>38652.676856956648</v>
      </c>
      <c r="AG801" s="18">
        <f>IF($A801&gt;'1-Input'!$B$26,AI800,(AI800-AE801)*(1+$D$4))</f>
        <v>211544.39930783771</v>
      </c>
      <c r="AH801" s="18">
        <f>IF($A801&gt;'1-Input'!$B$26,AF801,AF801-'P-Parametri'!$B$8*(AG801+AF801)+MIN(MAX(AG801,0),'P-Parametri'!$B$8*(AG801+AF801)))</f>
        <v>38652.676856956648</v>
      </c>
      <c r="AI801" s="18">
        <f>IF($A801&gt;'1-Input'!$B$26,AG801,AG801-MIN(MAX(AG801,0),'P-Parametri'!$B$8*(AG801+AF801)))</f>
        <v>211044.00515550812</v>
      </c>
      <c r="AJ801" s="18">
        <f>IF($A801&gt;'1-Input'!$B$26,AJ800,AJ800-AE801*(1-AD801))</f>
        <v>85021.831064211103</v>
      </c>
      <c r="AK801" s="11">
        <f>IF($A801&gt;'1-Input'!$B$26,0,IF(AP800&lt;=0,0,MAX(0,(AP800-AQ800)/AP800)))</f>
        <v>0.58201345206887412</v>
      </c>
      <c r="AL801" s="18">
        <f>IF($A801&gt;'1-Input'!$B$26,0,(MAX(0,AK781-IF($A801&gt;='1-Input'!$C$12,'1-Input'!$B$12,0))-MIN(MAX(AO800,0),MAX(0,AK781-IF($A801&gt;='1-Input'!$C$12,'1-Input'!$B$12,0))))*(1/(1-'P-Parametri'!$B$6*AK801))+MIN(MAX(0,AP800-(MAX(0,AK781-IF($A801&gt;='1-Input'!$C$12,'1-Input'!$B$12,0))-MIN(MAX(AO800,0),MAX(0,AK781-IF($A801&gt;='1-Input'!$C$12,'1-Input'!$B$12,0))))*(1/(1-'P-Parametri'!$B$6*AK801))),MAX(0,2*AK781-(AO800-MIN(MAX(AO800,0),MAX(0,AK781-IF($A801&gt;='1-Input'!$C$12,'1-Input'!$B$12,0)))))*(1/(1-'P-Parametri'!$B$6*AK801))))</f>
        <v>23019.407156610025</v>
      </c>
      <c r="AM801" s="18">
        <f>IF($A801&gt;'1-Input'!$B$26,AO800,(AO800-MAX(0,AK781-IF($A801&gt;='1-Input'!$C$12,'1-Input'!$B$12,0))+AL801*(1-'P-Parametri'!$B$6*AK801))*(1+'1-Input'!$B$27))</f>
        <v>38653.098186232593</v>
      </c>
      <c r="AN801" s="18">
        <f>IF($A801&gt;'1-Input'!$B$26,AP800,(AP800-AL801)*(1+$D$4))</f>
        <v>211537.33878162177</v>
      </c>
      <c r="AO801" s="18">
        <f>IF($A801&gt;'1-Input'!$B$26,AM801,AM801-'P-Parametri'!$B$8*(AN801+AM801)+MIN(MAX(AN801,0),'P-Parametri'!$B$8*(AN801+AM801)))</f>
        <v>38653.098186232593</v>
      </c>
      <c r="AP801" s="18">
        <f>IF($A801&gt;'1-Input'!$B$26,AN801,AN801-MIN(MAX(AN801,0),'P-Parametri'!$B$8*(AN801+AM801)))</f>
        <v>211036.95790768607</v>
      </c>
      <c r="AQ801" s="18">
        <f>IF($A801&gt;'1-Input'!$B$26,AQ800,AQ800-AL801*(1-AK801))</f>
        <v>85019.001919103044</v>
      </c>
    </row>
    <row r="802" spans="1:43">
      <c r="A802" s="10">
        <f>19</f>
        <v>19</v>
      </c>
      <c r="B802" s="11">
        <f>IF($A802&gt;'1-Input'!$B$26,0,IF(G801&lt;=0,0,MAX(0,(G801-H801)/G801)))</f>
        <v>0.59763102481043517</v>
      </c>
      <c r="C802" s="18">
        <f>IF($A802&gt;'1-Input'!$B$26,0,(MAX(0,B781-IF($A802&gt;='1-Input'!$C$12,'1-Input'!$B$12,0))-MIN(MAX(F801,0),MAX(0,B781-IF($A802&gt;='1-Input'!$C$12,'1-Input'!$B$12,0))))*(1/(1-'P-Parametri'!$B$6*B802))+MIN(MAX(0,G801-(MAX(0,B781-IF($A802&gt;='1-Input'!$C$12,'1-Input'!$B$12,0))-MIN(MAX(F801,0),MAX(0,B781-IF($A802&gt;='1-Input'!$C$12,'1-Input'!$B$12,0))))*(1/(1-'P-Parametri'!$B$6*B802))),MAX(0,2*B781-(F801-MIN(MAX(F801,0),MAX(0,B781-IF($A802&gt;='1-Input'!$C$12,'1-Input'!$B$12,0)))))*(1/(1-'P-Parametri'!$B$6*B802))))</f>
        <v>19892.06957331298</v>
      </c>
      <c r="D802" s="18">
        <f>IF($A802&gt;'1-Input'!$B$26,F801,(F801-MAX(0,B781-IF($A802&gt;='1-Input'!$C$12,'1-Input'!$B$12,0))+C802*(1-'P-Parametri'!$B$6*B802))*(1+'1-Input'!$B$27))</f>
        <v>33242.0070309863</v>
      </c>
      <c r="E802" s="18">
        <f>IF($A802&gt;'1-Input'!$B$26,G801,(G801-C802)*(1+$D$4))</f>
        <v>292926.28606952651</v>
      </c>
      <c r="F802" s="18">
        <f>IF($A802&gt;'1-Input'!$B$26,D802,D802-'P-Parametri'!$B$8*(E802+D802)+MIN(MAX(E802,0),'P-Parametri'!$B$8*(E802+D802)))</f>
        <v>33242.0070309863</v>
      </c>
      <c r="G802" s="18">
        <f>IF($A802&gt;'1-Input'!$B$26,E802,E802-MIN(MAX(E802,0),'P-Parametri'!$B$8*(E802+D802)))</f>
        <v>292273.94948332547</v>
      </c>
      <c r="H802" s="18">
        <f>IF($A802&gt;'1-Input'!$B$26,H801,H801-C802*(1-B802))</f>
        <v>113331.2014729622</v>
      </c>
      <c r="I802" s="11">
        <f>IF($A802&gt;'1-Input'!$B$26,0,IF(N801&lt;=0,0,MAX(0,(N801-O801)/N801)))</f>
        <v>0.59638831085229105</v>
      </c>
      <c r="J802" s="18">
        <f>IF($A802&gt;'1-Input'!$B$26,0,(MAX(0,I781-IF($A802&gt;='1-Input'!$C$12,'1-Input'!$B$12,0))-MIN(MAX(M801,0),MAX(0,I781-IF($A802&gt;='1-Input'!$C$12,'1-Input'!$B$12,0))))*(1/(1-'P-Parametri'!$B$6*I802))+MIN(MAX(0,N801-(MAX(0,I781-IF($A802&gt;='1-Input'!$C$12,'1-Input'!$B$12,0))-MIN(MAX(M801,0),MAX(0,I781-IF($A802&gt;='1-Input'!$C$12,'1-Input'!$B$12,0))))*(1/(1-'P-Parametri'!$B$6*I802))),MAX(0,2*I781-(M801-MIN(MAX(M801,0),MAX(0,I781-IF($A802&gt;='1-Input'!$C$12,'1-Input'!$B$12,0)))))*(1/(1-'P-Parametri'!$B$6*I802))))</f>
        <v>26163.766873375647</v>
      </c>
      <c r="K802" s="18">
        <f>IF($A802&gt;'1-Input'!$B$26,M801,(M801-MAX(0,I781-IF($A802&gt;='1-Input'!$C$12,'1-Input'!$B$12,0))+J802*(1-'P-Parametri'!$B$6*I802))*(1+'1-Input'!$B$27))</f>
        <v>43739.482935508291</v>
      </c>
      <c r="L802" s="18">
        <f>IF($A802&gt;'1-Input'!$B$26,N801,(N801-J802)*(1+$D$4))</f>
        <v>103798.69296797032</v>
      </c>
      <c r="M802" s="18">
        <f>IF($A802&gt;'1-Input'!$B$26,K802,K802-'P-Parametri'!$B$8*(L802+K802)+MIN(MAX(L802,0),'P-Parametri'!$B$8*(L802+K802)))</f>
        <v>43739.482935508291</v>
      </c>
      <c r="N802" s="18">
        <f>IF($A802&gt;'1-Input'!$B$26,L802,L802-MIN(MAX(L802,0),'P-Parametri'!$B$8*(L802+K802)))</f>
        <v>103503.61661616336</v>
      </c>
      <c r="O802" s="18">
        <f>IF($A802&gt;'1-Input'!$B$26,O801,O801-J802*(1-I802))</f>
        <v>40283.044038583568</v>
      </c>
      <c r="P802" s="11">
        <f>IF($A802&gt;'1-Input'!$B$26,0,IF(U801&lt;=0,0,MAX(0,(U801-V801)/U801)))</f>
        <v>0.59703283809141805</v>
      </c>
      <c r="Q802" s="18">
        <f>IF($A802&gt;'1-Input'!$B$26,0,(MAX(0,P781-IF($A802&gt;='1-Input'!$C$12,'1-Input'!$B$12,0))-MIN(MAX(T801,0),MAX(0,P781-IF($A802&gt;='1-Input'!$C$12,'1-Input'!$B$12,0))))*(1/(1-'P-Parametri'!$B$6*P802))+MIN(MAX(0,U801-(MAX(0,P781-IF($A802&gt;='1-Input'!$C$12,'1-Input'!$B$12,0))-MIN(MAX(T801,0),MAX(0,P781-IF($A802&gt;='1-Input'!$C$12,'1-Input'!$B$12,0))))*(1/(1-'P-Parametri'!$B$6*P802))),MAX(0,2*P781-(T801-MIN(MAX(T801,0),MAX(0,P781-IF($A802&gt;='1-Input'!$C$12,'1-Input'!$B$12,0)))))*(1/(1-'P-Parametri'!$B$6*P802))))</f>
        <v>23661.23362416941</v>
      </c>
      <c r="R802" s="18">
        <f>IF($A802&gt;'1-Input'!$B$26,T801,(T801-MAX(0,P781-IF($A802&gt;='1-Input'!$C$12,'1-Input'!$B$12,0))+Q802*(1-'P-Parametri'!$B$6*P802))*(1+'1-Input'!$B$27))</f>
        <v>39548.00817705485</v>
      </c>
      <c r="S802" s="18">
        <f>IF($A802&gt;'1-Input'!$B$26,U801,(U801-Q802)*(1+$D$4))</f>
        <v>179303.8108823256</v>
      </c>
      <c r="T802" s="18">
        <f>IF($A802&gt;'1-Input'!$B$26,R802,R802-'P-Parametri'!$B$8*(S802+R802)+MIN(MAX(S802,0),'P-Parametri'!$B$8*(S802+R802)))</f>
        <v>39548.00817705485</v>
      </c>
      <c r="U802" s="18">
        <f>IF($A802&gt;'1-Input'!$B$26,S802,S802-MIN(MAX(S802,0),'P-Parametri'!$B$8*(S802+R802)))</f>
        <v>178866.10724420685</v>
      </c>
      <c r="V802" s="18">
        <f>IF($A802&gt;'1-Input'!$B$26,V801,V801-Q802*(1-P802))</f>
        <v>69474.565183311395</v>
      </c>
      <c r="W802" s="11">
        <f>IF($A802&gt;'1-Input'!$B$26,0,IF(AB801&lt;=0,0,MAX(0,(AB801-AC801)/AB801)))</f>
        <v>0.59713258410484604</v>
      </c>
      <c r="X802" s="18">
        <f>IF($A802&gt;'1-Input'!$B$26,0,(MAX(0,W781-IF($A802&gt;='1-Input'!$C$12,'1-Input'!$B$12,0))-MIN(MAX(AA801,0),MAX(0,W781-IF($A802&gt;='1-Input'!$C$12,'1-Input'!$B$12,0))))*(1/(1-'P-Parametri'!$B$6*W802))+MIN(MAX(0,AB801-(MAX(0,W781-IF($A802&gt;='1-Input'!$C$12,'1-Input'!$B$12,0))-MIN(MAX(AA801,0),MAX(0,W781-IF($A802&gt;='1-Input'!$C$12,'1-Input'!$B$12,0))))*(1/(1-'P-Parametri'!$B$6*W802))),MAX(0,2*W781-(AA801-MIN(MAX(AA801,0),MAX(0,W781-IF($A802&gt;='1-Input'!$C$12,'1-Input'!$B$12,0)))))*(1/(1-'P-Parametri'!$B$6*W802))))</f>
        <v>23149.637197047457</v>
      </c>
      <c r="Y802" s="18">
        <f>IF($A802&gt;'1-Input'!$B$26,AA801,(AA801-MAX(0,W781-IF($A802&gt;='1-Input'!$C$12,'1-Input'!$B$12,0))+X802*(1-'P-Parametri'!$B$6*W802))*(1+'1-Input'!$B$27))</f>
        <v>38691.724605045296</v>
      </c>
      <c r="Z802" s="18">
        <f>IF($A802&gt;'1-Input'!$B$26,AB801,(AB801-X802)*(1+$D$4))</f>
        <v>194730.89692301949</v>
      </c>
      <c r="AA802" s="18">
        <f>IF($A802&gt;'1-Input'!$B$26,Y802,Y802-'P-Parametri'!$B$8*(Z802+Y802)+MIN(MAX(Z802,0),'P-Parametri'!$B$8*(Z802+Y802)))</f>
        <v>38691.724605045296</v>
      </c>
      <c r="AB802" s="18">
        <f>IF($A802&gt;'1-Input'!$B$26,Z802,Z802-MIN(MAX(Z802,0),'P-Parametri'!$B$8*(Z802+Y802)))</f>
        <v>194264.05167996336</v>
      </c>
      <c r="AC802" s="18">
        <f>IF($A802&gt;'1-Input'!$B$26,AC801,AC801-X802*(1-W802))</f>
        <v>75433.397344540805</v>
      </c>
      <c r="AD802" s="11">
        <f>IF($A802&gt;'1-Input'!$B$26,0,IF(AI801&lt;=0,0,MAX(0,(AI801-AJ801)/AI801)))</f>
        <v>0.59713695254426857</v>
      </c>
      <c r="AE802" s="18">
        <f>IF($A802&gt;'1-Input'!$B$26,0,(MAX(0,AD781-IF($A802&gt;='1-Input'!$C$12,'1-Input'!$B$12,0))-MIN(MAX(AH801,0),MAX(0,AD781-IF($A802&gt;='1-Input'!$C$12,'1-Input'!$B$12,0))))*(1/(1-'P-Parametri'!$B$6*AD802))+MIN(MAX(0,AI801-(MAX(0,AD781-IF($A802&gt;='1-Input'!$C$12,'1-Input'!$B$12,0))-MIN(MAX(AH801,0),MAX(0,AD781-IF($A802&gt;='1-Input'!$C$12,'1-Input'!$B$12,0))))*(1/(1-'P-Parametri'!$B$6*AD802))),MAX(0,2*AD781-(AH801-MIN(MAX(AH801,0),MAX(0,AD781-IF($A802&gt;='1-Input'!$C$12,'1-Input'!$B$12,0)))))*(1/(1-'P-Parametri'!$B$6*AD802))))</f>
        <v>23126.305641764269</v>
      </c>
      <c r="AF802" s="18">
        <f>IF($A802&gt;'1-Input'!$B$26,AH801,(AH801-MAX(0,AD781-IF($A802&gt;='1-Input'!$C$12,'1-Input'!$B$12,0))+AE802*(1-'P-Parametri'!$B$6*AD802))*(1+'1-Input'!$B$27))</f>
        <v>38652.676856956641</v>
      </c>
      <c r="AG802" s="18">
        <f>IF($A802&gt;'1-Input'!$B$26,AI801,(AI801-AE802)*(1+$D$4))</f>
        <v>195434.40749429358</v>
      </c>
      <c r="AH802" s="18">
        <f>IF($A802&gt;'1-Input'!$B$26,AF802,AF802-'P-Parametri'!$B$8*(AG802+AF802)+MIN(MAX(AG802,0),'P-Parametri'!$B$8*(AG802+AF802)))</f>
        <v>38652.676856956641</v>
      </c>
      <c r="AI802" s="18">
        <f>IF($A802&gt;'1-Input'!$B$26,AG802,AG802-MIN(MAX(AG802,0),'P-Parametri'!$B$8*(AG802+AF802)))</f>
        <v>194966.23332559108</v>
      </c>
      <c r="AJ802" s="18">
        <f>IF($A802&gt;'1-Input'!$B$26,AJ801,AJ801-AE802*(1-AD802))</f>
        <v>75705.097096977275</v>
      </c>
      <c r="AK802" s="11">
        <f>IF($A802&gt;'1-Input'!$B$26,0,IF(AP801&lt;=0,0,MAX(0,(AP801-AQ801)/AP801)))</f>
        <v>0.59713690548793397</v>
      </c>
      <c r="AL802" s="18">
        <f>IF($A802&gt;'1-Input'!$B$26,0,(MAX(0,AK781-IF($A802&gt;='1-Input'!$C$12,'1-Input'!$B$12,0))-MIN(MAX(AO801,0),MAX(0,AK781-IF($A802&gt;='1-Input'!$C$12,'1-Input'!$B$12,0))))*(1/(1-'P-Parametri'!$B$6*AK802))+MIN(MAX(0,AP801-(MAX(0,AK781-IF($A802&gt;='1-Input'!$C$12,'1-Input'!$B$12,0))-MIN(MAX(AO801,0),MAX(0,AK781-IF($A802&gt;='1-Input'!$C$12,'1-Input'!$B$12,0))))*(1/(1-'P-Parametri'!$B$6*AK802))),MAX(0,2*AK781-(AO801-MIN(MAX(AO801,0),MAX(0,AK781-IF($A802&gt;='1-Input'!$C$12,'1-Input'!$B$12,0)))))*(1/(1-'P-Parametri'!$B$6*AK802))))</f>
        <v>23126.557392581402</v>
      </c>
      <c r="AM802" s="18">
        <f>IF($A802&gt;'1-Input'!$B$26,AO801,(AO801-MAX(0,AK781-IF($A802&gt;='1-Input'!$C$12,'1-Input'!$B$12,0))+AL802*(1-'P-Parametri'!$B$6*AK802))*(1+'1-Input'!$B$27))</f>
        <v>38653.098186232593</v>
      </c>
      <c r="AN802" s="18">
        <f>IF($A802&gt;'1-Input'!$B$26,AP801,(AP801-AL802)*(1+$D$4))</f>
        <v>195426.81653570887</v>
      </c>
      <c r="AO802" s="18">
        <f>IF($A802&gt;'1-Input'!$B$26,AM802,AM802-'P-Parametri'!$B$8*(AN802+AM802)+MIN(MAX(AN802,0),'P-Parametri'!$B$8*(AN802+AM802)))</f>
        <v>38653.098186232593</v>
      </c>
      <c r="AP802" s="18">
        <f>IF($A802&gt;'1-Input'!$B$26,AN802,AN802-MIN(MAX(AN802,0),'P-Parametri'!$B$8*(AN802+AM802)))</f>
        <v>194958.656706265</v>
      </c>
      <c r="AQ802" s="18">
        <f>IF($A802&gt;'1-Input'!$B$26,AQ801,AQ801-AL802*(1-AK802))</f>
        <v>75702.165442516809</v>
      </c>
    </row>
    <row r="803" spans="1:43">
      <c r="A803" s="10">
        <f>20</f>
        <v>20</v>
      </c>
      <c r="B803" s="11">
        <f>IF($A803&gt;'1-Input'!$B$26,0,IF(G802&lt;=0,0,MAX(0,(G802-H802)/G802)))</f>
        <v>0.61224323387935786</v>
      </c>
      <c r="C803" s="18">
        <f>IF($A803&gt;'1-Input'!$B$26,0,(MAX(0,B781-IF($A803&gt;='1-Input'!$C$12,'1-Input'!$B$12,0))-MIN(MAX(F802,0),MAX(0,B781-IF($A803&gt;='1-Input'!$C$12,'1-Input'!$B$12,0))))*(1/(1-'P-Parametri'!$B$6*B803))+MIN(MAX(0,G802-(MAX(0,B781-IF($A803&gt;='1-Input'!$C$12,'1-Input'!$B$12,0))-MIN(MAX(F802,0),MAX(0,B781-IF($A803&gt;='1-Input'!$C$12,'1-Input'!$B$12,0))))*(1/(1-'P-Parametri'!$B$6*B803))),MAX(0,2*B781-(F802-MIN(MAX(F802,0),MAX(0,B781-IF($A803&gt;='1-Input'!$C$12,'1-Input'!$B$12,0)))))*(1/(1-'P-Parametri'!$B$6*B803))))</f>
        <v>19981.950560844165</v>
      </c>
      <c r="D803" s="18">
        <f>IF($A803&gt;'1-Input'!$B$26,F802,(F802-MAX(0,B781-IF($A803&gt;='1-Input'!$C$12,'1-Input'!$B$12,0))+C803*(1-'P-Parametri'!$B$6*B803))*(1+'1-Input'!$B$27))</f>
        <v>33242.0070309863</v>
      </c>
      <c r="E803" s="18">
        <f>IF($A803&gt;'1-Input'!$B$26,G802,(G802-C803)*(1+$D$4))</f>
        <v>283183.67887938058</v>
      </c>
      <c r="F803" s="18">
        <f>IF($A803&gt;'1-Input'!$B$26,D803,D803-'P-Parametri'!$B$8*(E803+D803)+MIN(MAX(E803,0),'P-Parametri'!$B$8*(E803+D803)))</f>
        <v>33242.0070309863</v>
      </c>
      <c r="G803" s="18">
        <f>IF($A803&gt;'1-Input'!$B$26,E803,E803-MIN(MAX(E803,0),'P-Parametri'!$B$8*(E803+D803)))</f>
        <v>282550.82750755985</v>
      </c>
      <c r="H803" s="18">
        <f>IF($A803&gt;'1-Input'!$B$26,H802,H802-C803*(1-B803))</f>
        <v>105583.06494270671</v>
      </c>
      <c r="I803" s="11">
        <f>IF($A803&gt;'1-Input'!$B$26,0,IF(N802&lt;=0,0,MAX(0,(N802-O802)/N802)))</f>
        <v>0.61080544472208442</v>
      </c>
      <c r="J803" s="18">
        <f>IF($A803&gt;'1-Input'!$B$26,0,(MAX(0,I781-IF($A803&gt;='1-Input'!$C$12,'1-Input'!$B$12,0))-MIN(MAX(M802,0),MAX(0,I781-IF($A803&gt;='1-Input'!$C$12,'1-Input'!$B$12,0))))*(1/(1-'P-Parametri'!$B$6*I803))+MIN(MAX(0,N802-(MAX(0,I781-IF($A803&gt;='1-Input'!$C$12,'1-Input'!$B$12,0))-MIN(MAX(M802,0),MAX(0,I781-IF($A803&gt;='1-Input'!$C$12,'1-Input'!$B$12,0))))*(1/(1-'P-Parametri'!$B$6*I803))),MAX(0,2*I781-(M802-MIN(MAX(M802,0),MAX(0,I781-IF($A803&gt;='1-Input'!$C$12,'1-Input'!$B$12,0)))))*(1/(1-'P-Parametri'!$B$6*I803))))</f>
        <v>26280.356026304155</v>
      </c>
      <c r="K803" s="18">
        <f>IF($A803&gt;'1-Input'!$B$26,M802,(M802-MAX(0,I781-IF($A803&gt;='1-Input'!$C$12,'1-Input'!$B$12,0))+J803*(1-'P-Parametri'!$B$6*I803))*(1+'1-Input'!$B$27))</f>
        <v>43739.482935508291</v>
      </c>
      <c r="L803" s="18">
        <f>IF($A803&gt;'1-Input'!$B$26,N802,(N802-J803)*(1+$D$4))</f>
        <v>80312.191013453572</v>
      </c>
      <c r="M803" s="18">
        <f>IF($A803&gt;'1-Input'!$B$26,K803,K803-'P-Parametri'!$B$8*(L803+K803)+MIN(MAX(L803,0),'P-Parametri'!$B$8*(L803+K803)))</f>
        <v>43739.482935508291</v>
      </c>
      <c r="N803" s="18">
        <f>IF($A803&gt;'1-Input'!$B$26,L803,L803-MIN(MAX(L803,0),'P-Parametri'!$B$8*(L803+K803)))</f>
        <v>80064.087665555649</v>
      </c>
      <c r="O803" s="18">
        <f>IF($A803&gt;'1-Input'!$B$26,O802,O802-J803*(1-I803))</f>
        <v>30054.872562380835</v>
      </c>
      <c r="P803" s="11">
        <f>IF($A803&gt;'1-Input'!$B$26,0,IF(U802&lt;=0,0,MAX(0,(U802-V802)/U802)))</f>
        <v>0.61158340026678504</v>
      </c>
      <c r="Q803" s="18">
        <f>IF($A803&gt;'1-Input'!$B$26,0,(MAX(0,P781-IF($A803&gt;='1-Input'!$C$12,'1-Input'!$B$12,0))-MIN(MAX(T802,0),MAX(0,P781-IF($A803&gt;='1-Input'!$C$12,'1-Input'!$B$12,0))))*(1/(1-'P-Parametri'!$B$6*P803))+MIN(MAX(0,U802-(MAX(0,P781-IF($A803&gt;='1-Input'!$C$12,'1-Input'!$B$12,0))-MIN(MAX(T802,0),MAX(0,P781-IF($A803&gt;='1-Input'!$C$12,'1-Input'!$B$12,0))))*(1/(1-'P-Parametri'!$B$6*P803))),MAX(0,2*P781-(T802-MIN(MAX(T802,0),MAX(0,P781-IF($A803&gt;='1-Input'!$C$12,'1-Input'!$B$12,0)))))*(1/(1-'P-Parametri'!$B$6*P803))))</f>
        <v>23767.672564595676</v>
      </c>
      <c r="R803" s="18">
        <f>IF($A803&gt;'1-Input'!$B$26,T802,(T802-MAX(0,P781-IF($A803&gt;='1-Input'!$C$12,'1-Input'!$B$12,0))+Q803*(1-'P-Parametri'!$B$6*P803))*(1+'1-Input'!$B$27))</f>
        <v>39548.00817705485</v>
      </c>
      <c r="S803" s="18">
        <f>IF($A803&gt;'1-Input'!$B$26,U802,(U802-Q803)*(1+$D$4))</f>
        <v>161302.37206679562</v>
      </c>
      <c r="T803" s="18">
        <f>IF($A803&gt;'1-Input'!$B$26,R803,R803-'P-Parametri'!$B$8*(S803+R803)+MIN(MAX(S803,0),'P-Parametri'!$B$8*(S803+R803)))</f>
        <v>39548.00817705485</v>
      </c>
      <c r="U803" s="18">
        <f>IF($A803&gt;'1-Input'!$B$26,S803,S803-MIN(MAX(S803,0),'P-Parametri'!$B$8*(S803+R803)))</f>
        <v>160900.67130630792</v>
      </c>
      <c r="V803" s="18">
        <f>IF($A803&gt;'1-Input'!$B$26,V802,V802-Q803*(1-P803))</f>
        <v>60242.806622198725</v>
      </c>
      <c r="W803" s="11">
        <f>IF($A803&gt;'1-Input'!$B$26,0,IF(AB802&lt;=0,0,MAX(0,(AB802-AC802)/AB802)))</f>
        <v>0.61169657127911592</v>
      </c>
      <c r="X803" s="18">
        <f>IF($A803&gt;'1-Input'!$B$26,0,(MAX(0,W781-IF($A803&gt;='1-Input'!$C$12,'1-Input'!$B$12,0))-MIN(MAX(AA802,0),MAX(0,W781-IF($A803&gt;='1-Input'!$C$12,'1-Input'!$B$12,0))))*(1/(1-'P-Parametri'!$B$6*W803))+MIN(MAX(0,AB802-(MAX(0,W781-IF($A803&gt;='1-Input'!$C$12,'1-Input'!$B$12,0))-MIN(MAX(AA802,0),MAX(0,W781-IF($A803&gt;='1-Input'!$C$12,'1-Input'!$B$12,0))))*(1/(1-'P-Parametri'!$B$6*W803))),MAX(0,2*W781-(AA802-MIN(MAX(AA802,0),MAX(0,W781-IF($A803&gt;='1-Input'!$C$12,'1-Input'!$B$12,0)))))*(1/(1-'P-Parametri'!$B$6*W803))))</f>
        <v>23253.87447414672</v>
      </c>
      <c r="Y803" s="18">
        <f>IF($A803&gt;'1-Input'!$B$26,AA802,(AA802-MAX(0,W781-IF($A803&gt;='1-Input'!$C$12,'1-Input'!$B$12,0))+X803*(1-'P-Parametri'!$B$6*W803))*(1+'1-Input'!$B$27))</f>
        <v>38691.724605045303</v>
      </c>
      <c r="Z803" s="18">
        <f>IF($A803&gt;'1-Input'!$B$26,AB802,(AB802-X803)*(1+$D$4))</f>
        <v>177850.5842940493</v>
      </c>
      <c r="AA803" s="18">
        <f>IF($A803&gt;'1-Input'!$B$26,Y803,Y803-'P-Parametri'!$B$8*(Z803+Y803)+MIN(MAX(Z803,0),'P-Parametri'!$B$8*(Z803+Y803)))</f>
        <v>38691.724605045303</v>
      </c>
      <c r="AB803" s="18">
        <f>IF($A803&gt;'1-Input'!$B$26,Z803,Z803-MIN(MAX(Z803,0),'P-Parametri'!$B$8*(Z803+Y803)))</f>
        <v>177417.49967625111</v>
      </c>
      <c r="AC803" s="18">
        <f>IF($A803&gt;'1-Input'!$B$26,AC802,AC802-X803*(1-W803))</f>
        <v>66403.838155184581</v>
      </c>
      <c r="AD803" s="11">
        <f>IF($A803&gt;'1-Input'!$B$26,0,IF(AI802&lt;=0,0,MAX(0,(AI802-AJ802)/AI802)))</f>
        <v>0.61170149412205777</v>
      </c>
      <c r="AE803" s="18">
        <f>IF($A803&gt;'1-Input'!$B$26,0,(MAX(0,AD781-IF($A803&gt;='1-Input'!$C$12,'1-Input'!$B$12,0))-MIN(MAX(AH802,0),MAX(0,AD781-IF($A803&gt;='1-Input'!$C$12,'1-Input'!$B$12,0))))*(1/(1-'P-Parametri'!$B$6*AD803))+MIN(MAX(0,AI802-(MAX(0,AD781-IF($A803&gt;='1-Input'!$C$12,'1-Input'!$B$12,0))-MIN(MAX(AH802,0),MAX(0,AD781-IF($A803&gt;='1-Input'!$C$12,'1-Input'!$B$12,0))))*(1/(1-'P-Parametri'!$B$6*AD803))),MAX(0,2*AD781-(AH802-MIN(MAX(AH802,0),MAX(0,AD781-IF($A803&gt;='1-Input'!$C$12,'1-Input'!$B$12,0)))))*(1/(1-'P-Parametri'!$B$6*AD803))))</f>
        <v>23230.441984922509</v>
      </c>
      <c r="AF803" s="18">
        <f>IF($A803&gt;'1-Input'!$B$26,AH802,(AH802-MAX(0,AD781-IF($A803&gt;='1-Input'!$C$12,'1-Input'!$B$12,0))+AE803*(1-'P-Parametri'!$B$6*AD803))*(1+'1-Input'!$B$27))</f>
        <v>38652.676856956641</v>
      </c>
      <c r="AG803" s="18">
        <f>IF($A803&gt;'1-Input'!$B$26,AI802,(AI802-AE803)*(1+$D$4))</f>
        <v>178605.22299429533</v>
      </c>
      <c r="AH803" s="18">
        <f>IF($A803&gt;'1-Input'!$B$26,AF803,AF803-'P-Parametri'!$B$8*(AG803+AF803)+MIN(MAX(AG803,0),'P-Parametri'!$B$8*(AG803+AF803)))</f>
        <v>38652.676856956641</v>
      </c>
      <c r="AI803" s="18">
        <f>IF($A803&gt;'1-Input'!$B$26,AG803,AG803-MIN(MAX(AG803,0),'P-Parametri'!$B$8*(AG803+AF803)))</f>
        <v>178170.70719459283</v>
      </c>
      <c r="AJ803" s="18">
        <f>IF($A803&gt;'1-Input'!$B$26,AJ802,AJ802-AE803*(1-AD803))</f>
        <v>66684.751183347646</v>
      </c>
      <c r="AK803" s="11">
        <f>IF($A803&gt;'1-Input'!$B$26,0,IF(AP802&lt;=0,0,MAX(0,(AP802-AQ802)/AP802)))</f>
        <v>0.61170144110823621</v>
      </c>
      <c r="AL803" s="18">
        <f>IF($A803&gt;'1-Input'!$B$26,0,(MAX(0,AK781-IF($A803&gt;='1-Input'!$C$12,'1-Input'!$B$12,0))-MIN(MAX(AO802,0),MAX(0,AK781-IF($A803&gt;='1-Input'!$C$12,'1-Input'!$B$12,0))))*(1/(1-'P-Parametri'!$B$6*AK803))+MIN(MAX(0,AP802-(MAX(0,AK781-IF($A803&gt;='1-Input'!$C$12,'1-Input'!$B$12,0))-MIN(MAX(AO802,0),MAX(0,AK781-IF($A803&gt;='1-Input'!$C$12,'1-Input'!$B$12,0))))*(1/(1-'P-Parametri'!$B$6*AK803))),MAX(0,2*AK781-(AO802-MIN(MAX(AO802,0),MAX(0,AK781-IF($A803&gt;='1-Input'!$C$12,'1-Input'!$B$12,0)))))*(1/(1-'P-Parametri'!$B$6*AK803))))</f>
        <v>23230.69482505491</v>
      </c>
      <c r="AM803" s="18">
        <f>IF($A803&gt;'1-Input'!$B$26,AO802,(AO802-MAX(0,AK781-IF($A803&gt;='1-Input'!$C$12,'1-Input'!$B$12,0))+AL803*(1-'P-Parametri'!$B$6*AK803))*(1+'1-Input'!$B$27))</f>
        <v>38653.098186232586</v>
      </c>
      <c r="AN803" s="18">
        <f>IF($A803&gt;'1-Input'!$B$26,AP802,(AP802-AL803)*(1+$D$4))</f>
        <v>178597.08035645849</v>
      </c>
      <c r="AO803" s="18">
        <f>IF($A803&gt;'1-Input'!$B$26,AM803,AM803-'P-Parametri'!$B$8*(AN803+AM803)+MIN(MAX(AN803,0),'P-Parametri'!$B$8*(AN803+AM803)))</f>
        <v>38653.098186232586</v>
      </c>
      <c r="AP803" s="18">
        <f>IF($A803&gt;'1-Input'!$B$26,AN803,AN803-MIN(MAX(AN803,0),'P-Parametri'!$B$8*(AN803+AM803)))</f>
        <v>178162.57999937312</v>
      </c>
      <c r="AQ803" s="18">
        <f>IF($A803&gt;'1-Input'!$B$26,AQ802,AQ802-AL803*(1-AK803))</f>
        <v>66681.720119893638</v>
      </c>
    </row>
    <row r="804" spans="1:43">
      <c r="A804" s="10">
        <f>21</f>
        <v>21</v>
      </c>
      <c r="B804" s="11">
        <f>IF($A804&gt;'1-Input'!$B$26,0,IF(G803&lt;=0,0,MAX(0,(G803-H803)/G803)))</f>
        <v>0.62632186968243164</v>
      </c>
      <c r="C804" s="18">
        <f>IF($A804&gt;'1-Input'!$B$26,0,(MAX(0,B781-IF($A804&gt;='1-Input'!$C$12,'1-Input'!$B$12,0))-MIN(MAX(F803,0),MAX(0,B781-IF($A804&gt;='1-Input'!$C$12,'1-Input'!$B$12,0))))*(1/(1-'P-Parametri'!$B$6*B804))+MIN(MAX(0,G803-(MAX(0,B781-IF($A804&gt;='1-Input'!$C$12,'1-Input'!$B$12,0))-MIN(MAX(F803,0),MAX(0,B781-IF($A804&gt;='1-Input'!$C$12,'1-Input'!$B$12,0))))*(1/(1-'P-Parametri'!$B$6*B804))),MAX(0,2*B781-(F803-MIN(MAX(F803,0),MAX(0,B781-IF($A804&gt;='1-Input'!$C$12,'1-Input'!$B$12,0)))))*(1/(1-'P-Parametri'!$B$6*B804))))</f>
        <v>20069.321146215345</v>
      </c>
      <c r="D804" s="18">
        <f>IF($A804&gt;'1-Input'!$B$26,F803,(F803-MAX(0,B781-IF($A804&gt;='1-Input'!$C$12,'1-Input'!$B$12,0))+C804*(1-'P-Parametri'!$B$6*B804))*(1+'1-Input'!$B$27))</f>
        <v>33242.0070309863</v>
      </c>
      <c r="E804" s="18">
        <f>IF($A804&gt;'1-Input'!$B$26,G803,(G803-C804)*(1+$D$4))</f>
        <v>272980.76661579829</v>
      </c>
      <c r="F804" s="18">
        <f>IF($A804&gt;'1-Input'!$B$26,D804,D804-'P-Parametri'!$B$8*(E804+D804)+MIN(MAX(E804,0),'P-Parametri'!$B$8*(E804+D804)))</f>
        <v>33242.0070309863</v>
      </c>
      <c r="G804" s="18">
        <f>IF($A804&gt;'1-Input'!$B$26,E804,E804-MIN(MAX(E804,0),'P-Parametri'!$B$8*(E804+D804)))</f>
        <v>272368.32106850471</v>
      </c>
      <c r="H804" s="18">
        <f>IF($A804&gt;'1-Input'!$B$26,H803,H803-C804*(1-B804))</f>
        <v>98083.598540046121</v>
      </c>
      <c r="I804" s="11">
        <f>IF($A804&gt;'1-Input'!$B$26,0,IF(N803&lt;=0,0,MAX(0,(N803-O803)/N803)))</f>
        <v>0.6246148124746479</v>
      </c>
      <c r="J804" s="18">
        <f>IF($A804&gt;'1-Input'!$B$26,0,(MAX(0,I781-IF($A804&gt;='1-Input'!$C$12,'1-Input'!$B$12,0))-MIN(MAX(M803,0),MAX(0,I781-IF($A804&gt;='1-Input'!$C$12,'1-Input'!$B$12,0))))*(1/(1-'P-Parametri'!$B$6*I804))+MIN(MAX(0,N803-(MAX(0,I781-IF($A804&gt;='1-Input'!$C$12,'1-Input'!$B$12,0))-MIN(MAX(M803,0),MAX(0,I781-IF($A804&gt;='1-Input'!$C$12,'1-Input'!$B$12,0))))*(1/(1-'P-Parametri'!$B$6*I804))),MAX(0,2*I781-(M803-MIN(MAX(M803,0),MAX(0,I781-IF($A804&gt;='1-Input'!$C$12,'1-Input'!$B$12,0)))))*(1/(1-'P-Parametri'!$B$6*I804))))</f>
        <v>26393.008735844989</v>
      </c>
      <c r="K804" s="18">
        <f>IF($A804&gt;'1-Input'!$B$26,M803,(M803-MAX(0,I781-IF($A804&gt;='1-Input'!$C$12,'1-Input'!$B$12,0))+J804*(1-'P-Parametri'!$B$6*I804))*(1+'1-Input'!$B$27))</f>
        <v>43739.482935508291</v>
      </c>
      <c r="L804" s="18">
        <f>IF($A804&gt;'1-Input'!$B$26,N803,(N803-J804)*(1+$D$4))</f>
        <v>55817.922086899089</v>
      </c>
      <c r="M804" s="18">
        <f>IF($A804&gt;'1-Input'!$B$26,K804,K804-'P-Parametri'!$B$8*(L804+K804)+MIN(MAX(L804,0),'P-Parametri'!$B$8*(L804+K804)))</f>
        <v>43739.482935508291</v>
      </c>
      <c r="N804" s="18">
        <f>IF($A804&gt;'1-Input'!$B$26,L804,L804-MIN(MAX(L804,0),'P-Parametri'!$B$8*(L804+K804)))</f>
        <v>55618.807276854277</v>
      </c>
      <c r="O804" s="18">
        <f>IF($A804&gt;'1-Input'!$B$26,O803,O803-J804*(1-I804))</f>
        <v>20147.328028717406</v>
      </c>
      <c r="P804" s="11">
        <f>IF($A804&gt;'1-Input'!$B$26,0,IF(U803&lt;=0,0,MAX(0,(U803-V803)/U803)))</f>
        <v>0.62559008527991777</v>
      </c>
      <c r="Q804" s="18">
        <f>IF($A804&gt;'1-Input'!$B$26,0,(MAX(0,P781-IF($A804&gt;='1-Input'!$C$12,'1-Input'!$B$12,0))-MIN(MAX(T803,0),MAX(0,P781-IF($A804&gt;='1-Input'!$C$12,'1-Input'!$B$12,0))))*(1/(1-'P-Parametri'!$B$6*P804))+MIN(MAX(0,U803-(MAX(0,P781-IF($A804&gt;='1-Input'!$C$12,'1-Input'!$B$12,0))-MIN(MAX(T803,0),MAX(0,P781-IF($A804&gt;='1-Input'!$C$12,'1-Input'!$B$12,0))))*(1/(1-'P-Parametri'!$B$6*P804))),MAX(0,2*P781-(T803-MIN(MAX(T803,0),MAX(0,P781-IF($A804&gt;='1-Input'!$C$12,'1-Input'!$B$12,0)))))*(1/(1-'P-Parametri'!$B$6*P804))))</f>
        <v>23871.041517308859</v>
      </c>
      <c r="R804" s="18">
        <f>IF($A804&gt;'1-Input'!$B$26,T803,(T803-MAX(0,P781-IF($A804&gt;='1-Input'!$C$12,'1-Input'!$B$12,0))+Q804*(1-'P-Parametri'!$B$6*P804))*(1+'1-Input'!$B$27))</f>
        <v>39548.008177054842</v>
      </c>
      <c r="S804" s="18">
        <f>IF($A804&gt;'1-Input'!$B$26,U803,(U803-Q804)*(1+$D$4))</f>
        <v>142510.81498055902</v>
      </c>
      <c r="T804" s="18">
        <f>IF($A804&gt;'1-Input'!$B$26,R804,R804-'P-Parametri'!$B$8*(S804+R804)+MIN(MAX(S804,0),'P-Parametri'!$B$8*(S804+R804)))</f>
        <v>39548.008177054842</v>
      </c>
      <c r="U804" s="18">
        <f>IF($A804&gt;'1-Input'!$B$26,S804,S804-MIN(MAX(S804,0),'P-Parametri'!$B$8*(S804+R804)))</f>
        <v>142146.6973342438</v>
      </c>
      <c r="V804" s="18">
        <f>IF($A804&gt;'1-Input'!$B$26,V803,V803-Q804*(1-P804))</f>
        <v>51305.252003423571</v>
      </c>
      <c r="W804" s="11">
        <f>IF($A804&gt;'1-Input'!$B$26,0,IF(AB803&lt;=0,0,MAX(0,(AB803-AC803)/AB803)))</f>
        <v>0.62571990769593</v>
      </c>
      <c r="X804" s="18">
        <f>IF($A804&gt;'1-Input'!$B$26,0,(MAX(0,W781-IF($A804&gt;='1-Input'!$C$12,'1-Input'!$B$12,0))-MIN(MAX(AA803,0),MAX(0,W781-IF($A804&gt;='1-Input'!$C$12,'1-Input'!$B$12,0))))*(1/(1-'P-Parametri'!$B$6*W804))+MIN(MAX(0,AB803-(MAX(0,W781-IF($A804&gt;='1-Input'!$C$12,'1-Input'!$B$12,0))-MIN(MAX(AA803,0),MAX(0,W781-IF($A804&gt;='1-Input'!$C$12,'1-Input'!$B$12,0))))*(1/(1-'P-Parametri'!$B$6*W804))),MAX(0,2*W781-(AA803-MIN(MAX(AA803,0),MAX(0,W781-IF($A804&gt;='1-Input'!$C$12,'1-Input'!$B$12,0)))))*(1/(1-'P-Parametri'!$B$6*W804))))</f>
        <v>23355.133158838587</v>
      </c>
      <c r="Y804" s="18">
        <f>IF($A804&gt;'1-Input'!$B$26,AA803,(AA803-MAX(0,W781-IF($A804&gt;='1-Input'!$C$12,'1-Input'!$B$12,0))+X804*(1-'P-Parametri'!$B$6*W804))*(1+'1-Input'!$B$27))</f>
        <v>38691.724605045303</v>
      </c>
      <c r="Z804" s="18">
        <f>IF($A804&gt;'1-Input'!$B$26,AB803,(AB803-X804)*(1+$D$4))</f>
        <v>160224.86117810904</v>
      </c>
      <c r="AA804" s="18">
        <f>IF($A804&gt;'1-Input'!$B$26,Y804,Y804-'P-Parametri'!$B$8*(Z804+Y804)+MIN(MAX(Z804,0),'P-Parametri'!$B$8*(Z804+Y804)))</f>
        <v>38691.724605045303</v>
      </c>
      <c r="AB804" s="18">
        <f>IF($A804&gt;'1-Input'!$B$26,Z804,Z804-MIN(MAX(Z804,0),'P-Parametri'!$B$8*(Z804+Y804)))</f>
        <v>159827.02800654274</v>
      </c>
      <c r="AC804" s="18">
        <f>IF($A804&gt;'1-Input'!$B$26,AC803,AC803-X804*(1-W804))</f>
        <v>57662.47676072063</v>
      </c>
      <c r="AD804" s="11">
        <f>IF($A804&gt;'1-Input'!$B$26,0,IF(AI803&lt;=0,0,MAX(0,(AI803-AJ803)/AI803)))</f>
        <v>0.62572550654740056</v>
      </c>
      <c r="AE804" s="18">
        <f>IF($A804&gt;'1-Input'!$B$26,0,(MAX(0,AD781-IF($A804&gt;='1-Input'!$C$12,'1-Input'!$B$12,0))-MIN(MAX(AH803,0),MAX(0,AD781-IF($A804&gt;='1-Input'!$C$12,'1-Input'!$B$12,0))))*(1/(1-'P-Parametri'!$B$6*AD804))+MIN(MAX(0,AI803-(MAX(0,AD781-IF($A804&gt;='1-Input'!$C$12,'1-Input'!$B$12,0))-MIN(MAX(AH803,0),MAX(0,AD781-IF($A804&gt;='1-Input'!$C$12,'1-Input'!$B$12,0))))*(1/(1-'P-Parametri'!$B$6*AD804))),MAX(0,2*AD781-(AH803-MIN(MAX(AH803,0),MAX(0,AD781-IF($A804&gt;='1-Input'!$C$12,'1-Input'!$B$12,0)))))*(1/(1-'P-Parametri'!$B$6*AD804))))</f>
        <v>23331.603685382073</v>
      </c>
      <c r="AF804" s="18">
        <f>IF($A804&gt;'1-Input'!$B$26,AH803,(AH803-MAX(0,AD781-IF($A804&gt;='1-Input'!$C$12,'1-Input'!$B$12,0))+AE804*(1-'P-Parametri'!$B$6*AD804))*(1+'1-Input'!$B$27))</f>
        <v>38652.676856956634</v>
      </c>
      <c r="AG804" s="18">
        <f>IF($A804&gt;'1-Input'!$B$26,AI803,(AI803-AE804)*(1+$D$4))</f>
        <v>161032.66764957918</v>
      </c>
      <c r="AH804" s="18">
        <f>IF($A804&gt;'1-Input'!$B$26,AF804,AF804-'P-Parametri'!$B$8*(AG804+AF804)+MIN(MAX(AG804,0),'P-Parametri'!$B$8*(AG804+AF804)))</f>
        <v>38652.676856956634</v>
      </c>
      <c r="AI804" s="18">
        <f>IF($A804&gt;'1-Input'!$B$26,AG804,AG804-MIN(MAX(AG804,0),'P-Parametri'!$B$8*(AG804+AF804)))</f>
        <v>160633.29696056611</v>
      </c>
      <c r="AJ804" s="18">
        <f>IF($A804&gt;'1-Input'!$B$26,AJ803,AJ803-AE804*(1-AD804))</f>
        <v>57952.32703256447</v>
      </c>
      <c r="AK804" s="11">
        <f>IF($A804&gt;'1-Input'!$B$26,0,IF(AP803&lt;=0,0,MAX(0,(AP803-AQ803)/AP803)))</f>
        <v>0.62572544627424986</v>
      </c>
      <c r="AL804" s="18">
        <f>IF($A804&gt;'1-Input'!$B$26,0,(MAX(0,AK781-IF($A804&gt;='1-Input'!$C$12,'1-Input'!$B$12,0))-MIN(MAX(AO803,0),MAX(0,AK781-IF($A804&gt;='1-Input'!$C$12,'1-Input'!$B$12,0))))*(1/(1-'P-Parametri'!$B$6*AK804))+MIN(MAX(0,AP803-(MAX(0,AK781-IF($A804&gt;='1-Input'!$C$12,'1-Input'!$B$12,0))-MIN(MAX(AO803,0),MAX(0,AK781-IF($A804&gt;='1-Input'!$C$12,'1-Input'!$B$12,0))))*(1/(1-'P-Parametri'!$B$6*AK804))),MAX(0,2*AK781-(AO803-MIN(MAX(AO803,0),MAX(0,AK781-IF($A804&gt;='1-Input'!$C$12,'1-Input'!$B$12,0)))))*(1/(1-'P-Parametri'!$B$6*AK804))))</f>
        <v>23331.857572299617</v>
      </c>
      <c r="AM804" s="18">
        <f>IF($A804&gt;'1-Input'!$B$26,AO803,(AO803-MAX(0,AK781-IF($A804&gt;='1-Input'!$C$12,'1-Input'!$B$12,0))+AL804*(1-'P-Parametri'!$B$6*AK804))*(1+'1-Input'!$B$27))</f>
        <v>38653.098186232593</v>
      </c>
      <c r="AN804" s="18">
        <f>IF($A804&gt;'1-Input'!$B$26,AP803,(AP803-AL804)*(1+$D$4))</f>
        <v>161023.95132415646</v>
      </c>
      <c r="AO804" s="18">
        <f>IF($A804&gt;'1-Input'!$B$26,AM804,AM804-'P-Parametri'!$B$8*(AN804+AM804)+MIN(MAX(AN804,0),'P-Parametri'!$B$8*(AN804+AM804)))</f>
        <v>38653.098186232593</v>
      </c>
      <c r="AP804" s="18">
        <f>IF($A804&gt;'1-Input'!$B$26,AN804,AN804-MIN(MAX(AN804,0),'P-Parametri'!$B$8*(AN804+AM804)))</f>
        <v>160624.59722513569</v>
      </c>
      <c r="AQ804" s="18">
        <f>IF($A804&gt;'1-Input'!$B$26,AQ803,AQ803-AL804*(1-AK804))</f>
        <v>57949.199539428431</v>
      </c>
    </row>
    <row r="805" spans="1:43">
      <c r="A805" s="10">
        <f>22</f>
        <v>22</v>
      </c>
      <c r="B805" s="11">
        <f>IF($A805&gt;'1-Input'!$B$26,0,IF(G804&lt;=0,0,MAX(0,(G804-H804)/G804)))</f>
        <v>0.63988617268240733</v>
      </c>
      <c r="C805" s="18">
        <f>IF($A805&gt;'1-Input'!$B$26,0,(MAX(0,B781-IF($A805&gt;='1-Input'!$C$12,'1-Input'!$B$12,0))-MIN(MAX(F804,0),MAX(0,B781-IF($A805&gt;='1-Input'!$C$12,'1-Input'!$B$12,0))))*(1/(1-'P-Parametri'!$B$6*B805))+MIN(MAX(0,G804-(MAX(0,B781-IF($A805&gt;='1-Input'!$C$12,'1-Input'!$B$12,0))-MIN(MAX(F804,0),MAX(0,B781-IF($A805&gt;='1-Input'!$C$12,'1-Input'!$B$12,0))))*(1/(1-'P-Parametri'!$B$6*B805))),MAX(0,2*B781-(F804-MIN(MAX(F804,0),MAX(0,B781-IF($A805&gt;='1-Input'!$C$12,'1-Input'!$B$12,0)))))*(1/(1-'P-Parametri'!$B$6*B805))))</f>
        <v>20154.22558363443</v>
      </c>
      <c r="D805" s="18">
        <f>IF($A805&gt;'1-Input'!$B$26,F804,(F804-MAX(0,B781-IF($A805&gt;='1-Input'!$C$12,'1-Input'!$B$12,0))+C805*(1-'P-Parametri'!$B$6*B805))*(1+'1-Input'!$B$27))</f>
        <v>33242.0070309863</v>
      </c>
      <c r="E805" s="18">
        <f>IF($A805&gt;'1-Input'!$B$26,G804,(G804-C805)*(1+$D$4))</f>
        <v>262302.65930426511</v>
      </c>
      <c r="F805" s="18">
        <f>IF($A805&gt;'1-Input'!$B$26,D805,D805-'P-Parametri'!$B$8*(E805+D805)+MIN(MAX(E805,0),'P-Parametri'!$B$8*(E805+D805)))</f>
        <v>33242.0070309863</v>
      </c>
      <c r="G805" s="18">
        <f>IF($A805&gt;'1-Input'!$B$26,E805,E805-MIN(MAX(E805,0),'P-Parametri'!$B$8*(E805+D805)))</f>
        <v>261711.56997159461</v>
      </c>
      <c r="H805" s="18">
        <f>IF($A805&gt;'1-Input'!$B$26,H804,H804-C805*(1-B805))</f>
        <v>90825.783228501386</v>
      </c>
      <c r="I805" s="11">
        <f>IF($A805&gt;'1-Input'!$B$26,0,IF(N804&lt;=0,0,MAX(0,(N804-O804)/N804)))</f>
        <v>0.63776051635861486</v>
      </c>
      <c r="J805" s="18">
        <f>IF($A805&gt;'1-Input'!$B$26,0,(MAX(0,I781-IF($A805&gt;='1-Input'!$C$12,'1-Input'!$B$12,0))-MIN(MAX(M804,0),MAX(0,I781-IF($A805&gt;='1-Input'!$C$12,'1-Input'!$B$12,0))))*(1/(1-'P-Parametri'!$B$6*I805))+MIN(MAX(0,N804-(MAX(0,I781-IF($A805&gt;='1-Input'!$C$12,'1-Input'!$B$12,0))-MIN(MAX(M804,0),MAX(0,I781-IF($A805&gt;='1-Input'!$C$12,'1-Input'!$B$12,0))))*(1/(1-'P-Parametri'!$B$6*I805))),MAX(0,2*I781-(M804-MIN(MAX(M804,0),MAX(0,I781-IF($A805&gt;='1-Input'!$C$12,'1-Input'!$B$12,0)))))*(1/(1-'P-Parametri'!$B$6*I805))))</f>
        <v>26501.148431257741</v>
      </c>
      <c r="K805" s="18">
        <f>IF($A805&gt;'1-Input'!$B$26,M804,(M804-MAX(0,I781-IF($A805&gt;='1-Input'!$C$12,'1-Input'!$B$12,0))+J805*(1-'P-Parametri'!$B$6*I805))*(1+'1-Input'!$B$27))</f>
        <v>43739.482935508291</v>
      </c>
      <c r="L805" s="18">
        <f>IF($A805&gt;'1-Input'!$B$26,N804,(N804-J805)*(1+$D$4))</f>
        <v>30282.365199420397</v>
      </c>
      <c r="M805" s="18">
        <f>IF($A805&gt;'1-Input'!$B$26,K805,K805-'P-Parametri'!$B$8*(L805+K805)+MIN(MAX(L805,0),'P-Parametri'!$B$8*(L805+K805)))</f>
        <v>43739.482935508291</v>
      </c>
      <c r="N805" s="18">
        <f>IF($A805&gt;'1-Input'!$B$26,L805,L805-MIN(MAX(L805,0),'P-Parametri'!$B$8*(L805+K805)))</f>
        <v>30134.321503150539</v>
      </c>
      <c r="O805" s="18">
        <f>IF($A805&gt;'1-Input'!$B$26,O804,O804-J805*(1-I805))</f>
        <v>10547.565705074898</v>
      </c>
      <c r="P805" s="11">
        <f>IF($A805&gt;'1-Input'!$B$26,0,IF(U804&lt;=0,0,MAX(0,(U804-V804)/U804)))</f>
        <v>0.63906827970273283</v>
      </c>
      <c r="Q805" s="18">
        <f>IF($A805&gt;'1-Input'!$B$26,0,(MAX(0,P781-IF($A805&gt;='1-Input'!$C$12,'1-Input'!$B$12,0))-MIN(MAX(T804,0),MAX(0,P781-IF($A805&gt;='1-Input'!$C$12,'1-Input'!$B$12,0))))*(1/(1-'P-Parametri'!$B$6*P805))+MIN(MAX(0,U804-(MAX(0,P781-IF($A805&gt;='1-Input'!$C$12,'1-Input'!$B$12,0))-MIN(MAX(T804,0),MAX(0,P781-IF($A805&gt;='1-Input'!$C$12,'1-Input'!$B$12,0))))*(1/(1-'P-Parametri'!$B$6*P805))),MAX(0,2*P781-(T804-MIN(MAX(T804,0),MAX(0,P781-IF($A805&gt;='1-Input'!$C$12,'1-Input'!$B$12,0)))))*(1/(1-'P-Parametri'!$B$6*P805))))</f>
        <v>23971.36267556265</v>
      </c>
      <c r="R805" s="18">
        <f>IF($A805&gt;'1-Input'!$B$26,T804,(T804-MAX(0,P781-IF($A805&gt;='1-Input'!$C$12,'1-Input'!$B$12,0))+Q805*(1-'P-Parametri'!$B$6*P805))*(1+'1-Input'!$B$27))</f>
        <v>39548.008177054842</v>
      </c>
      <c r="S805" s="18">
        <f>IF($A805&gt;'1-Input'!$B$26,U804,(U804-Q805)*(1+$D$4))</f>
        <v>122902.3480450284</v>
      </c>
      <c r="T805" s="18">
        <f>IF($A805&gt;'1-Input'!$B$26,R805,R805-'P-Parametri'!$B$8*(S805+R805)+MIN(MAX(S805,0),'P-Parametri'!$B$8*(S805+R805)))</f>
        <v>39548.008177054842</v>
      </c>
      <c r="U805" s="18">
        <f>IF($A805&gt;'1-Input'!$B$26,S805,S805-MIN(MAX(S805,0),'P-Parametri'!$B$8*(S805+R805)))</f>
        <v>122577.44733258423</v>
      </c>
      <c r="V805" s="18">
        <f>IF($A805&gt;'1-Input'!$B$26,V804,V804-Q805*(1-P805))</f>
        <v>42653.226835063047</v>
      </c>
      <c r="W805" s="11">
        <f>IF($A805&gt;'1-Input'!$B$26,0,IF(AB804&lt;=0,0,MAX(0,(AB804-AC804)/AB804)))</f>
        <v>0.63921948946982776</v>
      </c>
      <c r="X805" s="18">
        <f>IF($A805&gt;'1-Input'!$B$26,0,(MAX(0,W781-IF($A805&gt;='1-Input'!$C$12,'1-Input'!$B$12,0))-MIN(MAX(AA804,0),MAX(0,W781-IF($A805&gt;='1-Input'!$C$12,'1-Input'!$B$12,0))))*(1/(1-'P-Parametri'!$B$6*W805))+MIN(MAX(0,AB804-(MAX(0,W781-IF($A805&gt;='1-Input'!$C$12,'1-Input'!$B$12,0))-MIN(MAX(AA804,0),MAX(0,W781-IF($A805&gt;='1-Input'!$C$12,'1-Input'!$B$12,0))))*(1/(1-'P-Parametri'!$B$6*W805))),MAX(0,2*W781-(AA804-MIN(MAX(AA804,0),MAX(0,W781-IF($A805&gt;='1-Input'!$C$12,'1-Input'!$B$12,0)))))*(1/(1-'P-Parametri'!$B$6*W805))))</f>
        <v>23453.446530691952</v>
      </c>
      <c r="Y805" s="18">
        <f>IF($A805&gt;'1-Input'!$B$26,AA804,(AA804-MAX(0,W781-IF($A805&gt;='1-Input'!$C$12,'1-Input'!$B$12,0))+X805*(1-'P-Parametri'!$B$6*W805))*(1+'1-Input'!$B$27))</f>
        <v>38691.724605045303</v>
      </c>
      <c r="Z805" s="18">
        <f>IF($A805&gt;'1-Input'!$B$26,AB804,(AB804-X805)*(1+$D$4))</f>
        <v>141828.52473488482</v>
      </c>
      <c r="AA805" s="18">
        <f>IF($A805&gt;'1-Input'!$B$26,Y805,Y805-'P-Parametri'!$B$8*(Z805+Y805)+MIN(MAX(Z805,0),'P-Parametri'!$B$8*(Z805+Y805)))</f>
        <v>38691.724605045303</v>
      </c>
      <c r="AB805" s="18">
        <f>IF($A805&gt;'1-Input'!$B$26,Z805,Z805-MIN(MAX(Z805,0),'P-Parametri'!$B$8*(Z805+Y805)))</f>
        <v>141467.48423620497</v>
      </c>
      <c r="AC805" s="18">
        <f>IF($A805&gt;'1-Input'!$B$26,AC804,AC804-X805*(1-W805))</f>
        <v>49200.930347685491</v>
      </c>
      <c r="AD805" s="11">
        <f>IF($A805&gt;'1-Input'!$B$26,0,IF(AI804&lt;=0,0,MAX(0,(AI804-AJ804)/AI804)))</f>
        <v>0.63922593802708794</v>
      </c>
      <c r="AE805" s="18">
        <f>IF($A805&gt;'1-Input'!$B$26,0,(MAX(0,AD781-IF($A805&gt;='1-Input'!$C$12,'1-Input'!$B$12,0))-MIN(MAX(AH804,0),MAX(0,AD781-IF($A805&gt;='1-Input'!$C$12,'1-Input'!$B$12,0))))*(1/(1-'P-Parametri'!$B$6*AD805))+MIN(MAX(0,AI804-(MAX(0,AD781-IF($A805&gt;='1-Input'!$C$12,'1-Input'!$B$12,0))-MIN(MAX(AH804,0),MAX(0,AD781-IF($A805&gt;='1-Input'!$C$12,'1-Input'!$B$12,0))))*(1/(1-'P-Parametri'!$B$6*AD805))),MAX(0,2*AD781-(AH804-MIN(MAX(AH804,0),MAX(0,AD781-IF($A805&gt;='1-Input'!$C$12,'1-Input'!$B$12,0)))))*(1/(1-'P-Parametri'!$B$6*AD805))))</f>
        <v>23429.824389398385</v>
      </c>
      <c r="AF805" s="18">
        <f>IF($A805&gt;'1-Input'!$B$26,AH804,(AH804-MAX(0,AD781-IF($A805&gt;='1-Input'!$C$12,'1-Input'!$B$12,0))+AE805*(1-'P-Parametri'!$B$6*AD805))*(1+'1-Input'!$B$27))</f>
        <v>38652.676856956648</v>
      </c>
      <c r="AG805" s="18">
        <f>IF($A805&gt;'1-Input'!$B$26,AI804,(AI804-AE805)*(1+$D$4))</f>
        <v>142691.61147401444</v>
      </c>
      <c r="AH805" s="18">
        <f>IF($A805&gt;'1-Input'!$B$26,AF805,AF805-'P-Parametri'!$B$8*(AG805+AF805)+MIN(MAX(AG805,0),'P-Parametri'!$B$8*(AG805+AF805)))</f>
        <v>38652.676856956648</v>
      </c>
      <c r="AI805" s="18">
        <f>IF($A805&gt;'1-Input'!$B$26,AG805,AG805-MIN(MAX(AG805,0),'P-Parametri'!$B$8*(AG805+AF805)))</f>
        <v>142328.92289735249</v>
      </c>
      <c r="AJ805" s="18">
        <f>IF($A805&gt;'1-Input'!$B$26,AJ804,AJ804-AE805*(1-AD805))</f>
        <v>49499.454116289213</v>
      </c>
      <c r="AK805" s="11">
        <f>IF($A805&gt;'1-Input'!$B$26,0,IF(AP804&lt;=0,0,MAX(0,(AP804-AQ804)/AP804)))</f>
        <v>0.63922586863701014</v>
      </c>
      <c r="AL805" s="18">
        <f>IF($A805&gt;'1-Input'!$B$26,0,(MAX(0,AK781-IF($A805&gt;='1-Input'!$C$12,'1-Input'!$B$12,0))-MIN(MAX(AO804,0),MAX(0,AK781-IF($A805&gt;='1-Input'!$C$12,'1-Input'!$B$12,0))))*(1/(1-'P-Parametri'!$B$6*AK805))+MIN(MAX(0,AP804-(MAX(0,AK781-IF($A805&gt;='1-Input'!$C$12,'1-Input'!$B$12,0))-MIN(MAX(AO804,0),MAX(0,AK781-IF($A805&gt;='1-Input'!$C$12,'1-Input'!$B$12,0))))*(1/(1-'P-Parametri'!$B$6*AK805))),MAX(0,2*AK781-(AO804-MIN(MAX(AO804,0),MAX(0,AK781-IF($A805&gt;='1-Input'!$C$12,'1-Input'!$B$12,0)))))*(1/(1-'P-Parametri'!$B$6*AK805))))</f>
        <v>23430.079276666573</v>
      </c>
      <c r="AM805" s="18">
        <f>IF($A805&gt;'1-Input'!$B$26,AO804,(AO804-MAX(0,AK781-IF($A805&gt;='1-Input'!$C$12,'1-Input'!$B$12,0))+AL805*(1-'P-Parametri'!$B$6*AK805))*(1+'1-Input'!$B$27))</f>
        <v>38653.098186232586</v>
      </c>
      <c r="AN805" s="18">
        <f>IF($A805&gt;'1-Input'!$B$26,AP804,(AP804-AL805)*(1+$D$4))</f>
        <v>142682.29866640788</v>
      </c>
      <c r="AO805" s="18">
        <f>IF($A805&gt;'1-Input'!$B$26,AM805,AM805-'P-Parametri'!$B$8*(AN805+AM805)+MIN(MAX(AN805,0),'P-Parametri'!$B$8*(AN805+AM805)))</f>
        <v>38653.098186232586</v>
      </c>
      <c r="AP805" s="18">
        <f>IF($A805&gt;'1-Input'!$B$26,AN805,AN805-MIN(MAX(AN805,0),'P-Parametri'!$B$8*(AN805+AM805)))</f>
        <v>142319.62787270261</v>
      </c>
      <c r="AQ805" s="18">
        <f>IF($A805&gt;'1-Input'!$B$26,AQ804,AQ804-AL805*(1-AK805))</f>
        <v>49496.233040623061</v>
      </c>
    </row>
    <row r="806" spans="1:43">
      <c r="A806" s="10">
        <f>23</f>
        <v>23</v>
      </c>
      <c r="B806" s="11">
        <f>IF($A806&gt;'1-Input'!$B$26,0,IF(G805&lt;=0,0,MAX(0,(G805-H805)/G805)))</f>
        <v>0.65295465065469083</v>
      </c>
      <c r="C806" s="18">
        <f>IF($A806&gt;'1-Input'!$B$26,0,(MAX(0,B781-IF($A806&gt;='1-Input'!$C$12,'1-Input'!$B$12,0))-MIN(MAX(F805,0),MAX(0,B781-IF($A806&gt;='1-Input'!$C$12,'1-Input'!$B$12,0))))*(1/(1-'P-Parametri'!$B$6*B806))+MIN(MAX(0,G805-(MAX(0,B781-IF($A806&gt;='1-Input'!$C$12,'1-Input'!$B$12,0))-MIN(MAX(F805,0),MAX(0,B781-IF($A806&gt;='1-Input'!$C$12,'1-Input'!$B$12,0))))*(1/(1-'P-Parametri'!$B$6*B806))),MAX(0,2*B781-(F805-MIN(MAX(F805,0),MAX(0,B781-IF($A806&gt;='1-Input'!$C$12,'1-Input'!$B$12,0)))))*(1/(1-'P-Parametri'!$B$6*B806))))</f>
        <v>6864.5394886590002</v>
      </c>
      <c r="D806" s="18">
        <f>IF($A806&gt;'1-Input'!$B$26,F805,(F805-MAX(0,B781-IF($A806&gt;='1-Input'!$C$12,'1-Input'!$B$12,0))+C806*(1-'P-Parametri'!$B$6*B806))*(1+'1-Input'!$B$27))</f>
        <v>33242.0070309863</v>
      </c>
      <c r="E806" s="18">
        <f>IF($A806&gt;'1-Input'!$B$26,G805,(G805-C806)*(1+$D$4))</f>
        <v>265040.91170225304</v>
      </c>
      <c r="F806" s="18">
        <f>IF($A806&gt;'1-Input'!$B$26,D806,D806-'P-Parametri'!$B$8*(E806+D806)+MIN(MAX(E806,0),'P-Parametri'!$B$8*(E806+D806)))</f>
        <v>33242.0070309863</v>
      </c>
      <c r="G806" s="18">
        <f>IF($A806&gt;'1-Input'!$B$26,E806,E806-MIN(MAX(E806,0),'P-Parametri'!$B$8*(E806+D806)))</f>
        <v>264444.34586478653</v>
      </c>
      <c r="H806" s="18">
        <f>IF($A806&gt;'1-Input'!$B$26,H805,H805-C806*(1-B806))</f>
        <v>88443.476723565051</v>
      </c>
      <c r="I806" s="11">
        <f>IF($A806&gt;'1-Input'!$B$26,0,IF(N805&lt;=0,0,MAX(0,(N805-O805)/N805)))</f>
        <v>0.6499816428927343</v>
      </c>
      <c r="J806" s="18">
        <f>IF($A806&gt;'1-Input'!$B$26,0,(MAX(0,I781-IF($A806&gt;='1-Input'!$C$12,'1-Input'!$B$12,0))-MIN(MAX(M805,0),MAX(0,I781-IF($A806&gt;='1-Input'!$C$12,'1-Input'!$B$12,0))))*(1/(1-'P-Parametri'!$B$6*I806))+MIN(MAX(0,N805-(MAX(0,I781-IF($A806&gt;='1-Input'!$C$12,'1-Input'!$B$12,0))-MIN(MAX(M805,0),MAX(0,I781-IF($A806&gt;='1-Input'!$C$12,'1-Input'!$B$12,0))))*(1/(1-'P-Parametri'!$B$6*I806))),MAX(0,2*I781-(M805-MIN(MAX(M805,0),MAX(0,I781-IF($A806&gt;='1-Input'!$C$12,'1-Input'!$B$12,0)))))*(1/(1-'P-Parametri'!$B$6*I806))))</f>
        <v>13242.749503789129</v>
      </c>
      <c r="K806" s="18">
        <f>IF($A806&gt;'1-Input'!$B$26,M805,(M805-MAX(0,I781-IF($A806&gt;='1-Input'!$C$12,'1-Input'!$B$12,0))+J806*(1-'P-Parametri'!$B$6*I806))*(1+'1-Input'!$B$27))</f>
        <v>43739.482935508291</v>
      </c>
      <c r="L806" s="18">
        <f>IF($A806&gt;'1-Input'!$B$26,N805,(N805-J806)*(1+$D$4))</f>
        <v>17567.234879335869</v>
      </c>
      <c r="M806" s="18">
        <f>IF($A806&gt;'1-Input'!$B$26,K806,K806-'P-Parametri'!$B$8*(L806+K806)+MIN(MAX(L806,0),'P-Parametri'!$B$8*(L806+K806)))</f>
        <v>43739.482935508291</v>
      </c>
      <c r="N806" s="18">
        <f>IF($A806&gt;'1-Input'!$B$26,L806,L806-MIN(MAX(L806,0),'P-Parametri'!$B$8*(L806+K806)))</f>
        <v>17444.621443706179</v>
      </c>
      <c r="O806" s="18">
        <f>IF($A806&gt;'1-Input'!$B$26,O805,O805-J806*(1-I806))</f>
        <v>5912.3602801755687</v>
      </c>
      <c r="P806" s="11">
        <f>IF($A806&gt;'1-Input'!$B$26,0,IF(U805&lt;=0,0,MAX(0,(U805-V805)/U805)))</f>
        <v>0.65203038761825538</v>
      </c>
      <c r="Q806" s="18">
        <f>IF($A806&gt;'1-Input'!$B$26,0,(MAX(0,P781-IF($A806&gt;='1-Input'!$C$12,'1-Input'!$B$12,0))-MIN(MAX(T805,0),MAX(0,P781-IF($A806&gt;='1-Input'!$C$12,'1-Input'!$B$12,0))))*(1/(1-'P-Parametri'!$B$6*P806))+MIN(MAX(0,U805-(MAX(0,P781-IF($A806&gt;='1-Input'!$C$12,'1-Input'!$B$12,0))-MIN(MAX(T805,0),MAX(0,P781-IF($A806&gt;='1-Input'!$C$12,'1-Input'!$B$12,0))))*(1/(1-'P-Parametri'!$B$6*P806))),MAX(0,2*P781-(T805-MIN(MAX(T805,0),MAX(0,P781-IF($A806&gt;='1-Input'!$C$12,'1-Input'!$B$12,0)))))*(1/(1-'P-Parametri'!$B$6*P806))))</f>
        <v>10700.341326390562</v>
      </c>
      <c r="R806" s="18">
        <f>IF($A806&gt;'1-Input'!$B$26,T805,(T805-MAX(0,P781-IF($A806&gt;='1-Input'!$C$12,'1-Input'!$B$12,0))+Q806*(1-'P-Parametri'!$B$6*P806))*(1+'1-Input'!$B$27))</f>
        <v>39548.008177054842</v>
      </c>
      <c r="S806" s="18">
        <f>IF($A806&gt;'1-Input'!$B$26,U805,(U805-Q806)*(1+$D$4))</f>
        <v>116352.19024644142</v>
      </c>
      <c r="T806" s="18">
        <f>IF($A806&gt;'1-Input'!$B$26,R806,R806-'P-Parametri'!$B$8*(S806+R806)+MIN(MAX(S806,0),'P-Parametri'!$B$8*(S806+R806)))</f>
        <v>39548.008177054842</v>
      </c>
      <c r="U806" s="18">
        <f>IF($A806&gt;'1-Input'!$B$26,S806,S806-MIN(MAX(S806,0),'P-Parametri'!$B$8*(S806+R806)))</f>
        <v>116040.38984959443</v>
      </c>
      <c r="V806" s="18">
        <f>IF($A806&gt;'1-Input'!$B$26,V805,V805-Q806*(1-P806))</f>
        <v>38929.83321136656</v>
      </c>
      <c r="W806" s="11">
        <f>IF($A806&gt;'1-Input'!$B$26,0,IF(AB805&lt;=0,0,MAX(0,(AB805-AC805)/AB805)))</f>
        <v>0.65221032512647326</v>
      </c>
      <c r="X806" s="18">
        <f>IF($A806&gt;'1-Input'!$B$26,0,(MAX(0,W781-IF($A806&gt;='1-Input'!$C$12,'1-Input'!$B$12,0))-MIN(MAX(AA805,0),MAX(0,W781-IF($A806&gt;='1-Input'!$C$12,'1-Input'!$B$12,0))))*(1/(1-'P-Parametri'!$B$6*W806))+MIN(MAX(0,AB805-(MAX(0,W781-IF($A806&gt;='1-Input'!$C$12,'1-Input'!$B$12,0))-MIN(MAX(AA805,0),MAX(0,W781-IF($A806&gt;='1-Input'!$C$12,'1-Input'!$B$12,0))))*(1/(1-'P-Parametri'!$B$6*W806))),MAX(0,2*W781-(AA805-MIN(MAX(AA805,0),MAX(0,W781-IF($A806&gt;='1-Input'!$C$12,'1-Input'!$B$12,0)))))*(1/(1-'P-Parametri'!$B$6*W806))))</f>
        <v>10179.78660169582</v>
      </c>
      <c r="Y806" s="18">
        <f>IF($A806&gt;'1-Input'!$B$26,AA805,(AA805-MAX(0,W781-IF($A806&gt;='1-Input'!$C$12,'1-Input'!$B$12,0))+X806*(1-'P-Parametri'!$B$6*W806))*(1+'1-Input'!$B$27))</f>
        <v>38691.724605045303</v>
      </c>
      <c r="Z806" s="18">
        <f>IF($A806&gt;'1-Input'!$B$26,AB805,(AB805-X806)*(1+$D$4))</f>
        <v>136539.20553988952</v>
      </c>
      <c r="AA806" s="18">
        <f>IF($A806&gt;'1-Input'!$B$26,Y806,Y806-'P-Parametri'!$B$8*(Z806+Y806)+MIN(MAX(Z806,0),'P-Parametri'!$B$8*(Z806+Y806)))</f>
        <v>38691.724605045303</v>
      </c>
      <c r="AB806" s="18">
        <f>IF($A806&gt;'1-Input'!$B$26,Z806,Z806-MIN(MAX(Z806,0),'P-Parametri'!$B$8*(Z806+Y806)))</f>
        <v>136188.74367959966</v>
      </c>
      <c r="AC806" s="18">
        <f>IF($A806&gt;'1-Input'!$B$26,AC805,AC805-X806*(1-W806))</f>
        <v>45660.50567519982</v>
      </c>
      <c r="AD806" s="11">
        <f>IF($A806&gt;'1-Input'!$B$26,0,IF(AI805&lt;=0,0,MAX(0,(AI805-AJ805)/AI805)))</f>
        <v>0.65221788299495398</v>
      </c>
      <c r="AE806" s="18">
        <f>IF($A806&gt;'1-Input'!$B$26,0,(MAX(0,AD781-IF($A806&gt;='1-Input'!$C$12,'1-Input'!$B$12,0))-MIN(MAX(AH805,0),MAX(0,AD781-IF($A806&gt;='1-Input'!$C$12,'1-Input'!$B$12,0))))*(1/(1-'P-Parametri'!$B$6*AD806))+MIN(MAX(0,AI805-(MAX(0,AD781-IF($A806&gt;='1-Input'!$C$12,'1-Input'!$B$12,0))-MIN(MAX(AH805,0),MAX(0,AD781-IF($A806&gt;='1-Input'!$C$12,'1-Input'!$B$12,0))))*(1/(1-'P-Parametri'!$B$6*AD806))),MAX(0,2*AD781-(AH805-MIN(MAX(AH805,0),MAX(0,AD781-IF($A806&gt;='1-Input'!$C$12,'1-Input'!$B$12,0)))))*(1/(1-'P-Parametri'!$B$6*AD806))))</f>
        <v>10156.045108928465</v>
      </c>
      <c r="AF806" s="18">
        <f>IF($A806&gt;'1-Input'!$B$26,AH805,(AH805-MAX(0,AD781-IF($A806&gt;='1-Input'!$C$12,'1-Input'!$B$12,0))+AE806*(1-'P-Parametri'!$B$6*AD806))*(1+'1-Input'!$B$27))</f>
        <v>38652.676856956641</v>
      </c>
      <c r="AG806" s="18">
        <f>IF($A806&gt;'1-Input'!$B$26,AI805,(AI805-AE806)*(1+$D$4))</f>
        <v>137459.792899961</v>
      </c>
      <c r="AH806" s="18">
        <f>IF($A806&gt;'1-Input'!$B$26,AF806,AF806-'P-Parametri'!$B$8*(AG806+AF806)+MIN(MAX(AG806,0),'P-Parametri'!$B$8*(AG806+AF806)))</f>
        <v>38652.676856956641</v>
      </c>
      <c r="AI806" s="18">
        <f>IF($A806&gt;'1-Input'!$B$26,AG806,AG806-MIN(MAX(AG806,0),'P-Parametri'!$B$8*(AG806+AF806)))</f>
        <v>137107.56796044717</v>
      </c>
      <c r="AJ806" s="18">
        <f>IF($A806&gt;'1-Input'!$B$26,AJ805,AJ805-AE806*(1-AD806))</f>
        <v>45967.363247907328</v>
      </c>
      <c r="AK806" s="11">
        <f>IF($A806&gt;'1-Input'!$B$26,0,IF(AP805&lt;=0,0,MAX(0,(AP805-AQ805)/AP805)))</f>
        <v>0.65221780171534161</v>
      </c>
      <c r="AL806" s="18">
        <f>IF($A806&gt;'1-Input'!$B$26,0,(MAX(0,AK781-IF($A806&gt;='1-Input'!$C$12,'1-Input'!$B$12,0))-MIN(MAX(AO805,0),MAX(0,AK781-IF($A806&gt;='1-Input'!$C$12,'1-Input'!$B$12,0))))*(1/(1-'P-Parametri'!$B$6*AK806))+MIN(MAX(0,AP805-(MAX(0,AK781-IF($A806&gt;='1-Input'!$C$12,'1-Input'!$B$12,0))-MIN(MAX(AO805,0),MAX(0,AK781-IF($A806&gt;='1-Input'!$C$12,'1-Input'!$B$12,0))))*(1/(1-'P-Parametri'!$B$6*AK806))),MAX(0,2*AK781-(AO805-MIN(MAX(AO805,0),MAX(0,AK781-IF($A806&gt;='1-Input'!$C$12,'1-Input'!$B$12,0)))))*(1/(1-'P-Parametri'!$B$6*AK806))))</f>
        <v>10156.301283572577</v>
      </c>
      <c r="AM806" s="18">
        <f>IF($A806&gt;'1-Input'!$B$26,AO805,(AO805-MAX(0,AK781-IF($A806&gt;='1-Input'!$C$12,'1-Input'!$B$12,0))+AL806*(1-'P-Parametri'!$B$6*AK806))*(1+'1-Input'!$B$27))</f>
        <v>38653.098186232593</v>
      </c>
      <c r="AN806" s="18">
        <f>IF($A806&gt;'1-Input'!$B$26,AP805,(AP805-AL806)*(1+$D$4))</f>
        <v>137449.85965269525</v>
      </c>
      <c r="AO806" s="18">
        <f>IF($A806&gt;'1-Input'!$B$26,AM806,AM806-'P-Parametri'!$B$8*(AN806+AM806)+MIN(MAX(AN806,0),'P-Parametri'!$B$8*(AN806+AM806)))</f>
        <v>38653.098186232593</v>
      </c>
      <c r="AP806" s="18">
        <f>IF($A806&gt;'1-Input'!$B$26,AN806,AN806-MIN(MAX(AN806,0),'P-Parametri'!$B$8*(AN806+AM806)))</f>
        <v>137097.65373701739</v>
      </c>
      <c r="AQ806" s="18">
        <f>IF($A806&gt;'1-Input'!$B$26,AQ805,AQ805-AL806*(1-AK806))</f>
        <v>45964.052253780894</v>
      </c>
    </row>
    <row r="807" spans="1:43">
      <c r="A807" s="10">
        <f>24</f>
        <v>24</v>
      </c>
      <c r="B807" s="11">
        <f>IF($A807&gt;'1-Input'!$B$26,0,IF(G806&lt;=0,0,MAX(0,(G806-H806)/G806)))</f>
        <v>0.66554975325966237</v>
      </c>
      <c r="C807" s="18">
        <f>IF($A807&gt;'1-Input'!$B$26,0,(MAX(0,B781-IF($A807&gt;='1-Input'!$C$12,'1-Input'!$B$12,0))-MIN(MAX(F806,0),MAX(0,B781-IF($A807&gt;='1-Input'!$C$12,'1-Input'!$B$12,0))))*(1/(1-'P-Parametri'!$B$6*B807))+MIN(MAX(0,G806-(MAX(0,B781-IF($A807&gt;='1-Input'!$C$12,'1-Input'!$B$12,0))-MIN(MAX(F806,0),MAX(0,B781-IF($A807&gt;='1-Input'!$C$12,'1-Input'!$B$12,0))))*(1/(1-'P-Parametri'!$B$6*B807))),MAX(0,2*B781-(F806-MIN(MAX(F806,0),MAX(0,B781-IF($A807&gt;='1-Input'!$C$12,'1-Input'!$B$12,0)))))*(1/(1-'P-Parametri'!$B$6*B807))))</f>
        <v>6891.7228716486343</v>
      </c>
      <c r="D807" s="18">
        <f>IF($A807&gt;'1-Input'!$B$26,F806,(F806-MAX(0,B781-IF($A807&gt;='1-Input'!$C$12,'1-Input'!$B$12,0))+C807*(1-'P-Parametri'!$B$6*B807))*(1+'1-Input'!$B$27))</f>
        <v>33242.0070309863</v>
      </c>
      <c r="E807" s="18">
        <f>IF($A807&gt;'1-Input'!$B$26,G806,(G806-C807)*(1+$D$4))</f>
        <v>267854.72791286343</v>
      </c>
      <c r="F807" s="18">
        <f>IF($A807&gt;'1-Input'!$B$26,D807,D807-'P-Parametri'!$B$8*(E807+D807)+MIN(MAX(E807,0),'P-Parametri'!$B$8*(E807+D807)))</f>
        <v>33242.0070309863</v>
      </c>
      <c r="G807" s="18">
        <f>IF($A807&gt;'1-Input'!$B$26,E807,E807-MIN(MAX(E807,0),'P-Parametri'!$B$8*(E807+D807)))</f>
        <v>267252.53444297571</v>
      </c>
      <c r="H807" s="18">
        <f>IF($A807&gt;'1-Input'!$B$26,H806,H806-C807*(1-B807))</f>
        <v>86138.538308676143</v>
      </c>
      <c r="I807" s="11">
        <f>IF($A807&gt;'1-Input'!$B$26,0,IF(N806&lt;=0,0,MAX(0,(N806-O806)/N806)))</f>
        <v>0.66107832725090854</v>
      </c>
      <c r="J807" s="18">
        <f>IF($A807&gt;'1-Input'!$B$26,0,(MAX(0,I781-IF($A807&gt;='1-Input'!$C$12,'1-Input'!$B$12,0))-MIN(MAX(M806,0),MAX(0,I781-IF($A807&gt;='1-Input'!$C$12,'1-Input'!$B$12,0))))*(1/(1-'P-Parametri'!$B$6*I807))+MIN(MAX(0,N806-(MAX(0,I781-IF($A807&gt;='1-Input'!$C$12,'1-Input'!$B$12,0))-MIN(MAX(M806,0),MAX(0,I781-IF($A807&gt;='1-Input'!$C$12,'1-Input'!$B$12,0))))*(1/(1-'P-Parametri'!$B$6*I807))),MAX(0,2*I781-(M806-MIN(MAX(M806,0),MAX(0,I781-IF($A807&gt;='1-Input'!$C$12,'1-Input'!$B$12,0)))))*(1/(1-'P-Parametri'!$B$6*I807))))</f>
        <v>13288.886749328769</v>
      </c>
      <c r="K807" s="18">
        <f>IF($A807&gt;'1-Input'!$B$26,M806,(M806-MAX(0,I781-IF($A807&gt;='1-Input'!$C$12,'1-Input'!$B$12,0))+J807*(1-'P-Parametri'!$B$6*I807))*(1+'1-Input'!$B$27))</f>
        <v>43739.482935508291</v>
      </c>
      <c r="L807" s="18">
        <f>IF($A807&gt;'1-Input'!$B$26,N806,(N806-J807)*(1+$D$4))</f>
        <v>4321.9640821525063</v>
      </c>
      <c r="M807" s="18">
        <f>IF($A807&gt;'1-Input'!$B$26,K807,K807-'P-Parametri'!$B$8*(L807+K807)+MIN(MAX(L807,0),'P-Parametri'!$B$8*(L807+K807)))</f>
        <v>43739.482935508291</v>
      </c>
      <c r="N807" s="18">
        <f>IF($A807&gt;'1-Input'!$B$26,L807,L807-MIN(MAX(L807,0),'P-Parametri'!$B$8*(L807+K807)))</f>
        <v>4225.8411881171851</v>
      </c>
      <c r="O807" s="18">
        <f>IF($A807&gt;'1-Input'!$B$26,O806,O806-J807*(1-I807))</f>
        <v>1408.468554119826</v>
      </c>
      <c r="P807" s="11">
        <f>IF($A807&gt;'1-Input'!$B$26,0,IF(U806&lt;=0,0,MAX(0,(U806-V806)/U806)))</f>
        <v>0.6645148015977419</v>
      </c>
      <c r="Q807" s="18">
        <f>IF($A807&gt;'1-Input'!$B$26,0,(MAX(0,P781-IF($A807&gt;='1-Input'!$C$12,'1-Input'!$B$12,0))-MIN(MAX(T806,0),MAX(0,P781-IF($A807&gt;='1-Input'!$C$12,'1-Input'!$B$12,0))))*(1/(1-'P-Parametri'!$B$6*P807))+MIN(MAX(0,U806-(MAX(0,P781-IF($A807&gt;='1-Input'!$C$12,'1-Input'!$B$12,0))-MIN(MAX(T806,0),MAX(0,P781-IF($A807&gt;='1-Input'!$C$12,'1-Input'!$B$12,0))))*(1/(1-'P-Parametri'!$B$6*P807))),MAX(0,2*P781-(T806-MIN(MAX(T806,0),MAX(0,P781-IF($A807&gt;='1-Input'!$C$12,'1-Input'!$B$12,0)))))*(1/(1-'P-Parametri'!$B$6*P807))))</f>
        <v>10742.328330249167</v>
      </c>
      <c r="R807" s="18">
        <f>IF($A807&gt;'1-Input'!$B$26,T806,(T806-MAX(0,P781-IF($A807&gt;='1-Input'!$C$12,'1-Input'!$B$12,0))+Q807*(1-'P-Parametri'!$B$6*P807))*(1+'1-Input'!$B$27))</f>
        <v>39548.008177054842</v>
      </c>
      <c r="S807" s="18">
        <f>IF($A807&gt;'1-Input'!$B$26,U806,(U806-Q807)*(1+$D$4))</f>
        <v>109509.98398011908</v>
      </c>
      <c r="T807" s="18">
        <f>IF($A807&gt;'1-Input'!$B$26,R807,R807-'P-Parametri'!$B$8*(S807+R807)+MIN(MAX(S807,0),'P-Parametri'!$B$8*(S807+R807)))</f>
        <v>39548.008177054842</v>
      </c>
      <c r="U807" s="18">
        <f>IF($A807&gt;'1-Input'!$B$26,S807,S807-MIN(MAX(S807,0),'P-Parametri'!$B$8*(S807+R807)))</f>
        <v>109211.86799580473</v>
      </c>
      <c r="V807" s="18">
        <f>IF($A807&gt;'1-Input'!$B$26,V806,V806-Q807*(1-P807))</f>
        <v>35325.941060190722</v>
      </c>
      <c r="W807" s="11">
        <f>IF($A807&gt;'1-Input'!$B$26,0,IF(AB806&lt;=0,0,MAX(0,(AB806-AC806)/AB806)))</f>
        <v>0.66472628763929542</v>
      </c>
      <c r="X807" s="18">
        <f>IF($A807&gt;'1-Input'!$B$26,0,(MAX(0,W781-IF($A807&gt;='1-Input'!$C$12,'1-Input'!$B$12,0))-MIN(MAX(AA806,0),MAX(0,W781-IF($A807&gt;='1-Input'!$C$12,'1-Input'!$B$12,0))))*(1/(1-'P-Parametri'!$B$6*W807))+MIN(MAX(0,AB806-(MAX(0,W781-IF($A807&gt;='1-Input'!$C$12,'1-Input'!$B$12,0))-MIN(MAX(AA806,0),MAX(0,W781-IF($A807&gt;='1-Input'!$C$12,'1-Input'!$B$12,0))))*(1/(1-'P-Parametri'!$B$6*W807))),MAX(0,2*W781-(AA806-MIN(MAX(AA806,0),MAX(0,W781-IF($A807&gt;='1-Input'!$C$12,'1-Input'!$B$12,0)))))*(1/(1-'P-Parametri'!$B$6*W807))))</f>
        <v>10219.834606923649</v>
      </c>
      <c r="Y807" s="18">
        <f>IF($A807&gt;'1-Input'!$B$26,AA806,(AA806-MAX(0,W781-IF($A807&gt;='1-Input'!$C$12,'1-Input'!$B$12,0))+X807*(1-'P-Parametri'!$B$6*W807))*(1+'1-Input'!$B$27))</f>
        <v>38691.724605045303</v>
      </c>
      <c r="Z807" s="18">
        <f>IF($A807&gt;'1-Input'!$B$26,AB806,(AB806-X807)*(1+$D$4))</f>
        <v>131007.66543558307</v>
      </c>
      <c r="AA807" s="18">
        <f>IF($A807&gt;'1-Input'!$B$26,Y807,Y807-'P-Parametri'!$B$8*(Z807+Y807)+MIN(MAX(Z807,0),'P-Parametri'!$B$8*(Z807+Y807)))</f>
        <v>38691.724605045303</v>
      </c>
      <c r="AB807" s="18">
        <f>IF($A807&gt;'1-Input'!$B$26,Z807,Z807-MIN(MAX(Z807,0),'P-Parametri'!$B$8*(Z807+Y807)))</f>
        <v>130668.26665550181</v>
      </c>
      <c r="AC807" s="18">
        <f>IF($A807&gt;'1-Input'!$B$26,AC806,AC806-X807*(1-W807))</f>
        <v>42234.063786824125</v>
      </c>
      <c r="AD807" s="11">
        <f>IF($A807&gt;'1-Input'!$B$26,0,IF(AI806&lt;=0,0,MAX(0,(AI806-AJ806)/AI806)))</f>
        <v>0.66473504029210106</v>
      </c>
      <c r="AE807" s="18">
        <f>IF($A807&gt;'1-Input'!$B$26,0,(MAX(0,AD781-IF($A807&gt;='1-Input'!$C$12,'1-Input'!$B$12,0))-MIN(MAX(AH806,0),MAX(0,AD781-IF($A807&gt;='1-Input'!$C$12,'1-Input'!$B$12,0))))*(1/(1-'P-Parametri'!$B$6*AD807))+MIN(MAX(0,AI806-(MAX(0,AD781-IF($A807&gt;='1-Input'!$C$12,'1-Input'!$B$12,0))-MIN(MAX(AH806,0),MAX(0,AD781-IF($A807&gt;='1-Input'!$C$12,'1-Input'!$B$12,0))))*(1/(1-'P-Parametri'!$B$6*AD807))),MAX(0,2*AD781-(AH806-MIN(MAX(AH806,0),MAX(0,AD781-IF($A807&gt;='1-Input'!$C$12,'1-Input'!$B$12,0)))))*(1/(1-'P-Parametri'!$B$6*AD807))))</f>
        <v>10196.003637466483</v>
      </c>
      <c r="AF807" s="18">
        <f>IF($A807&gt;'1-Input'!$B$26,AH806,(AH806-MAX(0,AD781-IF($A807&gt;='1-Input'!$C$12,'1-Input'!$B$12,0))+AE807*(1-'P-Parametri'!$B$6*AD807))*(1+'1-Input'!$B$27))</f>
        <v>38652.676856956641</v>
      </c>
      <c r="AG807" s="18">
        <f>IF($A807&gt;'1-Input'!$B$26,AI806,(AI806-AE807)*(1+$D$4))</f>
        <v>131988.02689589991</v>
      </c>
      <c r="AH807" s="18">
        <f>IF($A807&gt;'1-Input'!$B$26,AF807,AF807-'P-Parametri'!$B$8*(AG807+AF807)+MIN(MAX(AG807,0),'P-Parametri'!$B$8*(AG807+AF807)))</f>
        <v>38652.676856956641</v>
      </c>
      <c r="AI807" s="18">
        <f>IF($A807&gt;'1-Input'!$B$26,AG807,AG807-MIN(MAX(AG807,0),'P-Parametri'!$B$8*(AG807+AF807)))</f>
        <v>131646.7454883942</v>
      </c>
      <c r="AJ807" s="18">
        <f>IF($A807&gt;'1-Input'!$B$26,AJ806,AJ806-AE807*(1-AD807))</f>
        <v>42549.000499210539</v>
      </c>
      <c r="AK807" s="11">
        <f>IF($A807&gt;'1-Input'!$B$26,0,IF(AP806&lt;=0,0,MAX(0,(AP806-AQ806)/AP806)))</f>
        <v>0.66473494621614926</v>
      </c>
      <c r="AL807" s="18">
        <f>IF($A807&gt;'1-Input'!$B$26,0,(MAX(0,AK781-IF($A807&gt;='1-Input'!$C$12,'1-Input'!$B$12,0))-MIN(MAX(AO806,0),MAX(0,AK781-IF($A807&gt;='1-Input'!$C$12,'1-Input'!$B$12,0))))*(1/(1-'P-Parametri'!$B$6*AK807))+MIN(MAX(0,AP806-(MAX(0,AK781-IF($A807&gt;='1-Input'!$C$12,'1-Input'!$B$12,0))-MIN(MAX(AO806,0),MAX(0,AK781-IF($A807&gt;='1-Input'!$C$12,'1-Input'!$B$12,0))))*(1/(1-'P-Parametri'!$B$6*AK807))),MAX(0,2*AK781-(AO806-MIN(MAX(AO806,0),MAX(0,AK781-IF($A807&gt;='1-Input'!$C$12,'1-Input'!$B$12,0)))))*(1/(1-'P-Parametri'!$B$6*AK807))))</f>
        <v>10196.260777986428</v>
      </c>
      <c r="AM807" s="18">
        <f>IF($A807&gt;'1-Input'!$B$26,AO806,(AO806-MAX(0,AK781-IF($A807&gt;='1-Input'!$C$12,'1-Input'!$B$12,0))+AL807*(1-'P-Parametri'!$B$6*AK807))*(1+'1-Input'!$B$27))</f>
        <v>38653.098186232593</v>
      </c>
      <c r="AN807" s="18">
        <f>IF($A807&gt;'1-Input'!$B$26,AP806,(AP806-AL807)*(1+$D$4))</f>
        <v>131977.44867739221</v>
      </c>
      <c r="AO807" s="18">
        <f>IF($A807&gt;'1-Input'!$B$26,AM807,AM807-'P-Parametri'!$B$8*(AN807+AM807)+MIN(MAX(AN807,0),'P-Parametri'!$B$8*(AN807+AM807)))</f>
        <v>38653.098186232593</v>
      </c>
      <c r="AP807" s="18">
        <f>IF($A807&gt;'1-Input'!$B$26,AN807,AN807-MIN(MAX(AN807,0),'P-Parametri'!$B$8*(AN807+AM807)))</f>
        <v>131636.18758366496</v>
      </c>
      <c r="AQ807" s="18">
        <f>IF($A807&gt;'1-Input'!$B$26,AQ806,AQ806-AL807*(1-AK807))</f>
        <v>42545.602335655109</v>
      </c>
    </row>
    <row r="808" spans="1:43">
      <c r="A808" s="10">
        <f>25</f>
        <v>25</v>
      </c>
      <c r="B808" s="11">
        <f>IF($A808&gt;'1-Input'!$B$26,0,IF(G807&lt;=0,0,MAX(0,(G807-H807)/G807)))</f>
        <v>0.67768860082763505</v>
      </c>
      <c r="C808" s="18">
        <f>IF($A808&gt;'1-Input'!$B$26,0,(MAX(0,B781-IF($A808&gt;='1-Input'!$C$12,'1-Input'!$B$12,0))-MIN(MAX(F807,0),MAX(0,B781-IF($A808&gt;='1-Input'!$C$12,'1-Input'!$B$12,0))))*(1/(1-'P-Parametri'!$B$6*B808))+MIN(MAX(0,G807-(MAX(0,B781-IF($A808&gt;='1-Input'!$C$12,'1-Input'!$B$12,0))-MIN(MAX(F807,0),MAX(0,B781-IF($A808&gt;='1-Input'!$C$12,'1-Input'!$B$12,0))))*(1/(1-'P-Parametri'!$B$6*B808))),MAX(0,2*B781-(F807-MIN(MAX(F807,0),MAX(0,B781-IF($A808&gt;='1-Input'!$C$12,'1-Input'!$B$12,0)))))*(1/(1-'P-Parametri'!$B$6*B808))))</f>
        <v>6918.1260564533468</v>
      </c>
      <c r="D808" s="18">
        <f>IF($A808&gt;'1-Input'!$B$26,F807,(F807-MAX(0,B781-IF($A808&gt;='1-Input'!$C$12,'1-Input'!$B$12,0))+C808*(1-'P-Parametri'!$B$6*B808))*(1+'1-Input'!$B$27))</f>
        <v>33242.0070309863</v>
      </c>
      <c r="E808" s="18">
        <f>IF($A808&gt;'1-Input'!$B$26,G807,(G807-C808)*(1+$D$4))</f>
        <v>270747.78472198325</v>
      </c>
      <c r="F808" s="18">
        <f>IF($A808&gt;'1-Input'!$B$26,D808,D808-'P-Parametri'!$B$8*(E808+D808)+MIN(MAX(E808,0),'P-Parametri'!$B$8*(E808+D808)))</f>
        <v>33242.0070309863</v>
      </c>
      <c r="G808" s="18">
        <f>IF($A808&gt;'1-Input'!$B$26,E808,E808-MIN(MAX(E808,0),'P-Parametri'!$B$8*(E808+D808)))</f>
        <v>270139.8051384773</v>
      </c>
      <c r="H808" s="18">
        <f>IF($A808&gt;'1-Input'!$B$26,H807,H807-C808*(1-B808))</f>
        <v>83908.747419769876</v>
      </c>
      <c r="I808" s="11">
        <f>IF($A808&gt;'1-Input'!$B$26,0,IF(N807&lt;=0,0,MAX(0,(N807-O807)/N807)))</f>
        <v>0.66670102083335359</v>
      </c>
      <c r="J808" s="18">
        <f>IF($A808&gt;'1-Input'!$B$26,0,(MAX(0,I781-IF($A808&gt;='1-Input'!$C$12,'1-Input'!$B$12,0))-MIN(MAX(M807,0),MAX(0,I781-IF($A808&gt;='1-Input'!$C$12,'1-Input'!$B$12,0))))*(1/(1-'P-Parametri'!$B$6*I808))+MIN(MAX(0,N807-(MAX(0,I781-IF($A808&gt;='1-Input'!$C$12,'1-Input'!$B$12,0))-MIN(MAX(M807,0),MAX(0,I781-IF($A808&gt;='1-Input'!$C$12,'1-Input'!$B$12,0))))*(1/(1-'P-Parametri'!$B$6*I808))),MAX(0,2*I781-(M807-MIN(MAX(M807,0),MAX(0,I781-IF($A808&gt;='1-Input'!$C$12,'1-Input'!$B$12,0)))))*(1/(1-'P-Parametri'!$B$6*I808))))</f>
        <v>4225.8411881171851</v>
      </c>
      <c r="K808" s="18">
        <f>IF($A808&gt;'1-Input'!$B$26,M807,(M807-MAX(0,I781-IF($A808&gt;='1-Input'!$C$12,'1-Input'!$B$12,0))+J808*(1-'P-Parametri'!$B$6*I808))*(1+'1-Input'!$B$27))</f>
        <v>36255.060464972383</v>
      </c>
      <c r="L808" s="18">
        <f>IF($A808&gt;'1-Input'!$B$26,N807,(N807-J808)*(1+$D$4))</f>
        <v>0</v>
      </c>
      <c r="M808" s="18">
        <f>IF($A808&gt;'1-Input'!$B$26,K808,K808-'P-Parametri'!$B$8*(L808+K808)+MIN(MAX(L808,0),'P-Parametri'!$B$8*(L808+K808)))</f>
        <v>36182.550344042436</v>
      </c>
      <c r="N808" s="18">
        <f>IF($A808&gt;'1-Input'!$B$26,L808,L808-MIN(MAX(L808,0),'P-Parametri'!$B$8*(L808+K808)))</f>
        <v>0</v>
      </c>
      <c r="O808" s="18">
        <f>IF($A808&gt;'1-Input'!$B$26,O807,O807-J808*(1-I808))</f>
        <v>0</v>
      </c>
      <c r="P808" s="11">
        <f>IF($A808&gt;'1-Input'!$B$26,0,IF(U807&lt;=0,0,MAX(0,(U807-V807)/U807)))</f>
        <v>0.67653752555951385</v>
      </c>
      <c r="Q808" s="18">
        <f>IF($A808&gt;'1-Input'!$B$26,0,(MAX(0,P781-IF($A808&gt;='1-Input'!$C$12,'1-Input'!$B$12,0))-MIN(MAX(T807,0),MAX(0,P781-IF($A808&gt;='1-Input'!$C$12,'1-Input'!$B$12,0))))*(1/(1-'P-Parametri'!$B$6*P808))+MIN(MAX(0,U807-(MAX(0,P781-IF($A808&gt;='1-Input'!$C$12,'1-Input'!$B$12,0))-MIN(MAX(T807,0),MAX(0,P781-IF($A808&gt;='1-Input'!$C$12,'1-Input'!$B$12,0))))*(1/(1-'P-Parametri'!$B$6*P808))),MAX(0,2*P781-(T807-MIN(MAX(T807,0),MAX(0,P781-IF($A808&gt;='1-Input'!$C$12,'1-Input'!$B$12,0)))))*(1/(1-'P-Parametri'!$B$6*P808))))</f>
        <v>10783.075233078431</v>
      </c>
      <c r="R808" s="18">
        <f>IF($A808&gt;'1-Input'!$B$26,T807,(T807-MAX(0,P781-IF($A808&gt;='1-Input'!$C$12,'1-Input'!$B$12,0))+Q808*(1-'P-Parametri'!$B$6*P808))*(1+'1-Input'!$B$27))</f>
        <v>39548.008177054842</v>
      </c>
      <c r="S808" s="18">
        <f>IF($A808&gt;'1-Input'!$B$26,U807,(U807-Q808)*(1+$D$4))</f>
        <v>102365.94447323536</v>
      </c>
      <c r="T808" s="18">
        <f>IF($A808&gt;'1-Input'!$B$26,R808,R808-'P-Parametri'!$B$8*(S808+R808)+MIN(MAX(S808,0),'P-Parametri'!$B$8*(S808+R808)))</f>
        <v>39548.008177054842</v>
      </c>
      <c r="U808" s="18">
        <f>IF($A808&gt;'1-Input'!$B$26,S808,S808-MIN(MAX(S808,0),'P-Parametri'!$B$8*(S808+R808)))</f>
        <v>102082.11656793478</v>
      </c>
      <c r="V808" s="18">
        <f>IF($A808&gt;'1-Input'!$B$26,V807,V807-Q808*(1-P808))</f>
        <v>31838.020863221253</v>
      </c>
      <c r="W808" s="11">
        <f>IF($A808&gt;'1-Input'!$B$26,0,IF(AB807&lt;=0,0,MAX(0,(AB807-AC807)/AB807)))</f>
        <v>0.67678408179874738</v>
      </c>
      <c r="X808" s="18">
        <f>IF($A808&gt;'1-Input'!$B$26,0,(MAX(0,W781-IF($A808&gt;='1-Input'!$C$12,'1-Input'!$B$12,0))-MIN(MAX(AA807,0),MAX(0,W781-IF($A808&gt;='1-Input'!$C$12,'1-Input'!$B$12,0))))*(1/(1-'P-Parametri'!$B$6*W808))+MIN(MAX(0,AB807-(MAX(0,W781-IF($A808&gt;='1-Input'!$C$12,'1-Input'!$B$12,0))-MIN(MAX(AA807,0),MAX(0,W781-IF($A808&gt;='1-Input'!$C$12,'1-Input'!$B$12,0))))*(1/(1-'P-Parametri'!$B$6*W808))),MAX(0,2*W781-(AA807-MIN(MAX(AA807,0),MAX(0,W781-IF($A808&gt;='1-Input'!$C$12,'1-Input'!$B$12,0)))))*(1/(1-'P-Parametri'!$B$6*W808))))</f>
        <v>10258.715731940947</v>
      </c>
      <c r="Y808" s="18">
        <f>IF($A808&gt;'1-Input'!$B$26,AA807,(AA807-MAX(0,W781-IF($A808&gt;='1-Input'!$C$12,'1-Input'!$B$12,0))+X808*(1-'P-Parametri'!$B$6*W808))*(1+'1-Input'!$B$27))</f>
        <v>38691.724605045303</v>
      </c>
      <c r="Z808" s="18">
        <f>IF($A808&gt;'1-Input'!$B$26,AB807,(AB807-X808)*(1+$D$4))</f>
        <v>125225.9329605033</v>
      </c>
      <c r="AA808" s="18">
        <f>IF($A808&gt;'1-Input'!$B$26,Y808,Y808-'P-Parametri'!$B$8*(Z808+Y808)+MIN(MAX(Z808,0),'P-Parametri'!$B$8*(Z808+Y808)))</f>
        <v>38691.724605045303</v>
      </c>
      <c r="AB808" s="18">
        <f>IF($A808&gt;'1-Input'!$B$26,Z808,Z808-MIN(MAX(Z808,0),'P-Parametri'!$B$8*(Z808+Y808)))</f>
        <v>124898.0976453722</v>
      </c>
      <c r="AC808" s="18">
        <f>IF($A808&gt;'1-Input'!$B$26,AC807,AC807-X808*(1-W808))</f>
        <v>38918.283561959193</v>
      </c>
      <c r="AD808" s="11">
        <f>IF($A808&gt;'1-Input'!$B$26,0,IF(AI807&lt;=0,0,MAX(0,(AI807-AJ807)/AI807)))</f>
        <v>0.67679413310706116</v>
      </c>
      <c r="AE808" s="18">
        <f>IF($A808&gt;'1-Input'!$B$26,0,(MAX(0,AD781-IF($A808&gt;='1-Input'!$C$12,'1-Input'!$B$12,0))-MIN(MAX(AH807,0),MAX(0,AD781-IF($A808&gt;='1-Input'!$C$12,'1-Input'!$B$12,0))))*(1/(1-'P-Parametri'!$B$6*AD808))+MIN(MAX(0,AI807-(MAX(0,AD781-IF($A808&gt;='1-Input'!$C$12,'1-Input'!$B$12,0))-MIN(MAX(AH807,0),MAX(0,AD781-IF($A808&gt;='1-Input'!$C$12,'1-Input'!$B$12,0))))*(1/(1-'P-Parametri'!$B$6*AD808))),MAX(0,2*AD781-(AH807-MIN(MAX(AH807,0),MAX(0,AD781-IF($A808&gt;='1-Input'!$C$12,'1-Input'!$B$12,0)))))*(1/(1-'P-Parametri'!$B$6*AD808))))</f>
        <v>10234.798398976111</v>
      </c>
      <c r="AF808" s="18">
        <f>IF($A808&gt;'1-Input'!$B$26,AH807,(AH807-MAX(0,AD781-IF($A808&gt;='1-Input'!$C$12,'1-Input'!$B$12,0))+AE808*(1-'P-Parametri'!$B$6*AD808))*(1+'1-Input'!$B$27))</f>
        <v>38652.676856956641</v>
      </c>
      <c r="AG808" s="18">
        <f>IF($A808&gt;'1-Input'!$B$26,AI807,(AI807-AE808)*(1+$D$4))</f>
        <v>126268.42497299481</v>
      </c>
      <c r="AH808" s="18">
        <f>IF($A808&gt;'1-Input'!$B$26,AF808,AF808-'P-Parametri'!$B$8*(AG808+AF808)+MIN(MAX(AG808,0),'P-Parametri'!$B$8*(AG808+AF808)))</f>
        <v>38652.676856956641</v>
      </c>
      <c r="AI808" s="18">
        <f>IF($A808&gt;'1-Input'!$B$26,AG808,AG808-MIN(MAX(AG808,0),'P-Parametri'!$B$8*(AG808+AF808)))</f>
        <v>125938.5827693349</v>
      </c>
      <c r="AJ808" s="18">
        <f>IF($A808&gt;'1-Input'!$B$26,AJ807,AJ807-AE808*(1-AD808))</f>
        <v>39241.053610195006</v>
      </c>
      <c r="AK808" s="11">
        <f>IF($A808&gt;'1-Input'!$B$26,0,IF(AP807&lt;=0,0,MAX(0,(AP807-AQ807)/AP807)))</f>
        <v>0.67679402513374909</v>
      </c>
      <c r="AL808" s="18">
        <f>IF($A808&gt;'1-Input'!$B$26,0,(MAX(0,AK781-IF($A808&gt;='1-Input'!$C$12,'1-Input'!$B$12,0))-MIN(MAX(AO807,0),MAX(0,AK781-IF($A808&gt;='1-Input'!$C$12,'1-Input'!$B$12,0))))*(1/(1-'P-Parametri'!$B$6*AK808))+MIN(MAX(0,AP807-(MAX(0,AK781-IF($A808&gt;='1-Input'!$C$12,'1-Input'!$B$12,0))-MIN(MAX(AO807,0),MAX(0,AK781-IF($A808&gt;='1-Input'!$C$12,'1-Input'!$B$12,0))))*(1/(1-'P-Parametri'!$B$6*AK808))),MAX(0,2*AK781-(AO807-MIN(MAX(AO807,0),MAX(0,AK781-IF($A808&gt;='1-Input'!$C$12,'1-Input'!$B$12,0)))))*(1/(1-'P-Parametri'!$B$6*AK808))))</f>
        <v>10235.056471858321</v>
      </c>
      <c r="AM808" s="18">
        <f>IF($A808&gt;'1-Input'!$B$26,AO807,(AO807-MAX(0,AK781-IF($A808&gt;='1-Input'!$C$12,'1-Input'!$B$12,0))+AL808*(1-'P-Parametri'!$B$6*AK808))*(1+'1-Input'!$B$27))</f>
        <v>38653.098186232593</v>
      </c>
      <c r="AN808" s="18">
        <f>IF($A808&gt;'1-Input'!$B$26,AP807,(AP807-AL808)*(1+$D$4))</f>
        <v>126257.17635627891</v>
      </c>
      <c r="AO808" s="18">
        <f>IF($A808&gt;'1-Input'!$B$26,AM808,AM808-'P-Parametri'!$B$8*(AN808+AM808)+MIN(MAX(AN808,0),'P-Parametri'!$B$8*(AN808+AM808)))</f>
        <v>38653.098186232593</v>
      </c>
      <c r="AP808" s="18">
        <f>IF($A808&gt;'1-Input'!$B$26,AN808,AN808-MIN(MAX(AN808,0),'P-Parametri'!$B$8*(AN808+AM808)))</f>
        <v>125927.35580719389</v>
      </c>
      <c r="AQ808" s="18">
        <f>IF($A808&gt;'1-Input'!$B$26,AQ807,AQ807-AL808*(1-AK808))</f>
        <v>39237.570930857008</v>
      </c>
    </row>
    <row r="809" spans="1:43">
      <c r="A809" s="10">
        <f>26</f>
        <v>26</v>
      </c>
      <c r="B809" s="11">
        <f>IF($A809&gt;'1-Input'!$B$26,0,IF(G808&lt;=0,0,MAX(0,(G808-H808)/G808)))</f>
        <v>0.6893876954684367</v>
      </c>
      <c r="C809" s="18">
        <f>IF($A809&gt;'1-Input'!$B$26,0,(MAX(0,B781-IF($A809&gt;='1-Input'!$C$12,'1-Input'!$B$12,0))-MIN(MAX(F808,0),MAX(0,B781-IF($A809&gt;='1-Input'!$C$12,'1-Input'!$B$12,0))))*(1/(1-'P-Parametri'!$B$6*B809))+MIN(MAX(0,G808-(MAX(0,B781-IF($A809&gt;='1-Input'!$C$12,'1-Input'!$B$12,0))-MIN(MAX(F808,0),MAX(0,B781-IF($A809&gt;='1-Input'!$C$12,'1-Input'!$B$12,0))))*(1/(1-'P-Parametri'!$B$6*B809))),MAX(0,2*B781-(F808-MIN(MAX(F808,0),MAX(0,B781-IF($A809&gt;='1-Input'!$C$12,'1-Input'!$B$12,0)))))*(1/(1-'P-Parametri'!$B$6*B809))))</f>
        <v>6943.7648930373844</v>
      </c>
      <c r="D809" s="18">
        <f>IF($A809&gt;'1-Input'!$B$26,F808,(F808-MAX(0,B781-IF($A809&gt;='1-Input'!$C$12,'1-Input'!$B$12,0))+C809*(1-'P-Parametri'!$B$6*B809))*(1+'1-Input'!$B$27))</f>
        <v>33242.0070309863</v>
      </c>
      <c r="E809" s="18">
        <f>IF($A809&gt;'1-Input'!$B$26,G808,(G808-C809)*(1+$D$4))</f>
        <v>273723.8818552575</v>
      </c>
      <c r="F809" s="18">
        <f>IF($A809&gt;'1-Input'!$B$26,D809,D809-'P-Parametri'!$B$8*(E809+D809)+MIN(MAX(E809,0),'P-Parametri'!$B$8*(E809+D809)))</f>
        <v>33242.0070309863</v>
      </c>
      <c r="G809" s="18">
        <f>IF($A809&gt;'1-Input'!$B$26,E809,E809-MIN(MAX(E809,0),'P-Parametri'!$B$8*(E809+D809)))</f>
        <v>273109.950077485</v>
      </c>
      <c r="H809" s="18">
        <f>IF($A809&gt;'1-Input'!$B$26,H808,H808-C809*(1-B809))</f>
        <v>81751.928604218163</v>
      </c>
      <c r="I809" s="11">
        <f>IF($A809&gt;'1-Input'!$B$26,0,IF(N808&lt;=0,0,MAX(0,(N808-O808)/N808)))</f>
        <v>0</v>
      </c>
      <c r="J809" s="18">
        <f>IF($A809&gt;'1-Input'!$B$26,0,(MAX(0,I781-IF($A809&gt;='1-Input'!$C$12,'1-Input'!$B$12,0))-MIN(MAX(M808,0),MAX(0,I781-IF($A809&gt;='1-Input'!$C$12,'1-Input'!$B$12,0))))*(1/(1-'P-Parametri'!$B$6*I809))+MIN(MAX(0,N808-(MAX(0,I781-IF($A809&gt;='1-Input'!$C$12,'1-Input'!$B$12,0))-MIN(MAX(M808,0),MAX(0,I781-IF($A809&gt;='1-Input'!$C$12,'1-Input'!$B$12,0))))*(1/(1-'P-Parametri'!$B$6*I809))),MAX(0,2*I781-(M808-MIN(MAX(M808,0),MAX(0,I781-IF($A809&gt;='1-Input'!$C$12,'1-Input'!$B$12,0)))))*(1/(1-'P-Parametri'!$B$6*I809))))</f>
        <v>0</v>
      </c>
      <c r="K809" s="18">
        <f>IF($A809&gt;'1-Input'!$B$26,M808,(M808-MAX(0,I781-IF($A809&gt;='1-Input'!$C$12,'1-Input'!$B$12,0))+J809*(1-'P-Parametri'!$B$6*I809))*(1+'1-Input'!$B$27))</f>
        <v>25244.584495049734</v>
      </c>
      <c r="L809" s="18">
        <f>IF($A809&gt;'1-Input'!$B$26,N808,(N808-J809)*(1+$D$4))</f>
        <v>0</v>
      </c>
      <c r="M809" s="18">
        <f>IF($A809&gt;'1-Input'!$B$26,K809,K809-'P-Parametri'!$B$8*(L809+K809)+MIN(MAX(L809,0),'P-Parametri'!$B$8*(L809+K809)))</f>
        <v>25194.095326059636</v>
      </c>
      <c r="N809" s="18">
        <f>IF($A809&gt;'1-Input'!$B$26,L809,L809-MIN(MAX(L809,0),'P-Parametri'!$B$8*(L809+K809)))</f>
        <v>0</v>
      </c>
      <c r="O809" s="18">
        <f>IF($A809&gt;'1-Input'!$B$26,O808,O808-J809*(1-I809))</f>
        <v>0</v>
      </c>
      <c r="P809" s="11">
        <f>IF($A809&gt;'1-Input'!$B$26,0,IF(U808&lt;=0,0,MAX(0,(U808-V808)/U808)))</f>
        <v>0.68811362916801078</v>
      </c>
      <c r="Q809" s="18">
        <f>IF($A809&gt;'1-Input'!$B$26,0,(MAX(0,P781-IF($A809&gt;='1-Input'!$C$12,'1-Input'!$B$12,0))-MIN(MAX(T808,0),MAX(0,P781-IF($A809&gt;='1-Input'!$C$12,'1-Input'!$B$12,0))))*(1/(1-'P-Parametri'!$B$6*P809))+MIN(MAX(0,U808-(MAX(0,P781-IF($A809&gt;='1-Input'!$C$12,'1-Input'!$B$12,0))-MIN(MAX(T808,0),MAX(0,P781-IF($A809&gt;='1-Input'!$C$12,'1-Input'!$B$12,0))))*(1/(1-'P-Parametri'!$B$6*P809))),MAX(0,2*P781-(T808-MIN(MAX(T808,0),MAX(0,P781-IF($A809&gt;='1-Input'!$C$12,'1-Input'!$B$12,0)))))*(1/(1-'P-Parametri'!$B$6*P809))))</f>
        <v>10822.601644251075</v>
      </c>
      <c r="R809" s="18">
        <f>IF($A809&gt;'1-Input'!$B$26,T808,(T808-MAX(0,P781-IF($A809&gt;='1-Input'!$C$12,'1-Input'!$B$12,0))+Q809*(1-'P-Parametri'!$B$6*P809))*(1+'1-Input'!$B$27))</f>
        <v>39548.008177054842</v>
      </c>
      <c r="S809" s="18">
        <f>IF($A809&gt;'1-Input'!$B$26,U808,(U808-Q809)*(1+$D$4))</f>
        <v>94909.895520631049</v>
      </c>
      <c r="T809" s="18">
        <f>IF($A809&gt;'1-Input'!$B$26,R809,R809-'P-Parametri'!$B$8*(S809+R809)+MIN(MAX(S809,0),'P-Parametri'!$B$8*(S809+R809)))</f>
        <v>39548.008177054842</v>
      </c>
      <c r="U809" s="18">
        <f>IF($A809&gt;'1-Input'!$B$26,S809,S809-MIN(MAX(S809,0),'P-Parametri'!$B$8*(S809+R809)))</f>
        <v>94640.979713235676</v>
      </c>
      <c r="V809" s="18">
        <f>IF($A809&gt;'1-Input'!$B$26,V808,V808-Q809*(1-P809))</f>
        <v>28462.598913435464</v>
      </c>
      <c r="W809" s="11">
        <f>IF($A809&gt;'1-Input'!$B$26,0,IF(AB808&lt;=0,0,MAX(0,(AB808-AC808)/AB808)))</f>
        <v>0.68839970907754477</v>
      </c>
      <c r="X809" s="18">
        <f>IF($A809&gt;'1-Input'!$B$26,0,(MAX(0,W781-IF($A809&gt;='1-Input'!$C$12,'1-Input'!$B$12,0))-MIN(MAX(AA808,0),MAX(0,W781-IF($A809&gt;='1-Input'!$C$12,'1-Input'!$B$12,0))))*(1/(1-'P-Parametri'!$B$6*W809))+MIN(MAX(0,AB808-(MAX(0,W781-IF($A809&gt;='1-Input'!$C$12,'1-Input'!$B$12,0))-MIN(MAX(AA808,0),MAX(0,W781-IF($A809&gt;='1-Input'!$C$12,'1-Input'!$B$12,0))))*(1/(1-'P-Parametri'!$B$6*W809))),MAX(0,2*W781-(AA808-MIN(MAX(AA808,0),MAX(0,W781-IF($A809&gt;='1-Input'!$C$12,'1-Input'!$B$12,0)))))*(1/(1-'P-Parametri'!$B$6*W809))))</f>
        <v>10296.451861205172</v>
      </c>
      <c r="Y809" s="18">
        <f>IF($A809&gt;'1-Input'!$B$26,AA808,(AA808-MAX(0,W781-IF($A809&gt;='1-Input'!$C$12,'1-Input'!$B$12,0))+X809*(1-'P-Parametri'!$B$6*W809))*(1+'1-Input'!$B$27))</f>
        <v>38691.724605045303</v>
      </c>
      <c r="Z809" s="18">
        <f>IF($A809&gt;'1-Input'!$B$26,AB808,(AB808-X809)*(1+$D$4))</f>
        <v>119185.7116155337</v>
      </c>
      <c r="AA809" s="18">
        <f>IF($A809&gt;'1-Input'!$B$26,Y809,Y809-'P-Parametri'!$B$8*(Z809+Y809)+MIN(MAX(Z809,0),'P-Parametri'!$B$8*(Z809+Y809)))</f>
        <v>38691.724605045303</v>
      </c>
      <c r="AB809" s="18">
        <f>IF($A809&gt;'1-Input'!$B$26,Z809,Z809-MIN(MAX(Z809,0),'P-Parametri'!$B$8*(Z809+Y809)))</f>
        <v>118869.95674309254</v>
      </c>
      <c r="AC809" s="18">
        <f>IF($A809&gt;'1-Input'!$B$26,AC808,AC808-X809*(1-W809))</f>
        <v>35709.906166538603</v>
      </c>
      <c r="AD809" s="11">
        <f>IF($A809&gt;'1-Input'!$B$26,0,IF(AI808&lt;=0,0,MAX(0,(AI808-AJ808)/AI808)))</f>
        <v>0.68841118625205067</v>
      </c>
      <c r="AE809" s="18">
        <f>IF($A809&gt;'1-Input'!$B$26,0,(MAX(0,AD781-IF($A809&gt;='1-Input'!$C$12,'1-Input'!$B$12,0))-MIN(MAX(AH808,0),MAX(0,AD781-IF($A809&gt;='1-Input'!$C$12,'1-Input'!$B$12,0))))*(1/(1-'P-Parametri'!$B$6*AD809))+MIN(MAX(0,AI808-(MAX(0,AD781-IF($A809&gt;='1-Input'!$C$12,'1-Input'!$B$12,0))-MIN(MAX(AH808,0),MAX(0,AD781-IF($A809&gt;='1-Input'!$C$12,'1-Input'!$B$12,0))))*(1/(1-'P-Parametri'!$B$6*AD809))),MAX(0,2*AD781-(AH808-MIN(MAX(AH808,0),MAX(0,AD781-IF($A809&gt;='1-Input'!$C$12,'1-Input'!$B$12,0)))))*(1/(1-'P-Parametri'!$B$6*AD809))))</f>
        <v>10272.451307947755</v>
      </c>
      <c r="AF809" s="18">
        <f>IF($A809&gt;'1-Input'!$B$26,AH808,(AH808-MAX(0,AD781-IF($A809&gt;='1-Input'!$C$12,'1-Input'!$B$12,0))+AE809*(1-'P-Parametri'!$B$6*AD809))*(1+'1-Input'!$B$27))</f>
        <v>38652.676856956641</v>
      </c>
      <c r="AG809" s="18">
        <f>IF($A809&gt;'1-Input'!$B$26,AI808,(AI808-AE809)*(1+$D$4))</f>
        <v>120292.77671984264</v>
      </c>
      <c r="AH809" s="18">
        <f>IF($A809&gt;'1-Input'!$B$26,AF809,AF809-'P-Parametri'!$B$8*(AG809+AF809)+MIN(MAX(AG809,0),'P-Parametri'!$B$8*(AG809+AF809)))</f>
        <v>38652.676856956641</v>
      </c>
      <c r="AI809" s="18">
        <f>IF($A809&gt;'1-Input'!$B$26,AG809,AG809-MIN(MAX(AG809,0),'P-Parametri'!$B$8*(AG809+AF809)))</f>
        <v>119974.88581268904</v>
      </c>
      <c r="AJ809" s="18">
        <f>IF($A809&gt;'1-Input'!$B$26,AJ808,AJ808-AE809*(1-AD809))</f>
        <v>36040.272692867991</v>
      </c>
      <c r="AK809" s="11">
        <f>IF($A809&gt;'1-Input'!$B$26,0,IF(AP808&lt;=0,0,MAX(0,(AP808-AQ808)/AP808)))</f>
        <v>0.68841106303436361</v>
      </c>
      <c r="AL809" s="18">
        <f>IF($A809&gt;'1-Input'!$B$26,0,(MAX(0,AK781-IF($A809&gt;='1-Input'!$C$12,'1-Input'!$B$12,0))-MIN(MAX(AO808,0),MAX(0,AK781-IF($A809&gt;='1-Input'!$C$12,'1-Input'!$B$12,0))))*(1/(1-'P-Parametri'!$B$6*AK809))+MIN(MAX(0,AP808-(MAX(0,AK781-IF($A809&gt;='1-Input'!$C$12,'1-Input'!$B$12,0))-MIN(MAX(AO808,0),MAX(0,AK781-IF($A809&gt;='1-Input'!$C$12,'1-Input'!$B$12,0))))*(1/(1-'P-Parametri'!$B$6*AK809))),MAX(0,2*AK781-(AO808-MIN(MAX(AO808,0),MAX(0,AK781-IF($A809&gt;='1-Input'!$C$12,'1-Input'!$B$12,0)))))*(1/(1-'P-Parametri'!$B$6*AK809))))</f>
        <v>10272.710279376817</v>
      </c>
      <c r="AM809" s="18">
        <f>IF($A809&gt;'1-Input'!$B$26,AO808,(AO808-MAX(0,AK781-IF($A809&gt;='1-Input'!$C$12,'1-Input'!$B$12,0))+AL809*(1-'P-Parametri'!$B$6*AK809))*(1+'1-Input'!$B$27))</f>
        <v>38653.098186232593</v>
      </c>
      <c r="AN809" s="18">
        <f>IF($A809&gt;'1-Input'!$B$26,AP808,(AP808-AL809)*(1+$D$4))</f>
        <v>120280.83134892976</v>
      </c>
      <c r="AO809" s="18">
        <f>IF($A809&gt;'1-Input'!$B$26,AM809,AM809-'P-Parametri'!$B$8*(AN809+AM809)+MIN(MAX(AN809,0),'P-Parametri'!$B$8*(AN809+AM809)))</f>
        <v>38653.098186232593</v>
      </c>
      <c r="AP809" s="18">
        <f>IF($A809&gt;'1-Input'!$B$26,AN809,AN809-MIN(MAX(AN809,0),'P-Parametri'!$B$8*(AN809+AM809)))</f>
        <v>119962.96348985944</v>
      </c>
      <c r="AQ809" s="18">
        <f>IF($A809&gt;'1-Input'!$B$26,AQ808,AQ808-AL809*(1-AK809))</f>
        <v>36036.708055150018</v>
      </c>
    </row>
    <row r="810" spans="1:43">
      <c r="A810" s="10">
        <f>27</f>
        <v>27</v>
      </c>
      <c r="B810" s="11">
        <f>IF($A810&gt;'1-Input'!$B$26,0,IF(G809&lt;=0,0,MAX(0,(G809-H809)/G809)))</f>
        <v>0.70066294332731549</v>
      </c>
      <c r="C810" s="18">
        <f>IF($A810&gt;'1-Input'!$B$26,0,(MAX(0,B781-IF($A810&gt;='1-Input'!$C$12,'1-Input'!$B$12,0))-MIN(MAX(F809,0),MAX(0,B781-IF($A810&gt;='1-Input'!$C$12,'1-Input'!$B$12,0))))*(1/(1-'P-Parametri'!$B$6*B810))+MIN(MAX(0,G809-(MAX(0,B781-IF($A810&gt;='1-Input'!$C$12,'1-Input'!$B$12,0))-MIN(MAX(F809,0),MAX(0,B781-IF($A810&gt;='1-Input'!$C$12,'1-Input'!$B$12,0))))*(1/(1-'P-Parametri'!$B$6*B810))),MAX(0,2*B781-(F809-MIN(MAX(F809,0),MAX(0,B781-IF($A810&gt;='1-Input'!$C$12,'1-Input'!$B$12,0)))))*(1/(1-'P-Parametri'!$B$6*B810))))</f>
        <v>6968.6553386503156</v>
      </c>
      <c r="D810" s="18">
        <f>IF($A810&gt;'1-Input'!$B$26,F809,(F809-MAX(0,B781-IF($A810&gt;='1-Input'!$C$12,'1-Input'!$B$12,0))+C810*(1-'P-Parametri'!$B$6*B810))*(1+'1-Input'!$B$27))</f>
        <v>33242.0070309863</v>
      </c>
      <c r="E810" s="18">
        <f>IF($A810&gt;'1-Input'!$B$26,G809,(G809-C810)*(1+$D$4))</f>
        <v>276786.94652838807</v>
      </c>
      <c r="F810" s="18">
        <f>IF($A810&gt;'1-Input'!$B$26,D810,D810-'P-Parametri'!$B$8*(E810+D810)+MIN(MAX(E810,0),'P-Parametri'!$B$8*(E810+D810)))</f>
        <v>33242.0070309863</v>
      </c>
      <c r="G810" s="18">
        <f>IF($A810&gt;'1-Input'!$B$26,E810,E810-MIN(MAX(E810,0),'P-Parametri'!$B$8*(E810+D810)))</f>
        <v>276166.88862126932</v>
      </c>
      <c r="H810" s="18">
        <f>IF($A810&gt;'1-Input'!$B$26,H809,H809-C810*(1-B810))</f>
        <v>79665.951826180186</v>
      </c>
      <c r="I810" s="11">
        <f>IF($A810&gt;'1-Input'!$B$26,0,IF(N809&lt;=0,0,MAX(0,(N809-O809)/N809)))</f>
        <v>0</v>
      </c>
      <c r="J810" s="18">
        <f>IF($A810&gt;'1-Input'!$B$26,0,(MAX(0,I781-IF($A810&gt;='1-Input'!$C$12,'1-Input'!$B$12,0))-MIN(MAX(M809,0),MAX(0,I781-IF($A810&gt;='1-Input'!$C$12,'1-Input'!$B$12,0))))*(1/(1-'P-Parametri'!$B$6*I810))+MIN(MAX(0,N809-(MAX(0,I781-IF($A810&gt;='1-Input'!$C$12,'1-Input'!$B$12,0))-MIN(MAX(M809,0),MAX(0,I781-IF($A810&gt;='1-Input'!$C$12,'1-Input'!$B$12,0))))*(1/(1-'P-Parametri'!$B$6*I810))),MAX(0,2*I781-(M809-MIN(MAX(M809,0),MAX(0,I781-IF($A810&gt;='1-Input'!$C$12,'1-Input'!$B$12,0)))))*(1/(1-'P-Parametri'!$B$6*I810))))</f>
        <v>0</v>
      </c>
      <c r="K810" s="18">
        <f>IF($A810&gt;'1-Input'!$B$26,M809,(M809-MAX(0,I781-IF($A810&gt;='1-Input'!$C$12,'1-Input'!$B$12,0))+J810*(1-'P-Parametri'!$B$6*I810))*(1+'1-Input'!$B$27))</f>
        <v>14295.687915131673</v>
      </c>
      <c r="L810" s="18">
        <f>IF($A810&gt;'1-Input'!$B$26,N809,(N809-J810)*(1+$D$4))</f>
        <v>0</v>
      </c>
      <c r="M810" s="18">
        <f>IF($A810&gt;'1-Input'!$B$26,K810,K810-'P-Parametri'!$B$8*(L810+K810)+MIN(MAX(L810,0),'P-Parametri'!$B$8*(L810+K810)))</f>
        <v>14267.09653930141</v>
      </c>
      <c r="N810" s="18">
        <f>IF($A810&gt;'1-Input'!$B$26,L810,L810-MIN(MAX(L810,0),'P-Parametri'!$B$8*(L810+K810)))</f>
        <v>0</v>
      </c>
      <c r="O810" s="18">
        <f>IF($A810&gt;'1-Input'!$B$26,O809,O809-J810*(1-I810))</f>
        <v>0</v>
      </c>
      <c r="P810" s="11">
        <f>IF($A810&gt;'1-Input'!$B$26,0,IF(U809&lt;=0,0,MAX(0,(U809-V809)/U809)))</f>
        <v>0.69925713998652816</v>
      </c>
      <c r="Q810" s="18">
        <f>IF($A810&gt;'1-Input'!$B$26,0,(MAX(0,P781-IF($A810&gt;='1-Input'!$C$12,'1-Input'!$B$12,0))-MIN(MAX(T809,0),MAX(0,P781-IF($A810&gt;='1-Input'!$C$12,'1-Input'!$B$12,0))))*(1/(1-'P-Parametri'!$B$6*P810))+MIN(MAX(0,U809-(MAX(0,P781-IF($A810&gt;='1-Input'!$C$12,'1-Input'!$B$12,0))-MIN(MAX(T809,0),MAX(0,P781-IF($A810&gt;='1-Input'!$C$12,'1-Input'!$B$12,0))))*(1/(1-'P-Parametri'!$B$6*P810))),MAX(0,2*P781-(T809-MIN(MAX(T809,0),MAX(0,P781-IF($A810&gt;='1-Input'!$C$12,'1-Input'!$B$12,0)))))*(1/(1-'P-Parametri'!$B$6*P810))))</f>
        <v>10860.925678932881</v>
      </c>
      <c r="R810" s="18">
        <f>IF($A810&gt;'1-Input'!$B$26,T809,(T809-MAX(0,P781-IF($A810&gt;='1-Input'!$C$12,'1-Input'!$B$12,0))+Q810*(1-'P-Parametri'!$B$6*P810))*(1+'1-Input'!$B$27))</f>
        <v>39548.008177054842</v>
      </c>
      <c r="S810" s="18">
        <f>IF($A810&gt;'1-Input'!$B$26,U809,(U809-Q810)*(1+$D$4))</f>
        <v>87131.256195674912</v>
      </c>
      <c r="T810" s="18">
        <f>IF($A810&gt;'1-Input'!$B$26,R810,R810-'P-Parametri'!$B$8*(S810+R810)+MIN(MAX(S810,0),'P-Parametri'!$B$8*(S810+R810)))</f>
        <v>39548.008177054842</v>
      </c>
      <c r="U810" s="18">
        <f>IF($A810&gt;'1-Input'!$B$26,S810,S810-MIN(MAX(S810,0),'P-Parametri'!$B$8*(S810+R810)))</f>
        <v>86877.89766692945</v>
      </c>
      <c r="V810" s="18">
        <f>IF($A810&gt;'1-Input'!$B$26,V809,V809-Q810*(1-P810))</f>
        <v>25196.253062359432</v>
      </c>
      <c r="W810" s="11">
        <f>IF($A810&gt;'1-Input'!$B$26,0,IF(AB809&lt;=0,0,MAX(0,(AB809-AC809)/AB809)))</f>
        <v>0.6995884650339651</v>
      </c>
      <c r="X810" s="18">
        <f>IF($A810&gt;'1-Input'!$B$26,0,(MAX(0,W781-IF($A810&gt;='1-Input'!$C$12,'1-Input'!$B$12,0))-MIN(MAX(AA809,0),MAX(0,W781-IF($A810&gt;='1-Input'!$C$12,'1-Input'!$B$12,0))))*(1/(1-'P-Parametri'!$B$6*W810))+MIN(MAX(0,AB809-(MAX(0,W781-IF($A810&gt;='1-Input'!$C$12,'1-Input'!$B$12,0))-MIN(MAX(AA809,0),MAX(0,W781-IF($A810&gt;='1-Input'!$C$12,'1-Input'!$B$12,0))))*(1/(1-'P-Parametri'!$B$6*W810))),MAX(0,2*W781-(AA809-MIN(MAX(AA809,0),MAX(0,W781-IF($A810&gt;='1-Input'!$C$12,'1-Input'!$B$12,0)))))*(1/(1-'P-Parametri'!$B$6*W810))))</f>
        <v>10333.06463517876</v>
      </c>
      <c r="Y810" s="18">
        <f>IF($A810&gt;'1-Input'!$B$26,AA809,(AA809-MAX(0,W781-IF($A810&gt;='1-Input'!$C$12,'1-Input'!$B$12,0))+X810*(1-'P-Parametri'!$B$6*W810))*(1+'1-Input'!$B$27))</f>
        <v>38691.724605045303</v>
      </c>
      <c r="Z810" s="18">
        <f>IF($A810&gt;'1-Input'!$B$26,AB809,(AB809-X810)*(1+$D$4))</f>
        <v>112878.36779223033</v>
      </c>
      <c r="AA810" s="18">
        <f>IF($A810&gt;'1-Input'!$B$26,Y810,Y810-'P-Parametri'!$B$8*(Z810+Y810)+MIN(MAX(Z810,0),'P-Parametri'!$B$8*(Z810+Y810)))</f>
        <v>38691.724605045303</v>
      </c>
      <c r="AB810" s="18">
        <f>IF($A810&gt;'1-Input'!$B$26,Z810,Z810-MIN(MAX(Z810,0),'P-Parametri'!$B$8*(Z810+Y810)))</f>
        <v>112575.22760743578</v>
      </c>
      <c r="AC810" s="18">
        <f>IF($A810&gt;'1-Input'!$B$26,AC809,AC809-X810*(1-W810))</f>
        <v>32605.7343585813</v>
      </c>
      <c r="AD810" s="11">
        <f>IF($A810&gt;'1-Input'!$B$26,0,IF(AI809&lt;=0,0,MAX(0,(AI809-AJ809)/AI809)))</f>
        <v>0.69960152536310038</v>
      </c>
      <c r="AE810" s="18">
        <f>IF($A810&gt;'1-Input'!$B$26,0,(MAX(0,AD781-IF($A810&gt;='1-Input'!$C$12,'1-Input'!$B$12,0))-MIN(MAX(AH809,0),MAX(0,AD781-IF($A810&gt;='1-Input'!$C$12,'1-Input'!$B$12,0))))*(1/(1-'P-Parametri'!$B$6*AD810))+MIN(MAX(0,AI809-(MAX(0,AD781-IF($A810&gt;='1-Input'!$C$12,'1-Input'!$B$12,0))-MIN(MAX(AH809,0),MAX(0,AD781-IF($A810&gt;='1-Input'!$C$12,'1-Input'!$B$12,0))))*(1/(1-'P-Parametri'!$B$6*AD810))),MAX(0,2*AD781-(AH809-MIN(MAX(AH809,0),MAX(0,AD781-IF($A810&gt;='1-Input'!$C$12,'1-Input'!$B$12,0)))))*(1/(1-'P-Parametri'!$B$6*AD810))))</f>
        <v>10308.98405932714</v>
      </c>
      <c r="AF810" s="18">
        <f>IF($A810&gt;'1-Input'!$B$26,AH809,(AH809-MAX(0,AD781-IF($A810&gt;='1-Input'!$C$12,'1-Input'!$B$12,0))+AE810*(1-'P-Parametri'!$B$6*AD810))*(1+'1-Input'!$B$27))</f>
        <v>38652.676856956641</v>
      </c>
      <c r="AG810" s="18">
        <f>IF($A810&gt;'1-Input'!$B$26,AI809,(AI809-AE810)*(1+$D$4))</f>
        <v>114052.53782349639</v>
      </c>
      <c r="AH810" s="18">
        <f>IF($A810&gt;'1-Input'!$B$26,AF810,AF810-'P-Parametri'!$B$8*(AG810+AF810)+MIN(MAX(AG810,0),'P-Parametri'!$B$8*(AG810+AF810)))</f>
        <v>38652.676856956641</v>
      </c>
      <c r="AI810" s="18">
        <f>IF($A810&gt;'1-Input'!$B$26,AG810,AG810-MIN(MAX(AG810,0),'P-Parametri'!$B$8*(AG810+AF810)))</f>
        <v>113747.12739413547</v>
      </c>
      <c r="AJ810" s="18">
        <f>IF($A810&gt;'1-Input'!$B$26,AJ809,AJ809-AE810*(1-AD810))</f>
        <v>32943.469606390005</v>
      </c>
      <c r="AK810" s="11">
        <f>IF($A810&gt;'1-Input'!$B$26,0,IF(AP809&lt;=0,0,MAX(0,(AP809-AQ809)/AP809)))</f>
        <v>0.69960138523756776</v>
      </c>
      <c r="AL810" s="18">
        <f>IF($A810&gt;'1-Input'!$B$26,0,(MAX(0,AK781-IF($A810&gt;='1-Input'!$C$12,'1-Input'!$B$12,0))-MIN(MAX(AO809,0),MAX(0,AK781-IF($A810&gt;='1-Input'!$C$12,'1-Input'!$B$12,0))))*(1/(1-'P-Parametri'!$B$6*AK810))+MIN(MAX(0,AP809-(MAX(0,AK781-IF($A810&gt;='1-Input'!$C$12,'1-Input'!$B$12,0))-MIN(MAX(AO809,0),MAX(0,AK781-IF($A810&gt;='1-Input'!$C$12,'1-Input'!$B$12,0))))*(1/(1-'P-Parametri'!$B$6*AK810))),MAX(0,2*AK781-(AO809-MIN(MAX(AO809,0),MAX(0,AK781-IF($A810&gt;='1-Input'!$C$12,'1-Input'!$B$12,0)))))*(1/(1-'P-Parametri'!$B$6*AK810))))</f>
        <v>10309.243894930432</v>
      </c>
      <c r="AM810" s="18">
        <f>IF($A810&gt;'1-Input'!$B$26,AO809,(AO809-MAX(0,AK781-IF($A810&gt;='1-Input'!$C$12,'1-Input'!$B$12,0))+AL810*(1-'P-Parametri'!$B$6*AK810))*(1+'1-Input'!$B$27))</f>
        <v>38653.098186232593</v>
      </c>
      <c r="AN810" s="18">
        <f>IF($A810&gt;'1-Input'!$B$26,AP809,(AP809-AL810)*(1+$D$4))</f>
        <v>114039.86837872617</v>
      </c>
      <c r="AO810" s="18">
        <f>IF($A810&gt;'1-Input'!$B$26,AM810,AM810-'P-Parametri'!$B$8*(AN810+AM810)+MIN(MAX(AN810,0),'P-Parametri'!$B$8*(AN810+AM810)))</f>
        <v>38653.098186232593</v>
      </c>
      <c r="AP810" s="18">
        <f>IF($A810&gt;'1-Input'!$B$26,AN810,AN810-MIN(MAX(AN810,0),'P-Parametri'!$B$8*(AN810+AM810)))</f>
        <v>113734.48244559625</v>
      </c>
      <c r="AQ810" s="18">
        <f>IF($A810&gt;'1-Input'!$B$26,AQ809,AQ809-AL810*(1-AK810))</f>
        <v>32939.825469864852</v>
      </c>
    </row>
    <row r="811" spans="1:43">
      <c r="A811" s="10">
        <f>28</f>
        <v>28</v>
      </c>
      <c r="B811" s="11">
        <f>IF($A811&gt;'1-Input'!$B$26,0,IF(G810&lt;=0,0,MAX(0,(G810-H810)/G810)))</f>
        <v>0.71152967604515127</v>
      </c>
      <c r="C811" s="18">
        <f>IF($A811&gt;'1-Input'!$B$26,0,(MAX(0,B781-IF($A811&gt;='1-Input'!$C$12,'1-Input'!$B$12,0))-MIN(MAX(F810,0),MAX(0,B781-IF($A811&gt;='1-Input'!$C$12,'1-Input'!$B$12,0))))*(1/(1-'P-Parametri'!$B$6*B811))+MIN(MAX(0,G810-(MAX(0,B781-IF($A811&gt;='1-Input'!$C$12,'1-Input'!$B$12,0))-MIN(MAX(F810,0),MAX(0,B781-IF($A811&gt;='1-Input'!$C$12,'1-Input'!$B$12,0))))*(1/(1-'P-Parametri'!$B$6*B811))),MAX(0,2*B781-(F810-MIN(MAX(F810,0),MAX(0,B781-IF($A811&gt;='1-Input'!$C$12,'1-Input'!$B$12,0)))))*(1/(1-'P-Parametri'!$B$6*B811))))</f>
        <v>6992.8134229559073</v>
      </c>
      <c r="D811" s="18">
        <f>IF($A811&gt;'1-Input'!$B$26,F810,(F810-MAX(0,B781-IF($A811&gt;='1-Input'!$C$12,'1-Input'!$B$12,0))+C811*(1-'P-Parametri'!$B$6*B811))*(1+'1-Input'!$B$27))</f>
        <v>33242.0070309863</v>
      </c>
      <c r="E811" s="18">
        <f>IF($A811&gt;'1-Input'!$B$26,G810,(G810-C811)*(1+$D$4))</f>
        <v>279941.03820624592</v>
      </c>
      <c r="F811" s="18">
        <f>IF($A811&gt;'1-Input'!$B$26,D811,D811-'P-Parametri'!$B$8*(E811+D811)+MIN(MAX(E811,0),'P-Parametri'!$B$8*(E811+D811)))</f>
        <v>33242.0070309863</v>
      </c>
      <c r="G811" s="18">
        <f>IF($A811&gt;'1-Input'!$B$26,E811,E811-MIN(MAX(E811,0),'P-Parametri'!$B$8*(E811+D811)))</f>
        <v>279314.67211577145</v>
      </c>
      <c r="H811" s="18">
        <f>IF($A811&gt;'1-Input'!$B$26,H810,H810-C811*(1-B811))</f>
        <v>77648.732672704282</v>
      </c>
      <c r="I811" s="11">
        <f>IF($A811&gt;'1-Input'!$B$26,0,IF(N810&lt;=0,0,MAX(0,(N810-O810)/N810)))</f>
        <v>0</v>
      </c>
      <c r="J811" s="18">
        <f>IF($A811&gt;'1-Input'!$B$26,0,(MAX(0,I781-IF($A811&gt;='1-Input'!$C$12,'1-Input'!$B$12,0))-MIN(MAX(M810,0),MAX(0,I781-IF($A811&gt;='1-Input'!$C$12,'1-Input'!$B$12,0))))*(1/(1-'P-Parametri'!$B$6*I811))+MIN(MAX(0,N810-(MAX(0,I781-IF($A811&gt;='1-Input'!$C$12,'1-Input'!$B$12,0))-MIN(MAX(M810,0),MAX(0,I781-IF($A811&gt;='1-Input'!$C$12,'1-Input'!$B$12,0))))*(1/(1-'P-Parametri'!$B$6*I811))),MAX(0,2*I781-(M810-MIN(MAX(M810,0),MAX(0,I781-IF($A811&gt;='1-Input'!$C$12,'1-Input'!$B$12,0)))))*(1/(1-'P-Parametri'!$B$6*I811))))</f>
        <v>0</v>
      </c>
      <c r="K811" s="18">
        <f>IF($A811&gt;'1-Input'!$B$26,M810,(M810-MAX(0,I781-IF($A811&gt;='1-Input'!$C$12,'1-Input'!$B$12,0))+J811*(1-'P-Parametri'!$B$6*I811))*(1+'1-Input'!$B$27))</f>
        <v>3408.0263240057775</v>
      </c>
      <c r="L811" s="18">
        <f>IF($A811&gt;'1-Input'!$B$26,N810,(N810-J811)*(1+$D$4))</f>
        <v>0</v>
      </c>
      <c r="M811" s="18">
        <f>IF($A811&gt;'1-Input'!$B$26,K811,K811-'P-Parametri'!$B$8*(L811+K811)+MIN(MAX(L811,0),'P-Parametri'!$B$8*(L811+K811)))</f>
        <v>3401.210271357766</v>
      </c>
      <c r="N811" s="18">
        <f>IF($A811&gt;'1-Input'!$B$26,L811,L811-MIN(MAX(L811,0),'P-Parametri'!$B$8*(L811+K811)))</f>
        <v>0</v>
      </c>
      <c r="O811" s="18">
        <f>IF($A811&gt;'1-Input'!$B$26,O810,O810-J811*(1-I811))</f>
        <v>0</v>
      </c>
      <c r="P811" s="11">
        <f>IF($A811&gt;'1-Input'!$B$26,0,IF(U810&lt;=0,0,MAX(0,(U810-V810)/U810)))</f>
        <v>0.70998086119721415</v>
      </c>
      <c r="Q811" s="18">
        <f>IF($A811&gt;'1-Input'!$B$26,0,(MAX(0,P781-IF($A811&gt;='1-Input'!$C$12,'1-Input'!$B$12,0))-MIN(MAX(T810,0),MAX(0,P781-IF($A811&gt;='1-Input'!$C$12,'1-Input'!$B$12,0))))*(1/(1-'P-Parametri'!$B$6*P811))+MIN(MAX(0,U810-(MAX(0,P781-IF($A811&gt;='1-Input'!$C$12,'1-Input'!$B$12,0))-MIN(MAX(T810,0),MAX(0,P781-IF($A811&gt;='1-Input'!$C$12,'1-Input'!$B$12,0))))*(1/(1-'P-Parametri'!$B$6*P811))),MAX(0,2*P781-(T810-MIN(MAX(T810,0),MAX(0,P781-IF($A811&gt;='1-Input'!$C$12,'1-Input'!$B$12,0)))))*(1/(1-'P-Parametri'!$B$6*P811))))</f>
        <v>10898.063151779415</v>
      </c>
      <c r="R811" s="18">
        <f>IF($A811&gt;'1-Input'!$B$26,T810,(T810-MAX(0,P781-IF($A811&gt;='1-Input'!$C$12,'1-Input'!$B$12,0))+Q811*(1-'P-Parametri'!$B$6*P811))*(1+'1-Input'!$B$27))</f>
        <v>39548.008177054842</v>
      </c>
      <c r="S811" s="18">
        <f>IF($A811&gt;'1-Input'!$B$26,U810,(U810-Q811)*(1+$D$4))</f>
        <v>79019.027895756051</v>
      </c>
      <c r="T811" s="18">
        <f>IF($A811&gt;'1-Input'!$B$26,R811,R811-'P-Parametri'!$B$8*(S811+R811)+MIN(MAX(S811,0),'P-Parametri'!$B$8*(S811+R811)))</f>
        <v>39548.008177054842</v>
      </c>
      <c r="U811" s="18">
        <f>IF($A811&gt;'1-Input'!$B$26,S811,S811-MIN(MAX(S811,0),'P-Parametri'!$B$8*(S811+R811)))</f>
        <v>78781.89382361043</v>
      </c>
      <c r="V811" s="18">
        <f>IF($A811&gt;'1-Input'!$B$26,V810,V810-Q811*(1-P811))</f>
        <v>22035.606172461994</v>
      </c>
      <c r="W811" s="11">
        <f>IF($A811&gt;'1-Input'!$B$26,0,IF(AB810&lt;=0,0,MAX(0,(AB810-AC810)/AB810)))</f>
        <v>0.7103649261782381</v>
      </c>
      <c r="X811" s="18">
        <f>IF($A811&gt;'1-Input'!$B$26,0,(MAX(0,W781-IF($A811&gt;='1-Input'!$C$12,'1-Input'!$B$12,0))-MIN(MAX(AA810,0),MAX(0,W781-IF($A811&gt;='1-Input'!$C$12,'1-Input'!$B$12,0))))*(1/(1-'P-Parametri'!$B$6*W811))+MIN(MAX(0,AB810-(MAX(0,W781-IF($A811&gt;='1-Input'!$C$12,'1-Input'!$B$12,0))-MIN(MAX(AA810,0),MAX(0,W781-IF($A811&gt;='1-Input'!$C$12,'1-Input'!$B$12,0))))*(1/(1-'P-Parametri'!$B$6*W811))),MAX(0,2*W781-(AA810-MIN(MAX(AA810,0),MAX(0,W781-IF($A811&gt;='1-Input'!$C$12,'1-Input'!$B$12,0)))))*(1/(1-'P-Parametri'!$B$6*W811))))</f>
        <v>10368.57527456935</v>
      </c>
      <c r="Y811" s="18">
        <f>IF($A811&gt;'1-Input'!$B$26,AA810,(AA810-MAX(0,W781-IF($A811&gt;='1-Input'!$C$12,'1-Input'!$B$12,0))+X811*(1-'P-Parametri'!$B$6*W811))*(1+'1-Input'!$B$27))</f>
        <v>38691.724605045303</v>
      </c>
      <c r="Z811" s="18">
        <f>IF($A811&gt;'1-Input'!$B$26,AB810,(AB810-X811)*(1+$D$4))</f>
        <v>106294.91842618109</v>
      </c>
      <c r="AA811" s="18">
        <f>IF($A811&gt;'1-Input'!$B$26,Y811,Y811-'P-Parametri'!$B$8*(Z811+Y811)+MIN(MAX(Z811,0),'P-Parametri'!$B$8*(Z811+Y811)))</f>
        <v>38691.724605045303</v>
      </c>
      <c r="AB811" s="18">
        <f>IF($A811&gt;'1-Input'!$B$26,Z811,Z811-MIN(MAX(Z811,0),'P-Parametri'!$B$8*(Z811+Y811)))</f>
        <v>106004.94514011864</v>
      </c>
      <c r="AC811" s="18">
        <f>IF($A811&gt;'1-Input'!$B$26,AC810,AC810-X811*(1-W811))</f>
        <v>29602.63129350491</v>
      </c>
      <c r="AD811" s="11">
        <f>IF($A811&gt;'1-Input'!$B$26,0,IF(AI810&lt;=0,0,MAX(0,(AI810-AJ810)/AI810)))</f>
        <v>0.7103797664072834</v>
      </c>
      <c r="AE811" s="18">
        <f>IF($A811&gt;'1-Input'!$B$26,0,(MAX(0,AD781-IF($A811&gt;='1-Input'!$C$12,'1-Input'!$B$12,0))-MIN(MAX(AH810,0),MAX(0,AD781-IF($A811&gt;='1-Input'!$C$12,'1-Input'!$B$12,0))))*(1/(1-'P-Parametri'!$B$6*AD811))+MIN(MAX(0,AI810-(MAX(0,AD781-IF($A811&gt;='1-Input'!$C$12,'1-Input'!$B$12,0))-MIN(MAX(AH810,0),MAX(0,AD781-IF($A811&gt;='1-Input'!$C$12,'1-Input'!$B$12,0))))*(1/(1-'P-Parametri'!$B$6*AD811))),MAX(0,2*AD781-(AH810-MIN(MAX(AH810,0),MAX(0,AD781-IF($A811&gt;='1-Input'!$C$12,'1-Input'!$B$12,0)))))*(1/(1-'P-Parametri'!$B$6*AD811))))</f>
        <v>10344.417962499479</v>
      </c>
      <c r="AF811" s="18">
        <f>IF($A811&gt;'1-Input'!$B$26,AH810,(AH810-MAX(0,AD781-IF($A811&gt;='1-Input'!$C$12,'1-Input'!$B$12,0))+AE811*(1-'P-Parametri'!$B$6*AD811))*(1+'1-Input'!$B$27))</f>
        <v>38652.676856956641</v>
      </c>
      <c r="AG811" s="18">
        <f>IF($A811&gt;'1-Input'!$B$26,AI810,(AI810-AE811)*(1+$D$4))</f>
        <v>107538.81780890144</v>
      </c>
      <c r="AH811" s="18">
        <f>IF($A811&gt;'1-Input'!$B$26,AF811,AF811-'P-Parametri'!$B$8*(AG811+AF811)+MIN(MAX(AG811,0),'P-Parametri'!$B$8*(AG811+AF811)))</f>
        <v>38652.676856956641</v>
      </c>
      <c r="AI811" s="18">
        <f>IF($A811&gt;'1-Input'!$B$26,AG811,AG811-MIN(MAX(AG811,0),'P-Parametri'!$B$8*(AG811+AF811)))</f>
        <v>107246.43481956972</v>
      </c>
      <c r="AJ811" s="18">
        <f>IF($A811&gt;'1-Input'!$B$26,AJ810,AJ810-AE811*(1-AD811))</f>
        <v>29947.516859710213</v>
      </c>
      <c r="AK811" s="11">
        <f>IF($A811&gt;'1-Input'!$B$26,0,IF(AP810&lt;=0,0,MAX(0,(AP810-AQ810)/AP810)))</f>
        <v>0.71037960729613125</v>
      </c>
      <c r="AL811" s="18">
        <f>IF($A811&gt;'1-Input'!$B$26,0,(MAX(0,AK781-IF($A811&gt;='1-Input'!$C$12,'1-Input'!$B$12,0))-MIN(MAX(AO810,0),MAX(0,AK781-IF($A811&gt;='1-Input'!$C$12,'1-Input'!$B$12,0))))*(1/(1-'P-Parametri'!$B$6*AK811))+MIN(MAX(0,AP810-(MAX(0,AK781-IF($A811&gt;='1-Input'!$C$12,'1-Input'!$B$12,0))-MIN(MAX(AO810,0),MAX(0,AK781-IF($A811&gt;='1-Input'!$C$12,'1-Input'!$B$12,0))))*(1/(1-'P-Parametri'!$B$6*AK811))),MAX(0,2*AK781-(AO810-MIN(MAX(AO810,0),MAX(0,AK781-IF($A811&gt;='1-Input'!$C$12,'1-Input'!$B$12,0)))))*(1/(1-'P-Parametri'!$B$6*AK811))))</f>
        <v>10344.678626990712</v>
      </c>
      <c r="AM811" s="18">
        <f>IF($A811&gt;'1-Input'!$B$26,AO810,(AO810-MAX(0,AK781-IF($A811&gt;='1-Input'!$C$12,'1-Input'!$B$12,0))+AL811*(1-'P-Parametri'!$B$6*AK811))*(1+'1-Input'!$B$27))</f>
        <v>38653.098186232593</v>
      </c>
      <c r="AN811" s="18">
        <f>IF($A811&gt;'1-Input'!$B$26,AP810,(AP810-AL811)*(1+$D$4))</f>
        <v>107525.39597134976</v>
      </c>
      <c r="AO811" s="18">
        <f>IF($A811&gt;'1-Input'!$B$26,AM811,AM811-'P-Parametri'!$B$8*(AN811+AM811)+MIN(MAX(AN811,0),'P-Parametri'!$B$8*(AN811+AM811)))</f>
        <v>38653.098186232593</v>
      </c>
      <c r="AP811" s="18">
        <f>IF($A811&gt;'1-Input'!$B$26,AN811,AN811-MIN(MAX(AN811,0),'P-Parametri'!$B$8*(AN811+AM811)))</f>
        <v>107233.0389830346</v>
      </c>
      <c r="AQ811" s="18">
        <f>IF($A811&gt;'1-Input'!$B$26,AQ810,AQ810-AL811*(1-AK811))</f>
        <v>29943.795583520485</v>
      </c>
    </row>
    <row r="812" spans="1:43">
      <c r="A812" s="10">
        <f>29</f>
        <v>29</v>
      </c>
      <c r="B812" s="11">
        <f>IF($A812&gt;'1-Input'!$B$26,0,IF(G811&lt;=0,0,MAX(0,(G811-H811)/G811)))</f>
        <v>0.72200267145107178</v>
      </c>
      <c r="C812" s="18">
        <f>IF($A812&gt;'1-Input'!$B$26,0,(MAX(0,B781-IF($A812&gt;='1-Input'!$C$12,'1-Input'!$B$12,0))-MIN(MAX(F811,0),MAX(0,B781-IF($A812&gt;='1-Input'!$C$12,'1-Input'!$B$12,0))))*(1/(1-'P-Parametri'!$B$6*B812))+MIN(MAX(0,G811-(MAX(0,B781-IF($A812&gt;='1-Input'!$C$12,'1-Input'!$B$12,0))-MIN(MAX(F811,0),MAX(0,B781-IF($A812&gt;='1-Input'!$C$12,'1-Input'!$B$12,0))))*(1/(1-'P-Parametri'!$B$6*B812))),MAX(0,2*B781-(F811-MIN(MAX(F811,0),MAX(0,B781-IF($A812&gt;='1-Input'!$C$12,'1-Input'!$B$12,0)))))*(1/(1-'P-Parametri'!$B$6*B812))))</f>
        <v>7016.2552152245062</v>
      </c>
      <c r="D812" s="18">
        <f>IF($A812&gt;'1-Input'!$B$26,F811,(F811-MAX(0,B781-IF($A812&gt;='1-Input'!$C$12,'1-Input'!$B$12,0))+C812*(1-'P-Parametri'!$B$6*B812))*(1+'1-Input'!$B$27))</f>
        <v>33242.0070309863</v>
      </c>
      <c r="E812" s="18">
        <f>IF($A812&gt;'1-Input'!$B$26,G811,(G811-C812)*(1+$D$4))</f>
        <v>283190.35357656883</v>
      </c>
      <c r="F812" s="18">
        <f>IF($A812&gt;'1-Input'!$B$26,D812,D812-'P-Parametri'!$B$8*(E812+D812)+MIN(MAX(E812,0),'P-Parametri'!$B$8*(E812+D812)))</f>
        <v>33242.0070309863</v>
      </c>
      <c r="G812" s="18">
        <f>IF($A812&gt;'1-Input'!$B$26,E812,E812-MIN(MAX(E812,0),'P-Parametri'!$B$8*(E812+D812)))</f>
        <v>282557.48885535373</v>
      </c>
      <c r="H812" s="18">
        <f>IF($A812&gt;'1-Input'!$B$26,H811,H811-C812*(1-B812))</f>
        <v>75698.232466454385</v>
      </c>
      <c r="I812" s="11">
        <f>IF($A812&gt;'1-Input'!$B$26,0,IF(N811&lt;=0,0,MAX(0,(N811-O811)/N811)))</f>
        <v>0</v>
      </c>
      <c r="J812" s="18">
        <f>IF($A812&gt;'1-Input'!$B$26,0,(MAX(0,I781-IF($A812&gt;='1-Input'!$C$12,'1-Input'!$B$12,0))-MIN(MAX(M811,0),MAX(0,I781-IF($A812&gt;='1-Input'!$C$12,'1-Input'!$B$12,0))))*(1/(1-'P-Parametri'!$B$6*I812))+MIN(MAX(0,N811-(MAX(0,I781-IF($A812&gt;='1-Input'!$C$12,'1-Input'!$B$12,0))-MIN(MAX(M811,0),MAX(0,I781-IF($A812&gt;='1-Input'!$C$12,'1-Input'!$B$12,0))))*(1/(1-'P-Parametri'!$B$6*I812))),MAX(0,2*I781-(M811-MIN(MAX(M811,0),MAX(0,I781-IF($A812&gt;='1-Input'!$C$12,'1-Input'!$B$12,0)))))*(1/(1-'P-Parametri'!$B$6*I812))))</f>
        <v>7445.546721570925</v>
      </c>
      <c r="K812" s="18">
        <f>IF($A812&gt;'1-Input'!$B$26,M811,(M811-MAX(0,I781-IF($A812&gt;='1-Input'!$C$12,'1-Input'!$B$12,0))+J812*(1-'P-Parametri'!$B$6*I812))*(1+'1-Input'!$B$27))</f>
        <v>0</v>
      </c>
      <c r="L812" s="18">
        <f>IF($A812&gt;'1-Input'!$B$26,N811,(N811-J812)*(1+$D$4))</f>
        <v>-7743.3685904337626</v>
      </c>
      <c r="M812" s="18">
        <f>IF($A812&gt;'1-Input'!$B$26,K812,K812-'P-Parametri'!$B$8*(L812+K812)+MIN(MAX(L812,0),'P-Parametri'!$B$8*(L812+K812)))</f>
        <v>0</v>
      </c>
      <c r="N812" s="18">
        <f>IF($A812&gt;'1-Input'!$B$26,L812,L812-MIN(MAX(L812,0),'P-Parametri'!$B$8*(L812+K812)))</f>
        <v>-7727.8818532528949</v>
      </c>
      <c r="O812" s="18">
        <f>IF($A812&gt;'1-Input'!$B$26,O811,O811-J812*(1-I812))</f>
        <v>-7445.546721570925</v>
      </c>
      <c r="P812" s="11">
        <f>IF($A812&gt;'1-Input'!$B$26,0,IF(U811&lt;=0,0,MAX(0,(U811-V811)/U811)))</f>
        <v>0.72029605911989303</v>
      </c>
      <c r="Q812" s="18">
        <f>IF($A812&gt;'1-Input'!$B$26,0,(MAX(0,P781-IF($A812&gt;='1-Input'!$C$12,'1-Input'!$B$12,0))-MIN(MAX(T811,0),MAX(0,P781-IF($A812&gt;='1-Input'!$C$12,'1-Input'!$B$12,0))))*(1/(1-'P-Parametri'!$B$6*P812))+MIN(MAX(0,U811-(MAX(0,P781-IF($A812&gt;='1-Input'!$C$12,'1-Input'!$B$12,0))-MIN(MAX(T811,0),MAX(0,P781-IF($A812&gt;='1-Input'!$C$12,'1-Input'!$B$12,0))))*(1/(1-'P-Parametri'!$B$6*P812))),MAX(0,2*P781-(T811-MIN(MAX(T811,0),MAX(0,P781-IF($A812&gt;='1-Input'!$C$12,'1-Input'!$B$12,0)))))*(1/(1-'P-Parametri'!$B$6*P812))))</f>
        <v>10934.026297272072</v>
      </c>
      <c r="R812" s="18">
        <f>IF($A812&gt;'1-Input'!$B$26,T811,(T811-MAX(0,P781-IF($A812&gt;='1-Input'!$C$12,'1-Input'!$B$12,0))+Q812*(1-'P-Parametri'!$B$6*P812))*(1+'1-Input'!$B$27))</f>
        <v>39548.008177054842</v>
      </c>
      <c r="S812" s="18">
        <f>IF($A812&gt;'1-Input'!$B$26,U811,(U811-Q812)*(1+$D$4))</f>
        <v>70561.782227391901</v>
      </c>
      <c r="T812" s="18">
        <f>IF($A812&gt;'1-Input'!$B$26,R812,R812-'P-Parametri'!$B$8*(S812+R812)+MIN(MAX(S812,0),'P-Parametri'!$B$8*(S812+R812)))</f>
        <v>39548.008177054842</v>
      </c>
      <c r="U812" s="18">
        <f>IF($A812&gt;'1-Input'!$B$26,S812,S812-MIN(MAX(S812,0),'P-Parametri'!$B$8*(S812+R812)))</f>
        <v>70341.562646583014</v>
      </c>
      <c r="V812" s="18">
        <f>IF($A812&gt;'1-Input'!$B$26,V811,V811-Q812*(1-P812))</f>
        <v>18977.315927428273</v>
      </c>
      <c r="W812" s="11">
        <f>IF($A812&gt;'1-Input'!$B$26,0,IF(AB811&lt;=0,0,MAX(0,(AB811-AC811)/AB811)))</f>
        <v>0.72074292143280883</v>
      </c>
      <c r="X812" s="18">
        <f>IF($A812&gt;'1-Input'!$B$26,0,(MAX(0,W781-IF($A812&gt;='1-Input'!$C$12,'1-Input'!$B$12,0))-MIN(MAX(AA811,0),MAX(0,W781-IF($A812&gt;='1-Input'!$C$12,'1-Input'!$B$12,0))))*(1/(1-'P-Parametri'!$B$6*W812))+MIN(MAX(0,AB811-(MAX(0,W781-IF($A812&gt;='1-Input'!$C$12,'1-Input'!$B$12,0))-MIN(MAX(AA811,0),MAX(0,W781-IF($A812&gt;='1-Input'!$C$12,'1-Input'!$B$12,0))))*(1/(1-'P-Parametri'!$B$6*W812))),MAX(0,2*W781-(AA811-MIN(MAX(AA811,0),MAX(0,W781-IF($A812&gt;='1-Input'!$C$12,'1-Input'!$B$12,0)))))*(1/(1-'P-Parametri'!$B$6*W812))))</f>
        <v>10403.004355284793</v>
      </c>
      <c r="Y812" s="18">
        <f>IF($A812&gt;'1-Input'!$B$26,AA811,(AA811-MAX(0,W781-IF($A812&gt;='1-Input'!$C$12,'1-Input'!$B$12,0))+X812*(1-'P-Parametri'!$B$6*W812))*(1+'1-Input'!$B$27))</f>
        <v>38691.724605045303</v>
      </c>
      <c r="Z812" s="18">
        <f>IF($A812&gt;'1-Input'!$B$26,AB811,(AB811-X812)*(1+$D$4))</f>
        <v>99426.018416227205</v>
      </c>
      <c r="AA812" s="18">
        <f>IF($A812&gt;'1-Input'!$B$26,Y812,Y812-'P-Parametri'!$B$8*(Z812+Y812)+MIN(MAX(Z812,0),'P-Parametri'!$B$8*(Z812+Y812)))</f>
        <v>38691.724605045303</v>
      </c>
      <c r="AB812" s="18">
        <f>IF($A812&gt;'1-Input'!$B$26,Z812,Z812-MIN(MAX(Z812,0),'P-Parametri'!$B$8*(Z812+Y812)))</f>
        <v>99149.782930184665</v>
      </c>
      <c r="AC812" s="18">
        <f>IF($A812&gt;'1-Input'!$B$26,AC811,AC811-X812*(1-W812))</f>
        <v>26697.518688926313</v>
      </c>
      <c r="AD812" s="11">
        <f>IF($A812&gt;'1-Input'!$B$26,0,IF(AI811&lt;=0,0,MAX(0,(AI811-AJ811)/AI811)))</f>
        <v>0.72075979112878108</v>
      </c>
      <c r="AE812" s="18">
        <f>IF($A812&gt;'1-Input'!$B$26,0,(MAX(0,AD781-IF($A812&gt;='1-Input'!$C$12,'1-Input'!$B$12,0))-MIN(MAX(AH811,0),MAX(0,AD781-IF($A812&gt;='1-Input'!$C$12,'1-Input'!$B$12,0))))*(1/(1-'P-Parametri'!$B$6*AD812))+MIN(MAX(0,AI811-(MAX(0,AD781-IF($A812&gt;='1-Input'!$C$12,'1-Input'!$B$12,0))-MIN(MAX(AH811,0),MAX(0,AD781-IF($A812&gt;='1-Input'!$C$12,'1-Input'!$B$12,0))))*(1/(1-'P-Parametri'!$B$6*AD812))),MAX(0,2*AD781-(AH811-MIN(MAX(AH811,0),MAX(0,AD781-IF($A812&gt;='1-Input'!$C$12,'1-Input'!$B$12,0)))))*(1/(1-'P-Parametri'!$B$6*AD812))))</f>
        <v>10378.773730856949</v>
      </c>
      <c r="AF812" s="18">
        <f>IF($A812&gt;'1-Input'!$B$26,AH811,(AH811-MAX(0,AD781-IF($A812&gt;='1-Input'!$C$12,'1-Input'!$B$12,0))+AE812*(1-'P-Parametri'!$B$6*AD812))*(1+'1-Input'!$B$27))</f>
        <v>38652.676856956641</v>
      </c>
      <c r="AG812" s="18">
        <f>IF($A812&gt;'1-Input'!$B$26,AI811,(AI811-AE812)*(1+$D$4))</f>
        <v>100742.36753226128</v>
      </c>
      <c r="AH812" s="18">
        <f>IF($A812&gt;'1-Input'!$B$26,AF812,AF812-'P-Parametri'!$B$8*(AG812+AF812)+MIN(MAX(AG812,0),'P-Parametri'!$B$8*(AG812+AF812)))</f>
        <v>38652.676856956641</v>
      </c>
      <c r="AI812" s="18">
        <f>IF($A812&gt;'1-Input'!$B$26,AG812,AG812-MIN(MAX(AG812,0),'P-Parametri'!$B$8*(AG812+AF812)))</f>
        <v>100463.57744348285</v>
      </c>
      <c r="AJ812" s="18">
        <f>IF($A812&gt;'1-Input'!$B$26,AJ811,AJ811-AE812*(1-AD812))</f>
        <v>27049.345915278598</v>
      </c>
      <c r="AK812" s="11">
        <f>IF($A812&gt;'1-Input'!$B$26,0,IF(AP811&lt;=0,0,MAX(0,(AP811-AQ811)/AP811)))</f>
        <v>0.72075961040087744</v>
      </c>
      <c r="AL812" s="18">
        <f>IF($A812&gt;'1-Input'!$B$26,0,(MAX(0,AK781-IF($A812&gt;='1-Input'!$C$12,'1-Input'!$B$12,0))-MIN(MAX(AO811,0),MAX(0,AK781-IF($A812&gt;='1-Input'!$C$12,'1-Input'!$B$12,0))))*(1/(1-'P-Parametri'!$B$6*AK812))+MIN(MAX(0,AP811-(MAX(0,AK781-IF($A812&gt;='1-Input'!$C$12,'1-Input'!$B$12,0))-MIN(MAX(AO811,0),MAX(0,AK781-IF($A812&gt;='1-Input'!$C$12,'1-Input'!$B$12,0))))*(1/(1-'P-Parametri'!$B$6*AK812))),MAX(0,2*AK781-(AO811-MIN(MAX(AO811,0),MAX(0,AK781-IF($A812&gt;='1-Input'!$C$12,'1-Input'!$B$12,0)))))*(1/(1-'P-Parametri'!$B$6*AK812))))</f>
        <v>10379.035187528712</v>
      </c>
      <c r="AM812" s="18">
        <f>IF($A812&gt;'1-Input'!$B$26,AO811,(AO811-MAX(0,AK781-IF($A812&gt;='1-Input'!$C$12,'1-Input'!$B$12,0))+AL812*(1-'P-Parametri'!$B$6*AK812))*(1+'1-Input'!$B$27))</f>
        <v>38653.098186232593</v>
      </c>
      <c r="AN812" s="18">
        <f>IF($A812&gt;'1-Input'!$B$26,AP811,(AP811-AL812)*(1+$D$4))</f>
        <v>100728.16394732612</v>
      </c>
      <c r="AO812" s="18">
        <f>IF($A812&gt;'1-Input'!$B$26,AM812,AM812-'P-Parametri'!$B$8*(AN812+AM812)+MIN(MAX(AN812,0),'P-Parametri'!$B$8*(AN812+AM812)))</f>
        <v>38653.098186232593</v>
      </c>
      <c r="AP812" s="18">
        <f>IF($A812&gt;'1-Input'!$B$26,AN812,AN812-MIN(MAX(AN812,0),'P-Parametri'!$B$8*(AN812+AM812)))</f>
        <v>100449.401423059</v>
      </c>
      <c r="AQ812" s="18">
        <f>IF($A812&gt;'1-Input'!$B$26,AQ811,AQ811-AL812*(1-AK812))</f>
        <v>27045.549754091964</v>
      </c>
    </row>
    <row r="813" spans="1:43">
      <c r="A813" s="10">
        <f>30</f>
        <v>30</v>
      </c>
      <c r="B813" s="11">
        <f>IF($A813&gt;'1-Input'!$B$26,0,IF(G812&lt;=0,0,MAX(0,(G812-H812)/G812)))</f>
        <v>0.73209617351460232</v>
      </c>
      <c r="C813" s="18">
        <f>IF($A813&gt;'1-Input'!$B$26,0,(MAX(0,B781-IF($A813&gt;='1-Input'!$C$12,'1-Input'!$B$12,0))-MIN(MAX(F812,0),MAX(0,B781-IF($A813&gt;='1-Input'!$C$12,'1-Input'!$B$12,0))))*(1/(1-'P-Parametri'!$B$6*B813))+MIN(MAX(0,G812-(MAX(0,B781-IF($A813&gt;='1-Input'!$C$12,'1-Input'!$B$12,0))-MIN(MAX(F812,0),MAX(0,B781-IF($A813&gt;='1-Input'!$C$12,'1-Input'!$B$12,0))))*(1/(1-'P-Parametri'!$B$6*B813))),MAX(0,2*B781-(F812-MIN(MAX(F812,0),MAX(0,B781-IF($A813&gt;='1-Input'!$C$12,'1-Input'!$B$12,0)))))*(1/(1-'P-Parametri'!$B$6*B813))))</f>
        <v>7038.9967935566447</v>
      </c>
      <c r="D813" s="18">
        <f>IF($A813&gt;'1-Input'!$B$26,F812,(F812-MAX(0,B781-IF($A813&gt;='1-Input'!$C$12,'1-Input'!$B$12,0))+C813*(1-'P-Parametri'!$B$6*B813))*(1+'1-Input'!$B$27))</f>
        <v>33242.0070309863</v>
      </c>
      <c r="E813" s="18">
        <f>IF($A813&gt;'1-Input'!$B$26,G812,(G812-C813)*(1+$D$4))</f>
        <v>286539.23174426897</v>
      </c>
      <c r="F813" s="18">
        <f>IF($A813&gt;'1-Input'!$B$26,D813,D813-'P-Parametri'!$B$8*(E813+D813)+MIN(MAX(E813,0),'P-Parametri'!$B$8*(E813+D813)))</f>
        <v>33242.0070309863</v>
      </c>
      <c r="G813" s="18">
        <f>IF($A813&gt;'1-Input'!$B$26,E813,E813-MIN(MAX(E813,0),'P-Parametri'!$B$8*(E813+D813)))</f>
        <v>285899.66926671844</v>
      </c>
      <c r="H813" s="18">
        <f>IF($A813&gt;'1-Input'!$B$26,H812,H812-C813*(1-B813))</f>
        <v>73812.458290842114</v>
      </c>
      <c r="I813" s="11">
        <f>IF($A813&gt;'1-Input'!$B$26,0,IF(N812&lt;=0,0,MAX(0,(N812-O812)/N812)))</f>
        <v>0</v>
      </c>
      <c r="J813" s="18">
        <f>IF($A813&gt;'1-Input'!$B$26,0,(MAX(0,I781-IF($A813&gt;='1-Input'!$C$12,'1-Input'!$B$12,0))-MIN(MAX(M812,0),MAX(0,I781-IF($A813&gt;='1-Input'!$C$12,'1-Input'!$B$12,0))))*(1/(1-'P-Parametri'!$B$6*I813))+MIN(MAX(0,N812-(MAX(0,I781-IF($A813&gt;='1-Input'!$C$12,'1-Input'!$B$12,0))-MIN(MAX(M812,0),MAX(0,I781-IF($A813&gt;='1-Input'!$C$12,'1-Input'!$B$12,0))))*(1/(1-'P-Parametri'!$B$6*I813))),MAX(0,2*I781-(M812-MIN(MAX(M812,0),MAX(0,I781-IF($A813&gt;='1-Input'!$C$12,'1-Input'!$B$12,0)))))*(1/(1-'P-Parametri'!$B$6*I813))))</f>
        <v>10846.756992928691</v>
      </c>
      <c r="K813" s="18">
        <f>IF($A813&gt;'1-Input'!$B$26,M812,(M812-MAX(0,I781-IF($A813&gt;='1-Input'!$C$12,'1-Input'!$B$12,0))+J813*(1-'P-Parametri'!$B$6*I813))*(1+'1-Input'!$B$27))</f>
        <v>0</v>
      </c>
      <c r="L813" s="18">
        <f>IF($A813&gt;'1-Input'!$B$26,N812,(N812-J813)*(1+$D$4))</f>
        <v>-19317.624400028853</v>
      </c>
      <c r="M813" s="18">
        <f>IF($A813&gt;'1-Input'!$B$26,K813,K813-'P-Parametri'!$B$8*(L813+K813)+MIN(MAX(L813,0),'P-Parametri'!$B$8*(L813+K813)))</f>
        <v>0</v>
      </c>
      <c r="N813" s="18">
        <f>IF($A813&gt;'1-Input'!$B$26,L813,L813-MIN(MAX(L813,0),'P-Parametri'!$B$8*(L813+K813)))</f>
        <v>-19278.989151228794</v>
      </c>
      <c r="O813" s="18">
        <f>IF($A813&gt;'1-Input'!$B$26,O812,O812-J813*(1-I813))</f>
        <v>-18292.303714499616</v>
      </c>
      <c r="P813" s="11">
        <f>IF($A813&gt;'1-Input'!$B$26,0,IF(U812&lt;=0,0,MAX(0,(U812-V812)/U812)))</f>
        <v>0.730211908672317</v>
      </c>
      <c r="Q813" s="18">
        <f>IF($A813&gt;'1-Input'!$B$26,0,(MAX(0,P781-IF($A813&gt;='1-Input'!$C$12,'1-Input'!$B$12,0))-MIN(MAX(T812,0),MAX(0,P781-IF($A813&gt;='1-Input'!$C$12,'1-Input'!$B$12,0))))*(1/(1-'P-Parametri'!$B$6*P813))+MIN(MAX(0,U812-(MAX(0,P781-IF($A813&gt;='1-Input'!$C$12,'1-Input'!$B$12,0))-MIN(MAX(T812,0),MAX(0,P781-IF($A813&gt;='1-Input'!$C$12,'1-Input'!$B$12,0))))*(1/(1-'P-Parametri'!$B$6*P813))),MAX(0,2*P781-(T812-MIN(MAX(T812,0),MAX(0,P781-IF($A813&gt;='1-Input'!$C$12,'1-Input'!$B$12,0)))))*(1/(1-'P-Parametri'!$B$6*P813))))</f>
        <v>10968.821605381578</v>
      </c>
      <c r="R813" s="18">
        <f>IF($A813&gt;'1-Input'!$B$26,T812,(T812-MAX(0,P781-IF($A813&gt;='1-Input'!$C$12,'1-Input'!$B$12,0))+Q813*(1-'P-Parametri'!$B$6*P813))*(1+'1-Input'!$B$27))</f>
        <v>39548.008177054842</v>
      </c>
      <c r="S813" s="18">
        <f>IF($A813&gt;'1-Input'!$B$26,U812,(U812-Q813)*(1+$D$4))</f>
        <v>61747.650682849497</v>
      </c>
      <c r="T813" s="18">
        <f>IF($A813&gt;'1-Input'!$B$26,R813,R813-'P-Parametri'!$B$8*(S813+R813)+MIN(MAX(S813,0),'P-Parametri'!$B$8*(S813+R813)))</f>
        <v>39548.008177054842</v>
      </c>
      <c r="U813" s="18">
        <f>IF($A813&gt;'1-Input'!$B$26,S813,S813-MIN(MAX(S813,0),'P-Parametri'!$B$8*(S813+R813)))</f>
        <v>61545.059365129688</v>
      </c>
      <c r="V813" s="18">
        <f>IF($A813&gt;'1-Input'!$B$26,V812,V812-Q813*(1-P813))</f>
        <v>16018.058482398526</v>
      </c>
      <c r="W813" s="11">
        <f>IF($A813&gt;'1-Input'!$B$26,0,IF(AB812&lt;=0,0,MAX(0,(AB812-AC812)/AB812)))</f>
        <v>0.73073548020044476</v>
      </c>
      <c r="X813" s="18">
        <f>IF($A813&gt;'1-Input'!$B$26,0,(MAX(0,W781-IF($A813&gt;='1-Input'!$C$12,'1-Input'!$B$12,0))-MIN(MAX(AA812,0),MAX(0,W781-IF($A813&gt;='1-Input'!$C$12,'1-Input'!$B$12,0))))*(1/(1-'P-Parametri'!$B$6*W813))+MIN(MAX(0,AB812-(MAX(0,W781-IF($A813&gt;='1-Input'!$C$12,'1-Input'!$B$12,0))-MIN(MAX(AA812,0),MAX(0,W781-IF($A813&gt;='1-Input'!$C$12,'1-Input'!$B$12,0))))*(1/(1-'P-Parametri'!$B$6*W813))),MAX(0,2*W781-(AA812-MIN(MAX(AA812,0),MAX(0,W781-IF($A813&gt;='1-Input'!$C$12,'1-Input'!$B$12,0)))))*(1/(1-'P-Parametri'!$B$6*W813))))</f>
        <v>10436.371505429439</v>
      </c>
      <c r="Y813" s="18">
        <f>IF($A813&gt;'1-Input'!$B$26,AA812,(AA812-MAX(0,W781-IF($A813&gt;='1-Input'!$C$12,'1-Input'!$B$12,0))+X813*(1-'P-Parametri'!$B$6*W813))*(1+'1-Input'!$B$27))</f>
        <v>38691.724605045303</v>
      </c>
      <c r="Z813" s="18">
        <f>IF($A813&gt;'1-Input'!$B$26,AB812,(AB812-X813)*(1+$D$4))</f>
        <v>92261.947881745436</v>
      </c>
      <c r="AA813" s="18">
        <f>IF($A813&gt;'1-Input'!$B$26,Y813,Y813-'P-Parametri'!$B$8*(Z813+Y813)+MIN(MAX(Z813,0),'P-Parametri'!$B$8*(Z813+Y813)))</f>
        <v>38691.724605045303</v>
      </c>
      <c r="AB813" s="18">
        <f>IF($A813&gt;'1-Input'!$B$26,Z813,Z813-MIN(MAX(Z813,0),'P-Parametri'!$B$8*(Z813+Y813)))</f>
        <v>92000.040536771849</v>
      </c>
      <c r="AC813" s="18">
        <f>IF($A813&gt;'1-Input'!$B$26,AC812,AC812-X813*(1-W813))</f>
        <v>23887.374127067094</v>
      </c>
      <c r="AD813" s="11">
        <f>IF($A813&gt;'1-Input'!$B$26,0,IF(AI812&lt;=0,0,MAX(0,(AI812-AJ812)/AI812)))</f>
        <v>0.73075470131953468</v>
      </c>
      <c r="AE813" s="18">
        <f>IF($A813&gt;'1-Input'!$B$26,0,(MAX(0,AD781-IF($A813&gt;='1-Input'!$C$12,'1-Input'!$B$12,0))-MIN(MAX(AH812,0),MAX(0,AD781-IF($A813&gt;='1-Input'!$C$12,'1-Input'!$B$12,0))))*(1/(1-'P-Parametri'!$B$6*AD813))+MIN(MAX(0,AI812-(MAX(0,AD781-IF($A813&gt;='1-Input'!$C$12,'1-Input'!$B$12,0))-MIN(MAX(AH812,0),MAX(0,AD781-IF($A813&gt;='1-Input'!$C$12,'1-Input'!$B$12,0))))*(1/(1-'P-Parametri'!$B$6*AD813))),MAX(0,2*AD781-(AH812-MIN(MAX(AH812,0),MAX(0,AD781-IF($A813&gt;='1-Input'!$C$12,'1-Input'!$B$12,0)))))*(1/(1-'P-Parametri'!$B$6*AD813))))</f>
        <v>10412.071201424105</v>
      </c>
      <c r="AF813" s="18">
        <f>IF($A813&gt;'1-Input'!$B$26,AH812,(AH812-MAX(0,AD781-IF($A813&gt;='1-Input'!$C$12,'1-Input'!$B$12,0))+AE813*(1-'P-Parametri'!$B$6*AD813))*(1+'1-Input'!$B$27))</f>
        <v>38652.676856956641</v>
      </c>
      <c r="AG813" s="18">
        <f>IF($A813&gt;'1-Input'!$B$26,AI812,(AI812-AE813)*(1+$D$4))</f>
        <v>93653.566491741105</v>
      </c>
      <c r="AH813" s="18">
        <f>IF($A813&gt;'1-Input'!$B$26,AF813,AF813-'P-Parametri'!$B$8*(AG813+AF813)+MIN(MAX(AG813,0),'P-Parametri'!$B$8*(AG813+AF813)))</f>
        <v>38652.676856956641</v>
      </c>
      <c r="AI813" s="18">
        <f>IF($A813&gt;'1-Input'!$B$26,AG813,AG813-MIN(MAX(AG813,0),'P-Parametri'!$B$8*(AG813+AF813)))</f>
        <v>93388.954005043706</v>
      </c>
      <c r="AJ813" s="18">
        <f>IF($A813&gt;'1-Input'!$B$26,AJ812,AJ812-AE813*(1-AD813))</f>
        <v>24245.944694768892</v>
      </c>
      <c r="AK813" s="11">
        <f>IF($A813&gt;'1-Input'!$B$26,0,IF(AP812&lt;=0,0,MAX(0,(AP812-AQ812)/AP812)))</f>
        <v>0.73075449558743288</v>
      </c>
      <c r="AL813" s="18">
        <f>IF($A813&gt;'1-Input'!$B$26,0,(MAX(0,AK781-IF($A813&gt;='1-Input'!$C$12,'1-Input'!$B$12,0))-MIN(MAX(AO812,0),MAX(0,AK781-IF($A813&gt;='1-Input'!$C$12,'1-Input'!$B$12,0))))*(1/(1-'P-Parametri'!$B$6*AK813))+MIN(MAX(0,AP812-(MAX(0,AK781-IF($A813&gt;='1-Input'!$C$12,'1-Input'!$B$12,0))-MIN(MAX(AO812,0),MAX(0,AK781-IF($A813&gt;='1-Input'!$C$12,'1-Input'!$B$12,0))))*(1/(1-'P-Parametri'!$B$6*AK813))),MAX(0,2*AK781-(AO812-MIN(MAX(AO812,0),MAX(0,AK781-IF($A813&gt;='1-Input'!$C$12,'1-Input'!$B$12,0)))))*(1/(1-'P-Parametri'!$B$6*AK813))))</f>
        <v>10412.333411407364</v>
      </c>
      <c r="AM813" s="18">
        <f>IF($A813&gt;'1-Input'!$B$26,AO812,(AO812-MAX(0,AK781-IF($A813&gt;='1-Input'!$C$12,'1-Input'!$B$12,0))+AL813*(1-'P-Parametri'!$B$6*AK813))*(1+'1-Input'!$B$27))</f>
        <v>38653.098186232593</v>
      </c>
      <c r="AN813" s="18">
        <f>IF($A813&gt;'1-Input'!$B$26,AP812,(AP812-AL813)*(1+$D$4))</f>
        <v>93638.550732117699</v>
      </c>
      <c r="AO813" s="18">
        <f>IF($A813&gt;'1-Input'!$B$26,AM813,AM813-'P-Parametri'!$B$8*(AN813+AM813)+MIN(MAX(AN813,0),'P-Parametri'!$B$8*(AN813+AM813)))</f>
        <v>38653.098186232593</v>
      </c>
      <c r="AP813" s="18">
        <f>IF($A813&gt;'1-Input'!$B$26,AN813,AN813-MIN(MAX(AN813,0),'P-Parametri'!$B$8*(AN813+AM813)))</f>
        <v>93373.967434281003</v>
      </c>
      <c r="AQ813" s="18">
        <f>IF($A813&gt;'1-Input'!$B$26,AQ812,AQ812-AL813*(1-AK813))</f>
        <v>24242.075792625761</v>
      </c>
    </row>
    <row r="814" spans="1:43">
      <c r="A814" s="10">
        <f>31</f>
        <v>31</v>
      </c>
      <c r="B814" s="11">
        <f>IF($A814&gt;'1-Input'!$B$26,0,IF(G813&lt;=0,0,MAX(0,(G813-H813)/G813)))</f>
        <v>0.741823911583536</v>
      </c>
      <c r="C814" s="18">
        <f>IF($A814&gt;'1-Input'!$B$26,0,(MAX(0,B781-IF($A814&gt;='1-Input'!$C$12,'1-Input'!$B$12,0))-MIN(MAX(F813,0),MAX(0,B781-IF($A814&gt;='1-Input'!$C$12,'1-Input'!$B$12,0))))*(1/(1-'P-Parametri'!$B$6*B814))+MIN(MAX(0,G813-(MAX(0,B781-IF($A814&gt;='1-Input'!$C$12,'1-Input'!$B$12,0))-MIN(MAX(F813,0),MAX(0,B781-IF($A814&gt;='1-Input'!$C$12,'1-Input'!$B$12,0))))*(1/(1-'P-Parametri'!$B$6*B814))),MAX(0,2*B781-(F813-MIN(MAX(F813,0),MAX(0,B781-IF($A814&gt;='1-Input'!$C$12,'1-Input'!$B$12,0)))))*(1/(1-'P-Parametri'!$B$6*B814))))</f>
        <v>7061.0542160983823</v>
      </c>
      <c r="D814" s="18">
        <f>IF($A814&gt;'1-Input'!$B$26,F813,(F813-MAX(0,B781-IF($A814&gt;='1-Input'!$C$12,'1-Input'!$B$12,0))+C814*(1-'P-Parametri'!$B$6*B814))*(1+'1-Input'!$B$27))</f>
        <v>33242.0070309863</v>
      </c>
      <c r="E814" s="18">
        <f>IF($A814&gt;'1-Input'!$B$26,G813,(G813-C814)*(1+$D$4))</f>
        <v>289992.15965264488</v>
      </c>
      <c r="F814" s="18">
        <f>IF($A814&gt;'1-Input'!$B$26,D814,D814-'P-Parametri'!$B$8*(E814+D814)+MIN(MAX(E814,0),'P-Parametri'!$B$8*(E814+D814)))</f>
        <v>33242.0070309863</v>
      </c>
      <c r="G814" s="18">
        <f>IF($A814&gt;'1-Input'!$B$26,E814,E814-MIN(MAX(E814,0),'P-Parametri'!$B$8*(E814+D814)))</f>
        <v>289345.69131927763</v>
      </c>
      <c r="H814" s="18">
        <f>IF($A814&gt;'1-Input'!$B$26,H813,H813-C814*(1-B814))</f>
        <v>71989.462933233255</v>
      </c>
      <c r="I814" s="11">
        <f>IF($A814&gt;'1-Input'!$B$26,0,IF(N813&lt;=0,0,MAX(0,(N813-O813)/N813)))</f>
        <v>0</v>
      </c>
      <c r="J814" s="18">
        <f>IF($A814&gt;'1-Input'!$B$26,0,(MAX(0,I781-IF($A814&gt;='1-Input'!$C$12,'1-Input'!$B$12,0))-MIN(MAX(M813,0),MAX(0,I781-IF($A814&gt;='1-Input'!$C$12,'1-Input'!$B$12,0))))*(1/(1-'P-Parametri'!$B$6*I814))+MIN(MAX(0,N813-(MAX(0,I781-IF($A814&gt;='1-Input'!$C$12,'1-Input'!$B$12,0))-MIN(MAX(M813,0),MAX(0,I781-IF($A814&gt;='1-Input'!$C$12,'1-Input'!$B$12,0))))*(1/(1-'P-Parametri'!$B$6*I814))),MAX(0,2*I781-(M813-MIN(MAX(M813,0),MAX(0,I781-IF($A814&gt;='1-Input'!$C$12,'1-Input'!$B$12,0)))))*(1/(1-'P-Parametri'!$B$6*I814))))</f>
        <v>10846.756992928691</v>
      </c>
      <c r="K814" s="18">
        <f>IF($A814&gt;'1-Input'!$B$26,M813,(M813-MAX(0,I781-IF($A814&gt;='1-Input'!$C$12,'1-Input'!$B$12,0))+J814*(1-'P-Parametri'!$B$6*I814))*(1+'1-Input'!$B$27))</f>
        <v>0</v>
      </c>
      <c r="L814" s="18">
        <f>IF($A814&gt;'1-Input'!$B$26,N813,(N813-J814)*(1+$D$4))</f>
        <v>-31330.775989923786</v>
      </c>
      <c r="M814" s="18">
        <f>IF($A814&gt;'1-Input'!$B$26,K814,K814-'P-Parametri'!$B$8*(L814+K814)+MIN(MAX(L814,0),'P-Parametri'!$B$8*(L814+K814)))</f>
        <v>0</v>
      </c>
      <c r="N814" s="18">
        <f>IF($A814&gt;'1-Input'!$B$26,L814,L814-MIN(MAX(L814,0),'P-Parametri'!$B$8*(L814+K814)))</f>
        <v>-31268.114437943939</v>
      </c>
      <c r="O814" s="18">
        <f>IF($A814&gt;'1-Input'!$B$26,O813,O813-J814*(1-I814))</f>
        <v>-29139.060707428307</v>
      </c>
      <c r="P814" s="11">
        <f>IF($A814&gt;'1-Input'!$B$26,0,IF(U813&lt;=0,0,MAX(0,(U813-V813)/U813)))</f>
        <v>0.73973445394913262</v>
      </c>
      <c r="Q814" s="18">
        <f>IF($A814&gt;'1-Input'!$B$26,0,(MAX(0,P781-IF($A814&gt;='1-Input'!$C$12,'1-Input'!$B$12,0))-MIN(MAX(T813,0),MAX(0,P781-IF($A814&gt;='1-Input'!$C$12,'1-Input'!$B$12,0))))*(1/(1-'P-Parametri'!$B$6*P814))+MIN(MAX(0,U813-(MAX(0,P781-IF($A814&gt;='1-Input'!$C$12,'1-Input'!$B$12,0))-MIN(MAX(T813,0),MAX(0,P781-IF($A814&gt;='1-Input'!$C$12,'1-Input'!$B$12,0))))*(1/(1-'P-Parametri'!$B$6*P814))),MAX(0,2*P781-(T813-MIN(MAX(T813,0),MAX(0,P781-IF($A814&gt;='1-Input'!$C$12,'1-Input'!$B$12,0)))))*(1/(1-'P-Parametri'!$B$6*P814))))</f>
        <v>11002.445880530217</v>
      </c>
      <c r="R814" s="18">
        <f>IF($A814&gt;'1-Input'!$B$26,T813,(T813-MAX(0,P781-IF($A814&gt;='1-Input'!$C$12,'1-Input'!$B$12,0))+Q814*(1-'P-Parametri'!$B$6*P814))*(1+'1-Input'!$B$27))</f>
        <v>39548.008177054842</v>
      </c>
      <c r="S814" s="18">
        <f>IF($A814&gt;'1-Input'!$B$26,U813,(U813-Q814)*(1+$D$4))</f>
        <v>52564.318023983447</v>
      </c>
      <c r="T814" s="18">
        <f>IF($A814&gt;'1-Input'!$B$26,R814,R814-'P-Parametri'!$B$8*(S814+R814)+MIN(MAX(S814,0),'P-Parametri'!$B$8*(S814+R814)))</f>
        <v>39548.008177054842</v>
      </c>
      <c r="U814" s="18">
        <f>IF($A814&gt;'1-Input'!$B$26,S814,S814-MIN(MAX(S814,0),'P-Parametri'!$B$8*(S814+R814)))</f>
        <v>52380.093371581374</v>
      </c>
      <c r="V814" s="18">
        <f>IF($A814&gt;'1-Input'!$B$26,V813,V813-Q814*(1-P814))</f>
        <v>13154.500897407213</v>
      </c>
      <c r="W814" s="11">
        <f>IF($A814&gt;'1-Input'!$B$26,0,IF(AB813&lt;=0,0,MAX(0,(AB813-AC813)/AB813)))</f>
        <v>0.74035474345775465</v>
      </c>
      <c r="X814" s="18">
        <f>IF($A814&gt;'1-Input'!$B$26,0,(MAX(0,W781-IF($A814&gt;='1-Input'!$C$12,'1-Input'!$B$12,0))-MIN(MAX(AA813,0),MAX(0,W781-IF($A814&gt;='1-Input'!$C$12,'1-Input'!$B$12,0))))*(1/(1-'P-Parametri'!$B$6*W814))+MIN(MAX(0,AB813-(MAX(0,W781-IF($A814&gt;='1-Input'!$C$12,'1-Input'!$B$12,0))-MIN(MAX(AA813,0),MAX(0,W781-IF($A814&gt;='1-Input'!$C$12,'1-Input'!$B$12,0))))*(1/(1-'P-Parametri'!$B$6*W814))),MAX(0,2*W781-(AA813-MIN(MAX(AA813,0),MAX(0,W781-IF($A814&gt;='1-Input'!$C$12,'1-Input'!$B$12,0)))))*(1/(1-'P-Parametri'!$B$6*W814))))</f>
        <v>10468.694975699833</v>
      </c>
      <c r="Y814" s="18">
        <f>IF($A814&gt;'1-Input'!$B$26,AA813,(AA813-MAX(0,W781-IF($A814&gt;='1-Input'!$C$12,'1-Input'!$B$12,0))+X814*(1-'P-Parametri'!$B$6*W814))*(1+'1-Input'!$B$27))</f>
        <v>38691.724605045303</v>
      </c>
      <c r="Z814" s="18">
        <f>IF($A814&gt;'1-Input'!$B$26,AB813,(AB813-X814)*(1+$D$4))</f>
        <v>84792.599383514898</v>
      </c>
      <c r="AA814" s="18">
        <f>IF($A814&gt;'1-Input'!$B$26,Y814,Y814-'P-Parametri'!$B$8*(Z814+Y814)+MIN(MAX(Z814,0),'P-Parametri'!$B$8*(Z814+Y814)))</f>
        <v>38691.724605045303</v>
      </c>
      <c r="AB814" s="18">
        <f>IF($A814&gt;'1-Input'!$B$26,Z814,Z814-MIN(MAX(Z814,0),'P-Parametri'!$B$8*(Z814+Y814)))</f>
        <v>84545.630735537779</v>
      </c>
      <c r="AC814" s="18">
        <f>IF($A814&gt;'1-Input'!$B$26,AC813,AC813-X814*(1-W814))</f>
        <v>21169.227134438996</v>
      </c>
      <c r="AD814" s="11">
        <f>IF($A814&gt;'1-Input'!$B$26,0,IF(AI813&lt;=0,0,MAX(0,(AI813-AJ813)/AI813)))</f>
        <v>0.74037673991445052</v>
      </c>
      <c r="AE814" s="18">
        <f>IF($A814&gt;'1-Input'!$B$26,0,(MAX(0,AD781-IF($A814&gt;='1-Input'!$C$12,'1-Input'!$B$12,0))-MIN(MAX(AH813,0),MAX(0,AD781-IF($A814&gt;='1-Input'!$C$12,'1-Input'!$B$12,0))))*(1/(1-'P-Parametri'!$B$6*AD814))+MIN(MAX(0,AI813-(MAX(0,AD781-IF($A814&gt;='1-Input'!$C$12,'1-Input'!$B$12,0))-MIN(MAX(AH813,0),MAX(0,AD781-IF($A814&gt;='1-Input'!$C$12,'1-Input'!$B$12,0))))*(1/(1-'P-Parametri'!$B$6*AD814))),MAX(0,2*AD781-(AH813-MIN(MAX(AH813,0),MAX(0,AD781-IF($A814&gt;='1-Input'!$C$12,'1-Input'!$B$12,0)))))*(1/(1-'P-Parametri'!$B$6*AD814))))</f>
        <v>10444.32894160509</v>
      </c>
      <c r="AF814" s="18">
        <f>IF($A814&gt;'1-Input'!$B$26,AH813,(AH813-MAX(0,AD781-IF($A814&gt;='1-Input'!$C$12,'1-Input'!$B$12,0))+AE814*(1-'P-Parametri'!$B$6*AD814))*(1+'1-Input'!$B$27))</f>
        <v>38652.676856956641</v>
      </c>
      <c r="AG814" s="18">
        <f>IF($A814&gt;'1-Input'!$B$26,AI813,(AI813-AE814)*(1+$D$4))</f>
        <v>86262.410065976161</v>
      </c>
      <c r="AH814" s="18">
        <f>IF($A814&gt;'1-Input'!$B$26,AF814,AF814-'P-Parametri'!$B$8*(AG814+AF814)+MIN(MAX(AG814,0),'P-Parametri'!$B$8*(AG814+AF814)))</f>
        <v>38652.676856956641</v>
      </c>
      <c r="AI814" s="18">
        <f>IF($A814&gt;'1-Input'!$B$26,AG814,AG814-MIN(MAX(AG814,0),'P-Parametri'!$B$8*(AG814+AF814)))</f>
        <v>86012.579892130292</v>
      </c>
      <c r="AJ814" s="18">
        <f>IF($A814&gt;'1-Input'!$B$26,AJ813,AJ813-AE814*(1-AD814))</f>
        <v>21534.353965543523</v>
      </c>
      <c r="AK814" s="11">
        <f>IF($A814&gt;'1-Input'!$B$26,0,IF(AP813&lt;=0,0,MAX(0,(AP813-AQ813)/AP813)))</f>
        <v>0.74037650472881578</v>
      </c>
      <c r="AL814" s="18">
        <f>IF($A814&gt;'1-Input'!$B$26,0,(MAX(0,AK781-IF($A814&gt;='1-Input'!$C$12,'1-Input'!$B$12,0))-MIN(MAX(AO813,0),MAX(0,AK781-IF($A814&gt;='1-Input'!$C$12,'1-Input'!$B$12,0))))*(1/(1-'P-Parametri'!$B$6*AK814))+MIN(MAX(0,AP813-(MAX(0,AK781-IF($A814&gt;='1-Input'!$C$12,'1-Input'!$B$12,0))-MIN(MAX(AO813,0),MAX(0,AK781-IF($A814&gt;='1-Input'!$C$12,'1-Input'!$B$12,0))))*(1/(1-'P-Parametri'!$B$6*AK814))),MAX(0,2*AK781-(AO813-MIN(MAX(AO813,0),MAX(0,AK781-IF($A814&gt;='1-Input'!$C$12,'1-Input'!$B$12,0)))))*(1/(1-'P-Parametri'!$B$6*AK814))))</f>
        <v>10444.591862755882</v>
      </c>
      <c r="AM814" s="18">
        <f>IF($A814&gt;'1-Input'!$B$26,AO813,(AO813-MAX(0,AK781-IF($A814&gt;='1-Input'!$C$12,'1-Input'!$B$12,0))+AL814*(1-'P-Parametri'!$B$6*AK814))*(1+'1-Input'!$B$27))</f>
        <v>38653.098186232593</v>
      </c>
      <c r="AN814" s="18">
        <f>IF($A814&gt;'1-Input'!$B$26,AP813,(AP813-AL814)*(1+$D$4))</f>
        <v>86246.550594386121</v>
      </c>
      <c r="AO814" s="18">
        <f>IF($A814&gt;'1-Input'!$B$26,AM814,AM814-'P-Parametri'!$B$8*(AN814+AM814)+MIN(MAX(AN814,0),'P-Parametri'!$B$8*(AN814+AM814)))</f>
        <v>38653.098186232593</v>
      </c>
      <c r="AP814" s="18">
        <f>IF($A814&gt;'1-Input'!$B$26,AN814,AN814-MIN(MAX(AN814,0),'P-Parametri'!$B$8*(AN814+AM814)))</f>
        <v>85996.751296824877</v>
      </c>
      <c r="AQ814" s="18">
        <f>IF($A814&gt;'1-Input'!$B$26,AQ813,AQ813-AL814*(1-AK814))</f>
        <v>21530.414346536112</v>
      </c>
    </row>
    <row r="815" spans="1:43">
      <c r="A815" s="10">
        <f>32</f>
        <v>32</v>
      </c>
      <c r="B815" s="11">
        <f>IF($A815&gt;'1-Input'!$B$26,0,IF(G814&lt;=0,0,MAX(0,(G814-H814)/G814)))</f>
        <v>0.75119911893280389</v>
      </c>
      <c r="C815" s="18">
        <f>IF($A815&gt;'1-Input'!$B$26,0,(MAX(0,B781-IF($A815&gt;='1-Input'!$C$12,'1-Input'!$B$12,0))-MIN(MAX(F814,0),MAX(0,B781-IF($A815&gt;='1-Input'!$C$12,'1-Input'!$B$12,0))))*(1/(1-'P-Parametri'!$B$6*B815))+MIN(MAX(0,G814-(MAX(0,B781-IF($A815&gt;='1-Input'!$C$12,'1-Input'!$B$12,0))-MIN(MAX(F814,0),MAX(0,B781-IF($A815&gt;='1-Input'!$C$12,'1-Input'!$B$12,0))))*(1/(1-'P-Parametri'!$B$6*B815))),MAX(0,2*B781-(F814-MIN(MAX(F814,0),MAX(0,B781-IF($A815&gt;='1-Input'!$C$12,'1-Input'!$B$12,0)))))*(1/(1-'P-Parametri'!$B$6*B815))))</f>
        <v>7082.4434942025518</v>
      </c>
      <c r="D815" s="18">
        <f>IF($A815&gt;'1-Input'!$B$26,F814,(F814-MAX(0,B781-IF($A815&gt;='1-Input'!$C$12,'1-Input'!$B$12,0))+C815*(1-'P-Parametri'!$B$6*B815))*(1+'1-Input'!$B$27))</f>
        <v>33242.0070309863</v>
      </c>
      <c r="E815" s="18">
        <f>IF($A815&gt;'1-Input'!$B$26,G814,(G814-C815)*(1+$D$4))</f>
        <v>293553.77773807809</v>
      </c>
      <c r="F815" s="18">
        <f>IF($A815&gt;'1-Input'!$B$26,D815,D815-'P-Parametri'!$B$8*(E815+D815)+MIN(MAX(E815,0),'P-Parametri'!$B$8*(E815+D815)))</f>
        <v>33242.0070309863</v>
      </c>
      <c r="G815" s="18">
        <f>IF($A815&gt;'1-Input'!$B$26,E815,E815-MIN(MAX(E815,0),'P-Parametri'!$B$8*(E815+D815)))</f>
        <v>292900.18616853998</v>
      </c>
      <c r="H815" s="18">
        <f>IF($A815&gt;'1-Input'!$B$26,H814,H814-C815*(1-B815))</f>
        <v>70227.344751767028</v>
      </c>
      <c r="I815" s="11">
        <f>IF($A815&gt;'1-Input'!$B$26,0,IF(N814&lt;=0,0,MAX(0,(N814-O814)/N814)))</f>
        <v>0</v>
      </c>
      <c r="J815" s="18">
        <f>IF($A815&gt;'1-Input'!$B$26,0,(MAX(0,I781-IF($A815&gt;='1-Input'!$C$12,'1-Input'!$B$12,0))-MIN(MAX(M814,0),MAX(0,I781-IF($A815&gt;='1-Input'!$C$12,'1-Input'!$B$12,0))))*(1/(1-'P-Parametri'!$B$6*I815))+MIN(MAX(0,N814-(MAX(0,I781-IF($A815&gt;='1-Input'!$C$12,'1-Input'!$B$12,0))-MIN(MAX(M814,0),MAX(0,I781-IF($A815&gt;='1-Input'!$C$12,'1-Input'!$B$12,0))))*(1/(1-'P-Parametri'!$B$6*I815))),MAX(0,2*I781-(M814-MIN(MAX(M814,0),MAX(0,I781-IF($A815&gt;='1-Input'!$C$12,'1-Input'!$B$12,0)))))*(1/(1-'P-Parametri'!$B$6*I815))))</f>
        <v>10846.756992928691</v>
      </c>
      <c r="K815" s="18">
        <f>IF($A815&gt;'1-Input'!$B$26,M814,(M814-MAX(0,I781-IF($A815&gt;='1-Input'!$C$12,'1-Input'!$B$12,0))+J815*(1-'P-Parametri'!$B$6*I815))*(1+'1-Input'!$B$27))</f>
        <v>0</v>
      </c>
      <c r="L815" s="18">
        <f>IF($A815&gt;'1-Input'!$B$26,N814,(N814-J815)*(1+$D$4))</f>
        <v>-43799.466288107542</v>
      </c>
      <c r="M815" s="18">
        <f>IF($A815&gt;'1-Input'!$B$26,K815,K815-'P-Parametri'!$B$8*(L815+K815)+MIN(MAX(L815,0),'P-Parametri'!$B$8*(L815+K815)))</f>
        <v>0</v>
      </c>
      <c r="N815" s="18">
        <f>IF($A815&gt;'1-Input'!$B$26,L815,L815-MIN(MAX(L815,0),'P-Parametri'!$B$8*(L815+K815)))</f>
        <v>-43711.867355531329</v>
      </c>
      <c r="O815" s="18">
        <f>IF($A815&gt;'1-Input'!$B$26,O814,O814-J815*(1-I815))</f>
        <v>-39985.817700357002</v>
      </c>
      <c r="P815" s="11">
        <f>IF($A815&gt;'1-Input'!$B$26,0,IF(U814&lt;=0,0,MAX(0,(U814-V814)/U814)))</f>
        <v>0.74886450079250644</v>
      </c>
      <c r="Q815" s="18">
        <f>IF($A815&gt;'1-Input'!$B$26,0,(MAX(0,P781-IF($A815&gt;='1-Input'!$C$12,'1-Input'!$B$12,0))-MIN(MAX(T814,0),MAX(0,P781-IF($A815&gt;='1-Input'!$C$12,'1-Input'!$B$12,0))))*(1/(1-'P-Parametri'!$B$6*P815))+MIN(MAX(0,U814-(MAX(0,P781-IF($A815&gt;='1-Input'!$C$12,'1-Input'!$B$12,0))-MIN(MAX(T814,0),MAX(0,P781-IF($A815&gt;='1-Input'!$C$12,'1-Input'!$B$12,0))))*(1/(1-'P-Parametri'!$B$6*P815))),MAX(0,2*P781-(T814-MIN(MAX(T814,0),MAX(0,P781-IF($A815&gt;='1-Input'!$C$12,'1-Input'!$B$12,0)))))*(1/(1-'P-Parametri'!$B$6*P815))))</f>
        <v>11034.878383625663</v>
      </c>
      <c r="R815" s="18">
        <f>IF($A815&gt;'1-Input'!$B$26,T814,(T814-MAX(0,P781-IF($A815&gt;='1-Input'!$C$12,'1-Input'!$B$12,0))+Q815*(1-'P-Parametri'!$B$6*P815))*(1+'1-Input'!$B$27))</f>
        <v>39548.008177054842</v>
      </c>
      <c r="S815" s="18">
        <f>IF($A815&gt;'1-Input'!$B$26,U814,(U814-Q815)*(1+$D$4))</f>
        <v>42999.023587473937</v>
      </c>
      <c r="T815" s="18">
        <f>IF($A815&gt;'1-Input'!$B$26,R815,R815-'P-Parametri'!$B$8*(S815+R815)+MIN(MAX(S815,0),'P-Parametri'!$B$8*(S815+R815)))</f>
        <v>39548.008177054842</v>
      </c>
      <c r="U815" s="18">
        <f>IF($A815&gt;'1-Input'!$B$26,S815,S815-MIN(MAX(S815,0),'P-Parametri'!$B$8*(S815+R815)))</f>
        <v>42833.929523944877</v>
      </c>
      <c r="V815" s="18">
        <f>IF($A815&gt;'1-Input'!$B$26,V814,V814-Q815*(1-P815))</f>
        <v>10383.251205841403</v>
      </c>
      <c r="W815" s="11">
        <f>IF($A815&gt;'1-Input'!$B$26,0,IF(AB814&lt;=0,0,MAX(0,(AB814-AC814)/AB814)))</f>
        <v>0.749611813759398</v>
      </c>
      <c r="X815" s="18">
        <f>IF($A815&gt;'1-Input'!$B$26,0,(MAX(0,W781-IF($A815&gt;='1-Input'!$C$12,'1-Input'!$B$12,0))-MIN(MAX(AA814,0),MAX(0,W781-IF($A815&gt;='1-Input'!$C$12,'1-Input'!$B$12,0))))*(1/(1-'P-Parametri'!$B$6*W815))+MIN(MAX(0,AB814-(MAX(0,W781-IF($A815&gt;='1-Input'!$C$12,'1-Input'!$B$12,0))-MIN(MAX(AA814,0),MAX(0,W781-IF($A815&gt;='1-Input'!$C$12,'1-Input'!$B$12,0))))*(1/(1-'P-Parametri'!$B$6*W815))),MAX(0,2*W781-(AA814-MIN(MAX(AA814,0),MAX(0,W781-IF($A815&gt;='1-Input'!$C$12,'1-Input'!$B$12,0)))))*(1/(1-'P-Parametri'!$B$6*W815))))</f>
        <v>10499.990996985089</v>
      </c>
      <c r="Y815" s="18">
        <f>IF($A815&gt;'1-Input'!$B$26,AA814,(AA814-MAX(0,W781-IF($A815&gt;='1-Input'!$C$12,'1-Input'!$B$12,0))+X815*(1-'P-Parametri'!$B$6*W815))*(1+'1-Input'!$B$27))</f>
        <v>38691.724605045303</v>
      </c>
      <c r="Z815" s="18">
        <f>IF($A815&gt;'1-Input'!$B$26,AB814,(AB814-X815)*(1+$D$4))</f>
        <v>77007.465328094811</v>
      </c>
      <c r="AA815" s="18">
        <f>IF($A815&gt;'1-Input'!$B$26,Y815,Y815-'P-Parametri'!$B$8*(Z815+Y815)+MIN(MAX(Z815,0),'P-Parametri'!$B$8*(Z815+Y815)))</f>
        <v>38691.724605045303</v>
      </c>
      <c r="AB815" s="18">
        <f>IF($A815&gt;'1-Input'!$B$26,Z815,Z815-MIN(MAX(Z815,0),'P-Parametri'!$B$8*(Z815+Y815)))</f>
        <v>76776.06694822853</v>
      </c>
      <c r="AC815" s="18">
        <f>IF($A815&gt;'1-Input'!$B$26,AC814,AC814-X815*(1-W815))</f>
        <v>18540.153433161249</v>
      </c>
      <c r="AD815" s="11">
        <f>IF($A815&gt;'1-Input'!$B$26,0,IF(AI814&lt;=0,0,MAX(0,(AI814-AJ814)/AI814)))</f>
        <v>0.74963715781400708</v>
      </c>
      <c r="AE815" s="18">
        <f>IF($A815&gt;'1-Input'!$B$26,0,(MAX(0,AD781-IF($A815&gt;='1-Input'!$C$12,'1-Input'!$B$12,0))-MIN(MAX(AH814,0),MAX(0,AD781-IF($A815&gt;='1-Input'!$C$12,'1-Input'!$B$12,0))))*(1/(1-'P-Parametri'!$B$6*AD815))+MIN(MAX(0,AI814-(MAX(0,AD781-IF($A815&gt;='1-Input'!$C$12,'1-Input'!$B$12,0))-MIN(MAX(AH814,0),MAX(0,AD781-IF($A815&gt;='1-Input'!$C$12,'1-Input'!$B$12,0))))*(1/(1-'P-Parametri'!$B$6*AD815))),MAX(0,2*AD781-(AH814-MIN(MAX(AH814,0),MAX(0,AD781-IF($A815&gt;='1-Input'!$C$12,'1-Input'!$B$12,0)))))*(1/(1-'P-Parametri'!$B$6*AD815))))</f>
        <v>10475.563667722956</v>
      </c>
      <c r="AF815" s="18">
        <f>IF($A815&gt;'1-Input'!$B$26,AH814,(AH814-MAX(0,AD781-IF($A815&gt;='1-Input'!$C$12,'1-Input'!$B$12,0))+AE815*(1-'P-Parametri'!$B$6*AD815))*(1+'1-Input'!$B$27))</f>
        <v>38652.676856956641</v>
      </c>
      <c r="AG815" s="18">
        <f>IF($A815&gt;'1-Input'!$B$26,AI814,(AI814-AE815)*(1+$D$4))</f>
        <v>78558.496873383629</v>
      </c>
      <c r="AH815" s="18">
        <f>IF($A815&gt;'1-Input'!$B$26,AF815,AF815-'P-Parametri'!$B$8*(AG815+AF815)+MIN(MAX(AG815,0),'P-Parametri'!$B$8*(AG815+AF815)))</f>
        <v>38652.676856956641</v>
      </c>
      <c r="AI815" s="18">
        <f>IF($A815&gt;'1-Input'!$B$26,AG815,AG815-MIN(MAX(AG815,0),'P-Parametri'!$B$8*(AG815+AF815)))</f>
        <v>78324.074525922944</v>
      </c>
      <c r="AJ815" s="18">
        <f>IF($A815&gt;'1-Input'!$B$26,AJ814,AJ814-AE815*(1-AD815))</f>
        <v>18911.662072192081</v>
      </c>
      <c r="AK815" s="11">
        <f>IF($A815&gt;'1-Input'!$B$26,0,IF(AP814&lt;=0,0,MAX(0,(AP814-AQ814)/AP814)))</f>
        <v>0.7496368871863297</v>
      </c>
      <c r="AL815" s="18">
        <f>IF($A815&gt;'1-Input'!$B$26,0,(MAX(0,AK781-IF($A815&gt;='1-Input'!$C$12,'1-Input'!$B$12,0))-MIN(MAX(AO814,0),MAX(0,AK781-IF($A815&gt;='1-Input'!$C$12,'1-Input'!$B$12,0))))*(1/(1-'P-Parametri'!$B$6*AK815))+MIN(MAX(0,AP814-(MAX(0,AK781-IF($A815&gt;='1-Input'!$C$12,'1-Input'!$B$12,0))-MIN(MAX(AO814,0),MAX(0,AK781-IF($A815&gt;='1-Input'!$C$12,'1-Input'!$B$12,0))))*(1/(1-'P-Parametri'!$B$6*AK815))),MAX(0,2*AK781-(AO814-MIN(MAX(AO814,0),MAX(0,AK781-IF($A815&gt;='1-Input'!$C$12,'1-Input'!$B$12,0)))))*(1/(1-'P-Parametri'!$B$6*AK815))))</f>
        <v>10475.827252887253</v>
      </c>
      <c r="AM815" s="18">
        <f>IF($A815&gt;'1-Input'!$B$26,AO814,(AO814-MAX(0,AK781-IF($A815&gt;='1-Input'!$C$12,'1-Input'!$B$12,0))+AL815*(1-'P-Parametri'!$B$6*AK815))*(1+'1-Input'!$B$27))</f>
        <v>38653.098186232593</v>
      </c>
      <c r="AN815" s="18">
        <f>IF($A815&gt;'1-Input'!$B$26,AP814,(AP814-AL815)*(1+$D$4))</f>
        <v>78541.761005695138</v>
      </c>
      <c r="AO815" s="18">
        <f>IF($A815&gt;'1-Input'!$B$26,AM815,AM815-'P-Parametri'!$B$8*(AN815+AM815)+MIN(MAX(AN815,0),'P-Parametri'!$B$8*(AN815+AM815)))</f>
        <v>38653.098186232593</v>
      </c>
      <c r="AP815" s="18">
        <f>IF($A815&gt;'1-Input'!$B$26,AN815,AN815-MIN(MAX(AN815,0),'P-Parametri'!$B$8*(AN815+AM815)))</f>
        <v>78307.371287311282</v>
      </c>
      <c r="AQ815" s="18">
        <f>IF($A815&gt;'1-Input'!$B$26,AQ814,AQ814-AL815*(1-AK815))</f>
        <v>18907.653626204978</v>
      </c>
    </row>
    <row r="816" spans="1:43">
      <c r="A816" s="10">
        <f>33</f>
        <v>33</v>
      </c>
      <c r="B816" s="11">
        <f>IF($A816&gt;'1-Input'!$B$26,0,IF(G815&lt;=0,0,MAX(0,(G815-H815)/G815)))</f>
        <v>0.76023455064874224</v>
      </c>
      <c r="C816" s="18">
        <f>IF($A816&gt;'1-Input'!$B$26,0,(MAX(0,B781-IF($A816&gt;='1-Input'!$C$12,'1-Input'!$B$12,0))-MIN(MAX(F815,0),MAX(0,B781-IF($A816&gt;='1-Input'!$C$12,'1-Input'!$B$12,0))))*(1/(1-'P-Parametri'!$B$6*B816))+MIN(MAX(0,G815-(MAX(0,B781-IF($A816&gt;='1-Input'!$C$12,'1-Input'!$B$12,0))-MIN(MAX(F815,0),MAX(0,B781-IF($A816&gt;='1-Input'!$C$12,'1-Input'!$B$12,0))))*(1/(1-'P-Parametri'!$B$6*B816))),MAX(0,2*B781-(F815-MIN(MAX(F815,0),MAX(0,B781-IF($A816&gt;='1-Input'!$C$12,'1-Input'!$B$12,0)))))*(1/(1-'P-Parametri'!$B$6*B816))))</f>
        <v>7103.1805674847565</v>
      </c>
      <c r="D816" s="18">
        <f>IF($A816&gt;'1-Input'!$B$26,F815,(F815-MAX(0,B781-IF($A816&gt;='1-Input'!$C$12,'1-Input'!$B$12,0))+C816*(1-'P-Parametri'!$B$6*B816))*(1+'1-Input'!$B$27))</f>
        <v>33242.0070309863</v>
      </c>
      <c r="E816" s="18">
        <f>IF($A816&gt;'1-Input'!$B$26,G815,(G815-C816)*(1+$D$4))</f>
        <v>297228.88582509744</v>
      </c>
      <c r="F816" s="18">
        <f>IF($A816&gt;'1-Input'!$B$26,D816,D816-'P-Parametri'!$B$8*(E816+D816)+MIN(MAX(E816,0),'P-Parametri'!$B$8*(E816+D816)))</f>
        <v>33242.0070309863</v>
      </c>
      <c r="G816" s="18">
        <f>IF($A816&gt;'1-Input'!$B$26,E816,E816-MIN(MAX(E816,0),'P-Parametri'!$B$8*(E816+D816)))</f>
        <v>296567.9440393853</v>
      </c>
      <c r="H816" s="18">
        <f>IF($A816&gt;'1-Input'!$B$26,H815,H815-C816*(1-B816))</f>
        <v>68524.247471180919</v>
      </c>
      <c r="I816" s="11">
        <f>IF($A816&gt;'1-Input'!$B$26,0,IF(N815&lt;=0,0,MAX(0,(N815-O815)/N815)))</f>
        <v>0</v>
      </c>
      <c r="J816" s="18">
        <f>IF($A816&gt;'1-Input'!$B$26,0,(MAX(0,I781-IF($A816&gt;='1-Input'!$C$12,'1-Input'!$B$12,0))-MIN(MAX(M815,0),MAX(0,I781-IF($A816&gt;='1-Input'!$C$12,'1-Input'!$B$12,0))))*(1/(1-'P-Parametri'!$B$6*I816))+MIN(MAX(0,N815-(MAX(0,I781-IF($A816&gt;='1-Input'!$C$12,'1-Input'!$B$12,0))-MIN(MAX(M815,0),MAX(0,I781-IF($A816&gt;='1-Input'!$C$12,'1-Input'!$B$12,0))))*(1/(1-'P-Parametri'!$B$6*I816))),MAX(0,2*I781-(M815-MIN(MAX(M815,0),MAX(0,I781-IF($A816&gt;='1-Input'!$C$12,'1-Input'!$B$12,0)))))*(1/(1-'P-Parametri'!$B$6*I816))))</f>
        <v>10846.756992928691</v>
      </c>
      <c r="K816" s="18">
        <f>IF($A816&gt;'1-Input'!$B$26,M815,(M815-MAX(0,I781-IF($A816&gt;='1-Input'!$C$12,'1-Input'!$B$12,0))+J816*(1-'P-Parametri'!$B$6*I816))*(1+'1-Input'!$B$27))</f>
        <v>0</v>
      </c>
      <c r="L816" s="18">
        <f>IF($A816&gt;'1-Input'!$B$26,N815,(N815-J816)*(1+$D$4))</f>
        <v>-56740.969322398421</v>
      </c>
      <c r="M816" s="18">
        <f>IF($A816&gt;'1-Input'!$B$26,K816,K816-'P-Parametri'!$B$8*(L816+K816)+MIN(MAX(L816,0),'P-Parametri'!$B$8*(L816+K816)))</f>
        <v>0</v>
      </c>
      <c r="N816" s="18">
        <f>IF($A816&gt;'1-Input'!$B$26,L816,L816-MIN(MAX(L816,0),'P-Parametri'!$B$8*(L816+K816)))</f>
        <v>-56627.487383753622</v>
      </c>
      <c r="O816" s="18">
        <f>IF($A816&gt;'1-Input'!$B$26,O815,O815-J816*(1-I816))</f>
        <v>-50832.574693285693</v>
      </c>
      <c r="P816" s="11">
        <f>IF($A816&gt;'1-Input'!$B$26,0,IF(U815&lt;=0,0,MAX(0,(U815-V815)/U815)))</f>
        <v>0.75759284003964678</v>
      </c>
      <c r="Q816" s="18">
        <f>IF($A816&gt;'1-Input'!$B$26,0,(MAX(0,P781-IF($A816&gt;='1-Input'!$C$12,'1-Input'!$B$12,0))-MIN(MAX(T815,0),MAX(0,P781-IF($A816&gt;='1-Input'!$C$12,'1-Input'!$B$12,0))))*(1/(1-'P-Parametri'!$B$6*P816))+MIN(MAX(0,U815-(MAX(0,P781-IF($A816&gt;='1-Input'!$C$12,'1-Input'!$B$12,0))-MIN(MAX(T815,0),MAX(0,P781-IF($A816&gt;='1-Input'!$C$12,'1-Input'!$B$12,0))))*(1/(1-'P-Parametri'!$B$6*P816))),MAX(0,2*P781-(T815-MIN(MAX(T815,0),MAX(0,P781-IF($A816&gt;='1-Input'!$C$12,'1-Input'!$B$12,0)))))*(1/(1-'P-Parametri'!$B$6*P816))))</f>
        <v>11066.06318518618</v>
      </c>
      <c r="R816" s="18">
        <f>IF($A816&gt;'1-Input'!$B$26,T815,(T815-MAX(0,P781-IF($A816&gt;='1-Input'!$C$12,'1-Input'!$B$12,0))+Q816*(1-'P-Parametri'!$B$6*P816))*(1+'1-Input'!$B$27))</f>
        <v>39548.008177054842</v>
      </c>
      <c r="S816" s="18">
        <f>IF($A816&gt;'1-Input'!$B$26,U815,(U815-Q816)*(1+$D$4))</f>
        <v>33038.580992309049</v>
      </c>
      <c r="T816" s="18">
        <f>IF($A816&gt;'1-Input'!$B$26,R816,R816-'P-Parametri'!$B$8*(S816+R816)+MIN(MAX(S816,0),'P-Parametri'!$B$8*(S816+R816)))</f>
        <v>39548.008177054842</v>
      </c>
      <c r="U816" s="18">
        <f>IF($A816&gt;'1-Input'!$B$26,S816,S816-MIN(MAX(S816,0),'P-Parametri'!$B$8*(S816+R816)))</f>
        <v>32893.40781397032</v>
      </c>
      <c r="V816" s="18">
        <f>IF($A816&gt;'1-Input'!$B$26,V815,V815-Q816*(1-P816))</f>
        <v>7700.7582571786006</v>
      </c>
      <c r="W816" s="11">
        <f>IF($A816&gt;'1-Input'!$B$26,0,IF(AB815&lt;=0,0,MAX(0,(AB815-AC815)/AB815)))</f>
        <v>0.75851649908475771</v>
      </c>
      <c r="X816" s="18">
        <f>IF($A816&gt;'1-Input'!$B$26,0,(MAX(0,W781-IF($A816&gt;='1-Input'!$C$12,'1-Input'!$B$12,0))-MIN(MAX(AA815,0),MAX(0,W781-IF($A816&gt;='1-Input'!$C$12,'1-Input'!$B$12,0))))*(1/(1-'P-Parametri'!$B$6*W816))+MIN(MAX(0,AB815-(MAX(0,W781-IF($A816&gt;='1-Input'!$C$12,'1-Input'!$B$12,0))-MIN(MAX(AA815,0),MAX(0,W781-IF($A816&gt;='1-Input'!$C$12,'1-Input'!$B$12,0))))*(1/(1-'P-Parametri'!$B$6*W816))),MAX(0,2*W781-(AA815-MIN(MAX(AA815,0),MAX(0,W781-IF($A816&gt;='1-Input'!$C$12,'1-Input'!$B$12,0)))))*(1/(1-'P-Parametri'!$B$6*W816))))</f>
        <v>10530.272764316354</v>
      </c>
      <c r="Y816" s="18">
        <f>IF($A816&gt;'1-Input'!$B$26,AA815,(AA815-MAX(0,W781-IF($A816&gt;='1-Input'!$C$12,'1-Input'!$B$12,0))+X816*(1-'P-Parametri'!$B$6*W816))*(1+'1-Input'!$B$27))</f>
        <v>38691.724605045303</v>
      </c>
      <c r="Z816" s="18">
        <f>IF($A816&gt;'1-Input'!$B$26,AB815,(AB815-X816)*(1+$D$4))</f>
        <v>68895.625951268667</v>
      </c>
      <c r="AA816" s="18">
        <f>IF($A816&gt;'1-Input'!$B$26,Y816,Y816-'P-Parametri'!$B$8*(Z816+Y816)+MIN(MAX(Z816,0),'P-Parametri'!$B$8*(Z816+Y816)))</f>
        <v>38691.724605045303</v>
      </c>
      <c r="AB816" s="18">
        <f>IF($A816&gt;'1-Input'!$B$26,Z816,Z816-MIN(MAX(Z816,0),'P-Parametri'!$B$8*(Z816+Y816)))</f>
        <v>68680.451250156038</v>
      </c>
      <c r="AC816" s="18">
        <f>IF($A816&gt;'1-Input'!$B$26,AC815,AC815-X816*(1-W816))</f>
        <v>15997.26630044171</v>
      </c>
      <c r="AD816" s="11">
        <f>IF($A816&gt;'1-Input'!$B$26,0,IF(AI815&lt;=0,0,MAX(0,(AI815-AJ815)/AI815)))</f>
        <v>0.75854598746732871</v>
      </c>
      <c r="AE816" s="18">
        <f>IF($A816&gt;'1-Input'!$B$26,0,(MAX(0,AD781-IF($A816&gt;='1-Input'!$C$12,'1-Input'!$B$12,0))-MIN(MAX(AH815,0),MAX(0,AD781-IF($A816&gt;='1-Input'!$C$12,'1-Input'!$B$12,0))))*(1/(1-'P-Parametri'!$B$6*AD816))+MIN(MAX(0,AI815-(MAX(0,AD781-IF($A816&gt;='1-Input'!$C$12,'1-Input'!$B$12,0))-MIN(MAX(AH815,0),MAX(0,AD781-IF($A816&gt;='1-Input'!$C$12,'1-Input'!$B$12,0))))*(1/(1-'P-Parametri'!$B$6*AD816))),MAX(0,2*AD781-(AH815-MIN(MAX(AH815,0),MAX(0,AD781-IF($A816&gt;='1-Input'!$C$12,'1-Input'!$B$12,0)))))*(1/(1-'P-Parametri'!$B$6*AD816))))</f>
        <v>10505.789336431404</v>
      </c>
      <c r="AF816" s="18">
        <f>IF($A816&gt;'1-Input'!$B$26,AH815,(AH815-MAX(0,AD781-IF($A816&gt;='1-Input'!$C$12,'1-Input'!$B$12,0))+AE816*(1-'P-Parametri'!$B$6*AD816))*(1+'1-Input'!$B$27))</f>
        <v>38652.676856956641</v>
      </c>
      <c r="AG816" s="18">
        <f>IF($A816&gt;'1-Input'!$B$26,AI815,(AI815-AE816)*(1+$D$4))</f>
        <v>70531.016597071197</v>
      </c>
      <c r="AH816" s="18">
        <f>IF($A816&gt;'1-Input'!$B$26,AF816,AF816-'P-Parametri'!$B$8*(AG816+AF816)+MIN(MAX(AG816,0),'P-Parametri'!$B$8*(AG816+AF816)))</f>
        <v>38652.676856956641</v>
      </c>
      <c r="AI816" s="18">
        <f>IF($A816&gt;'1-Input'!$B$26,AG816,AG816-MIN(MAX(AG816,0),'P-Parametri'!$B$8*(AG816+AF816)))</f>
        <v>70312.649210163145</v>
      </c>
      <c r="AJ816" s="18">
        <f>IF($A816&gt;'1-Input'!$B$26,AJ815,AJ815-AE816*(1-AD816))</f>
        <v>16374.997082087768</v>
      </c>
      <c r="AK816" s="11">
        <f>IF($A816&gt;'1-Input'!$B$26,0,IF(AP815&lt;=0,0,MAX(0,(AP815-AQ815)/AP815)))</f>
        <v>0.75854567309082022</v>
      </c>
      <c r="AL816" s="18">
        <f>IF($A816&gt;'1-Input'!$B$26,0,(MAX(0,AK781-IF($A816&gt;='1-Input'!$C$12,'1-Input'!$B$12,0))-MIN(MAX(AO815,0),MAX(0,AK781-IF($A816&gt;='1-Input'!$C$12,'1-Input'!$B$12,0))))*(1/(1-'P-Parametri'!$B$6*AK816))+MIN(MAX(0,AP815-(MAX(0,AK781-IF($A816&gt;='1-Input'!$C$12,'1-Input'!$B$12,0))-MIN(MAX(AO815,0),MAX(0,AK781-IF($A816&gt;='1-Input'!$C$12,'1-Input'!$B$12,0))))*(1/(1-'P-Parametri'!$B$6*AK816))),MAX(0,2*AK781-(AO815-MIN(MAX(AO815,0),MAX(0,AK781-IF($A816&gt;='1-Input'!$C$12,'1-Input'!$B$12,0)))))*(1/(1-'P-Parametri'!$B$6*AK816))))</f>
        <v>10506.053530619836</v>
      </c>
      <c r="AM816" s="18">
        <f>IF($A816&gt;'1-Input'!$B$26,AO815,(AO815-MAX(0,AK781-IF($A816&gt;='1-Input'!$C$12,'1-Input'!$B$12,0))+AL816*(1-'P-Parametri'!$B$6*AK816))*(1+'1-Input'!$B$27))</f>
        <v>38653.098186232593</v>
      </c>
      <c r="AN816" s="18">
        <f>IF($A816&gt;'1-Input'!$B$26,AP815,(AP815-AL816)*(1+$D$4))</f>
        <v>70513.37046695911</v>
      </c>
      <c r="AO816" s="18">
        <f>IF($A816&gt;'1-Input'!$B$26,AM816,AM816-'P-Parametri'!$B$8*(AN816+AM816)+MIN(MAX(AN816,0),'P-Parametri'!$B$8*(AN816+AM816)))</f>
        <v>38653.098186232593</v>
      </c>
      <c r="AP816" s="18">
        <f>IF($A816&gt;'1-Input'!$B$26,AN816,AN816-MIN(MAX(AN816,0),'P-Parametri'!$B$8*(AN816+AM816)))</f>
        <v>70295.03752965272</v>
      </c>
      <c r="AQ816" s="18">
        <f>IF($A816&gt;'1-Input'!$B$26,AQ815,AQ815-AL816*(1-AK816))</f>
        <v>16370.921542497354</v>
      </c>
    </row>
    <row r="817" spans="1:43">
      <c r="A817" s="10">
        <f>34</f>
        <v>34</v>
      </c>
      <c r="B817" s="11">
        <f>IF($A817&gt;'1-Input'!$B$26,0,IF(G816&lt;=0,0,MAX(0,(G816-H816)/G816)))</f>
        <v>0.76894250087231053</v>
      </c>
      <c r="C817" s="18">
        <f>IF($A817&gt;'1-Input'!$B$26,0,(MAX(0,B781-IF($A817&gt;='1-Input'!$C$12,'1-Input'!$B$12,0))-MIN(MAX(F816,0),MAX(0,B781-IF($A817&gt;='1-Input'!$C$12,'1-Input'!$B$12,0))))*(1/(1-'P-Parametri'!$B$6*B817))+MIN(MAX(0,G816-(MAX(0,B781-IF($A817&gt;='1-Input'!$C$12,'1-Input'!$B$12,0))-MIN(MAX(F816,0),MAX(0,B781-IF($A817&gt;='1-Input'!$C$12,'1-Input'!$B$12,0))))*(1/(1-'P-Parametri'!$B$6*B817))),MAX(0,2*B781-(F816-MIN(MAX(F816,0),MAX(0,B781-IF($A817&gt;='1-Input'!$C$12,'1-Input'!$B$12,0)))))*(1/(1-'P-Parametri'!$B$6*B817))))</f>
        <v>7123.2812807183527</v>
      </c>
      <c r="D817" s="18">
        <f>IF($A817&gt;'1-Input'!$B$26,F816,(F816-MAX(0,B781-IF($A817&gt;='1-Input'!$C$12,'1-Input'!$B$12,0))+C817*(1-'P-Parametri'!$B$6*B817))*(1+'1-Input'!$B$27))</f>
        <v>33242.0070309863</v>
      </c>
      <c r="E817" s="18">
        <f>IF($A817&gt;'1-Input'!$B$26,G816,(G816-C817)*(1+$D$4))</f>
        <v>301022.44926901365</v>
      </c>
      <c r="F817" s="18">
        <f>IF($A817&gt;'1-Input'!$B$26,D817,D817-'P-Parametri'!$B$8*(E817+D817)+MIN(MAX(E817,0),'P-Parametri'!$B$8*(E817+D817)))</f>
        <v>33242.0070309863</v>
      </c>
      <c r="G817" s="18">
        <f>IF($A817&gt;'1-Input'!$B$26,E817,E817-MIN(MAX(E817,0),'P-Parametri'!$B$8*(E817+D817)))</f>
        <v>300353.92035641364</v>
      </c>
      <c r="H817" s="18">
        <f>IF($A817&gt;'1-Input'!$B$26,H816,H816-C817*(1-B817))</f>
        <v>66878.35991287505</v>
      </c>
      <c r="I817" s="11">
        <f>IF($A817&gt;'1-Input'!$B$26,0,IF(N816&lt;=0,0,MAX(0,(N816-O816)/N816)))</f>
        <v>0</v>
      </c>
      <c r="J817" s="18">
        <f>IF($A817&gt;'1-Input'!$B$26,0,(MAX(0,I781-IF($A817&gt;='1-Input'!$C$12,'1-Input'!$B$12,0))-MIN(MAX(M816,0),MAX(0,I781-IF($A817&gt;='1-Input'!$C$12,'1-Input'!$B$12,0))))*(1/(1-'P-Parametri'!$B$6*I817))+MIN(MAX(0,N816-(MAX(0,I781-IF($A817&gt;='1-Input'!$C$12,'1-Input'!$B$12,0))-MIN(MAX(M816,0),MAX(0,I781-IF($A817&gt;='1-Input'!$C$12,'1-Input'!$B$12,0))))*(1/(1-'P-Parametri'!$B$6*I817))),MAX(0,2*I781-(M816-MIN(MAX(M816,0),MAX(0,I781-IF($A817&gt;='1-Input'!$C$12,'1-Input'!$B$12,0)))))*(1/(1-'P-Parametri'!$B$6*I817))))</f>
        <v>10846.756992928691</v>
      </c>
      <c r="K817" s="18">
        <f>IF($A817&gt;'1-Input'!$B$26,M816,(M816-MAX(0,I781-IF($A817&gt;='1-Input'!$C$12,'1-Input'!$B$12,0))+J817*(1-'P-Parametri'!$B$6*I817))*(1+'1-Input'!$B$27))</f>
        <v>0</v>
      </c>
      <c r="L817" s="18">
        <f>IF($A817&gt;'1-Input'!$B$26,N816,(N816-J817)*(1+$D$4))</f>
        <v>-70173.214151749606</v>
      </c>
      <c r="M817" s="18">
        <f>IF($A817&gt;'1-Input'!$B$26,K817,K817-'P-Parametri'!$B$8*(L817+K817)+MIN(MAX(L817,0),'P-Parametri'!$B$8*(L817+K817)))</f>
        <v>0</v>
      </c>
      <c r="N817" s="18">
        <f>IF($A817&gt;'1-Input'!$B$26,L817,L817-MIN(MAX(L817,0),'P-Parametri'!$B$8*(L817+K817)))</f>
        <v>-70032.867723446107</v>
      </c>
      <c r="O817" s="18">
        <f>IF($A817&gt;'1-Input'!$B$26,O816,O816-J817*(1-I817))</f>
        <v>-61679.331686214384</v>
      </c>
      <c r="P817" s="11">
        <f>IF($A817&gt;'1-Input'!$B$26,0,IF(U816&lt;=0,0,MAX(0,(U816-V816)/U816)))</f>
        <v>0.76588749026156011</v>
      </c>
      <c r="Q817" s="18">
        <f>IF($A817&gt;'1-Input'!$B$26,0,(MAX(0,P781-IF($A817&gt;='1-Input'!$C$12,'1-Input'!$B$12,0))-MIN(MAX(T816,0),MAX(0,P781-IF($A817&gt;='1-Input'!$C$12,'1-Input'!$B$12,0))))*(1/(1-'P-Parametri'!$B$6*P817))+MIN(MAX(0,U816-(MAX(0,P781-IF($A817&gt;='1-Input'!$C$12,'1-Input'!$B$12,0))-MIN(MAX(T816,0),MAX(0,P781-IF($A817&gt;='1-Input'!$C$12,'1-Input'!$B$12,0))))*(1/(1-'P-Parametri'!$B$6*P817))),MAX(0,2*P781-(T816-MIN(MAX(T816,0),MAX(0,P781-IF($A817&gt;='1-Input'!$C$12,'1-Input'!$B$12,0)))))*(1/(1-'P-Parametri'!$B$6*P817))))</f>
        <v>11095.862271644766</v>
      </c>
      <c r="R817" s="18">
        <f>IF($A817&gt;'1-Input'!$B$26,T816,(T816-MAX(0,P781-IF($A817&gt;='1-Input'!$C$12,'1-Input'!$B$12,0))+Q817*(1-'P-Parametri'!$B$6*P817))*(1+'1-Input'!$B$27))</f>
        <v>39548.008177054842</v>
      </c>
      <c r="S817" s="18">
        <f>IF($A817&gt;'1-Input'!$B$26,U816,(U816-Q817)*(1+$D$4))</f>
        <v>22669.447364018579</v>
      </c>
      <c r="T817" s="18">
        <f>IF($A817&gt;'1-Input'!$B$26,R817,R817-'P-Parametri'!$B$8*(S817+R817)+MIN(MAX(S817,0),'P-Parametri'!$B$8*(S817+R817)))</f>
        <v>39548.008177054842</v>
      </c>
      <c r="U817" s="18">
        <f>IF($A817&gt;'1-Input'!$B$26,S817,S817-MIN(MAX(S817,0),'P-Parametri'!$B$8*(S817+R817)))</f>
        <v>22545.012452936433</v>
      </c>
      <c r="V817" s="18">
        <f>IF($A817&gt;'1-Input'!$B$26,V816,V816-Q817*(1-P817))</f>
        <v>5103.0780930517776</v>
      </c>
      <c r="W817" s="11">
        <f>IF($A817&gt;'1-Input'!$B$26,0,IF(AB816&lt;=0,0,MAX(0,(AB816-AC816)/AB816)))</f>
        <v>0.76707686089343552</v>
      </c>
      <c r="X817" s="18">
        <f>IF($A817&gt;'1-Input'!$B$26,0,(MAX(0,W781-IF($A817&gt;='1-Input'!$C$12,'1-Input'!$B$12,0))-MIN(MAX(AA816,0),MAX(0,W781-IF($A817&gt;='1-Input'!$C$12,'1-Input'!$B$12,0))))*(1/(1-'P-Parametri'!$B$6*W817))+MIN(MAX(0,AB816-(MAX(0,W781-IF($A817&gt;='1-Input'!$C$12,'1-Input'!$B$12,0))-MIN(MAX(AA816,0),MAX(0,W781-IF($A817&gt;='1-Input'!$C$12,'1-Input'!$B$12,0))))*(1/(1-'P-Parametri'!$B$6*W817))),MAX(0,2*W781-(AA816-MIN(MAX(AA816,0),MAX(0,W781-IF($A817&gt;='1-Input'!$C$12,'1-Input'!$B$12,0)))))*(1/(1-'P-Parametri'!$B$6*W817))))</f>
        <v>10559.548727612539</v>
      </c>
      <c r="Y817" s="18">
        <f>IF($A817&gt;'1-Input'!$B$26,AA816,(AA816-MAX(0,W781-IF($A817&gt;='1-Input'!$C$12,'1-Input'!$B$12,0))+X817*(1-'P-Parametri'!$B$6*W817))*(1+'1-Input'!$B$27))</f>
        <v>38691.724605045303</v>
      </c>
      <c r="Z817" s="18">
        <f>IF($A817&gt;'1-Input'!$B$26,AB816,(AB816-X817)*(1+$D$4))</f>
        <v>60445.738623445242</v>
      </c>
      <c r="AA817" s="18">
        <f>IF($A817&gt;'1-Input'!$B$26,Y817,Y817-'P-Parametri'!$B$8*(Z817+Y817)+MIN(MAX(Z817,0),'P-Parametri'!$B$8*(Z817+Y817)))</f>
        <v>38691.724605045303</v>
      </c>
      <c r="AB817" s="18">
        <f>IF($A817&gt;'1-Input'!$B$26,Z817,Z817-MIN(MAX(Z817,0),'P-Parametri'!$B$8*(Z817+Y817)))</f>
        <v>60247.463696988263</v>
      </c>
      <c r="AC817" s="18">
        <f>IF($A817&gt;'1-Input'!$B$26,AC816,AC816-X817*(1-W817))</f>
        <v>13537.703063257468</v>
      </c>
      <c r="AD817" s="11">
        <f>IF($A817&gt;'1-Input'!$B$26,0,IF(AI816&lt;=0,0,MAX(0,(AI816-AJ816)/AI816)))</f>
        <v>0.7671116468227045</v>
      </c>
      <c r="AE817" s="18">
        <f>IF($A817&gt;'1-Input'!$B$26,0,(MAX(0,AD781-IF($A817&gt;='1-Input'!$C$12,'1-Input'!$B$12,0))-MIN(MAX(AH816,0),MAX(0,AD781-IF($A817&gt;='1-Input'!$C$12,'1-Input'!$B$12,0))))*(1/(1-'P-Parametri'!$B$6*AD817))+MIN(MAX(0,AI816-(MAX(0,AD781-IF($A817&gt;='1-Input'!$C$12,'1-Input'!$B$12,0))-MIN(MAX(AH816,0),MAX(0,AD781-IF($A817&gt;='1-Input'!$C$12,'1-Input'!$B$12,0))))*(1/(1-'P-Parametri'!$B$6*AD817))),MAX(0,2*AD781-(AH816-MIN(MAX(AH816,0),MAX(0,AD781-IF($A817&gt;='1-Input'!$C$12,'1-Input'!$B$12,0)))))*(1/(1-'P-Parametri'!$B$6*AD817))))</f>
        <v>10535.015636978622</v>
      </c>
      <c r="AF817" s="18">
        <f>IF($A817&gt;'1-Input'!$B$26,AH816,(AH816-MAX(0,AD781-IF($A817&gt;='1-Input'!$C$12,'1-Input'!$B$12,0))+AE817*(1-'P-Parametri'!$B$6*AD817))*(1+'1-Input'!$B$27))</f>
        <v>38652.676856956641</v>
      </c>
      <c r="AG817" s="18">
        <f>IF($A817&gt;'1-Input'!$B$26,AI816,(AI816-AE817)*(1+$D$4))</f>
        <v>62168.738916111906</v>
      </c>
      <c r="AH817" s="18">
        <f>IF($A817&gt;'1-Input'!$B$26,AF817,AF817-'P-Parametri'!$B$8*(AG817+AF817)+MIN(MAX(AG817,0),'P-Parametri'!$B$8*(AG817+AF817)))</f>
        <v>38652.676856956641</v>
      </c>
      <c r="AI817" s="18">
        <f>IF($A817&gt;'1-Input'!$B$26,AG817,AG817-MIN(MAX(AG817,0),'P-Parametri'!$B$8*(AG817+AF817)))</f>
        <v>61967.096084565768</v>
      </c>
      <c r="AJ817" s="18">
        <f>IF($A817&gt;'1-Input'!$B$26,AJ816,AJ816-AE817*(1-AD817))</f>
        <v>13921.51463969476</v>
      </c>
      <c r="AK817" s="11">
        <f>IF($A817&gt;'1-Input'!$B$26,0,IF(AP816&lt;=0,0,MAX(0,(AP816-AQ816)/AP816)))</f>
        <v>0.7671112767300029</v>
      </c>
      <c r="AL817" s="18">
        <f>IF($A817&gt;'1-Input'!$B$26,0,(MAX(0,AK781-IF($A817&gt;='1-Input'!$C$12,'1-Input'!$B$12,0))-MIN(MAX(AO816,0),MAX(0,AK781-IF($A817&gt;='1-Input'!$C$12,'1-Input'!$B$12,0))))*(1/(1-'P-Parametri'!$B$6*AK817))+MIN(MAX(0,AP816-(MAX(0,AK781-IF($A817&gt;='1-Input'!$C$12,'1-Input'!$B$12,0))-MIN(MAX(AO816,0),MAX(0,AK781-IF($A817&gt;='1-Input'!$C$12,'1-Input'!$B$12,0))))*(1/(1-'P-Parametri'!$B$6*AK817))),MAX(0,2*AK781-(AO816-MIN(MAX(AO816,0),MAX(0,AK781-IF($A817&gt;='1-Input'!$C$12,'1-Input'!$B$12,0)))))*(1/(1-'P-Parametri'!$B$6*AK817))))</f>
        <v>10535.28037251185</v>
      </c>
      <c r="AM817" s="18">
        <f>IF($A817&gt;'1-Input'!$B$26,AO816,(AO816-MAX(0,AK781-IF($A817&gt;='1-Input'!$C$12,'1-Input'!$B$12,0))+AL817*(1-'P-Parametri'!$B$6*AK817))*(1+'1-Input'!$B$27))</f>
        <v>38653.098186232593</v>
      </c>
      <c r="AN817" s="18">
        <f>IF($A817&gt;'1-Input'!$B$26,AP816,(AP816-AL817)*(1+$D$4))</f>
        <v>62150.147443426504</v>
      </c>
      <c r="AO817" s="18">
        <f>IF($A817&gt;'1-Input'!$B$26,AM817,AM817-'P-Parametri'!$B$8*(AN817+AM817)+MIN(MAX(AN817,0),'P-Parametri'!$B$8*(AN817+AM817)))</f>
        <v>38653.098186232593</v>
      </c>
      <c r="AP817" s="18">
        <f>IF($A817&gt;'1-Input'!$B$26,AN817,AN817-MIN(MAX(AN817,0),'P-Parametri'!$B$8*(AN817+AM817)))</f>
        <v>61948.540952167183</v>
      </c>
      <c r="AQ817" s="18">
        <f>IF($A817&gt;'1-Input'!$B$26,AQ816,AQ816-AL817*(1-AK817))</f>
        <v>13917.373547251609</v>
      </c>
    </row>
    <row r="818" spans="1:43">
      <c r="A818" s="10">
        <f>35</f>
        <v>35</v>
      </c>
      <c r="B818" s="11">
        <f>IF($A818&gt;'1-Input'!$B$26,0,IF(G817&lt;=0,0,MAX(0,(G817-H817)/G817)))</f>
        <v>0.77733481942398441</v>
      </c>
      <c r="C818" s="18">
        <f>IF($A818&gt;'1-Input'!$B$26,0,(MAX(0,B781-IF($A818&gt;='1-Input'!$C$12,'1-Input'!$B$12,0))-MIN(MAX(F817,0),MAX(0,B781-IF($A818&gt;='1-Input'!$C$12,'1-Input'!$B$12,0))))*(1/(1-'P-Parametri'!$B$6*B818))+MIN(MAX(0,G817-(MAX(0,B781-IF($A818&gt;='1-Input'!$C$12,'1-Input'!$B$12,0))-MIN(MAX(F817,0),MAX(0,B781-IF($A818&gt;='1-Input'!$C$12,'1-Input'!$B$12,0))))*(1/(1-'P-Parametri'!$B$6*B818))),MAX(0,2*B781-(F817-MIN(MAX(F817,0),MAX(0,B781-IF($A818&gt;='1-Input'!$C$12,'1-Input'!$B$12,0)))))*(1/(1-'P-Parametri'!$B$6*B818))))</f>
        <v>7142.7613625088616</v>
      </c>
      <c r="D818" s="18">
        <f>IF($A818&gt;'1-Input'!$B$26,F817,(F817-MAX(0,B781-IF($A818&gt;='1-Input'!$C$12,'1-Input'!$B$12,0))+C818*(1-'P-Parametri'!$B$6*B818))*(1+'1-Input'!$B$27))</f>
        <v>33242.0070309863</v>
      </c>
      <c r="E818" s="18">
        <f>IF($A818&gt;'1-Input'!$B$26,G817,(G817-C818)*(1+$D$4))</f>
        <v>304939.605353661</v>
      </c>
      <c r="F818" s="18">
        <f>IF($A818&gt;'1-Input'!$B$26,D818,D818-'P-Parametri'!$B$8*(E818+D818)+MIN(MAX(E818,0),'P-Parametri'!$B$8*(E818+D818)))</f>
        <v>33242.0070309863</v>
      </c>
      <c r="G818" s="18">
        <f>IF($A818&gt;'1-Input'!$B$26,E818,E818-MIN(MAX(E818,0),'P-Parametri'!$B$8*(E818+D818)))</f>
        <v>304263.2421288917</v>
      </c>
      <c r="H818" s="18">
        <f>IF($A818&gt;'1-Input'!$B$26,H817,H817-C818*(1-B818))</f>
        <v>65287.915664280627</v>
      </c>
      <c r="I818" s="11">
        <f>IF($A818&gt;'1-Input'!$B$26,0,IF(N817&lt;=0,0,MAX(0,(N817-O817)/N817)))</f>
        <v>0</v>
      </c>
      <c r="J818" s="18">
        <f>IF($A818&gt;'1-Input'!$B$26,0,(MAX(0,I781-IF($A818&gt;='1-Input'!$C$12,'1-Input'!$B$12,0))-MIN(MAX(M817,0),MAX(0,I781-IF($A818&gt;='1-Input'!$C$12,'1-Input'!$B$12,0))))*(1/(1-'P-Parametri'!$B$6*I818))+MIN(MAX(0,N817-(MAX(0,I781-IF($A818&gt;='1-Input'!$C$12,'1-Input'!$B$12,0))-MIN(MAX(M817,0),MAX(0,I781-IF($A818&gt;='1-Input'!$C$12,'1-Input'!$B$12,0))))*(1/(1-'P-Parametri'!$B$6*I818))),MAX(0,2*I781-(M817-MIN(MAX(M817,0),MAX(0,I781-IF($A818&gt;='1-Input'!$C$12,'1-Input'!$B$12,0)))))*(1/(1-'P-Parametri'!$B$6*I818))))</f>
        <v>10846.756992928691</v>
      </c>
      <c r="K818" s="18">
        <f>IF($A818&gt;'1-Input'!$B$26,M817,(M817-MAX(0,I781-IF($A818&gt;='1-Input'!$C$12,'1-Input'!$B$12,0))+J818*(1-'P-Parametri'!$B$6*I818))*(1+'1-Input'!$B$27))</f>
        <v>0</v>
      </c>
      <c r="L818" s="18">
        <f>IF($A818&gt;'1-Input'!$B$26,N817,(N817-J818)*(1+$D$4))</f>
        <v>-84114.80970502978</v>
      </c>
      <c r="M818" s="18">
        <f>IF($A818&gt;'1-Input'!$B$26,K818,K818-'P-Parametri'!$B$8*(L818+K818)+MIN(MAX(L818,0),'P-Parametri'!$B$8*(L818+K818)))</f>
        <v>0</v>
      </c>
      <c r="N818" s="18">
        <f>IF($A818&gt;'1-Input'!$B$26,L818,L818-MIN(MAX(L818,0),'P-Parametri'!$B$8*(L818+K818)))</f>
        <v>-83946.580085619717</v>
      </c>
      <c r="O818" s="18">
        <f>IF($A818&gt;'1-Input'!$B$26,O817,O817-J818*(1-I818))</f>
        <v>-72526.088679143082</v>
      </c>
      <c r="P818" s="11">
        <f>IF($A818&gt;'1-Input'!$B$26,0,IF(U817&lt;=0,0,MAX(0,(U817-V817)/U817)))</f>
        <v>0.77364935576306959</v>
      </c>
      <c r="Q818" s="18">
        <f>IF($A818&gt;'1-Input'!$B$26,0,(MAX(0,P781-IF($A818&gt;='1-Input'!$C$12,'1-Input'!$B$12,0))-MIN(MAX(T817,0),MAX(0,P781-IF($A818&gt;='1-Input'!$C$12,'1-Input'!$B$12,0))))*(1/(1-'P-Parametri'!$B$6*P818))+MIN(MAX(0,U817-(MAX(0,P781-IF($A818&gt;='1-Input'!$C$12,'1-Input'!$B$12,0))-MIN(MAX(T817,0),MAX(0,P781-IF($A818&gt;='1-Input'!$C$12,'1-Input'!$B$12,0))))*(1/(1-'P-Parametri'!$B$6*P818))),MAX(0,2*P781-(T817-MIN(MAX(T817,0),MAX(0,P781-IF($A818&gt;='1-Input'!$C$12,'1-Input'!$B$12,0)))))*(1/(1-'P-Parametri'!$B$6*P818))))</f>
        <v>11123.893016870734</v>
      </c>
      <c r="R818" s="18">
        <f>IF($A818&gt;'1-Input'!$B$26,T817,(T817-MAX(0,P781-IF($A818&gt;='1-Input'!$C$12,'1-Input'!$B$12,0))+Q818*(1-'P-Parametri'!$B$6*P818))*(1+'1-Input'!$B$27))</f>
        <v>39548.008177054842</v>
      </c>
      <c r="S818" s="18">
        <f>IF($A818&gt;'1-Input'!$B$26,U817,(U817-Q818)*(1+$D$4))</f>
        <v>11877.964213508327</v>
      </c>
      <c r="T818" s="18">
        <f>IF($A818&gt;'1-Input'!$B$26,R818,R818-'P-Parametri'!$B$8*(S818+R818)+MIN(MAX(S818,0),'P-Parametri'!$B$8*(S818+R818)))</f>
        <v>39548.008177054842</v>
      </c>
      <c r="U818" s="18">
        <f>IF($A818&gt;'1-Input'!$B$26,S818,S818-MIN(MAX(S818,0),'P-Parametri'!$B$8*(S818+R818)))</f>
        <v>11775.1122687272</v>
      </c>
      <c r="V818" s="18">
        <f>IF($A818&gt;'1-Input'!$B$26,V817,V817-Q818*(1-P818))</f>
        <v>2585.1777422603955</v>
      </c>
      <c r="W818" s="11">
        <f>IF($A818&gt;'1-Input'!$B$26,0,IF(AB817&lt;=0,0,MAX(0,(AB817-AC817)/AB817)))</f>
        <v>0.77529837386442191</v>
      </c>
      <c r="X818" s="18">
        <f>IF($A818&gt;'1-Input'!$B$26,0,(MAX(0,W781-IF($A818&gt;='1-Input'!$C$12,'1-Input'!$B$12,0))-MIN(MAX(AA817,0),MAX(0,W781-IF($A818&gt;='1-Input'!$C$12,'1-Input'!$B$12,0))))*(1/(1-'P-Parametri'!$B$6*W818))+MIN(MAX(0,AB817-(MAX(0,W781-IF($A818&gt;='1-Input'!$C$12,'1-Input'!$B$12,0))-MIN(MAX(AA817,0),MAX(0,W781-IF($A818&gt;='1-Input'!$C$12,'1-Input'!$B$12,0))))*(1/(1-'P-Parametri'!$B$6*W818))),MAX(0,2*W781-(AA817-MIN(MAX(AA817,0),MAX(0,W781-IF($A818&gt;='1-Input'!$C$12,'1-Input'!$B$12,0)))))*(1/(1-'P-Parametri'!$B$6*W818))))</f>
        <v>10587.819503497378</v>
      </c>
      <c r="Y818" s="18">
        <f>IF($A818&gt;'1-Input'!$B$26,AA817,(AA817-MAX(0,W781-IF($A818&gt;='1-Input'!$C$12,'1-Input'!$B$12,0))+X818*(1-'P-Parametri'!$B$6*W818))*(1+'1-Input'!$B$27))</f>
        <v>38691.724605045303</v>
      </c>
      <c r="Z818" s="18">
        <f>IF($A818&gt;'1-Input'!$B$26,AB817,(AB817-X818)*(1+$D$4))</f>
        <v>51646.029961230524</v>
      </c>
      <c r="AA818" s="18">
        <f>IF($A818&gt;'1-Input'!$B$26,Y818,Y818-'P-Parametri'!$B$8*(Z818+Y818)+MIN(MAX(Z818,0),'P-Parametri'!$B$8*(Z818+Y818)))</f>
        <v>38691.724605045303</v>
      </c>
      <c r="AB818" s="18">
        <f>IF($A818&gt;'1-Input'!$B$26,Z818,Z818-MIN(MAX(Z818,0),'P-Parametri'!$B$8*(Z818+Y818)))</f>
        <v>51465.35445209797</v>
      </c>
      <c r="AC818" s="18">
        <f>IF($A818&gt;'1-Input'!$B$26,AC817,AC817-X818*(1-W818))</f>
        <v>11158.602803591617</v>
      </c>
      <c r="AD818" s="11">
        <f>IF($A818&gt;'1-Input'!$B$26,0,IF(AI817&lt;=0,0,MAX(0,(AI817-AJ817)/AI817)))</f>
        <v>0.77534021247830898</v>
      </c>
      <c r="AE818" s="18">
        <f>IF($A818&gt;'1-Input'!$B$26,0,(MAX(0,AD781-IF($A818&gt;='1-Input'!$C$12,'1-Input'!$B$12,0))-MIN(MAX(AH817,0),MAX(0,AD781-IF($A818&gt;='1-Input'!$C$12,'1-Input'!$B$12,0))))*(1/(1-'P-Parametri'!$B$6*AD818))+MIN(MAX(0,AI817-(MAX(0,AD781-IF($A818&gt;='1-Input'!$C$12,'1-Input'!$B$12,0))-MIN(MAX(AH817,0),MAX(0,AD781-IF($A818&gt;='1-Input'!$C$12,'1-Input'!$B$12,0))))*(1/(1-'P-Parametri'!$B$6*AD818))),MAX(0,2*AD781-(AH817-MIN(MAX(AH817,0),MAX(0,AD781-IF($A818&gt;='1-Input'!$C$12,'1-Input'!$B$12,0)))))*(1/(1-'P-Parametri'!$B$6*AD818))))</f>
        <v>10563.245310997601</v>
      </c>
      <c r="AF818" s="18">
        <f>IF($A818&gt;'1-Input'!$B$26,AH817,(AH817-MAX(0,AD781-IF($A818&gt;='1-Input'!$C$12,'1-Input'!$B$12,0))+AE818*(1-'P-Parametri'!$B$6*AD818))*(1+'1-Input'!$B$27))</f>
        <v>38652.676856956641</v>
      </c>
      <c r="AG818" s="18">
        <f>IF($A818&gt;'1-Input'!$B$26,AI817,(AI817-AE818)*(1+$D$4))</f>
        <v>53460.004804510892</v>
      </c>
      <c r="AH818" s="18">
        <f>IF($A818&gt;'1-Input'!$B$26,AF818,AF818-'P-Parametri'!$B$8*(AG818+AF818)+MIN(MAX(AG818,0),'P-Parametri'!$B$8*(AG818+AF818)))</f>
        <v>38652.676856956641</v>
      </c>
      <c r="AI818" s="18">
        <f>IF($A818&gt;'1-Input'!$B$26,AG818,AG818-MIN(MAX(AG818,0),'P-Parametri'!$B$8*(AG818+AF818)))</f>
        <v>53275.779441187959</v>
      </c>
      <c r="AJ818" s="18">
        <f>IF($A818&gt;'1-Input'!$B$26,AJ817,AJ817-AE818*(1-AD818))</f>
        <v>11548.378192586541</v>
      </c>
      <c r="AK818" s="11">
        <f>IF($A818&gt;'1-Input'!$B$26,0,IF(AP817&lt;=0,0,MAX(0,(AP817-AQ817)/AP817)))</f>
        <v>0.77533976856698295</v>
      </c>
      <c r="AL818" s="18">
        <f>IF($A818&gt;'1-Input'!$B$26,0,(MAX(0,AK781-IF($A818&gt;='1-Input'!$C$12,'1-Input'!$B$12,0))-MIN(MAX(AO817,0),MAX(0,AK781-IF($A818&gt;='1-Input'!$C$12,'1-Input'!$B$12,0))))*(1/(1-'P-Parametri'!$B$6*AK818))+MIN(MAX(0,AP817-(MAX(0,AK781-IF($A818&gt;='1-Input'!$C$12,'1-Input'!$B$12,0))-MIN(MAX(AO817,0),MAX(0,AK781-IF($A818&gt;='1-Input'!$C$12,'1-Input'!$B$12,0))))*(1/(1-'P-Parametri'!$B$6*AK818))),MAX(0,2*AK781-(AO817-MIN(MAX(AO817,0),MAX(0,AK781-IF($A818&gt;='1-Input'!$C$12,'1-Input'!$B$12,0)))))*(1/(1-'P-Parametri'!$B$6*AK818))))</f>
        <v>10563.510498581103</v>
      </c>
      <c r="AM818" s="18">
        <f>IF($A818&gt;'1-Input'!$B$26,AO817,(AO817-MAX(0,AK781-IF($A818&gt;='1-Input'!$C$12,'1-Input'!$B$12,0))+AL818*(1-'P-Parametri'!$B$6*AK818))*(1+'1-Input'!$B$27))</f>
        <v>38653.098186232593</v>
      </c>
      <c r="AN818" s="18">
        <f>IF($A818&gt;'1-Input'!$B$26,AP817,(AP817-AL818)*(1+$D$4))</f>
        <v>53440.431671729522</v>
      </c>
      <c r="AO818" s="18">
        <f>IF($A818&gt;'1-Input'!$B$26,AM818,AM818-'P-Parametri'!$B$8*(AN818+AM818)+MIN(MAX(AN818,0),'P-Parametri'!$B$8*(AN818+AM818)))</f>
        <v>38653.098186232593</v>
      </c>
      <c r="AP818" s="18">
        <f>IF($A818&gt;'1-Input'!$B$26,AN818,AN818-MIN(MAX(AN818,0),'P-Parametri'!$B$8*(AN818+AM818)))</f>
        <v>53256.244612013601</v>
      </c>
      <c r="AQ818" s="18">
        <f>IF($A818&gt;'1-Input'!$B$26,AQ817,AQ817-AL818*(1-AK818))</f>
        <v>11544.172833895273</v>
      </c>
    </row>
    <row r="819" spans="1:43">
      <c r="A819" s="10">
        <f>36</f>
        <v>36</v>
      </c>
      <c r="B819" s="11">
        <f>IF($A819&gt;'1-Input'!$B$26,0,IF(G818&lt;=0,0,MAX(0,(G818-H818)/G818)))</f>
        <v>0.78542292783226364</v>
      </c>
      <c r="C819" s="18">
        <f>IF($A819&gt;'1-Input'!$B$26,0,(MAX(0,B781-IF($A819&gt;='1-Input'!$C$12,'1-Input'!$B$12,0))-MIN(MAX(F818,0),MAX(0,B781-IF($A819&gt;='1-Input'!$C$12,'1-Input'!$B$12,0))))*(1/(1-'P-Parametri'!$B$6*B819))+MIN(MAX(0,G818-(MAX(0,B781-IF($A819&gt;='1-Input'!$C$12,'1-Input'!$B$12,0))-MIN(MAX(F818,0),MAX(0,B781-IF($A819&gt;='1-Input'!$C$12,'1-Input'!$B$12,0))))*(1/(1-'P-Parametri'!$B$6*B819))),MAX(0,2*B781-(F818-MIN(MAX(F818,0),MAX(0,B781-IF($A819&gt;='1-Input'!$C$12,'1-Input'!$B$12,0)))))*(1/(1-'P-Parametri'!$B$6*B819))))</f>
        <v>7161.6364056851889</v>
      </c>
      <c r="D819" s="18">
        <f>IF($A819&gt;'1-Input'!$B$26,F818,(F818-MAX(0,B781-IF($A819&gt;='1-Input'!$C$12,'1-Input'!$B$12,0))+C819*(1-'P-Parametri'!$B$6*B819))*(1+'1-Input'!$B$27))</f>
        <v>33242.0070309863</v>
      </c>
      <c r="E819" s="18">
        <f>IF($A819&gt;'1-Input'!$B$26,G818,(G818-C819)*(1+$D$4))</f>
        <v>308985.66995213483</v>
      </c>
      <c r="F819" s="18">
        <f>IF($A819&gt;'1-Input'!$B$26,D819,D819-'P-Parametri'!$B$8*(E819+D819)+MIN(MAX(E819,0),'P-Parametri'!$B$8*(E819+D819)))</f>
        <v>33242.0070309863</v>
      </c>
      <c r="G819" s="18">
        <f>IF($A819&gt;'1-Input'!$B$26,E819,E819-MIN(MAX(E819,0),'P-Parametri'!$B$8*(E819+D819)))</f>
        <v>308301.21459816862</v>
      </c>
      <c r="H819" s="18">
        <f>IF($A819&gt;'1-Input'!$B$26,H818,H818-C819*(1-B819))</f>
        <v>63751.19269241883</v>
      </c>
      <c r="I819" s="11">
        <f>IF($A819&gt;'1-Input'!$B$26,0,IF(N818&lt;=0,0,MAX(0,(N818-O818)/N818)))</f>
        <v>0</v>
      </c>
      <c r="J819" s="18">
        <f>IF($A819&gt;'1-Input'!$B$26,0,(MAX(0,I781-IF($A819&gt;='1-Input'!$C$12,'1-Input'!$B$12,0))-MIN(MAX(M818,0),MAX(0,I781-IF($A819&gt;='1-Input'!$C$12,'1-Input'!$B$12,0))))*(1/(1-'P-Parametri'!$B$6*I819))+MIN(MAX(0,N818-(MAX(0,I781-IF($A819&gt;='1-Input'!$C$12,'1-Input'!$B$12,0))-MIN(MAX(M818,0),MAX(0,I781-IF($A819&gt;='1-Input'!$C$12,'1-Input'!$B$12,0))))*(1/(1-'P-Parametri'!$B$6*I819))),MAX(0,2*I781-(M818-MIN(MAX(M818,0),MAX(0,I781-IF($A819&gt;='1-Input'!$C$12,'1-Input'!$B$12,0)))))*(1/(1-'P-Parametri'!$B$6*I819))))</f>
        <v>10846.756992928691</v>
      </c>
      <c r="K819" s="18">
        <f>IF($A819&gt;'1-Input'!$B$26,M818,(M818-MAX(0,I781-IF($A819&gt;='1-Input'!$C$12,'1-Input'!$B$12,0))+J819*(1-'P-Parametri'!$B$6*I819))*(1+'1-Input'!$B$27))</f>
        <v>0</v>
      </c>
      <c r="L819" s="18">
        <f>IF($A819&gt;'1-Input'!$B$26,N818,(N818-J819)*(1+$D$4))</f>
        <v>-98585.070561690358</v>
      </c>
      <c r="M819" s="18">
        <f>IF($A819&gt;'1-Input'!$B$26,K819,K819-'P-Parametri'!$B$8*(L819+K819)+MIN(MAX(L819,0),'P-Parametri'!$B$8*(L819+K819)))</f>
        <v>0</v>
      </c>
      <c r="N819" s="18">
        <f>IF($A819&gt;'1-Input'!$B$26,L819,L819-MIN(MAX(L819,0),'P-Parametri'!$B$8*(L819+K819)))</f>
        <v>-98387.900420566977</v>
      </c>
      <c r="O819" s="18">
        <f>IF($A819&gt;'1-Input'!$B$26,O818,O818-J819*(1-I819))</f>
        <v>-83372.845672071766</v>
      </c>
      <c r="P819" s="11">
        <f>IF($A819&gt;'1-Input'!$B$26,0,IF(U818&lt;=0,0,MAX(0,(U818-V818)/U818)))</f>
        <v>0.7804540896712967</v>
      </c>
      <c r="Q819" s="18">
        <f>IF($A819&gt;'1-Input'!$B$26,0,(MAX(0,P781-IF($A819&gt;='1-Input'!$C$12,'1-Input'!$B$12,0))-MIN(MAX(T818,0),MAX(0,P781-IF($A819&gt;='1-Input'!$C$12,'1-Input'!$B$12,0))))*(1/(1-'P-Parametri'!$B$6*P819))+MIN(MAX(0,U818-(MAX(0,P781-IF($A819&gt;='1-Input'!$C$12,'1-Input'!$B$12,0))-MIN(MAX(T818,0),MAX(0,P781-IF($A819&gt;='1-Input'!$C$12,'1-Input'!$B$12,0))))*(1/(1-'P-Parametri'!$B$6*P819))),MAX(0,2*P781-(T818-MIN(MAX(T818,0),MAX(0,P781-IF($A819&gt;='1-Input'!$C$12,'1-Input'!$B$12,0)))))*(1/(1-'P-Parametri'!$B$6*P819))))</f>
        <v>11148.583997076255</v>
      </c>
      <c r="R819" s="18">
        <f>IF($A819&gt;'1-Input'!$B$26,T818,(T818-MAX(0,P781-IF($A819&gt;='1-Input'!$C$12,'1-Input'!$B$12,0))+Q819*(1-'P-Parametri'!$B$6*P819))*(1+'1-Input'!$B$27))</f>
        <v>39548.008177054842</v>
      </c>
      <c r="S819" s="18">
        <f>IF($A819&gt;'1-Input'!$B$26,U818,(U818-Q819)*(1+$D$4))</f>
        <v>651.58940251698243</v>
      </c>
      <c r="T819" s="18">
        <f>IF($A819&gt;'1-Input'!$B$26,R819,R819-'P-Parametri'!$B$8*(S819+R819)+MIN(MAX(S819,0),'P-Parametri'!$B$8*(S819+R819)))</f>
        <v>39548.008177054842</v>
      </c>
      <c r="U819" s="18">
        <f>IF($A819&gt;'1-Input'!$B$26,S819,S819-MIN(MAX(S819,0),'P-Parametri'!$B$8*(S819+R819)))</f>
        <v>571.19020735783874</v>
      </c>
      <c r="V819" s="18">
        <f>IF($A819&gt;'1-Input'!$B$26,V818,V818-Q819*(1-P819))</f>
        <v>137.55171974627547</v>
      </c>
      <c r="W819" s="11">
        <f>IF($A819&gt;'1-Input'!$B$26,0,IF(AB818&lt;=0,0,MAX(0,(AB818-AC818)/AB818)))</f>
        <v>0.7831822412886007</v>
      </c>
      <c r="X819" s="18">
        <f>IF($A819&gt;'1-Input'!$B$26,0,(MAX(0,W781-IF($A819&gt;='1-Input'!$C$12,'1-Input'!$B$12,0))-MIN(MAX(AA818,0),MAX(0,W781-IF($A819&gt;='1-Input'!$C$12,'1-Input'!$B$12,0))))*(1/(1-'P-Parametri'!$B$6*W819))+MIN(MAX(0,AB818-(MAX(0,W781-IF($A819&gt;='1-Input'!$C$12,'1-Input'!$B$12,0))-MIN(MAX(AA818,0),MAX(0,W781-IF($A819&gt;='1-Input'!$C$12,'1-Input'!$B$12,0))))*(1/(1-'P-Parametri'!$B$6*W819))),MAX(0,2*W781-(AA818-MIN(MAX(AA818,0),MAX(0,W781-IF($A819&gt;='1-Input'!$C$12,'1-Input'!$B$12,0)))))*(1/(1-'P-Parametri'!$B$6*W819))))</f>
        <v>10615.071785282857</v>
      </c>
      <c r="Y819" s="18">
        <f>IF($A819&gt;'1-Input'!$B$26,AA818,(AA818-MAX(0,W781-IF($A819&gt;='1-Input'!$C$12,'1-Input'!$B$12,0))+X819*(1-'P-Parametri'!$B$6*W819))*(1+'1-Input'!$B$27))</f>
        <v>38691.724605045303</v>
      </c>
      <c r="Z819" s="18">
        <f>IF($A819&gt;'1-Input'!$B$26,AB818,(AB818-X819)*(1+$D$4))</f>
        <v>42484.293973487715</v>
      </c>
      <c r="AA819" s="18">
        <f>IF($A819&gt;'1-Input'!$B$26,Y819,Y819-'P-Parametri'!$B$8*(Z819+Y819)+MIN(MAX(Z819,0),'P-Parametri'!$B$8*(Z819+Y819)))</f>
        <v>38691.724605045303</v>
      </c>
      <c r="AB819" s="18">
        <f>IF($A819&gt;'1-Input'!$B$26,Z819,Z819-MIN(MAX(Z819,0),'P-Parametri'!$B$8*(Z819+Y819)))</f>
        <v>42321.941936330652</v>
      </c>
      <c r="AC819" s="18">
        <f>IF($A819&gt;'1-Input'!$B$26,AC818,AC818-X819*(1-W819))</f>
        <v>8857.0667305459756</v>
      </c>
      <c r="AD819" s="11">
        <f>IF($A819&gt;'1-Input'!$B$26,0,IF(AI818&lt;=0,0,MAX(0,(AI818-AJ818)/AI818)))</f>
        <v>0.78323398899616303</v>
      </c>
      <c r="AE819" s="18">
        <f>IF($A819&gt;'1-Input'!$B$26,0,(MAX(0,AD781-IF($A819&gt;='1-Input'!$C$12,'1-Input'!$B$12,0))-MIN(MAX(AH818,0),MAX(0,AD781-IF($A819&gt;='1-Input'!$C$12,'1-Input'!$B$12,0))))*(1/(1-'P-Parametri'!$B$6*AD819))+MIN(MAX(0,AI818-(MAX(0,AD781-IF($A819&gt;='1-Input'!$C$12,'1-Input'!$B$12,0))-MIN(MAX(AH818,0),MAX(0,AD781-IF($A819&gt;='1-Input'!$C$12,'1-Input'!$B$12,0))))*(1/(1-'P-Parametri'!$B$6*AD819))),MAX(0,2*AD781-(AH818-MIN(MAX(AH818,0),MAX(0,AD781-IF($A819&gt;='1-Input'!$C$12,'1-Input'!$B$12,0)))))*(1/(1-'P-Parametri'!$B$6*AD819))))</f>
        <v>10590.468973932637</v>
      </c>
      <c r="AF819" s="18">
        <f>IF($A819&gt;'1-Input'!$B$26,AH818,(AH818-MAX(0,AD781-IF($A819&gt;='1-Input'!$C$12,'1-Input'!$B$12,0))+AE819*(1-'P-Parametri'!$B$6*AD819))*(1+'1-Input'!$B$27))</f>
        <v>38652.676856956641</v>
      </c>
      <c r="AG819" s="18">
        <f>IF($A819&gt;'1-Input'!$B$26,AI818,(AI818-AE819)*(1+$D$4))</f>
        <v>44392.722885945535</v>
      </c>
      <c r="AH819" s="18">
        <f>IF($A819&gt;'1-Input'!$B$26,AF819,AF819-'P-Parametri'!$B$8*(AG819+AF819)+MIN(MAX(AG819,0),'P-Parametri'!$B$8*(AG819+AF819)))</f>
        <v>38652.676856956641</v>
      </c>
      <c r="AI819" s="18">
        <f>IF($A819&gt;'1-Input'!$B$26,AG819,AG819-MIN(MAX(AG819,0),'P-Parametri'!$B$8*(AG819+AF819)))</f>
        <v>44226.632086459729</v>
      </c>
      <c r="AJ819" s="18">
        <f>IF($A819&gt;'1-Input'!$B$26,AJ818,AJ818-AE819*(1-AD819))</f>
        <v>9252.7244784472641</v>
      </c>
      <c r="AK819" s="11">
        <f>IF($A819&gt;'1-Input'!$B$26,0,IF(AP818&lt;=0,0,MAX(0,(AP818-AQ818)/AP818)))</f>
        <v>0.78323344204989009</v>
      </c>
      <c r="AL819" s="18">
        <f>IF($A819&gt;'1-Input'!$B$26,0,(MAX(0,AK781-IF($A819&gt;='1-Input'!$C$12,'1-Input'!$B$12,0))-MIN(MAX(AO818,0),MAX(0,AK781-IF($A819&gt;='1-Input'!$C$12,'1-Input'!$B$12,0))))*(1/(1-'P-Parametri'!$B$6*AK819))+MIN(MAX(0,AP818-(MAX(0,AK781-IF($A819&gt;='1-Input'!$C$12,'1-Input'!$B$12,0))-MIN(MAX(AO818,0),MAX(0,AK781-IF($A819&gt;='1-Input'!$C$12,'1-Input'!$B$12,0))))*(1/(1-'P-Parametri'!$B$6*AK819))),MAX(0,2*AK781-(AO818-MIN(MAX(AO818,0),MAX(0,AK781-IF($A819&gt;='1-Input'!$C$12,'1-Input'!$B$12,0)))))*(1/(1-'P-Parametri'!$B$6*AK819))))</f>
        <v>10590.73448474716</v>
      </c>
      <c r="AM819" s="18">
        <f>IF($A819&gt;'1-Input'!$B$26,AO818,(AO818-MAX(0,AK781-IF($A819&gt;='1-Input'!$C$12,'1-Input'!$B$12,0))+AL819*(1-'P-Parametri'!$B$6*AK819))*(1+'1-Input'!$B$27))</f>
        <v>38653.098186232593</v>
      </c>
      <c r="AN819" s="18">
        <f>IF($A819&gt;'1-Input'!$B$26,AP818,(AP818-AL819)*(1+$D$4))</f>
        <v>44372.1305323571</v>
      </c>
      <c r="AO819" s="18">
        <f>IF($A819&gt;'1-Input'!$B$26,AM819,AM819-'P-Parametri'!$B$8*(AN819+AM819)+MIN(MAX(AN819,0),'P-Parametri'!$B$8*(AN819+AM819)))</f>
        <v>38653.098186232593</v>
      </c>
      <c r="AP819" s="18">
        <f>IF($A819&gt;'1-Input'!$B$26,AN819,AN819-MIN(MAX(AN819,0),'P-Parametri'!$B$8*(AN819+AM819)))</f>
        <v>44206.080074919919</v>
      </c>
      <c r="AQ819" s="18">
        <f>IF($A819&gt;'1-Input'!$B$26,AQ818,AQ818-AL819*(1-AK819))</f>
        <v>9248.4557734731006</v>
      </c>
    </row>
    <row r="820" spans="1:43">
      <c r="A820" s="10">
        <f>37</f>
        <v>37</v>
      </c>
      <c r="B820" s="11">
        <f>IF($A820&gt;'1-Input'!$B$26,0,IF(G819&lt;=0,0,MAX(0,(G819-H819)/G819)))</f>
        <v>0.79321783478696195</v>
      </c>
      <c r="C820" s="18">
        <f>IF($A820&gt;'1-Input'!$B$26,0,(MAX(0,B781-IF($A820&gt;='1-Input'!$C$12,'1-Input'!$B$12,0))-MIN(MAX(F819,0),MAX(0,B781-IF($A820&gt;='1-Input'!$C$12,'1-Input'!$B$12,0))))*(1/(1-'P-Parametri'!$B$6*B820))+MIN(MAX(0,G819-(MAX(0,B781-IF($A820&gt;='1-Input'!$C$12,'1-Input'!$B$12,0))-MIN(MAX(F819,0),MAX(0,B781-IF($A820&gt;='1-Input'!$C$12,'1-Input'!$B$12,0))))*(1/(1-'P-Parametri'!$B$6*B820))),MAX(0,2*B781-(F819-MIN(MAX(F819,0),MAX(0,B781-IF($A820&gt;='1-Input'!$C$12,'1-Input'!$B$12,0)))))*(1/(1-'P-Parametri'!$B$6*B820))))</f>
        <v>7179.9218493426552</v>
      </c>
      <c r="D820" s="18">
        <f>IF($A820&gt;'1-Input'!$B$26,F819,(F819-MAX(0,B781-IF($A820&gt;='1-Input'!$C$12,'1-Input'!$B$12,0))+C820*(1-'P-Parametri'!$B$6*B820))*(1+'1-Input'!$B$27))</f>
        <v>33242.0070309863</v>
      </c>
      <c r="E820" s="18">
        <f>IF($A820&gt;'1-Input'!$B$26,G819,(G819-C820)*(1+$D$4))</f>
        <v>313166.14445877902</v>
      </c>
      <c r="F820" s="18">
        <f>IF($A820&gt;'1-Input'!$B$26,D820,D820-'P-Parametri'!$B$8*(E820+D820)+MIN(MAX(E820,0),'P-Parametri'!$B$8*(E820+D820)))</f>
        <v>33242.0070309863</v>
      </c>
      <c r="G820" s="18">
        <f>IF($A820&gt;'1-Input'!$B$26,E820,E820-MIN(MAX(E820,0),'P-Parametri'!$B$8*(E820+D820)))</f>
        <v>312473.32815579948</v>
      </c>
      <c r="H820" s="18">
        <f>IF($A820&gt;'1-Input'!$B$26,H819,H819-C820*(1-B820))</f>
        <v>62266.512906351352</v>
      </c>
      <c r="I820" s="11">
        <f>IF($A820&gt;'1-Input'!$B$26,0,IF(N819&lt;=0,0,MAX(0,(N819-O819)/N819)))</f>
        <v>0</v>
      </c>
      <c r="J820" s="18">
        <f>IF($A820&gt;'1-Input'!$B$26,0,(MAX(0,I781-IF($A820&gt;='1-Input'!$C$12,'1-Input'!$B$12,0))-MIN(MAX(M819,0),MAX(0,I781-IF($A820&gt;='1-Input'!$C$12,'1-Input'!$B$12,0))))*(1/(1-'P-Parametri'!$B$6*I820))+MIN(MAX(0,N819-(MAX(0,I781-IF($A820&gt;='1-Input'!$C$12,'1-Input'!$B$12,0))-MIN(MAX(M819,0),MAX(0,I781-IF($A820&gt;='1-Input'!$C$12,'1-Input'!$B$12,0))))*(1/(1-'P-Parametri'!$B$6*I820))),MAX(0,2*I781-(M819-MIN(MAX(M819,0),MAX(0,I781-IF($A820&gt;='1-Input'!$C$12,'1-Input'!$B$12,0)))))*(1/(1-'P-Parametri'!$B$6*I820))))</f>
        <v>10846.756992928691</v>
      </c>
      <c r="K820" s="18">
        <f>IF($A820&gt;'1-Input'!$B$26,M819,(M819-MAX(0,I781-IF($A820&gt;='1-Input'!$C$12,'1-Input'!$B$12,0))+J820*(1-'P-Parametri'!$B$6*I820))*(1+'1-Input'!$B$27))</f>
        <v>0</v>
      </c>
      <c r="L820" s="18">
        <f>IF($A820&gt;'1-Input'!$B$26,N819,(N819-J820)*(1+$D$4))</f>
        <v>-113604.0437100355</v>
      </c>
      <c r="M820" s="18">
        <f>IF($A820&gt;'1-Input'!$B$26,K820,K820-'P-Parametri'!$B$8*(L820+K820)+MIN(MAX(L820,0),'P-Parametri'!$B$8*(L820+K820)))</f>
        <v>0</v>
      </c>
      <c r="N820" s="18">
        <f>IF($A820&gt;'1-Input'!$B$26,L820,L820-MIN(MAX(L820,0),'P-Parametri'!$B$8*(L820+K820)))</f>
        <v>-113376.83562261543</v>
      </c>
      <c r="O820" s="18">
        <f>IF($A820&gt;'1-Input'!$B$26,O819,O819-J820*(1-I820))</f>
        <v>-94219.60266500045</v>
      </c>
      <c r="P820" s="11">
        <f>IF($A820&gt;'1-Input'!$B$26,0,IF(U819&lt;=0,0,MAX(0,(U819-V819)/U819)))</f>
        <v>0.75918403716592053</v>
      </c>
      <c r="Q820" s="18">
        <f>IF($A820&gt;'1-Input'!$B$26,0,(MAX(0,P781-IF($A820&gt;='1-Input'!$C$12,'1-Input'!$B$12,0))-MIN(MAX(T819,0),MAX(0,P781-IF($A820&gt;='1-Input'!$C$12,'1-Input'!$B$12,0))))*(1/(1-'P-Parametri'!$B$6*P820))+MIN(MAX(0,U819-(MAX(0,P781-IF($A820&gt;='1-Input'!$C$12,'1-Input'!$B$12,0))-MIN(MAX(T819,0),MAX(0,P781-IF($A820&gt;='1-Input'!$C$12,'1-Input'!$B$12,0))))*(1/(1-'P-Parametri'!$B$6*P820))),MAX(0,2*P781-(T819-MIN(MAX(T819,0),MAX(0,P781-IF($A820&gt;='1-Input'!$C$12,'1-Input'!$B$12,0)))))*(1/(1-'P-Parametri'!$B$6*P820))))</f>
        <v>571.19020735783874</v>
      </c>
      <c r="R820" s="18">
        <f>IF($A820&gt;'1-Input'!$B$26,T819,(T819-MAX(0,P781-IF($A820&gt;='1-Input'!$C$12,'1-Input'!$B$12,0))+Q820*(1-'P-Parametri'!$B$6*P820))*(1+'1-Input'!$B$27))</f>
        <v>31150.457860546772</v>
      </c>
      <c r="S820" s="18">
        <f>IF($A820&gt;'1-Input'!$B$26,U819,(U819-Q820)*(1+$D$4))</f>
        <v>0</v>
      </c>
      <c r="T820" s="18">
        <f>IF($A820&gt;'1-Input'!$B$26,R820,R820-'P-Parametri'!$B$8*(S820+R820)+MIN(MAX(S820,0),'P-Parametri'!$B$8*(S820+R820)))</f>
        <v>31088.156944825678</v>
      </c>
      <c r="U820" s="18">
        <f>IF($A820&gt;'1-Input'!$B$26,S820,S820-MIN(MAX(S820,0),'P-Parametri'!$B$8*(S820+R820)))</f>
        <v>0</v>
      </c>
      <c r="V820" s="18">
        <f>IF($A820&gt;'1-Input'!$B$26,V819,V819-Q820*(1-P820))</f>
        <v>2.8421709430404007E-14</v>
      </c>
      <c r="W820" s="11">
        <f>IF($A820&gt;'1-Input'!$B$26,0,IF(AB819&lt;=0,0,MAX(0,(AB819-AC819)/AB819)))</f>
        <v>0.79072163692605135</v>
      </c>
      <c r="X820" s="18">
        <f>IF($A820&gt;'1-Input'!$B$26,0,(MAX(0,W781-IF($A820&gt;='1-Input'!$C$12,'1-Input'!$B$12,0))-MIN(MAX(AA819,0),MAX(0,W781-IF($A820&gt;='1-Input'!$C$12,'1-Input'!$B$12,0))))*(1/(1-'P-Parametri'!$B$6*W820))+MIN(MAX(0,AB819-(MAX(0,W781-IF($A820&gt;='1-Input'!$C$12,'1-Input'!$B$12,0))-MIN(MAX(AA819,0),MAX(0,W781-IF($A820&gt;='1-Input'!$C$12,'1-Input'!$B$12,0))))*(1/(1-'P-Parametri'!$B$6*W820))),MAX(0,2*W781-(AA819-MIN(MAX(AA819,0),MAX(0,W781-IF($A820&gt;='1-Input'!$C$12,'1-Input'!$B$12,0)))))*(1/(1-'P-Parametri'!$B$6*W820))))</f>
        <v>10641.264880213088</v>
      </c>
      <c r="Y820" s="18">
        <f>IF($A820&gt;'1-Input'!$B$26,AA819,(AA819-MAX(0,W781-IF($A820&gt;='1-Input'!$C$12,'1-Input'!$B$12,0))+X820*(1-'P-Parametri'!$B$6*W820))*(1+'1-Input'!$B$27))</f>
        <v>38691.724605045303</v>
      </c>
      <c r="Z820" s="18">
        <f>IF($A820&gt;'1-Input'!$B$26,AB819,(AB819-X820)*(1+$D$4))</f>
        <v>32947.904138362268</v>
      </c>
      <c r="AA820" s="18">
        <f>IF($A820&gt;'1-Input'!$B$26,Y820,Y820-'P-Parametri'!$B$8*(Z820+Y820)+MIN(MAX(Z820,0),'P-Parametri'!$B$8*(Z820+Y820)))</f>
        <v>38691.724605045303</v>
      </c>
      <c r="AB820" s="18">
        <f>IF($A820&gt;'1-Input'!$B$26,Z820,Z820-MIN(MAX(Z820,0),'P-Parametri'!$B$8*(Z820+Y820)))</f>
        <v>32804.624880875454</v>
      </c>
      <c r="AC820" s="18">
        <f>IF($A820&gt;'1-Input'!$B$26,AC819,AC819-X820*(1-W820))</f>
        <v>6630.0802353786821</v>
      </c>
      <c r="AD820" s="11">
        <f>IF($A820&gt;'1-Input'!$B$26,0,IF(AI819&lt;=0,0,MAX(0,(AI819-AJ819)/AI819)))</f>
        <v>0.79078839961499026</v>
      </c>
      <c r="AE820" s="18">
        <f>IF($A820&gt;'1-Input'!$B$26,0,(MAX(0,AD781-IF($A820&gt;='1-Input'!$C$12,'1-Input'!$B$12,0))-MIN(MAX(AH819,0),MAX(0,AD781-IF($A820&gt;='1-Input'!$C$12,'1-Input'!$B$12,0))))*(1/(1-'P-Parametri'!$B$6*AD820))+MIN(MAX(0,AI819-(MAX(0,AD781-IF($A820&gt;='1-Input'!$C$12,'1-Input'!$B$12,0))-MIN(MAX(AH819,0),MAX(0,AD781-IF($A820&gt;='1-Input'!$C$12,'1-Input'!$B$12,0))))*(1/(1-'P-Parametri'!$B$6*AD820))),MAX(0,2*AD781-(AH819-MIN(MAX(AH819,0),MAX(0,AD781-IF($A820&gt;='1-Input'!$C$12,'1-Input'!$B$12,0)))))*(1/(1-'P-Parametri'!$B$6*AD820))))</f>
        <v>10616.653976242478</v>
      </c>
      <c r="AF820" s="18">
        <f>IF($A820&gt;'1-Input'!$B$26,AH819,(AH819-MAX(0,AD781-IF($A820&gt;='1-Input'!$C$12,'1-Input'!$B$12,0))+AE820*(1-'P-Parametri'!$B$6*AD820))*(1+'1-Input'!$B$27))</f>
        <v>38652.676856956641</v>
      </c>
      <c r="AG820" s="18">
        <f>IF($A820&gt;'1-Input'!$B$26,AI819,(AI819-AE820)*(1+$D$4))</f>
        <v>34954.377234625943</v>
      </c>
      <c r="AH820" s="18">
        <f>IF($A820&gt;'1-Input'!$B$26,AF820,AF820-'P-Parametri'!$B$8*(AG820+AF820)+MIN(MAX(AG820,0),'P-Parametri'!$B$8*(AG820+AF820)))</f>
        <v>38652.676856956641</v>
      </c>
      <c r="AI820" s="18">
        <f>IF($A820&gt;'1-Input'!$B$26,AG820,AG820-MIN(MAX(AG820,0),'P-Parametri'!$B$8*(AG820+AF820)))</f>
        <v>34807.163126442778</v>
      </c>
      <c r="AJ820" s="18">
        <f>IF($A820&gt;'1-Input'!$B$26,AJ819,AJ819-AE820*(1-AD820))</f>
        <v>7031.5973093436987</v>
      </c>
      <c r="AK820" s="11">
        <f>IF($A820&gt;'1-Input'!$B$26,0,IF(AP819&lt;=0,0,MAX(0,(AP819-AQ819)/AP819)))</f>
        <v>0.7907876980316072</v>
      </c>
      <c r="AL820" s="18">
        <f>IF($A820&gt;'1-Input'!$B$26,0,(MAX(0,AK781-IF($A820&gt;='1-Input'!$C$12,'1-Input'!$B$12,0))-MIN(MAX(AO819,0),MAX(0,AK781-IF($A820&gt;='1-Input'!$C$12,'1-Input'!$B$12,0))))*(1/(1-'P-Parametri'!$B$6*AK820))+MIN(MAX(0,AP819-(MAX(0,AK781-IF($A820&gt;='1-Input'!$C$12,'1-Input'!$B$12,0))-MIN(MAX(AO819,0),MAX(0,AK781-IF($A820&gt;='1-Input'!$C$12,'1-Input'!$B$12,0))))*(1/(1-'P-Parametri'!$B$6*AK820))),MAX(0,2*AK781-(AO819-MIN(MAX(AO819,0),MAX(0,AK781-IF($A820&gt;='1-Input'!$C$12,'1-Input'!$B$12,0)))))*(1/(1-'P-Parametri'!$B$6*AK820))))</f>
        <v>10616.919601506848</v>
      </c>
      <c r="AM820" s="18">
        <f>IF($A820&gt;'1-Input'!$B$26,AO819,(AO819-MAX(0,AK781-IF($A820&gt;='1-Input'!$C$12,'1-Input'!$B$12,0))+AL820*(1-'P-Parametri'!$B$6*AK820))*(1+'1-Input'!$B$27))</f>
        <v>38653.098186232593</v>
      </c>
      <c r="AN820" s="18">
        <f>IF($A820&gt;'1-Input'!$B$26,AP819,(AP819-AL820)*(1+$D$4))</f>
        <v>34932.726892349594</v>
      </c>
      <c r="AO820" s="18">
        <f>IF($A820&gt;'1-Input'!$B$26,AM820,AM820-'P-Parametri'!$B$8*(AN820+AM820)+MIN(MAX(AN820,0),'P-Parametri'!$B$8*(AN820+AM820)))</f>
        <v>38653.098186232593</v>
      </c>
      <c r="AP820" s="18">
        <f>IF($A820&gt;'1-Input'!$B$26,AN820,AN820-MIN(MAX(AN820,0),'P-Parametri'!$B$8*(AN820+AM820)))</f>
        <v>34785.555242192429</v>
      </c>
      <c r="AQ820" s="18">
        <f>IF($A820&gt;'1-Input'!$B$26,AQ819,AQ819-AL820*(1-AK820))</f>
        <v>7027.2655838285009</v>
      </c>
    </row>
    <row r="821" spans="1:43">
      <c r="A821" s="10">
        <f>38</f>
        <v>38</v>
      </c>
      <c r="B821" s="11">
        <f>IF($A821&gt;'1-Input'!$B$26,0,IF(G820&lt;=0,0,MAX(0,(G820-H820)/G820)))</f>
        <v>0.80073015103770639</v>
      </c>
      <c r="C821" s="18">
        <f>IF($A821&gt;'1-Input'!$B$26,0,(MAX(0,B781-IF($A821&gt;='1-Input'!$C$12,'1-Input'!$B$12,0))-MIN(MAX(F820,0),MAX(0,B781-IF($A821&gt;='1-Input'!$C$12,'1-Input'!$B$12,0))))*(1/(1-'P-Parametri'!$B$6*B821))+MIN(MAX(0,G820-(MAX(0,B781-IF($A821&gt;='1-Input'!$C$12,'1-Input'!$B$12,0))-MIN(MAX(F820,0),MAX(0,B781-IF($A821&gt;='1-Input'!$C$12,'1-Input'!$B$12,0))))*(1/(1-'P-Parametri'!$B$6*B821))),MAX(0,2*B781-(F820-MIN(MAX(F820,0),MAX(0,B781-IF($A821&gt;='1-Input'!$C$12,'1-Input'!$B$12,0)))))*(1/(1-'P-Parametri'!$B$6*B821))))</f>
        <v>7197.6329624709806</v>
      </c>
      <c r="D821" s="18">
        <f>IF($A821&gt;'1-Input'!$B$26,F820,(F820-MAX(0,B781-IF($A821&gt;='1-Input'!$C$12,'1-Input'!$B$12,0))+C821*(1-'P-Parametri'!$B$6*B821))*(1+'1-Input'!$B$27))</f>
        <v>33242.0070309863</v>
      </c>
      <c r="E821" s="18">
        <f>IF($A821&gt;'1-Input'!$B$26,G820,(G820-C821)*(1+$D$4))</f>
        <v>317486.72300106165</v>
      </c>
      <c r="F821" s="18">
        <f>IF($A821&gt;'1-Input'!$B$26,D821,D821-'P-Parametri'!$B$8*(E821+D821)+MIN(MAX(E821,0),'P-Parametri'!$B$8*(E821+D821)))</f>
        <v>33242.0070309863</v>
      </c>
      <c r="G821" s="18">
        <f>IF($A821&gt;'1-Input'!$B$26,E821,E821-MIN(MAX(E821,0),'P-Parametri'!$B$8*(E821+D821)))</f>
        <v>316785.26554099756</v>
      </c>
      <c r="H821" s="18">
        <f>IF($A821&gt;'1-Input'!$B$26,H820,H820-C821*(1-B821))</f>
        <v>60832.241673033735</v>
      </c>
      <c r="I821" s="11">
        <f>IF($A821&gt;'1-Input'!$B$26,0,IF(N820&lt;=0,0,MAX(0,(N820-O820)/N820)))</f>
        <v>0</v>
      </c>
      <c r="J821" s="18">
        <f>IF($A821&gt;'1-Input'!$B$26,0,(MAX(0,I781-IF($A821&gt;='1-Input'!$C$12,'1-Input'!$B$12,0))-MIN(MAX(M820,0),MAX(0,I781-IF($A821&gt;='1-Input'!$C$12,'1-Input'!$B$12,0))))*(1/(1-'P-Parametri'!$B$6*I821))+MIN(MAX(0,N820-(MAX(0,I781-IF($A821&gt;='1-Input'!$C$12,'1-Input'!$B$12,0))-MIN(MAX(M820,0),MAX(0,I781-IF($A821&gt;='1-Input'!$C$12,'1-Input'!$B$12,0))))*(1/(1-'P-Parametri'!$B$6*I821))),MAX(0,2*I781-(M820-MIN(MAX(M820,0),MAX(0,I781-IF($A821&gt;='1-Input'!$C$12,'1-Input'!$B$12,0)))))*(1/(1-'P-Parametri'!$B$6*I821))))</f>
        <v>10846.756992928691</v>
      </c>
      <c r="K821" s="18">
        <f>IF($A821&gt;'1-Input'!$B$26,M820,(M820-MAX(0,I781-IF($A821&gt;='1-Input'!$C$12,'1-Input'!$B$12,0))+J821*(1-'P-Parametri'!$B$6*I821))*(1+'1-Input'!$B$27))</f>
        <v>0</v>
      </c>
      <c r="L821" s="18">
        <f>IF($A821&gt;'1-Input'!$B$26,N820,(N820-J821)*(1+$D$4))</f>
        <v>-129192.53632016589</v>
      </c>
      <c r="M821" s="18">
        <f>IF($A821&gt;'1-Input'!$B$26,K821,K821-'P-Parametri'!$B$8*(L821+K821)+MIN(MAX(L821,0),'P-Parametri'!$B$8*(L821+K821)))</f>
        <v>0</v>
      </c>
      <c r="N821" s="18">
        <f>IF($A821&gt;'1-Input'!$B$26,L821,L821-MIN(MAX(L821,0),'P-Parametri'!$B$8*(L821+K821)))</f>
        <v>-128934.15124752556</v>
      </c>
      <c r="O821" s="18">
        <f>IF($A821&gt;'1-Input'!$B$26,O820,O820-J821*(1-I821))</f>
        <v>-105066.35965792913</v>
      </c>
      <c r="P821" s="11">
        <f>IF($A821&gt;'1-Input'!$B$26,0,IF(U820&lt;=0,0,MAX(0,(U820-V820)/U820)))</f>
        <v>0</v>
      </c>
      <c r="Q821" s="18">
        <f>IF($A821&gt;'1-Input'!$B$26,0,(MAX(0,P781-IF($A821&gt;='1-Input'!$C$12,'1-Input'!$B$12,0))-MIN(MAX(T820,0),MAX(0,P781-IF($A821&gt;='1-Input'!$C$12,'1-Input'!$B$12,0))))*(1/(1-'P-Parametri'!$B$6*P821))+MIN(MAX(0,U820-(MAX(0,P781-IF($A821&gt;='1-Input'!$C$12,'1-Input'!$B$12,0))-MIN(MAX(T820,0),MAX(0,P781-IF($A821&gt;='1-Input'!$C$12,'1-Input'!$B$12,0))))*(1/(1-'P-Parametri'!$B$6*P821))),MAX(0,2*P781-(T820-MIN(MAX(T820,0),MAX(0,P781-IF($A821&gt;='1-Input'!$C$12,'1-Input'!$B$12,0)))))*(1/(1-'P-Parametri'!$B$6*P821))))</f>
        <v>0</v>
      </c>
      <c r="R821" s="18">
        <f>IF($A821&gt;'1-Input'!$B$26,T820,(T820-MAX(0,P781-IF($A821&gt;='1-Input'!$C$12,'1-Input'!$B$12,0))+Q821*(1-'P-Parametri'!$B$6*P821))*(1+'1-Input'!$B$27))</f>
        <v>22264.268291296885</v>
      </c>
      <c r="S821" s="18">
        <f>IF($A821&gt;'1-Input'!$B$26,U820,(U820-Q821)*(1+$D$4))</f>
        <v>0</v>
      </c>
      <c r="T821" s="18">
        <f>IF($A821&gt;'1-Input'!$B$26,R821,R821-'P-Parametri'!$B$8*(S821+R821)+MIN(MAX(S821,0),'P-Parametri'!$B$8*(S821+R821)))</f>
        <v>22219.73975471429</v>
      </c>
      <c r="U821" s="18">
        <f>IF($A821&gt;'1-Input'!$B$26,S821,S821-MIN(MAX(S821,0),'P-Parametri'!$B$8*(S821+R821)))</f>
        <v>0</v>
      </c>
      <c r="V821" s="18">
        <f>IF($A821&gt;'1-Input'!$B$26,V820,V820-Q821*(1-P821))</f>
        <v>2.8421709430404007E-14</v>
      </c>
      <c r="W821" s="11">
        <f>IF($A821&gt;'1-Input'!$B$26,0,IF(AB820&lt;=0,0,MAX(0,(AB820-AC820)/AB820)))</f>
        <v>0.79789190519767506</v>
      </c>
      <c r="X821" s="18">
        <f>IF($A821&gt;'1-Input'!$B$26,0,(MAX(0,W781-IF($A821&gt;='1-Input'!$C$12,'1-Input'!$B$12,0))-MIN(MAX(AA820,0),MAX(0,W781-IF($A821&gt;='1-Input'!$C$12,'1-Input'!$B$12,0))))*(1/(1-'P-Parametri'!$B$6*W821))+MIN(MAX(0,AB820-(MAX(0,W781-IF($A821&gt;='1-Input'!$C$12,'1-Input'!$B$12,0))-MIN(MAX(AA820,0),MAX(0,W781-IF($A821&gt;='1-Input'!$C$12,'1-Input'!$B$12,0))))*(1/(1-'P-Parametri'!$B$6*W821))),MAX(0,2*W781-(AA820-MIN(MAX(AA820,0),MAX(0,W781-IF($A821&gt;='1-Input'!$C$12,'1-Input'!$B$12,0)))))*(1/(1-'P-Parametri'!$B$6*W821))))</f>
        <v>10666.295775004432</v>
      </c>
      <c r="Y821" s="18">
        <f>IF($A821&gt;'1-Input'!$B$26,AA820,(AA820-MAX(0,W781-IF($A821&gt;='1-Input'!$C$12,'1-Input'!$B$12,0))+X821*(1-'P-Parametri'!$B$6*W821))*(1+'1-Input'!$B$27))</f>
        <v>38691.724605045303</v>
      </c>
      <c r="Z821" s="18">
        <f>IF($A821&gt;'1-Input'!$B$26,AB820,(AB820-X821)*(1+$D$4))</f>
        <v>23023.862270105867</v>
      </c>
      <c r="AA821" s="18">
        <f>IF($A821&gt;'1-Input'!$B$26,Y821,Y821-'P-Parametri'!$B$8*(Z821+Y821)+MIN(MAX(Z821,0),'P-Parametri'!$B$8*(Z821+Y821)))</f>
        <v>38691.724605045303</v>
      </c>
      <c r="AB821" s="18">
        <f>IF($A821&gt;'1-Input'!$B$26,Z821,Z821-MIN(MAX(Z821,0),'P-Parametri'!$B$8*(Z821+Y821)))</f>
        <v>22900.431096355565</v>
      </c>
      <c r="AC821" s="18">
        <f>IF($A821&gt;'1-Input'!$B$26,AC820,AC820-X821*(1-W821))</f>
        <v>4474.3355176944478</v>
      </c>
      <c r="AD821" s="11">
        <f>IF($A821&gt;'1-Input'!$B$26,0,IF(AI820&lt;=0,0,MAX(0,(AI820-AJ820)/AI820)))</f>
        <v>0.79798418837524165</v>
      </c>
      <c r="AE821" s="18">
        <f>IF($A821&gt;'1-Input'!$B$26,0,(MAX(0,AD781-IF($A821&gt;='1-Input'!$C$12,'1-Input'!$B$12,0))-MIN(MAX(AH820,0),MAX(0,AD781-IF($A821&gt;='1-Input'!$C$12,'1-Input'!$B$12,0))))*(1/(1-'P-Parametri'!$B$6*AD821))+MIN(MAX(0,AI820-(MAX(0,AD781-IF($A821&gt;='1-Input'!$C$12,'1-Input'!$B$12,0))-MIN(MAX(AH820,0),MAX(0,AD781-IF($A821&gt;='1-Input'!$C$12,'1-Input'!$B$12,0))))*(1/(1-'P-Parametri'!$B$6*AD821))),MAX(0,2*AD781-(AH820-MIN(MAX(AH820,0),MAX(0,AD781-IF($A821&gt;='1-Input'!$C$12,'1-Input'!$B$12,0)))))*(1/(1-'P-Parametri'!$B$6*AD821))))</f>
        <v>10641.716622988133</v>
      </c>
      <c r="AF821" s="18">
        <f>IF($A821&gt;'1-Input'!$B$26,AH820,(AH820-MAX(0,AD781-IF($A821&gt;='1-Input'!$C$12,'1-Input'!$B$12,0))+AE821*(1-'P-Parametri'!$B$6*AD821))*(1+'1-Input'!$B$27))</f>
        <v>38652.676856956641</v>
      </c>
      <c r="AG821" s="18">
        <f>IF($A821&gt;'1-Input'!$B$26,AI820,(AI820-AE821)*(1+$D$4))</f>
        <v>25132.064363592832</v>
      </c>
      <c r="AH821" s="18">
        <f>IF($A821&gt;'1-Input'!$B$26,AF821,AF821-'P-Parametri'!$B$8*(AG821+AF821)+MIN(MAX(AG821,0),'P-Parametri'!$B$8*(AG821+AF821)))</f>
        <v>38652.676856956641</v>
      </c>
      <c r="AI821" s="18">
        <f>IF($A821&gt;'1-Input'!$B$26,AG821,AG821-MIN(MAX(AG821,0),'P-Parametri'!$B$8*(AG821+AF821)))</f>
        <v>25004.494881151732</v>
      </c>
      <c r="AJ821" s="18">
        <f>IF($A821&gt;'1-Input'!$B$26,AJ820,AJ820-AE821*(1-AD821))</f>
        <v>4881.8022886700683</v>
      </c>
      <c r="AK821" s="11">
        <f>IF($A821&gt;'1-Input'!$B$26,0,IF(AP820&lt;=0,0,MAX(0,(AP820-AQ820)/AP820)))</f>
        <v>0.79798322795477705</v>
      </c>
      <c r="AL821" s="18">
        <f>IF($A821&gt;'1-Input'!$B$26,0,(MAX(0,AK781-IF($A821&gt;='1-Input'!$C$12,'1-Input'!$B$12,0))-MIN(MAX(AO820,0),MAX(0,AK781-IF($A821&gt;='1-Input'!$C$12,'1-Input'!$B$12,0))))*(1/(1-'P-Parametri'!$B$6*AK821))+MIN(MAX(0,AP820-(MAX(0,AK781-IF($A821&gt;='1-Input'!$C$12,'1-Input'!$B$12,0))-MIN(MAX(AO820,0),MAX(0,AK781-IF($A821&gt;='1-Input'!$C$12,'1-Input'!$B$12,0))))*(1/(1-'P-Parametri'!$B$6*AK821))),MAX(0,2*AK781-(AO820-MIN(MAX(AO820,0),MAX(0,AK781-IF($A821&gt;='1-Input'!$C$12,'1-Input'!$B$12,0)))))*(1/(1-'P-Parametri'!$B$6*AK821))))</f>
        <v>10641.981965873334</v>
      </c>
      <c r="AM821" s="18">
        <f>IF($A821&gt;'1-Input'!$B$26,AO820,(AO820-MAX(0,AK781-IF($A821&gt;='1-Input'!$C$12,'1-Input'!$B$12,0))+AL821*(1-'P-Parametri'!$B$6*AK821))*(1+'1-Input'!$B$27))</f>
        <v>38653.098186232593</v>
      </c>
      <c r="AN821" s="18">
        <f>IF($A821&gt;'1-Input'!$B$26,AP820,(AP820-AL821)*(1+$D$4))</f>
        <v>25109.316207371863</v>
      </c>
      <c r="AO821" s="18">
        <f>IF($A821&gt;'1-Input'!$B$26,AM821,AM821-'P-Parametri'!$B$8*(AN821+AM821)+MIN(MAX(AN821,0),'P-Parametri'!$B$8*(AN821+AM821)))</f>
        <v>38653.098186232593</v>
      </c>
      <c r="AP821" s="18">
        <f>IF($A821&gt;'1-Input'!$B$26,AN821,AN821-MIN(MAX(AN821,0),'P-Parametri'!$B$8*(AN821+AM821)))</f>
        <v>24981.791378584654</v>
      </c>
      <c r="AQ821" s="18">
        <f>IF($A821&gt;'1-Input'!$B$26,AQ820,AQ820-AL821*(1-AK821))</f>
        <v>4877.4067389192942</v>
      </c>
    </row>
    <row r="822" spans="1:43">
      <c r="A822" s="10">
        <f>39</f>
        <v>39</v>
      </c>
      <c r="B822" s="11">
        <f>IF($A822&gt;'1-Input'!$B$26,0,IF(G821&lt;=0,0,MAX(0,(G821-H821)/G821)))</f>
        <v>0.80797010375736367</v>
      </c>
      <c r="C822" s="18">
        <f>IF($A822&gt;'1-Input'!$B$26,0,(MAX(0,B781-IF($A822&gt;='1-Input'!$C$12,'1-Input'!$B$12,0))-MIN(MAX(F821,0),MAX(0,B781-IF($A822&gt;='1-Input'!$C$12,'1-Input'!$B$12,0))))*(1/(1-'P-Parametri'!$B$6*B822))+MIN(MAX(0,G821-(MAX(0,B781-IF($A822&gt;='1-Input'!$C$12,'1-Input'!$B$12,0))-MIN(MAX(F821,0),MAX(0,B781-IF($A822&gt;='1-Input'!$C$12,'1-Input'!$B$12,0))))*(1/(1-'P-Parametri'!$B$6*B822))),MAX(0,2*B781-(F821-MIN(MAX(F821,0),MAX(0,B781-IF($A822&gt;='1-Input'!$C$12,'1-Input'!$B$12,0)))))*(1/(1-'P-Parametri'!$B$6*B822))))</f>
        <v>7214.7848290992433</v>
      </c>
      <c r="D822" s="18">
        <f>IF($A822&gt;'1-Input'!$B$26,F821,(F821-MAX(0,B781-IF($A822&gt;='1-Input'!$C$12,'1-Input'!$B$12,0))+C822*(1-'P-Parametri'!$B$6*B822))*(1+'1-Input'!$B$27))</f>
        <v>33242.0070309863</v>
      </c>
      <c r="E822" s="18">
        <f>IF($A822&gt;'1-Input'!$B$26,G821,(G821-C822)*(1+$D$4))</f>
        <v>321953.29994037427</v>
      </c>
      <c r="F822" s="18">
        <f>IF($A822&gt;'1-Input'!$B$26,D822,D822-'P-Parametri'!$B$8*(E822+D822)+MIN(MAX(E822,0),'P-Parametri'!$B$8*(E822+D822)))</f>
        <v>33242.0070309863</v>
      </c>
      <c r="G822" s="18">
        <f>IF($A822&gt;'1-Input'!$B$26,E822,E822-MIN(MAX(E822,0),'P-Parametri'!$B$8*(E822+D822)))</f>
        <v>321242.90932643157</v>
      </c>
      <c r="H822" s="18">
        <f>IF($A822&gt;'1-Input'!$B$26,H821,H821-C822*(1-B822))</f>
        <v>59446.78729088886</v>
      </c>
      <c r="I822" s="11">
        <f>IF($A822&gt;'1-Input'!$B$26,0,IF(N821&lt;=0,0,MAX(0,(N821-O821)/N821)))</f>
        <v>0</v>
      </c>
      <c r="J822" s="18">
        <f>IF($A822&gt;'1-Input'!$B$26,0,(MAX(0,I781-IF($A822&gt;='1-Input'!$C$12,'1-Input'!$B$12,0))-MIN(MAX(M821,0),MAX(0,I781-IF($A822&gt;='1-Input'!$C$12,'1-Input'!$B$12,0))))*(1/(1-'P-Parametri'!$B$6*I822))+MIN(MAX(0,N821-(MAX(0,I781-IF($A822&gt;='1-Input'!$C$12,'1-Input'!$B$12,0))-MIN(MAX(M821,0),MAX(0,I781-IF($A822&gt;='1-Input'!$C$12,'1-Input'!$B$12,0))))*(1/(1-'P-Parametri'!$B$6*I822))),MAX(0,2*I781-(M821-MIN(MAX(M821,0),MAX(0,I781-IF($A822&gt;='1-Input'!$C$12,'1-Input'!$B$12,0)))))*(1/(1-'P-Parametri'!$B$6*I822))))</f>
        <v>10846.756992928691</v>
      </c>
      <c r="K822" s="18">
        <f>IF($A822&gt;'1-Input'!$B$26,M821,(M821-MAX(0,I781-IF($A822&gt;='1-Input'!$C$12,'1-Input'!$B$12,0))+J822*(1-'P-Parametri'!$B$6*I822))*(1+'1-Input'!$B$27))</f>
        <v>0</v>
      </c>
      <c r="L822" s="18">
        <f>IF($A822&gt;'1-Input'!$B$26,N821,(N821-J822)*(1+$D$4))</f>
        <v>-145372.14457007241</v>
      </c>
      <c r="M822" s="18">
        <f>IF($A822&gt;'1-Input'!$B$26,K822,K822-'P-Parametri'!$B$8*(L822+K822)+MIN(MAX(L822,0),'P-Parametri'!$B$8*(L822+K822)))</f>
        <v>0</v>
      </c>
      <c r="N822" s="18">
        <f>IF($A822&gt;'1-Input'!$B$26,L822,L822-MIN(MAX(L822,0),'P-Parametri'!$B$8*(L822+K822)))</f>
        <v>-145081.40028093226</v>
      </c>
      <c r="O822" s="18">
        <f>IF($A822&gt;'1-Input'!$B$26,O821,O821-J822*(1-I822))</f>
        <v>-115913.11665085782</v>
      </c>
      <c r="P822" s="11">
        <f>IF($A822&gt;'1-Input'!$B$26,0,IF(U821&lt;=0,0,MAX(0,(U821-V821)/U821)))</f>
        <v>0</v>
      </c>
      <c r="Q822" s="18">
        <f>IF($A822&gt;'1-Input'!$B$26,0,(MAX(0,P781-IF($A822&gt;='1-Input'!$C$12,'1-Input'!$B$12,0))-MIN(MAX(T821,0),MAX(0,P781-IF($A822&gt;='1-Input'!$C$12,'1-Input'!$B$12,0))))*(1/(1-'P-Parametri'!$B$6*P822))+MIN(MAX(0,U821-(MAX(0,P781-IF($A822&gt;='1-Input'!$C$12,'1-Input'!$B$12,0))-MIN(MAX(T821,0),MAX(0,P781-IF($A822&gt;='1-Input'!$C$12,'1-Input'!$B$12,0))))*(1/(1-'P-Parametri'!$B$6*P822))),MAX(0,2*P781-(T821-MIN(MAX(T821,0),MAX(0,P781-IF($A822&gt;='1-Input'!$C$12,'1-Input'!$B$12,0)))))*(1/(1-'P-Parametri'!$B$6*P822))))</f>
        <v>0</v>
      </c>
      <c r="R822" s="18">
        <f>IF($A822&gt;'1-Input'!$B$26,T821,(T821-MAX(0,P781-IF($A822&gt;='1-Input'!$C$12,'1-Input'!$B$12,0))+Q822*(1-'P-Parametri'!$B$6*P822))*(1+'1-Input'!$B$27))</f>
        <v>13427.777403069897</v>
      </c>
      <c r="S822" s="18">
        <f>IF($A822&gt;'1-Input'!$B$26,U821,(U821-Q822)*(1+$D$4))</f>
        <v>0</v>
      </c>
      <c r="T822" s="18">
        <f>IF($A822&gt;'1-Input'!$B$26,R822,R822-'P-Parametri'!$B$8*(S822+R822)+MIN(MAX(S822,0),'P-Parametri'!$B$8*(S822+R822)))</f>
        <v>13400.921848263757</v>
      </c>
      <c r="U822" s="18">
        <f>IF($A822&gt;'1-Input'!$B$26,S822,S822-MIN(MAX(S822,0),'P-Parametri'!$B$8*(S822+R822)))</f>
        <v>0</v>
      </c>
      <c r="V822" s="18">
        <f>IF($A822&gt;'1-Input'!$B$26,V821,V821-Q822*(1-P822))</f>
        <v>2.8421709430404007E-14</v>
      </c>
      <c r="W822" s="11">
        <f>IF($A822&gt;'1-Input'!$B$26,0,IF(AB821&lt;=0,0,MAX(0,(AB821-AC821)/AB821)))</f>
        <v>0.80461784763490729</v>
      </c>
      <c r="X822" s="18">
        <f>IF($A822&gt;'1-Input'!$B$26,0,(MAX(0,W781-IF($A822&gt;='1-Input'!$C$12,'1-Input'!$B$12,0))-MIN(MAX(AA821,0),MAX(0,W781-IF($A822&gt;='1-Input'!$C$12,'1-Input'!$B$12,0))))*(1/(1-'P-Parametri'!$B$6*W822))+MIN(MAX(0,AB821-(MAX(0,W781-IF($A822&gt;='1-Input'!$C$12,'1-Input'!$B$12,0))-MIN(MAX(AA821,0),MAX(0,W781-IF($A822&gt;='1-Input'!$C$12,'1-Input'!$B$12,0))))*(1/(1-'P-Parametri'!$B$6*W822))),MAX(0,2*W781-(AA821-MIN(MAX(AA821,0),MAX(0,W781-IF($A822&gt;='1-Input'!$C$12,'1-Input'!$B$12,0)))))*(1/(1-'P-Parametri'!$B$6*W822))))</f>
        <v>10689.882834778215</v>
      </c>
      <c r="Y822" s="18">
        <f>IF($A822&gt;'1-Input'!$B$26,AA821,(AA821-MAX(0,W781-IF($A822&gt;='1-Input'!$C$12,'1-Input'!$B$12,0))+X822*(1-'P-Parametri'!$B$6*W822))*(1+'1-Input'!$B$27))</f>
        <v>38691.724605045303</v>
      </c>
      <c r="Z822" s="18">
        <f>IF($A822&gt;'1-Input'!$B$26,AB821,(AB821-X822)*(1+$D$4))</f>
        <v>12698.970192040446</v>
      </c>
      <c r="AA822" s="18">
        <f>IF($A822&gt;'1-Input'!$B$26,Y822,Y822-'P-Parametri'!$B$8*(Z822+Y822)+MIN(MAX(Z822,0),'P-Parametri'!$B$8*(Z822+Y822)))</f>
        <v>38691.724605045303</v>
      </c>
      <c r="AB822" s="18">
        <f>IF($A822&gt;'1-Input'!$B$26,Z822,Z822-MIN(MAX(Z822,0),'P-Parametri'!$B$8*(Z822+Y822)))</f>
        <v>12596.188802446275</v>
      </c>
      <c r="AC822" s="18">
        <f>IF($A822&gt;'1-Input'!$B$26,AC821,AC821-X822*(1-W822))</f>
        <v>2385.7232009048216</v>
      </c>
      <c r="AD822" s="11">
        <f>IF($A822&gt;'1-Input'!$B$26,0,IF(AI821&lt;=0,0,MAX(0,(AI821-AJ821)/AI821)))</f>
        <v>0.80476301113565196</v>
      </c>
      <c r="AE822" s="18">
        <f>IF($A822&gt;'1-Input'!$B$26,0,(MAX(0,AD781-IF($A822&gt;='1-Input'!$C$12,'1-Input'!$B$12,0))-MIN(MAX(AH821,0),MAX(0,AD781-IF($A822&gt;='1-Input'!$C$12,'1-Input'!$B$12,0))))*(1/(1-'P-Parametri'!$B$6*AD822))+MIN(MAX(0,AI821-(MAX(0,AD781-IF($A822&gt;='1-Input'!$C$12,'1-Input'!$B$12,0))-MIN(MAX(AH821,0),MAX(0,AD781-IF($A822&gt;='1-Input'!$C$12,'1-Input'!$B$12,0))))*(1/(1-'P-Parametri'!$B$6*AD822))),MAX(0,2*AD781-(AH821-MIN(MAX(AH821,0),MAX(0,AD781-IF($A822&gt;='1-Input'!$C$12,'1-Input'!$B$12,0)))))*(1/(1-'P-Parametri'!$B$6*AD822))))</f>
        <v>10665.435478856032</v>
      </c>
      <c r="AF822" s="18">
        <f>IF($A822&gt;'1-Input'!$B$26,AH821,(AH821-MAX(0,AD781-IF($A822&gt;='1-Input'!$C$12,'1-Input'!$B$12,0))+AE822*(1-'P-Parametri'!$B$6*AD822))*(1+'1-Input'!$B$27))</f>
        <v>38652.676856956641</v>
      </c>
      <c r="AG822" s="18">
        <f>IF($A822&gt;'1-Input'!$B$26,AI821,(AI821-AE822)*(1+$D$4))</f>
        <v>14912.621778387527</v>
      </c>
      <c r="AH822" s="18">
        <f>IF($A822&gt;'1-Input'!$B$26,AF822,AF822-'P-Parametri'!$B$8*(AG822+AF822)+MIN(MAX(AG822,0),'P-Parametri'!$B$8*(AG822+AF822)))</f>
        <v>38652.676856956641</v>
      </c>
      <c r="AI822" s="18">
        <f>IF($A822&gt;'1-Input'!$B$26,AG822,AG822-MIN(MAX(AG822,0),'P-Parametri'!$B$8*(AG822+AF822)))</f>
        <v>14805.491181116839</v>
      </c>
      <c r="AJ822" s="18">
        <f>IF($A822&gt;'1-Input'!$B$26,AJ821,AJ821-AE822*(1-AD822))</f>
        <v>2799.5147808512306</v>
      </c>
      <c r="AK822" s="11">
        <f>IF($A822&gt;'1-Input'!$B$26,0,IF(AP821&lt;=0,0,MAX(0,(AP821-AQ821)/AP821)))</f>
        <v>0.80476152950743185</v>
      </c>
      <c r="AL822" s="18">
        <f>IF($A822&gt;'1-Input'!$B$26,0,(MAX(0,AK781-IF($A822&gt;='1-Input'!$C$12,'1-Input'!$B$12,0))-MIN(MAX(AO821,0),MAX(0,AK781-IF($A822&gt;='1-Input'!$C$12,'1-Input'!$B$12,0))))*(1/(1-'P-Parametri'!$B$6*AK822))+MIN(MAX(0,AP821-(MAX(0,AK781-IF($A822&gt;='1-Input'!$C$12,'1-Input'!$B$12,0))-MIN(MAX(AO821,0),MAX(0,AK781-IF($A822&gt;='1-Input'!$C$12,'1-Input'!$B$12,0))))*(1/(1-'P-Parametri'!$B$6*AK822))),MAX(0,2*AK781-(AO821-MIN(MAX(AO821,0),MAX(0,AK781-IF($A822&gt;='1-Input'!$C$12,'1-Input'!$B$12,0)))))*(1/(1-'P-Parametri'!$B$6*AK822))))</f>
        <v>10665.699577865644</v>
      </c>
      <c r="AM822" s="18">
        <f>IF($A822&gt;'1-Input'!$B$26,AO821,(AO821-MAX(0,AK781-IF($A822&gt;='1-Input'!$C$12,'1-Input'!$B$12,0))+AL822*(1-'P-Parametri'!$B$6*AK822))*(1+'1-Input'!$B$27))</f>
        <v>38653.098186232593</v>
      </c>
      <c r="AN822" s="18">
        <f>IF($A822&gt;'1-Input'!$B$26,AP821,(AP821-AL822)*(1+$D$4))</f>
        <v>14888.73547274777</v>
      </c>
      <c r="AO822" s="18">
        <f>IF($A822&gt;'1-Input'!$B$26,AM822,AM822-'P-Parametri'!$B$8*(AN822+AM822)+MIN(MAX(AN822,0),'P-Parametri'!$B$8*(AN822+AM822)))</f>
        <v>38653.098186232593</v>
      </c>
      <c r="AP822" s="18">
        <f>IF($A822&gt;'1-Input'!$B$26,AN822,AN822-MIN(MAX(AN822,0),'P-Parametri'!$B$8*(AN822+AM822)))</f>
        <v>14781.65180542981</v>
      </c>
      <c r="AQ822" s="18">
        <f>IF($A822&gt;'1-Input'!$B$26,AQ821,AQ821-AL822*(1-AK822))</f>
        <v>2795.0518666035759</v>
      </c>
    </row>
    <row r="823" spans="1:43">
      <c r="A823" s="10">
        <f>40</f>
        <v>40</v>
      </c>
      <c r="B823" s="11">
        <f>IF($A823&gt;'1-Input'!$B$26,0,IF(G822&lt;=0,0,MAX(0,(G822-H822)/G822)))</f>
        <v>0.8149475503894098</v>
      </c>
      <c r="C823" s="18">
        <f>IF($A823&gt;'1-Input'!$B$26,0,(MAX(0,B781-IF($A823&gt;='1-Input'!$C$12,'1-Input'!$B$12,0))-MIN(MAX(F822,0),MAX(0,B781-IF($A823&gt;='1-Input'!$C$12,'1-Input'!$B$12,0))))*(1/(1-'P-Parametri'!$B$6*B823))+MIN(MAX(0,G822-(MAX(0,B781-IF($A823&gt;='1-Input'!$C$12,'1-Input'!$B$12,0))-MIN(MAX(F822,0),MAX(0,B781-IF($A823&gt;='1-Input'!$C$12,'1-Input'!$B$12,0))))*(1/(1-'P-Parametri'!$B$6*B823))),MAX(0,2*B781-(F822-MIN(MAX(F822,0),MAX(0,B781-IF($A823&gt;='1-Input'!$C$12,'1-Input'!$B$12,0)))))*(1/(1-'P-Parametri'!$B$6*B823))))</f>
        <v>7231.3923348889602</v>
      </c>
      <c r="D823" s="18">
        <f>IF($A823&gt;'1-Input'!$B$26,F822,(F822-MAX(0,B781-IF($A823&gt;='1-Input'!$C$12,'1-Input'!$B$12,0))+C823*(1-'P-Parametri'!$B$6*B823))*(1+'1-Input'!$B$27))</f>
        <v>33242.0070309863</v>
      </c>
      <c r="E823" s="18">
        <f>IF($A823&gt;'1-Input'!$B$26,G822,(G822-C823)*(1+$D$4))</f>
        <v>326571.97767120431</v>
      </c>
      <c r="F823" s="18">
        <f>IF($A823&gt;'1-Input'!$B$26,D823,D823-'P-Parametri'!$B$8*(E823+D823)+MIN(MAX(E823,0),'P-Parametri'!$B$8*(E823+D823)))</f>
        <v>33242.0070309863</v>
      </c>
      <c r="G823" s="18">
        <f>IF($A823&gt;'1-Input'!$B$26,E823,E823-MIN(MAX(E823,0),'P-Parametri'!$B$8*(E823+D823)))</f>
        <v>325852.34970179992</v>
      </c>
      <c r="H823" s="18">
        <f>IF($A823&gt;'1-Input'!$B$26,H822,H822-C823*(1-B823))</f>
        <v>58108.600425222416</v>
      </c>
      <c r="I823" s="11">
        <f>IF($A823&gt;'1-Input'!$B$26,0,IF(N822&lt;=0,0,MAX(0,(N822-O822)/N822)))</f>
        <v>0</v>
      </c>
      <c r="J823" s="18">
        <f>IF($A823&gt;'1-Input'!$B$26,0,(MAX(0,I781-IF($A823&gt;='1-Input'!$C$12,'1-Input'!$B$12,0))-MIN(MAX(M822,0),MAX(0,I781-IF($A823&gt;='1-Input'!$C$12,'1-Input'!$B$12,0))))*(1/(1-'P-Parametri'!$B$6*I823))+MIN(MAX(0,N822-(MAX(0,I781-IF($A823&gt;='1-Input'!$C$12,'1-Input'!$B$12,0))-MIN(MAX(M822,0),MAX(0,I781-IF($A823&gt;='1-Input'!$C$12,'1-Input'!$B$12,0))))*(1/(1-'P-Parametri'!$B$6*I823))),MAX(0,2*I781-(M822-MIN(MAX(M822,0),MAX(0,I781-IF($A823&gt;='1-Input'!$C$12,'1-Input'!$B$12,0)))))*(1/(1-'P-Parametri'!$B$6*I823))))</f>
        <v>10846.756992928691</v>
      </c>
      <c r="K823" s="18">
        <f>IF($A823&gt;'1-Input'!$B$26,M822,(M822-MAX(0,I781-IF($A823&gt;='1-Input'!$C$12,'1-Input'!$B$12,0))+J823*(1-'P-Parametri'!$B$6*I823))*(1+'1-Input'!$B$27))</f>
        <v>0</v>
      </c>
      <c r="L823" s="18">
        <f>IF($A823&gt;'1-Input'!$B$26,N822,(N822-J823)*(1+$D$4))</f>
        <v>-162165.28356481539</v>
      </c>
      <c r="M823" s="18">
        <f>IF($A823&gt;'1-Input'!$B$26,K823,K823-'P-Parametri'!$B$8*(L823+K823)+MIN(MAX(L823,0),'P-Parametri'!$B$8*(L823+K823)))</f>
        <v>0</v>
      </c>
      <c r="N823" s="18">
        <f>IF($A823&gt;'1-Input'!$B$26,L823,L823-MIN(MAX(L823,0),'P-Parametri'!$B$8*(L823+K823)))</f>
        <v>-161840.95299768576</v>
      </c>
      <c r="O823" s="18">
        <f>IF($A823&gt;'1-Input'!$B$26,O822,O822-J823*(1-I823))</f>
        <v>-126759.8736437865</v>
      </c>
      <c r="P823" s="11">
        <f>IF($A823&gt;'1-Input'!$B$26,0,IF(U822&lt;=0,0,MAX(0,(U822-V822)/U822)))</f>
        <v>0</v>
      </c>
      <c r="Q823" s="18">
        <f>IF($A823&gt;'1-Input'!$B$26,0,(MAX(0,P781-IF($A823&gt;='1-Input'!$C$12,'1-Input'!$B$12,0))-MIN(MAX(T822,0),MAX(0,P781-IF($A823&gt;='1-Input'!$C$12,'1-Input'!$B$12,0))))*(1/(1-'P-Parametri'!$B$6*P823))+MIN(MAX(0,U822-(MAX(0,P781-IF($A823&gt;='1-Input'!$C$12,'1-Input'!$B$12,0))-MIN(MAX(T822,0),MAX(0,P781-IF($A823&gt;='1-Input'!$C$12,'1-Input'!$B$12,0))))*(1/(1-'P-Parametri'!$B$6*P823))),MAX(0,2*P781-(T822-MIN(MAX(T822,0),MAX(0,P781-IF($A823&gt;='1-Input'!$C$12,'1-Input'!$B$12,0)))))*(1/(1-'P-Parametri'!$B$6*P823))))</f>
        <v>0</v>
      </c>
      <c r="R823" s="18">
        <f>IF($A823&gt;'1-Input'!$B$26,T822,(T822-MAX(0,P781-IF($A823&gt;='1-Input'!$C$12,'1-Input'!$B$12,0))+Q823*(1-'P-Parametri'!$B$6*P823))*(1+'1-Input'!$B$27))</f>
        <v>4640.7072410825867</v>
      </c>
      <c r="S823" s="18">
        <f>IF($A823&gt;'1-Input'!$B$26,U822,(U822-Q823)*(1+$D$4))</f>
        <v>0</v>
      </c>
      <c r="T823" s="18">
        <f>IF($A823&gt;'1-Input'!$B$26,R823,R823-'P-Parametri'!$B$8*(S823+R823)+MIN(MAX(S823,0),'P-Parametri'!$B$8*(S823+R823)))</f>
        <v>4631.4258266004217</v>
      </c>
      <c r="U823" s="18">
        <f>IF($A823&gt;'1-Input'!$B$26,S823,S823-MIN(MAX(S823,0),'P-Parametri'!$B$8*(S823+R823)))</f>
        <v>0</v>
      </c>
      <c r="V823" s="18">
        <f>IF($A823&gt;'1-Input'!$B$26,V822,V822-Q823*(1-P823))</f>
        <v>2.8421709430404007E-14</v>
      </c>
      <c r="W823" s="11">
        <f>IF($A823&gt;'1-Input'!$B$26,0,IF(AB822&lt;=0,0,MAX(0,(AB822-AC822)/AB822)))</f>
        <v>0.81059959974230489</v>
      </c>
      <c r="X823" s="18">
        <f>IF($A823&gt;'1-Input'!$B$26,0,(MAX(0,W781-IF($A823&gt;='1-Input'!$C$12,'1-Input'!$B$12,0))-MIN(MAX(AA822,0),MAX(0,W781-IF($A823&gt;='1-Input'!$C$12,'1-Input'!$B$12,0))))*(1/(1-'P-Parametri'!$B$6*W823))+MIN(MAX(0,AB822-(MAX(0,W781-IF($A823&gt;='1-Input'!$C$12,'1-Input'!$B$12,0))-MIN(MAX(AA822,0),MAX(0,W781-IF($A823&gt;='1-Input'!$C$12,'1-Input'!$B$12,0))))*(1/(1-'P-Parametri'!$B$6*W823))),MAX(0,2*W781-(AA822-MIN(MAX(AA822,0),MAX(0,W781-IF($A823&gt;='1-Input'!$C$12,'1-Input'!$B$12,0)))))*(1/(1-'P-Parametri'!$B$6*W823))))</f>
        <v>10710.947926680412</v>
      </c>
      <c r="Y823" s="18">
        <f>IF($A823&gt;'1-Input'!$B$26,AA822,(AA822-MAX(0,W781-IF($A823&gt;='1-Input'!$C$12,'1-Input'!$B$12,0))+X823*(1-'P-Parametri'!$B$6*W823))*(1+'1-Input'!$B$27))</f>
        <v>38691.724605045303</v>
      </c>
      <c r="Z823" s="18">
        <f>IF($A823&gt;'1-Input'!$B$26,AB822,(AB822-X823)*(1+$D$4))</f>
        <v>1960.6505107964977</v>
      </c>
      <c r="AA823" s="18">
        <f>IF($A823&gt;'1-Input'!$B$26,Y823,Y823-'P-Parametri'!$B$8*(Z823+Y823)+MIN(MAX(Z823,0),'P-Parametri'!$B$8*(Z823+Y823)))</f>
        <v>38691.724605045303</v>
      </c>
      <c r="AB823" s="18">
        <f>IF($A823&gt;'1-Input'!$B$26,Z823,Z823-MIN(MAX(Z823,0),'P-Parametri'!$B$8*(Z823+Y823)))</f>
        <v>1879.3457605648141</v>
      </c>
      <c r="AC823" s="18">
        <f>IF($A823&gt;'1-Input'!$B$26,AC822,AC822-X823*(1-W823))</f>
        <v>357.06537645222193</v>
      </c>
      <c r="AD823" s="11">
        <f>IF($A823&gt;'1-Input'!$B$26,0,IF(AI822&lt;=0,0,MAX(0,(AI822-AJ822)/AI822)))</f>
        <v>0.81091375175571501</v>
      </c>
      <c r="AE823" s="18">
        <f>IF($A823&gt;'1-Input'!$B$26,0,(MAX(0,AD781-IF($A823&gt;='1-Input'!$C$12,'1-Input'!$B$12,0))-MIN(MAX(AH822,0),MAX(0,AD781-IF($A823&gt;='1-Input'!$C$12,'1-Input'!$B$12,0))))*(1/(1-'P-Parametri'!$B$6*AD823))+MIN(MAX(0,AI822-(MAX(0,AD781-IF($A823&gt;='1-Input'!$C$12,'1-Input'!$B$12,0))-MIN(MAX(AH822,0),MAX(0,AD781-IF($A823&gt;='1-Input'!$C$12,'1-Input'!$B$12,0))))*(1/(1-'P-Parametri'!$B$6*AD823))),MAX(0,2*AD781-(AH822-MIN(MAX(AH822,0),MAX(0,AD781-IF($A823&gt;='1-Input'!$C$12,'1-Input'!$B$12,0)))))*(1/(1-'P-Parametri'!$B$6*AD823))))</f>
        <v>10687.04837443933</v>
      </c>
      <c r="AF823" s="18">
        <f>IF($A823&gt;'1-Input'!$B$26,AH822,(AH822-MAX(0,AD781-IF($A823&gt;='1-Input'!$C$12,'1-Input'!$B$12,0))+AE823*(1-'P-Parametri'!$B$6*AD823))*(1+'1-Input'!$B$27))</f>
        <v>38652.676856956641</v>
      </c>
      <c r="AG823" s="18">
        <f>IF($A823&gt;'1-Input'!$B$26,AI822,(AI822-AE823)*(1+$D$4))</f>
        <v>4283.1805189446095</v>
      </c>
      <c r="AH823" s="18">
        <f>IF($A823&gt;'1-Input'!$B$26,AF823,AF823-'P-Parametri'!$B$8*(AG823+AF823)+MIN(MAX(AG823,0),'P-Parametri'!$B$8*(AG823+AF823)))</f>
        <v>38652.676856956641</v>
      </c>
      <c r="AI823" s="18">
        <f>IF($A823&gt;'1-Input'!$B$26,AG823,AG823-MIN(MAX(AG823,0),'P-Parametri'!$B$8*(AG823+AF823)))</f>
        <v>4197.3088041928067</v>
      </c>
      <c r="AJ823" s="18">
        <f>IF($A823&gt;'1-Input'!$B$26,AJ822,AJ822-AE823*(1-AD823))</f>
        <v>778.74089892331313</v>
      </c>
      <c r="AK823" s="11">
        <f>IF($A823&gt;'1-Input'!$B$26,0,IF(AP822&lt;=0,0,MAX(0,(AP822-AQ822)/AP822)))</f>
        <v>0.81091072206308801</v>
      </c>
      <c r="AL823" s="18">
        <f>IF($A823&gt;'1-Input'!$B$26,0,(MAX(0,AK781-IF($A823&gt;='1-Input'!$C$12,'1-Input'!$B$12,0))-MIN(MAX(AO822,0),MAX(0,AK781-IF($A823&gt;='1-Input'!$C$12,'1-Input'!$B$12,0))))*(1/(1-'P-Parametri'!$B$6*AK823))+MIN(MAX(0,AP822-(MAX(0,AK781-IF($A823&gt;='1-Input'!$C$12,'1-Input'!$B$12,0))-MIN(MAX(AO822,0),MAX(0,AK781-IF($A823&gt;='1-Input'!$C$12,'1-Input'!$B$12,0))))*(1/(1-'P-Parametri'!$B$6*AK823))),MAX(0,2*AK781-(AO822-MIN(MAX(AO822,0),MAX(0,AK781-IF($A823&gt;='1-Input'!$C$12,'1-Input'!$B$12,0)))))*(1/(1-'P-Parametri'!$B$6*AK823))))</f>
        <v>10687.307547232091</v>
      </c>
      <c r="AM823" s="18">
        <f>IF($A823&gt;'1-Input'!$B$26,AO822,(AO822-MAX(0,AK781-IF($A823&gt;='1-Input'!$C$12,'1-Input'!$B$12,0))+AL823*(1-'P-Parametri'!$B$6*AK823))*(1+'1-Input'!$B$27))</f>
        <v>38653.098186232593</v>
      </c>
      <c r="AN823" s="18">
        <f>IF($A823&gt;'1-Input'!$B$26,AP822,(AP822-AL823)*(1+$D$4))</f>
        <v>4258.1180285256287</v>
      </c>
      <c r="AO823" s="18">
        <f>IF($A823&gt;'1-Input'!$B$26,AM823,AM823-'P-Parametri'!$B$8*(AN823+AM823)+MIN(MAX(AN823,0),'P-Parametri'!$B$8*(AN823+AM823)))</f>
        <v>38653.098186232593</v>
      </c>
      <c r="AP823" s="18">
        <f>IF($A823&gt;'1-Input'!$B$26,AN823,AN823-MIN(MAX(AN823,0),'P-Parametri'!$B$8*(AN823+AM823)))</f>
        <v>4172.2955960961126</v>
      </c>
      <c r="AQ823" s="18">
        <f>IF($A823&gt;'1-Input'!$B$26,AQ822,AQ822-AL823*(1-AK823))</f>
        <v>774.19659940775</v>
      </c>
    </row>
    <row r="824" spans="1:43">
      <c r="A824" s="10">
        <f>41</f>
        <v>41</v>
      </c>
      <c r="B824" s="11">
        <f>IF($A824&gt;'1-Input'!$B$26,0,IF(G823&lt;=0,0,MAX(0,(G823-H823)/G823)))</f>
        <v>0.8216719919976031</v>
      </c>
      <c r="C824" s="18">
        <f>IF($A824&gt;'1-Input'!$B$26,0,(MAX(0,B781-IF($A824&gt;='1-Input'!$C$12,'1-Input'!$B$12,0))-MIN(MAX(F823,0),MAX(0,B781-IF($A824&gt;='1-Input'!$C$12,'1-Input'!$B$12,0))))*(1/(1-'P-Parametri'!$B$6*B824))+MIN(MAX(0,G823-(MAX(0,B781-IF($A824&gt;='1-Input'!$C$12,'1-Input'!$B$12,0))-MIN(MAX(F823,0),MAX(0,B781-IF($A824&gt;='1-Input'!$C$12,'1-Input'!$B$12,0))))*(1/(1-'P-Parametri'!$B$6*B824))),MAX(0,2*B781-(F823-MIN(MAX(F823,0),MAX(0,B781-IF($A824&gt;='1-Input'!$C$12,'1-Input'!$B$12,0)))))*(1/(1-'P-Parametri'!$B$6*B824))))</f>
        <v>7247.4701551063563</v>
      </c>
      <c r="D824" s="18">
        <f>IF($A824&gt;'1-Input'!$B$26,F823,(F823-MAX(0,B781-IF($A824&gt;='1-Input'!$C$12,'1-Input'!$B$12,0))+C824*(1-'P-Parametri'!$B$6*B824))*(1+'1-Input'!$B$27))</f>
        <v>33242.0070309863</v>
      </c>
      <c r="E824" s="18">
        <f>IF($A824&gt;'1-Input'!$B$26,G823,(G823-C824)*(1+$D$4))</f>
        <v>331349.07472856133</v>
      </c>
      <c r="F824" s="18">
        <f>IF($A824&gt;'1-Input'!$B$26,D824,D824-'P-Parametri'!$B$8*(E824+D824)+MIN(MAX(E824,0),'P-Parametri'!$B$8*(E824+D824)))</f>
        <v>33242.0070309863</v>
      </c>
      <c r="G824" s="18">
        <f>IF($A824&gt;'1-Input'!$B$26,E824,E824-MIN(MAX(E824,0),'P-Parametri'!$B$8*(E824+D824)))</f>
        <v>330619.89256504225</v>
      </c>
      <c r="H824" s="18">
        <f>IF($A824&gt;'1-Input'!$B$26,H823,H823-C824*(1-B824))</f>
        <v>56816.173509405475</v>
      </c>
      <c r="I824" s="11">
        <f>IF($A824&gt;'1-Input'!$B$26,0,IF(N823&lt;=0,0,MAX(0,(N823-O823)/N823)))</f>
        <v>0</v>
      </c>
      <c r="J824" s="18">
        <f>IF($A824&gt;'1-Input'!$B$26,0,(MAX(0,I781-IF($A824&gt;='1-Input'!$C$12,'1-Input'!$B$12,0))-MIN(MAX(M823,0),MAX(0,I781-IF($A824&gt;='1-Input'!$C$12,'1-Input'!$B$12,0))))*(1/(1-'P-Parametri'!$B$6*I824))+MIN(MAX(0,N823-(MAX(0,I781-IF($A824&gt;='1-Input'!$C$12,'1-Input'!$B$12,0))-MIN(MAX(M823,0),MAX(0,I781-IF($A824&gt;='1-Input'!$C$12,'1-Input'!$B$12,0))))*(1/(1-'P-Parametri'!$B$6*I824))),MAX(0,2*I781-(M823-MIN(MAX(M823,0),MAX(0,I781-IF($A824&gt;='1-Input'!$C$12,'1-Input'!$B$12,0)))))*(1/(1-'P-Parametri'!$B$6*I824))))</f>
        <v>10846.756992928691</v>
      </c>
      <c r="K824" s="18">
        <f>IF($A824&gt;'1-Input'!$B$26,M823,(M823-MAX(0,I781-IF($A824&gt;='1-Input'!$C$12,'1-Input'!$B$12,0))+J824*(1-'P-Parametri'!$B$6*I824))*(1+'1-Input'!$B$27))</f>
        <v>0</v>
      </c>
      <c r="L824" s="18">
        <f>IF($A824&gt;'1-Input'!$B$26,N823,(N823-J824)*(1+$D$4))</f>
        <v>-179595.21839023902</v>
      </c>
      <c r="M824" s="18">
        <f>IF($A824&gt;'1-Input'!$B$26,K824,K824-'P-Parametri'!$B$8*(L824+K824)+MIN(MAX(L824,0),'P-Parametri'!$B$8*(L824+K824)))</f>
        <v>0</v>
      </c>
      <c r="N824" s="18">
        <f>IF($A824&gt;'1-Input'!$B$26,L824,L824-MIN(MAX(L824,0),'P-Parametri'!$B$8*(L824+K824)))</f>
        <v>-179236.02795345854</v>
      </c>
      <c r="O824" s="18">
        <f>IF($A824&gt;'1-Input'!$B$26,O823,O823-J824*(1-I824))</f>
        <v>-137606.63063671518</v>
      </c>
      <c r="P824" s="11">
        <f>IF($A824&gt;'1-Input'!$B$26,0,IF(U823&lt;=0,0,MAX(0,(U823-V823)/U823)))</f>
        <v>0</v>
      </c>
      <c r="Q824" s="18">
        <f>IF($A824&gt;'1-Input'!$B$26,0,(MAX(0,P781-IF($A824&gt;='1-Input'!$C$12,'1-Input'!$B$12,0))-MIN(MAX(T823,0),MAX(0,P781-IF($A824&gt;='1-Input'!$C$12,'1-Input'!$B$12,0))))*(1/(1-'P-Parametri'!$B$6*P824))+MIN(MAX(0,U823-(MAX(0,P781-IF($A824&gt;='1-Input'!$C$12,'1-Input'!$B$12,0))-MIN(MAX(T823,0),MAX(0,P781-IF($A824&gt;='1-Input'!$C$12,'1-Input'!$B$12,0))))*(1/(1-'P-Parametri'!$B$6*P824))),MAX(0,2*P781-(T823-MIN(MAX(T823,0),MAX(0,P781-IF($A824&gt;='1-Input'!$C$12,'1-Input'!$B$12,0)))))*(1/(1-'P-Parametri'!$B$6*P824))))</f>
        <v>4112.0218736478928</v>
      </c>
      <c r="R824" s="18">
        <f>IF($A824&gt;'1-Input'!$B$26,T823,(T823-MAX(0,P781-IF($A824&gt;='1-Input'!$C$12,'1-Input'!$B$12,0))+Q824*(1-'P-Parametri'!$B$6*P824))*(1+'1-Input'!$B$27))</f>
        <v>0</v>
      </c>
      <c r="S824" s="18">
        <f>IF($A824&gt;'1-Input'!$B$26,U823,(U823-Q824)*(1+$D$4))</f>
        <v>-4276.502748593809</v>
      </c>
      <c r="T824" s="18">
        <f>IF($A824&gt;'1-Input'!$B$26,R824,R824-'P-Parametri'!$B$8*(S824+R824)+MIN(MAX(S824,0),'P-Parametri'!$B$8*(S824+R824)))</f>
        <v>0</v>
      </c>
      <c r="U824" s="18">
        <f>IF($A824&gt;'1-Input'!$B$26,S824,S824-MIN(MAX(S824,0),'P-Parametri'!$B$8*(S824+R824)))</f>
        <v>-4267.9497430966212</v>
      </c>
      <c r="V824" s="18">
        <f>IF($A824&gt;'1-Input'!$B$26,V823,V823-Q824*(1-P824))</f>
        <v>-4112.0218736478928</v>
      </c>
      <c r="W824" s="11">
        <f>IF($A824&gt;'1-Input'!$B$26,0,IF(AB823&lt;=0,0,MAX(0,(AB823-AC823)/AB823)))</f>
        <v>0.81000549023777813</v>
      </c>
      <c r="X824" s="18">
        <f>IF($A824&gt;'1-Input'!$B$26,0,(MAX(0,W781-IF($A824&gt;='1-Input'!$C$12,'1-Input'!$B$12,0))-MIN(MAX(AA823,0),MAX(0,W781-IF($A824&gt;='1-Input'!$C$12,'1-Input'!$B$12,0))))*(1/(1-'P-Parametri'!$B$6*W824))+MIN(MAX(0,AB823-(MAX(0,W781-IF($A824&gt;='1-Input'!$C$12,'1-Input'!$B$12,0))-MIN(MAX(AA823,0),MAX(0,W781-IF($A824&gt;='1-Input'!$C$12,'1-Input'!$B$12,0))))*(1/(1-'P-Parametri'!$B$6*W824))),MAX(0,2*W781-(AA823-MIN(MAX(AA823,0),MAX(0,W781-IF($A824&gt;='1-Input'!$C$12,'1-Input'!$B$12,0)))))*(1/(1-'P-Parametri'!$B$6*W824))))</f>
        <v>1879.3457605648141</v>
      </c>
      <c r="Y824" s="18">
        <f>IF($A824&gt;'1-Input'!$B$26,AA823,(AA823-MAX(0,W781-IF($A824&gt;='1-Input'!$C$12,'1-Input'!$B$12,0))+X824*(1-'P-Parametri'!$B$6*W824))*(1+'1-Input'!$B$27))</f>
        <v>31746.816964341524</v>
      </c>
      <c r="Z824" s="18">
        <f>IF($A824&gt;'1-Input'!$B$26,AB823,(AB823-X824)*(1+$D$4))</f>
        <v>0</v>
      </c>
      <c r="AA824" s="18">
        <f>IF($A824&gt;'1-Input'!$B$26,Y824,Y824-'P-Parametri'!$B$8*(Z824+Y824)+MIN(MAX(Z824,0),'P-Parametri'!$B$8*(Z824+Y824)))</f>
        <v>31683.323330412841</v>
      </c>
      <c r="AB824" s="18">
        <f>IF($A824&gt;'1-Input'!$B$26,Z824,Z824-MIN(MAX(Z824,0),'P-Parametri'!$B$8*(Z824+Y824)))</f>
        <v>0</v>
      </c>
      <c r="AC824" s="18">
        <f>IF($A824&gt;'1-Input'!$B$26,AC823,AC823-X824*(1-W824))</f>
        <v>5.6843418860808015E-14</v>
      </c>
      <c r="AD824" s="11">
        <f>IF($A824&gt;'1-Input'!$B$26,0,IF(AI823&lt;=0,0,MAX(0,(AI823-AJ823)/AI823)))</f>
        <v>0.81446661771814177</v>
      </c>
      <c r="AE824" s="18">
        <f>IF($A824&gt;'1-Input'!$B$26,0,(MAX(0,AD781-IF($A824&gt;='1-Input'!$C$12,'1-Input'!$B$12,0))-MIN(MAX(AH823,0),MAX(0,AD781-IF($A824&gt;='1-Input'!$C$12,'1-Input'!$B$12,0))))*(1/(1-'P-Parametri'!$B$6*AD824))+MIN(MAX(0,AI823-(MAX(0,AD781-IF($A824&gt;='1-Input'!$C$12,'1-Input'!$B$12,0))-MIN(MAX(AH823,0),MAX(0,AD781-IF($A824&gt;='1-Input'!$C$12,'1-Input'!$B$12,0))))*(1/(1-'P-Parametri'!$B$6*AD824))),MAX(0,2*AD781-(AH823-MIN(MAX(AH823,0),MAX(0,AD781-IF($A824&gt;='1-Input'!$C$12,'1-Input'!$B$12,0)))))*(1/(1-'P-Parametri'!$B$6*AD824))))</f>
        <v>4197.3088041928067</v>
      </c>
      <c r="AF824" s="18">
        <f>IF($A824&gt;'1-Input'!$B$26,AH823,(AH823-MAX(0,AD781-IF($A824&gt;='1-Input'!$C$12,'1-Input'!$B$12,0))+AE824*(1-'P-Parametri'!$B$6*AD824))*(1+'1-Input'!$B$27))</f>
        <v>33545.792208480249</v>
      </c>
      <c r="AG824" s="18">
        <f>IF($A824&gt;'1-Input'!$B$26,AI823,(AI823-AE824)*(1+$D$4))</f>
        <v>0</v>
      </c>
      <c r="AH824" s="18">
        <f>IF($A824&gt;'1-Input'!$B$26,AF824,AF824-'P-Parametri'!$B$8*(AG824+AF824)+MIN(MAX(AG824,0),'P-Parametri'!$B$8*(AG824+AF824)))</f>
        <v>33478.700624063291</v>
      </c>
      <c r="AI824" s="18">
        <f>IF($A824&gt;'1-Input'!$B$26,AG824,AG824-MIN(MAX(AG824,0),'P-Parametri'!$B$8*(AG824+AF824)))</f>
        <v>0</v>
      </c>
      <c r="AJ824" s="18">
        <f>IF($A824&gt;'1-Input'!$B$26,AJ823,AJ823-AE824*(1-AD824))</f>
        <v>-1.1368683772161603E-13</v>
      </c>
      <c r="AK824" s="11">
        <f>IF($A824&gt;'1-Input'!$B$26,0,IF(AP823&lt;=0,0,MAX(0,(AP823-AQ823)/AP823)))</f>
        <v>0.81444349241886371</v>
      </c>
      <c r="AL824" s="18">
        <f>IF($A824&gt;'1-Input'!$B$26,0,(MAX(0,AK781-IF($A824&gt;='1-Input'!$C$12,'1-Input'!$B$12,0))-MIN(MAX(AO823,0),MAX(0,AK781-IF($A824&gt;='1-Input'!$C$12,'1-Input'!$B$12,0))))*(1/(1-'P-Parametri'!$B$6*AK824))+MIN(MAX(0,AP823-(MAX(0,AK781-IF($A824&gt;='1-Input'!$C$12,'1-Input'!$B$12,0))-MIN(MAX(AO823,0),MAX(0,AK781-IF($A824&gt;='1-Input'!$C$12,'1-Input'!$B$12,0))))*(1/(1-'P-Parametri'!$B$6*AK824))),MAX(0,2*AK781-(AO823-MIN(MAX(AO823,0),MAX(0,AK781-IF($A824&gt;='1-Input'!$C$12,'1-Input'!$B$12,0)))))*(1/(1-'P-Parametri'!$B$6*AK824))))</f>
        <v>4172.2955960961126</v>
      </c>
      <c r="AM824" s="18">
        <f>IF($A824&gt;'1-Input'!$B$26,AO823,(AO823-MAX(0,AK781-IF($A824&gt;='1-Input'!$C$12,'1-Input'!$B$12,0))+AL824*(1-'P-Parametri'!$B$6*AK824))*(1+'1-Input'!$B$27))</f>
        <v>33526.38095311795</v>
      </c>
      <c r="AN824" s="18">
        <f>IF($A824&gt;'1-Input'!$B$26,AP823,(AP823-AL824)*(1+$D$4))</f>
        <v>0</v>
      </c>
      <c r="AO824" s="18">
        <f>IF($A824&gt;'1-Input'!$B$26,AM824,AM824-'P-Parametri'!$B$8*(AN824+AM824)+MIN(MAX(AN824,0),'P-Parametri'!$B$8*(AN824+AM824)))</f>
        <v>33459.328191211716</v>
      </c>
      <c r="AP824" s="18">
        <f>IF($A824&gt;'1-Input'!$B$26,AN824,AN824-MIN(MAX(AN824,0),'P-Parametri'!$B$8*(AN824+AM824)))</f>
        <v>0</v>
      </c>
      <c r="AQ824" s="18">
        <f>IF($A824&gt;'1-Input'!$B$26,AQ823,AQ823-AL824*(1-AK824))</f>
        <v>1.1368683772161603E-13</v>
      </c>
    </row>
    <row r="825" spans="1:43">
      <c r="A825" s="10">
        <f>42</f>
        <v>42</v>
      </c>
      <c r="B825" s="11">
        <f>IF($A825&gt;'1-Input'!$B$26,0,IF(G824&lt;=0,0,MAX(0,(G824-H824)/G824)))</f>
        <v>0.828152586135669</v>
      </c>
      <c r="C825" s="18">
        <f>IF($A825&gt;'1-Input'!$B$26,0,(MAX(0,B781-IF($A825&gt;='1-Input'!$C$12,'1-Input'!$B$12,0))-MIN(MAX(F824,0),MAX(0,B781-IF($A825&gt;='1-Input'!$C$12,'1-Input'!$B$12,0))))*(1/(1-'P-Parametri'!$B$6*B825))+MIN(MAX(0,G824-(MAX(0,B781-IF($A825&gt;='1-Input'!$C$12,'1-Input'!$B$12,0))-MIN(MAX(F824,0),MAX(0,B781-IF($A825&gt;='1-Input'!$C$12,'1-Input'!$B$12,0))))*(1/(1-'P-Parametri'!$B$6*B825))),MAX(0,2*B781-(F824-MIN(MAX(F824,0),MAX(0,B781-IF($A825&gt;='1-Input'!$C$12,'1-Input'!$B$12,0)))))*(1/(1-'P-Parametri'!$B$6*B825))))</f>
        <v>7263.0327439048469</v>
      </c>
      <c r="D825" s="18">
        <f>IF($A825&gt;'1-Input'!$B$26,F824,(F824-MAX(0,B781-IF($A825&gt;='1-Input'!$C$12,'1-Input'!$B$12,0))+C825*(1-'P-Parametri'!$B$6*B825))*(1+'1-Input'!$B$27))</f>
        <v>33242.0070309863</v>
      </c>
      <c r="E825" s="18">
        <f>IF($A825&gt;'1-Input'!$B$26,G824,(G824-C825)*(1+$D$4))</f>
        <v>336291.13421398291</v>
      </c>
      <c r="F825" s="18">
        <f>IF($A825&gt;'1-Input'!$B$26,D825,D825-'P-Parametri'!$B$8*(E825+D825)+MIN(MAX(E825,0),'P-Parametri'!$B$8*(E825+D825)))</f>
        <v>33242.0070309863</v>
      </c>
      <c r="G825" s="18">
        <f>IF($A825&gt;'1-Input'!$B$26,E825,E825-MIN(MAX(E825,0),'P-Parametri'!$B$8*(E825+D825)))</f>
        <v>335552.06793149299</v>
      </c>
      <c r="H825" s="18">
        <f>IF($A825&gt;'1-Input'!$B$26,H824,H824-C825*(1-B825))</f>
        <v>55568.040115553471</v>
      </c>
      <c r="I825" s="11">
        <f>IF($A825&gt;'1-Input'!$B$26,0,IF(N824&lt;=0,0,MAX(0,(N824-O824)/N824)))</f>
        <v>0</v>
      </c>
      <c r="J825" s="18">
        <f>IF($A825&gt;'1-Input'!$B$26,0,(MAX(0,I781-IF($A825&gt;='1-Input'!$C$12,'1-Input'!$B$12,0))-MIN(MAX(M824,0),MAX(0,I781-IF($A825&gt;='1-Input'!$C$12,'1-Input'!$B$12,0))))*(1/(1-'P-Parametri'!$B$6*I825))+MIN(MAX(0,N824-(MAX(0,I781-IF($A825&gt;='1-Input'!$C$12,'1-Input'!$B$12,0))-MIN(MAX(M824,0),MAX(0,I781-IF($A825&gt;='1-Input'!$C$12,'1-Input'!$B$12,0))))*(1/(1-'P-Parametri'!$B$6*I825))),MAX(0,2*I781-(M824-MIN(MAX(M824,0),MAX(0,I781-IF($A825&gt;='1-Input'!$C$12,'1-Input'!$B$12,0)))))*(1/(1-'P-Parametri'!$B$6*I825))))</f>
        <v>10846.756992928691</v>
      </c>
      <c r="K825" s="18">
        <f>IF($A825&gt;'1-Input'!$B$26,M824,(M824-MAX(0,I781-IF($A825&gt;='1-Input'!$C$12,'1-Input'!$B$12,0))+J825*(1-'P-Parametri'!$B$6*I825))*(1+'1-Input'!$B$27))</f>
        <v>0</v>
      </c>
      <c r="L825" s="18">
        <f>IF($A825&gt;'1-Input'!$B$26,N824,(N824-J825)*(1+$D$4))</f>
        <v>-197686.09634424272</v>
      </c>
      <c r="M825" s="18">
        <f>IF($A825&gt;'1-Input'!$B$26,K825,K825-'P-Parametri'!$B$8*(L825+K825)+MIN(MAX(L825,0),'P-Parametri'!$B$8*(L825+K825)))</f>
        <v>0</v>
      </c>
      <c r="N825" s="18">
        <f>IF($A825&gt;'1-Input'!$B$26,L825,L825-MIN(MAX(L825,0),'P-Parametri'!$B$8*(L825+K825)))</f>
        <v>-197290.72415155423</v>
      </c>
      <c r="O825" s="18">
        <f>IF($A825&gt;'1-Input'!$B$26,O824,O824-J825*(1-I825))</f>
        <v>-148453.38762964387</v>
      </c>
      <c r="P825" s="11">
        <f>IF($A825&gt;'1-Input'!$B$26,0,IF(U824&lt;=0,0,MAX(0,(U824-V824)/U824)))</f>
        <v>0</v>
      </c>
      <c r="Q825" s="18">
        <f>IF($A825&gt;'1-Input'!$B$26,0,(MAX(0,P781-IF($A825&gt;='1-Input'!$C$12,'1-Input'!$B$12,0))-MIN(MAX(T824,0),MAX(0,P781-IF($A825&gt;='1-Input'!$C$12,'1-Input'!$B$12,0))))*(1/(1-'P-Parametri'!$B$6*P825))+MIN(MAX(0,U824-(MAX(0,P781-IF($A825&gt;='1-Input'!$C$12,'1-Input'!$B$12,0))-MIN(MAX(T824,0),MAX(0,P781-IF($A825&gt;='1-Input'!$C$12,'1-Input'!$B$12,0))))*(1/(1-'P-Parametri'!$B$6*P825))),MAX(0,2*P781-(T824-MIN(MAX(T824,0),MAX(0,P781-IF($A825&gt;='1-Input'!$C$12,'1-Input'!$B$12,0)))))*(1/(1-'P-Parametri'!$B$6*P825))))</f>
        <v>8743.4477002483145</v>
      </c>
      <c r="R825" s="18">
        <f>IF($A825&gt;'1-Input'!$B$26,T824,(T824-MAX(0,P781-IF($A825&gt;='1-Input'!$C$12,'1-Input'!$B$12,0))+Q825*(1-'P-Parametri'!$B$6*P825))*(1+'1-Input'!$B$27))</f>
        <v>0</v>
      </c>
      <c r="S825" s="18">
        <f>IF($A825&gt;'1-Input'!$B$26,U824,(U824-Q825)*(1+$D$4))</f>
        <v>-13531.853341078735</v>
      </c>
      <c r="T825" s="18">
        <f>IF($A825&gt;'1-Input'!$B$26,R825,R825-'P-Parametri'!$B$8*(S825+R825)+MIN(MAX(S825,0),'P-Parametri'!$B$8*(S825+R825)))</f>
        <v>0</v>
      </c>
      <c r="U825" s="18">
        <f>IF($A825&gt;'1-Input'!$B$26,S825,S825-MIN(MAX(S825,0),'P-Parametri'!$B$8*(S825+R825)))</f>
        <v>-13504.789634396577</v>
      </c>
      <c r="V825" s="18">
        <f>IF($A825&gt;'1-Input'!$B$26,V824,V824-Q825*(1-P825))</f>
        <v>-12855.469573896207</v>
      </c>
      <c r="W825" s="11">
        <f>IF($A825&gt;'1-Input'!$B$26,0,IF(AB824&lt;=0,0,MAX(0,(AB824-AC824)/AB824)))</f>
        <v>0</v>
      </c>
      <c r="X825" s="18">
        <f>IF($A825&gt;'1-Input'!$B$26,0,(MAX(0,W781-IF($A825&gt;='1-Input'!$C$12,'1-Input'!$B$12,0))-MIN(MAX(AA824,0),MAX(0,W781-IF($A825&gt;='1-Input'!$C$12,'1-Input'!$B$12,0))))*(1/(1-'P-Parametri'!$B$6*W825))+MIN(MAX(0,AB824-(MAX(0,W781-IF($A825&gt;='1-Input'!$C$12,'1-Input'!$B$12,0))-MIN(MAX(AA824,0),MAX(0,W781-IF($A825&gt;='1-Input'!$C$12,'1-Input'!$B$12,0))))*(1/(1-'P-Parametri'!$B$6*W825))),MAX(0,2*W781-(AA824-MIN(MAX(AA824,0),MAX(0,W781-IF($A825&gt;='1-Input'!$C$12,'1-Input'!$B$12,0)))))*(1/(1-'P-Parametri'!$B$6*W825))))</f>
        <v>0</v>
      </c>
      <c r="Y825" s="18">
        <f>IF($A825&gt;'1-Input'!$B$26,AA824,(AA824-MAX(0,W781-IF($A825&gt;='1-Input'!$C$12,'1-Input'!$B$12,0))+X825*(1-'P-Parametri'!$B$6*W825))*(1+'1-Input'!$B$27))</f>
        <v>23285.4338639007</v>
      </c>
      <c r="Z825" s="18">
        <f>IF($A825&gt;'1-Input'!$B$26,AB824,(AB824-X825)*(1+$D$4))</f>
        <v>0</v>
      </c>
      <c r="AA825" s="18">
        <f>IF($A825&gt;'1-Input'!$B$26,Y825,Y825-'P-Parametri'!$B$8*(Z825+Y825)+MIN(MAX(Z825,0),'P-Parametri'!$B$8*(Z825+Y825)))</f>
        <v>23238.862996172898</v>
      </c>
      <c r="AB825" s="18">
        <f>IF($A825&gt;'1-Input'!$B$26,Z825,Z825-MIN(MAX(Z825,0),'P-Parametri'!$B$8*(Z825+Y825)))</f>
        <v>0</v>
      </c>
      <c r="AC825" s="18">
        <f>IF($A825&gt;'1-Input'!$B$26,AC824,AC824-X825*(1-W825))</f>
        <v>5.6843418860808015E-14</v>
      </c>
      <c r="AD825" s="11">
        <f>IF($A825&gt;'1-Input'!$B$26,0,IF(AI824&lt;=0,0,MAX(0,(AI824-AJ824)/AI824)))</f>
        <v>0</v>
      </c>
      <c r="AE825" s="18">
        <f>IF($A825&gt;'1-Input'!$B$26,0,(MAX(0,AD781-IF($A825&gt;='1-Input'!$C$12,'1-Input'!$B$12,0))-MIN(MAX(AH824,0),MAX(0,AD781-IF($A825&gt;='1-Input'!$C$12,'1-Input'!$B$12,0))))*(1/(1-'P-Parametri'!$B$6*AD825))+MIN(MAX(0,AI824-(MAX(0,AD781-IF($A825&gt;='1-Input'!$C$12,'1-Input'!$B$12,0))-MIN(MAX(AH824,0),MAX(0,AD781-IF($A825&gt;='1-Input'!$C$12,'1-Input'!$B$12,0))))*(1/(1-'P-Parametri'!$B$6*AD825))),MAX(0,2*AD781-(AH824-MIN(MAX(AH824,0),MAX(0,AD781-IF($A825&gt;='1-Input'!$C$12,'1-Input'!$B$12,0)))))*(1/(1-'P-Parametri'!$B$6*AD825))))</f>
        <v>0</v>
      </c>
      <c r="AF825" s="18">
        <f>IF($A825&gt;'1-Input'!$B$26,AH824,(AH824-MAX(0,AD781-IF($A825&gt;='1-Input'!$C$12,'1-Input'!$B$12,0))+AE825*(1-'P-Parametri'!$B$6*AD825))*(1+'1-Input'!$B$27))</f>
        <v>25093.871673338341</v>
      </c>
      <c r="AG825" s="18">
        <f>IF($A825&gt;'1-Input'!$B$26,AI824,(AI824-AE825)*(1+$D$4))</f>
        <v>0</v>
      </c>
      <c r="AH825" s="18">
        <f>IF($A825&gt;'1-Input'!$B$26,AF825,AF825-'P-Parametri'!$B$8*(AG825+AF825)+MIN(MAX(AG825,0),'P-Parametri'!$B$8*(AG825+AF825)))</f>
        <v>25043.683929991665</v>
      </c>
      <c r="AI825" s="18">
        <f>IF($A825&gt;'1-Input'!$B$26,AG825,AG825-MIN(MAX(AG825,0),'P-Parametri'!$B$8*(AG825+AF825)))</f>
        <v>0</v>
      </c>
      <c r="AJ825" s="18">
        <f>IF($A825&gt;'1-Input'!$B$26,AJ824,AJ824-AE825*(1-AD825))</f>
        <v>-1.1368683772161603E-13</v>
      </c>
      <c r="AK825" s="11">
        <f>IF($A825&gt;'1-Input'!$B$26,0,IF(AP824&lt;=0,0,MAX(0,(AP824-AQ824)/AP824)))</f>
        <v>0</v>
      </c>
      <c r="AL825" s="18">
        <f>IF($A825&gt;'1-Input'!$B$26,0,(MAX(0,AK781-IF($A825&gt;='1-Input'!$C$12,'1-Input'!$B$12,0))-MIN(MAX(AO824,0),MAX(0,AK781-IF($A825&gt;='1-Input'!$C$12,'1-Input'!$B$12,0))))*(1/(1-'P-Parametri'!$B$6*AK825))+MIN(MAX(0,AP824-(MAX(0,AK781-IF($A825&gt;='1-Input'!$C$12,'1-Input'!$B$12,0))-MIN(MAX(AO824,0),MAX(0,AK781-IF($A825&gt;='1-Input'!$C$12,'1-Input'!$B$12,0))))*(1/(1-'P-Parametri'!$B$6*AK825))),MAX(0,2*AK781-(AO824-MIN(MAX(AO824,0),MAX(0,AK781-IF($A825&gt;='1-Input'!$C$12,'1-Input'!$B$12,0)))))*(1/(1-'P-Parametri'!$B$6*AK825))))</f>
        <v>0</v>
      </c>
      <c r="AM825" s="18">
        <f>IF($A825&gt;'1-Input'!$B$26,AO824,(AO824-MAX(0,AK781-IF($A825&gt;='1-Input'!$C$12,'1-Input'!$B$12,0))+AL825*(1-'P-Parametri'!$B$6*AK825))*(1+'1-Input'!$B$27))</f>
        <v>25074.358316607053</v>
      </c>
      <c r="AN825" s="18">
        <f>IF($A825&gt;'1-Input'!$B$26,AP824,(AP824-AL825)*(1+$D$4))</f>
        <v>0</v>
      </c>
      <c r="AO825" s="18">
        <f>IF($A825&gt;'1-Input'!$B$26,AM825,AM825-'P-Parametri'!$B$8*(AN825+AM825)+MIN(MAX(AN825,0),'P-Parametri'!$B$8*(AN825+AM825)))</f>
        <v>25024.209599973838</v>
      </c>
      <c r="AP825" s="18">
        <f>IF($A825&gt;'1-Input'!$B$26,AN825,AN825-MIN(MAX(AN825,0),'P-Parametri'!$B$8*(AN825+AM825)))</f>
        <v>0</v>
      </c>
      <c r="AQ825" s="18">
        <f>IF($A825&gt;'1-Input'!$B$26,AQ824,AQ824-AL825*(1-AK825))</f>
        <v>1.1368683772161603E-13</v>
      </c>
    </row>
    <row r="826" spans="1:43">
      <c r="A826" s="10">
        <f>43</f>
        <v>43</v>
      </c>
      <c r="B826" s="11">
        <f>IF($A826&gt;'1-Input'!$B$26,0,IF(G825&lt;=0,0,MAX(0,(G825-H825)/G825)))</f>
        <v>0.83439815925408523</v>
      </c>
      <c r="C826" s="18">
        <f>IF($A826&gt;'1-Input'!$B$26,0,(MAX(0,B781-IF($A826&gt;='1-Input'!$C$12,'1-Input'!$B$12,0))-MIN(MAX(F825,0),MAX(0,B781-IF($A826&gt;='1-Input'!$C$12,'1-Input'!$B$12,0))))*(1/(1-'P-Parametri'!$B$6*B826))+MIN(MAX(0,G825-(MAX(0,B781-IF($A826&gt;='1-Input'!$C$12,'1-Input'!$B$12,0))-MIN(MAX(F825,0),MAX(0,B781-IF($A826&gt;='1-Input'!$C$12,'1-Input'!$B$12,0))))*(1/(1-'P-Parametri'!$B$6*B826))),MAX(0,2*B781-(F825-MIN(MAX(F825,0),MAX(0,B781-IF($A826&gt;='1-Input'!$C$12,'1-Input'!$B$12,0)))))*(1/(1-'P-Parametri'!$B$6*B826))))</f>
        <v>7278.0943248494159</v>
      </c>
      <c r="D826" s="18">
        <f>IF($A826&gt;'1-Input'!$B$26,F825,(F825-MAX(0,B781-IF($A826&gt;='1-Input'!$C$12,'1-Input'!$B$12,0))+C826*(1-'P-Parametri'!$B$6*B826))*(1+'1-Input'!$B$27))</f>
        <v>33242.0070309863</v>
      </c>
      <c r="E826" s="18">
        <f>IF($A826&gt;'1-Input'!$B$26,G825,(G825-C826)*(1+$D$4))</f>
        <v>341404.93255090929</v>
      </c>
      <c r="F826" s="18">
        <f>IF($A826&gt;'1-Input'!$B$26,D826,D826-'P-Parametri'!$B$8*(E826+D826)+MIN(MAX(E826,0),'P-Parametri'!$B$8*(E826+D826)))</f>
        <v>33242.0070309863</v>
      </c>
      <c r="G826" s="18">
        <f>IF($A826&gt;'1-Input'!$B$26,E826,E826-MIN(MAX(E826,0),'P-Parametri'!$B$8*(E826+D826)))</f>
        <v>340655.63867174549</v>
      </c>
      <c r="H826" s="18">
        <f>IF($A826&gt;'1-Input'!$B$26,H825,H825-C826*(1-B826))</f>
        <v>54362.774298236014</v>
      </c>
      <c r="I826" s="11">
        <f>IF($A826&gt;'1-Input'!$B$26,0,IF(N825&lt;=0,0,MAX(0,(N825-O825)/N825)))</f>
        <v>0</v>
      </c>
      <c r="J826" s="18">
        <f>IF($A826&gt;'1-Input'!$B$26,0,(MAX(0,I781-IF($A826&gt;='1-Input'!$C$12,'1-Input'!$B$12,0))-MIN(MAX(M825,0),MAX(0,I781-IF($A826&gt;='1-Input'!$C$12,'1-Input'!$B$12,0))))*(1/(1-'P-Parametri'!$B$6*I826))+MIN(MAX(0,N825-(MAX(0,I781-IF($A826&gt;='1-Input'!$C$12,'1-Input'!$B$12,0))-MIN(MAX(M825,0),MAX(0,I781-IF($A826&gt;='1-Input'!$C$12,'1-Input'!$B$12,0))))*(1/(1-'P-Parametri'!$B$6*I826))),MAX(0,2*I781-(M825-MIN(MAX(M825,0),MAX(0,I781-IF($A826&gt;='1-Input'!$C$12,'1-Input'!$B$12,0)))))*(1/(1-'P-Parametri'!$B$6*I826))))</f>
        <v>10846.756992928691</v>
      </c>
      <c r="K826" s="18">
        <f>IF($A826&gt;'1-Input'!$B$26,M825,(M825-MAX(0,I781-IF($A826&gt;='1-Input'!$C$12,'1-Input'!$B$12,0))+J826*(1-'P-Parametri'!$B$6*I826))*(1+'1-Input'!$B$27))</f>
        <v>0</v>
      </c>
      <c r="L826" s="18">
        <f>IF($A826&gt;'1-Input'!$B$26,N825,(N825-J826)*(1+$D$4))</f>
        <v>-216462.98039026224</v>
      </c>
      <c r="M826" s="18">
        <f>IF($A826&gt;'1-Input'!$B$26,K826,K826-'P-Parametri'!$B$8*(L826+K826)+MIN(MAX(L826,0),'P-Parametri'!$B$8*(L826+K826)))</f>
        <v>0</v>
      </c>
      <c r="N826" s="18">
        <f>IF($A826&gt;'1-Input'!$B$26,L826,L826-MIN(MAX(L826,0),'P-Parametri'!$B$8*(L826+K826)))</f>
        <v>-216030.05442948171</v>
      </c>
      <c r="O826" s="18">
        <f>IF($A826&gt;'1-Input'!$B$26,O825,O825-J826*(1-I826))</f>
        <v>-159300.14462257255</v>
      </c>
      <c r="P826" s="11">
        <f>IF($A826&gt;'1-Input'!$B$26,0,IF(U825&lt;=0,0,MAX(0,(U825-V825)/U825)))</f>
        <v>0</v>
      </c>
      <c r="Q826" s="18">
        <f>IF($A826&gt;'1-Input'!$B$26,0,(MAX(0,P781-IF($A826&gt;='1-Input'!$C$12,'1-Input'!$B$12,0))-MIN(MAX(T825,0),MAX(0,P781-IF($A826&gt;='1-Input'!$C$12,'1-Input'!$B$12,0))))*(1/(1-'P-Parametri'!$B$6*P826))+MIN(MAX(0,U825-(MAX(0,P781-IF($A826&gt;='1-Input'!$C$12,'1-Input'!$B$12,0))-MIN(MAX(T825,0),MAX(0,P781-IF($A826&gt;='1-Input'!$C$12,'1-Input'!$B$12,0))))*(1/(1-'P-Parametri'!$B$6*P826))),MAX(0,2*P781-(T825-MIN(MAX(T825,0),MAX(0,P781-IF($A826&gt;='1-Input'!$C$12,'1-Input'!$B$12,0)))))*(1/(1-'P-Parametri'!$B$6*P826))))</f>
        <v>8743.4477002483145</v>
      </c>
      <c r="R826" s="18">
        <f>IF($A826&gt;'1-Input'!$B$26,T825,(T825-MAX(0,P781-IF($A826&gt;='1-Input'!$C$12,'1-Input'!$B$12,0))+Q826*(1-'P-Parametri'!$B$6*P826))*(1+'1-Input'!$B$27))</f>
        <v>0</v>
      </c>
      <c r="S826" s="18">
        <f>IF($A826&gt;'1-Input'!$B$26,U825,(U825-Q826)*(1+$D$4))</f>
        <v>-23138.166828030688</v>
      </c>
      <c r="T826" s="18">
        <f>IF($A826&gt;'1-Input'!$B$26,R826,R826-'P-Parametri'!$B$8*(S826+R826)+MIN(MAX(S826,0),'P-Parametri'!$B$8*(S826+R826)))</f>
        <v>0</v>
      </c>
      <c r="U826" s="18">
        <f>IF($A826&gt;'1-Input'!$B$26,S826,S826-MIN(MAX(S826,0),'P-Parametri'!$B$8*(S826+R826)))</f>
        <v>-23091.890494374627</v>
      </c>
      <c r="V826" s="18">
        <f>IF($A826&gt;'1-Input'!$B$26,V825,V825-Q826*(1-P826))</f>
        <v>-21598.917274144522</v>
      </c>
      <c r="W826" s="11">
        <f>IF($A826&gt;'1-Input'!$B$26,0,IF(AB825&lt;=0,0,MAX(0,(AB825-AC825)/AB825)))</f>
        <v>0</v>
      </c>
      <c r="X826" s="18">
        <f>IF($A826&gt;'1-Input'!$B$26,0,(MAX(0,W781-IF($A826&gt;='1-Input'!$C$12,'1-Input'!$B$12,0))-MIN(MAX(AA825,0),MAX(0,W781-IF($A826&gt;='1-Input'!$C$12,'1-Input'!$B$12,0))))*(1/(1-'P-Parametri'!$B$6*W826))+MIN(MAX(0,AB825-(MAX(0,W781-IF($A826&gt;='1-Input'!$C$12,'1-Input'!$B$12,0))-MIN(MAX(AA825,0),MAX(0,W781-IF($A826&gt;='1-Input'!$C$12,'1-Input'!$B$12,0))))*(1/(1-'P-Parametri'!$B$6*W826))),MAX(0,2*W781-(AA825-MIN(MAX(AA825,0),MAX(0,W781-IF($A826&gt;='1-Input'!$C$12,'1-Input'!$B$12,0)))))*(1/(1-'P-Parametri'!$B$6*W826))))</f>
        <v>0</v>
      </c>
      <c r="Y826" s="18">
        <f>IF($A826&gt;'1-Input'!$B$26,AA825,(AA825-MAX(0,W781-IF($A826&gt;='1-Input'!$C$12,'1-Input'!$B$12,0))+X826*(1-'P-Parametri'!$B$6*W826))*(1+'1-Input'!$B$27))</f>
        <v>14871.373586864023</v>
      </c>
      <c r="Z826" s="18">
        <f>IF($A826&gt;'1-Input'!$B$26,AB825,(AB825-X826)*(1+$D$4))</f>
        <v>0</v>
      </c>
      <c r="AA826" s="18">
        <f>IF($A826&gt;'1-Input'!$B$26,Y826,Y826-'P-Parametri'!$B$8*(Z826+Y826)+MIN(MAX(Z826,0),'P-Parametri'!$B$8*(Z826+Y826)))</f>
        <v>14841.630839690295</v>
      </c>
      <c r="AB826" s="18">
        <f>IF($A826&gt;'1-Input'!$B$26,Z826,Z826-MIN(MAX(Z826,0),'P-Parametri'!$B$8*(Z826+Y826)))</f>
        <v>0</v>
      </c>
      <c r="AC826" s="18">
        <f>IF($A826&gt;'1-Input'!$B$26,AC825,AC825-X826*(1-W826))</f>
        <v>5.6843418860808015E-14</v>
      </c>
      <c r="AD826" s="11">
        <f>IF($A826&gt;'1-Input'!$B$26,0,IF(AI825&lt;=0,0,MAX(0,(AI825-AJ825)/AI825)))</f>
        <v>0</v>
      </c>
      <c r="AE826" s="18">
        <f>IF($A826&gt;'1-Input'!$B$26,0,(MAX(0,AD781-IF($A826&gt;='1-Input'!$C$12,'1-Input'!$B$12,0))-MIN(MAX(AH825,0),MAX(0,AD781-IF($A826&gt;='1-Input'!$C$12,'1-Input'!$B$12,0))))*(1/(1-'P-Parametri'!$B$6*AD826))+MIN(MAX(0,AI825-(MAX(0,AD781-IF($A826&gt;='1-Input'!$C$12,'1-Input'!$B$12,0))-MIN(MAX(AH825,0),MAX(0,AD781-IF($A826&gt;='1-Input'!$C$12,'1-Input'!$B$12,0))))*(1/(1-'P-Parametri'!$B$6*AD826))),MAX(0,2*AD781-(AH825-MIN(MAX(AH825,0),MAX(0,AD781-IF($A826&gt;='1-Input'!$C$12,'1-Input'!$B$12,0)))))*(1/(1-'P-Parametri'!$B$6*AD826))))</f>
        <v>0</v>
      </c>
      <c r="AF826" s="18">
        <f>IF($A826&gt;'1-Input'!$B$26,AH825,(AH825-MAX(0,AD781-IF($A826&gt;='1-Input'!$C$12,'1-Input'!$B$12,0))+AE826*(1-'P-Parametri'!$B$6*AD826))*(1+'1-Input'!$B$27))</f>
        <v>16689.22103936537</v>
      </c>
      <c r="AG826" s="18">
        <f>IF($A826&gt;'1-Input'!$B$26,AI825,(AI825-AE826)*(1+$D$4))</f>
        <v>0</v>
      </c>
      <c r="AH826" s="18">
        <f>IF($A826&gt;'1-Input'!$B$26,AF826,AF826-'P-Parametri'!$B$8*(AG826+AF826)+MIN(MAX(AG826,0),'P-Parametri'!$B$8*(AG826+AF826)))</f>
        <v>16655.842597286639</v>
      </c>
      <c r="AI826" s="18">
        <f>IF($A826&gt;'1-Input'!$B$26,AG826,AG826-MIN(MAX(AG826,0),'P-Parametri'!$B$8*(AG826+AF826)))</f>
        <v>0</v>
      </c>
      <c r="AJ826" s="18">
        <f>IF($A826&gt;'1-Input'!$B$26,AJ825,AJ825-AE826*(1-AD826))</f>
        <v>-1.1368683772161603E-13</v>
      </c>
      <c r="AK826" s="11">
        <f>IF($A826&gt;'1-Input'!$B$26,0,IF(AP825&lt;=0,0,MAX(0,(AP825-AQ825)/AP825)))</f>
        <v>0</v>
      </c>
      <c r="AL826" s="18">
        <f>IF($A826&gt;'1-Input'!$B$26,0,(MAX(0,AK781-IF($A826&gt;='1-Input'!$C$12,'1-Input'!$B$12,0))-MIN(MAX(AO825,0),MAX(0,AK781-IF($A826&gt;='1-Input'!$C$12,'1-Input'!$B$12,0))))*(1/(1-'P-Parametri'!$B$6*AK826))+MIN(MAX(0,AP825-(MAX(0,AK781-IF($A826&gt;='1-Input'!$C$12,'1-Input'!$B$12,0))-MIN(MAX(AO825,0),MAX(0,AK781-IF($A826&gt;='1-Input'!$C$12,'1-Input'!$B$12,0))))*(1/(1-'P-Parametri'!$B$6*AK826))),MAX(0,2*AK781-(AO825-MIN(MAX(AO825,0),MAX(0,AK781-IF($A826&gt;='1-Input'!$C$12,'1-Input'!$B$12,0)))))*(1/(1-'P-Parametri'!$B$6*AK826))))</f>
        <v>0</v>
      </c>
      <c r="AM826" s="18">
        <f>IF($A826&gt;'1-Input'!$B$26,AO825,(AO825-MAX(0,AK781-IF($A826&gt;='1-Input'!$C$12,'1-Input'!$B$12,0))+AL826*(1-'P-Parametri'!$B$6*AK826))*(1+'1-Input'!$B$27))</f>
        <v>16669.606152297631</v>
      </c>
      <c r="AN826" s="18">
        <f>IF($A826&gt;'1-Input'!$B$26,AP825,(AP825-AL826)*(1+$D$4))</f>
        <v>0</v>
      </c>
      <c r="AO826" s="18">
        <f>IF($A826&gt;'1-Input'!$B$26,AM826,AM826-'P-Parametri'!$B$8*(AN826+AM826)+MIN(MAX(AN826,0),'P-Parametri'!$B$8*(AN826+AM826)))</f>
        <v>16636.266939993035</v>
      </c>
      <c r="AP826" s="18">
        <f>IF($A826&gt;'1-Input'!$B$26,AN826,AN826-MIN(MAX(AN826,0),'P-Parametri'!$B$8*(AN826+AM826)))</f>
        <v>0</v>
      </c>
      <c r="AQ826" s="18">
        <f>IF($A826&gt;'1-Input'!$B$26,AQ825,AQ825-AL826*(1-AK826))</f>
        <v>1.1368683772161603E-13</v>
      </c>
    </row>
    <row r="827" spans="1:43">
      <c r="A827" s="10">
        <f>44</f>
        <v>44</v>
      </c>
      <c r="B827" s="11">
        <f>IF($A827&gt;'1-Input'!$B$26,0,IF(G826&lt;=0,0,MAX(0,(G826-H826)/G826)))</f>
        <v>0.8404172186604556</v>
      </c>
      <c r="C827" s="18">
        <f>IF($A827&gt;'1-Input'!$B$26,0,(MAX(0,B781-IF($A827&gt;='1-Input'!$C$12,'1-Input'!$B$12,0))-MIN(MAX(F826,0),MAX(0,B781-IF($A827&gt;='1-Input'!$C$12,'1-Input'!$B$12,0))))*(1/(1-'P-Parametri'!$B$6*B827))+MIN(MAX(0,G826-(MAX(0,B781-IF($A827&gt;='1-Input'!$C$12,'1-Input'!$B$12,0))-MIN(MAX(F826,0),MAX(0,B781-IF($A827&gt;='1-Input'!$C$12,'1-Input'!$B$12,0))))*(1/(1-'P-Parametri'!$B$6*B827))),MAX(0,2*B781-(F826-MIN(MAX(F826,0),MAX(0,B781-IF($A827&gt;='1-Input'!$C$12,'1-Input'!$B$12,0)))))*(1/(1-'P-Parametri'!$B$6*B827))))</f>
        <v>7292.6688826152995</v>
      </c>
      <c r="D827" s="18">
        <f>IF($A827&gt;'1-Input'!$B$26,F826,(F826-MAX(0,B781-IF($A827&gt;='1-Input'!$C$12,'1-Input'!$B$12,0))+C827*(1-'P-Parametri'!$B$6*B827))*(1+'1-Input'!$B$27))</f>
        <v>33242.0070309863</v>
      </c>
      <c r="E827" s="18">
        <f>IF($A827&gt;'1-Input'!$B$26,G826,(G826-C827)*(1+$D$4))</f>
        <v>346697.48858069541</v>
      </c>
      <c r="F827" s="18">
        <f>IF($A827&gt;'1-Input'!$B$26,D827,D827-'P-Parametri'!$B$8*(E827+D827)+MIN(MAX(E827,0),'P-Parametri'!$B$8*(E827+D827)))</f>
        <v>33242.0070309863</v>
      </c>
      <c r="G827" s="18">
        <f>IF($A827&gt;'1-Input'!$B$26,E827,E827-MIN(MAX(E827,0),'P-Parametri'!$B$8*(E827+D827)))</f>
        <v>345937.60958947206</v>
      </c>
      <c r="H827" s="18">
        <f>IF($A827&gt;'1-Input'!$B$26,H826,H826-C827*(1-B827))</f>
        <v>53198.989914559919</v>
      </c>
      <c r="I827" s="11">
        <f>IF($A827&gt;'1-Input'!$B$26,0,IF(N826&lt;=0,0,MAX(0,(N826-O826)/N826)))</f>
        <v>0</v>
      </c>
      <c r="J827" s="18">
        <f>IF($A827&gt;'1-Input'!$B$26,0,(MAX(0,I781-IF($A827&gt;='1-Input'!$C$12,'1-Input'!$B$12,0))-MIN(MAX(M826,0),MAX(0,I781-IF($A827&gt;='1-Input'!$C$12,'1-Input'!$B$12,0))))*(1/(1-'P-Parametri'!$B$6*I827))+MIN(MAX(0,N826-(MAX(0,I781-IF($A827&gt;='1-Input'!$C$12,'1-Input'!$B$12,0))-MIN(MAX(M826,0),MAX(0,I781-IF($A827&gt;='1-Input'!$C$12,'1-Input'!$B$12,0))))*(1/(1-'P-Parametri'!$B$6*I827))),MAX(0,2*I781-(M826-MIN(MAX(M826,0),MAX(0,I781-IF($A827&gt;='1-Input'!$C$12,'1-Input'!$B$12,0)))))*(1/(1-'P-Parametri'!$B$6*I827))))</f>
        <v>10846.756992928691</v>
      </c>
      <c r="K827" s="18">
        <f>IF($A827&gt;'1-Input'!$B$26,M826,(M826-MAX(0,I781-IF($A827&gt;='1-Input'!$C$12,'1-Input'!$B$12,0))+J827*(1-'P-Parametri'!$B$6*I827))*(1+'1-Input'!$B$27))</f>
        <v>0</v>
      </c>
      <c r="L827" s="18">
        <f>IF($A827&gt;'1-Input'!$B$26,N826,(N826-J827)*(1+$D$4))</f>
        <v>-235951.88387930681</v>
      </c>
      <c r="M827" s="18">
        <f>IF($A827&gt;'1-Input'!$B$26,K827,K827-'P-Parametri'!$B$8*(L827+K827)+MIN(MAX(L827,0),'P-Parametri'!$B$8*(L827+K827)))</f>
        <v>0</v>
      </c>
      <c r="N827" s="18">
        <f>IF($A827&gt;'1-Input'!$B$26,L827,L827-MIN(MAX(L827,0),'P-Parametri'!$B$8*(L827+K827)))</f>
        <v>-235479.98011154821</v>
      </c>
      <c r="O827" s="18">
        <f>IF($A827&gt;'1-Input'!$B$26,O826,O826-J827*(1-I827))</f>
        <v>-170146.90161550124</v>
      </c>
      <c r="P827" s="11">
        <f>IF($A827&gt;'1-Input'!$B$26,0,IF(U826&lt;=0,0,MAX(0,(U826-V826)/U826)))</f>
        <v>0</v>
      </c>
      <c r="Q827" s="18">
        <f>IF($A827&gt;'1-Input'!$B$26,0,(MAX(0,P781-IF($A827&gt;='1-Input'!$C$12,'1-Input'!$B$12,0))-MIN(MAX(T826,0),MAX(0,P781-IF($A827&gt;='1-Input'!$C$12,'1-Input'!$B$12,0))))*(1/(1-'P-Parametri'!$B$6*P827))+MIN(MAX(0,U826-(MAX(0,P781-IF($A827&gt;='1-Input'!$C$12,'1-Input'!$B$12,0))-MIN(MAX(T826,0),MAX(0,P781-IF($A827&gt;='1-Input'!$C$12,'1-Input'!$B$12,0))))*(1/(1-'P-Parametri'!$B$6*P827))),MAX(0,2*P781-(T826-MIN(MAX(T826,0),MAX(0,P781-IF($A827&gt;='1-Input'!$C$12,'1-Input'!$B$12,0)))))*(1/(1-'P-Parametri'!$B$6*P827))))</f>
        <v>8743.4477002483145</v>
      </c>
      <c r="R827" s="18">
        <f>IF($A827&gt;'1-Input'!$B$26,T826,(T826-MAX(0,P781-IF($A827&gt;='1-Input'!$C$12,'1-Input'!$B$12,0))+Q827*(1-'P-Parametri'!$B$6*P827))*(1+'1-Input'!$B$27))</f>
        <v>0</v>
      </c>
      <c r="S827" s="18">
        <f>IF($A827&gt;'1-Input'!$B$26,U826,(U826-Q827)*(1+$D$4))</f>
        <v>-33108.751722407862</v>
      </c>
      <c r="T827" s="18">
        <f>IF($A827&gt;'1-Input'!$B$26,R827,R827-'P-Parametri'!$B$8*(S827+R827)+MIN(MAX(S827,0),'P-Parametri'!$B$8*(S827+R827)))</f>
        <v>0</v>
      </c>
      <c r="U827" s="18">
        <f>IF($A827&gt;'1-Input'!$B$26,S827,S827-MIN(MAX(S827,0),'P-Parametri'!$B$8*(S827+R827)))</f>
        <v>-33042.534218963046</v>
      </c>
      <c r="V827" s="18">
        <f>IF($A827&gt;'1-Input'!$B$26,V826,V826-Q827*(1-P827))</f>
        <v>-30342.364974392836</v>
      </c>
      <c r="W827" s="11">
        <f>IF($A827&gt;'1-Input'!$B$26,0,IF(AB826&lt;=0,0,MAX(0,(AB826-AC826)/AB826)))</f>
        <v>0</v>
      </c>
      <c r="X827" s="18">
        <f>IF($A827&gt;'1-Input'!$B$26,0,(MAX(0,W781-IF($A827&gt;='1-Input'!$C$12,'1-Input'!$B$12,0))-MIN(MAX(AA826,0),MAX(0,W781-IF($A827&gt;='1-Input'!$C$12,'1-Input'!$B$12,0))))*(1/(1-'P-Parametri'!$B$6*W827))+MIN(MAX(0,AB826-(MAX(0,W781-IF($A827&gt;='1-Input'!$C$12,'1-Input'!$B$12,0))-MIN(MAX(AA826,0),MAX(0,W781-IF($A827&gt;='1-Input'!$C$12,'1-Input'!$B$12,0))))*(1/(1-'P-Parametri'!$B$6*W827))),MAX(0,2*W781-(AA826-MIN(MAX(AA826,0),MAX(0,W781-IF($A827&gt;='1-Input'!$C$12,'1-Input'!$B$12,0)))))*(1/(1-'P-Parametri'!$B$6*W827))))</f>
        <v>0</v>
      </c>
      <c r="Y827" s="18">
        <f>IF($A827&gt;'1-Input'!$B$26,AA826,(AA826-MAX(0,W781-IF($A827&gt;='1-Input'!$C$12,'1-Input'!$B$12,0))+X827*(1-'P-Parametri'!$B$6*W827))*(1+'1-Input'!$B$27))</f>
        <v>6504.3714661447575</v>
      </c>
      <c r="Z827" s="18">
        <f>IF($A827&gt;'1-Input'!$B$26,AB826,(AB826-X827)*(1+$D$4))</f>
        <v>0</v>
      </c>
      <c r="AA827" s="18">
        <f>IF($A827&gt;'1-Input'!$B$26,Y827,Y827-'P-Parametri'!$B$8*(Z827+Y827)+MIN(MAX(Z827,0),'P-Parametri'!$B$8*(Z827+Y827)))</f>
        <v>6491.3627232124682</v>
      </c>
      <c r="AB827" s="18">
        <f>IF($A827&gt;'1-Input'!$B$26,Z827,Z827-MIN(MAX(Z827,0),'P-Parametri'!$B$8*(Z827+Y827)))</f>
        <v>0</v>
      </c>
      <c r="AC827" s="18">
        <f>IF($A827&gt;'1-Input'!$B$26,AC826,AC826-X827*(1-W827))</f>
        <v>5.6843418860808015E-14</v>
      </c>
      <c r="AD827" s="11">
        <f>IF($A827&gt;'1-Input'!$B$26,0,IF(AI826&lt;=0,0,MAX(0,(AI826-AJ826)/AI826)))</f>
        <v>0</v>
      </c>
      <c r="AE827" s="18">
        <f>IF($A827&gt;'1-Input'!$B$26,0,(MAX(0,AD781-IF($A827&gt;='1-Input'!$C$12,'1-Input'!$B$12,0))-MIN(MAX(AH826,0),MAX(0,AD781-IF($A827&gt;='1-Input'!$C$12,'1-Input'!$B$12,0))))*(1/(1-'P-Parametri'!$B$6*AD827))+MIN(MAX(0,AI826-(MAX(0,AD781-IF($A827&gt;='1-Input'!$C$12,'1-Input'!$B$12,0))-MIN(MAX(AH826,0),MAX(0,AD781-IF($A827&gt;='1-Input'!$C$12,'1-Input'!$B$12,0))))*(1/(1-'P-Parametri'!$B$6*AD827))),MAX(0,2*AD781-(AH826-MIN(MAX(AH826,0),MAX(0,AD781-IF($A827&gt;='1-Input'!$C$12,'1-Input'!$B$12,0)))))*(1/(1-'P-Parametri'!$B$6*AD827))))</f>
        <v>0</v>
      </c>
      <c r="AF827" s="18">
        <f>IF($A827&gt;'1-Input'!$B$26,AH826,(AH826-MAX(0,AD781-IF($A827&gt;='1-Input'!$C$12,'1-Input'!$B$12,0))+AE827*(1-'P-Parametri'!$B$6*AD827))*(1+'1-Input'!$B$27))</f>
        <v>8331.5759354580841</v>
      </c>
      <c r="AG827" s="18">
        <f>IF($A827&gt;'1-Input'!$B$26,AI826,(AI826-AE827)*(1+$D$4))</f>
        <v>0</v>
      </c>
      <c r="AH827" s="18">
        <f>IF($A827&gt;'1-Input'!$B$26,AF827,AF827-'P-Parametri'!$B$8*(AG827+AF827)+MIN(MAX(AG827,0),'P-Parametri'!$B$8*(AG827+AF827)))</f>
        <v>8314.9127835871677</v>
      </c>
      <c r="AI827" s="18">
        <f>IF($A827&gt;'1-Input'!$B$26,AG827,AG827-MIN(MAX(AG827,0),'P-Parametri'!$B$8*(AG827+AF827)))</f>
        <v>0</v>
      </c>
      <c r="AJ827" s="18">
        <f>IF($A827&gt;'1-Input'!$B$26,AJ826,AJ826-AE827*(1-AD827))</f>
        <v>-1.1368683772161603E-13</v>
      </c>
      <c r="AK827" s="11">
        <f>IF($A827&gt;'1-Input'!$B$26,0,IF(AP826&lt;=0,0,MAX(0,(AP826-AQ826)/AP826)))</f>
        <v>0</v>
      </c>
      <c r="AL827" s="18">
        <f>IF($A827&gt;'1-Input'!$B$26,0,(MAX(0,AK781-IF($A827&gt;='1-Input'!$C$12,'1-Input'!$B$12,0))-MIN(MAX(AO826,0),MAX(0,AK781-IF($A827&gt;='1-Input'!$C$12,'1-Input'!$B$12,0))))*(1/(1-'P-Parametri'!$B$6*AK827))+MIN(MAX(0,AP826-(MAX(0,AK781-IF($A827&gt;='1-Input'!$C$12,'1-Input'!$B$12,0))-MIN(MAX(AO826,0),MAX(0,AK781-IF($A827&gt;='1-Input'!$C$12,'1-Input'!$B$12,0))))*(1/(1-'P-Parametri'!$B$6*AK827))),MAX(0,2*AK781-(AO826-MIN(MAX(AO826,0),MAX(0,AK781-IF($A827&gt;='1-Input'!$C$12,'1-Input'!$B$12,0)))))*(1/(1-'P-Parametri'!$B$6*AK827))))</f>
        <v>0</v>
      </c>
      <c r="AM827" s="18">
        <f>IF($A827&gt;'1-Input'!$B$26,AO826,(AO826-MAX(0,AK781-IF($A827&gt;='1-Input'!$C$12,'1-Input'!$B$12,0))+AL827*(1-'P-Parametri'!$B$6*AK827))*(1+'1-Input'!$B$27))</f>
        <v>8311.8600858927603</v>
      </c>
      <c r="AN827" s="18">
        <f>IF($A827&gt;'1-Input'!$B$26,AP826,(AP826-AL827)*(1+$D$4))</f>
        <v>0</v>
      </c>
      <c r="AO827" s="18">
        <f>IF($A827&gt;'1-Input'!$B$26,AM827,AM827-'P-Parametri'!$B$8*(AN827+AM827)+MIN(MAX(AN827,0),'P-Parametri'!$B$8*(AN827+AM827)))</f>
        <v>8295.2363657209753</v>
      </c>
      <c r="AP827" s="18">
        <f>IF($A827&gt;'1-Input'!$B$26,AN827,AN827-MIN(MAX(AN827,0),'P-Parametri'!$B$8*(AN827+AM827)))</f>
        <v>0</v>
      </c>
      <c r="AQ827" s="18">
        <f>IF($A827&gt;'1-Input'!$B$26,AQ826,AQ826-AL827*(1-AK827))</f>
        <v>1.1368683772161603E-13</v>
      </c>
    </row>
    <row r="828" spans="1:43">
      <c r="A828" s="10">
        <f>45</f>
        <v>45</v>
      </c>
      <c r="B828" s="11">
        <f>IF($A828&gt;'1-Input'!$B$26,0,IF(G827&lt;=0,0,MAX(0,(G827-H827)/G827)))</f>
        <v>0.84621796404937943</v>
      </c>
      <c r="C828" s="18">
        <f>IF($A828&gt;'1-Input'!$B$26,0,(MAX(0,B781-IF($A828&gt;='1-Input'!$C$12,'1-Input'!$B$12,0))-MIN(MAX(F827,0),MAX(0,B781-IF($A828&gt;='1-Input'!$C$12,'1-Input'!$B$12,0))))*(1/(1-'P-Parametri'!$B$6*B828))+MIN(MAX(0,G827-(MAX(0,B781-IF($A828&gt;='1-Input'!$C$12,'1-Input'!$B$12,0))-MIN(MAX(F827,0),MAX(0,B781-IF($A828&gt;='1-Input'!$C$12,'1-Input'!$B$12,0))))*(1/(1-'P-Parametri'!$B$6*B828))),MAX(0,2*B781-(F827-MIN(MAX(F827,0),MAX(0,B781-IF($A828&gt;='1-Input'!$C$12,'1-Input'!$B$12,0)))))*(1/(1-'P-Parametri'!$B$6*B828))))</f>
        <v>7306.7701557945475</v>
      </c>
      <c r="D828" s="18">
        <f>IF($A828&gt;'1-Input'!$B$26,F827,(F827-MAX(0,B781-IF($A828&gt;='1-Input'!$C$12,'1-Input'!$B$12,0))+C828*(1-'P-Parametri'!$B$6*B828))*(1+'1-Input'!$B$27))</f>
        <v>33242.0070309863</v>
      </c>
      <c r="E828" s="18">
        <f>IF($A828&gt;'1-Input'!$B$26,G827,(G827-C828)*(1+$D$4))</f>
        <v>352176.07301102462</v>
      </c>
      <c r="F828" s="18">
        <f>IF($A828&gt;'1-Input'!$B$26,D828,D828-'P-Parametri'!$B$8*(E828+D828)+MIN(MAX(E828,0),'P-Parametri'!$B$8*(E828+D828)))</f>
        <v>33242.0070309863</v>
      </c>
      <c r="G828" s="18">
        <f>IF($A828&gt;'1-Input'!$B$26,E828,E828-MIN(MAX(E828,0),'P-Parametri'!$B$8*(E828+D828)))</f>
        <v>351405.23685094062</v>
      </c>
      <c r="H828" s="18">
        <f>IF($A828&gt;'1-Input'!$B$26,H827,H827-C828*(1-B828))</f>
        <v>52075.3399237786</v>
      </c>
      <c r="I828" s="11">
        <f>IF($A828&gt;'1-Input'!$B$26,0,IF(N827&lt;=0,0,MAX(0,(N827-O827)/N827)))</f>
        <v>0</v>
      </c>
      <c r="J828" s="18">
        <f>IF($A828&gt;'1-Input'!$B$26,0,(MAX(0,I781-IF($A828&gt;='1-Input'!$C$12,'1-Input'!$B$12,0))-MIN(MAX(M827,0),MAX(0,I781-IF($A828&gt;='1-Input'!$C$12,'1-Input'!$B$12,0))))*(1/(1-'P-Parametri'!$B$6*I828))+MIN(MAX(0,N827-(MAX(0,I781-IF($A828&gt;='1-Input'!$C$12,'1-Input'!$B$12,0))-MIN(MAX(M827,0),MAX(0,I781-IF($A828&gt;='1-Input'!$C$12,'1-Input'!$B$12,0))))*(1/(1-'P-Parametri'!$B$6*I828))),MAX(0,2*I781-(M827-MIN(MAX(M827,0),MAX(0,I781-IF($A828&gt;='1-Input'!$C$12,'1-Input'!$B$12,0)))))*(1/(1-'P-Parametri'!$B$6*I828))))</f>
        <v>10846.756992928691</v>
      </c>
      <c r="K828" s="18">
        <f>IF($A828&gt;'1-Input'!$B$26,M827,(M827-MAX(0,I781-IF($A828&gt;='1-Input'!$C$12,'1-Input'!$B$12,0))+J828*(1-'P-Parametri'!$B$6*I828))*(1+'1-Input'!$B$27))</f>
        <v>0</v>
      </c>
      <c r="L828" s="18">
        <f>IF($A828&gt;'1-Input'!$B$26,N827,(N827-J828)*(1+$D$4))</f>
        <v>-256179.80658865598</v>
      </c>
      <c r="M828" s="18">
        <f>IF($A828&gt;'1-Input'!$B$26,K828,K828-'P-Parametri'!$B$8*(L828+K828)+MIN(MAX(L828,0),'P-Parametri'!$B$8*(L828+K828)))</f>
        <v>0</v>
      </c>
      <c r="N828" s="18">
        <f>IF($A828&gt;'1-Input'!$B$26,L828,L828-MIN(MAX(L828,0),'P-Parametri'!$B$8*(L828+K828)))</f>
        <v>-255667.44697547867</v>
      </c>
      <c r="O828" s="18">
        <f>IF($A828&gt;'1-Input'!$B$26,O827,O827-J828*(1-I828))</f>
        <v>-180993.65860842992</v>
      </c>
      <c r="P828" s="11">
        <f>IF($A828&gt;'1-Input'!$B$26,0,IF(U827&lt;=0,0,MAX(0,(U827-V827)/U827)))</f>
        <v>0</v>
      </c>
      <c r="Q828" s="18">
        <f>IF($A828&gt;'1-Input'!$B$26,0,(MAX(0,P781-IF($A828&gt;='1-Input'!$C$12,'1-Input'!$B$12,0))-MIN(MAX(T827,0),MAX(0,P781-IF($A828&gt;='1-Input'!$C$12,'1-Input'!$B$12,0))))*(1/(1-'P-Parametri'!$B$6*P828))+MIN(MAX(0,U827-(MAX(0,P781-IF($A828&gt;='1-Input'!$C$12,'1-Input'!$B$12,0))-MIN(MAX(T827,0),MAX(0,P781-IF($A828&gt;='1-Input'!$C$12,'1-Input'!$B$12,0))))*(1/(1-'P-Parametri'!$B$6*P828))),MAX(0,2*P781-(T827-MIN(MAX(T827,0),MAX(0,P781-IF($A828&gt;='1-Input'!$C$12,'1-Input'!$B$12,0)))))*(1/(1-'P-Parametri'!$B$6*P828))))</f>
        <v>8743.4477002483145</v>
      </c>
      <c r="R828" s="18">
        <f>IF($A828&gt;'1-Input'!$B$26,T827,(T827-MAX(0,P781-IF($A828&gt;='1-Input'!$C$12,'1-Input'!$B$12,0))+Q828*(1-'P-Parametri'!$B$6*P828))*(1+'1-Input'!$B$27))</f>
        <v>0</v>
      </c>
      <c r="S828" s="18">
        <f>IF($A828&gt;'1-Input'!$B$26,U827,(U827-Q828)*(1+$D$4))</f>
        <v>-43457.421195979819</v>
      </c>
      <c r="T828" s="18">
        <f>IF($A828&gt;'1-Input'!$B$26,R828,R828-'P-Parametri'!$B$8*(S828+R828)+MIN(MAX(S828,0),'P-Parametri'!$B$8*(S828+R828)))</f>
        <v>0</v>
      </c>
      <c r="U828" s="18">
        <f>IF($A828&gt;'1-Input'!$B$26,S828,S828-MIN(MAX(S828,0),'P-Parametri'!$B$8*(S828+R828)))</f>
        <v>-43370.506353587858</v>
      </c>
      <c r="V828" s="18">
        <f>IF($A828&gt;'1-Input'!$B$26,V827,V827-Q828*(1-P828))</f>
        <v>-39085.812674641151</v>
      </c>
      <c r="W828" s="11">
        <f>IF($A828&gt;'1-Input'!$B$26,0,IF(AB827&lt;=0,0,MAX(0,(AB827-AC827)/AB827)))</f>
        <v>0</v>
      </c>
      <c r="X828" s="18">
        <f>IF($A828&gt;'1-Input'!$B$26,0,(MAX(0,W781-IF($A828&gt;='1-Input'!$C$12,'1-Input'!$B$12,0))-MIN(MAX(AA827,0),MAX(0,W781-IF($A828&gt;='1-Input'!$C$12,'1-Input'!$B$12,0))))*(1/(1-'P-Parametri'!$B$6*W828))+MIN(MAX(0,AB827-(MAX(0,W781-IF($A828&gt;='1-Input'!$C$12,'1-Input'!$B$12,0))-MIN(MAX(AA827,0),MAX(0,W781-IF($A828&gt;='1-Input'!$C$12,'1-Input'!$B$12,0))))*(1/(1-'P-Parametri'!$B$6*W828))),MAX(0,2*W781-(AA827-MIN(MAX(AA827,0),MAX(0,W781-IF($A828&gt;='1-Input'!$C$12,'1-Input'!$B$12,0)))))*(1/(1-'P-Parametri'!$B$6*W828))))</f>
        <v>1822.3963118363599</v>
      </c>
      <c r="Y828" s="18">
        <f>IF($A828&gt;'1-Input'!$B$26,AA827,(AA827-MAX(0,W781-IF($A828&gt;='1-Input'!$C$12,'1-Input'!$B$12,0))+X828*(1-'P-Parametri'!$B$6*W828))*(1+'1-Input'!$B$27))</f>
        <v>0</v>
      </c>
      <c r="Z828" s="18">
        <f>IF($A828&gt;'1-Input'!$B$26,AB827,(AB827-X828)*(1+$D$4))</f>
        <v>-1895.2921643098143</v>
      </c>
      <c r="AA828" s="18">
        <f>IF($A828&gt;'1-Input'!$B$26,Y828,Y828-'P-Parametri'!$B$8*(Z828+Y828)+MIN(MAX(Z828,0),'P-Parametri'!$B$8*(Z828+Y828)))</f>
        <v>0</v>
      </c>
      <c r="AB828" s="18">
        <f>IF($A828&gt;'1-Input'!$B$26,Z828,Z828-MIN(MAX(Z828,0),'P-Parametri'!$B$8*(Z828+Y828)))</f>
        <v>-1891.5015799811947</v>
      </c>
      <c r="AC828" s="18">
        <f>IF($A828&gt;'1-Input'!$B$26,AC827,AC827-X828*(1-W828))</f>
        <v>-1822.3963118363599</v>
      </c>
      <c r="AD828" s="11">
        <f>IF($A828&gt;'1-Input'!$B$26,0,IF(AI827&lt;=0,0,MAX(0,(AI827-AJ827)/AI827)))</f>
        <v>0</v>
      </c>
      <c r="AE828" s="18">
        <f>IF($A828&gt;'1-Input'!$B$26,0,(MAX(0,AD781-IF($A828&gt;='1-Input'!$C$12,'1-Input'!$B$12,0))-MIN(MAX(AH827,0),MAX(0,AD781-IF($A828&gt;='1-Input'!$C$12,'1-Input'!$B$12,0))))*(1/(1-'P-Parametri'!$B$6*AD828))+MIN(MAX(0,AI827-(MAX(0,AD781-IF($A828&gt;='1-Input'!$C$12,'1-Input'!$B$12,0))-MIN(MAX(AH827,0),MAX(0,AD781-IF($A828&gt;='1-Input'!$C$12,'1-Input'!$B$12,0))))*(1/(1-'P-Parametri'!$B$6*AD828))),MAX(0,2*AD781-(AH827-MIN(MAX(AH827,0),MAX(0,AD781-IF($A828&gt;='1-Input'!$C$12,'1-Input'!$B$12,0)))))*(1/(1-'P-Parametri'!$B$6*AD828))))</f>
        <v>0</v>
      </c>
      <c r="AF828" s="18">
        <f>IF($A828&gt;'1-Input'!$B$26,AH827,(AH827-MAX(0,AD781-IF($A828&gt;='1-Input'!$C$12,'1-Input'!$B$12,0))+AE828*(1-'P-Parametri'!$B$6*AD828))*(1+'1-Input'!$B$27))</f>
        <v>20.673469087931228</v>
      </c>
      <c r="AG828" s="18">
        <f>IF($A828&gt;'1-Input'!$B$26,AI827,(AI827-AE828)*(1+$D$4))</f>
        <v>0</v>
      </c>
      <c r="AH828" s="18">
        <f>IF($A828&gt;'1-Input'!$B$26,AF828,AF828-'P-Parametri'!$B$8*(AG828+AF828)+MIN(MAX(AG828,0),'P-Parametri'!$B$8*(AG828+AF828)))</f>
        <v>20.632122149755364</v>
      </c>
      <c r="AI828" s="18">
        <f>IF($A828&gt;'1-Input'!$B$26,AG828,AG828-MIN(MAX(AG828,0),'P-Parametri'!$B$8*(AG828+AF828)))</f>
        <v>0</v>
      </c>
      <c r="AJ828" s="18">
        <f>IF($A828&gt;'1-Input'!$B$26,AJ827,AJ827-AE828*(1-AD828))</f>
        <v>-1.1368683772161603E-13</v>
      </c>
      <c r="AK828" s="11">
        <f>IF($A828&gt;'1-Input'!$B$26,0,IF(AP827&lt;=0,0,MAX(0,(AP827-AQ827)/AP827)))</f>
        <v>0</v>
      </c>
      <c r="AL828" s="18">
        <f>IF($A828&gt;'1-Input'!$B$26,0,(MAX(0,AK781-IF($A828&gt;='1-Input'!$C$12,'1-Input'!$B$12,0))-MIN(MAX(AO827,0),MAX(0,AK781-IF($A828&gt;='1-Input'!$C$12,'1-Input'!$B$12,0))))*(1/(1-'P-Parametri'!$B$6*AK828))+MIN(MAX(0,AP827-(MAX(0,AK781-IF($A828&gt;='1-Input'!$C$12,'1-Input'!$B$12,0))-MIN(MAX(AO827,0),MAX(0,AK781-IF($A828&gt;='1-Input'!$C$12,'1-Input'!$B$12,0))))*(1/(1-'P-Parametri'!$B$6*AK828))),MAX(0,2*AK781-(AO827-MIN(MAX(AO827,0),MAX(0,AK781-IF($A828&gt;='1-Input'!$C$12,'1-Input'!$B$12,0)))))*(1/(1-'P-Parametri'!$B$6*AK828))))</f>
        <v>0</v>
      </c>
      <c r="AM828" s="18">
        <f>IF($A828&gt;'1-Input'!$B$26,AO827,(AO827-MAX(0,AK781-IF($A828&gt;='1-Input'!$C$12,'1-Input'!$B$12,0))+AL828*(1-'P-Parametri'!$B$6*AK828))*(1+'1-Input'!$B$27))</f>
        <v>0.85722168808100685</v>
      </c>
      <c r="AN828" s="18">
        <f>IF($A828&gt;'1-Input'!$B$26,AP827,(AP827-AL828)*(1+$D$4))</f>
        <v>0</v>
      </c>
      <c r="AO828" s="18">
        <f>IF($A828&gt;'1-Input'!$B$26,AM828,AM828-'P-Parametri'!$B$8*(AN828+AM828)+MIN(MAX(AN828,0),'P-Parametri'!$B$8*(AN828+AM828)))</f>
        <v>0.85550724470484485</v>
      </c>
      <c r="AP828" s="18">
        <f>IF($A828&gt;'1-Input'!$B$26,AN828,AN828-MIN(MAX(AN828,0),'P-Parametri'!$B$8*(AN828+AM828)))</f>
        <v>0</v>
      </c>
      <c r="AQ828" s="18">
        <f>IF($A828&gt;'1-Input'!$B$26,AQ827,AQ827-AL828*(1-AK828))</f>
        <v>1.1368683772161603E-13</v>
      </c>
    </row>
    <row r="829" spans="1:43">
      <c r="A829" s="10">
        <f>46</f>
        <v>46</v>
      </c>
      <c r="B829" s="11">
        <f>IF($A829&gt;'1-Input'!$B$26,0,IF(G828&lt;=0,0,MAX(0,(G828-H828)/G828)))</f>
        <v>0</v>
      </c>
      <c r="C829" s="18">
        <f>IF($A829&gt;'1-Input'!$B$26,0,(MAX(0,B781-IF($A829&gt;='1-Input'!$C$12,'1-Input'!$B$12,0))-MIN(MAX(F828,0),MAX(0,B781-IF($A829&gt;='1-Input'!$C$12,'1-Input'!$B$12,0))))*(1/(1-'P-Parametri'!$B$6*B829))+MIN(MAX(0,G828-(MAX(0,B781-IF($A829&gt;='1-Input'!$C$12,'1-Input'!$B$12,0))-MIN(MAX(F828,0),MAX(0,B781-IF($A829&gt;='1-Input'!$C$12,'1-Input'!$B$12,0))))*(1/(1-'P-Parametri'!$B$6*B829))),MAX(0,2*B781-(F828-MIN(MAX(F828,0),MAX(0,B781-IF($A829&gt;='1-Input'!$C$12,'1-Input'!$B$12,0)))))*(1/(1-'P-Parametri'!$B$6*B829))))</f>
        <v>0</v>
      </c>
      <c r="D829" s="18">
        <f>IF($A829&gt;'1-Input'!$B$26,F828,(F828-MAX(0,B781-IF($A829&gt;='1-Input'!$C$12,'1-Input'!$B$12,0))+C829*(1-'P-Parametri'!$B$6*B829))*(1+'1-Input'!$B$27))</f>
        <v>33242.0070309863</v>
      </c>
      <c r="E829" s="18">
        <f>IF($A829&gt;'1-Input'!$B$26,G828,(G828-C829)*(1+$D$4))</f>
        <v>351405.23685094062</v>
      </c>
      <c r="F829" s="18">
        <f>IF($A829&gt;'1-Input'!$B$26,D829,D829-'P-Parametri'!$B$8*(E829+D829)+MIN(MAX(E829,0),'P-Parametri'!$B$8*(E829+D829)))</f>
        <v>33242.0070309863</v>
      </c>
      <c r="G829" s="18">
        <f>IF($A829&gt;'1-Input'!$B$26,E829,E829-MIN(MAX(E829,0),'P-Parametri'!$B$8*(E829+D829)))</f>
        <v>351405.23685094062</v>
      </c>
      <c r="H829" s="18">
        <f>IF($A829&gt;'1-Input'!$B$26,H828,H828-C829*(1-B829))</f>
        <v>52075.3399237786</v>
      </c>
      <c r="I829" s="11">
        <f>IF($A829&gt;'1-Input'!$B$26,0,IF(N828&lt;=0,0,MAX(0,(N828-O828)/N828)))</f>
        <v>0</v>
      </c>
      <c r="J829" s="18">
        <f>IF($A829&gt;'1-Input'!$B$26,0,(MAX(0,I781-IF($A829&gt;='1-Input'!$C$12,'1-Input'!$B$12,0))-MIN(MAX(M828,0),MAX(0,I781-IF($A829&gt;='1-Input'!$C$12,'1-Input'!$B$12,0))))*(1/(1-'P-Parametri'!$B$6*I829))+MIN(MAX(0,N828-(MAX(0,I781-IF($A829&gt;='1-Input'!$C$12,'1-Input'!$B$12,0))-MIN(MAX(M828,0),MAX(0,I781-IF($A829&gt;='1-Input'!$C$12,'1-Input'!$B$12,0))))*(1/(1-'P-Parametri'!$B$6*I829))),MAX(0,2*I781-(M828-MIN(MAX(M828,0),MAX(0,I781-IF($A829&gt;='1-Input'!$C$12,'1-Input'!$B$12,0)))))*(1/(1-'P-Parametri'!$B$6*I829))))</f>
        <v>0</v>
      </c>
      <c r="K829" s="18">
        <f>IF($A829&gt;'1-Input'!$B$26,M828,(M828-MAX(0,I781-IF($A829&gt;='1-Input'!$C$12,'1-Input'!$B$12,0))+J829*(1-'P-Parametri'!$B$6*I829))*(1+'1-Input'!$B$27))</f>
        <v>0</v>
      </c>
      <c r="L829" s="18">
        <f>IF($A829&gt;'1-Input'!$B$26,N828,(N828-J829)*(1+$D$4))</f>
        <v>-255667.44697547867</v>
      </c>
      <c r="M829" s="18">
        <f>IF($A829&gt;'1-Input'!$B$26,K829,K829-'P-Parametri'!$B$8*(L829+K829)+MIN(MAX(L829,0),'P-Parametri'!$B$8*(L829+K829)))</f>
        <v>0</v>
      </c>
      <c r="N829" s="18">
        <f>IF($A829&gt;'1-Input'!$B$26,L829,L829-MIN(MAX(L829,0),'P-Parametri'!$B$8*(L829+K829)))</f>
        <v>-255667.44697547867</v>
      </c>
      <c r="O829" s="18">
        <f>IF($A829&gt;'1-Input'!$B$26,O828,O828-J829*(1-I829))</f>
        <v>-180993.65860842992</v>
      </c>
      <c r="P829" s="11">
        <f>IF($A829&gt;'1-Input'!$B$26,0,IF(U828&lt;=0,0,MAX(0,(U828-V828)/U828)))</f>
        <v>0</v>
      </c>
      <c r="Q829" s="18">
        <f>IF($A829&gt;'1-Input'!$B$26,0,(MAX(0,P781-IF($A829&gt;='1-Input'!$C$12,'1-Input'!$B$12,0))-MIN(MAX(T828,0),MAX(0,P781-IF($A829&gt;='1-Input'!$C$12,'1-Input'!$B$12,0))))*(1/(1-'P-Parametri'!$B$6*P829))+MIN(MAX(0,U828-(MAX(0,P781-IF($A829&gt;='1-Input'!$C$12,'1-Input'!$B$12,0))-MIN(MAX(T828,0),MAX(0,P781-IF($A829&gt;='1-Input'!$C$12,'1-Input'!$B$12,0))))*(1/(1-'P-Parametri'!$B$6*P829))),MAX(0,2*P781-(T828-MIN(MAX(T828,0),MAX(0,P781-IF($A829&gt;='1-Input'!$C$12,'1-Input'!$B$12,0)))))*(1/(1-'P-Parametri'!$B$6*P829))))</f>
        <v>0</v>
      </c>
      <c r="R829" s="18">
        <f>IF($A829&gt;'1-Input'!$B$26,T828,(T828-MAX(0,P781-IF($A829&gt;='1-Input'!$C$12,'1-Input'!$B$12,0))+Q829*(1-'P-Parametri'!$B$6*P829))*(1+'1-Input'!$B$27))</f>
        <v>0</v>
      </c>
      <c r="S829" s="18">
        <f>IF($A829&gt;'1-Input'!$B$26,U828,(U828-Q829)*(1+$D$4))</f>
        <v>-43370.506353587858</v>
      </c>
      <c r="T829" s="18">
        <f>IF($A829&gt;'1-Input'!$B$26,R829,R829-'P-Parametri'!$B$8*(S829+R829)+MIN(MAX(S829,0),'P-Parametri'!$B$8*(S829+R829)))</f>
        <v>0</v>
      </c>
      <c r="U829" s="18">
        <f>IF($A829&gt;'1-Input'!$B$26,S829,S829-MIN(MAX(S829,0),'P-Parametri'!$B$8*(S829+R829)))</f>
        <v>-43370.506353587858</v>
      </c>
      <c r="V829" s="18">
        <f>IF($A829&gt;'1-Input'!$B$26,V828,V828-Q829*(1-P829))</f>
        <v>-39085.812674641151</v>
      </c>
      <c r="W829" s="11">
        <f>IF($A829&gt;'1-Input'!$B$26,0,IF(AB828&lt;=0,0,MAX(0,(AB828-AC828)/AB828)))</f>
        <v>0</v>
      </c>
      <c r="X829" s="18">
        <f>IF($A829&gt;'1-Input'!$B$26,0,(MAX(0,W781-IF($A829&gt;='1-Input'!$C$12,'1-Input'!$B$12,0))-MIN(MAX(AA828,0),MAX(0,W781-IF($A829&gt;='1-Input'!$C$12,'1-Input'!$B$12,0))))*(1/(1-'P-Parametri'!$B$6*W829))+MIN(MAX(0,AB828-(MAX(0,W781-IF($A829&gt;='1-Input'!$C$12,'1-Input'!$B$12,0))-MIN(MAX(AA828,0),MAX(0,W781-IF($A829&gt;='1-Input'!$C$12,'1-Input'!$B$12,0))))*(1/(1-'P-Parametri'!$B$6*W829))),MAX(0,2*W781-(AA828-MIN(MAX(AA828,0),MAX(0,W781-IF($A829&gt;='1-Input'!$C$12,'1-Input'!$B$12,0)))))*(1/(1-'P-Parametri'!$B$6*W829))))</f>
        <v>0</v>
      </c>
      <c r="Y829" s="18">
        <f>IF($A829&gt;'1-Input'!$B$26,AA828,(AA828-MAX(0,W781-IF($A829&gt;='1-Input'!$C$12,'1-Input'!$B$12,0))+X829*(1-'P-Parametri'!$B$6*W829))*(1+'1-Input'!$B$27))</f>
        <v>0</v>
      </c>
      <c r="Z829" s="18">
        <f>IF($A829&gt;'1-Input'!$B$26,AB828,(AB828-X829)*(1+$D$4))</f>
        <v>-1891.5015799811947</v>
      </c>
      <c r="AA829" s="18">
        <f>IF($A829&gt;'1-Input'!$B$26,Y829,Y829-'P-Parametri'!$B$8*(Z829+Y829)+MIN(MAX(Z829,0),'P-Parametri'!$B$8*(Z829+Y829)))</f>
        <v>0</v>
      </c>
      <c r="AB829" s="18">
        <f>IF($A829&gt;'1-Input'!$B$26,Z829,Z829-MIN(MAX(Z829,0),'P-Parametri'!$B$8*(Z829+Y829)))</f>
        <v>-1891.5015799811947</v>
      </c>
      <c r="AC829" s="18">
        <f>IF($A829&gt;'1-Input'!$B$26,AC828,AC828-X829*(1-W829))</f>
        <v>-1822.3963118363599</v>
      </c>
      <c r="AD829" s="11">
        <f>IF($A829&gt;'1-Input'!$B$26,0,IF(AI828&lt;=0,0,MAX(0,(AI828-AJ828)/AI828)))</f>
        <v>0</v>
      </c>
      <c r="AE829" s="18">
        <f>IF($A829&gt;'1-Input'!$B$26,0,(MAX(0,AD781-IF($A829&gt;='1-Input'!$C$12,'1-Input'!$B$12,0))-MIN(MAX(AH828,0),MAX(0,AD781-IF($A829&gt;='1-Input'!$C$12,'1-Input'!$B$12,0))))*(1/(1-'P-Parametri'!$B$6*AD829))+MIN(MAX(0,AI828-(MAX(0,AD781-IF($A829&gt;='1-Input'!$C$12,'1-Input'!$B$12,0))-MIN(MAX(AH828,0),MAX(0,AD781-IF($A829&gt;='1-Input'!$C$12,'1-Input'!$B$12,0))))*(1/(1-'P-Parametri'!$B$6*AD829))),MAX(0,2*AD781-(AH828-MIN(MAX(AH828,0),MAX(0,AD781-IF($A829&gt;='1-Input'!$C$12,'1-Input'!$B$12,0)))))*(1/(1-'P-Parametri'!$B$6*AD829))))</f>
        <v>0</v>
      </c>
      <c r="AF829" s="18">
        <f>IF($A829&gt;'1-Input'!$B$26,AH828,(AH828-MAX(0,AD781-IF($A829&gt;='1-Input'!$C$12,'1-Input'!$B$12,0))+AE829*(1-'P-Parametri'!$B$6*AD829))*(1+'1-Input'!$B$27))</f>
        <v>20.632122149755364</v>
      </c>
      <c r="AG829" s="18">
        <f>IF($A829&gt;'1-Input'!$B$26,AI828,(AI828-AE829)*(1+$D$4))</f>
        <v>0</v>
      </c>
      <c r="AH829" s="18">
        <f>IF($A829&gt;'1-Input'!$B$26,AF829,AF829-'P-Parametri'!$B$8*(AG829+AF829)+MIN(MAX(AG829,0),'P-Parametri'!$B$8*(AG829+AF829)))</f>
        <v>20.632122149755364</v>
      </c>
      <c r="AI829" s="18">
        <f>IF($A829&gt;'1-Input'!$B$26,AG829,AG829-MIN(MAX(AG829,0),'P-Parametri'!$B$8*(AG829+AF829)))</f>
        <v>0</v>
      </c>
      <c r="AJ829" s="18">
        <f>IF($A829&gt;'1-Input'!$B$26,AJ828,AJ828-AE829*(1-AD829))</f>
        <v>-1.1368683772161603E-13</v>
      </c>
      <c r="AK829" s="11">
        <f>IF($A829&gt;'1-Input'!$B$26,0,IF(AP828&lt;=0,0,MAX(0,(AP828-AQ828)/AP828)))</f>
        <v>0</v>
      </c>
      <c r="AL829" s="18">
        <f>IF($A829&gt;'1-Input'!$B$26,0,(MAX(0,AK781-IF($A829&gt;='1-Input'!$C$12,'1-Input'!$B$12,0))-MIN(MAX(AO828,0),MAX(0,AK781-IF($A829&gt;='1-Input'!$C$12,'1-Input'!$B$12,0))))*(1/(1-'P-Parametri'!$B$6*AK829))+MIN(MAX(0,AP828-(MAX(0,AK781-IF($A829&gt;='1-Input'!$C$12,'1-Input'!$B$12,0))-MIN(MAX(AO828,0),MAX(0,AK781-IF($A829&gt;='1-Input'!$C$12,'1-Input'!$B$12,0))))*(1/(1-'P-Parametri'!$B$6*AK829))),MAX(0,2*AK781-(AO828-MIN(MAX(AO828,0),MAX(0,AK781-IF($A829&gt;='1-Input'!$C$12,'1-Input'!$B$12,0)))))*(1/(1-'P-Parametri'!$B$6*AK829))))</f>
        <v>0</v>
      </c>
      <c r="AM829" s="18">
        <f>IF($A829&gt;'1-Input'!$B$26,AO828,(AO828-MAX(0,AK781-IF($A829&gt;='1-Input'!$C$12,'1-Input'!$B$12,0))+AL829*(1-'P-Parametri'!$B$6*AK829))*(1+'1-Input'!$B$27))</f>
        <v>0.85550724470484485</v>
      </c>
      <c r="AN829" s="18">
        <f>IF($A829&gt;'1-Input'!$B$26,AP828,(AP828-AL829)*(1+$D$4))</f>
        <v>0</v>
      </c>
      <c r="AO829" s="18">
        <f>IF($A829&gt;'1-Input'!$B$26,AM829,AM829-'P-Parametri'!$B$8*(AN829+AM829)+MIN(MAX(AN829,0),'P-Parametri'!$B$8*(AN829+AM829)))</f>
        <v>0.85550724470484485</v>
      </c>
      <c r="AP829" s="18">
        <f>IF($A829&gt;'1-Input'!$B$26,AN829,AN829-MIN(MAX(AN829,0),'P-Parametri'!$B$8*(AN829+AM829)))</f>
        <v>0</v>
      </c>
      <c r="AQ829" s="18">
        <f>IF($A829&gt;'1-Input'!$B$26,AQ828,AQ828-AL829*(1-AK829))</f>
        <v>1.1368683772161603E-13</v>
      </c>
    </row>
    <row r="830" spans="1:43">
      <c r="A830" s="10">
        <f>47</f>
        <v>47</v>
      </c>
      <c r="B830" s="11">
        <f>IF($A830&gt;'1-Input'!$B$26,0,IF(G829&lt;=0,0,MAX(0,(G829-H829)/G829)))</f>
        <v>0</v>
      </c>
      <c r="C830" s="18">
        <f>IF($A830&gt;'1-Input'!$B$26,0,(MAX(0,B781-IF($A830&gt;='1-Input'!$C$12,'1-Input'!$B$12,0))-MIN(MAX(F829,0),MAX(0,B781-IF($A830&gt;='1-Input'!$C$12,'1-Input'!$B$12,0))))*(1/(1-'P-Parametri'!$B$6*B830))+MIN(MAX(0,G829-(MAX(0,B781-IF($A830&gt;='1-Input'!$C$12,'1-Input'!$B$12,0))-MIN(MAX(F829,0),MAX(0,B781-IF($A830&gt;='1-Input'!$C$12,'1-Input'!$B$12,0))))*(1/(1-'P-Parametri'!$B$6*B830))),MAX(0,2*B781-(F829-MIN(MAX(F829,0),MAX(0,B781-IF($A830&gt;='1-Input'!$C$12,'1-Input'!$B$12,0)))))*(1/(1-'P-Parametri'!$B$6*B830))))</f>
        <v>0</v>
      </c>
      <c r="D830" s="18">
        <f>IF($A830&gt;'1-Input'!$B$26,F829,(F829-MAX(0,B781-IF($A830&gt;='1-Input'!$C$12,'1-Input'!$B$12,0))+C830*(1-'P-Parametri'!$B$6*B830))*(1+'1-Input'!$B$27))</f>
        <v>33242.0070309863</v>
      </c>
      <c r="E830" s="18">
        <f>IF($A830&gt;'1-Input'!$B$26,G829,(G829-C830)*(1+$D$4))</f>
        <v>351405.23685094062</v>
      </c>
      <c r="F830" s="18">
        <f>IF($A830&gt;'1-Input'!$B$26,D830,D830-'P-Parametri'!$B$8*(E830+D830)+MIN(MAX(E830,0),'P-Parametri'!$B$8*(E830+D830)))</f>
        <v>33242.0070309863</v>
      </c>
      <c r="G830" s="18">
        <f>IF($A830&gt;'1-Input'!$B$26,E830,E830-MIN(MAX(E830,0),'P-Parametri'!$B$8*(E830+D830)))</f>
        <v>351405.23685094062</v>
      </c>
      <c r="H830" s="18">
        <f>IF($A830&gt;'1-Input'!$B$26,H829,H829-C830*(1-B830))</f>
        <v>52075.3399237786</v>
      </c>
      <c r="I830" s="11">
        <f>IF($A830&gt;'1-Input'!$B$26,0,IF(N829&lt;=0,0,MAX(0,(N829-O829)/N829)))</f>
        <v>0</v>
      </c>
      <c r="J830" s="18">
        <f>IF($A830&gt;'1-Input'!$B$26,0,(MAX(0,I781-IF($A830&gt;='1-Input'!$C$12,'1-Input'!$B$12,0))-MIN(MAX(M829,0),MAX(0,I781-IF($A830&gt;='1-Input'!$C$12,'1-Input'!$B$12,0))))*(1/(1-'P-Parametri'!$B$6*I830))+MIN(MAX(0,N829-(MAX(0,I781-IF($A830&gt;='1-Input'!$C$12,'1-Input'!$B$12,0))-MIN(MAX(M829,0),MAX(0,I781-IF($A830&gt;='1-Input'!$C$12,'1-Input'!$B$12,0))))*(1/(1-'P-Parametri'!$B$6*I830))),MAX(0,2*I781-(M829-MIN(MAX(M829,0),MAX(0,I781-IF($A830&gt;='1-Input'!$C$12,'1-Input'!$B$12,0)))))*(1/(1-'P-Parametri'!$B$6*I830))))</f>
        <v>0</v>
      </c>
      <c r="K830" s="18">
        <f>IF($A830&gt;'1-Input'!$B$26,M829,(M829-MAX(0,I781-IF($A830&gt;='1-Input'!$C$12,'1-Input'!$B$12,0))+J830*(1-'P-Parametri'!$B$6*I830))*(1+'1-Input'!$B$27))</f>
        <v>0</v>
      </c>
      <c r="L830" s="18">
        <f>IF($A830&gt;'1-Input'!$B$26,N829,(N829-J830)*(1+$D$4))</f>
        <v>-255667.44697547867</v>
      </c>
      <c r="M830" s="18">
        <f>IF($A830&gt;'1-Input'!$B$26,K830,K830-'P-Parametri'!$B$8*(L830+K830)+MIN(MAX(L830,0),'P-Parametri'!$B$8*(L830+K830)))</f>
        <v>0</v>
      </c>
      <c r="N830" s="18">
        <f>IF($A830&gt;'1-Input'!$B$26,L830,L830-MIN(MAX(L830,0),'P-Parametri'!$B$8*(L830+K830)))</f>
        <v>-255667.44697547867</v>
      </c>
      <c r="O830" s="18">
        <f>IF($A830&gt;'1-Input'!$B$26,O829,O829-J830*(1-I830))</f>
        <v>-180993.65860842992</v>
      </c>
      <c r="P830" s="11">
        <f>IF($A830&gt;'1-Input'!$B$26,0,IF(U829&lt;=0,0,MAX(0,(U829-V829)/U829)))</f>
        <v>0</v>
      </c>
      <c r="Q830" s="18">
        <f>IF($A830&gt;'1-Input'!$B$26,0,(MAX(0,P781-IF($A830&gt;='1-Input'!$C$12,'1-Input'!$B$12,0))-MIN(MAX(T829,0),MAX(0,P781-IF($A830&gt;='1-Input'!$C$12,'1-Input'!$B$12,0))))*(1/(1-'P-Parametri'!$B$6*P830))+MIN(MAX(0,U829-(MAX(0,P781-IF($A830&gt;='1-Input'!$C$12,'1-Input'!$B$12,0))-MIN(MAX(T829,0),MAX(0,P781-IF($A830&gt;='1-Input'!$C$12,'1-Input'!$B$12,0))))*(1/(1-'P-Parametri'!$B$6*P830))),MAX(0,2*P781-(T829-MIN(MAX(T829,0),MAX(0,P781-IF($A830&gt;='1-Input'!$C$12,'1-Input'!$B$12,0)))))*(1/(1-'P-Parametri'!$B$6*P830))))</f>
        <v>0</v>
      </c>
      <c r="R830" s="18">
        <f>IF($A830&gt;'1-Input'!$B$26,T829,(T829-MAX(0,P781-IF($A830&gt;='1-Input'!$C$12,'1-Input'!$B$12,0))+Q830*(1-'P-Parametri'!$B$6*P830))*(1+'1-Input'!$B$27))</f>
        <v>0</v>
      </c>
      <c r="S830" s="18">
        <f>IF($A830&gt;'1-Input'!$B$26,U829,(U829-Q830)*(1+$D$4))</f>
        <v>-43370.506353587858</v>
      </c>
      <c r="T830" s="18">
        <f>IF($A830&gt;'1-Input'!$B$26,R830,R830-'P-Parametri'!$B$8*(S830+R830)+MIN(MAX(S830,0),'P-Parametri'!$B$8*(S830+R830)))</f>
        <v>0</v>
      </c>
      <c r="U830" s="18">
        <f>IF($A830&gt;'1-Input'!$B$26,S830,S830-MIN(MAX(S830,0),'P-Parametri'!$B$8*(S830+R830)))</f>
        <v>-43370.506353587858</v>
      </c>
      <c r="V830" s="18">
        <f>IF($A830&gt;'1-Input'!$B$26,V829,V829-Q830*(1-P830))</f>
        <v>-39085.812674641151</v>
      </c>
      <c r="W830" s="11">
        <f>IF($A830&gt;'1-Input'!$B$26,0,IF(AB829&lt;=0,0,MAX(0,(AB829-AC829)/AB829)))</f>
        <v>0</v>
      </c>
      <c r="X830" s="18">
        <f>IF($A830&gt;'1-Input'!$B$26,0,(MAX(0,W781-IF($A830&gt;='1-Input'!$C$12,'1-Input'!$B$12,0))-MIN(MAX(AA829,0),MAX(0,W781-IF($A830&gt;='1-Input'!$C$12,'1-Input'!$B$12,0))))*(1/(1-'P-Parametri'!$B$6*W830))+MIN(MAX(0,AB829-(MAX(0,W781-IF($A830&gt;='1-Input'!$C$12,'1-Input'!$B$12,0))-MIN(MAX(AA829,0),MAX(0,W781-IF($A830&gt;='1-Input'!$C$12,'1-Input'!$B$12,0))))*(1/(1-'P-Parametri'!$B$6*W830))),MAX(0,2*W781-(AA829-MIN(MAX(AA829,0),MAX(0,W781-IF($A830&gt;='1-Input'!$C$12,'1-Input'!$B$12,0)))))*(1/(1-'P-Parametri'!$B$6*W830))))</f>
        <v>0</v>
      </c>
      <c r="Y830" s="18">
        <f>IF($A830&gt;'1-Input'!$B$26,AA829,(AA829-MAX(0,W781-IF($A830&gt;='1-Input'!$C$12,'1-Input'!$B$12,0))+X830*(1-'P-Parametri'!$B$6*W830))*(1+'1-Input'!$B$27))</f>
        <v>0</v>
      </c>
      <c r="Z830" s="18">
        <f>IF($A830&gt;'1-Input'!$B$26,AB829,(AB829-X830)*(1+$D$4))</f>
        <v>-1891.5015799811947</v>
      </c>
      <c r="AA830" s="18">
        <f>IF($A830&gt;'1-Input'!$B$26,Y830,Y830-'P-Parametri'!$B$8*(Z830+Y830)+MIN(MAX(Z830,0),'P-Parametri'!$B$8*(Z830+Y830)))</f>
        <v>0</v>
      </c>
      <c r="AB830" s="18">
        <f>IF($A830&gt;'1-Input'!$B$26,Z830,Z830-MIN(MAX(Z830,0),'P-Parametri'!$B$8*(Z830+Y830)))</f>
        <v>-1891.5015799811947</v>
      </c>
      <c r="AC830" s="18">
        <f>IF($A830&gt;'1-Input'!$B$26,AC829,AC829-X830*(1-W830))</f>
        <v>-1822.3963118363599</v>
      </c>
      <c r="AD830" s="11">
        <f>IF($A830&gt;'1-Input'!$B$26,0,IF(AI829&lt;=0,0,MAX(0,(AI829-AJ829)/AI829)))</f>
        <v>0</v>
      </c>
      <c r="AE830" s="18">
        <f>IF($A830&gt;'1-Input'!$B$26,0,(MAX(0,AD781-IF($A830&gt;='1-Input'!$C$12,'1-Input'!$B$12,0))-MIN(MAX(AH829,0),MAX(0,AD781-IF($A830&gt;='1-Input'!$C$12,'1-Input'!$B$12,0))))*(1/(1-'P-Parametri'!$B$6*AD830))+MIN(MAX(0,AI829-(MAX(0,AD781-IF($A830&gt;='1-Input'!$C$12,'1-Input'!$B$12,0))-MIN(MAX(AH829,0),MAX(0,AD781-IF($A830&gt;='1-Input'!$C$12,'1-Input'!$B$12,0))))*(1/(1-'P-Parametri'!$B$6*AD830))),MAX(0,2*AD781-(AH829-MIN(MAX(AH829,0),MAX(0,AD781-IF($A830&gt;='1-Input'!$C$12,'1-Input'!$B$12,0)))))*(1/(1-'P-Parametri'!$B$6*AD830))))</f>
        <v>0</v>
      </c>
      <c r="AF830" s="18">
        <f>IF($A830&gt;'1-Input'!$B$26,AH829,(AH829-MAX(0,AD781-IF($A830&gt;='1-Input'!$C$12,'1-Input'!$B$12,0))+AE830*(1-'P-Parametri'!$B$6*AD830))*(1+'1-Input'!$B$27))</f>
        <v>20.632122149755364</v>
      </c>
      <c r="AG830" s="18">
        <f>IF($A830&gt;'1-Input'!$B$26,AI829,(AI829-AE830)*(1+$D$4))</f>
        <v>0</v>
      </c>
      <c r="AH830" s="18">
        <f>IF($A830&gt;'1-Input'!$B$26,AF830,AF830-'P-Parametri'!$B$8*(AG830+AF830)+MIN(MAX(AG830,0),'P-Parametri'!$B$8*(AG830+AF830)))</f>
        <v>20.632122149755364</v>
      </c>
      <c r="AI830" s="18">
        <f>IF($A830&gt;'1-Input'!$B$26,AG830,AG830-MIN(MAX(AG830,0),'P-Parametri'!$B$8*(AG830+AF830)))</f>
        <v>0</v>
      </c>
      <c r="AJ830" s="18">
        <f>IF($A830&gt;'1-Input'!$B$26,AJ829,AJ829-AE830*(1-AD830))</f>
        <v>-1.1368683772161603E-13</v>
      </c>
      <c r="AK830" s="11">
        <f>IF($A830&gt;'1-Input'!$B$26,0,IF(AP829&lt;=0,0,MAX(0,(AP829-AQ829)/AP829)))</f>
        <v>0</v>
      </c>
      <c r="AL830" s="18">
        <f>IF($A830&gt;'1-Input'!$B$26,0,(MAX(0,AK781-IF($A830&gt;='1-Input'!$C$12,'1-Input'!$B$12,0))-MIN(MAX(AO829,0),MAX(0,AK781-IF($A830&gt;='1-Input'!$C$12,'1-Input'!$B$12,0))))*(1/(1-'P-Parametri'!$B$6*AK830))+MIN(MAX(0,AP829-(MAX(0,AK781-IF($A830&gt;='1-Input'!$C$12,'1-Input'!$B$12,0))-MIN(MAX(AO829,0),MAX(0,AK781-IF($A830&gt;='1-Input'!$C$12,'1-Input'!$B$12,0))))*(1/(1-'P-Parametri'!$B$6*AK830))),MAX(0,2*AK781-(AO829-MIN(MAX(AO829,0),MAX(0,AK781-IF($A830&gt;='1-Input'!$C$12,'1-Input'!$B$12,0)))))*(1/(1-'P-Parametri'!$B$6*AK830))))</f>
        <v>0</v>
      </c>
      <c r="AM830" s="18">
        <f>IF($A830&gt;'1-Input'!$B$26,AO829,(AO829-MAX(0,AK781-IF($A830&gt;='1-Input'!$C$12,'1-Input'!$B$12,0))+AL830*(1-'P-Parametri'!$B$6*AK830))*(1+'1-Input'!$B$27))</f>
        <v>0.85550724470484485</v>
      </c>
      <c r="AN830" s="18">
        <f>IF($A830&gt;'1-Input'!$B$26,AP829,(AP829-AL830)*(1+$D$4))</f>
        <v>0</v>
      </c>
      <c r="AO830" s="18">
        <f>IF($A830&gt;'1-Input'!$B$26,AM830,AM830-'P-Parametri'!$B$8*(AN830+AM830)+MIN(MAX(AN830,0),'P-Parametri'!$B$8*(AN830+AM830)))</f>
        <v>0.85550724470484485</v>
      </c>
      <c r="AP830" s="18">
        <f>IF($A830&gt;'1-Input'!$B$26,AN830,AN830-MIN(MAX(AN830,0),'P-Parametri'!$B$8*(AN830+AM830)))</f>
        <v>0</v>
      </c>
      <c r="AQ830" s="18">
        <f>IF($A830&gt;'1-Input'!$B$26,AQ829,AQ829-AL830*(1-AK830))</f>
        <v>1.1368683772161603E-13</v>
      </c>
    </row>
    <row r="831" spans="1:43">
      <c r="A831" s="10">
        <f>48</f>
        <v>48</v>
      </c>
      <c r="B831" s="11">
        <f>IF($A831&gt;'1-Input'!$B$26,0,IF(G830&lt;=0,0,MAX(0,(G830-H830)/G830)))</f>
        <v>0</v>
      </c>
      <c r="C831" s="18">
        <f>IF($A831&gt;'1-Input'!$B$26,0,(MAX(0,B781-IF($A831&gt;='1-Input'!$C$12,'1-Input'!$B$12,0))-MIN(MAX(F830,0),MAX(0,B781-IF($A831&gt;='1-Input'!$C$12,'1-Input'!$B$12,0))))*(1/(1-'P-Parametri'!$B$6*B831))+MIN(MAX(0,G830-(MAX(0,B781-IF($A831&gt;='1-Input'!$C$12,'1-Input'!$B$12,0))-MIN(MAX(F830,0),MAX(0,B781-IF($A831&gt;='1-Input'!$C$12,'1-Input'!$B$12,0))))*(1/(1-'P-Parametri'!$B$6*B831))),MAX(0,2*B781-(F830-MIN(MAX(F830,0),MAX(0,B781-IF($A831&gt;='1-Input'!$C$12,'1-Input'!$B$12,0)))))*(1/(1-'P-Parametri'!$B$6*B831))))</f>
        <v>0</v>
      </c>
      <c r="D831" s="18">
        <f>IF($A831&gt;'1-Input'!$B$26,F830,(F830-MAX(0,B781-IF($A831&gt;='1-Input'!$C$12,'1-Input'!$B$12,0))+C831*(1-'P-Parametri'!$B$6*B831))*(1+'1-Input'!$B$27))</f>
        <v>33242.0070309863</v>
      </c>
      <c r="E831" s="18">
        <f>IF($A831&gt;'1-Input'!$B$26,G830,(G830-C831)*(1+$D$4))</f>
        <v>351405.23685094062</v>
      </c>
      <c r="F831" s="18">
        <f>IF($A831&gt;'1-Input'!$B$26,D831,D831-'P-Parametri'!$B$8*(E831+D831)+MIN(MAX(E831,0),'P-Parametri'!$B$8*(E831+D831)))</f>
        <v>33242.0070309863</v>
      </c>
      <c r="G831" s="18">
        <f>IF($A831&gt;'1-Input'!$B$26,E831,E831-MIN(MAX(E831,0),'P-Parametri'!$B$8*(E831+D831)))</f>
        <v>351405.23685094062</v>
      </c>
      <c r="H831" s="18">
        <f>IF($A831&gt;'1-Input'!$B$26,H830,H830-C831*(1-B831))</f>
        <v>52075.3399237786</v>
      </c>
      <c r="I831" s="11">
        <f>IF($A831&gt;'1-Input'!$B$26,0,IF(N830&lt;=0,0,MAX(0,(N830-O830)/N830)))</f>
        <v>0</v>
      </c>
      <c r="J831" s="18">
        <f>IF($A831&gt;'1-Input'!$B$26,0,(MAX(0,I781-IF($A831&gt;='1-Input'!$C$12,'1-Input'!$B$12,0))-MIN(MAX(M830,0),MAX(0,I781-IF($A831&gt;='1-Input'!$C$12,'1-Input'!$B$12,0))))*(1/(1-'P-Parametri'!$B$6*I831))+MIN(MAX(0,N830-(MAX(0,I781-IF($A831&gt;='1-Input'!$C$12,'1-Input'!$B$12,0))-MIN(MAX(M830,0),MAX(0,I781-IF($A831&gt;='1-Input'!$C$12,'1-Input'!$B$12,0))))*(1/(1-'P-Parametri'!$B$6*I831))),MAX(0,2*I781-(M830-MIN(MAX(M830,0),MAX(0,I781-IF($A831&gt;='1-Input'!$C$12,'1-Input'!$B$12,0)))))*(1/(1-'P-Parametri'!$B$6*I831))))</f>
        <v>0</v>
      </c>
      <c r="K831" s="18">
        <f>IF($A831&gt;'1-Input'!$B$26,M830,(M830-MAX(0,I781-IF($A831&gt;='1-Input'!$C$12,'1-Input'!$B$12,0))+J831*(1-'P-Parametri'!$B$6*I831))*(1+'1-Input'!$B$27))</f>
        <v>0</v>
      </c>
      <c r="L831" s="18">
        <f>IF($A831&gt;'1-Input'!$B$26,N830,(N830-J831)*(1+$D$4))</f>
        <v>-255667.44697547867</v>
      </c>
      <c r="M831" s="18">
        <f>IF($A831&gt;'1-Input'!$B$26,K831,K831-'P-Parametri'!$B$8*(L831+K831)+MIN(MAX(L831,0),'P-Parametri'!$B$8*(L831+K831)))</f>
        <v>0</v>
      </c>
      <c r="N831" s="18">
        <f>IF($A831&gt;'1-Input'!$B$26,L831,L831-MIN(MAX(L831,0),'P-Parametri'!$B$8*(L831+K831)))</f>
        <v>-255667.44697547867</v>
      </c>
      <c r="O831" s="18">
        <f>IF($A831&gt;'1-Input'!$B$26,O830,O830-J831*(1-I831))</f>
        <v>-180993.65860842992</v>
      </c>
      <c r="P831" s="11">
        <f>IF($A831&gt;'1-Input'!$B$26,0,IF(U830&lt;=0,0,MAX(0,(U830-V830)/U830)))</f>
        <v>0</v>
      </c>
      <c r="Q831" s="18">
        <f>IF($A831&gt;'1-Input'!$B$26,0,(MAX(0,P781-IF($A831&gt;='1-Input'!$C$12,'1-Input'!$B$12,0))-MIN(MAX(T830,0),MAX(0,P781-IF($A831&gt;='1-Input'!$C$12,'1-Input'!$B$12,0))))*(1/(1-'P-Parametri'!$B$6*P831))+MIN(MAX(0,U830-(MAX(0,P781-IF($A831&gt;='1-Input'!$C$12,'1-Input'!$B$12,0))-MIN(MAX(T830,0),MAX(0,P781-IF($A831&gt;='1-Input'!$C$12,'1-Input'!$B$12,0))))*(1/(1-'P-Parametri'!$B$6*P831))),MAX(0,2*P781-(T830-MIN(MAX(T830,0),MAX(0,P781-IF($A831&gt;='1-Input'!$C$12,'1-Input'!$B$12,0)))))*(1/(1-'P-Parametri'!$B$6*P831))))</f>
        <v>0</v>
      </c>
      <c r="R831" s="18">
        <f>IF($A831&gt;'1-Input'!$B$26,T830,(T830-MAX(0,P781-IF($A831&gt;='1-Input'!$C$12,'1-Input'!$B$12,0))+Q831*(1-'P-Parametri'!$B$6*P831))*(1+'1-Input'!$B$27))</f>
        <v>0</v>
      </c>
      <c r="S831" s="18">
        <f>IF($A831&gt;'1-Input'!$B$26,U830,(U830-Q831)*(1+$D$4))</f>
        <v>-43370.506353587858</v>
      </c>
      <c r="T831" s="18">
        <f>IF($A831&gt;'1-Input'!$B$26,R831,R831-'P-Parametri'!$B$8*(S831+R831)+MIN(MAX(S831,0),'P-Parametri'!$B$8*(S831+R831)))</f>
        <v>0</v>
      </c>
      <c r="U831" s="18">
        <f>IF($A831&gt;'1-Input'!$B$26,S831,S831-MIN(MAX(S831,0),'P-Parametri'!$B$8*(S831+R831)))</f>
        <v>-43370.506353587858</v>
      </c>
      <c r="V831" s="18">
        <f>IF($A831&gt;'1-Input'!$B$26,V830,V830-Q831*(1-P831))</f>
        <v>-39085.812674641151</v>
      </c>
      <c r="W831" s="11">
        <f>IF($A831&gt;'1-Input'!$B$26,0,IF(AB830&lt;=0,0,MAX(0,(AB830-AC830)/AB830)))</f>
        <v>0</v>
      </c>
      <c r="X831" s="18">
        <f>IF($A831&gt;'1-Input'!$B$26,0,(MAX(0,W781-IF($A831&gt;='1-Input'!$C$12,'1-Input'!$B$12,0))-MIN(MAX(AA830,0),MAX(0,W781-IF($A831&gt;='1-Input'!$C$12,'1-Input'!$B$12,0))))*(1/(1-'P-Parametri'!$B$6*W831))+MIN(MAX(0,AB830-(MAX(0,W781-IF($A831&gt;='1-Input'!$C$12,'1-Input'!$B$12,0))-MIN(MAX(AA830,0),MAX(0,W781-IF($A831&gt;='1-Input'!$C$12,'1-Input'!$B$12,0))))*(1/(1-'P-Parametri'!$B$6*W831))),MAX(0,2*W781-(AA830-MIN(MAX(AA830,0),MAX(0,W781-IF($A831&gt;='1-Input'!$C$12,'1-Input'!$B$12,0)))))*(1/(1-'P-Parametri'!$B$6*W831))))</f>
        <v>0</v>
      </c>
      <c r="Y831" s="18">
        <f>IF($A831&gt;'1-Input'!$B$26,AA830,(AA830-MAX(0,W781-IF($A831&gt;='1-Input'!$C$12,'1-Input'!$B$12,0))+X831*(1-'P-Parametri'!$B$6*W831))*(1+'1-Input'!$B$27))</f>
        <v>0</v>
      </c>
      <c r="Z831" s="18">
        <f>IF($A831&gt;'1-Input'!$B$26,AB830,(AB830-X831)*(1+$D$4))</f>
        <v>-1891.5015799811947</v>
      </c>
      <c r="AA831" s="18">
        <f>IF($A831&gt;'1-Input'!$B$26,Y831,Y831-'P-Parametri'!$B$8*(Z831+Y831)+MIN(MAX(Z831,0),'P-Parametri'!$B$8*(Z831+Y831)))</f>
        <v>0</v>
      </c>
      <c r="AB831" s="18">
        <f>IF($A831&gt;'1-Input'!$B$26,Z831,Z831-MIN(MAX(Z831,0),'P-Parametri'!$B$8*(Z831+Y831)))</f>
        <v>-1891.5015799811947</v>
      </c>
      <c r="AC831" s="18">
        <f>IF($A831&gt;'1-Input'!$B$26,AC830,AC830-X831*(1-W831))</f>
        <v>-1822.3963118363599</v>
      </c>
      <c r="AD831" s="11">
        <f>IF($A831&gt;'1-Input'!$B$26,0,IF(AI830&lt;=0,0,MAX(0,(AI830-AJ830)/AI830)))</f>
        <v>0</v>
      </c>
      <c r="AE831" s="18">
        <f>IF($A831&gt;'1-Input'!$B$26,0,(MAX(0,AD781-IF($A831&gt;='1-Input'!$C$12,'1-Input'!$B$12,0))-MIN(MAX(AH830,0),MAX(0,AD781-IF($A831&gt;='1-Input'!$C$12,'1-Input'!$B$12,0))))*(1/(1-'P-Parametri'!$B$6*AD831))+MIN(MAX(0,AI830-(MAX(0,AD781-IF($A831&gt;='1-Input'!$C$12,'1-Input'!$B$12,0))-MIN(MAX(AH830,0),MAX(0,AD781-IF($A831&gt;='1-Input'!$C$12,'1-Input'!$B$12,0))))*(1/(1-'P-Parametri'!$B$6*AD831))),MAX(0,2*AD781-(AH830-MIN(MAX(AH830,0),MAX(0,AD781-IF($A831&gt;='1-Input'!$C$12,'1-Input'!$B$12,0)))))*(1/(1-'P-Parametri'!$B$6*AD831))))</f>
        <v>0</v>
      </c>
      <c r="AF831" s="18">
        <f>IF($A831&gt;'1-Input'!$B$26,AH830,(AH830-MAX(0,AD781-IF($A831&gt;='1-Input'!$C$12,'1-Input'!$B$12,0))+AE831*(1-'P-Parametri'!$B$6*AD831))*(1+'1-Input'!$B$27))</f>
        <v>20.632122149755364</v>
      </c>
      <c r="AG831" s="18">
        <f>IF($A831&gt;'1-Input'!$B$26,AI830,(AI830-AE831)*(1+$D$4))</f>
        <v>0</v>
      </c>
      <c r="AH831" s="18">
        <f>IF($A831&gt;'1-Input'!$B$26,AF831,AF831-'P-Parametri'!$B$8*(AG831+AF831)+MIN(MAX(AG831,0),'P-Parametri'!$B$8*(AG831+AF831)))</f>
        <v>20.632122149755364</v>
      </c>
      <c r="AI831" s="18">
        <f>IF($A831&gt;'1-Input'!$B$26,AG831,AG831-MIN(MAX(AG831,0),'P-Parametri'!$B$8*(AG831+AF831)))</f>
        <v>0</v>
      </c>
      <c r="AJ831" s="18">
        <f>IF($A831&gt;'1-Input'!$B$26,AJ830,AJ830-AE831*(1-AD831))</f>
        <v>-1.1368683772161603E-13</v>
      </c>
      <c r="AK831" s="11">
        <f>IF($A831&gt;'1-Input'!$B$26,0,IF(AP830&lt;=0,0,MAX(0,(AP830-AQ830)/AP830)))</f>
        <v>0</v>
      </c>
      <c r="AL831" s="18">
        <f>IF($A831&gt;'1-Input'!$B$26,0,(MAX(0,AK781-IF($A831&gt;='1-Input'!$C$12,'1-Input'!$B$12,0))-MIN(MAX(AO830,0),MAX(0,AK781-IF($A831&gt;='1-Input'!$C$12,'1-Input'!$B$12,0))))*(1/(1-'P-Parametri'!$B$6*AK831))+MIN(MAX(0,AP830-(MAX(0,AK781-IF($A831&gt;='1-Input'!$C$12,'1-Input'!$B$12,0))-MIN(MAX(AO830,0),MAX(0,AK781-IF($A831&gt;='1-Input'!$C$12,'1-Input'!$B$12,0))))*(1/(1-'P-Parametri'!$B$6*AK831))),MAX(0,2*AK781-(AO830-MIN(MAX(AO830,0),MAX(0,AK781-IF($A831&gt;='1-Input'!$C$12,'1-Input'!$B$12,0)))))*(1/(1-'P-Parametri'!$B$6*AK831))))</f>
        <v>0</v>
      </c>
      <c r="AM831" s="18">
        <f>IF($A831&gt;'1-Input'!$B$26,AO830,(AO830-MAX(0,AK781-IF($A831&gt;='1-Input'!$C$12,'1-Input'!$B$12,0))+AL831*(1-'P-Parametri'!$B$6*AK831))*(1+'1-Input'!$B$27))</f>
        <v>0.85550724470484485</v>
      </c>
      <c r="AN831" s="18">
        <f>IF($A831&gt;'1-Input'!$B$26,AP830,(AP830-AL831)*(1+$D$4))</f>
        <v>0</v>
      </c>
      <c r="AO831" s="18">
        <f>IF($A831&gt;'1-Input'!$B$26,AM831,AM831-'P-Parametri'!$B$8*(AN831+AM831)+MIN(MAX(AN831,0),'P-Parametri'!$B$8*(AN831+AM831)))</f>
        <v>0.85550724470484485</v>
      </c>
      <c r="AP831" s="18">
        <f>IF($A831&gt;'1-Input'!$B$26,AN831,AN831-MIN(MAX(AN831,0),'P-Parametri'!$B$8*(AN831+AM831)))</f>
        <v>0</v>
      </c>
      <c r="AQ831" s="18">
        <f>IF($A831&gt;'1-Input'!$B$26,AQ830,AQ830-AL831*(1-AK831))</f>
        <v>1.1368683772161603E-13</v>
      </c>
    </row>
    <row r="832" spans="1:43">
      <c r="A832" s="4" t="s">
        <v>365</v>
      </c>
      <c r="B832" s="18">
        <f>F831+G831</f>
        <v>384647.24388192693</v>
      </c>
      <c r="I832" s="18">
        <f>M831+N831</f>
        <v>-255667.44697547867</v>
      </c>
      <c r="P832" s="18">
        <f>T831+U831</f>
        <v>-43370.506353587858</v>
      </c>
      <c r="W832" s="18">
        <f>AA831+AB831</f>
        <v>-1891.5015799811947</v>
      </c>
      <c r="AD832" s="18">
        <f>AH831+AI831</f>
        <v>20.632122149755364</v>
      </c>
      <c r="AK832" s="18">
        <f>AO831+AP831</f>
        <v>0.85550724470484485</v>
      </c>
    </row>
    <row r="833" spans="1:43">
      <c r="A833" s="5" t="s">
        <v>266</v>
      </c>
      <c r="B833" s="18">
        <f>IFERROR(AK781-AK832*(AK781-AD781)/(AK832-AD832),AK781)</f>
        <v>19396.385192852656</v>
      </c>
    </row>
    <row r="835" spans="1:43">
      <c r="A835" s="2" t="s">
        <v>378</v>
      </c>
    </row>
    <row r="836" spans="1:43">
      <c r="A836" s="4" t="s">
        <v>360</v>
      </c>
      <c r="B836" s="9">
        <f>0.038*'2-Caso'!$B$12</f>
        <v>16681.055314625803</v>
      </c>
      <c r="I836" s="9">
        <f>0.05*'2-Caso'!$B$12</f>
        <v>21948.756992928691</v>
      </c>
      <c r="P836" s="18">
        <f>IFERROR(I836-I887*(I836-B836)/(I887-B887),I836)</f>
        <v>19320.184354159996</v>
      </c>
      <c r="W836" s="18">
        <f>IFERROR(P836-P887*(P836-I836)/(P887-I887),P836)</f>
        <v>18872.925222686077</v>
      </c>
      <c r="AD836" s="18">
        <f>IFERROR(W836-W887*(W836-P836)/(W887-P887),W836)</f>
        <v>18838.934849683039</v>
      </c>
      <c r="AK836" s="18">
        <f>IFERROR(AD836-AD887*(AD836-W836)/(AD887-W887),AD836)</f>
        <v>18838.513690099524</v>
      </c>
    </row>
    <row r="837" spans="1:43" ht="45">
      <c r="A837" s="25" t="s">
        <v>262</v>
      </c>
      <c r="B837" s="25" t="s">
        <v>361</v>
      </c>
      <c r="C837" s="25" t="s">
        <v>263</v>
      </c>
      <c r="D837" s="25" t="s">
        <v>362</v>
      </c>
      <c r="E837" s="25" t="s">
        <v>363</v>
      </c>
      <c r="F837" s="25" t="s">
        <v>264</v>
      </c>
      <c r="G837" s="25" t="s">
        <v>265</v>
      </c>
      <c r="H837" s="25" t="s">
        <v>364</v>
      </c>
      <c r="I837" s="25" t="s">
        <v>361</v>
      </c>
      <c r="J837" s="25" t="s">
        <v>263</v>
      </c>
      <c r="K837" s="25" t="s">
        <v>362</v>
      </c>
      <c r="L837" s="25" t="s">
        <v>363</v>
      </c>
      <c r="M837" s="25" t="s">
        <v>264</v>
      </c>
      <c r="N837" s="25" t="s">
        <v>265</v>
      </c>
      <c r="O837" s="25" t="s">
        <v>364</v>
      </c>
      <c r="P837" s="25" t="s">
        <v>361</v>
      </c>
      <c r="Q837" s="25" t="s">
        <v>263</v>
      </c>
      <c r="R837" s="25" t="s">
        <v>362</v>
      </c>
      <c r="S837" s="25" t="s">
        <v>363</v>
      </c>
      <c r="T837" s="25" t="s">
        <v>264</v>
      </c>
      <c r="U837" s="25" t="s">
        <v>265</v>
      </c>
      <c r="V837" s="25" t="s">
        <v>364</v>
      </c>
      <c r="W837" s="25" t="s">
        <v>361</v>
      </c>
      <c r="X837" s="25" t="s">
        <v>263</v>
      </c>
      <c r="Y837" s="25" t="s">
        <v>362</v>
      </c>
      <c r="Z837" s="25" t="s">
        <v>363</v>
      </c>
      <c r="AA837" s="25" t="s">
        <v>264</v>
      </c>
      <c r="AB837" s="25" t="s">
        <v>265</v>
      </c>
      <c r="AC837" s="25" t="s">
        <v>364</v>
      </c>
      <c r="AD837" s="25" t="s">
        <v>361</v>
      </c>
      <c r="AE837" s="25" t="s">
        <v>263</v>
      </c>
      <c r="AF837" s="25" t="s">
        <v>362</v>
      </c>
      <c r="AG837" s="25" t="s">
        <v>363</v>
      </c>
      <c r="AH837" s="25" t="s">
        <v>264</v>
      </c>
      <c r="AI837" s="25" t="s">
        <v>265</v>
      </c>
      <c r="AJ837" s="25" t="s">
        <v>364</v>
      </c>
      <c r="AK837" s="25" t="s">
        <v>361</v>
      </c>
      <c r="AL837" s="25" t="s">
        <v>263</v>
      </c>
      <c r="AM837" s="25" t="s">
        <v>362</v>
      </c>
      <c r="AN837" s="25" t="s">
        <v>363</v>
      </c>
      <c r="AO837" s="25" t="s">
        <v>264</v>
      </c>
      <c r="AP837" s="25" t="s">
        <v>265</v>
      </c>
      <c r="AQ837" s="25" t="s">
        <v>364</v>
      </c>
    </row>
    <row r="838" spans="1:43">
      <c r="A838" s="3">
        <v>0</v>
      </c>
      <c r="F838" s="18">
        <f>MIN(3*B836,'2-Caso'!$B$12)</f>
        <v>50043.165943877408</v>
      </c>
      <c r="G838" s="18">
        <f>'2-Caso'!$B$12-F838</f>
        <v>388931.97391469637</v>
      </c>
      <c r="H838" s="18">
        <f>'2-Caso'!$B$13*G838/'2-Caso'!$B$12</f>
        <v>304784</v>
      </c>
      <c r="M838" s="18">
        <f>MIN(3*I836,'2-Caso'!$B$12)</f>
        <v>65846.27097878608</v>
      </c>
      <c r="N838" s="18">
        <f>'2-Caso'!$B$12-M838</f>
        <v>373128.86887978774</v>
      </c>
      <c r="O838" s="18">
        <f>'2-Caso'!$B$13*N838/'2-Caso'!$B$12</f>
        <v>292400</v>
      </c>
      <c r="T838" s="18">
        <f>MIN(3*P836,'2-Caso'!$B$12)</f>
        <v>57960.553062479987</v>
      </c>
      <c r="U838" s="18">
        <f>'2-Caso'!$B$12-T838</f>
        <v>381014.58679609379</v>
      </c>
      <c r="V838" s="18">
        <f>'2-Caso'!$B$13*U838/'2-Caso'!$B$12</f>
        <v>298579.59131827659</v>
      </c>
      <c r="AA838" s="18">
        <f>MIN(3*W836,'2-Caso'!$B$12)</f>
        <v>56618.775668058232</v>
      </c>
      <c r="AB838" s="18">
        <f>'2-Caso'!$B$12-AA838</f>
        <v>382356.36419051554</v>
      </c>
      <c r="AC838" s="18">
        <f>'2-Caso'!$B$13*AB838/'2-Caso'!$B$12</f>
        <v>299631.06640597695</v>
      </c>
      <c r="AH838" s="18">
        <f>MIN(3*AD836,'2-Caso'!$B$12)</f>
        <v>56516.80454904912</v>
      </c>
      <c r="AI838" s="18">
        <f>'2-Caso'!$B$12-AH838</f>
        <v>382458.33530952467</v>
      </c>
      <c r="AJ838" s="18">
        <f>'2-Caso'!$B$13*AI838/'2-Caso'!$B$12</f>
        <v>299710.97540708905</v>
      </c>
      <c r="AO838" s="18">
        <f>MIN(3*AK836,'2-Caso'!$B$12)</f>
        <v>56515.541070298568</v>
      </c>
      <c r="AP838" s="18">
        <f>'2-Caso'!$B$12-AO838</f>
        <v>382459.59878827521</v>
      </c>
      <c r="AQ838" s="18">
        <f>'2-Caso'!$B$13*AP838/'2-Caso'!$B$12</f>
        <v>299711.96552395611</v>
      </c>
    </row>
    <row r="839" spans="1:43">
      <c r="A839" s="10">
        <f>1</f>
        <v>1</v>
      </c>
      <c r="B839" s="11">
        <f>IF($A839&gt;'1-Input'!$B$26,0,IF(G838&lt;=0,0,MAX(0,(G838-H838)/G838)))</f>
        <v>0.21635653419729478</v>
      </c>
      <c r="C839" s="18">
        <f>IF($A839&gt;'1-Input'!$B$26,0,(MAX(0,B836-IF($A839&gt;='1-Input'!$C$12,'1-Input'!$B$12,0))-MIN(MAX(F838,0),MAX(0,B836-IF($A839&gt;='1-Input'!$C$12,'1-Input'!$B$12,0))))*(1/(1-'P-Parametri'!$B$6*B839))+MIN(MAX(0,G838-(MAX(0,B836-IF($A839&gt;='1-Input'!$C$12,'1-Input'!$B$12,0))-MIN(MAX(F838,0),MAX(0,B836-IF($A839&gt;='1-Input'!$C$12,'1-Input'!$B$12,0))))*(1/(1-'P-Parametri'!$B$6*B839))),MAX(0,3*B836-(F838-MIN(MAX(F838,0),MAX(0,B836-IF($A839&gt;='1-Input'!$C$12,'1-Input'!$B$12,0)))))*(1/(1-'P-Parametri'!$B$6*B839))))</f>
        <v>17675.340946701614</v>
      </c>
      <c r="D839" s="18">
        <f>IF($A839&gt;'1-Input'!$B$26,F838,(F838-MAX(0,B836-IF($A839&gt;='1-Input'!$C$12,'1-Input'!$B$12,0))+C839*(1-'P-Parametri'!$B$6*B839))*(1+'1-Input'!$B$27))</f>
        <v>49863.010546479447</v>
      </c>
      <c r="E839" s="18">
        <f>IF($A839&gt;'1-Input'!$B$26,G838,(G838-C839)*(1+$D$4))</f>
        <v>386106.89828671457</v>
      </c>
      <c r="F839" s="18">
        <f>IF($A839&gt;'1-Input'!$B$26,D839,D839-'P-Parametri'!$B$8*(E839+D839)+MIN(MAX(E839,0),'P-Parametri'!$B$8*(E839+D839)))</f>
        <v>49863.010546479447</v>
      </c>
      <c r="G839" s="18">
        <f>IF($A839&gt;'1-Input'!$B$26,E839,E839-MIN(MAX(E839,0),'P-Parametri'!$B$8*(E839+D839)))</f>
        <v>385234.9584690482</v>
      </c>
      <c r="H839" s="18">
        <f>IF($A839&gt;'1-Input'!$B$26,H838,H838-C839*(1-B839))</f>
        <v>290932.8345612823</v>
      </c>
      <c r="I839" s="11">
        <f>IF($A839&gt;'1-Input'!$B$26,0,IF(N838&lt;=0,0,MAX(0,(N838-O838)/N838)))</f>
        <v>0.21635653419729484</v>
      </c>
      <c r="J839" s="18">
        <f>IF($A839&gt;'1-Input'!$B$26,0,(MAX(0,I836-IF($A839&gt;='1-Input'!$C$12,'1-Input'!$B$12,0))-MIN(MAX(M838,0),MAX(0,I836-IF($A839&gt;='1-Input'!$C$12,'1-Input'!$B$12,0))))*(1/(1-'P-Parametri'!$B$6*I839))+MIN(MAX(0,N838-(MAX(0,I836-IF($A839&gt;='1-Input'!$C$12,'1-Input'!$B$12,0))-MIN(MAX(M838,0),MAX(0,I836-IF($A839&gt;='1-Input'!$C$12,'1-Input'!$B$12,0))))*(1/(1-'P-Parametri'!$B$6*I839))),MAX(0,3*I836-(M838-MIN(MAX(M838,0),MAX(0,I836-IF($A839&gt;='1-Input'!$C$12,'1-Input'!$B$12,0)))))*(1/(1-'P-Parametri'!$B$6*I839))))</f>
        <v>23257.027561449497</v>
      </c>
      <c r="K839" s="18">
        <f>IF($A839&gt;'1-Input'!$B$26,M838,(M838-MAX(0,I836-IF($A839&gt;='1-Input'!$C$12,'1-Input'!$B$12,0))+J839*(1-'P-Parametri'!$B$6*I839))*(1+'1-Input'!$B$27))</f>
        <v>65609.224403262444</v>
      </c>
      <c r="L839" s="18">
        <f>IF($A839&gt;'1-Input'!$B$26,N838,(N838-J839)*(1+$D$4))</f>
        <v>363866.71497107175</v>
      </c>
      <c r="M839" s="18">
        <f>IF($A839&gt;'1-Input'!$B$26,K839,K839-'P-Parametri'!$B$8*(L839+K839)+MIN(MAX(L839,0),'P-Parametri'!$B$8*(L839+K839)))</f>
        <v>65609.224403262444</v>
      </c>
      <c r="N839" s="18">
        <f>IF($A839&gt;'1-Input'!$B$26,L839,L839-MIN(MAX(L839,0),'P-Parametri'!$B$8*(L839+K839)))</f>
        <v>363007.76309232309</v>
      </c>
      <c r="O839" s="18">
        <f>IF($A839&gt;'1-Input'!$B$26,O838,O838-J839*(1-I839))</f>
        <v>274174.7823174767</v>
      </c>
      <c r="P839" s="11">
        <f>IF($A839&gt;'1-Input'!$B$26,0,IF(U838&lt;=0,0,MAX(0,(U838-V838)/U838)))</f>
        <v>0.21635653419729475</v>
      </c>
      <c r="Q839" s="18">
        <f>IF($A839&gt;'1-Input'!$B$26,0,(MAX(0,P836-IF($A839&gt;='1-Input'!$C$12,'1-Input'!$B$12,0))-MIN(MAX(T838,0),MAX(0,P836-IF($A839&gt;='1-Input'!$C$12,'1-Input'!$B$12,0))))*(1/(1-'P-Parametri'!$B$6*P839))+MIN(MAX(0,U838-(MAX(0,P836-IF($A839&gt;='1-Input'!$C$12,'1-Input'!$B$12,0))-MIN(MAX(T838,0),MAX(0,P836-IF($A839&gt;='1-Input'!$C$12,'1-Input'!$B$12,0))))*(1/(1-'P-Parametri'!$B$6*P839))),MAX(0,3*P836-(T838-MIN(MAX(T838,0),MAX(0,P836-IF($A839&gt;='1-Input'!$C$12,'1-Input'!$B$12,0)))))*(1/(1-'P-Parametri'!$B$6*P839))))</f>
        <v>20471.777065177161</v>
      </c>
      <c r="R839" s="18">
        <f>IF($A839&gt;'1-Input'!$B$26,T838,(T838-MAX(0,P836-IF($A839&gt;='1-Input'!$C$12,'1-Input'!$B$12,0))+Q839*(1-'P-Parametri'!$B$6*P839))*(1+'1-Input'!$B$27))</f>
        <v>57751.895071455059</v>
      </c>
      <c r="S839" s="18">
        <f>IF($A839&gt;'1-Input'!$B$26,U838,(U838-Q839)*(1+$D$4))</f>
        <v>374964.5221201533</v>
      </c>
      <c r="T839" s="18">
        <f>IF($A839&gt;'1-Input'!$B$26,R839,R839-'P-Parametri'!$B$8*(S839+R839)+MIN(MAX(S839,0),'P-Parametri'!$B$8*(S839+R839)))</f>
        <v>57751.895071455059</v>
      </c>
      <c r="U839" s="18">
        <f>IF($A839&gt;'1-Input'!$B$26,S839,S839-MIN(MAX(S839,0),'P-Parametri'!$B$8*(S839+R839)))</f>
        <v>374099.08928577008</v>
      </c>
      <c r="V839" s="18">
        <f>IF($A839&gt;'1-Input'!$B$26,V838,V838-Q839*(1-P839))</f>
        <v>282537.01698778081</v>
      </c>
      <c r="W839" s="11">
        <f>IF($A839&gt;'1-Input'!$B$26,0,IF(AB838&lt;=0,0,MAX(0,(AB838-AC838)/AB838)))</f>
        <v>0.21635653419729484</v>
      </c>
      <c r="X839" s="18">
        <f>IF($A839&gt;'1-Input'!$B$26,0,(MAX(0,W836-IF($A839&gt;='1-Input'!$C$12,'1-Input'!$B$12,0))-MIN(MAX(AA838,0),MAX(0,W836-IF($A839&gt;='1-Input'!$C$12,'1-Input'!$B$12,0))))*(1/(1-'P-Parametri'!$B$6*W839))+MIN(MAX(0,AB838-(MAX(0,W836-IF($A839&gt;='1-Input'!$C$12,'1-Input'!$B$12,0))-MIN(MAX(AA838,0),MAX(0,W836-IF($A839&gt;='1-Input'!$C$12,'1-Input'!$B$12,0))))*(1/(1-'P-Parametri'!$B$6*W839))),MAX(0,3*W836-(AA838-MIN(MAX(AA838,0),MAX(0,W836-IF($A839&gt;='1-Input'!$C$12,'1-Input'!$B$12,0)))))*(1/(1-'P-Parametri'!$B$6*W839))))</f>
        <v>19997.858749385967</v>
      </c>
      <c r="Y839" s="18">
        <f>IF($A839&gt;'1-Input'!$B$26,AA838,(AA838-MAX(0,W836-IF($A839&gt;='1-Input'!$C$12,'1-Input'!$B$12,0))+X839*(1-'P-Parametri'!$B$6*W839))*(1+'1-Input'!$B$27))</f>
        <v>56414.948075653214</v>
      </c>
      <c r="Z839" s="18">
        <f>IF($A839&gt;'1-Input'!$B$26,AB838,(AB838-X839)*(1+$D$4))</f>
        <v>376852.84565877478</v>
      </c>
      <c r="AA839" s="18">
        <f>IF($A839&gt;'1-Input'!$B$26,Y839,Y839-'P-Parametri'!$B$8*(Z839+Y839)+MIN(MAX(Z839,0),'P-Parametri'!$B$8*(Z839+Y839)))</f>
        <v>56414.948075653214</v>
      </c>
      <c r="AB839" s="18">
        <f>IF($A839&gt;'1-Input'!$B$26,Z839,Z839-MIN(MAX(Z839,0),'P-Parametri'!$B$8*(Z839+Y839)))</f>
        <v>375986.3100713059</v>
      </c>
      <c r="AC839" s="18">
        <f>IF($A839&gt;'1-Input'!$B$26,AC838,AC838-X839*(1-W839))</f>
        <v>283959.87506697519</v>
      </c>
      <c r="AD839" s="11">
        <f>IF($A839&gt;'1-Input'!$B$26,0,IF(AI838&lt;=0,0,MAX(0,(AI838-AJ838)/AI838)))</f>
        <v>0.21635653419729481</v>
      </c>
      <c r="AE839" s="18">
        <f>IF($A839&gt;'1-Input'!$B$26,0,(MAX(0,AD836-IF($A839&gt;='1-Input'!$C$12,'1-Input'!$B$12,0))-MIN(MAX(AH838,0),MAX(0,AD836-IF($A839&gt;='1-Input'!$C$12,'1-Input'!$B$12,0))))*(1/(1-'P-Parametri'!$B$6*AD839))+MIN(MAX(0,AI838-(MAX(0,AD836-IF($A839&gt;='1-Input'!$C$12,'1-Input'!$B$12,0))-MIN(MAX(AH838,0),MAX(0,AD836-IF($A839&gt;='1-Input'!$C$12,'1-Input'!$B$12,0))))*(1/(1-'P-Parametri'!$B$6*AD839))),MAX(0,3*AD836-(AH838-MIN(MAX(AH838,0),MAX(0,AD836-IF($A839&gt;='1-Input'!$C$12,'1-Input'!$B$12,0)))))*(1/(1-'P-Parametri'!$B$6*AD839))))</f>
        <v>19961.842357113259</v>
      </c>
      <c r="AF839" s="18">
        <f>IF($A839&gt;'1-Input'!$B$26,AH838,(AH838-MAX(0,AD836-IF($A839&gt;='1-Input'!$C$12,'1-Input'!$B$12,0))+AE839*(1-'P-Parametri'!$B$6*AD839))*(1+'1-Input'!$B$27))</f>
        <v>56313.344052672539</v>
      </c>
      <c r="AG839" s="18">
        <f>IF($A839&gt;'1-Input'!$B$26,AI838,(AI838-AE839)*(1+$D$4))</f>
        <v>376996.35267050785</v>
      </c>
      <c r="AH839" s="18">
        <f>IF($A839&gt;'1-Input'!$B$26,AF839,AF839-'P-Parametri'!$B$8*(AG839+AF839)+MIN(MAX(AG839,0),'P-Parametri'!$B$8*(AG839+AF839)))</f>
        <v>56313.344052672539</v>
      </c>
      <c r="AI839" s="18">
        <f>IF($A839&gt;'1-Input'!$B$26,AG839,AG839-MIN(MAX(AG839,0),'P-Parametri'!$B$8*(AG839+AF839)))</f>
        <v>376129.73327706149</v>
      </c>
      <c r="AJ839" s="18">
        <f>IF($A839&gt;'1-Input'!$B$26,AJ838,AJ838-AE839*(1-AD839))</f>
        <v>284068.0080785536</v>
      </c>
      <c r="AK839" s="11">
        <f>IF($A839&gt;'1-Input'!$B$26,0,IF(AP838&lt;=0,0,MAX(0,(AP838-AQ838)/AP838)))</f>
        <v>0.21635653419729475</v>
      </c>
      <c r="AL839" s="18">
        <f>IF($A839&gt;'1-Input'!$B$26,0,(MAX(0,AK836-IF($A839&gt;='1-Input'!$C$12,'1-Input'!$B$12,0))-MIN(MAX(AO838,0),MAX(0,AK836-IF($A839&gt;='1-Input'!$C$12,'1-Input'!$B$12,0))))*(1/(1-'P-Parametri'!$B$6*AK839))+MIN(MAX(0,AP838-(MAX(0,AK836-IF($A839&gt;='1-Input'!$C$12,'1-Input'!$B$12,0))-MIN(MAX(AO838,0),MAX(0,AK836-IF($A839&gt;='1-Input'!$C$12,'1-Input'!$B$12,0))))*(1/(1-'P-Parametri'!$B$6*AK839))),MAX(0,3*AK836-(AO838-MIN(MAX(AO838,0),MAX(0,AK836-IF($A839&gt;='1-Input'!$C$12,'1-Input'!$B$12,0)))))*(1/(1-'P-Parametri'!$B$6*AK839))))</f>
        <v>19961.396094026717</v>
      </c>
      <c r="AM839" s="18">
        <f>IF($A839&gt;'1-Input'!$B$26,AO838,(AO838-MAX(0,AK836-IF($A839&gt;='1-Input'!$C$12,'1-Input'!$B$12,0))+AL839*(1-'P-Parametri'!$B$6*AK839))*(1+'1-Input'!$B$27))</f>
        <v>56312.085122445489</v>
      </c>
      <c r="AN839" s="18">
        <f>IF($A839&gt;'1-Input'!$B$26,AP838,(AP838-AL839)*(1+$D$4))</f>
        <v>376998.13080201839</v>
      </c>
      <c r="AO839" s="18">
        <f>IF($A839&gt;'1-Input'!$B$26,AM839,AM839-'P-Parametri'!$B$8*(AN839+AM839)+MIN(MAX(AN839,0),'P-Parametri'!$B$8*(AN839+AM839)))</f>
        <v>56312.085122445489</v>
      </c>
      <c r="AP839" s="18">
        <f>IF($A839&gt;'1-Input'!$B$26,AN839,AN839-MIN(MAX(AN839,0),'P-Parametri'!$B$8*(AN839+AM839)))</f>
        <v>376131.51037016948</v>
      </c>
      <c r="AQ839" s="18">
        <f>IF($A839&gt;'1-Input'!$B$26,AQ838,AQ838-AL839*(1-AK839))</f>
        <v>284069.34790657245</v>
      </c>
    </row>
    <row r="840" spans="1:43">
      <c r="A840" s="10">
        <f>2</f>
        <v>2</v>
      </c>
      <c r="B840" s="11">
        <f>IF($A840&gt;'1-Input'!$B$26,0,IF(G839&lt;=0,0,MAX(0,(G839-H839)/G839)))</f>
        <v>0.24479118998579311</v>
      </c>
      <c r="C840" s="18">
        <f>IF($A840&gt;'1-Input'!$B$26,0,(MAX(0,B836-IF($A840&gt;='1-Input'!$C$12,'1-Input'!$B$12,0))-MIN(MAX(F839,0),MAX(0,B836-IF($A840&gt;='1-Input'!$C$12,'1-Input'!$B$12,0))))*(1/(1-'P-Parametri'!$B$6*B840))+MIN(MAX(0,G839-(MAX(0,B836-IF($A840&gt;='1-Input'!$C$12,'1-Input'!$B$12,0))-MIN(MAX(F839,0),MAX(0,B836-IF($A840&gt;='1-Input'!$C$12,'1-Input'!$B$12,0))))*(1/(1-'P-Parametri'!$B$6*B840))),MAX(0,3*B836-(F839-MIN(MAX(F839,0),MAX(0,B836-IF($A840&gt;='1-Input'!$C$12,'1-Input'!$B$12,0)))))*(1/(1-'P-Parametri'!$B$6*B840))))</f>
        <v>18007.297965338385</v>
      </c>
      <c r="D840" s="18">
        <f>IF($A840&gt;'1-Input'!$B$26,F839,(F839-MAX(0,B836-IF($A840&gt;='1-Input'!$C$12,'1-Input'!$B$12,0))+C840*(1-'P-Parametri'!$B$6*B840))*(1+'1-Input'!$B$27))</f>
        <v>49863.010546479447</v>
      </c>
      <c r="E840" s="18">
        <f>IF($A840&gt;'1-Input'!$B$26,G839,(G839-C840)*(1+$D$4))</f>
        <v>381916.7669238582</v>
      </c>
      <c r="F840" s="18">
        <f>IF($A840&gt;'1-Input'!$B$26,D840,D840-'P-Parametri'!$B$8*(E840+D840)+MIN(MAX(E840,0),'P-Parametri'!$B$8*(E840+D840)))</f>
        <v>49863.010546479447</v>
      </c>
      <c r="G840" s="18">
        <f>IF($A840&gt;'1-Input'!$B$26,E840,E840-MIN(MAX(E840,0),'P-Parametri'!$B$8*(E840+D840)))</f>
        <v>381053.20736891753</v>
      </c>
      <c r="H840" s="18">
        <f>IF($A840&gt;'1-Input'!$B$26,H839,H839-C840*(1-B840))</f>
        <v>277333.56449330784</v>
      </c>
      <c r="I840" s="11">
        <f>IF($A840&gt;'1-Input'!$B$26,0,IF(N839&lt;=0,0,MAX(0,(N839-O839)/N839)))</f>
        <v>0.24471372187226109</v>
      </c>
      <c r="J840" s="18">
        <f>IF($A840&gt;'1-Input'!$B$26,0,(MAX(0,I836-IF($A840&gt;='1-Input'!$C$12,'1-Input'!$B$12,0))-MIN(MAX(M839,0),MAX(0,I836-IF($A840&gt;='1-Input'!$C$12,'1-Input'!$B$12,0))))*(1/(1-'P-Parametri'!$B$6*I840))+MIN(MAX(0,N839-(MAX(0,I836-IF($A840&gt;='1-Input'!$C$12,'1-Input'!$B$12,0))-MIN(MAX(M839,0),MAX(0,I836-IF($A840&gt;='1-Input'!$C$12,'1-Input'!$B$12,0))))*(1/(1-'P-Parametri'!$B$6*I840))),MAX(0,3*I836-(M839-MIN(MAX(M839,0),MAX(0,I836-IF($A840&gt;='1-Input'!$C$12,'1-Input'!$B$12,0)))))*(1/(1-'P-Parametri'!$B$6*I840))))</f>
        <v>23693.303450890569</v>
      </c>
      <c r="K840" s="18">
        <f>IF($A840&gt;'1-Input'!$B$26,M839,(M839-MAX(0,I836-IF($A840&gt;='1-Input'!$C$12,'1-Input'!$B$12,0))+J840*(1-'P-Parametri'!$B$6*I840))*(1+'1-Input'!$B$27))</f>
        <v>65609.224403262444</v>
      </c>
      <c r="L840" s="18">
        <f>IF($A840&gt;'1-Input'!$B$26,N839,(N839-J840)*(1+$D$4))</f>
        <v>352887.03802708985</v>
      </c>
      <c r="M840" s="18">
        <f>IF($A840&gt;'1-Input'!$B$26,K840,K840-'P-Parametri'!$B$8*(L840+K840)+MIN(MAX(L840,0),'P-Parametri'!$B$8*(L840+K840)))</f>
        <v>65609.224403262444</v>
      </c>
      <c r="N840" s="18">
        <f>IF($A840&gt;'1-Input'!$B$26,L840,L840-MIN(MAX(L840,0),'P-Parametri'!$B$8*(L840+K840)))</f>
        <v>352050.04550222913</v>
      </c>
      <c r="O840" s="18">
        <f>IF($A840&gt;'1-Input'!$B$26,O839,O839-J840*(1-I840))</f>
        <v>256279.55533750245</v>
      </c>
      <c r="P840" s="11">
        <f>IF($A840&gt;'1-Input'!$B$26,0,IF(U839&lt;=0,0,MAX(0,(U839-V839)/U839)))</f>
        <v>0.24475352899896005</v>
      </c>
      <c r="Q840" s="18">
        <f>IF($A840&gt;'1-Input'!$B$26,0,(MAX(0,P836-IF($A840&gt;='1-Input'!$C$12,'1-Input'!$B$12,0))-MIN(MAX(T839,0),MAX(0,P836-IF($A840&gt;='1-Input'!$C$12,'1-Input'!$B$12,0))))*(1/(1-'P-Parametri'!$B$6*P840))+MIN(MAX(0,U839-(MAX(0,P836-IF($A840&gt;='1-Input'!$C$12,'1-Input'!$B$12,0))-MIN(MAX(T839,0),MAX(0,P836-IF($A840&gt;='1-Input'!$C$12,'1-Input'!$B$12,0))))*(1/(1-'P-Parametri'!$B$6*P840))),MAX(0,3*P836-(T839-MIN(MAX(T839,0),MAX(0,P836-IF($A840&gt;='1-Input'!$C$12,'1-Input'!$B$12,0)))))*(1/(1-'P-Parametri'!$B$6*P840))))</f>
        <v>20856.035286908314</v>
      </c>
      <c r="R840" s="18">
        <f>IF($A840&gt;'1-Input'!$B$26,T839,(T839-MAX(0,P836-IF($A840&gt;='1-Input'!$C$12,'1-Input'!$B$12,0))+Q840*(1-'P-Parametri'!$B$6*P840))*(1+'1-Input'!$B$27))</f>
        <v>57751.895071455059</v>
      </c>
      <c r="S840" s="18">
        <f>IF($A840&gt;'1-Input'!$B$26,U839,(U839-Q840)*(1+$D$4))</f>
        <v>367372.77615881624</v>
      </c>
      <c r="T840" s="18">
        <f>IF($A840&gt;'1-Input'!$B$26,R840,R840-'P-Parametri'!$B$8*(S840+R840)+MIN(MAX(S840,0),'P-Parametri'!$B$8*(S840+R840)))</f>
        <v>57751.895071455059</v>
      </c>
      <c r="U840" s="18">
        <f>IF($A840&gt;'1-Input'!$B$26,S840,S840-MIN(MAX(S840,0),'P-Parametri'!$B$8*(S840+R840)))</f>
        <v>366522.5268163557</v>
      </c>
      <c r="V840" s="18">
        <f>IF($A840&gt;'1-Input'!$B$26,V839,V839-Q840*(1-P840))</f>
        <v>266785.56993827014</v>
      </c>
      <c r="W840" s="11">
        <f>IF($A840&gt;'1-Input'!$B$26,0,IF(AB839&lt;=0,0,MAX(0,(AB839-AC839)/AB839)))</f>
        <v>0.24476006848993484</v>
      </c>
      <c r="X840" s="18">
        <f>IF($A840&gt;'1-Input'!$B$26,0,(MAX(0,W836-IF($A840&gt;='1-Input'!$C$12,'1-Input'!$B$12,0))-MIN(MAX(AA839,0),MAX(0,W836-IF($A840&gt;='1-Input'!$C$12,'1-Input'!$B$12,0))))*(1/(1-'P-Parametri'!$B$6*W840))+MIN(MAX(0,AB839-(MAX(0,W836-IF($A840&gt;='1-Input'!$C$12,'1-Input'!$B$12,0))-MIN(MAX(AA839,0),MAX(0,W836-IF($A840&gt;='1-Input'!$C$12,'1-Input'!$B$12,0))))*(1/(1-'P-Parametri'!$B$6*W840))),MAX(0,3*W836-(AA839-MIN(MAX(AA839,0),MAX(0,W836-IF($A840&gt;='1-Input'!$C$12,'1-Input'!$B$12,0)))))*(1/(1-'P-Parametri'!$B$6*W840))))</f>
        <v>20373.258449811219</v>
      </c>
      <c r="Y840" s="18">
        <f>IF($A840&gt;'1-Input'!$B$26,AA839,(AA839-MAX(0,W836-IF($A840&gt;='1-Input'!$C$12,'1-Input'!$B$12,0))+X840*(1-'P-Parametri'!$B$6*W840))*(1+'1-Input'!$B$27))</f>
        <v>56414.948075653221</v>
      </c>
      <c r="Z840" s="18">
        <f>IF($A840&gt;'1-Input'!$B$26,AB839,(AB839-X840)*(1+$D$4))</f>
        <v>369837.5736863545</v>
      </c>
      <c r="AA840" s="18">
        <f>IF($A840&gt;'1-Input'!$B$26,Y840,Y840-'P-Parametri'!$B$8*(Z840+Y840)+MIN(MAX(Z840,0),'P-Parametri'!$B$8*(Z840+Y840)))</f>
        <v>56414.948075653214</v>
      </c>
      <c r="AB840" s="18">
        <f>IF($A840&gt;'1-Input'!$B$26,Z840,Z840-MIN(MAX(Z840,0),'P-Parametri'!$B$8*(Z840+Y840)))</f>
        <v>368985.06864283048</v>
      </c>
      <c r="AC840" s="18">
        <f>IF($A840&gt;'1-Input'!$B$26,AC839,AC839-X840*(1-W840))</f>
        <v>268573.1767507029</v>
      </c>
      <c r="AD840" s="11">
        <f>IF($A840&gt;'1-Input'!$B$26,0,IF(AI839&lt;=0,0,MAX(0,(AI839-AJ839)/AI839)))</f>
        <v>0.24476056278883479</v>
      </c>
      <c r="AE840" s="18">
        <f>IF($A840&gt;'1-Input'!$B$26,0,(MAX(0,AD836-IF($A840&gt;='1-Input'!$C$12,'1-Input'!$B$12,0))-MIN(MAX(AH839,0),MAX(0,AD836-IF($A840&gt;='1-Input'!$C$12,'1-Input'!$B$12,0))))*(1/(1-'P-Parametri'!$B$6*AD840))+MIN(MAX(0,AI839-(MAX(0,AD836-IF($A840&gt;='1-Input'!$C$12,'1-Input'!$B$12,0))-MIN(MAX(AH839,0),MAX(0,AD836-IF($A840&gt;='1-Input'!$C$12,'1-Input'!$B$12,0))))*(1/(1-'P-Parametri'!$B$6*AD840))),MAX(0,3*AD836-(AH839-MIN(MAX(AH839,0),MAX(0,AD836-IF($A840&gt;='1-Input'!$C$12,'1-Input'!$B$12,0)))))*(1/(1-'P-Parametri'!$B$6*AD840))))</f>
        <v>20336.568749247104</v>
      </c>
      <c r="AF840" s="18">
        <f>IF($A840&gt;'1-Input'!$B$26,AH839,(AH839-MAX(0,AD836-IF($A840&gt;='1-Input'!$C$12,'1-Input'!$B$12,0))+AE840*(1-'P-Parametri'!$B$6*AD840))*(1+'1-Input'!$B$27))</f>
        <v>56313.344052672539</v>
      </c>
      <c r="AG840" s="18">
        <f>IF($A840&gt;'1-Input'!$B$26,AI839,(AI839-AE840)*(1+$D$4))</f>
        <v>370024.89110892697</v>
      </c>
      <c r="AH840" s="18">
        <f>IF($A840&gt;'1-Input'!$B$26,AF840,AF840-'P-Parametri'!$B$8*(AG840+AF840)+MIN(MAX(AG840,0),'P-Parametri'!$B$8*(AG840+AF840)))</f>
        <v>56313.344052672539</v>
      </c>
      <c r="AI840" s="18">
        <f>IF($A840&gt;'1-Input'!$B$26,AG840,AG840-MIN(MAX(AG840,0),'P-Parametri'!$B$8*(AG840+AF840)))</f>
        <v>369172.21463860379</v>
      </c>
      <c r="AJ840" s="18">
        <f>IF($A840&gt;'1-Input'!$B$26,AJ839,AJ839-AE840*(1-AD840))</f>
        <v>268709.02934156603</v>
      </c>
      <c r="AK840" s="11">
        <f>IF($A840&gt;'1-Input'!$B$26,0,IF(AP839&lt;=0,0,MAX(0,(AP839-AQ839)/AP839)))</f>
        <v>0.24476056891110806</v>
      </c>
      <c r="AL840" s="18">
        <f>IF($A840&gt;'1-Input'!$B$26,0,(MAX(0,AK836-IF($A840&gt;='1-Input'!$C$12,'1-Input'!$B$12,0))-MIN(MAX(AO839,0),MAX(0,AK836-IF($A840&gt;='1-Input'!$C$12,'1-Input'!$B$12,0))))*(1/(1-'P-Parametri'!$B$6*AK840))+MIN(MAX(0,AP839-(MAX(0,AK836-IF($A840&gt;='1-Input'!$C$12,'1-Input'!$B$12,0))-MIN(MAX(AO839,0),MAX(0,AK836-IF($A840&gt;='1-Input'!$C$12,'1-Input'!$B$12,0))))*(1/(1-'P-Parametri'!$B$6*AK840))),MAX(0,3*AK836-(AO839-MIN(MAX(AO839,0),MAX(0,AK836-IF($A840&gt;='1-Input'!$C$12,'1-Input'!$B$12,0)))))*(1/(1-'P-Parametri'!$B$6*AK840))))</f>
        <v>20336.114143420669</v>
      </c>
      <c r="AM840" s="18">
        <f>IF($A840&gt;'1-Input'!$B$26,AO839,(AO839-MAX(0,AK836-IF($A840&gt;='1-Input'!$C$12,'1-Input'!$B$12,0))+AL840*(1-'P-Parametri'!$B$6*AK840))*(1+'1-Input'!$B$27))</f>
        <v>56312.085122445489</v>
      </c>
      <c r="AN840" s="18">
        <f>IF($A840&gt;'1-Input'!$B$26,AP839,(AP839-AL840)*(1+$D$4))</f>
        <v>370027.2120758188</v>
      </c>
      <c r="AO840" s="18">
        <f>IF($A840&gt;'1-Input'!$B$26,AM840,AM840-'P-Parametri'!$B$8*(AN840+AM840)+MIN(MAX(AN840,0),'P-Parametri'!$B$8*(AN840+AM840)))</f>
        <v>56312.085122445489</v>
      </c>
      <c r="AP840" s="18">
        <f>IF($A840&gt;'1-Input'!$B$26,AN840,AN840-MIN(MAX(AN840,0),'P-Parametri'!$B$8*(AN840+AM840)))</f>
        <v>369174.53348142229</v>
      </c>
      <c r="AQ840" s="18">
        <f>IF($A840&gt;'1-Input'!$B$26,AQ839,AQ839-AL840*(1-AK840))</f>
        <v>268710.71263033664</v>
      </c>
    </row>
    <row r="841" spans="1:43">
      <c r="A841" s="10">
        <f>3</f>
        <v>3</v>
      </c>
      <c r="B841" s="11">
        <f>IF($A841&gt;'1-Input'!$B$26,0,IF(G840&lt;=0,0,MAX(0,(G840-H840)/G840)))</f>
        <v>0.27219202166482037</v>
      </c>
      <c r="C841" s="18">
        <f>IF($A841&gt;'1-Input'!$B$26,0,(MAX(0,B836-IF($A841&gt;='1-Input'!$C$12,'1-Input'!$B$12,0))-MIN(MAX(F840,0),MAX(0,B836-IF($A841&gt;='1-Input'!$C$12,'1-Input'!$B$12,0))))*(1/(1-'P-Parametri'!$B$6*B841))+MIN(MAX(0,G840-(MAX(0,B836-IF($A841&gt;='1-Input'!$C$12,'1-Input'!$B$12,0))-MIN(MAX(F840,0),MAX(0,B836-IF($A841&gt;='1-Input'!$C$12,'1-Input'!$B$12,0))))*(1/(1-'P-Parametri'!$B$6*B841))),MAX(0,3*B836-(F840-MIN(MAX(F840,0),MAX(0,B836-IF($A841&gt;='1-Input'!$C$12,'1-Input'!$B$12,0)))))*(1/(1-'P-Parametri'!$B$6*B841))))</f>
        <v>18145.356222469567</v>
      </c>
      <c r="D841" s="18">
        <f>IF($A841&gt;'1-Input'!$B$26,F840,(F840-MAX(0,B836-IF($A841&gt;='1-Input'!$C$12,'1-Input'!$B$12,0))+C841*(1-'P-Parametri'!$B$6*B841))*(1+'1-Input'!$B$27))</f>
        <v>49863.010546479447</v>
      </c>
      <c r="E841" s="18">
        <f>IF($A841&gt;'1-Input'!$B$26,G840,(G840-C841)*(1+$D$4))</f>
        <v>377424.16519230587</v>
      </c>
      <c r="F841" s="18">
        <f>IF($A841&gt;'1-Input'!$B$26,D841,D841-'P-Parametri'!$B$8*(E841+D841)+MIN(MAX(E841,0),'P-Parametri'!$B$8*(E841+D841)))</f>
        <v>49863.010546479447</v>
      </c>
      <c r="G841" s="18">
        <f>IF($A841&gt;'1-Input'!$B$26,E841,E841-MIN(MAX(E841,0),'P-Parametri'!$B$8*(E841+D841)))</f>
        <v>376569.59084082831</v>
      </c>
      <c r="H841" s="18">
        <f>IF($A841&gt;'1-Input'!$B$26,H840,H840-C841*(1-B841))</f>
        <v>264127.22946486057</v>
      </c>
      <c r="I841" s="11">
        <f>IF($A841&gt;'1-Input'!$B$26,0,IF(N840&lt;=0,0,MAX(0,(N840-O840)/N840)))</f>
        <v>0.27203657942467241</v>
      </c>
      <c r="J841" s="18">
        <f>IF($A841&gt;'1-Input'!$B$26,0,(MAX(0,I836-IF($A841&gt;='1-Input'!$C$12,'1-Input'!$B$12,0))-MIN(MAX(M840,0),MAX(0,I836-IF($A841&gt;='1-Input'!$C$12,'1-Input'!$B$12,0))))*(1/(1-'P-Parametri'!$B$6*I841))+MIN(MAX(0,N840-(MAX(0,I836-IF($A841&gt;='1-Input'!$C$12,'1-Input'!$B$12,0))-MIN(MAX(M840,0),MAX(0,I836-IF($A841&gt;='1-Input'!$C$12,'1-Input'!$B$12,0))))*(1/(1-'P-Parametri'!$B$6*I841))),MAX(0,3*I836-(M840-MIN(MAX(M840,0),MAX(0,I836-IF($A841&gt;='1-Input'!$C$12,'1-Input'!$B$12,0)))))*(1/(1-'P-Parametri'!$B$6*I841))))</f>
        <v>23874.430343721142</v>
      </c>
      <c r="K841" s="18">
        <f>IF($A841&gt;'1-Input'!$B$26,M840,(M840-MAX(0,I836-IF($A841&gt;='1-Input'!$C$12,'1-Input'!$B$12,0))+J841*(1-'P-Parametri'!$B$6*I841))*(1+'1-Input'!$B$27))</f>
        <v>65609.224403262444</v>
      </c>
      <c r="L841" s="18">
        <f>IF($A841&gt;'1-Input'!$B$26,N840,(N840-J841)*(1+$D$4))</f>
        <v>341302.63976484834</v>
      </c>
      <c r="M841" s="18">
        <f>IF($A841&gt;'1-Input'!$B$26,K841,K841-'P-Parametri'!$B$8*(L841+K841)+MIN(MAX(L841,0),'P-Parametri'!$B$8*(L841+K841)))</f>
        <v>65609.224403262444</v>
      </c>
      <c r="N841" s="18">
        <f>IF($A841&gt;'1-Input'!$B$26,L841,L841-MIN(MAX(L841,0),'P-Parametri'!$B$8*(L841+K841)))</f>
        <v>340488.81603651214</v>
      </c>
      <c r="O841" s="18">
        <f>IF($A841&gt;'1-Input'!$B$26,O840,O840-J841*(1-I841))</f>
        <v>238899.84336019983</v>
      </c>
      <c r="P841" s="11">
        <f>IF($A841&gt;'1-Input'!$B$26,0,IF(U840&lt;=0,0,MAX(0,(U840-V840)/U840)))</f>
        <v>0.27211685389274387</v>
      </c>
      <c r="Q841" s="18">
        <f>IF($A841&gt;'1-Input'!$B$26,0,(MAX(0,P836-IF($A841&gt;='1-Input'!$C$12,'1-Input'!$B$12,0))-MIN(MAX(T840,0),MAX(0,P836-IF($A841&gt;='1-Input'!$C$12,'1-Input'!$B$12,0))))*(1/(1-'P-Parametri'!$B$6*P841))+MIN(MAX(0,U840-(MAX(0,P836-IF($A841&gt;='1-Input'!$C$12,'1-Input'!$B$12,0))-MIN(MAX(T840,0),MAX(0,P836-IF($A841&gt;='1-Input'!$C$12,'1-Input'!$B$12,0))))*(1/(1-'P-Parametri'!$B$6*P841))),MAX(0,3*P836-(T840-MIN(MAX(T840,0),MAX(0,P836-IF($A841&gt;='1-Input'!$C$12,'1-Input'!$B$12,0)))))*(1/(1-'P-Parametri'!$B$6*P841))))</f>
        <v>21015.711997246679</v>
      </c>
      <c r="R841" s="18">
        <f>IF($A841&gt;'1-Input'!$B$26,T840,(T840-MAX(0,P836-IF($A841&gt;='1-Input'!$C$12,'1-Input'!$B$12,0))+Q841*(1-'P-Parametri'!$B$6*P841))*(1+'1-Input'!$B$27))</f>
        <v>57751.895071455059</v>
      </c>
      <c r="S841" s="18">
        <f>IF($A841&gt;'1-Input'!$B$26,U840,(U840-Q841)*(1+$D$4))</f>
        <v>359327.08741187339</v>
      </c>
      <c r="T841" s="18">
        <f>IF($A841&gt;'1-Input'!$B$26,R841,R841-'P-Parametri'!$B$8*(S841+R841)+MIN(MAX(S841,0),'P-Parametri'!$B$8*(S841+R841)))</f>
        <v>57751.895071455059</v>
      </c>
      <c r="U841" s="18">
        <f>IF($A841&gt;'1-Input'!$B$26,S841,S841-MIN(MAX(S841,0),'P-Parametri'!$B$8*(S841+R841)))</f>
        <v>358492.92944690672</v>
      </c>
      <c r="V841" s="18">
        <f>IF($A841&gt;'1-Input'!$B$26,V840,V840-Q841*(1-P841))</f>
        <v>251488.58737203022</v>
      </c>
      <c r="W841" s="11">
        <f>IF($A841&gt;'1-Input'!$B$26,0,IF(AB840&lt;=0,0,MAX(0,(AB840-AC840)/AB840)))</f>
        <v>0.2721299597879504</v>
      </c>
      <c r="X841" s="18">
        <f>IF($A841&gt;'1-Input'!$B$26,0,(MAX(0,W836-IF($A841&gt;='1-Input'!$C$12,'1-Input'!$B$12,0))-MIN(MAX(AA840,0),MAX(0,W836-IF($A841&gt;='1-Input'!$C$12,'1-Input'!$B$12,0))))*(1/(1-'P-Parametri'!$B$6*W841))+MIN(MAX(0,AB840-(MAX(0,W836-IF($A841&gt;='1-Input'!$C$12,'1-Input'!$B$12,0))-MIN(MAX(AA840,0),MAX(0,W836-IF($A841&gt;='1-Input'!$C$12,'1-Input'!$B$12,0))))*(1/(1-'P-Parametri'!$B$6*W841))),MAX(0,3*W836-(AA840-MIN(MAX(AA840,0),MAX(0,W836-IF($A841&gt;='1-Input'!$C$12,'1-Input'!$B$12,0)))))*(1/(1-'P-Parametri'!$B$6*W841))))</f>
        <v>20529.276956370417</v>
      </c>
      <c r="Y841" s="18">
        <f>IF($A841&gt;'1-Input'!$B$26,AA840,(AA840-MAX(0,W836-IF($A841&gt;='1-Input'!$C$12,'1-Input'!$B$12,0))+X841*(1-'P-Parametri'!$B$6*W841))*(1+'1-Input'!$B$27))</f>
        <v>56414.948075653221</v>
      </c>
      <c r="Z841" s="18">
        <f>IF($A841&gt;'1-Input'!$B$26,AB840,(AB840-X841)*(1+$D$4))</f>
        <v>362394.02335391851</v>
      </c>
      <c r="AA841" s="18">
        <f>IF($A841&gt;'1-Input'!$B$26,Y841,Y841-'P-Parametri'!$B$8*(Z841+Y841)+MIN(MAX(Z841,0),'P-Parametri'!$B$8*(Z841+Y841)))</f>
        <v>56414.948075653221</v>
      </c>
      <c r="AB841" s="18">
        <f>IF($A841&gt;'1-Input'!$B$26,Z841,Z841-MIN(MAX(Z841,0),'P-Parametri'!$B$8*(Z841+Y841)))</f>
        <v>361556.40541105939</v>
      </c>
      <c r="AC841" s="18">
        <f>IF($A841&gt;'1-Input'!$B$26,AC840,AC840-X841*(1-W841))</f>
        <v>253630.53110694527</v>
      </c>
      <c r="AD841" s="11">
        <f>IF($A841&gt;'1-Input'!$B$26,0,IF(AI840&lt;=0,0,MAX(0,(AI840-AJ840)/AI840)))</f>
        <v>0.27213094949571126</v>
      </c>
      <c r="AE841" s="18">
        <f>IF($A841&gt;'1-Input'!$B$26,0,(MAX(0,AD836-IF($A841&gt;='1-Input'!$C$12,'1-Input'!$B$12,0))-MIN(MAX(AH840,0),MAX(0,AD836-IF($A841&gt;='1-Input'!$C$12,'1-Input'!$B$12,0))))*(1/(1-'P-Parametri'!$B$6*AD841))+MIN(MAX(0,AI840-(MAX(0,AD836-IF($A841&gt;='1-Input'!$C$12,'1-Input'!$B$12,0))-MIN(MAX(AH840,0),MAX(0,AD836-IF($A841&gt;='1-Input'!$C$12,'1-Input'!$B$12,0))))*(1/(1-'P-Parametri'!$B$6*AD841))),MAX(0,3*AD836-(AH840-MIN(MAX(AH840,0),MAX(0,AD836-IF($A841&gt;='1-Input'!$C$12,'1-Input'!$B$12,0)))))*(1/(1-'P-Parametri'!$B$6*AD841))))</f>
        <v>20492.309147966531</v>
      </c>
      <c r="AF841" s="18">
        <f>IF($A841&gt;'1-Input'!$B$26,AH840,(AH840-MAX(0,AD836-IF($A841&gt;='1-Input'!$C$12,'1-Input'!$B$12,0))+AE841*(1-'P-Parametri'!$B$6*AD841))*(1+'1-Input'!$B$27))</f>
        <v>56313.344052672539</v>
      </c>
      <c r="AG841" s="18">
        <f>IF($A841&gt;'1-Input'!$B$26,AI840,(AI840-AE841)*(1+$D$4))</f>
        <v>362627.10171026277</v>
      </c>
      <c r="AH841" s="18">
        <f>IF($A841&gt;'1-Input'!$B$26,AF841,AF841-'P-Parametri'!$B$8*(AG841+AF841)+MIN(MAX(AG841,0),'P-Parametri'!$B$8*(AG841+AF841)))</f>
        <v>56313.344052672539</v>
      </c>
      <c r="AI841" s="18">
        <f>IF($A841&gt;'1-Input'!$B$26,AG841,AG841-MIN(MAX(AG841,0),'P-Parametri'!$B$8*(AG841+AF841)))</f>
        <v>361789.22081873688</v>
      </c>
      <c r="AJ841" s="18">
        <f>IF($A841&gt;'1-Input'!$B$26,AJ840,AJ840-AE841*(1-AD841))</f>
        <v>253793.31173939529</v>
      </c>
      <c r="AK841" s="11">
        <f>IF($A841&gt;'1-Input'!$B$26,0,IF(AP840&lt;=0,0,MAX(0,(AP840-AQ840)/AP840)))</f>
        <v>0.27213096175319262</v>
      </c>
      <c r="AL841" s="18">
        <f>IF($A841&gt;'1-Input'!$B$26,0,(MAX(0,AK836-IF($A841&gt;='1-Input'!$C$12,'1-Input'!$B$12,0))-MIN(MAX(AO840,0),MAX(0,AK836-IF($A841&gt;='1-Input'!$C$12,'1-Input'!$B$12,0))))*(1/(1-'P-Parametri'!$B$6*AK841))+MIN(MAX(0,AP840-(MAX(0,AK836-IF($A841&gt;='1-Input'!$C$12,'1-Input'!$B$12,0))-MIN(MAX(AO840,0),MAX(0,AK836-IF($A841&gt;='1-Input'!$C$12,'1-Input'!$B$12,0))))*(1/(1-'P-Parametri'!$B$6*AK841))),MAX(0,3*AK836-(AO840-MIN(MAX(AO840,0),MAX(0,AK836-IF($A841&gt;='1-Input'!$C$12,'1-Input'!$B$12,0)))))*(1/(1-'P-Parametri'!$B$6*AK841))))</f>
        <v>20491.851096145929</v>
      </c>
      <c r="AM841" s="18">
        <f>IF($A841&gt;'1-Input'!$B$26,AO840,(AO840-MAX(0,AK836-IF($A841&gt;='1-Input'!$C$12,'1-Input'!$B$12,0))+AL841*(1-'P-Parametri'!$B$6*AK841))*(1+'1-Input'!$B$27))</f>
        <v>56312.085122445489</v>
      </c>
      <c r="AN841" s="18">
        <f>IF($A841&gt;'1-Input'!$B$26,AP840,(AP840-AL841)*(1+$D$4))</f>
        <v>362629.98968068743</v>
      </c>
      <c r="AO841" s="18">
        <f>IF($A841&gt;'1-Input'!$B$26,AM841,AM841-'P-Parametri'!$B$8*(AN841+AM841)+MIN(MAX(AN841,0),'P-Parametri'!$B$8*(AN841+AM841)))</f>
        <v>56312.085122445489</v>
      </c>
      <c r="AP841" s="18">
        <f>IF($A841&gt;'1-Input'!$B$26,AN841,AN841-MIN(MAX(AN841,0),'P-Parametri'!$B$8*(AN841+AM841)))</f>
        <v>361792.10553108115</v>
      </c>
      <c r="AQ841" s="18">
        <f>IF($A841&gt;'1-Input'!$B$26,AQ840,AQ840-AL841*(1-AK841))</f>
        <v>253795.32868108811</v>
      </c>
    </row>
    <row r="842" spans="1:43">
      <c r="A842" s="10">
        <f>4</f>
        <v>4</v>
      </c>
      <c r="B842" s="11">
        <f>IF($A842&gt;'1-Input'!$B$26,0,IF(G841&lt;=0,0,MAX(0,(G841-H841)/G841)))</f>
        <v>0.29859649879030153</v>
      </c>
      <c r="C842" s="18">
        <f>IF($A842&gt;'1-Input'!$B$26,0,(MAX(0,B836-IF($A842&gt;='1-Input'!$C$12,'1-Input'!$B$12,0))-MIN(MAX(F841,0),MAX(0,B836-IF($A842&gt;='1-Input'!$C$12,'1-Input'!$B$12,0))))*(1/(1-'P-Parametri'!$B$6*B842))+MIN(MAX(0,G841-(MAX(0,B836-IF($A842&gt;='1-Input'!$C$12,'1-Input'!$B$12,0))-MIN(MAX(F841,0),MAX(0,B836-IF($A842&gt;='1-Input'!$C$12,'1-Input'!$B$12,0))))*(1/(1-'P-Parametri'!$B$6*B842))),MAX(0,3*B836-(F841-MIN(MAX(F841,0),MAX(0,B836-IF($A842&gt;='1-Input'!$C$12,'1-Input'!$B$12,0)))))*(1/(1-'P-Parametri'!$B$6*B842))))</f>
        <v>18280.412148673542</v>
      </c>
      <c r="D842" s="18">
        <f>IF($A842&gt;'1-Input'!$B$26,F841,(F841-MAX(0,B836-IF($A842&gt;='1-Input'!$C$12,'1-Input'!$B$12,0))+C842*(1-'P-Parametri'!$B$6*B842))*(1+'1-Input'!$B$27))</f>
        <v>49863.010546479447</v>
      </c>
      <c r="E842" s="18">
        <f>IF($A842&gt;'1-Input'!$B$26,G841,(G841-C842)*(1+$D$4))</f>
        <v>372620.74583984097</v>
      </c>
      <c r="F842" s="18">
        <f>IF($A842&gt;'1-Input'!$B$26,D842,D842-'P-Parametri'!$B$8*(E842+D842)+MIN(MAX(E842,0),'P-Parametri'!$B$8*(E842+D842)))</f>
        <v>49863.010546479447</v>
      </c>
      <c r="G842" s="18">
        <f>IF($A842&gt;'1-Input'!$B$26,E842,E842-MIN(MAX(E842,0),'P-Parametri'!$B$8*(E842+D842)))</f>
        <v>371775.77832706831</v>
      </c>
      <c r="H842" s="18">
        <f>IF($A842&gt;'1-Input'!$B$26,H841,H841-C842*(1-B842))</f>
        <v>251305.28438022465</v>
      </c>
      <c r="I842" s="11">
        <f>IF($A842&gt;'1-Input'!$B$26,0,IF(N841&lt;=0,0,MAX(0,(N841-O841)/N841)))</f>
        <v>0.29836214257744803</v>
      </c>
      <c r="J842" s="18">
        <f>IF($A842&gt;'1-Input'!$B$26,0,(MAX(0,I836-IF($A842&gt;='1-Input'!$C$12,'1-Input'!$B$12,0))-MIN(MAX(M841,0),MAX(0,I836-IF($A842&gt;='1-Input'!$C$12,'1-Input'!$B$12,0))))*(1/(1-'P-Parametri'!$B$6*I842))+MIN(MAX(0,N841-(MAX(0,I836-IF($A842&gt;='1-Input'!$C$12,'1-Input'!$B$12,0))-MIN(MAX(M841,0),MAX(0,I836-IF($A842&gt;='1-Input'!$C$12,'1-Input'!$B$12,0))))*(1/(1-'P-Parametri'!$B$6*I842))),MAX(0,3*I836-(M841-MIN(MAX(M841,0),MAX(0,I836-IF($A842&gt;='1-Input'!$C$12,'1-Input'!$B$12,0)))))*(1/(1-'P-Parametri'!$B$6*I842))))</f>
        <v>24051.585001114523</v>
      </c>
      <c r="K842" s="18">
        <f>IF($A842&gt;'1-Input'!$B$26,M841,(M841-MAX(0,I836-IF($A842&gt;='1-Input'!$C$12,'1-Input'!$B$12,0))+J842*(1-'P-Parametri'!$B$6*I842))*(1+'1-Input'!$B$27))</f>
        <v>65609.224403262444</v>
      </c>
      <c r="L842" s="18">
        <f>IF($A842&gt;'1-Input'!$B$26,N841,(N841-J842)*(1+$D$4))</f>
        <v>329094.72027681355</v>
      </c>
      <c r="M842" s="18">
        <f>IF($A842&gt;'1-Input'!$B$26,K842,K842-'P-Parametri'!$B$8*(L842+K842)+MIN(MAX(L842,0),'P-Parametri'!$B$8*(L842+K842)))</f>
        <v>65609.224403262444</v>
      </c>
      <c r="N842" s="18">
        <f>IF($A842&gt;'1-Input'!$B$26,L842,L842-MIN(MAX(L842,0),'P-Parametri'!$B$8*(L842+K842)))</f>
        <v>328305.31238745339</v>
      </c>
      <c r="O842" s="18">
        <f>IF($A842&gt;'1-Input'!$B$26,O841,O841-J842*(1-I842))</f>
        <v>222024.34079240146</v>
      </c>
      <c r="P842" s="11">
        <f>IF($A842&gt;'1-Input'!$B$26,0,IF(U841&lt;=0,0,MAX(0,(U841-V841)/U841)))</f>
        <v>0.29848382850943783</v>
      </c>
      <c r="Q842" s="18">
        <f>IF($A842&gt;'1-Input'!$B$26,0,(MAX(0,P836-IF($A842&gt;='1-Input'!$C$12,'1-Input'!$B$12,0))-MIN(MAX(T841,0),MAX(0,P836-IF($A842&gt;='1-Input'!$C$12,'1-Input'!$B$12,0))))*(1/(1-'P-Parametri'!$B$6*P842))+MIN(MAX(0,U841-(MAX(0,P836-IF($A842&gt;='1-Input'!$C$12,'1-Input'!$B$12,0))-MIN(MAX(T841,0),MAX(0,P836-IF($A842&gt;='1-Input'!$C$12,'1-Input'!$B$12,0))))*(1/(1-'P-Parametri'!$B$6*P842))),MAX(0,3*P836-(T841-MIN(MAX(T841,0),MAX(0,P836-IF($A842&gt;='1-Input'!$C$12,'1-Input'!$B$12,0)))))*(1/(1-'P-Parametri'!$B$6*P842))))</f>
        <v>21171.904862430656</v>
      </c>
      <c r="R842" s="18">
        <f>IF($A842&gt;'1-Input'!$B$26,T841,(T841-MAX(0,P836-IF($A842&gt;='1-Input'!$C$12,'1-Input'!$B$12,0))+Q842*(1-'P-Parametri'!$B$6*P842))*(1+'1-Input'!$B$27))</f>
        <v>57751.895071455059</v>
      </c>
      <c r="S842" s="18">
        <f>IF($A842&gt;'1-Input'!$B$26,U841,(U841-Q842)*(1+$D$4))</f>
        <v>350813.86556785513</v>
      </c>
      <c r="T842" s="18">
        <f>IF($A842&gt;'1-Input'!$B$26,R842,R842-'P-Parametri'!$B$8*(S842+R842)+MIN(MAX(S842,0),'P-Parametri'!$B$8*(S842+R842)))</f>
        <v>57751.895071455059</v>
      </c>
      <c r="U842" s="18">
        <f>IF($A842&gt;'1-Input'!$B$26,S842,S842-MIN(MAX(S842,0),'P-Parametri'!$B$8*(S842+R842)))</f>
        <v>349996.73404657649</v>
      </c>
      <c r="V842" s="18">
        <f>IF($A842&gt;'1-Input'!$B$26,V841,V841-Q842*(1-P842))</f>
        <v>236636.15372977545</v>
      </c>
      <c r="W842" s="11">
        <f>IF($A842&gt;'1-Input'!$B$26,0,IF(AB841&lt;=0,0,MAX(0,(AB841-AC841)/AB841)))</f>
        <v>0.2985035604096446</v>
      </c>
      <c r="X842" s="18">
        <f>IF($A842&gt;'1-Input'!$B$26,0,(MAX(0,W836-IF($A842&gt;='1-Input'!$C$12,'1-Input'!$B$12,0))-MIN(MAX(AA841,0),MAX(0,W836-IF($A842&gt;='1-Input'!$C$12,'1-Input'!$B$12,0))))*(1/(1-'P-Parametri'!$B$6*W842))+MIN(MAX(0,AB841-(MAX(0,W836-IF($A842&gt;='1-Input'!$C$12,'1-Input'!$B$12,0))-MIN(MAX(AA841,0),MAX(0,W836-IF($A842&gt;='1-Input'!$C$12,'1-Input'!$B$12,0))))*(1/(1-'P-Parametri'!$B$6*W842))),MAX(0,3*W836-(AA841-MIN(MAX(AA841,0),MAX(0,W836-IF($A842&gt;='1-Input'!$C$12,'1-Input'!$B$12,0)))))*(1/(1-'P-Parametri'!$B$6*W842))))</f>
        <v>20681.893733078967</v>
      </c>
      <c r="Y842" s="18">
        <f>IF($A842&gt;'1-Input'!$B$26,AA841,(AA841-MAX(0,W836-IF($A842&gt;='1-Input'!$C$12,'1-Input'!$B$12,0))+X842*(1-'P-Parametri'!$B$6*W842))*(1+'1-Input'!$B$27))</f>
        <v>56414.948075653228</v>
      </c>
      <c r="Z842" s="18">
        <f>IF($A842&gt;'1-Input'!$B$26,AB841,(AB841-X842)*(1+$D$4))</f>
        <v>354509.49214509968</v>
      </c>
      <c r="AA842" s="18">
        <f>IF($A842&gt;'1-Input'!$B$26,Y842,Y842-'P-Parametri'!$B$8*(Z842+Y842)+MIN(MAX(Z842,0),'P-Parametri'!$B$8*(Z842+Y842)))</f>
        <v>56414.948075653228</v>
      </c>
      <c r="AB842" s="18">
        <f>IF($A842&gt;'1-Input'!$B$26,Z842,Z842-MIN(MAX(Z842,0),'P-Parametri'!$B$8*(Z842+Y842)))</f>
        <v>353687.64326465817</v>
      </c>
      <c r="AC842" s="18">
        <f>IF($A842&gt;'1-Input'!$B$26,AC841,AC841-X842*(1-W842))</f>
        <v>239122.25628920429</v>
      </c>
      <c r="AD842" s="11">
        <f>IF($A842&gt;'1-Input'!$B$26,0,IF(AI841&lt;=0,0,MAX(0,(AI841-AJ841)/AI841)))</f>
        <v>0.29850504897560104</v>
      </c>
      <c r="AE842" s="18">
        <f>IF($A842&gt;'1-Input'!$B$26,0,(MAX(0,AD836-IF($A842&gt;='1-Input'!$C$12,'1-Input'!$B$12,0))-MIN(MAX(AH841,0),MAX(0,AD836-IF($A842&gt;='1-Input'!$C$12,'1-Input'!$B$12,0))))*(1/(1-'P-Parametri'!$B$6*AD842))+MIN(MAX(0,AI841-(MAX(0,AD836-IF($A842&gt;='1-Input'!$C$12,'1-Input'!$B$12,0))-MIN(MAX(AH841,0),MAX(0,AD836-IF($A842&gt;='1-Input'!$C$12,'1-Input'!$B$12,0))))*(1/(1-'P-Parametri'!$B$6*AD842))),MAX(0,3*AD836-(AH841-MIN(MAX(AH841,0),MAX(0,AD836-IF($A842&gt;='1-Input'!$C$12,'1-Input'!$B$12,0)))))*(1/(1-'P-Parametri'!$B$6*AD842))))</f>
        <v>20644.654047628243</v>
      </c>
      <c r="AF842" s="18">
        <f>IF($A842&gt;'1-Input'!$B$26,AH841,(AH841-MAX(0,AD836-IF($A842&gt;='1-Input'!$C$12,'1-Input'!$B$12,0))+AE842*(1-'P-Parametri'!$B$6*AD842))*(1+'1-Input'!$B$27))</f>
        <v>56313.344052672539</v>
      </c>
      <c r="AG842" s="18">
        <f>IF($A842&gt;'1-Input'!$B$26,AI841,(AI841-AE842)*(1+$D$4))</f>
        <v>354790.349441953</v>
      </c>
      <c r="AH842" s="18">
        <f>IF($A842&gt;'1-Input'!$B$26,AF842,AF842-'P-Parametri'!$B$8*(AG842+AF842)+MIN(MAX(AG842,0),'P-Parametri'!$B$8*(AG842+AF842)))</f>
        <v>56313.344052672539</v>
      </c>
      <c r="AI842" s="18">
        <f>IF($A842&gt;'1-Input'!$B$26,AG842,AG842-MIN(MAX(AG842,0),'P-Parametri'!$B$8*(AG842+AF842)))</f>
        <v>353968.14205496374</v>
      </c>
      <c r="AJ842" s="18">
        <f>IF($A842&gt;'1-Input'!$B$26,AJ841,AJ841-AE842*(1-AD842))</f>
        <v>239311.19115933866</v>
      </c>
      <c r="AK842" s="11">
        <f>IF($A842&gt;'1-Input'!$B$26,0,IF(AP841&lt;=0,0,MAX(0,(AP841-AQ841)/AP841)))</f>
        <v>0.29850506741008798</v>
      </c>
      <c r="AL842" s="18">
        <f>IF($A842&gt;'1-Input'!$B$26,0,(MAX(0,AK836-IF($A842&gt;='1-Input'!$C$12,'1-Input'!$B$12,0))-MIN(MAX(AO841,0),MAX(0,AK836-IF($A842&gt;='1-Input'!$C$12,'1-Input'!$B$12,0))))*(1/(1-'P-Parametri'!$B$6*AK842))+MIN(MAX(0,AP841-(MAX(0,AK836-IF($A842&gt;='1-Input'!$C$12,'1-Input'!$B$12,0))-MIN(MAX(AO841,0),MAX(0,AK836-IF($A842&gt;='1-Input'!$C$12,'1-Input'!$B$12,0))))*(1/(1-'P-Parametri'!$B$6*AK842))),MAX(0,3*AK836-(AO841-MIN(MAX(AO841,0),MAX(0,AK836-IF($A842&gt;='1-Input'!$C$12,'1-Input'!$B$12,0)))))*(1/(1-'P-Parametri'!$B$6*AK842))))</f>
        <v>20644.192627008091</v>
      </c>
      <c r="AM842" s="18">
        <f>IF($A842&gt;'1-Input'!$B$26,AO841,(AO841-MAX(0,AK836-IF($A842&gt;='1-Input'!$C$12,'1-Input'!$B$12,0))+AL842*(1-'P-Parametri'!$B$6*AK842))*(1+'1-Input'!$B$27))</f>
        <v>56312.085122445489</v>
      </c>
      <c r="AN842" s="18">
        <f>IF($A842&gt;'1-Input'!$B$26,AP841,(AP841-AL842)*(1+$D$4))</f>
        <v>354793.829420236</v>
      </c>
      <c r="AO842" s="18">
        <f>IF($A842&gt;'1-Input'!$B$26,AM842,AM842-'P-Parametri'!$B$8*(AN842+AM842)+MIN(MAX(AN842,0),'P-Parametri'!$B$8*(AN842+AM842)))</f>
        <v>56312.085122445489</v>
      </c>
      <c r="AP842" s="18">
        <f>IF($A842&gt;'1-Input'!$B$26,AN842,AN842-MIN(MAX(AN842,0),'P-Parametri'!$B$8*(AN842+AM842)))</f>
        <v>353971.61759115063</v>
      </c>
      <c r="AQ842" s="18">
        <f>IF($A842&gt;'1-Input'!$B$26,AQ841,AQ841-AL842*(1-AK842))</f>
        <v>239313.53216583192</v>
      </c>
    </row>
    <row r="843" spans="1:43">
      <c r="A843" s="10">
        <f>5</f>
        <v>5</v>
      </c>
      <c r="B843" s="11">
        <f>IF($A843&gt;'1-Input'!$B$26,0,IF(G842&lt;=0,0,MAX(0,(G842-H842)/G842)))</f>
        <v>0.324040728228562</v>
      </c>
      <c r="C843" s="18">
        <f>IF($A843&gt;'1-Input'!$B$26,0,(MAX(0,B836-IF($A843&gt;='1-Input'!$C$12,'1-Input'!$B$12,0))-MIN(MAX(F842,0),MAX(0,B836-IF($A843&gt;='1-Input'!$C$12,'1-Input'!$B$12,0))))*(1/(1-'P-Parametri'!$B$6*B843))+MIN(MAX(0,G842-(MAX(0,B836-IF($A843&gt;='1-Input'!$C$12,'1-Input'!$B$12,0))-MIN(MAX(F842,0),MAX(0,B836-IF($A843&gt;='1-Input'!$C$12,'1-Input'!$B$12,0))))*(1/(1-'P-Parametri'!$B$6*B843))),MAX(0,3*B836-(F842-MIN(MAX(F842,0),MAX(0,B836-IF($A843&gt;='1-Input'!$C$12,'1-Input'!$B$12,0)))))*(1/(1-'P-Parametri'!$B$6*B843))))</f>
        <v>18412.472359508225</v>
      </c>
      <c r="D843" s="18">
        <f>IF($A843&gt;'1-Input'!$B$26,F842,(F842-MAX(0,B836-IF($A843&gt;='1-Input'!$C$12,'1-Input'!$B$12,0))+C843*(1-'P-Parametri'!$B$6*B843))*(1+'1-Input'!$B$27))</f>
        <v>49863.010546479447</v>
      </c>
      <c r="E843" s="18">
        <f>IF($A843&gt;'1-Input'!$B$26,G842,(G842-C843)*(1+$D$4))</f>
        <v>367497.8382062625</v>
      </c>
      <c r="F843" s="18">
        <f>IF($A843&gt;'1-Input'!$B$26,D843,D843-'P-Parametri'!$B$8*(E843+D843)+MIN(MAX(E843,0),'P-Parametri'!$B$8*(E843+D843)))</f>
        <v>49863.010546479447</v>
      </c>
      <c r="G843" s="18">
        <f>IF($A843&gt;'1-Input'!$B$26,E843,E843-MIN(MAX(E843,0),'P-Parametri'!$B$8*(E843+D843)))</f>
        <v>366663.116508757</v>
      </c>
      <c r="H843" s="18">
        <f>IF($A843&gt;'1-Input'!$B$26,H842,H842-C843*(1-B843))</f>
        <v>238859.20297257975</v>
      </c>
      <c r="I843" s="11">
        <f>IF($A843&gt;'1-Input'!$B$26,0,IF(N842&lt;=0,0,MAX(0,(N842-O842)/N842)))</f>
        <v>0.32372601838871007</v>
      </c>
      <c r="J843" s="18">
        <f>IF($A843&gt;'1-Input'!$B$26,0,(MAX(0,I836-IF($A843&gt;='1-Input'!$C$12,'1-Input'!$B$12,0))-MIN(MAX(M842,0),MAX(0,I836-IF($A843&gt;='1-Input'!$C$12,'1-Input'!$B$12,0))))*(1/(1-'P-Parametri'!$B$6*I843))+MIN(MAX(0,N842-(MAX(0,I836-IF($A843&gt;='1-Input'!$C$12,'1-Input'!$B$12,0))-MIN(MAX(M842,0),MAX(0,I836-IF($A843&gt;='1-Input'!$C$12,'1-Input'!$B$12,0))))*(1/(1-'P-Parametri'!$B$6*I843))),MAX(0,3*I836-(M842-MIN(MAX(M842,0),MAX(0,I836-IF($A843&gt;='1-Input'!$C$12,'1-Input'!$B$12,0)))))*(1/(1-'P-Parametri'!$B$6*I843))))</f>
        <v>24224.77276956891</v>
      </c>
      <c r="K843" s="18">
        <f>IF($A843&gt;'1-Input'!$B$26,M842,(M842-MAX(0,I836-IF($A843&gt;='1-Input'!$C$12,'1-Input'!$B$12,0))+J843*(1-'P-Parametri'!$B$6*I843))*(1+'1-Input'!$B$27))</f>
        <v>65609.224403262444</v>
      </c>
      <c r="L843" s="18">
        <f>IF($A843&gt;'1-Input'!$B$26,N842,(N842-J843)*(1+$D$4))</f>
        <v>316243.76120259991</v>
      </c>
      <c r="M843" s="18">
        <f>IF($A843&gt;'1-Input'!$B$26,K843,K843-'P-Parametri'!$B$8*(L843+K843)+MIN(MAX(L843,0),'P-Parametri'!$B$8*(L843+K843)))</f>
        <v>65609.224403262444</v>
      </c>
      <c r="N843" s="18">
        <f>IF($A843&gt;'1-Input'!$B$26,L843,L843-MIN(MAX(L843,0),'P-Parametri'!$B$8*(L843+K843)))</f>
        <v>315480.05523138819</v>
      </c>
      <c r="O843" s="18">
        <f>IF($A843&gt;'1-Input'!$B$26,O842,O842-J843*(1-I843))</f>
        <v>205641.75725789633</v>
      </c>
      <c r="P843" s="11">
        <f>IF($A843&gt;'1-Input'!$B$26,0,IF(U842&lt;=0,0,MAX(0,(U842-V842)/U842)))</f>
        <v>0.32389039465069797</v>
      </c>
      <c r="Q843" s="18">
        <f>IF($A843&gt;'1-Input'!$B$26,0,(MAX(0,P836-IF($A843&gt;='1-Input'!$C$12,'1-Input'!$B$12,0))-MIN(MAX(T842,0),MAX(0,P836-IF($A843&gt;='1-Input'!$C$12,'1-Input'!$B$12,0))))*(1/(1-'P-Parametri'!$B$6*P843))+MIN(MAX(0,U842-(MAX(0,P836-IF($A843&gt;='1-Input'!$C$12,'1-Input'!$B$12,0))-MIN(MAX(T842,0),MAX(0,P836-IF($A843&gt;='1-Input'!$C$12,'1-Input'!$B$12,0))))*(1/(1-'P-Parametri'!$B$6*P843))),MAX(0,3*P836-(T842-MIN(MAX(T842,0),MAX(0,P836-IF($A843&gt;='1-Input'!$C$12,'1-Input'!$B$12,0)))))*(1/(1-'P-Parametri'!$B$6*P843))))</f>
        <v>21324.620696617971</v>
      </c>
      <c r="R843" s="18">
        <f>IF($A843&gt;'1-Input'!$B$26,T842,(T842-MAX(0,P836-IF($A843&gt;='1-Input'!$C$12,'1-Input'!$B$12,0))+Q843*(1-'P-Parametri'!$B$6*P843))*(1+'1-Input'!$B$27))</f>
        <v>57751.895071455059</v>
      </c>
      <c r="S843" s="18">
        <f>IF($A843&gt;'1-Input'!$B$26,U842,(U842-Q843)*(1+$D$4))</f>
        <v>341818.99788395682</v>
      </c>
      <c r="T843" s="18">
        <f>IF($A843&gt;'1-Input'!$B$26,R843,R843-'P-Parametri'!$B$8*(S843+R843)+MIN(MAX(S843,0),'P-Parametri'!$B$8*(S843+R843)))</f>
        <v>57751.895071455059</v>
      </c>
      <c r="U843" s="18">
        <f>IF($A843&gt;'1-Input'!$B$26,S843,S843-MIN(MAX(S843,0),'P-Parametri'!$B$8*(S843+R843)))</f>
        <v>341019.856098046</v>
      </c>
      <c r="V843" s="18">
        <f>IF($A843&gt;'1-Input'!$B$26,V842,V842-Q843*(1-P843))</f>
        <v>222218.37284636151</v>
      </c>
      <c r="W843" s="11">
        <f>IF($A843&gt;'1-Input'!$B$26,0,IF(AB842&lt;=0,0,MAX(0,(AB842-AC842)/AB842)))</f>
        <v>0.32391684911006813</v>
      </c>
      <c r="X843" s="18">
        <f>IF($A843&gt;'1-Input'!$B$26,0,(MAX(0,W836-IF($A843&gt;='1-Input'!$C$12,'1-Input'!$B$12,0))-MIN(MAX(AA842,0),MAX(0,W836-IF($A843&gt;='1-Input'!$C$12,'1-Input'!$B$12,0))))*(1/(1-'P-Parametri'!$B$6*W843))+MIN(MAX(0,AB842-(MAX(0,W836-IF($A843&gt;='1-Input'!$C$12,'1-Input'!$B$12,0))-MIN(MAX(AA842,0),MAX(0,W836-IF($A843&gt;='1-Input'!$C$12,'1-Input'!$B$12,0))))*(1/(1-'P-Parametri'!$B$6*W843))),MAX(0,3*W836-(AA842-MIN(MAX(AA842,0),MAX(0,W836-IF($A843&gt;='1-Input'!$C$12,'1-Input'!$B$12,0)))))*(1/(1-'P-Parametri'!$B$6*W843))))</f>
        <v>20831.115644253969</v>
      </c>
      <c r="Y843" s="18">
        <f>IF($A843&gt;'1-Input'!$B$26,AA842,(AA842-MAX(0,W836-IF($A843&gt;='1-Input'!$C$12,'1-Input'!$B$12,0))+X843*(1-'P-Parametri'!$B$6*W843))*(1+'1-Input'!$B$27))</f>
        <v>56414.948075653214</v>
      </c>
      <c r="Z843" s="18">
        <f>IF($A843&gt;'1-Input'!$B$26,AB842,(AB842-X843)*(1+$D$4))</f>
        <v>346170.78872522037</v>
      </c>
      <c r="AA843" s="18">
        <f>IF($A843&gt;'1-Input'!$B$26,Y843,Y843-'P-Parametri'!$B$8*(Z843+Y843)+MIN(MAX(Z843,0),'P-Parametri'!$B$8*(Z843+Y843)))</f>
        <v>56414.948075653214</v>
      </c>
      <c r="AB843" s="18">
        <f>IF($A843&gt;'1-Input'!$B$26,Z843,Z843-MIN(MAX(Z843,0),'P-Parametri'!$B$8*(Z843+Y843)))</f>
        <v>345365.61725161859</v>
      </c>
      <c r="AC843" s="18">
        <f>IF($A843&gt;'1-Input'!$B$26,AC842,AC842-X843*(1-W843))</f>
        <v>225038.68998788451</v>
      </c>
      <c r="AD843" s="11">
        <f>IF($A843&gt;'1-Input'!$B$26,0,IF(AI842&lt;=0,0,MAX(0,(AI842-AJ842)/AI842)))</f>
        <v>0.32391884261104292</v>
      </c>
      <c r="AE843" s="18">
        <f>IF($A843&gt;'1-Input'!$B$26,0,(MAX(0,AD836-IF($A843&gt;='1-Input'!$C$12,'1-Input'!$B$12,0))-MIN(MAX(AH842,0),MAX(0,AD836-IF($A843&gt;='1-Input'!$C$12,'1-Input'!$B$12,0))))*(1/(1-'P-Parametri'!$B$6*AD843))+MIN(MAX(0,AI842-(MAX(0,AD836-IF($A843&gt;='1-Input'!$C$12,'1-Input'!$B$12,0))-MIN(MAX(AH842,0),MAX(0,AD836-IF($A843&gt;='1-Input'!$C$12,'1-Input'!$B$12,0))))*(1/(1-'P-Parametri'!$B$6*AD843))),MAX(0,3*AD836-(AH842-MIN(MAX(AH842,0),MAX(0,AD836-IF($A843&gt;='1-Input'!$C$12,'1-Input'!$B$12,0)))))*(1/(1-'P-Parametri'!$B$6*AD843))))</f>
        <v>20793.610314633079</v>
      </c>
      <c r="AF843" s="18">
        <f>IF($A843&gt;'1-Input'!$B$26,AH842,(AH842-MAX(0,AD836-IF($A843&gt;='1-Input'!$C$12,'1-Input'!$B$12,0))+AE843*(1-'P-Parametri'!$B$6*AD843))*(1+'1-Input'!$B$27))</f>
        <v>56313.344052672539</v>
      </c>
      <c r="AG843" s="18">
        <f>IF($A843&gt;'1-Input'!$B$26,AI842,(AI842-AE843)*(1+$D$4))</f>
        <v>346501.51300994394</v>
      </c>
      <c r="AH843" s="18">
        <f>IF($A843&gt;'1-Input'!$B$26,AF843,AF843-'P-Parametri'!$B$8*(AG843+AF843)+MIN(MAX(AG843,0),'P-Parametri'!$B$8*(AG843+AF843)))</f>
        <v>56313.344052672539</v>
      </c>
      <c r="AI843" s="18">
        <f>IF($A843&gt;'1-Input'!$B$26,AG843,AG843-MIN(MAX(AG843,0),'P-Parametri'!$B$8*(AG843+AF843)))</f>
        <v>345695.8832958187</v>
      </c>
      <c r="AJ843" s="18">
        <f>IF($A843&gt;'1-Input'!$B$26,AJ842,AJ842-AE843*(1-AD843))</f>
        <v>225253.02303152657</v>
      </c>
      <c r="AK843" s="11">
        <f>IF($A843&gt;'1-Input'!$B$26,0,IF(AP842&lt;=0,0,MAX(0,(AP842-AQ842)/AP842)))</f>
        <v>0.32391886729673547</v>
      </c>
      <c r="AL843" s="18">
        <f>IF($A843&gt;'1-Input'!$B$26,0,(MAX(0,AK836-IF($A843&gt;='1-Input'!$C$12,'1-Input'!$B$12,0))-MIN(MAX(AO842,0),MAX(0,AK836-IF($A843&gt;='1-Input'!$C$12,'1-Input'!$B$12,0))))*(1/(1-'P-Parametri'!$B$6*AK843))+MIN(MAX(0,AP842-(MAX(0,AK836-IF($A843&gt;='1-Input'!$C$12,'1-Input'!$B$12,0))-MIN(MAX(AO842,0),MAX(0,AK836-IF($A843&gt;='1-Input'!$C$12,'1-Input'!$B$12,0))))*(1/(1-'P-Parametri'!$B$6*AK843))),MAX(0,3*AK836-(AO842-MIN(MAX(AO842,0),MAX(0,AK836-IF($A843&gt;='1-Input'!$C$12,'1-Input'!$B$12,0)))))*(1/(1-'P-Parametri'!$B$6*AK843))))</f>
        <v>20793.145602432356</v>
      </c>
      <c r="AM843" s="18">
        <f>IF($A843&gt;'1-Input'!$B$26,AO842,(AO842-MAX(0,AK836-IF($A843&gt;='1-Input'!$C$12,'1-Input'!$B$12,0))+AL843*(1-'P-Parametri'!$B$6*AK843))*(1+'1-Input'!$B$27))</f>
        <v>56312.085122445489</v>
      </c>
      <c r="AN843" s="18">
        <f>IF($A843&gt;'1-Input'!$B$26,AP842,(AP842-AL843)*(1+$D$4))</f>
        <v>346505.61086826702</v>
      </c>
      <c r="AO843" s="18">
        <f>IF($A843&gt;'1-Input'!$B$26,AM843,AM843-'P-Parametri'!$B$8*(AN843+AM843)+MIN(MAX(AN843,0),'P-Parametri'!$B$8*(AN843+AM843)))</f>
        <v>56312.085122445489</v>
      </c>
      <c r="AP843" s="18">
        <f>IF($A843&gt;'1-Input'!$B$26,AN843,AN843-MIN(MAX(AN843,0),'P-Parametri'!$B$8*(AN843+AM843)))</f>
        <v>345699.97547628562</v>
      </c>
      <c r="AQ843" s="18">
        <f>IF($A843&gt;'1-Input'!$B$26,AQ842,AQ842-AL843*(1-AK843))</f>
        <v>225255.67873447554</v>
      </c>
    </row>
    <row r="844" spans="1:43">
      <c r="A844" s="10">
        <f>6</f>
        <v>6</v>
      </c>
      <c r="B844" s="11">
        <f>IF($A844&gt;'1-Input'!$B$26,0,IF(G843&lt;=0,0,MAX(0,(G843-H843)/G843)))</f>
        <v>0.3485595026657799</v>
      </c>
      <c r="C844" s="18">
        <f>IF($A844&gt;'1-Input'!$B$26,0,(MAX(0,B836-IF($A844&gt;='1-Input'!$C$12,'1-Input'!$B$12,0))-MIN(MAX(F843,0),MAX(0,B836-IF($A844&gt;='1-Input'!$C$12,'1-Input'!$B$12,0))))*(1/(1-'P-Parametri'!$B$6*B844))+MIN(MAX(0,G843-(MAX(0,B836-IF($A844&gt;='1-Input'!$C$12,'1-Input'!$B$12,0))-MIN(MAX(F843,0),MAX(0,B836-IF($A844&gt;='1-Input'!$C$12,'1-Input'!$B$12,0))))*(1/(1-'P-Parametri'!$B$6*B844))),MAX(0,3*B836-(F843-MIN(MAX(F843,0),MAX(0,B836-IF($A844&gt;='1-Input'!$C$12,'1-Input'!$B$12,0)))))*(1/(1-'P-Parametri'!$B$6*B844))))</f>
        <v>18541.547149858001</v>
      </c>
      <c r="D844" s="18">
        <f>IF($A844&gt;'1-Input'!$B$26,F843,(F843-MAX(0,B836-IF($A844&gt;='1-Input'!$C$12,'1-Input'!$B$12,0))+C844*(1-'P-Parametri'!$B$6*B844))*(1+'1-Input'!$B$27))</f>
        <v>49863.010546479447</v>
      </c>
      <c r="E844" s="18">
        <f>IF($A844&gt;'1-Input'!$B$26,G843,(G843-C844)*(1+$D$4))</f>
        <v>362046.432133255</v>
      </c>
      <c r="F844" s="18">
        <f>IF($A844&gt;'1-Input'!$B$26,D844,D844-'P-Parametri'!$B$8*(E844+D844)+MIN(MAX(E844,0),'P-Parametri'!$B$8*(E844+D844)))</f>
        <v>49863.010546479447</v>
      </c>
      <c r="G844" s="18">
        <f>IF($A844&gt;'1-Input'!$B$26,E844,E844-MIN(MAX(E844,0),'P-Parametri'!$B$8*(E844+D844)))</f>
        <v>361222.61324789556</v>
      </c>
      <c r="H844" s="18">
        <f>IF($A844&gt;'1-Input'!$B$26,H843,H843-C844*(1-B844))</f>
        <v>226780.48827593037</v>
      </c>
      <c r="I844" s="11">
        <f>IF($A844&gt;'1-Input'!$B$26,0,IF(N843&lt;=0,0,MAX(0,(N843-O843)/N843)))</f>
        <v>0.34816241518954721</v>
      </c>
      <c r="J844" s="18">
        <f>IF($A844&gt;'1-Input'!$B$26,0,(MAX(0,I836-IF($A844&gt;='1-Input'!$C$12,'1-Input'!$B$12,0))-MIN(MAX(M843,0),MAX(0,I836-IF($A844&gt;='1-Input'!$C$12,'1-Input'!$B$12,0))))*(1/(1-'P-Parametri'!$B$6*I844))+MIN(MAX(0,N843-(MAX(0,I836-IF($A844&gt;='1-Input'!$C$12,'1-Input'!$B$12,0))-MIN(MAX(M843,0),MAX(0,I836-IF($A844&gt;='1-Input'!$C$12,'1-Input'!$B$12,0))))*(1/(1-'P-Parametri'!$B$6*I844))),MAX(0,3*I836-(M843-MIN(MAX(M843,0),MAX(0,I836-IF($A844&gt;='1-Input'!$C$12,'1-Input'!$B$12,0)))))*(1/(1-'P-Parametri'!$B$6*I844))))</f>
        <v>24394.003075443077</v>
      </c>
      <c r="K844" s="18">
        <f>IF($A844&gt;'1-Input'!$B$26,M843,(M843-MAX(0,I836-IF($A844&gt;='1-Input'!$C$12,'1-Input'!$B$12,0))+J844*(1-'P-Parametri'!$B$6*I844))*(1+'1-Input'!$B$27))</f>
        <v>65609.224403262444</v>
      </c>
      <c r="L844" s="18">
        <f>IF($A844&gt;'1-Input'!$B$26,N843,(N843-J844)*(1+$D$4))</f>
        <v>302729.49424218293</v>
      </c>
      <c r="M844" s="18">
        <f>IF($A844&gt;'1-Input'!$B$26,K844,K844-'P-Parametri'!$B$8*(L844+K844)+MIN(MAX(L844,0),'P-Parametri'!$B$8*(L844+K844)))</f>
        <v>65609.224403262444</v>
      </c>
      <c r="N844" s="18">
        <f>IF($A844&gt;'1-Input'!$B$26,L844,L844-MIN(MAX(L844,0),'P-Parametri'!$B$8*(L844+K844)))</f>
        <v>301992.81680489203</v>
      </c>
      <c r="O844" s="18">
        <f>IF($A844&gt;'1-Input'!$B$26,O843,O843-J844*(1-I844))</f>
        <v>189740.82920934077</v>
      </c>
      <c r="P844" s="11">
        <f>IF($A844&gt;'1-Input'!$B$26,0,IF(U843&lt;=0,0,MAX(0,(U843-V843)/U843)))</f>
        <v>0.34837116117229283</v>
      </c>
      <c r="Q844" s="18">
        <f>IF($A844&gt;'1-Input'!$B$26,0,(MAX(0,P836-IF($A844&gt;='1-Input'!$C$12,'1-Input'!$B$12,0))-MIN(MAX(T843,0),MAX(0,P836-IF($A844&gt;='1-Input'!$C$12,'1-Input'!$B$12,0))))*(1/(1-'P-Parametri'!$B$6*P844))+MIN(MAX(0,U843-(MAX(0,P836-IF($A844&gt;='1-Input'!$C$12,'1-Input'!$B$12,0))-MIN(MAX(T843,0),MAX(0,P836-IF($A844&gt;='1-Input'!$C$12,'1-Input'!$B$12,0))))*(1/(1-'P-Parametri'!$B$6*P844))),MAX(0,3*P836-(T843-MIN(MAX(T843,0),MAX(0,P836-IF($A844&gt;='1-Input'!$C$12,'1-Input'!$B$12,0)))))*(1/(1-'P-Parametri'!$B$6*P844))))</f>
        <v>21473.870409207888</v>
      </c>
      <c r="R844" s="18">
        <f>IF($A844&gt;'1-Input'!$B$26,T843,(T843-MAX(0,P836-IF($A844&gt;='1-Input'!$C$12,'1-Input'!$B$12,0))+Q844*(1-'P-Parametri'!$B$6*P844))*(1+'1-Input'!$B$27))</f>
        <v>57751.895071455059</v>
      </c>
      <c r="S844" s="18">
        <f>IF($A844&gt;'1-Input'!$B$26,U843,(U843-Q844)*(1+$D$4))</f>
        <v>332327.82511639164</v>
      </c>
      <c r="T844" s="18">
        <f>IF($A844&gt;'1-Input'!$B$26,R844,R844-'P-Parametri'!$B$8*(S844+R844)+MIN(MAX(S844,0),'P-Parametri'!$B$8*(S844+R844)))</f>
        <v>57751.895071455059</v>
      </c>
      <c r="U844" s="18">
        <f>IF($A844&gt;'1-Input'!$B$26,S844,S844-MIN(MAX(S844,0),'P-Parametri'!$B$8*(S844+R844)))</f>
        <v>331547.66567601595</v>
      </c>
      <c r="V844" s="18">
        <f>IF($A844&gt;'1-Input'!$B$26,V843,V843-Q844*(1-P844))</f>
        <v>208225.37960647271</v>
      </c>
      <c r="W844" s="11">
        <f>IF($A844&gt;'1-Input'!$B$26,0,IF(AB843&lt;=0,0,MAX(0,(AB843-AC843)/AB843)))</f>
        <v>0.34840447703301347</v>
      </c>
      <c r="X844" s="18">
        <f>IF($A844&gt;'1-Input'!$B$26,0,(MAX(0,W836-IF($A844&gt;='1-Input'!$C$12,'1-Input'!$B$12,0))-MIN(MAX(AA843,0),MAX(0,W836-IF($A844&gt;='1-Input'!$C$12,'1-Input'!$B$12,0))))*(1/(1-'P-Parametri'!$B$6*W844))+MIN(MAX(0,AB843-(MAX(0,W836-IF($A844&gt;='1-Input'!$C$12,'1-Input'!$B$12,0))-MIN(MAX(AA843,0),MAX(0,W836-IF($A844&gt;='1-Input'!$C$12,'1-Input'!$B$12,0))))*(1/(1-'P-Parametri'!$B$6*W844))),MAX(0,3*W836-(AA843-MIN(MAX(AA843,0),MAX(0,W836-IF($A844&gt;='1-Input'!$C$12,'1-Input'!$B$12,0)))))*(1/(1-'P-Parametri'!$B$6*W844))))</f>
        <v>20976.953597544667</v>
      </c>
      <c r="Y844" s="18">
        <f>IF($A844&gt;'1-Input'!$B$26,AA843,(AA843-MAX(0,W836-IF($A844&gt;='1-Input'!$C$12,'1-Input'!$B$12,0))+X844*(1-'P-Parametri'!$B$6*W844))*(1+'1-Input'!$B$27))</f>
        <v>56414.948075653228</v>
      </c>
      <c r="Z844" s="18">
        <f>IF($A844&gt;'1-Input'!$B$26,AB843,(AB843-X844)*(1+$D$4))</f>
        <v>337364.21020023688</v>
      </c>
      <c r="AA844" s="18">
        <f>IF($A844&gt;'1-Input'!$B$26,Y844,Y844-'P-Parametri'!$B$8*(Z844+Y844)+MIN(MAX(Z844,0),'P-Parametri'!$B$8*(Z844+Y844)))</f>
        <v>56414.948075653228</v>
      </c>
      <c r="AB844" s="18">
        <f>IF($A844&gt;'1-Input'!$B$26,Z844,Z844-MIN(MAX(Z844,0),'P-Parametri'!$B$8*(Z844+Y844)))</f>
        <v>336576.65188368509</v>
      </c>
      <c r="AC844" s="18">
        <f>IF($A844&gt;'1-Input'!$B$26,AC843,AC843-X844*(1-W844))</f>
        <v>211370.20093823818</v>
      </c>
      <c r="AD844" s="11">
        <f>IF($A844&gt;'1-Input'!$B$26,0,IF(AI843&lt;=0,0,MAX(0,(AI843-AJ843)/AI843)))</f>
        <v>0.34840698453220176</v>
      </c>
      <c r="AE844" s="18">
        <f>IF($A844&gt;'1-Input'!$B$26,0,(MAX(0,AD836-IF($A844&gt;='1-Input'!$C$12,'1-Input'!$B$12,0))-MIN(MAX(AH843,0),MAX(0,AD836-IF($A844&gt;='1-Input'!$C$12,'1-Input'!$B$12,0))))*(1/(1-'P-Parametri'!$B$6*AD844))+MIN(MAX(0,AI843-(MAX(0,AD836-IF($A844&gt;='1-Input'!$C$12,'1-Input'!$B$12,0))-MIN(MAX(AH843,0),MAX(0,AD836-IF($A844&gt;='1-Input'!$C$12,'1-Input'!$B$12,0))))*(1/(1-'P-Parametri'!$B$6*AD844))),MAX(0,3*AD836-(AH843-MIN(MAX(AH843,0),MAX(0,AD836-IF($A844&gt;='1-Input'!$C$12,'1-Input'!$B$12,0)))))*(1/(1-'P-Parametri'!$B$6*AD844))))</f>
        <v>20939.188854356777</v>
      </c>
      <c r="AF844" s="18">
        <f>IF($A844&gt;'1-Input'!$B$26,AH843,(AH843-MAX(0,AD836-IF($A844&gt;='1-Input'!$C$12,'1-Input'!$B$12,0))+AE844*(1-'P-Parametri'!$B$6*AD844))*(1+'1-Input'!$B$27))</f>
        <v>56313.344052672539</v>
      </c>
      <c r="AG844" s="18">
        <f>IF($A844&gt;'1-Input'!$B$26,AI843,(AI843-AE844)*(1+$D$4))</f>
        <v>337746.96221912041</v>
      </c>
      <c r="AH844" s="18">
        <f>IF($A844&gt;'1-Input'!$B$26,AF844,AF844-'P-Parametri'!$B$8*(AG844+AF844)+MIN(MAX(AG844,0),'P-Parametri'!$B$8*(AG844+AF844)))</f>
        <v>56313.344052672539</v>
      </c>
      <c r="AI844" s="18">
        <f>IF($A844&gt;'1-Input'!$B$26,AG844,AG844-MIN(MAX(AG844,0),'P-Parametri'!$B$8*(AG844+AF844)))</f>
        <v>336958.84160657681</v>
      </c>
      <c r="AJ844" s="18">
        <f>IF($A844&gt;'1-Input'!$B$26,AJ843,AJ843-AE844*(1-AD844))</f>
        <v>211609.19382446652</v>
      </c>
      <c r="AK844" s="11">
        <f>IF($A844&gt;'1-Input'!$B$26,0,IF(AP843&lt;=0,0,MAX(0,(AP843-AQ843)/AP843)))</f>
        <v>0.34840701558011056</v>
      </c>
      <c r="AL844" s="18">
        <f>IF($A844&gt;'1-Input'!$B$26,0,(MAX(0,AK836-IF($A844&gt;='1-Input'!$C$12,'1-Input'!$B$12,0))-MIN(MAX(AO843,0),MAX(0,AK836-IF($A844&gt;='1-Input'!$C$12,'1-Input'!$B$12,0))))*(1/(1-'P-Parametri'!$B$6*AK844))+MIN(MAX(0,AP843-(MAX(0,AK836-IF($A844&gt;='1-Input'!$C$12,'1-Input'!$B$12,0))-MIN(MAX(AO843,0),MAX(0,AK836-IF($A844&gt;='1-Input'!$C$12,'1-Input'!$B$12,0))))*(1/(1-'P-Parametri'!$B$6*AK844))),MAX(0,3*AK836-(AO843-MIN(MAX(AO843,0),MAX(0,AK836-IF($A844&gt;='1-Input'!$C$12,'1-Input'!$B$12,0)))))*(1/(1-'P-Parametri'!$B$6*AK844))))</f>
        <v>20938.720927764476</v>
      </c>
      <c r="AM844" s="18">
        <f>IF($A844&gt;'1-Input'!$B$26,AO843,(AO843-MAX(0,AK836-IF($A844&gt;='1-Input'!$C$12,'1-Input'!$B$12,0))+AL844*(1-'P-Parametri'!$B$6*AK844))*(1+'1-Input'!$B$27))</f>
        <v>56312.085122445489</v>
      </c>
      <c r="AN844" s="18">
        <f>IF($A844&gt;'1-Input'!$B$26,AP843,(AP843-AL844)*(1+$D$4))</f>
        <v>337751.70473046199</v>
      </c>
      <c r="AO844" s="18">
        <f>IF($A844&gt;'1-Input'!$B$26,AM844,AM844-'P-Parametri'!$B$8*(AN844+AM844)+MIN(MAX(AN844,0),'P-Parametri'!$B$8*(AN844+AM844)))</f>
        <v>56312.085122445489</v>
      </c>
      <c r="AP844" s="18">
        <f>IF($A844&gt;'1-Input'!$B$26,AN844,AN844-MIN(MAX(AN844,0),'P-Parametri'!$B$8*(AN844+AM844)))</f>
        <v>336963.5771507562</v>
      </c>
      <c r="AQ844" s="18">
        <f>IF($A844&gt;'1-Input'!$B$26,AQ843,AQ843-AL844*(1-AK844))</f>
        <v>211612.1550752183</v>
      </c>
    </row>
    <row r="845" spans="1:43">
      <c r="A845" s="10">
        <f>7</f>
        <v>7</v>
      </c>
      <c r="B845" s="11">
        <f>IF($A845&gt;'1-Input'!$B$26,0,IF(G844&lt;=0,0,MAX(0,(G844-H844)/G844)))</f>
        <v>0.37218634725866911</v>
      </c>
      <c r="C845" s="18">
        <f>IF($A845&gt;'1-Input'!$B$26,0,(MAX(0,B836-IF($A845&gt;='1-Input'!$C$12,'1-Input'!$B$12,0))-MIN(MAX(F844,0),MAX(0,B836-IF($A845&gt;='1-Input'!$C$12,'1-Input'!$B$12,0))))*(1/(1-'P-Parametri'!$B$6*B845))+MIN(MAX(0,G844-(MAX(0,B836-IF($A845&gt;='1-Input'!$C$12,'1-Input'!$B$12,0))-MIN(MAX(F844,0),MAX(0,B836-IF($A845&gt;='1-Input'!$C$12,'1-Input'!$B$12,0))))*(1/(1-'P-Parametri'!$B$6*B845))),MAX(0,3*B836-(F844-MIN(MAX(F844,0),MAX(0,B836-IF($A845&gt;='1-Input'!$C$12,'1-Input'!$B$12,0)))))*(1/(1-'P-Parametri'!$B$6*B845))))</f>
        <v>18667.650302279762</v>
      </c>
      <c r="D845" s="18">
        <f>IF($A845&gt;'1-Input'!$B$26,F844,(F844-MAX(0,B836-IF($A845&gt;='1-Input'!$C$12,'1-Input'!$B$12,0))+C845*(1-'P-Parametri'!$B$6*B845))*(1+'1-Input'!$B$27))</f>
        <v>49863.010546479447</v>
      </c>
      <c r="E845" s="18">
        <f>IF($A845&gt;'1-Input'!$B$26,G844,(G844-C845)*(1+$D$4))</f>
        <v>356257.16146344045</v>
      </c>
      <c r="F845" s="18">
        <f>IF($A845&gt;'1-Input'!$B$26,D845,D845-'P-Parametri'!$B$8*(E845+D845)+MIN(MAX(E845,0),'P-Parametri'!$B$8*(E845+D845)))</f>
        <v>49863.010546479447</v>
      </c>
      <c r="G845" s="18">
        <f>IF($A845&gt;'1-Input'!$B$26,E845,E845-MIN(MAX(E845,0),'P-Parametri'!$B$8*(E845+D845)))</f>
        <v>355444.92111942061</v>
      </c>
      <c r="H845" s="18">
        <f>IF($A845&gt;'1-Input'!$B$26,H844,H844-C845*(1-B845))</f>
        <v>215060.6825515583</v>
      </c>
      <c r="I845" s="11">
        <f>IF($A845&gt;'1-Input'!$B$26,0,IF(N844&lt;=0,0,MAX(0,(N844-O844)/N844)))</f>
        <v>0.37170416430160891</v>
      </c>
      <c r="J845" s="18">
        <f>IF($A845&gt;'1-Input'!$B$26,0,(MAX(0,I836-IF($A845&gt;='1-Input'!$C$12,'1-Input'!$B$12,0))-MIN(MAX(M844,0),MAX(0,I836-IF($A845&gt;='1-Input'!$C$12,'1-Input'!$B$12,0))))*(1/(1-'P-Parametri'!$B$6*I845))+MIN(MAX(0,N844-(MAX(0,I836-IF($A845&gt;='1-Input'!$C$12,'1-Input'!$B$12,0))-MIN(MAX(M844,0),MAX(0,I836-IF($A845&gt;='1-Input'!$C$12,'1-Input'!$B$12,0))))*(1/(1-'P-Parametri'!$B$6*I845))),MAX(0,3*I836-(M844-MIN(MAX(M844,0),MAX(0,I836-IF($A845&gt;='1-Input'!$C$12,'1-Input'!$B$12,0)))))*(1/(1-'P-Parametri'!$B$6*I845))))</f>
        <v>24559.288963231444</v>
      </c>
      <c r="K845" s="18">
        <f>IF($A845&gt;'1-Input'!$B$26,M844,(M844-MAX(0,I836-IF($A845&gt;='1-Input'!$C$12,'1-Input'!$B$12,0))+J845*(1-'P-Parametri'!$B$6*I845))*(1+'1-Input'!$B$27))</f>
        <v>65609.224403262444</v>
      </c>
      <c r="L845" s="18">
        <f>IF($A845&gt;'1-Input'!$B$26,N844,(N844-J845)*(1+$D$4))</f>
        <v>288530.86895532702</v>
      </c>
      <c r="M845" s="18">
        <f>IF($A845&gt;'1-Input'!$B$26,K845,K845-'P-Parametri'!$B$8*(L845+K845)+MIN(MAX(L845,0),'P-Parametri'!$B$8*(L845+K845)))</f>
        <v>65609.224403262444</v>
      </c>
      <c r="N845" s="18">
        <f>IF($A845&gt;'1-Input'!$B$26,L845,L845-MIN(MAX(L845,0),'P-Parametri'!$B$8*(L845+K845)))</f>
        <v>287822.58876860986</v>
      </c>
      <c r="O845" s="18">
        <f>IF($A845&gt;'1-Input'!$B$26,O844,O844-J845*(1-I845))</f>
        <v>174310.33022602898</v>
      </c>
      <c r="P845" s="11">
        <f>IF($A845&gt;'1-Input'!$B$26,0,IF(U844&lt;=0,0,MAX(0,(U844-V844)/U844)))</f>
        <v>0.37195944606665449</v>
      </c>
      <c r="Q845" s="18">
        <f>IF($A845&gt;'1-Input'!$B$26,0,(MAX(0,P836-IF($A845&gt;='1-Input'!$C$12,'1-Input'!$B$12,0))-MIN(MAX(T844,0),MAX(0,P836-IF($A845&gt;='1-Input'!$C$12,'1-Input'!$B$12,0))))*(1/(1-'P-Parametri'!$B$6*P845))+MIN(MAX(0,U844-(MAX(0,P836-IF($A845&gt;='1-Input'!$C$12,'1-Input'!$B$12,0))-MIN(MAX(T844,0),MAX(0,P836-IF($A845&gt;='1-Input'!$C$12,'1-Input'!$B$12,0))))*(1/(1-'P-Parametri'!$B$6*P845))),MAX(0,3*P836-(T844-MIN(MAX(T844,0),MAX(0,P836-IF($A845&gt;='1-Input'!$C$12,'1-Input'!$B$12,0)))))*(1/(1-'P-Parametri'!$B$6*P845))))</f>
        <v>21619.668748237007</v>
      </c>
      <c r="R845" s="18">
        <f>IF($A845&gt;'1-Input'!$B$26,T844,(T844-MAX(0,P836-IF($A845&gt;='1-Input'!$C$12,'1-Input'!$B$12,0))+Q845*(1-'P-Parametri'!$B$6*P845))*(1+'1-Input'!$B$27))</f>
        <v>57751.895071455059</v>
      </c>
      <c r="S845" s="18">
        <f>IF($A845&gt;'1-Input'!$B$26,U844,(U844-Q845)*(1+$D$4))</f>
        <v>322325.1168048901</v>
      </c>
      <c r="T845" s="18">
        <f>IF($A845&gt;'1-Input'!$B$26,R845,R845-'P-Parametri'!$B$8*(S845+R845)+MIN(MAX(S845,0),'P-Parametri'!$B$8*(S845+R845)))</f>
        <v>57751.895071455059</v>
      </c>
      <c r="U845" s="18">
        <f>IF($A845&gt;'1-Input'!$B$26,S845,S845-MIN(MAX(S845,0),'P-Parametri'!$B$8*(S845+R845)))</f>
        <v>321564.96278113744</v>
      </c>
      <c r="V845" s="18">
        <f>IF($A845&gt;'1-Input'!$B$26,V844,V844-Q845*(1-P845))</f>
        <v>194647.3508699745</v>
      </c>
      <c r="W845" s="11">
        <f>IF($A845&gt;'1-Input'!$B$26,0,IF(AB844&lt;=0,0,MAX(0,(AB844-AC844)/AB844)))</f>
        <v>0.37199981117144165</v>
      </c>
      <c r="X845" s="18">
        <f>IF($A845&gt;'1-Input'!$B$26,0,(MAX(0,W836-IF($A845&gt;='1-Input'!$C$12,'1-Input'!$B$12,0))-MIN(MAX(AA844,0),MAX(0,W836-IF($A845&gt;='1-Input'!$C$12,'1-Input'!$B$12,0))))*(1/(1-'P-Parametri'!$B$6*W845))+MIN(MAX(0,AB844-(MAX(0,W836-IF($A845&gt;='1-Input'!$C$12,'1-Input'!$B$12,0))-MIN(MAX(AA844,0),MAX(0,W836-IF($A845&gt;='1-Input'!$C$12,'1-Input'!$B$12,0))))*(1/(1-'P-Parametri'!$B$6*W845))),MAX(0,3*W836-(AA844-MIN(MAX(AA844,0),MAX(0,W836-IF($A845&gt;='1-Input'!$C$12,'1-Input'!$B$12,0)))))*(1/(1-'P-Parametri'!$B$6*W845))))</f>
        <v>21119.422303409865</v>
      </c>
      <c r="Y845" s="18">
        <f>IF($A845&gt;'1-Input'!$B$26,AA844,(AA844-MAX(0,W836-IF($A845&gt;='1-Input'!$C$12,'1-Input'!$B$12,0))+X845*(1-'P-Parametri'!$B$6*W845))*(1+'1-Input'!$B$27))</f>
        <v>56414.948075653221</v>
      </c>
      <c r="Z845" s="18">
        <f>IF($A845&gt;'1-Input'!$B$26,AB844,(AB844-X845)*(1+$D$4))</f>
        <v>328075.5187634863</v>
      </c>
      <c r="AA845" s="18">
        <f>IF($A845&gt;'1-Input'!$B$26,Y845,Y845-'P-Parametri'!$B$8*(Z845+Y845)+MIN(MAX(Z845,0),'P-Parametri'!$B$8*(Z845+Y845)))</f>
        <v>56414.948075653221</v>
      </c>
      <c r="AB845" s="18">
        <f>IF($A845&gt;'1-Input'!$B$26,Z845,Z845-MIN(MAX(Z845,0),'P-Parametri'!$B$8*(Z845+Y845)))</f>
        <v>327306.53782980802</v>
      </c>
      <c r="AC845" s="18">
        <f>IF($A845&gt;'1-Input'!$B$26,AC844,AC844-X845*(1-W845))</f>
        <v>198107.19974374672</v>
      </c>
      <c r="AD845" s="11">
        <f>IF($A845&gt;'1-Input'!$B$26,0,IF(AI844&lt;=0,0,MAX(0,(AI844-AJ844)/AI844)))</f>
        <v>0.37200284516785237</v>
      </c>
      <c r="AE845" s="18">
        <f>IF($A845&gt;'1-Input'!$B$26,0,(MAX(0,AD836-IF($A845&gt;='1-Input'!$C$12,'1-Input'!$B$12,0))-MIN(MAX(AH844,0),MAX(0,AD836-IF($A845&gt;='1-Input'!$C$12,'1-Input'!$B$12,0))))*(1/(1-'P-Parametri'!$B$6*AD845))+MIN(MAX(0,AI844-(MAX(0,AD836-IF($A845&gt;='1-Input'!$C$12,'1-Input'!$B$12,0))-MIN(MAX(AH844,0),MAX(0,AD836-IF($A845&gt;='1-Input'!$C$12,'1-Input'!$B$12,0))))*(1/(1-'P-Parametri'!$B$6*AD845))),MAX(0,3*AD836-(AH844-MIN(MAX(AH844,0),MAX(0,AD836-IF($A845&gt;='1-Input'!$C$12,'1-Input'!$B$12,0)))))*(1/(1-'P-Parametri'!$B$6*AD845))))</f>
        <v>21081.404371727993</v>
      </c>
      <c r="AF845" s="18">
        <f>IF($A845&gt;'1-Input'!$B$26,AH844,(AH844-MAX(0,AD836-IF($A845&gt;='1-Input'!$C$12,'1-Input'!$B$12,0))+AE845*(1-'P-Parametri'!$B$6*AD845))*(1+'1-Input'!$B$27))</f>
        <v>56313.344052672539</v>
      </c>
      <c r="AG845" s="18">
        <f>IF($A845&gt;'1-Input'!$B$26,AI844,(AI844-AE845)*(1+$D$4))</f>
        <v>328512.53472424275</v>
      </c>
      <c r="AH845" s="18">
        <f>IF($A845&gt;'1-Input'!$B$26,AF845,AF845-'P-Parametri'!$B$8*(AG845+AF845)+MIN(MAX(AG845,0),'P-Parametri'!$B$8*(AG845+AF845)))</f>
        <v>56313.344052672539</v>
      </c>
      <c r="AI845" s="18">
        <f>IF($A845&gt;'1-Input'!$B$26,AG845,AG845-MIN(MAX(AG845,0),'P-Parametri'!$B$8*(AG845+AF845)))</f>
        <v>327742.88296668895</v>
      </c>
      <c r="AJ845" s="18">
        <f>IF($A845&gt;'1-Input'!$B$26,AJ844,AJ844-AE845*(1-AD845))</f>
        <v>198370.13185915534</v>
      </c>
      <c r="AK845" s="11">
        <f>IF($A845&gt;'1-Input'!$B$26,0,IF(AP844&lt;=0,0,MAX(0,(AP844-AQ844)/AP844)))</f>
        <v>0.37200288273131715</v>
      </c>
      <c r="AL845" s="18">
        <f>IF($A845&gt;'1-Input'!$B$26,0,(MAX(0,AK836-IF($A845&gt;='1-Input'!$C$12,'1-Input'!$B$12,0))-MIN(MAX(AO844,0),MAX(0,AK836-IF($A845&gt;='1-Input'!$C$12,'1-Input'!$B$12,0))))*(1/(1-'P-Parametri'!$B$6*AK845))+MIN(MAX(0,AP844-(MAX(0,AK836-IF($A845&gt;='1-Input'!$C$12,'1-Input'!$B$12,0))-MIN(MAX(AO844,0),MAX(0,AK836-IF($A845&gt;='1-Input'!$C$12,'1-Input'!$B$12,0))))*(1/(1-'P-Parametri'!$B$6*AK845))),MAX(0,3*AK836-(AO844-MIN(MAX(AO844,0),MAX(0,AK836-IF($A845&gt;='1-Input'!$C$12,'1-Input'!$B$12,0)))))*(1/(1-'P-Parametri'!$B$6*AK845))))</f>
        <v>21080.933307862375</v>
      </c>
      <c r="AM845" s="18">
        <f>IF($A845&gt;'1-Input'!$B$26,AO844,(AO844-MAX(0,AK836-IF($A845&gt;='1-Input'!$C$12,'1-Input'!$B$12,0))+AL845*(1-'P-Parametri'!$B$6*AK845))*(1+'1-Input'!$B$27))</f>
        <v>56312.085122445489</v>
      </c>
      <c r="AN845" s="18">
        <f>IF($A845&gt;'1-Input'!$B$26,AP844,(AP844-AL845)*(1+$D$4))</f>
        <v>328517.94959660957</v>
      </c>
      <c r="AO845" s="18">
        <f>IF($A845&gt;'1-Input'!$B$26,AM845,AM845-'P-Parametri'!$B$8*(AN845+AM845)+MIN(MAX(AN845,0),'P-Parametri'!$B$8*(AN845+AM845)))</f>
        <v>56312.085122445489</v>
      </c>
      <c r="AP845" s="18">
        <f>IF($A845&gt;'1-Input'!$B$26,AN845,AN845-MIN(MAX(AN845,0),'P-Parametri'!$B$8*(AN845+AM845)))</f>
        <v>327748.28952717147</v>
      </c>
      <c r="AQ845" s="18">
        <f>IF($A845&gt;'1-Input'!$B$26,AQ844,AQ844-AL845*(1-AK845))</f>
        <v>198373.38972854736</v>
      </c>
    </row>
    <row r="846" spans="1:43">
      <c r="A846" s="10">
        <f>8</f>
        <v>8</v>
      </c>
      <c r="B846" s="11">
        <f>IF($A846&gt;'1-Input'!$B$26,0,IF(G845&lt;=0,0,MAX(0,(G845-H845)/G845)))</f>
        <v>0.39495356446715613</v>
      </c>
      <c r="C846" s="18">
        <f>IF($A846&gt;'1-Input'!$B$26,0,(MAX(0,B836-IF($A846&gt;='1-Input'!$C$12,'1-Input'!$B$12,0))-MIN(MAX(F845,0),MAX(0,B836-IF($A846&gt;='1-Input'!$C$12,'1-Input'!$B$12,0))))*(1/(1-'P-Parametri'!$B$6*B846))+MIN(MAX(0,G845-(MAX(0,B836-IF($A846&gt;='1-Input'!$C$12,'1-Input'!$B$12,0))-MIN(MAX(F845,0),MAX(0,B836-IF($A846&gt;='1-Input'!$C$12,'1-Input'!$B$12,0))))*(1/(1-'P-Parametri'!$B$6*B846))),MAX(0,3*B836-(F845-MIN(MAX(F845,0),MAX(0,B836-IF($A846&gt;='1-Input'!$C$12,'1-Input'!$B$12,0)))))*(1/(1-'P-Parametri'!$B$6*B846))))</f>
        <v>18790.798892484552</v>
      </c>
      <c r="D846" s="18">
        <f>IF($A846&gt;'1-Input'!$B$26,F845,(F845-MAX(0,B836-IF($A846&gt;='1-Input'!$C$12,'1-Input'!$B$12,0))+C846*(1-'P-Parametri'!$B$6*B846))*(1+'1-Input'!$B$27))</f>
        <v>49863.010546479447</v>
      </c>
      <c r="E846" s="18">
        <f>IF($A846&gt;'1-Input'!$B$26,G845,(G845-C846)*(1+$D$4))</f>
        <v>350120.28711601353</v>
      </c>
      <c r="F846" s="18">
        <f>IF($A846&gt;'1-Input'!$B$26,D846,D846-'P-Parametri'!$B$8*(E846+D846)+MIN(MAX(E846,0),'P-Parametri'!$B$8*(E846+D846)))</f>
        <v>49863.010546479447</v>
      </c>
      <c r="G846" s="18">
        <f>IF($A846&gt;'1-Input'!$B$26,E846,E846-MIN(MAX(E846,0),'P-Parametri'!$B$8*(E846+D846)))</f>
        <v>349320.32052068855</v>
      </c>
      <c r="H846" s="18">
        <f>IF($A846&gt;'1-Input'!$B$26,H845,H845-C846*(1-B846))</f>
        <v>203691.37666084603</v>
      </c>
      <c r="I846" s="11">
        <f>IF($A846&gt;'1-Input'!$B$26,0,IF(N845&lt;=0,0,MAX(0,(N845-O845)/N845)))</f>
        <v>0.39438273079336783</v>
      </c>
      <c r="J846" s="18">
        <f>IF($A846&gt;'1-Input'!$B$26,0,(MAX(0,I836-IF($A846&gt;='1-Input'!$C$12,'1-Input'!$B$12,0))-MIN(MAX(M845,0),MAX(0,I836-IF($A846&gt;='1-Input'!$C$12,'1-Input'!$B$12,0))))*(1/(1-'P-Parametri'!$B$6*I846))+MIN(MAX(0,N845-(MAX(0,I836-IF($A846&gt;='1-Input'!$C$12,'1-Input'!$B$12,0))-MIN(MAX(M845,0),MAX(0,I836-IF($A846&gt;='1-Input'!$C$12,'1-Input'!$B$12,0))))*(1/(1-'P-Parametri'!$B$6*I846))),MAX(0,3*I836-(M845-MIN(MAX(M845,0),MAX(0,I836-IF($A846&gt;='1-Input'!$C$12,'1-Input'!$B$12,0)))))*(1/(1-'P-Parametri'!$B$6*I846))))</f>
        <v>24720.646553039303</v>
      </c>
      <c r="K846" s="18">
        <f>IF($A846&gt;'1-Input'!$B$26,M845,(M845-MAX(0,I836-IF($A846&gt;='1-Input'!$C$12,'1-Input'!$B$12,0))+J846*(1-'P-Parametri'!$B$6*I846))*(1+'1-Input'!$B$27))</f>
        <v>65609.224403262444</v>
      </c>
      <c r="L846" s="18">
        <f>IF($A846&gt;'1-Input'!$B$26,N845,(N845-J846)*(1+$D$4))</f>
        <v>273626.01990419335</v>
      </c>
      <c r="M846" s="18">
        <f>IF($A846&gt;'1-Input'!$B$26,K846,K846-'P-Parametri'!$B$8*(L846+K846)+MIN(MAX(L846,0),'P-Parametri'!$B$8*(L846+K846)))</f>
        <v>65609.224403262444</v>
      </c>
      <c r="N846" s="18">
        <f>IF($A846&gt;'1-Input'!$B$26,L846,L846-MIN(MAX(L846,0),'P-Parametri'!$B$8*(L846+K846)))</f>
        <v>272947.54941557843</v>
      </c>
      <c r="O846" s="18">
        <f>IF($A846&gt;'1-Input'!$B$26,O845,O845-J846*(1-I846))</f>
        <v>159339.07976755497</v>
      </c>
      <c r="P846" s="11">
        <f>IF($A846&gt;'1-Input'!$B$26,0,IF(U845&lt;=0,0,MAX(0,(U845-V845)/U845)))</f>
        <v>0.39468731547580083</v>
      </c>
      <c r="Q846" s="18">
        <f>IF($A846&gt;'1-Input'!$B$26,0,(MAX(0,P836-IF($A846&gt;='1-Input'!$C$12,'1-Input'!$B$12,0))-MIN(MAX(T845,0),MAX(0,P836-IF($A846&gt;='1-Input'!$C$12,'1-Input'!$B$12,0))))*(1/(1-'P-Parametri'!$B$6*P846))+MIN(MAX(0,U845-(MAX(0,P836-IF($A846&gt;='1-Input'!$C$12,'1-Input'!$B$12,0))-MIN(MAX(T845,0),MAX(0,P836-IF($A846&gt;='1-Input'!$C$12,'1-Input'!$B$12,0))))*(1/(1-'P-Parametri'!$B$6*P846))),MAX(0,3*P836-(T845-MIN(MAX(T845,0),MAX(0,P836-IF($A846&gt;='1-Input'!$C$12,'1-Input'!$B$12,0)))))*(1/(1-'P-Parametri'!$B$6*P846))))</f>
        <v>21762.034030823834</v>
      </c>
      <c r="R846" s="18">
        <f>IF($A846&gt;'1-Input'!$B$26,T845,(T845-MAX(0,P836-IF($A846&gt;='1-Input'!$C$12,'1-Input'!$B$12,0))+Q846*(1-'P-Parametri'!$B$6*P846))*(1+'1-Input'!$B$27))</f>
        <v>57751.895071455059</v>
      </c>
      <c r="S846" s="18">
        <f>IF($A846&gt;'1-Input'!$B$26,U845,(U845-Q846)*(1+$D$4))</f>
        <v>311795.04590032616</v>
      </c>
      <c r="T846" s="18">
        <f>IF($A846&gt;'1-Input'!$B$26,R846,R846-'P-Parametri'!$B$8*(S846+R846)+MIN(MAX(S846,0),'P-Parametri'!$B$8*(S846+R846)))</f>
        <v>57751.895071455059</v>
      </c>
      <c r="U846" s="18">
        <f>IF($A846&gt;'1-Input'!$B$26,S846,S846-MIN(MAX(S846,0),'P-Parametri'!$B$8*(S846+R846)))</f>
        <v>311055.95201838261</v>
      </c>
      <c r="V846" s="18">
        <f>IF($A846&gt;'1-Input'!$B$26,V845,V845-Q846*(1-P846))</f>
        <v>181474.51563006954</v>
      </c>
      <c r="W846" s="11">
        <f>IF($A846&gt;'1-Input'!$B$26,0,IF(AB845&lt;=0,0,MAX(0,(AB845-AC845)/AB845)))</f>
        <v>0.39473497517865658</v>
      </c>
      <c r="X846" s="18">
        <f>IF($A846&gt;'1-Input'!$B$26,0,(MAX(0,W836-IF($A846&gt;='1-Input'!$C$12,'1-Input'!$B$12,0))-MIN(MAX(AA845,0),MAX(0,W836-IF($A846&gt;='1-Input'!$C$12,'1-Input'!$B$12,0))))*(1/(1-'P-Parametri'!$B$6*W846))+MIN(MAX(0,AB845-(MAX(0,W836-IF($A846&gt;='1-Input'!$C$12,'1-Input'!$B$12,0))-MIN(MAX(AA845,0),MAX(0,W836-IF($A846&gt;='1-Input'!$C$12,'1-Input'!$B$12,0))))*(1/(1-'P-Parametri'!$B$6*W846))),MAX(0,3*W836-(AA845-MIN(MAX(AA845,0),MAX(0,W836-IF($A846&gt;='1-Input'!$C$12,'1-Input'!$B$12,0)))))*(1/(1-'P-Parametri'!$B$6*W846))))</f>
        <v>21258.540025064445</v>
      </c>
      <c r="Y846" s="18">
        <f>IF($A846&gt;'1-Input'!$B$26,AA845,(AA845-MAX(0,W836-IF($A846&gt;='1-Input'!$C$12,'1-Input'!$B$12,0))+X846*(1-'P-Parametri'!$B$6*W846))*(1+'1-Input'!$B$27))</f>
        <v>56414.948075653221</v>
      </c>
      <c r="Z846" s="18">
        <f>IF($A846&gt;'1-Input'!$B$26,AB845,(AB845-X846)*(1+$D$4))</f>
        <v>318289.91771693336</v>
      </c>
      <c r="AA846" s="18">
        <f>IF($A846&gt;'1-Input'!$B$26,Y846,Y846-'P-Parametri'!$B$8*(Z846+Y846)+MIN(MAX(Z846,0),'P-Parametri'!$B$8*(Z846+Y846)))</f>
        <v>56414.948075653221</v>
      </c>
      <c r="AB846" s="18">
        <f>IF($A846&gt;'1-Input'!$B$26,Z846,Z846-MIN(MAX(Z846,0),'P-Parametri'!$B$8*(Z846+Y846)))</f>
        <v>317540.50798534817</v>
      </c>
      <c r="AC846" s="18">
        <f>IF($A846&gt;'1-Input'!$B$26,AC845,AC845-X846*(1-W846))</f>
        <v>185240.14898781056</v>
      </c>
      <c r="AD846" s="11">
        <f>IF($A846&gt;'1-Input'!$B$26,0,IF(AI845&lt;=0,0,MAX(0,(AI845-AJ845)/AI845)))</f>
        <v>0.39473855217378667</v>
      </c>
      <c r="AE846" s="18">
        <f>IF($A846&gt;'1-Input'!$B$26,0,(MAX(0,AD836-IF($A846&gt;='1-Input'!$C$12,'1-Input'!$B$12,0))-MIN(MAX(AH845,0),MAX(0,AD836-IF($A846&gt;='1-Input'!$C$12,'1-Input'!$B$12,0))))*(1/(1-'P-Parametri'!$B$6*AD846))+MIN(MAX(0,AI845-(MAX(0,AD836-IF($A846&gt;='1-Input'!$C$12,'1-Input'!$B$12,0))-MIN(MAX(AH845,0),MAX(0,AD836-IF($A846&gt;='1-Input'!$C$12,'1-Input'!$B$12,0))))*(1/(1-'P-Parametri'!$B$6*AD846))),MAX(0,3*AD836-(AH845-MIN(MAX(AH845,0),MAX(0,AD836-IF($A846&gt;='1-Input'!$C$12,'1-Input'!$B$12,0)))))*(1/(1-'P-Parametri'!$B$6*AD846))))</f>
        <v>21220.275122490799</v>
      </c>
      <c r="AF846" s="18">
        <f>IF($A846&gt;'1-Input'!$B$26,AH845,(AH845-MAX(0,AD836-IF($A846&gt;='1-Input'!$C$12,'1-Input'!$B$12,0))+AE846*(1-'P-Parametri'!$B$6*AD846))*(1+'1-Input'!$B$27))</f>
        <v>56313.344052672539</v>
      </c>
      <c r="AG846" s="18">
        <f>IF($A846&gt;'1-Input'!$B$26,AI845,(AI845-AE846)*(1+$D$4))</f>
        <v>318783.51215796603</v>
      </c>
      <c r="AH846" s="18">
        <f>IF($A846&gt;'1-Input'!$B$26,AF846,AF846-'P-Parametri'!$B$8*(AG846+AF846)+MIN(MAX(AG846,0),'P-Parametri'!$B$8*(AG846+AF846)))</f>
        <v>56313.344052672539</v>
      </c>
      <c r="AI846" s="18">
        <f>IF($A846&gt;'1-Input'!$B$26,AG846,AG846-MIN(MAX(AG846,0),'P-Parametri'!$B$8*(AG846+AF846)))</f>
        <v>318033.31844554475</v>
      </c>
      <c r="AJ846" s="18">
        <f>IF($A846&gt;'1-Input'!$B$26,AJ845,AJ845-AE846*(1-AD846))</f>
        <v>185526.31741524598</v>
      </c>
      <c r="AK846" s="11">
        <f>IF($A846&gt;'1-Input'!$B$26,0,IF(AP845&lt;=0,0,MAX(0,(AP845-AQ845)/AP845)))</f>
        <v>0.39473859645543163</v>
      </c>
      <c r="AL846" s="18">
        <f>IF($A846&gt;'1-Input'!$B$26,0,(MAX(0,AK836-IF($A846&gt;='1-Input'!$C$12,'1-Input'!$B$12,0))-MIN(MAX(AO845,0),MAX(0,AK836-IF($A846&gt;='1-Input'!$C$12,'1-Input'!$B$12,0))))*(1/(1-'P-Parametri'!$B$6*AK846))+MIN(MAX(0,AP845-(MAX(0,AK836-IF($A846&gt;='1-Input'!$C$12,'1-Input'!$B$12,0))-MIN(MAX(AO845,0),MAX(0,AK836-IF($A846&gt;='1-Input'!$C$12,'1-Input'!$B$12,0))))*(1/(1-'P-Parametri'!$B$6*AK846))),MAX(0,3*AK836-(AO845-MIN(MAX(AO845,0),MAX(0,AK836-IF($A846&gt;='1-Input'!$C$12,'1-Input'!$B$12,0)))))*(1/(1-'P-Parametri'!$B$6*AK846))))</f>
        <v>21219.800998374722</v>
      </c>
      <c r="AM846" s="18">
        <f>IF($A846&gt;'1-Input'!$B$26,AO845,(AO845-MAX(0,AK836-IF($A846&gt;='1-Input'!$C$12,'1-Input'!$B$12,0))+AL846*(1-'P-Parametri'!$B$6*AK846))*(1+'1-Input'!$B$27))</f>
        <v>56312.085122445489</v>
      </c>
      <c r="AN846" s="18">
        <f>IF($A846&gt;'1-Input'!$B$26,AP845,(AP845-AL846)*(1+$D$4))</f>
        <v>318789.62806994864</v>
      </c>
      <c r="AO846" s="18">
        <f>IF($A846&gt;'1-Input'!$B$26,AM846,AM846-'P-Parametri'!$B$8*(AN846+AM846)+MIN(MAX(AN846,0),'P-Parametri'!$B$8*(AN846+AM846)))</f>
        <v>56312.085122445489</v>
      </c>
      <c r="AP846" s="18">
        <f>IF($A846&gt;'1-Input'!$B$26,AN846,AN846-MIN(MAX(AN846,0),'P-Parametri'!$B$8*(AN846+AM846)))</f>
        <v>318039.42464356386</v>
      </c>
      <c r="AQ846" s="18">
        <f>IF($A846&gt;'1-Input'!$B$26,AQ845,AQ845-AL846*(1-AK846))</f>
        <v>185529.86319333466</v>
      </c>
    </row>
    <row r="847" spans="1:43">
      <c r="A847" s="10">
        <f>9</f>
        <v>9</v>
      </c>
      <c r="B847" s="11">
        <f>IF($A847&gt;'1-Input'!$B$26,0,IF(G846&lt;=0,0,MAX(0,(G846-H846)/G846)))</f>
        <v>0.41689227710192034</v>
      </c>
      <c r="C847" s="18">
        <f>IF($A847&gt;'1-Input'!$B$26,0,(MAX(0,B836-IF($A847&gt;='1-Input'!$C$12,'1-Input'!$B$12,0))-MIN(MAX(F846,0),MAX(0,B836-IF($A847&gt;='1-Input'!$C$12,'1-Input'!$B$12,0))))*(1/(1-'P-Parametri'!$B$6*B847))+MIN(MAX(0,G846-(MAX(0,B836-IF($A847&gt;='1-Input'!$C$12,'1-Input'!$B$12,0))-MIN(MAX(F846,0),MAX(0,B836-IF($A847&gt;='1-Input'!$C$12,'1-Input'!$B$12,0))))*(1/(1-'P-Parametri'!$B$6*B847))),MAX(0,3*B836-(F846-MIN(MAX(F846,0),MAX(0,B836-IF($A847&gt;='1-Input'!$C$12,'1-Input'!$B$12,0)))))*(1/(1-'P-Parametri'!$B$6*B847))))</f>
        <v>18911.013092766112</v>
      </c>
      <c r="D847" s="18">
        <f>IF($A847&gt;'1-Input'!$B$26,F846,(F846-MAX(0,B836-IF($A847&gt;='1-Input'!$C$12,'1-Input'!$B$12,0))+C847*(1-'P-Parametri'!$B$6*B847))*(1+'1-Input'!$B$27))</f>
        <v>49863.010546479447</v>
      </c>
      <c r="E847" s="18">
        <f>IF($A847&gt;'1-Input'!$B$26,G846,(G846-C847)*(1+$D$4))</f>
        <v>343625.67972503934</v>
      </c>
      <c r="F847" s="18">
        <f>IF($A847&gt;'1-Input'!$B$26,D847,D847-'P-Parametri'!$B$8*(E847+D847)+MIN(MAX(E847,0),'P-Parametri'!$B$8*(E847+D847)))</f>
        <v>49863.010546479447</v>
      </c>
      <c r="G847" s="18">
        <f>IF($A847&gt;'1-Input'!$B$26,E847,E847-MIN(MAX(E847,0),'P-Parametri'!$B$8*(E847+D847)))</f>
        <v>342838.70234449633</v>
      </c>
      <c r="H847" s="18">
        <f>IF($A847&gt;'1-Input'!$B$26,H846,H846-C847*(1-B847))</f>
        <v>192664.21887862741</v>
      </c>
      <c r="I847" s="11">
        <f>IF($A847&gt;'1-Input'!$B$26,0,IF(N846&lt;=0,0,MAX(0,(N846-O846)/N846)))</f>
        <v>0.41622820901406221</v>
      </c>
      <c r="J847" s="18">
        <f>IF($A847&gt;'1-Input'!$B$26,0,(MAX(0,I836-IF($A847&gt;='1-Input'!$C$12,'1-Input'!$B$12,0))-MIN(MAX(M846,0),MAX(0,I836-IF($A847&gt;='1-Input'!$C$12,'1-Input'!$B$12,0))))*(1/(1-'P-Parametri'!$B$6*I847))+MIN(MAX(0,N846-(MAX(0,I836-IF($A847&gt;='1-Input'!$C$12,'1-Input'!$B$12,0))-MIN(MAX(M846,0),MAX(0,I836-IF($A847&gt;='1-Input'!$C$12,'1-Input'!$B$12,0))))*(1/(1-'P-Parametri'!$B$6*I847))),MAX(0,3*I836-(M846-MIN(MAX(M846,0),MAX(0,I836-IF($A847&gt;='1-Input'!$C$12,'1-Input'!$B$12,0)))))*(1/(1-'P-Parametri'!$B$6*I847))))</f>
        <v>24878.094382236628</v>
      </c>
      <c r="K847" s="18">
        <f>IF($A847&gt;'1-Input'!$B$26,M846,(M846-MAX(0,I836-IF($A847&gt;='1-Input'!$C$12,'1-Input'!$B$12,0))+J847*(1-'P-Parametri'!$B$6*I847))*(1+'1-Input'!$B$27))</f>
        <v>65609.224403262444</v>
      </c>
      <c r="L847" s="18">
        <f>IF($A847&gt;'1-Input'!$B$26,N846,(N846-J847)*(1+$D$4))</f>
        <v>257992.23323467548</v>
      </c>
      <c r="M847" s="18">
        <f>IF($A847&gt;'1-Input'!$B$26,K847,K847-'P-Parametri'!$B$8*(L847+K847)+MIN(MAX(L847,0),'P-Parametri'!$B$8*(L847+K847)))</f>
        <v>65609.224403262444</v>
      </c>
      <c r="N847" s="18">
        <f>IF($A847&gt;'1-Input'!$B$26,L847,L847-MIN(MAX(L847,0),'P-Parametri'!$B$8*(L847+K847)))</f>
        <v>257345.03031939961</v>
      </c>
      <c r="O847" s="18">
        <f>IF($A847&gt;'1-Input'!$B$26,O846,O846-J847*(1-I847))</f>
        <v>144815.95005371948</v>
      </c>
      <c r="P847" s="11">
        <f>IF($A847&gt;'1-Input'!$B$26,0,IF(U846&lt;=0,0,MAX(0,(U846-V846)/U846)))</f>
        <v>0.4165856192350087</v>
      </c>
      <c r="Q847" s="18">
        <f>IF($A847&gt;'1-Input'!$B$26,0,(MAX(0,P836-IF($A847&gt;='1-Input'!$C$12,'1-Input'!$B$12,0))-MIN(MAX(T846,0),MAX(0,P836-IF($A847&gt;='1-Input'!$C$12,'1-Input'!$B$12,0))))*(1/(1-'P-Parametri'!$B$6*P847))+MIN(MAX(0,U846-(MAX(0,P836-IF($A847&gt;='1-Input'!$C$12,'1-Input'!$B$12,0))-MIN(MAX(T846,0),MAX(0,P836-IF($A847&gt;='1-Input'!$C$12,'1-Input'!$B$12,0))))*(1/(1-'P-Parametri'!$B$6*P847))),MAX(0,3*P836-(T846-MIN(MAX(T846,0),MAX(0,P836-IF($A847&gt;='1-Input'!$C$12,'1-Input'!$B$12,0)))))*(1/(1-'P-Parametri'!$B$6*P847))))</f>
        <v>21900.987858272056</v>
      </c>
      <c r="R847" s="18">
        <f>IF($A847&gt;'1-Input'!$B$26,T846,(T846-MAX(0,P836-IF($A847&gt;='1-Input'!$C$12,'1-Input'!$B$12,0))+Q847*(1-'P-Parametri'!$B$6*P847))*(1+'1-Input'!$B$27))</f>
        <v>57751.895071455059</v>
      </c>
      <c r="S847" s="18">
        <f>IF($A847&gt;'1-Input'!$B$26,U846,(U846-Q847)*(1+$D$4))</f>
        <v>300721.16272651497</v>
      </c>
      <c r="T847" s="18">
        <f>IF($A847&gt;'1-Input'!$B$26,R847,R847-'P-Parametri'!$B$8*(S847+R847)+MIN(MAX(S847,0),'P-Parametri'!$B$8*(S847+R847)))</f>
        <v>57751.895071455059</v>
      </c>
      <c r="U847" s="18">
        <f>IF($A847&gt;'1-Input'!$B$26,S847,S847-MIN(MAX(S847,0),'P-Parametri'!$B$8*(S847+R847)))</f>
        <v>300004.21661091904</v>
      </c>
      <c r="V847" s="18">
        <f>IF($A847&gt;'1-Input'!$B$26,V846,V846-Q847*(1-P847))</f>
        <v>168697.16436059415</v>
      </c>
      <c r="W847" s="11">
        <f>IF($A847&gt;'1-Input'!$B$26,0,IF(AB846&lt;=0,0,MAX(0,(AB846-AC846)/AB846)))</f>
        <v>0.41664088729001519</v>
      </c>
      <c r="X847" s="18">
        <f>IF($A847&gt;'1-Input'!$B$26,0,(MAX(0,W836-IF($A847&gt;='1-Input'!$C$12,'1-Input'!$B$12,0))-MIN(MAX(AA846,0),MAX(0,W836-IF($A847&gt;='1-Input'!$C$12,'1-Input'!$B$12,0))))*(1/(1-'P-Parametri'!$B$6*W847))+MIN(MAX(0,AB846-(MAX(0,W836-IF($A847&gt;='1-Input'!$C$12,'1-Input'!$B$12,0))-MIN(MAX(AA846,0),MAX(0,W836-IF($A847&gt;='1-Input'!$C$12,'1-Input'!$B$12,0))))*(1/(1-'P-Parametri'!$B$6*W847))),MAX(0,3*W836-(AA846-MIN(MAX(AA846,0),MAX(0,W836-IF($A847&gt;='1-Input'!$C$12,'1-Input'!$B$12,0)))))*(1/(1-'P-Parametri'!$B$6*W847))))</f>
        <v>21394.328317743511</v>
      </c>
      <c r="Y847" s="18">
        <f>IF($A847&gt;'1-Input'!$B$26,AA846,(AA846-MAX(0,W836-IF($A847&gt;='1-Input'!$C$12,'1-Input'!$B$12,0))+X847*(1-'P-Parametri'!$B$6*W847))*(1+'1-Input'!$B$27))</f>
        <v>56414.948075653221</v>
      </c>
      <c r="Z847" s="18">
        <f>IF($A847&gt;'1-Input'!$B$26,AB846,(AB846-X847)*(1+$D$4))</f>
        <v>307992.0268543089</v>
      </c>
      <c r="AA847" s="18">
        <f>IF($A847&gt;'1-Input'!$B$26,Y847,Y847-'P-Parametri'!$B$8*(Z847+Y847)+MIN(MAX(Z847,0),'P-Parametri'!$B$8*(Z847+Y847)))</f>
        <v>56414.948075653221</v>
      </c>
      <c r="AB847" s="18">
        <f>IF($A847&gt;'1-Input'!$B$26,Z847,Z847-MIN(MAX(Z847,0),'P-Parametri'!$B$8*(Z847+Y847)))</f>
        <v>307263.21290444897</v>
      </c>
      <c r="AC847" s="18">
        <f>IF($A847&gt;'1-Input'!$B$26,AC846,AC846-X847*(1-W847))</f>
        <v>172759.57260334562</v>
      </c>
      <c r="AD847" s="11">
        <f>IF($A847&gt;'1-Input'!$B$26,0,IF(AI846&lt;=0,0,MAX(0,(AI846-AJ846)/AI846)))</f>
        <v>0.41664502850819157</v>
      </c>
      <c r="AE847" s="18">
        <f>IF($A847&gt;'1-Input'!$B$26,0,(MAX(0,AD836-IF($A847&gt;='1-Input'!$C$12,'1-Input'!$B$12,0))-MIN(MAX(AH846,0),MAX(0,AD836-IF($A847&gt;='1-Input'!$C$12,'1-Input'!$B$12,0))))*(1/(1-'P-Parametri'!$B$6*AD847))+MIN(MAX(0,AI846-(MAX(0,AD836-IF($A847&gt;='1-Input'!$C$12,'1-Input'!$B$12,0))-MIN(MAX(AH846,0),MAX(0,AD836-IF($A847&gt;='1-Input'!$C$12,'1-Input'!$B$12,0))))*(1/(1-'P-Parametri'!$B$6*AD847))),MAX(0,3*AD836-(AH846-MIN(MAX(AH846,0),MAX(0,AD836-IF($A847&gt;='1-Input'!$C$12,'1-Input'!$B$12,0)))))*(1/(1-'P-Parametri'!$B$6*AD847))))</f>
        <v>21355.822654075666</v>
      </c>
      <c r="AF847" s="18">
        <f>IF($A847&gt;'1-Input'!$B$26,AH846,(AH846-MAX(0,AD836-IF($A847&gt;='1-Input'!$C$12,'1-Input'!$B$12,0))+AE847*(1-'P-Parametri'!$B$6*AD847))*(1+'1-Input'!$B$27))</f>
        <v>56313.344052672539</v>
      </c>
      <c r="AG847" s="18">
        <f>IF($A847&gt;'1-Input'!$B$26,AI846,(AI846-AE847)*(1+$D$4))</f>
        <v>308544.59562312783</v>
      </c>
      <c r="AH847" s="18">
        <f>IF($A847&gt;'1-Input'!$B$26,AF847,AF847-'P-Parametri'!$B$8*(AG847+AF847)+MIN(MAX(AG847,0),'P-Parametri'!$B$8*(AG847+AF847)))</f>
        <v>56313.344052672539</v>
      </c>
      <c r="AI847" s="18">
        <f>IF($A847&gt;'1-Input'!$B$26,AG847,AG847-MIN(MAX(AG847,0),'P-Parametri'!$B$8*(AG847+AF847)))</f>
        <v>307814.87974377623</v>
      </c>
      <c r="AJ847" s="18">
        <f>IF($A847&gt;'1-Input'!$B$26,AJ846,AJ846-AE847*(1-AD847))</f>
        <v>173068.29209969356</v>
      </c>
      <c r="AK847" s="11">
        <f>IF($A847&gt;'1-Input'!$B$26,0,IF(AP846&lt;=0,0,MAX(0,(AP846-AQ846)/AP846)))</f>
        <v>0.41664507976876314</v>
      </c>
      <c r="AL847" s="18">
        <f>IF($A847&gt;'1-Input'!$B$26,0,(MAX(0,AK836-IF($A847&gt;='1-Input'!$C$12,'1-Input'!$B$12,0))-MIN(MAX(AO846,0),MAX(0,AK836-IF($A847&gt;='1-Input'!$C$12,'1-Input'!$B$12,0))))*(1/(1-'P-Parametri'!$B$6*AK847))+MIN(MAX(0,AP846-(MAX(0,AK836-IF($A847&gt;='1-Input'!$C$12,'1-Input'!$B$12,0))-MIN(MAX(AO846,0),MAX(0,AK836-IF($A847&gt;='1-Input'!$C$12,'1-Input'!$B$12,0))))*(1/(1-'P-Parametri'!$B$6*AK847))),MAX(0,3*AK836-(AO846-MIN(MAX(AO846,0),MAX(0,AK836-IF($A847&gt;='1-Input'!$C$12,'1-Input'!$B$12,0)))))*(1/(1-'P-Parametri'!$B$6*AK847))))</f>
        <v>21355.345546631725</v>
      </c>
      <c r="AM847" s="18">
        <f>IF($A847&gt;'1-Input'!$B$26,AO846,(AO846-MAX(0,AK836-IF($A847&gt;='1-Input'!$C$12,'1-Input'!$B$12,0))+AL847*(1-'P-Parametri'!$B$6*AK847))*(1+'1-Input'!$B$27))</f>
        <v>56312.085122445489</v>
      </c>
      <c r="AN847" s="18">
        <f>IF($A847&gt;'1-Input'!$B$26,AP846,(AP846-AL847)*(1+$D$4))</f>
        <v>308551.44226080942</v>
      </c>
      <c r="AO847" s="18">
        <f>IF($A847&gt;'1-Input'!$B$26,AM847,AM847-'P-Parametri'!$B$8*(AN847+AM847)+MIN(MAX(AN847,0),'P-Parametri'!$B$8*(AN847+AM847)))</f>
        <v>56312.085122445489</v>
      </c>
      <c r="AP847" s="18">
        <f>IF($A847&gt;'1-Input'!$B$26,AN847,AN847-MIN(MAX(AN847,0),'P-Parametri'!$B$8*(AN847+AM847)))</f>
        <v>307821.71520604292</v>
      </c>
      <c r="AQ847" s="18">
        <f>IF($A847&gt;'1-Input'!$B$26,AQ846,AQ846-AL847*(1-AK847))</f>
        <v>173072.11729546881</v>
      </c>
    </row>
    <row r="848" spans="1:43">
      <c r="A848" s="10">
        <f>10</f>
        <v>10</v>
      </c>
      <c r="B848" s="11">
        <f>IF($A848&gt;'1-Input'!$B$26,0,IF(G847&lt;=0,0,MAX(0,(G847-H847)/G847)))</f>
        <v>0.4380324696100627</v>
      </c>
      <c r="C848" s="18">
        <f>IF($A848&gt;'1-Input'!$B$26,0,(MAX(0,B836-IF($A848&gt;='1-Input'!$C$12,'1-Input'!$B$12,0))-MIN(MAX(F847,0),MAX(0,B836-IF($A848&gt;='1-Input'!$C$12,'1-Input'!$B$12,0))))*(1/(1-'P-Parametri'!$B$6*B848))+MIN(MAX(0,G847-(MAX(0,B836-IF($A848&gt;='1-Input'!$C$12,'1-Input'!$B$12,0))-MIN(MAX(F847,0),MAX(0,B836-IF($A848&gt;='1-Input'!$C$12,'1-Input'!$B$12,0))))*(1/(1-'P-Parametri'!$B$6*B848))),MAX(0,3*B836-(F847-MIN(MAX(F847,0),MAX(0,B836-IF($A848&gt;='1-Input'!$C$12,'1-Input'!$B$12,0)))))*(1/(1-'P-Parametri'!$B$6*B848))))</f>
        <v>19028.315974070912</v>
      </c>
      <c r="D848" s="18">
        <f>IF($A848&gt;'1-Input'!$B$26,F847,(F847-MAX(0,B836-IF($A848&gt;='1-Input'!$C$12,'1-Input'!$B$12,0))+C848*(1-'P-Parametri'!$B$6*B848))*(1+'1-Input'!$B$27))</f>
        <v>49863.010546479447</v>
      </c>
      <c r="E848" s="18">
        <f>IF($A848&gt;'1-Input'!$B$26,G847,(G847-C848)*(1+$D$4))</f>
        <v>336762.80182524241</v>
      </c>
      <c r="F848" s="18">
        <f>IF($A848&gt;'1-Input'!$B$26,D848,D848-'P-Parametri'!$B$8*(E848+D848)+MIN(MAX(E848,0),'P-Parametri'!$B$8*(E848+D848)))</f>
        <v>49863.010546479447</v>
      </c>
      <c r="G848" s="18">
        <f>IF($A848&gt;'1-Input'!$B$26,E848,E848-MIN(MAX(E848,0),'P-Parametri'!$B$8*(E848+D848)))</f>
        <v>335989.55020049895</v>
      </c>
      <c r="H848" s="18">
        <f>IF($A848&gt;'1-Input'!$B$26,H847,H847-C848*(1-B848))</f>
        <v>181970.92314319938</v>
      </c>
      <c r="I848" s="11">
        <f>IF($A848&gt;'1-Input'!$B$26,0,IF(N847&lt;=0,0,MAX(0,(N847-O847)/N847)))</f>
        <v>0.4372692961119804</v>
      </c>
      <c r="J848" s="18">
        <f>IF($A848&gt;'1-Input'!$B$26,0,(MAX(0,I836-IF($A848&gt;='1-Input'!$C$12,'1-Input'!$B$12,0))-MIN(MAX(M847,0),MAX(0,I836-IF($A848&gt;='1-Input'!$C$12,'1-Input'!$B$12,0))))*(1/(1-'P-Parametri'!$B$6*I848))+MIN(MAX(0,N847-(MAX(0,I836-IF($A848&gt;='1-Input'!$C$12,'1-Input'!$B$12,0))-MIN(MAX(M847,0),MAX(0,I836-IF($A848&gt;='1-Input'!$C$12,'1-Input'!$B$12,0))))*(1/(1-'P-Parametri'!$B$6*I848))),MAX(0,3*I836-(M847-MIN(MAX(M847,0),MAX(0,I836-IF($A848&gt;='1-Input'!$C$12,'1-Input'!$B$12,0)))))*(1/(1-'P-Parametri'!$B$6*I848))))</f>
        <v>25031.65257496581</v>
      </c>
      <c r="K848" s="18">
        <f>IF($A848&gt;'1-Input'!$B$26,M847,(M847-MAX(0,I836-IF($A848&gt;='1-Input'!$C$12,'1-Input'!$B$12,0))+J848*(1-'P-Parametri'!$B$6*I848))*(1+'1-Input'!$B$27))</f>
        <v>65609.224403262444</v>
      </c>
      <c r="L848" s="18">
        <f>IF($A848&gt;'1-Input'!$B$26,N847,(N847-J848)*(1+$D$4))</f>
        <v>241605.91285421114</v>
      </c>
      <c r="M848" s="18">
        <f>IF($A848&gt;'1-Input'!$B$26,K848,K848-'P-Parametri'!$B$8*(L848+K848)+MIN(MAX(L848,0),'P-Parametri'!$B$8*(L848+K848)))</f>
        <v>65609.224403262444</v>
      </c>
      <c r="N848" s="18">
        <f>IF($A848&gt;'1-Input'!$B$26,L848,L848-MIN(MAX(L848,0),'P-Parametri'!$B$8*(L848+K848)))</f>
        <v>240991.4825796962</v>
      </c>
      <c r="O848" s="18">
        <f>IF($A848&gt;'1-Input'!$B$26,O847,O847-J848*(1-I848))</f>
        <v>130729.87058072862</v>
      </c>
      <c r="P848" s="11">
        <f>IF($A848&gt;'1-Input'!$B$26,0,IF(U847&lt;=0,0,MAX(0,(U847-V847)/U847)))</f>
        <v>0.43768402235699044</v>
      </c>
      <c r="Q848" s="18">
        <f>IF($A848&gt;'1-Input'!$B$26,0,(MAX(0,P836-IF($A848&gt;='1-Input'!$C$12,'1-Input'!$B$12,0))-MIN(MAX(T847,0),MAX(0,P836-IF($A848&gt;='1-Input'!$C$12,'1-Input'!$B$12,0))))*(1/(1-'P-Parametri'!$B$6*P848))+MIN(MAX(0,U847-(MAX(0,P836-IF($A848&gt;='1-Input'!$C$12,'1-Input'!$B$12,0))-MIN(MAX(T847,0),MAX(0,P836-IF($A848&gt;='1-Input'!$C$12,'1-Input'!$B$12,0))))*(1/(1-'P-Parametri'!$B$6*P848))),MAX(0,3*P836-(T847-MIN(MAX(T847,0),MAX(0,P836-IF($A848&gt;='1-Input'!$C$12,'1-Input'!$B$12,0)))))*(1/(1-'P-Parametri'!$B$6*P848))))</f>
        <v>22036.554811917173</v>
      </c>
      <c r="R848" s="18">
        <f>IF($A848&gt;'1-Input'!$B$26,T847,(T847-MAX(0,P836-IF($A848&gt;='1-Input'!$C$12,'1-Input'!$B$12,0))+Q848*(1-'P-Parametri'!$B$6*P848))*(1+'1-Input'!$B$27))</f>
        <v>57751.895071455059</v>
      </c>
      <c r="S848" s="18">
        <f>IF($A848&gt;'1-Input'!$B$26,U847,(U847-Q848)*(1+$D$4))</f>
        <v>289086.36827096192</v>
      </c>
      <c r="T848" s="18">
        <f>IF($A848&gt;'1-Input'!$B$26,R848,R848-'P-Parametri'!$B$8*(S848+R848)+MIN(MAX(S848,0),'P-Parametri'!$B$8*(S848+R848)))</f>
        <v>57751.895071455059</v>
      </c>
      <c r="U848" s="18">
        <f>IF($A848&gt;'1-Input'!$B$26,S848,S848-MIN(MAX(S848,0),'P-Parametri'!$B$8*(S848+R848)))</f>
        <v>288392.69174427708</v>
      </c>
      <c r="V848" s="18">
        <f>IF($A848&gt;'1-Input'!$B$26,V847,V847-Q848*(1-P848))</f>
        <v>156305.65749764719</v>
      </c>
      <c r="W848" s="11">
        <f>IF($A848&gt;'1-Input'!$B$26,0,IF(AB847&lt;=0,0,MAX(0,(AB847-AC847)/AB847)))</f>
        <v>0.43774729499730436</v>
      </c>
      <c r="X848" s="18">
        <f>IF($A848&gt;'1-Input'!$B$26,0,(MAX(0,W836-IF($A848&gt;='1-Input'!$C$12,'1-Input'!$B$12,0))-MIN(MAX(AA847,0),MAX(0,W836-IF($A848&gt;='1-Input'!$C$12,'1-Input'!$B$12,0))))*(1/(1-'P-Parametri'!$B$6*W848))+MIN(MAX(0,AB847-(MAX(0,W836-IF($A848&gt;='1-Input'!$C$12,'1-Input'!$B$12,0))-MIN(MAX(AA847,0),MAX(0,W836-IF($A848&gt;='1-Input'!$C$12,'1-Input'!$B$12,0))))*(1/(1-'P-Parametri'!$B$6*W848))),MAX(0,3*W836-(AA847-MIN(MAX(AA847,0),MAX(0,W836-IF($A848&gt;='1-Input'!$C$12,'1-Input'!$B$12,0)))))*(1/(1-'P-Parametri'!$B$6*W848))))</f>
        <v>21526.811755185761</v>
      </c>
      <c r="Y848" s="18">
        <f>IF($A848&gt;'1-Input'!$B$26,AA847,(AA847-MAX(0,W836-IF($A848&gt;='1-Input'!$C$12,'1-Input'!$B$12,0))+X848*(1-'P-Parametri'!$B$6*W848))*(1+'1-Input'!$B$27))</f>
        <v>56414.948075653228</v>
      </c>
      <c r="Z848" s="18">
        <f>IF($A848&gt;'1-Input'!$B$26,AB847,(AB847-X848)*(1+$D$4))</f>
        <v>297165.85719523375</v>
      </c>
      <c r="AA848" s="18">
        <f>IF($A848&gt;'1-Input'!$B$26,Y848,Y848-'P-Parametri'!$B$8*(Z848+Y848)+MIN(MAX(Z848,0),'P-Parametri'!$B$8*(Z848+Y848)))</f>
        <v>56414.948075653228</v>
      </c>
      <c r="AB848" s="18">
        <f>IF($A848&gt;'1-Input'!$B$26,Z848,Z848-MIN(MAX(Z848,0),'P-Parametri'!$B$8*(Z848+Y848)))</f>
        <v>296458.695584692</v>
      </c>
      <c r="AC848" s="18">
        <f>IF($A848&gt;'1-Input'!$B$26,AC847,AC847-X848*(1-W848))</f>
        <v>160656.06446390861</v>
      </c>
      <c r="AD848" s="11">
        <f>IF($A848&gt;'1-Input'!$B$26,0,IF(AI847&lt;=0,0,MAX(0,(AI847-AJ847)/AI847)))</f>
        <v>0.43775202731019741</v>
      </c>
      <c r="AE848" s="18">
        <f>IF($A848&gt;'1-Input'!$B$26,0,(MAX(0,AD836-IF($A848&gt;='1-Input'!$C$12,'1-Input'!$B$12,0))-MIN(MAX(AH847,0),MAX(0,AD836-IF($A848&gt;='1-Input'!$C$12,'1-Input'!$B$12,0))))*(1/(1-'P-Parametri'!$B$6*AD848))+MIN(MAX(0,AI847-(MAX(0,AD836-IF($A848&gt;='1-Input'!$C$12,'1-Input'!$B$12,0))-MIN(MAX(AH847,0),MAX(0,AD836-IF($A848&gt;='1-Input'!$C$12,'1-Input'!$B$12,0))))*(1/(1-'P-Parametri'!$B$6*AD848))),MAX(0,3*AD836-(AH847-MIN(MAX(AH847,0),MAX(0,AD836-IF($A848&gt;='1-Input'!$C$12,'1-Input'!$B$12,0)))))*(1/(1-'P-Parametri'!$B$6*AD848))))</f>
        <v>21488.071534088394</v>
      </c>
      <c r="AF848" s="18">
        <f>IF($A848&gt;'1-Input'!$B$26,AH847,(AH847-MAX(0,AD836-IF($A848&gt;='1-Input'!$C$12,'1-Input'!$B$12,0))+AE848*(1-'P-Parametri'!$B$6*AD848))*(1+'1-Input'!$B$27))</f>
        <v>56313.344052672539</v>
      </c>
      <c r="AG848" s="18">
        <f>IF($A848&gt;'1-Input'!$B$26,AI847,(AI847-AE848)*(1+$D$4))</f>
        <v>297779.88053807535</v>
      </c>
      <c r="AH848" s="18">
        <f>IF($A848&gt;'1-Input'!$B$26,AF848,AF848-'P-Parametri'!$B$8*(AG848+AF848)+MIN(MAX(AG848,0),'P-Parametri'!$B$8*(AG848+AF848)))</f>
        <v>56313.344052672532</v>
      </c>
      <c r="AI848" s="18">
        <f>IF($A848&gt;'1-Input'!$B$26,AG848,AG848-MIN(MAX(AG848,0),'P-Parametri'!$B$8*(AG848+AF848)))</f>
        <v>297071.69408889383</v>
      </c>
      <c r="AJ848" s="18">
        <f>IF($A848&gt;'1-Input'!$B$26,AJ847,AJ847-AE848*(1-AD848))</f>
        <v>160986.66744263889</v>
      </c>
      <c r="AK848" s="11">
        <f>IF($A848&gt;'1-Input'!$B$26,0,IF(AP847&lt;=0,0,MAX(0,(AP847-AQ847)/AP847)))</f>
        <v>0.43775208587990094</v>
      </c>
      <c r="AL848" s="18">
        <f>IF($A848&gt;'1-Input'!$B$26,0,(MAX(0,AK836-IF($A848&gt;='1-Input'!$C$12,'1-Input'!$B$12,0))-MIN(MAX(AO847,0),MAX(0,AK836-IF($A848&gt;='1-Input'!$C$12,'1-Input'!$B$12,0))))*(1/(1-'P-Parametri'!$B$6*AK848))+MIN(MAX(0,AP847-(MAX(0,AK836-IF($A848&gt;='1-Input'!$C$12,'1-Input'!$B$12,0))-MIN(MAX(AO847,0),MAX(0,AK836-IF($A848&gt;='1-Input'!$C$12,'1-Input'!$B$12,0))))*(1/(1-'P-Parametri'!$B$6*AK848))),MAX(0,3*AK836-(AO847-MIN(MAX(AO847,0),MAX(0,AK836-IF($A848&gt;='1-Input'!$C$12,'1-Input'!$B$12,0)))))*(1/(1-'P-Parametri'!$B$6*AK848))))</f>
        <v>21487.591520158625</v>
      </c>
      <c r="AM848" s="18">
        <f>IF($A848&gt;'1-Input'!$B$26,AO847,(AO847-MAX(0,AK836-IF($A848&gt;='1-Input'!$C$12,'1-Input'!$B$12,0))+AL848*(1-'P-Parametri'!$B$6*AK848))*(1+'1-Input'!$B$27))</f>
        <v>56312.085122445489</v>
      </c>
      <c r="AN848" s="18">
        <f>IF($A848&gt;'1-Input'!$B$26,AP847,(AP847-AL848)*(1+$D$4))</f>
        <v>297787.48863331968</v>
      </c>
      <c r="AO848" s="18">
        <f>IF($A848&gt;'1-Input'!$B$26,AM848,AM848-'P-Parametri'!$B$8*(AN848+AM848)+MIN(MAX(AN848,0),'P-Parametri'!$B$8*(AN848+AM848)))</f>
        <v>56312.085122445489</v>
      </c>
      <c r="AP848" s="18">
        <f>IF($A848&gt;'1-Input'!$B$26,AN848,AN848-MIN(MAX(AN848,0),'P-Parametri'!$B$8*(AN848+AM848)))</f>
        <v>297079.28948580817</v>
      </c>
      <c r="AQ848" s="18">
        <f>IF($A848&gt;'1-Input'!$B$26,AQ847,AQ847-AL848*(1-AK848))</f>
        <v>160990.76378379489</v>
      </c>
    </row>
    <row r="849" spans="1:43">
      <c r="A849" s="10">
        <f>11</f>
        <v>11</v>
      </c>
      <c r="B849" s="11">
        <f>IF($A849&gt;'1-Input'!$B$26,0,IF(G848&lt;=0,0,MAX(0,(G848-H848)/G848)))</f>
        <v>0.45840302761020468</v>
      </c>
      <c r="C849" s="18">
        <f>IF($A849&gt;'1-Input'!$B$26,0,(MAX(0,B836-IF($A849&gt;='1-Input'!$C$12,'1-Input'!$B$12,0))-MIN(MAX(F848,0),MAX(0,B836-IF($A849&gt;='1-Input'!$C$12,'1-Input'!$B$12,0))))*(1/(1-'P-Parametri'!$B$6*B849))+MIN(MAX(0,G848-(MAX(0,B836-IF($A849&gt;='1-Input'!$C$12,'1-Input'!$B$12,0))-MIN(MAX(F848,0),MAX(0,B836-IF($A849&gt;='1-Input'!$C$12,'1-Input'!$B$12,0))))*(1/(1-'P-Parametri'!$B$6*B849))),MAX(0,3*B836-(F848-MIN(MAX(F848,0),MAX(0,B836-IF($A849&gt;='1-Input'!$C$12,'1-Input'!$B$12,0)))))*(1/(1-'P-Parametri'!$B$6*B849))))</f>
        <v>19142.733307268245</v>
      </c>
      <c r="D849" s="18">
        <f>IF($A849&gt;'1-Input'!$B$26,F848,(F848-MAX(0,B836-IF($A849&gt;='1-Input'!$C$12,'1-Input'!$B$12,0))+C849*(1-'P-Parametri'!$B$6*B849))*(1+'1-Input'!$B$27))</f>
        <v>49863.010546479447</v>
      </c>
      <c r="E849" s="18">
        <f>IF($A849&gt;'1-Input'!$B$26,G848,(G848-C849)*(1+$D$4))</f>
        <v>329520.68956895993</v>
      </c>
      <c r="F849" s="18">
        <f>IF($A849&gt;'1-Input'!$B$26,D849,D849-'P-Parametri'!$B$8*(E849+D849)+MIN(MAX(E849,0),'P-Parametri'!$B$8*(E849+D849)))</f>
        <v>49863.010546479447</v>
      </c>
      <c r="G849" s="18">
        <f>IF($A849&gt;'1-Input'!$B$26,E849,E849-MIN(MAX(E849,0),'P-Parametri'!$B$8*(E849+D849)))</f>
        <v>328761.92216872907</v>
      </c>
      <c r="H849" s="18">
        <f>IF($A849&gt;'1-Input'!$B$26,H848,H848-C849*(1-B849))</f>
        <v>171603.27674071761</v>
      </c>
      <c r="I849" s="11">
        <f>IF($A849&gt;'1-Input'!$B$26,0,IF(N848&lt;=0,0,MAX(0,(N848-O848)/N848)))</f>
        <v>0.45753323237265831</v>
      </c>
      <c r="J849" s="18">
        <f>IF($A849&gt;'1-Input'!$B$26,0,(MAX(0,I836-IF($A849&gt;='1-Input'!$C$12,'1-Input'!$B$12,0))-MIN(MAX(M848,0),MAX(0,I836-IF($A849&gt;='1-Input'!$C$12,'1-Input'!$B$12,0))))*(1/(1-'P-Parametri'!$B$6*I849))+MIN(MAX(0,N848-(MAX(0,I836-IF($A849&gt;='1-Input'!$C$12,'1-Input'!$B$12,0))-MIN(MAX(M848,0),MAX(0,I836-IF($A849&gt;='1-Input'!$C$12,'1-Input'!$B$12,0))))*(1/(1-'P-Parametri'!$B$6*I849))),MAX(0,3*I836-(M848-MIN(MAX(M848,0),MAX(0,I836-IF($A849&gt;='1-Input'!$C$12,'1-Input'!$B$12,0)))))*(1/(1-'P-Parametri'!$B$6*I849))))</f>
        <v>25181.341746487597</v>
      </c>
      <c r="K849" s="18">
        <f>IF($A849&gt;'1-Input'!$B$26,M848,(M848-MAX(0,I836-IF($A849&gt;='1-Input'!$C$12,'1-Input'!$B$12,0))+J849*(1-'P-Parametri'!$B$6*I849))*(1+'1-Input'!$B$27))</f>
        <v>65609.224403262444</v>
      </c>
      <c r="L849" s="18">
        <f>IF($A849&gt;'1-Input'!$B$26,N848,(N848-J849)*(1+$D$4))</f>
        <v>224442.54646653697</v>
      </c>
      <c r="M849" s="18">
        <f>IF($A849&gt;'1-Input'!$B$26,K849,K849-'P-Parametri'!$B$8*(L849+K849)+MIN(MAX(L849,0),'P-Parametri'!$B$8*(L849+K849)))</f>
        <v>65609.224403262444</v>
      </c>
      <c r="N849" s="18">
        <f>IF($A849&gt;'1-Input'!$B$26,L849,L849-MIN(MAX(L849,0),'P-Parametri'!$B$8*(L849+K849)))</f>
        <v>223862.44292479736</v>
      </c>
      <c r="O849" s="18">
        <f>IF($A849&gt;'1-Input'!$B$26,O848,O848-J849*(1-I849))</f>
        <v>117069.82951899205</v>
      </c>
      <c r="P849" s="11">
        <f>IF($A849&gt;'1-Input'!$B$26,0,IF(U848&lt;=0,0,MAX(0,(U848-V848)/U848)))</f>
        <v>0.45801103158242928</v>
      </c>
      <c r="Q849" s="18">
        <f>IF($A849&gt;'1-Input'!$B$26,0,(MAX(0,P836-IF($A849&gt;='1-Input'!$C$12,'1-Input'!$B$12,0))-MIN(MAX(T848,0),MAX(0,P836-IF($A849&gt;='1-Input'!$C$12,'1-Input'!$B$12,0))))*(1/(1-'P-Parametri'!$B$6*P849))+MIN(MAX(0,U848-(MAX(0,P836-IF($A849&gt;='1-Input'!$C$12,'1-Input'!$B$12,0))-MIN(MAX(T848,0),MAX(0,P836-IF($A849&gt;='1-Input'!$C$12,'1-Input'!$B$12,0))))*(1/(1-'P-Parametri'!$B$6*P849))),MAX(0,3*P836-(T848-MIN(MAX(T848,0),MAX(0,P836-IF($A849&gt;='1-Input'!$C$12,'1-Input'!$B$12,0)))))*(1/(1-'P-Parametri'!$B$6*P849))))</f>
        <v>22168.762123554774</v>
      </c>
      <c r="R849" s="18">
        <f>IF($A849&gt;'1-Input'!$B$26,T848,(T848-MAX(0,P836-IF($A849&gt;='1-Input'!$C$12,'1-Input'!$B$12,0))+Q849*(1-'P-Parametri'!$B$6*P849))*(1+'1-Input'!$B$27))</f>
        <v>57751.895071455059</v>
      </c>
      <c r="S849" s="18">
        <f>IF($A849&gt;'1-Input'!$B$26,U848,(U848-Q849)*(1+$D$4))</f>
        <v>276872.88680555118</v>
      </c>
      <c r="T849" s="18">
        <f>IF($A849&gt;'1-Input'!$B$26,R849,R849-'P-Parametri'!$B$8*(S849+R849)+MIN(MAX(S849,0),'P-Parametri'!$B$8*(S849+R849)))</f>
        <v>57751.895071455059</v>
      </c>
      <c r="U849" s="18">
        <f>IF($A849&gt;'1-Input'!$B$26,S849,S849-MIN(MAX(S849,0),'P-Parametri'!$B$8*(S849+R849)))</f>
        <v>276203.63724179717</v>
      </c>
      <c r="V849" s="18">
        <f>IF($A849&gt;'1-Input'!$B$26,V848,V848-Q849*(1-P849))</f>
        <v>144290.43298320723</v>
      </c>
      <c r="W849" s="11">
        <f>IF($A849&gt;'1-Input'!$B$26,0,IF(AB848&lt;=0,0,MAX(0,(AB848-AC848)/AB848)))</f>
        <v>0.45808280594686568</v>
      </c>
      <c r="X849" s="18">
        <f>IF($A849&gt;'1-Input'!$B$26,0,(MAX(0,W836-IF($A849&gt;='1-Input'!$C$12,'1-Input'!$B$12,0))-MIN(MAX(AA848,0),MAX(0,W836-IF($A849&gt;='1-Input'!$C$12,'1-Input'!$B$12,0))))*(1/(1-'P-Parametri'!$B$6*W849))+MIN(MAX(0,AB848-(MAX(0,W836-IF($A849&gt;='1-Input'!$C$12,'1-Input'!$B$12,0))-MIN(MAX(AA848,0),MAX(0,W836-IF($A849&gt;='1-Input'!$C$12,'1-Input'!$B$12,0))))*(1/(1-'P-Parametri'!$B$6*W849))),MAX(0,3*W836-(AA848-MIN(MAX(AA848,0),MAX(0,W836-IF($A849&gt;='1-Input'!$C$12,'1-Input'!$B$12,0)))))*(1/(1-'P-Parametri'!$B$6*W849))))</f>
        <v>21656.017639879945</v>
      </c>
      <c r="Y849" s="18">
        <f>IF($A849&gt;'1-Input'!$B$26,AA848,(AA848-MAX(0,W836-IF($A849&gt;='1-Input'!$C$12,'1-Input'!$B$12,0))+X849*(1-'P-Parametri'!$B$6*W849))*(1+'1-Input'!$B$27))</f>
        <v>56414.948075653221</v>
      </c>
      <c r="Z849" s="18">
        <f>IF($A849&gt;'1-Input'!$B$26,AB848,(AB848-X849)*(1+$D$4))</f>
        <v>285794.78506260453</v>
      </c>
      <c r="AA849" s="18">
        <f>IF($A849&gt;'1-Input'!$B$26,Y849,Y849-'P-Parametri'!$B$8*(Z849+Y849)+MIN(MAX(Z849,0),'P-Parametri'!$B$8*(Z849+Y849)))</f>
        <v>56414.948075653221</v>
      </c>
      <c r="AB849" s="18">
        <f>IF($A849&gt;'1-Input'!$B$26,Z849,Z849-MIN(MAX(Z849,0),'P-Parametri'!$B$8*(Z849+Y849)))</f>
        <v>285110.36559632799</v>
      </c>
      <c r="AC849" s="18">
        <f>IF($A849&gt;'1-Input'!$B$26,AC848,AC848-X849*(1-W849))</f>
        <v>148920.29615013968</v>
      </c>
      <c r="AD849" s="11">
        <f>IF($A849&gt;'1-Input'!$B$26,0,IF(AI848&lt;=0,0,MAX(0,(AI848-AJ848)/AI848)))</f>
        <v>0.45808816307330086</v>
      </c>
      <c r="AE849" s="18">
        <f>IF($A849&gt;'1-Input'!$B$26,0,(MAX(0,AD836-IF($A849&gt;='1-Input'!$C$12,'1-Input'!$B$12,0))-MIN(MAX(AH848,0),MAX(0,AD836-IF($A849&gt;='1-Input'!$C$12,'1-Input'!$B$12,0))))*(1/(1-'P-Parametri'!$B$6*AD849))+MIN(MAX(0,AI848-(MAX(0,AD836-IF($A849&gt;='1-Input'!$C$12,'1-Input'!$B$12,0))-MIN(MAX(AH848,0),MAX(0,AD836-IF($A849&gt;='1-Input'!$C$12,'1-Input'!$B$12,0))))*(1/(1-'P-Parametri'!$B$6*AD849))),MAX(0,3*AD836-(AH848-MIN(MAX(AH848,0),MAX(0,AD836-IF($A849&gt;='1-Input'!$C$12,'1-Input'!$B$12,0)))))*(1/(1-'P-Parametri'!$B$6*AD849))))</f>
        <v>21617.04906312118</v>
      </c>
      <c r="AF849" s="18">
        <f>IF($A849&gt;'1-Input'!$B$26,AH848,(AH848-MAX(0,AD836-IF($A849&gt;='1-Input'!$C$12,'1-Input'!$B$12,0))+AE849*(1-'P-Parametri'!$B$6*AD849))*(1+'1-Input'!$B$27))</f>
        <v>56313.344052672539</v>
      </c>
      <c r="AG849" s="18">
        <f>IF($A849&gt;'1-Input'!$B$26,AI848,(AI848-AE849)*(1+$D$4))</f>
        <v>286472.83082680352</v>
      </c>
      <c r="AH849" s="18">
        <f>IF($A849&gt;'1-Input'!$B$26,AF849,AF849-'P-Parametri'!$B$8*(AG849+AF849)+MIN(MAX(AG849,0),'P-Parametri'!$B$8*(AG849+AF849)))</f>
        <v>56313.344052672539</v>
      </c>
      <c r="AI849" s="18">
        <f>IF($A849&gt;'1-Input'!$B$26,AG849,AG849-MIN(MAX(AG849,0),'P-Parametri'!$B$8*(AG849+AF849)))</f>
        <v>285787.25847704458</v>
      </c>
      <c r="AJ849" s="18">
        <f>IF($A849&gt;'1-Input'!$B$26,AJ848,AJ848-AE849*(1-AD849))</f>
        <v>149272.1326759083</v>
      </c>
      <c r="AK849" s="11">
        <f>IF($A849&gt;'1-Input'!$B$26,0,IF(AP848&lt;=0,0,MAX(0,(AP848-AQ848)/AP848)))</f>
        <v>0.45808822936650517</v>
      </c>
      <c r="AL849" s="18">
        <f>IF($A849&gt;'1-Input'!$B$26,0,(MAX(0,AK836-IF($A849&gt;='1-Input'!$C$12,'1-Input'!$B$12,0))-MIN(MAX(AO848,0),MAX(0,AK836-IF($A849&gt;='1-Input'!$C$12,'1-Input'!$B$12,0))))*(1/(1-'P-Parametri'!$B$6*AK849))+MIN(MAX(0,AP848-(MAX(0,AK836-IF($A849&gt;='1-Input'!$C$12,'1-Input'!$B$12,0))-MIN(MAX(AO848,0),MAX(0,AK836-IF($A849&gt;='1-Input'!$C$12,'1-Input'!$B$12,0))))*(1/(1-'P-Parametri'!$B$6*AK849))),MAX(0,3*AK836-(AO848-MIN(MAX(AO848,0),MAX(0,AK836-IF($A849&gt;='1-Input'!$C$12,'1-Input'!$B$12,0)))))*(1/(1-'P-Parametri'!$B$6*AK849))))</f>
        <v>21616.566219518147</v>
      </c>
      <c r="AM849" s="18">
        <f>IF($A849&gt;'1-Input'!$B$26,AO848,(AO848-MAX(0,AK836-IF($A849&gt;='1-Input'!$C$12,'1-Input'!$B$12,0))+AL849*(1-'P-Parametri'!$B$6*AK849))*(1+'1-Input'!$B$27))</f>
        <v>56312.085122445489</v>
      </c>
      <c r="AN849" s="18">
        <f>IF($A849&gt;'1-Input'!$B$26,AP848,(AP848-AL849)*(1+$D$4))</f>
        <v>286481.23219694162</v>
      </c>
      <c r="AO849" s="18">
        <f>IF($A849&gt;'1-Input'!$B$26,AM849,AM849-'P-Parametri'!$B$8*(AN849+AM849)+MIN(MAX(AN849,0),'P-Parametri'!$B$8*(AN849+AM849)))</f>
        <v>56312.085122445489</v>
      </c>
      <c r="AP849" s="18">
        <f>IF($A849&gt;'1-Input'!$B$26,AN849,AN849-MIN(MAX(AN849,0),'P-Parametri'!$B$8*(AN849+AM849)))</f>
        <v>285795.64556230285</v>
      </c>
      <c r="AQ849" s="18">
        <f>IF($A849&gt;'1-Input'!$B$26,AQ848,AQ848-AL849*(1-AK849))</f>
        <v>149276.49210875962</v>
      </c>
    </row>
    <row r="850" spans="1:43">
      <c r="A850" s="10">
        <f>12</f>
        <v>12</v>
      </c>
      <c r="B850" s="11">
        <f>IF($A850&gt;'1-Input'!$B$26,0,IF(G849&lt;=0,0,MAX(0,(G849-H849)/G849)))</f>
        <v>0.47803177567307686</v>
      </c>
      <c r="C850" s="18">
        <f>IF($A850&gt;'1-Input'!$B$26,0,(MAX(0,B836-IF($A850&gt;='1-Input'!$C$12,'1-Input'!$B$12,0))-MIN(MAX(F849,0),MAX(0,B836-IF($A850&gt;='1-Input'!$C$12,'1-Input'!$B$12,0))))*(1/(1-'P-Parametri'!$B$6*B850))+MIN(MAX(0,G849-(MAX(0,B836-IF($A850&gt;='1-Input'!$C$12,'1-Input'!$B$12,0))-MIN(MAX(F849,0),MAX(0,B836-IF($A850&gt;='1-Input'!$C$12,'1-Input'!$B$12,0))))*(1/(1-'P-Parametri'!$B$6*B850))),MAX(0,3*B836-(F849-MIN(MAX(F849,0),MAX(0,B836-IF($A850&gt;='1-Input'!$C$12,'1-Input'!$B$12,0)))))*(1/(1-'P-Parametri'!$B$6*B850))))</f>
        <v>19254.293364018053</v>
      </c>
      <c r="D850" s="18">
        <f>IF($A850&gt;'1-Input'!$B$26,F849,(F849-MAX(0,B836-IF($A850&gt;='1-Input'!$C$12,'1-Input'!$B$12,0))+C850*(1-'P-Parametri'!$B$6*B850))*(1+'1-Input'!$B$27))</f>
        <v>49863.010546479447</v>
      </c>
      <c r="E850" s="18">
        <f>IF($A850&gt;'1-Input'!$B$26,G849,(G849-C850)*(1+$D$4))</f>
        <v>321887.93395689951</v>
      </c>
      <c r="F850" s="18">
        <f>IF($A850&gt;'1-Input'!$B$26,D850,D850-'P-Parametri'!$B$8*(E850+D850)+MIN(MAX(E850,0),'P-Parametri'!$B$8*(E850+D850)))</f>
        <v>49863.010546479447</v>
      </c>
      <c r="G850" s="18">
        <f>IF($A850&gt;'1-Input'!$B$26,E850,E850-MIN(MAX(E850,0),'P-Parametri'!$B$8*(E850+D850)))</f>
        <v>321144.43206789275</v>
      </c>
      <c r="H850" s="18">
        <f>IF($A850&gt;'1-Input'!$B$26,H849,H849-C850*(1-B850))</f>
        <v>161553.14742283145</v>
      </c>
      <c r="I850" s="11">
        <f>IF($A850&gt;'1-Input'!$B$26,0,IF(N849&lt;=0,0,MAX(0,(N849-O849)/N849)))</f>
        <v>0.4770456893552279</v>
      </c>
      <c r="J850" s="18">
        <f>IF($A850&gt;'1-Input'!$B$26,0,(MAX(0,I836-IF($A850&gt;='1-Input'!$C$12,'1-Input'!$B$12,0))-MIN(MAX(M849,0),MAX(0,I836-IF($A850&gt;='1-Input'!$C$12,'1-Input'!$B$12,0))))*(1/(1-'P-Parametri'!$B$6*I850))+MIN(MAX(0,N849-(MAX(0,I836-IF($A850&gt;='1-Input'!$C$12,'1-Input'!$B$12,0))-MIN(MAX(M849,0),MAX(0,I836-IF($A850&gt;='1-Input'!$C$12,'1-Input'!$B$12,0))))*(1/(1-'P-Parametri'!$B$6*I850))),MAX(0,3*I836-(M849-MIN(MAX(M849,0),MAX(0,I836-IF($A850&gt;='1-Input'!$C$12,'1-Input'!$B$12,0)))))*(1/(1-'P-Parametri'!$B$6*I850))))</f>
        <v>25327.181483511238</v>
      </c>
      <c r="K850" s="18">
        <f>IF($A850&gt;'1-Input'!$B$26,M849,(M849-MAX(0,I836-IF($A850&gt;='1-Input'!$C$12,'1-Input'!$B$12,0))+J850*(1-'P-Parametri'!$B$6*I850))*(1+'1-Input'!$B$27))</f>
        <v>65609.224403262444</v>
      </c>
      <c r="L850" s="18">
        <f>IF($A850&gt;'1-Input'!$B$26,N849,(N849-J850)*(1+$D$4))</f>
        <v>206476.67189893758</v>
      </c>
      <c r="M850" s="18">
        <f>IF($A850&gt;'1-Input'!$B$26,K850,K850-'P-Parametri'!$B$8*(L850+K850)+MIN(MAX(L850,0),'P-Parametri'!$B$8*(L850+K850)))</f>
        <v>65609.224403262444</v>
      </c>
      <c r="N850" s="18">
        <f>IF($A850&gt;'1-Input'!$B$26,L850,L850-MIN(MAX(L850,0),'P-Parametri'!$B$8*(L850+K850)))</f>
        <v>205932.50010633317</v>
      </c>
      <c r="O850" s="18">
        <f>IF($A850&gt;'1-Input'!$B$26,O849,O849-J850*(1-I850))</f>
        <v>103824.87078570739</v>
      </c>
      <c r="P850" s="11">
        <f>IF($A850&gt;'1-Input'!$B$26,0,IF(U849&lt;=0,0,MAX(0,(U849-V849)/U849)))</f>
        <v>0.4775940156903476</v>
      </c>
      <c r="Q850" s="18">
        <f>IF($A850&gt;'1-Input'!$B$26,0,(MAX(0,P836-IF($A850&gt;='1-Input'!$C$12,'1-Input'!$B$12,0))-MIN(MAX(T849,0),MAX(0,P836-IF($A850&gt;='1-Input'!$C$12,'1-Input'!$B$12,0))))*(1/(1-'P-Parametri'!$B$6*P850))+MIN(MAX(0,U849-(MAX(0,P836-IF($A850&gt;='1-Input'!$C$12,'1-Input'!$B$12,0))-MIN(MAX(T849,0),MAX(0,P836-IF($A850&gt;='1-Input'!$C$12,'1-Input'!$B$12,0))))*(1/(1-'P-Parametri'!$B$6*P850))),MAX(0,3*P836-(T849-MIN(MAX(T849,0),MAX(0,P836-IF($A850&gt;='1-Input'!$C$12,'1-Input'!$B$12,0)))))*(1/(1-'P-Parametri'!$B$6*P850))))</f>
        <v>22297.639310901053</v>
      </c>
      <c r="R850" s="18">
        <f>IF($A850&gt;'1-Input'!$B$26,T849,(T849-MAX(0,P836-IF($A850&gt;='1-Input'!$C$12,'1-Input'!$B$12,0))+Q850*(1-'P-Parametri'!$B$6*P850))*(1+'1-Input'!$B$27))</f>
        <v>57751.895071455059</v>
      </c>
      <c r="S850" s="18">
        <f>IF($A850&gt;'1-Input'!$B$26,U849,(U849-Q850)*(1+$D$4))</f>
        <v>264062.23784813198</v>
      </c>
      <c r="T850" s="18">
        <f>IF($A850&gt;'1-Input'!$B$26,R850,R850-'P-Parametri'!$B$8*(S850+R850)+MIN(MAX(S850,0),'P-Parametri'!$B$8*(S850+R850)))</f>
        <v>57751.895071455059</v>
      </c>
      <c r="U850" s="18">
        <f>IF($A850&gt;'1-Input'!$B$26,S850,S850-MIN(MAX(S850,0),'P-Parametri'!$B$8*(S850+R850)))</f>
        <v>263418.60958229279</v>
      </c>
      <c r="V850" s="18">
        <f>IF($A850&gt;'1-Input'!$B$26,V849,V849-Q850*(1-P850))</f>
        <v>132642.01277121436</v>
      </c>
      <c r="W850" s="11">
        <f>IF($A850&gt;'1-Input'!$B$26,0,IF(AB849&lt;=0,0,MAX(0,(AB849-AC849)/AB849)))</f>
        <v>0.47767491427867725</v>
      </c>
      <c r="X850" s="18">
        <f>IF($A850&gt;'1-Input'!$B$26,0,(MAX(0,W836-IF($A850&gt;='1-Input'!$C$12,'1-Input'!$B$12,0))-MIN(MAX(AA849,0),MAX(0,W836-IF($A850&gt;='1-Input'!$C$12,'1-Input'!$B$12,0))))*(1/(1-'P-Parametri'!$B$6*W850))+MIN(MAX(0,AB849-(MAX(0,W836-IF($A850&gt;='1-Input'!$C$12,'1-Input'!$B$12,0))-MIN(MAX(AA849,0),MAX(0,W836-IF($A850&gt;='1-Input'!$C$12,'1-Input'!$B$12,0))))*(1/(1-'P-Parametri'!$B$6*W850))),MAX(0,3*W836-(AA849-MIN(MAX(AA849,0),MAX(0,W836-IF($A850&gt;='1-Input'!$C$12,'1-Input'!$B$12,0)))))*(1/(1-'P-Parametri'!$B$6*W850))))</f>
        <v>21781.975691634772</v>
      </c>
      <c r="Y850" s="18">
        <f>IF($A850&gt;'1-Input'!$B$26,AA849,(AA849-MAX(0,W836-IF($A850&gt;='1-Input'!$C$12,'1-Input'!$B$12,0))+X850*(1-'P-Parametri'!$B$6*W850))*(1+'1-Input'!$B$27))</f>
        <v>56414.948075653214</v>
      </c>
      <c r="Z850" s="18">
        <f>IF($A850&gt;'1-Input'!$B$26,AB849,(AB849-X850)*(1+$D$4))</f>
        <v>273861.52550088096</v>
      </c>
      <c r="AA850" s="18">
        <f>IF($A850&gt;'1-Input'!$B$26,Y850,Y850-'P-Parametri'!$B$8*(Z850+Y850)+MIN(MAX(Z850,0),'P-Parametri'!$B$8*(Z850+Y850)))</f>
        <v>56414.948075653214</v>
      </c>
      <c r="AB850" s="18">
        <f>IF($A850&gt;'1-Input'!$B$26,Z850,Z850-MIN(MAX(Z850,0),'P-Parametri'!$B$8*(Z850+Y850)))</f>
        <v>273200.97255372792</v>
      </c>
      <c r="AC850" s="18">
        <f>IF($A850&gt;'1-Input'!$B$26,AC849,AC849-X850*(1-W850))</f>
        <v>137543.02382982676</v>
      </c>
      <c r="AD850" s="11">
        <f>IF($A850&gt;'1-Input'!$B$26,0,IF(AI849&lt;=0,0,MAX(0,(AI849-AJ849)/AI849)))</f>
        <v>0.47768093836171371</v>
      </c>
      <c r="AE850" s="18">
        <f>IF($A850&gt;'1-Input'!$B$26,0,(MAX(0,AD836-IF($A850&gt;='1-Input'!$C$12,'1-Input'!$B$12,0))-MIN(MAX(AH849,0),MAX(0,AD836-IF($A850&gt;='1-Input'!$C$12,'1-Input'!$B$12,0))))*(1/(1-'P-Parametri'!$B$6*AD850))+MIN(MAX(0,AI849-(MAX(0,AD836-IF($A850&gt;='1-Input'!$C$12,'1-Input'!$B$12,0))-MIN(MAX(AH849,0),MAX(0,AD836-IF($A850&gt;='1-Input'!$C$12,'1-Input'!$B$12,0))))*(1/(1-'P-Parametri'!$B$6*AD850))),MAX(0,3*AD836-(AH849-MIN(MAX(AH849,0),MAX(0,AD836-IF($A850&gt;='1-Input'!$C$12,'1-Input'!$B$12,0)))))*(1/(1-'P-Parametri'!$B$6*AD850))))</f>
        <v>21742.784966685253</v>
      </c>
      <c r="AF850" s="18">
        <f>IF($A850&gt;'1-Input'!$B$26,AH849,(AH849-MAX(0,AD836-IF($A850&gt;='1-Input'!$C$12,'1-Input'!$B$12,0))+AE850*(1-'P-Parametri'!$B$6*AD850))*(1+'1-Input'!$B$27))</f>
        <v>56313.344052672539</v>
      </c>
      <c r="AG850" s="18">
        <f>IF($A850&gt;'1-Input'!$B$26,AI849,(AI849-AE850)*(1+$D$4))</f>
        <v>274606.25245077373</v>
      </c>
      <c r="AH850" s="18">
        <f>IF($A850&gt;'1-Input'!$B$26,AF850,AF850-'P-Parametri'!$B$8*(AG850+AF850)+MIN(MAX(AG850,0),'P-Parametri'!$B$8*(AG850+AF850)))</f>
        <v>56313.344052672539</v>
      </c>
      <c r="AI850" s="18">
        <f>IF($A850&gt;'1-Input'!$B$26,AG850,AG850-MIN(MAX(AG850,0),'P-Parametri'!$B$8*(AG850+AF850)))</f>
        <v>273944.41325776681</v>
      </c>
      <c r="AJ850" s="18">
        <f>IF($A850&gt;'1-Input'!$B$26,AJ849,AJ849-AE850*(1-AD850))</f>
        <v>137915.46163470621</v>
      </c>
      <c r="AK850" s="11">
        <f>IF($A850&gt;'1-Input'!$B$26,0,IF(AP849&lt;=0,0,MAX(0,(AP849-AQ849)/AP849)))</f>
        <v>0.47768101289626663</v>
      </c>
      <c r="AL850" s="18">
        <f>IF($A850&gt;'1-Input'!$B$26,0,(MAX(0,AK836-IF($A850&gt;='1-Input'!$C$12,'1-Input'!$B$12,0))-MIN(MAX(AO849,0),MAX(0,AK836-IF($A850&gt;='1-Input'!$C$12,'1-Input'!$B$12,0))))*(1/(1-'P-Parametri'!$B$6*AK850))+MIN(MAX(0,AP849-(MAX(0,AK836-IF($A850&gt;='1-Input'!$C$12,'1-Input'!$B$12,0))-MIN(MAX(AO849,0),MAX(0,AK836-IF($A850&gt;='1-Input'!$C$12,'1-Input'!$B$12,0))))*(1/(1-'P-Parametri'!$B$6*AK850))),MAX(0,3*AK836-(AO849-MIN(MAX(AO849,0),MAX(0,AK836-IF($A850&gt;='1-Input'!$C$12,'1-Input'!$B$12,0)))))*(1/(1-'P-Parametri'!$B$6*AK850))))</f>
        <v>21742.299370284334</v>
      </c>
      <c r="AM850" s="18">
        <f>IF($A850&gt;'1-Input'!$B$26,AO849,(AO849-MAX(0,AK836-IF($A850&gt;='1-Input'!$C$12,'1-Input'!$B$12,0))+AL850*(1-'P-Parametri'!$B$6*AK850))*(1+'1-Input'!$B$27))</f>
        <v>56312.085122445489</v>
      </c>
      <c r="AN850" s="18">
        <f>IF($A850&gt;'1-Input'!$B$26,AP849,(AP849-AL850)*(1+$D$4))</f>
        <v>274615.48003969929</v>
      </c>
      <c r="AO850" s="18">
        <f>IF($A850&gt;'1-Input'!$B$26,AM850,AM850-'P-Parametri'!$B$8*(AN850+AM850)+MIN(MAX(AN850,0),'P-Parametri'!$B$8*(AN850+AM850)))</f>
        <v>56312.085122445489</v>
      </c>
      <c r="AP850" s="18">
        <f>IF($A850&gt;'1-Input'!$B$26,AN850,AN850-MIN(MAX(AN850,0),'P-Parametri'!$B$8*(AN850+AM850)))</f>
        <v>273953.62490937498</v>
      </c>
      <c r="AQ850" s="18">
        <f>IF($A850&gt;'1-Input'!$B$26,AQ849,AQ849-AL850*(1-AK850))</f>
        <v>137920.07632436656</v>
      </c>
    </row>
    <row r="851" spans="1:43">
      <c r="A851" s="10">
        <f>13</f>
        <v>13</v>
      </c>
      <c r="B851" s="11">
        <f>IF($A851&gt;'1-Input'!$B$26,0,IF(G850&lt;=0,0,MAX(0,(G850-H850)/G850)))</f>
        <v>0.4969455133238066</v>
      </c>
      <c r="C851" s="18">
        <f>IF($A851&gt;'1-Input'!$B$26,0,(MAX(0,B836-IF($A851&gt;='1-Input'!$C$12,'1-Input'!$B$12,0))-MIN(MAX(F850,0),MAX(0,B836-IF($A851&gt;='1-Input'!$C$12,'1-Input'!$B$12,0))))*(1/(1-'P-Parametri'!$B$6*B851))+MIN(MAX(0,G850-(MAX(0,B836-IF($A851&gt;='1-Input'!$C$12,'1-Input'!$B$12,0))-MIN(MAX(F850,0),MAX(0,B836-IF($A851&gt;='1-Input'!$C$12,'1-Input'!$B$12,0))))*(1/(1-'P-Parametri'!$B$6*B851))),MAX(0,3*B836-(F850-MIN(MAX(F850,0),MAX(0,B836-IF($A851&gt;='1-Input'!$C$12,'1-Input'!$B$12,0)))))*(1/(1-'P-Parametri'!$B$6*B851))))</f>
        <v>19363.026717439967</v>
      </c>
      <c r="D851" s="18">
        <f>IF($A851&gt;'1-Input'!$B$26,F850,(F850-MAX(0,B836-IF($A851&gt;='1-Input'!$C$12,'1-Input'!$B$12,0))+C851*(1-'P-Parametri'!$B$6*B851))*(1+'1-Input'!$B$27))</f>
        <v>49863.010546479447</v>
      </c>
      <c r="E851" s="18">
        <f>IF($A851&gt;'1-Input'!$B$26,G850,(G850-C851)*(1+$D$4))</f>
        <v>313852.66156447085</v>
      </c>
      <c r="F851" s="18">
        <f>IF($A851&gt;'1-Input'!$B$26,D851,D851-'P-Parametri'!$B$8*(E851+D851)+MIN(MAX(E851,0),'P-Parametri'!$B$8*(E851+D851)))</f>
        <v>49863.010546479447</v>
      </c>
      <c r="G851" s="18">
        <f>IF($A851&gt;'1-Input'!$B$26,E851,E851-MIN(MAX(E851,0),'P-Parametri'!$B$8*(E851+D851)))</f>
        <v>313125.23022024892</v>
      </c>
      <c r="H851" s="18">
        <f>IF($A851&gt;'1-Input'!$B$26,H850,H850-C851*(1-B851))</f>
        <v>151812.48995699227</v>
      </c>
      <c r="I851" s="11">
        <f>IF($A851&gt;'1-Input'!$B$26,0,IF(N850&lt;=0,0,MAX(0,(N850-O850)/N850)))</f>
        <v>0.49583057199763292</v>
      </c>
      <c r="J851" s="18">
        <f>IF($A851&gt;'1-Input'!$B$26,0,(MAX(0,I836-IF($A851&gt;='1-Input'!$C$12,'1-Input'!$B$12,0))-MIN(MAX(M850,0),MAX(0,I836-IF($A851&gt;='1-Input'!$C$12,'1-Input'!$B$12,0))))*(1/(1-'P-Parametri'!$B$6*I851))+MIN(MAX(0,N850-(MAX(0,I836-IF($A851&gt;='1-Input'!$C$12,'1-Input'!$B$12,0))-MIN(MAX(M850,0),MAX(0,I836-IF($A851&gt;='1-Input'!$C$12,'1-Input'!$B$12,0))))*(1/(1-'P-Parametri'!$B$6*I851))),MAX(0,3*I836-(M850-MIN(MAX(M850,0),MAX(0,I836-IF($A851&gt;='1-Input'!$C$12,'1-Input'!$B$12,0)))))*(1/(1-'P-Parametri'!$B$6*I851))))</f>
        <v>25469.188117766695</v>
      </c>
      <c r="K851" s="18">
        <f>IF($A851&gt;'1-Input'!$B$26,M850,(M850-MAX(0,I836-IF($A851&gt;='1-Input'!$C$12,'1-Input'!$B$12,0))+J851*(1-'P-Parametri'!$B$6*I851))*(1+'1-Input'!$B$27))</f>
        <v>65609.224403262444</v>
      </c>
      <c r="L851" s="18">
        <f>IF($A851&gt;'1-Input'!$B$26,N850,(N850-J851)*(1+$D$4))</f>
        <v>187681.84446810914</v>
      </c>
      <c r="M851" s="18">
        <f>IF($A851&gt;'1-Input'!$B$26,K851,K851-'P-Parametri'!$B$8*(L851+K851)+MIN(MAX(L851,0),'P-Parametri'!$B$8*(L851+K851)))</f>
        <v>65609.224403262444</v>
      </c>
      <c r="N851" s="18">
        <f>IF($A851&gt;'1-Input'!$B$26,L851,L851-MIN(MAX(L851,0),'P-Parametri'!$B$8*(L851+K851)))</f>
        <v>187175.26233036639</v>
      </c>
      <c r="O851" s="18">
        <f>IF($A851&gt;'1-Input'!$B$26,O850,O850-J851*(1-I851))</f>
        <v>90984.084780688267</v>
      </c>
      <c r="P851" s="11">
        <f>IF($A851&gt;'1-Input'!$B$26,0,IF(U850&lt;=0,0,MAX(0,(U850-V850)/U850)))</f>
        <v>0.49645921758699213</v>
      </c>
      <c r="Q851" s="18">
        <f>IF($A851&gt;'1-Input'!$B$26,0,(MAX(0,P836-IF($A851&gt;='1-Input'!$C$12,'1-Input'!$B$12,0))-MIN(MAX(T850,0),MAX(0,P836-IF($A851&gt;='1-Input'!$C$12,'1-Input'!$B$12,0))))*(1/(1-'P-Parametri'!$B$6*P851))+MIN(MAX(0,U850-(MAX(0,P836-IF($A851&gt;='1-Input'!$C$12,'1-Input'!$B$12,0))-MIN(MAX(T850,0),MAX(0,P836-IF($A851&gt;='1-Input'!$C$12,'1-Input'!$B$12,0))))*(1/(1-'P-Parametri'!$B$6*P851))),MAX(0,3*P836-(T850-MIN(MAX(T850,0),MAX(0,P836-IF($A851&gt;='1-Input'!$C$12,'1-Input'!$B$12,0)))))*(1/(1-'P-Parametri'!$B$6*P851))))</f>
        <v>22423.217763286335</v>
      </c>
      <c r="R851" s="18">
        <f>IF($A851&gt;'1-Input'!$B$26,T850,(T850-MAX(0,P836-IF($A851&gt;='1-Input'!$C$12,'1-Input'!$B$12,0))+Q851*(1-'P-Parametri'!$B$6*P851))*(1+'1-Input'!$B$27))</f>
        <v>57751.895071455059</v>
      </c>
      <c r="S851" s="18">
        <f>IF($A851&gt;'1-Input'!$B$26,U850,(U850-Q851)*(1+$D$4))</f>
        <v>250635.20749176672</v>
      </c>
      <c r="T851" s="18">
        <f>IF($A851&gt;'1-Input'!$B$26,R851,R851-'P-Parametri'!$B$8*(S851+R851)+MIN(MAX(S851,0),'P-Parametri'!$B$8*(S851+R851)))</f>
        <v>57751.895071455059</v>
      </c>
      <c r="U851" s="18">
        <f>IF($A851&gt;'1-Input'!$B$26,S851,S851-MIN(MAX(S851,0),'P-Parametri'!$B$8*(S851+R851)))</f>
        <v>250018.43328664027</v>
      </c>
      <c r="V851" s="18">
        <f>IF($A851&gt;'1-Input'!$B$26,V850,V850-Q851*(1-P851))</f>
        <v>121351.0081544719</v>
      </c>
      <c r="W851" s="11">
        <f>IF($A851&gt;'1-Input'!$B$26,0,IF(AB850&lt;=0,0,MAX(0,(AB850-AC850)/AB850)))</f>
        <v>0.49655002123838543</v>
      </c>
      <c r="X851" s="18">
        <f>IF($A851&gt;'1-Input'!$B$26,0,(MAX(0,W836-IF($A851&gt;='1-Input'!$C$12,'1-Input'!$B$12,0))-MIN(MAX(AA850,0),MAX(0,W836-IF($A851&gt;='1-Input'!$C$12,'1-Input'!$B$12,0))))*(1/(1-'P-Parametri'!$B$6*W851))+MIN(MAX(0,AB850-(MAX(0,W836-IF($A851&gt;='1-Input'!$C$12,'1-Input'!$B$12,0))-MIN(MAX(AA850,0),MAX(0,W836-IF($A851&gt;='1-Input'!$C$12,'1-Input'!$B$12,0))))*(1/(1-'P-Parametri'!$B$6*W851))),MAX(0,3*W836-(AA850-MIN(MAX(AA850,0),MAX(0,W836-IF($A851&gt;='1-Input'!$C$12,'1-Input'!$B$12,0)))))*(1/(1-'P-Parametri'!$B$6*W851))))</f>
        <v>21904.717706053081</v>
      </c>
      <c r="Y851" s="18">
        <f>IF($A851&gt;'1-Input'!$B$26,AA850,(AA850-MAX(0,W836-IF($A851&gt;='1-Input'!$C$12,'1-Input'!$B$12,0))+X851*(1-'P-Parametri'!$B$6*W851))*(1+'1-Input'!$B$27))</f>
        <v>56414.948075653221</v>
      </c>
      <c r="Z851" s="18">
        <f>IF($A851&gt;'1-Input'!$B$26,AB850,(AB850-X851)*(1+$D$4))</f>
        <v>261348.10504158185</v>
      </c>
      <c r="AA851" s="18">
        <f>IF($A851&gt;'1-Input'!$B$26,Y851,Y851-'P-Parametri'!$B$8*(Z851+Y851)+MIN(MAX(Z851,0),'P-Parametri'!$B$8*(Z851+Y851)))</f>
        <v>56414.948075653221</v>
      </c>
      <c r="AB851" s="18">
        <f>IF($A851&gt;'1-Input'!$B$26,Z851,Z851-MIN(MAX(Z851,0),'P-Parametri'!$B$8*(Z851+Y851)))</f>
        <v>260712.57893534738</v>
      </c>
      <c r="AC851" s="18">
        <f>IF($A851&gt;'1-Input'!$B$26,AC850,AC850-X851*(1-W851))</f>
        <v>126515.09416593518</v>
      </c>
      <c r="AD851" s="11">
        <f>IF($A851&gt;'1-Input'!$B$26,0,IF(AI850&lt;=0,0,MAX(0,(AI850-AJ850)/AI850)))</f>
        <v>0.49655676494875162</v>
      </c>
      <c r="AE851" s="18">
        <f>IF($A851&gt;'1-Input'!$B$26,0,(MAX(0,AD836-IF($A851&gt;='1-Input'!$C$12,'1-Input'!$B$12,0))-MIN(MAX(AH850,0),MAX(0,AD836-IF($A851&gt;='1-Input'!$C$12,'1-Input'!$B$12,0))))*(1/(1-'P-Parametri'!$B$6*AD851))+MIN(MAX(0,AI850-(MAX(0,AD836-IF($A851&gt;='1-Input'!$C$12,'1-Input'!$B$12,0))-MIN(MAX(AH850,0),MAX(0,AD836-IF($A851&gt;='1-Input'!$C$12,'1-Input'!$B$12,0))))*(1/(1-'P-Parametri'!$B$6*AD851))),MAX(0,3*AD836-(AH850-MIN(MAX(AH850,0),MAX(0,AD836-IF($A851&gt;='1-Input'!$C$12,'1-Input'!$B$12,0)))))*(1/(1-'P-Parametri'!$B$6*AD851))))</f>
        <v>21865.311058212275</v>
      </c>
      <c r="AF851" s="18">
        <f>IF($A851&gt;'1-Input'!$B$26,AH850,(AH850-MAX(0,AD836-IF($A851&gt;='1-Input'!$C$12,'1-Input'!$B$12,0))+AE851*(1-'P-Parametri'!$B$6*AD851))*(1+'1-Input'!$B$27))</f>
        <v>56313.344052672539</v>
      </c>
      <c r="AG851" s="18">
        <f>IF($A851&gt;'1-Input'!$B$26,AI850,(AI850-AE851)*(1+$D$4))</f>
        <v>262162.26628753671</v>
      </c>
      <c r="AH851" s="18">
        <f>IF($A851&gt;'1-Input'!$B$26,AF851,AF851-'P-Parametri'!$B$8*(AG851+AF851)+MIN(MAX(AG851,0),'P-Parametri'!$B$8*(AG851+AF851)))</f>
        <v>56313.344052672539</v>
      </c>
      <c r="AI851" s="18">
        <f>IF($A851&gt;'1-Input'!$B$26,AG851,AG851-MIN(MAX(AG851,0),'P-Parametri'!$B$8*(AG851+AF851)))</f>
        <v>261525.3150668563</v>
      </c>
      <c r="AJ851" s="18">
        <f>IF($A851&gt;'1-Input'!$B$26,AJ850,AJ850-AE851*(1-AD851))</f>
        <v>126907.51870015799</v>
      </c>
      <c r="AK851" s="11">
        <f>IF($A851&gt;'1-Input'!$B$26,0,IF(AP850&lt;=0,0,MAX(0,(AP850-AQ850)/AP850)))</f>
        <v>0.49655684837172315</v>
      </c>
      <c r="AL851" s="18">
        <f>IF($A851&gt;'1-Input'!$B$26,0,(MAX(0,AK836-IF($A851&gt;='1-Input'!$C$12,'1-Input'!$B$12,0))-MIN(MAX(AO850,0),MAX(0,AK836-IF($A851&gt;='1-Input'!$C$12,'1-Input'!$B$12,0))))*(1/(1-'P-Parametri'!$B$6*AK851))+MIN(MAX(0,AP850-(MAX(0,AK836-IF($A851&gt;='1-Input'!$C$12,'1-Input'!$B$12,0))-MIN(MAX(AO850,0),MAX(0,AK836-IF($A851&gt;='1-Input'!$C$12,'1-Input'!$B$12,0))))*(1/(1-'P-Parametri'!$B$6*AK851))),MAX(0,3*AK836-(AO850-MIN(MAX(AO850,0),MAX(0,AK836-IF($A851&gt;='1-Input'!$C$12,'1-Input'!$B$12,0)))))*(1/(1-'P-Parametri'!$B$6*AK851))))</f>
        <v>21864.822786099237</v>
      </c>
      <c r="AM851" s="18">
        <f>IF($A851&gt;'1-Input'!$B$26,AO850,(AO850-MAX(0,AK836-IF($A851&gt;='1-Input'!$C$12,'1-Input'!$B$12,0))+AL851*(1-'P-Parametri'!$B$6*AK851))*(1+'1-Input'!$B$27))</f>
        <v>56312.085122445489</v>
      </c>
      <c r="AN851" s="18">
        <f>IF($A851&gt;'1-Input'!$B$26,AP850,(AP850-AL851)*(1+$D$4))</f>
        <v>262172.35420820676</v>
      </c>
      <c r="AO851" s="18">
        <f>IF($A851&gt;'1-Input'!$B$26,AM851,AM851-'P-Parametri'!$B$8*(AN851+AM851)+MIN(MAX(AN851,0),'P-Parametri'!$B$8*(AN851+AM851)))</f>
        <v>56312.085122445489</v>
      </c>
      <c r="AP851" s="18">
        <f>IF($A851&gt;'1-Input'!$B$26,AN851,AN851-MIN(MAX(AN851,0),'P-Parametri'!$B$8*(AN851+AM851)))</f>
        <v>261535.38532954545</v>
      </c>
      <c r="AQ851" s="18">
        <f>IF($A851&gt;'1-Input'!$B$26,AQ850,AQ850-AL851*(1-AK851))</f>
        <v>126912.381031139</v>
      </c>
    </row>
    <row r="852" spans="1:43">
      <c r="A852" s="10">
        <f>14</f>
        <v>14</v>
      </c>
      <c r="B852" s="11">
        <f>IF($A852&gt;'1-Input'!$B$26,0,IF(G851&lt;=0,0,MAX(0,(G851-H851)/G851)))</f>
        <v>0.5151700492157435</v>
      </c>
      <c r="C852" s="18">
        <f>IF($A852&gt;'1-Input'!$B$26,0,(MAX(0,B836-IF($A852&gt;='1-Input'!$C$12,'1-Input'!$B$12,0))-MIN(MAX(F851,0),MAX(0,B836-IF($A852&gt;='1-Input'!$C$12,'1-Input'!$B$12,0))))*(1/(1-'P-Parametri'!$B$6*B852))+MIN(MAX(0,G851-(MAX(0,B836-IF($A852&gt;='1-Input'!$C$12,'1-Input'!$B$12,0))-MIN(MAX(F851,0),MAX(0,B836-IF($A852&gt;='1-Input'!$C$12,'1-Input'!$B$12,0))))*(1/(1-'P-Parametri'!$B$6*B852))),MAX(0,3*B836-(F851-MIN(MAX(F851,0),MAX(0,B836-IF($A852&gt;='1-Input'!$C$12,'1-Input'!$B$12,0)))))*(1/(1-'P-Parametri'!$B$6*B852))))</f>
        <v>19468.966042546526</v>
      </c>
      <c r="D852" s="18">
        <f>IF($A852&gt;'1-Input'!$B$26,F851,(F851-MAX(0,B836-IF($A852&gt;='1-Input'!$C$12,'1-Input'!$B$12,0))+C852*(1-'P-Parametri'!$B$6*B852))*(1+'1-Input'!$B$27))</f>
        <v>49863.010546479447</v>
      </c>
      <c r="E852" s="18">
        <f>IF($A852&gt;'1-Input'!$B$26,G851,(G851-C852)*(1+$D$4))</f>
        <v>305402.51474481047</v>
      </c>
      <c r="F852" s="18">
        <f>IF($A852&gt;'1-Input'!$B$26,D852,D852-'P-Parametri'!$B$8*(E852+D852)+MIN(MAX(E852,0),'P-Parametri'!$B$8*(E852+D852)))</f>
        <v>49863.010546479447</v>
      </c>
      <c r="G852" s="18">
        <f>IF($A852&gt;'1-Input'!$B$26,E852,E852-MIN(MAX(E852,0),'P-Parametri'!$B$8*(E852+D852)))</f>
        <v>304691.98369422788</v>
      </c>
      <c r="H852" s="18">
        <f>IF($A852&gt;'1-Input'!$B$26,H851,H851-C852*(1-B852))</f>
        <v>142373.35210876408</v>
      </c>
      <c r="I852" s="11">
        <f>IF($A852&gt;'1-Input'!$B$26,0,IF(N851&lt;=0,0,MAX(0,(N851-O851)/N851)))</f>
        <v>0.51390967135336318</v>
      </c>
      <c r="J852" s="18">
        <f>IF($A852&gt;'1-Input'!$B$26,0,(MAX(0,I836-IF($A852&gt;='1-Input'!$C$12,'1-Input'!$B$12,0))-MIN(MAX(M851,0),MAX(0,I836-IF($A852&gt;='1-Input'!$C$12,'1-Input'!$B$12,0))))*(1/(1-'P-Parametri'!$B$6*I852))+MIN(MAX(0,N851-(MAX(0,I836-IF($A852&gt;='1-Input'!$C$12,'1-Input'!$B$12,0))-MIN(MAX(M851,0),MAX(0,I836-IF($A852&gt;='1-Input'!$C$12,'1-Input'!$B$12,0))))*(1/(1-'P-Parametri'!$B$6*I852))),MAX(0,3*I836-(M851-MIN(MAX(M851,0),MAX(0,I836-IF($A852&gt;='1-Input'!$C$12,'1-Input'!$B$12,0)))))*(1/(1-'P-Parametri'!$B$6*I852))))</f>
        <v>25607.37126351965</v>
      </c>
      <c r="K852" s="18">
        <f>IF($A852&gt;'1-Input'!$B$26,M851,(M851-MAX(0,I836-IF($A852&gt;='1-Input'!$C$12,'1-Input'!$B$12,0))+J852*(1-'P-Parametri'!$B$6*I852))*(1+'1-Input'!$B$27))</f>
        <v>65609.224403262444</v>
      </c>
      <c r="L852" s="18">
        <f>IF($A852&gt;'1-Input'!$B$26,N851,(N851-J852)*(1+$D$4))</f>
        <v>168030.60670952059</v>
      </c>
      <c r="M852" s="18">
        <f>IF($A852&gt;'1-Input'!$B$26,K852,K852-'P-Parametri'!$B$8*(L852+K852)+MIN(MAX(L852,0),'P-Parametri'!$B$8*(L852+K852)))</f>
        <v>65609.224403262444</v>
      </c>
      <c r="N852" s="18">
        <f>IF($A852&gt;'1-Input'!$B$26,L852,L852-MIN(MAX(L852,0),'P-Parametri'!$B$8*(L852+K852)))</f>
        <v>167563.32704729502</v>
      </c>
      <c r="O852" s="18">
        <f>IF($A852&gt;'1-Input'!$B$26,O851,O851-J852*(1-I852))</f>
        <v>78536.589267427553</v>
      </c>
      <c r="P852" s="11">
        <f>IF($A852&gt;'1-Input'!$B$26,0,IF(U851&lt;=0,0,MAX(0,(U851-V851)/U851)))</f>
        <v>0.51463175511004899</v>
      </c>
      <c r="Q852" s="18">
        <f>IF($A852&gt;'1-Input'!$B$26,0,(MAX(0,P836-IF($A852&gt;='1-Input'!$C$12,'1-Input'!$B$12,0))-MIN(MAX(T851,0),MAX(0,P836-IF($A852&gt;='1-Input'!$C$12,'1-Input'!$B$12,0))))*(1/(1-'P-Parametri'!$B$6*P852))+MIN(MAX(0,U851-(MAX(0,P836-IF($A852&gt;='1-Input'!$C$12,'1-Input'!$B$12,0))-MIN(MAX(T851,0),MAX(0,P836-IF($A852&gt;='1-Input'!$C$12,'1-Input'!$B$12,0))))*(1/(1-'P-Parametri'!$B$6*P852))),MAX(0,3*P836-(T851-MIN(MAX(T851,0),MAX(0,P836-IF($A852&gt;='1-Input'!$C$12,'1-Input'!$B$12,0)))))*(1/(1-'P-Parametri'!$B$6*P852))))</f>
        <v>22545.530254410569</v>
      </c>
      <c r="R852" s="18">
        <f>IF($A852&gt;'1-Input'!$B$26,T851,(T851-MAX(0,P836-IF($A852&gt;='1-Input'!$C$12,'1-Input'!$B$12,0))+Q852*(1-'P-Parametri'!$B$6*P852))*(1+'1-Input'!$B$27))</f>
        <v>57751.895071455059</v>
      </c>
      <c r="S852" s="18">
        <f>IF($A852&gt;'1-Input'!$B$26,U851,(U851-Q852)*(1+$D$4))</f>
        <v>236571.81915351888</v>
      </c>
      <c r="T852" s="18">
        <f>IF($A852&gt;'1-Input'!$B$26,R852,R852-'P-Parametri'!$B$8*(S852+R852)+MIN(MAX(S852,0),'P-Parametri'!$B$8*(S852+R852)))</f>
        <v>57751.895071455059</v>
      </c>
      <c r="U852" s="18">
        <f>IF($A852&gt;'1-Input'!$B$26,S852,S852-MIN(MAX(S852,0),'P-Parametri'!$B$8*(S852+R852)))</f>
        <v>235983.17172506894</v>
      </c>
      <c r="V852" s="18">
        <f>IF($A852&gt;'1-Input'!$B$26,V851,V851-Q852*(1-P852))</f>
        <v>110408.12370477535</v>
      </c>
      <c r="W852" s="11">
        <f>IF($A852&gt;'1-Input'!$B$26,0,IF(AB851&lt;=0,0,MAX(0,(AB851-AC851)/AB851)))</f>
        <v>0.51473344829553114</v>
      </c>
      <c r="X852" s="18">
        <f>IF($A852&gt;'1-Input'!$B$26,0,(MAX(0,W836-IF($A852&gt;='1-Input'!$C$12,'1-Input'!$B$12,0))-MIN(MAX(AA851,0),MAX(0,W836-IF($A852&gt;='1-Input'!$C$12,'1-Input'!$B$12,0))))*(1/(1-'P-Parametri'!$B$6*W852))+MIN(MAX(0,AB851-(MAX(0,W836-IF($A852&gt;='1-Input'!$C$12,'1-Input'!$B$12,0))-MIN(MAX(AA851,0),MAX(0,W836-IF($A852&gt;='1-Input'!$C$12,'1-Input'!$B$12,0))))*(1/(1-'P-Parametri'!$B$6*W852))),MAX(0,3*W836-(AA851-MIN(MAX(AA851,0),MAX(0,W836-IF($A852&gt;='1-Input'!$C$12,'1-Input'!$B$12,0)))))*(1/(1-'P-Parametri'!$B$6*W852))))</f>
        <v>22024.277169899618</v>
      </c>
      <c r="Y852" s="18">
        <f>IF($A852&gt;'1-Input'!$B$26,AA851,(AA851-MAX(0,W836-IF($A852&gt;='1-Input'!$C$12,'1-Input'!$B$12,0))+X852*(1-'P-Parametri'!$B$6*W852))*(1+'1-Input'!$B$27))</f>
        <v>56414.948075653214</v>
      </c>
      <c r="Z852" s="18">
        <f>IF($A852&gt;'1-Input'!$B$26,AB851,(AB851-X852)*(1+$D$4))</f>
        <v>248235.83383606569</v>
      </c>
      <c r="AA852" s="18">
        <f>IF($A852&gt;'1-Input'!$B$26,Y852,Y852-'P-Parametri'!$B$8*(Z852+Y852)+MIN(MAX(Z852,0),'P-Parametri'!$B$8*(Z852+Y852)))</f>
        <v>56414.948075653214</v>
      </c>
      <c r="AB852" s="18">
        <f>IF($A852&gt;'1-Input'!$B$26,Z852,Z852-MIN(MAX(Z852,0),'P-Parametri'!$B$8*(Z852+Y852)))</f>
        <v>247626.53227224224</v>
      </c>
      <c r="AC852" s="18">
        <f>IF($A852&gt;'1-Input'!$B$26,AC851,AC851-X852*(1-W852))</f>
        <v>115827.44912991453</v>
      </c>
      <c r="AD852" s="11">
        <f>IF($A852&gt;'1-Input'!$B$26,0,IF(AI851&lt;=0,0,MAX(0,(AI851-AJ851)/AI851)))</f>
        <v>0.51474097768426219</v>
      </c>
      <c r="AE852" s="18">
        <f>IF($A852&gt;'1-Input'!$B$26,0,(MAX(0,AD836-IF($A852&gt;='1-Input'!$C$12,'1-Input'!$B$12,0))-MIN(MAX(AH851,0),MAX(0,AD836-IF($A852&gt;='1-Input'!$C$12,'1-Input'!$B$12,0))))*(1/(1-'P-Parametri'!$B$6*AD852))+MIN(MAX(0,AI851-(MAX(0,AD836-IF($A852&gt;='1-Input'!$C$12,'1-Input'!$B$12,0))-MIN(MAX(AH851,0),MAX(0,AD836-IF($A852&gt;='1-Input'!$C$12,'1-Input'!$B$12,0))))*(1/(1-'P-Parametri'!$B$6*AD852))),MAX(0,3*AD836-(AH851-MIN(MAX(AH851,0),MAX(0,AD836-IF($A852&gt;='1-Input'!$C$12,'1-Input'!$B$12,0)))))*(1/(1-'P-Parametri'!$B$6*AD852))))</f>
        <v>21984.660860686115</v>
      </c>
      <c r="AF852" s="18">
        <f>IF($A852&gt;'1-Input'!$B$26,AH851,(AH851-MAX(0,AD836-IF($A852&gt;='1-Input'!$C$12,'1-Input'!$B$12,0))+AE852*(1-'P-Parametri'!$B$6*AD852))*(1+'1-Input'!$B$27))</f>
        <v>56313.344052672539</v>
      </c>
      <c r="AG852" s="18">
        <f>IF($A852&gt;'1-Input'!$B$26,AI851,(AI851-AE852)*(1+$D$4))</f>
        <v>249122.28037441699</v>
      </c>
      <c r="AH852" s="18">
        <f>IF($A852&gt;'1-Input'!$B$26,AF852,AF852-'P-Parametri'!$B$8*(AG852+AF852)+MIN(MAX(AG852,0),'P-Parametri'!$B$8*(AG852+AF852)))</f>
        <v>56313.344052672539</v>
      </c>
      <c r="AI852" s="18">
        <f>IF($A852&gt;'1-Input'!$B$26,AG852,AG852-MIN(MAX(AG852,0),'P-Parametri'!$B$8*(AG852+AF852)))</f>
        <v>248511.40912556282</v>
      </c>
      <c r="AJ852" s="18">
        <f>IF($A852&gt;'1-Input'!$B$26,AJ851,AJ851-AE852*(1-AD852))</f>
        <v>116239.26366495839</v>
      </c>
      <c r="AK852" s="11">
        <f>IF($A852&gt;'1-Input'!$B$26,0,IF(AP851&lt;=0,0,MAX(0,(AP851-AQ851)/AP851)))</f>
        <v>0.51474107080682741</v>
      </c>
      <c r="AL852" s="18">
        <f>IF($A852&gt;'1-Input'!$B$26,0,(MAX(0,AK836-IF($A852&gt;='1-Input'!$C$12,'1-Input'!$B$12,0))-MIN(MAX(AO851,0),MAX(0,AK836-IF($A852&gt;='1-Input'!$C$12,'1-Input'!$B$12,0))))*(1/(1-'P-Parametri'!$B$6*AK852))+MIN(MAX(0,AP851-(MAX(0,AK836-IF($A852&gt;='1-Input'!$C$12,'1-Input'!$B$12,0))-MIN(MAX(AO851,0),MAX(0,AK836-IF($A852&gt;='1-Input'!$C$12,'1-Input'!$B$12,0))))*(1/(1-'P-Parametri'!$B$6*AK852))),MAX(0,3*AK836-(AO851-MIN(MAX(AO851,0),MAX(0,AK836-IF($A852&gt;='1-Input'!$C$12,'1-Input'!$B$12,0)))))*(1/(1-'P-Parametri'!$B$6*AK852))))</f>
        <v>21984.169990381106</v>
      </c>
      <c r="AM852" s="18">
        <f>IF($A852&gt;'1-Input'!$B$26,AO851,(AO851-MAX(0,AK836-IF($A852&gt;='1-Input'!$C$12,'1-Input'!$B$12,0))+AL852*(1-'P-Parametri'!$B$6*AK852))*(1+'1-Input'!$B$27))</f>
        <v>56312.085122445489</v>
      </c>
      <c r="AN852" s="18">
        <f>IF($A852&gt;'1-Input'!$B$26,AP851,(AP851-AL852)*(1+$D$4))</f>
        <v>249133.26395273092</v>
      </c>
      <c r="AO852" s="18">
        <f>IF($A852&gt;'1-Input'!$B$26,AM852,AM852-'P-Parametri'!$B$8*(AN852+AM852)+MIN(MAX(AN852,0),'P-Parametri'!$B$8*(AN852+AM852)))</f>
        <v>56312.085122445489</v>
      </c>
      <c r="AP852" s="18">
        <f>IF($A852&gt;'1-Input'!$B$26,AN852,AN852-MIN(MAX(AN852,0),'P-Parametri'!$B$8*(AN852+AM852)))</f>
        <v>248522.37325458057</v>
      </c>
      <c r="AQ852" s="18">
        <f>IF($A852&gt;'1-Input'!$B$26,AQ851,AQ851-AL852*(1-AK852))</f>
        <v>116244.36624240599</v>
      </c>
    </row>
    <row r="853" spans="1:43">
      <c r="A853" s="10">
        <f>15</f>
        <v>15</v>
      </c>
      <c r="B853" s="11">
        <f>IF($A853&gt;'1-Input'!$B$26,0,IF(G852&lt;=0,0,MAX(0,(G852-H852)/G852)))</f>
        <v>0.5327302333899202</v>
      </c>
      <c r="C853" s="18">
        <f>IF($A853&gt;'1-Input'!$B$26,0,(MAX(0,B836-IF($A853&gt;='1-Input'!$C$12,'1-Input'!$B$12,0))-MIN(MAX(F852,0),MAX(0,B836-IF($A853&gt;='1-Input'!$C$12,'1-Input'!$B$12,0))))*(1/(1-'P-Parametri'!$B$6*B853))+MIN(MAX(0,G852-(MAX(0,B836-IF($A853&gt;='1-Input'!$C$12,'1-Input'!$B$12,0))-MIN(MAX(F852,0),MAX(0,B836-IF($A853&gt;='1-Input'!$C$12,'1-Input'!$B$12,0))))*(1/(1-'P-Parametri'!$B$6*B853))),MAX(0,3*B836-(F852-MIN(MAX(F852,0),MAX(0,B836-IF($A853&gt;='1-Input'!$C$12,'1-Input'!$B$12,0)))))*(1/(1-'P-Parametri'!$B$6*B853))))</f>
        <v>19572.145916098143</v>
      </c>
      <c r="D853" s="18">
        <f>IF($A853&gt;'1-Input'!$B$26,F852,(F852-MAX(0,B836-IF($A853&gt;='1-Input'!$C$12,'1-Input'!$B$12,0))+C853*(1-'P-Parametri'!$B$6*B853))*(1+'1-Input'!$B$27))</f>
        <v>49863.010546479447</v>
      </c>
      <c r="E853" s="18">
        <f>IF($A853&gt;'1-Input'!$B$26,G852,(G852-C853)*(1+$D$4))</f>
        <v>296524.63128925493</v>
      </c>
      <c r="F853" s="18">
        <f>IF($A853&gt;'1-Input'!$B$26,D853,D853-'P-Parametri'!$B$8*(E853+D853)+MIN(MAX(E853,0),'P-Parametri'!$B$8*(E853+D853)))</f>
        <v>49863.010546479447</v>
      </c>
      <c r="G853" s="18">
        <f>IF($A853&gt;'1-Input'!$B$26,E853,E853-MIN(MAX(E853,0),'P-Parametri'!$B$8*(E853+D853)))</f>
        <v>295831.85600558348</v>
      </c>
      <c r="H853" s="18">
        <f>IF($A853&gt;'1-Input'!$B$26,H852,H852-C853*(1-B853))</f>
        <v>133227.88005449047</v>
      </c>
      <c r="I853" s="11">
        <f>IF($A853&gt;'1-Input'!$B$26,0,IF(N852&lt;=0,0,MAX(0,(N852-O852)/N852)))</f>
        <v>0.53130204173338913</v>
      </c>
      <c r="J853" s="18">
        <f>IF($A853&gt;'1-Input'!$B$26,0,(MAX(0,I836-IF($A853&gt;='1-Input'!$C$12,'1-Input'!$B$12,0))-MIN(MAX(M852,0),MAX(0,I836-IF($A853&gt;='1-Input'!$C$12,'1-Input'!$B$12,0))))*(1/(1-'P-Parametri'!$B$6*I853))+MIN(MAX(0,N852-(MAX(0,I836-IF($A853&gt;='1-Input'!$C$12,'1-Input'!$B$12,0))-MIN(MAX(M852,0),MAX(0,I836-IF($A853&gt;='1-Input'!$C$12,'1-Input'!$B$12,0))))*(1/(1-'P-Parametri'!$B$6*I853))),MAX(0,3*I836-(M852-MIN(MAX(M852,0),MAX(0,I836-IF($A853&gt;='1-Input'!$C$12,'1-Input'!$B$12,0)))))*(1/(1-'P-Parametri'!$B$6*I853))))</f>
        <v>25741.728064894618</v>
      </c>
      <c r="K853" s="18">
        <f>IF($A853&gt;'1-Input'!$B$26,M852,(M852-MAX(0,I836-IF($A853&gt;='1-Input'!$C$12,'1-Input'!$B$12,0))+J853*(1-'P-Parametri'!$B$6*I853))*(1+'1-Input'!$B$27))</f>
        <v>65609.224403262444</v>
      </c>
      <c r="L853" s="18">
        <f>IF($A853&gt;'1-Input'!$B$26,N852,(N852-J853)*(1+$D$4))</f>
        <v>147494.46294169643</v>
      </c>
      <c r="M853" s="18">
        <f>IF($A853&gt;'1-Input'!$B$26,K853,K853-'P-Parametri'!$B$8*(L853+K853)+MIN(MAX(L853,0),'P-Parametri'!$B$8*(L853+K853)))</f>
        <v>65609.224403262444</v>
      </c>
      <c r="N853" s="18">
        <f>IF($A853&gt;'1-Input'!$B$26,L853,L853-MIN(MAX(L853,0),'P-Parametri'!$B$8*(L853+K853)))</f>
        <v>147068.2555670065</v>
      </c>
      <c r="O853" s="18">
        <f>IF($A853&gt;'1-Input'!$B$26,O852,O852-J853*(1-I853))</f>
        <v>66471.493881157134</v>
      </c>
      <c r="P853" s="11">
        <f>IF($A853&gt;'1-Input'!$B$26,0,IF(U852&lt;=0,0,MAX(0,(U852-V852)/U852)))</f>
        <v>0.53213560569731722</v>
      </c>
      <c r="Q853" s="18">
        <f>IF($A853&gt;'1-Input'!$B$26,0,(MAX(0,P836-IF($A853&gt;='1-Input'!$C$12,'1-Input'!$B$12,0))-MIN(MAX(T852,0),MAX(0,P836-IF($A853&gt;='1-Input'!$C$12,'1-Input'!$B$12,0))))*(1/(1-'P-Parametri'!$B$6*P853))+MIN(MAX(0,U852-(MAX(0,P836-IF($A853&gt;='1-Input'!$C$12,'1-Input'!$B$12,0))-MIN(MAX(T852,0),MAX(0,P836-IF($A853&gt;='1-Input'!$C$12,'1-Input'!$B$12,0))))*(1/(1-'P-Parametri'!$B$6*P853))),MAX(0,3*P836-(T852-MIN(MAX(T852,0),MAX(0,P836-IF($A853&gt;='1-Input'!$C$12,'1-Input'!$B$12,0)))))*(1/(1-'P-Parametri'!$B$6*P853))))</f>
        <v>22664.610345209821</v>
      </c>
      <c r="R853" s="18">
        <f>IF($A853&gt;'1-Input'!$B$26,T852,(T852-MAX(0,P836-IF($A853&gt;='1-Input'!$C$12,'1-Input'!$B$12,0))+Q853*(1-'P-Parametri'!$B$6*P853))*(1+'1-Input'!$B$27))</f>
        <v>57751.895071455059</v>
      </c>
      <c r="S853" s="18">
        <f>IF($A853&gt;'1-Input'!$B$26,U852,(U852-Q853)*(1+$D$4))</f>
        <v>221851.30383505349</v>
      </c>
      <c r="T853" s="18">
        <f>IF($A853&gt;'1-Input'!$B$26,R853,R853-'P-Parametri'!$B$8*(S853+R853)+MIN(MAX(S853,0),'P-Parametri'!$B$8*(S853+R853)))</f>
        <v>57751.895071455059</v>
      </c>
      <c r="U853" s="18">
        <f>IF($A853&gt;'1-Input'!$B$26,S853,S853-MIN(MAX(S853,0),'P-Parametri'!$B$8*(S853+R853)))</f>
        <v>221292.09743724047</v>
      </c>
      <c r="V853" s="18">
        <f>IF($A853&gt;'1-Input'!$B$26,V852,V852-Q853*(1-P853))</f>
        <v>99804.159513507446</v>
      </c>
      <c r="W853" s="11">
        <f>IF($A853&gt;'1-Input'!$B$26,0,IF(AB852&lt;=0,0,MAX(0,(AB852-AC852)/AB852)))</f>
        <v>0.53224944004557206</v>
      </c>
      <c r="X853" s="18">
        <f>IF($A853&gt;'1-Input'!$B$26,0,(MAX(0,W836-IF($A853&gt;='1-Input'!$C$12,'1-Input'!$B$12,0))-MIN(MAX(AA852,0),MAX(0,W836-IF($A853&gt;='1-Input'!$C$12,'1-Input'!$B$12,0))))*(1/(1-'P-Parametri'!$B$6*W853))+MIN(MAX(0,AB852-(MAX(0,W836-IF($A853&gt;='1-Input'!$C$12,'1-Input'!$B$12,0))-MIN(MAX(AA852,0),MAX(0,W836-IF($A853&gt;='1-Input'!$C$12,'1-Input'!$B$12,0))))*(1/(1-'P-Parametri'!$B$6*W853))),MAX(0,3*W836-(AA852-MIN(MAX(AA852,0),MAX(0,W836-IF($A853&gt;='1-Input'!$C$12,'1-Input'!$B$12,0)))))*(1/(1-'P-Parametri'!$B$6*W853))))</f>
        <v>22140.688813065168</v>
      </c>
      <c r="Y853" s="18">
        <f>IF($A853&gt;'1-Input'!$B$26,AA852,(AA852-MAX(0,W836-IF($A853&gt;='1-Input'!$C$12,'1-Input'!$B$12,0))+X853*(1-'P-Parametri'!$B$6*W853))*(1+'1-Input'!$B$27))</f>
        <v>56414.948075653221</v>
      </c>
      <c r="Z853" s="18">
        <f>IF($A853&gt;'1-Input'!$B$26,AB852,(AB852-X853)*(1+$D$4))</f>
        <v>234505.27719754414</v>
      </c>
      <c r="AA853" s="18">
        <f>IF($A853&gt;'1-Input'!$B$26,Y853,Y853-'P-Parametri'!$B$8*(Z853+Y853)+MIN(MAX(Z853,0),'P-Parametri'!$B$8*(Z853+Y853)))</f>
        <v>56414.948075653221</v>
      </c>
      <c r="AB853" s="18">
        <f>IF($A853&gt;'1-Input'!$B$26,Z853,Z853-MIN(MAX(Z853,0),'P-Parametri'!$B$8*(Z853+Y853)))</f>
        <v>233923.43674699776</v>
      </c>
      <c r="AC853" s="18">
        <f>IF($A853&gt;'1-Input'!$B$26,AC852,AC852-X853*(1-W853))</f>
        <v>105471.12953982656</v>
      </c>
      <c r="AD853" s="11">
        <f>IF($A853&gt;'1-Input'!$B$26,0,IF(AI852&lt;=0,0,MAX(0,(AI852-AJ852)/AI852)))</f>
        <v>0.53225783848729713</v>
      </c>
      <c r="AE853" s="18">
        <f>IF($A853&gt;'1-Input'!$B$26,0,(MAX(0,AD836-IF($A853&gt;='1-Input'!$C$12,'1-Input'!$B$12,0))-MIN(MAX(AH852,0),MAX(0,AD836-IF($A853&gt;='1-Input'!$C$12,'1-Input'!$B$12,0))))*(1/(1-'P-Parametri'!$B$6*AD853))+MIN(MAX(0,AI852-(MAX(0,AD836-IF($A853&gt;='1-Input'!$C$12,'1-Input'!$B$12,0))-MIN(MAX(AH852,0),MAX(0,AD836-IF($A853&gt;='1-Input'!$C$12,'1-Input'!$B$12,0))))*(1/(1-'P-Parametri'!$B$6*AD853))),MAX(0,3*AD836-(AH852-MIN(MAX(AH852,0),MAX(0,AD836-IF($A853&gt;='1-Input'!$C$12,'1-Input'!$B$12,0)))))*(1/(1-'P-Parametri'!$B$6*AD853))))</f>
        <v>22100.869167527264</v>
      </c>
      <c r="AF853" s="18">
        <f>IF($A853&gt;'1-Input'!$B$26,AH852,(AH852-MAX(0,AD836-IF($A853&gt;='1-Input'!$C$12,'1-Input'!$B$12,0))+AE853*(1-'P-Parametri'!$B$6*AD853))*(1+'1-Input'!$B$27))</f>
        <v>56313.344052672539</v>
      </c>
      <c r="AG853" s="18">
        <f>IF($A853&gt;'1-Input'!$B$26,AI852,(AI852-AE853)*(1+$D$4))</f>
        <v>235466.96155635698</v>
      </c>
      <c r="AH853" s="18">
        <f>IF($A853&gt;'1-Input'!$B$26,AF853,AF853-'P-Parametri'!$B$8*(AG853+AF853)+MIN(MAX(AG853,0),'P-Parametri'!$B$8*(AG853+AF853)))</f>
        <v>56313.344052672539</v>
      </c>
      <c r="AI853" s="18">
        <f>IF($A853&gt;'1-Input'!$B$26,AG853,AG853-MIN(MAX(AG853,0),'P-Parametri'!$B$8*(AG853+AF853)))</f>
        <v>234883.40094513891</v>
      </c>
      <c r="AJ853" s="18">
        <f>IF($A853&gt;'1-Input'!$B$26,AJ852,AJ852-AE853*(1-AD853))</f>
        <v>105901.75534922973</v>
      </c>
      <c r="AK853" s="11">
        <f>IF($A853&gt;'1-Input'!$B$26,0,IF(AP852&lt;=0,0,MAX(0,(AP852-AQ852)/AP852)))</f>
        <v>0.53225794233291046</v>
      </c>
      <c r="AL853" s="18">
        <f>IF($A853&gt;'1-Input'!$B$26,0,(MAX(0,AK836-IF($A853&gt;='1-Input'!$C$12,'1-Input'!$B$12,0))-MIN(MAX(AO852,0),MAX(0,AK836-IF($A853&gt;='1-Input'!$C$12,'1-Input'!$B$12,0))))*(1/(1-'P-Parametri'!$B$6*AK853))+MIN(MAX(0,AP852-(MAX(0,AK836-IF($A853&gt;='1-Input'!$C$12,'1-Input'!$B$12,0))-MIN(MAX(AO852,0),MAX(0,AK836-IF($A853&gt;='1-Input'!$C$12,'1-Input'!$B$12,0))))*(1/(1-'P-Parametri'!$B$6*AK853))),MAX(0,3*AK836-(AO852-MIN(MAX(AO852,0),MAX(0,AK836-IF($A853&gt;='1-Input'!$C$12,'1-Input'!$B$12,0)))))*(1/(1-'P-Parametri'!$B$6*AK853))))</f>
        <v>22100.375777317578</v>
      </c>
      <c r="AM853" s="18">
        <f>IF($A853&gt;'1-Input'!$B$26,AO852,(AO852-MAX(0,AK836-IF($A853&gt;='1-Input'!$C$12,'1-Input'!$B$12,0))+AL853*(1-'P-Parametri'!$B$6*AK853))*(1+'1-Input'!$B$27))</f>
        <v>56312.085122445489</v>
      </c>
      <c r="AN853" s="18">
        <f>IF($A853&gt;'1-Input'!$B$26,AP852,(AP852-AL853)*(1+$D$4))</f>
        <v>235478.87737635351</v>
      </c>
      <c r="AO853" s="18">
        <f>IF($A853&gt;'1-Input'!$B$26,AM853,AM853-'P-Parametri'!$B$8*(AN853+AM853)+MIN(MAX(AN853,0),'P-Parametri'!$B$8*(AN853+AM853)))</f>
        <v>56312.085122445489</v>
      </c>
      <c r="AP853" s="18">
        <f>IF($A853&gt;'1-Input'!$B$26,AN853,AN853-MIN(MAX(AN853,0),'P-Parametri'!$B$8*(AN853+AM853)))</f>
        <v>234895.29545135592</v>
      </c>
      <c r="AQ853" s="18">
        <f>IF($A853&gt;'1-Input'!$B$26,AQ852,AQ852-AL853*(1-AK853))</f>
        <v>105907.09100110756</v>
      </c>
    </row>
    <row r="854" spans="1:43">
      <c r="A854" s="10">
        <f>16</f>
        <v>16</v>
      </c>
      <c r="B854" s="11">
        <f>IF($A854&gt;'1-Input'!$B$26,0,IF(G853&lt;=0,0,MAX(0,(G853-H853)/G853)))</f>
        <v>0.54964998748486393</v>
      </c>
      <c r="C854" s="18">
        <f>IF($A854&gt;'1-Input'!$B$26,0,(MAX(0,B836-IF($A854&gt;='1-Input'!$C$12,'1-Input'!$B$12,0))-MIN(MAX(F853,0),MAX(0,B836-IF($A854&gt;='1-Input'!$C$12,'1-Input'!$B$12,0))))*(1/(1-'P-Parametri'!$B$6*B854))+MIN(MAX(0,G853-(MAX(0,B836-IF($A854&gt;='1-Input'!$C$12,'1-Input'!$B$12,0))-MIN(MAX(F853,0),MAX(0,B836-IF($A854&gt;='1-Input'!$C$12,'1-Input'!$B$12,0))))*(1/(1-'P-Parametri'!$B$6*B854))),MAX(0,3*B836-(F853-MIN(MAX(F853,0),MAX(0,B836-IF($A854&gt;='1-Input'!$C$12,'1-Input'!$B$12,0)))))*(1/(1-'P-Parametri'!$B$6*B854))))</f>
        <v>19672.602615136999</v>
      </c>
      <c r="D854" s="18">
        <f>IF($A854&gt;'1-Input'!$B$26,F853,(F853-MAX(0,B836-IF($A854&gt;='1-Input'!$C$12,'1-Input'!$B$12,0))+C854*(1-'P-Parametri'!$B$6*B854))*(1+'1-Input'!$B$27))</f>
        <v>49863.010546479447</v>
      </c>
      <c r="E854" s="18">
        <f>IF($A854&gt;'1-Input'!$B$26,G853,(G853-C854)*(1+$D$4))</f>
        <v>287205.62352606433</v>
      </c>
      <c r="F854" s="18">
        <f>IF($A854&gt;'1-Input'!$B$26,D854,D854-'P-Parametri'!$B$8*(E854+D854)+MIN(MAX(E854,0),'P-Parametri'!$B$8*(E854+D854)))</f>
        <v>49863.010546479447</v>
      </c>
      <c r="G854" s="18">
        <f>IF($A854&gt;'1-Input'!$B$26,E854,E854-MIN(MAX(E854,0),'P-Parametri'!$B$8*(E854+D854)))</f>
        <v>286531.48625791923</v>
      </c>
      <c r="H854" s="18">
        <f>IF($A854&gt;'1-Input'!$B$26,H853,H853-C854*(1-B854))</f>
        <v>124368.32322055822</v>
      </c>
      <c r="I854" s="11">
        <f>IF($A854&gt;'1-Input'!$B$26,0,IF(N853&lt;=0,0,MAX(0,(N853-O853)/N853)))</f>
        <v>0.54802283045458633</v>
      </c>
      <c r="J854" s="18">
        <f>IF($A854&gt;'1-Input'!$B$26,0,(MAX(0,I836-IF($A854&gt;='1-Input'!$C$12,'1-Input'!$B$12,0))-MIN(MAX(M853,0),MAX(0,I836-IF($A854&gt;='1-Input'!$C$12,'1-Input'!$B$12,0))))*(1/(1-'P-Parametri'!$B$6*I854))+MIN(MAX(0,N853-(MAX(0,I836-IF($A854&gt;='1-Input'!$C$12,'1-Input'!$B$12,0))-MIN(MAX(M853,0),MAX(0,I836-IF($A854&gt;='1-Input'!$C$12,'1-Input'!$B$12,0))))*(1/(1-'P-Parametri'!$B$6*I854))),MAX(0,3*I836-(M853-MIN(MAX(M853,0),MAX(0,I836-IF($A854&gt;='1-Input'!$C$12,'1-Input'!$B$12,0)))))*(1/(1-'P-Parametri'!$B$6*I854))))</f>
        <v>25872.232885425638</v>
      </c>
      <c r="K854" s="18">
        <f>IF($A854&gt;'1-Input'!$B$26,M853,(M853-MAX(0,I836-IF($A854&gt;='1-Input'!$C$12,'1-Input'!$B$12,0))+J854*(1-'P-Parametri'!$B$6*I854))*(1+'1-Input'!$B$27))</f>
        <v>65609.224403262444</v>
      </c>
      <c r="L854" s="18">
        <f>IF($A854&gt;'1-Input'!$B$26,N853,(N853-J854)*(1+$D$4))</f>
        <v>126043.86358884411</v>
      </c>
      <c r="M854" s="18">
        <f>IF($A854&gt;'1-Input'!$B$26,K854,K854-'P-Parametri'!$B$8*(L854+K854)+MIN(MAX(L854,0),'P-Parametri'!$B$8*(L854+K854)))</f>
        <v>65609.224403262444</v>
      </c>
      <c r="N854" s="18">
        <f>IF($A854&gt;'1-Input'!$B$26,L854,L854-MIN(MAX(L854,0),'P-Parametri'!$B$8*(L854+K854)))</f>
        <v>125660.5574128599</v>
      </c>
      <c r="O854" s="18">
        <f>IF($A854&gt;'1-Input'!$B$26,O853,O853-J854*(1-I854))</f>
        <v>54777.835291782685</v>
      </c>
      <c r="P854" s="11">
        <f>IF($A854&gt;'1-Input'!$B$26,0,IF(U853&lt;=0,0,MAX(0,(U853-V853)/U853)))</f>
        <v>0.54899356701243074</v>
      </c>
      <c r="Q854" s="18">
        <f>IF($A854&gt;'1-Input'!$B$26,0,(MAX(0,P836-IF($A854&gt;='1-Input'!$C$12,'1-Input'!$B$12,0))-MIN(MAX(T853,0),MAX(0,P836-IF($A854&gt;='1-Input'!$C$12,'1-Input'!$B$12,0))))*(1/(1-'P-Parametri'!$B$6*P854))+MIN(MAX(0,U853-(MAX(0,P836-IF($A854&gt;='1-Input'!$C$12,'1-Input'!$B$12,0))-MIN(MAX(T853,0),MAX(0,P836-IF($A854&gt;='1-Input'!$C$12,'1-Input'!$B$12,0))))*(1/(1-'P-Parametri'!$B$6*P854))),MAX(0,3*P836-(T853-MIN(MAX(T853,0),MAX(0,P836-IF($A854&gt;='1-Input'!$C$12,'1-Input'!$B$12,0)))))*(1/(1-'P-Parametri'!$B$6*P854))))</f>
        <v>22780.491616386953</v>
      </c>
      <c r="R854" s="18">
        <f>IF($A854&gt;'1-Input'!$B$26,T853,(T853-MAX(0,P836-IF($A854&gt;='1-Input'!$C$12,'1-Input'!$B$12,0))+Q854*(1-'P-Parametri'!$B$6*P854))*(1+'1-Input'!$B$27))</f>
        <v>57751.895071455059</v>
      </c>
      <c r="S854" s="18">
        <f>IF($A854&gt;'1-Input'!$B$26,U853,(U853-Q854)*(1+$D$4))</f>
        <v>206452.07005368767</v>
      </c>
      <c r="T854" s="18">
        <f>IF($A854&gt;'1-Input'!$B$26,R854,R854-'P-Parametri'!$B$8*(S854+R854)+MIN(MAX(S854,0),'P-Parametri'!$B$8*(S854+R854)))</f>
        <v>57751.895071455059</v>
      </c>
      <c r="U854" s="18">
        <f>IF($A854&gt;'1-Input'!$B$26,S854,S854-MIN(MAX(S854,0),'P-Parametri'!$B$8*(S854+R854)))</f>
        <v>205923.66212343739</v>
      </c>
      <c r="V854" s="18">
        <f>IF($A854&gt;'1-Input'!$B$26,V853,V853-Q854*(1-P854))</f>
        <v>89530.011247897535</v>
      </c>
      <c r="W854" s="11">
        <f>IF($A854&gt;'1-Input'!$B$26,0,IF(AB853&lt;=0,0,MAX(0,(AB853-AC853)/AB853)))</f>
        <v>0.54912115260216565</v>
      </c>
      <c r="X854" s="18">
        <f>IF($A854&gt;'1-Input'!$B$26,0,(MAX(0,W836-IF($A854&gt;='1-Input'!$C$12,'1-Input'!$B$12,0))-MIN(MAX(AA853,0),MAX(0,W836-IF($A854&gt;='1-Input'!$C$12,'1-Input'!$B$12,0))))*(1/(1-'P-Parametri'!$B$6*W854))+MIN(MAX(0,AB853-(MAX(0,W836-IF($A854&gt;='1-Input'!$C$12,'1-Input'!$B$12,0))-MIN(MAX(AA853,0),MAX(0,W836-IF($A854&gt;='1-Input'!$C$12,'1-Input'!$B$12,0))))*(1/(1-'P-Parametri'!$B$6*W854))),MAX(0,3*W836-(AA853-MIN(MAX(AA853,0),MAX(0,W836-IF($A854&gt;='1-Input'!$C$12,'1-Input'!$B$12,0)))))*(1/(1-'P-Parametri'!$B$6*W854))))</f>
        <v>22253.988064901398</v>
      </c>
      <c r="Y854" s="18">
        <f>IF($A854&gt;'1-Input'!$B$26,AA853,(AA853-MAX(0,W836-IF($A854&gt;='1-Input'!$C$12,'1-Input'!$B$12,0))+X854*(1-'P-Parametri'!$B$6*W854))*(1+'1-Input'!$B$27))</f>
        <v>56414.948075653221</v>
      </c>
      <c r="Z854" s="18">
        <f>IF($A854&gt;'1-Input'!$B$26,AB853,(AB853-X854)*(1+$D$4))</f>
        <v>220136.22662938022</v>
      </c>
      <c r="AA854" s="18">
        <f>IF($A854&gt;'1-Input'!$B$26,Y854,Y854-'P-Parametri'!$B$8*(Z854+Y854)+MIN(MAX(Z854,0),'P-Parametri'!$B$8*(Z854+Y854)))</f>
        <v>56414.948075653221</v>
      </c>
      <c r="AB854" s="18">
        <f>IF($A854&gt;'1-Input'!$B$26,Z854,Z854-MIN(MAX(Z854,0),'P-Parametri'!$B$8*(Z854+Y854)))</f>
        <v>219583.12427997016</v>
      </c>
      <c r="AC854" s="18">
        <f>IF($A854&gt;'1-Input'!$B$26,AC853,AC853-X854*(1-W854))</f>
        <v>95437.277051118668</v>
      </c>
      <c r="AD854" s="11">
        <f>IF($A854&gt;'1-Input'!$B$26,0,IF(AI853&lt;=0,0,MAX(0,(AI853-AJ853)/AI853)))</f>
        <v>0.54913052636714454</v>
      </c>
      <c r="AE854" s="18">
        <f>IF($A854&gt;'1-Input'!$B$26,0,(MAX(0,AD836-IF($A854&gt;='1-Input'!$C$12,'1-Input'!$B$12,0))-MIN(MAX(AH853,0),MAX(0,AD836-IF($A854&gt;='1-Input'!$C$12,'1-Input'!$B$12,0))))*(1/(1-'P-Parametri'!$B$6*AD854))+MIN(MAX(0,AI853-(MAX(0,AD836-IF($A854&gt;='1-Input'!$C$12,'1-Input'!$B$12,0))-MIN(MAX(AH853,0),MAX(0,AD836-IF($A854&gt;='1-Input'!$C$12,'1-Input'!$B$12,0))))*(1/(1-'P-Parametri'!$B$6*AD854))),MAX(0,3*AD836-(AH853-MIN(MAX(AH853,0),MAX(0,AD836-IF($A854&gt;='1-Input'!$C$12,'1-Input'!$B$12,0)))))*(1/(1-'P-Parametri'!$B$6*AD854))))</f>
        <v>22213.971512026648</v>
      </c>
      <c r="AF854" s="18">
        <f>IF($A854&gt;'1-Input'!$B$26,AH853,(AH853-MAX(0,AD836-IF($A854&gt;='1-Input'!$C$12,'1-Input'!$B$12,0))+AE854*(1-'P-Parametri'!$B$6*AD854))*(1+'1-Input'!$B$27))</f>
        <v>56313.344052672539</v>
      </c>
      <c r="AG854" s="18">
        <f>IF($A854&gt;'1-Input'!$B$26,AI853,(AI853-AE854)*(1+$D$4))</f>
        <v>221176.20661043675</v>
      </c>
      <c r="AH854" s="18">
        <f>IF($A854&gt;'1-Input'!$B$26,AF854,AF854-'P-Parametri'!$B$8*(AG854+AF854)+MIN(MAX(AG854,0),'P-Parametri'!$B$8*(AG854+AF854)))</f>
        <v>56313.344052672539</v>
      </c>
      <c r="AI854" s="18">
        <f>IF($A854&gt;'1-Input'!$B$26,AG854,AG854-MIN(MAX(AG854,0),'P-Parametri'!$B$8*(AG854+AF854)))</f>
        <v>220621.22750911053</v>
      </c>
      <c r="AJ854" s="18">
        <f>IF($A854&gt;'1-Input'!$B$26,AJ853,AJ853-AE854*(1-AD854))</f>
        <v>95886.153706307028</v>
      </c>
      <c r="AK854" s="11">
        <f>IF($A854&gt;'1-Input'!$B$26,0,IF(AP853&lt;=0,0,MAX(0,(AP853-AQ853)/AP853)))</f>
        <v>0.54913064223953478</v>
      </c>
      <c r="AL854" s="18">
        <f>IF($A854&gt;'1-Input'!$B$26,0,(MAX(0,AK836-IF($A854&gt;='1-Input'!$C$12,'1-Input'!$B$12,0))-MIN(MAX(AO853,0),MAX(0,AK836-IF($A854&gt;='1-Input'!$C$12,'1-Input'!$B$12,0))))*(1/(1-'P-Parametri'!$B$6*AK854))+MIN(MAX(0,AP853-(MAX(0,AK836-IF($A854&gt;='1-Input'!$C$12,'1-Input'!$B$12,0))-MIN(MAX(AO853,0),MAX(0,AK836-IF($A854&gt;='1-Input'!$C$12,'1-Input'!$B$12,0))))*(1/(1-'P-Parametri'!$B$6*AK854))),MAX(0,3*AK836-(AO853-MIN(MAX(AO853,0),MAX(0,AK836-IF($A854&gt;='1-Input'!$C$12,'1-Input'!$B$12,0)))))*(1/(1-'P-Parametri'!$B$6*AK854))))</f>
        <v>22213.475681458869</v>
      </c>
      <c r="AM854" s="18">
        <f>IF($A854&gt;'1-Input'!$B$26,AO853,(AO853-MAX(0,AK836-IF($A854&gt;='1-Input'!$C$12,'1-Input'!$B$12,0))+AL854*(1-'P-Parametri'!$B$6*AK854))*(1+'1-Input'!$B$27))</f>
        <v>56312.085122445489</v>
      </c>
      <c r="AN854" s="18">
        <f>IF($A854&gt;'1-Input'!$B$26,AP853,(AP853-AL854)*(1+$D$4))</f>
        <v>221189.09256069295</v>
      </c>
      <c r="AO854" s="18">
        <f>IF($A854&gt;'1-Input'!$B$26,AM854,AM854-'P-Parametri'!$B$8*(AN854+AM854)+MIN(MAX(AN854,0),'P-Parametri'!$B$8*(AN854+AM854)))</f>
        <v>56312.085122445489</v>
      </c>
      <c r="AP854" s="18">
        <f>IF($A854&gt;'1-Input'!$B$26,AN854,AN854-MIN(MAX(AN854,0),'P-Parametri'!$B$8*(AN854+AM854)))</f>
        <v>220634.09020532668</v>
      </c>
      <c r="AQ854" s="18">
        <f>IF($A854&gt;'1-Input'!$B$26,AQ853,AQ853-AL854*(1-AK854))</f>
        <v>95891.715486980494</v>
      </c>
    </row>
    <row r="855" spans="1:43">
      <c r="A855" s="10">
        <f>17</f>
        <v>17</v>
      </c>
      <c r="B855" s="11">
        <f>IF($A855&gt;'1-Input'!$B$26,0,IF(G854&lt;=0,0,MAX(0,(G854-H854)/G854)))</f>
        <v>0.56595233269195067</v>
      </c>
      <c r="C855" s="18">
        <f>IF($A855&gt;'1-Input'!$B$26,0,(MAX(0,B836-IF($A855&gt;='1-Input'!$C$12,'1-Input'!$B$12,0))-MIN(MAX(F854,0),MAX(0,B836-IF($A855&gt;='1-Input'!$C$12,'1-Input'!$B$12,0))))*(1/(1-'P-Parametri'!$B$6*B855))+MIN(MAX(0,G854-(MAX(0,B836-IF($A855&gt;='1-Input'!$C$12,'1-Input'!$B$12,0))-MIN(MAX(F854,0),MAX(0,B836-IF($A855&gt;='1-Input'!$C$12,'1-Input'!$B$12,0))))*(1/(1-'P-Parametri'!$B$6*B855))),MAX(0,3*B836-(F854-MIN(MAX(F854,0),MAX(0,B836-IF($A855&gt;='1-Input'!$C$12,'1-Input'!$B$12,0)))))*(1/(1-'P-Parametri'!$B$6*B855))))</f>
        <v>19770.373912917828</v>
      </c>
      <c r="D855" s="18">
        <f>IF($A855&gt;'1-Input'!$B$26,F854,(F854-MAX(0,B836-IF($A855&gt;='1-Input'!$C$12,'1-Input'!$B$12,0))+C855*(1-'P-Parametri'!$B$6*B855))*(1+'1-Input'!$B$27))</f>
        <v>49863.010546479447</v>
      </c>
      <c r="E855" s="18">
        <f>IF($A855&gt;'1-Input'!$B$26,G854,(G854-C855)*(1+$D$4))</f>
        <v>277431.55683880148</v>
      </c>
      <c r="F855" s="18">
        <f>IF($A855&gt;'1-Input'!$B$26,D855,D855-'P-Parametri'!$B$8*(E855+D855)+MIN(MAX(E855,0),'P-Parametri'!$B$8*(E855+D855)))</f>
        <v>49863.010546479447</v>
      </c>
      <c r="G855" s="18">
        <f>IF($A855&gt;'1-Input'!$B$26,E855,E855-MIN(MAX(E855,0),'P-Parametri'!$B$8*(E855+D855)))</f>
        <v>276776.96770403092</v>
      </c>
      <c r="H855" s="18">
        <f>IF($A855&gt;'1-Input'!$B$26,H854,H854-C855*(1-B855))</f>
        <v>115787.03854184832</v>
      </c>
      <c r="I855" s="11">
        <f>IF($A855&gt;'1-Input'!$B$26,0,IF(N854&lt;=0,0,MAX(0,(N854-O854)/N854)))</f>
        <v>0.56408091433329255</v>
      </c>
      <c r="J855" s="18">
        <f>IF($A855&gt;'1-Input'!$B$26,0,(MAX(0,I836-IF($A855&gt;='1-Input'!$C$12,'1-Input'!$B$12,0))-MIN(MAX(M854,0),MAX(0,I836-IF($A855&gt;='1-Input'!$C$12,'1-Input'!$B$12,0))))*(1/(1-'P-Parametri'!$B$6*I855))+MIN(MAX(0,N854-(MAX(0,I836-IF($A855&gt;='1-Input'!$C$12,'1-Input'!$B$12,0))-MIN(MAX(M854,0),MAX(0,I836-IF($A855&gt;='1-Input'!$C$12,'1-Input'!$B$12,0))))*(1/(1-'P-Parametri'!$B$6*I855))),MAX(0,3*I836-(M854-MIN(MAX(M854,0),MAX(0,I836-IF($A855&gt;='1-Input'!$C$12,'1-Input'!$B$12,0)))))*(1/(1-'P-Parametri'!$B$6*I855))))</f>
        <v>25998.817057817301</v>
      </c>
      <c r="K855" s="18">
        <f>IF($A855&gt;'1-Input'!$B$26,M854,(M854-MAX(0,I836-IF($A855&gt;='1-Input'!$C$12,'1-Input'!$B$12,0))+J855*(1-'P-Parametri'!$B$6*I855))*(1+'1-Input'!$B$27))</f>
        <v>65609.224403262444</v>
      </c>
      <c r="L855" s="18">
        <f>IF($A855&gt;'1-Input'!$B$26,N854,(N854-J855)*(1+$D$4))</f>
        <v>103648.2099692443</v>
      </c>
      <c r="M855" s="18">
        <f>IF($A855&gt;'1-Input'!$B$26,K855,K855-'P-Parametri'!$B$8*(L855+K855)+MIN(MAX(L855,0),'P-Parametri'!$B$8*(L855+K855)))</f>
        <v>65609.224403262444</v>
      </c>
      <c r="N855" s="18">
        <f>IF($A855&gt;'1-Input'!$B$26,L855,L855-MIN(MAX(L855,0),'P-Parametri'!$B$8*(L855+K855)))</f>
        <v>103309.69510049929</v>
      </c>
      <c r="O855" s="18">
        <f>IF($A855&gt;'1-Input'!$B$26,O854,O854-J855*(1-I855))</f>
        <v>43444.454731522972</v>
      </c>
      <c r="P855" s="11">
        <f>IF($A855&gt;'1-Input'!$B$26,0,IF(U854&lt;=0,0,MAX(0,(U854-V854)/U854)))</f>
        <v>0.56522718018568296</v>
      </c>
      <c r="Q855" s="18">
        <f>IF($A855&gt;'1-Input'!$B$26,0,(MAX(0,P836-IF($A855&gt;='1-Input'!$C$12,'1-Input'!$B$12,0))-MIN(MAX(T854,0),MAX(0,P836-IF($A855&gt;='1-Input'!$C$12,'1-Input'!$B$12,0))))*(1/(1-'P-Parametri'!$B$6*P855))+MIN(MAX(0,U854-(MAX(0,P836-IF($A855&gt;='1-Input'!$C$12,'1-Input'!$B$12,0))-MIN(MAX(T854,0),MAX(0,P836-IF($A855&gt;='1-Input'!$C$12,'1-Input'!$B$12,0))))*(1/(1-'P-Parametri'!$B$6*P855))),MAX(0,3*P836-(T854-MIN(MAX(T854,0),MAX(0,P836-IF($A855&gt;='1-Input'!$C$12,'1-Input'!$B$12,0)))))*(1/(1-'P-Parametri'!$B$6*P855))))</f>
        <v>22893.206628469619</v>
      </c>
      <c r="R855" s="18">
        <f>IF($A855&gt;'1-Input'!$B$26,T854,(T854-MAX(0,P836-IF($A855&gt;='1-Input'!$C$12,'1-Input'!$B$12,0))+Q855*(1-'P-Parametri'!$B$6*P855))*(1+'1-Input'!$B$27))</f>
        <v>57751.895071455059</v>
      </c>
      <c r="S855" s="18">
        <f>IF($A855&gt;'1-Input'!$B$26,U854,(U854-Q855)*(1+$D$4))</f>
        <v>190351.67371476648</v>
      </c>
      <c r="T855" s="18">
        <f>IF($A855&gt;'1-Input'!$B$26,R855,R855-'P-Parametri'!$B$8*(S855+R855)+MIN(MAX(S855,0),'P-Parametri'!$B$8*(S855+R855)))</f>
        <v>57751.895071455059</v>
      </c>
      <c r="U855" s="18">
        <f>IF($A855&gt;'1-Input'!$B$26,S855,S855-MIN(MAX(S855,0),'P-Parametri'!$B$8*(S855+R855)))</f>
        <v>189855.46657719405</v>
      </c>
      <c r="V855" s="18">
        <f>IF($A855&gt;'1-Input'!$B$26,V854,V854-Q855*(1-P855))</f>
        <v>79576.667247445992</v>
      </c>
      <c r="W855" s="11">
        <f>IF($A855&gt;'1-Input'!$B$26,0,IF(AB854&lt;=0,0,MAX(0,(AB854-AC854)/AB854)))</f>
        <v>0.56537062051528419</v>
      </c>
      <c r="X855" s="18">
        <f>IF($A855&gt;'1-Input'!$B$26,0,(MAX(0,W836-IF($A855&gt;='1-Input'!$C$12,'1-Input'!$B$12,0))-MIN(MAX(AA854,0),MAX(0,W836-IF($A855&gt;='1-Input'!$C$12,'1-Input'!$B$12,0))))*(1/(1-'P-Parametri'!$B$6*W855))+MIN(MAX(0,AB854-(MAX(0,W836-IF($A855&gt;='1-Input'!$C$12,'1-Input'!$B$12,0))-MIN(MAX(AA854,0),MAX(0,W836-IF($A855&gt;='1-Input'!$C$12,'1-Input'!$B$12,0))))*(1/(1-'P-Parametri'!$B$6*W855))),MAX(0,3*W836-(AA854-MIN(MAX(AA854,0),MAX(0,W836-IF($A855&gt;='1-Input'!$C$12,'1-Input'!$B$12,0)))))*(1/(1-'P-Parametri'!$B$6*W855))))</f>
        <v>22364.210362483751</v>
      </c>
      <c r="Y855" s="18">
        <f>IF($A855&gt;'1-Input'!$B$26,AA854,(AA854-MAX(0,W836-IF($A855&gt;='1-Input'!$C$12,'1-Input'!$B$12,0))+X855*(1-'P-Parametri'!$B$6*W855))*(1+'1-Input'!$B$27))</f>
        <v>56414.948075653221</v>
      </c>
      <c r="Z855" s="18">
        <f>IF($A855&gt;'1-Input'!$B$26,AB854,(AB854-X855)*(1+$D$4))</f>
        <v>205107.67047418587</v>
      </c>
      <c r="AA855" s="18">
        <f>IF($A855&gt;'1-Input'!$B$26,Y855,Y855-'P-Parametri'!$B$8*(Z855+Y855)+MIN(MAX(Z855,0),'P-Parametri'!$B$8*(Z855+Y855)))</f>
        <v>56414.948075653221</v>
      </c>
      <c r="AB855" s="18">
        <f>IF($A855&gt;'1-Input'!$B$26,Z855,Z855-MIN(MAX(Z855,0),'P-Parametri'!$B$8*(Z855+Y855)))</f>
        <v>204584.62523708621</v>
      </c>
      <c r="AC855" s="18">
        <f>IF($A855&gt;'1-Input'!$B$26,AC854,AC854-X855*(1-W855))</f>
        <v>85717.134178606706</v>
      </c>
      <c r="AD855" s="11">
        <f>IF($A855&gt;'1-Input'!$B$26,0,IF(AI854&lt;=0,0,MAX(0,(AI854-AJ854)/AI854)))</f>
        <v>0.5653811068459067</v>
      </c>
      <c r="AE855" s="18">
        <f>IF($A855&gt;'1-Input'!$B$26,0,(MAX(0,AD836-IF($A855&gt;='1-Input'!$C$12,'1-Input'!$B$12,0))-MIN(MAX(AH854,0),MAX(0,AD836-IF($A855&gt;='1-Input'!$C$12,'1-Input'!$B$12,0))))*(1/(1-'P-Parametri'!$B$6*AD855))+MIN(MAX(0,AI854-(MAX(0,AD836-IF($A855&gt;='1-Input'!$C$12,'1-Input'!$B$12,0))-MIN(MAX(AH854,0),MAX(0,AD836-IF($A855&gt;='1-Input'!$C$12,'1-Input'!$B$12,0))))*(1/(1-'P-Parametri'!$B$6*AD855))),MAX(0,3*AD836-(AH854-MIN(MAX(AH854,0),MAX(0,AD836-IF($A855&gt;='1-Input'!$C$12,'1-Input'!$B$12,0)))))*(1/(1-'P-Parametri'!$B$6*AD855))))</f>
        <v>22324.003495493227</v>
      </c>
      <c r="AF855" s="18">
        <f>IF($A855&gt;'1-Input'!$B$26,AH854,(AH854-MAX(0,AD836-IF($A855&gt;='1-Input'!$C$12,'1-Input'!$B$12,0))+AE855*(1-'P-Parametri'!$B$6*AD855))*(1+'1-Input'!$B$27))</f>
        <v>56313.344052672539</v>
      </c>
      <c r="AG855" s="18">
        <f>IF($A855&gt;'1-Input'!$B$26,AI854,(AI854-AE855)*(1+$D$4))</f>
        <v>206229.11297416198</v>
      </c>
      <c r="AH855" s="18">
        <f>IF($A855&gt;'1-Input'!$B$26,AF855,AF855-'P-Parametri'!$B$8*(AG855+AF855)+MIN(MAX(AG855,0),'P-Parametri'!$B$8*(AG855+AF855)))</f>
        <v>56313.344052672539</v>
      </c>
      <c r="AI855" s="18">
        <f>IF($A855&gt;'1-Input'!$B$26,AG855,AG855-MIN(MAX(AG855,0),'P-Parametri'!$B$8*(AG855+AF855)))</f>
        <v>205704.02806010831</v>
      </c>
      <c r="AJ855" s="18">
        <f>IF($A855&gt;'1-Input'!$B$26,AJ854,AJ854-AE855*(1-AD855))</f>
        <v>86183.720016327658</v>
      </c>
      <c r="AK855" s="11">
        <f>IF($A855&gt;'1-Input'!$B$26,0,IF(AP854&lt;=0,0,MAX(0,(AP854-AQ854)/AP854)))</f>
        <v>0.56538123642750915</v>
      </c>
      <c r="AL855" s="18">
        <f>IF($A855&gt;'1-Input'!$B$26,0,(MAX(0,AK836-IF($A855&gt;='1-Input'!$C$12,'1-Input'!$B$12,0))-MIN(MAX(AO854,0),MAX(0,AK836-IF($A855&gt;='1-Input'!$C$12,'1-Input'!$B$12,0))))*(1/(1-'P-Parametri'!$B$6*AK855))+MIN(MAX(0,AP854-(MAX(0,AK836-IF($A855&gt;='1-Input'!$C$12,'1-Input'!$B$12,0))-MIN(MAX(AO854,0),MAX(0,AK836-IF($A855&gt;='1-Input'!$C$12,'1-Input'!$B$12,0))))*(1/(1-'P-Parametri'!$B$6*AK855))),MAX(0,3*AK836-(AO854-MIN(MAX(AO854,0),MAX(0,AK836-IF($A855&gt;='1-Input'!$C$12,'1-Input'!$B$12,0)))))*(1/(1-'P-Parametri'!$B$6*AK855))))</f>
        <v>22323.505306106927</v>
      </c>
      <c r="AM855" s="18">
        <f>IF($A855&gt;'1-Input'!$B$26,AO854,(AO854-MAX(0,AK836-IF($A855&gt;='1-Input'!$C$12,'1-Input'!$B$12,0))+AL855*(1-'P-Parametri'!$B$6*AK855))*(1+'1-Input'!$B$27))</f>
        <v>56312.085122445489</v>
      </c>
      <c r="AN855" s="18">
        <f>IF($A855&gt;'1-Input'!$B$26,AP854,(AP854-AL855)*(1+$D$4))</f>
        <v>206243.00829518854</v>
      </c>
      <c r="AO855" s="18">
        <f>IF($A855&gt;'1-Input'!$B$26,AM855,AM855-'P-Parametri'!$B$8*(AN855+AM855)+MIN(MAX(AN855,0),'P-Parametri'!$B$8*(AN855+AM855)))</f>
        <v>56312.085122445489</v>
      </c>
      <c r="AP855" s="18">
        <f>IF($A855&gt;'1-Input'!$B$26,AN855,AN855-MIN(MAX(AN855,0),'P-Parametri'!$B$8*(AN855+AM855)))</f>
        <v>205717.89810835329</v>
      </c>
      <c r="AQ855" s="18">
        <f>IF($A855&gt;'1-Input'!$B$26,AQ854,AQ854-AL855*(1-AK855))</f>
        <v>86189.501212236355</v>
      </c>
    </row>
    <row r="856" spans="1:43">
      <c r="A856" s="10">
        <f>18</f>
        <v>18</v>
      </c>
      <c r="B856" s="11">
        <f>IF($A856&gt;'1-Input'!$B$26,0,IF(G855&lt;=0,0,MAX(0,(G855-H855)/G855)))</f>
        <v>0.58165941515168207</v>
      </c>
      <c r="C856" s="18">
        <f>IF($A856&gt;'1-Input'!$B$26,0,(MAX(0,B836-IF($A856&gt;='1-Input'!$C$12,'1-Input'!$B$12,0))-MIN(MAX(F855,0),MAX(0,B836-IF($A856&gt;='1-Input'!$C$12,'1-Input'!$B$12,0))))*(1/(1-'P-Parametri'!$B$6*B856))+MIN(MAX(0,G855-(MAX(0,B836-IF($A856&gt;='1-Input'!$C$12,'1-Input'!$B$12,0))-MIN(MAX(F855,0),MAX(0,B836-IF($A856&gt;='1-Input'!$C$12,'1-Input'!$B$12,0))))*(1/(1-'P-Parametri'!$B$6*B856))),MAX(0,3*B836-(F855-MIN(MAX(F855,0),MAX(0,B836-IF($A856&gt;='1-Input'!$C$12,'1-Input'!$B$12,0)))))*(1/(1-'P-Parametri'!$B$6*B856))))</f>
        <v>19865.498870203966</v>
      </c>
      <c r="D856" s="18">
        <f>IF($A856&gt;'1-Input'!$B$26,F855,(F855-MAX(0,B836-IF($A856&gt;='1-Input'!$C$12,'1-Input'!$B$12,0))+C856*(1-'P-Parametri'!$B$6*B856))*(1+'1-Input'!$B$27))</f>
        <v>49863.010546479447</v>
      </c>
      <c r="E856" s="18">
        <f>IF($A856&gt;'1-Input'!$B$26,G855,(G855-C856)*(1+$D$4))</f>
        <v>267187.92758718005</v>
      </c>
      <c r="F856" s="18">
        <f>IF($A856&gt;'1-Input'!$B$26,D856,D856-'P-Parametri'!$B$8*(E856+D856)+MIN(MAX(E856,0),'P-Parametri'!$B$8*(E856+D856)))</f>
        <v>49863.010546479447</v>
      </c>
      <c r="G856" s="18">
        <f>IF($A856&gt;'1-Input'!$B$26,E856,E856-MIN(MAX(E856,0),'P-Parametri'!$B$8*(E856+D856)))</f>
        <v>266553.82571091276</v>
      </c>
      <c r="H856" s="18">
        <f>IF($A856&gt;'1-Input'!$B$26,H855,H855-C856*(1-B856))</f>
        <v>107476.49412618359</v>
      </c>
      <c r="I856" s="11">
        <f>IF($A856&gt;'1-Input'!$B$26,0,IF(N855&lt;=0,0,MAX(0,(N855-O855)/N855)))</f>
        <v>0.57947359452314362</v>
      </c>
      <c r="J856" s="18">
        <f>IF($A856&gt;'1-Input'!$B$26,0,(MAX(0,I836-IF($A856&gt;='1-Input'!$C$12,'1-Input'!$B$12,0))-MIN(MAX(M855,0),MAX(0,I836-IF($A856&gt;='1-Input'!$C$12,'1-Input'!$B$12,0))))*(1/(1-'P-Parametri'!$B$6*I856))+MIN(MAX(0,N855-(MAX(0,I836-IF($A856&gt;='1-Input'!$C$12,'1-Input'!$B$12,0))-MIN(MAX(M855,0),MAX(0,I836-IF($A856&gt;='1-Input'!$C$12,'1-Input'!$B$12,0))))*(1/(1-'P-Parametri'!$B$6*I856))),MAX(0,3*I836-(M855-MIN(MAX(M855,0),MAX(0,I836-IF($A856&gt;='1-Input'!$C$12,'1-Input'!$B$12,0)))))*(1/(1-'P-Parametri'!$B$6*I856))))</f>
        <v>26121.324143132937</v>
      </c>
      <c r="K856" s="18">
        <f>IF($A856&gt;'1-Input'!$B$26,M855,(M855-MAX(0,I836-IF($A856&gt;='1-Input'!$C$12,'1-Input'!$B$12,0))+J856*(1-'P-Parametri'!$B$6*I856))*(1+'1-Input'!$B$27))</f>
        <v>65609.224403262444</v>
      </c>
      <c r="L856" s="18">
        <f>IF($A856&gt;'1-Input'!$B$26,N855,(N855-J856)*(1+$D$4))</f>
        <v>80275.905795661005</v>
      </c>
      <c r="M856" s="18">
        <f>IF($A856&gt;'1-Input'!$B$26,K856,K856-'P-Parametri'!$B$8*(L856+K856)+MIN(MAX(L856,0),'P-Parametri'!$B$8*(L856+K856)))</f>
        <v>65609.224403262444</v>
      </c>
      <c r="N856" s="18">
        <f>IF($A856&gt;'1-Input'!$B$26,L856,L856-MIN(MAX(L856,0),'P-Parametri'!$B$8*(L856+K856)))</f>
        <v>79984.135535263151</v>
      </c>
      <c r="O856" s="18">
        <f>IF($A856&gt;'1-Input'!$B$26,O855,O855-J856*(1-I856))</f>
        <v>32459.748183315452</v>
      </c>
      <c r="P856" s="11">
        <f>IF($A856&gt;'1-Input'!$B$26,0,IF(U855&lt;=0,0,MAX(0,(U855-V855)/U855)))</f>
        <v>0.58085659221673969</v>
      </c>
      <c r="Q856" s="18">
        <f>IF($A856&gt;'1-Input'!$B$26,0,(MAX(0,P836-IF($A856&gt;='1-Input'!$C$12,'1-Input'!$B$12,0))-MIN(MAX(T855,0),MAX(0,P836-IF($A856&gt;='1-Input'!$C$12,'1-Input'!$B$12,0))))*(1/(1-'P-Parametri'!$B$6*P856))+MIN(MAX(0,U855-(MAX(0,P836-IF($A856&gt;='1-Input'!$C$12,'1-Input'!$B$12,0))-MIN(MAX(T855,0),MAX(0,P836-IF($A856&gt;='1-Input'!$C$12,'1-Input'!$B$12,0))))*(1/(1-'P-Parametri'!$B$6*P856))),MAX(0,3*P836-(T855-MIN(MAX(T855,0),MAX(0,P836-IF($A856&gt;='1-Input'!$C$12,'1-Input'!$B$12,0)))))*(1/(1-'P-Parametri'!$B$6*P856))))</f>
        <v>23002.785429810621</v>
      </c>
      <c r="R856" s="18">
        <f>IF($A856&gt;'1-Input'!$B$26,T855,(T855-MAX(0,P836-IF($A856&gt;='1-Input'!$C$12,'1-Input'!$B$12,0))+Q856*(1-'P-Parametri'!$B$6*P856))*(1+'1-Input'!$B$27))</f>
        <v>57751.895071455059</v>
      </c>
      <c r="S856" s="18">
        <f>IF($A856&gt;'1-Input'!$B$26,U855,(U855-Q856)*(1+$D$4))</f>
        <v>173526.78839327878</v>
      </c>
      <c r="T856" s="18">
        <f>IF($A856&gt;'1-Input'!$B$26,R856,R856-'P-Parametri'!$B$8*(S856+R856)+MIN(MAX(S856,0),'P-Parametri'!$B$8*(S856+R856)))</f>
        <v>57751.895071455059</v>
      </c>
      <c r="U856" s="18">
        <f>IF($A856&gt;'1-Input'!$B$26,S856,S856-MIN(MAX(S856,0),'P-Parametri'!$B$8*(S856+R856)))</f>
        <v>173064.23102634933</v>
      </c>
      <c r="V856" s="18">
        <f>IF($A856&gt;'1-Input'!$B$26,V855,V855-Q856*(1-P856))</f>
        <v>69935.201373888034</v>
      </c>
      <c r="W856" s="11">
        <f>IF($A856&gt;'1-Input'!$B$26,0,IF(AB855&lt;=0,0,MAX(0,(AB855-AC855)/AB855)))</f>
        <v>0.58101869053321076</v>
      </c>
      <c r="X856" s="18">
        <f>IF($A856&gt;'1-Input'!$B$26,0,(MAX(0,W836-IF($A856&gt;='1-Input'!$C$12,'1-Input'!$B$12,0))-MIN(MAX(AA855,0),MAX(0,W836-IF($A856&gt;='1-Input'!$C$12,'1-Input'!$B$12,0))))*(1/(1-'P-Parametri'!$B$6*W856))+MIN(MAX(0,AB855-(MAX(0,W836-IF($A856&gt;='1-Input'!$C$12,'1-Input'!$B$12,0))-MIN(MAX(AA855,0),MAX(0,W836-IF($A856&gt;='1-Input'!$C$12,'1-Input'!$B$12,0))))*(1/(1-'P-Parametri'!$B$6*W856))),MAX(0,3*W836-(AA855-MIN(MAX(AA855,0),MAX(0,W836-IF($A856&gt;='1-Input'!$C$12,'1-Input'!$B$12,0)))))*(1/(1-'P-Parametri'!$B$6*W856))))</f>
        <v>22471.390222724873</v>
      </c>
      <c r="Y856" s="18">
        <f>IF($A856&gt;'1-Input'!$B$26,AA855,(AA855-MAX(0,W836-IF($A856&gt;='1-Input'!$C$12,'1-Input'!$B$12,0))+X856*(1-'P-Parametri'!$B$6*W856))*(1+'1-Input'!$B$27))</f>
        <v>56414.948075653221</v>
      </c>
      <c r="Z856" s="18">
        <f>IF($A856&gt;'1-Input'!$B$26,AB855,(AB855-X856)*(1+$D$4))</f>
        <v>189397.76441493578</v>
      </c>
      <c r="AA856" s="18">
        <f>IF($A856&gt;'1-Input'!$B$26,Y856,Y856-'P-Parametri'!$B$8*(Z856+Y856)+MIN(MAX(Z856,0),'P-Parametri'!$B$8*(Z856+Y856)))</f>
        <v>56414.948075653221</v>
      </c>
      <c r="AB856" s="18">
        <f>IF($A856&gt;'1-Input'!$B$26,Z856,Z856-MIN(MAX(Z856,0),'P-Parametri'!$B$8*(Z856+Y856)))</f>
        <v>188906.1389899546</v>
      </c>
      <c r="AC856" s="18">
        <f>IF($A856&gt;'1-Input'!$B$26,AC855,AC855-X856*(1-W856))</f>
        <v>76302.041677550238</v>
      </c>
      <c r="AD856" s="11">
        <f>IF($A856&gt;'1-Input'!$B$26,0,IF(AI855&lt;=0,0,MAX(0,(AI855-AJ855)/AI855)))</f>
        <v>0.58103046970405403</v>
      </c>
      <c r="AE856" s="18">
        <f>IF($A856&gt;'1-Input'!$B$26,0,(MAX(0,AD836-IF($A856&gt;='1-Input'!$C$12,'1-Input'!$B$12,0))-MIN(MAX(AH855,0),MAX(0,AD836-IF($A856&gt;='1-Input'!$C$12,'1-Input'!$B$12,0))))*(1/(1-'P-Parametri'!$B$6*AD856))+MIN(MAX(0,AI855-(MAX(0,AD836-IF($A856&gt;='1-Input'!$C$12,'1-Input'!$B$12,0))-MIN(MAX(AH855,0),MAX(0,AD836-IF($A856&gt;='1-Input'!$C$12,'1-Input'!$B$12,0))))*(1/(1-'P-Parametri'!$B$6*AD856))),MAX(0,3*AD836-(AH855-MIN(MAX(AH855,0),MAX(0,AD836-IF($A856&gt;='1-Input'!$C$12,'1-Input'!$B$12,0)))))*(1/(1-'P-Parametri'!$B$6*AD856))))</f>
        <v>22430.999890688367</v>
      </c>
      <c r="AF856" s="18">
        <f>IF($A856&gt;'1-Input'!$B$26,AH855,(AH855-MAX(0,AD836-IF($A856&gt;='1-Input'!$C$12,'1-Input'!$B$12,0))+AE856*(1-'P-Parametri'!$B$6*AD856))*(1+'1-Input'!$B$27))</f>
        <v>56313.344052672539</v>
      </c>
      <c r="AG856" s="18">
        <f>IF($A856&gt;'1-Input'!$B$26,AI855,(AI855-AE856)*(1+$D$4))</f>
        <v>190603.94929619675</v>
      </c>
      <c r="AH856" s="18">
        <f>IF($A856&gt;'1-Input'!$B$26,AF856,AF856-'P-Parametri'!$B$8*(AG856+AF856)+MIN(MAX(AG856,0),'P-Parametri'!$B$8*(AG856+AF856)))</f>
        <v>56313.344052672539</v>
      </c>
      <c r="AI856" s="18">
        <f>IF($A856&gt;'1-Input'!$B$26,AG856,AG856-MIN(MAX(AG856,0),'P-Parametri'!$B$8*(AG856+AF856)))</f>
        <v>190110.114709499</v>
      </c>
      <c r="AJ856" s="18">
        <f>IF($A856&gt;'1-Input'!$B$26,AJ855,AJ855-AE856*(1-AD856))</f>
        <v>76785.814528057541</v>
      </c>
      <c r="AK856" s="11">
        <f>IF($A856&gt;'1-Input'!$B$26,0,IF(AP855&lt;=0,0,MAX(0,(AP855-AQ855)/AP855)))</f>
        <v>0.58103061520276833</v>
      </c>
      <c r="AL856" s="18">
        <f>IF($A856&gt;'1-Input'!$B$26,0,(MAX(0,AK836-IF($A856&gt;='1-Input'!$C$12,'1-Input'!$B$12,0))-MIN(MAX(AO855,0),MAX(0,AK836-IF($A856&gt;='1-Input'!$C$12,'1-Input'!$B$12,0))))*(1/(1-'P-Parametri'!$B$6*AK856))+MIN(MAX(0,AP855-(MAX(0,AK836-IF($A856&gt;='1-Input'!$C$12,'1-Input'!$B$12,0))-MIN(MAX(AO855,0),MAX(0,AK836-IF($A856&gt;='1-Input'!$C$12,'1-Input'!$B$12,0))))*(1/(1-'P-Parametri'!$B$6*AK856))),MAX(0,3*AK836-(AO855-MIN(MAX(AO855,0),MAX(0,AK836-IF($A856&gt;='1-Input'!$C$12,'1-Input'!$B$12,0)))))*(1/(1-'P-Parametri'!$B$6*AK856))))</f>
        <v>22430.49942712974</v>
      </c>
      <c r="AM856" s="18">
        <f>IF($A856&gt;'1-Input'!$B$26,AO855,(AO855-MAX(0,AK836-IF($A856&gt;='1-Input'!$C$12,'1-Input'!$B$12,0))+AL856*(1-'P-Parametri'!$B$6*AK856))*(1+'1-Input'!$B$27))</f>
        <v>56312.085122445489</v>
      </c>
      <c r="AN856" s="18">
        <f>IF($A856&gt;'1-Input'!$B$26,AP855,(AP855-AL856)*(1+$D$4))</f>
        <v>190618.89462847248</v>
      </c>
      <c r="AO856" s="18">
        <f>IF($A856&gt;'1-Input'!$B$26,AM856,AM856-'P-Parametri'!$B$8*(AN856+AM856)+MIN(MAX(AN856,0),'P-Parametri'!$B$8*(AN856+AM856)))</f>
        <v>56312.085122445489</v>
      </c>
      <c r="AP856" s="18">
        <f>IF($A856&gt;'1-Input'!$B$26,AN856,AN856-MIN(MAX(AN856,0),'P-Parametri'!$B$8*(AN856+AM856)))</f>
        <v>190125.03266897064</v>
      </c>
      <c r="AQ856" s="18">
        <f>IF($A856&gt;'1-Input'!$B$26,AQ855,AQ855-AL856*(1-AK856))</f>
        <v>76791.808666557146</v>
      </c>
    </row>
    <row r="857" spans="1:43">
      <c r="A857" s="10">
        <f>19</f>
        <v>19</v>
      </c>
      <c r="B857" s="11">
        <f>IF($A857&gt;'1-Input'!$B$26,0,IF(G856&lt;=0,0,MAX(0,(G856-H856)/G856)))</f>
        <v>0.59679252834005192</v>
      </c>
      <c r="C857" s="18">
        <f>IF($A857&gt;'1-Input'!$B$26,0,(MAX(0,B836-IF($A857&gt;='1-Input'!$C$12,'1-Input'!$B$12,0))-MIN(MAX(F856,0),MAX(0,B836-IF($A857&gt;='1-Input'!$C$12,'1-Input'!$B$12,0))))*(1/(1-'P-Parametri'!$B$6*B857))+MIN(MAX(0,G856-(MAX(0,B836-IF($A857&gt;='1-Input'!$C$12,'1-Input'!$B$12,0))-MIN(MAX(F856,0),MAX(0,B836-IF($A857&gt;='1-Input'!$C$12,'1-Input'!$B$12,0))))*(1/(1-'P-Parametri'!$B$6*B857))),MAX(0,3*B836-(F856-MIN(MAX(F856,0),MAX(0,B836-IF($A857&gt;='1-Input'!$C$12,'1-Input'!$B$12,0)))))*(1/(1-'P-Parametri'!$B$6*B857))))</f>
        <v>19958.017618826387</v>
      </c>
      <c r="D857" s="18">
        <f>IF($A857&gt;'1-Input'!$B$26,F856,(F856-MAX(0,B836-IF($A857&gt;='1-Input'!$C$12,'1-Input'!$B$12,0))+C857*(1-'P-Parametri'!$B$6*B857))*(1+'1-Input'!$B$27))</f>
        <v>49863.010546479447</v>
      </c>
      <c r="E857" s="18">
        <f>IF($A857&gt;'1-Input'!$B$26,G856,(G856-C857)*(1+$D$4))</f>
        <v>256459.64041576983</v>
      </c>
      <c r="F857" s="18">
        <f>IF($A857&gt;'1-Input'!$B$26,D857,D857-'P-Parametri'!$B$8*(E857+D857)+MIN(MAX(E857,0),'P-Parametri'!$B$8*(E857+D857)))</f>
        <v>49863.010546479447</v>
      </c>
      <c r="G857" s="18">
        <f>IF($A857&gt;'1-Input'!$B$26,E857,E857-MIN(MAX(E857,0),'P-Parametri'!$B$8*(E857+D857)))</f>
        <v>255846.99511384533</v>
      </c>
      <c r="H857" s="18">
        <f>IF($A857&gt;'1-Input'!$B$26,H856,H856-C857*(1-B857))</f>
        <v>99429.27230275191</v>
      </c>
      <c r="I857" s="11">
        <f>IF($A857&gt;'1-Input'!$B$26,0,IF(N856&lt;=0,0,MAX(0,(N856-O856)/N856)))</f>
        <v>0.59417266979144001</v>
      </c>
      <c r="J857" s="18">
        <f>IF($A857&gt;'1-Input'!$B$26,0,(MAX(0,I836-IF($A857&gt;='1-Input'!$C$12,'1-Input'!$B$12,0))-MIN(MAX(M856,0),MAX(0,I836-IF($A857&gt;='1-Input'!$C$12,'1-Input'!$B$12,0))))*(1/(1-'P-Parametri'!$B$6*I857))+MIN(MAX(0,N856-(MAX(0,I836-IF($A857&gt;='1-Input'!$C$12,'1-Input'!$B$12,0))-MIN(MAX(M856,0),MAX(0,I836-IF($A857&gt;='1-Input'!$C$12,'1-Input'!$B$12,0))))*(1/(1-'P-Parametri'!$B$6*I857))),MAX(0,3*I836-(M856-MIN(MAX(M856,0),MAX(0,I836-IF($A857&gt;='1-Input'!$C$12,'1-Input'!$B$12,0)))))*(1/(1-'P-Parametri'!$B$6*I857))))</f>
        <v>26239.393494972468</v>
      </c>
      <c r="K857" s="18">
        <f>IF($A857&gt;'1-Input'!$B$26,M856,(M856-MAX(0,I836-IF($A857&gt;='1-Input'!$C$12,'1-Input'!$B$12,0))+J857*(1-'P-Parametri'!$B$6*I857))*(1+'1-Input'!$B$27))</f>
        <v>65609.224403262444</v>
      </c>
      <c r="L857" s="18">
        <f>IF($A857&gt;'1-Input'!$B$26,N856,(N856-J857)*(1+$D$4))</f>
        <v>55894.531721902313</v>
      </c>
      <c r="M857" s="18">
        <f>IF($A857&gt;'1-Input'!$B$26,K857,K857-'P-Parametri'!$B$8*(L857+K857)+MIN(MAX(L857,0),'P-Parametri'!$B$8*(L857+K857)))</f>
        <v>65609.224403262444</v>
      </c>
      <c r="N857" s="18">
        <f>IF($A857&gt;'1-Input'!$B$26,L857,L857-MIN(MAX(L857,0),'P-Parametri'!$B$8*(L857+K857)))</f>
        <v>55651.52420965198</v>
      </c>
      <c r="O857" s="18">
        <f>IF($A857&gt;'1-Input'!$B$26,O856,O856-J857*(1-I857))</f>
        <v>21811.08517495892</v>
      </c>
      <c r="P857" s="11">
        <f>IF($A857&gt;'1-Input'!$B$26,0,IF(U856&lt;=0,0,MAX(0,(U856-V856)/U856)))</f>
        <v>0.59590031424090006</v>
      </c>
      <c r="Q857" s="18">
        <f>IF($A857&gt;'1-Input'!$B$26,0,(MAX(0,P836-IF($A857&gt;='1-Input'!$C$12,'1-Input'!$B$12,0))-MIN(MAX(T856,0),MAX(0,P836-IF($A857&gt;='1-Input'!$C$12,'1-Input'!$B$12,0))))*(1/(1-'P-Parametri'!$B$6*P857))+MIN(MAX(0,U856-(MAX(0,P836-IF($A857&gt;='1-Input'!$C$12,'1-Input'!$B$12,0))-MIN(MAX(T856,0),MAX(0,P836-IF($A857&gt;='1-Input'!$C$12,'1-Input'!$B$12,0))))*(1/(1-'P-Parametri'!$B$6*P857))),MAX(0,3*P836-(T856-MIN(MAX(T856,0),MAX(0,P836-IF($A857&gt;='1-Input'!$C$12,'1-Input'!$B$12,0)))))*(1/(1-'P-Parametri'!$B$6*P857))))</f>
        <v>23109.253281130452</v>
      </c>
      <c r="R857" s="18">
        <f>IF($A857&gt;'1-Input'!$B$26,T856,(T856-MAX(0,P836-IF($A857&gt;='1-Input'!$C$12,'1-Input'!$B$12,0))+Q857*(1-'P-Parametri'!$B$6*P857))*(1+'1-Input'!$B$27))</f>
        <v>57751.895071455059</v>
      </c>
      <c r="S857" s="18">
        <f>IF($A857&gt;'1-Input'!$B$26,U856,(U856-Q857)*(1+$D$4))</f>
        <v>155953.17685502765</v>
      </c>
      <c r="T857" s="18">
        <f>IF($A857&gt;'1-Input'!$B$26,R857,R857-'P-Parametri'!$B$8*(S857+R857)+MIN(MAX(S857,0),'P-Parametri'!$B$8*(S857+R857)))</f>
        <v>57751.895071455059</v>
      </c>
      <c r="U857" s="18">
        <f>IF($A857&gt;'1-Input'!$B$26,S857,S857-MIN(MAX(S857,0),'P-Parametri'!$B$8*(S857+R857)))</f>
        <v>155525.76671117469</v>
      </c>
      <c r="V857" s="18">
        <f>IF($A857&gt;'1-Input'!$B$26,V856,V856-Q857*(1-P857))</f>
        <v>60596.759384855774</v>
      </c>
      <c r="W857" s="11">
        <f>IF($A857&gt;'1-Input'!$B$26,0,IF(AB856&lt;=0,0,MAX(0,(AB856-AC856)/AB856)))</f>
        <v>0.59608490181672857</v>
      </c>
      <c r="X857" s="18">
        <f>IF($A857&gt;'1-Input'!$B$26,0,(MAX(0,W836-IF($A857&gt;='1-Input'!$C$12,'1-Input'!$B$12,0))-MIN(MAX(AA856,0),MAX(0,W836-IF($A857&gt;='1-Input'!$C$12,'1-Input'!$B$12,0))))*(1/(1-'P-Parametri'!$B$6*W857))+MIN(MAX(0,AB856-(MAX(0,W836-IF($A857&gt;='1-Input'!$C$12,'1-Input'!$B$12,0))-MIN(MAX(AA856,0),MAX(0,W836-IF($A857&gt;='1-Input'!$C$12,'1-Input'!$B$12,0))))*(1/(1-'P-Parametri'!$B$6*W857))),MAX(0,3*W836-(AA856-MIN(MAX(AA856,0),MAX(0,W836-IF($A857&gt;='1-Input'!$C$12,'1-Input'!$B$12,0)))))*(1/(1-'P-Parametri'!$B$6*W857))))</f>
        <v>22575.559924576843</v>
      </c>
      <c r="Y857" s="18">
        <f>IF($A857&gt;'1-Input'!$B$26,AA856,(AA856-MAX(0,W836-IF($A857&gt;='1-Input'!$C$12,'1-Input'!$B$12,0))+X857*(1-'P-Parametri'!$B$6*W857))*(1+'1-Input'!$B$27))</f>
        <v>56414.948075653221</v>
      </c>
      <c r="Z857" s="18">
        <f>IF($A857&gt;'1-Input'!$B$26,AB856,(AB856-X857)*(1+$D$4))</f>
        <v>172983.80222799288</v>
      </c>
      <c r="AA857" s="18">
        <f>IF($A857&gt;'1-Input'!$B$26,Y857,Y857-'P-Parametri'!$B$8*(Z857+Y857)+MIN(MAX(Z857,0),'P-Parametri'!$B$8*(Z857+Y857)))</f>
        <v>56414.948075653221</v>
      </c>
      <c r="AB857" s="18">
        <f>IF($A857&gt;'1-Input'!$B$26,Z857,Z857-MIN(MAX(Z857,0),'P-Parametri'!$B$8*(Z857+Y857)))</f>
        <v>172525.00472738559</v>
      </c>
      <c r="AC857" s="18">
        <f>IF($A857&gt;'1-Input'!$B$26,AC856,AC856-X857*(1-W857))</f>
        <v>67183.432174072455</v>
      </c>
      <c r="AD857" s="11">
        <f>IF($A857&gt;'1-Input'!$B$26,0,IF(AI856&lt;=0,0,MAX(0,(AI856-AJ856)/AI856)))</f>
        <v>0.59609821578724831</v>
      </c>
      <c r="AE857" s="18">
        <f>IF($A857&gt;'1-Input'!$B$26,0,(MAX(0,AD836-IF($A857&gt;='1-Input'!$C$12,'1-Input'!$B$12,0))-MIN(MAX(AH856,0),MAX(0,AD836-IF($A857&gt;='1-Input'!$C$12,'1-Input'!$B$12,0))))*(1/(1-'P-Parametri'!$B$6*AD857))+MIN(MAX(0,AI856-(MAX(0,AD836-IF($A857&gt;='1-Input'!$C$12,'1-Input'!$B$12,0))-MIN(MAX(AH856,0),MAX(0,AD836-IF($A857&gt;='1-Input'!$C$12,'1-Input'!$B$12,0))))*(1/(1-'P-Parametri'!$B$6*AD857))),MAX(0,3*AD836-(AH856-MIN(MAX(AH856,0),MAX(0,AD836-IF($A857&gt;='1-Input'!$C$12,'1-Input'!$B$12,0)))))*(1/(1-'P-Parametri'!$B$6*AD857))))</f>
        <v>22534.99337547279</v>
      </c>
      <c r="AF857" s="18">
        <f>IF($A857&gt;'1-Input'!$B$26,AH856,(AH856-MAX(0,AD836-IF($A857&gt;='1-Input'!$C$12,'1-Input'!$B$12,0))+AE857*(1-'P-Parametri'!$B$6*AD857))*(1+'1-Input'!$B$27))</f>
        <v>56313.344052672539</v>
      </c>
      <c r="AG857" s="18">
        <f>IF($A857&gt;'1-Input'!$B$26,AI856,(AI856-AE857)*(1+$D$4))</f>
        <v>174278.12618738727</v>
      </c>
      <c r="AH857" s="18">
        <f>IF($A857&gt;'1-Input'!$B$26,AF857,AF857-'P-Parametri'!$B$8*(AG857+AF857)+MIN(MAX(AG857,0),'P-Parametri'!$B$8*(AG857+AF857)))</f>
        <v>56313.344052672539</v>
      </c>
      <c r="AI857" s="18">
        <f>IF($A857&gt;'1-Input'!$B$26,AG857,AG857-MIN(MAX(AG857,0),'P-Parametri'!$B$8*(AG857+AF857)))</f>
        <v>173816.94324690715</v>
      </c>
      <c r="AJ857" s="18">
        <f>IF($A857&gt;'1-Input'!$B$26,AJ856,AJ856-AE857*(1-AD857))</f>
        <v>67683.890496481545</v>
      </c>
      <c r="AK857" s="11">
        <f>IF($A857&gt;'1-Input'!$B$26,0,IF(AP856&lt;=0,0,MAX(0,(AP856-AQ856)/AP856)))</f>
        <v>0.59609838016301386</v>
      </c>
      <c r="AL857" s="18">
        <f>IF($A857&gt;'1-Input'!$B$26,0,(MAX(0,AK836-IF($A857&gt;='1-Input'!$C$12,'1-Input'!$B$12,0))-MIN(MAX(AO856,0),MAX(0,AK836-IF($A857&gt;='1-Input'!$C$12,'1-Input'!$B$12,0))))*(1/(1-'P-Parametri'!$B$6*AK857))+MIN(MAX(0,AP856-(MAX(0,AK836-IF($A857&gt;='1-Input'!$C$12,'1-Input'!$B$12,0))-MIN(MAX(AO856,0),MAX(0,AK836-IF($A857&gt;='1-Input'!$C$12,'1-Input'!$B$12,0))))*(1/(1-'P-Parametri'!$B$6*AK857))),MAX(0,3*AK836-(AO856-MIN(MAX(AO856,0),MAX(0,AK836-IF($A857&gt;='1-Input'!$C$12,'1-Input'!$B$12,0)))))*(1/(1-'P-Parametri'!$B$6*AK857))))</f>
        <v>22534.490727230786</v>
      </c>
      <c r="AM857" s="18">
        <f>IF($A857&gt;'1-Input'!$B$26,AO856,(AO856-MAX(0,AK836-IF($A857&gt;='1-Input'!$C$12,'1-Input'!$B$12,0))+AL857*(1-'P-Parametri'!$B$6*AK857))*(1+'1-Input'!$B$27))</f>
        <v>56312.085122445489</v>
      </c>
      <c r="AN857" s="18">
        <f>IF($A857&gt;'1-Input'!$B$26,AP856,(AP856-AL857)*(1+$D$4))</f>
        <v>174294.16361940946</v>
      </c>
      <c r="AO857" s="18">
        <f>IF($A857&gt;'1-Input'!$B$26,AM857,AM857-'P-Parametri'!$B$8*(AN857+AM857)+MIN(MAX(AN857,0),'P-Parametri'!$B$8*(AN857+AM857)))</f>
        <v>56312.085122445489</v>
      </c>
      <c r="AP857" s="18">
        <f>IF($A857&gt;'1-Input'!$B$26,AN857,AN857-MIN(MAX(AN857,0),'P-Parametri'!$B$8*(AN857+AM857)))</f>
        <v>173832.95112192575</v>
      </c>
      <c r="AQ857" s="18">
        <f>IF($A857&gt;'1-Input'!$B$26,AQ856,AQ856-AL857*(1-AK857))</f>
        <v>67690.091359627084</v>
      </c>
    </row>
    <row r="858" spans="1:43">
      <c r="A858" s="10">
        <f>20</f>
        <v>20</v>
      </c>
      <c r="B858" s="11">
        <f>IF($A858&gt;'1-Input'!$B$26,0,IF(G857&lt;=0,0,MAX(0,(G857-H857)/G857)))</f>
        <v>0.6113721317754448</v>
      </c>
      <c r="C858" s="18">
        <f>IF($A858&gt;'1-Input'!$B$26,0,(MAX(0,B836-IF($A858&gt;='1-Input'!$C$12,'1-Input'!$B$12,0))-MIN(MAX(F857,0),MAX(0,B836-IF($A858&gt;='1-Input'!$C$12,'1-Input'!$B$12,0))))*(1/(1-'P-Parametri'!$B$6*B858))+MIN(MAX(0,G857-(MAX(0,B836-IF($A858&gt;='1-Input'!$C$12,'1-Input'!$B$12,0))-MIN(MAX(F857,0),MAX(0,B836-IF($A858&gt;='1-Input'!$C$12,'1-Input'!$B$12,0))))*(1/(1-'P-Parametri'!$B$6*B858))),MAX(0,3*B836-(F857-MIN(MAX(F857,0),MAX(0,B836-IF($A858&gt;='1-Input'!$C$12,'1-Input'!$B$12,0)))))*(1/(1-'P-Parametri'!$B$6*B858))))</f>
        <v>20047.971132828796</v>
      </c>
      <c r="D858" s="18">
        <f>IF($A858&gt;'1-Input'!$B$26,F857,(F857-MAX(0,B836-IF($A858&gt;='1-Input'!$C$12,'1-Input'!$B$12,0))+C858*(1-'P-Parametri'!$B$6*B858))*(1+'1-Input'!$B$27))</f>
        <v>49863.010546479447</v>
      </c>
      <c r="E858" s="18">
        <f>IF($A858&gt;'1-Input'!$B$26,G857,(G857-C858)*(1+$D$4))</f>
        <v>245230.98494025721</v>
      </c>
      <c r="F858" s="18">
        <f>IF($A858&gt;'1-Input'!$B$26,D858,D858-'P-Parametri'!$B$8*(E858+D858)+MIN(MAX(E858,0),'P-Parametri'!$B$8*(E858+D858)))</f>
        <v>49863.010546479447</v>
      </c>
      <c r="G858" s="18">
        <f>IF($A858&gt;'1-Input'!$B$26,E858,E858-MIN(MAX(E858,0),'P-Parametri'!$B$8*(E858+D858)))</f>
        <v>244640.79694928374</v>
      </c>
      <c r="H858" s="18">
        <f>IF($A858&gt;'1-Input'!$B$26,H857,H857-C858*(1-B858))</f>
        <v>91638.07201917324</v>
      </c>
      <c r="I858" s="11">
        <f>IF($A858&gt;'1-Input'!$B$26,0,IF(N857&lt;=0,0,MAX(0,(N857-O857)/N857)))</f>
        <v>0.60807748781881354</v>
      </c>
      <c r="J858" s="18">
        <f>IF($A858&gt;'1-Input'!$B$26,0,(MAX(0,I836-IF($A858&gt;='1-Input'!$C$12,'1-Input'!$B$12,0))-MIN(MAX(M857,0),MAX(0,I836-IF($A858&gt;='1-Input'!$C$12,'1-Input'!$B$12,0))))*(1/(1-'P-Parametri'!$B$6*I858))+MIN(MAX(0,N857-(MAX(0,I836-IF($A858&gt;='1-Input'!$C$12,'1-Input'!$B$12,0))-MIN(MAX(M857,0),MAX(0,I836-IF($A858&gt;='1-Input'!$C$12,'1-Input'!$B$12,0))))*(1/(1-'P-Parametri'!$B$6*I858))),MAX(0,3*I836-(M857-MIN(MAX(M857,0),MAX(0,I836-IF($A858&gt;='1-Input'!$C$12,'1-Input'!$B$12,0)))))*(1/(1-'P-Parametri'!$B$6*I858))))</f>
        <v>26352.069649367993</v>
      </c>
      <c r="K858" s="18">
        <f>IF($A858&gt;'1-Input'!$B$26,M857,(M857-MAX(0,I836-IF($A858&gt;='1-Input'!$C$12,'1-Input'!$B$12,0))+J858*(1-'P-Parametri'!$B$6*I858))*(1+'1-Input'!$B$27))</f>
        <v>65609.224403262444</v>
      </c>
      <c r="L858" s="18">
        <f>IF($A858&gt;'1-Input'!$B$26,N857,(N857-J858)*(1+$D$4))</f>
        <v>30471.432742695346</v>
      </c>
      <c r="M858" s="18">
        <f>IF($A858&gt;'1-Input'!$B$26,K858,K858-'P-Parametri'!$B$8*(L858+K858)+MIN(MAX(L858,0),'P-Parametri'!$B$8*(L858+K858)))</f>
        <v>65609.224403262444</v>
      </c>
      <c r="N858" s="18">
        <f>IF($A858&gt;'1-Input'!$B$26,L858,L858-MIN(MAX(L858,0),'P-Parametri'!$B$8*(L858+K858)))</f>
        <v>30279.27142840343</v>
      </c>
      <c r="O858" s="18">
        <f>IF($A858&gt;'1-Input'!$B$26,O857,O857-J858*(1-I858))</f>
        <v>11483.115836805018</v>
      </c>
      <c r="P858" s="11">
        <f>IF($A858&gt;'1-Input'!$B$26,0,IF(U857&lt;=0,0,MAX(0,(U857-V857)/U857)))</f>
        <v>0.61037479083842483</v>
      </c>
      <c r="Q858" s="18">
        <f>IF($A858&gt;'1-Input'!$B$26,0,(MAX(0,P836-IF($A858&gt;='1-Input'!$C$12,'1-Input'!$B$12,0))-MIN(MAX(T857,0),MAX(0,P836-IF($A858&gt;='1-Input'!$C$12,'1-Input'!$B$12,0))))*(1/(1-'P-Parametri'!$B$6*P858))+MIN(MAX(0,U857-(MAX(0,P836-IF($A858&gt;='1-Input'!$C$12,'1-Input'!$B$12,0))-MIN(MAX(T857,0),MAX(0,P836-IF($A858&gt;='1-Input'!$C$12,'1-Input'!$B$12,0))))*(1/(1-'P-Parametri'!$B$6*P858))),MAX(0,3*P836-(T857-MIN(MAX(T857,0),MAX(0,P836-IF($A858&gt;='1-Input'!$C$12,'1-Input'!$B$12,0)))))*(1/(1-'P-Parametri'!$B$6*P858))))</f>
        <v>23212.626947899982</v>
      </c>
      <c r="R858" s="18">
        <f>IF($A858&gt;'1-Input'!$B$26,T857,(T857-MAX(0,P836-IF($A858&gt;='1-Input'!$C$12,'1-Input'!$B$12,0))+Q858*(1-'P-Parametri'!$B$6*P858))*(1+'1-Input'!$B$27))</f>
        <v>57751.895071455059</v>
      </c>
      <c r="S858" s="18">
        <f>IF($A858&gt;'1-Input'!$B$26,U857,(U857-Q858)*(1+$D$4))</f>
        <v>137605.6653538057</v>
      </c>
      <c r="T858" s="18">
        <f>IF($A858&gt;'1-Input'!$B$26,R858,R858-'P-Parametri'!$B$8*(S858+R858)+MIN(MAX(S858,0),'P-Parametri'!$B$8*(S858+R858)))</f>
        <v>57751.895071455059</v>
      </c>
      <c r="U858" s="18">
        <f>IF($A858&gt;'1-Input'!$B$26,S858,S858-MIN(MAX(S858,0),'P-Parametri'!$B$8*(S858+R858)))</f>
        <v>137214.95023295519</v>
      </c>
      <c r="V858" s="18">
        <f>IF($A858&gt;'1-Input'!$B$26,V857,V857-Q858*(1-P858))</f>
        <v>51552.53475509063</v>
      </c>
      <c r="W858" s="11">
        <f>IF($A858&gt;'1-Input'!$B$26,0,IF(AB857&lt;=0,0,MAX(0,(AB857-AC857)/AB857)))</f>
        <v>0.61058727527507117</v>
      </c>
      <c r="X858" s="18">
        <f>IF($A858&gt;'1-Input'!$B$26,0,(MAX(0,W836-IF($A858&gt;='1-Input'!$C$12,'1-Input'!$B$12,0))-MIN(MAX(AA857,0),MAX(0,W836-IF($A858&gt;='1-Input'!$C$12,'1-Input'!$B$12,0))))*(1/(1-'P-Parametri'!$B$6*W858))+MIN(MAX(0,AB857-(MAX(0,W836-IF($A858&gt;='1-Input'!$C$12,'1-Input'!$B$12,0))-MIN(MAX(AA857,0),MAX(0,W836-IF($A858&gt;='1-Input'!$C$12,'1-Input'!$B$12,0))))*(1/(1-'P-Parametri'!$B$6*W858))),MAX(0,3*W836-(AA857-MIN(MAX(AA857,0),MAX(0,W836-IF($A858&gt;='1-Input'!$C$12,'1-Input'!$B$12,0)))))*(1/(1-'P-Parametri'!$B$6*W858))))</f>
        <v>22676.747519974851</v>
      </c>
      <c r="Y858" s="18">
        <f>IF($A858&gt;'1-Input'!$B$26,AA857,(AA857-MAX(0,W836-IF($A858&gt;='1-Input'!$C$12,'1-Input'!$B$12,0))+X858*(1-'P-Parametri'!$B$6*W858))*(1+'1-Input'!$B$27))</f>
        <v>56414.948075653221</v>
      </c>
      <c r="Z858" s="18">
        <f>IF($A858&gt;'1-Input'!$B$26,AB857,(AB857-X858)*(1+$D$4))</f>
        <v>155842.18749570716</v>
      </c>
      <c r="AA858" s="18">
        <f>IF($A858&gt;'1-Input'!$B$26,Y858,Y858-'P-Parametri'!$B$8*(Z858+Y858)+MIN(MAX(Z858,0),'P-Parametri'!$B$8*(Z858+Y858)))</f>
        <v>56414.948075653221</v>
      </c>
      <c r="AB858" s="18">
        <f>IF($A858&gt;'1-Input'!$B$26,Z858,Z858-MIN(MAX(Z858,0),'P-Parametri'!$B$8*(Z858+Y858)))</f>
        <v>155417.67322456444</v>
      </c>
      <c r="AC858" s="18">
        <f>IF($A858&gt;'1-Input'!$B$26,AC857,AC857-X858*(1-W858))</f>
        <v>58352.81813441978</v>
      </c>
      <c r="AD858" s="11">
        <f>IF($A858&gt;'1-Input'!$B$26,0,IF(AI857&lt;=0,0,MAX(0,(AI857-AJ857)/AI857)))</f>
        <v>0.61060245778032984</v>
      </c>
      <c r="AE858" s="18">
        <f>IF($A858&gt;'1-Input'!$B$26,0,(MAX(0,AD836-IF($A858&gt;='1-Input'!$C$12,'1-Input'!$B$12,0))-MIN(MAX(AH857,0),MAX(0,AD836-IF($A858&gt;='1-Input'!$C$12,'1-Input'!$B$12,0))))*(1/(1-'P-Parametri'!$B$6*AD858))+MIN(MAX(0,AI857-(MAX(0,AD836-IF($A858&gt;='1-Input'!$C$12,'1-Input'!$B$12,0))-MIN(MAX(AH857,0),MAX(0,AD836-IF($A858&gt;='1-Input'!$C$12,'1-Input'!$B$12,0))))*(1/(1-'P-Parametri'!$B$6*AD858))),MAX(0,3*AD836-(AH857-MIN(MAX(AH857,0),MAX(0,AD836-IF($A858&gt;='1-Input'!$C$12,'1-Input'!$B$12,0)))))*(1/(1-'P-Parametri'!$B$6*AD858))))</f>
        <v>22636.012632470171</v>
      </c>
      <c r="AF858" s="18">
        <f>IF($A858&gt;'1-Input'!$B$26,AH857,(AH857-MAX(0,AD836-IF($A858&gt;='1-Input'!$C$12,'1-Input'!$B$12,0))+AE858*(1-'P-Parametri'!$B$6*AD858))*(1+'1-Input'!$B$27))</f>
        <v>56313.344052672539</v>
      </c>
      <c r="AG858" s="18">
        <f>IF($A858&gt;'1-Input'!$B$26,AI857,(AI857-AE858)*(1+$D$4))</f>
        <v>157228.16783901447</v>
      </c>
      <c r="AH858" s="18">
        <f>IF($A858&gt;'1-Input'!$B$26,AF858,AF858-'P-Parametri'!$B$8*(AG858+AF858)+MIN(MAX(AG858,0),'P-Parametri'!$B$8*(AG858+AF858)))</f>
        <v>56313.344052672539</v>
      </c>
      <c r="AI858" s="18">
        <f>IF($A858&gt;'1-Input'!$B$26,AG858,AG858-MIN(MAX(AG858,0),'P-Parametri'!$B$8*(AG858+AF858)))</f>
        <v>156801.08481523109</v>
      </c>
      <c r="AJ858" s="18">
        <f>IF($A858&gt;'1-Input'!$B$26,AJ857,AJ857-AE858*(1-AD858))</f>
        <v>58869.482811744252</v>
      </c>
      <c r="AK858" s="11">
        <f>IF($A858&gt;'1-Input'!$B$26,0,IF(AP857&lt;=0,0,MAX(0,(AP857-AQ857)/AP857)))</f>
        <v>0.6106026451098473</v>
      </c>
      <c r="AL858" s="18">
        <f>IF($A858&gt;'1-Input'!$B$26,0,(MAX(0,AK836-IF($A858&gt;='1-Input'!$C$12,'1-Input'!$B$12,0))-MIN(MAX(AO857,0),MAX(0,AK836-IF($A858&gt;='1-Input'!$C$12,'1-Input'!$B$12,0))))*(1/(1-'P-Parametri'!$B$6*AK858))+MIN(MAX(0,AP857-(MAX(0,AK836-IF($A858&gt;='1-Input'!$C$12,'1-Input'!$B$12,0))-MIN(MAX(AO857,0),MAX(0,AK836-IF($A858&gt;='1-Input'!$C$12,'1-Input'!$B$12,0))))*(1/(1-'P-Parametri'!$B$6*AK858))),MAX(0,3*AK836-(AO857-MIN(MAX(AO857,0),MAX(0,AK836-IF($A858&gt;='1-Input'!$C$12,'1-Input'!$B$12,0)))))*(1/(1-'P-Parametri'!$B$6*AK858))))</f>
        <v>22635.507896683786</v>
      </c>
      <c r="AM858" s="18">
        <f>IF($A858&gt;'1-Input'!$B$26,AO857,(AO857-MAX(0,AK836-IF($A858&gt;='1-Input'!$C$12,'1-Input'!$B$12,0))+AL858*(1-'P-Parametri'!$B$6*AK858))*(1+'1-Input'!$B$27))</f>
        <v>56312.085122445489</v>
      </c>
      <c r="AN858" s="18">
        <f>IF($A858&gt;'1-Input'!$B$26,AP857,(AP857-AL858)*(1+$D$4))</f>
        <v>157245.34095425165</v>
      </c>
      <c r="AO858" s="18">
        <f>IF($A858&gt;'1-Input'!$B$26,AM858,AM858-'P-Parametri'!$B$8*(AN858+AM858)+MIN(MAX(AN858,0),'P-Parametri'!$B$8*(AN858+AM858)))</f>
        <v>56312.085122445489</v>
      </c>
      <c r="AP858" s="18">
        <f>IF($A858&gt;'1-Input'!$B$26,AN858,AN858-MIN(MAX(AN858,0),'P-Parametri'!$B$8*(AN858+AM858)))</f>
        <v>156818.22610209824</v>
      </c>
      <c r="AQ858" s="18">
        <f>IF($A858&gt;'1-Input'!$B$26,AQ857,AQ857-AL858*(1-AK858))</f>
        <v>58875.884458063258</v>
      </c>
    </row>
    <row r="859" spans="1:43">
      <c r="A859" s="10">
        <f>21</f>
        <v>21</v>
      </c>
      <c r="B859" s="11">
        <f>IF($A859&gt;'1-Input'!$B$26,0,IF(G858&lt;=0,0,MAX(0,(G858-H858)/G858)))</f>
        <v>0.62541786504165675</v>
      </c>
      <c r="C859" s="18">
        <f>IF($A859&gt;'1-Input'!$B$26,0,(MAX(0,B836-IF($A859&gt;='1-Input'!$C$12,'1-Input'!$B$12,0))-MIN(MAX(F858,0),MAX(0,B836-IF($A859&gt;='1-Input'!$C$12,'1-Input'!$B$12,0))))*(1/(1-'P-Parametri'!$B$6*B859))+MIN(MAX(0,G858-(MAX(0,B836-IF($A859&gt;='1-Input'!$C$12,'1-Input'!$B$12,0))-MIN(MAX(F858,0),MAX(0,B836-IF($A859&gt;='1-Input'!$C$12,'1-Input'!$B$12,0))))*(1/(1-'P-Parametri'!$B$6*B859))),MAX(0,3*B836-(F858-MIN(MAX(F858,0),MAX(0,B836-IF($A859&gt;='1-Input'!$C$12,'1-Input'!$B$12,0)))))*(1/(1-'P-Parametri'!$B$6*B859))))</f>
        <v>20135.400980140646</v>
      </c>
      <c r="D859" s="18">
        <f>IF($A859&gt;'1-Input'!$B$26,F858,(F858-MAX(0,B836-IF($A859&gt;='1-Input'!$C$12,'1-Input'!$B$12,0))+C859*(1-'P-Parametri'!$B$6*B859))*(1+'1-Input'!$B$27))</f>
        <v>49863.010546479447</v>
      </c>
      <c r="E859" s="18">
        <f>IF($A859&gt;'1-Input'!$B$26,G858,(G858-C859)*(1+$D$4))</f>
        <v>233485.61180790883</v>
      </c>
      <c r="F859" s="18">
        <f>IF($A859&gt;'1-Input'!$B$26,D859,D859-'P-Parametri'!$B$8*(E859+D859)+MIN(MAX(E859,0),'P-Parametri'!$B$8*(E859+D859)))</f>
        <v>49863.010546479447</v>
      </c>
      <c r="G859" s="18">
        <f>IF($A859&gt;'1-Input'!$B$26,E859,E859-MIN(MAX(E859,0),'P-Parametri'!$B$8*(E859+D859)))</f>
        <v>232918.91456320006</v>
      </c>
      <c r="H859" s="18">
        <f>IF($A859&gt;'1-Input'!$B$26,H858,H858-C859*(1-B859))</f>
        <v>84095.710531789839</v>
      </c>
      <c r="I859" s="11">
        <f>IF($A859&gt;'1-Input'!$B$26,0,IF(N858&lt;=0,0,MAX(0,(N858-O858)/N858)))</f>
        <v>0.62075983684226643</v>
      </c>
      <c r="J859" s="18">
        <f>IF($A859&gt;'1-Input'!$B$26,0,(MAX(0,I836-IF($A859&gt;='1-Input'!$C$12,'1-Input'!$B$12,0))-MIN(MAX(M858,0),MAX(0,I836-IF($A859&gt;='1-Input'!$C$12,'1-Input'!$B$12,0))))*(1/(1-'P-Parametri'!$B$6*I859))+MIN(MAX(0,N858-(MAX(0,I836-IF($A859&gt;='1-Input'!$C$12,'1-Input'!$B$12,0))-MIN(MAX(M858,0),MAX(0,I836-IF($A859&gt;='1-Input'!$C$12,'1-Input'!$B$12,0))))*(1/(1-'P-Parametri'!$B$6*I859))),MAX(0,3*I836-(M858-MIN(MAX(M858,0),MAX(0,I836-IF($A859&gt;='1-Input'!$C$12,'1-Input'!$B$12,0)))))*(1/(1-'P-Parametri'!$B$6*I859))))</f>
        <v>26455.686802441003</v>
      </c>
      <c r="K859" s="18">
        <f>IF($A859&gt;'1-Input'!$B$26,M858,(M858-MAX(0,I836-IF($A859&gt;='1-Input'!$C$12,'1-Input'!$B$12,0))+J859*(1-'P-Parametri'!$B$6*I859))*(1+'1-Input'!$B$27))</f>
        <v>65609.224403262444</v>
      </c>
      <c r="L859" s="18">
        <f>IF($A859&gt;'1-Input'!$B$26,N858,(N858-J859)*(1+$D$4))</f>
        <v>3976.5280110009239</v>
      </c>
      <c r="M859" s="18">
        <f>IF($A859&gt;'1-Input'!$B$26,K859,K859-'P-Parametri'!$B$8*(L859+K859)+MIN(MAX(L859,0),'P-Parametri'!$B$8*(L859+K859)))</f>
        <v>65609.224403262444</v>
      </c>
      <c r="N859" s="18">
        <f>IF($A859&gt;'1-Input'!$B$26,L859,L859-MIN(MAX(L859,0),'P-Parametri'!$B$8*(L859+K859)))</f>
        <v>3837.3565061723971</v>
      </c>
      <c r="O859" s="18">
        <f>IF($A859&gt;'1-Input'!$B$26,O858,O858-J859*(1-I859))</f>
        <v>1450.0568573973942</v>
      </c>
      <c r="P859" s="11">
        <f>IF($A859&gt;'1-Input'!$B$26,0,IF(U858&lt;=0,0,MAX(0,(U858-V858)/U858)))</f>
        <v>0.62429360162600445</v>
      </c>
      <c r="Q859" s="18">
        <f>IF($A859&gt;'1-Input'!$B$26,0,(MAX(0,P836-IF($A859&gt;='1-Input'!$C$12,'1-Input'!$B$12,0))-MIN(MAX(T858,0),MAX(0,P836-IF($A859&gt;='1-Input'!$C$12,'1-Input'!$B$12,0))))*(1/(1-'P-Parametri'!$B$6*P859))+MIN(MAX(0,U858-(MAX(0,P836-IF($A859&gt;='1-Input'!$C$12,'1-Input'!$B$12,0))-MIN(MAX(T858,0),MAX(0,P836-IF($A859&gt;='1-Input'!$C$12,'1-Input'!$B$12,0))))*(1/(1-'P-Parametri'!$B$6*P859))),MAX(0,3*P836-(T858-MIN(MAX(T858,0),MAX(0,P836-IF($A859&gt;='1-Input'!$C$12,'1-Input'!$B$12,0)))))*(1/(1-'P-Parametri'!$B$6*P859))))</f>
        <v>23312.908194710497</v>
      </c>
      <c r="R859" s="18">
        <f>IF($A859&gt;'1-Input'!$B$26,T858,(T858-MAX(0,P836-IF($A859&gt;='1-Input'!$C$12,'1-Input'!$B$12,0))+Q859*(1-'P-Parametri'!$B$6*P859))*(1+'1-Input'!$B$27))</f>
        <v>57751.895071455059</v>
      </c>
      <c r="S859" s="18">
        <f>IF($A859&gt;'1-Input'!$B$26,U858,(U858-Q859)*(1+$D$4))</f>
        <v>118458.12371977448</v>
      </c>
      <c r="T859" s="18">
        <f>IF($A859&gt;'1-Input'!$B$26,R859,R859-'P-Parametri'!$B$8*(S859+R859)+MIN(MAX(S859,0),'P-Parametri'!$B$8*(S859+R859)))</f>
        <v>57751.895071455059</v>
      </c>
      <c r="U859" s="18">
        <f>IF($A859&gt;'1-Input'!$B$26,S859,S859-MIN(MAX(S859,0),'P-Parametri'!$B$8*(S859+R859)))</f>
        <v>118105.70368219202</v>
      </c>
      <c r="V859" s="18">
        <f>IF($A859&gt;'1-Input'!$B$26,V858,V858-Q859*(1-P859))</f>
        <v>42793.725981632342</v>
      </c>
      <c r="W859" s="11">
        <f>IF($A859&gt;'1-Input'!$B$26,0,IF(AB858&lt;=0,0,MAX(0,(AB858-AC858)/AB858)))</f>
        <v>0.62454193964089755</v>
      </c>
      <c r="X859" s="18">
        <f>IF($A859&gt;'1-Input'!$B$26,0,(MAX(0,W836-IF($A859&gt;='1-Input'!$C$12,'1-Input'!$B$12,0))-MIN(MAX(AA858,0),MAX(0,W836-IF($A859&gt;='1-Input'!$C$12,'1-Input'!$B$12,0))))*(1/(1-'P-Parametri'!$B$6*W859))+MIN(MAX(0,AB858-(MAX(0,W836-IF($A859&gt;='1-Input'!$C$12,'1-Input'!$B$12,0))-MIN(MAX(AA858,0),MAX(0,W836-IF($A859&gt;='1-Input'!$C$12,'1-Input'!$B$12,0))))*(1/(1-'P-Parametri'!$B$6*W859))),MAX(0,3*W836-(AA858-MIN(MAX(AA858,0),MAX(0,W836-IF($A859&gt;='1-Input'!$C$12,'1-Input'!$B$12,0)))))*(1/(1-'P-Parametri'!$B$6*W859))))</f>
        <v>22774.973628436299</v>
      </c>
      <c r="Y859" s="18">
        <f>IF($A859&gt;'1-Input'!$B$26,AA858,(AA858-MAX(0,W836-IF($A859&gt;='1-Input'!$C$12,'1-Input'!$B$12,0))+X859*(1-'P-Parametri'!$B$6*W859))*(1+'1-Input'!$B$27))</f>
        <v>56414.948075653221</v>
      </c>
      <c r="Z859" s="18">
        <f>IF($A859&gt;'1-Input'!$B$26,AB858,(AB858-X859)*(1+$D$4))</f>
        <v>137948.40757997325</v>
      </c>
      <c r="AA859" s="18">
        <f>IF($A859&gt;'1-Input'!$B$26,Y859,Y859-'P-Parametri'!$B$8*(Z859+Y859)+MIN(MAX(Z859,0),'P-Parametri'!$B$8*(Z859+Y859)))</f>
        <v>56414.948075653221</v>
      </c>
      <c r="AB859" s="18">
        <f>IF($A859&gt;'1-Input'!$B$26,Z859,Z859-MIN(MAX(Z859,0),'P-Parametri'!$B$8*(Z859+Y859)))</f>
        <v>137559.68086866199</v>
      </c>
      <c r="AC859" s="18">
        <f>IF($A859&gt;'1-Input'!$B$26,AC858,AC858-X859*(1-W859))</f>
        <v>49801.770711157376</v>
      </c>
      <c r="AD859" s="11">
        <f>IF($A859&gt;'1-Input'!$B$26,0,IF(AI858&lt;=0,0,MAX(0,(AI858-AJ858)/AI858)))</f>
        <v>0.62455946729505096</v>
      </c>
      <c r="AE859" s="18">
        <f>IF($A859&gt;'1-Input'!$B$26,0,(MAX(0,AD836-IF($A859&gt;='1-Input'!$C$12,'1-Input'!$B$12,0))-MIN(MAX(AH858,0),MAX(0,AD836-IF($A859&gt;='1-Input'!$C$12,'1-Input'!$B$12,0))))*(1/(1-'P-Parametri'!$B$6*AD859))+MIN(MAX(0,AI858-(MAX(0,AD836-IF($A859&gt;='1-Input'!$C$12,'1-Input'!$B$12,0))-MIN(MAX(AH858,0),MAX(0,AD836-IF($A859&gt;='1-Input'!$C$12,'1-Input'!$B$12,0))))*(1/(1-'P-Parametri'!$B$6*AD859))),MAX(0,3*AD836-(AH858-MIN(MAX(AH858,0),MAX(0,AD836-IF($A859&gt;='1-Input'!$C$12,'1-Input'!$B$12,0)))))*(1/(1-'P-Parametri'!$B$6*AD859))))</f>
        <v>22734.079305841587</v>
      </c>
      <c r="AF859" s="18">
        <f>IF($A859&gt;'1-Input'!$B$26,AH858,(AH858-MAX(0,AD836-IF($A859&gt;='1-Input'!$C$12,'1-Input'!$B$12,0))+AE859*(1-'P-Parametri'!$B$6*AD859))*(1+'1-Input'!$B$27))</f>
        <v>56313.344052672539</v>
      </c>
      <c r="AG859" s="18">
        <f>IF($A859&gt;'1-Input'!$B$26,AI858,(AI858-AE859)*(1+$D$4))</f>
        <v>139429.6857297651</v>
      </c>
      <c r="AH859" s="18">
        <f>IF($A859&gt;'1-Input'!$B$26,AF859,AF859-'P-Parametri'!$B$8*(AG859+AF859)+MIN(MAX(AG859,0),'P-Parametri'!$B$8*(AG859+AF859)))</f>
        <v>56313.344052672539</v>
      </c>
      <c r="AI859" s="18">
        <f>IF($A859&gt;'1-Input'!$B$26,AG859,AG859-MIN(MAX(AG859,0),'P-Parametri'!$B$8*(AG859+AF859)))</f>
        <v>139038.19967020024</v>
      </c>
      <c r="AJ859" s="18">
        <f>IF($A859&gt;'1-Input'!$B$26,AJ858,AJ858-AE859*(1-AD859))</f>
        <v>50334.187966602527</v>
      </c>
      <c r="AK859" s="11">
        <f>IF($A859&gt;'1-Input'!$B$26,0,IF(AP858&lt;=0,0,MAX(0,(AP858-AQ858)/AP858)))</f>
        <v>0.62455968338953494</v>
      </c>
      <c r="AL859" s="18">
        <f>IF($A859&gt;'1-Input'!$B$26,0,(MAX(0,AK836-IF($A859&gt;='1-Input'!$C$12,'1-Input'!$B$12,0))-MIN(MAX(AO858,0),MAX(0,AK836-IF($A859&gt;='1-Input'!$C$12,'1-Input'!$B$12,0))))*(1/(1-'P-Parametri'!$B$6*AK859))+MIN(MAX(0,AP858-(MAX(0,AK836-IF($A859&gt;='1-Input'!$C$12,'1-Input'!$B$12,0))-MIN(MAX(AO858,0),MAX(0,AK836-IF($A859&gt;='1-Input'!$C$12,'1-Input'!$B$12,0))))*(1/(1-'P-Parametri'!$B$6*AK859))),MAX(0,3*AK836-(AO858-MIN(MAX(AO858,0),MAX(0,AK836-IF($A859&gt;='1-Input'!$C$12,'1-Input'!$B$12,0)))))*(1/(1-'P-Parametri'!$B$6*AK859))))</f>
        <v>22733.572592059045</v>
      </c>
      <c r="AM859" s="18">
        <f>IF($A859&gt;'1-Input'!$B$26,AO858,(AO858-MAX(0,AK836-IF($A859&gt;='1-Input'!$C$12,'1-Input'!$B$12,0))+AL859*(1-'P-Parametri'!$B$6*AK859))*(1+'1-Input'!$B$27))</f>
        <v>56312.085122445489</v>
      </c>
      <c r="AN859" s="18">
        <f>IF($A859&gt;'1-Input'!$B$26,AP858,(AP858-AL859)*(1+$D$4))</f>
        <v>139448.03965044077</v>
      </c>
      <c r="AO859" s="18">
        <f>IF($A859&gt;'1-Input'!$B$26,AM859,AM859-'P-Parametri'!$B$8*(AN859+AM859)+MIN(MAX(AN859,0),'P-Parametri'!$B$8*(AN859+AM859)))</f>
        <v>56312.085122445489</v>
      </c>
      <c r="AP859" s="18">
        <f>IF($A859&gt;'1-Input'!$B$26,AN859,AN859-MIN(MAX(AN859,0),'P-Parametri'!$B$8*(AN859+AM859)))</f>
        <v>139056.51940089499</v>
      </c>
      <c r="AQ859" s="18">
        <f>IF($A859&gt;'1-Input'!$B$26,AQ858,AQ858-AL859*(1-AK859))</f>
        <v>50340.784766413621</v>
      </c>
    </row>
    <row r="860" spans="1:43">
      <c r="A860" s="10">
        <f>22</f>
        <v>22</v>
      </c>
      <c r="B860" s="11">
        <f>IF($A860&gt;'1-Input'!$B$26,0,IF(G859&lt;=0,0,MAX(0,(G859-H859)/G859)))</f>
        <v>0.63894855559713948</v>
      </c>
      <c r="C860" s="18">
        <f>IF($A860&gt;'1-Input'!$B$26,0,(MAX(0,B836-IF($A860&gt;='1-Input'!$C$12,'1-Input'!$B$12,0))-MIN(MAX(F859,0),MAX(0,B836-IF($A860&gt;='1-Input'!$C$12,'1-Input'!$B$12,0))))*(1/(1-'P-Parametri'!$B$6*B860))+MIN(MAX(0,G859-(MAX(0,B836-IF($A860&gt;='1-Input'!$C$12,'1-Input'!$B$12,0))-MIN(MAX(F859,0),MAX(0,B836-IF($A860&gt;='1-Input'!$C$12,'1-Input'!$B$12,0))))*(1/(1-'P-Parametri'!$B$6*B860))),MAX(0,3*B836-(F859-MIN(MAX(F859,0),MAX(0,B836-IF($A860&gt;='1-Input'!$C$12,'1-Input'!$B$12,0)))))*(1/(1-'P-Parametri'!$B$6*B860))))</f>
        <v>20220.349044012652</v>
      </c>
      <c r="D860" s="18">
        <f>IF($A860&gt;'1-Input'!$B$26,F859,(F859-MAX(0,B836-IF($A860&gt;='1-Input'!$C$12,'1-Input'!$B$12,0))+C860*(1-'P-Parametri'!$B$6*B860))*(1+'1-Input'!$B$27))</f>
        <v>49863.010546479447</v>
      </c>
      <c r="E860" s="18">
        <f>IF($A860&gt;'1-Input'!$B$26,G859,(G859-C860)*(1+$D$4))</f>
        <v>221206.50813995491</v>
      </c>
      <c r="F860" s="18">
        <f>IF($A860&gt;'1-Input'!$B$26,D860,D860-'P-Parametri'!$B$8*(E860+D860)+MIN(MAX(E860,0),'P-Parametri'!$B$8*(E860+D860)))</f>
        <v>49863.010546479447</v>
      </c>
      <c r="G860" s="18">
        <f>IF($A860&gt;'1-Input'!$B$26,E860,E860-MIN(MAX(E860,0),'P-Parametri'!$B$8*(E860+D860)))</f>
        <v>220664.36910258204</v>
      </c>
      <c r="H860" s="18">
        <f>IF($A860&gt;'1-Input'!$B$26,H859,H859-C860*(1-B860))</f>
        <v>76795.124303119068</v>
      </c>
      <c r="I860" s="11">
        <f>IF($A860&gt;'1-Input'!$B$26,0,IF(N859&lt;=0,0,MAX(0,(N859-O859)/N859)))</f>
        <v>0.62212089101834189</v>
      </c>
      <c r="J860" s="18">
        <f>IF($A860&gt;'1-Input'!$B$26,0,(MAX(0,I836-IF($A860&gt;='1-Input'!$C$12,'1-Input'!$B$12,0))-MIN(MAX(M859,0),MAX(0,I836-IF($A860&gt;='1-Input'!$C$12,'1-Input'!$B$12,0))))*(1/(1-'P-Parametri'!$B$6*I860))+MIN(MAX(0,N859-(MAX(0,I836-IF($A860&gt;='1-Input'!$C$12,'1-Input'!$B$12,0))-MIN(MAX(M859,0),MAX(0,I836-IF($A860&gt;='1-Input'!$C$12,'1-Input'!$B$12,0))))*(1/(1-'P-Parametri'!$B$6*I860))),MAX(0,3*I836-(M859-MIN(MAX(M859,0),MAX(0,I836-IF($A860&gt;='1-Input'!$C$12,'1-Input'!$B$12,0)))))*(1/(1-'P-Parametri'!$B$6*I860))))</f>
        <v>3837.3565061723971</v>
      </c>
      <c r="K860" s="18">
        <f>IF($A860&gt;'1-Input'!$B$26,M859,(M859-MAX(0,I836-IF($A860&gt;='1-Input'!$C$12,'1-Input'!$B$12,0))+J860*(1-'P-Parametri'!$B$6*I860))*(1+'1-Input'!$B$27))</f>
        <v>46708.368354196478</v>
      </c>
      <c r="L860" s="18">
        <f>IF($A860&gt;'1-Input'!$B$26,N859,(N859-J860)*(1+$D$4))</f>
        <v>0</v>
      </c>
      <c r="M860" s="18">
        <f>IF($A860&gt;'1-Input'!$B$26,K860,K860-'P-Parametri'!$B$8*(L860+K860)+MIN(MAX(L860,0),'P-Parametri'!$B$8*(L860+K860)))</f>
        <v>46614.951617488085</v>
      </c>
      <c r="N860" s="18">
        <f>IF($A860&gt;'1-Input'!$B$26,L860,L860-MIN(MAX(L860,0),'P-Parametri'!$B$8*(L860+K860)))</f>
        <v>0</v>
      </c>
      <c r="O860" s="18">
        <f>IF($A860&gt;'1-Input'!$B$26,O859,O859-J860*(1-I860))</f>
        <v>2.2737367544323206E-13</v>
      </c>
      <c r="P860" s="11">
        <f>IF($A860&gt;'1-Input'!$B$26,0,IF(U859&lt;=0,0,MAX(0,(U859-V859)/U859)))</f>
        <v>0.63766588193924145</v>
      </c>
      <c r="Q860" s="18">
        <f>IF($A860&gt;'1-Input'!$B$26,0,(MAX(0,P836-IF($A860&gt;='1-Input'!$C$12,'1-Input'!$B$12,0))-MIN(MAX(T859,0),MAX(0,P836-IF($A860&gt;='1-Input'!$C$12,'1-Input'!$B$12,0))))*(1/(1-'P-Parametri'!$B$6*P860))+MIN(MAX(0,U859-(MAX(0,P836-IF($A860&gt;='1-Input'!$C$12,'1-Input'!$B$12,0))-MIN(MAX(T859,0),MAX(0,P836-IF($A860&gt;='1-Input'!$C$12,'1-Input'!$B$12,0))))*(1/(1-'P-Parametri'!$B$6*P860))),MAX(0,3*P836-(T859-MIN(MAX(T859,0),MAX(0,P836-IF($A860&gt;='1-Input'!$C$12,'1-Input'!$B$12,0)))))*(1/(1-'P-Parametri'!$B$6*P860))))</f>
        <v>23410.071327866503</v>
      </c>
      <c r="R860" s="18">
        <f>IF($A860&gt;'1-Input'!$B$26,T859,(T859-MAX(0,P836-IF($A860&gt;='1-Input'!$C$12,'1-Input'!$B$12,0))+Q860*(1-'P-Parametri'!$B$6*P860))*(1+'1-Input'!$B$27))</f>
        <v>57751.895071455059</v>
      </c>
      <c r="S860" s="18">
        <f>IF($A860&gt;'1-Input'!$B$26,U859,(U859-Q860)*(1+$D$4))</f>
        <v>98483.45764849853</v>
      </c>
      <c r="T860" s="18">
        <f>IF($A860&gt;'1-Input'!$B$26,R860,R860-'P-Parametri'!$B$8*(S860+R860)+MIN(MAX(S860,0),'P-Parametri'!$B$8*(S860+R860)))</f>
        <v>57751.895071455059</v>
      </c>
      <c r="U860" s="18">
        <f>IF($A860&gt;'1-Input'!$B$26,S860,S860-MIN(MAX(S860,0),'P-Parametri'!$B$8*(S860+R860)))</f>
        <v>98170.986943058626</v>
      </c>
      <c r="V860" s="18">
        <f>IF($A860&gt;'1-Input'!$B$26,V859,V859-Q860*(1-P860))</f>
        <v>34311.458433310385</v>
      </c>
      <c r="W860" s="11">
        <f>IF($A860&gt;'1-Input'!$B$26,0,IF(AB859&lt;=0,0,MAX(0,(AB859-AC859)/AB859)))</f>
        <v>0.63796244367049182</v>
      </c>
      <c r="X860" s="18">
        <f>IF($A860&gt;'1-Input'!$B$26,0,(MAX(0,W836-IF($A860&gt;='1-Input'!$C$12,'1-Input'!$B$12,0))-MIN(MAX(AA859,0),MAX(0,W836-IF($A860&gt;='1-Input'!$C$12,'1-Input'!$B$12,0))))*(1/(1-'P-Parametri'!$B$6*W860))+MIN(MAX(0,AB859-(MAX(0,W836-IF($A860&gt;='1-Input'!$C$12,'1-Input'!$B$12,0))-MIN(MAX(AA859,0),MAX(0,W836-IF($A860&gt;='1-Input'!$C$12,'1-Input'!$B$12,0))))*(1/(1-'P-Parametri'!$B$6*W860))),MAX(0,3*W836-(AA859-MIN(MAX(AA859,0),MAX(0,W836-IF($A860&gt;='1-Input'!$C$12,'1-Input'!$B$12,0)))))*(1/(1-'P-Parametri'!$B$6*W860))))</f>
        <v>22870.245882179563</v>
      </c>
      <c r="Y860" s="18">
        <f>IF($A860&gt;'1-Input'!$B$26,AA859,(AA859-MAX(0,W836-IF($A860&gt;='1-Input'!$C$12,'1-Input'!$B$12,0))+X860*(1-'P-Parametri'!$B$6*W860))*(1+'1-Input'!$B$27))</f>
        <v>56414.948075653228</v>
      </c>
      <c r="Z860" s="18">
        <f>IF($A860&gt;'1-Input'!$B$26,AB859,(AB859-X860)*(1+$D$4))</f>
        <v>119277.01238594174</v>
      </c>
      <c r="AA860" s="18">
        <f>IF($A860&gt;'1-Input'!$B$26,Y860,Y860-'P-Parametri'!$B$8*(Z860+Y860)+MIN(MAX(Z860,0),'P-Parametri'!$B$8*(Z860+Y860)))</f>
        <v>56414.948075653228</v>
      </c>
      <c r="AB860" s="18">
        <f>IF($A860&gt;'1-Input'!$B$26,Z860,Z860-MIN(MAX(Z860,0),'P-Parametri'!$B$8*(Z860+Y860)))</f>
        <v>118925.62846501854</v>
      </c>
      <c r="AC860" s="18">
        <f>IF($A860&gt;'1-Input'!$B$26,AC859,AC859-X860*(1-W860))</f>
        <v>41521.88277931809</v>
      </c>
      <c r="AD860" s="11">
        <f>IF($A860&gt;'1-Input'!$B$26,0,IF(AI859&lt;=0,0,MAX(0,(AI859-AJ859)/AI859)))</f>
        <v>0.63798302850586641</v>
      </c>
      <c r="AE860" s="18">
        <f>IF($A860&gt;'1-Input'!$B$26,0,(MAX(0,AD836-IF($A860&gt;='1-Input'!$C$12,'1-Input'!$B$12,0))-MIN(MAX(AH859,0),MAX(0,AD836-IF($A860&gt;='1-Input'!$C$12,'1-Input'!$B$12,0))))*(1/(1-'P-Parametri'!$B$6*AD860))+MIN(MAX(0,AI859-(MAX(0,AD836-IF($A860&gt;='1-Input'!$C$12,'1-Input'!$B$12,0))-MIN(MAX(AH859,0),MAX(0,AD836-IF($A860&gt;='1-Input'!$C$12,'1-Input'!$B$12,0))))*(1/(1-'P-Parametri'!$B$6*AD860))),MAX(0,3*AD836-(AH859-MIN(MAX(AH859,0),MAX(0,AD836-IF($A860&gt;='1-Input'!$C$12,'1-Input'!$B$12,0)))))*(1/(1-'P-Parametri'!$B$6*AD860))))</f>
        <v>22829.202764809161</v>
      </c>
      <c r="AF860" s="18">
        <f>IF($A860&gt;'1-Input'!$B$26,AH859,(AH859-MAX(0,AD836-IF($A860&gt;='1-Input'!$C$12,'1-Input'!$B$12,0))+AE860*(1-'P-Parametri'!$B$6*AD860))*(1+'1-Input'!$B$27))</f>
        <v>56313.344052672539</v>
      </c>
      <c r="AG860" s="18">
        <f>IF($A860&gt;'1-Input'!$B$26,AI859,(AI859-AE860)*(1+$D$4))</f>
        <v>120857.35678160672</v>
      </c>
      <c r="AH860" s="18">
        <f>IF($A860&gt;'1-Input'!$B$26,AF860,AF860-'P-Parametri'!$B$8*(AG860+AF860)+MIN(MAX(AG860,0),'P-Parametri'!$B$8*(AG860+AF860)))</f>
        <v>56313.344052672539</v>
      </c>
      <c r="AI860" s="18">
        <f>IF($A860&gt;'1-Input'!$B$26,AG860,AG860-MIN(MAX(AG860,0),'P-Parametri'!$B$8*(AG860+AF860)))</f>
        <v>120503.01537993817</v>
      </c>
      <c r="AJ860" s="18">
        <f>IF($A860&gt;'1-Input'!$B$26,AJ859,AJ859-AE860*(1-AD860))</f>
        <v>42069.62912006081</v>
      </c>
      <c r="AK860" s="11">
        <f>IF($A860&gt;'1-Input'!$B$26,0,IF(AP859&lt;=0,0,MAX(0,(AP859-AQ859)/AP859)))</f>
        <v>0.63798328202590104</v>
      </c>
      <c r="AL860" s="18">
        <f>IF($A860&gt;'1-Input'!$B$26,0,(MAX(0,AK836-IF($A860&gt;='1-Input'!$C$12,'1-Input'!$B$12,0))-MIN(MAX(AO859,0),MAX(0,AK836-IF($A860&gt;='1-Input'!$C$12,'1-Input'!$B$12,0))))*(1/(1-'P-Parametri'!$B$6*AK860))+MIN(MAX(0,AP859-(MAX(0,AK836-IF($A860&gt;='1-Input'!$C$12,'1-Input'!$B$12,0))-MIN(MAX(AO859,0),MAX(0,AK836-IF($A860&gt;='1-Input'!$C$12,'1-Input'!$B$12,0))))*(1/(1-'P-Parametri'!$B$6*AK860))),MAX(0,3*AK836-(AO859-MIN(MAX(AO859,0),MAX(0,AK836-IF($A860&gt;='1-Input'!$C$12,'1-Input'!$B$12,0)))))*(1/(1-'P-Parametri'!$B$6*AK860))))</f>
        <v>22828.69420356521</v>
      </c>
      <c r="AM860" s="18">
        <f>IF($A860&gt;'1-Input'!$B$26,AO859,(AO859-MAX(0,AK836-IF($A860&gt;='1-Input'!$C$12,'1-Input'!$B$12,0))+AL860*(1-'P-Parametri'!$B$6*AK860))*(1+'1-Input'!$B$27))</f>
        <v>56312.085122445489</v>
      </c>
      <c r="AN860" s="18">
        <f>IF($A860&gt;'1-Input'!$B$26,AP859,(AP859-AL860)*(1+$D$4))</f>
        <v>120876.93820522296</v>
      </c>
      <c r="AO860" s="18">
        <f>IF($A860&gt;'1-Input'!$B$26,AM860,AM860-'P-Parametri'!$B$8*(AN860+AM860)+MIN(MAX(AN860,0),'P-Parametri'!$B$8*(AN860+AM860)))</f>
        <v>56312.085122445489</v>
      </c>
      <c r="AP860" s="18">
        <f>IF($A860&gt;'1-Input'!$B$26,AN860,AN860-MIN(MAX(AN860,0),'P-Parametri'!$B$8*(AN860+AM860)))</f>
        <v>120522.56015856762</v>
      </c>
      <c r="AQ860" s="18">
        <f>IF($A860&gt;'1-Input'!$B$26,AQ859,AQ859-AL860*(1-AK860))</f>
        <v>42076.415815204607</v>
      </c>
    </row>
    <row r="861" spans="1:43">
      <c r="A861" s="10">
        <f>23</f>
        <v>23</v>
      </c>
      <c r="B861" s="11">
        <f>IF($A861&gt;'1-Input'!$B$26,0,IF(G860&lt;=0,0,MAX(0,(G860-H860)/G860)))</f>
        <v>0.65198221799270772</v>
      </c>
      <c r="C861" s="18">
        <f>IF($A861&gt;'1-Input'!$B$26,0,(MAX(0,B836-IF($A861&gt;='1-Input'!$C$12,'1-Input'!$B$12,0))-MIN(MAX(F860,0),MAX(0,B836-IF($A861&gt;='1-Input'!$C$12,'1-Input'!$B$12,0))))*(1/(1-'P-Parametri'!$B$6*B861))+MIN(MAX(0,G860-(MAX(0,B836-IF($A861&gt;='1-Input'!$C$12,'1-Input'!$B$12,0))-MIN(MAX(F860,0),MAX(0,B836-IF($A861&gt;='1-Input'!$C$12,'1-Input'!$B$12,0))))*(1/(1-'P-Parametri'!$B$6*B861))),MAX(0,3*B836-(F860-MIN(MAX(F860,0),MAX(0,B836-IF($A861&gt;='1-Input'!$C$12,'1-Input'!$B$12,0)))))*(1/(1-'P-Parametri'!$B$6*B861))))</f>
        <v>6934.7589952806302</v>
      </c>
      <c r="D861" s="18">
        <f>IF($A861&gt;'1-Input'!$B$26,F860,(F860-MAX(0,B836-IF($A861&gt;='1-Input'!$C$12,'1-Input'!$B$12,0))+C861*(1-'P-Parametri'!$B$6*B861))*(1+'1-Input'!$B$27))</f>
        <v>49863.010546479447</v>
      </c>
      <c r="E861" s="18">
        <f>IF($A861&gt;'1-Input'!$B$26,G860,(G860-C861)*(1+$D$4))</f>
        <v>222278.79451159347</v>
      </c>
      <c r="F861" s="18">
        <f>IF($A861&gt;'1-Input'!$B$26,D861,D861-'P-Parametri'!$B$8*(E861+D861)+MIN(MAX(E861,0),'P-Parametri'!$B$8*(E861+D861)))</f>
        <v>49863.010546479447</v>
      </c>
      <c r="G861" s="18">
        <f>IF($A861&gt;'1-Input'!$B$26,E861,E861-MIN(MAX(E861,0),'P-Parametri'!$B$8*(E861+D861)))</f>
        <v>221734.51090147733</v>
      </c>
      <c r="H861" s="18">
        <f>IF($A861&gt;'1-Input'!$B$26,H860,H860-C861*(1-B861))</f>
        <v>74381.704858826386</v>
      </c>
      <c r="I861" s="11">
        <f>IF($A861&gt;'1-Input'!$B$26,0,IF(N860&lt;=0,0,MAX(0,(N860-O860)/N860)))</f>
        <v>0</v>
      </c>
      <c r="J861" s="18">
        <f>IF($A861&gt;'1-Input'!$B$26,0,(MAX(0,I836-IF($A861&gt;='1-Input'!$C$12,'1-Input'!$B$12,0))-MIN(MAX(M860,0),MAX(0,I836-IF($A861&gt;='1-Input'!$C$12,'1-Input'!$B$12,0))))*(1/(1-'P-Parametri'!$B$6*I861))+MIN(MAX(0,N860-(MAX(0,I836-IF($A861&gt;='1-Input'!$C$12,'1-Input'!$B$12,0))-MIN(MAX(M860,0),MAX(0,I836-IF($A861&gt;='1-Input'!$C$12,'1-Input'!$B$12,0))))*(1/(1-'P-Parametri'!$B$6*I861))),MAX(0,3*I836-(M860-MIN(MAX(M860,0),MAX(0,I836-IF($A861&gt;='1-Input'!$C$12,'1-Input'!$B$12,0)))))*(1/(1-'P-Parametri'!$B$6*I861))))</f>
        <v>0</v>
      </c>
      <c r="K861" s="18">
        <f>IF($A861&gt;'1-Input'!$B$26,M860,(M860-MAX(0,I836-IF($A861&gt;='1-Input'!$C$12,'1-Input'!$B$12,0))+J861*(1-'P-Parametri'!$B$6*I861))*(1+'1-Input'!$B$27))</f>
        <v>35639.429123910981</v>
      </c>
      <c r="L861" s="18">
        <f>IF($A861&gt;'1-Input'!$B$26,N860,(N860-J861)*(1+$D$4))</f>
        <v>0</v>
      </c>
      <c r="M861" s="18">
        <f>IF($A861&gt;'1-Input'!$B$26,K861,K861-'P-Parametri'!$B$8*(L861+K861)+MIN(MAX(L861,0),'P-Parametri'!$B$8*(L861+K861)))</f>
        <v>35568.150265663156</v>
      </c>
      <c r="N861" s="18">
        <f>IF($A861&gt;'1-Input'!$B$26,L861,L861-MIN(MAX(L861,0),'P-Parametri'!$B$8*(L861+K861)))</f>
        <v>0</v>
      </c>
      <c r="O861" s="18">
        <f>IF($A861&gt;'1-Input'!$B$26,O860,O860-J861*(1-I861))</f>
        <v>2.2737367544323206E-13</v>
      </c>
      <c r="P861" s="11">
        <f>IF($A861&gt;'1-Input'!$B$26,0,IF(U860&lt;=0,0,MAX(0,(U860-V860)/U860)))</f>
        <v>0.65049288489671797</v>
      </c>
      <c r="Q861" s="18">
        <f>IF($A861&gt;'1-Input'!$B$26,0,(MAX(0,P836-IF($A861&gt;='1-Input'!$C$12,'1-Input'!$B$12,0))-MIN(MAX(T860,0),MAX(0,P836-IF($A861&gt;='1-Input'!$C$12,'1-Input'!$B$12,0))))*(1/(1-'P-Parametri'!$B$6*P861))+MIN(MAX(0,U860-(MAX(0,P836-IF($A861&gt;='1-Input'!$C$12,'1-Input'!$B$12,0))-MIN(MAX(T860,0),MAX(0,P836-IF($A861&gt;='1-Input'!$C$12,'1-Input'!$B$12,0))))*(1/(1-'P-Parametri'!$B$6*P861))),MAX(0,3*P836-(T860-MIN(MAX(T860,0),MAX(0,P836-IF($A861&gt;='1-Input'!$C$12,'1-Input'!$B$12,0)))))*(1/(1-'P-Parametri'!$B$6*P861))))</f>
        <v>10142.168549730972</v>
      </c>
      <c r="R861" s="18">
        <f>IF($A861&gt;'1-Input'!$B$26,T860,(T860-MAX(0,P836-IF($A861&gt;='1-Input'!$C$12,'1-Input'!$B$12,0))+Q861*(1-'P-Parametri'!$B$6*P861))*(1+'1-Input'!$B$27))</f>
        <v>57751.895071455059</v>
      </c>
      <c r="S861" s="18">
        <f>IF($A861&gt;'1-Input'!$B$26,U860,(U860-Q861)*(1+$D$4))</f>
        <v>91549.971129060767</v>
      </c>
      <c r="T861" s="18">
        <f>IF($A861&gt;'1-Input'!$B$26,R861,R861-'P-Parametri'!$B$8*(S861+R861)+MIN(MAX(S861,0),'P-Parametri'!$B$8*(S861+R861)))</f>
        <v>57751.895071455059</v>
      </c>
      <c r="U861" s="18">
        <f>IF($A861&gt;'1-Input'!$B$26,S861,S861-MIN(MAX(S861,0),'P-Parametri'!$B$8*(S861+R861)))</f>
        <v>91251.367396659742</v>
      </c>
      <c r="V861" s="18">
        <f>IF($A861&gt;'1-Input'!$B$26,V860,V860-Q861*(1-P861))</f>
        <v>30766.698362602674</v>
      </c>
      <c r="W861" s="11">
        <f>IF($A861&gt;'1-Input'!$B$26,0,IF(AB860&lt;=0,0,MAX(0,(AB860-AC860)/AB860)))</f>
        <v>0.65085841197356731</v>
      </c>
      <c r="X861" s="18">
        <f>IF($A861&gt;'1-Input'!$B$26,0,(MAX(0,W836-IF($A861&gt;='1-Input'!$C$12,'1-Input'!$B$12,0))-MIN(MAX(AA860,0),MAX(0,W836-IF($A861&gt;='1-Input'!$C$12,'1-Input'!$B$12,0))))*(1/(1-'P-Parametri'!$B$6*W861))+MIN(MAX(0,AB860-(MAX(0,W836-IF($A861&gt;='1-Input'!$C$12,'1-Input'!$B$12,0))-MIN(MAX(AA860,0),MAX(0,W836-IF($A861&gt;='1-Input'!$C$12,'1-Input'!$B$12,0))))*(1/(1-'P-Parametri'!$B$6*W861))),MAX(0,3*W836-(AA860-MIN(MAX(AA860,0),MAX(0,W836-IF($A861&gt;='1-Input'!$C$12,'1-Input'!$B$12,0)))))*(1/(1-'P-Parametri'!$B$6*W861))))</f>
        <v>9599.1518918053971</v>
      </c>
      <c r="Y861" s="18">
        <f>IF($A861&gt;'1-Input'!$B$26,AA860,(AA860-MAX(0,W836-IF($A861&gt;='1-Input'!$C$12,'1-Input'!$B$12,0))+X861*(1-'P-Parametri'!$B$6*W861))*(1+'1-Input'!$B$27))</f>
        <v>56414.948075653221</v>
      </c>
      <c r="Z861" s="18">
        <f>IF($A861&gt;'1-Input'!$B$26,AB860,(AB860-X861)*(1+$D$4))</f>
        <v>113699.53563614168</v>
      </c>
      <c r="AA861" s="18">
        <f>IF($A861&gt;'1-Input'!$B$26,Y861,Y861-'P-Parametri'!$B$8*(Z861+Y861)+MIN(MAX(Z861,0),'P-Parametri'!$B$8*(Z861+Y861)))</f>
        <v>56414.948075653221</v>
      </c>
      <c r="AB861" s="18">
        <f>IF($A861&gt;'1-Input'!$B$26,Z861,Z861-MIN(MAX(Z861,0),'P-Parametri'!$B$8*(Z861+Y861)))</f>
        <v>113359.30666871808</v>
      </c>
      <c r="AC861" s="18">
        <f>IF($A861&gt;'1-Input'!$B$26,AC860,AC860-X861*(1-W861))</f>
        <v>38170.419644106216</v>
      </c>
      <c r="AD861" s="11">
        <f>IF($A861&gt;'1-Input'!$B$26,0,IF(AI860&lt;=0,0,MAX(0,(AI860-AJ860)/AI860)))</f>
        <v>0.6508831834006974</v>
      </c>
      <c r="AE861" s="18">
        <f>IF($A861&gt;'1-Input'!$B$26,0,(MAX(0,AD836-IF($A861&gt;='1-Input'!$C$12,'1-Input'!$B$12,0))-MIN(MAX(AH860,0),MAX(0,AD836-IF($A861&gt;='1-Input'!$C$12,'1-Input'!$B$12,0))))*(1/(1-'P-Parametri'!$B$6*AD861))+MIN(MAX(0,AI860-(MAX(0,AD836-IF($A861&gt;='1-Input'!$C$12,'1-Input'!$B$12,0))-MIN(MAX(AH860,0),MAX(0,AD836-IF($A861&gt;='1-Input'!$C$12,'1-Input'!$B$12,0))))*(1/(1-'P-Parametri'!$B$6*AD861))),MAX(0,3*AD836-(AH860-MIN(MAX(AH860,0),MAX(0,AD836-IF($A861&gt;='1-Input'!$C$12,'1-Input'!$B$12,0)))))*(1/(1-'P-Parametri'!$B$6*AD861))))</f>
        <v>9557.8701536085482</v>
      </c>
      <c r="AF861" s="18">
        <f>IF($A861&gt;'1-Input'!$B$26,AH860,(AH860-MAX(0,AD836-IF($A861&gt;='1-Input'!$C$12,'1-Input'!$B$12,0))+AE861*(1-'P-Parametri'!$B$6*AD861))*(1+'1-Input'!$B$27))</f>
        <v>56313.344052672539</v>
      </c>
      <c r="AG861" s="18">
        <f>IF($A861&gt;'1-Input'!$B$26,AI860,(AI860-AE861)*(1+$D$4))</f>
        <v>115382.95103538281</v>
      </c>
      <c r="AH861" s="18">
        <f>IF($A861&gt;'1-Input'!$B$26,AF861,AF861-'P-Parametri'!$B$8*(AG861+AF861)+MIN(MAX(AG861,0),'P-Parametri'!$B$8*(AG861+AF861)))</f>
        <v>56313.344052672539</v>
      </c>
      <c r="AI861" s="18">
        <f>IF($A861&gt;'1-Input'!$B$26,AG861,AG861-MIN(MAX(AG861,0),'P-Parametri'!$B$8*(AG861+AF861)))</f>
        <v>115039.5584452067</v>
      </c>
      <c r="AJ861" s="18">
        <f>IF($A861&gt;'1-Input'!$B$26,AJ860,AJ860-AE861*(1-AD861))</f>
        <v>38732.815918563509</v>
      </c>
      <c r="AK861" s="11">
        <f>IF($A861&gt;'1-Input'!$B$26,0,IF(AP860&lt;=0,0,MAX(0,(AP860-AQ860)/AP860)))</f>
        <v>0.65088348803870377</v>
      </c>
      <c r="AL861" s="18">
        <f>IF($A861&gt;'1-Input'!$B$26,0,(MAX(0,AK836-IF($A861&gt;='1-Input'!$C$12,'1-Input'!$B$12,0))-MIN(MAX(AO860,0),MAX(0,AK836-IF($A861&gt;='1-Input'!$C$12,'1-Input'!$B$12,0))))*(1/(1-'P-Parametri'!$B$6*AK861))+MIN(MAX(0,AP860-(MAX(0,AK836-IF($A861&gt;='1-Input'!$C$12,'1-Input'!$B$12,0))-MIN(MAX(AO860,0),MAX(0,AK836-IF($A861&gt;='1-Input'!$C$12,'1-Input'!$B$12,0))))*(1/(1-'P-Parametri'!$B$6*AK861))),MAX(0,3*AK836-(AO860-MIN(MAX(AO860,0),MAX(0,AK836-IF($A861&gt;='1-Input'!$C$12,'1-Input'!$B$12,0)))))*(1/(1-'P-Parametri'!$B$6*AK861))))</f>
        <v>9557.3586390888104</v>
      </c>
      <c r="AM861" s="18">
        <f>IF($A861&gt;'1-Input'!$B$26,AO860,(AO860-MAX(0,AK836-IF($A861&gt;='1-Input'!$C$12,'1-Input'!$B$12,0))+AL861*(1-'P-Parametri'!$B$6*AK861))*(1+'1-Input'!$B$27))</f>
        <v>56312.085122445489</v>
      </c>
      <c r="AN861" s="18">
        <f>IF($A861&gt;'1-Input'!$B$26,AP860,(AP860-AL861)*(1+$D$4))</f>
        <v>115403.80958025796</v>
      </c>
      <c r="AO861" s="18">
        <f>IF($A861&gt;'1-Input'!$B$26,AM861,AM861-'P-Parametri'!$B$8*(AN861+AM861)+MIN(MAX(AN861,0),'P-Parametri'!$B$8*(AN861+AM861)))</f>
        <v>56312.085122445489</v>
      </c>
      <c r="AP861" s="18">
        <f>IF($A861&gt;'1-Input'!$B$26,AN861,AN861-MIN(MAX(AN861,0),'P-Parametri'!$B$8*(AN861+AM861)))</f>
        <v>115060.37779085255</v>
      </c>
      <c r="AQ861" s="18">
        <f>IF($A861&gt;'1-Input'!$B$26,AQ860,AQ860-AL861*(1-AK861))</f>
        <v>38739.784103562764</v>
      </c>
    </row>
    <row r="862" spans="1:43">
      <c r="A862" s="10">
        <f>24</f>
        <v>24</v>
      </c>
      <c r="B862" s="11">
        <f>IF($A862&gt;'1-Input'!$B$26,0,IF(G861&lt;=0,0,MAX(0,(G861-H861)/G861)))</f>
        <v>0.66454610716021467</v>
      </c>
      <c r="C862" s="18">
        <f>IF($A862&gt;'1-Input'!$B$26,0,(MAX(0,B836-IF($A862&gt;='1-Input'!$C$12,'1-Input'!$B$12,0))-MIN(MAX(F861,0),MAX(0,B836-IF($A862&gt;='1-Input'!$C$12,'1-Input'!$B$12,0))))*(1/(1-'P-Parametri'!$B$6*B862))+MIN(MAX(0,G861-(MAX(0,B836-IF($A862&gt;='1-Input'!$C$12,'1-Input'!$B$12,0))-MIN(MAX(F861,0),MAX(0,B836-IF($A862&gt;='1-Input'!$C$12,'1-Input'!$B$12,0))))*(1/(1-'P-Parametri'!$B$6*B862))),MAX(0,3*B836-(F861-MIN(MAX(F861,0),MAX(0,B836-IF($A862&gt;='1-Input'!$C$12,'1-Input'!$B$12,0)))))*(1/(1-'P-Parametri'!$B$6*B862))))</f>
        <v>6962.1437487033236</v>
      </c>
      <c r="D862" s="18">
        <f>IF($A862&gt;'1-Input'!$B$26,F861,(F861-MAX(0,B836-IF($A862&gt;='1-Input'!$C$12,'1-Input'!$B$12,0))+C862*(1-'P-Parametri'!$B$6*B862))*(1+'1-Input'!$B$27))</f>
        <v>49863.010546479447</v>
      </c>
      <c r="E862" s="18">
        <f>IF($A862&gt;'1-Input'!$B$26,G861,(G861-C862)*(1+$D$4))</f>
        <v>223363.26183888497</v>
      </c>
      <c r="F862" s="18">
        <f>IF($A862&gt;'1-Input'!$B$26,D862,D862-'P-Parametri'!$B$8*(E862+D862)+MIN(MAX(E862,0),'P-Parametri'!$B$8*(E862+D862)))</f>
        <v>49863.010546479447</v>
      </c>
      <c r="G862" s="18">
        <f>IF($A862&gt;'1-Input'!$B$26,E862,E862-MIN(MAX(E862,0),'P-Parametri'!$B$8*(E862+D862)))</f>
        <v>222816.80929411424</v>
      </c>
      <c r="H862" s="18">
        <f>IF($A862&gt;'1-Input'!$B$26,H861,H861-C862*(1-B862))</f>
        <v>72046.226635813684</v>
      </c>
      <c r="I862" s="11">
        <f>IF($A862&gt;'1-Input'!$B$26,0,IF(N861&lt;=0,0,MAX(0,(N861-O861)/N861)))</f>
        <v>0</v>
      </c>
      <c r="J862" s="18">
        <f>IF($A862&gt;'1-Input'!$B$26,0,(MAX(0,I836-IF($A862&gt;='1-Input'!$C$12,'1-Input'!$B$12,0))-MIN(MAX(M861,0),MAX(0,I836-IF($A862&gt;='1-Input'!$C$12,'1-Input'!$B$12,0))))*(1/(1-'P-Parametri'!$B$6*I862))+MIN(MAX(0,N861-(MAX(0,I836-IF($A862&gt;='1-Input'!$C$12,'1-Input'!$B$12,0))-MIN(MAX(M861,0),MAX(0,I836-IF($A862&gt;='1-Input'!$C$12,'1-Input'!$B$12,0))))*(1/(1-'P-Parametri'!$B$6*I862))),MAX(0,3*I836-(M861-MIN(MAX(M861,0),MAX(0,I836-IF($A862&gt;='1-Input'!$C$12,'1-Input'!$B$12,0)))))*(1/(1-'P-Parametri'!$B$6*I862))))</f>
        <v>0</v>
      </c>
      <c r="K862" s="18">
        <f>IF($A862&gt;'1-Input'!$B$26,M861,(M861-MAX(0,I836-IF($A862&gt;='1-Input'!$C$12,'1-Input'!$B$12,0))+J862*(1-'P-Parametri'!$B$6*I862))*(1+'1-Input'!$B$27))</f>
        <v>24632.396256952619</v>
      </c>
      <c r="L862" s="18">
        <f>IF($A862&gt;'1-Input'!$B$26,N861,(N861-J862)*(1+$D$4))</f>
        <v>0</v>
      </c>
      <c r="M862" s="18">
        <f>IF($A862&gt;'1-Input'!$B$26,K862,K862-'P-Parametri'!$B$8*(L862+K862)+MIN(MAX(L862,0),'P-Parametri'!$B$8*(L862+K862)))</f>
        <v>24583.131464438713</v>
      </c>
      <c r="N862" s="18">
        <f>IF($A862&gt;'1-Input'!$B$26,L862,L862-MIN(MAX(L862,0),'P-Parametri'!$B$8*(L862+K862)))</f>
        <v>0</v>
      </c>
      <c r="O862" s="18">
        <f>IF($A862&gt;'1-Input'!$B$26,O861,O861-J862*(1-I862))</f>
        <v>2.2737367544323206E-13</v>
      </c>
      <c r="P862" s="11">
        <f>IF($A862&gt;'1-Input'!$B$26,0,IF(U861&lt;=0,0,MAX(0,(U861-V861)/U861)))</f>
        <v>0.66283575533873162</v>
      </c>
      <c r="Q862" s="18">
        <f>IF($A862&gt;'1-Input'!$B$26,0,(MAX(0,P836-IF($A862&gt;='1-Input'!$C$12,'1-Input'!$B$12,0))-MIN(MAX(T861,0),MAX(0,P836-IF($A862&gt;='1-Input'!$C$12,'1-Input'!$B$12,0))))*(1/(1-'P-Parametri'!$B$6*P862))+MIN(MAX(0,U861-(MAX(0,P836-IF($A862&gt;='1-Input'!$C$12,'1-Input'!$B$12,0))-MIN(MAX(T861,0),MAX(0,P836-IF($A862&gt;='1-Input'!$C$12,'1-Input'!$B$12,0))))*(1/(1-'P-Parametri'!$B$6*P862))),MAX(0,3*P836-(T861-MIN(MAX(T861,0),MAX(0,P836-IF($A862&gt;='1-Input'!$C$12,'1-Input'!$B$12,0)))))*(1/(1-'P-Parametri'!$B$6*P862))))</f>
        <v>10181.493389046147</v>
      </c>
      <c r="R862" s="18">
        <f>IF($A862&gt;'1-Input'!$B$26,T861,(T861-MAX(0,P836-IF($A862&gt;='1-Input'!$C$12,'1-Input'!$B$12,0))+Q862*(1-'P-Parametri'!$B$6*P862))*(1+'1-Input'!$B$27))</f>
        <v>57751.895071455059</v>
      </c>
      <c r="S862" s="18">
        <f>IF($A862&gt;'1-Input'!$B$26,U861,(U861-Q862)*(1+$D$4))</f>
        <v>84312.668967918144</v>
      </c>
      <c r="T862" s="18">
        <f>IF($A862&gt;'1-Input'!$B$26,R862,R862-'P-Parametri'!$B$8*(S862+R862)+MIN(MAX(S862,0),'P-Parametri'!$B$8*(S862+R862)))</f>
        <v>57751.895071455059</v>
      </c>
      <c r="U862" s="18">
        <f>IF($A862&gt;'1-Input'!$B$26,S862,S862-MIN(MAX(S862,0),'P-Parametri'!$B$8*(S862+R862)))</f>
        <v>84028.539839839403</v>
      </c>
      <c r="V862" s="18">
        <f>IF($A862&gt;'1-Input'!$B$26,V861,V861-Q862*(1-P862))</f>
        <v>27333.862834561231</v>
      </c>
      <c r="W862" s="11">
        <f>IF($A862&gt;'1-Input'!$B$26,0,IF(AB861&lt;=0,0,MAX(0,(AB861-AC861)/AB861)))</f>
        <v>0.66327934806750655</v>
      </c>
      <c r="X862" s="18">
        <f>IF($A862&gt;'1-Input'!$B$26,0,(MAX(0,W836-IF($A862&gt;='1-Input'!$C$12,'1-Input'!$B$12,0))-MIN(MAX(AA861,0),MAX(0,W836-IF($A862&gt;='1-Input'!$C$12,'1-Input'!$B$12,0))))*(1/(1-'P-Parametri'!$B$6*W862))+MIN(MAX(0,AB861-(MAX(0,W836-IF($A862&gt;='1-Input'!$C$12,'1-Input'!$B$12,0))-MIN(MAX(AA861,0),MAX(0,W836-IF($A862&gt;='1-Input'!$C$12,'1-Input'!$B$12,0))))*(1/(1-'P-Parametri'!$B$6*W862))),MAX(0,3*W836-(AA861-MIN(MAX(AA861,0),MAX(0,W836-IF($A862&gt;='1-Input'!$C$12,'1-Input'!$B$12,0)))))*(1/(1-'P-Parametri'!$B$6*W862))))</f>
        <v>9636.611883481426</v>
      </c>
      <c r="Y862" s="18">
        <f>IF($A862&gt;'1-Input'!$B$26,AA861,(AA861-MAX(0,W836-IF($A862&gt;='1-Input'!$C$12,'1-Input'!$B$12,0))+X862*(1-'P-Parametri'!$B$6*W862))*(1+'1-Input'!$B$27))</f>
        <v>56414.948075653221</v>
      </c>
      <c r="Z862" s="18">
        <f>IF($A862&gt;'1-Input'!$B$26,AB861,(AB861-X862)*(1+$D$4))</f>
        <v>107871.60257664612</v>
      </c>
      <c r="AA862" s="18">
        <f>IF($A862&gt;'1-Input'!$B$26,Y862,Y862-'P-Parametri'!$B$8*(Z862+Y862)+MIN(MAX(Z862,0),'P-Parametri'!$B$8*(Z862+Y862)))</f>
        <v>56414.948075653221</v>
      </c>
      <c r="AB862" s="18">
        <f>IF($A862&gt;'1-Input'!$B$26,Z862,Z862-MIN(MAX(Z862,0),'P-Parametri'!$B$8*(Z862+Y862)))</f>
        <v>107543.02947534152</v>
      </c>
      <c r="AC862" s="18">
        <f>IF($A862&gt;'1-Input'!$B$26,AC861,AC861-X862*(1-W862))</f>
        <v>34925.573408279939</v>
      </c>
      <c r="AD862" s="11">
        <f>IF($A862&gt;'1-Input'!$B$26,0,IF(AI861&lt;=0,0,MAX(0,(AI861-AJ861)/AI861)))</f>
        <v>0.66330872230345062</v>
      </c>
      <c r="AE862" s="18">
        <f>IF($A862&gt;'1-Input'!$B$26,0,(MAX(0,AD836-IF($A862&gt;='1-Input'!$C$12,'1-Input'!$B$12,0))-MIN(MAX(AH861,0),MAX(0,AD836-IF($A862&gt;='1-Input'!$C$12,'1-Input'!$B$12,0))))*(1/(1-'P-Parametri'!$B$6*AD862))+MIN(MAX(0,AI861-(MAX(0,AD836-IF($A862&gt;='1-Input'!$C$12,'1-Input'!$B$12,0))-MIN(MAX(AH861,0),MAX(0,AD836-IF($A862&gt;='1-Input'!$C$12,'1-Input'!$B$12,0))))*(1/(1-'P-Parametri'!$B$6*AD862))),MAX(0,3*AD836-(AH861-MIN(MAX(AH861,0),MAX(0,AD836-IF($A862&gt;='1-Input'!$C$12,'1-Input'!$B$12,0)))))*(1/(1-'P-Parametri'!$B$6*AD862))))</f>
        <v>9595.1832124599478</v>
      </c>
      <c r="AF862" s="18">
        <f>IF($A862&gt;'1-Input'!$B$26,AH861,(AH861-MAX(0,AD836-IF($A862&gt;='1-Input'!$C$12,'1-Input'!$B$12,0))+AE862*(1-'P-Parametri'!$B$6*AD862))*(1+'1-Input'!$B$27))</f>
        <v>56313.344052672539</v>
      </c>
      <c r="AG862" s="18">
        <f>IF($A862&gt;'1-Input'!$B$26,AI861,(AI861-AE862)*(1+$D$4))</f>
        <v>109662.15024205662</v>
      </c>
      <c r="AH862" s="18">
        <f>IF($A862&gt;'1-Input'!$B$26,AF862,AF862-'P-Parametri'!$B$8*(AG862+AF862)+MIN(MAX(AG862,0),'P-Parametri'!$B$8*(AG862+AF862)))</f>
        <v>56313.344052672539</v>
      </c>
      <c r="AI862" s="18">
        <f>IF($A862&gt;'1-Input'!$B$26,AG862,AG862-MIN(MAX(AG862,0),'P-Parametri'!$B$8*(AG862+AF862)))</f>
        <v>109330.19925346717</v>
      </c>
      <c r="AJ862" s="18">
        <f>IF($A862&gt;'1-Input'!$B$26,AJ861,AJ861-AE862*(1-AD862))</f>
        <v>35502.201423027887</v>
      </c>
      <c r="AK862" s="11">
        <f>IF($A862&gt;'1-Input'!$B$26,0,IF(AP861&lt;=0,0,MAX(0,(AP861-AQ861)/AP861)))</f>
        <v>0.66330908304524416</v>
      </c>
      <c r="AL862" s="18">
        <f>IF($A862&gt;'1-Input'!$B$26,0,(MAX(0,AK836-IF($A862&gt;='1-Input'!$C$12,'1-Input'!$B$12,0))-MIN(MAX(AO861,0),MAX(0,AK836-IF($A862&gt;='1-Input'!$C$12,'1-Input'!$B$12,0))))*(1/(1-'P-Parametri'!$B$6*AK862))+MIN(MAX(0,AP861-(MAX(0,AK836-IF($A862&gt;='1-Input'!$C$12,'1-Input'!$B$12,0))-MIN(MAX(AO861,0),MAX(0,AK836-IF($A862&gt;='1-Input'!$C$12,'1-Input'!$B$12,0))))*(1/(1-'P-Parametri'!$B$6*AK862))),MAX(0,3*AK836-(AO861-MIN(MAX(AO861,0),MAX(0,AK836-IF($A862&gt;='1-Input'!$C$12,'1-Input'!$B$12,0)))))*(1/(1-'P-Parametri'!$B$6*AK862))))</f>
        <v>9594.6698737296083</v>
      </c>
      <c r="AM862" s="18">
        <f>IF($A862&gt;'1-Input'!$B$26,AO861,(AO861-MAX(0,AK836-IF($A862&gt;='1-Input'!$C$12,'1-Input'!$B$12,0))+AL862*(1-'P-Parametri'!$B$6*AK862))*(1+'1-Input'!$B$27))</f>
        <v>56312.085122445489</v>
      </c>
      <c r="AN862" s="18">
        <f>IF($A862&gt;'1-Input'!$B$26,AP861,(AP861-AL862)*(1+$D$4))</f>
        <v>109684.33623380786</v>
      </c>
      <c r="AO862" s="18">
        <f>IF($A862&gt;'1-Input'!$B$26,AM862,AM862-'P-Parametri'!$B$8*(AN862+AM862)+MIN(MAX(AN862,0),'P-Parametri'!$B$8*(AN862+AM862)))</f>
        <v>56312.085122445489</v>
      </c>
      <c r="AP862" s="18">
        <f>IF($A862&gt;'1-Input'!$B$26,AN862,AN862-MIN(MAX(AN862,0),'P-Parametri'!$B$8*(AN862+AM862)))</f>
        <v>109352.34339109535</v>
      </c>
      <c r="AQ862" s="18">
        <f>IF($A862&gt;'1-Input'!$B$26,AQ861,AQ861-AL862*(1-AK862))</f>
        <v>35509.345905898568</v>
      </c>
    </row>
    <row r="863" spans="1:43">
      <c r="A863" s="10">
        <f>25</f>
        <v>25</v>
      </c>
      <c r="B863" s="11">
        <f>IF($A863&gt;'1-Input'!$B$26,0,IF(G862&lt;=0,0,MAX(0,(G862-H862)/G862)))</f>
        <v>0.6766571298455587</v>
      </c>
      <c r="C863" s="18">
        <f>IF($A863&gt;'1-Input'!$B$26,0,(MAX(0,B836-IF($A863&gt;='1-Input'!$C$12,'1-Input'!$B$12,0))-MIN(MAX(F862,0),MAX(0,B836-IF($A863&gt;='1-Input'!$C$12,'1-Input'!$B$12,0))))*(1/(1-'P-Parametri'!$B$6*B863))+MIN(MAX(0,G862-(MAX(0,B836-IF($A863&gt;='1-Input'!$C$12,'1-Input'!$B$12,0))-MIN(MAX(F862,0),MAX(0,B836-IF($A863&gt;='1-Input'!$C$12,'1-Input'!$B$12,0))))*(1/(1-'P-Parametri'!$B$6*B863))),MAX(0,3*B836-(F862-MIN(MAX(F862,0),MAX(0,B836-IF($A863&gt;='1-Input'!$C$12,'1-Input'!$B$12,0)))))*(1/(1-'P-Parametri'!$B$6*B863))))</f>
        <v>6988.7469253039872</v>
      </c>
      <c r="D863" s="18">
        <f>IF($A863&gt;'1-Input'!$B$26,F862,(F862-MAX(0,B836-IF($A863&gt;='1-Input'!$C$12,'1-Input'!$B$12,0))+C863*(1-'P-Parametri'!$B$6*B863))*(1+'1-Input'!$B$27))</f>
        <v>49863.010546479447</v>
      </c>
      <c r="E863" s="18">
        <f>IF($A863&gt;'1-Input'!$B$26,G862,(G862-C863)*(1+$D$4))</f>
        <v>224461.1848635627</v>
      </c>
      <c r="F863" s="18">
        <f>IF($A863&gt;'1-Input'!$B$26,D863,D863-'P-Parametri'!$B$8*(E863+D863)+MIN(MAX(E863,0),'P-Parametri'!$B$8*(E863+D863)))</f>
        <v>49863.010546479447</v>
      </c>
      <c r="G863" s="18">
        <f>IF($A863&gt;'1-Input'!$B$26,E863,E863-MIN(MAX(E863,0),'P-Parametri'!$B$8*(E863+D863)))</f>
        <v>223912.53647274262</v>
      </c>
      <c r="H863" s="18">
        <f>IF($A863&gt;'1-Input'!$B$26,H862,H862-C863*(1-B863))</f>
        <v>69786.465146202871</v>
      </c>
      <c r="I863" s="11">
        <f>IF($A863&gt;'1-Input'!$B$26,0,IF(N862&lt;=0,0,MAX(0,(N862-O862)/N862)))</f>
        <v>0</v>
      </c>
      <c r="J863" s="18">
        <f>IF($A863&gt;'1-Input'!$B$26,0,(MAX(0,I836-IF($A863&gt;='1-Input'!$C$12,'1-Input'!$B$12,0))-MIN(MAX(M862,0),MAX(0,I836-IF($A863&gt;='1-Input'!$C$12,'1-Input'!$B$12,0))))*(1/(1-'P-Parametri'!$B$6*I863))+MIN(MAX(0,N862-(MAX(0,I836-IF($A863&gt;='1-Input'!$C$12,'1-Input'!$B$12,0))-MIN(MAX(M862,0),MAX(0,I836-IF($A863&gt;='1-Input'!$C$12,'1-Input'!$B$12,0))))*(1/(1-'P-Parametri'!$B$6*I863))),MAX(0,3*I836-(M862-MIN(MAX(M862,0),MAX(0,I836-IF($A863&gt;='1-Input'!$C$12,'1-Input'!$B$12,0)))))*(1/(1-'P-Parametri'!$B$6*I863))))</f>
        <v>0</v>
      </c>
      <c r="K863" s="18">
        <f>IF($A863&gt;'1-Input'!$B$26,M862,(M862-MAX(0,I836-IF($A863&gt;='1-Input'!$C$12,'1-Input'!$B$12,0))+J863*(1-'P-Parametri'!$B$6*I863))*(1+'1-Input'!$B$27))</f>
        <v>13686.923523412584</v>
      </c>
      <c r="L863" s="18">
        <f>IF($A863&gt;'1-Input'!$B$26,N862,(N862-J863)*(1+$D$4))</f>
        <v>0</v>
      </c>
      <c r="M863" s="18">
        <f>IF($A863&gt;'1-Input'!$B$26,K863,K863-'P-Parametri'!$B$8*(L863+K863)+MIN(MAX(L863,0),'P-Parametri'!$B$8*(L863+K863)))</f>
        <v>13659.549676365759</v>
      </c>
      <c r="N863" s="18">
        <f>IF($A863&gt;'1-Input'!$B$26,L863,L863-MIN(MAX(L863,0),'P-Parametri'!$B$8*(L863+K863)))</f>
        <v>0</v>
      </c>
      <c r="O863" s="18">
        <f>IF($A863&gt;'1-Input'!$B$26,O862,O862-J863*(1-I863))</f>
        <v>2.2737367544323206E-13</v>
      </c>
      <c r="P863" s="11">
        <f>IF($A863&gt;'1-Input'!$B$26,0,IF(U862&lt;=0,0,MAX(0,(U862-V862)/U862)))</f>
        <v>0.67470739243285327</v>
      </c>
      <c r="Q863" s="18">
        <f>IF($A863&gt;'1-Input'!$B$26,0,(MAX(0,P836-IF($A863&gt;='1-Input'!$C$12,'1-Input'!$B$12,0))-MIN(MAX(T862,0),MAX(0,P836-IF($A863&gt;='1-Input'!$C$12,'1-Input'!$B$12,0))))*(1/(1-'P-Parametri'!$B$6*P863))+MIN(MAX(0,U862-(MAX(0,P836-IF($A863&gt;='1-Input'!$C$12,'1-Input'!$B$12,0))-MIN(MAX(T862,0),MAX(0,P836-IF($A863&gt;='1-Input'!$C$12,'1-Input'!$B$12,0))))*(1/(1-'P-Parametri'!$B$6*P863))),MAX(0,3*P836-(T862-MIN(MAX(T862,0),MAX(0,P836-IF($A863&gt;='1-Input'!$C$12,'1-Input'!$B$12,0)))))*(1/(1-'P-Parametri'!$B$6*P863))))</f>
        <v>10219.605649919775</v>
      </c>
      <c r="R863" s="18">
        <f>IF($A863&gt;'1-Input'!$B$26,T862,(T862-MAX(0,P836-IF($A863&gt;='1-Input'!$C$12,'1-Input'!$B$12,0))+Q863*(1-'P-Parametri'!$B$6*P863))*(1+'1-Input'!$B$27))</f>
        <v>57751.895071455059</v>
      </c>
      <c r="S863" s="18">
        <f>IF($A863&gt;'1-Input'!$B$26,U862,(U862-Q863)*(1+$D$4))</f>
        <v>76761.291557516422</v>
      </c>
      <c r="T863" s="18">
        <f>IF($A863&gt;'1-Input'!$B$26,R863,R863-'P-Parametri'!$B$8*(S863+R863)+MIN(MAX(S863,0),'P-Parametri'!$B$8*(S863+R863)))</f>
        <v>57751.895071455059</v>
      </c>
      <c r="U863" s="18">
        <f>IF($A863&gt;'1-Input'!$B$26,S863,S863-MIN(MAX(S863,0),'P-Parametri'!$B$8*(S863+R863)))</f>
        <v>76492.265184258475</v>
      </c>
      <c r="V863" s="18">
        <f>IF($A863&gt;'1-Input'!$B$26,V862,V862-Q863*(1-P863))</f>
        <v>24009.500664390882</v>
      </c>
      <c r="W863" s="11">
        <f>IF($A863&gt;'1-Input'!$B$26,0,IF(AB862&lt;=0,0,MAX(0,(AB862-AC862)/AB862)))</f>
        <v>0.67524093770960758</v>
      </c>
      <c r="X863" s="18">
        <f>IF($A863&gt;'1-Input'!$B$26,0,(MAX(0,W836-IF($A863&gt;='1-Input'!$C$12,'1-Input'!$B$12,0))-MIN(MAX(AA862,0),MAX(0,W836-IF($A863&gt;='1-Input'!$C$12,'1-Input'!$B$12,0))))*(1/(1-'P-Parametri'!$B$6*W863))+MIN(MAX(0,AB862-(MAX(0,W836-IF($A863&gt;='1-Input'!$C$12,'1-Input'!$B$12,0))-MIN(MAX(AA862,0),MAX(0,W836-IF($A863&gt;='1-Input'!$C$12,'1-Input'!$B$12,0))))*(1/(1-'P-Parametri'!$B$6*W863))),MAX(0,3*W836-(AA862-MIN(MAX(AA862,0),MAX(0,W836-IF($A863&gt;='1-Input'!$C$12,'1-Input'!$B$12,0)))))*(1/(1-'P-Parametri'!$B$6*W863))))</f>
        <v>9672.9639373594837</v>
      </c>
      <c r="Y863" s="18">
        <f>IF($A863&gt;'1-Input'!$B$26,AA862,(AA862-MAX(0,W836-IF($A863&gt;='1-Input'!$C$12,'1-Input'!$B$12,0))+X863*(1-'P-Parametri'!$B$6*W863))*(1+'1-Input'!$B$27))</f>
        <v>56414.948075653221</v>
      </c>
      <c r="Z863" s="18">
        <f>IF($A863&gt;'1-Input'!$B$26,AB862,(AB862-X863)*(1+$D$4))</f>
        <v>101784.86815950132</v>
      </c>
      <c r="AA863" s="18">
        <f>IF($A863&gt;'1-Input'!$B$26,Y863,Y863-'P-Parametri'!$B$8*(Z863+Y863)+MIN(MAX(Z863,0),'P-Parametri'!$B$8*(Z863+Y863)))</f>
        <v>56414.948075653221</v>
      </c>
      <c r="AB863" s="18">
        <f>IF($A863&gt;'1-Input'!$B$26,Z863,Z863-MIN(MAX(Z863,0),'P-Parametri'!$B$8*(Z863+Y863)))</f>
        <v>101468.46852703101</v>
      </c>
      <c r="AC863" s="18">
        <f>IF($A863&gt;'1-Input'!$B$26,AC862,AC862-X863*(1-W863))</f>
        <v>31784.190710414292</v>
      </c>
      <c r="AD863" s="11">
        <f>IF($A863&gt;'1-Input'!$B$26,0,IF(AI862&lt;=0,0,MAX(0,(AI862-AJ862)/AI862)))</f>
        <v>0.67527543473399454</v>
      </c>
      <c r="AE863" s="18">
        <f>IF($A863&gt;'1-Input'!$B$26,0,(MAX(0,AD836-IF($A863&gt;='1-Input'!$C$12,'1-Input'!$B$12,0))-MIN(MAX(AH862,0),MAX(0,AD836-IF($A863&gt;='1-Input'!$C$12,'1-Input'!$B$12,0))))*(1/(1-'P-Parametri'!$B$6*AD863))+MIN(MAX(0,AI862-(MAX(0,AD836-IF($A863&gt;='1-Input'!$C$12,'1-Input'!$B$12,0))-MIN(MAX(AH862,0),MAX(0,AD836-IF($A863&gt;='1-Input'!$C$12,'1-Input'!$B$12,0))))*(1/(1-'P-Parametri'!$B$6*AD863))),MAX(0,3*AD836-(AH862-MIN(MAX(AH862,0),MAX(0,AD836-IF($A863&gt;='1-Input'!$C$12,'1-Input'!$B$12,0)))))*(1/(1-'P-Parametri'!$B$6*AD863))))</f>
        <v>9631.3948810652037</v>
      </c>
      <c r="AF863" s="18">
        <f>IF($A863&gt;'1-Input'!$B$26,AH862,(AH862-MAX(0,AD836-IF($A863&gt;='1-Input'!$C$12,'1-Input'!$B$12,0))+AE863*(1-'P-Parametri'!$B$6*AD863))*(1+'1-Input'!$B$27))</f>
        <v>56313.344052672539</v>
      </c>
      <c r="AG863" s="18">
        <f>IF($A863&gt;'1-Input'!$B$26,AI862,(AI862-AE863)*(1+$D$4))</f>
        <v>103686.75654729805</v>
      </c>
      <c r="AH863" s="18">
        <f>IF($A863&gt;'1-Input'!$B$26,AF863,AF863-'P-Parametri'!$B$8*(AG863+AF863)+MIN(MAX(AG863,0),'P-Parametri'!$B$8*(AG863+AF863)))</f>
        <v>56313.344052672539</v>
      </c>
      <c r="AI863" s="18">
        <f>IF($A863&gt;'1-Input'!$B$26,AG863,AG863-MIN(MAX(AG863,0),'P-Parametri'!$B$8*(AG863+AF863)))</f>
        <v>103366.7563460981</v>
      </c>
      <c r="AJ863" s="18">
        <f>IF($A863&gt;'1-Input'!$B$26,AJ862,AJ862-AE863*(1-AD863))</f>
        <v>32374.650907368759</v>
      </c>
      <c r="AK863" s="11">
        <f>IF($A863&gt;'1-Input'!$B$26,0,IF(AP862&lt;=0,0,MAX(0,(AP862-AQ862)/AP862)))</f>
        <v>0.67527585779391597</v>
      </c>
      <c r="AL863" s="18">
        <f>IF($A863&gt;'1-Input'!$B$26,0,(MAX(0,AK836-IF($A863&gt;='1-Input'!$C$12,'1-Input'!$B$12,0))-MIN(MAX(AO862,0),MAX(0,AK836-IF($A863&gt;='1-Input'!$C$12,'1-Input'!$B$12,0))))*(1/(1-'P-Parametri'!$B$6*AK863))+MIN(MAX(0,AP862-(MAX(0,AK836-IF($A863&gt;='1-Input'!$C$12,'1-Input'!$B$12,0))-MIN(MAX(AO862,0),MAX(0,AK836-IF($A863&gt;='1-Input'!$C$12,'1-Input'!$B$12,0))))*(1/(1-'P-Parametri'!$B$6*AK863))),MAX(0,3*AK836-(AO862-MIN(MAX(AO862,0),MAX(0,AK836-IF($A863&gt;='1-Input'!$C$12,'1-Input'!$B$12,0)))))*(1/(1-'P-Parametri'!$B$6*AK863))))</f>
        <v>9630.8797984218472</v>
      </c>
      <c r="AM863" s="18">
        <f>IF($A863&gt;'1-Input'!$B$26,AO862,(AO862-MAX(0,AK836-IF($A863&gt;='1-Input'!$C$12,'1-Input'!$B$12,0))+AL863*(1-'P-Parametri'!$B$6*AK863))*(1+'1-Input'!$B$27))</f>
        <v>56312.085122445489</v>
      </c>
      <c r="AN863" s="18">
        <f>IF($A863&gt;'1-Input'!$B$26,AP862,(AP862-AL863)*(1+$D$4))</f>
        <v>103710.32213638045</v>
      </c>
      <c r="AO863" s="18">
        <f>IF($A863&gt;'1-Input'!$B$26,AM863,AM863-'P-Parametri'!$B$8*(AN863+AM863)+MIN(MAX(AN863,0),'P-Parametri'!$B$8*(AN863+AM863)))</f>
        <v>56312.085122445489</v>
      </c>
      <c r="AP863" s="18">
        <f>IF($A863&gt;'1-Input'!$B$26,AN863,AN863-MIN(MAX(AN863,0),'P-Parametri'!$B$8*(AN863+AM863)))</f>
        <v>103390.2773218628</v>
      </c>
      <c r="AQ863" s="18">
        <f>IF($A863&gt;'1-Input'!$B$26,AQ862,AQ862-AL863*(1-AK863))</f>
        <v>32381.96672466613</v>
      </c>
    </row>
    <row r="864" spans="1:43">
      <c r="A864" s="10">
        <f>26</f>
        <v>26</v>
      </c>
      <c r="B864" s="11">
        <f>IF($A864&gt;'1-Input'!$B$26,0,IF(G863&lt;=0,0,MAX(0,(G863-H863)/G863)))</f>
        <v>0.6883315858703688</v>
      </c>
      <c r="C864" s="18">
        <f>IF($A864&gt;'1-Input'!$B$26,0,(MAX(0,B836-IF($A864&gt;='1-Input'!$C$12,'1-Input'!$B$12,0))-MIN(MAX(F863,0),MAX(0,B836-IF($A864&gt;='1-Input'!$C$12,'1-Input'!$B$12,0))))*(1/(1-'P-Parametri'!$B$6*B864))+MIN(MAX(0,G863-(MAX(0,B836-IF($A864&gt;='1-Input'!$C$12,'1-Input'!$B$12,0))-MIN(MAX(F863,0),MAX(0,B836-IF($A864&gt;='1-Input'!$C$12,'1-Input'!$B$12,0))))*(1/(1-'P-Parametri'!$B$6*B864))),MAX(0,3*B836-(F863-MIN(MAX(F863,0),MAX(0,B836-IF($A864&gt;='1-Input'!$C$12,'1-Input'!$B$12,0)))))*(1/(1-'P-Parametri'!$B$6*B864))))</f>
        <v>7014.5842942003173</v>
      </c>
      <c r="D864" s="18">
        <f>IF($A864&gt;'1-Input'!$B$26,F863,(F863-MAX(0,B836-IF($A864&gt;='1-Input'!$C$12,'1-Input'!$B$12,0))+C864*(1-'P-Parametri'!$B$6*B864))*(1+'1-Input'!$B$27))</f>
        <v>49863.010546479447</v>
      </c>
      <c r="E864" s="18">
        <f>IF($A864&gt;'1-Input'!$B$26,G863,(G863-C864)*(1+$D$4))</f>
        <v>225573.870265684</v>
      </c>
      <c r="F864" s="18">
        <f>IF($A864&gt;'1-Input'!$B$26,D864,D864-'P-Parametri'!$B$8*(E864+D864)+MIN(MAX(E864,0),'P-Parametri'!$B$8*(E864+D864)))</f>
        <v>49863.010546479447</v>
      </c>
      <c r="G864" s="18">
        <f>IF($A864&gt;'1-Input'!$B$26,E864,E864-MIN(MAX(E864,0),'P-Parametri'!$B$8*(E864+D864)))</f>
        <v>225022.99650405967</v>
      </c>
      <c r="H864" s="18">
        <f>IF($A864&gt;'1-Input'!$B$26,H863,H863-C864*(1-B864))</f>
        <v>67600.240783450834</v>
      </c>
      <c r="I864" s="11">
        <f>IF($A864&gt;'1-Input'!$B$26,0,IF(N863&lt;=0,0,MAX(0,(N863-O863)/N863)))</f>
        <v>0</v>
      </c>
      <c r="J864" s="18">
        <f>IF($A864&gt;'1-Input'!$B$26,0,(MAX(0,I836-IF($A864&gt;='1-Input'!$C$12,'1-Input'!$B$12,0))-MIN(MAX(M863,0),MAX(0,I836-IF($A864&gt;='1-Input'!$C$12,'1-Input'!$B$12,0))))*(1/(1-'P-Parametri'!$B$6*I864))+MIN(MAX(0,N863-(MAX(0,I836-IF($A864&gt;='1-Input'!$C$12,'1-Input'!$B$12,0))-MIN(MAX(M863,0),MAX(0,I836-IF($A864&gt;='1-Input'!$C$12,'1-Input'!$B$12,0))))*(1/(1-'P-Parametri'!$B$6*I864))),MAX(0,3*I836-(M863-MIN(MAX(M863,0),MAX(0,I836-IF($A864&gt;='1-Input'!$C$12,'1-Input'!$B$12,0)))))*(1/(1-'P-Parametri'!$B$6*I864))))</f>
        <v>0</v>
      </c>
      <c r="K864" s="18">
        <f>IF($A864&gt;'1-Input'!$B$26,M863,(M863-MAX(0,I836-IF($A864&gt;='1-Input'!$C$12,'1-Input'!$B$12,0))+J864*(1-'P-Parametri'!$B$6*I864))*(1+'1-Input'!$B$27))</f>
        <v>2802.6666297766947</v>
      </c>
      <c r="L864" s="18">
        <f>IF($A864&gt;'1-Input'!$B$26,N863,(N863-J864)*(1+$D$4))</f>
        <v>0</v>
      </c>
      <c r="M864" s="18">
        <f>IF($A864&gt;'1-Input'!$B$26,K864,K864-'P-Parametri'!$B$8*(L864+K864)+MIN(MAX(L864,0),'P-Parametri'!$B$8*(L864+K864)))</f>
        <v>2797.0612965171413</v>
      </c>
      <c r="N864" s="18">
        <f>IF($A864&gt;'1-Input'!$B$26,L864,L864-MIN(MAX(L864,0),'P-Parametri'!$B$8*(L864+K864)))</f>
        <v>0</v>
      </c>
      <c r="O864" s="18">
        <f>IF($A864&gt;'1-Input'!$B$26,O863,O863-J864*(1-I864))</f>
        <v>2.2737367544323206E-13</v>
      </c>
      <c r="P864" s="11">
        <f>IF($A864&gt;'1-Input'!$B$26,0,IF(U863&lt;=0,0,MAX(0,(U863-V863)/U863)))</f>
        <v>0.68611858196962039</v>
      </c>
      <c r="Q864" s="18">
        <f>IF($A864&gt;'1-Input'!$B$26,0,(MAX(0,P836-IF($A864&gt;='1-Input'!$C$12,'1-Input'!$B$12,0))-MIN(MAX(T863,0),MAX(0,P836-IF($A864&gt;='1-Input'!$C$12,'1-Input'!$B$12,0))))*(1/(1-'P-Parametri'!$B$6*P864))+MIN(MAX(0,U863-(MAX(0,P836-IF($A864&gt;='1-Input'!$C$12,'1-Input'!$B$12,0))-MIN(MAX(T863,0),MAX(0,P836-IF($A864&gt;='1-Input'!$C$12,'1-Input'!$B$12,0))))*(1/(1-'P-Parametri'!$B$6*P864))),MAX(0,3*P836-(T863-MIN(MAX(T863,0),MAX(0,P836-IF($A864&gt;='1-Input'!$C$12,'1-Input'!$B$12,0)))))*(1/(1-'P-Parametri'!$B$6*P864))))</f>
        <v>10256.509623234248</v>
      </c>
      <c r="R864" s="18">
        <f>IF($A864&gt;'1-Input'!$B$26,T863,(T863-MAX(0,P836-IF($A864&gt;='1-Input'!$C$12,'1-Input'!$B$12,0))+Q864*(1-'P-Parametri'!$B$6*P864))*(1+'1-Input'!$B$27))</f>
        <v>57751.895071455059</v>
      </c>
      <c r="S864" s="18">
        <f>IF($A864&gt;'1-Input'!$B$26,U863,(U863-Q864)*(1+$D$4))</f>
        <v>68885.185783465204</v>
      </c>
      <c r="T864" s="18">
        <f>IF($A864&gt;'1-Input'!$B$26,R864,R864-'P-Parametri'!$B$8*(S864+R864)+MIN(MAX(S864,0),'P-Parametri'!$B$8*(S864+R864)))</f>
        <v>57751.895071455059</v>
      </c>
      <c r="U864" s="18">
        <f>IF($A864&gt;'1-Input'!$B$26,S864,S864-MIN(MAX(S864,0),'P-Parametri'!$B$8*(S864+R864)))</f>
        <v>68631.911621755367</v>
      </c>
      <c r="V864" s="18">
        <f>IF($A864&gt;'1-Input'!$B$26,V863,V863-Q864*(1-P864))</f>
        <v>20790.17287980788</v>
      </c>
      <c r="W864" s="11">
        <f>IF($A864&gt;'1-Input'!$B$26,0,IF(AB863&lt;=0,0,MAX(0,(AB863-AC863)/AB863)))</f>
        <v>0.68675795375834381</v>
      </c>
      <c r="X864" s="18">
        <f>IF($A864&gt;'1-Input'!$B$26,0,(MAX(0,W836-IF($A864&gt;='1-Input'!$C$12,'1-Input'!$B$12,0))-MIN(MAX(AA863,0),MAX(0,W836-IF($A864&gt;='1-Input'!$C$12,'1-Input'!$B$12,0))))*(1/(1-'P-Parametri'!$B$6*W864))+MIN(MAX(0,AB863-(MAX(0,W836-IF($A864&gt;='1-Input'!$C$12,'1-Input'!$B$12,0))-MIN(MAX(AA863,0),MAX(0,W836-IF($A864&gt;='1-Input'!$C$12,'1-Input'!$B$12,0))))*(1/(1-'P-Parametri'!$B$6*W864))),MAX(0,3*W836-(AA863-MIN(MAX(AA863,0),MAX(0,W836-IF($A864&gt;='1-Input'!$C$12,'1-Input'!$B$12,0)))))*(1/(1-'P-Parametri'!$B$6*W864))))</f>
        <v>9708.2250077348563</v>
      </c>
      <c r="Y864" s="18">
        <f>IF($A864&gt;'1-Input'!$B$26,AA863,(AA863-MAX(0,W836-IF($A864&gt;='1-Input'!$C$12,'1-Input'!$B$12,0))+X864*(1-'P-Parametri'!$B$6*W864))*(1+'1-Input'!$B$27))</f>
        <v>56414.948075653221</v>
      </c>
      <c r="Z864" s="18">
        <f>IF($A864&gt;'1-Input'!$B$26,AB863,(AB863-X864)*(1+$D$4))</f>
        <v>95430.653260068008</v>
      </c>
      <c r="AA864" s="18">
        <f>IF($A864&gt;'1-Input'!$B$26,Y864,Y864-'P-Parametri'!$B$8*(Z864+Y864)+MIN(MAX(Z864,0),'P-Parametri'!$B$8*(Z864+Y864)))</f>
        <v>56414.948075653221</v>
      </c>
      <c r="AB864" s="18">
        <f>IF($A864&gt;'1-Input'!$B$26,Z864,Z864-MIN(MAX(Z864,0),'P-Parametri'!$B$8*(Z864+Y864)))</f>
        <v>95126.962057396566</v>
      </c>
      <c r="AC864" s="18">
        <f>IF($A864&gt;'1-Input'!$B$26,AC863,AC863-X864*(1-W864))</f>
        <v>28743.166443617007</v>
      </c>
      <c r="AD864" s="11">
        <f>IF($A864&gt;'1-Input'!$B$26,0,IF(AI863&lt;=0,0,MAX(0,(AI863-AJ863)/AI863)))</f>
        <v>0.68679823134847895</v>
      </c>
      <c r="AE864" s="18">
        <f>IF($A864&gt;'1-Input'!$B$26,0,(MAX(0,AD836-IF($A864&gt;='1-Input'!$C$12,'1-Input'!$B$12,0))-MIN(MAX(AH863,0),MAX(0,AD836-IF($A864&gt;='1-Input'!$C$12,'1-Input'!$B$12,0))))*(1/(1-'P-Parametri'!$B$6*AD864))+MIN(MAX(0,AI863-(MAX(0,AD836-IF($A864&gt;='1-Input'!$C$12,'1-Input'!$B$12,0))-MIN(MAX(AH863,0),MAX(0,AD836-IF($A864&gt;='1-Input'!$C$12,'1-Input'!$B$12,0))))*(1/(1-'P-Parametri'!$B$6*AD864))),MAX(0,3*AD836-(AH863-MIN(MAX(AH863,0),MAX(0,AD836-IF($A864&gt;='1-Input'!$C$12,'1-Input'!$B$12,0)))))*(1/(1-'P-Parametri'!$B$6*AD864))))</f>
        <v>9666.5224886723445</v>
      </c>
      <c r="AF864" s="18">
        <f>IF($A864&gt;'1-Input'!$B$26,AH863,(AH863-MAX(0,AD836-IF($A864&gt;='1-Input'!$C$12,'1-Input'!$B$12,0))+AE864*(1-'P-Parametri'!$B$6*AD864))*(1+'1-Input'!$B$27))</f>
        <v>56313.344052672539</v>
      </c>
      <c r="AG864" s="18">
        <f>IF($A864&gt;'1-Input'!$B$26,AI863,(AI863-AE864)*(1+$D$4))</f>
        <v>97448.243211722787</v>
      </c>
      <c r="AH864" s="18">
        <f>IF($A864&gt;'1-Input'!$B$26,AF864,AF864-'P-Parametri'!$B$8*(AG864+AF864)+MIN(MAX(AG864,0),'P-Parametri'!$B$8*(AG864+AF864)))</f>
        <v>56313.344052672539</v>
      </c>
      <c r="AI864" s="18">
        <f>IF($A864&gt;'1-Input'!$B$26,AG864,AG864-MIN(MAX(AG864,0),'P-Parametri'!$B$8*(AG864+AF864)))</f>
        <v>97140.720037193998</v>
      </c>
      <c r="AJ864" s="18">
        <f>IF($A864&gt;'1-Input'!$B$26,AJ863,AJ863-AE864*(1-AD864))</f>
        <v>29347.078967206879</v>
      </c>
      <c r="AK864" s="11">
        <f>IF($A864&gt;'1-Input'!$B$26,0,IF(AP863&lt;=0,0,MAX(0,(AP863-AQ863)/AP863)))</f>
        <v>0.68679872456615731</v>
      </c>
      <c r="AL864" s="18">
        <f>IF($A864&gt;'1-Input'!$B$26,0,(MAX(0,AK836-IF($A864&gt;='1-Input'!$C$12,'1-Input'!$B$12,0))-MIN(MAX(AO863,0),MAX(0,AK836-IF($A864&gt;='1-Input'!$C$12,'1-Input'!$B$12,0))))*(1/(1-'P-Parametri'!$B$6*AK864))+MIN(MAX(0,AP863-(MAX(0,AK836-IF($A864&gt;='1-Input'!$C$12,'1-Input'!$B$12,0))-MIN(MAX(AO863,0),MAX(0,AK836-IF($A864&gt;='1-Input'!$C$12,'1-Input'!$B$12,0))))*(1/(1-'P-Parametri'!$B$6*AK864))),MAX(0,3*AK836-(AO863-MIN(MAX(AO863,0),MAX(0,AK836-IF($A864&gt;='1-Input'!$C$12,'1-Input'!$B$12,0)))))*(1/(1-'P-Parametri'!$B$6*AK864))))</f>
        <v>9666.0057467707338</v>
      </c>
      <c r="AM864" s="18">
        <f>IF($A864&gt;'1-Input'!$B$26,AO863,(AO863-MAX(0,AK836-IF($A864&gt;='1-Input'!$C$12,'1-Input'!$B$12,0))+AL864*(1-'P-Parametri'!$B$6*AK864))*(1+'1-Input'!$B$27))</f>
        <v>56312.085122445489</v>
      </c>
      <c r="AN864" s="18">
        <f>IF($A864&gt;'1-Input'!$B$26,AP863,(AP863-AL864)*(1+$D$4))</f>
        <v>97473.242438095753</v>
      </c>
      <c r="AO864" s="18">
        <f>IF($A864&gt;'1-Input'!$B$26,AM864,AM864-'P-Parametri'!$B$8*(AN864+AM864)+MIN(MAX(AN864,0),'P-Parametri'!$B$8*(AN864+AM864)))</f>
        <v>56312.085122445489</v>
      </c>
      <c r="AP864" s="18">
        <f>IF($A864&gt;'1-Input'!$B$26,AN864,AN864-MIN(MAX(AN864,0),'P-Parametri'!$B$8*(AN864+AM864)))</f>
        <v>97165.671782974663</v>
      </c>
      <c r="AQ864" s="18">
        <f>IF($A864&gt;'1-Input'!$B$26,AQ863,AQ863-AL864*(1-AK864))</f>
        <v>29354.561396426681</v>
      </c>
    </row>
    <row r="865" spans="1:43">
      <c r="A865" s="10">
        <f>27</f>
        <v>27</v>
      </c>
      <c r="B865" s="11">
        <f>IF($A865&gt;'1-Input'!$B$26,0,IF(G864&lt;=0,0,MAX(0,(G864-H864)/G864)))</f>
        <v>0.69958518980867257</v>
      </c>
      <c r="C865" s="18">
        <f>IF($A865&gt;'1-Input'!$B$26,0,(MAX(0,B836-IF($A865&gt;='1-Input'!$C$12,'1-Input'!$B$12,0))-MIN(MAX(F864,0),MAX(0,B836-IF($A865&gt;='1-Input'!$C$12,'1-Input'!$B$12,0))))*(1/(1-'P-Parametri'!$B$6*B865))+MIN(MAX(0,G864-(MAX(0,B836-IF($A865&gt;='1-Input'!$C$12,'1-Input'!$B$12,0))-MIN(MAX(F864,0),MAX(0,B836-IF($A865&gt;='1-Input'!$C$12,'1-Input'!$B$12,0))))*(1/(1-'P-Parametri'!$B$6*B865))),MAX(0,3*B836-(F864-MIN(MAX(F864,0),MAX(0,B836-IF($A865&gt;='1-Input'!$C$12,'1-Input'!$B$12,0)))))*(1/(1-'P-Parametri'!$B$6*B865))))</f>
        <v>7039.6717345393663</v>
      </c>
      <c r="D865" s="18">
        <f>IF($A865&gt;'1-Input'!$B$26,F864,(F864-MAX(0,B836-IF($A865&gt;='1-Input'!$C$12,'1-Input'!$B$12,0))+C865*(1-'P-Parametri'!$B$6*B865))*(1+'1-Input'!$B$27))</f>
        <v>49863.010546479447</v>
      </c>
      <c r="E865" s="18">
        <f>IF($A865&gt;'1-Input'!$B$26,G864,(G864-C865)*(1+$D$4))</f>
        <v>226702.65776030114</v>
      </c>
      <c r="F865" s="18">
        <f>IF($A865&gt;'1-Input'!$B$26,D865,D865-'P-Parametri'!$B$8*(E865+D865)+MIN(MAX(E865,0),'P-Parametri'!$B$8*(E865+D865)))</f>
        <v>49863.010546479447</v>
      </c>
      <c r="G865" s="18">
        <f>IF($A865&gt;'1-Input'!$B$26,E865,E865-MIN(MAX(E865,0),'P-Parametri'!$B$8*(E865+D865)))</f>
        <v>226149.52642368758</v>
      </c>
      <c r="H865" s="18">
        <f>IF($A865&gt;'1-Input'!$B$26,H864,H864-C865*(1-B865))</f>
        <v>65485.419135509939</v>
      </c>
      <c r="I865" s="11">
        <f>IF($A865&gt;'1-Input'!$B$26,0,IF(N864&lt;=0,0,MAX(0,(N864-O864)/N864)))</f>
        <v>0</v>
      </c>
      <c r="J865" s="18">
        <f>IF($A865&gt;'1-Input'!$B$26,0,(MAX(0,I836-IF($A865&gt;='1-Input'!$C$12,'1-Input'!$B$12,0))-MIN(MAX(M864,0),MAX(0,I836-IF($A865&gt;='1-Input'!$C$12,'1-Input'!$B$12,0))))*(1/(1-'P-Parametri'!$B$6*I865))+MIN(MAX(0,N864-(MAX(0,I836-IF($A865&gt;='1-Input'!$C$12,'1-Input'!$B$12,0))-MIN(MAX(M864,0),MAX(0,I836-IF($A865&gt;='1-Input'!$C$12,'1-Input'!$B$12,0))))*(1/(1-'P-Parametri'!$B$6*I865))),MAX(0,3*I836-(M864-MIN(MAX(M864,0),MAX(0,I836-IF($A865&gt;='1-Input'!$C$12,'1-Input'!$B$12,0)))))*(1/(1-'P-Parametri'!$B$6*I865))))</f>
        <v>8049.6956964115498</v>
      </c>
      <c r="K865" s="18">
        <f>IF($A865&gt;'1-Input'!$B$26,M864,(M864-MAX(0,I836-IF($A865&gt;='1-Input'!$C$12,'1-Input'!$B$12,0))+J865*(1-'P-Parametri'!$B$6*I865))*(1+'1-Input'!$B$27))</f>
        <v>0</v>
      </c>
      <c r="L865" s="18">
        <f>IF($A865&gt;'1-Input'!$B$26,N864,(N864-J865)*(1+$D$4))</f>
        <v>-8371.6835242680118</v>
      </c>
      <c r="M865" s="18">
        <f>IF($A865&gt;'1-Input'!$B$26,K865,K865-'P-Parametri'!$B$8*(L865+K865)+MIN(MAX(L865,0),'P-Parametri'!$B$8*(L865+K865)))</f>
        <v>0</v>
      </c>
      <c r="N865" s="18">
        <f>IF($A865&gt;'1-Input'!$B$26,L865,L865-MIN(MAX(L865,0),'P-Parametri'!$B$8*(L865+K865)))</f>
        <v>-8354.9401572194765</v>
      </c>
      <c r="O865" s="18">
        <f>IF($A865&gt;'1-Input'!$B$26,O864,O864-J865*(1-I865))</f>
        <v>-8049.6956964115498</v>
      </c>
      <c r="P865" s="11">
        <f>IF($A865&gt;'1-Input'!$B$26,0,IF(U864&lt;=0,0,MAX(0,(U864-V864)/U864)))</f>
        <v>0.69707717024717575</v>
      </c>
      <c r="Q865" s="18">
        <f>IF($A865&gt;'1-Input'!$B$26,0,(MAX(0,P836-IF($A865&gt;='1-Input'!$C$12,'1-Input'!$B$12,0))-MIN(MAX(T864,0),MAX(0,P836-IF($A865&gt;='1-Input'!$C$12,'1-Input'!$B$12,0))))*(1/(1-'P-Parametri'!$B$6*P865))+MIN(MAX(0,U864-(MAX(0,P836-IF($A865&gt;='1-Input'!$C$12,'1-Input'!$B$12,0))-MIN(MAX(T864,0),MAX(0,P836-IF($A865&gt;='1-Input'!$C$12,'1-Input'!$B$12,0))))*(1/(1-'P-Parametri'!$B$6*P865))),MAX(0,3*P836-(T864-MIN(MAX(T864,0),MAX(0,P836-IF($A865&gt;='1-Input'!$C$12,'1-Input'!$B$12,0)))))*(1/(1-'P-Parametri'!$B$6*P865))))</f>
        <v>10292.20163003286</v>
      </c>
      <c r="R865" s="18">
        <f>IF($A865&gt;'1-Input'!$B$26,T864,(T864-MAX(0,P836-IF($A865&gt;='1-Input'!$C$12,'1-Input'!$B$12,0))+Q865*(1-'P-Parametri'!$B$6*P865))*(1+'1-Input'!$B$27))</f>
        <v>57751.895071455059</v>
      </c>
      <c r="S865" s="18">
        <f>IF($A865&gt;'1-Input'!$B$26,U864,(U864-Q865)*(1+$D$4))</f>
        <v>60673.298391391407</v>
      </c>
      <c r="T865" s="18">
        <f>IF($A865&gt;'1-Input'!$B$26,R865,R865-'P-Parametri'!$B$8*(S865+R865)+MIN(MAX(S865,0),'P-Parametri'!$B$8*(S865+R865)))</f>
        <v>57751.895071455059</v>
      </c>
      <c r="U865" s="18">
        <f>IF($A865&gt;'1-Input'!$B$26,S865,S865-MIN(MAX(S865,0),'P-Parametri'!$B$8*(S865+R865)))</f>
        <v>60436.44800446571</v>
      </c>
      <c r="V865" s="18">
        <f>IF($A865&gt;'1-Input'!$B$26,V864,V864-Q865*(1-P865))</f>
        <v>17672.430037651695</v>
      </c>
      <c r="W865" s="11">
        <f>IF($A865&gt;'1-Input'!$B$26,0,IF(AB864&lt;=0,0,MAX(0,(AB864-AC864)/AB864)))</f>
        <v>0.69784416718496378</v>
      </c>
      <c r="X865" s="18">
        <f>IF($A865&gt;'1-Input'!$B$26,0,(MAX(0,W836-IF($A865&gt;='1-Input'!$C$12,'1-Input'!$B$12,0))-MIN(MAX(AA864,0),MAX(0,W836-IF($A865&gt;='1-Input'!$C$12,'1-Input'!$B$12,0))))*(1/(1-'P-Parametri'!$B$6*W865))+MIN(MAX(0,AB864-(MAX(0,W836-IF($A865&gt;='1-Input'!$C$12,'1-Input'!$B$12,0))-MIN(MAX(AA864,0),MAX(0,W836-IF($A865&gt;='1-Input'!$C$12,'1-Input'!$B$12,0))))*(1/(1-'P-Parametri'!$B$6*W865))),MAX(0,3*W836-(AA864-MIN(MAX(AA864,0),MAX(0,W836-IF($A865&gt;='1-Input'!$C$12,'1-Input'!$B$12,0)))))*(1/(1-'P-Parametri'!$B$6*W865))))</f>
        <v>9742.4107980172939</v>
      </c>
      <c r="Y865" s="18">
        <f>IF($A865&gt;'1-Input'!$B$26,AA864,(AA864-MAX(0,W836-IF($A865&gt;='1-Input'!$C$12,'1-Input'!$B$12,0))+X865*(1-'P-Parametri'!$B$6*W865))*(1+'1-Input'!$B$27))</f>
        <v>56414.948075653221</v>
      </c>
      <c r="Z865" s="18">
        <f>IF($A865&gt;'1-Input'!$B$26,AB864,(AB864-X865)*(1+$D$4))</f>
        <v>88799.933309754444</v>
      </c>
      <c r="AA865" s="18">
        <f>IF($A865&gt;'1-Input'!$B$26,Y865,Y865-'P-Parametri'!$B$8*(Z865+Y865)+MIN(MAX(Z865,0),'P-Parametri'!$B$8*(Z865+Y865)))</f>
        <v>56414.948075653221</v>
      </c>
      <c r="AB865" s="18">
        <f>IF($A865&gt;'1-Input'!$B$26,Z865,Z865-MIN(MAX(Z865,0),'P-Parametri'!$B$8*(Z865+Y865)))</f>
        <v>88509.503546983629</v>
      </c>
      <c r="AC865" s="18">
        <f>IF($A865&gt;'1-Input'!$B$26,AC864,AC864-X865*(1-W865))</f>
        <v>25799.440195315889</v>
      </c>
      <c r="AD865" s="11">
        <f>IF($A865&gt;'1-Input'!$B$26,0,IF(AI864&lt;=0,0,MAX(0,(AI864-AJ864)/AI864)))</f>
        <v>0.69789107023326324</v>
      </c>
      <c r="AE865" s="18">
        <f>IF($A865&gt;'1-Input'!$B$26,0,(MAX(0,AD836-IF($A865&gt;='1-Input'!$C$12,'1-Input'!$B$12,0))-MIN(MAX(AH864,0),MAX(0,AD836-IF($A865&gt;='1-Input'!$C$12,'1-Input'!$B$12,0))))*(1/(1-'P-Parametri'!$B$6*AD865))+MIN(MAX(0,AI864-(MAX(0,AD836-IF($A865&gt;='1-Input'!$C$12,'1-Input'!$B$12,0))-MIN(MAX(AH864,0),MAX(0,AD836-IF($A865&gt;='1-Input'!$C$12,'1-Input'!$B$12,0))))*(1/(1-'P-Parametri'!$B$6*AD865))),MAX(0,3*AD836-(AH864-MIN(MAX(AH864,0),MAX(0,AD836-IF($A865&gt;='1-Input'!$C$12,'1-Input'!$B$12,0)))))*(1/(1-'P-Parametri'!$B$6*AD865))))</f>
        <v>9700.5822810642403</v>
      </c>
      <c r="AF865" s="18">
        <f>IF($A865&gt;'1-Input'!$B$26,AH864,(AH864-MAX(0,AD836-IF($A865&gt;='1-Input'!$C$12,'1-Input'!$B$12,0))+AE865*(1-'P-Parametri'!$B$6*AD865))*(1+'1-Input'!$B$27))</f>
        <v>56313.344052672539</v>
      </c>
      <c r="AG865" s="18">
        <f>IF($A865&gt;'1-Input'!$B$26,AI864,(AI864-AE865)*(1+$D$4))</f>
        <v>90937.74326637495</v>
      </c>
      <c r="AH865" s="18">
        <f>IF($A865&gt;'1-Input'!$B$26,AF865,AF865-'P-Parametri'!$B$8*(AG865+AF865)+MIN(MAX(AG865,0),'P-Parametri'!$B$8*(AG865+AF865)))</f>
        <v>56313.344052672539</v>
      </c>
      <c r="AI865" s="18">
        <f>IF($A865&gt;'1-Input'!$B$26,AG865,AG865-MIN(MAX(AG865,0),'P-Parametri'!$B$8*(AG865+AF865)))</f>
        <v>90643.241091736854</v>
      </c>
      <c r="AJ865" s="18">
        <f>IF($A865&gt;'1-Input'!$B$26,AJ864,AJ864-AE865*(1-AD865))</f>
        <v>26416.44643616039</v>
      </c>
      <c r="AK865" s="11">
        <f>IF($A865&gt;'1-Input'!$B$26,0,IF(AP864&lt;=0,0,MAX(0,(AP864-AQ864)/AP864)))</f>
        <v>0.69789164364558864</v>
      </c>
      <c r="AL865" s="18">
        <f>IF($A865&gt;'1-Input'!$B$26,0,(MAX(0,AK836-IF($A865&gt;='1-Input'!$C$12,'1-Input'!$B$12,0))-MIN(MAX(AO864,0),MAX(0,AK836-IF($A865&gt;='1-Input'!$C$12,'1-Input'!$B$12,0))))*(1/(1-'P-Parametri'!$B$6*AK865))+MIN(MAX(0,AP864-(MAX(0,AK836-IF($A865&gt;='1-Input'!$C$12,'1-Input'!$B$12,0))-MIN(MAX(AO864,0),MAX(0,AK836-IF($A865&gt;='1-Input'!$C$12,'1-Input'!$B$12,0))))*(1/(1-'P-Parametri'!$B$6*AK865))),MAX(0,3*AK836-(AO864-MIN(MAX(AO864,0),MAX(0,AK836-IF($A865&gt;='1-Input'!$C$12,'1-Input'!$B$12,0)))))*(1/(1-'P-Parametri'!$B$6*AK865))))</f>
        <v>9700.0639708553808</v>
      </c>
      <c r="AM865" s="18">
        <f>IF($A865&gt;'1-Input'!$B$26,AO864,(AO864-MAX(0,AK836-IF($A865&gt;='1-Input'!$C$12,'1-Input'!$B$12,0))+AL865*(1-'P-Parametri'!$B$6*AK865))*(1+'1-Input'!$B$27))</f>
        <v>56312.085122445489</v>
      </c>
      <c r="AN865" s="18">
        <f>IF($A865&gt;'1-Input'!$B$26,AP864,(AP864-AL865)*(1+$D$4))</f>
        <v>90964.232124604052</v>
      </c>
      <c r="AO865" s="18">
        <f>IF($A865&gt;'1-Input'!$B$26,AM865,AM865-'P-Parametri'!$B$8*(AN865+AM865)+MIN(MAX(AN865,0),'P-Parametri'!$B$8*(AN865+AM865)))</f>
        <v>56312.085122445489</v>
      </c>
      <c r="AP865" s="18">
        <f>IF($A865&gt;'1-Input'!$B$26,AN865,AN865-MIN(MAX(AN865,0),'P-Parametri'!$B$8*(AN865+AM865)))</f>
        <v>90669.679490109949</v>
      </c>
      <c r="AQ865" s="18">
        <f>IF($A865&gt;'1-Input'!$B$26,AQ864,AQ864-AL865*(1-AK865))</f>
        <v>26424.091013658915</v>
      </c>
    </row>
    <row r="866" spans="1:43">
      <c r="A866" s="10">
        <f>28</f>
        <v>28</v>
      </c>
      <c r="B866" s="11">
        <f>IF($A866&gt;'1-Input'!$B$26,0,IF(G865&lt;=0,0,MAX(0,(G865-H865)/G865)))</f>
        <v>0.71043309189680093</v>
      </c>
      <c r="C866" s="18">
        <f>IF($A866&gt;'1-Input'!$B$26,0,(MAX(0,B836-IF($A866&gt;='1-Input'!$C$12,'1-Input'!$B$12,0))-MIN(MAX(F865,0),MAX(0,B836-IF($A866&gt;='1-Input'!$C$12,'1-Input'!$B$12,0))))*(1/(1-'P-Parametri'!$B$6*B866))+MIN(MAX(0,G865-(MAX(0,B836-IF($A866&gt;='1-Input'!$C$12,'1-Input'!$B$12,0))-MIN(MAX(F865,0),MAX(0,B836-IF($A866&gt;='1-Input'!$C$12,'1-Input'!$B$12,0))))*(1/(1-'P-Parametri'!$B$6*B866))),MAX(0,3*B836-(F865-MIN(MAX(F865,0),MAX(0,B836-IF($A866&gt;='1-Input'!$C$12,'1-Input'!$B$12,0)))))*(1/(1-'P-Parametri'!$B$6*B866))))</f>
        <v>7064.0252008374009</v>
      </c>
      <c r="D866" s="18">
        <f>IF($A866&gt;'1-Input'!$B$26,F865,(F865-MAX(0,B836-IF($A866&gt;='1-Input'!$C$12,'1-Input'!$B$12,0))+C866*(1-'P-Parametri'!$B$6*B866))*(1+'1-Input'!$B$27))</f>
        <v>49863.010546479447</v>
      </c>
      <c r="E866" s="18">
        <f>IF($A866&gt;'1-Input'!$B$26,G865,(G865-C866)*(1+$D$4))</f>
        <v>227848.92127176418</v>
      </c>
      <c r="F866" s="18">
        <f>IF($A866&gt;'1-Input'!$B$26,D866,D866-'P-Parametri'!$B$8*(E866+D866)+MIN(MAX(E866,0),'P-Parametri'!$B$8*(E866+D866)))</f>
        <v>49863.010546479447</v>
      </c>
      <c r="G866" s="18">
        <f>IF($A866&gt;'1-Input'!$B$26,E866,E866-MIN(MAX(E866,0),'P-Parametri'!$B$8*(E866+D866)))</f>
        <v>227293.4974081277</v>
      </c>
      <c r="H866" s="18">
        <f>IF($A866&gt;'1-Input'!$B$26,H865,H865-C866*(1-B866))</f>
        <v>63439.911199340371</v>
      </c>
      <c r="I866" s="11">
        <f>IF($A866&gt;'1-Input'!$B$26,0,IF(N865&lt;=0,0,MAX(0,(N865-O865)/N865)))</f>
        <v>0</v>
      </c>
      <c r="J866" s="18">
        <f>IF($A866&gt;'1-Input'!$B$26,0,(MAX(0,I836-IF($A866&gt;='1-Input'!$C$12,'1-Input'!$B$12,0))-MIN(MAX(M865,0),MAX(0,I836-IF($A866&gt;='1-Input'!$C$12,'1-Input'!$B$12,0))))*(1/(1-'P-Parametri'!$B$6*I866))+MIN(MAX(0,N865-(MAX(0,I836-IF($A866&gt;='1-Input'!$C$12,'1-Input'!$B$12,0))-MIN(MAX(M865,0),MAX(0,I836-IF($A866&gt;='1-Input'!$C$12,'1-Input'!$B$12,0))))*(1/(1-'P-Parametri'!$B$6*I866))),MAX(0,3*I836-(M865-MIN(MAX(M865,0),MAX(0,I836-IF($A866&gt;='1-Input'!$C$12,'1-Input'!$B$12,0)))))*(1/(1-'P-Parametri'!$B$6*I866))))</f>
        <v>10846.756992928691</v>
      </c>
      <c r="K866" s="18">
        <f>IF($A866&gt;'1-Input'!$B$26,M865,(M865-MAX(0,I836-IF($A866&gt;='1-Input'!$C$12,'1-Input'!$B$12,0))+J866*(1-'P-Parametri'!$B$6*I866))*(1+'1-Input'!$B$27))</f>
        <v>0</v>
      </c>
      <c r="L866" s="18">
        <f>IF($A866&gt;'1-Input'!$B$26,N865,(N865-J866)*(1+$D$4))</f>
        <v>-19969.765036154095</v>
      </c>
      <c r="M866" s="18">
        <f>IF($A866&gt;'1-Input'!$B$26,K866,K866-'P-Parametri'!$B$8*(L866+K866)+MIN(MAX(L866,0),'P-Parametri'!$B$8*(L866+K866)))</f>
        <v>0</v>
      </c>
      <c r="N866" s="18">
        <f>IF($A866&gt;'1-Input'!$B$26,L866,L866-MIN(MAX(L866,0),'P-Parametri'!$B$8*(L866+K866)))</f>
        <v>-19929.825506081786</v>
      </c>
      <c r="O866" s="18">
        <f>IF($A866&gt;'1-Input'!$B$26,O865,O865-J866*(1-I866))</f>
        <v>-18896.45268934024</v>
      </c>
      <c r="P866" s="11">
        <f>IF($A866&gt;'1-Input'!$B$26,0,IF(U865&lt;=0,0,MAX(0,(U865-V865)/U865)))</f>
        <v>0.70758655379042368</v>
      </c>
      <c r="Q866" s="18">
        <f>IF($A866&gt;'1-Input'!$B$26,0,(MAX(0,P836-IF($A866&gt;='1-Input'!$C$12,'1-Input'!$B$12,0))-MIN(MAX(T865,0),MAX(0,P836-IF($A866&gt;='1-Input'!$C$12,'1-Input'!$B$12,0))))*(1/(1-'P-Parametri'!$B$6*P866))+MIN(MAX(0,U865-(MAX(0,P836-IF($A866&gt;='1-Input'!$C$12,'1-Input'!$B$12,0))-MIN(MAX(T865,0),MAX(0,P836-IF($A866&gt;='1-Input'!$C$12,'1-Input'!$B$12,0))))*(1/(1-'P-Parametri'!$B$6*P866))),MAX(0,3*P836-(T865-MIN(MAX(T865,0),MAX(0,P836-IF($A866&gt;='1-Input'!$C$12,'1-Input'!$B$12,0)))))*(1/(1-'P-Parametri'!$B$6*P866))))</f>
        <v>10326.664709635337</v>
      </c>
      <c r="R866" s="18">
        <f>IF($A866&gt;'1-Input'!$B$26,T865,(T865-MAX(0,P836-IF($A866&gt;='1-Input'!$C$12,'1-Input'!$B$12,0))+Q866*(1-'P-Parametri'!$B$6*P866))*(1+'1-Input'!$B$27))</f>
        <v>57751.895071455059</v>
      </c>
      <c r="S866" s="18">
        <f>IF($A866&gt;'1-Input'!$B$26,U865,(U865-Q866)*(1+$D$4))</f>
        <v>52114.174626623586</v>
      </c>
      <c r="T866" s="18">
        <f>IF($A866&gt;'1-Input'!$B$26,R866,R866-'P-Parametri'!$B$8*(S866+R866)+MIN(MAX(S866,0),'P-Parametri'!$B$8*(S866+R866)))</f>
        <v>57751.895071455059</v>
      </c>
      <c r="U866" s="18">
        <f>IF($A866&gt;'1-Input'!$B$26,S866,S866-MIN(MAX(S866,0),'P-Parametri'!$B$8*(S866+R866)))</f>
        <v>51894.442487227432</v>
      </c>
      <c r="V866" s="18">
        <f>IF($A866&gt;'1-Input'!$B$26,V865,V865-Q866*(1-P866))</f>
        <v>14652.774422056413</v>
      </c>
      <c r="W866" s="11">
        <f>IF($A866&gt;'1-Input'!$B$26,0,IF(AB865&lt;=0,0,MAX(0,(AB865-AC865)/AB865)))</f>
        <v>0.70851220308087326</v>
      </c>
      <c r="X866" s="18">
        <f>IF($A866&gt;'1-Input'!$B$26,0,(MAX(0,W836-IF($A866&gt;='1-Input'!$C$12,'1-Input'!$B$12,0))-MIN(MAX(AA865,0),MAX(0,W836-IF($A866&gt;='1-Input'!$C$12,'1-Input'!$B$12,0))))*(1/(1-'P-Parametri'!$B$6*W866))+MIN(MAX(0,AB865-(MAX(0,W836-IF($A866&gt;='1-Input'!$C$12,'1-Input'!$B$12,0))-MIN(MAX(AA865,0),MAX(0,W836-IF($A866&gt;='1-Input'!$C$12,'1-Input'!$B$12,0))))*(1/(1-'P-Parametri'!$B$6*W866))),MAX(0,3*W836-(AA865-MIN(MAX(AA865,0),MAX(0,W836-IF($A866&gt;='1-Input'!$C$12,'1-Input'!$B$12,0)))))*(1/(1-'P-Parametri'!$B$6*W866))))</f>
        <v>9775.5351633620085</v>
      </c>
      <c r="Y866" s="18">
        <f>IF($A866&gt;'1-Input'!$B$26,AA865,(AA865-MAX(0,W836-IF($A866&gt;='1-Input'!$C$12,'1-Input'!$B$12,0))+X866*(1-'P-Parametri'!$B$6*W866))*(1+'1-Input'!$B$27))</f>
        <v>56414.948075653221</v>
      </c>
      <c r="Z866" s="18">
        <f>IF($A866&gt;'1-Input'!$B$26,AB865,(AB865-X866)*(1+$D$4))</f>
        <v>81883.327118966496</v>
      </c>
      <c r="AA866" s="18">
        <f>IF($A866&gt;'1-Input'!$B$26,Y866,Y866-'P-Parametri'!$B$8*(Z866+Y866)+MIN(MAX(Z866,0),'P-Parametri'!$B$8*(Z866+Y866)))</f>
        <v>56414.948075653221</v>
      </c>
      <c r="AB866" s="18">
        <f>IF($A866&gt;'1-Input'!$B$26,Z866,Z866-MIN(MAX(Z866,0),'P-Parametri'!$B$8*(Z866+Y866)))</f>
        <v>81606.730568577259</v>
      </c>
      <c r="AC866" s="18">
        <f>IF($A866&gt;'1-Input'!$B$26,AC865,AC865-X866*(1-W866))</f>
        <v>22949.99098684204</v>
      </c>
      <c r="AD866" s="11">
        <f>IF($A866&gt;'1-Input'!$B$26,0,IF(AI865&lt;=0,0,MAX(0,(AI865-AJ865)/AI865)))</f>
        <v>0.70856683721817459</v>
      </c>
      <c r="AE866" s="18">
        <f>IF($A866&gt;'1-Input'!$B$26,0,(MAX(0,AD836-IF($A866&gt;='1-Input'!$C$12,'1-Input'!$B$12,0))-MIN(MAX(AH865,0),MAX(0,AD836-IF($A866&gt;='1-Input'!$C$12,'1-Input'!$B$12,0))))*(1/(1-'P-Parametri'!$B$6*AD866))+MIN(MAX(0,AI865-(MAX(0,AD836-IF($A866&gt;='1-Input'!$C$12,'1-Input'!$B$12,0))-MIN(MAX(AH865,0),MAX(0,AD836-IF($A866&gt;='1-Input'!$C$12,'1-Input'!$B$12,0))))*(1/(1-'P-Parametri'!$B$6*AD866))),MAX(0,3*AD836-(AH865-MIN(MAX(AH865,0),MAX(0,AD836-IF($A866&gt;='1-Input'!$C$12,'1-Input'!$B$12,0)))))*(1/(1-'P-Parametri'!$B$6*AD866))))</f>
        <v>9733.5889055038697</v>
      </c>
      <c r="AF866" s="18">
        <f>IF($A866&gt;'1-Input'!$B$26,AH865,(AH865-MAX(0,AD836-IF($A866&gt;='1-Input'!$C$12,'1-Input'!$B$12,0))+AE866*(1-'P-Parametri'!$B$6*AD866))*(1+'1-Input'!$B$27))</f>
        <v>56313.344052672539</v>
      </c>
      <c r="AG866" s="18">
        <f>IF($A866&gt;'1-Input'!$B$26,AI865,(AI865-AE866)*(1+$D$4))</f>
        <v>84146.038273682308</v>
      </c>
      <c r="AH866" s="18">
        <f>IF($A866&gt;'1-Input'!$B$26,AF866,AF866-'P-Parametri'!$B$8*(AG866+AF866)+MIN(MAX(AG866,0),'P-Parametri'!$B$8*(AG866+AF866)))</f>
        <v>56313.344052672539</v>
      </c>
      <c r="AI866" s="18">
        <f>IF($A866&gt;'1-Input'!$B$26,AG866,AG866-MIN(MAX(AG866,0),'P-Parametri'!$B$8*(AG866+AF866)))</f>
        <v>83865.119509029595</v>
      </c>
      <c r="AJ866" s="18">
        <f>IF($A866&gt;'1-Input'!$B$26,AJ865,AJ865-AE866*(1-AD866))</f>
        <v>23579.755836211312</v>
      </c>
      <c r="AK866" s="11">
        <f>IF($A866&gt;'1-Input'!$B$26,0,IF(AP865&lt;=0,0,MAX(0,(AP865-AQ865)/AP865)))</f>
        <v>0.70856750390806</v>
      </c>
      <c r="AL866" s="18">
        <f>IF($A866&gt;'1-Input'!$B$26,0,(MAX(0,AK836-IF($A866&gt;='1-Input'!$C$12,'1-Input'!$B$12,0))-MIN(MAX(AO865,0),MAX(0,AK836-IF($A866&gt;='1-Input'!$C$12,'1-Input'!$B$12,0))))*(1/(1-'P-Parametri'!$B$6*AK866))+MIN(MAX(0,AP865-(MAX(0,AK836-IF($A866&gt;='1-Input'!$C$12,'1-Input'!$B$12,0))-MIN(MAX(AO865,0),MAX(0,AK836-IF($A866&gt;='1-Input'!$C$12,'1-Input'!$B$12,0))))*(1/(1-'P-Parametri'!$B$6*AK866))),MAX(0,3*AK836-(AO865-MIN(MAX(AO865,0),MAX(0,AK836-IF($A866&gt;='1-Input'!$C$12,'1-Input'!$B$12,0)))))*(1/(1-'P-Parametri'!$B$6*AK866))))</f>
        <v>9733.0691271105406</v>
      </c>
      <c r="AM866" s="18">
        <f>IF($A866&gt;'1-Input'!$B$26,AO865,(AO865-MAX(0,AK836-IF($A866&gt;='1-Input'!$C$12,'1-Input'!$B$12,0))+AL866*(1-'P-Parametri'!$B$6*AK866))*(1+'1-Input'!$B$27))</f>
        <v>56312.085122445489</v>
      </c>
      <c r="AN866" s="18">
        <f>IF($A866&gt;'1-Input'!$B$26,AP865,(AP865-AL866)*(1+$D$4))</f>
        <v>84174.074777519389</v>
      </c>
      <c r="AO866" s="18">
        <f>IF($A866&gt;'1-Input'!$B$26,AM866,AM866-'P-Parametri'!$B$8*(AN866+AM866)+MIN(MAX(AN866,0),'P-Parametri'!$B$8*(AN866+AM866)))</f>
        <v>56312.085122445489</v>
      </c>
      <c r="AP866" s="18">
        <f>IF($A866&gt;'1-Input'!$B$26,AN866,AN866-MIN(MAX(AN866,0),'P-Parametri'!$B$8*(AN866+AM866)))</f>
        <v>83893.102457719462</v>
      </c>
      <c r="AQ866" s="18">
        <f>IF($A866&gt;'1-Input'!$B$26,AQ865,AQ865-AL866*(1-AK866))</f>
        <v>23587.55838330969</v>
      </c>
    </row>
    <row r="867" spans="1:43">
      <c r="A867" s="10">
        <f>29</f>
        <v>29</v>
      </c>
      <c r="B867" s="11">
        <f>IF($A867&gt;'1-Input'!$B$26,0,IF(G866&lt;=0,0,MAX(0,(G866-H866)/G866)))</f>
        <v>0.72088989820316862</v>
      </c>
      <c r="C867" s="18">
        <f>IF($A867&gt;'1-Input'!$B$26,0,(MAX(0,B836-IF($A867&gt;='1-Input'!$C$12,'1-Input'!$B$12,0))-MIN(MAX(F866,0),MAX(0,B836-IF($A867&gt;='1-Input'!$C$12,'1-Input'!$B$12,0))))*(1/(1-'P-Parametri'!$B$6*B867))+MIN(MAX(0,G866-(MAX(0,B836-IF($A867&gt;='1-Input'!$C$12,'1-Input'!$B$12,0))-MIN(MAX(F866,0),MAX(0,B836-IF($A867&gt;='1-Input'!$C$12,'1-Input'!$B$12,0))))*(1/(1-'P-Parametri'!$B$6*B867))),MAX(0,3*B836-(F866-MIN(MAX(F866,0),MAX(0,B836-IF($A867&gt;='1-Input'!$C$12,'1-Input'!$B$12,0)))))*(1/(1-'P-Parametri'!$B$6*B867))))</f>
        <v>7087.6606903508209</v>
      </c>
      <c r="D867" s="18">
        <f>IF($A867&gt;'1-Input'!$B$26,F866,(F866-MAX(0,B836-IF($A867&gt;='1-Input'!$C$12,'1-Input'!$B$12,0))+C867*(1-'P-Parametri'!$B$6*B867))*(1+'1-Input'!$B$27))</f>
        <v>49863.010546479447</v>
      </c>
      <c r="E867" s="18">
        <f>IF($A867&gt;'1-Input'!$B$26,G866,(G866-C867)*(1+$D$4))</f>
        <v>229014.07018648798</v>
      </c>
      <c r="F867" s="18">
        <f>IF($A867&gt;'1-Input'!$B$26,D867,D867-'P-Parametri'!$B$8*(E867+D867)+MIN(MAX(E867,0),'P-Parametri'!$B$8*(E867+D867)))</f>
        <v>49863.010546479447</v>
      </c>
      <c r="G867" s="18">
        <f>IF($A867&gt;'1-Input'!$B$26,E867,E867-MIN(MAX(E867,0),'P-Parametri'!$B$8*(E867+D867)))</f>
        <v>228456.31602502204</v>
      </c>
      <c r="H867" s="18">
        <f>IF($A867&gt;'1-Input'!$B$26,H866,H866-C867*(1-B867))</f>
        <v>61461.673502555153</v>
      </c>
      <c r="I867" s="11">
        <f>IF($A867&gt;'1-Input'!$B$26,0,IF(N866&lt;=0,0,MAX(0,(N866-O866)/N866)))</f>
        <v>0</v>
      </c>
      <c r="J867" s="18">
        <f>IF($A867&gt;'1-Input'!$B$26,0,(MAX(0,I836-IF($A867&gt;='1-Input'!$C$12,'1-Input'!$B$12,0))-MIN(MAX(M866,0),MAX(0,I836-IF($A867&gt;='1-Input'!$C$12,'1-Input'!$B$12,0))))*(1/(1-'P-Parametri'!$B$6*I867))+MIN(MAX(0,N866-(MAX(0,I836-IF($A867&gt;='1-Input'!$C$12,'1-Input'!$B$12,0))-MIN(MAX(M866,0),MAX(0,I836-IF($A867&gt;='1-Input'!$C$12,'1-Input'!$B$12,0))))*(1/(1-'P-Parametri'!$B$6*I867))),MAX(0,3*I836-(M866-MIN(MAX(M866,0),MAX(0,I836-IF($A867&gt;='1-Input'!$C$12,'1-Input'!$B$12,0)))))*(1/(1-'P-Parametri'!$B$6*I867))))</f>
        <v>10846.756992928691</v>
      </c>
      <c r="K867" s="18">
        <f>IF($A867&gt;'1-Input'!$B$26,M866,(M866-MAX(0,I836-IF($A867&gt;='1-Input'!$C$12,'1-Input'!$B$12,0))+J867*(1-'P-Parametri'!$B$6*I867))*(1+'1-Input'!$B$27))</f>
        <v>0</v>
      </c>
      <c r="L867" s="18">
        <f>IF($A867&gt;'1-Input'!$B$26,N866,(N866-J867)*(1+$D$4))</f>
        <v>-32007.645798970898</v>
      </c>
      <c r="M867" s="18">
        <f>IF($A867&gt;'1-Input'!$B$26,K867,K867-'P-Parametri'!$B$8*(L867+K867)+MIN(MAX(L867,0),'P-Parametri'!$B$8*(L867+K867)))</f>
        <v>0</v>
      </c>
      <c r="N867" s="18">
        <f>IF($A867&gt;'1-Input'!$B$26,L867,L867-MIN(MAX(L867,0),'P-Parametri'!$B$8*(L867+K867)))</f>
        <v>-31943.630507372956</v>
      </c>
      <c r="O867" s="18">
        <f>IF($A867&gt;'1-Input'!$B$26,O866,O866-J867*(1-I867))</f>
        <v>-29743.209682268931</v>
      </c>
      <c r="P867" s="11">
        <f>IF($A867&gt;'1-Input'!$B$26,0,IF(U866&lt;=0,0,MAX(0,(U866-V866)/U866)))</f>
        <v>0.7176427046949615</v>
      </c>
      <c r="Q867" s="18">
        <f>IF($A867&gt;'1-Input'!$B$26,0,(MAX(0,P836-IF($A867&gt;='1-Input'!$C$12,'1-Input'!$B$12,0))-MIN(MAX(T866,0),MAX(0,P836-IF($A867&gt;='1-Input'!$C$12,'1-Input'!$B$12,0))))*(1/(1-'P-Parametri'!$B$6*P867))+MIN(MAX(0,U866-(MAX(0,P836-IF($A867&gt;='1-Input'!$C$12,'1-Input'!$B$12,0))-MIN(MAX(T866,0),MAX(0,P836-IF($A867&gt;='1-Input'!$C$12,'1-Input'!$B$12,0))))*(1/(1-'P-Parametri'!$B$6*P867))),MAX(0,3*P836-(T866-MIN(MAX(T866,0),MAX(0,P836-IF($A867&gt;='1-Input'!$C$12,'1-Input'!$B$12,0)))))*(1/(1-'P-Parametri'!$B$6*P867))))</f>
        <v>10359.858294048221</v>
      </c>
      <c r="R867" s="18">
        <f>IF($A867&gt;'1-Input'!$B$26,T866,(T866-MAX(0,P836-IF($A867&gt;='1-Input'!$C$12,'1-Input'!$B$12,0))+Q867*(1-'P-Parametri'!$B$6*P867))*(1+'1-Input'!$B$27))</f>
        <v>57751.895071455059</v>
      </c>
      <c r="S867" s="18">
        <f>IF($A867&gt;'1-Input'!$B$26,U866,(U866-Q867)*(1+$D$4))</f>
        <v>43195.967560906378</v>
      </c>
      <c r="T867" s="18">
        <f>IF($A867&gt;'1-Input'!$B$26,R867,R867-'P-Parametri'!$B$8*(S867+R867)+MIN(MAX(S867,0),'P-Parametri'!$B$8*(S867+R867)))</f>
        <v>57751.895071455059</v>
      </c>
      <c r="U867" s="18">
        <f>IF($A867&gt;'1-Input'!$B$26,S867,S867-MIN(MAX(S867,0),'P-Parametri'!$B$8*(S867+R867)))</f>
        <v>42994.071835641655</v>
      </c>
      <c r="V867" s="18">
        <f>IF($A867&gt;'1-Input'!$B$26,V866,V866-Q867*(1-P867))</f>
        <v>11727.592854405488</v>
      </c>
      <c r="W867" s="11">
        <f>IF($A867&gt;'1-Input'!$B$26,0,IF(AB866&lt;=0,0,MAX(0,(AB866-AC866)/AB866)))</f>
        <v>0.71877330672429918</v>
      </c>
      <c r="X867" s="18">
        <f>IF($A867&gt;'1-Input'!$B$26,0,(MAX(0,W836-IF($A867&gt;='1-Input'!$C$12,'1-Input'!$B$12,0))-MIN(MAX(AA866,0),MAX(0,W836-IF($A867&gt;='1-Input'!$C$12,'1-Input'!$B$12,0))))*(1/(1-'P-Parametri'!$B$6*W867))+MIN(MAX(0,AB866-(MAX(0,W836-IF($A867&gt;='1-Input'!$C$12,'1-Input'!$B$12,0))-MIN(MAX(AA866,0),MAX(0,W836-IF($A867&gt;='1-Input'!$C$12,'1-Input'!$B$12,0))))*(1/(1-'P-Parametri'!$B$6*W867))),MAX(0,3*W836-(AA866-MIN(MAX(AA866,0),MAX(0,W836-IF($A867&gt;='1-Input'!$C$12,'1-Input'!$B$12,0)))))*(1/(1-'P-Parametri'!$B$6*W867))))</f>
        <v>9807.6092196581812</v>
      </c>
      <c r="Y867" s="18">
        <f>IF($A867&gt;'1-Input'!$B$26,AA866,(AA866-MAX(0,W836-IF($A867&gt;='1-Input'!$C$12,'1-Input'!$B$12,0))+X867*(1-'P-Parametri'!$B$6*W867))*(1+'1-Input'!$B$27))</f>
        <v>56414.948075653221</v>
      </c>
      <c r="Z867" s="18">
        <f>IF($A867&gt;'1-Input'!$B$26,AB866,(AB866-X867)*(1+$D$4))</f>
        <v>74671.086202875857</v>
      </c>
      <c r="AA867" s="18">
        <f>IF($A867&gt;'1-Input'!$B$26,Y867,Y867-'P-Parametri'!$B$8*(Z867+Y867)+MIN(MAX(Z867,0),'P-Parametri'!$B$8*(Z867+Y867)))</f>
        <v>56414.948075653221</v>
      </c>
      <c r="AB867" s="18">
        <f>IF($A867&gt;'1-Input'!$B$26,Z867,Z867-MIN(MAX(Z867,0),'P-Parametri'!$B$8*(Z867+Y867)))</f>
        <v>74408.914134318795</v>
      </c>
      <c r="AC867" s="18">
        <f>IF($A867&gt;'1-Input'!$B$26,AC866,AC866-X867*(1-W867))</f>
        <v>20191.829477057294</v>
      </c>
      <c r="AD867" s="11">
        <f>IF($A867&gt;'1-Input'!$B$26,0,IF(AI866&lt;=0,0,MAX(0,(AI866-AJ866)/AI866)))</f>
        <v>0.71883715215271915</v>
      </c>
      <c r="AE867" s="18">
        <f>IF($A867&gt;'1-Input'!$B$26,0,(MAX(0,AD836-IF($A867&gt;='1-Input'!$C$12,'1-Input'!$B$12,0))-MIN(MAX(AH866,0),MAX(0,AD836-IF($A867&gt;='1-Input'!$C$12,'1-Input'!$B$12,0))))*(1/(1-'P-Parametri'!$B$6*AD867))+MIN(MAX(0,AI866-(MAX(0,AD836-IF($A867&gt;='1-Input'!$C$12,'1-Input'!$B$12,0))-MIN(MAX(AH866,0),MAX(0,AD836-IF($A867&gt;='1-Input'!$C$12,'1-Input'!$B$12,0))))*(1/(1-'P-Parametri'!$B$6*AD867))),MAX(0,3*AD836-(AH866-MIN(MAX(AH866,0),MAX(0,AD836-IF($A867&gt;='1-Input'!$C$12,'1-Input'!$B$12,0)))))*(1/(1-'P-Parametri'!$B$6*AD867))))</f>
        <v>9765.5546554692228</v>
      </c>
      <c r="AF867" s="18">
        <f>IF($A867&gt;'1-Input'!$B$26,AH866,(AH866-MAX(0,AD836-IF($A867&gt;='1-Input'!$C$12,'1-Input'!$B$12,0))+AE867*(1-'P-Parametri'!$B$6*AD867))*(1+'1-Input'!$B$27))</f>
        <v>56313.344052672539</v>
      </c>
      <c r="AG867" s="18">
        <f>IF($A867&gt;'1-Input'!$B$26,AI866,(AI866-AE867)*(1+$D$4))</f>
        <v>77063.547447702789</v>
      </c>
      <c r="AH867" s="18">
        <f>IF($A867&gt;'1-Input'!$B$26,AF867,AF867-'P-Parametri'!$B$8*(AG867+AF867)+MIN(MAX(AG867,0),'P-Parametri'!$B$8*(AG867+AF867)))</f>
        <v>56313.344052672539</v>
      </c>
      <c r="AI867" s="18">
        <f>IF($A867&gt;'1-Input'!$B$26,AG867,AG867-MIN(MAX(AG867,0),'P-Parametri'!$B$8*(AG867+AF867)))</f>
        <v>76796.79366470204</v>
      </c>
      <c r="AJ867" s="18">
        <f>IF($A867&gt;'1-Input'!$B$26,AJ866,AJ866-AE867*(1-AD867))</f>
        <v>20834.044678471313</v>
      </c>
      <c r="AK867" s="11">
        <f>IF($A867&gt;'1-Input'!$B$26,0,IF(AP866&lt;=0,0,MAX(0,(AP866-AQ866)/AP866)))</f>
        <v>0.71883792955210624</v>
      </c>
      <c r="AL867" s="18">
        <f>IF($A867&gt;'1-Input'!$B$26,0,(MAX(0,AK836-IF($A867&gt;='1-Input'!$C$12,'1-Input'!$B$12,0))-MIN(MAX(AO866,0),MAX(0,AK836-IF($A867&gt;='1-Input'!$C$12,'1-Input'!$B$12,0))))*(1/(1-'P-Parametri'!$B$6*AK867))+MIN(MAX(0,AP866-(MAX(0,AK836-IF($A867&gt;='1-Input'!$C$12,'1-Input'!$B$12,0))-MIN(MAX(AO866,0),MAX(0,AK836-IF($A867&gt;='1-Input'!$C$12,'1-Input'!$B$12,0))))*(1/(1-'P-Parametri'!$B$6*AK867))),MAX(0,3*AK836-(AO866-MIN(MAX(AO866,0),MAX(0,AK836-IF($A867&gt;='1-Input'!$C$12,'1-Input'!$B$12,0)))))*(1/(1-'P-Parametri'!$B$6*AK867))))</f>
        <v>9765.0335225934814</v>
      </c>
      <c r="AM867" s="18">
        <f>IF($A867&gt;'1-Input'!$B$26,AO866,(AO866-MAX(0,AK836-IF($A867&gt;='1-Input'!$C$12,'1-Input'!$B$12,0))+AL867*(1-'P-Parametri'!$B$6*AK867))*(1+'1-Input'!$B$27))</f>
        <v>56312.085122445489</v>
      </c>
      <c r="AN867" s="18">
        <f>IF($A867&gt;'1-Input'!$B$26,AP866,(AP866-AL867)*(1+$D$4))</f>
        <v>77093.191692531022</v>
      </c>
      <c r="AO867" s="18">
        <f>IF($A867&gt;'1-Input'!$B$26,AM867,AM867-'P-Parametri'!$B$8*(AN867+AM867)+MIN(MAX(AN867,0),'P-Parametri'!$B$8*(AN867+AM867)))</f>
        <v>56312.085122445489</v>
      </c>
      <c r="AP867" s="18">
        <f>IF($A867&gt;'1-Input'!$B$26,AN867,AN867-MIN(MAX(AN867,0),'P-Parametri'!$B$8*(AN867+AM867)))</f>
        <v>76826.381138901066</v>
      </c>
      <c r="AQ867" s="18">
        <f>IF($A867&gt;'1-Input'!$B$26,AQ866,AQ866-AL867*(1-AK867))</f>
        <v>20842.001340104216</v>
      </c>
    </row>
    <row r="868" spans="1:43">
      <c r="A868" s="10">
        <f>30</f>
        <v>30</v>
      </c>
      <c r="B868" s="11">
        <f>IF($A868&gt;'1-Input'!$B$26,0,IF(G867&lt;=0,0,MAX(0,(G867-H867)/G867)))</f>
        <v>0.73096969008366808</v>
      </c>
      <c r="C868" s="18">
        <f>IF($A868&gt;'1-Input'!$B$26,0,(MAX(0,B836-IF($A868&gt;='1-Input'!$C$12,'1-Input'!$B$12,0))-MIN(MAX(F867,0),MAX(0,B836-IF($A868&gt;='1-Input'!$C$12,'1-Input'!$B$12,0))))*(1/(1-'P-Parametri'!$B$6*B868))+MIN(MAX(0,G867-(MAX(0,B836-IF($A868&gt;='1-Input'!$C$12,'1-Input'!$B$12,0))-MIN(MAX(F867,0),MAX(0,B836-IF($A868&gt;='1-Input'!$C$12,'1-Input'!$B$12,0))))*(1/(1-'P-Parametri'!$B$6*B868))),MAX(0,3*B836-(F867-MIN(MAX(F867,0),MAX(0,B836-IF($A868&gt;='1-Input'!$C$12,'1-Input'!$B$12,0)))))*(1/(1-'P-Parametri'!$B$6*B868))))</f>
        <v>7110.5942124474586</v>
      </c>
      <c r="D868" s="18">
        <f>IF($A868&gt;'1-Input'!$B$26,F867,(F867-MAX(0,B836-IF($A868&gt;='1-Input'!$C$12,'1-Input'!$B$12,0))+C868*(1-'P-Parametri'!$B$6*B868))*(1+'1-Input'!$B$27))</f>
        <v>49863.010546479447</v>
      </c>
      <c r="E868" s="18">
        <f>IF($A868&gt;'1-Input'!$B$26,G867,(G867-C868)*(1+$D$4))</f>
        <v>230199.55068507756</v>
      </c>
      <c r="F868" s="18">
        <f>IF($A868&gt;'1-Input'!$B$26,D868,D868-'P-Parametri'!$B$8*(E868+D868)+MIN(MAX(E868,0),'P-Parametri'!$B$8*(E868+D868)))</f>
        <v>49863.010546479447</v>
      </c>
      <c r="G868" s="18">
        <f>IF($A868&gt;'1-Input'!$B$26,E868,E868-MIN(MAX(E868,0),'P-Parametri'!$B$8*(E868+D868)))</f>
        <v>229639.42556261443</v>
      </c>
      <c r="H868" s="18">
        <f>IF($A868&gt;'1-Input'!$B$26,H867,H867-C868*(1-B868))</f>
        <v>59548.708137891139</v>
      </c>
      <c r="I868" s="11">
        <f>IF($A868&gt;'1-Input'!$B$26,0,IF(N867&lt;=0,0,MAX(0,(N867-O867)/N867)))</f>
        <v>0</v>
      </c>
      <c r="J868" s="18">
        <f>IF($A868&gt;'1-Input'!$B$26,0,(MAX(0,I836-IF($A868&gt;='1-Input'!$C$12,'1-Input'!$B$12,0))-MIN(MAX(M867,0),MAX(0,I836-IF($A868&gt;='1-Input'!$C$12,'1-Input'!$B$12,0))))*(1/(1-'P-Parametri'!$B$6*I868))+MIN(MAX(0,N867-(MAX(0,I836-IF($A868&gt;='1-Input'!$C$12,'1-Input'!$B$12,0))-MIN(MAX(M867,0),MAX(0,I836-IF($A868&gt;='1-Input'!$C$12,'1-Input'!$B$12,0))))*(1/(1-'P-Parametri'!$B$6*I868))),MAX(0,3*I836-(M867-MIN(MAX(M867,0),MAX(0,I836-IF($A868&gt;='1-Input'!$C$12,'1-Input'!$B$12,0)))))*(1/(1-'P-Parametri'!$B$6*I868))))</f>
        <v>10846.756992928691</v>
      </c>
      <c r="K868" s="18">
        <f>IF($A868&gt;'1-Input'!$B$26,M867,(M867-MAX(0,I836-IF($A868&gt;='1-Input'!$C$12,'1-Input'!$B$12,0))+J868*(1-'P-Parametri'!$B$6*I868))*(1+'1-Input'!$B$27))</f>
        <v>0</v>
      </c>
      <c r="L868" s="18">
        <f>IF($A868&gt;'1-Input'!$B$26,N867,(N867-J868)*(1+$D$4))</f>
        <v>-44502.003000313714</v>
      </c>
      <c r="M868" s="18">
        <f>IF($A868&gt;'1-Input'!$B$26,K868,K868-'P-Parametri'!$B$8*(L868+K868)+MIN(MAX(L868,0),'P-Parametri'!$B$8*(L868+K868)))</f>
        <v>0</v>
      </c>
      <c r="N868" s="18">
        <f>IF($A868&gt;'1-Input'!$B$26,L868,L868-MIN(MAX(L868,0),'P-Parametri'!$B$8*(L868+K868)))</f>
        <v>-44412.998994313086</v>
      </c>
      <c r="O868" s="18">
        <f>IF($A868&gt;'1-Input'!$B$26,O867,O867-J868*(1-I868))</f>
        <v>-40589.966675197618</v>
      </c>
      <c r="P868" s="11">
        <f>IF($A868&gt;'1-Input'!$B$26,0,IF(U867&lt;=0,0,MAX(0,(U867-V867)/U867)))</f>
        <v>0.72722767689373791</v>
      </c>
      <c r="Q868" s="18">
        <f>IF($A868&gt;'1-Input'!$B$26,0,(MAX(0,P836-IF($A868&gt;='1-Input'!$C$12,'1-Input'!$B$12,0))-MIN(MAX(T867,0),MAX(0,P836-IF($A868&gt;='1-Input'!$C$12,'1-Input'!$B$12,0))))*(1/(1-'P-Parametri'!$B$6*P868))+MIN(MAX(0,U867-(MAX(0,P836-IF($A868&gt;='1-Input'!$C$12,'1-Input'!$B$12,0))-MIN(MAX(T867,0),MAX(0,P836-IF($A868&gt;='1-Input'!$C$12,'1-Input'!$B$12,0))))*(1/(1-'P-Parametri'!$B$6*P868))),MAX(0,3*P836-(T867-MIN(MAX(T867,0),MAX(0,P836-IF($A868&gt;='1-Input'!$C$12,'1-Input'!$B$12,0)))))*(1/(1-'P-Parametri'!$B$6*P868))))</f>
        <v>10391.695839518323</v>
      </c>
      <c r="R868" s="18">
        <f>IF($A868&gt;'1-Input'!$B$26,T867,(T867-MAX(0,P836-IF($A868&gt;='1-Input'!$C$12,'1-Input'!$B$12,0))+Q868*(1-'P-Parametri'!$B$6*P868))*(1+'1-Input'!$B$27))</f>
        <v>57751.895071455059</v>
      </c>
      <c r="S868" s="18">
        <f>IF($A868&gt;'1-Input'!$B$26,U867,(U867-Q868)*(1+$D$4))</f>
        <v>33906.471035968265</v>
      </c>
      <c r="T868" s="18">
        <f>IF($A868&gt;'1-Input'!$B$26,R868,R868-'P-Parametri'!$B$8*(S868+R868)+MIN(MAX(S868,0),'P-Parametri'!$B$8*(S868+R868)))</f>
        <v>57751.895071455059</v>
      </c>
      <c r="U868" s="18">
        <f>IF($A868&gt;'1-Input'!$B$26,S868,S868-MIN(MAX(S868,0),'P-Parametri'!$B$8*(S868+R868)))</f>
        <v>33723.154303753421</v>
      </c>
      <c r="V868" s="18">
        <f>IF($A868&gt;'1-Input'!$B$26,V867,V867-Q868*(1-P868))</f>
        <v>8893.0258392463966</v>
      </c>
      <c r="W868" s="11">
        <f>IF($A868&gt;'1-Input'!$B$26,0,IF(AB867&lt;=0,0,MAX(0,(AB867-AC867)/AB867)))</f>
        <v>0.72863695550497964</v>
      </c>
      <c r="X868" s="18">
        <f>IF($A868&gt;'1-Input'!$B$26,0,(MAX(0,W836-IF($A868&gt;='1-Input'!$C$12,'1-Input'!$B$12,0))-MIN(MAX(AA867,0),MAX(0,W836-IF($A868&gt;='1-Input'!$C$12,'1-Input'!$B$12,0))))*(1/(1-'P-Parametri'!$B$6*W868))+MIN(MAX(0,AB867-(MAX(0,W836-IF($A868&gt;='1-Input'!$C$12,'1-Input'!$B$12,0))-MIN(MAX(AA867,0),MAX(0,W836-IF($A868&gt;='1-Input'!$C$12,'1-Input'!$B$12,0))))*(1/(1-'P-Parametri'!$B$6*W868))),MAX(0,3*W836-(AA867-MIN(MAX(AA867,0),MAX(0,W836-IF($A868&gt;='1-Input'!$C$12,'1-Input'!$B$12,0)))))*(1/(1-'P-Parametri'!$B$6*W868))))</f>
        <v>9838.6399457501702</v>
      </c>
      <c r="Y868" s="18">
        <f>IF($A868&gt;'1-Input'!$B$26,AA867,(AA867-MAX(0,W836-IF($A868&gt;='1-Input'!$C$12,'1-Input'!$B$12,0))+X868*(1-'P-Parametri'!$B$6*W868))*(1+'1-Input'!$B$27))</f>
        <v>56414.948075653221</v>
      </c>
      <c r="Z868" s="18">
        <f>IF($A868&gt;'1-Input'!$B$26,AB867,(AB867-X868)*(1+$D$4))</f>
        <v>67153.085156111367</v>
      </c>
      <c r="AA868" s="18">
        <f>IF($A868&gt;'1-Input'!$B$26,Y868,Y868-'P-Parametri'!$B$8*(Z868+Y868)+MIN(MAX(Z868,0),'P-Parametri'!$B$8*(Z868+Y868)))</f>
        <v>56414.948075653221</v>
      </c>
      <c r="AB868" s="18">
        <f>IF($A868&gt;'1-Input'!$B$26,Z868,Z868-MIN(MAX(Z868,0),'P-Parametri'!$B$8*(Z868+Y868)))</f>
        <v>66905.949089647838</v>
      </c>
      <c r="AC868" s="18">
        <f>IF($A868&gt;'1-Input'!$B$26,AC867,AC867-X868*(1-W868))</f>
        <v>17521.986187688206</v>
      </c>
      <c r="AD868" s="11">
        <f>IF($A868&gt;'1-Input'!$B$26,0,IF(AI867&lt;=0,0,MAX(0,(AI867-AJ867)/AI867)))</f>
        <v>0.72871205053906796</v>
      </c>
      <c r="AE868" s="18">
        <f>IF($A868&gt;'1-Input'!$B$26,0,(MAX(0,AD836-IF($A868&gt;='1-Input'!$C$12,'1-Input'!$B$12,0))-MIN(MAX(AH867,0),MAX(0,AD836-IF($A868&gt;='1-Input'!$C$12,'1-Input'!$B$12,0))))*(1/(1-'P-Parametri'!$B$6*AD868))+MIN(MAX(0,AI867-(MAX(0,AD836-IF($A868&gt;='1-Input'!$C$12,'1-Input'!$B$12,0))-MIN(MAX(AH867,0),MAX(0,AD836-IF($A868&gt;='1-Input'!$C$12,'1-Input'!$B$12,0))))*(1/(1-'P-Parametri'!$B$6*AD868))),MAX(0,3*AD836-(AH867-MIN(MAX(AH867,0),MAX(0,AD836-IF($A868&gt;='1-Input'!$C$12,'1-Input'!$B$12,0)))))*(1/(1-'P-Parametri'!$B$6*AD868))))</f>
        <v>9796.4883075568887</v>
      </c>
      <c r="AF868" s="18">
        <f>IF($A868&gt;'1-Input'!$B$26,AH867,(AH867-MAX(0,AD836-IF($A868&gt;='1-Input'!$C$12,'1-Input'!$B$12,0))+AE868*(1-'P-Parametri'!$B$6*AD868))*(1+'1-Input'!$B$27))</f>
        <v>56313.344052672539</v>
      </c>
      <c r="AG868" s="18">
        <f>IF($A868&gt;'1-Input'!$B$26,AI867,(AI867-AE868)*(1+$D$4))</f>
        <v>69680.317571430947</v>
      </c>
      <c r="AH868" s="18">
        <f>IF($A868&gt;'1-Input'!$B$26,AF868,AF868-'P-Parametri'!$B$8*(AG868+AF868)+MIN(MAX(AG868,0),'P-Parametri'!$B$8*(AG868+AF868)))</f>
        <v>56313.344052672539</v>
      </c>
      <c r="AI868" s="18">
        <f>IF($A868&gt;'1-Input'!$B$26,AG868,AG868-MIN(MAX(AG868,0),'P-Parametri'!$B$8*(AG868+AF868)))</f>
        <v>69428.330248182741</v>
      </c>
      <c r="AJ868" s="18">
        <f>IF($A868&gt;'1-Input'!$B$26,AJ867,AJ867-AE868*(1-AD868))</f>
        <v>18176.375453596207</v>
      </c>
      <c r="AK868" s="11">
        <f>IF($A868&gt;'1-Input'!$B$26,0,IF(AP867&lt;=0,0,MAX(0,(AP867-AQ867)/AP867)))</f>
        <v>0.72871296251189865</v>
      </c>
      <c r="AL868" s="18">
        <f>IF($A868&gt;'1-Input'!$B$26,0,(MAX(0,AK836-IF($A868&gt;='1-Input'!$C$12,'1-Input'!$B$12,0))-MIN(MAX(AO867,0),MAX(0,AK836-IF($A868&gt;='1-Input'!$C$12,'1-Input'!$B$12,0))))*(1/(1-'P-Parametri'!$B$6*AK868))+MIN(MAX(0,AP867-(MAX(0,AK836-IF($A868&gt;='1-Input'!$C$12,'1-Input'!$B$12,0))-MIN(MAX(AO867,0),MAX(0,AK836-IF($A868&gt;='1-Input'!$C$12,'1-Input'!$B$12,0))))*(1/(1-'P-Parametri'!$B$6*AK868))),MAX(0,3*AK836-(AO867-MIN(MAX(AO867,0),MAX(0,AK836-IF($A868&gt;='1-Input'!$C$12,'1-Input'!$B$12,0)))))*(1/(1-'P-Parametri'!$B$6*AK868))))</f>
        <v>9795.9659545106606</v>
      </c>
      <c r="AM868" s="18">
        <f>IF($A868&gt;'1-Input'!$B$26,AO867,(AO867-MAX(0,AK836-IF($A868&gt;='1-Input'!$C$12,'1-Input'!$B$12,0))+AL868*(1-'P-Parametri'!$B$6*AK868))*(1+'1-Input'!$B$27))</f>
        <v>56312.085122445489</v>
      </c>
      <c r="AN868" s="18">
        <f>IF($A868&gt;'1-Input'!$B$26,AP867,(AP867-AL868)*(1+$D$4))</f>
        <v>69711.631791766034</v>
      </c>
      <c r="AO868" s="18">
        <f>IF($A868&gt;'1-Input'!$B$26,AM868,AM868-'P-Parametri'!$B$8*(AN868+AM868)+MIN(MAX(AN868,0),'P-Parametri'!$B$8*(AN868+AM868)))</f>
        <v>56312.085122445489</v>
      </c>
      <c r="AP868" s="18">
        <f>IF($A868&gt;'1-Input'!$B$26,AN868,AN868-MIN(MAX(AN868,0),'P-Parametri'!$B$8*(AN868+AM868)))</f>
        <v>69459.584357937609</v>
      </c>
      <c r="AQ868" s="18">
        <f>IF($A868&gt;'1-Input'!$B$26,AQ867,AQ867-AL868*(1-AK868))</f>
        <v>18184.482756970719</v>
      </c>
    </row>
    <row r="869" spans="1:43">
      <c r="A869" s="10">
        <f>31</f>
        <v>31</v>
      </c>
      <c r="B869" s="11">
        <f>IF($A869&gt;'1-Input'!$B$26,0,IF(G868&lt;=0,0,MAX(0,(G868-H868)/G868)))</f>
        <v>0.74068604294755847</v>
      </c>
      <c r="C869" s="18">
        <f>IF($A869&gt;'1-Input'!$B$26,0,(MAX(0,B836-IF($A869&gt;='1-Input'!$C$12,'1-Input'!$B$12,0))-MIN(MAX(F868,0),MAX(0,B836-IF($A869&gt;='1-Input'!$C$12,'1-Input'!$B$12,0))))*(1/(1-'P-Parametri'!$B$6*B869))+MIN(MAX(0,G868-(MAX(0,B836-IF($A869&gt;='1-Input'!$C$12,'1-Input'!$B$12,0))-MIN(MAX(F868,0),MAX(0,B836-IF($A869&gt;='1-Input'!$C$12,'1-Input'!$B$12,0))))*(1/(1-'P-Parametri'!$B$6*B869))),MAX(0,3*B836-(F868-MIN(MAX(F868,0),MAX(0,B836-IF($A869&gt;='1-Input'!$C$12,'1-Input'!$B$12,0)))))*(1/(1-'P-Parametri'!$B$6*B869))))</f>
        <v>7132.8417599405429</v>
      </c>
      <c r="D869" s="18">
        <f>IF($A869&gt;'1-Input'!$B$26,F868,(F868-MAX(0,B836-IF($A869&gt;='1-Input'!$C$12,'1-Input'!$B$12,0))+C869*(1-'P-Parametri'!$B$6*B869))*(1+'1-Input'!$B$27))</f>
        <v>49863.010546479447</v>
      </c>
      <c r="E869" s="18">
        <f>IF($A869&gt;'1-Input'!$B$26,G868,(G868-C869)*(1+$D$4))</f>
        <v>231406.84715478084</v>
      </c>
      <c r="F869" s="18">
        <f>IF($A869&gt;'1-Input'!$B$26,D869,D869-'P-Parametri'!$B$8*(E869+D869)+MIN(MAX(E869,0),'P-Parametri'!$B$8*(E869+D869)))</f>
        <v>49863.010546479447</v>
      </c>
      <c r="G869" s="18">
        <f>IF($A869&gt;'1-Input'!$B$26,E869,E869-MIN(MAX(E869,0),'P-Parametri'!$B$8*(E869+D869)))</f>
        <v>230844.30743937832</v>
      </c>
      <c r="H869" s="18">
        <f>IF($A869&gt;'1-Input'!$B$26,H868,H868-C869*(1-B869))</f>
        <v>57699.062716092056</v>
      </c>
      <c r="I869" s="11">
        <f>IF($A869&gt;'1-Input'!$B$26,0,IF(N868&lt;=0,0,MAX(0,(N868-O868)/N868)))</f>
        <v>0</v>
      </c>
      <c r="J869" s="18">
        <f>IF($A869&gt;'1-Input'!$B$26,0,(MAX(0,I836-IF($A869&gt;='1-Input'!$C$12,'1-Input'!$B$12,0))-MIN(MAX(M868,0),MAX(0,I836-IF($A869&gt;='1-Input'!$C$12,'1-Input'!$B$12,0))))*(1/(1-'P-Parametri'!$B$6*I869))+MIN(MAX(0,N868-(MAX(0,I836-IF($A869&gt;='1-Input'!$C$12,'1-Input'!$B$12,0))-MIN(MAX(M868,0),MAX(0,I836-IF($A869&gt;='1-Input'!$C$12,'1-Input'!$B$12,0))))*(1/(1-'P-Parametri'!$B$6*I869))),MAX(0,3*I836-(M868-MIN(MAX(M868,0),MAX(0,I836-IF($A869&gt;='1-Input'!$C$12,'1-Input'!$B$12,0)))))*(1/(1-'P-Parametri'!$B$6*I869))))</f>
        <v>10846.756992928691</v>
      </c>
      <c r="K869" s="18">
        <f>IF($A869&gt;'1-Input'!$B$26,M868,(M868-MAX(0,I836-IF($A869&gt;='1-Input'!$C$12,'1-Input'!$B$12,0))+J869*(1-'P-Parametri'!$B$6*I869))*(1+'1-Input'!$B$27))</f>
        <v>0</v>
      </c>
      <c r="L869" s="18">
        <f>IF($A869&gt;'1-Input'!$B$26,N868,(N868-J869)*(1+$D$4))</f>
        <v>-57470.146226731449</v>
      </c>
      <c r="M869" s="18">
        <f>IF($A869&gt;'1-Input'!$B$26,K869,K869-'P-Parametri'!$B$8*(L869+K869)+MIN(MAX(L869,0),'P-Parametri'!$B$8*(L869+K869)))</f>
        <v>0</v>
      </c>
      <c r="N869" s="18">
        <f>IF($A869&gt;'1-Input'!$B$26,L869,L869-MIN(MAX(L869,0),'P-Parametri'!$B$8*(L869+K869)))</f>
        <v>-57355.205934277983</v>
      </c>
      <c r="O869" s="18">
        <f>IF($A869&gt;'1-Input'!$B$26,O868,O868-J869*(1-I869))</f>
        <v>-51436.723668126309</v>
      </c>
      <c r="P869" s="11">
        <f>IF($A869&gt;'1-Input'!$B$26,0,IF(U868&lt;=0,0,MAX(0,(U868-V868)/U868)))</f>
        <v>0.73629317829688923</v>
      </c>
      <c r="Q869" s="18">
        <f>IF($A869&gt;'1-Input'!$B$26,0,(MAX(0,P836-IF($A869&gt;='1-Input'!$C$12,'1-Input'!$B$12,0))-MIN(MAX(T868,0),MAX(0,P836-IF($A869&gt;='1-Input'!$C$12,'1-Input'!$B$12,0))))*(1/(1-'P-Parametri'!$B$6*P869))+MIN(MAX(0,U868-(MAX(0,P836-IF($A869&gt;='1-Input'!$C$12,'1-Input'!$B$12,0))-MIN(MAX(T868,0),MAX(0,P836-IF($A869&gt;='1-Input'!$C$12,'1-Input'!$B$12,0))))*(1/(1-'P-Parametri'!$B$6*P869))),MAX(0,3*P836-(T868-MIN(MAX(T868,0),MAX(0,P836-IF($A869&gt;='1-Input'!$C$12,'1-Input'!$B$12,0)))))*(1/(1-'P-Parametri'!$B$6*P869))))</f>
        <v>10421.988493523042</v>
      </c>
      <c r="R869" s="18">
        <f>IF($A869&gt;'1-Input'!$B$26,T868,(T868-MAX(0,P836-IF($A869&gt;='1-Input'!$C$12,'1-Input'!$B$12,0))+Q869*(1-'P-Parametri'!$B$6*P869))*(1+'1-Input'!$B$27))</f>
        <v>57751.895071455059</v>
      </c>
      <c r="S869" s="18">
        <f>IF($A869&gt;'1-Input'!$B$26,U868,(U868-Q869)*(1+$D$4))</f>
        <v>24233.212442639593</v>
      </c>
      <c r="T869" s="18">
        <f>IF($A869&gt;'1-Input'!$B$26,R869,R869-'P-Parametri'!$B$8*(S869+R869)+MIN(MAX(S869,0),'P-Parametri'!$B$8*(S869+R869)))</f>
        <v>57751.895071455059</v>
      </c>
      <c r="U869" s="18">
        <f>IF($A869&gt;'1-Input'!$B$26,S869,S869-MIN(MAX(S869,0),'P-Parametri'!$B$8*(S869+R869)))</f>
        <v>24069.242227611405</v>
      </c>
      <c r="V869" s="18">
        <f>IF($A869&gt;'1-Input'!$B$26,V868,V868-Q869*(1-P869))</f>
        <v>6144.6763777930437</v>
      </c>
      <c r="W869" s="11">
        <f>IF($A869&gt;'1-Input'!$B$26,0,IF(AB868&lt;=0,0,MAX(0,(AB868-AC868)/AB868)))</f>
        <v>0.7381101916032855</v>
      </c>
      <c r="X869" s="18">
        <f>IF($A869&gt;'1-Input'!$B$26,0,(MAX(0,W836-IF($A869&gt;='1-Input'!$C$12,'1-Input'!$B$12,0))-MIN(MAX(AA868,0),MAX(0,W836-IF($A869&gt;='1-Input'!$C$12,'1-Input'!$B$12,0))))*(1/(1-'P-Parametri'!$B$6*W869))+MIN(MAX(0,AB868-(MAX(0,W836-IF($A869&gt;='1-Input'!$C$12,'1-Input'!$B$12,0))-MIN(MAX(AA868,0),MAX(0,W836-IF($A869&gt;='1-Input'!$C$12,'1-Input'!$B$12,0))))*(1/(1-'P-Parametri'!$B$6*W869))),MAX(0,3*W836-(AA868-MIN(MAX(AA868,0),MAX(0,W836-IF($A869&gt;='1-Input'!$C$12,'1-Input'!$B$12,0)))))*(1/(1-'P-Parametri'!$B$6*W869))))</f>
        <v>9868.627864020189</v>
      </c>
      <c r="Y869" s="18">
        <f>IF($A869&gt;'1-Input'!$B$26,AA868,(AA868-MAX(0,W836-IF($A869&gt;='1-Input'!$C$12,'1-Input'!$B$12,0))+X869*(1-'P-Parametri'!$B$6*W869))*(1+'1-Input'!$B$27))</f>
        <v>56414.948075653221</v>
      </c>
      <c r="Z869" s="18">
        <f>IF($A869&gt;'1-Input'!$B$26,AB868,(AB868-X869)*(1+$D$4))</f>
        <v>59318.814074652757</v>
      </c>
      <c r="AA869" s="18">
        <f>IF($A869&gt;'1-Input'!$B$26,Y869,Y869-'P-Parametri'!$B$8*(Z869+Y869)+MIN(MAX(Z869,0),'P-Parametri'!$B$8*(Z869+Y869)))</f>
        <v>56414.948075653221</v>
      </c>
      <c r="AB869" s="18">
        <f>IF($A869&gt;'1-Input'!$B$26,Z869,Z869-MIN(MAX(Z869,0),'P-Parametri'!$B$8*(Z869+Y869)))</f>
        <v>59087.346550352144</v>
      </c>
      <c r="AC869" s="18">
        <f>IF($A869&gt;'1-Input'!$B$26,AC868,AC868-X869*(1-W869))</f>
        <v>14937.493127241481</v>
      </c>
      <c r="AD869" s="11">
        <f>IF($A869&gt;'1-Input'!$B$26,0,IF(AI868&lt;=0,0,MAX(0,(AI868-AJ868)/AI868)))</f>
        <v>0.73819944410845217</v>
      </c>
      <c r="AE869" s="18">
        <f>IF($A869&gt;'1-Input'!$B$26,0,(MAX(0,AD836-IF($A869&gt;='1-Input'!$C$12,'1-Input'!$B$12,0))-MIN(MAX(AH868,0),MAX(0,AD836-IF($A869&gt;='1-Input'!$C$12,'1-Input'!$B$12,0))))*(1/(1-'P-Parametri'!$B$6*AD869))+MIN(MAX(0,AI868-(MAX(0,AD836-IF($A869&gt;='1-Input'!$C$12,'1-Input'!$B$12,0))-MIN(MAX(AH868,0),MAX(0,AD836-IF($A869&gt;='1-Input'!$C$12,'1-Input'!$B$12,0))))*(1/(1-'P-Parametri'!$B$6*AD869))),MAX(0,3*AD836-(AH868-MIN(MAX(AH868,0),MAX(0,AD836-IF($A869&gt;='1-Input'!$C$12,'1-Input'!$B$12,0)))))*(1/(1-'P-Parametri'!$B$6*AD869))))</f>
        <v>9826.3932315514285</v>
      </c>
      <c r="AF869" s="18">
        <f>IF($A869&gt;'1-Input'!$B$26,AH868,(AH868-MAX(0,AD836-IF($A869&gt;='1-Input'!$C$12,'1-Input'!$B$12,0))+AE869*(1-'P-Parametri'!$B$6*AD869))*(1+'1-Input'!$B$27))</f>
        <v>56313.344052672539</v>
      </c>
      <c r="AG869" s="18">
        <f>IF($A869&gt;'1-Input'!$B$26,AI868,(AI868-AE869)*(1+$D$4))</f>
        <v>61986.014497296572</v>
      </c>
      <c r="AH869" s="18">
        <f>IF($A869&gt;'1-Input'!$B$26,AF869,AF869-'P-Parametri'!$B$8*(AG869+AF869)+MIN(MAX(AG869,0),'P-Parametri'!$B$8*(AG869+AF869)))</f>
        <v>56313.344052672539</v>
      </c>
      <c r="AI869" s="18">
        <f>IF($A869&gt;'1-Input'!$B$26,AG869,AG869-MIN(MAX(AG869,0),'P-Parametri'!$B$8*(AG869+AF869)))</f>
        <v>61749.415780196636</v>
      </c>
      <c r="AJ869" s="18">
        <f>IF($A869&gt;'1-Input'!$B$26,AJ868,AJ868-AE869*(1-AD869))</f>
        <v>15603.8202431671</v>
      </c>
      <c r="AK869" s="11">
        <f>IF($A869&gt;'1-Input'!$B$26,0,IF(AP868&lt;=0,0,MAX(0,(AP868-AQ868)/AP868)))</f>
        <v>0.73820052444796036</v>
      </c>
      <c r="AL869" s="18">
        <f>IF($A869&gt;'1-Input'!$B$26,0,(MAX(0,AK836-IF($A869&gt;='1-Input'!$C$12,'1-Input'!$B$12,0))-MIN(MAX(AO868,0),MAX(0,AK836-IF($A869&gt;='1-Input'!$C$12,'1-Input'!$B$12,0))))*(1/(1-'P-Parametri'!$B$6*AK869))+MIN(MAX(0,AP868-(MAX(0,AK836-IF($A869&gt;='1-Input'!$C$12,'1-Input'!$B$12,0))-MIN(MAX(AO868,0),MAX(0,AK836-IF($A869&gt;='1-Input'!$C$12,'1-Input'!$B$12,0))))*(1/(1-'P-Parametri'!$B$6*AK869))),MAX(0,3*AK836-(AO868-MIN(MAX(AO868,0),MAX(0,AK836-IF($A869&gt;='1-Input'!$C$12,'1-Input'!$B$12,0)))))*(1/(1-'P-Parametri'!$B$6*AK869))))</f>
        <v>9825.8698250314574</v>
      </c>
      <c r="AM869" s="18">
        <f>IF($A869&gt;'1-Input'!$B$26,AO868,(AO868-MAX(0,AK836-IF($A869&gt;='1-Input'!$C$12,'1-Input'!$B$12,0))+AL869*(1-'P-Parametri'!$B$6*AK869))*(1+'1-Input'!$B$27))</f>
        <v>56312.085122445489</v>
      </c>
      <c r="AN869" s="18">
        <f>IF($A869&gt;'1-Input'!$B$26,AP868,(AP868-AL869)*(1+$D$4))</f>
        <v>62019.063114222401</v>
      </c>
      <c r="AO869" s="18">
        <f>IF($A869&gt;'1-Input'!$B$26,AM869,AM869-'P-Parametri'!$B$8*(AN869+AM869)+MIN(MAX(AN869,0),'P-Parametri'!$B$8*(AN869+AM869)))</f>
        <v>56312.085122445489</v>
      </c>
      <c r="AP869" s="18">
        <f>IF($A869&gt;'1-Input'!$B$26,AN869,AN869-MIN(MAX(AN869,0),'P-Parametri'!$B$8*(AN869+AM869)))</f>
        <v>61782.400817749069</v>
      </c>
      <c r="AQ869" s="18">
        <f>IF($A869&gt;'1-Input'!$B$26,AQ868,AQ868-AL869*(1-AK869))</f>
        <v>15612.075189934872</v>
      </c>
    </row>
    <row r="870" spans="1:43">
      <c r="A870" s="10">
        <f>32</f>
        <v>32</v>
      </c>
      <c r="B870" s="11">
        <f>IF($A870&gt;'1-Input'!$B$26,0,IF(G869&lt;=0,0,MAX(0,(G869-H869)/G869)))</f>
        <v>0.75005204435788686</v>
      </c>
      <c r="C870" s="18">
        <f>IF($A870&gt;'1-Input'!$B$26,0,(MAX(0,B836-IF($A870&gt;='1-Input'!$C$12,'1-Input'!$B$12,0))-MIN(MAX(F869,0),MAX(0,B836-IF($A870&gt;='1-Input'!$C$12,'1-Input'!$B$12,0))))*(1/(1-'P-Parametri'!$B$6*B870))+MIN(MAX(0,G869-(MAX(0,B836-IF($A870&gt;='1-Input'!$C$12,'1-Input'!$B$12,0))-MIN(MAX(F869,0),MAX(0,B836-IF($A870&gt;='1-Input'!$C$12,'1-Input'!$B$12,0))))*(1/(1-'P-Parametri'!$B$6*B870))),MAX(0,3*B836-(F869-MIN(MAX(F869,0),MAX(0,B836-IF($A870&gt;='1-Input'!$C$12,'1-Input'!$B$12,0)))))*(1/(1-'P-Parametri'!$B$6*B870))))</f>
        <v>7154.4192823412914</v>
      </c>
      <c r="D870" s="18">
        <f>IF($A870&gt;'1-Input'!$B$26,F869,(F869-MAX(0,B836-IF($A870&gt;='1-Input'!$C$12,'1-Input'!$B$12,0))+C870*(1-'P-Parametri'!$B$6*B870))*(1+'1-Input'!$B$27))</f>
        <v>49863.010546479447</v>
      </c>
      <c r="E870" s="18">
        <f>IF($A870&gt;'1-Input'!$B$26,G869,(G869-C870)*(1+$D$4))</f>
        <v>232637.48368331851</v>
      </c>
      <c r="F870" s="18">
        <f>IF($A870&gt;'1-Input'!$B$26,D870,D870-'P-Parametri'!$B$8*(E870+D870)+MIN(MAX(E870,0),'P-Parametri'!$B$8*(E870+D870)))</f>
        <v>49863.010546479447</v>
      </c>
      <c r="G870" s="18">
        <f>IF($A870&gt;'1-Input'!$B$26,E870,E870-MIN(MAX(E870,0),'P-Parametri'!$B$8*(E870+D870)))</f>
        <v>232072.48269485892</v>
      </c>
      <c r="H870" s="18">
        <f>IF($A870&gt;'1-Input'!$B$26,H869,H869-C870*(1-B870))</f>
        <v>55910.830242664335</v>
      </c>
      <c r="I870" s="11">
        <f>IF($A870&gt;'1-Input'!$B$26,0,IF(N869&lt;=0,0,MAX(0,(N869-O869)/N869)))</f>
        <v>0</v>
      </c>
      <c r="J870" s="18">
        <f>IF($A870&gt;'1-Input'!$B$26,0,(MAX(0,I836-IF($A870&gt;='1-Input'!$C$12,'1-Input'!$B$12,0))-MIN(MAX(M869,0),MAX(0,I836-IF($A870&gt;='1-Input'!$C$12,'1-Input'!$B$12,0))))*(1/(1-'P-Parametri'!$B$6*I870))+MIN(MAX(0,N869-(MAX(0,I836-IF($A870&gt;='1-Input'!$C$12,'1-Input'!$B$12,0))-MIN(MAX(M869,0),MAX(0,I836-IF($A870&gt;='1-Input'!$C$12,'1-Input'!$B$12,0))))*(1/(1-'P-Parametri'!$B$6*I870))),MAX(0,3*I836-(M869-MIN(MAX(M869,0),MAX(0,I836-IF($A870&gt;='1-Input'!$C$12,'1-Input'!$B$12,0)))))*(1/(1-'P-Parametri'!$B$6*I870))))</f>
        <v>10846.756992928691</v>
      </c>
      <c r="K870" s="18">
        <f>IF($A870&gt;'1-Input'!$B$26,M869,(M869-MAX(0,I836-IF($A870&gt;='1-Input'!$C$12,'1-Input'!$B$12,0))+J870*(1-'P-Parametri'!$B$6*I870))*(1+'1-Input'!$B$27))</f>
        <v>0</v>
      </c>
      <c r="L870" s="18">
        <f>IF($A870&gt;'1-Input'!$B$26,N869,(N869-J870)*(1+$D$4))</f>
        <v>-70930.041444294955</v>
      </c>
      <c r="M870" s="18">
        <f>IF($A870&gt;'1-Input'!$B$26,K870,K870-'P-Parametri'!$B$8*(L870+K870)+MIN(MAX(L870,0),'P-Parametri'!$B$8*(L870+K870)))</f>
        <v>0</v>
      </c>
      <c r="N870" s="18">
        <f>IF($A870&gt;'1-Input'!$B$26,L870,L870-MIN(MAX(L870,0),'P-Parametri'!$B$8*(L870+K870)))</f>
        <v>-70788.181361406372</v>
      </c>
      <c r="O870" s="18">
        <f>IF($A870&gt;'1-Input'!$B$26,O869,O869-J870*(1-I870))</f>
        <v>-62283.480661055</v>
      </c>
      <c r="P870" s="11">
        <f>IF($A870&gt;'1-Input'!$B$26,0,IF(U869&lt;=0,0,MAX(0,(U869-V869)/U869)))</f>
        <v>0.74470835767550325</v>
      </c>
      <c r="Q870" s="18">
        <f>IF($A870&gt;'1-Input'!$B$26,0,(MAX(0,P836-IF($A870&gt;='1-Input'!$C$12,'1-Input'!$B$12,0))-MIN(MAX(T869,0),MAX(0,P836-IF($A870&gt;='1-Input'!$C$12,'1-Input'!$B$12,0))))*(1/(1-'P-Parametri'!$B$6*P870))+MIN(MAX(0,U869-(MAX(0,P836-IF($A870&gt;='1-Input'!$C$12,'1-Input'!$B$12,0))-MIN(MAX(T869,0),MAX(0,P836-IF($A870&gt;='1-Input'!$C$12,'1-Input'!$B$12,0))))*(1/(1-'P-Parametri'!$B$6*P870))),MAX(0,3*P836-(T869-MIN(MAX(T869,0),MAX(0,P836-IF($A870&gt;='1-Input'!$C$12,'1-Input'!$B$12,0)))))*(1/(1-'P-Parametri'!$B$6*P870))))</f>
        <v>10450.266566757171</v>
      </c>
      <c r="R870" s="18">
        <f>IF($A870&gt;'1-Input'!$B$26,T869,(T869-MAX(0,P836-IF($A870&gt;='1-Input'!$C$12,'1-Input'!$B$12,0))+Q870*(1-'P-Parametri'!$B$6*P870))*(1+'1-Input'!$B$27))</f>
        <v>57751.895071455059</v>
      </c>
      <c r="S870" s="18">
        <f>IF($A870&gt;'1-Input'!$B$26,U869,(U869-Q870)*(1+$D$4))</f>
        <v>14163.734687288405</v>
      </c>
      <c r="T870" s="18">
        <f>IF($A870&gt;'1-Input'!$B$26,R870,R870-'P-Parametri'!$B$8*(S870+R870)+MIN(MAX(S870,0),'P-Parametri'!$B$8*(S870+R870)))</f>
        <v>57751.895071455059</v>
      </c>
      <c r="U870" s="18">
        <f>IF($A870&gt;'1-Input'!$B$26,S870,S870-MIN(MAX(S870,0),'P-Parametri'!$B$8*(S870+R870)))</f>
        <v>14019.903427770918</v>
      </c>
      <c r="V870" s="18">
        <f>IF($A870&gt;'1-Input'!$B$26,V869,V869-Q870*(1-P870))</f>
        <v>3476.8106632368253</v>
      </c>
      <c r="W870" s="11">
        <f>IF($A870&gt;'1-Input'!$B$26,0,IF(AB869&lt;=0,0,MAX(0,(AB869-AC869)/AB869)))</f>
        <v>0.7471964134569441</v>
      </c>
      <c r="X870" s="18">
        <f>IF($A870&gt;'1-Input'!$B$26,0,(MAX(0,W836-IF($A870&gt;='1-Input'!$C$12,'1-Input'!$B$12,0))-MIN(MAX(AA869,0),MAX(0,W836-IF($A870&gt;='1-Input'!$C$12,'1-Input'!$B$12,0))))*(1/(1-'P-Parametri'!$B$6*W870))+MIN(MAX(0,AB869-(MAX(0,W836-IF($A870&gt;='1-Input'!$C$12,'1-Input'!$B$12,0))-MIN(MAX(AA869,0),MAX(0,W836-IF($A870&gt;='1-Input'!$C$12,'1-Input'!$B$12,0))))*(1/(1-'P-Parametri'!$B$6*W870))),MAX(0,3*W836-(AA869-MIN(MAX(AA869,0),MAX(0,W836-IF($A870&gt;='1-Input'!$C$12,'1-Input'!$B$12,0)))))*(1/(1-'P-Parametri'!$B$6*W870))))</f>
        <v>9897.5629314133694</v>
      </c>
      <c r="Y870" s="18">
        <f>IF($A870&gt;'1-Input'!$B$26,AA869,(AA869-MAX(0,W836-IF($A870&gt;='1-Input'!$C$12,'1-Input'!$B$12,0))+X870*(1-'P-Parametri'!$B$6*W870))*(1+'1-Input'!$B$27))</f>
        <v>56414.948075653221</v>
      </c>
      <c r="Z870" s="18">
        <f>IF($A870&gt;'1-Input'!$B$26,AB869,(AB869-X870)*(1+$D$4))</f>
        <v>51157.374963696326</v>
      </c>
      <c r="AA870" s="18">
        <f>IF($A870&gt;'1-Input'!$B$26,Y870,Y870-'P-Parametri'!$B$8*(Z870+Y870)+MIN(MAX(Z870,0),'P-Parametri'!$B$8*(Z870+Y870)))</f>
        <v>56414.948075653221</v>
      </c>
      <c r="AB870" s="18">
        <f>IF($A870&gt;'1-Input'!$B$26,Z870,Z870-MIN(MAX(Z870,0),'P-Parametri'!$B$8*(Z870+Y870)))</f>
        <v>50942.230317617628</v>
      </c>
      <c r="AC870" s="18">
        <f>IF($A870&gt;'1-Input'!$B$26,AC869,AC869-X870*(1-W870))</f>
        <v>12435.35372014458</v>
      </c>
      <c r="AD870" s="11">
        <f>IF($A870&gt;'1-Input'!$B$26,0,IF(AI869&lt;=0,0,MAX(0,(AI869-AJ869)/AI869)))</f>
        <v>0.74730416399872512</v>
      </c>
      <c r="AE870" s="18">
        <f>IF($A870&gt;'1-Input'!$B$26,0,(MAX(0,AD836-IF($A870&gt;='1-Input'!$C$12,'1-Input'!$B$12,0))-MIN(MAX(AH869,0),MAX(0,AD836-IF($A870&gt;='1-Input'!$C$12,'1-Input'!$B$12,0))))*(1/(1-'P-Parametri'!$B$6*AD870))+MIN(MAX(0,AI869-(MAX(0,AD836-IF($A870&gt;='1-Input'!$C$12,'1-Input'!$B$12,0))-MIN(MAX(AH869,0),MAX(0,AD836-IF($A870&gt;='1-Input'!$C$12,'1-Input'!$B$12,0))))*(1/(1-'P-Parametri'!$B$6*AD870))),MAX(0,3*AD836-(AH869-MIN(MAX(AH869,0),MAX(0,AD836-IF($A870&gt;='1-Input'!$C$12,'1-Input'!$B$12,0)))))*(1/(1-'P-Parametri'!$B$6*AD870))))</f>
        <v>9855.2641246509356</v>
      </c>
      <c r="AF870" s="18">
        <f>IF($A870&gt;'1-Input'!$B$26,AH869,(AH869-MAX(0,AD836-IF($A870&gt;='1-Input'!$C$12,'1-Input'!$B$12,0))+AE870*(1-'P-Parametri'!$B$6*AD870))*(1+'1-Input'!$B$27))</f>
        <v>56313.344052672539</v>
      </c>
      <c r="AG870" s="18">
        <f>IF($A870&gt;'1-Input'!$B$26,AI869,(AI869-AE870)*(1+$D$4))</f>
        <v>53969.917721767531</v>
      </c>
      <c r="AH870" s="18">
        <f>IF($A870&gt;'1-Input'!$B$26,AF870,AF870-'P-Parametri'!$B$8*(AG870+AF870)+MIN(MAX(AG870,0),'P-Parametri'!$B$8*(AG870+AF870)))</f>
        <v>56313.344052672539</v>
      </c>
      <c r="AI870" s="18">
        <f>IF($A870&gt;'1-Input'!$B$26,AG870,AG870-MIN(MAX(AG870,0),'P-Parametri'!$B$8*(AG870+AF870)))</f>
        <v>53749.351198218654</v>
      </c>
      <c r="AJ870" s="18">
        <f>IF($A870&gt;'1-Input'!$B$26,AJ869,AJ869-AE870*(1-AD870))</f>
        <v>13113.436036175059</v>
      </c>
      <c r="AK870" s="11">
        <f>IF($A870&gt;'1-Input'!$B$26,0,IF(AP869&lt;=0,0,MAX(0,(AP869-AQ869)/AP869)))</f>
        <v>0.74730546266745623</v>
      </c>
      <c r="AL870" s="18">
        <f>IF($A870&gt;'1-Input'!$B$26,0,(MAX(0,AK836-IF($A870&gt;='1-Input'!$C$12,'1-Input'!$B$12,0))-MIN(MAX(AO869,0),MAX(0,AK836-IF($A870&gt;='1-Input'!$C$12,'1-Input'!$B$12,0))))*(1/(1-'P-Parametri'!$B$6*AK870))+MIN(MAX(0,AP869-(MAX(0,AK836-IF($A870&gt;='1-Input'!$C$12,'1-Input'!$B$12,0))-MIN(MAX(AO869,0),MAX(0,AK836-IF($A870&gt;='1-Input'!$C$12,'1-Input'!$B$12,0))))*(1/(1-'P-Parametri'!$B$6*AK870))),MAX(0,3*AK836-(AO869-MIN(MAX(AO869,0),MAX(0,AK836-IF($A870&gt;='1-Input'!$C$12,'1-Input'!$B$12,0)))))*(1/(1-'P-Parametri'!$B$6*AK870))))</f>
        <v>9854.7398846918368</v>
      </c>
      <c r="AM870" s="18">
        <f>IF($A870&gt;'1-Input'!$B$26,AO869,(AO869-MAX(0,AK836-IF($A870&gt;='1-Input'!$C$12,'1-Input'!$B$12,0))+AL870*(1-'P-Parametri'!$B$6*AK870))*(1+'1-Input'!$B$27))</f>
        <v>56312.085122445489</v>
      </c>
      <c r="AN870" s="18">
        <f>IF($A870&gt;'1-Input'!$B$26,AP869,(AP869-AL870)*(1+$D$4))</f>
        <v>54004.767370379523</v>
      </c>
      <c r="AO870" s="18">
        <f>IF($A870&gt;'1-Input'!$B$26,AM870,AM870-'P-Parametri'!$B$8*(AN870+AM870)+MIN(MAX(AN870,0),'P-Parametri'!$B$8*(AN870+AM870)))</f>
        <v>56312.085122445489</v>
      </c>
      <c r="AP870" s="18">
        <f>IF($A870&gt;'1-Input'!$B$26,AN870,AN870-MIN(MAX(AN870,0),'P-Parametri'!$B$8*(AN870+AM870)))</f>
        <v>53784.133665393871</v>
      </c>
      <c r="AQ870" s="18">
        <f>IF($A870&gt;'1-Input'!$B$26,AQ869,AQ869-AL870*(1-AK870))</f>
        <v>13121.836254240103</v>
      </c>
    </row>
    <row r="871" spans="1:43">
      <c r="A871" s="10">
        <f>33</f>
        <v>33</v>
      </c>
      <c r="B871" s="11">
        <f>IF($A871&gt;'1-Input'!$B$26,0,IF(G870&lt;=0,0,MAX(0,(G870-H870)/G870)))</f>
        <v>0.75908031148967015</v>
      </c>
      <c r="C871" s="18">
        <f>IF($A871&gt;'1-Input'!$B$26,0,(MAX(0,B836-IF($A871&gt;='1-Input'!$C$12,'1-Input'!$B$12,0))-MIN(MAX(F870,0),MAX(0,B836-IF($A871&gt;='1-Input'!$C$12,'1-Input'!$B$12,0))))*(1/(1-'P-Parametri'!$B$6*B871))+MIN(MAX(0,G870-(MAX(0,B836-IF($A871&gt;='1-Input'!$C$12,'1-Input'!$B$12,0))-MIN(MAX(F870,0),MAX(0,B836-IF($A871&gt;='1-Input'!$C$12,'1-Input'!$B$12,0))))*(1/(1-'P-Parametri'!$B$6*B871))),MAX(0,3*B836-(F870-MIN(MAX(F870,0),MAX(0,B836-IF($A871&gt;='1-Input'!$C$12,'1-Input'!$B$12,0)))))*(1/(1-'P-Parametri'!$B$6*B871))))</f>
        <v>7175.3426609807912</v>
      </c>
      <c r="D871" s="18">
        <f>IF($A871&gt;'1-Input'!$B$26,F870,(F870-MAX(0,B836-IF($A871&gt;='1-Input'!$C$12,'1-Input'!$B$12,0))+C871*(1-'P-Parametri'!$B$6*B871))*(1+'1-Input'!$B$27))</f>
        <v>49863.010546479447</v>
      </c>
      <c r="E871" s="18">
        <f>IF($A871&gt;'1-Input'!$B$26,G870,(G870-C871)*(1+$D$4))</f>
        <v>233893.02563523327</v>
      </c>
      <c r="F871" s="18">
        <f>IF($A871&gt;'1-Input'!$B$26,D871,D871-'P-Parametri'!$B$8*(E871+D871)+MIN(MAX(E871,0),'P-Parametri'!$B$8*(E871+D871)))</f>
        <v>49863.010546479447</v>
      </c>
      <c r="G871" s="18">
        <f>IF($A871&gt;'1-Input'!$B$26,E871,E871-MIN(MAX(E871,0),'P-Parametri'!$B$8*(E871+D871)))</f>
        <v>233325.51356286983</v>
      </c>
      <c r="H871" s="18">
        <f>IF($A871&gt;'1-Input'!$B$26,H870,H870-C871*(1-B871))</f>
        <v>54182.14892382596</v>
      </c>
      <c r="I871" s="11">
        <f>IF($A871&gt;'1-Input'!$B$26,0,IF(N870&lt;=0,0,MAX(0,(N870-O870)/N870)))</f>
        <v>0</v>
      </c>
      <c r="J871" s="18">
        <f>IF($A871&gt;'1-Input'!$B$26,0,(MAX(0,I836-IF($A871&gt;='1-Input'!$C$12,'1-Input'!$B$12,0))-MIN(MAX(M870,0),MAX(0,I836-IF($A871&gt;='1-Input'!$C$12,'1-Input'!$B$12,0))))*(1/(1-'P-Parametri'!$B$6*I871))+MIN(MAX(0,N870-(MAX(0,I836-IF($A871&gt;='1-Input'!$C$12,'1-Input'!$B$12,0))-MIN(MAX(M870,0),MAX(0,I836-IF($A871&gt;='1-Input'!$C$12,'1-Input'!$B$12,0))))*(1/(1-'P-Parametri'!$B$6*I871))),MAX(0,3*I836-(M870-MIN(MAX(M870,0),MAX(0,I836-IF($A871&gt;='1-Input'!$C$12,'1-Input'!$B$12,0)))))*(1/(1-'P-Parametri'!$B$6*I871))))</f>
        <v>10846.756992928691</v>
      </c>
      <c r="K871" s="18">
        <f>IF($A871&gt;'1-Input'!$B$26,M870,(M870-MAX(0,I836-IF($A871&gt;='1-Input'!$C$12,'1-Input'!$B$12,0))+J871*(1-'P-Parametri'!$B$6*I871))*(1+'1-Input'!$B$27))</f>
        <v>0</v>
      </c>
      <c r="L871" s="18">
        <f>IF($A871&gt;'1-Input'!$B$26,N870,(N870-J871)*(1+$D$4))</f>
        <v>-84900.33588850846</v>
      </c>
      <c r="M871" s="18">
        <f>IF($A871&gt;'1-Input'!$B$26,K871,K871-'P-Parametri'!$B$8*(L871+K871)+MIN(MAX(L871,0),'P-Parametri'!$B$8*(L871+K871)))</f>
        <v>0</v>
      </c>
      <c r="N871" s="18">
        <f>IF($A871&gt;'1-Input'!$B$26,L871,L871-MIN(MAX(L871,0),'P-Parametri'!$B$8*(L871+K871)))</f>
        <v>-84730.535216731441</v>
      </c>
      <c r="O871" s="18">
        <f>IF($A871&gt;'1-Input'!$B$26,O870,O870-J871*(1-I871))</f>
        <v>-73130.237653983699</v>
      </c>
      <c r="P871" s="11">
        <f>IF($A871&gt;'1-Input'!$B$26,0,IF(U870&lt;=0,0,MAX(0,(U870-V870)/U870)))</f>
        <v>0.75200894348887692</v>
      </c>
      <c r="Q871" s="18">
        <f>IF($A871&gt;'1-Input'!$B$26,0,(MAX(0,P836-IF($A871&gt;='1-Input'!$C$12,'1-Input'!$B$12,0))-MIN(MAX(T870,0),MAX(0,P836-IF($A871&gt;='1-Input'!$C$12,'1-Input'!$B$12,0))))*(1/(1-'P-Parametri'!$B$6*P871))+MIN(MAX(0,U870-(MAX(0,P836-IF($A871&gt;='1-Input'!$C$12,'1-Input'!$B$12,0))-MIN(MAX(T870,0),MAX(0,P836-IF($A871&gt;='1-Input'!$C$12,'1-Input'!$B$12,0))))*(1/(1-'P-Parametri'!$B$6*P871))),MAX(0,3*P836-(T870-MIN(MAX(T870,0),MAX(0,P836-IF($A871&gt;='1-Input'!$C$12,'1-Input'!$B$12,0)))))*(1/(1-'P-Parametri'!$B$6*P871))))</f>
        <v>10474.923804941953</v>
      </c>
      <c r="R871" s="18">
        <f>IF($A871&gt;'1-Input'!$B$26,T870,(T870-MAX(0,P836-IF($A871&gt;='1-Input'!$C$12,'1-Input'!$B$12,0))+Q871*(1-'P-Parametri'!$B$6*P871))*(1+'1-Input'!$B$27))</f>
        <v>57751.895071455059</v>
      </c>
      <c r="S871" s="18">
        <f>IF($A871&gt;'1-Input'!$B$26,U870,(U870-Q871)*(1+$D$4))</f>
        <v>3686.7788077421237</v>
      </c>
      <c r="T871" s="18">
        <f>IF($A871&gt;'1-Input'!$B$26,R871,R871-'P-Parametri'!$B$8*(S871+R871)+MIN(MAX(S871,0),'P-Parametri'!$B$8*(S871+R871)))</f>
        <v>57751.895071455059</v>
      </c>
      <c r="U871" s="18">
        <f>IF($A871&gt;'1-Input'!$B$26,S871,S871-MIN(MAX(S871,0),'P-Parametri'!$B$8*(S871+R871)))</f>
        <v>3563.9014599837292</v>
      </c>
      <c r="V871" s="18">
        <f>IF($A871&gt;'1-Input'!$B$26,V870,V870-Q871*(1-P871))</f>
        <v>879.12324197575708</v>
      </c>
      <c r="W871" s="11">
        <f>IF($A871&gt;'1-Input'!$B$26,0,IF(AB870&lt;=0,0,MAX(0,(AB870-AC870)/AB870)))</f>
        <v>0.75589302544054504</v>
      </c>
      <c r="X871" s="18">
        <f>IF($A871&gt;'1-Input'!$B$26,0,(MAX(0,W836-IF($A871&gt;='1-Input'!$C$12,'1-Input'!$B$12,0))-MIN(MAX(AA870,0),MAX(0,W836-IF($A871&gt;='1-Input'!$C$12,'1-Input'!$B$12,0))))*(1/(1-'P-Parametri'!$B$6*W871))+MIN(MAX(0,AB870-(MAX(0,W836-IF($A871&gt;='1-Input'!$C$12,'1-Input'!$B$12,0))-MIN(MAX(AA870,0),MAX(0,W836-IF($A871&gt;='1-Input'!$C$12,'1-Input'!$B$12,0))))*(1/(1-'P-Parametri'!$B$6*W871))),MAX(0,3*W836-(AA870-MIN(MAX(AA870,0),MAX(0,W836-IF($A871&gt;='1-Input'!$C$12,'1-Input'!$B$12,0)))))*(1/(1-'P-Parametri'!$B$6*W871))))</f>
        <v>9925.4166529571412</v>
      </c>
      <c r="Y871" s="18">
        <f>IF($A871&gt;'1-Input'!$B$26,AA870,(AA870-MAX(0,W836-IF($A871&gt;='1-Input'!$C$12,'1-Input'!$B$12,0))+X871*(1-'P-Parametri'!$B$6*W871))*(1+'1-Input'!$B$27))</f>
        <v>56414.948075653221</v>
      </c>
      <c r="Z871" s="18">
        <f>IF($A871&gt;'1-Input'!$B$26,AB870,(AB870-X871)*(1+$D$4))</f>
        <v>42657.486211246905</v>
      </c>
      <c r="AA871" s="18">
        <f>IF($A871&gt;'1-Input'!$B$26,Y871,Y871-'P-Parametri'!$B$8*(Z871+Y871)+MIN(MAX(Z871,0),'P-Parametri'!$B$8*(Z871+Y871)))</f>
        <v>56414.948075653221</v>
      </c>
      <c r="AB871" s="18">
        <f>IF($A871&gt;'1-Input'!$B$26,Z871,Z871-MIN(MAX(Z871,0),'P-Parametri'!$B$8*(Z871+Y871)))</f>
        <v>42459.341342673106</v>
      </c>
      <c r="AC871" s="18">
        <f>IF($A871&gt;'1-Input'!$B$26,AC870,AC870-X871*(1-W871))</f>
        <v>10012.490289749181</v>
      </c>
      <c r="AD871" s="11">
        <f>IF($A871&gt;'1-Input'!$B$26,0,IF(AI870&lt;=0,0,MAX(0,(AI870-AJ870)/AI870)))</f>
        <v>0.75602615205874968</v>
      </c>
      <c r="AE871" s="18">
        <f>IF($A871&gt;'1-Input'!$B$26,0,(MAX(0,AD836-IF($A871&gt;='1-Input'!$C$12,'1-Input'!$B$12,0))-MIN(MAX(AH870,0),MAX(0,AD836-IF($A871&gt;='1-Input'!$C$12,'1-Input'!$B$12,0))))*(1/(1-'P-Parametri'!$B$6*AD871))+MIN(MAX(0,AI870-(MAX(0,AD836-IF($A871&gt;='1-Input'!$C$12,'1-Input'!$B$12,0))-MIN(MAX(AH870,0),MAX(0,AD836-IF($A871&gt;='1-Input'!$C$12,'1-Input'!$B$12,0))))*(1/(1-'P-Parametri'!$B$6*AD871))),MAX(0,3*AD836-(AH870-MIN(MAX(AH870,0),MAX(0,AD836-IF($A871&gt;='1-Input'!$C$12,'1-Input'!$B$12,0)))))*(1/(1-'P-Parametri'!$B$6*AD871))))</f>
        <v>9883.0809350008276</v>
      </c>
      <c r="AF871" s="18">
        <f>IF($A871&gt;'1-Input'!$B$26,AH870,(AH870-MAX(0,AD836-IF($A871&gt;='1-Input'!$C$12,'1-Input'!$B$12,0))+AE871*(1-'P-Parametri'!$B$6*AD871))*(1+'1-Input'!$B$27))</f>
        <v>56313.344052672539</v>
      </c>
      <c r="AG871" s="18">
        <f>IF($A871&gt;'1-Input'!$B$26,AI870,(AI870-AE871)*(1+$D$4))</f>
        <v>45620.92107374654</v>
      </c>
      <c r="AH871" s="18">
        <f>IF($A871&gt;'1-Input'!$B$26,AF871,AF871-'P-Parametri'!$B$8*(AG871+AF871)+MIN(MAX(AG871,0),'P-Parametri'!$B$8*(AG871+AF871)))</f>
        <v>56313.344052672539</v>
      </c>
      <c r="AI871" s="18">
        <f>IF($A871&gt;'1-Input'!$B$26,AG871,AG871-MIN(MAX(AG871,0),'P-Parametri'!$B$8*(AG871+AF871)))</f>
        <v>45417.052543493701</v>
      </c>
      <c r="AJ871" s="18">
        <f>IF($A871&gt;'1-Input'!$B$26,AJ870,AJ870-AE871*(1-AD871))</f>
        <v>10702.222750948096</v>
      </c>
      <c r="AK871" s="11">
        <f>IF($A871&gt;'1-Input'!$B$26,0,IF(AP870&lt;=0,0,MAX(0,(AP870-AQ870)/AP870)))</f>
        <v>0.75602774721863675</v>
      </c>
      <c r="AL871" s="18">
        <f>IF($A871&gt;'1-Input'!$B$26,0,(MAX(0,AK836-IF($A871&gt;='1-Input'!$C$12,'1-Input'!$B$12,0))-MIN(MAX(AO870,0),MAX(0,AK836-IF($A871&gt;='1-Input'!$C$12,'1-Input'!$B$12,0))))*(1/(1-'P-Parametri'!$B$6*AK871))+MIN(MAX(0,AP870-(MAX(0,AK836-IF($A871&gt;='1-Input'!$C$12,'1-Input'!$B$12,0))-MIN(MAX(AO870,0),MAX(0,AK836-IF($A871&gt;='1-Input'!$C$12,'1-Input'!$B$12,0))))*(1/(1-'P-Parametri'!$B$6*AK871))),MAX(0,3*AK836-(AO870-MIN(MAX(AO870,0),MAX(0,AK836-IF($A871&gt;='1-Input'!$C$12,'1-Input'!$B$12,0)))))*(1/(1-'P-Parametri'!$B$6*AK871))))</f>
        <v>9882.5561752573794</v>
      </c>
      <c r="AM871" s="18">
        <f>IF($A871&gt;'1-Input'!$B$26,AO870,(AO870-MAX(0,AK836-IF($A871&gt;='1-Input'!$C$12,'1-Input'!$B$12,0))+AL871*(1-'P-Parametri'!$B$6*AK871))*(1+'1-Input'!$B$27))</f>
        <v>56312.085122445489</v>
      </c>
      <c r="AN871" s="18">
        <f>IF($A871&gt;'1-Input'!$B$26,AP870,(AP870-AL871)*(1+$D$4))</f>
        <v>45657.640589741954</v>
      </c>
      <c r="AO871" s="18">
        <f>IF($A871&gt;'1-Input'!$B$26,AM871,AM871-'P-Parametri'!$B$8*(AN871+AM871)+MIN(MAX(AN871,0),'P-Parametri'!$B$8*(AN871+AM871)))</f>
        <v>56312.085122445489</v>
      </c>
      <c r="AP871" s="18">
        <f>IF($A871&gt;'1-Input'!$B$26,AN871,AN871-MIN(MAX(AN871,0),'P-Parametri'!$B$8*(AN871+AM871)))</f>
        <v>45453.701138317578</v>
      </c>
      <c r="AQ871" s="18">
        <f>IF($A871&gt;'1-Input'!$B$26,AQ870,AQ870-AL871*(1-AK871))</f>
        <v>10710.766760924187</v>
      </c>
    </row>
    <row r="872" spans="1:43">
      <c r="A872" s="10">
        <f>34</f>
        <v>34</v>
      </c>
      <c r="B872" s="11">
        <f>IF($A872&gt;'1-Input'!$B$26,0,IF(G871&lt;=0,0,MAX(0,(G871-H871)/G871)))</f>
        <v>0.76778300796827981</v>
      </c>
      <c r="C872" s="18">
        <f>IF($A872&gt;'1-Input'!$B$26,0,(MAX(0,B836-IF($A872&gt;='1-Input'!$C$12,'1-Input'!$B$12,0))-MIN(MAX(F871,0),MAX(0,B836-IF($A872&gt;='1-Input'!$C$12,'1-Input'!$B$12,0))))*(1/(1-'P-Parametri'!$B$6*B872))+MIN(MAX(0,G871-(MAX(0,B836-IF($A872&gt;='1-Input'!$C$12,'1-Input'!$B$12,0))-MIN(MAX(F871,0),MAX(0,B836-IF($A872&gt;='1-Input'!$C$12,'1-Input'!$B$12,0))))*(1/(1-'P-Parametri'!$B$6*B872))),MAX(0,3*B836-(F871-MIN(MAX(F871,0),MAX(0,B836-IF($A872&gt;='1-Input'!$C$12,'1-Input'!$B$12,0)))))*(1/(1-'P-Parametri'!$B$6*B872))))</f>
        <v>7195.6276859472255</v>
      </c>
      <c r="D872" s="18">
        <f>IF($A872&gt;'1-Input'!$B$26,F871,(F871-MAX(0,B836-IF($A872&gt;='1-Input'!$C$12,'1-Input'!$B$12,0))+C872*(1-'P-Parametri'!$B$6*B872))*(1+'1-Input'!$B$27))</f>
        <v>49863.010546479447</v>
      </c>
      <c r="E872" s="18">
        <f>IF($A872&gt;'1-Input'!$B$26,G871,(G871-C872)*(1+$D$4))</f>
        <v>235175.08131199953</v>
      </c>
      <c r="F872" s="18">
        <f>IF($A872&gt;'1-Input'!$B$26,D872,D872-'P-Parametri'!$B$8*(E872+D872)+MIN(MAX(E872,0),'P-Parametri'!$B$8*(E872+D872)))</f>
        <v>49863.010546479447</v>
      </c>
      <c r="G872" s="18">
        <f>IF($A872&gt;'1-Input'!$B$26,E872,E872-MIN(MAX(E872,0),'P-Parametri'!$B$8*(E872+D872)))</f>
        <v>234605.00512828256</v>
      </c>
      <c r="H872" s="18">
        <f>IF($A872&gt;'1-Input'!$B$26,H871,H871-C872*(1-B872))</f>
        <v>52511.201906815128</v>
      </c>
      <c r="I872" s="11">
        <f>IF($A872&gt;'1-Input'!$B$26,0,IF(N871&lt;=0,0,MAX(0,(N871-O871)/N871)))</f>
        <v>0</v>
      </c>
      <c r="J872" s="18">
        <f>IF($A872&gt;'1-Input'!$B$26,0,(MAX(0,I836-IF($A872&gt;='1-Input'!$C$12,'1-Input'!$B$12,0))-MIN(MAX(M871,0),MAX(0,I836-IF($A872&gt;='1-Input'!$C$12,'1-Input'!$B$12,0))))*(1/(1-'P-Parametri'!$B$6*I872))+MIN(MAX(0,N871-(MAX(0,I836-IF($A872&gt;='1-Input'!$C$12,'1-Input'!$B$12,0))-MIN(MAX(M871,0),MAX(0,I836-IF($A872&gt;='1-Input'!$C$12,'1-Input'!$B$12,0))))*(1/(1-'P-Parametri'!$B$6*I872))),MAX(0,3*I836-(M871-MIN(MAX(M871,0),MAX(0,I836-IF($A872&gt;='1-Input'!$C$12,'1-Input'!$B$12,0)))))*(1/(1-'P-Parametri'!$B$6*I872))))</f>
        <v>10846.756992928691</v>
      </c>
      <c r="K872" s="18">
        <f>IF($A872&gt;'1-Input'!$B$26,M871,(M871-MAX(0,I836-IF($A872&gt;='1-Input'!$C$12,'1-Input'!$B$12,0))+J872*(1-'P-Parametri'!$B$6*I872))*(1+'1-Input'!$B$27))</f>
        <v>0</v>
      </c>
      <c r="L872" s="18">
        <f>IF($A872&gt;'1-Input'!$B$26,N871,(N871-J872)*(1+$D$4))</f>
        <v>-99400.383898046552</v>
      </c>
      <c r="M872" s="18">
        <f>IF($A872&gt;'1-Input'!$B$26,K872,K872-'P-Parametri'!$B$8*(L872+K872)+MIN(MAX(L872,0),'P-Parametri'!$B$8*(L872+K872)))</f>
        <v>0</v>
      </c>
      <c r="N872" s="18">
        <f>IF($A872&gt;'1-Input'!$B$26,L872,L872-MIN(MAX(L872,0),'P-Parametri'!$B$8*(L872+K872)))</f>
        <v>-99201.583130250452</v>
      </c>
      <c r="O872" s="18">
        <f>IF($A872&gt;'1-Input'!$B$26,O871,O871-J872*(1-I872))</f>
        <v>-83976.994646912382</v>
      </c>
      <c r="P872" s="11">
        <f>IF($A872&gt;'1-Input'!$B$26,0,IF(U871&lt;=0,0,MAX(0,(U871-V871)/U871)))</f>
        <v>0.75332560345824751</v>
      </c>
      <c r="Q872" s="18">
        <f>IF($A872&gt;'1-Input'!$B$26,0,(MAX(0,P836-IF($A872&gt;='1-Input'!$C$12,'1-Input'!$B$12,0))-MIN(MAX(T871,0),MAX(0,P836-IF($A872&gt;='1-Input'!$C$12,'1-Input'!$B$12,0))))*(1/(1-'P-Parametri'!$B$6*P872))+MIN(MAX(0,U871-(MAX(0,P836-IF($A872&gt;='1-Input'!$C$12,'1-Input'!$B$12,0))-MIN(MAX(T871,0),MAX(0,P836-IF($A872&gt;='1-Input'!$C$12,'1-Input'!$B$12,0))))*(1/(1-'P-Parametri'!$B$6*P872))),MAX(0,3*P836-(T871-MIN(MAX(T871,0),MAX(0,P836-IF($A872&gt;='1-Input'!$C$12,'1-Input'!$B$12,0)))))*(1/(1-'P-Parametri'!$B$6*P872))))</f>
        <v>3563.9014599837292</v>
      </c>
      <c r="R872" s="18">
        <f>IF($A872&gt;'1-Input'!$B$26,T871,(T871-MAX(0,P836-IF($A872&gt;='1-Input'!$C$12,'1-Input'!$B$12,0))+Q872*(1-'P-Parametri'!$B$6*P872))*(1+'1-Input'!$B$27))</f>
        <v>52210.931389170568</v>
      </c>
      <c r="S872" s="18">
        <f>IF($A872&gt;'1-Input'!$B$26,U871,(U871-Q872)*(1+$D$4))</f>
        <v>0</v>
      </c>
      <c r="T872" s="18">
        <f>IF($A872&gt;'1-Input'!$B$26,R872,R872-'P-Parametri'!$B$8*(S872+R872)+MIN(MAX(S872,0),'P-Parametri'!$B$8*(S872+R872)))</f>
        <v>52106.509526392227</v>
      </c>
      <c r="U872" s="18">
        <f>IF($A872&gt;'1-Input'!$B$26,S872,S872-MIN(MAX(S872,0),'P-Parametri'!$B$8*(S872+R872)))</f>
        <v>0</v>
      </c>
      <c r="V872" s="18">
        <f>IF($A872&gt;'1-Input'!$B$26,V871,V871-Q872*(1-P872))</f>
        <v>0</v>
      </c>
      <c r="W872" s="11">
        <f>IF($A872&gt;'1-Input'!$B$26,0,IF(AB871&lt;=0,0,MAX(0,(AB871-AC871)/AB871)))</f>
        <v>0.76418639637053709</v>
      </c>
      <c r="X872" s="18">
        <f>IF($A872&gt;'1-Input'!$B$26,0,(MAX(0,W836-IF($A872&gt;='1-Input'!$C$12,'1-Input'!$B$12,0))-MIN(MAX(AA871,0),MAX(0,W836-IF($A872&gt;='1-Input'!$C$12,'1-Input'!$B$12,0))))*(1/(1-'P-Parametri'!$B$6*W872))+MIN(MAX(0,AB871-(MAX(0,W836-IF($A872&gt;='1-Input'!$C$12,'1-Input'!$B$12,0))-MIN(MAX(AA871,0),MAX(0,W836-IF($A872&gt;='1-Input'!$C$12,'1-Input'!$B$12,0))))*(1/(1-'P-Parametri'!$B$6*W872))),MAX(0,3*W836-(AA871-MIN(MAX(AA871,0),MAX(0,W836-IF($A872&gt;='1-Input'!$C$12,'1-Input'!$B$12,0)))))*(1/(1-'P-Parametri'!$B$6*W872))))</f>
        <v>9952.1252938752914</v>
      </c>
      <c r="Y872" s="18">
        <f>IF($A872&gt;'1-Input'!$B$26,AA871,(AA871-MAX(0,W836-IF($A872&gt;='1-Input'!$C$12,'1-Input'!$B$12,0))+X872*(1-'P-Parametri'!$B$6*W872))*(1+'1-Input'!$B$27))</f>
        <v>56414.948075653221</v>
      </c>
      <c r="Z872" s="18">
        <f>IF($A872&gt;'1-Input'!$B$26,AB871,(AB871-X872)*(1+$D$4))</f>
        <v>33807.504690749731</v>
      </c>
      <c r="AA872" s="18">
        <f>IF($A872&gt;'1-Input'!$B$26,Y872,Y872-'P-Parametri'!$B$8*(Z872+Y872)+MIN(MAX(Z872,0),'P-Parametri'!$B$8*(Z872+Y872)))</f>
        <v>56414.948075653221</v>
      </c>
      <c r="AB872" s="18">
        <f>IF($A872&gt;'1-Input'!$B$26,Z872,Z872-MIN(MAX(Z872,0),'P-Parametri'!$B$8*(Z872+Y872)))</f>
        <v>33627.059785216923</v>
      </c>
      <c r="AC872" s="18">
        <f>IF($A872&gt;'1-Input'!$B$26,AC871,AC871-X872*(1-W872))</f>
        <v>7665.6437604285211</v>
      </c>
      <c r="AD872" s="11">
        <f>IF($A872&gt;'1-Input'!$B$26,0,IF(AI871&lt;=0,0,MAX(0,(AI871-AJ871)/AI871)))</f>
        <v>0.76435673053201558</v>
      </c>
      <c r="AE872" s="18">
        <f>IF($A872&gt;'1-Input'!$B$26,0,(MAX(0,AD836-IF($A872&gt;='1-Input'!$C$12,'1-Input'!$B$12,0))-MIN(MAX(AH871,0),MAX(0,AD836-IF($A872&gt;='1-Input'!$C$12,'1-Input'!$B$12,0))))*(1/(1-'P-Parametri'!$B$6*AD872))+MIN(MAX(0,AI871-(MAX(0,AD836-IF($A872&gt;='1-Input'!$C$12,'1-Input'!$B$12,0))-MIN(MAX(AH871,0),MAX(0,AD836-IF($A872&gt;='1-Input'!$C$12,'1-Input'!$B$12,0))))*(1/(1-'P-Parametri'!$B$6*AD872))),MAX(0,3*AD836-(AH871-MIN(MAX(AH871,0),MAX(0,AD836-IF($A872&gt;='1-Input'!$C$12,'1-Input'!$B$12,0)))))*(1/(1-'P-Parametri'!$B$6*AD872))))</f>
        <v>9909.7964448795665</v>
      </c>
      <c r="AF872" s="18">
        <f>IF($A872&gt;'1-Input'!$B$26,AH871,(AH871-MAX(0,AD836-IF($A872&gt;='1-Input'!$C$12,'1-Input'!$B$12,0))+AE872*(1-'P-Parametri'!$B$6*AD872))*(1+'1-Input'!$B$27))</f>
        <v>56313.344052672539</v>
      </c>
      <c r="AG872" s="18">
        <f>IF($A872&gt;'1-Input'!$B$26,AI871,(AI871-AE872)*(1+$D$4))</f>
        <v>36927.5463425587</v>
      </c>
      <c r="AH872" s="18">
        <f>IF($A872&gt;'1-Input'!$B$26,AF872,AF872-'P-Parametri'!$B$8*(AG872+AF872)+MIN(MAX(AG872,0),'P-Parametri'!$B$8*(AG872+AF872)))</f>
        <v>56313.344052672539</v>
      </c>
      <c r="AI872" s="18">
        <f>IF($A872&gt;'1-Input'!$B$26,AG872,AG872-MIN(MAX(AG872,0),'P-Parametri'!$B$8*(AG872+AF872)))</f>
        <v>36741.064561768238</v>
      </c>
      <c r="AJ872" s="18">
        <f>IF($A872&gt;'1-Input'!$B$26,AJ871,AJ871-AE872*(1-AD872))</f>
        <v>8367.0459169144669</v>
      </c>
      <c r="AK872" s="11">
        <f>IF($A872&gt;'1-Input'!$B$26,0,IF(AP871&lt;=0,0,MAX(0,(AP871-AQ871)/AP871)))</f>
        <v>0.76435875423365729</v>
      </c>
      <c r="AL872" s="18">
        <f>IF($A872&gt;'1-Input'!$B$26,0,(MAX(0,AK836-IF($A872&gt;='1-Input'!$C$12,'1-Input'!$B$12,0))-MIN(MAX(AO871,0),MAX(0,AK836-IF($A872&gt;='1-Input'!$C$12,'1-Input'!$B$12,0))))*(1/(1-'P-Parametri'!$B$6*AK872))+MIN(MAX(0,AP871-(MAX(0,AK836-IF($A872&gt;='1-Input'!$C$12,'1-Input'!$B$12,0))-MIN(MAX(AO871,0),MAX(0,AK836-IF($A872&gt;='1-Input'!$C$12,'1-Input'!$B$12,0))))*(1/(1-'P-Parametri'!$B$6*AK872))),MAX(0,3*AK836-(AO871-MIN(MAX(AO871,0),MAX(0,AK836-IF($A872&gt;='1-Input'!$C$12,'1-Input'!$B$12,0)))))*(1/(1-'P-Parametri'!$B$6*AK872))))</f>
        <v>9909.2716583984438</v>
      </c>
      <c r="AM872" s="18">
        <f>IF($A872&gt;'1-Input'!$B$26,AO871,(AO871-MAX(0,AK836-IF($A872&gt;='1-Input'!$C$12,'1-Input'!$B$12,0))+AL872*(1-'P-Parametri'!$B$6*AK872))*(1+'1-Input'!$B$27))</f>
        <v>56312.085122445489</v>
      </c>
      <c r="AN872" s="18">
        <f>IF($A872&gt;'1-Input'!$B$26,AP871,(AP871-AL872)*(1+$D$4))</f>
        <v>36966.206659115902</v>
      </c>
      <c r="AO872" s="18">
        <f>IF($A872&gt;'1-Input'!$B$26,AM872,AM872-'P-Parametri'!$B$8*(AN872+AM872)+MIN(MAX(AN872,0),'P-Parametri'!$B$8*(AN872+AM872)))</f>
        <v>56312.085122445489</v>
      </c>
      <c r="AP872" s="18">
        <f>IF($A872&gt;'1-Input'!$B$26,AN872,AN872-MIN(MAX(AN872,0),'P-Parametri'!$B$8*(AN872+AM872)))</f>
        <v>36779.650075552781</v>
      </c>
      <c r="AQ872" s="18">
        <f>IF($A872&gt;'1-Input'!$B$26,AQ871,AQ871-AL872*(1-AK872))</f>
        <v>8375.7336427020655</v>
      </c>
    </row>
    <row r="873" spans="1:43">
      <c r="A873" s="10">
        <f>35</f>
        <v>35</v>
      </c>
      <c r="B873" s="11">
        <f>IF($A873&gt;'1-Input'!$B$26,0,IF(G872&lt;=0,0,MAX(0,(G872-H872)/G872)))</f>
        <v>0.77617186010971129</v>
      </c>
      <c r="C873" s="18">
        <f>IF($A873&gt;'1-Input'!$B$26,0,(MAX(0,B836-IF($A873&gt;='1-Input'!$C$12,'1-Input'!$B$12,0))-MIN(MAX(F872,0),MAX(0,B836-IF($A873&gt;='1-Input'!$C$12,'1-Input'!$B$12,0))))*(1/(1-'P-Parametri'!$B$6*B873))+MIN(MAX(0,G872-(MAX(0,B836-IF($A873&gt;='1-Input'!$C$12,'1-Input'!$B$12,0))-MIN(MAX(F872,0),MAX(0,B836-IF($A873&gt;='1-Input'!$C$12,'1-Input'!$B$12,0))))*(1/(1-'P-Parametri'!$B$6*B873))),MAX(0,3*B836-(F872-MIN(MAX(F872,0),MAX(0,B836-IF($A873&gt;='1-Input'!$C$12,'1-Input'!$B$12,0)))))*(1/(1-'P-Parametri'!$B$6*B873))))</f>
        <v>7215.2900347807399</v>
      </c>
      <c r="D873" s="18">
        <f>IF($A873&gt;'1-Input'!$B$26,F872,(F872-MAX(0,B836-IF($A873&gt;='1-Input'!$C$12,'1-Input'!$B$12,0))+C873*(1-'P-Parametri'!$B$6*B873))*(1+'1-Input'!$B$27))</f>
        <v>49863.010546479447</v>
      </c>
      <c r="E873" s="18">
        <f>IF($A873&gt;'1-Input'!$B$26,G872,(G872-C873)*(1+$D$4))</f>
        <v>236485.30369724191</v>
      </c>
      <c r="F873" s="18">
        <f>IF($A873&gt;'1-Input'!$B$26,D873,D873-'P-Parametri'!$B$8*(E873+D873)+MIN(MAX(E873,0),'P-Parametri'!$B$8*(E873+D873)))</f>
        <v>49863.010546479447</v>
      </c>
      <c r="G873" s="18">
        <f>IF($A873&gt;'1-Input'!$B$26,E873,E873-MIN(MAX(E873,0),'P-Parametri'!$B$8*(E873+D873)))</f>
        <v>235912.60706875447</v>
      </c>
      <c r="H873" s="18">
        <f>IF($A873&gt;'1-Input'!$B$26,H872,H872-C873*(1-B873))</f>
        <v>50896.216959561221</v>
      </c>
      <c r="I873" s="11">
        <f>IF($A873&gt;'1-Input'!$B$26,0,IF(N872&lt;=0,0,MAX(0,(N872-O872)/N872)))</f>
        <v>0</v>
      </c>
      <c r="J873" s="18">
        <f>IF($A873&gt;'1-Input'!$B$26,0,(MAX(0,I836-IF($A873&gt;='1-Input'!$C$12,'1-Input'!$B$12,0))-MIN(MAX(M872,0),MAX(0,I836-IF($A873&gt;='1-Input'!$C$12,'1-Input'!$B$12,0))))*(1/(1-'P-Parametri'!$B$6*I873))+MIN(MAX(0,N872-(MAX(0,I836-IF($A873&gt;='1-Input'!$C$12,'1-Input'!$B$12,0))-MIN(MAX(M872,0),MAX(0,I836-IF($A873&gt;='1-Input'!$C$12,'1-Input'!$B$12,0))))*(1/(1-'P-Parametri'!$B$6*I873))),MAX(0,3*I836-(M872-MIN(MAX(M872,0),MAX(0,I836-IF($A873&gt;='1-Input'!$C$12,'1-Input'!$B$12,0)))))*(1/(1-'P-Parametri'!$B$6*I873))))</f>
        <v>10846.756992928691</v>
      </c>
      <c r="K873" s="18">
        <f>IF($A873&gt;'1-Input'!$B$26,M872,(M872-MAX(0,I836-IF($A873&gt;='1-Input'!$C$12,'1-Input'!$B$12,0))+J873*(1-'P-Parametri'!$B$6*I873))*(1+'1-Input'!$B$27))</f>
        <v>0</v>
      </c>
      <c r="L873" s="18">
        <f>IF($A873&gt;'1-Input'!$B$26,N872,(N872-J873)*(1+$D$4))</f>
        <v>-114450.2737281063</v>
      </c>
      <c r="M873" s="18">
        <f>IF($A873&gt;'1-Input'!$B$26,K873,K873-'P-Parametri'!$B$8*(L873+K873)+MIN(MAX(L873,0),'P-Parametri'!$B$8*(L873+K873)))</f>
        <v>0</v>
      </c>
      <c r="N873" s="18">
        <f>IF($A873&gt;'1-Input'!$B$26,L873,L873-MIN(MAX(L873,0),'P-Parametri'!$B$8*(L873+K873)))</f>
        <v>-114221.37318065009</v>
      </c>
      <c r="O873" s="18">
        <f>IF($A873&gt;'1-Input'!$B$26,O872,O872-J873*(1-I873))</f>
        <v>-94823.751639841066</v>
      </c>
      <c r="P873" s="11">
        <f>IF($A873&gt;'1-Input'!$B$26,0,IF(U872&lt;=0,0,MAX(0,(U872-V872)/U872)))</f>
        <v>0</v>
      </c>
      <c r="Q873" s="18">
        <f>IF($A873&gt;'1-Input'!$B$26,0,(MAX(0,P836-IF($A873&gt;='1-Input'!$C$12,'1-Input'!$B$12,0))-MIN(MAX(T872,0),MAX(0,P836-IF($A873&gt;='1-Input'!$C$12,'1-Input'!$B$12,0))))*(1/(1-'P-Parametri'!$B$6*P873))+MIN(MAX(0,U872-(MAX(0,P836-IF($A873&gt;='1-Input'!$C$12,'1-Input'!$B$12,0))-MIN(MAX(T872,0),MAX(0,P836-IF($A873&gt;='1-Input'!$C$12,'1-Input'!$B$12,0))))*(1/(1-'P-Parametri'!$B$6*P873))),MAX(0,3*P836-(T872-MIN(MAX(T872,0),MAX(0,P836-IF($A873&gt;='1-Input'!$C$12,'1-Input'!$B$12,0)))))*(1/(1-'P-Parametri'!$B$6*P873))))</f>
        <v>0</v>
      </c>
      <c r="R873" s="18">
        <f>IF($A873&gt;'1-Input'!$B$26,T872,(T872-MAX(0,P836-IF($A873&gt;='1-Input'!$C$12,'1-Input'!$B$12,0))+Q873*(1-'P-Parametri'!$B$6*P873))*(1+'1-Input'!$B$27))</f>
        <v>43730.327201612192</v>
      </c>
      <c r="S873" s="18">
        <f>IF($A873&gt;'1-Input'!$B$26,U872,(U872-Q873)*(1+$D$4))</f>
        <v>0</v>
      </c>
      <c r="T873" s="18">
        <f>IF($A873&gt;'1-Input'!$B$26,R873,R873-'P-Parametri'!$B$8*(S873+R873)+MIN(MAX(S873,0),'P-Parametri'!$B$8*(S873+R873)))</f>
        <v>43642.866547208971</v>
      </c>
      <c r="U873" s="18">
        <f>IF($A873&gt;'1-Input'!$B$26,S873,S873-MIN(MAX(S873,0),'P-Parametri'!$B$8*(S873+R873)))</f>
        <v>0</v>
      </c>
      <c r="V873" s="18">
        <f>IF($A873&gt;'1-Input'!$B$26,V872,V872-Q873*(1-P873))</f>
        <v>0</v>
      </c>
      <c r="W873" s="11">
        <f>IF($A873&gt;'1-Input'!$B$26,0,IF(AB872&lt;=0,0,MAX(0,(AB872-AC872)/AB872)))</f>
        <v>0.77203942868063424</v>
      </c>
      <c r="X873" s="18">
        <f>IF($A873&gt;'1-Input'!$B$26,0,(MAX(0,W836-IF($A873&gt;='1-Input'!$C$12,'1-Input'!$B$12,0))-MIN(MAX(AA872,0),MAX(0,W836-IF($A873&gt;='1-Input'!$C$12,'1-Input'!$B$12,0))))*(1/(1-'P-Parametri'!$B$6*W873))+MIN(MAX(0,AB872-(MAX(0,W836-IF($A873&gt;='1-Input'!$C$12,'1-Input'!$B$12,0))-MIN(MAX(AA872,0),MAX(0,W836-IF($A873&gt;='1-Input'!$C$12,'1-Input'!$B$12,0))))*(1/(1-'P-Parametri'!$B$6*W873))),MAX(0,3*W836-(AA872-MIN(MAX(AA872,0),MAX(0,W836-IF($A873&gt;='1-Input'!$C$12,'1-Input'!$B$12,0)))))*(1/(1-'P-Parametri'!$B$6*W873))))</f>
        <v>9977.5486681787042</v>
      </c>
      <c r="Y873" s="18">
        <f>IF($A873&gt;'1-Input'!$B$26,AA872,(AA872-MAX(0,W836-IF($A873&gt;='1-Input'!$C$12,'1-Input'!$B$12,0))+X873*(1-'P-Parametri'!$B$6*W873))*(1+'1-Input'!$B$27))</f>
        <v>56414.948075653221</v>
      </c>
      <c r="Z873" s="18">
        <f>IF($A873&gt;'1-Input'!$B$26,AB872,(AB872-X873)*(1+$D$4))</f>
        <v>24595.491561719748</v>
      </c>
      <c r="AA873" s="18">
        <f>IF($A873&gt;'1-Input'!$B$26,Y873,Y873-'P-Parametri'!$B$8*(Z873+Y873)+MIN(MAX(Z873,0),'P-Parametri'!$B$8*(Z873+Y873)))</f>
        <v>56414.948075653221</v>
      </c>
      <c r="AB873" s="18">
        <f>IF($A873&gt;'1-Input'!$B$26,Z873,Z873-MIN(MAX(Z873,0),'P-Parametri'!$B$8*(Z873+Y873)))</f>
        <v>24433.470682445</v>
      </c>
      <c r="AC873" s="18">
        <f>IF($A873&gt;'1-Input'!$B$26,AC872,AC872-X873*(1-W873))</f>
        <v>5391.1560656637266</v>
      </c>
      <c r="AD873" s="11">
        <f>IF($A873&gt;'1-Input'!$B$26,0,IF(AI872&lt;=0,0,MAX(0,(AI872-AJ872)/AI872)))</f>
        <v>0.77226991061056549</v>
      </c>
      <c r="AE873" s="18">
        <f>IF($A873&gt;'1-Input'!$B$26,0,(MAX(0,AD836-IF($A873&gt;='1-Input'!$C$12,'1-Input'!$B$12,0))-MIN(MAX(AH872,0),MAX(0,AD836-IF($A873&gt;='1-Input'!$C$12,'1-Input'!$B$12,0))))*(1/(1-'P-Parametri'!$B$6*AD873))+MIN(MAX(0,AI872-(MAX(0,AD836-IF($A873&gt;='1-Input'!$C$12,'1-Input'!$B$12,0))-MIN(MAX(AH872,0),MAX(0,AD836-IF($A873&gt;='1-Input'!$C$12,'1-Input'!$B$12,0))))*(1/(1-'P-Parametri'!$B$6*AD873))),MAX(0,3*AD836-(AH872-MIN(MAX(AH872,0),MAX(0,AD836-IF($A873&gt;='1-Input'!$C$12,'1-Input'!$B$12,0)))))*(1/(1-'P-Parametri'!$B$6*AD873))))</f>
        <v>9935.3074939154012</v>
      </c>
      <c r="AF873" s="18">
        <f>IF($A873&gt;'1-Input'!$B$26,AH872,(AH872-MAX(0,AD836-IF($A873&gt;='1-Input'!$C$12,'1-Input'!$B$12,0))+AE873*(1-'P-Parametri'!$B$6*AD873))*(1+'1-Input'!$B$27))</f>
        <v>56313.344052672539</v>
      </c>
      <c r="AG873" s="18">
        <f>IF($A873&gt;'1-Input'!$B$26,AI872,(AI872-AE873)*(1+$D$4))</f>
        <v>27877.987350566949</v>
      </c>
      <c r="AH873" s="18">
        <f>IF($A873&gt;'1-Input'!$B$26,AF873,AF873-'P-Parametri'!$B$8*(AG873+AF873)+MIN(MAX(AG873,0),'P-Parametri'!$B$8*(AG873+AF873)))</f>
        <v>56313.344052672539</v>
      </c>
      <c r="AI873" s="18">
        <f>IF($A873&gt;'1-Input'!$B$26,AG873,AG873-MIN(MAX(AG873,0),'P-Parametri'!$B$8*(AG873+AF873)))</f>
        <v>27709.604687760471</v>
      </c>
      <c r="AJ873" s="18">
        <f>IF($A873&gt;'1-Input'!$B$26,AJ872,AJ872-AE873*(1-AD873))</f>
        <v>6104.4774532135943</v>
      </c>
      <c r="AK873" s="11">
        <f>IF($A873&gt;'1-Input'!$B$26,0,IF(AP872&lt;=0,0,MAX(0,(AP872-AQ872)/AP872)))</f>
        <v>0.77227261201515984</v>
      </c>
      <c r="AL873" s="18">
        <f>IF($A873&gt;'1-Input'!$B$26,0,(MAX(0,AK836-IF($A873&gt;='1-Input'!$C$12,'1-Input'!$B$12,0))-MIN(MAX(AO872,0),MAX(0,AK836-IF($A873&gt;='1-Input'!$C$12,'1-Input'!$B$12,0))))*(1/(1-'P-Parametri'!$B$6*AK873))+MIN(MAX(0,AP872-(MAX(0,AK836-IF($A873&gt;='1-Input'!$C$12,'1-Input'!$B$12,0))-MIN(MAX(AO872,0),MAX(0,AK836-IF($A873&gt;='1-Input'!$C$12,'1-Input'!$B$12,0))))*(1/(1-'P-Parametri'!$B$6*AK873))),MAX(0,3*AK836-(AO872-MIN(MAX(AO872,0),MAX(0,AK836-IF($A873&gt;='1-Input'!$C$12,'1-Input'!$B$12,0)))))*(1/(1-'P-Parametri'!$B$6*AK873))))</f>
        <v>9934.7835635924021</v>
      </c>
      <c r="AM873" s="18">
        <f>IF($A873&gt;'1-Input'!$B$26,AO872,(AO872-MAX(0,AK836-IF($A873&gt;='1-Input'!$C$12,'1-Input'!$B$12,0))+AL873*(1-'P-Parametri'!$B$6*AK873))*(1+'1-Input'!$B$27))</f>
        <v>56312.085122445489</v>
      </c>
      <c r="AN873" s="18">
        <f>IF($A873&gt;'1-Input'!$B$26,AP872,(AP872-AL873)*(1+$D$4))</f>
        <v>27918.661172438795</v>
      </c>
      <c r="AO873" s="18">
        <f>IF($A873&gt;'1-Input'!$B$26,AM873,AM873-'P-Parametri'!$B$8*(AN873+AM873)+MIN(MAX(AN873,0),'P-Parametri'!$B$8*(AN873+AM873)))</f>
        <v>56312.085122445489</v>
      </c>
      <c r="AP873" s="18">
        <f>IF($A873&gt;'1-Input'!$B$26,AN873,AN873-MIN(MAX(AN873,0),'P-Parametri'!$B$8*(AN873+AM873)))</f>
        <v>27750.199679849025</v>
      </c>
      <c r="AQ873" s="18">
        <f>IF($A873&gt;'1-Input'!$B$26,AQ872,AQ872-AL873*(1-AK873))</f>
        <v>6113.311331570445</v>
      </c>
    </row>
    <row r="874" spans="1:43">
      <c r="A874" s="10">
        <f>36</f>
        <v>36</v>
      </c>
      <c r="B874" s="11">
        <f>IF($A874&gt;'1-Input'!$B$26,0,IF(G873&lt;=0,0,MAX(0,(G873-H873)/G873)))</f>
        <v>0.78425817258368047</v>
      </c>
      <c r="C874" s="18">
        <f>IF($A874&gt;'1-Input'!$B$26,0,(MAX(0,B836-IF($A874&gt;='1-Input'!$C$12,'1-Input'!$B$12,0))-MIN(MAX(F873,0),MAX(0,B836-IF($A874&gt;='1-Input'!$C$12,'1-Input'!$B$12,0))))*(1/(1-'P-Parametri'!$B$6*B874))+MIN(MAX(0,G873-(MAX(0,B836-IF($A874&gt;='1-Input'!$C$12,'1-Input'!$B$12,0))-MIN(MAX(F873,0),MAX(0,B836-IF($A874&gt;='1-Input'!$C$12,'1-Input'!$B$12,0))))*(1/(1-'P-Parametri'!$B$6*B874))),MAX(0,3*B836-(F873-MIN(MAX(F873,0),MAX(0,B836-IF($A874&gt;='1-Input'!$C$12,'1-Input'!$B$12,0)))))*(1/(1-'P-Parametri'!$B$6*B874))))</f>
        <v>7234.3452528651378</v>
      </c>
      <c r="D874" s="18">
        <f>IF($A874&gt;'1-Input'!$B$26,F873,(F873-MAX(0,B836-IF($A874&gt;='1-Input'!$C$12,'1-Input'!$B$12,0))+C874*(1-'P-Parametri'!$B$6*B874))*(1+'1-Input'!$B$27))</f>
        <v>49863.010546479447</v>
      </c>
      <c r="E874" s="18">
        <f>IF($A874&gt;'1-Input'!$B$26,G873,(G873-C874)*(1+$D$4))</f>
        <v>237825.39228852492</v>
      </c>
      <c r="F874" s="18">
        <f>IF($A874&gt;'1-Input'!$B$26,D874,D874-'P-Parametri'!$B$8*(E874+D874)+MIN(MAX(E874,0),'P-Parametri'!$B$8*(E874+D874)))</f>
        <v>49863.010546479447</v>
      </c>
      <c r="G874" s="18">
        <f>IF($A874&gt;'1-Input'!$B$26,E874,E874-MIN(MAX(E874,0),'P-Parametri'!$B$8*(E874+D874)))</f>
        <v>237250.01548285491</v>
      </c>
      <c r="H874" s="18">
        <f>IF($A874&gt;'1-Input'!$B$26,H873,H873-C874*(1-B874))</f>
        <v>49335.466094547519</v>
      </c>
      <c r="I874" s="11">
        <f>IF($A874&gt;'1-Input'!$B$26,0,IF(N873&lt;=0,0,MAX(0,(N873-O873)/N873)))</f>
        <v>0</v>
      </c>
      <c r="J874" s="18">
        <f>IF($A874&gt;'1-Input'!$B$26,0,(MAX(0,I836-IF($A874&gt;='1-Input'!$C$12,'1-Input'!$B$12,0))-MIN(MAX(M873,0),MAX(0,I836-IF($A874&gt;='1-Input'!$C$12,'1-Input'!$B$12,0))))*(1/(1-'P-Parametri'!$B$6*I874))+MIN(MAX(0,N873-(MAX(0,I836-IF($A874&gt;='1-Input'!$C$12,'1-Input'!$B$12,0))-MIN(MAX(M873,0),MAX(0,I836-IF($A874&gt;='1-Input'!$C$12,'1-Input'!$B$12,0))))*(1/(1-'P-Parametri'!$B$6*I874))),MAX(0,3*I836-(M873-MIN(MAX(M873,0),MAX(0,I836-IF($A874&gt;='1-Input'!$C$12,'1-Input'!$B$12,0)))))*(1/(1-'P-Parametri'!$B$6*I874))))</f>
        <v>10846.756992928691</v>
      </c>
      <c r="K874" s="18">
        <f>IF($A874&gt;'1-Input'!$B$26,M873,(M873-MAX(0,I836-IF($A874&gt;='1-Input'!$C$12,'1-Input'!$B$12,0))+J874*(1-'P-Parametri'!$B$6*I874))*(1+'1-Input'!$B$27))</f>
        <v>0</v>
      </c>
      <c r="L874" s="18">
        <f>IF($A874&gt;'1-Input'!$B$26,N873,(N873-J874)*(1+$D$4))</f>
        <v>-130070.85538052193</v>
      </c>
      <c r="M874" s="18">
        <f>IF($A874&gt;'1-Input'!$B$26,K874,K874-'P-Parametri'!$B$8*(L874+K874)+MIN(MAX(L874,0),'P-Parametri'!$B$8*(L874+K874)))</f>
        <v>0</v>
      </c>
      <c r="N874" s="18">
        <f>IF($A874&gt;'1-Input'!$B$26,L874,L874-MIN(MAX(L874,0),'P-Parametri'!$B$8*(L874+K874)))</f>
        <v>-129810.71366976088</v>
      </c>
      <c r="O874" s="18">
        <f>IF($A874&gt;'1-Input'!$B$26,O873,O873-J874*(1-I874))</f>
        <v>-105670.50863276975</v>
      </c>
      <c r="P874" s="11">
        <f>IF($A874&gt;'1-Input'!$B$26,0,IF(U873&lt;=0,0,MAX(0,(U873-V873)/U873)))</f>
        <v>0</v>
      </c>
      <c r="Q874" s="18">
        <f>IF($A874&gt;'1-Input'!$B$26,0,(MAX(0,P836-IF($A874&gt;='1-Input'!$C$12,'1-Input'!$B$12,0))-MIN(MAX(T873,0),MAX(0,P836-IF($A874&gt;='1-Input'!$C$12,'1-Input'!$B$12,0))))*(1/(1-'P-Parametri'!$B$6*P874))+MIN(MAX(0,U873-(MAX(0,P836-IF($A874&gt;='1-Input'!$C$12,'1-Input'!$B$12,0))-MIN(MAX(T873,0),MAX(0,P836-IF($A874&gt;='1-Input'!$C$12,'1-Input'!$B$12,0))))*(1/(1-'P-Parametri'!$B$6*P874))),MAX(0,3*P836-(T873-MIN(MAX(T873,0),MAX(0,P836-IF($A874&gt;='1-Input'!$C$12,'1-Input'!$B$12,0)))))*(1/(1-'P-Parametri'!$B$6*P874))))</f>
        <v>0</v>
      </c>
      <c r="R874" s="18">
        <f>IF($A874&gt;'1-Input'!$B$26,T873,(T873-MAX(0,P836-IF($A874&gt;='1-Input'!$C$12,'1-Input'!$B$12,0))+Q874*(1-'P-Parametri'!$B$6*P874))*(1+'1-Input'!$B$27))</f>
        <v>35297.153337153999</v>
      </c>
      <c r="S874" s="18">
        <f>IF($A874&gt;'1-Input'!$B$26,U873,(U873-Q874)*(1+$D$4))</f>
        <v>0</v>
      </c>
      <c r="T874" s="18">
        <f>IF($A874&gt;'1-Input'!$B$26,R874,R874-'P-Parametri'!$B$8*(S874+R874)+MIN(MAX(S874,0),'P-Parametri'!$B$8*(S874+R874)))</f>
        <v>35226.559030479693</v>
      </c>
      <c r="U874" s="18">
        <f>IF($A874&gt;'1-Input'!$B$26,S874,S874-MIN(MAX(S874,0),'P-Parametri'!$B$8*(S874+R874)))</f>
        <v>0</v>
      </c>
      <c r="V874" s="18">
        <f>IF($A874&gt;'1-Input'!$B$26,V873,V873-Q874*(1-P874))</f>
        <v>0</v>
      </c>
      <c r="W874" s="11">
        <f>IF($A874&gt;'1-Input'!$B$26,0,IF(AB873&lt;=0,0,MAX(0,(AB873-AC873)/AB873)))</f>
        <v>0.77935365238401544</v>
      </c>
      <c r="X874" s="18">
        <f>IF($A874&gt;'1-Input'!$B$26,0,(MAX(0,W836-IF($A874&gt;='1-Input'!$C$12,'1-Input'!$B$12,0))-MIN(MAX(AA873,0),MAX(0,W836-IF($A874&gt;='1-Input'!$C$12,'1-Input'!$B$12,0))))*(1/(1-'P-Parametri'!$B$6*W874))+MIN(MAX(0,AB873-(MAX(0,W836-IF($A874&gt;='1-Input'!$C$12,'1-Input'!$B$12,0))-MIN(MAX(AA873,0),MAX(0,W836-IF($A874&gt;='1-Input'!$C$12,'1-Input'!$B$12,0))))*(1/(1-'P-Parametri'!$B$6*W874))),MAX(0,3*W836-(AA873-MIN(MAX(AA873,0),MAX(0,W836-IF($A874&gt;='1-Input'!$C$12,'1-Input'!$B$12,0)))))*(1/(1-'P-Parametri'!$B$6*W874))))</f>
        <v>10001.344813463515</v>
      </c>
      <c r="Y874" s="18">
        <f>IF($A874&gt;'1-Input'!$B$26,AA873,(AA873-MAX(0,W836-IF($A874&gt;='1-Input'!$C$12,'1-Input'!$B$12,0))+X874*(1-'P-Parametri'!$B$6*W874))*(1+'1-Input'!$B$27))</f>
        <v>56414.948075653221</v>
      </c>
      <c r="Z874" s="18">
        <f>IF($A874&gt;'1-Input'!$B$26,AB873,(AB873-X874)*(1+$D$4))</f>
        <v>15009.410903740745</v>
      </c>
      <c r="AA874" s="18">
        <f>IF($A874&gt;'1-Input'!$B$26,Y874,Y874-'P-Parametri'!$B$8*(Z874+Y874)+MIN(MAX(Z874,0),'P-Parametri'!$B$8*(Z874+Y874)))</f>
        <v>56414.948075653221</v>
      </c>
      <c r="AB874" s="18">
        <f>IF($A874&gt;'1-Input'!$B$26,Z874,Z874-MIN(MAX(Z874,0),'P-Parametri'!$B$8*(Z874+Y874)))</f>
        <v>14866.562185781957</v>
      </c>
      <c r="AC874" s="18">
        <f>IF($A874&gt;'1-Input'!$B$26,AC873,AC873-X874*(1-W874))</f>
        <v>3184.3958613249315</v>
      </c>
      <c r="AD874" s="11">
        <f>IF($A874&gt;'1-Input'!$B$26,0,IF(AI873&lt;=0,0,MAX(0,(AI873-AJ873)/AI873)))</f>
        <v>0.77969813997707493</v>
      </c>
      <c r="AE874" s="18">
        <f>IF($A874&gt;'1-Input'!$B$26,0,(MAX(0,AD836-IF($A874&gt;='1-Input'!$C$12,'1-Input'!$B$12,0))-MIN(MAX(AH873,0),MAX(0,AD836-IF($A874&gt;='1-Input'!$C$12,'1-Input'!$B$12,0))))*(1/(1-'P-Parametri'!$B$6*AD874))+MIN(MAX(0,AI873-(MAX(0,AD836-IF($A874&gt;='1-Input'!$C$12,'1-Input'!$B$12,0))-MIN(MAX(AH873,0),MAX(0,AD836-IF($A874&gt;='1-Input'!$C$12,'1-Input'!$B$12,0))))*(1/(1-'P-Parametri'!$B$6*AD874))),MAX(0,3*AD836-(AH873-MIN(MAX(AH873,0),MAX(0,AD836-IF($A874&gt;='1-Input'!$C$12,'1-Input'!$B$12,0)))))*(1/(1-'P-Parametri'!$B$6*AD874))))</f>
        <v>9959.374935275453</v>
      </c>
      <c r="AF874" s="18">
        <f>IF($A874&gt;'1-Input'!$B$26,AH873,(AH873-MAX(0,AD836-IF($A874&gt;='1-Input'!$C$12,'1-Input'!$B$12,0))+AE874*(1-'P-Parametri'!$B$6*AD874))*(1+'1-Input'!$B$27))</f>
        <v>56313.344052672539</v>
      </c>
      <c r="AG874" s="18">
        <f>IF($A874&gt;'1-Input'!$B$26,AI873,(AI873-AE874)*(1+$D$4))</f>
        <v>18460.238942584419</v>
      </c>
      <c r="AH874" s="18">
        <f>IF($A874&gt;'1-Input'!$B$26,AF874,AF874-'P-Parametri'!$B$8*(AG874+AF874)+MIN(MAX(AG874,0),'P-Parametri'!$B$8*(AG874+AF874)))</f>
        <v>56313.344052672539</v>
      </c>
      <c r="AI874" s="18">
        <f>IF($A874&gt;'1-Input'!$B$26,AG874,AG874-MIN(MAX(AG874,0),'P-Parametri'!$B$8*(AG874+AF874)))</f>
        <v>18310.691776593907</v>
      </c>
      <c r="AJ874" s="18">
        <f>IF($A874&gt;'1-Input'!$B$26,AJ873,AJ873-AE874*(1-AD874))</f>
        <v>3910.4086303067129</v>
      </c>
      <c r="AK874" s="11">
        <f>IF($A874&gt;'1-Input'!$B$26,0,IF(AP873&lt;=0,0,MAX(0,(AP873-AQ873)/AP873)))</f>
        <v>0.77970207774722211</v>
      </c>
      <c r="AL874" s="18">
        <f>IF($A874&gt;'1-Input'!$B$26,0,(MAX(0,AK836-IF($A874&gt;='1-Input'!$C$12,'1-Input'!$B$12,0))-MIN(MAX(AO873,0),MAX(0,AK836-IF($A874&gt;='1-Input'!$C$12,'1-Input'!$B$12,0))))*(1/(1-'P-Parametri'!$B$6*AK874))+MIN(MAX(0,AP873-(MAX(0,AK836-IF($A874&gt;='1-Input'!$C$12,'1-Input'!$B$12,0))-MIN(MAX(AO873,0),MAX(0,AK836-IF($A874&gt;='1-Input'!$C$12,'1-Input'!$B$12,0))))*(1/(1-'P-Parametri'!$B$6*AK874))),MAX(0,3*AK836-(AO873-MIN(MAX(AO873,0),MAX(0,AK836-IF($A874&gt;='1-Input'!$C$12,'1-Input'!$B$12,0)))))*(1/(1-'P-Parametri'!$B$6*AK874))))</f>
        <v>9958.8537722947312</v>
      </c>
      <c r="AM874" s="18">
        <f>IF($A874&gt;'1-Input'!$B$26,AO873,(AO873-MAX(0,AK836-IF($A874&gt;='1-Input'!$C$12,'1-Input'!$B$12,0))+AL874*(1-'P-Parametri'!$B$6*AK874))*(1+'1-Input'!$B$27))</f>
        <v>56312.085122445489</v>
      </c>
      <c r="AN874" s="18">
        <f>IF($A874&gt;'1-Input'!$B$26,AP873,(AP873-AL874)*(1+$D$4))</f>
        <v>18502.999743856464</v>
      </c>
      <c r="AO874" s="18">
        <f>IF($A874&gt;'1-Input'!$B$26,AM874,AM874-'P-Parametri'!$B$8*(AN874+AM874)+MIN(MAX(AN874,0),'P-Parametri'!$B$8*(AN874+AM874)))</f>
        <v>56312.085122445489</v>
      </c>
      <c r="AP874" s="18">
        <f>IF($A874&gt;'1-Input'!$B$26,AN874,AN874-MIN(MAX(AN874,0),'P-Parametri'!$B$8*(AN874+AM874)))</f>
        <v>18353.369574123859</v>
      </c>
      <c r="AQ874" s="18">
        <f>IF($A874&gt;'1-Input'!$B$26,AQ873,AQ873-AL874*(1-AK874))</f>
        <v>3919.3965375146763</v>
      </c>
    </row>
    <row r="875" spans="1:43">
      <c r="A875" s="10">
        <f>37</f>
        <v>37</v>
      </c>
      <c r="B875" s="11">
        <f>IF($A875&gt;'1-Input'!$B$26,0,IF(G874&lt;=0,0,MAX(0,(G874-H874)/G874)))</f>
        <v>0.79205284351978134</v>
      </c>
      <c r="C875" s="18">
        <f>IF($A875&gt;'1-Input'!$B$26,0,(MAX(0,B836-IF($A875&gt;='1-Input'!$C$12,'1-Input'!$B$12,0))-MIN(MAX(F874,0),MAX(0,B836-IF($A875&gt;='1-Input'!$C$12,'1-Input'!$B$12,0))))*(1/(1-'P-Parametri'!$B$6*B875))+MIN(MAX(0,G874-(MAX(0,B836-IF($A875&gt;='1-Input'!$C$12,'1-Input'!$B$12,0))-MIN(MAX(F874,0),MAX(0,B836-IF($A875&gt;='1-Input'!$C$12,'1-Input'!$B$12,0))))*(1/(1-'P-Parametri'!$B$6*B875))),MAX(0,3*B836-(F874-MIN(MAX(F874,0),MAX(0,B836-IF($A875&gt;='1-Input'!$C$12,'1-Input'!$B$12,0)))))*(1/(1-'P-Parametri'!$B$6*B875))))</f>
        <v>7252.808735453169</v>
      </c>
      <c r="D875" s="18">
        <f>IF($A875&gt;'1-Input'!$B$26,F874,(F874-MAX(0,B836-IF($A875&gt;='1-Input'!$C$12,'1-Input'!$B$12,0))+C875*(1-'P-Parametri'!$B$6*B875))*(1+'1-Input'!$B$27))</f>
        <v>49863.010546479447</v>
      </c>
      <c r="E875" s="18">
        <f>IF($A875&gt;'1-Input'!$B$26,G874,(G874-C875)*(1+$D$4))</f>
        <v>239197.0950172978</v>
      </c>
      <c r="F875" s="18">
        <f>IF($A875&gt;'1-Input'!$B$26,D875,D875-'P-Parametri'!$B$8*(E875+D875)+MIN(MAX(E875,0),'P-Parametri'!$B$8*(E875+D875)))</f>
        <v>49863.010546479447</v>
      </c>
      <c r="G875" s="18">
        <f>IF($A875&gt;'1-Input'!$B$26,E875,E875-MIN(MAX(E875,0),'P-Parametri'!$B$8*(E875+D875)))</f>
        <v>238618.97480617024</v>
      </c>
      <c r="H875" s="18">
        <f>IF($A875&gt;'1-Input'!$B$26,H874,H874-C875*(1-B875))</f>
        <v>47827.265141515141</v>
      </c>
      <c r="I875" s="11">
        <f>IF($A875&gt;'1-Input'!$B$26,0,IF(N874&lt;=0,0,MAX(0,(N874-O874)/N874)))</f>
        <v>0</v>
      </c>
      <c r="J875" s="18">
        <f>IF($A875&gt;'1-Input'!$B$26,0,(MAX(0,I836-IF($A875&gt;='1-Input'!$C$12,'1-Input'!$B$12,0))-MIN(MAX(M874,0),MAX(0,I836-IF($A875&gt;='1-Input'!$C$12,'1-Input'!$B$12,0))))*(1/(1-'P-Parametri'!$B$6*I875))+MIN(MAX(0,N874-(MAX(0,I836-IF($A875&gt;='1-Input'!$C$12,'1-Input'!$B$12,0))-MIN(MAX(M874,0),MAX(0,I836-IF($A875&gt;='1-Input'!$C$12,'1-Input'!$B$12,0))))*(1/(1-'P-Parametri'!$B$6*I875))),MAX(0,3*I836-(M874-MIN(MAX(M874,0),MAX(0,I836-IF($A875&gt;='1-Input'!$C$12,'1-Input'!$B$12,0)))))*(1/(1-'P-Parametri'!$B$6*I875))))</f>
        <v>10846.756992928691</v>
      </c>
      <c r="K875" s="18">
        <f>IF($A875&gt;'1-Input'!$B$26,M874,(M874-MAX(0,I836-IF($A875&gt;='1-Input'!$C$12,'1-Input'!$B$12,0))+J875*(1-'P-Parametri'!$B$6*I875))*(1+'1-Input'!$B$27))</f>
        <v>0</v>
      </c>
      <c r="L875" s="18">
        <f>IF($A875&gt;'1-Input'!$B$26,N874,(N874-J875)*(1+$D$4))</f>
        <v>-146283.76948919715</v>
      </c>
      <c r="M875" s="18">
        <f>IF($A875&gt;'1-Input'!$B$26,K875,K875-'P-Parametri'!$B$8*(L875+K875)+MIN(MAX(L875,0),'P-Parametri'!$B$8*(L875+K875)))</f>
        <v>0</v>
      </c>
      <c r="N875" s="18">
        <f>IF($A875&gt;'1-Input'!$B$26,L875,L875-MIN(MAX(L875,0),'P-Parametri'!$B$8*(L875+K875)))</f>
        <v>-145991.20195021876</v>
      </c>
      <c r="O875" s="18">
        <f>IF($A875&gt;'1-Input'!$B$26,O874,O874-J875*(1-I875))</f>
        <v>-116517.26562569843</v>
      </c>
      <c r="P875" s="11">
        <f>IF($A875&gt;'1-Input'!$B$26,0,IF(U874&lt;=0,0,MAX(0,(U874-V874)/U874)))</f>
        <v>0</v>
      </c>
      <c r="Q875" s="18">
        <f>IF($A875&gt;'1-Input'!$B$26,0,(MAX(0,P836-IF($A875&gt;='1-Input'!$C$12,'1-Input'!$B$12,0))-MIN(MAX(T874,0),MAX(0,P836-IF($A875&gt;='1-Input'!$C$12,'1-Input'!$B$12,0))))*(1/(1-'P-Parametri'!$B$6*P875))+MIN(MAX(0,U874-(MAX(0,P836-IF($A875&gt;='1-Input'!$C$12,'1-Input'!$B$12,0))-MIN(MAX(T874,0),MAX(0,P836-IF($A875&gt;='1-Input'!$C$12,'1-Input'!$B$12,0))))*(1/(1-'P-Parametri'!$B$6*P875))),MAX(0,3*P836-(T874-MIN(MAX(T874,0),MAX(0,P836-IF($A875&gt;='1-Input'!$C$12,'1-Input'!$B$12,0)))))*(1/(1-'P-Parametri'!$B$6*P875))))</f>
        <v>0</v>
      </c>
      <c r="R875" s="18">
        <f>IF($A875&gt;'1-Input'!$B$26,T874,(T874-MAX(0,P836-IF($A875&gt;='1-Input'!$C$12,'1-Input'!$B$12,0))+Q875*(1-'P-Parametri'!$B$6*P875))*(1+'1-Input'!$B$27))</f>
        <v>26911.144527484947</v>
      </c>
      <c r="S875" s="18">
        <f>IF($A875&gt;'1-Input'!$B$26,U874,(U874-Q875)*(1+$D$4))</f>
        <v>0</v>
      </c>
      <c r="T875" s="18">
        <f>IF($A875&gt;'1-Input'!$B$26,R875,R875-'P-Parametri'!$B$8*(S875+R875)+MIN(MAX(S875,0),'P-Parametri'!$B$8*(S875+R875)))</f>
        <v>26857.322238429977</v>
      </c>
      <c r="U875" s="18">
        <f>IF($A875&gt;'1-Input'!$B$26,S875,S875-MIN(MAX(S875,0),'P-Parametri'!$B$8*(S875+R875)))</f>
        <v>0</v>
      </c>
      <c r="V875" s="18">
        <f>IF($A875&gt;'1-Input'!$B$26,V874,V874-Q875*(1-P875))</f>
        <v>0</v>
      </c>
      <c r="W875" s="11">
        <f>IF($A875&gt;'1-Input'!$B$26,0,IF(AB874&lt;=0,0,MAX(0,(AB874-AC874)/AB874)))</f>
        <v>0.78580146361137782</v>
      </c>
      <c r="X875" s="18">
        <f>IF($A875&gt;'1-Input'!$B$26,0,(MAX(0,W836-IF($A875&gt;='1-Input'!$C$12,'1-Input'!$B$12,0))-MIN(MAX(AA874,0),MAX(0,W836-IF($A875&gt;='1-Input'!$C$12,'1-Input'!$B$12,0))))*(1/(1-'P-Parametri'!$B$6*W875))+MIN(MAX(0,AB874-(MAX(0,W836-IF($A875&gt;='1-Input'!$C$12,'1-Input'!$B$12,0))-MIN(MAX(AA874,0),MAX(0,W836-IF($A875&gt;='1-Input'!$C$12,'1-Input'!$B$12,0))))*(1/(1-'P-Parametri'!$B$6*W875))),MAX(0,3*W836-(AA874-MIN(MAX(AA874,0),MAX(0,W836-IF($A875&gt;='1-Input'!$C$12,'1-Input'!$B$12,0)))))*(1/(1-'P-Parametri'!$B$6*W875))))</f>
        <v>10022.416499111492</v>
      </c>
      <c r="Y875" s="18">
        <f>IF($A875&gt;'1-Input'!$B$26,AA874,(AA874-MAX(0,W836-IF($A875&gt;='1-Input'!$C$12,'1-Input'!$B$12,0))+X875*(1-'P-Parametri'!$B$6*W875))*(1+'1-Input'!$B$27))</f>
        <v>56414.948075653221</v>
      </c>
      <c r="Z875" s="18">
        <f>IF($A875&gt;'1-Input'!$B$26,AB874,(AB874-X875)*(1+$D$4))</f>
        <v>5037.9115141372831</v>
      </c>
      <c r="AA875" s="18">
        <f>IF($A875&gt;'1-Input'!$B$26,Y875,Y875-'P-Parametri'!$B$8*(Z875+Y875)+MIN(MAX(Z875,0),'P-Parametri'!$B$8*(Z875+Y875)))</f>
        <v>56414.948075653221</v>
      </c>
      <c r="AB875" s="18">
        <f>IF($A875&gt;'1-Input'!$B$26,Z875,Z875-MIN(MAX(Z875,0),'P-Parametri'!$B$8*(Z875+Y875)))</f>
        <v>4915.0057949577022</v>
      </c>
      <c r="AC875" s="18">
        <f>IF($A875&gt;'1-Input'!$B$26,AC874,AC874-X875*(1-W875))</f>
        <v>1037.608916138071</v>
      </c>
      <c r="AD875" s="11">
        <f>IF($A875&gt;'1-Input'!$B$26,0,IF(AI874&lt;=0,0,MAX(0,(AI874-AJ874)/AI874)))</f>
        <v>0.78644124001337357</v>
      </c>
      <c r="AE875" s="18">
        <f>IF($A875&gt;'1-Input'!$B$26,0,(MAX(0,AD836-IF($A875&gt;='1-Input'!$C$12,'1-Input'!$B$12,0))-MIN(MAX(AH874,0),MAX(0,AD836-IF($A875&gt;='1-Input'!$C$12,'1-Input'!$B$12,0))))*(1/(1-'P-Parametri'!$B$6*AD875))+MIN(MAX(0,AI874-(MAX(0,AD836-IF($A875&gt;='1-Input'!$C$12,'1-Input'!$B$12,0))-MIN(MAX(AH874,0),MAX(0,AD836-IF($A875&gt;='1-Input'!$C$12,'1-Input'!$B$12,0))))*(1/(1-'P-Parametri'!$B$6*AD875))),MAX(0,3*AD836-(AH874-MIN(MAX(AH874,0),MAX(0,AD836-IF($A875&gt;='1-Input'!$C$12,'1-Input'!$B$12,0)))))*(1/(1-'P-Parametri'!$B$6*AD875))))</f>
        <v>9981.3237488185241</v>
      </c>
      <c r="AF875" s="18">
        <f>IF($A875&gt;'1-Input'!$B$26,AH874,(AH874-MAX(0,AD836-IF($A875&gt;='1-Input'!$C$12,'1-Input'!$B$12,0))+AE875*(1-'P-Parametri'!$B$6*AD875))*(1+'1-Input'!$B$27))</f>
        <v>56313.344052672539</v>
      </c>
      <c r="AG875" s="18">
        <f>IF($A875&gt;'1-Input'!$B$26,AI874,(AI874-AE875)*(1+$D$4))</f>
        <v>8662.5427488863988</v>
      </c>
      <c r="AH875" s="18">
        <f>IF($A875&gt;'1-Input'!$B$26,AF875,AF875-'P-Parametri'!$B$8*(AG875+AF875)+MIN(MAX(AG875,0),'P-Parametri'!$B$8*(AG875+AF875)))</f>
        <v>56313.344052672539</v>
      </c>
      <c r="AI875" s="18">
        <f>IF($A875&gt;'1-Input'!$B$26,AG875,AG875-MIN(MAX(AG875,0),'P-Parametri'!$B$8*(AG875+AF875)))</f>
        <v>8532.5909752832813</v>
      </c>
      <c r="AJ875" s="18">
        <f>IF($A875&gt;'1-Input'!$B$26,AJ874,AJ874-AE875*(1-AD875))</f>
        <v>1778.8095074839634</v>
      </c>
      <c r="AK875" s="11">
        <f>IF($A875&gt;'1-Input'!$B$26,0,IF(AP874&lt;=0,0,MAX(0,(AP874-AQ874)/AP874)))</f>
        <v>0.78644812214534299</v>
      </c>
      <c r="AL875" s="18">
        <f>IF($A875&gt;'1-Input'!$B$26,0,(MAX(0,AK836-IF($A875&gt;='1-Input'!$C$12,'1-Input'!$B$12,0))-MIN(MAX(AO874,0),MAX(0,AK836-IF($A875&gt;='1-Input'!$C$12,'1-Input'!$B$12,0))))*(1/(1-'P-Parametri'!$B$6*AK875))+MIN(MAX(0,AP874-(MAX(0,AK836-IF($A875&gt;='1-Input'!$C$12,'1-Input'!$B$12,0))-MIN(MAX(AO874,0),MAX(0,AK836-IF($A875&gt;='1-Input'!$C$12,'1-Input'!$B$12,0))))*(1/(1-'P-Parametri'!$B$6*AK875))),MAX(0,3*AK836-(AO874-MIN(MAX(AO874,0),MAX(0,AK836-IF($A875&gt;='1-Input'!$C$12,'1-Input'!$B$12,0)))))*(1/(1-'P-Parametri'!$B$6*AK875))))</f>
        <v>9980.8110700750767</v>
      </c>
      <c r="AM875" s="18">
        <f>IF($A875&gt;'1-Input'!$B$26,AO874,(AO874-MAX(0,AK836-IF($A875&gt;='1-Input'!$C$12,'1-Input'!$B$12,0))+AL875*(1-'P-Parametri'!$B$6*AK875))*(1+'1-Input'!$B$27))</f>
        <v>56312.085122445489</v>
      </c>
      <c r="AN875" s="18">
        <f>IF($A875&gt;'1-Input'!$B$26,AP874,(AP874-AL875)*(1+$D$4))</f>
        <v>8707.4608442107346</v>
      </c>
      <c r="AO875" s="18">
        <f>IF($A875&gt;'1-Input'!$B$26,AM875,AM875-'P-Parametri'!$B$8*(AN875+AM875)+MIN(MAX(AN875,0),'P-Parametri'!$B$8*(AN875+AM875)))</f>
        <v>56312.085122445489</v>
      </c>
      <c r="AP875" s="18">
        <f>IF($A875&gt;'1-Input'!$B$26,AN875,AN875-MIN(MAX(AN875,0),'P-Parametri'!$B$8*(AN875+AM875)))</f>
        <v>8577.4217522774215</v>
      </c>
      <c r="AQ875" s="18">
        <f>IF($A875&gt;'1-Input'!$B$26,AQ874,AQ874-AL875*(1-AK875))</f>
        <v>1787.9755909875948</v>
      </c>
    </row>
    <row r="876" spans="1:43">
      <c r="A876" s="10">
        <f>38</f>
        <v>38</v>
      </c>
      <c r="B876" s="11">
        <f>IF($A876&gt;'1-Input'!$B$26,0,IF(G875&lt;=0,0,MAX(0,(G875-H875)/G875)))</f>
        <v>0.79956637907624428</v>
      </c>
      <c r="C876" s="18">
        <f>IF($A876&gt;'1-Input'!$B$26,0,(MAX(0,B836-IF($A876&gt;='1-Input'!$C$12,'1-Input'!$B$12,0))-MIN(MAX(F875,0),MAX(0,B836-IF($A876&gt;='1-Input'!$C$12,'1-Input'!$B$12,0))))*(1/(1-'P-Parametri'!$B$6*B876))+MIN(MAX(0,G875-(MAX(0,B836-IF($A876&gt;='1-Input'!$C$12,'1-Input'!$B$12,0))-MIN(MAX(F875,0),MAX(0,B836-IF($A876&gt;='1-Input'!$C$12,'1-Input'!$B$12,0))))*(1/(1-'P-Parametri'!$B$6*B876))),MAX(0,3*B836-(F875-MIN(MAX(F875,0),MAX(0,B836-IF($A876&gt;='1-Input'!$C$12,'1-Input'!$B$12,0)))))*(1/(1-'P-Parametri'!$B$6*B876))))</f>
        <v>7270.6957112603423</v>
      </c>
      <c r="D876" s="18">
        <f>IF($A876&gt;'1-Input'!$B$26,F875,(F875-MAX(0,B836-IF($A876&gt;='1-Input'!$C$12,'1-Input'!$B$12,0))+C876*(1-'P-Parametri'!$B$6*B876))*(1+'1-Input'!$B$27))</f>
        <v>49863.010546479447</v>
      </c>
      <c r="E876" s="18">
        <f>IF($A876&gt;'1-Input'!$B$26,G875,(G875-C876)*(1+$D$4))</f>
        <v>240602.2102587063</v>
      </c>
      <c r="F876" s="18">
        <f>IF($A876&gt;'1-Input'!$B$26,D876,D876-'P-Parametri'!$B$8*(E876+D876)+MIN(MAX(E876,0),'P-Parametri'!$B$8*(E876+D876)))</f>
        <v>49863.010546479447</v>
      </c>
      <c r="G876" s="18">
        <f>IF($A876&gt;'1-Input'!$B$26,E876,E876-MIN(MAX(E876,0),'P-Parametri'!$B$8*(E876+D876)))</f>
        <v>240021.27981709593</v>
      </c>
      <c r="H876" s="18">
        <f>IF($A876&gt;'1-Input'!$B$26,H875,H875-C876*(1-B876))</f>
        <v>46369.973273472409</v>
      </c>
      <c r="I876" s="11">
        <f>IF($A876&gt;'1-Input'!$B$26,0,IF(N875&lt;=0,0,MAX(0,(N875-O875)/N875)))</f>
        <v>0</v>
      </c>
      <c r="J876" s="18">
        <f>IF($A876&gt;'1-Input'!$B$26,0,(MAX(0,I836-IF($A876&gt;='1-Input'!$C$12,'1-Input'!$B$12,0))-MIN(MAX(M875,0),MAX(0,I836-IF($A876&gt;='1-Input'!$C$12,'1-Input'!$B$12,0))))*(1/(1-'P-Parametri'!$B$6*I876))+MIN(MAX(0,N875-(MAX(0,I836-IF($A876&gt;='1-Input'!$C$12,'1-Input'!$B$12,0))-MIN(MAX(M875,0),MAX(0,I836-IF($A876&gt;='1-Input'!$C$12,'1-Input'!$B$12,0))))*(1/(1-'P-Parametri'!$B$6*I876))),MAX(0,3*I836-(M875-MIN(MAX(M875,0),MAX(0,I836-IF($A876&gt;='1-Input'!$C$12,'1-Input'!$B$12,0)))))*(1/(1-'P-Parametri'!$B$6*I876))))</f>
        <v>10846.756992928691</v>
      </c>
      <c r="K876" s="18">
        <f>IF($A876&gt;'1-Input'!$B$26,M875,(M875-MAX(0,I836-IF($A876&gt;='1-Input'!$C$12,'1-Input'!$B$12,0))+J876*(1-'P-Parametri'!$B$6*I876))*(1+'1-Input'!$B$27))</f>
        <v>0</v>
      </c>
      <c r="L876" s="18">
        <f>IF($A876&gt;'1-Input'!$B$26,N875,(N875-J876)*(1+$D$4))</f>
        <v>-163111.47730087335</v>
      </c>
      <c r="M876" s="18">
        <f>IF($A876&gt;'1-Input'!$B$26,K876,K876-'P-Parametri'!$B$8*(L876+K876)+MIN(MAX(L876,0),'P-Parametri'!$B$8*(L876+K876)))</f>
        <v>0</v>
      </c>
      <c r="N876" s="18">
        <f>IF($A876&gt;'1-Input'!$B$26,L876,L876-MIN(MAX(L876,0),'P-Parametri'!$B$8*(L876+K876)))</f>
        <v>-162785.2543462716</v>
      </c>
      <c r="O876" s="18">
        <f>IF($A876&gt;'1-Input'!$B$26,O875,O875-J876*(1-I876))</f>
        <v>-127364.02261862712</v>
      </c>
      <c r="P876" s="11">
        <f>IF($A876&gt;'1-Input'!$B$26,0,IF(U875&lt;=0,0,MAX(0,(U875-V875)/U875)))</f>
        <v>0</v>
      </c>
      <c r="Q876" s="18">
        <f>IF($A876&gt;'1-Input'!$B$26,0,(MAX(0,P836-IF($A876&gt;='1-Input'!$C$12,'1-Input'!$B$12,0))-MIN(MAX(T875,0),MAX(0,P836-IF($A876&gt;='1-Input'!$C$12,'1-Input'!$B$12,0))))*(1/(1-'P-Parametri'!$B$6*P876))+MIN(MAX(0,U875-(MAX(0,P836-IF($A876&gt;='1-Input'!$C$12,'1-Input'!$B$12,0))-MIN(MAX(T875,0),MAX(0,P836-IF($A876&gt;='1-Input'!$C$12,'1-Input'!$B$12,0))))*(1/(1-'P-Parametri'!$B$6*P876))),MAX(0,3*P836-(T875-MIN(MAX(T875,0),MAX(0,P836-IF($A876&gt;='1-Input'!$C$12,'1-Input'!$B$12,0)))))*(1/(1-'P-Parametri'!$B$6*P876))))</f>
        <v>0</v>
      </c>
      <c r="R876" s="18">
        <f>IF($A876&gt;'1-Input'!$B$26,T875,(T875-MAX(0,P836-IF($A876&gt;='1-Input'!$C$12,'1-Input'!$B$12,0))+Q876*(1-'P-Parametri'!$B$6*P876))*(1+'1-Input'!$B$27))</f>
        <v>18572.036987886608</v>
      </c>
      <c r="S876" s="18">
        <f>IF($A876&gt;'1-Input'!$B$26,U875,(U875-Q876)*(1+$D$4))</f>
        <v>0</v>
      </c>
      <c r="T876" s="18">
        <f>IF($A876&gt;'1-Input'!$B$26,R876,R876-'P-Parametri'!$B$8*(S876+R876)+MIN(MAX(S876,0),'P-Parametri'!$B$8*(S876+R876)))</f>
        <v>18534.892913910833</v>
      </c>
      <c r="U876" s="18">
        <f>IF($A876&gt;'1-Input'!$B$26,S876,S876-MIN(MAX(S876,0),'P-Parametri'!$B$8*(S876+R876)))</f>
        <v>0</v>
      </c>
      <c r="V876" s="18">
        <f>IF($A876&gt;'1-Input'!$B$26,V875,V875-Q876*(1-P876))</f>
        <v>0</v>
      </c>
      <c r="W876" s="11">
        <f>IF($A876&gt;'1-Input'!$B$26,0,IF(AB875&lt;=0,0,MAX(0,(AB875-AC875)/AB875)))</f>
        <v>0.78888958438206669</v>
      </c>
      <c r="X876" s="18">
        <f>IF($A876&gt;'1-Input'!$B$26,0,(MAX(0,W836-IF($A876&gt;='1-Input'!$C$12,'1-Input'!$B$12,0))-MIN(MAX(AA875,0),MAX(0,W836-IF($A876&gt;='1-Input'!$C$12,'1-Input'!$B$12,0))))*(1/(1-'P-Parametri'!$B$6*W876))+MIN(MAX(0,AB875-(MAX(0,W836-IF($A876&gt;='1-Input'!$C$12,'1-Input'!$B$12,0))-MIN(MAX(AA875,0),MAX(0,W836-IF($A876&gt;='1-Input'!$C$12,'1-Input'!$B$12,0))))*(1/(1-'P-Parametri'!$B$6*W876))),MAX(0,3*W836-(AA875-MIN(MAX(AA875,0),MAX(0,W836-IF($A876&gt;='1-Input'!$C$12,'1-Input'!$B$12,0)))))*(1/(1-'P-Parametri'!$B$6*W876))))</f>
        <v>4915.0057949577022</v>
      </c>
      <c r="Y876" s="18">
        <f>IF($A876&gt;'1-Input'!$B$26,AA875,(AA875-MAX(0,W836-IF($A876&gt;='1-Input'!$C$12,'1-Input'!$B$12,0))+X876*(1-'P-Parametri'!$B$6*W876))*(1+'1-Input'!$B$27))</f>
        <v>52361.722199777789</v>
      </c>
      <c r="Z876" s="18">
        <f>IF($A876&gt;'1-Input'!$B$26,AB875,(AB875-X876)*(1+$D$4))</f>
        <v>0</v>
      </c>
      <c r="AA876" s="18">
        <f>IF($A876&gt;'1-Input'!$B$26,Y876,Y876-'P-Parametri'!$B$8*(Z876+Y876)+MIN(MAX(Z876,0),'P-Parametri'!$B$8*(Z876+Y876)))</f>
        <v>52256.998755378234</v>
      </c>
      <c r="AB876" s="18">
        <f>IF($A876&gt;'1-Input'!$B$26,Z876,Z876-MIN(MAX(Z876,0),'P-Parametri'!$B$8*(Z876+Y876)))</f>
        <v>0</v>
      </c>
      <c r="AC876" s="18">
        <f>IF($A876&gt;'1-Input'!$B$26,AC875,AC875-X876*(1-W876))</f>
        <v>-2.2737367544323206E-13</v>
      </c>
      <c r="AD876" s="11">
        <f>IF($A876&gt;'1-Input'!$B$26,0,IF(AI875&lt;=0,0,MAX(0,(AI875-AJ875)/AI875)))</f>
        <v>0.7915276247699301</v>
      </c>
      <c r="AE876" s="18">
        <f>IF($A876&gt;'1-Input'!$B$26,0,(MAX(0,AD836-IF($A876&gt;='1-Input'!$C$12,'1-Input'!$B$12,0))-MIN(MAX(AH875,0),MAX(0,AD836-IF($A876&gt;='1-Input'!$C$12,'1-Input'!$B$12,0))))*(1/(1-'P-Parametri'!$B$6*AD876))+MIN(MAX(0,AI875-(MAX(0,AD836-IF($A876&gt;='1-Input'!$C$12,'1-Input'!$B$12,0))-MIN(MAX(AH875,0),MAX(0,AD836-IF($A876&gt;='1-Input'!$C$12,'1-Input'!$B$12,0))))*(1/(1-'P-Parametri'!$B$6*AD876))),MAX(0,3*AD836-(AH875-MIN(MAX(AH875,0),MAX(0,AD836-IF($A876&gt;='1-Input'!$C$12,'1-Input'!$B$12,0)))))*(1/(1-'P-Parametri'!$B$6*AD876))))</f>
        <v>8532.5909752832813</v>
      </c>
      <c r="AF876" s="18">
        <f>IF($A876&gt;'1-Input'!$B$26,AH875,(AH875-MAX(0,AD836-IF($A876&gt;='1-Input'!$C$12,'1-Input'!$B$12,0))+AE876*(1-'P-Parametri'!$B$6*AD876))*(1+'1-Input'!$B$27))</f>
        <v>55153.746135457026</v>
      </c>
      <c r="AG876" s="18">
        <f>IF($A876&gt;'1-Input'!$B$26,AI875,(AI875-AE876)*(1+$D$4))</f>
        <v>0</v>
      </c>
      <c r="AH876" s="18">
        <f>IF($A876&gt;'1-Input'!$B$26,AF876,AF876-'P-Parametri'!$B$8*(AG876+AF876)+MIN(MAX(AG876,0),'P-Parametri'!$B$8*(AG876+AF876)))</f>
        <v>55043.438643186113</v>
      </c>
      <c r="AI876" s="18">
        <f>IF($A876&gt;'1-Input'!$B$26,AG876,AG876-MIN(MAX(AG876,0),'P-Parametri'!$B$8*(AG876+AF876)))</f>
        <v>0</v>
      </c>
      <c r="AJ876" s="18">
        <f>IF($A876&gt;'1-Input'!$B$26,AJ875,AJ875-AE876*(1-AD876))</f>
        <v>-9.0949470177292824E-13</v>
      </c>
      <c r="AK876" s="11">
        <f>IF($A876&gt;'1-Input'!$B$26,0,IF(AP875&lt;=0,0,MAX(0,(AP875-AQ875)/AP875)))</f>
        <v>0.79154859786242138</v>
      </c>
      <c r="AL876" s="18">
        <f>IF($A876&gt;'1-Input'!$B$26,0,(MAX(0,AK836-IF($A876&gt;='1-Input'!$C$12,'1-Input'!$B$12,0))-MIN(MAX(AO875,0),MAX(0,AK836-IF($A876&gt;='1-Input'!$C$12,'1-Input'!$B$12,0))))*(1/(1-'P-Parametri'!$B$6*AK876))+MIN(MAX(0,AP875-(MAX(0,AK836-IF($A876&gt;='1-Input'!$C$12,'1-Input'!$B$12,0))-MIN(MAX(AO875,0),MAX(0,AK836-IF($A876&gt;='1-Input'!$C$12,'1-Input'!$B$12,0))))*(1/(1-'P-Parametri'!$B$6*AK876))),MAX(0,3*AK836-(AO875-MIN(MAX(AO875,0),MAX(0,AK836-IF($A876&gt;='1-Input'!$C$12,'1-Input'!$B$12,0)))))*(1/(1-'P-Parametri'!$B$6*AK876))))</f>
        <v>8577.4217522774215</v>
      </c>
      <c r="AM876" s="18">
        <f>IF($A876&gt;'1-Input'!$B$26,AO875,(AO875-MAX(0,AK836-IF($A876&gt;='1-Input'!$C$12,'1-Input'!$B$12,0))+AL876*(1-'P-Parametri'!$B$6*AK876))*(1+'1-Input'!$B$27))</f>
        <v>55188.341328830356</v>
      </c>
      <c r="AN876" s="18">
        <f>IF($A876&gt;'1-Input'!$B$26,AP875,(AP875-AL876)*(1+$D$4))</f>
        <v>0</v>
      </c>
      <c r="AO876" s="18">
        <f>IF($A876&gt;'1-Input'!$B$26,AM876,AM876-'P-Parametri'!$B$8*(AN876+AM876)+MIN(MAX(AN876,0),'P-Parametri'!$B$8*(AN876+AM876)))</f>
        <v>55077.964646172695</v>
      </c>
      <c r="AP876" s="18">
        <f>IF($A876&gt;'1-Input'!$B$26,AN876,AN876-MIN(MAX(AN876,0),'P-Parametri'!$B$8*(AN876+AM876)))</f>
        <v>0</v>
      </c>
      <c r="AQ876" s="18">
        <f>IF($A876&gt;'1-Input'!$B$26,AQ875,AQ875-AL876*(1-AK876))</f>
        <v>-2.2737367544323206E-13</v>
      </c>
    </row>
    <row r="877" spans="1:43">
      <c r="A877" s="10">
        <f>39</f>
        <v>39</v>
      </c>
      <c r="B877" s="11">
        <f>IF($A877&gt;'1-Input'!$B$26,0,IF(G876&lt;=0,0,MAX(0,(G876-H876)/G876)))</f>
        <v>0.80680890749016976</v>
      </c>
      <c r="C877" s="18">
        <f>IF($A877&gt;'1-Input'!$B$26,0,(MAX(0,B836-IF($A877&gt;='1-Input'!$C$12,'1-Input'!$B$12,0))-MIN(MAX(F876,0),MAX(0,B836-IF($A877&gt;='1-Input'!$C$12,'1-Input'!$B$12,0))))*(1/(1-'P-Parametri'!$B$6*B877))+MIN(MAX(0,G876-(MAX(0,B836-IF($A877&gt;='1-Input'!$C$12,'1-Input'!$B$12,0))-MIN(MAX(F876,0),MAX(0,B836-IF($A877&gt;='1-Input'!$C$12,'1-Input'!$B$12,0))))*(1/(1-'P-Parametri'!$B$6*B877))),MAX(0,3*B836-(F876-MIN(MAX(F876,0),MAX(0,B836-IF($A877&gt;='1-Input'!$C$12,'1-Input'!$B$12,0)))))*(1/(1-'P-Parametri'!$B$6*B877))))</f>
        <v>7288.021227560891</v>
      </c>
      <c r="D877" s="18">
        <f>IF($A877&gt;'1-Input'!$B$26,F876,(F876-MAX(0,B836-IF($A877&gt;='1-Input'!$C$12,'1-Input'!$B$12,0))+C877*(1-'P-Parametri'!$B$6*B877))*(1+'1-Input'!$B$27))</f>
        <v>49863.010546479447</v>
      </c>
      <c r="E877" s="18">
        <f>IF($A877&gt;'1-Input'!$B$26,G876,(G876-C877)*(1+$D$4))</f>
        <v>242042.58893311647</v>
      </c>
      <c r="F877" s="18">
        <f>IF($A877&gt;'1-Input'!$B$26,D877,D877-'P-Parametri'!$B$8*(E877+D877)+MIN(MAX(E877,0),'P-Parametri'!$B$8*(E877+D877)))</f>
        <v>49863.010546479447</v>
      </c>
      <c r="G877" s="18">
        <f>IF($A877&gt;'1-Input'!$B$26,E877,E877-MIN(MAX(E877,0),'P-Parametri'!$B$8*(E877+D877)))</f>
        <v>241458.77773415728</v>
      </c>
      <c r="H877" s="18">
        <f>IF($A877&gt;'1-Input'!$B$26,H876,H876-C877*(1-B877))</f>
        <v>44961.992490285083</v>
      </c>
      <c r="I877" s="11">
        <f>IF($A877&gt;'1-Input'!$B$26,0,IF(N876&lt;=0,0,MAX(0,(N876-O876)/N876)))</f>
        <v>0</v>
      </c>
      <c r="J877" s="18">
        <f>IF($A877&gt;'1-Input'!$B$26,0,(MAX(0,I836-IF($A877&gt;='1-Input'!$C$12,'1-Input'!$B$12,0))-MIN(MAX(M876,0),MAX(0,I836-IF($A877&gt;='1-Input'!$C$12,'1-Input'!$B$12,0))))*(1/(1-'P-Parametri'!$B$6*I877))+MIN(MAX(0,N876-(MAX(0,I836-IF($A877&gt;='1-Input'!$C$12,'1-Input'!$B$12,0))-MIN(MAX(M876,0),MAX(0,I836-IF($A877&gt;='1-Input'!$C$12,'1-Input'!$B$12,0))))*(1/(1-'P-Parametri'!$B$6*I877))),MAX(0,3*I836-(M876-MIN(MAX(M876,0),MAX(0,I836-IF($A877&gt;='1-Input'!$C$12,'1-Input'!$B$12,0)))))*(1/(1-'P-Parametri'!$B$6*I877))))</f>
        <v>10846.756992928691</v>
      </c>
      <c r="K877" s="18">
        <f>IF($A877&gt;'1-Input'!$B$26,M876,(M876-MAX(0,I836-IF($A877&gt;='1-Input'!$C$12,'1-Input'!$B$12,0))+J877*(1-'P-Parametri'!$B$6*I877))*(1+'1-Input'!$B$27))</f>
        <v>0</v>
      </c>
      <c r="L877" s="18">
        <f>IF($A877&gt;'1-Input'!$B$26,N876,(N876-J877)*(1+$D$4))</f>
        <v>-180577.29179276829</v>
      </c>
      <c r="M877" s="18">
        <f>IF($A877&gt;'1-Input'!$B$26,K877,K877-'P-Parametri'!$B$8*(L877+K877)+MIN(MAX(L877,0),'P-Parametri'!$B$8*(L877+K877)))</f>
        <v>0</v>
      </c>
      <c r="N877" s="18">
        <f>IF($A877&gt;'1-Input'!$B$26,L877,L877-MIN(MAX(L877,0),'P-Parametri'!$B$8*(L877+K877)))</f>
        <v>-180216.13720918275</v>
      </c>
      <c r="O877" s="18">
        <f>IF($A877&gt;'1-Input'!$B$26,O876,O876-J877*(1-I877))</f>
        <v>-138210.7796115558</v>
      </c>
      <c r="P877" s="11">
        <f>IF($A877&gt;'1-Input'!$B$26,0,IF(U876&lt;=0,0,MAX(0,(U876-V876)/U876)))</f>
        <v>0</v>
      </c>
      <c r="Q877" s="18">
        <f>IF($A877&gt;'1-Input'!$B$26,0,(MAX(0,P836-IF($A877&gt;='1-Input'!$C$12,'1-Input'!$B$12,0))-MIN(MAX(T876,0),MAX(0,P836-IF($A877&gt;='1-Input'!$C$12,'1-Input'!$B$12,0))))*(1/(1-'P-Parametri'!$B$6*P877))+MIN(MAX(0,U876-(MAX(0,P836-IF($A877&gt;='1-Input'!$C$12,'1-Input'!$B$12,0))-MIN(MAX(T876,0),MAX(0,P836-IF($A877&gt;='1-Input'!$C$12,'1-Input'!$B$12,0))))*(1/(1-'P-Parametri'!$B$6*P877))),MAX(0,3*P836-(T876-MIN(MAX(T876,0),MAX(0,P836-IF($A877&gt;='1-Input'!$C$12,'1-Input'!$B$12,0)))))*(1/(1-'P-Parametri'!$B$6*P877))))</f>
        <v>0</v>
      </c>
      <c r="R877" s="18">
        <f>IF($A877&gt;'1-Input'!$B$26,T876,(T876-MAX(0,P836-IF($A877&gt;='1-Input'!$C$12,'1-Input'!$B$12,0))+Q877*(1-'P-Parametri'!$B$6*P877))*(1+'1-Input'!$B$27))</f>
        <v>10279.568408935735</v>
      </c>
      <c r="S877" s="18">
        <f>IF($A877&gt;'1-Input'!$B$26,U876,(U876-Q877)*(1+$D$4))</f>
        <v>0</v>
      </c>
      <c r="T877" s="18">
        <f>IF($A877&gt;'1-Input'!$B$26,R877,R877-'P-Parametri'!$B$8*(S877+R877)+MIN(MAX(S877,0),'P-Parametri'!$B$8*(S877+R877)))</f>
        <v>10259.009272117863</v>
      </c>
      <c r="U877" s="18">
        <f>IF($A877&gt;'1-Input'!$B$26,S877,S877-MIN(MAX(S877,0),'P-Parametri'!$B$8*(S877+R877)))</f>
        <v>0</v>
      </c>
      <c r="V877" s="18">
        <f>IF($A877&gt;'1-Input'!$B$26,V876,V876-Q877*(1-P877))</f>
        <v>0</v>
      </c>
      <c r="W877" s="11">
        <f>IF($A877&gt;'1-Input'!$B$26,0,IF(AB876&lt;=0,0,MAX(0,(AB876-AC876)/AB876)))</f>
        <v>0</v>
      </c>
      <c r="X877" s="18">
        <f>IF($A877&gt;'1-Input'!$B$26,0,(MAX(0,W836-IF($A877&gt;='1-Input'!$C$12,'1-Input'!$B$12,0))-MIN(MAX(AA876,0),MAX(0,W836-IF($A877&gt;='1-Input'!$C$12,'1-Input'!$B$12,0))))*(1/(1-'P-Parametri'!$B$6*W877))+MIN(MAX(0,AB876-(MAX(0,W836-IF($A877&gt;='1-Input'!$C$12,'1-Input'!$B$12,0))-MIN(MAX(AA876,0),MAX(0,W836-IF($A877&gt;='1-Input'!$C$12,'1-Input'!$B$12,0))))*(1/(1-'P-Parametri'!$B$6*W877))),MAX(0,3*W836-(AA876-MIN(MAX(AA876,0),MAX(0,W836-IF($A877&gt;='1-Input'!$C$12,'1-Input'!$B$12,0)))))*(1/(1-'P-Parametri'!$B$6*W877))))</f>
        <v>0</v>
      </c>
      <c r="Y877" s="18">
        <f>IF($A877&gt;'1-Input'!$B$26,AA876,(AA876-MAX(0,W836-IF($A877&gt;='1-Input'!$C$12,'1-Input'!$B$12,0))+X877*(1-'P-Parametri'!$B$6*W877))*(1+'1-Input'!$B$27))</f>
        <v>44325.923667974464</v>
      </c>
      <c r="Z877" s="18">
        <f>IF($A877&gt;'1-Input'!$B$26,AB876,(AB876-X877)*(1+$D$4))</f>
        <v>0</v>
      </c>
      <c r="AA877" s="18">
        <f>IF($A877&gt;'1-Input'!$B$26,Y877,Y877-'P-Parametri'!$B$8*(Z877+Y877)+MIN(MAX(Z877,0),'P-Parametri'!$B$8*(Z877+Y877)))</f>
        <v>44237.271820638518</v>
      </c>
      <c r="AB877" s="18">
        <f>IF($A877&gt;'1-Input'!$B$26,Z877,Z877-MIN(MAX(Z877,0),'P-Parametri'!$B$8*(Z877+Y877)))</f>
        <v>0</v>
      </c>
      <c r="AC877" s="18">
        <f>IF($A877&gt;'1-Input'!$B$26,AC876,AC876-X877*(1-W877))</f>
        <v>-2.2737367544323206E-13</v>
      </c>
      <c r="AD877" s="11">
        <f>IF($A877&gt;'1-Input'!$B$26,0,IF(AI876&lt;=0,0,MAX(0,(AI876-AJ876)/AI876)))</f>
        <v>0</v>
      </c>
      <c r="AE877" s="18">
        <f>IF($A877&gt;'1-Input'!$B$26,0,(MAX(0,AD836-IF($A877&gt;='1-Input'!$C$12,'1-Input'!$B$12,0))-MIN(MAX(AH876,0),MAX(0,AD836-IF($A877&gt;='1-Input'!$C$12,'1-Input'!$B$12,0))))*(1/(1-'P-Parametri'!$B$6*AD877))+MIN(MAX(0,AI876-(MAX(0,AD836-IF($A877&gt;='1-Input'!$C$12,'1-Input'!$B$12,0))-MIN(MAX(AH876,0),MAX(0,AD836-IF($A877&gt;='1-Input'!$C$12,'1-Input'!$B$12,0))))*(1/(1-'P-Parametri'!$B$6*AD877))),MAX(0,3*AD836-(AH876-MIN(MAX(AH876,0),MAX(0,AD836-IF($A877&gt;='1-Input'!$C$12,'1-Input'!$B$12,0)))))*(1/(1-'P-Parametri'!$B$6*AD877))))</f>
        <v>0</v>
      </c>
      <c r="AF877" s="18">
        <f>IF($A877&gt;'1-Input'!$B$26,AH876,(AH876-MAX(0,AD836-IF($A877&gt;='1-Input'!$C$12,'1-Input'!$B$12,0))+AE877*(1-'P-Parametri'!$B$6*AD877))*(1+'1-Input'!$B$27))</f>
        <v>47136.200379846458</v>
      </c>
      <c r="AG877" s="18">
        <f>IF($A877&gt;'1-Input'!$B$26,AI876,(AI876-AE877)*(1+$D$4))</f>
        <v>0</v>
      </c>
      <c r="AH877" s="18">
        <f>IF($A877&gt;'1-Input'!$B$26,AF877,AF877-'P-Parametri'!$B$8*(AG877+AF877)+MIN(MAX(AG877,0),'P-Parametri'!$B$8*(AG877+AF877)))</f>
        <v>47041.927979086766</v>
      </c>
      <c r="AI877" s="18">
        <f>IF($A877&gt;'1-Input'!$B$26,AG877,AG877-MIN(MAX(AG877,0),'P-Parametri'!$B$8*(AG877+AF877)))</f>
        <v>0</v>
      </c>
      <c r="AJ877" s="18">
        <f>IF($A877&gt;'1-Input'!$B$26,AJ876,AJ876-AE877*(1-AD877))</f>
        <v>-9.0949470177292824E-13</v>
      </c>
      <c r="AK877" s="11">
        <f>IF($A877&gt;'1-Input'!$B$26,0,IF(AP876&lt;=0,0,MAX(0,(AP876-AQ876)/AP876)))</f>
        <v>0</v>
      </c>
      <c r="AL877" s="18">
        <f>IF($A877&gt;'1-Input'!$B$26,0,(MAX(0,AK836-IF($A877&gt;='1-Input'!$C$12,'1-Input'!$B$12,0))-MIN(MAX(AO876,0),MAX(0,AK836-IF($A877&gt;='1-Input'!$C$12,'1-Input'!$B$12,0))))*(1/(1-'P-Parametri'!$B$6*AK877))+MIN(MAX(0,AP876-(MAX(0,AK836-IF($A877&gt;='1-Input'!$C$12,'1-Input'!$B$12,0))-MIN(MAX(AO876,0),MAX(0,AK836-IF($A877&gt;='1-Input'!$C$12,'1-Input'!$B$12,0))))*(1/(1-'P-Parametri'!$B$6*AK877))),MAX(0,3*AK836-(AO876-MIN(MAX(AO876,0),MAX(0,AK836-IF($A877&gt;='1-Input'!$C$12,'1-Input'!$B$12,0)))))*(1/(1-'P-Parametri'!$B$6*AK877))))</f>
        <v>0</v>
      </c>
      <c r="AM877" s="18">
        <f>IF($A877&gt;'1-Input'!$B$26,AO876,(AO876-MAX(0,AK836-IF($A877&gt;='1-Input'!$C$12,'1-Input'!$B$12,0))+AL877*(1-'P-Parametri'!$B$6*AK877))*(1+'1-Input'!$B$27))</f>
        <v>47171.0217326313</v>
      </c>
      <c r="AN877" s="18">
        <f>IF($A877&gt;'1-Input'!$B$26,AP876,(AP876-AL877)*(1+$D$4))</f>
        <v>0</v>
      </c>
      <c r="AO877" s="18">
        <f>IF($A877&gt;'1-Input'!$B$26,AM877,AM877-'P-Parametri'!$B$8*(AN877+AM877)+MIN(MAX(AN877,0),'P-Parametri'!$B$8*(AN877+AM877)))</f>
        <v>47076.679689166034</v>
      </c>
      <c r="AP877" s="18">
        <f>IF($A877&gt;'1-Input'!$B$26,AN877,AN877-MIN(MAX(AN877,0),'P-Parametri'!$B$8*(AN877+AM877)))</f>
        <v>0</v>
      </c>
      <c r="AQ877" s="18">
        <f>IF($A877&gt;'1-Input'!$B$26,AQ876,AQ876-AL877*(1-AK877))</f>
        <v>-2.2737367544323206E-13</v>
      </c>
    </row>
    <row r="878" spans="1:43">
      <c r="A878" s="10">
        <f>40</f>
        <v>40</v>
      </c>
      <c r="B878" s="11">
        <f>IF($A878&gt;'1-Input'!$B$26,0,IF(G877&lt;=0,0,MAX(0,(G877-H877)/G877)))</f>
        <v>0.81379019262746544</v>
      </c>
      <c r="C878" s="18">
        <f>IF($A878&gt;'1-Input'!$B$26,0,(MAX(0,B836-IF($A878&gt;='1-Input'!$C$12,'1-Input'!$B$12,0))-MIN(MAX(F877,0),MAX(0,B836-IF($A878&gt;='1-Input'!$C$12,'1-Input'!$B$12,0))))*(1/(1-'P-Parametri'!$B$6*B878))+MIN(MAX(0,G877-(MAX(0,B836-IF($A878&gt;='1-Input'!$C$12,'1-Input'!$B$12,0))-MIN(MAX(F877,0),MAX(0,B836-IF($A878&gt;='1-Input'!$C$12,'1-Input'!$B$12,0))))*(1/(1-'P-Parametri'!$B$6*B878))),MAX(0,3*B836-(F877-MIN(MAX(F877,0),MAX(0,B836-IF($A878&gt;='1-Input'!$C$12,'1-Input'!$B$12,0)))))*(1/(1-'P-Parametri'!$B$6*B878))))</f>
        <v>7304.8001367188008</v>
      </c>
      <c r="D878" s="18">
        <f>IF($A878&gt;'1-Input'!$B$26,F877,(F877-MAX(0,B836-IF($A878&gt;='1-Input'!$C$12,'1-Input'!$B$12,0))+C878*(1-'P-Parametri'!$B$6*B878))*(1+'1-Input'!$B$27))</f>
        <v>49863.010546479447</v>
      </c>
      <c r="E878" s="18">
        <f>IF($A878&gt;'1-Input'!$B$26,G877,(G877-C878)*(1+$D$4))</f>
        <v>243520.13670133601</v>
      </c>
      <c r="F878" s="18">
        <f>IF($A878&gt;'1-Input'!$B$26,D878,D878-'P-Parametri'!$B$8*(E878+D878)+MIN(MAX(E878,0),'P-Parametri'!$B$8*(E878+D878)))</f>
        <v>49863.010546479447</v>
      </c>
      <c r="G878" s="18">
        <f>IF($A878&gt;'1-Input'!$B$26,E878,E878-MIN(MAX(E878,0),'P-Parametri'!$B$8*(E878+D878)))</f>
        <v>242933.37040684037</v>
      </c>
      <c r="H878" s="18">
        <f>IF($A878&gt;'1-Input'!$B$26,H877,H877-C878*(1-B878))</f>
        <v>43601.767063931809</v>
      </c>
      <c r="I878" s="11">
        <f>IF($A878&gt;'1-Input'!$B$26,0,IF(N877&lt;=0,0,MAX(0,(N877-O877)/N877)))</f>
        <v>0</v>
      </c>
      <c r="J878" s="18">
        <f>IF($A878&gt;'1-Input'!$B$26,0,(MAX(0,I836-IF($A878&gt;='1-Input'!$C$12,'1-Input'!$B$12,0))-MIN(MAX(M877,0),MAX(0,I836-IF($A878&gt;='1-Input'!$C$12,'1-Input'!$B$12,0))))*(1/(1-'P-Parametri'!$B$6*I878))+MIN(MAX(0,N877-(MAX(0,I836-IF($A878&gt;='1-Input'!$C$12,'1-Input'!$B$12,0))-MIN(MAX(M877,0),MAX(0,I836-IF($A878&gt;='1-Input'!$C$12,'1-Input'!$B$12,0))))*(1/(1-'P-Parametri'!$B$6*I878))),MAX(0,3*I836-(M877-MIN(MAX(M877,0),MAX(0,I836-IF($A878&gt;='1-Input'!$C$12,'1-Input'!$B$12,0)))))*(1/(1-'P-Parametri'!$B$6*I878))))</f>
        <v>10846.756992928691</v>
      </c>
      <c r="K878" s="18">
        <f>IF($A878&gt;'1-Input'!$B$26,M877,(M877-MAX(0,I836-IF($A878&gt;='1-Input'!$C$12,'1-Input'!$B$12,0))+J878*(1-'P-Parametri'!$B$6*I878))*(1+'1-Input'!$B$27))</f>
        <v>0</v>
      </c>
      <c r="L878" s="18">
        <f>IF($A878&gt;'1-Input'!$B$26,N877,(N877-J878)*(1+$D$4))</f>
        <v>-198705.40997019591</v>
      </c>
      <c r="M878" s="18">
        <f>IF($A878&gt;'1-Input'!$B$26,K878,K878-'P-Parametri'!$B$8*(L878+K878)+MIN(MAX(L878,0),'P-Parametri'!$B$8*(L878+K878)))</f>
        <v>0</v>
      </c>
      <c r="N878" s="18">
        <f>IF($A878&gt;'1-Input'!$B$26,L878,L878-MIN(MAX(L878,0),'P-Parametri'!$B$8*(L878+K878)))</f>
        <v>-198307.99915025552</v>
      </c>
      <c r="O878" s="18">
        <f>IF($A878&gt;'1-Input'!$B$26,O877,O877-J878*(1-I878))</f>
        <v>-149057.53660448448</v>
      </c>
      <c r="P878" s="11">
        <f>IF($A878&gt;'1-Input'!$B$26,0,IF(U877&lt;=0,0,MAX(0,(U877-V877)/U877)))</f>
        <v>0</v>
      </c>
      <c r="Q878" s="18">
        <f>IF($A878&gt;'1-Input'!$B$26,0,(MAX(0,P836-IF($A878&gt;='1-Input'!$C$12,'1-Input'!$B$12,0))-MIN(MAX(T877,0),MAX(0,P836-IF($A878&gt;='1-Input'!$C$12,'1-Input'!$B$12,0))))*(1/(1-'P-Parametri'!$B$6*P878))+MIN(MAX(0,U877-(MAX(0,P836-IF($A878&gt;='1-Input'!$C$12,'1-Input'!$B$12,0))-MIN(MAX(T877,0),MAX(0,P836-IF($A878&gt;='1-Input'!$C$12,'1-Input'!$B$12,0))))*(1/(1-'P-Parametri'!$B$6*P878))),MAX(0,3*P836-(T877-MIN(MAX(T877,0),MAX(0,P836-IF($A878&gt;='1-Input'!$C$12,'1-Input'!$B$12,0)))))*(1/(1-'P-Parametri'!$B$6*P878))))</f>
        <v>0</v>
      </c>
      <c r="R878" s="18">
        <f>IF($A878&gt;'1-Input'!$B$26,T877,(T877-MAX(0,P836-IF($A878&gt;='1-Input'!$C$12,'1-Input'!$B$12,0))+Q878*(1-'P-Parametri'!$B$6*P878))*(1+'1-Input'!$B$27))</f>
        <v>2033.4779482532185</v>
      </c>
      <c r="S878" s="18">
        <f>IF($A878&gt;'1-Input'!$B$26,U877,(U877-Q878)*(1+$D$4))</f>
        <v>0</v>
      </c>
      <c r="T878" s="18">
        <f>IF($A878&gt;'1-Input'!$B$26,R878,R878-'P-Parametri'!$B$8*(S878+R878)+MIN(MAX(S878,0),'P-Parametri'!$B$8*(S878+R878)))</f>
        <v>2029.4109923567121</v>
      </c>
      <c r="U878" s="18">
        <f>IF($A878&gt;'1-Input'!$B$26,S878,S878-MIN(MAX(S878,0),'P-Parametri'!$B$8*(S878+R878)))</f>
        <v>0</v>
      </c>
      <c r="V878" s="18">
        <f>IF($A878&gt;'1-Input'!$B$26,V877,V877-Q878*(1-P878))</f>
        <v>0</v>
      </c>
      <c r="W878" s="11">
        <f>IF($A878&gt;'1-Input'!$B$26,0,IF(AB877&lt;=0,0,MAX(0,(AB877-AC877)/AB877)))</f>
        <v>0</v>
      </c>
      <c r="X878" s="18">
        <f>IF($A878&gt;'1-Input'!$B$26,0,(MAX(0,W836-IF($A878&gt;='1-Input'!$C$12,'1-Input'!$B$12,0))-MIN(MAX(AA877,0),MAX(0,W836-IF($A878&gt;='1-Input'!$C$12,'1-Input'!$B$12,0))))*(1/(1-'P-Parametri'!$B$6*W878))+MIN(MAX(0,AB877-(MAX(0,W836-IF($A878&gt;='1-Input'!$C$12,'1-Input'!$B$12,0))-MIN(MAX(AA877,0),MAX(0,W836-IF($A878&gt;='1-Input'!$C$12,'1-Input'!$B$12,0))))*(1/(1-'P-Parametri'!$B$6*W878))),MAX(0,3*W836-(AA877-MIN(MAX(AA877,0),MAX(0,W836-IF($A878&gt;='1-Input'!$C$12,'1-Input'!$B$12,0)))))*(1/(1-'P-Parametri'!$B$6*W878))))</f>
        <v>0</v>
      </c>
      <c r="Y878" s="18">
        <f>IF($A878&gt;'1-Input'!$B$26,AA877,(AA877-MAX(0,W836-IF($A878&gt;='1-Input'!$C$12,'1-Input'!$B$12,0))+X878*(1-'P-Parametri'!$B$6*W878))*(1+'1-Input'!$B$27))</f>
        <v>36335.067750199807</v>
      </c>
      <c r="Z878" s="18">
        <f>IF($A878&gt;'1-Input'!$B$26,AB877,(AB877-X878)*(1+$D$4))</f>
        <v>0</v>
      </c>
      <c r="AA878" s="18">
        <f>IF($A878&gt;'1-Input'!$B$26,Y878,Y878-'P-Parametri'!$B$8*(Z878+Y878)+MIN(MAX(Z878,0),'P-Parametri'!$B$8*(Z878+Y878)))</f>
        <v>36262.39761469941</v>
      </c>
      <c r="AB878" s="18">
        <f>IF($A878&gt;'1-Input'!$B$26,Z878,Z878-MIN(MAX(Z878,0),'P-Parametri'!$B$8*(Z878+Y878)))</f>
        <v>0</v>
      </c>
      <c r="AC878" s="18">
        <f>IF($A878&gt;'1-Input'!$B$26,AC877,AC877-X878*(1-W878))</f>
        <v>-2.2737367544323206E-13</v>
      </c>
      <c r="AD878" s="11">
        <f>IF($A878&gt;'1-Input'!$B$26,0,IF(AI877&lt;=0,0,MAX(0,(AI877-AJ877)/AI877)))</f>
        <v>0</v>
      </c>
      <c r="AE878" s="18">
        <f>IF($A878&gt;'1-Input'!$B$26,0,(MAX(0,AD836-IF($A878&gt;='1-Input'!$C$12,'1-Input'!$B$12,0))-MIN(MAX(AH877,0),MAX(0,AD836-IF($A878&gt;='1-Input'!$C$12,'1-Input'!$B$12,0))))*(1/(1-'P-Parametri'!$B$6*AD878))+MIN(MAX(0,AI877-(MAX(0,AD836-IF($A878&gt;='1-Input'!$C$12,'1-Input'!$B$12,0))-MIN(MAX(AH877,0),MAX(0,AD836-IF($A878&gt;='1-Input'!$C$12,'1-Input'!$B$12,0))))*(1/(1-'P-Parametri'!$B$6*AD878))),MAX(0,3*AD836-(AH877-MIN(MAX(AH877,0),MAX(0,AD836-IF($A878&gt;='1-Input'!$C$12,'1-Input'!$B$12,0)))))*(1/(1-'P-Parametri'!$B$6*AD878))))</f>
        <v>0</v>
      </c>
      <c r="AF878" s="18">
        <f>IF($A878&gt;'1-Input'!$B$26,AH877,(AH877-MAX(0,AD836-IF($A878&gt;='1-Input'!$C$12,'1-Input'!$B$12,0))+AE878*(1-'P-Parametri'!$B$6*AD878))*(1+'1-Input'!$B$27))</f>
        <v>39163.495154137869</v>
      </c>
      <c r="AG878" s="18">
        <f>IF($A878&gt;'1-Input'!$B$26,AI877,(AI877-AE878)*(1+$D$4))</f>
        <v>0</v>
      </c>
      <c r="AH878" s="18">
        <f>IF($A878&gt;'1-Input'!$B$26,AF878,AF878-'P-Parametri'!$B$8*(AG878+AF878)+MIN(MAX(AG878,0),'P-Parametri'!$B$8*(AG878+AF878)))</f>
        <v>39085.168163829592</v>
      </c>
      <c r="AI878" s="18">
        <f>IF($A878&gt;'1-Input'!$B$26,AG878,AG878-MIN(MAX(AG878,0),'P-Parametri'!$B$8*(AG878+AF878)))</f>
        <v>0</v>
      </c>
      <c r="AJ878" s="18">
        <f>IF($A878&gt;'1-Input'!$B$26,AJ877,AJ877-AE878*(1-AD878))</f>
        <v>-9.0949470177292824E-13</v>
      </c>
      <c r="AK878" s="11">
        <f>IF($A878&gt;'1-Input'!$B$26,0,IF(AP877&lt;=0,0,MAX(0,(AP877-AQ877)/AP877)))</f>
        <v>0</v>
      </c>
      <c r="AL878" s="18">
        <f>IF($A878&gt;'1-Input'!$B$26,0,(MAX(0,AK836-IF($A878&gt;='1-Input'!$C$12,'1-Input'!$B$12,0))-MIN(MAX(AO877,0),MAX(0,AK836-IF($A878&gt;='1-Input'!$C$12,'1-Input'!$B$12,0))))*(1/(1-'P-Parametri'!$B$6*AK878))+MIN(MAX(0,AP877-(MAX(0,AK836-IF($A878&gt;='1-Input'!$C$12,'1-Input'!$B$12,0))-MIN(MAX(AO877,0),MAX(0,AK836-IF($A878&gt;='1-Input'!$C$12,'1-Input'!$B$12,0))))*(1/(1-'P-Parametri'!$B$6*AK878))),MAX(0,3*AK836-(AO877-MIN(MAX(AO877,0),MAX(0,AK836-IF($A878&gt;='1-Input'!$C$12,'1-Input'!$B$12,0)))))*(1/(1-'P-Parametri'!$B$6*AK878))))</f>
        <v>0</v>
      </c>
      <c r="AM878" s="18">
        <f>IF($A878&gt;'1-Input'!$B$26,AO877,(AO877-MAX(0,AK836-IF($A878&gt;='1-Input'!$C$12,'1-Input'!$B$12,0))+AL878*(1-'P-Parametri'!$B$6*AK878))*(1+'1-Input'!$B$27))</f>
        <v>39198.541401469862</v>
      </c>
      <c r="AN878" s="18">
        <f>IF($A878&gt;'1-Input'!$B$26,AP877,(AP877-AL878)*(1+$D$4))</f>
        <v>0</v>
      </c>
      <c r="AO878" s="18">
        <f>IF($A878&gt;'1-Input'!$B$26,AM878,AM878-'P-Parametri'!$B$8*(AN878+AM878)+MIN(MAX(AN878,0),'P-Parametri'!$B$8*(AN878+AM878)))</f>
        <v>39120.14431866692</v>
      </c>
      <c r="AP878" s="18">
        <f>IF($A878&gt;'1-Input'!$B$26,AN878,AN878-MIN(MAX(AN878,0),'P-Parametri'!$B$8*(AN878+AM878)))</f>
        <v>0</v>
      </c>
      <c r="AQ878" s="18">
        <f>IF($A878&gt;'1-Input'!$B$26,AQ877,AQ877-AL878*(1-AK878))</f>
        <v>-2.2737367544323206E-13</v>
      </c>
    </row>
    <row r="879" spans="1:43">
      <c r="A879" s="10">
        <f>41</f>
        <v>41</v>
      </c>
      <c r="B879" s="11">
        <f>IF($A879&gt;'1-Input'!$B$26,0,IF(G878&lt;=0,0,MAX(0,(G878-H878)/G878)))</f>
        <v>0.82051964705008629</v>
      </c>
      <c r="C879" s="18">
        <f>IF($A879&gt;'1-Input'!$B$26,0,(MAX(0,B836-IF($A879&gt;='1-Input'!$C$12,'1-Input'!$B$12,0))-MIN(MAX(F878,0),MAX(0,B836-IF($A879&gt;='1-Input'!$C$12,'1-Input'!$B$12,0))))*(1/(1-'P-Parametri'!$B$6*B879))+MIN(MAX(0,G878-(MAX(0,B836-IF($A879&gt;='1-Input'!$C$12,'1-Input'!$B$12,0))-MIN(MAX(F878,0),MAX(0,B836-IF($A879&gt;='1-Input'!$C$12,'1-Input'!$B$12,0))))*(1/(1-'P-Parametri'!$B$6*B879))),MAX(0,3*B836-(F878-MIN(MAX(F878,0),MAX(0,B836-IF($A879&gt;='1-Input'!$C$12,'1-Input'!$B$12,0)))))*(1/(1-'P-Parametri'!$B$6*B879))))</f>
        <v>7321.0470840863845</v>
      </c>
      <c r="D879" s="18">
        <f>IF($A879&gt;'1-Input'!$B$26,F878,(F878-MAX(0,B836-IF($A879&gt;='1-Input'!$C$12,'1-Input'!$B$12,0))+C879*(1-'P-Parametri'!$B$6*B879))*(1+'1-Input'!$B$27))</f>
        <v>49863.010546479447</v>
      </c>
      <c r="E879" s="18">
        <f>IF($A879&gt;'1-Input'!$B$26,G878,(G878-C879)*(1+$D$4))</f>
        <v>245036.81625566416</v>
      </c>
      <c r="F879" s="18">
        <f>IF($A879&gt;'1-Input'!$B$26,D879,D879-'P-Parametri'!$B$8*(E879+D879)+MIN(MAX(E879,0),'P-Parametri'!$B$8*(E879+D879)))</f>
        <v>49863.010546479447</v>
      </c>
      <c r="G879" s="18">
        <f>IF($A879&gt;'1-Input'!$B$26,E879,E879-MIN(MAX(E879,0),'P-Parametri'!$B$8*(E879+D879)))</f>
        <v>244447.01660205988</v>
      </c>
      <c r="H879" s="18">
        <f>IF($A879&gt;'1-Input'!$B$26,H878,H878-C879*(1-B879))</f>
        <v>42287.78294931705</v>
      </c>
      <c r="I879" s="11">
        <f>IF($A879&gt;'1-Input'!$B$26,0,IF(N878&lt;=0,0,MAX(0,(N878-O878)/N878)))</f>
        <v>0</v>
      </c>
      <c r="J879" s="18">
        <f>IF($A879&gt;'1-Input'!$B$26,0,(MAX(0,I836-IF($A879&gt;='1-Input'!$C$12,'1-Input'!$B$12,0))-MIN(MAX(M878,0),MAX(0,I836-IF($A879&gt;='1-Input'!$C$12,'1-Input'!$B$12,0))))*(1/(1-'P-Parametri'!$B$6*I879))+MIN(MAX(0,N878-(MAX(0,I836-IF($A879&gt;='1-Input'!$C$12,'1-Input'!$B$12,0))-MIN(MAX(M878,0),MAX(0,I836-IF($A879&gt;='1-Input'!$C$12,'1-Input'!$B$12,0))))*(1/(1-'P-Parametri'!$B$6*I879))),MAX(0,3*I836-(M878-MIN(MAX(M878,0),MAX(0,I836-IF($A879&gt;='1-Input'!$C$12,'1-Input'!$B$12,0)))))*(1/(1-'P-Parametri'!$B$6*I879))))</f>
        <v>10846.756992928691</v>
      </c>
      <c r="K879" s="18">
        <f>IF($A879&gt;'1-Input'!$B$26,M878,(M878-MAX(0,I836-IF($A879&gt;='1-Input'!$C$12,'1-Input'!$B$12,0))+J879*(1-'P-Parametri'!$B$6*I879))*(1+'1-Input'!$B$27))</f>
        <v>0</v>
      </c>
      <c r="L879" s="18">
        <f>IF($A879&gt;'1-Input'!$B$26,N878,(N878-J879)*(1+$D$4))</f>
        <v>-217520.94638891157</v>
      </c>
      <c r="M879" s="18">
        <f>IF($A879&gt;'1-Input'!$B$26,K879,K879-'P-Parametri'!$B$8*(L879+K879)+MIN(MAX(L879,0),'P-Parametri'!$B$8*(L879+K879)))</f>
        <v>0</v>
      </c>
      <c r="N879" s="18">
        <f>IF($A879&gt;'1-Input'!$B$26,L879,L879-MIN(MAX(L879,0),'P-Parametri'!$B$8*(L879+K879)))</f>
        <v>-217085.90449613373</v>
      </c>
      <c r="O879" s="18">
        <f>IF($A879&gt;'1-Input'!$B$26,O878,O878-J879*(1-I879))</f>
        <v>-159904.29359741317</v>
      </c>
      <c r="P879" s="11">
        <f>IF($A879&gt;'1-Input'!$B$26,0,IF(U878&lt;=0,0,MAX(0,(U878-V878)/U878)))</f>
        <v>0</v>
      </c>
      <c r="Q879" s="18">
        <f>IF($A879&gt;'1-Input'!$B$26,0,(MAX(0,P836-IF($A879&gt;='1-Input'!$C$12,'1-Input'!$B$12,0))-MIN(MAX(T878,0),MAX(0,P836-IF($A879&gt;='1-Input'!$C$12,'1-Input'!$B$12,0))))*(1/(1-'P-Parametri'!$B$6*P879))+MIN(MAX(0,U878-(MAX(0,P836-IF($A879&gt;='1-Input'!$C$12,'1-Input'!$B$12,0))-MIN(MAX(T878,0),MAX(0,P836-IF($A879&gt;='1-Input'!$C$12,'1-Input'!$B$12,0))))*(1/(1-'P-Parametri'!$B$6*P879))),MAX(0,3*P836-(T878-MIN(MAX(T878,0),MAX(0,P836-IF($A879&gt;='1-Input'!$C$12,'1-Input'!$B$12,0)))))*(1/(1-'P-Parametri'!$B$6*P879))))</f>
        <v>6188.7733618032835</v>
      </c>
      <c r="R879" s="18">
        <f>IF($A879&gt;'1-Input'!$B$26,T878,(T878-MAX(0,P836-IF($A879&gt;='1-Input'!$C$12,'1-Input'!$B$12,0))+Q879*(1-'P-Parametri'!$B$6*P879))*(1+'1-Input'!$B$27))</f>
        <v>0</v>
      </c>
      <c r="S879" s="18">
        <f>IF($A879&gt;'1-Input'!$B$26,U878,(U878-Q879)*(1+$D$4))</f>
        <v>-6436.3242962754148</v>
      </c>
      <c r="T879" s="18">
        <f>IF($A879&gt;'1-Input'!$B$26,R879,R879-'P-Parametri'!$B$8*(S879+R879)+MIN(MAX(S879,0),'P-Parametri'!$B$8*(S879+R879)))</f>
        <v>0</v>
      </c>
      <c r="U879" s="18">
        <f>IF($A879&gt;'1-Input'!$B$26,S879,S879-MIN(MAX(S879,0),'P-Parametri'!$B$8*(S879+R879)))</f>
        <v>-6423.4516476828639</v>
      </c>
      <c r="V879" s="18">
        <f>IF($A879&gt;'1-Input'!$B$26,V878,V878-Q879*(1-P879))</f>
        <v>-6188.7733618032835</v>
      </c>
      <c r="W879" s="11">
        <f>IF($A879&gt;'1-Input'!$B$26,0,IF(AB878&lt;=0,0,MAX(0,(AB878-AC878)/AB878)))</f>
        <v>0</v>
      </c>
      <c r="X879" s="18">
        <f>IF($A879&gt;'1-Input'!$B$26,0,(MAX(0,W836-IF($A879&gt;='1-Input'!$C$12,'1-Input'!$B$12,0))-MIN(MAX(AA878,0),MAX(0,W836-IF($A879&gt;='1-Input'!$C$12,'1-Input'!$B$12,0))))*(1/(1-'P-Parametri'!$B$6*W879))+MIN(MAX(0,AB878-(MAX(0,W836-IF($A879&gt;='1-Input'!$C$12,'1-Input'!$B$12,0))-MIN(MAX(AA878,0),MAX(0,W836-IF($A879&gt;='1-Input'!$C$12,'1-Input'!$B$12,0))))*(1/(1-'P-Parametri'!$B$6*W879))),MAX(0,3*W836-(AA878-MIN(MAX(AA878,0),MAX(0,W836-IF($A879&gt;='1-Input'!$C$12,'1-Input'!$B$12,0)))))*(1/(1-'P-Parametri'!$B$6*W879))))</f>
        <v>0</v>
      </c>
      <c r="Y879" s="18">
        <f>IF($A879&gt;'1-Input'!$B$26,AA878,(AA878-MAX(0,W836-IF($A879&gt;='1-Input'!$C$12,'1-Input'!$B$12,0))+X879*(1-'P-Parametri'!$B$6*W879))*(1+'1-Input'!$B$27))</f>
        <v>28388.903091402084</v>
      </c>
      <c r="Z879" s="18">
        <f>IF($A879&gt;'1-Input'!$B$26,AB878,(AB878-X879)*(1+$D$4))</f>
        <v>0</v>
      </c>
      <c r="AA879" s="18">
        <f>IF($A879&gt;'1-Input'!$B$26,Y879,Y879-'P-Parametri'!$B$8*(Z879+Y879)+MIN(MAX(Z879,0),'P-Parametri'!$B$8*(Z879+Y879)))</f>
        <v>28332.125285219281</v>
      </c>
      <c r="AB879" s="18">
        <f>IF($A879&gt;'1-Input'!$B$26,Z879,Z879-MIN(MAX(Z879,0),'P-Parametri'!$B$8*(Z879+Y879)))</f>
        <v>0</v>
      </c>
      <c r="AC879" s="18">
        <f>IF($A879&gt;'1-Input'!$B$26,AC878,AC878-X879*(1-W879))</f>
        <v>-2.2737367544323206E-13</v>
      </c>
      <c r="AD879" s="11">
        <f>IF($A879&gt;'1-Input'!$B$26,0,IF(AI878&lt;=0,0,MAX(0,(AI878-AJ878)/AI878)))</f>
        <v>0</v>
      </c>
      <c r="AE879" s="18">
        <f>IF($A879&gt;'1-Input'!$B$26,0,(MAX(0,AD836-IF($A879&gt;='1-Input'!$C$12,'1-Input'!$B$12,0))-MIN(MAX(AH878,0),MAX(0,AD836-IF($A879&gt;='1-Input'!$C$12,'1-Input'!$B$12,0))))*(1/(1-'P-Parametri'!$B$6*AD879))+MIN(MAX(0,AI878-(MAX(0,AD836-IF($A879&gt;='1-Input'!$C$12,'1-Input'!$B$12,0))-MIN(MAX(AH878,0),MAX(0,AD836-IF($A879&gt;='1-Input'!$C$12,'1-Input'!$B$12,0))))*(1/(1-'P-Parametri'!$B$6*AD879))),MAX(0,3*AD836-(AH878-MIN(MAX(AH878,0),MAX(0,AD836-IF($A879&gt;='1-Input'!$C$12,'1-Input'!$B$12,0)))))*(1/(1-'P-Parametri'!$B$6*AD879))))</f>
        <v>0</v>
      </c>
      <c r="AF879" s="18">
        <f>IF($A879&gt;'1-Input'!$B$26,AH878,(AH878-MAX(0,AD836-IF($A879&gt;='1-Input'!$C$12,'1-Input'!$B$12,0))+AE879*(1-'P-Parametri'!$B$6*AD879))*(1+'1-Input'!$B$27))</f>
        <v>31235.379674215623</v>
      </c>
      <c r="AG879" s="18">
        <f>IF($A879&gt;'1-Input'!$B$26,AI878,(AI878-AE879)*(1+$D$4))</f>
        <v>0</v>
      </c>
      <c r="AH879" s="18">
        <f>IF($A879&gt;'1-Input'!$B$26,AF879,AF879-'P-Parametri'!$B$8*(AG879+AF879)+MIN(MAX(AG879,0),'P-Parametri'!$B$8*(AG879+AF879)))</f>
        <v>31172.908914867192</v>
      </c>
      <c r="AI879" s="18">
        <f>IF($A879&gt;'1-Input'!$B$26,AG879,AG879-MIN(MAX(AG879,0),'P-Parametri'!$B$8*(AG879+AF879)))</f>
        <v>0</v>
      </c>
      <c r="AJ879" s="18">
        <f>IF($A879&gt;'1-Input'!$B$26,AJ878,AJ878-AE879*(1-AD879))</f>
        <v>-9.0949470177292824E-13</v>
      </c>
      <c r="AK879" s="11">
        <f>IF($A879&gt;'1-Input'!$B$26,0,IF(AP878&lt;=0,0,MAX(0,(AP878-AQ878)/AP878)))</f>
        <v>0</v>
      </c>
      <c r="AL879" s="18">
        <f>IF($A879&gt;'1-Input'!$B$26,0,(MAX(0,AK836-IF($A879&gt;='1-Input'!$C$12,'1-Input'!$B$12,0))-MIN(MAX(AO878,0),MAX(0,AK836-IF($A879&gt;='1-Input'!$C$12,'1-Input'!$B$12,0))))*(1/(1-'P-Parametri'!$B$6*AK879))+MIN(MAX(0,AP878-(MAX(0,AK836-IF($A879&gt;='1-Input'!$C$12,'1-Input'!$B$12,0))-MIN(MAX(AO878,0),MAX(0,AK836-IF($A879&gt;='1-Input'!$C$12,'1-Input'!$B$12,0))))*(1/(1-'P-Parametri'!$B$6*AK879))),MAX(0,3*AK836-(AO878-MIN(MAX(AO878,0),MAX(0,AK836-IF($A879&gt;='1-Input'!$C$12,'1-Input'!$B$12,0)))))*(1/(1-'P-Parametri'!$B$6*AK879))))</f>
        <v>0</v>
      </c>
      <c r="AM879" s="18">
        <f>IF($A879&gt;'1-Input'!$B$26,AO878,(AO878-MAX(0,AK836-IF($A879&gt;='1-Input'!$C$12,'1-Input'!$B$12,0))+AL879*(1-'P-Parametri'!$B$6*AK879))*(1+'1-Input'!$B$27))</f>
        <v>31270.649558304551</v>
      </c>
      <c r="AN879" s="18">
        <f>IF($A879&gt;'1-Input'!$B$26,AP878,(AP878-AL879)*(1+$D$4))</f>
        <v>0</v>
      </c>
      <c r="AO879" s="18">
        <f>IF($A879&gt;'1-Input'!$B$26,AM879,AM879-'P-Parametri'!$B$8*(AN879+AM879)+MIN(MAX(AN879,0),'P-Parametri'!$B$8*(AN879+AM879)))</f>
        <v>31208.108259187942</v>
      </c>
      <c r="AP879" s="18">
        <f>IF($A879&gt;'1-Input'!$B$26,AN879,AN879-MIN(MAX(AN879,0),'P-Parametri'!$B$8*(AN879+AM879)))</f>
        <v>0</v>
      </c>
      <c r="AQ879" s="18">
        <f>IF($A879&gt;'1-Input'!$B$26,AQ878,AQ878-AL879*(1-AK879))</f>
        <v>-2.2737367544323206E-13</v>
      </c>
    </row>
    <row r="880" spans="1:43">
      <c r="A880" s="10">
        <f>42</f>
        <v>42</v>
      </c>
      <c r="B880" s="11">
        <f>IF($A880&gt;'1-Input'!$B$26,0,IF(G879&lt;=0,0,MAX(0,(G879-H879)/G879)))</f>
        <v>0.82700634461758171</v>
      </c>
      <c r="C880" s="18">
        <f>IF($A880&gt;'1-Input'!$B$26,0,(MAX(0,B836-IF($A880&gt;='1-Input'!$C$12,'1-Input'!$B$12,0))-MIN(MAX(F879,0),MAX(0,B836-IF($A880&gt;='1-Input'!$C$12,'1-Input'!$B$12,0))))*(1/(1-'P-Parametri'!$B$6*B880))+MIN(MAX(0,G879-(MAX(0,B836-IF($A880&gt;='1-Input'!$C$12,'1-Input'!$B$12,0))-MIN(MAX(F879,0),MAX(0,B836-IF($A880&gt;='1-Input'!$C$12,'1-Input'!$B$12,0))))*(1/(1-'P-Parametri'!$B$6*B880))),MAX(0,3*B836-(F879-MIN(MAX(F879,0),MAX(0,B836-IF($A880&gt;='1-Input'!$C$12,'1-Input'!$B$12,0)))))*(1/(1-'P-Parametri'!$B$6*B880))))</f>
        <v>7336.7764972030682</v>
      </c>
      <c r="D880" s="18">
        <f>IF($A880&gt;'1-Input'!$B$26,F879,(F879-MAX(0,B836-IF($A880&gt;='1-Input'!$C$12,'1-Input'!$B$12,0))+C880*(1-'P-Parametri'!$B$6*B880))*(1+'1-Input'!$B$27))</f>
        <v>49863.010546479447</v>
      </c>
      <c r="E880" s="18">
        <f>IF($A880&gt;'1-Input'!$B$26,G879,(G879-C880)*(1+$D$4))</f>
        <v>246594.6497090511</v>
      </c>
      <c r="F880" s="18">
        <f>IF($A880&gt;'1-Input'!$B$26,D880,D880-'P-Parametri'!$B$8*(E880+D880)+MIN(MAX(E880,0),'P-Parametri'!$B$8*(E880+D880)))</f>
        <v>49863.010546479447</v>
      </c>
      <c r="G880" s="18">
        <f>IF($A880&gt;'1-Input'!$B$26,E880,E880-MIN(MAX(E880,0),'P-Parametri'!$B$8*(E880+D880)))</f>
        <v>246001.73438854003</v>
      </c>
      <c r="H880" s="18">
        <f>IF($A880&gt;'1-Input'!$B$26,H879,H879-C880*(1-B880))</f>
        <v>41018.567164342079</v>
      </c>
      <c r="I880" s="11">
        <f>IF($A880&gt;'1-Input'!$B$26,0,IF(N879&lt;=0,0,MAX(0,(N879-O879)/N879)))</f>
        <v>0</v>
      </c>
      <c r="J880" s="18">
        <f>IF($A880&gt;'1-Input'!$B$26,0,(MAX(0,I836-IF($A880&gt;='1-Input'!$C$12,'1-Input'!$B$12,0))-MIN(MAX(M879,0),MAX(0,I836-IF($A880&gt;='1-Input'!$C$12,'1-Input'!$B$12,0))))*(1/(1-'P-Parametri'!$B$6*I880))+MIN(MAX(0,N879-(MAX(0,I836-IF($A880&gt;='1-Input'!$C$12,'1-Input'!$B$12,0))-MIN(MAX(M879,0),MAX(0,I836-IF($A880&gt;='1-Input'!$C$12,'1-Input'!$B$12,0))))*(1/(1-'P-Parametri'!$B$6*I880))),MAX(0,3*I836-(M879-MIN(MAX(M879,0),MAX(0,I836-IF($A880&gt;='1-Input'!$C$12,'1-Input'!$B$12,0)))))*(1/(1-'P-Parametri'!$B$6*I880))))</f>
        <v>10846.756992928691</v>
      </c>
      <c r="K880" s="18">
        <f>IF($A880&gt;'1-Input'!$B$26,M879,(M879-MAX(0,I836-IF($A880&gt;='1-Input'!$C$12,'1-Input'!$B$12,0))+J880*(1-'P-Parametri'!$B$6*I880))*(1+'1-Input'!$B$27))</f>
        <v>0</v>
      </c>
      <c r="L880" s="18">
        <f>IF($A880&gt;'1-Input'!$B$26,N879,(N879-J880)*(1+$D$4))</f>
        <v>-237049.96794862492</v>
      </c>
      <c r="M880" s="18">
        <f>IF($A880&gt;'1-Input'!$B$26,K880,K880-'P-Parametri'!$B$8*(L880+K880)+MIN(MAX(L880,0),'P-Parametri'!$B$8*(L880+K880)))</f>
        <v>0</v>
      </c>
      <c r="N880" s="18">
        <f>IF($A880&gt;'1-Input'!$B$26,L880,L880-MIN(MAX(L880,0),'P-Parametri'!$B$8*(L880+K880)))</f>
        <v>-236575.86801272767</v>
      </c>
      <c r="O880" s="18">
        <f>IF($A880&gt;'1-Input'!$B$26,O879,O879-J880*(1-I880))</f>
        <v>-170751.05059034185</v>
      </c>
      <c r="P880" s="11">
        <f>IF($A880&gt;'1-Input'!$B$26,0,IF(U879&lt;=0,0,MAX(0,(U879-V879)/U879)))</f>
        <v>0</v>
      </c>
      <c r="Q880" s="18">
        <f>IF($A880&gt;'1-Input'!$B$26,0,(MAX(0,P836-IF($A880&gt;='1-Input'!$C$12,'1-Input'!$B$12,0))-MIN(MAX(T879,0),MAX(0,P836-IF($A880&gt;='1-Input'!$C$12,'1-Input'!$B$12,0))))*(1/(1-'P-Parametri'!$B$6*P880))+MIN(MAX(0,U879-(MAX(0,P836-IF($A880&gt;='1-Input'!$C$12,'1-Input'!$B$12,0))-MIN(MAX(T879,0),MAX(0,P836-IF($A880&gt;='1-Input'!$C$12,'1-Input'!$B$12,0))))*(1/(1-'P-Parametri'!$B$6*P880))),MAX(0,3*P836-(T879-MIN(MAX(T879,0),MAX(0,P836-IF($A880&gt;='1-Input'!$C$12,'1-Input'!$B$12,0)))))*(1/(1-'P-Parametri'!$B$6*P880))))</f>
        <v>8218.1843541599956</v>
      </c>
      <c r="R880" s="18">
        <f>IF($A880&gt;'1-Input'!$B$26,T879,(T879-MAX(0,P836-IF($A880&gt;='1-Input'!$C$12,'1-Input'!$B$12,0))+Q880*(1-'P-Parametri'!$B$6*P880))*(1+'1-Input'!$B$27))</f>
        <v>0</v>
      </c>
      <c r="S880" s="18">
        <f>IF($A880&gt;'1-Input'!$B$26,U879,(U879-Q880)*(1+$D$4))</f>
        <v>-15227.301441916576</v>
      </c>
      <c r="T880" s="18">
        <f>IF($A880&gt;'1-Input'!$B$26,R880,R880-'P-Parametri'!$B$8*(S880+R880)+MIN(MAX(S880,0),'P-Parametri'!$B$8*(S880+R880)))</f>
        <v>0</v>
      </c>
      <c r="U880" s="18">
        <f>IF($A880&gt;'1-Input'!$B$26,S880,S880-MIN(MAX(S880,0),'P-Parametri'!$B$8*(S880+R880)))</f>
        <v>-15196.846839032742</v>
      </c>
      <c r="V880" s="18">
        <f>IF($A880&gt;'1-Input'!$B$26,V879,V879-Q880*(1-P880))</f>
        <v>-14406.957715963279</v>
      </c>
      <c r="W880" s="11">
        <f>IF($A880&gt;'1-Input'!$B$26,0,IF(AB879&lt;=0,0,MAX(0,(AB879-AC879)/AB879)))</f>
        <v>0</v>
      </c>
      <c r="X880" s="18">
        <f>IF($A880&gt;'1-Input'!$B$26,0,(MAX(0,W836-IF($A880&gt;='1-Input'!$C$12,'1-Input'!$B$12,0))-MIN(MAX(AA879,0),MAX(0,W836-IF($A880&gt;='1-Input'!$C$12,'1-Input'!$B$12,0))))*(1/(1-'P-Parametri'!$B$6*W880))+MIN(MAX(0,AB879-(MAX(0,W836-IF($A880&gt;='1-Input'!$C$12,'1-Input'!$B$12,0))-MIN(MAX(AA879,0),MAX(0,W836-IF($A880&gt;='1-Input'!$C$12,'1-Input'!$B$12,0))))*(1/(1-'P-Parametri'!$B$6*W880))),MAX(0,3*W836-(AA879-MIN(MAX(AA879,0),MAX(0,W836-IF($A880&gt;='1-Input'!$C$12,'1-Input'!$B$12,0)))))*(1/(1-'P-Parametri'!$B$6*W880))))</f>
        <v>0</v>
      </c>
      <c r="Y880" s="18">
        <f>IF($A880&gt;'1-Input'!$B$26,AA879,(AA879-MAX(0,W836-IF($A880&gt;='1-Input'!$C$12,'1-Input'!$B$12,0))+X880*(1-'P-Parametri'!$B$6*W880))*(1+'1-Input'!$B$27))</f>
        <v>20487.179742308082</v>
      </c>
      <c r="Z880" s="18">
        <f>IF($A880&gt;'1-Input'!$B$26,AB879,(AB879-X880)*(1+$D$4))</f>
        <v>0</v>
      </c>
      <c r="AA880" s="18">
        <f>IF($A880&gt;'1-Input'!$B$26,Y880,Y880-'P-Parametri'!$B$8*(Z880+Y880)+MIN(MAX(Z880,0),'P-Parametri'!$B$8*(Z880+Y880)))</f>
        <v>20446.205382823468</v>
      </c>
      <c r="AB880" s="18">
        <f>IF($A880&gt;'1-Input'!$B$26,Z880,Z880-MIN(MAX(Z880,0),'P-Parametri'!$B$8*(Z880+Y880)))</f>
        <v>0</v>
      </c>
      <c r="AC880" s="18">
        <f>IF($A880&gt;'1-Input'!$B$26,AC879,AC879-X880*(1-W880))</f>
        <v>-2.2737367544323206E-13</v>
      </c>
      <c r="AD880" s="11">
        <f>IF($A880&gt;'1-Input'!$B$26,0,IF(AI879&lt;=0,0,MAX(0,(AI879-AJ879)/AI879)))</f>
        <v>0</v>
      </c>
      <c r="AE880" s="18">
        <f>IF($A880&gt;'1-Input'!$B$26,0,(MAX(0,AD836-IF($A880&gt;='1-Input'!$C$12,'1-Input'!$B$12,0))-MIN(MAX(AH879,0),MAX(0,AD836-IF($A880&gt;='1-Input'!$C$12,'1-Input'!$B$12,0))))*(1/(1-'P-Parametri'!$B$6*AD880))+MIN(MAX(0,AI879-(MAX(0,AD836-IF($A880&gt;='1-Input'!$C$12,'1-Input'!$B$12,0))-MIN(MAX(AH879,0),MAX(0,AD836-IF($A880&gt;='1-Input'!$C$12,'1-Input'!$B$12,0))))*(1/(1-'P-Parametri'!$B$6*AD880))),MAX(0,3*AD836-(AH879-MIN(MAX(AH879,0),MAX(0,AD836-IF($A880&gt;='1-Input'!$C$12,'1-Input'!$B$12,0)))))*(1/(1-'P-Parametri'!$B$6*AD880))))</f>
        <v>0</v>
      </c>
      <c r="AF880" s="18">
        <f>IF($A880&gt;'1-Input'!$B$26,AH879,(AH879-MAX(0,AD836-IF($A880&gt;='1-Input'!$C$12,'1-Input'!$B$12,0))+AE880*(1-'P-Parametri'!$B$6*AD880))*(1+'1-Input'!$B$27))</f>
        <v>23351.60455854949</v>
      </c>
      <c r="AG880" s="18">
        <f>IF($A880&gt;'1-Input'!$B$26,AI879,(AI879-AE880)*(1+$D$4))</f>
        <v>0</v>
      </c>
      <c r="AH880" s="18">
        <f>IF($A880&gt;'1-Input'!$B$26,AF880,AF880-'P-Parametri'!$B$8*(AG880+AF880)+MIN(MAX(AG880,0),'P-Parametri'!$B$8*(AG880+AF880)))</f>
        <v>23304.901349432392</v>
      </c>
      <c r="AI880" s="18">
        <f>IF($A880&gt;'1-Input'!$B$26,AG880,AG880-MIN(MAX(AG880,0),'P-Parametri'!$B$8*(AG880+AF880)))</f>
        <v>0</v>
      </c>
      <c r="AJ880" s="18">
        <f>IF($A880&gt;'1-Input'!$B$26,AJ879,AJ879-AE880*(1-AD880))</f>
        <v>-9.0949470177292824E-13</v>
      </c>
      <c r="AK880" s="11">
        <f>IF($A880&gt;'1-Input'!$B$26,0,IF(AP879&lt;=0,0,MAX(0,(AP879-AQ879)/AP879)))</f>
        <v>0</v>
      </c>
      <c r="AL880" s="18">
        <f>IF($A880&gt;'1-Input'!$B$26,0,(MAX(0,AK836-IF($A880&gt;='1-Input'!$C$12,'1-Input'!$B$12,0))-MIN(MAX(AO879,0),MAX(0,AK836-IF($A880&gt;='1-Input'!$C$12,'1-Input'!$B$12,0))))*(1/(1-'P-Parametri'!$B$6*AK880))+MIN(MAX(0,AP879-(MAX(0,AK836-IF($A880&gt;='1-Input'!$C$12,'1-Input'!$B$12,0))-MIN(MAX(AO879,0),MAX(0,AK836-IF($A880&gt;='1-Input'!$C$12,'1-Input'!$B$12,0))))*(1/(1-'P-Parametri'!$B$6*AK880))),MAX(0,3*AK836-(AO879-MIN(MAX(AO879,0),MAX(0,AK836-IF($A880&gt;='1-Input'!$C$12,'1-Input'!$B$12,0)))))*(1/(1-'P-Parametri'!$B$6*AK880))))</f>
        <v>0</v>
      </c>
      <c r="AM880" s="18">
        <f>IF($A880&gt;'1-Input'!$B$26,AO879,(AO879-MAX(0,AK836-IF($A880&gt;='1-Input'!$C$12,'1-Input'!$B$12,0))+AL880*(1-'P-Parametri'!$B$6*AK880))*(1+'1-Input'!$B$27))</f>
        <v>23387.0968286397</v>
      </c>
      <c r="AN880" s="18">
        <f>IF($A880&gt;'1-Input'!$B$26,AP879,(AP879-AL880)*(1+$D$4))</f>
        <v>0</v>
      </c>
      <c r="AO880" s="18">
        <f>IF($A880&gt;'1-Input'!$B$26,AM880,AM880-'P-Parametri'!$B$8*(AN880+AM880)+MIN(MAX(AN880,0),'P-Parametri'!$B$8*(AN880+AM880)))</f>
        <v>23340.322634982422</v>
      </c>
      <c r="AP880" s="18">
        <f>IF($A880&gt;'1-Input'!$B$26,AN880,AN880-MIN(MAX(AN880,0),'P-Parametri'!$B$8*(AN880+AM880)))</f>
        <v>0</v>
      </c>
      <c r="AQ880" s="18">
        <f>IF($A880&gt;'1-Input'!$B$26,AQ879,AQ879-AL880*(1-AK880))</f>
        <v>-2.2737367544323206E-13</v>
      </c>
    </row>
    <row r="881" spans="1:43">
      <c r="A881" s="10">
        <f>43</f>
        <v>43</v>
      </c>
      <c r="B881" s="11">
        <f>IF($A881&gt;'1-Input'!$B$26,0,IF(G880&lt;=0,0,MAX(0,(G880-H880)/G880)))</f>
        <v>0.83325903263935308</v>
      </c>
      <c r="C881" s="18">
        <f>IF($A881&gt;'1-Input'!$B$26,0,(MAX(0,B836-IF($A881&gt;='1-Input'!$C$12,'1-Input'!$B$12,0))-MIN(MAX(F880,0),MAX(0,B836-IF($A881&gt;='1-Input'!$C$12,'1-Input'!$B$12,0))))*(1/(1-'P-Parametri'!$B$6*B881))+MIN(MAX(0,G880-(MAX(0,B836-IF($A881&gt;='1-Input'!$C$12,'1-Input'!$B$12,0))-MIN(MAX(F880,0),MAX(0,B836-IF($A881&gt;='1-Input'!$C$12,'1-Input'!$B$12,0))))*(1/(1-'P-Parametri'!$B$6*B881))),MAX(0,3*B836-(F880-MIN(MAX(F880,0),MAX(0,B836-IF($A881&gt;='1-Input'!$C$12,'1-Input'!$B$12,0)))))*(1/(1-'P-Parametri'!$B$6*B881))))</f>
        <v>7352.0025762273672</v>
      </c>
      <c r="D881" s="18">
        <f>IF($A881&gt;'1-Input'!$B$26,F880,(F880-MAX(0,B836-IF($A881&gt;='1-Input'!$C$12,'1-Input'!$B$12,0))+C881*(1-'P-Parametri'!$B$6*B881))*(1+'1-Input'!$B$27))</f>
        <v>49863.010546479447</v>
      </c>
      <c r="E881" s="18">
        <f>IF($A881&gt;'1-Input'!$B$26,G880,(G880-C881)*(1+$D$4))</f>
        <v>248195.72108480518</v>
      </c>
      <c r="F881" s="18">
        <f>IF($A881&gt;'1-Input'!$B$26,D881,D881-'P-Parametri'!$B$8*(E881+D881)+MIN(MAX(E881,0),'P-Parametri'!$B$8*(E881+D881)))</f>
        <v>49863.010546479447</v>
      </c>
      <c r="G881" s="18">
        <f>IF($A881&gt;'1-Input'!$B$26,E881,E881-MIN(MAX(E881,0),'P-Parametri'!$B$8*(E881+D881)))</f>
        <v>247599.6036215426</v>
      </c>
      <c r="H881" s="18">
        <f>IF($A881&gt;'1-Input'!$B$26,H880,H880-C881*(1-B881))</f>
        <v>39792.687142743962</v>
      </c>
      <c r="I881" s="11">
        <f>IF($A881&gt;'1-Input'!$B$26,0,IF(N880&lt;=0,0,MAX(0,(N880-O880)/N880)))</f>
        <v>0</v>
      </c>
      <c r="J881" s="18">
        <f>IF($A881&gt;'1-Input'!$B$26,0,(MAX(0,I836-IF($A881&gt;='1-Input'!$C$12,'1-Input'!$B$12,0))-MIN(MAX(M880,0),MAX(0,I836-IF($A881&gt;='1-Input'!$C$12,'1-Input'!$B$12,0))))*(1/(1-'P-Parametri'!$B$6*I881))+MIN(MAX(0,N880-(MAX(0,I836-IF($A881&gt;='1-Input'!$C$12,'1-Input'!$B$12,0))-MIN(MAX(M880,0),MAX(0,I836-IF($A881&gt;='1-Input'!$C$12,'1-Input'!$B$12,0))))*(1/(1-'P-Parametri'!$B$6*I881))),MAX(0,3*I836-(M880-MIN(MAX(M880,0),MAX(0,I836-IF($A881&gt;='1-Input'!$C$12,'1-Input'!$B$12,0)))))*(1/(1-'P-Parametri'!$B$6*I881))))</f>
        <v>10846.756992928691</v>
      </c>
      <c r="K881" s="18">
        <f>IF($A881&gt;'1-Input'!$B$26,M880,(M880-MAX(0,I836-IF($A881&gt;='1-Input'!$C$12,'1-Input'!$B$12,0))+J881*(1-'P-Parametri'!$B$6*I881))*(1+'1-Input'!$B$27))</f>
        <v>0</v>
      </c>
      <c r="L881" s="18">
        <f>IF($A881&gt;'1-Input'!$B$26,N880,(N880-J881)*(1+$D$4))</f>
        <v>-257319.53000588261</v>
      </c>
      <c r="M881" s="18">
        <f>IF($A881&gt;'1-Input'!$B$26,K881,K881-'P-Parametri'!$B$8*(L881+K881)+MIN(MAX(L881,0),'P-Parametri'!$B$8*(L881+K881)))</f>
        <v>0</v>
      </c>
      <c r="N881" s="18">
        <f>IF($A881&gt;'1-Input'!$B$26,L881,L881-MIN(MAX(L881,0),'P-Parametri'!$B$8*(L881+K881)))</f>
        <v>-256804.89094587084</v>
      </c>
      <c r="O881" s="18">
        <f>IF($A881&gt;'1-Input'!$B$26,O880,O880-J881*(1-I881))</f>
        <v>-181597.80758327054</v>
      </c>
      <c r="P881" s="11">
        <f>IF($A881&gt;'1-Input'!$B$26,0,IF(U880&lt;=0,0,MAX(0,(U880-V880)/U880)))</f>
        <v>0</v>
      </c>
      <c r="Q881" s="18">
        <f>IF($A881&gt;'1-Input'!$B$26,0,(MAX(0,P836-IF($A881&gt;='1-Input'!$C$12,'1-Input'!$B$12,0))-MIN(MAX(T880,0),MAX(0,P836-IF($A881&gt;='1-Input'!$C$12,'1-Input'!$B$12,0))))*(1/(1-'P-Parametri'!$B$6*P881))+MIN(MAX(0,U880-(MAX(0,P836-IF($A881&gt;='1-Input'!$C$12,'1-Input'!$B$12,0))-MIN(MAX(T880,0),MAX(0,P836-IF($A881&gt;='1-Input'!$C$12,'1-Input'!$B$12,0))))*(1/(1-'P-Parametri'!$B$6*P881))),MAX(0,3*P836-(T880-MIN(MAX(T880,0),MAX(0,P836-IF($A881&gt;='1-Input'!$C$12,'1-Input'!$B$12,0)))))*(1/(1-'P-Parametri'!$B$6*P881))))</f>
        <v>8218.1843541599956</v>
      </c>
      <c r="R881" s="18">
        <f>IF($A881&gt;'1-Input'!$B$26,T880,(T880-MAX(0,P836-IF($A881&gt;='1-Input'!$C$12,'1-Input'!$B$12,0))+Q881*(1-'P-Parametri'!$B$6*P881))*(1+'1-Input'!$B$27))</f>
        <v>0</v>
      </c>
      <c r="S881" s="18">
        <f>IF($A881&gt;'1-Input'!$B$26,U880,(U880-Q881)*(1+$D$4))</f>
        <v>-24351.632440920446</v>
      </c>
      <c r="T881" s="18">
        <f>IF($A881&gt;'1-Input'!$B$26,R881,R881-'P-Parametri'!$B$8*(S881+R881)+MIN(MAX(S881,0),'P-Parametri'!$B$8*(S881+R881)))</f>
        <v>0</v>
      </c>
      <c r="U881" s="18">
        <f>IF($A881&gt;'1-Input'!$B$26,S881,S881-MIN(MAX(S881,0),'P-Parametri'!$B$8*(S881+R881)))</f>
        <v>-24302.929176038604</v>
      </c>
      <c r="V881" s="18">
        <f>IF($A881&gt;'1-Input'!$B$26,V880,V880-Q881*(1-P881))</f>
        <v>-22625.142070123275</v>
      </c>
      <c r="W881" s="11">
        <f>IF($A881&gt;'1-Input'!$B$26,0,IF(AB880&lt;=0,0,MAX(0,(AB880-AC880)/AB880)))</f>
        <v>0</v>
      </c>
      <c r="X881" s="18">
        <f>IF($A881&gt;'1-Input'!$B$26,0,(MAX(0,W836-IF($A881&gt;='1-Input'!$C$12,'1-Input'!$B$12,0))-MIN(MAX(AA880,0),MAX(0,W836-IF($A881&gt;='1-Input'!$C$12,'1-Input'!$B$12,0))))*(1/(1-'P-Parametri'!$B$6*W881))+MIN(MAX(0,AB880-(MAX(0,W836-IF($A881&gt;='1-Input'!$C$12,'1-Input'!$B$12,0))-MIN(MAX(AA880,0),MAX(0,W836-IF($A881&gt;='1-Input'!$C$12,'1-Input'!$B$12,0))))*(1/(1-'P-Parametri'!$B$6*W881))),MAX(0,3*W836-(AA880-MIN(MAX(AA880,0),MAX(0,W836-IF($A881&gt;='1-Input'!$C$12,'1-Input'!$B$12,0)))))*(1/(1-'P-Parametri'!$B$6*W881))))</f>
        <v>0</v>
      </c>
      <c r="Y881" s="18">
        <f>IF($A881&gt;'1-Input'!$B$26,AA880,(AA880-MAX(0,W836-IF($A881&gt;='1-Input'!$C$12,'1-Input'!$B$12,0))+X881*(1-'P-Parametri'!$B$6*W881))*(1+'1-Input'!$B$27))</f>
        <v>12629.649151560896</v>
      </c>
      <c r="Z881" s="18">
        <f>IF($A881&gt;'1-Input'!$B$26,AB880,(AB880-X881)*(1+$D$4))</f>
        <v>0</v>
      </c>
      <c r="AA881" s="18">
        <f>IF($A881&gt;'1-Input'!$B$26,Y881,Y881-'P-Parametri'!$B$8*(Z881+Y881)+MIN(MAX(Z881,0),'P-Parametri'!$B$8*(Z881+Y881)))</f>
        <v>12604.389853257775</v>
      </c>
      <c r="AB881" s="18">
        <f>IF($A881&gt;'1-Input'!$B$26,Z881,Z881-MIN(MAX(Z881,0),'P-Parametri'!$B$8*(Z881+Y881)))</f>
        <v>0</v>
      </c>
      <c r="AC881" s="18">
        <f>IF($A881&gt;'1-Input'!$B$26,AC880,AC880-X881*(1-W881))</f>
        <v>-2.2737367544323206E-13</v>
      </c>
      <c r="AD881" s="11">
        <f>IF($A881&gt;'1-Input'!$B$26,0,IF(AI880&lt;=0,0,MAX(0,(AI880-AJ880)/AI880)))</f>
        <v>0</v>
      </c>
      <c r="AE881" s="18">
        <f>IF($A881&gt;'1-Input'!$B$26,0,(MAX(0,AD836-IF($A881&gt;='1-Input'!$C$12,'1-Input'!$B$12,0))-MIN(MAX(AH880,0),MAX(0,AD836-IF($A881&gt;='1-Input'!$C$12,'1-Input'!$B$12,0))))*(1/(1-'P-Parametri'!$B$6*AD881))+MIN(MAX(0,AI880-(MAX(0,AD836-IF($A881&gt;='1-Input'!$C$12,'1-Input'!$B$12,0))-MIN(MAX(AH880,0),MAX(0,AD836-IF($A881&gt;='1-Input'!$C$12,'1-Input'!$B$12,0))))*(1/(1-'P-Parametri'!$B$6*AD881))),MAX(0,3*AD836-(AH880-MIN(MAX(AH880,0),MAX(0,AD836-IF($A881&gt;='1-Input'!$C$12,'1-Input'!$B$12,0)))))*(1/(1-'P-Parametri'!$B$6*AD881))))</f>
        <v>0</v>
      </c>
      <c r="AF881" s="18">
        <f>IF($A881&gt;'1-Input'!$B$26,AH880,(AH880-MAX(0,AD836-IF($A881&gt;='1-Input'!$C$12,'1-Input'!$B$12,0))+AE881*(1-'P-Parametri'!$B$6*AD881))*(1+'1-Input'!$B$27))</f>
        <v>15511.921820350255</v>
      </c>
      <c r="AG881" s="18">
        <f>IF($A881&gt;'1-Input'!$B$26,AI880,(AI880-AE881)*(1+$D$4))</f>
        <v>0</v>
      </c>
      <c r="AH881" s="18">
        <f>IF($A881&gt;'1-Input'!$B$26,AF881,AF881-'P-Parametri'!$B$8*(AG881+AF881)+MIN(MAX(AG881,0),'P-Parametri'!$B$8*(AG881+AF881)))</f>
        <v>15480.897976709555</v>
      </c>
      <c r="AI881" s="18">
        <f>IF($A881&gt;'1-Input'!$B$26,AG881,AG881-MIN(MAX(AG881,0),'P-Parametri'!$B$8*(AG881+AF881)))</f>
        <v>0</v>
      </c>
      <c r="AJ881" s="18">
        <f>IF($A881&gt;'1-Input'!$B$26,AJ880,AJ880-AE881*(1-AD881))</f>
        <v>-9.0949470177292824E-13</v>
      </c>
      <c r="AK881" s="11">
        <f>IF($A881&gt;'1-Input'!$B$26,0,IF(AP880&lt;=0,0,MAX(0,(AP880-AQ880)/AP880)))</f>
        <v>0</v>
      </c>
      <c r="AL881" s="18">
        <f>IF($A881&gt;'1-Input'!$B$26,0,(MAX(0,AK836-IF($A881&gt;='1-Input'!$C$12,'1-Input'!$B$12,0))-MIN(MAX(AO880,0),MAX(0,AK836-IF($A881&gt;='1-Input'!$C$12,'1-Input'!$B$12,0))))*(1/(1-'P-Parametri'!$B$6*AK881))+MIN(MAX(0,AP880-(MAX(0,AK836-IF($A881&gt;='1-Input'!$C$12,'1-Input'!$B$12,0))-MIN(MAX(AO880,0),MAX(0,AK836-IF($A881&gt;='1-Input'!$C$12,'1-Input'!$B$12,0))))*(1/(1-'P-Parametri'!$B$6*AK881))),MAX(0,3*AK836-(AO880-MIN(MAX(AO880,0),MAX(0,AK836-IF($A881&gt;='1-Input'!$C$12,'1-Input'!$B$12,0)))))*(1/(1-'P-Parametri'!$B$6*AK881))))</f>
        <v>0</v>
      </c>
      <c r="AM881" s="18">
        <f>IF($A881&gt;'1-Input'!$B$26,AO880,(AO880-MAX(0,AK836-IF($A881&gt;='1-Input'!$C$12,'1-Input'!$B$12,0))+AL881*(1-'P-Parametri'!$B$6*AK881))*(1+'1-Input'!$B$27))</f>
        <v>15547.635232681319</v>
      </c>
      <c r="AN881" s="18">
        <f>IF($A881&gt;'1-Input'!$B$26,AP880,(AP880-AL881)*(1+$D$4))</f>
        <v>0</v>
      </c>
      <c r="AO881" s="18">
        <f>IF($A881&gt;'1-Input'!$B$26,AM881,AM881-'P-Parametri'!$B$8*(AN881+AM881)+MIN(MAX(AN881,0),'P-Parametri'!$B$8*(AN881+AM881)))</f>
        <v>15516.539962215957</v>
      </c>
      <c r="AP881" s="18">
        <f>IF($A881&gt;'1-Input'!$B$26,AN881,AN881-MIN(MAX(AN881,0),'P-Parametri'!$B$8*(AN881+AM881)))</f>
        <v>0</v>
      </c>
      <c r="AQ881" s="18">
        <f>IF($A881&gt;'1-Input'!$B$26,AQ880,AQ880-AL881*(1-AK881))</f>
        <v>-2.2737367544323206E-13</v>
      </c>
    </row>
    <row r="882" spans="1:43">
      <c r="A882" s="10">
        <f>44</f>
        <v>44</v>
      </c>
      <c r="B882" s="11">
        <f>IF($A882&gt;'1-Input'!$B$26,0,IF(G881&lt;=0,0,MAX(0,(G881-H881)/G881)))</f>
        <v>0.83928614359347964</v>
      </c>
      <c r="C882" s="18">
        <f>IF($A882&gt;'1-Input'!$B$26,0,(MAX(0,B836-IF($A882&gt;='1-Input'!$C$12,'1-Input'!$B$12,0))-MIN(MAX(F881,0),MAX(0,B836-IF($A882&gt;='1-Input'!$C$12,'1-Input'!$B$12,0))))*(1/(1-'P-Parametri'!$B$6*B882))+MIN(MAX(0,G881-(MAX(0,B836-IF($A882&gt;='1-Input'!$C$12,'1-Input'!$B$12,0))-MIN(MAX(F881,0),MAX(0,B836-IF($A882&gt;='1-Input'!$C$12,'1-Input'!$B$12,0))))*(1/(1-'P-Parametri'!$B$6*B882))),MAX(0,3*B836-(F881-MIN(MAX(F881,0),MAX(0,B836-IF($A882&gt;='1-Input'!$C$12,'1-Input'!$B$12,0)))))*(1/(1-'P-Parametri'!$B$6*B882))))</f>
        <v>7366.739285535934</v>
      </c>
      <c r="D882" s="18">
        <f>IF($A882&gt;'1-Input'!$B$26,F881,(F881-MAX(0,B836-IF($A882&gt;='1-Input'!$C$12,'1-Input'!$B$12,0))+C882*(1-'P-Parametri'!$B$6*B882))*(1+'1-Input'!$B$27))</f>
        <v>49863.010546479447</v>
      </c>
      <c r="E882" s="18">
        <f>IF($A882&gt;'1-Input'!$B$26,G881,(G881-C882)*(1+$D$4))</f>
        <v>249842.17890944693</v>
      </c>
      <c r="F882" s="18">
        <f>IF($A882&gt;'1-Input'!$B$26,D882,D882-'P-Parametri'!$B$8*(E882+D882)+MIN(MAX(E882,0),'P-Parametri'!$B$8*(E882+D882)))</f>
        <v>49863.010546479447</v>
      </c>
      <c r="G882" s="18">
        <f>IF($A882&gt;'1-Input'!$B$26,E882,E882-MIN(MAX(E882,0),'P-Parametri'!$B$8*(E882+D882)))</f>
        <v>249242.76853053508</v>
      </c>
      <c r="H882" s="18">
        <f>IF($A882&gt;'1-Input'!$B$26,H881,H881-C882*(1-B882))</f>
        <v>38608.750063024068</v>
      </c>
      <c r="I882" s="11">
        <f>IF($A882&gt;'1-Input'!$B$26,0,IF(N881&lt;=0,0,MAX(0,(N881-O881)/N881)))</f>
        <v>0</v>
      </c>
      <c r="J882" s="18">
        <f>IF($A882&gt;'1-Input'!$B$26,0,(MAX(0,I836-IF($A882&gt;='1-Input'!$C$12,'1-Input'!$B$12,0))-MIN(MAX(M881,0),MAX(0,I836-IF($A882&gt;='1-Input'!$C$12,'1-Input'!$B$12,0))))*(1/(1-'P-Parametri'!$B$6*I882))+MIN(MAX(0,N881-(MAX(0,I836-IF($A882&gt;='1-Input'!$C$12,'1-Input'!$B$12,0))-MIN(MAX(M881,0),MAX(0,I836-IF($A882&gt;='1-Input'!$C$12,'1-Input'!$B$12,0))))*(1/(1-'P-Parametri'!$B$6*I882))),MAX(0,3*I836-(M881-MIN(MAX(M881,0),MAX(0,I836-IF($A882&gt;='1-Input'!$C$12,'1-Input'!$B$12,0)))))*(1/(1-'P-Parametri'!$B$6*I882))))</f>
        <v>10846.756992928691</v>
      </c>
      <c r="K882" s="18">
        <f>IF($A882&gt;'1-Input'!$B$26,M881,(M881-MAX(0,I836-IF($A882&gt;='1-Input'!$C$12,'1-Input'!$B$12,0))+J882*(1-'P-Parametri'!$B$6*I882))*(1+'1-Input'!$B$27))</f>
        <v>0</v>
      </c>
      <c r="L882" s="18">
        <f>IF($A882&gt;'1-Input'!$B$26,N881,(N881-J882)*(1+$D$4))</f>
        <v>-278357.7138563515</v>
      </c>
      <c r="M882" s="18">
        <f>IF($A882&gt;'1-Input'!$B$26,K882,K882-'P-Parametri'!$B$8*(L882+K882)+MIN(MAX(L882,0),'P-Parametri'!$B$8*(L882+K882)))</f>
        <v>0</v>
      </c>
      <c r="N882" s="18">
        <f>IF($A882&gt;'1-Input'!$B$26,L882,L882-MIN(MAX(L882,0),'P-Parametri'!$B$8*(L882+K882)))</f>
        <v>-277800.99842863879</v>
      </c>
      <c r="O882" s="18">
        <f>IF($A882&gt;'1-Input'!$B$26,O881,O881-J882*(1-I882))</f>
        <v>-192444.56457619922</v>
      </c>
      <c r="P882" s="11">
        <f>IF($A882&gt;'1-Input'!$B$26,0,IF(U881&lt;=0,0,MAX(0,(U881-V881)/U881)))</f>
        <v>0</v>
      </c>
      <c r="Q882" s="18">
        <f>IF($A882&gt;'1-Input'!$B$26,0,(MAX(0,P836-IF($A882&gt;='1-Input'!$C$12,'1-Input'!$B$12,0))-MIN(MAX(T881,0),MAX(0,P836-IF($A882&gt;='1-Input'!$C$12,'1-Input'!$B$12,0))))*(1/(1-'P-Parametri'!$B$6*P882))+MIN(MAX(0,U881-(MAX(0,P836-IF($A882&gt;='1-Input'!$C$12,'1-Input'!$B$12,0))-MIN(MAX(T881,0),MAX(0,P836-IF($A882&gt;='1-Input'!$C$12,'1-Input'!$B$12,0))))*(1/(1-'P-Parametri'!$B$6*P882))),MAX(0,3*P836-(T881-MIN(MAX(T881,0),MAX(0,P836-IF($A882&gt;='1-Input'!$C$12,'1-Input'!$B$12,0)))))*(1/(1-'P-Parametri'!$B$6*P882))))</f>
        <v>8218.1843541599956</v>
      </c>
      <c r="R882" s="18">
        <f>IF($A882&gt;'1-Input'!$B$26,T881,(T881-MAX(0,P836-IF($A882&gt;='1-Input'!$C$12,'1-Input'!$B$12,0))+Q882*(1-'P-Parametri'!$B$6*P882))*(1+'1-Input'!$B$27))</f>
        <v>0</v>
      </c>
      <c r="S882" s="18">
        <f>IF($A882&gt;'1-Input'!$B$26,U881,(U881-Q882)*(1+$D$4))</f>
        <v>-33821.958071406545</v>
      </c>
      <c r="T882" s="18">
        <f>IF($A882&gt;'1-Input'!$B$26,R882,R882-'P-Parametri'!$B$8*(S882+R882)+MIN(MAX(S882,0),'P-Parametri'!$B$8*(S882+R882)))</f>
        <v>0</v>
      </c>
      <c r="U882" s="18">
        <f>IF($A882&gt;'1-Input'!$B$26,S882,S882-MIN(MAX(S882,0),'P-Parametri'!$B$8*(S882+R882)))</f>
        <v>-33754.314155263732</v>
      </c>
      <c r="V882" s="18">
        <f>IF($A882&gt;'1-Input'!$B$26,V881,V881-Q882*(1-P882))</f>
        <v>-30843.32642428327</v>
      </c>
      <c r="W882" s="11">
        <f>IF($A882&gt;'1-Input'!$B$26,0,IF(AB881&lt;=0,0,MAX(0,(AB881-AC881)/AB881)))</f>
        <v>0</v>
      </c>
      <c r="X882" s="18">
        <f>IF($A882&gt;'1-Input'!$B$26,0,(MAX(0,W836-IF($A882&gt;='1-Input'!$C$12,'1-Input'!$B$12,0))-MIN(MAX(AA881,0),MAX(0,W836-IF($A882&gt;='1-Input'!$C$12,'1-Input'!$B$12,0))))*(1/(1-'P-Parametri'!$B$6*W882))+MIN(MAX(0,AB881-(MAX(0,W836-IF($A882&gt;='1-Input'!$C$12,'1-Input'!$B$12,0))-MIN(MAX(AA881,0),MAX(0,W836-IF($A882&gt;='1-Input'!$C$12,'1-Input'!$B$12,0))))*(1/(1-'P-Parametri'!$B$6*W882))),MAX(0,3*W836-(AA881-MIN(MAX(AA881,0),MAX(0,W836-IF($A882&gt;='1-Input'!$C$12,'1-Input'!$B$12,0)))))*(1/(1-'P-Parametri'!$B$6*W882))))</f>
        <v>0</v>
      </c>
      <c r="Y882" s="18">
        <f>IF($A882&gt;'1-Input'!$B$26,AA881,(AA881-MAX(0,W836-IF($A882&gt;='1-Input'!$C$12,'1-Input'!$B$12,0))+X882*(1-'P-Parametri'!$B$6*W882))*(1+'1-Input'!$B$27))</f>
        <v>4816.0641579016392</v>
      </c>
      <c r="Z882" s="18">
        <f>IF($A882&gt;'1-Input'!$B$26,AB881,(AB881-X882)*(1+$D$4))</f>
        <v>0</v>
      </c>
      <c r="AA882" s="18">
        <f>IF($A882&gt;'1-Input'!$B$26,Y882,Y882-'P-Parametri'!$B$8*(Z882+Y882)+MIN(MAX(Z882,0),'P-Parametri'!$B$8*(Z882+Y882)))</f>
        <v>4806.4320295858361</v>
      </c>
      <c r="AB882" s="18">
        <f>IF($A882&gt;'1-Input'!$B$26,Z882,Z882-MIN(MAX(Z882,0),'P-Parametri'!$B$8*(Z882+Y882)))</f>
        <v>0</v>
      </c>
      <c r="AC882" s="18">
        <f>IF($A882&gt;'1-Input'!$B$26,AC881,AC881-X882*(1-W882))</f>
        <v>-2.2737367544323206E-13</v>
      </c>
      <c r="AD882" s="11">
        <f>IF($A882&gt;'1-Input'!$B$26,0,IF(AI881&lt;=0,0,MAX(0,(AI881-AJ881)/AI881)))</f>
        <v>0</v>
      </c>
      <c r="AE882" s="18">
        <f>IF($A882&gt;'1-Input'!$B$26,0,(MAX(0,AD836-IF($A882&gt;='1-Input'!$C$12,'1-Input'!$B$12,0))-MIN(MAX(AH881,0),MAX(0,AD836-IF($A882&gt;='1-Input'!$C$12,'1-Input'!$B$12,0))))*(1/(1-'P-Parametri'!$B$6*AD882))+MIN(MAX(0,AI881-(MAX(0,AD836-IF($A882&gt;='1-Input'!$C$12,'1-Input'!$B$12,0))-MIN(MAX(AH881,0),MAX(0,AD836-IF($A882&gt;='1-Input'!$C$12,'1-Input'!$B$12,0))))*(1/(1-'P-Parametri'!$B$6*AD882))),MAX(0,3*AD836-(AH881-MIN(MAX(AH881,0),MAX(0,AD836-IF($A882&gt;='1-Input'!$C$12,'1-Input'!$B$12,0)))))*(1/(1-'P-Parametri'!$B$6*AD882))))</f>
        <v>0</v>
      </c>
      <c r="AF882" s="18">
        <f>IF($A882&gt;'1-Input'!$B$26,AH881,(AH881-MAX(0,AD836-IF($A882&gt;='1-Input'!$C$12,'1-Input'!$B$12,0))+AE882*(1-'P-Parametri'!$B$6*AD882))*(1+'1-Input'!$B$27))</f>
        <v>7716.0848597692202</v>
      </c>
      <c r="AG882" s="18">
        <f>IF($A882&gt;'1-Input'!$B$26,AI881,(AI881-AE882)*(1+$D$4))</f>
        <v>0</v>
      </c>
      <c r="AH882" s="18">
        <f>IF($A882&gt;'1-Input'!$B$26,AF882,AF882-'P-Parametri'!$B$8*(AG882+AF882)+MIN(MAX(AG882,0),'P-Parametri'!$B$8*(AG882+AF882)))</f>
        <v>7700.652690049682</v>
      </c>
      <c r="AI882" s="18">
        <f>IF($A882&gt;'1-Input'!$B$26,AG882,AG882-MIN(MAX(AG882,0),'P-Parametri'!$B$8*(AG882+AF882)))</f>
        <v>0</v>
      </c>
      <c r="AJ882" s="18">
        <f>IF($A882&gt;'1-Input'!$B$26,AJ881,AJ881-AE882*(1-AD882))</f>
        <v>-9.0949470177292824E-13</v>
      </c>
      <c r="AK882" s="11">
        <f>IF($A882&gt;'1-Input'!$B$26,0,IF(AP881&lt;=0,0,MAX(0,(AP881-AQ881)/AP881)))</f>
        <v>0</v>
      </c>
      <c r="AL882" s="18">
        <f>IF($A882&gt;'1-Input'!$B$26,0,(MAX(0,AK836-IF($A882&gt;='1-Input'!$C$12,'1-Input'!$B$12,0))-MIN(MAX(AO881,0),MAX(0,AK836-IF($A882&gt;='1-Input'!$C$12,'1-Input'!$B$12,0))))*(1/(1-'P-Parametri'!$B$6*AK882))+MIN(MAX(0,AP881-(MAX(0,AK836-IF($A882&gt;='1-Input'!$C$12,'1-Input'!$B$12,0))-MIN(MAX(AO881,0),MAX(0,AK836-IF($A882&gt;='1-Input'!$C$12,'1-Input'!$B$12,0))))*(1/(1-'P-Parametri'!$B$6*AK882))),MAX(0,3*AK836-(AO881-MIN(MAX(AO881,0),MAX(0,AK836-IF($A882&gt;='1-Input'!$C$12,'1-Input'!$B$12,0)))))*(1/(1-'P-Parametri'!$B$6*AK882))))</f>
        <v>0</v>
      </c>
      <c r="AM882" s="18">
        <f>IF($A882&gt;'1-Input'!$B$26,AO881,(AO881-MAX(0,AK836-IF($A882&gt;='1-Input'!$C$12,'1-Input'!$B$12,0))+AL882*(1-'P-Parametri'!$B$6*AK882))*(1+'1-Input'!$B$27))</f>
        <v>7752.0181775368128</v>
      </c>
      <c r="AN882" s="18">
        <f>IF($A882&gt;'1-Input'!$B$26,AP881,(AP881-AL882)*(1+$D$4))</f>
        <v>0</v>
      </c>
      <c r="AO882" s="18">
        <f>IF($A882&gt;'1-Input'!$B$26,AM882,AM882-'P-Parametri'!$B$8*(AN882+AM882)+MIN(MAX(AN882,0),'P-Parametri'!$B$8*(AN882+AM882)))</f>
        <v>7736.5141411817394</v>
      </c>
      <c r="AP882" s="18">
        <f>IF($A882&gt;'1-Input'!$B$26,AN882,AN882-MIN(MAX(AN882,0),'P-Parametri'!$B$8*(AN882+AM882)))</f>
        <v>0</v>
      </c>
      <c r="AQ882" s="18">
        <f>IF($A882&gt;'1-Input'!$B$26,AQ881,AQ881-AL882*(1-AK882))</f>
        <v>-2.2737367544323206E-13</v>
      </c>
    </row>
    <row r="883" spans="1:43">
      <c r="A883" s="10">
        <f>45</f>
        <v>45</v>
      </c>
      <c r="B883" s="11">
        <f>IF($A883&gt;'1-Input'!$B$26,0,IF(G882&lt;=0,0,MAX(0,(G882-H882)/G882)))</f>
        <v>0.84509580642740267</v>
      </c>
      <c r="C883" s="18">
        <f>IF($A883&gt;'1-Input'!$B$26,0,(MAX(0,B836-IF($A883&gt;='1-Input'!$C$12,'1-Input'!$B$12,0))-MIN(MAX(F882,0),MAX(0,B836-IF($A883&gt;='1-Input'!$C$12,'1-Input'!$B$12,0))))*(1/(1-'P-Parametri'!$B$6*B883))+MIN(MAX(0,G882-(MAX(0,B836-IF($A883&gt;='1-Input'!$C$12,'1-Input'!$B$12,0))-MIN(MAX(F882,0),MAX(0,B836-IF($A883&gt;='1-Input'!$C$12,'1-Input'!$B$12,0))))*(1/(1-'P-Parametri'!$B$6*B883))),MAX(0,3*B836-(F882-MIN(MAX(F882,0),MAX(0,B836-IF($A883&gt;='1-Input'!$C$12,'1-Input'!$B$12,0)))))*(1/(1-'P-Parametri'!$B$6*B883))))</f>
        <v>7381.0003464244064</v>
      </c>
      <c r="D883" s="18">
        <f>IF($A883&gt;'1-Input'!$B$26,F882,(F882-MAX(0,B836-IF($A883&gt;='1-Input'!$C$12,'1-Input'!$B$12,0))+C883*(1-'P-Parametri'!$B$6*B883))*(1+'1-Input'!$B$27))</f>
        <v>49863.010546479447</v>
      </c>
      <c r="E883" s="18">
        <f>IF($A883&gt;'1-Input'!$B$26,G882,(G882-C883)*(1+$D$4))</f>
        <v>251536.23891147511</v>
      </c>
      <c r="F883" s="18">
        <f>IF($A883&gt;'1-Input'!$B$26,D883,D883-'P-Parametri'!$B$8*(E883+D883)+MIN(MAX(E883,0),'P-Parametri'!$B$8*(E883+D883)))</f>
        <v>49863.010546479447</v>
      </c>
      <c r="G883" s="18">
        <f>IF($A883&gt;'1-Input'!$B$26,E883,E883-MIN(MAX(E883,0),'P-Parametri'!$B$8*(E883+D883)))</f>
        <v>250933.4404125592</v>
      </c>
      <c r="H883" s="18">
        <f>IF($A883&gt;'1-Input'!$B$26,H882,H882-C883*(1-B883))</f>
        <v>37465.402156602133</v>
      </c>
      <c r="I883" s="11">
        <f>IF($A883&gt;'1-Input'!$B$26,0,IF(N882&lt;=0,0,MAX(0,(N882-O882)/N882)))</f>
        <v>0</v>
      </c>
      <c r="J883" s="18">
        <f>IF($A883&gt;'1-Input'!$B$26,0,(MAX(0,I836-IF($A883&gt;='1-Input'!$C$12,'1-Input'!$B$12,0))-MIN(MAX(M882,0),MAX(0,I836-IF($A883&gt;='1-Input'!$C$12,'1-Input'!$B$12,0))))*(1/(1-'P-Parametri'!$B$6*I883))+MIN(MAX(0,N882-(MAX(0,I836-IF($A883&gt;='1-Input'!$C$12,'1-Input'!$B$12,0))-MIN(MAX(M882,0),MAX(0,I836-IF($A883&gt;='1-Input'!$C$12,'1-Input'!$B$12,0))))*(1/(1-'P-Parametri'!$B$6*I883))),MAX(0,3*I836-(M882-MIN(MAX(M882,0),MAX(0,I836-IF($A883&gt;='1-Input'!$C$12,'1-Input'!$B$12,0)))))*(1/(1-'P-Parametri'!$B$6*I883))))</f>
        <v>10846.756992928691</v>
      </c>
      <c r="K883" s="18">
        <f>IF($A883&gt;'1-Input'!$B$26,M882,(M882-MAX(0,I836-IF($A883&gt;='1-Input'!$C$12,'1-Input'!$B$12,0))+J883*(1-'P-Parametri'!$B$6*I883))*(1+'1-Input'!$B$27))</f>
        <v>0</v>
      </c>
      <c r="L883" s="18">
        <f>IF($A883&gt;'1-Input'!$B$26,N882,(N882-J883)*(1+$D$4))</f>
        <v>-300193.66563843016</v>
      </c>
      <c r="M883" s="18">
        <f>IF($A883&gt;'1-Input'!$B$26,K883,K883-'P-Parametri'!$B$8*(L883+K883)+MIN(MAX(L883,0),'P-Parametri'!$B$8*(L883+K883)))</f>
        <v>0</v>
      </c>
      <c r="N883" s="18">
        <f>IF($A883&gt;'1-Input'!$B$26,L883,L883-MIN(MAX(L883,0),'P-Parametri'!$B$8*(L883+K883)))</f>
        <v>-299593.27830715332</v>
      </c>
      <c r="O883" s="18">
        <f>IF($A883&gt;'1-Input'!$B$26,O882,O882-J883*(1-I883))</f>
        <v>-203291.3215691279</v>
      </c>
      <c r="P883" s="11">
        <f>IF($A883&gt;'1-Input'!$B$26,0,IF(U882&lt;=0,0,MAX(0,(U882-V882)/U882)))</f>
        <v>0</v>
      </c>
      <c r="Q883" s="18">
        <f>IF($A883&gt;'1-Input'!$B$26,0,(MAX(0,P836-IF($A883&gt;='1-Input'!$C$12,'1-Input'!$B$12,0))-MIN(MAX(T882,0),MAX(0,P836-IF($A883&gt;='1-Input'!$C$12,'1-Input'!$B$12,0))))*(1/(1-'P-Parametri'!$B$6*P883))+MIN(MAX(0,U882-(MAX(0,P836-IF($A883&gt;='1-Input'!$C$12,'1-Input'!$B$12,0))-MIN(MAX(T882,0),MAX(0,P836-IF($A883&gt;='1-Input'!$C$12,'1-Input'!$B$12,0))))*(1/(1-'P-Parametri'!$B$6*P883))),MAX(0,3*P836-(T882-MIN(MAX(T882,0),MAX(0,P836-IF($A883&gt;='1-Input'!$C$12,'1-Input'!$B$12,0)))))*(1/(1-'P-Parametri'!$B$6*P883))))</f>
        <v>8218.1843541599956</v>
      </c>
      <c r="R883" s="18">
        <f>IF($A883&gt;'1-Input'!$B$26,T882,(T882-MAX(0,P836-IF($A883&gt;='1-Input'!$C$12,'1-Input'!$B$12,0))+Q883*(1-'P-Parametri'!$B$6*P883))*(1+'1-Input'!$B$27))</f>
        <v>0</v>
      </c>
      <c r="S883" s="18">
        <f>IF($A883&gt;'1-Input'!$B$26,U882,(U882-Q883)*(1+$D$4))</f>
        <v>-43651.398449800676</v>
      </c>
      <c r="T883" s="18">
        <f>IF($A883&gt;'1-Input'!$B$26,R883,R883-'P-Parametri'!$B$8*(S883+R883)+MIN(MAX(S883,0),'P-Parametri'!$B$8*(S883+R883)))</f>
        <v>0</v>
      </c>
      <c r="U883" s="18">
        <f>IF($A883&gt;'1-Input'!$B$26,S883,S883-MIN(MAX(S883,0),'P-Parametri'!$B$8*(S883+R883)))</f>
        <v>-43564.095652901073</v>
      </c>
      <c r="V883" s="18">
        <f>IF($A883&gt;'1-Input'!$B$26,V882,V882-Q883*(1-P883))</f>
        <v>-39061.510778443262</v>
      </c>
      <c r="W883" s="11">
        <f>IF($A883&gt;'1-Input'!$B$26,0,IF(AB882&lt;=0,0,MAX(0,(AB882-AC882)/AB882)))</f>
        <v>0</v>
      </c>
      <c r="X883" s="18">
        <f>IF($A883&gt;'1-Input'!$B$26,0,(MAX(0,W836-IF($A883&gt;='1-Input'!$C$12,'1-Input'!$B$12,0))-MIN(MAX(AA882,0),MAX(0,W836-IF($A883&gt;='1-Input'!$C$12,'1-Input'!$B$12,0))))*(1/(1-'P-Parametri'!$B$6*W883))+MIN(MAX(0,AB882-(MAX(0,W836-IF($A883&gt;='1-Input'!$C$12,'1-Input'!$B$12,0))-MIN(MAX(AA882,0),MAX(0,W836-IF($A883&gt;='1-Input'!$C$12,'1-Input'!$B$12,0))))*(1/(1-'P-Parametri'!$B$6*W883))),MAX(0,3*W836-(AA882-MIN(MAX(AA882,0),MAX(0,W836-IF($A883&gt;='1-Input'!$C$12,'1-Input'!$B$12,0)))))*(1/(1-'P-Parametri'!$B$6*W883))))</f>
        <v>2964.4931931002411</v>
      </c>
      <c r="Y883" s="18">
        <f>IF($A883&gt;'1-Input'!$B$26,AA882,(AA882-MAX(0,W836-IF($A883&gt;='1-Input'!$C$12,'1-Input'!$B$12,0))+X883*(1-'P-Parametri'!$B$6*W883))*(1+'1-Input'!$B$27))</f>
        <v>0</v>
      </c>
      <c r="Z883" s="18">
        <f>IF($A883&gt;'1-Input'!$B$26,AB882,(AB882-X883)*(1+$D$4))</f>
        <v>-3083.072920824251</v>
      </c>
      <c r="AA883" s="18">
        <f>IF($A883&gt;'1-Input'!$B$26,Y883,Y883-'P-Parametri'!$B$8*(Z883+Y883)+MIN(MAX(Z883,0),'P-Parametri'!$B$8*(Z883+Y883)))</f>
        <v>0</v>
      </c>
      <c r="AB883" s="18">
        <f>IF($A883&gt;'1-Input'!$B$26,Z883,Z883-MIN(MAX(Z883,0),'P-Parametri'!$B$8*(Z883+Y883)))</f>
        <v>-3076.9067749826027</v>
      </c>
      <c r="AC883" s="18">
        <f>IF($A883&gt;'1-Input'!$B$26,AC882,AC882-X883*(1-W883))</f>
        <v>-2964.4931931002411</v>
      </c>
      <c r="AD883" s="11">
        <f>IF($A883&gt;'1-Input'!$B$26,0,IF(AI882&lt;=0,0,MAX(0,(AI882-AJ882)/AI882)))</f>
        <v>0</v>
      </c>
      <c r="AE883" s="18">
        <f>IF($A883&gt;'1-Input'!$B$26,0,(MAX(0,AD836-IF($A883&gt;='1-Input'!$C$12,'1-Input'!$B$12,0))-MIN(MAX(AH882,0),MAX(0,AD836-IF($A883&gt;='1-Input'!$C$12,'1-Input'!$B$12,0))))*(1/(1-'P-Parametri'!$B$6*AD883))+MIN(MAX(0,AI882-(MAX(0,AD836-IF($A883&gt;='1-Input'!$C$12,'1-Input'!$B$12,0))-MIN(MAX(AH882,0),MAX(0,AD836-IF($A883&gt;='1-Input'!$C$12,'1-Input'!$B$12,0))))*(1/(1-'P-Parametri'!$B$6*AD883))),MAX(0,3*AD836-(AH882-MIN(MAX(AH882,0),MAX(0,AD836-IF($A883&gt;='1-Input'!$C$12,'1-Input'!$B$12,0)))))*(1/(1-'P-Parametri'!$B$6*AD883))))</f>
        <v>36.282159633356969</v>
      </c>
      <c r="AF883" s="18">
        <f>IF($A883&gt;'1-Input'!$B$26,AH882,(AH882-MAX(0,AD836-IF($A883&gt;='1-Input'!$C$12,'1-Input'!$B$12,0))+AE883*(1-'P-Parametri'!$B$6*AD883))*(1+'1-Input'!$B$27))</f>
        <v>0</v>
      </c>
      <c r="AG883" s="18">
        <f>IF($A883&gt;'1-Input'!$B$26,AI882,(AI882-AE883)*(1+$D$4))</f>
        <v>-37.733446018691247</v>
      </c>
      <c r="AH883" s="18">
        <f>IF($A883&gt;'1-Input'!$B$26,AF883,AF883-'P-Parametri'!$B$8*(AG883+AF883)+MIN(MAX(AG883,0),'P-Parametri'!$B$8*(AG883+AF883)))</f>
        <v>0</v>
      </c>
      <c r="AI883" s="18">
        <f>IF($A883&gt;'1-Input'!$B$26,AG883,AG883-MIN(MAX(AG883,0),'P-Parametri'!$B$8*(AG883+AF883)))</f>
        <v>-37.657979126653863</v>
      </c>
      <c r="AJ883" s="18">
        <f>IF($A883&gt;'1-Input'!$B$26,AJ882,AJ882-AE883*(1-AD883))</f>
        <v>-36.282159633357878</v>
      </c>
      <c r="AK883" s="11">
        <f>IF($A883&gt;'1-Input'!$B$26,0,IF(AP882&lt;=0,0,MAX(0,(AP882-AQ882)/AP882)))</f>
        <v>0</v>
      </c>
      <c r="AL883" s="18">
        <f>IF($A883&gt;'1-Input'!$B$26,0,(MAX(0,AK836-IF($A883&gt;='1-Input'!$C$12,'1-Input'!$B$12,0))-MIN(MAX(AO882,0),MAX(0,AK836-IF($A883&gt;='1-Input'!$C$12,'1-Input'!$B$12,0))))*(1/(1-'P-Parametri'!$B$6*AK883))+MIN(MAX(0,AP882-(MAX(0,AK836-IF($A883&gt;='1-Input'!$C$12,'1-Input'!$B$12,0))-MIN(MAX(AO882,0),MAX(0,AK836-IF($A883&gt;='1-Input'!$C$12,'1-Input'!$B$12,0))))*(1/(1-'P-Parametri'!$B$6*AK883))),MAX(0,3*AK836-(AO882-MIN(MAX(AO882,0),MAX(0,AK836-IF($A883&gt;='1-Input'!$C$12,'1-Input'!$B$12,0)))))*(1/(1-'P-Parametri'!$B$6*AK883))))</f>
        <v>0</v>
      </c>
      <c r="AM883" s="18">
        <f>IF($A883&gt;'1-Input'!$B$26,AO882,(AO882-MAX(0,AK836-IF($A883&gt;='1-Input'!$C$12,'1-Input'!$B$12,0))+AL883*(1-'P-Parametri'!$B$6*AK883))*(1+'1-Input'!$B$27))</f>
        <v>4.494583195013547E-4</v>
      </c>
      <c r="AN883" s="18">
        <f>IF($A883&gt;'1-Input'!$B$26,AP882,(AP882-AL883)*(1+$D$4))</f>
        <v>0</v>
      </c>
      <c r="AO883" s="18">
        <f>IF($A883&gt;'1-Input'!$B$26,AM883,AM883-'P-Parametri'!$B$8*(AN883+AM883)+MIN(MAX(AN883,0),'P-Parametri'!$B$8*(AN883+AM883)))</f>
        <v>4.48559402862352E-4</v>
      </c>
      <c r="AP883" s="18">
        <f>IF($A883&gt;'1-Input'!$B$26,AN883,AN883-MIN(MAX(AN883,0),'P-Parametri'!$B$8*(AN883+AM883)))</f>
        <v>0</v>
      </c>
      <c r="AQ883" s="18">
        <f>IF($A883&gt;'1-Input'!$B$26,AQ882,AQ882-AL883*(1-AK883))</f>
        <v>-2.2737367544323206E-13</v>
      </c>
    </row>
    <row r="884" spans="1:43">
      <c r="A884" s="10">
        <f>46</f>
        <v>46</v>
      </c>
      <c r="B884" s="11">
        <f>IF($A884&gt;'1-Input'!$B$26,0,IF(G883&lt;=0,0,MAX(0,(G883-H883)/G883)))</f>
        <v>0</v>
      </c>
      <c r="C884" s="18">
        <f>IF($A884&gt;'1-Input'!$B$26,0,(MAX(0,B836-IF($A884&gt;='1-Input'!$C$12,'1-Input'!$B$12,0))-MIN(MAX(F883,0),MAX(0,B836-IF($A884&gt;='1-Input'!$C$12,'1-Input'!$B$12,0))))*(1/(1-'P-Parametri'!$B$6*B884))+MIN(MAX(0,G883-(MAX(0,B836-IF($A884&gt;='1-Input'!$C$12,'1-Input'!$B$12,0))-MIN(MAX(F883,0),MAX(0,B836-IF($A884&gt;='1-Input'!$C$12,'1-Input'!$B$12,0))))*(1/(1-'P-Parametri'!$B$6*B884))),MAX(0,3*B836-(F883-MIN(MAX(F883,0),MAX(0,B836-IF($A884&gt;='1-Input'!$C$12,'1-Input'!$B$12,0)))))*(1/(1-'P-Parametri'!$B$6*B884))))</f>
        <v>0</v>
      </c>
      <c r="D884" s="18">
        <f>IF($A884&gt;'1-Input'!$B$26,F883,(F883-MAX(0,B836-IF($A884&gt;='1-Input'!$C$12,'1-Input'!$B$12,0))+C884*(1-'P-Parametri'!$B$6*B884))*(1+'1-Input'!$B$27))</f>
        <v>49863.010546479447</v>
      </c>
      <c r="E884" s="18">
        <f>IF($A884&gt;'1-Input'!$B$26,G883,(G883-C884)*(1+$D$4))</f>
        <v>250933.4404125592</v>
      </c>
      <c r="F884" s="18">
        <f>IF($A884&gt;'1-Input'!$B$26,D884,D884-'P-Parametri'!$B$8*(E884+D884)+MIN(MAX(E884,0),'P-Parametri'!$B$8*(E884+D884)))</f>
        <v>49863.010546479447</v>
      </c>
      <c r="G884" s="18">
        <f>IF($A884&gt;'1-Input'!$B$26,E884,E884-MIN(MAX(E884,0),'P-Parametri'!$B$8*(E884+D884)))</f>
        <v>250933.4404125592</v>
      </c>
      <c r="H884" s="18">
        <f>IF($A884&gt;'1-Input'!$B$26,H883,H883-C884*(1-B884))</f>
        <v>37465.402156602133</v>
      </c>
      <c r="I884" s="11">
        <f>IF($A884&gt;'1-Input'!$B$26,0,IF(N883&lt;=0,0,MAX(0,(N883-O883)/N883)))</f>
        <v>0</v>
      </c>
      <c r="J884" s="18">
        <f>IF($A884&gt;'1-Input'!$B$26,0,(MAX(0,I836-IF($A884&gt;='1-Input'!$C$12,'1-Input'!$B$12,0))-MIN(MAX(M883,0),MAX(0,I836-IF($A884&gt;='1-Input'!$C$12,'1-Input'!$B$12,0))))*(1/(1-'P-Parametri'!$B$6*I884))+MIN(MAX(0,N883-(MAX(0,I836-IF($A884&gt;='1-Input'!$C$12,'1-Input'!$B$12,0))-MIN(MAX(M883,0),MAX(0,I836-IF($A884&gt;='1-Input'!$C$12,'1-Input'!$B$12,0))))*(1/(1-'P-Parametri'!$B$6*I884))),MAX(0,3*I836-(M883-MIN(MAX(M883,0),MAX(0,I836-IF($A884&gt;='1-Input'!$C$12,'1-Input'!$B$12,0)))))*(1/(1-'P-Parametri'!$B$6*I884))))</f>
        <v>0</v>
      </c>
      <c r="K884" s="18">
        <f>IF($A884&gt;'1-Input'!$B$26,M883,(M883-MAX(0,I836-IF($A884&gt;='1-Input'!$C$12,'1-Input'!$B$12,0))+J884*(1-'P-Parametri'!$B$6*I884))*(1+'1-Input'!$B$27))</f>
        <v>0</v>
      </c>
      <c r="L884" s="18">
        <f>IF($A884&gt;'1-Input'!$B$26,N883,(N883-J884)*(1+$D$4))</f>
        <v>-299593.27830715332</v>
      </c>
      <c r="M884" s="18">
        <f>IF($A884&gt;'1-Input'!$B$26,K884,K884-'P-Parametri'!$B$8*(L884+K884)+MIN(MAX(L884,0),'P-Parametri'!$B$8*(L884+K884)))</f>
        <v>0</v>
      </c>
      <c r="N884" s="18">
        <f>IF($A884&gt;'1-Input'!$B$26,L884,L884-MIN(MAX(L884,0),'P-Parametri'!$B$8*(L884+K884)))</f>
        <v>-299593.27830715332</v>
      </c>
      <c r="O884" s="18">
        <f>IF($A884&gt;'1-Input'!$B$26,O883,O883-J884*(1-I884))</f>
        <v>-203291.3215691279</v>
      </c>
      <c r="P884" s="11">
        <f>IF($A884&gt;'1-Input'!$B$26,0,IF(U883&lt;=0,0,MAX(0,(U883-V883)/U883)))</f>
        <v>0</v>
      </c>
      <c r="Q884" s="18">
        <f>IF($A884&gt;'1-Input'!$B$26,0,(MAX(0,P836-IF($A884&gt;='1-Input'!$C$12,'1-Input'!$B$12,0))-MIN(MAX(T883,0),MAX(0,P836-IF($A884&gt;='1-Input'!$C$12,'1-Input'!$B$12,0))))*(1/(1-'P-Parametri'!$B$6*P884))+MIN(MAX(0,U883-(MAX(0,P836-IF($A884&gt;='1-Input'!$C$12,'1-Input'!$B$12,0))-MIN(MAX(T883,0),MAX(0,P836-IF($A884&gt;='1-Input'!$C$12,'1-Input'!$B$12,0))))*(1/(1-'P-Parametri'!$B$6*P884))),MAX(0,3*P836-(T883-MIN(MAX(T883,0),MAX(0,P836-IF($A884&gt;='1-Input'!$C$12,'1-Input'!$B$12,0)))))*(1/(1-'P-Parametri'!$B$6*P884))))</f>
        <v>0</v>
      </c>
      <c r="R884" s="18">
        <f>IF($A884&gt;'1-Input'!$B$26,T883,(T883-MAX(0,P836-IF($A884&gt;='1-Input'!$C$12,'1-Input'!$B$12,0))+Q884*(1-'P-Parametri'!$B$6*P884))*(1+'1-Input'!$B$27))</f>
        <v>0</v>
      </c>
      <c r="S884" s="18">
        <f>IF($A884&gt;'1-Input'!$B$26,U883,(U883-Q884)*(1+$D$4))</f>
        <v>-43564.095652901073</v>
      </c>
      <c r="T884" s="18">
        <f>IF($A884&gt;'1-Input'!$B$26,R884,R884-'P-Parametri'!$B$8*(S884+R884)+MIN(MAX(S884,0),'P-Parametri'!$B$8*(S884+R884)))</f>
        <v>0</v>
      </c>
      <c r="U884" s="18">
        <f>IF($A884&gt;'1-Input'!$B$26,S884,S884-MIN(MAX(S884,0),'P-Parametri'!$B$8*(S884+R884)))</f>
        <v>-43564.095652901073</v>
      </c>
      <c r="V884" s="18">
        <f>IF($A884&gt;'1-Input'!$B$26,V883,V883-Q884*(1-P884))</f>
        <v>-39061.510778443262</v>
      </c>
      <c r="W884" s="11">
        <f>IF($A884&gt;'1-Input'!$B$26,0,IF(AB883&lt;=0,0,MAX(0,(AB883-AC883)/AB883)))</f>
        <v>0</v>
      </c>
      <c r="X884" s="18">
        <f>IF($A884&gt;'1-Input'!$B$26,0,(MAX(0,W836-IF($A884&gt;='1-Input'!$C$12,'1-Input'!$B$12,0))-MIN(MAX(AA883,0),MAX(0,W836-IF($A884&gt;='1-Input'!$C$12,'1-Input'!$B$12,0))))*(1/(1-'P-Parametri'!$B$6*W884))+MIN(MAX(0,AB883-(MAX(0,W836-IF($A884&gt;='1-Input'!$C$12,'1-Input'!$B$12,0))-MIN(MAX(AA883,0),MAX(0,W836-IF($A884&gt;='1-Input'!$C$12,'1-Input'!$B$12,0))))*(1/(1-'P-Parametri'!$B$6*W884))),MAX(0,3*W836-(AA883-MIN(MAX(AA883,0),MAX(0,W836-IF($A884&gt;='1-Input'!$C$12,'1-Input'!$B$12,0)))))*(1/(1-'P-Parametri'!$B$6*W884))))</f>
        <v>0</v>
      </c>
      <c r="Y884" s="18">
        <f>IF($A884&gt;'1-Input'!$B$26,AA883,(AA883-MAX(0,W836-IF($A884&gt;='1-Input'!$C$12,'1-Input'!$B$12,0))+X884*(1-'P-Parametri'!$B$6*W884))*(1+'1-Input'!$B$27))</f>
        <v>0</v>
      </c>
      <c r="Z884" s="18">
        <f>IF($A884&gt;'1-Input'!$B$26,AB883,(AB883-X884)*(1+$D$4))</f>
        <v>-3076.9067749826027</v>
      </c>
      <c r="AA884" s="18">
        <f>IF($A884&gt;'1-Input'!$B$26,Y884,Y884-'P-Parametri'!$B$8*(Z884+Y884)+MIN(MAX(Z884,0),'P-Parametri'!$B$8*(Z884+Y884)))</f>
        <v>0</v>
      </c>
      <c r="AB884" s="18">
        <f>IF($A884&gt;'1-Input'!$B$26,Z884,Z884-MIN(MAX(Z884,0),'P-Parametri'!$B$8*(Z884+Y884)))</f>
        <v>-3076.9067749826027</v>
      </c>
      <c r="AC884" s="18">
        <f>IF($A884&gt;'1-Input'!$B$26,AC883,AC883-X884*(1-W884))</f>
        <v>-2964.4931931002411</v>
      </c>
      <c r="AD884" s="11">
        <f>IF($A884&gt;'1-Input'!$B$26,0,IF(AI883&lt;=0,0,MAX(0,(AI883-AJ883)/AI883)))</f>
        <v>0</v>
      </c>
      <c r="AE884" s="18">
        <f>IF($A884&gt;'1-Input'!$B$26,0,(MAX(0,AD836-IF($A884&gt;='1-Input'!$C$12,'1-Input'!$B$12,0))-MIN(MAX(AH883,0),MAX(0,AD836-IF($A884&gt;='1-Input'!$C$12,'1-Input'!$B$12,0))))*(1/(1-'P-Parametri'!$B$6*AD884))+MIN(MAX(0,AI883-(MAX(0,AD836-IF($A884&gt;='1-Input'!$C$12,'1-Input'!$B$12,0))-MIN(MAX(AH883,0),MAX(0,AD836-IF($A884&gt;='1-Input'!$C$12,'1-Input'!$B$12,0))))*(1/(1-'P-Parametri'!$B$6*AD884))),MAX(0,3*AD836-(AH883-MIN(MAX(AH883,0),MAX(0,AD836-IF($A884&gt;='1-Input'!$C$12,'1-Input'!$B$12,0)))))*(1/(1-'P-Parametri'!$B$6*AD884))))</f>
        <v>0</v>
      </c>
      <c r="AF884" s="18">
        <f>IF($A884&gt;'1-Input'!$B$26,AH883,(AH883-MAX(0,AD836-IF($A884&gt;='1-Input'!$C$12,'1-Input'!$B$12,0))+AE884*(1-'P-Parametri'!$B$6*AD884))*(1+'1-Input'!$B$27))</f>
        <v>0</v>
      </c>
      <c r="AG884" s="18">
        <f>IF($A884&gt;'1-Input'!$B$26,AI883,(AI883-AE884)*(1+$D$4))</f>
        <v>-37.657979126653863</v>
      </c>
      <c r="AH884" s="18">
        <f>IF($A884&gt;'1-Input'!$B$26,AF884,AF884-'P-Parametri'!$B$8*(AG884+AF884)+MIN(MAX(AG884,0),'P-Parametri'!$B$8*(AG884+AF884)))</f>
        <v>0</v>
      </c>
      <c r="AI884" s="18">
        <f>IF($A884&gt;'1-Input'!$B$26,AG884,AG884-MIN(MAX(AG884,0),'P-Parametri'!$B$8*(AG884+AF884)))</f>
        <v>-37.657979126653863</v>
      </c>
      <c r="AJ884" s="18">
        <f>IF($A884&gt;'1-Input'!$B$26,AJ883,AJ883-AE884*(1-AD884))</f>
        <v>-36.282159633357878</v>
      </c>
      <c r="AK884" s="11">
        <f>IF($A884&gt;'1-Input'!$B$26,0,IF(AP883&lt;=0,0,MAX(0,(AP883-AQ883)/AP883)))</f>
        <v>0</v>
      </c>
      <c r="AL884" s="18">
        <f>IF($A884&gt;'1-Input'!$B$26,0,(MAX(0,AK836-IF($A884&gt;='1-Input'!$C$12,'1-Input'!$B$12,0))-MIN(MAX(AO883,0),MAX(0,AK836-IF($A884&gt;='1-Input'!$C$12,'1-Input'!$B$12,0))))*(1/(1-'P-Parametri'!$B$6*AK884))+MIN(MAX(0,AP883-(MAX(0,AK836-IF($A884&gt;='1-Input'!$C$12,'1-Input'!$B$12,0))-MIN(MAX(AO883,0),MAX(0,AK836-IF($A884&gt;='1-Input'!$C$12,'1-Input'!$B$12,0))))*(1/(1-'P-Parametri'!$B$6*AK884))),MAX(0,3*AK836-(AO883-MIN(MAX(AO883,0),MAX(0,AK836-IF($A884&gt;='1-Input'!$C$12,'1-Input'!$B$12,0)))))*(1/(1-'P-Parametri'!$B$6*AK884))))</f>
        <v>0</v>
      </c>
      <c r="AM884" s="18">
        <f>IF($A884&gt;'1-Input'!$B$26,AO883,(AO883-MAX(0,AK836-IF($A884&gt;='1-Input'!$C$12,'1-Input'!$B$12,0))+AL884*(1-'P-Parametri'!$B$6*AK884))*(1+'1-Input'!$B$27))</f>
        <v>4.48559402862352E-4</v>
      </c>
      <c r="AN884" s="18">
        <f>IF($A884&gt;'1-Input'!$B$26,AP883,(AP883-AL884)*(1+$D$4))</f>
        <v>0</v>
      </c>
      <c r="AO884" s="18">
        <f>IF($A884&gt;'1-Input'!$B$26,AM884,AM884-'P-Parametri'!$B$8*(AN884+AM884)+MIN(MAX(AN884,0),'P-Parametri'!$B$8*(AN884+AM884)))</f>
        <v>4.48559402862352E-4</v>
      </c>
      <c r="AP884" s="18">
        <f>IF($A884&gt;'1-Input'!$B$26,AN884,AN884-MIN(MAX(AN884,0),'P-Parametri'!$B$8*(AN884+AM884)))</f>
        <v>0</v>
      </c>
      <c r="AQ884" s="18">
        <f>IF($A884&gt;'1-Input'!$B$26,AQ883,AQ883-AL884*(1-AK884))</f>
        <v>-2.2737367544323206E-13</v>
      </c>
    </row>
    <row r="885" spans="1:43">
      <c r="A885" s="10">
        <f>47</f>
        <v>47</v>
      </c>
      <c r="B885" s="11">
        <f>IF($A885&gt;'1-Input'!$B$26,0,IF(G884&lt;=0,0,MAX(0,(G884-H884)/G884)))</f>
        <v>0</v>
      </c>
      <c r="C885" s="18">
        <f>IF($A885&gt;'1-Input'!$B$26,0,(MAX(0,B836-IF($A885&gt;='1-Input'!$C$12,'1-Input'!$B$12,0))-MIN(MAX(F884,0),MAX(0,B836-IF($A885&gt;='1-Input'!$C$12,'1-Input'!$B$12,0))))*(1/(1-'P-Parametri'!$B$6*B885))+MIN(MAX(0,G884-(MAX(0,B836-IF($A885&gt;='1-Input'!$C$12,'1-Input'!$B$12,0))-MIN(MAX(F884,0),MAX(0,B836-IF($A885&gt;='1-Input'!$C$12,'1-Input'!$B$12,0))))*(1/(1-'P-Parametri'!$B$6*B885))),MAX(0,3*B836-(F884-MIN(MAX(F884,0),MAX(0,B836-IF($A885&gt;='1-Input'!$C$12,'1-Input'!$B$12,0)))))*(1/(1-'P-Parametri'!$B$6*B885))))</f>
        <v>0</v>
      </c>
      <c r="D885" s="18">
        <f>IF($A885&gt;'1-Input'!$B$26,F884,(F884-MAX(0,B836-IF($A885&gt;='1-Input'!$C$12,'1-Input'!$B$12,0))+C885*(1-'P-Parametri'!$B$6*B885))*(1+'1-Input'!$B$27))</f>
        <v>49863.010546479447</v>
      </c>
      <c r="E885" s="18">
        <f>IF($A885&gt;'1-Input'!$B$26,G884,(G884-C885)*(1+$D$4))</f>
        <v>250933.4404125592</v>
      </c>
      <c r="F885" s="18">
        <f>IF($A885&gt;'1-Input'!$B$26,D885,D885-'P-Parametri'!$B$8*(E885+D885)+MIN(MAX(E885,0),'P-Parametri'!$B$8*(E885+D885)))</f>
        <v>49863.010546479447</v>
      </c>
      <c r="G885" s="18">
        <f>IF($A885&gt;'1-Input'!$B$26,E885,E885-MIN(MAX(E885,0),'P-Parametri'!$B$8*(E885+D885)))</f>
        <v>250933.4404125592</v>
      </c>
      <c r="H885" s="18">
        <f>IF($A885&gt;'1-Input'!$B$26,H884,H884-C885*(1-B885))</f>
        <v>37465.402156602133</v>
      </c>
      <c r="I885" s="11">
        <f>IF($A885&gt;'1-Input'!$B$26,0,IF(N884&lt;=0,0,MAX(0,(N884-O884)/N884)))</f>
        <v>0</v>
      </c>
      <c r="J885" s="18">
        <f>IF($A885&gt;'1-Input'!$B$26,0,(MAX(0,I836-IF($A885&gt;='1-Input'!$C$12,'1-Input'!$B$12,0))-MIN(MAX(M884,0),MAX(0,I836-IF($A885&gt;='1-Input'!$C$12,'1-Input'!$B$12,0))))*(1/(1-'P-Parametri'!$B$6*I885))+MIN(MAX(0,N884-(MAX(0,I836-IF($A885&gt;='1-Input'!$C$12,'1-Input'!$B$12,0))-MIN(MAX(M884,0),MAX(0,I836-IF($A885&gt;='1-Input'!$C$12,'1-Input'!$B$12,0))))*(1/(1-'P-Parametri'!$B$6*I885))),MAX(0,3*I836-(M884-MIN(MAX(M884,0),MAX(0,I836-IF($A885&gt;='1-Input'!$C$12,'1-Input'!$B$12,0)))))*(1/(1-'P-Parametri'!$B$6*I885))))</f>
        <v>0</v>
      </c>
      <c r="K885" s="18">
        <f>IF($A885&gt;'1-Input'!$B$26,M884,(M884-MAX(0,I836-IF($A885&gt;='1-Input'!$C$12,'1-Input'!$B$12,0))+J885*(1-'P-Parametri'!$B$6*I885))*(1+'1-Input'!$B$27))</f>
        <v>0</v>
      </c>
      <c r="L885" s="18">
        <f>IF($A885&gt;'1-Input'!$B$26,N884,(N884-J885)*(1+$D$4))</f>
        <v>-299593.27830715332</v>
      </c>
      <c r="M885" s="18">
        <f>IF($A885&gt;'1-Input'!$B$26,K885,K885-'P-Parametri'!$B$8*(L885+K885)+MIN(MAX(L885,0),'P-Parametri'!$B$8*(L885+K885)))</f>
        <v>0</v>
      </c>
      <c r="N885" s="18">
        <f>IF($A885&gt;'1-Input'!$B$26,L885,L885-MIN(MAX(L885,0),'P-Parametri'!$B$8*(L885+K885)))</f>
        <v>-299593.27830715332</v>
      </c>
      <c r="O885" s="18">
        <f>IF($A885&gt;'1-Input'!$B$26,O884,O884-J885*(1-I885))</f>
        <v>-203291.3215691279</v>
      </c>
      <c r="P885" s="11">
        <f>IF($A885&gt;'1-Input'!$B$26,0,IF(U884&lt;=0,0,MAX(0,(U884-V884)/U884)))</f>
        <v>0</v>
      </c>
      <c r="Q885" s="18">
        <f>IF($A885&gt;'1-Input'!$B$26,0,(MAX(0,P836-IF($A885&gt;='1-Input'!$C$12,'1-Input'!$B$12,0))-MIN(MAX(T884,0),MAX(0,P836-IF($A885&gt;='1-Input'!$C$12,'1-Input'!$B$12,0))))*(1/(1-'P-Parametri'!$B$6*P885))+MIN(MAX(0,U884-(MAX(0,P836-IF($A885&gt;='1-Input'!$C$12,'1-Input'!$B$12,0))-MIN(MAX(T884,0),MAX(0,P836-IF($A885&gt;='1-Input'!$C$12,'1-Input'!$B$12,0))))*(1/(1-'P-Parametri'!$B$6*P885))),MAX(0,3*P836-(T884-MIN(MAX(T884,0),MAX(0,P836-IF($A885&gt;='1-Input'!$C$12,'1-Input'!$B$12,0)))))*(1/(1-'P-Parametri'!$B$6*P885))))</f>
        <v>0</v>
      </c>
      <c r="R885" s="18">
        <f>IF($A885&gt;'1-Input'!$B$26,T884,(T884-MAX(0,P836-IF($A885&gt;='1-Input'!$C$12,'1-Input'!$B$12,0))+Q885*(1-'P-Parametri'!$B$6*P885))*(1+'1-Input'!$B$27))</f>
        <v>0</v>
      </c>
      <c r="S885" s="18">
        <f>IF($A885&gt;'1-Input'!$B$26,U884,(U884-Q885)*(1+$D$4))</f>
        <v>-43564.095652901073</v>
      </c>
      <c r="T885" s="18">
        <f>IF($A885&gt;'1-Input'!$B$26,R885,R885-'P-Parametri'!$B$8*(S885+R885)+MIN(MAX(S885,0),'P-Parametri'!$B$8*(S885+R885)))</f>
        <v>0</v>
      </c>
      <c r="U885" s="18">
        <f>IF($A885&gt;'1-Input'!$B$26,S885,S885-MIN(MAX(S885,0),'P-Parametri'!$B$8*(S885+R885)))</f>
        <v>-43564.095652901073</v>
      </c>
      <c r="V885" s="18">
        <f>IF($A885&gt;'1-Input'!$B$26,V884,V884-Q885*(1-P885))</f>
        <v>-39061.510778443262</v>
      </c>
      <c r="W885" s="11">
        <f>IF($A885&gt;'1-Input'!$B$26,0,IF(AB884&lt;=0,0,MAX(0,(AB884-AC884)/AB884)))</f>
        <v>0</v>
      </c>
      <c r="X885" s="18">
        <f>IF($A885&gt;'1-Input'!$B$26,0,(MAX(0,W836-IF($A885&gt;='1-Input'!$C$12,'1-Input'!$B$12,0))-MIN(MAX(AA884,0),MAX(0,W836-IF($A885&gt;='1-Input'!$C$12,'1-Input'!$B$12,0))))*(1/(1-'P-Parametri'!$B$6*W885))+MIN(MAX(0,AB884-(MAX(0,W836-IF($A885&gt;='1-Input'!$C$12,'1-Input'!$B$12,0))-MIN(MAX(AA884,0),MAX(0,W836-IF($A885&gt;='1-Input'!$C$12,'1-Input'!$B$12,0))))*(1/(1-'P-Parametri'!$B$6*W885))),MAX(0,3*W836-(AA884-MIN(MAX(AA884,0),MAX(0,W836-IF($A885&gt;='1-Input'!$C$12,'1-Input'!$B$12,0)))))*(1/(1-'P-Parametri'!$B$6*W885))))</f>
        <v>0</v>
      </c>
      <c r="Y885" s="18">
        <f>IF($A885&gt;'1-Input'!$B$26,AA884,(AA884-MAX(0,W836-IF($A885&gt;='1-Input'!$C$12,'1-Input'!$B$12,0))+X885*(1-'P-Parametri'!$B$6*W885))*(1+'1-Input'!$B$27))</f>
        <v>0</v>
      </c>
      <c r="Z885" s="18">
        <f>IF($A885&gt;'1-Input'!$B$26,AB884,(AB884-X885)*(1+$D$4))</f>
        <v>-3076.9067749826027</v>
      </c>
      <c r="AA885" s="18">
        <f>IF($A885&gt;'1-Input'!$B$26,Y885,Y885-'P-Parametri'!$B$8*(Z885+Y885)+MIN(MAX(Z885,0),'P-Parametri'!$B$8*(Z885+Y885)))</f>
        <v>0</v>
      </c>
      <c r="AB885" s="18">
        <f>IF($A885&gt;'1-Input'!$B$26,Z885,Z885-MIN(MAX(Z885,0),'P-Parametri'!$B$8*(Z885+Y885)))</f>
        <v>-3076.9067749826027</v>
      </c>
      <c r="AC885" s="18">
        <f>IF($A885&gt;'1-Input'!$B$26,AC884,AC884-X885*(1-W885))</f>
        <v>-2964.4931931002411</v>
      </c>
      <c r="AD885" s="11">
        <f>IF($A885&gt;'1-Input'!$B$26,0,IF(AI884&lt;=0,0,MAX(0,(AI884-AJ884)/AI884)))</f>
        <v>0</v>
      </c>
      <c r="AE885" s="18">
        <f>IF($A885&gt;'1-Input'!$B$26,0,(MAX(0,AD836-IF($A885&gt;='1-Input'!$C$12,'1-Input'!$B$12,0))-MIN(MAX(AH884,0),MAX(0,AD836-IF($A885&gt;='1-Input'!$C$12,'1-Input'!$B$12,0))))*(1/(1-'P-Parametri'!$B$6*AD885))+MIN(MAX(0,AI884-(MAX(0,AD836-IF($A885&gt;='1-Input'!$C$12,'1-Input'!$B$12,0))-MIN(MAX(AH884,0),MAX(0,AD836-IF($A885&gt;='1-Input'!$C$12,'1-Input'!$B$12,0))))*(1/(1-'P-Parametri'!$B$6*AD885))),MAX(0,3*AD836-(AH884-MIN(MAX(AH884,0),MAX(0,AD836-IF($A885&gt;='1-Input'!$C$12,'1-Input'!$B$12,0)))))*(1/(1-'P-Parametri'!$B$6*AD885))))</f>
        <v>0</v>
      </c>
      <c r="AF885" s="18">
        <f>IF($A885&gt;'1-Input'!$B$26,AH884,(AH884-MAX(0,AD836-IF($A885&gt;='1-Input'!$C$12,'1-Input'!$B$12,0))+AE885*(1-'P-Parametri'!$B$6*AD885))*(1+'1-Input'!$B$27))</f>
        <v>0</v>
      </c>
      <c r="AG885" s="18">
        <f>IF($A885&gt;'1-Input'!$B$26,AI884,(AI884-AE885)*(1+$D$4))</f>
        <v>-37.657979126653863</v>
      </c>
      <c r="AH885" s="18">
        <f>IF($A885&gt;'1-Input'!$B$26,AF885,AF885-'P-Parametri'!$B$8*(AG885+AF885)+MIN(MAX(AG885,0),'P-Parametri'!$B$8*(AG885+AF885)))</f>
        <v>0</v>
      </c>
      <c r="AI885" s="18">
        <f>IF($A885&gt;'1-Input'!$B$26,AG885,AG885-MIN(MAX(AG885,0),'P-Parametri'!$B$8*(AG885+AF885)))</f>
        <v>-37.657979126653863</v>
      </c>
      <c r="AJ885" s="18">
        <f>IF($A885&gt;'1-Input'!$B$26,AJ884,AJ884-AE885*(1-AD885))</f>
        <v>-36.282159633357878</v>
      </c>
      <c r="AK885" s="11">
        <f>IF($A885&gt;'1-Input'!$B$26,0,IF(AP884&lt;=0,0,MAX(0,(AP884-AQ884)/AP884)))</f>
        <v>0</v>
      </c>
      <c r="AL885" s="18">
        <f>IF($A885&gt;'1-Input'!$B$26,0,(MAX(0,AK836-IF($A885&gt;='1-Input'!$C$12,'1-Input'!$B$12,0))-MIN(MAX(AO884,0),MAX(0,AK836-IF($A885&gt;='1-Input'!$C$12,'1-Input'!$B$12,0))))*(1/(1-'P-Parametri'!$B$6*AK885))+MIN(MAX(0,AP884-(MAX(0,AK836-IF($A885&gt;='1-Input'!$C$12,'1-Input'!$B$12,0))-MIN(MAX(AO884,0),MAX(0,AK836-IF($A885&gt;='1-Input'!$C$12,'1-Input'!$B$12,0))))*(1/(1-'P-Parametri'!$B$6*AK885))),MAX(0,3*AK836-(AO884-MIN(MAX(AO884,0),MAX(0,AK836-IF($A885&gt;='1-Input'!$C$12,'1-Input'!$B$12,0)))))*(1/(1-'P-Parametri'!$B$6*AK885))))</f>
        <v>0</v>
      </c>
      <c r="AM885" s="18">
        <f>IF($A885&gt;'1-Input'!$B$26,AO884,(AO884-MAX(0,AK836-IF($A885&gt;='1-Input'!$C$12,'1-Input'!$B$12,0))+AL885*(1-'P-Parametri'!$B$6*AK885))*(1+'1-Input'!$B$27))</f>
        <v>4.48559402862352E-4</v>
      </c>
      <c r="AN885" s="18">
        <f>IF($A885&gt;'1-Input'!$B$26,AP884,(AP884-AL885)*(1+$D$4))</f>
        <v>0</v>
      </c>
      <c r="AO885" s="18">
        <f>IF($A885&gt;'1-Input'!$B$26,AM885,AM885-'P-Parametri'!$B$8*(AN885+AM885)+MIN(MAX(AN885,0),'P-Parametri'!$B$8*(AN885+AM885)))</f>
        <v>4.48559402862352E-4</v>
      </c>
      <c r="AP885" s="18">
        <f>IF($A885&gt;'1-Input'!$B$26,AN885,AN885-MIN(MAX(AN885,0),'P-Parametri'!$B$8*(AN885+AM885)))</f>
        <v>0</v>
      </c>
      <c r="AQ885" s="18">
        <f>IF($A885&gt;'1-Input'!$B$26,AQ884,AQ884-AL885*(1-AK885))</f>
        <v>-2.2737367544323206E-13</v>
      </c>
    </row>
    <row r="886" spans="1:43">
      <c r="A886" s="10">
        <f>48</f>
        <v>48</v>
      </c>
      <c r="B886" s="11">
        <f>IF($A886&gt;'1-Input'!$B$26,0,IF(G885&lt;=0,0,MAX(0,(G885-H885)/G885)))</f>
        <v>0</v>
      </c>
      <c r="C886" s="18">
        <f>IF($A886&gt;'1-Input'!$B$26,0,(MAX(0,B836-IF($A886&gt;='1-Input'!$C$12,'1-Input'!$B$12,0))-MIN(MAX(F885,0),MAX(0,B836-IF($A886&gt;='1-Input'!$C$12,'1-Input'!$B$12,0))))*(1/(1-'P-Parametri'!$B$6*B886))+MIN(MAX(0,G885-(MAX(0,B836-IF($A886&gt;='1-Input'!$C$12,'1-Input'!$B$12,0))-MIN(MAX(F885,0),MAX(0,B836-IF($A886&gt;='1-Input'!$C$12,'1-Input'!$B$12,0))))*(1/(1-'P-Parametri'!$B$6*B886))),MAX(0,3*B836-(F885-MIN(MAX(F885,0),MAX(0,B836-IF($A886&gt;='1-Input'!$C$12,'1-Input'!$B$12,0)))))*(1/(1-'P-Parametri'!$B$6*B886))))</f>
        <v>0</v>
      </c>
      <c r="D886" s="18">
        <f>IF($A886&gt;'1-Input'!$B$26,F885,(F885-MAX(0,B836-IF($A886&gt;='1-Input'!$C$12,'1-Input'!$B$12,0))+C886*(1-'P-Parametri'!$B$6*B886))*(1+'1-Input'!$B$27))</f>
        <v>49863.010546479447</v>
      </c>
      <c r="E886" s="18">
        <f>IF($A886&gt;'1-Input'!$B$26,G885,(G885-C886)*(1+$D$4))</f>
        <v>250933.4404125592</v>
      </c>
      <c r="F886" s="18">
        <f>IF($A886&gt;'1-Input'!$B$26,D886,D886-'P-Parametri'!$B$8*(E886+D886)+MIN(MAX(E886,0),'P-Parametri'!$B$8*(E886+D886)))</f>
        <v>49863.010546479447</v>
      </c>
      <c r="G886" s="18">
        <f>IF($A886&gt;'1-Input'!$B$26,E886,E886-MIN(MAX(E886,0),'P-Parametri'!$B$8*(E886+D886)))</f>
        <v>250933.4404125592</v>
      </c>
      <c r="H886" s="18">
        <f>IF($A886&gt;'1-Input'!$B$26,H885,H885-C886*(1-B886))</f>
        <v>37465.402156602133</v>
      </c>
      <c r="I886" s="11">
        <f>IF($A886&gt;'1-Input'!$B$26,0,IF(N885&lt;=0,0,MAX(0,(N885-O885)/N885)))</f>
        <v>0</v>
      </c>
      <c r="J886" s="18">
        <f>IF($A886&gt;'1-Input'!$B$26,0,(MAX(0,I836-IF($A886&gt;='1-Input'!$C$12,'1-Input'!$B$12,0))-MIN(MAX(M885,0),MAX(0,I836-IF($A886&gt;='1-Input'!$C$12,'1-Input'!$B$12,0))))*(1/(1-'P-Parametri'!$B$6*I886))+MIN(MAX(0,N885-(MAX(0,I836-IF($A886&gt;='1-Input'!$C$12,'1-Input'!$B$12,0))-MIN(MAX(M885,0),MAX(0,I836-IF($A886&gt;='1-Input'!$C$12,'1-Input'!$B$12,0))))*(1/(1-'P-Parametri'!$B$6*I886))),MAX(0,3*I836-(M885-MIN(MAX(M885,0),MAX(0,I836-IF($A886&gt;='1-Input'!$C$12,'1-Input'!$B$12,0)))))*(1/(1-'P-Parametri'!$B$6*I886))))</f>
        <v>0</v>
      </c>
      <c r="K886" s="18">
        <f>IF($A886&gt;'1-Input'!$B$26,M885,(M885-MAX(0,I836-IF($A886&gt;='1-Input'!$C$12,'1-Input'!$B$12,0))+J886*(1-'P-Parametri'!$B$6*I886))*(1+'1-Input'!$B$27))</f>
        <v>0</v>
      </c>
      <c r="L886" s="18">
        <f>IF($A886&gt;'1-Input'!$B$26,N885,(N885-J886)*(1+$D$4))</f>
        <v>-299593.27830715332</v>
      </c>
      <c r="M886" s="18">
        <f>IF($A886&gt;'1-Input'!$B$26,K886,K886-'P-Parametri'!$B$8*(L886+K886)+MIN(MAX(L886,0),'P-Parametri'!$B$8*(L886+K886)))</f>
        <v>0</v>
      </c>
      <c r="N886" s="18">
        <f>IF($A886&gt;'1-Input'!$B$26,L886,L886-MIN(MAX(L886,0),'P-Parametri'!$B$8*(L886+K886)))</f>
        <v>-299593.27830715332</v>
      </c>
      <c r="O886" s="18">
        <f>IF($A886&gt;'1-Input'!$B$26,O885,O885-J886*(1-I886))</f>
        <v>-203291.3215691279</v>
      </c>
      <c r="P886" s="11">
        <f>IF($A886&gt;'1-Input'!$B$26,0,IF(U885&lt;=0,0,MAX(0,(U885-V885)/U885)))</f>
        <v>0</v>
      </c>
      <c r="Q886" s="18">
        <f>IF($A886&gt;'1-Input'!$B$26,0,(MAX(0,P836-IF($A886&gt;='1-Input'!$C$12,'1-Input'!$B$12,0))-MIN(MAX(T885,0),MAX(0,P836-IF($A886&gt;='1-Input'!$C$12,'1-Input'!$B$12,0))))*(1/(1-'P-Parametri'!$B$6*P886))+MIN(MAX(0,U885-(MAX(0,P836-IF($A886&gt;='1-Input'!$C$12,'1-Input'!$B$12,0))-MIN(MAX(T885,0),MAX(0,P836-IF($A886&gt;='1-Input'!$C$12,'1-Input'!$B$12,0))))*(1/(1-'P-Parametri'!$B$6*P886))),MAX(0,3*P836-(T885-MIN(MAX(T885,0),MAX(0,P836-IF($A886&gt;='1-Input'!$C$12,'1-Input'!$B$12,0)))))*(1/(1-'P-Parametri'!$B$6*P886))))</f>
        <v>0</v>
      </c>
      <c r="R886" s="18">
        <f>IF($A886&gt;'1-Input'!$B$26,T885,(T885-MAX(0,P836-IF($A886&gt;='1-Input'!$C$12,'1-Input'!$B$12,0))+Q886*(1-'P-Parametri'!$B$6*P886))*(1+'1-Input'!$B$27))</f>
        <v>0</v>
      </c>
      <c r="S886" s="18">
        <f>IF($A886&gt;'1-Input'!$B$26,U885,(U885-Q886)*(1+$D$4))</f>
        <v>-43564.095652901073</v>
      </c>
      <c r="T886" s="18">
        <f>IF($A886&gt;'1-Input'!$B$26,R886,R886-'P-Parametri'!$B$8*(S886+R886)+MIN(MAX(S886,0),'P-Parametri'!$B$8*(S886+R886)))</f>
        <v>0</v>
      </c>
      <c r="U886" s="18">
        <f>IF($A886&gt;'1-Input'!$B$26,S886,S886-MIN(MAX(S886,0),'P-Parametri'!$B$8*(S886+R886)))</f>
        <v>-43564.095652901073</v>
      </c>
      <c r="V886" s="18">
        <f>IF($A886&gt;'1-Input'!$B$26,V885,V885-Q886*(1-P886))</f>
        <v>-39061.510778443262</v>
      </c>
      <c r="W886" s="11">
        <f>IF($A886&gt;'1-Input'!$B$26,0,IF(AB885&lt;=0,0,MAX(0,(AB885-AC885)/AB885)))</f>
        <v>0</v>
      </c>
      <c r="X886" s="18">
        <f>IF($A886&gt;'1-Input'!$B$26,0,(MAX(0,W836-IF($A886&gt;='1-Input'!$C$12,'1-Input'!$B$12,0))-MIN(MAX(AA885,0),MAX(0,W836-IF($A886&gt;='1-Input'!$C$12,'1-Input'!$B$12,0))))*(1/(1-'P-Parametri'!$B$6*W886))+MIN(MAX(0,AB885-(MAX(0,W836-IF($A886&gt;='1-Input'!$C$12,'1-Input'!$B$12,0))-MIN(MAX(AA885,0),MAX(0,W836-IF($A886&gt;='1-Input'!$C$12,'1-Input'!$B$12,0))))*(1/(1-'P-Parametri'!$B$6*W886))),MAX(0,3*W836-(AA885-MIN(MAX(AA885,0),MAX(0,W836-IF($A886&gt;='1-Input'!$C$12,'1-Input'!$B$12,0)))))*(1/(1-'P-Parametri'!$B$6*W886))))</f>
        <v>0</v>
      </c>
      <c r="Y886" s="18">
        <f>IF($A886&gt;'1-Input'!$B$26,AA885,(AA885-MAX(0,W836-IF($A886&gt;='1-Input'!$C$12,'1-Input'!$B$12,0))+X886*(1-'P-Parametri'!$B$6*W886))*(1+'1-Input'!$B$27))</f>
        <v>0</v>
      </c>
      <c r="Z886" s="18">
        <f>IF($A886&gt;'1-Input'!$B$26,AB885,(AB885-X886)*(1+$D$4))</f>
        <v>-3076.9067749826027</v>
      </c>
      <c r="AA886" s="18">
        <f>IF($A886&gt;'1-Input'!$B$26,Y886,Y886-'P-Parametri'!$B$8*(Z886+Y886)+MIN(MAX(Z886,0),'P-Parametri'!$B$8*(Z886+Y886)))</f>
        <v>0</v>
      </c>
      <c r="AB886" s="18">
        <f>IF($A886&gt;'1-Input'!$B$26,Z886,Z886-MIN(MAX(Z886,0),'P-Parametri'!$B$8*(Z886+Y886)))</f>
        <v>-3076.9067749826027</v>
      </c>
      <c r="AC886" s="18">
        <f>IF($A886&gt;'1-Input'!$B$26,AC885,AC885-X886*(1-W886))</f>
        <v>-2964.4931931002411</v>
      </c>
      <c r="AD886" s="11">
        <f>IF($A886&gt;'1-Input'!$B$26,0,IF(AI885&lt;=0,0,MAX(0,(AI885-AJ885)/AI885)))</f>
        <v>0</v>
      </c>
      <c r="AE886" s="18">
        <f>IF($A886&gt;'1-Input'!$B$26,0,(MAX(0,AD836-IF($A886&gt;='1-Input'!$C$12,'1-Input'!$B$12,0))-MIN(MAX(AH885,0),MAX(0,AD836-IF($A886&gt;='1-Input'!$C$12,'1-Input'!$B$12,0))))*(1/(1-'P-Parametri'!$B$6*AD886))+MIN(MAX(0,AI885-(MAX(0,AD836-IF($A886&gt;='1-Input'!$C$12,'1-Input'!$B$12,0))-MIN(MAX(AH885,0),MAX(0,AD836-IF($A886&gt;='1-Input'!$C$12,'1-Input'!$B$12,0))))*(1/(1-'P-Parametri'!$B$6*AD886))),MAX(0,3*AD836-(AH885-MIN(MAX(AH885,0),MAX(0,AD836-IF($A886&gt;='1-Input'!$C$12,'1-Input'!$B$12,0)))))*(1/(1-'P-Parametri'!$B$6*AD886))))</f>
        <v>0</v>
      </c>
      <c r="AF886" s="18">
        <f>IF($A886&gt;'1-Input'!$B$26,AH885,(AH885-MAX(0,AD836-IF($A886&gt;='1-Input'!$C$12,'1-Input'!$B$12,0))+AE886*(1-'P-Parametri'!$B$6*AD886))*(1+'1-Input'!$B$27))</f>
        <v>0</v>
      </c>
      <c r="AG886" s="18">
        <f>IF($A886&gt;'1-Input'!$B$26,AI885,(AI885-AE886)*(1+$D$4))</f>
        <v>-37.657979126653863</v>
      </c>
      <c r="AH886" s="18">
        <f>IF($A886&gt;'1-Input'!$B$26,AF886,AF886-'P-Parametri'!$B$8*(AG886+AF886)+MIN(MAX(AG886,0),'P-Parametri'!$B$8*(AG886+AF886)))</f>
        <v>0</v>
      </c>
      <c r="AI886" s="18">
        <f>IF($A886&gt;'1-Input'!$B$26,AG886,AG886-MIN(MAX(AG886,0),'P-Parametri'!$B$8*(AG886+AF886)))</f>
        <v>-37.657979126653863</v>
      </c>
      <c r="AJ886" s="18">
        <f>IF($A886&gt;'1-Input'!$B$26,AJ885,AJ885-AE886*(1-AD886))</f>
        <v>-36.282159633357878</v>
      </c>
      <c r="AK886" s="11">
        <f>IF($A886&gt;'1-Input'!$B$26,0,IF(AP885&lt;=0,0,MAX(0,(AP885-AQ885)/AP885)))</f>
        <v>0</v>
      </c>
      <c r="AL886" s="18">
        <f>IF($A886&gt;'1-Input'!$B$26,0,(MAX(0,AK836-IF($A886&gt;='1-Input'!$C$12,'1-Input'!$B$12,0))-MIN(MAX(AO885,0),MAX(0,AK836-IF($A886&gt;='1-Input'!$C$12,'1-Input'!$B$12,0))))*(1/(1-'P-Parametri'!$B$6*AK886))+MIN(MAX(0,AP885-(MAX(0,AK836-IF($A886&gt;='1-Input'!$C$12,'1-Input'!$B$12,0))-MIN(MAX(AO885,0),MAX(0,AK836-IF($A886&gt;='1-Input'!$C$12,'1-Input'!$B$12,0))))*(1/(1-'P-Parametri'!$B$6*AK886))),MAX(0,3*AK836-(AO885-MIN(MAX(AO885,0),MAX(0,AK836-IF($A886&gt;='1-Input'!$C$12,'1-Input'!$B$12,0)))))*(1/(1-'P-Parametri'!$B$6*AK886))))</f>
        <v>0</v>
      </c>
      <c r="AM886" s="18">
        <f>IF($A886&gt;'1-Input'!$B$26,AO885,(AO885-MAX(0,AK836-IF($A886&gt;='1-Input'!$C$12,'1-Input'!$B$12,0))+AL886*(1-'P-Parametri'!$B$6*AK886))*(1+'1-Input'!$B$27))</f>
        <v>4.48559402862352E-4</v>
      </c>
      <c r="AN886" s="18">
        <f>IF($A886&gt;'1-Input'!$B$26,AP885,(AP885-AL886)*(1+$D$4))</f>
        <v>0</v>
      </c>
      <c r="AO886" s="18">
        <f>IF($A886&gt;'1-Input'!$B$26,AM886,AM886-'P-Parametri'!$B$8*(AN886+AM886)+MIN(MAX(AN886,0),'P-Parametri'!$B$8*(AN886+AM886)))</f>
        <v>4.48559402862352E-4</v>
      </c>
      <c r="AP886" s="18">
        <f>IF($A886&gt;'1-Input'!$B$26,AN886,AN886-MIN(MAX(AN886,0),'P-Parametri'!$B$8*(AN886+AM886)))</f>
        <v>0</v>
      </c>
      <c r="AQ886" s="18">
        <f>IF($A886&gt;'1-Input'!$B$26,AQ885,AQ885-AL886*(1-AK886))</f>
        <v>-2.2737367544323206E-13</v>
      </c>
    </row>
    <row r="887" spans="1:43">
      <c r="A887" s="4" t="s">
        <v>365</v>
      </c>
      <c r="B887" s="18">
        <f>F886+G886</f>
        <v>300796.45095903863</v>
      </c>
      <c r="I887" s="18">
        <f>M886+N886</f>
        <v>-299593.27830715332</v>
      </c>
      <c r="P887" s="18">
        <f>T886+U886</f>
        <v>-43564.095652901073</v>
      </c>
      <c r="W887" s="18">
        <f>AA886+AB886</f>
        <v>-3076.9067749826027</v>
      </c>
      <c r="AD887" s="18">
        <f>AH886+AI886</f>
        <v>-37.657979126653863</v>
      </c>
      <c r="AK887" s="18">
        <f>AO886+AP886</f>
        <v>4.48559402862352E-4</v>
      </c>
    </row>
    <row r="888" spans="1:43">
      <c r="A888" s="5" t="s">
        <v>266</v>
      </c>
      <c r="B888" s="18">
        <f>IFERROR(AK836-AK887*(AK836-AD836)/(AK887-AD887),AK836)</f>
        <v>18838.513695116068</v>
      </c>
    </row>
    <row r="890" spans="1:43">
      <c r="A890" s="2" t="s">
        <v>379</v>
      </c>
    </row>
    <row r="891" spans="1:43">
      <c r="A891" s="4" t="s">
        <v>360</v>
      </c>
      <c r="B891" s="9">
        <f>0.038*'2-Caso'!$B$12</f>
        <v>16681.055314625803</v>
      </c>
      <c r="I891" s="9">
        <f>0.05*'2-Caso'!$B$12</f>
        <v>21948.756992928691</v>
      </c>
      <c r="P891" s="18">
        <f>IFERROR(I891-I942*(I891-B891)/(I942-B942),I891)</f>
        <v>18059.632146773922</v>
      </c>
      <c r="W891" s="18">
        <f>IFERROR(P891-P942*(P891-I891)/(P942-I942),P891)</f>
        <v>17913.57976140473</v>
      </c>
      <c r="AD891" s="18">
        <f>IFERROR(W891-W942*(W891-P891)/(W942-P942),W891)</f>
        <v>17882.844670043192</v>
      </c>
      <c r="AK891" s="18">
        <f>IFERROR(AD891-AD942*(AD891-W891)/(AD942-W942),AD891)</f>
        <v>17883.598487339557</v>
      </c>
    </row>
    <row r="892" spans="1:43" ht="45">
      <c r="A892" s="25" t="s">
        <v>262</v>
      </c>
      <c r="B892" s="25" t="s">
        <v>361</v>
      </c>
      <c r="C892" s="25" t="s">
        <v>263</v>
      </c>
      <c r="D892" s="25" t="s">
        <v>362</v>
      </c>
      <c r="E892" s="25" t="s">
        <v>363</v>
      </c>
      <c r="F892" s="25" t="s">
        <v>264</v>
      </c>
      <c r="G892" s="25" t="s">
        <v>265</v>
      </c>
      <c r="H892" s="25" t="s">
        <v>364</v>
      </c>
      <c r="I892" s="25" t="s">
        <v>361</v>
      </c>
      <c r="J892" s="25" t="s">
        <v>263</v>
      </c>
      <c r="K892" s="25" t="s">
        <v>362</v>
      </c>
      <c r="L892" s="25" t="s">
        <v>363</v>
      </c>
      <c r="M892" s="25" t="s">
        <v>264</v>
      </c>
      <c r="N892" s="25" t="s">
        <v>265</v>
      </c>
      <c r="O892" s="25" t="s">
        <v>364</v>
      </c>
      <c r="P892" s="25" t="s">
        <v>361</v>
      </c>
      <c r="Q892" s="25" t="s">
        <v>263</v>
      </c>
      <c r="R892" s="25" t="s">
        <v>362</v>
      </c>
      <c r="S892" s="25" t="s">
        <v>363</v>
      </c>
      <c r="T892" s="25" t="s">
        <v>264</v>
      </c>
      <c r="U892" s="25" t="s">
        <v>265</v>
      </c>
      <c r="V892" s="25" t="s">
        <v>364</v>
      </c>
      <c r="W892" s="25" t="s">
        <v>361</v>
      </c>
      <c r="X892" s="25" t="s">
        <v>263</v>
      </c>
      <c r="Y892" s="25" t="s">
        <v>362</v>
      </c>
      <c r="Z892" s="25" t="s">
        <v>363</v>
      </c>
      <c r="AA892" s="25" t="s">
        <v>264</v>
      </c>
      <c r="AB892" s="25" t="s">
        <v>265</v>
      </c>
      <c r="AC892" s="25" t="s">
        <v>364</v>
      </c>
      <c r="AD892" s="25" t="s">
        <v>361</v>
      </c>
      <c r="AE892" s="25" t="s">
        <v>263</v>
      </c>
      <c r="AF892" s="25" t="s">
        <v>362</v>
      </c>
      <c r="AG892" s="25" t="s">
        <v>363</v>
      </c>
      <c r="AH892" s="25" t="s">
        <v>264</v>
      </c>
      <c r="AI892" s="25" t="s">
        <v>265</v>
      </c>
      <c r="AJ892" s="25" t="s">
        <v>364</v>
      </c>
      <c r="AK892" s="25" t="s">
        <v>361</v>
      </c>
      <c r="AL892" s="25" t="s">
        <v>263</v>
      </c>
      <c r="AM892" s="25" t="s">
        <v>362</v>
      </c>
      <c r="AN892" s="25" t="s">
        <v>363</v>
      </c>
      <c r="AO892" s="25" t="s">
        <v>264</v>
      </c>
      <c r="AP892" s="25" t="s">
        <v>265</v>
      </c>
      <c r="AQ892" s="25" t="s">
        <v>364</v>
      </c>
    </row>
    <row r="893" spans="1:43">
      <c r="A893" s="3">
        <v>0</v>
      </c>
      <c r="F893" s="18">
        <f>MIN(5*B891,'2-Caso'!$B$12)</f>
        <v>83405.276573129013</v>
      </c>
      <c r="G893" s="18">
        <f>'2-Caso'!$B$12-F893</f>
        <v>355569.86328544479</v>
      </c>
      <c r="H893" s="18">
        <f>'2-Caso'!$B$13*G893/'2-Caso'!$B$12</f>
        <v>278640</v>
      </c>
      <c r="M893" s="18">
        <f>MIN(5*I891,'2-Caso'!$B$12)</f>
        <v>109743.78496464345</v>
      </c>
      <c r="N893" s="18">
        <f>'2-Caso'!$B$12-M893</f>
        <v>329231.35489393037</v>
      </c>
      <c r="O893" s="18">
        <f>'2-Caso'!$B$13*N893/'2-Caso'!$B$12</f>
        <v>258000.00000000003</v>
      </c>
      <c r="T893" s="18">
        <f>MIN(5*P891,'2-Caso'!$B$12)</f>
        <v>90298.160733869605</v>
      </c>
      <c r="U893" s="18">
        <f>'2-Caso'!$B$12-T893</f>
        <v>348676.9791247042</v>
      </c>
      <c r="V893" s="18">
        <f>'2-Caso'!$B$13*U893/'2-Caso'!$B$12</f>
        <v>273238.43636690069</v>
      </c>
      <c r="AA893" s="18">
        <f>MIN(5*W891,'2-Caso'!$B$12)</f>
        <v>89567.898807023652</v>
      </c>
      <c r="AB893" s="18">
        <f>'2-Caso'!$B$12-AA893</f>
        <v>349407.24105155014</v>
      </c>
      <c r="AC893" s="18">
        <f>'2-Caso'!$B$13*AB893/'2-Caso'!$B$12</f>
        <v>273810.70135419798</v>
      </c>
      <c r="AH893" s="18">
        <f>MIN(5*AD891,'2-Caso'!$B$12)</f>
        <v>89414.223350215965</v>
      </c>
      <c r="AI893" s="18">
        <f>'2-Caso'!$B$12-AH893</f>
        <v>349560.91650835786</v>
      </c>
      <c r="AJ893" s="18">
        <f>'2-Caso'!$B$13*AI893/'2-Caso'!$B$12</f>
        <v>273931.12812177965</v>
      </c>
      <c r="AO893" s="18">
        <f>MIN(5*AK891,'2-Caso'!$B$12)</f>
        <v>89417.992436697794</v>
      </c>
      <c r="AP893" s="18">
        <f>'2-Caso'!$B$12-AO893</f>
        <v>349557.14742187597</v>
      </c>
      <c r="AQ893" s="18">
        <f>'2-Caso'!$B$13*AP893/'2-Caso'!$B$12</f>
        <v>273928.17450178607</v>
      </c>
    </row>
    <row r="894" spans="1:43">
      <c r="A894" s="10">
        <f>1</f>
        <v>1</v>
      </c>
      <c r="B894" s="11">
        <f>IF($A894&gt;'1-Input'!$B$26,0,IF(G893&lt;=0,0,MAX(0,(G893-H893)/G893)))</f>
        <v>0.21635653419729486</v>
      </c>
      <c r="C894" s="18">
        <f>IF($A894&gt;'1-Input'!$B$26,0,(MAX(0,B891-IF($A894&gt;='1-Input'!$C$12,'1-Input'!$B$12,0))-MIN(MAX(F893,0),MAX(0,B891-IF($A894&gt;='1-Input'!$C$12,'1-Input'!$B$12,0))))*(1/(1-'P-Parametri'!$B$6*B894))+MIN(MAX(0,G893-(MAX(0,B891-IF($A894&gt;='1-Input'!$C$12,'1-Input'!$B$12,0))-MIN(MAX(F893,0),MAX(0,B891-IF($A894&gt;='1-Input'!$C$12,'1-Input'!$B$12,0))))*(1/(1-'P-Parametri'!$B$6*B894))),MAX(0,5*B891-(F893-MIN(MAX(F893,0),MAX(0,B891-IF($A894&gt;='1-Input'!$C$12,'1-Input'!$B$12,0)))))*(1/(1-'P-Parametri'!$B$6*B894))))</f>
        <v>17675.340946701614</v>
      </c>
      <c r="D894" s="18">
        <f>IF($A894&gt;'1-Input'!$B$26,F893,(F893-MAX(0,B891-IF($A894&gt;='1-Input'!$C$12,'1-Input'!$B$12,0))+C894*(1-'P-Parametri'!$B$6*B894))*(1+'1-Input'!$B$27))</f>
        <v>83105.01757746574</v>
      </c>
      <c r="E894" s="18">
        <f>IF($A894&gt;'1-Input'!$B$26,G893,(G893-C894)*(1+$D$4))</f>
        <v>351410.30323229294</v>
      </c>
      <c r="F894" s="18">
        <f>IF($A894&gt;'1-Input'!$B$26,D894,D894-'P-Parametri'!$B$8*(E894+D894)+MIN(MAX(E894,0),'P-Parametri'!$B$8*(E894+D894)))</f>
        <v>83105.01757746574</v>
      </c>
      <c r="G894" s="18">
        <f>IF($A894&gt;'1-Input'!$B$26,E894,E894-MIN(MAX(E894,0),'P-Parametri'!$B$8*(E894+D894)))</f>
        <v>350541.27259067341</v>
      </c>
      <c r="H894" s="18">
        <f>IF($A894&gt;'1-Input'!$B$26,H893,H893-C894*(1-B894))</f>
        <v>264788.8345612823</v>
      </c>
      <c r="I894" s="11">
        <f>IF($A894&gt;'1-Input'!$B$26,0,IF(N893&lt;=0,0,MAX(0,(N893-O893)/N893)))</f>
        <v>0.21635653419729478</v>
      </c>
      <c r="J894" s="18">
        <f>IF($A894&gt;'1-Input'!$B$26,0,(MAX(0,I891-IF($A894&gt;='1-Input'!$C$12,'1-Input'!$B$12,0))-MIN(MAX(M893,0),MAX(0,I891-IF($A894&gt;='1-Input'!$C$12,'1-Input'!$B$12,0))))*(1/(1-'P-Parametri'!$B$6*I894))+MIN(MAX(0,N893-(MAX(0,I891-IF($A894&gt;='1-Input'!$C$12,'1-Input'!$B$12,0))-MIN(MAX(M893,0),MAX(0,I891-IF($A894&gt;='1-Input'!$C$12,'1-Input'!$B$12,0))))*(1/(1-'P-Parametri'!$B$6*I894))),MAX(0,5*I891-(M893-MIN(MAX(M893,0),MAX(0,I891-IF($A894&gt;='1-Input'!$C$12,'1-Input'!$B$12,0)))))*(1/(1-'P-Parametri'!$B$6*I894))))</f>
        <v>23257.027561449489</v>
      </c>
      <c r="K894" s="18">
        <f>IF($A894&gt;'1-Input'!$B$26,M893,(M893-MAX(0,I891-IF($A894&gt;='1-Input'!$C$12,'1-Input'!$B$12,0))+J894*(1-'P-Parametri'!$B$6*I894))*(1+'1-Input'!$B$27))</f>
        <v>109348.70733877072</v>
      </c>
      <c r="L894" s="18">
        <f>IF($A894&gt;'1-Input'!$B$26,N893,(N893-J894)*(1+$D$4))</f>
        <v>318213.30042578012</v>
      </c>
      <c r="M894" s="18">
        <f>IF($A894&gt;'1-Input'!$B$26,K894,K894-'P-Parametri'!$B$8*(L894+K894)+MIN(MAX(L894,0),'P-Parametri'!$B$8*(L894+K894)))</f>
        <v>109348.70733877072</v>
      </c>
      <c r="N894" s="18">
        <f>IF($A894&gt;'1-Input'!$B$26,L894,L894-MIN(MAX(L894,0),'P-Parametri'!$B$8*(L894+K894)))</f>
        <v>317358.17641025101</v>
      </c>
      <c r="O894" s="18">
        <f>IF($A894&gt;'1-Input'!$B$26,O893,O893-J894*(1-I894))</f>
        <v>239774.78231747673</v>
      </c>
      <c r="P894" s="11">
        <f>IF($A894&gt;'1-Input'!$B$26,0,IF(U893&lt;=0,0,MAX(0,(U893-V893)/U893)))</f>
        <v>0.21635653419729481</v>
      </c>
      <c r="Q894" s="18">
        <f>IF($A894&gt;'1-Input'!$B$26,0,(MAX(0,P891-IF($A894&gt;='1-Input'!$C$12,'1-Input'!$B$12,0))-MIN(MAX(T893,0),MAX(0,P891-IF($A894&gt;='1-Input'!$C$12,'1-Input'!$B$12,0))))*(1/(1-'P-Parametri'!$B$6*P894))+MIN(MAX(0,U893-(MAX(0,P891-IF($A894&gt;='1-Input'!$C$12,'1-Input'!$B$12,0))-MIN(MAX(T893,0),MAX(0,P891-IF($A894&gt;='1-Input'!$C$12,'1-Input'!$B$12,0))))*(1/(1-'P-Parametri'!$B$6*P894))),MAX(0,5*P891-(T893-MIN(MAX(T893,0),MAX(0,P891-IF($A894&gt;='1-Input'!$C$12,'1-Input'!$B$12,0)))))*(1/(1-'P-Parametri'!$B$6*P894))))</f>
        <v>19136.088787282013</v>
      </c>
      <c r="R894" s="18">
        <f>IF($A894&gt;'1-Input'!$B$26,T893,(T893-MAX(0,P891-IF($A894&gt;='1-Input'!$C$12,'1-Input'!$B$12,0))+Q894*(1-'P-Parametri'!$B$6*P894))*(1+'1-Input'!$B$27))</f>
        <v>89973.087355227675</v>
      </c>
      <c r="S894" s="18">
        <f>IF($A894&gt;'1-Input'!$B$26,U893,(U893-Q894)*(1+$D$4))</f>
        <v>342722.52595091908</v>
      </c>
      <c r="T894" s="18">
        <f>IF($A894&gt;'1-Input'!$B$26,R894,R894-'P-Parametri'!$B$8*(S894+R894)+MIN(MAX(S894,0),'P-Parametri'!$B$8*(S894+R894)))</f>
        <v>89973.087355227675</v>
      </c>
      <c r="U894" s="18">
        <f>IF($A894&gt;'1-Input'!$B$26,S894,S894-MIN(MAX(S894,0),'P-Parametri'!$B$8*(S894+R894)))</f>
        <v>341857.13472430676</v>
      </c>
      <c r="V894" s="18">
        <f>IF($A894&gt;'1-Input'!$B$26,V893,V893-Q894*(1-P894))</f>
        <v>258242.56542772672</v>
      </c>
      <c r="W894" s="11">
        <f>IF($A894&gt;'1-Input'!$B$26,0,IF(AB893&lt;=0,0,MAX(0,(AB893-AC893)/AB893)))</f>
        <v>0.21635653419729486</v>
      </c>
      <c r="X894" s="18">
        <f>IF($A894&gt;'1-Input'!$B$26,0,(MAX(0,W891-IF($A894&gt;='1-Input'!$C$12,'1-Input'!$B$12,0))-MIN(MAX(AA893,0),MAX(0,W891-IF($A894&gt;='1-Input'!$C$12,'1-Input'!$B$12,0))))*(1/(1-'P-Parametri'!$B$6*W894))+MIN(MAX(0,AB893-(MAX(0,W891-IF($A894&gt;='1-Input'!$C$12,'1-Input'!$B$12,0))-MIN(MAX(AA893,0),MAX(0,W891-IF($A894&gt;='1-Input'!$C$12,'1-Input'!$B$12,0))))*(1/(1-'P-Parametri'!$B$6*W894))),MAX(0,5*W891-(AA893-MIN(MAX(AA893,0),MAX(0,W891-IF($A894&gt;='1-Input'!$C$12,'1-Input'!$B$12,0)))))*(1/(1-'P-Parametri'!$B$6*W894))))</f>
        <v>18981.330850281709</v>
      </c>
      <c r="Y894" s="18">
        <f>IF($A894&gt;'1-Input'!$B$26,AA893,(AA893-MAX(0,W891-IF($A894&gt;='1-Input'!$C$12,'1-Input'!$B$12,0))+X894*(1-'P-Parametri'!$B$6*W894))*(1+'1-Input'!$B$27))</f>
        <v>89245.454371318367</v>
      </c>
      <c r="Z894" s="18">
        <f>IF($A894&gt;'1-Input'!$B$26,AB893,(AB893-X894)*(1+$D$4))</f>
        <v>343642.94660931919</v>
      </c>
      <c r="AA894" s="18">
        <f>IF($A894&gt;'1-Input'!$B$26,Y894,Y894-'P-Parametri'!$B$8*(Z894+Y894)+MIN(MAX(Z894,0),'P-Parametri'!$B$8*(Z894+Y894)))</f>
        <v>89245.454371318367</v>
      </c>
      <c r="AB894" s="18">
        <f>IF($A894&gt;'1-Input'!$B$26,Z894,Z894-MIN(MAX(Z894,0),'P-Parametri'!$B$8*(Z894+Y894)))</f>
        <v>342777.16980735789</v>
      </c>
      <c r="AC894" s="18">
        <f>IF($A894&gt;'1-Input'!$B$26,AC893,AC893-X894*(1-W894))</f>
        <v>258936.10546113542</v>
      </c>
      <c r="AD894" s="11">
        <f>IF($A894&gt;'1-Input'!$B$26,0,IF(AI893&lt;=0,0,MAX(0,(AI893-AJ893)/AI893)))</f>
        <v>0.2163565341972947</v>
      </c>
      <c r="AE894" s="18">
        <f>IF($A894&gt;'1-Input'!$B$26,0,(MAX(0,AD891-IF($A894&gt;='1-Input'!$C$12,'1-Input'!$B$12,0))-MIN(MAX(AH893,0),MAX(0,AD891-IF($A894&gt;='1-Input'!$C$12,'1-Input'!$B$12,0))))*(1/(1-'P-Parametri'!$B$6*AD894))+MIN(MAX(0,AI893-(MAX(0,AD891-IF($A894&gt;='1-Input'!$C$12,'1-Input'!$B$12,0))-MIN(MAX(AH893,0),MAX(0,AD891-IF($A894&gt;='1-Input'!$C$12,'1-Input'!$B$12,0))))*(1/(1-'P-Parametri'!$B$6*AD894))),MAX(0,5*AD891-(AH893-MIN(MAX(AH893,0),MAX(0,AD891-IF($A894&gt;='1-Input'!$C$12,'1-Input'!$B$12,0)))))*(1/(1-'P-Parametri'!$B$6*AD894))))</f>
        <v>18948.763772923787</v>
      </c>
      <c r="AF894" s="18">
        <f>IF($A894&gt;'1-Input'!$B$26,AH893,(AH893-MAX(0,AD891-IF($A894&gt;='1-Input'!$C$12,'1-Input'!$B$12,0))+AE894*(1-'P-Parametri'!$B$6*AD894))*(1+'1-Input'!$B$27))</f>
        <v>89092.332146155182</v>
      </c>
      <c r="AG894" s="18">
        <f>IF($A894&gt;'1-Input'!$B$26,AI893,(AI893-AE894)*(1+$D$4))</f>
        <v>343836.63884485146</v>
      </c>
      <c r="AH894" s="18">
        <f>IF($A894&gt;'1-Input'!$B$26,AF894,AF894-'P-Parametri'!$B$8*(AG894+AF894)+MIN(MAX(AG894,0),'P-Parametri'!$B$8*(AG894+AF894)))</f>
        <v>89092.332146155182</v>
      </c>
      <c r="AI894" s="18">
        <f>IF($A894&gt;'1-Input'!$B$26,AG894,AG894-MIN(MAX(AG894,0),'P-Parametri'!$B$8*(AG894+AF894)))</f>
        <v>342970.78090286948</v>
      </c>
      <c r="AJ894" s="18">
        <f>IF($A894&gt;'1-Input'!$B$26,AJ893,AJ893-AE894*(1-AD894))</f>
        <v>259082.05320608889</v>
      </c>
      <c r="AK894" s="11">
        <f>IF($A894&gt;'1-Input'!$B$26,0,IF(AP893&lt;=0,0,MAX(0,(AP893-AQ893)/AP893)))</f>
        <v>0.21635653419729473</v>
      </c>
      <c r="AL894" s="18">
        <f>IF($A894&gt;'1-Input'!$B$26,0,(MAX(0,AK891-IF($A894&gt;='1-Input'!$C$12,'1-Input'!$B$12,0))-MIN(MAX(AO893,0),MAX(0,AK891-IF($A894&gt;='1-Input'!$C$12,'1-Input'!$B$12,0))))*(1/(1-'P-Parametri'!$B$6*AK894))+MIN(MAX(0,AP893-(MAX(0,AK891-IF($A894&gt;='1-Input'!$C$12,'1-Input'!$B$12,0))-MIN(MAX(AO893,0),MAX(0,AK891-IF($A894&gt;='1-Input'!$C$12,'1-Input'!$B$12,0))))*(1/(1-'P-Parametri'!$B$6*AK894))),MAX(0,5*AK891-(AO893-MIN(MAX(AO893,0),MAX(0,AK891-IF($A894&gt;='1-Input'!$C$12,'1-Input'!$B$12,0)))))*(1/(1-'P-Parametri'!$B$6*AK894))))</f>
        <v>18949.562522012111</v>
      </c>
      <c r="AM894" s="18">
        <f>IF($A894&gt;'1-Input'!$B$26,AO893,(AO893-MAX(0,AK891-IF($A894&gt;='1-Input'!$C$12,'1-Input'!$B$12,0))+AL894*(1-'P-Parametri'!$B$6*AK894))*(1+'1-Input'!$B$27))</f>
        <v>89096.087663925675</v>
      </c>
      <c r="AN894" s="18">
        <f>IF($A894&gt;'1-Input'!$B$26,AP893,(AP893-AL894)*(1+$D$4))</f>
        <v>343831.88829585846</v>
      </c>
      <c r="AO894" s="18">
        <f>IF($A894&gt;'1-Input'!$B$26,AM894,AM894-'P-Parametri'!$B$8*(AN894+AM894)+MIN(MAX(AN894,0),'P-Parametri'!$B$8*(AN894+AM894)))</f>
        <v>89096.087663925675</v>
      </c>
      <c r="AP894" s="18">
        <f>IF($A894&gt;'1-Input'!$B$26,AN894,AN894-MIN(MAX(AN894,0),'P-Parametri'!$B$8*(AN894+AM894)))</f>
        <v>342966.03234393889</v>
      </c>
      <c r="AQ894" s="18">
        <f>IF($A894&gt;'1-Input'!$B$26,AQ893,AQ893-AL894*(1-AK894))</f>
        <v>259078.47365159146</v>
      </c>
    </row>
    <row r="895" spans="1:43">
      <c r="A895" s="10">
        <f>2</f>
        <v>2</v>
      </c>
      <c r="B895" s="11">
        <f>IF($A895&gt;'1-Input'!$B$26,0,IF(G894&lt;=0,0,MAX(0,(G894-H894)/G894)))</f>
        <v>0.2446286492761271</v>
      </c>
      <c r="C895" s="18">
        <f>IF($A895&gt;'1-Input'!$B$26,0,(MAX(0,B891-IF($A895&gt;='1-Input'!$C$12,'1-Input'!$B$12,0))-MIN(MAX(F894,0),MAX(0,B891-IF($A895&gt;='1-Input'!$C$12,'1-Input'!$B$12,0))))*(1/(1-'P-Parametri'!$B$6*B895))+MIN(MAX(0,G894-(MAX(0,B891-IF($A895&gt;='1-Input'!$C$12,'1-Input'!$B$12,0))-MIN(MAX(F894,0),MAX(0,B891-IF($A895&gt;='1-Input'!$C$12,'1-Input'!$B$12,0))))*(1/(1-'P-Parametri'!$B$6*B895))),MAX(0,5*B891-(F894-MIN(MAX(F894,0),MAX(0,B891-IF($A895&gt;='1-Input'!$C$12,'1-Input'!$B$12,0)))))*(1/(1-'P-Parametri'!$B$6*B895))))</f>
        <v>18134.746746708159</v>
      </c>
      <c r="D895" s="18">
        <f>IF($A895&gt;'1-Input'!$B$26,F894,(F894-MAX(0,B891-IF($A895&gt;='1-Input'!$C$12,'1-Input'!$B$12,0))+C895*(1-'P-Parametri'!$B$6*B895))*(1+'1-Input'!$B$27))</f>
        <v>83105.01757746574</v>
      </c>
      <c r="E895" s="18">
        <f>IF($A895&gt;'1-Input'!$B$26,G894,(G894-C895)*(1+$D$4))</f>
        <v>345702.78687772388</v>
      </c>
      <c r="F895" s="18">
        <f>IF($A895&gt;'1-Input'!$B$26,D895,D895-'P-Parametri'!$B$8*(E895+D895)+MIN(MAX(E895,0),'P-Parametri'!$B$8*(E895+D895)))</f>
        <v>83105.01757746574</v>
      </c>
      <c r="G895" s="18">
        <f>IF($A895&gt;'1-Input'!$B$26,E895,E895-MIN(MAX(E895,0),'P-Parametri'!$B$8*(E895+D895)))</f>
        <v>344845.17126881349</v>
      </c>
      <c r="H895" s="18">
        <f>IF($A895&gt;'1-Input'!$B$26,H894,H894-C895*(1-B895))</f>
        <v>251090.36641618601</v>
      </c>
      <c r="I895" s="11">
        <f>IF($A895&gt;'1-Input'!$B$26,0,IF(N894&lt;=0,0,MAX(0,(N894-O894)/N894)))</f>
        <v>0.2444663470478281</v>
      </c>
      <c r="J895" s="18">
        <f>IF($A895&gt;'1-Input'!$B$26,0,(MAX(0,I891-IF($A895&gt;='1-Input'!$C$12,'1-Input'!$B$12,0))-MIN(MAX(M894,0),MAX(0,I891-IF($A895&gt;='1-Input'!$C$12,'1-Input'!$B$12,0))))*(1/(1-'P-Parametri'!$B$6*I895))+MIN(MAX(0,N894-(MAX(0,I891-IF($A895&gt;='1-Input'!$C$12,'1-Input'!$B$12,0))-MIN(MAX(M894,0),MAX(0,I891-IF($A895&gt;='1-Input'!$C$12,'1-Input'!$B$12,0))))*(1/(1-'P-Parametri'!$B$6*I895))),MAX(0,5*I891-(M894-MIN(MAX(M894,0),MAX(0,I891-IF($A895&gt;='1-Input'!$C$12,'1-Input'!$B$12,0)))))*(1/(1-'P-Parametri'!$B$6*I895))))</f>
        <v>23860.43361015062</v>
      </c>
      <c r="K895" s="18">
        <f>IF($A895&gt;'1-Input'!$B$26,M894,(M894-MAX(0,I891-IF($A895&gt;='1-Input'!$C$12,'1-Input'!$B$12,0))+J895*(1-'P-Parametri'!$B$6*I895))*(1+'1-Input'!$B$27))</f>
        <v>109348.70733877072</v>
      </c>
      <c r="L895" s="18">
        <f>IF($A895&gt;'1-Input'!$B$26,N894,(N894-J895)*(1+$D$4))</f>
        <v>305237.65251210437</v>
      </c>
      <c r="M895" s="18">
        <f>IF($A895&gt;'1-Input'!$B$26,K895,K895-'P-Parametri'!$B$8*(L895+K895)+MIN(MAX(L895,0),'P-Parametri'!$B$8*(L895+K895)))</f>
        <v>109348.70733877072</v>
      </c>
      <c r="N895" s="18">
        <f>IF($A895&gt;'1-Input'!$B$26,L895,L895-MIN(MAX(L895,0),'P-Parametri'!$B$8*(L895+K895)))</f>
        <v>304408.47979240259</v>
      </c>
      <c r="O895" s="18">
        <f>IF($A895&gt;'1-Input'!$B$26,O894,O894-J895*(1-I895))</f>
        <v>221747.42175097685</v>
      </c>
      <c r="P895" s="11">
        <f>IF($A895&gt;'1-Input'!$B$26,0,IF(U894&lt;=0,0,MAX(0,(U894-V894)/U894)))</f>
        <v>0.24458921813643478</v>
      </c>
      <c r="Q895" s="18">
        <f>IF($A895&gt;'1-Input'!$B$26,0,(MAX(0,P891-IF($A895&gt;='1-Input'!$C$12,'1-Input'!$B$12,0))-MIN(MAX(T894,0),MAX(0,P891-IF($A895&gt;='1-Input'!$C$12,'1-Input'!$B$12,0))))*(1/(1-'P-Parametri'!$B$6*P895))+MIN(MAX(0,U894-(MAX(0,P891-IF($A895&gt;='1-Input'!$C$12,'1-Input'!$B$12,0))-MIN(MAX(T894,0),MAX(0,P891-IF($A895&gt;='1-Input'!$C$12,'1-Input'!$B$12,0))))*(1/(1-'P-Parametri'!$B$6*P895))),MAX(0,5*P891-(T894-MIN(MAX(T894,0),MAX(0,P891-IF($A895&gt;='1-Input'!$C$12,'1-Input'!$B$12,0)))))*(1/(1-'P-Parametri'!$B$6*P895))))</f>
        <v>19633.246427652939</v>
      </c>
      <c r="R895" s="18">
        <f>IF($A895&gt;'1-Input'!$B$26,T894,(T894-MAX(0,P891-IF($A895&gt;='1-Input'!$C$12,'1-Input'!$B$12,0))+Q895*(1-'P-Parametri'!$B$6*P895))*(1+'1-Input'!$B$27))</f>
        <v>89973.087355227675</v>
      </c>
      <c r="S895" s="18">
        <f>IF($A895&gt;'1-Input'!$B$26,U894,(U894-Q895)*(1+$D$4))</f>
        <v>335112.84382851998</v>
      </c>
      <c r="T895" s="18">
        <f>IF($A895&gt;'1-Input'!$B$26,R895,R895-'P-Parametri'!$B$8*(S895+R895)+MIN(MAX(S895,0),'P-Parametri'!$B$8*(S895+R895)))</f>
        <v>89973.087355227675</v>
      </c>
      <c r="U895" s="18">
        <f>IF($A895&gt;'1-Input'!$B$26,S895,S895-MIN(MAX(S895,0),'P-Parametri'!$B$8*(S895+R895)))</f>
        <v>334262.6719661525</v>
      </c>
      <c r="V895" s="18">
        <f>IF($A895&gt;'1-Input'!$B$26,V894,V894-Q895*(1-P895))</f>
        <v>243411.39939329337</v>
      </c>
      <c r="W895" s="11">
        <f>IF($A895&gt;'1-Input'!$B$26,0,IF(AB894&lt;=0,0,MAX(0,(AB894-AC894)/AB894)))</f>
        <v>0.2445934902646564</v>
      </c>
      <c r="X895" s="18">
        <f>IF($A895&gt;'1-Input'!$B$26,0,(MAX(0,W891-IF($A895&gt;='1-Input'!$C$12,'1-Input'!$B$12,0))-MIN(MAX(AA894,0),MAX(0,W891-IF($A895&gt;='1-Input'!$C$12,'1-Input'!$B$12,0))))*(1/(1-'P-Parametri'!$B$6*W895))+MIN(MAX(0,AB894-(MAX(0,W891-IF($A895&gt;='1-Input'!$C$12,'1-Input'!$B$12,0))-MIN(MAX(AA894,0),MAX(0,W891-IF($A895&gt;='1-Input'!$C$12,'1-Input'!$B$12,0))))*(1/(1-'P-Parametri'!$B$6*W895))),MAX(0,5*W891-(AA894-MIN(MAX(AA894,0),MAX(0,W891-IF($A895&gt;='1-Input'!$C$12,'1-Input'!$B$12,0)))))*(1/(1-'P-Parametri'!$B$6*W895))))</f>
        <v>19474.490963223852</v>
      </c>
      <c r="Y895" s="18">
        <f>IF($A895&gt;'1-Input'!$B$26,AA894,(AA894-MAX(0,W891-IF($A895&gt;='1-Input'!$C$12,'1-Input'!$B$12,0))+X895*(1-'P-Parametri'!$B$6*W895))*(1+'1-Input'!$B$27))</f>
        <v>89245.454371318367</v>
      </c>
      <c r="Z895" s="18">
        <f>IF($A895&gt;'1-Input'!$B$26,AB894,(AB894-X895)*(1+$D$4))</f>
        <v>336234.78599789942</v>
      </c>
      <c r="AA895" s="18">
        <f>IF($A895&gt;'1-Input'!$B$26,Y895,Y895-'P-Parametri'!$B$8*(Z895+Y895)+MIN(MAX(Z895,0),'P-Parametri'!$B$8*(Z895+Y895)))</f>
        <v>89245.454371318367</v>
      </c>
      <c r="AB895" s="18">
        <f>IF($A895&gt;'1-Input'!$B$26,Z895,Z895-MIN(MAX(Z895,0),'P-Parametri'!$B$8*(Z895+Y895)))</f>
        <v>335383.82551716099</v>
      </c>
      <c r="AC895" s="18">
        <f>IF($A895&gt;'1-Input'!$B$26,AC894,AC894-X895*(1-W895))</f>
        <v>244224.94821373399</v>
      </c>
      <c r="AD895" s="11">
        <f>IF($A895&gt;'1-Input'!$B$26,0,IF(AI894&lt;=0,0,MAX(0,(AI894-AJ894)/AI894)))</f>
        <v>0.24459438636709452</v>
      </c>
      <c r="AE895" s="18">
        <f>IF($A895&gt;'1-Input'!$B$26,0,(MAX(0,AD891-IF($A895&gt;='1-Input'!$C$12,'1-Input'!$B$12,0))-MIN(MAX(AH894,0),MAX(0,AD891-IF($A895&gt;='1-Input'!$C$12,'1-Input'!$B$12,0))))*(1/(1-'P-Parametri'!$B$6*AD895))+MIN(MAX(0,AI894-(MAX(0,AD891-IF($A895&gt;='1-Input'!$C$12,'1-Input'!$B$12,0))-MIN(MAX(AH894,0),MAX(0,AD891-IF($A895&gt;='1-Input'!$C$12,'1-Input'!$B$12,0))))*(1/(1-'P-Parametri'!$B$6*AD895))),MAX(0,5*AD891-(AH894-MIN(MAX(AH894,0),MAX(0,AD891-IF($A895&gt;='1-Input'!$C$12,'1-Input'!$B$12,0)))))*(1/(1-'P-Parametri'!$B$6*AD895))))</f>
        <v>19441.082587192854</v>
      </c>
      <c r="AF895" s="18">
        <f>IF($A895&gt;'1-Input'!$B$26,AH894,(AH894-MAX(0,AD891-IF($A895&gt;='1-Input'!$C$12,'1-Input'!$B$12,0))+AE895*(1-'P-Parametri'!$B$6*AD895))*(1+'1-Input'!$B$27))</f>
        <v>89092.332146155182</v>
      </c>
      <c r="AG895" s="18">
        <f>IF($A895&gt;'1-Input'!$B$26,AI894,(AI894-AE895)*(1+$D$4))</f>
        <v>336470.88624830375</v>
      </c>
      <c r="AH895" s="18">
        <f>IF($A895&gt;'1-Input'!$B$26,AF895,AF895-'P-Parametri'!$B$8*(AG895+AF895)+MIN(MAX(AG895,0),'P-Parametri'!$B$8*(AG895+AF895)))</f>
        <v>89092.332146155182</v>
      </c>
      <c r="AI895" s="18">
        <f>IF($A895&gt;'1-Input'!$B$26,AG895,AG895-MIN(MAX(AG895,0),'P-Parametri'!$B$8*(AG895+AF895)))</f>
        <v>335619.75981151481</v>
      </c>
      <c r="AJ895" s="18">
        <f>IF($A895&gt;'1-Input'!$B$26,AJ894,AJ894-AE895*(1-AD895))</f>
        <v>244396.15028462248</v>
      </c>
      <c r="AK895" s="11">
        <f>IF($A895&gt;'1-Input'!$B$26,0,IF(AP894&lt;=0,0,MAX(0,(AP894-AQ894)/AP894)))</f>
        <v>0.24459436440114254</v>
      </c>
      <c r="AL895" s="18">
        <f>IF($A895&gt;'1-Input'!$B$26,0,(MAX(0,AK891-IF($A895&gt;='1-Input'!$C$12,'1-Input'!$B$12,0))-MIN(MAX(AO894,0),MAX(0,AK891-IF($A895&gt;='1-Input'!$C$12,'1-Input'!$B$12,0))))*(1/(1-'P-Parametri'!$B$6*AK895))+MIN(MAX(0,AP894-(MAX(0,AK891-IF($A895&gt;='1-Input'!$C$12,'1-Input'!$B$12,0))-MIN(MAX(AO894,0),MAX(0,AK891-IF($A895&gt;='1-Input'!$C$12,'1-Input'!$B$12,0))))*(1/(1-'P-Parametri'!$B$6*AK895))),MAX(0,5*AK891-(AO894-MIN(MAX(AO894,0),MAX(0,AK891-IF($A895&gt;='1-Input'!$C$12,'1-Input'!$B$12,0)))))*(1/(1-'P-Parametri'!$B$6*AK895))))</f>
        <v>19441.901970467803</v>
      </c>
      <c r="AM895" s="18">
        <f>IF($A895&gt;'1-Input'!$B$26,AO894,(AO894-MAX(0,AK891-IF($A895&gt;='1-Input'!$C$12,'1-Input'!$B$12,0))+AL895*(1-'P-Parametri'!$B$6*AK895))*(1+'1-Input'!$B$27))</f>
        <v>89096.087663925675</v>
      </c>
      <c r="AN895" s="18">
        <f>IF($A895&gt;'1-Input'!$B$26,AP894,(AP894-AL895)*(1+$D$4))</f>
        <v>336465.09558840992</v>
      </c>
      <c r="AO895" s="18">
        <f>IF($A895&gt;'1-Input'!$B$26,AM895,AM895-'P-Parametri'!$B$8*(AN895+AM895)+MIN(MAX(AN895,0),'P-Parametri'!$B$8*(AN895+AM895)))</f>
        <v>89096.087663925675</v>
      </c>
      <c r="AP895" s="18">
        <f>IF($A895&gt;'1-Input'!$B$26,AN895,AN895-MIN(MAX(AN895,0),'P-Parametri'!$B$8*(AN895+AM895)))</f>
        <v>335613.97322190524</v>
      </c>
      <c r="AQ895" s="18">
        <f>IF($A895&gt;'1-Input'!$B$26,AQ894,AQ894-AL895*(1-AK895))</f>
        <v>244391.95133633955</v>
      </c>
    </row>
    <row r="896" spans="1:43">
      <c r="A896" s="10">
        <f>3</f>
        <v>3</v>
      </c>
      <c r="B896" s="11">
        <f>IF($A896&gt;'1-Input'!$B$26,0,IF(G895&lt;=0,0,MAX(0,(G895-H895)/G895)))</f>
        <v>0.27187506934682809</v>
      </c>
      <c r="C896" s="18">
        <f>IF($A896&gt;'1-Input'!$B$26,0,(MAX(0,B891-IF($A896&gt;='1-Input'!$C$12,'1-Input'!$B$12,0))-MIN(MAX(F895,0),MAX(0,B891-IF($A896&gt;='1-Input'!$C$12,'1-Input'!$B$12,0))))*(1/(1-'P-Parametri'!$B$6*B896))+MIN(MAX(0,G895-(MAX(0,B891-IF($A896&gt;='1-Input'!$C$12,'1-Input'!$B$12,0))-MIN(MAX(F895,0),MAX(0,B891-IF($A896&gt;='1-Input'!$C$12,'1-Input'!$B$12,0))))*(1/(1-'P-Parametri'!$B$6*B896))),MAX(0,5*B891-(F895-MIN(MAX(F895,0),MAX(0,B891-IF($A896&gt;='1-Input'!$C$12,'1-Input'!$B$12,0)))))*(1/(1-'P-Parametri'!$B$6*B896))))</f>
        <v>18272.986363310752</v>
      </c>
      <c r="D896" s="18">
        <f>IF($A896&gt;'1-Input'!$B$26,F895,(F895-MAX(0,B891-IF($A896&gt;='1-Input'!$C$12,'1-Input'!$B$12,0))+C896*(1-'P-Parametri'!$B$6*B896))*(1+'1-Input'!$B$27))</f>
        <v>83105.01757746574</v>
      </c>
      <c r="E896" s="18">
        <f>IF($A896&gt;'1-Input'!$B$26,G895,(G895-C896)*(1+$D$4))</f>
        <v>339635.07230172283</v>
      </c>
      <c r="F896" s="18">
        <f>IF($A896&gt;'1-Input'!$B$26,D896,D896-'P-Parametri'!$B$8*(E896+D896)+MIN(MAX(E896,0),'P-Parametri'!$B$8*(E896+D896)))</f>
        <v>83105.01757746574</v>
      </c>
      <c r="G896" s="18">
        <f>IF($A896&gt;'1-Input'!$B$26,E896,E896-MIN(MAX(E896,0),'P-Parametri'!$B$8*(E896+D896)))</f>
        <v>338789.59212196444</v>
      </c>
      <c r="H896" s="18">
        <f>IF($A896&gt;'1-Input'!$B$26,H895,H895-C896*(1-B896))</f>
        <v>237785.34948757401</v>
      </c>
      <c r="I896" s="11">
        <f>IF($A896&gt;'1-Input'!$B$26,0,IF(N895&lt;=0,0,MAX(0,(N895-O895)/N895)))</f>
        <v>0.27154650257377222</v>
      </c>
      <c r="J896" s="18">
        <f>IF($A896&gt;'1-Input'!$B$26,0,(MAX(0,I891-IF($A896&gt;='1-Input'!$C$12,'1-Input'!$B$12,0))-MIN(MAX(M895,0),MAX(0,I891-IF($A896&gt;='1-Input'!$C$12,'1-Input'!$B$12,0))))*(1/(1-'P-Parametri'!$B$6*I896))+MIN(MAX(0,N895-(MAX(0,I891-IF($A896&gt;='1-Input'!$C$12,'1-Input'!$B$12,0))-MIN(MAX(M895,0),MAX(0,I891-IF($A896&gt;='1-Input'!$C$12,'1-Input'!$B$12,0))))*(1/(1-'P-Parametri'!$B$6*I896))),MAX(0,5*I891-(M895-MIN(MAX(M895,0),MAX(0,I891-IF($A896&gt;='1-Input'!$C$12,'1-Input'!$B$12,0)))))*(1/(1-'P-Parametri'!$B$6*I896))))</f>
        <v>24041.19311489449</v>
      </c>
      <c r="K896" s="18">
        <f>IF($A896&gt;'1-Input'!$B$26,M895,(M895-MAX(0,I891-IF($A896&gt;='1-Input'!$C$12,'1-Input'!$B$12,0))+J896*(1-'P-Parametri'!$B$6*I896))*(1+'1-Input'!$B$27))</f>
        <v>109348.70733877072</v>
      </c>
      <c r="L896" s="18">
        <f>IF($A896&gt;'1-Input'!$B$26,N895,(N895-J896)*(1+$D$4))</f>
        <v>291581.97814460844</v>
      </c>
      <c r="M896" s="18">
        <f>IF($A896&gt;'1-Input'!$B$26,K896,K896-'P-Parametri'!$B$8*(L896+K896)+MIN(MAX(L896,0),'P-Parametri'!$B$8*(L896+K896)))</f>
        <v>109348.70733877072</v>
      </c>
      <c r="N896" s="18">
        <f>IF($A896&gt;'1-Input'!$B$26,L896,L896-MIN(MAX(L896,0),'P-Parametri'!$B$8*(L896+K896)))</f>
        <v>290780.11677364167</v>
      </c>
      <c r="O896" s="18">
        <f>IF($A896&gt;'1-Input'!$B$26,O895,O895-J896*(1-I896))</f>
        <v>204234.53054413261</v>
      </c>
      <c r="P896" s="11">
        <f>IF($A896&gt;'1-Input'!$B$26,0,IF(U895&lt;=0,0,MAX(0,(U895-V895)/U895)))</f>
        <v>0.27179604602113261</v>
      </c>
      <c r="Q896" s="18">
        <f>IF($A896&gt;'1-Input'!$B$26,0,(MAX(0,P891-IF($A896&gt;='1-Input'!$C$12,'1-Input'!$B$12,0))-MIN(MAX(T895,0),MAX(0,P891-IF($A896&gt;='1-Input'!$C$12,'1-Input'!$B$12,0))))*(1/(1-'P-Parametri'!$B$6*P896))+MIN(MAX(0,U895-(MAX(0,P891-IF($A896&gt;='1-Input'!$C$12,'1-Input'!$B$12,0))-MIN(MAX(T895,0),MAX(0,P891-IF($A896&gt;='1-Input'!$C$12,'1-Input'!$B$12,0))))*(1/(1-'P-Parametri'!$B$6*P896))),MAX(0,5*P891-(T895-MIN(MAX(T895,0),MAX(0,P891-IF($A896&gt;='1-Input'!$C$12,'1-Input'!$B$12,0)))))*(1/(1-'P-Parametri'!$B$6*P896))))</f>
        <v>19782.688197683678</v>
      </c>
      <c r="R896" s="18">
        <f>IF($A896&gt;'1-Input'!$B$26,T895,(T895-MAX(0,P891-IF($A896&gt;='1-Input'!$C$12,'1-Input'!$B$12,0))+Q896*(1-'P-Parametri'!$B$6*P896))*(1+'1-Input'!$B$27))</f>
        <v>89973.087355227675</v>
      </c>
      <c r="S896" s="18">
        <f>IF($A896&gt;'1-Input'!$B$26,U895,(U895-Q896)*(1+$D$4))</f>
        <v>327059.18311920762</v>
      </c>
      <c r="T896" s="18">
        <f>IF($A896&gt;'1-Input'!$B$26,R896,R896-'P-Parametri'!$B$8*(S896+R896)+MIN(MAX(S896,0),'P-Parametri'!$B$8*(S896+R896)))</f>
        <v>89973.087355227675</v>
      </c>
      <c r="U896" s="18">
        <f>IF($A896&gt;'1-Input'!$B$26,S896,S896-MIN(MAX(S896,0),'P-Parametri'!$B$8*(S896+R896)))</f>
        <v>326225.11857825873</v>
      </c>
      <c r="V896" s="18">
        <f>IF($A896&gt;'1-Input'!$B$26,V895,V895-Q896*(1-P896))</f>
        <v>229005.56762740904</v>
      </c>
      <c r="W896" s="11">
        <f>IF($A896&gt;'1-Input'!$B$26,0,IF(AB895&lt;=0,0,MAX(0,(AB895-AC895)/AB895)))</f>
        <v>0.27180463208939859</v>
      </c>
      <c r="X896" s="18">
        <f>IF($A896&gt;'1-Input'!$B$26,0,(MAX(0,W891-IF($A896&gt;='1-Input'!$C$12,'1-Input'!$B$12,0))-MIN(MAX(AA895,0),MAX(0,W891-IF($A896&gt;='1-Input'!$C$12,'1-Input'!$B$12,0))))*(1/(1-'P-Parametri'!$B$6*W896))+MIN(MAX(0,AB895-(MAX(0,W891-IF($A896&gt;='1-Input'!$C$12,'1-Input'!$B$12,0))-MIN(MAX(AA895,0),MAX(0,W891-IF($A896&gt;='1-Input'!$C$12,'1-Input'!$B$12,0))))*(1/(1-'P-Parametri'!$B$6*W896))),MAX(0,5*W891-(AA895-MIN(MAX(AA895,0),MAX(0,W891-IF($A896&gt;='1-Input'!$C$12,'1-Input'!$B$12,0)))))*(1/(1-'P-Parametri'!$B$6*W896))))</f>
        <v>19622.748199388632</v>
      </c>
      <c r="Y896" s="18">
        <f>IF($A896&gt;'1-Input'!$B$26,AA895,(AA895-MAX(0,W891-IF($A896&gt;='1-Input'!$C$12,'1-Input'!$B$12,0))+X896*(1-'P-Parametri'!$B$6*W896))*(1+'1-Input'!$B$27))</f>
        <v>89245.454371318367</v>
      </c>
      <c r="Z896" s="18">
        <f>IF($A896&gt;'1-Input'!$B$26,AB895,(AB895-X896)*(1+$D$4))</f>
        <v>328391.5204104833</v>
      </c>
      <c r="AA896" s="18">
        <f>IF($A896&gt;'1-Input'!$B$26,Y896,Y896-'P-Parametri'!$B$8*(Z896+Y896)+MIN(MAX(Z896,0),'P-Parametri'!$B$8*(Z896+Y896)))</f>
        <v>89245.454371318367</v>
      </c>
      <c r="AB896" s="18">
        <f>IF($A896&gt;'1-Input'!$B$26,Z896,Z896-MIN(MAX(Z896,0),'P-Parametri'!$B$8*(Z896+Y896)))</f>
        <v>327556.24646091968</v>
      </c>
      <c r="AC896" s="18">
        <f>IF($A896&gt;'1-Input'!$B$26,AC895,AC895-X896*(1-W896))</f>
        <v>229935.75386926311</v>
      </c>
      <c r="AD896" s="11">
        <f>IF($A896&gt;'1-Input'!$B$26,0,IF(AI895&lt;=0,0,MAX(0,(AI895-AJ895)/AI895)))</f>
        <v>0.27180643230936052</v>
      </c>
      <c r="AE896" s="18">
        <f>IF($A896&gt;'1-Input'!$B$26,0,(MAX(0,AD891-IF($A896&gt;='1-Input'!$C$12,'1-Input'!$B$12,0))-MIN(MAX(AH895,0),MAX(0,AD891-IF($A896&gt;='1-Input'!$C$12,'1-Input'!$B$12,0))))*(1/(1-'P-Parametri'!$B$6*AD896))+MIN(MAX(0,AI895-(MAX(0,AD891-IF($A896&gt;='1-Input'!$C$12,'1-Input'!$B$12,0))-MIN(MAX(AH895,0),MAX(0,AD891-IF($A896&gt;='1-Input'!$C$12,'1-Input'!$B$12,0))))*(1/(1-'P-Parametri'!$B$6*AD896))),MAX(0,5*AD891-(AH895-MIN(MAX(AH895,0),MAX(0,AD891-IF($A896&gt;='1-Input'!$C$12,'1-Input'!$B$12,0)))))*(1/(1-'P-Parametri'!$B$6*AD896))))</f>
        <v>19589.090481020128</v>
      </c>
      <c r="AF896" s="18">
        <f>IF($A896&gt;'1-Input'!$B$26,AH895,(AH895-MAX(0,AD891-IF($A896&gt;='1-Input'!$C$12,'1-Input'!$B$12,0))+AE896*(1-'P-Parametri'!$B$6*AD896))*(1+'1-Input'!$B$27))</f>
        <v>89092.332146155182</v>
      </c>
      <c r="AG896" s="18">
        <f>IF($A896&gt;'1-Input'!$B$26,AI895,(AI895-AE896)*(1+$D$4))</f>
        <v>328671.89610371453</v>
      </c>
      <c r="AH896" s="18">
        <f>IF($A896&gt;'1-Input'!$B$26,AF896,AF896-'P-Parametri'!$B$8*(AG896+AF896)+MIN(MAX(AG896,0),'P-Parametri'!$B$8*(AG896+AF896)))</f>
        <v>89092.332146155182</v>
      </c>
      <c r="AI896" s="18">
        <f>IF($A896&gt;'1-Input'!$B$26,AG896,AG896-MIN(MAX(AG896,0),'P-Parametri'!$B$8*(AG896+AF896)))</f>
        <v>327836.36764721479</v>
      </c>
      <c r="AJ896" s="18">
        <f>IF($A896&gt;'1-Input'!$B$26,AJ895,AJ895-AE896*(1-AD896))</f>
        <v>230131.5005994337</v>
      </c>
      <c r="AK896" s="11">
        <f>IF($A896&gt;'1-Input'!$B$26,0,IF(AP895&lt;=0,0,MAX(0,(AP895-AQ895)/AP895)))</f>
        <v>0.27180638818411301</v>
      </c>
      <c r="AL896" s="18">
        <f>IF($A896&gt;'1-Input'!$B$26,0,(MAX(0,AK891-IF($A896&gt;='1-Input'!$C$12,'1-Input'!$B$12,0))-MIN(MAX(AO895,0),MAX(0,AK891-IF($A896&gt;='1-Input'!$C$12,'1-Input'!$B$12,0))))*(1/(1-'P-Parametri'!$B$6*AK896))+MIN(MAX(0,AP895-(MAX(0,AK891-IF($A896&gt;='1-Input'!$C$12,'1-Input'!$B$12,0))-MIN(MAX(AO895,0),MAX(0,AK891-IF($A896&gt;='1-Input'!$C$12,'1-Input'!$B$12,0))))*(1/(1-'P-Parametri'!$B$6*AK896))),MAX(0,5*AK891-(AO895-MIN(MAX(AO895,0),MAX(0,AK891-IF($A896&gt;='1-Input'!$C$12,'1-Input'!$B$12,0)))))*(1/(1-'P-Parametri'!$B$6*AK896))))</f>
        <v>19589.915980025522</v>
      </c>
      <c r="AM896" s="18">
        <f>IF($A896&gt;'1-Input'!$B$26,AO895,(AO895-MAX(0,AK891-IF($A896&gt;='1-Input'!$C$12,'1-Input'!$B$12,0))+AL896*(1-'P-Parametri'!$B$6*AK896))*(1+'1-Input'!$B$27))</f>
        <v>89096.087663925675</v>
      </c>
      <c r="AN896" s="18">
        <f>IF($A896&gt;'1-Input'!$B$26,AP895,(AP895-AL896)*(1+$D$4))</f>
        <v>328665.01953155489</v>
      </c>
      <c r="AO896" s="18">
        <f>IF($A896&gt;'1-Input'!$B$26,AM896,AM896-'P-Parametri'!$B$8*(AN896+AM896)+MIN(MAX(AN896,0),'P-Parametri'!$B$8*(AN896+AM896)))</f>
        <v>89096.087663925675</v>
      </c>
      <c r="AP896" s="18">
        <f>IF($A896&gt;'1-Input'!$B$26,AN896,AN896-MIN(MAX(AN896,0),'P-Parametri'!$B$8*(AN896+AM896)))</f>
        <v>327829.49731716391</v>
      </c>
      <c r="AQ896" s="18">
        <f>IF($A896&gt;'1-Input'!$B$26,AQ895,AQ895-AL896*(1-AK896))</f>
        <v>230126.69966367501</v>
      </c>
    </row>
    <row r="897" spans="1:43">
      <c r="A897" s="10">
        <f>4</f>
        <v>4</v>
      </c>
      <c r="B897" s="11">
        <f>IF($A897&gt;'1-Input'!$B$26,0,IF(G896&lt;=0,0,MAX(0,(G896-H896)/G896)))</f>
        <v>0.29813266104712227</v>
      </c>
      <c r="C897" s="18">
        <f>IF($A897&gt;'1-Input'!$B$26,0,(MAX(0,B891-IF($A897&gt;='1-Input'!$C$12,'1-Input'!$B$12,0))-MIN(MAX(F896,0),MAX(0,B891-IF($A897&gt;='1-Input'!$C$12,'1-Input'!$B$12,0))))*(1/(1-'P-Parametri'!$B$6*B897))+MIN(MAX(0,G896-(MAX(0,B891-IF($A897&gt;='1-Input'!$C$12,'1-Input'!$B$12,0))-MIN(MAX(F896,0),MAX(0,B891-IF($A897&gt;='1-Input'!$C$12,'1-Input'!$B$12,0))))*(1/(1-'P-Parametri'!$B$6*B897))),MAX(0,5*B891-(F896-MIN(MAX(F896,0),MAX(0,B891-IF($A897&gt;='1-Input'!$C$12,'1-Input'!$B$12,0)))))*(1/(1-'P-Parametri'!$B$6*B897))))</f>
        <v>18408.217972717961</v>
      </c>
      <c r="D897" s="18">
        <f>IF($A897&gt;'1-Input'!$B$26,F896,(F896-MAX(0,B891-IF($A897&gt;='1-Input'!$C$12,'1-Input'!$B$12,0))+C897*(1-'P-Parametri'!$B$6*B897))*(1+'1-Input'!$B$27))</f>
        <v>83105.01757746574</v>
      </c>
      <c r="E897" s="18">
        <f>IF($A897&gt;'1-Input'!$B$26,G896,(G896-C897)*(1+$D$4))</f>
        <v>333196.62911521638</v>
      </c>
      <c r="F897" s="18">
        <f>IF($A897&gt;'1-Input'!$B$26,D897,D897-'P-Parametri'!$B$8*(E897+D897)+MIN(MAX(E897,0),'P-Parametri'!$B$8*(E897+D897)))</f>
        <v>83105.01757746574</v>
      </c>
      <c r="G897" s="18">
        <f>IF($A897&gt;'1-Input'!$B$26,E897,E897-MIN(MAX(E897,0),'P-Parametri'!$B$8*(E897+D897)))</f>
        <v>332364.02582183102</v>
      </c>
      <c r="H897" s="18">
        <f>IF($A897&gt;'1-Input'!$B$26,H896,H896-C897*(1-B897))</f>
        <v>224865.22252419792</v>
      </c>
      <c r="I897" s="11">
        <f>IF($A897&gt;'1-Input'!$B$26,0,IF(N896&lt;=0,0,MAX(0,(N896-O896)/N896)))</f>
        <v>0.29763240757235349</v>
      </c>
      <c r="J897" s="18">
        <f>IF($A897&gt;'1-Input'!$B$26,0,(MAX(0,I891-IF($A897&gt;='1-Input'!$C$12,'1-Input'!$B$12,0))-MIN(MAX(M896,0),MAX(0,I891-IF($A897&gt;='1-Input'!$C$12,'1-Input'!$B$12,0))))*(1/(1-'P-Parametri'!$B$6*I897))+MIN(MAX(0,N896-(MAX(0,I891-IF($A897&gt;='1-Input'!$C$12,'1-Input'!$B$12,0))-MIN(MAX(M896,0),MAX(0,I891-IF($A897&gt;='1-Input'!$C$12,'1-Input'!$B$12,0))))*(1/(1-'P-Parametri'!$B$6*I897))),MAX(0,5*I891-(M896-MIN(MAX(M896,0),MAX(0,I891-IF($A897&gt;='1-Input'!$C$12,'1-Input'!$B$12,0)))))*(1/(1-'P-Parametri'!$B$6*I897))))</f>
        <v>24217.924829920674</v>
      </c>
      <c r="K897" s="18">
        <f>IF($A897&gt;'1-Input'!$B$26,M896,(M896-MAX(0,I891-IF($A897&gt;='1-Input'!$C$12,'1-Input'!$B$12,0))+J897*(1-'P-Parametri'!$B$6*I897))*(1+'1-Input'!$B$27))</f>
        <v>109348.70733877072</v>
      </c>
      <c r="L897" s="18">
        <f>IF($A897&gt;'1-Input'!$B$26,N896,(N896-J897)*(1+$D$4))</f>
        <v>277224.67962146981</v>
      </c>
      <c r="M897" s="18">
        <f>IF($A897&gt;'1-Input'!$B$26,K897,K897-'P-Parametri'!$B$8*(L897+K897)+MIN(MAX(L897,0),'P-Parametri'!$B$8*(L897+K897)))</f>
        <v>109348.70733877072</v>
      </c>
      <c r="N897" s="18">
        <f>IF($A897&gt;'1-Input'!$B$26,L897,L897-MIN(MAX(L897,0),'P-Parametri'!$B$8*(L897+K897)))</f>
        <v>276451.53284754936</v>
      </c>
      <c r="O897" s="18">
        <f>IF($A897&gt;'1-Input'!$B$26,O896,O896-J897*(1-I897))</f>
        <v>187224.64498774751</v>
      </c>
      <c r="P897" s="11">
        <f>IF($A897&gt;'1-Input'!$B$26,0,IF(U896&lt;=0,0,MAX(0,(U896-V896)/U896)))</f>
        <v>0.29801368875133849</v>
      </c>
      <c r="Q897" s="18">
        <f>IF($A897&gt;'1-Input'!$B$26,0,(MAX(0,P891-IF($A897&gt;='1-Input'!$C$12,'1-Input'!$B$12,0))-MIN(MAX(T896,0),MAX(0,P891-IF($A897&gt;='1-Input'!$C$12,'1-Input'!$B$12,0))))*(1/(1-'P-Parametri'!$B$6*P897))+MIN(MAX(0,U896-(MAX(0,P891-IF($A897&gt;='1-Input'!$C$12,'1-Input'!$B$12,0))-MIN(MAX(T896,0),MAX(0,P891-IF($A897&gt;='1-Input'!$C$12,'1-Input'!$B$12,0))))*(1/(1-'P-Parametri'!$B$6*P897))),MAX(0,5*P891-(T896-MIN(MAX(T896,0),MAX(0,P891-IF($A897&gt;='1-Input'!$C$12,'1-Input'!$B$12,0)))))*(1/(1-'P-Parametri'!$B$6*P897))))</f>
        <v>19928.864906720341</v>
      </c>
      <c r="R897" s="18">
        <f>IF($A897&gt;'1-Input'!$B$26,T896,(T896-MAX(0,P891-IF($A897&gt;='1-Input'!$C$12,'1-Input'!$B$12,0))+Q897*(1-'P-Parametri'!$B$6*P897))*(1+'1-Input'!$B$27))</f>
        <v>89973.087355227675</v>
      </c>
      <c r="S897" s="18">
        <f>IF($A897&gt;'1-Input'!$B$26,U896,(U896-Q897)*(1+$D$4))</f>
        <v>318548.10381839995</v>
      </c>
      <c r="T897" s="18">
        <f>IF($A897&gt;'1-Input'!$B$26,R897,R897-'P-Parametri'!$B$8*(S897+R897)+MIN(MAX(S897,0),'P-Parametri'!$B$8*(S897+R897)))</f>
        <v>89973.087355227675</v>
      </c>
      <c r="U897" s="18">
        <f>IF($A897&gt;'1-Input'!$B$26,S897,S897-MIN(MAX(S897,0),'P-Parametri'!$B$8*(S897+R897)))</f>
        <v>317731.06143605267</v>
      </c>
      <c r="V897" s="18">
        <f>IF($A897&gt;'1-Input'!$B$26,V896,V896-Q897*(1-P897))</f>
        <v>215015.77726416753</v>
      </c>
      <c r="W897" s="11">
        <f>IF($A897&gt;'1-Input'!$B$26,0,IF(AB896&lt;=0,0,MAX(0,(AB896-AC896)/AB896)))</f>
        <v>0.29802665541077861</v>
      </c>
      <c r="X897" s="18">
        <f>IF($A897&gt;'1-Input'!$B$26,0,(MAX(0,W891-IF($A897&gt;='1-Input'!$C$12,'1-Input'!$B$12,0))-MIN(MAX(AA896,0),MAX(0,W891-IF($A897&gt;='1-Input'!$C$12,'1-Input'!$B$12,0))))*(1/(1-'P-Parametri'!$B$6*W897))+MIN(MAX(0,AB896-(MAX(0,W891-IF($A897&gt;='1-Input'!$C$12,'1-Input'!$B$12,0))-MIN(MAX(AA896,0),MAX(0,W891-IF($A897&gt;='1-Input'!$C$12,'1-Input'!$B$12,0))))*(1/(1-'P-Parametri'!$B$6*W897))),MAX(0,5*W891-(AA896-MIN(MAX(AA896,0),MAX(0,W891-IF($A897&gt;='1-Input'!$C$12,'1-Input'!$B$12,0)))))*(1/(1-'P-Parametri'!$B$6*W897))))</f>
        <v>19767.76784870007</v>
      </c>
      <c r="Y897" s="18">
        <f>IF($A897&gt;'1-Input'!$B$26,AA896,(AA896-MAX(0,W891-IF($A897&gt;='1-Input'!$C$12,'1-Input'!$B$12,0))+X897*(1-'P-Parametri'!$B$6*W897))*(1+'1-Input'!$B$27))</f>
        <v>89245.454371318367</v>
      </c>
      <c r="Z897" s="18">
        <f>IF($A897&gt;'1-Input'!$B$26,AB896,(AB896-X897)*(1+$D$4))</f>
        <v>320100.01775670843</v>
      </c>
      <c r="AA897" s="18">
        <f>IF($A897&gt;'1-Input'!$B$26,Y897,Y897-'P-Parametri'!$B$8*(Z897+Y897)+MIN(MAX(Z897,0),'P-Parametri'!$B$8*(Z897+Y897)))</f>
        <v>89245.454371318367</v>
      </c>
      <c r="AB897" s="18">
        <f>IF($A897&gt;'1-Input'!$B$26,Z897,Z897-MIN(MAX(Z897,0),'P-Parametri'!$B$8*(Z897+Y897)))</f>
        <v>319281.3268124524</v>
      </c>
      <c r="AC897" s="18">
        <f>IF($A897&gt;'1-Input'!$B$26,AC896,AC896-X897*(1-W897))</f>
        <v>216059.30775744785</v>
      </c>
      <c r="AD897" s="11">
        <f>IF($A897&gt;'1-Input'!$B$26,0,IF(AI896&lt;=0,0,MAX(0,(AI896-AJ896)/AI896)))</f>
        <v>0.29802937285140202</v>
      </c>
      <c r="AE897" s="18">
        <f>IF($A897&gt;'1-Input'!$B$26,0,(MAX(0,AD891-IF($A897&gt;='1-Input'!$C$12,'1-Input'!$B$12,0))-MIN(MAX(AH896,0),MAX(0,AD891-IF($A897&gt;='1-Input'!$C$12,'1-Input'!$B$12,0))))*(1/(1-'P-Parametri'!$B$6*AD897))+MIN(MAX(0,AI896-(MAX(0,AD891-IF($A897&gt;='1-Input'!$C$12,'1-Input'!$B$12,0))-MIN(MAX(AH896,0),MAX(0,AD891-IF($A897&gt;='1-Input'!$C$12,'1-Input'!$B$12,0))))*(1/(1-'P-Parametri'!$B$6*AD897))),MAX(0,5*AD891-(AH896-MIN(MAX(AH896,0),MAX(0,AD891-IF($A897&gt;='1-Input'!$C$12,'1-Input'!$B$12,0)))))*(1/(1-'P-Parametri'!$B$6*AD897))))</f>
        <v>19733.866561685176</v>
      </c>
      <c r="AF897" s="18">
        <f>IF($A897&gt;'1-Input'!$B$26,AH896,(AH896-MAX(0,AD891-IF($A897&gt;='1-Input'!$C$12,'1-Input'!$B$12,0))+AE897*(1-'P-Parametri'!$B$6*AD897))*(1+'1-Input'!$B$27))</f>
        <v>89092.332146155182</v>
      </c>
      <c r="AG897" s="18">
        <f>IF($A897&gt;'1-Input'!$B$26,AI896,(AI896-AE897)*(1+$D$4))</f>
        <v>320426.60112895083</v>
      </c>
      <c r="AH897" s="18">
        <f>IF($A897&gt;'1-Input'!$B$26,AF897,AF897-'P-Parametri'!$B$8*(AG897+AF897)+MIN(MAX(AG897,0),'P-Parametri'!$B$8*(AG897+AF897)))</f>
        <v>89092.332146155182</v>
      </c>
      <c r="AI897" s="18">
        <f>IF($A897&gt;'1-Input'!$B$26,AG897,AG897-MIN(MAX(AG897,0),'P-Parametri'!$B$8*(AG897+AF897)))</f>
        <v>319607.56326240062</v>
      </c>
      <c r="AJ897" s="18">
        <f>IF($A897&gt;'1-Input'!$B$26,AJ896,AJ896-AE897*(1-AD897))</f>
        <v>216278.90591306082</v>
      </c>
      <c r="AK897" s="11">
        <f>IF($A897&gt;'1-Input'!$B$26,0,IF(AP896&lt;=0,0,MAX(0,(AP896-AQ896)/AP896)))</f>
        <v>0.29802930624929325</v>
      </c>
      <c r="AL897" s="18">
        <f>IF($A897&gt;'1-Input'!$B$26,0,(MAX(0,AK891-IF($A897&gt;='1-Input'!$C$12,'1-Input'!$B$12,0))-MIN(MAX(AO896,0),MAX(0,AK891-IF($A897&gt;='1-Input'!$C$12,'1-Input'!$B$12,0))))*(1/(1-'P-Parametri'!$B$6*AK897))+MIN(MAX(0,AP896-(MAX(0,AK891-IF($A897&gt;='1-Input'!$C$12,'1-Input'!$B$12,0))-MIN(MAX(AO896,0),MAX(0,AK891-IF($A897&gt;='1-Input'!$C$12,'1-Input'!$B$12,0))))*(1/(1-'P-Parametri'!$B$6*AK897))),MAX(0,5*AK891-(AO896-MIN(MAX(AO896,0),MAX(0,AK891-IF($A897&gt;='1-Input'!$C$12,'1-Input'!$B$12,0)))))*(1/(1-'P-Parametri'!$B$6*AK897))))</f>
        <v>19734.69803484646</v>
      </c>
      <c r="AM897" s="18">
        <f>IF($A897&gt;'1-Input'!$B$26,AO896,(AO896-MAX(0,AK891-IF($A897&gt;='1-Input'!$C$12,'1-Input'!$B$12,0))+AL897*(1-'P-Parametri'!$B$6*AK897))*(1+'1-Input'!$B$27))</f>
        <v>89096.087663925675</v>
      </c>
      <c r="AN897" s="18">
        <f>IF($A897&gt;'1-Input'!$B$26,AP896,(AP896-AL897)*(1+$D$4))</f>
        <v>320418.59125361015</v>
      </c>
      <c r="AO897" s="18">
        <f>IF($A897&gt;'1-Input'!$B$26,AM897,AM897-'P-Parametri'!$B$8*(AN897+AM897)+MIN(MAX(AN897,0),'P-Parametri'!$B$8*(AN897+AM897)))</f>
        <v>89096.087663925675</v>
      </c>
      <c r="AP897" s="18">
        <f>IF($A897&gt;'1-Input'!$B$26,AN897,AN897-MIN(MAX(AN897,0),'P-Parametri'!$B$8*(AN897+AM897)))</f>
        <v>319599.56189577508</v>
      </c>
      <c r="AQ897" s="18">
        <f>IF($A897&gt;'1-Input'!$B$26,AQ896,AQ896-AL897*(1-AK897))</f>
        <v>216273.51999319313</v>
      </c>
    </row>
    <row r="898" spans="1:43">
      <c r="A898" s="10">
        <f>5</f>
        <v>5</v>
      </c>
      <c r="B898" s="11">
        <f>IF($A898&gt;'1-Input'!$B$26,0,IF(G897&lt;=0,0,MAX(0,(G897-H897)/G897)))</f>
        <v>0.32343693945764013</v>
      </c>
      <c r="C898" s="18">
        <f>IF($A898&gt;'1-Input'!$B$26,0,(MAX(0,B891-IF($A898&gt;='1-Input'!$C$12,'1-Input'!$B$12,0))-MIN(MAX(F897,0),MAX(0,B891-IF($A898&gt;='1-Input'!$C$12,'1-Input'!$B$12,0))))*(1/(1-'P-Parametri'!$B$6*B898))+MIN(MAX(0,G897-(MAX(0,B891-IF($A898&gt;='1-Input'!$C$12,'1-Input'!$B$12,0))-MIN(MAX(F897,0),MAX(0,B891-IF($A898&gt;='1-Input'!$C$12,'1-Input'!$B$12,0))))*(1/(1-'P-Parametri'!$B$6*B898))),MAX(0,5*B891-(F897-MIN(MAX(F897,0),MAX(0,B891-IF($A898&gt;='1-Input'!$C$12,'1-Input'!$B$12,0)))))*(1/(1-'P-Parametri'!$B$6*B898))))</f>
        <v>18540.447352756339</v>
      </c>
      <c r="D898" s="18">
        <f>IF($A898&gt;'1-Input'!$B$26,F897,(F897-MAX(0,B891-IF($A898&gt;='1-Input'!$C$12,'1-Input'!$B$12,0))+C898*(1-'P-Parametri'!$B$6*B898))*(1+'1-Input'!$B$27))</f>
        <v>83105.01757746574</v>
      </c>
      <c r="E898" s="18">
        <f>IF($A898&gt;'1-Input'!$B$26,G897,(G897-C898)*(1+$D$4))</f>
        <v>326376.5216078377</v>
      </c>
      <c r="F898" s="18">
        <f>IF($A898&gt;'1-Input'!$B$26,D898,D898-'P-Parametri'!$B$8*(E898+D898)+MIN(MAX(E898,0),'P-Parametri'!$B$8*(E898+D898)))</f>
        <v>83105.01757746574</v>
      </c>
      <c r="G898" s="18">
        <f>IF($A898&gt;'1-Input'!$B$26,E898,E898-MIN(MAX(E898,0),'P-Parametri'!$B$8*(E898+D898)))</f>
        <v>325557.55852946709</v>
      </c>
      <c r="H898" s="18">
        <f>IF($A898&gt;'1-Input'!$B$26,H897,H897-C898*(1-B898))</f>
        <v>212321.44071939259</v>
      </c>
      <c r="I898" s="11">
        <f>IF($A898&gt;'1-Input'!$B$26,0,IF(N897&lt;=0,0,MAX(0,(N897-O897)/N897)))</f>
        <v>0.32275779750878242</v>
      </c>
      <c r="J898" s="18">
        <f>IF($A898&gt;'1-Input'!$B$26,0,(MAX(0,I891-IF($A898&gt;='1-Input'!$C$12,'1-Input'!$B$12,0))-MIN(MAX(M897,0),MAX(0,I891-IF($A898&gt;='1-Input'!$C$12,'1-Input'!$B$12,0))))*(1/(1-'P-Parametri'!$B$6*I898))+MIN(MAX(0,N897-(MAX(0,I891-IF($A898&gt;='1-Input'!$C$12,'1-Input'!$B$12,0))-MIN(MAX(M897,0),MAX(0,I891-IF($A898&gt;='1-Input'!$C$12,'1-Input'!$B$12,0))))*(1/(1-'P-Parametri'!$B$6*I898))),MAX(0,5*I891-(M897-MIN(MAX(M897,0),MAX(0,I891-IF($A898&gt;='1-Input'!$C$12,'1-Input'!$B$12,0)))))*(1/(1-'P-Parametri'!$B$6*I898))))</f>
        <v>24390.623214207299</v>
      </c>
      <c r="K898" s="18">
        <f>IF($A898&gt;'1-Input'!$B$26,M897,(M897-MAX(0,I891-IF($A898&gt;='1-Input'!$C$12,'1-Input'!$B$12,0))+J898*(1-'P-Parametri'!$B$6*I898))*(1+'1-Input'!$B$27))</f>
        <v>109348.70733877072</v>
      </c>
      <c r="L898" s="18">
        <f>IF($A898&gt;'1-Input'!$B$26,N897,(N897-J898)*(1+$D$4))</f>
        <v>262143.34601867574</v>
      </c>
      <c r="M898" s="18">
        <f>IF($A898&gt;'1-Input'!$B$26,K898,K898-'P-Parametri'!$B$8*(L898+K898)+MIN(MAX(L898,0),'P-Parametri'!$B$8*(L898+K898)))</f>
        <v>109348.70733877072</v>
      </c>
      <c r="N898" s="18">
        <f>IF($A898&gt;'1-Input'!$B$26,L898,L898-MIN(MAX(L898,0),'P-Parametri'!$B$8*(L898+K898)))</f>
        <v>261400.36191196085</v>
      </c>
      <c r="O898" s="18">
        <f>IF($A898&gt;'1-Input'!$B$26,O897,O897-J898*(1-I898))</f>
        <v>170706.28560202435</v>
      </c>
      <c r="P898" s="11">
        <f>IF($A898&gt;'1-Input'!$B$26,0,IF(U897&lt;=0,0,MAX(0,(U897-V897)/U897)))</f>
        <v>0.32327744007035925</v>
      </c>
      <c r="Q898" s="18">
        <f>IF($A898&gt;'1-Input'!$B$26,0,(MAX(0,P891-IF($A898&gt;='1-Input'!$C$12,'1-Input'!$B$12,0))-MIN(MAX(T897,0),MAX(0,P891-IF($A898&gt;='1-Input'!$C$12,'1-Input'!$B$12,0))))*(1/(1-'P-Parametri'!$B$6*P898))+MIN(MAX(0,U897-(MAX(0,P891-IF($A898&gt;='1-Input'!$C$12,'1-Input'!$B$12,0))-MIN(MAX(T897,0),MAX(0,P891-IF($A898&gt;='1-Input'!$C$12,'1-Input'!$B$12,0))))*(1/(1-'P-Parametri'!$B$6*P898))),MAX(0,5*P891-(T897-MIN(MAX(T897,0),MAX(0,P891-IF($A898&gt;='1-Input'!$C$12,'1-Input'!$B$12,0)))))*(1/(1-'P-Parametri'!$B$6*P898))))</f>
        <v>20071.781611434795</v>
      </c>
      <c r="R898" s="18">
        <f>IF($A898&gt;'1-Input'!$B$26,T897,(T897-MAX(0,P891-IF($A898&gt;='1-Input'!$C$12,'1-Input'!$B$12,0))+Q898*(1-'P-Parametri'!$B$6*P898))*(1+'1-Input'!$B$27))</f>
        <v>89973.087355227675</v>
      </c>
      <c r="S898" s="18">
        <f>IF($A898&gt;'1-Input'!$B$26,U897,(U897-Q898)*(1+$D$4))</f>
        <v>309565.65101760265</v>
      </c>
      <c r="T898" s="18">
        <f>IF($A898&gt;'1-Input'!$B$26,R898,R898-'P-Parametri'!$B$8*(S898+R898)+MIN(MAX(S898,0),'P-Parametri'!$B$8*(S898+R898)))</f>
        <v>89973.087355227675</v>
      </c>
      <c r="U898" s="18">
        <f>IF($A898&gt;'1-Input'!$B$26,S898,S898-MIN(MAX(S898,0),'P-Parametri'!$B$8*(S898+R898)))</f>
        <v>308766.573540857</v>
      </c>
      <c r="V898" s="18">
        <f>IF($A898&gt;'1-Input'!$B$26,V897,V897-Q898*(1-P898))</f>
        <v>201432.74982972868</v>
      </c>
      <c r="W898" s="11">
        <f>IF($A898&gt;'1-Input'!$B$26,0,IF(AB897&lt;=0,0,MAX(0,(AB897-AC897)/AB897)))</f>
        <v>0.32329488255865879</v>
      </c>
      <c r="X898" s="18">
        <f>IF($A898&gt;'1-Input'!$B$26,0,(MAX(0,W891-IF($A898&gt;='1-Input'!$C$12,'1-Input'!$B$12,0))-MIN(MAX(AA897,0),MAX(0,W891-IF($A898&gt;='1-Input'!$C$12,'1-Input'!$B$12,0))))*(1/(1-'P-Parametri'!$B$6*W898))+MIN(MAX(0,AB897-(MAX(0,W891-IF($A898&gt;='1-Input'!$C$12,'1-Input'!$B$12,0))-MIN(MAX(AA897,0),MAX(0,W891-IF($A898&gt;='1-Input'!$C$12,'1-Input'!$B$12,0))))*(1/(1-'P-Parametri'!$B$6*W898))),MAX(0,5*W891-(AA897-MIN(MAX(AA897,0),MAX(0,W891-IF($A898&gt;='1-Input'!$C$12,'1-Input'!$B$12,0)))))*(1/(1-'P-Parametri'!$B$6*W898))))</f>
        <v>19909.555088373654</v>
      </c>
      <c r="Y898" s="18">
        <f>IF($A898&gt;'1-Input'!$B$26,AA897,(AA897-MAX(0,W891-IF($A898&gt;='1-Input'!$C$12,'1-Input'!$B$12,0))+X898*(1-'P-Parametri'!$B$6*W898))*(1+'1-Input'!$B$27))</f>
        <v>89245.454371318367</v>
      </c>
      <c r="Z898" s="18">
        <f>IF($A898&gt;'1-Input'!$B$26,AB897,(AB897-X898)*(1+$D$4))</f>
        <v>311346.64259304194</v>
      </c>
      <c r="AA898" s="18">
        <f>IF($A898&gt;'1-Input'!$B$26,Y898,Y898-'P-Parametri'!$B$8*(Z898+Y898)+MIN(MAX(Z898,0),'P-Parametri'!$B$8*(Z898+Y898)))</f>
        <v>89245.454371318367</v>
      </c>
      <c r="AB898" s="18">
        <f>IF($A898&gt;'1-Input'!$B$26,Z898,Z898-MIN(MAX(Z898,0),'P-Parametri'!$B$8*(Z898+Y898)))</f>
        <v>310545.45839911321</v>
      </c>
      <c r="AC898" s="18">
        <f>IF($A898&gt;'1-Input'!$B$26,AC897,AC897-X898*(1-W898))</f>
        <v>202586.40994316511</v>
      </c>
      <c r="AD898" s="11">
        <f>IF($A898&gt;'1-Input'!$B$26,0,IF(AI897&lt;=0,0,MAX(0,(AI897-AJ897)/AI897)))</f>
        <v>0.32329853616294452</v>
      </c>
      <c r="AE898" s="18">
        <f>IF($A898&gt;'1-Input'!$B$26,0,(MAX(0,AD891-IF($A898&gt;='1-Input'!$C$12,'1-Input'!$B$12,0))-MIN(MAX(AH897,0),MAX(0,AD891-IF($A898&gt;='1-Input'!$C$12,'1-Input'!$B$12,0))))*(1/(1-'P-Parametri'!$B$6*AD898))+MIN(MAX(0,AI897-(MAX(0,AD891-IF($A898&gt;='1-Input'!$C$12,'1-Input'!$B$12,0))-MIN(MAX(AH897,0),MAX(0,AD891-IF($A898&gt;='1-Input'!$C$12,'1-Input'!$B$12,0))))*(1/(1-'P-Parametri'!$B$6*AD898))),MAX(0,5*AD891-(AH897-MIN(MAX(AH897,0),MAX(0,AD891-IF($A898&gt;='1-Input'!$C$12,'1-Input'!$B$12,0)))))*(1/(1-'P-Parametri'!$B$6*AD898))))</f>
        <v>19875.416030237342</v>
      </c>
      <c r="AF898" s="18">
        <f>IF($A898&gt;'1-Input'!$B$26,AH897,(AH897-MAX(0,AD891-IF($A898&gt;='1-Input'!$C$12,'1-Input'!$B$12,0))+AE898*(1-'P-Parametri'!$B$6*AD898))*(1+'1-Input'!$B$27))</f>
        <v>89092.332146155182</v>
      </c>
      <c r="AG898" s="18">
        <f>IF($A898&gt;'1-Input'!$B$26,AI897,(AI897-AE898)*(1+$D$4))</f>
        <v>311721.43312144984</v>
      </c>
      <c r="AH898" s="18">
        <f>IF($A898&gt;'1-Input'!$B$26,AF898,AF898-'P-Parametri'!$B$8*(AG898+AF898)+MIN(MAX(AG898,0),'P-Parametri'!$B$8*(AG898+AF898)))</f>
        <v>89092.332146155182</v>
      </c>
      <c r="AI898" s="18">
        <f>IF($A898&gt;'1-Input'!$B$26,AG898,AG898-MIN(MAX(AG898,0),'P-Parametri'!$B$8*(AG898+AF898)))</f>
        <v>310919.80559091462</v>
      </c>
      <c r="AJ898" s="18">
        <f>IF($A898&gt;'1-Input'!$B$26,AJ897,AJ897-AE898*(1-AD898))</f>
        <v>202829.18279102872</v>
      </c>
      <c r="AK898" s="11">
        <f>IF($A898&gt;'1-Input'!$B$26,0,IF(AP897&lt;=0,0,MAX(0,(AP897-AQ897)/AP897)))</f>
        <v>0.32329844662389651</v>
      </c>
      <c r="AL898" s="18">
        <f>IF($A898&gt;'1-Input'!$B$26,0,(MAX(0,AK891-IF($A898&gt;='1-Input'!$C$12,'1-Input'!$B$12,0))-MIN(MAX(AO897,0),MAX(0,AK891-IF($A898&gt;='1-Input'!$C$12,'1-Input'!$B$12,0))))*(1/(1-'P-Parametri'!$B$6*AK898))+MIN(MAX(0,AP897-(MAX(0,AK891-IF($A898&gt;='1-Input'!$C$12,'1-Input'!$B$12,0))-MIN(MAX(AO897,0),MAX(0,AK891-IF($A898&gt;='1-Input'!$C$12,'1-Input'!$B$12,0))))*(1/(1-'P-Parametri'!$B$6*AK898))),MAX(0,5*AK891-(AO897-MIN(MAX(AO897,0),MAX(0,AK891-IF($A898&gt;='1-Input'!$C$12,'1-Input'!$B$12,0)))))*(1/(1-'P-Parametri'!$B$6*AK898))))</f>
        <v>19876.253335401652</v>
      </c>
      <c r="AM898" s="18">
        <f>IF($A898&gt;'1-Input'!$B$26,AO897,(AO897-MAX(0,AK891-IF($A898&gt;='1-Input'!$C$12,'1-Input'!$B$12,0))+AL898*(1-'P-Parametri'!$B$6*AK898))*(1+'1-Input'!$B$27))</f>
        <v>89096.087663925675</v>
      </c>
      <c r="AN898" s="18">
        <f>IF($A898&gt;'1-Input'!$B$26,AP897,(AP897-AL898)*(1+$D$4))</f>
        <v>311712.24090278841</v>
      </c>
      <c r="AO898" s="18">
        <f>IF($A898&gt;'1-Input'!$B$26,AM898,AM898-'P-Parametri'!$B$8*(AN898+AM898)+MIN(MAX(AN898,0),'P-Parametri'!$B$8*(AN898+AM898)))</f>
        <v>89096.087663925675</v>
      </c>
      <c r="AP898" s="18">
        <f>IF($A898&gt;'1-Input'!$B$26,AN898,AN898-MIN(MAX(AN898,0),'P-Parametri'!$B$8*(AN898+AM898)))</f>
        <v>310910.62424565497</v>
      </c>
      <c r="AQ898" s="18">
        <f>IF($A898&gt;'1-Input'!$B$26,AQ897,AQ897-AL898*(1-AK898))</f>
        <v>202823.22848582987</v>
      </c>
    </row>
    <row r="899" spans="1:43">
      <c r="A899" s="10">
        <f>6</f>
        <v>6</v>
      </c>
      <c r="B899" s="11">
        <f>IF($A899&gt;'1-Input'!$B$26,0,IF(G898&lt;=0,0,MAX(0,(G898-H898)/G898)))</f>
        <v>0.34782211269048202</v>
      </c>
      <c r="C899" s="18">
        <f>IF($A899&gt;'1-Input'!$B$26,0,(MAX(0,B891-IF($A899&gt;='1-Input'!$C$12,'1-Input'!$B$12,0))-MIN(MAX(F898,0),MAX(0,B891-IF($A899&gt;='1-Input'!$C$12,'1-Input'!$B$12,0))))*(1/(1-'P-Parametri'!$B$6*B899))+MIN(MAX(0,G898-(MAX(0,B891-IF($A899&gt;='1-Input'!$C$12,'1-Input'!$B$12,0))-MIN(MAX(F898,0),MAX(0,B891-IF($A899&gt;='1-Input'!$C$12,'1-Input'!$B$12,0))))*(1/(1-'P-Parametri'!$B$6*B899))),MAX(0,5*B891-(F898-MIN(MAX(F898,0),MAX(0,B891-IF($A899&gt;='1-Input'!$C$12,'1-Input'!$B$12,0)))))*(1/(1-'P-Parametri'!$B$6*B899))))</f>
        <v>18669.683816007284</v>
      </c>
      <c r="D899" s="18">
        <f>IF($A899&gt;'1-Input'!$B$26,F898,(F898-MAX(0,B891-IF($A899&gt;='1-Input'!$C$12,'1-Input'!$B$12,0))+C899*(1-'P-Parametri'!$B$6*B899))*(1+'1-Input'!$B$27))</f>
        <v>83105.01757746574</v>
      </c>
      <c r="E899" s="18">
        <f>IF($A899&gt;'1-Input'!$B$26,G898,(G898-C899)*(1+$D$4))</f>
        <v>319163.38970199821</v>
      </c>
      <c r="F899" s="18">
        <f>IF($A899&gt;'1-Input'!$B$26,D899,D899-'P-Parametri'!$B$8*(E899+D899)+MIN(MAX(E899,0),'P-Parametri'!$B$8*(E899+D899)))</f>
        <v>83105.01757746574</v>
      </c>
      <c r="G899" s="18">
        <f>IF($A899&gt;'1-Input'!$B$26,E899,E899-MIN(MAX(E899,0),'P-Parametri'!$B$8*(E899+D899)))</f>
        <v>318358.85288743931</v>
      </c>
      <c r="H899" s="18">
        <f>IF($A899&gt;'1-Input'!$B$26,H898,H898-C899*(1-B899))</f>
        <v>200145.48577153226</v>
      </c>
      <c r="I899" s="11">
        <f>IF($A899&gt;'1-Input'!$B$26,0,IF(N898&lt;=0,0,MAX(0,(N898-O898)/N898)))</f>
        <v>0.34695467001871289</v>
      </c>
      <c r="J899" s="18">
        <f>IF($A899&gt;'1-Input'!$B$26,0,(MAX(0,I891-IF($A899&gt;='1-Input'!$C$12,'1-Input'!$B$12,0))-MIN(MAX(M898,0),MAX(0,I891-IF($A899&gt;='1-Input'!$C$12,'1-Input'!$B$12,0))))*(1/(1-'P-Parametri'!$B$6*I899))+MIN(MAX(0,N898-(MAX(0,I891-IF($A899&gt;='1-Input'!$C$12,'1-Input'!$B$12,0))-MIN(MAX(M898,0),MAX(0,I891-IF($A899&gt;='1-Input'!$C$12,'1-Input'!$B$12,0))))*(1/(1-'P-Parametri'!$B$6*I899))),MAX(0,5*I891-(M898-MIN(MAX(M898,0),MAX(0,I891-IF($A899&gt;='1-Input'!$C$12,'1-Input'!$B$12,0)))))*(1/(1-'P-Parametri'!$B$6*I899))))</f>
        <v>24559.283747845107</v>
      </c>
      <c r="K899" s="18">
        <f>IF($A899&gt;'1-Input'!$B$26,M898,(M898-MAX(0,I891-IF($A899&gt;='1-Input'!$C$12,'1-Input'!$B$12,0))+J899*(1-'P-Parametri'!$B$6*I899))*(1+'1-Input'!$B$27))</f>
        <v>109348.70733877072</v>
      </c>
      <c r="L899" s="18">
        <f>IF($A899&gt;'1-Input'!$B$26,N898,(N898-J899)*(1+$D$4))</f>
        <v>246314.72129068038</v>
      </c>
      <c r="M899" s="18">
        <f>IF($A899&gt;'1-Input'!$B$26,K899,K899-'P-Parametri'!$B$8*(L899+K899)+MIN(MAX(L899,0),'P-Parametri'!$B$8*(L899+K899)))</f>
        <v>109348.70733877072</v>
      </c>
      <c r="N899" s="18">
        <f>IF($A899&gt;'1-Input'!$B$26,L899,L899-MIN(MAX(L899,0),'P-Parametri'!$B$8*(L899+K899)))</f>
        <v>245603.39443342146</v>
      </c>
      <c r="O899" s="18">
        <f>IF($A899&gt;'1-Input'!$B$26,O898,O898-J899*(1-I899))</f>
        <v>154667.96004280879</v>
      </c>
      <c r="P899" s="11">
        <f>IF($A899&gt;'1-Input'!$B$26,0,IF(U898&lt;=0,0,MAX(0,(U898-V898)/U898)))</f>
        <v>0.34762125472408223</v>
      </c>
      <c r="Q899" s="18">
        <f>IF($A899&gt;'1-Input'!$B$26,0,(MAX(0,P891-IF($A899&gt;='1-Input'!$C$12,'1-Input'!$B$12,0))-MIN(MAX(T898,0),MAX(0,P891-IF($A899&gt;='1-Input'!$C$12,'1-Input'!$B$12,0))))*(1/(1-'P-Parametri'!$B$6*P899))+MIN(MAX(0,U898-(MAX(0,P891-IF($A899&gt;='1-Input'!$C$12,'1-Input'!$B$12,0))-MIN(MAX(T898,0),MAX(0,P891-IF($A899&gt;='1-Input'!$C$12,'1-Input'!$B$12,0))))*(1/(1-'P-Parametri'!$B$6*P899))),MAX(0,5*P891-(T898-MIN(MAX(T898,0),MAX(0,P891-IF($A899&gt;='1-Input'!$C$12,'1-Input'!$B$12,0)))))*(1/(1-'P-Parametri'!$B$6*P899))))</f>
        <v>20211.446947843473</v>
      </c>
      <c r="R899" s="18">
        <f>IF($A899&gt;'1-Input'!$B$26,T898,(T898-MAX(0,P891-IF($A899&gt;='1-Input'!$C$12,'1-Input'!$B$12,0))+Q899*(1-'P-Parametri'!$B$6*P899))*(1+'1-Input'!$B$27))</f>
        <v>89973.087355227675</v>
      </c>
      <c r="S899" s="18">
        <f>IF($A899&gt;'1-Input'!$B$26,U898,(U898-Q899)*(1+$D$4))</f>
        <v>300097.33165673405</v>
      </c>
      <c r="T899" s="18">
        <f>IF($A899&gt;'1-Input'!$B$26,R899,R899-'P-Parametri'!$B$8*(S899+R899)+MIN(MAX(S899,0),'P-Parametri'!$B$8*(S899+R899)))</f>
        <v>89973.087355227675</v>
      </c>
      <c r="U899" s="18">
        <f>IF($A899&gt;'1-Input'!$B$26,S899,S899-MIN(MAX(S899,0),'P-Parametri'!$B$8*(S899+R899)))</f>
        <v>299317.19081871014</v>
      </c>
      <c r="V899" s="18">
        <f>IF($A899&gt;'1-Input'!$B$26,V898,V898-Q899*(1-P899))</f>
        <v>188247.23142968377</v>
      </c>
      <c r="W899" s="11">
        <f>IF($A899&gt;'1-Input'!$B$26,0,IF(AB898&lt;=0,0,MAX(0,(AB898-AC898)/AB898)))</f>
        <v>0.34764330160384782</v>
      </c>
      <c r="X899" s="18">
        <f>IF($A899&gt;'1-Input'!$B$26,0,(MAX(0,W891-IF($A899&gt;='1-Input'!$C$12,'1-Input'!$B$12,0))-MIN(MAX(AA898,0),MAX(0,W891-IF($A899&gt;='1-Input'!$C$12,'1-Input'!$B$12,0))))*(1/(1-'P-Parametri'!$B$6*W899))+MIN(MAX(0,AB898-(MAX(0,W891-IF($A899&gt;='1-Input'!$C$12,'1-Input'!$B$12,0))-MIN(MAX(AA898,0),MAX(0,W891-IF($A899&gt;='1-Input'!$C$12,'1-Input'!$B$12,0))))*(1/(1-'P-Parametri'!$B$6*W899))),MAX(0,5*W891-(AA898-MIN(MAX(AA898,0),MAX(0,W891-IF($A899&gt;='1-Input'!$C$12,'1-Input'!$B$12,0)))))*(1/(1-'P-Parametri'!$B$6*W899))))</f>
        <v>20048.118681114622</v>
      </c>
      <c r="Y899" s="18">
        <f>IF($A899&gt;'1-Input'!$B$26,AA898,(AA898-MAX(0,W891-IF($A899&gt;='1-Input'!$C$12,'1-Input'!$B$12,0))+X899*(1-'P-Parametri'!$B$6*W899))*(1+'1-Input'!$B$27))</f>
        <v>89245.454371318367</v>
      </c>
      <c r="Z899" s="18">
        <f>IF($A899&gt;'1-Input'!$B$26,AB898,(AB898-X899)*(1+$D$4))</f>
        <v>302117.23330671852</v>
      </c>
      <c r="AA899" s="18">
        <f>IF($A899&gt;'1-Input'!$B$26,Y899,Y899-'P-Parametri'!$B$8*(Z899+Y899)+MIN(MAX(Z899,0),'P-Parametri'!$B$8*(Z899+Y899)))</f>
        <v>89245.454371318367</v>
      </c>
      <c r="AB899" s="18">
        <f>IF($A899&gt;'1-Input'!$B$26,Z899,Z899-MIN(MAX(Z899,0),'P-Parametri'!$B$8*(Z899+Y899)))</f>
        <v>301334.50793136243</v>
      </c>
      <c r="AC899" s="18">
        <f>IF($A899&gt;'1-Input'!$B$26,AC898,AC898-X899*(1-W899))</f>
        <v>189507.88543129896</v>
      </c>
      <c r="AD899" s="11">
        <f>IF($A899&gt;'1-Input'!$B$26,0,IF(AI898&lt;=0,0,MAX(0,(AI898-AJ898)/AI898)))</f>
        <v>0.34764791710343335</v>
      </c>
      <c r="AE899" s="18">
        <f>IF($A899&gt;'1-Input'!$B$26,0,(MAX(0,AD891-IF($A899&gt;='1-Input'!$C$12,'1-Input'!$B$12,0))-MIN(MAX(AH898,0),MAX(0,AD891-IF($A899&gt;='1-Input'!$C$12,'1-Input'!$B$12,0))))*(1/(1-'P-Parametri'!$B$6*AD899))+MIN(MAX(0,AI898-(MAX(0,AD891-IF($A899&gt;='1-Input'!$C$12,'1-Input'!$B$12,0))-MIN(MAX(AH898,0),MAX(0,AD891-IF($A899&gt;='1-Input'!$C$12,'1-Input'!$B$12,0))))*(1/(1-'P-Parametri'!$B$6*AD899))),MAX(0,5*AD891-(AH898-MIN(MAX(AH898,0),MAX(0,AD891-IF($A899&gt;='1-Input'!$C$12,'1-Input'!$B$12,0)))))*(1/(1-'P-Parametri'!$B$6*AD899))))</f>
        <v>20013.747674112052</v>
      </c>
      <c r="AF899" s="18">
        <f>IF($A899&gt;'1-Input'!$B$26,AH898,(AH898-MAX(0,AD891-IF($A899&gt;='1-Input'!$C$12,'1-Input'!$B$12,0))+AE899*(1-'P-Parametri'!$B$6*AD899))*(1+'1-Input'!$B$27))</f>
        <v>89092.332146155182</v>
      </c>
      <c r="AG899" s="18">
        <f>IF($A899&gt;'1-Input'!$B$26,AI898,(AI898-AE899)*(1+$D$4))</f>
        <v>302542.3002334747</v>
      </c>
      <c r="AH899" s="18">
        <f>IF($A899&gt;'1-Input'!$B$26,AF899,AF899-'P-Parametri'!$B$8*(AG899+AF899)+MIN(MAX(AG899,0),'P-Parametri'!$B$8*(AG899+AF899)))</f>
        <v>89092.332146155182</v>
      </c>
      <c r="AI899" s="18">
        <f>IF($A899&gt;'1-Input'!$B$26,AG899,AG899-MIN(MAX(AG899,0),'P-Parametri'!$B$8*(AG899+AF899)))</f>
        <v>301759.03096871544</v>
      </c>
      <c r="AJ899" s="18">
        <f>IF($A899&gt;'1-Input'!$B$26,AJ898,AJ898-AE899*(1-AD899))</f>
        <v>189773.17280925543</v>
      </c>
      <c r="AK899" s="11">
        <f>IF($A899&gt;'1-Input'!$B$26,0,IF(AP898&lt;=0,0,MAX(0,(AP898-AQ898)/AP898)))</f>
        <v>0.34764780400178186</v>
      </c>
      <c r="AL899" s="18">
        <f>IF($A899&gt;'1-Input'!$B$26,0,(MAX(0,AK891-IF($A899&gt;='1-Input'!$C$12,'1-Input'!$B$12,0))-MIN(MAX(AO898,0),MAX(0,AK891-IF($A899&gt;='1-Input'!$C$12,'1-Input'!$B$12,0))))*(1/(1-'P-Parametri'!$B$6*AK899))+MIN(MAX(0,AP898-(MAX(0,AK891-IF($A899&gt;='1-Input'!$C$12,'1-Input'!$B$12,0))-MIN(MAX(AO898,0),MAX(0,AK891-IF($A899&gt;='1-Input'!$C$12,'1-Input'!$B$12,0))))*(1/(1-'P-Parametri'!$B$6*AK899))),MAX(0,5*AK891-(AO898-MIN(MAX(AO898,0),MAX(0,AK891-IF($A899&gt;='1-Input'!$C$12,'1-Input'!$B$12,0)))))*(1/(1-'P-Parametri'!$B$6*AK899))))</f>
        <v>20014.590668527817</v>
      </c>
      <c r="AM899" s="18">
        <f>IF($A899&gt;'1-Input'!$B$26,AO898,(AO898-MAX(0,AK891-IF($A899&gt;='1-Input'!$C$12,'1-Input'!$B$12,0))+AL899*(1-'P-Parametri'!$B$6*AK899))*(1+'1-Input'!$B$27))</f>
        <v>89096.087663925675</v>
      </c>
      <c r="AN899" s="18">
        <f>IF($A899&gt;'1-Input'!$B$26,AP898,(AP898-AL899)*(1+$D$4))</f>
        <v>302531.87492021226</v>
      </c>
      <c r="AO899" s="18">
        <f>IF($A899&gt;'1-Input'!$B$26,AM899,AM899-'P-Parametri'!$B$8*(AN899+AM899)+MIN(MAX(AN899,0),'P-Parametri'!$B$8*(AN899+AM899)))</f>
        <v>89096.087663925675</v>
      </c>
      <c r="AP899" s="18">
        <f>IF($A899&gt;'1-Input'!$B$26,AN899,AN899-MIN(MAX(AN899,0),'P-Parametri'!$B$8*(AN899+AM899)))</f>
        <v>301748.61899504397</v>
      </c>
      <c r="AQ899" s="18">
        <f>IF($A899&gt;'1-Input'!$B$26,AQ898,AQ898-AL899*(1-AK899))</f>
        <v>189766.66631121031</v>
      </c>
    </row>
    <row r="900" spans="1:43">
      <c r="A900" s="10">
        <f>7</f>
        <v>7</v>
      </c>
      <c r="B900" s="11">
        <f>IF($A900&gt;'1-Input'!$B$26,0,IF(G899&lt;=0,0,MAX(0,(G899-H899)/G899)))</f>
        <v>0.37132112408290152</v>
      </c>
      <c r="C900" s="18">
        <f>IF($A900&gt;'1-Input'!$B$26,0,(MAX(0,B891-IF($A900&gt;='1-Input'!$C$12,'1-Input'!$B$12,0))-MIN(MAX(F899,0),MAX(0,B891-IF($A900&gt;='1-Input'!$C$12,'1-Input'!$B$12,0))))*(1/(1-'P-Parametri'!$B$6*B900))+MIN(MAX(0,G899-(MAX(0,B891-IF($A900&gt;='1-Input'!$C$12,'1-Input'!$B$12,0))-MIN(MAX(F899,0),MAX(0,B891-IF($A900&gt;='1-Input'!$C$12,'1-Input'!$B$12,0))))*(1/(1-'P-Parametri'!$B$6*B900))),MAX(0,5*B891-(F899-MIN(MAX(F899,0),MAX(0,B891-IF($A900&gt;='1-Input'!$C$12,'1-Input'!$B$12,0)))))*(1/(1-'P-Parametri'!$B$6*B900))))</f>
        <v>18795.939998038331</v>
      </c>
      <c r="D900" s="18">
        <f>IF($A900&gt;'1-Input'!$B$26,F899,(F899-MAX(0,B891-IF($A900&gt;='1-Input'!$C$12,'1-Input'!$B$12,0))+C900*(1-'P-Parametri'!$B$6*B900))*(1+'1-Input'!$B$27))</f>
        <v>83105.01757746574</v>
      </c>
      <c r="E900" s="18">
        <f>IF($A900&gt;'1-Input'!$B$26,G899,(G899-C900)*(1+$D$4))</f>
        <v>311545.42940497701</v>
      </c>
      <c r="F900" s="18">
        <f>IF($A900&gt;'1-Input'!$B$26,D900,D900-'P-Parametri'!$B$8*(E900+D900)+MIN(MAX(E900,0),'P-Parametri'!$B$8*(E900+D900)))</f>
        <v>83105.01757746574</v>
      </c>
      <c r="G900" s="18">
        <f>IF($A900&gt;'1-Input'!$B$26,E900,E900-MIN(MAX(E900,0),'P-Parametri'!$B$8*(E900+D900)))</f>
        <v>310756.12851101212</v>
      </c>
      <c r="H900" s="18">
        <f>IF($A900&gt;'1-Input'!$B$26,H899,H899-C900*(1-B900))</f>
        <v>188328.87534176029</v>
      </c>
      <c r="I900" s="11">
        <f>IF($A900&gt;'1-Input'!$B$26,0,IF(N899&lt;=0,0,MAX(0,(N899-O899)/N899)))</f>
        <v>0.37025316608669101</v>
      </c>
      <c r="J900" s="18">
        <f>IF($A900&gt;'1-Input'!$B$26,0,(MAX(0,I891-IF($A900&gt;='1-Input'!$C$12,'1-Input'!$B$12,0))-MIN(MAX(M899,0),MAX(0,I891-IF($A900&gt;='1-Input'!$C$12,'1-Input'!$B$12,0))))*(1/(1-'P-Parametri'!$B$6*I900))+MIN(MAX(0,N899-(MAX(0,I891-IF($A900&gt;='1-Input'!$C$12,'1-Input'!$B$12,0))-MIN(MAX(M899,0),MAX(0,I891-IF($A900&gt;='1-Input'!$C$12,'1-Input'!$B$12,0))))*(1/(1-'P-Parametri'!$B$6*I900))),MAX(0,5*I891-(M899-MIN(MAX(M899,0),MAX(0,I891-IF($A900&gt;='1-Input'!$C$12,'1-Input'!$B$12,0)))))*(1/(1-'P-Parametri'!$B$6*I900))))</f>
        <v>24723.901332896603</v>
      </c>
      <c r="K900" s="18">
        <f>IF($A900&gt;'1-Input'!$B$26,M899,(M899-MAX(0,I891-IF($A900&gt;='1-Input'!$C$12,'1-Input'!$B$12,0))+J900*(1-'P-Parametri'!$B$6*I900))*(1+'1-Input'!$B$27))</f>
        <v>109348.70733877072</v>
      </c>
      <c r="L900" s="18">
        <f>IF($A900&gt;'1-Input'!$B$26,N899,(N899-J900)*(1+$D$4))</f>
        <v>229714.67282454585</v>
      </c>
      <c r="M900" s="18">
        <f>IF($A900&gt;'1-Input'!$B$26,K900,K900-'P-Parametri'!$B$8*(L900+K900)+MIN(MAX(L900,0),'P-Parametri'!$B$8*(L900+K900)))</f>
        <v>109348.70733877072</v>
      </c>
      <c r="N900" s="18">
        <f>IF($A900&gt;'1-Input'!$B$26,L900,L900-MIN(MAX(L900,0),'P-Parametri'!$B$8*(L900+K900)))</f>
        <v>229036.5460642192</v>
      </c>
      <c r="O900" s="18">
        <f>IF($A900&gt;'1-Input'!$B$26,O899,O899-J900*(1-I900))</f>
        <v>139098.16145643211</v>
      </c>
      <c r="P900" s="11">
        <f>IF($A900&gt;'1-Input'!$B$26,0,IF(U899&lt;=0,0,MAX(0,(U899-V899)/U899)))</f>
        <v>0.37107778235263139</v>
      </c>
      <c r="Q900" s="18">
        <f>IF($A900&gt;'1-Input'!$B$26,0,(MAX(0,P891-IF($A900&gt;='1-Input'!$C$12,'1-Input'!$B$12,0))-MIN(MAX(T899,0),MAX(0,P891-IF($A900&gt;='1-Input'!$C$12,'1-Input'!$B$12,0))))*(1/(1-'P-Parametri'!$B$6*P900))+MIN(MAX(0,U899-(MAX(0,P891-IF($A900&gt;='1-Input'!$C$12,'1-Input'!$B$12,0))-MIN(MAX(T899,0),MAX(0,P891-IF($A900&gt;='1-Input'!$C$12,'1-Input'!$B$12,0))))*(1/(1-'P-Parametri'!$B$6*P900))),MAX(0,5*P891-(T899-MIN(MAX(T899,0),MAX(0,P891-IF($A900&gt;='1-Input'!$C$12,'1-Input'!$B$12,0)))))*(1/(1-'P-Parametri'!$B$6*P900))))</f>
        <v>20347.8728432889</v>
      </c>
      <c r="R900" s="18">
        <f>IF($A900&gt;'1-Input'!$B$26,T899,(T899-MAX(0,P891-IF($A900&gt;='1-Input'!$C$12,'1-Input'!$B$12,0))+Q900*(1-'P-Parametri'!$B$6*P900))*(1+'1-Input'!$B$27))</f>
        <v>89973.087355227675</v>
      </c>
      <c r="S900" s="18">
        <f>IF($A900&gt;'1-Input'!$B$26,U899,(U899-Q900)*(1+$D$4))</f>
        <v>290128.09069443814</v>
      </c>
      <c r="T900" s="18">
        <f>IF($A900&gt;'1-Input'!$B$26,R900,R900-'P-Parametri'!$B$8*(S900+R900)+MIN(MAX(S900,0),'P-Parametri'!$B$8*(S900+R900)))</f>
        <v>89973.087355227675</v>
      </c>
      <c r="U900" s="18">
        <f>IF($A900&gt;'1-Input'!$B$26,S900,S900-MIN(MAX(S900,0),'P-Parametri'!$B$8*(S900+R900)))</f>
        <v>289367.88833833882</v>
      </c>
      <c r="V900" s="18">
        <f>IF($A900&gt;'1-Input'!$B$26,V899,V899-Q900*(1-P900))</f>
        <v>175450.00211667584</v>
      </c>
      <c r="W900" s="11">
        <f>IF($A900&gt;'1-Input'!$B$26,0,IF(AB899&lt;=0,0,MAX(0,(AB899-AC899)/AB899)))</f>
        <v>0.37110460155308594</v>
      </c>
      <c r="X900" s="18">
        <f>IF($A900&gt;'1-Input'!$B$26,0,(MAX(0,W891-IF($A900&gt;='1-Input'!$C$12,'1-Input'!$B$12,0))-MIN(MAX(AA899,0),MAX(0,W891-IF($A900&gt;='1-Input'!$C$12,'1-Input'!$B$12,0))))*(1/(1-'P-Parametri'!$B$6*W900))+MIN(MAX(0,AB899-(MAX(0,W891-IF($A900&gt;='1-Input'!$C$12,'1-Input'!$B$12,0))-MIN(MAX(AA899,0),MAX(0,W891-IF($A900&gt;='1-Input'!$C$12,'1-Input'!$B$12,0))))*(1/(1-'P-Parametri'!$B$6*W900))),MAX(0,5*W891-(AA899-MIN(MAX(AA899,0),MAX(0,W891-IF($A900&gt;='1-Input'!$C$12,'1-Input'!$B$12,0)))))*(1/(1-'P-Parametri'!$B$6*W900))))</f>
        <v>20183.470698507281</v>
      </c>
      <c r="Y900" s="18">
        <f>IF($A900&gt;'1-Input'!$B$26,AA899,(AA899-MAX(0,W891-IF($A900&gt;='1-Input'!$C$12,'1-Input'!$B$12,0))+X900*(1-'P-Parametri'!$B$6*W900))*(1+'1-Input'!$B$27))</f>
        <v>89245.454371318367</v>
      </c>
      <c r="Z900" s="18">
        <f>IF($A900&gt;'1-Input'!$B$26,AB899,(AB899-X900)*(1+$D$4))</f>
        <v>292397.07872216939</v>
      </c>
      <c r="AA900" s="18">
        <f>IF($A900&gt;'1-Input'!$B$26,Y900,Y900-'P-Parametri'!$B$8*(Z900+Y900)+MIN(MAX(Z900,0),'P-Parametri'!$B$8*(Z900+Y900)))</f>
        <v>89245.454371318367</v>
      </c>
      <c r="AB900" s="18">
        <f>IF($A900&gt;'1-Input'!$B$26,Z900,Z900-MIN(MAX(Z900,0),'P-Parametri'!$B$8*(Z900+Y900)))</f>
        <v>291633.79365598242</v>
      </c>
      <c r="AC900" s="18">
        <f>IF($A900&gt;'1-Input'!$B$26,AC899,AC899-X900*(1-W900))</f>
        <v>176814.59358431961</v>
      </c>
      <c r="AD900" s="11">
        <f>IF($A900&gt;'1-Input'!$B$26,0,IF(AI899&lt;=0,0,MAX(0,(AI899-AJ899)/AI899)))</f>
        <v>0.37111021267519256</v>
      </c>
      <c r="AE900" s="18">
        <f>IF($A900&gt;'1-Input'!$B$26,0,(MAX(0,AD891-IF($A900&gt;='1-Input'!$C$12,'1-Input'!$B$12,0))-MIN(MAX(AH899,0),MAX(0,AD891-IF($A900&gt;='1-Input'!$C$12,'1-Input'!$B$12,0))))*(1/(1-'P-Parametri'!$B$6*AD900))+MIN(MAX(0,AI899-(MAX(0,AD891-IF($A900&gt;='1-Input'!$C$12,'1-Input'!$B$12,0))-MIN(MAX(AH899,0),MAX(0,AD891-IF($A900&gt;='1-Input'!$C$12,'1-Input'!$B$12,0))))*(1/(1-'P-Parametri'!$B$6*AD900))),MAX(0,5*AD891-(AH899-MIN(MAX(AH899,0),MAX(0,AD891-IF($A900&gt;='1-Input'!$C$12,'1-Input'!$B$12,0)))))*(1/(1-'P-Parametri'!$B$6*AD900))))</f>
        <v>20148.873592792548</v>
      </c>
      <c r="AF900" s="18">
        <f>IF($A900&gt;'1-Input'!$B$26,AH899,(AH899-MAX(0,AD891-IF($A900&gt;='1-Input'!$C$12,'1-Input'!$B$12,0))+AE900*(1-'P-Parametri'!$B$6*AD900))*(1+'1-Input'!$B$27))</f>
        <v>89092.332146155182</v>
      </c>
      <c r="AG900" s="18">
        <f>IF($A900&gt;'1-Input'!$B$26,AI899,(AI899-AE900)*(1+$D$4))</f>
        <v>292874.56367095979</v>
      </c>
      <c r="AH900" s="18">
        <f>IF($A900&gt;'1-Input'!$B$26,AF900,AF900-'P-Parametri'!$B$8*(AG900+AF900)+MIN(MAX(AG900,0),'P-Parametri'!$B$8*(AG900+AF900)))</f>
        <v>89092.332146155182</v>
      </c>
      <c r="AI900" s="18">
        <f>IF($A900&gt;'1-Input'!$B$26,AG900,AG900-MIN(MAX(AG900,0),'P-Parametri'!$B$8*(AG900+AF900)))</f>
        <v>292110.62987932557</v>
      </c>
      <c r="AJ900" s="18">
        <f>IF($A900&gt;'1-Input'!$B$26,AJ899,AJ899-AE900*(1-AD900))</f>
        <v>177101.75198064969</v>
      </c>
      <c r="AK900" s="11">
        <f>IF($A900&gt;'1-Input'!$B$26,0,IF(AP899&lt;=0,0,MAX(0,(AP899-AQ899)/AP899)))</f>
        <v>0.37111007519034545</v>
      </c>
      <c r="AL900" s="18">
        <f>IF($A900&gt;'1-Input'!$B$26,0,(MAX(0,AK891-IF($A900&gt;='1-Input'!$C$12,'1-Input'!$B$12,0))-MIN(MAX(AO899,0),MAX(0,AK891-IF($A900&gt;='1-Input'!$C$12,'1-Input'!$B$12,0))))*(1/(1-'P-Parametri'!$B$6*AK900))+MIN(MAX(0,AP899-(MAX(0,AK891-IF($A900&gt;='1-Input'!$C$12,'1-Input'!$B$12,0))-MIN(MAX(AO899,0),MAX(0,AK891-IF($A900&gt;='1-Input'!$C$12,'1-Input'!$B$12,0))))*(1/(1-'P-Parametri'!$B$6*AK900))),MAX(0,5*AK891-(AO899-MIN(MAX(AO899,0),MAX(0,AK891-IF($A900&gt;='1-Input'!$C$12,'1-Input'!$B$12,0)))))*(1/(1-'P-Parametri'!$B$6*AK900))))</f>
        <v>20149.722133033913</v>
      </c>
      <c r="AM900" s="18">
        <f>IF($A900&gt;'1-Input'!$B$26,AO899,(AO899-MAX(0,AK891-IF($A900&gt;='1-Input'!$C$12,'1-Input'!$B$12,0))+AL900*(1-'P-Parametri'!$B$6*AK900))*(1+'1-Input'!$B$27))</f>
        <v>89096.087663925675</v>
      </c>
      <c r="AN900" s="18">
        <f>IF($A900&gt;'1-Input'!$B$26,AP899,(AP899-AL900)*(1+$D$4))</f>
        <v>292862.85273649049</v>
      </c>
      <c r="AO900" s="18">
        <f>IF($A900&gt;'1-Input'!$B$26,AM900,AM900-'P-Parametri'!$B$8*(AN900+AM900)+MIN(MAX(AN900,0),'P-Parametri'!$B$8*(AN900+AM900)))</f>
        <v>89096.087663925675</v>
      </c>
      <c r="AP900" s="18">
        <f>IF($A900&gt;'1-Input'!$B$26,AN900,AN900-MIN(MAX(AN900,0),'P-Parametri'!$B$8*(AN900+AM900)))</f>
        <v>292098.93485568964</v>
      </c>
      <c r="AQ900" s="18">
        <f>IF($A900&gt;'1-Input'!$B$26,AQ899,AQ899-AL900*(1-AK900))</f>
        <v>177094.70907403118</v>
      </c>
    </row>
    <row r="901" spans="1:43">
      <c r="A901" s="10">
        <f>8</f>
        <v>8</v>
      </c>
      <c r="B901" s="11">
        <f>IF($A901&gt;'1-Input'!$B$26,0,IF(G900&lt;=0,0,MAX(0,(G900-H900)/G900)))</f>
        <v>0.39396569186217495</v>
      </c>
      <c r="C901" s="18">
        <f>IF($A901&gt;'1-Input'!$B$26,0,(MAX(0,B891-IF($A901&gt;='1-Input'!$C$12,'1-Input'!$B$12,0))-MIN(MAX(F900,0),MAX(0,B891-IF($A901&gt;='1-Input'!$C$12,'1-Input'!$B$12,0))))*(1/(1-'P-Parametri'!$B$6*B901))+MIN(MAX(0,G900-(MAX(0,B891-IF($A901&gt;='1-Input'!$C$12,'1-Input'!$B$12,0))-MIN(MAX(F900,0),MAX(0,B891-IF($A901&gt;='1-Input'!$C$12,'1-Input'!$B$12,0))))*(1/(1-'P-Parametri'!$B$6*B901))),MAX(0,5*B891-(F900-MIN(MAX(F900,0),MAX(0,B891-IF($A901&gt;='1-Input'!$C$12,'1-Input'!$B$12,0)))))*(1/(1-'P-Parametri'!$B$6*B901))))</f>
        <v>18919.231637496512</v>
      </c>
      <c r="D901" s="18">
        <f>IF($A901&gt;'1-Input'!$B$26,F900,(F900-MAX(0,B891-IF($A901&gt;='1-Input'!$C$12,'1-Input'!$B$12,0))+C901*(1-'P-Parametri'!$B$6*B901))*(1+'1-Input'!$B$27))</f>
        <v>83105.01757746574</v>
      </c>
      <c r="E901" s="18">
        <f>IF($A901&gt;'1-Input'!$B$26,G900,(G900-C901)*(1+$D$4))</f>
        <v>303510.37274845626</v>
      </c>
      <c r="F901" s="18">
        <f>IF($A901&gt;'1-Input'!$B$26,D901,D901-'P-Parametri'!$B$8*(E901+D901)+MIN(MAX(E901,0),'P-Parametri'!$B$8*(E901+D901)))</f>
        <v>83105.01757746574</v>
      </c>
      <c r="G901" s="18">
        <f>IF($A901&gt;'1-Input'!$B$26,E901,E901-MIN(MAX(E901,0),'P-Parametri'!$B$8*(E901+D901)))</f>
        <v>302737.1419678044</v>
      </c>
      <c r="H901" s="18">
        <f>IF($A901&gt;'1-Input'!$B$26,H900,H900-C901*(1-B901))</f>
        <v>176863.17188583084</v>
      </c>
      <c r="I901" s="11">
        <f>IF($A901&gt;'1-Input'!$B$26,0,IF(N900&lt;=0,0,MAX(0,(N900-O900)/N900)))</f>
        <v>0.39268136964731126</v>
      </c>
      <c r="J901" s="18">
        <f>IF($A901&gt;'1-Input'!$B$26,0,(MAX(0,I891-IF($A901&gt;='1-Input'!$C$12,'1-Input'!$B$12,0))-MIN(MAX(M900,0),MAX(0,I891-IF($A901&gt;='1-Input'!$C$12,'1-Input'!$B$12,0))))*(1/(1-'P-Parametri'!$B$6*I901))+MIN(MAX(0,N900-(MAX(0,I891-IF($A901&gt;='1-Input'!$C$12,'1-Input'!$B$12,0))-MIN(MAX(M900,0),MAX(0,I891-IF($A901&gt;='1-Input'!$C$12,'1-Input'!$B$12,0))))*(1/(1-'P-Parametri'!$B$6*I901))),MAX(0,5*I891-(M900-MIN(MAX(M900,0),MAX(0,I891-IF($A901&gt;='1-Input'!$C$12,'1-Input'!$B$12,0)))))*(1/(1-'P-Parametri'!$B$6*I901))))</f>
        <v>24884.468036606904</v>
      </c>
      <c r="K901" s="18">
        <f>IF($A901&gt;'1-Input'!$B$26,M900,(M900-MAX(0,I891-IF($A901&gt;='1-Input'!$C$12,'1-Input'!$B$12,0))+J901*(1-'P-Parametri'!$B$6*I901))*(1+'1-Input'!$B$27))</f>
        <v>109348.70733877072</v>
      </c>
      <c r="L901" s="18">
        <f>IF($A901&gt;'1-Input'!$B$26,N900,(N900-J901)*(1+$D$4))</f>
        <v>212318.16114871678</v>
      </c>
      <c r="M901" s="18">
        <f>IF($A901&gt;'1-Input'!$B$26,K901,K901-'P-Parametri'!$B$8*(L901+K901)+MIN(MAX(L901,0),'P-Parametri'!$B$8*(L901+K901)))</f>
        <v>109348.70733877072</v>
      </c>
      <c r="N901" s="18">
        <f>IF($A901&gt;'1-Input'!$B$26,L901,L901-MIN(MAX(L901,0),'P-Parametri'!$B$8*(L901+K901)))</f>
        <v>211674.8274117418</v>
      </c>
      <c r="O901" s="18">
        <f>IF($A901&gt;'1-Input'!$B$26,O900,O900-J901*(1-I901))</f>
        <v>123985.36041138474</v>
      </c>
      <c r="P901" s="11">
        <f>IF($A901&gt;'1-Input'!$B$26,0,IF(U900&lt;=0,0,MAX(0,(U900-V900)/U900)))</f>
        <v>0.39367839629968304</v>
      </c>
      <c r="Q901" s="18">
        <f>IF($A901&gt;'1-Input'!$B$26,0,(MAX(0,P891-IF($A901&gt;='1-Input'!$C$12,'1-Input'!$B$12,0))-MIN(MAX(T900,0),MAX(0,P891-IF($A901&gt;='1-Input'!$C$12,'1-Input'!$B$12,0))))*(1/(1-'P-Parametri'!$B$6*P901))+MIN(MAX(0,U900-(MAX(0,P891-IF($A901&gt;='1-Input'!$C$12,'1-Input'!$B$12,0))-MIN(MAX(T900,0),MAX(0,P891-IF($A901&gt;='1-Input'!$C$12,'1-Input'!$B$12,0))))*(1/(1-'P-Parametri'!$B$6*P901))),MAX(0,5*P891-(T900-MIN(MAX(T900,0),MAX(0,P891-IF($A901&gt;='1-Input'!$C$12,'1-Input'!$B$12,0)))))*(1/(1-'P-Parametri'!$B$6*P901))))</f>
        <v>20481.074201402625</v>
      </c>
      <c r="R901" s="18">
        <f>IF($A901&gt;'1-Input'!$B$26,T900,(T900-MAX(0,P891-IF($A901&gt;='1-Input'!$C$12,'1-Input'!$B$12,0))+Q901*(1-'P-Parametri'!$B$6*P901))*(1+'1-Input'!$B$27))</f>
        <v>89973.087355227675</v>
      </c>
      <c r="S901" s="18">
        <f>IF($A901&gt;'1-Input'!$B$26,U900,(U900-Q901)*(1+$D$4))</f>
        <v>279642.28670241369</v>
      </c>
      <c r="T901" s="18">
        <f>IF($A901&gt;'1-Input'!$B$26,R901,R901-'P-Parametri'!$B$8*(S901+R901)+MIN(MAX(S901,0),'P-Parametri'!$B$8*(S901+R901)))</f>
        <v>89973.087355227675</v>
      </c>
      <c r="U901" s="18">
        <f>IF($A901&gt;'1-Input'!$B$26,S901,S901-MIN(MAX(S901,0),'P-Parametri'!$B$8*(S901+R901)))</f>
        <v>278903.05595429841</v>
      </c>
      <c r="V901" s="18">
        <f>IF($A901&gt;'1-Input'!$B$26,V900,V900-Q901*(1-P901))</f>
        <v>163031.8843613762</v>
      </c>
      <c r="W901" s="11">
        <f>IF($A901&gt;'1-Input'!$B$26,0,IF(AB900&lt;=0,0,MAX(0,(AB900-AC900)/AB900)))</f>
        <v>0.39371020289612269</v>
      </c>
      <c r="X901" s="18">
        <f>IF($A901&gt;'1-Input'!$B$26,0,(MAX(0,W891-IF($A901&gt;='1-Input'!$C$12,'1-Input'!$B$12,0))-MIN(MAX(AA900,0),MAX(0,W891-IF($A901&gt;='1-Input'!$C$12,'1-Input'!$B$12,0))))*(1/(1-'P-Parametri'!$B$6*W901))+MIN(MAX(0,AB900-(MAX(0,W891-IF($A901&gt;='1-Input'!$C$12,'1-Input'!$B$12,0))-MIN(MAX(AA900,0),MAX(0,W891-IF($A901&gt;='1-Input'!$C$12,'1-Input'!$B$12,0))))*(1/(1-'P-Parametri'!$B$6*W901))),MAX(0,5*W891-(AA900-MIN(MAX(AA900,0),MAX(0,W891-IF($A901&gt;='1-Input'!$C$12,'1-Input'!$B$12,0)))))*(1/(1-'P-Parametri'!$B$6*W901))))</f>
        <v>20315.626220646023</v>
      </c>
      <c r="Y901" s="18">
        <f>IF($A901&gt;'1-Input'!$B$26,AA900,(AA900-MAX(0,W891-IF($A901&gt;='1-Input'!$C$12,'1-Input'!$B$12,0))+X901*(1-'P-Parametri'!$B$6*W901))*(1+'1-Input'!$B$27))</f>
        <v>89245.454371318367</v>
      </c>
      <c r="Z901" s="18">
        <f>IF($A901&gt;'1-Input'!$B$26,AB900,(AB900-X901)*(1+$D$4))</f>
        <v>282170.89413274988</v>
      </c>
      <c r="AA901" s="18">
        <f>IF($A901&gt;'1-Input'!$B$26,Y901,Y901-'P-Parametri'!$B$8*(Z901+Y901)+MIN(MAX(Z901,0),'P-Parametri'!$B$8*(Z901+Y901)))</f>
        <v>89245.454371318367</v>
      </c>
      <c r="AB901" s="18">
        <f>IF($A901&gt;'1-Input'!$B$26,Z901,Z901-MIN(MAX(Z901,0),'P-Parametri'!$B$8*(Z901+Y901)))</f>
        <v>281428.06143574172</v>
      </c>
      <c r="AC901" s="18">
        <f>IF($A901&gt;'1-Input'!$B$26,AC900,AC900-X901*(1-W901))</f>
        <v>164497.43668496591</v>
      </c>
      <c r="AD901" s="11">
        <f>IF($A901&gt;'1-Input'!$B$26,0,IF(AI900&lt;=0,0,MAX(0,(AI900-AJ900)/AI900)))</f>
        <v>0.39371685291352609</v>
      </c>
      <c r="AE901" s="18">
        <f>IF($A901&gt;'1-Input'!$B$26,0,(MAX(0,AD891-IF($A901&gt;='1-Input'!$C$12,'1-Input'!$B$12,0))-MIN(MAX(AH900,0),MAX(0,AD891-IF($A901&gt;='1-Input'!$C$12,'1-Input'!$B$12,0))))*(1/(1-'P-Parametri'!$B$6*AD901))+MIN(MAX(0,AI900-(MAX(0,AD891-IF($A901&gt;='1-Input'!$C$12,'1-Input'!$B$12,0))-MIN(MAX(AH900,0),MAX(0,AD891-IF($A901&gt;='1-Input'!$C$12,'1-Input'!$B$12,0))))*(1/(1-'P-Parametri'!$B$6*AD901))),MAX(0,5*AD891-(AH900-MIN(MAX(AH900,0),MAX(0,AD891-IF($A901&gt;='1-Input'!$C$12,'1-Input'!$B$12,0)))))*(1/(1-'P-Parametri'!$B$6*AD901))))</f>
        <v>20280.808900348275</v>
      </c>
      <c r="AF901" s="18">
        <f>IF($A901&gt;'1-Input'!$B$26,AH900,(AH900-MAX(0,AD891-IF($A901&gt;='1-Input'!$C$12,'1-Input'!$B$12,0))+AE901*(1-'P-Parametri'!$B$6*AD901))*(1+'1-Input'!$B$27))</f>
        <v>89092.332146155182</v>
      </c>
      <c r="AG901" s="18">
        <f>IF($A901&gt;'1-Input'!$B$26,AI900,(AI900-AE901)*(1+$D$4))</f>
        <v>282703.01381813642</v>
      </c>
      <c r="AH901" s="18">
        <f>IF($A901&gt;'1-Input'!$B$26,AF901,AF901-'P-Parametri'!$B$8*(AG901+AF901)+MIN(MAX(AG901,0),'P-Parametri'!$B$8*(AG901+AF901)))</f>
        <v>89092.332146155182</v>
      </c>
      <c r="AI901" s="18">
        <f>IF($A901&gt;'1-Input'!$B$26,AG901,AG901-MIN(MAX(AG901,0),'P-Parametri'!$B$8*(AG901+AF901)))</f>
        <v>281959.42312620784</v>
      </c>
      <c r="AJ901" s="18">
        <f>IF($A901&gt;'1-Input'!$B$26,AJ900,AJ900-AE901*(1-AD901))</f>
        <v>164805.83933508716</v>
      </c>
      <c r="AK901" s="11">
        <f>IF($A901&gt;'1-Input'!$B$26,0,IF(AP900&lt;=0,0,MAX(0,(AP900-AQ900)/AP900)))</f>
        <v>0.39371668999229953</v>
      </c>
      <c r="AL901" s="18">
        <f>IF($A901&gt;'1-Input'!$B$26,0,(MAX(0,AK891-IF($A901&gt;='1-Input'!$C$12,'1-Input'!$B$12,0))-MIN(MAX(AO900,0),MAX(0,AK891-IF($A901&gt;='1-Input'!$C$12,'1-Input'!$B$12,0))))*(1/(1-'P-Parametri'!$B$6*AK901))+MIN(MAX(0,AP900-(MAX(0,AK891-IF($A901&gt;='1-Input'!$C$12,'1-Input'!$B$12,0))-MIN(MAX(AO900,0),MAX(0,AK891-IF($A901&gt;='1-Input'!$C$12,'1-Input'!$B$12,0))))*(1/(1-'P-Parametri'!$B$6*AK901))),MAX(0,5*AK891-(AO900-MIN(MAX(AO900,0),MAX(0,AK891-IF($A901&gt;='1-Input'!$C$12,'1-Input'!$B$12,0)))))*(1/(1-'P-Parametri'!$B$6*AK901))))</f>
        <v>20281.662842168891</v>
      </c>
      <c r="AM901" s="18">
        <f>IF($A901&gt;'1-Input'!$B$26,AO900,(AO900-MAX(0,AK891-IF($A901&gt;='1-Input'!$C$12,'1-Input'!$B$12,0))+AL901*(1-'P-Parametri'!$B$6*AK901))*(1+'1-Input'!$B$27))</f>
        <v>89096.087663925675</v>
      </c>
      <c r="AN901" s="18">
        <f>IF($A901&gt;'1-Input'!$B$26,AP900,(AP900-AL901)*(1+$D$4))</f>
        <v>282689.96289406158</v>
      </c>
      <c r="AO901" s="18">
        <f>IF($A901&gt;'1-Input'!$B$26,AM901,AM901-'P-Parametri'!$B$8*(AN901+AM901)+MIN(MAX(AN901,0),'P-Parametri'!$B$8*(AN901+AM901)))</f>
        <v>89096.087663925675</v>
      </c>
      <c r="AP901" s="18">
        <f>IF($A901&gt;'1-Input'!$B$26,AN901,AN901-MIN(MAX(AN901,0),'P-Parametri'!$B$8*(AN901+AM901)))</f>
        <v>281946.39079294563</v>
      </c>
      <c r="AQ901" s="18">
        <f>IF($A901&gt;'1-Input'!$B$26,AQ900,AQ900-AL901*(1-AK901))</f>
        <v>164798.27539362083</v>
      </c>
    </row>
    <row r="902" spans="1:43">
      <c r="A902" s="10">
        <f>9</f>
        <v>9</v>
      </c>
      <c r="B902" s="11">
        <f>IF($A902&gt;'1-Input'!$B$26,0,IF(G901&lt;=0,0,MAX(0,(G901-H901)/G901)))</f>
        <v>0.41578634608157877</v>
      </c>
      <c r="C902" s="18">
        <f>IF($A902&gt;'1-Input'!$B$26,0,(MAX(0,B891-IF($A902&gt;='1-Input'!$C$12,'1-Input'!$B$12,0))-MIN(MAX(F901,0),MAX(0,B891-IF($A902&gt;='1-Input'!$C$12,'1-Input'!$B$12,0))))*(1/(1-'P-Parametri'!$B$6*B902))+MIN(MAX(0,G901-(MAX(0,B891-IF($A902&gt;='1-Input'!$C$12,'1-Input'!$B$12,0))-MIN(MAX(F901,0),MAX(0,B891-IF($A902&gt;='1-Input'!$C$12,'1-Input'!$B$12,0))))*(1/(1-'P-Parametri'!$B$6*B902))),MAX(0,5*B891-(F901-MIN(MAX(F901,0),MAX(0,B891-IF($A902&gt;='1-Input'!$C$12,'1-Input'!$B$12,0)))))*(1/(1-'P-Parametri'!$B$6*B902))))</f>
        <v>19039.577347292885</v>
      </c>
      <c r="D902" s="18">
        <f>IF($A902&gt;'1-Input'!$B$26,F901,(F901-MAX(0,B891-IF($A902&gt;='1-Input'!$C$12,'1-Input'!$B$12,0))+C902*(1-'P-Parametri'!$B$6*B902))*(1+'1-Input'!$B$27))</f>
        <v>83105.01757746574</v>
      </c>
      <c r="E902" s="18">
        <f>IF($A902&gt;'1-Input'!$B$26,G901,(G901-C902)*(1+$D$4))</f>
        <v>295045.46720533195</v>
      </c>
      <c r="F902" s="18">
        <f>IF($A902&gt;'1-Input'!$B$26,D902,D902-'P-Parametri'!$B$8*(E902+D902)+MIN(MAX(E902,0),'P-Parametri'!$B$8*(E902+D902)))</f>
        <v>83105.01757746574</v>
      </c>
      <c r="G902" s="18">
        <f>IF($A902&gt;'1-Input'!$B$26,E902,E902-MIN(MAX(E902,0),'P-Parametri'!$B$8*(E902+D902)))</f>
        <v>294289.16623576637</v>
      </c>
      <c r="H902" s="18">
        <f>IF($A902&gt;'1-Input'!$B$26,H901,H901-C902*(1-B902))</f>
        <v>165739.99083470646</v>
      </c>
      <c r="I902" s="11">
        <f>IF($A902&gt;'1-Input'!$B$26,0,IF(N901&lt;=0,0,MAX(0,(N901-O901)/N901)))</f>
        <v>0.41426497459609052</v>
      </c>
      <c r="J902" s="18">
        <f>IF($A902&gt;'1-Input'!$B$26,0,(MAX(0,I891-IF($A902&gt;='1-Input'!$C$12,'1-Input'!$B$12,0))-MIN(MAX(M901,0),MAX(0,I891-IF($A902&gt;='1-Input'!$C$12,'1-Input'!$B$12,0))))*(1/(1-'P-Parametri'!$B$6*I902))+MIN(MAX(0,N901-(MAX(0,I891-IF($A902&gt;='1-Input'!$C$12,'1-Input'!$B$12,0))-MIN(MAX(M901,0),MAX(0,I891-IF($A902&gt;='1-Input'!$C$12,'1-Input'!$B$12,0))))*(1/(1-'P-Parametri'!$B$6*I902))),MAX(0,5*I891-(M901-MIN(MAX(M901,0),MAX(0,I891-IF($A902&gt;='1-Input'!$C$12,'1-Input'!$B$12,0)))))*(1/(1-'P-Parametri'!$B$6*I902))))</f>
        <v>25040.969761331711</v>
      </c>
      <c r="K902" s="18">
        <f>IF($A902&gt;'1-Input'!$B$26,M901,(M901-MAX(0,I891-IF($A902&gt;='1-Input'!$C$12,'1-Input'!$B$12,0))+J902*(1-'P-Parametri'!$B$6*I902))*(1+'1-Input'!$B$27))</f>
        <v>109348.70733877072</v>
      </c>
      <c r="L902" s="18">
        <f>IF($A902&gt;'1-Input'!$B$26,N901,(N901-J902)*(1+$D$4))</f>
        <v>194099.2119564265</v>
      </c>
      <c r="M902" s="18">
        <f>IF($A902&gt;'1-Input'!$B$26,K902,K902-'P-Parametri'!$B$8*(L902+K902)+MIN(MAX(L902,0),'P-Parametri'!$B$8*(L902+K902)))</f>
        <v>109348.70733877072</v>
      </c>
      <c r="N902" s="18">
        <f>IF($A902&gt;'1-Input'!$B$26,L902,L902-MIN(MAX(L902,0),'P-Parametri'!$B$8*(L902+K902)))</f>
        <v>193492.3161178361</v>
      </c>
      <c r="O902" s="18">
        <f>IF($A902&gt;'1-Input'!$B$26,O901,O901-J902*(1-I902))</f>
        <v>109317.98735209258</v>
      </c>
      <c r="P902" s="11">
        <f>IF($A902&gt;'1-Input'!$B$26,0,IF(U901&lt;=0,0,MAX(0,(U901-V901)/U901)))</f>
        <v>0.41545321615948549</v>
      </c>
      <c r="Q902" s="18">
        <f>IF($A902&gt;'1-Input'!$B$26,0,(MAX(0,P891-IF($A902&gt;='1-Input'!$C$12,'1-Input'!$B$12,0))-MIN(MAX(T901,0),MAX(0,P891-IF($A902&gt;='1-Input'!$C$12,'1-Input'!$B$12,0))))*(1/(1-'P-Parametri'!$B$6*P902))+MIN(MAX(0,U901-(MAX(0,P891-IF($A902&gt;='1-Input'!$C$12,'1-Input'!$B$12,0))-MIN(MAX(T901,0),MAX(0,P891-IF($A902&gt;='1-Input'!$C$12,'1-Input'!$B$12,0))))*(1/(1-'P-Parametri'!$B$6*P902))),MAX(0,5*P891-(T901-MIN(MAX(T901,0),MAX(0,P891-IF($A902&gt;='1-Input'!$C$12,'1-Input'!$B$12,0)))))*(1/(1-'P-Parametri'!$B$6*P902))))</f>
        <v>20611.068552227553</v>
      </c>
      <c r="R902" s="18">
        <f>IF($A902&gt;'1-Input'!$B$26,T901,(T901-MAX(0,P891-IF($A902&gt;='1-Input'!$C$12,'1-Input'!$B$12,0))+Q902*(1-'P-Parametri'!$B$6*P902))*(1+'1-Input'!$B$27))</f>
        <v>89973.087355227675</v>
      </c>
      <c r="S902" s="18">
        <f>IF($A902&gt;'1-Input'!$B$26,U901,(U901-Q902)*(1+$D$4))</f>
        <v>268623.66689815372</v>
      </c>
      <c r="T902" s="18">
        <f>IF($A902&gt;'1-Input'!$B$26,R902,R902-'P-Parametri'!$B$8*(S902+R902)+MIN(MAX(S902,0),'P-Parametri'!$B$8*(S902+R902)))</f>
        <v>89973.087355227675</v>
      </c>
      <c r="U902" s="18">
        <f>IF($A902&gt;'1-Input'!$B$26,S902,S902-MIN(MAX(S902,0),'P-Parametri'!$B$8*(S902+R902)))</f>
        <v>267906.47338964697</v>
      </c>
      <c r="V902" s="18">
        <f>IF($A902&gt;'1-Input'!$B$26,V901,V901-Q902*(1-P902))</f>
        <v>150983.75052765521</v>
      </c>
      <c r="W902" s="11">
        <f>IF($A902&gt;'1-Input'!$B$26,0,IF(AB901&lt;=0,0,MAX(0,(AB901-AC901)/AB901)))</f>
        <v>0.41549028250501774</v>
      </c>
      <c r="X902" s="18">
        <f>IF($A902&gt;'1-Input'!$B$26,0,(MAX(0,W891-IF($A902&gt;='1-Input'!$C$12,'1-Input'!$B$12,0))-MIN(MAX(AA901,0),MAX(0,W891-IF($A902&gt;='1-Input'!$C$12,'1-Input'!$B$12,0))))*(1/(1-'P-Parametri'!$B$6*W902))+MIN(MAX(0,AB901-(MAX(0,W891-IF($A902&gt;='1-Input'!$C$12,'1-Input'!$B$12,0))-MIN(MAX(AA901,0),MAX(0,W891-IF($A902&gt;='1-Input'!$C$12,'1-Input'!$B$12,0))))*(1/(1-'P-Parametri'!$B$6*W902))),MAX(0,5*W891-(AA901-MIN(MAX(AA901,0),MAX(0,W891-IF($A902&gt;='1-Input'!$C$12,'1-Input'!$B$12,0)))))*(1/(1-'P-Parametri'!$B$6*W902))))</f>
        <v>20444.603005510238</v>
      </c>
      <c r="Y902" s="18">
        <f>IF($A902&gt;'1-Input'!$B$26,AA901,(AA901-MAX(0,W891-IF($A902&gt;='1-Input'!$C$12,'1-Input'!$B$12,0))+X902*(1-'P-Parametri'!$B$6*W902))*(1+'1-Input'!$B$27))</f>
        <v>89245.454371318367</v>
      </c>
      <c r="Z902" s="18">
        <f>IF($A902&gt;'1-Input'!$B$26,AB901,(AB901-X902)*(1+$D$4))</f>
        <v>271422.79676744074</v>
      </c>
      <c r="AA902" s="18">
        <f>IF($A902&gt;'1-Input'!$B$26,Y902,Y902-'P-Parametri'!$B$8*(Z902+Y902)+MIN(MAX(Z902,0),'P-Parametri'!$B$8*(Z902+Y902)))</f>
        <v>89245.454371318367</v>
      </c>
      <c r="AB902" s="18">
        <f>IF($A902&gt;'1-Input'!$B$26,Z902,Z902-MIN(MAX(Z902,0),'P-Parametri'!$B$8*(Z902+Y902)))</f>
        <v>270701.46026516322</v>
      </c>
      <c r="AC902" s="18">
        <f>IF($A902&gt;'1-Input'!$B$26,AC901,AC901-X902*(1-W902))</f>
        <v>152547.36755791807</v>
      </c>
      <c r="AD902" s="11">
        <f>IF($A902&gt;'1-Input'!$B$26,0,IF(AI901&lt;=0,0,MAX(0,(AI901-AJ901)/AI901)))</f>
        <v>0.41549802624855553</v>
      </c>
      <c r="AE902" s="18">
        <f>IF($A902&gt;'1-Input'!$B$26,0,(MAX(0,AD891-IF($A902&gt;='1-Input'!$C$12,'1-Input'!$B$12,0))-MIN(MAX(AH901,0),MAX(0,AD891-IF($A902&gt;='1-Input'!$C$12,'1-Input'!$B$12,0))))*(1/(1-'P-Parametri'!$B$6*AD902))+MIN(MAX(0,AI901-(MAX(0,AD891-IF($A902&gt;='1-Input'!$C$12,'1-Input'!$B$12,0))-MIN(MAX(AH901,0),MAX(0,AD891-IF($A902&gt;='1-Input'!$C$12,'1-Input'!$B$12,0))))*(1/(1-'P-Parametri'!$B$6*AD902))),MAX(0,5*AD891-(AH901-MIN(MAX(AH901,0),MAX(0,AD891-IF($A902&gt;='1-Input'!$C$12,'1-Input'!$B$12,0)))))*(1/(1-'P-Parametri'!$B$6*AD902))))</f>
        <v>20409.571398605909</v>
      </c>
      <c r="AF902" s="18">
        <f>IF($A902&gt;'1-Input'!$B$26,AH901,(AH901-MAX(0,AD891-IF($A902&gt;='1-Input'!$C$12,'1-Input'!$B$12,0))+AE902*(1-'P-Parametri'!$B$6*AD902))*(1+'1-Input'!$B$27))</f>
        <v>89092.332146155182</v>
      </c>
      <c r="AG902" s="18">
        <f>IF($A902&gt;'1-Input'!$B$26,AI901,(AI901-AE902)*(1+$D$4))</f>
        <v>272011.84579670604</v>
      </c>
      <c r="AH902" s="18">
        <f>IF($A902&gt;'1-Input'!$B$26,AF902,AF902-'P-Parametri'!$B$8*(AG902+AF902)+MIN(MAX(AG902,0),'P-Parametri'!$B$8*(AG902+AF902)))</f>
        <v>89092.332146155182</v>
      </c>
      <c r="AI902" s="18">
        <f>IF($A902&gt;'1-Input'!$B$26,AG902,AG902-MIN(MAX(AG902,0),'P-Parametri'!$B$8*(AG902+AF902)))</f>
        <v>271289.63744082034</v>
      </c>
      <c r="AJ902" s="18">
        <f>IF($A902&gt;'1-Input'!$B$26,AJ901,AJ901-AE902*(1-AD902))</f>
        <v>152876.40456918097</v>
      </c>
      <c r="AK902" s="11">
        <f>IF($A902&gt;'1-Input'!$B$26,0,IF(AP901&lt;=0,0,MAX(0,(AP901-AQ901)/AP901)))</f>
        <v>0.41549783655629569</v>
      </c>
      <c r="AL902" s="18">
        <f>IF($A902&gt;'1-Input'!$B$26,0,(MAX(0,AK891-IF($A902&gt;='1-Input'!$C$12,'1-Input'!$B$12,0))-MIN(MAX(AO901,0),MAX(0,AK891-IF($A902&gt;='1-Input'!$C$12,'1-Input'!$B$12,0))))*(1/(1-'P-Parametri'!$B$6*AK902))+MIN(MAX(0,AP901-(MAX(0,AK891-IF($A902&gt;='1-Input'!$C$12,'1-Input'!$B$12,0))-MIN(MAX(AO901,0),MAX(0,AK891-IF($A902&gt;='1-Input'!$C$12,'1-Input'!$B$12,0))))*(1/(1-'P-Parametri'!$B$6*AK902))),MAX(0,5*AK891-(AO901-MIN(MAX(AO901,0),MAX(0,AK891-IF($A902&gt;='1-Input'!$C$12,'1-Input'!$B$12,0)))))*(1/(1-'P-Parametri'!$B$6*AK902))))</f>
        <v>20410.430596700677</v>
      </c>
      <c r="AM902" s="18">
        <f>IF($A902&gt;'1-Input'!$B$26,AO901,(AO901-MAX(0,AK891-IF($A902&gt;='1-Input'!$C$12,'1-Input'!$B$12,0))+AL902*(1-'P-Parametri'!$B$6*AK902))*(1+'1-Input'!$B$27))</f>
        <v>89096.087663925675</v>
      </c>
      <c r="AN902" s="18">
        <f>IF($A902&gt;'1-Input'!$B$26,AP901,(AP901-AL902)*(1+$D$4))</f>
        <v>271997.39860409475</v>
      </c>
      <c r="AO902" s="18">
        <f>IF($A902&gt;'1-Input'!$B$26,AM902,AM902-'P-Parametri'!$B$8*(AN902+AM902)+MIN(MAX(AN902,0),'P-Parametri'!$B$8*(AN902+AM902)))</f>
        <v>89096.087663925675</v>
      </c>
      <c r="AP902" s="18">
        <f>IF($A902&gt;'1-Input'!$B$26,AN902,AN902-MIN(MAX(AN902,0),'P-Parametri'!$B$8*(AN902+AM902)))</f>
        <v>271275.21163155872</v>
      </c>
      <c r="AQ902" s="18">
        <f>IF($A902&gt;'1-Input'!$B$26,AQ901,AQ901-AL902*(1-AK902))</f>
        <v>152868.33455303172</v>
      </c>
    </row>
    <row r="903" spans="1:43">
      <c r="A903" s="10">
        <f>10</f>
        <v>10</v>
      </c>
      <c r="B903" s="11">
        <f>IF($A903&gt;'1-Input'!$B$26,0,IF(G902&lt;=0,0,MAX(0,(G902-H902)/G902)))</f>
        <v>0.43681246253582512</v>
      </c>
      <c r="C903" s="18">
        <f>IF($A903&gt;'1-Input'!$B$26,0,(MAX(0,B891-IF($A903&gt;='1-Input'!$C$12,'1-Input'!$B$12,0))-MIN(MAX(F902,0),MAX(0,B891-IF($A903&gt;='1-Input'!$C$12,'1-Input'!$B$12,0))))*(1/(1-'P-Parametri'!$B$6*B903))+MIN(MAX(0,G902-(MAX(0,B891-IF($A903&gt;='1-Input'!$C$12,'1-Input'!$B$12,0))-MIN(MAX(F902,0),MAX(0,B891-IF($A903&gt;='1-Input'!$C$12,'1-Input'!$B$12,0))))*(1/(1-'P-Parametri'!$B$6*B903))),MAX(0,5*B891-(F902-MIN(MAX(F902,0),MAX(0,B891-IF($A903&gt;='1-Input'!$C$12,'1-Input'!$B$12,0)))))*(1/(1-'P-Parametri'!$B$6*B903))))</f>
        <v>19156.998375432635</v>
      </c>
      <c r="D903" s="18">
        <f>IF($A903&gt;'1-Input'!$B$26,F902,(F902-MAX(0,B891-IF($A903&gt;='1-Input'!$C$12,'1-Input'!$B$12,0))+C903*(1-'P-Parametri'!$B$6*B903))*(1+'1-Input'!$B$27))</f>
        <v>83105.01757746574</v>
      </c>
      <c r="E903" s="18">
        <f>IF($A903&gt;'1-Input'!$B$26,G902,(G902-C903)*(1+$D$4))</f>
        <v>286137.45457474713</v>
      </c>
      <c r="F903" s="18">
        <f>IF($A903&gt;'1-Input'!$B$26,D903,D903-'P-Parametri'!$B$8*(E903+D903)+MIN(MAX(E903,0),'P-Parametri'!$B$8*(E903+D903)))</f>
        <v>83105.01757746574</v>
      </c>
      <c r="G903" s="18">
        <f>IF($A903&gt;'1-Input'!$B$26,E903,E903-MIN(MAX(E903,0),'P-Parametri'!$B$8*(E903+D903)))</f>
        <v>285398.96963044268</v>
      </c>
      <c r="H903" s="18">
        <f>IF($A903&gt;'1-Input'!$B$26,H902,H902-C903*(1-B903))</f>
        <v>154951.00809444135</v>
      </c>
      <c r="I903" s="11">
        <f>IF($A903&gt;'1-Input'!$B$26,0,IF(N902&lt;=0,0,MAX(0,(N902-O902)/N902)))</f>
        <v>0.43502672589066366</v>
      </c>
      <c r="J903" s="18">
        <f>IF($A903&gt;'1-Input'!$B$26,0,(MAX(0,I891-IF($A903&gt;='1-Input'!$C$12,'1-Input'!$B$12,0))-MIN(MAX(M902,0),MAX(0,I891-IF($A903&gt;='1-Input'!$C$12,'1-Input'!$B$12,0))))*(1/(1-'P-Parametri'!$B$6*I903))+MIN(MAX(0,N902-(MAX(0,I891-IF($A903&gt;='1-Input'!$C$12,'1-Input'!$B$12,0))-MIN(MAX(M902,0),MAX(0,I891-IF($A903&gt;='1-Input'!$C$12,'1-Input'!$B$12,0))))*(1/(1-'P-Parametri'!$B$6*I903))),MAX(0,5*I891-(M902-MIN(MAX(M902,0),MAX(0,I891-IF($A903&gt;='1-Input'!$C$12,'1-Input'!$B$12,0)))))*(1/(1-'P-Parametri'!$B$6*I903))))</f>
        <v>25193.381081118463</v>
      </c>
      <c r="K903" s="18">
        <f>IF($A903&gt;'1-Input'!$B$26,M902,(M902-MAX(0,I891-IF($A903&gt;='1-Input'!$C$12,'1-Input'!$B$12,0))+J903*(1-'P-Parametri'!$B$6*I903))*(1+'1-Input'!$B$27))</f>
        <v>109348.70733877072</v>
      </c>
      <c r="L903" s="18">
        <f>IF($A903&gt;'1-Input'!$B$26,N902,(N902-J903)*(1+$D$4))</f>
        <v>175030.89243818636</v>
      </c>
      <c r="M903" s="18">
        <f>IF($A903&gt;'1-Input'!$B$26,K903,K903-'P-Parametri'!$B$8*(L903+K903)+MIN(MAX(L903,0),'P-Parametri'!$B$8*(L903+K903)))</f>
        <v>109348.70733877072</v>
      </c>
      <c r="N903" s="18">
        <f>IF($A903&gt;'1-Input'!$B$26,L903,L903-MIN(MAX(L903,0),'P-Parametri'!$B$8*(L903+K903)))</f>
        <v>174462.13323863244</v>
      </c>
      <c r="O903" s="18">
        <f>IF($A903&gt;'1-Input'!$B$26,O902,O902-J903*(1-I903))</f>
        <v>95084.400356808866</v>
      </c>
      <c r="P903" s="11">
        <f>IF($A903&gt;'1-Input'!$B$26,0,IF(U902&lt;=0,0,MAX(0,(U902-V902)/U902)))</f>
        <v>0.43643112233401576</v>
      </c>
      <c r="Q903" s="18">
        <f>IF($A903&gt;'1-Input'!$B$26,0,(MAX(0,P891-IF($A903&gt;='1-Input'!$C$12,'1-Input'!$B$12,0))-MIN(MAX(T902,0),MAX(0,P891-IF($A903&gt;='1-Input'!$C$12,'1-Input'!$B$12,0))))*(1/(1-'P-Parametri'!$B$6*P903))+MIN(MAX(0,U902-(MAX(0,P891-IF($A903&gt;='1-Input'!$C$12,'1-Input'!$B$12,0))-MIN(MAX(T902,0),MAX(0,P891-IF($A903&gt;='1-Input'!$C$12,'1-Input'!$B$12,0))))*(1/(1-'P-Parametri'!$B$6*P903))),MAX(0,5*P891-(T902-MIN(MAX(T902,0),MAX(0,P891-IF($A903&gt;='1-Input'!$C$12,'1-Input'!$B$12,0)))))*(1/(1-'P-Parametri'!$B$6*P903))))</f>
        <v>20737.875655698146</v>
      </c>
      <c r="R903" s="18">
        <f>IF($A903&gt;'1-Input'!$B$26,T902,(T902-MAX(0,P891-IF($A903&gt;='1-Input'!$C$12,'1-Input'!$B$12,0))+Q903*(1-'P-Parametri'!$B$6*P903))*(1+'1-Input'!$B$27))</f>
        <v>89973.087355227675</v>
      </c>
      <c r="S903" s="18">
        <f>IF($A903&gt;'1-Input'!$B$26,U902,(U902-Q903)*(1+$D$4))</f>
        <v>257055.34164330678</v>
      </c>
      <c r="T903" s="18">
        <f>IF($A903&gt;'1-Input'!$B$26,R903,R903-'P-Parametri'!$B$8*(S903+R903)+MIN(MAX(S903,0),'P-Parametri'!$B$8*(S903+R903)))</f>
        <v>89973.087355227675</v>
      </c>
      <c r="U903" s="18">
        <f>IF($A903&gt;'1-Input'!$B$26,S903,S903-MIN(MAX(S903,0),'P-Parametri'!$B$8*(S903+R903)))</f>
        <v>256361.28478530972</v>
      </c>
      <c r="V903" s="18">
        <f>IF($A903&gt;'1-Input'!$B$26,V902,V902-Q903*(1-P903))</f>
        <v>139296.52921919667</v>
      </c>
      <c r="W903" s="11">
        <f>IF($A903&gt;'1-Input'!$B$26,0,IF(AB902&lt;=0,0,MAX(0,(AB902-AC902)/AB902)))</f>
        <v>0.43647379142878784</v>
      </c>
      <c r="X903" s="18">
        <f>IF($A903&gt;'1-Input'!$B$26,0,(MAX(0,W891-IF($A903&gt;='1-Input'!$C$12,'1-Input'!$B$12,0))-MIN(MAX(AA902,0),MAX(0,W891-IF($A903&gt;='1-Input'!$C$12,'1-Input'!$B$12,0))))*(1/(1-'P-Parametri'!$B$6*W903))+MIN(MAX(0,AB902-(MAX(0,W891-IF($A903&gt;='1-Input'!$C$12,'1-Input'!$B$12,0))-MIN(MAX(AA902,0),MAX(0,W891-IF($A903&gt;='1-Input'!$C$12,'1-Input'!$B$12,0))))*(1/(1-'P-Parametri'!$B$6*W903))),MAX(0,5*W891-(AA902-MIN(MAX(AA902,0),MAX(0,W891-IF($A903&gt;='1-Input'!$C$12,'1-Input'!$B$12,0)))))*(1/(1-'P-Parametri'!$B$6*W903))))</f>
        <v>20570.421118272625</v>
      </c>
      <c r="Y903" s="18">
        <f>IF($A903&gt;'1-Input'!$B$26,AA902,(AA902-MAX(0,W891-IF($A903&gt;='1-Input'!$C$12,'1-Input'!$B$12,0))+X903*(1-'P-Parametri'!$B$6*W903))*(1+'1-Input'!$B$27))</f>
        <v>89245.454371318367</v>
      </c>
      <c r="Z903" s="18">
        <f>IF($A903&gt;'1-Input'!$B$26,AB902,(AB902-X903)*(1+$D$4))</f>
        <v>260136.28071276622</v>
      </c>
      <c r="AA903" s="18">
        <f>IF($A903&gt;'1-Input'!$B$26,Y903,Y903-'P-Parametri'!$B$8*(Z903+Y903)+MIN(MAX(Z903,0),'P-Parametri'!$B$8*(Z903+Y903)))</f>
        <v>89245.454371318367</v>
      </c>
      <c r="AB903" s="18">
        <f>IF($A903&gt;'1-Input'!$B$26,Z903,Z903-MIN(MAX(Z903,0),'P-Parametri'!$B$8*(Z903+Y903)))</f>
        <v>259437.51724259806</v>
      </c>
      <c r="AC903" s="18">
        <f>IF($A903&gt;'1-Input'!$B$26,AC902,AC902-X903*(1-W903))</f>
        <v>140955.39613642471</v>
      </c>
      <c r="AD903" s="11">
        <f>IF($A903&gt;'1-Input'!$B$26,0,IF(AI902&lt;=0,0,MAX(0,(AI902-AJ902)/AI902)))</f>
        <v>0.43648269793375455</v>
      </c>
      <c r="AE903" s="18">
        <f>IF($A903&gt;'1-Input'!$B$26,0,(MAX(0,AD891-IF($A903&gt;='1-Input'!$C$12,'1-Input'!$B$12,0))-MIN(MAX(AH902,0),MAX(0,AD891-IF($A903&gt;='1-Input'!$C$12,'1-Input'!$B$12,0))))*(1/(1-'P-Parametri'!$B$6*AD903))+MIN(MAX(0,AI902-(MAX(0,AD891-IF($A903&gt;='1-Input'!$C$12,'1-Input'!$B$12,0))-MIN(MAX(AH902,0),MAX(0,AD891-IF($A903&gt;='1-Input'!$C$12,'1-Input'!$B$12,0))))*(1/(1-'P-Parametri'!$B$6*AD903))),MAX(0,5*AD891-(AH902-MIN(MAX(AH902,0),MAX(0,AD891-IF($A903&gt;='1-Input'!$C$12,'1-Input'!$B$12,0)))))*(1/(1-'P-Parametri'!$B$6*AD903))))</f>
        <v>20535.181211522598</v>
      </c>
      <c r="AF903" s="18">
        <f>IF($A903&gt;'1-Input'!$B$26,AH902,(AH902-MAX(0,AD891-IF($A903&gt;='1-Input'!$C$12,'1-Input'!$B$12,0))+AE903*(1-'P-Parametri'!$B$6*AD903))*(1+'1-Input'!$B$27))</f>
        <v>89092.332146155182</v>
      </c>
      <c r="AG903" s="18">
        <f>IF($A903&gt;'1-Input'!$B$26,AI902,(AI902-AE903)*(1+$D$4))</f>
        <v>260784.63447846964</v>
      </c>
      <c r="AH903" s="18">
        <f>IF($A903&gt;'1-Input'!$B$26,AF903,AF903-'P-Parametri'!$B$8*(AG903+AF903)+MIN(MAX(AG903,0),'P-Parametri'!$B$8*(AG903+AF903)))</f>
        <v>89092.332146155182</v>
      </c>
      <c r="AI903" s="18">
        <f>IF($A903&gt;'1-Input'!$B$26,AG903,AG903-MIN(MAX(AG903,0),'P-Parametri'!$B$8*(AG903+AF903)))</f>
        <v>260084.8805452204</v>
      </c>
      <c r="AJ903" s="18">
        <f>IF($A903&gt;'1-Input'!$B$26,AJ902,AJ902-AE903*(1-AD903))</f>
        <v>141304.47465542229</v>
      </c>
      <c r="AK903" s="11">
        <f>IF($A903&gt;'1-Input'!$B$26,0,IF(AP902&lt;=0,0,MAX(0,(AP902-AQ902)/AP902)))</f>
        <v>0.4364824797901003</v>
      </c>
      <c r="AL903" s="18">
        <f>IF($A903&gt;'1-Input'!$B$26,0,(MAX(0,AK891-IF($A903&gt;='1-Input'!$C$12,'1-Input'!$B$12,0))-MIN(MAX(AO902,0),MAX(0,AK891-IF($A903&gt;='1-Input'!$C$12,'1-Input'!$B$12,0))))*(1/(1-'P-Parametri'!$B$6*AK903))+MIN(MAX(0,AP902-(MAX(0,AK891-IF($A903&gt;='1-Input'!$C$12,'1-Input'!$B$12,0))-MIN(MAX(AO902,0),MAX(0,AK891-IF($A903&gt;='1-Input'!$C$12,'1-Input'!$B$12,0))))*(1/(1-'P-Parametri'!$B$6*AK903))),MAX(0,5*AK891-(AO902-MIN(MAX(AO902,0),MAX(0,AK891-IF($A903&gt;='1-Input'!$C$12,'1-Input'!$B$12,0)))))*(1/(1-'P-Parametri'!$B$6*AK903))))</f>
        <v>20536.045519166604</v>
      </c>
      <c r="AM903" s="18">
        <f>IF($A903&gt;'1-Input'!$B$26,AO902,(AO902-MAX(0,AK891-IF($A903&gt;='1-Input'!$C$12,'1-Input'!$B$12,0))+AL903*(1-'P-Parametri'!$B$6*AK903))*(1+'1-Input'!$B$27))</f>
        <v>89096.087663925675</v>
      </c>
      <c r="AN903" s="18">
        <f>IF($A903&gt;'1-Input'!$B$26,AP902,(AP902-AL903)*(1+$D$4))</f>
        <v>260768.73275688782</v>
      </c>
      <c r="AO903" s="18">
        <f>IF($A903&gt;'1-Input'!$B$26,AM903,AM903-'P-Parametri'!$B$8*(AN903+AM903)+MIN(MAX(AN903,0),'P-Parametri'!$B$8*(AN903+AM903)))</f>
        <v>89096.087663925675</v>
      </c>
      <c r="AP903" s="18">
        <f>IF($A903&gt;'1-Input'!$B$26,AN903,AN903-MIN(MAX(AN903,0),'P-Parametri'!$B$8*(AN903+AM903)))</f>
        <v>260069.00311604619</v>
      </c>
      <c r="AQ903" s="18">
        <f>IF($A903&gt;'1-Input'!$B$26,AQ902,AQ902-AL903*(1-AK903))</f>
        <v>141295.91310715332</v>
      </c>
    </row>
    <row r="904" spans="1:43">
      <c r="A904" s="10">
        <f>11</f>
        <v>11</v>
      </c>
      <c r="B904" s="11">
        <f>IF($A904&gt;'1-Input'!$B$26,0,IF(G903&lt;=0,0,MAX(0,(G903-H903)/G903)))</f>
        <v>0.45707229323538112</v>
      </c>
      <c r="C904" s="18">
        <f>IF($A904&gt;'1-Input'!$B$26,0,(MAX(0,B891-IF($A904&gt;='1-Input'!$C$12,'1-Input'!$B$12,0))-MIN(MAX(F903,0),MAX(0,B891-IF($A904&gt;='1-Input'!$C$12,'1-Input'!$B$12,0))))*(1/(1-'P-Parametri'!$B$6*B904))+MIN(MAX(0,G903-(MAX(0,B891-IF($A904&gt;='1-Input'!$C$12,'1-Input'!$B$12,0))-MIN(MAX(F903,0),MAX(0,B891-IF($A904&gt;='1-Input'!$C$12,'1-Input'!$B$12,0))))*(1/(1-'P-Parametri'!$B$6*B904))),MAX(0,5*B891-(F903-MIN(MAX(F903,0),MAX(0,B891-IF($A904&gt;='1-Input'!$C$12,'1-Input'!$B$12,0)))))*(1/(1-'P-Parametri'!$B$6*B904))))</f>
        <v>19271.518353113228</v>
      </c>
      <c r="D904" s="18">
        <f>IF($A904&gt;'1-Input'!$B$26,F903,(F903-MAX(0,B891-IF($A904&gt;='1-Input'!$C$12,'1-Input'!$B$12,0))+C904*(1-'P-Parametri'!$B$6*B904))*(1+'1-Input'!$B$27))</f>
        <v>83105.01757746574</v>
      </c>
      <c r="E904" s="18">
        <f>IF($A904&gt;'1-Input'!$B$26,G903,(G903-C904)*(1+$D$4))</f>
        <v>276772.54932842264</v>
      </c>
      <c r="F904" s="18">
        <f>IF($A904&gt;'1-Input'!$B$26,D904,D904-'P-Parametri'!$B$8*(E904+D904)+MIN(MAX(E904,0),'P-Parametri'!$B$8*(E904+D904)))</f>
        <v>83105.01757746574</v>
      </c>
      <c r="G904" s="18">
        <f>IF($A904&gt;'1-Input'!$B$26,E904,E904-MIN(MAX(E904,0),'P-Parametri'!$B$8*(E904+D904)))</f>
        <v>276052.79419461085</v>
      </c>
      <c r="H904" s="18">
        <f>IF($A904&gt;'1-Input'!$B$26,H903,H903-C904*(1-B904))</f>
        <v>144487.96682911331</v>
      </c>
      <c r="I904" s="11">
        <f>IF($A904&gt;'1-Input'!$B$26,0,IF(N903&lt;=0,0,MAX(0,(N903-O903)/N903)))</f>
        <v>0.4549854539107881</v>
      </c>
      <c r="J904" s="18">
        <f>IF($A904&gt;'1-Input'!$B$26,0,(MAX(0,I891-IF($A904&gt;='1-Input'!$C$12,'1-Input'!$B$12,0))-MIN(MAX(M903,0),MAX(0,I891-IF($A904&gt;='1-Input'!$C$12,'1-Input'!$B$12,0))))*(1/(1-'P-Parametri'!$B$6*I904))+MIN(MAX(0,N903-(MAX(0,I891-IF($A904&gt;='1-Input'!$C$12,'1-Input'!$B$12,0))-MIN(MAX(M903,0),MAX(0,I891-IF($A904&gt;='1-Input'!$C$12,'1-Input'!$B$12,0))))*(1/(1-'P-Parametri'!$B$6*I904))),MAX(0,5*I891-(M903-MIN(MAX(M903,0),MAX(0,I891-IF($A904&gt;='1-Input'!$C$12,'1-Input'!$B$12,0)))))*(1/(1-'P-Parametri'!$B$6*I904))))</f>
        <v>25341.656773371182</v>
      </c>
      <c r="K904" s="18">
        <f>IF($A904&gt;'1-Input'!$B$26,M903,(M903-MAX(0,I891-IF($A904&gt;='1-Input'!$C$12,'1-Input'!$B$12,0))+J904*(1-'P-Parametri'!$B$6*I904))*(1+'1-Input'!$B$27))</f>
        <v>109348.70733877072</v>
      </c>
      <c r="L904" s="18">
        <f>IF($A904&gt;'1-Input'!$B$26,N903,(N903-J904)*(1+$D$4))</f>
        <v>155085.2955238717</v>
      </c>
      <c r="M904" s="18">
        <f>IF($A904&gt;'1-Input'!$B$26,K904,K904-'P-Parametri'!$B$8*(L904+K904)+MIN(MAX(L904,0),'P-Parametri'!$B$8*(L904+K904)))</f>
        <v>109348.70733877072</v>
      </c>
      <c r="N904" s="18">
        <f>IF($A904&gt;'1-Input'!$B$26,L904,L904-MIN(MAX(L904,0),'P-Parametri'!$B$8*(L904+K904)))</f>
        <v>154556.4275181464</v>
      </c>
      <c r="O904" s="18">
        <f>IF($A904&gt;'1-Input'!$B$26,O903,O903-J904*(1-I904))</f>
        <v>81272.828793321372</v>
      </c>
      <c r="P904" s="11">
        <f>IF($A904&gt;'1-Input'!$B$26,0,IF(U903&lt;=0,0,MAX(0,(U903-V903)/U903)))</f>
        <v>0.45663976003299078</v>
      </c>
      <c r="Q904" s="18">
        <f>IF($A904&gt;'1-Input'!$B$26,0,(MAX(0,P891-IF($A904&gt;='1-Input'!$C$12,'1-Input'!$B$12,0))-MIN(MAX(T903,0),MAX(0,P891-IF($A904&gt;='1-Input'!$C$12,'1-Input'!$B$12,0))))*(1/(1-'P-Parametri'!$B$6*P904))+MIN(MAX(0,U903-(MAX(0,P891-IF($A904&gt;='1-Input'!$C$12,'1-Input'!$B$12,0))-MIN(MAX(T903,0),MAX(0,P891-IF($A904&gt;='1-Input'!$C$12,'1-Input'!$B$12,0))))*(1/(1-'P-Parametri'!$B$6*P904))),MAX(0,5*P891-(T903-MIN(MAX(T903,0),MAX(0,P891-IF($A904&gt;='1-Input'!$C$12,'1-Input'!$B$12,0)))))*(1/(1-'P-Parametri'!$B$6*P904))))</f>
        <v>20861.517040605919</v>
      </c>
      <c r="R904" s="18">
        <f>IF($A904&gt;'1-Input'!$B$26,T903,(T903-MAX(0,P891-IF($A904&gt;='1-Input'!$C$12,'1-Input'!$B$12,0))+Q904*(1-'P-Parametri'!$B$6*P904))*(1+'1-Input'!$B$27))</f>
        <v>89973.087355227675</v>
      </c>
      <c r="S904" s="18">
        <f>IF($A904&gt;'1-Input'!$B$26,U903,(U903-Q904)*(1+$D$4))</f>
        <v>244919.75845449197</v>
      </c>
      <c r="T904" s="18">
        <f>IF($A904&gt;'1-Input'!$B$26,R904,R904-'P-Parametri'!$B$8*(S904+R904)+MIN(MAX(S904,0),'P-Parametri'!$B$8*(S904+R904)))</f>
        <v>89973.087355227675</v>
      </c>
      <c r="U904" s="18">
        <f>IF($A904&gt;'1-Input'!$B$26,S904,S904-MIN(MAX(S904,0),'P-Parametri'!$B$8*(S904+R904)))</f>
        <v>244249.97276287252</v>
      </c>
      <c r="V904" s="18">
        <f>IF($A904&gt;'1-Input'!$B$26,V903,V903-Q904*(1-P904))</f>
        <v>127961.21031393719</v>
      </c>
      <c r="W904" s="11">
        <f>IF($A904&gt;'1-Input'!$B$26,0,IF(AB903&lt;=0,0,MAX(0,(AB903-AC903)/AB903)))</f>
        <v>0.45668846343214736</v>
      </c>
      <c r="X904" s="18">
        <f>IF($A904&gt;'1-Input'!$B$26,0,(MAX(0,W891-IF($A904&gt;='1-Input'!$C$12,'1-Input'!$B$12,0))-MIN(MAX(AA903,0),MAX(0,W891-IF($A904&gt;='1-Input'!$C$12,'1-Input'!$B$12,0))))*(1/(1-'P-Parametri'!$B$6*W904))+MIN(MAX(0,AB903-(MAX(0,W891-IF($A904&gt;='1-Input'!$C$12,'1-Input'!$B$12,0))-MIN(MAX(AA903,0),MAX(0,W891-IF($A904&gt;='1-Input'!$C$12,'1-Input'!$B$12,0))))*(1/(1-'P-Parametri'!$B$6*W904))),MAX(0,5*W891-(AA903-MIN(MAX(AA903,0),MAX(0,W891-IF($A904&gt;='1-Input'!$C$12,'1-Input'!$B$12,0)))))*(1/(1-'P-Parametri'!$B$6*W904))))</f>
        <v>20693.102505725819</v>
      </c>
      <c r="Y904" s="18">
        <f>IF($A904&gt;'1-Input'!$B$26,AA903,(AA903-MAX(0,W891-IF($A904&gt;='1-Input'!$C$12,'1-Input'!$B$12,0))+X904*(1-'P-Parametri'!$B$6*W904))*(1+'1-Input'!$B$27))</f>
        <v>89245.454371318367</v>
      </c>
      <c r="Z904" s="18">
        <f>IF($A904&gt;'1-Input'!$B$26,AB903,(AB903-X904)*(1+$D$4))</f>
        <v>248294.19132634715</v>
      </c>
      <c r="AA904" s="18">
        <f>IF($A904&gt;'1-Input'!$B$26,Y904,Y904-'P-Parametri'!$B$8*(Z904+Y904)+MIN(MAX(Z904,0),'P-Parametri'!$B$8*(Z904+Y904)))</f>
        <v>89245.454371318367</v>
      </c>
      <c r="AB904" s="18">
        <f>IF($A904&gt;'1-Input'!$B$26,Z904,Z904-MIN(MAX(Z904,0),'P-Parametri'!$B$8*(Z904+Y904)))</f>
        <v>247619.11203495183</v>
      </c>
      <c r="AC904" s="18">
        <f>IF($A904&gt;'1-Input'!$B$26,AC903,AC903-X904*(1-W904))</f>
        <v>129712.59481768272</v>
      </c>
      <c r="AD904" s="11">
        <f>IF($A904&gt;'1-Input'!$B$26,0,IF(AI903&lt;=0,0,MAX(0,(AI903-AJ903)/AI903)))</f>
        <v>0.45669861946913909</v>
      </c>
      <c r="AE904" s="18">
        <f>IF($A904&gt;'1-Input'!$B$26,0,(MAX(0,AD891-IF($A904&gt;='1-Input'!$C$12,'1-Input'!$B$12,0))-MIN(MAX(AH903,0),MAX(0,AD891-IF($A904&gt;='1-Input'!$C$12,'1-Input'!$B$12,0))))*(1/(1-'P-Parametri'!$B$6*AD904))+MIN(MAX(0,AI903-(MAX(0,AD891-IF($A904&gt;='1-Input'!$C$12,'1-Input'!$B$12,0))-MIN(MAX(AH903,0),MAX(0,AD891-IF($A904&gt;='1-Input'!$C$12,'1-Input'!$B$12,0))))*(1/(1-'P-Parametri'!$B$6*AD904))),MAX(0,5*AD891-(AH903-MIN(MAX(AH903,0),MAX(0,AD891-IF($A904&gt;='1-Input'!$C$12,'1-Input'!$B$12,0)))))*(1/(1-'P-Parametri'!$B$6*AD904))))</f>
        <v>20657.660366526248</v>
      </c>
      <c r="AF904" s="18">
        <f>IF($A904&gt;'1-Input'!$B$26,AH903,(AH903-MAX(0,AD891-IF($A904&gt;='1-Input'!$C$12,'1-Input'!$B$12,0))+AE904*(1-'P-Parametri'!$B$6*AD904))*(1+'1-Input'!$B$27))</f>
        <v>89092.332146155182</v>
      </c>
      <c r="AG904" s="18">
        <f>IF($A904&gt;'1-Input'!$B$26,AI903,(AI903-AE904)*(1+$D$4))</f>
        <v>249004.30898584193</v>
      </c>
      <c r="AH904" s="18">
        <f>IF($A904&gt;'1-Input'!$B$26,AF904,AF904-'P-Parametri'!$B$8*(AG904+AF904)+MIN(MAX(AG904,0),'P-Parametri'!$B$8*(AG904+AF904)))</f>
        <v>89092.332146155182</v>
      </c>
      <c r="AI904" s="18">
        <f>IF($A904&gt;'1-Input'!$B$26,AG904,AG904-MIN(MAX(AG904,0),'P-Parametri'!$B$8*(AG904+AF904)))</f>
        <v>248328.11570357793</v>
      </c>
      <c r="AJ904" s="18">
        <f>IF($A904&gt;'1-Input'!$B$26,AJ903,AJ903-AE904*(1-AD904))</f>
        <v>130081.13925975094</v>
      </c>
      <c r="AK904" s="11">
        <f>IF($A904&gt;'1-Input'!$B$26,0,IF(AP903&lt;=0,0,MAX(0,(AP903-AQ903)/AP903)))</f>
        <v>0.4566983707623733</v>
      </c>
      <c r="AL904" s="18">
        <f>IF($A904&gt;'1-Input'!$B$26,0,(MAX(0,AK891-IF($A904&gt;='1-Input'!$C$12,'1-Input'!$B$12,0))-MIN(MAX(AO903,0),MAX(0,AK891-IF($A904&gt;='1-Input'!$C$12,'1-Input'!$B$12,0))))*(1/(1-'P-Parametri'!$B$6*AK904))+MIN(MAX(0,AP903-(MAX(0,AK891-IF($A904&gt;='1-Input'!$C$12,'1-Input'!$B$12,0))-MIN(MAX(AO903,0),MAX(0,AK891-IF($A904&gt;='1-Input'!$C$12,'1-Input'!$B$12,0))))*(1/(1-'P-Parametri'!$B$6*AK904))),MAX(0,5*AK891-(AO903-MIN(MAX(AO903,0),MAX(0,AK891-IF($A904&gt;='1-Input'!$C$12,'1-Input'!$B$12,0)))))*(1/(1-'P-Parametri'!$B$6*AK904))))</f>
        <v>20658.529635046358</v>
      </c>
      <c r="AM904" s="18">
        <f>IF($A904&gt;'1-Input'!$B$26,AO903,(AO903-MAX(0,AK891-IF($A904&gt;='1-Input'!$C$12,'1-Input'!$B$12,0))+AL904*(1-'P-Parametri'!$B$6*AK904))*(1+'1-Input'!$B$27))</f>
        <v>89096.087663925675</v>
      </c>
      <c r="AN904" s="18">
        <f>IF($A904&gt;'1-Input'!$B$26,AP903,(AP903-AL904)*(1+$D$4))</f>
        <v>248986.89242023986</v>
      </c>
      <c r="AO904" s="18">
        <f>IF($A904&gt;'1-Input'!$B$26,AM904,AM904-'P-Parametri'!$B$8*(AN904+AM904)+MIN(MAX(AN904,0),'P-Parametri'!$B$8*(AN904+AM904)))</f>
        <v>89096.087663925675</v>
      </c>
      <c r="AP904" s="18">
        <f>IF($A904&gt;'1-Input'!$B$26,AN904,AN904-MIN(MAX(AN904,0),'P-Parametri'!$B$8*(AN904+AM904)))</f>
        <v>248310.72646007154</v>
      </c>
      <c r="AQ904" s="18">
        <f>IF($A904&gt;'1-Input'!$B$26,AQ903,AQ903-AL904*(1-AK904))</f>
        <v>130072.10029877884</v>
      </c>
    </row>
    <row r="905" spans="1:43">
      <c r="A905" s="10">
        <f>12</f>
        <v>12</v>
      </c>
      <c r="B905" s="11">
        <f>IF($A905&gt;'1-Input'!$B$26,0,IF(G904&lt;=0,0,MAX(0,(G904-H904)/G904)))</f>
        <v>0.47659299283436113</v>
      </c>
      <c r="C905" s="18">
        <f>IF($A905&gt;'1-Input'!$B$26,0,(MAX(0,B891-IF($A905&gt;='1-Input'!$C$12,'1-Input'!$B$12,0))-MIN(MAX(F904,0),MAX(0,B891-IF($A905&gt;='1-Input'!$C$12,'1-Input'!$B$12,0))))*(1/(1-'P-Parametri'!$B$6*B905))+MIN(MAX(0,G904-(MAX(0,B891-IF($A905&gt;='1-Input'!$C$12,'1-Input'!$B$12,0))-MIN(MAX(F904,0),MAX(0,B891-IF($A905&gt;='1-Input'!$C$12,'1-Input'!$B$12,0))))*(1/(1-'P-Parametri'!$B$6*B905))),MAX(0,5*B891-(F904-MIN(MAX(F904,0),MAX(0,B891-IF($A905&gt;='1-Input'!$C$12,'1-Input'!$B$12,0)))))*(1/(1-'P-Parametri'!$B$6*B905))))</f>
        <v>19383.163026399583</v>
      </c>
      <c r="D905" s="18">
        <f>IF($A905&gt;'1-Input'!$B$26,F904,(F904-MAX(0,B891-IF($A905&gt;='1-Input'!$C$12,'1-Input'!$B$12,0))+C905*(1-'P-Parametri'!$B$6*B905))*(1+'1-Input'!$B$27))</f>
        <v>83105.01757746574</v>
      </c>
      <c r="E905" s="18">
        <f>IF($A905&gt;'1-Input'!$B$26,G904,(G904-C905)*(1+$D$4))</f>
        <v>266936.41641493974</v>
      </c>
      <c r="F905" s="18">
        <f>IF($A905&gt;'1-Input'!$B$26,D905,D905-'P-Parametri'!$B$8*(E905+D905)+MIN(MAX(E905,0),'P-Parametri'!$B$8*(E905+D905)))</f>
        <v>83105.01757746574</v>
      </c>
      <c r="G905" s="18">
        <f>IF($A905&gt;'1-Input'!$B$26,E905,E905-MIN(MAX(E905,0),'P-Parametri'!$B$8*(E905+D905)))</f>
        <v>266236.33354695491</v>
      </c>
      <c r="H905" s="18">
        <f>IF($A905&gt;'1-Input'!$B$26,H904,H904-C905*(1-B905))</f>
        <v>134342.68348006182</v>
      </c>
      <c r="I905" s="11">
        <f>IF($A905&gt;'1-Input'!$B$26,0,IF(N904&lt;=0,0,MAX(0,(N904-O904)/N904)))</f>
        <v>0.47415432603875912</v>
      </c>
      <c r="J905" s="18">
        <f>IF($A905&gt;'1-Input'!$B$26,0,(MAX(0,I891-IF($A905&gt;='1-Input'!$C$12,'1-Input'!$B$12,0))-MIN(MAX(M904,0),MAX(0,I891-IF($A905&gt;='1-Input'!$C$12,'1-Input'!$B$12,0))))*(1/(1-'P-Parametri'!$B$6*I905))+MIN(MAX(0,N904-(MAX(0,I891-IF($A905&gt;='1-Input'!$C$12,'1-Input'!$B$12,0))-MIN(MAX(M904,0),MAX(0,I891-IF($A905&gt;='1-Input'!$C$12,'1-Input'!$B$12,0))))*(1/(1-'P-Parametri'!$B$6*I905))),MAX(0,5*I891-(M904-MIN(MAX(M904,0),MAX(0,I891-IF($A905&gt;='1-Input'!$C$12,'1-Input'!$B$12,0)))))*(1/(1-'P-Parametri'!$B$6*I905))))</f>
        <v>25485.716989068696</v>
      </c>
      <c r="K905" s="18">
        <f>IF($A905&gt;'1-Input'!$B$26,M904,(M904-MAX(0,I891-IF($A905&gt;='1-Input'!$C$12,'1-Input'!$B$12,0))+J905*(1-'P-Parametri'!$B$6*I905))*(1+'1-Input'!$B$27))</f>
        <v>109348.70733877072</v>
      </c>
      <c r="L905" s="18">
        <f>IF($A905&gt;'1-Input'!$B$26,N904,(N904-J905)*(1+$D$4))</f>
        <v>134233.53895024082</v>
      </c>
      <c r="M905" s="18">
        <f>IF($A905&gt;'1-Input'!$B$26,K905,K905-'P-Parametri'!$B$8*(L905+K905)+MIN(MAX(L905,0),'P-Parametri'!$B$8*(L905+K905)))</f>
        <v>109348.70733877072</v>
      </c>
      <c r="N905" s="18">
        <f>IF($A905&gt;'1-Input'!$B$26,L905,L905-MIN(MAX(L905,0),'P-Parametri'!$B$8*(L905+K905)))</f>
        <v>133746.37445766281</v>
      </c>
      <c r="O905" s="18">
        <f>IF($A905&gt;'1-Input'!$B$26,O904,O904-J905*(1-I905))</f>
        <v>67871.2747668191</v>
      </c>
      <c r="P905" s="11">
        <f>IF($A905&gt;'1-Input'!$B$26,0,IF(U904&lt;=0,0,MAX(0,(U904-V904)/U904)))</f>
        <v>0.47610552882981499</v>
      </c>
      <c r="Q905" s="18">
        <f>IF($A905&gt;'1-Input'!$B$26,0,(MAX(0,P891-IF($A905&gt;='1-Input'!$C$12,'1-Input'!$B$12,0))-MIN(MAX(T904,0),MAX(0,P891-IF($A905&gt;='1-Input'!$C$12,'1-Input'!$B$12,0))))*(1/(1-'P-Parametri'!$B$6*P905))+MIN(MAX(0,U904-(MAX(0,P891-IF($A905&gt;='1-Input'!$C$12,'1-Input'!$B$12,0))-MIN(MAX(T904,0),MAX(0,P891-IF($A905&gt;='1-Input'!$C$12,'1-Input'!$B$12,0))))*(1/(1-'P-Parametri'!$B$6*P905))),MAX(0,5*P891-(T904-MIN(MAX(T904,0),MAX(0,P891-IF($A905&gt;='1-Input'!$C$12,'1-Input'!$B$12,0)))))*(1/(1-'P-Parametri'!$B$6*P905))))</f>
        <v>20982.015451674964</v>
      </c>
      <c r="R905" s="18">
        <f>IF($A905&gt;'1-Input'!$B$26,T904,(T904-MAX(0,P891-IF($A905&gt;='1-Input'!$C$12,'1-Input'!$B$12,0))+Q905*(1-'P-Parametri'!$B$6*P905))*(1+'1-Input'!$B$27))</f>
        <v>89973.087355227675</v>
      </c>
      <c r="S905" s="18">
        <f>IF($A905&gt;'1-Input'!$B$26,U904,(U904-Q905)*(1+$D$4))</f>
        <v>232198.67560364548</v>
      </c>
      <c r="T905" s="18">
        <f>IF($A905&gt;'1-Input'!$B$26,R905,R905-'P-Parametri'!$B$8*(S905+R905)+MIN(MAX(S905,0),'P-Parametri'!$B$8*(S905+R905)))</f>
        <v>89973.087355227675</v>
      </c>
      <c r="U905" s="18">
        <f>IF($A905&gt;'1-Input'!$B$26,S905,S905-MIN(MAX(S905,0),'P-Parametri'!$B$8*(S905+R905)))</f>
        <v>231554.33207772774</v>
      </c>
      <c r="V905" s="18">
        <f>IF($A905&gt;'1-Input'!$B$26,V904,V904-Q905*(1-P905))</f>
        <v>116968.84842479728</v>
      </c>
      <c r="W905" s="11">
        <f>IF($A905&gt;'1-Input'!$B$26,0,IF(AB904&lt;=0,0,MAX(0,(AB904-AC904)/AB904)))</f>
        <v>0.47616081104687275</v>
      </c>
      <c r="X905" s="18">
        <f>IF($A905&gt;'1-Input'!$B$26,0,(MAX(0,W891-IF($A905&gt;='1-Input'!$C$12,'1-Input'!$B$12,0))-MIN(MAX(AA904,0),MAX(0,W891-IF($A905&gt;='1-Input'!$C$12,'1-Input'!$B$12,0))))*(1/(1-'P-Parametri'!$B$6*W905))+MIN(MAX(0,AB904-(MAX(0,W891-IF($A905&gt;='1-Input'!$C$12,'1-Input'!$B$12,0))-MIN(MAX(AA904,0),MAX(0,W891-IF($A905&gt;='1-Input'!$C$12,'1-Input'!$B$12,0))))*(1/(1-'P-Parametri'!$B$6*W905))),MAX(0,5*W891-(AA904-MIN(MAX(AA904,0),MAX(0,W891-IF($A905&gt;='1-Input'!$C$12,'1-Input'!$B$12,0)))))*(1/(1-'P-Parametri'!$B$6*W905))))</f>
        <v>20812.670493261983</v>
      </c>
      <c r="Y905" s="18">
        <f>IF($A905&gt;'1-Input'!$B$26,AA904,(AA904-MAX(0,W891-IF($A905&gt;='1-Input'!$C$12,'1-Input'!$B$12,0))+X905*(1-'P-Parametri'!$B$6*W905))*(1+'1-Input'!$B$27))</f>
        <v>89245.454371318367</v>
      </c>
      <c r="Z905" s="18">
        <f>IF($A905&gt;'1-Input'!$B$26,AB904,(AB904-X905)*(1+$D$4))</f>
        <v>235878.69920335745</v>
      </c>
      <c r="AA905" s="18">
        <f>IF($A905&gt;'1-Input'!$B$26,Y905,Y905-'P-Parametri'!$B$8*(Z905+Y905)+MIN(MAX(Z905,0),'P-Parametri'!$B$8*(Z905+Y905)))</f>
        <v>89245.454371318367</v>
      </c>
      <c r="AB905" s="18">
        <f>IF($A905&gt;'1-Input'!$B$26,Z905,Z905-MIN(MAX(Z905,0),'P-Parametri'!$B$8*(Z905+Y905)))</f>
        <v>235228.45089620809</v>
      </c>
      <c r="AC905" s="18">
        <f>IF($A905&gt;'1-Input'!$B$26,AC904,AC904-X905*(1-W905))</f>
        <v>118810.10238654367</v>
      </c>
      <c r="AD905" s="11">
        <f>IF($A905&gt;'1-Input'!$B$26,0,IF(AI904&lt;=0,0,MAX(0,(AI904-AJ904)/AI904)))</f>
        <v>0.47617232591163772</v>
      </c>
      <c r="AE905" s="18">
        <f>IF($A905&gt;'1-Input'!$B$26,0,(MAX(0,AD891-IF($A905&gt;='1-Input'!$C$12,'1-Input'!$B$12,0))-MIN(MAX(AH904,0),MAX(0,AD891-IF($A905&gt;='1-Input'!$C$12,'1-Input'!$B$12,0))))*(1/(1-'P-Parametri'!$B$6*AD905))+MIN(MAX(0,AI904-(MAX(0,AD891-IF($A905&gt;='1-Input'!$C$12,'1-Input'!$B$12,0))-MIN(MAX(AH904,0),MAX(0,AD891-IF($A905&gt;='1-Input'!$C$12,'1-Input'!$B$12,0))))*(1/(1-'P-Parametri'!$B$6*AD905))),MAX(0,5*AD891-(AH904-MIN(MAX(AH904,0),MAX(0,AD891-IF($A905&gt;='1-Input'!$C$12,'1-Input'!$B$12,0)))))*(1/(1-'P-Parametri'!$B$6*AD905))))</f>
        <v>20777.032301164531</v>
      </c>
      <c r="AF905" s="18">
        <f>IF($A905&gt;'1-Input'!$B$26,AH904,(AH904-MAX(0,AD891-IF($A905&gt;='1-Input'!$C$12,'1-Input'!$B$12,0))+AE905*(1-'P-Parametri'!$B$6*AD905))*(1+'1-Input'!$B$27))</f>
        <v>89092.332146155182</v>
      </c>
      <c r="AG905" s="18">
        <f>IF($A905&gt;'1-Input'!$B$26,AI904,(AI904-AE905)*(1+$D$4))</f>
        <v>236653.12673850995</v>
      </c>
      <c r="AH905" s="18">
        <f>IF($A905&gt;'1-Input'!$B$26,AF905,AF905-'P-Parametri'!$B$8*(AG905+AF905)+MIN(MAX(AG905,0),'P-Parametri'!$B$8*(AG905+AF905)))</f>
        <v>89092.332146155182</v>
      </c>
      <c r="AI905" s="18">
        <f>IF($A905&gt;'1-Input'!$B$26,AG905,AG905-MIN(MAX(AG905,0),'P-Parametri'!$B$8*(AG905+AF905)))</f>
        <v>236001.63582074063</v>
      </c>
      <c r="AJ905" s="18">
        <f>IF($A905&gt;'1-Input'!$B$26,AJ904,AJ904-AE905*(1-AD905))</f>
        <v>119197.55475497316</v>
      </c>
      <c r="AK905" s="11">
        <f>IF($A905&gt;'1-Input'!$B$26,0,IF(AP904&lt;=0,0,MAX(0,(AP904-AQ904)/AP904)))</f>
        <v>0.47617204398258456</v>
      </c>
      <c r="AL905" s="18">
        <f>IF($A905&gt;'1-Input'!$B$26,0,(MAX(0,AK891-IF($A905&gt;='1-Input'!$C$12,'1-Input'!$B$12,0))-MIN(MAX(AO904,0),MAX(0,AK891-IF($A905&gt;='1-Input'!$C$12,'1-Input'!$B$12,0))))*(1/(1-'P-Parametri'!$B$6*AK905))+MIN(MAX(0,AP904-(MAX(0,AK891-IF($A905&gt;='1-Input'!$C$12,'1-Input'!$B$12,0))-MIN(MAX(AO904,0),MAX(0,AK891-IF($A905&gt;='1-Input'!$C$12,'1-Input'!$B$12,0))))*(1/(1-'P-Parametri'!$B$6*AK905))),MAX(0,5*AK891-(AO904-MIN(MAX(AO904,0),MAX(0,AK891-IF($A905&gt;='1-Input'!$C$12,'1-Input'!$B$12,0)))))*(1/(1-'P-Parametri'!$B$6*AK905))))</f>
        <v>20777.906379177064</v>
      </c>
      <c r="AM905" s="18">
        <f>IF($A905&gt;'1-Input'!$B$26,AO904,(AO904-MAX(0,AK891-IF($A905&gt;='1-Input'!$C$12,'1-Input'!$B$12,0))+AL905*(1-'P-Parametri'!$B$6*AK905))*(1+'1-Input'!$B$27))</f>
        <v>89096.087663925675</v>
      </c>
      <c r="AN905" s="18">
        <f>IF($A905&gt;'1-Input'!$B$26,AP904,(AP904-AL905)*(1+$D$4))</f>
        <v>236634.13288413026</v>
      </c>
      <c r="AO905" s="18">
        <f>IF($A905&gt;'1-Input'!$B$26,AM905,AM905-'P-Parametri'!$B$8*(AN905+AM905)+MIN(MAX(AN905,0),'P-Parametri'!$B$8*(AN905+AM905)))</f>
        <v>89096.087663925675</v>
      </c>
      <c r="AP905" s="18">
        <f>IF($A905&gt;'1-Input'!$B$26,AN905,AN905-MIN(MAX(AN905,0),'P-Parametri'!$B$8*(AN905+AM905)))</f>
        <v>235982.67244303416</v>
      </c>
      <c r="AQ905" s="18">
        <f>IF($A905&gt;'1-Input'!$B$26,AQ904,AQ904-AL905*(1-AK905))</f>
        <v>119188.05206985329</v>
      </c>
    </row>
    <row r="906" spans="1:43">
      <c r="A906" s="10">
        <f>13</f>
        <v>13</v>
      </c>
      <c r="B906" s="11">
        <f>IF($A906&gt;'1-Input'!$B$26,0,IF(G905&lt;=0,0,MAX(0,(G905-H905)/G905)))</f>
        <v>0.49540064013701418</v>
      </c>
      <c r="C906" s="18">
        <f>IF($A906&gt;'1-Input'!$B$26,0,(MAX(0,B891-IF($A906&gt;='1-Input'!$C$12,'1-Input'!$B$12,0))-MIN(MAX(F905,0),MAX(0,B891-IF($A906&gt;='1-Input'!$C$12,'1-Input'!$B$12,0))))*(1/(1-'P-Parametri'!$B$6*B906))+MIN(MAX(0,G905-(MAX(0,B891-IF($A906&gt;='1-Input'!$C$12,'1-Input'!$B$12,0))-MIN(MAX(F905,0),MAX(0,B891-IF($A906&gt;='1-Input'!$C$12,'1-Input'!$B$12,0))))*(1/(1-'P-Parametri'!$B$6*B906))),MAX(0,5*B891-(F905-MIN(MAX(F905,0),MAX(0,B891-IF($A906&gt;='1-Input'!$C$12,'1-Input'!$B$12,0)))))*(1/(1-'P-Parametri'!$B$6*B906))))</f>
        <v>19491.959965892391</v>
      </c>
      <c r="D906" s="18">
        <f>IF($A906&gt;'1-Input'!$B$26,F905,(F905-MAX(0,B891-IF($A906&gt;='1-Input'!$C$12,'1-Input'!$B$12,0))+C906*(1-'P-Parametri'!$B$6*B906))*(1+'1-Input'!$B$27))</f>
        <v>83105.01757746574</v>
      </c>
      <c r="E906" s="18">
        <f>IF($A906&gt;'1-Input'!$B$26,G905,(G905-C906)*(1+$D$4))</f>
        <v>256614.14852430503</v>
      </c>
      <c r="F906" s="18">
        <f>IF($A906&gt;'1-Input'!$B$26,D906,D906-'P-Parametri'!$B$8*(E906+D906)+MIN(MAX(E906,0),'P-Parametri'!$B$8*(E906+D906)))</f>
        <v>83105.01757746574</v>
      </c>
      <c r="G906" s="18">
        <f>IF($A906&gt;'1-Input'!$B$26,E906,E906-MIN(MAX(E906,0),'P-Parametri'!$B$8*(E906+D906)))</f>
        <v>255934.71019210148</v>
      </c>
      <c r="H906" s="18">
        <f>IF($A906&gt;'1-Input'!$B$26,H905,H905-C906*(1-B906))</f>
        <v>124507.05295879758</v>
      </c>
      <c r="I906" s="11">
        <f>IF($A906&gt;'1-Input'!$B$26,0,IF(N905&lt;=0,0,MAX(0,(N905-O905)/N905)))</f>
        <v>0.49253746098139178</v>
      </c>
      <c r="J906" s="18">
        <f>IF($A906&gt;'1-Input'!$B$26,0,(MAX(0,I891-IF($A906&gt;='1-Input'!$C$12,'1-Input'!$B$12,0))-MIN(MAX(M905,0),MAX(0,I891-IF($A906&gt;='1-Input'!$C$12,'1-Input'!$B$12,0))))*(1/(1-'P-Parametri'!$B$6*I906))+MIN(MAX(0,N905-(MAX(0,I891-IF($A906&gt;='1-Input'!$C$12,'1-Input'!$B$12,0))-MIN(MAX(M905,0),MAX(0,I891-IF($A906&gt;='1-Input'!$C$12,'1-Input'!$B$12,0))))*(1/(1-'P-Parametri'!$B$6*I906))),MAX(0,5*I891-(M905-MIN(MAX(M905,0),MAX(0,I891-IF($A906&gt;='1-Input'!$C$12,'1-Input'!$B$12,0)))))*(1/(1-'P-Parametri'!$B$6*I906))))</f>
        <v>25625.419125720706</v>
      </c>
      <c r="K906" s="18">
        <f>IF($A906&gt;'1-Input'!$B$26,M905,(M905-MAX(0,I891-IF($A906&gt;='1-Input'!$C$12,'1-Input'!$B$12,0))+J906*(1-'P-Parametri'!$B$6*I906))*(1+'1-Input'!$B$27))</f>
        <v>109348.70733877072</v>
      </c>
      <c r="L906" s="18">
        <f>IF($A906&gt;'1-Input'!$B$26,N905,(N905-J906)*(1+$D$4))</f>
        <v>112445.79354521979</v>
      </c>
      <c r="M906" s="18">
        <f>IF($A906&gt;'1-Input'!$B$26,K906,K906-'P-Parametri'!$B$8*(L906+K906)+MIN(MAX(L906,0),'P-Parametri'!$B$8*(L906+K906)))</f>
        <v>109348.70733877072</v>
      </c>
      <c r="N906" s="18">
        <f>IF($A906&gt;'1-Input'!$B$26,L906,L906-MIN(MAX(L906,0),'P-Parametri'!$B$8*(L906+K906)))</f>
        <v>112002.20454345181</v>
      </c>
      <c r="O906" s="18">
        <f>IF($A906&gt;'1-Input'!$B$26,O905,O905-J906*(1-I906))</f>
        <v>54867.334513864866</v>
      </c>
      <c r="P906" s="11">
        <f>IF($A906&gt;'1-Input'!$B$26,0,IF(U905&lt;=0,0,MAX(0,(U905-V905)/U905)))</f>
        <v>0.49485355175504386</v>
      </c>
      <c r="Q906" s="18">
        <f>IF($A906&gt;'1-Input'!$B$26,0,(MAX(0,P891-IF($A906&gt;='1-Input'!$C$12,'1-Input'!$B$12,0))-MIN(MAX(T905,0),MAX(0,P891-IF($A906&gt;='1-Input'!$C$12,'1-Input'!$B$12,0))))*(1/(1-'P-Parametri'!$B$6*P906))+MIN(MAX(0,U905-(MAX(0,P891-IF($A906&gt;='1-Input'!$C$12,'1-Input'!$B$12,0))-MIN(MAX(T905,0),MAX(0,P891-IF($A906&gt;='1-Input'!$C$12,'1-Input'!$B$12,0))))*(1/(1-'P-Parametri'!$B$6*P906))),MAX(0,5*P891-(T905-MIN(MAX(T905,0),MAX(0,P891-IF($A906&gt;='1-Input'!$C$12,'1-Input'!$B$12,0)))))*(1/(1-'P-Parametri'!$B$6*P906))))</f>
        <v>21099.394162070737</v>
      </c>
      <c r="R906" s="18">
        <f>IF($A906&gt;'1-Input'!$B$26,T905,(T905-MAX(0,P891-IF($A906&gt;='1-Input'!$C$12,'1-Input'!$B$12,0))+Q906*(1-'P-Parametri'!$B$6*P906))*(1+'1-Input'!$B$27))</f>
        <v>89973.087355227675</v>
      </c>
      <c r="S906" s="18">
        <f>IF($A906&gt;'1-Input'!$B$26,U905,(U905-Q906)*(1+$D$4))</f>
        <v>218873.13543228331</v>
      </c>
      <c r="T906" s="18">
        <f>IF($A906&gt;'1-Input'!$B$26,R906,R906-'P-Parametri'!$B$8*(S906+R906)+MIN(MAX(S906,0),'P-Parametri'!$B$8*(S906+R906)))</f>
        <v>89973.087355227675</v>
      </c>
      <c r="U906" s="18">
        <f>IF($A906&gt;'1-Input'!$B$26,S906,S906-MIN(MAX(S906,0),'P-Parametri'!$B$8*(S906+R906)))</f>
        <v>218255.44298670828</v>
      </c>
      <c r="V906" s="18">
        <f>IF($A906&gt;'1-Input'!$B$26,V905,V905-Q906*(1-P906))</f>
        <v>106310.56440370689</v>
      </c>
      <c r="W906" s="11">
        <f>IF($A906&gt;'1-Input'!$B$26,0,IF(AB905&lt;=0,0,MAX(0,(AB905-AC905)/AB905)))</f>
        <v>0.49491610417922066</v>
      </c>
      <c r="X906" s="18">
        <f>IF($A906&gt;'1-Input'!$B$26,0,(MAX(0,W891-IF($A906&gt;='1-Input'!$C$12,'1-Input'!$B$12,0))-MIN(MAX(AA905,0),MAX(0,W891-IF($A906&gt;='1-Input'!$C$12,'1-Input'!$B$12,0))))*(1/(1-'P-Parametri'!$B$6*W906))+MIN(MAX(0,AB905-(MAX(0,W891-IF($A906&gt;='1-Input'!$C$12,'1-Input'!$B$12,0))-MIN(MAX(AA905,0),MAX(0,W891-IF($A906&gt;='1-Input'!$C$12,'1-Input'!$B$12,0))))*(1/(1-'P-Parametri'!$B$6*W906))),MAX(0,5*W891-(AA905-MIN(MAX(AA905,0),MAX(0,W891-IF($A906&gt;='1-Input'!$C$12,'1-Input'!$B$12,0)))))*(1/(1-'P-Parametri'!$B$6*W906))))</f>
        <v>20929.149169507167</v>
      </c>
      <c r="Y906" s="18">
        <f>IF($A906&gt;'1-Input'!$B$26,AA905,(AA905-MAX(0,W891-IF($A906&gt;='1-Input'!$C$12,'1-Input'!$B$12,0))+X906*(1-'P-Parametri'!$B$6*W906))*(1+'1-Input'!$B$27))</f>
        <v>89245.454371318367</v>
      </c>
      <c r="Z906" s="18">
        <f>IF($A906&gt;'1-Input'!$B$26,AB905,(AB905-X906)*(1+$D$4))</f>
        <v>222871.27379576897</v>
      </c>
      <c r="AA906" s="18">
        <f>IF($A906&gt;'1-Input'!$B$26,Y906,Y906-'P-Parametri'!$B$8*(Z906+Y906)+MIN(MAX(Z906,0),'P-Parametri'!$B$8*(Z906+Y906)))</f>
        <v>89245.454371318367</v>
      </c>
      <c r="AB906" s="18">
        <f>IF($A906&gt;'1-Input'!$B$26,Z906,Z906-MIN(MAX(Z906,0),'P-Parametri'!$B$8*(Z906+Y906)))</f>
        <v>222247.04033943478</v>
      </c>
      <c r="AC906" s="18">
        <f>IF($A906&gt;'1-Input'!$B$26,AC905,AC905-X906*(1-W906))</f>
        <v>108239.12618779477</v>
      </c>
      <c r="AD906" s="11">
        <f>IF($A906&gt;'1-Input'!$B$26,0,IF(AI905&lt;=0,0,MAX(0,(AI905-AJ905)/AI905)))</f>
        <v>0.49492911631548248</v>
      </c>
      <c r="AE906" s="18">
        <f>IF($A906&gt;'1-Input'!$B$26,0,(MAX(0,AD891-IF($A906&gt;='1-Input'!$C$12,'1-Input'!$B$12,0))-MIN(MAX(AH905,0),MAX(0,AD891-IF($A906&gt;='1-Input'!$C$12,'1-Input'!$B$12,0))))*(1/(1-'P-Parametri'!$B$6*AD906))+MIN(MAX(0,AI905-(MAX(0,AD891-IF($A906&gt;='1-Input'!$C$12,'1-Input'!$B$12,0))-MIN(MAX(AH905,0),MAX(0,AD891-IF($A906&gt;='1-Input'!$C$12,'1-Input'!$B$12,0))))*(1/(1-'P-Parametri'!$B$6*AD906))),MAX(0,5*AD891-(AH905-MIN(MAX(AH905,0),MAX(0,AD891-IF($A906&gt;='1-Input'!$C$12,'1-Input'!$B$12,0)))))*(1/(1-'P-Parametri'!$B$6*AD906))))</f>
        <v>20893.321261620385</v>
      </c>
      <c r="AF906" s="18">
        <f>IF($A906&gt;'1-Input'!$B$26,AH905,(AH905-MAX(0,AD891-IF($A906&gt;='1-Input'!$C$12,'1-Input'!$B$12,0))+AE906*(1-'P-Parametri'!$B$6*AD906))*(1+'1-Input'!$B$27))</f>
        <v>89092.332146155182</v>
      </c>
      <c r="AG906" s="18">
        <f>IF($A906&gt;'1-Input'!$B$26,AI905,(AI905-AE906)*(1+$D$4))</f>
        <v>223712.64714148507</v>
      </c>
      <c r="AH906" s="18">
        <f>IF($A906&gt;'1-Input'!$B$26,AF906,AF906-'P-Parametri'!$B$8*(AG906+AF906)+MIN(MAX(AG906,0),'P-Parametri'!$B$8*(AG906+AF906)))</f>
        <v>89092.332146155182</v>
      </c>
      <c r="AI906" s="18">
        <f>IF($A906&gt;'1-Input'!$B$26,AG906,AG906-MIN(MAX(AG906,0),'P-Parametri'!$B$8*(AG906+AF906)))</f>
        <v>223087.03718290979</v>
      </c>
      <c r="AJ906" s="18">
        <f>IF($A906&gt;'1-Input'!$B$26,AJ905,AJ905-AE906*(1-AD906))</f>
        <v>108644.94652226203</v>
      </c>
      <c r="AK906" s="11">
        <f>IF($A906&gt;'1-Input'!$B$26,0,IF(AP905&lt;=0,0,MAX(0,(AP905-AQ905)/AP905)))</f>
        <v>0.49492879779711324</v>
      </c>
      <c r="AL906" s="18">
        <f>IF($A906&gt;'1-Input'!$B$26,0,(MAX(0,AK891-IF($A906&gt;='1-Input'!$C$12,'1-Input'!$B$12,0))-MIN(MAX(AO905,0),MAX(0,AK891-IF($A906&gt;='1-Input'!$C$12,'1-Input'!$B$12,0))))*(1/(1-'P-Parametri'!$B$6*AK906))+MIN(MAX(0,AP905-(MAX(0,AK891-IF($A906&gt;='1-Input'!$C$12,'1-Input'!$B$12,0))-MIN(MAX(AO905,0),MAX(0,AK891-IF($A906&gt;='1-Input'!$C$12,'1-Input'!$B$12,0))))*(1/(1-'P-Parametri'!$B$6*AK906))),MAX(0,5*AK891-(AO905-MIN(MAX(AO905,0),MAX(0,AK891-IF($A906&gt;='1-Input'!$C$12,'1-Input'!$B$12,0)))))*(1/(1-'P-Parametri'!$B$6*AK906))))</f>
        <v>20894.199993933453</v>
      </c>
      <c r="AM906" s="18">
        <f>IF($A906&gt;'1-Input'!$B$26,AO905,(AO905-MAX(0,AK891-IF($A906&gt;='1-Input'!$C$12,'1-Input'!$B$12,0))+AL906*(1-'P-Parametri'!$B$6*AK906))*(1+'1-Input'!$B$27))</f>
        <v>89096.087663925675</v>
      </c>
      <c r="AN906" s="18">
        <f>IF($A906&gt;'1-Input'!$B$26,AP905,(AP905-AL906)*(1+$D$4))</f>
        <v>223692.01134706472</v>
      </c>
      <c r="AO906" s="18">
        <f>IF($A906&gt;'1-Input'!$B$26,AM906,AM906-'P-Parametri'!$B$8*(AN906+AM906)+MIN(MAX(AN906,0),'P-Parametri'!$B$8*(AN906+AM906)))</f>
        <v>89096.087663925675</v>
      </c>
      <c r="AP906" s="18">
        <f>IF($A906&gt;'1-Input'!$B$26,AN906,AN906-MIN(MAX(AN906,0),'P-Parametri'!$B$8*(AN906+AM906)))</f>
        <v>223066.43514904275</v>
      </c>
      <c r="AQ906" s="18">
        <f>IF($A906&gt;'1-Input'!$B$26,AQ905,AQ905-AL906*(1-AK906))</f>
        <v>108634.99335984977</v>
      </c>
    </row>
    <row r="907" spans="1:43">
      <c r="A907" s="10">
        <f>14</f>
        <v>14</v>
      </c>
      <c r="B907" s="11">
        <f>IF($A907&gt;'1-Input'!$B$26,0,IF(G906&lt;=0,0,MAX(0,(G906-H906)/G906)))</f>
        <v>0.51352025340625307</v>
      </c>
      <c r="C907" s="18">
        <f>IF($A907&gt;'1-Input'!$B$26,0,(MAX(0,B891-IF($A907&gt;='1-Input'!$C$12,'1-Input'!$B$12,0))-MIN(MAX(F906,0),MAX(0,B891-IF($A907&gt;='1-Input'!$C$12,'1-Input'!$B$12,0))))*(1/(1-'P-Parametri'!$B$6*B907))+MIN(MAX(0,G906-(MAX(0,B891-IF($A907&gt;='1-Input'!$C$12,'1-Input'!$B$12,0))-MIN(MAX(F906,0),MAX(0,B891-IF($A907&gt;='1-Input'!$C$12,'1-Input'!$B$12,0))))*(1/(1-'P-Parametri'!$B$6*B907))),MAX(0,5*B891-(F906-MIN(MAX(F906,0),MAX(0,B891-IF($A907&gt;='1-Input'!$C$12,'1-Input'!$B$12,0)))))*(1/(1-'P-Parametri'!$B$6*B907))))</f>
        <v>19597.938246015972</v>
      </c>
      <c r="D907" s="18">
        <f>IF($A907&gt;'1-Input'!$B$26,F906,(F906-MAX(0,B891-IF($A907&gt;='1-Input'!$C$12,'1-Input'!$B$12,0))+C907*(1-'P-Parametri'!$B$6*B907))*(1+'1-Input'!$B$27))</f>
        <v>83105.01757746574</v>
      </c>
      <c r="E907" s="18">
        <f>IF($A907&gt;'1-Input'!$B$26,G906,(G906-C907)*(1+$D$4))</f>
        <v>245790.24282392891</v>
      </c>
      <c r="F907" s="18">
        <f>IF($A907&gt;'1-Input'!$B$26,D907,D907-'P-Parametri'!$B$8*(E907+D907)+MIN(MAX(E907,0),'P-Parametri'!$B$8*(E907+D907)))</f>
        <v>83105.01757746574</v>
      </c>
      <c r="G907" s="18">
        <f>IF($A907&gt;'1-Input'!$B$26,E907,E907-MIN(MAX(E907,0),'P-Parametri'!$B$8*(E907+D907)))</f>
        <v>245132.45230312613</v>
      </c>
      <c r="H907" s="18">
        <f>IF($A907&gt;'1-Input'!$B$26,H906,H906-C907*(1-B907))</f>
        <v>114973.05292711583</v>
      </c>
      <c r="I907" s="11">
        <f>IF($A907&gt;'1-Input'!$B$26,0,IF(N906&lt;=0,0,MAX(0,(N906-O906)/N906)))</f>
        <v>0.5101227271595461</v>
      </c>
      <c r="J907" s="18">
        <f>IF($A907&gt;'1-Input'!$B$26,0,(MAX(0,I891-IF($A907&gt;='1-Input'!$C$12,'1-Input'!$B$12,0))-MIN(MAX(M906,0),MAX(0,I891-IF($A907&gt;='1-Input'!$C$12,'1-Input'!$B$12,0))))*(1/(1-'P-Parametri'!$B$6*I907))+MIN(MAX(0,N906-(MAX(0,I891-IF($A907&gt;='1-Input'!$C$12,'1-Input'!$B$12,0))-MIN(MAX(M906,0),MAX(0,I891-IF($A907&gt;='1-Input'!$C$12,'1-Input'!$B$12,0))))*(1/(1-'P-Parametri'!$B$6*I907))),MAX(0,5*I891-(M906-MIN(MAX(M906,0),MAX(0,I891-IF($A907&gt;='1-Input'!$C$12,'1-Input'!$B$12,0)))))*(1/(1-'P-Parametri'!$B$6*I907))))</f>
        <v>25760.498745837809</v>
      </c>
      <c r="K907" s="18">
        <f>IF($A907&gt;'1-Input'!$B$26,M906,(M906-MAX(0,I891-IF($A907&gt;='1-Input'!$C$12,'1-Input'!$B$12,0))+J907*(1-'P-Parametri'!$B$6*I907))*(1+'1-Input'!$B$27))</f>
        <v>109348.70733877072</v>
      </c>
      <c r="L907" s="18">
        <f>IF($A907&gt;'1-Input'!$B$26,N906,(N906-J907)*(1+$D$4))</f>
        <v>89691.374029518571</v>
      </c>
      <c r="M907" s="18">
        <f>IF($A907&gt;'1-Input'!$B$26,K907,K907-'P-Parametri'!$B$8*(L907+K907)+MIN(MAX(L907,0),'P-Parametri'!$B$8*(L907+K907)))</f>
        <v>109348.70733877072</v>
      </c>
      <c r="N907" s="18">
        <f>IF($A907&gt;'1-Input'!$B$26,L907,L907-MIN(MAX(L907,0),'P-Parametri'!$B$8*(L907+K907)))</f>
        <v>89293.293866781998</v>
      </c>
      <c r="O907" s="18">
        <f>IF($A907&gt;'1-Input'!$B$26,O906,O906-J907*(1-I907))</f>
        <v>42247.851641243906</v>
      </c>
      <c r="P907" s="11">
        <f>IF($A907&gt;'1-Input'!$B$26,0,IF(U906&lt;=0,0,MAX(0,(U906-V906)/U906)))</f>
        <v>0.51290761435818499</v>
      </c>
      <c r="Q907" s="18">
        <f>IF($A907&gt;'1-Input'!$B$26,0,(MAX(0,P891-IF($A907&gt;='1-Input'!$C$12,'1-Input'!$B$12,0))-MIN(MAX(T906,0),MAX(0,P891-IF($A907&gt;='1-Input'!$C$12,'1-Input'!$B$12,0))))*(1/(1-'P-Parametri'!$B$6*P907))+MIN(MAX(0,U906-(MAX(0,P891-IF($A907&gt;='1-Input'!$C$12,'1-Input'!$B$12,0))-MIN(MAX(T906,0),MAX(0,P891-IF($A907&gt;='1-Input'!$C$12,'1-Input'!$B$12,0))))*(1/(1-'P-Parametri'!$B$6*P907))),MAX(0,5*P891-(T906-MIN(MAX(T906,0),MAX(0,P891-IF($A907&gt;='1-Input'!$C$12,'1-Input'!$B$12,0)))))*(1/(1-'P-Parametri'!$B$6*P907))))</f>
        <v>21213.676083237166</v>
      </c>
      <c r="R907" s="18">
        <f>IF($A907&gt;'1-Input'!$B$26,T906,(T906-MAX(0,P891-IF($A907&gt;='1-Input'!$C$12,'1-Input'!$B$12,0))+Q907*(1-'P-Parametri'!$B$6*P907))*(1+'1-Input'!$B$27))</f>
        <v>89973.087355227675</v>
      </c>
      <c r="S907" s="18">
        <f>IF($A907&gt;'1-Input'!$B$26,U906,(U906-Q907)*(1+$D$4))</f>
        <v>204923.43757960998</v>
      </c>
      <c r="T907" s="18">
        <f>IF($A907&gt;'1-Input'!$B$26,R907,R907-'P-Parametri'!$B$8*(S907+R907)+MIN(MAX(S907,0),'P-Parametri'!$B$8*(S907+R907)))</f>
        <v>89973.087355227675</v>
      </c>
      <c r="U907" s="18">
        <f>IF($A907&gt;'1-Input'!$B$26,S907,S907-MIN(MAX(S907,0),'P-Parametri'!$B$8*(S907+R907)))</f>
        <v>204333.6445297403</v>
      </c>
      <c r="V907" s="18">
        <f>IF($A907&gt;'1-Input'!$B$26,V906,V906-Q907*(1-P907))</f>
        <v>95977.544312090176</v>
      </c>
      <c r="W907" s="11">
        <f>IF($A907&gt;'1-Input'!$B$26,0,IF(AB906&lt;=0,0,MAX(0,(AB906-AC906)/AB906)))</f>
        <v>0.51297832347966177</v>
      </c>
      <c r="X907" s="18">
        <f>IF($A907&gt;'1-Input'!$B$26,0,(MAX(0,W891-IF($A907&gt;='1-Input'!$C$12,'1-Input'!$B$12,0))-MIN(MAX(AA906,0),MAX(0,W891-IF($A907&gt;='1-Input'!$C$12,'1-Input'!$B$12,0))))*(1/(1-'P-Parametri'!$B$6*W907))+MIN(MAX(0,AB906-(MAX(0,W891-IF($A907&gt;='1-Input'!$C$12,'1-Input'!$B$12,0))-MIN(MAX(AA906,0),MAX(0,W891-IF($A907&gt;='1-Input'!$C$12,'1-Input'!$B$12,0))))*(1/(1-'P-Parametri'!$B$6*W907))),MAX(0,5*W891-(AA906-MIN(MAX(AA906,0),MAX(0,W891-IF($A907&gt;='1-Input'!$C$12,'1-Input'!$B$12,0)))))*(1/(1-'P-Parametri'!$B$6*W907))))</f>
        <v>21042.562603483184</v>
      </c>
      <c r="Y907" s="18">
        <f>IF($A907&gt;'1-Input'!$B$26,AA906,(AA906-MAX(0,W891-IF($A907&gt;='1-Input'!$C$12,'1-Input'!$B$12,0))+X907*(1-'P-Parametri'!$B$6*W907))*(1+'1-Input'!$B$27))</f>
        <v>89245.454371318367</v>
      </c>
      <c r="Z907" s="18">
        <f>IF($A907&gt;'1-Input'!$B$26,AB906,(AB906-X907)*(1+$D$4))</f>
        <v>209252.65684538966</v>
      </c>
      <c r="AA907" s="18">
        <f>IF($A907&gt;'1-Input'!$B$26,Y907,Y907-'P-Parametri'!$B$8*(Z907+Y907)+MIN(MAX(Z907,0),'P-Parametri'!$B$8*(Z907+Y907)))</f>
        <v>89245.454371318367</v>
      </c>
      <c r="AB907" s="18">
        <f>IF($A907&gt;'1-Input'!$B$26,Z907,Z907-MIN(MAX(Z907,0),'P-Parametri'!$B$8*(Z907+Y907)))</f>
        <v>208655.66062295623</v>
      </c>
      <c r="AC907" s="18">
        <f>IF($A907&gt;'1-Input'!$B$26,AC906,AC906-X907*(1-W907))</f>
        <v>97990.942070362216</v>
      </c>
      <c r="AD907" s="11">
        <f>IF($A907&gt;'1-Input'!$B$26,0,IF(AI906&lt;=0,0,MAX(0,(AI906-AJ906)/AI906)))</f>
        <v>0.51299300983954665</v>
      </c>
      <c r="AE907" s="18">
        <f>IF($A907&gt;'1-Input'!$B$26,0,(MAX(0,AD891-IF($A907&gt;='1-Input'!$C$12,'1-Input'!$B$12,0))-MIN(MAX(AH906,0),MAX(0,AD891-IF($A907&gt;='1-Input'!$C$12,'1-Input'!$B$12,0))))*(1/(1-'P-Parametri'!$B$6*AD907))+MIN(MAX(0,AI906-(MAX(0,AD891-IF($A907&gt;='1-Input'!$C$12,'1-Input'!$B$12,0))-MIN(MAX(AH906,0),MAX(0,AD891-IF($A907&gt;='1-Input'!$C$12,'1-Input'!$B$12,0))))*(1/(1-'P-Parametri'!$B$6*AD907))),MAX(0,5*AD891-(AH906-MIN(MAX(AH906,0),MAX(0,AD891-IF($A907&gt;='1-Input'!$C$12,'1-Input'!$B$12,0)))))*(1/(1-'P-Parametri'!$B$6*AD907))))</f>
        <v>21006.551540376244</v>
      </c>
      <c r="AF907" s="18">
        <f>IF($A907&gt;'1-Input'!$B$26,AH906,(AH906-MAX(0,AD891-IF($A907&gt;='1-Input'!$C$12,'1-Input'!$B$12,0))+AE907*(1-'P-Parametri'!$B$6*AD907))*(1+'1-Input'!$B$27))</f>
        <v>89092.332146155182</v>
      </c>
      <c r="AG907" s="18">
        <f>IF($A907&gt;'1-Input'!$B$26,AI906,(AI906-AE907)*(1+$D$4))</f>
        <v>210163.70506823491</v>
      </c>
      <c r="AH907" s="18">
        <f>IF($A907&gt;'1-Input'!$B$26,AF907,AF907-'P-Parametri'!$B$8*(AG907+AF907)+MIN(MAX(AG907,0),'P-Parametri'!$B$8*(AG907+AF907)))</f>
        <v>89092.332146155182</v>
      </c>
      <c r="AI907" s="18">
        <f>IF($A907&gt;'1-Input'!$B$26,AG907,AG907-MIN(MAX(AG907,0),'P-Parametri'!$B$8*(AG907+AF907)))</f>
        <v>209565.19299380612</v>
      </c>
      <c r="AJ907" s="18">
        <f>IF($A907&gt;'1-Input'!$B$26,AJ906,AJ906-AE907*(1-AD907))</f>
        <v>98414.609082932962</v>
      </c>
      <c r="AK907" s="11">
        <f>IF($A907&gt;'1-Input'!$B$26,0,IF(AP906&lt;=0,0,MAX(0,(AP906-AQ906)/AP906)))</f>
        <v>0.51299265043051023</v>
      </c>
      <c r="AL907" s="18">
        <f>IF($A907&gt;'1-Input'!$B$26,0,(MAX(0,AK891-IF($A907&gt;='1-Input'!$C$12,'1-Input'!$B$12,0))-MIN(MAX(AO906,0),MAX(0,AK891-IF($A907&gt;='1-Input'!$C$12,'1-Input'!$B$12,0))))*(1/(1-'P-Parametri'!$B$6*AK907))+MIN(MAX(0,AP906-(MAX(0,AK891-IF($A907&gt;='1-Input'!$C$12,'1-Input'!$B$12,0))-MIN(MAX(AO906,0),MAX(0,AK891-IF($A907&gt;='1-Input'!$C$12,'1-Input'!$B$12,0))))*(1/(1-'P-Parametri'!$B$6*AK907))),MAX(0,5*AK891-(AO906-MIN(MAX(AO906,0),MAX(0,AK891-IF($A907&gt;='1-Input'!$C$12,'1-Input'!$B$12,0)))))*(1/(1-'P-Parametri'!$B$6*AK907))))</f>
        <v>21007.434766397328</v>
      </c>
      <c r="AM907" s="18">
        <f>IF($A907&gt;'1-Input'!$B$26,AO906,(AO906-MAX(0,AK891-IF($A907&gt;='1-Input'!$C$12,'1-Input'!$B$12,0))+AL907*(1-'P-Parametri'!$B$6*AK907))*(1+'1-Input'!$B$27))</f>
        <v>89096.087663925675</v>
      </c>
      <c r="AN907" s="18">
        <f>IF($A907&gt;'1-Input'!$B$26,AP906,(AP906-AL907)*(1+$D$4))</f>
        <v>210141.36039795127</v>
      </c>
      <c r="AO907" s="18">
        <f>IF($A907&gt;'1-Input'!$B$26,AM907,AM907-'P-Parametri'!$B$8*(AN907+AM907)+MIN(MAX(AN907,0),'P-Parametri'!$B$8*(AN907+AM907)))</f>
        <v>89096.087663925675</v>
      </c>
      <c r="AP907" s="18">
        <f>IF($A907&gt;'1-Input'!$B$26,AN907,AN907-MIN(MAX(AN907,0),'P-Parametri'!$B$8*(AN907+AM907)))</f>
        <v>209542.88550182752</v>
      </c>
      <c r="AQ907" s="18">
        <f>IF($A907&gt;'1-Input'!$B$26,AQ906,AQ906-AL907*(1-AK907))</f>
        <v>98404.218233012652</v>
      </c>
    </row>
    <row r="908" spans="1:43">
      <c r="A908" s="10">
        <f>15</f>
        <v>15</v>
      </c>
      <c r="B908" s="11">
        <f>IF($A908&gt;'1-Input'!$B$26,0,IF(G907&lt;=0,0,MAX(0,(G907-H907)/G907)))</f>
        <v>0.53097579758659474</v>
      </c>
      <c r="C908" s="18">
        <f>IF($A908&gt;'1-Input'!$B$26,0,(MAX(0,B891-IF($A908&gt;='1-Input'!$C$12,'1-Input'!$B$12,0))-MIN(MAX(F907,0),MAX(0,B891-IF($A908&gt;='1-Input'!$C$12,'1-Input'!$B$12,0))))*(1/(1-'P-Parametri'!$B$6*B908))+MIN(MAX(0,G907-(MAX(0,B891-IF($A908&gt;='1-Input'!$C$12,'1-Input'!$B$12,0))-MIN(MAX(F907,0),MAX(0,B891-IF($A908&gt;='1-Input'!$C$12,'1-Input'!$B$12,0))))*(1/(1-'P-Parametri'!$B$6*B908))),MAX(0,5*B891-(F907-MIN(MAX(F907,0),MAX(0,B891-IF($A908&gt;='1-Input'!$C$12,'1-Input'!$B$12,0)))))*(1/(1-'P-Parametri'!$B$6*B908))))</f>
        <v>19701.128081338629</v>
      </c>
      <c r="D908" s="18">
        <f>IF($A908&gt;'1-Input'!$B$26,F907,(F907-MAX(0,B891-IF($A908&gt;='1-Input'!$C$12,'1-Input'!$B$12,0))+C908*(1-'P-Parametri'!$B$6*B908))*(1+'1-Input'!$B$27))</f>
        <v>83105.01757746574</v>
      </c>
      <c r="E908" s="18">
        <f>IF($A908&gt;'1-Input'!$B$26,G907,(G907-C908)*(1+$D$4))</f>
        <v>234448.57719065901</v>
      </c>
      <c r="F908" s="18">
        <f>IF($A908&gt;'1-Input'!$B$26,D908,D908-'P-Parametri'!$B$8*(E908+D908)+MIN(MAX(E908,0),'P-Parametri'!$B$8*(E908+D908)))</f>
        <v>83105.01757746574</v>
      </c>
      <c r="G908" s="18">
        <f>IF($A908&gt;'1-Input'!$B$26,E908,E908-MIN(MAX(E908,0),'P-Parametri'!$B$8*(E908+D908)))</f>
        <v>233813.47000112277</v>
      </c>
      <c r="H908" s="18">
        <f>IF($A908&gt;'1-Input'!$B$26,H907,H907-C908*(1-B908))</f>
        <v>105732.74704212164</v>
      </c>
      <c r="I908" s="11">
        <f>IF($A908&gt;'1-Input'!$B$26,0,IF(N907&lt;=0,0,MAX(0,(N907-O907)/N907)))</f>
        <v>0.52686422673270283</v>
      </c>
      <c r="J908" s="18">
        <f>IF($A908&gt;'1-Input'!$B$26,0,(MAX(0,I891-IF($A908&gt;='1-Input'!$C$12,'1-Input'!$B$12,0))-MIN(MAX(M907,0),MAX(0,I891-IF($A908&gt;='1-Input'!$C$12,'1-Input'!$B$12,0))))*(1/(1-'P-Parametri'!$B$6*I908))+MIN(MAX(0,N907-(MAX(0,I891-IF($A908&gt;='1-Input'!$C$12,'1-Input'!$B$12,0))-MIN(MAX(M907,0),MAX(0,I891-IF($A908&gt;='1-Input'!$C$12,'1-Input'!$B$12,0))))*(1/(1-'P-Parametri'!$B$6*I908))),MAX(0,5*I891-(M907-MIN(MAX(M907,0),MAX(0,I891-IF($A908&gt;='1-Input'!$C$12,'1-Input'!$B$12,0)))))*(1/(1-'P-Parametri'!$B$6*I908))))</f>
        <v>25890.426961873673</v>
      </c>
      <c r="K908" s="18">
        <f>IF($A908&gt;'1-Input'!$B$26,M907,(M907-MAX(0,I891-IF($A908&gt;='1-Input'!$C$12,'1-Input'!$B$12,0))+J908*(1-'P-Parametri'!$B$6*I908))*(1+'1-Input'!$B$27))</f>
        <v>109348.70733877072</v>
      </c>
      <c r="L908" s="18">
        <f>IF($A908&gt;'1-Input'!$B$26,N907,(N907-J908)*(1+$D$4))</f>
        <v>65938.981581104657</v>
      </c>
      <c r="M908" s="18">
        <f>IF($A908&gt;'1-Input'!$B$26,K908,K908-'P-Parametri'!$B$8*(L908+K908)+MIN(MAX(L908,0),'P-Parametri'!$B$8*(L908+K908)))</f>
        <v>109348.70733877072</v>
      </c>
      <c r="N908" s="18">
        <f>IF($A908&gt;'1-Input'!$B$26,L908,L908-MIN(MAX(L908,0),'P-Parametri'!$B$8*(L908+K908)))</f>
        <v>65588.406203264909</v>
      </c>
      <c r="O908" s="18">
        <f>IF($A908&gt;'1-Input'!$B$26,O907,O907-J908*(1-I908))</f>
        <v>29998.164460417327</v>
      </c>
      <c r="P908" s="11">
        <f>IF($A908&gt;'1-Input'!$B$26,0,IF(U907&lt;=0,0,MAX(0,(U907-V907)/U907)))</f>
        <v>0.53029005804219942</v>
      </c>
      <c r="Q908" s="18">
        <f>IF($A908&gt;'1-Input'!$B$26,0,(MAX(0,P891-IF($A908&gt;='1-Input'!$C$12,'1-Input'!$B$12,0))-MIN(MAX(T907,0),MAX(0,P891-IF($A908&gt;='1-Input'!$C$12,'1-Input'!$B$12,0))))*(1/(1-'P-Parametri'!$B$6*P908))+MIN(MAX(0,U907-(MAX(0,P891-IF($A908&gt;='1-Input'!$C$12,'1-Input'!$B$12,0))-MIN(MAX(T907,0),MAX(0,P891-IF($A908&gt;='1-Input'!$C$12,'1-Input'!$B$12,0))))*(1/(1-'P-Parametri'!$B$6*P908))),MAX(0,5*P891-(T907-MIN(MAX(T907,0),MAX(0,P891-IF($A908&gt;='1-Input'!$C$12,'1-Input'!$B$12,0)))))*(1/(1-'P-Parametri'!$B$6*P908))))</f>
        <v>21324.882560164795</v>
      </c>
      <c r="R908" s="18">
        <f>IF($A908&gt;'1-Input'!$B$26,T907,(T907-MAX(0,P891-IF($A908&gt;='1-Input'!$C$12,'1-Input'!$B$12,0))+Q908*(1-'P-Parametri'!$B$6*P908))*(1+'1-Input'!$B$27))</f>
        <v>89973.087355227675</v>
      </c>
      <c r="S908" s="18">
        <f>IF($A908&gt;'1-Input'!$B$26,U907,(U907-Q908)*(1+$D$4))</f>
        <v>190329.11244835853</v>
      </c>
      <c r="T908" s="18">
        <f>IF($A908&gt;'1-Input'!$B$26,R908,R908-'P-Parametri'!$B$8*(S908+R908)+MIN(MAX(S908,0),'P-Parametri'!$B$8*(S908+R908)))</f>
        <v>89973.087355227675</v>
      </c>
      <c r="U908" s="18">
        <f>IF($A908&gt;'1-Input'!$B$26,S908,S908-MIN(MAX(S908,0),'P-Parametri'!$B$8*(S908+R908)))</f>
        <v>189768.50804875136</v>
      </c>
      <c r="V908" s="18">
        <f>IF($A908&gt;'1-Input'!$B$26,V907,V907-Q908*(1-P908))</f>
        <v>85961.034962498263</v>
      </c>
      <c r="W908" s="11">
        <f>IF($A908&gt;'1-Input'!$B$26,0,IF(AB907&lt;=0,0,MAX(0,(AB907-AC907)/AB907)))</f>
        <v>0.53037007585702045</v>
      </c>
      <c r="X908" s="18">
        <f>IF($A908&gt;'1-Input'!$B$26,0,(MAX(0,W891-IF($A908&gt;='1-Input'!$C$12,'1-Input'!$B$12,0))-MIN(MAX(AA907,0),MAX(0,W891-IF($A908&gt;='1-Input'!$C$12,'1-Input'!$B$12,0))))*(1/(1-'P-Parametri'!$B$6*W908))+MIN(MAX(0,AB907-(MAX(0,W891-IF($A908&gt;='1-Input'!$C$12,'1-Input'!$B$12,0))-MIN(MAX(AA907,0),MAX(0,W891-IF($A908&gt;='1-Input'!$C$12,'1-Input'!$B$12,0))))*(1/(1-'P-Parametri'!$B$6*W908))),MAX(0,5*W891-(AA907-MIN(MAX(AA907,0),MAX(0,W891-IF($A908&gt;='1-Input'!$C$12,'1-Input'!$B$12,0)))))*(1/(1-'P-Parametri'!$B$6*W908))))</f>
        <v>21152.93380484535</v>
      </c>
      <c r="Y908" s="18">
        <f>IF($A908&gt;'1-Input'!$B$26,AA907,(AA907-MAX(0,W891-IF($A908&gt;='1-Input'!$C$12,'1-Input'!$B$12,0))+X908*(1-'P-Parametri'!$B$6*W908))*(1+'1-Input'!$B$27))</f>
        <v>89245.454371318367</v>
      </c>
      <c r="Z908" s="18">
        <f>IF($A908&gt;'1-Input'!$B$26,AB907,(AB907-X908)*(1+$D$4))</f>
        <v>195002.83589083533</v>
      </c>
      <c r="AA908" s="18">
        <f>IF($A908&gt;'1-Input'!$B$26,Y908,Y908-'P-Parametri'!$B$8*(Z908+Y908)+MIN(MAX(Z908,0),'P-Parametri'!$B$8*(Z908+Y908)))</f>
        <v>89245.454371318367</v>
      </c>
      <c r="AB908" s="18">
        <f>IF($A908&gt;'1-Input'!$B$26,Z908,Z908-MIN(MAX(Z908,0),'P-Parametri'!$B$8*(Z908+Y908)))</f>
        <v>194434.33931031101</v>
      </c>
      <c r="AC908" s="18">
        <f>IF($A908&gt;'1-Input'!$B$26,AC907,AC907-X908*(1-W908))</f>
        <v>88056.891372191225</v>
      </c>
      <c r="AD908" s="11">
        <f>IF($A908&gt;'1-Input'!$B$26,0,IF(AI907&lt;=0,0,MAX(0,(AI907-AJ907)/AI907)))</f>
        <v>0.53038666547148561</v>
      </c>
      <c r="AE908" s="18">
        <f>IF($A908&gt;'1-Input'!$B$26,0,(MAX(0,AD891-IF($A908&gt;='1-Input'!$C$12,'1-Input'!$B$12,0))-MIN(MAX(AH907,0),MAX(0,AD891-IF($A908&gt;='1-Input'!$C$12,'1-Input'!$B$12,0))))*(1/(1-'P-Parametri'!$B$6*AD908))+MIN(MAX(0,AI907-(MAX(0,AD891-IF($A908&gt;='1-Input'!$C$12,'1-Input'!$B$12,0))-MIN(MAX(AH907,0),MAX(0,AD891-IF($A908&gt;='1-Input'!$C$12,'1-Input'!$B$12,0))))*(1/(1-'P-Parametri'!$B$6*AD908))),MAX(0,5*AD891-(AH907-MIN(MAX(AH907,0),MAX(0,AD891-IF($A908&gt;='1-Input'!$C$12,'1-Input'!$B$12,0)))))*(1/(1-'P-Parametri'!$B$6*AD908))))</f>
        <v>21116.746467703044</v>
      </c>
      <c r="AF908" s="18">
        <f>IF($A908&gt;'1-Input'!$B$26,AH907,(AH907-MAX(0,AD891-IF($A908&gt;='1-Input'!$C$12,'1-Input'!$B$12,0))+AE908*(1-'P-Parametri'!$B$6*AD908))*(1+'1-Input'!$B$27))</f>
        <v>89092.332146155182</v>
      </c>
      <c r="AG908" s="18">
        <f>IF($A908&gt;'1-Input'!$B$26,AI907,(AI907-AE908)*(1+$D$4))</f>
        <v>195986.38438714721</v>
      </c>
      <c r="AH908" s="18">
        <f>IF($A908&gt;'1-Input'!$B$26,AF908,AF908-'P-Parametri'!$B$8*(AG908+AF908)+MIN(MAX(AG908,0),'P-Parametri'!$B$8*(AG908+AF908)))</f>
        <v>89092.332146155182</v>
      </c>
      <c r="AI908" s="18">
        <f>IF($A908&gt;'1-Input'!$B$26,AG908,AG908-MIN(MAX(AG908,0),'P-Parametri'!$B$8*(AG908+AF908)))</f>
        <v>195416.2269540806</v>
      </c>
      <c r="AJ908" s="18">
        <f>IF($A908&gt;'1-Input'!$B$26,AJ907,AJ907-AE908*(1-AD908))</f>
        <v>88497.903359841701</v>
      </c>
      <c r="AK908" s="11">
        <f>IF($A908&gt;'1-Input'!$B$26,0,IF(AP907&lt;=0,0,MAX(0,(AP907-AQ907)/AP907)))</f>
        <v>0.53038625960815822</v>
      </c>
      <c r="AL908" s="18">
        <f>IF($A908&gt;'1-Input'!$B$26,0,(MAX(0,AK891-IF($A908&gt;='1-Input'!$C$12,'1-Input'!$B$12,0))-MIN(MAX(AO907,0),MAX(0,AK891-IF($A908&gt;='1-Input'!$C$12,'1-Input'!$B$12,0))))*(1/(1-'P-Parametri'!$B$6*AK908))+MIN(MAX(0,AP907-(MAX(0,AK891-IF($A908&gt;='1-Input'!$C$12,'1-Input'!$B$12,0))-MIN(MAX(AO907,0),MAX(0,AK891-IF($A908&gt;='1-Input'!$C$12,'1-Input'!$B$12,0))))*(1/(1-'P-Parametri'!$B$6*AK908))),MAX(0,5*AK891-(AO907-MIN(MAX(AO907,0),MAX(0,AK891-IF($A908&gt;='1-Input'!$C$12,'1-Input'!$B$12,0)))))*(1/(1-'P-Parametri'!$B$6*AK908))))</f>
        <v>21117.634019093533</v>
      </c>
      <c r="AM908" s="18">
        <f>IF($A908&gt;'1-Input'!$B$26,AO907,(AO907-MAX(0,AK891-IF($A908&gt;='1-Input'!$C$12,'1-Input'!$B$12,0))+AL908*(1-'P-Parametri'!$B$6*AK908))*(1+'1-Input'!$B$27))</f>
        <v>89096.087663925675</v>
      </c>
      <c r="AN908" s="18">
        <f>IF($A908&gt;'1-Input'!$B$26,AP907,(AP907-AL908)*(1+$D$4))</f>
        <v>195962.26154204336</v>
      </c>
      <c r="AO908" s="18">
        <f>IF($A908&gt;'1-Input'!$B$26,AM908,AM908-'P-Parametri'!$B$8*(AN908+AM908)+MIN(MAX(AN908,0),'P-Parametri'!$B$8*(AN908+AM908)))</f>
        <v>89096.087663925675</v>
      </c>
      <c r="AP908" s="18">
        <f>IF($A908&gt;'1-Input'!$B$26,AN908,AN908-MIN(MAX(AN908,0),'P-Parametri'!$B$8*(AN908+AM908)))</f>
        <v>195392.14484363142</v>
      </c>
      <c r="AQ908" s="18">
        <f>IF($A908&gt;'1-Input'!$B$26,AQ907,AQ907-AL908*(1-AK908))</f>
        <v>88487.087133080131</v>
      </c>
    </row>
    <row r="909" spans="1:43">
      <c r="A909" s="10">
        <f>16</f>
        <v>16</v>
      </c>
      <c r="B909" s="11">
        <f>IF($A909&gt;'1-Input'!$B$26,0,IF(G908&lt;=0,0,MAX(0,(G908-H908)/G908)))</f>
        <v>0.54779018060159701</v>
      </c>
      <c r="C909" s="18">
        <f>IF($A909&gt;'1-Input'!$B$26,0,(MAX(0,B891-IF($A909&gt;='1-Input'!$C$12,'1-Input'!$B$12,0))-MIN(MAX(F908,0),MAX(0,B891-IF($A909&gt;='1-Input'!$C$12,'1-Input'!$B$12,0))))*(1/(1-'P-Parametri'!$B$6*B909))+MIN(MAX(0,G908-(MAX(0,B891-IF($A909&gt;='1-Input'!$C$12,'1-Input'!$B$12,0))-MIN(MAX(F908,0),MAX(0,B891-IF($A909&gt;='1-Input'!$C$12,'1-Input'!$B$12,0))))*(1/(1-'P-Parametri'!$B$6*B909))),MAX(0,5*B891-(F908-MIN(MAX(F908,0),MAX(0,B891-IF($A909&gt;='1-Input'!$C$12,'1-Input'!$B$12,0)))))*(1/(1-'P-Parametri'!$B$6*B909))))</f>
        <v>19801.560400808707</v>
      </c>
      <c r="D909" s="18">
        <f>IF($A909&gt;'1-Input'!$B$26,F908,(F908-MAX(0,B891-IF($A909&gt;='1-Input'!$C$12,'1-Input'!$B$12,0))+C909*(1-'P-Parametri'!$B$6*B909))*(1+'1-Input'!$B$27))</f>
        <v>83105.01757746574</v>
      </c>
      <c r="E909" s="18">
        <f>IF($A909&gt;'1-Input'!$B$26,G908,(G908-C909)*(1+$D$4))</f>
        <v>222572.38598432665</v>
      </c>
      <c r="F909" s="18">
        <f>IF($A909&gt;'1-Input'!$B$26,D909,D909-'P-Parametri'!$B$8*(E909+D909)+MIN(MAX(E909,0),'P-Parametri'!$B$8*(E909+D909)))</f>
        <v>83105.01757746574</v>
      </c>
      <c r="G909" s="18">
        <f>IF($A909&gt;'1-Input'!$B$26,E909,E909-MIN(MAX(E909,0),'P-Parametri'!$B$8*(E909+D909)))</f>
        <v>221961.03117720308</v>
      </c>
      <c r="H909" s="18">
        <f>IF($A909&gt;'1-Input'!$B$26,H908,H908-C909*(1-B909))</f>
        <v>96778.28698946537</v>
      </c>
      <c r="I909" s="11">
        <f>IF($A909&gt;'1-Input'!$B$26,0,IF(N908&lt;=0,0,MAX(0,(N908-O908)/N908)))</f>
        <v>0.542630074476119</v>
      </c>
      <c r="J909" s="18">
        <f>IF($A909&gt;'1-Input'!$B$26,0,(MAX(0,I891-IF($A909&gt;='1-Input'!$C$12,'1-Input'!$B$12,0))-MIN(MAX(M908,0),MAX(0,I891-IF($A909&gt;='1-Input'!$C$12,'1-Input'!$B$12,0))))*(1/(1-'P-Parametri'!$B$6*I909))+MIN(MAX(0,N908-(MAX(0,I891-IF($A909&gt;='1-Input'!$C$12,'1-Input'!$B$12,0))-MIN(MAX(M908,0),MAX(0,I891-IF($A909&gt;='1-Input'!$C$12,'1-Input'!$B$12,0))))*(1/(1-'P-Parametri'!$B$6*I909))),MAX(0,5*I891-(M908-MIN(MAX(M908,0),MAX(0,I891-IF($A909&gt;='1-Input'!$C$12,'1-Input'!$B$12,0)))))*(1/(1-'P-Parametri'!$B$6*I909))))</f>
        <v>26013.98730461812</v>
      </c>
      <c r="K909" s="18">
        <f>IF($A909&gt;'1-Input'!$B$26,M908,(M908-MAX(0,I891-IF($A909&gt;='1-Input'!$C$12,'1-Input'!$B$12,0))+J909*(1-'P-Parametri'!$B$6*I909))*(1+'1-Input'!$B$27))</f>
        <v>109348.70733877072</v>
      </c>
      <c r="L909" s="18">
        <f>IF($A909&gt;'1-Input'!$B$26,N908,(N908-J909)*(1+$D$4))</f>
        <v>41157.395654592663</v>
      </c>
      <c r="M909" s="18">
        <f>IF($A909&gt;'1-Input'!$B$26,K909,K909-'P-Parametri'!$B$8*(L909+K909)+MIN(MAX(L909,0),'P-Parametri'!$B$8*(L909+K909)))</f>
        <v>109348.70733877072</v>
      </c>
      <c r="N909" s="18">
        <f>IF($A909&gt;'1-Input'!$B$26,L909,L909-MIN(MAX(L909,0),'P-Parametri'!$B$8*(L909+K909)))</f>
        <v>40856.383448605935</v>
      </c>
      <c r="O909" s="18">
        <f>IF($A909&gt;'1-Input'!$B$26,O908,O908-J909*(1-I909))</f>
        <v>18100.14902432495</v>
      </c>
      <c r="P909" s="11">
        <f>IF($A909&gt;'1-Input'!$B$26,0,IF(U908&lt;=0,0,MAX(0,(U908-V908)/U908)))</f>
        <v>0.54702160096861308</v>
      </c>
      <c r="Q909" s="18">
        <f>IF($A909&gt;'1-Input'!$B$26,0,(MAX(0,P891-IF($A909&gt;='1-Input'!$C$12,'1-Input'!$B$12,0))-MIN(MAX(T908,0),MAX(0,P891-IF($A909&gt;='1-Input'!$C$12,'1-Input'!$B$12,0))))*(1/(1-'P-Parametri'!$B$6*P909))+MIN(MAX(0,U908-(MAX(0,P891-IF($A909&gt;='1-Input'!$C$12,'1-Input'!$B$12,0))-MIN(MAX(T908,0),MAX(0,P891-IF($A909&gt;='1-Input'!$C$12,'1-Input'!$B$12,0))))*(1/(1-'P-Parametri'!$B$6*P909))),MAX(0,5*P891-(T908-MIN(MAX(T908,0),MAX(0,P891-IF($A909&gt;='1-Input'!$C$12,'1-Input'!$B$12,0)))))*(1/(1-'P-Parametri'!$B$6*P909))))</f>
        <v>21433.031661637415</v>
      </c>
      <c r="R909" s="18">
        <f>IF($A909&gt;'1-Input'!$B$26,T908,(T908-MAX(0,P891-IF($A909&gt;='1-Input'!$C$12,'1-Input'!$B$12,0))+Q909*(1-'P-Parametri'!$B$6*P909))*(1+'1-Input'!$B$27))</f>
        <v>89973.087355227675</v>
      </c>
      <c r="S909" s="18">
        <f>IF($A909&gt;'1-Input'!$B$26,U908,(U908-Q909)*(1+$D$4))</f>
        <v>175068.8954425985</v>
      </c>
      <c r="T909" s="18">
        <f>IF($A909&gt;'1-Input'!$B$26,R909,R909-'P-Parametri'!$B$8*(S909+R909)+MIN(MAX(S909,0),'P-Parametri'!$B$8*(S909+R909)))</f>
        <v>89973.087355227675</v>
      </c>
      <c r="U909" s="18">
        <f>IF($A909&gt;'1-Input'!$B$26,S909,S909-MIN(MAX(S909,0),'P-Parametri'!$B$8*(S909+R909)))</f>
        <v>174538.81147700283</v>
      </c>
      <c r="V909" s="18">
        <f>IF($A909&gt;'1-Input'!$B$26,V908,V908-Q909*(1-P909))</f>
        <v>76252.334594020722</v>
      </c>
      <c r="W909" s="11">
        <f>IF($A909&gt;'1-Input'!$B$26,0,IF(AB908&lt;=0,0,MAX(0,(AB908-AC908)/AB908)))</f>
        <v>0.54711245099737638</v>
      </c>
      <c r="X909" s="18">
        <f>IF($A909&gt;'1-Input'!$B$26,0,(MAX(0,W891-IF($A909&gt;='1-Input'!$C$12,'1-Input'!$B$12,0))-MIN(MAX(AA908,0),MAX(0,W891-IF($A909&gt;='1-Input'!$C$12,'1-Input'!$B$12,0))))*(1/(1-'P-Parametri'!$B$6*W909))+MIN(MAX(0,AB908-(MAX(0,W891-IF($A909&gt;='1-Input'!$C$12,'1-Input'!$B$12,0))-MIN(MAX(AA908,0),MAX(0,W891-IF($A909&gt;='1-Input'!$C$12,'1-Input'!$B$12,0))))*(1/(1-'P-Parametri'!$B$6*W909))),MAX(0,5*W891-(AA908-MIN(MAX(AA908,0),MAX(0,W891-IF($A909&gt;='1-Input'!$C$12,'1-Input'!$B$12,0)))))*(1/(1-'P-Parametri'!$B$6*W909))))</f>
        <v>21260.283277210197</v>
      </c>
      <c r="Y909" s="18">
        <f>IF($A909&gt;'1-Input'!$B$26,AA908,(AA908-MAX(0,W891-IF($A909&gt;='1-Input'!$C$12,'1-Input'!$B$12,0))+X909*(1-'P-Parametri'!$B$6*W909))*(1+'1-Input'!$B$27))</f>
        <v>89245.454371318367</v>
      </c>
      <c r="Z909" s="18">
        <f>IF($A909&gt;'1-Input'!$B$26,AB908,(AB908-X909)*(1+$D$4))</f>
        <v>180101.01827442486</v>
      </c>
      <c r="AA909" s="18">
        <f>IF($A909&gt;'1-Input'!$B$26,Y909,Y909-'P-Parametri'!$B$8*(Z909+Y909)+MIN(MAX(Z909,0),'P-Parametri'!$B$8*(Z909+Y909)))</f>
        <v>89245.454371318367</v>
      </c>
      <c r="AB909" s="18">
        <f>IF($A909&gt;'1-Input'!$B$26,Z909,Z909-MIN(MAX(Z909,0),'P-Parametri'!$B$8*(Z909+Y909)))</f>
        <v>179562.32532913337</v>
      </c>
      <c r="AC909" s="18">
        <f>IF($A909&gt;'1-Input'!$B$26,AC908,AC908-X909*(1-W909))</f>
        <v>78428.373787674034</v>
      </c>
      <c r="AD909" s="11">
        <f>IF($A909&gt;'1-Input'!$B$26,0,IF(AI908&lt;=0,0,MAX(0,(AI908-AJ908)/AI908)))</f>
        <v>0.5471312452438396</v>
      </c>
      <c r="AE909" s="18">
        <f>IF($A909&gt;'1-Input'!$B$26,0,(MAX(0,AD891-IF($A909&gt;='1-Input'!$C$12,'1-Input'!$B$12,0))-MIN(MAX(AH908,0),MAX(0,AD891-IF($A909&gt;='1-Input'!$C$12,'1-Input'!$B$12,0))))*(1/(1-'P-Parametri'!$B$6*AD909))+MIN(MAX(0,AI908-(MAX(0,AD891-IF($A909&gt;='1-Input'!$C$12,'1-Input'!$B$12,0))-MIN(MAX(AH908,0),MAX(0,AD891-IF($A909&gt;='1-Input'!$C$12,'1-Input'!$B$12,0))))*(1/(1-'P-Parametri'!$B$6*AD909))),MAX(0,5*AD891-(AH908-MIN(MAX(AH908,0),MAX(0,AD891-IF($A909&gt;='1-Input'!$C$12,'1-Input'!$B$12,0)))))*(1/(1-'P-Parametri'!$B$6*AD909))))</f>
        <v>21223.927014348435</v>
      </c>
      <c r="AF909" s="18">
        <f>IF($A909&gt;'1-Input'!$B$26,AH908,(AH908-MAX(0,AD891-IF($A909&gt;='1-Input'!$C$12,'1-Input'!$B$12,0))+AE909*(1-'P-Parametri'!$B$6*AD909))*(1+'1-Input'!$B$27))</f>
        <v>89092.332146155182</v>
      </c>
      <c r="AG909" s="18">
        <f>IF($A909&gt;'1-Input'!$B$26,AI908,(AI908-AE909)*(1+$D$4))</f>
        <v>181159.99193732144</v>
      </c>
      <c r="AH909" s="18">
        <f>IF($A909&gt;'1-Input'!$B$26,AF909,AF909-'P-Parametri'!$B$8*(AG909+AF909)+MIN(MAX(AG909,0),'P-Parametri'!$B$8*(AG909+AF909)))</f>
        <v>89092.332146155182</v>
      </c>
      <c r="AI909" s="18">
        <f>IF($A909&gt;'1-Input'!$B$26,AG909,AG909-MIN(MAX(AG909,0),'P-Parametri'!$B$8*(AG909+AF909)))</f>
        <v>180619.48728915449</v>
      </c>
      <c r="AJ909" s="18">
        <f>IF($A909&gt;'1-Input'!$B$26,AJ908,AJ908-AE909*(1-AD909))</f>
        <v>78886.249961818088</v>
      </c>
      <c r="AK909" s="11">
        <f>IF($A909&gt;'1-Input'!$B$26,0,IF(AP908&lt;=0,0,MAX(0,(AP908-AQ908)/AP908)))</f>
        <v>0.547130785611189</v>
      </c>
      <c r="AL909" s="18">
        <f>IF($A909&gt;'1-Input'!$B$26,0,(MAX(0,AK891-IF($A909&gt;='1-Input'!$C$12,'1-Input'!$B$12,0))-MIN(MAX(AO908,0),MAX(0,AK891-IF($A909&gt;='1-Input'!$C$12,'1-Input'!$B$12,0))))*(1/(1-'P-Parametri'!$B$6*AK909))+MIN(MAX(0,AP908-(MAX(0,AK891-IF($A909&gt;='1-Input'!$C$12,'1-Input'!$B$12,0))-MIN(MAX(AO908,0),MAX(0,AK891-IF($A909&gt;='1-Input'!$C$12,'1-Input'!$B$12,0))))*(1/(1-'P-Parametri'!$B$6*AK909))),MAX(0,5*AK891-(AO908-MIN(MAX(AO908,0),MAX(0,AK891-IF($A909&gt;='1-Input'!$C$12,'1-Input'!$B$12,0)))))*(1/(1-'P-Parametri'!$B$6*AK909))))</f>
        <v>21224.818711490629</v>
      </c>
      <c r="AM909" s="18">
        <f>IF($A909&gt;'1-Input'!$B$26,AO908,(AO908-MAX(0,AK891-IF($A909&gt;='1-Input'!$C$12,'1-Input'!$B$12,0))+AL909*(1-'P-Parametri'!$B$6*AK909))*(1+'1-Input'!$B$27))</f>
        <v>89096.087663925675</v>
      </c>
      <c r="AN909" s="18">
        <f>IF($A909&gt;'1-Input'!$B$26,AP908,(AP908-AL909)*(1+$D$4))</f>
        <v>181134.01917742644</v>
      </c>
      <c r="AO909" s="18">
        <f>IF($A909&gt;'1-Input'!$B$26,AM909,AM909-'P-Parametri'!$B$8*(AN909+AM909)+MIN(MAX(AN909,0),'P-Parametri'!$B$8*(AN909+AM909)))</f>
        <v>89096.087663925675</v>
      </c>
      <c r="AP909" s="18">
        <f>IF($A909&gt;'1-Input'!$B$26,AN909,AN909-MIN(MAX(AN909,0),'P-Parametri'!$B$8*(AN909+AM909)))</f>
        <v>180593.55896374374</v>
      </c>
      <c r="AQ909" s="18">
        <f>IF($A909&gt;'1-Input'!$B$26,AQ908,AQ908-AL909*(1-AK909))</f>
        <v>78875.020157662439</v>
      </c>
    </row>
    <row r="910" spans="1:43">
      <c r="A910" s="10">
        <f>17</f>
        <v>17</v>
      </c>
      <c r="B910" s="11">
        <f>IF($A910&gt;'1-Input'!$B$26,0,IF(G909&lt;=0,0,MAX(0,(G909-H909)/G909)))</f>
        <v>0.56398523436214254</v>
      </c>
      <c r="C910" s="18">
        <f>IF($A910&gt;'1-Input'!$B$26,0,(MAX(0,B891-IF($A910&gt;='1-Input'!$C$12,'1-Input'!$B$12,0))-MIN(MAX(F909,0),MAX(0,B891-IF($A910&gt;='1-Input'!$C$12,'1-Input'!$B$12,0))))*(1/(1-'P-Parametri'!$B$6*B910))+MIN(MAX(0,G909-(MAX(0,B891-IF($A910&gt;='1-Input'!$C$12,'1-Input'!$B$12,0))-MIN(MAX(F909,0),MAX(0,B891-IF($A910&gt;='1-Input'!$C$12,'1-Input'!$B$12,0))))*(1/(1-'P-Parametri'!$B$6*B910))),MAX(0,5*B891-(F909-MIN(MAX(F909,0),MAX(0,B891-IF($A910&gt;='1-Input'!$C$12,'1-Input'!$B$12,0)))))*(1/(1-'P-Parametri'!$B$6*B910))))</f>
        <v>19899.266330382732</v>
      </c>
      <c r="D910" s="18">
        <f>IF($A910&gt;'1-Input'!$B$26,F909,(F909-MAX(0,B891-IF($A910&gt;='1-Input'!$C$12,'1-Input'!$B$12,0))+C910*(1-'P-Parametri'!$B$6*B910))*(1+'1-Input'!$B$27))</f>
        <v>83105.01757746574</v>
      </c>
      <c r="E910" s="18">
        <f>IF($A910&gt;'1-Input'!$B$26,G909,(G909-C910)*(1+$D$4))</f>
        <v>210144.23544069318</v>
      </c>
      <c r="F910" s="18">
        <f>IF($A910&gt;'1-Input'!$B$26,D910,D910-'P-Parametri'!$B$8*(E910+D910)+MIN(MAX(E910,0),'P-Parametri'!$B$8*(E910+D910)))</f>
        <v>83105.01757746574</v>
      </c>
      <c r="G910" s="18">
        <f>IF($A910&gt;'1-Input'!$B$26,E910,E910-MIN(MAX(E910,0),'P-Parametri'!$B$8*(E910+D910)))</f>
        <v>209557.73693465686</v>
      </c>
      <c r="H910" s="18">
        <f>IF($A910&gt;'1-Input'!$B$26,H909,H909-C910*(1-B910))</f>
        <v>88101.913044058238</v>
      </c>
      <c r="I910" s="11">
        <f>IF($A910&gt;'1-Input'!$B$26,0,IF(N909&lt;=0,0,MAX(0,(N909-O909)/N909)))</f>
        <v>0.55698112518712062</v>
      </c>
      <c r="J910" s="18">
        <f>IF($A910&gt;'1-Input'!$B$26,0,(MAX(0,I891-IF($A910&gt;='1-Input'!$C$12,'1-Input'!$B$12,0))-MIN(MAX(M909,0),MAX(0,I891-IF($A910&gt;='1-Input'!$C$12,'1-Input'!$B$12,0))))*(1/(1-'P-Parametri'!$B$6*I910))+MIN(MAX(0,N909-(MAX(0,I891-IF($A910&gt;='1-Input'!$C$12,'1-Input'!$B$12,0))-MIN(MAX(M909,0),MAX(0,I891-IF($A910&gt;='1-Input'!$C$12,'1-Input'!$B$12,0))))*(1/(1-'P-Parametri'!$B$6*I910))),MAX(0,5*I891-(M909-MIN(MAX(M909,0),MAX(0,I891-IF($A910&gt;='1-Input'!$C$12,'1-Input'!$B$12,0)))))*(1/(1-'P-Parametri'!$B$6*I910))))</f>
        <v>26127.48941675232</v>
      </c>
      <c r="K910" s="18">
        <f>IF($A910&gt;'1-Input'!$B$26,M909,(M909-MAX(0,I891-IF($A910&gt;='1-Input'!$C$12,'1-Input'!$B$12,0))+J910*(1-'P-Parametri'!$B$6*I910))*(1+'1-Input'!$B$27))</f>
        <v>109348.70733877072</v>
      </c>
      <c r="L910" s="18">
        <f>IF($A910&gt;'1-Input'!$B$26,N909,(N909-J910)*(1+$D$4))</f>
        <v>15318.04979312776</v>
      </c>
      <c r="M910" s="18">
        <f>IF($A910&gt;'1-Input'!$B$26,K910,K910-'P-Parametri'!$B$8*(L910+K910)+MIN(MAX(L910,0),'P-Parametri'!$B$8*(L910+K910)))</f>
        <v>109348.70733877072</v>
      </c>
      <c r="N910" s="18">
        <f>IF($A910&gt;'1-Input'!$B$26,L910,L910-MIN(MAX(L910,0),'P-Parametri'!$B$8*(L910+K910)))</f>
        <v>15068.716278863963</v>
      </c>
      <c r="O910" s="18">
        <f>IF($A910&gt;'1-Input'!$B$26,O909,O909-J910*(1-I910))</f>
        <v>6525.1780612299226</v>
      </c>
      <c r="P910" s="11">
        <f>IF($A910&gt;'1-Input'!$B$26,0,IF(U909&lt;=0,0,MAX(0,(U909-V909)/U909)))</f>
        <v>0.56312103910443034</v>
      </c>
      <c r="Q910" s="18">
        <f>IF($A910&gt;'1-Input'!$B$26,0,(MAX(0,P891-IF($A910&gt;='1-Input'!$C$12,'1-Input'!$B$12,0))-MIN(MAX(T909,0),MAX(0,P891-IF($A910&gt;='1-Input'!$C$12,'1-Input'!$B$12,0))))*(1/(1-'P-Parametri'!$B$6*P910))+MIN(MAX(0,U909-(MAX(0,P891-IF($A910&gt;='1-Input'!$C$12,'1-Input'!$B$12,0))-MIN(MAX(T909,0),MAX(0,P891-IF($A910&gt;='1-Input'!$C$12,'1-Input'!$B$12,0))))*(1/(1-'P-Parametri'!$B$6*P910))),MAX(0,5*P891-(T909-MIN(MAX(T909,0),MAX(0,P891-IF($A910&gt;='1-Input'!$C$12,'1-Input'!$B$12,0)))))*(1/(1-'P-Parametri'!$B$6*P910))))</f>
        <v>21538.135627262924</v>
      </c>
      <c r="R910" s="18">
        <f>IF($A910&gt;'1-Input'!$B$26,T909,(T909-MAX(0,P891-IF($A910&gt;='1-Input'!$C$12,'1-Input'!$B$12,0))+Q910*(1-'P-Parametri'!$B$6*P910))*(1+'1-Input'!$B$27))</f>
        <v>89973.087355227675</v>
      </c>
      <c r="S910" s="18">
        <f>IF($A910&gt;'1-Input'!$B$26,U909,(U909-Q910)*(1+$D$4))</f>
        <v>159120.70288372951</v>
      </c>
      <c r="T910" s="18">
        <f>IF($A910&gt;'1-Input'!$B$26,R910,R910-'P-Parametri'!$B$8*(S910+R910)+MIN(MAX(S910,0),'P-Parametri'!$B$8*(S910+R910)))</f>
        <v>89973.087355227675</v>
      </c>
      <c r="U910" s="18">
        <f>IF($A910&gt;'1-Input'!$B$26,S910,S910-MIN(MAX(S910,0),'P-Parametri'!$B$8*(S910+R910)))</f>
        <v>158622.5153032516</v>
      </c>
      <c r="V910" s="18">
        <f>IF($A910&gt;'1-Input'!$B$26,V909,V909-Q910*(1-P910))</f>
        <v>66842.776281554252</v>
      </c>
      <c r="W910" s="11">
        <f>IF($A910&gt;'1-Input'!$B$26,0,IF(AB909&lt;=0,0,MAX(0,(AB909-AC909)/AB909)))</f>
        <v>0.56322478201417403</v>
      </c>
      <c r="X910" s="18">
        <f>IF($A910&gt;'1-Input'!$B$26,0,(MAX(0,W891-IF($A910&gt;='1-Input'!$C$12,'1-Input'!$B$12,0))-MIN(MAX(AA909,0),MAX(0,W891-IF($A910&gt;='1-Input'!$C$12,'1-Input'!$B$12,0))))*(1/(1-'P-Parametri'!$B$6*W910))+MIN(MAX(0,AB909-(MAX(0,W891-IF($A910&gt;='1-Input'!$C$12,'1-Input'!$B$12,0))-MIN(MAX(AA909,0),MAX(0,W891-IF($A910&gt;='1-Input'!$C$12,'1-Input'!$B$12,0))))*(1/(1-'P-Parametri'!$B$6*W910))),MAX(0,5*W891-(AA909-MIN(MAX(AA909,0),MAX(0,W891-IF($A910&gt;='1-Input'!$C$12,'1-Input'!$B$12,0)))))*(1/(1-'P-Parametri'!$B$6*W910))))</f>
        <v>21364.626902972661</v>
      </c>
      <c r="Y910" s="18">
        <f>IF($A910&gt;'1-Input'!$B$26,AA909,(AA909-MAX(0,W891-IF($A910&gt;='1-Input'!$C$12,'1-Input'!$B$12,0))+X910*(1-'P-Parametri'!$B$6*W910))*(1+'1-Input'!$B$27))</f>
        <v>89245.454371318367</v>
      </c>
      <c r="Z910" s="18">
        <f>IF($A910&gt;'1-Input'!$B$26,AB909,(AB909-X910)*(1+$D$4))</f>
        <v>164525.60636320713</v>
      </c>
      <c r="AA910" s="18">
        <f>IF($A910&gt;'1-Input'!$B$26,Y910,Y910-'P-Parametri'!$B$8*(Z910+Y910)+MIN(MAX(Z910,0),'P-Parametri'!$B$8*(Z910+Y910)))</f>
        <v>89245.454371318367</v>
      </c>
      <c r="AB910" s="18">
        <f>IF($A910&gt;'1-Input'!$B$26,Z910,Z910-MIN(MAX(Z910,0),'P-Parametri'!$B$8*(Z910+Y910)))</f>
        <v>164018.06424173809</v>
      </c>
      <c r="AC910" s="18">
        <f>IF($A910&gt;'1-Input'!$B$26,AC909,AC909-X910*(1-W910))</f>
        <v>69096.834214942312</v>
      </c>
      <c r="AD910" s="11">
        <f>IF($A910&gt;'1-Input'!$B$26,0,IF(AI909&lt;=0,0,MAX(0,(AI909-AJ909)/AI909)))</f>
        <v>0.56324618596924281</v>
      </c>
      <c r="AE910" s="18">
        <f>IF($A910&gt;'1-Input'!$B$26,0,(MAX(0,AD891-IF($A910&gt;='1-Input'!$C$12,'1-Input'!$B$12,0))-MIN(MAX(AH909,0),MAX(0,AD891-IF($A910&gt;='1-Input'!$C$12,'1-Input'!$B$12,0))))*(1/(1-'P-Parametri'!$B$6*AD910))+MIN(MAX(0,AI909-(MAX(0,AD891-IF($A910&gt;='1-Input'!$C$12,'1-Input'!$B$12,0))-MIN(MAX(AH909,0),MAX(0,AD891-IF($A910&gt;='1-Input'!$C$12,'1-Input'!$B$12,0))))*(1/(1-'P-Parametri'!$B$6*AD910))),MAX(0,5*AD891-(AH909-MIN(MAX(AH909,0),MAX(0,AD891-IF($A910&gt;='1-Input'!$C$12,'1-Input'!$B$12,0)))))*(1/(1-'P-Parametri'!$B$6*AD910))))</f>
        <v>21328.109757574686</v>
      </c>
      <c r="AF910" s="18">
        <f>IF($A910&gt;'1-Input'!$B$26,AH909,(AH909-MAX(0,AD891-IF($A910&gt;='1-Input'!$C$12,'1-Input'!$B$12,0))+AE910*(1-'P-Parametri'!$B$6*AD910))*(1+'1-Input'!$B$27))</f>
        <v>89092.332146155182</v>
      </c>
      <c r="AG910" s="18">
        <f>IF($A910&gt;'1-Input'!$B$26,AI909,(AI909-AE910)*(1+$D$4))</f>
        <v>165663.03263284301</v>
      </c>
      <c r="AH910" s="18">
        <f>IF($A910&gt;'1-Input'!$B$26,AF910,AF910-'P-Parametri'!$B$8*(AG910+AF910)+MIN(MAX(AG910,0),'P-Parametri'!$B$8*(AG910+AF910)))</f>
        <v>89092.332146155182</v>
      </c>
      <c r="AI910" s="18">
        <f>IF($A910&gt;'1-Input'!$B$26,AG910,AG910-MIN(MAX(AG910,0),'P-Parametri'!$B$8*(AG910+AF910)))</f>
        <v>165153.521903285</v>
      </c>
      <c r="AJ910" s="18">
        <f>IF($A910&gt;'1-Input'!$B$26,AJ909,AJ909-AE910*(1-AD910))</f>
        <v>69571.116679130733</v>
      </c>
      <c r="AK910" s="11">
        <f>IF($A910&gt;'1-Input'!$B$26,0,IF(AP909&lt;=0,0,MAX(0,(AP909-AQ909)/AP909)))</f>
        <v>0.56324566274538335</v>
      </c>
      <c r="AL910" s="18">
        <f>IF($A910&gt;'1-Input'!$B$26,0,(MAX(0,AK891-IF($A910&gt;='1-Input'!$C$12,'1-Input'!$B$12,0))-MIN(MAX(AO909,0),MAX(0,AK891-IF($A910&gt;='1-Input'!$C$12,'1-Input'!$B$12,0))))*(1/(1-'P-Parametri'!$B$6*AK910))+MIN(MAX(0,AP909-(MAX(0,AK891-IF($A910&gt;='1-Input'!$C$12,'1-Input'!$B$12,0))-MIN(MAX(AO909,0),MAX(0,AK891-IF($A910&gt;='1-Input'!$C$12,'1-Input'!$B$12,0))))*(1/(1-'P-Parametri'!$B$6*AK910))),MAX(0,5*AK891-(AO909-MIN(MAX(AO909,0),MAX(0,AK891-IF($A910&gt;='1-Input'!$C$12,'1-Input'!$B$12,0)))))*(1/(1-'P-Parametri'!$B$6*AK910))))</f>
        <v>21329.005404088326</v>
      </c>
      <c r="AM910" s="18">
        <f>IF($A910&gt;'1-Input'!$B$26,AO909,(AO909-MAX(0,AK891-IF($A910&gt;='1-Input'!$C$12,'1-Input'!$B$12,0))+AL910*(1-'P-Parametri'!$B$6*AK910))*(1+'1-Input'!$B$27))</f>
        <v>89096.087663925675</v>
      </c>
      <c r="AN910" s="18">
        <f>IF($A910&gt;'1-Input'!$B$26,AP909,(AP909-AL910)*(1+$D$4))</f>
        <v>165635.13570204165</v>
      </c>
      <c r="AO910" s="18">
        <f>IF($A910&gt;'1-Input'!$B$26,AM910,AM910-'P-Parametri'!$B$8*(AN910+AM910)+MIN(MAX(AN910,0),'P-Parametri'!$B$8*(AN910+AM910)))</f>
        <v>89096.087663925675</v>
      </c>
      <c r="AP910" s="18">
        <f>IF($A910&gt;'1-Input'!$B$26,AN910,AN910-MIN(MAX(AN910,0),'P-Parametri'!$B$8*(AN910+AM910)))</f>
        <v>165125.67325530972</v>
      </c>
      <c r="AQ910" s="18">
        <f>IF($A910&gt;'1-Input'!$B$26,AQ909,AQ909-AL910*(1-AK910))</f>
        <v>69559.484538099699</v>
      </c>
    </row>
    <row r="911" spans="1:43">
      <c r="A911" s="10">
        <f>18</f>
        <v>18</v>
      </c>
      <c r="B911" s="11">
        <f>IF($A911&gt;'1-Input'!$B$26,0,IF(G910&lt;=0,0,MAX(0,(G910-H910)/G910)))</f>
        <v>0.5795816736104108</v>
      </c>
      <c r="C911" s="18">
        <f>IF($A911&gt;'1-Input'!$B$26,0,(MAX(0,B891-IF($A911&gt;='1-Input'!$C$12,'1-Input'!$B$12,0))-MIN(MAX(F910,0),MAX(0,B891-IF($A911&gt;='1-Input'!$C$12,'1-Input'!$B$12,0))))*(1/(1-'P-Parametri'!$B$6*B911))+MIN(MAX(0,G910-(MAX(0,B891-IF($A911&gt;='1-Input'!$C$12,'1-Input'!$B$12,0))-MIN(MAX(F910,0),MAX(0,B891-IF($A911&gt;='1-Input'!$C$12,'1-Input'!$B$12,0))))*(1/(1-'P-Parametri'!$B$6*B911))),MAX(0,5*B891-(F910-MIN(MAX(F910,0),MAX(0,B891-IF($A911&gt;='1-Input'!$C$12,'1-Input'!$B$12,0)))))*(1/(1-'P-Parametri'!$B$6*B911))))</f>
        <v>19994.276537417365</v>
      </c>
      <c r="D911" s="18">
        <f>IF($A911&gt;'1-Input'!$B$26,F910,(F910-MAX(0,B891-IF($A911&gt;='1-Input'!$C$12,'1-Input'!$B$12,0))+C911*(1-'P-Parametri'!$B$6*B911))*(1+'1-Input'!$B$27))</f>
        <v>83105.01757746574</v>
      </c>
      <c r="E911" s="18">
        <f>IF($A911&gt;'1-Input'!$B$26,G910,(G910-C911)*(1+$D$4))</f>
        <v>197145.99881312906</v>
      </c>
      <c r="F911" s="18">
        <f>IF($A911&gt;'1-Input'!$B$26,D911,D911-'P-Parametri'!$B$8*(E911+D911)+MIN(MAX(E911,0),'P-Parametri'!$B$8*(E911+D911)))</f>
        <v>83105.01757746574</v>
      </c>
      <c r="G911" s="18">
        <f>IF($A911&gt;'1-Input'!$B$26,E911,E911-MIN(MAX(E911,0),'P-Parametri'!$B$8*(E911+D911)))</f>
        <v>196585.49678034786</v>
      </c>
      <c r="H911" s="18">
        <f>IF($A911&gt;'1-Input'!$B$26,H910,H910-C911*(1-B911))</f>
        <v>79695.952764826594</v>
      </c>
      <c r="I911" s="11">
        <f>IF($A911&gt;'1-Input'!$B$26,0,IF(N910&lt;=0,0,MAX(0,(N910-O910)/N910)))</f>
        <v>0.56697186804277278</v>
      </c>
      <c r="J911" s="18">
        <f>IF($A911&gt;'1-Input'!$B$26,0,(MAX(0,I891-IF($A911&gt;='1-Input'!$C$12,'1-Input'!$B$12,0))-MIN(MAX(M910,0),MAX(0,I891-IF($A911&gt;='1-Input'!$C$12,'1-Input'!$B$12,0))))*(1/(1-'P-Parametri'!$B$6*I911))+MIN(MAX(0,N910-(MAX(0,I891-IF($A911&gt;='1-Input'!$C$12,'1-Input'!$B$12,0))-MIN(MAX(M910,0),MAX(0,I891-IF($A911&gt;='1-Input'!$C$12,'1-Input'!$B$12,0))))*(1/(1-'P-Parametri'!$B$6*I911))),MAX(0,5*I891-(M910-MIN(MAX(M910,0),MAX(0,I891-IF($A911&gt;='1-Input'!$C$12,'1-Input'!$B$12,0)))))*(1/(1-'P-Parametri'!$B$6*I911))))</f>
        <v>15068.716278863963</v>
      </c>
      <c r="K911" s="18">
        <f>IF($A911&gt;'1-Input'!$B$26,M910,(M910-MAX(0,I891-IF($A911&gt;='1-Input'!$C$12,'1-Input'!$B$12,0))+J911*(1-'P-Parametri'!$B$6*I911))*(1+'1-Input'!$B$27))</f>
        <v>99886.456240043888</v>
      </c>
      <c r="L911" s="18">
        <f>IF($A911&gt;'1-Input'!$B$26,N910,(N910-J911)*(1+$D$4))</f>
        <v>0</v>
      </c>
      <c r="M911" s="18">
        <f>IF($A911&gt;'1-Input'!$B$26,K911,K911-'P-Parametri'!$B$8*(L911+K911)+MIN(MAX(L911,0),'P-Parametri'!$B$8*(L911+K911)))</f>
        <v>99686.683327563806</v>
      </c>
      <c r="N911" s="18">
        <f>IF($A911&gt;'1-Input'!$B$26,L911,L911-MIN(MAX(L911,0),'P-Parametri'!$B$8*(L911+K911)))</f>
        <v>0</v>
      </c>
      <c r="O911" s="18">
        <f>IF($A911&gt;'1-Input'!$B$26,O910,O910-J911*(1-I911))</f>
        <v>0</v>
      </c>
      <c r="P911" s="11">
        <f>IF($A911&gt;'1-Input'!$B$26,0,IF(U910&lt;=0,0,MAX(0,(U910-V910)/U910)))</f>
        <v>0.57860473871716467</v>
      </c>
      <c r="Q911" s="18">
        <f>IF($A911&gt;'1-Input'!$B$26,0,(MAX(0,P891-IF($A911&gt;='1-Input'!$C$12,'1-Input'!$B$12,0))-MIN(MAX(T910,0),MAX(0,P891-IF($A911&gt;='1-Input'!$C$12,'1-Input'!$B$12,0))))*(1/(1-'P-Parametri'!$B$6*P911))+MIN(MAX(0,U910-(MAX(0,P891-IF($A911&gt;='1-Input'!$C$12,'1-Input'!$B$12,0))-MIN(MAX(T910,0),MAX(0,P891-IF($A911&gt;='1-Input'!$C$12,'1-Input'!$B$12,0))))*(1/(1-'P-Parametri'!$B$6*P911))),MAX(0,5*P891-(T910-MIN(MAX(T910,0),MAX(0,P891-IF($A911&gt;='1-Input'!$C$12,'1-Input'!$B$12,0)))))*(1/(1-'P-Parametri'!$B$6*P911))))</f>
        <v>21640.196839292417</v>
      </c>
      <c r="R911" s="18">
        <f>IF($A911&gt;'1-Input'!$B$26,T910,(T910-MAX(0,P891-IF($A911&gt;='1-Input'!$C$12,'1-Input'!$B$12,0))+Q911*(1-'P-Parametri'!$B$6*P911))*(1+'1-Input'!$B$27))</f>
        <v>89973.087355227675</v>
      </c>
      <c r="S911" s="18">
        <f>IF($A911&gt;'1-Input'!$B$26,U910,(U910-Q911)*(1+$D$4))</f>
        <v>142461.61120251755</v>
      </c>
      <c r="T911" s="18">
        <f>IF($A911&gt;'1-Input'!$B$26,R911,R911-'P-Parametri'!$B$8*(S911+R911)+MIN(MAX(S911,0),'P-Parametri'!$B$8*(S911+R911)))</f>
        <v>89973.087355227675</v>
      </c>
      <c r="U911" s="18">
        <f>IF($A911&gt;'1-Input'!$B$26,S911,S911-MIN(MAX(S911,0),'P-Parametri'!$B$8*(S911+R911)))</f>
        <v>141996.74180540207</v>
      </c>
      <c r="V911" s="18">
        <f>IF($A911&gt;'1-Input'!$B$26,V910,V910-Q911*(1-P911))</f>
        <v>57723.699880248634</v>
      </c>
      <c r="W911" s="11">
        <f>IF($A911&gt;'1-Input'!$B$26,0,IF(AB910&lt;=0,0,MAX(0,(AB910-AC910)/AB910)))</f>
        <v>0.57872424275716416</v>
      </c>
      <c r="X911" s="18">
        <f>IF($A911&gt;'1-Input'!$B$26,0,(MAX(0,W891-IF($A911&gt;='1-Input'!$C$12,'1-Input'!$B$12,0))-MIN(MAX(AA910,0),MAX(0,W891-IF($A911&gt;='1-Input'!$C$12,'1-Input'!$B$12,0))))*(1/(1-'P-Parametri'!$B$6*W911))+MIN(MAX(0,AB910-(MAX(0,W891-IF($A911&gt;='1-Input'!$C$12,'1-Input'!$B$12,0))-MIN(MAX(AA910,0),MAX(0,W891-IF($A911&gt;='1-Input'!$C$12,'1-Input'!$B$12,0))))*(1/(1-'P-Parametri'!$B$6*W911))),MAX(0,5*W891-(AA910-MIN(MAX(AA910,0),MAX(0,W891-IF($A911&gt;='1-Input'!$C$12,'1-Input'!$B$12,0)))))*(1/(1-'P-Parametri'!$B$6*W911))))</f>
        <v>21465.972681203664</v>
      </c>
      <c r="Y911" s="18">
        <f>IF($A911&gt;'1-Input'!$B$26,AA910,(AA910-MAX(0,W891-IF($A911&gt;='1-Input'!$C$12,'1-Input'!$B$12,0))+X911*(1-'P-Parametri'!$B$6*W911))*(1+'1-Input'!$B$27))</f>
        <v>89245.454371318367</v>
      </c>
      <c r="Z911" s="18">
        <f>IF($A911&gt;'1-Input'!$B$26,AB910,(AB910-X911)*(1+$D$4))</f>
        <v>148254.17522295582</v>
      </c>
      <c r="AA911" s="18">
        <f>IF($A911&gt;'1-Input'!$B$26,Y911,Y911-'P-Parametri'!$B$8*(Z911+Y911)+MIN(MAX(Z911,0),'P-Parametri'!$B$8*(Z911+Y911)))</f>
        <v>89245.454371318367</v>
      </c>
      <c r="AB911" s="18">
        <f>IF($A911&gt;'1-Input'!$B$26,Z911,Z911-MIN(MAX(Z911,0),'P-Parametri'!$B$8*(Z911+Y911)))</f>
        <v>147779.17596376728</v>
      </c>
      <c r="AC911" s="18">
        <f>IF($A911&gt;'1-Input'!$B$26,AC910,AC910-X911*(1-W911))</f>
        <v>60053.740318714212</v>
      </c>
      <c r="AD911" s="11">
        <f>IF($A911&gt;'1-Input'!$B$26,0,IF(AI910&lt;=0,0,MAX(0,(AI910-AJ910)/AI910)))</f>
        <v>0.57874881578443094</v>
      </c>
      <c r="AE911" s="18">
        <f>IF($A911&gt;'1-Input'!$B$26,0,(MAX(0,AD891-IF($A911&gt;='1-Input'!$C$12,'1-Input'!$B$12,0))-MIN(MAX(AH910,0),MAX(0,AD891-IF($A911&gt;='1-Input'!$C$12,'1-Input'!$B$12,0))))*(1/(1-'P-Parametri'!$B$6*AD911))+MIN(MAX(0,AI910-(MAX(0,AD891-IF($A911&gt;='1-Input'!$C$12,'1-Input'!$B$12,0))-MIN(MAX(AH910,0),MAX(0,AD891-IF($A911&gt;='1-Input'!$C$12,'1-Input'!$B$12,0))))*(1/(1-'P-Parametri'!$B$6*AD911))),MAX(0,5*AD891-(AH910-MIN(MAX(AH910,0),MAX(0,AD891-IF($A911&gt;='1-Input'!$C$12,'1-Input'!$B$12,0)))))*(1/(1-'P-Parametri'!$B$6*AD911))))</f>
        <v>21429.303759284354</v>
      </c>
      <c r="AF911" s="18">
        <f>IF($A911&gt;'1-Input'!$B$26,AH910,(AH910-MAX(0,AD891-IF($A911&gt;='1-Input'!$C$12,'1-Input'!$B$12,0))+AE911*(1-'P-Parametri'!$B$6*AD911))*(1+'1-Input'!$B$27))</f>
        <v>89092.332146155182</v>
      </c>
      <c r="AG911" s="18">
        <f>IF($A911&gt;'1-Input'!$B$26,AI910,(AI910-AE911)*(1+$D$4))</f>
        <v>149473.18686976068</v>
      </c>
      <c r="AH911" s="18">
        <f>IF($A911&gt;'1-Input'!$B$26,AF911,AF911-'P-Parametri'!$B$8*(AG911+AF911)+MIN(MAX(AG911,0),'P-Parametri'!$B$8*(AG911+AF911)))</f>
        <v>89092.332146155182</v>
      </c>
      <c r="AI911" s="18">
        <f>IF($A911&gt;'1-Input'!$B$26,AG911,AG911-MIN(MAX(AG911,0),'P-Parametri'!$B$8*(AG911+AF911)))</f>
        <v>148996.05583172885</v>
      </c>
      <c r="AJ911" s="18">
        <f>IF($A911&gt;'1-Input'!$B$26,AJ910,AJ910-AE911*(1-AD911))</f>
        <v>60543.997093617058</v>
      </c>
      <c r="AK911" s="11">
        <f>IF($A911&gt;'1-Input'!$B$26,0,IF(AP910&lt;=0,0,MAX(0,(AP910-AQ910)/AP910)))</f>
        <v>0.57874821542407873</v>
      </c>
      <c r="AL911" s="18">
        <f>IF($A911&gt;'1-Input'!$B$26,0,(MAX(0,AK891-IF($A911&gt;='1-Input'!$C$12,'1-Input'!$B$12,0))-MIN(MAX(AO910,0),MAX(0,AK891-IF($A911&gt;='1-Input'!$C$12,'1-Input'!$B$12,0))))*(1/(1-'P-Parametri'!$B$6*AK911))+MIN(MAX(0,AP910-(MAX(0,AK891-IF($A911&gt;='1-Input'!$C$12,'1-Input'!$B$12,0))-MIN(MAX(AO910,0),MAX(0,AK891-IF($A911&gt;='1-Input'!$C$12,'1-Input'!$B$12,0))))*(1/(1-'P-Parametri'!$B$6*AK911))),MAX(0,5*AK891-(AO910-MIN(MAX(AO910,0),MAX(0,AK891-IF($A911&gt;='1-Input'!$C$12,'1-Input'!$B$12,0)))))*(1/(1-'P-Parametri'!$B$6*AK911))))</f>
        <v>21430.203133183015</v>
      </c>
      <c r="AM911" s="18">
        <f>IF($A911&gt;'1-Input'!$B$26,AO910,(AO910-MAX(0,AK891-IF($A911&gt;='1-Input'!$C$12,'1-Input'!$B$12,0))+AL911*(1-'P-Parametri'!$B$6*AK911))*(1+'1-Input'!$B$27))</f>
        <v>89096.087663925675</v>
      </c>
      <c r="AN911" s="18">
        <f>IF($A911&gt;'1-Input'!$B$26,AP910,(AP910-AL911)*(1+$D$4))</f>
        <v>149443.2889270118</v>
      </c>
      <c r="AO911" s="18">
        <f>IF($A911&gt;'1-Input'!$B$26,AM911,AM911-'P-Parametri'!$B$8*(AN911+AM911)+MIN(MAX(AN911,0),'P-Parametri'!$B$8*(AN911+AM911)))</f>
        <v>89096.087663925675</v>
      </c>
      <c r="AP911" s="18">
        <f>IF($A911&gt;'1-Input'!$B$26,AN911,AN911-MIN(MAX(AN911,0),'P-Parametri'!$B$8*(AN911+AM911)))</f>
        <v>148966.21017382992</v>
      </c>
      <c r="AQ911" s="18">
        <f>IF($A911&gt;'1-Input'!$B$26,AQ910,AQ910-AL911*(1-AK911))</f>
        <v>60531.973224421854</v>
      </c>
    </row>
    <row r="912" spans="1:43">
      <c r="A912" s="10">
        <f>19</f>
        <v>19</v>
      </c>
      <c r="B912" s="11">
        <f>IF($A912&gt;'1-Input'!$B$26,0,IF(G911&lt;=0,0,MAX(0,(G911-H911)/G911)))</f>
        <v>0.59459902144320553</v>
      </c>
      <c r="C912" s="18">
        <f>IF($A912&gt;'1-Input'!$B$26,0,(MAX(0,B891-IF($A912&gt;='1-Input'!$C$12,'1-Input'!$B$12,0))-MIN(MAX(F911,0),MAX(0,B891-IF($A912&gt;='1-Input'!$C$12,'1-Input'!$B$12,0))))*(1/(1-'P-Parametri'!$B$6*B912))+MIN(MAX(0,G911-(MAX(0,B891-IF($A912&gt;='1-Input'!$C$12,'1-Input'!$B$12,0))-MIN(MAX(F911,0),MAX(0,B891-IF($A912&gt;='1-Input'!$C$12,'1-Input'!$B$12,0))))*(1/(1-'P-Parametri'!$B$6*B912))),MAX(0,5*B891-(F911-MIN(MAX(F911,0),MAX(0,B891-IF($A912&gt;='1-Input'!$C$12,'1-Input'!$B$12,0)))))*(1/(1-'P-Parametri'!$B$6*B912))))</f>
        <v>20086.620361099995</v>
      </c>
      <c r="D912" s="18">
        <f>IF($A912&gt;'1-Input'!$B$26,F911,(F911-MAX(0,B891-IF($A912&gt;='1-Input'!$C$12,'1-Input'!$B$12,0))+C912*(1-'P-Parametri'!$B$6*B912))*(1+'1-Input'!$B$27))</f>
        <v>83105.01757746574</v>
      </c>
      <c r="E912" s="18">
        <f>IF($A912&gt;'1-Input'!$B$26,G911,(G911-C912)*(1+$D$4))</f>
        <v>183558.8314760178</v>
      </c>
      <c r="F912" s="18">
        <f>IF($A912&gt;'1-Input'!$B$26,D912,D912-'P-Parametri'!$B$8*(E912+D912)+MIN(MAX(E912,0),'P-Parametri'!$B$8*(E912+D912)))</f>
        <v>83105.01757746574</v>
      </c>
      <c r="G912" s="18">
        <f>IF($A912&gt;'1-Input'!$B$26,E912,E912-MIN(MAX(E912,0),'P-Parametri'!$B$8*(E912+D912)))</f>
        <v>183025.50377791084</v>
      </c>
      <c r="H912" s="18">
        <f>IF($A912&gt;'1-Input'!$B$26,H911,H911-C912*(1-B912))</f>
        <v>71552.817214537819</v>
      </c>
      <c r="I912" s="11">
        <f>IF($A912&gt;'1-Input'!$B$26,0,IF(N911&lt;=0,0,MAX(0,(N911-O911)/N911)))</f>
        <v>0</v>
      </c>
      <c r="J912" s="18">
        <f>IF($A912&gt;'1-Input'!$B$26,0,(MAX(0,I891-IF($A912&gt;='1-Input'!$C$12,'1-Input'!$B$12,0))-MIN(MAX(M911,0),MAX(0,I891-IF($A912&gt;='1-Input'!$C$12,'1-Input'!$B$12,0))))*(1/(1-'P-Parametri'!$B$6*I912))+MIN(MAX(0,N911-(MAX(0,I891-IF($A912&gt;='1-Input'!$C$12,'1-Input'!$B$12,0))-MIN(MAX(M911,0),MAX(0,I891-IF($A912&gt;='1-Input'!$C$12,'1-Input'!$B$12,0))))*(1/(1-'P-Parametri'!$B$6*I912))),MAX(0,5*I891-(M911-MIN(MAX(M911,0),MAX(0,I891-IF($A912&gt;='1-Input'!$C$12,'1-Input'!$B$12,0)))))*(1/(1-'P-Parametri'!$B$6*I912))))</f>
        <v>0</v>
      </c>
      <c r="K912" s="18">
        <f>IF($A912&gt;'1-Input'!$B$26,M911,(M911-MAX(0,I891-IF($A912&gt;='1-Input'!$C$12,'1-Input'!$B$12,0))+J912*(1-'P-Parametri'!$B$6*I912))*(1+'1-Input'!$B$27))</f>
        <v>77458.069799830439</v>
      </c>
      <c r="L912" s="18">
        <f>IF($A912&gt;'1-Input'!$B$26,N911,(N911-J912)*(1+$D$4))</f>
        <v>0</v>
      </c>
      <c r="M912" s="18">
        <f>IF($A912&gt;'1-Input'!$B$26,K912,K912-'P-Parametri'!$B$8*(L912+K912)+MIN(MAX(L912,0),'P-Parametri'!$B$8*(L912+K912)))</f>
        <v>77303.153660230775</v>
      </c>
      <c r="N912" s="18">
        <f>IF($A912&gt;'1-Input'!$B$26,L912,L912-MIN(MAX(L912,0),'P-Parametri'!$B$8*(L912+K912)))</f>
        <v>0</v>
      </c>
      <c r="O912" s="18">
        <f>IF($A912&gt;'1-Input'!$B$26,O911,O911-J912*(1-I912))</f>
        <v>0</v>
      </c>
      <c r="P912" s="11">
        <f>IF($A912&gt;'1-Input'!$B$26,0,IF(U911&lt;=0,0,MAX(0,(U911-V911)/U911)))</f>
        <v>0.59348574378308294</v>
      </c>
      <c r="Q912" s="18">
        <f>IF($A912&gt;'1-Input'!$B$26,0,(MAX(0,P891-IF($A912&gt;='1-Input'!$C$12,'1-Input'!$B$12,0))-MIN(MAX(T911,0),MAX(0,P891-IF($A912&gt;='1-Input'!$C$12,'1-Input'!$B$12,0))))*(1/(1-'P-Parametri'!$B$6*P912))+MIN(MAX(0,U911-(MAX(0,P891-IF($A912&gt;='1-Input'!$C$12,'1-Input'!$B$12,0))-MIN(MAX(T911,0),MAX(0,P891-IF($A912&gt;='1-Input'!$C$12,'1-Input'!$B$12,0))))*(1/(1-'P-Parametri'!$B$6*P912))),MAX(0,5*P891-(T911-MIN(MAX(T911,0),MAX(0,P891-IF($A912&gt;='1-Input'!$C$12,'1-Input'!$B$12,0)))))*(1/(1-'P-Parametri'!$B$6*P912))))</f>
        <v>21739.201062489446</v>
      </c>
      <c r="R912" s="18">
        <f>IF($A912&gt;'1-Input'!$B$26,T911,(T911-MAX(0,P891-IF($A912&gt;='1-Input'!$C$12,'1-Input'!$B$12,0))+Q912*(1-'P-Parametri'!$B$6*P912))*(1+'1-Input'!$B$27))</f>
        <v>89973.087355227675</v>
      </c>
      <c r="S912" s="18">
        <f>IF($A912&gt;'1-Input'!$B$26,U911,(U911-Q912)*(1+$D$4))</f>
        <v>125067.84237262914</v>
      </c>
      <c r="T912" s="18">
        <f>IF($A912&gt;'1-Input'!$B$26,R912,R912-'P-Parametri'!$B$8*(S912+R912)+MIN(MAX(S912,0),'P-Parametri'!$B$8*(S912+R912)))</f>
        <v>89973.087355227675</v>
      </c>
      <c r="U912" s="18">
        <f>IF($A912&gt;'1-Input'!$B$26,S912,S912-MIN(MAX(S912,0),'P-Parametri'!$B$8*(S912+R912)))</f>
        <v>124637.76051317342</v>
      </c>
      <c r="V912" s="18">
        <f>IF($A912&gt;'1-Input'!$B$26,V911,V911-Q912*(1-P912))</f>
        <v>48886.404729580725</v>
      </c>
      <c r="W912" s="11">
        <f>IF($A912&gt;'1-Input'!$B$26,0,IF(AB911&lt;=0,0,MAX(0,(AB911-AC911)/AB911)))</f>
        <v>0.59362515099259805</v>
      </c>
      <c r="X912" s="18">
        <f>IF($A912&gt;'1-Input'!$B$26,0,(MAX(0,W891-IF($A912&gt;='1-Input'!$C$12,'1-Input'!$B$12,0))-MIN(MAX(AA911,0),MAX(0,W891-IF($A912&gt;='1-Input'!$C$12,'1-Input'!$B$12,0))))*(1/(1-'P-Parametri'!$B$6*W912))+MIN(MAX(0,AB911-(MAX(0,W891-IF($A912&gt;='1-Input'!$C$12,'1-Input'!$B$12,0))-MIN(MAX(AA911,0),MAX(0,W891-IF($A912&gt;='1-Input'!$C$12,'1-Input'!$B$12,0))))*(1/(1-'P-Parametri'!$B$6*W912))),MAX(0,5*W891-(AA911-MIN(MAX(AA911,0),MAX(0,W891-IF($A912&gt;='1-Input'!$C$12,'1-Input'!$B$12,0)))))*(1/(1-'P-Parametri'!$B$6*W912))))</f>
        <v>21564.315392086679</v>
      </c>
      <c r="Y912" s="18">
        <f>IF($A912&gt;'1-Input'!$B$26,AA911,(AA911-MAX(0,W891-IF($A912&gt;='1-Input'!$C$12,'1-Input'!$B$12,0))+X912*(1-'P-Parametri'!$B$6*W912))*(1+'1-Input'!$B$27))</f>
        <v>89245.454371318367</v>
      </c>
      <c r="Z912" s="18">
        <f>IF($A912&gt;'1-Input'!$B$26,AB911,(AB911-X912)*(1+$D$4))</f>
        <v>131263.45499454782</v>
      </c>
      <c r="AA912" s="18">
        <f>IF($A912&gt;'1-Input'!$B$26,Y912,Y912-'P-Parametri'!$B$8*(Z912+Y912)+MIN(MAX(Z912,0),'P-Parametri'!$B$8*(Z912+Y912)))</f>
        <v>89245.454371318367</v>
      </c>
      <c r="AB912" s="18">
        <f>IF($A912&gt;'1-Input'!$B$26,Z912,Z912-MIN(MAX(Z912,0),'P-Parametri'!$B$8*(Z912+Y912)))</f>
        <v>130822.43717581609</v>
      </c>
      <c r="AC912" s="18">
        <f>IF($A912&gt;'1-Input'!$B$26,AC911,AC911-X912*(1-W912))</f>
        <v>51290.54490730699</v>
      </c>
      <c r="AD912" s="11">
        <f>IF($A912&gt;'1-Input'!$B$26,0,IF(AI911&lt;=0,0,MAX(0,(AI911-AJ911)/AI911)))</f>
        <v>0.59365369267228507</v>
      </c>
      <c r="AE912" s="18">
        <f>IF($A912&gt;'1-Input'!$B$26,0,(MAX(0,AD891-IF($A912&gt;='1-Input'!$C$12,'1-Input'!$B$12,0))-MIN(MAX(AH911,0),MAX(0,AD891-IF($A912&gt;='1-Input'!$C$12,'1-Input'!$B$12,0))))*(1/(1-'P-Parametri'!$B$6*AD912))+MIN(MAX(0,AI911-(MAX(0,AD891-IF($A912&gt;='1-Input'!$C$12,'1-Input'!$B$12,0))-MIN(MAX(AH911,0),MAX(0,AD891-IF($A912&gt;='1-Input'!$C$12,'1-Input'!$B$12,0))))*(1/(1-'P-Parametri'!$B$6*AD912))),MAX(0,5*AD891-(AH911-MIN(MAX(AH911,0),MAX(0,AD891-IF($A912&gt;='1-Input'!$C$12,'1-Input'!$B$12,0)))))*(1/(1-'P-Parametri'!$B$6*AD912))))</f>
        <v>21527.505486956117</v>
      </c>
      <c r="AF912" s="18">
        <f>IF($A912&gt;'1-Input'!$B$26,AH911,(AH911-MAX(0,AD891-IF($A912&gt;='1-Input'!$C$12,'1-Input'!$B$12,0))+AE912*(1-'P-Parametri'!$B$6*AD912))*(1+'1-Input'!$B$27))</f>
        <v>89092.332146155182</v>
      </c>
      <c r="AG912" s="18">
        <f>IF($A912&gt;'1-Input'!$B$26,AI911,(AI911-AE912)*(1+$D$4))</f>
        <v>132567.29235856366</v>
      </c>
      <c r="AH912" s="18">
        <f>IF($A912&gt;'1-Input'!$B$26,AF912,AF912-'P-Parametri'!$B$8*(AG912+AF912)+MIN(MAX(AG912,0),'P-Parametri'!$B$8*(AG912+AF912)))</f>
        <v>89092.332146155182</v>
      </c>
      <c r="AI912" s="18">
        <f>IF($A912&gt;'1-Input'!$B$26,AG912,AG912-MIN(MAX(AG912,0),'P-Parametri'!$B$8*(AG912+AF912)))</f>
        <v>132123.97310955421</v>
      </c>
      <c r="AJ912" s="18">
        <f>IF($A912&gt;'1-Input'!$B$26,AJ911,AJ911-AE912*(1-AD912))</f>
        <v>51796.37473301532</v>
      </c>
      <c r="AK912" s="11">
        <f>IF($A912&gt;'1-Input'!$B$26,0,IF(AP911&lt;=0,0,MAX(0,(AP911-AQ911)/AP911)))</f>
        <v>0.59365299584525522</v>
      </c>
      <c r="AL912" s="18">
        <f>IF($A912&gt;'1-Input'!$B$26,0,(MAX(0,AK891-IF($A912&gt;='1-Input'!$C$12,'1-Input'!$B$12,0))-MIN(MAX(AO911,0),MAX(0,AK891-IF($A912&gt;='1-Input'!$C$12,'1-Input'!$B$12,0))))*(1/(1-'P-Parametri'!$B$6*AK912))+MIN(MAX(0,AP911-(MAX(0,AK891-IF($A912&gt;='1-Input'!$C$12,'1-Input'!$B$12,0))-MIN(MAX(AO911,0),MAX(0,AK891-IF($A912&gt;='1-Input'!$C$12,'1-Input'!$B$12,0))))*(1/(1-'P-Parametri'!$B$6*AK912))),MAX(0,5*AK891-(AO911-MIN(MAX(AO911,0),MAX(0,AK891-IF($A912&gt;='1-Input'!$C$12,'1-Input'!$B$12,0)))))*(1/(1-'P-Parametri'!$B$6*AK912))))</f>
        <v>21528.408325673892</v>
      </c>
      <c r="AM912" s="18">
        <f>IF($A912&gt;'1-Input'!$B$26,AO911,(AO911-MAX(0,AK891-IF($A912&gt;='1-Input'!$C$12,'1-Input'!$B$12,0))+AL912*(1-'P-Parametri'!$B$6*AK912))*(1+'1-Input'!$B$27))</f>
        <v>89096.087663925675</v>
      </c>
      <c r="AN912" s="18">
        <f>IF($A912&gt;'1-Input'!$B$26,AP911,(AP911-AL912)*(1+$D$4))</f>
        <v>132535.31392208228</v>
      </c>
      <c r="AO912" s="18">
        <f>IF($A912&gt;'1-Input'!$B$26,AM912,AM912-'P-Parametri'!$B$8*(AN912+AM912)+MIN(MAX(AN912,0),'P-Parametri'!$B$8*(AN912+AM912)))</f>
        <v>89096.087663925675</v>
      </c>
      <c r="AP912" s="18">
        <f>IF($A912&gt;'1-Input'!$B$26,AN912,AN912-MIN(MAX(AN912,0),'P-Parametri'!$B$8*(AN912+AM912)))</f>
        <v>132092.05111891025</v>
      </c>
      <c r="AQ912" s="18">
        <f>IF($A912&gt;'1-Input'!$B$26,AQ911,AQ911-AL912*(1-AK912))</f>
        <v>51783.968997064207</v>
      </c>
    </row>
    <row r="913" spans="1:43">
      <c r="A913" s="10">
        <f>20</f>
        <v>20</v>
      </c>
      <c r="B913" s="11">
        <f>IF($A913&gt;'1-Input'!$B$26,0,IF(G912&lt;=0,0,MAX(0,(G912-H912)/G912)))</f>
        <v>0.60905548277379773</v>
      </c>
      <c r="C913" s="18">
        <f>IF($A913&gt;'1-Input'!$B$26,0,(MAX(0,B891-IF($A913&gt;='1-Input'!$C$12,'1-Input'!$B$12,0))-MIN(MAX(F912,0),MAX(0,B891-IF($A913&gt;='1-Input'!$C$12,'1-Input'!$B$12,0))))*(1/(1-'P-Parametri'!$B$6*B913))+MIN(MAX(0,G912-(MAX(0,B891-IF($A913&gt;='1-Input'!$C$12,'1-Input'!$B$12,0))-MIN(MAX(F912,0),MAX(0,B891-IF($A913&gt;='1-Input'!$C$12,'1-Input'!$B$12,0))))*(1/(1-'P-Parametri'!$B$6*B913))),MAX(0,5*B891-(F912-MIN(MAX(F912,0),MAX(0,B891-IF($A913&gt;='1-Input'!$C$12,'1-Input'!$B$12,0)))))*(1/(1-'P-Parametri'!$B$6*B913))))</f>
        <v>20176.324601724096</v>
      </c>
      <c r="D913" s="18">
        <f>IF($A913&gt;'1-Input'!$B$26,F912,(F912-MAX(0,B891-IF($A913&gt;='1-Input'!$C$12,'1-Input'!$B$12,0))+C913*(1-'P-Parametri'!$B$6*B913))*(1+'1-Input'!$B$27))</f>
        <v>83105.01757746574</v>
      </c>
      <c r="E913" s="18">
        <f>IF($A913&gt;'1-Input'!$B$26,G912,(G912-C913)*(1+$D$4))</f>
        <v>169363.1463432342</v>
      </c>
      <c r="F913" s="18">
        <f>IF($A913&gt;'1-Input'!$B$26,D913,D913-'P-Parametri'!$B$8*(E913+D913)+MIN(MAX(E913,0),'P-Parametri'!$B$8*(E913+D913)))</f>
        <v>83105.01757746574</v>
      </c>
      <c r="G913" s="18">
        <f>IF($A913&gt;'1-Input'!$B$26,E913,E913-MIN(MAX(E913,0),'P-Parametri'!$B$8*(E913+D913)))</f>
        <v>168858.2100153928</v>
      </c>
      <c r="H913" s="18">
        <f>IF($A913&gt;'1-Input'!$B$26,H912,H912-C913*(1-B913))</f>
        <v>63664.993733717645</v>
      </c>
      <c r="I913" s="11">
        <f>IF($A913&gt;'1-Input'!$B$26,0,IF(N912&lt;=0,0,MAX(0,(N912-O912)/N912)))</f>
        <v>0</v>
      </c>
      <c r="J913" s="18">
        <f>IF($A913&gt;'1-Input'!$B$26,0,(MAX(0,I891-IF($A913&gt;='1-Input'!$C$12,'1-Input'!$B$12,0))-MIN(MAX(M912,0),MAX(0,I891-IF($A913&gt;='1-Input'!$C$12,'1-Input'!$B$12,0))))*(1/(1-'P-Parametri'!$B$6*I913))+MIN(MAX(0,N912-(MAX(0,I891-IF($A913&gt;='1-Input'!$C$12,'1-Input'!$B$12,0))-MIN(MAX(M912,0),MAX(0,I891-IF($A913&gt;='1-Input'!$C$12,'1-Input'!$B$12,0))))*(1/(1-'P-Parametri'!$B$6*I913))),MAX(0,5*I891-(M912-MIN(MAX(M912,0),MAX(0,I891-IF($A913&gt;='1-Input'!$C$12,'1-Input'!$B$12,0)))))*(1/(1-'P-Parametri'!$B$6*I913))))</f>
        <v>0</v>
      </c>
      <c r="K913" s="18">
        <f>IF($A913&gt;'1-Input'!$B$26,M912,(M912-MAX(0,I891-IF($A913&gt;='1-Input'!$C$12,'1-Input'!$B$12,0))+J913*(1-'P-Parametri'!$B$6*I913))*(1+'1-Input'!$B$27))</f>
        <v>55155.120839299794</v>
      </c>
      <c r="L913" s="18">
        <f>IF($A913&gt;'1-Input'!$B$26,N912,(N912-J913)*(1+$D$4))</f>
        <v>0</v>
      </c>
      <c r="M913" s="18">
        <f>IF($A913&gt;'1-Input'!$B$26,K913,K913-'P-Parametri'!$B$8*(L913+K913)+MIN(MAX(L913,0),'P-Parametri'!$B$8*(L913+K913)))</f>
        <v>55044.810597621195</v>
      </c>
      <c r="N913" s="18">
        <f>IF($A913&gt;'1-Input'!$B$26,L913,L913-MIN(MAX(L913,0),'P-Parametri'!$B$8*(L913+K913)))</f>
        <v>0</v>
      </c>
      <c r="O913" s="18">
        <f>IF($A913&gt;'1-Input'!$B$26,O912,O912-J913*(1-I913))</f>
        <v>0</v>
      </c>
      <c r="P913" s="11">
        <f>IF($A913&gt;'1-Input'!$B$26,0,IF(U912&lt;=0,0,MAX(0,(U912-V912)/U912)))</f>
        <v>0.60777211875197534</v>
      </c>
      <c r="Q913" s="18">
        <f>IF($A913&gt;'1-Input'!$B$26,0,(MAX(0,P891-IF($A913&gt;='1-Input'!$C$12,'1-Input'!$B$12,0))-MIN(MAX(T912,0),MAX(0,P891-IF($A913&gt;='1-Input'!$C$12,'1-Input'!$B$12,0))))*(1/(1-'P-Parametri'!$B$6*P913))+MIN(MAX(0,U912-(MAX(0,P891-IF($A913&gt;='1-Input'!$C$12,'1-Input'!$B$12,0))-MIN(MAX(T912,0),MAX(0,P891-IF($A913&gt;='1-Input'!$C$12,'1-Input'!$B$12,0))))*(1/(1-'P-Parametri'!$B$6*P913))),MAX(0,5*P891-(T912-MIN(MAX(T912,0),MAX(0,P891-IF($A913&gt;='1-Input'!$C$12,'1-Input'!$B$12,0)))))*(1/(1-'P-Parametri'!$B$6*P913))))</f>
        <v>21835.105252929665</v>
      </c>
      <c r="R913" s="18">
        <f>IF($A913&gt;'1-Input'!$B$26,T912,(T912-MAX(0,P891-IF($A913&gt;='1-Input'!$C$12,'1-Input'!$B$12,0))+Q913*(1-'P-Parametri'!$B$6*P913))*(1+'1-Input'!$B$27))</f>
        <v>89973.087355227675</v>
      </c>
      <c r="S913" s="18">
        <f>IF($A913&gt;'1-Input'!$B$26,U912,(U912-Q913)*(1+$D$4))</f>
        <v>106914.7614706535</v>
      </c>
      <c r="T913" s="18">
        <f>IF($A913&gt;'1-Input'!$B$26,R913,R913-'P-Parametri'!$B$8*(S913+R913)+MIN(MAX(S913,0),'P-Parametri'!$B$8*(S913+R913)))</f>
        <v>89973.087355227675</v>
      </c>
      <c r="U913" s="18">
        <f>IF($A913&gt;'1-Input'!$B$26,S913,S913-MIN(MAX(S913,0),'P-Parametri'!$B$8*(S913+R913)))</f>
        <v>106520.98577300174</v>
      </c>
      <c r="V913" s="18">
        <f>IF($A913&gt;'1-Input'!$B$26,V912,V912-Q913*(1-P913))</f>
        <v>40322.067659396511</v>
      </c>
      <c r="W913" s="11">
        <f>IF($A913&gt;'1-Input'!$B$26,0,IF(AB912&lt;=0,0,MAX(0,(AB912-AC912)/AB912)))</f>
        <v>0.60793770537712788</v>
      </c>
      <c r="X913" s="18">
        <f>IF($A913&gt;'1-Input'!$B$26,0,(MAX(0,W891-IF($A913&gt;='1-Input'!$C$12,'1-Input'!$B$12,0))-MIN(MAX(AA912,0),MAX(0,W891-IF($A913&gt;='1-Input'!$C$12,'1-Input'!$B$12,0))))*(1/(1-'P-Parametri'!$B$6*W913))+MIN(MAX(0,AB912-(MAX(0,W891-IF($A913&gt;='1-Input'!$C$12,'1-Input'!$B$12,0))-MIN(MAX(AA912,0),MAX(0,W891-IF($A913&gt;='1-Input'!$C$12,'1-Input'!$B$12,0))))*(1/(1-'P-Parametri'!$B$6*W913))),MAX(0,5*W891-(AA912-MIN(MAX(AA912,0),MAX(0,W891-IF($A913&gt;='1-Input'!$C$12,'1-Input'!$B$12,0)))))*(1/(1-'P-Parametri'!$B$6*W913))))</f>
        <v>21659.627262387083</v>
      </c>
      <c r="Y913" s="18">
        <f>IF($A913&gt;'1-Input'!$B$26,AA912,(AA912-MAX(0,W891-IF($A913&gt;='1-Input'!$C$12,'1-Input'!$B$12,0))+X913*(1-'P-Parametri'!$B$6*W913))*(1+'1-Input'!$B$27))</f>
        <v>89245.454371318367</v>
      </c>
      <c r="Z913" s="18">
        <f>IF($A913&gt;'1-Input'!$B$26,AB912,(AB912-X913)*(1+$D$4))</f>
        <v>113529.32230996616</v>
      </c>
      <c r="AA913" s="18">
        <f>IF($A913&gt;'1-Input'!$B$26,Y913,Y913-'P-Parametri'!$B$8*(Z913+Y913)+MIN(MAX(Z913,0),'P-Parametri'!$B$8*(Z913+Y913)))</f>
        <v>89245.454371318367</v>
      </c>
      <c r="AB913" s="18">
        <f>IF($A913&gt;'1-Input'!$B$26,Z913,Z913-MIN(MAX(Z913,0),'P-Parametri'!$B$8*(Z913+Y913)))</f>
        <v>113123.77275660359</v>
      </c>
      <c r="AC913" s="18">
        <f>IF($A913&gt;'1-Input'!$B$26,AC912,AC912-X913*(1-W913))</f>
        <v>42798.621742139396</v>
      </c>
      <c r="AD913" s="11">
        <f>IF($A913&gt;'1-Input'!$B$26,0,IF(AI912&lt;=0,0,MAX(0,(AI912-AJ912)/AI912)))</f>
        <v>0.60797141113772801</v>
      </c>
      <c r="AE913" s="18">
        <f>IF($A913&gt;'1-Input'!$B$26,0,(MAX(0,AD891-IF($A913&gt;='1-Input'!$C$12,'1-Input'!$B$12,0))-MIN(MAX(AH912,0),MAX(0,AD891-IF($A913&gt;='1-Input'!$C$12,'1-Input'!$B$12,0))))*(1/(1-'P-Parametri'!$B$6*AD913))+MIN(MAX(0,AI912-(MAX(0,AD891-IF($A913&gt;='1-Input'!$C$12,'1-Input'!$B$12,0))-MIN(MAX(AH912,0),MAX(0,AD891-IF($A913&gt;='1-Input'!$C$12,'1-Input'!$B$12,0))))*(1/(1-'P-Parametri'!$B$6*AD913))),MAX(0,5*AD891-(AH912-MIN(MAX(AH912,0),MAX(0,AD891-IF($A913&gt;='1-Input'!$C$12,'1-Input'!$B$12,0)))))*(1/(1-'P-Parametri'!$B$6*AD913))))</f>
        <v>21622.689982892025</v>
      </c>
      <c r="AF913" s="18">
        <f>IF($A913&gt;'1-Input'!$B$26,AH912,(AH912-MAX(0,AD891-IF($A913&gt;='1-Input'!$C$12,'1-Input'!$B$12,0))+AE913*(1-'P-Parametri'!$B$6*AD913))*(1+'1-Input'!$B$27))</f>
        <v>89092.332146155182</v>
      </c>
      <c r="AG913" s="18">
        <f>IF($A913&gt;'1-Input'!$B$26,AI912,(AI912-AE913)*(1+$D$4))</f>
        <v>114921.33445172868</v>
      </c>
      <c r="AH913" s="18">
        <f>IF($A913&gt;'1-Input'!$B$26,AF913,AF913-'P-Parametri'!$B$8*(AG913+AF913)+MIN(MAX(AG913,0),'P-Parametri'!$B$8*(AG913+AF913)))</f>
        <v>89092.332146155182</v>
      </c>
      <c r="AI913" s="18">
        <f>IF($A913&gt;'1-Input'!$B$26,AG913,AG913-MIN(MAX(AG913,0),'P-Parametri'!$B$8*(AG913+AF913)))</f>
        <v>114513.3071185329</v>
      </c>
      <c r="AJ913" s="18">
        <f>IF($A913&gt;'1-Input'!$B$26,AJ912,AJ912-AE913*(1-AD913))</f>
        <v>43319.662091615777</v>
      </c>
      <c r="AK913" s="11">
        <f>IF($A913&gt;'1-Input'!$B$26,0,IF(AP912&lt;=0,0,MAX(0,(AP912-AQ912)/AP912)))</f>
        <v>0.60797058900654144</v>
      </c>
      <c r="AL913" s="18">
        <f>IF($A913&gt;'1-Input'!$B$26,0,(MAX(0,AK891-IF($A913&gt;='1-Input'!$C$12,'1-Input'!$B$12,0))-MIN(MAX(AO912,0),MAX(0,AK891-IF($A913&gt;='1-Input'!$C$12,'1-Input'!$B$12,0))))*(1/(1-'P-Parametri'!$B$6*AK913))+MIN(MAX(0,AP912-(MAX(0,AK891-IF($A913&gt;='1-Input'!$C$12,'1-Input'!$B$12,0))-MIN(MAX(AO912,0),MAX(0,AK891-IF($A913&gt;='1-Input'!$C$12,'1-Input'!$B$12,0))))*(1/(1-'P-Parametri'!$B$6*AK913))),MAX(0,5*AK891-(AO912-MIN(MAX(AO912,0),MAX(0,AK891-IF($A913&gt;='1-Input'!$C$12,'1-Input'!$B$12,0)))))*(1/(1-'P-Parametri'!$B$6*AK913))))</f>
        <v>21623.595956311136</v>
      </c>
      <c r="AM913" s="18">
        <f>IF($A913&gt;'1-Input'!$B$26,AO912,(AO912-MAX(0,AK891-IF($A913&gt;='1-Input'!$C$12,'1-Input'!$B$12,0))+AL913*(1-'P-Parametri'!$B$6*AK913))*(1+'1-Input'!$B$27))</f>
        <v>89096.087663925675</v>
      </c>
      <c r="AN913" s="18">
        <f>IF($A913&gt;'1-Input'!$B$26,AP912,(AP912-AL913)*(1+$D$4))</f>
        <v>114887.19336910309</v>
      </c>
      <c r="AO913" s="18">
        <f>IF($A913&gt;'1-Input'!$B$26,AM913,AM913-'P-Parametri'!$B$8*(AN913+AM913)+MIN(MAX(AN913,0),'P-Parametri'!$B$8*(AN913+AM913)))</f>
        <v>89096.087663925675</v>
      </c>
      <c r="AP913" s="18">
        <f>IF($A913&gt;'1-Input'!$B$26,AN913,AN913-MIN(MAX(AN913,0),'P-Parametri'!$B$8*(AN913+AM913)))</f>
        <v>114479.22680703703</v>
      </c>
      <c r="AQ913" s="18">
        <f>IF($A913&gt;'1-Input'!$B$26,AQ912,AQ912-AL913*(1-AK913))</f>
        <v>43306.883410751019</v>
      </c>
    </row>
    <row r="914" spans="1:43">
      <c r="A914" s="10">
        <f>21</f>
        <v>21</v>
      </c>
      <c r="B914" s="11">
        <f>IF($A914&gt;'1-Input'!$B$26,0,IF(G913&lt;=0,0,MAX(0,(G913-H913)/G913)))</f>
        <v>0.62296773294047081</v>
      </c>
      <c r="C914" s="18">
        <f>IF($A914&gt;'1-Input'!$B$26,0,(MAX(0,B891-IF($A914&gt;='1-Input'!$C$12,'1-Input'!$B$12,0))-MIN(MAX(F913,0),MAX(0,B891-IF($A914&gt;='1-Input'!$C$12,'1-Input'!$B$12,0))))*(1/(1-'P-Parametri'!$B$6*B914))+MIN(MAX(0,G913-(MAX(0,B891-IF($A914&gt;='1-Input'!$C$12,'1-Input'!$B$12,0))-MIN(MAX(F913,0),MAX(0,B891-IF($A914&gt;='1-Input'!$C$12,'1-Input'!$B$12,0))))*(1/(1-'P-Parametri'!$B$6*B914))),MAX(0,5*B891-(F913-MIN(MAX(F913,0),MAX(0,B891-IF($A914&gt;='1-Input'!$C$12,'1-Input'!$B$12,0)))))*(1/(1-'P-Parametri'!$B$6*B914))))</f>
        <v>20263.41174638275</v>
      </c>
      <c r="D914" s="18">
        <f>IF($A914&gt;'1-Input'!$B$26,F913,(F913-MAX(0,B891-IF($A914&gt;='1-Input'!$C$12,'1-Input'!$B$12,0))+C914*(1-'P-Parametri'!$B$6*B914))*(1+'1-Input'!$B$27))</f>
        <v>83105.01757746574</v>
      </c>
      <c r="E914" s="18">
        <f>IF($A914&gt;'1-Input'!$B$26,G913,(G913-C914)*(1+$D$4))</f>
        <v>154538.59019977046</v>
      </c>
      <c r="F914" s="18">
        <f>IF($A914&gt;'1-Input'!$B$26,D914,D914-'P-Parametri'!$B$8*(E914+D914)+MIN(MAX(E914,0),'P-Parametri'!$B$8*(E914+D914)))</f>
        <v>83105.01757746574</v>
      </c>
      <c r="G914" s="18">
        <f>IF($A914&gt;'1-Input'!$B$26,E914,E914-MIN(MAX(E914,0),'P-Parametri'!$B$8*(E914+D914)))</f>
        <v>154063.30298421599</v>
      </c>
      <c r="H914" s="18">
        <f>IF($A914&gt;'1-Input'!$B$26,H913,H913-C914*(1-B914))</f>
        <v>56025.033664618262</v>
      </c>
      <c r="I914" s="11">
        <f>IF($A914&gt;'1-Input'!$B$26,0,IF(N913&lt;=0,0,MAX(0,(N913-O913)/N913)))</f>
        <v>0</v>
      </c>
      <c r="J914" s="18">
        <f>IF($A914&gt;'1-Input'!$B$26,0,(MAX(0,I891-IF($A914&gt;='1-Input'!$C$12,'1-Input'!$B$12,0))-MIN(MAX(M913,0),MAX(0,I891-IF($A914&gt;='1-Input'!$C$12,'1-Input'!$B$12,0))))*(1/(1-'P-Parametri'!$B$6*I914))+MIN(MAX(0,N913-(MAX(0,I891-IF($A914&gt;='1-Input'!$C$12,'1-Input'!$B$12,0))-MIN(MAX(M913,0),MAX(0,I891-IF($A914&gt;='1-Input'!$C$12,'1-Input'!$B$12,0))))*(1/(1-'P-Parametri'!$B$6*I914))),MAX(0,5*I891-(M913-MIN(MAX(M913,0),MAX(0,I891-IF($A914&gt;='1-Input'!$C$12,'1-Input'!$B$12,0)))))*(1/(1-'P-Parametri'!$B$6*I914))))</f>
        <v>0</v>
      </c>
      <c r="K914" s="18">
        <f>IF($A914&gt;'1-Input'!$B$26,M913,(M913-MAX(0,I891-IF($A914&gt;='1-Input'!$C$12,'1-Input'!$B$12,0))+J914*(1-'P-Parametri'!$B$6*I914))*(1+'1-Input'!$B$27))</f>
        <v>32976.90781171561</v>
      </c>
      <c r="L914" s="18">
        <f>IF($A914&gt;'1-Input'!$B$26,N913,(N913-J914)*(1+$D$4))</f>
        <v>0</v>
      </c>
      <c r="M914" s="18">
        <f>IF($A914&gt;'1-Input'!$B$26,K914,K914-'P-Parametri'!$B$8*(L914+K914)+MIN(MAX(L914,0),'P-Parametri'!$B$8*(L914+K914)))</f>
        <v>32910.953996092176</v>
      </c>
      <c r="N914" s="18">
        <f>IF($A914&gt;'1-Input'!$B$26,L914,L914-MIN(MAX(L914,0),'P-Parametri'!$B$8*(L914+K914)))</f>
        <v>0</v>
      </c>
      <c r="O914" s="18">
        <f>IF($A914&gt;'1-Input'!$B$26,O913,O913-J914*(1-I914))</f>
        <v>0</v>
      </c>
      <c r="P914" s="11">
        <f>IF($A914&gt;'1-Input'!$B$26,0,IF(U913&lt;=0,0,MAX(0,(U913-V913)/U913)))</f>
        <v>0.62146362646958975</v>
      </c>
      <c r="Q914" s="18">
        <f>IF($A914&gt;'1-Input'!$B$26,0,(MAX(0,P891-IF($A914&gt;='1-Input'!$C$12,'1-Input'!$B$12,0))-MIN(MAX(T913,0),MAX(0,P891-IF($A914&gt;='1-Input'!$C$12,'1-Input'!$B$12,0))))*(1/(1-'P-Parametri'!$B$6*P914))+MIN(MAX(0,U913-(MAX(0,P891-IF($A914&gt;='1-Input'!$C$12,'1-Input'!$B$12,0))-MIN(MAX(T913,0),MAX(0,P891-IF($A914&gt;='1-Input'!$C$12,'1-Input'!$B$12,0))))*(1/(1-'P-Parametri'!$B$6*P914))),MAX(0,5*P891-(T913-MIN(MAX(T913,0),MAX(0,P891-IF($A914&gt;='1-Input'!$C$12,'1-Input'!$B$12,0)))))*(1/(1-'P-Parametri'!$B$6*P914))))</f>
        <v>21927.813541701256</v>
      </c>
      <c r="R914" s="18">
        <f>IF($A914&gt;'1-Input'!$B$26,T913,(T913-MAX(0,P891-IF($A914&gt;='1-Input'!$C$12,'1-Input'!$B$12,0))+Q914*(1-'P-Parametri'!$B$6*P914))*(1+'1-Input'!$B$27))</f>
        <v>89973.087355227675</v>
      </c>
      <c r="S914" s="18">
        <f>IF($A914&gt;'1-Input'!$B$26,U913,(U913-Q914)*(1+$D$4))</f>
        <v>87976.899120552509</v>
      </c>
      <c r="T914" s="18">
        <f>IF($A914&gt;'1-Input'!$B$26,R914,R914-'P-Parametri'!$B$8*(S914+R914)+MIN(MAX(S914,0),'P-Parametri'!$B$8*(S914+R914)))</f>
        <v>89973.087355227675</v>
      </c>
      <c r="U914" s="18">
        <f>IF($A914&gt;'1-Input'!$B$26,S914,S914-MIN(MAX(S914,0),'P-Parametri'!$B$8*(S914+R914)))</f>
        <v>87620.999147600945</v>
      </c>
      <c r="V914" s="18">
        <f>IF($A914&gt;'1-Input'!$B$26,V913,V913-Q914*(1-P914))</f>
        <v>32021.592641869895</v>
      </c>
      <c r="W914" s="11">
        <f>IF($A914&gt;'1-Input'!$B$26,0,IF(AB913&lt;=0,0,MAX(0,(AB913-AC913)/AB913)))</f>
        <v>0.62166553767416644</v>
      </c>
      <c r="X914" s="18">
        <f>IF($A914&gt;'1-Input'!$B$26,0,(MAX(0,W891-IF($A914&gt;='1-Input'!$C$12,'1-Input'!$B$12,0))-MIN(MAX(AA913,0),MAX(0,W891-IF($A914&gt;='1-Input'!$C$12,'1-Input'!$B$12,0))))*(1/(1-'P-Parametri'!$B$6*W914))+MIN(MAX(0,AB913-(MAX(0,W891-IF($A914&gt;='1-Input'!$C$12,'1-Input'!$B$12,0))-MIN(MAX(AA913,0),MAX(0,W891-IF($A914&gt;='1-Input'!$C$12,'1-Input'!$B$12,0))))*(1/(1-'P-Parametri'!$B$6*W914))),MAX(0,5*W891-(AA913-MIN(MAX(AA913,0),MAX(0,W891-IF($A914&gt;='1-Input'!$C$12,'1-Input'!$B$12,0)))))*(1/(1-'P-Parametri'!$B$6*W914))))</f>
        <v>21751.840259374072</v>
      </c>
      <c r="Y914" s="18">
        <f>IF($A914&gt;'1-Input'!$B$26,AA913,(AA913-MAX(0,W891-IF($A914&gt;='1-Input'!$C$12,'1-Input'!$B$12,0))+X914*(1-'P-Parametri'!$B$6*W914))*(1+'1-Input'!$B$27))</f>
        <v>89245.454371318367</v>
      </c>
      <c r="Z914" s="18">
        <f>IF($A914&gt;'1-Input'!$B$26,AB913,(AB913-X914)*(1+$D$4))</f>
        <v>95026.809797118694</v>
      </c>
      <c r="AA914" s="18">
        <f>IF($A914&gt;'1-Input'!$B$26,Y914,Y914-'P-Parametri'!$B$8*(Z914+Y914)+MIN(MAX(Z914,0),'P-Parametri'!$B$8*(Z914+Y914)))</f>
        <v>89245.454371318367</v>
      </c>
      <c r="AB914" s="18">
        <f>IF($A914&gt;'1-Input'!$B$26,Z914,Z914-MIN(MAX(Z914,0),'P-Parametri'!$B$8*(Z914+Y914)))</f>
        <v>94658.265268781819</v>
      </c>
      <c r="AC914" s="18">
        <f>IF($A914&gt;'1-Input'!$B$26,AC913,AC913-X914*(1-W914))</f>
        <v>34569.150953011689</v>
      </c>
      <c r="AD914" s="11">
        <f>IF($A914&gt;'1-Input'!$B$26,0,IF(AI913&lt;=0,0,MAX(0,(AI913-AJ913)/AI913)))</f>
        <v>0.62170630486834577</v>
      </c>
      <c r="AE914" s="18">
        <f>IF($A914&gt;'1-Input'!$B$26,0,(MAX(0,AD891-IF($A914&gt;='1-Input'!$C$12,'1-Input'!$B$12,0))-MIN(MAX(AH913,0),MAX(0,AD891-IF($A914&gt;='1-Input'!$C$12,'1-Input'!$B$12,0))))*(1/(1-'P-Parametri'!$B$6*AD914))+MIN(MAX(0,AI913-(MAX(0,AD891-IF($A914&gt;='1-Input'!$C$12,'1-Input'!$B$12,0))-MIN(MAX(AH913,0),MAX(0,AD891-IF($A914&gt;='1-Input'!$C$12,'1-Input'!$B$12,0))))*(1/(1-'P-Parametri'!$B$6*AD914))),MAX(0,5*AD891-(AH913-MIN(MAX(AH913,0),MAX(0,AD891-IF($A914&gt;='1-Input'!$C$12,'1-Input'!$B$12,0)))))*(1/(1-'P-Parametri'!$B$6*AD914))))</f>
        <v>21714.794241151012</v>
      </c>
      <c r="AF914" s="18">
        <f>IF($A914&gt;'1-Input'!$B$26,AH913,(AH913-MAX(0,AD891-IF($A914&gt;='1-Input'!$C$12,'1-Input'!$B$12,0))+AE914*(1-'P-Parametri'!$B$6*AD914))*(1+'1-Input'!$B$27))</f>
        <v>89092.332146155182</v>
      </c>
      <c r="AG914" s="18">
        <f>IF($A914&gt;'1-Input'!$B$26,AI913,(AI913-AE914)*(1+$D$4))</f>
        <v>96510.453392477168</v>
      </c>
      <c r="AH914" s="18">
        <f>IF($A914&gt;'1-Input'!$B$26,AF914,AF914-'P-Parametri'!$B$8*(AG914+AF914)+MIN(MAX(AG914,0),'P-Parametri'!$B$8*(AG914+AF914)))</f>
        <v>89092.332146155182</v>
      </c>
      <c r="AI914" s="18">
        <f>IF($A914&gt;'1-Input'!$B$26,AG914,AG914-MIN(MAX(AG914,0),'P-Parametri'!$B$8*(AG914+AF914)))</f>
        <v>96139.247821399898</v>
      </c>
      <c r="AJ914" s="18">
        <f>IF($A914&gt;'1-Input'!$B$26,AJ913,AJ913-AE914*(1-AD914))</f>
        <v>35105.092339107199</v>
      </c>
      <c r="AK914" s="11">
        <f>IF($A914&gt;'1-Input'!$B$26,0,IF(AP913&lt;=0,0,MAX(0,(AP913-AQ913)/AP913)))</f>
        <v>0.62170531179645472</v>
      </c>
      <c r="AL914" s="18">
        <f>IF($A914&gt;'1-Input'!$B$26,0,(MAX(0,AK891-IF($A914&gt;='1-Input'!$C$12,'1-Input'!$B$12,0))-MIN(MAX(AO913,0),MAX(0,AK891-IF($A914&gt;='1-Input'!$C$12,'1-Input'!$B$12,0))))*(1/(1-'P-Parametri'!$B$6*AK914))+MIN(MAX(0,AP913-(MAX(0,AK891-IF($A914&gt;='1-Input'!$C$12,'1-Input'!$B$12,0))-MIN(MAX(AO913,0),MAX(0,AK891-IF($A914&gt;='1-Input'!$C$12,'1-Input'!$B$12,0))))*(1/(1-'P-Parametri'!$B$6*AK914))),MAX(0,5*AK891-(AO913-MIN(MAX(AO913,0),MAX(0,AK891-IF($A914&gt;='1-Input'!$C$12,'1-Input'!$B$12,0)))))*(1/(1-'P-Parametri'!$B$6*AK914))))</f>
        <v>21715.702898945347</v>
      </c>
      <c r="AM914" s="18">
        <f>IF($A914&gt;'1-Input'!$B$26,AO913,(AO913-MAX(0,AK891-IF($A914&gt;='1-Input'!$C$12,'1-Input'!$B$12,0))+AL914*(1-'P-Parametri'!$B$6*AK914))*(1+'1-Input'!$B$27))</f>
        <v>89096.087663925675</v>
      </c>
      <c r="AN914" s="18">
        <f>IF($A914&gt;'1-Input'!$B$26,AP913,(AP913-AL914)*(1+$D$4))</f>
        <v>96474.064864415355</v>
      </c>
      <c r="AO914" s="18">
        <f>IF($A914&gt;'1-Input'!$B$26,AM914,AM914-'P-Parametri'!$B$8*(AN914+AM914)+MIN(MAX(AN914,0),'P-Parametri'!$B$8*(AN914+AM914)))</f>
        <v>89096.087663925675</v>
      </c>
      <c r="AP914" s="18">
        <f>IF($A914&gt;'1-Input'!$B$26,AN914,AN914-MIN(MAX(AN914,0),'P-Parametri'!$B$8*(AN914+AM914)))</f>
        <v>96102.924559358667</v>
      </c>
      <c r="AQ914" s="18">
        <f>IF($A914&gt;'1-Input'!$B$26,AQ913,AQ913-AL914*(1-AK914))</f>
        <v>35091.948353473665</v>
      </c>
    </row>
    <row r="915" spans="1:43">
      <c r="A915" s="10">
        <f>22</f>
        <v>22</v>
      </c>
      <c r="B915" s="11">
        <f>IF($A915&gt;'1-Input'!$B$26,0,IF(G914&lt;=0,0,MAX(0,(G914-H914)/G914)))</f>
        <v>0.63635056123418232</v>
      </c>
      <c r="C915" s="18">
        <f>IF($A915&gt;'1-Input'!$B$26,0,(MAX(0,B891-IF($A915&gt;='1-Input'!$C$12,'1-Input'!$B$12,0))-MIN(MAX(F914,0),MAX(0,B891-IF($A915&gt;='1-Input'!$C$12,'1-Input'!$B$12,0))))*(1/(1-'P-Parametri'!$B$6*B915))+MIN(MAX(0,G914-(MAX(0,B891-IF($A915&gt;='1-Input'!$C$12,'1-Input'!$B$12,0))-MIN(MAX(F914,0),MAX(0,B891-IF($A915&gt;='1-Input'!$C$12,'1-Input'!$B$12,0))))*(1/(1-'P-Parametri'!$B$6*B915))),MAX(0,5*B891-(F914-MIN(MAX(F914,0),MAX(0,B891-IF($A915&gt;='1-Input'!$C$12,'1-Input'!$B$12,0)))))*(1/(1-'P-Parametri'!$B$6*B915))))</f>
        <v>20347.897222897991</v>
      </c>
      <c r="D915" s="18">
        <f>IF($A915&gt;'1-Input'!$B$26,F914,(F914-MAX(0,B891-IF($A915&gt;='1-Input'!$C$12,'1-Input'!$B$12,0))+C915*(1-'P-Parametri'!$B$6*B915))*(1+'1-Input'!$B$27))</f>
        <v>83105.01757746574</v>
      </c>
      <c r="E915" s="18">
        <f>IF($A915&gt;'1-Input'!$B$26,G914,(G914-C915)*(1+$D$4))</f>
        <v>139064.02199177071</v>
      </c>
      <c r="F915" s="18">
        <f>IF($A915&gt;'1-Input'!$B$26,D915,D915-'P-Parametri'!$B$8*(E915+D915)+MIN(MAX(E915,0),'P-Parametri'!$B$8*(E915+D915)))</f>
        <v>83105.01757746574</v>
      </c>
      <c r="G915" s="18">
        <f>IF($A915&gt;'1-Input'!$B$26,E915,E915-MIN(MAX(E915,0),'P-Parametri'!$B$8*(E915+D915)))</f>
        <v>138619.68391263223</v>
      </c>
      <c r="H915" s="18">
        <f>IF($A915&gt;'1-Input'!$B$26,H914,H914-C915*(1-B915))</f>
        <v>48625.532259446867</v>
      </c>
      <c r="I915" s="11">
        <f>IF($A915&gt;'1-Input'!$B$26,0,IF(N914&lt;=0,0,MAX(0,(N914-O914)/N914)))</f>
        <v>0</v>
      </c>
      <c r="J915" s="18">
        <f>IF($A915&gt;'1-Input'!$B$26,0,(MAX(0,I891-IF($A915&gt;='1-Input'!$C$12,'1-Input'!$B$12,0))-MIN(MAX(M914,0),MAX(0,I891-IF($A915&gt;='1-Input'!$C$12,'1-Input'!$B$12,0))))*(1/(1-'P-Parametri'!$B$6*I915))+MIN(MAX(0,N914-(MAX(0,I891-IF($A915&gt;='1-Input'!$C$12,'1-Input'!$B$12,0))-MIN(MAX(M914,0),MAX(0,I891-IF($A915&gt;='1-Input'!$C$12,'1-Input'!$B$12,0))))*(1/(1-'P-Parametri'!$B$6*I915))),MAX(0,5*I891-(M914-MIN(MAX(M914,0),MAX(0,I891-IF($A915&gt;='1-Input'!$C$12,'1-Input'!$B$12,0)))))*(1/(1-'P-Parametri'!$B$6*I915))))</f>
        <v>0</v>
      </c>
      <c r="K915" s="18">
        <f>IF($A915&gt;'1-Input'!$B$26,M914,(M914-MAX(0,I891-IF($A915&gt;='1-Input'!$C$12,'1-Input'!$B$12,0))+J915*(1-'P-Parametri'!$B$6*I915))*(1+'1-Input'!$B$27))</f>
        <v>10922.733093952096</v>
      </c>
      <c r="L915" s="18">
        <f>IF($A915&gt;'1-Input'!$B$26,N914,(N914-J915)*(1+$D$4))</f>
        <v>0</v>
      </c>
      <c r="M915" s="18">
        <f>IF($A915&gt;'1-Input'!$B$26,K915,K915-'P-Parametri'!$B$8*(L915+K915)+MIN(MAX(L915,0),'P-Parametri'!$B$8*(L915+K915)))</f>
        <v>10900.887627764192</v>
      </c>
      <c r="N915" s="18">
        <f>IF($A915&gt;'1-Input'!$B$26,L915,L915-MIN(MAX(L915,0),'P-Parametri'!$B$8*(L915+K915)))</f>
        <v>0</v>
      </c>
      <c r="O915" s="18">
        <f>IF($A915&gt;'1-Input'!$B$26,O914,O914-J915*(1-I915))</f>
        <v>0</v>
      </c>
      <c r="P915" s="11">
        <f>IF($A915&gt;'1-Input'!$B$26,0,IF(U914&lt;=0,0,MAX(0,(U914-V914)/U914)))</f>
        <v>0.63454431068597739</v>
      </c>
      <c r="Q915" s="18">
        <f>IF($A915&gt;'1-Input'!$B$26,0,(MAX(0,P891-IF($A915&gt;='1-Input'!$C$12,'1-Input'!$B$12,0))-MIN(MAX(T914,0),MAX(0,P891-IF($A915&gt;='1-Input'!$C$12,'1-Input'!$B$12,0))))*(1/(1-'P-Parametri'!$B$6*P915))+MIN(MAX(0,U914-(MAX(0,P891-IF($A915&gt;='1-Input'!$C$12,'1-Input'!$B$12,0))-MIN(MAX(T914,0),MAX(0,P891-IF($A915&gt;='1-Input'!$C$12,'1-Input'!$B$12,0))))*(1/(1-'P-Parametri'!$B$6*P915))),MAX(0,5*P891-(T914-MIN(MAX(T914,0),MAX(0,P891-IF($A915&gt;='1-Input'!$C$12,'1-Input'!$B$12,0)))))*(1/(1-'P-Parametri'!$B$6*P915))))</f>
        <v>22017.124151016356</v>
      </c>
      <c r="R915" s="18">
        <f>IF($A915&gt;'1-Input'!$B$26,T914,(T914-MAX(0,P891-IF($A915&gt;='1-Input'!$C$12,'1-Input'!$B$12,0))+Q915*(1-'P-Parametri'!$B$6*P915))*(1+'1-Input'!$B$27))</f>
        <v>89973.087355227675</v>
      </c>
      <c r="S915" s="18">
        <f>IF($A915&gt;'1-Input'!$B$26,U914,(U914-Q915)*(1+$D$4))</f>
        <v>68228.029996447978</v>
      </c>
      <c r="T915" s="18">
        <f>IF($A915&gt;'1-Input'!$B$26,R915,R915-'P-Parametri'!$B$8*(S915+R915)+MIN(MAX(S915,0),'P-Parametri'!$B$8*(S915+R915)))</f>
        <v>89973.087355227675</v>
      </c>
      <c r="U915" s="18">
        <f>IF($A915&gt;'1-Input'!$B$26,S915,S915-MIN(MAX(S915,0),'P-Parametri'!$B$8*(S915+R915)))</f>
        <v>67911.627761744632</v>
      </c>
      <c r="V915" s="18">
        <f>IF($A915&gt;'1-Input'!$B$26,V914,V914-Q915*(1-P915))</f>
        <v>23975.309358547798</v>
      </c>
      <c r="W915" s="11">
        <f>IF($A915&gt;'1-Input'!$B$26,0,IF(AB914&lt;=0,0,MAX(0,(AB914-AC914)/AB914)))</f>
        <v>0.63480050204963401</v>
      </c>
      <c r="X915" s="18">
        <f>IF($A915&gt;'1-Input'!$B$26,0,(MAX(0,W891-IF($A915&gt;='1-Input'!$C$12,'1-Input'!$B$12,0))-MIN(MAX(AA914,0),MAX(0,W891-IF($A915&gt;='1-Input'!$C$12,'1-Input'!$B$12,0))))*(1/(1-'P-Parametri'!$B$6*W915))+MIN(MAX(0,AB914-(MAX(0,W891-IF($A915&gt;='1-Input'!$C$12,'1-Input'!$B$12,0))-MIN(MAX(AA914,0),MAX(0,W891-IF($A915&gt;='1-Input'!$C$12,'1-Input'!$B$12,0))))*(1/(1-'P-Parametri'!$B$6*W915))),MAX(0,5*W891-(AA914-MIN(MAX(AA914,0),MAX(0,W891-IF($A915&gt;='1-Input'!$C$12,'1-Input'!$B$12,0)))))*(1/(1-'P-Parametri'!$B$6*W915))))</f>
        <v>21840.808870515004</v>
      </c>
      <c r="Y915" s="18">
        <f>IF($A915&gt;'1-Input'!$B$26,AA914,(AA914-MAX(0,W891-IF($A915&gt;='1-Input'!$C$12,'1-Input'!$B$12,0))+X915*(1-'P-Parametri'!$B$6*W915))*(1+'1-Input'!$B$27))</f>
        <v>89245.454371318367</v>
      </c>
      <c r="Z915" s="18">
        <f>IF($A915&gt;'1-Input'!$B$26,AB914,(AB914-X915)*(1+$D$4))</f>
        <v>75730.154654197497</v>
      </c>
      <c r="AA915" s="18">
        <f>IF($A915&gt;'1-Input'!$B$26,Y915,Y915-'P-Parametri'!$B$8*(Z915+Y915)+MIN(MAX(Z915,0),'P-Parametri'!$B$8*(Z915+Y915)))</f>
        <v>89245.454371318367</v>
      </c>
      <c r="AB915" s="18">
        <f>IF($A915&gt;'1-Input'!$B$26,Z915,Z915-MIN(MAX(Z915,0),'P-Parametri'!$B$8*(Z915+Y915)))</f>
        <v>75400.203436146461</v>
      </c>
      <c r="AC915" s="18">
        <f>IF($A915&gt;'1-Input'!$B$26,AC914,AC914-X915*(1-W915))</f>
        <v>26592.89851866971</v>
      </c>
      <c r="AD915" s="11">
        <f>IF($A915&gt;'1-Input'!$B$26,0,IF(AI914&lt;=0,0,MAX(0,(AI914-AJ914)/AI914)))</f>
        <v>0.63485160187312117</v>
      </c>
      <c r="AE915" s="18">
        <f>IF($A915&gt;'1-Input'!$B$26,0,(MAX(0,AD891-IF($A915&gt;='1-Input'!$C$12,'1-Input'!$B$12,0))-MIN(MAX(AH914,0),MAX(0,AD891-IF($A915&gt;='1-Input'!$C$12,'1-Input'!$B$12,0))))*(1/(1-'P-Parametri'!$B$6*AD915))+MIN(MAX(0,AI914-(MAX(0,AD891-IF($A915&gt;='1-Input'!$C$12,'1-Input'!$B$12,0))-MIN(MAX(AH914,0),MAX(0,AD891-IF($A915&gt;='1-Input'!$C$12,'1-Input'!$B$12,0))))*(1/(1-'P-Parametri'!$B$6*AD915))),MAX(0,5*AD891-(AH914-MIN(MAX(AH914,0),MAX(0,AD891-IF($A915&gt;='1-Input'!$C$12,'1-Input'!$B$12,0)))))*(1/(1-'P-Parametri'!$B$6*AD915))))</f>
        <v>21803.682610411764</v>
      </c>
      <c r="AF915" s="18">
        <f>IF($A915&gt;'1-Input'!$B$26,AH914,(AH914-MAX(0,AD891-IF($A915&gt;='1-Input'!$C$12,'1-Input'!$B$12,0))+AE915*(1-'P-Parametri'!$B$6*AD915))*(1+'1-Input'!$B$27))</f>
        <v>89092.332146155182</v>
      </c>
      <c r="AG915" s="18">
        <f>IF($A915&gt;'1-Input'!$B$26,AI914,(AI914-AE915)*(1+$D$4))</f>
        <v>77308.987819427668</v>
      </c>
      <c r="AH915" s="18">
        <f>IF($A915&gt;'1-Input'!$B$26,AF915,AF915-'P-Parametri'!$B$8*(AG915+AF915)+MIN(MAX(AG915,0),'P-Parametri'!$B$8*(AG915+AF915)))</f>
        <v>89092.332146155182</v>
      </c>
      <c r="AI915" s="18">
        <f>IF($A915&gt;'1-Input'!$B$26,AG915,AG915-MIN(MAX(AG915,0),'P-Parametri'!$B$8*(AG915+AF915)))</f>
        <v>76976.185179496504</v>
      </c>
      <c r="AJ915" s="18">
        <f>IF($A915&gt;'1-Input'!$B$26,AJ914,AJ914-AE915*(1-AD915))</f>
        <v>27143.512560648458</v>
      </c>
      <c r="AK915" s="11">
        <f>IF($A915&gt;'1-Input'!$B$26,0,IF(AP914&lt;=0,0,MAX(0,(AP914-AQ914)/AP914)))</f>
        <v>0.63485035950389967</v>
      </c>
      <c r="AL915" s="18">
        <f>IF($A915&gt;'1-Input'!$B$26,0,(MAX(0,AK891-IF($A915&gt;='1-Input'!$C$12,'1-Input'!$B$12,0))-MIN(MAX(AO914,0),MAX(0,AK891-IF($A915&gt;='1-Input'!$C$12,'1-Input'!$B$12,0))))*(1/(1-'P-Parametri'!$B$6*AK915))+MIN(MAX(0,AP914-(MAX(0,AK891-IF($A915&gt;='1-Input'!$C$12,'1-Input'!$B$12,0))-MIN(MAX(AO914,0),MAX(0,AK891-IF($A915&gt;='1-Input'!$C$12,'1-Input'!$B$12,0))))*(1/(1-'P-Parametri'!$B$6*AK915))),MAX(0,5*AK891-(AO914-MIN(MAX(AO914,0),MAX(0,AK891-IF($A915&gt;='1-Input'!$C$12,'1-Input'!$B$12,0)))))*(1/(1-'P-Parametri'!$B$6*AK915))))</f>
        <v>21804.59326754303</v>
      </c>
      <c r="AM915" s="18">
        <f>IF($A915&gt;'1-Input'!$B$26,AO914,(AO914-MAX(0,AK891-IF($A915&gt;='1-Input'!$C$12,'1-Input'!$B$12,0))+AL915*(1-'P-Parametri'!$B$6*AK915))*(1+'1-Input'!$B$27))</f>
        <v>89096.087663925675</v>
      </c>
      <c r="AN915" s="18">
        <f>IF($A915&gt;'1-Input'!$B$26,AP914,(AP914-AL915)*(1+$D$4))</f>
        <v>77270.264543488272</v>
      </c>
      <c r="AO915" s="18">
        <f>IF($A915&gt;'1-Input'!$B$26,AM915,AM915-'P-Parametri'!$B$8*(AN915+AM915)+MIN(MAX(AN915,0),'P-Parametri'!$B$8*(AN915+AM915)))</f>
        <v>89096.087663925675</v>
      </c>
      <c r="AP915" s="18">
        <f>IF($A915&gt;'1-Input'!$B$26,AN915,AN915-MIN(MAX(AN915,0),'P-Parametri'!$B$8*(AN915+AM915)))</f>
        <v>76937.531839073446</v>
      </c>
      <c r="AQ915" s="18">
        <f>IF($A915&gt;'1-Input'!$B$26,AQ914,AQ914-AL915*(1-AK915))</f>
        <v>27130.008960666637</v>
      </c>
    </row>
    <row r="916" spans="1:43">
      <c r="A916" s="10">
        <f>23</f>
        <v>23</v>
      </c>
      <c r="B916" s="11">
        <f>IF($A916&gt;'1-Input'!$B$26,0,IF(G915&lt;=0,0,MAX(0,(G915-H915)/G915)))</f>
        <v>0.64921625207215117</v>
      </c>
      <c r="C916" s="18">
        <f>IF($A916&gt;'1-Input'!$B$26,0,(MAX(0,B891-IF($A916&gt;='1-Input'!$C$12,'1-Input'!$B$12,0))-MIN(MAX(F915,0),MAX(0,B891-IF($A916&gt;='1-Input'!$C$12,'1-Input'!$B$12,0))))*(1/(1-'P-Parametri'!$B$6*B916))+MIN(MAX(0,G915-(MAX(0,B891-IF($A916&gt;='1-Input'!$C$12,'1-Input'!$B$12,0))-MIN(MAX(F915,0),MAX(0,B891-IF($A916&gt;='1-Input'!$C$12,'1-Input'!$B$12,0))))*(1/(1-'P-Parametri'!$B$6*B916))),MAX(0,5*B891-(F915-MIN(MAX(F915,0),MAX(0,B891-IF($A916&gt;='1-Input'!$C$12,'1-Input'!$B$12,0)))))*(1/(1-'P-Parametri'!$B$6*B916))))</f>
        <v>7073.2526618997317</v>
      </c>
      <c r="D916" s="18">
        <f>IF($A916&gt;'1-Input'!$B$26,F915,(F915-MAX(0,B891-IF($A916&gt;='1-Input'!$C$12,'1-Input'!$B$12,0))+C916*(1-'P-Parametri'!$B$6*B916))*(1+'1-Input'!$B$27))</f>
        <v>83105.01757746574</v>
      </c>
      <c r="E916" s="18">
        <f>IF($A916&gt;'1-Input'!$B$26,G915,(G915-C916)*(1+$D$4))</f>
        <v>136808.28850076182</v>
      </c>
      <c r="F916" s="18">
        <f>IF($A916&gt;'1-Input'!$B$26,D916,D916-'P-Parametri'!$B$8*(E916+D916)+MIN(MAX(E916,0),'P-Parametri'!$B$8*(E916+D916)))</f>
        <v>83105.01757746574</v>
      </c>
      <c r="G916" s="18">
        <f>IF($A916&gt;'1-Input'!$B$26,E916,E916-MIN(MAX(E916,0),'P-Parametri'!$B$8*(E916+D916)))</f>
        <v>136368.46188860535</v>
      </c>
      <c r="H916" s="18">
        <f>IF($A916&gt;'1-Input'!$B$26,H915,H915-C916*(1-B916))</f>
        <v>46144.350180665046</v>
      </c>
      <c r="I916" s="11">
        <f>IF($A916&gt;'1-Input'!$B$26,0,IF(N915&lt;=0,0,MAX(0,(N915-O915)/N915)))</f>
        <v>0</v>
      </c>
      <c r="J916" s="18">
        <f>IF($A916&gt;'1-Input'!$B$26,0,(MAX(0,I891-IF($A916&gt;='1-Input'!$C$12,'1-Input'!$B$12,0))-MIN(MAX(M915,0),MAX(0,I891-IF($A916&gt;='1-Input'!$C$12,'1-Input'!$B$12,0))))*(1/(1-'P-Parametri'!$B$6*I916))+MIN(MAX(0,N915-(MAX(0,I891-IF($A916&gt;='1-Input'!$C$12,'1-Input'!$B$12,0))-MIN(MAX(M915,0),MAX(0,I891-IF($A916&gt;='1-Input'!$C$12,'1-Input'!$B$12,0))))*(1/(1-'P-Parametri'!$B$6*I916))),MAX(0,5*I891-(M915-MIN(MAX(M915,0),MAX(0,I891-IF($A916&gt;='1-Input'!$C$12,'1-Input'!$B$12,0)))))*(1/(1-'P-Parametri'!$B$6*I916))))</f>
        <v>0</v>
      </c>
      <c r="K916" s="18">
        <f>IF($A916&gt;'1-Input'!$B$26,M915,(M915-MAX(0,I891-IF($A916&gt;='1-Input'!$C$12,'1-Input'!$B$12,0))+J916*(1-'P-Parametri'!$B$6*I916))*(1+'1-Input'!$B$27))</f>
        <v>53.935764550093232</v>
      </c>
      <c r="L916" s="18">
        <f>IF($A916&gt;'1-Input'!$B$26,N915,(N915-J916)*(1+$D$4))</f>
        <v>0</v>
      </c>
      <c r="M916" s="18">
        <f>IF($A916&gt;'1-Input'!$B$26,K916,K916-'P-Parametri'!$B$8*(L916+K916)+MIN(MAX(L916,0),'P-Parametri'!$B$8*(L916+K916)))</f>
        <v>53.827893020993045</v>
      </c>
      <c r="N916" s="18">
        <f>IF($A916&gt;'1-Input'!$B$26,L916,L916-MIN(MAX(L916,0),'P-Parametri'!$B$8*(L916+K916)))</f>
        <v>0</v>
      </c>
      <c r="O916" s="18">
        <f>IF($A916&gt;'1-Input'!$B$26,O915,O915-J916*(1-I916))</f>
        <v>0</v>
      </c>
      <c r="P916" s="11">
        <f>IF($A916&gt;'1-Input'!$B$26,0,IF(U915&lt;=0,0,MAX(0,(U915-V915)/U915)))</f>
        <v>0.64696311738159584</v>
      </c>
      <c r="Q916" s="18">
        <f>IF($A916&gt;'1-Input'!$B$26,0,(MAX(0,P891-IF($A916&gt;='1-Input'!$C$12,'1-Input'!$B$12,0))-MIN(MAX(T915,0),MAX(0,P891-IF($A916&gt;='1-Input'!$C$12,'1-Input'!$B$12,0))))*(1/(1-'P-Parametri'!$B$6*P916))+MIN(MAX(0,U915-(MAX(0,P891-IF($A916&gt;='1-Input'!$C$12,'1-Input'!$B$12,0))-MIN(MAX(T915,0),MAX(0,P891-IF($A916&gt;='1-Input'!$C$12,'1-Input'!$B$12,0))))*(1/(1-'P-Parametri'!$B$6*P916))),MAX(0,5*P891-(T915-MIN(MAX(T915,0),MAX(0,P891-IF($A916&gt;='1-Input'!$C$12,'1-Input'!$B$12,0)))))*(1/(1-'P-Parametri'!$B$6*P916))))</f>
        <v>8755.4660667991957</v>
      </c>
      <c r="R916" s="18">
        <f>IF($A916&gt;'1-Input'!$B$26,T915,(T915-MAX(0,P891-IF($A916&gt;='1-Input'!$C$12,'1-Input'!$B$12,0))+Q916*(1-'P-Parametri'!$B$6*P916))*(1+'1-Input'!$B$27))</f>
        <v>89973.087355227675</v>
      </c>
      <c r="S916" s="18">
        <f>IF($A916&gt;'1-Input'!$B$26,U915,(U915-Q916)*(1+$D$4))</f>
        <v>61522.408162743253</v>
      </c>
      <c r="T916" s="18">
        <f>IF($A916&gt;'1-Input'!$B$26,R916,R916-'P-Parametri'!$B$8*(S916+R916)+MIN(MAX(S916,0),'P-Parametri'!$B$8*(S916+R916)))</f>
        <v>89973.087355227675</v>
      </c>
      <c r="U916" s="18">
        <f>IF($A916&gt;'1-Input'!$B$26,S916,S916-MIN(MAX(S916,0),'P-Parametri'!$B$8*(S916+R916)))</f>
        <v>61219.417171707311</v>
      </c>
      <c r="V916" s="18">
        <f>IF($A916&gt;'1-Input'!$B$26,V915,V915-Q916*(1-P916))</f>
        <v>20884.306912453791</v>
      </c>
      <c r="W916" s="11">
        <f>IF($A916&gt;'1-Input'!$B$26,0,IF(AB915&lt;=0,0,MAX(0,(AB915-AC915)/AB915)))</f>
        <v>0.64730998980406973</v>
      </c>
      <c r="X916" s="18">
        <f>IF($A916&gt;'1-Input'!$B$26,0,(MAX(0,W891-IF($A916&gt;='1-Input'!$C$12,'1-Input'!$B$12,0))-MIN(MAX(AA915,0),MAX(0,W891-IF($A916&gt;='1-Input'!$C$12,'1-Input'!$B$12,0))))*(1/(1-'P-Parametri'!$B$6*W916))+MIN(MAX(0,AB915-(MAX(0,W891-IF($A916&gt;='1-Input'!$C$12,'1-Input'!$B$12,0))-MIN(MAX(AA915,0),MAX(0,W891-IF($A916&gt;='1-Input'!$C$12,'1-Input'!$B$12,0))))*(1/(1-'P-Parametri'!$B$6*W916))),MAX(0,5*W891-(AA915-MIN(MAX(AA915,0),MAX(0,W891-IF($A916&gt;='1-Input'!$C$12,'1-Input'!$B$12,0)))))*(1/(1-'P-Parametri'!$B$6*W916))))</f>
        <v>8577.6473740045676</v>
      </c>
      <c r="Y916" s="18">
        <f>IF($A916&gt;'1-Input'!$B$26,AA915,(AA915-MAX(0,W891-IF($A916&gt;='1-Input'!$C$12,'1-Input'!$B$12,0))+X916*(1-'P-Parametri'!$B$6*W916))*(1+'1-Input'!$B$27))</f>
        <v>89245.454371318367</v>
      </c>
      <c r="Z916" s="18">
        <f>IF($A916&gt;'1-Input'!$B$26,AB915,(AB915-X916)*(1+$D$4))</f>
        <v>69495.45830462758</v>
      </c>
      <c r="AA916" s="18">
        <f>IF($A916&gt;'1-Input'!$B$26,Y916,Y916-'P-Parametri'!$B$8*(Z916+Y916)+MIN(MAX(Z916,0),'P-Parametri'!$B$8*(Z916+Y916)))</f>
        <v>89245.454371318367</v>
      </c>
      <c r="AB916" s="18">
        <f>IF($A916&gt;'1-Input'!$B$26,Z916,Z916-MIN(MAX(Z916,0),'P-Parametri'!$B$8*(Z916+Y916)))</f>
        <v>69177.976479275691</v>
      </c>
      <c r="AC916" s="18">
        <f>IF($A916&gt;'1-Input'!$B$26,AC915,AC915-X916*(1-W916))</f>
        <v>23567.647978874946</v>
      </c>
      <c r="AD916" s="11">
        <f>IF($A916&gt;'1-Input'!$B$26,0,IF(AI915&lt;=0,0,MAX(0,(AI915-AJ915)/AI915)))</f>
        <v>0.64737778967151982</v>
      </c>
      <c r="AE916" s="18">
        <f>IF($A916&gt;'1-Input'!$B$26,0,(MAX(0,AD891-IF($A916&gt;='1-Input'!$C$12,'1-Input'!$B$12,0))-MIN(MAX(AH915,0),MAX(0,AD891-IF($A916&gt;='1-Input'!$C$12,'1-Input'!$B$12,0))))*(1/(1-'P-Parametri'!$B$6*AD916))+MIN(MAX(0,AI915-(MAX(0,AD891-IF($A916&gt;='1-Input'!$C$12,'1-Input'!$B$12,0))-MIN(MAX(AH915,0),MAX(0,AD891-IF($A916&gt;='1-Input'!$C$12,'1-Input'!$B$12,0))))*(1/(1-'P-Parametri'!$B$6*AD916))),MAX(0,5*AD891-(AH915-MIN(MAX(AH915,0),MAX(0,AD891-IF($A916&gt;='1-Input'!$C$12,'1-Input'!$B$12,0)))))*(1/(1-'P-Parametri'!$B$6*AD916))))</f>
        <v>8540.2086354371386</v>
      </c>
      <c r="AF916" s="18">
        <f>IF($A916&gt;'1-Input'!$B$26,AH915,(AH915-MAX(0,AD891-IF($A916&gt;='1-Input'!$C$12,'1-Input'!$B$12,0))+AE916*(1-'P-Parametri'!$B$6*AD916))*(1+'1-Input'!$B$27))</f>
        <v>89092.332146155182</v>
      </c>
      <c r="AG916" s="18">
        <f>IF($A916&gt;'1-Input'!$B$26,AI915,(AI915-AE916)*(1+$D$4))</f>
        <v>71173.415605821734</v>
      </c>
      <c r="AH916" s="18">
        <f>IF($A916&gt;'1-Input'!$B$26,AF916,AF916-'P-Parametri'!$B$8*(AG916+AF916)+MIN(MAX(AG916,0),'P-Parametri'!$B$8*(AG916+AF916)))</f>
        <v>89092.332146155182</v>
      </c>
      <c r="AI916" s="18">
        <f>IF($A916&gt;'1-Input'!$B$26,AG916,AG916-MIN(MAX(AG916,0),'P-Parametri'!$B$8*(AG916+AF916)))</f>
        <v>70852.884110317784</v>
      </c>
      <c r="AJ916" s="18">
        <f>IF($A916&gt;'1-Input'!$B$26,AJ915,AJ915-AE916*(1-AD916))</f>
        <v>24132.045314954241</v>
      </c>
      <c r="AK916" s="11">
        <f>IF($A916&gt;'1-Input'!$B$26,0,IF(AP915&lt;=0,0,MAX(0,(AP915-AQ915)/AP915)))</f>
        <v>0.6473761464376947</v>
      </c>
      <c r="AL916" s="18">
        <f>IF($A916&gt;'1-Input'!$B$26,0,(MAX(0,AK891-IF($A916&gt;='1-Input'!$C$12,'1-Input'!$B$12,0))-MIN(MAX(AO915,0),MAX(0,AK891-IF($A916&gt;='1-Input'!$C$12,'1-Input'!$B$12,0))))*(1/(1-'P-Parametri'!$B$6*AK916))+MIN(MAX(0,AP915-(MAX(0,AK891-IF($A916&gt;='1-Input'!$C$12,'1-Input'!$B$12,0))-MIN(MAX(AO915,0),MAX(0,AK891-IF($A916&gt;='1-Input'!$C$12,'1-Input'!$B$12,0))))*(1/(1-'P-Parametri'!$B$6*AK916))),MAX(0,5*AK891-(AO915-MIN(MAX(AO915,0),MAX(0,AK891-IF($A916&gt;='1-Input'!$C$12,'1-Input'!$B$12,0)))))*(1/(1-'P-Parametri'!$B$6*AK916))))</f>
        <v>8541.1269396648822</v>
      </c>
      <c r="AM916" s="18">
        <f>IF($A916&gt;'1-Input'!$B$26,AO915,(AO915-MAX(0,AK891-IF($A916&gt;='1-Input'!$C$12,'1-Input'!$B$12,0))+AL916*(1-'P-Parametri'!$B$6*AK916))*(1+'1-Input'!$B$27))</f>
        <v>89096.087663925675</v>
      </c>
      <c r="AN916" s="18">
        <f>IF($A916&gt;'1-Input'!$B$26,AP915,(AP915-AL916)*(1+$D$4))</f>
        <v>71132.261095384907</v>
      </c>
      <c r="AO916" s="18">
        <f>IF($A916&gt;'1-Input'!$B$26,AM916,AM916-'P-Parametri'!$B$8*(AN916+AM916)+MIN(MAX(AN916,0),'P-Parametri'!$B$8*(AN916+AM916)))</f>
        <v>89096.087663925675</v>
      </c>
      <c r="AP916" s="18">
        <f>IF($A916&gt;'1-Input'!$B$26,AN916,AN916-MIN(MAX(AN916,0),'P-Parametri'!$B$8*(AN916+AM916)))</f>
        <v>70811.80439786629</v>
      </c>
      <c r="AQ916" s="18">
        <f>IF($A916&gt;'1-Input'!$B$26,AQ915,AQ915-AL916*(1-AK916))</f>
        <v>24118.203865437186</v>
      </c>
    </row>
    <row r="917" spans="1:43">
      <c r="A917" s="10">
        <f>24</f>
        <v>24</v>
      </c>
      <c r="B917" s="11">
        <f>IF($A917&gt;'1-Input'!$B$26,0,IF(G916&lt;=0,0,MAX(0,(G916-H916)/G916)))</f>
        <v>0.66162007298755954</v>
      </c>
      <c r="C917" s="18">
        <f>IF($A917&gt;'1-Input'!$B$26,0,(MAX(0,B891-IF($A917&gt;='1-Input'!$C$12,'1-Input'!$B$12,0))-MIN(MAX(F916,0),MAX(0,B891-IF($A917&gt;='1-Input'!$C$12,'1-Input'!$B$12,0))))*(1/(1-'P-Parametri'!$B$6*B917))+MIN(MAX(0,G916-(MAX(0,B891-IF($A917&gt;='1-Input'!$C$12,'1-Input'!$B$12,0))-MIN(MAX(F916,0),MAX(0,B891-IF($A917&gt;='1-Input'!$C$12,'1-Input'!$B$12,0))))*(1/(1-'P-Parametri'!$B$6*B917))),MAX(0,5*B891-(F916-MIN(MAX(F916,0),MAX(0,B891-IF($A917&gt;='1-Input'!$C$12,'1-Input'!$B$12,0)))))*(1/(1-'P-Parametri'!$B$6*B917))))</f>
        <v>7100.8031184365473</v>
      </c>
      <c r="D917" s="18">
        <f>IF($A917&gt;'1-Input'!$B$26,F916,(F916-MAX(0,B891-IF($A917&gt;='1-Input'!$C$12,'1-Input'!$B$12,0))+C917*(1-'P-Parametri'!$B$6*B917))*(1+'1-Input'!$B$27))</f>
        <v>83105.01757746574</v>
      </c>
      <c r="E917" s="18">
        <f>IF($A917&gt;'1-Input'!$B$26,G916,(G916-C917)*(1+$D$4))</f>
        <v>134438.36512097556</v>
      </c>
      <c r="F917" s="18">
        <f>IF($A917&gt;'1-Input'!$B$26,D917,D917-'P-Parametri'!$B$8*(E917+D917)+MIN(MAX(E917,0),'P-Parametri'!$B$8*(E917+D917)))</f>
        <v>83105.01757746574</v>
      </c>
      <c r="G917" s="18">
        <f>IF($A917&gt;'1-Input'!$B$26,E917,E917-MIN(MAX(E917,0),'P-Parametri'!$B$8*(E917+D917)))</f>
        <v>134003.27835557869</v>
      </c>
      <c r="H917" s="18">
        <f>IF($A917&gt;'1-Input'!$B$26,H916,H916-C917*(1-B917))</f>
        <v>43741.580939718777</v>
      </c>
      <c r="I917" s="11">
        <f>IF($A917&gt;'1-Input'!$B$26,0,IF(N916&lt;=0,0,MAX(0,(N916-O916)/N916)))</f>
        <v>0</v>
      </c>
      <c r="J917" s="18">
        <f>IF($A917&gt;'1-Input'!$B$26,0,(MAX(0,I891-IF($A917&gt;='1-Input'!$C$12,'1-Input'!$B$12,0))-MIN(MAX(M916,0),MAX(0,I891-IF($A917&gt;='1-Input'!$C$12,'1-Input'!$B$12,0))))*(1/(1-'P-Parametri'!$B$6*I917))+MIN(MAX(0,N916-(MAX(0,I891-IF($A917&gt;='1-Input'!$C$12,'1-Input'!$B$12,0))-MIN(MAX(M916,0),MAX(0,I891-IF($A917&gt;='1-Input'!$C$12,'1-Input'!$B$12,0))))*(1/(1-'P-Parametri'!$B$6*I917))),MAX(0,5*I891-(M916-MIN(MAX(M916,0),MAX(0,I891-IF($A917&gt;='1-Input'!$C$12,'1-Input'!$B$12,0)))))*(1/(1-'P-Parametri'!$B$6*I917))))</f>
        <v>10792.929099907698</v>
      </c>
      <c r="K917" s="18">
        <f>IF($A917&gt;'1-Input'!$B$26,M916,(M916-MAX(0,I891-IF($A917&gt;='1-Input'!$C$12,'1-Input'!$B$12,0))+J917*(1-'P-Parametri'!$B$6*I917))*(1+'1-Input'!$B$27))</f>
        <v>0</v>
      </c>
      <c r="L917" s="18">
        <f>IF($A917&gt;'1-Input'!$B$26,N916,(N916-J917)*(1+$D$4))</f>
        <v>-11224.646263904007</v>
      </c>
      <c r="M917" s="18">
        <f>IF($A917&gt;'1-Input'!$B$26,K917,K917-'P-Parametri'!$B$8*(L917+K917)+MIN(MAX(L917,0),'P-Parametri'!$B$8*(L917+K917)))</f>
        <v>0</v>
      </c>
      <c r="N917" s="18">
        <f>IF($A917&gt;'1-Input'!$B$26,L917,L917-MIN(MAX(L917,0),'P-Parametri'!$B$8*(L917+K917)))</f>
        <v>-11202.196971376199</v>
      </c>
      <c r="O917" s="18">
        <f>IF($A917&gt;'1-Input'!$B$26,O916,O916-J917*(1-I917))</f>
        <v>-10792.929099907698</v>
      </c>
      <c r="P917" s="11">
        <f>IF($A917&gt;'1-Input'!$B$26,0,IF(U916&lt;=0,0,MAX(0,(U916-V916)/U916)))</f>
        <v>0.65886138945299333</v>
      </c>
      <c r="Q917" s="18">
        <f>IF($A917&gt;'1-Input'!$B$26,0,(MAX(0,P891-IF($A917&gt;='1-Input'!$C$12,'1-Input'!$B$12,0))-MIN(MAX(T916,0),MAX(0,P891-IF($A917&gt;='1-Input'!$C$12,'1-Input'!$B$12,0))))*(1/(1-'P-Parametri'!$B$6*P917))+MIN(MAX(0,U916-(MAX(0,P891-IF($A917&gt;='1-Input'!$C$12,'1-Input'!$B$12,0))-MIN(MAX(T916,0),MAX(0,P891-IF($A917&gt;='1-Input'!$C$12,'1-Input'!$B$12,0))))*(1/(1-'P-Parametri'!$B$6*P917))),MAX(0,5*P891-(T916-MIN(MAX(T916,0),MAX(0,P891-IF($A917&gt;='1-Input'!$C$12,'1-Input'!$B$12,0)))))*(1/(1-'P-Parametri'!$B$6*P917))))</f>
        <v>8788.1505219566297</v>
      </c>
      <c r="R917" s="18">
        <f>IF($A917&gt;'1-Input'!$B$26,T916,(T916-MAX(0,P891-IF($A917&gt;='1-Input'!$C$12,'1-Input'!$B$12,0))+Q917*(1-'P-Parametri'!$B$6*P917))*(1+'1-Input'!$B$27))</f>
        <v>89973.087355227675</v>
      </c>
      <c r="S917" s="18">
        <f>IF($A917&gt;'1-Input'!$B$26,U916,(U916-Q917)*(1+$D$4))</f>
        <v>54528.517315740712</v>
      </c>
      <c r="T917" s="18">
        <f>IF($A917&gt;'1-Input'!$B$26,R917,R917-'P-Parametri'!$B$8*(S917+R917)+MIN(MAX(S917,0),'P-Parametri'!$B$8*(S917+R917)))</f>
        <v>89973.087355227675</v>
      </c>
      <c r="U917" s="18">
        <f>IF($A917&gt;'1-Input'!$B$26,S917,S917-MIN(MAX(S917,0),'P-Parametri'!$B$8*(S917+R917)))</f>
        <v>54239.514106398776</v>
      </c>
      <c r="V917" s="18">
        <f>IF($A917&gt;'1-Input'!$B$26,V916,V916-Q917*(1-P917))</f>
        <v>17886.329454115556</v>
      </c>
      <c r="W917" s="11">
        <f>IF($A917&gt;'1-Input'!$B$26,0,IF(AB916&lt;=0,0,MAX(0,(AB916-AC916)/AB916)))</f>
        <v>0.65931862742566161</v>
      </c>
      <c r="X917" s="18">
        <f>IF($A917&gt;'1-Input'!$B$26,0,(MAX(0,W891-IF($A917&gt;='1-Input'!$C$12,'1-Input'!$B$12,0))-MIN(MAX(AA916,0),MAX(0,W891-IF($A917&gt;='1-Input'!$C$12,'1-Input'!$B$12,0))))*(1/(1-'P-Parametri'!$B$6*W917))+MIN(MAX(0,AB916-(MAX(0,W891-IF($A917&gt;='1-Input'!$C$12,'1-Input'!$B$12,0))-MIN(MAX(AA916,0),MAX(0,W891-IF($A917&gt;='1-Input'!$C$12,'1-Input'!$B$12,0))))*(1/(1-'P-Parametri'!$B$6*W917))),MAX(0,5*W891-(AA916-MIN(MAX(AA916,0),MAX(0,W891-IF($A917&gt;='1-Input'!$C$12,'1-Input'!$B$12,0)))))*(1/(1-'P-Parametri'!$B$6*W917))))</f>
        <v>8609.969678701993</v>
      </c>
      <c r="Y917" s="18">
        <f>IF($A917&gt;'1-Input'!$B$26,AA916,(AA916-MAX(0,W891-IF($A917&gt;='1-Input'!$C$12,'1-Input'!$B$12,0))+X917*(1-'P-Parametri'!$B$6*W917))*(1+'1-Input'!$B$27))</f>
        <v>89245.454371318367</v>
      </c>
      <c r="Z917" s="18">
        <f>IF($A917&gt;'1-Input'!$B$26,AB916,(AB916-X917)*(1+$D$4))</f>
        <v>62990.727072596645</v>
      </c>
      <c r="AA917" s="18">
        <f>IF($A917&gt;'1-Input'!$B$26,Y917,Y917-'P-Parametri'!$B$8*(Z917+Y917)+MIN(MAX(Z917,0),'P-Parametri'!$B$8*(Z917+Y917)))</f>
        <v>89245.454371318367</v>
      </c>
      <c r="AB917" s="18">
        <f>IF($A917&gt;'1-Input'!$B$26,Z917,Z917-MIN(MAX(Z917,0),'P-Parametri'!$B$8*(Z917+Y917)))</f>
        <v>62686.254709708817</v>
      </c>
      <c r="AC917" s="18">
        <f>IF($A917&gt;'1-Input'!$B$26,AC916,AC916-X917*(1-W917))</f>
        <v>20634.391690911314</v>
      </c>
      <c r="AD917" s="11">
        <f>IF($A917&gt;'1-Input'!$B$26,0,IF(AI916&lt;=0,0,MAX(0,(AI916-AJ916)/AI916)))</f>
        <v>0.65940630903068531</v>
      </c>
      <c r="AE917" s="18">
        <f>IF($A917&gt;'1-Input'!$B$26,0,(MAX(0,AD891-IF($A917&gt;='1-Input'!$C$12,'1-Input'!$B$12,0))-MIN(MAX(AH916,0),MAX(0,AD891-IF($A917&gt;='1-Input'!$C$12,'1-Input'!$B$12,0))))*(1/(1-'P-Parametri'!$B$6*AD917))+MIN(MAX(0,AI916-(MAX(0,AD891-IF($A917&gt;='1-Input'!$C$12,'1-Input'!$B$12,0))-MIN(MAX(AH916,0),MAX(0,AD891-IF($A917&gt;='1-Input'!$C$12,'1-Input'!$B$12,0))))*(1/(1-'P-Parametri'!$B$6*AD917))),MAX(0,5*AD891-(AH916-MIN(MAX(AH916,0),MAX(0,AD891-IF($A917&gt;='1-Input'!$C$12,'1-Input'!$B$12,0)))))*(1/(1-'P-Parametri'!$B$6*AD917))))</f>
        <v>8572.4440302106468</v>
      </c>
      <c r="AF917" s="18">
        <f>IF($A917&gt;'1-Input'!$B$26,AH916,(AH916-MAX(0,AD891-IF($A917&gt;='1-Input'!$C$12,'1-Input'!$B$12,0))+AE917*(1-'P-Parametri'!$B$6*AD917))*(1+'1-Input'!$B$27))</f>
        <v>89092.332146155182</v>
      </c>
      <c r="AG917" s="18">
        <f>IF($A917&gt;'1-Input'!$B$26,AI916,(AI916-AE917)*(1+$D$4))</f>
        <v>64771.657683311423</v>
      </c>
      <c r="AH917" s="18">
        <f>IF($A917&gt;'1-Input'!$B$26,AF917,AF917-'P-Parametri'!$B$8*(AG917+AF917)+MIN(MAX(AG917,0),'P-Parametri'!$B$8*(AG917+AF917)))</f>
        <v>89092.332146155182</v>
      </c>
      <c r="AI917" s="18">
        <f>IF($A917&gt;'1-Input'!$B$26,AG917,AG917-MIN(MAX(AG917,0),'P-Parametri'!$B$8*(AG917+AF917)))</f>
        <v>64463.929703652488</v>
      </c>
      <c r="AJ917" s="18">
        <f>IF($A917&gt;'1-Input'!$B$26,AJ916,AJ916-AE917*(1-AD917))</f>
        <v>21212.324962076927</v>
      </c>
      <c r="AK917" s="11">
        <f>IF($A917&gt;'1-Input'!$B$26,0,IF(AP916&lt;=0,0,MAX(0,(AP916-AQ916)/AP916)))</f>
        <v>0.65940419015556229</v>
      </c>
      <c r="AL917" s="18">
        <f>IF($A917&gt;'1-Input'!$B$26,0,(MAX(0,AK891-IF($A917&gt;='1-Input'!$C$12,'1-Input'!$B$12,0))-MIN(MAX(AO916,0),MAX(0,AK891-IF($A917&gt;='1-Input'!$C$12,'1-Input'!$B$12,0))))*(1/(1-'P-Parametri'!$B$6*AK917))+MIN(MAX(0,AP916-(MAX(0,AK891-IF($A917&gt;='1-Input'!$C$12,'1-Input'!$B$12,0))-MIN(MAX(AO916,0),MAX(0,AK891-IF($A917&gt;='1-Input'!$C$12,'1-Input'!$B$12,0))))*(1/(1-'P-Parametri'!$B$6*AK917))),MAX(0,5*AK891-(AO916-MIN(MAX(AO916,0),MAX(0,AK891-IF($A917&gt;='1-Input'!$C$12,'1-Input'!$B$12,0)))))*(1/(1-'P-Parametri'!$B$6*AK917))))</f>
        <v>8573.3645043687084</v>
      </c>
      <c r="AM917" s="18">
        <f>IF($A917&gt;'1-Input'!$B$26,AO916,(AO916-MAX(0,AK891-IF($A917&gt;='1-Input'!$C$12,'1-Input'!$B$12,0))+AL917*(1-'P-Parametri'!$B$6*AK917))*(1+'1-Input'!$B$27))</f>
        <v>89096.087663925675</v>
      </c>
      <c r="AN917" s="18">
        <f>IF($A917&gt;'1-Input'!$B$26,AP916,(AP916-AL917)*(1+$D$4))</f>
        <v>64727.977489237492</v>
      </c>
      <c r="AO917" s="18">
        <f>IF($A917&gt;'1-Input'!$B$26,AM917,AM917-'P-Parametri'!$B$8*(AN917+AM917)+MIN(MAX(AN917,0),'P-Parametri'!$B$8*(AN917+AM917)))</f>
        <v>89096.087663925675</v>
      </c>
      <c r="AP917" s="18">
        <f>IF($A917&gt;'1-Input'!$B$26,AN917,AN917-MIN(MAX(AN917,0),'P-Parametri'!$B$8*(AN917+AM917)))</f>
        <v>64420.329358931165</v>
      </c>
      <c r="AQ917" s="18">
        <f>IF($A917&gt;'1-Input'!$B$26,AQ916,AQ916-AL917*(1-AK917))</f>
        <v>21198.151838980171</v>
      </c>
    </row>
    <row r="918" spans="1:43">
      <c r="A918" s="10">
        <f>25</f>
        <v>25</v>
      </c>
      <c r="B918" s="11">
        <f>IF($A918&gt;'1-Input'!$B$26,0,IF(G917&lt;=0,0,MAX(0,(G917-H917)/G917)))</f>
        <v>0.67357827751310551</v>
      </c>
      <c r="C918" s="18">
        <f>IF($A918&gt;'1-Input'!$B$26,0,(MAX(0,B891-IF($A918&gt;='1-Input'!$C$12,'1-Input'!$B$12,0))-MIN(MAX(F917,0),MAX(0,B891-IF($A918&gt;='1-Input'!$C$12,'1-Input'!$B$12,0))))*(1/(1-'P-Parametri'!$B$6*B918))+MIN(MAX(0,G917-(MAX(0,B891-IF($A918&gt;='1-Input'!$C$12,'1-Input'!$B$12,0))-MIN(MAX(F917,0),MAX(0,B891-IF($A918&gt;='1-Input'!$C$12,'1-Input'!$B$12,0))))*(1/(1-'P-Parametri'!$B$6*B918))),MAX(0,5*B891-(F917-MIN(MAX(F917,0),MAX(0,B891-IF($A918&gt;='1-Input'!$C$12,'1-Input'!$B$12,0)))))*(1/(1-'P-Parametri'!$B$6*B918))))</f>
        <v>7127.5677625399758</v>
      </c>
      <c r="D918" s="18">
        <f>IF($A918&gt;'1-Input'!$B$26,F917,(F917-MAX(0,B891-IF($A918&gt;='1-Input'!$C$12,'1-Input'!$B$12,0))+C918*(1-'P-Parametri'!$B$6*B918))*(1+'1-Input'!$B$27))</f>
        <v>83105.01757746574</v>
      </c>
      <c r="E918" s="18">
        <f>IF($A918&gt;'1-Input'!$B$26,G917,(G917-C918)*(1+$D$4))</f>
        <v>131950.73901676029</v>
      </c>
      <c r="F918" s="18">
        <f>IF($A918&gt;'1-Input'!$B$26,D918,D918-'P-Parametri'!$B$8*(E918+D918)+MIN(MAX(E918,0),'P-Parametri'!$B$8*(E918+D918)))</f>
        <v>83105.01757746574</v>
      </c>
      <c r="G918" s="18">
        <f>IF($A918&gt;'1-Input'!$B$26,E918,E918-MIN(MAX(E918,0),'P-Parametri'!$B$8*(E918+D918)))</f>
        <v>131520.62750357183</v>
      </c>
      <c r="H918" s="18">
        <f>IF($A918&gt;'1-Input'!$B$26,H917,H917-C918*(1-B918))</f>
        <v>41414.987993528419</v>
      </c>
      <c r="I918" s="11">
        <f>IF($A918&gt;'1-Input'!$B$26,0,IF(N917&lt;=0,0,MAX(0,(N917-O917)/N917)))</f>
        <v>0</v>
      </c>
      <c r="J918" s="18">
        <f>IF($A918&gt;'1-Input'!$B$26,0,(MAX(0,I891-IF($A918&gt;='1-Input'!$C$12,'1-Input'!$B$12,0))-MIN(MAX(M917,0),MAX(0,I891-IF($A918&gt;='1-Input'!$C$12,'1-Input'!$B$12,0))))*(1/(1-'P-Parametri'!$B$6*I918))+MIN(MAX(0,N917-(MAX(0,I891-IF($A918&gt;='1-Input'!$C$12,'1-Input'!$B$12,0))-MIN(MAX(M917,0),MAX(0,I891-IF($A918&gt;='1-Input'!$C$12,'1-Input'!$B$12,0))))*(1/(1-'P-Parametri'!$B$6*I918))),MAX(0,5*I891-(M917-MIN(MAX(M917,0),MAX(0,I891-IF($A918&gt;='1-Input'!$C$12,'1-Input'!$B$12,0)))))*(1/(1-'P-Parametri'!$B$6*I918))))</f>
        <v>10846.756992928691</v>
      </c>
      <c r="K918" s="18">
        <f>IF($A918&gt;'1-Input'!$B$26,M917,(M917-MAX(0,I891-IF($A918&gt;='1-Input'!$C$12,'1-Input'!$B$12,0))+J918*(1-'P-Parametri'!$B$6*I918))*(1+'1-Input'!$B$27))</f>
        <v>0</v>
      </c>
      <c r="L918" s="18">
        <f>IF($A918&gt;'1-Input'!$B$26,N917,(N917-J918)*(1+$D$4))</f>
        <v>-22930.912122877089</v>
      </c>
      <c r="M918" s="18">
        <f>IF($A918&gt;'1-Input'!$B$26,K918,K918-'P-Parametri'!$B$8*(L918+K918)+MIN(MAX(L918,0),'P-Parametri'!$B$8*(L918+K918)))</f>
        <v>0</v>
      </c>
      <c r="N918" s="18">
        <f>IF($A918&gt;'1-Input'!$B$26,L918,L918-MIN(MAX(L918,0),'P-Parametri'!$B$8*(L918+K918)))</f>
        <v>-22885.050298631337</v>
      </c>
      <c r="O918" s="18">
        <f>IF($A918&gt;'1-Input'!$B$26,O917,O917-J918*(1-I918))</f>
        <v>-21639.686092836389</v>
      </c>
      <c r="P918" s="11">
        <f>IF($A918&gt;'1-Input'!$B$26,0,IF(U917&lt;=0,0,MAX(0,(U917-V917)/U917)))</f>
        <v>0.67023433471345462</v>
      </c>
      <c r="Q918" s="18">
        <f>IF($A918&gt;'1-Input'!$B$26,0,(MAX(0,P891-IF($A918&gt;='1-Input'!$C$12,'1-Input'!$B$12,0))-MIN(MAX(T917,0),MAX(0,P891-IF($A918&gt;='1-Input'!$C$12,'1-Input'!$B$12,0))))*(1/(1-'P-Parametri'!$B$6*P918))+MIN(MAX(0,U917-(MAX(0,P891-IF($A918&gt;='1-Input'!$C$12,'1-Input'!$B$12,0))-MIN(MAX(T917,0),MAX(0,P891-IF($A918&gt;='1-Input'!$C$12,'1-Input'!$B$12,0))))*(1/(1-'P-Parametri'!$B$6*P918))),MAX(0,5*P891-(T917-MIN(MAX(T917,0),MAX(0,P891-IF($A918&gt;='1-Input'!$C$12,'1-Input'!$B$12,0)))))*(1/(1-'P-Parametri'!$B$6*P918))))</f>
        <v>8819.6208266878675</v>
      </c>
      <c r="R918" s="18">
        <f>IF($A918&gt;'1-Input'!$B$26,T917,(T917-MAX(0,P891-IF($A918&gt;='1-Input'!$C$12,'1-Input'!$B$12,0))+Q918*(1-'P-Parametri'!$B$6*P918))*(1+'1-Input'!$B$27))</f>
        <v>89973.087355227675</v>
      </c>
      <c r="S918" s="18">
        <f>IF($A918&gt;'1-Input'!$B$26,U917,(U917-Q918)*(1+$D$4))</f>
        <v>47236.689010899347</v>
      </c>
      <c r="T918" s="18">
        <f>IF($A918&gt;'1-Input'!$B$26,R918,R918-'P-Parametri'!$B$8*(S918+R918)+MIN(MAX(S918,0),'P-Parametri'!$B$8*(S918+R918)))</f>
        <v>89973.087355227675</v>
      </c>
      <c r="U918" s="18">
        <f>IF($A918&gt;'1-Input'!$B$26,S918,S918-MIN(MAX(S918,0),'P-Parametri'!$B$8*(S918+R918)))</f>
        <v>46962.269458167095</v>
      </c>
      <c r="V918" s="18">
        <f>IF($A918&gt;'1-Input'!$B$26,V917,V917-Q918*(1-P918))</f>
        <v>14977.92132462776</v>
      </c>
      <c r="W918" s="11">
        <f>IF($A918&gt;'1-Input'!$B$26,0,IF(AB917&lt;=0,0,MAX(0,(AB917-AC917)/AB917)))</f>
        <v>0.67083068231678122</v>
      </c>
      <c r="X918" s="18">
        <f>IF($A918&gt;'1-Input'!$B$26,0,(MAX(0,W891-IF($A918&gt;='1-Input'!$C$12,'1-Input'!$B$12,0))-MIN(MAX(AA917,0),MAX(0,W891-IF($A918&gt;='1-Input'!$C$12,'1-Input'!$B$12,0))))*(1/(1-'P-Parametri'!$B$6*W918))+MIN(MAX(0,AB917-(MAX(0,W891-IF($A918&gt;='1-Input'!$C$12,'1-Input'!$B$12,0))-MIN(MAX(AA917,0),MAX(0,W891-IF($A918&gt;='1-Input'!$C$12,'1-Input'!$B$12,0))))*(1/(1-'P-Parametri'!$B$6*W918))),MAX(0,5*W891-(AA917-MIN(MAX(AA917,0),MAX(0,W891-IF($A918&gt;='1-Input'!$C$12,'1-Input'!$B$12,0)))))*(1/(1-'P-Parametri'!$B$6*W918))))</f>
        <v>8641.1849089125517</v>
      </c>
      <c r="Y918" s="18">
        <f>IF($A918&gt;'1-Input'!$B$26,AA917,(AA917-MAX(0,W891-IF($A918&gt;='1-Input'!$C$12,'1-Input'!$B$12,0))+X918*(1-'P-Parametri'!$B$6*W918))*(1+'1-Input'!$B$27))</f>
        <v>89245.454371318367</v>
      </c>
      <c r="Z918" s="18">
        <f>IF($A918&gt;'1-Input'!$B$26,AB917,(AB917-X918)*(1+$D$4))</f>
        <v>56206.872592828113</v>
      </c>
      <c r="AA918" s="18">
        <f>IF($A918&gt;'1-Input'!$B$26,Y918,Y918-'P-Parametri'!$B$8*(Z918+Y918)+MIN(MAX(Z918,0),'P-Parametri'!$B$8*(Z918+Y918)))</f>
        <v>89245.454371318367</v>
      </c>
      <c r="AB918" s="18">
        <f>IF($A918&gt;'1-Input'!$B$26,Z918,Z918-MIN(MAX(Z918,0),'P-Parametri'!$B$8*(Z918+Y918)))</f>
        <v>55915.967938899819</v>
      </c>
      <c r="AC918" s="18">
        <f>IF($A918&gt;'1-Input'!$B$26,AC917,AC917-X918*(1-W918))</f>
        <v>17789.978750470043</v>
      </c>
      <c r="AD918" s="11">
        <f>IF($A918&gt;'1-Input'!$B$26,0,IF(AI917&lt;=0,0,MAX(0,(AI917-AJ917)/AI917)))</f>
        <v>0.67094272627200624</v>
      </c>
      <c r="AE918" s="18">
        <f>IF($A918&gt;'1-Input'!$B$26,0,(MAX(0,AD891-IF($A918&gt;='1-Input'!$C$12,'1-Input'!$B$12,0))-MIN(MAX(AH917,0),MAX(0,AD891-IF($A918&gt;='1-Input'!$C$12,'1-Input'!$B$12,0))))*(1/(1-'P-Parametri'!$B$6*AD918))+MIN(MAX(0,AI917-(MAX(0,AD891-IF($A918&gt;='1-Input'!$C$12,'1-Input'!$B$12,0))-MIN(MAX(AH917,0),MAX(0,AD891-IF($A918&gt;='1-Input'!$C$12,'1-Input'!$B$12,0))))*(1/(1-'P-Parametri'!$B$6*AD918))),MAX(0,5*AD891-(AH917-MIN(MAX(AH917,0),MAX(0,AD891-IF($A918&gt;='1-Input'!$C$12,'1-Input'!$B$12,0)))))*(1/(1-'P-Parametri'!$B$6*AD918))))</f>
        <v>8603.5900823553802</v>
      </c>
      <c r="AF918" s="18">
        <f>IF($A918&gt;'1-Input'!$B$26,AH917,(AH917-MAX(0,AD891-IF($A918&gt;='1-Input'!$C$12,'1-Input'!$B$12,0))+AE918*(1-'P-Parametri'!$B$6*AD918))*(1+'1-Input'!$B$27))</f>
        <v>89092.332146155182</v>
      </c>
      <c r="AG918" s="18">
        <f>IF($A918&gt;'1-Input'!$B$26,AI917,(AI917-AE918)*(1+$D$4))</f>
        <v>58094.753206148991</v>
      </c>
      <c r="AH918" s="18">
        <f>IF($A918&gt;'1-Input'!$B$26,AF918,AF918-'P-Parametri'!$B$8*(AG918+AF918)+MIN(MAX(AG918,0),'P-Parametri'!$B$8*(AG918+AF918)))</f>
        <v>89092.332146155182</v>
      </c>
      <c r="AI918" s="18">
        <f>IF($A918&gt;'1-Input'!$B$26,AG918,AG918-MIN(MAX(AG918,0),'P-Parametri'!$B$8*(AG918+AF918)))</f>
        <v>57800.379035444384</v>
      </c>
      <c r="AJ918" s="18">
        <f>IF($A918&gt;'1-Input'!$B$26,AJ917,AJ917-AE918*(1-AD918))</f>
        <v>18381.251065303863</v>
      </c>
      <c r="AK918" s="11">
        <f>IF($A918&gt;'1-Input'!$B$26,0,IF(AP917&lt;=0,0,MAX(0,(AP917-AQ917)/AP917)))</f>
        <v>0.67094002700808475</v>
      </c>
      <c r="AL918" s="18">
        <f>IF($A918&gt;'1-Input'!$B$26,0,(MAX(0,AK891-IF($A918&gt;='1-Input'!$C$12,'1-Input'!$B$12,0))-MIN(MAX(AO917,0),MAX(0,AK891-IF($A918&gt;='1-Input'!$C$12,'1-Input'!$B$12,0))))*(1/(1-'P-Parametri'!$B$6*AK918))+MIN(MAX(0,AP917-(MAX(0,AK891-IF($A918&gt;='1-Input'!$C$12,'1-Input'!$B$12,0))-MIN(MAX(AO917,0),MAX(0,AK891-IF($A918&gt;='1-Input'!$C$12,'1-Input'!$B$12,0))))*(1/(1-'P-Parametri'!$B$6*AK918))),MAX(0,5*AK891-(AO917-MIN(MAX(AO917,0),MAX(0,AK891-IF($A918&gt;='1-Input'!$C$12,'1-Input'!$B$12,0)))))*(1/(1-'P-Parametri'!$B$6*AK918))))</f>
        <v>8604.5123072672923</v>
      </c>
      <c r="AM918" s="18">
        <f>IF($A918&gt;'1-Input'!$B$26,AO917,(AO917-MAX(0,AK891-IF($A918&gt;='1-Input'!$C$12,'1-Input'!$B$12,0))+AL918*(1-'P-Parametri'!$B$6*AK918))*(1+'1-Input'!$B$27))</f>
        <v>89096.087663925675</v>
      </c>
      <c r="AN918" s="18">
        <f>IF($A918&gt;'1-Input'!$B$26,AP917,(AP917-AL918)*(1+$D$4))</f>
        <v>58048.449733730427</v>
      </c>
      <c r="AO918" s="18">
        <f>IF($A918&gt;'1-Input'!$B$26,AM918,AM918-'P-Parametri'!$B$8*(AN918+AM918)+MIN(MAX(AN918,0),'P-Parametri'!$B$8*(AN918+AM918)))</f>
        <v>89096.087663925675</v>
      </c>
      <c r="AP918" s="18">
        <f>IF($A918&gt;'1-Input'!$B$26,AN918,AN918-MIN(MAX(AN918,0),'P-Parametri'!$B$8*(AN918+AM918)))</f>
        <v>57754.160658935114</v>
      </c>
      <c r="AQ918" s="18">
        <f>IF($A918&gt;'1-Input'!$B$26,AQ917,AQ917-AL918*(1-AK918))</f>
        <v>18366.751251542195</v>
      </c>
    </row>
    <row r="919" spans="1:43">
      <c r="A919" s="10">
        <f>26</f>
        <v>26</v>
      </c>
      <c r="B919" s="11">
        <f>IF($A919&gt;'1-Input'!$B$26,0,IF(G918&lt;=0,0,MAX(0,(G918-H918)/G918)))</f>
        <v>0.68510652070601108</v>
      </c>
      <c r="C919" s="18">
        <f>IF($A919&gt;'1-Input'!$B$26,0,(MAX(0,B891-IF($A919&gt;='1-Input'!$C$12,'1-Input'!$B$12,0))-MIN(MAX(F918,0),MAX(0,B891-IF($A919&gt;='1-Input'!$C$12,'1-Input'!$B$12,0))))*(1/(1-'P-Parametri'!$B$6*B919))+MIN(MAX(0,G918-(MAX(0,B891-IF($A919&gt;='1-Input'!$C$12,'1-Input'!$B$12,0))-MIN(MAX(F918,0),MAX(0,B891-IF($A919&gt;='1-Input'!$C$12,'1-Input'!$B$12,0))))*(1/(1-'P-Parametri'!$B$6*B919))),MAX(0,5*B891-(F918-MIN(MAX(F918,0),MAX(0,B891-IF($A919&gt;='1-Input'!$C$12,'1-Input'!$B$12,0)))))*(1/(1-'P-Parametri'!$B$6*B919))))</f>
        <v>7153.5617847993017</v>
      </c>
      <c r="D919" s="18">
        <f>IF($A919&gt;'1-Input'!$B$26,F918,(F918-MAX(0,B891-IF($A919&gt;='1-Input'!$C$12,'1-Input'!$B$12,0))+C919*(1-'P-Parametri'!$B$6*B919))*(1+'1-Input'!$B$27))</f>
        <v>83105.01757746574</v>
      </c>
      <c r="E919" s="18">
        <f>IF($A919&gt;'1-Input'!$B$26,G918,(G918-C919)*(1+$D$4))</f>
        <v>129341.74834752343</v>
      </c>
      <c r="F919" s="18">
        <f>IF($A919&gt;'1-Input'!$B$26,D919,D919-'P-Parametri'!$B$8*(E919+D919)+MIN(MAX(E919,0),'P-Parametri'!$B$8*(E919+D919)))</f>
        <v>83105.01757746574</v>
      </c>
      <c r="G919" s="18">
        <f>IF($A919&gt;'1-Input'!$B$26,E919,E919-MIN(MAX(E919,0),'P-Parametri'!$B$8*(E919+D919)))</f>
        <v>128916.85481567346</v>
      </c>
      <c r="H919" s="18">
        <f>IF($A919&gt;'1-Input'!$B$26,H918,H918-C919*(1-B919))</f>
        <v>39162.378033768451</v>
      </c>
      <c r="I919" s="11">
        <f>IF($A919&gt;'1-Input'!$B$26,0,IF(N918&lt;=0,0,MAX(0,(N918-O918)/N918)))</f>
        <v>0</v>
      </c>
      <c r="J919" s="18">
        <f>IF($A919&gt;'1-Input'!$B$26,0,(MAX(0,I891-IF($A919&gt;='1-Input'!$C$12,'1-Input'!$B$12,0))-MIN(MAX(M918,0),MAX(0,I891-IF($A919&gt;='1-Input'!$C$12,'1-Input'!$B$12,0))))*(1/(1-'P-Parametri'!$B$6*I919))+MIN(MAX(0,N918-(MAX(0,I891-IF($A919&gt;='1-Input'!$C$12,'1-Input'!$B$12,0))-MIN(MAX(M918,0),MAX(0,I891-IF($A919&gt;='1-Input'!$C$12,'1-Input'!$B$12,0))))*(1/(1-'P-Parametri'!$B$6*I919))),MAX(0,5*I891-(M918-MIN(MAX(M918,0),MAX(0,I891-IF($A919&gt;='1-Input'!$C$12,'1-Input'!$B$12,0)))))*(1/(1-'P-Parametri'!$B$6*I919))))</f>
        <v>10846.756992928691</v>
      </c>
      <c r="K919" s="18">
        <f>IF($A919&gt;'1-Input'!$B$26,M918,(M918-MAX(0,I891-IF($A919&gt;='1-Input'!$C$12,'1-Input'!$B$12,0))+J919*(1-'P-Parametri'!$B$6*I919))*(1+'1-Input'!$B$27))</f>
        <v>0</v>
      </c>
      <c r="L919" s="18">
        <f>IF($A919&gt;'1-Input'!$B$26,N918,(N918-J919)*(1+$D$4))</f>
        <v>-35081.079583222432</v>
      </c>
      <c r="M919" s="18">
        <f>IF($A919&gt;'1-Input'!$B$26,K919,K919-'P-Parametri'!$B$8*(L919+K919)+MIN(MAX(L919,0),'P-Parametri'!$B$8*(L919+K919)))</f>
        <v>0</v>
      </c>
      <c r="N919" s="18">
        <f>IF($A919&gt;'1-Input'!$B$26,L919,L919-MIN(MAX(L919,0),'P-Parametri'!$B$8*(L919+K919)))</f>
        <v>-35010.917424055988</v>
      </c>
      <c r="O919" s="18">
        <f>IF($A919&gt;'1-Input'!$B$26,O918,O918-J919*(1-I919))</f>
        <v>-32486.44308576508</v>
      </c>
      <c r="P919" s="11">
        <f>IF($A919&gt;'1-Input'!$B$26,0,IF(U918&lt;=0,0,MAX(0,(U918-V918)/U918)))</f>
        <v>0.6810647888733371</v>
      </c>
      <c r="Q919" s="18">
        <f>IF($A919&gt;'1-Input'!$B$26,0,(MAX(0,P891-IF($A919&gt;='1-Input'!$C$12,'1-Input'!$B$12,0))-MIN(MAX(T918,0),MAX(0,P891-IF($A919&gt;='1-Input'!$C$12,'1-Input'!$B$12,0))))*(1/(1-'P-Parametri'!$B$6*P919))+MIN(MAX(0,U918-(MAX(0,P891-IF($A919&gt;='1-Input'!$C$12,'1-Input'!$B$12,0))-MIN(MAX(T918,0),MAX(0,P891-IF($A919&gt;='1-Input'!$C$12,'1-Input'!$B$12,0))))*(1/(1-'P-Parametri'!$B$6*P919))),MAX(0,5*P891-(T918-MIN(MAX(T918,0),MAX(0,P891-IF($A919&gt;='1-Input'!$C$12,'1-Input'!$B$12,0)))))*(1/(1-'P-Parametri'!$B$6*P919))))</f>
        <v>8849.8002299660347</v>
      </c>
      <c r="R919" s="18">
        <f>IF($A919&gt;'1-Input'!$B$26,T918,(T918-MAX(0,P891-IF($A919&gt;='1-Input'!$C$12,'1-Input'!$B$12,0))+Q919*(1-'P-Parametri'!$B$6*P919))*(1+'1-Input'!$B$27))</f>
        <v>89973.087355227675</v>
      </c>
      <c r="S919" s="18">
        <f>IF($A919&gt;'1-Input'!$B$26,U918,(U918-Q919)*(1+$D$4))</f>
        <v>39636.967997329099</v>
      </c>
      <c r="T919" s="18">
        <f>IF($A919&gt;'1-Input'!$B$26,R919,R919-'P-Parametri'!$B$8*(S919+R919)+MIN(MAX(S919,0),'P-Parametri'!$B$8*(S919+R919)))</f>
        <v>89973.087355227675</v>
      </c>
      <c r="U919" s="18">
        <f>IF($A919&gt;'1-Input'!$B$26,S919,S919-MIN(MAX(S919,0),'P-Parametri'!$B$8*(S919+R919)))</f>
        <v>39377.747886623984</v>
      </c>
      <c r="V919" s="18">
        <f>IF($A919&gt;'1-Input'!$B$26,V918,V918-Q919*(1-P919))</f>
        <v>12155.408419854753</v>
      </c>
      <c r="W919" s="11">
        <f>IF($A919&gt;'1-Input'!$B$26,0,IF(AB918&lt;=0,0,MAX(0,(AB918-AC918)/AB918)))</f>
        <v>0.6818443924656834</v>
      </c>
      <c r="X919" s="18">
        <f>IF($A919&gt;'1-Input'!$B$26,0,(MAX(0,W891-IF($A919&gt;='1-Input'!$C$12,'1-Input'!$B$12,0))-MIN(MAX(AA918,0),MAX(0,W891-IF($A919&gt;='1-Input'!$C$12,'1-Input'!$B$12,0))))*(1/(1-'P-Parametri'!$B$6*W919))+MIN(MAX(0,AB918-(MAX(0,W891-IF($A919&gt;='1-Input'!$C$12,'1-Input'!$B$12,0))-MIN(MAX(AA918,0),MAX(0,W891-IF($A919&gt;='1-Input'!$C$12,'1-Input'!$B$12,0))))*(1/(1-'P-Parametri'!$B$6*W919))),MAX(0,5*W891-(AA918-MIN(MAX(AA918,0),MAX(0,W891-IF($A919&gt;='1-Input'!$C$12,'1-Input'!$B$12,0)))))*(1/(1-'P-Parametri'!$B$6*W919))))</f>
        <v>8671.2614571524537</v>
      </c>
      <c r="Y919" s="18">
        <f>IF($A919&gt;'1-Input'!$B$26,AA918,(AA918-MAX(0,W891-IF($A919&gt;='1-Input'!$C$12,'1-Input'!$B$12,0))+X919*(1-'P-Parametri'!$B$6*W919))*(1+'1-Input'!$B$27))</f>
        <v>89245.454371318367</v>
      </c>
      <c r="Z919" s="18">
        <f>IF($A919&gt;'1-Input'!$B$26,AB918,(AB918-X919)*(1+$D$4))</f>
        <v>49134.494741017261</v>
      </c>
      <c r="AA919" s="18">
        <f>IF($A919&gt;'1-Input'!$B$26,Y919,Y919-'P-Parametri'!$B$8*(Z919+Y919)+MIN(MAX(Z919,0),'P-Parametri'!$B$8*(Z919+Y919)))</f>
        <v>89245.454371318367</v>
      </c>
      <c r="AB919" s="18">
        <f>IF($A919&gt;'1-Input'!$B$26,Z919,Z919-MIN(MAX(Z919,0),'P-Parametri'!$B$8*(Z919+Y919)))</f>
        <v>48857.73484279259</v>
      </c>
      <c r="AC919" s="18">
        <f>IF($A919&gt;'1-Input'!$B$26,AC918,AC918-X919*(1-W919))</f>
        <v>15031.168293480801</v>
      </c>
      <c r="AD919" s="11">
        <f>IF($A919&gt;'1-Input'!$B$26,0,IF(AI918&lt;=0,0,MAX(0,(AI918-AJ918)/AI918)))</f>
        <v>0.68198736112038127</v>
      </c>
      <c r="AE919" s="18">
        <f>IF($A919&gt;'1-Input'!$B$26,0,(MAX(0,AD891-IF($A919&gt;='1-Input'!$C$12,'1-Input'!$B$12,0))-MIN(MAX(AH918,0),MAX(0,AD891-IF($A919&gt;='1-Input'!$C$12,'1-Input'!$B$12,0))))*(1/(1-'P-Parametri'!$B$6*AD919))+MIN(MAX(0,AI918-(MAX(0,AD891-IF($A919&gt;='1-Input'!$C$12,'1-Input'!$B$12,0))-MIN(MAX(AH918,0),MAX(0,AD891-IF($A919&gt;='1-Input'!$C$12,'1-Input'!$B$12,0))))*(1/(1-'P-Parametri'!$B$6*AD919))),MAX(0,5*AD891-(AH918-MIN(MAX(AH918,0),MAX(0,AD891-IF($A919&gt;='1-Input'!$C$12,'1-Input'!$B$12,0)))))*(1/(1-'P-Parametri'!$B$6*AD919))))</f>
        <v>8633.6212173459626</v>
      </c>
      <c r="AF919" s="18">
        <f>IF($A919&gt;'1-Input'!$B$26,AH918,(AH918-MAX(0,AD891-IF($A919&gt;='1-Input'!$C$12,'1-Input'!$B$12,0))+AE919*(1-'P-Parametri'!$B$6*AD919))*(1+'1-Input'!$B$27))</f>
        <v>89092.332146155182</v>
      </c>
      <c r="AG919" s="18">
        <f>IF($A919&gt;'1-Input'!$B$26,AI918,(AI918-AE919)*(1+$D$4))</f>
        <v>51133.428130822358</v>
      </c>
      <c r="AH919" s="18">
        <f>IF($A919&gt;'1-Input'!$B$26,AF919,AF919-'P-Parametri'!$B$8*(AG919+AF919)+MIN(MAX(AG919,0),'P-Parametri'!$B$8*(AG919+AF919)))</f>
        <v>89092.332146155182</v>
      </c>
      <c r="AI919" s="18">
        <f>IF($A919&gt;'1-Input'!$B$26,AG919,AG919-MIN(MAX(AG919,0),'P-Parametri'!$B$8*(AG919+AF919)))</f>
        <v>50852.976610268401</v>
      </c>
      <c r="AJ919" s="18">
        <f>IF($A919&gt;'1-Input'!$B$26,AJ918,AJ918-AE919*(1-AD919))</f>
        <v>15635.650398888607</v>
      </c>
      <c r="AK919" s="11">
        <f>IF($A919&gt;'1-Input'!$B$26,0,IF(AP918&lt;=0,0,MAX(0,(AP918-AQ918)/AP918)))</f>
        <v>0.68198392908856709</v>
      </c>
      <c r="AL919" s="18">
        <f>IF($A919&gt;'1-Input'!$B$26,0,(MAX(0,AK891-IF($A919&gt;='1-Input'!$C$12,'1-Input'!$B$12,0))-MIN(MAX(AO918,0),MAX(0,AK891-IF($A919&gt;='1-Input'!$C$12,'1-Input'!$B$12,0))))*(1/(1-'P-Parametri'!$B$6*AK919))+MIN(MAX(0,AP918-(MAX(0,AK891-IF($A919&gt;='1-Input'!$C$12,'1-Input'!$B$12,0))-MIN(MAX(AO918,0),MAX(0,AK891-IF($A919&gt;='1-Input'!$C$12,'1-Input'!$B$12,0))))*(1/(1-'P-Parametri'!$B$6*AK919))),MAX(0,5*AK891-(AO918-MIN(MAX(AO918,0),MAX(0,AK891-IF($A919&gt;='1-Input'!$C$12,'1-Input'!$B$12,0)))))*(1/(1-'P-Parametri'!$B$6*AK919))))</f>
        <v>8634.5446360810056</v>
      </c>
      <c r="AM919" s="18">
        <f>IF($A919&gt;'1-Input'!$B$26,AO918,(AO918-MAX(0,AK891-IF($A919&gt;='1-Input'!$C$12,'1-Input'!$B$12,0))+AL919*(1-'P-Parametri'!$B$6*AK919))*(1+'1-Input'!$B$27))</f>
        <v>89096.087663925675</v>
      </c>
      <c r="AN919" s="18">
        <f>IF($A919&gt;'1-Input'!$B$26,AP918,(AP918-AL919)*(1+$D$4))</f>
        <v>51084.400663768276</v>
      </c>
      <c r="AO919" s="18">
        <f>IF($A919&gt;'1-Input'!$B$26,AM919,AM919-'P-Parametri'!$B$8*(AN919+AM919)+MIN(MAX(AN919,0),'P-Parametri'!$B$8*(AN919+AM919)))</f>
        <v>89096.087663925675</v>
      </c>
      <c r="AP919" s="18">
        <f>IF($A919&gt;'1-Input'!$B$26,AN919,AN919-MIN(MAX(AN919,0),'P-Parametri'!$B$8*(AN919+AM919)))</f>
        <v>50804.039687112891</v>
      </c>
      <c r="AQ919" s="18">
        <f>IF($A919&gt;'1-Input'!$B$26,AQ918,AQ918-AL919*(1-AK919))</f>
        <v>15620.827292266325</v>
      </c>
    </row>
    <row r="920" spans="1:43">
      <c r="A920" s="10">
        <f>27</f>
        <v>27</v>
      </c>
      <c r="B920" s="11">
        <f>IF($A920&gt;'1-Input'!$B$26,0,IF(G919&lt;=0,0,MAX(0,(G919-H919)/G919)))</f>
        <v>0.69621987683640607</v>
      </c>
      <c r="C920" s="18">
        <f>IF($A920&gt;'1-Input'!$B$26,0,(MAX(0,B891-IF($A920&gt;='1-Input'!$C$12,'1-Input'!$B$12,0))-MIN(MAX(F919,0),MAX(0,B891-IF($A920&gt;='1-Input'!$C$12,'1-Input'!$B$12,0))))*(1/(1-'P-Parametri'!$B$6*B920))+MIN(MAX(0,G919-(MAX(0,B891-IF($A920&gt;='1-Input'!$C$12,'1-Input'!$B$12,0))-MIN(MAX(F919,0),MAX(0,B891-IF($A920&gt;='1-Input'!$C$12,'1-Input'!$B$12,0))))*(1/(1-'P-Parametri'!$B$6*B920))),MAX(0,5*B891-(F919-MIN(MAX(F919,0),MAX(0,B891-IF($A920&gt;='1-Input'!$C$12,'1-Input'!$B$12,0)))))*(1/(1-'P-Parametri'!$B$6*B920))))</f>
        <v>7178.8004343994662</v>
      </c>
      <c r="D920" s="18">
        <f>IF($A920&gt;'1-Input'!$B$26,F919,(F919-MAX(0,B891-IF($A920&gt;='1-Input'!$C$12,'1-Input'!$B$12,0))+C920*(1-'P-Parametri'!$B$6*B920))*(1+'1-Input'!$B$27))</f>
        <v>83105.01757746574</v>
      </c>
      <c r="E920" s="18">
        <f>IF($A920&gt;'1-Input'!$B$26,G919,(G919-C920)*(1+$D$4))</f>
        <v>126607.57655652496</v>
      </c>
      <c r="F920" s="18">
        <f>IF($A920&gt;'1-Input'!$B$26,D920,D920-'P-Parametri'!$B$8*(E920+D920)+MIN(MAX(E920,0),'P-Parametri'!$B$8*(E920+D920)))</f>
        <v>83105.01757746574</v>
      </c>
      <c r="G920" s="18">
        <f>IF($A920&gt;'1-Input'!$B$26,E920,E920-MIN(MAX(E920,0),'P-Parametri'!$B$8*(E920+D920)))</f>
        <v>126188.15136825698</v>
      </c>
      <c r="H920" s="18">
        <f>IF($A920&gt;'1-Input'!$B$26,H919,H919-C920*(1-B920))</f>
        <v>36981.60115363972</v>
      </c>
      <c r="I920" s="11">
        <f>IF($A920&gt;'1-Input'!$B$26,0,IF(N919&lt;=0,0,MAX(0,(N919-O919)/N919)))</f>
        <v>0</v>
      </c>
      <c r="J920" s="18">
        <f>IF($A920&gt;'1-Input'!$B$26,0,(MAX(0,I891-IF($A920&gt;='1-Input'!$C$12,'1-Input'!$B$12,0))-MIN(MAX(M919,0),MAX(0,I891-IF($A920&gt;='1-Input'!$C$12,'1-Input'!$B$12,0))))*(1/(1-'P-Parametri'!$B$6*I920))+MIN(MAX(0,N919-(MAX(0,I891-IF($A920&gt;='1-Input'!$C$12,'1-Input'!$B$12,0))-MIN(MAX(M919,0),MAX(0,I891-IF($A920&gt;='1-Input'!$C$12,'1-Input'!$B$12,0))))*(1/(1-'P-Parametri'!$B$6*I920))),MAX(0,5*I891-(M919-MIN(MAX(M919,0),MAX(0,I891-IF($A920&gt;='1-Input'!$C$12,'1-Input'!$B$12,0)))))*(1/(1-'P-Parametri'!$B$6*I920))))</f>
        <v>10846.756992928691</v>
      </c>
      <c r="K920" s="18">
        <f>IF($A920&gt;'1-Input'!$B$26,M919,(M919-MAX(0,I891-IF($A920&gt;='1-Input'!$C$12,'1-Input'!$B$12,0))+J920*(1-'P-Parametri'!$B$6*I920))*(1+'1-Input'!$B$27))</f>
        <v>0</v>
      </c>
      <c r="L920" s="18">
        <f>IF($A920&gt;'1-Input'!$B$26,N919,(N919-J920)*(1+$D$4))</f>
        <v>-47691.981393664071</v>
      </c>
      <c r="M920" s="18">
        <f>IF($A920&gt;'1-Input'!$B$26,K920,K920-'P-Parametri'!$B$8*(L920+K920)+MIN(MAX(L920,0),'P-Parametri'!$B$8*(L920+K920)))</f>
        <v>0</v>
      </c>
      <c r="N920" s="18">
        <f>IF($A920&gt;'1-Input'!$B$26,L920,L920-MIN(MAX(L920,0),'P-Parametri'!$B$8*(L920+K920)))</f>
        <v>-47596.59743087674</v>
      </c>
      <c r="O920" s="18">
        <f>IF($A920&gt;'1-Input'!$B$26,O919,O919-J920*(1-I920))</f>
        <v>-43333.200078693772</v>
      </c>
      <c r="P920" s="11">
        <f>IF($A920&gt;'1-Input'!$B$26,0,IF(U919&lt;=0,0,MAX(0,(U919-V919)/U919)))</f>
        <v>0.69131275727468</v>
      </c>
      <c r="Q920" s="18">
        <f>IF($A920&gt;'1-Input'!$B$26,0,(MAX(0,P891-IF($A920&gt;='1-Input'!$C$12,'1-Input'!$B$12,0))-MIN(MAX(T919,0),MAX(0,P891-IF($A920&gt;='1-Input'!$C$12,'1-Input'!$B$12,0))))*(1/(1-'P-Parametri'!$B$6*P920))+MIN(MAX(0,U919-(MAX(0,P891-IF($A920&gt;='1-Input'!$C$12,'1-Input'!$B$12,0))-MIN(MAX(T919,0),MAX(0,P891-IF($A920&gt;='1-Input'!$C$12,'1-Input'!$B$12,0))))*(1/(1-'P-Parametri'!$B$6*P920))),MAX(0,5*P891-(T919-MIN(MAX(T919,0),MAX(0,P891-IF($A920&gt;='1-Input'!$C$12,'1-Input'!$B$12,0)))))*(1/(1-'P-Parametri'!$B$6*P920))))</f>
        <v>8878.5473112166819</v>
      </c>
      <c r="R920" s="18">
        <f>IF($A920&gt;'1-Input'!$B$26,T919,(T919-MAX(0,P891-IF($A920&gt;='1-Input'!$C$12,'1-Input'!$B$12,0))+Q920*(1-'P-Parametri'!$B$6*P920))*(1+'1-Input'!$B$27))</f>
        <v>89973.087355227675</v>
      </c>
      <c r="S920" s="18">
        <f>IF($A920&gt;'1-Input'!$B$26,U919,(U919-Q920)*(1+$D$4))</f>
        <v>31719.168598423596</v>
      </c>
      <c r="T920" s="18">
        <f>IF($A920&gt;'1-Input'!$B$26,R920,R920-'P-Parametri'!$B$8*(S920+R920)+MIN(MAX(S920,0),'P-Parametri'!$B$8*(S920+R920)))</f>
        <v>89973.087355227675</v>
      </c>
      <c r="U920" s="18">
        <f>IF($A920&gt;'1-Input'!$B$26,S920,S920-MIN(MAX(S920,0),'P-Parametri'!$B$8*(S920+R920)))</f>
        <v>31475.784086516294</v>
      </c>
      <c r="V920" s="18">
        <f>IF($A920&gt;'1-Input'!$B$26,V919,V919-Q920*(1-P920))</f>
        <v>9414.7141309489725</v>
      </c>
      <c r="W920" s="11">
        <f>IF($A920&gt;'1-Input'!$B$26,0,IF(AB919&lt;=0,0,MAX(0,(AB919-AC919)/AB919)))</f>
        <v>0.69234823632642939</v>
      </c>
      <c r="X920" s="18">
        <f>IF($A920&gt;'1-Input'!$B$26,0,(MAX(0,W891-IF($A920&gt;='1-Input'!$C$12,'1-Input'!$B$12,0))-MIN(MAX(AA919,0),MAX(0,W891-IF($A920&gt;='1-Input'!$C$12,'1-Input'!$B$12,0))))*(1/(1-'P-Parametri'!$B$6*W920))+MIN(MAX(0,AB919-(MAX(0,W891-IF($A920&gt;='1-Input'!$C$12,'1-Input'!$B$12,0))-MIN(MAX(AA919,0),MAX(0,W891-IF($A920&gt;='1-Input'!$C$12,'1-Input'!$B$12,0))))*(1/(1-'P-Parametri'!$B$6*W920))),MAX(0,5*W891-(AA919-MIN(MAX(AA919,0),MAX(0,W891-IF($A920&gt;='1-Input'!$C$12,'1-Input'!$B$12,0)))))*(1/(1-'P-Parametri'!$B$6*W920))))</f>
        <v>8700.1413526469059</v>
      </c>
      <c r="Y920" s="18">
        <f>IF($A920&gt;'1-Input'!$B$26,AA919,(AA919-MAX(0,W891-IF($A920&gt;='1-Input'!$C$12,'1-Input'!$B$12,0))+X920*(1-'P-Parametri'!$B$6*W920))*(1+'1-Input'!$B$27))</f>
        <v>89245.454371318367</v>
      </c>
      <c r="Z920" s="18">
        <f>IF($A920&gt;'1-Input'!$B$26,AB919,(AB919-X920)*(1+$D$4))</f>
        <v>41763.897229751514</v>
      </c>
      <c r="AA920" s="18">
        <f>IF($A920&gt;'1-Input'!$B$26,Y920,Y920-'P-Parametri'!$B$8*(Z920+Y920)+MIN(MAX(Z920,0),'P-Parametri'!$B$8*(Z920+Y920)))</f>
        <v>89245.454371318367</v>
      </c>
      <c r="AB920" s="18">
        <f>IF($A920&gt;'1-Input'!$B$26,Z920,Z920-MIN(MAX(Z920,0),'P-Parametri'!$B$8*(Z920+Y920)))</f>
        <v>41501.878526549372</v>
      </c>
      <c r="AC920" s="18">
        <f>IF($A920&gt;'1-Input'!$B$26,AC919,AC919-X920*(1-W920))</f>
        <v>12354.554462129618</v>
      </c>
      <c r="AD920" s="11">
        <f>IF($A920&gt;'1-Input'!$B$26,0,IF(AI919&lt;=0,0,MAX(0,(AI919-AJ919)/AI919)))</f>
        <v>0.69253224803892011</v>
      </c>
      <c r="AE920" s="18">
        <f>IF($A920&gt;'1-Input'!$B$26,0,(MAX(0,AD891-IF($A920&gt;='1-Input'!$C$12,'1-Input'!$B$12,0))-MIN(MAX(AH919,0),MAX(0,AD891-IF($A920&gt;='1-Input'!$C$12,'1-Input'!$B$12,0))))*(1/(1-'P-Parametri'!$B$6*AD920))+MIN(MAX(0,AI919-(MAX(0,AD891-IF($A920&gt;='1-Input'!$C$12,'1-Input'!$B$12,0))-MIN(MAX(AH919,0),MAX(0,AD891-IF($A920&gt;='1-Input'!$C$12,'1-Input'!$B$12,0))))*(1/(1-'P-Parametri'!$B$6*AD920))),MAX(0,5*AD891-(AH919-MIN(MAX(AH919,0),MAX(0,AD891-IF($A920&gt;='1-Input'!$C$12,'1-Input'!$B$12,0)))))*(1/(1-'P-Parametri'!$B$6*AD920))))</f>
        <v>8662.4897916507653</v>
      </c>
      <c r="AF920" s="18">
        <f>IF($A920&gt;'1-Input'!$B$26,AH919,(AH919-MAX(0,AD891-IF($A920&gt;='1-Input'!$C$12,'1-Input'!$B$12,0))+AE920*(1-'P-Parametri'!$B$6*AD920))*(1+'1-Input'!$B$27))</f>
        <v>89092.332146155182</v>
      </c>
      <c r="AG920" s="18">
        <f>IF($A920&gt;'1-Input'!$B$26,AI919,(AI919-AE920)*(1+$D$4))</f>
        <v>43878.106291362339</v>
      </c>
      <c r="AH920" s="18">
        <f>IF($A920&gt;'1-Input'!$B$26,AF920,AF920-'P-Parametri'!$B$8*(AG920+AF920)+MIN(MAX(AG920,0),'P-Parametri'!$B$8*(AG920+AF920)))</f>
        <v>89092.332146155182</v>
      </c>
      <c r="AI920" s="18">
        <f>IF($A920&gt;'1-Input'!$B$26,AG920,AG920-MIN(MAX(AG920,0),'P-Parametri'!$B$8*(AG920+AF920)))</f>
        <v>43612.165414487303</v>
      </c>
      <c r="AJ920" s="18">
        <f>IF($A920&gt;'1-Input'!$B$26,AJ919,AJ919-AE920*(1-AD920))</f>
        <v>12972.214136263943</v>
      </c>
      <c r="AK920" s="11">
        <f>IF($A920&gt;'1-Input'!$B$26,0,IF(AP919&lt;=0,0,MAX(0,(AP919-AQ919)/AP919)))</f>
        <v>0.6925278503742931</v>
      </c>
      <c r="AL920" s="18">
        <f>IF($A920&gt;'1-Input'!$B$26,0,(MAX(0,AK891-IF($A920&gt;='1-Input'!$C$12,'1-Input'!$B$12,0))-MIN(MAX(AO919,0),MAX(0,AK891-IF($A920&gt;='1-Input'!$C$12,'1-Input'!$B$12,0))))*(1/(1-'P-Parametri'!$B$6*AK920))+MIN(MAX(0,AP919-(MAX(0,AK891-IF($A920&gt;='1-Input'!$C$12,'1-Input'!$B$12,0))-MIN(MAX(AO919,0),MAX(0,AK891-IF($A920&gt;='1-Input'!$C$12,'1-Input'!$B$12,0))))*(1/(1-'P-Parametri'!$B$6*AK920))),MAX(0,5*AK891-(AO919-MIN(MAX(AO919,0),MAX(0,AK891-IF($A920&gt;='1-Input'!$C$12,'1-Input'!$B$12,0)))))*(1/(1-'P-Parametri'!$B$6*AK920))))</f>
        <v>8663.4136139188231</v>
      </c>
      <c r="AM920" s="18">
        <f>IF($A920&gt;'1-Input'!$B$26,AO919,(AO919-MAX(0,AK891-IF($A920&gt;='1-Input'!$C$12,'1-Input'!$B$12,0))+AL920*(1-'P-Parametri'!$B$6*AK920))*(1+'1-Input'!$B$27))</f>
        <v>89096.087663925675</v>
      </c>
      <c r="AN920" s="18">
        <f>IF($A920&gt;'1-Input'!$B$26,AP919,(AP919-AL920)*(1+$D$4))</f>
        <v>43826.251116121835</v>
      </c>
      <c r="AO920" s="18">
        <f>IF($A920&gt;'1-Input'!$B$26,AM920,AM920-'P-Parametri'!$B$8*(AN920+AM920)+MIN(MAX(AN920,0),'P-Parametri'!$B$8*(AN920+AM920)))</f>
        <v>89096.087663925675</v>
      </c>
      <c r="AP920" s="18">
        <f>IF($A920&gt;'1-Input'!$B$26,AN920,AN920-MIN(MAX(AN920,0),'P-Parametri'!$B$8*(AN920+AM920)))</f>
        <v>43560.406438561738</v>
      </c>
      <c r="AQ920" s="18">
        <f>IF($A920&gt;'1-Input'!$B$26,AQ919,AQ919-AL920*(1-AK920))</f>
        <v>12957.068885298091</v>
      </c>
    </row>
    <row r="921" spans="1:43">
      <c r="A921" s="10">
        <f>28</f>
        <v>28</v>
      </c>
      <c r="B921" s="11">
        <f>IF($A921&gt;'1-Input'!$B$26,0,IF(G920&lt;=0,0,MAX(0,(G920-H920)/G920)))</f>
        <v>0.70693285579788145</v>
      </c>
      <c r="C921" s="18">
        <f>IF($A921&gt;'1-Input'!$B$26,0,(MAX(0,B891-IF($A921&gt;='1-Input'!$C$12,'1-Input'!$B$12,0))-MIN(MAX(F920,0),MAX(0,B891-IF($A921&gt;='1-Input'!$C$12,'1-Input'!$B$12,0))))*(1/(1-'P-Parametri'!$B$6*B921))+MIN(MAX(0,G920-(MAX(0,B891-IF($A921&gt;='1-Input'!$C$12,'1-Input'!$B$12,0))-MIN(MAX(F920,0),MAX(0,B891-IF($A921&gt;='1-Input'!$C$12,'1-Input'!$B$12,0))))*(1/(1-'P-Parametri'!$B$6*B921))),MAX(0,5*B891-(F920-MIN(MAX(F920,0),MAX(0,B891-IF($A921&gt;='1-Input'!$C$12,'1-Input'!$B$12,0)))))*(1/(1-'P-Parametri'!$B$6*B921))))</f>
        <v>7203.298976636097</v>
      </c>
      <c r="D921" s="18">
        <f>IF($A921&gt;'1-Input'!$B$26,F920,(F920-MAX(0,B891-IF($A921&gt;='1-Input'!$C$12,'1-Input'!$B$12,0))+C921*(1-'P-Parametri'!$B$6*B921))*(1+'1-Input'!$B$27))</f>
        <v>83105.01757746574</v>
      </c>
      <c r="E921" s="18">
        <f>IF($A921&gt;'1-Input'!$B$26,G920,(G920-C921)*(1+$D$4))</f>
        <v>123744.24648728572</v>
      </c>
      <c r="F921" s="18">
        <f>IF($A921&gt;'1-Input'!$B$26,D921,D921-'P-Parametri'!$B$8*(E921+D921)+MIN(MAX(E921,0),'P-Parametri'!$B$8*(E921+D921)))</f>
        <v>83105.01757746574</v>
      </c>
      <c r="G921" s="18">
        <f>IF($A921&gt;'1-Input'!$B$26,E921,E921-MIN(MAX(E921,0),'P-Parametri'!$B$8*(E921+D921)))</f>
        <v>123330.54795915622</v>
      </c>
      <c r="H921" s="18">
        <f>IF($A921&gt;'1-Input'!$B$26,H920,H920-C921*(1-B921))</f>
        <v>34870.550893722939</v>
      </c>
      <c r="I921" s="11">
        <f>IF($A921&gt;'1-Input'!$B$26,0,IF(N920&lt;=0,0,MAX(0,(N920-O920)/N920)))</f>
        <v>0</v>
      </c>
      <c r="J921" s="18">
        <f>IF($A921&gt;'1-Input'!$B$26,0,(MAX(0,I891-IF($A921&gt;='1-Input'!$C$12,'1-Input'!$B$12,0))-MIN(MAX(M920,0),MAX(0,I891-IF($A921&gt;='1-Input'!$C$12,'1-Input'!$B$12,0))))*(1/(1-'P-Parametri'!$B$6*I921))+MIN(MAX(0,N920-(MAX(0,I891-IF($A921&gt;='1-Input'!$C$12,'1-Input'!$B$12,0))-MIN(MAX(M920,0),MAX(0,I891-IF($A921&gt;='1-Input'!$C$12,'1-Input'!$B$12,0))))*(1/(1-'P-Parametri'!$B$6*I921))),MAX(0,5*I891-(M920-MIN(MAX(M920,0),MAX(0,I891-IF($A921&gt;='1-Input'!$C$12,'1-Input'!$B$12,0)))))*(1/(1-'P-Parametri'!$B$6*I921))))</f>
        <v>10846.756992928691</v>
      </c>
      <c r="K921" s="18">
        <f>IF($A921&gt;'1-Input'!$B$26,M920,(M920-MAX(0,I891-IF($A921&gt;='1-Input'!$C$12,'1-Input'!$B$12,0))+J921*(1-'P-Parametri'!$B$6*I921))*(1+'1-Input'!$B$27))</f>
        <v>0</v>
      </c>
      <c r="L921" s="18">
        <f>IF($A921&gt;'1-Input'!$B$26,N920,(N920-J921)*(1+$D$4))</f>
        <v>-60781.088600757648</v>
      </c>
      <c r="M921" s="18">
        <f>IF($A921&gt;'1-Input'!$B$26,K921,K921-'P-Parametri'!$B$8*(L921+K921)+MIN(MAX(L921,0),'P-Parametri'!$B$8*(L921+K921)))</f>
        <v>0</v>
      </c>
      <c r="N921" s="18">
        <f>IF($A921&gt;'1-Input'!$B$26,L921,L921-MIN(MAX(L921,0),'P-Parametri'!$B$8*(L921+K921)))</f>
        <v>-60659.526423556134</v>
      </c>
      <c r="O921" s="18">
        <f>IF($A921&gt;'1-Input'!$B$26,O920,O920-J921*(1-I921))</f>
        <v>-54179.957071622463</v>
      </c>
      <c r="P921" s="11">
        <f>IF($A921&gt;'1-Input'!$B$26,0,IF(U920&lt;=0,0,MAX(0,(U920-V920)/U920)))</f>
        <v>0.70089024295404023</v>
      </c>
      <c r="Q921" s="18">
        <f>IF($A921&gt;'1-Input'!$B$26,0,(MAX(0,P891-IF($A921&gt;='1-Input'!$C$12,'1-Input'!$B$12,0))-MIN(MAX(T920,0),MAX(0,P891-IF($A921&gt;='1-Input'!$C$12,'1-Input'!$B$12,0))))*(1/(1-'P-Parametri'!$B$6*P921))+MIN(MAX(0,U920-(MAX(0,P891-IF($A921&gt;='1-Input'!$C$12,'1-Input'!$B$12,0))-MIN(MAX(T920,0),MAX(0,P891-IF($A921&gt;='1-Input'!$C$12,'1-Input'!$B$12,0))))*(1/(1-'P-Parametri'!$B$6*P921))),MAX(0,5*P891-(T920-MIN(MAX(T920,0),MAX(0,P891-IF($A921&gt;='1-Input'!$C$12,'1-Input'!$B$12,0)))))*(1/(1-'P-Parametri'!$B$6*P921))))</f>
        <v>8905.5829338081221</v>
      </c>
      <c r="R921" s="18">
        <f>IF($A921&gt;'1-Input'!$B$26,T920,(T920-MAX(0,P891-IF($A921&gt;='1-Input'!$C$12,'1-Input'!$B$12,0))+Q921*(1-'P-Parametri'!$B$6*P921))*(1+'1-Input'!$B$27))</f>
        <v>89973.087355227675</v>
      </c>
      <c r="S921" s="18">
        <f>IF($A921&gt;'1-Input'!$B$26,U920,(U920-Q921)*(1+$D$4))</f>
        <v>23473.009198816497</v>
      </c>
      <c r="T921" s="18">
        <f>IF($A921&gt;'1-Input'!$B$26,R921,R921-'P-Parametri'!$B$8*(S921+R921)+MIN(MAX(S921,0),'P-Parametri'!$B$8*(S921+R921)))</f>
        <v>89973.087355227675</v>
      </c>
      <c r="U921" s="18">
        <f>IF($A921&gt;'1-Input'!$B$26,S921,S921-MIN(MAX(S921,0),'P-Parametri'!$B$8*(S921+R921)))</f>
        <v>23246.117005708409</v>
      </c>
      <c r="V921" s="18">
        <f>IF($A921&gt;'1-Input'!$B$26,V920,V920-Q921*(1-P921))</f>
        <v>6750.9673832649796</v>
      </c>
      <c r="W921" s="11">
        <f>IF($A921&gt;'1-Input'!$B$26,0,IF(AB920&lt;=0,0,MAX(0,(AB920-AC920)/AB920)))</f>
        <v>0.70231336747260187</v>
      </c>
      <c r="X921" s="18">
        <f>IF($A921&gt;'1-Input'!$B$26,0,(MAX(0,W891-IF($A921&gt;='1-Input'!$C$12,'1-Input'!$B$12,0))-MIN(MAX(AA920,0),MAX(0,W891-IF($A921&gt;='1-Input'!$C$12,'1-Input'!$B$12,0))))*(1/(1-'P-Parametri'!$B$6*W921))+MIN(MAX(0,AB920-(MAX(0,W891-IF($A921&gt;='1-Input'!$C$12,'1-Input'!$B$12,0))-MIN(MAX(AA920,0),MAX(0,W891-IF($A921&gt;='1-Input'!$C$12,'1-Input'!$B$12,0))))*(1/(1-'P-Parametri'!$B$6*W921))),MAX(0,5*W891-(AA920-MIN(MAX(AA920,0),MAX(0,W891-IF($A921&gt;='1-Input'!$C$12,'1-Input'!$B$12,0)))))*(1/(1-'P-Parametri'!$B$6*W921))))</f>
        <v>8727.7184673756183</v>
      </c>
      <c r="Y921" s="18">
        <f>IF($A921&gt;'1-Input'!$B$26,AA920,(AA920-MAX(0,W891-IF($A921&gt;='1-Input'!$C$12,'1-Input'!$B$12,0))+X921*(1-'P-Parametri'!$B$6*W921))*(1+'1-Input'!$B$27))</f>
        <v>89245.454371318367</v>
      </c>
      <c r="Z921" s="18">
        <f>IF($A921&gt;'1-Input'!$B$26,AB920,(AB920-X921)*(1+$D$4))</f>
        <v>34085.126461540705</v>
      </c>
      <c r="AA921" s="18">
        <f>IF($A921&gt;'1-Input'!$B$26,Y921,Y921-'P-Parametri'!$B$8*(Z921+Y921)+MIN(MAX(Z921,0),'P-Parametri'!$B$8*(Z921+Y921)))</f>
        <v>89245.454371318367</v>
      </c>
      <c r="AB921" s="18">
        <f>IF($A921&gt;'1-Input'!$B$26,Z921,Z921-MIN(MAX(Z921,0),'P-Parametri'!$B$8*(Z921+Y921)))</f>
        <v>33838.465299874988</v>
      </c>
      <c r="AC921" s="18">
        <f>IF($A921&gt;'1-Input'!$B$26,AC920,AC920-X921*(1-W921))</f>
        <v>9756.4293419293863</v>
      </c>
      <c r="AD921" s="11">
        <f>IF($A921&gt;'1-Input'!$B$26,0,IF(AI920&lt;=0,0,MAX(0,(AI920-AJ920)/AI920)))</f>
        <v>0.70255514687296927</v>
      </c>
      <c r="AE921" s="18">
        <f>IF($A921&gt;'1-Input'!$B$26,0,(MAX(0,AD891-IF($A921&gt;='1-Input'!$C$12,'1-Input'!$B$12,0))-MIN(MAX(AH920,0),MAX(0,AD891-IF($A921&gt;='1-Input'!$C$12,'1-Input'!$B$12,0))))*(1/(1-'P-Parametri'!$B$6*AD921))+MIN(MAX(0,AI920-(MAX(0,AD891-IF($A921&gt;='1-Input'!$C$12,'1-Input'!$B$12,0))-MIN(MAX(AH920,0),MAX(0,AD891-IF($A921&gt;='1-Input'!$C$12,'1-Input'!$B$12,0))))*(1/(1-'P-Parametri'!$B$6*AD921))),MAX(0,5*AD891-(AH920-MIN(MAX(AH920,0),MAX(0,AD891-IF($A921&gt;='1-Input'!$C$12,'1-Input'!$B$12,0)))))*(1/(1-'P-Parametri'!$B$6*AD921))))</f>
        <v>8690.1088572944045</v>
      </c>
      <c r="AF921" s="18">
        <f>IF($A921&gt;'1-Input'!$B$26,AH920,(AH920-MAX(0,AD891-IF($A921&gt;='1-Input'!$C$12,'1-Input'!$B$12,0))+AE921*(1-'P-Parametri'!$B$6*AD921))*(1+'1-Input'!$B$27))</f>
        <v>89092.332146155182</v>
      </c>
      <c r="AG921" s="18">
        <f>IF($A921&gt;'1-Input'!$B$26,AI920,(AI920-AE921)*(1+$D$4))</f>
        <v>36318.938819480616</v>
      </c>
      <c r="AH921" s="18">
        <f>IF($A921&gt;'1-Input'!$B$26,AF921,AF921-'P-Parametri'!$B$8*(AG921+AF921)+MIN(MAX(AG921,0),'P-Parametri'!$B$8*(AG921+AF921)))</f>
        <v>89092.332146155182</v>
      </c>
      <c r="AI921" s="18">
        <f>IF($A921&gt;'1-Input'!$B$26,AG921,AG921-MIN(MAX(AG921,0),'P-Parametri'!$B$8*(AG921+AF921)))</f>
        <v>36068.116277549343</v>
      </c>
      <c r="AJ921" s="18">
        <f>IF($A921&gt;'1-Input'!$B$26,AJ920,AJ920-AE921*(1-AD921))</f>
        <v>10387.3859835481</v>
      </c>
      <c r="AK921" s="11">
        <f>IF($A921&gt;'1-Input'!$B$26,0,IF(AP920&lt;=0,0,MAX(0,(AP920-AQ920)/AP920)))</f>
        <v>0.70254940335387051</v>
      </c>
      <c r="AL921" s="18">
        <f>IF($A921&gt;'1-Input'!$B$26,0,(MAX(0,AK891-IF($A921&gt;='1-Input'!$C$12,'1-Input'!$B$12,0))-MIN(MAX(AO920,0),MAX(0,AK891-IF($A921&gt;='1-Input'!$C$12,'1-Input'!$B$12,0))))*(1/(1-'P-Parametri'!$B$6*AK921))+MIN(MAX(0,AP920-(MAX(0,AK891-IF($A921&gt;='1-Input'!$C$12,'1-Input'!$B$12,0))-MIN(MAX(AO920,0),MAX(0,AK891-IF($A921&gt;='1-Input'!$C$12,'1-Input'!$B$12,0))))*(1/(1-'P-Parametri'!$B$6*AK921))),MAX(0,5*AK891-(AO920-MIN(MAX(AO920,0),MAX(0,AK891-IF($A921&gt;='1-Input'!$C$12,'1-Input'!$B$12,0)))))*(1/(1-'P-Parametri'!$B$6*AK921))))</f>
        <v>8691.0318655454648</v>
      </c>
      <c r="AM921" s="18">
        <f>IF($A921&gt;'1-Input'!$B$26,AO920,(AO920-MAX(0,AK891-IF($A921&gt;='1-Input'!$C$12,'1-Input'!$B$12,0))+AL921*(1-'P-Parametri'!$B$6*AK921))*(1+'1-Input'!$B$27))</f>
        <v>89096.087663925675</v>
      </c>
      <c r="AN921" s="18">
        <f>IF($A921&gt;'1-Input'!$B$26,AP920,(AP920-AL921)*(1+$D$4))</f>
        <v>36264.149555936929</v>
      </c>
      <c r="AO921" s="18">
        <f>IF($A921&gt;'1-Input'!$B$26,AM921,AM921-'P-Parametri'!$B$8*(AN921+AM921)+MIN(MAX(AN921,0),'P-Parametri'!$B$8*(AN921+AM921)))</f>
        <v>89096.087663925675</v>
      </c>
      <c r="AP921" s="18">
        <f>IF($A921&gt;'1-Input'!$B$26,AN921,AN921-MIN(MAX(AN921,0),'P-Parametri'!$B$8*(AN921+AM921)))</f>
        <v>36013.429081497205</v>
      </c>
      <c r="AQ921" s="18">
        <f>IF($A921&gt;'1-Input'!$B$26,AQ920,AQ920-AL921*(1-AK921))</f>
        <v>10371.916271421069</v>
      </c>
    </row>
    <row r="922" spans="1:43">
      <c r="A922" s="10">
        <f>29</f>
        <v>29</v>
      </c>
      <c r="B922" s="11">
        <f>IF($A922&gt;'1-Input'!$B$26,0,IF(G921&lt;=0,0,MAX(0,(G921-H921)/G921)))</f>
        <v>0.71725941811860638</v>
      </c>
      <c r="C922" s="18">
        <f>IF($A922&gt;'1-Input'!$B$26,0,(MAX(0,B891-IF($A922&gt;='1-Input'!$C$12,'1-Input'!$B$12,0))-MIN(MAX(F921,0),MAX(0,B891-IF($A922&gt;='1-Input'!$C$12,'1-Input'!$B$12,0))))*(1/(1-'P-Parametri'!$B$6*B922))+MIN(MAX(0,G921-(MAX(0,B891-IF($A922&gt;='1-Input'!$C$12,'1-Input'!$B$12,0))-MIN(MAX(F921,0),MAX(0,B891-IF($A922&gt;='1-Input'!$C$12,'1-Input'!$B$12,0))))*(1/(1-'P-Parametri'!$B$6*B922))),MAX(0,5*B891-(F921-MIN(MAX(F921,0),MAX(0,B891-IF($A922&gt;='1-Input'!$C$12,'1-Input'!$B$12,0)))))*(1/(1-'P-Parametri'!$B$6*B922))))</f>
        <v>7227.0726505352695</v>
      </c>
      <c r="D922" s="18">
        <f>IF($A922&gt;'1-Input'!$B$26,F921,(F921-MAX(0,B891-IF($A922&gt;='1-Input'!$C$12,'1-Input'!$B$12,0))+C922*(1-'P-Parametri'!$B$6*B922))*(1+'1-Input'!$B$27))</f>
        <v>83105.01757746574</v>
      </c>
      <c r="E922" s="18">
        <f>IF($A922&gt;'1-Input'!$B$26,G921,(G921-C922)*(1+$D$4))</f>
        <v>120747.61432096579</v>
      </c>
      <c r="F922" s="18">
        <f>IF($A922&gt;'1-Input'!$B$26,D922,D922-'P-Parametri'!$B$8*(E922+D922)+MIN(MAX(E922,0),'P-Parametri'!$B$8*(E922+D922)))</f>
        <v>83105.01757746574</v>
      </c>
      <c r="G922" s="18">
        <f>IF($A922&gt;'1-Input'!$B$26,E922,E922-MIN(MAX(E922,0),'P-Parametri'!$B$8*(E922+D922)))</f>
        <v>120339.90905716893</v>
      </c>
      <c r="H922" s="18">
        <f>IF($A922&gt;'1-Input'!$B$26,H921,H921-C922*(1-B922))</f>
        <v>32827.164167211493</v>
      </c>
      <c r="I922" s="11">
        <f>IF($A922&gt;'1-Input'!$B$26,0,IF(N921&lt;=0,0,MAX(0,(N921-O921)/N921)))</f>
        <v>0</v>
      </c>
      <c r="J922" s="18">
        <f>IF($A922&gt;'1-Input'!$B$26,0,(MAX(0,I891-IF($A922&gt;='1-Input'!$C$12,'1-Input'!$B$12,0))-MIN(MAX(M921,0),MAX(0,I891-IF($A922&gt;='1-Input'!$C$12,'1-Input'!$B$12,0))))*(1/(1-'P-Parametri'!$B$6*I922))+MIN(MAX(0,N921-(MAX(0,I891-IF($A922&gt;='1-Input'!$C$12,'1-Input'!$B$12,0))-MIN(MAX(M921,0),MAX(0,I891-IF($A922&gt;='1-Input'!$C$12,'1-Input'!$B$12,0))))*(1/(1-'P-Parametri'!$B$6*I922))),MAX(0,5*I891-(M921-MIN(MAX(M921,0),MAX(0,I891-IF($A922&gt;='1-Input'!$C$12,'1-Input'!$B$12,0)))))*(1/(1-'P-Parametri'!$B$6*I922))))</f>
        <v>10846.756992928691</v>
      </c>
      <c r="K922" s="18">
        <f>IF($A922&gt;'1-Input'!$B$26,M921,(M921-MAX(0,I891-IF($A922&gt;='1-Input'!$C$12,'1-Input'!$B$12,0))+J922*(1-'P-Parametri'!$B$6*I922))*(1+'1-Input'!$B$27))</f>
        <v>0</v>
      </c>
      <c r="L922" s="18">
        <f>IF($A922&gt;'1-Input'!$B$26,N921,(N921-J922)*(1+$D$4))</f>
        <v>-74366.534753144224</v>
      </c>
      <c r="M922" s="18">
        <f>IF($A922&gt;'1-Input'!$B$26,K922,K922-'P-Parametri'!$B$8*(L922+K922)+MIN(MAX(L922,0),'P-Parametri'!$B$8*(L922+K922)))</f>
        <v>0</v>
      </c>
      <c r="N922" s="18">
        <f>IF($A922&gt;'1-Input'!$B$26,L922,L922-MIN(MAX(L922,0),'P-Parametri'!$B$8*(L922+K922)))</f>
        <v>-74217.801683637939</v>
      </c>
      <c r="O922" s="18">
        <f>IF($A922&gt;'1-Input'!$B$26,O921,O921-J922*(1-I922))</f>
        <v>-65026.714064551154</v>
      </c>
      <c r="P922" s="11">
        <f>IF($A922&gt;'1-Input'!$B$26,0,IF(U921&lt;=0,0,MAX(0,(U921-V921)/U921)))</f>
        <v>0.70958730950174675</v>
      </c>
      <c r="Q922" s="18">
        <f>IF($A922&gt;'1-Input'!$B$26,0,(MAX(0,P891-IF($A922&gt;='1-Input'!$C$12,'1-Input'!$B$12,0))-MIN(MAX(T921,0),MAX(0,P891-IF($A922&gt;='1-Input'!$C$12,'1-Input'!$B$12,0))))*(1/(1-'P-Parametri'!$B$6*P922))+MIN(MAX(0,U921-(MAX(0,P891-IF($A922&gt;='1-Input'!$C$12,'1-Input'!$B$12,0))-MIN(MAX(T921,0),MAX(0,P891-IF($A922&gt;='1-Input'!$C$12,'1-Input'!$B$12,0))))*(1/(1-'P-Parametri'!$B$6*P922))),MAX(0,5*P891-(T921-MIN(MAX(T921,0),MAX(0,P891-IF($A922&gt;='1-Input'!$C$12,'1-Input'!$B$12,0)))))*(1/(1-'P-Parametri'!$B$6*P922))))</f>
        <v>8930.276319558554</v>
      </c>
      <c r="R922" s="18">
        <f>IF($A922&gt;'1-Input'!$B$26,T921,(T921-MAX(0,P891-IF($A922&gt;='1-Input'!$C$12,'1-Input'!$B$12,0))+Q922*(1-'P-Parametri'!$B$6*P922))*(1+'1-Input'!$B$27))</f>
        <v>89973.087355227675</v>
      </c>
      <c r="S922" s="18">
        <f>IF($A922&gt;'1-Input'!$B$26,U921,(U921-Q922)*(1+$D$4))</f>
        <v>14888.474313595851</v>
      </c>
      <c r="T922" s="18">
        <f>IF($A922&gt;'1-Input'!$B$26,R922,R922-'P-Parametri'!$B$8*(S922+R922)+MIN(MAX(S922,0),'P-Parametri'!$B$8*(S922+R922)))</f>
        <v>89973.087355227675</v>
      </c>
      <c r="U922" s="18">
        <f>IF($A922&gt;'1-Input'!$B$26,S922,S922-MIN(MAX(S922,0),'P-Parametri'!$B$8*(S922+R922)))</f>
        <v>14678.751190258203</v>
      </c>
      <c r="V922" s="18">
        <f>IF($A922&gt;'1-Input'!$B$26,V921,V921-Q922*(1-P922))</f>
        <v>4157.5018104091414</v>
      </c>
      <c r="W922" s="11">
        <f>IF($A922&gt;'1-Input'!$B$26,0,IF(AB921&lt;=0,0,MAX(0,(AB921-AC921)/AB921)))</f>
        <v>0.71167636429523795</v>
      </c>
      <c r="X922" s="18">
        <f>IF($A922&gt;'1-Input'!$B$26,0,(MAX(0,W891-IF($A922&gt;='1-Input'!$C$12,'1-Input'!$B$12,0))-MIN(MAX(AA921,0),MAX(0,W891-IF($A922&gt;='1-Input'!$C$12,'1-Input'!$B$12,0))))*(1/(1-'P-Parametri'!$B$6*W922))+MIN(MAX(0,AB921-(MAX(0,W891-IF($A922&gt;='1-Input'!$C$12,'1-Input'!$B$12,0))-MIN(MAX(AA921,0),MAX(0,W891-IF($A922&gt;='1-Input'!$C$12,'1-Input'!$B$12,0))))*(1/(1-'P-Parametri'!$B$6*W922))),MAX(0,5*W891-(AA921-MIN(MAX(AA921,0),MAX(0,W891-IF($A922&gt;='1-Input'!$C$12,'1-Input'!$B$12,0)))))*(1/(1-'P-Parametri'!$B$6*W922))))</f>
        <v>8753.7890328053782</v>
      </c>
      <c r="Y922" s="18">
        <f>IF($A922&gt;'1-Input'!$B$26,AA921,(AA921-MAX(0,W891-IF($A922&gt;='1-Input'!$C$12,'1-Input'!$B$12,0))+X922*(1-'P-Parametri'!$B$6*W922))*(1+'1-Input'!$B$27))</f>
        <v>89245.454371318367</v>
      </c>
      <c r="Z922" s="18">
        <f>IF($A922&gt;'1-Input'!$B$26,AB921,(AB921-X922)*(1+$D$4))</f>
        <v>26088.063317752396</v>
      </c>
      <c r="AA922" s="18">
        <f>IF($A922&gt;'1-Input'!$B$26,Y922,Y922-'P-Parametri'!$B$8*(Z922+Y922)+MIN(MAX(Z922,0),'P-Parametri'!$B$8*(Z922+Y922)))</f>
        <v>89245.454371318367</v>
      </c>
      <c r="AB922" s="18">
        <f>IF($A922&gt;'1-Input'!$B$26,Z922,Z922-MIN(MAX(Z922,0),'P-Parametri'!$B$8*(Z922+Y922)))</f>
        <v>25857.396282374255</v>
      </c>
      <c r="AC922" s="18">
        <f>IF($A922&gt;'1-Input'!$B$26,AC921,AC921-X922*(1-W922))</f>
        <v>7232.5050617984671</v>
      </c>
      <c r="AD922" s="11">
        <f>IF($A922&gt;'1-Input'!$B$26,0,IF(AI921&lt;=0,0,MAX(0,(AI921-AJ921)/AI921)))</f>
        <v>0.71200641853276536</v>
      </c>
      <c r="AE922" s="18">
        <f>IF($A922&gt;'1-Input'!$B$26,0,(MAX(0,AD891-IF($A922&gt;='1-Input'!$C$12,'1-Input'!$B$12,0))-MIN(MAX(AH921,0),MAX(0,AD891-IF($A922&gt;='1-Input'!$C$12,'1-Input'!$B$12,0))))*(1/(1-'P-Parametri'!$B$6*AD922))+MIN(MAX(0,AI921-(MAX(0,AD891-IF($A922&gt;='1-Input'!$C$12,'1-Input'!$B$12,0))-MIN(MAX(AH921,0),MAX(0,AD891-IF($A922&gt;='1-Input'!$C$12,'1-Input'!$B$12,0))))*(1/(1-'P-Parametri'!$B$6*AD922))),MAX(0,5*AD891-(AH921-MIN(MAX(AH921,0),MAX(0,AD891-IF($A922&gt;='1-Input'!$C$12,'1-Input'!$B$12,0)))))*(1/(1-'P-Parametri'!$B$6*AD922))))</f>
        <v>8716.3145739877746</v>
      </c>
      <c r="AF922" s="18">
        <f>IF($A922&gt;'1-Input'!$B$26,AH921,(AH921-MAX(0,AD891-IF($A922&gt;='1-Input'!$C$12,'1-Input'!$B$12,0))+AE922*(1-'P-Parametri'!$B$6*AD922))*(1+'1-Input'!$B$27))</f>
        <v>89092.332146155182</v>
      </c>
      <c r="AG922" s="18">
        <f>IF($A922&gt;'1-Input'!$B$26,AI921,(AI921-AE922)*(1+$D$4))</f>
        <v>28445.873771704035</v>
      </c>
      <c r="AH922" s="18">
        <f>IF($A922&gt;'1-Input'!$B$26,AF922,AF922-'P-Parametri'!$B$8*(AG922+AF922)+MIN(MAX(AG922,0),'P-Parametri'!$B$8*(AG922+AF922)))</f>
        <v>89092.332146155182</v>
      </c>
      <c r="AI922" s="18">
        <f>IF($A922&gt;'1-Input'!$B$26,AG922,AG922-MIN(MAX(AG922,0),'P-Parametri'!$B$8*(AG922+AF922)))</f>
        <v>28210.797359868317</v>
      </c>
      <c r="AJ922" s="18">
        <f>IF($A922&gt;'1-Input'!$B$26,AJ921,AJ921-AE922*(1-AD922))</f>
        <v>7877.1433321903078</v>
      </c>
      <c r="AK922" s="11">
        <f>IF($A922&gt;'1-Input'!$B$26,0,IF(AP921&lt;=0,0,MAX(0,(AP921-AQ921)/AP921)))</f>
        <v>0.71199864783912237</v>
      </c>
      <c r="AL922" s="18">
        <f>IF($A922&gt;'1-Input'!$B$26,0,(MAX(0,AK891-IF($A922&gt;='1-Input'!$C$12,'1-Input'!$B$12,0))-MIN(MAX(AO921,0),MAX(0,AK891-IF($A922&gt;='1-Input'!$C$12,'1-Input'!$B$12,0))))*(1/(1-'P-Parametri'!$B$6*AK922))+MIN(MAX(0,AP921-(MAX(0,AK891-IF($A922&gt;='1-Input'!$C$12,'1-Input'!$B$12,0))-MIN(MAX(AO921,0),MAX(0,AK891-IF($A922&gt;='1-Input'!$C$12,'1-Input'!$B$12,0))))*(1/(1-'P-Parametri'!$B$6*AK922))),MAX(0,5*AK891-(AO921-MIN(MAX(AO921,0),MAX(0,AK891-IF($A922&gt;='1-Input'!$C$12,'1-Input'!$B$12,0)))))*(1/(1-'P-Parametri'!$B$6*AK922))))</f>
        <v>8717.2346792959797</v>
      </c>
      <c r="AM922" s="18">
        <f>IF($A922&gt;'1-Input'!$B$26,AO921,(AO921-MAX(0,AK891-IF($A922&gt;='1-Input'!$C$12,'1-Input'!$B$12,0))+AL922*(1-'P-Parametri'!$B$6*AK922))*(1+'1-Input'!$B$27))</f>
        <v>89096.087663925675</v>
      </c>
      <c r="AN922" s="18">
        <f>IF($A922&gt;'1-Input'!$B$26,AP921,(AP921-AL922)*(1+$D$4))</f>
        <v>28388.042178289274</v>
      </c>
      <c r="AO922" s="18">
        <f>IF($A922&gt;'1-Input'!$B$26,AM922,AM922-'P-Parametri'!$B$8*(AN922+AM922)+MIN(MAX(AN922,0),'P-Parametri'!$B$8*(AN922+AM922)))</f>
        <v>89096.087663925675</v>
      </c>
      <c r="AP922" s="18">
        <f>IF($A922&gt;'1-Input'!$B$26,AN922,AN922-MIN(MAX(AN922,0),'P-Parametri'!$B$8*(AN922+AM922)))</f>
        <v>28153.073918604845</v>
      </c>
      <c r="AQ922" s="18">
        <f>IF($A922&gt;'1-Input'!$B$26,AQ921,AQ921-AL922*(1-AK922))</f>
        <v>7861.3408966801326</v>
      </c>
    </row>
    <row r="923" spans="1:43">
      <c r="A923" s="10">
        <f>30</f>
        <v>30</v>
      </c>
      <c r="B923" s="11">
        <f>IF($A923&gt;'1-Input'!$B$26,0,IF(G922&lt;=0,0,MAX(0,(G922-H922)/G922)))</f>
        <v>0.72721298840589488</v>
      </c>
      <c r="C923" s="18">
        <f>IF($A923&gt;'1-Input'!$B$26,0,(MAX(0,B891-IF($A923&gt;='1-Input'!$C$12,'1-Input'!$B$12,0))-MIN(MAX(F922,0),MAX(0,B891-IF($A923&gt;='1-Input'!$C$12,'1-Input'!$B$12,0))))*(1/(1-'P-Parametri'!$B$6*B923))+MIN(MAX(0,G922-(MAX(0,B891-IF($A923&gt;='1-Input'!$C$12,'1-Input'!$B$12,0))-MIN(MAX(F922,0),MAX(0,B891-IF($A923&gt;='1-Input'!$C$12,'1-Input'!$B$12,0))))*(1/(1-'P-Parametri'!$B$6*B923))),MAX(0,5*B891-(F922-MIN(MAX(F922,0),MAX(0,B891-IF($A923&gt;='1-Input'!$C$12,'1-Input'!$B$12,0)))))*(1/(1-'P-Parametri'!$B$6*B923))))</f>
        <v>7250.1366260575187</v>
      </c>
      <c r="D923" s="18">
        <f>IF($A923&gt;'1-Input'!$B$26,F922,(F922-MAX(0,B891-IF($A923&gt;='1-Input'!$C$12,'1-Input'!$B$12,0))+C923*(1-'P-Parametri'!$B$6*B923))*(1+'1-Input'!$B$27))</f>
        <v>83105.01757746574</v>
      </c>
      <c r="E923" s="18">
        <f>IF($A923&gt;'1-Input'!$B$26,G922,(G922-C923)*(1+$D$4))</f>
        <v>117613.36332835587</v>
      </c>
      <c r="F923" s="18">
        <f>IF($A923&gt;'1-Input'!$B$26,D923,D923-'P-Parametri'!$B$8*(E923+D923)+MIN(MAX(E923,0),'P-Parametri'!$B$8*(E923+D923)))</f>
        <v>83105.01757746574</v>
      </c>
      <c r="G923" s="18">
        <f>IF($A923&gt;'1-Input'!$B$26,E923,E923-MIN(MAX(E923,0),'P-Parametri'!$B$8*(E923+D923)))</f>
        <v>117211.92656654424</v>
      </c>
      <c r="H923" s="18">
        <f>IF($A923&gt;'1-Input'!$B$26,H922,H922-C923*(1-B923))</f>
        <v>30849.421063340294</v>
      </c>
      <c r="I923" s="11">
        <f>IF($A923&gt;'1-Input'!$B$26,0,IF(N922&lt;=0,0,MAX(0,(N922-O922)/N922)))</f>
        <v>0</v>
      </c>
      <c r="J923" s="18">
        <f>IF($A923&gt;'1-Input'!$B$26,0,(MAX(0,I891-IF($A923&gt;='1-Input'!$C$12,'1-Input'!$B$12,0))-MIN(MAX(M922,0),MAX(0,I891-IF($A923&gt;='1-Input'!$C$12,'1-Input'!$B$12,0))))*(1/(1-'P-Parametri'!$B$6*I923))+MIN(MAX(0,N922-(MAX(0,I891-IF($A923&gt;='1-Input'!$C$12,'1-Input'!$B$12,0))-MIN(MAX(M922,0),MAX(0,I891-IF($A923&gt;='1-Input'!$C$12,'1-Input'!$B$12,0))))*(1/(1-'P-Parametri'!$B$6*I923))),MAX(0,5*I891-(M922-MIN(MAX(M922,0),MAX(0,I891-IF($A923&gt;='1-Input'!$C$12,'1-Input'!$B$12,0)))))*(1/(1-'P-Parametri'!$B$6*I923))))</f>
        <v>10846.756992928691</v>
      </c>
      <c r="K923" s="18">
        <f>IF($A923&gt;'1-Input'!$B$26,M922,(M922-MAX(0,I891-IF($A923&gt;='1-Input'!$C$12,'1-Input'!$B$12,0))+J923*(1-'P-Parametri'!$B$6*I923))*(1+'1-Input'!$B$27))</f>
        <v>0</v>
      </c>
      <c r="L923" s="18">
        <f>IF($A923&gt;'1-Input'!$B$26,N922,(N922-J923)*(1+$D$4))</f>
        <v>-88467.141023629301</v>
      </c>
      <c r="M923" s="18">
        <f>IF($A923&gt;'1-Input'!$B$26,K923,K923-'P-Parametri'!$B$8*(L923+K923)+MIN(MAX(L923,0),'P-Parametri'!$B$8*(L923+K923)))</f>
        <v>0</v>
      </c>
      <c r="N923" s="18">
        <f>IF($A923&gt;'1-Input'!$B$26,L923,L923-MIN(MAX(L923,0),'P-Parametri'!$B$8*(L923+K923)))</f>
        <v>-88290.206741582049</v>
      </c>
      <c r="O923" s="18">
        <f>IF($A923&gt;'1-Input'!$B$26,O922,O922-J923*(1-I923))</f>
        <v>-75873.471057479852</v>
      </c>
      <c r="P923" s="11">
        <f>IF($A923&gt;'1-Input'!$B$26,0,IF(U922&lt;=0,0,MAX(0,(U922-V922)/U922)))</f>
        <v>0.71676733555042904</v>
      </c>
      <c r="Q923" s="18">
        <f>IF($A923&gt;'1-Input'!$B$26,0,(MAX(0,P891-IF($A923&gt;='1-Input'!$C$12,'1-Input'!$B$12,0))-MIN(MAX(T922,0),MAX(0,P891-IF($A923&gt;='1-Input'!$C$12,'1-Input'!$B$12,0))))*(1/(1-'P-Parametri'!$B$6*P923))+MIN(MAX(0,U922-(MAX(0,P891-IF($A923&gt;='1-Input'!$C$12,'1-Input'!$B$12,0))-MIN(MAX(T922,0),MAX(0,P891-IF($A923&gt;='1-Input'!$C$12,'1-Input'!$B$12,0))))*(1/(1-'P-Parametri'!$B$6*P923))),MAX(0,5*P891-(T922-MIN(MAX(T922,0),MAX(0,P891-IF($A923&gt;='1-Input'!$C$12,'1-Input'!$B$12,0)))))*(1/(1-'P-Parametri'!$B$6*P923))))</f>
        <v>8950.765836075323</v>
      </c>
      <c r="R923" s="18">
        <f>IF($A923&gt;'1-Input'!$B$26,T922,(T922-MAX(0,P891-IF($A923&gt;='1-Input'!$C$12,'1-Input'!$B$12,0))+Q923*(1-'P-Parametri'!$B$6*P923))*(1+'1-Input'!$B$27))</f>
        <v>89973.087355227675</v>
      </c>
      <c r="S923" s="18">
        <f>IF($A923&gt;'1-Input'!$B$26,U922,(U922-Q923)*(1+$D$4))</f>
        <v>5957.1047683501947</v>
      </c>
      <c r="T923" s="18">
        <f>IF($A923&gt;'1-Input'!$B$26,R923,R923-'P-Parametri'!$B$8*(S923+R923)+MIN(MAX(S923,0),'P-Parametri'!$B$8*(S923+R923)))</f>
        <v>89973.087355227675</v>
      </c>
      <c r="U923" s="18">
        <f>IF($A923&gt;'1-Input'!$B$26,S923,S923-MIN(MAX(S923,0),'P-Parametri'!$B$8*(S923+R923)))</f>
        <v>5765.244384103039</v>
      </c>
      <c r="V923" s="18">
        <f>IF($A923&gt;'1-Input'!$B$26,V922,V922-Q923*(1-P923))</f>
        <v>1622.352553793336</v>
      </c>
      <c r="W923" s="11">
        <f>IF($A923&gt;'1-Input'!$B$26,0,IF(AB922&lt;=0,0,MAX(0,(AB922-AC922)/AB922)))</f>
        <v>0.72029260089390679</v>
      </c>
      <c r="X923" s="18">
        <f>IF($A923&gt;'1-Input'!$B$26,0,(MAX(0,W891-IF($A923&gt;='1-Input'!$C$12,'1-Input'!$B$12,0))-MIN(MAX(AA922,0),MAX(0,W891-IF($A923&gt;='1-Input'!$C$12,'1-Input'!$B$12,0))))*(1/(1-'P-Parametri'!$B$6*W923))+MIN(MAX(0,AB922-(MAX(0,W891-IF($A923&gt;='1-Input'!$C$12,'1-Input'!$B$12,0))-MIN(MAX(AA922,0),MAX(0,W891-IF($A923&gt;='1-Input'!$C$12,'1-Input'!$B$12,0))))*(1/(1-'P-Parametri'!$B$6*W923))),MAX(0,5*W891-(AA922-MIN(MAX(AA922,0),MAX(0,W891-IF($A923&gt;='1-Input'!$C$12,'1-Input'!$B$12,0)))))*(1/(1-'P-Parametri'!$B$6*W923))))</f>
        <v>8777.9182923993085</v>
      </c>
      <c r="Y923" s="18">
        <f>IF($A923&gt;'1-Input'!$B$26,AA922,(AA922-MAX(0,W891-IF($A923&gt;='1-Input'!$C$12,'1-Input'!$B$12,0))+X923*(1-'P-Parametri'!$B$6*W923))*(1+'1-Input'!$B$27))</f>
        <v>89245.454371318367</v>
      </c>
      <c r="Z923" s="18">
        <f>IF($A923&gt;'1-Input'!$B$26,AB922,(AB922-X923)*(1+$D$4))</f>
        <v>17762.657109573945</v>
      </c>
      <c r="AA923" s="18">
        <f>IF($A923&gt;'1-Input'!$B$26,Y923,Y923-'P-Parametri'!$B$8*(Z923+Y923)+MIN(MAX(Z923,0),'P-Parametri'!$B$8*(Z923+Y923)))</f>
        <v>89245.454371318367</v>
      </c>
      <c r="AB923" s="18">
        <f>IF($A923&gt;'1-Input'!$B$26,Z923,Z923-MIN(MAX(Z923,0),'P-Parametri'!$B$8*(Z923+Y923)))</f>
        <v>17548.64088661216</v>
      </c>
      <c r="AC923" s="18">
        <f>IF($A923&gt;'1-Input'!$B$26,AC922,AC922-X923*(1-W923))</f>
        <v>4777.256366665657</v>
      </c>
      <c r="AD923" s="11">
        <f>IF($A923&gt;'1-Input'!$B$26,0,IF(AI922&lt;=0,0,MAX(0,(AI922-AJ922)/AI922)))</f>
        <v>0.72077558703122457</v>
      </c>
      <c r="AE923" s="18">
        <f>IF($A923&gt;'1-Input'!$B$26,0,(MAX(0,AD891-IF($A923&gt;='1-Input'!$C$12,'1-Input'!$B$12,0))-MIN(MAX(AH922,0),MAX(0,AD891-IF($A923&gt;='1-Input'!$C$12,'1-Input'!$B$12,0))))*(1/(1-'P-Parametri'!$B$6*AD923))+MIN(MAX(0,AI922-(MAX(0,AD891-IF($A923&gt;='1-Input'!$C$12,'1-Input'!$B$12,0))-MIN(MAX(AH922,0),MAX(0,AD891-IF($A923&gt;='1-Input'!$C$12,'1-Input'!$B$12,0))))*(1/(1-'P-Parametri'!$B$6*AD923))),MAX(0,5*AD891-(AH922-MIN(MAX(AH922,0),MAX(0,AD891-IF($A923&gt;='1-Input'!$C$12,'1-Input'!$B$12,0)))))*(1/(1-'P-Parametri'!$B$6*AD923))))</f>
        <v>8740.7707597188182</v>
      </c>
      <c r="AF923" s="18">
        <f>IF($A923&gt;'1-Input'!$B$26,AH922,(AH922-MAX(0,AD891-IF($A923&gt;='1-Input'!$C$12,'1-Input'!$B$12,0))+AE923*(1-'P-Parametri'!$B$6*AD923))*(1+'1-Input'!$B$27))</f>
        <v>89092.332146155182</v>
      </c>
      <c r="AG923" s="18">
        <f>IF($A923&gt;'1-Input'!$B$26,AI922,(AI922-AE923)*(1+$D$4))</f>
        <v>20248.827664155477</v>
      </c>
      <c r="AH923" s="18">
        <f>IF($A923&gt;'1-Input'!$B$26,AF923,AF923-'P-Parametri'!$B$8*(AG923+AF923)+MIN(MAX(AG923,0),'P-Parametri'!$B$8*(AG923+AF923)))</f>
        <v>89092.332146155182</v>
      </c>
      <c r="AI923" s="18">
        <f>IF($A923&gt;'1-Input'!$B$26,AG923,AG923-MIN(MAX(AG923,0),'P-Parametri'!$B$8*(AG923+AF923)))</f>
        <v>20030.145344534856</v>
      </c>
      <c r="AJ923" s="18">
        <f>IF($A923&gt;'1-Input'!$B$26,AJ922,AJ922-AE923*(1-AD923))</f>
        <v>5436.5067479131831</v>
      </c>
      <c r="AK923" s="11">
        <f>IF($A923&gt;'1-Input'!$B$26,0,IF(AP922&lt;=0,0,MAX(0,(AP922-AQ922)/AP922)))</f>
        <v>0.720764385466093</v>
      </c>
      <c r="AL923" s="18">
        <f>IF($A923&gt;'1-Input'!$B$26,0,(MAX(0,AK891-IF($A923&gt;='1-Input'!$C$12,'1-Input'!$B$12,0))-MIN(MAX(AO922,0),MAX(0,AK891-IF($A923&gt;='1-Input'!$C$12,'1-Input'!$B$12,0))))*(1/(1-'P-Parametri'!$B$6*AK923))+MIN(MAX(0,AP922-(MAX(0,AK891-IF($A923&gt;='1-Input'!$C$12,'1-Input'!$B$12,0))-MIN(MAX(AO922,0),MAX(0,AK891-IF($A923&gt;='1-Input'!$C$12,'1-Input'!$B$12,0))))*(1/(1-'P-Parametri'!$B$6*AK923))),MAX(0,5*AK891-(AO922-MIN(MAX(AO922,0),MAX(0,AK891-IF($A923&gt;='1-Input'!$C$12,'1-Input'!$B$12,0)))))*(1/(1-'P-Parametri'!$B$6*AK923))))</f>
        <v>8741.683789716486</v>
      </c>
      <c r="AM923" s="18">
        <f>IF($A923&gt;'1-Input'!$B$26,AO922,(AO922-MAX(0,AK891-IF($A923&gt;='1-Input'!$C$12,'1-Input'!$B$12,0))+AL923*(1-'P-Parametri'!$B$6*AK923))*(1+'1-Input'!$B$27))</f>
        <v>89096.087663925675</v>
      </c>
      <c r="AN923" s="18">
        <f>IF($A923&gt;'1-Input'!$B$26,AP922,(AP922-AL923)*(1+$D$4))</f>
        <v>20187.845734043891</v>
      </c>
      <c r="AO923" s="18">
        <f>IF($A923&gt;'1-Input'!$B$26,AM923,AM923-'P-Parametri'!$B$8*(AN923+AM923)+MIN(MAX(AN923,0),'P-Parametri'!$B$8*(AN923+AM923)))</f>
        <v>89096.087663925675</v>
      </c>
      <c r="AP923" s="18">
        <f>IF($A923&gt;'1-Input'!$B$26,AN923,AN923-MIN(MAX(AN923,0),'P-Parametri'!$B$8*(AN923+AM923)))</f>
        <v>19969.277867247951</v>
      </c>
      <c r="AQ923" s="18">
        <f>IF($A923&gt;'1-Input'!$B$26,AQ922,AQ922-AL923*(1-AK923))</f>
        <v>5420.3514515975567</v>
      </c>
    </row>
    <row r="924" spans="1:43">
      <c r="A924" s="10">
        <f>31</f>
        <v>31</v>
      </c>
      <c r="B924" s="11">
        <f>IF($A924&gt;'1-Input'!$B$26,0,IF(G923&lt;=0,0,MAX(0,(G923-H923)/G923)))</f>
        <v>0.73680646699526531</v>
      </c>
      <c r="C924" s="18">
        <f>IF($A924&gt;'1-Input'!$B$26,0,(MAX(0,B891-IF($A924&gt;='1-Input'!$C$12,'1-Input'!$B$12,0))-MIN(MAX(F923,0),MAX(0,B891-IF($A924&gt;='1-Input'!$C$12,'1-Input'!$B$12,0))))*(1/(1-'P-Parametri'!$B$6*B924))+MIN(MAX(0,G923-(MAX(0,B891-IF($A924&gt;='1-Input'!$C$12,'1-Input'!$B$12,0))-MIN(MAX(F923,0),MAX(0,B891-IF($A924&gt;='1-Input'!$C$12,'1-Input'!$B$12,0))))*(1/(1-'P-Parametri'!$B$6*B924))),MAX(0,5*B891-(F923-MIN(MAX(F923,0),MAX(0,B891-IF($A924&gt;='1-Input'!$C$12,'1-Input'!$B$12,0)))))*(1/(1-'P-Parametri'!$B$6*B924))))</f>
        <v>7272.5059602008505</v>
      </c>
      <c r="D924" s="18">
        <f>IF($A924&gt;'1-Input'!$B$26,F923,(F923-MAX(0,B891-IF($A924&gt;='1-Input'!$C$12,'1-Input'!$B$12,0))+C924*(1-'P-Parametri'!$B$6*B924))*(1+'1-Input'!$B$27))</f>
        <v>83105.01757746574</v>
      </c>
      <c r="E924" s="18">
        <f>IF($A924&gt;'1-Input'!$B$26,G923,(G923-C924)*(1+$D$4))</f>
        <v>114336.99743059713</v>
      </c>
      <c r="F924" s="18">
        <f>IF($A924&gt;'1-Input'!$B$26,D924,D924-'P-Parametri'!$B$8*(E924+D924)+MIN(MAX(E924,0),'P-Parametri'!$B$8*(E924+D924)))</f>
        <v>83105.01757746574</v>
      </c>
      <c r="G924" s="18">
        <f>IF($A924&gt;'1-Input'!$B$26,E924,E924-MIN(MAX(E924,0),'P-Parametri'!$B$8*(E924+D924)))</f>
        <v>113942.113400581</v>
      </c>
      <c r="H924" s="18">
        <f>IF($A924&gt;'1-Input'!$B$26,H923,H923-C924*(1-B924))</f>
        <v>28935.344525877041</v>
      </c>
      <c r="I924" s="11">
        <f>IF($A924&gt;'1-Input'!$B$26,0,IF(N923&lt;=0,0,MAX(0,(N923-O923)/N923)))</f>
        <v>0</v>
      </c>
      <c r="J924" s="18">
        <f>IF($A924&gt;'1-Input'!$B$26,0,(MAX(0,I891-IF($A924&gt;='1-Input'!$C$12,'1-Input'!$B$12,0))-MIN(MAX(M923,0),MAX(0,I891-IF($A924&gt;='1-Input'!$C$12,'1-Input'!$B$12,0))))*(1/(1-'P-Parametri'!$B$6*I924))+MIN(MAX(0,N923-(MAX(0,I891-IF($A924&gt;='1-Input'!$C$12,'1-Input'!$B$12,0))-MIN(MAX(M923,0),MAX(0,I891-IF($A924&gt;='1-Input'!$C$12,'1-Input'!$B$12,0))))*(1/(1-'P-Parametri'!$B$6*I924))),MAX(0,5*I891-(M923-MIN(MAX(M923,0),MAX(0,I891-IF($A924&gt;='1-Input'!$C$12,'1-Input'!$B$12,0)))))*(1/(1-'P-Parametri'!$B$6*I924))))</f>
        <v>10846.756992928691</v>
      </c>
      <c r="K924" s="18">
        <f>IF($A924&gt;'1-Input'!$B$26,M923,(M923-MAX(0,I891-IF($A924&gt;='1-Input'!$C$12,'1-Input'!$B$12,0))+J924*(1-'P-Parametri'!$B$6*I924))*(1+'1-Input'!$B$27))</f>
        <v>0</v>
      </c>
      <c r="L924" s="18">
        <f>IF($A924&gt;'1-Input'!$B$26,N923,(N923-J924)*(1+$D$4))</f>
        <v>-103102.44228389117</v>
      </c>
      <c r="M924" s="18">
        <f>IF($A924&gt;'1-Input'!$B$26,K924,K924-'P-Parametri'!$B$8*(L924+K924)+MIN(MAX(L924,0),'P-Parametri'!$B$8*(L924+K924)))</f>
        <v>0</v>
      </c>
      <c r="N924" s="18">
        <f>IF($A924&gt;'1-Input'!$B$26,L924,L924-MIN(MAX(L924,0),'P-Parametri'!$B$8*(L924+K924)))</f>
        <v>-102896.23739932339</v>
      </c>
      <c r="O924" s="18">
        <f>IF($A924&gt;'1-Input'!$B$26,O923,O923-J924*(1-I924))</f>
        <v>-86720.228050408536</v>
      </c>
      <c r="P924" s="11">
        <f>IF($A924&gt;'1-Input'!$B$26,0,IF(U923&lt;=0,0,MAX(0,(U923-V923)/U923)))</f>
        <v>0.71859778255597007</v>
      </c>
      <c r="Q924" s="18">
        <f>IF($A924&gt;'1-Input'!$B$26,0,(MAX(0,P891-IF($A924&gt;='1-Input'!$C$12,'1-Input'!$B$12,0))-MIN(MAX(T923,0),MAX(0,P891-IF($A924&gt;='1-Input'!$C$12,'1-Input'!$B$12,0))))*(1/(1-'P-Parametri'!$B$6*P924))+MIN(MAX(0,U923-(MAX(0,P891-IF($A924&gt;='1-Input'!$C$12,'1-Input'!$B$12,0))-MIN(MAX(T923,0),MAX(0,P891-IF($A924&gt;='1-Input'!$C$12,'1-Input'!$B$12,0))))*(1/(1-'P-Parametri'!$B$6*P924))),MAX(0,5*P891-(T923-MIN(MAX(T923,0),MAX(0,P891-IF($A924&gt;='1-Input'!$C$12,'1-Input'!$B$12,0)))))*(1/(1-'P-Parametri'!$B$6*P924))))</f>
        <v>5765.244384103039</v>
      </c>
      <c r="R924" s="18">
        <f>IF($A924&gt;'1-Input'!$B$26,T923,(T923-MAX(0,P891-IF($A924&gt;='1-Input'!$C$12,'1-Input'!$B$12,0))+Q924*(1-'P-Parametri'!$B$6*P924))*(1+'1-Input'!$B$27))</f>
        <v>87387.814944896236</v>
      </c>
      <c r="S924" s="18">
        <f>IF($A924&gt;'1-Input'!$B$26,U923,(U923-Q924)*(1+$D$4))</f>
        <v>0</v>
      </c>
      <c r="T924" s="18">
        <f>IF($A924&gt;'1-Input'!$B$26,R924,R924-'P-Parametri'!$B$8*(S924+R924)+MIN(MAX(S924,0),'P-Parametri'!$B$8*(S924+R924)))</f>
        <v>87213.039315006448</v>
      </c>
      <c r="U924" s="18">
        <f>IF($A924&gt;'1-Input'!$B$26,S924,S924-MIN(MAX(S924,0),'P-Parametri'!$B$8*(S924+R924)))</f>
        <v>0</v>
      </c>
      <c r="V924" s="18">
        <f>IF($A924&gt;'1-Input'!$B$26,V923,V923-Q924*(1-P924))</f>
        <v>2.2737367544323206E-13</v>
      </c>
      <c r="W924" s="11">
        <f>IF($A924&gt;'1-Input'!$B$26,0,IF(AB923&lt;=0,0,MAX(0,(AB923-AC923)/AB923)))</f>
        <v>0.72777057793061228</v>
      </c>
      <c r="X924" s="18">
        <f>IF($A924&gt;'1-Input'!$B$26,0,(MAX(0,W891-IF($A924&gt;='1-Input'!$C$12,'1-Input'!$B$12,0))-MIN(MAX(AA923,0),MAX(0,W891-IF($A924&gt;='1-Input'!$C$12,'1-Input'!$B$12,0))))*(1/(1-'P-Parametri'!$B$6*W924))+MIN(MAX(0,AB923-(MAX(0,W891-IF($A924&gt;='1-Input'!$C$12,'1-Input'!$B$12,0))-MIN(MAX(AA923,0),MAX(0,W891-IF($A924&gt;='1-Input'!$C$12,'1-Input'!$B$12,0))))*(1/(1-'P-Parametri'!$B$6*W924))),MAX(0,5*W891-(AA923-MIN(MAX(AA923,0),MAX(0,W891-IF($A924&gt;='1-Input'!$C$12,'1-Input'!$B$12,0)))))*(1/(1-'P-Parametri'!$B$6*W924))))</f>
        <v>8798.9680049505296</v>
      </c>
      <c r="Y924" s="18">
        <f>IF($A924&gt;'1-Input'!$B$26,AA923,(AA923-MAX(0,W891-IF($A924&gt;='1-Input'!$C$12,'1-Input'!$B$12,0))+X924*(1-'P-Parametri'!$B$6*W924))*(1+'1-Input'!$B$27))</f>
        <v>89245.454371318367</v>
      </c>
      <c r="Z924" s="18">
        <f>IF($A924&gt;'1-Input'!$B$26,AB923,(AB923-X924)*(1+$D$4))</f>
        <v>9099.6597969280956</v>
      </c>
      <c r="AA924" s="18">
        <f>IF($A924&gt;'1-Input'!$B$26,Y924,Y924-'P-Parametri'!$B$8*(Z924+Y924)+MIN(MAX(Z924,0),'P-Parametri'!$B$8*(Z924+Y924)))</f>
        <v>89245.454371318367</v>
      </c>
      <c r="AB924" s="18">
        <f>IF($A924&gt;'1-Input'!$B$26,Z924,Z924-MIN(MAX(Z924,0),'P-Parametri'!$B$8*(Z924+Y924)))</f>
        <v>8902.9695685916031</v>
      </c>
      <c r="AC924" s="18">
        <f>IF($A924&gt;'1-Input'!$B$26,AC923,AC923-X924*(1-W924))</f>
        <v>2381.9183918709409</v>
      </c>
      <c r="AD924" s="11">
        <f>IF($A924&gt;'1-Input'!$B$26,0,IF(AI923&lt;=0,0,MAX(0,(AI923-AJ923)/AI923)))</f>
        <v>0.72858375940858999</v>
      </c>
      <c r="AE924" s="18">
        <f>IF($A924&gt;'1-Input'!$B$26,0,(MAX(0,AD891-IF($A924&gt;='1-Input'!$C$12,'1-Input'!$B$12,0))-MIN(MAX(AH923,0),MAX(0,AD891-IF($A924&gt;='1-Input'!$C$12,'1-Input'!$B$12,0))))*(1/(1-'P-Parametri'!$B$6*AD924))+MIN(MAX(0,AI923-(MAX(0,AD891-IF($A924&gt;='1-Input'!$C$12,'1-Input'!$B$12,0))-MIN(MAX(AH923,0),MAX(0,AD891-IF($A924&gt;='1-Input'!$C$12,'1-Input'!$B$12,0))))*(1/(1-'P-Parametri'!$B$6*AD924))),MAX(0,5*AD891-(AH923-MIN(MAX(AH923,0),MAX(0,AD891-IF($A924&gt;='1-Input'!$C$12,'1-Input'!$B$12,0)))))*(1/(1-'P-Parametri'!$B$6*AD924))))</f>
        <v>8762.6626315625654</v>
      </c>
      <c r="AF924" s="18">
        <f>IF($A924&gt;'1-Input'!$B$26,AH923,(AH923-MAX(0,AD891-IF($A924&gt;='1-Input'!$C$12,'1-Input'!$B$12,0))+AE924*(1-'P-Parametri'!$B$6*AD924))*(1+'1-Input'!$B$27))</f>
        <v>89092.332146155182</v>
      </c>
      <c r="AG924" s="18">
        <f>IF($A924&gt;'1-Input'!$B$26,AI923,(AI923-AE924)*(1+$D$4))</f>
        <v>11718.182021491182</v>
      </c>
      <c r="AH924" s="18">
        <f>IF($A924&gt;'1-Input'!$B$26,AF924,AF924-'P-Parametri'!$B$8*(AG924+AF924)+MIN(MAX(AG924,0),'P-Parametri'!$B$8*(AG924+AF924)))</f>
        <v>89092.332146155182</v>
      </c>
      <c r="AI924" s="18">
        <f>IF($A924&gt;'1-Input'!$B$26,AG924,AG924-MIN(MAX(AG924,0),'P-Parametri'!$B$8*(AG924+AF924)))</f>
        <v>11516.56099315589</v>
      </c>
      <c r="AJ924" s="18">
        <f>IF($A924&gt;'1-Input'!$B$26,AJ923,AJ923-AE924*(1-AD924))</f>
        <v>3058.1777988836398</v>
      </c>
      <c r="AK924" s="11">
        <f>IF($A924&gt;'1-Input'!$B$26,0,IF(AP923&lt;=0,0,MAX(0,(AP923-AQ923)/AP923)))</f>
        <v>0.72856547504466385</v>
      </c>
      <c r="AL924" s="18">
        <f>IF($A924&gt;'1-Input'!$B$26,0,(MAX(0,AK891-IF($A924&gt;='1-Input'!$C$12,'1-Input'!$B$12,0))-MIN(MAX(AO923,0),MAX(0,AK891-IF($A924&gt;='1-Input'!$C$12,'1-Input'!$B$12,0))))*(1/(1-'P-Parametri'!$B$6*AK924))+MIN(MAX(0,AP923-(MAX(0,AK891-IF($A924&gt;='1-Input'!$C$12,'1-Input'!$B$12,0))-MIN(MAX(AO923,0),MAX(0,AK891-IF($A924&gt;='1-Input'!$C$12,'1-Input'!$B$12,0))))*(1/(1-'P-Parametri'!$B$6*AK924))),MAX(0,5*AK891-(AO923-MIN(MAX(AO923,0),MAX(0,AK891-IF($A924&gt;='1-Input'!$C$12,'1-Input'!$B$12,0)))))*(1/(1-'P-Parametri'!$B$6*AK924))))</f>
        <v>8763.5579598099739</v>
      </c>
      <c r="AM924" s="18">
        <f>IF($A924&gt;'1-Input'!$B$26,AO923,(AO923-MAX(0,AK891-IF($A924&gt;='1-Input'!$C$12,'1-Input'!$B$12,0))+AL924*(1-'P-Parametri'!$B$6*AK924))*(1+'1-Input'!$B$27))</f>
        <v>89096.087663925675</v>
      </c>
      <c r="AN924" s="18">
        <f>IF($A924&gt;'1-Input'!$B$26,AP923,(AP923-AL924)*(1+$D$4))</f>
        <v>11653.948703735496</v>
      </c>
      <c r="AO924" s="18">
        <f>IF($A924&gt;'1-Input'!$B$26,AM924,AM924-'P-Parametri'!$B$8*(AN924+AM924)+MIN(MAX(AN924,0),'P-Parametri'!$B$8*(AN924+AM924)))</f>
        <v>89096.087663925675</v>
      </c>
      <c r="AP924" s="18">
        <f>IF($A924&gt;'1-Input'!$B$26,AN924,AN924-MIN(MAX(AN924,0),'P-Parametri'!$B$8*(AN924+AM924)))</f>
        <v>11452.448631000174</v>
      </c>
      <c r="AQ924" s="18">
        <f>IF($A924&gt;'1-Input'!$B$26,AQ923,AQ923-AL924*(1-AK924))</f>
        <v>3041.6192598579814</v>
      </c>
    </row>
    <row r="925" spans="1:43">
      <c r="A925" s="10">
        <f>32</f>
        <v>32</v>
      </c>
      <c r="B925" s="11">
        <f>IF($A925&gt;'1-Input'!$B$26,0,IF(G924&lt;=0,0,MAX(0,(G924-H924)/G924)))</f>
        <v>0.74605223948979782</v>
      </c>
      <c r="C925" s="18">
        <f>IF($A925&gt;'1-Input'!$B$26,0,(MAX(0,B891-IF($A925&gt;='1-Input'!$C$12,'1-Input'!$B$12,0))-MIN(MAX(F924,0),MAX(0,B891-IF($A925&gt;='1-Input'!$C$12,'1-Input'!$B$12,0))))*(1/(1-'P-Parametri'!$B$6*B925))+MIN(MAX(0,G924-(MAX(0,B891-IF($A925&gt;='1-Input'!$C$12,'1-Input'!$B$12,0))-MIN(MAX(F924,0),MAX(0,B891-IF($A925&gt;='1-Input'!$C$12,'1-Input'!$B$12,0))))*(1/(1-'P-Parametri'!$B$6*B925))),MAX(0,5*B891-(F924-MIN(MAX(F924,0),MAX(0,B891-IF($A925&gt;='1-Input'!$C$12,'1-Input'!$B$12,0)))))*(1/(1-'P-Parametri'!$B$6*B925))))</f>
        <v>7294.1955510931648</v>
      </c>
      <c r="D925" s="18">
        <f>IF($A925&gt;'1-Input'!$B$26,F924,(F924-MAX(0,B891-IF($A925&gt;='1-Input'!$C$12,'1-Input'!$B$12,0))+C925*(1-'P-Parametri'!$B$6*B925))*(1+'1-Input'!$B$27))</f>
        <v>83105.01757746574</v>
      </c>
      <c r="E925" s="18">
        <f>IF($A925&gt;'1-Input'!$B$26,G924,(G924-C925)*(1+$D$4))</f>
        <v>110913.83456346736</v>
      </c>
      <c r="F925" s="18">
        <f>IF($A925&gt;'1-Input'!$B$26,D925,D925-'P-Parametri'!$B$8*(E925+D925)+MIN(MAX(E925,0),'P-Parametri'!$B$8*(E925+D925)))</f>
        <v>83105.01757746574</v>
      </c>
      <c r="G925" s="18">
        <f>IF($A925&gt;'1-Input'!$B$26,E925,E925-MIN(MAX(E925,0),'P-Parametri'!$B$8*(E925+D925)))</f>
        <v>110525.79685918549</v>
      </c>
      <c r="H925" s="18">
        <f>IF($A925&gt;'1-Input'!$B$26,H924,H924-C925*(1-B925))</f>
        <v>27082.999900953451</v>
      </c>
      <c r="I925" s="11">
        <f>IF($A925&gt;'1-Input'!$B$26,0,IF(N924&lt;=0,0,MAX(0,(N924-O924)/N924)))</f>
        <v>0</v>
      </c>
      <c r="J925" s="18">
        <f>IF($A925&gt;'1-Input'!$B$26,0,(MAX(0,I891-IF($A925&gt;='1-Input'!$C$12,'1-Input'!$B$12,0))-MIN(MAX(M924,0),MAX(0,I891-IF($A925&gt;='1-Input'!$C$12,'1-Input'!$B$12,0))))*(1/(1-'P-Parametri'!$B$6*I925))+MIN(MAX(0,N924-(MAX(0,I891-IF($A925&gt;='1-Input'!$C$12,'1-Input'!$B$12,0))-MIN(MAX(M924,0),MAX(0,I891-IF($A925&gt;='1-Input'!$C$12,'1-Input'!$B$12,0))))*(1/(1-'P-Parametri'!$B$6*I925))),MAX(0,5*I891-(M924-MIN(MAX(M924,0),MAX(0,I891-IF($A925&gt;='1-Input'!$C$12,'1-Input'!$B$12,0)))))*(1/(1-'P-Parametri'!$B$6*I925))))</f>
        <v>10846.756992928691</v>
      </c>
      <c r="K925" s="18">
        <f>IF($A925&gt;'1-Input'!$B$26,M924,(M924-MAX(0,I891-IF($A925&gt;='1-Input'!$C$12,'1-Input'!$B$12,0))+J925*(1-'P-Parametri'!$B$6*I925))*(1+'1-Input'!$B$27))</f>
        <v>0</v>
      </c>
      <c r="L925" s="18">
        <f>IF($A925&gt;'1-Input'!$B$26,N924,(N924-J925)*(1+$D$4))</f>
        <v>-118292.71416794218</v>
      </c>
      <c r="M925" s="18">
        <f>IF($A925&gt;'1-Input'!$B$26,K925,K925-'P-Parametri'!$B$8*(L925+K925)+MIN(MAX(L925,0),'P-Parametri'!$B$8*(L925+K925)))</f>
        <v>0</v>
      </c>
      <c r="N925" s="18">
        <f>IF($A925&gt;'1-Input'!$B$26,L925,L925-MIN(MAX(L925,0),'P-Parametri'!$B$8*(L925+K925)))</f>
        <v>-118056.1287396063</v>
      </c>
      <c r="O925" s="18">
        <f>IF($A925&gt;'1-Input'!$B$26,O924,O924-J925*(1-I925))</f>
        <v>-97566.985043337219</v>
      </c>
      <c r="P925" s="11">
        <f>IF($A925&gt;'1-Input'!$B$26,0,IF(U924&lt;=0,0,MAX(0,(U924-V924)/U924)))</f>
        <v>0</v>
      </c>
      <c r="Q925" s="18">
        <f>IF($A925&gt;'1-Input'!$B$26,0,(MAX(0,P891-IF($A925&gt;='1-Input'!$C$12,'1-Input'!$B$12,0))-MIN(MAX(T924,0),MAX(0,P891-IF($A925&gt;='1-Input'!$C$12,'1-Input'!$B$12,0))))*(1/(1-'P-Parametri'!$B$6*P925))+MIN(MAX(0,U924-(MAX(0,P891-IF($A925&gt;='1-Input'!$C$12,'1-Input'!$B$12,0))-MIN(MAX(T924,0),MAX(0,P891-IF($A925&gt;='1-Input'!$C$12,'1-Input'!$B$12,0))))*(1/(1-'P-Parametri'!$B$6*P925))),MAX(0,5*P891-(T924-MIN(MAX(T924,0),MAX(0,P891-IF($A925&gt;='1-Input'!$C$12,'1-Input'!$B$12,0)))))*(1/(1-'P-Parametri'!$B$6*P925))))</f>
        <v>0</v>
      </c>
      <c r="R925" s="18">
        <f>IF($A925&gt;'1-Input'!$B$26,T924,(T924-MAX(0,P891-IF($A925&gt;='1-Input'!$C$12,'1-Input'!$B$12,0))+Q925*(1-'P-Parametri'!$B$6*P925))*(1+'1-Input'!$B$27))</f>
        <v>79966.487702426894</v>
      </c>
      <c r="S925" s="18">
        <f>IF($A925&gt;'1-Input'!$B$26,U924,(U924-Q925)*(1+$D$4))</f>
        <v>0</v>
      </c>
      <c r="T925" s="18">
        <f>IF($A925&gt;'1-Input'!$B$26,R925,R925-'P-Parametri'!$B$8*(S925+R925)+MIN(MAX(S925,0),'P-Parametri'!$B$8*(S925+R925)))</f>
        <v>79806.554727022041</v>
      </c>
      <c r="U925" s="18">
        <f>IF($A925&gt;'1-Input'!$B$26,S925,S925-MIN(MAX(S925,0),'P-Parametri'!$B$8*(S925+R925)))</f>
        <v>0</v>
      </c>
      <c r="V925" s="18">
        <f>IF($A925&gt;'1-Input'!$B$26,V924,V924-Q925*(1-P925))</f>
        <v>2.2737367544323206E-13</v>
      </c>
      <c r="W925" s="11">
        <f>IF($A925&gt;'1-Input'!$B$26,0,IF(AB924&lt;=0,0,MAX(0,(AB924-AC924)/AB924)))</f>
        <v>0.73245798791967054</v>
      </c>
      <c r="X925" s="18">
        <f>IF($A925&gt;'1-Input'!$B$26,0,(MAX(0,W891-IF($A925&gt;='1-Input'!$C$12,'1-Input'!$B$12,0))-MIN(MAX(AA924,0),MAX(0,W891-IF($A925&gt;='1-Input'!$C$12,'1-Input'!$B$12,0))))*(1/(1-'P-Parametri'!$B$6*W925))+MIN(MAX(0,AB924-(MAX(0,W891-IF($A925&gt;='1-Input'!$C$12,'1-Input'!$B$12,0))-MIN(MAX(AA924,0),MAX(0,W891-IF($A925&gt;='1-Input'!$C$12,'1-Input'!$B$12,0))))*(1/(1-'P-Parametri'!$B$6*W925))),MAX(0,5*W891-(AA924-MIN(MAX(AA924,0),MAX(0,W891-IF($A925&gt;='1-Input'!$C$12,'1-Input'!$B$12,0)))))*(1/(1-'P-Parametri'!$B$6*W925))))</f>
        <v>8812.2141190212842</v>
      </c>
      <c r="Y925" s="18">
        <f>IF($A925&gt;'1-Input'!$B$26,AA924,(AA924-MAX(0,W891-IF($A925&gt;='1-Input'!$C$12,'1-Input'!$B$12,0))+X925*(1-'P-Parametri'!$B$6*W925))*(1+'1-Input'!$B$27))</f>
        <v>89245.454371318367</v>
      </c>
      <c r="Z925" s="18">
        <f>IF($A925&gt;'1-Input'!$B$26,AB924,(AB924-X925)*(1+$D$4))</f>
        <v>94.38566755313164</v>
      </c>
      <c r="AA925" s="18">
        <f>IF($A925&gt;'1-Input'!$B$26,Y925,Y925-'P-Parametri'!$B$8*(Z925+Y925)+MIN(MAX(Z925,0),'P-Parametri'!$B$8*(Z925+Y925)))</f>
        <v>89161.160358793757</v>
      </c>
      <c r="AB925" s="18">
        <f>IF($A925&gt;'1-Input'!$B$26,Z925,Z925-MIN(MAX(Z925,0),'P-Parametri'!$B$8*(Z925+Y925)))</f>
        <v>0</v>
      </c>
      <c r="AC925" s="18">
        <f>IF($A925&gt;'1-Input'!$B$26,AC924,AC924-X925*(1-W925))</f>
        <v>24.280895585298822</v>
      </c>
      <c r="AD925" s="11">
        <f>IF($A925&gt;'1-Input'!$B$26,0,IF(AI924&lt;=0,0,MAX(0,(AI924-AJ924)/AI924)))</f>
        <v>0.73445390505889152</v>
      </c>
      <c r="AE925" s="18">
        <f>IF($A925&gt;'1-Input'!$B$26,0,(MAX(0,AD891-IF($A925&gt;='1-Input'!$C$12,'1-Input'!$B$12,0))-MIN(MAX(AH924,0),MAX(0,AD891-IF($A925&gt;='1-Input'!$C$12,'1-Input'!$B$12,0))))*(1/(1-'P-Parametri'!$B$6*AD925))+MIN(MAX(0,AI924-(MAX(0,AD891-IF($A925&gt;='1-Input'!$C$12,'1-Input'!$B$12,0))-MIN(MAX(AH924,0),MAX(0,AD891-IF($A925&gt;='1-Input'!$C$12,'1-Input'!$B$12,0))))*(1/(1-'P-Parametri'!$B$6*AD925))),MAX(0,5*AD891-(AH924-MIN(MAX(AH924,0),MAX(0,AD891-IF($A925&gt;='1-Input'!$C$12,'1-Input'!$B$12,0)))))*(1/(1-'P-Parametri'!$B$6*AD925))))</f>
        <v>8779.1931797855505</v>
      </c>
      <c r="AF925" s="18">
        <f>IF($A925&gt;'1-Input'!$B$26,AH924,(AH924-MAX(0,AD891-IF($A925&gt;='1-Input'!$C$12,'1-Input'!$B$12,0))+AE925*(1-'P-Parametri'!$B$6*AD925))*(1+'1-Input'!$B$27))</f>
        <v>89092.332146155182</v>
      </c>
      <c r="AG925" s="18">
        <f>IF($A925&gt;'1-Input'!$B$26,AI924,(AI924-AE925)*(1+$D$4))</f>
        <v>2846.8625259051532</v>
      </c>
      <c r="AH925" s="18">
        <f>IF($A925&gt;'1-Input'!$B$26,AF925,AF925-'P-Parametri'!$B$8*(AG925+AF925)+MIN(MAX(AG925,0),'P-Parametri'!$B$8*(AG925+AF925)))</f>
        <v>89092.332146155182</v>
      </c>
      <c r="AI925" s="18">
        <f>IF($A925&gt;'1-Input'!$B$26,AG925,AG925-MIN(MAX(AG925,0),'P-Parametri'!$B$8*(AG925+AF925)))</f>
        <v>2662.9841365610328</v>
      </c>
      <c r="AJ925" s="18">
        <f>IF($A925&gt;'1-Input'!$B$26,AJ924,AJ924-AE925*(1-AD925))</f>
        <v>726.89733325797397</v>
      </c>
      <c r="AK925" s="11">
        <f>IF($A925&gt;'1-Input'!$B$26,0,IF(AP924&lt;=0,0,MAX(0,(AP924-AQ924)/AP924)))</f>
        <v>0.73441319338252742</v>
      </c>
      <c r="AL925" s="18">
        <f>IF($A925&gt;'1-Input'!$B$26,0,(MAX(0,AK891-IF($A925&gt;='1-Input'!$C$12,'1-Input'!$B$12,0))-MIN(MAX(AO924,0),MAX(0,AK891-IF($A925&gt;='1-Input'!$C$12,'1-Input'!$B$12,0))))*(1/(1-'P-Parametri'!$B$6*AK925))+MIN(MAX(0,AP924-(MAX(0,AK891-IF($A925&gt;='1-Input'!$C$12,'1-Input'!$B$12,0))-MIN(MAX(AO924,0),MAX(0,AK891-IF($A925&gt;='1-Input'!$C$12,'1-Input'!$B$12,0))))*(1/(1-'P-Parametri'!$B$6*AK925))),MAX(0,5*AK891-(AO924-MIN(MAX(AO924,0),MAX(0,AK891-IF($A925&gt;='1-Input'!$C$12,'1-Input'!$B$12,0)))))*(1/(1-'P-Parametri'!$B$6*AK925))))</f>
        <v>8780.0268189807612</v>
      </c>
      <c r="AM925" s="18">
        <f>IF($A925&gt;'1-Input'!$B$26,AO924,(AO924-MAX(0,AK891-IF($A925&gt;='1-Input'!$C$12,'1-Input'!$B$12,0))+AL925*(1-'P-Parametri'!$B$6*AK925))*(1+'1-Input'!$B$27))</f>
        <v>89096.087663925675</v>
      </c>
      <c r="AN925" s="18">
        <f>IF($A925&gt;'1-Input'!$B$26,AP924,(AP924-AL925)*(1+$D$4))</f>
        <v>2779.3186845001892</v>
      </c>
      <c r="AO925" s="18">
        <f>IF($A925&gt;'1-Input'!$B$26,AM925,AM925-'P-Parametri'!$B$8*(AN925+AM925)+MIN(MAX(AN925,0),'P-Parametri'!$B$8*(AN925+AM925)))</f>
        <v>89096.087663925675</v>
      </c>
      <c r="AP925" s="18">
        <f>IF($A925&gt;'1-Input'!$B$26,AN925,AN925-MIN(MAX(AN925,0),'P-Parametri'!$B$8*(AN925+AM925)))</f>
        <v>2595.5678718033373</v>
      </c>
      <c r="AQ925" s="18">
        <f>IF($A925&gt;'1-Input'!$B$26,AQ924,AQ924-AL925*(1-AK925))</f>
        <v>709.75997498911511</v>
      </c>
    </row>
    <row r="926" spans="1:43">
      <c r="A926" s="10">
        <f>33</f>
        <v>33</v>
      </c>
      <c r="B926" s="11">
        <f>IF($A926&gt;'1-Input'!$B$26,0,IF(G925&lt;=0,0,MAX(0,(G925-H925)/G925)))</f>
        <v>0.75496218375644619</v>
      </c>
      <c r="C926" s="18">
        <f>IF($A926&gt;'1-Input'!$B$26,0,(MAX(0,B891-IF($A926&gt;='1-Input'!$C$12,'1-Input'!$B$12,0))-MIN(MAX(F925,0),MAX(0,B891-IF($A926&gt;='1-Input'!$C$12,'1-Input'!$B$12,0))))*(1/(1-'P-Parametri'!$B$6*B926))+MIN(MAX(0,G925-(MAX(0,B891-IF($A926&gt;='1-Input'!$C$12,'1-Input'!$B$12,0))-MIN(MAX(F925,0),MAX(0,B891-IF($A926&gt;='1-Input'!$C$12,'1-Input'!$B$12,0))))*(1/(1-'P-Parametri'!$B$6*B926))),MAX(0,5*B891-(F925-MIN(MAX(F925,0),MAX(0,B891-IF($A926&gt;='1-Input'!$C$12,'1-Input'!$B$12,0)))))*(1/(1-'P-Parametri'!$B$6*B926))))</f>
        <v>7315.2200888534253</v>
      </c>
      <c r="D926" s="18">
        <f>IF($A926&gt;'1-Input'!$B$26,F925,(F925-MAX(0,B891-IF($A926&gt;='1-Input'!$C$12,'1-Input'!$B$12,0))+C926*(1-'P-Parametri'!$B$6*B926))*(1+'1-Input'!$B$27))</f>
        <v>83105.01757746574</v>
      </c>
      <c r="E926" s="18">
        <f>IF($A926&gt;'1-Input'!$B$26,G925,(G925-C926)*(1+$D$4))</f>
        <v>107338.99984114534</v>
      </c>
      <c r="F926" s="18">
        <f>IF($A926&gt;'1-Input'!$B$26,D926,D926-'P-Parametri'!$B$8*(E926+D926)+MIN(MAX(E926,0),'P-Parametri'!$B$8*(E926+D926)))</f>
        <v>83105.01757746574</v>
      </c>
      <c r="G926" s="18">
        <f>IF($A926&gt;'1-Input'!$B$26,E926,E926-MIN(MAX(E926,0),'P-Parametri'!$B$8*(E926+D926)))</f>
        <v>106958.11180630812</v>
      </c>
      <c r="H926" s="18">
        <f>IF($A926&gt;'1-Input'!$B$26,H925,H925-C926*(1-B926))</f>
        <v>25290.494345039831</v>
      </c>
      <c r="I926" s="11">
        <f>IF($A926&gt;'1-Input'!$B$26,0,IF(N925&lt;=0,0,MAX(0,(N925-O925)/N925)))</f>
        <v>0</v>
      </c>
      <c r="J926" s="18">
        <f>IF($A926&gt;'1-Input'!$B$26,0,(MAX(0,I891-IF($A926&gt;='1-Input'!$C$12,'1-Input'!$B$12,0))-MIN(MAX(M925,0),MAX(0,I891-IF($A926&gt;='1-Input'!$C$12,'1-Input'!$B$12,0))))*(1/(1-'P-Parametri'!$B$6*I926))+MIN(MAX(0,N925-(MAX(0,I891-IF($A926&gt;='1-Input'!$C$12,'1-Input'!$B$12,0))-MIN(MAX(M925,0),MAX(0,I891-IF($A926&gt;='1-Input'!$C$12,'1-Input'!$B$12,0))))*(1/(1-'P-Parametri'!$B$6*I926))),MAX(0,5*I891-(M925-MIN(MAX(M925,0),MAX(0,I891-IF($A926&gt;='1-Input'!$C$12,'1-Input'!$B$12,0)))))*(1/(1-'P-Parametri'!$B$6*I926))))</f>
        <v>10846.756992928691</v>
      </c>
      <c r="K926" s="18">
        <f>IF($A926&gt;'1-Input'!$B$26,M925,(M925-MAX(0,I891-IF($A926&gt;='1-Input'!$C$12,'1-Input'!$B$12,0))+J926*(1-'P-Parametri'!$B$6*I926))*(1+'1-Input'!$B$27))</f>
        <v>0</v>
      </c>
      <c r="L926" s="18">
        <f>IF($A926&gt;'1-Input'!$B$26,N925,(N925-J926)*(1+$D$4))</f>
        <v>-134059.00116183638</v>
      </c>
      <c r="M926" s="18">
        <f>IF($A926&gt;'1-Input'!$B$26,K926,K926-'P-Parametri'!$B$8*(L926+K926)+MIN(MAX(L926,0),'P-Parametri'!$B$8*(L926+K926)))</f>
        <v>0</v>
      </c>
      <c r="N926" s="18">
        <f>IF($A926&gt;'1-Input'!$B$26,L926,L926-MIN(MAX(L926,0),'P-Parametri'!$B$8*(L926+K926)))</f>
        <v>-133790.88315951271</v>
      </c>
      <c r="O926" s="18">
        <f>IF($A926&gt;'1-Input'!$B$26,O925,O925-J926*(1-I926))</f>
        <v>-108413.7420362659</v>
      </c>
      <c r="P926" s="11">
        <f>IF($A926&gt;'1-Input'!$B$26,0,IF(U925&lt;=0,0,MAX(0,(U925-V925)/U925)))</f>
        <v>0</v>
      </c>
      <c r="Q926" s="18">
        <f>IF($A926&gt;'1-Input'!$B$26,0,(MAX(0,P891-IF($A926&gt;='1-Input'!$C$12,'1-Input'!$B$12,0))-MIN(MAX(T925,0),MAX(0,P891-IF($A926&gt;='1-Input'!$C$12,'1-Input'!$B$12,0))))*(1/(1-'P-Parametri'!$B$6*P926))+MIN(MAX(0,U925-(MAX(0,P891-IF($A926&gt;='1-Input'!$C$12,'1-Input'!$B$12,0))-MIN(MAX(T925,0),MAX(0,P891-IF($A926&gt;='1-Input'!$C$12,'1-Input'!$B$12,0))))*(1/(1-'P-Parametri'!$B$6*P926))),MAX(0,5*P891-(T925-MIN(MAX(T925,0),MAX(0,P891-IF($A926&gt;='1-Input'!$C$12,'1-Input'!$B$12,0)))))*(1/(1-'P-Parametri'!$B$6*P926))))</f>
        <v>0</v>
      </c>
      <c r="R926" s="18">
        <f>IF($A926&gt;'1-Input'!$B$26,T925,(T925-MAX(0,P891-IF($A926&gt;='1-Input'!$C$12,'1-Input'!$B$12,0))+Q926*(1-'P-Parametri'!$B$6*P926))*(1+'1-Input'!$B$27))</f>
        <v>72586.666458959226</v>
      </c>
      <c r="S926" s="18">
        <f>IF($A926&gt;'1-Input'!$B$26,U925,(U925-Q926)*(1+$D$4))</f>
        <v>0</v>
      </c>
      <c r="T926" s="18">
        <f>IF($A926&gt;'1-Input'!$B$26,R926,R926-'P-Parametri'!$B$8*(S926+R926)+MIN(MAX(S926,0),'P-Parametri'!$B$8*(S926+R926)))</f>
        <v>72441.493126041314</v>
      </c>
      <c r="U926" s="18">
        <f>IF($A926&gt;'1-Input'!$B$26,S926,S926-MIN(MAX(S926,0),'P-Parametri'!$B$8*(S926+R926)))</f>
        <v>0</v>
      </c>
      <c r="V926" s="18">
        <f>IF($A926&gt;'1-Input'!$B$26,V925,V925-Q926*(1-P926))</f>
        <v>2.2737367544323206E-13</v>
      </c>
      <c r="W926" s="11">
        <f>IF($A926&gt;'1-Input'!$B$26,0,IF(AB925&lt;=0,0,MAX(0,(AB925-AC925)/AB925)))</f>
        <v>0</v>
      </c>
      <c r="X926" s="18">
        <f>IF($A926&gt;'1-Input'!$B$26,0,(MAX(0,W891-IF($A926&gt;='1-Input'!$C$12,'1-Input'!$B$12,0))-MIN(MAX(AA925,0),MAX(0,W891-IF($A926&gt;='1-Input'!$C$12,'1-Input'!$B$12,0))))*(1/(1-'P-Parametri'!$B$6*W926))+MIN(MAX(0,AB925-(MAX(0,W891-IF($A926&gt;='1-Input'!$C$12,'1-Input'!$B$12,0))-MIN(MAX(AA925,0),MAX(0,W891-IF($A926&gt;='1-Input'!$C$12,'1-Input'!$B$12,0))))*(1/(1-'P-Parametri'!$B$6*W926))),MAX(0,5*W891-(AA925-MIN(MAX(AA925,0),MAX(0,W891-IF($A926&gt;='1-Input'!$C$12,'1-Input'!$B$12,0)))))*(1/(1-'P-Parametri'!$B$6*W926))))</f>
        <v>0</v>
      </c>
      <c r="Y926" s="18">
        <f>IF($A926&gt;'1-Input'!$B$26,AA925,(AA925-MAX(0,W891-IF($A926&gt;='1-Input'!$C$12,'1-Input'!$B$12,0))+X926*(1-'P-Parametri'!$B$6*W926))*(1+'1-Input'!$B$27))</f>
        <v>82053.122107238421</v>
      </c>
      <c r="Z926" s="18">
        <f>IF($A926&gt;'1-Input'!$B$26,AB925,(AB925-X926)*(1+$D$4))</f>
        <v>0</v>
      </c>
      <c r="AA926" s="18">
        <f>IF($A926&gt;'1-Input'!$B$26,Y926,Y926-'P-Parametri'!$B$8*(Z926+Y926)+MIN(MAX(Z926,0),'P-Parametri'!$B$8*(Z926+Y926)))</f>
        <v>81889.015863023946</v>
      </c>
      <c r="AB926" s="18">
        <f>IF($A926&gt;'1-Input'!$B$26,Z926,Z926-MIN(MAX(Z926,0),'P-Parametri'!$B$8*(Z926+Y926)))</f>
        <v>0</v>
      </c>
      <c r="AC926" s="18">
        <f>IF($A926&gt;'1-Input'!$B$26,AC925,AC925-X926*(1-W926))</f>
        <v>24.280895585298822</v>
      </c>
      <c r="AD926" s="11">
        <f>IF($A926&gt;'1-Input'!$B$26,0,IF(AI925&lt;=0,0,MAX(0,(AI925-AJ925)/AI925)))</f>
        <v>0.7270365514844237</v>
      </c>
      <c r="AE926" s="18">
        <f>IF($A926&gt;'1-Input'!$B$26,0,(MAX(0,AD891-IF($A926&gt;='1-Input'!$C$12,'1-Input'!$B$12,0))-MIN(MAX(AH925,0),MAX(0,AD891-IF($A926&gt;='1-Input'!$C$12,'1-Input'!$B$12,0))))*(1/(1-'P-Parametri'!$B$6*AD926))+MIN(MAX(0,AI925-(MAX(0,AD891-IF($A926&gt;='1-Input'!$C$12,'1-Input'!$B$12,0))-MIN(MAX(AH925,0),MAX(0,AD891-IF($A926&gt;='1-Input'!$C$12,'1-Input'!$B$12,0))))*(1/(1-'P-Parametri'!$B$6*AD926))),MAX(0,5*AD891-(AH925-MIN(MAX(AH925,0),MAX(0,AD891-IF($A926&gt;='1-Input'!$C$12,'1-Input'!$B$12,0)))))*(1/(1-'P-Parametri'!$B$6*AD926))))</f>
        <v>2662.9841365610328</v>
      </c>
      <c r="AF926" s="18">
        <f>IF($A926&gt;'1-Input'!$B$26,AH925,(AH925-MAX(0,AD891-IF($A926&gt;='1-Input'!$C$12,'1-Input'!$B$12,0))+AE926*(1-'P-Parametri'!$B$6*AD926))*(1+'1-Input'!$B$27))</f>
        <v>84166.993123256485</v>
      </c>
      <c r="AG926" s="18">
        <f>IF($A926&gt;'1-Input'!$B$26,AI925,(AI925-AE926)*(1+$D$4))</f>
        <v>0</v>
      </c>
      <c r="AH926" s="18">
        <f>IF($A926&gt;'1-Input'!$B$26,AF926,AF926-'P-Parametri'!$B$8*(AG926+AF926)+MIN(MAX(AG926,0),'P-Parametri'!$B$8*(AG926+AF926)))</f>
        <v>83998.659137009978</v>
      </c>
      <c r="AI926" s="18">
        <f>IF($A926&gt;'1-Input'!$B$26,AG926,AG926-MIN(MAX(AG926,0),'P-Parametri'!$B$8*(AG926+AF926)))</f>
        <v>0</v>
      </c>
      <c r="AJ926" s="18">
        <f>IF($A926&gt;'1-Input'!$B$26,AJ925,AJ925-AE926*(1-AD926))</f>
        <v>1.1368683772161603E-13</v>
      </c>
      <c r="AK926" s="11">
        <f>IF($A926&gt;'1-Input'!$B$26,0,IF(AP925&lt;=0,0,MAX(0,(AP925-AQ925)/AP925)))</f>
        <v>0.72654925240078916</v>
      </c>
      <c r="AL926" s="18">
        <f>IF($A926&gt;'1-Input'!$B$26,0,(MAX(0,AK891-IF($A926&gt;='1-Input'!$C$12,'1-Input'!$B$12,0))-MIN(MAX(AO925,0),MAX(0,AK891-IF($A926&gt;='1-Input'!$C$12,'1-Input'!$B$12,0))))*(1/(1-'P-Parametri'!$B$6*AK926))+MIN(MAX(0,AP925-(MAX(0,AK891-IF($A926&gt;='1-Input'!$C$12,'1-Input'!$B$12,0))-MIN(MAX(AO925,0),MAX(0,AK891-IF($A926&gt;='1-Input'!$C$12,'1-Input'!$B$12,0))))*(1/(1-'P-Parametri'!$B$6*AK926))),MAX(0,5*AK891-(AO925-MIN(MAX(AO925,0),MAX(0,AK891-IF($A926&gt;='1-Input'!$C$12,'1-Input'!$B$12,0)))))*(1/(1-'P-Parametri'!$B$6*AK926))))</f>
        <v>2595.5678718033373</v>
      </c>
      <c r="AM926" s="18">
        <f>IF($A926&gt;'1-Input'!$B$26,AO925,(AO925-MAX(0,AK891-IF($A926&gt;='1-Input'!$C$12,'1-Input'!$B$12,0))+AL926*(1-'P-Parametri'!$B$6*AK926))*(1+'1-Input'!$B$27))</f>
        <v>84115.835906034976</v>
      </c>
      <c r="AN926" s="18">
        <f>IF($A926&gt;'1-Input'!$B$26,AP925,(AP925-AL926)*(1+$D$4))</f>
        <v>0</v>
      </c>
      <c r="AO926" s="18">
        <f>IF($A926&gt;'1-Input'!$B$26,AM926,AM926-'P-Parametri'!$B$8*(AN926+AM926)+MIN(MAX(AN926,0),'P-Parametri'!$B$8*(AN926+AM926)))</f>
        <v>83947.604234222905</v>
      </c>
      <c r="AP926" s="18">
        <f>IF($A926&gt;'1-Input'!$B$26,AN926,AN926-MIN(MAX(AN926,0),'P-Parametri'!$B$8*(AN926+AM926)))</f>
        <v>0</v>
      </c>
      <c r="AQ926" s="18">
        <f>IF($A926&gt;'1-Input'!$B$26,AQ925,AQ925-AL926*(1-AK926))</f>
        <v>-1.1368683772161603E-13</v>
      </c>
    </row>
    <row r="927" spans="1:43">
      <c r="A927" s="10">
        <f>34</f>
        <v>34</v>
      </c>
      <c r="B927" s="11">
        <f>IF($A927&gt;'1-Input'!$B$26,0,IF(G926&lt;=0,0,MAX(0,(G926-H926)/G926)))</f>
        <v>0.76354767377682653</v>
      </c>
      <c r="C927" s="18">
        <f>IF($A927&gt;'1-Input'!$B$26,0,(MAX(0,B891-IF($A927&gt;='1-Input'!$C$12,'1-Input'!$B$12,0))-MIN(MAX(F926,0),MAX(0,B891-IF($A927&gt;='1-Input'!$C$12,'1-Input'!$B$12,0))))*(1/(1-'P-Parametri'!$B$6*B927))+MIN(MAX(0,G926-(MAX(0,B891-IF($A927&gt;='1-Input'!$C$12,'1-Input'!$B$12,0))-MIN(MAX(F926,0),MAX(0,B891-IF($A927&gt;='1-Input'!$C$12,'1-Input'!$B$12,0))))*(1/(1-'P-Parametri'!$B$6*B927))),MAX(0,5*B891-(F926-MIN(MAX(F926,0),MAX(0,B891-IF($A927&gt;='1-Input'!$C$12,'1-Input'!$B$12,0)))))*(1/(1-'P-Parametri'!$B$6*B927))))</f>
        <v>7335.5940015616143</v>
      </c>
      <c r="D927" s="18">
        <f>IF($A927&gt;'1-Input'!$B$26,F926,(F926-MAX(0,B891-IF($A927&gt;='1-Input'!$C$12,'1-Input'!$B$12,0))+C927*(1-'P-Parametri'!$B$6*B927))*(1+'1-Input'!$B$27))</f>
        <v>83105.01757746574</v>
      </c>
      <c r="E927" s="18">
        <f>IF($A927&gt;'1-Input'!$B$26,G926,(G926-C927)*(1+$D$4))</f>
        <v>103607.41851693638</v>
      </c>
      <c r="F927" s="18">
        <f>IF($A927&gt;'1-Input'!$B$26,D927,D927-'P-Parametri'!$B$8*(E927+D927)+MIN(MAX(E927,0),'P-Parametri'!$B$8*(E927+D927)))</f>
        <v>83105.01757746574</v>
      </c>
      <c r="G927" s="18">
        <f>IF($A927&gt;'1-Input'!$B$26,E927,E927-MIN(MAX(E927,0),'P-Parametri'!$B$8*(E927+D927)))</f>
        <v>103233.99364474758</v>
      </c>
      <c r="H927" s="18">
        <f>IF($A927&gt;'1-Input'!$B$26,H926,H926-C927*(1-B927))</f>
        <v>23555.97607914183</v>
      </c>
      <c r="I927" s="11">
        <f>IF($A927&gt;'1-Input'!$B$26,0,IF(N926&lt;=0,0,MAX(0,(N926-O926)/N926)))</f>
        <v>0</v>
      </c>
      <c r="J927" s="18">
        <f>IF($A927&gt;'1-Input'!$B$26,0,(MAX(0,I891-IF($A927&gt;='1-Input'!$C$12,'1-Input'!$B$12,0))-MIN(MAX(M926,0),MAX(0,I891-IF($A927&gt;='1-Input'!$C$12,'1-Input'!$B$12,0))))*(1/(1-'P-Parametri'!$B$6*I927))+MIN(MAX(0,N926-(MAX(0,I891-IF($A927&gt;='1-Input'!$C$12,'1-Input'!$B$12,0))-MIN(MAX(M926,0),MAX(0,I891-IF($A927&gt;='1-Input'!$C$12,'1-Input'!$B$12,0))))*(1/(1-'P-Parametri'!$B$6*I927))),MAX(0,5*I891-(M926-MIN(MAX(M926,0),MAX(0,I891-IF($A927&gt;='1-Input'!$C$12,'1-Input'!$B$12,0)))))*(1/(1-'P-Parametri'!$B$6*I927))))</f>
        <v>10846.756992928691</v>
      </c>
      <c r="K927" s="18">
        <f>IF($A927&gt;'1-Input'!$B$26,M926,(M926-MAX(0,I891-IF($A927&gt;='1-Input'!$C$12,'1-Input'!$B$12,0))+J927*(1-'P-Parametri'!$B$6*I927))*(1+'1-Input'!$B$27))</f>
        <v>0</v>
      </c>
      <c r="L927" s="18">
        <f>IF($A927&gt;'1-Input'!$B$26,N926,(N926-J927)*(1+$D$4))</f>
        <v>-150423.14575853906</v>
      </c>
      <c r="M927" s="18">
        <f>IF($A927&gt;'1-Input'!$B$26,K927,K927-'P-Parametri'!$B$8*(L927+K927)+MIN(MAX(L927,0),'P-Parametri'!$B$8*(L927+K927)))</f>
        <v>0</v>
      </c>
      <c r="N927" s="18">
        <f>IF($A927&gt;'1-Input'!$B$26,L927,L927-MIN(MAX(L927,0),'P-Parametri'!$B$8*(L927+K927)))</f>
        <v>-150122.29946702198</v>
      </c>
      <c r="O927" s="18">
        <f>IF($A927&gt;'1-Input'!$B$26,O926,O926-J927*(1-I927))</f>
        <v>-119260.49902919459</v>
      </c>
      <c r="P927" s="11">
        <f>IF($A927&gt;'1-Input'!$B$26,0,IF(U926&lt;=0,0,MAX(0,(U926-V926)/U926)))</f>
        <v>0</v>
      </c>
      <c r="Q927" s="18">
        <f>IF($A927&gt;'1-Input'!$B$26,0,(MAX(0,P891-IF($A927&gt;='1-Input'!$C$12,'1-Input'!$B$12,0))-MIN(MAX(T926,0),MAX(0,P891-IF($A927&gt;='1-Input'!$C$12,'1-Input'!$B$12,0))))*(1/(1-'P-Parametri'!$B$6*P927))+MIN(MAX(0,U926-(MAX(0,P891-IF($A927&gt;='1-Input'!$C$12,'1-Input'!$B$12,0))-MIN(MAX(T926,0),MAX(0,P891-IF($A927&gt;='1-Input'!$C$12,'1-Input'!$B$12,0))))*(1/(1-'P-Parametri'!$B$6*P927))),MAX(0,5*P891-(T926-MIN(MAX(T926,0),MAX(0,P891-IF($A927&gt;='1-Input'!$C$12,'1-Input'!$B$12,0)))))*(1/(1-'P-Parametri'!$B$6*P927))))</f>
        <v>0</v>
      </c>
      <c r="R927" s="18">
        <f>IF($A927&gt;'1-Input'!$B$26,T926,(T926-MAX(0,P891-IF($A927&gt;='1-Input'!$C$12,'1-Input'!$B$12,0))+Q927*(1-'P-Parametri'!$B$6*P927))*(1+'1-Input'!$B$27))</f>
        <v>65248.119079742028</v>
      </c>
      <c r="S927" s="18">
        <f>IF($A927&gt;'1-Input'!$B$26,U926,(U926-Q927)*(1+$D$4))</f>
        <v>0</v>
      </c>
      <c r="T927" s="18">
        <f>IF($A927&gt;'1-Input'!$B$26,R927,R927-'P-Parametri'!$B$8*(S927+R927)+MIN(MAX(S927,0),'P-Parametri'!$B$8*(S927+R927)))</f>
        <v>65117.622841582546</v>
      </c>
      <c r="U927" s="18">
        <f>IF($A927&gt;'1-Input'!$B$26,S927,S927-MIN(MAX(S927,0),'P-Parametri'!$B$8*(S927+R927)))</f>
        <v>0</v>
      </c>
      <c r="V927" s="18">
        <f>IF($A927&gt;'1-Input'!$B$26,V926,V926-Q927*(1-P927))</f>
        <v>2.2737367544323206E-13</v>
      </c>
      <c r="W927" s="11">
        <f>IF($A927&gt;'1-Input'!$B$26,0,IF(AB926&lt;=0,0,MAX(0,(AB926-AC926)/AB926)))</f>
        <v>0</v>
      </c>
      <c r="X927" s="18">
        <f>IF($A927&gt;'1-Input'!$B$26,0,(MAX(0,W891-IF($A927&gt;='1-Input'!$C$12,'1-Input'!$B$12,0))-MIN(MAX(AA926,0),MAX(0,W891-IF($A927&gt;='1-Input'!$C$12,'1-Input'!$B$12,0))))*(1/(1-'P-Parametri'!$B$6*W927))+MIN(MAX(0,AB926-(MAX(0,W891-IF($A927&gt;='1-Input'!$C$12,'1-Input'!$B$12,0))-MIN(MAX(AA926,0),MAX(0,W891-IF($A927&gt;='1-Input'!$C$12,'1-Input'!$B$12,0))))*(1/(1-'P-Parametri'!$B$6*W927))),MAX(0,5*W891-(AA926-MIN(MAX(AA926,0),MAX(0,W891-IF($A927&gt;='1-Input'!$C$12,'1-Input'!$B$12,0)))))*(1/(1-'P-Parametri'!$B$6*W927))))</f>
        <v>0</v>
      </c>
      <c r="Y927" s="18">
        <f>IF($A927&gt;'1-Input'!$B$26,AA926,(AA926-MAX(0,W891-IF($A927&gt;='1-Input'!$C$12,'1-Input'!$B$12,0))+X927*(1-'P-Parametri'!$B$6*W927))*(1+'1-Input'!$B$27))</f>
        <v>74807.157331653376</v>
      </c>
      <c r="Z927" s="18">
        <f>IF($A927&gt;'1-Input'!$B$26,AB926,(AB926-X927)*(1+$D$4))</f>
        <v>0</v>
      </c>
      <c r="AA927" s="18">
        <f>IF($A927&gt;'1-Input'!$B$26,Y927,Y927-'P-Parametri'!$B$8*(Z927+Y927)+MIN(MAX(Z927,0),'P-Parametri'!$B$8*(Z927+Y927)))</f>
        <v>74657.543016990065</v>
      </c>
      <c r="AB927" s="18">
        <f>IF($A927&gt;'1-Input'!$B$26,Z927,Z927-MIN(MAX(Z927,0),'P-Parametri'!$B$8*(Z927+Y927)))</f>
        <v>0</v>
      </c>
      <c r="AC927" s="18">
        <f>IF($A927&gt;'1-Input'!$B$26,AC926,AC926-X927*(1-W927))</f>
        <v>24.280895585298822</v>
      </c>
      <c r="AD927" s="11">
        <f>IF($A927&gt;'1-Input'!$B$26,0,IF(AI926&lt;=0,0,MAX(0,(AI926-AJ926)/AI926)))</f>
        <v>0</v>
      </c>
      <c r="AE927" s="18">
        <f>IF($A927&gt;'1-Input'!$B$26,0,(MAX(0,AD891-IF($A927&gt;='1-Input'!$C$12,'1-Input'!$B$12,0))-MIN(MAX(AH926,0),MAX(0,AD891-IF($A927&gt;='1-Input'!$C$12,'1-Input'!$B$12,0))))*(1/(1-'P-Parametri'!$B$6*AD927))+MIN(MAX(0,AI926-(MAX(0,AD891-IF($A927&gt;='1-Input'!$C$12,'1-Input'!$B$12,0))-MIN(MAX(AH926,0),MAX(0,AD891-IF($A927&gt;='1-Input'!$C$12,'1-Input'!$B$12,0))))*(1/(1-'P-Parametri'!$B$6*AD927))),MAX(0,5*AD891-(AH926-MIN(MAX(AH926,0),MAX(0,AD891-IF($A927&gt;='1-Input'!$C$12,'1-Input'!$B$12,0)))))*(1/(1-'P-Parametri'!$B$6*AD927))))</f>
        <v>0</v>
      </c>
      <c r="AF927" s="18">
        <f>IF($A927&gt;'1-Input'!$B$26,AH926,(AH926-MAX(0,AD891-IF($A927&gt;='1-Input'!$C$12,'1-Input'!$B$12,0))+AE927*(1-'P-Parametri'!$B$6*AD927))*(1+'1-Input'!$B$27))</f>
        <v>76939.830334885701</v>
      </c>
      <c r="AG927" s="18">
        <f>IF($A927&gt;'1-Input'!$B$26,AI926,(AI926-AE927)*(1+$D$4))</f>
        <v>0</v>
      </c>
      <c r="AH927" s="18">
        <f>IF($A927&gt;'1-Input'!$B$26,AF927,AF927-'P-Parametri'!$B$8*(AG927+AF927)+MIN(MAX(AG927,0),'P-Parametri'!$B$8*(AG927+AF927)))</f>
        <v>76785.950674215928</v>
      </c>
      <c r="AI927" s="18">
        <f>IF($A927&gt;'1-Input'!$B$26,AG927,AG927-MIN(MAX(AG927,0),'P-Parametri'!$B$8*(AG927+AF927)))</f>
        <v>0</v>
      </c>
      <c r="AJ927" s="18">
        <f>IF($A927&gt;'1-Input'!$B$26,AJ926,AJ926-AE927*(1-AD927))</f>
        <v>1.1368683772161603E-13</v>
      </c>
      <c r="AK927" s="11">
        <f>IF($A927&gt;'1-Input'!$B$26,0,IF(AP926&lt;=0,0,MAX(0,(AP926-AQ926)/AP926)))</f>
        <v>0</v>
      </c>
      <c r="AL927" s="18">
        <f>IF($A927&gt;'1-Input'!$B$26,0,(MAX(0,AK891-IF($A927&gt;='1-Input'!$C$12,'1-Input'!$B$12,0))-MIN(MAX(AO926,0),MAX(0,AK891-IF($A927&gt;='1-Input'!$C$12,'1-Input'!$B$12,0))))*(1/(1-'P-Parametri'!$B$6*AK927))+MIN(MAX(0,AP926-(MAX(0,AK891-IF($A927&gt;='1-Input'!$C$12,'1-Input'!$B$12,0))-MIN(MAX(AO926,0),MAX(0,AK891-IF($A927&gt;='1-Input'!$C$12,'1-Input'!$B$12,0))))*(1/(1-'P-Parametri'!$B$6*AK927))),MAX(0,5*AK891-(AO926-MIN(MAX(AO926,0),MAX(0,AK891-IF($A927&gt;='1-Input'!$C$12,'1-Input'!$B$12,0)))))*(1/(1-'P-Parametri'!$B$6*AK927))))</f>
        <v>0</v>
      </c>
      <c r="AM927" s="18">
        <f>IF($A927&gt;'1-Input'!$B$26,AO926,(AO926-MAX(0,AK891-IF($A927&gt;='1-Input'!$C$12,'1-Input'!$B$12,0))+AL927*(1-'P-Parametri'!$B$6*AK927))*(1+'1-Input'!$B$27))</f>
        <v>76888.208126194557</v>
      </c>
      <c r="AN927" s="18">
        <f>IF($A927&gt;'1-Input'!$B$26,AP926,(AP926-AL927)*(1+$D$4))</f>
        <v>0</v>
      </c>
      <c r="AO927" s="18">
        <f>IF($A927&gt;'1-Input'!$B$26,AM927,AM927-'P-Parametri'!$B$8*(AN927+AM927)+MIN(MAX(AN927,0),'P-Parametri'!$B$8*(AN927+AM927)))</f>
        <v>76734.431709942161</v>
      </c>
      <c r="AP927" s="18">
        <f>IF($A927&gt;'1-Input'!$B$26,AN927,AN927-MIN(MAX(AN927,0),'P-Parametri'!$B$8*(AN927+AM927)))</f>
        <v>0</v>
      </c>
      <c r="AQ927" s="18">
        <f>IF($A927&gt;'1-Input'!$B$26,AQ926,AQ926-AL927*(1-AK927))</f>
        <v>-1.1368683772161603E-13</v>
      </c>
    </row>
    <row r="928" spans="1:43">
      <c r="A928" s="10">
        <f>35</f>
        <v>35</v>
      </c>
      <c r="B928" s="11">
        <f>IF($A928&gt;'1-Input'!$B$26,0,IF(G927&lt;=0,0,MAX(0,(G927-H927)/G927)))</f>
        <v>0.77181957950591862</v>
      </c>
      <c r="C928" s="18">
        <f>IF($A928&gt;'1-Input'!$B$26,0,(MAX(0,B891-IF($A928&gt;='1-Input'!$C$12,'1-Input'!$B$12,0))-MIN(MAX(F927,0),MAX(0,B891-IF($A928&gt;='1-Input'!$C$12,'1-Input'!$B$12,0))))*(1/(1-'P-Parametri'!$B$6*B928))+MIN(MAX(0,G927-(MAX(0,B891-IF($A928&gt;='1-Input'!$C$12,'1-Input'!$B$12,0))-MIN(MAX(F927,0),MAX(0,B891-IF($A928&gt;='1-Input'!$C$12,'1-Input'!$B$12,0))))*(1/(1-'P-Parametri'!$B$6*B928))),MAX(0,5*B891-(F927-MIN(MAX(F927,0),MAX(0,B891-IF($A928&gt;='1-Input'!$C$12,'1-Input'!$B$12,0)))))*(1/(1-'P-Parametri'!$B$6*B928))))</f>
        <v>7355.3313940456055</v>
      </c>
      <c r="D928" s="18">
        <f>IF($A928&gt;'1-Input'!$B$26,F927,(F927-MAX(0,B891-IF($A928&gt;='1-Input'!$C$12,'1-Input'!$B$12,0))+C928*(1-'P-Parametri'!$B$6*B928))*(1+'1-Input'!$B$27))</f>
        <v>83105.01757746574</v>
      </c>
      <c r="E928" s="18">
        <f>IF($A928&gt;'1-Input'!$B$26,G927,(G927-C928)*(1+$D$4))</f>
        <v>99713.808740730063</v>
      </c>
      <c r="F928" s="18">
        <f>IF($A928&gt;'1-Input'!$B$26,D928,D928-'P-Parametri'!$B$8*(E928+D928)+MIN(MAX(E928,0),'P-Parametri'!$B$8*(E928+D928)))</f>
        <v>83105.01757746574</v>
      </c>
      <c r="G928" s="18">
        <f>IF($A928&gt;'1-Input'!$B$26,E928,E928-MIN(MAX(E928,0),'P-Parametri'!$B$8*(E928+D928)))</f>
        <v>99348.171088093673</v>
      </c>
      <c r="H928" s="18">
        <f>IF($A928&gt;'1-Input'!$B$26,H927,H927-C928*(1-B928))</f>
        <v>21877.633468775188</v>
      </c>
      <c r="I928" s="11">
        <f>IF($A928&gt;'1-Input'!$B$26,0,IF(N927&lt;=0,0,MAX(0,(N927-O927)/N927)))</f>
        <v>0</v>
      </c>
      <c r="J928" s="18">
        <f>IF($A928&gt;'1-Input'!$B$26,0,(MAX(0,I891-IF($A928&gt;='1-Input'!$C$12,'1-Input'!$B$12,0))-MIN(MAX(M927,0),MAX(0,I891-IF($A928&gt;='1-Input'!$C$12,'1-Input'!$B$12,0))))*(1/(1-'P-Parametri'!$B$6*I928))+MIN(MAX(0,N927-(MAX(0,I891-IF($A928&gt;='1-Input'!$C$12,'1-Input'!$B$12,0))-MIN(MAX(M927,0),MAX(0,I891-IF($A928&gt;='1-Input'!$C$12,'1-Input'!$B$12,0))))*(1/(1-'P-Parametri'!$B$6*I928))),MAX(0,5*I891-(M927-MIN(MAX(M927,0),MAX(0,I891-IF($A928&gt;='1-Input'!$C$12,'1-Input'!$B$12,0)))))*(1/(1-'P-Parametri'!$B$6*I928))))</f>
        <v>10846.756992928691</v>
      </c>
      <c r="K928" s="18">
        <f>IF($A928&gt;'1-Input'!$B$26,M927,(M927-MAX(0,I891-IF($A928&gt;='1-Input'!$C$12,'1-Input'!$B$12,0))+J928*(1-'P-Parametri'!$B$6*I928))*(1+'1-Input'!$B$27))</f>
        <v>0</v>
      </c>
      <c r="L928" s="18">
        <f>IF($A928&gt;'1-Input'!$B$26,N927,(N927-J928)*(1+$D$4))</f>
        <v>-167407.81871834869</v>
      </c>
      <c r="M928" s="18">
        <f>IF($A928&gt;'1-Input'!$B$26,K928,K928-'P-Parametri'!$B$8*(L928+K928)+MIN(MAX(L928,0),'P-Parametri'!$B$8*(L928+K928)))</f>
        <v>0</v>
      </c>
      <c r="N928" s="18">
        <f>IF($A928&gt;'1-Input'!$B$26,L928,L928-MIN(MAX(L928,0),'P-Parametri'!$B$8*(L928+K928)))</f>
        <v>-167073.00308091199</v>
      </c>
      <c r="O928" s="18">
        <f>IF($A928&gt;'1-Input'!$B$26,O927,O927-J928*(1-I928))</f>
        <v>-130107.25602212327</v>
      </c>
      <c r="P928" s="11">
        <f>IF($A928&gt;'1-Input'!$B$26,0,IF(U927&lt;=0,0,MAX(0,(U927-V927)/U927)))</f>
        <v>0</v>
      </c>
      <c r="Q928" s="18">
        <f>IF($A928&gt;'1-Input'!$B$26,0,(MAX(0,P891-IF($A928&gt;='1-Input'!$C$12,'1-Input'!$B$12,0))-MIN(MAX(T927,0),MAX(0,P891-IF($A928&gt;='1-Input'!$C$12,'1-Input'!$B$12,0))))*(1/(1-'P-Parametri'!$B$6*P928))+MIN(MAX(0,U927-(MAX(0,P891-IF($A928&gt;='1-Input'!$C$12,'1-Input'!$B$12,0))-MIN(MAX(T927,0),MAX(0,P891-IF($A928&gt;='1-Input'!$C$12,'1-Input'!$B$12,0))))*(1/(1-'P-Parametri'!$B$6*P928))),MAX(0,5*P891-(T927-MIN(MAX(T927,0),MAX(0,P891-IF($A928&gt;='1-Input'!$C$12,'1-Input'!$B$12,0)))))*(1/(1-'P-Parametri'!$B$6*P928))))</f>
        <v>0</v>
      </c>
      <c r="R928" s="18">
        <f>IF($A928&gt;'1-Input'!$B$26,T927,(T927-MAX(0,P891-IF($A928&gt;='1-Input'!$C$12,'1-Input'!$B$12,0))+Q928*(1-'P-Parametri'!$B$6*P928))*(1+'1-Input'!$B$27))</f>
        <v>57950.614728307315</v>
      </c>
      <c r="S928" s="18">
        <f>IF($A928&gt;'1-Input'!$B$26,U927,(U927-Q928)*(1+$D$4))</f>
        <v>0</v>
      </c>
      <c r="T928" s="18">
        <f>IF($A928&gt;'1-Input'!$B$26,R928,R928-'P-Parametri'!$B$8*(S928+R928)+MIN(MAX(S928,0),'P-Parametri'!$B$8*(S928+R928)))</f>
        <v>57834.713498850702</v>
      </c>
      <c r="U928" s="18">
        <f>IF($A928&gt;'1-Input'!$B$26,S928,S928-MIN(MAX(S928,0),'P-Parametri'!$B$8*(S928+R928)))</f>
        <v>0</v>
      </c>
      <c r="V928" s="18">
        <f>IF($A928&gt;'1-Input'!$B$26,V927,V927-Q928*(1-P928))</f>
        <v>2.2737367544323206E-13</v>
      </c>
      <c r="W928" s="11">
        <f>IF($A928&gt;'1-Input'!$B$26,0,IF(AB927&lt;=0,0,MAX(0,(AB927-AC927)/AB927)))</f>
        <v>0</v>
      </c>
      <c r="X928" s="18">
        <f>IF($A928&gt;'1-Input'!$B$26,0,(MAX(0,W891-IF($A928&gt;='1-Input'!$C$12,'1-Input'!$B$12,0))-MIN(MAX(AA927,0),MAX(0,W891-IF($A928&gt;='1-Input'!$C$12,'1-Input'!$B$12,0))))*(1/(1-'P-Parametri'!$B$6*W928))+MIN(MAX(0,AB927-(MAX(0,W891-IF($A928&gt;='1-Input'!$C$12,'1-Input'!$B$12,0))-MIN(MAX(AA927,0),MAX(0,W891-IF($A928&gt;='1-Input'!$C$12,'1-Input'!$B$12,0))))*(1/(1-'P-Parametri'!$B$6*W928))),MAX(0,5*W891-(AA927-MIN(MAX(AA927,0),MAX(0,W891-IF($A928&gt;='1-Input'!$C$12,'1-Input'!$B$12,0)))))*(1/(1-'P-Parametri'!$B$6*W928))))</f>
        <v>0</v>
      </c>
      <c r="Y928" s="18">
        <f>IF($A928&gt;'1-Input'!$B$26,AA927,(AA927-MAX(0,W891-IF($A928&gt;='1-Input'!$C$12,'1-Input'!$B$12,0))+X928*(1-'P-Parametri'!$B$6*W928))*(1+'1-Input'!$B$27))</f>
        <v>67601.717787865215</v>
      </c>
      <c r="Z928" s="18">
        <f>IF($A928&gt;'1-Input'!$B$26,AB927,(AB927-X928)*(1+$D$4))</f>
        <v>0</v>
      </c>
      <c r="AA928" s="18">
        <f>IF($A928&gt;'1-Input'!$B$26,Y928,Y928-'P-Parametri'!$B$8*(Z928+Y928)+MIN(MAX(Z928,0),'P-Parametri'!$B$8*(Z928+Y928)))</f>
        <v>67466.51435228948</v>
      </c>
      <c r="AB928" s="18">
        <f>IF($A928&gt;'1-Input'!$B$26,Z928,Z928-MIN(MAX(Z928,0),'P-Parametri'!$B$8*(Z928+Y928)))</f>
        <v>0</v>
      </c>
      <c r="AC928" s="18">
        <f>IF($A928&gt;'1-Input'!$B$26,AC927,AC927-X928*(1-W928))</f>
        <v>24.280895585298822</v>
      </c>
      <c r="AD928" s="11">
        <f>IF($A928&gt;'1-Input'!$B$26,0,IF(AI927&lt;=0,0,MAX(0,(AI927-AJ927)/AI927)))</f>
        <v>0</v>
      </c>
      <c r="AE928" s="18">
        <f>IF($A928&gt;'1-Input'!$B$26,0,(MAX(0,AD891-IF($A928&gt;='1-Input'!$C$12,'1-Input'!$B$12,0))-MIN(MAX(AH927,0),MAX(0,AD891-IF($A928&gt;='1-Input'!$C$12,'1-Input'!$B$12,0))))*(1/(1-'P-Parametri'!$B$6*AD928))+MIN(MAX(0,AI927-(MAX(0,AD891-IF($A928&gt;='1-Input'!$C$12,'1-Input'!$B$12,0))-MIN(MAX(AH927,0),MAX(0,AD891-IF($A928&gt;='1-Input'!$C$12,'1-Input'!$B$12,0))))*(1/(1-'P-Parametri'!$B$6*AD928))),MAX(0,5*AD891-(AH927-MIN(MAX(AH927,0),MAX(0,AD891-IF($A928&gt;='1-Input'!$C$12,'1-Input'!$B$12,0)))))*(1/(1-'P-Parametri'!$B$6*AD928))))</f>
        <v>0</v>
      </c>
      <c r="AF928" s="18">
        <f>IF($A928&gt;'1-Input'!$B$26,AH927,(AH927-MAX(0,AD891-IF($A928&gt;='1-Input'!$C$12,'1-Input'!$B$12,0))+AE928*(1-'P-Parametri'!$B$6*AD928))*(1+'1-Input'!$B$27))</f>
        <v>69753.087622557709</v>
      </c>
      <c r="AG928" s="18">
        <f>IF($A928&gt;'1-Input'!$B$26,AI927,(AI927-AE928)*(1+$D$4))</f>
        <v>0</v>
      </c>
      <c r="AH928" s="18">
        <f>IF($A928&gt;'1-Input'!$B$26,AF928,AF928-'P-Parametri'!$B$8*(AG928+AF928)+MIN(MAX(AG928,0),'P-Parametri'!$B$8*(AG928+AF928)))</f>
        <v>69613.581447312594</v>
      </c>
      <c r="AI928" s="18">
        <f>IF($A928&gt;'1-Input'!$B$26,AG928,AG928-MIN(MAX(AG928,0),'P-Parametri'!$B$8*(AG928+AF928)))</f>
        <v>0</v>
      </c>
      <c r="AJ928" s="18">
        <f>IF($A928&gt;'1-Input'!$B$26,AJ927,AJ927-AE928*(1-AD928))</f>
        <v>1.1368683772161603E-13</v>
      </c>
      <c r="AK928" s="11">
        <f>IF($A928&gt;'1-Input'!$B$26,0,IF(AP927&lt;=0,0,MAX(0,(AP927-AQ927)/AP927)))</f>
        <v>0</v>
      </c>
      <c r="AL928" s="18">
        <f>IF($A928&gt;'1-Input'!$B$26,0,(MAX(0,AK891-IF($A928&gt;='1-Input'!$C$12,'1-Input'!$B$12,0))-MIN(MAX(AO927,0),MAX(0,AK891-IF($A928&gt;='1-Input'!$C$12,'1-Input'!$B$12,0))))*(1/(1-'P-Parametri'!$B$6*AK928))+MIN(MAX(0,AP927-(MAX(0,AK891-IF($A928&gt;='1-Input'!$C$12,'1-Input'!$B$12,0))-MIN(MAX(AO927,0),MAX(0,AK891-IF($A928&gt;='1-Input'!$C$12,'1-Input'!$B$12,0))))*(1/(1-'P-Parametri'!$B$6*AK928))),MAX(0,5*AK891-(AO927-MIN(MAX(AO927,0),MAX(0,AK891-IF($A928&gt;='1-Input'!$C$12,'1-Input'!$B$12,0)))))*(1/(1-'P-Parametri'!$B$6*AK928))))</f>
        <v>0</v>
      </c>
      <c r="AM928" s="18">
        <f>IF($A928&gt;'1-Input'!$B$26,AO927,(AO927-MAX(0,AK891-IF($A928&gt;='1-Input'!$C$12,'1-Input'!$B$12,0))+AL928*(1-'P-Parametri'!$B$6*AK928))*(1+'1-Input'!$B$27))</f>
        <v>69701.003023001234</v>
      </c>
      <c r="AN928" s="18">
        <f>IF($A928&gt;'1-Input'!$B$26,AP927,(AP927-AL928)*(1+$D$4))</f>
        <v>0</v>
      </c>
      <c r="AO928" s="18">
        <f>IF($A928&gt;'1-Input'!$B$26,AM928,AM928-'P-Parametri'!$B$8*(AN928+AM928)+MIN(MAX(AN928,0),'P-Parametri'!$B$8*(AN928+AM928)))</f>
        <v>69561.601016955232</v>
      </c>
      <c r="AP928" s="18">
        <f>IF($A928&gt;'1-Input'!$B$26,AN928,AN928-MIN(MAX(AN928,0),'P-Parametri'!$B$8*(AN928+AM928)))</f>
        <v>0</v>
      </c>
      <c r="AQ928" s="18">
        <f>IF($A928&gt;'1-Input'!$B$26,AQ927,AQ927-AL928*(1-AK928))</f>
        <v>-1.1368683772161603E-13</v>
      </c>
    </row>
    <row r="929" spans="1:43">
      <c r="A929" s="10">
        <f>36</f>
        <v>36</v>
      </c>
      <c r="B929" s="11">
        <f>IF($A929&gt;'1-Input'!$B$26,0,IF(G928&lt;=0,0,MAX(0,(G928-H928)/G928)))</f>
        <v>0.77978826153351211</v>
      </c>
      <c r="C929" s="18">
        <f>IF($A929&gt;'1-Input'!$B$26,0,(MAX(0,B891-IF($A929&gt;='1-Input'!$C$12,'1-Input'!$B$12,0))-MIN(MAX(F928,0),MAX(0,B891-IF($A929&gt;='1-Input'!$C$12,'1-Input'!$B$12,0))))*(1/(1-'P-Parametri'!$B$6*B929))+MIN(MAX(0,G928-(MAX(0,B891-IF($A929&gt;='1-Input'!$C$12,'1-Input'!$B$12,0))-MIN(MAX(F928,0),MAX(0,B891-IF($A929&gt;='1-Input'!$C$12,'1-Input'!$B$12,0))))*(1/(1-'P-Parametri'!$B$6*B929))),MAX(0,5*B891-(F928-MIN(MAX(F928,0),MAX(0,B891-IF($A929&gt;='1-Input'!$C$12,'1-Input'!$B$12,0)))))*(1/(1-'P-Parametri'!$B$6*B929))))</f>
        <v>7374.4459762665574</v>
      </c>
      <c r="D929" s="18">
        <f>IF($A929&gt;'1-Input'!$B$26,F928,(F928-MAX(0,B891-IF($A929&gt;='1-Input'!$C$12,'1-Input'!$B$12,0))+C929*(1-'P-Parametri'!$B$6*B929))*(1+'1-Input'!$B$27))</f>
        <v>83105.01757746574</v>
      </c>
      <c r="E929" s="18">
        <f>IF($A929&gt;'1-Input'!$B$26,G928,(G928-C929)*(1+$D$4))</f>
        <v>95652.674116300201</v>
      </c>
      <c r="F929" s="18">
        <f>IF($A929&gt;'1-Input'!$B$26,D929,D929-'P-Parametri'!$B$8*(E929+D929)+MIN(MAX(E929,0),'P-Parametri'!$B$8*(E929+D929)))</f>
        <v>83105.01757746574</v>
      </c>
      <c r="G929" s="18">
        <f>IF($A929&gt;'1-Input'!$B$26,E929,E929-MIN(MAX(E929,0),'P-Parametri'!$B$8*(E929+D929)))</f>
        <v>95295.158732912663</v>
      </c>
      <c r="H929" s="18">
        <f>IF($A929&gt;'1-Input'!$B$26,H928,H928-C929*(1-B929))</f>
        <v>20253.693900114333</v>
      </c>
      <c r="I929" s="11">
        <f>IF($A929&gt;'1-Input'!$B$26,0,IF(N928&lt;=0,0,MAX(0,(N928-O928)/N928)))</f>
        <v>0</v>
      </c>
      <c r="J929" s="18">
        <f>IF($A929&gt;'1-Input'!$B$26,0,(MAX(0,I891-IF($A929&gt;='1-Input'!$C$12,'1-Input'!$B$12,0))-MIN(MAX(M928,0),MAX(0,I891-IF($A929&gt;='1-Input'!$C$12,'1-Input'!$B$12,0))))*(1/(1-'P-Parametri'!$B$6*I929))+MIN(MAX(0,N928-(MAX(0,I891-IF($A929&gt;='1-Input'!$C$12,'1-Input'!$B$12,0))-MIN(MAX(M928,0),MAX(0,I891-IF($A929&gt;='1-Input'!$C$12,'1-Input'!$B$12,0))))*(1/(1-'P-Parametri'!$B$6*I929))),MAX(0,5*I891-(M928-MIN(MAX(M928,0),MAX(0,I891-IF($A929&gt;='1-Input'!$C$12,'1-Input'!$B$12,0)))))*(1/(1-'P-Parametri'!$B$6*I929))))</f>
        <v>10846.756992928691</v>
      </c>
      <c r="K929" s="18">
        <f>IF($A929&gt;'1-Input'!$B$26,M928,(M928-MAX(0,I891-IF($A929&gt;='1-Input'!$C$12,'1-Input'!$B$12,0))+J929*(1-'P-Parametri'!$B$6*I929))*(1+'1-Input'!$B$27))</f>
        <v>0</v>
      </c>
      <c r="L929" s="18">
        <f>IF($A929&gt;'1-Input'!$B$26,N928,(N928-J929)*(1+$D$4))</f>
        <v>-185036.55047679431</v>
      </c>
      <c r="M929" s="18">
        <f>IF($A929&gt;'1-Input'!$B$26,K929,K929-'P-Parametri'!$B$8*(L929+K929)+MIN(MAX(L929,0),'P-Parametri'!$B$8*(L929+K929)))</f>
        <v>0</v>
      </c>
      <c r="N929" s="18">
        <f>IF($A929&gt;'1-Input'!$B$26,L929,L929-MIN(MAX(L929,0),'P-Parametri'!$B$8*(L929+K929)))</f>
        <v>-184666.47737584071</v>
      </c>
      <c r="O929" s="18">
        <f>IF($A929&gt;'1-Input'!$B$26,O928,O928-J929*(1-I929))</f>
        <v>-140954.01301505195</v>
      </c>
      <c r="P929" s="11">
        <f>IF($A929&gt;'1-Input'!$B$26,0,IF(U928&lt;=0,0,MAX(0,(U928-V928)/U928)))</f>
        <v>0</v>
      </c>
      <c r="Q929" s="18">
        <f>IF($A929&gt;'1-Input'!$B$26,0,(MAX(0,P891-IF($A929&gt;='1-Input'!$C$12,'1-Input'!$B$12,0))-MIN(MAX(T928,0),MAX(0,P891-IF($A929&gt;='1-Input'!$C$12,'1-Input'!$B$12,0))))*(1/(1-'P-Parametri'!$B$6*P929))+MIN(MAX(0,U928-(MAX(0,P891-IF($A929&gt;='1-Input'!$C$12,'1-Input'!$B$12,0))-MIN(MAX(T928,0),MAX(0,P891-IF($A929&gt;='1-Input'!$C$12,'1-Input'!$B$12,0))))*(1/(1-'P-Parametri'!$B$6*P929))),MAX(0,5*P891-(T928-MIN(MAX(T928,0),MAX(0,P891-IF($A929&gt;='1-Input'!$C$12,'1-Input'!$B$12,0)))))*(1/(1-'P-Parametri'!$B$6*P929))))</f>
        <v>0</v>
      </c>
      <c r="R929" s="18">
        <f>IF($A929&gt;'1-Input'!$B$26,T928,(T928-MAX(0,P891-IF($A929&gt;='1-Input'!$C$12,'1-Input'!$B$12,0))+Q929*(1-'P-Parametri'!$B$6*P929))*(1+'1-Input'!$B$27))</f>
        <v>50693.923859209302</v>
      </c>
      <c r="S929" s="18">
        <f>IF($A929&gt;'1-Input'!$B$26,U928,(U928-Q929)*(1+$D$4))</f>
        <v>0</v>
      </c>
      <c r="T929" s="18">
        <f>IF($A929&gt;'1-Input'!$B$26,R929,R929-'P-Parametri'!$B$8*(S929+R929)+MIN(MAX(S929,0),'P-Parametri'!$B$8*(S929+R929)))</f>
        <v>50592.536011490884</v>
      </c>
      <c r="U929" s="18">
        <f>IF($A929&gt;'1-Input'!$B$26,S929,S929-MIN(MAX(S929,0),'P-Parametri'!$B$8*(S929+R929)))</f>
        <v>0</v>
      </c>
      <c r="V929" s="18">
        <f>IF($A929&gt;'1-Input'!$B$26,V928,V928-Q929*(1-P929))</f>
        <v>2.2737367544323206E-13</v>
      </c>
      <c r="W929" s="11">
        <f>IF($A929&gt;'1-Input'!$B$26,0,IF(AB928&lt;=0,0,MAX(0,(AB928-AC928)/AB928)))</f>
        <v>0</v>
      </c>
      <c r="X929" s="18">
        <f>IF($A929&gt;'1-Input'!$B$26,0,(MAX(0,W891-IF($A929&gt;='1-Input'!$C$12,'1-Input'!$B$12,0))-MIN(MAX(AA928,0),MAX(0,W891-IF($A929&gt;='1-Input'!$C$12,'1-Input'!$B$12,0))))*(1/(1-'P-Parametri'!$B$6*W929))+MIN(MAX(0,AB928-(MAX(0,W891-IF($A929&gt;='1-Input'!$C$12,'1-Input'!$B$12,0))-MIN(MAX(AA928,0),MAX(0,W891-IF($A929&gt;='1-Input'!$C$12,'1-Input'!$B$12,0))))*(1/(1-'P-Parametri'!$B$6*W929))),MAX(0,5*W891-(AA928-MIN(MAX(AA928,0),MAX(0,W891-IF($A929&gt;='1-Input'!$C$12,'1-Input'!$B$12,0)))))*(1/(1-'P-Parametri'!$B$6*W929))))</f>
        <v>0</v>
      </c>
      <c r="Y929" s="18">
        <f>IF($A929&gt;'1-Input'!$B$26,AA928,(AA928-MAX(0,W891-IF($A929&gt;='1-Input'!$C$12,'1-Input'!$B$12,0))+X929*(1-'P-Parametri'!$B$6*W929))*(1+'1-Input'!$B$27))</f>
        <v>60436.576826357559</v>
      </c>
      <c r="Z929" s="18">
        <f>IF($A929&gt;'1-Input'!$B$26,AB928,(AB928-X929)*(1+$D$4))</f>
        <v>0</v>
      </c>
      <c r="AA929" s="18">
        <f>IF($A929&gt;'1-Input'!$B$26,Y929,Y929-'P-Parametri'!$B$8*(Z929+Y929)+MIN(MAX(Z929,0),'P-Parametri'!$B$8*(Z929+Y929)))</f>
        <v>60315.703672704847</v>
      </c>
      <c r="AB929" s="18">
        <f>IF($A929&gt;'1-Input'!$B$26,Z929,Z929-MIN(MAX(Z929,0),'P-Parametri'!$B$8*(Z929+Y929)))</f>
        <v>0</v>
      </c>
      <c r="AC929" s="18">
        <f>IF($A929&gt;'1-Input'!$B$26,AC928,AC928-X929*(1-W929))</f>
        <v>24.280895585298822</v>
      </c>
      <c r="AD929" s="11">
        <f>IF($A929&gt;'1-Input'!$B$26,0,IF(AI928&lt;=0,0,MAX(0,(AI928-AJ928)/AI928)))</f>
        <v>0</v>
      </c>
      <c r="AE929" s="18">
        <f>IF($A929&gt;'1-Input'!$B$26,0,(MAX(0,AD891-IF($A929&gt;='1-Input'!$C$12,'1-Input'!$B$12,0))-MIN(MAX(AH928,0),MAX(0,AD891-IF($A929&gt;='1-Input'!$C$12,'1-Input'!$B$12,0))))*(1/(1-'P-Parametri'!$B$6*AD929))+MIN(MAX(0,AI928-(MAX(0,AD891-IF($A929&gt;='1-Input'!$C$12,'1-Input'!$B$12,0))-MIN(MAX(AH928,0),MAX(0,AD891-IF($A929&gt;='1-Input'!$C$12,'1-Input'!$B$12,0))))*(1/(1-'P-Parametri'!$B$6*AD929))),MAX(0,5*AD891-(AH928-MIN(MAX(AH928,0),MAX(0,AD891-IF($A929&gt;='1-Input'!$C$12,'1-Input'!$B$12,0)))))*(1/(1-'P-Parametri'!$B$6*AD929))))</f>
        <v>0</v>
      </c>
      <c r="AF929" s="18">
        <f>IF($A929&gt;'1-Input'!$B$26,AH928,(AH928-MAX(0,AD891-IF($A929&gt;='1-Input'!$C$12,'1-Input'!$B$12,0))+AE929*(1-'P-Parametri'!$B$6*AD929))*(1+'1-Input'!$B$27))</f>
        <v>62606.538924871224</v>
      </c>
      <c r="AG929" s="18">
        <f>IF($A929&gt;'1-Input'!$B$26,AI928,(AI928-AE929)*(1+$D$4))</f>
        <v>0</v>
      </c>
      <c r="AH929" s="18">
        <f>IF($A929&gt;'1-Input'!$B$26,AF929,AF929-'P-Parametri'!$B$8*(AG929+AF929)+MIN(MAX(AG929,0),'P-Parametri'!$B$8*(AG929+AF929)))</f>
        <v>62481.325847021479</v>
      </c>
      <c r="AI929" s="18">
        <f>IF($A929&gt;'1-Input'!$B$26,AG929,AG929-MIN(MAX(AG929,0),'P-Parametri'!$B$8*(AG929+AF929)))</f>
        <v>0</v>
      </c>
      <c r="AJ929" s="18">
        <f>IF($A929&gt;'1-Input'!$B$26,AJ928,AJ928-AE929*(1-AD929))</f>
        <v>1.1368683772161603E-13</v>
      </c>
      <c r="AK929" s="11">
        <f>IF($A929&gt;'1-Input'!$B$26,0,IF(AP928&lt;=0,0,MAX(0,(AP928-AQ928)/AP928)))</f>
        <v>0</v>
      </c>
      <c r="AL929" s="18">
        <f>IF($A929&gt;'1-Input'!$B$26,0,(MAX(0,AK891-IF($A929&gt;='1-Input'!$C$12,'1-Input'!$B$12,0))-MIN(MAX(AO928,0),MAX(0,AK891-IF($A929&gt;='1-Input'!$C$12,'1-Input'!$B$12,0))))*(1/(1-'P-Parametri'!$B$6*AK929))+MIN(MAX(0,AP928-(MAX(0,AK891-IF($A929&gt;='1-Input'!$C$12,'1-Input'!$B$12,0))-MIN(MAX(AO928,0),MAX(0,AK891-IF($A929&gt;='1-Input'!$C$12,'1-Input'!$B$12,0))))*(1/(1-'P-Parametri'!$B$6*AK929))),MAX(0,5*AK891-(AO928-MIN(MAX(AO928,0),MAX(0,AK891-IF($A929&gt;='1-Input'!$C$12,'1-Input'!$B$12,0)))))*(1/(1-'P-Parametri'!$B$6*AK929))))</f>
        <v>0</v>
      </c>
      <c r="AM929" s="18">
        <f>IF($A929&gt;'1-Input'!$B$26,AO928,(AO928-MAX(0,AK891-IF($A929&gt;='1-Input'!$C$12,'1-Input'!$B$12,0))+AL929*(1-'P-Parametri'!$B$6*AK929))*(1+'1-Input'!$B$27))</f>
        <v>62553.994520509055</v>
      </c>
      <c r="AN929" s="18">
        <f>IF($A929&gt;'1-Input'!$B$26,AP928,(AP928-AL929)*(1+$D$4))</f>
        <v>0</v>
      </c>
      <c r="AO929" s="18">
        <f>IF($A929&gt;'1-Input'!$B$26,AM929,AM929-'P-Parametri'!$B$8*(AN929+AM929)+MIN(MAX(AN929,0),'P-Parametri'!$B$8*(AN929+AM929)))</f>
        <v>62428.886531468037</v>
      </c>
      <c r="AP929" s="18">
        <f>IF($A929&gt;'1-Input'!$B$26,AN929,AN929-MIN(MAX(AN929,0),'P-Parametri'!$B$8*(AN929+AM929)))</f>
        <v>0</v>
      </c>
      <c r="AQ929" s="18">
        <f>IF($A929&gt;'1-Input'!$B$26,AQ928,AQ928-AL929*(1-AK929))</f>
        <v>-1.1368683772161603E-13</v>
      </c>
    </row>
    <row r="930" spans="1:43">
      <c r="A930" s="10">
        <f>37</f>
        <v>37</v>
      </c>
      <c r="B930" s="11">
        <f>IF($A930&gt;'1-Input'!$B$26,0,IF(G929&lt;=0,0,MAX(0,(G929-H929)/G929)))</f>
        <v>0.78746355880596075</v>
      </c>
      <c r="C930" s="18">
        <f>IF($A930&gt;'1-Input'!$B$26,0,(MAX(0,B891-IF($A930&gt;='1-Input'!$C$12,'1-Input'!$B$12,0))-MIN(MAX(F929,0),MAX(0,B891-IF($A930&gt;='1-Input'!$C$12,'1-Input'!$B$12,0))))*(1/(1-'P-Parametri'!$B$6*B930))+MIN(MAX(0,G929-(MAX(0,B891-IF($A930&gt;='1-Input'!$C$12,'1-Input'!$B$12,0))-MIN(MAX(F929,0),MAX(0,B891-IF($A930&gt;='1-Input'!$C$12,'1-Input'!$B$12,0))))*(1/(1-'P-Parametri'!$B$6*B930))),MAX(0,5*B891-(F929-MIN(MAX(F929,0),MAX(0,B891-IF($A930&gt;='1-Input'!$C$12,'1-Input'!$B$12,0)))))*(1/(1-'P-Parametri'!$B$6*B930))))</f>
        <v>7392.9509766981428</v>
      </c>
      <c r="D930" s="18">
        <f>IF($A930&gt;'1-Input'!$B$26,F929,(F929-MAX(0,B891-IF($A930&gt;='1-Input'!$C$12,'1-Input'!$B$12,0))+C930*(1-'P-Parametri'!$B$6*B930))*(1+'1-Input'!$B$27))</f>
        <v>83105.01757746574</v>
      </c>
      <c r="E930" s="18">
        <f>IF($A930&gt;'1-Input'!$B$26,G929,(G929-C930)*(1+$D$4))</f>
        <v>91418.296066463095</v>
      </c>
      <c r="F930" s="18">
        <f>IF($A930&gt;'1-Input'!$B$26,D930,D930-'P-Parametri'!$B$8*(E930+D930)+MIN(MAX(E930,0),'P-Parametri'!$B$8*(E930+D930)))</f>
        <v>83105.01757746574</v>
      </c>
      <c r="G930" s="18">
        <f>IF($A930&gt;'1-Input'!$B$26,E930,E930-MIN(MAX(E930,0),'P-Parametri'!$B$8*(E930+D930)))</f>
        <v>91069.249439175241</v>
      </c>
      <c r="H930" s="18">
        <f>IF($A930&gt;'1-Input'!$B$26,H929,H929-C930*(1-B930))</f>
        <v>18682.422409604915</v>
      </c>
      <c r="I930" s="11">
        <f>IF($A930&gt;'1-Input'!$B$26,0,IF(N929&lt;=0,0,MAX(0,(N929-O929)/N929)))</f>
        <v>0</v>
      </c>
      <c r="J930" s="18">
        <f>IF($A930&gt;'1-Input'!$B$26,0,(MAX(0,I891-IF($A930&gt;='1-Input'!$C$12,'1-Input'!$B$12,0))-MIN(MAX(M929,0),MAX(0,I891-IF($A930&gt;='1-Input'!$C$12,'1-Input'!$B$12,0))))*(1/(1-'P-Parametri'!$B$6*I930))+MIN(MAX(0,N929-(MAX(0,I891-IF($A930&gt;='1-Input'!$C$12,'1-Input'!$B$12,0))-MIN(MAX(M929,0),MAX(0,I891-IF($A930&gt;='1-Input'!$C$12,'1-Input'!$B$12,0))))*(1/(1-'P-Parametri'!$B$6*I930))),MAX(0,5*I891-(M929-MIN(MAX(M929,0),MAX(0,I891-IF($A930&gt;='1-Input'!$C$12,'1-Input'!$B$12,0)))))*(1/(1-'P-Parametri'!$B$6*I930))))</f>
        <v>10846.756992928691</v>
      </c>
      <c r="K930" s="18">
        <f>IF($A930&gt;'1-Input'!$B$26,M929,(M929-MAX(0,I891-IF($A930&gt;='1-Input'!$C$12,'1-Input'!$B$12,0))+J930*(1-'P-Parametri'!$B$6*I930))*(1+'1-Input'!$B$27))</f>
        <v>0</v>
      </c>
      <c r="L930" s="18">
        <f>IF($A930&gt;'1-Input'!$B$26,N929,(N929-J930)*(1+$D$4))</f>
        <v>-203333.76374352019</v>
      </c>
      <c r="M930" s="18">
        <f>IF($A930&gt;'1-Input'!$B$26,K930,K930-'P-Parametri'!$B$8*(L930+K930)+MIN(MAX(L930,0),'P-Parametri'!$B$8*(L930+K930)))</f>
        <v>0</v>
      </c>
      <c r="N930" s="18">
        <f>IF($A930&gt;'1-Input'!$B$26,L930,L930-MIN(MAX(L930,0),'P-Parametri'!$B$8*(L930+K930)))</f>
        <v>-202927.09621603315</v>
      </c>
      <c r="O930" s="18">
        <f>IF($A930&gt;'1-Input'!$B$26,O929,O929-J930*(1-I930))</f>
        <v>-151800.77000798064</v>
      </c>
      <c r="P930" s="11">
        <f>IF($A930&gt;'1-Input'!$B$26,0,IF(U929&lt;=0,0,MAX(0,(U929-V929)/U929)))</f>
        <v>0</v>
      </c>
      <c r="Q930" s="18">
        <f>IF($A930&gt;'1-Input'!$B$26,0,(MAX(0,P891-IF($A930&gt;='1-Input'!$C$12,'1-Input'!$B$12,0))-MIN(MAX(T929,0),MAX(0,P891-IF($A930&gt;='1-Input'!$C$12,'1-Input'!$B$12,0))))*(1/(1-'P-Parametri'!$B$6*P930))+MIN(MAX(0,U929-(MAX(0,P891-IF($A930&gt;='1-Input'!$C$12,'1-Input'!$B$12,0))-MIN(MAX(T929,0),MAX(0,P891-IF($A930&gt;='1-Input'!$C$12,'1-Input'!$B$12,0))))*(1/(1-'P-Parametri'!$B$6*P930))),MAX(0,5*P891-(T929-MIN(MAX(T929,0),MAX(0,P891-IF($A930&gt;='1-Input'!$C$12,'1-Input'!$B$12,0)))))*(1/(1-'P-Parametri'!$B$6*P930))))</f>
        <v>0</v>
      </c>
      <c r="R930" s="18">
        <f>IF($A930&gt;'1-Input'!$B$26,T929,(T929-MAX(0,P891-IF($A930&gt;='1-Input'!$C$12,'1-Input'!$B$12,0))+Q930*(1-'P-Parametri'!$B$6*P930))*(1+'1-Input'!$B$27))</f>
        <v>43477.818210803984</v>
      </c>
      <c r="S930" s="18">
        <f>IF($A930&gt;'1-Input'!$B$26,U929,(U929-Q930)*(1+$D$4))</f>
        <v>0</v>
      </c>
      <c r="T930" s="18">
        <f>IF($A930&gt;'1-Input'!$B$26,R930,R930-'P-Parametri'!$B$8*(S930+R930)+MIN(MAX(S930,0),'P-Parametri'!$B$8*(S930+R930)))</f>
        <v>43390.862574382372</v>
      </c>
      <c r="U930" s="18">
        <f>IF($A930&gt;'1-Input'!$B$26,S930,S930-MIN(MAX(S930,0),'P-Parametri'!$B$8*(S930+R930)))</f>
        <v>0</v>
      </c>
      <c r="V930" s="18">
        <f>IF($A930&gt;'1-Input'!$B$26,V929,V929-Q930*(1-P930))</f>
        <v>2.2737367544323206E-13</v>
      </c>
      <c r="W930" s="11">
        <f>IF($A930&gt;'1-Input'!$B$26,0,IF(AB929&lt;=0,0,MAX(0,(AB929-AC929)/AB929)))</f>
        <v>0</v>
      </c>
      <c r="X930" s="18">
        <f>IF($A930&gt;'1-Input'!$B$26,0,(MAX(0,W891-IF($A930&gt;='1-Input'!$C$12,'1-Input'!$B$12,0))-MIN(MAX(AA929,0),MAX(0,W891-IF($A930&gt;='1-Input'!$C$12,'1-Input'!$B$12,0))))*(1/(1-'P-Parametri'!$B$6*W930))+MIN(MAX(0,AB929-(MAX(0,W891-IF($A930&gt;='1-Input'!$C$12,'1-Input'!$B$12,0))-MIN(MAX(AA929,0),MAX(0,W891-IF($A930&gt;='1-Input'!$C$12,'1-Input'!$B$12,0))))*(1/(1-'P-Parametri'!$B$6*W930))),MAX(0,5*W891-(AA929-MIN(MAX(AA929,0),MAX(0,W891-IF($A930&gt;='1-Input'!$C$12,'1-Input'!$B$12,0)))))*(1/(1-'P-Parametri'!$B$6*W930))))</f>
        <v>0</v>
      </c>
      <c r="Y930" s="18">
        <f>IF($A930&gt;'1-Input'!$B$26,AA929,(AA929-MAX(0,W891-IF($A930&gt;='1-Input'!$C$12,'1-Input'!$B$12,0))+X930*(1-'P-Parametri'!$B$6*W930))*(1+'1-Input'!$B$27))</f>
        <v>53311.509065219441</v>
      </c>
      <c r="Z930" s="18">
        <f>IF($A930&gt;'1-Input'!$B$26,AB929,(AB929-X930)*(1+$D$4))</f>
        <v>0</v>
      </c>
      <c r="AA930" s="18">
        <f>IF($A930&gt;'1-Input'!$B$26,Y930,Y930-'P-Parametri'!$B$8*(Z930+Y930)+MIN(MAX(Z930,0),'P-Parametri'!$B$8*(Z930+Y930)))</f>
        <v>53204.886047088999</v>
      </c>
      <c r="AB930" s="18">
        <f>IF($A930&gt;'1-Input'!$B$26,Z930,Z930-MIN(MAX(Z930,0),'P-Parametri'!$B$8*(Z930+Y930)))</f>
        <v>0</v>
      </c>
      <c r="AC930" s="18">
        <f>IF($A930&gt;'1-Input'!$B$26,AC929,AC929-X930*(1-W930))</f>
        <v>24.280895585298822</v>
      </c>
      <c r="AD930" s="11">
        <f>IF($A930&gt;'1-Input'!$B$26,0,IF(AI929&lt;=0,0,MAX(0,(AI929-AJ929)/AI929)))</f>
        <v>0</v>
      </c>
      <c r="AE930" s="18">
        <f>IF($A930&gt;'1-Input'!$B$26,0,(MAX(0,AD891-IF($A930&gt;='1-Input'!$C$12,'1-Input'!$B$12,0))-MIN(MAX(AH929,0),MAX(0,AD891-IF($A930&gt;='1-Input'!$C$12,'1-Input'!$B$12,0))))*(1/(1-'P-Parametri'!$B$6*AD930))+MIN(MAX(0,AI929-(MAX(0,AD891-IF($A930&gt;='1-Input'!$C$12,'1-Input'!$B$12,0))-MIN(MAX(AH929,0),MAX(0,AD891-IF($A930&gt;='1-Input'!$C$12,'1-Input'!$B$12,0))))*(1/(1-'P-Parametri'!$B$6*AD930))),MAX(0,5*AD891-(AH929-MIN(MAX(AH929,0),MAX(0,AD891-IF($A930&gt;='1-Input'!$C$12,'1-Input'!$B$12,0)))))*(1/(1-'P-Parametri'!$B$6*AD930))))</f>
        <v>0</v>
      </c>
      <c r="AF930" s="18">
        <f>IF($A930&gt;'1-Input'!$B$26,AH929,(AH929-MAX(0,AD891-IF($A930&gt;='1-Input'!$C$12,'1-Input'!$B$12,0))+AE930*(1-'P-Parametri'!$B$6*AD930))*(1+'1-Input'!$B$27))</f>
        <v>55499.959444741158</v>
      </c>
      <c r="AG930" s="18">
        <f>IF($A930&gt;'1-Input'!$B$26,AI929,(AI929-AE930)*(1+$D$4))</f>
        <v>0</v>
      </c>
      <c r="AH930" s="18">
        <f>IF($A930&gt;'1-Input'!$B$26,AF930,AF930-'P-Parametri'!$B$8*(AG930+AF930)+MIN(MAX(AG930,0),'P-Parametri'!$B$8*(AG930+AF930)))</f>
        <v>55388.959525851678</v>
      </c>
      <c r="AI930" s="18">
        <f>IF($A930&gt;'1-Input'!$B$26,AG930,AG930-MIN(MAX(AG930,0),'P-Parametri'!$B$8*(AG930+AF930)))</f>
        <v>0</v>
      </c>
      <c r="AJ930" s="18">
        <f>IF($A930&gt;'1-Input'!$B$26,AJ929,AJ929-AE930*(1-AD930))</f>
        <v>1.1368683772161603E-13</v>
      </c>
      <c r="AK930" s="11">
        <f>IF($A930&gt;'1-Input'!$B$26,0,IF(AP929&lt;=0,0,MAX(0,(AP929-AQ929)/AP929)))</f>
        <v>0</v>
      </c>
      <c r="AL930" s="18">
        <f>IF($A930&gt;'1-Input'!$B$26,0,(MAX(0,AK891-IF($A930&gt;='1-Input'!$C$12,'1-Input'!$B$12,0))-MIN(MAX(AO929,0),MAX(0,AK891-IF($A930&gt;='1-Input'!$C$12,'1-Input'!$B$12,0))))*(1/(1-'P-Parametri'!$B$6*AK930))+MIN(MAX(0,AP929-(MAX(0,AK891-IF($A930&gt;='1-Input'!$C$12,'1-Input'!$B$12,0))-MIN(MAX(AO929,0),MAX(0,AK891-IF($A930&gt;='1-Input'!$C$12,'1-Input'!$B$12,0))))*(1/(1-'P-Parametri'!$B$6*AK930))),MAX(0,5*AK891-(AO929-MIN(MAX(AO929,0),MAX(0,AK891-IF($A930&gt;='1-Input'!$C$12,'1-Input'!$B$12,0)))))*(1/(1-'P-Parametri'!$B$6*AK930))))</f>
        <v>0</v>
      </c>
      <c r="AM930" s="18">
        <f>IF($A930&gt;'1-Input'!$B$26,AO929,(AO929-MAX(0,AK891-IF($A930&gt;='1-Input'!$C$12,'1-Input'!$B$12,0))+AL930*(1-'P-Parametri'!$B$6*AK930))*(1+'1-Input'!$B$27))</f>
        <v>55446.957807169616</v>
      </c>
      <c r="AN930" s="18">
        <f>IF($A930&gt;'1-Input'!$B$26,AP929,(AP929-AL930)*(1+$D$4))</f>
        <v>0</v>
      </c>
      <c r="AO930" s="18">
        <f>IF($A930&gt;'1-Input'!$B$26,AM930,AM930-'P-Parametri'!$B$8*(AN930+AM930)+MIN(MAX(AN930,0),'P-Parametri'!$B$8*(AN930+AM930)))</f>
        <v>55336.063891555277</v>
      </c>
      <c r="AP930" s="18">
        <f>IF($A930&gt;'1-Input'!$B$26,AN930,AN930-MIN(MAX(AN930,0),'P-Parametri'!$B$8*(AN930+AM930)))</f>
        <v>0</v>
      </c>
      <c r="AQ930" s="18">
        <f>IF($A930&gt;'1-Input'!$B$26,AQ929,AQ929-AL930*(1-AK930))</f>
        <v>-1.1368683772161603E-13</v>
      </c>
    </row>
    <row r="931" spans="1:43">
      <c r="A931" s="10">
        <f>38</f>
        <v>38</v>
      </c>
      <c r="B931" s="11">
        <f>IF($A931&gt;'1-Input'!$B$26,0,IF(G930&lt;=0,0,MAX(0,(G930-H930)/G930)))</f>
        <v>0.79485476684330392</v>
      </c>
      <c r="C931" s="18">
        <f>IF($A931&gt;'1-Input'!$B$26,0,(MAX(0,B891-IF($A931&gt;='1-Input'!$C$12,'1-Input'!$B$12,0))-MIN(MAX(F930,0),MAX(0,B891-IF($A931&gt;='1-Input'!$C$12,'1-Input'!$B$12,0))))*(1/(1-'P-Parametri'!$B$6*B931))+MIN(MAX(0,G930-(MAX(0,B891-IF($A931&gt;='1-Input'!$C$12,'1-Input'!$B$12,0))-MIN(MAX(F930,0),MAX(0,B891-IF($A931&gt;='1-Input'!$C$12,'1-Input'!$B$12,0))))*(1/(1-'P-Parametri'!$B$6*B931))),MAX(0,5*B891-(F930-MIN(MAX(F930,0),MAX(0,B891-IF($A931&gt;='1-Input'!$C$12,'1-Input'!$B$12,0)))))*(1/(1-'P-Parametri'!$B$6*B931))))</f>
        <v>7410.859033974195</v>
      </c>
      <c r="D931" s="18">
        <f>IF($A931&gt;'1-Input'!$B$26,F930,(F930-MAX(0,B891-IF($A931&gt;='1-Input'!$C$12,'1-Input'!$B$12,0))+C931*(1-'P-Parametri'!$B$6*B931))*(1+'1-Input'!$B$27))</f>
        <v>83105.01757746574</v>
      </c>
      <c r="E931" s="18">
        <f>IF($A931&gt;'1-Input'!$B$26,G930,(G930-C931)*(1+$D$4))</f>
        <v>87004.726021409093</v>
      </c>
      <c r="F931" s="18">
        <f>IF($A931&gt;'1-Input'!$B$26,D931,D931-'P-Parametri'!$B$8*(E931+D931)+MIN(MAX(E931,0),'P-Parametri'!$B$8*(E931+D931)))</f>
        <v>83105.01757746574</v>
      </c>
      <c r="G931" s="18">
        <f>IF($A931&gt;'1-Input'!$B$26,E931,E931-MIN(MAX(E931,0),'P-Parametri'!$B$8*(E931+D931)))</f>
        <v>86664.506534211338</v>
      </c>
      <c r="H931" s="18">
        <f>IF($A931&gt;'1-Input'!$B$26,H930,H930-C931*(1-B931))</f>
        <v>17162.12000518887</v>
      </c>
      <c r="I931" s="11">
        <f>IF($A931&gt;'1-Input'!$B$26,0,IF(N930&lt;=0,0,MAX(0,(N930-O930)/N930)))</f>
        <v>0</v>
      </c>
      <c r="J931" s="18">
        <f>IF($A931&gt;'1-Input'!$B$26,0,(MAX(0,I891-IF($A931&gt;='1-Input'!$C$12,'1-Input'!$B$12,0))-MIN(MAX(M930,0),MAX(0,I891-IF($A931&gt;='1-Input'!$C$12,'1-Input'!$B$12,0))))*(1/(1-'P-Parametri'!$B$6*I931))+MIN(MAX(0,N930-(MAX(0,I891-IF($A931&gt;='1-Input'!$C$12,'1-Input'!$B$12,0))-MIN(MAX(M930,0),MAX(0,I891-IF($A931&gt;='1-Input'!$C$12,'1-Input'!$B$12,0))))*(1/(1-'P-Parametri'!$B$6*I931))),MAX(0,5*I891-(M930-MIN(MAX(M930,0),MAX(0,I891-IF($A931&gt;='1-Input'!$C$12,'1-Input'!$B$12,0)))))*(1/(1-'P-Parametri'!$B$6*I931))))</f>
        <v>10846.756992928691</v>
      </c>
      <c r="K931" s="18">
        <f>IF($A931&gt;'1-Input'!$B$26,M930,(M930-MAX(0,I891-IF($A931&gt;='1-Input'!$C$12,'1-Input'!$B$12,0))+J931*(1-'P-Parametri'!$B$6*I931))*(1+'1-Input'!$B$27))</f>
        <v>0</v>
      </c>
      <c r="L931" s="18">
        <f>IF($A931&gt;'1-Input'!$B$26,N930,(N930-J931)*(1+$D$4))</f>
        <v>-222324.80733732032</v>
      </c>
      <c r="M931" s="18">
        <f>IF($A931&gt;'1-Input'!$B$26,K931,K931-'P-Parametri'!$B$8*(L931+K931)+MIN(MAX(L931,0),'P-Parametri'!$B$8*(L931+K931)))</f>
        <v>0</v>
      </c>
      <c r="N931" s="18">
        <f>IF($A931&gt;'1-Input'!$B$26,L931,L931-MIN(MAX(L931,0),'P-Parametri'!$B$8*(L931+K931)))</f>
        <v>-221880.15772264567</v>
      </c>
      <c r="O931" s="18">
        <f>IF($A931&gt;'1-Input'!$B$26,O930,O930-J931*(1-I931))</f>
        <v>-162647.52700090932</v>
      </c>
      <c r="P931" s="11">
        <f>IF($A931&gt;'1-Input'!$B$26,0,IF(U930&lt;=0,0,MAX(0,(U930-V930)/U930)))</f>
        <v>0</v>
      </c>
      <c r="Q931" s="18">
        <f>IF($A931&gt;'1-Input'!$B$26,0,(MAX(0,P891-IF($A931&gt;='1-Input'!$C$12,'1-Input'!$B$12,0))-MIN(MAX(T930,0),MAX(0,P891-IF($A931&gt;='1-Input'!$C$12,'1-Input'!$B$12,0))))*(1/(1-'P-Parametri'!$B$6*P931))+MIN(MAX(0,U930-(MAX(0,P891-IF($A931&gt;='1-Input'!$C$12,'1-Input'!$B$12,0))-MIN(MAX(T930,0),MAX(0,P891-IF($A931&gt;='1-Input'!$C$12,'1-Input'!$B$12,0))))*(1/(1-'P-Parametri'!$B$6*P931))),MAX(0,5*P891-(T930-MIN(MAX(T930,0),MAX(0,P891-IF($A931&gt;='1-Input'!$C$12,'1-Input'!$B$12,0)))))*(1/(1-'P-Parametri'!$B$6*P931))))</f>
        <v>0</v>
      </c>
      <c r="R931" s="18">
        <f>IF($A931&gt;'1-Input'!$B$26,T930,(T930-MAX(0,P891-IF($A931&gt;='1-Input'!$C$12,'1-Input'!$B$12,0))+Q931*(1-'P-Parametri'!$B$6*P931))*(1+'1-Input'!$B$27))</f>
        <v>36302.070798069057</v>
      </c>
      <c r="S931" s="18">
        <f>IF($A931&gt;'1-Input'!$B$26,U930,(U930-Q931)*(1+$D$4))</f>
        <v>0</v>
      </c>
      <c r="T931" s="18">
        <f>IF($A931&gt;'1-Input'!$B$26,R931,R931-'P-Parametri'!$B$8*(S931+R931)+MIN(MAX(S931,0),'P-Parametri'!$B$8*(S931+R931)))</f>
        <v>36229.46665647292</v>
      </c>
      <c r="U931" s="18">
        <f>IF($A931&gt;'1-Input'!$B$26,S931,S931-MIN(MAX(S931,0),'P-Parametri'!$B$8*(S931+R931)))</f>
        <v>0</v>
      </c>
      <c r="V931" s="18">
        <f>IF($A931&gt;'1-Input'!$B$26,V930,V930-Q931*(1-P931))</f>
        <v>2.2737367544323206E-13</v>
      </c>
      <c r="W931" s="11">
        <f>IF($A931&gt;'1-Input'!$B$26,0,IF(AB930&lt;=0,0,MAX(0,(AB930-AC930)/AB930)))</f>
        <v>0</v>
      </c>
      <c r="X931" s="18">
        <f>IF($A931&gt;'1-Input'!$B$26,0,(MAX(0,W891-IF($A931&gt;='1-Input'!$C$12,'1-Input'!$B$12,0))-MIN(MAX(AA930,0),MAX(0,W891-IF($A931&gt;='1-Input'!$C$12,'1-Input'!$B$12,0))))*(1/(1-'P-Parametri'!$B$6*W931))+MIN(MAX(0,AB930-(MAX(0,W891-IF($A931&gt;='1-Input'!$C$12,'1-Input'!$B$12,0))-MIN(MAX(AA930,0),MAX(0,W891-IF($A931&gt;='1-Input'!$C$12,'1-Input'!$B$12,0))))*(1/(1-'P-Parametri'!$B$6*W931))),MAX(0,5*W891-(AA930-MIN(MAX(AA930,0),MAX(0,W891-IF($A931&gt;='1-Input'!$C$12,'1-Input'!$B$12,0)))))*(1/(1-'P-Parametri'!$B$6*W931))))</f>
        <v>0</v>
      </c>
      <c r="Y931" s="18">
        <f>IF($A931&gt;'1-Input'!$B$26,AA930,(AA930-MAX(0,W891-IF($A931&gt;='1-Input'!$C$12,'1-Input'!$B$12,0))+X931*(1-'P-Parametri'!$B$6*W931))*(1+'1-Input'!$B$27))</f>
        <v>46226.290383055806</v>
      </c>
      <c r="Z931" s="18">
        <f>IF($A931&gt;'1-Input'!$B$26,AB930,(AB930-X931)*(1+$D$4))</f>
        <v>0</v>
      </c>
      <c r="AA931" s="18">
        <f>IF($A931&gt;'1-Input'!$B$26,Y931,Y931-'P-Parametri'!$B$8*(Z931+Y931)+MIN(MAX(Z931,0),'P-Parametri'!$B$8*(Z931+Y931)))</f>
        <v>46133.837802289694</v>
      </c>
      <c r="AB931" s="18">
        <f>IF($A931&gt;'1-Input'!$B$26,Z931,Z931-MIN(MAX(Z931,0),'P-Parametri'!$B$8*(Z931+Y931)))</f>
        <v>0</v>
      </c>
      <c r="AC931" s="18">
        <f>IF($A931&gt;'1-Input'!$B$26,AC930,AC930-X931*(1-W931))</f>
        <v>24.280895585298822</v>
      </c>
      <c r="AD931" s="11">
        <f>IF($A931&gt;'1-Input'!$B$26,0,IF(AI930&lt;=0,0,MAX(0,(AI930-AJ930)/AI930)))</f>
        <v>0</v>
      </c>
      <c r="AE931" s="18">
        <f>IF($A931&gt;'1-Input'!$B$26,0,(MAX(0,AD891-IF($A931&gt;='1-Input'!$C$12,'1-Input'!$B$12,0))-MIN(MAX(AH930,0),MAX(0,AD891-IF($A931&gt;='1-Input'!$C$12,'1-Input'!$B$12,0))))*(1/(1-'P-Parametri'!$B$6*AD931))+MIN(MAX(0,AI930-(MAX(0,AD891-IF($A931&gt;='1-Input'!$C$12,'1-Input'!$B$12,0))-MIN(MAX(AH930,0),MAX(0,AD891-IF($A931&gt;='1-Input'!$C$12,'1-Input'!$B$12,0))))*(1/(1-'P-Parametri'!$B$6*AD931))),MAX(0,5*AD891-(AH930-MIN(MAX(AH930,0),MAX(0,AD891-IF($A931&gt;='1-Input'!$C$12,'1-Input'!$B$12,0)))))*(1/(1-'P-Parametri'!$B$6*AD931))))</f>
        <v>0</v>
      </c>
      <c r="AF931" s="18">
        <f>IF($A931&gt;'1-Input'!$B$26,AH930,(AH930-MAX(0,AD891-IF($A931&gt;='1-Input'!$C$12,'1-Input'!$B$12,0))+AE931*(1-'P-Parametri'!$B$6*AD931))*(1+'1-Input'!$B$27))</f>
        <v>48433.12564232757</v>
      </c>
      <c r="AG931" s="18">
        <f>IF($A931&gt;'1-Input'!$B$26,AI930,(AI930-AE931)*(1+$D$4))</f>
        <v>0</v>
      </c>
      <c r="AH931" s="18">
        <f>IF($A931&gt;'1-Input'!$B$26,AF931,AF931-'P-Parametri'!$B$8*(AG931+AF931)+MIN(MAX(AG931,0),'P-Parametri'!$B$8*(AG931+AF931)))</f>
        <v>48336.259391042913</v>
      </c>
      <c r="AI931" s="18">
        <f>IF($A931&gt;'1-Input'!$B$26,AG931,AG931-MIN(MAX(AG931,0),'P-Parametri'!$B$8*(AG931+AF931)))</f>
        <v>0</v>
      </c>
      <c r="AJ931" s="18">
        <f>IF($A931&gt;'1-Input'!$B$26,AJ930,AJ930-AE931*(1-AD931))</f>
        <v>1.1368683772161603E-13</v>
      </c>
      <c r="AK931" s="11">
        <f>IF($A931&gt;'1-Input'!$B$26,0,IF(AP930&lt;=0,0,MAX(0,(AP930-AQ930)/AP930)))</f>
        <v>0</v>
      </c>
      <c r="AL931" s="18">
        <f>IF($A931&gt;'1-Input'!$B$26,0,(MAX(0,AK891-IF($A931&gt;='1-Input'!$C$12,'1-Input'!$B$12,0))-MIN(MAX(AO930,0),MAX(0,AK891-IF($A931&gt;='1-Input'!$C$12,'1-Input'!$B$12,0))))*(1/(1-'P-Parametri'!$B$6*AK931))+MIN(MAX(0,AP930-(MAX(0,AK891-IF($A931&gt;='1-Input'!$C$12,'1-Input'!$B$12,0))-MIN(MAX(AO930,0),MAX(0,AK891-IF($A931&gt;='1-Input'!$C$12,'1-Input'!$B$12,0))))*(1/(1-'P-Parametri'!$B$6*AK931))),MAX(0,5*AK891-(AO930-MIN(MAX(AO930,0),MAX(0,AK891-IF($A931&gt;='1-Input'!$C$12,'1-Input'!$B$12,0)))))*(1/(1-'P-Parametri'!$B$6*AK931))))</f>
        <v>0</v>
      </c>
      <c r="AM931" s="18">
        <f>IF($A931&gt;'1-Input'!$B$26,AO930,(AO930-MAX(0,AK891-IF($A931&gt;='1-Input'!$C$12,'1-Input'!$B$12,0))+AL931*(1-'P-Parametri'!$B$6*AK931))*(1+'1-Input'!$B$27))</f>
        <v>48379.669328760538</v>
      </c>
      <c r="AN931" s="18">
        <f>IF($A931&gt;'1-Input'!$B$26,AP930,(AP930-AL931)*(1+$D$4))</f>
        <v>0</v>
      </c>
      <c r="AO931" s="18">
        <f>IF($A931&gt;'1-Input'!$B$26,AM931,AM931-'P-Parametri'!$B$8*(AN931+AM931)+MIN(MAX(AN931,0),'P-Parametri'!$B$8*(AN931+AM931)))</f>
        <v>48282.909990103013</v>
      </c>
      <c r="AP931" s="18">
        <f>IF($A931&gt;'1-Input'!$B$26,AN931,AN931-MIN(MAX(AN931,0),'P-Parametri'!$B$8*(AN931+AM931)))</f>
        <v>0</v>
      </c>
      <c r="AQ931" s="18">
        <f>IF($A931&gt;'1-Input'!$B$26,AQ930,AQ930-AL931*(1-AK931))</f>
        <v>-1.1368683772161603E-13</v>
      </c>
    </row>
    <row r="932" spans="1:43">
      <c r="A932" s="10">
        <f>39</f>
        <v>39</v>
      </c>
      <c r="B932" s="11">
        <f>IF($A932&gt;'1-Input'!$B$26,0,IF(G931&lt;=0,0,MAX(0,(G931-H931)/G931)))</f>
        <v>0.80197060259710795</v>
      </c>
      <c r="C932" s="18">
        <f>IF($A932&gt;'1-Input'!$B$26,0,(MAX(0,B891-IF($A932&gt;='1-Input'!$C$12,'1-Input'!$B$12,0))-MIN(MAX(F931,0),MAX(0,B891-IF($A932&gt;='1-Input'!$C$12,'1-Input'!$B$12,0))))*(1/(1-'P-Parametri'!$B$6*B932))+MIN(MAX(0,G931-(MAX(0,B891-IF($A932&gt;='1-Input'!$C$12,'1-Input'!$B$12,0))-MIN(MAX(F931,0),MAX(0,B891-IF($A932&gt;='1-Input'!$C$12,'1-Input'!$B$12,0))))*(1/(1-'P-Parametri'!$B$6*B932))),MAX(0,5*B891-(F931-MIN(MAX(F931,0),MAX(0,B891-IF($A932&gt;='1-Input'!$C$12,'1-Input'!$B$12,0)))))*(1/(1-'P-Parametri'!$B$6*B932))))</f>
        <v>7428.1820567560753</v>
      </c>
      <c r="D932" s="18">
        <f>IF($A932&gt;'1-Input'!$B$26,F931,(F931-MAX(0,B891-IF($A932&gt;='1-Input'!$C$12,'1-Input'!$B$12,0))+C932*(1-'P-Parametri'!$B$6*B932))*(1+'1-Input'!$B$27))</f>
        <v>83105.01757746574</v>
      </c>
      <c r="E932" s="18">
        <f>IF($A932&gt;'1-Input'!$B$26,G931,(G931-C932)*(1+$D$4))</f>
        <v>82405.777456553478</v>
      </c>
      <c r="F932" s="18">
        <f>IF($A932&gt;'1-Input'!$B$26,D932,D932-'P-Parametri'!$B$8*(E932+D932)+MIN(MAX(E932,0),'P-Parametri'!$B$8*(E932+D932)))</f>
        <v>83105.01757746574</v>
      </c>
      <c r="G932" s="18">
        <f>IF($A932&gt;'1-Input'!$B$26,E932,E932-MIN(MAX(E932,0),'P-Parametri'!$B$8*(E932+D932)))</f>
        <v>82074.755866485444</v>
      </c>
      <c r="H932" s="18">
        <f>IF($A932&gt;'1-Input'!$B$26,H931,H931-C932*(1-B932))</f>
        <v>15691.121588690488</v>
      </c>
      <c r="I932" s="11">
        <f>IF($A932&gt;'1-Input'!$B$26,0,IF(N931&lt;=0,0,MAX(0,(N931-O931)/N931)))</f>
        <v>0</v>
      </c>
      <c r="J932" s="18">
        <f>IF($A932&gt;'1-Input'!$B$26,0,(MAX(0,I891-IF($A932&gt;='1-Input'!$C$12,'1-Input'!$B$12,0))-MIN(MAX(M931,0),MAX(0,I891-IF($A932&gt;='1-Input'!$C$12,'1-Input'!$B$12,0))))*(1/(1-'P-Parametri'!$B$6*I932))+MIN(MAX(0,N931-(MAX(0,I891-IF($A932&gt;='1-Input'!$C$12,'1-Input'!$B$12,0))-MIN(MAX(M931,0),MAX(0,I891-IF($A932&gt;='1-Input'!$C$12,'1-Input'!$B$12,0))))*(1/(1-'P-Parametri'!$B$6*I932))),MAX(0,5*I891-(M931-MIN(MAX(M931,0),MAX(0,I891-IF($A932&gt;='1-Input'!$C$12,'1-Input'!$B$12,0)))))*(1/(1-'P-Parametri'!$B$6*I932))))</f>
        <v>10846.756992928691</v>
      </c>
      <c r="K932" s="18">
        <f>IF($A932&gt;'1-Input'!$B$26,M931,(M931-MAX(0,I891-IF($A932&gt;='1-Input'!$C$12,'1-Input'!$B$12,0))+J932*(1-'P-Parametri'!$B$6*I932))*(1+'1-Input'!$B$27))</f>
        <v>0</v>
      </c>
      <c r="L932" s="18">
        <f>IF($A932&gt;'1-Input'!$B$26,N931,(N931-J932)*(1+$D$4))</f>
        <v>-242035.99130419735</v>
      </c>
      <c r="M932" s="18">
        <f>IF($A932&gt;'1-Input'!$B$26,K932,K932-'P-Parametri'!$B$8*(L932+K932)+MIN(MAX(L932,0),'P-Parametri'!$B$8*(L932+K932)))</f>
        <v>0</v>
      </c>
      <c r="N932" s="18">
        <f>IF($A932&gt;'1-Input'!$B$26,L932,L932-MIN(MAX(L932,0),'P-Parametri'!$B$8*(L932+K932)))</f>
        <v>-241551.91932158897</v>
      </c>
      <c r="O932" s="18">
        <f>IF($A932&gt;'1-Input'!$B$26,O931,O931-J932*(1-I932))</f>
        <v>-173494.28399383801</v>
      </c>
      <c r="P932" s="11">
        <f>IF($A932&gt;'1-Input'!$B$26,0,IF(U931&lt;=0,0,MAX(0,(U931-V931)/U931)))</f>
        <v>0</v>
      </c>
      <c r="Q932" s="18">
        <f>IF($A932&gt;'1-Input'!$B$26,0,(MAX(0,P891-IF($A932&gt;='1-Input'!$C$12,'1-Input'!$B$12,0))-MIN(MAX(T931,0),MAX(0,P891-IF($A932&gt;='1-Input'!$C$12,'1-Input'!$B$12,0))))*(1/(1-'P-Parametri'!$B$6*P932))+MIN(MAX(0,U931-(MAX(0,P891-IF($A932&gt;='1-Input'!$C$12,'1-Input'!$B$12,0))-MIN(MAX(T931,0),MAX(0,P891-IF($A932&gt;='1-Input'!$C$12,'1-Input'!$B$12,0))))*(1/(1-'P-Parametri'!$B$6*P932))),MAX(0,5*P891-(T931-MIN(MAX(T931,0),MAX(0,P891-IF($A932&gt;='1-Input'!$C$12,'1-Input'!$B$12,0)))))*(1/(1-'P-Parametri'!$B$6*P932))))</f>
        <v>0</v>
      </c>
      <c r="R932" s="18">
        <f>IF($A932&gt;'1-Input'!$B$26,T931,(T931-MAX(0,P891-IF($A932&gt;='1-Input'!$C$12,'1-Input'!$B$12,0))+Q932*(1-'P-Parametri'!$B$6*P932))*(1+'1-Input'!$B$27))</f>
        <v>29166.455905464081</v>
      </c>
      <c r="S932" s="18">
        <f>IF($A932&gt;'1-Input'!$B$26,U931,(U931-Q932)*(1+$D$4))</f>
        <v>0</v>
      </c>
      <c r="T932" s="18">
        <f>IF($A932&gt;'1-Input'!$B$26,R932,R932-'P-Parametri'!$B$8*(S932+R932)+MIN(MAX(S932,0),'P-Parametri'!$B$8*(S932+R932)))</f>
        <v>29108.122993653153</v>
      </c>
      <c r="U932" s="18">
        <f>IF($A932&gt;'1-Input'!$B$26,S932,S932-MIN(MAX(S932,0),'P-Parametri'!$B$8*(S932+R932)))</f>
        <v>0</v>
      </c>
      <c r="V932" s="18">
        <f>IF($A932&gt;'1-Input'!$B$26,V931,V931-Q932*(1-P932))</f>
        <v>2.2737367544323206E-13</v>
      </c>
      <c r="W932" s="11">
        <f>IF($A932&gt;'1-Input'!$B$26,0,IF(AB931&lt;=0,0,MAX(0,(AB931-AC931)/AB931)))</f>
        <v>0</v>
      </c>
      <c r="X932" s="18">
        <f>IF($A932&gt;'1-Input'!$B$26,0,(MAX(0,W891-IF($A932&gt;='1-Input'!$C$12,'1-Input'!$B$12,0))-MIN(MAX(AA931,0),MAX(0,W891-IF($A932&gt;='1-Input'!$C$12,'1-Input'!$B$12,0))))*(1/(1-'P-Parametri'!$B$6*W932))+MIN(MAX(0,AB931-(MAX(0,W891-IF($A932&gt;='1-Input'!$C$12,'1-Input'!$B$12,0))-MIN(MAX(AA931,0),MAX(0,W891-IF($A932&gt;='1-Input'!$C$12,'1-Input'!$B$12,0))))*(1/(1-'P-Parametri'!$B$6*W932))),MAX(0,5*W891-(AA931-MIN(MAX(AA931,0),MAX(0,W891-IF($A932&gt;='1-Input'!$C$12,'1-Input'!$B$12,0)))))*(1/(1-'P-Parametri'!$B$6*W932))))</f>
        <v>0</v>
      </c>
      <c r="Y932" s="18">
        <f>IF($A932&gt;'1-Input'!$B$26,AA931,(AA931-MAX(0,W891-IF($A932&gt;='1-Input'!$C$12,'1-Input'!$B$12,0))+X932*(1-'P-Parametri'!$B$6*W932))*(1+'1-Input'!$B$27))</f>
        <v>39180.697911937772</v>
      </c>
      <c r="Z932" s="18">
        <f>IF($A932&gt;'1-Input'!$B$26,AB931,(AB931-X932)*(1+$D$4))</f>
        <v>0</v>
      </c>
      <c r="AA932" s="18">
        <f>IF($A932&gt;'1-Input'!$B$26,Y932,Y932-'P-Parametri'!$B$8*(Z932+Y932)+MIN(MAX(Z932,0),'P-Parametri'!$B$8*(Z932+Y932)))</f>
        <v>39102.336516113894</v>
      </c>
      <c r="AB932" s="18">
        <f>IF($A932&gt;'1-Input'!$B$26,Z932,Z932-MIN(MAX(Z932,0),'P-Parametri'!$B$8*(Z932+Y932)))</f>
        <v>0</v>
      </c>
      <c r="AC932" s="18">
        <f>IF($A932&gt;'1-Input'!$B$26,AC931,AC931-X932*(1-W932))</f>
        <v>24.280895585298822</v>
      </c>
      <c r="AD932" s="11">
        <f>IF($A932&gt;'1-Input'!$B$26,0,IF(AI931&lt;=0,0,MAX(0,(AI931-AJ931)/AI931)))</f>
        <v>0</v>
      </c>
      <c r="AE932" s="18">
        <f>IF($A932&gt;'1-Input'!$B$26,0,(MAX(0,AD891-IF($A932&gt;='1-Input'!$C$12,'1-Input'!$B$12,0))-MIN(MAX(AH931,0),MAX(0,AD891-IF($A932&gt;='1-Input'!$C$12,'1-Input'!$B$12,0))))*(1/(1-'P-Parametri'!$B$6*AD932))+MIN(MAX(0,AI931-(MAX(0,AD891-IF($A932&gt;='1-Input'!$C$12,'1-Input'!$B$12,0))-MIN(MAX(AH931,0),MAX(0,AD891-IF($A932&gt;='1-Input'!$C$12,'1-Input'!$B$12,0))))*(1/(1-'P-Parametri'!$B$6*AD932))),MAX(0,5*AD891-(AH931-MIN(MAX(AH931,0),MAX(0,AD891-IF($A932&gt;='1-Input'!$C$12,'1-Input'!$B$12,0)))))*(1/(1-'P-Parametri'!$B$6*AD932))))</f>
        <v>0</v>
      </c>
      <c r="AF932" s="18">
        <f>IF($A932&gt;'1-Input'!$B$26,AH931,(AH931-MAX(0,AD891-IF($A932&gt;='1-Input'!$C$12,'1-Input'!$B$12,0))+AE932*(1-'P-Parametri'!$B$6*AD932))*(1+'1-Input'!$B$27))</f>
        <v>41405.815228004118</v>
      </c>
      <c r="AG932" s="18">
        <f>IF($A932&gt;'1-Input'!$B$26,AI931,(AI931-AE932)*(1+$D$4))</f>
        <v>0</v>
      </c>
      <c r="AH932" s="18">
        <f>IF($A932&gt;'1-Input'!$B$26,AF932,AF932-'P-Parametri'!$B$8*(AG932+AF932)+MIN(MAX(AG932,0),'P-Parametri'!$B$8*(AG932+AF932)))</f>
        <v>41323.003597548108</v>
      </c>
      <c r="AI932" s="18">
        <f>IF($A932&gt;'1-Input'!$B$26,AG932,AG932-MIN(MAX(AG932,0),'P-Parametri'!$B$8*(AG932+AF932)))</f>
        <v>0</v>
      </c>
      <c r="AJ932" s="18">
        <f>IF($A932&gt;'1-Input'!$B$26,AJ931,AJ931-AE932*(1-AD932))</f>
        <v>1.1368683772161603E-13</v>
      </c>
      <c r="AK932" s="11">
        <f>IF($A932&gt;'1-Input'!$B$26,0,IF(AP931&lt;=0,0,MAX(0,(AP931-AQ931)/AP931)))</f>
        <v>0</v>
      </c>
      <c r="AL932" s="18">
        <f>IF($A932&gt;'1-Input'!$B$26,0,(MAX(0,AK891-IF($A932&gt;='1-Input'!$C$12,'1-Input'!$B$12,0))-MIN(MAX(AO931,0),MAX(0,AK891-IF($A932&gt;='1-Input'!$C$12,'1-Input'!$B$12,0))))*(1/(1-'P-Parametri'!$B$6*AK932))+MIN(MAX(0,AP931-(MAX(0,AK891-IF($A932&gt;='1-Input'!$C$12,'1-Input'!$B$12,0))-MIN(MAX(AO931,0),MAX(0,AK891-IF($A932&gt;='1-Input'!$C$12,'1-Input'!$B$12,0))))*(1/(1-'P-Parametri'!$B$6*AK932))),MAX(0,5*AK891-(AO931-MIN(MAX(AO931,0),MAX(0,AK891-IF($A932&gt;='1-Input'!$C$12,'1-Input'!$B$12,0)))))*(1/(1-'P-Parametri'!$B$6*AK932))))</f>
        <v>0</v>
      </c>
      <c r="AM932" s="18">
        <f>IF($A932&gt;'1-Input'!$B$26,AO931,(AO931-MAX(0,AK891-IF($A932&gt;='1-Input'!$C$12,'1-Input'!$B$12,0))+AL932*(1-'P-Parametri'!$B$6*AK932))*(1+'1-Input'!$B$27))</f>
        <v>41351.906781353508</v>
      </c>
      <c r="AN932" s="18">
        <f>IF($A932&gt;'1-Input'!$B$26,AP931,(AP931-AL932)*(1+$D$4))</f>
        <v>0</v>
      </c>
      <c r="AO932" s="18">
        <f>IF($A932&gt;'1-Input'!$B$26,AM932,AM932-'P-Parametri'!$B$8*(AN932+AM932)+MIN(MAX(AN932,0),'P-Parametri'!$B$8*(AN932+AM932)))</f>
        <v>41269.202967790799</v>
      </c>
      <c r="AP932" s="18">
        <f>IF($A932&gt;'1-Input'!$B$26,AN932,AN932-MIN(MAX(AN932,0),'P-Parametri'!$B$8*(AN932+AM932)))</f>
        <v>0</v>
      </c>
      <c r="AQ932" s="18">
        <f>IF($A932&gt;'1-Input'!$B$26,AQ931,AQ931-AL932*(1-AK932))</f>
        <v>-1.1368683772161603E-13</v>
      </c>
    </row>
    <row r="933" spans="1:43">
      <c r="A933" s="10">
        <f>40</f>
        <v>40</v>
      </c>
      <c r="B933" s="11">
        <f>IF($A933&gt;'1-Input'!$B$26,0,IF(G932&lt;=0,0,MAX(0,(G932-H932)/G932)))</f>
        <v>0.80881915001713911</v>
      </c>
      <c r="C933" s="18">
        <f>IF($A933&gt;'1-Input'!$B$26,0,(MAX(0,B891-IF($A933&gt;='1-Input'!$C$12,'1-Input'!$B$12,0))-MIN(MAX(F932,0),MAX(0,B891-IF($A933&gt;='1-Input'!$C$12,'1-Input'!$B$12,0))))*(1/(1-'P-Parametri'!$B$6*B933))+MIN(MAX(0,G932-(MAX(0,B891-IF($A933&gt;='1-Input'!$C$12,'1-Input'!$B$12,0))-MIN(MAX(F932,0),MAX(0,B891-IF($A933&gt;='1-Input'!$C$12,'1-Input'!$B$12,0))))*(1/(1-'P-Parametri'!$B$6*B933))),MAX(0,5*B891-(F932-MIN(MAX(F932,0),MAX(0,B891-IF($A933&gt;='1-Input'!$C$12,'1-Input'!$B$12,0)))))*(1/(1-'P-Parametri'!$B$6*B933))))</f>
        <v>7444.9310364207222</v>
      </c>
      <c r="D933" s="18">
        <f>IF($A933&gt;'1-Input'!$B$26,F932,(F932-MAX(0,B891-IF($A933&gt;='1-Input'!$C$12,'1-Input'!$B$12,0))+C933*(1-'P-Parametri'!$B$6*B933))*(1+'1-Input'!$B$27))</f>
        <v>83105.01757746574</v>
      </c>
      <c r="E933" s="18">
        <f>IF($A933&gt;'1-Input'!$B$26,G932,(G932-C933)*(1+$D$4))</f>
        <v>77615.017823267321</v>
      </c>
      <c r="F933" s="18">
        <f>IF($A933&gt;'1-Input'!$B$26,D933,D933-'P-Parametri'!$B$8*(E933+D933)+MIN(MAX(E933,0),'P-Parametri'!$B$8*(E933+D933)))</f>
        <v>83105.01757746574</v>
      </c>
      <c r="G933" s="18">
        <f>IF($A933&gt;'1-Input'!$B$26,E933,E933-MIN(MAX(E933,0),'P-Parametri'!$B$8*(E933+D933)))</f>
        <v>77293.577752465848</v>
      </c>
      <c r="H933" s="18">
        <f>IF($A933&gt;'1-Input'!$B$26,H932,H932-C933*(1-B933))</f>
        <v>14267.793345083794</v>
      </c>
      <c r="I933" s="11">
        <f>IF($A933&gt;'1-Input'!$B$26,0,IF(N932&lt;=0,0,MAX(0,(N932-O932)/N932)))</f>
        <v>0</v>
      </c>
      <c r="J933" s="18">
        <f>IF($A933&gt;'1-Input'!$B$26,0,(MAX(0,I891-IF($A933&gt;='1-Input'!$C$12,'1-Input'!$B$12,0))-MIN(MAX(M932,0),MAX(0,I891-IF($A933&gt;='1-Input'!$C$12,'1-Input'!$B$12,0))))*(1/(1-'P-Parametri'!$B$6*I933))+MIN(MAX(0,N932-(MAX(0,I891-IF($A933&gt;='1-Input'!$C$12,'1-Input'!$B$12,0))-MIN(MAX(M932,0),MAX(0,I891-IF($A933&gt;='1-Input'!$C$12,'1-Input'!$B$12,0))))*(1/(1-'P-Parametri'!$B$6*I933))),MAX(0,5*I891-(M932-MIN(MAX(M932,0),MAX(0,I891-IF($A933&gt;='1-Input'!$C$12,'1-Input'!$B$12,0)))))*(1/(1-'P-Parametri'!$B$6*I933))))</f>
        <v>10846.756992928691</v>
      </c>
      <c r="K933" s="18">
        <f>IF($A933&gt;'1-Input'!$B$26,M932,(M932-MAX(0,I891-IF($A933&gt;='1-Input'!$C$12,'1-Input'!$B$12,0))+J933*(1-'P-Parametri'!$B$6*I933))*(1+'1-Input'!$B$27))</f>
        <v>0</v>
      </c>
      <c r="L933" s="18">
        <f>IF($A933&gt;'1-Input'!$B$26,N932,(N932-J933)*(1+$D$4))</f>
        <v>-262494.62336709839</v>
      </c>
      <c r="M933" s="18">
        <f>IF($A933&gt;'1-Input'!$B$26,K933,K933-'P-Parametri'!$B$8*(L933+K933)+MIN(MAX(L933,0),'P-Parametri'!$B$8*(L933+K933)))</f>
        <v>0</v>
      </c>
      <c r="N933" s="18">
        <f>IF($A933&gt;'1-Input'!$B$26,L933,L933-MIN(MAX(L933,0),'P-Parametri'!$B$8*(L933+K933)))</f>
        <v>-261969.63412036421</v>
      </c>
      <c r="O933" s="18">
        <f>IF($A933&gt;'1-Input'!$B$26,O932,O932-J933*(1-I933))</f>
        <v>-184341.04098676669</v>
      </c>
      <c r="P933" s="11">
        <f>IF($A933&gt;'1-Input'!$B$26,0,IF(U932&lt;=0,0,MAX(0,(U932-V932)/U932)))</f>
        <v>0</v>
      </c>
      <c r="Q933" s="18">
        <f>IF($A933&gt;'1-Input'!$B$26,0,(MAX(0,P891-IF($A933&gt;='1-Input'!$C$12,'1-Input'!$B$12,0))-MIN(MAX(T932,0),MAX(0,P891-IF($A933&gt;='1-Input'!$C$12,'1-Input'!$B$12,0))))*(1/(1-'P-Parametri'!$B$6*P933))+MIN(MAX(0,U932-(MAX(0,P891-IF($A933&gt;='1-Input'!$C$12,'1-Input'!$B$12,0))-MIN(MAX(T932,0),MAX(0,P891-IF($A933&gt;='1-Input'!$C$12,'1-Input'!$B$12,0))))*(1/(1-'P-Parametri'!$B$6*P933))),MAX(0,5*P891-(T932-MIN(MAX(T932,0),MAX(0,P891-IF($A933&gt;='1-Input'!$C$12,'1-Input'!$B$12,0)))))*(1/(1-'P-Parametri'!$B$6*P933))))</f>
        <v>0</v>
      </c>
      <c r="R933" s="18">
        <f>IF($A933&gt;'1-Input'!$B$26,T932,(T932-MAX(0,P891-IF($A933&gt;='1-Input'!$C$12,'1-Input'!$B$12,0))+Q933*(1-'P-Parametri'!$B$6*P933))*(1+'1-Input'!$B$27))</f>
        <v>22070.749079830464</v>
      </c>
      <c r="S933" s="18">
        <f>IF($A933&gt;'1-Input'!$B$26,U932,(U932-Q933)*(1+$D$4))</f>
        <v>0</v>
      </c>
      <c r="T933" s="18">
        <f>IF($A933&gt;'1-Input'!$B$26,R933,R933-'P-Parametri'!$B$8*(S933+R933)+MIN(MAX(S933,0),'P-Parametri'!$B$8*(S933+R933)))</f>
        <v>22026.607581670803</v>
      </c>
      <c r="U933" s="18">
        <f>IF($A933&gt;'1-Input'!$B$26,S933,S933-MIN(MAX(S933,0),'P-Parametri'!$B$8*(S933+R933)))</f>
        <v>0</v>
      </c>
      <c r="V933" s="18">
        <f>IF($A933&gt;'1-Input'!$B$26,V932,V932-Q933*(1-P933))</f>
        <v>2.2737367544323206E-13</v>
      </c>
      <c r="W933" s="11">
        <f>IF($A933&gt;'1-Input'!$B$26,0,IF(AB932&lt;=0,0,MAX(0,(AB932-AC932)/AB932)))</f>
        <v>0</v>
      </c>
      <c r="X933" s="18">
        <f>IF($A933&gt;'1-Input'!$B$26,0,(MAX(0,W891-IF($A933&gt;='1-Input'!$C$12,'1-Input'!$B$12,0))-MIN(MAX(AA932,0),MAX(0,W891-IF($A933&gt;='1-Input'!$C$12,'1-Input'!$B$12,0))))*(1/(1-'P-Parametri'!$B$6*W933))+MIN(MAX(0,AB932-(MAX(0,W891-IF($A933&gt;='1-Input'!$C$12,'1-Input'!$B$12,0))-MIN(MAX(AA932,0),MAX(0,W891-IF($A933&gt;='1-Input'!$C$12,'1-Input'!$B$12,0))))*(1/(1-'P-Parametri'!$B$6*W933))),MAX(0,5*W891-(AA932-MIN(MAX(AA932,0),MAX(0,W891-IF($A933&gt;='1-Input'!$C$12,'1-Input'!$B$12,0)))))*(1/(1-'P-Parametri'!$B$6*W933))))</f>
        <v>0</v>
      </c>
      <c r="Y933" s="18">
        <f>IF($A933&gt;'1-Input'!$B$26,AA932,(AA932-MAX(0,W891-IF($A933&gt;='1-Input'!$C$12,'1-Input'!$B$12,0))+X933*(1-'P-Parametri'!$B$6*W933))*(1+'1-Input'!$B$27))</f>
        <v>32174.510030392208</v>
      </c>
      <c r="Z933" s="18">
        <f>IF($A933&gt;'1-Input'!$B$26,AB932,(AB932-X933)*(1+$D$4))</f>
        <v>0</v>
      </c>
      <c r="AA933" s="18">
        <f>IF($A933&gt;'1-Input'!$B$26,Y933,Y933-'P-Parametri'!$B$8*(Z933+Y933)+MIN(MAX(Z933,0),'P-Parametri'!$B$8*(Z933+Y933)))</f>
        <v>32110.161010331423</v>
      </c>
      <c r="AB933" s="18">
        <f>IF($A933&gt;'1-Input'!$B$26,Z933,Z933-MIN(MAX(Z933,0),'P-Parametri'!$B$8*(Z933+Y933)))</f>
        <v>0</v>
      </c>
      <c r="AC933" s="18">
        <f>IF($A933&gt;'1-Input'!$B$26,AC932,AC932-X933*(1-W933))</f>
        <v>24.280895585298822</v>
      </c>
      <c r="AD933" s="11">
        <f>IF($A933&gt;'1-Input'!$B$26,0,IF(AI932&lt;=0,0,MAX(0,(AI932-AJ932)/AI932)))</f>
        <v>0</v>
      </c>
      <c r="AE933" s="18">
        <f>IF($A933&gt;'1-Input'!$B$26,0,(MAX(0,AD891-IF($A933&gt;='1-Input'!$C$12,'1-Input'!$B$12,0))-MIN(MAX(AH932,0),MAX(0,AD891-IF($A933&gt;='1-Input'!$C$12,'1-Input'!$B$12,0))))*(1/(1-'P-Parametri'!$B$6*AD933))+MIN(MAX(0,AI932-(MAX(0,AD891-IF($A933&gt;='1-Input'!$C$12,'1-Input'!$B$12,0))-MIN(MAX(AH932,0),MAX(0,AD891-IF($A933&gt;='1-Input'!$C$12,'1-Input'!$B$12,0))))*(1/(1-'P-Parametri'!$B$6*AD933))),MAX(0,5*AD891-(AH932-MIN(MAX(AH932,0),MAX(0,AD891-IF($A933&gt;='1-Input'!$C$12,'1-Input'!$B$12,0)))))*(1/(1-'P-Parametri'!$B$6*AD933))))</f>
        <v>0</v>
      </c>
      <c r="AF933" s="18">
        <f>IF($A933&gt;'1-Input'!$B$26,AH932,(AH932-MAX(0,AD891-IF($A933&gt;='1-Input'!$C$12,'1-Input'!$B$12,0))+AE933*(1-'P-Parametri'!$B$6*AD933))*(1+'1-Input'!$B$27))</f>
        <v>34417.807155365903</v>
      </c>
      <c r="AG933" s="18">
        <f>IF($A933&gt;'1-Input'!$B$26,AI932,(AI932-AE933)*(1+$D$4))</f>
        <v>0</v>
      </c>
      <c r="AH933" s="18">
        <f>IF($A933&gt;'1-Input'!$B$26,AF933,AF933-'P-Parametri'!$B$8*(AG933+AF933)+MIN(MAX(AG933,0),'P-Parametri'!$B$8*(AG933+AF933)))</f>
        <v>34348.971541055173</v>
      </c>
      <c r="AI933" s="18">
        <f>IF($A933&gt;'1-Input'!$B$26,AG933,AG933-MIN(MAX(AG933,0),'P-Parametri'!$B$8*(AG933+AF933)))</f>
        <v>0</v>
      </c>
      <c r="AJ933" s="18">
        <f>IF($A933&gt;'1-Input'!$B$26,AJ932,AJ932-AE933*(1-AD933))</f>
        <v>1.1368683772161603E-13</v>
      </c>
      <c r="AK933" s="11">
        <f>IF($A933&gt;'1-Input'!$B$26,0,IF(AP932&lt;=0,0,MAX(0,(AP932-AQ932)/AP932)))</f>
        <v>0</v>
      </c>
      <c r="AL933" s="18">
        <f>IF($A933&gt;'1-Input'!$B$26,0,(MAX(0,AK891-IF($A933&gt;='1-Input'!$C$12,'1-Input'!$B$12,0))-MIN(MAX(AO932,0),MAX(0,AK891-IF($A933&gt;='1-Input'!$C$12,'1-Input'!$B$12,0))))*(1/(1-'P-Parametri'!$B$6*AK933))+MIN(MAX(0,AP932-(MAX(0,AK891-IF($A933&gt;='1-Input'!$C$12,'1-Input'!$B$12,0))-MIN(MAX(AO932,0),MAX(0,AK891-IF($A933&gt;='1-Input'!$C$12,'1-Input'!$B$12,0))))*(1/(1-'P-Parametri'!$B$6*AK933))),MAX(0,5*AK891-(AO932-MIN(MAX(AO932,0),MAX(0,AK891-IF($A933&gt;='1-Input'!$C$12,'1-Input'!$B$12,0)))))*(1/(1-'P-Parametri'!$B$6*AK933))))</f>
        <v>0</v>
      </c>
      <c r="AM933" s="18">
        <f>IF($A933&gt;'1-Input'!$B$26,AO932,(AO932-MAX(0,AK891-IF($A933&gt;='1-Input'!$C$12,'1-Input'!$B$12,0))+AL933*(1-'P-Parametri'!$B$6*AK933))*(1+'1-Input'!$B$27))</f>
        <v>34363.449104321619</v>
      </c>
      <c r="AN933" s="18">
        <f>IF($A933&gt;'1-Input'!$B$26,AP932,(AP932-AL933)*(1+$D$4))</f>
        <v>0</v>
      </c>
      <c r="AO933" s="18">
        <f>IF($A933&gt;'1-Input'!$B$26,AM933,AM933-'P-Parametri'!$B$8*(AN933+AM933)+MIN(MAX(AN933,0),'P-Parametri'!$B$8*(AN933+AM933)))</f>
        <v>34294.722206112972</v>
      </c>
      <c r="AP933" s="18">
        <f>IF($A933&gt;'1-Input'!$B$26,AN933,AN933-MIN(MAX(AN933,0),'P-Parametri'!$B$8*(AN933+AM933)))</f>
        <v>0</v>
      </c>
      <c r="AQ933" s="18">
        <f>IF($A933&gt;'1-Input'!$B$26,AQ932,AQ932-AL933*(1-AK933))</f>
        <v>-1.1368683772161603E-13</v>
      </c>
    </row>
    <row r="934" spans="1:43">
      <c r="A934" s="10">
        <f>41</f>
        <v>41</v>
      </c>
      <c r="B934" s="11">
        <f>IF($A934&gt;'1-Input'!$B$26,0,IF(G933&lt;=0,0,MAX(0,(G933-H933)/G933)))</f>
        <v>0.81540777694653133</v>
      </c>
      <c r="C934" s="18">
        <f>IF($A934&gt;'1-Input'!$B$26,0,(MAX(0,B891-IF($A934&gt;='1-Input'!$C$12,'1-Input'!$B$12,0))-MIN(MAX(F933,0),MAX(0,B891-IF($A934&gt;='1-Input'!$C$12,'1-Input'!$B$12,0))))*(1/(1-'P-Parametri'!$B$6*B934))+MIN(MAX(0,G933-(MAX(0,B891-IF($A934&gt;='1-Input'!$C$12,'1-Input'!$B$12,0))-MIN(MAX(F933,0),MAX(0,B891-IF($A934&gt;='1-Input'!$C$12,'1-Input'!$B$12,0))))*(1/(1-'P-Parametri'!$B$6*B934))),MAX(0,5*B891-(F933-MIN(MAX(F933,0),MAX(0,B891-IF($A934&gt;='1-Input'!$C$12,'1-Input'!$B$12,0)))))*(1/(1-'P-Parametri'!$B$6*B934))))</f>
        <v>7461.1157882916905</v>
      </c>
      <c r="D934" s="18">
        <f>IF($A934&gt;'1-Input'!$B$26,F933,(F933-MAX(0,B891-IF($A934&gt;='1-Input'!$C$12,'1-Input'!$B$12,0))+C934*(1-'P-Parametri'!$B$6*B934))*(1+'1-Input'!$B$27))</f>
        <v>83105.01757746574</v>
      </c>
      <c r="E934" s="18">
        <f>IF($A934&gt;'1-Input'!$B$26,G933,(G933-C934)*(1+$D$4))</f>
        <v>72625.760442741128</v>
      </c>
      <c r="F934" s="18">
        <f>IF($A934&gt;'1-Input'!$B$26,D934,D934-'P-Parametri'!$B$8*(E934+D934)+MIN(MAX(E934,0),'P-Parametri'!$B$8*(E934+D934)))</f>
        <v>83105.01757746574</v>
      </c>
      <c r="G934" s="18">
        <f>IF($A934&gt;'1-Input'!$B$26,E934,E934-MIN(MAX(E934,0),'P-Parametri'!$B$8*(E934+D934)))</f>
        <v>72314.298886700708</v>
      </c>
      <c r="H934" s="18">
        <f>IF($A934&gt;'1-Input'!$B$26,H933,H933-C934*(1-B934))</f>
        <v>12890.529395263697</v>
      </c>
      <c r="I934" s="11">
        <f>IF($A934&gt;'1-Input'!$B$26,0,IF(N933&lt;=0,0,MAX(0,(N933-O933)/N933)))</f>
        <v>0</v>
      </c>
      <c r="J934" s="18">
        <f>IF($A934&gt;'1-Input'!$B$26,0,(MAX(0,I891-IF($A934&gt;='1-Input'!$C$12,'1-Input'!$B$12,0))-MIN(MAX(M933,0),MAX(0,I891-IF($A934&gt;='1-Input'!$C$12,'1-Input'!$B$12,0))))*(1/(1-'P-Parametri'!$B$6*I934))+MIN(MAX(0,N933-(MAX(0,I891-IF($A934&gt;='1-Input'!$C$12,'1-Input'!$B$12,0))-MIN(MAX(M933,0),MAX(0,I891-IF($A934&gt;='1-Input'!$C$12,'1-Input'!$B$12,0))))*(1/(1-'P-Parametri'!$B$6*I934))),MAX(0,5*I891-(M933-MIN(MAX(M933,0),MAX(0,I891-IF($A934&gt;='1-Input'!$C$12,'1-Input'!$B$12,0)))))*(1/(1-'P-Parametri'!$B$6*I934))))</f>
        <v>10846.756992928691</v>
      </c>
      <c r="K934" s="18">
        <f>IF($A934&gt;'1-Input'!$B$26,M933,(M933-MAX(0,I891-IF($A934&gt;='1-Input'!$C$12,'1-Input'!$B$12,0))+J934*(1-'P-Parametri'!$B$6*I934))*(1+'1-Input'!$B$27))</f>
        <v>0</v>
      </c>
      <c r="L934" s="18">
        <f>IF($A934&gt;'1-Input'!$B$26,N933,(N933-J934)*(1+$D$4))</f>
        <v>-283729.0467578246</v>
      </c>
      <c r="M934" s="18">
        <f>IF($A934&gt;'1-Input'!$B$26,K934,K934-'P-Parametri'!$B$8*(L934+K934)+MIN(MAX(L934,0),'P-Parametri'!$B$8*(L934+K934)))</f>
        <v>0</v>
      </c>
      <c r="N934" s="18">
        <f>IF($A934&gt;'1-Input'!$B$26,L934,L934-MIN(MAX(L934,0),'P-Parametri'!$B$8*(L934+K934)))</f>
        <v>-283161.58866430895</v>
      </c>
      <c r="O934" s="18">
        <f>IF($A934&gt;'1-Input'!$B$26,O933,O933-J934*(1-I934))</f>
        <v>-195187.79797969537</v>
      </c>
      <c r="P934" s="11">
        <f>IF($A934&gt;'1-Input'!$B$26,0,IF(U933&lt;=0,0,MAX(0,(U933-V933)/U933)))</f>
        <v>0</v>
      </c>
      <c r="Q934" s="18">
        <f>IF($A934&gt;'1-Input'!$B$26,0,(MAX(0,P891-IF($A934&gt;='1-Input'!$C$12,'1-Input'!$B$12,0))-MIN(MAX(T933,0),MAX(0,P891-IF($A934&gt;='1-Input'!$C$12,'1-Input'!$B$12,0))))*(1/(1-'P-Parametri'!$B$6*P934))+MIN(MAX(0,U933-(MAX(0,P891-IF($A934&gt;='1-Input'!$C$12,'1-Input'!$B$12,0))-MIN(MAX(T933,0),MAX(0,P891-IF($A934&gt;='1-Input'!$C$12,'1-Input'!$B$12,0))))*(1/(1-'P-Parametri'!$B$6*P934))),MAX(0,5*P891-(T933-MIN(MAX(T933,0),MAX(0,P891-IF($A934&gt;='1-Input'!$C$12,'1-Input'!$B$12,0)))))*(1/(1-'P-Parametri'!$B$6*P934))))</f>
        <v>0</v>
      </c>
      <c r="R934" s="18">
        <f>IF($A934&gt;'1-Input'!$B$26,T933,(T933-MAX(0,P891-IF($A934&gt;='1-Input'!$C$12,'1-Input'!$B$12,0))+Q934*(1-'P-Parametri'!$B$6*P934))*(1+'1-Input'!$B$27))</f>
        <v>15014.727123331253</v>
      </c>
      <c r="S934" s="18">
        <f>IF($A934&gt;'1-Input'!$B$26,U933,(U933-Q934)*(1+$D$4))</f>
        <v>0</v>
      </c>
      <c r="T934" s="18">
        <f>IF($A934&gt;'1-Input'!$B$26,R934,R934-'P-Parametri'!$B$8*(S934+R934)+MIN(MAX(S934,0),'P-Parametri'!$B$8*(S934+R934)))</f>
        <v>14984.697669084591</v>
      </c>
      <c r="U934" s="18">
        <f>IF($A934&gt;'1-Input'!$B$26,S934,S934-MIN(MAX(S934,0),'P-Parametri'!$B$8*(S934+R934)))</f>
        <v>0</v>
      </c>
      <c r="V934" s="18">
        <f>IF($A934&gt;'1-Input'!$B$26,V933,V933-Q934*(1-P934))</f>
        <v>2.2737367544323206E-13</v>
      </c>
      <c r="W934" s="11">
        <f>IF($A934&gt;'1-Input'!$B$26,0,IF(AB933&lt;=0,0,MAX(0,(AB933-AC933)/AB933)))</f>
        <v>0</v>
      </c>
      <c r="X934" s="18">
        <f>IF($A934&gt;'1-Input'!$B$26,0,(MAX(0,W891-IF($A934&gt;='1-Input'!$C$12,'1-Input'!$B$12,0))-MIN(MAX(AA933,0),MAX(0,W891-IF($A934&gt;='1-Input'!$C$12,'1-Input'!$B$12,0))))*(1/(1-'P-Parametri'!$B$6*W934))+MIN(MAX(0,AB933-(MAX(0,W891-IF($A934&gt;='1-Input'!$C$12,'1-Input'!$B$12,0))-MIN(MAX(AA933,0),MAX(0,W891-IF($A934&gt;='1-Input'!$C$12,'1-Input'!$B$12,0))))*(1/(1-'P-Parametri'!$B$6*W934))),MAX(0,5*W891-(AA933-MIN(MAX(AA933,0),MAX(0,W891-IF($A934&gt;='1-Input'!$C$12,'1-Input'!$B$12,0)))))*(1/(1-'P-Parametri'!$B$6*W934))))</f>
        <v>0</v>
      </c>
      <c r="Y934" s="18">
        <f>IF($A934&gt;'1-Input'!$B$26,AA933,(AA933-MAX(0,W891-IF($A934&gt;='1-Input'!$C$12,'1-Input'!$B$12,0))+X934*(1-'P-Parametri'!$B$6*W934))*(1+'1-Input'!$B$27))</f>
        <v>25207.506356430556</v>
      </c>
      <c r="Z934" s="18">
        <f>IF($A934&gt;'1-Input'!$B$26,AB933,(AB933-X934)*(1+$D$4))</f>
        <v>0</v>
      </c>
      <c r="AA934" s="18">
        <f>IF($A934&gt;'1-Input'!$B$26,Y934,Y934-'P-Parametri'!$B$8*(Z934+Y934)+MIN(MAX(Z934,0),'P-Parametri'!$B$8*(Z934+Y934)))</f>
        <v>25157.091343717697</v>
      </c>
      <c r="AB934" s="18">
        <f>IF($A934&gt;'1-Input'!$B$26,Z934,Z934-MIN(MAX(Z934,0),'P-Parametri'!$B$8*(Z934+Y934)))</f>
        <v>0</v>
      </c>
      <c r="AC934" s="18">
        <f>IF($A934&gt;'1-Input'!$B$26,AC933,AC933-X934*(1-W934))</f>
        <v>24.280895585298822</v>
      </c>
      <c r="AD934" s="11">
        <f>IF($A934&gt;'1-Input'!$B$26,0,IF(AI933&lt;=0,0,MAX(0,(AI933-AJ933)/AI933)))</f>
        <v>0</v>
      </c>
      <c r="AE934" s="18">
        <f>IF($A934&gt;'1-Input'!$B$26,0,(MAX(0,AD891-IF($A934&gt;='1-Input'!$C$12,'1-Input'!$B$12,0))-MIN(MAX(AH933,0),MAX(0,AD891-IF($A934&gt;='1-Input'!$C$12,'1-Input'!$B$12,0))))*(1/(1-'P-Parametri'!$B$6*AD934))+MIN(MAX(0,AI933-(MAX(0,AD891-IF($A934&gt;='1-Input'!$C$12,'1-Input'!$B$12,0))-MIN(MAX(AH933,0),MAX(0,AD891-IF($A934&gt;='1-Input'!$C$12,'1-Input'!$B$12,0))))*(1/(1-'P-Parametri'!$B$6*AD934))),MAX(0,5*AD891-(AH933-MIN(MAX(AH933,0),MAX(0,AD891-IF($A934&gt;='1-Input'!$C$12,'1-Input'!$B$12,0)))))*(1/(1-'P-Parametri'!$B$6*AD934))))</f>
        <v>0</v>
      </c>
      <c r="AF934" s="18">
        <f>IF($A934&gt;'1-Input'!$B$26,AH933,(AH933-MAX(0,AD891-IF($A934&gt;='1-Input'!$C$12,'1-Input'!$B$12,0))+AE934*(1-'P-Parametri'!$B$6*AD934))*(1+'1-Input'!$B$27))</f>
        <v>27468.881614276335</v>
      </c>
      <c r="AG934" s="18">
        <f>IF($A934&gt;'1-Input'!$B$26,AI933,(AI933-AE934)*(1+$D$4))</f>
        <v>0</v>
      </c>
      <c r="AH934" s="18">
        <f>IF($A934&gt;'1-Input'!$B$26,AF934,AF934-'P-Parametri'!$B$8*(AG934+AF934)+MIN(MAX(AG934,0),'P-Parametri'!$B$8*(AG934+AF934)))</f>
        <v>27413.943851047781</v>
      </c>
      <c r="AI934" s="18">
        <f>IF($A934&gt;'1-Input'!$B$26,AG934,AG934-MIN(MAX(AG934,0),'P-Parametri'!$B$8*(AG934+AF934)))</f>
        <v>0</v>
      </c>
      <c r="AJ934" s="18">
        <f>IF($A934&gt;'1-Input'!$B$26,AJ933,AJ933-AE934*(1-AD934))</f>
        <v>1.1368683772161603E-13</v>
      </c>
      <c r="AK934" s="11">
        <f>IF($A934&gt;'1-Input'!$B$26,0,IF(AP933&lt;=0,0,MAX(0,(AP933-AQ933)/AP933)))</f>
        <v>0</v>
      </c>
      <c r="AL934" s="18">
        <f>IF($A934&gt;'1-Input'!$B$26,0,(MAX(0,AK891-IF($A934&gt;='1-Input'!$C$12,'1-Input'!$B$12,0))-MIN(MAX(AO933,0),MAX(0,AK891-IF($A934&gt;='1-Input'!$C$12,'1-Input'!$B$12,0))))*(1/(1-'P-Parametri'!$B$6*AK934))+MIN(MAX(0,AP933-(MAX(0,AK891-IF($A934&gt;='1-Input'!$C$12,'1-Input'!$B$12,0))-MIN(MAX(AO933,0),MAX(0,AK891-IF($A934&gt;='1-Input'!$C$12,'1-Input'!$B$12,0))))*(1/(1-'P-Parametri'!$B$6*AK934))),MAX(0,5*AK891-(AO933-MIN(MAX(AO933,0),MAX(0,AK891-IF($A934&gt;='1-Input'!$C$12,'1-Input'!$B$12,0)))))*(1/(1-'P-Parametri'!$B$6*AK934))))</f>
        <v>0</v>
      </c>
      <c r="AM934" s="18">
        <f>IF($A934&gt;'1-Input'!$B$26,AO933,(AO933-MAX(0,AK891-IF($A934&gt;='1-Input'!$C$12,'1-Input'!$B$12,0))+AL934*(1-'P-Parametri'!$B$6*AK934))*(1+'1-Input'!$B$27))</f>
        <v>27414.07647338583</v>
      </c>
      <c r="AN934" s="18">
        <f>IF($A934&gt;'1-Input'!$B$26,AP933,(AP933-AL934)*(1+$D$4))</f>
        <v>0</v>
      </c>
      <c r="AO934" s="18">
        <f>IF($A934&gt;'1-Input'!$B$26,AM934,AM934-'P-Parametri'!$B$8*(AN934+AM934)+MIN(MAX(AN934,0),'P-Parametri'!$B$8*(AN934+AM934)))</f>
        <v>27359.248320439059</v>
      </c>
      <c r="AP934" s="18">
        <f>IF($A934&gt;'1-Input'!$B$26,AN934,AN934-MIN(MAX(AN934,0),'P-Parametri'!$B$8*(AN934+AM934)))</f>
        <v>0</v>
      </c>
      <c r="AQ934" s="18">
        <f>IF($A934&gt;'1-Input'!$B$26,AQ933,AQ933-AL934*(1-AK934))</f>
        <v>-1.1368683772161603E-13</v>
      </c>
    </row>
    <row r="935" spans="1:43">
      <c r="A935" s="10">
        <f>42</f>
        <v>42</v>
      </c>
      <c r="B935" s="11">
        <f>IF($A935&gt;'1-Input'!$B$26,0,IF(G934&lt;=0,0,MAX(0,(G934-H934)/G934)))</f>
        <v>0.82174300803966738</v>
      </c>
      <c r="C935" s="18">
        <f>IF($A935&gt;'1-Input'!$B$26,0,(MAX(0,B891-IF($A935&gt;='1-Input'!$C$12,'1-Input'!$B$12,0))-MIN(MAX(F934,0),MAX(0,B891-IF($A935&gt;='1-Input'!$C$12,'1-Input'!$B$12,0))))*(1/(1-'P-Parametri'!$B$6*B935))+MIN(MAX(0,G934-(MAX(0,B891-IF($A935&gt;='1-Input'!$C$12,'1-Input'!$B$12,0))-MIN(MAX(F934,0),MAX(0,B891-IF($A935&gt;='1-Input'!$C$12,'1-Input'!$B$12,0))))*(1/(1-'P-Parametri'!$B$6*B935))),MAX(0,5*B891-(F934-MIN(MAX(F934,0),MAX(0,B891-IF($A935&gt;='1-Input'!$C$12,'1-Input'!$B$12,0)))))*(1/(1-'P-Parametri'!$B$6*B935))))</f>
        <v>7476.744581885403</v>
      </c>
      <c r="D935" s="18">
        <f>IF($A935&gt;'1-Input'!$B$26,F934,(F934-MAX(0,B891-IF($A935&gt;='1-Input'!$C$12,'1-Input'!$B$12,0))+C935*(1-'P-Parametri'!$B$6*B935))*(1+'1-Input'!$B$27))</f>
        <v>83105.01757746574</v>
      </c>
      <c r="E935" s="18">
        <f>IF($A935&gt;'1-Input'!$B$26,G934,(G934-C935)*(1+$D$4))</f>
        <v>67431.056477007922</v>
      </c>
      <c r="F935" s="18">
        <f>IF($A935&gt;'1-Input'!$B$26,D935,D935-'P-Parametri'!$B$8*(E935+D935)+MIN(MAX(E935,0),'P-Parametri'!$B$8*(E935+D935)))</f>
        <v>83105.01757746574</v>
      </c>
      <c r="G935" s="18">
        <f>IF($A935&gt;'1-Input'!$B$26,E935,E935-MIN(MAX(E935,0),'P-Parametri'!$B$8*(E935+D935)))</f>
        <v>67129.98432889898</v>
      </c>
      <c r="H935" s="18">
        <f>IF($A935&gt;'1-Input'!$B$26,H934,H934-C935*(1-B935))</f>
        <v>11557.747396441089</v>
      </c>
      <c r="I935" s="11">
        <f>IF($A935&gt;'1-Input'!$B$26,0,IF(N934&lt;=0,0,MAX(0,(N934-O934)/N934)))</f>
        <v>0</v>
      </c>
      <c r="J935" s="18">
        <f>IF($A935&gt;'1-Input'!$B$26,0,(MAX(0,I891-IF($A935&gt;='1-Input'!$C$12,'1-Input'!$B$12,0))-MIN(MAX(M934,0),MAX(0,I891-IF($A935&gt;='1-Input'!$C$12,'1-Input'!$B$12,0))))*(1/(1-'P-Parametri'!$B$6*I935))+MIN(MAX(0,N934-(MAX(0,I891-IF($A935&gt;='1-Input'!$C$12,'1-Input'!$B$12,0))-MIN(MAX(M934,0),MAX(0,I891-IF($A935&gt;='1-Input'!$C$12,'1-Input'!$B$12,0))))*(1/(1-'P-Parametri'!$B$6*I935))),MAX(0,5*I891-(M934-MIN(MAX(M934,0),MAX(0,I891-IF($A935&gt;='1-Input'!$C$12,'1-Input'!$B$12,0)))))*(1/(1-'P-Parametri'!$B$6*I935))))</f>
        <v>10846.756992928691</v>
      </c>
      <c r="K935" s="18">
        <f>IF($A935&gt;'1-Input'!$B$26,M934,(M934-MAX(0,I891-IF($A935&gt;='1-Input'!$C$12,'1-Input'!$B$12,0))+J935*(1-'P-Parametri'!$B$6*I935))*(1+'1-Input'!$B$27))</f>
        <v>0</v>
      </c>
      <c r="L935" s="18">
        <f>IF($A935&gt;'1-Input'!$B$26,N934,(N934-J935)*(1+$D$4))</f>
        <v>-305768.67948352714</v>
      </c>
      <c r="M935" s="18">
        <f>IF($A935&gt;'1-Input'!$B$26,K935,K935-'P-Parametri'!$B$8*(L935+K935)+MIN(MAX(L935,0),'P-Parametri'!$B$8*(L935+K935)))</f>
        <v>0</v>
      </c>
      <c r="N935" s="18">
        <f>IF($A935&gt;'1-Input'!$B$26,L935,L935-MIN(MAX(L935,0),'P-Parametri'!$B$8*(L935+K935)))</f>
        <v>-305157.14212456008</v>
      </c>
      <c r="O935" s="18">
        <f>IF($A935&gt;'1-Input'!$B$26,O934,O934-J935*(1-I935))</f>
        <v>-206034.55497262406</v>
      </c>
      <c r="P935" s="11">
        <f>IF($A935&gt;'1-Input'!$B$26,0,IF(U934&lt;=0,0,MAX(0,(U934-V934)/U934)))</f>
        <v>0</v>
      </c>
      <c r="Q935" s="18">
        <f>IF($A935&gt;'1-Input'!$B$26,0,(MAX(0,P891-IF($A935&gt;='1-Input'!$C$12,'1-Input'!$B$12,0))-MIN(MAX(T934,0),MAX(0,P891-IF($A935&gt;='1-Input'!$C$12,'1-Input'!$B$12,0))))*(1/(1-'P-Parametri'!$B$6*P935))+MIN(MAX(0,U934-(MAX(0,P891-IF($A935&gt;='1-Input'!$C$12,'1-Input'!$B$12,0))-MIN(MAX(T934,0),MAX(0,P891-IF($A935&gt;='1-Input'!$C$12,'1-Input'!$B$12,0))))*(1/(1-'P-Parametri'!$B$6*P935))),MAX(0,5*P891-(T934-MIN(MAX(T934,0),MAX(0,P891-IF($A935&gt;='1-Input'!$C$12,'1-Input'!$B$12,0)))))*(1/(1-'P-Parametri'!$B$6*P935))))</f>
        <v>0</v>
      </c>
      <c r="R935" s="18">
        <f>IF($A935&gt;'1-Input'!$B$26,T934,(T934-MAX(0,P891-IF($A935&gt;='1-Input'!$C$12,'1-Input'!$B$12,0))+Q935*(1-'P-Parametri'!$B$6*P935))*(1+'1-Input'!$B$27))</f>
        <v>7998.1680864303507</v>
      </c>
      <c r="S935" s="18">
        <f>IF($A935&gt;'1-Input'!$B$26,U934,(U934-Q935)*(1+$D$4))</f>
        <v>0</v>
      </c>
      <c r="T935" s="18">
        <f>IF($A935&gt;'1-Input'!$B$26,R935,R935-'P-Parametri'!$B$8*(S935+R935)+MIN(MAX(S935,0),'P-Parametri'!$B$8*(S935+R935)))</f>
        <v>7982.1717502574902</v>
      </c>
      <c r="U935" s="18">
        <f>IF($A935&gt;'1-Input'!$B$26,S935,S935-MIN(MAX(S935,0),'P-Parametri'!$B$8*(S935+R935)))</f>
        <v>0</v>
      </c>
      <c r="V935" s="18">
        <f>IF($A935&gt;'1-Input'!$B$26,V934,V934-Q935*(1-P935))</f>
        <v>2.2737367544323206E-13</v>
      </c>
      <c r="W935" s="11">
        <f>IF($A935&gt;'1-Input'!$B$26,0,IF(AB934&lt;=0,0,MAX(0,(AB934-AC934)/AB934)))</f>
        <v>0</v>
      </c>
      <c r="X935" s="18">
        <f>IF($A935&gt;'1-Input'!$B$26,0,(MAX(0,W891-IF($A935&gt;='1-Input'!$C$12,'1-Input'!$B$12,0))-MIN(MAX(AA934,0),MAX(0,W891-IF($A935&gt;='1-Input'!$C$12,'1-Input'!$B$12,0))))*(1/(1-'P-Parametri'!$B$6*W935))+MIN(MAX(0,AB934-(MAX(0,W891-IF($A935&gt;='1-Input'!$C$12,'1-Input'!$B$12,0))-MIN(MAX(AA934,0),MAX(0,W891-IF($A935&gt;='1-Input'!$C$12,'1-Input'!$B$12,0))))*(1/(1-'P-Parametri'!$B$6*W935))),MAX(0,5*W891-(AA934-MIN(MAX(AA934,0),MAX(0,W891-IF($A935&gt;='1-Input'!$C$12,'1-Input'!$B$12,0)))))*(1/(1-'P-Parametri'!$B$6*W935))))</f>
        <v>0</v>
      </c>
      <c r="Y935" s="18">
        <f>IF($A935&gt;'1-Input'!$B$26,AA934,(AA934-MAX(0,W891-IF($A935&gt;='1-Input'!$C$12,'1-Input'!$B$12,0))+X935*(1-'P-Parametri'!$B$6*W935))*(1+'1-Input'!$B$27))</f>
        <v>18279.467740616641</v>
      </c>
      <c r="Z935" s="18">
        <f>IF($A935&gt;'1-Input'!$B$26,AB934,(AB934-X935)*(1+$D$4))</f>
        <v>0</v>
      </c>
      <c r="AA935" s="18">
        <f>IF($A935&gt;'1-Input'!$B$26,Y935,Y935-'P-Parametri'!$B$8*(Z935+Y935)+MIN(MAX(Z935,0),'P-Parametri'!$B$8*(Z935+Y935)))</f>
        <v>18242.908805135408</v>
      </c>
      <c r="AB935" s="18">
        <f>IF($A935&gt;'1-Input'!$B$26,Z935,Z935-MIN(MAX(Z935,0),'P-Parametri'!$B$8*(Z935+Y935)))</f>
        <v>0</v>
      </c>
      <c r="AC935" s="18">
        <f>IF($A935&gt;'1-Input'!$B$26,AC934,AC934-X935*(1-W935))</f>
        <v>24.280895585298822</v>
      </c>
      <c r="AD935" s="11">
        <f>IF($A935&gt;'1-Input'!$B$26,0,IF(AI934&lt;=0,0,MAX(0,(AI934-AJ934)/AI934)))</f>
        <v>0</v>
      </c>
      <c r="AE935" s="18">
        <f>IF($A935&gt;'1-Input'!$B$26,0,(MAX(0,AD891-IF($A935&gt;='1-Input'!$C$12,'1-Input'!$B$12,0))-MIN(MAX(AH934,0),MAX(0,AD891-IF($A935&gt;='1-Input'!$C$12,'1-Input'!$B$12,0))))*(1/(1-'P-Parametri'!$B$6*AD935))+MIN(MAX(0,AI934-(MAX(0,AD891-IF($A935&gt;='1-Input'!$C$12,'1-Input'!$B$12,0))-MIN(MAX(AH934,0),MAX(0,AD891-IF($A935&gt;='1-Input'!$C$12,'1-Input'!$B$12,0))))*(1/(1-'P-Parametri'!$B$6*AD935))),MAX(0,5*AD891-(AH934-MIN(MAX(AH934,0),MAX(0,AD891-IF($A935&gt;='1-Input'!$C$12,'1-Input'!$B$12,0)))))*(1/(1-'P-Parametri'!$B$6*AD935))))</f>
        <v>0</v>
      </c>
      <c r="AF935" s="18">
        <f>IF($A935&gt;'1-Input'!$B$26,AH934,(AH934-MAX(0,AD891-IF($A935&gt;='1-Input'!$C$12,'1-Input'!$B$12,0))+AE935*(1-'P-Parametri'!$B$6*AD935))*(1+'1-Input'!$B$27))</f>
        <v>20558.820023952972</v>
      </c>
      <c r="AG935" s="18">
        <f>IF($A935&gt;'1-Input'!$B$26,AI934,(AI934-AE935)*(1+$D$4))</f>
        <v>0</v>
      </c>
      <c r="AH935" s="18">
        <f>IF($A935&gt;'1-Input'!$B$26,AF935,AF935-'P-Parametri'!$B$8*(AG935+AF935)+MIN(MAX(AG935,0),'P-Parametri'!$B$8*(AG935+AF935)))</f>
        <v>20517.702383905067</v>
      </c>
      <c r="AI935" s="18">
        <f>IF($A935&gt;'1-Input'!$B$26,AG935,AG935-MIN(MAX(AG935,0),'P-Parametri'!$B$8*(AG935+AF935)))</f>
        <v>0</v>
      </c>
      <c r="AJ935" s="18">
        <f>IF($A935&gt;'1-Input'!$B$26,AJ934,AJ934-AE935*(1-AD935))</f>
        <v>1.1368683772161603E-13</v>
      </c>
      <c r="AK935" s="11">
        <f>IF($A935&gt;'1-Input'!$B$26,0,IF(AP934&lt;=0,0,MAX(0,(AP934-AQ934)/AP934)))</f>
        <v>0</v>
      </c>
      <c r="AL935" s="18">
        <f>IF($A935&gt;'1-Input'!$B$26,0,(MAX(0,AK891-IF($A935&gt;='1-Input'!$C$12,'1-Input'!$B$12,0))-MIN(MAX(AO934,0),MAX(0,AK891-IF($A935&gt;='1-Input'!$C$12,'1-Input'!$B$12,0))))*(1/(1-'P-Parametri'!$B$6*AK935))+MIN(MAX(0,AP934-(MAX(0,AK891-IF($A935&gt;='1-Input'!$C$12,'1-Input'!$B$12,0))-MIN(MAX(AO934,0),MAX(0,AK891-IF($A935&gt;='1-Input'!$C$12,'1-Input'!$B$12,0))))*(1/(1-'P-Parametri'!$B$6*AK935))),MAX(0,5*AK891-(AO934-MIN(MAX(AO934,0),MAX(0,AK891-IF($A935&gt;='1-Input'!$C$12,'1-Input'!$B$12,0)))))*(1/(1-'P-Parametri'!$B$6*AK935))))</f>
        <v>0</v>
      </c>
      <c r="AM935" s="18">
        <f>IF($A935&gt;'1-Input'!$B$26,AO934,(AO934-MAX(0,AK891-IF($A935&gt;='1-Input'!$C$12,'1-Input'!$B$12,0))+AL935*(1-'P-Parametri'!$B$6*AK935))*(1+'1-Input'!$B$27))</f>
        <v>20503.570293700344</v>
      </c>
      <c r="AN935" s="18">
        <f>IF($A935&gt;'1-Input'!$B$26,AP934,(AP934-AL935)*(1+$D$4))</f>
        <v>0</v>
      </c>
      <c r="AO935" s="18">
        <f>IF($A935&gt;'1-Input'!$B$26,AM935,AM935-'P-Parametri'!$B$8*(AN935+AM935)+MIN(MAX(AN935,0),'P-Parametri'!$B$8*(AN935+AM935)))</f>
        <v>20462.563153112944</v>
      </c>
      <c r="AP935" s="18">
        <f>IF($A935&gt;'1-Input'!$B$26,AN935,AN935-MIN(MAX(AN935,0),'P-Parametri'!$B$8*(AN935+AM935)))</f>
        <v>0</v>
      </c>
      <c r="AQ935" s="18">
        <f>IF($A935&gt;'1-Input'!$B$26,AQ934,AQ934-AL935*(1-AK935))</f>
        <v>-1.1368683772161603E-13</v>
      </c>
    </row>
    <row r="936" spans="1:43">
      <c r="A936" s="10">
        <f>43</f>
        <v>43</v>
      </c>
      <c r="B936" s="11">
        <f>IF($A936&gt;'1-Input'!$B$26,0,IF(G935&lt;=0,0,MAX(0,(G935-H935)/G935)))</f>
        <v>0.82783032780382226</v>
      </c>
      <c r="C936" s="18">
        <f>IF($A936&gt;'1-Input'!$B$26,0,(MAX(0,B891-IF($A936&gt;='1-Input'!$C$12,'1-Input'!$B$12,0))-MIN(MAX(F935,0),MAX(0,B891-IF($A936&gt;='1-Input'!$C$12,'1-Input'!$B$12,0))))*(1/(1-'P-Parametri'!$B$6*B936))+MIN(MAX(0,G935-(MAX(0,B891-IF($A936&gt;='1-Input'!$C$12,'1-Input'!$B$12,0))-MIN(MAX(F935,0),MAX(0,B891-IF($A936&gt;='1-Input'!$C$12,'1-Input'!$B$12,0))))*(1/(1-'P-Parametri'!$B$6*B936))),MAX(0,5*B891-(F935-MIN(MAX(F935,0),MAX(0,B891-IF($A936&gt;='1-Input'!$C$12,'1-Input'!$B$12,0)))))*(1/(1-'P-Parametri'!$B$6*B936))))</f>
        <v>7491.8235933923361</v>
      </c>
      <c r="D936" s="18">
        <f>IF($A936&gt;'1-Input'!$B$26,F935,(F935-MAX(0,B891-IF($A936&gt;='1-Input'!$C$12,'1-Input'!$B$12,0))+C936*(1-'P-Parametri'!$B$6*B936))*(1+'1-Input'!$B$27))</f>
        <v>83105.01757746574</v>
      </c>
      <c r="E936" s="18">
        <f>IF($A936&gt;'1-Input'!$B$26,G935,(G935-C936)*(1+$D$4))</f>
        <v>62023.687164926909</v>
      </c>
      <c r="F936" s="18">
        <f>IF($A936&gt;'1-Input'!$B$26,D936,D936-'P-Parametri'!$B$8*(E936+D936)+MIN(MAX(E936,0),'P-Parametri'!$B$8*(E936+D936)))</f>
        <v>83105.01757746574</v>
      </c>
      <c r="G936" s="18">
        <f>IF($A936&gt;'1-Input'!$B$26,E936,E936-MIN(MAX(E936,0),'P-Parametri'!$B$8*(E936+D936)))</f>
        <v>61733.429755442121</v>
      </c>
      <c r="H936" s="18">
        <f>IF($A936&gt;'1-Input'!$B$26,H935,H935-C936*(1-B936))</f>
        <v>10267.88258421514</v>
      </c>
      <c r="I936" s="11">
        <f>IF($A936&gt;'1-Input'!$B$26,0,IF(N935&lt;=0,0,MAX(0,(N935-O935)/N935)))</f>
        <v>0</v>
      </c>
      <c r="J936" s="18">
        <f>IF($A936&gt;'1-Input'!$B$26,0,(MAX(0,I891-IF($A936&gt;='1-Input'!$C$12,'1-Input'!$B$12,0))-MIN(MAX(M935,0),MAX(0,I891-IF($A936&gt;='1-Input'!$C$12,'1-Input'!$B$12,0))))*(1/(1-'P-Parametri'!$B$6*I936))+MIN(MAX(0,N935-(MAX(0,I891-IF($A936&gt;='1-Input'!$C$12,'1-Input'!$B$12,0))-MIN(MAX(M935,0),MAX(0,I891-IF($A936&gt;='1-Input'!$C$12,'1-Input'!$B$12,0))))*(1/(1-'P-Parametri'!$B$6*I936))),MAX(0,5*I891-(M935-MIN(MAX(M935,0),MAX(0,I891-IF($A936&gt;='1-Input'!$C$12,'1-Input'!$B$12,0)))))*(1/(1-'P-Parametri'!$B$6*I936))))</f>
        <v>10846.756992928691</v>
      </c>
      <c r="K936" s="18">
        <f>IF($A936&gt;'1-Input'!$B$26,M935,(M935-MAX(0,I891-IF($A936&gt;='1-Input'!$C$12,'1-Input'!$B$12,0))+J936*(1-'P-Parametri'!$B$6*I936))*(1+'1-Input'!$B$27))</f>
        <v>0</v>
      </c>
      <c r="L936" s="18">
        <f>IF($A936&gt;'1-Input'!$B$26,N935,(N935-J936)*(1+$D$4))</f>
        <v>-328644.05508218834</v>
      </c>
      <c r="M936" s="18">
        <f>IF($A936&gt;'1-Input'!$B$26,K936,K936-'P-Parametri'!$B$8*(L936+K936)+MIN(MAX(L936,0),'P-Parametri'!$B$8*(L936+K936)))</f>
        <v>0</v>
      </c>
      <c r="N936" s="18">
        <f>IF($A936&gt;'1-Input'!$B$26,L936,L936-MIN(MAX(L936,0),'P-Parametri'!$B$8*(L936+K936)))</f>
        <v>-327986.76697202394</v>
      </c>
      <c r="O936" s="18">
        <f>IF($A936&gt;'1-Input'!$B$26,O935,O935-J936*(1-I936))</f>
        <v>-216881.31196555274</v>
      </c>
      <c r="P936" s="11">
        <f>IF($A936&gt;'1-Input'!$B$26,0,IF(U935&lt;=0,0,MAX(0,(U935-V935)/U935)))</f>
        <v>0</v>
      </c>
      <c r="Q936" s="18">
        <f>IF($A936&gt;'1-Input'!$B$26,0,(MAX(0,P891-IF($A936&gt;='1-Input'!$C$12,'1-Input'!$B$12,0))-MIN(MAX(T935,0),MAX(0,P891-IF($A936&gt;='1-Input'!$C$12,'1-Input'!$B$12,0))))*(1/(1-'P-Parametri'!$B$6*P936))+MIN(MAX(0,U935-(MAX(0,P891-IF($A936&gt;='1-Input'!$C$12,'1-Input'!$B$12,0))-MIN(MAX(T935,0),MAX(0,P891-IF($A936&gt;='1-Input'!$C$12,'1-Input'!$B$12,0))))*(1/(1-'P-Parametri'!$B$6*P936))),MAX(0,5*P891-(T935-MIN(MAX(T935,0),MAX(0,P891-IF($A936&gt;='1-Input'!$C$12,'1-Input'!$B$12,0)))))*(1/(1-'P-Parametri'!$B$6*P936))))</f>
        <v>0</v>
      </c>
      <c r="R936" s="18">
        <f>IF($A936&gt;'1-Input'!$B$26,T935,(T935-MAX(0,P891-IF($A936&gt;='1-Input'!$C$12,'1-Input'!$B$12,0))+Q936*(1-'P-Parametri'!$B$6*P936))*(1+'1-Input'!$B$27))</f>
        <v>1020.8512609110276</v>
      </c>
      <c r="S936" s="18">
        <f>IF($A936&gt;'1-Input'!$B$26,U935,(U935-Q936)*(1+$D$4))</f>
        <v>0</v>
      </c>
      <c r="T936" s="18">
        <f>IF($A936&gt;'1-Input'!$B$26,R936,R936-'P-Parametri'!$B$8*(S936+R936)+MIN(MAX(S936,0),'P-Parametri'!$B$8*(S936+R936)))</f>
        <v>1018.8095583892056</v>
      </c>
      <c r="U936" s="18">
        <f>IF($A936&gt;'1-Input'!$B$26,S936,S936-MIN(MAX(S936,0),'P-Parametri'!$B$8*(S936+R936)))</f>
        <v>0</v>
      </c>
      <c r="V936" s="18">
        <f>IF($A936&gt;'1-Input'!$B$26,V935,V935-Q936*(1-P936))</f>
        <v>2.2737367544323206E-13</v>
      </c>
      <c r="W936" s="11">
        <f>IF($A936&gt;'1-Input'!$B$26,0,IF(AB935&lt;=0,0,MAX(0,(AB935-AC935)/AB935)))</f>
        <v>0</v>
      </c>
      <c r="X936" s="18">
        <f>IF($A936&gt;'1-Input'!$B$26,0,(MAX(0,W891-IF($A936&gt;='1-Input'!$C$12,'1-Input'!$B$12,0))-MIN(MAX(AA935,0),MAX(0,W891-IF($A936&gt;='1-Input'!$C$12,'1-Input'!$B$12,0))))*(1/(1-'P-Parametri'!$B$6*W936))+MIN(MAX(0,AB935-(MAX(0,W891-IF($A936&gt;='1-Input'!$C$12,'1-Input'!$B$12,0))-MIN(MAX(AA935,0),MAX(0,W891-IF($A936&gt;='1-Input'!$C$12,'1-Input'!$B$12,0))))*(1/(1-'P-Parametri'!$B$6*W936))),MAX(0,5*W891-(AA935-MIN(MAX(AA935,0),MAX(0,W891-IF($A936&gt;='1-Input'!$C$12,'1-Input'!$B$12,0)))))*(1/(1-'P-Parametri'!$B$6*W936))))</f>
        <v>0</v>
      </c>
      <c r="Y936" s="18">
        <f>IF($A936&gt;'1-Input'!$B$26,AA935,(AA935-MAX(0,W891-IF($A936&gt;='1-Input'!$C$12,'1-Input'!$B$12,0))+X936*(1-'P-Parametri'!$B$6*W936))*(1+'1-Input'!$B$27))</f>
        <v>11390.176259173248</v>
      </c>
      <c r="Z936" s="18">
        <f>IF($A936&gt;'1-Input'!$B$26,AB935,(AB935-X936)*(1+$D$4))</f>
        <v>0</v>
      </c>
      <c r="AA936" s="18">
        <f>IF($A936&gt;'1-Input'!$B$26,Y936,Y936-'P-Parametri'!$B$8*(Z936+Y936)+MIN(MAX(Z936,0),'P-Parametri'!$B$8*(Z936+Y936)))</f>
        <v>11367.395906654901</v>
      </c>
      <c r="AB936" s="18">
        <f>IF($A936&gt;'1-Input'!$B$26,Z936,Z936-MIN(MAX(Z936,0),'P-Parametri'!$B$8*(Z936+Y936)))</f>
        <v>0</v>
      </c>
      <c r="AC936" s="18">
        <f>IF($A936&gt;'1-Input'!$B$26,AC935,AC935-X936*(1-W936))</f>
        <v>24.280895585298822</v>
      </c>
      <c r="AD936" s="11">
        <f>IF($A936&gt;'1-Input'!$B$26,0,IF(AI935&lt;=0,0,MAX(0,(AI935-AJ935)/AI935)))</f>
        <v>0</v>
      </c>
      <c r="AE936" s="18">
        <f>IF($A936&gt;'1-Input'!$B$26,0,(MAX(0,AD891-IF($A936&gt;='1-Input'!$C$12,'1-Input'!$B$12,0))-MIN(MAX(AH935,0),MAX(0,AD891-IF($A936&gt;='1-Input'!$C$12,'1-Input'!$B$12,0))))*(1/(1-'P-Parametri'!$B$6*AD936))+MIN(MAX(0,AI935-(MAX(0,AD891-IF($A936&gt;='1-Input'!$C$12,'1-Input'!$B$12,0))-MIN(MAX(AH935,0),MAX(0,AD891-IF($A936&gt;='1-Input'!$C$12,'1-Input'!$B$12,0))))*(1/(1-'P-Parametri'!$B$6*AD936))),MAX(0,5*AD891-(AH935-MIN(MAX(AH935,0),MAX(0,AD891-IF($A936&gt;='1-Input'!$C$12,'1-Input'!$B$12,0)))))*(1/(1-'P-Parametri'!$B$6*AD936))))</f>
        <v>0</v>
      </c>
      <c r="AF936" s="18">
        <f>IF($A936&gt;'1-Input'!$B$26,AH935,(AH935-MAX(0,AD891-IF($A936&gt;='1-Input'!$C$12,'1-Input'!$B$12,0))+AE936*(1-'P-Parametri'!$B$6*AD936))*(1+'1-Input'!$B$27))</f>
        <v>13687.405026091972</v>
      </c>
      <c r="AG936" s="18">
        <f>IF($A936&gt;'1-Input'!$B$26,AI935,(AI935-AE936)*(1+$D$4))</f>
        <v>0</v>
      </c>
      <c r="AH936" s="18">
        <f>IF($A936&gt;'1-Input'!$B$26,AF936,AF936-'P-Parametri'!$B$8*(AG936+AF936)+MIN(MAX(AG936,0),'P-Parametri'!$B$8*(AG936+AF936)))</f>
        <v>13660.030216039788</v>
      </c>
      <c r="AI936" s="18">
        <f>IF($A936&gt;'1-Input'!$B$26,AG936,AG936-MIN(MAX(AG936,0),'P-Parametri'!$B$8*(AG936+AF936)))</f>
        <v>0</v>
      </c>
      <c r="AJ936" s="18">
        <f>IF($A936&gt;'1-Input'!$B$26,AJ935,AJ935-AE936*(1-AD936))</f>
        <v>1.1368683772161603E-13</v>
      </c>
      <c r="AK936" s="11">
        <f>IF($A936&gt;'1-Input'!$B$26,0,IF(AP935&lt;=0,0,MAX(0,(AP935-AQ935)/AP935)))</f>
        <v>0</v>
      </c>
      <c r="AL936" s="18">
        <f>IF($A936&gt;'1-Input'!$B$26,0,(MAX(0,AK891-IF($A936&gt;='1-Input'!$C$12,'1-Input'!$B$12,0))-MIN(MAX(AO935,0),MAX(0,AK891-IF($A936&gt;='1-Input'!$C$12,'1-Input'!$B$12,0))))*(1/(1-'P-Parametri'!$B$6*AK936))+MIN(MAX(0,AP935-(MAX(0,AK891-IF($A936&gt;='1-Input'!$C$12,'1-Input'!$B$12,0))-MIN(MAX(AO935,0),MAX(0,AK891-IF($A936&gt;='1-Input'!$C$12,'1-Input'!$B$12,0))))*(1/(1-'P-Parametri'!$B$6*AK936))),MAX(0,5*AK891-(AO935-MIN(MAX(AO935,0),MAX(0,AK891-IF($A936&gt;='1-Input'!$C$12,'1-Input'!$B$12,0)))))*(1/(1-'P-Parametri'!$B$6*AK936))))</f>
        <v>0</v>
      </c>
      <c r="AM936" s="18">
        <f>IF($A936&gt;'1-Input'!$B$26,AO935,(AO935-MAX(0,AK891-IF($A936&gt;='1-Input'!$C$12,'1-Input'!$B$12,0))+AL936*(1-'P-Parametri'!$B$6*AK936))*(1+'1-Input'!$B$27))</f>
        <v>13631.713192976602</v>
      </c>
      <c r="AN936" s="18">
        <f>IF($A936&gt;'1-Input'!$B$26,AP935,(AP935-AL936)*(1+$D$4))</f>
        <v>0</v>
      </c>
      <c r="AO936" s="18">
        <f>IF($A936&gt;'1-Input'!$B$26,AM936,AM936-'P-Parametri'!$B$8*(AN936+AM936)+MIN(MAX(AN936,0),'P-Parametri'!$B$8*(AN936+AM936)))</f>
        <v>13604.449766590649</v>
      </c>
      <c r="AP936" s="18">
        <f>IF($A936&gt;'1-Input'!$B$26,AN936,AN936-MIN(MAX(AN936,0),'P-Parametri'!$B$8*(AN936+AM936)))</f>
        <v>0</v>
      </c>
      <c r="AQ936" s="18">
        <f>IF($A936&gt;'1-Input'!$B$26,AQ935,AQ935-AL936*(1-AK936))</f>
        <v>-1.1368683772161603E-13</v>
      </c>
    </row>
    <row r="937" spans="1:43">
      <c r="A937" s="10">
        <f>44</f>
        <v>44</v>
      </c>
      <c r="B937" s="11">
        <f>IF($A937&gt;'1-Input'!$B$26,0,IF(G936&lt;=0,0,MAX(0,(G936-H936)/G936)))</f>
        <v>0.83367386803403754</v>
      </c>
      <c r="C937" s="18">
        <f>IF($A937&gt;'1-Input'!$B$26,0,(MAX(0,B891-IF($A937&gt;='1-Input'!$C$12,'1-Input'!$B$12,0))-MIN(MAX(F936,0),MAX(0,B891-IF($A937&gt;='1-Input'!$C$12,'1-Input'!$B$12,0))))*(1/(1-'P-Parametri'!$B$6*B937))+MIN(MAX(0,G936-(MAX(0,B891-IF($A937&gt;='1-Input'!$C$12,'1-Input'!$B$12,0))-MIN(MAX(F936,0),MAX(0,B891-IF($A937&gt;='1-Input'!$C$12,'1-Input'!$B$12,0))))*(1/(1-'P-Parametri'!$B$6*B937))),MAX(0,5*B891-(F936-MIN(MAX(F936,0),MAX(0,B891-IF($A937&gt;='1-Input'!$C$12,'1-Input'!$B$12,0)))))*(1/(1-'P-Parametri'!$B$6*B937))))</f>
        <v>7506.3560626149165</v>
      </c>
      <c r="D937" s="18">
        <f>IF($A937&gt;'1-Input'!$B$26,F936,(F936-MAX(0,B891-IF($A937&gt;='1-Input'!$C$12,'1-Input'!$B$12,0))+C937*(1-'P-Parametri'!$B$6*B937))*(1+'1-Input'!$B$27))</f>
        <v>83105.01757746574</v>
      </c>
      <c r="E937" s="18">
        <f>IF($A937&gt;'1-Input'!$B$26,G936,(G936-C937)*(1+$D$4))</f>
        <v>56396.156640540292</v>
      </c>
      <c r="F937" s="18">
        <f>IF($A937&gt;'1-Input'!$B$26,D937,D937-'P-Parametri'!$B$8*(E937+D937)+MIN(MAX(E937,0),'P-Parametri'!$B$8*(E937+D937)))</f>
        <v>83105.01757746574</v>
      </c>
      <c r="G937" s="18">
        <f>IF($A937&gt;'1-Input'!$B$26,E937,E937-MIN(MAX(E937,0),'P-Parametri'!$B$8*(E937+D937)))</f>
        <v>56117.154292104278</v>
      </c>
      <c r="H937" s="18">
        <f>IF($A937&gt;'1-Input'!$B$26,H936,H936-C937*(1-B937))</f>
        <v>9019.3794151611492</v>
      </c>
      <c r="I937" s="11">
        <f>IF($A937&gt;'1-Input'!$B$26,0,IF(N936&lt;=0,0,MAX(0,(N936-O936)/N936)))</f>
        <v>0</v>
      </c>
      <c r="J937" s="18">
        <f>IF($A937&gt;'1-Input'!$B$26,0,(MAX(0,I891-IF($A937&gt;='1-Input'!$C$12,'1-Input'!$B$12,0))-MIN(MAX(M936,0),MAX(0,I891-IF($A937&gt;='1-Input'!$C$12,'1-Input'!$B$12,0))))*(1/(1-'P-Parametri'!$B$6*I937))+MIN(MAX(0,N936-(MAX(0,I891-IF($A937&gt;='1-Input'!$C$12,'1-Input'!$B$12,0))-MIN(MAX(M936,0),MAX(0,I891-IF($A937&gt;='1-Input'!$C$12,'1-Input'!$B$12,0))))*(1/(1-'P-Parametri'!$B$6*I937))),MAX(0,5*I891-(M936-MIN(MAX(M936,0),MAX(0,I891-IF($A937&gt;='1-Input'!$C$12,'1-Input'!$B$12,0)))))*(1/(1-'P-Parametri'!$B$6*I937))))</f>
        <v>10846.756992928691</v>
      </c>
      <c r="K937" s="18">
        <f>IF($A937&gt;'1-Input'!$B$26,M936,(M936-MAX(0,I891-IF($A937&gt;='1-Input'!$C$12,'1-Input'!$B$12,0))+J937*(1-'P-Parametri'!$B$6*I937))*(1+'1-Input'!$B$27))</f>
        <v>0</v>
      </c>
      <c r="L937" s="18">
        <f>IF($A937&gt;'1-Input'!$B$26,N936,(N936-J937)*(1+$D$4))</f>
        <v>-352386.86492355075</v>
      </c>
      <c r="M937" s="18">
        <f>IF($A937&gt;'1-Input'!$B$26,K937,K937-'P-Parametri'!$B$8*(L937+K937)+MIN(MAX(L937,0),'P-Parametri'!$B$8*(L937+K937)))</f>
        <v>0</v>
      </c>
      <c r="N937" s="18">
        <f>IF($A937&gt;'1-Input'!$B$26,L937,L937-MIN(MAX(L937,0),'P-Parametri'!$B$8*(L937+K937)))</f>
        <v>-351682.09119370364</v>
      </c>
      <c r="O937" s="18">
        <f>IF($A937&gt;'1-Input'!$B$26,O936,O936-J937*(1-I937))</f>
        <v>-227728.06895848142</v>
      </c>
      <c r="P937" s="11">
        <f>IF($A937&gt;'1-Input'!$B$26,0,IF(U936&lt;=0,0,MAX(0,(U936-V936)/U936)))</f>
        <v>0</v>
      </c>
      <c r="Q937" s="18">
        <f>IF($A937&gt;'1-Input'!$B$26,0,(MAX(0,P891-IF($A937&gt;='1-Input'!$C$12,'1-Input'!$B$12,0))-MIN(MAX(T936,0),MAX(0,P891-IF($A937&gt;='1-Input'!$C$12,'1-Input'!$B$12,0))))*(1/(1-'P-Parametri'!$B$6*P937))+MIN(MAX(0,U936-(MAX(0,P891-IF($A937&gt;='1-Input'!$C$12,'1-Input'!$B$12,0))-MIN(MAX(T936,0),MAX(0,P891-IF($A937&gt;='1-Input'!$C$12,'1-Input'!$B$12,0))))*(1/(1-'P-Parametri'!$B$6*P937))),MAX(0,5*P891-(T936-MIN(MAX(T936,0),MAX(0,P891-IF($A937&gt;='1-Input'!$C$12,'1-Input'!$B$12,0)))))*(1/(1-'P-Parametri'!$B$6*P937))))</f>
        <v>5938.8225883847163</v>
      </c>
      <c r="R937" s="18">
        <f>IF($A937&gt;'1-Input'!$B$26,T936,(T936-MAX(0,P891-IF($A937&gt;='1-Input'!$C$12,'1-Input'!$B$12,0))+Q937*(1-'P-Parametri'!$B$6*P937))*(1+'1-Input'!$B$27))</f>
        <v>0</v>
      </c>
      <c r="S937" s="18">
        <f>IF($A937&gt;'1-Input'!$B$26,U936,(U936-Q937)*(1+$D$4))</f>
        <v>-6176.3754919201056</v>
      </c>
      <c r="T937" s="18">
        <f>IF($A937&gt;'1-Input'!$B$26,R937,R937-'P-Parametri'!$B$8*(S937+R937)+MIN(MAX(S937,0),'P-Parametri'!$B$8*(S937+R937)))</f>
        <v>0</v>
      </c>
      <c r="U937" s="18">
        <f>IF($A937&gt;'1-Input'!$B$26,S937,S937-MIN(MAX(S937,0),'P-Parametri'!$B$8*(S937+R937)))</f>
        <v>-6164.0227409362651</v>
      </c>
      <c r="V937" s="18">
        <f>IF($A937&gt;'1-Input'!$B$26,V936,V936-Q937*(1-P937))</f>
        <v>-5938.8225883847163</v>
      </c>
      <c r="W937" s="11">
        <f>IF($A937&gt;'1-Input'!$B$26,0,IF(AB936&lt;=0,0,MAX(0,(AB936-AC936)/AB936)))</f>
        <v>0</v>
      </c>
      <c r="X937" s="18">
        <f>IF($A937&gt;'1-Input'!$B$26,0,(MAX(0,W891-IF($A937&gt;='1-Input'!$C$12,'1-Input'!$B$12,0))-MIN(MAX(AA936,0),MAX(0,W891-IF($A937&gt;='1-Input'!$C$12,'1-Input'!$B$12,0))))*(1/(1-'P-Parametri'!$B$6*W937))+MIN(MAX(0,AB936-(MAX(0,W891-IF($A937&gt;='1-Input'!$C$12,'1-Input'!$B$12,0))-MIN(MAX(AA936,0),MAX(0,W891-IF($A937&gt;='1-Input'!$C$12,'1-Input'!$B$12,0))))*(1/(1-'P-Parametri'!$B$6*W937))),MAX(0,5*W891-(AA936-MIN(MAX(AA936,0),MAX(0,W891-IF($A937&gt;='1-Input'!$C$12,'1-Input'!$B$12,0)))))*(1/(1-'P-Parametri'!$B$6*W937))))</f>
        <v>0</v>
      </c>
      <c r="Y937" s="18">
        <f>IF($A937&gt;'1-Input'!$B$26,AA936,(AA936-MAX(0,W891-IF($A937&gt;='1-Input'!$C$12,'1-Input'!$B$12,0))+X937*(1-'P-Parametri'!$B$6*W937))*(1+'1-Input'!$B$27))</f>
        <v>4539.4152071272711</v>
      </c>
      <c r="Z937" s="18">
        <f>IF($A937&gt;'1-Input'!$B$26,AB936,(AB936-X937)*(1+$D$4))</f>
        <v>0</v>
      </c>
      <c r="AA937" s="18">
        <f>IF($A937&gt;'1-Input'!$B$26,Y937,Y937-'P-Parametri'!$B$8*(Z937+Y937)+MIN(MAX(Z937,0),'P-Parametri'!$B$8*(Z937+Y937)))</f>
        <v>4530.3363767130168</v>
      </c>
      <c r="AB937" s="18">
        <f>IF($A937&gt;'1-Input'!$B$26,Z937,Z937-MIN(MAX(Z937,0),'P-Parametri'!$B$8*(Z937+Y937)))</f>
        <v>0</v>
      </c>
      <c r="AC937" s="18">
        <f>IF($A937&gt;'1-Input'!$B$26,AC936,AC936-X937*(1-W937))</f>
        <v>24.280895585298822</v>
      </c>
      <c r="AD937" s="11">
        <f>IF($A937&gt;'1-Input'!$B$26,0,IF(AI936&lt;=0,0,MAX(0,(AI936-AJ936)/AI936)))</f>
        <v>0</v>
      </c>
      <c r="AE937" s="18">
        <f>IF($A937&gt;'1-Input'!$B$26,0,(MAX(0,AD891-IF($A937&gt;='1-Input'!$C$12,'1-Input'!$B$12,0))-MIN(MAX(AH936,0),MAX(0,AD891-IF($A937&gt;='1-Input'!$C$12,'1-Input'!$B$12,0))))*(1/(1-'P-Parametri'!$B$6*AD937))+MIN(MAX(0,AI936-(MAX(0,AD891-IF($A937&gt;='1-Input'!$C$12,'1-Input'!$B$12,0))-MIN(MAX(AH936,0),MAX(0,AD891-IF($A937&gt;='1-Input'!$C$12,'1-Input'!$B$12,0))))*(1/(1-'P-Parametri'!$B$6*AD937))),MAX(0,5*AD891-(AH936-MIN(MAX(AH936,0),MAX(0,AD891-IF($A937&gt;='1-Input'!$C$12,'1-Input'!$B$12,0)))))*(1/(1-'P-Parametri'!$B$6*AD937))))</f>
        <v>0</v>
      </c>
      <c r="AF937" s="18">
        <f>IF($A937&gt;'1-Input'!$B$26,AH936,(AH936-MAX(0,AD891-IF($A937&gt;='1-Input'!$C$12,'1-Input'!$B$12,0))+AE937*(1-'P-Parametri'!$B$6*AD937))*(1+'1-Input'!$B$27))</f>
        <v>6854.4204780310074</v>
      </c>
      <c r="AG937" s="18">
        <f>IF($A937&gt;'1-Input'!$B$26,AI936,(AI936-AE937)*(1+$D$4))</f>
        <v>0</v>
      </c>
      <c r="AH937" s="18">
        <f>IF($A937&gt;'1-Input'!$B$26,AF937,AF937-'P-Parametri'!$B$8*(AG937+AF937)+MIN(MAX(AG937,0),'P-Parametri'!$B$8*(AG937+AF937)))</f>
        <v>6840.7116370749454</v>
      </c>
      <c r="AI937" s="18">
        <f>IF($A937&gt;'1-Input'!$B$26,AG937,AG937-MIN(MAX(AG937,0),'P-Parametri'!$B$8*(AG937+AF937)))</f>
        <v>0</v>
      </c>
      <c r="AJ937" s="18">
        <f>IF($A937&gt;'1-Input'!$B$26,AJ936,AJ936-AE937*(1-AD937))</f>
        <v>1.1368683772161603E-13</v>
      </c>
      <c r="AK937" s="11">
        <f>IF($A937&gt;'1-Input'!$B$26,0,IF(AP936&lt;=0,0,MAX(0,(AP936-AQ936)/AP936)))</f>
        <v>0</v>
      </c>
      <c r="AL937" s="18">
        <f>IF($A937&gt;'1-Input'!$B$26,0,(MAX(0,AK891-IF($A937&gt;='1-Input'!$C$12,'1-Input'!$B$12,0))-MIN(MAX(AO936,0),MAX(0,AK891-IF($A937&gt;='1-Input'!$C$12,'1-Input'!$B$12,0))))*(1/(1-'P-Parametri'!$B$6*AK937))+MIN(MAX(0,AP936-(MAX(0,AK891-IF($A937&gt;='1-Input'!$C$12,'1-Input'!$B$12,0))-MIN(MAX(AO936,0),MAX(0,AK891-IF($A937&gt;='1-Input'!$C$12,'1-Input'!$B$12,0))))*(1/(1-'P-Parametri'!$B$6*AK937))),MAX(0,5*AK891-(AO936-MIN(MAX(AO936,0),MAX(0,AK891-IF($A937&gt;='1-Input'!$C$12,'1-Input'!$B$12,0)))))*(1/(1-'P-Parametri'!$B$6*AK937))))</f>
        <v>0</v>
      </c>
      <c r="AM937" s="18">
        <f>IF($A937&gt;'1-Input'!$B$26,AO936,(AO936-MAX(0,AK891-IF($A937&gt;='1-Input'!$C$12,'1-Input'!$B$12,0))+AL937*(1-'P-Parametri'!$B$6*AK937))*(1+'1-Input'!$B$27))</f>
        <v>6798.2890146457876</v>
      </c>
      <c r="AN937" s="18">
        <f>IF($A937&gt;'1-Input'!$B$26,AP936,(AP936-AL937)*(1+$D$4))</f>
        <v>0</v>
      </c>
      <c r="AO937" s="18">
        <f>IF($A937&gt;'1-Input'!$B$26,AM937,AM937-'P-Parametri'!$B$8*(AN937+AM937)+MIN(MAX(AN937,0),'P-Parametri'!$B$8*(AN937+AM937)))</f>
        <v>6784.6924366164958</v>
      </c>
      <c r="AP937" s="18">
        <f>IF($A937&gt;'1-Input'!$B$26,AN937,AN937-MIN(MAX(AN937,0),'P-Parametri'!$B$8*(AN937+AM937)))</f>
        <v>0</v>
      </c>
      <c r="AQ937" s="18">
        <f>IF($A937&gt;'1-Input'!$B$26,AQ936,AQ936-AL937*(1-AK937))</f>
        <v>-1.1368683772161603E-13</v>
      </c>
    </row>
    <row r="938" spans="1:43">
      <c r="A938" s="10">
        <f>45</f>
        <v>45</v>
      </c>
      <c r="B938" s="11">
        <f>IF($A938&gt;'1-Input'!$B$26,0,IF(G937&lt;=0,0,MAX(0,(G937-H937)/G937)))</f>
        <v>0.83927589470747299</v>
      </c>
      <c r="C938" s="18">
        <f>IF($A938&gt;'1-Input'!$B$26,0,(MAX(0,B891-IF($A938&gt;='1-Input'!$C$12,'1-Input'!$B$12,0))-MIN(MAX(F937,0),MAX(0,B891-IF($A938&gt;='1-Input'!$C$12,'1-Input'!$B$12,0))))*(1/(1-'P-Parametri'!$B$6*B938))+MIN(MAX(0,G937-(MAX(0,B891-IF($A938&gt;='1-Input'!$C$12,'1-Input'!$B$12,0))-MIN(MAX(F937,0),MAX(0,B891-IF($A938&gt;='1-Input'!$C$12,'1-Input'!$B$12,0))))*(1/(1-'P-Parametri'!$B$6*B938))),MAX(0,5*B891-(F937-MIN(MAX(F937,0),MAX(0,B891-IF($A938&gt;='1-Input'!$C$12,'1-Input'!$B$12,0)))))*(1/(1-'P-Parametri'!$B$6*B938))))</f>
        <v>7520.340935816319</v>
      </c>
      <c r="D938" s="18">
        <f>IF($A938&gt;'1-Input'!$B$26,F937,(F937-MAX(0,B891-IF($A938&gt;='1-Input'!$C$12,'1-Input'!$B$12,0))+C938*(1-'P-Parametri'!$B$6*B938))*(1+'1-Input'!$B$27))</f>
        <v>83105.01757746574</v>
      </c>
      <c r="E938" s="18">
        <f>IF($A938&gt;'1-Input'!$B$26,G937,(G937-C938)*(1+$D$4))</f>
        <v>50540.685890539477</v>
      </c>
      <c r="F938" s="18">
        <f>IF($A938&gt;'1-Input'!$B$26,D938,D938-'P-Parametri'!$B$8*(E938+D938)+MIN(MAX(E938,0),'P-Parametri'!$B$8*(E938+D938)))</f>
        <v>83105.01757746574</v>
      </c>
      <c r="G938" s="18">
        <f>IF($A938&gt;'1-Input'!$B$26,E938,E938-MIN(MAX(E938,0),'P-Parametri'!$B$8*(E938+D938)))</f>
        <v>50273.394483603464</v>
      </c>
      <c r="H938" s="18">
        <f>IF($A938&gt;'1-Input'!$B$26,H937,H937-C938*(1-B938))</f>
        <v>7810.6793467573061</v>
      </c>
      <c r="I938" s="11">
        <f>IF($A938&gt;'1-Input'!$B$26,0,IF(N937&lt;=0,0,MAX(0,(N937-O937)/N937)))</f>
        <v>0</v>
      </c>
      <c r="J938" s="18">
        <f>IF($A938&gt;'1-Input'!$B$26,0,(MAX(0,I891-IF($A938&gt;='1-Input'!$C$12,'1-Input'!$B$12,0))-MIN(MAX(M937,0),MAX(0,I891-IF($A938&gt;='1-Input'!$C$12,'1-Input'!$B$12,0))))*(1/(1-'P-Parametri'!$B$6*I938))+MIN(MAX(0,N937-(MAX(0,I891-IF($A938&gt;='1-Input'!$C$12,'1-Input'!$B$12,0))-MIN(MAX(M937,0),MAX(0,I891-IF($A938&gt;='1-Input'!$C$12,'1-Input'!$B$12,0))))*(1/(1-'P-Parametri'!$B$6*I938))),MAX(0,5*I891-(M937-MIN(MAX(M937,0),MAX(0,I891-IF($A938&gt;='1-Input'!$C$12,'1-Input'!$B$12,0)))))*(1/(1-'P-Parametri'!$B$6*I938))))</f>
        <v>10846.756992928691</v>
      </c>
      <c r="K938" s="18">
        <f>IF($A938&gt;'1-Input'!$B$26,M937,(M937-MAX(0,I891-IF($A938&gt;='1-Input'!$C$12,'1-Input'!$B$12,0))+J938*(1-'P-Parametri'!$B$6*I938))*(1+'1-Input'!$B$27))</f>
        <v>0</v>
      </c>
      <c r="L938" s="18">
        <f>IF($A938&gt;'1-Input'!$B$26,N937,(N937-J938)*(1+$D$4))</f>
        <v>-377030.00211409765</v>
      </c>
      <c r="M938" s="18">
        <f>IF($A938&gt;'1-Input'!$B$26,K938,K938-'P-Parametri'!$B$8*(L938+K938)+MIN(MAX(L938,0),'P-Parametri'!$B$8*(L938+K938)))</f>
        <v>0</v>
      </c>
      <c r="N938" s="18">
        <f>IF($A938&gt;'1-Input'!$B$26,L938,L938-MIN(MAX(L938,0),'P-Parametri'!$B$8*(L938+K938)))</f>
        <v>-376275.94210986944</v>
      </c>
      <c r="O938" s="18">
        <f>IF($A938&gt;'1-Input'!$B$26,O937,O937-J938*(1-I938))</f>
        <v>-238574.82595141011</v>
      </c>
      <c r="P938" s="11">
        <f>IF($A938&gt;'1-Input'!$B$26,0,IF(U937&lt;=0,0,MAX(0,(U937-V937)/U937)))</f>
        <v>0</v>
      </c>
      <c r="Q938" s="18">
        <f>IF($A938&gt;'1-Input'!$B$26,0,(MAX(0,P891-IF($A938&gt;='1-Input'!$C$12,'1-Input'!$B$12,0))-MIN(MAX(T937,0),MAX(0,P891-IF($A938&gt;='1-Input'!$C$12,'1-Input'!$B$12,0))))*(1/(1-'P-Parametri'!$B$6*P938))+MIN(MAX(0,U937-(MAX(0,P891-IF($A938&gt;='1-Input'!$C$12,'1-Input'!$B$12,0))-MIN(MAX(T937,0),MAX(0,P891-IF($A938&gt;='1-Input'!$C$12,'1-Input'!$B$12,0))))*(1/(1-'P-Parametri'!$B$6*P938))),MAX(0,5*P891-(T937-MIN(MAX(T937,0),MAX(0,P891-IF($A938&gt;='1-Input'!$C$12,'1-Input'!$B$12,0)))))*(1/(1-'P-Parametri'!$B$6*P938))))</f>
        <v>6957.6321467739217</v>
      </c>
      <c r="R938" s="18">
        <f>IF($A938&gt;'1-Input'!$B$26,T937,(T937-MAX(0,P891-IF($A938&gt;='1-Input'!$C$12,'1-Input'!$B$12,0))+Q938*(1-'P-Parametri'!$B$6*P938))*(1+'1-Input'!$B$27))</f>
        <v>0</v>
      </c>
      <c r="S938" s="18">
        <f>IF($A938&gt;'1-Input'!$B$26,U937,(U937-Q938)*(1+$D$4))</f>
        <v>-13646.521083218595</v>
      </c>
      <c r="T938" s="18">
        <f>IF($A938&gt;'1-Input'!$B$26,R938,R938-'P-Parametri'!$B$8*(S938+R938)+MIN(MAX(S938,0),'P-Parametri'!$B$8*(S938+R938)))</f>
        <v>0</v>
      </c>
      <c r="U938" s="18">
        <f>IF($A938&gt;'1-Input'!$B$26,S938,S938-MIN(MAX(S938,0),'P-Parametri'!$B$8*(S938+R938)))</f>
        <v>-13619.228041052158</v>
      </c>
      <c r="V938" s="18">
        <f>IF($A938&gt;'1-Input'!$B$26,V937,V937-Q938*(1-P938))</f>
        <v>-12896.454735158637</v>
      </c>
      <c r="W938" s="11">
        <f>IF($A938&gt;'1-Input'!$B$26,0,IF(AB937&lt;=0,0,MAX(0,(AB937-AC937)/AB937)))</f>
        <v>0</v>
      </c>
      <c r="X938" s="18">
        <f>IF($A938&gt;'1-Input'!$B$26,0,(MAX(0,W891-IF($A938&gt;='1-Input'!$C$12,'1-Input'!$B$12,0))-MIN(MAX(AA937,0),MAX(0,W891-IF($A938&gt;='1-Input'!$C$12,'1-Input'!$B$12,0))))*(1/(1-'P-Parametri'!$B$6*W938))+MIN(MAX(0,AB937-(MAX(0,W891-IF($A938&gt;='1-Input'!$C$12,'1-Input'!$B$12,0))-MIN(MAX(AA937,0),MAX(0,W891-IF($A938&gt;='1-Input'!$C$12,'1-Input'!$B$12,0))))*(1/(1-'P-Parametri'!$B$6*W938))),MAX(0,5*W891-(AA937-MIN(MAX(AA937,0),MAX(0,W891-IF($A938&gt;='1-Input'!$C$12,'1-Input'!$B$12,0)))))*(1/(1-'P-Parametri'!$B$6*W938))))</f>
        <v>2281.2433846917129</v>
      </c>
      <c r="Y938" s="18">
        <f>IF($A938&gt;'1-Input'!$B$26,AA937,(AA937-MAX(0,W891-IF($A938&gt;='1-Input'!$C$12,'1-Input'!$B$12,0))+X938*(1-'P-Parametri'!$B$6*W938))*(1+'1-Input'!$B$27))</f>
        <v>0</v>
      </c>
      <c r="Z938" s="18">
        <f>IF($A938&gt;'1-Input'!$B$26,AB937,(AB937-X938)*(1+$D$4))</f>
        <v>-2372.4931200793817</v>
      </c>
      <c r="AA938" s="18">
        <f>IF($A938&gt;'1-Input'!$B$26,Y938,Y938-'P-Parametri'!$B$8*(Z938+Y938)+MIN(MAX(Z938,0),'P-Parametri'!$B$8*(Z938+Y938)))</f>
        <v>0</v>
      </c>
      <c r="AB938" s="18">
        <f>IF($A938&gt;'1-Input'!$B$26,Z938,Z938-MIN(MAX(Z938,0),'P-Parametri'!$B$8*(Z938+Y938)))</f>
        <v>-2367.7481338392231</v>
      </c>
      <c r="AC938" s="18">
        <f>IF($A938&gt;'1-Input'!$B$26,AC937,AC937-X938*(1-W938))</f>
        <v>-2256.9624891064141</v>
      </c>
      <c r="AD938" s="11">
        <f>IF($A938&gt;'1-Input'!$B$26,0,IF(AI937&lt;=0,0,MAX(0,(AI937-AJ937)/AI937)))</f>
        <v>0</v>
      </c>
      <c r="AE938" s="18">
        <f>IF($A938&gt;'1-Input'!$B$26,0,(MAX(0,AD891-IF($A938&gt;='1-Input'!$C$12,'1-Input'!$B$12,0))-MIN(MAX(AH937,0),MAX(0,AD891-IF($A938&gt;='1-Input'!$C$12,'1-Input'!$B$12,0))))*(1/(1-'P-Parametri'!$B$6*AD938))+MIN(MAX(0,AI937-(MAX(0,AD891-IF($A938&gt;='1-Input'!$C$12,'1-Input'!$B$12,0))-MIN(MAX(AH937,0),MAX(0,AD891-IF($A938&gt;='1-Input'!$C$12,'1-Input'!$B$12,0))))*(1/(1-'P-Parametri'!$B$6*AD938))),MAX(0,5*AD891-(AH937-MIN(MAX(AH937,0),MAX(0,AD891-IF($A938&gt;='1-Input'!$C$12,'1-Input'!$B$12,0)))))*(1/(1-'P-Parametri'!$B$6*AD938))))</f>
        <v>0</v>
      </c>
      <c r="AF938" s="18">
        <f>IF($A938&gt;'1-Input'!$B$26,AH937,(AH937-MAX(0,AD891-IF($A938&gt;='1-Input'!$C$12,'1-Input'!$B$12,0))+AE938*(1-'P-Parametri'!$B$6*AD938))*(1+'1-Input'!$B$27))</f>
        <v>59.651445950438806</v>
      </c>
      <c r="AG938" s="18">
        <f>IF($A938&gt;'1-Input'!$B$26,AI937,(AI937-AE938)*(1+$D$4))</f>
        <v>0</v>
      </c>
      <c r="AH938" s="18">
        <f>IF($A938&gt;'1-Input'!$B$26,AF938,AF938-'P-Parametri'!$B$8*(AG938+AF938)+MIN(MAX(AG938,0),'P-Parametri'!$B$8*(AG938+AF938)))</f>
        <v>59.532143058537926</v>
      </c>
      <c r="AI938" s="18">
        <f>IF($A938&gt;'1-Input'!$B$26,AG938,AG938-MIN(MAX(AG938,0),'P-Parametri'!$B$8*(AG938+AF938)))</f>
        <v>0</v>
      </c>
      <c r="AJ938" s="18">
        <f>IF($A938&gt;'1-Input'!$B$26,AJ937,AJ937-AE938*(1-AD938))</f>
        <v>1.1368683772161603E-13</v>
      </c>
      <c r="AK938" s="11">
        <f>IF($A938&gt;'1-Input'!$B$26,0,IF(AP937&lt;=0,0,MAX(0,(AP937-AQ937)/AP937)))</f>
        <v>0</v>
      </c>
      <c r="AL938" s="18">
        <f>IF($A938&gt;'1-Input'!$B$26,0,(MAX(0,AK891-IF($A938&gt;='1-Input'!$C$12,'1-Input'!$B$12,0))-MIN(MAX(AO937,0),MAX(0,AK891-IF($A938&gt;='1-Input'!$C$12,'1-Input'!$B$12,0))))*(1/(1-'P-Parametri'!$B$6*AK938))+MIN(MAX(0,AP937-(MAX(0,AK891-IF($A938&gt;='1-Input'!$C$12,'1-Input'!$B$12,0))-MIN(MAX(AO937,0),MAX(0,AK891-IF($A938&gt;='1-Input'!$C$12,'1-Input'!$B$12,0))))*(1/(1-'P-Parametri'!$B$6*AK938))),MAX(0,5*AK891-(AO937-MIN(MAX(AO937,0),MAX(0,AK891-IF($A938&gt;='1-Input'!$C$12,'1-Input'!$B$12,0)))))*(1/(1-'P-Parametri'!$B$6*AK938))))</f>
        <v>0</v>
      </c>
      <c r="AM938" s="18">
        <f>IF($A938&gt;'1-Input'!$B$26,AO937,(AO937-MAX(0,AK891-IF($A938&gt;='1-Input'!$C$12,'1-Input'!$B$12,0))+AL938*(1-'P-Parametri'!$B$6*AK938))*(1+'1-Input'!$B$27))</f>
        <v>3.0828110595414957</v>
      </c>
      <c r="AN938" s="18">
        <f>IF($A938&gt;'1-Input'!$B$26,AP937,(AP937-AL938)*(1+$D$4))</f>
        <v>0</v>
      </c>
      <c r="AO938" s="18">
        <f>IF($A938&gt;'1-Input'!$B$26,AM938,AM938-'P-Parametri'!$B$8*(AN938+AM938)+MIN(MAX(AN938,0),'P-Parametri'!$B$8*(AN938+AM938)))</f>
        <v>3.0766454374224126</v>
      </c>
      <c r="AP938" s="18">
        <f>IF($A938&gt;'1-Input'!$B$26,AN938,AN938-MIN(MAX(AN938,0),'P-Parametri'!$B$8*(AN938+AM938)))</f>
        <v>0</v>
      </c>
      <c r="AQ938" s="18">
        <f>IF($A938&gt;'1-Input'!$B$26,AQ937,AQ937-AL938*(1-AK938))</f>
        <v>-1.1368683772161603E-13</v>
      </c>
    </row>
    <row r="939" spans="1:43">
      <c r="A939" s="10">
        <f>46</f>
        <v>46</v>
      </c>
      <c r="B939" s="11">
        <f>IF($A939&gt;'1-Input'!$B$26,0,IF(G938&lt;=0,0,MAX(0,(G938-H938)/G938)))</f>
        <v>0</v>
      </c>
      <c r="C939" s="18">
        <f>IF($A939&gt;'1-Input'!$B$26,0,(MAX(0,B891-IF($A939&gt;='1-Input'!$C$12,'1-Input'!$B$12,0))-MIN(MAX(F938,0),MAX(0,B891-IF($A939&gt;='1-Input'!$C$12,'1-Input'!$B$12,0))))*(1/(1-'P-Parametri'!$B$6*B939))+MIN(MAX(0,G938-(MAX(0,B891-IF($A939&gt;='1-Input'!$C$12,'1-Input'!$B$12,0))-MIN(MAX(F938,0),MAX(0,B891-IF($A939&gt;='1-Input'!$C$12,'1-Input'!$B$12,0))))*(1/(1-'P-Parametri'!$B$6*B939))),MAX(0,5*B891-(F938-MIN(MAX(F938,0),MAX(0,B891-IF($A939&gt;='1-Input'!$C$12,'1-Input'!$B$12,0)))))*(1/(1-'P-Parametri'!$B$6*B939))))</f>
        <v>0</v>
      </c>
      <c r="D939" s="18">
        <f>IF($A939&gt;'1-Input'!$B$26,F938,(F938-MAX(0,B891-IF($A939&gt;='1-Input'!$C$12,'1-Input'!$B$12,0))+C939*(1-'P-Parametri'!$B$6*B939))*(1+'1-Input'!$B$27))</f>
        <v>83105.01757746574</v>
      </c>
      <c r="E939" s="18">
        <f>IF($A939&gt;'1-Input'!$B$26,G938,(G938-C939)*(1+$D$4))</f>
        <v>50273.394483603464</v>
      </c>
      <c r="F939" s="18">
        <f>IF($A939&gt;'1-Input'!$B$26,D939,D939-'P-Parametri'!$B$8*(E939+D939)+MIN(MAX(E939,0),'P-Parametri'!$B$8*(E939+D939)))</f>
        <v>83105.01757746574</v>
      </c>
      <c r="G939" s="18">
        <f>IF($A939&gt;'1-Input'!$B$26,E939,E939-MIN(MAX(E939,0),'P-Parametri'!$B$8*(E939+D939)))</f>
        <v>50273.394483603464</v>
      </c>
      <c r="H939" s="18">
        <f>IF($A939&gt;'1-Input'!$B$26,H938,H938-C939*(1-B939))</f>
        <v>7810.6793467573061</v>
      </c>
      <c r="I939" s="11">
        <f>IF($A939&gt;'1-Input'!$B$26,0,IF(N938&lt;=0,0,MAX(0,(N938-O938)/N938)))</f>
        <v>0</v>
      </c>
      <c r="J939" s="18">
        <f>IF($A939&gt;'1-Input'!$B$26,0,(MAX(0,I891-IF($A939&gt;='1-Input'!$C$12,'1-Input'!$B$12,0))-MIN(MAX(M938,0),MAX(0,I891-IF($A939&gt;='1-Input'!$C$12,'1-Input'!$B$12,0))))*(1/(1-'P-Parametri'!$B$6*I939))+MIN(MAX(0,N938-(MAX(0,I891-IF($A939&gt;='1-Input'!$C$12,'1-Input'!$B$12,0))-MIN(MAX(M938,0),MAX(0,I891-IF($A939&gt;='1-Input'!$C$12,'1-Input'!$B$12,0))))*(1/(1-'P-Parametri'!$B$6*I939))),MAX(0,5*I891-(M938-MIN(MAX(M938,0),MAX(0,I891-IF($A939&gt;='1-Input'!$C$12,'1-Input'!$B$12,0)))))*(1/(1-'P-Parametri'!$B$6*I939))))</f>
        <v>0</v>
      </c>
      <c r="K939" s="18">
        <f>IF($A939&gt;'1-Input'!$B$26,M938,(M938-MAX(0,I891-IF($A939&gt;='1-Input'!$C$12,'1-Input'!$B$12,0))+J939*(1-'P-Parametri'!$B$6*I939))*(1+'1-Input'!$B$27))</f>
        <v>0</v>
      </c>
      <c r="L939" s="18">
        <f>IF($A939&gt;'1-Input'!$B$26,N938,(N938-J939)*(1+$D$4))</f>
        <v>-376275.94210986944</v>
      </c>
      <c r="M939" s="18">
        <f>IF($A939&gt;'1-Input'!$B$26,K939,K939-'P-Parametri'!$B$8*(L939+K939)+MIN(MAX(L939,0),'P-Parametri'!$B$8*(L939+K939)))</f>
        <v>0</v>
      </c>
      <c r="N939" s="18">
        <f>IF($A939&gt;'1-Input'!$B$26,L939,L939-MIN(MAX(L939,0),'P-Parametri'!$B$8*(L939+K939)))</f>
        <v>-376275.94210986944</v>
      </c>
      <c r="O939" s="18">
        <f>IF($A939&gt;'1-Input'!$B$26,O938,O938-J939*(1-I939))</f>
        <v>-238574.82595141011</v>
      </c>
      <c r="P939" s="11">
        <f>IF($A939&gt;'1-Input'!$B$26,0,IF(U938&lt;=0,0,MAX(0,(U938-V938)/U938)))</f>
        <v>0</v>
      </c>
      <c r="Q939" s="18">
        <f>IF($A939&gt;'1-Input'!$B$26,0,(MAX(0,P891-IF($A939&gt;='1-Input'!$C$12,'1-Input'!$B$12,0))-MIN(MAX(T938,0),MAX(0,P891-IF($A939&gt;='1-Input'!$C$12,'1-Input'!$B$12,0))))*(1/(1-'P-Parametri'!$B$6*P939))+MIN(MAX(0,U938-(MAX(0,P891-IF($A939&gt;='1-Input'!$C$12,'1-Input'!$B$12,0))-MIN(MAX(T938,0),MAX(0,P891-IF($A939&gt;='1-Input'!$C$12,'1-Input'!$B$12,0))))*(1/(1-'P-Parametri'!$B$6*P939))),MAX(0,5*P891-(T938-MIN(MAX(T938,0),MAX(0,P891-IF($A939&gt;='1-Input'!$C$12,'1-Input'!$B$12,0)))))*(1/(1-'P-Parametri'!$B$6*P939))))</f>
        <v>0</v>
      </c>
      <c r="R939" s="18">
        <f>IF($A939&gt;'1-Input'!$B$26,T938,(T938-MAX(0,P891-IF($A939&gt;='1-Input'!$C$12,'1-Input'!$B$12,0))+Q939*(1-'P-Parametri'!$B$6*P939))*(1+'1-Input'!$B$27))</f>
        <v>0</v>
      </c>
      <c r="S939" s="18">
        <f>IF($A939&gt;'1-Input'!$B$26,U938,(U938-Q939)*(1+$D$4))</f>
        <v>-13619.228041052158</v>
      </c>
      <c r="T939" s="18">
        <f>IF($A939&gt;'1-Input'!$B$26,R939,R939-'P-Parametri'!$B$8*(S939+R939)+MIN(MAX(S939,0),'P-Parametri'!$B$8*(S939+R939)))</f>
        <v>0</v>
      </c>
      <c r="U939" s="18">
        <f>IF($A939&gt;'1-Input'!$B$26,S939,S939-MIN(MAX(S939,0),'P-Parametri'!$B$8*(S939+R939)))</f>
        <v>-13619.228041052158</v>
      </c>
      <c r="V939" s="18">
        <f>IF($A939&gt;'1-Input'!$B$26,V938,V938-Q939*(1-P939))</f>
        <v>-12896.454735158637</v>
      </c>
      <c r="W939" s="11">
        <f>IF($A939&gt;'1-Input'!$B$26,0,IF(AB938&lt;=0,0,MAX(0,(AB938-AC938)/AB938)))</f>
        <v>0</v>
      </c>
      <c r="X939" s="18">
        <f>IF($A939&gt;'1-Input'!$B$26,0,(MAX(0,W891-IF($A939&gt;='1-Input'!$C$12,'1-Input'!$B$12,0))-MIN(MAX(AA938,0),MAX(0,W891-IF($A939&gt;='1-Input'!$C$12,'1-Input'!$B$12,0))))*(1/(1-'P-Parametri'!$B$6*W939))+MIN(MAX(0,AB938-(MAX(0,W891-IF($A939&gt;='1-Input'!$C$12,'1-Input'!$B$12,0))-MIN(MAX(AA938,0),MAX(0,W891-IF($A939&gt;='1-Input'!$C$12,'1-Input'!$B$12,0))))*(1/(1-'P-Parametri'!$B$6*W939))),MAX(0,5*W891-(AA938-MIN(MAX(AA938,0),MAX(0,W891-IF($A939&gt;='1-Input'!$C$12,'1-Input'!$B$12,0)))))*(1/(1-'P-Parametri'!$B$6*W939))))</f>
        <v>0</v>
      </c>
      <c r="Y939" s="18">
        <f>IF($A939&gt;'1-Input'!$B$26,AA938,(AA938-MAX(0,W891-IF($A939&gt;='1-Input'!$C$12,'1-Input'!$B$12,0))+X939*(1-'P-Parametri'!$B$6*W939))*(1+'1-Input'!$B$27))</f>
        <v>0</v>
      </c>
      <c r="Z939" s="18">
        <f>IF($A939&gt;'1-Input'!$B$26,AB938,(AB938-X939)*(1+$D$4))</f>
        <v>-2367.7481338392231</v>
      </c>
      <c r="AA939" s="18">
        <f>IF($A939&gt;'1-Input'!$B$26,Y939,Y939-'P-Parametri'!$B$8*(Z939+Y939)+MIN(MAX(Z939,0),'P-Parametri'!$B$8*(Z939+Y939)))</f>
        <v>0</v>
      </c>
      <c r="AB939" s="18">
        <f>IF($A939&gt;'1-Input'!$B$26,Z939,Z939-MIN(MAX(Z939,0),'P-Parametri'!$B$8*(Z939+Y939)))</f>
        <v>-2367.7481338392231</v>
      </c>
      <c r="AC939" s="18">
        <f>IF($A939&gt;'1-Input'!$B$26,AC938,AC938-X939*(1-W939))</f>
        <v>-2256.9624891064141</v>
      </c>
      <c r="AD939" s="11">
        <f>IF($A939&gt;'1-Input'!$B$26,0,IF(AI938&lt;=0,0,MAX(0,(AI938-AJ938)/AI938)))</f>
        <v>0</v>
      </c>
      <c r="AE939" s="18">
        <f>IF($A939&gt;'1-Input'!$B$26,0,(MAX(0,AD891-IF($A939&gt;='1-Input'!$C$12,'1-Input'!$B$12,0))-MIN(MAX(AH938,0),MAX(0,AD891-IF($A939&gt;='1-Input'!$C$12,'1-Input'!$B$12,0))))*(1/(1-'P-Parametri'!$B$6*AD939))+MIN(MAX(0,AI938-(MAX(0,AD891-IF($A939&gt;='1-Input'!$C$12,'1-Input'!$B$12,0))-MIN(MAX(AH938,0),MAX(0,AD891-IF($A939&gt;='1-Input'!$C$12,'1-Input'!$B$12,0))))*(1/(1-'P-Parametri'!$B$6*AD939))),MAX(0,5*AD891-(AH938-MIN(MAX(AH938,0),MAX(0,AD891-IF($A939&gt;='1-Input'!$C$12,'1-Input'!$B$12,0)))))*(1/(1-'P-Parametri'!$B$6*AD939))))</f>
        <v>0</v>
      </c>
      <c r="AF939" s="18">
        <f>IF($A939&gt;'1-Input'!$B$26,AH938,(AH938-MAX(0,AD891-IF($A939&gt;='1-Input'!$C$12,'1-Input'!$B$12,0))+AE939*(1-'P-Parametri'!$B$6*AD939))*(1+'1-Input'!$B$27))</f>
        <v>59.532143058537926</v>
      </c>
      <c r="AG939" s="18">
        <f>IF($A939&gt;'1-Input'!$B$26,AI938,(AI938-AE939)*(1+$D$4))</f>
        <v>0</v>
      </c>
      <c r="AH939" s="18">
        <f>IF($A939&gt;'1-Input'!$B$26,AF939,AF939-'P-Parametri'!$B$8*(AG939+AF939)+MIN(MAX(AG939,0),'P-Parametri'!$B$8*(AG939+AF939)))</f>
        <v>59.532143058537926</v>
      </c>
      <c r="AI939" s="18">
        <f>IF($A939&gt;'1-Input'!$B$26,AG939,AG939-MIN(MAX(AG939,0),'P-Parametri'!$B$8*(AG939+AF939)))</f>
        <v>0</v>
      </c>
      <c r="AJ939" s="18">
        <f>IF($A939&gt;'1-Input'!$B$26,AJ938,AJ938-AE939*(1-AD939))</f>
        <v>1.1368683772161603E-13</v>
      </c>
      <c r="AK939" s="11">
        <f>IF($A939&gt;'1-Input'!$B$26,0,IF(AP938&lt;=0,0,MAX(0,(AP938-AQ938)/AP938)))</f>
        <v>0</v>
      </c>
      <c r="AL939" s="18">
        <f>IF($A939&gt;'1-Input'!$B$26,0,(MAX(0,AK891-IF($A939&gt;='1-Input'!$C$12,'1-Input'!$B$12,0))-MIN(MAX(AO938,0),MAX(0,AK891-IF($A939&gt;='1-Input'!$C$12,'1-Input'!$B$12,0))))*(1/(1-'P-Parametri'!$B$6*AK939))+MIN(MAX(0,AP938-(MAX(0,AK891-IF($A939&gt;='1-Input'!$C$12,'1-Input'!$B$12,0))-MIN(MAX(AO938,0),MAX(0,AK891-IF($A939&gt;='1-Input'!$C$12,'1-Input'!$B$12,0))))*(1/(1-'P-Parametri'!$B$6*AK939))),MAX(0,5*AK891-(AO938-MIN(MAX(AO938,0),MAX(0,AK891-IF($A939&gt;='1-Input'!$C$12,'1-Input'!$B$12,0)))))*(1/(1-'P-Parametri'!$B$6*AK939))))</f>
        <v>0</v>
      </c>
      <c r="AM939" s="18">
        <f>IF($A939&gt;'1-Input'!$B$26,AO938,(AO938-MAX(0,AK891-IF($A939&gt;='1-Input'!$C$12,'1-Input'!$B$12,0))+AL939*(1-'P-Parametri'!$B$6*AK939))*(1+'1-Input'!$B$27))</f>
        <v>3.0766454374224126</v>
      </c>
      <c r="AN939" s="18">
        <f>IF($A939&gt;'1-Input'!$B$26,AP938,(AP938-AL939)*(1+$D$4))</f>
        <v>0</v>
      </c>
      <c r="AO939" s="18">
        <f>IF($A939&gt;'1-Input'!$B$26,AM939,AM939-'P-Parametri'!$B$8*(AN939+AM939)+MIN(MAX(AN939,0),'P-Parametri'!$B$8*(AN939+AM939)))</f>
        <v>3.0766454374224126</v>
      </c>
      <c r="AP939" s="18">
        <f>IF($A939&gt;'1-Input'!$B$26,AN939,AN939-MIN(MAX(AN939,0),'P-Parametri'!$B$8*(AN939+AM939)))</f>
        <v>0</v>
      </c>
      <c r="AQ939" s="18">
        <f>IF($A939&gt;'1-Input'!$B$26,AQ938,AQ938-AL939*(1-AK939))</f>
        <v>-1.1368683772161603E-13</v>
      </c>
    </row>
    <row r="940" spans="1:43">
      <c r="A940" s="10">
        <f>47</f>
        <v>47</v>
      </c>
      <c r="B940" s="11">
        <f>IF($A940&gt;'1-Input'!$B$26,0,IF(G939&lt;=0,0,MAX(0,(G939-H939)/G939)))</f>
        <v>0</v>
      </c>
      <c r="C940" s="18">
        <f>IF($A940&gt;'1-Input'!$B$26,0,(MAX(0,B891-IF($A940&gt;='1-Input'!$C$12,'1-Input'!$B$12,0))-MIN(MAX(F939,0),MAX(0,B891-IF($A940&gt;='1-Input'!$C$12,'1-Input'!$B$12,0))))*(1/(1-'P-Parametri'!$B$6*B940))+MIN(MAX(0,G939-(MAX(0,B891-IF($A940&gt;='1-Input'!$C$12,'1-Input'!$B$12,0))-MIN(MAX(F939,0),MAX(0,B891-IF($A940&gt;='1-Input'!$C$12,'1-Input'!$B$12,0))))*(1/(1-'P-Parametri'!$B$6*B940))),MAX(0,5*B891-(F939-MIN(MAX(F939,0),MAX(0,B891-IF($A940&gt;='1-Input'!$C$12,'1-Input'!$B$12,0)))))*(1/(1-'P-Parametri'!$B$6*B940))))</f>
        <v>0</v>
      </c>
      <c r="D940" s="18">
        <f>IF($A940&gt;'1-Input'!$B$26,F939,(F939-MAX(0,B891-IF($A940&gt;='1-Input'!$C$12,'1-Input'!$B$12,0))+C940*(1-'P-Parametri'!$B$6*B940))*(1+'1-Input'!$B$27))</f>
        <v>83105.01757746574</v>
      </c>
      <c r="E940" s="18">
        <f>IF($A940&gt;'1-Input'!$B$26,G939,(G939-C940)*(1+$D$4))</f>
        <v>50273.394483603464</v>
      </c>
      <c r="F940" s="18">
        <f>IF($A940&gt;'1-Input'!$B$26,D940,D940-'P-Parametri'!$B$8*(E940+D940)+MIN(MAX(E940,0),'P-Parametri'!$B$8*(E940+D940)))</f>
        <v>83105.01757746574</v>
      </c>
      <c r="G940" s="18">
        <f>IF($A940&gt;'1-Input'!$B$26,E940,E940-MIN(MAX(E940,0),'P-Parametri'!$B$8*(E940+D940)))</f>
        <v>50273.394483603464</v>
      </c>
      <c r="H940" s="18">
        <f>IF($A940&gt;'1-Input'!$B$26,H939,H939-C940*(1-B940))</f>
        <v>7810.6793467573061</v>
      </c>
      <c r="I940" s="11">
        <f>IF($A940&gt;'1-Input'!$B$26,0,IF(N939&lt;=0,0,MAX(0,(N939-O939)/N939)))</f>
        <v>0</v>
      </c>
      <c r="J940" s="18">
        <f>IF($A940&gt;'1-Input'!$B$26,0,(MAX(0,I891-IF($A940&gt;='1-Input'!$C$12,'1-Input'!$B$12,0))-MIN(MAX(M939,0),MAX(0,I891-IF($A940&gt;='1-Input'!$C$12,'1-Input'!$B$12,0))))*(1/(1-'P-Parametri'!$B$6*I940))+MIN(MAX(0,N939-(MAX(0,I891-IF($A940&gt;='1-Input'!$C$12,'1-Input'!$B$12,0))-MIN(MAX(M939,0),MAX(0,I891-IF($A940&gt;='1-Input'!$C$12,'1-Input'!$B$12,0))))*(1/(1-'P-Parametri'!$B$6*I940))),MAX(0,5*I891-(M939-MIN(MAX(M939,0),MAX(0,I891-IF($A940&gt;='1-Input'!$C$12,'1-Input'!$B$12,0)))))*(1/(1-'P-Parametri'!$B$6*I940))))</f>
        <v>0</v>
      </c>
      <c r="K940" s="18">
        <f>IF($A940&gt;'1-Input'!$B$26,M939,(M939-MAX(0,I891-IF($A940&gt;='1-Input'!$C$12,'1-Input'!$B$12,0))+J940*(1-'P-Parametri'!$B$6*I940))*(1+'1-Input'!$B$27))</f>
        <v>0</v>
      </c>
      <c r="L940" s="18">
        <f>IF($A940&gt;'1-Input'!$B$26,N939,(N939-J940)*(1+$D$4))</f>
        <v>-376275.94210986944</v>
      </c>
      <c r="M940" s="18">
        <f>IF($A940&gt;'1-Input'!$B$26,K940,K940-'P-Parametri'!$B$8*(L940+K940)+MIN(MAX(L940,0),'P-Parametri'!$B$8*(L940+K940)))</f>
        <v>0</v>
      </c>
      <c r="N940" s="18">
        <f>IF($A940&gt;'1-Input'!$B$26,L940,L940-MIN(MAX(L940,0),'P-Parametri'!$B$8*(L940+K940)))</f>
        <v>-376275.94210986944</v>
      </c>
      <c r="O940" s="18">
        <f>IF($A940&gt;'1-Input'!$B$26,O939,O939-J940*(1-I940))</f>
        <v>-238574.82595141011</v>
      </c>
      <c r="P940" s="11">
        <f>IF($A940&gt;'1-Input'!$B$26,0,IF(U939&lt;=0,0,MAX(0,(U939-V939)/U939)))</f>
        <v>0</v>
      </c>
      <c r="Q940" s="18">
        <f>IF($A940&gt;'1-Input'!$B$26,0,(MAX(0,P891-IF($A940&gt;='1-Input'!$C$12,'1-Input'!$B$12,0))-MIN(MAX(T939,0),MAX(0,P891-IF($A940&gt;='1-Input'!$C$12,'1-Input'!$B$12,0))))*(1/(1-'P-Parametri'!$B$6*P940))+MIN(MAX(0,U939-(MAX(0,P891-IF($A940&gt;='1-Input'!$C$12,'1-Input'!$B$12,0))-MIN(MAX(T939,0),MAX(0,P891-IF($A940&gt;='1-Input'!$C$12,'1-Input'!$B$12,0))))*(1/(1-'P-Parametri'!$B$6*P940))),MAX(0,5*P891-(T939-MIN(MAX(T939,0),MAX(0,P891-IF($A940&gt;='1-Input'!$C$12,'1-Input'!$B$12,0)))))*(1/(1-'P-Parametri'!$B$6*P940))))</f>
        <v>0</v>
      </c>
      <c r="R940" s="18">
        <f>IF($A940&gt;'1-Input'!$B$26,T939,(T939-MAX(0,P891-IF($A940&gt;='1-Input'!$C$12,'1-Input'!$B$12,0))+Q940*(1-'P-Parametri'!$B$6*P940))*(1+'1-Input'!$B$27))</f>
        <v>0</v>
      </c>
      <c r="S940" s="18">
        <f>IF($A940&gt;'1-Input'!$B$26,U939,(U939-Q940)*(1+$D$4))</f>
        <v>-13619.228041052158</v>
      </c>
      <c r="T940" s="18">
        <f>IF($A940&gt;'1-Input'!$B$26,R940,R940-'P-Parametri'!$B$8*(S940+R940)+MIN(MAX(S940,0),'P-Parametri'!$B$8*(S940+R940)))</f>
        <v>0</v>
      </c>
      <c r="U940" s="18">
        <f>IF($A940&gt;'1-Input'!$B$26,S940,S940-MIN(MAX(S940,0),'P-Parametri'!$B$8*(S940+R940)))</f>
        <v>-13619.228041052158</v>
      </c>
      <c r="V940" s="18">
        <f>IF($A940&gt;'1-Input'!$B$26,V939,V939-Q940*(1-P940))</f>
        <v>-12896.454735158637</v>
      </c>
      <c r="W940" s="11">
        <f>IF($A940&gt;'1-Input'!$B$26,0,IF(AB939&lt;=0,0,MAX(0,(AB939-AC939)/AB939)))</f>
        <v>0</v>
      </c>
      <c r="X940" s="18">
        <f>IF($A940&gt;'1-Input'!$B$26,0,(MAX(0,W891-IF($A940&gt;='1-Input'!$C$12,'1-Input'!$B$12,0))-MIN(MAX(AA939,0),MAX(0,W891-IF($A940&gt;='1-Input'!$C$12,'1-Input'!$B$12,0))))*(1/(1-'P-Parametri'!$B$6*W940))+MIN(MAX(0,AB939-(MAX(0,W891-IF($A940&gt;='1-Input'!$C$12,'1-Input'!$B$12,0))-MIN(MAX(AA939,0),MAX(0,W891-IF($A940&gt;='1-Input'!$C$12,'1-Input'!$B$12,0))))*(1/(1-'P-Parametri'!$B$6*W940))),MAX(0,5*W891-(AA939-MIN(MAX(AA939,0),MAX(0,W891-IF($A940&gt;='1-Input'!$C$12,'1-Input'!$B$12,0)))))*(1/(1-'P-Parametri'!$B$6*W940))))</f>
        <v>0</v>
      </c>
      <c r="Y940" s="18">
        <f>IF($A940&gt;'1-Input'!$B$26,AA939,(AA939-MAX(0,W891-IF($A940&gt;='1-Input'!$C$12,'1-Input'!$B$12,0))+X940*(1-'P-Parametri'!$B$6*W940))*(1+'1-Input'!$B$27))</f>
        <v>0</v>
      </c>
      <c r="Z940" s="18">
        <f>IF($A940&gt;'1-Input'!$B$26,AB939,(AB939-X940)*(1+$D$4))</f>
        <v>-2367.7481338392231</v>
      </c>
      <c r="AA940" s="18">
        <f>IF($A940&gt;'1-Input'!$B$26,Y940,Y940-'P-Parametri'!$B$8*(Z940+Y940)+MIN(MAX(Z940,0),'P-Parametri'!$B$8*(Z940+Y940)))</f>
        <v>0</v>
      </c>
      <c r="AB940" s="18">
        <f>IF($A940&gt;'1-Input'!$B$26,Z940,Z940-MIN(MAX(Z940,0),'P-Parametri'!$B$8*(Z940+Y940)))</f>
        <v>-2367.7481338392231</v>
      </c>
      <c r="AC940" s="18">
        <f>IF($A940&gt;'1-Input'!$B$26,AC939,AC939-X940*(1-W940))</f>
        <v>-2256.9624891064141</v>
      </c>
      <c r="AD940" s="11">
        <f>IF($A940&gt;'1-Input'!$B$26,0,IF(AI939&lt;=0,0,MAX(0,(AI939-AJ939)/AI939)))</f>
        <v>0</v>
      </c>
      <c r="AE940" s="18">
        <f>IF($A940&gt;'1-Input'!$B$26,0,(MAX(0,AD891-IF($A940&gt;='1-Input'!$C$12,'1-Input'!$B$12,0))-MIN(MAX(AH939,0),MAX(0,AD891-IF($A940&gt;='1-Input'!$C$12,'1-Input'!$B$12,0))))*(1/(1-'P-Parametri'!$B$6*AD940))+MIN(MAX(0,AI939-(MAX(0,AD891-IF($A940&gt;='1-Input'!$C$12,'1-Input'!$B$12,0))-MIN(MAX(AH939,0),MAX(0,AD891-IF($A940&gt;='1-Input'!$C$12,'1-Input'!$B$12,0))))*(1/(1-'P-Parametri'!$B$6*AD940))),MAX(0,5*AD891-(AH939-MIN(MAX(AH939,0),MAX(0,AD891-IF($A940&gt;='1-Input'!$C$12,'1-Input'!$B$12,0)))))*(1/(1-'P-Parametri'!$B$6*AD940))))</f>
        <v>0</v>
      </c>
      <c r="AF940" s="18">
        <f>IF($A940&gt;'1-Input'!$B$26,AH939,(AH939-MAX(0,AD891-IF($A940&gt;='1-Input'!$C$12,'1-Input'!$B$12,0))+AE940*(1-'P-Parametri'!$B$6*AD940))*(1+'1-Input'!$B$27))</f>
        <v>59.532143058537926</v>
      </c>
      <c r="AG940" s="18">
        <f>IF($A940&gt;'1-Input'!$B$26,AI939,(AI939-AE940)*(1+$D$4))</f>
        <v>0</v>
      </c>
      <c r="AH940" s="18">
        <f>IF($A940&gt;'1-Input'!$B$26,AF940,AF940-'P-Parametri'!$B$8*(AG940+AF940)+MIN(MAX(AG940,0),'P-Parametri'!$B$8*(AG940+AF940)))</f>
        <v>59.532143058537926</v>
      </c>
      <c r="AI940" s="18">
        <f>IF($A940&gt;'1-Input'!$B$26,AG940,AG940-MIN(MAX(AG940,0),'P-Parametri'!$B$8*(AG940+AF940)))</f>
        <v>0</v>
      </c>
      <c r="AJ940" s="18">
        <f>IF($A940&gt;'1-Input'!$B$26,AJ939,AJ939-AE940*(1-AD940))</f>
        <v>1.1368683772161603E-13</v>
      </c>
      <c r="AK940" s="11">
        <f>IF($A940&gt;'1-Input'!$B$26,0,IF(AP939&lt;=0,0,MAX(0,(AP939-AQ939)/AP939)))</f>
        <v>0</v>
      </c>
      <c r="AL940" s="18">
        <f>IF($A940&gt;'1-Input'!$B$26,0,(MAX(0,AK891-IF($A940&gt;='1-Input'!$C$12,'1-Input'!$B$12,0))-MIN(MAX(AO939,0),MAX(0,AK891-IF($A940&gt;='1-Input'!$C$12,'1-Input'!$B$12,0))))*(1/(1-'P-Parametri'!$B$6*AK940))+MIN(MAX(0,AP939-(MAX(0,AK891-IF($A940&gt;='1-Input'!$C$12,'1-Input'!$B$12,0))-MIN(MAX(AO939,0),MAX(0,AK891-IF($A940&gt;='1-Input'!$C$12,'1-Input'!$B$12,0))))*(1/(1-'P-Parametri'!$B$6*AK940))),MAX(0,5*AK891-(AO939-MIN(MAX(AO939,0),MAX(0,AK891-IF($A940&gt;='1-Input'!$C$12,'1-Input'!$B$12,0)))))*(1/(1-'P-Parametri'!$B$6*AK940))))</f>
        <v>0</v>
      </c>
      <c r="AM940" s="18">
        <f>IF($A940&gt;'1-Input'!$B$26,AO939,(AO939-MAX(0,AK891-IF($A940&gt;='1-Input'!$C$12,'1-Input'!$B$12,0))+AL940*(1-'P-Parametri'!$B$6*AK940))*(1+'1-Input'!$B$27))</f>
        <v>3.0766454374224126</v>
      </c>
      <c r="AN940" s="18">
        <f>IF($A940&gt;'1-Input'!$B$26,AP939,(AP939-AL940)*(1+$D$4))</f>
        <v>0</v>
      </c>
      <c r="AO940" s="18">
        <f>IF($A940&gt;'1-Input'!$B$26,AM940,AM940-'P-Parametri'!$B$8*(AN940+AM940)+MIN(MAX(AN940,0),'P-Parametri'!$B$8*(AN940+AM940)))</f>
        <v>3.0766454374224126</v>
      </c>
      <c r="AP940" s="18">
        <f>IF($A940&gt;'1-Input'!$B$26,AN940,AN940-MIN(MAX(AN940,0),'P-Parametri'!$B$8*(AN940+AM940)))</f>
        <v>0</v>
      </c>
      <c r="AQ940" s="18">
        <f>IF($A940&gt;'1-Input'!$B$26,AQ939,AQ939-AL940*(1-AK940))</f>
        <v>-1.1368683772161603E-13</v>
      </c>
    </row>
    <row r="941" spans="1:43">
      <c r="A941" s="10">
        <f>48</f>
        <v>48</v>
      </c>
      <c r="B941" s="11">
        <f>IF($A941&gt;'1-Input'!$B$26,0,IF(G940&lt;=0,0,MAX(0,(G940-H940)/G940)))</f>
        <v>0</v>
      </c>
      <c r="C941" s="18">
        <f>IF($A941&gt;'1-Input'!$B$26,0,(MAX(0,B891-IF($A941&gt;='1-Input'!$C$12,'1-Input'!$B$12,0))-MIN(MAX(F940,0),MAX(0,B891-IF($A941&gt;='1-Input'!$C$12,'1-Input'!$B$12,0))))*(1/(1-'P-Parametri'!$B$6*B941))+MIN(MAX(0,G940-(MAX(0,B891-IF($A941&gt;='1-Input'!$C$12,'1-Input'!$B$12,0))-MIN(MAX(F940,0),MAX(0,B891-IF($A941&gt;='1-Input'!$C$12,'1-Input'!$B$12,0))))*(1/(1-'P-Parametri'!$B$6*B941))),MAX(0,5*B891-(F940-MIN(MAX(F940,0),MAX(0,B891-IF($A941&gt;='1-Input'!$C$12,'1-Input'!$B$12,0)))))*(1/(1-'P-Parametri'!$B$6*B941))))</f>
        <v>0</v>
      </c>
      <c r="D941" s="18">
        <f>IF($A941&gt;'1-Input'!$B$26,F940,(F940-MAX(0,B891-IF($A941&gt;='1-Input'!$C$12,'1-Input'!$B$12,0))+C941*(1-'P-Parametri'!$B$6*B941))*(1+'1-Input'!$B$27))</f>
        <v>83105.01757746574</v>
      </c>
      <c r="E941" s="18">
        <f>IF($A941&gt;'1-Input'!$B$26,G940,(G940-C941)*(1+$D$4))</f>
        <v>50273.394483603464</v>
      </c>
      <c r="F941" s="18">
        <f>IF($A941&gt;'1-Input'!$B$26,D941,D941-'P-Parametri'!$B$8*(E941+D941)+MIN(MAX(E941,0),'P-Parametri'!$B$8*(E941+D941)))</f>
        <v>83105.01757746574</v>
      </c>
      <c r="G941" s="18">
        <f>IF($A941&gt;'1-Input'!$B$26,E941,E941-MIN(MAX(E941,0),'P-Parametri'!$B$8*(E941+D941)))</f>
        <v>50273.394483603464</v>
      </c>
      <c r="H941" s="18">
        <f>IF($A941&gt;'1-Input'!$B$26,H940,H940-C941*(1-B941))</f>
        <v>7810.6793467573061</v>
      </c>
      <c r="I941" s="11">
        <f>IF($A941&gt;'1-Input'!$B$26,0,IF(N940&lt;=0,0,MAX(0,(N940-O940)/N940)))</f>
        <v>0</v>
      </c>
      <c r="J941" s="18">
        <f>IF($A941&gt;'1-Input'!$B$26,0,(MAX(0,I891-IF($A941&gt;='1-Input'!$C$12,'1-Input'!$B$12,0))-MIN(MAX(M940,0),MAX(0,I891-IF($A941&gt;='1-Input'!$C$12,'1-Input'!$B$12,0))))*(1/(1-'P-Parametri'!$B$6*I941))+MIN(MAX(0,N940-(MAX(0,I891-IF($A941&gt;='1-Input'!$C$12,'1-Input'!$B$12,0))-MIN(MAX(M940,0),MAX(0,I891-IF($A941&gt;='1-Input'!$C$12,'1-Input'!$B$12,0))))*(1/(1-'P-Parametri'!$B$6*I941))),MAX(0,5*I891-(M940-MIN(MAX(M940,0),MAX(0,I891-IF($A941&gt;='1-Input'!$C$12,'1-Input'!$B$12,0)))))*(1/(1-'P-Parametri'!$B$6*I941))))</f>
        <v>0</v>
      </c>
      <c r="K941" s="18">
        <f>IF($A941&gt;'1-Input'!$B$26,M940,(M940-MAX(0,I891-IF($A941&gt;='1-Input'!$C$12,'1-Input'!$B$12,0))+J941*(1-'P-Parametri'!$B$6*I941))*(1+'1-Input'!$B$27))</f>
        <v>0</v>
      </c>
      <c r="L941" s="18">
        <f>IF($A941&gt;'1-Input'!$B$26,N940,(N940-J941)*(1+$D$4))</f>
        <v>-376275.94210986944</v>
      </c>
      <c r="M941" s="18">
        <f>IF($A941&gt;'1-Input'!$B$26,K941,K941-'P-Parametri'!$B$8*(L941+K941)+MIN(MAX(L941,0),'P-Parametri'!$B$8*(L941+K941)))</f>
        <v>0</v>
      </c>
      <c r="N941" s="18">
        <f>IF($A941&gt;'1-Input'!$B$26,L941,L941-MIN(MAX(L941,0),'P-Parametri'!$B$8*(L941+K941)))</f>
        <v>-376275.94210986944</v>
      </c>
      <c r="O941" s="18">
        <f>IF($A941&gt;'1-Input'!$B$26,O940,O940-J941*(1-I941))</f>
        <v>-238574.82595141011</v>
      </c>
      <c r="P941" s="11">
        <f>IF($A941&gt;'1-Input'!$B$26,0,IF(U940&lt;=0,0,MAX(0,(U940-V940)/U940)))</f>
        <v>0</v>
      </c>
      <c r="Q941" s="18">
        <f>IF($A941&gt;'1-Input'!$B$26,0,(MAX(0,P891-IF($A941&gt;='1-Input'!$C$12,'1-Input'!$B$12,0))-MIN(MAX(T940,0),MAX(0,P891-IF($A941&gt;='1-Input'!$C$12,'1-Input'!$B$12,0))))*(1/(1-'P-Parametri'!$B$6*P941))+MIN(MAX(0,U940-(MAX(0,P891-IF($A941&gt;='1-Input'!$C$12,'1-Input'!$B$12,0))-MIN(MAX(T940,0),MAX(0,P891-IF($A941&gt;='1-Input'!$C$12,'1-Input'!$B$12,0))))*(1/(1-'P-Parametri'!$B$6*P941))),MAX(0,5*P891-(T940-MIN(MAX(T940,0),MAX(0,P891-IF($A941&gt;='1-Input'!$C$12,'1-Input'!$B$12,0)))))*(1/(1-'P-Parametri'!$B$6*P941))))</f>
        <v>0</v>
      </c>
      <c r="R941" s="18">
        <f>IF($A941&gt;'1-Input'!$B$26,T940,(T940-MAX(0,P891-IF($A941&gt;='1-Input'!$C$12,'1-Input'!$B$12,0))+Q941*(1-'P-Parametri'!$B$6*P941))*(1+'1-Input'!$B$27))</f>
        <v>0</v>
      </c>
      <c r="S941" s="18">
        <f>IF($A941&gt;'1-Input'!$B$26,U940,(U940-Q941)*(1+$D$4))</f>
        <v>-13619.228041052158</v>
      </c>
      <c r="T941" s="18">
        <f>IF($A941&gt;'1-Input'!$B$26,R941,R941-'P-Parametri'!$B$8*(S941+R941)+MIN(MAX(S941,0),'P-Parametri'!$B$8*(S941+R941)))</f>
        <v>0</v>
      </c>
      <c r="U941" s="18">
        <f>IF($A941&gt;'1-Input'!$B$26,S941,S941-MIN(MAX(S941,0),'P-Parametri'!$B$8*(S941+R941)))</f>
        <v>-13619.228041052158</v>
      </c>
      <c r="V941" s="18">
        <f>IF($A941&gt;'1-Input'!$B$26,V940,V940-Q941*(1-P941))</f>
        <v>-12896.454735158637</v>
      </c>
      <c r="W941" s="11">
        <f>IF($A941&gt;'1-Input'!$B$26,0,IF(AB940&lt;=0,0,MAX(0,(AB940-AC940)/AB940)))</f>
        <v>0</v>
      </c>
      <c r="X941" s="18">
        <f>IF($A941&gt;'1-Input'!$B$26,0,(MAX(0,W891-IF($A941&gt;='1-Input'!$C$12,'1-Input'!$B$12,0))-MIN(MAX(AA940,0),MAX(0,W891-IF($A941&gt;='1-Input'!$C$12,'1-Input'!$B$12,0))))*(1/(1-'P-Parametri'!$B$6*W941))+MIN(MAX(0,AB940-(MAX(0,W891-IF($A941&gt;='1-Input'!$C$12,'1-Input'!$B$12,0))-MIN(MAX(AA940,0),MAX(0,W891-IF($A941&gt;='1-Input'!$C$12,'1-Input'!$B$12,0))))*(1/(1-'P-Parametri'!$B$6*W941))),MAX(0,5*W891-(AA940-MIN(MAX(AA940,0),MAX(0,W891-IF($A941&gt;='1-Input'!$C$12,'1-Input'!$B$12,0)))))*(1/(1-'P-Parametri'!$B$6*W941))))</f>
        <v>0</v>
      </c>
      <c r="Y941" s="18">
        <f>IF($A941&gt;'1-Input'!$B$26,AA940,(AA940-MAX(0,W891-IF($A941&gt;='1-Input'!$C$12,'1-Input'!$B$12,0))+X941*(1-'P-Parametri'!$B$6*W941))*(1+'1-Input'!$B$27))</f>
        <v>0</v>
      </c>
      <c r="Z941" s="18">
        <f>IF($A941&gt;'1-Input'!$B$26,AB940,(AB940-X941)*(1+$D$4))</f>
        <v>-2367.7481338392231</v>
      </c>
      <c r="AA941" s="18">
        <f>IF($A941&gt;'1-Input'!$B$26,Y941,Y941-'P-Parametri'!$B$8*(Z941+Y941)+MIN(MAX(Z941,0),'P-Parametri'!$B$8*(Z941+Y941)))</f>
        <v>0</v>
      </c>
      <c r="AB941" s="18">
        <f>IF($A941&gt;'1-Input'!$B$26,Z941,Z941-MIN(MAX(Z941,0),'P-Parametri'!$B$8*(Z941+Y941)))</f>
        <v>-2367.7481338392231</v>
      </c>
      <c r="AC941" s="18">
        <f>IF($A941&gt;'1-Input'!$B$26,AC940,AC940-X941*(1-W941))</f>
        <v>-2256.9624891064141</v>
      </c>
      <c r="AD941" s="11">
        <f>IF($A941&gt;'1-Input'!$B$26,0,IF(AI940&lt;=0,0,MAX(0,(AI940-AJ940)/AI940)))</f>
        <v>0</v>
      </c>
      <c r="AE941" s="18">
        <f>IF($A941&gt;'1-Input'!$B$26,0,(MAX(0,AD891-IF($A941&gt;='1-Input'!$C$12,'1-Input'!$B$12,0))-MIN(MAX(AH940,0),MAX(0,AD891-IF($A941&gt;='1-Input'!$C$12,'1-Input'!$B$12,0))))*(1/(1-'P-Parametri'!$B$6*AD941))+MIN(MAX(0,AI940-(MAX(0,AD891-IF($A941&gt;='1-Input'!$C$12,'1-Input'!$B$12,0))-MIN(MAX(AH940,0),MAX(0,AD891-IF($A941&gt;='1-Input'!$C$12,'1-Input'!$B$12,0))))*(1/(1-'P-Parametri'!$B$6*AD941))),MAX(0,5*AD891-(AH940-MIN(MAX(AH940,0),MAX(0,AD891-IF($A941&gt;='1-Input'!$C$12,'1-Input'!$B$12,0)))))*(1/(1-'P-Parametri'!$B$6*AD941))))</f>
        <v>0</v>
      </c>
      <c r="AF941" s="18">
        <f>IF($A941&gt;'1-Input'!$B$26,AH940,(AH940-MAX(0,AD891-IF($A941&gt;='1-Input'!$C$12,'1-Input'!$B$12,0))+AE941*(1-'P-Parametri'!$B$6*AD941))*(1+'1-Input'!$B$27))</f>
        <v>59.532143058537926</v>
      </c>
      <c r="AG941" s="18">
        <f>IF($A941&gt;'1-Input'!$B$26,AI940,(AI940-AE941)*(1+$D$4))</f>
        <v>0</v>
      </c>
      <c r="AH941" s="18">
        <f>IF($A941&gt;'1-Input'!$B$26,AF941,AF941-'P-Parametri'!$B$8*(AG941+AF941)+MIN(MAX(AG941,0),'P-Parametri'!$B$8*(AG941+AF941)))</f>
        <v>59.532143058537926</v>
      </c>
      <c r="AI941" s="18">
        <f>IF($A941&gt;'1-Input'!$B$26,AG941,AG941-MIN(MAX(AG941,0),'P-Parametri'!$B$8*(AG941+AF941)))</f>
        <v>0</v>
      </c>
      <c r="AJ941" s="18">
        <f>IF($A941&gt;'1-Input'!$B$26,AJ940,AJ940-AE941*(1-AD941))</f>
        <v>1.1368683772161603E-13</v>
      </c>
      <c r="AK941" s="11">
        <f>IF($A941&gt;'1-Input'!$B$26,0,IF(AP940&lt;=0,0,MAX(0,(AP940-AQ940)/AP940)))</f>
        <v>0</v>
      </c>
      <c r="AL941" s="18">
        <f>IF($A941&gt;'1-Input'!$B$26,0,(MAX(0,AK891-IF($A941&gt;='1-Input'!$C$12,'1-Input'!$B$12,0))-MIN(MAX(AO940,0),MAX(0,AK891-IF($A941&gt;='1-Input'!$C$12,'1-Input'!$B$12,0))))*(1/(1-'P-Parametri'!$B$6*AK941))+MIN(MAX(0,AP940-(MAX(0,AK891-IF($A941&gt;='1-Input'!$C$12,'1-Input'!$B$12,0))-MIN(MAX(AO940,0),MAX(0,AK891-IF($A941&gt;='1-Input'!$C$12,'1-Input'!$B$12,0))))*(1/(1-'P-Parametri'!$B$6*AK941))),MAX(0,5*AK891-(AO940-MIN(MAX(AO940,0),MAX(0,AK891-IF($A941&gt;='1-Input'!$C$12,'1-Input'!$B$12,0)))))*(1/(1-'P-Parametri'!$B$6*AK941))))</f>
        <v>0</v>
      </c>
      <c r="AM941" s="18">
        <f>IF($A941&gt;'1-Input'!$B$26,AO940,(AO940-MAX(0,AK891-IF($A941&gt;='1-Input'!$C$12,'1-Input'!$B$12,0))+AL941*(1-'P-Parametri'!$B$6*AK941))*(1+'1-Input'!$B$27))</f>
        <v>3.0766454374224126</v>
      </c>
      <c r="AN941" s="18">
        <f>IF($A941&gt;'1-Input'!$B$26,AP940,(AP940-AL941)*(1+$D$4))</f>
        <v>0</v>
      </c>
      <c r="AO941" s="18">
        <f>IF($A941&gt;'1-Input'!$B$26,AM941,AM941-'P-Parametri'!$B$8*(AN941+AM941)+MIN(MAX(AN941,0),'P-Parametri'!$B$8*(AN941+AM941)))</f>
        <v>3.0766454374224126</v>
      </c>
      <c r="AP941" s="18">
        <f>IF($A941&gt;'1-Input'!$B$26,AN941,AN941-MIN(MAX(AN941,0),'P-Parametri'!$B$8*(AN941+AM941)))</f>
        <v>0</v>
      </c>
      <c r="AQ941" s="18">
        <f>IF($A941&gt;'1-Input'!$B$26,AQ940,AQ940-AL941*(1-AK941))</f>
        <v>-1.1368683772161603E-13</v>
      </c>
    </row>
    <row r="942" spans="1:43">
      <c r="A942" s="4" t="s">
        <v>365</v>
      </c>
      <c r="B942" s="18">
        <f>F941+G941</f>
        <v>133378.41206106922</v>
      </c>
      <c r="I942" s="18">
        <f>M941+N941</f>
        <v>-376275.94210986944</v>
      </c>
      <c r="P942" s="18">
        <f>T941+U941</f>
        <v>-13619.228041052158</v>
      </c>
      <c r="W942" s="18">
        <f>AA941+AB941</f>
        <v>-2367.7481338392231</v>
      </c>
      <c r="AD942" s="18">
        <f>AH941+AI941</f>
        <v>59.532143058537926</v>
      </c>
      <c r="AK942" s="18">
        <f>AO941+AP941</f>
        <v>3.0766454374224126</v>
      </c>
    </row>
    <row r="943" spans="1:43">
      <c r="A943" s="5" t="s">
        <v>266</v>
      </c>
      <c r="B943" s="18">
        <f>IFERROR(AK891-AK942*(AK891-AD891)/(AK942-AD942),AK891)</f>
        <v>17883.639567989685</v>
      </c>
    </row>
    <row r="949" spans="1:11">
      <c r="A949" s="2" t="s">
        <v>380</v>
      </c>
    </row>
    <row r="951" spans="1:11" ht="30">
      <c r="A951" s="25" t="s">
        <v>262</v>
      </c>
      <c r="B951" s="25" t="s">
        <v>361</v>
      </c>
      <c r="C951" s="25" t="s">
        <v>263</v>
      </c>
      <c r="D951" s="25" t="s">
        <v>305</v>
      </c>
      <c r="E951" s="25" t="s">
        <v>362</v>
      </c>
      <c r="F951" s="25" t="s">
        <v>363</v>
      </c>
      <c r="G951" s="25" t="s">
        <v>264</v>
      </c>
      <c r="H951" s="25" t="s">
        <v>265</v>
      </c>
      <c r="I951" s="25" t="s">
        <v>364</v>
      </c>
      <c r="J951" s="25" t="s">
        <v>381</v>
      </c>
      <c r="K951" s="25" t="s">
        <v>382</v>
      </c>
    </row>
    <row r="952" spans="1:11">
      <c r="A952" s="3">
        <v>0</v>
      </c>
      <c r="D952" s="10">
        <f>1</f>
        <v>1</v>
      </c>
      <c r="G952" s="18">
        <f>MIN(0*'1-Input'!$B$10,'2-Caso'!$B$12)</f>
        <v>0</v>
      </c>
      <c r="H952" s="18">
        <f>'2-Caso'!$B$12-G952</f>
        <v>438975.13985857379</v>
      </c>
      <c r="I952" s="18">
        <f>'2-Caso'!$B$13*H952/'2-Caso'!$B$12</f>
        <v>344000</v>
      </c>
      <c r="J952" s="18">
        <f>0</f>
        <v>0</v>
      </c>
      <c r="K952" s="18">
        <f>0</f>
        <v>0</v>
      </c>
    </row>
    <row r="953" spans="1:11">
      <c r="A953" s="10">
        <f>1</f>
        <v>1</v>
      </c>
      <c r="B953" s="11">
        <f t="shared" ref="B953:B984" si="0">IF(H952&lt;=0,0,MAX(0,(H952-I952)/H952))</f>
        <v>0.21635653419729481</v>
      </c>
      <c r="C953" s="18">
        <f>IF(D952=0,0,MIN(MAX(H952,0),((MAX(0,'1-Input'!$B$10-IF($A953&gt;='1-Input'!$C$12,'1-Input'!$B$12,0))-MIN(MAX(G952,0),MAX(0,'1-Input'!$B$10-IF($A953&gt;='1-Input'!$C$12,'1-Input'!$B$12,0))))+MAX(0,0*'1-Input'!$B$10-(G952-MIN(MAX(G952,0),MAX(0,'1-Input'!$B$10-IF($A953&gt;='1-Input'!$C$12,'1-Input'!$B$12,0))))))*(1/(1-'P-Parametri'!$B$6*B953))))</f>
        <v>20980.192448486148</v>
      </c>
      <c r="D953" s="10">
        <f>IF(AND(D952=1,G952+H952&gt;0.000001,C953*(1-'P-Parametri'!$B$6*B953)&gt;=(MAX(0,'1-Input'!$B$10-IF($A953&gt;='1-Input'!$C$12,'1-Input'!$B$12,0))-MIN(MAX(G952,0),MAX(0,'1-Input'!$B$10-IF($A953&gt;='1-Input'!$C$12,'1-Input'!$B$12,0))))-0.000001),1,0)</f>
        <v>1</v>
      </c>
      <c r="E953" s="18">
        <f>IF(D953=0,G952,(G952-MAX(0,'1-Input'!$B$10-IF($A953&gt;='1-Input'!$C$12,'1-Input'!$B$12,0))+C953*(1-'P-Parametri'!$B$6*B953))*(1+'1-Input'!$B$27))</f>
        <v>0</v>
      </c>
      <c r="F953" s="18">
        <f t="shared" ref="F953:F984" si="1">IF(D953=0,H952,(H952-C953)*(1+$C$4))</f>
        <v>430534.79583239026</v>
      </c>
      <c r="G953" s="18">
        <f>IF(D953=0,G952,E953-'P-Parametri'!$B$8*(F953+E953)+MIN(MAX(F953,0),'P-Parametri'!$B$8*(F953+E953)))</f>
        <v>0</v>
      </c>
      <c r="H953" s="18">
        <f>IF(D953=0,H952,F953-MIN(MAX(F953,0),'P-Parametri'!$B$8*(F953+E953)))</f>
        <v>429673.72624072549</v>
      </c>
      <c r="I953" s="18">
        <f t="shared" ref="I953:I984" si="2">IF(D953=0,I952,I952-C953*(1-B953))</f>
        <v>327559.00927646057</v>
      </c>
      <c r="J953" s="18">
        <f>IF(D953=0,J952,J952+C953*B953*'P-Parametri'!$B$6)</f>
        <v>1180.1924484861472</v>
      </c>
      <c r="K953" s="18">
        <f>IF(D953=0,K952,K952+'P-Parametri'!$B$8*(F953+E953))</f>
        <v>861.06959166478055</v>
      </c>
    </row>
    <row r="954" spans="1:11">
      <c r="A954" s="10">
        <f>2</f>
        <v>2</v>
      </c>
      <c r="B954" s="11">
        <f t="shared" si="0"/>
        <v>0.23765641399040296</v>
      </c>
      <c r="C954" s="18">
        <f>IF(D953=0,0,MIN(MAX(H953,0),((MAX(0,'1-Input'!$B$10-IF($A954&gt;='1-Input'!$C$12,'1-Input'!$B$12,0))-MIN(MAX(G953,0),MAX(0,'1-Input'!$B$10-IF($A954&gt;='1-Input'!$C$12,'1-Input'!$B$12,0))))+MAX(0,0*'1-Input'!$B$10-(G953-MIN(MAX(G953,0),MAX(0,'1-Input'!$B$10-IF($A954&gt;='1-Input'!$C$12,'1-Input'!$B$12,0))))))*(1/(1-'P-Parametri'!$B$6*B954))))</f>
        <v>21104.032242081652</v>
      </c>
      <c r="D954" s="10">
        <f>IF(AND(D953=1,G953+H953&gt;0.000001,C954*(1-'P-Parametri'!$B$6*B954)&gt;=(MAX(0,'1-Input'!$B$10-IF($A954&gt;='1-Input'!$C$12,'1-Input'!$B$12,0))-MIN(MAX(G953,0),MAX(0,'1-Input'!$B$10-IF($A954&gt;='1-Input'!$C$12,'1-Input'!$B$12,0))))-0.000001),1,0)</f>
        <v>1</v>
      </c>
      <c r="E954" s="18">
        <f>IF(D954=0,G953,(G953-MAX(0,'1-Input'!$B$10-IF($A954&gt;='1-Input'!$C$12,'1-Input'!$B$12,0))+C954*(1-'P-Parametri'!$B$6*B954))*(1+'1-Input'!$B$27))</f>
        <v>0</v>
      </c>
      <c r="F954" s="18">
        <f t="shared" si="1"/>
        <v>420826.78481860319</v>
      </c>
      <c r="G954" s="18">
        <f>IF(D954=0,G953,E954-'P-Parametri'!$B$8*(F954+E954)+MIN(MAX(F954,0),'P-Parametri'!$B$8*(F954+E954)))</f>
        <v>0</v>
      </c>
      <c r="H954" s="18">
        <f>IF(D954=0,H953,F954-MIN(MAX(F954,0),'P-Parametri'!$B$8*(F954+E954)))</f>
        <v>419985.13124896598</v>
      </c>
      <c r="I954" s="18">
        <f t="shared" si="2"/>
        <v>311470.4856577699</v>
      </c>
      <c r="J954" s="18">
        <f>IF(D954=0,J953,J953+C954*B954*'P-Parametri'!$B$6)</f>
        <v>2484.2246905677994</v>
      </c>
      <c r="K954" s="18">
        <f>IF(D954=0,K953,K953+'P-Parametri'!$B$8*(F954+E954))</f>
        <v>1702.7231613019869</v>
      </c>
    </row>
    <row r="955" spans="1:11">
      <c r="A955" s="10">
        <f>3</f>
        <v>3</v>
      </c>
      <c r="B955" s="11">
        <f t="shared" si="0"/>
        <v>0.25837735080880497</v>
      </c>
      <c r="C955" s="18">
        <f>IF(D954=0,0,MIN(MAX(H954,0),((MAX(0,'1-Input'!$B$10-IF($A955&gt;='1-Input'!$C$12,'1-Input'!$B$12,0))-MIN(MAX(G954,0),MAX(0,'1-Input'!$B$10-IF($A955&gt;='1-Input'!$C$12,'1-Input'!$B$12,0))))+MAX(0,0*'1-Input'!$B$10-(G954-MIN(MAX(G954,0),MAX(0,'1-Input'!$B$10-IF($A955&gt;='1-Input'!$C$12,'1-Input'!$B$12,0))))))*(1/(1-'P-Parametri'!$B$6*B955))))</f>
        <v>21225.91701368575</v>
      </c>
      <c r="D955" s="10">
        <f>IF(AND(D954=1,G954+H954&gt;0.000001,C955*(1-'P-Parametri'!$B$6*B955)&gt;=(MAX(0,'1-Input'!$B$10-IF($A955&gt;='1-Input'!$C$12,'1-Input'!$B$12,0))-MIN(MAX(G954,0),MAX(0,'1-Input'!$B$10-IF($A955&gt;='1-Input'!$C$12,'1-Input'!$B$12,0))))-0.000001),1,0)</f>
        <v>1</v>
      </c>
      <c r="E955" s="18">
        <f>IF(D955=0,G954,(G954-MAX(0,'1-Input'!$B$10-IF($A955&gt;='1-Input'!$C$12,'1-Input'!$B$12,0))+C955*(1-'P-Parametri'!$B$6*B955))*(1+'1-Input'!$B$27))</f>
        <v>-3.6248820833861826E-12</v>
      </c>
      <c r="F955" s="18">
        <f t="shared" si="1"/>
        <v>410721.99066233868</v>
      </c>
      <c r="G955" s="18">
        <f>IF(D955=0,G954,E955-'P-Parametri'!$B$8*(F955+E955)+MIN(MAX(F955,0),'P-Parametri'!$B$8*(F955+E955)))</f>
        <v>-3.637978807091713E-12</v>
      </c>
      <c r="H955" s="18">
        <f>IF(D955=0,H954,F955-MIN(MAX(F955,0),'P-Parametri'!$B$8*(F955+E955)))</f>
        <v>409900.54668101401</v>
      </c>
      <c r="I955" s="18">
        <f t="shared" si="2"/>
        <v>295728.86485056783</v>
      </c>
      <c r="J955" s="18">
        <f>IF(D955=0,J954,J954+C955*B955*'P-Parametri'!$B$6)</f>
        <v>3910.1417042535522</v>
      </c>
      <c r="K955" s="18">
        <f>IF(D955=0,K954,K954+'P-Parametri'!$B$8*(F955+E955))</f>
        <v>2524.1671426266644</v>
      </c>
    </row>
    <row r="956" spans="1:11">
      <c r="A956" s="10">
        <f>4</f>
        <v>4</v>
      </c>
      <c r="B956" s="11">
        <f t="shared" si="0"/>
        <v>0.27853508065529603</v>
      </c>
      <c r="C956" s="18">
        <f>IF(D955=0,0,MIN(MAX(H955,0),((MAX(0,'1-Input'!$B$10-IF($A956&gt;='1-Input'!$C$12,'1-Input'!$B$12,0))-MIN(MAX(G955,0),MAX(0,'1-Input'!$B$10-IF($A956&gt;='1-Input'!$C$12,'1-Input'!$B$12,0))))+MAX(0,0*'1-Input'!$B$10-(G955-MIN(MAX(G955,0),MAX(0,'1-Input'!$B$10-IF($A956&gt;='1-Input'!$C$12,'1-Input'!$B$12,0))))))*(1/(1-'P-Parametri'!$B$6*B956))))</f>
        <v>21345.847513279408</v>
      </c>
      <c r="D956" s="10">
        <f>IF(AND(D955=1,G955+H955&gt;0.000001,C956*(1-'P-Parametri'!$B$6*B956)&gt;=(MAX(0,'1-Input'!$B$10-IF($A956&gt;='1-Input'!$C$12,'1-Input'!$B$12,0))-MIN(MAX(G955,0),MAX(0,'1-Input'!$B$10-IF($A956&gt;='1-Input'!$C$12,'1-Input'!$B$12,0))))-0.000001),1,0)</f>
        <v>1</v>
      </c>
      <c r="E956" s="18">
        <f>IF(D956=0,G955,(G955-MAX(0,'1-Input'!$B$10-IF($A956&gt;='1-Input'!$C$12,'1-Input'!$B$12,0))+C956*(1-'P-Parametri'!$B$6*B956))*(1+'1-Input'!$B$27))</f>
        <v>3.6248820833861826E-12</v>
      </c>
      <c r="F956" s="18">
        <f t="shared" si="1"/>
        <v>400211.34014276665</v>
      </c>
      <c r="G956" s="18">
        <f>IF(D956=0,G955,E956-'P-Parametri'!$B$8*(F956+E956)+MIN(MAX(F956,0),'P-Parametri'!$B$8*(F956+E956)))</f>
        <v>3.637978807091713E-12</v>
      </c>
      <c r="H956" s="18">
        <f>IF(D956=0,H955,F956-MIN(MAX(F956,0),'P-Parametri'!$B$8*(F956+E956)))</f>
        <v>399410.91746248113</v>
      </c>
      <c r="I956" s="18">
        <f t="shared" si="2"/>
        <v>280328.58469605533</v>
      </c>
      <c r="J956" s="18">
        <f>IF(D956=0,J955,J955+C956*B956*'P-Parametri'!$B$6)</f>
        <v>5455.9892175329542</v>
      </c>
      <c r="K956" s="18">
        <f>IF(D956=0,K955,K955+'P-Parametri'!$B$8*(F956+E956))</f>
        <v>3324.5898229121976</v>
      </c>
    </row>
    <row r="957" spans="1:11">
      <c r="A957" s="10">
        <f>5</f>
        <v>5</v>
      </c>
      <c r="B957" s="11">
        <f t="shared" si="0"/>
        <v>0.29814491181907127</v>
      </c>
      <c r="C957" s="18">
        <f>IF(D956=0,0,MIN(MAX(H956,0),((MAX(0,'1-Input'!$B$10-IF($A957&gt;='1-Input'!$C$12,'1-Input'!$B$12,0))-MIN(MAX(G956,0),MAX(0,'1-Input'!$B$10-IF($A957&gt;='1-Input'!$C$12,'1-Input'!$B$12,0))))+MAX(0,0*'1-Input'!$B$10-(G956-MIN(MAX(G956,0),MAX(0,'1-Input'!$B$10-IF($A957&gt;='1-Input'!$C$12,'1-Input'!$B$12,0))))))*(1/(1-'P-Parametri'!$B$6*B957))))</f>
        <v>21463.825926955964</v>
      </c>
      <c r="D957" s="10">
        <f>IF(AND(D956=1,G956+H956&gt;0.000001,C957*(1-'P-Parametri'!$B$6*B957)&gt;=(MAX(0,'1-Input'!$B$10-IF($A957&gt;='1-Input'!$C$12,'1-Input'!$B$12,0))-MIN(MAX(G956,0),MAX(0,'1-Input'!$B$10-IF($A957&gt;='1-Input'!$C$12,'1-Input'!$B$12,0))))-0.000001),1,0)</f>
        <v>1</v>
      </c>
      <c r="E957" s="18">
        <f>IF(D957=0,G956,(G956-MAX(0,'1-Input'!$B$10-IF($A957&gt;='1-Input'!$C$12,'1-Input'!$B$12,0))+C957*(1-'P-Parametri'!$B$6*B957))*(1+'1-Input'!$B$27))</f>
        <v>0</v>
      </c>
      <c r="F957" s="18">
        <f t="shared" si="1"/>
        <v>389285.50428159093</v>
      </c>
      <c r="G957" s="18">
        <f>IF(D957=0,G956,E957-'P-Parametri'!$B$8*(F957+E957)+MIN(MAX(F957,0),'P-Parametri'!$B$8*(F957+E957)))</f>
        <v>0</v>
      </c>
      <c r="H957" s="18">
        <f>IF(D957=0,H956,F957-MIN(MAX(F957,0),'P-Parametri'!$B$8*(F957+E957)))</f>
        <v>388506.93327302777</v>
      </c>
      <c r="I957" s="18">
        <f t="shared" si="2"/>
        <v>265264.08925739158</v>
      </c>
      <c r="J957" s="18">
        <f>IF(D957=0,J956,J956+C957*B957*'P-Parametri'!$B$6)</f>
        <v>7119.8151444889209</v>
      </c>
      <c r="K957" s="18">
        <f>IF(D957=0,K956,K956+'P-Parametri'!$B$8*(F957+E957))</f>
        <v>4103.1608314753794</v>
      </c>
    </row>
    <row r="958" spans="1:11">
      <c r="A958" s="10">
        <f>6</f>
        <v>6</v>
      </c>
      <c r="B958" s="11">
        <f t="shared" si="0"/>
        <v>0.31722173650122698</v>
      </c>
      <c r="C958" s="18">
        <f>IF(D957=0,0,MIN(MAX(H957,0),((MAX(0,'1-Input'!$B$10-IF($A958&gt;='1-Input'!$C$12,'1-Input'!$B$12,0))-MIN(MAX(G957,0),MAX(0,'1-Input'!$B$10-IF($A958&gt;='1-Input'!$C$12,'1-Input'!$B$12,0))))+MAX(0,0*'1-Input'!$B$10-(G957-MIN(MAX(G957,0),MAX(0,'1-Input'!$B$10-IF($A958&gt;='1-Input'!$C$12,'1-Input'!$B$12,0))))))*(1/(1-'P-Parametri'!$B$6*B958))))</f>
        <v>21579.855828210475</v>
      </c>
      <c r="D958" s="10">
        <f>IF(AND(D957=1,G957+H957&gt;0.000001,C958*(1-'P-Parametri'!$B$6*B958)&gt;=(MAX(0,'1-Input'!$B$10-IF($A958&gt;='1-Input'!$C$12,'1-Input'!$B$12,0))-MIN(MAX(G957,0),MAX(0,'1-Input'!$B$10-IF($A958&gt;='1-Input'!$C$12,'1-Input'!$B$12,0))))-0.000001),1,0)</f>
        <v>1</v>
      </c>
      <c r="E958" s="18">
        <f>IF(D958=0,G957,(G957-MAX(0,'1-Input'!$B$10-IF($A958&gt;='1-Input'!$C$12,'1-Input'!$B$12,0))+C958*(1-'P-Parametri'!$B$6*B958))*(1+'1-Input'!$B$27))</f>
        <v>0</v>
      </c>
      <c r="F958" s="18">
        <f t="shared" si="1"/>
        <v>377934.88976816181</v>
      </c>
      <c r="G958" s="18">
        <f>IF(D958=0,G957,E958-'P-Parametri'!$B$8*(F958+E958)+MIN(MAX(F958,0),'P-Parametri'!$B$8*(F958+E958)))</f>
        <v>0</v>
      </c>
      <c r="H958" s="18">
        <f>IF(D958=0,H957,F958-MIN(MAX(F958,0),'P-Parametri'!$B$8*(F958+E958)))</f>
        <v>377179.01998862548</v>
      </c>
      <c r="I958" s="18">
        <f t="shared" si="2"/>
        <v>250529.83276845215</v>
      </c>
      <c r="J958" s="18">
        <f>IF(D958=0,J957,J957+C958*B958*'P-Parametri'!$B$6)</f>
        <v>8899.670972699394</v>
      </c>
      <c r="K958" s="18">
        <f>IF(D958=0,K957,K957+'P-Parametri'!$B$8*(F958+E958))</f>
        <v>4859.0306110117035</v>
      </c>
    </row>
    <row r="959" spans="1:11">
      <c r="A959" s="10">
        <f>7</f>
        <v>7</v>
      </c>
      <c r="B959" s="11">
        <f t="shared" si="0"/>
        <v>0.33578004212427476</v>
      </c>
      <c r="C959" s="18">
        <f>IF(D958=0,0,MIN(MAX(H958,0),((MAX(0,'1-Input'!$B$10-IF($A959&gt;='1-Input'!$C$12,'1-Input'!$B$12,0))-MIN(MAX(G958,0),MAX(0,'1-Input'!$B$10-IF($A959&gt;='1-Input'!$C$12,'1-Input'!$B$12,0))))+MAX(0,0*'1-Input'!$B$10-(G958-MIN(MAX(G958,0),MAX(0,'1-Input'!$B$10-IF($A959&gt;='1-Input'!$C$12,'1-Input'!$B$12,0))))))*(1/(1-'P-Parametri'!$B$6*B959))))</f>
        <v>21693.942128450497</v>
      </c>
      <c r="D959" s="10">
        <f>IF(AND(D958=1,G958+H958&gt;0.000001,C959*(1-'P-Parametri'!$B$6*B959)&gt;=(MAX(0,'1-Input'!$B$10-IF($A959&gt;='1-Input'!$C$12,'1-Input'!$B$12,0))-MIN(MAX(G958,0),MAX(0,'1-Input'!$B$10-IF($A959&gt;='1-Input'!$C$12,'1-Input'!$B$12,0))))-0.000001),1,0)</f>
        <v>1</v>
      </c>
      <c r="E959" s="18">
        <f>IF(D959=0,G958,(G958-MAX(0,'1-Input'!$B$10-IF($A959&gt;='1-Input'!$C$12,'1-Input'!$B$12,0))+C959*(1-'P-Parametri'!$B$6*B959))*(1+'1-Input'!$B$27))</f>
        <v>0</v>
      </c>
      <c r="F959" s="18">
        <f t="shared" si="1"/>
        <v>366149.63019598025</v>
      </c>
      <c r="G959" s="18">
        <f>IF(D959=0,G958,E959-'P-Parametri'!$B$8*(F959+E959)+MIN(MAX(F959,0),'P-Parametri'!$B$8*(F959+E959)))</f>
        <v>0</v>
      </c>
      <c r="H959" s="18">
        <f>IF(D959=0,H958,F959-MIN(MAX(F959,0),'P-Parametri'!$B$8*(F959+E959)))</f>
        <v>365417.33093558828</v>
      </c>
      <c r="I959" s="18">
        <f t="shared" si="2"/>
        <v>236120.28344173433</v>
      </c>
      <c r="J959" s="18">
        <f>IF(D959=0,J958,J958+C959*B959*'P-Parametri'!$B$6)</f>
        <v>10793.613101149893</v>
      </c>
      <c r="K959" s="18">
        <f>IF(D959=0,K958,K958+'P-Parametri'!$B$8*(F959+E959))</f>
        <v>5591.3298714036637</v>
      </c>
    </row>
    <row r="960" spans="1:11">
      <c r="A960" s="10">
        <f>8</f>
        <v>8</v>
      </c>
      <c r="B960" s="11">
        <f t="shared" si="0"/>
        <v>0.3538339223342557</v>
      </c>
      <c r="C960" s="18">
        <f>IF(D959=0,0,MIN(MAX(H959,0),((MAX(0,'1-Input'!$B$10-IF($A960&gt;='1-Input'!$C$12,'1-Input'!$B$12,0))-MIN(MAX(G959,0),MAX(0,'1-Input'!$B$10-IF($A960&gt;='1-Input'!$C$12,'1-Input'!$B$12,0))))+MAX(0,0*'1-Input'!$B$10-(G959-MIN(MAX(G959,0),MAX(0,'1-Input'!$B$10-IF($A960&gt;='1-Input'!$C$12,'1-Input'!$B$12,0))))))*(1/(1-'P-Parametri'!$B$6*B960))))</f>
        <v>21806.091026894184</v>
      </c>
      <c r="D960" s="10">
        <f>IF(AND(D959=1,G959+H959&gt;0.000001,C960*(1-'P-Parametri'!$B$6*B960)&gt;=(MAX(0,'1-Input'!$B$10-IF($A960&gt;='1-Input'!$C$12,'1-Input'!$B$12,0))-MIN(MAX(G959,0),MAX(0,'1-Input'!$B$10-IF($A960&gt;='1-Input'!$C$12,'1-Input'!$B$12,0))))-0.000001),1,0)</f>
        <v>1</v>
      </c>
      <c r="E960" s="18">
        <f>IF(D960=0,G959,(G959-MAX(0,'1-Input'!$B$10-IF($A960&gt;='1-Input'!$C$12,'1-Input'!$B$12,0))+C960*(1-'P-Parametri'!$B$6*B960))*(1+'1-Input'!$B$27))</f>
        <v>0</v>
      </c>
      <c r="F960" s="18">
        <f t="shared" si="1"/>
        <v>353919.57710595493</v>
      </c>
      <c r="G960" s="18">
        <f>IF(D960=0,G959,E960-'P-Parametri'!$B$8*(F960+E960)+MIN(MAX(F960,0),'P-Parametri'!$B$8*(F960+E960)))</f>
        <v>0</v>
      </c>
      <c r="H960" s="18">
        <f>IF(D960=0,H959,F960-MIN(MAX(F960,0),'P-Parametri'!$B$8*(F960+E960)))</f>
        <v>353211.73795174301</v>
      </c>
      <c r="I960" s="18">
        <f t="shared" si="2"/>
        <v>222029.92713366394</v>
      </c>
      <c r="J960" s="18">
        <f>IF(D960=0,J959,J959+C960*B960*'P-Parametri'!$B$6)</f>
        <v>12799.704128044077</v>
      </c>
      <c r="K960" s="18">
        <f>IF(D960=0,K959,K959+'P-Parametri'!$B$8*(F960+E960))</f>
        <v>6299.1690256155734</v>
      </c>
    </row>
    <row r="961" spans="1:11">
      <c r="A961" s="10">
        <f>9</f>
        <v>9</v>
      </c>
      <c r="B961" s="11">
        <f t="shared" si="0"/>
        <v>0.37139708770381119</v>
      </c>
      <c r="C961" s="18">
        <f>IF(D960=0,0,MIN(MAX(H960,0),((MAX(0,'1-Input'!$B$10-IF($A961&gt;='1-Input'!$C$12,'1-Input'!$B$12,0))-MIN(MAX(G960,0),MAX(0,'1-Input'!$B$10-IF($A961&gt;='1-Input'!$C$12,'1-Input'!$B$12,0))))+MAX(0,0*'1-Input'!$B$10-(G960-MIN(MAX(G960,0),MAX(0,'1-Input'!$B$10-IF($A961&gt;='1-Input'!$C$12,'1-Input'!$B$12,0))))))*(1/(1-'P-Parametri'!$B$6*B961))))</f>
        <v>21916.309960014485</v>
      </c>
      <c r="D961" s="10">
        <f>IF(AND(D960=1,G960+H960&gt;0.000001,C961*(1-'P-Parametri'!$B$6*B961)&gt;=(MAX(0,'1-Input'!$B$10-IF($A961&gt;='1-Input'!$C$12,'1-Input'!$B$12,0))-MIN(MAX(G960,0),MAX(0,'1-Input'!$B$10-IF($A961&gt;='1-Input'!$C$12,'1-Input'!$B$12,0))))-0.000001),1,0)</f>
        <v>1</v>
      </c>
      <c r="E961" s="18">
        <f>IF(D961=0,G960,(G960-MAX(0,'1-Input'!$B$10-IF($A961&gt;='1-Input'!$C$12,'1-Input'!$B$12,0))+C961*(1-'P-Parametri'!$B$6*B961))*(1+'1-Input'!$B$27))</f>
        <v>0</v>
      </c>
      <c r="F961" s="18">
        <f t="shared" si="1"/>
        <v>341234.29083148041</v>
      </c>
      <c r="G961" s="18">
        <f>IF(D961=0,G960,E961-'P-Parametri'!$B$8*(F961+E961)+MIN(MAX(F961,0),'P-Parametri'!$B$8*(F961+E961)))</f>
        <v>0</v>
      </c>
      <c r="H961" s="18">
        <f>IF(D961=0,H960,F961-MIN(MAX(F961,0),'P-Parametri'!$B$8*(F961+E961)))</f>
        <v>340551.82224981743</v>
      </c>
      <c r="I961" s="18">
        <f t="shared" si="2"/>
        <v>208253.27086601287</v>
      </c>
      <c r="J961" s="18">
        <f>IF(D961=0,J960,J960+C961*B961*'P-Parametri'!$B$6)</f>
        <v>14916.014088058564</v>
      </c>
      <c r="K961" s="18">
        <f>IF(D961=0,K960,K960+'P-Parametri'!$B$8*(F961+E961))</f>
        <v>6981.6376072785342</v>
      </c>
    </row>
    <row r="962" spans="1:11">
      <c r="A962" s="10">
        <f>10</f>
        <v>10</v>
      </c>
      <c r="B962" s="11">
        <f t="shared" si="0"/>
        <v>0.38848287614433835</v>
      </c>
      <c r="C962" s="18">
        <f>IF(D961=0,0,MIN(MAX(H961,0),((MAX(0,'1-Input'!$B$10-IF($A962&gt;='1-Input'!$C$12,'1-Input'!$B$12,0))-MIN(MAX(G961,0),MAX(0,'1-Input'!$B$10-IF($A962&gt;='1-Input'!$C$12,'1-Input'!$B$12,0))))+MAX(0,0*'1-Input'!$B$10-(G961-MIN(MAX(G961,0),MAX(0,'1-Input'!$B$10-IF($A962&gt;='1-Input'!$C$12,'1-Input'!$B$12,0))))))*(1/(1-'P-Parametri'!$B$6*B962))))</f>
        <v>22024.607550682231</v>
      </c>
      <c r="D962" s="10">
        <f>IF(AND(D961=1,G961+H961&gt;0.000001,C962*(1-'P-Parametri'!$B$6*B962)&gt;=(MAX(0,'1-Input'!$B$10-IF($A962&gt;='1-Input'!$C$12,'1-Input'!$B$12,0))-MIN(MAX(G961,0),MAX(0,'1-Input'!$B$10-IF($A962&gt;='1-Input'!$C$12,'1-Input'!$B$12,0))))-0.000001),1,0)</f>
        <v>1</v>
      </c>
      <c r="E962" s="18">
        <f>IF(D962=0,G961,(G961-MAX(0,'1-Input'!$B$10-IF($A962&gt;='1-Input'!$C$12,'1-Input'!$B$12,0))+C962*(1-'P-Parametri'!$B$6*B962))*(1+'1-Input'!$B$27))</f>
        <v>0</v>
      </c>
      <c r="F962" s="18">
        <f t="shared" si="1"/>
        <v>328083.03114010929</v>
      </c>
      <c r="G962" s="18">
        <f>IF(D962=0,G961,E962-'P-Parametri'!$B$8*(F962+E962)+MIN(MAX(F962,0),'P-Parametri'!$B$8*(F962+E962)))</f>
        <v>0</v>
      </c>
      <c r="H962" s="18">
        <f>IF(D962=0,H961,F962-MIN(MAX(F962,0),'P-Parametri'!$B$8*(F962+E962)))</f>
        <v>327426.86507782905</v>
      </c>
      <c r="I962" s="18">
        <f t="shared" si="2"/>
        <v>194784.84620256998</v>
      </c>
      <c r="J962" s="18">
        <f>IF(D962=0,J961,J961+C962*B962*'P-Parametri'!$B$6)</f>
        <v>17140.621638740795</v>
      </c>
      <c r="K962" s="18">
        <f>IF(D962=0,K961,K961+'P-Parametri'!$B$8*(F962+E962))</f>
        <v>7637.8036695587525</v>
      </c>
    </row>
    <row r="963" spans="1:11">
      <c r="A963" s="10">
        <f>11</f>
        <v>11</v>
      </c>
      <c r="B963" s="11">
        <f t="shared" si="0"/>
        <v>0.40510426303513669</v>
      </c>
      <c r="C963" s="18">
        <f>IF(D962=0,0,MIN(MAX(H962,0),((MAX(0,'1-Input'!$B$10-IF($A963&gt;='1-Input'!$C$12,'1-Input'!$B$12,0))-MIN(MAX(G962,0),MAX(0,'1-Input'!$B$10-IF($A963&gt;='1-Input'!$C$12,'1-Input'!$B$12,0))))+MAX(0,0*'1-Input'!$B$10-(G962-MIN(MAX(G962,0),MAX(0,'1-Input'!$B$10-IF($A963&gt;='1-Input'!$C$12,'1-Input'!$B$12,0))))))*(1/(1-'P-Parametri'!$B$6*B963))))</f>
        <v>22130.993557153572</v>
      </c>
      <c r="D963" s="10">
        <f>IF(AND(D962=1,G962+H962&gt;0.000001,C963*(1-'P-Parametri'!$B$6*B963)&gt;=(MAX(0,'1-Input'!$B$10-IF($A963&gt;='1-Input'!$C$12,'1-Input'!$B$12,0))-MIN(MAX(G962,0),MAX(0,'1-Input'!$B$10-IF($A963&gt;='1-Input'!$C$12,'1-Input'!$B$12,0))))-0.000001),1,0)</f>
        <v>1</v>
      </c>
      <c r="E963" s="18">
        <f>IF(D963=0,G962,(G962-MAX(0,'1-Input'!$B$10-IF($A963&gt;='1-Input'!$C$12,'1-Input'!$B$12,0))+C963*(1-'P-Parametri'!$B$6*B963))*(1+'1-Input'!$B$27))</f>
        <v>-3.6248820833861826E-12</v>
      </c>
      <c r="F963" s="18">
        <f t="shared" si="1"/>
        <v>314454.74766629573</v>
      </c>
      <c r="G963" s="18">
        <f>IF(D963=0,G962,E963-'P-Parametri'!$B$8*(F963+E963)+MIN(MAX(F963,0),'P-Parametri'!$B$8*(F963+E963)))</f>
        <v>-3.637978807091713E-12</v>
      </c>
      <c r="H963" s="18">
        <f>IF(D963=0,H962,F963-MIN(MAX(F963,0),'P-Parametri'!$B$8*(F963+E963)))</f>
        <v>313825.83817096316</v>
      </c>
      <c r="I963" s="18">
        <f t="shared" si="2"/>
        <v>181619.21248062246</v>
      </c>
      <c r="J963" s="18">
        <f>IF(D963=0,J962,J962+C963*B963*'P-Parametri'!$B$6)</f>
        <v>19471.61519589437</v>
      </c>
      <c r="K963" s="18">
        <f>IF(D963=0,K962,K962+'P-Parametri'!$B$8*(F963+E963))</f>
        <v>8266.7131648913437</v>
      </c>
    </row>
    <row r="964" spans="1:11">
      <c r="A964" s="10">
        <f>12</f>
        <v>12</v>
      </c>
      <c r="B964" s="11">
        <f t="shared" si="0"/>
        <v>0.42127387107723868</v>
      </c>
      <c r="C964" s="18">
        <f>IF(D963=0,0,MIN(MAX(H963,0),((MAX(0,'1-Input'!$B$10-IF($A964&gt;='1-Input'!$C$12,'1-Input'!$B$12,0))-MIN(MAX(G963,0),MAX(0,'1-Input'!$B$10-IF($A964&gt;='1-Input'!$C$12,'1-Input'!$B$12,0))))+MAX(0,0*'1-Input'!$B$10-(G963-MIN(MAX(G963,0),MAX(0,'1-Input'!$B$10-IF($A964&gt;='1-Input'!$C$12,'1-Input'!$B$12,0))))))*(1/(1-'P-Parametri'!$B$6*B964))))</f>
        <v>22235.478822040401</v>
      </c>
      <c r="D964" s="10">
        <f>IF(AND(D963=1,G963+H963&gt;0.000001,C964*(1-'P-Parametri'!$B$6*B964)&gt;=(MAX(0,'1-Input'!$B$10-IF($A964&gt;='1-Input'!$C$12,'1-Input'!$B$12,0))-MIN(MAX(G963,0),MAX(0,'1-Input'!$B$10-IF($A964&gt;='1-Input'!$C$12,'1-Input'!$B$12,0))))-0.000001),1,0)</f>
        <v>1</v>
      </c>
      <c r="E964" s="18">
        <f>IF(D964=0,G963,(G963-MAX(0,'1-Input'!$B$10-IF($A964&gt;='1-Input'!$C$12,'1-Input'!$B$12,0))+C964*(1-'P-Parametri'!$B$6*B964))*(1+'1-Input'!$B$27))</f>
        <v>-3.6248820833861826E-12</v>
      </c>
      <c r="F964" s="18">
        <f t="shared" si="1"/>
        <v>300338.0701293904</v>
      </c>
      <c r="G964" s="18">
        <f>IF(D964=0,G963,E964-'P-Parametri'!$B$8*(F964+E964)+MIN(MAX(F964,0),'P-Parametri'!$B$8*(F964+E964)))</f>
        <v>-3.637978807091713E-12</v>
      </c>
      <c r="H964" s="18">
        <f>IF(D964=0,H963,F964-MIN(MAX(F964,0),'P-Parametri'!$B$8*(F964+E964)))</f>
        <v>299737.39398913161</v>
      </c>
      <c r="I964" s="18">
        <f t="shared" si="2"/>
        <v>168750.95989719898</v>
      </c>
      <c r="J964" s="18">
        <f>IF(D964=0,J963,J963+C964*B964*'P-Parametri'!$B$6)</f>
        <v>21907.094017934767</v>
      </c>
      <c r="K964" s="18">
        <f>IF(D964=0,K963,K963+'P-Parametri'!$B$8*(F964+E964))</f>
        <v>8867.3893051501254</v>
      </c>
    </row>
    <row r="965" spans="1:11">
      <c r="A965" s="10">
        <f>13</f>
        <v>13</v>
      </c>
      <c r="B965" s="11">
        <f t="shared" si="0"/>
        <v>0.43700397987940792</v>
      </c>
      <c r="C965" s="18">
        <f>IF(D964=0,0,MIN(MAX(H964,0),((MAX(0,'1-Input'!$B$10-IF($A965&gt;='1-Input'!$C$12,'1-Input'!$B$12,0))-MIN(MAX(G964,0),MAX(0,'1-Input'!$B$10-IF($A965&gt;='1-Input'!$C$12,'1-Input'!$B$12,0))))+MAX(0,0*'1-Input'!$B$10-(G964-MIN(MAX(G964,0),MAX(0,'1-Input'!$B$10-IF($A965&gt;='1-Input'!$C$12,'1-Input'!$B$12,0))))))*(1/(1-'P-Parametri'!$B$6*B965))))</f>
        <v>22338.075221394723</v>
      </c>
      <c r="D965" s="10">
        <f>IF(AND(D964=1,G964+H964&gt;0.000001,C965*(1-'P-Parametri'!$B$6*B965)&gt;=(MAX(0,'1-Input'!$B$10-IF($A965&gt;='1-Input'!$C$12,'1-Input'!$B$12,0))-MIN(MAX(G964,0),MAX(0,'1-Input'!$B$10-IF($A965&gt;='1-Input'!$C$12,'1-Input'!$B$12,0))))-0.000001),1,0)</f>
        <v>1</v>
      </c>
      <c r="E965" s="18">
        <f>IF(D965=0,G964,(G964-MAX(0,'1-Input'!$B$10-IF($A965&gt;='1-Input'!$C$12,'1-Input'!$B$12,0))+C965*(1-'P-Parametri'!$B$6*B965))*(1+'1-Input'!$B$27))</f>
        <v>0</v>
      </c>
      <c r="F965" s="18">
        <f t="shared" si="1"/>
        <v>285721.298330769</v>
      </c>
      <c r="G965" s="18">
        <f>IF(D965=0,G964,E965-'P-Parametri'!$B$8*(F965+E965)+MIN(MAX(F965,0),'P-Parametri'!$B$8*(F965+E965)))</f>
        <v>0</v>
      </c>
      <c r="H965" s="18">
        <f>IF(D965=0,H964,F965-MIN(MAX(F965,0),'P-Parametri'!$B$8*(F965+E965)))</f>
        <v>285149.85573410749</v>
      </c>
      <c r="I965" s="18">
        <f t="shared" si="2"/>
        <v>156174.71245039933</v>
      </c>
      <c r="J965" s="18">
        <f>IF(D965=0,J964,J964+C965*B965*'P-Parametri'!$B$6)</f>
        <v>24445.169239329487</v>
      </c>
      <c r="K965" s="18">
        <f>IF(D965=0,K964,K964+'P-Parametri'!$B$8*(F965+E965))</f>
        <v>9438.8319018116636</v>
      </c>
    </row>
    <row r="966" spans="1:11">
      <c r="A966" s="10">
        <f>14</f>
        <v>14</v>
      </c>
      <c r="B966" s="11">
        <f t="shared" si="0"/>
        <v>0.45230653528358467</v>
      </c>
      <c r="C966" s="18">
        <f>IF(D965=0,0,MIN(MAX(H965,0),((MAX(0,'1-Input'!$B$10-IF($A966&gt;='1-Input'!$C$12,'1-Input'!$B$12,0))-MIN(MAX(G965,0),MAX(0,'1-Input'!$B$10-IF($A966&gt;='1-Input'!$C$12,'1-Input'!$B$12,0))))+MAX(0,0*'1-Input'!$B$10-(G965-MIN(MAX(G965,0),MAX(0,'1-Input'!$B$10-IF($A966&gt;='1-Input'!$C$12,'1-Input'!$B$12,0))))))*(1/(1-'P-Parametri'!$B$6*B966))))</f>
        <v>22438.795614030892</v>
      </c>
      <c r="D966" s="10">
        <f>IF(AND(D965=1,G965+H965&gt;0.000001,C966*(1-'P-Parametri'!$B$6*B966)&gt;=(MAX(0,'1-Input'!$B$10-IF($A966&gt;='1-Input'!$C$12,'1-Input'!$B$12,0))-MIN(MAX(G965,0),MAX(0,'1-Input'!$B$10-IF($A966&gt;='1-Input'!$C$12,'1-Input'!$B$12,0))))-0.000001),1,0)</f>
        <v>1</v>
      </c>
      <c r="E966" s="18">
        <f>IF(D966=0,G965,(G965-MAX(0,'1-Input'!$B$10-IF($A966&gt;='1-Input'!$C$12,'1-Input'!$B$12,0))+C966*(1-'P-Parametri'!$B$6*B966))*(1+'1-Input'!$B$27))</f>
        <v>0</v>
      </c>
      <c r="F966" s="18">
        <f t="shared" si="1"/>
        <v>270592.39192367886</v>
      </c>
      <c r="G966" s="18">
        <f>IF(D966=0,G965,E966-'P-Parametri'!$B$8*(F966+E966)+MIN(MAX(F966,0),'P-Parametri'!$B$8*(F966+E966)))</f>
        <v>0</v>
      </c>
      <c r="H966" s="18">
        <f>IF(D966=0,H965,F966-MIN(MAX(F966,0),'P-Parametri'!$B$8*(F966+E966)))</f>
        <v>270051.2071398315</v>
      </c>
      <c r="I966" s="18">
        <f t="shared" si="2"/>
        <v>143885.13073648725</v>
      </c>
      <c r="J966" s="18">
        <f>IF(D966=0,J965,J965+C966*B966*'P-Parametri'!$B$6)</f>
        <v>27083.964853360376</v>
      </c>
      <c r="K966" s="18">
        <f>IF(D966=0,K965,K965+'P-Parametri'!$B$8*(F966+E966))</f>
        <v>9980.0166856590222</v>
      </c>
    </row>
    <row r="967" spans="1:11">
      <c r="A967" s="10">
        <f>15</f>
        <v>15</v>
      </c>
      <c r="B967" s="11">
        <f t="shared" si="0"/>
        <v>0.46719315843685871</v>
      </c>
      <c r="C967" s="18">
        <f>IF(D966=0,0,MIN(MAX(H966,0),((MAX(0,'1-Input'!$B$10-IF($A967&gt;='1-Input'!$C$12,'1-Input'!$B$12,0))-MIN(MAX(G966,0),MAX(0,'1-Input'!$B$10-IF($A967&gt;='1-Input'!$C$12,'1-Input'!$B$12,0))))+MAX(0,0*'1-Input'!$B$10-(G966-MIN(MAX(G966,0),MAX(0,'1-Input'!$B$10-IF($A967&gt;='1-Input'!$C$12,'1-Input'!$B$12,0))))))*(1/(1-'P-Parametri'!$B$6*B967))))</f>
        <v>22537.653791201668</v>
      </c>
      <c r="D967" s="10">
        <f>IF(AND(D966=1,G966+H966&gt;0.000001,C967*(1-'P-Parametri'!$B$6*B967)&gt;=(MAX(0,'1-Input'!$B$10-IF($A967&gt;='1-Input'!$C$12,'1-Input'!$B$12,0))-MIN(MAX(G966,0),MAX(0,'1-Input'!$B$10-IF($A967&gt;='1-Input'!$C$12,'1-Input'!$B$12,0))))-0.000001),1,0)</f>
        <v>1</v>
      </c>
      <c r="E967" s="18">
        <f>IF(D967=0,G966,(G966-MAX(0,'1-Input'!$B$10-IF($A967&gt;='1-Input'!$C$12,'1-Input'!$B$12,0))+C967*(1-'P-Parametri'!$B$6*B967))*(1+'1-Input'!$B$27))</f>
        <v>0</v>
      </c>
      <c r="F967" s="18">
        <f t="shared" si="1"/>
        <v>254938.95994908872</v>
      </c>
      <c r="G967" s="18">
        <f>IF(D967=0,G966,E967-'P-Parametri'!$B$8*(F967+E967)+MIN(MAX(F967,0),'P-Parametri'!$B$8*(F967+E967)))</f>
        <v>0</v>
      </c>
      <c r="H967" s="18">
        <f>IF(D967=0,H966,F967-MIN(MAX(F967,0),'P-Parametri'!$B$8*(F967+E967)))</f>
        <v>254429.08202919055</v>
      </c>
      <c r="I967" s="18">
        <f t="shared" si="2"/>
        <v>131876.91460375354</v>
      </c>
      <c r="J967" s="18">
        <f>IF(D967=0,J966,J966+C967*B967*'P-Parametri'!$B$6)</f>
        <v>29821.618644562044</v>
      </c>
      <c r="K967" s="18">
        <f>IF(D967=0,K966,K966+'P-Parametri'!$B$8*(F967+E967))</f>
        <v>10489.8946055572</v>
      </c>
    </row>
    <row r="968" spans="1:11">
      <c r="A968" s="10">
        <f>16</f>
        <v>16</v>
      </c>
      <c r="B968" s="11">
        <f t="shared" si="0"/>
        <v>0.48167515461686355</v>
      </c>
      <c r="C968" s="18">
        <f>IF(D967=0,0,MIN(MAX(H967,0),((MAX(0,'1-Input'!$B$10-IF($A968&gt;='1-Input'!$C$12,'1-Input'!$B$12,0))-MIN(MAX(G967,0),MAX(0,'1-Input'!$B$10-IF($A968&gt;='1-Input'!$C$12,'1-Input'!$B$12,0))))+MAX(0,0*'1-Input'!$B$10-(G967-MIN(MAX(G967,0),MAX(0,'1-Input'!$B$10-IF($A968&gt;='1-Input'!$C$12,'1-Input'!$B$12,0))))))*(1/(1-'P-Parametri'!$B$6*B968))))</f>
        <v>22634.664426736814</v>
      </c>
      <c r="D968" s="10">
        <f>IF(AND(D967=1,G967+H967&gt;0.000001,C968*(1-'P-Parametri'!$B$6*B968)&gt;=(MAX(0,'1-Input'!$B$10-IF($A968&gt;='1-Input'!$C$12,'1-Input'!$B$12,0))-MIN(MAX(G967,0),MAX(0,'1-Input'!$B$10-IF($A968&gt;='1-Input'!$C$12,'1-Input'!$B$12,0))))-0.000001),1,0)</f>
        <v>1</v>
      </c>
      <c r="E968" s="18">
        <f>IF(D968=0,G967,(G967-MAX(0,'1-Input'!$B$10-IF($A968&gt;='1-Input'!$C$12,'1-Input'!$B$12,0))+C968*(1-'P-Parametri'!$B$6*B968))*(1+'1-Input'!$B$27))</f>
        <v>3.6248820833861826E-12</v>
      </c>
      <c r="F968" s="18">
        <f t="shared" si="1"/>
        <v>238748.25013052736</v>
      </c>
      <c r="G968" s="18">
        <f>IF(D968=0,G967,E968-'P-Parametri'!$B$8*(F968+E968)+MIN(MAX(F968,0),'P-Parametri'!$B$8*(F968+E968)))</f>
        <v>3.637978807091713E-12</v>
      </c>
      <c r="H968" s="18">
        <f>IF(D968=0,H967,F968-MIN(MAX(F968,0),'P-Parametri'!$B$8*(F968+E968)))</f>
        <v>238270.75363026632</v>
      </c>
      <c r="I968" s="18">
        <f t="shared" si="2"/>
        <v>120144.805664466</v>
      </c>
      <c r="J968" s="18">
        <f>IF(D968=0,J967,J967+C968*B968*'P-Parametri'!$B$6)</f>
        <v>32656.283071298854</v>
      </c>
      <c r="K968" s="18">
        <f>IF(D968=0,K967,K967+'P-Parametri'!$B$8*(F968+E968))</f>
        <v>10967.391105818255</v>
      </c>
    </row>
    <row r="969" spans="1:11">
      <c r="A969" s="10">
        <f>17</f>
        <v>17</v>
      </c>
      <c r="B969" s="11">
        <f t="shared" si="0"/>
        <v>0.49576352181728855</v>
      </c>
      <c r="C969" s="18">
        <f>IF(D968=0,0,MIN(MAX(H968,0),((MAX(0,'1-Input'!$B$10-IF($A969&gt;='1-Input'!$C$12,'1-Input'!$B$12,0))-MIN(MAX(G968,0),MAX(0,'1-Input'!$B$10-IF($A969&gt;='1-Input'!$C$12,'1-Input'!$B$12,0))))+MAX(0,0*'1-Input'!$B$10-(G968-MIN(MAX(G968,0),MAX(0,'1-Input'!$B$10-IF($A969&gt;='1-Input'!$C$12,'1-Input'!$B$12,0))))))*(1/(1-'P-Parametri'!$B$6*B969))))</f>
        <v>22729.843027745155</v>
      </c>
      <c r="D969" s="10">
        <f>IF(AND(D968=1,G968+H968&gt;0.000001,C969*(1-'P-Parametri'!$B$6*B969)&gt;=(MAX(0,'1-Input'!$B$10-IF($A969&gt;='1-Input'!$C$12,'1-Input'!$B$12,0))-MIN(MAX(G968,0),MAX(0,'1-Input'!$B$10-IF($A969&gt;='1-Input'!$C$12,'1-Input'!$B$12,0))))-0.000001),1,0)</f>
        <v>1</v>
      </c>
      <c r="E969" s="18">
        <f>IF(D969=0,G968,(G968-MAX(0,'1-Input'!$B$10-IF($A969&gt;='1-Input'!$C$12,'1-Input'!$B$12,0))+C969*(1-'P-Parametri'!$B$6*B969))*(1+'1-Input'!$B$27))</f>
        <v>0</v>
      </c>
      <c r="F969" s="18">
        <f t="shared" si="1"/>
        <v>222007.13792059678</v>
      </c>
      <c r="G969" s="18">
        <f>IF(D969=0,G968,E969-'P-Parametri'!$B$8*(F969+E969)+MIN(MAX(F969,0),'P-Parametri'!$B$8*(F969+E969)))</f>
        <v>0</v>
      </c>
      <c r="H969" s="18">
        <f>IF(D969=0,H968,F969-MIN(MAX(F969,0),'P-Parametri'!$B$8*(F969+E969)))</f>
        <v>221563.1236447556</v>
      </c>
      <c r="I969" s="18">
        <f t="shared" si="2"/>
        <v>108683.58966650991</v>
      </c>
      <c r="J969" s="18">
        <f>IF(D969=0,J968,J968+C969*B969*'P-Parametri'!$B$6)</f>
        <v>35586.126099044013</v>
      </c>
      <c r="K969" s="18">
        <f>IF(D969=0,K968,K968+'P-Parametri'!$B$8*(F969+E969))</f>
        <v>11411.405381659448</v>
      </c>
    </row>
    <row r="970" spans="1:11">
      <c r="A970" s="10">
        <f>18</f>
        <v>18</v>
      </c>
      <c r="B970" s="11">
        <f t="shared" si="0"/>
        <v>0.50946895910003365</v>
      </c>
      <c r="C970" s="18">
        <f>IF(D969=0,0,MIN(MAX(H969,0),((MAX(0,'1-Input'!$B$10-IF($A970&gt;='1-Input'!$C$12,'1-Input'!$B$12,0))-MIN(MAX(G969,0),MAX(0,'1-Input'!$B$10-IF($A970&gt;='1-Input'!$C$12,'1-Input'!$B$12,0))))+MAX(0,0*'1-Input'!$B$10-(G969-MIN(MAX(G969,0),MAX(0,'1-Input'!$B$10-IF($A970&gt;='1-Input'!$C$12,'1-Input'!$B$12,0))))))*(1/(1-'P-Parametri'!$B$6*B970))))</f>
        <v>22823.20588597373</v>
      </c>
      <c r="D970" s="10">
        <f>IF(AND(D969=1,G969+H969&gt;0.000001,C970*(1-'P-Parametri'!$B$6*B970)&gt;=(MAX(0,'1-Input'!$B$10-IF($A970&gt;='1-Input'!$C$12,'1-Input'!$B$12,0))-MIN(MAX(G969,0),MAX(0,'1-Input'!$B$10-IF($A970&gt;='1-Input'!$C$12,'1-Input'!$B$12,0))))-0.000001),1,0)</f>
        <v>1</v>
      </c>
      <c r="E970" s="18">
        <f>IF(D970=0,G969,(G969-MAX(0,'1-Input'!$B$10-IF($A970&gt;='1-Input'!$C$12,'1-Input'!$B$12,0))+C970*(1-'P-Parametri'!$B$6*B970))*(1+'1-Input'!$B$27))</f>
        <v>3.6248820833861826E-12</v>
      </c>
      <c r="F970" s="18">
        <f t="shared" si="1"/>
        <v>204702.11529154534</v>
      </c>
      <c r="G970" s="18">
        <f>IF(D970=0,G969,E970-'P-Parametri'!$B$8*(F970+E970)+MIN(MAX(F970,0),'P-Parametri'!$B$8*(F970+E970)))</f>
        <v>3.637978807091713E-12</v>
      </c>
      <c r="H970" s="18">
        <f>IF(D970=0,H969,F970-MIN(MAX(F970,0),'P-Parametri'!$B$8*(F970+E970)))</f>
        <v>204292.71106096226</v>
      </c>
      <c r="I970" s="18">
        <f t="shared" si="2"/>
        <v>97488.098726588985</v>
      </c>
      <c r="J970" s="18">
        <f>IF(D970=0,J969,J969+C970*B970*'P-Parametri'!$B$6)</f>
        <v>38609.331985017743</v>
      </c>
      <c r="K970" s="18">
        <f>IF(D970=0,K969,K969+'P-Parametri'!$B$8*(F970+E970))</f>
        <v>11820.809612242538</v>
      </c>
    </row>
    <row r="971" spans="1:11">
      <c r="A971" s="10">
        <f>19</f>
        <v>19</v>
      </c>
      <c r="B971" s="11">
        <f t="shared" si="0"/>
        <v>0.52280187472034723</v>
      </c>
      <c r="C971" s="18">
        <f>IF(D970=0,0,MIN(MAX(H970,0),((MAX(0,'1-Input'!$B$10-IF($A971&gt;='1-Input'!$C$12,'1-Input'!$B$12,0))-MIN(MAX(G970,0),MAX(0,'1-Input'!$B$10-IF($A971&gt;='1-Input'!$C$12,'1-Input'!$B$12,0))))+MAX(0,0*'1-Input'!$B$10-(G970-MIN(MAX(G970,0),MAX(0,'1-Input'!$B$10-IF($A971&gt;='1-Input'!$C$12,'1-Input'!$B$12,0))))))*(1/(1-'P-Parametri'!$B$6*B971))))</f>
        <v>22914.770029909843</v>
      </c>
      <c r="D971" s="10">
        <f>IF(AND(D970=1,G970+H970&gt;0.000001,C971*(1-'P-Parametri'!$B$6*B971)&gt;=(MAX(0,'1-Input'!$B$10-IF($A971&gt;='1-Input'!$C$12,'1-Input'!$B$12,0))-MIN(MAX(G970,0),MAX(0,'1-Input'!$B$10-IF($A971&gt;='1-Input'!$C$12,'1-Input'!$B$12,0))))-0.000001),1,0)</f>
        <v>1</v>
      </c>
      <c r="E971" s="18">
        <f>IF(D971=0,G970,(G970-MAX(0,'1-Input'!$B$10-IF($A971&gt;='1-Input'!$C$12,'1-Input'!$B$12,0))+C971*(1-'P-Parametri'!$B$6*B971))*(1+'1-Input'!$B$27))</f>
        <v>0</v>
      </c>
      <c r="F971" s="18">
        <f t="shared" si="1"/>
        <v>186819.27926198399</v>
      </c>
      <c r="G971" s="18">
        <f>IF(D971=0,G970,E971-'P-Parametri'!$B$8*(F971+E971)+MIN(MAX(F971,0),'P-Parametri'!$B$8*(F971+E971)))</f>
        <v>0</v>
      </c>
      <c r="H971" s="18">
        <f>IF(D971=0,H970,F971-MIN(MAX(F971,0),'P-Parametri'!$B$8*(F971+E971)))</f>
        <v>186445.64070346003</v>
      </c>
      <c r="I971" s="18">
        <f t="shared" si="2"/>
        <v>86553.21342710164</v>
      </c>
      <c r="J971" s="18">
        <f>IF(D971=0,J970,J970+C971*B971*'P-Parametri'!$B$6)</f>
        <v>41724.102014927594</v>
      </c>
      <c r="K971" s="18">
        <f>IF(D971=0,K970,K970+'P-Parametri'!$B$8*(F971+E971))</f>
        <v>12194.448170766505</v>
      </c>
    </row>
    <row r="972" spans="1:11">
      <c r="A972" s="10">
        <f>20</f>
        <v>20</v>
      </c>
      <c r="B972" s="11">
        <f t="shared" si="0"/>
        <v>0.53577239403111776</v>
      </c>
      <c r="C972" s="18">
        <f>IF(D971=0,0,MIN(MAX(H971,0),((MAX(0,'1-Input'!$B$10-IF($A972&gt;='1-Input'!$C$12,'1-Input'!$B$12,0))-MIN(MAX(G971,0),MAX(0,'1-Input'!$B$10-IF($A972&gt;='1-Input'!$C$12,'1-Input'!$B$12,0))))+MAX(0,0*'1-Input'!$B$10-(G971-MIN(MAX(G971,0),MAX(0,'1-Input'!$B$10-IF($A972&gt;='1-Input'!$C$12,'1-Input'!$B$12,0))))))*(1/(1-'P-Parametri'!$B$6*B972))))</f>
        <v>23004.553177705166</v>
      </c>
      <c r="D972" s="10">
        <f>IF(AND(D971=1,G971+H971&gt;0.000001,C972*(1-'P-Parametri'!$B$6*B972)&gt;=(MAX(0,'1-Input'!$B$10-IF($A972&gt;='1-Input'!$C$12,'1-Input'!$B$12,0))-MIN(MAX(G971,0),MAX(0,'1-Input'!$B$10-IF($A972&gt;='1-Input'!$C$12,'1-Input'!$B$12,0))))-0.000001),1,0)</f>
        <v>1</v>
      </c>
      <c r="E972" s="18">
        <f>IF(D972=0,G971,(G971-MAX(0,'1-Input'!$B$10-IF($A972&gt;='1-Input'!$C$12,'1-Input'!$B$12,0))+C972*(1-'P-Parametri'!$B$6*B972))*(1+'1-Input'!$B$27))</f>
        <v>0</v>
      </c>
      <c r="F972" s="18">
        <f t="shared" si="1"/>
        <v>168344.32015152753</v>
      </c>
      <c r="G972" s="18">
        <f>IF(D972=0,G971,E972-'P-Parametri'!$B$8*(F972+E972)+MIN(MAX(F972,0),'P-Parametri'!$B$8*(F972+E972)))</f>
        <v>0</v>
      </c>
      <c r="H972" s="18">
        <f>IF(D972=0,H971,F972-MIN(MAX(F972,0),'P-Parametri'!$B$8*(F972+E972)))</f>
        <v>168007.63151122446</v>
      </c>
      <c r="I972" s="18">
        <f t="shared" si="2"/>
        <v>75873.864779031734</v>
      </c>
      <c r="J972" s="18">
        <f>IF(D972=0,J971,J971+C972*B972*'P-Parametri'!$B$6)</f>
        <v>44928.655192632759</v>
      </c>
      <c r="K972" s="18">
        <f>IF(D972=0,K971,K971+'P-Parametri'!$B$8*(F972+E972))</f>
        <v>12531.13681106956</v>
      </c>
    </row>
    <row r="973" spans="1:11">
      <c r="A973" s="10">
        <f>21</f>
        <v>21</v>
      </c>
      <c r="B973" s="11">
        <f t="shared" si="0"/>
        <v>0.54839036717232303</v>
      </c>
      <c r="C973" s="18">
        <f>IF(D972=0,0,MIN(MAX(H972,0),((MAX(0,'1-Input'!$B$10-IF($A973&gt;='1-Input'!$C$12,'1-Input'!$B$12,0))-MIN(MAX(G972,0),MAX(0,'1-Input'!$B$10-IF($A973&gt;='1-Input'!$C$12,'1-Input'!$B$12,0))))+MAX(0,0*'1-Input'!$B$10-(G972-MIN(MAX(G972,0),MAX(0,'1-Input'!$B$10-IF($A973&gt;='1-Input'!$C$12,'1-Input'!$B$12,0))))))*(1/(1-'P-Parametri'!$B$6*B973))))</f>
        <v>23092.573690992969</v>
      </c>
      <c r="D973" s="10">
        <f>IF(AND(D972=1,G972+H972&gt;0.000001,C973*(1-'P-Parametri'!$B$6*B973)&gt;=(MAX(0,'1-Input'!$B$10-IF($A973&gt;='1-Input'!$C$12,'1-Input'!$B$12,0))-MIN(MAX(G972,0),MAX(0,'1-Input'!$B$10-IF($A973&gt;='1-Input'!$C$12,'1-Input'!$B$12,0))))-0.000001),1,0)</f>
        <v>1</v>
      </c>
      <c r="E973" s="18">
        <f>IF(D973=0,G972,(G972-MAX(0,'1-Input'!$B$10-IF($A973&gt;='1-Input'!$C$12,'1-Input'!$B$12,0))+C973*(1-'P-Parametri'!$B$6*B973))*(1+'1-Input'!$B$27))</f>
        <v>3.6248820833861826E-12</v>
      </c>
      <c r="F973" s="18">
        <f t="shared" si="1"/>
        <v>149262.50955483844</v>
      </c>
      <c r="G973" s="18">
        <f>IF(D973=0,G972,E973-'P-Parametri'!$B$8*(F973+E973)+MIN(MAX(F973,0),'P-Parametri'!$B$8*(F973+E973)))</f>
        <v>3.637978807091713E-12</v>
      </c>
      <c r="H973" s="18">
        <f>IF(D973=0,H972,F973-MIN(MAX(F973,0),'P-Parametri'!$B$8*(F973+E973)))</f>
        <v>148963.98453572876</v>
      </c>
      <c r="I973" s="18">
        <f t="shared" si="2"/>
        <v>65445.036053396325</v>
      </c>
      <c r="J973" s="18">
        <f>IF(D973=0,J972,J972+C973*B973*'P-Parametri'!$B$6)</f>
        <v>48221.228883625728</v>
      </c>
      <c r="K973" s="18">
        <f>IF(D973=0,K972,K972+'P-Parametri'!$B$8*(F973+E973))</f>
        <v>12829.661830179237</v>
      </c>
    </row>
    <row r="974" spans="1:11">
      <c r="A974" s="10">
        <f>22</f>
        <v>22</v>
      </c>
      <c r="B974" s="11">
        <f t="shared" si="0"/>
        <v>0.56066537655147475</v>
      </c>
      <c r="C974" s="18">
        <f>IF(D973=0,0,MIN(MAX(H973,0),((MAX(0,'1-Input'!$B$10-IF($A974&gt;='1-Input'!$C$12,'1-Input'!$B$12,0))-MIN(MAX(G973,0),MAX(0,'1-Input'!$B$10-IF($A974&gt;='1-Input'!$C$12,'1-Input'!$B$12,0))))+MAX(0,0*'1-Input'!$B$10-(G973-MIN(MAX(G973,0),MAX(0,'1-Input'!$B$10-IF($A974&gt;='1-Input'!$C$12,'1-Input'!$B$12,0))))))*(1/(1-'P-Parametri'!$B$6*B974))))</f>
        <v>23178.850529663468</v>
      </c>
      <c r="D974" s="10">
        <f>IF(AND(D973=1,G973+H973&gt;0.000001,C974*(1-'P-Parametri'!$B$6*B974)&gt;=(MAX(0,'1-Input'!$B$10-IF($A974&gt;='1-Input'!$C$12,'1-Input'!$B$12,0))-MIN(MAX(G973,0),MAX(0,'1-Input'!$B$10-IF($A974&gt;='1-Input'!$C$12,'1-Input'!$B$12,0))))-0.000001),1,0)</f>
        <v>1</v>
      </c>
      <c r="E974" s="18">
        <f>IF(D974=0,G973,(G973-MAX(0,'1-Input'!$B$10-IF($A974&gt;='1-Input'!$C$12,'1-Input'!$B$12,0))+C974*(1-'P-Parametri'!$B$6*B974))*(1+'1-Input'!$B$27))</f>
        <v>0</v>
      </c>
      <c r="F974" s="18">
        <f t="shared" si="1"/>
        <v>129558.68802624726</v>
      </c>
      <c r="G974" s="18">
        <f>IF(D974=0,G973,E974-'P-Parametri'!$B$8*(F974+E974)+MIN(MAX(F974,0),'P-Parametri'!$B$8*(F974+E974)))</f>
        <v>0</v>
      </c>
      <c r="H974" s="18">
        <f>IF(D974=0,H973,F974-MIN(MAX(F974,0),'P-Parametri'!$B$8*(F974+E974)))</f>
        <v>129299.57065019476</v>
      </c>
      <c r="I974" s="18">
        <f t="shared" si="2"/>
        <v>55261.764483976978</v>
      </c>
      <c r="J974" s="18">
        <f>IF(D974=0,J973,J973+C974*B974*'P-Parametri'!$B$6)</f>
        <v>51600.079413289197</v>
      </c>
      <c r="K974" s="18">
        <f>IF(D974=0,K973,K973+'P-Parametri'!$B$8*(F974+E974))</f>
        <v>13088.779206231731</v>
      </c>
    </row>
    <row r="975" spans="1:11">
      <c r="A975" s="10">
        <f>23</f>
        <v>23</v>
      </c>
      <c r="B975" s="11">
        <f t="shared" si="0"/>
        <v>0.57260674412074131</v>
      </c>
      <c r="C975" s="18">
        <f>IF(D974=0,0,MIN(MAX(H974,0),((MAX(0,'1-Input'!$B$10-IF($A975&gt;='1-Input'!$C$12,'1-Input'!$B$12,0))-MIN(MAX(G974,0),MAX(0,'1-Input'!$B$10-IF($A975&gt;='1-Input'!$C$12,'1-Input'!$B$12,0))))+MAX(0,0*'1-Input'!$B$10-(G974-MIN(MAX(G974,0),MAX(0,'1-Input'!$B$10-IF($A975&gt;='1-Input'!$C$12,'1-Input'!$B$12,0))))))*(1/(1-'P-Parametri'!$B$6*B975))))</f>
        <v>10219.448540413225</v>
      </c>
      <c r="D975" s="10">
        <f>IF(AND(D974=1,G974+H974&gt;0.000001,C975*(1-'P-Parametri'!$B$6*B975)&gt;=(MAX(0,'1-Input'!$B$10-IF($A975&gt;='1-Input'!$C$12,'1-Input'!$B$12,0))-MIN(MAX(G974,0),MAX(0,'1-Input'!$B$10-IF($A975&gt;='1-Input'!$C$12,'1-Input'!$B$12,0))))-0.000001),1,0)</f>
        <v>1</v>
      </c>
      <c r="E975" s="18">
        <f>IF(D975=0,G974,(G974-MAX(0,'1-Input'!$B$10-IF($A975&gt;='1-Input'!$C$12,'1-Input'!$B$12,0))+C975*(1-'P-Parametri'!$B$6*B975))*(1+'1-Input'!$B$27))</f>
        <v>0</v>
      </c>
      <c r="F975" s="18">
        <f t="shared" si="1"/>
        <v>122652.52577307497</v>
      </c>
      <c r="G975" s="18">
        <f>IF(D975=0,G974,E975-'P-Parametri'!$B$8*(F975+E975)+MIN(MAX(F975,0),'P-Parametri'!$B$8*(F975+E975)))</f>
        <v>0</v>
      </c>
      <c r="H975" s="18">
        <f>IF(D975=0,H974,F975-MIN(MAX(F975,0),'P-Parametri'!$B$8*(F975+E975)))</f>
        <v>122407.22072152882</v>
      </c>
      <c r="I975" s="18">
        <f t="shared" si="2"/>
        <v>50894.041098999231</v>
      </c>
      <c r="J975" s="18">
        <f>IF(D975=0,J974,J974+C975*B975*'P-Parametri'!$B$6)</f>
        <v>53121.527953702418</v>
      </c>
      <c r="K975" s="18">
        <f>IF(D975=0,K974,K974+'P-Parametri'!$B$8*(F975+E975))</f>
        <v>13334.08425777788</v>
      </c>
    </row>
    <row r="976" spans="1:11">
      <c r="A976" s="10">
        <f>24</f>
        <v>24</v>
      </c>
      <c r="B976" s="11">
        <f t="shared" si="0"/>
        <v>0.58422353845627306</v>
      </c>
      <c r="C976" s="18">
        <f>IF(D975=0,0,MIN(MAX(H975,0),((MAX(0,'1-Input'!$B$10-IF($A976&gt;='1-Input'!$C$12,'1-Input'!$B$12,0))-MIN(MAX(G975,0),MAX(0,'1-Input'!$B$10-IF($A976&gt;='1-Input'!$C$12,'1-Input'!$B$12,0))))+MAX(0,0*'1-Input'!$B$10-(G975-MIN(MAX(G975,0),MAX(0,'1-Input'!$B$10-IF($A976&gt;='1-Input'!$C$12,'1-Input'!$B$12,0))))))*(1/(1-'P-Parametri'!$B$6*B976))))</f>
        <v>10255.843319184673</v>
      </c>
      <c r="D976" s="10">
        <f>IF(AND(D975=1,G975+H975&gt;0.000001,C976*(1-'P-Parametri'!$B$6*B976)&gt;=(MAX(0,'1-Input'!$B$10-IF($A976&gt;='1-Input'!$C$12,'1-Input'!$B$12,0))-MIN(MAX(G975,0),MAX(0,'1-Input'!$B$10-IF($A976&gt;='1-Input'!$C$12,'1-Input'!$B$12,0))))-0.000001),1,0)</f>
        <v>1</v>
      </c>
      <c r="E976" s="18">
        <f>IF(D976=0,G975,(G975-MAX(0,'1-Input'!$B$10-IF($A976&gt;='1-Input'!$C$12,'1-Input'!$B$12,0))+C976*(1-'P-Parametri'!$B$6*B976))*(1+'1-Input'!$B$27))</f>
        <v>1.8124410416930913E-12</v>
      </c>
      <c r="F976" s="18">
        <f t="shared" si="1"/>
        <v>115515.91872441449</v>
      </c>
      <c r="G976" s="18">
        <f>IF(D976=0,G975,E976-'P-Parametri'!$B$8*(F976+E976)+MIN(MAX(F976,0),'P-Parametri'!$B$8*(F976+E976)))</f>
        <v>1.8189894035458565E-12</v>
      </c>
      <c r="H976" s="18">
        <f>IF(D976=0,H975,F976-MIN(MAX(F976,0),'P-Parametri'!$B$8*(F976+E976)))</f>
        <v>115284.88688696566</v>
      </c>
      <c r="I976" s="18">
        <f t="shared" si="2"/>
        <v>46629.902853601758</v>
      </c>
      <c r="J976" s="18">
        <f>IF(D976=0,J975,J975+C976*B976*'P-Parametri'!$B$6)</f>
        <v>54679.371272887089</v>
      </c>
      <c r="K976" s="18">
        <f>IF(D976=0,K975,K975+'P-Parametri'!$B$8*(F976+E976))</f>
        <v>13565.116095226709</v>
      </c>
    </row>
    <row r="977" spans="1:11">
      <c r="A977" s="10">
        <f>25</f>
        <v>25</v>
      </c>
      <c r="B977" s="11">
        <f t="shared" si="0"/>
        <v>0.59552458164510869</v>
      </c>
      <c r="C977" s="18">
        <f>IF(D976=0,0,MIN(MAX(H976,0),((MAX(0,'1-Input'!$B$10-IF($A977&gt;='1-Input'!$C$12,'1-Input'!$B$12,0))-MIN(MAX(G976,0),MAX(0,'1-Input'!$B$10-IF($A977&gt;='1-Input'!$C$12,'1-Input'!$B$12,0))))+MAX(0,0*'1-Input'!$B$10-(G976-MIN(MAX(G976,0),MAX(0,'1-Input'!$B$10-IF($A977&gt;='1-Input'!$C$12,'1-Input'!$B$12,0))))))*(1/(1-'P-Parametri'!$B$6*B977))))</f>
        <v>10291.498485879158</v>
      </c>
      <c r="D977" s="10">
        <f>IF(AND(D976=1,G976+H976&gt;0.000001,C977*(1-'P-Parametri'!$B$6*B977)&gt;=(MAX(0,'1-Input'!$B$10-IF($A977&gt;='1-Input'!$C$12,'1-Input'!$B$12,0))-MIN(MAX(G976,0),MAX(0,'1-Input'!$B$10-IF($A977&gt;='1-Input'!$C$12,'1-Input'!$B$12,0))))-0.000001),1,0)</f>
        <v>1</v>
      </c>
      <c r="E977" s="18">
        <f>IF(D977=0,G976,(G976-MAX(0,'1-Input'!$B$10-IF($A977&gt;='1-Input'!$C$12,'1-Input'!$B$12,0))+C977*(1-'P-Parametri'!$B$6*B977))*(1+'1-Input'!$B$27))</f>
        <v>0</v>
      </c>
      <c r="F977" s="18">
        <f t="shared" si="1"/>
        <v>108143.19005311909</v>
      </c>
      <c r="G977" s="18">
        <f>IF(D977=0,G976,E977-'P-Parametri'!$B$8*(F977+E977)+MIN(MAX(F977,0),'P-Parametri'!$B$8*(F977+E977)))</f>
        <v>0</v>
      </c>
      <c r="H977" s="18">
        <f>IF(D977=0,H976,F977-MIN(MAX(F977,0),'P-Parametri'!$B$8*(F977+E977)))</f>
        <v>107926.90367301286</v>
      </c>
      <c r="I977" s="18">
        <f t="shared" si="2"/>
        <v>42467.244698027054</v>
      </c>
      <c r="J977" s="18">
        <f>IF(D977=0,J976,J976+C977*B977*'P-Parametri'!$B$6)</f>
        <v>56272.869758766246</v>
      </c>
      <c r="K977" s="18">
        <f>IF(D977=0,K976,K976+'P-Parametri'!$B$8*(F977+E977))</f>
        <v>13781.402475332947</v>
      </c>
    </row>
    <row r="978" spans="1:11">
      <c r="A978" s="10">
        <f>26</f>
        <v>26</v>
      </c>
      <c r="B978" s="11">
        <f t="shared" si="0"/>
        <v>0.60651845598489085</v>
      </c>
      <c r="C978" s="18">
        <f>IF(D977=0,0,MIN(MAX(H977,0),((MAX(0,'1-Input'!$B$10-IF($A978&gt;='1-Input'!$C$12,'1-Input'!$B$12,0))-MIN(MAX(G977,0),MAX(0,'1-Input'!$B$10-IF($A978&gt;='1-Input'!$C$12,'1-Input'!$B$12,0))))+MAX(0,0*'1-Input'!$B$10-(G977-MIN(MAX(G977,0),MAX(0,'1-Input'!$B$10-IF($A978&gt;='1-Input'!$C$12,'1-Input'!$B$12,0))))))*(1/(1-'P-Parametri'!$B$6*B978))))</f>
        <v>10326.423231257961</v>
      </c>
      <c r="D978" s="10">
        <f>IF(AND(D977=1,G977+H977&gt;0.000001,C978*(1-'P-Parametri'!$B$6*B978)&gt;=(MAX(0,'1-Input'!$B$10-IF($A978&gt;='1-Input'!$C$12,'1-Input'!$B$12,0))-MIN(MAX(G977,0),MAX(0,'1-Input'!$B$10-IF($A978&gt;='1-Input'!$C$12,'1-Input'!$B$12,0))))-0.000001),1,0)</f>
        <v>1</v>
      </c>
      <c r="E978" s="18">
        <f>IF(D978=0,G977,(G977-MAX(0,'1-Input'!$B$10-IF($A978&gt;='1-Input'!$C$12,'1-Input'!$B$12,0))+C978*(1-'P-Parametri'!$B$6*B978))*(1+'1-Input'!$B$27))</f>
        <v>-1.8124410416930913E-12</v>
      </c>
      <c r="F978" s="18">
        <f t="shared" si="1"/>
        <v>100528.49485500755</v>
      </c>
      <c r="G978" s="18">
        <f>IF(D978=0,G977,E978-'P-Parametri'!$B$8*(F978+E978)+MIN(MAX(F978,0),'P-Parametri'!$B$8*(F978+E978)))</f>
        <v>-1.8189894035458565E-12</v>
      </c>
      <c r="H978" s="18">
        <f>IF(D978=0,H977,F978-MIN(MAX(F978,0),'P-Parametri'!$B$8*(F978+E978)))</f>
        <v>100327.43786529753</v>
      </c>
      <c r="I978" s="18">
        <f t="shared" si="2"/>
        <v>38403.98774083818</v>
      </c>
      <c r="J978" s="18">
        <f>IF(D978=0,J977,J977+C978*B978*'P-Parametri'!$B$6)</f>
        <v>57901.292990024209</v>
      </c>
      <c r="K978" s="18">
        <f>IF(D978=0,K977,K977+'P-Parametri'!$B$8*(F978+E978))</f>
        <v>13982.459465042963</v>
      </c>
    </row>
    <row r="979" spans="1:11">
      <c r="A979" s="10">
        <f>27</f>
        <v>27</v>
      </c>
      <c r="B979" s="11">
        <f t="shared" si="0"/>
        <v>0.61721351050147955</v>
      </c>
      <c r="C979" s="18">
        <f>IF(D978=0,0,MIN(MAX(H978,0),((MAX(0,'1-Input'!$B$10-IF($A979&gt;='1-Input'!$C$12,'1-Input'!$B$12,0))-MIN(MAX(G978,0),MAX(0,'1-Input'!$B$10-IF($A979&gt;='1-Input'!$C$12,'1-Input'!$B$12,0))))+MAX(0,0*'1-Input'!$B$10-(G978-MIN(MAX(G978,0),MAX(0,'1-Input'!$B$10-IF($A979&gt;='1-Input'!$C$12,'1-Input'!$B$12,0))))))*(1/(1-'P-Parametri'!$B$6*B979))))</f>
        <v>10360.626916659096</v>
      </c>
      <c r="D979" s="10">
        <f>IF(AND(D978=1,G978+H978&gt;0.000001,C979*(1-'P-Parametri'!$B$6*B979)&gt;=(MAX(0,'1-Input'!$B$10-IF($A979&gt;='1-Input'!$C$12,'1-Input'!$B$12,0))-MIN(MAX(G978,0),MAX(0,'1-Input'!$B$10-IF($A979&gt;='1-Input'!$C$12,'1-Input'!$B$12,0))))-0.000001),1,0)</f>
        <v>1</v>
      </c>
      <c r="E979" s="18">
        <f>IF(D979=0,G978,(G978-MAX(0,'1-Input'!$B$10-IF($A979&gt;='1-Input'!$C$12,'1-Input'!$B$12,0))+C979*(1-'P-Parametri'!$B$6*B979))*(1+'1-Input'!$B$27))</f>
        <v>0</v>
      </c>
      <c r="F979" s="18">
        <f t="shared" si="1"/>
        <v>92665.815277097587</v>
      </c>
      <c r="G979" s="18">
        <f>IF(D979=0,G978,E979-'P-Parametri'!$B$8*(F979+E979)+MIN(MAX(F979,0),'P-Parametri'!$B$8*(F979+E979)))</f>
        <v>0</v>
      </c>
      <c r="H979" s="18">
        <f>IF(D979=0,H978,F979-MIN(MAX(F979,0),'P-Parametri'!$B$8*(F979+E979)))</f>
        <v>92480.483646543391</v>
      </c>
      <c r="I979" s="18">
        <f t="shared" si="2"/>
        <v>34438.079734406361</v>
      </c>
      <c r="J979" s="18">
        <f>IF(D979=0,J978,J978+C979*B979*'P-Parametri'!$B$6)</f>
        <v>59563.919906683303</v>
      </c>
      <c r="K979" s="18">
        <f>IF(D979=0,K978,K978+'P-Parametri'!$B$8*(F979+E979))</f>
        <v>14167.791095597158</v>
      </c>
    </row>
    <row r="980" spans="1:11">
      <c r="A980" s="10">
        <f>28</f>
        <v>28</v>
      </c>
      <c r="B980" s="11">
        <f t="shared" si="0"/>
        <v>0.62761786728941338</v>
      </c>
      <c r="C980" s="18">
        <f>IF(D979=0,0,MIN(MAX(H979,0),((MAX(0,'1-Input'!$B$10-IF($A980&gt;='1-Input'!$C$12,'1-Input'!$B$12,0))-MIN(MAX(G979,0),MAX(0,'1-Input'!$B$10-IF($A980&gt;='1-Input'!$C$12,'1-Input'!$B$12,0))))+MAX(0,0*'1-Input'!$B$10-(G979-MIN(MAX(G979,0),MAX(0,'1-Input'!$B$10-IF($A980&gt;='1-Input'!$C$12,'1-Input'!$B$12,0))))))*(1/(1-'P-Parametri'!$B$6*B980))))</f>
        <v>10394.119057090478</v>
      </c>
      <c r="D980" s="10">
        <f>IF(AND(D979=1,G979+H979&gt;0.000001,C980*(1-'P-Parametri'!$B$6*B980)&gt;=(MAX(0,'1-Input'!$B$10-IF($A980&gt;='1-Input'!$C$12,'1-Input'!$B$12,0))-MIN(MAX(G979,0),MAX(0,'1-Input'!$B$10-IF($A980&gt;='1-Input'!$C$12,'1-Input'!$B$12,0))))-0.000001),1,0)</f>
        <v>1</v>
      </c>
      <c r="E980" s="18">
        <f>IF(D980=0,G979,(G979-MAX(0,'1-Input'!$B$10-IF($A980&gt;='1-Input'!$C$12,'1-Input'!$B$12,0))+C980*(1-'P-Parametri'!$B$6*B980))*(1+'1-Input'!$B$27))</f>
        <v>1.8124410416930913E-12</v>
      </c>
      <c r="F980" s="18">
        <f t="shared" si="1"/>
        <v>84548.95552713651</v>
      </c>
      <c r="G980" s="18">
        <f>IF(D980=0,G979,E980-'P-Parametri'!$B$8*(F980+E980)+MIN(MAX(F980,0),'P-Parametri'!$B$8*(F980+E980)))</f>
        <v>1.8189894035458565E-12</v>
      </c>
      <c r="H980" s="18">
        <f>IF(D980=0,H979,F980-MIN(MAX(F980,0),'P-Parametri'!$B$8*(F980+E980)))</f>
        <v>84379.857616082241</v>
      </c>
      <c r="I980" s="18">
        <f t="shared" si="2"/>
        <v>30567.495512279256</v>
      </c>
      <c r="J980" s="18">
        <f>IF(D980=0,J979,J979+C980*B980*'P-Parametri'!$B$6)</f>
        <v>61260.038963773783</v>
      </c>
      <c r="K980" s="18">
        <f>IF(D980=0,K979,K979+'P-Parametri'!$B$8*(F980+E980))</f>
        <v>14336.889006651432</v>
      </c>
    </row>
    <row r="981" spans="1:11">
      <c r="A981" s="10">
        <f>29</f>
        <v>29</v>
      </c>
      <c r="B981" s="11">
        <f t="shared" si="0"/>
        <v>0.63773942768003322</v>
      </c>
      <c r="C981" s="18">
        <f>IF(D980=0,0,MIN(MAX(H980,0),((MAX(0,'1-Input'!$B$10-IF($A981&gt;='1-Input'!$C$12,'1-Input'!$B$12,0))-MIN(MAX(G980,0),MAX(0,'1-Input'!$B$10-IF($A981&gt;='1-Input'!$C$12,'1-Input'!$B$12,0))))+MAX(0,0*'1-Input'!$B$10-(G980-MIN(MAX(G980,0),MAX(0,'1-Input'!$B$10-IF($A981&gt;='1-Input'!$C$12,'1-Input'!$B$12,0))))))*(1/(1-'P-Parametri'!$B$6*B981))))</f>
        <v>10426.909304864539</v>
      </c>
      <c r="D981" s="10">
        <f>IF(AND(D980=1,G980+H980&gt;0.000001,C981*(1-'P-Parametri'!$B$6*B981)&gt;=(MAX(0,'1-Input'!$B$10-IF($A981&gt;='1-Input'!$C$12,'1-Input'!$B$12,0))-MIN(MAX(G980,0),MAX(0,'1-Input'!$B$10-IF($A981&gt;='1-Input'!$C$12,'1-Input'!$B$12,0))))-0.000001),1,0)</f>
        <v>1</v>
      </c>
      <c r="E981" s="18">
        <f>IF(D981=0,G980,(G980-MAX(0,'1-Input'!$B$10-IF($A981&gt;='1-Input'!$C$12,'1-Input'!$B$12,0))+C981*(1-'P-Parametri'!$B$6*B981))*(1+'1-Input'!$B$27))</f>
        <v>0</v>
      </c>
      <c r="F981" s="18">
        <f t="shared" si="1"/>
        <v>76171.536760554227</v>
      </c>
      <c r="G981" s="18">
        <f>IF(D981=0,G980,E981-'P-Parametri'!$B$8*(F981+E981)+MIN(MAX(F981,0),'P-Parametri'!$B$8*(F981+E981)))</f>
        <v>0</v>
      </c>
      <c r="H981" s="18">
        <f>IF(D981=0,H980,F981-MIN(MAX(F981,0),'P-Parametri'!$B$8*(F981+E981)))</f>
        <v>76019.193687033112</v>
      </c>
      <c r="I981" s="18">
        <f t="shared" si="2"/>
        <v>26790.23737997064</v>
      </c>
      <c r="J981" s="18">
        <f>IF(D981=0,J980,J980+C981*B981*'P-Parametri'!$B$6)</f>
        <v>62988.94826863832</v>
      </c>
      <c r="K981" s="18">
        <f>IF(D981=0,K980,K980+'P-Parametri'!$B$8*(F981+E981))</f>
        <v>14489.23208017254</v>
      </c>
    </row>
    <row r="982" spans="1:11">
      <c r="A982" s="10">
        <f>30</f>
        <v>30</v>
      </c>
      <c r="B982" s="11">
        <f t="shared" si="0"/>
        <v>0.64758587824195302</v>
      </c>
      <c r="C982" s="18">
        <f>IF(D981=0,0,MIN(MAX(H981,0),((MAX(0,'1-Input'!$B$10-IF($A982&gt;='1-Input'!$C$12,'1-Input'!$B$12,0))-MIN(MAX(G981,0),MAX(0,'1-Input'!$B$10-IF($A982&gt;='1-Input'!$C$12,'1-Input'!$B$12,0))))+MAX(0,0*'1-Input'!$B$10-(G981-MIN(MAX(G981,0),MAX(0,'1-Input'!$B$10-IF($A982&gt;='1-Input'!$C$12,'1-Input'!$B$12,0))))))*(1/(1-'P-Parametri'!$B$6*B982))))</f>
        <v>10459.007433781586</v>
      </c>
      <c r="D982" s="10">
        <f>IF(AND(D981=1,G981+H981&gt;0.000001,C982*(1-'P-Parametri'!$B$6*B982)&gt;=(MAX(0,'1-Input'!$B$10-IF($A982&gt;='1-Input'!$C$12,'1-Input'!$B$12,0))-MIN(MAX(G981,0),MAX(0,'1-Input'!$B$10-IF($A982&gt;='1-Input'!$C$12,'1-Input'!$B$12,0))))-0.000001),1,0)</f>
        <v>1</v>
      </c>
      <c r="E982" s="18">
        <f>IF(D982=0,G981,(G981-MAX(0,'1-Input'!$B$10-IF($A982&gt;='1-Input'!$C$12,'1-Input'!$B$12,0))+C982*(1-'P-Parametri'!$B$6*B982))*(1+'1-Input'!$B$27))</f>
        <v>-1.8124410416930913E-12</v>
      </c>
      <c r="F982" s="18">
        <f t="shared" si="1"/>
        <v>67526.991840849063</v>
      </c>
      <c r="G982" s="18">
        <f>IF(D982=0,G981,E982-'P-Parametri'!$B$8*(F982+E982)+MIN(MAX(F982,0),'P-Parametri'!$B$8*(F982+E982)))</f>
        <v>-1.8189894035458565E-12</v>
      </c>
      <c r="H982" s="18">
        <f>IF(D982=0,H981,F982-MIN(MAX(F982,0),'P-Parametri'!$B$8*(F982+E982)))</f>
        <v>67391.937857167359</v>
      </c>
      <c r="I982" s="18">
        <f t="shared" si="2"/>
        <v>23104.335460733619</v>
      </c>
      <c r="J982" s="18">
        <f>IF(D982=0,J981,J981+C982*B982*'P-Parametri'!$B$6)</f>
        <v>64749.955702419909</v>
      </c>
      <c r="K982" s="18">
        <f>IF(D982=0,K981,K981+'P-Parametri'!$B$8*(F982+E982))</f>
        <v>14624.286063854239</v>
      </c>
    </row>
    <row r="983" spans="1:11">
      <c r="A983" s="10">
        <f>31</f>
        <v>31</v>
      </c>
      <c r="B983" s="11">
        <f t="shared" si="0"/>
        <v>0.65716469661843391</v>
      </c>
      <c r="C983" s="18">
        <f>IF(D982=0,0,MIN(MAX(H982,0),((MAX(0,'1-Input'!$B$10-IF($A983&gt;='1-Input'!$C$12,'1-Input'!$B$12,0))-MIN(MAX(G982,0),MAX(0,'1-Input'!$B$10-IF($A983&gt;='1-Input'!$C$12,'1-Input'!$B$12,0))))+MAX(0,0*'1-Input'!$B$10-(G982-MIN(MAX(G982,0),MAX(0,'1-Input'!$B$10-IF($A983&gt;='1-Input'!$C$12,'1-Input'!$B$12,0))))))*(1/(1-'P-Parametri'!$B$6*B983))))</f>
        <v>10490.423323867339</v>
      </c>
      <c r="D983" s="10">
        <f>IF(AND(D982=1,G982+H982&gt;0.000001,C983*(1-'P-Parametri'!$B$6*B983)&gt;=(MAX(0,'1-Input'!$B$10-IF($A983&gt;='1-Input'!$C$12,'1-Input'!$B$12,0))-MIN(MAX(G982,0),MAX(0,'1-Input'!$B$10-IF($A983&gt;='1-Input'!$C$12,'1-Input'!$B$12,0))))-0.000001),1,0)</f>
        <v>1</v>
      </c>
      <c r="E983" s="18">
        <f>IF(D983=0,G982,(G982-MAX(0,'1-Input'!$B$10-IF($A983&gt;='1-Input'!$C$12,'1-Input'!$B$12,0))+C983*(1-'P-Parametri'!$B$6*B983))*(1+'1-Input'!$B$27))</f>
        <v>0</v>
      </c>
      <c r="F983" s="18">
        <f t="shared" si="1"/>
        <v>58608.559969299022</v>
      </c>
      <c r="G983" s="18">
        <f>IF(D983=0,G982,E983-'P-Parametri'!$B$8*(F983+E983)+MIN(MAX(F983,0),'P-Parametri'!$B$8*(F983+E983)))</f>
        <v>0</v>
      </c>
      <c r="H983" s="18">
        <f>IF(D983=0,H982,F983-MIN(MAX(F983,0),'P-Parametri'!$B$8*(F983+E983)))</f>
        <v>58491.342849360422</v>
      </c>
      <c r="I983" s="18">
        <f t="shared" si="2"/>
        <v>19507.847997894503</v>
      </c>
      <c r="J983" s="18">
        <f>IF(D983=0,J982,J982+C983*B983*'P-Parametri'!$B$6)</f>
        <v>66542.37902628725</v>
      </c>
      <c r="K983" s="18">
        <f>IF(D983=0,K982,K982+'P-Parametri'!$B$8*(F983+E983))</f>
        <v>14741.503183792836</v>
      </c>
    </row>
    <row r="984" spans="1:11">
      <c r="A984" s="10">
        <f>32</f>
        <v>32</v>
      </c>
      <c r="B984" s="11">
        <f t="shared" si="0"/>
        <v>0.66648315720609563</v>
      </c>
      <c r="C984" s="18">
        <f>IF(D983=0,0,MIN(MAX(H983,0),((MAX(0,'1-Input'!$B$10-IF($A984&gt;='1-Input'!$C$12,'1-Input'!$B$12,0))-MIN(MAX(G983,0),MAX(0,'1-Input'!$B$10-IF($A984&gt;='1-Input'!$C$12,'1-Input'!$B$12,0))))+MAX(0,0*'1-Input'!$B$10-(G983-MIN(MAX(G983,0),MAX(0,'1-Input'!$B$10-IF($A984&gt;='1-Input'!$C$12,'1-Input'!$B$12,0))))))*(1/(1-'P-Parametri'!$B$6*B984))))</f>
        <v>10521.166946668005</v>
      </c>
      <c r="D984" s="10">
        <f>IF(AND(D983=1,G983+H983&gt;0.000001,C984*(1-'P-Parametri'!$B$6*B984)&gt;=(MAX(0,'1-Input'!$B$10-IF($A984&gt;='1-Input'!$C$12,'1-Input'!$B$12,0))-MIN(MAX(G983,0),MAX(0,'1-Input'!$B$10-IF($A984&gt;='1-Input'!$C$12,'1-Input'!$B$12,0))))-0.000001),1,0)</f>
        <v>1</v>
      </c>
      <c r="E984" s="18">
        <f>IF(D984=0,G983,(G983-MAX(0,'1-Input'!$B$10-IF($A984&gt;='1-Input'!$C$12,'1-Input'!$B$12,0))+C984*(1-'P-Parametri'!$B$6*B984))*(1+'1-Input'!$B$27))</f>
        <v>0</v>
      </c>
      <c r="F984" s="18">
        <f t="shared" si="1"/>
        <v>49409.281179773192</v>
      </c>
      <c r="G984" s="18">
        <f>IF(D984=0,G983,E984-'P-Parametri'!$B$8*(F984+E984)+MIN(MAX(F984,0),'P-Parametri'!$B$8*(F984+E984)))</f>
        <v>0</v>
      </c>
      <c r="H984" s="18">
        <f>IF(D984=0,H983,F984-MIN(MAX(F984,0),'P-Parametri'!$B$8*(F984+E984)))</f>
        <v>49310.462617413643</v>
      </c>
      <c r="I984" s="18">
        <f t="shared" si="2"/>
        <v>15998.861615334208</v>
      </c>
      <c r="J984" s="18">
        <f>IF(D984=0,J983,J983+C984*B984*'P-Parametri'!$B$6)</f>
        <v>68365.545972955253</v>
      </c>
      <c r="K984" s="18">
        <f>IF(D984=0,K983,K983+'P-Parametri'!$B$8*(F984+E984))</f>
        <v>14840.321746152384</v>
      </c>
    </row>
    <row r="985" spans="1:11">
      <c r="A985" s="10">
        <f>33</f>
        <v>33</v>
      </c>
      <c r="B985" s="11">
        <f t="shared" ref="B985:B1002" si="3">IF(H984&lt;=0,0,MAX(0,(H984-I984)/H984))</f>
        <v>0.67554833667927661</v>
      </c>
      <c r="C985" s="18">
        <f>IF(D984=0,0,MIN(MAX(H984,0),((MAX(0,'1-Input'!$B$10-IF($A985&gt;='1-Input'!$C$12,'1-Input'!$B$12,0))-MIN(MAX(G984,0),MAX(0,'1-Input'!$B$10-IF($A985&gt;='1-Input'!$C$12,'1-Input'!$B$12,0))))+MAX(0,0*'1-Input'!$B$10-(G984-MIN(MAX(G984,0),MAX(0,'1-Input'!$B$10-IF($A985&gt;='1-Input'!$C$12,'1-Input'!$B$12,0))))))*(1/(1-'P-Parametri'!$B$6*B985))))</f>
        <v>10551.248351104425</v>
      </c>
      <c r="D985" s="10">
        <f>IF(AND(D984=1,G984+H984&gt;0.000001,C985*(1-'P-Parametri'!$B$6*B985)&gt;=(MAX(0,'1-Input'!$B$10-IF($A985&gt;='1-Input'!$C$12,'1-Input'!$B$12,0))-MIN(MAX(G984,0),MAX(0,'1-Input'!$B$10-IF($A985&gt;='1-Input'!$C$12,'1-Input'!$B$12,0))))-0.000001),1,0)</f>
        <v>1</v>
      </c>
      <c r="E985" s="18">
        <f>IF(D985=0,G984,(G984-MAX(0,'1-Input'!$B$10-IF($A985&gt;='1-Input'!$C$12,'1-Input'!$B$12,0))+C985*(1-'P-Parametri'!$B$6*B985))*(1+'1-Input'!$B$27))</f>
        <v>1.8124410416930913E-12</v>
      </c>
      <c r="F985" s="18">
        <f t="shared" ref="F985:F1002" si="4">IF(D985=0,H984,(H984-C985)*(1+$C$4))</f>
        <v>39921.990694298496</v>
      </c>
      <c r="G985" s="18">
        <f>IF(D985=0,G984,E985-'P-Parametri'!$B$8*(F985+E985)+MIN(MAX(F985,0),'P-Parametri'!$B$8*(F985+E985)))</f>
        <v>1.8189894035458565E-12</v>
      </c>
      <c r="H985" s="18">
        <f>IF(D985=0,H984,F985-MIN(MAX(F985,0),'P-Parametri'!$B$8*(F985+E985)))</f>
        <v>39842.146712909896</v>
      </c>
      <c r="I985" s="18">
        <f t="shared" ref="I985:I1002" si="5">IF(D985=0,I984,I984-C985*(1-B985))</f>
        <v>12575.491537708338</v>
      </c>
      <c r="J985" s="18">
        <f>IF(D985=0,J984,J984+C985*B985*'P-Parametri'!$B$6)</f>
        <v>70218.79432405968</v>
      </c>
      <c r="K985" s="18">
        <f>IF(D985=0,K984,K984+'P-Parametri'!$B$8*(F985+E985))</f>
        <v>14920.16572754098</v>
      </c>
    </row>
    <row r="986" spans="1:11">
      <c r="A986" s="10">
        <f>34</f>
        <v>34</v>
      </c>
      <c r="B986" s="11">
        <f t="shared" si="3"/>
        <v>0.68436711936423977</v>
      </c>
      <c r="C986" s="18">
        <f>IF(D985=0,0,MIN(MAX(H985,0),((MAX(0,'1-Input'!$B$10-IF($A986&gt;='1-Input'!$C$12,'1-Input'!$B$12,0))-MIN(MAX(G985,0),MAX(0,'1-Input'!$B$10-IF($A986&gt;='1-Input'!$C$12,'1-Input'!$B$12,0))))+MAX(0,0*'1-Input'!$B$10-(G985-MIN(MAX(G985,0),MAX(0,'1-Input'!$B$10-IF($A986&gt;='1-Input'!$C$12,'1-Input'!$B$12,0))))))*(1/(1-'P-Parametri'!$B$6*B986))))</f>
        <v>10580.677649885098</v>
      </c>
      <c r="D986" s="10">
        <f>IF(AND(D985=1,G985+H985&gt;0.000001,C986*(1-'P-Parametri'!$B$6*B986)&gt;=(MAX(0,'1-Input'!$B$10-IF($A986&gt;='1-Input'!$C$12,'1-Input'!$B$12,0))-MIN(MAX(G985,0),MAX(0,'1-Input'!$B$10-IF($A986&gt;='1-Input'!$C$12,'1-Input'!$B$12,0))))-0.000001),1,0)</f>
        <v>1</v>
      </c>
      <c r="E986" s="18">
        <f>IF(D986=0,G985,(G985-MAX(0,'1-Input'!$B$10-IF($A986&gt;='1-Input'!$C$12,'1-Input'!$B$12,0))+C986*(1-'P-Parametri'!$B$6*B986))*(1+'1-Input'!$B$27))</f>
        <v>0</v>
      </c>
      <c r="F986" s="18">
        <f t="shared" si="4"/>
        <v>30139.313134915545</v>
      </c>
      <c r="G986" s="18">
        <f>IF(D986=0,G985,E986-'P-Parametri'!$B$8*(F986+E986)+MIN(MAX(F986,0),'P-Parametri'!$B$8*(F986+E986)))</f>
        <v>0</v>
      </c>
      <c r="H986" s="18">
        <f>IF(D986=0,H985,F986-MIN(MAX(F986,0),'P-Parametri'!$B$8*(F986+E986)))</f>
        <v>30079.034508645713</v>
      </c>
      <c r="I986" s="18">
        <f t="shared" si="5"/>
        <v>9235.8817719966992</v>
      </c>
      <c r="J986" s="18">
        <f>IF(D986=0,J985,J985+C986*B986*'P-Parametri'!$B$6)</f>
        <v>72101.471973944776</v>
      </c>
      <c r="K986" s="18">
        <f>IF(D986=0,K985,K985+'P-Parametri'!$B$8*(F986+E986))</f>
        <v>14980.444353810812</v>
      </c>
    </row>
    <row r="987" spans="1:11">
      <c r="A987" s="10">
        <f>35</f>
        <v>35</v>
      </c>
      <c r="B987" s="11">
        <f t="shared" si="3"/>
        <v>0.69294620246730321</v>
      </c>
      <c r="C987" s="18">
        <f>IF(D986=0,0,MIN(MAX(H986,0),((MAX(0,'1-Input'!$B$10-IF($A987&gt;='1-Input'!$C$12,'1-Input'!$B$12,0))-MIN(MAX(G986,0),MAX(0,'1-Input'!$B$10-IF($A987&gt;='1-Input'!$C$12,'1-Input'!$B$12,0))))+MAX(0,0*'1-Input'!$B$10-(G986-MIN(MAX(G986,0),MAX(0,'1-Input'!$B$10-IF($A987&gt;='1-Input'!$C$12,'1-Input'!$B$12,0))))))*(1/(1-'P-Parametri'!$B$6*B987))))</f>
        <v>10609.465006476359</v>
      </c>
      <c r="D987" s="10">
        <f>IF(AND(D986=1,G986+H986&gt;0.000001,C987*(1-'P-Parametri'!$B$6*B987)&gt;=(MAX(0,'1-Input'!$B$10-IF($A987&gt;='1-Input'!$C$12,'1-Input'!$B$12,0))-MIN(MAX(G986,0),MAX(0,'1-Input'!$B$10-IF($A987&gt;='1-Input'!$C$12,'1-Input'!$B$12,0))))-0.000001),1,0)</f>
        <v>1</v>
      </c>
      <c r="E987" s="18">
        <f>IF(D987=0,G986,(G986-MAX(0,'1-Input'!$B$10-IF($A987&gt;='1-Input'!$C$12,'1-Input'!$B$12,0))+C987*(1-'P-Parametri'!$B$6*B987))*(1+'1-Input'!$B$27))</f>
        <v>0</v>
      </c>
      <c r="F987" s="18">
        <f t="shared" si="4"/>
        <v>20053.656587234436</v>
      </c>
      <c r="G987" s="18">
        <f>IF(D987=0,G986,E987-'P-Parametri'!$B$8*(F987+E987)+MIN(MAX(F987,0),'P-Parametri'!$B$8*(F987+E987)))</f>
        <v>0</v>
      </c>
      <c r="H987" s="18">
        <f>IF(D987=0,H986,F987-MIN(MAX(F987,0),'P-Parametri'!$B$8*(F987+E987)))</f>
        <v>20013.549274059966</v>
      </c>
      <c r="I987" s="18">
        <f t="shared" si="5"/>
        <v>5978.2052519678755</v>
      </c>
      <c r="J987" s="18">
        <f>IF(D987=0,J986,J986+C987*B987*'P-Parametri'!$B$6)</f>
        <v>74012.936980421131</v>
      </c>
      <c r="K987" s="18">
        <f>IF(D987=0,K986,K986+'P-Parametri'!$B$8*(F987+E987))</f>
        <v>15020.55166698528</v>
      </c>
    </row>
    <row r="988" spans="1:11">
      <c r="A988" s="10">
        <f>36</f>
        <v>36</v>
      </c>
      <c r="B988" s="11">
        <f t="shared" si="3"/>
        <v>0.7012921011608686</v>
      </c>
      <c r="C988" s="18">
        <f>IF(D987=0,0,MIN(MAX(H987,0),((MAX(0,'1-Input'!$B$10-IF($A988&gt;='1-Input'!$C$12,'1-Input'!$B$12,0))-MIN(MAX(G987,0),MAX(0,'1-Input'!$B$10-IF($A988&gt;='1-Input'!$C$12,'1-Input'!$B$12,0))))+MAX(0,0*'1-Input'!$B$10-(G987-MIN(MAX(G987,0),MAX(0,'1-Input'!$B$10-IF($A988&gt;='1-Input'!$C$12,'1-Input'!$B$12,0))))))*(1/(1-'P-Parametri'!$B$6*B988))))</f>
        <v>10637.620622626402</v>
      </c>
      <c r="D988" s="10">
        <f>IF(AND(D987=1,G987+H987&gt;0.000001,C988*(1-'P-Parametri'!$B$6*B988)&gt;=(MAX(0,'1-Input'!$B$10-IF($A988&gt;='1-Input'!$C$12,'1-Input'!$B$12,0))-MIN(MAX(G987,0),MAX(0,'1-Input'!$B$10-IF($A988&gt;='1-Input'!$C$12,'1-Input'!$B$12,0))))-0.000001),1,0)</f>
        <v>1</v>
      </c>
      <c r="E988" s="18">
        <f>IF(D988=0,G987,(G987-MAX(0,'1-Input'!$B$10-IF($A988&gt;='1-Input'!$C$12,'1-Input'!$B$12,0))+C988*(1-'P-Parametri'!$B$6*B988))*(1+'1-Input'!$B$27))</f>
        <v>0</v>
      </c>
      <c r="F988" s="18">
        <f t="shared" si="4"/>
        <v>9657.2065109765699</v>
      </c>
      <c r="G988" s="18">
        <f>IF(D988=0,G987,E988-'P-Parametri'!$B$8*(F988+E988)+MIN(MAX(F988,0),'P-Parametri'!$B$8*(F988+E988)))</f>
        <v>0</v>
      </c>
      <c r="H988" s="18">
        <f>IF(D988=0,H987,F988-MIN(MAX(F988,0),'P-Parametri'!$B$8*(F988+E988)))</f>
        <v>9637.8920979546165</v>
      </c>
      <c r="I988" s="18">
        <f t="shared" si="5"/>
        <v>2800.6639471353301</v>
      </c>
      <c r="J988" s="18">
        <f>IF(D988=0,J987,J987+C988*B988*'P-Parametri'!$B$6)</f>
        <v>75952.557603047535</v>
      </c>
      <c r="K988" s="18">
        <f>IF(D988=0,K987,K987+'P-Parametri'!$B$8*(F988+E988))</f>
        <v>15039.866080007234</v>
      </c>
    </row>
    <row r="989" spans="1:11">
      <c r="A989" s="10">
        <f>37</f>
        <v>37</v>
      </c>
      <c r="B989" s="11">
        <f t="shared" si="3"/>
        <v>0.70941115353120676</v>
      </c>
      <c r="C989" s="18">
        <f>IF(D988=0,0,MIN(MAX(H988,0),((MAX(0,'1-Input'!$B$10-IF($A989&gt;='1-Input'!$C$12,'1-Input'!$B$12,0))-MIN(MAX(G988,0),MAX(0,'1-Input'!$B$10-IF($A989&gt;='1-Input'!$C$12,'1-Input'!$B$12,0))))+MAX(0,0*'1-Input'!$B$10-(G988-MIN(MAX(G988,0),MAX(0,'1-Input'!$B$10-IF($A989&gt;='1-Input'!$C$12,'1-Input'!$B$12,0))))))*(1/(1-'P-Parametri'!$B$6*B989))))</f>
        <v>9637.8920979546165</v>
      </c>
      <c r="D989" s="10">
        <f>IF(AND(D988=1,G988+H988&gt;0.000001,C989*(1-'P-Parametri'!$B$6*B989)&gt;=(MAX(0,'1-Input'!$B$10-IF($A989&gt;='1-Input'!$C$12,'1-Input'!$B$12,0))-MIN(MAX(G988,0),MAX(0,'1-Input'!$B$10-IF($A989&gt;='1-Input'!$C$12,'1-Input'!$B$12,0))))-0.000001),1,0)</f>
        <v>0</v>
      </c>
      <c r="E989" s="18">
        <f>IF(D989=0,G988,(G988-MAX(0,'1-Input'!$B$10-IF($A989&gt;='1-Input'!$C$12,'1-Input'!$B$12,0))+C989*(1-'P-Parametri'!$B$6*B989))*(1+'1-Input'!$B$27))</f>
        <v>0</v>
      </c>
      <c r="F989" s="18">
        <f t="shared" si="4"/>
        <v>9637.8920979546165</v>
      </c>
      <c r="G989" s="18">
        <f>IF(D989=0,G988,E989-'P-Parametri'!$B$8*(F989+E989)+MIN(MAX(F989,0),'P-Parametri'!$B$8*(F989+E989)))</f>
        <v>0</v>
      </c>
      <c r="H989" s="18">
        <f>IF(D989=0,H988,F989-MIN(MAX(F989,0),'P-Parametri'!$B$8*(F989+E989)))</f>
        <v>9637.8920979546165</v>
      </c>
      <c r="I989" s="18">
        <f t="shared" si="5"/>
        <v>2800.6639471353301</v>
      </c>
      <c r="J989" s="18">
        <f>IF(D989=0,J988,J988+C989*B989*'P-Parametri'!$B$6)</f>
        <v>75952.557603047535</v>
      </c>
      <c r="K989" s="18">
        <f>IF(D989=0,K988,K988+'P-Parametri'!$B$8*(F989+E989))</f>
        <v>15039.866080007234</v>
      </c>
    </row>
    <row r="990" spans="1:11">
      <c r="A990" s="10">
        <f>38</f>
        <v>38</v>
      </c>
      <c r="B990" s="11">
        <f t="shared" si="3"/>
        <v>0.70941115353120676</v>
      </c>
      <c r="C990" s="18">
        <f>IF(D989=0,0,MIN(MAX(H989,0),((MAX(0,'1-Input'!$B$10-IF($A990&gt;='1-Input'!$C$12,'1-Input'!$B$12,0))-MIN(MAX(G989,0),MAX(0,'1-Input'!$B$10-IF($A990&gt;='1-Input'!$C$12,'1-Input'!$B$12,0))))+MAX(0,0*'1-Input'!$B$10-(G989-MIN(MAX(G989,0),MAX(0,'1-Input'!$B$10-IF($A990&gt;='1-Input'!$C$12,'1-Input'!$B$12,0))))))*(1/(1-'P-Parametri'!$B$6*B990))))</f>
        <v>0</v>
      </c>
      <c r="D990" s="10">
        <f>IF(AND(D989=1,G989+H989&gt;0.000001,C990*(1-'P-Parametri'!$B$6*B990)&gt;=(MAX(0,'1-Input'!$B$10-IF($A990&gt;='1-Input'!$C$12,'1-Input'!$B$12,0))-MIN(MAX(G989,0),MAX(0,'1-Input'!$B$10-IF($A990&gt;='1-Input'!$C$12,'1-Input'!$B$12,0))))-0.000001),1,0)</f>
        <v>0</v>
      </c>
      <c r="E990" s="18">
        <f>IF(D990=0,G989,(G989-MAX(0,'1-Input'!$B$10-IF($A990&gt;='1-Input'!$C$12,'1-Input'!$B$12,0))+C990*(1-'P-Parametri'!$B$6*B990))*(1+'1-Input'!$B$27))</f>
        <v>0</v>
      </c>
      <c r="F990" s="18">
        <f t="shared" si="4"/>
        <v>9637.8920979546165</v>
      </c>
      <c r="G990" s="18">
        <f>IF(D990=0,G989,E990-'P-Parametri'!$B$8*(F990+E990)+MIN(MAX(F990,0),'P-Parametri'!$B$8*(F990+E990)))</f>
        <v>0</v>
      </c>
      <c r="H990" s="18">
        <f>IF(D990=0,H989,F990-MIN(MAX(F990,0),'P-Parametri'!$B$8*(F990+E990)))</f>
        <v>9637.8920979546165</v>
      </c>
      <c r="I990" s="18">
        <f t="shared" si="5"/>
        <v>2800.6639471353301</v>
      </c>
      <c r="J990" s="18">
        <f>IF(D990=0,J989,J989+C990*B990*'P-Parametri'!$B$6)</f>
        <v>75952.557603047535</v>
      </c>
      <c r="K990" s="18">
        <f>IF(D990=0,K989,K989+'P-Parametri'!$B$8*(F990+E990))</f>
        <v>15039.866080007234</v>
      </c>
    </row>
    <row r="991" spans="1:11">
      <c r="A991" s="10">
        <f>39</f>
        <v>39</v>
      </c>
      <c r="B991" s="11">
        <f t="shared" si="3"/>
        <v>0.70941115353120676</v>
      </c>
      <c r="C991" s="18">
        <f>IF(D990=0,0,MIN(MAX(H990,0),((MAX(0,'1-Input'!$B$10-IF($A991&gt;='1-Input'!$C$12,'1-Input'!$B$12,0))-MIN(MAX(G990,0),MAX(0,'1-Input'!$B$10-IF($A991&gt;='1-Input'!$C$12,'1-Input'!$B$12,0))))+MAX(0,0*'1-Input'!$B$10-(G990-MIN(MAX(G990,0),MAX(0,'1-Input'!$B$10-IF($A991&gt;='1-Input'!$C$12,'1-Input'!$B$12,0))))))*(1/(1-'P-Parametri'!$B$6*B991))))</f>
        <v>0</v>
      </c>
      <c r="D991" s="10">
        <f>IF(AND(D990=1,G990+H990&gt;0.000001,C991*(1-'P-Parametri'!$B$6*B991)&gt;=(MAX(0,'1-Input'!$B$10-IF($A991&gt;='1-Input'!$C$12,'1-Input'!$B$12,0))-MIN(MAX(G990,0),MAX(0,'1-Input'!$B$10-IF($A991&gt;='1-Input'!$C$12,'1-Input'!$B$12,0))))-0.000001),1,0)</f>
        <v>0</v>
      </c>
      <c r="E991" s="18">
        <f>IF(D991=0,G990,(G990-MAX(0,'1-Input'!$B$10-IF($A991&gt;='1-Input'!$C$12,'1-Input'!$B$12,0))+C991*(1-'P-Parametri'!$B$6*B991))*(1+'1-Input'!$B$27))</f>
        <v>0</v>
      </c>
      <c r="F991" s="18">
        <f t="shared" si="4"/>
        <v>9637.8920979546165</v>
      </c>
      <c r="G991" s="18">
        <f>IF(D991=0,G990,E991-'P-Parametri'!$B$8*(F991+E991)+MIN(MAX(F991,0),'P-Parametri'!$B$8*(F991+E991)))</f>
        <v>0</v>
      </c>
      <c r="H991" s="18">
        <f>IF(D991=0,H990,F991-MIN(MAX(F991,0),'P-Parametri'!$B$8*(F991+E991)))</f>
        <v>9637.8920979546165</v>
      </c>
      <c r="I991" s="18">
        <f t="shared" si="5"/>
        <v>2800.6639471353301</v>
      </c>
      <c r="J991" s="18">
        <f>IF(D991=0,J990,J990+C991*B991*'P-Parametri'!$B$6)</f>
        <v>75952.557603047535</v>
      </c>
      <c r="K991" s="18">
        <f>IF(D991=0,K990,K990+'P-Parametri'!$B$8*(F991+E991))</f>
        <v>15039.866080007234</v>
      </c>
    </row>
    <row r="992" spans="1:11">
      <c r="A992" s="10">
        <f>40</f>
        <v>40</v>
      </c>
      <c r="B992" s="11">
        <f t="shared" si="3"/>
        <v>0.70941115353120676</v>
      </c>
      <c r="C992" s="18">
        <f>IF(D991=0,0,MIN(MAX(H991,0),((MAX(0,'1-Input'!$B$10-IF($A992&gt;='1-Input'!$C$12,'1-Input'!$B$12,0))-MIN(MAX(G991,0),MAX(0,'1-Input'!$B$10-IF($A992&gt;='1-Input'!$C$12,'1-Input'!$B$12,0))))+MAX(0,0*'1-Input'!$B$10-(G991-MIN(MAX(G991,0),MAX(0,'1-Input'!$B$10-IF($A992&gt;='1-Input'!$C$12,'1-Input'!$B$12,0))))))*(1/(1-'P-Parametri'!$B$6*B992))))</f>
        <v>0</v>
      </c>
      <c r="D992" s="10">
        <f>IF(AND(D991=1,G991+H991&gt;0.000001,C992*(1-'P-Parametri'!$B$6*B992)&gt;=(MAX(0,'1-Input'!$B$10-IF($A992&gt;='1-Input'!$C$12,'1-Input'!$B$12,0))-MIN(MAX(G991,0),MAX(0,'1-Input'!$B$10-IF($A992&gt;='1-Input'!$C$12,'1-Input'!$B$12,0))))-0.000001),1,0)</f>
        <v>0</v>
      </c>
      <c r="E992" s="18">
        <f>IF(D992=0,G991,(G991-MAX(0,'1-Input'!$B$10-IF($A992&gt;='1-Input'!$C$12,'1-Input'!$B$12,0))+C992*(1-'P-Parametri'!$B$6*B992))*(1+'1-Input'!$B$27))</f>
        <v>0</v>
      </c>
      <c r="F992" s="18">
        <f t="shared" si="4"/>
        <v>9637.8920979546165</v>
      </c>
      <c r="G992" s="18">
        <f>IF(D992=0,G991,E992-'P-Parametri'!$B$8*(F992+E992)+MIN(MAX(F992,0),'P-Parametri'!$B$8*(F992+E992)))</f>
        <v>0</v>
      </c>
      <c r="H992" s="18">
        <f>IF(D992=0,H991,F992-MIN(MAX(F992,0),'P-Parametri'!$B$8*(F992+E992)))</f>
        <v>9637.8920979546165</v>
      </c>
      <c r="I992" s="18">
        <f t="shared" si="5"/>
        <v>2800.6639471353301</v>
      </c>
      <c r="J992" s="18">
        <f>IF(D992=0,J991,J991+C992*B992*'P-Parametri'!$B$6)</f>
        <v>75952.557603047535</v>
      </c>
      <c r="K992" s="18">
        <f>IF(D992=0,K991,K991+'P-Parametri'!$B$8*(F992+E992))</f>
        <v>15039.866080007234</v>
      </c>
    </row>
    <row r="993" spans="1:11">
      <c r="A993" s="10">
        <f>41</f>
        <v>41</v>
      </c>
      <c r="B993" s="11">
        <f t="shared" si="3"/>
        <v>0.70941115353120676</v>
      </c>
      <c r="C993" s="18">
        <f>IF(D992=0,0,MIN(MAX(H992,0),((MAX(0,'1-Input'!$B$10-IF($A993&gt;='1-Input'!$C$12,'1-Input'!$B$12,0))-MIN(MAX(G992,0),MAX(0,'1-Input'!$B$10-IF($A993&gt;='1-Input'!$C$12,'1-Input'!$B$12,0))))+MAX(0,0*'1-Input'!$B$10-(G992-MIN(MAX(G992,0),MAX(0,'1-Input'!$B$10-IF($A993&gt;='1-Input'!$C$12,'1-Input'!$B$12,0))))))*(1/(1-'P-Parametri'!$B$6*B993))))</f>
        <v>0</v>
      </c>
      <c r="D993" s="10">
        <f>IF(AND(D992=1,G992+H992&gt;0.000001,C993*(1-'P-Parametri'!$B$6*B993)&gt;=(MAX(0,'1-Input'!$B$10-IF($A993&gt;='1-Input'!$C$12,'1-Input'!$B$12,0))-MIN(MAX(G992,0),MAX(0,'1-Input'!$B$10-IF($A993&gt;='1-Input'!$C$12,'1-Input'!$B$12,0))))-0.000001),1,0)</f>
        <v>0</v>
      </c>
      <c r="E993" s="18">
        <f>IF(D993=0,G992,(G992-MAX(0,'1-Input'!$B$10-IF($A993&gt;='1-Input'!$C$12,'1-Input'!$B$12,0))+C993*(1-'P-Parametri'!$B$6*B993))*(1+'1-Input'!$B$27))</f>
        <v>0</v>
      </c>
      <c r="F993" s="18">
        <f t="shared" si="4"/>
        <v>9637.8920979546165</v>
      </c>
      <c r="G993" s="18">
        <f>IF(D993=0,G992,E993-'P-Parametri'!$B$8*(F993+E993)+MIN(MAX(F993,0),'P-Parametri'!$B$8*(F993+E993)))</f>
        <v>0</v>
      </c>
      <c r="H993" s="18">
        <f>IF(D993=0,H992,F993-MIN(MAX(F993,0),'P-Parametri'!$B$8*(F993+E993)))</f>
        <v>9637.8920979546165</v>
      </c>
      <c r="I993" s="18">
        <f t="shared" si="5"/>
        <v>2800.6639471353301</v>
      </c>
      <c r="J993" s="18">
        <f>IF(D993=0,J992,J992+C993*B993*'P-Parametri'!$B$6)</f>
        <v>75952.557603047535</v>
      </c>
      <c r="K993" s="18">
        <f>IF(D993=0,K992,K992+'P-Parametri'!$B$8*(F993+E993))</f>
        <v>15039.866080007234</v>
      </c>
    </row>
    <row r="994" spans="1:11">
      <c r="A994" s="10">
        <f>42</f>
        <v>42</v>
      </c>
      <c r="B994" s="11">
        <f t="shared" si="3"/>
        <v>0.70941115353120676</v>
      </c>
      <c r="C994" s="18">
        <f>IF(D993=0,0,MIN(MAX(H993,0),((MAX(0,'1-Input'!$B$10-IF($A994&gt;='1-Input'!$C$12,'1-Input'!$B$12,0))-MIN(MAX(G993,0),MAX(0,'1-Input'!$B$10-IF($A994&gt;='1-Input'!$C$12,'1-Input'!$B$12,0))))+MAX(0,0*'1-Input'!$B$10-(G993-MIN(MAX(G993,0),MAX(0,'1-Input'!$B$10-IF($A994&gt;='1-Input'!$C$12,'1-Input'!$B$12,0))))))*(1/(1-'P-Parametri'!$B$6*B994))))</f>
        <v>0</v>
      </c>
      <c r="D994" s="10">
        <f>IF(AND(D993=1,G993+H993&gt;0.000001,C994*(1-'P-Parametri'!$B$6*B994)&gt;=(MAX(0,'1-Input'!$B$10-IF($A994&gt;='1-Input'!$C$12,'1-Input'!$B$12,0))-MIN(MAX(G993,0),MAX(0,'1-Input'!$B$10-IF($A994&gt;='1-Input'!$C$12,'1-Input'!$B$12,0))))-0.000001),1,0)</f>
        <v>0</v>
      </c>
      <c r="E994" s="18">
        <f>IF(D994=0,G993,(G993-MAX(0,'1-Input'!$B$10-IF($A994&gt;='1-Input'!$C$12,'1-Input'!$B$12,0))+C994*(1-'P-Parametri'!$B$6*B994))*(1+'1-Input'!$B$27))</f>
        <v>0</v>
      </c>
      <c r="F994" s="18">
        <f t="shared" si="4"/>
        <v>9637.8920979546165</v>
      </c>
      <c r="G994" s="18">
        <f>IF(D994=0,G993,E994-'P-Parametri'!$B$8*(F994+E994)+MIN(MAX(F994,0),'P-Parametri'!$B$8*(F994+E994)))</f>
        <v>0</v>
      </c>
      <c r="H994" s="18">
        <f>IF(D994=0,H993,F994-MIN(MAX(F994,0),'P-Parametri'!$B$8*(F994+E994)))</f>
        <v>9637.8920979546165</v>
      </c>
      <c r="I994" s="18">
        <f t="shared" si="5"/>
        <v>2800.6639471353301</v>
      </c>
      <c r="J994" s="18">
        <f>IF(D994=0,J993,J993+C994*B994*'P-Parametri'!$B$6)</f>
        <v>75952.557603047535</v>
      </c>
      <c r="K994" s="18">
        <f>IF(D994=0,K993,K993+'P-Parametri'!$B$8*(F994+E994))</f>
        <v>15039.866080007234</v>
      </c>
    </row>
    <row r="995" spans="1:11">
      <c r="A995" s="10">
        <f>43</f>
        <v>43</v>
      </c>
      <c r="B995" s="11">
        <f t="shared" si="3"/>
        <v>0.70941115353120676</v>
      </c>
      <c r="C995" s="18">
        <f>IF(D994=0,0,MIN(MAX(H994,0),((MAX(0,'1-Input'!$B$10-IF($A995&gt;='1-Input'!$C$12,'1-Input'!$B$12,0))-MIN(MAX(G994,0),MAX(0,'1-Input'!$B$10-IF($A995&gt;='1-Input'!$C$12,'1-Input'!$B$12,0))))+MAX(0,0*'1-Input'!$B$10-(G994-MIN(MAX(G994,0),MAX(0,'1-Input'!$B$10-IF($A995&gt;='1-Input'!$C$12,'1-Input'!$B$12,0))))))*(1/(1-'P-Parametri'!$B$6*B995))))</f>
        <v>0</v>
      </c>
      <c r="D995" s="10">
        <f>IF(AND(D994=1,G994+H994&gt;0.000001,C995*(1-'P-Parametri'!$B$6*B995)&gt;=(MAX(0,'1-Input'!$B$10-IF($A995&gt;='1-Input'!$C$12,'1-Input'!$B$12,0))-MIN(MAX(G994,0),MAX(0,'1-Input'!$B$10-IF($A995&gt;='1-Input'!$C$12,'1-Input'!$B$12,0))))-0.000001),1,0)</f>
        <v>0</v>
      </c>
      <c r="E995" s="18">
        <f>IF(D995=0,G994,(G994-MAX(0,'1-Input'!$B$10-IF($A995&gt;='1-Input'!$C$12,'1-Input'!$B$12,0))+C995*(1-'P-Parametri'!$B$6*B995))*(1+'1-Input'!$B$27))</f>
        <v>0</v>
      </c>
      <c r="F995" s="18">
        <f t="shared" si="4"/>
        <v>9637.8920979546165</v>
      </c>
      <c r="G995" s="18">
        <f>IF(D995=0,G994,E995-'P-Parametri'!$B$8*(F995+E995)+MIN(MAX(F995,0),'P-Parametri'!$B$8*(F995+E995)))</f>
        <v>0</v>
      </c>
      <c r="H995" s="18">
        <f>IF(D995=0,H994,F995-MIN(MAX(F995,0),'P-Parametri'!$B$8*(F995+E995)))</f>
        <v>9637.8920979546165</v>
      </c>
      <c r="I995" s="18">
        <f t="shared" si="5"/>
        <v>2800.6639471353301</v>
      </c>
      <c r="J995" s="18">
        <f>IF(D995=0,J994,J994+C995*B995*'P-Parametri'!$B$6)</f>
        <v>75952.557603047535</v>
      </c>
      <c r="K995" s="18">
        <f>IF(D995=0,K994,K994+'P-Parametri'!$B$8*(F995+E995))</f>
        <v>15039.866080007234</v>
      </c>
    </row>
    <row r="996" spans="1:11">
      <c r="A996" s="10">
        <f>44</f>
        <v>44</v>
      </c>
      <c r="B996" s="11">
        <f t="shared" si="3"/>
        <v>0.70941115353120676</v>
      </c>
      <c r="C996" s="18">
        <f>IF(D995=0,0,MIN(MAX(H995,0),((MAX(0,'1-Input'!$B$10-IF($A996&gt;='1-Input'!$C$12,'1-Input'!$B$12,0))-MIN(MAX(G995,0),MAX(0,'1-Input'!$B$10-IF($A996&gt;='1-Input'!$C$12,'1-Input'!$B$12,0))))+MAX(0,0*'1-Input'!$B$10-(G995-MIN(MAX(G995,0),MAX(0,'1-Input'!$B$10-IF($A996&gt;='1-Input'!$C$12,'1-Input'!$B$12,0))))))*(1/(1-'P-Parametri'!$B$6*B996))))</f>
        <v>0</v>
      </c>
      <c r="D996" s="10">
        <f>IF(AND(D995=1,G995+H995&gt;0.000001,C996*(1-'P-Parametri'!$B$6*B996)&gt;=(MAX(0,'1-Input'!$B$10-IF($A996&gt;='1-Input'!$C$12,'1-Input'!$B$12,0))-MIN(MAX(G995,0),MAX(0,'1-Input'!$B$10-IF($A996&gt;='1-Input'!$C$12,'1-Input'!$B$12,0))))-0.000001),1,0)</f>
        <v>0</v>
      </c>
      <c r="E996" s="18">
        <f>IF(D996=0,G995,(G995-MAX(0,'1-Input'!$B$10-IF($A996&gt;='1-Input'!$C$12,'1-Input'!$B$12,0))+C996*(1-'P-Parametri'!$B$6*B996))*(1+'1-Input'!$B$27))</f>
        <v>0</v>
      </c>
      <c r="F996" s="18">
        <f t="shared" si="4"/>
        <v>9637.8920979546165</v>
      </c>
      <c r="G996" s="18">
        <f>IF(D996=0,G995,E996-'P-Parametri'!$B$8*(F996+E996)+MIN(MAX(F996,0),'P-Parametri'!$B$8*(F996+E996)))</f>
        <v>0</v>
      </c>
      <c r="H996" s="18">
        <f>IF(D996=0,H995,F996-MIN(MAX(F996,0),'P-Parametri'!$B$8*(F996+E996)))</f>
        <v>9637.8920979546165</v>
      </c>
      <c r="I996" s="18">
        <f t="shared" si="5"/>
        <v>2800.6639471353301</v>
      </c>
      <c r="J996" s="18">
        <f>IF(D996=0,J995,J995+C996*B996*'P-Parametri'!$B$6)</f>
        <v>75952.557603047535</v>
      </c>
      <c r="K996" s="18">
        <f>IF(D996=0,K995,K995+'P-Parametri'!$B$8*(F996+E996))</f>
        <v>15039.866080007234</v>
      </c>
    </row>
    <row r="997" spans="1:11">
      <c r="A997" s="10">
        <f>45</f>
        <v>45</v>
      </c>
      <c r="B997" s="11">
        <f t="shared" si="3"/>
        <v>0.70941115353120676</v>
      </c>
      <c r="C997" s="18">
        <f>IF(D996=0,0,MIN(MAX(H996,0),((MAX(0,'1-Input'!$B$10-IF($A997&gt;='1-Input'!$C$12,'1-Input'!$B$12,0))-MIN(MAX(G996,0),MAX(0,'1-Input'!$B$10-IF($A997&gt;='1-Input'!$C$12,'1-Input'!$B$12,0))))+MAX(0,0*'1-Input'!$B$10-(G996-MIN(MAX(G996,0),MAX(0,'1-Input'!$B$10-IF($A997&gt;='1-Input'!$C$12,'1-Input'!$B$12,0))))))*(1/(1-'P-Parametri'!$B$6*B997))))</f>
        <v>0</v>
      </c>
      <c r="D997" s="10">
        <f>IF(AND(D996=1,G996+H996&gt;0.000001,C997*(1-'P-Parametri'!$B$6*B997)&gt;=(MAX(0,'1-Input'!$B$10-IF($A997&gt;='1-Input'!$C$12,'1-Input'!$B$12,0))-MIN(MAX(G996,0),MAX(0,'1-Input'!$B$10-IF($A997&gt;='1-Input'!$C$12,'1-Input'!$B$12,0))))-0.000001),1,0)</f>
        <v>0</v>
      </c>
      <c r="E997" s="18">
        <f>IF(D997=0,G996,(G996-MAX(0,'1-Input'!$B$10-IF($A997&gt;='1-Input'!$C$12,'1-Input'!$B$12,0))+C997*(1-'P-Parametri'!$B$6*B997))*(1+'1-Input'!$B$27))</f>
        <v>0</v>
      </c>
      <c r="F997" s="18">
        <f t="shared" si="4"/>
        <v>9637.8920979546165</v>
      </c>
      <c r="G997" s="18">
        <f>IF(D997=0,G996,E997-'P-Parametri'!$B$8*(F997+E997)+MIN(MAX(F997,0),'P-Parametri'!$B$8*(F997+E997)))</f>
        <v>0</v>
      </c>
      <c r="H997" s="18">
        <f>IF(D997=0,H996,F997-MIN(MAX(F997,0),'P-Parametri'!$B$8*(F997+E997)))</f>
        <v>9637.8920979546165</v>
      </c>
      <c r="I997" s="18">
        <f t="shared" si="5"/>
        <v>2800.6639471353301</v>
      </c>
      <c r="J997" s="18">
        <f>IF(D997=0,J996,J996+C997*B997*'P-Parametri'!$B$6)</f>
        <v>75952.557603047535</v>
      </c>
      <c r="K997" s="18">
        <f>IF(D997=0,K996,K996+'P-Parametri'!$B$8*(F997+E997))</f>
        <v>15039.866080007234</v>
      </c>
    </row>
    <row r="998" spans="1:11">
      <c r="A998" s="10">
        <f>46</f>
        <v>46</v>
      </c>
      <c r="B998" s="11">
        <f t="shared" si="3"/>
        <v>0.70941115353120676</v>
      </c>
      <c r="C998" s="18">
        <f>IF(D997=0,0,MIN(MAX(H997,0),((MAX(0,'1-Input'!$B$10-IF($A998&gt;='1-Input'!$C$12,'1-Input'!$B$12,0))-MIN(MAX(G997,0),MAX(0,'1-Input'!$B$10-IF($A998&gt;='1-Input'!$C$12,'1-Input'!$B$12,0))))+MAX(0,0*'1-Input'!$B$10-(G997-MIN(MAX(G997,0),MAX(0,'1-Input'!$B$10-IF($A998&gt;='1-Input'!$C$12,'1-Input'!$B$12,0))))))*(1/(1-'P-Parametri'!$B$6*B998))))</f>
        <v>0</v>
      </c>
      <c r="D998" s="10">
        <f>IF(AND(D997=1,G997+H997&gt;0.000001,C998*(1-'P-Parametri'!$B$6*B998)&gt;=(MAX(0,'1-Input'!$B$10-IF($A998&gt;='1-Input'!$C$12,'1-Input'!$B$12,0))-MIN(MAX(G997,0),MAX(0,'1-Input'!$B$10-IF($A998&gt;='1-Input'!$C$12,'1-Input'!$B$12,0))))-0.000001),1,0)</f>
        <v>0</v>
      </c>
      <c r="E998" s="18">
        <f>IF(D998=0,G997,(G997-MAX(0,'1-Input'!$B$10-IF($A998&gt;='1-Input'!$C$12,'1-Input'!$B$12,0))+C998*(1-'P-Parametri'!$B$6*B998))*(1+'1-Input'!$B$27))</f>
        <v>0</v>
      </c>
      <c r="F998" s="18">
        <f t="shared" si="4"/>
        <v>9637.8920979546165</v>
      </c>
      <c r="G998" s="18">
        <f>IF(D998=0,G997,E998-'P-Parametri'!$B$8*(F998+E998)+MIN(MAX(F998,0),'P-Parametri'!$B$8*(F998+E998)))</f>
        <v>0</v>
      </c>
      <c r="H998" s="18">
        <f>IF(D998=0,H997,F998-MIN(MAX(F998,0),'P-Parametri'!$B$8*(F998+E998)))</f>
        <v>9637.8920979546165</v>
      </c>
      <c r="I998" s="18">
        <f t="shared" si="5"/>
        <v>2800.6639471353301</v>
      </c>
      <c r="J998" s="18">
        <f>IF(D998=0,J997,J997+C998*B998*'P-Parametri'!$B$6)</f>
        <v>75952.557603047535</v>
      </c>
      <c r="K998" s="18">
        <f>IF(D998=0,K997,K997+'P-Parametri'!$B$8*(F998+E998))</f>
        <v>15039.866080007234</v>
      </c>
    </row>
    <row r="999" spans="1:11">
      <c r="A999" s="10">
        <f>47</f>
        <v>47</v>
      </c>
      <c r="B999" s="11">
        <f t="shared" si="3"/>
        <v>0.70941115353120676</v>
      </c>
      <c r="C999" s="18">
        <f>IF(D998=0,0,MIN(MAX(H998,0),((MAX(0,'1-Input'!$B$10-IF($A999&gt;='1-Input'!$C$12,'1-Input'!$B$12,0))-MIN(MAX(G998,0),MAX(0,'1-Input'!$B$10-IF($A999&gt;='1-Input'!$C$12,'1-Input'!$B$12,0))))+MAX(0,0*'1-Input'!$B$10-(G998-MIN(MAX(G998,0),MAX(0,'1-Input'!$B$10-IF($A999&gt;='1-Input'!$C$12,'1-Input'!$B$12,0))))))*(1/(1-'P-Parametri'!$B$6*B999))))</f>
        <v>0</v>
      </c>
      <c r="D999" s="10">
        <f>IF(AND(D998=1,G998+H998&gt;0.000001,C999*(1-'P-Parametri'!$B$6*B999)&gt;=(MAX(0,'1-Input'!$B$10-IF($A999&gt;='1-Input'!$C$12,'1-Input'!$B$12,0))-MIN(MAX(G998,0),MAX(0,'1-Input'!$B$10-IF($A999&gt;='1-Input'!$C$12,'1-Input'!$B$12,0))))-0.000001),1,0)</f>
        <v>0</v>
      </c>
      <c r="E999" s="18">
        <f>IF(D999=0,G998,(G998-MAX(0,'1-Input'!$B$10-IF($A999&gt;='1-Input'!$C$12,'1-Input'!$B$12,0))+C999*(1-'P-Parametri'!$B$6*B999))*(1+'1-Input'!$B$27))</f>
        <v>0</v>
      </c>
      <c r="F999" s="18">
        <f t="shared" si="4"/>
        <v>9637.8920979546165</v>
      </c>
      <c r="G999" s="18">
        <f>IF(D999=0,G998,E999-'P-Parametri'!$B$8*(F999+E999)+MIN(MAX(F999,0),'P-Parametri'!$B$8*(F999+E999)))</f>
        <v>0</v>
      </c>
      <c r="H999" s="18">
        <f>IF(D999=0,H998,F999-MIN(MAX(F999,0),'P-Parametri'!$B$8*(F999+E999)))</f>
        <v>9637.8920979546165</v>
      </c>
      <c r="I999" s="18">
        <f t="shared" si="5"/>
        <v>2800.6639471353301</v>
      </c>
      <c r="J999" s="18">
        <f>IF(D999=0,J998,J998+C999*B999*'P-Parametri'!$B$6)</f>
        <v>75952.557603047535</v>
      </c>
      <c r="K999" s="18">
        <f>IF(D999=0,K998,K998+'P-Parametri'!$B$8*(F999+E999))</f>
        <v>15039.866080007234</v>
      </c>
    </row>
    <row r="1000" spans="1:11">
      <c r="A1000" s="10">
        <f>48</f>
        <v>48</v>
      </c>
      <c r="B1000" s="11">
        <f t="shared" si="3"/>
        <v>0.70941115353120676</v>
      </c>
      <c r="C1000" s="18">
        <f>IF(D999=0,0,MIN(MAX(H999,0),((MAX(0,'1-Input'!$B$10-IF($A1000&gt;='1-Input'!$C$12,'1-Input'!$B$12,0))-MIN(MAX(G999,0),MAX(0,'1-Input'!$B$10-IF($A1000&gt;='1-Input'!$C$12,'1-Input'!$B$12,0))))+MAX(0,0*'1-Input'!$B$10-(G999-MIN(MAX(G999,0),MAX(0,'1-Input'!$B$10-IF($A1000&gt;='1-Input'!$C$12,'1-Input'!$B$12,0))))))*(1/(1-'P-Parametri'!$B$6*B1000))))</f>
        <v>0</v>
      </c>
      <c r="D1000" s="10">
        <f>IF(AND(D999=1,G999+H999&gt;0.000001,C1000*(1-'P-Parametri'!$B$6*B1000)&gt;=(MAX(0,'1-Input'!$B$10-IF($A1000&gt;='1-Input'!$C$12,'1-Input'!$B$12,0))-MIN(MAX(G999,0),MAX(0,'1-Input'!$B$10-IF($A1000&gt;='1-Input'!$C$12,'1-Input'!$B$12,0))))-0.000001),1,0)</f>
        <v>0</v>
      </c>
      <c r="E1000" s="18">
        <f>IF(D1000=0,G999,(G999-MAX(0,'1-Input'!$B$10-IF($A1000&gt;='1-Input'!$C$12,'1-Input'!$B$12,0))+C1000*(1-'P-Parametri'!$B$6*B1000))*(1+'1-Input'!$B$27))</f>
        <v>0</v>
      </c>
      <c r="F1000" s="18">
        <f t="shared" si="4"/>
        <v>9637.8920979546165</v>
      </c>
      <c r="G1000" s="18">
        <f>IF(D1000=0,G999,E1000-'P-Parametri'!$B$8*(F1000+E1000)+MIN(MAX(F1000,0),'P-Parametri'!$B$8*(F1000+E1000)))</f>
        <v>0</v>
      </c>
      <c r="H1000" s="18">
        <f>IF(D1000=0,H999,F1000-MIN(MAX(F1000,0),'P-Parametri'!$B$8*(F1000+E1000)))</f>
        <v>9637.8920979546165</v>
      </c>
      <c r="I1000" s="18">
        <f t="shared" si="5"/>
        <v>2800.6639471353301</v>
      </c>
      <c r="J1000" s="18">
        <f>IF(D1000=0,J999,J999+C1000*B1000*'P-Parametri'!$B$6)</f>
        <v>75952.557603047535</v>
      </c>
      <c r="K1000" s="18">
        <f>IF(D1000=0,K999,K999+'P-Parametri'!$B$8*(F1000+E1000))</f>
        <v>15039.866080007234</v>
      </c>
    </row>
    <row r="1001" spans="1:11">
      <c r="A1001" s="10">
        <f>49</f>
        <v>49</v>
      </c>
      <c r="B1001" s="11">
        <f t="shared" si="3"/>
        <v>0.70941115353120676</v>
      </c>
      <c r="C1001" s="18">
        <f>IF(D1000=0,0,MIN(MAX(H1000,0),((MAX(0,'1-Input'!$B$10-IF($A1001&gt;='1-Input'!$C$12,'1-Input'!$B$12,0))-MIN(MAX(G1000,0),MAX(0,'1-Input'!$B$10-IF($A1001&gt;='1-Input'!$C$12,'1-Input'!$B$12,0))))+MAX(0,0*'1-Input'!$B$10-(G1000-MIN(MAX(G1000,0),MAX(0,'1-Input'!$B$10-IF($A1001&gt;='1-Input'!$C$12,'1-Input'!$B$12,0))))))*(1/(1-'P-Parametri'!$B$6*B1001))))</f>
        <v>0</v>
      </c>
      <c r="D1001" s="10">
        <f>IF(AND(D1000=1,G1000+H1000&gt;0.000001,C1001*(1-'P-Parametri'!$B$6*B1001)&gt;=(MAX(0,'1-Input'!$B$10-IF($A1001&gt;='1-Input'!$C$12,'1-Input'!$B$12,0))-MIN(MAX(G1000,0),MAX(0,'1-Input'!$B$10-IF($A1001&gt;='1-Input'!$C$12,'1-Input'!$B$12,0))))-0.000001),1,0)</f>
        <v>0</v>
      </c>
      <c r="E1001" s="18">
        <f>IF(D1001=0,G1000,(G1000-MAX(0,'1-Input'!$B$10-IF($A1001&gt;='1-Input'!$C$12,'1-Input'!$B$12,0))+C1001*(1-'P-Parametri'!$B$6*B1001))*(1+'1-Input'!$B$27))</f>
        <v>0</v>
      </c>
      <c r="F1001" s="18">
        <f t="shared" si="4"/>
        <v>9637.8920979546165</v>
      </c>
      <c r="G1001" s="18">
        <f>IF(D1001=0,G1000,E1001-'P-Parametri'!$B$8*(F1001+E1001)+MIN(MAX(F1001,0),'P-Parametri'!$B$8*(F1001+E1001)))</f>
        <v>0</v>
      </c>
      <c r="H1001" s="18">
        <f>IF(D1001=0,H1000,F1001-MIN(MAX(F1001,0),'P-Parametri'!$B$8*(F1001+E1001)))</f>
        <v>9637.8920979546165</v>
      </c>
      <c r="I1001" s="18">
        <f t="shared" si="5"/>
        <v>2800.6639471353301</v>
      </c>
      <c r="J1001" s="18">
        <f>IF(D1001=0,J1000,J1000+C1001*B1001*'P-Parametri'!$B$6)</f>
        <v>75952.557603047535</v>
      </c>
      <c r="K1001" s="18">
        <f>IF(D1001=0,K1000,K1000+'P-Parametri'!$B$8*(F1001+E1001))</f>
        <v>15039.866080007234</v>
      </c>
    </row>
    <row r="1002" spans="1:11">
      <c r="A1002" s="10">
        <f>50</f>
        <v>50</v>
      </c>
      <c r="B1002" s="11">
        <f t="shared" si="3"/>
        <v>0.70941115353120676</v>
      </c>
      <c r="C1002" s="18">
        <f>IF(D1001=0,0,MIN(MAX(H1001,0),((MAX(0,'1-Input'!$B$10-IF($A1002&gt;='1-Input'!$C$12,'1-Input'!$B$12,0))-MIN(MAX(G1001,0),MAX(0,'1-Input'!$B$10-IF($A1002&gt;='1-Input'!$C$12,'1-Input'!$B$12,0))))+MAX(0,0*'1-Input'!$B$10-(G1001-MIN(MAX(G1001,0),MAX(0,'1-Input'!$B$10-IF($A1002&gt;='1-Input'!$C$12,'1-Input'!$B$12,0))))))*(1/(1-'P-Parametri'!$B$6*B1002))))</f>
        <v>0</v>
      </c>
      <c r="D1002" s="10">
        <f>IF(AND(D1001=1,G1001+H1001&gt;0.000001,C1002*(1-'P-Parametri'!$B$6*B1002)&gt;=(MAX(0,'1-Input'!$B$10-IF($A1002&gt;='1-Input'!$C$12,'1-Input'!$B$12,0))-MIN(MAX(G1001,0),MAX(0,'1-Input'!$B$10-IF($A1002&gt;='1-Input'!$C$12,'1-Input'!$B$12,0))))-0.000001),1,0)</f>
        <v>0</v>
      </c>
      <c r="E1002" s="18">
        <f>IF(D1002=0,G1001,(G1001-MAX(0,'1-Input'!$B$10-IF($A1002&gt;='1-Input'!$C$12,'1-Input'!$B$12,0))+C1002*(1-'P-Parametri'!$B$6*B1002))*(1+'1-Input'!$B$27))</f>
        <v>0</v>
      </c>
      <c r="F1002" s="18">
        <f t="shared" si="4"/>
        <v>9637.8920979546165</v>
      </c>
      <c r="G1002" s="18">
        <f>IF(D1002=0,G1001,E1002-'P-Parametri'!$B$8*(F1002+E1002)+MIN(MAX(F1002,0),'P-Parametri'!$B$8*(F1002+E1002)))</f>
        <v>0</v>
      </c>
      <c r="H1002" s="18">
        <f>IF(D1002=0,H1001,F1002-MIN(MAX(F1002,0),'P-Parametri'!$B$8*(F1002+E1002)))</f>
        <v>9637.8920979546165</v>
      </c>
      <c r="I1002" s="18">
        <f t="shared" si="5"/>
        <v>2800.6639471353301</v>
      </c>
      <c r="J1002" s="18">
        <f>IF(D1002=0,J1001,J1001+C1002*B1002*'P-Parametri'!$B$6)</f>
        <v>75952.557603047535</v>
      </c>
      <c r="K1002" s="18">
        <f>IF(D1002=0,K1001,K1001+'P-Parametri'!$B$8*(F1002+E1002))</f>
        <v>15039.866080007234</v>
      </c>
    </row>
    <row r="1003" spans="1:11">
      <c r="B1003" s="10">
        <f>SUM(D953:D1002)</f>
        <v>36</v>
      </c>
      <c r="C1003" s="18">
        <f>J1002</f>
        <v>75952.557603047535</v>
      </c>
      <c r="D1003" s="18">
        <f>K1002</f>
        <v>15039.866080007234</v>
      </c>
    </row>
    <row r="1005" spans="1:11">
      <c r="A1005" s="2" t="s">
        <v>383</v>
      </c>
    </row>
    <row r="1007" spans="1:11" ht="30">
      <c r="A1007" s="25" t="s">
        <v>262</v>
      </c>
      <c r="B1007" s="25" t="s">
        <v>361</v>
      </c>
      <c r="C1007" s="25" t="s">
        <v>263</v>
      </c>
      <c r="D1007" s="25" t="s">
        <v>305</v>
      </c>
      <c r="E1007" s="25" t="s">
        <v>362</v>
      </c>
      <c r="F1007" s="25" t="s">
        <v>363</v>
      </c>
      <c r="G1007" s="25" t="s">
        <v>264</v>
      </c>
      <c r="H1007" s="25" t="s">
        <v>265</v>
      </c>
      <c r="I1007" s="25" t="s">
        <v>364</v>
      </c>
      <c r="J1007" s="25" t="s">
        <v>381</v>
      </c>
      <c r="K1007" s="25" t="s">
        <v>382</v>
      </c>
    </row>
    <row r="1008" spans="1:11">
      <c r="A1008" s="3">
        <v>0</v>
      </c>
      <c r="D1008" s="10">
        <f>1</f>
        <v>1</v>
      </c>
      <c r="G1008" s="18">
        <f>MIN(1*'1-Input'!$B$10,'2-Caso'!$B$12)</f>
        <v>19800</v>
      </c>
      <c r="H1008" s="18">
        <f>'2-Caso'!$B$12-G1008</f>
        <v>419175.13985857379</v>
      </c>
      <c r="I1008" s="18">
        <f>'2-Caso'!$B$13*H1008/'2-Caso'!$B$12</f>
        <v>328483.85937710648</v>
      </c>
      <c r="J1008" s="18">
        <f>0</f>
        <v>0</v>
      </c>
      <c r="K1008" s="18">
        <f>0</f>
        <v>0</v>
      </c>
    </row>
    <row r="1009" spans="1:11">
      <c r="A1009" s="10">
        <f>1</f>
        <v>1</v>
      </c>
      <c r="B1009" s="11">
        <f t="shared" ref="B1009:B1040" si="6">IF(H1008&lt;=0,0,MAX(0,(H1008-I1008)/H1008))</f>
        <v>0.21635653419729473</v>
      </c>
      <c r="C1009" s="18">
        <f>IF(D1008=0,0,MIN(MAX(H1008,0),((MAX(0,'1-Input'!$B$10-IF($A1009&gt;='1-Input'!$C$12,'1-Input'!$B$12,0))-MIN(MAX(G1008,0),MAX(0,'1-Input'!$B$10-IF($A1009&gt;='1-Input'!$C$12,'1-Input'!$B$12,0))))+MAX(0,1*'1-Input'!$B$10-(G1008-MIN(MAX(G1008,0),MAX(0,'1-Input'!$B$10-IF($A1009&gt;='1-Input'!$C$12,'1-Input'!$B$12,0))))))*(1/(1-'P-Parametri'!$B$6*B1009))))</f>
        <v>20980.192448486148</v>
      </c>
      <c r="D1009" s="10">
        <f>IF(AND(D1008=1,G1008+H1008&gt;0.000001,C1009*(1-'P-Parametri'!$B$6*B1009)&gt;=(MAX(0,'1-Input'!$B$10-IF($A1009&gt;='1-Input'!$C$12,'1-Input'!$B$12,0))-MIN(MAX(G1008,0),MAX(0,'1-Input'!$B$10-IF($A1009&gt;='1-Input'!$C$12,'1-Input'!$B$12,0))))-0.000001),1,0)</f>
        <v>1</v>
      </c>
      <c r="E1009" s="18">
        <f>IF(D1009=0,G1008,(G1008-MAX(0,'1-Input'!$B$10-IF($A1009&gt;='1-Input'!$C$12,'1-Input'!$B$12,0))+C1009*(1-'P-Parametri'!$B$6*B1009))*(1+'1-Input'!$B$27))</f>
        <v>19728.72</v>
      </c>
      <c r="F1009" s="18">
        <f t="shared" ref="F1009:F1040" si="7">IF(D1009=0,H1008,(H1008-C1009)*(1+$C$4))</f>
        <v>410140.79583239026</v>
      </c>
      <c r="G1009" s="18">
        <f>IF(D1009=0,G1008,E1009-'P-Parametri'!$B$8*(F1009+E1009)+MIN(MAX(F1009,0),'P-Parametri'!$B$8*(F1009+E1009)))</f>
        <v>19728.72</v>
      </c>
      <c r="H1009" s="18">
        <f>IF(D1009=0,H1008,F1009-MIN(MAX(F1009,0),'P-Parametri'!$B$8*(F1009+E1009)))</f>
        <v>409281.05680072546</v>
      </c>
      <c r="I1009" s="18">
        <f t="shared" ref="I1009:I1040" si="8">IF(D1009=0,I1008,I1008-C1009*(1-B1009))</f>
        <v>312042.86865356704</v>
      </c>
      <c r="J1009" s="18">
        <f>IF(D1009=0,J1008,J1008+C1009*B1009*'P-Parametri'!$B$6)</f>
        <v>1180.1924484861468</v>
      </c>
      <c r="K1009" s="18">
        <f>IF(D1009=0,K1008,K1008+'P-Parametri'!$B$8*(F1009+E1009))</f>
        <v>859.73903166478055</v>
      </c>
    </row>
    <row r="1010" spans="1:11">
      <c r="A1010" s="10">
        <f>2</f>
        <v>2</v>
      </c>
      <c r="B1010" s="11">
        <f t="shared" si="6"/>
        <v>0.23758291895366818</v>
      </c>
      <c r="C1010" s="18">
        <f>IF(D1009=0,0,MIN(MAX(H1009,0),((MAX(0,'1-Input'!$B$10-IF($A1010&gt;='1-Input'!$C$12,'1-Input'!$B$12,0))-MIN(MAX(G1009,0),MAX(0,'1-Input'!$B$10-IF($A1010&gt;='1-Input'!$C$12,'1-Input'!$B$12,0))))+MAX(0,1*'1-Input'!$B$10-(G1009-MIN(MAX(G1009,0),MAX(0,'1-Input'!$B$10-IF($A1010&gt;='1-Input'!$C$12,'1-Input'!$B$12,0))))))*(1/(1-'P-Parametri'!$B$6*B1010))))</f>
        <v>21179.575389224523</v>
      </c>
      <c r="D1010" s="10">
        <f>IF(AND(D1009=1,G1009+H1009&gt;0.000001,C1010*(1-'P-Parametri'!$B$6*B1010)&gt;=(MAX(0,'1-Input'!$B$10-IF($A1010&gt;='1-Input'!$C$12,'1-Input'!$B$12,0))-MIN(MAX(G1009,0),MAX(0,'1-Input'!$B$10-IF($A1010&gt;='1-Input'!$C$12,'1-Input'!$B$12,0))))-0.000001),1,0)</f>
        <v>1</v>
      </c>
      <c r="E1010" s="18">
        <f>IF(D1010=0,G1009,(G1009-MAX(0,'1-Input'!$B$10-IF($A1010&gt;='1-Input'!$C$12,'1-Input'!$B$12,0))+C1010*(1-'P-Parametri'!$B$6*B1010))*(1+'1-Input'!$B$27))</f>
        <v>19728.72</v>
      </c>
      <c r="F1010" s="18">
        <f t="shared" si="7"/>
        <v>399744.52585384599</v>
      </c>
      <c r="G1010" s="18">
        <f>IF(D1010=0,G1009,E1010-'P-Parametri'!$B$8*(F1010+E1010)+MIN(MAX(F1010,0),'P-Parametri'!$B$8*(F1010+E1010)))</f>
        <v>19728.72</v>
      </c>
      <c r="H1010" s="18">
        <f>IF(D1010=0,H1009,F1010-MIN(MAX(F1010,0),'P-Parametri'!$B$8*(F1010+E1010)))</f>
        <v>398905.57936213829</v>
      </c>
      <c r="I1010" s="18">
        <f t="shared" si="8"/>
        <v>295895.19860751374</v>
      </c>
      <c r="J1010" s="18">
        <f>IF(D1010=0,J1009,J1009+C1010*B1010*'P-Parametri'!$B$6)</f>
        <v>2488.4878377106679</v>
      </c>
      <c r="K1010" s="18">
        <f>IF(D1010=0,K1009,K1009+'P-Parametri'!$B$8*(F1010+E1010))</f>
        <v>1698.6855233724725</v>
      </c>
    </row>
    <row r="1011" spans="1:11">
      <c r="A1011" s="10">
        <f>3</f>
        <v>3</v>
      </c>
      <c r="B1011" s="11">
        <f t="shared" si="6"/>
        <v>0.25823248930070414</v>
      </c>
      <c r="C1011" s="18">
        <f>IF(D1010=0,0,MIN(MAX(H1010,0),((MAX(0,'1-Input'!$B$10-IF($A1011&gt;='1-Input'!$C$12,'1-Input'!$B$12,0))-MIN(MAX(G1010,0),MAX(0,'1-Input'!$B$10-IF($A1011&gt;='1-Input'!$C$12,'1-Input'!$B$12,0))))+MAX(0,1*'1-Input'!$B$10-(G1010-MIN(MAX(G1010,0),MAX(0,'1-Input'!$B$10-IF($A1011&gt;='1-Input'!$C$12,'1-Input'!$B$12,0))))))*(1/(1-'P-Parametri'!$B$6*B1011))))</f>
        <v>21301.470238197388</v>
      </c>
      <c r="D1011" s="10">
        <f>IF(AND(D1010=1,G1010+H1010&gt;0.000001,C1011*(1-'P-Parametri'!$B$6*B1011)&gt;=(MAX(0,'1-Input'!$B$10-IF($A1011&gt;='1-Input'!$C$12,'1-Input'!$B$12,0))-MIN(MAX(G1010,0),MAX(0,'1-Input'!$B$10-IF($A1011&gt;='1-Input'!$C$12,'1-Input'!$B$12,0))))-0.000001),1,0)</f>
        <v>1</v>
      </c>
      <c r="E1011" s="18">
        <f>IF(D1011=0,G1010,(G1010-MAX(0,'1-Input'!$B$10-IF($A1011&gt;='1-Input'!$C$12,'1-Input'!$B$12,0))+C1011*(1-'P-Parametri'!$B$6*B1011))*(1+'1-Input'!$B$27))</f>
        <v>19728.719999999994</v>
      </c>
      <c r="F1011" s="18">
        <f t="shared" si="7"/>
        <v>388932.23239765916</v>
      </c>
      <c r="G1011" s="18">
        <f>IF(D1011=0,G1010,E1011-'P-Parametri'!$B$8*(F1011+E1011)+MIN(MAX(F1011,0),'P-Parametri'!$B$8*(F1011+E1011)))</f>
        <v>19728.719999999994</v>
      </c>
      <c r="H1011" s="18">
        <f>IF(D1011=0,H1010,F1011-MIN(MAX(F1011,0),'P-Parametri'!$B$8*(F1011+E1011)))</f>
        <v>388114.91049286386</v>
      </c>
      <c r="I1011" s="18">
        <f t="shared" si="8"/>
        <v>280094.46005469095</v>
      </c>
      <c r="J1011" s="18">
        <f>IF(D1011=0,J1010,J1010+C1011*B1011*'P-Parametri'!$B$6)</f>
        <v>3918.6780759080575</v>
      </c>
      <c r="K1011" s="18">
        <f>IF(D1011=0,K1010,K1010+'P-Parametri'!$B$8*(F1011+E1011))</f>
        <v>2516.0074281677907</v>
      </c>
    </row>
    <row r="1012" spans="1:11">
      <c r="A1012" s="10">
        <f>4</f>
        <v>4</v>
      </c>
      <c r="B1012" s="11">
        <f t="shared" si="6"/>
        <v>0.27832079499599394</v>
      </c>
      <c r="C1012" s="18">
        <f>IF(D1011=0,0,MIN(MAX(H1011,0),((MAX(0,'1-Input'!$B$10-IF($A1012&gt;='1-Input'!$C$12,'1-Input'!$B$12,0))-MIN(MAX(G1011,0),MAX(0,'1-Input'!$B$10-IF($A1012&gt;='1-Input'!$C$12,'1-Input'!$B$12,0))))+MAX(0,1*'1-Input'!$B$10-(G1011-MIN(MAX(G1011,0),MAX(0,'1-Input'!$B$10-IF($A1012&gt;='1-Input'!$C$12,'1-Input'!$B$12,0))))))*(1/(1-'P-Parametri'!$B$6*B1012))))</f>
        <v>21421.405907767239</v>
      </c>
      <c r="D1012" s="10">
        <f>IF(AND(D1011=1,G1011+H1011&gt;0.000001,C1012*(1-'P-Parametri'!$B$6*B1012)&gt;=(MAX(0,'1-Input'!$B$10-IF($A1012&gt;='1-Input'!$C$12,'1-Input'!$B$12,0))-MIN(MAX(G1011,0),MAX(0,'1-Input'!$B$10-IF($A1012&gt;='1-Input'!$C$12,'1-Input'!$B$12,0))))-0.000001),1,0)</f>
        <v>1</v>
      </c>
      <c r="E1012" s="18">
        <f>IF(D1012=0,G1011,(G1011-MAX(0,'1-Input'!$B$10-IF($A1012&gt;='1-Input'!$C$12,'1-Input'!$B$12,0))+C1012*(1-'P-Parametri'!$B$6*B1012))*(1+'1-Input'!$B$27))</f>
        <v>19728.719999999998</v>
      </c>
      <c r="F1012" s="18">
        <f t="shared" si="7"/>
        <v>377694.30972264952</v>
      </c>
      <c r="G1012" s="18">
        <f>IF(D1012=0,G1011,E1012-'P-Parametri'!$B$8*(F1012+E1012)+MIN(MAX(F1012,0),'P-Parametri'!$B$8*(F1012+E1012)))</f>
        <v>19728.719999999998</v>
      </c>
      <c r="H1012" s="18">
        <f>IF(D1012=0,H1011,F1012-MIN(MAX(F1012,0),'P-Parametri'!$B$8*(F1012+E1012)))</f>
        <v>376899.46366320422</v>
      </c>
      <c r="I1012" s="18">
        <f t="shared" si="8"/>
        <v>264635.0768691054</v>
      </c>
      <c r="J1012" s="18">
        <f>IF(D1012=0,J1011,J1011+C1012*B1012*'P-Parametri'!$B$6)</f>
        <v>5468.8039836752887</v>
      </c>
      <c r="K1012" s="18">
        <f>IF(D1012=0,K1011,K1011+'P-Parametri'!$B$8*(F1012+E1012))</f>
        <v>3310.8534876130898</v>
      </c>
    </row>
    <row r="1013" spans="1:11">
      <c r="A1013" s="10">
        <f>5</f>
        <v>5</v>
      </c>
      <c r="B1013" s="11">
        <f t="shared" si="6"/>
        <v>0.29786295184123107</v>
      </c>
      <c r="C1013" s="18">
        <f>IF(D1012=0,0,MIN(MAX(H1012,0),((MAX(0,'1-Input'!$B$10-IF($A1013&gt;='1-Input'!$C$12,'1-Input'!$B$12,0))-MIN(MAX(G1012,0),MAX(0,'1-Input'!$B$10-IF($A1013&gt;='1-Input'!$C$12,'1-Input'!$B$12,0))))+MAX(0,1*'1-Input'!$B$10-(G1012-MIN(MAX(G1012,0),MAX(0,'1-Input'!$B$10-IF($A1013&gt;='1-Input'!$C$12,'1-Input'!$B$12,0))))))*(1/(1-'P-Parametri'!$B$6*B1013))))</f>
        <v>21539.383967222864</v>
      </c>
      <c r="D1013" s="10">
        <f>IF(AND(D1012=1,G1012+H1012&gt;0.000001,C1013*(1-'P-Parametri'!$B$6*B1013)&gt;=(MAX(0,'1-Input'!$B$10-IF($A1013&gt;='1-Input'!$C$12,'1-Input'!$B$12,0))-MIN(MAX(G1012,0),MAX(0,'1-Input'!$B$10-IF($A1013&gt;='1-Input'!$C$12,'1-Input'!$B$12,0))))-0.000001),1,0)</f>
        <v>1</v>
      </c>
      <c r="E1013" s="18">
        <f>IF(D1013=0,G1012,(G1012-MAX(0,'1-Input'!$B$10-IF($A1013&gt;='1-Input'!$C$12,'1-Input'!$B$12,0))+C1013*(1-'P-Parametri'!$B$6*B1013))*(1+'1-Input'!$B$27))</f>
        <v>19728.72</v>
      </c>
      <c r="F1013" s="18">
        <f t="shared" si="7"/>
        <v>366020.88208686077</v>
      </c>
      <c r="G1013" s="18">
        <f>IF(D1013=0,G1012,E1013-'P-Parametri'!$B$8*(F1013+E1013)+MIN(MAX(F1013,0),'P-Parametri'!$B$8*(F1013+E1013)))</f>
        <v>19728.72</v>
      </c>
      <c r="H1013" s="18">
        <f>IF(D1013=0,H1012,F1013-MIN(MAX(F1013,0),'P-Parametri'!$B$8*(F1013+E1013)))</f>
        <v>365249.38288268703</v>
      </c>
      <c r="I1013" s="18">
        <f t="shared" si="8"/>
        <v>249511.47739120122</v>
      </c>
      <c r="J1013" s="18">
        <f>IF(D1013=0,J1012,J1012+C1013*B1013*'P-Parametri'!$B$6)</f>
        <v>7136.9079508981476</v>
      </c>
      <c r="K1013" s="18">
        <f>IF(D1013=0,K1012,K1012+'P-Parametri'!$B$8*(F1013+E1013))</f>
        <v>4082.3526917868112</v>
      </c>
    </row>
    <row r="1014" spans="1:11">
      <c r="A1014" s="10">
        <f>6</f>
        <v>6</v>
      </c>
      <c r="B1014" s="11">
        <f t="shared" si="6"/>
        <v>0.31687365103272247</v>
      </c>
      <c r="C1014" s="18">
        <f>IF(D1013=0,0,MIN(MAX(H1013,0),((MAX(0,'1-Input'!$B$10-IF($A1014&gt;='1-Input'!$C$12,'1-Input'!$B$12,0))-MIN(MAX(G1013,0),MAX(0,'1-Input'!$B$10-IF($A1014&gt;='1-Input'!$C$12,'1-Input'!$B$12,0))))+MAX(0,1*'1-Input'!$B$10-(G1013-MIN(MAX(G1013,0),MAX(0,'1-Input'!$B$10-IF($A1014&gt;='1-Input'!$C$12,'1-Input'!$B$12,0))))))*(1/(1-'P-Parametri'!$B$6*B1014))))</f>
        <v>21655.407271333697</v>
      </c>
      <c r="D1014" s="10">
        <f>IF(AND(D1013=1,G1013+H1013&gt;0.000001,C1014*(1-'P-Parametri'!$B$6*B1014)&gt;=(MAX(0,'1-Input'!$B$10-IF($A1014&gt;='1-Input'!$C$12,'1-Input'!$B$12,0))-MIN(MAX(G1013,0),MAX(0,'1-Input'!$B$10-IF($A1014&gt;='1-Input'!$C$12,'1-Input'!$B$12,0))))-0.000001),1,0)</f>
        <v>1</v>
      </c>
      <c r="E1014" s="18">
        <f>IF(D1014=0,G1013,(G1013-MAX(0,'1-Input'!$B$10-IF($A1014&gt;='1-Input'!$C$12,'1-Input'!$B$12,0))+C1014*(1-'P-Parametri'!$B$6*B1014))*(1+'1-Input'!$B$27))</f>
        <v>19728.719999999998</v>
      </c>
      <c r="F1014" s="18">
        <f t="shared" si="7"/>
        <v>353901.79487969395</v>
      </c>
      <c r="G1014" s="18">
        <f>IF(D1014=0,G1013,E1014-'P-Parametri'!$B$8*(F1014+E1014)+MIN(MAX(F1014,0),'P-Parametri'!$B$8*(F1014+E1014)))</f>
        <v>19728.719999999998</v>
      </c>
      <c r="H1014" s="18">
        <f>IF(D1014=0,H1013,F1014-MIN(MAX(F1014,0),'P-Parametri'!$B$8*(F1014+E1014)))</f>
        <v>353154.53384993458</v>
      </c>
      <c r="I1014" s="18">
        <f t="shared" si="8"/>
        <v>234718.09808653558</v>
      </c>
      <c r="J1014" s="18">
        <f>IF(D1014=0,J1013,J1013+C1014*B1014*'P-Parametri'!$B$6)</f>
        <v>8921.035222231847</v>
      </c>
      <c r="K1014" s="18">
        <f>IF(D1014=0,K1013,K1013+'P-Parametri'!$B$8*(F1014+E1014))</f>
        <v>4829.6137215461986</v>
      </c>
    </row>
    <row r="1015" spans="1:11">
      <c r="A1015" s="10">
        <f>7</f>
        <v>7</v>
      </c>
      <c r="B1015" s="11">
        <f t="shared" si="6"/>
        <v>0.33536716765960028</v>
      </c>
      <c r="C1015" s="18">
        <f>IF(D1014=0,0,MIN(MAX(H1014,0),((MAX(0,'1-Input'!$B$10-IF($A1015&gt;='1-Input'!$C$12,'1-Input'!$B$12,0))-MIN(MAX(G1014,0),MAX(0,'1-Input'!$B$10-IF($A1015&gt;='1-Input'!$C$12,'1-Input'!$B$12,0))))+MAX(0,1*'1-Input'!$B$10-(G1014-MIN(MAX(G1014,0),MAX(0,'1-Input'!$B$10-IF($A1015&gt;='1-Input'!$C$12,'1-Input'!$B$12,0))))))*(1/(1-'P-Parametri'!$B$6*B1015))))</f>
        <v>21769.479891264567</v>
      </c>
      <c r="D1015" s="10">
        <f>IF(AND(D1014=1,G1014+H1014&gt;0.000001,C1015*(1-'P-Parametri'!$B$6*B1015)&gt;=(MAX(0,'1-Input'!$B$10-IF($A1015&gt;='1-Input'!$C$12,'1-Input'!$B$12,0))-MIN(MAX(G1014,0),MAX(0,'1-Input'!$B$10-IF($A1015&gt;='1-Input'!$C$12,'1-Input'!$B$12,0))))-0.000001),1,0)</f>
        <v>1</v>
      </c>
      <c r="E1015" s="18">
        <f>IF(D1015=0,G1014,(G1014-MAX(0,'1-Input'!$B$10-IF($A1015&gt;='1-Input'!$C$12,'1-Input'!$B$12,0))+C1015*(1-'P-Parametri'!$B$6*B1015))*(1+'1-Input'!$B$27))</f>
        <v>19728.719999999998</v>
      </c>
      <c r="F1015" s="18">
        <f t="shared" si="7"/>
        <v>341326.60557743011</v>
      </c>
      <c r="G1015" s="18">
        <f>IF(D1015=0,G1014,E1015-'P-Parametri'!$B$8*(F1015+E1015)+MIN(MAX(F1015,0),'P-Parametri'!$B$8*(F1015+E1015)))</f>
        <v>19728.719999999998</v>
      </c>
      <c r="H1015" s="18">
        <f>IF(D1015=0,H1014,F1015-MIN(MAX(F1015,0),'P-Parametri'!$B$8*(F1015+E1015)))</f>
        <v>340604.49492627522</v>
      </c>
      <c r="I1015" s="18">
        <f t="shared" si="8"/>
        <v>220249.38700782703</v>
      </c>
      <c r="J1015" s="18">
        <f>IF(D1015=0,J1014,J1014+C1015*B1015*'P-Parametri'!$B$6)</f>
        <v>10819.235113496412</v>
      </c>
      <c r="K1015" s="18">
        <f>IF(D1015=0,K1014,K1014+'P-Parametri'!$B$8*(F1015+E1015))</f>
        <v>5551.7243727010591</v>
      </c>
    </row>
    <row r="1016" spans="1:11">
      <c r="A1016" s="10">
        <f>8</f>
        <v>8</v>
      </c>
      <c r="B1016" s="11">
        <f t="shared" si="6"/>
        <v>0.35335736818299884</v>
      </c>
      <c r="C1016" s="18">
        <f>IF(D1015=0,0,MIN(MAX(H1015,0),((MAX(0,'1-Input'!$B$10-IF($A1016&gt;='1-Input'!$C$12,'1-Input'!$B$12,0))-MIN(MAX(G1015,0),MAX(0,'1-Input'!$B$10-IF($A1016&gt;='1-Input'!$C$12,'1-Input'!$B$12,0))))+MAX(0,1*'1-Input'!$B$10-(G1015-MIN(MAX(G1015,0),MAX(0,'1-Input'!$B$10-IF($A1016&gt;='1-Input'!$C$12,'1-Input'!$B$12,0))))))*(1/(1-'P-Parametri'!$B$6*B1016))))</f>
        <v>21881.607039526429</v>
      </c>
      <c r="D1016" s="10">
        <f>IF(AND(D1015=1,G1015+H1015&gt;0.000001,C1016*(1-'P-Parametri'!$B$6*B1016)&gt;=(MAX(0,'1-Input'!$B$10-IF($A1016&gt;='1-Input'!$C$12,'1-Input'!$B$12,0))-MIN(MAX(G1015,0),MAX(0,'1-Input'!$B$10-IF($A1016&gt;='1-Input'!$C$12,'1-Input'!$B$12,0))))-0.000001),1,0)</f>
        <v>1</v>
      </c>
      <c r="E1016" s="18">
        <f>IF(D1016=0,G1015,(G1015-MAX(0,'1-Input'!$B$10-IF($A1016&gt;='1-Input'!$C$12,'1-Input'!$B$12,0))+C1016*(1-'P-Parametri'!$B$6*B1016))*(1+'1-Input'!$B$27))</f>
        <v>19728.719999999998</v>
      </c>
      <c r="F1016" s="18">
        <f t="shared" si="7"/>
        <v>328284.57452335121</v>
      </c>
      <c r="G1016" s="18">
        <f>IF(D1016=0,G1015,E1016-'P-Parametri'!$B$8*(F1016+E1016)+MIN(MAX(F1016,0),'P-Parametri'!$B$8*(F1016+E1016)))</f>
        <v>19728.719999999998</v>
      </c>
      <c r="H1016" s="18">
        <f>IF(D1016=0,H1015,F1016-MIN(MAX(F1016,0),'P-Parametri'!$B$8*(F1016+E1016)))</f>
        <v>327588.54793430452</v>
      </c>
      <c r="I1016" s="18">
        <f t="shared" si="8"/>
        <v>206099.80704340225</v>
      </c>
      <c r="J1016" s="18">
        <f>IF(D1016=0,J1015,J1015+C1016*B1016*'P-Parametri'!$B$6)</f>
        <v>12829.562153022838</v>
      </c>
      <c r="K1016" s="18">
        <f>IF(D1016=0,K1015,K1015+'P-Parametri'!$B$8*(F1016+E1016))</f>
        <v>6247.7509617477617</v>
      </c>
    </row>
    <row r="1017" spans="1:11">
      <c r="A1017" s="10">
        <f>9</f>
        <v>9</v>
      </c>
      <c r="B1017" s="11">
        <f t="shared" si="6"/>
        <v>0.37085771666006451</v>
      </c>
      <c r="C1017" s="18">
        <f>IF(D1016=0,0,MIN(MAX(H1016,0),((MAX(0,'1-Input'!$B$10-IF($A1017&gt;='1-Input'!$C$12,'1-Input'!$B$12,0))-MIN(MAX(G1016,0),MAX(0,'1-Input'!$B$10-IF($A1017&gt;='1-Input'!$C$12,'1-Input'!$B$12,0))))+MAX(0,1*'1-Input'!$B$10-(G1016-MIN(MAX(G1016,0),MAX(0,'1-Input'!$B$10-IF($A1017&gt;='1-Input'!$C$12,'1-Input'!$B$12,0))))))*(1/(1-'P-Parametri'!$B$6*B1017))))</f>
        <v>21991.794987304482</v>
      </c>
      <c r="D1017" s="10">
        <f>IF(AND(D1016=1,G1016+H1016&gt;0.000001,C1017*(1-'P-Parametri'!$B$6*B1017)&gt;=(MAX(0,'1-Input'!$B$10-IF($A1017&gt;='1-Input'!$C$12,'1-Input'!$B$12,0))-MIN(MAX(G1016,0),MAX(0,'1-Input'!$B$10-IF($A1017&gt;='1-Input'!$C$12,'1-Input'!$B$12,0))))-0.000001),1,0)</f>
        <v>1</v>
      </c>
      <c r="E1017" s="18">
        <f>IF(D1017=0,G1016,(G1016-MAX(0,'1-Input'!$B$10-IF($A1017&gt;='1-Input'!$C$12,'1-Input'!$B$12,0))+C1017*(1-'P-Parametri'!$B$6*B1017))*(1+'1-Input'!$B$27))</f>
        <v>19728.719999999998</v>
      </c>
      <c r="F1017" s="18">
        <f t="shared" si="7"/>
        <v>314764.65553541004</v>
      </c>
      <c r="G1017" s="18">
        <f>IF(D1017=0,G1016,E1017-'P-Parametri'!$B$8*(F1017+E1017)+MIN(MAX(F1017,0),'P-Parametri'!$B$8*(F1017+E1017)))</f>
        <v>19728.719999999998</v>
      </c>
      <c r="H1017" s="18">
        <f>IF(D1017=0,H1016,F1017-MIN(MAX(F1017,0),'P-Parametri'!$B$8*(F1017+E1017)))</f>
        <v>314095.66878433921</v>
      </c>
      <c r="I1017" s="18">
        <f t="shared" si="8"/>
        <v>192263.83893034575</v>
      </c>
      <c r="J1017" s="18">
        <f>IF(D1017=0,J1016,J1016+C1017*B1017*'P-Parametri'!$B$6)</f>
        <v>14950.077140327316</v>
      </c>
      <c r="K1017" s="18">
        <f>IF(D1017=0,K1016,K1016+'P-Parametri'!$B$8*(F1017+E1017))</f>
        <v>6916.7377128185817</v>
      </c>
    </row>
    <row r="1018" spans="1:11">
      <c r="A1018" s="10">
        <f>10</f>
        <v>10</v>
      </c>
      <c r="B1018" s="11">
        <f t="shared" si="6"/>
        <v>0.38788127937429229</v>
      </c>
      <c r="C1018" s="18">
        <f>IF(D1017=0,0,MIN(MAX(H1017,0),((MAX(0,'1-Input'!$B$10-IF($A1018&gt;='1-Input'!$C$12,'1-Input'!$B$12,0))-MIN(MAX(G1017,0),MAX(0,'1-Input'!$B$10-IF($A1018&gt;='1-Input'!$C$12,'1-Input'!$B$12,0))))+MAX(0,1*'1-Input'!$B$10-(G1017-MIN(MAX(G1017,0),MAX(0,'1-Input'!$B$10-IF($A1018&gt;='1-Input'!$C$12,'1-Input'!$B$12,0))))))*(1/(1-'P-Parametri'!$B$6*B1018))))</f>
        <v>22100.050971740504</v>
      </c>
      <c r="D1018" s="10">
        <f>IF(AND(D1017=1,G1017+H1017&gt;0.000001,C1018*(1-'P-Parametri'!$B$6*B1018)&gt;=(MAX(0,'1-Input'!$B$10-IF($A1018&gt;='1-Input'!$C$12,'1-Input'!$B$12,0))-MIN(MAX(G1017,0),MAX(0,'1-Input'!$B$10-IF($A1018&gt;='1-Input'!$C$12,'1-Input'!$B$12,0))))-0.000001),1,0)</f>
        <v>1</v>
      </c>
      <c r="E1018" s="18">
        <f>IF(D1018=0,G1017,(G1017-MAX(0,'1-Input'!$B$10-IF($A1018&gt;='1-Input'!$C$12,'1-Input'!$B$12,0))+C1018*(1-'P-Parametri'!$B$6*B1018))*(1+'1-Input'!$B$27))</f>
        <v>19728.719999999998</v>
      </c>
      <c r="F1018" s="18">
        <f t="shared" si="7"/>
        <v>300755.48634697666</v>
      </c>
      <c r="G1018" s="18">
        <f>IF(D1018=0,G1017,E1018-'P-Parametri'!$B$8*(F1018+E1018)+MIN(MAX(F1018,0),'P-Parametri'!$B$8*(F1018+E1018)))</f>
        <v>19728.719999999998</v>
      </c>
      <c r="H1018" s="18">
        <f>IF(D1018=0,H1017,F1018-MIN(MAX(F1018,0),'P-Parametri'!$B$8*(F1018+E1018)))</f>
        <v>300114.51793428272</v>
      </c>
      <c r="I1018" s="18">
        <f t="shared" si="8"/>
        <v>178735.98400376103</v>
      </c>
      <c r="J1018" s="18">
        <f>IF(D1018=0,J1017,J1017+C1018*B1018*'P-Parametri'!$B$6)</f>
        <v>17178.848112067819</v>
      </c>
      <c r="K1018" s="18">
        <f>IF(D1018=0,K1017,K1017+'P-Parametri'!$B$8*(F1018+E1018))</f>
        <v>7557.7061255125354</v>
      </c>
    </row>
    <row r="1019" spans="1:11">
      <c r="A1019" s="10">
        <f>11</f>
        <v>11</v>
      </c>
      <c r="B1019" s="11">
        <f t="shared" si="6"/>
        <v>0.40444072737960796</v>
      </c>
      <c r="C1019" s="18">
        <f>IF(D1018=0,0,MIN(MAX(H1018,0),((MAX(0,'1-Input'!$B$10-IF($A1019&gt;='1-Input'!$C$12,'1-Input'!$B$12,0))-MIN(MAX(G1018,0),MAX(0,'1-Input'!$B$10-IF($A1019&gt;='1-Input'!$C$12,'1-Input'!$B$12,0))))+MAX(0,1*'1-Input'!$B$10-(G1018-MIN(MAX(G1018,0),MAX(0,'1-Input'!$B$10-IF($A1019&gt;='1-Input'!$C$12,'1-Input'!$B$12,0))))))*(1/(1-'P-Parametri'!$B$6*B1019))))</f>
        <v>22206.383089599211</v>
      </c>
      <c r="D1019" s="10">
        <f>IF(AND(D1018=1,G1018+H1018&gt;0.000001,C1019*(1-'P-Parametri'!$B$6*B1019)&gt;=(MAX(0,'1-Input'!$B$10-IF($A1019&gt;='1-Input'!$C$12,'1-Input'!$B$12,0))-MIN(MAX(G1018,0),MAX(0,'1-Input'!$B$10-IF($A1019&gt;='1-Input'!$C$12,'1-Input'!$B$12,0))))-0.000001),1,0)</f>
        <v>1</v>
      </c>
      <c r="E1019" s="18">
        <f>IF(D1019=0,G1018,(G1018-MAX(0,'1-Input'!$B$10-IF($A1019&gt;='1-Input'!$C$12,'1-Input'!$B$12,0))+C1019*(1-'P-Parametri'!$B$6*B1019))*(1+'1-Input'!$B$27))</f>
        <v>19728.719999999998</v>
      </c>
      <c r="F1019" s="18">
        <f t="shared" si="7"/>
        <v>286245.37889002403</v>
      </c>
      <c r="G1019" s="18">
        <f>IF(D1019=0,G1018,E1019-'P-Parametri'!$B$8*(F1019+E1019)+MIN(MAX(F1019,0),'P-Parametri'!$B$8*(F1019+E1019)))</f>
        <v>19728.719999999998</v>
      </c>
      <c r="H1019" s="18">
        <f>IF(D1019=0,H1018,F1019-MIN(MAX(F1019,0),'P-Parametri'!$B$8*(F1019+E1019)))</f>
        <v>285633.43069224397</v>
      </c>
      <c r="I1019" s="18">
        <f t="shared" si="8"/>
        <v>165510.76664338954</v>
      </c>
      <c r="J1019" s="18">
        <f>IF(D1019=0,J1018,J1018+C1019*B1019*'P-Parametri'!$B$6)</f>
        <v>19513.951201667027</v>
      </c>
      <c r="K1019" s="18">
        <f>IF(D1019=0,K1018,K1018+'P-Parametri'!$B$8*(F1019+E1019))</f>
        <v>8169.6543232925833</v>
      </c>
    </row>
    <row r="1020" spans="1:11">
      <c r="A1020" s="10">
        <f>12</f>
        <v>12</v>
      </c>
      <c r="B1020" s="11">
        <f t="shared" si="6"/>
        <v>0.42054833622847432</v>
      </c>
      <c r="C1020" s="18">
        <f>IF(D1019=0,0,MIN(MAX(H1019,0),((MAX(0,'1-Input'!$B$10-IF($A1020&gt;='1-Input'!$C$12,'1-Input'!$B$12,0))-MIN(MAX(G1019,0),MAX(0,'1-Input'!$B$10-IF($A1020&gt;='1-Input'!$C$12,'1-Input'!$B$12,0))))+MAX(0,1*'1-Input'!$B$10-(G1019-MIN(MAX(G1019,0),MAX(0,'1-Input'!$B$10-IF($A1020&gt;='1-Input'!$C$12,'1-Input'!$B$12,0))))))*(1/(1-'P-Parametri'!$B$6*B1020))))</f>
        <v>22310.80017198624</v>
      </c>
      <c r="D1020" s="10">
        <f>IF(AND(D1019=1,G1019+H1019&gt;0.000001,C1020*(1-'P-Parametri'!$B$6*B1020)&gt;=(MAX(0,'1-Input'!$B$10-IF($A1020&gt;='1-Input'!$C$12,'1-Input'!$B$12,0))-MIN(MAX(G1019,0),MAX(0,'1-Input'!$B$10-IF($A1020&gt;='1-Input'!$C$12,'1-Input'!$B$12,0))))-0.000001),1,0)</f>
        <v>1</v>
      </c>
      <c r="E1020" s="18">
        <f>IF(D1020=0,G1019,(G1019-MAX(0,'1-Input'!$B$10-IF($A1020&gt;='1-Input'!$C$12,'1-Input'!$B$12,0))+C1020*(1-'P-Parametri'!$B$6*B1020))*(1+'1-Input'!$B$27))</f>
        <v>19728.719999999994</v>
      </c>
      <c r="F1020" s="18">
        <f t="shared" si="7"/>
        <v>271222.30943586549</v>
      </c>
      <c r="G1020" s="18">
        <f>IF(D1020=0,G1019,E1020-'P-Parametri'!$B$8*(F1020+E1020)+MIN(MAX(F1020,0),'P-Parametri'!$B$8*(F1020+E1020)))</f>
        <v>19728.719999999994</v>
      </c>
      <c r="H1020" s="18">
        <f>IF(D1020=0,H1019,F1020-MIN(MAX(F1020,0),'P-Parametri'!$B$8*(F1020+E1020)))</f>
        <v>270640.40737699374</v>
      </c>
      <c r="I1020" s="18">
        <f t="shared" si="8"/>
        <v>152582.73636365807</v>
      </c>
      <c r="J1020" s="18">
        <f>IF(D1020=0,J1019,J1019+C1020*B1020*'P-Parametri'!$B$6)</f>
        <v>21953.471373653269</v>
      </c>
      <c r="K1020" s="18">
        <f>IF(D1020=0,K1019,K1019+'P-Parametri'!$B$8*(F1020+E1020))</f>
        <v>8751.5563821643136</v>
      </c>
    </row>
    <row r="1021" spans="1:11">
      <c r="A1021" s="10">
        <f>13</f>
        <v>13</v>
      </c>
      <c r="B1021" s="11">
        <f t="shared" si="6"/>
        <v>0.4362159817801522</v>
      </c>
      <c r="C1021" s="18">
        <f>IF(D1020=0,0,MIN(MAX(H1020,0),((MAX(0,'1-Input'!$B$10-IF($A1021&gt;='1-Input'!$C$12,'1-Input'!$B$12,0))-MIN(MAX(G1020,0),MAX(0,'1-Input'!$B$10-IF($A1021&gt;='1-Input'!$C$12,'1-Input'!$B$12,0))))+MAX(0,1*'1-Input'!$B$10-(G1020-MIN(MAX(G1020,0),MAX(0,'1-Input'!$B$10-IF($A1021&gt;='1-Input'!$C$12,'1-Input'!$B$12,0))))))*(1/(1-'P-Parametri'!$B$6*B1021))))</f>
        <v>22413.311632010522</v>
      </c>
      <c r="D1021" s="10">
        <f>IF(AND(D1020=1,G1020+H1020&gt;0.000001,C1021*(1-'P-Parametri'!$B$6*B1021)&gt;=(MAX(0,'1-Input'!$B$10-IF($A1021&gt;='1-Input'!$C$12,'1-Input'!$B$12,0))-MIN(MAX(G1020,0),MAX(0,'1-Input'!$B$10-IF($A1021&gt;='1-Input'!$C$12,'1-Input'!$B$12,0))))-0.000001),1,0)</f>
        <v>1</v>
      </c>
      <c r="E1021" s="18">
        <f>IF(D1021=0,G1020,(G1020-MAX(0,'1-Input'!$B$10-IF($A1021&gt;='1-Input'!$C$12,'1-Input'!$B$12,0))+C1021*(1-'P-Parametri'!$B$6*B1021))*(1+'1-Input'!$B$27))</f>
        <v>19728.72</v>
      </c>
      <c r="F1021" s="18">
        <f t="shared" si="7"/>
        <v>255673.90861733269</v>
      </c>
      <c r="G1021" s="18">
        <f>IF(D1021=0,G1020,E1021-'P-Parametri'!$B$8*(F1021+E1021)+MIN(MAX(F1021,0),'P-Parametri'!$B$8*(F1021+E1021)))</f>
        <v>19728.72</v>
      </c>
      <c r="H1021" s="18">
        <f>IF(D1021=0,H1020,F1021-MIN(MAX(F1021,0),'P-Parametri'!$B$8*(F1021+E1021)))</f>
        <v>255123.10336009803</v>
      </c>
      <c r="I1021" s="18">
        <f t="shared" si="8"/>
        <v>139946.46947014952</v>
      </c>
      <c r="J1021" s="18">
        <f>IF(D1021=0,J1020,J1020+C1021*B1021*'P-Parametri'!$B$6)</f>
        <v>24495.503005663781</v>
      </c>
      <c r="K1021" s="18">
        <f>IF(D1021=0,K1020,K1020+'P-Parametri'!$B$8*(F1021+E1021))</f>
        <v>9302.3616393989796</v>
      </c>
    </row>
    <row r="1022" spans="1:11">
      <c r="A1022" s="10">
        <f>14</f>
        <v>14</v>
      </c>
      <c r="B1022" s="11">
        <f t="shared" si="6"/>
        <v>0.45145513037829588</v>
      </c>
      <c r="C1022" s="18">
        <f>IF(D1021=0,0,MIN(MAX(H1021,0),((MAX(0,'1-Input'!$B$10-IF($A1022&gt;='1-Input'!$C$12,'1-Input'!$B$12,0))-MIN(MAX(G1021,0),MAX(0,'1-Input'!$B$10-IF($A1022&gt;='1-Input'!$C$12,'1-Input'!$B$12,0))))+MAX(0,1*'1-Input'!$B$10-(G1021-MIN(MAX(G1021,0),MAX(0,'1-Input'!$B$10-IF($A1022&gt;='1-Input'!$C$12,'1-Input'!$B$12,0))))))*(1/(1-'P-Parametri'!$B$6*B1022))))</f>
        <v>22513.927272788718</v>
      </c>
      <c r="D1022" s="10">
        <f>IF(AND(D1021=1,G1021+H1021&gt;0.000001,C1022*(1-'P-Parametri'!$B$6*B1022)&gt;=(MAX(0,'1-Input'!$B$10-IF($A1022&gt;='1-Input'!$C$12,'1-Input'!$B$12,0))-MIN(MAX(G1021,0),MAX(0,'1-Input'!$B$10-IF($A1022&gt;='1-Input'!$C$12,'1-Input'!$B$12,0))))-0.000001),1,0)</f>
        <v>1</v>
      </c>
      <c r="E1022" s="18">
        <f>IF(D1022=0,G1021,(G1021-MAX(0,'1-Input'!$B$10-IF($A1022&gt;='1-Input'!$C$12,'1-Input'!$B$12,0))+C1022*(1-'P-Parametri'!$B$6*B1022))*(1+'1-Input'!$B$27))</f>
        <v>19728.719999999998</v>
      </c>
      <c r="F1022" s="18">
        <f t="shared" si="7"/>
        <v>239587.4513699286</v>
      </c>
      <c r="G1022" s="18">
        <f>IF(D1022=0,G1021,E1022-'P-Parametri'!$B$8*(F1022+E1022)+MIN(MAX(F1022,0),'P-Parametri'!$B$8*(F1022+E1022)))</f>
        <v>19728.719999999998</v>
      </c>
      <c r="H1022" s="18">
        <f>IF(D1022=0,H1021,F1022-MIN(MAX(F1022,0),'P-Parametri'!$B$8*(F1022+E1022)))</f>
        <v>239068.81902718876</v>
      </c>
      <c r="I1022" s="18">
        <f t="shared" si="8"/>
        <v>127596.57016962511</v>
      </c>
      <c r="J1022" s="18">
        <f>IF(D1022=0,J1021,J1021+C1022*B1022*'P-Parametri'!$B$6)</f>
        <v>27138.1502784525</v>
      </c>
      <c r="K1022" s="18">
        <f>IF(D1022=0,K1021,K1021+'P-Parametri'!$B$8*(F1022+E1022))</f>
        <v>9820.9939821388361</v>
      </c>
    </row>
    <row r="1023" spans="1:11">
      <c r="A1023" s="10">
        <f>15</f>
        <v>15</v>
      </c>
      <c r="B1023" s="11">
        <f t="shared" si="6"/>
        <v>0.46627682067098081</v>
      </c>
      <c r="C1023" s="18">
        <f>IF(D1022=0,0,MIN(MAX(H1022,0),((MAX(0,'1-Input'!$B$10-IF($A1023&gt;='1-Input'!$C$12,'1-Input'!$B$12,0))-MIN(MAX(G1022,0),MAX(0,'1-Input'!$B$10-IF($A1023&gt;='1-Input'!$C$12,'1-Input'!$B$12,0))))+MAX(0,1*'1-Input'!$B$10-(G1022-MIN(MAX(G1022,0),MAX(0,'1-Input'!$B$10-IF($A1023&gt;='1-Input'!$C$12,'1-Input'!$B$12,0))))))*(1/(1-'P-Parametri'!$B$6*B1023))))</f>
        <v>22612.657035674587</v>
      </c>
      <c r="D1023" s="10">
        <f>IF(AND(D1022=1,G1022+H1022&gt;0.000001,C1023*(1-'P-Parametri'!$B$6*B1023)&gt;=(MAX(0,'1-Input'!$B$10-IF($A1023&gt;='1-Input'!$C$12,'1-Input'!$B$12,0))-MIN(MAX(G1022,0),MAX(0,'1-Input'!$B$10-IF($A1023&gt;='1-Input'!$C$12,'1-Input'!$B$12,0))))-0.000001),1,0)</f>
        <v>1</v>
      </c>
      <c r="E1023" s="18">
        <f>IF(D1023=0,G1022,(G1022-MAX(0,'1-Input'!$B$10-IF($A1023&gt;='1-Input'!$C$12,'1-Input'!$B$12,0))+C1023*(1-'P-Parametri'!$B$6*B1023))*(1+'1-Input'!$B$27))</f>
        <v>19728.719999999998</v>
      </c>
      <c r="F1023" s="18">
        <f t="shared" si="7"/>
        <v>222949.84685125962</v>
      </c>
      <c r="G1023" s="18">
        <f>IF(D1023=0,G1022,E1023-'P-Parametri'!$B$8*(F1023+E1023)+MIN(MAX(F1023,0),'P-Parametri'!$B$8*(F1023+E1023)))</f>
        <v>19728.719999999998</v>
      </c>
      <c r="H1023" s="18">
        <f>IF(D1023=0,H1022,F1023-MIN(MAX(F1023,0),'P-Parametri'!$B$8*(F1023+E1023)))</f>
        <v>222464.48971755709</v>
      </c>
      <c r="I1023" s="18">
        <f t="shared" si="8"/>
        <v>115527.67096346815</v>
      </c>
      <c r="J1023" s="18">
        <f>IF(D1023=0,J1022,J1022+C1023*B1023*'P-Parametri'!$B$6)</f>
        <v>29879.527314127085</v>
      </c>
      <c r="K1023" s="18">
        <f>IF(D1023=0,K1022,K1022+'P-Parametri'!$B$8*(F1023+E1023))</f>
        <v>10306.351115841355</v>
      </c>
    </row>
    <row r="1024" spans="1:11">
      <c r="A1024" s="10">
        <f>16</f>
        <v>16</v>
      </c>
      <c r="B1024" s="11">
        <f t="shared" si="6"/>
        <v>0.48069163258305581</v>
      </c>
      <c r="C1024" s="18">
        <f>IF(D1023=0,0,MIN(MAX(H1023,0),((MAX(0,'1-Input'!$B$10-IF($A1024&gt;='1-Input'!$C$12,'1-Input'!$B$12,0))-MIN(MAX(G1023,0),MAX(0,'1-Input'!$B$10-IF($A1024&gt;='1-Input'!$C$12,'1-Input'!$B$12,0))))+MAX(0,1*'1-Input'!$B$10-(G1023-MIN(MAX(G1023,0),MAX(0,'1-Input'!$B$10-IF($A1024&gt;='1-Input'!$C$12,'1-Input'!$B$12,0))))))*(1/(1-'P-Parametri'!$B$6*B1024))))</f>
        <v>22709.510655568796</v>
      </c>
      <c r="D1024" s="10">
        <f>IF(AND(D1023=1,G1023+H1023&gt;0.000001,C1024*(1-'P-Parametri'!$B$6*B1024)&gt;=(MAX(0,'1-Input'!$B$10-IF($A1024&gt;='1-Input'!$C$12,'1-Input'!$B$12,0))-MIN(MAX(G1023,0),MAX(0,'1-Input'!$B$10-IF($A1024&gt;='1-Input'!$C$12,'1-Input'!$B$12,0))))-0.000001),1,0)</f>
        <v>1</v>
      </c>
      <c r="E1024" s="18">
        <f>IF(D1024=0,G1023,(G1023-MAX(0,'1-Input'!$B$10-IF($A1024&gt;='1-Input'!$C$12,'1-Input'!$B$12,0))+C1024*(1-'P-Parametri'!$B$6*B1024))*(1+'1-Input'!$B$27))</f>
        <v>19728.719999999998</v>
      </c>
      <c r="F1024" s="18">
        <f t="shared" si="7"/>
        <v>205747.62843384795</v>
      </c>
      <c r="G1024" s="18">
        <f>IF(D1024=0,G1023,E1024-'P-Parametri'!$B$8*(F1024+E1024)+MIN(MAX(F1024,0),'P-Parametri'!$B$8*(F1024+E1024)))</f>
        <v>19728.719999999998</v>
      </c>
      <c r="H1024" s="18">
        <f>IF(D1024=0,H1023,F1024-MIN(MAX(F1024,0),'P-Parametri'!$B$8*(F1024+E1024)))</f>
        <v>205296.67573698025</v>
      </c>
      <c r="I1024" s="18">
        <f t="shared" si="8"/>
        <v>103734.43206008701</v>
      </c>
      <c r="J1024" s="18">
        <f>IF(D1024=0,J1023,J1023+C1024*B1024*'P-Parametri'!$B$6)</f>
        <v>32717.757969695878</v>
      </c>
      <c r="K1024" s="18">
        <f>IF(D1024=0,K1023,K1023+'P-Parametri'!$B$8*(F1024+E1024))</f>
        <v>10757.303812709051</v>
      </c>
    </row>
    <row r="1025" spans="1:11">
      <c r="A1025" s="10">
        <f>17</f>
        <v>17</v>
      </c>
      <c r="B1025" s="11">
        <f t="shared" si="6"/>
        <v>0.49470963576152416</v>
      </c>
      <c r="C1025" s="18">
        <f>IF(D1024=0,0,MIN(MAX(H1024,0),((MAX(0,'1-Input'!$B$10-IF($A1025&gt;='1-Input'!$C$12,'1-Input'!$B$12,0))-MIN(MAX(G1024,0),MAX(0,'1-Input'!$B$10-IF($A1025&gt;='1-Input'!$C$12,'1-Input'!$B$12,0))))+MAX(0,1*'1-Input'!$B$10-(G1024-MIN(MAX(G1024,0),MAX(0,'1-Input'!$B$10-IF($A1025&gt;='1-Input'!$C$12,'1-Input'!$B$12,0))))))*(1/(1-'P-Parametri'!$B$6*B1025))))</f>
        <v>22804.497166626952</v>
      </c>
      <c r="D1025" s="10">
        <f>IF(AND(D1024=1,G1024+H1024&gt;0.000001,C1025*(1-'P-Parametri'!$B$6*B1025)&gt;=(MAX(0,'1-Input'!$B$10-IF($A1025&gt;='1-Input'!$C$12,'1-Input'!$B$12,0))-MIN(MAX(G1024,0),MAX(0,'1-Input'!$B$10-IF($A1025&gt;='1-Input'!$C$12,'1-Input'!$B$12,0))))-0.000001),1,0)</f>
        <v>1</v>
      </c>
      <c r="E1025" s="18">
        <f>IF(D1025=0,G1024,(G1024-MAX(0,'1-Input'!$B$10-IF($A1025&gt;='1-Input'!$C$12,'1-Input'!$B$12,0))+C1025*(1-'P-Parametri'!$B$6*B1025))*(1+'1-Input'!$B$27))</f>
        <v>19728.719999999998</v>
      </c>
      <c r="F1025" s="18">
        <f t="shared" si="7"/>
        <v>187966.9439274639</v>
      </c>
      <c r="G1025" s="18">
        <f>IF(D1025=0,G1024,E1025-'P-Parametri'!$B$8*(F1025+E1025)+MIN(MAX(F1025,0),'P-Parametri'!$B$8*(F1025+E1025)))</f>
        <v>19728.719999999998</v>
      </c>
      <c r="H1025" s="18">
        <f>IF(D1025=0,H1024,F1025-MIN(MAX(F1025,0),'P-Parametri'!$B$8*(F1025+E1025)))</f>
        <v>187551.55259960899</v>
      </c>
      <c r="I1025" s="18">
        <f t="shared" si="8"/>
        <v>92211.539380486793</v>
      </c>
      <c r="J1025" s="18">
        <f>IF(D1025=0,J1024,J1024+C1025*B1025*'P-Parametri'!$B$6)</f>
        <v>35650.975136322828</v>
      </c>
      <c r="K1025" s="18">
        <f>IF(D1025=0,K1024,K1024+'P-Parametri'!$B$8*(F1025+E1025))</f>
        <v>11172.695140563979</v>
      </c>
    </row>
    <row r="1026" spans="1:11">
      <c r="A1026" s="10">
        <f>18</f>
        <v>18</v>
      </c>
      <c r="B1026" s="11">
        <f t="shared" si="6"/>
        <v>0.50834030375987915</v>
      </c>
      <c r="C1026" s="18">
        <f>IF(D1025=0,0,MIN(MAX(H1025,0),((MAX(0,'1-Input'!$B$10-IF($A1026&gt;='1-Input'!$C$12,'1-Input'!$B$12,0))-MIN(MAX(G1025,0),MAX(0,'1-Input'!$B$10-IF($A1026&gt;='1-Input'!$C$12,'1-Input'!$B$12,0))))+MAX(0,1*'1-Input'!$B$10-(G1025-MIN(MAX(G1025,0),MAX(0,'1-Input'!$B$10-IF($A1026&gt;='1-Input'!$C$12,'1-Input'!$B$12,0))))))*(1/(1-'P-Parametri'!$B$6*B1026))))</f>
        <v>22897.624157035403</v>
      </c>
      <c r="D1026" s="10">
        <f>IF(AND(D1025=1,G1025+H1025&gt;0.000001,C1026*(1-'P-Parametri'!$B$6*B1026)&gt;=(MAX(0,'1-Input'!$B$10-IF($A1026&gt;='1-Input'!$C$12,'1-Input'!$B$12,0))-MIN(MAX(G1025,0),MAX(0,'1-Input'!$B$10-IF($A1026&gt;='1-Input'!$C$12,'1-Input'!$B$12,0))))-0.000001),1,0)</f>
        <v>1</v>
      </c>
      <c r="E1026" s="18">
        <f>IF(D1026=0,G1025,(G1025-MAX(0,'1-Input'!$B$10-IF($A1026&gt;='1-Input'!$C$12,'1-Input'!$B$12,0))+C1026*(1-'P-Parametri'!$B$6*B1026))*(1+'1-Input'!$B$27))</f>
        <v>19728.719999999998</v>
      </c>
      <c r="F1026" s="18">
        <f t="shared" si="7"/>
        <v>169593.5462958508</v>
      </c>
      <c r="G1026" s="18">
        <f>IF(D1026=0,G1025,E1026-'P-Parametri'!$B$8*(F1026+E1026)+MIN(MAX(F1026,0),'P-Parametri'!$B$8*(F1026+E1026)))</f>
        <v>19728.719999999998</v>
      </c>
      <c r="H1026" s="18">
        <f>IF(D1026=0,H1025,F1026-MIN(MAX(F1026,0),'P-Parametri'!$B$8*(F1026+E1026)))</f>
        <v>169214.90176325908</v>
      </c>
      <c r="I1026" s="18">
        <f t="shared" si="8"/>
        <v>80953.700442818314</v>
      </c>
      <c r="J1026" s="18">
        <f>IF(D1026=0,J1025,J1025+C1026*B1026*'P-Parametri'!$B$6)</f>
        <v>38677.319293358225</v>
      </c>
      <c r="K1026" s="18">
        <f>IF(D1026=0,K1025,K1025+'P-Parametri'!$B$8*(F1026+E1026))</f>
        <v>11551.33967315568</v>
      </c>
    </row>
    <row r="1027" spans="1:11">
      <c r="A1027" s="10">
        <f>19</f>
        <v>19</v>
      </c>
      <c r="B1027" s="11">
        <f t="shared" si="6"/>
        <v>0.52159236805233045</v>
      </c>
      <c r="C1027" s="18">
        <f>IF(D1026=0,0,MIN(MAX(H1026,0),((MAX(0,'1-Input'!$B$10-IF($A1027&gt;='1-Input'!$C$12,'1-Input'!$B$12,0))-MIN(MAX(G1026,0),MAX(0,'1-Input'!$B$10-IF($A1027&gt;='1-Input'!$C$12,'1-Input'!$B$12,0))))+MAX(0,1*'1-Input'!$B$10-(G1026-MIN(MAX(G1026,0),MAX(0,'1-Input'!$B$10-IF($A1027&gt;='1-Input'!$C$12,'1-Input'!$B$12,0))))))*(1/(1-'P-Parametri'!$B$6*B1027))))</f>
        <v>22988.896581826506</v>
      </c>
      <c r="D1027" s="10">
        <f>IF(AND(D1026=1,G1026+H1026&gt;0.000001,C1027*(1-'P-Parametri'!$B$6*B1027)&gt;=(MAX(0,'1-Input'!$B$10-IF($A1027&gt;='1-Input'!$C$12,'1-Input'!$B$12,0))-MIN(MAX(G1026,0),MAX(0,'1-Input'!$B$10-IF($A1027&gt;='1-Input'!$C$12,'1-Input'!$B$12,0))))-0.000001),1,0)</f>
        <v>1</v>
      </c>
      <c r="E1027" s="18">
        <f>IF(D1027=0,G1026,(G1026-MAX(0,'1-Input'!$B$10-IF($A1027&gt;='1-Input'!$C$12,'1-Input'!$B$12,0))+C1027*(1-'P-Parametri'!$B$6*B1027))*(1+'1-Input'!$B$27))</f>
        <v>19728.719999999998</v>
      </c>
      <c r="F1027" s="18">
        <f t="shared" si="7"/>
        <v>150612.78533687556</v>
      </c>
      <c r="G1027" s="18">
        <f>IF(D1027=0,G1026,E1027-'P-Parametri'!$B$8*(F1027+E1027)+MIN(MAX(F1027,0),'P-Parametri'!$B$8*(F1027+E1027)))</f>
        <v>19728.719999999998</v>
      </c>
      <c r="H1027" s="18">
        <f>IF(D1027=0,H1026,F1027-MIN(MAX(F1027,0),'P-Parametri'!$B$8*(F1027+E1027)))</f>
        <v>150272.1023262018</v>
      </c>
      <c r="I1027" s="18">
        <f t="shared" si="8"/>
        <v>69955.636868016823</v>
      </c>
      <c r="J1027" s="18">
        <f>IF(D1027=0,J1026,J1026+C1027*B1027*'P-Parametri'!$B$6)</f>
        <v>41794.935875184725</v>
      </c>
      <c r="K1027" s="18">
        <f>IF(D1027=0,K1026,K1026+'P-Parametri'!$B$8*(F1027+E1027))</f>
        <v>11892.022683829431</v>
      </c>
    </row>
    <row r="1028" spans="1:11">
      <c r="A1028" s="10">
        <f>20</f>
        <v>20</v>
      </c>
      <c r="B1028" s="11">
        <f t="shared" si="6"/>
        <v>0.53447355972859645</v>
      </c>
      <c r="C1028" s="18">
        <f>IF(D1027=0,0,MIN(MAX(H1027,0),((MAX(0,'1-Input'!$B$10-IF($A1028&gt;='1-Input'!$C$12,'1-Input'!$B$12,0))-MIN(MAX(G1027,0),MAX(0,'1-Input'!$B$10-IF($A1028&gt;='1-Input'!$C$12,'1-Input'!$B$12,0))))+MAX(0,1*'1-Input'!$B$10-(G1027-MIN(MAX(G1027,0),MAX(0,'1-Input'!$B$10-IF($A1028&gt;='1-Input'!$C$12,'1-Input'!$B$12,0))))))*(1/(1-'P-Parametri'!$B$6*B1028))))</f>
        <v>23078.314749549452</v>
      </c>
      <c r="D1028" s="10">
        <f>IF(AND(D1027=1,G1027+H1027&gt;0.000001,C1028*(1-'P-Parametri'!$B$6*B1028)&gt;=(MAX(0,'1-Input'!$B$10-IF($A1028&gt;='1-Input'!$C$12,'1-Input'!$B$12,0))-MIN(MAX(G1027,0),MAX(0,'1-Input'!$B$10-IF($A1028&gt;='1-Input'!$C$12,'1-Input'!$B$12,0))))-0.000001),1,0)</f>
        <v>1</v>
      </c>
      <c r="E1028" s="18">
        <f>IF(D1028=0,G1027,(G1027-MAX(0,'1-Input'!$B$10-IF($A1028&gt;='1-Input'!$C$12,'1-Input'!$B$12,0))+C1028*(1-'P-Parametri'!$B$6*B1028))*(1+'1-Input'!$B$27))</f>
        <v>19728.719999999994</v>
      </c>
      <c r="F1028" s="18">
        <f t="shared" si="7"/>
        <v>131009.60120395193</v>
      </c>
      <c r="G1028" s="18">
        <f>IF(D1028=0,G1027,E1028-'P-Parametri'!$B$8*(F1028+E1028)+MIN(MAX(F1028,0),'P-Parametri'!$B$8*(F1028+E1028)))</f>
        <v>19728.719999999994</v>
      </c>
      <c r="H1028" s="18">
        <f>IF(D1028=0,H1027,F1028-MIN(MAX(F1028,0),'P-Parametri'!$B$8*(F1028+E1028)))</f>
        <v>130708.12456154403</v>
      </c>
      <c r="I1028" s="18">
        <f t="shared" si="8"/>
        <v>59212.071155196041</v>
      </c>
      <c r="J1028" s="18">
        <f>IF(D1028=0,J1027,J1027+C1028*B1028*'P-Parametri'!$B$6)</f>
        <v>45001.970624734182</v>
      </c>
      <c r="K1028" s="18">
        <f>IF(D1028=0,K1027,K1027+'P-Parametri'!$B$8*(F1028+E1028))</f>
        <v>12193.499326237335</v>
      </c>
    </row>
    <row r="1029" spans="1:11">
      <c r="A1029" s="10">
        <f>21</f>
        <v>21</v>
      </c>
      <c r="B1029" s="11">
        <f t="shared" si="6"/>
        <v>0.54699012510644673</v>
      </c>
      <c r="C1029" s="18">
        <f>IF(D1028=0,0,MIN(MAX(H1028,0),((MAX(0,'1-Input'!$B$10-IF($A1029&gt;='1-Input'!$C$12,'1-Input'!$B$12,0))-MIN(MAX(G1028,0),MAX(0,'1-Input'!$B$10-IF($A1029&gt;='1-Input'!$C$12,'1-Input'!$B$12,0))))+MAX(0,1*'1-Input'!$B$10-(G1028-MIN(MAX(G1028,0),MAX(0,'1-Input'!$B$10-IF($A1029&gt;='1-Input'!$C$12,'1-Input'!$B$12,0))))))*(1/(1-'P-Parametri'!$B$6*B1029))))</f>
        <v>23165.870645466515</v>
      </c>
      <c r="D1029" s="10">
        <f>IF(AND(D1028=1,G1028+H1028&gt;0.000001,C1029*(1-'P-Parametri'!$B$6*B1029)&gt;=(MAX(0,'1-Input'!$B$10-IF($A1029&gt;='1-Input'!$C$12,'1-Input'!$B$12,0))-MIN(MAX(G1028,0),MAX(0,'1-Input'!$B$10-IF($A1029&gt;='1-Input'!$C$12,'1-Input'!$B$12,0))))-0.000001),1,0)</f>
        <v>1</v>
      </c>
      <c r="E1029" s="18">
        <f>IF(D1029=0,G1028,(G1028-MAX(0,'1-Input'!$B$10-IF($A1029&gt;='1-Input'!$C$12,'1-Input'!$B$12,0))+C1029*(1-'P-Parametri'!$B$6*B1029))*(1+'1-Input'!$B$27))</f>
        <v>19728.719999999998</v>
      </c>
      <c r="F1029" s="18">
        <f t="shared" si="7"/>
        <v>110768.52153355985</v>
      </c>
      <c r="G1029" s="18">
        <f>IF(D1029=0,G1028,E1029-'P-Parametri'!$B$8*(F1029+E1029)+MIN(MAX(F1029,0),'P-Parametri'!$B$8*(F1029+E1029)))</f>
        <v>19728.719999999998</v>
      </c>
      <c r="H1029" s="18">
        <f>IF(D1029=0,H1028,F1029-MIN(MAX(F1029,0),'P-Parametri'!$B$8*(F1029+E1029)))</f>
        <v>110507.52705049273</v>
      </c>
      <c r="I1029" s="18">
        <f t="shared" si="8"/>
        <v>48717.702992293016</v>
      </c>
      <c r="J1029" s="18">
        <f>IF(D1029=0,J1028,J1028+C1029*B1029*'P-Parametri'!$B$6)</f>
        <v>48296.561270200691</v>
      </c>
      <c r="K1029" s="18">
        <f>IF(D1029=0,K1028,K1028+'P-Parametri'!$B$8*(F1029+E1029))</f>
        <v>12454.493809304455</v>
      </c>
    </row>
    <row r="1030" spans="1:11">
      <c r="A1030" s="10">
        <f>22</f>
        <v>22</v>
      </c>
      <c r="B1030" s="11">
        <f t="shared" si="6"/>
        <v>0.55914584017400837</v>
      </c>
      <c r="C1030" s="18">
        <f>IF(D1029=0,0,MIN(MAX(H1029,0),((MAX(0,'1-Input'!$B$10-IF($A1030&gt;='1-Input'!$C$12,'1-Input'!$B$12,0))-MIN(MAX(G1029,0),MAX(0,'1-Input'!$B$10-IF($A1030&gt;='1-Input'!$C$12,'1-Input'!$B$12,0))))+MAX(0,1*'1-Input'!$B$10-(G1029-MIN(MAX(G1029,0),MAX(0,'1-Input'!$B$10-IF($A1030&gt;='1-Input'!$C$12,'1-Input'!$B$12,0))))))*(1/(1-'P-Parametri'!$B$6*B1030))))</f>
        <v>23251.540568492554</v>
      </c>
      <c r="D1030" s="10">
        <f>IF(AND(D1029=1,G1029+H1029&gt;0.000001,C1030*(1-'P-Parametri'!$B$6*B1030)&gt;=(MAX(0,'1-Input'!$B$10-IF($A1030&gt;='1-Input'!$C$12,'1-Input'!$B$12,0))-MIN(MAX(G1029,0),MAX(0,'1-Input'!$B$10-IF($A1030&gt;='1-Input'!$C$12,'1-Input'!$B$12,0))))-0.000001),1,0)</f>
        <v>1</v>
      </c>
      <c r="E1030" s="18">
        <f>IF(D1030=0,G1029,(G1029-MAX(0,'1-Input'!$B$10-IF($A1030&gt;='1-Input'!$C$12,'1-Input'!$B$12,0))+C1030*(1-'P-Parametri'!$B$6*B1030))*(1+'1-Input'!$B$27))</f>
        <v>19728.719999999998</v>
      </c>
      <c r="F1030" s="18">
        <f t="shared" si="7"/>
        <v>89873.666076460184</v>
      </c>
      <c r="G1030" s="18">
        <f>IF(D1030=0,G1029,E1030-'P-Parametri'!$B$8*(F1030+E1030)+MIN(MAX(F1030,0),'P-Parametri'!$B$8*(F1030+E1030)))</f>
        <v>19728.719999999998</v>
      </c>
      <c r="H1030" s="18">
        <f>IF(D1030=0,H1029,F1030-MIN(MAX(F1030,0),'P-Parametri'!$B$8*(F1030+E1030)))</f>
        <v>89654.46130430726</v>
      </c>
      <c r="I1030" s="18">
        <f t="shared" si="8"/>
        <v>38467.164610310268</v>
      </c>
      <c r="J1030" s="18">
        <f>IF(D1030=0,J1029,J1029+C1030*B1030*'P-Parametri'!$B$6)</f>
        <v>51676.821838693242</v>
      </c>
      <c r="K1030" s="18">
        <f>IF(D1030=0,K1029,K1029+'P-Parametri'!$B$8*(F1030+E1030))</f>
        <v>12673.698581457375</v>
      </c>
    </row>
    <row r="1031" spans="1:11">
      <c r="A1031" s="10">
        <f>23</f>
        <v>23</v>
      </c>
      <c r="B1031" s="11">
        <f t="shared" si="6"/>
        <v>0.57093976082524078</v>
      </c>
      <c r="C1031" s="18">
        <f>IF(D1030=0,0,MIN(MAX(H1030,0),((MAX(0,'1-Input'!$B$10-IF($A1031&gt;='1-Input'!$C$12,'1-Input'!$B$12,0))-MIN(MAX(G1030,0),MAX(0,'1-Input'!$B$10-IF($A1031&gt;='1-Input'!$C$12,'1-Input'!$B$12,0))))+MAX(0,1*'1-Input'!$B$10-(G1030-MIN(MAX(G1030,0),MAX(0,'1-Input'!$B$10-IF($A1031&gt;='1-Input'!$C$12,'1-Input'!$B$12,0))))))*(1/(1-'P-Parametri'!$B$6*B1031))))</f>
        <v>10297.952781494601</v>
      </c>
      <c r="D1031" s="10">
        <f>IF(AND(D1030=1,G1030+H1030&gt;0.000001,C1031*(1-'P-Parametri'!$B$6*B1031)&gt;=(MAX(0,'1-Input'!$B$10-IF($A1031&gt;='1-Input'!$C$12,'1-Input'!$B$12,0))-MIN(MAX(G1030,0),MAX(0,'1-Input'!$B$10-IF($A1031&gt;='1-Input'!$C$12,'1-Input'!$B$12,0))))-0.000001),1,0)</f>
        <v>1</v>
      </c>
      <c r="E1031" s="18">
        <f>IF(D1031=0,G1030,(G1030-MAX(0,'1-Input'!$B$10-IF($A1031&gt;='1-Input'!$C$12,'1-Input'!$B$12,0))+C1031*(1-'P-Parametri'!$B$6*B1031))*(1+'1-Input'!$B$27))</f>
        <v>19728.719999999998</v>
      </c>
      <c r="F1031" s="18">
        <f t="shared" si="7"/>
        <v>81737.203778497031</v>
      </c>
      <c r="G1031" s="18">
        <f>IF(D1031=0,G1030,E1031-'P-Parametri'!$B$8*(F1031+E1031)+MIN(MAX(F1031,0),'P-Parametri'!$B$8*(F1031+E1031)))</f>
        <v>19728.719999999998</v>
      </c>
      <c r="H1031" s="18">
        <f>IF(D1031=0,H1030,F1031-MIN(MAX(F1031,0),'P-Parametri'!$B$8*(F1031+E1031)))</f>
        <v>81534.271930940042</v>
      </c>
      <c r="I1031" s="18">
        <f t="shared" si="8"/>
        <v>34048.722526871818</v>
      </c>
      <c r="J1031" s="18">
        <f>IF(D1031=0,J1030,J1030+C1031*B1031*'P-Parametri'!$B$6)</f>
        <v>53205.494620187841</v>
      </c>
      <c r="K1031" s="18">
        <f>IF(D1031=0,K1030,K1030+'P-Parametri'!$B$8*(F1031+E1031))</f>
        <v>12876.630429014369</v>
      </c>
    </row>
    <row r="1032" spans="1:11">
      <c r="A1032" s="10">
        <f>24</f>
        <v>24</v>
      </c>
      <c r="B1032" s="11">
        <f t="shared" si="6"/>
        <v>0.58239987037952257</v>
      </c>
      <c r="C1032" s="18">
        <f>IF(D1031=0,0,MIN(MAX(H1031,0),((MAX(0,'1-Input'!$B$10-IF($A1032&gt;='1-Input'!$C$12,'1-Input'!$B$12,0))-MIN(MAX(G1031,0),MAX(0,'1-Input'!$B$10-IF($A1032&gt;='1-Input'!$C$12,'1-Input'!$B$12,0))))+MAX(0,1*'1-Input'!$B$10-(G1031-MIN(MAX(G1031,0),MAX(0,'1-Input'!$B$10-IF($A1032&gt;='1-Input'!$C$12,'1-Input'!$B$12,0))))))*(1/(1-'P-Parametri'!$B$6*B1032))))</f>
        <v>10334.112267760029</v>
      </c>
      <c r="D1032" s="10">
        <f>IF(AND(D1031=1,G1031+H1031&gt;0.000001,C1032*(1-'P-Parametri'!$B$6*B1032)&gt;=(MAX(0,'1-Input'!$B$10-IF($A1032&gt;='1-Input'!$C$12,'1-Input'!$B$12,0))-MIN(MAX(G1031,0),MAX(0,'1-Input'!$B$10-IF($A1032&gt;='1-Input'!$C$12,'1-Input'!$B$12,0))))-0.000001),1,0)</f>
        <v>1</v>
      </c>
      <c r="E1032" s="18">
        <f>IF(D1032=0,G1031,(G1031-MAX(0,'1-Input'!$B$10-IF($A1032&gt;='1-Input'!$C$12,'1-Input'!$B$12,0))+C1032*(1-'P-Parametri'!$B$6*B1032))*(1+'1-Input'!$B$27))</f>
        <v>19728.719999999998</v>
      </c>
      <c r="F1032" s="18">
        <f t="shared" si="7"/>
        <v>73336.164453075413</v>
      </c>
      <c r="G1032" s="18">
        <f>IF(D1032=0,G1031,E1032-'P-Parametri'!$B$8*(F1032+E1032)+MIN(MAX(F1032,0),'P-Parametri'!$B$8*(F1032+E1032)))</f>
        <v>19728.719999999998</v>
      </c>
      <c r="H1032" s="18">
        <f>IF(D1032=0,H1031,F1032-MIN(MAX(F1032,0),'P-Parametri'!$B$8*(F1032+E1032)))</f>
        <v>73150.034684169266</v>
      </c>
      <c r="I1032" s="18">
        <f t="shared" si="8"/>
        <v>29733.195904342661</v>
      </c>
      <c r="J1032" s="18">
        <f>IF(D1032=0,J1031,J1031+C1032*B1032*'P-Parametri'!$B$6)</f>
        <v>54770.326887947871</v>
      </c>
      <c r="K1032" s="18">
        <f>IF(D1032=0,K1031,K1031+'P-Parametri'!$B$8*(F1032+E1032))</f>
        <v>13062.760197920519</v>
      </c>
    </row>
    <row r="1033" spans="1:11">
      <c r="A1033" s="10">
        <f>25</f>
        <v>25</v>
      </c>
      <c r="B1033" s="11">
        <f t="shared" si="6"/>
        <v>0.59353134919596484</v>
      </c>
      <c r="C1033" s="18">
        <f>IF(D1032=0,0,MIN(MAX(H1032,0),((MAX(0,'1-Input'!$B$10-IF($A1033&gt;='1-Input'!$C$12,'1-Input'!$B$12,0))-MIN(MAX(G1032,0),MAX(0,'1-Input'!$B$10-IF($A1033&gt;='1-Input'!$C$12,'1-Input'!$B$12,0))))+MAX(0,1*'1-Input'!$B$10-(G1032-MIN(MAX(G1032,0),MAX(0,'1-Input'!$B$10-IF($A1033&gt;='1-Input'!$C$12,'1-Input'!$B$12,0))))))*(1/(1-'P-Parametri'!$B$6*B1033))))</f>
        <v>10369.478791819585</v>
      </c>
      <c r="D1033" s="10">
        <f>IF(AND(D1032=1,G1032+H1032&gt;0.000001,C1033*(1-'P-Parametri'!$B$6*B1033)&gt;=(MAX(0,'1-Input'!$B$10-IF($A1033&gt;='1-Input'!$C$12,'1-Input'!$B$12,0))-MIN(MAX(G1032,0),MAX(0,'1-Input'!$B$10-IF($A1033&gt;='1-Input'!$C$12,'1-Input'!$B$12,0))))-0.000001),1,0)</f>
        <v>1</v>
      </c>
      <c r="E1033" s="18">
        <f>IF(D1033=0,G1032,(G1032-MAX(0,'1-Input'!$B$10-IF($A1033&gt;='1-Input'!$C$12,'1-Input'!$B$12,0))+C1033*(1-'P-Parametri'!$B$6*B1033))*(1+'1-Input'!$B$27))</f>
        <v>19728.719999999998</v>
      </c>
      <c r="F1033" s="18">
        <f t="shared" si="7"/>
        <v>64663.972569120175</v>
      </c>
      <c r="G1033" s="18">
        <f>IF(D1033=0,G1032,E1033-'P-Parametri'!$B$8*(F1033+E1033)+MIN(MAX(F1033,0),'P-Parametri'!$B$8*(F1033+E1033)))</f>
        <v>19728.719999999998</v>
      </c>
      <c r="H1033" s="18">
        <f>IF(D1033=0,H1032,F1033-MIN(MAX(F1033,0),'P-Parametri'!$B$8*(F1033+E1033)))</f>
        <v>64495.187183981936</v>
      </c>
      <c r="I1033" s="18">
        <f t="shared" si="8"/>
        <v>25518.327850290698</v>
      </c>
      <c r="J1033" s="18">
        <f>IF(D1033=0,J1032,J1032+C1033*B1033*'P-Parametri'!$B$6)</f>
        <v>56370.525679767452</v>
      </c>
      <c r="K1033" s="18">
        <f>IF(D1033=0,K1032,K1032+'P-Parametri'!$B$8*(F1033+E1033))</f>
        <v>13231.54558305876</v>
      </c>
    </row>
    <row r="1034" spans="1:11">
      <c r="A1034" s="10">
        <f>26</f>
        <v>26</v>
      </c>
      <c r="B1034" s="11">
        <f t="shared" si="6"/>
        <v>0.6043374868035355</v>
      </c>
      <c r="C1034" s="18">
        <f>IF(D1033=0,0,MIN(MAX(H1033,0),((MAX(0,'1-Input'!$B$10-IF($A1034&gt;='1-Input'!$C$12,'1-Input'!$B$12,0))-MIN(MAX(G1033,0),MAX(0,'1-Input'!$B$10-IF($A1034&gt;='1-Input'!$C$12,'1-Input'!$B$12,0))))+MAX(0,1*'1-Input'!$B$10-(G1033-MIN(MAX(G1033,0),MAX(0,'1-Input'!$B$10-IF($A1034&gt;='1-Input'!$C$12,'1-Input'!$B$12,0))))))*(1/(1-'P-Parametri'!$B$6*B1034))))</f>
        <v>10404.043986859086</v>
      </c>
      <c r="D1034" s="10">
        <f>IF(AND(D1033=1,G1033+H1033&gt;0.000001,C1034*(1-'P-Parametri'!$B$6*B1034)&gt;=(MAX(0,'1-Input'!$B$10-IF($A1034&gt;='1-Input'!$C$12,'1-Input'!$B$12,0))-MIN(MAX(G1033,0),MAX(0,'1-Input'!$B$10-IF($A1034&gt;='1-Input'!$C$12,'1-Input'!$B$12,0))))-0.000001),1,0)</f>
        <v>1</v>
      </c>
      <c r="E1034" s="18">
        <f>IF(D1034=0,G1033,(G1033-MAX(0,'1-Input'!$B$10-IF($A1034&gt;='1-Input'!$C$12,'1-Input'!$B$12,0))+C1034*(1-'P-Parametri'!$B$6*B1034))*(1+'1-Input'!$B$27))</f>
        <v>19728.719999999998</v>
      </c>
      <c r="F1034" s="18">
        <f t="shared" si="7"/>
        <v>55713.87749303654</v>
      </c>
      <c r="G1034" s="18">
        <f>IF(D1034=0,G1033,E1034-'P-Parametri'!$B$8*(F1034+E1034)+MIN(MAX(F1034,0),'P-Parametri'!$B$8*(F1034+E1034)))</f>
        <v>19728.719999999998</v>
      </c>
      <c r="H1034" s="18">
        <f>IF(D1034=0,H1033,F1034-MIN(MAX(F1034,0),'P-Parametri'!$B$8*(F1034+E1034)))</f>
        <v>55562.992298050463</v>
      </c>
      <c r="I1034" s="18">
        <f t="shared" si="8"/>
        <v>21401.837659043467</v>
      </c>
      <c r="J1034" s="18">
        <f>IF(D1034=0,J1033,J1033+C1034*B1034*'P-Parametri'!$B$6)</f>
        <v>58005.289666626537</v>
      </c>
      <c r="K1034" s="18">
        <f>IF(D1034=0,K1033,K1033+'P-Parametri'!$B$8*(F1034+E1034))</f>
        <v>13382.430778044833</v>
      </c>
    </row>
    <row r="1035" spans="1:11">
      <c r="A1035" s="10">
        <f>27</f>
        <v>27</v>
      </c>
      <c r="B1035" s="11">
        <f t="shared" si="6"/>
        <v>0.61481848306081255</v>
      </c>
      <c r="C1035" s="18">
        <f>IF(D1034=0,0,MIN(MAX(H1034,0),((MAX(0,'1-Input'!$B$10-IF($A1035&gt;='1-Input'!$C$12,'1-Input'!$B$12,0))-MIN(MAX(G1034,0),MAX(0,'1-Input'!$B$10-IF($A1035&gt;='1-Input'!$C$12,'1-Input'!$B$12,0))))+MAX(0,1*'1-Input'!$B$10-(G1034-MIN(MAX(G1034,0),MAX(0,'1-Input'!$B$10-IF($A1035&gt;='1-Input'!$C$12,'1-Input'!$B$12,0))))))*(1/(1-'P-Parametri'!$B$6*B1035))))</f>
        <v>10437.790018710893</v>
      </c>
      <c r="D1035" s="10">
        <f>IF(AND(D1034=1,G1034+H1034&gt;0.000001,C1035*(1-'P-Parametri'!$B$6*B1035)&gt;=(MAX(0,'1-Input'!$B$10-IF($A1035&gt;='1-Input'!$C$12,'1-Input'!$B$12,0))-MIN(MAX(G1034,0),MAX(0,'1-Input'!$B$10-IF($A1035&gt;='1-Input'!$C$12,'1-Input'!$B$12,0))))-0.000001),1,0)</f>
        <v>1</v>
      </c>
      <c r="E1035" s="18">
        <f>IF(D1035=0,G1034,(G1034-MAX(0,'1-Input'!$B$10-IF($A1035&gt;='1-Input'!$C$12,'1-Input'!$B$12,0))+C1035*(1-'P-Parametri'!$B$6*B1035))*(1+'1-Input'!$B$27))</f>
        <v>19728.719999999998</v>
      </c>
      <c r="F1035" s="18">
        <f t="shared" si="7"/>
        <v>46478.958347719759</v>
      </c>
      <c r="G1035" s="18">
        <f>IF(D1035=0,G1034,E1035-'P-Parametri'!$B$8*(F1035+E1035)+MIN(MAX(F1035,0),'P-Parametri'!$B$8*(F1035+E1035)))</f>
        <v>19728.719999999998</v>
      </c>
      <c r="H1035" s="18">
        <f>IF(D1035=0,H1034,F1035-MIN(MAX(F1035,0),'P-Parametri'!$B$8*(F1035+E1035)))</f>
        <v>46346.542991024318</v>
      </c>
      <c r="I1035" s="18">
        <f t="shared" si="8"/>
        <v>17381.393866143695</v>
      </c>
      <c r="J1035" s="18">
        <f>IF(D1035=0,J1034,J1034+C1035*B1035*'P-Parametri'!$B$6)</f>
        <v>59673.799685337428</v>
      </c>
      <c r="K1035" s="18">
        <f>IF(D1035=0,K1034,K1034+'P-Parametri'!$B$8*(F1035+E1035))</f>
        <v>13514.846134740272</v>
      </c>
    </row>
    <row r="1036" spans="1:11">
      <c r="A1036" s="10">
        <f>28</f>
        <v>28</v>
      </c>
      <c r="B1036" s="11">
        <f t="shared" si="6"/>
        <v>0.62496892444578112</v>
      </c>
      <c r="C1036" s="18">
        <f>IF(D1035=0,0,MIN(MAX(H1035,0),((MAX(0,'1-Input'!$B$10-IF($A1036&gt;='1-Input'!$C$12,'1-Input'!$B$12,0))-MIN(MAX(G1035,0),MAX(0,'1-Input'!$B$10-IF($A1036&gt;='1-Input'!$C$12,'1-Input'!$B$12,0))))+MAX(0,1*'1-Input'!$B$10-(G1035-MIN(MAX(G1035,0),MAX(0,'1-Input'!$B$10-IF($A1036&gt;='1-Input'!$C$12,'1-Input'!$B$12,0))))))*(1/(1-'P-Parametri'!$B$6*B1036))))</f>
        <v>10470.681075371298</v>
      </c>
      <c r="D1036" s="10">
        <f>IF(AND(D1035=1,G1035+H1035&gt;0.000001,C1036*(1-'P-Parametri'!$B$6*B1036)&gt;=(MAX(0,'1-Input'!$B$10-IF($A1036&gt;='1-Input'!$C$12,'1-Input'!$B$12,0))-MIN(MAX(G1035,0),MAX(0,'1-Input'!$B$10-IF($A1036&gt;='1-Input'!$C$12,'1-Input'!$B$12,0))))-0.000001),1,0)</f>
        <v>1</v>
      </c>
      <c r="E1036" s="18">
        <f>IF(D1036=0,G1035,(G1035-MAX(0,'1-Input'!$B$10-IF($A1036&gt;='1-Input'!$C$12,'1-Input'!$B$12,0))+C1036*(1-'P-Parametri'!$B$6*B1036))*(1+'1-Input'!$B$27))</f>
        <v>19728.719999999998</v>
      </c>
      <c r="F1036" s="18">
        <f t="shared" si="7"/>
        <v>36952.137773122609</v>
      </c>
      <c r="G1036" s="18">
        <f>IF(D1036=0,G1035,E1036-'P-Parametri'!$B$8*(F1036+E1036)+MIN(MAX(F1036,0),'P-Parametri'!$B$8*(F1036+E1036)))</f>
        <v>19728.719999999998</v>
      </c>
      <c r="H1036" s="18">
        <f>IF(D1036=0,H1035,F1036-MIN(MAX(F1036,0),'P-Parametri'!$B$8*(F1036+E1036)))</f>
        <v>36838.776057576368</v>
      </c>
      <c r="I1036" s="18">
        <f t="shared" si="8"/>
        <v>13454.563080661992</v>
      </c>
      <c r="J1036" s="18">
        <f>IF(D1036=0,J1035,J1035+C1036*B1036*'P-Parametri'!$B$6)</f>
        <v>61375.200760708722</v>
      </c>
      <c r="K1036" s="18">
        <f>IF(D1036=0,K1035,K1035+'P-Parametri'!$B$8*(F1036+E1036))</f>
        <v>13628.207850286517</v>
      </c>
    </row>
    <row r="1037" spans="1:11">
      <c r="A1037" s="10">
        <f>29</f>
        <v>29</v>
      </c>
      <c r="B1037" s="11">
        <f t="shared" si="6"/>
        <v>0.63477171283775891</v>
      </c>
      <c r="C1037" s="18">
        <f>IF(D1036=0,0,MIN(MAX(H1036,0),((MAX(0,'1-Input'!$B$10-IF($A1037&gt;='1-Input'!$C$12,'1-Input'!$B$12,0))-MIN(MAX(G1036,0),MAX(0,'1-Input'!$B$10-IF($A1037&gt;='1-Input'!$C$12,'1-Input'!$B$12,0))))+MAX(0,1*'1-Input'!$B$10-(G1036-MIN(MAX(G1036,0),MAX(0,'1-Input'!$B$10-IF($A1037&gt;='1-Input'!$C$12,'1-Input'!$B$12,0))))))*(1/(1-'P-Parametri'!$B$6*B1037))))</f>
        <v>10502.642974217561</v>
      </c>
      <c r="D1037" s="10">
        <f>IF(AND(D1036=1,G1036+H1036&gt;0.000001,C1037*(1-'P-Parametri'!$B$6*B1037)&gt;=(MAX(0,'1-Input'!$B$10-IF($A1037&gt;='1-Input'!$C$12,'1-Input'!$B$12,0))-MIN(MAX(G1036,0),MAX(0,'1-Input'!$B$10-IF($A1037&gt;='1-Input'!$C$12,'1-Input'!$B$12,0))))-0.000001),1,0)</f>
        <v>1</v>
      </c>
      <c r="E1037" s="18">
        <f>IF(D1037=0,G1036,(G1036-MAX(0,'1-Input'!$B$10-IF($A1037&gt;='1-Input'!$C$12,'1-Input'!$B$12,0))+C1037*(1-'P-Parametri'!$B$6*B1037))*(1+'1-Input'!$B$27))</f>
        <v>19728.719999999998</v>
      </c>
      <c r="F1037" s="18">
        <f t="shared" si="7"/>
        <v>27126.217075859571</v>
      </c>
      <c r="G1037" s="18">
        <f>IF(D1037=0,G1036,E1037-'P-Parametri'!$B$8*(F1037+E1037)+MIN(MAX(F1037,0),'P-Parametri'!$B$8*(F1037+E1037)))</f>
        <v>19728.719999999998</v>
      </c>
      <c r="H1037" s="18">
        <f>IF(D1037=0,H1036,F1037-MIN(MAX(F1037,0),'P-Parametri'!$B$8*(F1037+E1037)))</f>
        <v>27032.507201707853</v>
      </c>
      <c r="I1037" s="18">
        <f t="shared" si="8"/>
        <v>9618.700776511967</v>
      </c>
      <c r="J1037" s="18">
        <f>IF(D1037=0,J1036,J1036+C1037*B1037*'P-Parametri'!$B$6)</f>
        <v>63108.563734926283</v>
      </c>
      <c r="K1037" s="18">
        <f>IF(D1037=0,K1036,K1036+'P-Parametri'!$B$8*(F1037+E1037))</f>
        <v>13721.917724438235</v>
      </c>
    </row>
    <row r="1038" spans="1:11">
      <c r="A1038" s="10">
        <f>30</f>
        <v>30</v>
      </c>
      <c r="B1038" s="11">
        <f t="shared" si="6"/>
        <v>0.64418021958746474</v>
      </c>
      <c r="C1038" s="18">
        <f>IF(D1037=0,0,MIN(MAX(H1037,0),((MAX(0,'1-Input'!$B$10-IF($A1038&gt;='1-Input'!$C$12,'1-Input'!$B$12,0))-MIN(MAX(G1037,0),MAX(0,'1-Input'!$B$10-IF($A1038&gt;='1-Input'!$C$12,'1-Input'!$B$12,0))))+MAX(0,1*'1-Input'!$B$10-(G1037-MIN(MAX(G1037,0),MAX(0,'1-Input'!$B$10-IF($A1038&gt;='1-Input'!$C$12,'1-Input'!$B$12,0))))))*(1/(1-'P-Parametri'!$B$6*B1038))))</f>
        <v>10533.503374344791</v>
      </c>
      <c r="D1038" s="10">
        <f>IF(AND(D1037=1,G1037+H1037&gt;0.000001,C1038*(1-'P-Parametri'!$B$6*B1038)&gt;=(MAX(0,'1-Input'!$B$10-IF($A1038&gt;='1-Input'!$C$12,'1-Input'!$B$12,0))-MIN(MAX(G1037,0),MAX(0,'1-Input'!$B$10-IF($A1038&gt;='1-Input'!$C$12,'1-Input'!$B$12,0))))-0.000001),1,0)</f>
        <v>1</v>
      </c>
      <c r="E1038" s="18">
        <f>IF(D1038=0,G1037,(G1037-MAX(0,'1-Input'!$B$10-IF($A1038&gt;='1-Input'!$C$12,'1-Input'!$B$12,0))+C1038*(1-'P-Parametri'!$B$6*B1038))*(1+'1-Input'!$B$27))</f>
        <v>19728.719999999998</v>
      </c>
      <c r="F1038" s="18">
        <f t="shared" si="7"/>
        <v>16993.973942183955</v>
      </c>
      <c r="G1038" s="18">
        <f>IF(D1038=0,G1037,E1038-'P-Parametri'!$B$8*(F1038+E1038)+MIN(MAX(F1038,0),'P-Parametri'!$B$8*(F1038+E1038)))</f>
        <v>19728.719999999998</v>
      </c>
      <c r="H1038" s="18">
        <f>IF(D1038=0,H1037,F1038-MIN(MAX(F1038,0),'P-Parametri'!$B$8*(F1038+E1038)))</f>
        <v>16920.528554299588</v>
      </c>
      <c r="I1038" s="18">
        <f t="shared" si="8"/>
        <v>5870.6719188779043</v>
      </c>
      <c r="J1038" s="18">
        <f>IF(D1038=0,J1037,J1037+C1038*B1038*'P-Parametri'!$B$6)</f>
        <v>64872.78710927107</v>
      </c>
      <c r="K1038" s="18">
        <f>IF(D1038=0,K1037,K1037+'P-Parametri'!$B$8*(F1038+E1038))</f>
        <v>13795.363112322604</v>
      </c>
    </row>
    <row r="1039" spans="1:11">
      <c r="A1039" s="10">
        <f>31</f>
        <v>31</v>
      </c>
      <c r="B1039" s="11">
        <f t="shared" si="6"/>
        <v>0.65304441288353621</v>
      </c>
      <c r="C1039" s="18">
        <f>IF(D1038=0,0,MIN(MAX(H1038,0),((MAX(0,'1-Input'!$B$10-IF($A1039&gt;='1-Input'!$C$12,'1-Input'!$B$12,0))-MIN(MAX(G1038,0),MAX(0,'1-Input'!$B$10-IF($A1039&gt;='1-Input'!$C$12,'1-Input'!$B$12,0))))+MAX(0,1*'1-Input'!$B$10-(G1038-MIN(MAX(G1038,0),MAX(0,'1-Input'!$B$10-IF($A1039&gt;='1-Input'!$C$12,'1-Input'!$B$12,0))))))*(1/(1-'P-Parametri'!$B$6*B1039))))</f>
        <v>10562.744780549709</v>
      </c>
      <c r="D1039" s="10">
        <f>IF(AND(D1038=1,G1038+H1038&gt;0.000001,C1039*(1-'P-Parametri'!$B$6*B1039)&gt;=(MAX(0,'1-Input'!$B$10-IF($A1039&gt;='1-Input'!$C$12,'1-Input'!$B$12,0))-MIN(MAX(G1038,0),MAX(0,'1-Input'!$B$10-IF($A1039&gt;='1-Input'!$C$12,'1-Input'!$B$12,0))))-0.000001),1,0)</f>
        <v>1</v>
      </c>
      <c r="E1039" s="18">
        <f>IF(D1039=0,G1038,(G1038-MAX(0,'1-Input'!$B$10-IF($A1039&gt;='1-Input'!$C$12,'1-Input'!$B$12,0))+C1039*(1-'P-Parametri'!$B$6*B1039))*(1+'1-Input'!$B$27))</f>
        <v>19728.719999999998</v>
      </c>
      <c r="F1039" s="18">
        <f t="shared" si="7"/>
        <v>6548.5172869623757</v>
      </c>
      <c r="G1039" s="18">
        <f>IF(D1039=0,G1038,E1039-'P-Parametri'!$B$8*(F1039+E1039)+MIN(MAX(F1039,0),'P-Parametri'!$B$8*(F1039+E1039)))</f>
        <v>19728.719999999998</v>
      </c>
      <c r="H1039" s="18">
        <f>IF(D1039=0,H1038,F1039-MIN(MAX(F1039,0),'P-Parametri'!$B$8*(F1039+E1039)))</f>
        <v>6495.9628123884513</v>
      </c>
      <c r="I1039" s="18">
        <f t="shared" si="8"/>
        <v>2205.8686019809165</v>
      </c>
      <c r="J1039" s="18">
        <f>IF(D1039=0,J1038,J1038+C1039*B1039*'P-Parametri'!$B$6)</f>
        <v>66666.251889820778</v>
      </c>
      <c r="K1039" s="18">
        <f>IF(D1039=0,K1038,K1038+'P-Parametri'!$B$8*(F1039+E1039))</f>
        <v>13847.917586896529</v>
      </c>
    </row>
    <row r="1040" spans="1:11">
      <c r="A1040" s="10">
        <f>32</f>
        <v>32</v>
      </c>
      <c r="B1040" s="11">
        <f t="shared" si="6"/>
        <v>0.66042468750373629</v>
      </c>
      <c r="C1040" s="18">
        <f>IF(D1039=0,0,MIN(MAX(H1039,0),((MAX(0,'1-Input'!$B$10-IF($A1040&gt;='1-Input'!$C$12,'1-Input'!$B$12,0))-MIN(MAX(G1039,0),MAX(0,'1-Input'!$B$10-IF($A1040&gt;='1-Input'!$C$12,'1-Input'!$B$12,0))))+MAX(0,1*'1-Input'!$B$10-(G1039-MIN(MAX(G1039,0),MAX(0,'1-Input'!$B$10-IF($A1040&gt;='1-Input'!$C$12,'1-Input'!$B$12,0))))))*(1/(1-'P-Parametri'!$B$6*B1040))))</f>
        <v>6495.9628123884513</v>
      </c>
      <c r="D1040" s="10">
        <f>IF(AND(D1039=1,G1039+H1039&gt;0.000001,C1040*(1-'P-Parametri'!$B$6*B1040)&gt;=(MAX(0,'1-Input'!$B$10-IF($A1040&gt;='1-Input'!$C$12,'1-Input'!$B$12,0))-MIN(MAX(G1039,0),MAX(0,'1-Input'!$B$10-IF($A1040&gt;='1-Input'!$C$12,'1-Input'!$B$12,0))))-0.000001),1,0)</f>
        <v>1</v>
      </c>
      <c r="E1040" s="18">
        <f>IF(D1040=0,G1039,(G1039-MAX(0,'1-Input'!$B$10-IF($A1040&gt;='1-Input'!$C$12,'1-Input'!$B$12,0))+C1040*(1-'P-Parametri'!$B$6*B1040))*(1+'1-Input'!$B$27))</f>
        <v>16352.17778773883</v>
      </c>
      <c r="F1040" s="18">
        <f t="shared" si="7"/>
        <v>0</v>
      </c>
      <c r="G1040" s="18">
        <f>IF(D1040=0,G1039,E1040-'P-Parametri'!$B$8*(F1040+E1040)+MIN(MAX(F1040,0),'P-Parametri'!$B$8*(F1040+E1040)))</f>
        <v>16319.473432163353</v>
      </c>
      <c r="H1040" s="18">
        <f>IF(D1040=0,H1039,F1040-MIN(MAX(F1040,0),'P-Parametri'!$B$8*(F1040+E1040)))</f>
        <v>0</v>
      </c>
      <c r="I1040" s="18">
        <f t="shared" si="8"/>
        <v>0</v>
      </c>
      <c r="J1040" s="18">
        <f>IF(D1040=0,J1039,J1039+C1040*B1040*'P-Parametri'!$B$6)</f>
        <v>67781.676384526741</v>
      </c>
      <c r="K1040" s="18">
        <f>IF(D1040=0,K1039,K1039+'P-Parametri'!$B$8*(F1040+E1040))</f>
        <v>13880.621942472006</v>
      </c>
    </row>
    <row r="1041" spans="1:11">
      <c r="A1041" s="10">
        <f>33</f>
        <v>33</v>
      </c>
      <c r="B1041" s="11">
        <f t="shared" ref="B1041:B1058" si="9">IF(H1040&lt;=0,0,MAX(0,(H1040-I1040)/H1040))</f>
        <v>0</v>
      </c>
      <c r="C1041" s="18">
        <f>IF(D1040=0,0,MIN(MAX(H1040,0),((MAX(0,'1-Input'!$B$10-IF($A1041&gt;='1-Input'!$C$12,'1-Input'!$B$12,0))-MIN(MAX(G1040,0),MAX(0,'1-Input'!$B$10-IF($A1041&gt;='1-Input'!$C$12,'1-Input'!$B$12,0))))+MAX(0,1*'1-Input'!$B$10-(G1040-MIN(MAX(G1040,0),MAX(0,'1-Input'!$B$10-IF($A1041&gt;='1-Input'!$C$12,'1-Input'!$B$12,0))))))*(1/(1-'P-Parametri'!$B$6*B1041))))</f>
        <v>0</v>
      </c>
      <c r="D1041" s="10">
        <f>IF(AND(D1040=1,G1040+H1040&gt;0.000001,C1041*(1-'P-Parametri'!$B$6*B1041)&gt;=(MAX(0,'1-Input'!$B$10-IF($A1041&gt;='1-Input'!$C$12,'1-Input'!$B$12,0))-MIN(MAX(G1040,0),MAX(0,'1-Input'!$B$10-IF($A1041&gt;='1-Input'!$C$12,'1-Input'!$B$12,0))))-0.000001),1,0)</f>
        <v>1</v>
      </c>
      <c r="E1041" s="18">
        <f>IF(D1041=0,G1040,(G1040-MAX(0,'1-Input'!$B$10-IF($A1041&gt;='1-Input'!$C$12,'1-Input'!$B$12,0))+C1041*(1-'P-Parametri'!$B$6*B1041))*(1+'1-Input'!$B$27))</f>
        <v>7594.0361278075652</v>
      </c>
      <c r="F1041" s="18">
        <f t="shared" ref="F1041:F1058" si="10">IF(D1041=0,H1040,(H1040-C1041)*(1+$C$4))</f>
        <v>0</v>
      </c>
      <c r="G1041" s="18">
        <f>IF(D1041=0,G1040,E1041-'P-Parametri'!$B$8*(F1041+E1041)+MIN(MAX(F1041,0),'P-Parametri'!$B$8*(F1041+E1041)))</f>
        <v>7578.84805555195</v>
      </c>
      <c r="H1041" s="18">
        <f>IF(D1041=0,H1040,F1041-MIN(MAX(F1041,0),'P-Parametri'!$B$8*(F1041+E1041)))</f>
        <v>0</v>
      </c>
      <c r="I1041" s="18">
        <f t="shared" ref="I1041:I1058" si="11">IF(D1041=0,I1040,I1040-C1041*(1-B1041))</f>
        <v>0</v>
      </c>
      <c r="J1041" s="18">
        <f>IF(D1041=0,J1040,J1040+C1041*B1041*'P-Parametri'!$B$6)</f>
        <v>67781.676384526741</v>
      </c>
      <c r="K1041" s="18">
        <f>IF(D1041=0,K1040,K1040+'P-Parametri'!$B$8*(F1041+E1041))</f>
        <v>13895.81001472762</v>
      </c>
    </row>
    <row r="1042" spans="1:11">
      <c r="A1042" s="10">
        <f>34</f>
        <v>34</v>
      </c>
      <c r="B1042" s="11">
        <f t="shared" si="9"/>
        <v>0</v>
      </c>
      <c r="C1042" s="18">
        <f>IF(D1041=0,0,MIN(MAX(H1041,0),((MAX(0,'1-Input'!$B$10-IF($A1042&gt;='1-Input'!$C$12,'1-Input'!$B$12,0))-MIN(MAX(G1041,0),MAX(0,'1-Input'!$B$10-IF($A1042&gt;='1-Input'!$C$12,'1-Input'!$B$12,0))))+MAX(0,1*'1-Input'!$B$10-(G1041-MIN(MAX(G1041,0),MAX(0,'1-Input'!$B$10-IF($A1042&gt;='1-Input'!$C$12,'1-Input'!$B$12,0))))))*(1/(1-'P-Parametri'!$B$6*B1042))))</f>
        <v>0</v>
      </c>
      <c r="D1042" s="10">
        <f>IF(AND(D1041=1,G1041+H1041&gt;0.000001,C1042*(1-'P-Parametri'!$B$6*B1042)&gt;=(MAX(0,'1-Input'!$B$10-IF($A1042&gt;='1-Input'!$C$12,'1-Input'!$B$12,0))-MIN(MAX(G1041,0),MAX(0,'1-Input'!$B$10-IF($A1042&gt;='1-Input'!$C$12,'1-Input'!$B$12,0))))-0.000001),1,0)</f>
        <v>0</v>
      </c>
      <c r="E1042" s="18">
        <f>IF(D1042=0,G1041,(G1041-MAX(0,'1-Input'!$B$10-IF($A1042&gt;='1-Input'!$C$12,'1-Input'!$B$12,0))+C1042*(1-'P-Parametri'!$B$6*B1042))*(1+'1-Input'!$B$27))</f>
        <v>7578.84805555195</v>
      </c>
      <c r="F1042" s="18">
        <f t="shared" si="10"/>
        <v>0</v>
      </c>
      <c r="G1042" s="18">
        <f>IF(D1042=0,G1041,E1042-'P-Parametri'!$B$8*(F1042+E1042)+MIN(MAX(F1042,0),'P-Parametri'!$B$8*(F1042+E1042)))</f>
        <v>7578.84805555195</v>
      </c>
      <c r="H1042" s="18">
        <f>IF(D1042=0,H1041,F1042-MIN(MAX(F1042,0),'P-Parametri'!$B$8*(F1042+E1042)))</f>
        <v>0</v>
      </c>
      <c r="I1042" s="18">
        <f t="shared" si="11"/>
        <v>0</v>
      </c>
      <c r="J1042" s="18">
        <f>IF(D1042=0,J1041,J1041+C1042*B1042*'P-Parametri'!$B$6)</f>
        <v>67781.676384526741</v>
      </c>
      <c r="K1042" s="18">
        <f>IF(D1042=0,K1041,K1041+'P-Parametri'!$B$8*(F1042+E1042))</f>
        <v>13895.81001472762</v>
      </c>
    </row>
    <row r="1043" spans="1:11">
      <c r="A1043" s="10">
        <f>35</f>
        <v>35</v>
      </c>
      <c r="B1043" s="11">
        <f t="shared" si="9"/>
        <v>0</v>
      </c>
      <c r="C1043" s="18">
        <f>IF(D1042=0,0,MIN(MAX(H1042,0),((MAX(0,'1-Input'!$B$10-IF($A1043&gt;='1-Input'!$C$12,'1-Input'!$B$12,0))-MIN(MAX(G1042,0),MAX(0,'1-Input'!$B$10-IF($A1043&gt;='1-Input'!$C$12,'1-Input'!$B$12,0))))+MAX(0,1*'1-Input'!$B$10-(G1042-MIN(MAX(G1042,0),MAX(0,'1-Input'!$B$10-IF($A1043&gt;='1-Input'!$C$12,'1-Input'!$B$12,0))))))*(1/(1-'P-Parametri'!$B$6*B1043))))</f>
        <v>0</v>
      </c>
      <c r="D1043" s="10">
        <f>IF(AND(D1042=1,G1042+H1042&gt;0.000001,C1043*(1-'P-Parametri'!$B$6*B1043)&gt;=(MAX(0,'1-Input'!$B$10-IF($A1043&gt;='1-Input'!$C$12,'1-Input'!$B$12,0))-MIN(MAX(G1042,0),MAX(0,'1-Input'!$B$10-IF($A1043&gt;='1-Input'!$C$12,'1-Input'!$B$12,0))))-0.000001),1,0)</f>
        <v>0</v>
      </c>
      <c r="E1043" s="18">
        <f>IF(D1043=0,G1042,(G1042-MAX(0,'1-Input'!$B$10-IF($A1043&gt;='1-Input'!$C$12,'1-Input'!$B$12,0))+C1043*(1-'P-Parametri'!$B$6*B1043))*(1+'1-Input'!$B$27))</f>
        <v>7578.84805555195</v>
      </c>
      <c r="F1043" s="18">
        <f t="shared" si="10"/>
        <v>0</v>
      </c>
      <c r="G1043" s="18">
        <f>IF(D1043=0,G1042,E1043-'P-Parametri'!$B$8*(F1043+E1043)+MIN(MAX(F1043,0),'P-Parametri'!$B$8*(F1043+E1043)))</f>
        <v>7578.84805555195</v>
      </c>
      <c r="H1043" s="18">
        <f>IF(D1043=0,H1042,F1043-MIN(MAX(F1043,0),'P-Parametri'!$B$8*(F1043+E1043)))</f>
        <v>0</v>
      </c>
      <c r="I1043" s="18">
        <f t="shared" si="11"/>
        <v>0</v>
      </c>
      <c r="J1043" s="18">
        <f>IF(D1043=0,J1042,J1042+C1043*B1043*'P-Parametri'!$B$6)</f>
        <v>67781.676384526741</v>
      </c>
      <c r="K1043" s="18">
        <f>IF(D1043=0,K1042,K1042+'P-Parametri'!$B$8*(F1043+E1043))</f>
        <v>13895.81001472762</v>
      </c>
    </row>
    <row r="1044" spans="1:11">
      <c r="A1044" s="10">
        <f>36</f>
        <v>36</v>
      </c>
      <c r="B1044" s="11">
        <f t="shared" si="9"/>
        <v>0</v>
      </c>
      <c r="C1044" s="18">
        <f>IF(D1043=0,0,MIN(MAX(H1043,0),((MAX(0,'1-Input'!$B$10-IF($A1044&gt;='1-Input'!$C$12,'1-Input'!$B$12,0))-MIN(MAX(G1043,0),MAX(0,'1-Input'!$B$10-IF($A1044&gt;='1-Input'!$C$12,'1-Input'!$B$12,0))))+MAX(0,1*'1-Input'!$B$10-(G1043-MIN(MAX(G1043,0),MAX(0,'1-Input'!$B$10-IF($A1044&gt;='1-Input'!$C$12,'1-Input'!$B$12,0))))))*(1/(1-'P-Parametri'!$B$6*B1044))))</f>
        <v>0</v>
      </c>
      <c r="D1044" s="10">
        <f>IF(AND(D1043=1,G1043+H1043&gt;0.000001,C1044*(1-'P-Parametri'!$B$6*B1044)&gt;=(MAX(0,'1-Input'!$B$10-IF($A1044&gt;='1-Input'!$C$12,'1-Input'!$B$12,0))-MIN(MAX(G1043,0),MAX(0,'1-Input'!$B$10-IF($A1044&gt;='1-Input'!$C$12,'1-Input'!$B$12,0))))-0.000001),1,0)</f>
        <v>0</v>
      </c>
      <c r="E1044" s="18">
        <f>IF(D1044=0,G1043,(G1043-MAX(0,'1-Input'!$B$10-IF($A1044&gt;='1-Input'!$C$12,'1-Input'!$B$12,0))+C1044*(1-'P-Parametri'!$B$6*B1044))*(1+'1-Input'!$B$27))</f>
        <v>7578.84805555195</v>
      </c>
      <c r="F1044" s="18">
        <f t="shared" si="10"/>
        <v>0</v>
      </c>
      <c r="G1044" s="18">
        <f>IF(D1044=0,G1043,E1044-'P-Parametri'!$B$8*(F1044+E1044)+MIN(MAX(F1044,0),'P-Parametri'!$B$8*(F1044+E1044)))</f>
        <v>7578.84805555195</v>
      </c>
      <c r="H1044" s="18">
        <f>IF(D1044=0,H1043,F1044-MIN(MAX(F1044,0),'P-Parametri'!$B$8*(F1044+E1044)))</f>
        <v>0</v>
      </c>
      <c r="I1044" s="18">
        <f t="shared" si="11"/>
        <v>0</v>
      </c>
      <c r="J1044" s="18">
        <f>IF(D1044=0,J1043,J1043+C1044*B1044*'P-Parametri'!$B$6)</f>
        <v>67781.676384526741</v>
      </c>
      <c r="K1044" s="18">
        <f>IF(D1044=0,K1043,K1043+'P-Parametri'!$B$8*(F1044+E1044))</f>
        <v>13895.81001472762</v>
      </c>
    </row>
    <row r="1045" spans="1:11">
      <c r="A1045" s="10">
        <f>37</f>
        <v>37</v>
      </c>
      <c r="B1045" s="11">
        <f t="shared" si="9"/>
        <v>0</v>
      </c>
      <c r="C1045" s="18">
        <f>IF(D1044=0,0,MIN(MAX(H1044,0),((MAX(0,'1-Input'!$B$10-IF($A1045&gt;='1-Input'!$C$12,'1-Input'!$B$12,0))-MIN(MAX(G1044,0),MAX(0,'1-Input'!$B$10-IF($A1045&gt;='1-Input'!$C$12,'1-Input'!$B$12,0))))+MAX(0,1*'1-Input'!$B$10-(G1044-MIN(MAX(G1044,0),MAX(0,'1-Input'!$B$10-IF($A1045&gt;='1-Input'!$C$12,'1-Input'!$B$12,0))))))*(1/(1-'P-Parametri'!$B$6*B1045))))</f>
        <v>0</v>
      </c>
      <c r="D1045" s="10">
        <f>IF(AND(D1044=1,G1044+H1044&gt;0.000001,C1045*(1-'P-Parametri'!$B$6*B1045)&gt;=(MAX(0,'1-Input'!$B$10-IF($A1045&gt;='1-Input'!$C$12,'1-Input'!$B$12,0))-MIN(MAX(G1044,0),MAX(0,'1-Input'!$B$10-IF($A1045&gt;='1-Input'!$C$12,'1-Input'!$B$12,0))))-0.000001),1,0)</f>
        <v>0</v>
      </c>
      <c r="E1045" s="18">
        <f>IF(D1045=0,G1044,(G1044-MAX(0,'1-Input'!$B$10-IF($A1045&gt;='1-Input'!$C$12,'1-Input'!$B$12,0))+C1045*(1-'P-Parametri'!$B$6*B1045))*(1+'1-Input'!$B$27))</f>
        <v>7578.84805555195</v>
      </c>
      <c r="F1045" s="18">
        <f t="shared" si="10"/>
        <v>0</v>
      </c>
      <c r="G1045" s="18">
        <f>IF(D1045=0,G1044,E1045-'P-Parametri'!$B$8*(F1045+E1045)+MIN(MAX(F1045,0),'P-Parametri'!$B$8*(F1045+E1045)))</f>
        <v>7578.84805555195</v>
      </c>
      <c r="H1045" s="18">
        <f>IF(D1045=0,H1044,F1045-MIN(MAX(F1045,0),'P-Parametri'!$B$8*(F1045+E1045)))</f>
        <v>0</v>
      </c>
      <c r="I1045" s="18">
        <f t="shared" si="11"/>
        <v>0</v>
      </c>
      <c r="J1045" s="18">
        <f>IF(D1045=0,J1044,J1044+C1045*B1045*'P-Parametri'!$B$6)</f>
        <v>67781.676384526741</v>
      </c>
      <c r="K1045" s="18">
        <f>IF(D1045=0,K1044,K1044+'P-Parametri'!$B$8*(F1045+E1045))</f>
        <v>13895.81001472762</v>
      </c>
    </row>
    <row r="1046" spans="1:11">
      <c r="A1046" s="10">
        <f>38</f>
        <v>38</v>
      </c>
      <c r="B1046" s="11">
        <f t="shared" si="9"/>
        <v>0</v>
      </c>
      <c r="C1046" s="18">
        <f>IF(D1045=0,0,MIN(MAX(H1045,0),((MAX(0,'1-Input'!$B$10-IF($A1046&gt;='1-Input'!$C$12,'1-Input'!$B$12,0))-MIN(MAX(G1045,0),MAX(0,'1-Input'!$B$10-IF($A1046&gt;='1-Input'!$C$12,'1-Input'!$B$12,0))))+MAX(0,1*'1-Input'!$B$10-(G1045-MIN(MAX(G1045,0),MAX(0,'1-Input'!$B$10-IF($A1046&gt;='1-Input'!$C$12,'1-Input'!$B$12,0))))))*(1/(1-'P-Parametri'!$B$6*B1046))))</f>
        <v>0</v>
      </c>
      <c r="D1046" s="10">
        <f>IF(AND(D1045=1,G1045+H1045&gt;0.000001,C1046*(1-'P-Parametri'!$B$6*B1046)&gt;=(MAX(0,'1-Input'!$B$10-IF($A1046&gt;='1-Input'!$C$12,'1-Input'!$B$12,0))-MIN(MAX(G1045,0),MAX(0,'1-Input'!$B$10-IF($A1046&gt;='1-Input'!$C$12,'1-Input'!$B$12,0))))-0.000001),1,0)</f>
        <v>0</v>
      </c>
      <c r="E1046" s="18">
        <f>IF(D1046=0,G1045,(G1045-MAX(0,'1-Input'!$B$10-IF($A1046&gt;='1-Input'!$C$12,'1-Input'!$B$12,0))+C1046*(1-'P-Parametri'!$B$6*B1046))*(1+'1-Input'!$B$27))</f>
        <v>7578.84805555195</v>
      </c>
      <c r="F1046" s="18">
        <f t="shared" si="10"/>
        <v>0</v>
      </c>
      <c r="G1046" s="18">
        <f>IF(D1046=0,G1045,E1046-'P-Parametri'!$B$8*(F1046+E1046)+MIN(MAX(F1046,0),'P-Parametri'!$B$8*(F1046+E1046)))</f>
        <v>7578.84805555195</v>
      </c>
      <c r="H1046" s="18">
        <f>IF(D1046=0,H1045,F1046-MIN(MAX(F1046,0),'P-Parametri'!$B$8*(F1046+E1046)))</f>
        <v>0</v>
      </c>
      <c r="I1046" s="18">
        <f t="shared" si="11"/>
        <v>0</v>
      </c>
      <c r="J1046" s="18">
        <f>IF(D1046=0,J1045,J1045+C1046*B1046*'P-Parametri'!$B$6)</f>
        <v>67781.676384526741</v>
      </c>
      <c r="K1046" s="18">
        <f>IF(D1046=0,K1045,K1045+'P-Parametri'!$B$8*(F1046+E1046))</f>
        <v>13895.81001472762</v>
      </c>
    </row>
    <row r="1047" spans="1:11">
      <c r="A1047" s="10">
        <f>39</f>
        <v>39</v>
      </c>
      <c r="B1047" s="11">
        <f t="shared" si="9"/>
        <v>0</v>
      </c>
      <c r="C1047" s="18">
        <f>IF(D1046=0,0,MIN(MAX(H1046,0),((MAX(0,'1-Input'!$B$10-IF($A1047&gt;='1-Input'!$C$12,'1-Input'!$B$12,0))-MIN(MAX(G1046,0),MAX(0,'1-Input'!$B$10-IF($A1047&gt;='1-Input'!$C$12,'1-Input'!$B$12,0))))+MAX(0,1*'1-Input'!$B$10-(G1046-MIN(MAX(G1046,0),MAX(0,'1-Input'!$B$10-IF($A1047&gt;='1-Input'!$C$12,'1-Input'!$B$12,0))))))*(1/(1-'P-Parametri'!$B$6*B1047))))</f>
        <v>0</v>
      </c>
      <c r="D1047" s="10">
        <f>IF(AND(D1046=1,G1046+H1046&gt;0.000001,C1047*(1-'P-Parametri'!$B$6*B1047)&gt;=(MAX(0,'1-Input'!$B$10-IF($A1047&gt;='1-Input'!$C$12,'1-Input'!$B$12,0))-MIN(MAX(G1046,0),MAX(0,'1-Input'!$B$10-IF($A1047&gt;='1-Input'!$C$12,'1-Input'!$B$12,0))))-0.000001),1,0)</f>
        <v>0</v>
      </c>
      <c r="E1047" s="18">
        <f>IF(D1047=0,G1046,(G1046-MAX(0,'1-Input'!$B$10-IF($A1047&gt;='1-Input'!$C$12,'1-Input'!$B$12,0))+C1047*(1-'P-Parametri'!$B$6*B1047))*(1+'1-Input'!$B$27))</f>
        <v>7578.84805555195</v>
      </c>
      <c r="F1047" s="18">
        <f t="shared" si="10"/>
        <v>0</v>
      </c>
      <c r="G1047" s="18">
        <f>IF(D1047=0,G1046,E1047-'P-Parametri'!$B$8*(F1047+E1047)+MIN(MAX(F1047,0),'P-Parametri'!$B$8*(F1047+E1047)))</f>
        <v>7578.84805555195</v>
      </c>
      <c r="H1047" s="18">
        <f>IF(D1047=0,H1046,F1047-MIN(MAX(F1047,0),'P-Parametri'!$B$8*(F1047+E1047)))</f>
        <v>0</v>
      </c>
      <c r="I1047" s="18">
        <f t="shared" si="11"/>
        <v>0</v>
      </c>
      <c r="J1047" s="18">
        <f>IF(D1047=0,J1046,J1046+C1047*B1047*'P-Parametri'!$B$6)</f>
        <v>67781.676384526741</v>
      </c>
      <c r="K1047" s="18">
        <f>IF(D1047=0,K1046,K1046+'P-Parametri'!$B$8*(F1047+E1047))</f>
        <v>13895.81001472762</v>
      </c>
    </row>
    <row r="1048" spans="1:11">
      <c r="A1048" s="10">
        <f>40</f>
        <v>40</v>
      </c>
      <c r="B1048" s="11">
        <f t="shared" si="9"/>
        <v>0</v>
      </c>
      <c r="C1048" s="18">
        <f>IF(D1047=0,0,MIN(MAX(H1047,0),((MAX(0,'1-Input'!$B$10-IF($A1048&gt;='1-Input'!$C$12,'1-Input'!$B$12,0))-MIN(MAX(G1047,0),MAX(0,'1-Input'!$B$10-IF($A1048&gt;='1-Input'!$C$12,'1-Input'!$B$12,0))))+MAX(0,1*'1-Input'!$B$10-(G1047-MIN(MAX(G1047,0),MAX(0,'1-Input'!$B$10-IF($A1048&gt;='1-Input'!$C$12,'1-Input'!$B$12,0))))))*(1/(1-'P-Parametri'!$B$6*B1048))))</f>
        <v>0</v>
      </c>
      <c r="D1048" s="10">
        <f>IF(AND(D1047=1,G1047+H1047&gt;0.000001,C1048*(1-'P-Parametri'!$B$6*B1048)&gt;=(MAX(0,'1-Input'!$B$10-IF($A1048&gt;='1-Input'!$C$12,'1-Input'!$B$12,0))-MIN(MAX(G1047,0),MAX(0,'1-Input'!$B$10-IF($A1048&gt;='1-Input'!$C$12,'1-Input'!$B$12,0))))-0.000001),1,0)</f>
        <v>0</v>
      </c>
      <c r="E1048" s="18">
        <f>IF(D1048=0,G1047,(G1047-MAX(0,'1-Input'!$B$10-IF($A1048&gt;='1-Input'!$C$12,'1-Input'!$B$12,0))+C1048*(1-'P-Parametri'!$B$6*B1048))*(1+'1-Input'!$B$27))</f>
        <v>7578.84805555195</v>
      </c>
      <c r="F1048" s="18">
        <f t="shared" si="10"/>
        <v>0</v>
      </c>
      <c r="G1048" s="18">
        <f>IF(D1048=0,G1047,E1048-'P-Parametri'!$B$8*(F1048+E1048)+MIN(MAX(F1048,0),'P-Parametri'!$B$8*(F1048+E1048)))</f>
        <v>7578.84805555195</v>
      </c>
      <c r="H1048" s="18">
        <f>IF(D1048=0,H1047,F1048-MIN(MAX(F1048,0),'P-Parametri'!$B$8*(F1048+E1048)))</f>
        <v>0</v>
      </c>
      <c r="I1048" s="18">
        <f t="shared" si="11"/>
        <v>0</v>
      </c>
      <c r="J1048" s="18">
        <f>IF(D1048=0,J1047,J1047+C1048*B1048*'P-Parametri'!$B$6)</f>
        <v>67781.676384526741</v>
      </c>
      <c r="K1048" s="18">
        <f>IF(D1048=0,K1047,K1047+'P-Parametri'!$B$8*(F1048+E1048))</f>
        <v>13895.81001472762</v>
      </c>
    </row>
    <row r="1049" spans="1:11">
      <c r="A1049" s="10">
        <f>41</f>
        <v>41</v>
      </c>
      <c r="B1049" s="11">
        <f t="shared" si="9"/>
        <v>0</v>
      </c>
      <c r="C1049" s="18">
        <f>IF(D1048=0,0,MIN(MAX(H1048,0),((MAX(0,'1-Input'!$B$10-IF($A1049&gt;='1-Input'!$C$12,'1-Input'!$B$12,0))-MIN(MAX(G1048,0),MAX(0,'1-Input'!$B$10-IF($A1049&gt;='1-Input'!$C$12,'1-Input'!$B$12,0))))+MAX(0,1*'1-Input'!$B$10-(G1048-MIN(MAX(G1048,0),MAX(0,'1-Input'!$B$10-IF($A1049&gt;='1-Input'!$C$12,'1-Input'!$B$12,0))))))*(1/(1-'P-Parametri'!$B$6*B1049))))</f>
        <v>0</v>
      </c>
      <c r="D1049" s="10">
        <f>IF(AND(D1048=1,G1048+H1048&gt;0.000001,C1049*(1-'P-Parametri'!$B$6*B1049)&gt;=(MAX(0,'1-Input'!$B$10-IF($A1049&gt;='1-Input'!$C$12,'1-Input'!$B$12,0))-MIN(MAX(G1048,0),MAX(0,'1-Input'!$B$10-IF($A1049&gt;='1-Input'!$C$12,'1-Input'!$B$12,0))))-0.000001),1,0)</f>
        <v>0</v>
      </c>
      <c r="E1049" s="18">
        <f>IF(D1049=0,G1048,(G1048-MAX(0,'1-Input'!$B$10-IF($A1049&gt;='1-Input'!$C$12,'1-Input'!$B$12,0))+C1049*(1-'P-Parametri'!$B$6*B1049))*(1+'1-Input'!$B$27))</f>
        <v>7578.84805555195</v>
      </c>
      <c r="F1049" s="18">
        <f t="shared" si="10"/>
        <v>0</v>
      </c>
      <c r="G1049" s="18">
        <f>IF(D1049=0,G1048,E1049-'P-Parametri'!$B$8*(F1049+E1049)+MIN(MAX(F1049,0),'P-Parametri'!$B$8*(F1049+E1049)))</f>
        <v>7578.84805555195</v>
      </c>
      <c r="H1049" s="18">
        <f>IF(D1049=0,H1048,F1049-MIN(MAX(F1049,0),'P-Parametri'!$B$8*(F1049+E1049)))</f>
        <v>0</v>
      </c>
      <c r="I1049" s="18">
        <f t="shared" si="11"/>
        <v>0</v>
      </c>
      <c r="J1049" s="18">
        <f>IF(D1049=0,J1048,J1048+C1049*B1049*'P-Parametri'!$B$6)</f>
        <v>67781.676384526741</v>
      </c>
      <c r="K1049" s="18">
        <f>IF(D1049=0,K1048,K1048+'P-Parametri'!$B$8*(F1049+E1049))</f>
        <v>13895.81001472762</v>
      </c>
    </row>
    <row r="1050" spans="1:11">
      <c r="A1050" s="10">
        <f>42</f>
        <v>42</v>
      </c>
      <c r="B1050" s="11">
        <f t="shared" si="9"/>
        <v>0</v>
      </c>
      <c r="C1050" s="18">
        <f>IF(D1049=0,0,MIN(MAX(H1049,0),((MAX(0,'1-Input'!$B$10-IF($A1050&gt;='1-Input'!$C$12,'1-Input'!$B$12,0))-MIN(MAX(G1049,0),MAX(0,'1-Input'!$B$10-IF($A1050&gt;='1-Input'!$C$12,'1-Input'!$B$12,0))))+MAX(0,1*'1-Input'!$B$10-(G1049-MIN(MAX(G1049,0),MAX(0,'1-Input'!$B$10-IF($A1050&gt;='1-Input'!$C$12,'1-Input'!$B$12,0))))))*(1/(1-'P-Parametri'!$B$6*B1050))))</f>
        <v>0</v>
      </c>
      <c r="D1050" s="10">
        <f>IF(AND(D1049=1,G1049+H1049&gt;0.000001,C1050*(1-'P-Parametri'!$B$6*B1050)&gt;=(MAX(0,'1-Input'!$B$10-IF($A1050&gt;='1-Input'!$C$12,'1-Input'!$B$12,0))-MIN(MAX(G1049,0),MAX(0,'1-Input'!$B$10-IF($A1050&gt;='1-Input'!$C$12,'1-Input'!$B$12,0))))-0.000001),1,0)</f>
        <v>0</v>
      </c>
      <c r="E1050" s="18">
        <f>IF(D1050=0,G1049,(G1049-MAX(0,'1-Input'!$B$10-IF($A1050&gt;='1-Input'!$C$12,'1-Input'!$B$12,0))+C1050*(1-'P-Parametri'!$B$6*B1050))*(1+'1-Input'!$B$27))</f>
        <v>7578.84805555195</v>
      </c>
      <c r="F1050" s="18">
        <f t="shared" si="10"/>
        <v>0</v>
      </c>
      <c r="G1050" s="18">
        <f>IF(D1050=0,G1049,E1050-'P-Parametri'!$B$8*(F1050+E1050)+MIN(MAX(F1050,0),'P-Parametri'!$B$8*(F1050+E1050)))</f>
        <v>7578.84805555195</v>
      </c>
      <c r="H1050" s="18">
        <f>IF(D1050=0,H1049,F1050-MIN(MAX(F1050,0),'P-Parametri'!$B$8*(F1050+E1050)))</f>
        <v>0</v>
      </c>
      <c r="I1050" s="18">
        <f t="shared" si="11"/>
        <v>0</v>
      </c>
      <c r="J1050" s="18">
        <f>IF(D1050=0,J1049,J1049+C1050*B1050*'P-Parametri'!$B$6)</f>
        <v>67781.676384526741</v>
      </c>
      <c r="K1050" s="18">
        <f>IF(D1050=0,K1049,K1049+'P-Parametri'!$B$8*(F1050+E1050))</f>
        <v>13895.81001472762</v>
      </c>
    </row>
    <row r="1051" spans="1:11">
      <c r="A1051" s="10">
        <f>43</f>
        <v>43</v>
      </c>
      <c r="B1051" s="11">
        <f t="shared" si="9"/>
        <v>0</v>
      </c>
      <c r="C1051" s="18">
        <f>IF(D1050=0,0,MIN(MAX(H1050,0),((MAX(0,'1-Input'!$B$10-IF($A1051&gt;='1-Input'!$C$12,'1-Input'!$B$12,0))-MIN(MAX(G1050,0),MAX(0,'1-Input'!$B$10-IF($A1051&gt;='1-Input'!$C$12,'1-Input'!$B$12,0))))+MAX(0,1*'1-Input'!$B$10-(G1050-MIN(MAX(G1050,0),MAX(0,'1-Input'!$B$10-IF($A1051&gt;='1-Input'!$C$12,'1-Input'!$B$12,0))))))*(1/(1-'P-Parametri'!$B$6*B1051))))</f>
        <v>0</v>
      </c>
      <c r="D1051" s="10">
        <f>IF(AND(D1050=1,G1050+H1050&gt;0.000001,C1051*(1-'P-Parametri'!$B$6*B1051)&gt;=(MAX(0,'1-Input'!$B$10-IF($A1051&gt;='1-Input'!$C$12,'1-Input'!$B$12,0))-MIN(MAX(G1050,0),MAX(0,'1-Input'!$B$10-IF($A1051&gt;='1-Input'!$C$12,'1-Input'!$B$12,0))))-0.000001),1,0)</f>
        <v>0</v>
      </c>
      <c r="E1051" s="18">
        <f>IF(D1051=0,G1050,(G1050-MAX(0,'1-Input'!$B$10-IF($A1051&gt;='1-Input'!$C$12,'1-Input'!$B$12,0))+C1051*(1-'P-Parametri'!$B$6*B1051))*(1+'1-Input'!$B$27))</f>
        <v>7578.84805555195</v>
      </c>
      <c r="F1051" s="18">
        <f t="shared" si="10"/>
        <v>0</v>
      </c>
      <c r="G1051" s="18">
        <f>IF(D1051=0,G1050,E1051-'P-Parametri'!$B$8*(F1051+E1051)+MIN(MAX(F1051,0),'P-Parametri'!$B$8*(F1051+E1051)))</f>
        <v>7578.84805555195</v>
      </c>
      <c r="H1051" s="18">
        <f>IF(D1051=0,H1050,F1051-MIN(MAX(F1051,0),'P-Parametri'!$B$8*(F1051+E1051)))</f>
        <v>0</v>
      </c>
      <c r="I1051" s="18">
        <f t="shared" si="11"/>
        <v>0</v>
      </c>
      <c r="J1051" s="18">
        <f>IF(D1051=0,J1050,J1050+C1051*B1051*'P-Parametri'!$B$6)</f>
        <v>67781.676384526741</v>
      </c>
      <c r="K1051" s="18">
        <f>IF(D1051=0,K1050,K1050+'P-Parametri'!$B$8*(F1051+E1051))</f>
        <v>13895.81001472762</v>
      </c>
    </row>
    <row r="1052" spans="1:11">
      <c r="A1052" s="10">
        <f>44</f>
        <v>44</v>
      </c>
      <c r="B1052" s="11">
        <f t="shared" si="9"/>
        <v>0</v>
      </c>
      <c r="C1052" s="18">
        <f>IF(D1051=0,0,MIN(MAX(H1051,0),((MAX(0,'1-Input'!$B$10-IF($A1052&gt;='1-Input'!$C$12,'1-Input'!$B$12,0))-MIN(MAX(G1051,0),MAX(0,'1-Input'!$B$10-IF($A1052&gt;='1-Input'!$C$12,'1-Input'!$B$12,0))))+MAX(0,1*'1-Input'!$B$10-(G1051-MIN(MAX(G1051,0),MAX(0,'1-Input'!$B$10-IF($A1052&gt;='1-Input'!$C$12,'1-Input'!$B$12,0))))))*(1/(1-'P-Parametri'!$B$6*B1052))))</f>
        <v>0</v>
      </c>
      <c r="D1052" s="10">
        <f>IF(AND(D1051=1,G1051+H1051&gt;0.000001,C1052*(1-'P-Parametri'!$B$6*B1052)&gt;=(MAX(0,'1-Input'!$B$10-IF($A1052&gt;='1-Input'!$C$12,'1-Input'!$B$12,0))-MIN(MAX(G1051,0),MAX(0,'1-Input'!$B$10-IF($A1052&gt;='1-Input'!$C$12,'1-Input'!$B$12,0))))-0.000001),1,0)</f>
        <v>0</v>
      </c>
      <c r="E1052" s="18">
        <f>IF(D1052=0,G1051,(G1051-MAX(0,'1-Input'!$B$10-IF($A1052&gt;='1-Input'!$C$12,'1-Input'!$B$12,0))+C1052*(1-'P-Parametri'!$B$6*B1052))*(1+'1-Input'!$B$27))</f>
        <v>7578.84805555195</v>
      </c>
      <c r="F1052" s="18">
        <f t="shared" si="10"/>
        <v>0</v>
      </c>
      <c r="G1052" s="18">
        <f>IF(D1052=0,G1051,E1052-'P-Parametri'!$B$8*(F1052+E1052)+MIN(MAX(F1052,0),'P-Parametri'!$B$8*(F1052+E1052)))</f>
        <v>7578.84805555195</v>
      </c>
      <c r="H1052" s="18">
        <f>IF(D1052=0,H1051,F1052-MIN(MAX(F1052,0),'P-Parametri'!$B$8*(F1052+E1052)))</f>
        <v>0</v>
      </c>
      <c r="I1052" s="18">
        <f t="shared" si="11"/>
        <v>0</v>
      </c>
      <c r="J1052" s="18">
        <f>IF(D1052=0,J1051,J1051+C1052*B1052*'P-Parametri'!$B$6)</f>
        <v>67781.676384526741</v>
      </c>
      <c r="K1052" s="18">
        <f>IF(D1052=0,K1051,K1051+'P-Parametri'!$B$8*(F1052+E1052))</f>
        <v>13895.81001472762</v>
      </c>
    </row>
    <row r="1053" spans="1:11">
      <c r="A1053" s="10">
        <f>45</f>
        <v>45</v>
      </c>
      <c r="B1053" s="11">
        <f t="shared" si="9"/>
        <v>0</v>
      </c>
      <c r="C1053" s="18">
        <f>IF(D1052=0,0,MIN(MAX(H1052,0),((MAX(0,'1-Input'!$B$10-IF($A1053&gt;='1-Input'!$C$12,'1-Input'!$B$12,0))-MIN(MAX(G1052,0),MAX(0,'1-Input'!$B$10-IF($A1053&gt;='1-Input'!$C$12,'1-Input'!$B$12,0))))+MAX(0,1*'1-Input'!$B$10-(G1052-MIN(MAX(G1052,0),MAX(0,'1-Input'!$B$10-IF($A1053&gt;='1-Input'!$C$12,'1-Input'!$B$12,0))))))*(1/(1-'P-Parametri'!$B$6*B1053))))</f>
        <v>0</v>
      </c>
      <c r="D1053" s="10">
        <f>IF(AND(D1052=1,G1052+H1052&gt;0.000001,C1053*(1-'P-Parametri'!$B$6*B1053)&gt;=(MAX(0,'1-Input'!$B$10-IF($A1053&gt;='1-Input'!$C$12,'1-Input'!$B$12,0))-MIN(MAX(G1052,0),MAX(0,'1-Input'!$B$10-IF($A1053&gt;='1-Input'!$C$12,'1-Input'!$B$12,0))))-0.000001),1,0)</f>
        <v>0</v>
      </c>
      <c r="E1053" s="18">
        <f>IF(D1053=0,G1052,(G1052-MAX(0,'1-Input'!$B$10-IF($A1053&gt;='1-Input'!$C$12,'1-Input'!$B$12,0))+C1053*(1-'P-Parametri'!$B$6*B1053))*(1+'1-Input'!$B$27))</f>
        <v>7578.84805555195</v>
      </c>
      <c r="F1053" s="18">
        <f t="shared" si="10"/>
        <v>0</v>
      </c>
      <c r="G1053" s="18">
        <f>IF(D1053=0,G1052,E1053-'P-Parametri'!$B$8*(F1053+E1053)+MIN(MAX(F1053,0),'P-Parametri'!$B$8*(F1053+E1053)))</f>
        <v>7578.84805555195</v>
      </c>
      <c r="H1053" s="18">
        <f>IF(D1053=0,H1052,F1053-MIN(MAX(F1053,0),'P-Parametri'!$B$8*(F1053+E1053)))</f>
        <v>0</v>
      </c>
      <c r="I1053" s="18">
        <f t="shared" si="11"/>
        <v>0</v>
      </c>
      <c r="J1053" s="18">
        <f>IF(D1053=0,J1052,J1052+C1053*B1053*'P-Parametri'!$B$6)</f>
        <v>67781.676384526741</v>
      </c>
      <c r="K1053" s="18">
        <f>IF(D1053=0,K1052,K1052+'P-Parametri'!$B$8*(F1053+E1053))</f>
        <v>13895.81001472762</v>
      </c>
    </row>
    <row r="1054" spans="1:11">
      <c r="A1054" s="10">
        <f>46</f>
        <v>46</v>
      </c>
      <c r="B1054" s="11">
        <f t="shared" si="9"/>
        <v>0</v>
      </c>
      <c r="C1054" s="18">
        <f>IF(D1053=0,0,MIN(MAX(H1053,0),((MAX(0,'1-Input'!$B$10-IF($A1054&gt;='1-Input'!$C$12,'1-Input'!$B$12,0))-MIN(MAX(G1053,0),MAX(0,'1-Input'!$B$10-IF($A1054&gt;='1-Input'!$C$12,'1-Input'!$B$12,0))))+MAX(0,1*'1-Input'!$B$10-(G1053-MIN(MAX(G1053,0),MAX(0,'1-Input'!$B$10-IF($A1054&gt;='1-Input'!$C$12,'1-Input'!$B$12,0))))))*(1/(1-'P-Parametri'!$B$6*B1054))))</f>
        <v>0</v>
      </c>
      <c r="D1054" s="10">
        <f>IF(AND(D1053=1,G1053+H1053&gt;0.000001,C1054*(1-'P-Parametri'!$B$6*B1054)&gt;=(MAX(0,'1-Input'!$B$10-IF($A1054&gt;='1-Input'!$C$12,'1-Input'!$B$12,0))-MIN(MAX(G1053,0),MAX(0,'1-Input'!$B$10-IF($A1054&gt;='1-Input'!$C$12,'1-Input'!$B$12,0))))-0.000001),1,0)</f>
        <v>0</v>
      </c>
      <c r="E1054" s="18">
        <f>IF(D1054=0,G1053,(G1053-MAX(0,'1-Input'!$B$10-IF($A1054&gt;='1-Input'!$C$12,'1-Input'!$B$12,0))+C1054*(1-'P-Parametri'!$B$6*B1054))*(1+'1-Input'!$B$27))</f>
        <v>7578.84805555195</v>
      </c>
      <c r="F1054" s="18">
        <f t="shared" si="10"/>
        <v>0</v>
      </c>
      <c r="G1054" s="18">
        <f>IF(D1054=0,G1053,E1054-'P-Parametri'!$B$8*(F1054+E1054)+MIN(MAX(F1054,0),'P-Parametri'!$B$8*(F1054+E1054)))</f>
        <v>7578.84805555195</v>
      </c>
      <c r="H1054" s="18">
        <f>IF(D1054=0,H1053,F1054-MIN(MAX(F1054,0),'P-Parametri'!$B$8*(F1054+E1054)))</f>
        <v>0</v>
      </c>
      <c r="I1054" s="18">
        <f t="shared" si="11"/>
        <v>0</v>
      </c>
      <c r="J1054" s="18">
        <f>IF(D1054=0,J1053,J1053+C1054*B1054*'P-Parametri'!$B$6)</f>
        <v>67781.676384526741</v>
      </c>
      <c r="K1054" s="18">
        <f>IF(D1054=0,K1053,K1053+'P-Parametri'!$B$8*(F1054+E1054))</f>
        <v>13895.81001472762</v>
      </c>
    </row>
    <row r="1055" spans="1:11">
      <c r="A1055" s="10">
        <f>47</f>
        <v>47</v>
      </c>
      <c r="B1055" s="11">
        <f t="shared" si="9"/>
        <v>0</v>
      </c>
      <c r="C1055" s="18">
        <f>IF(D1054=0,0,MIN(MAX(H1054,0),((MAX(0,'1-Input'!$B$10-IF($A1055&gt;='1-Input'!$C$12,'1-Input'!$B$12,0))-MIN(MAX(G1054,0),MAX(0,'1-Input'!$B$10-IF($A1055&gt;='1-Input'!$C$12,'1-Input'!$B$12,0))))+MAX(0,1*'1-Input'!$B$10-(G1054-MIN(MAX(G1054,0),MAX(0,'1-Input'!$B$10-IF($A1055&gt;='1-Input'!$C$12,'1-Input'!$B$12,0))))))*(1/(1-'P-Parametri'!$B$6*B1055))))</f>
        <v>0</v>
      </c>
      <c r="D1055" s="10">
        <f>IF(AND(D1054=1,G1054+H1054&gt;0.000001,C1055*(1-'P-Parametri'!$B$6*B1055)&gt;=(MAX(0,'1-Input'!$B$10-IF($A1055&gt;='1-Input'!$C$12,'1-Input'!$B$12,0))-MIN(MAX(G1054,0),MAX(0,'1-Input'!$B$10-IF($A1055&gt;='1-Input'!$C$12,'1-Input'!$B$12,0))))-0.000001),1,0)</f>
        <v>0</v>
      </c>
      <c r="E1055" s="18">
        <f>IF(D1055=0,G1054,(G1054-MAX(0,'1-Input'!$B$10-IF($A1055&gt;='1-Input'!$C$12,'1-Input'!$B$12,0))+C1055*(1-'P-Parametri'!$B$6*B1055))*(1+'1-Input'!$B$27))</f>
        <v>7578.84805555195</v>
      </c>
      <c r="F1055" s="18">
        <f t="shared" si="10"/>
        <v>0</v>
      </c>
      <c r="G1055" s="18">
        <f>IF(D1055=0,G1054,E1055-'P-Parametri'!$B$8*(F1055+E1055)+MIN(MAX(F1055,0),'P-Parametri'!$B$8*(F1055+E1055)))</f>
        <v>7578.84805555195</v>
      </c>
      <c r="H1055" s="18">
        <f>IF(D1055=0,H1054,F1055-MIN(MAX(F1055,0),'P-Parametri'!$B$8*(F1055+E1055)))</f>
        <v>0</v>
      </c>
      <c r="I1055" s="18">
        <f t="shared" si="11"/>
        <v>0</v>
      </c>
      <c r="J1055" s="18">
        <f>IF(D1055=0,J1054,J1054+C1055*B1055*'P-Parametri'!$B$6)</f>
        <v>67781.676384526741</v>
      </c>
      <c r="K1055" s="18">
        <f>IF(D1055=0,K1054,K1054+'P-Parametri'!$B$8*(F1055+E1055))</f>
        <v>13895.81001472762</v>
      </c>
    </row>
    <row r="1056" spans="1:11">
      <c r="A1056" s="10">
        <f>48</f>
        <v>48</v>
      </c>
      <c r="B1056" s="11">
        <f t="shared" si="9"/>
        <v>0</v>
      </c>
      <c r="C1056" s="18">
        <f>IF(D1055=0,0,MIN(MAX(H1055,0),((MAX(0,'1-Input'!$B$10-IF($A1056&gt;='1-Input'!$C$12,'1-Input'!$B$12,0))-MIN(MAX(G1055,0),MAX(0,'1-Input'!$B$10-IF($A1056&gt;='1-Input'!$C$12,'1-Input'!$B$12,0))))+MAX(0,1*'1-Input'!$B$10-(G1055-MIN(MAX(G1055,0),MAX(0,'1-Input'!$B$10-IF($A1056&gt;='1-Input'!$C$12,'1-Input'!$B$12,0))))))*(1/(1-'P-Parametri'!$B$6*B1056))))</f>
        <v>0</v>
      </c>
      <c r="D1056" s="10">
        <f>IF(AND(D1055=1,G1055+H1055&gt;0.000001,C1056*(1-'P-Parametri'!$B$6*B1056)&gt;=(MAX(0,'1-Input'!$B$10-IF($A1056&gt;='1-Input'!$C$12,'1-Input'!$B$12,0))-MIN(MAX(G1055,0),MAX(0,'1-Input'!$B$10-IF($A1056&gt;='1-Input'!$C$12,'1-Input'!$B$12,0))))-0.000001),1,0)</f>
        <v>0</v>
      </c>
      <c r="E1056" s="18">
        <f>IF(D1056=0,G1055,(G1055-MAX(0,'1-Input'!$B$10-IF($A1056&gt;='1-Input'!$C$12,'1-Input'!$B$12,0))+C1056*(1-'P-Parametri'!$B$6*B1056))*(1+'1-Input'!$B$27))</f>
        <v>7578.84805555195</v>
      </c>
      <c r="F1056" s="18">
        <f t="shared" si="10"/>
        <v>0</v>
      </c>
      <c r="G1056" s="18">
        <f>IF(D1056=0,G1055,E1056-'P-Parametri'!$B$8*(F1056+E1056)+MIN(MAX(F1056,0),'P-Parametri'!$B$8*(F1056+E1056)))</f>
        <v>7578.84805555195</v>
      </c>
      <c r="H1056" s="18">
        <f>IF(D1056=0,H1055,F1056-MIN(MAX(F1056,0),'P-Parametri'!$B$8*(F1056+E1056)))</f>
        <v>0</v>
      </c>
      <c r="I1056" s="18">
        <f t="shared" si="11"/>
        <v>0</v>
      </c>
      <c r="J1056" s="18">
        <f>IF(D1056=0,J1055,J1055+C1056*B1056*'P-Parametri'!$B$6)</f>
        <v>67781.676384526741</v>
      </c>
      <c r="K1056" s="18">
        <f>IF(D1056=0,K1055,K1055+'P-Parametri'!$B$8*(F1056+E1056))</f>
        <v>13895.81001472762</v>
      </c>
    </row>
    <row r="1057" spans="1:11">
      <c r="A1057" s="10">
        <f>49</f>
        <v>49</v>
      </c>
      <c r="B1057" s="11">
        <f t="shared" si="9"/>
        <v>0</v>
      </c>
      <c r="C1057" s="18">
        <f>IF(D1056=0,0,MIN(MAX(H1056,0),((MAX(0,'1-Input'!$B$10-IF($A1057&gt;='1-Input'!$C$12,'1-Input'!$B$12,0))-MIN(MAX(G1056,0),MAX(0,'1-Input'!$B$10-IF($A1057&gt;='1-Input'!$C$12,'1-Input'!$B$12,0))))+MAX(0,1*'1-Input'!$B$10-(G1056-MIN(MAX(G1056,0),MAX(0,'1-Input'!$B$10-IF($A1057&gt;='1-Input'!$C$12,'1-Input'!$B$12,0))))))*(1/(1-'P-Parametri'!$B$6*B1057))))</f>
        <v>0</v>
      </c>
      <c r="D1057" s="10">
        <f>IF(AND(D1056=1,G1056+H1056&gt;0.000001,C1057*(1-'P-Parametri'!$B$6*B1057)&gt;=(MAX(0,'1-Input'!$B$10-IF($A1057&gt;='1-Input'!$C$12,'1-Input'!$B$12,0))-MIN(MAX(G1056,0),MAX(0,'1-Input'!$B$10-IF($A1057&gt;='1-Input'!$C$12,'1-Input'!$B$12,0))))-0.000001),1,0)</f>
        <v>0</v>
      </c>
      <c r="E1057" s="18">
        <f>IF(D1057=0,G1056,(G1056-MAX(0,'1-Input'!$B$10-IF($A1057&gt;='1-Input'!$C$12,'1-Input'!$B$12,0))+C1057*(1-'P-Parametri'!$B$6*B1057))*(1+'1-Input'!$B$27))</f>
        <v>7578.84805555195</v>
      </c>
      <c r="F1057" s="18">
        <f t="shared" si="10"/>
        <v>0</v>
      </c>
      <c r="G1057" s="18">
        <f>IF(D1057=0,G1056,E1057-'P-Parametri'!$B$8*(F1057+E1057)+MIN(MAX(F1057,0),'P-Parametri'!$B$8*(F1057+E1057)))</f>
        <v>7578.84805555195</v>
      </c>
      <c r="H1057" s="18">
        <f>IF(D1057=0,H1056,F1057-MIN(MAX(F1057,0),'P-Parametri'!$B$8*(F1057+E1057)))</f>
        <v>0</v>
      </c>
      <c r="I1057" s="18">
        <f t="shared" si="11"/>
        <v>0</v>
      </c>
      <c r="J1057" s="18">
        <f>IF(D1057=0,J1056,J1056+C1057*B1057*'P-Parametri'!$B$6)</f>
        <v>67781.676384526741</v>
      </c>
      <c r="K1057" s="18">
        <f>IF(D1057=0,K1056,K1056+'P-Parametri'!$B$8*(F1057+E1057))</f>
        <v>13895.81001472762</v>
      </c>
    </row>
    <row r="1058" spans="1:11">
      <c r="A1058" s="10">
        <f>50</f>
        <v>50</v>
      </c>
      <c r="B1058" s="11">
        <f t="shared" si="9"/>
        <v>0</v>
      </c>
      <c r="C1058" s="18">
        <f>IF(D1057=0,0,MIN(MAX(H1057,0),((MAX(0,'1-Input'!$B$10-IF($A1058&gt;='1-Input'!$C$12,'1-Input'!$B$12,0))-MIN(MAX(G1057,0),MAX(0,'1-Input'!$B$10-IF($A1058&gt;='1-Input'!$C$12,'1-Input'!$B$12,0))))+MAX(0,1*'1-Input'!$B$10-(G1057-MIN(MAX(G1057,0),MAX(0,'1-Input'!$B$10-IF($A1058&gt;='1-Input'!$C$12,'1-Input'!$B$12,0))))))*(1/(1-'P-Parametri'!$B$6*B1058))))</f>
        <v>0</v>
      </c>
      <c r="D1058" s="10">
        <f>IF(AND(D1057=1,G1057+H1057&gt;0.000001,C1058*(1-'P-Parametri'!$B$6*B1058)&gt;=(MAX(0,'1-Input'!$B$10-IF($A1058&gt;='1-Input'!$C$12,'1-Input'!$B$12,0))-MIN(MAX(G1057,0),MAX(0,'1-Input'!$B$10-IF($A1058&gt;='1-Input'!$C$12,'1-Input'!$B$12,0))))-0.000001),1,0)</f>
        <v>0</v>
      </c>
      <c r="E1058" s="18">
        <f>IF(D1058=0,G1057,(G1057-MAX(0,'1-Input'!$B$10-IF($A1058&gt;='1-Input'!$C$12,'1-Input'!$B$12,0))+C1058*(1-'P-Parametri'!$B$6*B1058))*(1+'1-Input'!$B$27))</f>
        <v>7578.84805555195</v>
      </c>
      <c r="F1058" s="18">
        <f t="shared" si="10"/>
        <v>0</v>
      </c>
      <c r="G1058" s="18">
        <f>IF(D1058=0,G1057,E1058-'P-Parametri'!$B$8*(F1058+E1058)+MIN(MAX(F1058,0),'P-Parametri'!$B$8*(F1058+E1058)))</f>
        <v>7578.84805555195</v>
      </c>
      <c r="H1058" s="18">
        <f>IF(D1058=0,H1057,F1058-MIN(MAX(F1058,0),'P-Parametri'!$B$8*(F1058+E1058)))</f>
        <v>0</v>
      </c>
      <c r="I1058" s="18">
        <f t="shared" si="11"/>
        <v>0</v>
      </c>
      <c r="J1058" s="18">
        <f>IF(D1058=0,J1057,J1057+C1058*B1058*'P-Parametri'!$B$6)</f>
        <v>67781.676384526741</v>
      </c>
      <c r="K1058" s="18">
        <f>IF(D1058=0,K1057,K1057+'P-Parametri'!$B$8*(F1058+E1058))</f>
        <v>13895.81001472762</v>
      </c>
    </row>
    <row r="1059" spans="1:11">
      <c r="B1059" s="10">
        <f>SUM(D1009:D1058)</f>
        <v>33</v>
      </c>
      <c r="C1059" s="18">
        <f>J1058</f>
        <v>67781.676384526741</v>
      </c>
      <c r="D1059" s="18">
        <f>K1058</f>
        <v>13895.81001472762</v>
      </c>
    </row>
    <row r="1061" spans="1:11">
      <c r="A1061" s="2" t="s">
        <v>384</v>
      </c>
    </row>
    <row r="1063" spans="1:11" ht="30">
      <c r="A1063" s="25" t="s">
        <v>262</v>
      </c>
      <c r="B1063" s="25" t="s">
        <v>361</v>
      </c>
      <c r="C1063" s="25" t="s">
        <v>263</v>
      </c>
      <c r="D1063" s="25" t="s">
        <v>305</v>
      </c>
      <c r="E1063" s="25" t="s">
        <v>362</v>
      </c>
      <c r="F1063" s="25" t="s">
        <v>363</v>
      </c>
      <c r="G1063" s="25" t="s">
        <v>264</v>
      </c>
      <c r="H1063" s="25" t="s">
        <v>265</v>
      </c>
      <c r="I1063" s="25" t="s">
        <v>364</v>
      </c>
      <c r="J1063" s="25" t="s">
        <v>381</v>
      </c>
      <c r="K1063" s="25" t="s">
        <v>382</v>
      </c>
    </row>
    <row r="1064" spans="1:11">
      <c r="A1064" s="3">
        <v>0</v>
      </c>
      <c r="D1064" s="10">
        <f>1</f>
        <v>1</v>
      </c>
      <c r="G1064" s="18">
        <f>MIN(2*'1-Input'!$B$10,'2-Caso'!$B$12)</f>
        <v>39600</v>
      </c>
      <c r="H1064" s="18">
        <f>'2-Caso'!$B$12-G1064</f>
        <v>399375.13985857379</v>
      </c>
      <c r="I1064" s="18">
        <f>'2-Caso'!$B$13*H1064/'2-Caso'!$B$12</f>
        <v>312967.71875421284</v>
      </c>
      <c r="J1064" s="18">
        <f>0</f>
        <v>0</v>
      </c>
      <c r="K1064" s="18">
        <f>0</f>
        <v>0</v>
      </c>
    </row>
    <row r="1065" spans="1:11">
      <c r="A1065" s="10">
        <f>1</f>
        <v>1</v>
      </c>
      <c r="B1065" s="11">
        <f t="shared" ref="B1065:B1096" si="12">IF(H1064&lt;=0,0,MAX(0,(H1064-I1064)/H1064))</f>
        <v>0.21635653419729489</v>
      </c>
      <c r="C1065" s="18">
        <f>IF(D1064=0,0,MIN(MAX(H1064,0),((MAX(0,'1-Input'!$B$10-IF($A1065&gt;='1-Input'!$C$12,'1-Input'!$B$12,0))-MIN(MAX(G1064,0),MAX(0,'1-Input'!$B$10-IF($A1065&gt;='1-Input'!$C$12,'1-Input'!$B$12,0))))+MAX(0,2*'1-Input'!$B$10-(G1064-MIN(MAX(G1064,0),MAX(0,'1-Input'!$B$10-IF($A1065&gt;='1-Input'!$C$12,'1-Input'!$B$12,0))))))*(1/(1-'P-Parametri'!$B$6*B1065))))</f>
        <v>20980.192448486148</v>
      </c>
      <c r="D1065" s="10">
        <f>IF(AND(D1064=1,G1064+H1064&gt;0.000001,C1065*(1-'P-Parametri'!$B$6*B1065)&gt;=(MAX(0,'1-Input'!$B$10-IF($A1065&gt;='1-Input'!$C$12,'1-Input'!$B$12,0))-MIN(MAX(G1064,0),MAX(0,'1-Input'!$B$10-IF($A1065&gt;='1-Input'!$C$12,'1-Input'!$B$12,0))))-0.000001),1,0)</f>
        <v>1</v>
      </c>
      <c r="E1065" s="18">
        <f>IF(D1065=0,G1064,(G1064-MAX(0,'1-Input'!$B$10-IF($A1065&gt;='1-Input'!$C$12,'1-Input'!$B$12,0))+C1065*(1-'P-Parametri'!$B$6*B1065))*(1+'1-Input'!$B$27))</f>
        <v>39457.439999999995</v>
      </c>
      <c r="F1065" s="18">
        <f t="shared" ref="F1065:F1096" si="13">IF(D1065=0,H1064,(H1064-C1065)*(1+$C$4))</f>
        <v>389746.79583239026</v>
      </c>
      <c r="G1065" s="18">
        <f>IF(D1065=0,G1064,E1065-'P-Parametri'!$B$8*(F1065+E1065)+MIN(MAX(F1065,0),'P-Parametri'!$B$8*(F1065+E1065)))</f>
        <v>39457.439999999995</v>
      </c>
      <c r="H1065" s="18">
        <f>IF(D1065=0,H1064,F1065-MIN(MAX(F1065,0),'P-Parametri'!$B$8*(F1065+E1065)))</f>
        <v>388888.38736072549</v>
      </c>
      <c r="I1065" s="18">
        <f t="shared" ref="I1065:I1096" si="14">IF(D1065=0,I1064,I1064-C1065*(1-B1065))</f>
        <v>296526.7280306734</v>
      </c>
      <c r="J1065" s="18">
        <f>IF(D1065=0,J1064,J1064+C1065*B1065*'P-Parametri'!$B$6)</f>
        <v>1180.1924484861477</v>
      </c>
      <c r="K1065" s="18">
        <f>IF(D1065=0,K1064,K1064+'P-Parametri'!$B$8*(F1065+E1065))</f>
        <v>858.40847166478056</v>
      </c>
    </row>
    <row r="1066" spans="1:11">
      <c r="A1066" s="10">
        <f>2</f>
        <v>2</v>
      </c>
      <c r="B1066" s="11">
        <f t="shared" si="12"/>
        <v>0.23750171599847533</v>
      </c>
      <c r="C1066" s="18">
        <f>IF(D1065=0,0,MIN(MAX(H1065,0),((MAX(0,'1-Input'!$B$10-IF($A1066&gt;='1-Input'!$C$12,'1-Input'!$B$12,0))-MIN(MAX(G1065,0),MAX(0,'1-Input'!$B$10-IF($A1066&gt;='1-Input'!$C$12,'1-Input'!$B$12,0))))+MAX(0,2*'1-Input'!$B$10-(G1065-MIN(MAX(G1065,0),MAX(0,'1-Input'!$B$10-IF($A1066&gt;='1-Input'!$C$12,'1-Input'!$B$12,0))))))*(1/(1-'P-Parametri'!$B$6*B1066))))</f>
        <v>21255.070059316426</v>
      </c>
      <c r="D1066" s="10">
        <f>IF(AND(D1065=1,G1065+H1065&gt;0.000001,C1066*(1-'P-Parametri'!$B$6*B1066)&gt;=(MAX(0,'1-Input'!$B$10-IF($A1066&gt;='1-Input'!$C$12,'1-Input'!$B$12,0))-MIN(MAX(G1065,0),MAX(0,'1-Input'!$B$10-IF($A1066&gt;='1-Input'!$C$12,'1-Input'!$B$12,0))))-0.000001),1,0)</f>
        <v>1</v>
      </c>
      <c r="E1066" s="18">
        <f>IF(D1066=0,G1065,(G1065-MAX(0,'1-Input'!$B$10-IF($A1066&gt;='1-Input'!$C$12,'1-Input'!$B$12,0))+C1066*(1-'P-Parametri'!$B$6*B1066))*(1+'1-Input'!$B$27))</f>
        <v>39457.439999999995</v>
      </c>
      <c r="F1066" s="18">
        <f t="shared" si="13"/>
        <v>378662.31682045135</v>
      </c>
      <c r="G1066" s="18">
        <f>IF(D1066=0,G1065,E1066-'P-Parametri'!$B$8*(F1066+E1066)+MIN(MAX(F1066,0),'P-Parametri'!$B$8*(F1066+E1066)))</f>
        <v>39457.439999999995</v>
      </c>
      <c r="H1066" s="18">
        <f>IF(D1066=0,H1065,F1066-MIN(MAX(F1066,0),'P-Parametri'!$B$8*(F1066+E1066)))</f>
        <v>377826.07730681048</v>
      </c>
      <c r="I1066" s="18">
        <f t="shared" si="14"/>
        <v>280319.77358411247</v>
      </c>
      <c r="J1066" s="18">
        <f>IF(D1066=0,J1065,J1065+C1066*B1066*'P-Parametri'!$B$6)</f>
        <v>2492.702507802569</v>
      </c>
      <c r="K1066" s="18">
        <f>IF(D1066=0,K1065,K1065+'P-Parametri'!$B$8*(F1066+E1066))</f>
        <v>1694.6479853056833</v>
      </c>
    </row>
    <row r="1067" spans="1:11">
      <c r="A1067" s="10">
        <f>3</f>
        <v>3</v>
      </c>
      <c r="B1067" s="11">
        <f t="shared" si="12"/>
        <v>0.25807192668577728</v>
      </c>
      <c r="C1067" s="18">
        <f>IF(D1066=0,0,MIN(MAX(H1066,0),((MAX(0,'1-Input'!$B$10-IF($A1067&gt;='1-Input'!$C$12,'1-Input'!$B$12,0))-MIN(MAX(G1066,0),MAX(0,'1-Input'!$B$10-IF($A1067&gt;='1-Input'!$C$12,'1-Input'!$B$12,0))))+MAX(0,2*'1-Input'!$B$10-(G1066-MIN(MAX(G1066,0),MAX(0,'1-Input'!$B$10-IF($A1067&gt;='1-Input'!$C$12,'1-Input'!$B$12,0))))))*(1/(1-'P-Parametri'!$B$6*B1067))))</f>
        <v>21376.923818262461</v>
      </c>
      <c r="D1067" s="10">
        <f>IF(AND(D1066=1,G1066+H1066&gt;0.000001,C1067*(1-'P-Parametri'!$B$6*B1067)&gt;=(MAX(0,'1-Input'!$B$10-IF($A1067&gt;='1-Input'!$C$12,'1-Input'!$B$12,0))-MIN(MAX(G1066,0),MAX(0,'1-Input'!$B$10-IF($A1067&gt;='1-Input'!$C$12,'1-Input'!$B$12,0))))-0.000001),1,0)</f>
        <v>1</v>
      </c>
      <c r="E1067" s="18">
        <f>IF(D1067=0,G1066,(G1066-MAX(0,'1-Input'!$B$10-IF($A1067&gt;='1-Input'!$C$12,'1-Input'!$B$12,0))+C1067*(1-'P-Parametri'!$B$6*B1067))*(1+'1-Input'!$B$27))</f>
        <v>39457.439999999995</v>
      </c>
      <c r="F1067" s="18">
        <f t="shared" si="13"/>
        <v>367142.62809320446</v>
      </c>
      <c r="G1067" s="18">
        <f>IF(D1067=0,G1066,E1067-'P-Parametri'!$B$8*(F1067+E1067)+MIN(MAX(F1067,0),'P-Parametri'!$B$8*(F1067+E1067)))</f>
        <v>39457.439999999995</v>
      </c>
      <c r="H1067" s="18">
        <f>IF(D1067=0,H1066,F1067-MIN(MAX(F1067,0),'P-Parametri'!$B$8*(F1067+E1067)))</f>
        <v>366329.42795701808</v>
      </c>
      <c r="I1067" s="18">
        <f t="shared" si="14"/>
        <v>264459.63368224411</v>
      </c>
      <c r="J1067" s="18">
        <f>IF(D1067=0,J1066,J1066+C1067*B1067*'P-Parametri'!$B$6)</f>
        <v>3927.066326065029</v>
      </c>
      <c r="K1067" s="18">
        <f>IF(D1067=0,K1066,K1066+'P-Parametri'!$B$8*(F1067+E1067))</f>
        <v>2507.8481214920921</v>
      </c>
    </row>
    <row r="1068" spans="1:11">
      <c r="A1068" s="10">
        <f>4</f>
        <v>4</v>
      </c>
      <c r="B1068" s="11">
        <f t="shared" si="12"/>
        <v>0.27808247577294415</v>
      </c>
      <c r="C1068" s="18">
        <f>IF(D1067=0,0,MIN(MAX(H1067,0),((MAX(0,'1-Input'!$B$10-IF($A1068&gt;='1-Input'!$C$12,'1-Input'!$B$12,0))-MIN(MAX(G1067,0),MAX(0,'1-Input'!$B$10-IF($A1068&gt;='1-Input'!$C$12,'1-Input'!$B$12,0))))+MAX(0,2*'1-Input'!$B$10-(G1067-MIN(MAX(G1067,0),MAX(0,'1-Input'!$B$10-IF($A1068&gt;='1-Input'!$C$12,'1-Input'!$B$12,0))))))*(1/(1-'P-Parametri'!$B$6*B1068))))</f>
        <v>21496.810428981327</v>
      </c>
      <c r="D1068" s="10">
        <f>IF(AND(D1067=1,G1067+H1067&gt;0.000001,C1068*(1-'P-Parametri'!$B$6*B1068)&gt;=(MAX(0,'1-Input'!$B$10-IF($A1068&gt;='1-Input'!$C$12,'1-Input'!$B$12,0))-MIN(MAX(G1067,0),MAX(0,'1-Input'!$B$10-IF($A1068&gt;='1-Input'!$C$12,'1-Input'!$B$12,0))))-0.000001),1,0)</f>
        <v>1</v>
      </c>
      <c r="E1068" s="18">
        <f>IF(D1068=0,G1067,(G1067-MAX(0,'1-Input'!$B$10-IF($A1068&gt;='1-Input'!$C$12,'1-Input'!$B$12,0))+C1068*(1-'P-Parametri'!$B$6*B1068))*(1+'1-Input'!$B$27))</f>
        <v>39457.439999999995</v>
      </c>
      <c r="F1068" s="18">
        <f t="shared" si="13"/>
        <v>355177.59605387785</v>
      </c>
      <c r="G1068" s="18">
        <f>IF(D1068=0,G1067,E1068-'P-Parametri'!$B$8*(F1068+E1068)+MIN(MAX(F1068,0),'P-Parametri'!$B$8*(F1068+E1068)))</f>
        <v>39457.439999999995</v>
      </c>
      <c r="H1068" s="18">
        <f>IF(D1068=0,H1067,F1068-MIN(MAX(F1068,0),'P-Parametri'!$B$8*(F1068+E1068)))</f>
        <v>354388.32598177012</v>
      </c>
      <c r="I1068" s="18">
        <f t="shared" si="14"/>
        <v>248940.70951857555</v>
      </c>
      <c r="J1068" s="18">
        <f>IF(D1068=0,J1067,J1067+C1068*B1068*'P-Parametri'!$B$6)</f>
        <v>5481.3167550463504</v>
      </c>
      <c r="K1068" s="18">
        <f>IF(D1068=0,K1067,K1067+'P-Parametri'!$B$8*(F1068+E1068))</f>
        <v>3297.1181935998479</v>
      </c>
    </row>
    <row r="1069" spans="1:11">
      <c r="A1069" s="10">
        <f>5</f>
        <v>5</v>
      </c>
      <c r="B1069" s="11">
        <f t="shared" si="12"/>
        <v>0.29754822247902951</v>
      </c>
      <c r="C1069" s="18">
        <f>IF(D1068=0,0,MIN(MAX(H1068,0),((MAX(0,'1-Input'!$B$10-IF($A1069&gt;='1-Input'!$C$12,'1-Input'!$B$12,0))-MIN(MAX(G1068,0),MAX(0,'1-Input'!$B$10-IF($A1069&gt;='1-Input'!$C$12,'1-Input'!$B$12,0))))+MAX(0,2*'1-Input'!$B$10-(G1068-MIN(MAX(G1068,0),MAX(0,'1-Input'!$B$10-IF($A1069&gt;='1-Input'!$C$12,'1-Input'!$B$12,0))))))*(1/(1-'P-Parametri'!$B$6*B1069))))</f>
        <v>21614.73039844977</v>
      </c>
      <c r="D1069" s="10">
        <f>IF(AND(D1068=1,G1068+H1068&gt;0.000001,C1069*(1-'P-Parametri'!$B$6*B1069)&gt;=(MAX(0,'1-Input'!$B$10-IF($A1069&gt;='1-Input'!$C$12,'1-Input'!$B$12,0))-MIN(MAX(G1068,0),MAX(0,'1-Input'!$B$10-IF($A1069&gt;='1-Input'!$C$12,'1-Input'!$B$12,0))))-0.000001),1,0)</f>
        <v>1</v>
      </c>
      <c r="E1069" s="18">
        <f>IF(D1069=0,G1068,(G1068-MAX(0,'1-Input'!$B$10-IF($A1069&gt;='1-Input'!$C$12,'1-Input'!$B$12,0))+C1069*(1-'P-Parametri'!$B$6*B1069))*(1+'1-Input'!$B$27))</f>
        <v>39457.439999999995</v>
      </c>
      <c r="F1069" s="18">
        <f t="shared" si="13"/>
        <v>342756.80345081998</v>
      </c>
      <c r="G1069" s="18">
        <f>IF(D1069=0,G1068,E1069-'P-Parametri'!$B$8*(F1069+E1069)+MIN(MAX(F1069,0),'P-Parametri'!$B$8*(F1069+E1069)))</f>
        <v>39457.439999999995</v>
      </c>
      <c r="H1069" s="18">
        <f>IF(D1069=0,H1068,F1069-MIN(MAX(F1069,0),'P-Parametri'!$B$8*(F1069+E1069)))</f>
        <v>341992.37496391835</v>
      </c>
      <c r="I1069" s="18">
        <f t="shared" si="14"/>
        <v>233757.40372954795</v>
      </c>
      <c r="J1069" s="18">
        <f>IF(D1069=0,J1068,J1068+C1069*B1069*'P-Parametri'!$B$6)</f>
        <v>7153.4871534961158</v>
      </c>
      <c r="K1069" s="18">
        <f>IF(D1069=0,K1068,K1068+'P-Parametri'!$B$8*(F1069+E1069))</f>
        <v>4061.546680501488</v>
      </c>
    </row>
    <row r="1070" spans="1:11">
      <c r="A1070" s="10">
        <f>6</f>
        <v>6</v>
      </c>
      <c r="B1070" s="11">
        <f t="shared" si="12"/>
        <v>0.31648358021370987</v>
      </c>
      <c r="C1070" s="18">
        <f>IF(D1069=0,0,MIN(MAX(H1069,0),((MAX(0,'1-Input'!$B$10-IF($A1070&gt;='1-Input'!$C$12,'1-Input'!$B$12,0))-MIN(MAX(G1069,0),MAX(0,'1-Input'!$B$10-IF($A1070&gt;='1-Input'!$C$12,'1-Input'!$B$12,0))))+MAX(0,2*'1-Input'!$B$10-(G1069-MIN(MAX(G1069,0),MAX(0,'1-Input'!$B$10-IF($A1070&gt;='1-Input'!$C$12,'1-Input'!$B$12,0))))))*(1/(1-'P-Parametri'!$B$6*B1070))))</f>
        <v>21730.685323866666</v>
      </c>
      <c r="D1070" s="10">
        <f>IF(AND(D1069=1,G1069+H1069&gt;0.000001,C1070*(1-'P-Parametri'!$B$6*B1070)&gt;=(MAX(0,'1-Input'!$B$10-IF($A1070&gt;='1-Input'!$C$12,'1-Input'!$B$12,0))-MIN(MAX(G1069,0),MAX(0,'1-Input'!$B$10-IF($A1070&gt;='1-Input'!$C$12,'1-Input'!$B$12,0))))-0.000001),1,0)</f>
        <v>1</v>
      </c>
      <c r="E1070" s="18">
        <f>IF(D1070=0,G1069,(G1069-MAX(0,'1-Input'!$B$10-IF($A1070&gt;='1-Input'!$C$12,'1-Input'!$B$12,0))+C1070*(1-'P-Parametri'!$B$6*B1070))*(1+'1-Input'!$B$27))</f>
        <v>39457.439999999995</v>
      </c>
      <c r="F1070" s="18">
        <f t="shared" si="13"/>
        <v>329869.54032925324</v>
      </c>
      <c r="G1070" s="18">
        <f>IF(D1070=0,G1069,E1070-'P-Parametri'!$B$8*(F1070+E1070)+MIN(MAX(F1070,0),'P-Parametri'!$B$8*(F1070+E1070)))</f>
        <v>39457.439999999995</v>
      </c>
      <c r="H1070" s="18">
        <f>IF(D1070=0,H1069,F1070-MIN(MAX(F1070,0),'P-Parametri'!$B$8*(F1070+E1070)))</f>
        <v>329130.88636859471</v>
      </c>
      <c r="I1070" s="18">
        <f t="shared" si="14"/>
        <v>218904.12349747613</v>
      </c>
      <c r="J1070" s="18">
        <f>IF(D1070=0,J1069,J1069+C1070*B1070*'P-Parametri'!$B$6)</f>
        <v>8941.6124773627744</v>
      </c>
      <c r="K1070" s="18">
        <f>IF(D1070=0,K1069,K1069+'P-Parametri'!$B$8*(F1070+E1070))</f>
        <v>4800.2006411599941</v>
      </c>
    </row>
    <row r="1071" spans="1:11">
      <c r="A1071" s="10">
        <f>7</f>
        <v>7</v>
      </c>
      <c r="B1071" s="11">
        <f t="shared" si="12"/>
        <v>0.33490251883463557</v>
      </c>
      <c r="C1071" s="18">
        <f>IF(D1070=0,0,MIN(MAX(H1070,0),((MAX(0,'1-Input'!$B$10-IF($A1071&gt;='1-Input'!$C$12,'1-Input'!$B$12,0))-MIN(MAX(G1070,0),MAX(0,'1-Input'!$B$10-IF($A1071&gt;='1-Input'!$C$12,'1-Input'!$B$12,0))))+MAX(0,2*'1-Input'!$B$10-(G1070-MIN(MAX(G1070,0),MAX(0,'1-Input'!$B$10-IF($A1071&gt;='1-Input'!$C$12,'1-Input'!$B$12,0))))))*(1/(1-'P-Parametri'!$B$6*B1071))))</f>
        <v>21844.677778937243</v>
      </c>
      <c r="D1071" s="10">
        <f>IF(AND(D1070=1,G1070+H1070&gt;0.000001,C1071*(1-'P-Parametri'!$B$6*B1071)&gt;=(MAX(0,'1-Input'!$B$10-IF($A1071&gt;='1-Input'!$C$12,'1-Input'!$B$12,0))-MIN(MAX(G1070,0),MAX(0,'1-Input'!$B$10-IF($A1071&gt;='1-Input'!$C$12,'1-Input'!$B$12,0))))-0.000001),1,0)</f>
        <v>1</v>
      </c>
      <c r="E1071" s="18">
        <f>IF(D1071=0,G1070,(G1070-MAX(0,'1-Input'!$B$10-IF($A1071&gt;='1-Input'!$C$12,'1-Input'!$B$12,0))+C1071*(1-'P-Parametri'!$B$6*B1071))*(1+'1-Input'!$B$27))</f>
        <v>39457.439999999995</v>
      </c>
      <c r="F1071" s="18">
        <f t="shared" si="13"/>
        <v>316504.79484734719</v>
      </c>
      <c r="G1071" s="18">
        <f>IF(D1071=0,G1070,E1071-'P-Parametri'!$B$8*(F1071+E1071)+MIN(MAX(F1071,0),'P-Parametri'!$B$8*(F1071+E1071)))</f>
        <v>39457.439999999995</v>
      </c>
      <c r="H1071" s="18">
        <f>IF(D1071=0,H1070,F1071-MIN(MAX(F1071,0),'P-Parametri'!$B$8*(F1071+E1071)))</f>
        <v>315792.87037765252</v>
      </c>
      <c r="I1071" s="18">
        <f t="shared" si="14"/>
        <v>204375.28332983598</v>
      </c>
      <c r="J1071" s="18">
        <f>IF(D1071=0,J1070,J1070+C1071*B1071*'P-Parametri'!$B$6)</f>
        <v>10843.730256300014</v>
      </c>
      <c r="K1071" s="18">
        <f>IF(D1071=0,K1070,K1070+'P-Parametri'!$B$8*(F1071+E1071))</f>
        <v>5512.1251108546885</v>
      </c>
    </row>
    <row r="1072" spans="1:11">
      <c r="A1072" s="10">
        <f>8</f>
        <v>8</v>
      </c>
      <c r="B1072" s="11">
        <f t="shared" si="12"/>
        <v>0.35281856399916101</v>
      </c>
      <c r="C1072" s="18">
        <f>IF(D1071=0,0,MIN(MAX(H1071,0),((MAX(0,'1-Input'!$B$10-IF($A1072&gt;='1-Input'!$C$12,'1-Input'!$B$12,0))-MIN(MAX(G1071,0),MAX(0,'1-Input'!$B$10-IF($A1072&gt;='1-Input'!$C$12,'1-Input'!$B$12,0))))+MAX(0,2*'1-Input'!$B$10-(G1071-MIN(MAX(G1071,0),MAX(0,'1-Input'!$B$10-IF($A1072&gt;='1-Input'!$C$12,'1-Input'!$B$12,0))))))*(1/(1-'P-Parametri'!$B$6*B1072))))</f>
        <v>21956.711180280428</v>
      </c>
      <c r="D1072" s="10">
        <f>IF(AND(D1071=1,G1071+H1071&gt;0.000001,C1072*(1-'P-Parametri'!$B$6*B1072)&gt;=(MAX(0,'1-Input'!$B$10-IF($A1072&gt;='1-Input'!$C$12,'1-Input'!$B$12,0))-MIN(MAX(G1071,0),MAX(0,'1-Input'!$B$10-IF($A1072&gt;='1-Input'!$C$12,'1-Input'!$B$12,0))))-0.000001),1,0)</f>
        <v>1</v>
      </c>
      <c r="E1072" s="18">
        <f>IF(D1072=0,G1071,(G1071-MAX(0,'1-Input'!$B$10-IF($A1072&gt;='1-Input'!$C$12,'1-Input'!$B$12,0))+C1072*(1-'P-Parametri'!$B$6*B1072))*(1+'1-Input'!$B$27))</f>
        <v>39457.439999999995</v>
      </c>
      <c r="F1072" s="18">
        <f t="shared" si="13"/>
        <v>302651.24397329328</v>
      </c>
      <c r="G1072" s="18">
        <f>IF(D1072=0,G1071,E1072-'P-Parametri'!$B$8*(F1072+E1072)+MIN(MAX(F1072,0),'P-Parametri'!$B$8*(F1072+E1072)))</f>
        <v>39457.439999999995</v>
      </c>
      <c r="H1072" s="18">
        <f>IF(D1072=0,H1071,F1072-MIN(MAX(F1072,0),'P-Parametri'!$B$8*(F1072+E1072)))</f>
        <v>301967.02660534671</v>
      </c>
      <c r="I1072" s="18">
        <f t="shared" si="14"/>
        <v>190165.30745832642</v>
      </c>
      <c r="J1072" s="18">
        <f>IF(D1072=0,J1071,J1071+C1072*B1072*'P-Parametri'!$B$6)</f>
        <v>12857.881436580439</v>
      </c>
      <c r="K1072" s="18">
        <f>IF(D1072=0,K1071,K1071+'P-Parametri'!$B$8*(F1072+E1072))</f>
        <v>6196.3424788012753</v>
      </c>
    </row>
    <row r="1073" spans="1:11">
      <c r="A1073" s="10">
        <f>9</f>
        <v>9</v>
      </c>
      <c r="B1073" s="11">
        <f t="shared" si="12"/>
        <v>0.37024479263141075</v>
      </c>
      <c r="C1073" s="18">
        <f>IF(D1072=0,0,MIN(MAX(H1072,0),((MAX(0,'1-Input'!$B$10-IF($A1073&gt;='1-Input'!$C$12,'1-Input'!$B$12,0))-MIN(MAX(G1072,0),MAX(0,'1-Input'!$B$10-IF($A1073&gt;='1-Input'!$C$12,'1-Input'!$B$12,0))))+MAX(0,2*'1-Input'!$B$10-(G1072-MIN(MAX(G1072,0),MAX(0,'1-Input'!$B$10-IF($A1073&gt;='1-Input'!$C$12,'1-Input'!$B$12,0))))))*(1/(1-'P-Parametri'!$B$6*B1073))))</f>
        <v>22066.789626853159</v>
      </c>
      <c r="D1073" s="10">
        <f>IF(AND(D1072=1,G1072+H1072&gt;0.000001,C1073*(1-'P-Parametri'!$B$6*B1073)&gt;=(MAX(0,'1-Input'!$B$10-IF($A1073&gt;='1-Input'!$C$12,'1-Input'!$B$12,0))-MIN(MAX(G1072,0),MAX(0,'1-Input'!$B$10-IF($A1073&gt;='1-Input'!$C$12,'1-Input'!$B$12,0))))-0.000001),1,0)</f>
        <v>1</v>
      </c>
      <c r="E1073" s="18">
        <f>IF(D1073=0,G1072,(G1072-MAX(0,'1-Input'!$B$10-IF($A1073&gt;='1-Input'!$C$12,'1-Input'!$B$12,0))+C1073*(1-'P-Parametri'!$B$6*B1073))*(1+'1-Input'!$B$27))</f>
        <v>39457.439999999995</v>
      </c>
      <c r="F1073" s="18">
        <f t="shared" si="13"/>
        <v>288297.2440878484</v>
      </c>
      <c r="G1073" s="18">
        <f>IF(D1073=0,G1072,E1073-'P-Parametri'!$B$8*(F1073+E1073)+MIN(MAX(F1073,0),'P-Parametri'!$B$8*(F1073+E1073)))</f>
        <v>39457.439999999995</v>
      </c>
      <c r="H1073" s="18">
        <f>IF(D1073=0,H1072,F1073-MIN(MAX(F1073,0),'P-Parametri'!$B$8*(F1073+E1073)))</f>
        <v>287641.73471967271</v>
      </c>
      <c r="I1073" s="18">
        <f t="shared" si="14"/>
        <v>176268.63178090847</v>
      </c>
      <c r="J1073" s="18">
        <f>IF(D1073=0,J1072,J1072+C1073*B1073*'P-Parametri'!$B$6)</f>
        <v>14982.111063433595</v>
      </c>
      <c r="K1073" s="18">
        <f>IF(D1073=0,K1072,K1072+'P-Parametri'!$B$8*(F1073+E1073))</f>
        <v>6851.8518469769724</v>
      </c>
    </row>
    <row r="1074" spans="1:11">
      <c r="A1074" s="10">
        <f>10</f>
        <v>10</v>
      </c>
      <c r="B1074" s="11">
        <f t="shared" si="12"/>
        <v>0.38719382306362887</v>
      </c>
      <c r="C1074" s="18">
        <f>IF(D1073=0,0,MIN(MAX(H1073,0),((MAX(0,'1-Input'!$B$10-IF($A1074&gt;='1-Input'!$C$12,'1-Input'!$B$12,0))-MIN(MAX(G1073,0),MAX(0,'1-Input'!$B$10-IF($A1074&gt;='1-Input'!$C$12,'1-Input'!$B$12,0))))+MAX(0,2*'1-Input'!$B$10-(G1073-MIN(MAX(G1073,0),MAX(0,'1-Input'!$B$10-IF($A1074&gt;='1-Input'!$C$12,'1-Input'!$B$12,0))))))*(1/(1-'P-Parametri'!$B$6*B1074))))</f>
        <v>22174.917701890219</v>
      </c>
      <c r="D1074" s="10">
        <f>IF(AND(D1073=1,G1073+H1073&gt;0.000001,C1074*(1-'P-Parametri'!$B$6*B1074)&gt;=(MAX(0,'1-Input'!$B$10-IF($A1074&gt;='1-Input'!$C$12,'1-Input'!$B$12,0))-MIN(MAX(G1073,0),MAX(0,'1-Input'!$B$10-IF($A1074&gt;='1-Input'!$C$12,'1-Input'!$B$12,0))))-0.000001),1,0)</f>
        <v>1</v>
      </c>
      <c r="E1074" s="18">
        <f>IF(D1074=0,G1073,(G1073-MAX(0,'1-Input'!$B$10-IF($A1074&gt;='1-Input'!$C$12,'1-Input'!$B$12,0))+C1074*(1-'P-Parametri'!$B$6*B1074))*(1+'1-Input'!$B$27))</f>
        <v>39457.439999999995</v>
      </c>
      <c r="F1074" s="18">
        <f t="shared" si="13"/>
        <v>273430.82152831595</v>
      </c>
      <c r="G1074" s="18">
        <f>IF(D1074=0,G1073,E1074-'P-Parametri'!$B$8*(F1074+E1074)+MIN(MAX(F1074,0),'P-Parametri'!$B$8*(F1074+E1074)))</f>
        <v>39457.439999999995</v>
      </c>
      <c r="H1074" s="18">
        <f>IF(D1074=0,H1073,F1074-MIN(MAX(F1074,0),'P-Parametri'!$B$8*(F1074+E1074)))</f>
        <v>272805.04500525934</v>
      </c>
      <c r="I1074" s="18">
        <f t="shared" si="14"/>
        <v>162679.70524013447</v>
      </c>
      <c r="J1074" s="18">
        <f>IF(D1074=0,J1073,J1073+C1074*B1074*'P-Parametri'!$B$6)</f>
        <v>17214.468765323811</v>
      </c>
      <c r="K1074" s="18">
        <f>IF(D1074=0,K1073,K1073+'P-Parametri'!$B$8*(F1074+E1074))</f>
        <v>7477.6283700336044</v>
      </c>
    </row>
    <row r="1075" spans="1:11">
      <c r="A1075" s="10">
        <f>11</f>
        <v>11</v>
      </c>
      <c r="B1075" s="11">
        <f t="shared" si="12"/>
        <v>0.40367779768516299</v>
      </c>
      <c r="C1075" s="18">
        <f>IF(D1074=0,0,MIN(MAX(H1074,0),((MAX(0,'1-Input'!$B$10-IF($A1075&gt;='1-Input'!$C$12,'1-Input'!$B$12,0))-MIN(MAX(G1074,0),MAX(0,'1-Input'!$B$10-IF($A1075&gt;='1-Input'!$C$12,'1-Input'!$B$12,0))))+MAX(0,2*'1-Input'!$B$10-(G1074-MIN(MAX(G1074,0),MAX(0,'1-Input'!$B$10-IF($A1075&gt;='1-Input'!$C$12,'1-Input'!$B$12,0))))))*(1/(1-'P-Parametri'!$B$6*B1075))))</f>
        <v>22281.100221531906</v>
      </c>
      <c r="D1075" s="10">
        <f>IF(AND(D1074=1,G1074+H1074&gt;0.000001,C1075*(1-'P-Parametri'!$B$6*B1075)&gt;=(MAX(0,'1-Input'!$B$10-IF($A1075&gt;='1-Input'!$C$12,'1-Input'!$B$12,0))-MIN(MAX(G1074,0),MAX(0,'1-Input'!$B$10-IF($A1075&gt;='1-Input'!$C$12,'1-Input'!$B$12,0))))-0.000001),1,0)</f>
        <v>1</v>
      </c>
      <c r="E1075" s="18">
        <f>IF(D1075=0,G1074,(G1074-MAX(0,'1-Input'!$B$10-IF($A1075&gt;='1-Input'!$C$12,'1-Input'!$B$12,0))+C1075*(1-'P-Parametri'!$B$6*B1075))*(1+'1-Input'!$B$27))</f>
        <v>39457.439999999995</v>
      </c>
      <c r="F1075" s="18">
        <f t="shared" si="13"/>
        <v>258039.66312723927</v>
      </c>
      <c r="G1075" s="18">
        <f>IF(D1075=0,G1074,E1075-'P-Parametri'!$B$8*(F1075+E1075)+MIN(MAX(F1075,0),'P-Parametri'!$B$8*(F1075+E1075)))</f>
        <v>39457.439999999995</v>
      </c>
      <c r="H1075" s="18">
        <f>IF(D1075=0,H1074,F1075-MIN(MAX(F1075,0),'P-Parametri'!$B$8*(F1075+E1075)))</f>
        <v>257444.66892098478</v>
      </c>
      <c r="I1075" s="18">
        <f t="shared" si="14"/>
        <v>149392.99048603297</v>
      </c>
      <c r="J1075" s="18">
        <f>IF(D1075=0,J1074,J1074+C1075*B1075*'P-Parametri'!$B$6)</f>
        <v>19553.008986855715</v>
      </c>
      <c r="K1075" s="18">
        <f>IF(D1075=0,K1074,K1074+'P-Parametri'!$B$8*(F1075+E1075))</f>
        <v>8072.6225762880831</v>
      </c>
    </row>
    <row r="1076" spans="1:11">
      <c r="A1076" s="10">
        <f>12</f>
        <v>12</v>
      </c>
      <c r="B1076" s="11">
        <f t="shared" si="12"/>
        <v>0.41970835476152413</v>
      </c>
      <c r="C1076" s="18">
        <f>IF(D1075=0,0,MIN(MAX(H1075,0),((MAX(0,'1-Input'!$B$10-IF($A1076&gt;='1-Input'!$C$12,'1-Input'!$B$12,0))-MIN(MAX(G1075,0),MAX(0,'1-Input'!$B$10-IF($A1076&gt;='1-Input'!$C$12,'1-Input'!$B$12,0))))+MAX(0,2*'1-Input'!$B$10-(G1075-MIN(MAX(G1075,0),MAX(0,'1-Input'!$B$10-IF($A1076&gt;='1-Input'!$C$12,'1-Input'!$B$12,0))))))*(1/(1-'P-Parametri'!$B$6*B1076))))</f>
        <v>22385.341905726993</v>
      </c>
      <c r="D1076" s="10">
        <f>IF(AND(D1075=1,G1075+H1075&gt;0.000001,C1076*(1-'P-Parametri'!$B$6*B1076)&gt;=(MAX(0,'1-Input'!$B$10-IF($A1076&gt;='1-Input'!$C$12,'1-Input'!$B$12,0))-MIN(MAX(G1075,0),MAX(0,'1-Input'!$B$10-IF($A1076&gt;='1-Input'!$C$12,'1-Input'!$B$12,0))))-0.000001),1,0)</f>
        <v>1</v>
      </c>
      <c r="E1076" s="18">
        <f>IF(D1076=0,G1075,(G1075-MAX(0,'1-Input'!$B$10-IF($A1076&gt;='1-Input'!$C$12,'1-Input'!$B$12,0))+C1076*(1-'P-Parametri'!$B$6*B1076))*(1+'1-Input'!$B$27))</f>
        <v>39457.439999999995</v>
      </c>
      <c r="F1076" s="18">
        <f t="shared" si="13"/>
        <v>242111.10682571554</v>
      </c>
      <c r="G1076" s="18">
        <f>IF(D1076=0,G1075,E1076-'P-Parametri'!$B$8*(F1076+E1076)+MIN(MAX(F1076,0),'P-Parametri'!$B$8*(F1076+E1076)))</f>
        <v>39457.439999999995</v>
      </c>
      <c r="H1076" s="18">
        <f>IF(D1076=0,H1075,F1076-MIN(MAX(F1076,0),'P-Parametri'!$B$8*(F1076+E1076)))</f>
        <v>241547.96973206411</v>
      </c>
      <c r="I1076" s="18">
        <f t="shared" si="14"/>
        <v>136402.96360233286</v>
      </c>
      <c r="J1076" s="18">
        <f>IF(D1076=0,J1075,J1075+C1076*B1076*'P-Parametri'!$B$6)</f>
        <v>21995.790892582703</v>
      </c>
      <c r="K1076" s="18">
        <f>IF(D1076=0,K1075,K1075+'P-Parametri'!$B$8*(F1076+E1076))</f>
        <v>8635.7596699395144</v>
      </c>
    </row>
    <row r="1077" spans="1:11">
      <c r="A1077" s="10">
        <f>13</f>
        <v>13</v>
      </c>
      <c r="B1077" s="11">
        <f t="shared" si="12"/>
        <v>0.43529658413756417</v>
      </c>
      <c r="C1077" s="18">
        <f>IF(D1076=0,0,MIN(MAX(H1076,0),((MAX(0,'1-Input'!$B$10-IF($A1077&gt;='1-Input'!$C$12,'1-Input'!$B$12,0))-MIN(MAX(G1076,0),MAX(0,'1-Input'!$B$10-IF($A1077&gt;='1-Input'!$C$12,'1-Input'!$B$12,0))))+MAX(0,2*'1-Input'!$B$10-(G1076-MIN(MAX(G1076,0),MAX(0,'1-Input'!$B$10-IF($A1077&gt;='1-Input'!$C$12,'1-Input'!$B$12,0))))))*(1/(1-'P-Parametri'!$B$6*B1077))))</f>
        <v>22487.646932728119</v>
      </c>
      <c r="D1077" s="10">
        <f>IF(AND(D1076=1,G1076+H1076&gt;0.000001,C1077*(1-'P-Parametri'!$B$6*B1077)&gt;=(MAX(0,'1-Input'!$B$10-IF($A1077&gt;='1-Input'!$C$12,'1-Input'!$B$12,0))-MIN(MAX(G1076,0),MAX(0,'1-Input'!$B$10-IF($A1077&gt;='1-Input'!$C$12,'1-Input'!$B$12,0))))-0.000001),1,0)</f>
        <v>1</v>
      </c>
      <c r="E1077" s="18">
        <f>IF(D1077=0,G1076,(G1076-MAX(0,'1-Input'!$B$10-IF($A1077&gt;='1-Input'!$C$12,'1-Input'!$B$12,0))+C1077*(1-'P-Parametri'!$B$6*B1077))*(1+'1-Input'!$B$27))</f>
        <v>39457.439999999995</v>
      </c>
      <c r="F1077" s="18">
        <f t="shared" si="13"/>
        <v>225632.13248331609</v>
      </c>
      <c r="G1077" s="18">
        <f>IF(D1077=0,G1076,E1077-'P-Parametri'!$B$8*(F1077+E1077)+MIN(MAX(F1077,0),'P-Parametri'!$B$8*(F1077+E1077)))</f>
        <v>39457.439999999995</v>
      </c>
      <c r="H1077" s="18">
        <f>IF(D1077=0,H1076,F1077-MIN(MAX(F1077,0),'P-Parametri'!$B$8*(F1077+E1077)))</f>
        <v>225101.95333834947</v>
      </c>
      <c r="I1077" s="18">
        <f t="shared" si="14"/>
        <v>123704.11256471286</v>
      </c>
      <c r="J1077" s="18">
        <f>IF(D1077=0,J1076,J1076+C1077*B1077*'P-Parametri'!$B$6)</f>
        <v>24540.877825310814</v>
      </c>
      <c r="K1077" s="18">
        <f>IF(D1077=0,K1076,K1076+'P-Parametri'!$B$8*(F1077+E1077))</f>
        <v>9165.9388149061469</v>
      </c>
    </row>
    <row r="1078" spans="1:11">
      <c r="A1078" s="10">
        <f>14</f>
        <v>14</v>
      </c>
      <c r="B1078" s="11">
        <f t="shared" si="12"/>
        <v>0.45045295818124725</v>
      </c>
      <c r="C1078" s="18">
        <f>IF(D1077=0,0,MIN(MAX(H1077,0),((MAX(0,'1-Input'!$B$10-IF($A1078&gt;='1-Input'!$C$12,'1-Input'!$B$12,0))-MIN(MAX(G1077,0),MAX(0,'1-Input'!$B$10-IF($A1078&gt;='1-Input'!$C$12,'1-Input'!$B$12,0))))+MAX(0,2*'1-Input'!$B$10-(G1077-MIN(MAX(G1077,0),MAX(0,'1-Input'!$B$10-IF($A1078&gt;='1-Input'!$C$12,'1-Input'!$B$12,0))))))*(1/(1-'P-Parametri'!$B$6*B1078))))</f>
        <v>22588.018313930133</v>
      </c>
      <c r="D1078" s="10">
        <f>IF(AND(D1077=1,G1077+H1077&gt;0.000001,C1078*(1-'P-Parametri'!$B$6*B1078)&gt;=(MAX(0,'1-Input'!$B$10-IF($A1078&gt;='1-Input'!$C$12,'1-Input'!$B$12,0))-MIN(MAX(G1077,0),MAX(0,'1-Input'!$B$10-IF($A1078&gt;='1-Input'!$C$12,'1-Input'!$B$12,0))))-0.000001),1,0)</f>
        <v>1</v>
      </c>
      <c r="E1078" s="18">
        <f>IF(D1078=0,G1077,(G1077-MAX(0,'1-Input'!$B$10-IF($A1078&gt;='1-Input'!$C$12,'1-Input'!$B$12,0))+C1078*(1-'P-Parametri'!$B$6*B1078))*(1+'1-Input'!$B$27))</f>
        <v>39457.439999999995</v>
      </c>
      <c r="F1078" s="18">
        <f t="shared" si="13"/>
        <v>208589.35307515191</v>
      </c>
      <c r="G1078" s="18">
        <f>IF(D1078=0,G1077,E1078-'P-Parametri'!$B$8*(F1078+E1078)+MIN(MAX(F1078,0),'P-Parametri'!$B$8*(F1078+E1078)))</f>
        <v>39457.439999999995</v>
      </c>
      <c r="H1078" s="18">
        <f>IF(D1078=0,H1077,F1078-MIN(MAX(F1078,0),'P-Parametri'!$B$8*(F1078+E1078)))</f>
        <v>208093.25948900162</v>
      </c>
      <c r="I1078" s="18">
        <f t="shared" si="14"/>
        <v>111290.93391974476</v>
      </c>
      <c r="J1078" s="18">
        <f>IF(D1078=0,J1077,J1077+C1078*B1078*'P-Parametri'!$B$6)</f>
        <v>27186.336139240939</v>
      </c>
      <c r="K1078" s="18">
        <f>IF(D1078=0,K1077,K1077+'P-Parametri'!$B$8*(F1078+E1078))</f>
        <v>9662.0324010564509</v>
      </c>
    </row>
    <row r="1079" spans="1:11">
      <c r="A1079" s="10">
        <f>15</f>
        <v>15</v>
      </c>
      <c r="B1079" s="11">
        <f t="shared" si="12"/>
        <v>0.46518722330058543</v>
      </c>
      <c r="C1079" s="18">
        <f>IF(D1078=0,0,MIN(MAX(H1078,0),((MAX(0,'1-Input'!$B$10-IF($A1079&gt;='1-Input'!$C$12,'1-Input'!$B$12,0))-MIN(MAX(G1078,0),MAX(0,'1-Input'!$B$10-IF($A1079&gt;='1-Input'!$C$12,'1-Input'!$B$12,0))))+MAX(0,2*'1-Input'!$B$10-(G1078-MIN(MAX(G1078,0),MAX(0,'1-Input'!$B$10-IF($A1079&gt;='1-Input'!$C$12,'1-Input'!$B$12,0))))))*(1/(1-'P-Parametri'!$B$6*B1079))))</f>
        <v>22686.456981767977</v>
      </c>
      <c r="D1079" s="10">
        <f>IF(AND(D1078=1,G1078+H1078&gt;0.000001,C1079*(1-'P-Parametri'!$B$6*B1079)&gt;=(MAX(0,'1-Input'!$B$10-IF($A1079&gt;='1-Input'!$C$12,'1-Input'!$B$12,0))-MIN(MAX(G1078,0),MAX(0,'1-Input'!$B$10-IF($A1079&gt;='1-Input'!$C$12,'1-Input'!$B$12,0))))-0.000001),1,0)</f>
        <v>1</v>
      </c>
      <c r="E1079" s="18">
        <f>IF(D1079=0,G1078,(G1078-MAX(0,'1-Input'!$B$10-IF($A1079&gt;='1-Input'!$C$12,'1-Input'!$B$12,0))+C1079*(1-'P-Parametri'!$B$6*B1079))*(1+'1-Input'!$B$27))</f>
        <v>39457.439999999995</v>
      </c>
      <c r="F1079" s="18">
        <f t="shared" si="13"/>
        <v>190969.00658245065</v>
      </c>
      <c r="G1079" s="18">
        <f>IF(D1079=0,G1078,E1079-'P-Parametri'!$B$8*(F1079+E1079)+MIN(MAX(F1079,0),'P-Parametri'!$B$8*(F1079+E1079)))</f>
        <v>39457.439999999995</v>
      </c>
      <c r="H1079" s="18">
        <f>IF(D1079=0,H1078,F1079-MIN(MAX(F1079,0),'P-Parametri'!$B$8*(F1079+E1079)))</f>
        <v>190508.15368928574</v>
      </c>
      <c r="I1079" s="18">
        <f t="shared" si="14"/>
        <v>99157.926867853603</v>
      </c>
      <c r="J1079" s="18">
        <f>IF(D1079=0,J1078,J1078+C1079*B1079*'P-Parametri'!$B$6)</f>
        <v>29930.233121008914</v>
      </c>
      <c r="K1079" s="18">
        <f>IF(D1079=0,K1078,K1078+'P-Parametri'!$B$8*(F1079+E1079))</f>
        <v>10122.885294221353</v>
      </c>
    </row>
    <row r="1080" spans="1:11">
      <c r="A1080" s="10">
        <f>16</f>
        <v>16</v>
      </c>
      <c r="B1080" s="11">
        <f t="shared" si="12"/>
        <v>0.47950822603856724</v>
      </c>
      <c r="C1080" s="18">
        <f>IF(D1079=0,0,MIN(MAX(H1079,0),((MAX(0,'1-Input'!$B$10-IF($A1080&gt;='1-Input'!$C$12,'1-Input'!$B$12,0))-MIN(MAX(G1079,0),MAX(0,'1-Input'!$B$10-IF($A1080&gt;='1-Input'!$C$12,'1-Input'!$B$12,0))))+MAX(0,2*'1-Input'!$B$10-(G1079-MIN(MAX(G1079,0),MAX(0,'1-Input'!$B$10-IF($A1080&gt;='1-Input'!$C$12,'1-Input'!$B$12,0))))))*(1/(1-'P-Parametri'!$B$6*B1080))))</f>
        <v>22782.960400663575</v>
      </c>
      <c r="D1080" s="10">
        <f>IF(AND(D1079=1,G1079+H1079&gt;0.000001,C1080*(1-'P-Parametri'!$B$6*B1080)&gt;=(MAX(0,'1-Input'!$B$10-IF($A1080&gt;='1-Input'!$C$12,'1-Input'!$B$12,0))-MIN(MAX(G1079,0),MAX(0,'1-Input'!$B$10-IF($A1080&gt;='1-Input'!$C$12,'1-Input'!$B$12,0))))-0.000001),1,0)</f>
        <v>1</v>
      </c>
      <c r="E1080" s="18">
        <f>IF(D1080=0,G1079,(G1079-MAX(0,'1-Input'!$B$10-IF($A1080&gt;='1-Input'!$C$12,'1-Input'!$B$12,0))+C1080*(1-'P-Parametri'!$B$6*B1080))*(1+'1-Input'!$B$27))</f>
        <v>39457.439999999995</v>
      </c>
      <c r="F1080" s="18">
        <f t="shared" si="13"/>
        <v>172756.94908728084</v>
      </c>
      <c r="G1080" s="18">
        <f>IF(D1080=0,G1079,E1080-'P-Parametri'!$B$8*(F1080+E1080)+MIN(MAX(F1080,0),'P-Parametri'!$B$8*(F1080+E1080)))</f>
        <v>39457.439999999995</v>
      </c>
      <c r="H1080" s="18">
        <f>IF(D1080=0,H1079,F1080-MIN(MAX(F1080,0),'P-Parametri'!$B$8*(F1080+E1080)))</f>
        <v>172332.52030910627</v>
      </c>
      <c r="I1080" s="18">
        <f t="shared" si="14"/>
        <v>87299.583392819142</v>
      </c>
      <c r="J1080" s="18">
        <f>IF(D1080=0,J1079,J1079+C1080*B1080*'P-Parametri'!$B$6)</f>
        <v>32770.633521672484</v>
      </c>
      <c r="K1080" s="18">
        <f>IF(D1080=0,K1079,K1079+'P-Parametri'!$B$8*(F1080+E1080))</f>
        <v>10547.314072395915</v>
      </c>
    </row>
    <row r="1081" spans="1:11">
      <c r="A1081" s="10">
        <f>17</f>
        <v>17</v>
      </c>
      <c r="B1081" s="11">
        <f t="shared" si="12"/>
        <v>0.49342362523200378</v>
      </c>
      <c r="C1081" s="18">
        <f>IF(D1080=0,0,MIN(MAX(H1080,0),((MAX(0,'1-Input'!$B$10-IF($A1081&gt;='1-Input'!$C$12,'1-Input'!$B$12,0))-MIN(MAX(G1080,0),MAX(0,'1-Input'!$B$10-IF($A1081&gt;='1-Input'!$C$12,'1-Input'!$B$12,0))))+MAX(0,2*'1-Input'!$B$10-(G1080-MIN(MAX(G1080,0),MAX(0,'1-Input'!$B$10-IF($A1081&gt;='1-Input'!$C$12,'1-Input'!$B$12,0))))))*(1/(1-'P-Parametri'!$B$6*B1081))))</f>
        <v>22877.520346705496</v>
      </c>
      <c r="D1081" s="10">
        <f>IF(AND(D1080=1,G1080+H1080&gt;0.000001,C1081*(1-'P-Parametri'!$B$6*B1081)&gt;=(MAX(0,'1-Input'!$B$10-IF($A1081&gt;='1-Input'!$C$12,'1-Input'!$B$12,0))-MIN(MAX(G1080,0),MAX(0,'1-Input'!$B$10-IF($A1081&gt;='1-Input'!$C$12,'1-Input'!$B$12,0))))-0.000001),1,0)</f>
        <v>1</v>
      </c>
      <c r="E1081" s="18">
        <f>IF(D1081=0,G1080,(G1080-MAX(0,'1-Input'!$B$10-IF($A1081&gt;='1-Input'!$C$12,'1-Input'!$B$12,0))+C1081*(1-'P-Parametri'!$B$6*B1081))*(1+'1-Input'!$B$27))</f>
        <v>39457.439999999995</v>
      </c>
      <c r="F1081" s="18">
        <f t="shared" si="13"/>
        <v>153938.64996127278</v>
      </c>
      <c r="G1081" s="18">
        <f>IF(D1081=0,G1080,E1081-'P-Parametri'!$B$8*(F1081+E1081)+MIN(MAX(F1081,0),'P-Parametri'!$B$8*(F1081+E1081)))</f>
        <v>39457.439999999995</v>
      </c>
      <c r="H1081" s="18">
        <f>IF(D1081=0,H1080,F1081-MIN(MAX(F1081,0),'P-Parametri'!$B$8*(F1081+E1081)))</f>
        <v>153551.85778135023</v>
      </c>
      <c r="I1081" s="18">
        <f t="shared" si="14"/>
        <v>75710.372071903999</v>
      </c>
      <c r="J1081" s="18">
        <f>IF(D1081=0,J1080,J1080+C1081*B1081*'P-Parametri'!$B$6)</f>
        <v>35705.593868377975</v>
      </c>
      <c r="K1081" s="18">
        <f>IF(D1081=0,K1080,K1080+'P-Parametri'!$B$8*(F1081+E1081))</f>
        <v>10934.106252318461</v>
      </c>
    </row>
    <row r="1082" spans="1:11">
      <c r="A1082" s="10">
        <f>18</f>
        <v>18</v>
      </c>
      <c r="B1082" s="11">
        <f t="shared" si="12"/>
        <v>0.50693939385799169</v>
      </c>
      <c r="C1082" s="18">
        <f>IF(D1081=0,0,MIN(MAX(H1081,0),((MAX(0,'1-Input'!$B$10-IF($A1082&gt;='1-Input'!$C$12,'1-Input'!$B$12,0))-MIN(MAX(G1081,0),MAX(0,'1-Input'!$B$10-IF($A1082&gt;='1-Input'!$C$12,'1-Input'!$B$12,0))))+MAX(0,2*'1-Input'!$B$10-(G1081-MIN(MAX(G1081,0),MAX(0,'1-Input'!$B$10-IF($A1082&gt;='1-Input'!$C$12,'1-Input'!$B$12,0))))))*(1/(1-'P-Parametri'!$B$6*B1082))))</f>
        <v>22970.119152849806</v>
      </c>
      <c r="D1082" s="10">
        <f>IF(AND(D1081=1,G1081+H1081&gt;0.000001,C1082*(1-'P-Parametri'!$B$6*B1082)&gt;=(MAX(0,'1-Input'!$B$10-IF($A1082&gt;='1-Input'!$C$12,'1-Input'!$B$12,0))-MIN(MAX(G1081,0),MAX(0,'1-Input'!$B$10-IF($A1082&gt;='1-Input'!$C$12,'1-Input'!$B$12,0))))-0.000001),1,0)</f>
        <v>1</v>
      </c>
      <c r="E1082" s="18">
        <f>IF(D1082=0,G1081,(G1081-MAX(0,'1-Input'!$B$10-IF($A1082&gt;='1-Input'!$C$12,'1-Input'!$B$12,0))+C1082*(1-'P-Parametri'!$B$6*B1082))*(1+'1-Input'!$B$27))</f>
        <v>39457.439999999995</v>
      </c>
      <c r="F1082" s="18">
        <f t="shared" si="13"/>
        <v>134499.19078735544</v>
      </c>
      <c r="G1082" s="18">
        <f>IF(D1082=0,G1081,E1082-'P-Parametri'!$B$8*(F1082+E1082)+MIN(MAX(F1082,0),'P-Parametri'!$B$8*(F1082+E1082)))</f>
        <v>39457.439999999995</v>
      </c>
      <c r="H1082" s="18">
        <f>IF(D1082=0,H1081,F1082-MIN(MAX(F1082,0),'P-Parametri'!$B$8*(F1082+E1082)))</f>
        <v>134151.27752578072</v>
      </c>
      <c r="I1082" s="18">
        <f t="shared" si="14"/>
        <v>64384.711199245721</v>
      </c>
      <c r="J1082" s="18">
        <f>IF(D1082=0,J1081,J1081+C1082*B1082*'P-Parametri'!$B$6)</f>
        <v>38733.153021227772</v>
      </c>
      <c r="K1082" s="18">
        <f>IF(D1082=0,K1081,K1081+'P-Parametri'!$B$8*(F1082+E1082))</f>
        <v>11282.019513893172</v>
      </c>
    </row>
    <row r="1083" spans="1:11">
      <c r="A1083" s="10">
        <f>19</f>
        <v>19</v>
      </c>
      <c r="B1083" s="11">
        <f t="shared" si="12"/>
        <v>0.5200589037486244</v>
      </c>
      <c r="C1083" s="18">
        <f>IF(D1082=0,0,MIN(MAX(H1082,0),((MAX(0,'1-Input'!$B$10-IF($A1083&gt;='1-Input'!$C$12,'1-Input'!$B$12,0))-MIN(MAX(G1082,0),MAX(0,'1-Input'!$B$10-IF($A1083&gt;='1-Input'!$C$12,'1-Input'!$B$12,0))))+MAX(0,2*'1-Input'!$B$10-(G1082-MIN(MAX(G1082,0),MAX(0,'1-Input'!$B$10-IF($A1083&gt;='1-Input'!$C$12,'1-Input'!$B$12,0))))))*(1/(1-'P-Parametri'!$B$6*B1083))))</f>
        <v>23060.72291210296</v>
      </c>
      <c r="D1083" s="10">
        <f>IF(AND(D1082=1,G1082+H1082&gt;0.000001,C1083*(1-'P-Parametri'!$B$6*B1083)&gt;=(MAX(0,'1-Input'!$B$10-IF($A1083&gt;='1-Input'!$C$12,'1-Input'!$B$12,0))-MIN(MAX(G1082,0),MAX(0,'1-Input'!$B$10-IF($A1083&gt;='1-Input'!$C$12,'1-Input'!$B$12,0))))-0.000001),1,0)</f>
        <v>1</v>
      </c>
      <c r="E1083" s="18">
        <f>IF(D1083=0,G1082,(G1082-MAX(0,'1-Input'!$B$10-IF($A1083&gt;='1-Input'!$C$12,'1-Input'!$B$12,0))+C1083*(1-'P-Parametri'!$B$6*B1083))*(1+'1-Input'!$B$27))</f>
        <v>39457.439999999995</v>
      </c>
      <c r="F1083" s="18">
        <f t="shared" si="13"/>
        <v>114423.27125208809</v>
      </c>
      <c r="G1083" s="18">
        <f>IF(D1083=0,G1082,E1083-'P-Parametri'!$B$8*(F1083+E1083)+MIN(MAX(F1083,0),'P-Parametri'!$B$8*(F1083+E1083)))</f>
        <v>39457.439999999995</v>
      </c>
      <c r="H1083" s="18">
        <f>IF(D1083=0,H1082,F1083-MIN(MAX(F1083,0),'P-Parametri'!$B$8*(F1083+E1083)))</f>
        <v>114115.50982958391</v>
      </c>
      <c r="I1083" s="18">
        <f t="shared" si="14"/>
        <v>53316.922564461813</v>
      </c>
      <c r="J1083" s="18">
        <f>IF(D1083=0,J1082,J1082+C1083*B1083*'P-Parametri'!$B$6)</f>
        <v>41851.315933330727</v>
      </c>
      <c r="K1083" s="18">
        <f>IF(D1083=0,K1082,K1082+'P-Parametri'!$B$8*(F1083+E1083))</f>
        <v>11589.780936397348</v>
      </c>
    </row>
    <row r="1084" spans="1:11">
      <c r="A1084" s="10">
        <f>20</f>
        <v>20</v>
      </c>
      <c r="B1084" s="11">
        <f t="shared" si="12"/>
        <v>0.53278110360210085</v>
      </c>
      <c r="C1084" s="18">
        <f>IF(D1083=0,0,MIN(MAX(H1083,0),((MAX(0,'1-Input'!$B$10-IF($A1084&gt;='1-Input'!$C$12,'1-Input'!$B$12,0))-MIN(MAX(G1083,0),MAX(0,'1-Input'!$B$10-IF($A1084&gt;='1-Input'!$C$12,'1-Input'!$B$12,0))))+MAX(0,2*'1-Input'!$B$10-(G1083-MIN(MAX(G1083,0),MAX(0,'1-Input'!$B$10-IF($A1084&gt;='1-Input'!$C$12,'1-Input'!$B$12,0))))))*(1/(1-'P-Parametri'!$B$6*B1084))))</f>
        <v>23149.268073921208</v>
      </c>
      <c r="D1084" s="10">
        <f>IF(AND(D1083=1,G1083+H1083&gt;0.000001,C1084*(1-'P-Parametri'!$B$6*B1084)&gt;=(MAX(0,'1-Input'!$B$10-IF($A1084&gt;='1-Input'!$C$12,'1-Input'!$B$12,0))-MIN(MAX(G1083,0),MAX(0,'1-Input'!$B$10-IF($A1084&gt;='1-Input'!$C$12,'1-Input'!$B$12,0))))-0.000001),1,0)</f>
        <v>1</v>
      </c>
      <c r="E1084" s="18">
        <f>IF(D1084=0,G1083,(G1083-MAX(0,'1-Input'!$B$10-IF($A1084&gt;='1-Input'!$C$12,'1-Input'!$B$12,0))+C1084*(1-'P-Parametri'!$B$6*B1084))*(1+'1-Input'!$B$27))</f>
        <v>39457.439999999995</v>
      </c>
      <c r="F1084" s="18">
        <f t="shared" si="13"/>
        <v>93695.229008332593</v>
      </c>
      <c r="G1084" s="18">
        <f>IF(D1084=0,G1083,E1084-'P-Parametri'!$B$8*(F1084+E1084)+MIN(MAX(F1084,0),'P-Parametri'!$B$8*(F1084+E1084)))</f>
        <v>39457.439999999995</v>
      </c>
      <c r="H1084" s="18">
        <f>IF(D1084=0,H1083,F1084-MIN(MAX(F1084,0),'P-Parametri'!$B$8*(F1084+E1084)))</f>
        <v>93428.923670315926</v>
      </c>
      <c r="I1084" s="18">
        <f t="shared" si="14"/>
        <v>42501.147082545227</v>
      </c>
      <c r="J1084" s="18">
        <f>IF(D1084=0,J1083,J1083+C1084*B1084*'P-Parametri'!$B$6)</f>
        <v>45058.02400725193</v>
      </c>
      <c r="K1084" s="18">
        <f>IF(D1084=0,K1083,K1083+'P-Parametri'!$B$8*(F1084+E1084))</f>
        <v>11856.086274414014</v>
      </c>
    </row>
    <row r="1085" spans="1:11">
      <c r="A1085" s="10">
        <f>21</f>
        <v>21</v>
      </c>
      <c r="B1085" s="11">
        <f t="shared" si="12"/>
        <v>0.54509647106157755</v>
      </c>
      <c r="C1085" s="18">
        <f>IF(D1084=0,0,MIN(MAX(H1084,0),((MAX(0,'1-Input'!$B$10-IF($A1085&gt;='1-Input'!$C$12,'1-Input'!$B$12,0))-MIN(MAX(G1084,0),MAX(0,'1-Input'!$B$10-IF($A1085&gt;='1-Input'!$C$12,'1-Input'!$B$12,0))))+MAX(0,2*'1-Input'!$B$10-(G1084-MIN(MAX(G1084,0),MAX(0,'1-Input'!$B$10-IF($A1085&gt;='1-Input'!$C$12,'1-Input'!$B$12,0))))))*(1/(1-'P-Parametri'!$B$6*B1085))))</f>
        <v>23235.631838725596</v>
      </c>
      <c r="D1085" s="10">
        <f>IF(AND(D1084=1,G1084+H1084&gt;0.000001,C1085*(1-'P-Parametri'!$B$6*B1085)&gt;=(MAX(0,'1-Input'!$B$10-IF($A1085&gt;='1-Input'!$C$12,'1-Input'!$B$12,0))-MIN(MAX(G1084,0),MAX(0,'1-Input'!$B$10-IF($A1085&gt;='1-Input'!$C$12,'1-Input'!$B$12,0))))-0.000001),1,0)</f>
        <v>1</v>
      </c>
      <c r="E1085" s="18">
        <f>IF(D1085=0,G1084,(G1084-MAX(0,'1-Input'!$B$10-IF($A1085&gt;='1-Input'!$C$12,'1-Input'!$B$12,0))+C1085*(1-'P-Parametri'!$B$6*B1085))*(1+'1-Input'!$B$27))</f>
        <v>39457.439999999995</v>
      </c>
      <c r="F1085" s="18">
        <f t="shared" si="13"/>
        <v>72299.090586538034</v>
      </c>
      <c r="G1085" s="18">
        <f>IF(D1085=0,G1084,E1085-'P-Parametri'!$B$8*(F1085+E1085)+MIN(MAX(F1085,0),'P-Parametri'!$B$8*(F1085+E1085)))</f>
        <v>39457.439999999995</v>
      </c>
      <c r="H1085" s="18">
        <f>IF(D1085=0,H1084,F1085-MIN(MAX(F1085,0),'P-Parametri'!$B$8*(F1085+E1085)))</f>
        <v>72075.577525364963</v>
      </c>
      <c r="I1085" s="18">
        <f t="shared" si="14"/>
        <v>31931.17616199499</v>
      </c>
      <c r="J1085" s="18">
        <f>IF(D1085=0,J1084,J1084+C1085*B1085*'P-Parametri'!$B$6)</f>
        <v>48351.095845977521</v>
      </c>
      <c r="K1085" s="18">
        <f>IF(D1085=0,K1084,K1084+'P-Parametri'!$B$8*(F1085+E1085))</f>
        <v>12079.599335587091</v>
      </c>
    </row>
    <row r="1086" spans="1:11">
      <c r="A1086" s="10">
        <f>22</f>
        <v>22</v>
      </c>
      <c r="B1086" s="11">
        <f t="shared" si="12"/>
        <v>0.55697647860320354</v>
      </c>
      <c r="C1086" s="18">
        <f>IF(D1085=0,0,MIN(MAX(H1085,0),((MAX(0,'1-Input'!$B$10-IF($A1086&gt;='1-Input'!$C$12,'1-Input'!$B$12,0))-MIN(MAX(G1085,0),MAX(0,'1-Input'!$B$10-IF($A1086&gt;='1-Input'!$C$12,'1-Input'!$B$12,0))))+MAX(0,2*'1-Input'!$B$10-(G1085-MIN(MAX(G1085,0),MAX(0,'1-Input'!$B$10-IF($A1086&gt;='1-Input'!$C$12,'1-Input'!$B$12,0))))))*(1/(1-'P-Parametri'!$B$6*B1086))))</f>
        <v>23319.555400951758</v>
      </c>
      <c r="D1086" s="10">
        <f>IF(AND(D1085=1,G1085+H1085&gt;0.000001,C1086*(1-'P-Parametri'!$B$6*B1086)&gt;=(MAX(0,'1-Input'!$B$10-IF($A1086&gt;='1-Input'!$C$12,'1-Input'!$B$12,0))-MIN(MAX(G1085,0),MAX(0,'1-Input'!$B$10-IF($A1086&gt;='1-Input'!$C$12,'1-Input'!$B$12,0))))-0.000001),1,0)</f>
        <v>1</v>
      </c>
      <c r="E1086" s="18">
        <f>IF(D1086=0,G1085,(G1085-MAX(0,'1-Input'!$B$10-IF($A1086&gt;='1-Input'!$C$12,'1-Input'!$B$12,0))+C1086*(1-'P-Parametri'!$B$6*B1086))*(1+'1-Input'!$B$27))</f>
        <v>39457.439999999995</v>
      </c>
      <c r="F1086" s="18">
        <f t="shared" si="13"/>
        <v>50218.702788145602</v>
      </c>
      <c r="G1086" s="18">
        <f>IF(D1086=0,G1085,E1086-'P-Parametri'!$B$8*(F1086+E1086)+MIN(MAX(F1086,0),'P-Parametri'!$B$8*(F1086+E1086)))</f>
        <v>39457.439999999995</v>
      </c>
      <c r="H1086" s="18">
        <f>IF(D1086=0,H1085,F1086-MIN(MAX(F1086,0),'P-Parametri'!$B$8*(F1086+E1086)))</f>
        <v>50039.350502569308</v>
      </c>
      <c r="I1086" s="18">
        <f t="shared" si="14"/>
        <v>21600.064610857658</v>
      </c>
      <c r="J1086" s="18">
        <f>IF(D1086=0,J1085,J1085+C1086*B1086*'P-Parametri'!$B$6)</f>
        <v>51728.091246929274</v>
      </c>
      <c r="K1086" s="18">
        <f>IF(D1086=0,K1085,K1085+'P-Parametri'!$B$8*(F1086+E1086))</f>
        <v>12258.951621163382</v>
      </c>
    </row>
    <row r="1087" spans="1:11">
      <c r="A1087" s="10">
        <f>23</f>
        <v>23</v>
      </c>
      <c r="B1087" s="11">
        <f t="shared" si="12"/>
        <v>0.56833842977740912</v>
      </c>
      <c r="C1087" s="18">
        <f>IF(D1086=0,0,MIN(MAX(H1086,0),((MAX(0,'1-Input'!$B$10-IF($A1087&gt;='1-Input'!$C$12,'1-Input'!$B$12,0))-MIN(MAX(G1086,0),MAX(0,'1-Input'!$B$10-IF($A1087&gt;='1-Input'!$C$12,'1-Input'!$B$12,0))))+MAX(0,2*'1-Input'!$B$10-(G1086-MIN(MAX(G1086,0),MAX(0,'1-Input'!$B$10-IF($A1087&gt;='1-Input'!$C$12,'1-Input'!$B$12,0))))))*(1/(1-'P-Parametri'!$B$6*B1087))))</f>
        <v>10373.419343955189</v>
      </c>
      <c r="D1087" s="10">
        <f>IF(AND(D1086=1,G1086+H1086&gt;0.000001,C1087*(1-'P-Parametri'!$B$6*B1087)&gt;=(MAX(0,'1-Input'!$B$10-IF($A1087&gt;='1-Input'!$C$12,'1-Input'!$B$12,0))-MIN(MAX(G1086,0),MAX(0,'1-Input'!$B$10-IF($A1087&gt;='1-Input'!$C$12,'1-Input'!$B$12,0))))-0.000001),1,0)</f>
        <v>1</v>
      </c>
      <c r="E1087" s="18">
        <f>IF(D1087=0,G1086,(G1086-MAX(0,'1-Input'!$B$10-IF($A1087&gt;='1-Input'!$C$12,'1-Input'!$B$12,0))+C1087*(1-'P-Parametri'!$B$6*B1087))*(1+'1-Input'!$B$27))</f>
        <v>39457.439999999995</v>
      </c>
      <c r="F1087" s="18">
        <f t="shared" si="13"/>
        <v>40855.909093372546</v>
      </c>
      <c r="G1087" s="18">
        <f>IF(D1087=0,G1086,E1087-'P-Parametri'!$B$8*(F1087+E1087)+MIN(MAX(F1087,0),'P-Parametri'!$B$8*(F1087+E1087)))</f>
        <v>39457.439999999995</v>
      </c>
      <c r="H1087" s="18">
        <f>IF(D1087=0,H1086,F1087-MIN(MAX(F1087,0),'P-Parametri'!$B$8*(F1087+E1087)))</f>
        <v>40695.282395185801</v>
      </c>
      <c r="I1087" s="18">
        <f t="shared" si="14"/>
        <v>17122.258128268564</v>
      </c>
      <c r="J1087" s="18">
        <f>IF(D1087=0,J1086,J1086+C1087*B1087*'P-Parametri'!$B$6)</f>
        <v>53260.950590884459</v>
      </c>
      <c r="K1087" s="18">
        <f>IF(D1087=0,K1086,K1086+'P-Parametri'!$B$8*(F1087+E1087))</f>
        <v>12419.578319350127</v>
      </c>
    </row>
    <row r="1088" spans="1:11">
      <c r="A1088" s="10">
        <f>24</f>
        <v>24</v>
      </c>
      <c r="B1088" s="11">
        <f t="shared" si="12"/>
        <v>0.57925692806362972</v>
      </c>
      <c r="C1088" s="18">
        <f>IF(D1087=0,0,MIN(MAX(H1087,0),((MAX(0,'1-Input'!$B$10-IF($A1088&gt;='1-Input'!$C$12,'1-Input'!$B$12,0))-MIN(MAX(G1087,0),MAX(0,'1-Input'!$B$10-IF($A1088&gt;='1-Input'!$C$12,'1-Input'!$B$12,0))))+MAX(0,2*'1-Input'!$B$10-(G1087-MIN(MAX(G1087,0),MAX(0,'1-Input'!$B$10-IF($A1088&gt;='1-Input'!$C$12,'1-Input'!$B$12,0))))))*(1/(1-'P-Parametri'!$B$6*B1088))))</f>
        <v>10408.088990463482</v>
      </c>
      <c r="D1088" s="10">
        <f>IF(AND(D1087=1,G1087+H1087&gt;0.000001,C1088*(1-'P-Parametri'!$B$6*B1088)&gt;=(MAX(0,'1-Input'!$B$10-IF($A1088&gt;='1-Input'!$C$12,'1-Input'!$B$12,0))-MIN(MAX(G1087,0),MAX(0,'1-Input'!$B$10-IF($A1088&gt;='1-Input'!$C$12,'1-Input'!$B$12,0))))-0.000001),1,0)</f>
        <v>1</v>
      </c>
      <c r="E1088" s="18">
        <f>IF(D1088=0,G1087,(G1087-MAX(0,'1-Input'!$B$10-IF($A1088&gt;='1-Input'!$C$12,'1-Input'!$B$12,0))+C1088*(1-'P-Parametri'!$B$6*B1088))*(1+'1-Input'!$B$27))</f>
        <v>39457.439999999995</v>
      </c>
      <c r="F1088" s="18">
        <f t="shared" si="13"/>
        <v>31195.809206863989</v>
      </c>
      <c r="G1088" s="18">
        <f>IF(D1088=0,G1087,E1088-'P-Parametri'!$B$8*(F1088+E1088)+MIN(MAX(F1088,0),'P-Parametri'!$B$8*(F1088+E1088)))</f>
        <v>39457.439999999995</v>
      </c>
      <c r="H1088" s="18">
        <f>IF(D1088=0,H1087,F1088-MIN(MAX(F1088,0),'P-Parametri'!$B$8*(F1088+E1088)))</f>
        <v>31054.502708450262</v>
      </c>
      <c r="I1088" s="18">
        <f t="shared" si="14"/>
        <v>12743.126793433843</v>
      </c>
      <c r="J1088" s="18">
        <f>IF(D1088=0,J1087,J1087+C1088*B1088*'P-Parametri'!$B$6)</f>
        <v>54828.479581347936</v>
      </c>
      <c r="K1088" s="18">
        <f>IF(D1088=0,K1087,K1087+'P-Parametri'!$B$8*(F1088+E1088))</f>
        <v>12560.884817763854</v>
      </c>
    </row>
    <row r="1089" spans="1:11">
      <c r="A1089" s="10">
        <f>25</f>
        <v>25</v>
      </c>
      <c r="B1089" s="11">
        <f t="shared" si="12"/>
        <v>0.58965284638203841</v>
      </c>
      <c r="C1089" s="18">
        <f>IF(D1088=0,0,MIN(MAX(H1088,0),((MAX(0,'1-Input'!$B$10-IF($A1089&gt;='1-Input'!$C$12,'1-Input'!$B$12,0))-MIN(MAX(G1088,0),MAX(0,'1-Input'!$B$10-IF($A1089&gt;='1-Input'!$C$12,'1-Input'!$B$12,0))))+MAX(0,2*'1-Input'!$B$10-(G1088-MIN(MAX(G1088,0),MAX(0,'1-Input'!$B$10-IF($A1089&gt;='1-Input'!$C$12,'1-Input'!$B$12,0))))))*(1/(1-'P-Parametri'!$B$6*B1089))))</f>
        <v>10441.31534077112</v>
      </c>
      <c r="D1089" s="10">
        <f>IF(AND(D1088=1,G1088+H1088&gt;0.000001,C1089*(1-'P-Parametri'!$B$6*B1089)&gt;=(MAX(0,'1-Input'!$B$10-IF($A1089&gt;='1-Input'!$C$12,'1-Input'!$B$12,0))-MIN(MAX(G1088,0),MAX(0,'1-Input'!$B$10-IF($A1089&gt;='1-Input'!$C$12,'1-Input'!$B$12,0))))-0.000001),1,0)</f>
        <v>1</v>
      </c>
      <c r="E1089" s="18">
        <f>IF(D1089=0,G1088,(G1088-MAX(0,'1-Input'!$B$10-IF($A1089&gt;='1-Input'!$C$12,'1-Input'!$B$12,0))+C1089*(1-'P-Parametri'!$B$6*B1089))*(1+'1-Input'!$B$27))</f>
        <v>39457.439999999995</v>
      </c>
      <c r="F1089" s="18">
        <f t="shared" si="13"/>
        <v>21231.582988709517</v>
      </c>
      <c r="G1089" s="18">
        <f>IF(D1089=0,G1088,E1089-'P-Parametri'!$B$8*(F1089+E1089)+MIN(MAX(F1089,0),'P-Parametri'!$B$8*(F1089+E1089)))</f>
        <v>39457.439999999995</v>
      </c>
      <c r="H1089" s="18">
        <f>IF(D1089=0,H1088,F1089-MIN(MAX(F1089,0),'P-Parametri'!$B$8*(F1089+E1089)))</f>
        <v>21110.204942732096</v>
      </c>
      <c r="I1089" s="18">
        <f t="shared" si="14"/>
        <v>8458.5627633208569</v>
      </c>
      <c r="J1089" s="18">
        <f>IF(D1089=0,J1088,J1088+C1089*B1089*'P-Parametri'!$B$6)</f>
        <v>56429.234922119052</v>
      </c>
      <c r="K1089" s="18">
        <f>IF(D1089=0,K1088,K1088+'P-Parametri'!$B$8*(F1089+E1089))</f>
        <v>12682.262863741273</v>
      </c>
    </row>
    <row r="1090" spans="1:11">
      <c r="A1090" s="10">
        <f>26</f>
        <v>26</v>
      </c>
      <c r="B1090" s="11">
        <f t="shared" si="12"/>
        <v>0.59931403857673093</v>
      </c>
      <c r="C1090" s="18">
        <f>IF(D1089=0,0,MIN(MAX(H1089,0),((MAX(0,'1-Input'!$B$10-IF($A1090&gt;='1-Input'!$C$12,'1-Input'!$B$12,0))-MIN(MAX(G1089,0),MAX(0,'1-Input'!$B$10-IF($A1090&gt;='1-Input'!$C$12,'1-Input'!$B$12,0))))+MAX(0,2*'1-Input'!$B$10-(G1089-MIN(MAX(G1089,0),MAX(0,'1-Input'!$B$10-IF($A1090&gt;='1-Input'!$C$12,'1-Input'!$B$12,0))))))*(1/(1-'P-Parametri'!$B$6*B1090))))</f>
        <v>10472.384183168941</v>
      </c>
      <c r="D1090" s="10">
        <f>IF(AND(D1089=1,G1089+H1089&gt;0.000001,C1090*(1-'P-Parametri'!$B$6*B1090)&gt;=(MAX(0,'1-Input'!$B$10-IF($A1090&gt;='1-Input'!$C$12,'1-Input'!$B$12,0))-MIN(MAX(G1089,0),MAX(0,'1-Input'!$B$10-IF($A1090&gt;='1-Input'!$C$12,'1-Input'!$B$12,0))))-0.000001),1,0)</f>
        <v>1</v>
      </c>
      <c r="E1090" s="18">
        <f>IF(D1090=0,G1089,(G1089-MAX(0,'1-Input'!$B$10-IF($A1090&gt;='1-Input'!$C$12,'1-Input'!$B$12,0))+C1090*(1-'P-Parametri'!$B$6*B1090))*(1+'1-Input'!$B$27))</f>
        <v>39457.439999999995</v>
      </c>
      <c r="F1090" s="18">
        <f t="shared" si="13"/>
        <v>10956.95538235005</v>
      </c>
      <c r="G1090" s="18">
        <f>IF(D1090=0,G1089,E1090-'P-Parametri'!$B$8*(F1090+E1090)+MIN(MAX(F1090,0),'P-Parametri'!$B$8*(F1090+E1090)))</f>
        <v>39457.439999999995</v>
      </c>
      <c r="H1090" s="18">
        <f>IF(D1090=0,H1089,F1090-MIN(MAX(F1090,0),'P-Parametri'!$B$8*(F1090+E1090)))</f>
        <v>10856.126591585349</v>
      </c>
      <c r="I1090" s="18">
        <f t="shared" si="14"/>
        <v>4262.4254384939741</v>
      </c>
      <c r="J1090" s="18">
        <f>IF(D1090=0,J1089,J1089+C1090*B1090*'P-Parametri'!$B$6)</f>
        <v>58061.05910528799</v>
      </c>
      <c r="K1090" s="18">
        <f>IF(D1090=0,K1089,K1089+'P-Parametri'!$B$8*(F1090+E1090))</f>
        <v>12783.091654505974</v>
      </c>
    </row>
    <row r="1091" spans="1:11">
      <c r="A1091" s="10">
        <f>27</f>
        <v>27</v>
      </c>
      <c r="B1091" s="11">
        <f t="shared" si="12"/>
        <v>0.60737143192510246</v>
      </c>
      <c r="C1091" s="18">
        <f>IF(D1090=0,0,MIN(MAX(H1090,0),((MAX(0,'1-Input'!$B$10-IF($A1091&gt;='1-Input'!$C$12,'1-Input'!$B$12,0))-MIN(MAX(G1090,0),MAX(0,'1-Input'!$B$10-IF($A1091&gt;='1-Input'!$C$12,'1-Input'!$B$12,0))))+MAX(0,2*'1-Input'!$B$10-(G1090-MIN(MAX(G1090,0),MAX(0,'1-Input'!$B$10-IF($A1091&gt;='1-Input'!$C$12,'1-Input'!$B$12,0))))))*(1/(1-'P-Parametri'!$B$6*B1091))))</f>
        <v>10498.437220349935</v>
      </c>
      <c r="D1091" s="10">
        <f>IF(AND(D1090=1,G1090+H1090&gt;0.000001,C1091*(1-'P-Parametri'!$B$6*B1091)&gt;=(MAX(0,'1-Input'!$B$10-IF($A1091&gt;='1-Input'!$C$12,'1-Input'!$B$12,0))-MIN(MAX(G1090,0),MAX(0,'1-Input'!$B$10-IF($A1091&gt;='1-Input'!$C$12,'1-Input'!$B$12,0))))-0.000001),1,0)</f>
        <v>1</v>
      </c>
      <c r="E1091" s="18">
        <f>IF(D1091=0,G1090,(G1090-MAX(0,'1-Input'!$B$10-IF($A1091&gt;='1-Input'!$C$12,'1-Input'!$B$12,0))+C1091*(1-'P-Parametri'!$B$6*B1091))*(1+'1-Input'!$B$27))</f>
        <v>39457.439999999995</v>
      </c>
      <c r="F1091" s="18">
        <f t="shared" si="13"/>
        <v>368.42005237247645</v>
      </c>
      <c r="G1091" s="18">
        <f>IF(D1091=0,G1090,E1091-'P-Parametri'!$B$8*(F1091+E1091)+MIN(MAX(F1091,0),'P-Parametri'!$B$8*(F1091+E1091)))</f>
        <v>39457.439999999995</v>
      </c>
      <c r="H1091" s="18">
        <f>IF(D1091=0,H1090,F1091-MIN(MAX(F1091,0),'P-Parametri'!$B$8*(F1091+E1091)))</f>
        <v>288.76833226773147</v>
      </c>
      <c r="I1091" s="18">
        <f t="shared" si="14"/>
        <v>140.43906564377176</v>
      </c>
      <c r="J1091" s="18">
        <f>IF(D1091=0,J1090,J1090+C1091*B1091*'P-Parametri'!$B$6)</f>
        <v>59718.936325637922</v>
      </c>
      <c r="K1091" s="18">
        <f>IF(D1091=0,K1090,K1090+'P-Parametri'!$B$8*(F1091+E1091))</f>
        <v>12862.743374610718</v>
      </c>
    </row>
    <row r="1092" spans="1:11">
      <c r="A1092" s="10">
        <f>28</f>
        <v>28</v>
      </c>
      <c r="B1092" s="11">
        <f t="shared" si="12"/>
        <v>0.51366181831336089</v>
      </c>
      <c r="C1092" s="18">
        <f>IF(D1091=0,0,MIN(MAX(H1091,0),((MAX(0,'1-Input'!$B$10-IF($A1092&gt;='1-Input'!$C$12,'1-Input'!$B$12,0))-MIN(MAX(G1091,0),MAX(0,'1-Input'!$B$10-IF($A1092&gt;='1-Input'!$C$12,'1-Input'!$B$12,0))))+MAX(0,2*'1-Input'!$B$10-(G1091-MIN(MAX(G1091,0),MAX(0,'1-Input'!$B$10-IF($A1092&gt;='1-Input'!$C$12,'1-Input'!$B$12,0))))))*(1/(1-'P-Parametri'!$B$6*B1092))))</f>
        <v>288.76833226773147</v>
      </c>
      <c r="D1092" s="10">
        <f>IF(AND(D1091=1,G1091+H1091&gt;0.000001,C1092*(1-'P-Parametri'!$B$6*B1092)&gt;=(MAX(0,'1-Input'!$B$10-IF($A1092&gt;='1-Input'!$C$12,'1-Input'!$B$12,0))-MIN(MAX(G1091,0),MAX(0,'1-Input'!$B$10-IF($A1092&gt;='1-Input'!$C$12,'1-Input'!$B$12,0))))-0.000001),1,0)</f>
        <v>1</v>
      </c>
      <c r="E1092" s="18">
        <f>IF(D1092=0,G1091,(G1091-MAX(0,'1-Input'!$B$10-IF($A1092&gt;='1-Input'!$C$12,'1-Input'!$B$12,0))+C1092*(1-'P-Parametri'!$B$6*B1092))*(1+'1-Input'!$B$27))</f>
        <v>30898.00800914289</v>
      </c>
      <c r="F1092" s="18">
        <f t="shared" si="13"/>
        <v>0</v>
      </c>
      <c r="G1092" s="18">
        <f>IF(D1092=0,G1091,E1092-'P-Parametri'!$B$8*(F1092+E1092)+MIN(MAX(F1092,0),'P-Parametri'!$B$8*(F1092+E1092)))</f>
        <v>30836.211993124605</v>
      </c>
      <c r="H1092" s="18">
        <f>IF(D1092=0,H1091,F1092-MIN(MAX(F1092,0),'P-Parametri'!$B$8*(F1092+E1092)))</f>
        <v>0</v>
      </c>
      <c r="I1092" s="18">
        <f t="shared" si="14"/>
        <v>0</v>
      </c>
      <c r="J1092" s="18">
        <f>IF(D1092=0,J1091,J1091+C1092*B1092*'P-Parametri'!$B$6)</f>
        <v>59757.50193496015</v>
      </c>
      <c r="K1092" s="18">
        <f>IF(D1092=0,K1091,K1091+'P-Parametri'!$B$8*(F1092+E1092))</f>
        <v>12924.539390629005</v>
      </c>
    </row>
    <row r="1093" spans="1:11">
      <c r="A1093" s="10">
        <f>29</f>
        <v>29</v>
      </c>
      <c r="B1093" s="11">
        <f t="shared" si="12"/>
        <v>0</v>
      </c>
      <c r="C1093" s="18">
        <f>IF(D1092=0,0,MIN(MAX(H1092,0),((MAX(0,'1-Input'!$B$10-IF($A1093&gt;='1-Input'!$C$12,'1-Input'!$B$12,0))-MIN(MAX(G1092,0),MAX(0,'1-Input'!$B$10-IF($A1093&gt;='1-Input'!$C$12,'1-Input'!$B$12,0))))+MAX(0,2*'1-Input'!$B$10-(G1092-MIN(MAX(G1092,0),MAX(0,'1-Input'!$B$10-IF($A1093&gt;='1-Input'!$C$12,'1-Input'!$B$12,0))))))*(1/(1-'P-Parametri'!$B$6*B1093))))</f>
        <v>0</v>
      </c>
      <c r="D1093" s="10">
        <f>IF(AND(D1092=1,G1092+H1092&gt;0.000001,C1093*(1-'P-Parametri'!$B$6*B1093)&gt;=(MAX(0,'1-Input'!$B$10-IF($A1093&gt;='1-Input'!$C$12,'1-Input'!$B$12,0))-MIN(MAX(G1092,0),MAX(0,'1-Input'!$B$10-IF($A1093&gt;='1-Input'!$C$12,'1-Input'!$B$12,0))))-0.000001),1,0)</f>
        <v>1</v>
      </c>
      <c r="E1093" s="18">
        <f>IF(D1093=0,G1092,(G1092-MAX(0,'1-Input'!$B$10-IF($A1093&gt;='1-Input'!$C$12,'1-Input'!$B$12,0))+C1093*(1-'P-Parametri'!$B$6*B1093))*(1+'1-Input'!$B$27))</f>
        <v>22058.514429949355</v>
      </c>
      <c r="F1093" s="18">
        <f t="shared" si="13"/>
        <v>0</v>
      </c>
      <c r="G1093" s="18">
        <f>IF(D1093=0,G1092,E1093-'P-Parametri'!$B$8*(F1093+E1093)+MIN(MAX(F1093,0),'P-Parametri'!$B$8*(F1093+E1093)))</f>
        <v>22014.397401089456</v>
      </c>
      <c r="H1093" s="18">
        <f>IF(D1093=0,H1092,F1093-MIN(MAX(F1093,0),'P-Parametri'!$B$8*(F1093+E1093)))</f>
        <v>0</v>
      </c>
      <c r="I1093" s="18">
        <f t="shared" si="14"/>
        <v>0</v>
      </c>
      <c r="J1093" s="18">
        <f>IF(D1093=0,J1092,J1092+C1093*B1093*'P-Parametri'!$B$6)</f>
        <v>59757.50193496015</v>
      </c>
      <c r="K1093" s="18">
        <f>IF(D1093=0,K1092,K1092+'P-Parametri'!$B$8*(F1093+E1093))</f>
        <v>12968.656419488903</v>
      </c>
    </row>
    <row r="1094" spans="1:11">
      <c r="A1094" s="10">
        <f>30</f>
        <v>30</v>
      </c>
      <c r="B1094" s="11">
        <f t="shared" si="12"/>
        <v>0</v>
      </c>
      <c r="C1094" s="18">
        <f>IF(D1093=0,0,MIN(MAX(H1093,0),((MAX(0,'1-Input'!$B$10-IF($A1094&gt;='1-Input'!$C$12,'1-Input'!$B$12,0))-MIN(MAX(G1093,0),MAX(0,'1-Input'!$B$10-IF($A1094&gt;='1-Input'!$C$12,'1-Input'!$B$12,0))))+MAX(0,2*'1-Input'!$B$10-(G1093-MIN(MAX(G1093,0),MAX(0,'1-Input'!$B$10-IF($A1094&gt;='1-Input'!$C$12,'1-Input'!$B$12,0))))))*(1/(1-'P-Parametri'!$B$6*B1094))))</f>
        <v>0</v>
      </c>
      <c r="D1094" s="10">
        <f>IF(AND(D1093=1,G1093+H1093&gt;0.000001,C1094*(1-'P-Parametri'!$B$6*B1094)&gt;=(MAX(0,'1-Input'!$B$10-IF($A1094&gt;='1-Input'!$C$12,'1-Input'!$B$12,0))-MIN(MAX(G1093,0),MAX(0,'1-Input'!$B$10-IF($A1094&gt;='1-Input'!$C$12,'1-Input'!$B$12,0))))-0.000001),1,0)</f>
        <v>1</v>
      </c>
      <c r="E1094" s="18">
        <f>IF(D1094=0,G1093,(G1093-MAX(0,'1-Input'!$B$10-IF($A1094&gt;='1-Input'!$C$12,'1-Input'!$B$12,0))+C1094*(1-'P-Parametri'!$B$6*B1094))*(1+'1-Input'!$B$27))</f>
        <v>13268.458370445534</v>
      </c>
      <c r="F1094" s="18">
        <f t="shared" si="13"/>
        <v>0</v>
      </c>
      <c r="G1094" s="18">
        <f>IF(D1094=0,G1093,E1094-'P-Parametri'!$B$8*(F1094+E1094)+MIN(MAX(F1094,0),'P-Parametri'!$B$8*(F1094+E1094)))</f>
        <v>13241.921453704643</v>
      </c>
      <c r="H1094" s="18">
        <f>IF(D1094=0,H1093,F1094-MIN(MAX(F1094,0),'P-Parametri'!$B$8*(F1094+E1094)))</f>
        <v>0</v>
      </c>
      <c r="I1094" s="18">
        <f t="shared" si="14"/>
        <v>0</v>
      </c>
      <c r="J1094" s="18">
        <f>IF(D1094=0,J1093,J1093+C1094*B1094*'P-Parametri'!$B$6)</f>
        <v>59757.50193496015</v>
      </c>
      <c r="K1094" s="18">
        <f>IF(D1094=0,K1093,K1093+'P-Parametri'!$B$8*(F1094+E1094))</f>
        <v>12995.193336229795</v>
      </c>
    </row>
    <row r="1095" spans="1:11">
      <c r="A1095" s="10">
        <f>31</f>
        <v>31</v>
      </c>
      <c r="B1095" s="11">
        <f t="shared" si="12"/>
        <v>0</v>
      </c>
      <c r="C1095" s="18">
        <f>IF(D1094=0,0,MIN(MAX(H1094,0),((MAX(0,'1-Input'!$B$10-IF($A1095&gt;='1-Input'!$C$12,'1-Input'!$B$12,0))-MIN(MAX(G1094,0),MAX(0,'1-Input'!$B$10-IF($A1095&gt;='1-Input'!$C$12,'1-Input'!$B$12,0))))+MAX(0,2*'1-Input'!$B$10-(G1094-MIN(MAX(G1094,0),MAX(0,'1-Input'!$B$10-IF($A1095&gt;='1-Input'!$C$12,'1-Input'!$B$12,0))))))*(1/(1-'P-Parametri'!$B$6*B1095))))</f>
        <v>0</v>
      </c>
      <c r="D1095" s="10">
        <f>IF(AND(D1094=1,G1094+H1094&gt;0.000001,C1095*(1-'P-Parametri'!$B$6*B1095)&gt;=(MAX(0,'1-Input'!$B$10-IF($A1095&gt;='1-Input'!$C$12,'1-Input'!$B$12,0))-MIN(MAX(G1094,0),MAX(0,'1-Input'!$B$10-IF($A1095&gt;='1-Input'!$C$12,'1-Input'!$B$12,0))))-0.000001),1,0)</f>
        <v>1</v>
      </c>
      <c r="E1095" s="18">
        <f>IF(D1095=0,G1094,(G1094-MAX(0,'1-Input'!$B$10-IF($A1095&gt;='1-Input'!$C$12,'1-Input'!$B$12,0))+C1095*(1-'P-Parametri'!$B$6*B1095))*(1+'1-Input'!$B$27))</f>
        <v>4527.5633364713058</v>
      </c>
      <c r="F1095" s="18">
        <f t="shared" si="13"/>
        <v>0</v>
      </c>
      <c r="G1095" s="18">
        <f>IF(D1095=0,G1094,E1095-'P-Parametri'!$B$8*(F1095+E1095)+MIN(MAX(F1095,0),'P-Parametri'!$B$8*(F1095+E1095)))</f>
        <v>4518.5082097983632</v>
      </c>
      <c r="H1095" s="18">
        <f>IF(D1095=0,H1094,F1095-MIN(MAX(F1095,0),'P-Parametri'!$B$8*(F1095+E1095)))</f>
        <v>0</v>
      </c>
      <c r="I1095" s="18">
        <f t="shared" si="14"/>
        <v>0</v>
      </c>
      <c r="J1095" s="18">
        <f>IF(D1095=0,J1094,J1094+C1095*B1095*'P-Parametri'!$B$6)</f>
        <v>59757.50193496015</v>
      </c>
      <c r="K1095" s="18">
        <f>IF(D1095=0,K1094,K1094+'P-Parametri'!$B$8*(F1095+E1095))</f>
        <v>13004.248462902739</v>
      </c>
    </row>
    <row r="1096" spans="1:11">
      <c r="A1096" s="10">
        <f>32</f>
        <v>32</v>
      </c>
      <c r="B1096" s="11">
        <f t="shared" si="12"/>
        <v>0</v>
      </c>
      <c r="C1096" s="18">
        <f>IF(D1095=0,0,MIN(MAX(H1095,0),((MAX(0,'1-Input'!$B$10-IF($A1096&gt;='1-Input'!$C$12,'1-Input'!$B$12,0))-MIN(MAX(G1095,0),MAX(0,'1-Input'!$B$10-IF($A1096&gt;='1-Input'!$C$12,'1-Input'!$B$12,0))))+MAX(0,2*'1-Input'!$B$10-(G1095-MIN(MAX(G1095,0),MAX(0,'1-Input'!$B$10-IF($A1096&gt;='1-Input'!$C$12,'1-Input'!$B$12,0))))))*(1/(1-'P-Parametri'!$B$6*B1096))))</f>
        <v>0</v>
      </c>
      <c r="D1096" s="10">
        <f>IF(AND(D1095=1,G1095+H1095&gt;0.000001,C1096*(1-'P-Parametri'!$B$6*B1096)&gt;=(MAX(0,'1-Input'!$B$10-IF($A1096&gt;='1-Input'!$C$12,'1-Input'!$B$12,0))-MIN(MAX(G1095,0),MAX(0,'1-Input'!$B$10-IF($A1096&gt;='1-Input'!$C$12,'1-Input'!$B$12,0))))-0.000001),1,0)</f>
        <v>0</v>
      </c>
      <c r="E1096" s="18">
        <f>IF(D1096=0,G1095,(G1095-MAX(0,'1-Input'!$B$10-IF($A1096&gt;='1-Input'!$C$12,'1-Input'!$B$12,0))+C1096*(1-'P-Parametri'!$B$6*B1096))*(1+'1-Input'!$B$27))</f>
        <v>4518.5082097983632</v>
      </c>
      <c r="F1096" s="18">
        <f t="shared" si="13"/>
        <v>0</v>
      </c>
      <c r="G1096" s="18">
        <f>IF(D1096=0,G1095,E1096-'P-Parametri'!$B$8*(F1096+E1096)+MIN(MAX(F1096,0),'P-Parametri'!$B$8*(F1096+E1096)))</f>
        <v>4518.5082097983632</v>
      </c>
      <c r="H1096" s="18">
        <f>IF(D1096=0,H1095,F1096-MIN(MAX(F1096,0),'P-Parametri'!$B$8*(F1096+E1096)))</f>
        <v>0</v>
      </c>
      <c r="I1096" s="18">
        <f t="shared" si="14"/>
        <v>0</v>
      </c>
      <c r="J1096" s="18">
        <f>IF(D1096=0,J1095,J1095+C1096*B1096*'P-Parametri'!$B$6)</f>
        <v>59757.50193496015</v>
      </c>
      <c r="K1096" s="18">
        <f>IF(D1096=0,K1095,K1095+'P-Parametri'!$B$8*(F1096+E1096))</f>
        <v>13004.248462902739</v>
      </c>
    </row>
    <row r="1097" spans="1:11">
      <c r="A1097" s="10">
        <f>33</f>
        <v>33</v>
      </c>
      <c r="B1097" s="11">
        <f t="shared" ref="B1097:B1114" si="15">IF(H1096&lt;=0,0,MAX(0,(H1096-I1096)/H1096))</f>
        <v>0</v>
      </c>
      <c r="C1097" s="18">
        <f>IF(D1096=0,0,MIN(MAX(H1096,0),((MAX(0,'1-Input'!$B$10-IF($A1097&gt;='1-Input'!$C$12,'1-Input'!$B$12,0))-MIN(MAX(G1096,0),MAX(0,'1-Input'!$B$10-IF($A1097&gt;='1-Input'!$C$12,'1-Input'!$B$12,0))))+MAX(0,2*'1-Input'!$B$10-(G1096-MIN(MAX(G1096,0),MAX(0,'1-Input'!$B$10-IF($A1097&gt;='1-Input'!$C$12,'1-Input'!$B$12,0))))))*(1/(1-'P-Parametri'!$B$6*B1097))))</f>
        <v>0</v>
      </c>
      <c r="D1097" s="10">
        <f>IF(AND(D1096=1,G1096+H1096&gt;0.000001,C1097*(1-'P-Parametri'!$B$6*B1097)&gt;=(MAX(0,'1-Input'!$B$10-IF($A1097&gt;='1-Input'!$C$12,'1-Input'!$B$12,0))-MIN(MAX(G1096,0),MAX(0,'1-Input'!$B$10-IF($A1097&gt;='1-Input'!$C$12,'1-Input'!$B$12,0))))-0.000001),1,0)</f>
        <v>0</v>
      </c>
      <c r="E1097" s="18">
        <f>IF(D1097=0,G1096,(G1096-MAX(0,'1-Input'!$B$10-IF($A1097&gt;='1-Input'!$C$12,'1-Input'!$B$12,0))+C1097*(1-'P-Parametri'!$B$6*B1097))*(1+'1-Input'!$B$27))</f>
        <v>4518.5082097983632</v>
      </c>
      <c r="F1097" s="18">
        <f t="shared" ref="F1097:F1114" si="16">IF(D1097=0,H1096,(H1096-C1097)*(1+$C$4))</f>
        <v>0</v>
      </c>
      <c r="G1097" s="18">
        <f>IF(D1097=0,G1096,E1097-'P-Parametri'!$B$8*(F1097+E1097)+MIN(MAX(F1097,0),'P-Parametri'!$B$8*(F1097+E1097)))</f>
        <v>4518.5082097983632</v>
      </c>
      <c r="H1097" s="18">
        <f>IF(D1097=0,H1096,F1097-MIN(MAX(F1097,0),'P-Parametri'!$B$8*(F1097+E1097)))</f>
        <v>0</v>
      </c>
      <c r="I1097" s="18">
        <f t="shared" ref="I1097:I1114" si="17">IF(D1097=0,I1096,I1096-C1097*(1-B1097))</f>
        <v>0</v>
      </c>
      <c r="J1097" s="18">
        <f>IF(D1097=0,J1096,J1096+C1097*B1097*'P-Parametri'!$B$6)</f>
        <v>59757.50193496015</v>
      </c>
      <c r="K1097" s="18">
        <f>IF(D1097=0,K1096,K1096+'P-Parametri'!$B$8*(F1097+E1097))</f>
        <v>13004.248462902739</v>
      </c>
    </row>
    <row r="1098" spans="1:11">
      <c r="A1098" s="10">
        <f>34</f>
        <v>34</v>
      </c>
      <c r="B1098" s="11">
        <f t="shared" si="15"/>
        <v>0</v>
      </c>
      <c r="C1098" s="18">
        <f>IF(D1097=0,0,MIN(MAX(H1097,0),((MAX(0,'1-Input'!$B$10-IF($A1098&gt;='1-Input'!$C$12,'1-Input'!$B$12,0))-MIN(MAX(G1097,0),MAX(0,'1-Input'!$B$10-IF($A1098&gt;='1-Input'!$C$12,'1-Input'!$B$12,0))))+MAX(0,2*'1-Input'!$B$10-(G1097-MIN(MAX(G1097,0),MAX(0,'1-Input'!$B$10-IF($A1098&gt;='1-Input'!$C$12,'1-Input'!$B$12,0))))))*(1/(1-'P-Parametri'!$B$6*B1098))))</f>
        <v>0</v>
      </c>
      <c r="D1098" s="10">
        <f>IF(AND(D1097=1,G1097+H1097&gt;0.000001,C1098*(1-'P-Parametri'!$B$6*B1098)&gt;=(MAX(0,'1-Input'!$B$10-IF($A1098&gt;='1-Input'!$C$12,'1-Input'!$B$12,0))-MIN(MAX(G1097,0),MAX(0,'1-Input'!$B$10-IF($A1098&gt;='1-Input'!$C$12,'1-Input'!$B$12,0))))-0.000001),1,0)</f>
        <v>0</v>
      </c>
      <c r="E1098" s="18">
        <f>IF(D1098=0,G1097,(G1097-MAX(0,'1-Input'!$B$10-IF($A1098&gt;='1-Input'!$C$12,'1-Input'!$B$12,0))+C1098*(1-'P-Parametri'!$B$6*B1098))*(1+'1-Input'!$B$27))</f>
        <v>4518.5082097983632</v>
      </c>
      <c r="F1098" s="18">
        <f t="shared" si="16"/>
        <v>0</v>
      </c>
      <c r="G1098" s="18">
        <f>IF(D1098=0,G1097,E1098-'P-Parametri'!$B$8*(F1098+E1098)+MIN(MAX(F1098,0),'P-Parametri'!$B$8*(F1098+E1098)))</f>
        <v>4518.5082097983632</v>
      </c>
      <c r="H1098" s="18">
        <f>IF(D1098=0,H1097,F1098-MIN(MAX(F1098,0),'P-Parametri'!$B$8*(F1098+E1098)))</f>
        <v>0</v>
      </c>
      <c r="I1098" s="18">
        <f t="shared" si="17"/>
        <v>0</v>
      </c>
      <c r="J1098" s="18">
        <f>IF(D1098=0,J1097,J1097+C1098*B1098*'P-Parametri'!$B$6)</f>
        <v>59757.50193496015</v>
      </c>
      <c r="K1098" s="18">
        <f>IF(D1098=0,K1097,K1097+'P-Parametri'!$B$8*(F1098+E1098))</f>
        <v>13004.248462902739</v>
      </c>
    </row>
    <row r="1099" spans="1:11">
      <c r="A1099" s="10">
        <f>35</f>
        <v>35</v>
      </c>
      <c r="B1099" s="11">
        <f t="shared" si="15"/>
        <v>0</v>
      </c>
      <c r="C1099" s="18">
        <f>IF(D1098=0,0,MIN(MAX(H1098,0),((MAX(0,'1-Input'!$B$10-IF($A1099&gt;='1-Input'!$C$12,'1-Input'!$B$12,0))-MIN(MAX(G1098,0),MAX(0,'1-Input'!$B$10-IF($A1099&gt;='1-Input'!$C$12,'1-Input'!$B$12,0))))+MAX(0,2*'1-Input'!$B$10-(G1098-MIN(MAX(G1098,0),MAX(0,'1-Input'!$B$10-IF($A1099&gt;='1-Input'!$C$12,'1-Input'!$B$12,0))))))*(1/(1-'P-Parametri'!$B$6*B1099))))</f>
        <v>0</v>
      </c>
      <c r="D1099" s="10">
        <f>IF(AND(D1098=1,G1098+H1098&gt;0.000001,C1099*(1-'P-Parametri'!$B$6*B1099)&gt;=(MAX(0,'1-Input'!$B$10-IF($A1099&gt;='1-Input'!$C$12,'1-Input'!$B$12,0))-MIN(MAX(G1098,0),MAX(0,'1-Input'!$B$10-IF($A1099&gt;='1-Input'!$C$12,'1-Input'!$B$12,0))))-0.000001),1,0)</f>
        <v>0</v>
      </c>
      <c r="E1099" s="18">
        <f>IF(D1099=0,G1098,(G1098-MAX(0,'1-Input'!$B$10-IF($A1099&gt;='1-Input'!$C$12,'1-Input'!$B$12,0))+C1099*(1-'P-Parametri'!$B$6*B1099))*(1+'1-Input'!$B$27))</f>
        <v>4518.5082097983632</v>
      </c>
      <c r="F1099" s="18">
        <f t="shared" si="16"/>
        <v>0</v>
      </c>
      <c r="G1099" s="18">
        <f>IF(D1099=0,G1098,E1099-'P-Parametri'!$B$8*(F1099+E1099)+MIN(MAX(F1099,0),'P-Parametri'!$B$8*(F1099+E1099)))</f>
        <v>4518.5082097983632</v>
      </c>
      <c r="H1099" s="18">
        <f>IF(D1099=0,H1098,F1099-MIN(MAX(F1099,0),'P-Parametri'!$B$8*(F1099+E1099)))</f>
        <v>0</v>
      </c>
      <c r="I1099" s="18">
        <f t="shared" si="17"/>
        <v>0</v>
      </c>
      <c r="J1099" s="18">
        <f>IF(D1099=0,J1098,J1098+C1099*B1099*'P-Parametri'!$B$6)</f>
        <v>59757.50193496015</v>
      </c>
      <c r="K1099" s="18">
        <f>IF(D1099=0,K1098,K1098+'P-Parametri'!$B$8*(F1099+E1099))</f>
        <v>13004.248462902739</v>
      </c>
    </row>
    <row r="1100" spans="1:11">
      <c r="A1100" s="10">
        <f>36</f>
        <v>36</v>
      </c>
      <c r="B1100" s="11">
        <f t="shared" si="15"/>
        <v>0</v>
      </c>
      <c r="C1100" s="18">
        <f>IF(D1099=0,0,MIN(MAX(H1099,0),((MAX(0,'1-Input'!$B$10-IF($A1100&gt;='1-Input'!$C$12,'1-Input'!$B$12,0))-MIN(MAX(G1099,0),MAX(0,'1-Input'!$B$10-IF($A1100&gt;='1-Input'!$C$12,'1-Input'!$B$12,0))))+MAX(0,2*'1-Input'!$B$10-(G1099-MIN(MAX(G1099,0),MAX(0,'1-Input'!$B$10-IF($A1100&gt;='1-Input'!$C$12,'1-Input'!$B$12,0))))))*(1/(1-'P-Parametri'!$B$6*B1100))))</f>
        <v>0</v>
      </c>
      <c r="D1100" s="10">
        <f>IF(AND(D1099=1,G1099+H1099&gt;0.000001,C1100*(1-'P-Parametri'!$B$6*B1100)&gt;=(MAX(0,'1-Input'!$B$10-IF($A1100&gt;='1-Input'!$C$12,'1-Input'!$B$12,0))-MIN(MAX(G1099,0),MAX(0,'1-Input'!$B$10-IF($A1100&gt;='1-Input'!$C$12,'1-Input'!$B$12,0))))-0.000001),1,0)</f>
        <v>0</v>
      </c>
      <c r="E1100" s="18">
        <f>IF(D1100=0,G1099,(G1099-MAX(0,'1-Input'!$B$10-IF($A1100&gt;='1-Input'!$C$12,'1-Input'!$B$12,0))+C1100*(1-'P-Parametri'!$B$6*B1100))*(1+'1-Input'!$B$27))</f>
        <v>4518.5082097983632</v>
      </c>
      <c r="F1100" s="18">
        <f t="shared" si="16"/>
        <v>0</v>
      </c>
      <c r="G1100" s="18">
        <f>IF(D1100=0,G1099,E1100-'P-Parametri'!$B$8*(F1100+E1100)+MIN(MAX(F1100,0),'P-Parametri'!$B$8*(F1100+E1100)))</f>
        <v>4518.5082097983632</v>
      </c>
      <c r="H1100" s="18">
        <f>IF(D1100=0,H1099,F1100-MIN(MAX(F1100,0),'P-Parametri'!$B$8*(F1100+E1100)))</f>
        <v>0</v>
      </c>
      <c r="I1100" s="18">
        <f t="shared" si="17"/>
        <v>0</v>
      </c>
      <c r="J1100" s="18">
        <f>IF(D1100=0,J1099,J1099+C1100*B1100*'P-Parametri'!$B$6)</f>
        <v>59757.50193496015</v>
      </c>
      <c r="K1100" s="18">
        <f>IF(D1100=0,K1099,K1099+'P-Parametri'!$B$8*(F1100+E1100))</f>
        <v>13004.248462902739</v>
      </c>
    </row>
    <row r="1101" spans="1:11">
      <c r="A1101" s="10">
        <f>37</f>
        <v>37</v>
      </c>
      <c r="B1101" s="11">
        <f t="shared" si="15"/>
        <v>0</v>
      </c>
      <c r="C1101" s="18">
        <f>IF(D1100=0,0,MIN(MAX(H1100,0),((MAX(0,'1-Input'!$B$10-IF($A1101&gt;='1-Input'!$C$12,'1-Input'!$B$12,0))-MIN(MAX(G1100,0),MAX(0,'1-Input'!$B$10-IF($A1101&gt;='1-Input'!$C$12,'1-Input'!$B$12,0))))+MAX(0,2*'1-Input'!$B$10-(G1100-MIN(MAX(G1100,0),MAX(0,'1-Input'!$B$10-IF($A1101&gt;='1-Input'!$C$12,'1-Input'!$B$12,0))))))*(1/(1-'P-Parametri'!$B$6*B1101))))</f>
        <v>0</v>
      </c>
      <c r="D1101" s="10">
        <f>IF(AND(D1100=1,G1100+H1100&gt;0.000001,C1101*(1-'P-Parametri'!$B$6*B1101)&gt;=(MAX(0,'1-Input'!$B$10-IF($A1101&gt;='1-Input'!$C$12,'1-Input'!$B$12,0))-MIN(MAX(G1100,0),MAX(0,'1-Input'!$B$10-IF($A1101&gt;='1-Input'!$C$12,'1-Input'!$B$12,0))))-0.000001),1,0)</f>
        <v>0</v>
      </c>
      <c r="E1101" s="18">
        <f>IF(D1101=0,G1100,(G1100-MAX(0,'1-Input'!$B$10-IF($A1101&gt;='1-Input'!$C$12,'1-Input'!$B$12,0))+C1101*(1-'P-Parametri'!$B$6*B1101))*(1+'1-Input'!$B$27))</f>
        <v>4518.5082097983632</v>
      </c>
      <c r="F1101" s="18">
        <f t="shared" si="16"/>
        <v>0</v>
      </c>
      <c r="G1101" s="18">
        <f>IF(D1101=0,G1100,E1101-'P-Parametri'!$B$8*(F1101+E1101)+MIN(MAX(F1101,0),'P-Parametri'!$B$8*(F1101+E1101)))</f>
        <v>4518.5082097983632</v>
      </c>
      <c r="H1101" s="18">
        <f>IF(D1101=0,H1100,F1101-MIN(MAX(F1101,0),'P-Parametri'!$B$8*(F1101+E1101)))</f>
        <v>0</v>
      </c>
      <c r="I1101" s="18">
        <f t="shared" si="17"/>
        <v>0</v>
      </c>
      <c r="J1101" s="18">
        <f>IF(D1101=0,J1100,J1100+C1101*B1101*'P-Parametri'!$B$6)</f>
        <v>59757.50193496015</v>
      </c>
      <c r="K1101" s="18">
        <f>IF(D1101=0,K1100,K1100+'P-Parametri'!$B$8*(F1101+E1101))</f>
        <v>13004.248462902739</v>
      </c>
    </row>
    <row r="1102" spans="1:11">
      <c r="A1102" s="10">
        <f>38</f>
        <v>38</v>
      </c>
      <c r="B1102" s="11">
        <f t="shared" si="15"/>
        <v>0</v>
      </c>
      <c r="C1102" s="18">
        <f>IF(D1101=0,0,MIN(MAX(H1101,0),((MAX(0,'1-Input'!$B$10-IF($A1102&gt;='1-Input'!$C$12,'1-Input'!$B$12,0))-MIN(MAX(G1101,0),MAX(0,'1-Input'!$B$10-IF($A1102&gt;='1-Input'!$C$12,'1-Input'!$B$12,0))))+MAX(0,2*'1-Input'!$B$10-(G1101-MIN(MAX(G1101,0),MAX(0,'1-Input'!$B$10-IF($A1102&gt;='1-Input'!$C$12,'1-Input'!$B$12,0))))))*(1/(1-'P-Parametri'!$B$6*B1102))))</f>
        <v>0</v>
      </c>
      <c r="D1102" s="10">
        <f>IF(AND(D1101=1,G1101+H1101&gt;0.000001,C1102*(1-'P-Parametri'!$B$6*B1102)&gt;=(MAX(0,'1-Input'!$B$10-IF($A1102&gt;='1-Input'!$C$12,'1-Input'!$B$12,0))-MIN(MAX(G1101,0),MAX(0,'1-Input'!$B$10-IF($A1102&gt;='1-Input'!$C$12,'1-Input'!$B$12,0))))-0.000001),1,0)</f>
        <v>0</v>
      </c>
      <c r="E1102" s="18">
        <f>IF(D1102=0,G1101,(G1101-MAX(0,'1-Input'!$B$10-IF($A1102&gt;='1-Input'!$C$12,'1-Input'!$B$12,0))+C1102*(1-'P-Parametri'!$B$6*B1102))*(1+'1-Input'!$B$27))</f>
        <v>4518.5082097983632</v>
      </c>
      <c r="F1102" s="18">
        <f t="shared" si="16"/>
        <v>0</v>
      </c>
      <c r="G1102" s="18">
        <f>IF(D1102=0,G1101,E1102-'P-Parametri'!$B$8*(F1102+E1102)+MIN(MAX(F1102,0),'P-Parametri'!$B$8*(F1102+E1102)))</f>
        <v>4518.5082097983632</v>
      </c>
      <c r="H1102" s="18">
        <f>IF(D1102=0,H1101,F1102-MIN(MAX(F1102,0),'P-Parametri'!$B$8*(F1102+E1102)))</f>
        <v>0</v>
      </c>
      <c r="I1102" s="18">
        <f t="shared" si="17"/>
        <v>0</v>
      </c>
      <c r="J1102" s="18">
        <f>IF(D1102=0,J1101,J1101+C1102*B1102*'P-Parametri'!$B$6)</f>
        <v>59757.50193496015</v>
      </c>
      <c r="K1102" s="18">
        <f>IF(D1102=0,K1101,K1101+'P-Parametri'!$B$8*(F1102+E1102))</f>
        <v>13004.248462902739</v>
      </c>
    </row>
    <row r="1103" spans="1:11">
      <c r="A1103" s="10">
        <f>39</f>
        <v>39</v>
      </c>
      <c r="B1103" s="11">
        <f t="shared" si="15"/>
        <v>0</v>
      </c>
      <c r="C1103" s="18">
        <f>IF(D1102=0,0,MIN(MAX(H1102,0),((MAX(0,'1-Input'!$B$10-IF($A1103&gt;='1-Input'!$C$12,'1-Input'!$B$12,0))-MIN(MAX(G1102,0),MAX(0,'1-Input'!$B$10-IF($A1103&gt;='1-Input'!$C$12,'1-Input'!$B$12,0))))+MAX(0,2*'1-Input'!$B$10-(G1102-MIN(MAX(G1102,0),MAX(0,'1-Input'!$B$10-IF($A1103&gt;='1-Input'!$C$12,'1-Input'!$B$12,0))))))*(1/(1-'P-Parametri'!$B$6*B1103))))</f>
        <v>0</v>
      </c>
      <c r="D1103" s="10">
        <f>IF(AND(D1102=1,G1102+H1102&gt;0.000001,C1103*(1-'P-Parametri'!$B$6*B1103)&gt;=(MAX(0,'1-Input'!$B$10-IF($A1103&gt;='1-Input'!$C$12,'1-Input'!$B$12,0))-MIN(MAX(G1102,0),MAX(0,'1-Input'!$B$10-IF($A1103&gt;='1-Input'!$C$12,'1-Input'!$B$12,0))))-0.000001),1,0)</f>
        <v>0</v>
      </c>
      <c r="E1103" s="18">
        <f>IF(D1103=0,G1102,(G1102-MAX(0,'1-Input'!$B$10-IF($A1103&gt;='1-Input'!$C$12,'1-Input'!$B$12,0))+C1103*(1-'P-Parametri'!$B$6*B1103))*(1+'1-Input'!$B$27))</f>
        <v>4518.5082097983632</v>
      </c>
      <c r="F1103" s="18">
        <f t="shared" si="16"/>
        <v>0</v>
      </c>
      <c r="G1103" s="18">
        <f>IF(D1103=0,G1102,E1103-'P-Parametri'!$B$8*(F1103+E1103)+MIN(MAX(F1103,0),'P-Parametri'!$B$8*(F1103+E1103)))</f>
        <v>4518.5082097983632</v>
      </c>
      <c r="H1103" s="18">
        <f>IF(D1103=0,H1102,F1103-MIN(MAX(F1103,0),'P-Parametri'!$B$8*(F1103+E1103)))</f>
        <v>0</v>
      </c>
      <c r="I1103" s="18">
        <f t="shared" si="17"/>
        <v>0</v>
      </c>
      <c r="J1103" s="18">
        <f>IF(D1103=0,J1102,J1102+C1103*B1103*'P-Parametri'!$B$6)</f>
        <v>59757.50193496015</v>
      </c>
      <c r="K1103" s="18">
        <f>IF(D1103=0,K1102,K1102+'P-Parametri'!$B$8*(F1103+E1103))</f>
        <v>13004.248462902739</v>
      </c>
    </row>
    <row r="1104" spans="1:11">
      <c r="A1104" s="10">
        <f>40</f>
        <v>40</v>
      </c>
      <c r="B1104" s="11">
        <f t="shared" si="15"/>
        <v>0</v>
      </c>
      <c r="C1104" s="18">
        <f>IF(D1103=0,0,MIN(MAX(H1103,0),((MAX(0,'1-Input'!$B$10-IF($A1104&gt;='1-Input'!$C$12,'1-Input'!$B$12,0))-MIN(MAX(G1103,0),MAX(0,'1-Input'!$B$10-IF($A1104&gt;='1-Input'!$C$12,'1-Input'!$B$12,0))))+MAX(0,2*'1-Input'!$B$10-(G1103-MIN(MAX(G1103,0),MAX(0,'1-Input'!$B$10-IF($A1104&gt;='1-Input'!$C$12,'1-Input'!$B$12,0))))))*(1/(1-'P-Parametri'!$B$6*B1104))))</f>
        <v>0</v>
      </c>
      <c r="D1104" s="10">
        <f>IF(AND(D1103=1,G1103+H1103&gt;0.000001,C1104*(1-'P-Parametri'!$B$6*B1104)&gt;=(MAX(0,'1-Input'!$B$10-IF($A1104&gt;='1-Input'!$C$12,'1-Input'!$B$12,0))-MIN(MAX(G1103,0),MAX(0,'1-Input'!$B$10-IF($A1104&gt;='1-Input'!$C$12,'1-Input'!$B$12,0))))-0.000001),1,0)</f>
        <v>0</v>
      </c>
      <c r="E1104" s="18">
        <f>IF(D1104=0,G1103,(G1103-MAX(0,'1-Input'!$B$10-IF($A1104&gt;='1-Input'!$C$12,'1-Input'!$B$12,0))+C1104*(1-'P-Parametri'!$B$6*B1104))*(1+'1-Input'!$B$27))</f>
        <v>4518.5082097983632</v>
      </c>
      <c r="F1104" s="18">
        <f t="shared" si="16"/>
        <v>0</v>
      </c>
      <c r="G1104" s="18">
        <f>IF(D1104=0,G1103,E1104-'P-Parametri'!$B$8*(F1104+E1104)+MIN(MAX(F1104,0),'P-Parametri'!$B$8*(F1104+E1104)))</f>
        <v>4518.5082097983632</v>
      </c>
      <c r="H1104" s="18">
        <f>IF(D1104=0,H1103,F1104-MIN(MAX(F1104,0),'P-Parametri'!$B$8*(F1104+E1104)))</f>
        <v>0</v>
      </c>
      <c r="I1104" s="18">
        <f t="shared" si="17"/>
        <v>0</v>
      </c>
      <c r="J1104" s="18">
        <f>IF(D1104=0,J1103,J1103+C1104*B1104*'P-Parametri'!$B$6)</f>
        <v>59757.50193496015</v>
      </c>
      <c r="K1104" s="18">
        <f>IF(D1104=0,K1103,K1103+'P-Parametri'!$B$8*(F1104+E1104))</f>
        <v>13004.248462902739</v>
      </c>
    </row>
    <row r="1105" spans="1:11">
      <c r="A1105" s="10">
        <f>41</f>
        <v>41</v>
      </c>
      <c r="B1105" s="11">
        <f t="shared" si="15"/>
        <v>0</v>
      </c>
      <c r="C1105" s="18">
        <f>IF(D1104=0,0,MIN(MAX(H1104,0),((MAX(0,'1-Input'!$B$10-IF($A1105&gt;='1-Input'!$C$12,'1-Input'!$B$12,0))-MIN(MAX(G1104,0),MAX(0,'1-Input'!$B$10-IF($A1105&gt;='1-Input'!$C$12,'1-Input'!$B$12,0))))+MAX(0,2*'1-Input'!$B$10-(G1104-MIN(MAX(G1104,0),MAX(0,'1-Input'!$B$10-IF($A1105&gt;='1-Input'!$C$12,'1-Input'!$B$12,0))))))*(1/(1-'P-Parametri'!$B$6*B1105))))</f>
        <v>0</v>
      </c>
      <c r="D1105" s="10">
        <f>IF(AND(D1104=1,G1104+H1104&gt;0.000001,C1105*(1-'P-Parametri'!$B$6*B1105)&gt;=(MAX(0,'1-Input'!$B$10-IF($A1105&gt;='1-Input'!$C$12,'1-Input'!$B$12,0))-MIN(MAX(G1104,0),MAX(0,'1-Input'!$B$10-IF($A1105&gt;='1-Input'!$C$12,'1-Input'!$B$12,0))))-0.000001),1,0)</f>
        <v>0</v>
      </c>
      <c r="E1105" s="18">
        <f>IF(D1105=0,G1104,(G1104-MAX(0,'1-Input'!$B$10-IF($A1105&gt;='1-Input'!$C$12,'1-Input'!$B$12,0))+C1105*(1-'P-Parametri'!$B$6*B1105))*(1+'1-Input'!$B$27))</f>
        <v>4518.5082097983632</v>
      </c>
      <c r="F1105" s="18">
        <f t="shared" si="16"/>
        <v>0</v>
      </c>
      <c r="G1105" s="18">
        <f>IF(D1105=0,G1104,E1105-'P-Parametri'!$B$8*(F1105+E1105)+MIN(MAX(F1105,0),'P-Parametri'!$B$8*(F1105+E1105)))</f>
        <v>4518.5082097983632</v>
      </c>
      <c r="H1105" s="18">
        <f>IF(D1105=0,H1104,F1105-MIN(MAX(F1105,0),'P-Parametri'!$B$8*(F1105+E1105)))</f>
        <v>0</v>
      </c>
      <c r="I1105" s="18">
        <f t="shared" si="17"/>
        <v>0</v>
      </c>
      <c r="J1105" s="18">
        <f>IF(D1105=0,J1104,J1104+C1105*B1105*'P-Parametri'!$B$6)</f>
        <v>59757.50193496015</v>
      </c>
      <c r="K1105" s="18">
        <f>IF(D1105=0,K1104,K1104+'P-Parametri'!$B$8*(F1105+E1105))</f>
        <v>13004.248462902739</v>
      </c>
    </row>
    <row r="1106" spans="1:11">
      <c r="A1106" s="10">
        <f>42</f>
        <v>42</v>
      </c>
      <c r="B1106" s="11">
        <f t="shared" si="15"/>
        <v>0</v>
      </c>
      <c r="C1106" s="18">
        <f>IF(D1105=0,0,MIN(MAX(H1105,0),((MAX(0,'1-Input'!$B$10-IF($A1106&gt;='1-Input'!$C$12,'1-Input'!$B$12,0))-MIN(MAX(G1105,0),MAX(0,'1-Input'!$B$10-IF($A1106&gt;='1-Input'!$C$12,'1-Input'!$B$12,0))))+MAX(0,2*'1-Input'!$B$10-(G1105-MIN(MAX(G1105,0),MAX(0,'1-Input'!$B$10-IF($A1106&gt;='1-Input'!$C$12,'1-Input'!$B$12,0))))))*(1/(1-'P-Parametri'!$B$6*B1106))))</f>
        <v>0</v>
      </c>
      <c r="D1106" s="10">
        <f>IF(AND(D1105=1,G1105+H1105&gt;0.000001,C1106*(1-'P-Parametri'!$B$6*B1106)&gt;=(MAX(0,'1-Input'!$B$10-IF($A1106&gt;='1-Input'!$C$12,'1-Input'!$B$12,0))-MIN(MAX(G1105,0),MAX(0,'1-Input'!$B$10-IF($A1106&gt;='1-Input'!$C$12,'1-Input'!$B$12,0))))-0.000001),1,0)</f>
        <v>0</v>
      </c>
      <c r="E1106" s="18">
        <f>IF(D1106=0,G1105,(G1105-MAX(0,'1-Input'!$B$10-IF($A1106&gt;='1-Input'!$C$12,'1-Input'!$B$12,0))+C1106*(1-'P-Parametri'!$B$6*B1106))*(1+'1-Input'!$B$27))</f>
        <v>4518.5082097983632</v>
      </c>
      <c r="F1106" s="18">
        <f t="shared" si="16"/>
        <v>0</v>
      </c>
      <c r="G1106" s="18">
        <f>IF(D1106=0,G1105,E1106-'P-Parametri'!$B$8*(F1106+E1106)+MIN(MAX(F1106,0),'P-Parametri'!$B$8*(F1106+E1106)))</f>
        <v>4518.5082097983632</v>
      </c>
      <c r="H1106" s="18">
        <f>IF(D1106=0,H1105,F1106-MIN(MAX(F1106,0),'P-Parametri'!$B$8*(F1106+E1106)))</f>
        <v>0</v>
      </c>
      <c r="I1106" s="18">
        <f t="shared" si="17"/>
        <v>0</v>
      </c>
      <c r="J1106" s="18">
        <f>IF(D1106=0,J1105,J1105+C1106*B1106*'P-Parametri'!$B$6)</f>
        <v>59757.50193496015</v>
      </c>
      <c r="K1106" s="18">
        <f>IF(D1106=0,K1105,K1105+'P-Parametri'!$B$8*(F1106+E1106))</f>
        <v>13004.248462902739</v>
      </c>
    </row>
    <row r="1107" spans="1:11">
      <c r="A1107" s="10">
        <f>43</f>
        <v>43</v>
      </c>
      <c r="B1107" s="11">
        <f t="shared" si="15"/>
        <v>0</v>
      </c>
      <c r="C1107" s="18">
        <f>IF(D1106=0,0,MIN(MAX(H1106,0),((MAX(0,'1-Input'!$B$10-IF($A1107&gt;='1-Input'!$C$12,'1-Input'!$B$12,0))-MIN(MAX(G1106,0),MAX(0,'1-Input'!$B$10-IF($A1107&gt;='1-Input'!$C$12,'1-Input'!$B$12,0))))+MAX(0,2*'1-Input'!$B$10-(G1106-MIN(MAX(G1106,0),MAX(0,'1-Input'!$B$10-IF($A1107&gt;='1-Input'!$C$12,'1-Input'!$B$12,0))))))*(1/(1-'P-Parametri'!$B$6*B1107))))</f>
        <v>0</v>
      </c>
      <c r="D1107" s="10">
        <f>IF(AND(D1106=1,G1106+H1106&gt;0.000001,C1107*(1-'P-Parametri'!$B$6*B1107)&gt;=(MAX(0,'1-Input'!$B$10-IF($A1107&gt;='1-Input'!$C$12,'1-Input'!$B$12,0))-MIN(MAX(G1106,0),MAX(0,'1-Input'!$B$10-IF($A1107&gt;='1-Input'!$C$12,'1-Input'!$B$12,0))))-0.000001),1,0)</f>
        <v>0</v>
      </c>
      <c r="E1107" s="18">
        <f>IF(D1107=0,G1106,(G1106-MAX(0,'1-Input'!$B$10-IF($A1107&gt;='1-Input'!$C$12,'1-Input'!$B$12,0))+C1107*(1-'P-Parametri'!$B$6*B1107))*(1+'1-Input'!$B$27))</f>
        <v>4518.5082097983632</v>
      </c>
      <c r="F1107" s="18">
        <f t="shared" si="16"/>
        <v>0</v>
      </c>
      <c r="G1107" s="18">
        <f>IF(D1107=0,G1106,E1107-'P-Parametri'!$B$8*(F1107+E1107)+MIN(MAX(F1107,0),'P-Parametri'!$B$8*(F1107+E1107)))</f>
        <v>4518.5082097983632</v>
      </c>
      <c r="H1107" s="18">
        <f>IF(D1107=0,H1106,F1107-MIN(MAX(F1107,0),'P-Parametri'!$B$8*(F1107+E1107)))</f>
        <v>0</v>
      </c>
      <c r="I1107" s="18">
        <f t="shared" si="17"/>
        <v>0</v>
      </c>
      <c r="J1107" s="18">
        <f>IF(D1107=0,J1106,J1106+C1107*B1107*'P-Parametri'!$B$6)</f>
        <v>59757.50193496015</v>
      </c>
      <c r="K1107" s="18">
        <f>IF(D1107=0,K1106,K1106+'P-Parametri'!$B$8*(F1107+E1107))</f>
        <v>13004.248462902739</v>
      </c>
    </row>
    <row r="1108" spans="1:11">
      <c r="A1108" s="10">
        <f>44</f>
        <v>44</v>
      </c>
      <c r="B1108" s="11">
        <f t="shared" si="15"/>
        <v>0</v>
      </c>
      <c r="C1108" s="18">
        <f>IF(D1107=0,0,MIN(MAX(H1107,0),((MAX(0,'1-Input'!$B$10-IF($A1108&gt;='1-Input'!$C$12,'1-Input'!$B$12,0))-MIN(MAX(G1107,0),MAX(0,'1-Input'!$B$10-IF($A1108&gt;='1-Input'!$C$12,'1-Input'!$B$12,0))))+MAX(0,2*'1-Input'!$B$10-(G1107-MIN(MAX(G1107,0),MAX(0,'1-Input'!$B$10-IF($A1108&gt;='1-Input'!$C$12,'1-Input'!$B$12,0))))))*(1/(1-'P-Parametri'!$B$6*B1108))))</f>
        <v>0</v>
      </c>
      <c r="D1108" s="10">
        <f>IF(AND(D1107=1,G1107+H1107&gt;0.000001,C1108*(1-'P-Parametri'!$B$6*B1108)&gt;=(MAX(0,'1-Input'!$B$10-IF($A1108&gt;='1-Input'!$C$12,'1-Input'!$B$12,0))-MIN(MAX(G1107,0),MAX(0,'1-Input'!$B$10-IF($A1108&gt;='1-Input'!$C$12,'1-Input'!$B$12,0))))-0.000001),1,0)</f>
        <v>0</v>
      </c>
      <c r="E1108" s="18">
        <f>IF(D1108=0,G1107,(G1107-MAX(0,'1-Input'!$B$10-IF($A1108&gt;='1-Input'!$C$12,'1-Input'!$B$12,0))+C1108*(1-'P-Parametri'!$B$6*B1108))*(1+'1-Input'!$B$27))</f>
        <v>4518.5082097983632</v>
      </c>
      <c r="F1108" s="18">
        <f t="shared" si="16"/>
        <v>0</v>
      </c>
      <c r="G1108" s="18">
        <f>IF(D1108=0,G1107,E1108-'P-Parametri'!$B$8*(F1108+E1108)+MIN(MAX(F1108,0),'P-Parametri'!$B$8*(F1108+E1108)))</f>
        <v>4518.5082097983632</v>
      </c>
      <c r="H1108" s="18">
        <f>IF(D1108=0,H1107,F1108-MIN(MAX(F1108,0),'P-Parametri'!$B$8*(F1108+E1108)))</f>
        <v>0</v>
      </c>
      <c r="I1108" s="18">
        <f t="shared" si="17"/>
        <v>0</v>
      </c>
      <c r="J1108" s="18">
        <f>IF(D1108=0,J1107,J1107+C1108*B1108*'P-Parametri'!$B$6)</f>
        <v>59757.50193496015</v>
      </c>
      <c r="K1108" s="18">
        <f>IF(D1108=0,K1107,K1107+'P-Parametri'!$B$8*(F1108+E1108))</f>
        <v>13004.248462902739</v>
      </c>
    </row>
    <row r="1109" spans="1:11">
      <c r="A1109" s="10">
        <f>45</f>
        <v>45</v>
      </c>
      <c r="B1109" s="11">
        <f t="shared" si="15"/>
        <v>0</v>
      </c>
      <c r="C1109" s="18">
        <f>IF(D1108=0,0,MIN(MAX(H1108,0),((MAX(0,'1-Input'!$B$10-IF($A1109&gt;='1-Input'!$C$12,'1-Input'!$B$12,0))-MIN(MAX(G1108,0),MAX(0,'1-Input'!$B$10-IF($A1109&gt;='1-Input'!$C$12,'1-Input'!$B$12,0))))+MAX(0,2*'1-Input'!$B$10-(G1108-MIN(MAX(G1108,0),MAX(0,'1-Input'!$B$10-IF($A1109&gt;='1-Input'!$C$12,'1-Input'!$B$12,0))))))*(1/(1-'P-Parametri'!$B$6*B1109))))</f>
        <v>0</v>
      </c>
      <c r="D1109" s="10">
        <f>IF(AND(D1108=1,G1108+H1108&gt;0.000001,C1109*(1-'P-Parametri'!$B$6*B1109)&gt;=(MAX(0,'1-Input'!$B$10-IF($A1109&gt;='1-Input'!$C$12,'1-Input'!$B$12,0))-MIN(MAX(G1108,0),MAX(0,'1-Input'!$B$10-IF($A1109&gt;='1-Input'!$C$12,'1-Input'!$B$12,0))))-0.000001),1,0)</f>
        <v>0</v>
      </c>
      <c r="E1109" s="18">
        <f>IF(D1109=0,G1108,(G1108-MAX(0,'1-Input'!$B$10-IF($A1109&gt;='1-Input'!$C$12,'1-Input'!$B$12,0))+C1109*(1-'P-Parametri'!$B$6*B1109))*(1+'1-Input'!$B$27))</f>
        <v>4518.5082097983632</v>
      </c>
      <c r="F1109" s="18">
        <f t="shared" si="16"/>
        <v>0</v>
      </c>
      <c r="G1109" s="18">
        <f>IF(D1109=0,G1108,E1109-'P-Parametri'!$B$8*(F1109+E1109)+MIN(MAX(F1109,0),'P-Parametri'!$B$8*(F1109+E1109)))</f>
        <v>4518.5082097983632</v>
      </c>
      <c r="H1109" s="18">
        <f>IF(D1109=0,H1108,F1109-MIN(MAX(F1109,0),'P-Parametri'!$B$8*(F1109+E1109)))</f>
        <v>0</v>
      </c>
      <c r="I1109" s="18">
        <f t="shared" si="17"/>
        <v>0</v>
      </c>
      <c r="J1109" s="18">
        <f>IF(D1109=0,J1108,J1108+C1109*B1109*'P-Parametri'!$B$6)</f>
        <v>59757.50193496015</v>
      </c>
      <c r="K1109" s="18">
        <f>IF(D1109=0,K1108,K1108+'P-Parametri'!$B$8*(F1109+E1109))</f>
        <v>13004.248462902739</v>
      </c>
    </row>
    <row r="1110" spans="1:11">
      <c r="A1110" s="10">
        <f>46</f>
        <v>46</v>
      </c>
      <c r="B1110" s="11">
        <f t="shared" si="15"/>
        <v>0</v>
      </c>
      <c r="C1110" s="18">
        <f>IF(D1109=0,0,MIN(MAX(H1109,0),((MAX(0,'1-Input'!$B$10-IF($A1110&gt;='1-Input'!$C$12,'1-Input'!$B$12,0))-MIN(MAX(G1109,0),MAX(0,'1-Input'!$B$10-IF($A1110&gt;='1-Input'!$C$12,'1-Input'!$B$12,0))))+MAX(0,2*'1-Input'!$B$10-(G1109-MIN(MAX(G1109,0),MAX(0,'1-Input'!$B$10-IF($A1110&gt;='1-Input'!$C$12,'1-Input'!$B$12,0))))))*(1/(1-'P-Parametri'!$B$6*B1110))))</f>
        <v>0</v>
      </c>
      <c r="D1110" s="10">
        <f>IF(AND(D1109=1,G1109+H1109&gt;0.000001,C1110*(1-'P-Parametri'!$B$6*B1110)&gt;=(MAX(0,'1-Input'!$B$10-IF($A1110&gt;='1-Input'!$C$12,'1-Input'!$B$12,0))-MIN(MAX(G1109,0),MAX(0,'1-Input'!$B$10-IF($A1110&gt;='1-Input'!$C$12,'1-Input'!$B$12,0))))-0.000001),1,0)</f>
        <v>0</v>
      </c>
      <c r="E1110" s="18">
        <f>IF(D1110=0,G1109,(G1109-MAX(0,'1-Input'!$B$10-IF($A1110&gt;='1-Input'!$C$12,'1-Input'!$B$12,0))+C1110*(1-'P-Parametri'!$B$6*B1110))*(1+'1-Input'!$B$27))</f>
        <v>4518.5082097983632</v>
      </c>
      <c r="F1110" s="18">
        <f t="shared" si="16"/>
        <v>0</v>
      </c>
      <c r="G1110" s="18">
        <f>IF(D1110=0,G1109,E1110-'P-Parametri'!$B$8*(F1110+E1110)+MIN(MAX(F1110,0),'P-Parametri'!$B$8*(F1110+E1110)))</f>
        <v>4518.5082097983632</v>
      </c>
      <c r="H1110" s="18">
        <f>IF(D1110=0,H1109,F1110-MIN(MAX(F1110,0),'P-Parametri'!$B$8*(F1110+E1110)))</f>
        <v>0</v>
      </c>
      <c r="I1110" s="18">
        <f t="shared" si="17"/>
        <v>0</v>
      </c>
      <c r="J1110" s="18">
        <f>IF(D1110=0,J1109,J1109+C1110*B1110*'P-Parametri'!$B$6)</f>
        <v>59757.50193496015</v>
      </c>
      <c r="K1110" s="18">
        <f>IF(D1110=0,K1109,K1109+'P-Parametri'!$B$8*(F1110+E1110))</f>
        <v>13004.248462902739</v>
      </c>
    </row>
    <row r="1111" spans="1:11">
      <c r="A1111" s="10">
        <f>47</f>
        <v>47</v>
      </c>
      <c r="B1111" s="11">
        <f t="shared" si="15"/>
        <v>0</v>
      </c>
      <c r="C1111" s="18">
        <f>IF(D1110=0,0,MIN(MAX(H1110,0),((MAX(0,'1-Input'!$B$10-IF($A1111&gt;='1-Input'!$C$12,'1-Input'!$B$12,0))-MIN(MAX(G1110,0),MAX(0,'1-Input'!$B$10-IF($A1111&gt;='1-Input'!$C$12,'1-Input'!$B$12,0))))+MAX(0,2*'1-Input'!$B$10-(G1110-MIN(MAX(G1110,0),MAX(0,'1-Input'!$B$10-IF($A1111&gt;='1-Input'!$C$12,'1-Input'!$B$12,0))))))*(1/(1-'P-Parametri'!$B$6*B1111))))</f>
        <v>0</v>
      </c>
      <c r="D1111" s="10">
        <f>IF(AND(D1110=1,G1110+H1110&gt;0.000001,C1111*(1-'P-Parametri'!$B$6*B1111)&gt;=(MAX(0,'1-Input'!$B$10-IF($A1111&gt;='1-Input'!$C$12,'1-Input'!$B$12,0))-MIN(MAX(G1110,0),MAX(0,'1-Input'!$B$10-IF($A1111&gt;='1-Input'!$C$12,'1-Input'!$B$12,0))))-0.000001),1,0)</f>
        <v>0</v>
      </c>
      <c r="E1111" s="18">
        <f>IF(D1111=0,G1110,(G1110-MAX(0,'1-Input'!$B$10-IF($A1111&gt;='1-Input'!$C$12,'1-Input'!$B$12,0))+C1111*(1-'P-Parametri'!$B$6*B1111))*(1+'1-Input'!$B$27))</f>
        <v>4518.5082097983632</v>
      </c>
      <c r="F1111" s="18">
        <f t="shared" si="16"/>
        <v>0</v>
      </c>
      <c r="G1111" s="18">
        <f>IF(D1111=0,G1110,E1111-'P-Parametri'!$B$8*(F1111+E1111)+MIN(MAX(F1111,0),'P-Parametri'!$B$8*(F1111+E1111)))</f>
        <v>4518.5082097983632</v>
      </c>
      <c r="H1111" s="18">
        <f>IF(D1111=0,H1110,F1111-MIN(MAX(F1111,0),'P-Parametri'!$B$8*(F1111+E1111)))</f>
        <v>0</v>
      </c>
      <c r="I1111" s="18">
        <f t="shared" si="17"/>
        <v>0</v>
      </c>
      <c r="J1111" s="18">
        <f>IF(D1111=0,J1110,J1110+C1111*B1111*'P-Parametri'!$B$6)</f>
        <v>59757.50193496015</v>
      </c>
      <c r="K1111" s="18">
        <f>IF(D1111=0,K1110,K1110+'P-Parametri'!$B$8*(F1111+E1111))</f>
        <v>13004.248462902739</v>
      </c>
    </row>
    <row r="1112" spans="1:11">
      <c r="A1112" s="10">
        <f>48</f>
        <v>48</v>
      </c>
      <c r="B1112" s="11">
        <f t="shared" si="15"/>
        <v>0</v>
      </c>
      <c r="C1112" s="18">
        <f>IF(D1111=0,0,MIN(MAX(H1111,0),((MAX(0,'1-Input'!$B$10-IF($A1112&gt;='1-Input'!$C$12,'1-Input'!$B$12,0))-MIN(MAX(G1111,0),MAX(0,'1-Input'!$B$10-IF($A1112&gt;='1-Input'!$C$12,'1-Input'!$B$12,0))))+MAX(0,2*'1-Input'!$B$10-(G1111-MIN(MAX(G1111,0),MAX(0,'1-Input'!$B$10-IF($A1112&gt;='1-Input'!$C$12,'1-Input'!$B$12,0))))))*(1/(1-'P-Parametri'!$B$6*B1112))))</f>
        <v>0</v>
      </c>
      <c r="D1112" s="10">
        <f>IF(AND(D1111=1,G1111+H1111&gt;0.000001,C1112*(1-'P-Parametri'!$B$6*B1112)&gt;=(MAX(0,'1-Input'!$B$10-IF($A1112&gt;='1-Input'!$C$12,'1-Input'!$B$12,0))-MIN(MAX(G1111,0),MAX(0,'1-Input'!$B$10-IF($A1112&gt;='1-Input'!$C$12,'1-Input'!$B$12,0))))-0.000001),1,0)</f>
        <v>0</v>
      </c>
      <c r="E1112" s="18">
        <f>IF(D1112=0,G1111,(G1111-MAX(0,'1-Input'!$B$10-IF($A1112&gt;='1-Input'!$C$12,'1-Input'!$B$12,0))+C1112*(1-'P-Parametri'!$B$6*B1112))*(1+'1-Input'!$B$27))</f>
        <v>4518.5082097983632</v>
      </c>
      <c r="F1112" s="18">
        <f t="shared" si="16"/>
        <v>0</v>
      </c>
      <c r="G1112" s="18">
        <f>IF(D1112=0,G1111,E1112-'P-Parametri'!$B$8*(F1112+E1112)+MIN(MAX(F1112,0),'P-Parametri'!$B$8*(F1112+E1112)))</f>
        <v>4518.5082097983632</v>
      </c>
      <c r="H1112" s="18">
        <f>IF(D1112=0,H1111,F1112-MIN(MAX(F1112,0),'P-Parametri'!$B$8*(F1112+E1112)))</f>
        <v>0</v>
      </c>
      <c r="I1112" s="18">
        <f t="shared" si="17"/>
        <v>0</v>
      </c>
      <c r="J1112" s="18">
        <f>IF(D1112=0,J1111,J1111+C1112*B1112*'P-Parametri'!$B$6)</f>
        <v>59757.50193496015</v>
      </c>
      <c r="K1112" s="18">
        <f>IF(D1112=0,K1111,K1111+'P-Parametri'!$B$8*(F1112+E1112))</f>
        <v>13004.248462902739</v>
      </c>
    </row>
    <row r="1113" spans="1:11">
      <c r="A1113" s="10">
        <f>49</f>
        <v>49</v>
      </c>
      <c r="B1113" s="11">
        <f t="shared" si="15"/>
        <v>0</v>
      </c>
      <c r="C1113" s="18">
        <f>IF(D1112=0,0,MIN(MAX(H1112,0),((MAX(0,'1-Input'!$B$10-IF($A1113&gt;='1-Input'!$C$12,'1-Input'!$B$12,0))-MIN(MAX(G1112,0),MAX(0,'1-Input'!$B$10-IF($A1113&gt;='1-Input'!$C$12,'1-Input'!$B$12,0))))+MAX(0,2*'1-Input'!$B$10-(G1112-MIN(MAX(G1112,0),MAX(0,'1-Input'!$B$10-IF($A1113&gt;='1-Input'!$C$12,'1-Input'!$B$12,0))))))*(1/(1-'P-Parametri'!$B$6*B1113))))</f>
        <v>0</v>
      </c>
      <c r="D1113" s="10">
        <f>IF(AND(D1112=1,G1112+H1112&gt;0.000001,C1113*(1-'P-Parametri'!$B$6*B1113)&gt;=(MAX(0,'1-Input'!$B$10-IF($A1113&gt;='1-Input'!$C$12,'1-Input'!$B$12,0))-MIN(MAX(G1112,0),MAX(0,'1-Input'!$B$10-IF($A1113&gt;='1-Input'!$C$12,'1-Input'!$B$12,0))))-0.000001),1,0)</f>
        <v>0</v>
      </c>
      <c r="E1113" s="18">
        <f>IF(D1113=0,G1112,(G1112-MAX(0,'1-Input'!$B$10-IF($A1113&gt;='1-Input'!$C$12,'1-Input'!$B$12,0))+C1113*(1-'P-Parametri'!$B$6*B1113))*(1+'1-Input'!$B$27))</f>
        <v>4518.5082097983632</v>
      </c>
      <c r="F1113" s="18">
        <f t="shared" si="16"/>
        <v>0</v>
      </c>
      <c r="G1113" s="18">
        <f>IF(D1113=0,G1112,E1113-'P-Parametri'!$B$8*(F1113+E1113)+MIN(MAX(F1113,0),'P-Parametri'!$B$8*(F1113+E1113)))</f>
        <v>4518.5082097983632</v>
      </c>
      <c r="H1113" s="18">
        <f>IF(D1113=0,H1112,F1113-MIN(MAX(F1113,0),'P-Parametri'!$B$8*(F1113+E1113)))</f>
        <v>0</v>
      </c>
      <c r="I1113" s="18">
        <f t="shared" si="17"/>
        <v>0</v>
      </c>
      <c r="J1113" s="18">
        <f>IF(D1113=0,J1112,J1112+C1113*B1113*'P-Parametri'!$B$6)</f>
        <v>59757.50193496015</v>
      </c>
      <c r="K1113" s="18">
        <f>IF(D1113=0,K1112,K1112+'P-Parametri'!$B$8*(F1113+E1113))</f>
        <v>13004.248462902739</v>
      </c>
    </row>
    <row r="1114" spans="1:11">
      <c r="A1114" s="10">
        <f>50</f>
        <v>50</v>
      </c>
      <c r="B1114" s="11">
        <f t="shared" si="15"/>
        <v>0</v>
      </c>
      <c r="C1114" s="18">
        <f>IF(D1113=0,0,MIN(MAX(H1113,0),((MAX(0,'1-Input'!$B$10-IF($A1114&gt;='1-Input'!$C$12,'1-Input'!$B$12,0))-MIN(MAX(G1113,0),MAX(0,'1-Input'!$B$10-IF($A1114&gt;='1-Input'!$C$12,'1-Input'!$B$12,0))))+MAX(0,2*'1-Input'!$B$10-(G1113-MIN(MAX(G1113,0),MAX(0,'1-Input'!$B$10-IF($A1114&gt;='1-Input'!$C$12,'1-Input'!$B$12,0))))))*(1/(1-'P-Parametri'!$B$6*B1114))))</f>
        <v>0</v>
      </c>
      <c r="D1114" s="10">
        <f>IF(AND(D1113=1,G1113+H1113&gt;0.000001,C1114*(1-'P-Parametri'!$B$6*B1114)&gt;=(MAX(0,'1-Input'!$B$10-IF($A1114&gt;='1-Input'!$C$12,'1-Input'!$B$12,0))-MIN(MAX(G1113,0),MAX(0,'1-Input'!$B$10-IF($A1114&gt;='1-Input'!$C$12,'1-Input'!$B$12,0))))-0.000001),1,0)</f>
        <v>0</v>
      </c>
      <c r="E1114" s="18">
        <f>IF(D1114=0,G1113,(G1113-MAX(0,'1-Input'!$B$10-IF($A1114&gt;='1-Input'!$C$12,'1-Input'!$B$12,0))+C1114*(1-'P-Parametri'!$B$6*B1114))*(1+'1-Input'!$B$27))</f>
        <v>4518.5082097983632</v>
      </c>
      <c r="F1114" s="18">
        <f t="shared" si="16"/>
        <v>0</v>
      </c>
      <c r="G1114" s="18">
        <f>IF(D1114=0,G1113,E1114-'P-Parametri'!$B$8*(F1114+E1114)+MIN(MAX(F1114,0),'P-Parametri'!$B$8*(F1114+E1114)))</f>
        <v>4518.5082097983632</v>
      </c>
      <c r="H1114" s="18">
        <f>IF(D1114=0,H1113,F1114-MIN(MAX(F1114,0),'P-Parametri'!$B$8*(F1114+E1114)))</f>
        <v>0</v>
      </c>
      <c r="I1114" s="18">
        <f t="shared" si="17"/>
        <v>0</v>
      </c>
      <c r="J1114" s="18">
        <f>IF(D1114=0,J1113,J1113+C1114*B1114*'P-Parametri'!$B$6)</f>
        <v>59757.50193496015</v>
      </c>
      <c r="K1114" s="18">
        <f>IF(D1114=0,K1113,K1113+'P-Parametri'!$B$8*(F1114+E1114))</f>
        <v>13004.248462902739</v>
      </c>
    </row>
    <row r="1115" spans="1:11">
      <c r="B1115" s="10">
        <f>SUM(D1065:D1114)</f>
        <v>31</v>
      </c>
      <c r="C1115" s="18">
        <f>J1114</f>
        <v>59757.50193496015</v>
      </c>
      <c r="D1115" s="18">
        <f>K1114</f>
        <v>13004.248462902739</v>
      </c>
    </row>
    <row r="1117" spans="1:11">
      <c r="A1117" s="2" t="s">
        <v>385</v>
      </c>
    </row>
    <row r="1119" spans="1:11" ht="30">
      <c r="A1119" s="25" t="s">
        <v>262</v>
      </c>
      <c r="B1119" s="25" t="s">
        <v>361</v>
      </c>
      <c r="C1119" s="25" t="s">
        <v>263</v>
      </c>
      <c r="D1119" s="25" t="s">
        <v>305</v>
      </c>
      <c r="E1119" s="25" t="s">
        <v>362</v>
      </c>
      <c r="F1119" s="25" t="s">
        <v>363</v>
      </c>
      <c r="G1119" s="25" t="s">
        <v>264</v>
      </c>
      <c r="H1119" s="25" t="s">
        <v>265</v>
      </c>
      <c r="I1119" s="25" t="s">
        <v>364</v>
      </c>
      <c r="J1119" s="25" t="s">
        <v>381</v>
      </c>
      <c r="K1119" s="25" t="s">
        <v>382</v>
      </c>
    </row>
    <row r="1120" spans="1:11">
      <c r="A1120" s="3">
        <v>0</v>
      </c>
      <c r="D1120" s="10">
        <f>1</f>
        <v>1</v>
      </c>
      <c r="G1120" s="18">
        <f>MIN(3*'1-Input'!$B$10,'2-Caso'!$B$12)</f>
        <v>59400</v>
      </c>
      <c r="H1120" s="18">
        <f>'2-Caso'!$B$12-G1120</f>
        <v>379575.13985857379</v>
      </c>
      <c r="I1120" s="18">
        <f>'2-Caso'!$B$13*H1120/'2-Caso'!$B$12</f>
        <v>297451.57813131931</v>
      </c>
      <c r="J1120" s="18">
        <f>0</f>
        <v>0</v>
      </c>
      <c r="K1120" s="18">
        <f>0</f>
        <v>0</v>
      </c>
    </row>
    <row r="1121" spans="1:11">
      <c r="A1121" s="10">
        <f>1</f>
        <v>1</v>
      </c>
      <c r="B1121" s="11">
        <f t="shared" ref="B1121:B1152" si="18">IF(H1120&lt;=0,0,MAX(0,(H1120-I1120)/H1120))</f>
        <v>0.21635653419729481</v>
      </c>
      <c r="C1121" s="18">
        <f>IF(D1120=0,0,MIN(MAX(H1120,0),((MAX(0,'1-Input'!$B$10-IF($A1121&gt;='1-Input'!$C$12,'1-Input'!$B$12,0))-MIN(MAX(G1120,0),MAX(0,'1-Input'!$B$10-IF($A1121&gt;='1-Input'!$C$12,'1-Input'!$B$12,0))))+MAX(0,3*'1-Input'!$B$10-(G1120-MIN(MAX(G1120,0),MAX(0,'1-Input'!$B$10-IF($A1121&gt;='1-Input'!$C$12,'1-Input'!$B$12,0))))))*(1/(1-'P-Parametri'!$B$6*B1121))))</f>
        <v>20980.192448486148</v>
      </c>
      <c r="D1121" s="10">
        <f>IF(AND(D1120=1,G1120+H1120&gt;0.000001,C1121*(1-'P-Parametri'!$B$6*B1121)&gt;=(MAX(0,'1-Input'!$B$10-IF($A1121&gt;='1-Input'!$C$12,'1-Input'!$B$12,0))-MIN(MAX(G1120,0),MAX(0,'1-Input'!$B$10-IF($A1121&gt;='1-Input'!$C$12,'1-Input'!$B$12,0))))-0.000001),1,0)</f>
        <v>1</v>
      </c>
      <c r="E1121" s="18">
        <f>IF(D1121=0,G1120,(G1120-MAX(0,'1-Input'!$B$10-IF($A1121&gt;='1-Input'!$C$12,'1-Input'!$B$12,0))+C1121*(1-'P-Parametri'!$B$6*B1121))*(1+'1-Input'!$B$27))</f>
        <v>59186.159999999996</v>
      </c>
      <c r="F1121" s="18">
        <f t="shared" ref="F1121:F1152" si="19">IF(D1121=0,H1120,(H1120-C1121)*(1+$C$4))</f>
        <v>369352.79583239026</v>
      </c>
      <c r="G1121" s="18">
        <f>IF(D1121=0,G1120,E1121-'P-Parametri'!$B$8*(F1121+E1121)+MIN(MAX(F1121,0),'P-Parametri'!$B$8*(F1121+E1121)))</f>
        <v>59186.159999999996</v>
      </c>
      <c r="H1121" s="18">
        <f>IF(D1121=0,H1120,F1121-MIN(MAX(F1121,0),'P-Parametri'!$B$8*(F1121+E1121)))</f>
        <v>368495.71792072547</v>
      </c>
      <c r="I1121" s="18">
        <f t="shared" ref="I1121:I1152" si="20">IF(D1121=0,I1120,I1120-C1121*(1-B1121))</f>
        <v>281010.58740777988</v>
      </c>
      <c r="J1121" s="18">
        <f>IF(D1121=0,J1120,J1120+C1121*B1121*'P-Parametri'!$B$6)</f>
        <v>1180.1924484861472</v>
      </c>
      <c r="K1121" s="18">
        <f>IF(D1121=0,K1120,K1120+'P-Parametri'!$B$8*(F1121+E1121))</f>
        <v>857.07791166478046</v>
      </c>
    </row>
    <row r="1122" spans="1:11">
      <c r="A1122" s="10">
        <f>2</f>
        <v>2</v>
      </c>
      <c r="B1122" s="11">
        <f t="shared" si="18"/>
        <v>0.23741152544889618</v>
      </c>
      <c r="C1122" s="18">
        <f>IF(D1121=0,0,MIN(MAX(H1121,0),((MAX(0,'1-Input'!$B$10-IF($A1122&gt;='1-Input'!$C$12,'1-Input'!$B$12,0))-MIN(MAX(G1121,0),MAX(0,'1-Input'!$B$10-IF($A1122&gt;='1-Input'!$C$12,'1-Input'!$B$12,0))))+MAX(0,3*'1-Input'!$B$10-(G1121-MIN(MAX(G1121,0),MAX(0,'1-Input'!$B$10-IF($A1122&gt;='1-Input'!$C$12,'1-Input'!$B$12,0))))))*(1/(1-'P-Parametri'!$B$6*B1122))))</f>
        <v>21330.508207987201</v>
      </c>
      <c r="D1122" s="10">
        <f>IF(AND(D1121=1,G1121+H1121&gt;0.000001,C1122*(1-'P-Parametri'!$B$6*B1122)&gt;=(MAX(0,'1-Input'!$B$10-IF($A1122&gt;='1-Input'!$C$12,'1-Input'!$B$12,0))-MIN(MAX(G1121,0),MAX(0,'1-Input'!$B$10-IF($A1122&gt;='1-Input'!$C$12,'1-Input'!$B$12,0))))-0.000001),1,0)</f>
        <v>1</v>
      </c>
      <c r="E1122" s="18">
        <f>IF(D1122=0,G1121,(G1121-MAX(0,'1-Input'!$B$10-IF($A1122&gt;='1-Input'!$C$12,'1-Input'!$B$12,0))+C1122*(1-'P-Parametri'!$B$6*B1122))*(1+'1-Input'!$B$27))</f>
        <v>59186.159999999996</v>
      </c>
      <c r="F1122" s="18">
        <f t="shared" si="19"/>
        <v>357580.16600412043</v>
      </c>
      <c r="G1122" s="18">
        <f>IF(D1122=0,G1121,E1122-'P-Parametri'!$B$8*(F1122+E1122)+MIN(MAX(F1122,0),'P-Parametri'!$B$8*(F1122+E1122)))</f>
        <v>59186.159999999996</v>
      </c>
      <c r="H1122" s="18">
        <f>IF(D1122=0,H1121,F1122-MIN(MAX(F1122,0),'P-Parametri'!$B$8*(F1122+E1122)))</f>
        <v>356746.6333521122</v>
      </c>
      <c r="I1122" s="18">
        <f t="shared" si="20"/>
        <v>264744.18769205111</v>
      </c>
      <c r="J1122" s="18">
        <f>IF(D1122=0,J1121,J1121+C1122*B1122*'P-Parametri'!$B$6)</f>
        <v>2496.8606564733423</v>
      </c>
      <c r="K1122" s="18">
        <f>IF(D1122=0,K1121,K1121+'P-Parametri'!$B$8*(F1122+E1122))</f>
        <v>1690.6105636730213</v>
      </c>
    </row>
    <row r="1123" spans="1:11">
      <c r="A1123" s="10">
        <f>3</f>
        <v>3</v>
      </c>
      <c r="B1123" s="11">
        <f t="shared" si="18"/>
        <v>0.25789296116287053</v>
      </c>
      <c r="C1123" s="18">
        <f>IF(D1122=0,0,MIN(MAX(H1122,0),((MAX(0,'1-Input'!$B$10-IF($A1123&gt;='1-Input'!$C$12,'1-Input'!$B$12,0))-MIN(MAX(G1122,0),MAX(0,'1-Input'!$B$10-IF($A1123&gt;='1-Input'!$C$12,'1-Input'!$B$12,0))))+MAX(0,3*'1-Input'!$B$10-(G1122-MIN(MAX(G1122,0),MAX(0,'1-Input'!$B$10-IF($A1123&gt;='1-Input'!$C$12,'1-Input'!$B$12,0))))))*(1/(1-'P-Parametri'!$B$6*B1123))))</f>
        <v>21452.260624160634</v>
      </c>
      <c r="D1123" s="10">
        <f>IF(AND(D1122=1,G1122+H1122&gt;0.000001,C1123*(1-'P-Parametri'!$B$6*B1123)&gt;=(MAX(0,'1-Input'!$B$10-IF($A1123&gt;='1-Input'!$C$12,'1-Input'!$B$12,0))-MIN(MAX(G1122,0),MAX(0,'1-Input'!$B$10-IF($A1123&gt;='1-Input'!$C$12,'1-Input'!$B$12,0))))-0.000001),1,0)</f>
        <v>1</v>
      </c>
      <c r="E1123" s="18">
        <f>IF(D1123=0,G1122,(G1122-MAX(0,'1-Input'!$B$10-IF($A1123&gt;='1-Input'!$C$12,'1-Input'!$B$12,0))+C1123*(1-'P-Parametri'!$B$6*B1123))*(1+'1-Input'!$B$27))</f>
        <v>59186.159999999996</v>
      </c>
      <c r="F1123" s="18">
        <f t="shared" si="19"/>
        <v>345353.20390979014</v>
      </c>
      <c r="G1123" s="18">
        <f>IF(D1123=0,G1122,E1123-'P-Parametri'!$B$8*(F1123+E1123)+MIN(MAX(F1123,0),'P-Parametri'!$B$8*(F1123+E1123)))</f>
        <v>59186.159999999996</v>
      </c>
      <c r="H1123" s="18">
        <f>IF(D1123=0,H1122,F1123-MIN(MAX(F1123,0),'P-Parametri'!$B$8*(F1123+E1123)))</f>
        <v>344544.12518197054</v>
      </c>
      <c r="I1123" s="18">
        <f t="shared" si="20"/>
        <v>248824.31408389291</v>
      </c>
      <c r="J1123" s="18">
        <f>IF(D1123=0,J1122,J1122+C1123*B1123*'P-Parametri'!$B$6)</f>
        <v>3935.2812806339753</v>
      </c>
      <c r="K1123" s="18">
        <f>IF(D1123=0,K1122,K1122+'P-Parametri'!$B$8*(F1123+E1123))</f>
        <v>2499.6892914926016</v>
      </c>
    </row>
    <row r="1124" spans="1:11">
      <c r="A1124" s="10">
        <f>4</f>
        <v>4</v>
      </c>
      <c r="B1124" s="11">
        <f t="shared" si="18"/>
        <v>0.27781582706575925</v>
      </c>
      <c r="C1124" s="18">
        <f>IF(D1123=0,0,MIN(MAX(H1123,0),((MAX(0,'1-Input'!$B$10-IF($A1124&gt;='1-Input'!$C$12,'1-Input'!$B$12,0))-MIN(MAX(G1123,0),MAX(0,'1-Input'!$B$10-IF($A1124&gt;='1-Input'!$C$12,'1-Input'!$B$12,0))))+MAX(0,3*'1-Input'!$B$10-(G1123-MIN(MAX(G1123,0),MAX(0,'1-Input'!$B$10-IF($A1124&gt;='1-Input'!$C$12,'1-Input'!$B$12,0))))))*(1/(1-'P-Parametri'!$B$6*B1124))))</f>
        <v>21572.033613558709</v>
      </c>
      <c r="D1124" s="10">
        <f>IF(AND(D1123=1,G1123+H1123&gt;0.000001,C1124*(1-'P-Parametri'!$B$6*B1124)&gt;=(MAX(0,'1-Input'!$B$10-IF($A1124&gt;='1-Input'!$C$12,'1-Input'!$B$12,0))-MIN(MAX(G1123,0),MAX(0,'1-Input'!$B$10-IF($A1124&gt;='1-Input'!$C$12,'1-Input'!$B$12,0))))-0.000001),1,0)</f>
        <v>1</v>
      </c>
      <c r="E1124" s="18">
        <f>IF(D1124=0,G1123,(G1123-MAX(0,'1-Input'!$B$10-IF($A1124&gt;='1-Input'!$C$12,'1-Input'!$B$12,0))+C1124*(1-'P-Parametri'!$B$6*B1124))*(1+'1-Input'!$B$27))</f>
        <v>59186.159999999996</v>
      </c>
      <c r="F1124" s="18">
        <f t="shared" si="19"/>
        <v>332661.25431546423</v>
      </c>
      <c r="G1124" s="18">
        <f>IF(D1124=0,G1123,E1124-'P-Parametri'!$B$8*(F1124+E1124)+MIN(MAX(F1124,0),'P-Parametri'!$B$8*(F1124+E1124)))</f>
        <v>59186.159999999996</v>
      </c>
      <c r="H1124" s="18">
        <f>IF(D1124=0,H1123,F1124-MIN(MAX(F1124,0),'P-Parametri'!$B$8*(F1124+E1124)))</f>
        <v>331877.55948683328</v>
      </c>
      <c r="I1124" s="18">
        <f t="shared" si="20"/>
        <v>233245.33283017538</v>
      </c>
      <c r="J1124" s="18">
        <f>IF(D1124=0,J1123,J1123+C1124*B1124*'P-Parametri'!$B$6)</f>
        <v>5493.47489419268</v>
      </c>
      <c r="K1124" s="18">
        <f>IF(D1124=0,K1123,K1123+'P-Parametri'!$B$8*(F1124+E1124))</f>
        <v>3283.38412012353</v>
      </c>
    </row>
    <row r="1125" spans="1:11">
      <c r="A1125" s="10">
        <f>5</f>
        <v>5</v>
      </c>
      <c r="B1125" s="11">
        <f t="shared" si="18"/>
        <v>0.29719462445477873</v>
      </c>
      <c r="C1125" s="18">
        <f>IF(D1124=0,0,MIN(MAX(H1124,0),((MAX(0,'1-Input'!$B$10-IF($A1125&gt;='1-Input'!$C$12,'1-Input'!$B$12,0))-MIN(MAX(G1124,0),MAX(0,'1-Input'!$B$10-IF($A1125&gt;='1-Input'!$C$12,'1-Input'!$B$12,0))))+MAX(0,3*'1-Input'!$B$10-(G1124-MIN(MAX(G1124,0),MAX(0,'1-Input'!$B$10-IF($A1125&gt;='1-Input'!$C$12,'1-Input'!$B$12,0))))))*(1/(1-'P-Parametri'!$B$6*B1125))))</f>
        <v>21689.825913371646</v>
      </c>
      <c r="D1125" s="10">
        <f>IF(AND(D1124=1,G1124+H1124&gt;0.000001,C1125*(1-'P-Parametri'!$B$6*B1125)&gt;=(MAX(0,'1-Input'!$B$10-IF($A1125&gt;='1-Input'!$C$12,'1-Input'!$B$12,0))-MIN(MAX(G1124,0),MAX(0,'1-Input'!$B$10-IF($A1125&gt;='1-Input'!$C$12,'1-Input'!$B$12,0))))-0.000001),1,0)</f>
        <v>1</v>
      </c>
      <c r="E1125" s="18">
        <f>IF(D1125=0,G1124,(G1124-MAX(0,'1-Input'!$B$10-IF($A1125&gt;='1-Input'!$C$12,'1-Input'!$B$12,0))+C1125*(1-'P-Parametri'!$B$6*B1125))*(1+'1-Input'!$B$27))</f>
        <v>59186.159999999996</v>
      </c>
      <c r="F1125" s="18">
        <f t="shared" si="19"/>
        <v>319493.36558066553</v>
      </c>
      <c r="G1125" s="18">
        <f>IF(D1125=0,G1124,E1125-'P-Parametri'!$B$8*(F1125+E1125)+MIN(MAX(F1125,0),'P-Parametri'!$B$8*(F1125+E1125)))</f>
        <v>59186.159999999996</v>
      </c>
      <c r="H1125" s="18">
        <f>IF(D1125=0,H1124,F1125-MIN(MAX(F1125,0),'P-Parametri'!$B$8*(F1125+E1125)))</f>
        <v>318736.0065295042</v>
      </c>
      <c r="I1125" s="18">
        <f t="shared" si="20"/>
        <v>218001.60658361774</v>
      </c>
      <c r="J1125" s="18">
        <f>IF(D1125=0,J1124,J1124+C1125*B1125*'P-Parametri'!$B$6)</f>
        <v>7169.4608075643237</v>
      </c>
      <c r="K1125" s="18">
        <f>IF(D1125=0,K1124,K1124+'P-Parametri'!$B$8*(F1125+E1125))</f>
        <v>4040.7431712848611</v>
      </c>
    </row>
    <row r="1126" spans="1:11">
      <c r="A1126" s="10">
        <f>6</f>
        <v>6</v>
      </c>
      <c r="B1126" s="11">
        <f t="shared" si="18"/>
        <v>0.31604336467258165</v>
      </c>
      <c r="C1126" s="18">
        <f>IF(D1125=0,0,MIN(MAX(H1125,0),((MAX(0,'1-Input'!$B$10-IF($A1126&gt;='1-Input'!$C$12,'1-Input'!$B$12,0))-MIN(MAX(G1125,0),MAX(0,'1-Input'!$B$10-IF($A1126&gt;='1-Input'!$C$12,'1-Input'!$B$12,0))))+MAX(0,3*'1-Input'!$B$10-(G1125-MIN(MAX(G1125,0),MAX(0,'1-Input'!$B$10-IF($A1126&gt;='1-Input'!$C$12,'1-Input'!$B$12,0))))))*(1/(1-'P-Parametri'!$B$6*B1126))))</f>
        <v>21805.636989584469</v>
      </c>
      <c r="D1126" s="10">
        <f>IF(AND(D1125=1,G1125+H1125&gt;0.000001,C1126*(1-'P-Parametri'!$B$6*B1126)&gt;=(MAX(0,'1-Input'!$B$10-IF($A1126&gt;='1-Input'!$C$12,'1-Input'!$B$12,0))-MIN(MAX(G1125,0),MAX(0,'1-Input'!$B$10-IF($A1126&gt;='1-Input'!$C$12,'1-Input'!$B$12,0))))-0.000001),1,0)</f>
        <v>1</v>
      </c>
      <c r="E1126" s="18">
        <f>IF(D1126=0,G1125,(G1125-MAX(0,'1-Input'!$B$10-IF($A1126&gt;='1-Input'!$C$12,'1-Input'!$B$12,0))+C1126*(1-'P-Parametri'!$B$6*B1126))*(1+'1-Input'!$B$27))</f>
        <v>59186.159999999996</v>
      </c>
      <c r="F1126" s="18">
        <f t="shared" si="19"/>
        <v>305838.28062611731</v>
      </c>
      <c r="G1126" s="18">
        <f>IF(D1126=0,G1125,E1126-'P-Parametri'!$B$8*(F1126+E1126)+MIN(MAX(F1126,0),'P-Parametri'!$B$8*(F1126+E1126)))</f>
        <v>59186.159999999996</v>
      </c>
      <c r="H1126" s="18">
        <f>IF(D1126=0,H1125,F1126-MIN(MAX(F1126,0),'P-Parametri'!$B$8*(F1126+E1126)))</f>
        <v>305108.23174486507</v>
      </c>
      <c r="I1126" s="18">
        <f t="shared" si="20"/>
        <v>203087.49647705044</v>
      </c>
      <c r="J1126" s="18">
        <f>IF(D1126=0,J1125,J1125+C1126*B1126*'P-Parametri'!$B$6)</f>
        <v>8961.2577971487899</v>
      </c>
      <c r="K1126" s="18">
        <f>IF(D1126=0,K1125,K1125+'P-Parametri'!$B$8*(F1126+E1126))</f>
        <v>4770.7920525370955</v>
      </c>
    </row>
    <row r="1127" spans="1:11">
      <c r="A1127" s="10">
        <f>7</f>
        <v>7</v>
      </c>
      <c r="B1127" s="11">
        <f t="shared" si="18"/>
        <v>0.33437555809089253</v>
      </c>
      <c r="C1127" s="18">
        <f>IF(D1126=0,0,MIN(MAX(H1126,0),((MAX(0,'1-Input'!$B$10-IF($A1127&gt;='1-Input'!$C$12,'1-Input'!$B$12,0))-MIN(MAX(G1126,0),MAX(0,'1-Input'!$B$10-IF($A1127&gt;='1-Input'!$C$12,'1-Input'!$B$12,0))))+MAX(0,3*'1-Input'!$B$10-(G1126-MIN(MAX(G1126,0),MAX(0,'1-Input'!$B$10-IF($A1127&gt;='1-Input'!$C$12,'1-Input'!$B$12,0))))))*(1/(1-'P-Parametri'!$B$6*B1127))))</f>
        <v>21919.46682794908</v>
      </c>
      <c r="D1127" s="10">
        <f>IF(AND(D1126=1,G1126+H1126&gt;0.000001,C1127*(1-'P-Parametri'!$B$6*B1127)&gt;=(MAX(0,'1-Input'!$B$10-IF($A1127&gt;='1-Input'!$C$12,'1-Input'!$B$12,0))-MIN(MAX(G1126,0),MAX(0,'1-Input'!$B$10-IF($A1127&gt;='1-Input'!$C$12,'1-Input'!$B$12,0))))-0.000001),1,0)</f>
        <v>1</v>
      </c>
      <c r="E1127" s="18">
        <f>IF(D1127=0,G1126,(G1126-MAX(0,'1-Input'!$B$10-IF($A1127&gt;='1-Input'!$C$12,'1-Input'!$B$12,0))+C1127*(1-'P-Parametri'!$B$6*B1127))*(1+'1-Input'!$B$27))</f>
        <v>59186.159999999996</v>
      </c>
      <c r="F1127" s="18">
        <f t="shared" si="19"/>
        <v>291684.42786442343</v>
      </c>
      <c r="G1127" s="18">
        <f>IF(D1127=0,G1126,E1127-'P-Parametri'!$B$8*(F1127+E1127)+MIN(MAX(F1127,0),'P-Parametri'!$B$8*(F1127+E1127)))</f>
        <v>59186.159999999996</v>
      </c>
      <c r="H1127" s="18">
        <f>IF(D1127=0,H1126,F1127-MIN(MAX(F1127,0),'P-Parametri'!$B$8*(F1127+E1127)))</f>
        <v>290982.68668869458</v>
      </c>
      <c r="I1127" s="18">
        <f t="shared" si="20"/>
        <v>188497.36360275163</v>
      </c>
      <c r="J1127" s="18">
        <f>IF(D1127=0,J1126,J1126+C1127*B1127*'P-Parametri'!$B$6)</f>
        <v>10866.884625097862</v>
      </c>
      <c r="K1127" s="18">
        <f>IF(D1127=0,K1126,K1126+'P-Parametri'!$B$8*(F1127+E1127))</f>
        <v>5472.5332282659419</v>
      </c>
    </row>
    <row r="1128" spans="1:11">
      <c r="A1128" s="10">
        <f>8</f>
        <v>8</v>
      </c>
      <c r="B1128" s="11">
        <f t="shared" si="18"/>
        <v>0.35220419555609511</v>
      </c>
      <c r="C1128" s="18">
        <f>IF(D1127=0,0,MIN(MAX(H1127,0),((MAX(0,'1-Input'!$B$10-IF($A1128&gt;='1-Input'!$C$12,'1-Input'!$B$12,0))-MIN(MAX(G1127,0),MAX(0,'1-Input'!$B$10-IF($A1128&gt;='1-Input'!$C$12,'1-Input'!$B$12,0))))+MAX(0,3*'1-Input'!$B$10-(G1127-MIN(MAX(G1127,0),MAX(0,'1-Input'!$B$10-IF($A1128&gt;='1-Input'!$C$12,'1-Input'!$B$12,0))))))*(1/(1-'P-Parametri'!$B$6*B1128))))</f>
        <v>22031.315671403128</v>
      </c>
      <c r="D1128" s="10">
        <f>IF(AND(D1127=1,G1127+H1127&gt;0.000001,C1128*(1-'P-Parametri'!$B$6*B1128)&gt;=(MAX(0,'1-Input'!$B$10-IF($A1128&gt;='1-Input'!$C$12,'1-Input'!$B$12,0))-MIN(MAX(G1127,0),MAX(0,'1-Input'!$B$10-IF($A1128&gt;='1-Input'!$C$12,'1-Input'!$B$12,0))))-0.000001),1,0)</f>
        <v>1</v>
      </c>
      <c r="E1128" s="18">
        <f>IF(D1128=0,G1127,(G1127-MAX(0,'1-Input'!$B$10-IF($A1128&gt;='1-Input'!$C$12,'1-Input'!$B$12,0))+C1128*(1-'P-Parametri'!$B$6*B1128))*(1+'1-Input'!$B$27))</f>
        <v>59186.159999999996</v>
      </c>
      <c r="F1128" s="18">
        <f t="shared" si="19"/>
        <v>277019.91214781022</v>
      </c>
      <c r="G1128" s="18">
        <f>IF(D1128=0,G1127,E1128-'P-Parametri'!$B$8*(F1128+E1128)+MIN(MAX(F1128,0),'P-Parametri'!$B$8*(F1128+E1128)))</f>
        <v>59186.159999999996</v>
      </c>
      <c r="H1128" s="18">
        <f>IF(D1128=0,H1127,F1128-MIN(MAX(F1128,0),'P-Parametri'!$B$8*(F1128+E1128)))</f>
        <v>276347.50000351458</v>
      </c>
      <c r="I1128" s="18">
        <f t="shared" si="20"/>
        <v>174225.56974443744</v>
      </c>
      <c r="J1128" s="18">
        <f>IF(D1128=0,J1127,J1127+C1128*B1128*'P-Parametri'!$B$6)</f>
        <v>12884.360296500985</v>
      </c>
      <c r="K1128" s="18">
        <f>IF(D1128=0,K1127,K1127+'P-Parametri'!$B$8*(F1128+E1128))</f>
        <v>6144.9453725615622</v>
      </c>
    </row>
    <row r="1129" spans="1:11">
      <c r="A1129" s="10">
        <f>9</f>
        <v>9</v>
      </c>
      <c r="B1129" s="11">
        <f t="shared" si="18"/>
        <v>0.36954171924037077</v>
      </c>
      <c r="C1129" s="18">
        <f>IF(D1128=0,0,MIN(MAX(H1128,0),((MAX(0,'1-Input'!$B$10-IF($A1129&gt;='1-Input'!$C$12,'1-Input'!$B$12,0))-MIN(MAX(G1128,0),MAX(0,'1-Input'!$B$10-IF($A1129&gt;='1-Input'!$C$12,'1-Input'!$B$12,0))))+MAX(0,3*'1-Input'!$B$10-(G1128-MIN(MAX(G1128,0),MAX(0,'1-Input'!$B$10-IF($A1129&gt;='1-Input'!$C$12,'1-Input'!$B$12,0))))))*(1/(1-'P-Parametri'!$B$6*B1129))))</f>
        <v>22141.183681783627</v>
      </c>
      <c r="D1129" s="10">
        <f>IF(AND(D1128=1,G1128+H1128&gt;0.000001,C1129*(1-'P-Parametri'!$B$6*B1129)&gt;=(MAX(0,'1-Input'!$B$10-IF($A1129&gt;='1-Input'!$C$12,'1-Input'!$B$12,0))-MIN(MAX(G1128,0),MAX(0,'1-Input'!$B$10-IF($A1129&gt;='1-Input'!$C$12,'1-Input'!$B$12,0))))-0.000001),1,0)</f>
        <v>1</v>
      </c>
      <c r="E1129" s="18">
        <f>IF(D1129=0,G1128,(G1128-MAX(0,'1-Input'!$B$10-IF($A1129&gt;='1-Input'!$C$12,'1-Input'!$B$12,0))+C1129*(1-'P-Parametri'!$B$6*B1129))*(1+'1-Input'!$B$27))</f>
        <v>59186.159999999996</v>
      </c>
      <c r="F1129" s="18">
        <f t="shared" si="19"/>
        <v>261832.5058113829</v>
      </c>
      <c r="G1129" s="18">
        <f>IF(D1129=0,G1128,E1129-'P-Parametri'!$B$8*(F1129+E1129)+MIN(MAX(F1129,0),'P-Parametri'!$B$8*(F1129+E1129)))</f>
        <v>59186.159999999996</v>
      </c>
      <c r="H1129" s="18">
        <f>IF(D1129=0,H1128,F1129-MIN(MAX(F1129,0),'P-Parametri'!$B$8*(F1129+E1129)))</f>
        <v>261190.46847976014</v>
      </c>
      <c r="I1129" s="18">
        <f t="shared" si="20"/>
        <v>160266.47714643698</v>
      </c>
      <c r="J1129" s="18">
        <f>IF(D1129=0,J1128,J1128+C1129*B1129*'P-Parametri'!$B$6)</f>
        <v>15011.703978284608</v>
      </c>
      <c r="K1129" s="18">
        <f>IF(D1129=0,K1128,K1128+'P-Parametri'!$B$8*(F1129+E1129))</f>
        <v>6786.9827041843282</v>
      </c>
    </row>
    <row r="1130" spans="1:11">
      <c r="A1130" s="10">
        <f>10</f>
        <v>10</v>
      </c>
      <c r="B1130" s="11">
        <f t="shared" si="18"/>
        <v>0.38639997822563665</v>
      </c>
      <c r="C1130" s="18">
        <f>IF(D1129=0,0,MIN(MAX(H1129,0),((MAX(0,'1-Input'!$B$10-IF($A1130&gt;='1-Input'!$C$12,'1-Input'!$B$12,0))-MIN(MAX(G1129,0),MAX(0,'1-Input'!$B$10-IF($A1130&gt;='1-Input'!$C$12,'1-Input'!$B$12,0))))+MAX(0,3*'1-Input'!$B$10-(G1129-MIN(MAX(G1129,0),MAX(0,'1-Input'!$B$10-IF($A1130&gt;='1-Input'!$C$12,'1-Input'!$B$12,0))))))*(1/(1-'P-Parametri'!$B$6*B1130))))</f>
        <v>22249.070491943152</v>
      </c>
      <c r="D1130" s="10">
        <f>IF(AND(D1129=1,G1129+H1129&gt;0.000001,C1130*(1-'P-Parametri'!$B$6*B1130)&gt;=(MAX(0,'1-Input'!$B$10-IF($A1130&gt;='1-Input'!$C$12,'1-Input'!$B$12,0))-MIN(MAX(G1129,0),MAX(0,'1-Input'!$B$10-IF($A1130&gt;='1-Input'!$C$12,'1-Input'!$B$12,0))))-0.000001),1,0)</f>
        <v>1</v>
      </c>
      <c r="E1130" s="18">
        <f>IF(D1130=0,G1129,(G1129-MAX(0,'1-Input'!$B$10-IF($A1130&gt;='1-Input'!$C$12,'1-Input'!$B$12,0))+C1130*(1-'P-Parametri'!$B$6*B1130))*(1+'1-Input'!$B$27))</f>
        <v>59186.159999999996</v>
      </c>
      <c r="F1130" s="18">
        <f t="shared" si="19"/>
        <v>246109.6399274515</v>
      </c>
      <c r="G1130" s="18">
        <f>IF(D1130=0,G1129,E1130-'P-Parametri'!$B$8*(F1130+E1130)+MIN(MAX(F1130,0),'P-Parametri'!$B$8*(F1130+E1130)))</f>
        <v>59186.159999999996</v>
      </c>
      <c r="H1130" s="18">
        <f>IF(D1130=0,H1129,F1130-MIN(MAX(F1130,0),'P-Parametri'!$B$8*(F1130+E1130)))</f>
        <v>245499.0483275966</v>
      </c>
      <c r="I1130" s="18">
        <f t="shared" si="20"/>
        <v>146614.44700812132</v>
      </c>
      <c r="J1130" s="18">
        <f>IF(D1130=0,J1129,J1129+C1130*B1130*'P-Parametri'!$B$6)</f>
        <v>17246.934470227756</v>
      </c>
      <c r="K1130" s="18">
        <f>IF(D1130=0,K1129,K1129+'P-Parametri'!$B$8*(F1130+E1130))</f>
        <v>7397.5743040392308</v>
      </c>
    </row>
    <row r="1131" spans="1:11">
      <c r="A1131" s="10">
        <f>11</f>
        <v>11</v>
      </c>
      <c r="B1131" s="11">
        <f t="shared" si="18"/>
        <v>0.40279016148169577</v>
      </c>
      <c r="C1131" s="18">
        <f>IF(D1130=0,0,MIN(MAX(H1130,0),((MAX(0,'1-Input'!$B$10-IF($A1131&gt;='1-Input'!$C$12,'1-Input'!$B$12,0))-MIN(MAX(G1130,0),MAX(0,'1-Input'!$B$10-IF($A1131&gt;='1-Input'!$C$12,'1-Input'!$B$12,0))))+MAX(0,3*'1-Input'!$B$10-(G1130-MIN(MAX(G1130,0),MAX(0,'1-Input'!$B$10-IF($A1131&gt;='1-Input'!$C$12,'1-Input'!$B$12,0))))))*(1/(1-'P-Parametri'!$B$6*B1131))))</f>
        <v>22354.974595033746</v>
      </c>
      <c r="D1131" s="10">
        <f>IF(AND(D1130=1,G1130+H1130&gt;0.000001,C1131*(1-'P-Parametri'!$B$6*B1131)&gt;=(MAX(0,'1-Input'!$B$10-IF($A1131&gt;='1-Input'!$C$12,'1-Input'!$B$12,0))-MIN(MAX(G1130,0),MAX(0,'1-Input'!$B$10-IF($A1131&gt;='1-Input'!$C$12,'1-Input'!$B$12,0))))-0.000001),1,0)</f>
        <v>1</v>
      </c>
      <c r="E1131" s="18">
        <f>IF(D1131=0,G1130,(G1130-MAX(0,'1-Input'!$B$10-IF($A1131&gt;='1-Input'!$C$12,'1-Input'!$B$12,0))+C1131*(1-'P-Parametri'!$B$6*B1131))*(1+'1-Input'!$B$27))</f>
        <v>59186.159999999996</v>
      </c>
      <c r="F1131" s="18">
        <f t="shared" si="19"/>
        <v>229838.39594453975</v>
      </c>
      <c r="G1131" s="18">
        <f>IF(D1131=0,G1130,E1131-'P-Parametri'!$B$8*(F1131+E1131)+MIN(MAX(F1131,0),'P-Parametri'!$B$8*(F1131+E1131)))</f>
        <v>59186.159999999996</v>
      </c>
      <c r="H1131" s="18">
        <f>IF(D1131=0,H1130,F1131-MIN(MAX(F1131,0),'P-Parametri'!$B$8*(F1131+E1131)))</f>
        <v>229260.34683265066</v>
      </c>
      <c r="I1131" s="18">
        <f t="shared" si="20"/>
        <v>133263.83624014043</v>
      </c>
      <c r="J1131" s="18">
        <f>IF(D1131=0,J1130,J1130+C1131*B1131*'P-Parametri'!$B$6)</f>
        <v>19588.069065261498</v>
      </c>
      <c r="K1131" s="18">
        <f>IF(D1131=0,K1130,K1130+'P-Parametri'!$B$8*(F1131+E1131))</f>
        <v>7975.6234159283104</v>
      </c>
    </row>
    <row r="1132" spans="1:11">
      <c r="A1132" s="10">
        <f>12</f>
        <v>12</v>
      </c>
      <c r="B1132" s="11">
        <f t="shared" si="18"/>
        <v>0.41872269635264575</v>
      </c>
      <c r="C1132" s="18">
        <f>IF(D1131=0,0,MIN(MAX(H1131,0),((MAX(0,'1-Input'!$B$10-IF($A1132&gt;='1-Input'!$C$12,'1-Input'!$B$12,0))-MIN(MAX(G1131,0),MAX(0,'1-Input'!$B$10-IF($A1132&gt;='1-Input'!$C$12,'1-Input'!$B$12,0))))+MAX(0,3*'1-Input'!$B$10-(G1131-MIN(MAX(G1131,0),MAX(0,'1-Input'!$B$10-IF($A1132&gt;='1-Input'!$C$12,'1-Input'!$B$12,0))))))*(1/(1-'P-Parametri'!$B$6*B1132))))</f>
        <v>22458.892484761516</v>
      </c>
      <c r="D1132" s="10">
        <f>IF(AND(D1131=1,G1131+H1131&gt;0.000001,C1132*(1-'P-Parametri'!$B$6*B1132)&gt;=(MAX(0,'1-Input'!$B$10-IF($A1132&gt;='1-Input'!$C$12,'1-Input'!$B$12,0))-MIN(MAX(G1131,0),MAX(0,'1-Input'!$B$10-IF($A1132&gt;='1-Input'!$C$12,'1-Input'!$B$12,0))))-0.000001),1,0)</f>
        <v>1</v>
      </c>
      <c r="E1132" s="18">
        <f>IF(D1132=0,G1131,(G1131-MAX(0,'1-Input'!$B$10-IF($A1132&gt;='1-Input'!$C$12,'1-Input'!$B$12,0))+C1132*(1-'P-Parametri'!$B$6*B1132))*(1+'1-Input'!$B$27))</f>
        <v>59186.159999999996</v>
      </c>
      <c r="F1132" s="18">
        <f t="shared" si="19"/>
        <v>213005.49797832582</v>
      </c>
      <c r="G1132" s="18">
        <f>IF(D1132=0,G1131,E1132-'P-Parametri'!$B$8*(F1132+E1132)+MIN(MAX(F1132,0),'P-Parametri'!$B$8*(F1132+E1132)))</f>
        <v>59186.159999999996</v>
      </c>
      <c r="H1132" s="18">
        <f>IF(D1132=0,H1131,F1132-MIN(MAX(F1132,0),'P-Parametri'!$B$8*(F1132+E1132)))</f>
        <v>212461.11466236916</v>
      </c>
      <c r="I1132" s="18">
        <f t="shared" si="20"/>
        <v>120208.99177369243</v>
      </c>
      <c r="J1132" s="18">
        <f>IF(D1132=0,J1131,J1131+C1132*B1132*'P-Parametri'!$B$6)</f>
        <v>22033.12155002301</v>
      </c>
      <c r="K1132" s="18">
        <f>IF(D1132=0,K1131,K1131+'P-Parametri'!$B$8*(F1132+E1132))</f>
        <v>8520.0067318849615</v>
      </c>
    </row>
    <row r="1133" spans="1:11">
      <c r="A1133" s="10">
        <f>13</f>
        <v>13</v>
      </c>
      <c r="B1133" s="11">
        <f t="shared" si="18"/>
        <v>0.43420709260270257</v>
      </c>
      <c r="C1133" s="18">
        <f>IF(D1132=0,0,MIN(MAX(H1132,0),((MAX(0,'1-Input'!$B$10-IF($A1133&gt;='1-Input'!$C$12,'1-Input'!$B$12,0))-MIN(MAX(G1132,0),MAX(0,'1-Input'!$B$10-IF($A1133&gt;='1-Input'!$C$12,'1-Input'!$B$12,0))))+MAX(0,3*'1-Input'!$B$10-(G1132-MIN(MAX(G1132,0),MAX(0,'1-Input'!$B$10-IF($A1133&gt;='1-Input'!$C$12,'1-Input'!$B$12,0))))))*(1/(1-'P-Parametri'!$B$6*B1133))))</f>
        <v>22560.817402027453</v>
      </c>
      <c r="D1133" s="10">
        <f>IF(AND(D1132=1,G1132+H1132&gt;0.000001,C1133*(1-'P-Parametri'!$B$6*B1133)&gt;=(MAX(0,'1-Input'!$B$10-IF($A1133&gt;='1-Input'!$C$12,'1-Input'!$B$12,0))-MIN(MAX(G1132,0),MAX(0,'1-Input'!$B$10-IF($A1133&gt;='1-Input'!$C$12,'1-Input'!$B$12,0))))-0.000001),1,0)</f>
        <v>1</v>
      </c>
      <c r="E1133" s="18">
        <f>IF(D1133=0,G1132,(G1132-MAX(0,'1-Input'!$B$10-IF($A1133&gt;='1-Input'!$C$12,'1-Input'!$B$12,0))+C1133*(1-'P-Parametri'!$B$6*B1133))*(1+'1-Input'!$B$27))</f>
        <v>59186.159999999996</v>
      </c>
      <c r="F1133" s="18">
        <f t="shared" si="19"/>
        <v>195597.30617815195</v>
      </c>
      <c r="G1133" s="18">
        <f>IF(D1133=0,G1132,E1133-'P-Parametri'!$B$8*(F1133+E1133)+MIN(MAX(F1133,0),'P-Parametri'!$B$8*(F1133+E1133)))</f>
        <v>59186.159999999996</v>
      </c>
      <c r="H1133" s="18">
        <f>IF(D1133=0,H1132,F1133-MIN(MAX(F1133,0),'P-Parametri'!$B$8*(F1133+E1133)))</f>
        <v>195087.73924579564</v>
      </c>
      <c r="I1133" s="18">
        <f t="shared" si="20"/>
        <v>107444.24130253977</v>
      </c>
      <c r="J1133" s="18">
        <f>IF(D1133=0,J1132,J1132+C1133*B1133*'P-Parametri'!$B$6)</f>
        <v>24580.098952050459</v>
      </c>
      <c r="K1133" s="18">
        <f>IF(D1133=0,K1132,K1132+'P-Parametri'!$B$8*(F1133+E1133))</f>
        <v>9029.5736642412649</v>
      </c>
    </row>
    <row r="1134" spans="1:11">
      <c r="A1134" s="10">
        <f>14</f>
        <v>14</v>
      </c>
      <c r="B1134" s="11">
        <f t="shared" si="18"/>
        <v>0.44925169711886281</v>
      </c>
      <c r="C1134" s="18">
        <f>IF(D1133=0,0,MIN(MAX(H1133,0),((MAX(0,'1-Input'!$B$10-IF($A1134&gt;='1-Input'!$C$12,'1-Input'!$B$12,0))-MIN(MAX(G1133,0),MAX(0,'1-Input'!$B$10-IF($A1134&gt;='1-Input'!$C$12,'1-Input'!$B$12,0))))+MAX(0,3*'1-Input'!$B$10-(G1133-MIN(MAX(G1133,0),MAX(0,'1-Input'!$B$10-IF($A1134&gt;='1-Input'!$C$12,'1-Input'!$B$12,0))))))*(1/(1-'P-Parametri'!$B$6*B1134))))</f>
        <v>22660.737435188028</v>
      </c>
      <c r="D1134" s="10">
        <f>IF(AND(D1133=1,G1133+H1133&gt;0.000001,C1134*(1-'P-Parametri'!$B$6*B1134)&gt;=(MAX(0,'1-Input'!$B$10-IF($A1134&gt;='1-Input'!$C$12,'1-Input'!$B$12,0))-MIN(MAX(G1133,0),MAX(0,'1-Input'!$B$10-IF($A1134&gt;='1-Input'!$C$12,'1-Input'!$B$12,0))))-0.000001),1,0)</f>
        <v>1</v>
      </c>
      <c r="E1134" s="18">
        <f>IF(D1134=0,G1133,(G1133-MAX(0,'1-Input'!$B$10-IF($A1134&gt;='1-Input'!$C$12,'1-Input'!$B$12,0))+C1134*(1-'P-Parametri'!$B$6*B1134))*(1+'1-Input'!$B$27))</f>
        <v>59186.159999999996</v>
      </c>
      <c r="F1134" s="18">
        <f t="shared" si="19"/>
        <v>177599.81186492584</v>
      </c>
      <c r="G1134" s="18">
        <f>IF(D1134=0,G1133,E1134-'P-Parametri'!$B$8*(F1134+E1134)+MIN(MAX(F1134,0),'P-Parametri'!$B$8*(F1134+E1134)))</f>
        <v>59186.159999999996</v>
      </c>
      <c r="H1134" s="18">
        <f>IF(D1134=0,H1133,F1134-MIN(MAX(F1134,0),'P-Parametri'!$B$8*(F1134+E1134)))</f>
        <v>177126.23992119599</v>
      </c>
      <c r="I1134" s="18">
        <f t="shared" si="20"/>
        <v>94963.878618074901</v>
      </c>
      <c r="J1134" s="18">
        <f>IF(D1134=0,J1133,J1133+C1134*B1134*'P-Parametri'!$B$6)</f>
        <v>27226.996387238483</v>
      </c>
      <c r="K1134" s="18">
        <f>IF(D1134=0,K1133,K1133+'P-Parametri'!$B$8*(F1134+E1134))</f>
        <v>9503.145607971117</v>
      </c>
    </row>
    <row r="1135" spans="1:11">
      <c r="A1135" s="10">
        <f>15</f>
        <v>15</v>
      </c>
      <c r="B1135" s="11">
        <f t="shared" si="18"/>
        <v>0.46386329512598118</v>
      </c>
      <c r="C1135" s="18">
        <f>IF(D1134=0,0,MIN(MAX(H1134,0),((MAX(0,'1-Input'!$B$10-IF($A1135&gt;='1-Input'!$C$12,'1-Input'!$B$12,0))-MIN(MAX(G1134,0),MAX(0,'1-Input'!$B$10-IF($A1135&gt;='1-Input'!$C$12,'1-Input'!$B$12,0))))+MAX(0,3*'1-Input'!$B$10-(G1134-MIN(MAX(G1134,0),MAX(0,'1-Input'!$B$10-IF($A1135&gt;='1-Input'!$C$12,'1-Input'!$B$12,0))))))*(1/(1-'P-Parametri'!$B$6*B1135))))</f>
        <v>22758.632509828258</v>
      </c>
      <c r="D1135" s="10">
        <f>IF(AND(D1134=1,G1134+H1134&gt;0.000001,C1135*(1-'P-Parametri'!$B$6*B1135)&gt;=(MAX(0,'1-Input'!$B$10-IF($A1135&gt;='1-Input'!$C$12,'1-Input'!$B$12,0))-MIN(MAX(G1134,0),MAX(0,'1-Input'!$B$10-IF($A1135&gt;='1-Input'!$C$12,'1-Input'!$B$12,0))))-0.000001),1,0)</f>
        <v>1</v>
      </c>
      <c r="E1135" s="18">
        <f>IF(D1135=0,G1134,(G1134-MAX(0,'1-Input'!$B$10-IF($A1135&gt;='1-Input'!$C$12,'1-Input'!$B$12,0))+C1135*(1-'P-Parametri'!$B$6*B1135))*(1+'1-Input'!$B$27))</f>
        <v>59186.159999999996</v>
      </c>
      <c r="F1135" s="18">
        <f t="shared" si="19"/>
        <v>158998.63563370876</v>
      </c>
      <c r="G1135" s="18">
        <f>IF(D1135=0,G1134,E1135-'P-Parametri'!$B$8*(F1135+E1135)+MIN(MAX(F1135,0),'P-Parametri'!$B$8*(F1135+E1135)))</f>
        <v>59186.159999999996</v>
      </c>
      <c r="H1135" s="18">
        <f>IF(D1135=0,H1134,F1135-MIN(MAX(F1135,0),'P-Parametri'!$B$8*(F1135+E1135)))</f>
        <v>158562.26604244133</v>
      </c>
      <c r="I1135" s="18">
        <f t="shared" si="20"/>
        <v>82762.140376816853</v>
      </c>
      <c r="J1135" s="18">
        <f>IF(D1135=0,J1134,J1134+C1135*B1135*'P-Parametri'!$B$6)</f>
        <v>29971.788897066741</v>
      </c>
      <c r="K1135" s="18">
        <f>IF(D1135=0,K1134,K1134+'P-Parametri'!$B$8*(F1135+E1135))</f>
        <v>9939.5151992385345</v>
      </c>
    </row>
    <row r="1136" spans="1:11">
      <c r="A1136" s="10">
        <f>16</f>
        <v>16</v>
      </c>
      <c r="B1136" s="11">
        <f t="shared" si="18"/>
        <v>0.47804643284635923</v>
      </c>
      <c r="C1136" s="18">
        <f>IF(D1135=0,0,MIN(MAX(H1135,0),((MAX(0,'1-Input'!$B$10-IF($A1136&gt;='1-Input'!$C$12,'1-Input'!$B$12,0))-MIN(MAX(G1135,0),MAX(0,'1-Input'!$B$10-IF($A1136&gt;='1-Input'!$C$12,'1-Input'!$B$12,0))))+MAX(0,3*'1-Input'!$B$10-(G1135-MIN(MAX(G1135,0),MAX(0,'1-Input'!$B$10-IF($A1136&gt;='1-Input'!$C$12,'1-Input'!$B$12,0))))))*(1/(1-'P-Parametri'!$B$6*B1136))))</f>
        <v>22854.469364062486</v>
      </c>
      <c r="D1136" s="10">
        <f>IF(AND(D1135=1,G1135+H1135&gt;0.000001,C1136*(1-'P-Parametri'!$B$6*B1136)&gt;=(MAX(0,'1-Input'!$B$10-IF($A1136&gt;='1-Input'!$C$12,'1-Input'!$B$12,0))-MIN(MAX(G1135,0),MAX(0,'1-Input'!$B$10-IF($A1136&gt;='1-Input'!$C$12,'1-Input'!$B$12,0))))-0.000001),1,0)</f>
        <v>1</v>
      </c>
      <c r="E1136" s="18">
        <f>IF(D1136=0,G1135,(G1135-MAX(0,'1-Input'!$B$10-IF($A1136&gt;='1-Input'!$C$12,'1-Input'!$B$12,0))+C1136*(1-'P-Parametri'!$B$6*B1136))*(1+'1-Input'!$B$27))</f>
        <v>59186.159999999996</v>
      </c>
      <c r="F1136" s="18">
        <f t="shared" si="19"/>
        <v>139779.03057873022</v>
      </c>
      <c r="G1136" s="18">
        <f>IF(D1136=0,G1135,E1136-'P-Parametri'!$B$8*(F1136+E1136)+MIN(MAX(F1136,0),'P-Parametri'!$B$8*(F1136+E1136)))</f>
        <v>59186.159999999996</v>
      </c>
      <c r="H1136" s="18">
        <f>IF(D1136=0,H1135,F1136-MIN(MAX(F1136,0),'P-Parametri'!$B$8*(F1136+E1136)))</f>
        <v>139381.10019757276</v>
      </c>
      <c r="I1136" s="18">
        <f t="shared" si="20"/>
        <v>70833.168566840832</v>
      </c>
      <c r="J1136" s="18">
        <f>IF(D1136=0,J1135,J1135+C1136*B1136*'P-Parametri'!$B$6)</f>
        <v>32812.418261129227</v>
      </c>
      <c r="K1136" s="18">
        <f>IF(D1136=0,K1135,K1135+'P-Parametri'!$B$8*(F1136+E1136))</f>
        <v>10337.445580395995</v>
      </c>
    </row>
    <row r="1137" spans="1:11">
      <c r="A1137" s="10">
        <f>17</f>
        <v>17</v>
      </c>
      <c r="B1137" s="11">
        <f t="shared" si="18"/>
        <v>0.49180219939120301</v>
      </c>
      <c r="C1137" s="18">
        <f>IF(D1136=0,0,MIN(MAX(H1136,0),((MAX(0,'1-Input'!$B$10-IF($A1137&gt;='1-Input'!$C$12,'1-Input'!$B$12,0))-MIN(MAX(G1136,0),MAX(0,'1-Input'!$B$10-IF($A1137&gt;='1-Input'!$C$12,'1-Input'!$B$12,0))))+MAX(0,3*'1-Input'!$B$10-(G1136-MIN(MAX(G1136,0),MAX(0,'1-Input'!$B$10-IF($A1137&gt;='1-Input'!$C$12,'1-Input'!$B$12,0))))))*(1/(1-'P-Parametri'!$B$6*B1137))))</f>
        <v>22948.192616179404</v>
      </c>
      <c r="D1137" s="10">
        <f>IF(AND(D1136=1,G1136+H1136&gt;0.000001,C1137*(1-'P-Parametri'!$B$6*B1137)&gt;=(MAX(0,'1-Input'!$B$10-IF($A1137&gt;='1-Input'!$C$12,'1-Input'!$B$12,0))-MIN(MAX(G1136,0),MAX(0,'1-Input'!$B$10-IF($A1137&gt;='1-Input'!$C$12,'1-Input'!$B$12,0))))-0.000001),1,0)</f>
        <v>1</v>
      </c>
      <c r="E1137" s="18">
        <f>IF(D1137=0,G1136,(G1136-MAX(0,'1-Input'!$B$10-IF($A1137&gt;='1-Input'!$C$12,'1-Input'!$B$12,0))+C1137*(1-'P-Parametri'!$B$6*B1137))*(1+'1-Input'!$B$27))</f>
        <v>59186.159999999996</v>
      </c>
      <c r="F1137" s="18">
        <f t="shared" si="19"/>
        <v>119925.89480883515</v>
      </c>
      <c r="G1137" s="18">
        <f>IF(D1137=0,G1136,E1137-'P-Parametri'!$B$8*(F1137+E1137)+MIN(MAX(F1137,0),'P-Parametri'!$B$8*(F1137+E1137)))</f>
        <v>59186.159999999996</v>
      </c>
      <c r="H1137" s="18">
        <f>IF(D1137=0,H1136,F1137-MIN(MAX(F1137,0),'P-Parametri'!$B$8*(F1137+E1137)))</f>
        <v>119567.67069921747</v>
      </c>
      <c r="I1137" s="18">
        <f t="shared" si="20"/>
        <v>59170.947551351419</v>
      </c>
      <c r="J1137" s="18">
        <f>IF(D1137=0,J1136,J1136+C1137*B1137*'P-Parametri'!$B$6)</f>
        <v>35746.770877308627</v>
      </c>
      <c r="K1137" s="18">
        <f>IF(D1137=0,K1136,K1136+'P-Parametri'!$B$8*(F1137+E1137))</f>
        <v>10695.669690013665</v>
      </c>
    </row>
    <row r="1138" spans="1:11">
      <c r="A1138" s="10">
        <f>18</f>
        <v>18</v>
      </c>
      <c r="B1138" s="11">
        <f t="shared" si="18"/>
        <v>0.50512586550087679</v>
      </c>
      <c r="C1138" s="18">
        <f>IF(D1137=0,0,MIN(MAX(H1137,0),((MAX(0,'1-Input'!$B$10-IF($A1138&gt;='1-Input'!$C$12,'1-Input'!$B$12,0))-MIN(MAX(G1137,0),MAX(0,'1-Input'!$B$10-IF($A1138&gt;='1-Input'!$C$12,'1-Input'!$B$12,0))))+MAX(0,3*'1-Input'!$B$10-(G1137-MIN(MAX(G1137,0),MAX(0,'1-Input'!$B$10-IF($A1138&gt;='1-Input'!$C$12,'1-Input'!$B$12,0))))))*(1/(1-'P-Parametri'!$B$6*B1138))))</f>
        <v>23039.707580438608</v>
      </c>
      <c r="D1138" s="10">
        <f>IF(AND(D1137=1,G1137+H1137&gt;0.000001,C1138*(1-'P-Parametri'!$B$6*B1138)&gt;=(MAX(0,'1-Input'!$B$10-IF($A1138&gt;='1-Input'!$C$12,'1-Input'!$B$12,0))-MIN(MAX(G1137,0),MAX(0,'1-Input'!$B$10-IF($A1138&gt;='1-Input'!$C$12,'1-Input'!$B$12,0))))-0.000001),1,0)</f>
        <v>1</v>
      </c>
      <c r="E1138" s="18">
        <f>IF(D1138=0,G1137,(G1137-MAX(0,'1-Input'!$B$10-IF($A1138&gt;='1-Input'!$C$12,'1-Input'!$B$12,0))+C1138*(1-'P-Parametri'!$B$6*B1138))*(1+'1-Input'!$B$27))</f>
        <v>59186.159999999996</v>
      </c>
      <c r="F1138" s="18">
        <f t="shared" si="19"/>
        <v>99423.802012342232</v>
      </c>
      <c r="G1138" s="18">
        <f>IF(D1138=0,G1137,E1138-'P-Parametri'!$B$8*(F1138+E1138)+MIN(MAX(F1138,0),'P-Parametri'!$B$8*(F1138+E1138)))</f>
        <v>59186.159999999996</v>
      </c>
      <c r="H1138" s="18">
        <f>IF(D1138=0,H1137,F1138-MIN(MAX(F1138,0),'P-Parametri'!$B$8*(F1138+E1138)))</f>
        <v>99106.582088317547</v>
      </c>
      <c r="I1138" s="18">
        <f t="shared" si="20"/>
        <v>47769.192203368977</v>
      </c>
      <c r="J1138" s="18">
        <f>IF(D1138=0,J1137,J1137+C1138*B1138*'P-Parametri'!$B$6)</f>
        <v>38772.638457747227</v>
      </c>
      <c r="K1138" s="18">
        <f>IF(D1138=0,K1137,K1137+'P-Parametri'!$B$8*(F1138+E1138))</f>
        <v>11012.889614038349</v>
      </c>
    </row>
    <row r="1139" spans="1:11">
      <c r="A1139" s="10">
        <f>19</f>
        <v>19</v>
      </c>
      <c r="B1139" s="11">
        <f t="shared" si="18"/>
        <v>0.51800181989123506</v>
      </c>
      <c r="C1139" s="18">
        <f>IF(D1138=0,0,MIN(MAX(H1138,0),((MAX(0,'1-Input'!$B$10-IF($A1139&gt;='1-Input'!$C$12,'1-Input'!$B$12,0))-MIN(MAX(G1138,0),MAX(0,'1-Input'!$B$10-IF($A1139&gt;='1-Input'!$C$12,'1-Input'!$B$12,0))))+MAX(0,3*'1-Input'!$B$10-(G1138-MIN(MAX(G1138,0),MAX(0,'1-Input'!$B$10-IF($A1139&gt;='1-Input'!$C$12,'1-Input'!$B$12,0))))))*(1/(1-'P-Parametri'!$B$6*B1139))))</f>
        <v>23128.843599956941</v>
      </c>
      <c r="D1139" s="10">
        <f>IF(AND(D1138=1,G1138+H1138&gt;0.000001,C1139*(1-'P-Parametri'!$B$6*B1139)&gt;=(MAX(0,'1-Input'!$B$10-IF($A1139&gt;='1-Input'!$C$12,'1-Input'!$B$12,0))-MIN(MAX(G1138,0),MAX(0,'1-Input'!$B$10-IF($A1139&gt;='1-Input'!$C$12,'1-Input'!$B$12,0))))-0.000001),1,0)</f>
        <v>1</v>
      </c>
      <c r="E1139" s="18">
        <f>IF(D1139=0,G1138,(G1138-MAX(0,'1-Input'!$B$10-IF($A1139&gt;='1-Input'!$C$12,'1-Input'!$B$12,0))+C1139*(1-'P-Parametri'!$B$6*B1139))*(1+'1-Input'!$B$27))</f>
        <v>59186.159999999996</v>
      </c>
      <c r="F1139" s="18">
        <f t="shared" si="19"/>
        <v>78257.070643011422</v>
      </c>
      <c r="G1139" s="18">
        <f>IF(D1139=0,G1138,E1139-'P-Parametri'!$B$8*(F1139+E1139)+MIN(MAX(F1139,0),'P-Parametri'!$B$8*(F1139+E1139)))</f>
        <v>59186.159999999996</v>
      </c>
      <c r="H1139" s="18">
        <f>IF(D1139=0,H1138,F1139-MIN(MAX(F1139,0),'P-Parametri'!$B$8*(F1139+E1139)))</f>
        <v>77982.184181725403</v>
      </c>
      <c r="I1139" s="18">
        <f t="shared" si="20"/>
        <v>36621.131680169477</v>
      </c>
      <c r="J1139" s="18">
        <f>IF(D1139=0,J1138,J1138+C1139*B1139*'P-Parametri'!$B$6)</f>
        <v>41887.642057704164</v>
      </c>
      <c r="K1139" s="18">
        <f>IF(D1139=0,K1138,K1138+'P-Parametri'!$B$8*(F1139+E1139))</f>
        <v>11287.776075324373</v>
      </c>
    </row>
    <row r="1140" spans="1:11">
      <c r="A1140" s="10">
        <f>20</f>
        <v>20</v>
      </c>
      <c r="B1140" s="11">
        <f t="shared" si="18"/>
        <v>0.5303910493859777</v>
      </c>
      <c r="C1140" s="18">
        <f>IF(D1139=0,0,MIN(MAX(H1139,0),((MAX(0,'1-Input'!$B$10-IF($A1140&gt;='1-Input'!$C$12,'1-Input'!$B$12,0))-MIN(MAX(G1139,0),MAX(0,'1-Input'!$B$10-IF($A1140&gt;='1-Input'!$C$12,'1-Input'!$B$12,0))))+MAX(0,3*'1-Input'!$B$10-(G1139-MIN(MAX(G1139,0),MAX(0,'1-Input'!$B$10-IF($A1140&gt;='1-Input'!$C$12,'1-Input'!$B$12,0))))))*(1/(1-'P-Parametri'!$B$6*B1140))))</f>
        <v>23215.263699605559</v>
      </c>
      <c r="D1140" s="10">
        <f>IF(AND(D1139=1,G1139+H1139&gt;0.000001,C1140*(1-'P-Parametri'!$B$6*B1140)&gt;=(MAX(0,'1-Input'!$B$10-IF($A1140&gt;='1-Input'!$C$12,'1-Input'!$B$12,0))-MIN(MAX(G1139,0),MAX(0,'1-Input'!$B$10-IF($A1140&gt;='1-Input'!$C$12,'1-Input'!$B$12,0))))-0.000001),1,0)</f>
        <v>1</v>
      </c>
      <c r="E1140" s="18">
        <f>IF(D1140=0,G1139,(G1139-MAX(0,'1-Input'!$B$10-IF($A1140&gt;='1-Input'!$C$12,'1-Input'!$B$12,0))+C1140*(1-'P-Parametri'!$B$6*B1140))*(1+'1-Input'!$B$27))</f>
        <v>59186.159999999996</v>
      </c>
      <c r="F1140" s="18">
        <f t="shared" si="19"/>
        <v>56409.92809658344</v>
      </c>
      <c r="G1140" s="18">
        <f>IF(D1140=0,G1139,E1140-'P-Parametri'!$B$8*(F1140+E1140)+MIN(MAX(F1140,0),'P-Parametri'!$B$8*(F1140+E1140)))</f>
        <v>59186.159999999996</v>
      </c>
      <c r="H1140" s="18">
        <f>IF(D1140=0,H1139,F1140-MIN(MAX(F1140,0),'P-Parametri'!$B$8*(F1140+E1140)))</f>
        <v>56178.735920390274</v>
      </c>
      <c r="I1140" s="18">
        <f t="shared" si="20"/>
        <v>25719.036055969904</v>
      </c>
      <c r="J1140" s="18">
        <f>IF(D1140=0,J1139,J1139+C1140*B1140*'P-Parametri'!$B$6)</f>
        <v>45089.06575730972</v>
      </c>
      <c r="K1140" s="18">
        <f>IF(D1140=0,K1139,K1139+'P-Parametri'!$B$8*(F1140+E1140))</f>
        <v>11518.968251517539</v>
      </c>
    </row>
    <row r="1141" spans="1:11">
      <c r="A1141" s="10">
        <f>21</f>
        <v>21</v>
      </c>
      <c r="B1141" s="11">
        <f t="shared" si="18"/>
        <v>0.54219268848598123</v>
      </c>
      <c r="C1141" s="18">
        <f>IF(D1140=0,0,MIN(MAX(H1140,0),((MAX(0,'1-Input'!$B$10-IF($A1141&gt;='1-Input'!$C$12,'1-Input'!$B$12,0))-MIN(MAX(G1140,0),MAX(0,'1-Input'!$B$10-IF($A1141&gt;='1-Input'!$C$12,'1-Input'!$B$12,0))))+MAX(0,3*'1-Input'!$B$10-(G1140-MIN(MAX(G1140,0),MAX(0,'1-Input'!$B$10-IF($A1141&gt;='1-Input'!$C$12,'1-Input'!$B$12,0))))))*(1/(1-'P-Parametri'!$B$6*B1141))))</f>
        <v>23298.187847535784</v>
      </c>
      <c r="D1141" s="10">
        <f>IF(AND(D1140=1,G1140+H1140&gt;0.000001,C1141*(1-'P-Parametri'!$B$6*B1141)&gt;=(MAX(0,'1-Input'!$B$10-IF($A1141&gt;='1-Input'!$C$12,'1-Input'!$B$12,0))-MIN(MAX(G1140,0),MAX(0,'1-Input'!$B$10-IF($A1141&gt;='1-Input'!$C$12,'1-Input'!$B$12,0))))-0.000001),1,0)</f>
        <v>1</v>
      </c>
      <c r="E1141" s="18">
        <f>IF(D1141=0,G1140,(G1140-MAX(0,'1-Input'!$B$10-IF($A1141&gt;='1-Input'!$C$12,'1-Input'!$B$12,0))+C1141*(1-'P-Parametri'!$B$6*B1141))*(1+'1-Input'!$B$27))</f>
        <v>59186.159999999996</v>
      </c>
      <c r="F1141" s="18">
        <f t="shared" si="19"/>
        <v>33866.964515040127</v>
      </c>
      <c r="G1141" s="18">
        <f>IF(D1141=0,G1140,E1141-'P-Parametri'!$B$8*(F1141+E1141)+MIN(MAX(F1141,0),'P-Parametri'!$B$8*(F1141+E1141)))</f>
        <v>59186.159999999996</v>
      </c>
      <c r="H1141" s="18">
        <f>IF(D1141=0,H1140,F1141-MIN(MAX(F1141,0),'P-Parametri'!$B$8*(F1141+E1141)))</f>
        <v>33680.858266010044</v>
      </c>
      <c r="I1141" s="18">
        <f t="shared" si="20"/>
        <v>15052.955314340963</v>
      </c>
      <c r="J1141" s="18">
        <f>IF(D1141=0,J1140,J1140+C1141*B1141*'P-Parametri'!$B$6)</f>
        <v>48373.413604845497</v>
      </c>
      <c r="K1141" s="18">
        <f>IF(D1141=0,K1140,K1140+'P-Parametri'!$B$8*(F1141+E1141))</f>
        <v>11705.07450054762</v>
      </c>
    </row>
    <row r="1142" spans="1:11">
      <c r="A1142" s="10">
        <f>22</f>
        <v>22</v>
      </c>
      <c r="B1142" s="11">
        <f t="shared" si="18"/>
        <v>0.55307091062070513</v>
      </c>
      <c r="C1142" s="18">
        <f>IF(D1141=0,0,MIN(MAX(H1141,0),((MAX(0,'1-Input'!$B$10-IF($A1142&gt;='1-Input'!$C$12,'1-Input'!$B$12,0))-MIN(MAX(G1141,0),MAX(0,'1-Input'!$B$10-IF($A1142&gt;='1-Input'!$C$12,'1-Input'!$B$12,0))))+MAX(0,3*'1-Input'!$B$10-(G1141-MIN(MAX(G1141,0),MAX(0,'1-Input'!$B$10-IF($A1142&gt;='1-Input'!$C$12,'1-Input'!$B$12,0))))))*(1/(1-'P-Parametri'!$B$6*B1142))))</f>
        <v>23375.150033943941</v>
      </c>
      <c r="D1142" s="10">
        <f>IF(AND(D1141=1,G1141+H1141&gt;0.000001,C1142*(1-'P-Parametri'!$B$6*B1142)&gt;=(MAX(0,'1-Input'!$B$10-IF($A1142&gt;='1-Input'!$C$12,'1-Input'!$B$12,0))-MIN(MAX(G1141,0),MAX(0,'1-Input'!$B$10-IF($A1142&gt;='1-Input'!$C$12,'1-Input'!$B$12,0))))-0.000001),1,0)</f>
        <v>1</v>
      </c>
      <c r="E1142" s="18">
        <f>IF(D1142=0,G1141,(G1141-MAX(0,'1-Input'!$B$10-IF($A1142&gt;='1-Input'!$C$12,'1-Input'!$B$12,0))+C1142*(1-'P-Parametri'!$B$6*B1142))*(1+'1-Input'!$B$27))</f>
        <v>59186.159999999996</v>
      </c>
      <c r="F1142" s="18">
        <f t="shared" si="19"/>
        <v>10614.879479028086</v>
      </c>
      <c r="G1142" s="18">
        <f>IF(D1142=0,G1141,E1142-'P-Parametri'!$B$8*(F1142+E1142)+MIN(MAX(F1142,0),'P-Parametri'!$B$8*(F1142+E1142)))</f>
        <v>59186.159999999996</v>
      </c>
      <c r="H1142" s="18">
        <f>IF(D1142=0,H1141,F1142-MIN(MAX(F1142,0),'P-Parametri'!$B$8*(F1142+E1142)))</f>
        <v>10475.27740007003</v>
      </c>
      <c r="I1142" s="18">
        <f t="shared" si="20"/>
        <v>4605.920795566004</v>
      </c>
      <c r="J1142" s="18">
        <f>IF(D1142=0,J1141,J1141+C1142*B1142*'P-Parametri'!$B$6)</f>
        <v>51734.72363878943</v>
      </c>
      <c r="K1142" s="18">
        <f>IF(D1142=0,K1141,K1141+'P-Parametri'!$B$8*(F1142+E1142))</f>
        <v>11844.676579505676</v>
      </c>
    </row>
    <row r="1143" spans="1:11">
      <c r="A1143" s="10">
        <f>23</f>
        <v>23</v>
      </c>
      <c r="B1143" s="11">
        <f t="shared" si="18"/>
        <v>0.56030560149794106</v>
      </c>
      <c r="C1143" s="18">
        <f>IF(D1142=0,0,MIN(MAX(H1142,0),((MAX(0,'1-Input'!$B$10-IF($A1143&gt;='1-Input'!$C$12,'1-Input'!$B$12,0))-MIN(MAX(G1142,0),MAX(0,'1-Input'!$B$10-IF($A1143&gt;='1-Input'!$C$12,'1-Input'!$B$12,0))))+MAX(0,3*'1-Input'!$B$10-(G1142-MIN(MAX(G1142,0),MAX(0,'1-Input'!$B$10-IF($A1143&gt;='1-Input'!$C$12,'1-Input'!$B$12,0))))))*(1/(1-'P-Parametri'!$B$6*B1143))))</f>
        <v>10431.494439237906</v>
      </c>
      <c r="D1143" s="10">
        <f>IF(AND(D1142=1,G1142+H1142&gt;0.000001,C1143*(1-'P-Parametri'!$B$6*B1143)&gt;=(MAX(0,'1-Input'!$B$10-IF($A1143&gt;='1-Input'!$C$12,'1-Input'!$B$12,0))-MIN(MAX(G1142,0),MAX(0,'1-Input'!$B$10-IF($A1143&gt;='1-Input'!$C$12,'1-Input'!$B$12,0))))-0.000001),1,0)</f>
        <v>1</v>
      </c>
      <c r="E1143" s="18">
        <f>IF(D1143=0,G1142,(G1142-MAX(0,'1-Input'!$B$10-IF($A1143&gt;='1-Input'!$C$12,'1-Input'!$B$12,0))+C1143*(1-'P-Parametri'!$B$6*B1143))*(1+'1-Input'!$B$27))</f>
        <v>59186.159999999996</v>
      </c>
      <c r="F1143" s="18">
        <f t="shared" si="19"/>
        <v>45.096449657088179</v>
      </c>
      <c r="G1143" s="18">
        <f>IF(D1143=0,G1142,E1143-'P-Parametri'!$B$8*(F1143+E1143)+MIN(MAX(F1143,0),'P-Parametri'!$B$8*(F1143+E1143)))</f>
        <v>59112.793936757771</v>
      </c>
      <c r="H1143" s="18">
        <f>IF(D1143=0,H1142,F1143-MIN(MAX(F1143,0),'P-Parametri'!$B$8*(F1143+E1143)))</f>
        <v>0</v>
      </c>
      <c r="I1143" s="18">
        <f t="shared" si="20"/>
        <v>19.251122627720179</v>
      </c>
      <c r="J1143" s="18">
        <f>IF(D1143=0,J1142,J1142+C1143*B1143*'P-Parametri'!$B$6)</f>
        <v>53254.37807802733</v>
      </c>
      <c r="K1143" s="18">
        <f>IF(D1143=0,K1142,K1142+'P-Parametri'!$B$8*(F1143+E1143))</f>
        <v>11963.13909240499</v>
      </c>
    </row>
    <row r="1144" spans="1:11">
      <c r="A1144" s="10">
        <f>24</f>
        <v>24</v>
      </c>
      <c r="B1144" s="11">
        <f t="shared" si="18"/>
        <v>0</v>
      </c>
      <c r="C1144" s="18">
        <f>IF(D1143=0,0,MIN(MAX(H1143,0),((MAX(0,'1-Input'!$B$10-IF($A1144&gt;='1-Input'!$C$12,'1-Input'!$B$12,0))-MIN(MAX(G1143,0),MAX(0,'1-Input'!$B$10-IF($A1144&gt;='1-Input'!$C$12,'1-Input'!$B$12,0))))+MAX(0,3*'1-Input'!$B$10-(G1143-MIN(MAX(G1143,0),MAX(0,'1-Input'!$B$10-IF($A1144&gt;='1-Input'!$C$12,'1-Input'!$B$12,0))))))*(1/(1-'P-Parametri'!$B$6*B1144))))</f>
        <v>0</v>
      </c>
      <c r="D1144" s="10">
        <f>IF(AND(D1143=1,G1143+H1143&gt;0.000001,C1144*(1-'P-Parametri'!$B$6*B1144)&gt;=(MAX(0,'1-Input'!$B$10-IF($A1144&gt;='1-Input'!$C$12,'1-Input'!$B$12,0))-MIN(MAX(G1143,0),MAX(0,'1-Input'!$B$10-IF($A1144&gt;='1-Input'!$C$12,'1-Input'!$B$12,0))))-0.000001),1,0)</f>
        <v>1</v>
      </c>
      <c r="E1144" s="18">
        <f>IF(D1144=0,G1143,(G1143-MAX(0,'1-Input'!$B$10-IF($A1144&gt;='1-Input'!$C$12,'1-Input'!$B$12,0))+C1144*(1-'P-Parametri'!$B$6*B1144))*(1+'1-Input'!$B$27))</f>
        <v>50233.300678585438</v>
      </c>
      <c r="F1144" s="18">
        <f t="shared" si="19"/>
        <v>0</v>
      </c>
      <c r="G1144" s="18">
        <f>IF(D1144=0,G1143,E1144-'P-Parametri'!$B$8*(F1144+E1144)+MIN(MAX(F1144,0),'P-Parametri'!$B$8*(F1144+E1144)))</f>
        <v>50132.834077228268</v>
      </c>
      <c r="H1144" s="18">
        <f>IF(D1144=0,H1143,F1144-MIN(MAX(F1144,0),'P-Parametri'!$B$8*(F1144+E1144)))</f>
        <v>0</v>
      </c>
      <c r="I1144" s="18">
        <f t="shared" si="20"/>
        <v>19.251122627720179</v>
      </c>
      <c r="J1144" s="18">
        <f>IF(D1144=0,J1143,J1143+C1144*B1144*'P-Parametri'!$B$6)</f>
        <v>53254.37807802733</v>
      </c>
      <c r="K1144" s="18">
        <f>IF(D1144=0,K1143,K1143+'P-Parametri'!$B$8*(F1144+E1144))</f>
        <v>12063.605693762162</v>
      </c>
    </row>
    <row r="1145" spans="1:11">
      <c r="A1145" s="10">
        <f>25</f>
        <v>25</v>
      </c>
      <c r="B1145" s="11">
        <f t="shared" si="18"/>
        <v>0</v>
      </c>
      <c r="C1145" s="18">
        <f>IF(D1144=0,0,MIN(MAX(H1144,0),((MAX(0,'1-Input'!$B$10-IF($A1145&gt;='1-Input'!$C$12,'1-Input'!$B$12,0))-MIN(MAX(G1144,0),MAX(0,'1-Input'!$B$10-IF($A1145&gt;='1-Input'!$C$12,'1-Input'!$B$12,0))))+MAX(0,3*'1-Input'!$B$10-(G1144-MIN(MAX(G1144,0),MAX(0,'1-Input'!$B$10-IF($A1145&gt;='1-Input'!$C$12,'1-Input'!$B$12,0))))))*(1/(1-'P-Parametri'!$B$6*B1145))))</f>
        <v>0</v>
      </c>
      <c r="D1145" s="10">
        <f>IF(AND(D1144=1,G1144+H1144&gt;0.000001,C1145*(1-'P-Parametri'!$B$6*B1145)&gt;=(MAX(0,'1-Input'!$B$10-IF($A1145&gt;='1-Input'!$C$12,'1-Input'!$B$12,0))-MIN(MAX(G1144,0),MAX(0,'1-Input'!$B$10-IF($A1145&gt;='1-Input'!$C$12,'1-Input'!$B$12,0))))-0.000001),1,0)</f>
        <v>1</v>
      </c>
      <c r="E1145" s="18">
        <f>IF(D1145=0,G1144,(G1144-MAX(0,'1-Input'!$B$10-IF($A1145&gt;='1-Input'!$C$12,'1-Input'!$B$12,0))+C1145*(1-'P-Parametri'!$B$6*B1145))*(1+'1-Input'!$B$27))</f>
        <v>41285.668674550245</v>
      </c>
      <c r="F1145" s="18">
        <f t="shared" si="19"/>
        <v>0</v>
      </c>
      <c r="G1145" s="18">
        <f>IF(D1145=0,G1144,E1145-'P-Parametri'!$B$8*(F1145+E1145)+MIN(MAX(F1145,0),'P-Parametri'!$B$8*(F1145+E1145)))</f>
        <v>41203.097337201143</v>
      </c>
      <c r="H1145" s="18">
        <f>IF(D1145=0,H1144,F1145-MIN(MAX(F1145,0),'P-Parametri'!$B$8*(F1145+E1145)))</f>
        <v>0</v>
      </c>
      <c r="I1145" s="18">
        <f t="shared" si="20"/>
        <v>19.251122627720179</v>
      </c>
      <c r="J1145" s="18">
        <f>IF(D1145=0,J1144,J1144+C1145*B1145*'P-Parametri'!$B$6)</f>
        <v>53254.37807802733</v>
      </c>
      <c r="K1145" s="18">
        <f>IF(D1145=0,K1144,K1144+'P-Parametri'!$B$8*(F1145+E1145))</f>
        <v>12146.177031111261</v>
      </c>
    </row>
    <row r="1146" spans="1:11">
      <c r="A1146" s="10">
        <f>26</f>
        <v>26</v>
      </c>
      <c r="B1146" s="11">
        <f t="shared" si="18"/>
        <v>0</v>
      </c>
      <c r="C1146" s="18">
        <f>IF(D1145=0,0,MIN(MAX(H1145,0),((MAX(0,'1-Input'!$B$10-IF($A1146&gt;='1-Input'!$C$12,'1-Input'!$B$12,0))-MIN(MAX(G1145,0),MAX(0,'1-Input'!$B$10-IF($A1146&gt;='1-Input'!$C$12,'1-Input'!$B$12,0))))+MAX(0,3*'1-Input'!$B$10-(G1145-MIN(MAX(G1145,0),MAX(0,'1-Input'!$B$10-IF($A1146&gt;='1-Input'!$C$12,'1-Input'!$B$12,0))))))*(1/(1-'P-Parametri'!$B$6*B1146))))</f>
        <v>0</v>
      </c>
      <c r="D1146" s="10">
        <f>IF(AND(D1145=1,G1145+H1145&gt;0.000001,C1146*(1-'P-Parametri'!$B$6*B1146)&gt;=(MAX(0,'1-Input'!$B$10-IF($A1146&gt;='1-Input'!$C$12,'1-Input'!$B$12,0))-MIN(MAX(G1145,0),MAX(0,'1-Input'!$B$10-IF($A1146&gt;='1-Input'!$C$12,'1-Input'!$B$12,0))))-0.000001),1,0)</f>
        <v>1</v>
      </c>
      <c r="E1146" s="18">
        <f>IF(D1146=0,G1145,(G1145-MAX(0,'1-Input'!$B$10-IF($A1146&gt;='1-Input'!$C$12,'1-Input'!$B$12,0))+C1146*(1-'P-Parametri'!$B$6*B1146))*(1+'1-Input'!$B$27))</f>
        <v>32388.078986787219</v>
      </c>
      <c r="F1146" s="18">
        <f t="shared" si="19"/>
        <v>0</v>
      </c>
      <c r="G1146" s="18">
        <f>IF(D1146=0,G1145,E1146-'P-Parametri'!$B$8*(F1146+E1146)+MIN(MAX(F1146,0),'P-Parametri'!$B$8*(F1146+E1146)))</f>
        <v>32323.302828813645</v>
      </c>
      <c r="H1146" s="18">
        <f>IF(D1146=0,H1145,F1146-MIN(MAX(F1146,0),'P-Parametri'!$B$8*(F1146+E1146)))</f>
        <v>0</v>
      </c>
      <c r="I1146" s="18">
        <f t="shared" si="20"/>
        <v>19.251122627720179</v>
      </c>
      <c r="J1146" s="18">
        <f>IF(D1146=0,J1145,J1145+C1146*B1146*'P-Parametri'!$B$6)</f>
        <v>53254.37807802733</v>
      </c>
      <c r="K1146" s="18">
        <f>IF(D1146=0,K1145,K1145+'P-Parametri'!$B$8*(F1146+E1146))</f>
        <v>12210.953189084836</v>
      </c>
    </row>
    <row r="1147" spans="1:11">
      <c r="A1147" s="10">
        <f>27</f>
        <v>27</v>
      </c>
      <c r="B1147" s="11">
        <f t="shared" si="18"/>
        <v>0</v>
      </c>
      <c r="C1147" s="18">
        <f>IF(D1146=0,0,MIN(MAX(H1146,0),((MAX(0,'1-Input'!$B$10-IF($A1147&gt;='1-Input'!$C$12,'1-Input'!$B$12,0))-MIN(MAX(G1146,0),MAX(0,'1-Input'!$B$10-IF($A1147&gt;='1-Input'!$C$12,'1-Input'!$B$12,0))))+MAX(0,3*'1-Input'!$B$10-(G1146-MIN(MAX(G1146,0),MAX(0,'1-Input'!$B$10-IF($A1147&gt;='1-Input'!$C$12,'1-Input'!$B$12,0))))))*(1/(1-'P-Parametri'!$B$6*B1147))))</f>
        <v>0</v>
      </c>
      <c r="D1147" s="10">
        <f>IF(AND(D1146=1,G1146+H1146&gt;0.000001,C1147*(1-'P-Parametri'!$B$6*B1147)&gt;=(MAX(0,'1-Input'!$B$10-IF($A1147&gt;='1-Input'!$C$12,'1-Input'!$B$12,0))-MIN(MAX(G1146,0),MAX(0,'1-Input'!$B$10-IF($A1147&gt;='1-Input'!$C$12,'1-Input'!$B$12,0))))-0.000001),1,0)</f>
        <v>1</v>
      </c>
      <c r="E1147" s="18">
        <f>IF(D1147=0,G1146,(G1146-MAX(0,'1-Input'!$B$10-IF($A1147&gt;='1-Input'!$C$12,'1-Input'!$B$12,0))+C1147*(1-'P-Parametri'!$B$6*B1147))*(1+'1-Input'!$B$27))</f>
        <v>23540.251738629915</v>
      </c>
      <c r="F1147" s="18">
        <f t="shared" si="19"/>
        <v>0</v>
      </c>
      <c r="G1147" s="18">
        <f>IF(D1147=0,G1146,E1147-'P-Parametri'!$B$8*(F1147+E1147)+MIN(MAX(F1147,0),'P-Parametri'!$B$8*(F1147+E1147)))</f>
        <v>23493.171235152655</v>
      </c>
      <c r="H1147" s="18">
        <f>IF(D1147=0,H1146,F1147-MIN(MAX(F1147,0),'P-Parametri'!$B$8*(F1147+E1147)))</f>
        <v>0</v>
      </c>
      <c r="I1147" s="18">
        <f t="shared" si="20"/>
        <v>19.251122627720179</v>
      </c>
      <c r="J1147" s="18">
        <f>IF(D1147=0,J1146,J1146+C1147*B1147*'P-Parametri'!$B$6)</f>
        <v>53254.37807802733</v>
      </c>
      <c r="K1147" s="18">
        <f>IF(D1147=0,K1146,K1146+'P-Parametri'!$B$8*(F1147+E1147))</f>
        <v>12258.033692562096</v>
      </c>
    </row>
    <row r="1148" spans="1:11">
      <c r="A1148" s="10">
        <f>28</f>
        <v>28</v>
      </c>
      <c r="B1148" s="11">
        <f t="shared" si="18"/>
        <v>0</v>
      </c>
      <c r="C1148" s="18">
        <f>IF(D1147=0,0,MIN(MAX(H1147,0),((MAX(0,'1-Input'!$B$10-IF($A1148&gt;='1-Input'!$C$12,'1-Input'!$B$12,0))-MIN(MAX(G1147,0),MAX(0,'1-Input'!$B$10-IF($A1148&gt;='1-Input'!$C$12,'1-Input'!$B$12,0))))+MAX(0,3*'1-Input'!$B$10-(G1147-MIN(MAX(G1147,0),MAX(0,'1-Input'!$B$10-IF($A1148&gt;='1-Input'!$C$12,'1-Input'!$B$12,0))))))*(1/(1-'P-Parametri'!$B$6*B1148))))</f>
        <v>0</v>
      </c>
      <c r="D1148" s="10">
        <f>IF(AND(D1147=1,G1147+H1147&gt;0.000001,C1148*(1-'P-Parametri'!$B$6*B1148)&gt;=(MAX(0,'1-Input'!$B$10-IF($A1148&gt;='1-Input'!$C$12,'1-Input'!$B$12,0))-MIN(MAX(G1147,0),MAX(0,'1-Input'!$B$10-IF($A1148&gt;='1-Input'!$C$12,'1-Input'!$B$12,0))))-0.000001),1,0)</f>
        <v>1</v>
      </c>
      <c r="E1148" s="18">
        <f>IF(D1148=0,G1147,(G1147-MAX(0,'1-Input'!$B$10-IF($A1148&gt;='1-Input'!$C$12,'1-Input'!$B$12,0))+C1148*(1-'P-Parametri'!$B$6*B1148))*(1+'1-Input'!$B$27))</f>
        <v>14741.908618706104</v>
      </c>
      <c r="F1148" s="18">
        <f t="shared" si="19"/>
        <v>0</v>
      </c>
      <c r="G1148" s="18">
        <f>IF(D1148=0,G1147,E1148-'P-Parametri'!$B$8*(F1148+E1148)+MIN(MAX(F1148,0),'P-Parametri'!$B$8*(F1148+E1148)))</f>
        <v>14712.424801468691</v>
      </c>
      <c r="H1148" s="18">
        <f>IF(D1148=0,H1147,F1148-MIN(MAX(F1148,0),'P-Parametri'!$B$8*(F1148+E1148)))</f>
        <v>0</v>
      </c>
      <c r="I1148" s="18">
        <f t="shared" si="20"/>
        <v>19.251122627720179</v>
      </c>
      <c r="J1148" s="18">
        <f>IF(D1148=0,J1147,J1147+C1148*B1148*'P-Parametri'!$B$6)</f>
        <v>53254.37807802733</v>
      </c>
      <c r="K1148" s="18">
        <f>IF(D1148=0,K1147,K1147+'P-Parametri'!$B$8*(F1148+E1148))</f>
        <v>12287.517509799509</v>
      </c>
    </row>
    <row r="1149" spans="1:11">
      <c r="A1149" s="10">
        <f>29</f>
        <v>29</v>
      </c>
      <c r="B1149" s="11">
        <f t="shared" si="18"/>
        <v>0</v>
      </c>
      <c r="C1149" s="18">
        <f>IF(D1148=0,0,MIN(MAX(H1148,0),((MAX(0,'1-Input'!$B$10-IF($A1149&gt;='1-Input'!$C$12,'1-Input'!$B$12,0))-MIN(MAX(G1148,0),MAX(0,'1-Input'!$B$10-IF($A1149&gt;='1-Input'!$C$12,'1-Input'!$B$12,0))))+MAX(0,3*'1-Input'!$B$10-(G1148-MIN(MAX(G1148,0),MAX(0,'1-Input'!$B$10-IF($A1149&gt;='1-Input'!$C$12,'1-Input'!$B$12,0))))))*(1/(1-'P-Parametri'!$B$6*B1149))))</f>
        <v>0</v>
      </c>
      <c r="D1149" s="10">
        <f>IF(AND(D1148=1,G1148+H1148&gt;0.000001,C1149*(1-'P-Parametri'!$B$6*B1149)&gt;=(MAX(0,'1-Input'!$B$10-IF($A1149&gt;='1-Input'!$C$12,'1-Input'!$B$12,0))-MIN(MAX(G1148,0),MAX(0,'1-Input'!$B$10-IF($A1149&gt;='1-Input'!$C$12,'1-Input'!$B$12,0))))-0.000001),1,0)</f>
        <v>1</v>
      </c>
      <c r="E1149" s="18">
        <f>IF(D1149=0,G1148,(G1148-MAX(0,'1-Input'!$B$10-IF($A1149&gt;='1-Input'!$C$12,'1-Input'!$B$12,0))+C1149*(1-'P-Parametri'!$B$6*B1149))*(1+'1-Input'!$B$27))</f>
        <v>5992.7728721834037</v>
      </c>
      <c r="F1149" s="18">
        <f t="shared" si="19"/>
        <v>0</v>
      </c>
      <c r="G1149" s="18">
        <f>IF(D1149=0,G1148,E1149-'P-Parametri'!$B$8*(F1149+E1149)+MIN(MAX(F1149,0),'P-Parametri'!$B$8*(F1149+E1149)))</f>
        <v>5980.7873264390373</v>
      </c>
      <c r="H1149" s="18">
        <f>IF(D1149=0,H1148,F1149-MIN(MAX(F1149,0),'P-Parametri'!$B$8*(F1149+E1149)))</f>
        <v>0</v>
      </c>
      <c r="I1149" s="18">
        <f t="shared" si="20"/>
        <v>19.251122627720179</v>
      </c>
      <c r="J1149" s="18">
        <f>IF(D1149=0,J1148,J1148+C1149*B1149*'P-Parametri'!$B$6)</f>
        <v>53254.37807802733</v>
      </c>
      <c r="K1149" s="18">
        <f>IF(D1149=0,K1148,K1148+'P-Parametri'!$B$8*(F1149+E1149))</f>
        <v>12299.503055543875</v>
      </c>
    </row>
    <row r="1150" spans="1:11">
      <c r="A1150" s="10">
        <f>30</f>
        <v>30</v>
      </c>
      <c r="B1150" s="11">
        <f t="shared" si="18"/>
        <v>0</v>
      </c>
      <c r="C1150" s="18">
        <f>IF(D1149=0,0,MIN(MAX(H1149,0),((MAX(0,'1-Input'!$B$10-IF($A1150&gt;='1-Input'!$C$12,'1-Input'!$B$12,0))-MIN(MAX(G1149,0),MAX(0,'1-Input'!$B$10-IF($A1150&gt;='1-Input'!$C$12,'1-Input'!$B$12,0))))+MAX(0,3*'1-Input'!$B$10-(G1149-MIN(MAX(G1149,0),MAX(0,'1-Input'!$B$10-IF($A1150&gt;='1-Input'!$C$12,'1-Input'!$B$12,0))))))*(1/(1-'P-Parametri'!$B$6*B1150))))</f>
        <v>0</v>
      </c>
      <c r="D1150" s="10">
        <f>IF(AND(D1149=1,G1149+H1149&gt;0.000001,C1150*(1-'P-Parametri'!$B$6*B1150)&gt;=(MAX(0,'1-Input'!$B$10-IF($A1150&gt;='1-Input'!$C$12,'1-Input'!$B$12,0))-MIN(MAX(G1149,0),MAX(0,'1-Input'!$B$10-IF($A1150&gt;='1-Input'!$C$12,'1-Input'!$B$12,0))))-0.000001),1,0)</f>
        <v>0</v>
      </c>
      <c r="E1150" s="18">
        <f>IF(D1150=0,G1149,(G1149-MAX(0,'1-Input'!$B$10-IF($A1150&gt;='1-Input'!$C$12,'1-Input'!$B$12,0))+C1150*(1-'P-Parametri'!$B$6*B1150))*(1+'1-Input'!$B$27))</f>
        <v>5980.7873264390373</v>
      </c>
      <c r="F1150" s="18">
        <f t="shared" si="19"/>
        <v>0</v>
      </c>
      <c r="G1150" s="18">
        <f>IF(D1150=0,G1149,E1150-'P-Parametri'!$B$8*(F1150+E1150)+MIN(MAX(F1150,0),'P-Parametri'!$B$8*(F1150+E1150)))</f>
        <v>5980.7873264390373</v>
      </c>
      <c r="H1150" s="18">
        <f>IF(D1150=0,H1149,F1150-MIN(MAX(F1150,0),'P-Parametri'!$B$8*(F1150+E1150)))</f>
        <v>0</v>
      </c>
      <c r="I1150" s="18">
        <f t="shared" si="20"/>
        <v>19.251122627720179</v>
      </c>
      <c r="J1150" s="18">
        <f>IF(D1150=0,J1149,J1149+C1150*B1150*'P-Parametri'!$B$6)</f>
        <v>53254.37807802733</v>
      </c>
      <c r="K1150" s="18">
        <f>IF(D1150=0,K1149,K1149+'P-Parametri'!$B$8*(F1150+E1150))</f>
        <v>12299.503055543875</v>
      </c>
    </row>
    <row r="1151" spans="1:11">
      <c r="A1151" s="10">
        <f>31</f>
        <v>31</v>
      </c>
      <c r="B1151" s="11">
        <f t="shared" si="18"/>
        <v>0</v>
      </c>
      <c r="C1151" s="18">
        <f>IF(D1150=0,0,MIN(MAX(H1150,0),((MAX(0,'1-Input'!$B$10-IF($A1151&gt;='1-Input'!$C$12,'1-Input'!$B$12,0))-MIN(MAX(G1150,0),MAX(0,'1-Input'!$B$10-IF($A1151&gt;='1-Input'!$C$12,'1-Input'!$B$12,0))))+MAX(0,3*'1-Input'!$B$10-(G1150-MIN(MAX(G1150,0),MAX(0,'1-Input'!$B$10-IF($A1151&gt;='1-Input'!$C$12,'1-Input'!$B$12,0))))))*(1/(1-'P-Parametri'!$B$6*B1151))))</f>
        <v>0</v>
      </c>
      <c r="D1151" s="10">
        <f>IF(AND(D1150=1,G1150+H1150&gt;0.000001,C1151*(1-'P-Parametri'!$B$6*B1151)&gt;=(MAX(0,'1-Input'!$B$10-IF($A1151&gt;='1-Input'!$C$12,'1-Input'!$B$12,0))-MIN(MAX(G1150,0),MAX(0,'1-Input'!$B$10-IF($A1151&gt;='1-Input'!$C$12,'1-Input'!$B$12,0))))-0.000001),1,0)</f>
        <v>0</v>
      </c>
      <c r="E1151" s="18">
        <f>IF(D1151=0,G1150,(G1150-MAX(0,'1-Input'!$B$10-IF($A1151&gt;='1-Input'!$C$12,'1-Input'!$B$12,0))+C1151*(1-'P-Parametri'!$B$6*B1151))*(1+'1-Input'!$B$27))</f>
        <v>5980.7873264390373</v>
      </c>
      <c r="F1151" s="18">
        <f t="shared" si="19"/>
        <v>0</v>
      </c>
      <c r="G1151" s="18">
        <f>IF(D1151=0,G1150,E1151-'P-Parametri'!$B$8*(F1151+E1151)+MIN(MAX(F1151,0),'P-Parametri'!$B$8*(F1151+E1151)))</f>
        <v>5980.7873264390373</v>
      </c>
      <c r="H1151" s="18">
        <f>IF(D1151=0,H1150,F1151-MIN(MAX(F1151,0),'P-Parametri'!$B$8*(F1151+E1151)))</f>
        <v>0</v>
      </c>
      <c r="I1151" s="18">
        <f t="shared" si="20"/>
        <v>19.251122627720179</v>
      </c>
      <c r="J1151" s="18">
        <f>IF(D1151=0,J1150,J1150+C1151*B1151*'P-Parametri'!$B$6)</f>
        <v>53254.37807802733</v>
      </c>
      <c r="K1151" s="18">
        <f>IF(D1151=0,K1150,K1150+'P-Parametri'!$B$8*(F1151+E1151))</f>
        <v>12299.503055543875</v>
      </c>
    </row>
    <row r="1152" spans="1:11">
      <c r="A1152" s="10">
        <f>32</f>
        <v>32</v>
      </c>
      <c r="B1152" s="11">
        <f t="shared" si="18"/>
        <v>0</v>
      </c>
      <c r="C1152" s="18">
        <f>IF(D1151=0,0,MIN(MAX(H1151,0),((MAX(0,'1-Input'!$B$10-IF($A1152&gt;='1-Input'!$C$12,'1-Input'!$B$12,0))-MIN(MAX(G1151,0),MAX(0,'1-Input'!$B$10-IF($A1152&gt;='1-Input'!$C$12,'1-Input'!$B$12,0))))+MAX(0,3*'1-Input'!$B$10-(G1151-MIN(MAX(G1151,0),MAX(0,'1-Input'!$B$10-IF($A1152&gt;='1-Input'!$C$12,'1-Input'!$B$12,0))))))*(1/(1-'P-Parametri'!$B$6*B1152))))</f>
        <v>0</v>
      </c>
      <c r="D1152" s="10">
        <f>IF(AND(D1151=1,G1151+H1151&gt;0.000001,C1152*(1-'P-Parametri'!$B$6*B1152)&gt;=(MAX(0,'1-Input'!$B$10-IF($A1152&gt;='1-Input'!$C$12,'1-Input'!$B$12,0))-MIN(MAX(G1151,0),MAX(0,'1-Input'!$B$10-IF($A1152&gt;='1-Input'!$C$12,'1-Input'!$B$12,0))))-0.000001),1,0)</f>
        <v>0</v>
      </c>
      <c r="E1152" s="18">
        <f>IF(D1152=0,G1151,(G1151-MAX(0,'1-Input'!$B$10-IF($A1152&gt;='1-Input'!$C$12,'1-Input'!$B$12,0))+C1152*(1-'P-Parametri'!$B$6*B1152))*(1+'1-Input'!$B$27))</f>
        <v>5980.7873264390373</v>
      </c>
      <c r="F1152" s="18">
        <f t="shared" si="19"/>
        <v>0</v>
      </c>
      <c r="G1152" s="18">
        <f>IF(D1152=0,G1151,E1152-'P-Parametri'!$B$8*(F1152+E1152)+MIN(MAX(F1152,0),'P-Parametri'!$B$8*(F1152+E1152)))</f>
        <v>5980.7873264390373</v>
      </c>
      <c r="H1152" s="18">
        <f>IF(D1152=0,H1151,F1152-MIN(MAX(F1152,0),'P-Parametri'!$B$8*(F1152+E1152)))</f>
        <v>0</v>
      </c>
      <c r="I1152" s="18">
        <f t="shared" si="20"/>
        <v>19.251122627720179</v>
      </c>
      <c r="J1152" s="18">
        <f>IF(D1152=0,J1151,J1151+C1152*B1152*'P-Parametri'!$B$6)</f>
        <v>53254.37807802733</v>
      </c>
      <c r="K1152" s="18">
        <f>IF(D1152=0,K1151,K1151+'P-Parametri'!$B$8*(F1152+E1152))</f>
        <v>12299.503055543875</v>
      </c>
    </row>
    <row r="1153" spans="1:11">
      <c r="A1153" s="10">
        <f>33</f>
        <v>33</v>
      </c>
      <c r="B1153" s="11">
        <f t="shared" ref="B1153:B1170" si="21">IF(H1152&lt;=0,0,MAX(0,(H1152-I1152)/H1152))</f>
        <v>0</v>
      </c>
      <c r="C1153" s="18">
        <f>IF(D1152=0,0,MIN(MAX(H1152,0),((MAX(0,'1-Input'!$B$10-IF($A1153&gt;='1-Input'!$C$12,'1-Input'!$B$12,0))-MIN(MAX(G1152,0),MAX(0,'1-Input'!$B$10-IF($A1153&gt;='1-Input'!$C$12,'1-Input'!$B$12,0))))+MAX(0,3*'1-Input'!$B$10-(G1152-MIN(MAX(G1152,0),MAX(0,'1-Input'!$B$10-IF($A1153&gt;='1-Input'!$C$12,'1-Input'!$B$12,0))))))*(1/(1-'P-Parametri'!$B$6*B1153))))</f>
        <v>0</v>
      </c>
      <c r="D1153" s="10">
        <f>IF(AND(D1152=1,G1152+H1152&gt;0.000001,C1153*(1-'P-Parametri'!$B$6*B1153)&gt;=(MAX(0,'1-Input'!$B$10-IF($A1153&gt;='1-Input'!$C$12,'1-Input'!$B$12,0))-MIN(MAX(G1152,0),MAX(0,'1-Input'!$B$10-IF($A1153&gt;='1-Input'!$C$12,'1-Input'!$B$12,0))))-0.000001),1,0)</f>
        <v>0</v>
      </c>
      <c r="E1153" s="18">
        <f>IF(D1153=0,G1152,(G1152-MAX(0,'1-Input'!$B$10-IF($A1153&gt;='1-Input'!$C$12,'1-Input'!$B$12,0))+C1153*(1-'P-Parametri'!$B$6*B1153))*(1+'1-Input'!$B$27))</f>
        <v>5980.7873264390373</v>
      </c>
      <c r="F1153" s="18">
        <f t="shared" ref="F1153:F1170" si="22">IF(D1153=0,H1152,(H1152-C1153)*(1+$C$4))</f>
        <v>0</v>
      </c>
      <c r="G1153" s="18">
        <f>IF(D1153=0,G1152,E1153-'P-Parametri'!$B$8*(F1153+E1153)+MIN(MAX(F1153,0),'P-Parametri'!$B$8*(F1153+E1153)))</f>
        <v>5980.7873264390373</v>
      </c>
      <c r="H1153" s="18">
        <f>IF(D1153=0,H1152,F1153-MIN(MAX(F1153,0),'P-Parametri'!$B$8*(F1153+E1153)))</f>
        <v>0</v>
      </c>
      <c r="I1153" s="18">
        <f t="shared" ref="I1153:I1170" si="23">IF(D1153=0,I1152,I1152-C1153*(1-B1153))</f>
        <v>19.251122627720179</v>
      </c>
      <c r="J1153" s="18">
        <f>IF(D1153=0,J1152,J1152+C1153*B1153*'P-Parametri'!$B$6)</f>
        <v>53254.37807802733</v>
      </c>
      <c r="K1153" s="18">
        <f>IF(D1153=0,K1152,K1152+'P-Parametri'!$B$8*(F1153+E1153))</f>
        <v>12299.503055543875</v>
      </c>
    </row>
    <row r="1154" spans="1:11">
      <c r="A1154" s="10">
        <f>34</f>
        <v>34</v>
      </c>
      <c r="B1154" s="11">
        <f t="shared" si="21"/>
        <v>0</v>
      </c>
      <c r="C1154" s="18">
        <f>IF(D1153=0,0,MIN(MAX(H1153,0),((MAX(0,'1-Input'!$B$10-IF($A1154&gt;='1-Input'!$C$12,'1-Input'!$B$12,0))-MIN(MAX(G1153,0),MAX(0,'1-Input'!$B$10-IF($A1154&gt;='1-Input'!$C$12,'1-Input'!$B$12,0))))+MAX(0,3*'1-Input'!$B$10-(G1153-MIN(MAX(G1153,0),MAX(0,'1-Input'!$B$10-IF($A1154&gt;='1-Input'!$C$12,'1-Input'!$B$12,0))))))*(1/(1-'P-Parametri'!$B$6*B1154))))</f>
        <v>0</v>
      </c>
      <c r="D1154" s="10">
        <f>IF(AND(D1153=1,G1153+H1153&gt;0.000001,C1154*(1-'P-Parametri'!$B$6*B1154)&gt;=(MAX(0,'1-Input'!$B$10-IF($A1154&gt;='1-Input'!$C$12,'1-Input'!$B$12,0))-MIN(MAX(G1153,0),MAX(0,'1-Input'!$B$10-IF($A1154&gt;='1-Input'!$C$12,'1-Input'!$B$12,0))))-0.000001),1,0)</f>
        <v>0</v>
      </c>
      <c r="E1154" s="18">
        <f>IF(D1154=0,G1153,(G1153-MAX(0,'1-Input'!$B$10-IF($A1154&gt;='1-Input'!$C$12,'1-Input'!$B$12,0))+C1154*(1-'P-Parametri'!$B$6*B1154))*(1+'1-Input'!$B$27))</f>
        <v>5980.7873264390373</v>
      </c>
      <c r="F1154" s="18">
        <f t="shared" si="22"/>
        <v>0</v>
      </c>
      <c r="G1154" s="18">
        <f>IF(D1154=0,G1153,E1154-'P-Parametri'!$B$8*(F1154+E1154)+MIN(MAX(F1154,0),'P-Parametri'!$B$8*(F1154+E1154)))</f>
        <v>5980.7873264390373</v>
      </c>
      <c r="H1154" s="18">
        <f>IF(D1154=0,H1153,F1154-MIN(MAX(F1154,0),'P-Parametri'!$B$8*(F1154+E1154)))</f>
        <v>0</v>
      </c>
      <c r="I1154" s="18">
        <f t="shared" si="23"/>
        <v>19.251122627720179</v>
      </c>
      <c r="J1154" s="18">
        <f>IF(D1154=0,J1153,J1153+C1154*B1154*'P-Parametri'!$B$6)</f>
        <v>53254.37807802733</v>
      </c>
      <c r="K1154" s="18">
        <f>IF(D1154=0,K1153,K1153+'P-Parametri'!$B$8*(F1154+E1154))</f>
        <v>12299.503055543875</v>
      </c>
    </row>
    <row r="1155" spans="1:11">
      <c r="A1155" s="10">
        <f>35</f>
        <v>35</v>
      </c>
      <c r="B1155" s="11">
        <f t="shared" si="21"/>
        <v>0</v>
      </c>
      <c r="C1155" s="18">
        <f>IF(D1154=0,0,MIN(MAX(H1154,0),((MAX(0,'1-Input'!$B$10-IF($A1155&gt;='1-Input'!$C$12,'1-Input'!$B$12,0))-MIN(MAX(G1154,0),MAX(0,'1-Input'!$B$10-IF($A1155&gt;='1-Input'!$C$12,'1-Input'!$B$12,0))))+MAX(0,3*'1-Input'!$B$10-(G1154-MIN(MAX(G1154,0),MAX(0,'1-Input'!$B$10-IF($A1155&gt;='1-Input'!$C$12,'1-Input'!$B$12,0))))))*(1/(1-'P-Parametri'!$B$6*B1155))))</f>
        <v>0</v>
      </c>
      <c r="D1155" s="10">
        <f>IF(AND(D1154=1,G1154+H1154&gt;0.000001,C1155*(1-'P-Parametri'!$B$6*B1155)&gt;=(MAX(0,'1-Input'!$B$10-IF($A1155&gt;='1-Input'!$C$12,'1-Input'!$B$12,0))-MIN(MAX(G1154,0),MAX(0,'1-Input'!$B$10-IF($A1155&gt;='1-Input'!$C$12,'1-Input'!$B$12,0))))-0.000001),1,0)</f>
        <v>0</v>
      </c>
      <c r="E1155" s="18">
        <f>IF(D1155=0,G1154,(G1154-MAX(0,'1-Input'!$B$10-IF($A1155&gt;='1-Input'!$C$12,'1-Input'!$B$12,0))+C1155*(1-'P-Parametri'!$B$6*B1155))*(1+'1-Input'!$B$27))</f>
        <v>5980.7873264390373</v>
      </c>
      <c r="F1155" s="18">
        <f t="shared" si="22"/>
        <v>0</v>
      </c>
      <c r="G1155" s="18">
        <f>IF(D1155=0,G1154,E1155-'P-Parametri'!$B$8*(F1155+E1155)+MIN(MAX(F1155,0),'P-Parametri'!$B$8*(F1155+E1155)))</f>
        <v>5980.7873264390373</v>
      </c>
      <c r="H1155" s="18">
        <f>IF(D1155=0,H1154,F1155-MIN(MAX(F1155,0),'P-Parametri'!$B$8*(F1155+E1155)))</f>
        <v>0</v>
      </c>
      <c r="I1155" s="18">
        <f t="shared" si="23"/>
        <v>19.251122627720179</v>
      </c>
      <c r="J1155" s="18">
        <f>IF(D1155=0,J1154,J1154+C1155*B1155*'P-Parametri'!$B$6)</f>
        <v>53254.37807802733</v>
      </c>
      <c r="K1155" s="18">
        <f>IF(D1155=0,K1154,K1154+'P-Parametri'!$B$8*(F1155+E1155))</f>
        <v>12299.503055543875</v>
      </c>
    </row>
    <row r="1156" spans="1:11">
      <c r="A1156" s="10">
        <f>36</f>
        <v>36</v>
      </c>
      <c r="B1156" s="11">
        <f t="shared" si="21"/>
        <v>0</v>
      </c>
      <c r="C1156" s="18">
        <f>IF(D1155=0,0,MIN(MAX(H1155,0),((MAX(0,'1-Input'!$B$10-IF($A1156&gt;='1-Input'!$C$12,'1-Input'!$B$12,0))-MIN(MAX(G1155,0),MAX(0,'1-Input'!$B$10-IF($A1156&gt;='1-Input'!$C$12,'1-Input'!$B$12,0))))+MAX(0,3*'1-Input'!$B$10-(G1155-MIN(MAX(G1155,0),MAX(0,'1-Input'!$B$10-IF($A1156&gt;='1-Input'!$C$12,'1-Input'!$B$12,0))))))*(1/(1-'P-Parametri'!$B$6*B1156))))</f>
        <v>0</v>
      </c>
      <c r="D1156" s="10">
        <f>IF(AND(D1155=1,G1155+H1155&gt;0.000001,C1156*(1-'P-Parametri'!$B$6*B1156)&gt;=(MAX(0,'1-Input'!$B$10-IF($A1156&gt;='1-Input'!$C$12,'1-Input'!$B$12,0))-MIN(MAX(G1155,0),MAX(0,'1-Input'!$B$10-IF($A1156&gt;='1-Input'!$C$12,'1-Input'!$B$12,0))))-0.000001),1,0)</f>
        <v>0</v>
      </c>
      <c r="E1156" s="18">
        <f>IF(D1156=0,G1155,(G1155-MAX(0,'1-Input'!$B$10-IF($A1156&gt;='1-Input'!$C$12,'1-Input'!$B$12,0))+C1156*(1-'P-Parametri'!$B$6*B1156))*(1+'1-Input'!$B$27))</f>
        <v>5980.7873264390373</v>
      </c>
      <c r="F1156" s="18">
        <f t="shared" si="22"/>
        <v>0</v>
      </c>
      <c r="G1156" s="18">
        <f>IF(D1156=0,G1155,E1156-'P-Parametri'!$B$8*(F1156+E1156)+MIN(MAX(F1156,0),'P-Parametri'!$B$8*(F1156+E1156)))</f>
        <v>5980.7873264390373</v>
      </c>
      <c r="H1156" s="18">
        <f>IF(D1156=0,H1155,F1156-MIN(MAX(F1156,0),'P-Parametri'!$B$8*(F1156+E1156)))</f>
        <v>0</v>
      </c>
      <c r="I1156" s="18">
        <f t="shared" si="23"/>
        <v>19.251122627720179</v>
      </c>
      <c r="J1156" s="18">
        <f>IF(D1156=0,J1155,J1155+C1156*B1156*'P-Parametri'!$B$6)</f>
        <v>53254.37807802733</v>
      </c>
      <c r="K1156" s="18">
        <f>IF(D1156=0,K1155,K1155+'P-Parametri'!$B$8*(F1156+E1156))</f>
        <v>12299.503055543875</v>
      </c>
    </row>
    <row r="1157" spans="1:11">
      <c r="A1157" s="10">
        <f>37</f>
        <v>37</v>
      </c>
      <c r="B1157" s="11">
        <f t="shared" si="21"/>
        <v>0</v>
      </c>
      <c r="C1157" s="18">
        <f>IF(D1156=0,0,MIN(MAX(H1156,0),((MAX(0,'1-Input'!$B$10-IF($A1157&gt;='1-Input'!$C$12,'1-Input'!$B$12,0))-MIN(MAX(G1156,0),MAX(0,'1-Input'!$B$10-IF($A1157&gt;='1-Input'!$C$12,'1-Input'!$B$12,0))))+MAX(0,3*'1-Input'!$B$10-(G1156-MIN(MAX(G1156,0),MAX(0,'1-Input'!$B$10-IF($A1157&gt;='1-Input'!$C$12,'1-Input'!$B$12,0))))))*(1/(1-'P-Parametri'!$B$6*B1157))))</f>
        <v>0</v>
      </c>
      <c r="D1157" s="10">
        <f>IF(AND(D1156=1,G1156+H1156&gt;0.000001,C1157*(1-'P-Parametri'!$B$6*B1157)&gt;=(MAX(0,'1-Input'!$B$10-IF($A1157&gt;='1-Input'!$C$12,'1-Input'!$B$12,0))-MIN(MAX(G1156,0),MAX(0,'1-Input'!$B$10-IF($A1157&gt;='1-Input'!$C$12,'1-Input'!$B$12,0))))-0.000001),1,0)</f>
        <v>0</v>
      </c>
      <c r="E1157" s="18">
        <f>IF(D1157=0,G1156,(G1156-MAX(0,'1-Input'!$B$10-IF($A1157&gt;='1-Input'!$C$12,'1-Input'!$B$12,0))+C1157*(1-'P-Parametri'!$B$6*B1157))*(1+'1-Input'!$B$27))</f>
        <v>5980.7873264390373</v>
      </c>
      <c r="F1157" s="18">
        <f t="shared" si="22"/>
        <v>0</v>
      </c>
      <c r="G1157" s="18">
        <f>IF(D1157=0,G1156,E1157-'P-Parametri'!$B$8*(F1157+E1157)+MIN(MAX(F1157,0),'P-Parametri'!$B$8*(F1157+E1157)))</f>
        <v>5980.7873264390373</v>
      </c>
      <c r="H1157" s="18">
        <f>IF(D1157=0,H1156,F1157-MIN(MAX(F1157,0),'P-Parametri'!$B$8*(F1157+E1157)))</f>
        <v>0</v>
      </c>
      <c r="I1157" s="18">
        <f t="shared" si="23"/>
        <v>19.251122627720179</v>
      </c>
      <c r="J1157" s="18">
        <f>IF(D1157=0,J1156,J1156+C1157*B1157*'P-Parametri'!$B$6)</f>
        <v>53254.37807802733</v>
      </c>
      <c r="K1157" s="18">
        <f>IF(D1157=0,K1156,K1156+'P-Parametri'!$B$8*(F1157+E1157))</f>
        <v>12299.503055543875</v>
      </c>
    </row>
    <row r="1158" spans="1:11">
      <c r="A1158" s="10">
        <f>38</f>
        <v>38</v>
      </c>
      <c r="B1158" s="11">
        <f t="shared" si="21"/>
        <v>0</v>
      </c>
      <c r="C1158" s="18">
        <f>IF(D1157=0,0,MIN(MAX(H1157,0),((MAX(0,'1-Input'!$B$10-IF($A1158&gt;='1-Input'!$C$12,'1-Input'!$B$12,0))-MIN(MAX(G1157,0),MAX(0,'1-Input'!$B$10-IF($A1158&gt;='1-Input'!$C$12,'1-Input'!$B$12,0))))+MAX(0,3*'1-Input'!$B$10-(G1157-MIN(MAX(G1157,0),MAX(0,'1-Input'!$B$10-IF($A1158&gt;='1-Input'!$C$12,'1-Input'!$B$12,0))))))*(1/(1-'P-Parametri'!$B$6*B1158))))</f>
        <v>0</v>
      </c>
      <c r="D1158" s="10">
        <f>IF(AND(D1157=1,G1157+H1157&gt;0.000001,C1158*(1-'P-Parametri'!$B$6*B1158)&gt;=(MAX(0,'1-Input'!$B$10-IF($A1158&gt;='1-Input'!$C$12,'1-Input'!$B$12,0))-MIN(MAX(G1157,0),MAX(0,'1-Input'!$B$10-IF($A1158&gt;='1-Input'!$C$12,'1-Input'!$B$12,0))))-0.000001),1,0)</f>
        <v>0</v>
      </c>
      <c r="E1158" s="18">
        <f>IF(D1158=0,G1157,(G1157-MAX(0,'1-Input'!$B$10-IF($A1158&gt;='1-Input'!$C$12,'1-Input'!$B$12,0))+C1158*(1-'P-Parametri'!$B$6*B1158))*(1+'1-Input'!$B$27))</f>
        <v>5980.7873264390373</v>
      </c>
      <c r="F1158" s="18">
        <f t="shared" si="22"/>
        <v>0</v>
      </c>
      <c r="G1158" s="18">
        <f>IF(D1158=0,G1157,E1158-'P-Parametri'!$B$8*(F1158+E1158)+MIN(MAX(F1158,0),'P-Parametri'!$B$8*(F1158+E1158)))</f>
        <v>5980.7873264390373</v>
      </c>
      <c r="H1158" s="18">
        <f>IF(D1158=0,H1157,F1158-MIN(MAX(F1158,0),'P-Parametri'!$B$8*(F1158+E1158)))</f>
        <v>0</v>
      </c>
      <c r="I1158" s="18">
        <f t="shared" si="23"/>
        <v>19.251122627720179</v>
      </c>
      <c r="J1158" s="18">
        <f>IF(D1158=0,J1157,J1157+C1158*B1158*'P-Parametri'!$B$6)</f>
        <v>53254.37807802733</v>
      </c>
      <c r="K1158" s="18">
        <f>IF(D1158=0,K1157,K1157+'P-Parametri'!$B$8*(F1158+E1158))</f>
        <v>12299.503055543875</v>
      </c>
    </row>
    <row r="1159" spans="1:11">
      <c r="A1159" s="10">
        <f>39</f>
        <v>39</v>
      </c>
      <c r="B1159" s="11">
        <f t="shared" si="21"/>
        <v>0</v>
      </c>
      <c r="C1159" s="18">
        <f>IF(D1158=0,0,MIN(MAX(H1158,0),((MAX(0,'1-Input'!$B$10-IF($A1159&gt;='1-Input'!$C$12,'1-Input'!$B$12,0))-MIN(MAX(G1158,0),MAX(0,'1-Input'!$B$10-IF($A1159&gt;='1-Input'!$C$12,'1-Input'!$B$12,0))))+MAX(0,3*'1-Input'!$B$10-(G1158-MIN(MAX(G1158,0),MAX(0,'1-Input'!$B$10-IF($A1159&gt;='1-Input'!$C$12,'1-Input'!$B$12,0))))))*(1/(1-'P-Parametri'!$B$6*B1159))))</f>
        <v>0</v>
      </c>
      <c r="D1159" s="10">
        <f>IF(AND(D1158=1,G1158+H1158&gt;0.000001,C1159*(1-'P-Parametri'!$B$6*B1159)&gt;=(MAX(0,'1-Input'!$B$10-IF($A1159&gt;='1-Input'!$C$12,'1-Input'!$B$12,0))-MIN(MAX(G1158,0),MAX(0,'1-Input'!$B$10-IF($A1159&gt;='1-Input'!$C$12,'1-Input'!$B$12,0))))-0.000001),1,0)</f>
        <v>0</v>
      </c>
      <c r="E1159" s="18">
        <f>IF(D1159=0,G1158,(G1158-MAX(0,'1-Input'!$B$10-IF($A1159&gt;='1-Input'!$C$12,'1-Input'!$B$12,0))+C1159*(1-'P-Parametri'!$B$6*B1159))*(1+'1-Input'!$B$27))</f>
        <v>5980.7873264390373</v>
      </c>
      <c r="F1159" s="18">
        <f t="shared" si="22"/>
        <v>0</v>
      </c>
      <c r="G1159" s="18">
        <f>IF(D1159=0,G1158,E1159-'P-Parametri'!$B$8*(F1159+E1159)+MIN(MAX(F1159,0),'P-Parametri'!$B$8*(F1159+E1159)))</f>
        <v>5980.7873264390373</v>
      </c>
      <c r="H1159" s="18">
        <f>IF(D1159=0,H1158,F1159-MIN(MAX(F1159,0),'P-Parametri'!$B$8*(F1159+E1159)))</f>
        <v>0</v>
      </c>
      <c r="I1159" s="18">
        <f t="shared" si="23"/>
        <v>19.251122627720179</v>
      </c>
      <c r="J1159" s="18">
        <f>IF(D1159=0,J1158,J1158+C1159*B1159*'P-Parametri'!$B$6)</f>
        <v>53254.37807802733</v>
      </c>
      <c r="K1159" s="18">
        <f>IF(D1159=0,K1158,K1158+'P-Parametri'!$B$8*(F1159+E1159))</f>
        <v>12299.503055543875</v>
      </c>
    </row>
    <row r="1160" spans="1:11">
      <c r="A1160" s="10">
        <f>40</f>
        <v>40</v>
      </c>
      <c r="B1160" s="11">
        <f t="shared" si="21"/>
        <v>0</v>
      </c>
      <c r="C1160" s="18">
        <f>IF(D1159=0,0,MIN(MAX(H1159,0),((MAX(0,'1-Input'!$B$10-IF($A1160&gt;='1-Input'!$C$12,'1-Input'!$B$12,0))-MIN(MAX(G1159,0),MAX(0,'1-Input'!$B$10-IF($A1160&gt;='1-Input'!$C$12,'1-Input'!$B$12,0))))+MAX(0,3*'1-Input'!$B$10-(G1159-MIN(MAX(G1159,0),MAX(0,'1-Input'!$B$10-IF($A1160&gt;='1-Input'!$C$12,'1-Input'!$B$12,0))))))*(1/(1-'P-Parametri'!$B$6*B1160))))</f>
        <v>0</v>
      </c>
      <c r="D1160" s="10">
        <f>IF(AND(D1159=1,G1159+H1159&gt;0.000001,C1160*(1-'P-Parametri'!$B$6*B1160)&gt;=(MAX(0,'1-Input'!$B$10-IF($A1160&gt;='1-Input'!$C$12,'1-Input'!$B$12,0))-MIN(MAX(G1159,0),MAX(0,'1-Input'!$B$10-IF($A1160&gt;='1-Input'!$C$12,'1-Input'!$B$12,0))))-0.000001),1,0)</f>
        <v>0</v>
      </c>
      <c r="E1160" s="18">
        <f>IF(D1160=0,G1159,(G1159-MAX(0,'1-Input'!$B$10-IF($A1160&gt;='1-Input'!$C$12,'1-Input'!$B$12,0))+C1160*(1-'P-Parametri'!$B$6*B1160))*(1+'1-Input'!$B$27))</f>
        <v>5980.7873264390373</v>
      </c>
      <c r="F1160" s="18">
        <f t="shared" si="22"/>
        <v>0</v>
      </c>
      <c r="G1160" s="18">
        <f>IF(D1160=0,G1159,E1160-'P-Parametri'!$B$8*(F1160+E1160)+MIN(MAX(F1160,0),'P-Parametri'!$B$8*(F1160+E1160)))</f>
        <v>5980.7873264390373</v>
      </c>
      <c r="H1160" s="18">
        <f>IF(D1160=0,H1159,F1160-MIN(MAX(F1160,0),'P-Parametri'!$B$8*(F1160+E1160)))</f>
        <v>0</v>
      </c>
      <c r="I1160" s="18">
        <f t="shared" si="23"/>
        <v>19.251122627720179</v>
      </c>
      <c r="J1160" s="18">
        <f>IF(D1160=0,J1159,J1159+C1160*B1160*'P-Parametri'!$B$6)</f>
        <v>53254.37807802733</v>
      </c>
      <c r="K1160" s="18">
        <f>IF(D1160=0,K1159,K1159+'P-Parametri'!$B$8*(F1160+E1160))</f>
        <v>12299.503055543875</v>
      </c>
    </row>
    <row r="1161" spans="1:11">
      <c r="A1161" s="10">
        <f>41</f>
        <v>41</v>
      </c>
      <c r="B1161" s="11">
        <f t="shared" si="21"/>
        <v>0</v>
      </c>
      <c r="C1161" s="18">
        <f>IF(D1160=0,0,MIN(MAX(H1160,0),((MAX(0,'1-Input'!$B$10-IF($A1161&gt;='1-Input'!$C$12,'1-Input'!$B$12,0))-MIN(MAX(G1160,0),MAX(0,'1-Input'!$B$10-IF($A1161&gt;='1-Input'!$C$12,'1-Input'!$B$12,0))))+MAX(0,3*'1-Input'!$B$10-(G1160-MIN(MAX(G1160,0),MAX(0,'1-Input'!$B$10-IF($A1161&gt;='1-Input'!$C$12,'1-Input'!$B$12,0))))))*(1/(1-'P-Parametri'!$B$6*B1161))))</f>
        <v>0</v>
      </c>
      <c r="D1161" s="10">
        <f>IF(AND(D1160=1,G1160+H1160&gt;0.000001,C1161*(1-'P-Parametri'!$B$6*B1161)&gt;=(MAX(0,'1-Input'!$B$10-IF($A1161&gt;='1-Input'!$C$12,'1-Input'!$B$12,0))-MIN(MAX(G1160,0),MAX(0,'1-Input'!$B$10-IF($A1161&gt;='1-Input'!$C$12,'1-Input'!$B$12,0))))-0.000001),1,0)</f>
        <v>0</v>
      </c>
      <c r="E1161" s="18">
        <f>IF(D1161=0,G1160,(G1160-MAX(0,'1-Input'!$B$10-IF($A1161&gt;='1-Input'!$C$12,'1-Input'!$B$12,0))+C1161*(1-'P-Parametri'!$B$6*B1161))*(1+'1-Input'!$B$27))</f>
        <v>5980.7873264390373</v>
      </c>
      <c r="F1161" s="18">
        <f t="shared" si="22"/>
        <v>0</v>
      </c>
      <c r="G1161" s="18">
        <f>IF(D1161=0,G1160,E1161-'P-Parametri'!$B$8*(F1161+E1161)+MIN(MAX(F1161,0),'P-Parametri'!$B$8*(F1161+E1161)))</f>
        <v>5980.7873264390373</v>
      </c>
      <c r="H1161" s="18">
        <f>IF(D1161=0,H1160,F1161-MIN(MAX(F1161,0),'P-Parametri'!$B$8*(F1161+E1161)))</f>
        <v>0</v>
      </c>
      <c r="I1161" s="18">
        <f t="shared" si="23"/>
        <v>19.251122627720179</v>
      </c>
      <c r="J1161" s="18">
        <f>IF(D1161=0,J1160,J1160+C1161*B1161*'P-Parametri'!$B$6)</f>
        <v>53254.37807802733</v>
      </c>
      <c r="K1161" s="18">
        <f>IF(D1161=0,K1160,K1160+'P-Parametri'!$B$8*(F1161+E1161))</f>
        <v>12299.503055543875</v>
      </c>
    </row>
    <row r="1162" spans="1:11">
      <c r="A1162" s="10">
        <f>42</f>
        <v>42</v>
      </c>
      <c r="B1162" s="11">
        <f t="shared" si="21"/>
        <v>0</v>
      </c>
      <c r="C1162" s="18">
        <f>IF(D1161=0,0,MIN(MAX(H1161,0),((MAX(0,'1-Input'!$B$10-IF($A1162&gt;='1-Input'!$C$12,'1-Input'!$B$12,0))-MIN(MAX(G1161,0),MAX(0,'1-Input'!$B$10-IF($A1162&gt;='1-Input'!$C$12,'1-Input'!$B$12,0))))+MAX(0,3*'1-Input'!$B$10-(G1161-MIN(MAX(G1161,0),MAX(0,'1-Input'!$B$10-IF($A1162&gt;='1-Input'!$C$12,'1-Input'!$B$12,0))))))*(1/(1-'P-Parametri'!$B$6*B1162))))</f>
        <v>0</v>
      </c>
      <c r="D1162" s="10">
        <f>IF(AND(D1161=1,G1161+H1161&gt;0.000001,C1162*(1-'P-Parametri'!$B$6*B1162)&gt;=(MAX(0,'1-Input'!$B$10-IF($A1162&gt;='1-Input'!$C$12,'1-Input'!$B$12,0))-MIN(MAX(G1161,0),MAX(0,'1-Input'!$B$10-IF($A1162&gt;='1-Input'!$C$12,'1-Input'!$B$12,0))))-0.000001),1,0)</f>
        <v>0</v>
      </c>
      <c r="E1162" s="18">
        <f>IF(D1162=0,G1161,(G1161-MAX(0,'1-Input'!$B$10-IF($A1162&gt;='1-Input'!$C$12,'1-Input'!$B$12,0))+C1162*(1-'P-Parametri'!$B$6*B1162))*(1+'1-Input'!$B$27))</f>
        <v>5980.7873264390373</v>
      </c>
      <c r="F1162" s="18">
        <f t="shared" si="22"/>
        <v>0</v>
      </c>
      <c r="G1162" s="18">
        <f>IF(D1162=0,G1161,E1162-'P-Parametri'!$B$8*(F1162+E1162)+MIN(MAX(F1162,0),'P-Parametri'!$B$8*(F1162+E1162)))</f>
        <v>5980.7873264390373</v>
      </c>
      <c r="H1162" s="18">
        <f>IF(D1162=0,H1161,F1162-MIN(MAX(F1162,0),'P-Parametri'!$B$8*(F1162+E1162)))</f>
        <v>0</v>
      </c>
      <c r="I1162" s="18">
        <f t="shared" si="23"/>
        <v>19.251122627720179</v>
      </c>
      <c r="J1162" s="18">
        <f>IF(D1162=0,J1161,J1161+C1162*B1162*'P-Parametri'!$B$6)</f>
        <v>53254.37807802733</v>
      </c>
      <c r="K1162" s="18">
        <f>IF(D1162=0,K1161,K1161+'P-Parametri'!$B$8*(F1162+E1162))</f>
        <v>12299.503055543875</v>
      </c>
    </row>
    <row r="1163" spans="1:11">
      <c r="A1163" s="10">
        <f>43</f>
        <v>43</v>
      </c>
      <c r="B1163" s="11">
        <f t="shared" si="21"/>
        <v>0</v>
      </c>
      <c r="C1163" s="18">
        <f>IF(D1162=0,0,MIN(MAX(H1162,0),((MAX(0,'1-Input'!$B$10-IF($A1163&gt;='1-Input'!$C$12,'1-Input'!$B$12,0))-MIN(MAX(G1162,0),MAX(0,'1-Input'!$B$10-IF($A1163&gt;='1-Input'!$C$12,'1-Input'!$B$12,0))))+MAX(0,3*'1-Input'!$B$10-(G1162-MIN(MAX(G1162,0),MAX(0,'1-Input'!$B$10-IF($A1163&gt;='1-Input'!$C$12,'1-Input'!$B$12,0))))))*(1/(1-'P-Parametri'!$B$6*B1163))))</f>
        <v>0</v>
      </c>
      <c r="D1163" s="10">
        <f>IF(AND(D1162=1,G1162+H1162&gt;0.000001,C1163*(1-'P-Parametri'!$B$6*B1163)&gt;=(MAX(0,'1-Input'!$B$10-IF($A1163&gt;='1-Input'!$C$12,'1-Input'!$B$12,0))-MIN(MAX(G1162,0),MAX(0,'1-Input'!$B$10-IF($A1163&gt;='1-Input'!$C$12,'1-Input'!$B$12,0))))-0.000001),1,0)</f>
        <v>0</v>
      </c>
      <c r="E1163" s="18">
        <f>IF(D1163=0,G1162,(G1162-MAX(0,'1-Input'!$B$10-IF($A1163&gt;='1-Input'!$C$12,'1-Input'!$B$12,0))+C1163*(1-'P-Parametri'!$B$6*B1163))*(1+'1-Input'!$B$27))</f>
        <v>5980.7873264390373</v>
      </c>
      <c r="F1163" s="18">
        <f t="shared" si="22"/>
        <v>0</v>
      </c>
      <c r="G1163" s="18">
        <f>IF(D1163=0,G1162,E1163-'P-Parametri'!$B$8*(F1163+E1163)+MIN(MAX(F1163,0),'P-Parametri'!$B$8*(F1163+E1163)))</f>
        <v>5980.7873264390373</v>
      </c>
      <c r="H1163" s="18">
        <f>IF(D1163=0,H1162,F1163-MIN(MAX(F1163,0),'P-Parametri'!$B$8*(F1163+E1163)))</f>
        <v>0</v>
      </c>
      <c r="I1163" s="18">
        <f t="shared" si="23"/>
        <v>19.251122627720179</v>
      </c>
      <c r="J1163" s="18">
        <f>IF(D1163=0,J1162,J1162+C1163*B1163*'P-Parametri'!$B$6)</f>
        <v>53254.37807802733</v>
      </c>
      <c r="K1163" s="18">
        <f>IF(D1163=0,K1162,K1162+'P-Parametri'!$B$8*(F1163+E1163))</f>
        <v>12299.503055543875</v>
      </c>
    </row>
    <row r="1164" spans="1:11">
      <c r="A1164" s="10">
        <f>44</f>
        <v>44</v>
      </c>
      <c r="B1164" s="11">
        <f t="shared" si="21"/>
        <v>0</v>
      </c>
      <c r="C1164" s="18">
        <f>IF(D1163=0,0,MIN(MAX(H1163,0),((MAX(0,'1-Input'!$B$10-IF($A1164&gt;='1-Input'!$C$12,'1-Input'!$B$12,0))-MIN(MAX(G1163,0),MAX(0,'1-Input'!$B$10-IF($A1164&gt;='1-Input'!$C$12,'1-Input'!$B$12,0))))+MAX(0,3*'1-Input'!$B$10-(G1163-MIN(MAX(G1163,0),MAX(0,'1-Input'!$B$10-IF($A1164&gt;='1-Input'!$C$12,'1-Input'!$B$12,0))))))*(1/(1-'P-Parametri'!$B$6*B1164))))</f>
        <v>0</v>
      </c>
      <c r="D1164" s="10">
        <f>IF(AND(D1163=1,G1163+H1163&gt;0.000001,C1164*(1-'P-Parametri'!$B$6*B1164)&gt;=(MAX(0,'1-Input'!$B$10-IF($A1164&gt;='1-Input'!$C$12,'1-Input'!$B$12,0))-MIN(MAX(G1163,0),MAX(0,'1-Input'!$B$10-IF($A1164&gt;='1-Input'!$C$12,'1-Input'!$B$12,0))))-0.000001),1,0)</f>
        <v>0</v>
      </c>
      <c r="E1164" s="18">
        <f>IF(D1164=0,G1163,(G1163-MAX(0,'1-Input'!$B$10-IF($A1164&gt;='1-Input'!$C$12,'1-Input'!$B$12,0))+C1164*(1-'P-Parametri'!$B$6*B1164))*(1+'1-Input'!$B$27))</f>
        <v>5980.7873264390373</v>
      </c>
      <c r="F1164" s="18">
        <f t="shared" si="22"/>
        <v>0</v>
      </c>
      <c r="G1164" s="18">
        <f>IF(D1164=0,G1163,E1164-'P-Parametri'!$B$8*(F1164+E1164)+MIN(MAX(F1164,0),'P-Parametri'!$B$8*(F1164+E1164)))</f>
        <v>5980.7873264390373</v>
      </c>
      <c r="H1164" s="18">
        <f>IF(D1164=0,H1163,F1164-MIN(MAX(F1164,0),'P-Parametri'!$B$8*(F1164+E1164)))</f>
        <v>0</v>
      </c>
      <c r="I1164" s="18">
        <f t="shared" si="23"/>
        <v>19.251122627720179</v>
      </c>
      <c r="J1164" s="18">
        <f>IF(D1164=0,J1163,J1163+C1164*B1164*'P-Parametri'!$B$6)</f>
        <v>53254.37807802733</v>
      </c>
      <c r="K1164" s="18">
        <f>IF(D1164=0,K1163,K1163+'P-Parametri'!$B$8*(F1164+E1164))</f>
        <v>12299.503055543875</v>
      </c>
    </row>
    <row r="1165" spans="1:11">
      <c r="A1165" s="10">
        <f>45</f>
        <v>45</v>
      </c>
      <c r="B1165" s="11">
        <f t="shared" si="21"/>
        <v>0</v>
      </c>
      <c r="C1165" s="18">
        <f>IF(D1164=0,0,MIN(MAX(H1164,0),((MAX(0,'1-Input'!$B$10-IF($A1165&gt;='1-Input'!$C$12,'1-Input'!$B$12,0))-MIN(MAX(G1164,0),MAX(0,'1-Input'!$B$10-IF($A1165&gt;='1-Input'!$C$12,'1-Input'!$B$12,0))))+MAX(0,3*'1-Input'!$B$10-(G1164-MIN(MAX(G1164,0),MAX(0,'1-Input'!$B$10-IF($A1165&gt;='1-Input'!$C$12,'1-Input'!$B$12,0))))))*(1/(1-'P-Parametri'!$B$6*B1165))))</f>
        <v>0</v>
      </c>
      <c r="D1165" s="10">
        <f>IF(AND(D1164=1,G1164+H1164&gt;0.000001,C1165*(1-'P-Parametri'!$B$6*B1165)&gt;=(MAX(0,'1-Input'!$B$10-IF($A1165&gt;='1-Input'!$C$12,'1-Input'!$B$12,0))-MIN(MAX(G1164,0),MAX(0,'1-Input'!$B$10-IF($A1165&gt;='1-Input'!$C$12,'1-Input'!$B$12,0))))-0.000001),1,0)</f>
        <v>0</v>
      </c>
      <c r="E1165" s="18">
        <f>IF(D1165=0,G1164,(G1164-MAX(0,'1-Input'!$B$10-IF($A1165&gt;='1-Input'!$C$12,'1-Input'!$B$12,0))+C1165*(1-'P-Parametri'!$B$6*B1165))*(1+'1-Input'!$B$27))</f>
        <v>5980.7873264390373</v>
      </c>
      <c r="F1165" s="18">
        <f t="shared" si="22"/>
        <v>0</v>
      </c>
      <c r="G1165" s="18">
        <f>IF(D1165=0,G1164,E1165-'P-Parametri'!$B$8*(F1165+E1165)+MIN(MAX(F1165,0),'P-Parametri'!$B$8*(F1165+E1165)))</f>
        <v>5980.7873264390373</v>
      </c>
      <c r="H1165" s="18">
        <f>IF(D1165=0,H1164,F1165-MIN(MAX(F1165,0),'P-Parametri'!$B$8*(F1165+E1165)))</f>
        <v>0</v>
      </c>
      <c r="I1165" s="18">
        <f t="shared" si="23"/>
        <v>19.251122627720179</v>
      </c>
      <c r="J1165" s="18">
        <f>IF(D1165=0,J1164,J1164+C1165*B1165*'P-Parametri'!$B$6)</f>
        <v>53254.37807802733</v>
      </c>
      <c r="K1165" s="18">
        <f>IF(D1165=0,K1164,K1164+'P-Parametri'!$B$8*(F1165+E1165))</f>
        <v>12299.503055543875</v>
      </c>
    </row>
    <row r="1166" spans="1:11">
      <c r="A1166" s="10">
        <f>46</f>
        <v>46</v>
      </c>
      <c r="B1166" s="11">
        <f t="shared" si="21"/>
        <v>0</v>
      </c>
      <c r="C1166" s="18">
        <f>IF(D1165=0,0,MIN(MAX(H1165,0),((MAX(0,'1-Input'!$B$10-IF($A1166&gt;='1-Input'!$C$12,'1-Input'!$B$12,0))-MIN(MAX(G1165,0),MAX(0,'1-Input'!$B$10-IF($A1166&gt;='1-Input'!$C$12,'1-Input'!$B$12,0))))+MAX(0,3*'1-Input'!$B$10-(G1165-MIN(MAX(G1165,0),MAX(0,'1-Input'!$B$10-IF($A1166&gt;='1-Input'!$C$12,'1-Input'!$B$12,0))))))*(1/(1-'P-Parametri'!$B$6*B1166))))</f>
        <v>0</v>
      </c>
      <c r="D1166" s="10">
        <f>IF(AND(D1165=1,G1165+H1165&gt;0.000001,C1166*(1-'P-Parametri'!$B$6*B1166)&gt;=(MAX(0,'1-Input'!$B$10-IF($A1166&gt;='1-Input'!$C$12,'1-Input'!$B$12,0))-MIN(MAX(G1165,0),MAX(0,'1-Input'!$B$10-IF($A1166&gt;='1-Input'!$C$12,'1-Input'!$B$12,0))))-0.000001),1,0)</f>
        <v>0</v>
      </c>
      <c r="E1166" s="18">
        <f>IF(D1166=0,G1165,(G1165-MAX(0,'1-Input'!$B$10-IF($A1166&gt;='1-Input'!$C$12,'1-Input'!$B$12,0))+C1166*(1-'P-Parametri'!$B$6*B1166))*(1+'1-Input'!$B$27))</f>
        <v>5980.7873264390373</v>
      </c>
      <c r="F1166" s="18">
        <f t="shared" si="22"/>
        <v>0</v>
      </c>
      <c r="G1166" s="18">
        <f>IF(D1166=0,G1165,E1166-'P-Parametri'!$B$8*(F1166+E1166)+MIN(MAX(F1166,0),'P-Parametri'!$B$8*(F1166+E1166)))</f>
        <v>5980.7873264390373</v>
      </c>
      <c r="H1166" s="18">
        <f>IF(D1166=0,H1165,F1166-MIN(MAX(F1166,0),'P-Parametri'!$B$8*(F1166+E1166)))</f>
        <v>0</v>
      </c>
      <c r="I1166" s="18">
        <f t="shared" si="23"/>
        <v>19.251122627720179</v>
      </c>
      <c r="J1166" s="18">
        <f>IF(D1166=0,J1165,J1165+C1166*B1166*'P-Parametri'!$B$6)</f>
        <v>53254.37807802733</v>
      </c>
      <c r="K1166" s="18">
        <f>IF(D1166=0,K1165,K1165+'P-Parametri'!$B$8*(F1166+E1166))</f>
        <v>12299.503055543875</v>
      </c>
    </row>
    <row r="1167" spans="1:11">
      <c r="A1167" s="10">
        <f>47</f>
        <v>47</v>
      </c>
      <c r="B1167" s="11">
        <f t="shared" si="21"/>
        <v>0</v>
      </c>
      <c r="C1167" s="18">
        <f>IF(D1166=0,0,MIN(MAX(H1166,0),((MAX(0,'1-Input'!$B$10-IF($A1167&gt;='1-Input'!$C$12,'1-Input'!$B$12,0))-MIN(MAX(G1166,0),MAX(0,'1-Input'!$B$10-IF($A1167&gt;='1-Input'!$C$12,'1-Input'!$B$12,0))))+MAX(0,3*'1-Input'!$B$10-(G1166-MIN(MAX(G1166,0),MAX(0,'1-Input'!$B$10-IF($A1167&gt;='1-Input'!$C$12,'1-Input'!$B$12,0))))))*(1/(1-'P-Parametri'!$B$6*B1167))))</f>
        <v>0</v>
      </c>
      <c r="D1167" s="10">
        <f>IF(AND(D1166=1,G1166+H1166&gt;0.000001,C1167*(1-'P-Parametri'!$B$6*B1167)&gt;=(MAX(0,'1-Input'!$B$10-IF($A1167&gt;='1-Input'!$C$12,'1-Input'!$B$12,0))-MIN(MAX(G1166,0),MAX(0,'1-Input'!$B$10-IF($A1167&gt;='1-Input'!$C$12,'1-Input'!$B$12,0))))-0.000001),1,0)</f>
        <v>0</v>
      </c>
      <c r="E1167" s="18">
        <f>IF(D1167=0,G1166,(G1166-MAX(0,'1-Input'!$B$10-IF($A1167&gt;='1-Input'!$C$12,'1-Input'!$B$12,0))+C1167*(1-'P-Parametri'!$B$6*B1167))*(1+'1-Input'!$B$27))</f>
        <v>5980.7873264390373</v>
      </c>
      <c r="F1167" s="18">
        <f t="shared" si="22"/>
        <v>0</v>
      </c>
      <c r="G1167" s="18">
        <f>IF(D1167=0,G1166,E1167-'P-Parametri'!$B$8*(F1167+E1167)+MIN(MAX(F1167,0),'P-Parametri'!$B$8*(F1167+E1167)))</f>
        <v>5980.7873264390373</v>
      </c>
      <c r="H1167" s="18">
        <f>IF(D1167=0,H1166,F1167-MIN(MAX(F1167,0),'P-Parametri'!$B$8*(F1167+E1167)))</f>
        <v>0</v>
      </c>
      <c r="I1167" s="18">
        <f t="shared" si="23"/>
        <v>19.251122627720179</v>
      </c>
      <c r="J1167" s="18">
        <f>IF(D1167=0,J1166,J1166+C1167*B1167*'P-Parametri'!$B$6)</f>
        <v>53254.37807802733</v>
      </c>
      <c r="K1167" s="18">
        <f>IF(D1167=0,K1166,K1166+'P-Parametri'!$B$8*(F1167+E1167))</f>
        <v>12299.503055543875</v>
      </c>
    </row>
    <row r="1168" spans="1:11">
      <c r="A1168" s="10">
        <f>48</f>
        <v>48</v>
      </c>
      <c r="B1168" s="11">
        <f t="shared" si="21"/>
        <v>0</v>
      </c>
      <c r="C1168" s="18">
        <f>IF(D1167=0,0,MIN(MAX(H1167,0),((MAX(0,'1-Input'!$B$10-IF($A1168&gt;='1-Input'!$C$12,'1-Input'!$B$12,0))-MIN(MAX(G1167,0),MAX(0,'1-Input'!$B$10-IF($A1168&gt;='1-Input'!$C$12,'1-Input'!$B$12,0))))+MAX(0,3*'1-Input'!$B$10-(G1167-MIN(MAX(G1167,0),MAX(0,'1-Input'!$B$10-IF($A1168&gt;='1-Input'!$C$12,'1-Input'!$B$12,0))))))*(1/(1-'P-Parametri'!$B$6*B1168))))</f>
        <v>0</v>
      </c>
      <c r="D1168" s="10">
        <f>IF(AND(D1167=1,G1167+H1167&gt;0.000001,C1168*(1-'P-Parametri'!$B$6*B1168)&gt;=(MAX(0,'1-Input'!$B$10-IF($A1168&gt;='1-Input'!$C$12,'1-Input'!$B$12,0))-MIN(MAX(G1167,0),MAX(0,'1-Input'!$B$10-IF($A1168&gt;='1-Input'!$C$12,'1-Input'!$B$12,0))))-0.000001),1,0)</f>
        <v>0</v>
      </c>
      <c r="E1168" s="18">
        <f>IF(D1168=0,G1167,(G1167-MAX(0,'1-Input'!$B$10-IF($A1168&gt;='1-Input'!$C$12,'1-Input'!$B$12,0))+C1168*(1-'P-Parametri'!$B$6*B1168))*(1+'1-Input'!$B$27))</f>
        <v>5980.7873264390373</v>
      </c>
      <c r="F1168" s="18">
        <f t="shared" si="22"/>
        <v>0</v>
      </c>
      <c r="G1168" s="18">
        <f>IF(D1168=0,G1167,E1168-'P-Parametri'!$B$8*(F1168+E1168)+MIN(MAX(F1168,0),'P-Parametri'!$B$8*(F1168+E1168)))</f>
        <v>5980.7873264390373</v>
      </c>
      <c r="H1168" s="18">
        <f>IF(D1168=0,H1167,F1168-MIN(MAX(F1168,0),'P-Parametri'!$B$8*(F1168+E1168)))</f>
        <v>0</v>
      </c>
      <c r="I1168" s="18">
        <f t="shared" si="23"/>
        <v>19.251122627720179</v>
      </c>
      <c r="J1168" s="18">
        <f>IF(D1168=0,J1167,J1167+C1168*B1168*'P-Parametri'!$B$6)</f>
        <v>53254.37807802733</v>
      </c>
      <c r="K1168" s="18">
        <f>IF(D1168=0,K1167,K1167+'P-Parametri'!$B$8*(F1168+E1168))</f>
        <v>12299.503055543875</v>
      </c>
    </row>
    <row r="1169" spans="1:11">
      <c r="A1169" s="10">
        <f>49</f>
        <v>49</v>
      </c>
      <c r="B1169" s="11">
        <f t="shared" si="21"/>
        <v>0</v>
      </c>
      <c r="C1169" s="18">
        <f>IF(D1168=0,0,MIN(MAX(H1168,0),((MAX(0,'1-Input'!$B$10-IF($A1169&gt;='1-Input'!$C$12,'1-Input'!$B$12,0))-MIN(MAX(G1168,0),MAX(0,'1-Input'!$B$10-IF($A1169&gt;='1-Input'!$C$12,'1-Input'!$B$12,0))))+MAX(0,3*'1-Input'!$B$10-(G1168-MIN(MAX(G1168,0),MAX(0,'1-Input'!$B$10-IF($A1169&gt;='1-Input'!$C$12,'1-Input'!$B$12,0))))))*(1/(1-'P-Parametri'!$B$6*B1169))))</f>
        <v>0</v>
      </c>
      <c r="D1169" s="10">
        <f>IF(AND(D1168=1,G1168+H1168&gt;0.000001,C1169*(1-'P-Parametri'!$B$6*B1169)&gt;=(MAX(0,'1-Input'!$B$10-IF($A1169&gt;='1-Input'!$C$12,'1-Input'!$B$12,0))-MIN(MAX(G1168,0),MAX(0,'1-Input'!$B$10-IF($A1169&gt;='1-Input'!$C$12,'1-Input'!$B$12,0))))-0.000001),1,0)</f>
        <v>0</v>
      </c>
      <c r="E1169" s="18">
        <f>IF(D1169=0,G1168,(G1168-MAX(0,'1-Input'!$B$10-IF($A1169&gt;='1-Input'!$C$12,'1-Input'!$B$12,0))+C1169*(1-'P-Parametri'!$B$6*B1169))*(1+'1-Input'!$B$27))</f>
        <v>5980.7873264390373</v>
      </c>
      <c r="F1169" s="18">
        <f t="shared" si="22"/>
        <v>0</v>
      </c>
      <c r="G1169" s="18">
        <f>IF(D1169=0,G1168,E1169-'P-Parametri'!$B$8*(F1169+E1169)+MIN(MAX(F1169,0),'P-Parametri'!$B$8*(F1169+E1169)))</f>
        <v>5980.7873264390373</v>
      </c>
      <c r="H1169" s="18">
        <f>IF(D1169=0,H1168,F1169-MIN(MAX(F1169,0),'P-Parametri'!$B$8*(F1169+E1169)))</f>
        <v>0</v>
      </c>
      <c r="I1169" s="18">
        <f t="shared" si="23"/>
        <v>19.251122627720179</v>
      </c>
      <c r="J1169" s="18">
        <f>IF(D1169=0,J1168,J1168+C1169*B1169*'P-Parametri'!$B$6)</f>
        <v>53254.37807802733</v>
      </c>
      <c r="K1169" s="18">
        <f>IF(D1169=0,K1168,K1168+'P-Parametri'!$B$8*(F1169+E1169))</f>
        <v>12299.503055543875</v>
      </c>
    </row>
    <row r="1170" spans="1:11">
      <c r="A1170" s="10">
        <f>50</f>
        <v>50</v>
      </c>
      <c r="B1170" s="11">
        <f t="shared" si="21"/>
        <v>0</v>
      </c>
      <c r="C1170" s="18">
        <f>IF(D1169=0,0,MIN(MAX(H1169,0),((MAX(0,'1-Input'!$B$10-IF($A1170&gt;='1-Input'!$C$12,'1-Input'!$B$12,0))-MIN(MAX(G1169,0),MAX(0,'1-Input'!$B$10-IF($A1170&gt;='1-Input'!$C$12,'1-Input'!$B$12,0))))+MAX(0,3*'1-Input'!$B$10-(G1169-MIN(MAX(G1169,0),MAX(0,'1-Input'!$B$10-IF($A1170&gt;='1-Input'!$C$12,'1-Input'!$B$12,0))))))*(1/(1-'P-Parametri'!$B$6*B1170))))</f>
        <v>0</v>
      </c>
      <c r="D1170" s="10">
        <f>IF(AND(D1169=1,G1169+H1169&gt;0.000001,C1170*(1-'P-Parametri'!$B$6*B1170)&gt;=(MAX(0,'1-Input'!$B$10-IF($A1170&gt;='1-Input'!$C$12,'1-Input'!$B$12,0))-MIN(MAX(G1169,0),MAX(0,'1-Input'!$B$10-IF($A1170&gt;='1-Input'!$C$12,'1-Input'!$B$12,0))))-0.000001),1,0)</f>
        <v>0</v>
      </c>
      <c r="E1170" s="18">
        <f>IF(D1170=0,G1169,(G1169-MAX(0,'1-Input'!$B$10-IF($A1170&gt;='1-Input'!$C$12,'1-Input'!$B$12,0))+C1170*(1-'P-Parametri'!$B$6*B1170))*(1+'1-Input'!$B$27))</f>
        <v>5980.7873264390373</v>
      </c>
      <c r="F1170" s="18">
        <f t="shared" si="22"/>
        <v>0</v>
      </c>
      <c r="G1170" s="18">
        <f>IF(D1170=0,G1169,E1170-'P-Parametri'!$B$8*(F1170+E1170)+MIN(MAX(F1170,0),'P-Parametri'!$B$8*(F1170+E1170)))</f>
        <v>5980.7873264390373</v>
      </c>
      <c r="H1170" s="18">
        <f>IF(D1170=0,H1169,F1170-MIN(MAX(F1170,0),'P-Parametri'!$B$8*(F1170+E1170)))</f>
        <v>0</v>
      </c>
      <c r="I1170" s="18">
        <f t="shared" si="23"/>
        <v>19.251122627720179</v>
      </c>
      <c r="J1170" s="18">
        <f>IF(D1170=0,J1169,J1169+C1170*B1170*'P-Parametri'!$B$6)</f>
        <v>53254.37807802733</v>
      </c>
      <c r="K1170" s="18">
        <f>IF(D1170=0,K1169,K1169+'P-Parametri'!$B$8*(F1170+E1170))</f>
        <v>12299.503055543875</v>
      </c>
    </row>
    <row r="1171" spans="1:11">
      <c r="B1171" s="10">
        <f>SUM(D1121:D1170)</f>
        <v>29</v>
      </c>
      <c r="C1171" s="18">
        <f>J1170</f>
        <v>53254.37807802733</v>
      </c>
      <c r="D1171" s="18">
        <f>K1170</f>
        <v>12299.503055543875</v>
      </c>
    </row>
    <row r="1173" spans="1:11">
      <c r="A1173" s="2" t="s">
        <v>386</v>
      </c>
    </row>
    <row r="1175" spans="1:11" ht="30">
      <c r="A1175" s="25" t="s">
        <v>262</v>
      </c>
      <c r="B1175" s="25" t="s">
        <v>361</v>
      </c>
      <c r="C1175" s="25" t="s">
        <v>263</v>
      </c>
      <c r="D1175" s="25" t="s">
        <v>305</v>
      </c>
      <c r="E1175" s="25" t="s">
        <v>362</v>
      </c>
      <c r="F1175" s="25" t="s">
        <v>363</v>
      </c>
      <c r="G1175" s="25" t="s">
        <v>264</v>
      </c>
      <c r="H1175" s="25" t="s">
        <v>265</v>
      </c>
      <c r="I1175" s="25" t="s">
        <v>364</v>
      </c>
      <c r="J1175" s="25" t="s">
        <v>381</v>
      </c>
      <c r="K1175" s="25" t="s">
        <v>382</v>
      </c>
    </row>
    <row r="1176" spans="1:11">
      <c r="A1176" s="3">
        <v>0</v>
      </c>
      <c r="D1176" s="10">
        <f>1</f>
        <v>1</v>
      </c>
      <c r="G1176" s="18">
        <f>MIN(5*'1-Input'!$B$10,'2-Caso'!$B$12)</f>
        <v>99000</v>
      </c>
      <c r="H1176" s="18">
        <f>'2-Caso'!$B$12-G1176</f>
        <v>339975.13985857379</v>
      </c>
      <c r="I1176" s="18">
        <f>'2-Caso'!$B$13*H1176/'2-Caso'!$B$12</f>
        <v>266419.29688553215</v>
      </c>
      <c r="J1176" s="18">
        <f>0</f>
        <v>0</v>
      </c>
      <c r="K1176" s="18">
        <f>0</f>
        <v>0</v>
      </c>
    </row>
    <row r="1177" spans="1:11">
      <c r="A1177" s="10">
        <f>1</f>
        <v>1</v>
      </c>
      <c r="B1177" s="11">
        <f t="shared" ref="B1177:B1208" si="24">IF(H1176&lt;=0,0,MAX(0,(H1176-I1176)/H1176))</f>
        <v>0.21635653419729492</v>
      </c>
      <c r="C1177" s="18">
        <f>IF(D1176=0,0,MIN(MAX(H1176,0),((MAX(0,'1-Input'!$B$10-IF($A1177&gt;='1-Input'!$C$12,'1-Input'!$B$12,0))-MIN(MAX(G1176,0),MAX(0,'1-Input'!$B$10-IF($A1177&gt;='1-Input'!$C$12,'1-Input'!$B$12,0))))+MAX(0,5*'1-Input'!$B$10-(G1176-MIN(MAX(G1176,0),MAX(0,'1-Input'!$B$10-IF($A1177&gt;='1-Input'!$C$12,'1-Input'!$B$12,0))))))*(1/(1-'P-Parametri'!$B$6*B1177))))</f>
        <v>20980.192448486148</v>
      </c>
      <c r="D1177" s="10">
        <f>IF(AND(D1176=1,G1176+H1176&gt;0.000001,C1177*(1-'P-Parametri'!$B$6*B1177)&gt;=(MAX(0,'1-Input'!$B$10-IF($A1177&gt;='1-Input'!$C$12,'1-Input'!$B$12,0))-MIN(MAX(G1176,0),MAX(0,'1-Input'!$B$10-IF($A1177&gt;='1-Input'!$C$12,'1-Input'!$B$12,0))))-0.000001),1,0)</f>
        <v>1</v>
      </c>
      <c r="E1177" s="18">
        <f>IF(D1177=0,G1176,(G1176-MAX(0,'1-Input'!$B$10-IF($A1177&gt;='1-Input'!$C$12,'1-Input'!$B$12,0))+C1177*(1-'P-Parametri'!$B$6*B1177))*(1+'1-Input'!$B$27))</f>
        <v>98643.599999999991</v>
      </c>
      <c r="F1177" s="18">
        <f t="shared" ref="F1177:F1208" si="25">IF(D1177=0,H1176,(H1176-C1177)*(1+$C$4))</f>
        <v>328564.79583239026</v>
      </c>
      <c r="G1177" s="18">
        <f>IF(D1177=0,G1176,E1177-'P-Parametri'!$B$8*(F1177+E1177)+MIN(MAX(F1177,0),'P-Parametri'!$B$8*(F1177+E1177)))</f>
        <v>98643.599999999991</v>
      </c>
      <c r="H1177" s="18">
        <f>IF(D1177=0,H1176,F1177-MIN(MAX(F1177,0),'P-Parametri'!$B$8*(F1177+E1177)))</f>
        <v>327710.37904072547</v>
      </c>
      <c r="I1177" s="18">
        <f t="shared" ref="I1177:I1208" si="26">IF(D1177=0,I1176,I1176-C1177*(1-B1177))</f>
        <v>249978.30616199272</v>
      </c>
      <c r="J1177" s="18">
        <f>IF(D1177=0,J1176,J1176+C1177*B1177*'P-Parametri'!$B$6)</f>
        <v>1180.1924484861477</v>
      </c>
      <c r="K1177" s="18">
        <f>IF(D1177=0,K1176,K1176+'P-Parametri'!$B$8*(F1177+E1177))</f>
        <v>854.41679166478048</v>
      </c>
    </row>
    <row r="1178" spans="1:11">
      <c r="A1178" s="10">
        <f>2</f>
        <v>2</v>
      </c>
      <c r="B1178" s="11">
        <f t="shared" si="24"/>
        <v>0.23719747023658586</v>
      </c>
      <c r="C1178" s="18">
        <f>IF(D1177=0,0,MIN(MAX(H1177,0),((MAX(0,'1-Input'!$B$10-IF($A1178&gt;='1-Input'!$C$12,'1-Input'!$B$12,0))-MIN(MAX(G1177,0),MAX(0,'1-Input'!$B$10-IF($A1178&gt;='1-Input'!$C$12,'1-Input'!$B$12,0))))+MAX(0,5*'1-Input'!$B$10-(G1177-MIN(MAX(G1177,0),MAX(0,'1-Input'!$B$10-IF($A1178&gt;='1-Input'!$C$12,'1-Input'!$B$12,0))))))*(1/(1-'P-Parametri'!$B$6*B1178))))</f>
        <v>21481.172757293745</v>
      </c>
      <c r="D1178" s="10">
        <f>IF(AND(D1177=1,G1177+H1177&gt;0.000001,C1178*(1-'P-Parametri'!$B$6*B1178)&gt;=(MAX(0,'1-Input'!$B$10-IF($A1178&gt;='1-Input'!$C$12,'1-Input'!$B$12,0))-MIN(MAX(G1177,0),MAX(0,'1-Input'!$B$10-IF($A1178&gt;='1-Input'!$C$12,'1-Input'!$B$12,0))))-0.000001),1,0)</f>
        <v>1</v>
      </c>
      <c r="E1178" s="18">
        <f>IF(D1178=0,G1177,(G1177-MAX(0,'1-Input'!$B$10-IF($A1178&gt;='1-Input'!$C$12,'1-Input'!$B$12,0))+C1178*(1-'P-Parametri'!$B$6*B1178))*(1+'1-Input'!$B$27))</f>
        <v>98643.599999999991</v>
      </c>
      <c r="F1178" s="18">
        <f t="shared" si="25"/>
        <v>315416.08247193467</v>
      </c>
      <c r="G1178" s="18">
        <f>IF(D1178=0,G1177,E1178-'P-Parametri'!$B$8*(F1178+E1178)+MIN(MAX(F1178,0),'P-Parametri'!$B$8*(F1178+E1178)))</f>
        <v>98643.599999999991</v>
      </c>
      <c r="H1178" s="18">
        <f>IF(D1178=0,H1177,F1178-MIN(MAX(F1178,0),'P-Parametri'!$B$8*(F1178+E1178)))</f>
        <v>314587.96310699079</v>
      </c>
      <c r="I1178" s="18">
        <f t="shared" si="26"/>
        <v>233592.41324044412</v>
      </c>
      <c r="J1178" s="18">
        <f>IF(D1178=0,J1177,J1177+C1178*B1178*'P-Parametri'!$B$6)</f>
        <v>2504.9652057798849</v>
      </c>
      <c r="K1178" s="18">
        <f>IF(D1178=0,K1177,K1177+'P-Parametri'!$B$8*(F1178+E1178))</f>
        <v>1682.5361566086499</v>
      </c>
    </row>
    <row r="1179" spans="1:11">
      <c r="A1179" s="10">
        <f>3</f>
        <v>3</v>
      </c>
      <c r="B1179" s="11">
        <f t="shared" si="24"/>
        <v>0.25746550842760707</v>
      </c>
      <c r="C1179" s="18">
        <f>IF(D1178=0,0,MIN(MAX(H1178,0),((MAX(0,'1-Input'!$B$10-IF($A1179&gt;='1-Input'!$C$12,'1-Input'!$B$12,0))-MIN(MAX(G1178,0),MAX(0,'1-Input'!$B$10-IF($A1179&gt;='1-Input'!$C$12,'1-Input'!$B$12,0))))+MAX(0,5*'1-Input'!$B$10-(G1178-MIN(MAX(G1178,0),MAX(0,'1-Input'!$B$10-IF($A1179&gt;='1-Input'!$C$12,'1-Input'!$B$12,0))))))*(1/(1-'P-Parametri'!$B$6*B1179))))</f>
        <v>21602.493192187962</v>
      </c>
      <c r="D1179" s="10">
        <f>IF(AND(D1178=1,G1178+H1178&gt;0.000001,C1179*(1-'P-Parametri'!$B$6*B1179)&gt;=(MAX(0,'1-Input'!$B$10-IF($A1179&gt;='1-Input'!$C$12,'1-Input'!$B$12,0))-MIN(MAX(G1178,0),MAX(0,'1-Input'!$B$10-IF($A1179&gt;='1-Input'!$C$12,'1-Input'!$B$12,0))))-0.000001),1,0)</f>
        <v>1</v>
      </c>
      <c r="E1179" s="18">
        <f>IF(D1179=0,G1178,(G1178-MAX(0,'1-Input'!$B$10-IF($A1179&gt;='1-Input'!$C$12,'1-Input'!$B$12,0))+C1179*(1-'P-Parametri'!$B$6*B1179))*(1+'1-Input'!$B$27))</f>
        <v>98643.599999999991</v>
      </c>
      <c r="F1179" s="18">
        <f t="shared" si="25"/>
        <v>301775.03401224694</v>
      </c>
      <c r="G1179" s="18">
        <f>IF(D1179=0,G1178,E1179-'P-Parametri'!$B$8*(F1179+E1179)+MIN(MAX(F1179,0),'P-Parametri'!$B$8*(F1179+E1179)))</f>
        <v>98643.599999999991</v>
      </c>
      <c r="H1179" s="18">
        <f>IF(D1179=0,H1178,F1179-MIN(MAX(F1179,0),'P-Parametri'!$B$8*(F1179+E1179)))</f>
        <v>300974.19674422243</v>
      </c>
      <c r="I1179" s="18">
        <f t="shared" si="26"/>
        <v>217551.81694128676</v>
      </c>
      <c r="J1179" s="18">
        <f>IF(D1179=0,J1178,J1178+C1179*B1179*'P-Parametri'!$B$6)</f>
        <v>3951.0583979678395</v>
      </c>
      <c r="K1179" s="18">
        <f>IF(D1179=0,K1178,K1178+'P-Parametri'!$B$8*(F1179+E1179))</f>
        <v>2483.3734246331437</v>
      </c>
    </row>
    <row r="1180" spans="1:11">
      <c r="A1180" s="10">
        <f>4</f>
        <v>4</v>
      </c>
      <c r="B1180" s="11">
        <f t="shared" si="24"/>
        <v>0.27717452427933781</v>
      </c>
      <c r="C1180" s="18">
        <f>IF(D1179=0,0,MIN(MAX(H1179,0),((MAX(0,'1-Input'!$B$10-IF($A1180&gt;='1-Input'!$C$12,'1-Input'!$B$12,0))-MIN(MAX(G1179,0),MAX(0,'1-Input'!$B$10-IF($A1180&gt;='1-Input'!$C$12,'1-Input'!$B$12,0))))+MAX(0,5*'1-Input'!$B$10-(G1179-MIN(MAX(G1179,0),MAX(0,'1-Input'!$B$10-IF($A1180&gt;='1-Input'!$C$12,'1-Input'!$B$12,0))))))*(1/(1-'P-Parametri'!$B$6*B1180))))</f>
        <v>21721.788890583353</v>
      </c>
      <c r="D1180" s="10">
        <f>IF(AND(D1179=1,G1179+H1179&gt;0.000001,C1180*(1-'P-Parametri'!$B$6*B1180)&gt;=(MAX(0,'1-Input'!$B$10-IF($A1180&gt;='1-Input'!$C$12,'1-Input'!$B$12,0))-MIN(MAX(G1179,0),MAX(0,'1-Input'!$B$10-IF($A1180&gt;='1-Input'!$C$12,'1-Input'!$B$12,0))))-0.000001),1,0)</f>
        <v>1</v>
      </c>
      <c r="E1180" s="18">
        <f>IF(D1180=0,G1179,(G1179-MAX(0,'1-Input'!$B$10-IF($A1180&gt;='1-Input'!$C$12,'1-Input'!$B$12,0))+C1180*(1-'P-Parametri'!$B$6*B1180))*(1+'1-Input'!$B$27))</f>
        <v>98643.599999999991</v>
      </c>
      <c r="F1180" s="18">
        <f t="shared" si="25"/>
        <v>287629.98008924827</v>
      </c>
      <c r="G1180" s="18">
        <f>IF(D1180=0,G1179,E1180-'P-Parametri'!$B$8*(F1180+E1180)+MIN(MAX(F1180,0),'P-Parametri'!$B$8*(F1180+E1180)))</f>
        <v>98643.599999999991</v>
      </c>
      <c r="H1180" s="18">
        <f>IF(D1180=0,H1179,F1180-MIN(MAX(F1180,0),'P-Parametri'!$B$8*(F1180+E1180)))</f>
        <v>286857.43292906979</v>
      </c>
      <c r="I1180" s="18">
        <f t="shared" si="26"/>
        <v>201850.75455294704</v>
      </c>
      <c r="J1180" s="18">
        <f>IF(D1180=0,J1179,J1179+C1180*B1180*'P-Parametri'!$B$6)</f>
        <v>5516.4472885511877</v>
      </c>
      <c r="K1180" s="18">
        <f>IF(D1180=0,K1179,K1179+'P-Parametri'!$B$8*(F1180+E1180))</f>
        <v>3255.9205848116403</v>
      </c>
    </row>
    <row r="1181" spans="1:11">
      <c r="A1181" s="10">
        <f>5</f>
        <v>5</v>
      </c>
      <c r="B1181" s="11">
        <f t="shared" si="24"/>
        <v>0.29633772256876484</v>
      </c>
      <c r="C1181" s="18">
        <f>IF(D1180=0,0,MIN(MAX(H1180,0),((MAX(0,'1-Input'!$B$10-IF($A1181&gt;='1-Input'!$C$12,'1-Input'!$B$12,0))-MIN(MAX(G1180,0),MAX(0,'1-Input'!$B$10-IF($A1181&gt;='1-Input'!$C$12,'1-Input'!$B$12,0))))+MAX(0,5*'1-Input'!$B$10-(G1180-MIN(MAX(G1180,0),MAX(0,'1-Input'!$B$10-IF($A1181&gt;='1-Input'!$C$12,'1-Input'!$B$12,0))))))*(1/(1-'P-Parametri'!$B$6*B1181))))</f>
        <v>21839.051005921017</v>
      </c>
      <c r="D1181" s="10">
        <f>IF(AND(D1180=1,G1180+H1180&gt;0.000001,C1181*(1-'P-Parametri'!$B$6*B1181)&gt;=(MAX(0,'1-Input'!$B$10-IF($A1181&gt;='1-Input'!$C$12,'1-Input'!$B$12,0))-MIN(MAX(G1180,0),MAX(0,'1-Input'!$B$10-IF($A1181&gt;='1-Input'!$C$12,'1-Input'!$B$12,0))))-0.000001),1,0)</f>
        <v>1</v>
      </c>
      <c r="E1181" s="18">
        <f>IF(D1181=0,G1180,(G1180-MAX(0,'1-Input'!$B$10-IF($A1181&gt;='1-Input'!$C$12,'1-Input'!$B$12,0))+C1181*(1-'P-Parametri'!$B$6*B1181))*(1+'1-Input'!$B$27))</f>
        <v>98643.599999999991</v>
      </c>
      <c r="F1181" s="18">
        <f t="shared" si="25"/>
        <v>272968.93338084326</v>
      </c>
      <c r="G1181" s="18">
        <f>IF(D1181=0,G1180,E1181-'P-Parametri'!$B$8*(F1181+E1181)+MIN(MAX(F1181,0),'P-Parametri'!$B$8*(F1181+E1181)))</f>
        <v>98643.599999999991</v>
      </c>
      <c r="H1181" s="18">
        <f>IF(D1181=0,H1180,F1181-MIN(MAX(F1181,0),'P-Parametri'!$B$8*(F1181+E1181)))</f>
        <v>272225.7083140816</v>
      </c>
      <c r="I1181" s="18">
        <f t="shared" si="26"/>
        <v>186483.43818518374</v>
      </c>
      <c r="J1181" s="18">
        <f>IF(D1181=0,J1180,J1180+C1181*B1181*'P-Parametri'!$B$6)</f>
        <v>7199.0982944721964</v>
      </c>
      <c r="K1181" s="18">
        <f>IF(D1181=0,K1180,K1180+'P-Parametri'!$B$8*(F1181+E1181))</f>
        <v>3999.1456515733266</v>
      </c>
    </row>
    <row r="1182" spans="1:11">
      <c r="A1182" s="10">
        <f>6</f>
        <v>6</v>
      </c>
      <c r="B1182" s="11">
        <f t="shared" si="24"/>
        <v>0.31496757106412721</v>
      </c>
      <c r="C1182" s="18">
        <f>IF(D1181=0,0,MIN(MAX(H1181,0),((MAX(0,'1-Input'!$B$10-IF($A1182&gt;='1-Input'!$C$12,'1-Input'!$B$12,0))-MIN(MAX(G1181,0),MAX(0,'1-Input'!$B$10-IF($A1182&gt;='1-Input'!$C$12,'1-Input'!$B$12,0))))+MAX(0,5*'1-Input'!$B$10-(G1181-MIN(MAX(G1181,0),MAX(0,'1-Input'!$B$10-IF($A1182&gt;='1-Input'!$C$12,'1-Input'!$B$12,0))))))*(1/(1-'P-Parametri'!$B$6*B1182))))</f>
        <v>21954.269569833359</v>
      </c>
      <c r="D1182" s="10">
        <f>IF(AND(D1181=1,G1181+H1181&gt;0.000001,C1182*(1-'P-Parametri'!$B$6*B1182)&gt;=(MAX(0,'1-Input'!$B$10-IF($A1182&gt;='1-Input'!$C$12,'1-Input'!$B$12,0))-MIN(MAX(G1181,0),MAX(0,'1-Input'!$B$10-IF($A1182&gt;='1-Input'!$C$12,'1-Input'!$B$12,0))))-0.000001),1,0)</f>
        <v>1</v>
      </c>
      <c r="E1182" s="18">
        <f>IF(D1182=0,G1181,(G1181-MAX(0,'1-Input'!$B$10-IF($A1182&gt;='1-Input'!$C$12,'1-Input'!$B$12,0))+C1182*(1-'P-Parametri'!$B$6*B1182))*(1+'1-Input'!$B$27))</f>
        <v>98643.599999999991</v>
      </c>
      <c r="F1182" s="18">
        <f t="shared" si="25"/>
        <v>257779.58190657568</v>
      </c>
      <c r="G1182" s="18">
        <f>IF(D1182=0,G1181,E1182-'P-Parametri'!$B$8*(F1182+E1182)+MIN(MAX(F1182,0),'P-Parametri'!$B$8*(F1182+E1182)))</f>
        <v>98643.599999999991</v>
      </c>
      <c r="H1182" s="18">
        <f>IF(D1182=0,H1181,F1182-MIN(MAX(F1182,0),'P-Parametri'!$B$8*(F1182+E1182)))</f>
        <v>257066.73554276253</v>
      </c>
      <c r="I1182" s="18">
        <f t="shared" si="26"/>
        <v>171444.05157624788</v>
      </c>
      <c r="J1182" s="18">
        <f>IF(D1182=0,J1181,J1181+C1182*B1182*'P-Parametri'!$B$6)</f>
        <v>8996.9678643055449</v>
      </c>
      <c r="K1182" s="18">
        <f>IF(D1182=0,K1181,K1181+'P-Parametri'!$B$8*(F1182+E1182))</f>
        <v>4711.9920153864778</v>
      </c>
    </row>
    <row r="1183" spans="1:11">
      <c r="A1183" s="10">
        <f>7</f>
        <v>7</v>
      </c>
      <c r="B1183" s="11">
        <f t="shared" si="24"/>
        <v>0.33307570419694188</v>
      </c>
      <c r="C1183" s="18">
        <f>IF(D1182=0,0,MIN(MAX(H1182,0),((MAX(0,'1-Input'!$B$10-IF($A1183&gt;='1-Input'!$C$12,'1-Input'!$B$12,0))-MIN(MAX(G1182,0),MAX(0,'1-Input'!$B$10-IF($A1183&gt;='1-Input'!$C$12,'1-Input'!$B$12,0))))+MAX(0,5*'1-Input'!$B$10-(G1182-MIN(MAX(G1182,0),MAX(0,'1-Input'!$B$10-IF($A1183&gt;='1-Input'!$C$12,'1-Input'!$B$12,0))))))*(1/(1-'P-Parametri'!$B$6*B1183))))</f>
        <v>22067.432676413959</v>
      </c>
      <c r="D1183" s="10">
        <f>IF(AND(D1182=1,G1182+H1182&gt;0.000001,C1183*(1-'P-Parametri'!$B$6*B1183)&gt;=(MAX(0,'1-Input'!$B$10-IF($A1183&gt;='1-Input'!$C$12,'1-Input'!$B$12,0))-MIN(MAX(G1182,0),MAX(0,'1-Input'!$B$10-IF($A1183&gt;='1-Input'!$C$12,'1-Input'!$B$12,0))))-0.000001),1,0)</f>
        <v>1</v>
      </c>
      <c r="E1183" s="18">
        <f>IF(D1183=0,G1182,(G1182-MAX(0,'1-Input'!$B$10-IF($A1183&gt;='1-Input'!$C$12,'1-Input'!$B$12,0))+C1183*(1-'P-Parametri'!$B$6*B1183))*(1+'1-Input'!$B$27))</f>
        <v>98643.599999999991</v>
      </c>
      <c r="F1183" s="18">
        <f t="shared" si="25"/>
        <v>242049.28195233902</v>
      </c>
      <c r="G1183" s="18">
        <f>IF(D1183=0,G1182,E1183-'P-Parametri'!$B$8*(F1183+E1183)+MIN(MAX(F1183,0),'P-Parametri'!$B$8*(F1183+E1183)))</f>
        <v>98643.599999999991</v>
      </c>
      <c r="H1183" s="18">
        <f>IF(D1183=0,H1182,F1183-MIN(MAX(F1183,0),'P-Parametri'!$B$8*(F1183+E1183)))</f>
        <v>241367.89618843433</v>
      </c>
      <c r="I1183" s="18">
        <f t="shared" si="26"/>
        <v>156726.74457834911</v>
      </c>
      <c r="J1183" s="18">
        <f>IF(D1183=0,J1182,J1182+C1183*B1183*'P-Parametri'!$B$6)</f>
        <v>10908.000540719493</v>
      </c>
      <c r="K1183" s="18">
        <f>IF(D1183=0,K1182,K1182+'P-Parametri'!$B$8*(F1183+E1183))</f>
        <v>5393.377779291156</v>
      </c>
    </row>
    <row r="1184" spans="1:11">
      <c r="A1184" s="10">
        <f>8</f>
        <v>8</v>
      </c>
      <c r="B1184" s="11">
        <f t="shared" si="24"/>
        <v>0.35067278186824991</v>
      </c>
      <c r="C1184" s="18">
        <f>IF(D1183=0,0,MIN(MAX(H1183,0),((MAX(0,'1-Input'!$B$10-IF($A1184&gt;='1-Input'!$C$12,'1-Input'!$B$12,0))-MIN(MAX(G1183,0),MAX(0,'1-Input'!$B$10-IF($A1184&gt;='1-Input'!$C$12,'1-Input'!$B$12,0))))+MAX(0,5*'1-Input'!$B$10-(G1183-MIN(MAX(G1183,0),MAX(0,'1-Input'!$B$10-IF($A1184&gt;='1-Input'!$C$12,'1-Input'!$B$12,0))))))*(1/(1-'P-Parametri'!$B$6*B1184))))</f>
        <v>22178.525347114086</v>
      </c>
      <c r="D1184" s="10">
        <f>IF(AND(D1183=1,G1183+H1183&gt;0.000001,C1184*(1-'P-Parametri'!$B$6*B1184)&gt;=(MAX(0,'1-Input'!$B$10-IF($A1184&gt;='1-Input'!$C$12,'1-Input'!$B$12,0))-MIN(MAX(G1183,0),MAX(0,'1-Input'!$B$10-IF($A1184&gt;='1-Input'!$C$12,'1-Input'!$B$12,0))))-0.000001),1,0)</f>
        <v>1</v>
      </c>
      <c r="E1184" s="18">
        <f>IF(D1184=0,G1183,(G1183-MAX(0,'1-Input'!$B$10-IF($A1184&gt;='1-Input'!$C$12,'1-Input'!$B$12,0))+C1184*(1-'P-Parametri'!$B$6*B1184))*(1+'1-Input'!$B$27))</f>
        <v>98643.599999999991</v>
      </c>
      <c r="F1184" s="18">
        <f t="shared" si="25"/>
        <v>225765.05196655987</v>
      </c>
      <c r="G1184" s="18">
        <f>IF(D1184=0,G1183,E1184-'P-Parametri'!$B$8*(F1184+E1184)+MIN(MAX(F1184,0),'P-Parametri'!$B$8*(F1184+E1184)))</f>
        <v>98643.599999999991</v>
      </c>
      <c r="H1184" s="18">
        <f>IF(D1184=0,H1183,F1184-MIN(MAX(F1184,0),'P-Parametri'!$B$8*(F1184+E1184)))</f>
        <v>225116.23466262675</v>
      </c>
      <c r="I1184" s="18">
        <f t="shared" si="26"/>
        <v>142325.62441244302</v>
      </c>
      <c r="J1184" s="18">
        <f>IF(D1184=0,J1183,J1183+C1184*B1184*'P-Parametri'!$B$6)</f>
        <v>12930.12588783357</v>
      </c>
      <c r="K1184" s="18">
        <f>IF(D1184=0,K1183,K1183+'P-Parametri'!$B$8*(F1184+E1184))</f>
        <v>6042.1950832242755</v>
      </c>
    </row>
    <row r="1185" spans="1:11">
      <c r="A1185" s="10">
        <f>9</f>
        <v>9</v>
      </c>
      <c r="B1185" s="11">
        <f t="shared" si="24"/>
        <v>0.36776827923698574</v>
      </c>
      <c r="C1185" s="18">
        <f>IF(D1184=0,0,MIN(MAX(H1184,0),((MAX(0,'1-Input'!$B$10-IF($A1185&gt;='1-Input'!$C$12,'1-Input'!$B$12,0))-MIN(MAX(G1184,0),MAX(0,'1-Input'!$B$10-IF($A1185&gt;='1-Input'!$C$12,'1-Input'!$B$12,0))))+MAX(0,5*'1-Input'!$B$10-(G1184-MIN(MAX(G1184,0),MAX(0,'1-Input'!$B$10-IF($A1185&gt;='1-Input'!$C$12,'1-Input'!$B$12,0))))))*(1/(1-'P-Parametri'!$B$6*B1185))))</f>
        <v>22287.527904311934</v>
      </c>
      <c r="D1185" s="10">
        <f>IF(AND(D1184=1,G1184+H1184&gt;0.000001,C1185*(1-'P-Parametri'!$B$6*B1185)&gt;=(MAX(0,'1-Input'!$B$10-IF($A1185&gt;='1-Input'!$C$12,'1-Input'!$B$12,0))-MIN(MAX(G1184,0),MAX(0,'1-Input'!$B$10-IF($A1185&gt;='1-Input'!$C$12,'1-Input'!$B$12,0))))-0.000001),1,0)</f>
        <v>1</v>
      </c>
      <c r="E1185" s="18">
        <f>IF(D1185=0,G1184,(G1184-MAX(0,'1-Input'!$B$10-IF($A1185&gt;='1-Input'!$C$12,'1-Input'!$B$12,0))+C1185*(1-'P-Parametri'!$B$6*B1185))*(1+'1-Input'!$B$27))</f>
        <v>98643.599999999991</v>
      </c>
      <c r="F1185" s="18">
        <f t="shared" si="25"/>
        <v>208913.56796106428</v>
      </c>
      <c r="G1185" s="18">
        <f>IF(D1185=0,G1184,E1185-'P-Parametri'!$B$8*(F1185+E1185)+MIN(MAX(F1185,0),'P-Parametri'!$B$8*(F1185+E1185)))</f>
        <v>98643.599999999991</v>
      </c>
      <c r="H1185" s="18">
        <f>IF(D1185=0,H1184,F1185-MIN(MAX(F1185,0),'P-Parametri'!$B$8*(F1185+E1185)))</f>
        <v>208298.45362514217</v>
      </c>
      <c r="I1185" s="18">
        <f t="shared" si="26"/>
        <v>128234.7422939462</v>
      </c>
      <c r="J1185" s="18">
        <f>IF(D1185=0,J1184,J1184+C1185*B1185*'P-Parametri'!$B$6)</f>
        <v>15061.253792145497</v>
      </c>
      <c r="K1185" s="18">
        <f>IF(D1185=0,K1184,K1184+'P-Parametri'!$B$8*(F1185+E1185))</f>
        <v>6657.3094191464043</v>
      </c>
    </row>
    <row r="1186" spans="1:11">
      <c r="A1186" s="10">
        <f>10</f>
        <v>10</v>
      </c>
      <c r="B1186" s="11">
        <f t="shared" si="24"/>
        <v>0.38437016664214002</v>
      </c>
      <c r="C1186" s="18">
        <f>IF(D1185=0,0,MIN(MAX(H1185,0),((MAX(0,'1-Input'!$B$10-IF($A1186&gt;='1-Input'!$C$12,'1-Input'!$B$12,0))-MIN(MAX(G1185,0),MAX(0,'1-Input'!$B$10-IF($A1186&gt;='1-Input'!$C$12,'1-Input'!$B$12,0))))+MAX(0,5*'1-Input'!$B$10-(G1185-MIN(MAX(G1185,0),MAX(0,'1-Input'!$B$10-IF($A1186&gt;='1-Input'!$C$12,'1-Input'!$B$12,0))))))*(1/(1-'P-Parametri'!$B$6*B1186))))</f>
        <v>22394.413562996077</v>
      </c>
      <c r="D1186" s="10">
        <f>IF(AND(D1185=1,G1185+H1185&gt;0.000001,C1186*(1-'P-Parametri'!$B$6*B1186)&gt;=(MAX(0,'1-Input'!$B$10-IF($A1186&gt;='1-Input'!$C$12,'1-Input'!$B$12,0))-MIN(MAX(G1185,0),MAX(0,'1-Input'!$B$10-IF($A1186&gt;='1-Input'!$C$12,'1-Input'!$B$12,0))))-0.000001),1,0)</f>
        <v>1</v>
      </c>
      <c r="E1186" s="18">
        <f>IF(D1186=0,G1185,(G1185-MAX(0,'1-Input'!$B$10-IF($A1186&gt;='1-Input'!$C$12,'1-Input'!$B$12,0))+C1186*(1-'P-Parametri'!$B$6*B1186))*(1+'1-Input'!$B$27))</f>
        <v>98643.599999999991</v>
      </c>
      <c r="F1186" s="18">
        <f t="shared" si="25"/>
        <v>191481.16126401047</v>
      </c>
      <c r="G1186" s="18">
        <f>IF(D1186=0,G1185,E1186-'P-Parametri'!$B$8*(F1186+E1186)+MIN(MAX(F1186,0),'P-Parametri'!$B$8*(F1186+E1186)))</f>
        <v>98643.599999999991</v>
      </c>
      <c r="H1186" s="18">
        <f>IF(D1186=0,H1185,F1186-MIN(MAX(F1186,0),'P-Parametri'!$B$8*(F1186+E1186)))</f>
        <v>190900.91174148244</v>
      </c>
      <c r="I1186" s="18">
        <f t="shared" si="26"/>
        <v>114448.07320401192</v>
      </c>
      <c r="J1186" s="18">
        <f>IF(D1186=0,J1185,J1185+C1186*B1186*'P-Parametri'!$B$6)</f>
        <v>17299.267355141565</v>
      </c>
      <c r="K1186" s="18">
        <f>IF(D1186=0,K1185,K1185+'P-Parametri'!$B$8*(F1186+E1186))</f>
        <v>7237.5589416744251</v>
      </c>
    </row>
    <row r="1187" spans="1:11">
      <c r="A1187" s="10">
        <f>11</f>
        <v>11</v>
      </c>
      <c r="B1187" s="11">
        <f t="shared" si="24"/>
        <v>0.40048440753914666</v>
      </c>
      <c r="C1187" s="18">
        <f>IF(D1186=0,0,MIN(MAX(H1186,0),((MAX(0,'1-Input'!$B$10-IF($A1187&gt;='1-Input'!$C$12,'1-Input'!$B$12,0))-MIN(MAX(G1186,0),MAX(0,'1-Input'!$B$10-IF($A1187&gt;='1-Input'!$C$12,'1-Input'!$B$12,0))))+MAX(0,5*'1-Input'!$B$10-(G1186-MIN(MAX(G1186,0),MAX(0,'1-Input'!$B$10-IF($A1187&gt;='1-Input'!$C$12,'1-Input'!$B$12,0))))))*(1/(1-'P-Parametri'!$B$6*B1187))))</f>
        <v>22499.14472810935</v>
      </c>
      <c r="D1187" s="10">
        <f>IF(AND(D1186=1,G1186+H1186&gt;0.000001,C1187*(1-'P-Parametri'!$B$6*B1187)&gt;=(MAX(0,'1-Input'!$B$10-IF($A1187&gt;='1-Input'!$C$12,'1-Input'!$B$12,0))-MIN(MAX(G1186,0),MAX(0,'1-Input'!$B$10-IF($A1187&gt;='1-Input'!$C$12,'1-Input'!$B$12,0))))-0.000001),1,0)</f>
        <v>1</v>
      </c>
      <c r="E1187" s="18">
        <f>IF(D1187=0,G1186,(G1186-MAX(0,'1-Input'!$B$10-IF($A1187&gt;='1-Input'!$C$12,'1-Input'!$B$12,0))+C1187*(1-'P-Parametri'!$B$6*B1187))*(1+'1-Input'!$B$27))</f>
        <v>98643.599999999991</v>
      </c>
      <c r="F1187" s="18">
        <f t="shared" si="25"/>
        <v>173453.82002377429</v>
      </c>
      <c r="G1187" s="18">
        <f>IF(D1187=0,G1186,E1187-'P-Parametri'!$B$8*(F1187+E1187)+MIN(MAX(F1187,0),'P-Parametri'!$B$8*(F1187+E1187)))</f>
        <v>98643.599999999991</v>
      </c>
      <c r="H1187" s="18">
        <f>IF(D1187=0,H1186,F1187-MIN(MAX(F1187,0),'P-Parametri'!$B$8*(F1187+E1187)))</f>
        <v>172909.62518372675</v>
      </c>
      <c r="I1187" s="18">
        <f t="shared" si="26"/>
        <v>100959.48512247695</v>
      </c>
      <c r="J1187" s="18">
        <f>IF(D1187=0,J1186,J1186+C1187*B1187*'P-Parametri'!$B$6)</f>
        <v>19642.012083250906</v>
      </c>
      <c r="K1187" s="18">
        <f>IF(D1187=0,K1186,K1186+'P-Parametri'!$B$8*(F1187+E1187))</f>
        <v>7781.7537817219736</v>
      </c>
    </row>
    <row r="1188" spans="1:11">
      <c r="A1188" s="10">
        <f>12</f>
        <v>12</v>
      </c>
      <c r="B1188" s="11">
        <f t="shared" si="24"/>
        <v>0.41611414046383188</v>
      </c>
      <c r="C1188" s="18">
        <f>IF(D1187=0,0,MIN(MAX(H1187,0),((MAX(0,'1-Input'!$B$10-IF($A1188&gt;='1-Input'!$C$12,'1-Input'!$B$12,0))-MIN(MAX(G1187,0),MAX(0,'1-Input'!$B$10-IF($A1188&gt;='1-Input'!$C$12,'1-Input'!$B$12,0))))+MAX(0,5*'1-Input'!$B$10-(G1187-MIN(MAX(G1187,0),MAX(0,'1-Input'!$B$10-IF($A1188&gt;='1-Input'!$C$12,'1-Input'!$B$12,0))))))*(1/(1-'P-Parametri'!$B$6*B1188))))</f>
        <v>22601.667046597628</v>
      </c>
      <c r="D1188" s="10">
        <f>IF(AND(D1187=1,G1187+H1187&gt;0.000001,C1188*(1-'P-Parametri'!$B$6*B1188)&gt;=(MAX(0,'1-Input'!$B$10-IF($A1188&gt;='1-Input'!$C$12,'1-Input'!$B$12,0))-MIN(MAX(G1187,0),MAX(0,'1-Input'!$B$10-IF($A1188&gt;='1-Input'!$C$12,'1-Input'!$B$12,0))))-0.000001),1,0)</f>
        <v>1</v>
      </c>
      <c r="E1188" s="18">
        <f>IF(D1188=0,G1187,(G1187-MAX(0,'1-Input'!$B$10-IF($A1188&gt;='1-Input'!$C$12,'1-Input'!$B$12,0))+C1188*(1-'P-Parametri'!$B$6*B1188))*(1+'1-Input'!$B$27))</f>
        <v>98643.599999999991</v>
      </c>
      <c r="F1188" s="18">
        <f t="shared" si="25"/>
        <v>154817.196881243</v>
      </c>
      <c r="G1188" s="18">
        <f>IF(D1188=0,G1187,E1188-'P-Parametri'!$B$8*(F1188+E1188)+MIN(MAX(F1188,0),'P-Parametri'!$B$8*(F1188+E1188)))</f>
        <v>98643.599999999991</v>
      </c>
      <c r="H1188" s="18">
        <f>IF(D1188=0,H1187,F1188-MIN(MAX(F1188,0),'P-Parametri'!$B$8*(F1188+E1188)))</f>
        <v>154310.2752874805</v>
      </c>
      <c r="I1188" s="18">
        <f t="shared" si="26"/>
        <v>87762.691332024013</v>
      </c>
      <c r="J1188" s="18">
        <f>IF(D1188=0,J1187,J1187+C1188*B1188*'P-Parametri'!$B$6)</f>
        <v>22087.279129848524</v>
      </c>
      <c r="K1188" s="18">
        <f>IF(D1188=0,K1187,K1187+'P-Parametri'!$B$8*(F1188+E1188))</f>
        <v>8288.6753754844594</v>
      </c>
    </row>
    <row r="1189" spans="1:11">
      <c r="A1189" s="10">
        <f>13</f>
        <v>13</v>
      </c>
      <c r="B1189" s="11">
        <f t="shared" si="24"/>
        <v>0.43125828031528129</v>
      </c>
      <c r="C1189" s="18">
        <f>IF(D1188=0,0,MIN(MAX(H1188,0),((MAX(0,'1-Input'!$B$10-IF($A1189&gt;='1-Input'!$C$12,'1-Input'!$B$12,0))-MIN(MAX(G1188,0),MAX(0,'1-Input'!$B$10-IF($A1189&gt;='1-Input'!$C$12,'1-Input'!$B$12,0))))+MAX(0,5*'1-Input'!$B$10-(G1188-MIN(MAX(G1188,0),MAX(0,'1-Input'!$B$10-IF($A1189&gt;='1-Input'!$C$12,'1-Input'!$B$12,0))))))*(1/(1-'P-Parametri'!$B$6*B1189))))</f>
        <v>22701.899337755709</v>
      </c>
      <c r="D1189" s="10">
        <f>IF(AND(D1188=1,G1188+H1188&gt;0.000001,C1189*(1-'P-Parametri'!$B$6*B1189)&gt;=(MAX(0,'1-Input'!$B$10-IF($A1189&gt;='1-Input'!$C$12,'1-Input'!$B$12,0))-MIN(MAX(G1188,0),MAX(0,'1-Input'!$B$10-IF($A1189&gt;='1-Input'!$C$12,'1-Input'!$B$12,0))))-0.000001),1,0)</f>
        <v>1</v>
      </c>
      <c r="E1189" s="18">
        <f>IF(D1189=0,G1188,(G1188-MAX(0,'1-Input'!$B$10-IF($A1189&gt;='1-Input'!$C$12,'1-Input'!$B$12,0))+C1189*(1-'P-Parametri'!$B$6*B1189))*(1+'1-Input'!$B$27))</f>
        <v>98643.599999999991</v>
      </c>
      <c r="F1189" s="18">
        <f t="shared" si="25"/>
        <v>135556.62722821653</v>
      </c>
      <c r="G1189" s="18">
        <f>IF(D1189=0,G1188,E1189-'P-Parametri'!$B$8*(F1189+E1189)+MIN(MAX(F1189,0),'P-Parametri'!$B$8*(F1189+E1189)))</f>
        <v>98643.599999999991</v>
      </c>
      <c r="H1189" s="18">
        <f>IF(D1189=0,H1188,F1189-MIN(MAX(F1189,0),'P-Parametri'!$B$8*(F1189+E1189)))</f>
        <v>135088.22677376011</v>
      </c>
      <c r="I1189" s="18">
        <f t="shared" si="26"/>
        <v>74851.174062559454</v>
      </c>
      <c r="J1189" s="18">
        <f>IF(D1189=0,J1188,J1188+C1189*B1189*'P-Parametri'!$B$6)</f>
        <v>24632.778467604225</v>
      </c>
      <c r="K1189" s="18">
        <f>IF(D1189=0,K1188,K1188+'P-Parametri'!$B$8*(F1189+E1189))</f>
        <v>8757.0758299408917</v>
      </c>
    </row>
    <row r="1190" spans="1:11">
      <c r="A1190" s="10">
        <f>14</f>
        <v>14</v>
      </c>
      <c r="B1190" s="11">
        <f t="shared" si="24"/>
        <v>0.44590897482193659</v>
      </c>
      <c r="C1190" s="18">
        <f>IF(D1189=0,0,MIN(MAX(H1189,0),((MAX(0,'1-Input'!$B$10-IF($A1190&gt;='1-Input'!$C$12,'1-Input'!$B$12,0))-MIN(MAX(G1189,0),MAX(0,'1-Input'!$B$10-IF($A1190&gt;='1-Input'!$C$12,'1-Input'!$B$12,0))))+MAX(0,5*'1-Input'!$B$10-(G1189-MIN(MAX(G1189,0),MAX(0,'1-Input'!$B$10-IF($A1190&gt;='1-Input'!$C$12,'1-Input'!$B$12,0))))))*(1/(1-'P-Parametri'!$B$6*B1190))))</f>
        <v>22799.715408216543</v>
      </c>
      <c r="D1190" s="10">
        <f>IF(AND(D1189=1,G1189+H1189&gt;0.000001,C1190*(1-'P-Parametri'!$B$6*B1190)&gt;=(MAX(0,'1-Input'!$B$10-IF($A1190&gt;='1-Input'!$C$12,'1-Input'!$B$12,0))-MIN(MAX(G1189,0),MAX(0,'1-Input'!$B$10-IF($A1190&gt;='1-Input'!$C$12,'1-Input'!$B$12,0))))-0.000001),1,0)</f>
        <v>1</v>
      </c>
      <c r="E1190" s="18">
        <f>IF(D1190=0,G1189,(G1189-MAX(0,'1-Input'!$B$10-IF($A1190&gt;='1-Input'!$C$12,'1-Input'!$B$12,0))+C1190*(1-'P-Parametri'!$B$6*B1190))*(1+'1-Input'!$B$27))</f>
        <v>98643.599999999991</v>
      </c>
      <c r="F1190" s="18">
        <f t="shared" si="25"/>
        <v>115657.16670650986</v>
      </c>
      <c r="G1190" s="18">
        <f>IF(D1190=0,G1189,E1190-'P-Parametri'!$B$8*(F1190+E1190)+MIN(MAX(F1190,0),'P-Parametri'!$B$8*(F1190+E1190)))</f>
        <v>98643.599999999991</v>
      </c>
      <c r="H1190" s="18">
        <f>IF(D1190=0,H1189,F1190-MIN(MAX(F1190,0),'P-Parametri'!$B$8*(F1190+E1190)))</f>
        <v>115228.56517309684</v>
      </c>
      <c r="I1190" s="18">
        <f t="shared" si="26"/>
        <v>62218.056378252659</v>
      </c>
      <c r="J1190" s="18">
        <f>IF(D1190=0,J1189,J1189+C1190*B1190*'P-Parametri'!$B$6)</f>
        <v>27276.093875820759</v>
      </c>
      <c r="K1190" s="18">
        <f>IF(D1190=0,K1189,K1189+'P-Parametri'!$B$8*(F1190+E1190))</f>
        <v>9185.6773633539124</v>
      </c>
    </row>
    <row r="1191" spans="1:11">
      <c r="A1191" s="10">
        <f>15</f>
        <v>15</v>
      </c>
      <c r="B1191" s="11">
        <f t="shared" si="24"/>
        <v>0.46004659274557108</v>
      </c>
      <c r="C1191" s="18">
        <f>IF(D1190=0,0,MIN(MAX(H1190,0),((MAX(0,'1-Input'!$B$10-IF($A1191&gt;='1-Input'!$C$12,'1-Input'!$B$12,0))-MIN(MAX(G1190,0),MAX(0,'1-Input'!$B$10-IF($A1191&gt;='1-Input'!$C$12,'1-Input'!$B$12,0))))+MAX(0,5*'1-Input'!$B$10-(G1190-MIN(MAX(G1190,0),MAX(0,'1-Input'!$B$10-IF($A1191&gt;='1-Input'!$C$12,'1-Input'!$B$12,0))))))*(1/(1-'P-Parametri'!$B$6*B1191))))</f>
        <v>22894.908395646147</v>
      </c>
      <c r="D1191" s="10">
        <f>IF(AND(D1190=1,G1190+H1190&gt;0.000001,C1191*(1-'P-Parametri'!$B$6*B1191)&gt;=(MAX(0,'1-Input'!$B$10-IF($A1191&gt;='1-Input'!$C$12,'1-Input'!$B$12,0))-MIN(MAX(G1190,0),MAX(0,'1-Input'!$B$10-IF($A1191&gt;='1-Input'!$C$12,'1-Input'!$B$12,0))))-0.000001),1,0)</f>
        <v>1</v>
      </c>
      <c r="E1191" s="18">
        <f>IF(D1191=0,G1190,(G1190-MAX(0,'1-Input'!$B$10-IF($A1191&gt;='1-Input'!$C$12,'1-Input'!$B$12,0))+C1191*(1-'P-Parametri'!$B$6*B1191))*(1+'1-Input'!$B$27))</f>
        <v>98643.599999999991</v>
      </c>
      <c r="F1191" s="18">
        <f t="shared" si="25"/>
        <v>95103.66648077422</v>
      </c>
      <c r="G1191" s="18">
        <f>IF(D1191=0,G1190,E1191-'P-Parametri'!$B$8*(F1191+E1191)+MIN(MAX(F1191,0),'P-Parametri'!$B$8*(F1191+E1191)))</f>
        <v>98643.599999999991</v>
      </c>
      <c r="H1191" s="18">
        <f>IF(D1191=0,H1190,F1191-MIN(MAX(F1191,0),'P-Parametri'!$B$8*(F1191+E1191)))</f>
        <v>94716.171947812676</v>
      </c>
      <c r="I1191" s="18">
        <f t="shared" si="26"/>
        <v>49855.872581245487</v>
      </c>
      <c r="J1191" s="18">
        <f>IF(D1191=0,J1190,J1190+C1191*B1191*'P-Parametri'!$B$6)</f>
        <v>30014.602271466894</v>
      </c>
      <c r="K1191" s="18">
        <f>IF(D1191=0,K1190,K1190+'P-Parametri'!$B$8*(F1191+E1191))</f>
        <v>9573.1718963154599</v>
      </c>
    </row>
    <row r="1192" spans="1:11">
      <c r="A1192" s="10">
        <f>16</f>
        <v>16</v>
      </c>
      <c r="B1192" s="11">
        <f t="shared" si="24"/>
        <v>0.47362872088289848</v>
      </c>
      <c r="C1192" s="18">
        <f>IF(D1191=0,0,MIN(MAX(H1191,0),((MAX(0,'1-Input'!$B$10-IF($A1192&gt;='1-Input'!$C$12,'1-Input'!$B$12,0))-MIN(MAX(G1191,0),MAX(0,'1-Input'!$B$10-IF($A1192&gt;='1-Input'!$C$12,'1-Input'!$B$12,0))))+MAX(0,5*'1-Input'!$B$10-(G1191-MIN(MAX(G1191,0),MAX(0,'1-Input'!$B$10-IF($A1192&gt;='1-Input'!$C$12,'1-Input'!$B$12,0))))))*(1/(1-'P-Parametri'!$B$6*B1192))))</f>
        <v>22987.112773070035</v>
      </c>
      <c r="D1192" s="10">
        <f>IF(AND(D1191=1,G1191+H1191&gt;0.000001,C1192*(1-'P-Parametri'!$B$6*B1192)&gt;=(MAX(0,'1-Input'!$B$10-IF($A1192&gt;='1-Input'!$C$12,'1-Input'!$B$12,0))-MIN(MAX(G1191,0),MAX(0,'1-Input'!$B$10-IF($A1192&gt;='1-Input'!$C$12,'1-Input'!$B$12,0))))-0.000001),1,0)</f>
        <v>1</v>
      </c>
      <c r="E1192" s="18">
        <f>IF(D1192=0,G1191,(G1191-MAX(0,'1-Input'!$B$10-IF($A1192&gt;='1-Input'!$C$12,'1-Input'!$B$12,0))+C1192*(1-'P-Parametri'!$B$6*B1192))*(1+'1-Input'!$B$27))</f>
        <v>98643.599999999991</v>
      </c>
      <c r="F1192" s="18">
        <f t="shared" si="25"/>
        <v>73880.930949984919</v>
      </c>
      <c r="G1192" s="18">
        <f>IF(D1192=0,G1191,E1192-'P-Parametri'!$B$8*(F1192+E1192)+MIN(MAX(F1192,0),'P-Parametri'!$B$8*(F1192+E1192)))</f>
        <v>98643.599999999991</v>
      </c>
      <c r="H1192" s="18">
        <f>IF(D1192=0,H1191,F1192-MIN(MAX(F1192,0),'P-Parametri'!$B$8*(F1192+E1192)))</f>
        <v>73535.881888084943</v>
      </c>
      <c r="I1192" s="18">
        <f t="shared" si="26"/>
        <v>37756.116627675547</v>
      </c>
      <c r="J1192" s="18">
        <f>IF(D1192=0,J1191,J1191+C1192*B1192*'P-Parametri'!$B$6)</f>
        <v>32845.315044536917</v>
      </c>
      <c r="K1192" s="18">
        <f>IF(D1192=0,K1191,K1191+'P-Parametri'!$B$8*(F1192+E1192))</f>
        <v>9918.2209582154301</v>
      </c>
    </row>
    <row r="1193" spans="1:11">
      <c r="A1193" s="10">
        <f>17</f>
        <v>17</v>
      </c>
      <c r="B1193" s="11">
        <f t="shared" si="24"/>
        <v>0.48656199316223619</v>
      </c>
      <c r="C1193" s="18">
        <f>IF(D1192=0,0,MIN(MAX(H1192,0),((MAX(0,'1-Input'!$B$10-IF($A1193&gt;='1-Input'!$C$12,'1-Input'!$B$12,0))-MIN(MAX(G1192,0),MAX(0,'1-Input'!$B$10-IF($A1193&gt;='1-Input'!$C$12,'1-Input'!$B$12,0))))+MAX(0,5*'1-Input'!$B$10-(G1192-MIN(MAX(G1192,0),MAX(0,'1-Input'!$B$10-IF($A1193&gt;='1-Input'!$C$12,'1-Input'!$B$12,0))))))*(1/(1-'P-Parametri'!$B$6*B1193))))</f>
        <v>23075.60524519733</v>
      </c>
      <c r="D1193" s="10">
        <f>IF(AND(D1192=1,G1192+H1192&gt;0.000001,C1193*(1-'P-Parametri'!$B$6*B1193)&gt;=(MAX(0,'1-Input'!$B$10-IF($A1193&gt;='1-Input'!$C$12,'1-Input'!$B$12,0))-MIN(MAX(G1192,0),MAX(0,'1-Input'!$B$10-IF($A1193&gt;='1-Input'!$C$12,'1-Input'!$B$12,0))))-0.000001),1,0)</f>
        <v>1</v>
      </c>
      <c r="E1193" s="18">
        <f>IF(D1193=0,G1192,(G1192-MAX(0,'1-Input'!$B$10-IF($A1193&gt;='1-Input'!$C$12,'1-Input'!$B$12,0))+C1193*(1-'P-Parametri'!$B$6*B1193))*(1+'1-Input'!$B$27))</f>
        <v>98643.599999999991</v>
      </c>
      <c r="F1193" s="18">
        <f t="shared" si="25"/>
        <v>51974.084942174246</v>
      </c>
      <c r="G1193" s="18">
        <f>IF(D1193=0,G1192,E1193-'P-Parametri'!$B$8*(F1193+E1193)+MIN(MAX(F1193,0),'P-Parametri'!$B$8*(F1193+E1193)))</f>
        <v>98643.599999999991</v>
      </c>
      <c r="H1193" s="18">
        <f>IF(D1193=0,H1192,F1193-MIN(MAX(F1193,0),'P-Parametri'!$B$8*(F1193+E1193)))</f>
        <v>51672.849572289895</v>
      </c>
      <c r="I1193" s="18">
        <f t="shared" si="26"/>
        <v>25908.223864006381</v>
      </c>
      <c r="J1193" s="18">
        <f>IF(D1193=0,J1192,J1192+C1193*B1193*'P-Parametri'!$B$6)</f>
        <v>35764.520289734239</v>
      </c>
      <c r="K1193" s="18">
        <f>IF(D1193=0,K1192,K1192+'P-Parametri'!$B$8*(F1193+E1193))</f>
        <v>10219.456328099779</v>
      </c>
    </row>
    <row r="1194" spans="1:11">
      <c r="A1194" s="10">
        <f>18</f>
        <v>18</v>
      </c>
      <c r="B1194" s="11">
        <f t="shared" si="24"/>
        <v>0.4986105067079572</v>
      </c>
      <c r="C1194" s="18">
        <f>IF(D1193=0,0,MIN(MAX(H1193,0),((MAX(0,'1-Input'!$B$10-IF($A1194&gt;='1-Input'!$C$12,'1-Input'!$B$12,0))-MIN(MAX(G1193,0),MAX(0,'1-Input'!$B$10-IF($A1194&gt;='1-Input'!$C$12,'1-Input'!$B$12,0))))+MAX(0,5*'1-Input'!$B$10-(G1193-MIN(MAX(G1193,0),MAX(0,'1-Input'!$B$10-IF($A1194&gt;='1-Input'!$C$12,'1-Input'!$B$12,0))))))*(1/(1-'P-Parametri'!$B$6*B1194))))</f>
        <v>23158.659208710316</v>
      </c>
      <c r="D1194" s="10">
        <f>IF(AND(D1193=1,G1193+H1193&gt;0.000001,C1194*(1-'P-Parametri'!$B$6*B1194)&gt;=(MAX(0,'1-Input'!$B$10-IF($A1194&gt;='1-Input'!$C$12,'1-Input'!$B$12,0))-MIN(MAX(G1193,0),MAX(0,'1-Input'!$B$10-IF($A1194&gt;='1-Input'!$C$12,'1-Input'!$B$12,0))))-0.000001),1,0)</f>
        <v>1</v>
      </c>
      <c r="E1194" s="18">
        <f>IF(D1194=0,G1193,(G1193-MAX(0,'1-Input'!$B$10-IF($A1194&gt;='1-Input'!$C$12,'1-Input'!$B$12,0))+C1194*(1-'P-Parametri'!$B$6*B1194))*(1+'1-Input'!$B$27))</f>
        <v>98643.599999999991</v>
      </c>
      <c r="F1194" s="18">
        <f t="shared" si="25"/>
        <v>29369.616074486967</v>
      </c>
      <c r="G1194" s="18">
        <f>IF(D1194=0,G1193,E1194-'P-Parametri'!$B$8*(F1194+E1194)+MIN(MAX(F1194,0),'P-Parametri'!$B$8*(F1194+E1194)))</f>
        <v>98643.599999999991</v>
      </c>
      <c r="H1194" s="18">
        <f>IF(D1194=0,H1193,F1194-MIN(MAX(F1194,0),'P-Parametri'!$B$8*(F1194+E1194)))</f>
        <v>29113.589642337993</v>
      </c>
      <c r="I1194" s="18">
        <f t="shared" si="26"/>
        <v>14296.715458028013</v>
      </c>
      <c r="J1194" s="18">
        <f>IF(D1194=0,J1193,J1193+C1194*B1194*'P-Parametri'!$B$6)</f>
        <v>38766.779498444543</v>
      </c>
      <c r="K1194" s="18">
        <f>IF(D1194=0,K1193,K1193+'P-Parametri'!$B$8*(F1194+E1194))</f>
        <v>10475.482760248753</v>
      </c>
    </row>
    <row r="1195" spans="1:11">
      <c r="A1195" s="10">
        <f>19</f>
        <v>19</v>
      </c>
      <c r="B1195" s="11">
        <f t="shared" si="24"/>
        <v>0.5089332633432041</v>
      </c>
      <c r="C1195" s="18">
        <f>IF(D1194=0,0,MIN(MAX(H1194,0),((MAX(0,'1-Input'!$B$10-IF($A1195&gt;='1-Input'!$C$12,'1-Input'!$B$12,0))-MIN(MAX(G1194,0),MAX(0,'1-Input'!$B$10-IF($A1195&gt;='1-Input'!$C$12,'1-Input'!$B$12,0))))+MAX(0,5*'1-Input'!$B$10-(G1194-MIN(MAX(G1194,0),MAX(0,'1-Input'!$B$10-IF($A1195&gt;='1-Input'!$C$12,'1-Input'!$B$12,0))))))*(1/(1-'P-Parametri'!$B$6*B1195))))</f>
        <v>23230.294030885838</v>
      </c>
      <c r="D1195" s="10">
        <f>IF(AND(D1194=1,G1194+H1194&gt;0.000001,C1195*(1-'P-Parametri'!$B$6*B1195)&gt;=(MAX(0,'1-Input'!$B$10-IF($A1195&gt;='1-Input'!$C$12,'1-Input'!$B$12,0))-MIN(MAX(G1194,0),MAX(0,'1-Input'!$B$10-IF($A1195&gt;='1-Input'!$C$12,'1-Input'!$B$12,0))))-0.000001),1,0)</f>
        <v>1</v>
      </c>
      <c r="E1195" s="18">
        <f>IF(D1195=0,G1194,(G1194-MAX(0,'1-Input'!$B$10-IF($A1195&gt;='1-Input'!$C$12,'1-Input'!$B$12,0))+C1195*(1-'P-Parametri'!$B$6*B1195))*(1+'1-Input'!$B$27))</f>
        <v>98643.599999999991</v>
      </c>
      <c r="F1195" s="18">
        <f t="shared" si="25"/>
        <v>6059.7944797957198</v>
      </c>
      <c r="G1195" s="18">
        <f>IF(D1195=0,G1194,E1195-'P-Parametri'!$B$8*(F1195+E1195)+MIN(MAX(F1195,0),'P-Parametri'!$B$8*(F1195+E1195)))</f>
        <v>98643.599999999991</v>
      </c>
      <c r="H1195" s="18">
        <f>IF(D1195=0,H1194,F1195-MIN(MAX(F1195,0),'P-Parametri'!$B$8*(F1195+E1195)))</f>
        <v>5850.3876908361281</v>
      </c>
      <c r="I1195" s="18">
        <f t="shared" si="26"/>
        <v>2889.0907767030603</v>
      </c>
      <c r="J1195" s="18">
        <f>IF(D1195=0,J1194,J1194+C1195*B1195*'P-Parametri'!$B$6)</f>
        <v>41840.673529330372</v>
      </c>
      <c r="K1195" s="18">
        <f>IF(D1195=0,K1194,K1194+'P-Parametri'!$B$8*(F1195+E1195))</f>
        <v>10684.889549208345</v>
      </c>
    </row>
    <row r="1196" spans="1:11">
      <c r="A1196" s="10">
        <f>20</f>
        <v>20</v>
      </c>
      <c r="B1196" s="11">
        <f t="shared" si="24"/>
        <v>0.50617105576978338</v>
      </c>
      <c r="C1196" s="18">
        <f>IF(D1195=0,0,MIN(MAX(H1195,0),((MAX(0,'1-Input'!$B$10-IF($A1196&gt;='1-Input'!$C$12,'1-Input'!$B$12,0))-MIN(MAX(G1195,0),MAX(0,'1-Input'!$B$10-IF($A1196&gt;='1-Input'!$C$12,'1-Input'!$B$12,0))))+MAX(0,5*'1-Input'!$B$10-(G1195-MIN(MAX(G1195,0),MAX(0,'1-Input'!$B$10-IF($A1196&gt;='1-Input'!$C$12,'1-Input'!$B$12,0))))))*(1/(1-'P-Parametri'!$B$6*B1196))))</f>
        <v>5850.3876908361281</v>
      </c>
      <c r="D1196" s="10">
        <f>IF(AND(D1195=1,G1195+H1195&gt;0.000001,C1196*(1-'P-Parametri'!$B$6*B1196)&gt;=(MAX(0,'1-Input'!$B$10-IF($A1196&gt;='1-Input'!$C$12,'1-Input'!$B$12,0))-MIN(MAX(G1195,0),MAX(0,'1-Input'!$B$10-IF($A1196&gt;='1-Input'!$C$12,'1-Input'!$B$12,0))))-0.000001),1,0)</f>
        <v>1</v>
      </c>
      <c r="E1196" s="18">
        <f>IF(D1196=0,G1195,(G1195-MAX(0,'1-Input'!$B$10-IF($A1196&gt;='1-Input'!$C$12,'1-Input'!$B$12,0))+C1196*(1-'P-Parametri'!$B$6*B1196))*(1+'1-Input'!$B$27))</f>
        <v>83621.923911386126</v>
      </c>
      <c r="F1196" s="18">
        <f t="shared" si="25"/>
        <v>0</v>
      </c>
      <c r="G1196" s="18">
        <f>IF(D1196=0,G1195,E1196-'P-Parametri'!$B$8*(F1196+E1196)+MIN(MAX(F1196,0),'P-Parametri'!$B$8*(F1196+E1196)))</f>
        <v>83454.680063563355</v>
      </c>
      <c r="H1196" s="18">
        <f>IF(D1196=0,H1195,F1196-MIN(MAX(F1196,0),'P-Parametri'!$B$8*(F1196+E1196)))</f>
        <v>0</v>
      </c>
      <c r="I1196" s="18">
        <f t="shared" si="26"/>
        <v>4.5474735088646412E-13</v>
      </c>
      <c r="J1196" s="18">
        <f>IF(D1196=0,J1195,J1195+C1196*B1196*'P-Parametri'!$B$6)</f>
        <v>42610.610727004969</v>
      </c>
      <c r="K1196" s="18">
        <f>IF(D1196=0,K1195,K1195+'P-Parametri'!$B$8*(F1196+E1196))</f>
        <v>10852.133397031117</v>
      </c>
    </row>
    <row r="1197" spans="1:11">
      <c r="A1197" s="10">
        <f>21</f>
        <v>21</v>
      </c>
      <c r="B1197" s="11">
        <f t="shared" si="24"/>
        <v>0</v>
      </c>
      <c r="C1197" s="18">
        <f>IF(D1196=0,0,MIN(MAX(H1196,0),((MAX(0,'1-Input'!$B$10-IF($A1197&gt;='1-Input'!$C$12,'1-Input'!$B$12,0))-MIN(MAX(G1196,0),MAX(0,'1-Input'!$B$10-IF($A1197&gt;='1-Input'!$C$12,'1-Input'!$B$12,0))))+MAX(0,5*'1-Input'!$B$10-(G1196-MIN(MAX(G1196,0),MAX(0,'1-Input'!$B$10-IF($A1197&gt;='1-Input'!$C$12,'1-Input'!$B$12,0))))))*(1/(1-'P-Parametri'!$B$6*B1197))))</f>
        <v>0</v>
      </c>
      <c r="D1197" s="10">
        <f>IF(AND(D1196=1,G1196+H1196&gt;0.000001,C1197*(1-'P-Parametri'!$B$6*B1197)&gt;=(MAX(0,'1-Input'!$B$10-IF($A1197&gt;='1-Input'!$C$12,'1-Input'!$B$12,0))-MIN(MAX(G1196,0),MAX(0,'1-Input'!$B$10-IF($A1197&gt;='1-Input'!$C$12,'1-Input'!$B$12,0))))-0.000001),1,0)</f>
        <v>1</v>
      </c>
      <c r="E1197" s="18">
        <f>IF(D1197=0,G1196,(G1196-MAX(0,'1-Input'!$B$10-IF($A1197&gt;='1-Input'!$C$12,'1-Input'!$B$12,0))+C1197*(1-'P-Parametri'!$B$6*B1197))*(1+'1-Input'!$B$27))</f>
        <v>63425.523215334528</v>
      </c>
      <c r="F1197" s="18">
        <f t="shared" si="25"/>
        <v>0</v>
      </c>
      <c r="G1197" s="18">
        <f>IF(D1197=0,G1196,E1197-'P-Parametri'!$B$8*(F1197+E1197)+MIN(MAX(F1197,0),'P-Parametri'!$B$8*(F1197+E1197)))</f>
        <v>63298.67216890386</v>
      </c>
      <c r="H1197" s="18">
        <f>IF(D1197=0,H1196,F1197-MIN(MAX(F1197,0),'P-Parametri'!$B$8*(F1197+E1197)))</f>
        <v>0</v>
      </c>
      <c r="I1197" s="18">
        <f t="shared" si="26"/>
        <v>4.5474735088646412E-13</v>
      </c>
      <c r="J1197" s="18">
        <f>IF(D1197=0,J1196,J1196+C1197*B1197*'P-Parametri'!$B$6)</f>
        <v>42610.610727004969</v>
      </c>
      <c r="K1197" s="18">
        <f>IF(D1197=0,K1196,K1196+'P-Parametri'!$B$8*(F1197+E1197))</f>
        <v>10978.984443461786</v>
      </c>
    </row>
    <row r="1198" spans="1:11">
      <c r="A1198" s="10">
        <f>22</f>
        <v>22</v>
      </c>
      <c r="B1198" s="11">
        <f t="shared" si="24"/>
        <v>0</v>
      </c>
      <c r="C1198" s="18">
        <f>IF(D1197=0,0,MIN(MAX(H1197,0),((MAX(0,'1-Input'!$B$10-IF($A1198&gt;='1-Input'!$C$12,'1-Input'!$B$12,0))-MIN(MAX(G1197,0),MAX(0,'1-Input'!$B$10-IF($A1198&gt;='1-Input'!$C$12,'1-Input'!$B$12,0))))+MAX(0,5*'1-Input'!$B$10-(G1197-MIN(MAX(G1197,0),MAX(0,'1-Input'!$B$10-IF($A1198&gt;='1-Input'!$C$12,'1-Input'!$B$12,0))))))*(1/(1-'P-Parametri'!$B$6*B1198))))</f>
        <v>0</v>
      </c>
      <c r="D1198" s="10">
        <f>IF(AND(D1197=1,G1197+H1197&gt;0.000001,C1198*(1-'P-Parametri'!$B$6*B1198)&gt;=(MAX(0,'1-Input'!$B$10-IF($A1198&gt;='1-Input'!$C$12,'1-Input'!$B$12,0))-MIN(MAX(G1197,0),MAX(0,'1-Input'!$B$10-IF($A1198&gt;='1-Input'!$C$12,'1-Input'!$B$12,0))))-0.000001),1,0)</f>
        <v>1</v>
      </c>
      <c r="E1198" s="18">
        <f>IF(D1198=0,G1197,(G1197-MAX(0,'1-Input'!$B$10-IF($A1198&gt;='1-Input'!$C$12,'1-Input'!$B$12,0))+C1198*(1-'P-Parametri'!$B$6*B1198))*(1+'1-Input'!$B$27))</f>
        <v>43342.076949095805</v>
      </c>
      <c r="F1198" s="18">
        <f t="shared" si="25"/>
        <v>0</v>
      </c>
      <c r="G1198" s="18">
        <f>IF(D1198=0,G1197,E1198-'P-Parametri'!$B$8*(F1198+E1198)+MIN(MAX(F1198,0),'P-Parametri'!$B$8*(F1198+E1198)))</f>
        <v>43255.392795197615</v>
      </c>
      <c r="H1198" s="18">
        <f>IF(D1198=0,H1197,F1198-MIN(MAX(F1198,0),'P-Parametri'!$B$8*(F1198+E1198)))</f>
        <v>0</v>
      </c>
      <c r="I1198" s="18">
        <f t="shared" si="26"/>
        <v>4.5474735088646412E-13</v>
      </c>
      <c r="J1198" s="18">
        <f>IF(D1198=0,J1197,J1197+C1198*B1198*'P-Parametri'!$B$6)</f>
        <v>42610.610727004969</v>
      </c>
      <c r="K1198" s="18">
        <f>IF(D1198=0,K1197,K1197+'P-Parametri'!$B$8*(F1198+E1198))</f>
        <v>11065.668597359978</v>
      </c>
    </row>
    <row r="1199" spans="1:11">
      <c r="A1199" s="10">
        <f>23</f>
        <v>23</v>
      </c>
      <c r="B1199" s="11">
        <f t="shared" si="24"/>
        <v>0</v>
      </c>
      <c r="C1199" s="18">
        <f>IF(D1198=0,0,MIN(MAX(H1198,0),((MAX(0,'1-Input'!$B$10-IF($A1199&gt;='1-Input'!$C$12,'1-Input'!$B$12,0))-MIN(MAX(G1198,0),MAX(0,'1-Input'!$B$10-IF($A1199&gt;='1-Input'!$C$12,'1-Input'!$B$12,0))))+MAX(0,5*'1-Input'!$B$10-(G1198-MIN(MAX(G1198,0),MAX(0,'1-Input'!$B$10-IF($A1199&gt;='1-Input'!$C$12,'1-Input'!$B$12,0))))))*(1/(1-'P-Parametri'!$B$6*B1199))))</f>
        <v>0</v>
      </c>
      <c r="D1199" s="10">
        <f>IF(AND(D1198=1,G1198+H1198&gt;0.000001,C1199*(1-'P-Parametri'!$B$6*B1199)&gt;=(MAX(0,'1-Input'!$B$10-IF($A1199&gt;='1-Input'!$C$12,'1-Input'!$B$12,0))-MIN(MAX(G1198,0),MAX(0,'1-Input'!$B$10-IF($A1199&gt;='1-Input'!$C$12,'1-Input'!$B$12,0))))-0.000001),1,0)</f>
        <v>1</v>
      </c>
      <c r="E1199" s="18">
        <f>IF(D1199=0,G1198,(G1198-MAX(0,'1-Input'!$B$10-IF($A1199&gt;='1-Input'!$C$12,'1-Input'!$B$12,0))+C1199*(1-'P-Parametri'!$B$6*B1199))*(1+'1-Input'!$B$27))</f>
        <v>34432.986181134904</v>
      </c>
      <c r="F1199" s="18">
        <f t="shared" si="25"/>
        <v>0</v>
      </c>
      <c r="G1199" s="18">
        <f>IF(D1199=0,G1198,E1199-'P-Parametri'!$B$8*(F1199+E1199)+MIN(MAX(F1199,0),'P-Parametri'!$B$8*(F1199+E1199)))</f>
        <v>34364.120208772634</v>
      </c>
      <c r="H1199" s="18">
        <f>IF(D1199=0,H1198,F1199-MIN(MAX(F1199,0),'P-Parametri'!$B$8*(F1199+E1199)))</f>
        <v>0</v>
      </c>
      <c r="I1199" s="18">
        <f t="shared" si="26"/>
        <v>4.5474735088646412E-13</v>
      </c>
      <c r="J1199" s="18">
        <f>IF(D1199=0,J1198,J1198+C1199*B1199*'P-Parametri'!$B$6)</f>
        <v>42610.610727004969</v>
      </c>
      <c r="K1199" s="18">
        <f>IF(D1199=0,K1198,K1198+'P-Parametri'!$B$8*(F1199+E1199))</f>
        <v>11134.534569722247</v>
      </c>
    </row>
    <row r="1200" spans="1:11">
      <c r="A1200" s="10">
        <f>24</f>
        <v>24</v>
      </c>
      <c r="B1200" s="11">
        <f t="shared" si="24"/>
        <v>0</v>
      </c>
      <c r="C1200" s="18">
        <f>IF(D1199=0,0,MIN(MAX(H1199,0),((MAX(0,'1-Input'!$B$10-IF($A1200&gt;='1-Input'!$C$12,'1-Input'!$B$12,0))-MIN(MAX(G1199,0),MAX(0,'1-Input'!$B$10-IF($A1200&gt;='1-Input'!$C$12,'1-Input'!$B$12,0))))+MAX(0,5*'1-Input'!$B$10-(G1199-MIN(MAX(G1199,0),MAX(0,'1-Input'!$B$10-IF($A1200&gt;='1-Input'!$C$12,'1-Input'!$B$12,0))))))*(1/(1-'P-Parametri'!$B$6*B1200))))</f>
        <v>0</v>
      </c>
      <c r="D1200" s="10">
        <f>IF(AND(D1199=1,G1199+H1199&gt;0.000001,C1200*(1-'P-Parametri'!$B$6*B1200)&gt;=(MAX(0,'1-Input'!$B$10-IF($A1200&gt;='1-Input'!$C$12,'1-Input'!$B$12,0))-MIN(MAX(G1199,0),MAX(0,'1-Input'!$B$10-IF($A1200&gt;='1-Input'!$C$12,'1-Input'!$B$12,0))))-0.000001),1,0)</f>
        <v>1</v>
      </c>
      <c r="E1200" s="18">
        <f>IF(D1200=0,G1199,(G1199-MAX(0,'1-Input'!$B$10-IF($A1200&gt;='1-Input'!$C$12,'1-Input'!$B$12,0))+C1200*(1-'P-Parametri'!$B$6*B1200))*(1+'1-Input'!$B$27))</f>
        <v>25573.722176021052</v>
      </c>
      <c r="F1200" s="18">
        <f t="shared" si="25"/>
        <v>0</v>
      </c>
      <c r="G1200" s="18">
        <f>IF(D1200=0,G1199,E1200-'P-Parametri'!$B$8*(F1200+E1200)+MIN(MAX(F1200,0),'P-Parametri'!$B$8*(F1200+E1200)))</f>
        <v>25522.57473166901</v>
      </c>
      <c r="H1200" s="18">
        <f>IF(D1200=0,H1199,F1200-MIN(MAX(F1200,0),'P-Parametri'!$B$8*(F1200+E1200)))</f>
        <v>0</v>
      </c>
      <c r="I1200" s="18">
        <f t="shared" si="26"/>
        <v>4.5474735088646412E-13</v>
      </c>
      <c r="J1200" s="18">
        <f>IF(D1200=0,J1199,J1199+C1200*B1200*'P-Parametri'!$B$6)</f>
        <v>42610.610727004969</v>
      </c>
      <c r="K1200" s="18">
        <f>IF(D1200=0,K1199,K1199+'P-Parametri'!$B$8*(F1200+E1200))</f>
        <v>11185.682014074289</v>
      </c>
    </row>
    <row r="1201" spans="1:11">
      <c r="A1201" s="10">
        <f>25</f>
        <v>25</v>
      </c>
      <c r="B1201" s="11">
        <f t="shared" si="24"/>
        <v>0</v>
      </c>
      <c r="C1201" s="18">
        <f>IF(D1200=0,0,MIN(MAX(H1200,0),((MAX(0,'1-Input'!$B$10-IF($A1201&gt;='1-Input'!$C$12,'1-Input'!$B$12,0))-MIN(MAX(G1200,0),MAX(0,'1-Input'!$B$10-IF($A1201&gt;='1-Input'!$C$12,'1-Input'!$B$12,0))))+MAX(0,5*'1-Input'!$B$10-(G1200-MIN(MAX(G1200,0),MAX(0,'1-Input'!$B$10-IF($A1201&gt;='1-Input'!$C$12,'1-Input'!$B$12,0))))))*(1/(1-'P-Parametri'!$B$6*B1201))))</f>
        <v>0</v>
      </c>
      <c r="D1201" s="10">
        <f>IF(AND(D1200=1,G1200+H1200&gt;0.000001,C1201*(1-'P-Parametri'!$B$6*B1201)&gt;=(MAX(0,'1-Input'!$B$10-IF($A1201&gt;='1-Input'!$C$12,'1-Input'!$B$12,0))-MIN(MAX(G1200,0),MAX(0,'1-Input'!$B$10-IF($A1201&gt;='1-Input'!$C$12,'1-Input'!$B$12,0))))-0.000001),1,0)</f>
        <v>1</v>
      </c>
      <c r="E1201" s="18">
        <f>IF(D1201=0,G1200,(G1200-MAX(0,'1-Input'!$B$10-IF($A1201&gt;='1-Input'!$C$12,'1-Input'!$B$12,0))+C1201*(1-'P-Parametri'!$B$6*B1201))*(1+'1-Input'!$B$27))</f>
        <v>16764.006262635001</v>
      </c>
      <c r="F1201" s="18">
        <f t="shared" si="25"/>
        <v>0</v>
      </c>
      <c r="G1201" s="18">
        <f>IF(D1201=0,G1200,E1201-'P-Parametri'!$B$8*(F1201+E1201)+MIN(MAX(F1201,0),'P-Parametri'!$B$8*(F1201+E1201)))</f>
        <v>16730.478250109732</v>
      </c>
      <c r="H1201" s="18">
        <f>IF(D1201=0,H1200,F1201-MIN(MAX(F1201,0),'P-Parametri'!$B$8*(F1201+E1201)))</f>
        <v>0</v>
      </c>
      <c r="I1201" s="18">
        <f t="shared" si="26"/>
        <v>4.5474735088646412E-13</v>
      </c>
      <c r="J1201" s="18">
        <f>IF(D1201=0,J1200,J1200+C1201*B1201*'P-Parametri'!$B$6)</f>
        <v>42610.610727004969</v>
      </c>
      <c r="K1201" s="18">
        <f>IF(D1201=0,K1200,K1200+'P-Parametri'!$B$8*(F1201+E1201))</f>
        <v>11219.21002659956</v>
      </c>
    </row>
    <row r="1202" spans="1:11">
      <c r="A1202" s="10">
        <f>26</f>
        <v>26</v>
      </c>
      <c r="B1202" s="11">
        <f t="shared" si="24"/>
        <v>0</v>
      </c>
      <c r="C1202" s="18">
        <f>IF(D1201=0,0,MIN(MAX(H1201,0),((MAX(0,'1-Input'!$B$10-IF($A1202&gt;='1-Input'!$C$12,'1-Input'!$B$12,0))-MIN(MAX(G1201,0),MAX(0,'1-Input'!$B$10-IF($A1202&gt;='1-Input'!$C$12,'1-Input'!$B$12,0))))+MAX(0,5*'1-Input'!$B$10-(G1201-MIN(MAX(G1201,0),MAX(0,'1-Input'!$B$10-IF($A1202&gt;='1-Input'!$C$12,'1-Input'!$B$12,0))))))*(1/(1-'P-Parametri'!$B$6*B1202))))</f>
        <v>0</v>
      </c>
      <c r="D1202" s="10">
        <f>IF(AND(D1201=1,G1201+H1201&gt;0.000001,C1202*(1-'P-Parametri'!$B$6*B1202)&gt;=(MAX(0,'1-Input'!$B$10-IF($A1202&gt;='1-Input'!$C$12,'1-Input'!$B$12,0))-MIN(MAX(G1201,0),MAX(0,'1-Input'!$B$10-IF($A1202&gt;='1-Input'!$C$12,'1-Input'!$B$12,0))))-0.000001),1,0)</f>
        <v>1</v>
      </c>
      <c r="E1202" s="18">
        <f>IF(D1202=0,G1201,(G1201-MAX(0,'1-Input'!$B$10-IF($A1202&gt;='1-Input'!$C$12,'1-Input'!$B$12,0))+C1202*(1-'P-Parametri'!$B$6*B1202))*(1+'1-Input'!$B$27))</f>
        <v>8003.561328409337</v>
      </c>
      <c r="F1202" s="18">
        <f t="shared" si="25"/>
        <v>0</v>
      </c>
      <c r="G1202" s="18">
        <f>IF(D1202=0,G1201,E1202-'P-Parametri'!$B$8*(F1202+E1202)+MIN(MAX(F1202,0),'P-Parametri'!$B$8*(F1202+E1202)))</f>
        <v>7987.5542057525181</v>
      </c>
      <c r="H1202" s="18">
        <f>IF(D1202=0,H1201,F1202-MIN(MAX(F1202,0),'P-Parametri'!$B$8*(F1202+E1202)))</f>
        <v>0</v>
      </c>
      <c r="I1202" s="18">
        <f t="shared" si="26"/>
        <v>4.5474735088646412E-13</v>
      </c>
      <c r="J1202" s="18">
        <f>IF(D1202=0,J1201,J1201+C1202*B1202*'P-Parametri'!$B$6)</f>
        <v>42610.610727004969</v>
      </c>
      <c r="K1202" s="18">
        <f>IF(D1202=0,K1201,K1201+'P-Parametri'!$B$8*(F1202+E1202))</f>
        <v>11235.217149256378</v>
      </c>
    </row>
    <row r="1203" spans="1:11">
      <c r="A1203" s="10">
        <f>27</f>
        <v>27</v>
      </c>
      <c r="B1203" s="11">
        <f t="shared" si="24"/>
        <v>0</v>
      </c>
      <c r="C1203" s="18">
        <f>IF(D1202=0,0,MIN(MAX(H1202,0),((MAX(0,'1-Input'!$B$10-IF($A1203&gt;='1-Input'!$C$12,'1-Input'!$B$12,0))-MIN(MAX(G1202,0),MAX(0,'1-Input'!$B$10-IF($A1203&gt;='1-Input'!$C$12,'1-Input'!$B$12,0))))+MAX(0,5*'1-Input'!$B$10-(G1202-MIN(MAX(G1202,0),MAX(0,'1-Input'!$B$10-IF($A1203&gt;='1-Input'!$C$12,'1-Input'!$B$12,0))))))*(1/(1-'P-Parametri'!$B$6*B1203))))</f>
        <v>0</v>
      </c>
      <c r="D1203" s="10">
        <f>IF(AND(D1202=1,G1202+H1202&gt;0.000001,C1203*(1-'P-Parametri'!$B$6*B1203)&gt;=(MAX(0,'1-Input'!$B$10-IF($A1203&gt;='1-Input'!$C$12,'1-Input'!$B$12,0))-MIN(MAX(G1202,0),MAX(0,'1-Input'!$B$10-IF($A1203&gt;='1-Input'!$C$12,'1-Input'!$B$12,0))))-0.000001),1,0)</f>
        <v>0</v>
      </c>
      <c r="E1203" s="18">
        <f>IF(D1203=0,G1202,(G1202-MAX(0,'1-Input'!$B$10-IF($A1203&gt;='1-Input'!$C$12,'1-Input'!$B$12,0))+C1203*(1-'P-Parametri'!$B$6*B1203))*(1+'1-Input'!$B$27))</f>
        <v>7987.5542057525181</v>
      </c>
      <c r="F1203" s="18">
        <f t="shared" si="25"/>
        <v>0</v>
      </c>
      <c r="G1203" s="18">
        <f>IF(D1203=0,G1202,E1203-'P-Parametri'!$B$8*(F1203+E1203)+MIN(MAX(F1203,0),'P-Parametri'!$B$8*(F1203+E1203)))</f>
        <v>7987.5542057525181</v>
      </c>
      <c r="H1203" s="18">
        <f>IF(D1203=0,H1202,F1203-MIN(MAX(F1203,0),'P-Parametri'!$B$8*(F1203+E1203)))</f>
        <v>0</v>
      </c>
      <c r="I1203" s="18">
        <f t="shared" si="26"/>
        <v>4.5474735088646412E-13</v>
      </c>
      <c r="J1203" s="18">
        <f>IF(D1203=0,J1202,J1202+C1203*B1203*'P-Parametri'!$B$6)</f>
        <v>42610.610727004969</v>
      </c>
      <c r="K1203" s="18">
        <f>IF(D1203=0,K1202,K1202+'P-Parametri'!$B$8*(F1203+E1203))</f>
        <v>11235.217149256378</v>
      </c>
    </row>
    <row r="1204" spans="1:11">
      <c r="A1204" s="10">
        <f>28</f>
        <v>28</v>
      </c>
      <c r="B1204" s="11">
        <f t="shared" si="24"/>
        <v>0</v>
      </c>
      <c r="C1204" s="18">
        <f>IF(D1203=0,0,MIN(MAX(H1203,0),((MAX(0,'1-Input'!$B$10-IF($A1204&gt;='1-Input'!$C$12,'1-Input'!$B$12,0))-MIN(MAX(G1203,0),MAX(0,'1-Input'!$B$10-IF($A1204&gt;='1-Input'!$C$12,'1-Input'!$B$12,0))))+MAX(0,5*'1-Input'!$B$10-(G1203-MIN(MAX(G1203,0),MAX(0,'1-Input'!$B$10-IF($A1204&gt;='1-Input'!$C$12,'1-Input'!$B$12,0))))))*(1/(1-'P-Parametri'!$B$6*B1204))))</f>
        <v>0</v>
      </c>
      <c r="D1204" s="10">
        <f>IF(AND(D1203=1,G1203+H1203&gt;0.000001,C1204*(1-'P-Parametri'!$B$6*B1204)&gt;=(MAX(0,'1-Input'!$B$10-IF($A1204&gt;='1-Input'!$C$12,'1-Input'!$B$12,0))-MIN(MAX(G1203,0),MAX(0,'1-Input'!$B$10-IF($A1204&gt;='1-Input'!$C$12,'1-Input'!$B$12,0))))-0.000001),1,0)</f>
        <v>0</v>
      </c>
      <c r="E1204" s="18">
        <f>IF(D1204=0,G1203,(G1203-MAX(0,'1-Input'!$B$10-IF($A1204&gt;='1-Input'!$C$12,'1-Input'!$B$12,0))+C1204*(1-'P-Parametri'!$B$6*B1204))*(1+'1-Input'!$B$27))</f>
        <v>7987.5542057525181</v>
      </c>
      <c r="F1204" s="18">
        <f t="shared" si="25"/>
        <v>0</v>
      </c>
      <c r="G1204" s="18">
        <f>IF(D1204=0,G1203,E1204-'P-Parametri'!$B$8*(F1204+E1204)+MIN(MAX(F1204,0),'P-Parametri'!$B$8*(F1204+E1204)))</f>
        <v>7987.5542057525181</v>
      </c>
      <c r="H1204" s="18">
        <f>IF(D1204=0,H1203,F1204-MIN(MAX(F1204,0),'P-Parametri'!$B$8*(F1204+E1204)))</f>
        <v>0</v>
      </c>
      <c r="I1204" s="18">
        <f t="shared" si="26"/>
        <v>4.5474735088646412E-13</v>
      </c>
      <c r="J1204" s="18">
        <f>IF(D1204=0,J1203,J1203+C1204*B1204*'P-Parametri'!$B$6)</f>
        <v>42610.610727004969</v>
      </c>
      <c r="K1204" s="18">
        <f>IF(D1204=0,K1203,K1203+'P-Parametri'!$B$8*(F1204+E1204))</f>
        <v>11235.217149256378</v>
      </c>
    </row>
    <row r="1205" spans="1:11">
      <c r="A1205" s="10">
        <f>29</f>
        <v>29</v>
      </c>
      <c r="B1205" s="11">
        <f t="shared" si="24"/>
        <v>0</v>
      </c>
      <c r="C1205" s="18">
        <f>IF(D1204=0,0,MIN(MAX(H1204,0),((MAX(0,'1-Input'!$B$10-IF($A1205&gt;='1-Input'!$C$12,'1-Input'!$B$12,0))-MIN(MAX(G1204,0),MAX(0,'1-Input'!$B$10-IF($A1205&gt;='1-Input'!$C$12,'1-Input'!$B$12,0))))+MAX(0,5*'1-Input'!$B$10-(G1204-MIN(MAX(G1204,0),MAX(0,'1-Input'!$B$10-IF($A1205&gt;='1-Input'!$C$12,'1-Input'!$B$12,0))))))*(1/(1-'P-Parametri'!$B$6*B1205))))</f>
        <v>0</v>
      </c>
      <c r="D1205" s="10">
        <f>IF(AND(D1204=1,G1204+H1204&gt;0.000001,C1205*(1-'P-Parametri'!$B$6*B1205)&gt;=(MAX(0,'1-Input'!$B$10-IF($A1205&gt;='1-Input'!$C$12,'1-Input'!$B$12,0))-MIN(MAX(G1204,0),MAX(0,'1-Input'!$B$10-IF($A1205&gt;='1-Input'!$C$12,'1-Input'!$B$12,0))))-0.000001),1,0)</f>
        <v>0</v>
      </c>
      <c r="E1205" s="18">
        <f>IF(D1205=0,G1204,(G1204-MAX(0,'1-Input'!$B$10-IF($A1205&gt;='1-Input'!$C$12,'1-Input'!$B$12,0))+C1205*(1-'P-Parametri'!$B$6*B1205))*(1+'1-Input'!$B$27))</f>
        <v>7987.5542057525181</v>
      </c>
      <c r="F1205" s="18">
        <f t="shared" si="25"/>
        <v>0</v>
      </c>
      <c r="G1205" s="18">
        <f>IF(D1205=0,G1204,E1205-'P-Parametri'!$B$8*(F1205+E1205)+MIN(MAX(F1205,0),'P-Parametri'!$B$8*(F1205+E1205)))</f>
        <v>7987.5542057525181</v>
      </c>
      <c r="H1205" s="18">
        <f>IF(D1205=0,H1204,F1205-MIN(MAX(F1205,0),'P-Parametri'!$B$8*(F1205+E1205)))</f>
        <v>0</v>
      </c>
      <c r="I1205" s="18">
        <f t="shared" si="26"/>
        <v>4.5474735088646412E-13</v>
      </c>
      <c r="J1205" s="18">
        <f>IF(D1205=0,J1204,J1204+C1205*B1205*'P-Parametri'!$B$6)</f>
        <v>42610.610727004969</v>
      </c>
      <c r="K1205" s="18">
        <f>IF(D1205=0,K1204,K1204+'P-Parametri'!$B$8*(F1205+E1205))</f>
        <v>11235.217149256378</v>
      </c>
    </row>
    <row r="1206" spans="1:11">
      <c r="A1206" s="10">
        <f>30</f>
        <v>30</v>
      </c>
      <c r="B1206" s="11">
        <f t="shared" si="24"/>
        <v>0</v>
      </c>
      <c r="C1206" s="18">
        <f>IF(D1205=0,0,MIN(MAX(H1205,0),((MAX(0,'1-Input'!$B$10-IF($A1206&gt;='1-Input'!$C$12,'1-Input'!$B$12,0))-MIN(MAX(G1205,0),MAX(0,'1-Input'!$B$10-IF($A1206&gt;='1-Input'!$C$12,'1-Input'!$B$12,0))))+MAX(0,5*'1-Input'!$B$10-(G1205-MIN(MAX(G1205,0),MAX(0,'1-Input'!$B$10-IF($A1206&gt;='1-Input'!$C$12,'1-Input'!$B$12,0))))))*(1/(1-'P-Parametri'!$B$6*B1206))))</f>
        <v>0</v>
      </c>
      <c r="D1206" s="10">
        <f>IF(AND(D1205=1,G1205+H1205&gt;0.000001,C1206*(1-'P-Parametri'!$B$6*B1206)&gt;=(MAX(0,'1-Input'!$B$10-IF($A1206&gt;='1-Input'!$C$12,'1-Input'!$B$12,0))-MIN(MAX(G1205,0),MAX(0,'1-Input'!$B$10-IF($A1206&gt;='1-Input'!$C$12,'1-Input'!$B$12,0))))-0.000001),1,0)</f>
        <v>0</v>
      </c>
      <c r="E1206" s="18">
        <f>IF(D1206=0,G1205,(G1205-MAX(0,'1-Input'!$B$10-IF($A1206&gt;='1-Input'!$C$12,'1-Input'!$B$12,0))+C1206*(1-'P-Parametri'!$B$6*B1206))*(1+'1-Input'!$B$27))</f>
        <v>7987.5542057525181</v>
      </c>
      <c r="F1206" s="18">
        <f t="shared" si="25"/>
        <v>0</v>
      </c>
      <c r="G1206" s="18">
        <f>IF(D1206=0,G1205,E1206-'P-Parametri'!$B$8*(F1206+E1206)+MIN(MAX(F1206,0),'P-Parametri'!$B$8*(F1206+E1206)))</f>
        <v>7987.5542057525181</v>
      </c>
      <c r="H1206" s="18">
        <f>IF(D1206=0,H1205,F1206-MIN(MAX(F1206,0),'P-Parametri'!$B$8*(F1206+E1206)))</f>
        <v>0</v>
      </c>
      <c r="I1206" s="18">
        <f t="shared" si="26"/>
        <v>4.5474735088646412E-13</v>
      </c>
      <c r="J1206" s="18">
        <f>IF(D1206=0,J1205,J1205+C1206*B1206*'P-Parametri'!$B$6)</f>
        <v>42610.610727004969</v>
      </c>
      <c r="K1206" s="18">
        <f>IF(D1206=0,K1205,K1205+'P-Parametri'!$B$8*(F1206+E1206))</f>
        <v>11235.217149256378</v>
      </c>
    </row>
    <row r="1207" spans="1:11">
      <c r="A1207" s="10">
        <f>31</f>
        <v>31</v>
      </c>
      <c r="B1207" s="11">
        <f t="shared" si="24"/>
        <v>0</v>
      </c>
      <c r="C1207" s="18">
        <f>IF(D1206=0,0,MIN(MAX(H1206,0),((MAX(0,'1-Input'!$B$10-IF($A1207&gt;='1-Input'!$C$12,'1-Input'!$B$12,0))-MIN(MAX(G1206,0),MAX(0,'1-Input'!$B$10-IF($A1207&gt;='1-Input'!$C$12,'1-Input'!$B$12,0))))+MAX(0,5*'1-Input'!$B$10-(G1206-MIN(MAX(G1206,0),MAX(0,'1-Input'!$B$10-IF($A1207&gt;='1-Input'!$C$12,'1-Input'!$B$12,0))))))*(1/(1-'P-Parametri'!$B$6*B1207))))</f>
        <v>0</v>
      </c>
      <c r="D1207" s="10">
        <f>IF(AND(D1206=1,G1206+H1206&gt;0.000001,C1207*(1-'P-Parametri'!$B$6*B1207)&gt;=(MAX(0,'1-Input'!$B$10-IF($A1207&gt;='1-Input'!$C$12,'1-Input'!$B$12,0))-MIN(MAX(G1206,0),MAX(0,'1-Input'!$B$10-IF($A1207&gt;='1-Input'!$C$12,'1-Input'!$B$12,0))))-0.000001),1,0)</f>
        <v>0</v>
      </c>
      <c r="E1207" s="18">
        <f>IF(D1207=0,G1206,(G1206-MAX(0,'1-Input'!$B$10-IF($A1207&gt;='1-Input'!$C$12,'1-Input'!$B$12,0))+C1207*(1-'P-Parametri'!$B$6*B1207))*(1+'1-Input'!$B$27))</f>
        <v>7987.5542057525181</v>
      </c>
      <c r="F1207" s="18">
        <f t="shared" si="25"/>
        <v>0</v>
      </c>
      <c r="G1207" s="18">
        <f>IF(D1207=0,G1206,E1207-'P-Parametri'!$B$8*(F1207+E1207)+MIN(MAX(F1207,0),'P-Parametri'!$B$8*(F1207+E1207)))</f>
        <v>7987.5542057525181</v>
      </c>
      <c r="H1207" s="18">
        <f>IF(D1207=0,H1206,F1207-MIN(MAX(F1207,0),'P-Parametri'!$B$8*(F1207+E1207)))</f>
        <v>0</v>
      </c>
      <c r="I1207" s="18">
        <f t="shared" si="26"/>
        <v>4.5474735088646412E-13</v>
      </c>
      <c r="J1207" s="18">
        <f>IF(D1207=0,J1206,J1206+C1207*B1207*'P-Parametri'!$B$6)</f>
        <v>42610.610727004969</v>
      </c>
      <c r="K1207" s="18">
        <f>IF(D1207=0,K1206,K1206+'P-Parametri'!$B$8*(F1207+E1207))</f>
        <v>11235.217149256378</v>
      </c>
    </row>
    <row r="1208" spans="1:11">
      <c r="A1208" s="10">
        <f>32</f>
        <v>32</v>
      </c>
      <c r="B1208" s="11">
        <f t="shared" si="24"/>
        <v>0</v>
      </c>
      <c r="C1208" s="18">
        <f>IF(D1207=0,0,MIN(MAX(H1207,0),((MAX(0,'1-Input'!$B$10-IF($A1208&gt;='1-Input'!$C$12,'1-Input'!$B$12,0))-MIN(MAX(G1207,0),MAX(0,'1-Input'!$B$10-IF($A1208&gt;='1-Input'!$C$12,'1-Input'!$B$12,0))))+MAX(0,5*'1-Input'!$B$10-(G1207-MIN(MAX(G1207,0),MAX(0,'1-Input'!$B$10-IF($A1208&gt;='1-Input'!$C$12,'1-Input'!$B$12,0))))))*(1/(1-'P-Parametri'!$B$6*B1208))))</f>
        <v>0</v>
      </c>
      <c r="D1208" s="10">
        <f>IF(AND(D1207=1,G1207+H1207&gt;0.000001,C1208*(1-'P-Parametri'!$B$6*B1208)&gt;=(MAX(0,'1-Input'!$B$10-IF($A1208&gt;='1-Input'!$C$12,'1-Input'!$B$12,0))-MIN(MAX(G1207,0),MAX(0,'1-Input'!$B$10-IF($A1208&gt;='1-Input'!$C$12,'1-Input'!$B$12,0))))-0.000001),1,0)</f>
        <v>0</v>
      </c>
      <c r="E1208" s="18">
        <f>IF(D1208=0,G1207,(G1207-MAX(0,'1-Input'!$B$10-IF($A1208&gt;='1-Input'!$C$12,'1-Input'!$B$12,0))+C1208*(1-'P-Parametri'!$B$6*B1208))*(1+'1-Input'!$B$27))</f>
        <v>7987.5542057525181</v>
      </c>
      <c r="F1208" s="18">
        <f t="shared" si="25"/>
        <v>0</v>
      </c>
      <c r="G1208" s="18">
        <f>IF(D1208=0,G1207,E1208-'P-Parametri'!$B$8*(F1208+E1208)+MIN(MAX(F1208,0),'P-Parametri'!$B$8*(F1208+E1208)))</f>
        <v>7987.5542057525181</v>
      </c>
      <c r="H1208" s="18">
        <f>IF(D1208=0,H1207,F1208-MIN(MAX(F1208,0),'P-Parametri'!$B$8*(F1208+E1208)))</f>
        <v>0</v>
      </c>
      <c r="I1208" s="18">
        <f t="shared" si="26"/>
        <v>4.5474735088646412E-13</v>
      </c>
      <c r="J1208" s="18">
        <f>IF(D1208=0,J1207,J1207+C1208*B1208*'P-Parametri'!$B$6)</f>
        <v>42610.610727004969</v>
      </c>
      <c r="K1208" s="18">
        <f>IF(D1208=0,K1207,K1207+'P-Parametri'!$B$8*(F1208+E1208))</f>
        <v>11235.217149256378</v>
      </c>
    </row>
    <row r="1209" spans="1:11">
      <c r="A1209" s="10">
        <f>33</f>
        <v>33</v>
      </c>
      <c r="B1209" s="11">
        <f t="shared" ref="B1209:B1226" si="27">IF(H1208&lt;=0,0,MAX(0,(H1208-I1208)/H1208))</f>
        <v>0</v>
      </c>
      <c r="C1209" s="18">
        <f>IF(D1208=0,0,MIN(MAX(H1208,0),((MAX(0,'1-Input'!$B$10-IF($A1209&gt;='1-Input'!$C$12,'1-Input'!$B$12,0))-MIN(MAX(G1208,0),MAX(0,'1-Input'!$B$10-IF($A1209&gt;='1-Input'!$C$12,'1-Input'!$B$12,0))))+MAX(0,5*'1-Input'!$B$10-(G1208-MIN(MAX(G1208,0),MAX(0,'1-Input'!$B$10-IF($A1209&gt;='1-Input'!$C$12,'1-Input'!$B$12,0))))))*(1/(1-'P-Parametri'!$B$6*B1209))))</f>
        <v>0</v>
      </c>
      <c r="D1209" s="10">
        <f>IF(AND(D1208=1,G1208+H1208&gt;0.000001,C1209*(1-'P-Parametri'!$B$6*B1209)&gt;=(MAX(0,'1-Input'!$B$10-IF($A1209&gt;='1-Input'!$C$12,'1-Input'!$B$12,0))-MIN(MAX(G1208,0),MAX(0,'1-Input'!$B$10-IF($A1209&gt;='1-Input'!$C$12,'1-Input'!$B$12,0))))-0.000001),1,0)</f>
        <v>0</v>
      </c>
      <c r="E1209" s="18">
        <f>IF(D1209=0,G1208,(G1208-MAX(0,'1-Input'!$B$10-IF($A1209&gt;='1-Input'!$C$12,'1-Input'!$B$12,0))+C1209*(1-'P-Parametri'!$B$6*B1209))*(1+'1-Input'!$B$27))</f>
        <v>7987.5542057525181</v>
      </c>
      <c r="F1209" s="18">
        <f t="shared" ref="F1209:F1226" si="28">IF(D1209=0,H1208,(H1208-C1209)*(1+$C$4))</f>
        <v>0</v>
      </c>
      <c r="G1209" s="18">
        <f>IF(D1209=0,G1208,E1209-'P-Parametri'!$B$8*(F1209+E1209)+MIN(MAX(F1209,0),'P-Parametri'!$B$8*(F1209+E1209)))</f>
        <v>7987.5542057525181</v>
      </c>
      <c r="H1209" s="18">
        <f>IF(D1209=0,H1208,F1209-MIN(MAX(F1209,0),'P-Parametri'!$B$8*(F1209+E1209)))</f>
        <v>0</v>
      </c>
      <c r="I1209" s="18">
        <f t="shared" ref="I1209:I1226" si="29">IF(D1209=0,I1208,I1208-C1209*(1-B1209))</f>
        <v>4.5474735088646412E-13</v>
      </c>
      <c r="J1209" s="18">
        <f>IF(D1209=0,J1208,J1208+C1209*B1209*'P-Parametri'!$B$6)</f>
        <v>42610.610727004969</v>
      </c>
      <c r="K1209" s="18">
        <f>IF(D1209=0,K1208,K1208+'P-Parametri'!$B$8*(F1209+E1209))</f>
        <v>11235.217149256378</v>
      </c>
    </row>
    <row r="1210" spans="1:11">
      <c r="A1210" s="10">
        <f>34</f>
        <v>34</v>
      </c>
      <c r="B1210" s="11">
        <f t="shared" si="27"/>
        <v>0</v>
      </c>
      <c r="C1210" s="18">
        <f>IF(D1209=0,0,MIN(MAX(H1209,0),((MAX(0,'1-Input'!$B$10-IF($A1210&gt;='1-Input'!$C$12,'1-Input'!$B$12,0))-MIN(MAX(G1209,0),MAX(0,'1-Input'!$B$10-IF($A1210&gt;='1-Input'!$C$12,'1-Input'!$B$12,0))))+MAX(0,5*'1-Input'!$B$10-(G1209-MIN(MAX(G1209,0),MAX(0,'1-Input'!$B$10-IF($A1210&gt;='1-Input'!$C$12,'1-Input'!$B$12,0))))))*(1/(1-'P-Parametri'!$B$6*B1210))))</f>
        <v>0</v>
      </c>
      <c r="D1210" s="10">
        <f>IF(AND(D1209=1,G1209+H1209&gt;0.000001,C1210*(1-'P-Parametri'!$B$6*B1210)&gt;=(MAX(0,'1-Input'!$B$10-IF($A1210&gt;='1-Input'!$C$12,'1-Input'!$B$12,0))-MIN(MAX(G1209,0),MAX(0,'1-Input'!$B$10-IF($A1210&gt;='1-Input'!$C$12,'1-Input'!$B$12,0))))-0.000001),1,0)</f>
        <v>0</v>
      </c>
      <c r="E1210" s="18">
        <f>IF(D1210=0,G1209,(G1209-MAX(0,'1-Input'!$B$10-IF($A1210&gt;='1-Input'!$C$12,'1-Input'!$B$12,0))+C1210*(1-'P-Parametri'!$B$6*B1210))*(1+'1-Input'!$B$27))</f>
        <v>7987.5542057525181</v>
      </c>
      <c r="F1210" s="18">
        <f t="shared" si="28"/>
        <v>0</v>
      </c>
      <c r="G1210" s="18">
        <f>IF(D1210=0,G1209,E1210-'P-Parametri'!$B$8*(F1210+E1210)+MIN(MAX(F1210,0),'P-Parametri'!$B$8*(F1210+E1210)))</f>
        <v>7987.5542057525181</v>
      </c>
      <c r="H1210" s="18">
        <f>IF(D1210=0,H1209,F1210-MIN(MAX(F1210,0),'P-Parametri'!$B$8*(F1210+E1210)))</f>
        <v>0</v>
      </c>
      <c r="I1210" s="18">
        <f t="shared" si="29"/>
        <v>4.5474735088646412E-13</v>
      </c>
      <c r="J1210" s="18">
        <f>IF(D1210=0,J1209,J1209+C1210*B1210*'P-Parametri'!$B$6)</f>
        <v>42610.610727004969</v>
      </c>
      <c r="K1210" s="18">
        <f>IF(D1210=0,K1209,K1209+'P-Parametri'!$B$8*(F1210+E1210))</f>
        <v>11235.217149256378</v>
      </c>
    </row>
    <row r="1211" spans="1:11">
      <c r="A1211" s="10">
        <f>35</f>
        <v>35</v>
      </c>
      <c r="B1211" s="11">
        <f t="shared" si="27"/>
        <v>0</v>
      </c>
      <c r="C1211" s="18">
        <f>IF(D1210=0,0,MIN(MAX(H1210,0),((MAX(0,'1-Input'!$B$10-IF($A1211&gt;='1-Input'!$C$12,'1-Input'!$B$12,0))-MIN(MAX(G1210,0),MAX(0,'1-Input'!$B$10-IF($A1211&gt;='1-Input'!$C$12,'1-Input'!$B$12,0))))+MAX(0,5*'1-Input'!$B$10-(G1210-MIN(MAX(G1210,0),MAX(0,'1-Input'!$B$10-IF($A1211&gt;='1-Input'!$C$12,'1-Input'!$B$12,0))))))*(1/(1-'P-Parametri'!$B$6*B1211))))</f>
        <v>0</v>
      </c>
      <c r="D1211" s="10">
        <f>IF(AND(D1210=1,G1210+H1210&gt;0.000001,C1211*(1-'P-Parametri'!$B$6*B1211)&gt;=(MAX(0,'1-Input'!$B$10-IF($A1211&gt;='1-Input'!$C$12,'1-Input'!$B$12,0))-MIN(MAX(G1210,0),MAX(0,'1-Input'!$B$10-IF($A1211&gt;='1-Input'!$C$12,'1-Input'!$B$12,0))))-0.000001),1,0)</f>
        <v>0</v>
      </c>
      <c r="E1211" s="18">
        <f>IF(D1211=0,G1210,(G1210-MAX(0,'1-Input'!$B$10-IF($A1211&gt;='1-Input'!$C$12,'1-Input'!$B$12,0))+C1211*(1-'P-Parametri'!$B$6*B1211))*(1+'1-Input'!$B$27))</f>
        <v>7987.5542057525181</v>
      </c>
      <c r="F1211" s="18">
        <f t="shared" si="28"/>
        <v>0</v>
      </c>
      <c r="G1211" s="18">
        <f>IF(D1211=0,G1210,E1211-'P-Parametri'!$B$8*(F1211+E1211)+MIN(MAX(F1211,0),'P-Parametri'!$B$8*(F1211+E1211)))</f>
        <v>7987.5542057525181</v>
      </c>
      <c r="H1211" s="18">
        <f>IF(D1211=0,H1210,F1211-MIN(MAX(F1211,0),'P-Parametri'!$B$8*(F1211+E1211)))</f>
        <v>0</v>
      </c>
      <c r="I1211" s="18">
        <f t="shared" si="29"/>
        <v>4.5474735088646412E-13</v>
      </c>
      <c r="J1211" s="18">
        <f>IF(D1211=0,J1210,J1210+C1211*B1211*'P-Parametri'!$B$6)</f>
        <v>42610.610727004969</v>
      </c>
      <c r="K1211" s="18">
        <f>IF(D1211=0,K1210,K1210+'P-Parametri'!$B$8*(F1211+E1211))</f>
        <v>11235.217149256378</v>
      </c>
    </row>
    <row r="1212" spans="1:11">
      <c r="A1212" s="10">
        <f>36</f>
        <v>36</v>
      </c>
      <c r="B1212" s="11">
        <f t="shared" si="27"/>
        <v>0</v>
      </c>
      <c r="C1212" s="18">
        <f>IF(D1211=0,0,MIN(MAX(H1211,0),((MAX(0,'1-Input'!$B$10-IF($A1212&gt;='1-Input'!$C$12,'1-Input'!$B$12,0))-MIN(MAX(G1211,0),MAX(0,'1-Input'!$B$10-IF($A1212&gt;='1-Input'!$C$12,'1-Input'!$B$12,0))))+MAX(0,5*'1-Input'!$B$10-(G1211-MIN(MAX(G1211,0),MAX(0,'1-Input'!$B$10-IF($A1212&gt;='1-Input'!$C$12,'1-Input'!$B$12,0))))))*(1/(1-'P-Parametri'!$B$6*B1212))))</f>
        <v>0</v>
      </c>
      <c r="D1212" s="10">
        <f>IF(AND(D1211=1,G1211+H1211&gt;0.000001,C1212*(1-'P-Parametri'!$B$6*B1212)&gt;=(MAX(0,'1-Input'!$B$10-IF($A1212&gt;='1-Input'!$C$12,'1-Input'!$B$12,0))-MIN(MAX(G1211,0),MAX(0,'1-Input'!$B$10-IF($A1212&gt;='1-Input'!$C$12,'1-Input'!$B$12,0))))-0.000001),1,0)</f>
        <v>0</v>
      </c>
      <c r="E1212" s="18">
        <f>IF(D1212=0,G1211,(G1211-MAX(0,'1-Input'!$B$10-IF($A1212&gt;='1-Input'!$C$12,'1-Input'!$B$12,0))+C1212*(1-'P-Parametri'!$B$6*B1212))*(1+'1-Input'!$B$27))</f>
        <v>7987.5542057525181</v>
      </c>
      <c r="F1212" s="18">
        <f t="shared" si="28"/>
        <v>0</v>
      </c>
      <c r="G1212" s="18">
        <f>IF(D1212=0,G1211,E1212-'P-Parametri'!$B$8*(F1212+E1212)+MIN(MAX(F1212,0),'P-Parametri'!$B$8*(F1212+E1212)))</f>
        <v>7987.5542057525181</v>
      </c>
      <c r="H1212" s="18">
        <f>IF(D1212=0,H1211,F1212-MIN(MAX(F1212,0),'P-Parametri'!$B$8*(F1212+E1212)))</f>
        <v>0</v>
      </c>
      <c r="I1212" s="18">
        <f t="shared" si="29"/>
        <v>4.5474735088646412E-13</v>
      </c>
      <c r="J1212" s="18">
        <f>IF(D1212=0,J1211,J1211+C1212*B1212*'P-Parametri'!$B$6)</f>
        <v>42610.610727004969</v>
      </c>
      <c r="K1212" s="18">
        <f>IF(D1212=0,K1211,K1211+'P-Parametri'!$B$8*(F1212+E1212))</f>
        <v>11235.217149256378</v>
      </c>
    </row>
    <row r="1213" spans="1:11">
      <c r="A1213" s="10">
        <f>37</f>
        <v>37</v>
      </c>
      <c r="B1213" s="11">
        <f t="shared" si="27"/>
        <v>0</v>
      </c>
      <c r="C1213" s="18">
        <f>IF(D1212=0,0,MIN(MAX(H1212,0),((MAX(0,'1-Input'!$B$10-IF($A1213&gt;='1-Input'!$C$12,'1-Input'!$B$12,0))-MIN(MAX(G1212,0),MAX(0,'1-Input'!$B$10-IF($A1213&gt;='1-Input'!$C$12,'1-Input'!$B$12,0))))+MAX(0,5*'1-Input'!$B$10-(G1212-MIN(MAX(G1212,0),MAX(0,'1-Input'!$B$10-IF($A1213&gt;='1-Input'!$C$12,'1-Input'!$B$12,0))))))*(1/(1-'P-Parametri'!$B$6*B1213))))</f>
        <v>0</v>
      </c>
      <c r="D1213" s="10">
        <f>IF(AND(D1212=1,G1212+H1212&gt;0.000001,C1213*(1-'P-Parametri'!$B$6*B1213)&gt;=(MAX(0,'1-Input'!$B$10-IF($A1213&gt;='1-Input'!$C$12,'1-Input'!$B$12,0))-MIN(MAX(G1212,0),MAX(0,'1-Input'!$B$10-IF($A1213&gt;='1-Input'!$C$12,'1-Input'!$B$12,0))))-0.000001),1,0)</f>
        <v>0</v>
      </c>
      <c r="E1213" s="18">
        <f>IF(D1213=0,G1212,(G1212-MAX(0,'1-Input'!$B$10-IF($A1213&gt;='1-Input'!$C$12,'1-Input'!$B$12,0))+C1213*(1-'P-Parametri'!$B$6*B1213))*(1+'1-Input'!$B$27))</f>
        <v>7987.5542057525181</v>
      </c>
      <c r="F1213" s="18">
        <f t="shared" si="28"/>
        <v>0</v>
      </c>
      <c r="G1213" s="18">
        <f>IF(D1213=0,G1212,E1213-'P-Parametri'!$B$8*(F1213+E1213)+MIN(MAX(F1213,0),'P-Parametri'!$B$8*(F1213+E1213)))</f>
        <v>7987.5542057525181</v>
      </c>
      <c r="H1213" s="18">
        <f>IF(D1213=0,H1212,F1213-MIN(MAX(F1213,0),'P-Parametri'!$B$8*(F1213+E1213)))</f>
        <v>0</v>
      </c>
      <c r="I1213" s="18">
        <f t="shared" si="29"/>
        <v>4.5474735088646412E-13</v>
      </c>
      <c r="J1213" s="18">
        <f>IF(D1213=0,J1212,J1212+C1213*B1213*'P-Parametri'!$B$6)</f>
        <v>42610.610727004969</v>
      </c>
      <c r="K1213" s="18">
        <f>IF(D1213=0,K1212,K1212+'P-Parametri'!$B$8*(F1213+E1213))</f>
        <v>11235.217149256378</v>
      </c>
    </row>
    <row r="1214" spans="1:11">
      <c r="A1214" s="10">
        <f>38</f>
        <v>38</v>
      </c>
      <c r="B1214" s="11">
        <f t="shared" si="27"/>
        <v>0</v>
      </c>
      <c r="C1214" s="18">
        <f>IF(D1213=0,0,MIN(MAX(H1213,0),((MAX(0,'1-Input'!$B$10-IF($A1214&gt;='1-Input'!$C$12,'1-Input'!$B$12,0))-MIN(MAX(G1213,0),MAX(0,'1-Input'!$B$10-IF($A1214&gt;='1-Input'!$C$12,'1-Input'!$B$12,0))))+MAX(0,5*'1-Input'!$B$10-(G1213-MIN(MAX(G1213,0),MAX(0,'1-Input'!$B$10-IF($A1214&gt;='1-Input'!$C$12,'1-Input'!$B$12,0))))))*(1/(1-'P-Parametri'!$B$6*B1214))))</f>
        <v>0</v>
      </c>
      <c r="D1214" s="10">
        <f>IF(AND(D1213=1,G1213+H1213&gt;0.000001,C1214*(1-'P-Parametri'!$B$6*B1214)&gt;=(MAX(0,'1-Input'!$B$10-IF($A1214&gt;='1-Input'!$C$12,'1-Input'!$B$12,0))-MIN(MAX(G1213,0),MAX(0,'1-Input'!$B$10-IF($A1214&gt;='1-Input'!$C$12,'1-Input'!$B$12,0))))-0.000001),1,0)</f>
        <v>0</v>
      </c>
      <c r="E1214" s="18">
        <f>IF(D1214=0,G1213,(G1213-MAX(0,'1-Input'!$B$10-IF($A1214&gt;='1-Input'!$C$12,'1-Input'!$B$12,0))+C1214*(1-'P-Parametri'!$B$6*B1214))*(1+'1-Input'!$B$27))</f>
        <v>7987.5542057525181</v>
      </c>
      <c r="F1214" s="18">
        <f t="shared" si="28"/>
        <v>0</v>
      </c>
      <c r="G1214" s="18">
        <f>IF(D1214=0,G1213,E1214-'P-Parametri'!$B$8*(F1214+E1214)+MIN(MAX(F1214,0),'P-Parametri'!$B$8*(F1214+E1214)))</f>
        <v>7987.5542057525181</v>
      </c>
      <c r="H1214" s="18">
        <f>IF(D1214=0,H1213,F1214-MIN(MAX(F1214,0),'P-Parametri'!$B$8*(F1214+E1214)))</f>
        <v>0</v>
      </c>
      <c r="I1214" s="18">
        <f t="shared" si="29"/>
        <v>4.5474735088646412E-13</v>
      </c>
      <c r="J1214" s="18">
        <f>IF(D1214=0,J1213,J1213+C1214*B1214*'P-Parametri'!$B$6)</f>
        <v>42610.610727004969</v>
      </c>
      <c r="K1214" s="18">
        <f>IF(D1214=0,K1213,K1213+'P-Parametri'!$B$8*(F1214+E1214))</f>
        <v>11235.217149256378</v>
      </c>
    </row>
    <row r="1215" spans="1:11">
      <c r="A1215" s="10">
        <f>39</f>
        <v>39</v>
      </c>
      <c r="B1215" s="11">
        <f t="shared" si="27"/>
        <v>0</v>
      </c>
      <c r="C1215" s="18">
        <f>IF(D1214=0,0,MIN(MAX(H1214,0),((MAX(0,'1-Input'!$B$10-IF($A1215&gt;='1-Input'!$C$12,'1-Input'!$B$12,0))-MIN(MAX(G1214,0),MAX(0,'1-Input'!$B$10-IF($A1215&gt;='1-Input'!$C$12,'1-Input'!$B$12,0))))+MAX(0,5*'1-Input'!$B$10-(G1214-MIN(MAX(G1214,0),MAX(0,'1-Input'!$B$10-IF($A1215&gt;='1-Input'!$C$12,'1-Input'!$B$12,0))))))*(1/(1-'P-Parametri'!$B$6*B1215))))</f>
        <v>0</v>
      </c>
      <c r="D1215" s="10">
        <f>IF(AND(D1214=1,G1214+H1214&gt;0.000001,C1215*(1-'P-Parametri'!$B$6*B1215)&gt;=(MAX(0,'1-Input'!$B$10-IF($A1215&gt;='1-Input'!$C$12,'1-Input'!$B$12,0))-MIN(MAX(G1214,0),MAX(0,'1-Input'!$B$10-IF($A1215&gt;='1-Input'!$C$12,'1-Input'!$B$12,0))))-0.000001),1,0)</f>
        <v>0</v>
      </c>
      <c r="E1215" s="18">
        <f>IF(D1215=0,G1214,(G1214-MAX(0,'1-Input'!$B$10-IF($A1215&gt;='1-Input'!$C$12,'1-Input'!$B$12,0))+C1215*(1-'P-Parametri'!$B$6*B1215))*(1+'1-Input'!$B$27))</f>
        <v>7987.5542057525181</v>
      </c>
      <c r="F1215" s="18">
        <f t="shared" si="28"/>
        <v>0</v>
      </c>
      <c r="G1215" s="18">
        <f>IF(D1215=0,G1214,E1215-'P-Parametri'!$B$8*(F1215+E1215)+MIN(MAX(F1215,0),'P-Parametri'!$B$8*(F1215+E1215)))</f>
        <v>7987.5542057525181</v>
      </c>
      <c r="H1215" s="18">
        <f>IF(D1215=0,H1214,F1215-MIN(MAX(F1215,0),'P-Parametri'!$B$8*(F1215+E1215)))</f>
        <v>0</v>
      </c>
      <c r="I1215" s="18">
        <f t="shared" si="29"/>
        <v>4.5474735088646412E-13</v>
      </c>
      <c r="J1215" s="18">
        <f>IF(D1215=0,J1214,J1214+C1215*B1215*'P-Parametri'!$B$6)</f>
        <v>42610.610727004969</v>
      </c>
      <c r="K1215" s="18">
        <f>IF(D1215=0,K1214,K1214+'P-Parametri'!$B$8*(F1215+E1215))</f>
        <v>11235.217149256378</v>
      </c>
    </row>
    <row r="1216" spans="1:11">
      <c r="A1216" s="10">
        <f>40</f>
        <v>40</v>
      </c>
      <c r="B1216" s="11">
        <f t="shared" si="27"/>
        <v>0</v>
      </c>
      <c r="C1216" s="18">
        <f>IF(D1215=0,0,MIN(MAX(H1215,0),((MAX(0,'1-Input'!$B$10-IF($A1216&gt;='1-Input'!$C$12,'1-Input'!$B$12,0))-MIN(MAX(G1215,0),MAX(0,'1-Input'!$B$10-IF($A1216&gt;='1-Input'!$C$12,'1-Input'!$B$12,0))))+MAX(0,5*'1-Input'!$B$10-(G1215-MIN(MAX(G1215,0),MAX(0,'1-Input'!$B$10-IF($A1216&gt;='1-Input'!$C$12,'1-Input'!$B$12,0))))))*(1/(1-'P-Parametri'!$B$6*B1216))))</f>
        <v>0</v>
      </c>
      <c r="D1216" s="10">
        <f>IF(AND(D1215=1,G1215+H1215&gt;0.000001,C1216*(1-'P-Parametri'!$B$6*B1216)&gt;=(MAX(0,'1-Input'!$B$10-IF($A1216&gt;='1-Input'!$C$12,'1-Input'!$B$12,0))-MIN(MAX(G1215,0),MAX(0,'1-Input'!$B$10-IF($A1216&gt;='1-Input'!$C$12,'1-Input'!$B$12,0))))-0.000001),1,0)</f>
        <v>0</v>
      </c>
      <c r="E1216" s="18">
        <f>IF(D1216=0,G1215,(G1215-MAX(0,'1-Input'!$B$10-IF($A1216&gt;='1-Input'!$C$12,'1-Input'!$B$12,0))+C1216*(1-'P-Parametri'!$B$6*B1216))*(1+'1-Input'!$B$27))</f>
        <v>7987.5542057525181</v>
      </c>
      <c r="F1216" s="18">
        <f t="shared" si="28"/>
        <v>0</v>
      </c>
      <c r="G1216" s="18">
        <f>IF(D1216=0,G1215,E1216-'P-Parametri'!$B$8*(F1216+E1216)+MIN(MAX(F1216,0),'P-Parametri'!$B$8*(F1216+E1216)))</f>
        <v>7987.5542057525181</v>
      </c>
      <c r="H1216" s="18">
        <f>IF(D1216=0,H1215,F1216-MIN(MAX(F1216,0),'P-Parametri'!$B$8*(F1216+E1216)))</f>
        <v>0</v>
      </c>
      <c r="I1216" s="18">
        <f t="shared" si="29"/>
        <v>4.5474735088646412E-13</v>
      </c>
      <c r="J1216" s="18">
        <f>IF(D1216=0,J1215,J1215+C1216*B1216*'P-Parametri'!$B$6)</f>
        <v>42610.610727004969</v>
      </c>
      <c r="K1216" s="18">
        <f>IF(D1216=0,K1215,K1215+'P-Parametri'!$B$8*(F1216+E1216))</f>
        <v>11235.217149256378</v>
      </c>
    </row>
    <row r="1217" spans="1:11">
      <c r="A1217" s="10">
        <f>41</f>
        <v>41</v>
      </c>
      <c r="B1217" s="11">
        <f t="shared" si="27"/>
        <v>0</v>
      </c>
      <c r="C1217" s="18">
        <f>IF(D1216=0,0,MIN(MAX(H1216,0),((MAX(0,'1-Input'!$B$10-IF($A1217&gt;='1-Input'!$C$12,'1-Input'!$B$12,0))-MIN(MAX(G1216,0),MAX(0,'1-Input'!$B$10-IF($A1217&gt;='1-Input'!$C$12,'1-Input'!$B$12,0))))+MAX(0,5*'1-Input'!$B$10-(G1216-MIN(MAX(G1216,0),MAX(0,'1-Input'!$B$10-IF($A1217&gt;='1-Input'!$C$12,'1-Input'!$B$12,0))))))*(1/(1-'P-Parametri'!$B$6*B1217))))</f>
        <v>0</v>
      </c>
      <c r="D1217" s="10">
        <f>IF(AND(D1216=1,G1216+H1216&gt;0.000001,C1217*(1-'P-Parametri'!$B$6*B1217)&gt;=(MAX(0,'1-Input'!$B$10-IF($A1217&gt;='1-Input'!$C$12,'1-Input'!$B$12,0))-MIN(MAX(G1216,0),MAX(0,'1-Input'!$B$10-IF($A1217&gt;='1-Input'!$C$12,'1-Input'!$B$12,0))))-0.000001),1,0)</f>
        <v>0</v>
      </c>
      <c r="E1217" s="18">
        <f>IF(D1217=0,G1216,(G1216-MAX(0,'1-Input'!$B$10-IF($A1217&gt;='1-Input'!$C$12,'1-Input'!$B$12,0))+C1217*(1-'P-Parametri'!$B$6*B1217))*(1+'1-Input'!$B$27))</f>
        <v>7987.5542057525181</v>
      </c>
      <c r="F1217" s="18">
        <f t="shared" si="28"/>
        <v>0</v>
      </c>
      <c r="G1217" s="18">
        <f>IF(D1217=0,G1216,E1217-'P-Parametri'!$B$8*(F1217+E1217)+MIN(MAX(F1217,0),'P-Parametri'!$B$8*(F1217+E1217)))</f>
        <v>7987.5542057525181</v>
      </c>
      <c r="H1217" s="18">
        <f>IF(D1217=0,H1216,F1217-MIN(MAX(F1217,0),'P-Parametri'!$B$8*(F1217+E1217)))</f>
        <v>0</v>
      </c>
      <c r="I1217" s="18">
        <f t="shared" si="29"/>
        <v>4.5474735088646412E-13</v>
      </c>
      <c r="J1217" s="18">
        <f>IF(D1217=0,J1216,J1216+C1217*B1217*'P-Parametri'!$B$6)</f>
        <v>42610.610727004969</v>
      </c>
      <c r="K1217" s="18">
        <f>IF(D1217=0,K1216,K1216+'P-Parametri'!$B$8*(F1217+E1217))</f>
        <v>11235.217149256378</v>
      </c>
    </row>
    <row r="1218" spans="1:11">
      <c r="A1218" s="10">
        <f>42</f>
        <v>42</v>
      </c>
      <c r="B1218" s="11">
        <f t="shared" si="27"/>
        <v>0</v>
      </c>
      <c r="C1218" s="18">
        <f>IF(D1217=0,0,MIN(MAX(H1217,0),((MAX(0,'1-Input'!$B$10-IF($A1218&gt;='1-Input'!$C$12,'1-Input'!$B$12,0))-MIN(MAX(G1217,0),MAX(0,'1-Input'!$B$10-IF($A1218&gt;='1-Input'!$C$12,'1-Input'!$B$12,0))))+MAX(0,5*'1-Input'!$B$10-(G1217-MIN(MAX(G1217,0),MAX(0,'1-Input'!$B$10-IF($A1218&gt;='1-Input'!$C$12,'1-Input'!$B$12,0))))))*(1/(1-'P-Parametri'!$B$6*B1218))))</f>
        <v>0</v>
      </c>
      <c r="D1218" s="10">
        <f>IF(AND(D1217=1,G1217+H1217&gt;0.000001,C1218*(1-'P-Parametri'!$B$6*B1218)&gt;=(MAX(0,'1-Input'!$B$10-IF($A1218&gt;='1-Input'!$C$12,'1-Input'!$B$12,0))-MIN(MAX(G1217,0),MAX(0,'1-Input'!$B$10-IF($A1218&gt;='1-Input'!$C$12,'1-Input'!$B$12,0))))-0.000001),1,0)</f>
        <v>0</v>
      </c>
      <c r="E1218" s="18">
        <f>IF(D1218=0,G1217,(G1217-MAX(0,'1-Input'!$B$10-IF($A1218&gt;='1-Input'!$C$12,'1-Input'!$B$12,0))+C1218*(1-'P-Parametri'!$B$6*B1218))*(1+'1-Input'!$B$27))</f>
        <v>7987.5542057525181</v>
      </c>
      <c r="F1218" s="18">
        <f t="shared" si="28"/>
        <v>0</v>
      </c>
      <c r="G1218" s="18">
        <f>IF(D1218=0,G1217,E1218-'P-Parametri'!$B$8*(F1218+E1218)+MIN(MAX(F1218,0),'P-Parametri'!$B$8*(F1218+E1218)))</f>
        <v>7987.5542057525181</v>
      </c>
      <c r="H1218" s="18">
        <f>IF(D1218=0,H1217,F1218-MIN(MAX(F1218,0),'P-Parametri'!$B$8*(F1218+E1218)))</f>
        <v>0</v>
      </c>
      <c r="I1218" s="18">
        <f t="shared" si="29"/>
        <v>4.5474735088646412E-13</v>
      </c>
      <c r="J1218" s="18">
        <f>IF(D1218=0,J1217,J1217+C1218*B1218*'P-Parametri'!$B$6)</f>
        <v>42610.610727004969</v>
      </c>
      <c r="K1218" s="18">
        <f>IF(D1218=0,K1217,K1217+'P-Parametri'!$B$8*(F1218+E1218))</f>
        <v>11235.217149256378</v>
      </c>
    </row>
    <row r="1219" spans="1:11">
      <c r="A1219" s="10">
        <f>43</f>
        <v>43</v>
      </c>
      <c r="B1219" s="11">
        <f t="shared" si="27"/>
        <v>0</v>
      </c>
      <c r="C1219" s="18">
        <f>IF(D1218=0,0,MIN(MAX(H1218,0),((MAX(0,'1-Input'!$B$10-IF($A1219&gt;='1-Input'!$C$12,'1-Input'!$B$12,0))-MIN(MAX(G1218,0),MAX(0,'1-Input'!$B$10-IF($A1219&gt;='1-Input'!$C$12,'1-Input'!$B$12,0))))+MAX(0,5*'1-Input'!$B$10-(G1218-MIN(MAX(G1218,0),MAX(0,'1-Input'!$B$10-IF($A1219&gt;='1-Input'!$C$12,'1-Input'!$B$12,0))))))*(1/(1-'P-Parametri'!$B$6*B1219))))</f>
        <v>0</v>
      </c>
      <c r="D1219" s="10">
        <f>IF(AND(D1218=1,G1218+H1218&gt;0.000001,C1219*(1-'P-Parametri'!$B$6*B1219)&gt;=(MAX(0,'1-Input'!$B$10-IF($A1219&gt;='1-Input'!$C$12,'1-Input'!$B$12,0))-MIN(MAX(G1218,0),MAX(0,'1-Input'!$B$10-IF($A1219&gt;='1-Input'!$C$12,'1-Input'!$B$12,0))))-0.000001),1,0)</f>
        <v>0</v>
      </c>
      <c r="E1219" s="18">
        <f>IF(D1219=0,G1218,(G1218-MAX(0,'1-Input'!$B$10-IF($A1219&gt;='1-Input'!$C$12,'1-Input'!$B$12,0))+C1219*(1-'P-Parametri'!$B$6*B1219))*(1+'1-Input'!$B$27))</f>
        <v>7987.5542057525181</v>
      </c>
      <c r="F1219" s="18">
        <f t="shared" si="28"/>
        <v>0</v>
      </c>
      <c r="G1219" s="18">
        <f>IF(D1219=0,G1218,E1219-'P-Parametri'!$B$8*(F1219+E1219)+MIN(MAX(F1219,0),'P-Parametri'!$B$8*(F1219+E1219)))</f>
        <v>7987.5542057525181</v>
      </c>
      <c r="H1219" s="18">
        <f>IF(D1219=0,H1218,F1219-MIN(MAX(F1219,0),'P-Parametri'!$B$8*(F1219+E1219)))</f>
        <v>0</v>
      </c>
      <c r="I1219" s="18">
        <f t="shared" si="29"/>
        <v>4.5474735088646412E-13</v>
      </c>
      <c r="J1219" s="18">
        <f>IF(D1219=0,J1218,J1218+C1219*B1219*'P-Parametri'!$B$6)</f>
        <v>42610.610727004969</v>
      </c>
      <c r="K1219" s="18">
        <f>IF(D1219=0,K1218,K1218+'P-Parametri'!$B$8*(F1219+E1219))</f>
        <v>11235.217149256378</v>
      </c>
    </row>
    <row r="1220" spans="1:11">
      <c r="A1220" s="10">
        <f>44</f>
        <v>44</v>
      </c>
      <c r="B1220" s="11">
        <f t="shared" si="27"/>
        <v>0</v>
      </c>
      <c r="C1220" s="18">
        <f>IF(D1219=0,0,MIN(MAX(H1219,0),((MAX(0,'1-Input'!$B$10-IF($A1220&gt;='1-Input'!$C$12,'1-Input'!$B$12,0))-MIN(MAX(G1219,0),MAX(0,'1-Input'!$B$10-IF($A1220&gt;='1-Input'!$C$12,'1-Input'!$B$12,0))))+MAX(0,5*'1-Input'!$B$10-(G1219-MIN(MAX(G1219,0),MAX(0,'1-Input'!$B$10-IF($A1220&gt;='1-Input'!$C$12,'1-Input'!$B$12,0))))))*(1/(1-'P-Parametri'!$B$6*B1220))))</f>
        <v>0</v>
      </c>
      <c r="D1220" s="10">
        <f>IF(AND(D1219=1,G1219+H1219&gt;0.000001,C1220*(1-'P-Parametri'!$B$6*B1220)&gt;=(MAX(0,'1-Input'!$B$10-IF($A1220&gt;='1-Input'!$C$12,'1-Input'!$B$12,0))-MIN(MAX(G1219,0),MAX(0,'1-Input'!$B$10-IF($A1220&gt;='1-Input'!$C$12,'1-Input'!$B$12,0))))-0.000001),1,0)</f>
        <v>0</v>
      </c>
      <c r="E1220" s="18">
        <f>IF(D1220=0,G1219,(G1219-MAX(0,'1-Input'!$B$10-IF($A1220&gt;='1-Input'!$C$12,'1-Input'!$B$12,0))+C1220*(1-'P-Parametri'!$B$6*B1220))*(1+'1-Input'!$B$27))</f>
        <v>7987.5542057525181</v>
      </c>
      <c r="F1220" s="18">
        <f t="shared" si="28"/>
        <v>0</v>
      </c>
      <c r="G1220" s="18">
        <f>IF(D1220=0,G1219,E1220-'P-Parametri'!$B$8*(F1220+E1220)+MIN(MAX(F1220,0),'P-Parametri'!$B$8*(F1220+E1220)))</f>
        <v>7987.5542057525181</v>
      </c>
      <c r="H1220" s="18">
        <f>IF(D1220=0,H1219,F1220-MIN(MAX(F1220,0),'P-Parametri'!$B$8*(F1220+E1220)))</f>
        <v>0</v>
      </c>
      <c r="I1220" s="18">
        <f t="shared" si="29"/>
        <v>4.5474735088646412E-13</v>
      </c>
      <c r="J1220" s="18">
        <f>IF(D1220=0,J1219,J1219+C1220*B1220*'P-Parametri'!$B$6)</f>
        <v>42610.610727004969</v>
      </c>
      <c r="K1220" s="18">
        <f>IF(D1220=0,K1219,K1219+'P-Parametri'!$B$8*(F1220+E1220))</f>
        <v>11235.217149256378</v>
      </c>
    </row>
    <row r="1221" spans="1:11">
      <c r="A1221" s="10">
        <f>45</f>
        <v>45</v>
      </c>
      <c r="B1221" s="11">
        <f t="shared" si="27"/>
        <v>0</v>
      </c>
      <c r="C1221" s="18">
        <f>IF(D1220=0,0,MIN(MAX(H1220,0),((MAX(0,'1-Input'!$B$10-IF($A1221&gt;='1-Input'!$C$12,'1-Input'!$B$12,0))-MIN(MAX(G1220,0),MAX(0,'1-Input'!$B$10-IF($A1221&gt;='1-Input'!$C$12,'1-Input'!$B$12,0))))+MAX(0,5*'1-Input'!$B$10-(G1220-MIN(MAX(G1220,0),MAX(0,'1-Input'!$B$10-IF($A1221&gt;='1-Input'!$C$12,'1-Input'!$B$12,0))))))*(1/(1-'P-Parametri'!$B$6*B1221))))</f>
        <v>0</v>
      </c>
      <c r="D1221" s="10">
        <f>IF(AND(D1220=1,G1220+H1220&gt;0.000001,C1221*(1-'P-Parametri'!$B$6*B1221)&gt;=(MAX(0,'1-Input'!$B$10-IF($A1221&gt;='1-Input'!$C$12,'1-Input'!$B$12,0))-MIN(MAX(G1220,0),MAX(0,'1-Input'!$B$10-IF($A1221&gt;='1-Input'!$C$12,'1-Input'!$B$12,0))))-0.000001),1,0)</f>
        <v>0</v>
      </c>
      <c r="E1221" s="18">
        <f>IF(D1221=0,G1220,(G1220-MAX(0,'1-Input'!$B$10-IF($A1221&gt;='1-Input'!$C$12,'1-Input'!$B$12,0))+C1221*(1-'P-Parametri'!$B$6*B1221))*(1+'1-Input'!$B$27))</f>
        <v>7987.5542057525181</v>
      </c>
      <c r="F1221" s="18">
        <f t="shared" si="28"/>
        <v>0</v>
      </c>
      <c r="G1221" s="18">
        <f>IF(D1221=0,G1220,E1221-'P-Parametri'!$B$8*(F1221+E1221)+MIN(MAX(F1221,0),'P-Parametri'!$B$8*(F1221+E1221)))</f>
        <v>7987.5542057525181</v>
      </c>
      <c r="H1221" s="18">
        <f>IF(D1221=0,H1220,F1221-MIN(MAX(F1221,0),'P-Parametri'!$B$8*(F1221+E1221)))</f>
        <v>0</v>
      </c>
      <c r="I1221" s="18">
        <f t="shared" si="29"/>
        <v>4.5474735088646412E-13</v>
      </c>
      <c r="J1221" s="18">
        <f>IF(D1221=0,J1220,J1220+C1221*B1221*'P-Parametri'!$B$6)</f>
        <v>42610.610727004969</v>
      </c>
      <c r="K1221" s="18">
        <f>IF(D1221=0,K1220,K1220+'P-Parametri'!$B$8*(F1221+E1221))</f>
        <v>11235.217149256378</v>
      </c>
    </row>
    <row r="1222" spans="1:11">
      <c r="A1222" s="10">
        <f>46</f>
        <v>46</v>
      </c>
      <c r="B1222" s="11">
        <f t="shared" si="27"/>
        <v>0</v>
      </c>
      <c r="C1222" s="18">
        <f>IF(D1221=0,0,MIN(MAX(H1221,0),((MAX(0,'1-Input'!$B$10-IF($A1222&gt;='1-Input'!$C$12,'1-Input'!$B$12,0))-MIN(MAX(G1221,0),MAX(0,'1-Input'!$B$10-IF($A1222&gt;='1-Input'!$C$12,'1-Input'!$B$12,0))))+MAX(0,5*'1-Input'!$B$10-(G1221-MIN(MAX(G1221,0),MAX(0,'1-Input'!$B$10-IF($A1222&gt;='1-Input'!$C$12,'1-Input'!$B$12,0))))))*(1/(1-'P-Parametri'!$B$6*B1222))))</f>
        <v>0</v>
      </c>
      <c r="D1222" s="10">
        <f>IF(AND(D1221=1,G1221+H1221&gt;0.000001,C1222*(1-'P-Parametri'!$B$6*B1222)&gt;=(MAX(0,'1-Input'!$B$10-IF($A1222&gt;='1-Input'!$C$12,'1-Input'!$B$12,0))-MIN(MAX(G1221,0),MAX(0,'1-Input'!$B$10-IF($A1222&gt;='1-Input'!$C$12,'1-Input'!$B$12,0))))-0.000001),1,0)</f>
        <v>0</v>
      </c>
      <c r="E1222" s="18">
        <f>IF(D1222=0,G1221,(G1221-MAX(0,'1-Input'!$B$10-IF($A1222&gt;='1-Input'!$C$12,'1-Input'!$B$12,0))+C1222*(1-'P-Parametri'!$B$6*B1222))*(1+'1-Input'!$B$27))</f>
        <v>7987.5542057525181</v>
      </c>
      <c r="F1222" s="18">
        <f t="shared" si="28"/>
        <v>0</v>
      </c>
      <c r="G1222" s="18">
        <f>IF(D1222=0,G1221,E1222-'P-Parametri'!$B$8*(F1222+E1222)+MIN(MAX(F1222,0),'P-Parametri'!$B$8*(F1222+E1222)))</f>
        <v>7987.5542057525181</v>
      </c>
      <c r="H1222" s="18">
        <f>IF(D1222=0,H1221,F1222-MIN(MAX(F1222,0),'P-Parametri'!$B$8*(F1222+E1222)))</f>
        <v>0</v>
      </c>
      <c r="I1222" s="18">
        <f t="shared" si="29"/>
        <v>4.5474735088646412E-13</v>
      </c>
      <c r="J1222" s="18">
        <f>IF(D1222=0,J1221,J1221+C1222*B1222*'P-Parametri'!$B$6)</f>
        <v>42610.610727004969</v>
      </c>
      <c r="K1222" s="18">
        <f>IF(D1222=0,K1221,K1221+'P-Parametri'!$B$8*(F1222+E1222))</f>
        <v>11235.217149256378</v>
      </c>
    </row>
    <row r="1223" spans="1:11">
      <c r="A1223" s="10">
        <f>47</f>
        <v>47</v>
      </c>
      <c r="B1223" s="11">
        <f t="shared" si="27"/>
        <v>0</v>
      </c>
      <c r="C1223" s="18">
        <f>IF(D1222=0,0,MIN(MAX(H1222,0),((MAX(0,'1-Input'!$B$10-IF($A1223&gt;='1-Input'!$C$12,'1-Input'!$B$12,0))-MIN(MAX(G1222,0),MAX(0,'1-Input'!$B$10-IF($A1223&gt;='1-Input'!$C$12,'1-Input'!$B$12,0))))+MAX(0,5*'1-Input'!$B$10-(G1222-MIN(MAX(G1222,0),MAX(0,'1-Input'!$B$10-IF($A1223&gt;='1-Input'!$C$12,'1-Input'!$B$12,0))))))*(1/(1-'P-Parametri'!$B$6*B1223))))</f>
        <v>0</v>
      </c>
      <c r="D1223" s="10">
        <f>IF(AND(D1222=1,G1222+H1222&gt;0.000001,C1223*(1-'P-Parametri'!$B$6*B1223)&gt;=(MAX(0,'1-Input'!$B$10-IF($A1223&gt;='1-Input'!$C$12,'1-Input'!$B$12,0))-MIN(MAX(G1222,0),MAX(0,'1-Input'!$B$10-IF($A1223&gt;='1-Input'!$C$12,'1-Input'!$B$12,0))))-0.000001),1,0)</f>
        <v>0</v>
      </c>
      <c r="E1223" s="18">
        <f>IF(D1223=0,G1222,(G1222-MAX(0,'1-Input'!$B$10-IF($A1223&gt;='1-Input'!$C$12,'1-Input'!$B$12,0))+C1223*(1-'P-Parametri'!$B$6*B1223))*(1+'1-Input'!$B$27))</f>
        <v>7987.5542057525181</v>
      </c>
      <c r="F1223" s="18">
        <f t="shared" si="28"/>
        <v>0</v>
      </c>
      <c r="G1223" s="18">
        <f>IF(D1223=0,G1222,E1223-'P-Parametri'!$B$8*(F1223+E1223)+MIN(MAX(F1223,0),'P-Parametri'!$B$8*(F1223+E1223)))</f>
        <v>7987.5542057525181</v>
      </c>
      <c r="H1223" s="18">
        <f>IF(D1223=0,H1222,F1223-MIN(MAX(F1223,0),'P-Parametri'!$B$8*(F1223+E1223)))</f>
        <v>0</v>
      </c>
      <c r="I1223" s="18">
        <f t="shared" si="29"/>
        <v>4.5474735088646412E-13</v>
      </c>
      <c r="J1223" s="18">
        <f>IF(D1223=0,J1222,J1222+C1223*B1223*'P-Parametri'!$B$6)</f>
        <v>42610.610727004969</v>
      </c>
      <c r="K1223" s="18">
        <f>IF(D1223=0,K1222,K1222+'P-Parametri'!$B$8*(F1223+E1223))</f>
        <v>11235.217149256378</v>
      </c>
    </row>
    <row r="1224" spans="1:11">
      <c r="A1224" s="10">
        <f>48</f>
        <v>48</v>
      </c>
      <c r="B1224" s="11">
        <f t="shared" si="27"/>
        <v>0</v>
      </c>
      <c r="C1224" s="18">
        <f>IF(D1223=0,0,MIN(MAX(H1223,0),((MAX(0,'1-Input'!$B$10-IF($A1224&gt;='1-Input'!$C$12,'1-Input'!$B$12,0))-MIN(MAX(G1223,0),MAX(0,'1-Input'!$B$10-IF($A1224&gt;='1-Input'!$C$12,'1-Input'!$B$12,0))))+MAX(0,5*'1-Input'!$B$10-(G1223-MIN(MAX(G1223,0),MAX(0,'1-Input'!$B$10-IF($A1224&gt;='1-Input'!$C$12,'1-Input'!$B$12,0))))))*(1/(1-'P-Parametri'!$B$6*B1224))))</f>
        <v>0</v>
      </c>
      <c r="D1224" s="10">
        <f>IF(AND(D1223=1,G1223+H1223&gt;0.000001,C1224*(1-'P-Parametri'!$B$6*B1224)&gt;=(MAX(0,'1-Input'!$B$10-IF($A1224&gt;='1-Input'!$C$12,'1-Input'!$B$12,0))-MIN(MAX(G1223,0),MAX(0,'1-Input'!$B$10-IF($A1224&gt;='1-Input'!$C$12,'1-Input'!$B$12,0))))-0.000001),1,0)</f>
        <v>0</v>
      </c>
      <c r="E1224" s="18">
        <f>IF(D1224=0,G1223,(G1223-MAX(0,'1-Input'!$B$10-IF($A1224&gt;='1-Input'!$C$12,'1-Input'!$B$12,0))+C1224*(1-'P-Parametri'!$B$6*B1224))*(1+'1-Input'!$B$27))</f>
        <v>7987.5542057525181</v>
      </c>
      <c r="F1224" s="18">
        <f t="shared" si="28"/>
        <v>0</v>
      </c>
      <c r="G1224" s="18">
        <f>IF(D1224=0,G1223,E1224-'P-Parametri'!$B$8*(F1224+E1224)+MIN(MAX(F1224,0),'P-Parametri'!$B$8*(F1224+E1224)))</f>
        <v>7987.5542057525181</v>
      </c>
      <c r="H1224" s="18">
        <f>IF(D1224=0,H1223,F1224-MIN(MAX(F1224,0),'P-Parametri'!$B$8*(F1224+E1224)))</f>
        <v>0</v>
      </c>
      <c r="I1224" s="18">
        <f t="shared" si="29"/>
        <v>4.5474735088646412E-13</v>
      </c>
      <c r="J1224" s="18">
        <f>IF(D1224=0,J1223,J1223+C1224*B1224*'P-Parametri'!$B$6)</f>
        <v>42610.610727004969</v>
      </c>
      <c r="K1224" s="18">
        <f>IF(D1224=0,K1223,K1223+'P-Parametri'!$B$8*(F1224+E1224))</f>
        <v>11235.217149256378</v>
      </c>
    </row>
    <row r="1225" spans="1:11">
      <c r="A1225" s="10">
        <f>49</f>
        <v>49</v>
      </c>
      <c r="B1225" s="11">
        <f t="shared" si="27"/>
        <v>0</v>
      </c>
      <c r="C1225" s="18">
        <f>IF(D1224=0,0,MIN(MAX(H1224,0),((MAX(0,'1-Input'!$B$10-IF($A1225&gt;='1-Input'!$C$12,'1-Input'!$B$12,0))-MIN(MAX(G1224,0),MAX(0,'1-Input'!$B$10-IF($A1225&gt;='1-Input'!$C$12,'1-Input'!$B$12,0))))+MAX(0,5*'1-Input'!$B$10-(G1224-MIN(MAX(G1224,0),MAX(0,'1-Input'!$B$10-IF($A1225&gt;='1-Input'!$C$12,'1-Input'!$B$12,0))))))*(1/(1-'P-Parametri'!$B$6*B1225))))</f>
        <v>0</v>
      </c>
      <c r="D1225" s="10">
        <f>IF(AND(D1224=1,G1224+H1224&gt;0.000001,C1225*(1-'P-Parametri'!$B$6*B1225)&gt;=(MAX(0,'1-Input'!$B$10-IF($A1225&gt;='1-Input'!$C$12,'1-Input'!$B$12,0))-MIN(MAX(G1224,0),MAX(0,'1-Input'!$B$10-IF($A1225&gt;='1-Input'!$C$12,'1-Input'!$B$12,0))))-0.000001),1,0)</f>
        <v>0</v>
      </c>
      <c r="E1225" s="18">
        <f>IF(D1225=0,G1224,(G1224-MAX(0,'1-Input'!$B$10-IF($A1225&gt;='1-Input'!$C$12,'1-Input'!$B$12,0))+C1225*(1-'P-Parametri'!$B$6*B1225))*(1+'1-Input'!$B$27))</f>
        <v>7987.5542057525181</v>
      </c>
      <c r="F1225" s="18">
        <f t="shared" si="28"/>
        <v>0</v>
      </c>
      <c r="G1225" s="18">
        <f>IF(D1225=0,G1224,E1225-'P-Parametri'!$B$8*(F1225+E1225)+MIN(MAX(F1225,0),'P-Parametri'!$B$8*(F1225+E1225)))</f>
        <v>7987.5542057525181</v>
      </c>
      <c r="H1225" s="18">
        <f>IF(D1225=0,H1224,F1225-MIN(MAX(F1225,0),'P-Parametri'!$B$8*(F1225+E1225)))</f>
        <v>0</v>
      </c>
      <c r="I1225" s="18">
        <f t="shared" si="29"/>
        <v>4.5474735088646412E-13</v>
      </c>
      <c r="J1225" s="18">
        <f>IF(D1225=0,J1224,J1224+C1225*B1225*'P-Parametri'!$B$6)</f>
        <v>42610.610727004969</v>
      </c>
      <c r="K1225" s="18">
        <f>IF(D1225=0,K1224,K1224+'P-Parametri'!$B$8*(F1225+E1225))</f>
        <v>11235.217149256378</v>
      </c>
    </row>
    <row r="1226" spans="1:11">
      <c r="A1226" s="10">
        <f>50</f>
        <v>50</v>
      </c>
      <c r="B1226" s="11">
        <f t="shared" si="27"/>
        <v>0</v>
      </c>
      <c r="C1226" s="18">
        <f>IF(D1225=0,0,MIN(MAX(H1225,0),((MAX(0,'1-Input'!$B$10-IF($A1226&gt;='1-Input'!$C$12,'1-Input'!$B$12,0))-MIN(MAX(G1225,0),MAX(0,'1-Input'!$B$10-IF($A1226&gt;='1-Input'!$C$12,'1-Input'!$B$12,0))))+MAX(0,5*'1-Input'!$B$10-(G1225-MIN(MAX(G1225,0),MAX(0,'1-Input'!$B$10-IF($A1226&gt;='1-Input'!$C$12,'1-Input'!$B$12,0))))))*(1/(1-'P-Parametri'!$B$6*B1226))))</f>
        <v>0</v>
      </c>
      <c r="D1226" s="10">
        <f>IF(AND(D1225=1,G1225+H1225&gt;0.000001,C1226*(1-'P-Parametri'!$B$6*B1226)&gt;=(MAX(0,'1-Input'!$B$10-IF($A1226&gt;='1-Input'!$C$12,'1-Input'!$B$12,0))-MIN(MAX(G1225,0),MAX(0,'1-Input'!$B$10-IF($A1226&gt;='1-Input'!$C$12,'1-Input'!$B$12,0))))-0.000001),1,0)</f>
        <v>0</v>
      </c>
      <c r="E1226" s="18">
        <f>IF(D1226=0,G1225,(G1225-MAX(0,'1-Input'!$B$10-IF($A1226&gt;='1-Input'!$C$12,'1-Input'!$B$12,0))+C1226*(1-'P-Parametri'!$B$6*B1226))*(1+'1-Input'!$B$27))</f>
        <v>7987.5542057525181</v>
      </c>
      <c r="F1226" s="18">
        <f t="shared" si="28"/>
        <v>0</v>
      </c>
      <c r="G1226" s="18">
        <f>IF(D1226=0,G1225,E1226-'P-Parametri'!$B$8*(F1226+E1226)+MIN(MAX(F1226,0),'P-Parametri'!$B$8*(F1226+E1226)))</f>
        <v>7987.5542057525181</v>
      </c>
      <c r="H1226" s="18">
        <f>IF(D1226=0,H1225,F1226-MIN(MAX(F1226,0),'P-Parametri'!$B$8*(F1226+E1226)))</f>
        <v>0</v>
      </c>
      <c r="I1226" s="18">
        <f t="shared" si="29"/>
        <v>4.5474735088646412E-13</v>
      </c>
      <c r="J1226" s="18">
        <f>IF(D1226=0,J1225,J1225+C1226*B1226*'P-Parametri'!$B$6)</f>
        <v>42610.610727004969</v>
      </c>
      <c r="K1226" s="18">
        <f>IF(D1226=0,K1225,K1225+'P-Parametri'!$B$8*(F1226+E1226))</f>
        <v>11235.217149256378</v>
      </c>
    </row>
    <row r="1227" spans="1:11">
      <c r="B1227" s="10">
        <f>SUM(D1177:D1226)</f>
        <v>26</v>
      </c>
      <c r="C1227" s="18">
        <f>J1226</f>
        <v>42610.610727004969</v>
      </c>
      <c r="D1227" s="18">
        <f>K1226</f>
        <v>11235.217149256378</v>
      </c>
    </row>
  </sheetData>
  <mergeCells count="9">
    <mergeCell ref="A44:G44"/>
    <mergeCell ref="A1:G1"/>
    <mergeCell ref="A6:G6"/>
    <mergeCell ref="A12:G12"/>
    <mergeCell ref="A20:G20"/>
    <mergeCell ref="A30:G30"/>
    <mergeCell ref="A2:G2"/>
    <mergeCell ref="A28:G28"/>
    <mergeCell ref="A37:G37"/>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108"/>
  <sheetViews>
    <sheetView workbookViewId="0"/>
  </sheetViews>
  <sheetFormatPr defaultRowHeight="15"/>
  <cols>
    <col min="1" max="1" width="50" customWidth="1"/>
    <col min="2" max="4" width="20" customWidth="1"/>
    <col min="5" max="7" width="18" customWidth="1"/>
    <col min="8" max="18" width="16" customWidth="1"/>
  </cols>
  <sheetData>
    <row r="1" spans="1:6" ht="24.95" customHeight="1">
      <c r="A1" s="34" t="s">
        <v>387</v>
      </c>
      <c r="B1" s="33"/>
      <c r="C1" s="33"/>
      <c r="D1" s="33"/>
      <c r="E1" s="33"/>
      <c r="F1" s="33"/>
    </row>
    <row r="2" spans="1:6" ht="32.1" customHeight="1">
      <c r="A2" s="32" t="s">
        <v>1</v>
      </c>
      <c r="B2" s="33"/>
      <c r="C2" s="33"/>
      <c r="D2" s="33"/>
      <c r="E2" s="33"/>
      <c r="F2" s="33"/>
    </row>
    <row r="3" spans="1:6" ht="30" customHeight="1">
      <c r="A3" s="35" t="s">
        <v>388</v>
      </c>
      <c r="B3" s="33"/>
      <c r="C3" s="33"/>
      <c r="D3" s="33"/>
      <c r="E3" s="33"/>
      <c r="F3" s="33"/>
    </row>
    <row r="5" spans="1:6">
      <c r="A5" s="36" t="s">
        <v>389</v>
      </c>
      <c r="B5" s="33"/>
      <c r="C5" s="33"/>
      <c r="D5" s="33"/>
      <c r="E5" s="33"/>
      <c r="F5" s="33"/>
    </row>
    <row r="6" spans="1:6" ht="30">
      <c r="A6" s="25" t="s">
        <v>390</v>
      </c>
      <c r="B6" s="25" t="s">
        <v>391</v>
      </c>
      <c r="C6" s="25" t="s">
        <v>392</v>
      </c>
      <c r="D6" s="25" t="s">
        <v>328</v>
      </c>
      <c r="E6" s="25" t="s">
        <v>329</v>
      </c>
    </row>
    <row r="7" spans="1:6">
      <c r="A7" s="5" t="s">
        <v>393</v>
      </c>
      <c r="B7" s="18">
        <f>'5-Roberta'!$B$448</f>
        <v>18844.493704761662</v>
      </c>
      <c r="C7" s="18">
        <f>'5-Roberta'!$B$558</f>
        <v>17944.67221618972</v>
      </c>
      <c r="D7" s="18">
        <f t="shared" ref="D7:D18" si="0">B7-C7</f>
        <v>899.82148857194261</v>
      </c>
      <c r="E7" s="11">
        <f t="shared" ref="E7:E18" si="1">D7/B7</f>
        <v>4.7749836247634181E-2</v>
      </c>
    </row>
    <row r="8" spans="1:6">
      <c r="A8" s="5" t="s">
        <v>394</v>
      </c>
      <c r="B8" s="18">
        <f>$B$173</f>
        <v>18844.493704761662</v>
      </c>
      <c r="C8" s="18">
        <f>$B$228</f>
        <v>17915.933454944705</v>
      </c>
      <c r="D8" s="18">
        <f t="shared" si="0"/>
        <v>928.56024981695737</v>
      </c>
      <c r="E8" s="11">
        <f t="shared" si="1"/>
        <v>4.9274884449791667E-2</v>
      </c>
    </row>
    <row r="9" spans="1:6">
      <c r="A9" s="5" t="s">
        <v>395</v>
      </c>
      <c r="B9" s="18">
        <f>$B$283</f>
        <v>18844.493704761662</v>
      </c>
      <c r="C9" s="18">
        <f>$B$338</f>
        <v>18267.075125341154</v>
      </c>
      <c r="D9" s="18">
        <f t="shared" si="0"/>
        <v>577.41857942050774</v>
      </c>
      <c r="E9" s="11">
        <f t="shared" si="1"/>
        <v>3.0641236027190506E-2</v>
      </c>
    </row>
    <row r="10" spans="1:6">
      <c r="A10" s="5" t="s">
        <v>396</v>
      </c>
      <c r="B10" s="18">
        <f>$B$393</f>
        <v>19087.260049243294</v>
      </c>
      <c r="C10" s="18">
        <f>$B$448</f>
        <v>18174.982041026713</v>
      </c>
      <c r="D10" s="18">
        <f t="shared" si="0"/>
        <v>912.27800821658093</v>
      </c>
      <c r="E10" s="11">
        <f t="shared" si="1"/>
        <v>4.779512648033251E-2</v>
      </c>
    </row>
    <row r="11" spans="1:6">
      <c r="A11" s="5" t="s">
        <v>397</v>
      </c>
      <c r="B11" s="18">
        <f>$B$503</f>
        <v>18607.464387258737</v>
      </c>
      <c r="C11" s="18">
        <f>$B$558</f>
        <v>17719.802634981264</v>
      </c>
      <c r="D11" s="18">
        <f t="shared" si="0"/>
        <v>887.66175227747226</v>
      </c>
      <c r="E11" s="11">
        <f t="shared" si="1"/>
        <v>4.7704605732594559E-2</v>
      </c>
    </row>
    <row r="12" spans="1:6">
      <c r="A12" s="5" t="s">
        <v>398</v>
      </c>
      <c r="B12" s="18">
        <f>$B$613</f>
        <v>19541.000892893953</v>
      </c>
      <c r="C12" s="18">
        <f>$B$668</f>
        <v>18617.289101450933</v>
      </c>
      <c r="D12" s="18">
        <f t="shared" si="0"/>
        <v>923.71179144302005</v>
      </c>
      <c r="E12" s="11">
        <f t="shared" si="1"/>
        <v>4.7270444155136704E-2</v>
      </c>
    </row>
    <row r="13" spans="1:6">
      <c r="A13" s="5" t="s">
        <v>399</v>
      </c>
      <c r="B13" s="18">
        <f>$B$723</f>
        <v>19043.645505094009</v>
      </c>
      <c r="C13" s="18">
        <f>$B$778</f>
        <v>18140.092427860982</v>
      </c>
      <c r="D13" s="18">
        <f t="shared" si="0"/>
        <v>903.55307723302758</v>
      </c>
      <c r="E13" s="11">
        <f t="shared" si="1"/>
        <v>4.7446434402033735E-2</v>
      </c>
    </row>
    <row r="14" spans="1:6">
      <c r="A14" s="5" t="s">
        <v>400</v>
      </c>
      <c r="B14" s="18">
        <f>$B$833</f>
        <v>18580.532901923631</v>
      </c>
      <c r="C14" s="18">
        <f>$B$888</f>
        <v>17685.518902909116</v>
      </c>
      <c r="D14" s="18">
        <f t="shared" si="0"/>
        <v>895.01399901451441</v>
      </c>
      <c r="E14" s="11">
        <f t="shared" si="1"/>
        <v>4.8169447224081188E-2</v>
      </c>
    </row>
    <row r="15" spans="1:6">
      <c r="A15" s="5" t="s">
        <v>401</v>
      </c>
      <c r="B15" s="18">
        <f>$B$943</f>
        <v>19492.526240902662</v>
      </c>
      <c r="C15" s="18">
        <f>$B$998</f>
        <v>18520.195908826445</v>
      </c>
      <c r="D15" s="18">
        <f t="shared" si="0"/>
        <v>972.33033207621702</v>
      </c>
      <c r="E15" s="11">
        <f t="shared" si="1"/>
        <v>4.9882212293032691E-2</v>
      </c>
    </row>
    <row r="16" spans="1:6">
      <c r="A16" s="5" t="s">
        <v>402</v>
      </c>
      <c r="B16" s="18">
        <f>$B$1053</f>
        <v>18364.455130964445</v>
      </c>
      <c r="C16" s="18">
        <f>$B$1108</f>
        <v>17516.75193513936</v>
      </c>
      <c r="D16" s="18">
        <f t="shared" si="0"/>
        <v>847.70319582508455</v>
      </c>
      <c r="E16" s="11">
        <f t="shared" si="1"/>
        <v>4.6159997112888249E-2</v>
      </c>
    </row>
    <row r="17" spans="1:6">
      <c r="A17" s="5" t="s">
        <v>403</v>
      </c>
      <c r="B17" s="18">
        <f>'5-Roberta'!$B$173</f>
        <v>17222.184781284763</v>
      </c>
      <c r="C17" s="18">
        <f>'5-Roberta'!$B$283</f>
        <v>16656.500351873474</v>
      </c>
      <c r="D17" s="18">
        <f t="shared" si="0"/>
        <v>565.68442941128887</v>
      </c>
      <c r="E17" s="11">
        <f t="shared" si="1"/>
        <v>3.2846264082941119E-2</v>
      </c>
    </row>
    <row r="18" spans="1:6">
      <c r="A18" s="5" t="s">
        <v>404</v>
      </c>
      <c r="B18" s="18">
        <f>'5-Roberta'!$B$723</f>
        <v>20684.869773408616</v>
      </c>
      <c r="C18" s="18">
        <f>'5-Roberta'!$B$833</f>
        <v>19396.385192852656</v>
      </c>
      <c r="D18" s="18">
        <f t="shared" si="0"/>
        <v>1288.4845805559598</v>
      </c>
      <c r="E18" s="11">
        <f t="shared" si="1"/>
        <v>6.2291162316736849E-2</v>
      </c>
    </row>
    <row r="20" spans="1:6">
      <c r="A20" s="5" t="s">
        <v>405</v>
      </c>
      <c r="B20" s="18">
        <f>MIN(D7:D18)</f>
        <v>565.68442941128887</v>
      </c>
      <c r="C20" s="18">
        <f>MAX(D7:D18)</f>
        <v>1288.4845805559598</v>
      </c>
    </row>
    <row r="21" spans="1:6" ht="30">
      <c r="A21" s="5" t="s">
        <v>406</v>
      </c>
      <c r="B21" s="11">
        <f>MIN(E7:E18)</f>
        <v>3.0641236027190506E-2</v>
      </c>
      <c r="C21" s="11">
        <f>MAX(E7:E18)</f>
        <v>6.2291162316736849E-2</v>
      </c>
    </row>
    <row r="22" spans="1:6" ht="30">
      <c r="A22" s="5" t="s">
        <v>407</v>
      </c>
      <c r="B22" s="18">
        <f>MAX(ABS(D10-D7),ABS(D11-D7),ABS(D12-D7),ABS(D13-D7),ABS(D14-D7),ABS(D15-D7),ABS(D16-D7))</f>
        <v>72.508843504274409</v>
      </c>
    </row>
    <row r="23" spans="1:6">
      <c r="A23" s="5" t="s">
        <v>408</v>
      </c>
      <c r="B23" s="18">
        <f>D8-D7</f>
        <v>28.738761245014757</v>
      </c>
      <c r="C23" s="18">
        <f>D9-D7</f>
        <v>-322.40290915143487</v>
      </c>
    </row>
    <row r="24" spans="1:6">
      <c r="A24" s="5" t="s">
        <v>409</v>
      </c>
      <c r="B24" s="18">
        <f>D17-D7</f>
        <v>-334.13705916065373</v>
      </c>
      <c r="C24" s="18">
        <f>D18-D7</f>
        <v>388.66309198401723</v>
      </c>
    </row>
    <row r="26" spans="1:6" ht="45" customHeight="1">
      <c r="A26" s="35" t="s">
        <v>410</v>
      </c>
      <c r="B26" s="33"/>
      <c r="C26" s="33"/>
      <c r="D26" s="33"/>
      <c r="E26" s="33"/>
      <c r="F26" s="33"/>
    </row>
    <row r="120" spans="1:43">
      <c r="A120" s="2" t="s">
        <v>411</v>
      </c>
    </row>
    <row r="121" spans="1:43">
      <c r="A121" s="4" t="s">
        <v>360</v>
      </c>
      <c r="B121" s="9">
        <f>0.038*'2-Caso'!$B$12</f>
        <v>16681.055314625803</v>
      </c>
      <c r="I121" s="9">
        <f>0.05*'2-Caso'!$B$12</f>
        <v>21948.756992928691</v>
      </c>
      <c r="P121" s="18">
        <f>IFERROR(I121-I172*(I121-B121)/(I172-B172),I121)</f>
        <v>19095.039604288399</v>
      </c>
      <c r="W121" s="18">
        <f>IFERROR(P121-P172*(P121-I121)/(P172-I172),P121)</f>
        <v>18838.76358648574</v>
      </c>
      <c r="AD121" s="18">
        <f>IFERROR(W121-W172*(W121-P121)/(W172-P172),W121)</f>
        <v>18845.5470519671</v>
      </c>
      <c r="AK121" s="18">
        <f>IFERROR(AD121-AD172*(AD121-W121)/(AD172-W172),AD121)</f>
        <v>18844.49370476167</v>
      </c>
    </row>
    <row r="122" spans="1:43" ht="45">
      <c r="A122" s="25" t="s">
        <v>262</v>
      </c>
      <c r="B122" s="25" t="s">
        <v>361</v>
      </c>
      <c r="C122" s="25" t="s">
        <v>263</v>
      </c>
      <c r="D122" s="25" t="s">
        <v>362</v>
      </c>
      <c r="E122" s="25" t="s">
        <v>363</v>
      </c>
      <c r="F122" s="25" t="s">
        <v>264</v>
      </c>
      <c r="G122" s="25" t="s">
        <v>265</v>
      </c>
      <c r="H122" s="25" t="s">
        <v>364</v>
      </c>
      <c r="I122" s="25" t="s">
        <v>361</v>
      </c>
      <c r="J122" s="25" t="s">
        <v>263</v>
      </c>
      <c r="K122" s="25" t="s">
        <v>362</v>
      </c>
      <c r="L122" s="25" t="s">
        <v>363</v>
      </c>
      <c r="M122" s="25" t="s">
        <v>264</v>
      </c>
      <c r="N122" s="25" t="s">
        <v>265</v>
      </c>
      <c r="O122" s="25" t="s">
        <v>364</v>
      </c>
      <c r="P122" s="25" t="s">
        <v>361</v>
      </c>
      <c r="Q122" s="25" t="s">
        <v>263</v>
      </c>
      <c r="R122" s="25" t="s">
        <v>362</v>
      </c>
      <c r="S122" s="25" t="s">
        <v>363</v>
      </c>
      <c r="T122" s="25" t="s">
        <v>264</v>
      </c>
      <c r="U122" s="25" t="s">
        <v>265</v>
      </c>
      <c r="V122" s="25" t="s">
        <v>364</v>
      </c>
      <c r="W122" s="25" t="s">
        <v>361</v>
      </c>
      <c r="X122" s="25" t="s">
        <v>263</v>
      </c>
      <c r="Y122" s="25" t="s">
        <v>362</v>
      </c>
      <c r="Z122" s="25" t="s">
        <v>363</v>
      </c>
      <c r="AA122" s="25" t="s">
        <v>264</v>
      </c>
      <c r="AB122" s="25" t="s">
        <v>265</v>
      </c>
      <c r="AC122" s="25" t="s">
        <v>364</v>
      </c>
      <c r="AD122" s="25" t="s">
        <v>361</v>
      </c>
      <c r="AE122" s="25" t="s">
        <v>263</v>
      </c>
      <c r="AF122" s="25" t="s">
        <v>362</v>
      </c>
      <c r="AG122" s="25" t="s">
        <v>363</v>
      </c>
      <c r="AH122" s="25" t="s">
        <v>264</v>
      </c>
      <c r="AI122" s="25" t="s">
        <v>265</v>
      </c>
      <c r="AJ122" s="25" t="s">
        <v>364</v>
      </c>
      <c r="AK122" s="25" t="s">
        <v>361</v>
      </c>
      <c r="AL122" s="25" t="s">
        <v>263</v>
      </c>
      <c r="AM122" s="25" t="s">
        <v>362</v>
      </c>
      <c r="AN122" s="25" t="s">
        <v>363</v>
      </c>
      <c r="AO122" s="25" t="s">
        <v>264</v>
      </c>
      <c r="AP122" s="25" t="s">
        <v>265</v>
      </c>
      <c r="AQ122" s="25" t="s">
        <v>364</v>
      </c>
    </row>
    <row r="123" spans="1:43">
      <c r="A123" s="3">
        <v>0</v>
      </c>
      <c r="F123" s="18">
        <f>MIN(0*B121,'2-Caso'!$B$12)</f>
        <v>0</v>
      </c>
      <c r="G123" s="18">
        <f>'2-Caso'!$B$12-F123</f>
        <v>438975.13985857379</v>
      </c>
      <c r="H123" s="18">
        <f>'2-Caso'!$B$13*G123/'2-Caso'!$B$12</f>
        <v>344000</v>
      </c>
      <c r="M123" s="18">
        <f>MIN(0*I121,'2-Caso'!$B$12)</f>
        <v>0</v>
      </c>
      <c r="N123" s="18">
        <f>'2-Caso'!$B$12-M123</f>
        <v>438975.13985857379</v>
      </c>
      <c r="O123" s="18">
        <f>'2-Caso'!$B$13*N123/'2-Caso'!$B$12</f>
        <v>344000</v>
      </c>
      <c r="T123" s="18">
        <f>MIN(0*P121,'2-Caso'!$B$12)</f>
        <v>0</v>
      </c>
      <c r="U123" s="18">
        <f>'2-Caso'!$B$12-T123</f>
        <v>438975.13985857379</v>
      </c>
      <c r="V123" s="18">
        <f>'2-Caso'!$B$13*U123/'2-Caso'!$B$12</f>
        <v>344000</v>
      </c>
      <c r="AA123" s="18">
        <f>MIN(0*W121,'2-Caso'!$B$12)</f>
        <v>0</v>
      </c>
      <c r="AB123" s="18">
        <f>'2-Caso'!$B$12-AA123</f>
        <v>438975.13985857379</v>
      </c>
      <c r="AC123" s="18">
        <f>'2-Caso'!$B$13*AB123/'2-Caso'!$B$12</f>
        <v>344000</v>
      </c>
      <c r="AH123" s="18">
        <f>MIN(0*AD121,'2-Caso'!$B$12)</f>
        <v>0</v>
      </c>
      <c r="AI123" s="18">
        <f>'2-Caso'!$B$12-AH123</f>
        <v>438975.13985857379</v>
      </c>
      <c r="AJ123" s="18">
        <f>'2-Caso'!$B$13*AI123/'2-Caso'!$B$12</f>
        <v>344000</v>
      </c>
      <c r="AO123" s="18">
        <f>MIN(0*AK121,'2-Caso'!$B$12)</f>
        <v>0</v>
      </c>
      <c r="AP123" s="18">
        <f>'2-Caso'!$B$12-AO123</f>
        <v>438975.13985857379</v>
      </c>
      <c r="AQ123" s="18">
        <f>'2-Caso'!$B$13*AP123/'2-Caso'!$B$12</f>
        <v>344000</v>
      </c>
    </row>
    <row r="124" spans="1:43">
      <c r="A124" s="10">
        <f>1</f>
        <v>1</v>
      </c>
      <c r="B124" s="11">
        <f>IF($A124&gt;'1-Input'!$B$26,0,IF(G123&lt;=0,0,MAX(0,(G123-H123)/G123)))</f>
        <v>0.21635653419729481</v>
      </c>
      <c r="C124" s="18">
        <f>IF($A124&gt;'1-Input'!$B$26,0,(MAX(0,B121-IF($A124&gt;='1-Input'!$C$12,'1-Input'!$B$12,0))-MIN(MAX(F123,0),MAX(0,B121-IF($A124&gt;='1-Input'!$C$12,'1-Input'!$B$12,0))))*(1/(1-'P-Parametri'!$B$6*B124))+MIN(MAX(0,G123-(MAX(0,B121-IF($A124&gt;='1-Input'!$C$12,'1-Input'!$B$12,0))-MIN(MAX(F123,0),MAX(0,B121-IF($A124&gt;='1-Input'!$C$12,'1-Input'!$B$12,0))))*(1/(1-'P-Parametri'!$B$6*B124))),MAX(0,0*B121-(F123-MIN(MAX(F123,0),MAX(0,B121-IF($A124&gt;='1-Input'!$C$12,'1-Input'!$B$12,0)))))*(1/(1-'P-Parametri'!$B$6*B124))))</f>
        <v>17675.340946701614</v>
      </c>
      <c r="D124" s="18">
        <f>IF($A124&gt;'1-Input'!$B$26,F123,(F123-MAX(0,B121-IF($A124&gt;='1-Input'!$C$12,'1-Input'!$B$12,0))+C124*(1-'P-Parametri'!$B$6*B124))*(1+ROUND('3-Liquidita'!$F$11,4)))</f>
        <v>-3.6216079024598004E-12</v>
      </c>
      <c r="E124" s="18">
        <f>IF($A124&gt;'1-Input'!$B$26,G123,(G123-C124)*(1+'5-Roberta'!$C$4))</f>
        <v>433938.79287922836</v>
      </c>
      <c r="F124" s="18">
        <f>IF($A124&gt;'1-Input'!$B$26,D124,D124-'P-Parametri'!$B$8*(E124+D124)+MIN(MAX(E124,0),'P-Parametri'!$B$8*(E124+D124)))</f>
        <v>-3.637978807091713E-12</v>
      </c>
      <c r="G124" s="18">
        <f>IF($A124&gt;'1-Input'!$B$26,E124,E124-MIN(MAX(E124,0),'P-Parametri'!$B$8*(E124+D124)))</f>
        <v>433070.91529346991</v>
      </c>
      <c r="H124" s="18">
        <f>IF($A124&gt;'1-Input'!$B$26,H123,H123-C124*(1-B124))</f>
        <v>330148.8345612823</v>
      </c>
      <c r="I124" s="11">
        <f>IF($A124&gt;'1-Input'!$B$26,0,IF(N123&lt;=0,0,MAX(0,(N123-O123)/N123)))</f>
        <v>0.21635653419729481</v>
      </c>
      <c r="J124" s="18">
        <f>IF($A124&gt;'1-Input'!$B$26,0,(MAX(0,I121-IF($A124&gt;='1-Input'!$C$12,'1-Input'!$B$12,0))-MIN(MAX(M123,0),MAX(0,I121-IF($A124&gt;='1-Input'!$C$12,'1-Input'!$B$12,0))))*(1/(1-'P-Parametri'!$B$6*I124))+MIN(MAX(0,N123-(MAX(0,I121-IF($A124&gt;='1-Input'!$C$12,'1-Input'!$B$12,0))-MIN(MAX(M123,0),MAX(0,I121-IF($A124&gt;='1-Input'!$C$12,'1-Input'!$B$12,0))))*(1/(1-'P-Parametri'!$B$6*I124))),MAX(0,0*I121-(M123-MIN(MAX(M123,0),MAX(0,I121-IF($A124&gt;='1-Input'!$C$12,'1-Input'!$B$12,0)))))*(1/(1-'P-Parametri'!$B$6*I124))))</f>
        <v>23257.027561449497</v>
      </c>
      <c r="K124" s="18">
        <f>IF($A124&gt;'1-Input'!$B$26,M123,(M123-MAX(0,I121-IF($A124&gt;='1-Input'!$C$12,'1-Input'!$B$12,0))+J124*(1-'P-Parametri'!$B$6*I124))*(1+ROUND('3-Liquidita'!$F$11,4)))</f>
        <v>0</v>
      </c>
      <c r="L124" s="18">
        <f>IF($A124&gt;'1-Input'!$B$26,N123,(N123-J124)*(1+'5-Roberta'!$C$4))</f>
        <v>428189.65566603804</v>
      </c>
      <c r="M124" s="18">
        <f>IF($A124&gt;'1-Input'!$B$26,K124,K124-'P-Parametri'!$B$8*(L124+K124)+MIN(MAX(L124,0),'P-Parametri'!$B$8*(L124+K124)))</f>
        <v>0</v>
      </c>
      <c r="N124" s="18">
        <f>IF($A124&gt;'1-Input'!$B$26,L124,L124-MIN(MAX(L124,0),'P-Parametri'!$B$8*(L124+K124)))</f>
        <v>427333.27635470597</v>
      </c>
      <c r="O124" s="18">
        <f>IF($A124&gt;'1-Input'!$B$26,O123,O123-J124*(1-I124))</f>
        <v>325774.7823174767</v>
      </c>
      <c r="P124" s="11">
        <f>IF($A124&gt;'1-Input'!$B$26,0,IF(U123&lt;=0,0,MAX(0,(U123-V123)/U123)))</f>
        <v>0.21635653419729481</v>
      </c>
      <c r="Q124" s="18">
        <f>IF($A124&gt;'1-Input'!$B$26,0,(MAX(0,P121-IF($A124&gt;='1-Input'!$C$12,'1-Input'!$B$12,0))-MIN(MAX(T123,0),MAX(0,P121-IF($A124&gt;='1-Input'!$C$12,'1-Input'!$B$12,0))))*(1/(1-'P-Parametri'!$B$6*P124))+MIN(MAX(0,U123-(MAX(0,P121-IF($A124&gt;='1-Input'!$C$12,'1-Input'!$B$12,0))-MIN(MAX(T123,0),MAX(0,P121-IF($A124&gt;='1-Input'!$C$12,'1-Input'!$B$12,0))))*(1/(1-'P-Parametri'!$B$6*P124))),MAX(0,0*P121-(T123-MIN(MAX(T123,0),MAX(0,P121-IF($A124&gt;='1-Input'!$C$12,'1-Input'!$B$12,0)))))*(1/(1-'P-Parametri'!$B$6*P124))))</f>
        <v>20233.212409567444</v>
      </c>
      <c r="R124" s="18">
        <f>IF($A124&gt;'1-Input'!$B$26,T123,(T123-MAX(0,P121-IF($A124&gt;='1-Input'!$C$12,'1-Input'!$B$12,0))+Q124*(1-'P-Parametri'!$B$6*P124))*(1+ROUND('3-Liquidita'!$F$11,4)))</f>
        <v>0</v>
      </c>
      <c r="S124" s="18">
        <f>IF($A124&gt;'1-Input'!$B$26,U123,(U123-Q124)*(1+'5-Roberta'!$C$4))</f>
        <v>431304.18527247658</v>
      </c>
      <c r="T124" s="18">
        <f>IF($A124&gt;'1-Input'!$B$26,R124,R124-'P-Parametri'!$B$8*(S124+R124)+MIN(MAX(S124,0),'P-Parametri'!$B$8*(S124+R124)))</f>
        <v>0</v>
      </c>
      <c r="U124" s="18">
        <f>IF($A124&gt;'1-Input'!$B$26,S124,S124-MIN(MAX(S124,0),'P-Parametri'!$B$8*(S124+R124)))</f>
        <v>430441.57690193161</v>
      </c>
      <c r="V124" s="18">
        <f>IF($A124&gt;'1-Input'!$B$26,V123,V123-Q124*(1-P124))</f>
        <v>328144.37530304427</v>
      </c>
      <c r="W124" s="11">
        <f>IF($A124&gt;'1-Input'!$B$26,0,IF(AB123&lt;=0,0,MAX(0,(AB123-AC123)/AB123)))</f>
        <v>0.21635653419729481</v>
      </c>
      <c r="X124" s="18">
        <f>IF($A124&gt;'1-Input'!$B$26,0,(MAX(0,W121-IF($A124&gt;='1-Input'!$C$12,'1-Input'!$B$12,0))-MIN(MAX(AA123,0),MAX(0,W121-IF($A124&gt;='1-Input'!$C$12,'1-Input'!$B$12,0))))*(1/(1-'P-Parametri'!$B$6*W124))+MIN(MAX(0,AB123-(MAX(0,W121-IF($A124&gt;='1-Input'!$C$12,'1-Input'!$B$12,0))-MIN(MAX(AA123,0),MAX(0,W121-IF($A124&gt;='1-Input'!$C$12,'1-Input'!$B$12,0))))*(1/(1-'P-Parametri'!$B$6*W124))),MAX(0,0*W121-(AA123-MIN(MAX(AA123,0),MAX(0,W121-IF($A124&gt;='1-Input'!$C$12,'1-Input'!$B$12,0)))))*(1/(1-'P-Parametri'!$B$6*W124))))</f>
        <v>19961.660885656765</v>
      </c>
      <c r="Y124" s="18">
        <f>IF($A124&gt;'1-Input'!$B$26,AA123,(AA123-MAX(0,W121-IF($A124&gt;='1-Input'!$C$12,'1-Input'!$B$12,0))+X124*(1-'P-Parametri'!$B$6*W124))*(1+ROUND('3-Liquidita'!$F$11,4)))</f>
        <v>0</v>
      </c>
      <c r="Z124" s="18">
        <f>IF($A124&gt;'1-Input'!$B$26,AB123,(AB123-X124)*(1+'5-Roberta'!$C$4))</f>
        <v>431583.88334210456</v>
      </c>
      <c r="AA124" s="18">
        <f>IF($A124&gt;'1-Input'!$B$26,Y124,Y124-'P-Parametri'!$B$8*(Z124+Y124)+MIN(MAX(Z124,0),'P-Parametri'!$B$8*(Z124+Y124)))</f>
        <v>0</v>
      </c>
      <c r="AB124" s="18">
        <f>IF($A124&gt;'1-Input'!$B$26,Z124,Z124-MIN(MAX(Z124,0),'P-Parametri'!$B$8*(Z124+Y124)))</f>
        <v>430720.71557542036</v>
      </c>
      <c r="AC124" s="18">
        <f>IF($A124&gt;'1-Input'!$B$26,AC123,AC123-X124*(1-W124))</f>
        <v>328357.17488038563</v>
      </c>
      <c r="AD124" s="11">
        <f>IF($A124&gt;'1-Input'!$B$26,0,IF(AI123&lt;=0,0,MAX(0,(AI123-AJ123)/AI123)))</f>
        <v>0.21635653419729481</v>
      </c>
      <c r="AE124" s="18">
        <f>IF($A124&gt;'1-Input'!$B$26,0,(MAX(0,AD121-IF($A124&gt;='1-Input'!$C$12,'1-Input'!$B$12,0))-MIN(MAX(AH123,0),MAX(0,AD121-IF($A124&gt;='1-Input'!$C$12,'1-Input'!$B$12,0))))*(1/(1-'P-Parametri'!$B$6*AD124))+MIN(MAX(0,AI123-(MAX(0,AD121-IF($A124&gt;='1-Input'!$C$12,'1-Input'!$B$12,0))-MIN(MAX(AH123,0),MAX(0,AD121-IF($A124&gt;='1-Input'!$C$12,'1-Input'!$B$12,0))))*(1/(1-'P-Parametri'!$B$6*AD124))),MAX(0,0*AD121-(AH123-MIN(MAX(AH123,0),MAX(0,AD121-IF($A124&gt;='1-Input'!$C$12,'1-Input'!$B$12,0)))))*(1/(1-'P-Parametri'!$B$6*AD124))))</f>
        <v>19968.848684205583</v>
      </c>
      <c r="AF124" s="18">
        <f>IF($A124&gt;'1-Input'!$B$26,AH123,(AH123-MAX(0,AD121-IF($A124&gt;='1-Input'!$C$12,'1-Input'!$B$12,0))+AE124*(1-'P-Parametri'!$B$6*AD124))*(1+ROUND('3-Liquidita'!$F$11,4)))</f>
        <v>0</v>
      </c>
      <c r="AG124" s="18">
        <f>IF($A124&gt;'1-Input'!$B$26,AI123,(AI123-AE124)*(1+'5-Roberta'!$C$4))</f>
        <v>431576.47990959929</v>
      </c>
      <c r="AH124" s="18">
        <f>IF($A124&gt;'1-Input'!$B$26,AF124,AF124-'P-Parametri'!$B$8*(AG124+AF124)+MIN(MAX(AG124,0),'P-Parametri'!$B$8*(AG124+AF124)))</f>
        <v>0</v>
      </c>
      <c r="AI124" s="18">
        <f>IF($A124&gt;'1-Input'!$B$26,AG124,AG124-MIN(MAX(AG124,0),'P-Parametri'!$B$8*(AG124+AF124)))</f>
        <v>430713.32694978011</v>
      </c>
      <c r="AJ124" s="18">
        <f>IF($A124&gt;'1-Input'!$B$26,AJ123,AJ123-AE124*(1-AD124))</f>
        <v>328351.54220901936</v>
      </c>
      <c r="AK124" s="11">
        <f>IF($A124&gt;'1-Input'!$B$26,0,IF(AP123&lt;=0,0,MAX(0,(AP123-AQ123)/AP123)))</f>
        <v>0.21635653419729481</v>
      </c>
      <c r="AL124" s="18">
        <f>IF($A124&gt;'1-Input'!$B$26,0,(MAX(0,AK121-IF($A124&gt;='1-Input'!$C$12,'1-Input'!$B$12,0))-MIN(MAX(AO123,0),MAX(0,AK121-IF($A124&gt;='1-Input'!$C$12,'1-Input'!$B$12,0))))*(1/(1-'P-Parametri'!$B$6*AK124))+MIN(MAX(0,AP123-(MAX(0,AK121-IF($A124&gt;='1-Input'!$C$12,'1-Input'!$B$12,0))-MIN(MAX(AO123,0),MAX(0,AK121-IF($A124&gt;='1-Input'!$C$12,'1-Input'!$B$12,0))))*(1/(1-'P-Parametri'!$B$6*AK124))),MAX(0,0*AK121-(AO123-MIN(MAX(AO123,0),MAX(0,AK121-IF($A124&gt;='1-Input'!$C$12,'1-Input'!$B$12,0)))))*(1/(1-'P-Parametri'!$B$6*AK124))))</f>
        <v>19967.732551524521</v>
      </c>
      <c r="AM124" s="18">
        <f>IF($A124&gt;'1-Input'!$B$26,AO123,(AO123-MAX(0,AK121-IF($A124&gt;='1-Input'!$C$12,'1-Input'!$B$12,0))+AL124*(1-'P-Parametri'!$B$6*AK124))*(1+ROUND('3-Liquidita'!$F$11,4)))</f>
        <v>0</v>
      </c>
      <c r="AN124" s="18">
        <f>IF($A124&gt;'1-Input'!$B$26,AP123,(AP123-AL124)*(1+'5-Roberta'!$C$4))</f>
        <v>431577.62952626077</v>
      </c>
      <c r="AO124" s="18">
        <f>IF($A124&gt;'1-Input'!$B$26,AM124,AM124-'P-Parametri'!$B$8*(AN124+AM124)+MIN(MAX(AN124,0),'P-Parametri'!$B$8*(AN124+AM124)))</f>
        <v>0</v>
      </c>
      <c r="AP124" s="18">
        <f>IF($A124&gt;'1-Input'!$B$26,AN124,AN124-MIN(MAX(AN124,0),'P-Parametri'!$B$8*(AN124+AM124)))</f>
        <v>430714.47426720825</v>
      </c>
      <c r="AQ124" s="18">
        <f>IF($A124&gt;'1-Input'!$B$26,AQ123,AQ123-AL124*(1-AK124))</f>
        <v>328352.41685910185</v>
      </c>
    </row>
    <row r="125" spans="1:43">
      <c r="A125" s="10">
        <f>2</f>
        <v>2</v>
      </c>
      <c r="B125" s="11">
        <f>IF($A125&gt;'1-Input'!$B$26,0,IF(G124&lt;=0,0,MAX(0,(G124-H124)/G124)))</f>
        <v>0.23765641399040294</v>
      </c>
      <c r="C125" s="18">
        <f>IF($A125&gt;'1-Input'!$B$26,0,(MAX(0,B121-IF($A125&gt;='1-Input'!$C$12,'1-Input'!$B$12,0))-MIN(MAX(F124,0),MAX(0,B121-IF($A125&gt;='1-Input'!$C$12,'1-Input'!$B$12,0))))*(1/(1-'P-Parametri'!$B$6*B125))+MIN(MAX(0,G124-(MAX(0,B121-IF($A125&gt;='1-Input'!$C$12,'1-Input'!$B$12,0))-MIN(MAX(F124,0),MAX(0,B121-IF($A125&gt;='1-Input'!$C$12,'1-Input'!$B$12,0))))*(1/(1-'P-Parametri'!$B$6*B125))),MAX(0,0*B121-(F124-MIN(MAX(F124,0),MAX(0,B121-IF($A125&gt;='1-Input'!$C$12,'1-Input'!$B$12,0)))))*(1/(1-'P-Parametri'!$B$6*B125))))</f>
        <v>17779.673191505583</v>
      </c>
      <c r="D125" s="18">
        <f>IF($A125&gt;'1-Input'!$B$26,F124,(F124-MAX(0,B121-IF($A125&gt;='1-Input'!$C$12,'1-Input'!$B$12,0))+C125*(1-'P-Parametri'!$B$6*B125))*(1+ROUND('3-Liquidita'!$F$11,4)))</f>
        <v>0</v>
      </c>
      <c r="E125" s="18">
        <f>IF($A125&gt;'1-Input'!$B$26,G124,(G124-C125)*(1+'5-Roberta'!$C$4))</f>
        <v>427749.97936502326</v>
      </c>
      <c r="F125" s="18">
        <f>IF($A125&gt;'1-Input'!$B$26,D125,D125-'P-Parametri'!$B$8*(E125+D125)+MIN(MAX(E125,0),'P-Parametri'!$B$8*(E125+D125)))</f>
        <v>0</v>
      </c>
      <c r="G125" s="18">
        <f>IF($A125&gt;'1-Input'!$B$26,E125,E125-MIN(MAX(E125,0),'P-Parametri'!$B$8*(E125+D125)))</f>
        <v>426894.47940629319</v>
      </c>
      <c r="H125" s="18">
        <f>IF($A125&gt;'1-Input'!$B$26,H124,H124-C125*(1-B125))</f>
        <v>316594.61474239122</v>
      </c>
      <c r="I125" s="11">
        <f>IF($A125&gt;'1-Input'!$B$26,0,IF(N124&lt;=0,0,MAX(0,(N124-O124)/N124)))</f>
        <v>0.23765641399040296</v>
      </c>
      <c r="J125" s="18">
        <f>IF($A125&gt;'1-Input'!$B$26,0,(MAX(0,I121-IF($A125&gt;='1-Input'!$C$12,'1-Input'!$B$12,0))-MIN(MAX(M124,0),MAX(0,I121-IF($A125&gt;='1-Input'!$C$12,'1-Input'!$B$12,0))))*(1/(1-'P-Parametri'!$B$6*I125))+MIN(MAX(0,N124-(MAX(0,I121-IF($A125&gt;='1-Input'!$C$12,'1-Input'!$B$12,0))-MIN(MAX(M124,0),MAX(0,I121-IF($A125&gt;='1-Input'!$C$12,'1-Input'!$B$12,0))))*(1/(1-'P-Parametri'!$B$6*I125))),MAX(0,0*I121-(M124-MIN(MAX(M124,0),MAX(0,I121-IF($A125&gt;='1-Input'!$C$12,'1-Input'!$B$12,0)))))*(1/(1-'P-Parametri'!$B$6*I125))))</f>
        <v>23394.306830928395</v>
      </c>
      <c r="K125" s="18">
        <f>IF($A125&gt;'1-Input'!$B$26,M124,(M124-MAX(0,I121-IF($A125&gt;='1-Input'!$C$12,'1-Input'!$B$12,0))+J125*(1-'P-Parametri'!$B$6*I125))*(1+ROUND('3-Liquidita'!$F$11,4)))</f>
        <v>0</v>
      </c>
      <c r="L125" s="18">
        <f>IF($A125&gt;'1-Input'!$B$26,N124,(N124-J125)*(1+'5-Roberta'!$C$4))</f>
        <v>416057.13860949094</v>
      </c>
      <c r="M125" s="18">
        <f>IF($A125&gt;'1-Input'!$B$26,K125,K125-'P-Parametri'!$B$8*(L125+K125)+MIN(MAX(L125,0),'P-Parametri'!$B$8*(L125+K125)))</f>
        <v>0</v>
      </c>
      <c r="N125" s="18">
        <f>IF($A125&gt;'1-Input'!$B$26,L125,L125-MIN(MAX(L125,0),'P-Parametri'!$B$8*(L125+K125)))</f>
        <v>415225.02433227195</v>
      </c>
      <c r="O125" s="18">
        <f>IF($A125&gt;'1-Input'!$B$26,O124,O124-J125*(1-I125))</f>
        <v>307940.28255577793</v>
      </c>
      <c r="P125" s="11">
        <f>IF($A125&gt;'1-Input'!$B$26,0,IF(U124&lt;=0,0,MAX(0,(U124-V124)/U124)))</f>
        <v>0.23765641399040296</v>
      </c>
      <c r="Q125" s="18">
        <f>IF($A125&gt;'1-Input'!$B$26,0,(MAX(0,P121-IF($A125&gt;='1-Input'!$C$12,'1-Input'!$B$12,0))-MIN(MAX(T124,0),MAX(0,P121-IF($A125&gt;='1-Input'!$C$12,'1-Input'!$B$12,0))))*(1/(1-'P-Parametri'!$B$6*P125))+MIN(MAX(0,U124-(MAX(0,P121-IF($A125&gt;='1-Input'!$C$12,'1-Input'!$B$12,0))-MIN(MAX(T124,0),MAX(0,P121-IF($A125&gt;='1-Input'!$C$12,'1-Input'!$B$12,0))))*(1/(1-'P-Parametri'!$B$6*P125))),MAX(0,0*P121-(T124-MIN(MAX(T124,0),MAX(0,P121-IF($A125&gt;='1-Input'!$C$12,'1-Input'!$B$12,0)))))*(1/(1-'P-Parametri'!$B$6*P125))))</f>
        <v>20352.643003673154</v>
      </c>
      <c r="R125" s="18">
        <f>IF($A125&gt;'1-Input'!$B$26,T124,(T124-MAX(0,P121-IF($A125&gt;='1-Input'!$C$12,'1-Input'!$B$12,0))+Q125*(1-'P-Parametri'!$B$6*P125))*(1+ROUND('3-Liquidita'!$F$11,4)))</f>
        <v>3.6216079024598004E-12</v>
      </c>
      <c r="S125" s="18">
        <f>IF($A125&gt;'1-Input'!$B$26,U124,(U124-Q125)*(1+'5-Roberta'!$C$4))</f>
        <v>422391.60191520618</v>
      </c>
      <c r="T125" s="18">
        <f>IF($A125&gt;'1-Input'!$B$26,R125,R125-'P-Parametri'!$B$8*(S125+R125)+MIN(MAX(S125,0),'P-Parametri'!$B$8*(S125+R125)))</f>
        <v>3.637978807091713E-12</v>
      </c>
      <c r="U125" s="18">
        <f>IF($A125&gt;'1-Input'!$B$26,S125,S125-MIN(MAX(S125,0),'P-Parametri'!$B$8*(S125+R125)))</f>
        <v>421546.81871137576</v>
      </c>
      <c r="V125" s="18">
        <f>IF($A125&gt;'1-Input'!$B$26,V124,V124-Q125*(1-P125))</f>
        <v>312628.66845085094</v>
      </c>
      <c r="W125" s="11">
        <f>IF($A125&gt;'1-Input'!$B$26,0,IF(AB124&lt;=0,0,MAX(0,(AB124-AC124)/AB124)))</f>
        <v>0.23765641399040299</v>
      </c>
      <c r="X125" s="18">
        <f>IF($A125&gt;'1-Input'!$B$26,0,(MAX(0,W121-IF($A125&gt;='1-Input'!$C$12,'1-Input'!$B$12,0))-MIN(MAX(AA124,0),MAX(0,W121-IF($A125&gt;='1-Input'!$C$12,'1-Input'!$B$12,0))))*(1/(1-'P-Parametri'!$B$6*W125))+MIN(MAX(0,AB124-(MAX(0,W121-IF($A125&gt;='1-Input'!$C$12,'1-Input'!$B$12,0))-MIN(MAX(AA124,0),MAX(0,W121-IF($A125&gt;='1-Input'!$C$12,'1-Input'!$B$12,0))))*(1/(1-'P-Parametri'!$B$6*W125))),MAX(0,0*W121-(AA124-MIN(MAX(AA124,0),MAX(0,W121-IF($A125&gt;='1-Input'!$C$12,'1-Input'!$B$12,0)))))*(1/(1-'P-Parametri'!$B$6*W125))))</f>
        <v>20079.48859243176</v>
      </c>
      <c r="Y125" s="18">
        <f>IF($A125&gt;'1-Input'!$B$26,AA124,(AA124-MAX(0,W121-IF($A125&gt;='1-Input'!$C$12,'1-Input'!$B$12,0))+X125*(1-'P-Parametri'!$B$6*W125))*(1+ROUND('3-Liquidita'!$F$11,4)))</f>
        <v>0</v>
      </c>
      <c r="Z125" s="18">
        <f>IF($A125&gt;'1-Input'!$B$26,AB124,(AB124-X125)*(1+'5-Roberta'!$C$4))</f>
        <v>422960.46379247826</v>
      </c>
      <c r="AA125" s="18">
        <f>IF($A125&gt;'1-Input'!$B$26,Y125,Y125-'P-Parametri'!$B$8*(Z125+Y125)+MIN(MAX(Z125,0),'P-Parametri'!$B$8*(Z125+Y125)))</f>
        <v>0</v>
      </c>
      <c r="AB125" s="18">
        <f>IF($A125&gt;'1-Input'!$B$26,Z125,Z125-MIN(MAX(Z125,0),'P-Parametri'!$B$8*(Z125+Y125)))</f>
        <v>422114.54286489333</v>
      </c>
      <c r="AC125" s="18">
        <f>IF($A125&gt;'1-Input'!$B$26,AC124,AC124-X125*(1-W125))</f>
        <v>313049.70554159238</v>
      </c>
      <c r="AD125" s="11">
        <f>IF($A125&gt;'1-Input'!$B$26,0,IF(AI124&lt;=0,0,MAX(0,(AI124-AJ124)/AI124)))</f>
        <v>0.23765641399040302</v>
      </c>
      <c r="AE125" s="18">
        <f>IF($A125&gt;'1-Input'!$B$26,0,(MAX(0,AD121-IF($A125&gt;='1-Input'!$C$12,'1-Input'!$B$12,0))-MIN(MAX(AH124,0),MAX(0,AD121-IF($A125&gt;='1-Input'!$C$12,'1-Input'!$B$12,0))))*(1/(1-'P-Parametri'!$B$6*AD125))+MIN(MAX(0,AI124-(MAX(0,AD121-IF($A125&gt;='1-Input'!$C$12,'1-Input'!$B$12,0))-MIN(MAX(AH124,0),MAX(0,AD121-IF($A125&gt;='1-Input'!$C$12,'1-Input'!$B$12,0))))*(1/(1-'P-Parametri'!$B$6*AD125))),MAX(0,0*AD121-(AH124-MIN(MAX(AH124,0),MAX(0,AD121-IF($A125&gt;='1-Input'!$C$12,'1-Input'!$B$12,0)))))*(1/(1-'P-Parametri'!$B$6*AD125))))</f>
        <v>20086.718818403057</v>
      </c>
      <c r="AF125" s="18">
        <f>IF($A125&gt;'1-Input'!$B$26,AH124,(AH124-MAX(0,AD121-IF($A125&gt;='1-Input'!$C$12,'1-Input'!$B$12,0))+AE125*(1-'P-Parametri'!$B$6*AD125))*(1+ROUND('3-Liquidita'!$F$11,4)))</f>
        <v>0</v>
      </c>
      <c r="AG125" s="18">
        <f>IF($A125&gt;'1-Input'!$B$26,AI124,(AI124-AE125)*(1+'5-Roberta'!$C$4))</f>
        <v>422945.40637531836</v>
      </c>
      <c r="AH125" s="18">
        <f>IF($A125&gt;'1-Input'!$B$26,AF125,AF125-'P-Parametri'!$B$8*(AG125+AF125)+MIN(MAX(AG125,0),'P-Parametri'!$B$8*(AG125+AF125)))</f>
        <v>0</v>
      </c>
      <c r="AI125" s="18">
        <f>IF($A125&gt;'1-Input'!$B$26,AG125,AG125-MIN(MAX(AG125,0),'P-Parametri'!$B$8*(AG125+AF125)))</f>
        <v>422099.51556256774</v>
      </c>
      <c r="AJ125" s="18">
        <f>IF($A125&gt;'1-Input'!$B$26,AJ124,AJ124-AE125*(1-AD125))</f>
        <v>313038.56095383153</v>
      </c>
      <c r="AK125" s="11">
        <f>IF($A125&gt;'1-Input'!$B$26,0,IF(AP124&lt;=0,0,MAX(0,(AP124-AQ124)/AP124)))</f>
        <v>0.23765641399040294</v>
      </c>
      <c r="AL125" s="18">
        <f>IF($A125&gt;'1-Input'!$B$26,0,(MAX(0,AK121-IF($A125&gt;='1-Input'!$C$12,'1-Input'!$B$12,0))-MIN(MAX(AO124,0),MAX(0,AK121-IF($A125&gt;='1-Input'!$C$12,'1-Input'!$B$12,0))))*(1/(1-'P-Parametri'!$B$6*AK125))+MIN(MAX(0,AP124-(MAX(0,AK121-IF($A125&gt;='1-Input'!$C$12,'1-Input'!$B$12,0))-MIN(MAX(AO124,0),MAX(0,AK121-IF($A125&gt;='1-Input'!$C$12,'1-Input'!$B$12,0))))*(1/(1-'P-Parametri'!$B$6*AK125))),MAX(0,0*AK121-(AO124-MIN(MAX(AO124,0),MAX(0,AK121-IF($A125&gt;='1-Input'!$C$12,'1-Input'!$B$12,0)))))*(1/(1-'P-Parametri'!$B$6*AK125))))</f>
        <v>20085.596097524998</v>
      </c>
      <c r="AM125" s="18">
        <f>IF($A125&gt;'1-Input'!$B$26,AO124,(AO124-MAX(0,AK121-IF($A125&gt;='1-Input'!$C$12,'1-Input'!$B$12,0))+AL125*(1-'P-Parametri'!$B$6*AK125))*(1+ROUND('3-Liquidita'!$F$11,4)))</f>
        <v>0</v>
      </c>
      <c r="AN125" s="18">
        <f>IF($A125&gt;'1-Input'!$B$26,AP124,(AP124-AL125)*(1+'5-Roberta'!$C$4))</f>
        <v>422947.74451477377</v>
      </c>
      <c r="AO125" s="18">
        <f>IF($A125&gt;'1-Input'!$B$26,AM125,AM125-'P-Parametri'!$B$8*(AN125+AM125)+MIN(MAX(AN125,0),'P-Parametri'!$B$8*(AN125+AM125)))</f>
        <v>0</v>
      </c>
      <c r="AP125" s="18">
        <f>IF($A125&gt;'1-Input'!$B$26,AN125,AN125-MIN(MAX(AN125,0),'P-Parametri'!$B$8*(AN125+AM125)))</f>
        <v>422101.84902574425</v>
      </c>
      <c r="AQ125" s="18">
        <f>IF($A125&gt;'1-Input'!$B$26,AQ124,AQ124-AL125*(1-AK125))</f>
        <v>313040.29150297429</v>
      </c>
    </row>
    <row r="126" spans="1:43">
      <c r="A126" s="10">
        <f>3</f>
        <v>3</v>
      </c>
      <c r="B126" s="11">
        <f>IF($A126&gt;'1-Input'!$B$26,0,IF(G125&lt;=0,0,MAX(0,(G125-H125)/G125)))</f>
        <v>0.25837735080880492</v>
      </c>
      <c r="C126" s="18">
        <f>IF($A126&gt;'1-Input'!$B$26,0,(MAX(0,B121-IF($A126&gt;='1-Input'!$C$12,'1-Input'!$B$12,0))-MIN(MAX(F125,0),MAX(0,B121-IF($A126&gt;='1-Input'!$C$12,'1-Input'!$B$12,0))))*(1/(1-'P-Parametri'!$B$6*B126))+MIN(MAX(0,G125-(MAX(0,B121-IF($A126&gt;='1-Input'!$C$12,'1-Input'!$B$12,0))-MIN(MAX(F125,0),MAX(0,B121-IF($A126&gt;='1-Input'!$C$12,'1-Input'!$B$12,0))))*(1/(1-'P-Parametri'!$B$6*B126))),MAX(0,0*B121-(F125-MIN(MAX(F125,0),MAX(0,B121-IF($A126&gt;='1-Input'!$C$12,'1-Input'!$B$12,0)))))*(1/(1-'P-Parametri'!$B$6*B126))))</f>
        <v>17882.358374189342</v>
      </c>
      <c r="D126" s="18">
        <f>IF($A126&gt;'1-Input'!$B$26,F125,(F125-MAX(0,B121-IF($A126&gt;='1-Input'!$C$12,'1-Input'!$B$12,0))+C126*(1-'P-Parametri'!$B$6*B126))*(1+ROUND('3-Liquidita'!$F$11,4)))</f>
        <v>0</v>
      </c>
      <c r="E126" s="18">
        <f>IF($A126&gt;'1-Input'!$B$26,G125,(G125-C126)*(1+'5-Roberta'!$C$4))</f>
        <v>421282.48466306698</v>
      </c>
      <c r="F126" s="18">
        <f>IF($A126&gt;'1-Input'!$B$26,D126,D126-'P-Parametri'!$B$8*(E126+D126)+MIN(MAX(E126,0),'P-Parametri'!$B$8*(E126+D126)))</f>
        <v>0</v>
      </c>
      <c r="G126" s="18">
        <f>IF($A126&gt;'1-Input'!$B$26,E126,E126-MIN(MAX(E126,0),'P-Parametri'!$B$8*(E126+D126)))</f>
        <v>420439.91969374084</v>
      </c>
      <c r="H126" s="18">
        <f>IF($A126&gt;'1-Input'!$B$26,H125,H125-C126*(1-B126))</f>
        <v>303332.65275113855</v>
      </c>
      <c r="I126" s="11">
        <f>IF($A126&gt;'1-Input'!$B$26,0,IF(N125&lt;=0,0,MAX(0,(N125-O125)/N125)))</f>
        <v>0.25837735080880497</v>
      </c>
      <c r="J126" s="18">
        <f>IF($A126&gt;'1-Input'!$B$26,0,(MAX(0,I121-IF($A126&gt;='1-Input'!$C$12,'1-Input'!$B$12,0))-MIN(MAX(M125,0),MAX(0,I121-IF($A126&gt;='1-Input'!$C$12,'1-Input'!$B$12,0))))*(1/(1-'P-Parametri'!$B$6*I126))+MIN(MAX(0,N125-(MAX(0,I121-IF($A126&gt;='1-Input'!$C$12,'1-Input'!$B$12,0))-MIN(MAX(M125,0),MAX(0,I121-IF($A126&gt;='1-Input'!$C$12,'1-Input'!$B$12,0))))*(1/(1-'P-Parametri'!$B$6*I126))),MAX(0,0*I121-(M125-MIN(MAX(M125,0),MAX(0,I121-IF($A126&gt;='1-Input'!$C$12,'1-Input'!$B$12,0)))))*(1/(1-'P-Parametri'!$B$6*I126))))</f>
        <v>23529.418913407029</v>
      </c>
      <c r="K126" s="18">
        <f>IF($A126&gt;'1-Input'!$B$26,M125,(M125-MAX(0,I121-IF($A126&gt;='1-Input'!$C$12,'1-Input'!$B$12,0))+J126*(1-'P-Parametri'!$B$6*I126))*(1+ROUND('3-Liquidita'!$F$11,4)))</f>
        <v>-3.6216079024598004E-12</v>
      </c>
      <c r="L126" s="18">
        <f>IF($A126&gt;'1-Input'!$B$26,N125,(N125-J126)*(1+'5-Roberta'!$C$4))</f>
        <v>403446.47358143091</v>
      </c>
      <c r="M126" s="18">
        <f>IF($A126&gt;'1-Input'!$B$26,K126,K126-'P-Parametri'!$B$8*(L126+K126)+MIN(MAX(L126,0),'P-Parametri'!$B$8*(L126+K126)))</f>
        <v>-3.637978807091713E-12</v>
      </c>
      <c r="N126" s="18">
        <f>IF($A126&gt;'1-Input'!$B$26,L126,L126-MIN(MAX(L126,0),'P-Parametri'!$B$8*(L126+K126)))</f>
        <v>402639.58063426806</v>
      </c>
      <c r="O126" s="18">
        <f>IF($A126&gt;'1-Input'!$B$26,O125,O125-J126*(1-I126))</f>
        <v>290490.33256728761</v>
      </c>
      <c r="P126" s="11">
        <f>IF($A126&gt;'1-Input'!$B$26,0,IF(U125&lt;=0,0,MAX(0,(U125-V125)/U125)))</f>
        <v>0.25837735080880492</v>
      </c>
      <c r="Q126" s="18">
        <f>IF($A126&gt;'1-Input'!$B$26,0,(MAX(0,P121-IF($A126&gt;='1-Input'!$C$12,'1-Input'!$B$12,0))-MIN(MAX(T125,0),MAX(0,P121-IF($A126&gt;='1-Input'!$C$12,'1-Input'!$B$12,0))))*(1/(1-'P-Parametri'!$B$6*P126))+MIN(MAX(0,U125-(MAX(0,P121-IF($A126&gt;='1-Input'!$C$12,'1-Input'!$B$12,0))-MIN(MAX(T125,0),MAX(0,P121-IF($A126&gt;='1-Input'!$C$12,'1-Input'!$B$12,0))))*(1/(1-'P-Parametri'!$B$6*P126))),MAX(0,0*P121-(T125-MIN(MAX(T125,0),MAX(0,P121-IF($A126&gt;='1-Input'!$C$12,'1-Input'!$B$12,0)))))*(1/(1-'P-Parametri'!$B$6*P126))))</f>
        <v>20470.1881825085</v>
      </c>
      <c r="R126" s="18">
        <f>IF($A126&gt;'1-Input'!$B$26,T125,(T125-MAX(0,P121-IF($A126&gt;='1-Input'!$C$12,'1-Input'!$B$12,0))+Q126*(1-'P-Parametri'!$B$6*P126))*(1+ROUND('3-Liquidita'!$F$11,4)))</f>
        <v>0</v>
      </c>
      <c r="S126" s="18">
        <f>IF($A126&gt;'1-Input'!$B$26,U125,(U125-Q126)*(1+'5-Roberta'!$C$4))</f>
        <v>413108.92944473325</v>
      </c>
      <c r="T126" s="18">
        <f>IF($A126&gt;'1-Input'!$B$26,R126,R126-'P-Parametri'!$B$8*(S126+R126)+MIN(MAX(S126,0),'P-Parametri'!$B$8*(S126+R126)))</f>
        <v>0</v>
      </c>
      <c r="U126" s="18">
        <f>IF($A126&gt;'1-Input'!$B$26,S126,S126-MIN(MAX(S126,0),'P-Parametri'!$B$8*(S126+R126)))</f>
        <v>412282.71158584376</v>
      </c>
      <c r="V126" s="18">
        <f>IF($A126&gt;'1-Input'!$B$26,V125,V125-Q126*(1-P126))</f>
        <v>297447.51326149667</v>
      </c>
      <c r="W126" s="11">
        <f>IF($A126&gt;'1-Input'!$B$26,0,IF(AB125&lt;=0,0,MAX(0,(AB125-AC125)/AB125)))</f>
        <v>0.25837735080880514</v>
      </c>
      <c r="X126" s="18">
        <f>IF($A126&gt;'1-Input'!$B$26,0,(MAX(0,W121-IF($A126&gt;='1-Input'!$C$12,'1-Input'!$B$12,0))-MIN(MAX(AA125,0),MAX(0,W121-IF($A126&gt;='1-Input'!$C$12,'1-Input'!$B$12,0))))*(1/(1-'P-Parametri'!$B$6*W126))+MIN(MAX(0,AB125-(MAX(0,W121-IF($A126&gt;='1-Input'!$C$12,'1-Input'!$B$12,0))-MIN(MAX(AA125,0),MAX(0,W121-IF($A126&gt;='1-Input'!$C$12,'1-Input'!$B$12,0))))*(1/(1-'P-Parametri'!$B$6*W126))),MAX(0,0*W121-(AA125-MIN(MAX(AA125,0),MAX(0,W121-IF($A126&gt;='1-Input'!$C$12,'1-Input'!$B$12,0)))))*(1/(1-'P-Parametri'!$B$6*W126))))</f>
        <v>20195.456188241988</v>
      </c>
      <c r="Y126" s="18">
        <f>IF($A126&gt;'1-Input'!$B$26,AA125,(AA125-MAX(0,W121-IF($A126&gt;='1-Input'!$C$12,'1-Input'!$B$12,0))+X126*(1-'P-Parametri'!$B$6*W126))*(1+ROUND('3-Liquidita'!$F$11,4)))</f>
        <v>0</v>
      </c>
      <c r="Z126" s="18">
        <f>IF($A126&gt;'1-Input'!$B$26,AB125,(AB125-X126)*(1+'5-Roberta'!$C$4))</f>
        <v>413976.65927695087</v>
      </c>
      <c r="AA126" s="18">
        <f>IF($A126&gt;'1-Input'!$B$26,Y126,Y126-'P-Parametri'!$B$8*(Z126+Y126)+MIN(MAX(Z126,0),'P-Parametri'!$B$8*(Z126+Y126)))</f>
        <v>0</v>
      </c>
      <c r="AB126" s="18">
        <f>IF($A126&gt;'1-Input'!$B$26,Z126,Z126-MIN(MAX(Z126,0),'P-Parametri'!$B$8*(Z126+Y126)))</f>
        <v>413148.70595839695</v>
      </c>
      <c r="AC126" s="18">
        <f>IF($A126&gt;'1-Input'!$B$26,AC125,AC125-X126*(1-W126))</f>
        <v>298072.29782164365</v>
      </c>
      <c r="AD126" s="11">
        <f>IF($A126&gt;'1-Input'!$B$26,0,IF(AI125&lt;=0,0,MAX(0,(AI125-AJ125)/AI125)))</f>
        <v>0.25837735080880497</v>
      </c>
      <c r="AE126" s="18">
        <f>IF($A126&gt;'1-Input'!$B$26,0,(MAX(0,AD121-IF($A126&gt;='1-Input'!$C$12,'1-Input'!$B$12,0))-MIN(MAX(AH125,0),MAX(0,AD121-IF($A126&gt;='1-Input'!$C$12,'1-Input'!$B$12,0))))*(1/(1-'P-Parametri'!$B$6*AD126))+MIN(MAX(0,AI125-(MAX(0,AD121-IF($A126&gt;='1-Input'!$C$12,'1-Input'!$B$12,0))-MIN(MAX(AH125,0),MAX(0,AD121-IF($A126&gt;='1-Input'!$C$12,'1-Input'!$B$12,0))))*(1/(1-'P-Parametri'!$B$6*AD126))),MAX(0,0*AD121-(AH125-MIN(MAX(AH125,0),MAX(0,AD121-IF($A126&gt;='1-Input'!$C$12,'1-Input'!$B$12,0)))))*(1/(1-'P-Parametri'!$B$6*AD126))))</f>
        <v>20202.728171846658</v>
      </c>
      <c r="AF126" s="18">
        <f>IF($A126&gt;'1-Input'!$B$26,AH125,(AH125-MAX(0,AD121-IF($A126&gt;='1-Input'!$C$12,'1-Input'!$B$12,0))+AE126*(1-'P-Parametri'!$B$6*AD126))*(1+ROUND('3-Liquidita'!$F$11,4)))</f>
        <v>0</v>
      </c>
      <c r="AG126" s="18">
        <f>IF($A126&gt;'1-Input'!$B$26,AI125,(AI125-AE126)*(1+'5-Roberta'!$C$4))</f>
        <v>413953.69101244275</v>
      </c>
      <c r="AH126" s="18">
        <f>IF($A126&gt;'1-Input'!$B$26,AF126,AF126-'P-Parametri'!$B$8*(AG126+AF126)+MIN(MAX(AG126,0),'P-Parametri'!$B$8*(AG126+AF126)))</f>
        <v>0</v>
      </c>
      <c r="AI126" s="18">
        <f>IF($A126&gt;'1-Input'!$B$26,AG126,AG126-MIN(MAX(AG126,0),'P-Parametri'!$B$8*(AG126+AF126)))</f>
        <v>413125.78363041789</v>
      </c>
      <c r="AJ126" s="18">
        <f>IF($A126&gt;'1-Input'!$B$26,AJ125,AJ125-AE126*(1-AD126))</f>
        <v>298055.76016613701</v>
      </c>
      <c r="AK126" s="11">
        <f>IF($A126&gt;'1-Input'!$B$26,0,IF(AP125&lt;=0,0,MAX(0,(AP125-AQ125)/AP125)))</f>
        <v>0.25837735080880497</v>
      </c>
      <c r="AL126" s="18">
        <f>IF($A126&gt;'1-Input'!$B$26,0,(MAX(0,AK121-IF($A126&gt;='1-Input'!$C$12,'1-Input'!$B$12,0))-MIN(MAX(AO125,0),MAX(0,AK121-IF($A126&gt;='1-Input'!$C$12,'1-Input'!$B$12,0))))*(1/(1-'P-Parametri'!$B$6*AK126))+MIN(MAX(0,AP125-(MAX(0,AK121-IF($A126&gt;='1-Input'!$C$12,'1-Input'!$B$12,0))-MIN(MAX(AO125,0),MAX(0,AK121-IF($A126&gt;='1-Input'!$C$12,'1-Input'!$B$12,0))))*(1/(1-'P-Parametri'!$B$6*AK126))),MAX(0,0*AK121-(AO125-MIN(MAX(AO125,0),MAX(0,AK121-IF($A126&gt;='1-Input'!$C$12,'1-Input'!$B$12,0)))))*(1/(1-'P-Parametri'!$B$6*AK126))))</f>
        <v>20201.598966777514</v>
      </c>
      <c r="AM126" s="18">
        <f>IF($A126&gt;'1-Input'!$B$26,AO125,(AO125-MAX(0,AK121-IF($A126&gt;='1-Input'!$C$12,'1-Input'!$B$12,0))+AL126*(1-'P-Parametri'!$B$6*AK126))*(1+ROUND('3-Liquidita'!$F$11,4)))</f>
        <v>0</v>
      </c>
      <c r="AN126" s="18">
        <f>IF($A126&gt;'1-Input'!$B$26,AP125,(AP125-AL126)*(1+'5-Roberta'!$C$4))</f>
        <v>413957.25756073574</v>
      </c>
      <c r="AO126" s="18">
        <f>IF($A126&gt;'1-Input'!$B$26,AM126,AM126-'P-Parametri'!$B$8*(AN126+AM126)+MIN(MAX(AN126,0),'P-Parametri'!$B$8*(AN126+AM126)))</f>
        <v>0</v>
      </c>
      <c r="AP126" s="18">
        <f>IF($A126&gt;'1-Input'!$B$26,AN126,AN126-MIN(MAX(AN126,0),'P-Parametri'!$B$8*(AN126+AM126)))</f>
        <v>413129.34304561425</v>
      </c>
      <c r="AQ126" s="18">
        <f>IF($A126&gt;'1-Input'!$B$26,AQ125,AQ125-AL126*(1-AK126))</f>
        <v>298058.32815933466</v>
      </c>
    </row>
    <row r="127" spans="1:43">
      <c r="A127" s="10">
        <f>4</f>
        <v>4</v>
      </c>
      <c r="B127" s="11">
        <f>IF($A127&gt;'1-Input'!$B$26,0,IF(G126&lt;=0,0,MAX(0,(G126-H126)/G126)))</f>
        <v>0.27853508065529603</v>
      </c>
      <c r="C127" s="18">
        <f>IF($A127&gt;'1-Input'!$B$26,0,(MAX(0,B121-IF($A127&gt;='1-Input'!$C$12,'1-Input'!$B$12,0))-MIN(MAX(F126,0),MAX(0,B121-IF($A127&gt;='1-Input'!$C$12,'1-Input'!$B$12,0))))*(1/(1-'P-Parametri'!$B$6*B127))+MIN(MAX(0,G126-(MAX(0,B121-IF($A127&gt;='1-Input'!$C$12,'1-Input'!$B$12,0))-MIN(MAX(F126,0),MAX(0,B121-IF($A127&gt;='1-Input'!$C$12,'1-Input'!$B$12,0))))*(1/(1-'P-Parametri'!$B$6*B127))),MAX(0,0*B121-(F126-MIN(MAX(F126,0),MAX(0,B121-IF($A127&gt;='1-Input'!$C$12,'1-Input'!$B$12,0)))))*(1/(1-'P-Parametri'!$B$6*B127))))</f>
        <v>17983.397126595017</v>
      </c>
      <c r="D127" s="18">
        <f>IF($A127&gt;'1-Input'!$B$26,F126,(F126-MAX(0,B121-IF($A127&gt;='1-Input'!$C$12,'1-Input'!$B$12,0))+C127*(1-'P-Parametri'!$B$6*B127))*(1+ROUND('3-Liquidita'!$F$11,4)))</f>
        <v>0</v>
      </c>
      <c r="E127" s="18">
        <f>IF($A127&gt;'1-Input'!$B$26,G126,(G126-C127)*(1+'5-Roberta'!$C$4))</f>
        <v>414530.21824416018</v>
      </c>
      <c r="F127" s="18">
        <f>IF($A127&gt;'1-Input'!$B$26,D127,D127-'P-Parametri'!$B$8*(E127+D127)+MIN(MAX(E127,0),'P-Parametri'!$B$8*(E127+D127)))</f>
        <v>0</v>
      </c>
      <c r="G127" s="18">
        <f>IF($A127&gt;'1-Input'!$B$26,E127,E127-MIN(MAX(E127,0),'P-Parametri'!$B$8*(E127+D127)))</f>
        <v>413701.15780767187</v>
      </c>
      <c r="H127" s="18">
        <f>IF($A127&gt;'1-Input'!$B$26,H126,H126-C127*(1-B127))</f>
        <v>290358.26259365591</v>
      </c>
      <c r="I127" s="11">
        <f>IF($A127&gt;'1-Input'!$B$26,0,IF(N126&lt;=0,0,MAX(0,(N126-O126)/N126)))</f>
        <v>0.27853508065529609</v>
      </c>
      <c r="J127" s="18">
        <f>IF($A127&gt;'1-Input'!$B$26,0,(MAX(0,I121-IF($A127&gt;='1-Input'!$C$12,'1-Input'!$B$12,0))-MIN(MAX(M126,0),MAX(0,I121-IF($A127&gt;='1-Input'!$C$12,'1-Input'!$B$12,0))))*(1/(1-'P-Parametri'!$B$6*I127))+MIN(MAX(0,N126-(MAX(0,I121-IF($A127&gt;='1-Input'!$C$12,'1-Input'!$B$12,0))-MIN(MAX(M126,0),MAX(0,I121-IF($A127&gt;='1-Input'!$C$12,'1-Input'!$B$12,0))))*(1/(1-'P-Parametri'!$B$6*I127))),MAX(0,0*I121-(M126-MIN(MAX(M126,0),MAX(0,I121-IF($A127&gt;='1-Input'!$C$12,'1-Input'!$B$12,0)))))*(1/(1-'P-Parametri'!$B$6*I127))))</f>
        <v>23662.364640256612</v>
      </c>
      <c r="K127" s="18">
        <f>IF($A127&gt;'1-Input'!$B$26,M126,(M126-MAX(0,I121-IF($A127&gt;='1-Input'!$C$12,'1-Input'!$B$12,0))+J127*(1-'P-Parametri'!$B$6*I127))*(1+ROUND('3-Liquidita'!$F$11,4)))</f>
        <v>3.6216079024598004E-12</v>
      </c>
      <c r="L127" s="18">
        <f>IF($A127&gt;'1-Input'!$B$26,N126,(N126-J127)*(1+'5-Roberta'!$C$4))</f>
        <v>390346.53247383179</v>
      </c>
      <c r="M127" s="18">
        <f>IF($A127&gt;'1-Input'!$B$26,K127,K127-'P-Parametri'!$B$8*(L127+K127)+MIN(MAX(L127,0),'P-Parametri'!$B$8*(L127+K127)))</f>
        <v>3.637978807091713E-12</v>
      </c>
      <c r="N127" s="18">
        <f>IF($A127&gt;'1-Input'!$B$26,L127,L127-MIN(MAX(L127,0),'P-Parametri'!$B$8*(L127+K127)))</f>
        <v>389565.83940888412</v>
      </c>
      <c r="O127" s="18">
        <f>IF($A127&gt;'1-Input'!$B$26,O126,O126-J127*(1-I127))</f>
        <v>273418.76657059992</v>
      </c>
      <c r="P127" s="11">
        <f>IF($A127&gt;'1-Input'!$B$26,0,IF(U126&lt;=0,0,MAX(0,(U126-V126)/U126)))</f>
        <v>0.27853508065529592</v>
      </c>
      <c r="Q127" s="18">
        <f>IF($A127&gt;'1-Input'!$B$26,0,(MAX(0,P121-IF($A127&gt;='1-Input'!$C$12,'1-Input'!$B$12,0))-MIN(MAX(T126,0),MAX(0,P121-IF($A127&gt;='1-Input'!$C$12,'1-Input'!$B$12,0))))*(1/(1-'P-Parametri'!$B$6*P127))+MIN(MAX(0,U126-(MAX(0,P121-IF($A127&gt;='1-Input'!$C$12,'1-Input'!$B$12,0))-MIN(MAX(T126,0),MAX(0,P121-IF($A127&gt;='1-Input'!$C$12,'1-Input'!$B$12,0))))*(1/(1-'P-Parametri'!$B$6*P127))),MAX(0,0*P121-(T126-MIN(MAX(T126,0),MAX(0,P121-IF($A127&gt;='1-Input'!$C$12,'1-Input'!$B$12,0)))))*(1/(1-'P-Parametri'!$B$6*P127))))</f>
        <v>20585.848669352083</v>
      </c>
      <c r="R127" s="18">
        <f>IF($A127&gt;'1-Input'!$B$26,T126,(T126-MAX(0,P121-IF($A127&gt;='1-Input'!$C$12,'1-Input'!$B$12,0))+Q127*(1-'P-Parametri'!$B$6*P127))*(1+ROUND('3-Liquidita'!$F$11,4)))</f>
        <v>3.6216079024598004E-12</v>
      </c>
      <c r="S127" s="18">
        <f>IF($A127&gt;'1-Input'!$B$26,U126,(U126-Q127)*(1+'5-Roberta'!$C$4))</f>
        <v>403447.76880398643</v>
      </c>
      <c r="T127" s="18">
        <f>IF($A127&gt;'1-Input'!$B$26,R127,R127-'P-Parametri'!$B$8*(S127+R127)+MIN(MAX(S127,0),'P-Parametri'!$B$8*(S127+R127)))</f>
        <v>3.637978807091713E-12</v>
      </c>
      <c r="U127" s="18">
        <f>IF($A127&gt;'1-Input'!$B$26,S127,S127-MIN(MAX(S127,0),'P-Parametri'!$B$8*(S127+R127)))</f>
        <v>402640.87326637848</v>
      </c>
      <c r="V127" s="18">
        <f>IF($A127&gt;'1-Input'!$B$26,V126,V126-Q127*(1-P127))</f>
        <v>282595.5456116203</v>
      </c>
      <c r="W127" s="11">
        <f>IF($A127&gt;'1-Input'!$B$26,0,IF(AB126&lt;=0,0,MAX(0,(AB126-AC126)/AB126)))</f>
        <v>0.27853508065529609</v>
      </c>
      <c r="X127" s="18">
        <f>IF($A127&gt;'1-Input'!$B$26,0,(MAX(0,W121-IF($A127&gt;='1-Input'!$C$12,'1-Input'!$B$12,0))-MIN(MAX(AA126,0),MAX(0,W121-IF($A127&gt;='1-Input'!$C$12,'1-Input'!$B$12,0))))*(1/(1-'P-Parametri'!$B$6*W127))+MIN(MAX(0,AB126-(MAX(0,W121-IF($A127&gt;='1-Input'!$C$12,'1-Input'!$B$12,0))-MIN(MAX(AA126,0),MAX(0,W121-IF($A127&gt;='1-Input'!$C$12,'1-Input'!$B$12,0))))*(1/(1-'P-Parametri'!$B$6*W127))),MAX(0,0*W121-(AA126-MIN(MAX(AA126,0),MAX(0,W121-IF($A127&gt;='1-Input'!$C$12,'1-Input'!$B$12,0)))))*(1/(1-'P-Parametri'!$B$6*W127))))</f>
        <v>20309.564386658847</v>
      </c>
      <c r="Y127" s="18">
        <f>IF($A127&gt;'1-Input'!$B$26,AA126,(AA126-MAX(0,W121-IF($A127&gt;='1-Input'!$C$12,'1-Input'!$B$12,0))+X127*(1-'P-Parametri'!$B$6*W127))*(1+ROUND('3-Liquidita'!$F$11,4)))</f>
        <v>0</v>
      </c>
      <c r="Z127" s="18">
        <f>IF($A127&gt;'1-Input'!$B$26,AB126,(AB126-X127)*(1+'5-Roberta'!$C$4))</f>
        <v>404624.31581889029</v>
      </c>
      <c r="AA127" s="18">
        <f>IF($A127&gt;'1-Input'!$B$26,Y127,Y127-'P-Parametri'!$B$8*(Z127+Y127)+MIN(MAX(Z127,0),'P-Parametri'!$B$8*(Z127+Y127)))</f>
        <v>0</v>
      </c>
      <c r="AB127" s="18">
        <f>IF($A127&gt;'1-Input'!$B$26,Z127,Z127-MIN(MAX(Z127,0),'P-Parametri'!$B$8*(Z127+Y127)))</f>
        <v>403815.06718725251</v>
      </c>
      <c r="AC127" s="18">
        <f>IF($A127&gt;'1-Input'!$B$26,AC126,AC126-X127*(1-W127))</f>
        <v>283419.65958949673</v>
      </c>
      <c r="AD127" s="11">
        <f>IF($A127&gt;'1-Input'!$B$26,0,IF(AI126&lt;=0,0,MAX(0,(AI126-AJ126)/AI126)))</f>
        <v>0.27853508065529614</v>
      </c>
      <c r="AE127" s="18">
        <f>IF($A127&gt;'1-Input'!$B$26,0,(MAX(0,AD121-IF($A127&gt;='1-Input'!$C$12,'1-Input'!$B$12,0))-MIN(MAX(AH126,0),MAX(0,AD121-IF($A127&gt;='1-Input'!$C$12,'1-Input'!$B$12,0))))*(1/(1-'P-Parametri'!$B$6*AD127))+MIN(MAX(0,AI126-(MAX(0,AD121-IF($A127&gt;='1-Input'!$C$12,'1-Input'!$B$12,0))-MIN(MAX(AH126,0),MAX(0,AD121-IF($A127&gt;='1-Input'!$C$12,'1-Input'!$B$12,0))))*(1/(1-'P-Parametri'!$B$6*AD127))),MAX(0,0*AD121-(AH126-MIN(MAX(AH126,0),MAX(0,AD121-IF($A127&gt;='1-Input'!$C$12,'1-Input'!$B$12,0)))))*(1/(1-'P-Parametri'!$B$6*AD127))))</f>
        <v>20316.877458364743</v>
      </c>
      <c r="AF127" s="18">
        <f>IF($A127&gt;'1-Input'!$B$26,AH126,(AH126-MAX(0,AD121-IF($A127&gt;='1-Input'!$C$12,'1-Input'!$B$12,0))+AE127*(1-'P-Parametri'!$B$6*AD127))*(1+ROUND('3-Liquidita'!$F$11,4)))</f>
        <v>0</v>
      </c>
      <c r="AG127" s="18">
        <f>IF($A127&gt;'1-Input'!$B$26,AI126,(AI126-AE127)*(1+'5-Roberta'!$C$4))</f>
        <v>404593.17335721472</v>
      </c>
      <c r="AH127" s="18">
        <f>IF($A127&gt;'1-Input'!$B$26,AF127,AF127-'P-Parametri'!$B$8*(AG127+AF127)+MIN(MAX(AG127,0),'P-Parametri'!$B$8*(AG127+AF127)))</f>
        <v>0</v>
      </c>
      <c r="AI127" s="18">
        <f>IF($A127&gt;'1-Input'!$B$26,AG127,AG127-MIN(MAX(AG127,0),'P-Parametri'!$B$8*(AG127+AF127)))</f>
        <v>403783.98701050028</v>
      </c>
      <c r="AJ127" s="18">
        <f>IF($A127&gt;'1-Input'!$B$26,AJ126,AJ126-AE127*(1-AD127))</f>
        <v>283397.84580930165</v>
      </c>
      <c r="AK127" s="11">
        <f>IF($A127&gt;'1-Input'!$B$26,0,IF(AP126&lt;=0,0,MAX(0,(AP126-AQ126)/AP126)))</f>
        <v>0.27853508065529592</v>
      </c>
      <c r="AL127" s="18">
        <f>IF($A127&gt;'1-Input'!$B$26,0,(MAX(0,AK121-IF($A127&gt;='1-Input'!$C$12,'1-Input'!$B$12,0))-MIN(MAX(AO126,0),MAX(0,AK121-IF($A127&gt;='1-Input'!$C$12,'1-Input'!$B$12,0))))*(1/(1-'P-Parametri'!$B$6*AK127))+MIN(MAX(0,AP126-(MAX(0,AK121-IF($A127&gt;='1-Input'!$C$12,'1-Input'!$B$12,0))-MIN(MAX(AO126,0),MAX(0,AK121-IF($A127&gt;='1-Input'!$C$12,'1-Input'!$B$12,0))))*(1/(1-'P-Parametri'!$B$6*AK127))),MAX(0,0*AK121-(AO126-MIN(MAX(AO126,0),MAX(0,AK121-IF($A127&gt;='1-Input'!$C$12,'1-Input'!$B$12,0)))))*(1/(1-'P-Parametri'!$B$6*AK127))))</f>
        <v>20315.741873070518</v>
      </c>
      <c r="AM127" s="18">
        <f>IF($A127&gt;'1-Input'!$B$26,AO126,(AO126-MAX(0,AK121-IF($A127&gt;='1-Input'!$C$12,'1-Input'!$B$12,0))+AL127*(1-'P-Parametri'!$B$6*AK127))*(1+ROUND('3-Liquidita'!$F$11,4)))</f>
        <v>3.6216079024598004E-12</v>
      </c>
      <c r="AN127" s="18">
        <f>IF($A127&gt;'1-Input'!$B$26,AP126,(AP126-AL127)*(1+'5-Roberta'!$C$4))</f>
        <v>404598.00920772005</v>
      </c>
      <c r="AO127" s="18">
        <f>IF($A127&gt;'1-Input'!$B$26,AM127,AM127-'P-Parametri'!$B$8*(AN127+AM127)+MIN(MAX(AN127,0),'P-Parametri'!$B$8*(AN127+AM127)))</f>
        <v>3.637978807091713E-12</v>
      </c>
      <c r="AP127" s="18">
        <f>IF($A127&gt;'1-Input'!$B$26,AN127,AN127-MIN(MAX(AN127,0),'P-Parametri'!$B$8*(AN127+AM127)))</f>
        <v>403788.81318930461</v>
      </c>
      <c r="AQ127" s="18">
        <f>IF($A127&gt;'1-Input'!$B$26,AQ126,AQ126-AL127*(1-AK127))</f>
        <v>283401.23308745201</v>
      </c>
    </row>
    <row r="128" spans="1:43">
      <c r="A128" s="10">
        <f>5</f>
        <v>5</v>
      </c>
      <c r="B128" s="11">
        <f>IF($A128&gt;'1-Input'!$B$26,0,IF(G127&lt;=0,0,MAX(0,(G127-H127)/G127)))</f>
        <v>0.29814491181907116</v>
      </c>
      <c r="C128" s="18">
        <f>IF($A128&gt;'1-Input'!$B$26,0,(MAX(0,B121-IF($A128&gt;='1-Input'!$C$12,'1-Input'!$B$12,0))-MIN(MAX(F127,0),MAX(0,B121-IF($A128&gt;='1-Input'!$C$12,'1-Input'!$B$12,0))))*(1/(1-'P-Parametri'!$B$6*B128))+MIN(MAX(0,G127-(MAX(0,B121-IF($A128&gt;='1-Input'!$C$12,'1-Input'!$B$12,0))-MIN(MAX(F127,0),MAX(0,B121-IF($A128&gt;='1-Input'!$C$12,'1-Input'!$B$12,0))))*(1/(1-'P-Parametri'!$B$6*B128))),MAX(0,0*B121-(F127-MIN(MAX(F127,0),MAX(0,B121-IF($A128&gt;='1-Input'!$C$12,'1-Input'!$B$12,0)))))*(1/(1-'P-Parametri'!$B$6*B128))))</f>
        <v>18082.791290457168</v>
      </c>
      <c r="D128" s="18">
        <f>IF($A128&gt;'1-Input'!$B$26,F127,(F127-MAX(0,B121-IF($A128&gt;='1-Input'!$C$12,'1-Input'!$B$12,0))+C128*(1-'P-Parametri'!$B$6*B128))*(1+ROUND('3-Liquidita'!$F$11,4)))</f>
        <v>0</v>
      </c>
      <c r="E128" s="18">
        <f>IF($A128&gt;'1-Input'!$B$26,G127,(G127-C128)*(1+'5-Roberta'!$C$4))</f>
        <v>407486.91751273116</v>
      </c>
      <c r="F128" s="18">
        <f>IF($A128&gt;'1-Input'!$B$26,D128,D128-'P-Parametri'!$B$8*(E128+D128)+MIN(MAX(E128,0),'P-Parametri'!$B$8*(E128+D128)))</f>
        <v>0</v>
      </c>
      <c r="G128" s="18">
        <f>IF($A128&gt;'1-Input'!$B$26,E128,E128-MIN(MAX(E128,0),'P-Parametri'!$B$8*(E128+D128)))</f>
        <v>406671.94367770571</v>
      </c>
      <c r="H128" s="18">
        <f>IF($A128&gt;'1-Input'!$B$26,H127,H127-C128*(1-B128))</f>
        <v>277666.76351793477</v>
      </c>
      <c r="I128" s="11">
        <f>IF($A128&gt;'1-Input'!$B$26,0,IF(N127&lt;=0,0,MAX(0,(N127-O127)/N127)))</f>
        <v>0.29814491181907116</v>
      </c>
      <c r="J128" s="18">
        <f>IF($A128&gt;'1-Input'!$B$26,0,(MAX(0,I121-IF($A128&gt;='1-Input'!$C$12,'1-Input'!$B$12,0))-MIN(MAX(M127,0),MAX(0,I121-IF($A128&gt;='1-Input'!$C$12,'1-Input'!$B$12,0))))*(1/(1-'P-Parametri'!$B$6*I128))+MIN(MAX(0,N127-(MAX(0,I121-IF($A128&gt;='1-Input'!$C$12,'1-Input'!$B$12,0))-MIN(MAX(M127,0),MAX(0,I121-IF($A128&gt;='1-Input'!$C$12,'1-Input'!$B$12,0))))*(1/(1-'P-Parametri'!$B$6*I128))),MAX(0,0*I121-(M127-MIN(MAX(M127,0),MAX(0,I121-IF($A128&gt;='1-Input'!$C$12,'1-Input'!$B$12,0)))))*(1/(1-'P-Parametri'!$B$6*I128))))</f>
        <v>23793.146434812061</v>
      </c>
      <c r="K128" s="18">
        <f>IF($A128&gt;'1-Input'!$B$26,M127,(M127-MAX(0,I121-IF($A128&gt;='1-Input'!$C$12,'1-Input'!$B$12,0))+J128*(1-'P-Parametri'!$B$6*I128))*(1+ROUND('3-Liquidita'!$F$11,4)))</f>
        <v>-3.6216079024598004E-12</v>
      </c>
      <c r="L128" s="18">
        <f>IF($A128&gt;'1-Input'!$B$26,N127,(N127-J128)*(1+'5-Roberta'!$C$4))</f>
        <v>376745.87376329425</v>
      </c>
      <c r="M128" s="18">
        <f>IF($A128&gt;'1-Input'!$B$26,K128,K128-'P-Parametri'!$B$8*(L128+K128)+MIN(MAX(L128,0),'P-Parametri'!$B$8*(L128+K128)))</f>
        <v>-3.637978807091713E-12</v>
      </c>
      <c r="N128" s="18">
        <f>IF($A128&gt;'1-Input'!$B$26,L128,L128-MIN(MAX(L128,0),'P-Parametri'!$B$8*(L128+K128)))</f>
        <v>375992.38201576768</v>
      </c>
      <c r="O128" s="18">
        <f>IF($A128&gt;'1-Input'!$B$26,O127,O127-J128*(1-I128))</f>
        <v>256719.42568149316</v>
      </c>
      <c r="P128" s="11">
        <f>IF($A128&gt;'1-Input'!$B$26,0,IF(U127&lt;=0,0,MAX(0,(U127-V127)/U127)))</f>
        <v>0.29814491181907105</v>
      </c>
      <c r="Q128" s="18">
        <f>IF($A128&gt;'1-Input'!$B$26,0,(MAX(0,P121-IF($A128&gt;='1-Input'!$C$12,'1-Input'!$B$12,0))-MIN(MAX(T127,0),MAX(0,P121-IF($A128&gt;='1-Input'!$C$12,'1-Input'!$B$12,0))))*(1/(1-'P-Parametri'!$B$6*P128))+MIN(MAX(0,U127-(MAX(0,P121-IF($A128&gt;='1-Input'!$C$12,'1-Input'!$B$12,0))-MIN(MAX(T127,0),MAX(0,P121-IF($A128&gt;='1-Input'!$C$12,'1-Input'!$B$12,0))))*(1/(1-'P-Parametri'!$B$6*P128))),MAX(0,0*P121-(T127-MIN(MAX(T127,0),MAX(0,P121-IF($A128&gt;='1-Input'!$C$12,'1-Input'!$B$12,0)))))*(1/(1-'P-Parametri'!$B$6*P128))))</f>
        <v>20699.626572463447</v>
      </c>
      <c r="R128" s="18">
        <f>IF($A128&gt;'1-Input'!$B$26,T127,(T127-MAX(0,P121-IF($A128&gt;='1-Input'!$C$12,'1-Input'!$B$12,0))+Q128*(1-'P-Parametri'!$B$6*P128))*(1+ROUND('3-Liquidita'!$F$11,4)))</f>
        <v>0</v>
      </c>
      <c r="S128" s="18">
        <f>IF($A128&gt;'1-Input'!$B$26,U127,(U127-Q128)*(1+'5-Roberta'!$C$4))</f>
        <v>393399.4840947325</v>
      </c>
      <c r="T128" s="18">
        <f>IF($A128&gt;'1-Input'!$B$26,R128,R128-'P-Parametri'!$B$8*(S128+R128)+MIN(MAX(S128,0),'P-Parametri'!$B$8*(S128+R128)))</f>
        <v>0</v>
      </c>
      <c r="U128" s="18">
        <f>IF($A128&gt;'1-Input'!$B$26,S128,S128-MIN(MAX(S128,0),'P-Parametri'!$B$8*(S128+R128)))</f>
        <v>392612.68512654305</v>
      </c>
      <c r="V128" s="18">
        <f>IF($A128&gt;'1-Input'!$B$26,V127,V127-Q128*(1-P128))</f>
        <v>268067.40737829165</v>
      </c>
      <c r="W128" s="11">
        <f>IF($A128&gt;'1-Input'!$B$26,0,IF(AB127&lt;=0,0,MAX(0,(AB127-AC127)/AB127)))</f>
        <v>0.29814491181907138</v>
      </c>
      <c r="X128" s="18">
        <f>IF($A128&gt;'1-Input'!$B$26,0,(MAX(0,W121-IF($A128&gt;='1-Input'!$C$12,'1-Input'!$B$12,0))-MIN(MAX(AA127,0),MAX(0,W121-IF($A128&gt;='1-Input'!$C$12,'1-Input'!$B$12,0))))*(1/(1-'P-Parametri'!$B$6*W128))+MIN(MAX(0,AB127-(MAX(0,W121-IF($A128&gt;='1-Input'!$C$12,'1-Input'!$B$12,0))-MIN(MAX(AA127,0),MAX(0,W121-IF($A128&gt;='1-Input'!$C$12,'1-Input'!$B$12,0))))*(1/(1-'P-Parametri'!$B$6*W128))),MAX(0,0*W121-(AA127-MIN(MAX(AA127,0),MAX(0,W121-IF($A128&gt;='1-Input'!$C$12,'1-Input'!$B$12,0)))))*(1/(1-'P-Parametri'!$B$6*W128))))</f>
        <v>20421.815267646798</v>
      </c>
      <c r="Y128" s="18">
        <f>IF($A128&gt;'1-Input'!$B$26,AA127,(AA127-MAX(0,W121-IF($A128&gt;='1-Input'!$C$12,'1-Input'!$B$12,0))+X128*(1-'P-Parametri'!$B$6*W128))*(1+ROUND('3-Liquidita'!$F$11,4)))</f>
        <v>0</v>
      </c>
      <c r="Z128" s="18">
        <f>IF($A128&gt;'1-Input'!$B$26,AB127,(AB127-X128)*(1+'5-Roberta'!$C$4))</f>
        <v>394895.04947719391</v>
      </c>
      <c r="AA128" s="18">
        <f>IF($A128&gt;'1-Input'!$B$26,Y128,Y128-'P-Parametri'!$B$8*(Z128+Y128)+MIN(MAX(Z128,0),'P-Parametri'!$B$8*(Z128+Y128)))</f>
        <v>0</v>
      </c>
      <c r="AB128" s="18">
        <f>IF($A128&gt;'1-Input'!$B$26,Z128,Z128-MIN(MAX(Z128,0),'P-Parametri'!$B$8*(Z128+Y128)))</f>
        <v>394105.25937823951</v>
      </c>
      <c r="AC128" s="18">
        <f>IF($A128&gt;'1-Input'!$B$26,AC127,AC127-X128*(1-W128))</f>
        <v>269086.50463400787</v>
      </c>
      <c r="AD128" s="11">
        <f>IF($A128&gt;'1-Input'!$B$26,0,IF(AI127&lt;=0,0,MAX(0,(AI127-AJ127)/AI127)))</f>
        <v>0.29814491181907127</v>
      </c>
      <c r="AE128" s="18">
        <f>IF($A128&gt;'1-Input'!$B$26,0,(MAX(0,AD121-IF($A128&gt;='1-Input'!$C$12,'1-Input'!$B$12,0))-MIN(MAX(AH127,0),MAX(0,AD121-IF($A128&gt;='1-Input'!$C$12,'1-Input'!$B$12,0))))*(1/(1-'P-Parametri'!$B$6*AD128))+MIN(MAX(0,AI127-(MAX(0,AD121-IF($A128&gt;='1-Input'!$C$12,'1-Input'!$B$12,0))-MIN(MAX(AH127,0),MAX(0,AD121-IF($A128&gt;='1-Input'!$C$12,'1-Input'!$B$12,0))))*(1/(1-'P-Parametri'!$B$6*AD128))),MAX(0,0*AD121-(AH127-MIN(MAX(AH127,0),MAX(0,AD121-IF($A128&gt;='1-Input'!$C$12,'1-Input'!$B$12,0)))))*(1/(1-'P-Parametri'!$B$6*AD128))))</f>
        <v>20429.168758670708</v>
      </c>
      <c r="AF128" s="18">
        <f>IF($A128&gt;'1-Input'!$B$26,AH127,(AH127-MAX(0,AD121-IF($A128&gt;='1-Input'!$C$12,'1-Input'!$B$12,0))+AE128*(1-'P-Parametri'!$B$6*AD128))*(1+ROUND('3-Liquidita'!$F$11,4)))</f>
        <v>0</v>
      </c>
      <c r="AG128" s="18">
        <f>IF($A128&gt;'1-Input'!$B$26,AI127,(AI127-AE128)*(1+'5-Roberta'!$C$4))</f>
        <v>394855.46279938449</v>
      </c>
      <c r="AH128" s="18">
        <f>IF($A128&gt;'1-Input'!$B$26,AF128,AF128-'P-Parametri'!$B$8*(AG128+AF128)+MIN(MAX(AG128,0),'P-Parametri'!$B$8*(AG128+AF128)))</f>
        <v>0</v>
      </c>
      <c r="AI128" s="18">
        <f>IF($A128&gt;'1-Input'!$B$26,AG128,AG128-MIN(MAX(AG128,0),'P-Parametri'!$B$8*(AG128+AF128)))</f>
        <v>394065.75187378575</v>
      </c>
      <c r="AJ128" s="18">
        <f>IF($A128&gt;'1-Input'!$B$26,AJ127,AJ127-AE128*(1-AD128))</f>
        <v>269059.52976872172</v>
      </c>
      <c r="AK128" s="11">
        <f>IF($A128&gt;'1-Input'!$B$26,0,IF(AP127&lt;=0,0,MAX(0,(AP127-AQ127)/AP127)))</f>
        <v>0.2981449118190711</v>
      </c>
      <c r="AL128" s="18">
        <f>IF($A128&gt;'1-Input'!$B$26,0,(MAX(0,AK121-IF($A128&gt;='1-Input'!$C$12,'1-Input'!$B$12,0))-MIN(MAX(AO127,0),MAX(0,AK121-IF($A128&gt;='1-Input'!$C$12,'1-Input'!$B$12,0))))*(1/(1-'P-Parametri'!$B$6*AK128))+MIN(MAX(0,AP127-(MAX(0,AK121-IF($A128&gt;='1-Input'!$C$12,'1-Input'!$B$12,0))-MIN(MAX(AO127,0),MAX(0,AK121-IF($A128&gt;='1-Input'!$C$12,'1-Input'!$B$12,0))))*(1/(1-'P-Parametri'!$B$6*AK128))),MAX(0,0*AK121-(AO127-MIN(MAX(AO127,0),MAX(0,AK121-IF($A128&gt;='1-Input'!$C$12,'1-Input'!$B$12,0)))))*(1/(1-'P-Parametri'!$B$6*AK128))))</f>
        <v>20428.026897001109</v>
      </c>
      <c r="AM128" s="18">
        <f>IF($A128&gt;'1-Input'!$B$26,AO127,(AO127-MAX(0,AK121-IF($A128&gt;='1-Input'!$C$12,'1-Input'!$B$12,0))+AL128*(1-'P-Parametri'!$B$6*AK128))*(1+ROUND('3-Liquidita'!$F$11,4)))</f>
        <v>0</v>
      </c>
      <c r="AN128" s="18">
        <f>IF($A128&gt;'1-Input'!$B$26,AP127,(AP127-AL128)*(1+'5-Roberta'!$C$4))</f>
        <v>394861.6098810726</v>
      </c>
      <c r="AO128" s="18">
        <f>IF($A128&gt;'1-Input'!$B$26,AM128,AM128-'P-Parametri'!$B$8*(AN128+AM128)+MIN(MAX(AN128,0),'P-Parametri'!$B$8*(AN128+AM128)))</f>
        <v>0</v>
      </c>
      <c r="AP128" s="18">
        <f>IF($A128&gt;'1-Input'!$B$26,AN128,AN128-MIN(MAX(AN128,0),'P-Parametri'!$B$8*(AN128+AM128)))</f>
        <v>394071.88666131045</v>
      </c>
      <c r="AQ128" s="18">
        <f>IF($A128&gt;'1-Input'!$B$26,AQ127,AQ127-AL128*(1-AK128))</f>
        <v>269063.71846829489</v>
      </c>
    </row>
    <row r="129" spans="1:43">
      <c r="A129" s="10">
        <f>6</f>
        <v>6</v>
      </c>
      <c r="B129" s="11">
        <f>IF($A129&gt;'1-Input'!$B$26,0,IF(G128&lt;=0,0,MAX(0,(G128-H128)/G128)))</f>
        <v>0.31722173650122687</v>
      </c>
      <c r="C129" s="18">
        <f>IF($A129&gt;'1-Input'!$B$26,0,(MAX(0,B121-IF($A129&gt;='1-Input'!$C$12,'1-Input'!$B$12,0))-MIN(MAX(F128,0),MAX(0,B121-IF($A129&gt;='1-Input'!$C$12,'1-Input'!$B$12,0))))*(1/(1-'P-Parametri'!$B$6*B129))+MIN(MAX(0,G128-(MAX(0,B121-IF($A129&gt;='1-Input'!$C$12,'1-Input'!$B$12,0))-MIN(MAX(F128,0),MAX(0,B121-IF($A129&gt;='1-Input'!$C$12,'1-Input'!$B$12,0))))*(1/(1-'P-Parametri'!$B$6*B129))),MAX(0,0*B121-(F128-MIN(MAX(F128,0),MAX(0,B121-IF($A129&gt;='1-Input'!$C$12,'1-Input'!$B$12,0)))))*(1/(1-'P-Parametri'!$B$6*B129))))</f>
        <v>18180.543876365096</v>
      </c>
      <c r="D129" s="18">
        <f>IF($A129&gt;'1-Input'!$B$26,F128,(F128-MAX(0,B121-IF($A129&gt;='1-Input'!$C$12,'1-Input'!$B$12,0))+C129*(1-'P-Parametri'!$B$6*B129))*(1+ROUND('3-Liquidita'!$F$11,4)))</f>
        <v>0</v>
      </c>
      <c r="E129" s="18">
        <f>IF($A129&gt;'1-Input'!$B$26,G128,(G128-C129)*(1+'5-Roberta'!$C$4))</f>
        <v>400146.1417953808</v>
      </c>
      <c r="F129" s="18">
        <f>IF($A129&gt;'1-Input'!$B$26,D129,D129-'P-Parametri'!$B$8*(E129+D129)+MIN(MAX(E129,0),'P-Parametri'!$B$8*(E129+D129)))</f>
        <v>0</v>
      </c>
      <c r="G129" s="18">
        <f>IF($A129&gt;'1-Input'!$B$26,E129,E129-MIN(MAX(E129,0),'P-Parametri'!$B$8*(E129+D129)))</f>
        <v>399345.84951179003</v>
      </c>
      <c r="H129" s="18">
        <f>IF($A129&gt;'1-Input'!$B$26,H128,H128-C129*(1-B129))</f>
        <v>265253.48334056698</v>
      </c>
      <c r="I129" s="11">
        <f>IF($A129&gt;'1-Input'!$B$26,0,IF(N128&lt;=0,0,MAX(0,(N128-O128)/N128)))</f>
        <v>0.31722173650122698</v>
      </c>
      <c r="J129" s="18">
        <f>IF($A129&gt;'1-Input'!$B$26,0,(MAX(0,I121-IF($A129&gt;='1-Input'!$C$12,'1-Input'!$B$12,0))-MIN(MAX(M128,0),MAX(0,I121-IF($A129&gt;='1-Input'!$C$12,'1-Input'!$B$12,0))))*(1/(1-'P-Parametri'!$B$6*I129))+MIN(MAX(0,N128-(MAX(0,I121-IF($A129&gt;='1-Input'!$C$12,'1-Input'!$B$12,0))-MIN(MAX(M128,0),MAX(0,I121-IF($A129&gt;='1-Input'!$C$12,'1-Input'!$B$12,0))))*(1/(1-'P-Parametri'!$B$6*I129))),MAX(0,0*I121-(M128-MIN(MAX(M128,0),MAX(0,I121-IF($A129&gt;='1-Input'!$C$12,'1-Input'!$B$12,0)))))*(1/(1-'P-Parametri'!$B$6*I129))))</f>
        <v>23921.768258375134</v>
      </c>
      <c r="K129" s="18">
        <f>IF($A129&gt;'1-Input'!$B$26,M128,(M128-MAX(0,I121-IF($A129&gt;='1-Input'!$C$12,'1-Input'!$B$12,0))+J129*(1-'P-Parametri'!$B$6*I129))*(1+ROUND('3-Liquidita'!$F$11,4)))</f>
        <v>0</v>
      </c>
      <c r="L129" s="18">
        <f>IF($A129&gt;'1-Input'!$B$26,N128,(N128-J129)*(1+'5-Roberta'!$C$4))</f>
        <v>362632.73217011435</v>
      </c>
      <c r="M129" s="18">
        <f>IF($A129&gt;'1-Input'!$B$26,K129,K129-'P-Parametri'!$B$8*(L129+K129)+MIN(MAX(L129,0),'P-Parametri'!$B$8*(L129+K129)))</f>
        <v>0</v>
      </c>
      <c r="N129" s="18">
        <f>IF($A129&gt;'1-Input'!$B$26,L129,L129-MIN(MAX(L129,0),'P-Parametri'!$B$8*(L129+K129)))</f>
        <v>361907.46670577413</v>
      </c>
      <c r="O129" s="18">
        <f>IF($A129&gt;'1-Input'!$B$26,O128,O128-J129*(1-I129))</f>
        <v>240386.16229021971</v>
      </c>
      <c r="P129" s="11">
        <f>IF($A129&gt;'1-Input'!$B$26,0,IF(U128&lt;=0,0,MAX(0,(U128-V128)/U128)))</f>
        <v>0.31722173650122687</v>
      </c>
      <c r="Q129" s="18">
        <f>IF($A129&gt;'1-Input'!$B$26,0,(MAX(0,P121-IF($A129&gt;='1-Input'!$C$12,'1-Input'!$B$12,0))-MIN(MAX(T128,0),MAX(0,P121-IF($A129&gt;='1-Input'!$C$12,'1-Input'!$B$12,0))))*(1/(1-'P-Parametri'!$B$6*P129))+MIN(MAX(0,U128-(MAX(0,P121-IF($A129&gt;='1-Input'!$C$12,'1-Input'!$B$12,0))-MIN(MAX(T128,0),MAX(0,P121-IF($A129&gt;='1-Input'!$C$12,'1-Input'!$B$12,0))))*(1/(1-'P-Parametri'!$B$6*P129))),MAX(0,0*P121-(T128-MIN(MAX(T128,0),MAX(0,P121-IF($A129&gt;='1-Input'!$C$12,'1-Input'!$B$12,0)))))*(1/(1-'P-Parametri'!$B$6*P129))))</f>
        <v>20811.525338106709</v>
      </c>
      <c r="R129" s="18">
        <f>IF($A129&gt;'1-Input'!$B$26,T128,(T128-MAX(0,P121-IF($A129&gt;='1-Input'!$C$12,'1-Input'!$B$12,0))+Q129*(1-'P-Parametri'!$B$6*P129))*(1+ROUND('3-Liquidita'!$F$11,4)))</f>
        <v>3.6216079024598004E-12</v>
      </c>
      <c r="S129" s="18">
        <f>IF($A129&gt;'1-Input'!$B$26,U128,(U128-Q129)*(1+'5-Roberta'!$C$4))</f>
        <v>382955.19458208943</v>
      </c>
      <c r="T129" s="18">
        <f>IF($A129&gt;'1-Input'!$B$26,R129,R129-'P-Parametri'!$B$8*(S129+R129)+MIN(MAX(S129,0),'P-Parametri'!$B$8*(S129+R129)))</f>
        <v>3.637978807091713E-12</v>
      </c>
      <c r="U129" s="18">
        <f>IF($A129&gt;'1-Input'!$B$26,S129,S129-MIN(MAX(S129,0),'P-Parametri'!$B$8*(S129+R129)))</f>
        <v>382189.28419292526</v>
      </c>
      <c r="V129" s="18">
        <f>IF($A129&gt;'1-Input'!$B$26,V128,V128-Q129*(1-P129))</f>
        <v>253857.75024717842</v>
      </c>
      <c r="W129" s="11">
        <f>IF($A129&gt;'1-Input'!$B$26,0,IF(AB128&lt;=0,0,MAX(0,(AB128-AC128)/AB128)))</f>
        <v>0.31722173650122709</v>
      </c>
      <c r="X129" s="18">
        <f>IF($A129&gt;'1-Input'!$B$26,0,(MAX(0,W121-IF($A129&gt;='1-Input'!$C$12,'1-Input'!$B$12,0))-MIN(MAX(AA128,0),MAX(0,W121-IF($A129&gt;='1-Input'!$C$12,'1-Input'!$B$12,0))))*(1/(1-'P-Parametri'!$B$6*W129))+MIN(MAX(0,AB128-(MAX(0,W121-IF($A129&gt;='1-Input'!$C$12,'1-Input'!$B$12,0))-MIN(MAX(AA128,0),MAX(0,W121-IF($A129&gt;='1-Input'!$C$12,'1-Input'!$B$12,0))))*(1/(1-'P-Parametri'!$B$6*W129))),MAX(0,0*W121-(AA128-MIN(MAX(AA128,0),MAX(0,W121-IF($A129&gt;='1-Input'!$C$12,'1-Input'!$B$12,0)))))*(1/(1-'P-Parametri'!$B$6*W129))))</f>
        <v>20532.212231217349</v>
      </c>
      <c r="Y129" s="18">
        <f>IF($A129&gt;'1-Input'!$B$26,AA128,(AA128-MAX(0,W121-IF($A129&gt;='1-Input'!$C$12,'1-Input'!$B$12,0))+X129*(1-'P-Parametri'!$B$6*W129))*(1+ROUND('3-Liquidita'!$F$11,4)))</f>
        <v>-3.6216079024598004E-12</v>
      </c>
      <c r="Z129" s="18">
        <f>IF($A129&gt;'1-Input'!$B$26,AB128,(AB128-X129)*(1+'5-Roberta'!$C$4))</f>
        <v>384780.23856143281</v>
      </c>
      <c r="AA129" s="18">
        <f>IF($A129&gt;'1-Input'!$B$26,Y129,Y129-'P-Parametri'!$B$8*(Z129+Y129)+MIN(MAX(Z129,0),'P-Parametri'!$B$8*(Z129+Y129)))</f>
        <v>-3.637978807091713E-12</v>
      </c>
      <c r="AB129" s="18">
        <f>IF($A129&gt;'1-Input'!$B$26,Z129,Z129-MIN(MAX(Z129,0),'P-Parametri'!$B$8*(Z129+Y129)))</f>
        <v>384010.67808430997</v>
      </c>
      <c r="AC129" s="18">
        <f>IF($A129&gt;'1-Input'!$B$26,AC128,AC128-X129*(1-W129))</f>
        <v>255067.55642098901</v>
      </c>
      <c r="AD129" s="11">
        <f>IF($A129&gt;'1-Input'!$B$26,0,IF(AI128&lt;=0,0,MAX(0,(AI128-AJ128)/AI128)))</f>
        <v>0.31722173650122715</v>
      </c>
      <c r="AE129" s="18">
        <f>IF($A129&gt;'1-Input'!$B$26,0,(MAX(0,AD121-IF($A129&gt;='1-Input'!$C$12,'1-Input'!$B$12,0))-MIN(MAX(AH128,0),MAX(0,AD121-IF($A129&gt;='1-Input'!$C$12,'1-Input'!$B$12,0))))*(1/(1-'P-Parametri'!$B$6*AD129))+MIN(MAX(0,AI128-(MAX(0,AD121-IF($A129&gt;='1-Input'!$C$12,'1-Input'!$B$12,0))-MIN(MAX(AH128,0),MAX(0,AD121-IF($A129&gt;='1-Input'!$C$12,'1-Input'!$B$12,0))))*(1/(1-'P-Parametri'!$B$6*AD129))),MAX(0,0*AD121-(AH128-MIN(MAX(AH128,0),MAX(0,AD121-IF($A129&gt;='1-Input'!$C$12,'1-Input'!$B$12,0)))))*(1/(1-'P-Parametri'!$B$6*AD129))))</f>
        <v>20539.605474000349</v>
      </c>
      <c r="AF129" s="18">
        <f>IF($A129&gt;'1-Input'!$B$26,AH128,(AH128-MAX(0,AD121-IF($A129&gt;='1-Input'!$C$12,'1-Input'!$B$12,0))+AE129*(1-'P-Parametri'!$B$6*AD129))*(1+ROUND('3-Liquidita'!$F$11,4)))</f>
        <v>0</v>
      </c>
      <c r="AG129" s="18">
        <f>IF($A129&gt;'1-Input'!$B$26,AI128,(AI128-AE129)*(1+'5-Roberta'!$C$4))</f>
        <v>384731.93079177901</v>
      </c>
      <c r="AH129" s="18">
        <f>IF($A129&gt;'1-Input'!$B$26,AF129,AF129-'P-Parametri'!$B$8*(AG129+AF129)+MIN(MAX(AG129,0),'P-Parametri'!$B$8*(AG129+AF129)))</f>
        <v>0</v>
      </c>
      <c r="AI129" s="18">
        <f>IF($A129&gt;'1-Input'!$B$26,AG129,AG129-MIN(MAX(AG129,0),'P-Parametri'!$B$8*(AG129+AF129)))</f>
        <v>383962.46693019546</v>
      </c>
      <c r="AJ129" s="18">
        <f>IF($A129&gt;'1-Input'!$B$26,AJ128,AJ128-AE129*(1-AD129))</f>
        <v>255035.53361023386</v>
      </c>
      <c r="AK129" s="11">
        <f>IF($A129&gt;'1-Input'!$B$26,0,IF(AP128&lt;=0,0,MAX(0,(AP128-AQ128)/AP128)))</f>
        <v>0.31722173650122687</v>
      </c>
      <c r="AL129" s="18">
        <f>IF($A129&gt;'1-Input'!$B$26,0,(MAX(0,AK121-IF($A129&gt;='1-Input'!$C$12,'1-Input'!$B$12,0))-MIN(MAX(AO128,0),MAX(0,AK121-IF($A129&gt;='1-Input'!$C$12,'1-Input'!$B$12,0))))*(1/(1-'P-Parametri'!$B$6*AK129))+MIN(MAX(0,AP128-(MAX(0,AK121-IF($A129&gt;='1-Input'!$C$12,'1-Input'!$B$12,0))-MIN(MAX(AO128,0),MAX(0,AK121-IF($A129&gt;='1-Input'!$C$12,'1-Input'!$B$12,0))))*(1/(1-'P-Parametri'!$B$6*AK129))),MAX(0,0*AK121-(AO128-MIN(MAX(AO128,0),MAX(0,AK121-IF($A129&gt;='1-Input'!$C$12,'1-Input'!$B$12,0)))))*(1/(1-'P-Parametri'!$B$6*AK129))))</f>
        <v>20538.457439614984</v>
      </c>
      <c r="AM129" s="18">
        <f>IF($A129&gt;'1-Input'!$B$26,AO128,(AO128-MAX(0,AK121-IF($A129&gt;='1-Input'!$C$12,'1-Input'!$B$12,0))+AL129*(1-'P-Parametri'!$B$6*AK129))*(1+ROUND('3-Liquidita'!$F$11,4)))</f>
        <v>0</v>
      </c>
      <c r="AN129" s="18">
        <f>IF($A129&gt;'1-Input'!$B$26,AP128,(AP128-AL129)*(1+'5-Roberta'!$C$4))</f>
        <v>384739.43209834635</v>
      </c>
      <c r="AO129" s="18">
        <f>IF($A129&gt;'1-Input'!$B$26,AM129,AM129-'P-Parametri'!$B$8*(AN129+AM129)+MIN(MAX(AN129,0),'P-Parametri'!$B$8*(AN129+AM129)))</f>
        <v>0</v>
      </c>
      <c r="AP129" s="18">
        <f>IF($A129&gt;'1-Input'!$B$26,AN129,AN129-MIN(MAX(AN129,0),'P-Parametri'!$B$8*(AN129+AM129)))</f>
        <v>383969.95323414967</v>
      </c>
      <c r="AQ129" s="18">
        <f>IF($A129&gt;'1-Input'!$B$26,AQ128,AQ128-AL129*(1-AK129))</f>
        <v>255040.50616273112</v>
      </c>
    </row>
    <row r="130" spans="1:43">
      <c r="A130" s="10">
        <f>7</f>
        <v>7</v>
      </c>
      <c r="B130" s="11">
        <f>IF($A130&gt;'1-Input'!$B$26,0,IF(G129&lt;=0,0,MAX(0,(G129-H129)/G129)))</f>
        <v>0.33578004212427454</v>
      </c>
      <c r="C130" s="18">
        <f>IF($A130&gt;'1-Input'!$B$26,0,(MAX(0,B121-IF($A130&gt;='1-Input'!$C$12,'1-Input'!$B$12,0))-MIN(MAX(F129,0),MAX(0,B121-IF($A130&gt;='1-Input'!$C$12,'1-Input'!$B$12,0))))*(1/(1-'P-Parametri'!$B$6*B130))+MIN(MAX(0,G129-(MAX(0,B121-IF($A130&gt;='1-Input'!$C$12,'1-Input'!$B$12,0))-MIN(MAX(F129,0),MAX(0,B121-IF($A130&gt;='1-Input'!$C$12,'1-Input'!$B$12,0))))*(1/(1-'P-Parametri'!$B$6*B130))),MAX(0,0*B121-(F129-MIN(MAX(F129,0),MAX(0,B121-IF($A130&gt;='1-Input'!$C$12,'1-Input'!$B$12,0)))))*(1/(1-'P-Parametri'!$B$6*B130))))</f>
        <v>18276.659022069383</v>
      </c>
      <c r="D130" s="18">
        <f>IF($A130&gt;'1-Input'!$B$26,F129,(F129-MAX(0,B121-IF($A130&gt;='1-Input'!$C$12,'1-Input'!$B$12,0))+C130*(1-'P-Parametri'!$B$6*B130))*(1+ROUND('3-Liquidita'!$F$11,4)))</f>
        <v>0</v>
      </c>
      <c r="E130" s="18">
        <f>IF($A130&gt;'1-Input'!$B$26,G129,(G129-C130)*(1+'5-Roberta'!$C$4))</f>
        <v>392501.26620441233</v>
      </c>
      <c r="F130" s="18">
        <f>IF($A130&gt;'1-Input'!$B$26,D130,D130-'P-Parametri'!$B$8*(E130+D130)+MIN(MAX(E130,0),'P-Parametri'!$B$8*(E130+D130)))</f>
        <v>0</v>
      </c>
      <c r="G130" s="18">
        <f>IF($A130&gt;'1-Input'!$B$26,E130,E130-MIN(MAX(E130,0),'P-Parametri'!$B$8*(E130+D130)))</f>
        <v>391716.26367200352</v>
      </c>
      <c r="H130" s="18">
        <f>IF($A130&gt;'1-Input'!$B$26,H129,H129-C130*(1-B130))</f>
        <v>253113.76165481904</v>
      </c>
      <c r="I130" s="11">
        <f>IF($A130&gt;'1-Input'!$B$26,0,IF(N129&lt;=0,0,MAX(0,(N129-O129)/N129)))</f>
        <v>0.33578004212427481</v>
      </c>
      <c r="J130" s="18">
        <f>IF($A130&gt;'1-Input'!$B$26,0,(MAX(0,I121-IF($A130&gt;='1-Input'!$C$12,'1-Input'!$B$12,0))-MIN(MAX(M129,0),MAX(0,I121-IF($A130&gt;='1-Input'!$C$12,'1-Input'!$B$12,0))))*(1/(1-'P-Parametri'!$B$6*I130))+MIN(MAX(0,N129-(MAX(0,I121-IF($A130&gt;='1-Input'!$C$12,'1-Input'!$B$12,0))-MIN(MAX(M129,0),MAX(0,I121-IF($A130&gt;='1-Input'!$C$12,'1-Input'!$B$12,0))))*(1/(1-'P-Parametri'!$B$6*I130))),MAX(0,0*I121-(M129-MIN(MAX(M129,0),MAX(0,I121-IF($A130&gt;='1-Input'!$C$12,'1-Input'!$B$12,0)))))*(1/(1-'P-Parametri'!$B$6*I130))))</f>
        <v>24048.235555354455</v>
      </c>
      <c r="K130" s="18">
        <f>IF($A130&gt;'1-Input'!$B$26,M129,(M129-MAX(0,I121-IF($A130&gt;='1-Input'!$C$12,'1-Input'!$B$12,0))+J130*(1-'P-Parametri'!$B$6*I130))*(1+ROUND('3-Liquidita'!$F$11,4)))</f>
        <v>-3.6216079024598004E-12</v>
      </c>
      <c r="L130" s="18">
        <f>IF($A130&gt;'1-Input'!$B$26,N129,(N129-J130)*(1+'5-Roberta'!$C$4))</f>
        <v>347995.00808493228</v>
      </c>
      <c r="M130" s="18">
        <f>IF($A130&gt;'1-Input'!$B$26,K130,K130-'P-Parametri'!$B$8*(L130+K130)+MIN(MAX(L130,0),'P-Parametri'!$B$8*(L130+K130)))</f>
        <v>-3.637978807091713E-12</v>
      </c>
      <c r="N130" s="18">
        <f>IF($A130&gt;'1-Input'!$B$26,L130,L130-MIN(MAX(L130,0),'P-Parametri'!$B$8*(L130+K130)))</f>
        <v>347299.01806876244</v>
      </c>
      <c r="O130" s="18">
        <f>IF($A130&gt;'1-Input'!$B$26,O129,O129-J130*(1-I130))</f>
        <v>224412.84428265665</v>
      </c>
      <c r="P130" s="11">
        <f>IF($A130&gt;'1-Input'!$B$26,0,IF(U129&lt;=0,0,MAX(0,(U129-V129)/U129)))</f>
        <v>0.3357800421242747</v>
      </c>
      <c r="Q130" s="18">
        <f>IF($A130&gt;'1-Input'!$B$26,0,(MAX(0,P121-IF($A130&gt;='1-Input'!$C$12,'1-Input'!$B$12,0))-MIN(MAX(T129,0),MAX(0,P121-IF($A130&gt;='1-Input'!$C$12,'1-Input'!$B$12,0))))*(1/(1-'P-Parametri'!$B$6*P130))+MIN(MAX(0,U129-(MAX(0,P121-IF($A130&gt;='1-Input'!$C$12,'1-Input'!$B$12,0))-MIN(MAX(T129,0),MAX(0,P121-IF($A130&gt;='1-Input'!$C$12,'1-Input'!$B$12,0))))*(1/(1-'P-Parametri'!$B$6*P130))),MAX(0,0*P121-(T129-MIN(MAX(T129,0),MAX(0,P121-IF($A130&gt;='1-Input'!$C$12,'1-Input'!$B$12,0)))))*(1/(1-'P-Parametri'!$B$6*P130))))</f>
        <v>20921.549702823369</v>
      </c>
      <c r="R130" s="18">
        <f>IF($A130&gt;'1-Input'!$B$26,T129,(T129-MAX(0,P121-IF($A130&gt;='1-Input'!$C$12,'1-Input'!$B$12,0))+Q130*(1-'P-Parametri'!$B$6*P130))*(1+ROUND('3-Liquidita'!$F$11,4)))</f>
        <v>0</v>
      </c>
      <c r="S130" s="18">
        <f>IF($A130&gt;'1-Input'!$B$26,U129,(U129-Q130)*(1+'5-Roberta'!$C$4))</f>
        <v>372105.76652480493</v>
      </c>
      <c r="T130" s="18">
        <f>IF($A130&gt;'1-Input'!$B$26,R130,R130-'P-Parametri'!$B$8*(S130+R130)+MIN(MAX(S130,0),'P-Parametri'!$B$8*(S130+R130)))</f>
        <v>0</v>
      </c>
      <c r="U130" s="18">
        <f>IF($A130&gt;'1-Input'!$B$26,S130,S130-MIN(MAX(S130,0),'P-Parametri'!$B$8*(S130+R130)))</f>
        <v>371361.55499175534</v>
      </c>
      <c r="V130" s="18">
        <f>IF($A130&gt;'1-Input'!$B$26,V129,V129-Q130*(1-P130))</f>
        <v>239961.23938487418</v>
      </c>
      <c r="W130" s="11">
        <f>IF($A130&gt;'1-Input'!$B$26,0,IF(AB129&lt;=0,0,MAX(0,(AB129-AC129)/AB129)))</f>
        <v>0.33578004212427487</v>
      </c>
      <c r="X130" s="18">
        <f>IF($A130&gt;'1-Input'!$B$26,0,(MAX(0,W121-IF($A130&gt;='1-Input'!$C$12,'1-Input'!$B$12,0))-MIN(MAX(AA129,0),MAX(0,W121-IF($A130&gt;='1-Input'!$C$12,'1-Input'!$B$12,0))))*(1/(1-'P-Parametri'!$B$6*W130))+MIN(MAX(0,AB129-(MAX(0,W121-IF($A130&gt;='1-Input'!$C$12,'1-Input'!$B$12,0))-MIN(MAX(AA129,0),MAX(0,W121-IF($A130&gt;='1-Input'!$C$12,'1-Input'!$B$12,0))))*(1/(1-'P-Parametri'!$B$6*W130))),MAX(0,0*W121-(AA129-MIN(MAX(AA129,0),MAX(0,W121-IF($A130&gt;='1-Input'!$C$12,'1-Input'!$B$12,0)))))*(1/(1-'P-Parametri'!$B$6*W130))))</f>
        <v>20640.759950342541</v>
      </c>
      <c r="Y130" s="18">
        <f>IF($A130&gt;'1-Input'!$B$26,AA129,(AA129-MAX(0,W121-IF($A130&gt;='1-Input'!$C$12,'1-Input'!$B$12,0))+X130*(1-'P-Parametri'!$B$6*W130))*(1+ROUND('3-Liquidita'!$F$11,4)))</f>
        <v>0</v>
      </c>
      <c r="Z130" s="18">
        <f>IF($A130&gt;'1-Input'!$B$26,AB129,(AB129-X130)*(1+'5-Roberta'!$C$4))</f>
        <v>374271.01567798649</v>
      </c>
      <c r="AA130" s="18">
        <f>IF($A130&gt;'1-Input'!$B$26,Y130,Y130-'P-Parametri'!$B$8*(Z130+Y130)+MIN(MAX(Z130,0),'P-Parametri'!$B$8*(Z130+Y130)))</f>
        <v>0</v>
      </c>
      <c r="AB130" s="18">
        <f>IF($A130&gt;'1-Input'!$B$26,Z130,Z130-MIN(MAX(Z130,0),'P-Parametri'!$B$8*(Z130+Y130)))</f>
        <v>373522.47364663053</v>
      </c>
      <c r="AC130" s="18">
        <f>IF($A130&gt;'1-Input'!$B$26,AC129,AC129-X130*(1-W130))</f>
        <v>241357.55171624955</v>
      </c>
      <c r="AD130" s="11">
        <f>IF($A130&gt;'1-Input'!$B$26,0,IF(AI129&lt;=0,0,MAX(0,(AI129-AJ129)/AI129)))</f>
        <v>0.33578004212427504</v>
      </c>
      <c r="AE130" s="18">
        <f>IF($A130&gt;'1-Input'!$B$26,0,(MAX(0,AD121-IF($A130&gt;='1-Input'!$C$12,'1-Input'!$B$12,0))-MIN(MAX(AH129,0),MAX(0,AD121-IF($A130&gt;='1-Input'!$C$12,'1-Input'!$B$12,0))))*(1/(1-'P-Parametri'!$B$6*AD130))+MIN(MAX(0,AI129-(MAX(0,AD121-IF($A130&gt;='1-Input'!$C$12,'1-Input'!$B$12,0))-MIN(MAX(AH129,0),MAX(0,AD121-IF($A130&gt;='1-Input'!$C$12,'1-Input'!$B$12,0))))*(1/(1-'P-Parametri'!$B$6*AD130))),MAX(0,0*AD121-(AH129-MIN(MAX(AH129,0),MAX(0,AD121-IF($A130&gt;='1-Input'!$C$12,'1-Input'!$B$12,0)))))*(1/(1-'P-Parametri'!$B$6*AD130))))</f>
        <v>20648.192279008341</v>
      </c>
      <c r="AF130" s="18">
        <f>IF($A130&gt;'1-Input'!$B$26,AH129,(AH129-MAX(0,AD121-IF($A130&gt;='1-Input'!$C$12,'1-Input'!$B$12,0))+AE130*(1-'P-Parametri'!$B$6*AD130))*(1+ROUND('3-Liquidita'!$F$11,4)))</f>
        <v>-3.6216079024598004E-12</v>
      </c>
      <c r="AG130" s="18">
        <f>IF($A130&gt;'1-Input'!$B$26,AI129,(AI129-AE130)*(1+'5-Roberta'!$C$4))</f>
        <v>374213.70289072272</v>
      </c>
      <c r="AH130" s="18">
        <f>IF($A130&gt;'1-Input'!$B$26,AF130,AF130-'P-Parametri'!$B$8*(AG130+AF130)+MIN(MAX(AG130,0),'P-Parametri'!$B$8*(AG130+AF130)))</f>
        <v>-3.637978807091713E-12</v>
      </c>
      <c r="AI130" s="18">
        <f>IF($A130&gt;'1-Input'!$B$26,AG130,AG130-MIN(MAX(AG130,0),'P-Parametri'!$B$8*(AG130+AF130)))</f>
        <v>373465.27548494126</v>
      </c>
      <c r="AJ130" s="18">
        <f>IF($A130&gt;'1-Input'!$B$26,AJ129,AJ129-AE130*(1-AD130))</f>
        <v>241320.59220446108</v>
      </c>
      <c r="AK130" s="11">
        <f>IF($A130&gt;'1-Input'!$B$26,0,IF(AP129&lt;=0,0,MAX(0,(AP129-AQ129)/AP129)))</f>
        <v>0.33578004212427465</v>
      </c>
      <c r="AL130" s="18">
        <f>IF($A130&gt;'1-Input'!$B$26,0,(MAX(0,AK121-IF($A130&gt;='1-Input'!$C$12,'1-Input'!$B$12,0))-MIN(MAX(AO129,0),MAX(0,AK121-IF($A130&gt;='1-Input'!$C$12,'1-Input'!$B$12,0))))*(1/(1-'P-Parametri'!$B$6*AK130))+MIN(MAX(0,AP129-(MAX(0,AK121-IF($A130&gt;='1-Input'!$C$12,'1-Input'!$B$12,0))-MIN(MAX(AO129,0),MAX(0,AK121-IF($A130&gt;='1-Input'!$C$12,'1-Input'!$B$12,0))))*(1/(1-'P-Parametri'!$B$6*AK130))),MAX(0,0*AK121-(AO129-MIN(MAX(AO129,0),MAX(0,AK121-IF($A130&gt;='1-Input'!$C$12,'1-Input'!$B$12,0)))))*(1/(1-'P-Parametri'!$B$6*AK130))))</f>
        <v>20647.038175305526</v>
      </c>
      <c r="AM130" s="18">
        <f>IF($A130&gt;'1-Input'!$B$26,AO129,(AO129-MAX(0,AK121-IF($A130&gt;='1-Input'!$C$12,'1-Input'!$B$12,0))+AL130*(1-'P-Parametri'!$B$6*AK130))*(1+ROUND('3-Liquidita'!$F$11,4)))</f>
        <v>0</v>
      </c>
      <c r="AN130" s="18">
        <f>IF($A130&gt;'1-Input'!$B$26,AP129,(AP129-AL130)*(1+'5-Roberta'!$C$4))</f>
        <v>374222.60251060949</v>
      </c>
      <c r="AO130" s="18">
        <f>IF($A130&gt;'1-Input'!$B$26,AM130,AM130-'P-Parametri'!$B$8*(AN130+AM130)+MIN(MAX(AN130,0),'P-Parametri'!$B$8*(AN130+AM130)))</f>
        <v>0</v>
      </c>
      <c r="AP130" s="18">
        <f>IF($A130&gt;'1-Input'!$B$26,AN130,AN130-MIN(MAX(AN130,0),'P-Parametri'!$B$8*(AN130+AM130)))</f>
        <v>373474.15730558825</v>
      </c>
      <c r="AQ130" s="18">
        <f>IF($A130&gt;'1-Input'!$B$26,AQ129,AQ129-AL130*(1-AK130))</f>
        <v>241326.33133567119</v>
      </c>
    </row>
    <row r="131" spans="1:43">
      <c r="A131" s="10">
        <f>8</f>
        <v>8</v>
      </c>
      <c r="B131" s="11">
        <f>IF($A131&gt;'1-Input'!$B$26,0,IF(G130&lt;=0,0,MAX(0,(G130-H130)/G130)))</f>
        <v>0.35383392233425559</v>
      </c>
      <c r="C131" s="18">
        <f>IF($A131&gt;'1-Input'!$B$26,0,(MAX(0,B121-IF($A131&gt;='1-Input'!$C$12,'1-Input'!$B$12,0))-MIN(MAX(F130,0),MAX(0,B121-IF($A131&gt;='1-Input'!$C$12,'1-Input'!$B$12,0))))*(1/(1-'P-Parametri'!$B$6*B131))+MIN(MAX(0,G130-(MAX(0,B121-IF($A131&gt;='1-Input'!$C$12,'1-Input'!$B$12,0))-MIN(MAX(F130,0),MAX(0,B121-IF($A131&gt;='1-Input'!$C$12,'1-Input'!$B$12,0))))*(1/(1-'P-Parametri'!$B$6*B131))),MAX(0,0*B121-(F130-MIN(MAX(F130,0),MAX(0,B121-IF($A131&gt;='1-Input'!$C$12,'1-Input'!$B$12,0)))))*(1/(1-'P-Parametri'!$B$6*B131))))</f>
        <v>18371.141950272082</v>
      </c>
      <c r="D131" s="18">
        <f>IF($A131&gt;'1-Input'!$B$26,F130,(F130-MAX(0,B121-IF($A131&gt;='1-Input'!$C$12,'1-Input'!$B$12,0))+C131*(1-'P-Parametri'!$B$6*B131))*(1+ROUND('3-Liquidita'!$F$11,4)))</f>
        <v>0</v>
      </c>
      <c r="E131" s="18">
        <f>IF($A131&gt;'1-Input'!$B$26,G130,(G130-C131)*(1+'5-Roberta'!$C$4))</f>
        <v>384545.47537338338</v>
      </c>
      <c r="F131" s="18">
        <f>IF($A131&gt;'1-Input'!$B$26,D131,D131-'P-Parametri'!$B$8*(E131+D131)+MIN(MAX(E131,0),'P-Parametri'!$B$8*(E131+D131)))</f>
        <v>0</v>
      </c>
      <c r="G131" s="18">
        <f>IF($A131&gt;'1-Input'!$B$26,E131,E131-MIN(MAX(E131,0),'P-Parametri'!$B$8*(E131+D131)))</f>
        <v>383776.38442263659</v>
      </c>
      <c r="H131" s="18">
        <f>IF($A131&gt;'1-Input'!$B$26,H130,H130-C131*(1-B131))</f>
        <v>241242.95291857113</v>
      </c>
      <c r="I131" s="11">
        <f>IF($A131&gt;'1-Input'!$B$26,0,IF(N130&lt;=0,0,MAX(0,(N130-O130)/N130)))</f>
        <v>0.35383392233425581</v>
      </c>
      <c r="J131" s="18">
        <f>IF($A131&gt;'1-Input'!$B$26,0,(MAX(0,I121-IF($A131&gt;='1-Input'!$C$12,'1-Input'!$B$12,0))-MIN(MAX(M130,0),MAX(0,I121-IF($A131&gt;='1-Input'!$C$12,'1-Input'!$B$12,0))))*(1/(1-'P-Parametri'!$B$6*I131))+MIN(MAX(0,N130-(MAX(0,I121-IF($A131&gt;='1-Input'!$C$12,'1-Input'!$B$12,0))-MIN(MAX(M130,0),MAX(0,I121-IF($A131&gt;='1-Input'!$C$12,'1-Input'!$B$12,0))))*(1/(1-'P-Parametri'!$B$6*I131))),MAX(0,0*I121-(M130-MIN(MAX(M130,0),MAX(0,I121-IF($A131&gt;='1-Input'!$C$12,'1-Input'!$B$12,0)))))*(1/(1-'P-Parametri'!$B$6*I131))))</f>
        <v>24172.555197726433</v>
      </c>
      <c r="K131" s="18">
        <f>IF($A131&gt;'1-Input'!$B$26,M130,(M130-MAX(0,I121-IF($A131&gt;='1-Input'!$C$12,'1-Input'!$B$12,0))+J131*(1-'P-Parametri'!$B$6*I131))*(1+ROUND('3-Liquidita'!$F$11,4)))</f>
        <v>-3.6216079024598004E-12</v>
      </c>
      <c r="L131" s="18">
        <f>IF($A131&gt;'1-Input'!$B$26,N130,(N130-J131)*(1+'5-Roberta'!$C$4))</f>
        <v>332820.25675716711</v>
      </c>
      <c r="M131" s="18">
        <f>IF($A131&gt;'1-Input'!$B$26,K131,K131-'P-Parametri'!$B$8*(L131+K131)+MIN(MAX(L131,0),'P-Parametri'!$B$8*(L131+K131)))</f>
        <v>-3.637978807091713E-12</v>
      </c>
      <c r="N131" s="18">
        <f>IF($A131&gt;'1-Input'!$B$26,L131,L131-MIN(MAX(L131,0),'P-Parametri'!$B$8*(L131+K131)))</f>
        <v>332154.61624365277</v>
      </c>
      <c r="O131" s="18">
        <f>IF($A131&gt;'1-Input'!$B$26,O130,O130-J131*(1-I131))</f>
        <v>208793.35910338306</v>
      </c>
      <c r="P131" s="11">
        <f>IF($A131&gt;'1-Input'!$B$26,0,IF(U130&lt;=0,0,MAX(0,(U130-V130)/U130)))</f>
        <v>0.35383392233425565</v>
      </c>
      <c r="Q131" s="18">
        <f>IF($A131&gt;'1-Input'!$B$26,0,(MAX(0,P121-IF($A131&gt;='1-Input'!$C$12,'1-Input'!$B$12,0))-MIN(MAX(T130,0),MAX(0,P121-IF($A131&gt;='1-Input'!$C$12,'1-Input'!$B$12,0))))*(1/(1-'P-Parametri'!$B$6*P131))+MIN(MAX(0,U130-(MAX(0,P121-IF($A131&gt;='1-Input'!$C$12,'1-Input'!$B$12,0))-MIN(MAX(T130,0),MAX(0,P121-IF($A131&gt;='1-Input'!$C$12,'1-Input'!$B$12,0))))*(1/(1-'P-Parametri'!$B$6*P131))),MAX(0,0*P121-(T130-MIN(MAX(T130,0),MAX(0,P121-IF($A131&gt;='1-Input'!$C$12,'1-Input'!$B$12,0)))))*(1/(1-'P-Parametri'!$B$6*P131))))</f>
        <v>21029.70564511426</v>
      </c>
      <c r="R131" s="18">
        <f>IF($A131&gt;'1-Input'!$B$26,T130,(T130-MAX(0,P121-IF($A131&gt;='1-Input'!$C$12,'1-Input'!$B$12,0))+Q131*(1-'P-Parametri'!$B$6*P131))*(1+ROUND('3-Liquidita'!$F$11,4)))</f>
        <v>0</v>
      </c>
      <c r="S131" s="18">
        <f>IF($A131&gt;'1-Input'!$B$26,U130,(U130-Q131)*(1+'5-Roberta'!$C$4))</f>
        <v>360841.80482704035</v>
      </c>
      <c r="T131" s="18">
        <f>IF($A131&gt;'1-Input'!$B$26,R131,R131-'P-Parametri'!$B$8*(S131+R131)+MIN(MAX(S131,0),'P-Parametri'!$B$8*(S131+R131)))</f>
        <v>0</v>
      </c>
      <c r="U131" s="18">
        <f>IF($A131&gt;'1-Input'!$B$26,S131,S131-MIN(MAX(S131,0),'P-Parametri'!$B$8*(S131+R131)))</f>
        <v>360120.12121738627</v>
      </c>
      <c r="V131" s="18">
        <f>IF($A131&gt;'1-Input'!$B$26,V130,V130-Q131*(1-P131))</f>
        <v>226372.55697370553</v>
      </c>
      <c r="W131" s="11">
        <f>IF($A131&gt;'1-Input'!$B$26,0,IF(AB130&lt;=0,0,MAX(0,(AB130-AC130)/AB130)))</f>
        <v>0.35383392233425581</v>
      </c>
      <c r="X131" s="18">
        <f>IF($A131&gt;'1-Input'!$B$26,0,(MAX(0,W121-IF($A131&gt;='1-Input'!$C$12,'1-Input'!$B$12,0))-MIN(MAX(AA130,0),MAX(0,W121-IF($A131&gt;='1-Input'!$C$12,'1-Input'!$B$12,0))))*(1/(1-'P-Parametri'!$B$6*W131))+MIN(MAX(0,AB130-(MAX(0,W121-IF($A131&gt;='1-Input'!$C$12,'1-Input'!$B$12,0))-MIN(MAX(AA130,0),MAX(0,W121-IF($A131&gt;='1-Input'!$C$12,'1-Input'!$B$12,0))))*(1/(1-'P-Parametri'!$B$6*W131))),MAX(0,0*W121-(AA130-MIN(MAX(AA130,0),MAX(0,W121-IF($A131&gt;='1-Input'!$C$12,'1-Input'!$B$12,0)))))*(1/(1-'P-Parametri'!$B$6*W131))))</f>
        <v>20747.464323285232</v>
      </c>
      <c r="Y131" s="18">
        <f>IF($A131&gt;'1-Input'!$B$26,AA130,(AA130-MAX(0,W121-IF($A131&gt;='1-Input'!$C$12,'1-Input'!$B$12,0))+X131*(1-'P-Parametri'!$B$6*W131))*(1+ROUND('3-Liquidita'!$F$11,4)))</f>
        <v>-3.6216079024598004E-12</v>
      </c>
      <c r="Z131" s="18">
        <f>IF($A131&gt;'1-Input'!$B$26,AB130,(AB130-X131)*(1+'5-Roberta'!$C$4))</f>
        <v>363358.25960304571</v>
      </c>
      <c r="AA131" s="18">
        <f>IF($A131&gt;'1-Input'!$B$26,Y131,Y131-'P-Parametri'!$B$8*(Z131+Y131)+MIN(MAX(Z131,0),'P-Parametri'!$B$8*(Z131+Y131)))</f>
        <v>-3.637978807091713E-12</v>
      </c>
      <c r="AB131" s="18">
        <f>IF($A131&gt;'1-Input'!$B$26,Z131,Z131-MIN(MAX(Z131,0),'P-Parametri'!$B$8*(Z131+Y131)))</f>
        <v>362631.54308383964</v>
      </c>
      <c r="AC131" s="18">
        <f>IF($A131&gt;'1-Input'!$B$26,AC130,AC130-X131*(1-W131))</f>
        <v>227951.24407296238</v>
      </c>
      <c r="AD131" s="11">
        <f>IF($A131&gt;'1-Input'!$B$26,0,IF(AI130&lt;=0,0,MAX(0,(AI130-AJ130)/AI130)))</f>
        <v>0.35383392233425587</v>
      </c>
      <c r="AE131" s="18">
        <f>IF($A131&gt;'1-Input'!$B$26,0,(MAX(0,AD121-IF($A131&gt;='1-Input'!$C$12,'1-Input'!$B$12,0))-MIN(MAX(AH130,0),MAX(0,AD121-IF($A131&gt;='1-Input'!$C$12,'1-Input'!$B$12,0))))*(1/(1-'P-Parametri'!$B$6*AD131))+MIN(MAX(0,AI130-(MAX(0,AD121-IF($A131&gt;='1-Input'!$C$12,'1-Input'!$B$12,0))-MIN(MAX(AH130,0),MAX(0,AD121-IF($A131&gt;='1-Input'!$C$12,'1-Input'!$B$12,0))))*(1/(1-'P-Parametri'!$B$6*AD131))),MAX(0,0*AD121-(AH130-MIN(MAX(AH130,0),MAX(0,AD121-IF($A131&gt;='1-Input'!$C$12,'1-Input'!$B$12,0)))))*(1/(1-'P-Parametri'!$B$6*AD131))))</f>
        <v>20754.935074081415</v>
      </c>
      <c r="AF131" s="18">
        <f>IF($A131&gt;'1-Input'!$B$26,AH130,(AH130-MAX(0,AD121-IF($A131&gt;='1-Input'!$C$12,'1-Input'!$B$12,0))+AE131*(1-'P-Parametri'!$B$6*AD131))*(1+ROUND('3-Liquidita'!$F$11,4)))</f>
        <v>0</v>
      </c>
      <c r="AG131" s="18">
        <f>IF($A131&gt;'1-Input'!$B$26,AI130,(AI130-AE131)*(1+'5-Roberta'!$C$4))</f>
        <v>363291.65062318568</v>
      </c>
      <c r="AH131" s="18">
        <f>IF($A131&gt;'1-Input'!$B$26,AF131,AF131-'P-Parametri'!$B$8*(AG131+AF131)+MIN(MAX(AG131,0),'P-Parametri'!$B$8*(AG131+AF131)))</f>
        <v>0</v>
      </c>
      <c r="AI131" s="18">
        <f>IF($A131&gt;'1-Input'!$B$26,AG131,AG131-MIN(MAX(AG131,0),'P-Parametri'!$B$8*(AG131+AF131)))</f>
        <v>362565.06732193928</v>
      </c>
      <c r="AJ131" s="18">
        <f>IF($A131&gt;'1-Input'!$B$26,AJ130,AJ130-AE131*(1-AD131))</f>
        <v>227909.4572154347</v>
      </c>
      <c r="AK131" s="11">
        <f>IF($A131&gt;'1-Input'!$B$26,0,IF(AP130&lt;=0,0,MAX(0,(AP130-AQ130)/AP130)))</f>
        <v>0.35383392233425559</v>
      </c>
      <c r="AL131" s="18">
        <f>IF($A131&gt;'1-Input'!$B$26,0,(MAX(0,AK121-IF($A131&gt;='1-Input'!$C$12,'1-Input'!$B$12,0))-MIN(MAX(AO130,0),MAX(0,AK121-IF($A131&gt;='1-Input'!$C$12,'1-Input'!$B$12,0))))*(1/(1-'P-Parametri'!$B$6*AK131))+MIN(MAX(0,AP130-(MAX(0,AK121-IF($A131&gt;='1-Input'!$C$12,'1-Input'!$B$12,0))-MIN(MAX(AO130,0),MAX(0,AK121-IF($A131&gt;='1-Input'!$C$12,'1-Input'!$B$12,0))))*(1/(1-'P-Parametri'!$B$6*AK131))),MAX(0,0*AK121-(AO130-MIN(MAX(AO130,0),MAX(0,AK121-IF($A131&gt;='1-Input'!$C$12,'1-Input'!$B$12,0)))))*(1/(1-'P-Parametri'!$B$6*AK131))))</f>
        <v>20753.775004129664</v>
      </c>
      <c r="AM131" s="18">
        <f>IF($A131&gt;'1-Input'!$B$26,AO130,(AO130-MAX(0,AK121-IF($A131&gt;='1-Input'!$C$12,'1-Input'!$B$12,0))+AL131*(1-'P-Parametri'!$B$6*AK131))*(1+ROUND('3-Liquidita'!$F$11,4)))</f>
        <v>0</v>
      </c>
      <c r="AN131" s="18">
        <f>IF($A131&gt;'1-Input'!$B$26,AP130,(AP130-AL131)*(1+'5-Roberta'!$C$4))</f>
        <v>363301.99377050233</v>
      </c>
      <c r="AO131" s="18">
        <f>IF($A131&gt;'1-Input'!$B$26,AM131,AM131-'P-Parametri'!$B$8*(AN131+AM131)+MIN(MAX(AN131,0),'P-Parametri'!$B$8*(AN131+AM131)))</f>
        <v>0</v>
      </c>
      <c r="AP131" s="18">
        <f>IF($A131&gt;'1-Input'!$B$26,AN131,AN131-MIN(MAX(AN131,0),'P-Parametri'!$B$8*(AN131+AM131)))</f>
        <v>362575.38978296134</v>
      </c>
      <c r="AQ131" s="18">
        <f>IF($A131&gt;'1-Input'!$B$26,AQ130,AQ130-AL131*(1-AK131))</f>
        <v>227915.94594449535</v>
      </c>
    </row>
    <row r="132" spans="1:43">
      <c r="A132" s="10">
        <f>9</f>
        <v>9</v>
      </c>
      <c r="B132" s="11">
        <f>IF($A132&gt;'1-Input'!$B$26,0,IF(G131&lt;=0,0,MAX(0,(G131-H131)/G131)))</f>
        <v>0.37139708770381102</v>
      </c>
      <c r="C132" s="18">
        <f>IF($A132&gt;'1-Input'!$B$26,0,(MAX(0,B121-IF($A132&gt;='1-Input'!$C$12,'1-Input'!$B$12,0))-MIN(MAX(F131,0),MAX(0,B121-IF($A132&gt;='1-Input'!$C$12,'1-Input'!$B$12,0))))*(1/(1-'P-Parametri'!$B$6*B132))+MIN(MAX(0,G131-(MAX(0,B121-IF($A132&gt;='1-Input'!$C$12,'1-Input'!$B$12,0))-MIN(MAX(F131,0),MAX(0,B121-IF($A132&gt;='1-Input'!$C$12,'1-Input'!$B$12,0))))*(1/(1-'P-Parametri'!$B$6*B132))),MAX(0,0*B121-(F131-MIN(MAX(F131,0),MAX(0,B121-IF($A132&gt;='1-Input'!$C$12,'1-Input'!$B$12,0)))))*(1/(1-'P-Parametri'!$B$6*B132))))</f>
        <v>18463.998926034648</v>
      </c>
      <c r="D132" s="18">
        <f>IF($A132&gt;'1-Input'!$B$26,F131,(F131-MAX(0,B121-IF($A132&gt;='1-Input'!$C$12,'1-Input'!$B$12,0))+C132*(1-'P-Parametri'!$B$6*B132))*(1+ROUND('3-Liquidita'!$F$11,4)))</f>
        <v>0</v>
      </c>
      <c r="E132" s="18">
        <f>IF($A132&gt;'1-Input'!$B$26,G131,(G131-C132)*(1+'5-Roberta'!$C$4))</f>
        <v>376271.75706149999</v>
      </c>
      <c r="F132" s="18">
        <f>IF($A132&gt;'1-Input'!$B$26,D132,D132-'P-Parametri'!$B$8*(E132+D132)+MIN(MAX(E132,0),'P-Parametri'!$B$8*(E132+D132)))</f>
        <v>0</v>
      </c>
      <c r="G132" s="18">
        <f>IF($A132&gt;'1-Input'!$B$26,E132,E132-MIN(MAX(E132,0),'P-Parametri'!$B$8*(E132+D132)))</f>
        <v>375519.21354737697</v>
      </c>
      <c r="H132" s="18">
        <f>IF($A132&gt;'1-Input'!$B$26,H131,H131-C132*(1-B132))</f>
        <v>229636.42942103205</v>
      </c>
      <c r="I132" s="11">
        <f>IF($A132&gt;'1-Input'!$B$26,0,IF(N131&lt;=0,0,MAX(0,(N131-O131)/N131)))</f>
        <v>0.37139708770381136</v>
      </c>
      <c r="J132" s="18">
        <f>IF($A132&gt;'1-Input'!$B$26,0,(MAX(0,I121-IF($A132&gt;='1-Input'!$C$12,'1-Input'!$B$12,0))-MIN(MAX(M131,0),MAX(0,I121-IF($A132&gt;='1-Input'!$C$12,'1-Input'!$B$12,0))))*(1/(1-'P-Parametri'!$B$6*I132))+MIN(MAX(0,N131-(MAX(0,I121-IF($A132&gt;='1-Input'!$C$12,'1-Input'!$B$12,0))-MIN(MAX(M131,0),MAX(0,I121-IF($A132&gt;='1-Input'!$C$12,'1-Input'!$B$12,0))))*(1/(1-'P-Parametri'!$B$6*I132))),MAX(0,0*I121-(M131-MIN(MAX(M131,0),MAX(0,I121-IF($A132&gt;='1-Input'!$C$12,'1-Input'!$B$12,0)))))*(1/(1-'P-Parametri'!$B$6*I132))))</f>
        <v>24294.735428992972</v>
      </c>
      <c r="K132" s="18">
        <f>IF($A132&gt;'1-Input'!$B$26,M131,(M131-MAX(0,I121-IF($A132&gt;='1-Input'!$C$12,'1-Input'!$B$12,0))+J132*(1-'P-Parametri'!$B$6*I132))*(1+ROUND('3-Liquidita'!$F$11,4)))</f>
        <v>0</v>
      </c>
      <c r="L132" s="18">
        <f>IF($A132&gt;'1-Input'!$B$26,N131,(N131-J132)*(1+'5-Roberta'!$C$4))</f>
        <v>317095.67723909963</v>
      </c>
      <c r="M132" s="18">
        <f>IF($A132&gt;'1-Input'!$B$26,K132,K132-'P-Parametri'!$B$8*(L132+K132)+MIN(MAX(L132,0),'P-Parametri'!$B$8*(L132+K132)))</f>
        <v>0</v>
      </c>
      <c r="N132" s="18">
        <f>IF($A132&gt;'1-Input'!$B$26,L132,L132-MIN(MAX(L132,0),'P-Parametri'!$B$8*(L132+K132)))</f>
        <v>316461.48588462145</v>
      </c>
      <c r="O132" s="18">
        <f>IF($A132&gt;'1-Input'!$B$26,O131,O131-J132*(1-I132))</f>
        <v>193521.61765925269</v>
      </c>
      <c r="P132" s="11">
        <f>IF($A132&gt;'1-Input'!$B$26,0,IF(U131&lt;=0,0,MAX(0,(U131-V131)/U131)))</f>
        <v>0.37139708770381125</v>
      </c>
      <c r="Q132" s="18">
        <f>IF($A132&gt;'1-Input'!$B$26,0,(MAX(0,P121-IF($A132&gt;='1-Input'!$C$12,'1-Input'!$B$12,0))-MIN(MAX(T131,0),MAX(0,P121-IF($A132&gt;='1-Input'!$C$12,'1-Input'!$B$12,0))))*(1/(1-'P-Parametri'!$B$6*P132))+MIN(MAX(0,U131-(MAX(0,P121-IF($A132&gt;='1-Input'!$C$12,'1-Input'!$B$12,0))-MIN(MAX(T131,0),MAX(0,P121-IF($A132&gt;='1-Input'!$C$12,'1-Input'!$B$12,0))))*(1/(1-'P-Parametri'!$B$6*P132))),MAX(0,0*P121-(T131-MIN(MAX(T131,0),MAX(0,P121-IF($A132&gt;='1-Input'!$C$12,'1-Input'!$B$12,0)))))*(1/(1-'P-Parametri'!$B$6*P132))))</f>
        <v>21136.000336683683</v>
      </c>
      <c r="R132" s="18">
        <f>IF($A132&gt;'1-Input'!$B$26,T131,(T131-MAX(0,P121-IF($A132&gt;='1-Input'!$C$12,'1-Input'!$B$12,0))+Q132*(1-'P-Parametri'!$B$6*P132))*(1+ROUND('3-Liquidita'!$F$11,4)))</f>
        <v>0</v>
      </c>
      <c r="S132" s="18">
        <f>IF($A132&gt;'1-Input'!$B$26,U131,(U131-Q132)*(1+'5-Roberta'!$C$4))</f>
        <v>349153.64450712368</v>
      </c>
      <c r="T132" s="18">
        <f>IF($A132&gt;'1-Input'!$B$26,R132,R132-'P-Parametri'!$B$8*(S132+R132)+MIN(MAX(S132,0),'P-Parametri'!$B$8*(S132+R132)))</f>
        <v>0</v>
      </c>
      <c r="U132" s="18">
        <f>IF($A132&gt;'1-Input'!$B$26,S132,S132-MIN(MAX(S132,0),'P-Parametri'!$B$8*(S132+R132)))</f>
        <v>348455.33721810946</v>
      </c>
      <c r="V132" s="18">
        <f>IF($A132&gt;'1-Input'!$B$26,V131,V131-Q132*(1-P132))</f>
        <v>213086.40560777293</v>
      </c>
      <c r="W132" s="11">
        <f>IF($A132&gt;'1-Input'!$B$26,0,IF(AB131&lt;=0,0,MAX(0,(AB131-AC131)/AB131)))</f>
        <v>0.37139708770381141</v>
      </c>
      <c r="X132" s="18">
        <f>IF($A132&gt;'1-Input'!$B$26,0,(MAX(0,W121-IF($A132&gt;='1-Input'!$C$12,'1-Input'!$B$12,0))-MIN(MAX(AA131,0),MAX(0,W121-IF($A132&gt;='1-Input'!$C$12,'1-Input'!$B$12,0))))*(1/(1-'P-Parametri'!$B$6*W132))+MIN(MAX(0,AB131-(MAX(0,W121-IF($A132&gt;='1-Input'!$C$12,'1-Input'!$B$12,0))-MIN(MAX(AA131,0),MAX(0,W121-IF($A132&gt;='1-Input'!$C$12,'1-Input'!$B$12,0))))*(1/(1-'P-Parametri'!$B$6*W132))),MAX(0,0*W121-(AA131-MIN(MAX(AA131,0),MAX(0,W121-IF($A132&gt;='1-Input'!$C$12,'1-Input'!$B$12,0)))))*(1/(1-'P-Parametri'!$B$6*W132))))</f>
        <v>20852.332425497767</v>
      </c>
      <c r="Y132" s="18">
        <f>IF($A132&gt;'1-Input'!$B$26,AA131,(AA131-MAX(0,W121-IF($A132&gt;='1-Input'!$C$12,'1-Input'!$B$12,0))+X132*(1-'P-Parametri'!$B$6*W132))*(1+ROUND('3-Liquidita'!$F$11,4)))</f>
        <v>0</v>
      </c>
      <c r="Z132" s="18">
        <f>IF($A132&gt;'1-Input'!$B$26,AB131,(AB131-X132)*(1+'5-Roberta'!$C$4))</f>
        <v>352032.58697809215</v>
      </c>
      <c r="AA132" s="18">
        <f>IF($A132&gt;'1-Input'!$B$26,Y132,Y132-'P-Parametri'!$B$8*(Z132+Y132)+MIN(MAX(Z132,0),'P-Parametri'!$B$8*(Z132+Y132)))</f>
        <v>0</v>
      </c>
      <c r="AB132" s="18">
        <f>IF($A132&gt;'1-Input'!$B$26,Z132,Z132-MIN(MAX(Z132,0),'P-Parametri'!$B$8*(Z132+Y132)))</f>
        <v>351328.52180413599</v>
      </c>
      <c r="AC132" s="18">
        <f>IF($A132&gt;'1-Input'!$B$26,AC131,AC131-X132*(1-W132))</f>
        <v>214843.40718212625</v>
      </c>
      <c r="AD132" s="11">
        <f>IF($A132&gt;'1-Input'!$B$26,0,IF(AI131&lt;=0,0,MAX(0,(AI131-AJ131)/AI131)))</f>
        <v>0.37139708770381141</v>
      </c>
      <c r="AE132" s="18">
        <f>IF($A132&gt;'1-Input'!$B$26,0,(MAX(0,AD121-IF($A132&gt;='1-Input'!$C$12,'1-Input'!$B$12,0))-MIN(MAX(AH131,0),MAX(0,AD121-IF($A132&gt;='1-Input'!$C$12,'1-Input'!$B$12,0))))*(1/(1-'P-Parametri'!$B$6*AD132))+MIN(MAX(0,AI131-(MAX(0,AD121-IF($A132&gt;='1-Input'!$C$12,'1-Input'!$B$12,0))-MIN(MAX(AH131,0),MAX(0,AD121-IF($A132&gt;='1-Input'!$C$12,'1-Input'!$B$12,0))))*(1/(1-'P-Parametri'!$B$6*AD132))),MAX(0,0*AD121-(AH131-MIN(MAX(AH131,0),MAX(0,AD121-IF($A132&gt;='1-Input'!$C$12,'1-Input'!$B$12,0)))))*(1/(1-'P-Parametri'!$B$6*AD132))))</f>
        <v>20859.840937219607</v>
      </c>
      <c r="AF132" s="18">
        <f>IF($A132&gt;'1-Input'!$B$26,AH131,(AH131-MAX(0,AD121-IF($A132&gt;='1-Input'!$C$12,'1-Input'!$B$12,0))+AE132*(1-'P-Parametri'!$B$6*AD132))*(1+ROUND('3-Liquidita'!$F$11,4)))</f>
        <v>0</v>
      </c>
      <c r="AG132" s="18">
        <f>IF($A132&gt;'1-Input'!$B$26,AI131,(AI131-AE132)*(1+'5-Roberta'!$C$4))</f>
        <v>351956.38317626127</v>
      </c>
      <c r="AH132" s="18">
        <f>IF($A132&gt;'1-Input'!$B$26,AF132,AF132-'P-Parametri'!$B$8*(AG132+AF132)+MIN(MAX(AG132,0),'P-Parametri'!$B$8*(AG132+AF132)))</f>
        <v>0</v>
      </c>
      <c r="AI132" s="18">
        <f>IF($A132&gt;'1-Input'!$B$26,AG132,AG132-MIN(MAX(AG132,0),'P-Parametri'!$B$8*(AG132+AF132)))</f>
        <v>351252.47040990874</v>
      </c>
      <c r="AJ132" s="18">
        <f>IF($A132&gt;'1-Input'!$B$26,AJ131,AJ131-AE132*(1-AD132))</f>
        <v>214796.90045226319</v>
      </c>
      <c r="AK132" s="11">
        <f>IF($A132&gt;'1-Input'!$B$26,0,IF(AP131&lt;=0,0,MAX(0,(AP131-AQ131)/AP131)))</f>
        <v>0.37139708770381108</v>
      </c>
      <c r="AL132" s="18">
        <f>IF($A132&gt;'1-Input'!$B$26,0,(MAX(0,AK121-IF($A132&gt;='1-Input'!$C$12,'1-Input'!$B$12,0))-MIN(MAX(AO131,0),MAX(0,AK121-IF($A132&gt;='1-Input'!$C$12,'1-Input'!$B$12,0))))*(1/(1-'P-Parametri'!$B$6*AK132))+MIN(MAX(0,AP131-(MAX(0,AK121-IF($A132&gt;='1-Input'!$C$12,'1-Input'!$B$12,0))-MIN(MAX(AO131,0),MAX(0,AK121-IF($A132&gt;='1-Input'!$C$12,'1-Input'!$B$12,0))))*(1/(1-'P-Parametri'!$B$6*AK132))),MAX(0,0*AK121-(AO131-MIN(MAX(AO131,0),MAX(0,AK121-IF($A132&gt;='1-Input'!$C$12,'1-Input'!$B$12,0)))))*(1/(1-'P-Parametri'!$B$6*AK132))))</f>
        <v>20858.675003691842</v>
      </c>
      <c r="AM132" s="18">
        <f>IF($A132&gt;'1-Input'!$B$26,AO131,(AO131-MAX(0,AK121-IF($A132&gt;='1-Input'!$C$12,'1-Input'!$B$12,0))+AL132*(1-'P-Parametri'!$B$6*AK132))*(1+ROUND('3-Liquidita'!$F$11,4)))</f>
        <v>0</v>
      </c>
      <c r="AN132" s="18">
        <f>IF($A132&gt;'1-Input'!$B$26,AP131,(AP131-AL132)*(1+'5-Roberta'!$C$4))</f>
        <v>351968.21622264758</v>
      </c>
      <c r="AO132" s="18">
        <f>IF($A132&gt;'1-Input'!$B$26,AM132,AM132-'P-Parametri'!$B$8*(AN132+AM132)+MIN(MAX(AN132,0),'P-Parametri'!$B$8*(AN132+AM132)))</f>
        <v>0</v>
      </c>
      <c r="AP132" s="18">
        <f>IF($A132&gt;'1-Input'!$B$26,AN132,AN132-MIN(MAX(AN132,0),'P-Parametri'!$B$8*(AN132+AM132)))</f>
        <v>351264.27979020227</v>
      </c>
      <c r="AQ132" s="18">
        <f>IF($A132&gt;'1-Input'!$B$26,AQ131,AQ131-AL132*(1-AK132))</f>
        <v>214804.12209053495</v>
      </c>
    </row>
    <row r="133" spans="1:43">
      <c r="A133" s="10">
        <f>10</f>
        <v>10</v>
      </c>
      <c r="B133" s="11">
        <f>IF($A133&gt;'1-Input'!$B$26,0,IF(G132&lt;=0,0,MAX(0,(G132-H132)/G132)))</f>
        <v>0.38848287614433819</v>
      </c>
      <c r="C133" s="18">
        <f>IF($A133&gt;'1-Input'!$B$26,0,(MAX(0,B121-IF($A133&gt;='1-Input'!$C$12,'1-Input'!$B$12,0))-MIN(MAX(F132,0),MAX(0,B121-IF($A133&gt;='1-Input'!$C$12,'1-Input'!$B$12,0))))*(1/(1-'P-Parametri'!$B$6*B133))+MIN(MAX(0,G132-(MAX(0,B121-IF($A133&gt;='1-Input'!$C$12,'1-Input'!$B$12,0))-MIN(MAX(F132,0),MAX(0,B121-IF($A133&gt;='1-Input'!$C$12,'1-Input'!$B$12,0))))*(1/(1-'P-Parametri'!$B$6*B133))),MAX(0,0*B121-(F132-MIN(MAX(F132,0),MAX(0,B121-IF($A133&gt;='1-Input'!$C$12,'1-Input'!$B$12,0)))))*(1/(1-'P-Parametri'!$B$6*B133))))</f>
        <v>18555.237213932091</v>
      </c>
      <c r="D133" s="18">
        <f>IF($A133&gt;'1-Input'!$B$26,F132,(F132-MAX(0,B121-IF($A133&gt;='1-Input'!$C$12,'1-Input'!$B$12,0))+C133*(1-'P-Parametri'!$B$6*B133))*(1+ROUND('3-Liquidita'!$F$11,4)))</f>
        <v>0</v>
      </c>
      <c r="E133" s="18">
        <f>IF($A133&gt;'1-Input'!$B$26,G132,(G132-C133)*(1+'5-Roberta'!$C$4))</f>
        <v>367672.89562344825</v>
      </c>
      <c r="F133" s="18">
        <f>IF($A133&gt;'1-Input'!$B$26,D133,D133-'P-Parametri'!$B$8*(E133+D133)+MIN(MAX(E133,0),'P-Parametri'!$B$8*(E133+D133)))</f>
        <v>0</v>
      </c>
      <c r="G133" s="18">
        <f>IF($A133&gt;'1-Input'!$B$26,E133,E133-MIN(MAX(E133,0),'P-Parametri'!$B$8*(E133+D133)))</f>
        <v>366937.54983220133</v>
      </c>
      <c r="H133" s="18">
        <f>IF($A133&gt;'1-Input'!$B$26,H132,H132-C133*(1-B133))</f>
        <v>218289.58412750874</v>
      </c>
      <c r="I133" s="11">
        <f>IF($A133&gt;'1-Input'!$B$26,0,IF(N132&lt;=0,0,MAX(0,(N132-O132)/N132)))</f>
        <v>0.38848287614433863</v>
      </c>
      <c r="J133" s="18">
        <f>IF($A133&gt;'1-Input'!$B$26,0,(MAX(0,I121-IF($A133&gt;='1-Input'!$C$12,'1-Input'!$B$12,0))-MIN(MAX(M132,0),MAX(0,I121-IF($A133&gt;='1-Input'!$C$12,'1-Input'!$B$12,0))))*(1/(1-'P-Parametri'!$B$6*I133))+MIN(MAX(0,N132-(MAX(0,I121-IF($A133&gt;='1-Input'!$C$12,'1-Input'!$B$12,0))-MIN(MAX(M132,0),MAX(0,I121-IF($A133&gt;='1-Input'!$C$12,'1-Input'!$B$12,0))))*(1/(1-'P-Parametri'!$B$6*I133))),MAX(0,0*I121-(M132-MIN(MAX(M132,0),MAX(0,I121-IF($A133&gt;='1-Input'!$C$12,'1-Input'!$B$12,0)))))*(1/(1-'P-Parametri'!$B$6*I133))))</f>
        <v>24414.785807805387</v>
      </c>
      <c r="K133" s="18">
        <f>IF($A133&gt;'1-Input'!$B$26,M132,(M132-MAX(0,I121-IF($A133&gt;='1-Input'!$C$12,'1-Input'!$B$12,0))+J133*(1-'P-Parametri'!$B$6*I133))*(1+ROUND('3-Liquidita'!$F$11,4)))</f>
        <v>0</v>
      </c>
      <c r="L133" s="18">
        <f>IF($A133&gt;'1-Input'!$B$26,N132,(N132-J133)*(1+'5-Roberta'!$C$4))</f>
        <v>300808.10107912059</v>
      </c>
      <c r="M133" s="18">
        <f>IF($A133&gt;'1-Input'!$B$26,K133,K133-'P-Parametri'!$B$8*(L133+K133)+MIN(MAX(L133,0),'P-Parametri'!$B$8*(L133+K133)))</f>
        <v>0</v>
      </c>
      <c r="N133" s="18">
        <f>IF($A133&gt;'1-Input'!$B$26,L133,L133-MIN(MAX(L133,0),'P-Parametri'!$B$8*(L133+K133)))</f>
        <v>300206.48487696238</v>
      </c>
      <c r="O133" s="18">
        <f>IF($A133&gt;'1-Input'!$B$26,O132,O132-J133*(1-I133))</f>
        <v>178591.55806251153</v>
      </c>
      <c r="P133" s="11">
        <f>IF($A133&gt;'1-Input'!$B$26,0,IF(U132&lt;=0,0,MAX(0,(U132-V132)/U132)))</f>
        <v>0.38848287614433852</v>
      </c>
      <c r="Q133" s="18">
        <f>IF($A133&gt;'1-Input'!$B$26,0,(MAX(0,P121-IF($A133&gt;='1-Input'!$C$12,'1-Input'!$B$12,0))-MIN(MAX(T132,0),MAX(0,P121-IF($A133&gt;='1-Input'!$C$12,'1-Input'!$B$12,0))))*(1/(1-'P-Parametri'!$B$6*P133))+MIN(MAX(0,U132-(MAX(0,P121-IF($A133&gt;='1-Input'!$C$12,'1-Input'!$B$12,0))-MIN(MAX(T132,0),MAX(0,P121-IF($A133&gt;='1-Input'!$C$12,'1-Input'!$B$12,0))))*(1/(1-'P-Parametri'!$B$6*P133))),MAX(0,0*P121-(T132-MIN(MAX(T132,0),MAX(0,P121-IF($A133&gt;='1-Input'!$C$12,'1-Input'!$B$12,0)))))*(1/(1-'P-Parametri'!$B$6*P133))))</f>
        <v>21240.442093393256</v>
      </c>
      <c r="R133" s="18">
        <f>IF($A133&gt;'1-Input'!$B$26,T132,(T132-MAX(0,P121-IF($A133&gt;='1-Input'!$C$12,'1-Input'!$B$12,0))+Q133*(1-'P-Parametri'!$B$6*P133))*(1+ROUND('3-Liquidita'!$F$11,4)))</f>
        <v>0</v>
      </c>
      <c r="S133" s="18">
        <f>IF($A133&gt;'1-Input'!$B$26,U132,(U132-Q133)*(1+'5-Roberta'!$C$4))</f>
        <v>337031.3419784577</v>
      </c>
      <c r="T133" s="18">
        <f>IF($A133&gt;'1-Input'!$B$26,R133,R133-'P-Parametri'!$B$8*(S133+R133)+MIN(MAX(S133,0),'P-Parametri'!$B$8*(S133+R133)))</f>
        <v>0</v>
      </c>
      <c r="U133" s="18">
        <f>IF($A133&gt;'1-Input'!$B$26,S133,S133-MIN(MAX(S133,0),'P-Parametri'!$B$8*(S133+R133)))</f>
        <v>336357.27929450077</v>
      </c>
      <c r="V133" s="18">
        <f>IF($A133&gt;'1-Input'!$B$26,V132,V132-Q133*(1-P133))</f>
        <v>200097.51154939836</v>
      </c>
      <c r="W133" s="11">
        <f>IF($A133&gt;'1-Input'!$B$26,0,IF(AB132&lt;=0,0,MAX(0,(AB132-AC132)/AB132)))</f>
        <v>0.38848287614433863</v>
      </c>
      <c r="X133" s="18">
        <f>IF($A133&gt;'1-Input'!$B$26,0,(MAX(0,W121-IF($A133&gt;='1-Input'!$C$12,'1-Input'!$B$12,0))-MIN(MAX(AA132,0),MAX(0,W121-IF($A133&gt;='1-Input'!$C$12,'1-Input'!$B$12,0))))*(1/(1-'P-Parametri'!$B$6*W133))+MIN(MAX(0,AB132-(MAX(0,W121-IF($A133&gt;='1-Input'!$C$12,'1-Input'!$B$12,0))-MIN(MAX(AA132,0),MAX(0,W121-IF($A133&gt;='1-Input'!$C$12,'1-Input'!$B$12,0))))*(1/(1-'P-Parametri'!$B$6*W133))),MAX(0,0*W121-(AA132-MIN(MAX(AA132,0),MAX(0,W121-IF($A133&gt;='1-Input'!$C$12,'1-Input'!$B$12,0)))))*(1/(1-'P-Parametri'!$B$6*W133))))</f>
        <v>20955.372461233903</v>
      </c>
      <c r="Y133" s="18">
        <f>IF($A133&gt;'1-Input'!$B$26,AA132,(AA132-MAX(0,W121-IF($A133&gt;='1-Input'!$C$12,'1-Input'!$B$12,0))+X133*(1-'P-Parametri'!$B$6*W133))*(1+ROUND('3-Liquidita'!$F$11,4)))</f>
        <v>0</v>
      </c>
      <c r="Z133" s="18">
        <f>IF($A133&gt;'1-Input'!$B$26,AB132,(AB132-X133)*(1+'5-Roberta'!$C$4))</f>
        <v>340284.34382318915</v>
      </c>
      <c r="AA133" s="18">
        <f>IF($A133&gt;'1-Input'!$B$26,Y133,Y133-'P-Parametri'!$B$8*(Z133+Y133)+MIN(MAX(Z133,0),'P-Parametri'!$B$8*(Z133+Y133)))</f>
        <v>0</v>
      </c>
      <c r="AB133" s="18">
        <f>IF($A133&gt;'1-Input'!$B$26,Z133,Z133-MIN(MAX(Z133,0),'P-Parametri'!$B$8*(Z133+Y133)))</f>
        <v>339603.77513554279</v>
      </c>
      <c r="AC133" s="18">
        <f>IF($A133&gt;'1-Input'!$B$26,AC132,AC132-X133*(1-W133))</f>
        <v>202028.83808530835</v>
      </c>
      <c r="AD133" s="11">
        <f>IF($A133&gt;'1-Input'!$B$26,0,IF(AI132&lt;=0,0,MAX(0,(AI132-AJ132)/AI132)))</f>
        <v>0.38848287614433863</v>
      </c>
      <c r="AE133" s="18">
        <f>IF($A133&gt;'1-Input'!$B$26,0,(MAX(0,AD121-IF($A133&gt;='1-Input'!$C$12,'1-Input'!$B$12,0))-MIN(MAX(AH132,0),MAX(0,AD121-IF($A133&gt;='1-Input'!$C$12,'1-Input'!$B$12,0))))*(1/(1-'P-Parametri'!$B$6*AD133))+MIN(MAX(0,AI132-(MAX(0,AD121-IF($A133&gt;='1-Input'!$C$12,'1-Input'!$B$12,0))-MIN(MAX(AH132,0),MAX(0,AD121-IF($A133&gt;='1-Input'!$C$12,'1-Input'!$B$12,0))))*(1/(1-'P-Parametri'!$B$6*AD133))),MAX(0,0*AD121-(AH132-MIN(MAX(AH132,0),MAX(0,AD121-IF($A133&gt;='1-Input'!$C$12,'1-Input'!$B$12,0)))))*(1/(1-'P-Parametri'!$B$6*AD133))))</f>
        <v>20962.9180756309</v>
      </c>
      <c r="AF133" s="18">
        <f>IF($A133&gt;'1-Input'!$B$26,AH132,(AH132-MAX(0,AD121-IF($A133&gt;='1-Input'!$C$12,'1-Input'!$B$12,0))+AE133*(1-'P-Parametri'!$B$6*AD133))*(1+ROUND('3-Liquidita'!$F$11,4)))</f>
        <v>0</v>
      </c>
      <c r="AG133" s="18">
        <f>IF($A133&gt;'1-Input'!$B$26,AI132,(AI132-AE133)*(1+'5-Roberta'!$C$4))</f>
        <v>340198.2389043062</v>
      </c>
      <c r="AH133" s="18">
        <f>IF($A133&gt;'1-Input'!$B$26,AF133,AF133-'P-Parametri'!$B$8*(AG133+AF133)+MIN(MAX(AG133,0),'P-Parametri'!$B$8*(AG133+AF133)))</f>
        <v>0</v>
      </c>
      <c r="AI133" s="18">
        <f>IF($A133&gt;'1-Input'!$B$26,AG133,AG133-MIN(MAX(AG133,0),'P-Parametri'!$B$8*(AG133+AF133)))</f>
        <v>339517.84242649761</v>
      </c>
      <c r="AJ133" s="18">
        <f>IF($A133&gt;'1-Input'!$B$26,AJ132,AJ132-AE133*(1-AD133))</f>
        <v>201977.71708303152</v>
      </c>
      <c r="AK133" s="11">
        <f>IF($A133&gt;'1-Input'!$B$26,0,IF(AP132&lt;=0,0,MAX(0,(AP132-AQ132)/AP132)))</f>
        <v>0.38848287614433824</v>
      </c>
      <c r="AL133" s="18">
        <f>IF($A133&gt;'1-Input'!$B$26,0,(MAX(0,AK121-IF($A133&gt;='1-Input'!$C$12,'1-Input'!$B$12,0))-MIN(MAX(AO132,0),MAX(0,AK121-IF($A133&gt;='1-Input'!$C$12,'1-Input'!$B$12,0))))*(1/(1-'P-Parametri'!$B$6*AK133))+MIN(MAX(0,AP132-(MAX(0,AK121-IF($A133&gt;='1-Input'!$C$12,'1-Input'!$B$12,0))-MIN(MAX(AO132,0),MAX(0,AK121-IF($A133&gt;='1-Input'!$C$12,'1-Input'!$B$12,0))))*(1/(1-'P-Parametri'!$B$6*AK133))),MAX(0,0*AK121-(AO132-MIN(MAX(AO132,0),MAX(0,AK121-IF($A133&gt;='1-Input'!$C$12,'1-Input'!$B$12,0)))))*(1/(1-'P-Parametri'!$B$6*AK133))))</f>
        <v>20961.746380741293</v>
      </c>
      <c r="AM133" s="18">
        <f>IF($A133&gt;'1-Input'!$B$26,AO132,(AO132-MAX(0,AK121-IF($A133&gt;='1-Input'!$C$12,'1-Input'!$B$12,0))+AL133*(1-'P-Parametri'!$B$6*AK133))*(1+ROUND('3-Liquidita'!$F$11,4)))</f>
        <v>0</v>
      </c>
      <c r="AN133" s="18">
        <f>IF($A133&gt;'1-Input'!$B$26,AP132,(AP132-AL133)*(1+'5-Roberta'!$C$4))</f>
        <v>340211.60941174481</v>
      </c>
      <c r="AO133" s="18">
        <f>IF($A133&gt;'1-Input'!$B$26,AM133,AM133-'P-Parametri'!$B$8*(AN133+AM133)+MIN(MAX(AN133,0),'P-Parametri'!$B$8*(AN133+AM133)))</f>
        <v>0</v>
      </c>
      <c r="AP133" s="18">
        <f>IF($A133&gt;'1-Input'!$B$26,AN133,AN133-MIN(MAX(AN133,0),'P-Parametri'!$B$8*(AN133+AM133)))</f>
        <v>339531.1861929213</v>
      </c>
      <c r="AQ133" s="18">
        <f>IF($A133&gt;'1-Input'!$B$26,AQ132,AQ132-AL133*(1-AK133))</f>
        <v>201985.6552327922</v>
      </c>
    </row>
    <row r="134" spans="1:43">
      <c r="A134" s="10">
        <f>11</f>
        <v>11</v>
      </c>
      <c r="B134" s="11">
        <f>IF($A134&gt;'1-Input'!$B$26,0,IF(G133&lt;=0,0,MAX(0,(G133-H133)/G133)))</f>
        <v>0.40510426303513647</v>
      </c>
      <c r="C134" s="18">
        <f>IF($A134&gt;'1-Input'!$B$26,0,(MAX(0,B121-IF($A134&gt;='1-Input'!$C$12,'1-Input'!$B$12,0))-MIN(MAX(F133,0),MAX(0,B121-IF($A134&gt;='1-Input'!$C$12,'1-Input'!$B$12,0))))*(1/(1-'P-Parametri'!$B$6*B134))+MIN(MAX(0,G133-(MAX(0,B121-IF($A134&gt;='1-Input'!$C$12,'1-Input'!$B$12,0))-MIN(MAX(F133,0),MAX(0,B121-IF($A134&gt;='1-Input'!$C$12,'1-Input'!$B$12,0))))*(1/(1-'P-Parametri'!$B$6*B134))),MAX(0,0*B121-(F133-MIN(MAX(F133,0),MAX(0,B121-IF($A134&gt;='1-Input'!$C$12,'1-Input'!$B$12,0)))))*(1/(1-'P-Parametri'!$B$6*B134))))</f>
        <v>18644.865035076062</v>
      </c>
      <c r="D134" s="18">
        <f>IF($A134&gt;'1-Input'!$B$26,F133,(F133-MAX(0,B121-IF($A134&gt;='1-Input'!$C$12,'1-Input'!$B$12,0))+C134*(1-'P-Parametri'!$B$6*B134))*(1+ROUND('3-Liquidita'!$F$11,4)))</f>
        <v>0</v>
      </c>
      <c r="E134" s="18">
        <f>IF($A134&gt;'1-Input'!$B$26,G133,(G133-C134)*(1+'5-Roberta'!$C$4))</f>
        <v>358741.46534103906</v>
      </c>
      <c r="F134" s="18">
        <f>IF($A134&gt;'1-Input'!$B$26,D134,D134-'P-Parametri'!$B$8*(E134+D134)+MIN(MAX(E134,0),'P-Parametri'!$B$8*(E134+D134)))</f>
        <v>0</v>
      </c>
      <c r="G134" s="18">
        <f>IF($A134&gt;'1-Input'!$B$26,E134,E134-MIN(MAX(E134,0),'P-Parametri'!$B$8*(E134+D134)))</f>
        <v>358023.98241035698</v>
      </c>
      <c r="H134" s="18">
        <f>IF($A134&gt;'1-Input'!$B$26,H133,H133-C134*(1-B134))</f>
        <v>207197.83340185677</v>
      </c>
      <c r="I134" s="11">
        <f>IF($A134&gt;'1-Input'!$B$26,0,IF(N133&lt;=0,0,MAX(0,(N133-O133)/N133)))</f>
        <v>0.40510426303513702</v>
      </c>
      <c r="J134" s="18">
        <f>IF($A134&gt;'1-Input'!$B$26,0,(MAX(0,I121-IF($A134&gt;='1-Input'!$C$12,'1-Input'!$B$12,0))-MIN(MAX(M133,0),MAX(0,I121-IF($A134&gt;='1-Input'!$C$12,'1-Input'!$B$12,0))))*(1/(1-'P-Parametri'!$B$6*I134))+MIN(MAX(0,N133-(MAX(0,I121-IF($A134&gt;='1-Input'!$C$12,'1-Input'!$B$12,0))-MIN(MAX(M133,0),MAX(0,I121-IF($A134&gt;='1-Input'!$C$12,'1-Input'!$B$12,0))))*(1/(1-'P-Parametri'!$B$6*I134))),MAX(0,0*I121-(M133-MIN(MAX(M133,0),MAX(0,I121-IF($A134&gt;='1-Input'!$C$12,'1-Input'!$B$12,0)))))*(1/(1-'P-Parametri'!$B$6*I134))))</f>
        <v>24532.71715141588</v>
      </c>
      <c r="K134" s="18">
        <f>IF($A134&gt;'1-Input'!$B$26,M133,(M133-MAX(0,I121-IF($A134&gt;='1-Input'!$C$12,'1-Input'!$B$12,0))+J134*(1-'P-Parametri'!$B$6*I134))*(1+ROUND('3-Liquidita'!$F$11,4)))</f>
        <v>3.6216079024598004E-12</v>
      </c>
      <c r="L134" s="18">
        <f>IF($A134&gt;'1-Input'!$B$26,N133,(N133-J134)*(1+'5-Roberta'!$C$4))</f>
        <v>283943.98075731291</v>
      </c>
      <c r="M134" s="18">
        <f>IF($A134&gt;'1-Input'!$B$26,K134,K134-'P-Parametri'!$B$8*(L134+K134)+MIN(MAX(L134,0),'P-Parametri'!$B$8*(L134+K134)))</f>
        <v>3.637978807091713E-12</v>
      </c>
      <c r="N134" s="18">
        <f>IF($A134&gt;'1-Input'!$B$26,L134,L134-MIN(MAX(L134,0),'P-Parametri'!$B$8*(L134+K134)))</f>
        <v>283376.09279579826</v>
      </c>
      <c r="O134" s="18">
        <f>IF($A134&gt;'1-Input'!$B$26,O133,O133-J134*(1-I134))</f>
        <v>163997.14921296944</v>
      </c>
      <c r="P134" s="11">
        <f>IF($A134&gt;'1-Input'!$B$26,0,IF(U133&lt;=0,0,MAX(0,(U133-V133)/U133)))</f>
        <v>0.4051042630351368</v>
      </c>
      <c r="Q134" s="18">
        <f>IF($A134&gt;'1-Input'!$B$26,0,(MAX(0,P121-IF($A134&gt;='1-Input'!$C$12,'1-Input'!$B$12,0))-MIN(MAX(T133,0),MAX(0,P121-IF($A134&gt;='1-Input'!$C$12,'1-Input'!$B$12,0))))*(1/(1-'P-Parametri'!$B$6*P134))+MIN(MAX(0,U133-(MAX(0,P121-IF($A134&gt;='1-Input'!$C$12,'1-Input'!$B$12,0))-MIN(MAX(T133,0),MAX(0,P121-IF($A134&gt;='1-Input'!$C$12,'1-Input'!$B$12,0))))*(1/(1-'P-Parametri'!$B$6*P134))),MAX(0,0*P121-(T133-MIN(MAX(T133,0),MAX(0,P121-IF($A134&gt;='1-Input'!$C$12,'1-Input'!$B$12,0)))))*(1/(1-'P-Parametri'!$B$6*P134))))</f>
        <v>21343.040326065602</v>
      </c>
      <c r="R134" s="18">
        <f>IF($A134&gt;'1-Input'!$B$26,T133,(T133-MAX(0,P121-IF($A134&gt;='1-Input'!$C$12,'1-Input'!$B$12,0))+Q134*(1-'P-Parametri'!$B$6*P134))*(1+ROUND('3-Liquidita'!$F$11,4)))</f>
        <v>0</v>
      </c>
      <c r="S134" s="18">
        <f>IF($A134&gt;'1-Input'!$B$26,U133,(U133-Q134)*(1+'5-Roberta'!$C$4))</f>
        <v>324464.66613748821</v>
      </c>
      <c r="T134" s="18">
        <f>IF($A134&gt;'1-Input'!$B$26,R134,R134-'P-Parametri'!$B$8*(S134+R134)+MIN(MAX(S134,0),'P-Parametri'!$B$8*(S134+R134)))</f>
        <v>0</v>
      </c>
      <c r="U134" s="18">
        <f>IF($A134&gt;'1-Input'!$B$26,S134,S134-MIN(MAX(S134,0),'P-Parametri'!$B$8*(S134+R134)))</f>
        <v>323815.73680521321</v>
      </c>
      <c r="V134" s="18">
        <f>IF($A134&gt;'1-Input'!$B$26,V133,V133-Q134*(1-P134))</f>
        <v>187400.62784555278</v>
      </c>
      <c r="W134" s="11">
        <f>IF($A134&gt;'1-Input'!$B$26,0,IF(AB133&lt;=0,0,MAX(0,(AB133-AC133)/AB133)))</f>
        <v>0.40510426303513697</v>
      </c>
      <c r="X134" s="18">
        <f>IF($A134&gt;'1-Input'!$B$26,0,(MAX(0,W121-IF($A134&gt;='1-Input'!$C$12,'1-Input'!$B$12,0))-MIN(MAX(AA133,0),MAX(0,W121-IF($A134&gt;='1-Input'!$C$12,'1-Input'!$B$12,0))))*(1/(1-'P-Parametri'!$B$6*W134))+MIN(MAX(0,AB133-(MAX(0,W121-IF($A134&gt;='1-Input'!$C$12,'1-Input'!$B$12,0))-MIN(MAX(AA133,0),MAX(0,W121-IF($A134&gt;='1-Input'!$C$12,'1-Input'!$B$12,0))))*(1/(1-'P-Parametri'!$B$6*W134))),MAX(0,0*W121-(AA133-MIN(MAX(AA133,0),MAX(0,W121-IF($A134&gt;='1-Input'!$C$12,'1-Input'!$B$12,0)))))*(1/(1-'P-Parametri'!$B$6*W134))))</f>
        <v>21056.593715012896</v>
      </c>
      <c r="Y134" s="18">
        <f>IF($A134&gt;'1-Input'!$B$26,AA133,(AA133-MAX(0,W121-IF($A134&gt;='1-Input'!$C$12,'1-Input'!$B$12,0))+X134*(1-'P-Parametri'!$B$6*W134))*(1+ROUND('3-Liquidita'!$F$11,4)))</f>
        <v>0</v>
      </c>
      <c r="Z134" s="18">
        <f>IF($A134&gt;'1-Input'!$B$26,AB133,(AB133-X134)*(1+'5-Roberta'!$C$4))</f>
        <v>328103.59686314582</v>
      </c>
      <c r="AA134" s="18">
        <f>IF($A134&gt;'1-Input'!$B$26,Y134,Y134-'P-Parametri'!$B$8*(Z134+Y134)+MIN(MAX(Z134,0),'P-Parametri'!$B$8*(Z134+Y134)))</f>
        <v>0</v>
      </c>
      <c r="AB134" s="18">
        <f>IF($A134&gt;'1-Input'!$B$26,Z134,Z134-MIN(MAX(Z134,0),'P-Parametri'!$B$8*(Z134+Y134)))</f>
        <v>327447.38966941956</v>
      </c>
      <c r="AC134" s="18">
        <f>IF($A134&gt;'1-Input'!$B$26,AC133,AC133-X134*(1-W134))</f>
        <v>189502.36024924606</v>
      </c>
      <c r="AD134" s="11">
        <f>IF($A134&gt;'1-Input'!$B$26,0,IF(AI133&lt;=0,0,MAX(0,(AI133-AJ133)/AI133)))</f>
        <v>0.40510426303513702</v>
      </c>
      <c r="AE134" s="18">
        <f>IF($A134&gt;'1-Input'!$B$26,0,(MAX(0,AD121-IF($A134&gt;='1-Input'!$C$12,'1-Input'!$B$12,0))-MIN(MAX(AH133,0),MAX(0,AD121-IF($A134&gt;='1-Input'!$C$12,'1-Input'!$B$12,0))))*(1/(1-'P-Parametri'!$B$6*AD134))+MIN(MAX(0,AI133-(MAX(0,AD121-IF($A134&gt;='1-Input'!$C$12,'1-Input'!$B$12,0))-MIN(MAX(AH133,0),MAX(0,AD121-IF($A134&gt;='1-Input'!$C$12,'1-Input'!$B$12,0))))*(1/(1-'P-Parametri'!$B$6*AD134))),MAX(0,0*AD121-(AH133-MIN(MAX(AH133,0),MAX(0,AD121-IF($A134&gt;='1-Input'!$C$12,'1-Input'!$B$12,0)))))*(1/(1-'P-Parametri'!$B$6*AD134))))</f>
        <v>21064.175777177701</v>
      </c>
      <c r="AF134" s="18">
        <f>IF($A134&gt;'1-Input'!$B$26,AH133,(AH133-MAX(0,AD121-IF($A134&gt;='1-Input'!$C$12,'1-Input'!$B$12,0))+AE134*(1-'P-Parametri'!$B$6*AD134))*(1+ROUND('3-Liquidita'!$F$11,4)))</f>
        <v>0</v>
      </c>
      <c r="AG134" s="18">
        <f>IF($A134&gt;'1-Input'!$B$26,AI133,(AI133-AE134)*(1+'5-Roberta'!$C$4))</f>
        <v>328007.27664879954</v>
      </c>
      <c r="AH134" s="18">
        <f>IF($A134&gt;'1-Input'!$B$26,AF134,AF134-'P-Parametri'!$B$8*(AG134+AF134)+MIN(MAX(AG134,0),'P-Parametri'!$B$8*(AG134+AF134)))</f>
        <v>0</v>
      </c>
      <c r="AI134" s="18">
        <f>IF($A134&gt;'1-Input'!$B$26,AG134,AG134-MIN(MAX(AG134,0),'P-Parametri'!$B$8*(AG134+AF134)))</f>
        <v>327351.26209550194</v>
      </c>
      <c r="AJ134" s="18">
        <f>IF($A134&gt;'1-Input'!$B$26,AJ133,AJ133-AE134*(1-AD134))</f>
        <v>189446.72871050998</v>
      </c>
      <c r="AK134" s="11">
        <f>IF($A134&gt;'1-Input'!$B$26,0,IF(AP133&lt;=0,0,MAX(0,(AP133-AQ133)/AP133)))</f>
        <v>0.40510426303513652</v>
      </c>
      <c r="AL134" s="18">
        <f>IF($A134&gt;'1-Input'!$B$26,0,(MAX(0,AK121-IF($A134&gt;='1-Input'!$C$12,'1-Input'!$B$12,0))-MIN(MAX(AO133,0),MAX(0,AK121-IF($A134&gt;='1-Input'!$C$12,'1-Input'!$B$12,0))))*(1/(1-'P-Parametri'!$B$6*AK134))+MIN(MAX(0,AP133-(MAX(0,AK121-IF($A134&gt;='1-Input'!$C$12,'1-Input'!$B$12,0))-MIN(MAX(AO133,0),MAX(0,AK121-IF($A134&gt;='1-Input'!$C$12,'1-Input'!$B$12,0))))*(1/(1-'P-Parametri'!$B$6*AK134))),MAX(0,0*AK121-(AO133-MIN(MAX(AO133,0),MAX(0,AK121-IF($A134&gt;='1-Input'!$C$12,'1-Input'!$B$12,0)))))*(1/(1-'P-Parametri'!$B$6*AK134))))</f>
        <v>21062.998422621291</v>
      </c>
      <c r="AM134" s="18">
        <f>IF($A134&gt;'1-Input'!$B$26,AO133,(AO133-MAX(0,AK121-IF($A134&gt;='1-Input'!$C$12,'1-Input'!$B$12,0))+AL134*(1-'P-Parametri'!$B$6*AK134))*(1+ROUND('3-Liquidita'!$F$11,4)))</f>
        <v>0</v>
      </c>
      <c r="AN134" s="18">
        <f>IF($A134&gt;'1-Input'!$B$26,AP133,(AP133-AL134)*(1+'5-Roberta'!$C$4))</f>
        <v>328022.23340340902</v>
      </c>
      <c r="AO134" s="18">
        <f>IF($A134&gt;'1-Input'!$B$26,AM134,AM134-'P-Parametri'!$B$8*(AN134+AM134)+MIN(MAX(AN134,0),'P-Parametri'!$B$8*(AN134+AM134)))</f>
        <v>0</v>
      </c>
      <c r="AP134" s="18">
        <f>IF($A134&gt;'1-Input'!$B$26,AN134,AN134-MIN(MAX(AN134,0),'P-Parametri'!$B$8*(AN134+AM134)))</f>
        <v>327366.18893660221</v>
      </c>
      <c r="AQ134" s="18">
        <f>IF($A134&gt;'1-Input'!$B$26,AQ133,AQ133-AL134*(1-AK134))</f>
        <v>189455.36726347715</v>
      </c>
    </row>
    <row r="135" spans="1:43">
      <c r="A135" s="10">
        <f>12</f>
        <v>12</v>
      </c>
      <c r="B135" s="11">
        <f>IF($A135&gt;'1-Input'!$B$26,0,IF(G134&lt;=0,0,MAX(0,(G134-H134)/G134)))</f>
        <v>0.42127387107723846</v>
      </c>
      <c r="C135" s="18">
        <f>IF($A135&gt;'1-Input'!$B$26,0,(MAX(0,B121-IF($A135&gt;='1-Input'!$C$12,'1-Input'!$B$12,0))-MIN(MAX(F134,0),MAX(0,B121-IF($A135&gt;='1-Input'!$C$12,'1-Input'!$B$12,0))))*(1/(1-'P-Parametri'!$B$6*B135))+MIN(MAX(0,G134-(MAX(0,B121-IF($A135&gt;='1-Input'!$C$12,'1-Input'!$B$12,0))-MIN(MAX(F134,0),MAX(0,B121-IF($A135&gt;='1-Input'!$C$12,'1-Input'!$B$12,0))))*(1/(1-'P-Parametri'!$B$6*B135))),MAX(0,0*B121-(F134-MIN(MAX(F134,0),MAX(0,B121-IF($A135&gt;='1-Input'!$C$12,'1-Input'!$B$12,0)))))*(1/(1-'P-Parametri'!$B$6*B135))))</f>
        <v>18732.891524123559</v>
      </c>
      <c r="D135" s="18">
        <f>IF($A135&gt;'1-Input'!$B$26,F134,(F134-MAX(0,B121-IF($A135&gt;='1-Input'!$C$12,'1-Input'!$B$12,0))+C135*(1-'P-Parametri'!$B$6*B135))*(1+ROUND('3-Liquidita'!$F$11,4)))</f>
        <v>0</v>
      </c>
      <c r="E135" s="18">
        <f>IF($A135&gt;'1-Input'!$B$26,G134,(G134-C135)*(1+'5-Roberta'!$C$4))</f>
        <v>349469.82361282047</v>
      </c>
      <c r="F135" s="18">
        <f>IF($A135&gt;'1-Input'!$B$26,D135,D135-'P-Parametri'!$B$8*(E135+D135)+MIN(MAX(E135,0),'P-Parametri'!$B$8*(E135+D135)))</f>
        <v>0</v>
      </c>
      <c r="G135" s="18">
        <f>IF($A135&gt;'1-Input'!$B$26,E135,E135-MIN(MAX(E135,0),'P-Parametri'!$B$8*(E135+D135)))</f>
        <v>348770.88396559481</v>
      </c>
      <c r="H135" s="18">
        <f>IF($A135&gt;'1-Input'!$B$26,H134,H134-C135*(1-B135))</f>
        <v>196356.61960657072</v>
      </c>
      <c r="I135" s="11">
        <f>IF($A135&gt;'1-Input'!$B$26,0,IF(N134&lt;=0,0,MAX(0,(N134-O134)/N134)))</f>
        <v>0.42127387107723896</v>
      </c>
      <c r="J135" s="18">
        <f>IF($A135&gt;'1-Input'!$B$26,0,(MAX(0,I121-IF($A135&gt;='1-Input'!$C$12,'1-Input'!$B$12,0))-MIN(MAX(M134,0),MAX(0,I121-IF($A135&gt;='1-Input'!$C$12,'1-Input'!$B$12,0))))*(1/(1-'P-Parametri'!$B$6*I135))+MIN(MAX(0,N134-(MAX(0,I121-IF($A135&gt;='1-Input'!$C$12,'1-Input'!$B$12,0))-MIN(MAX(M134,0),MAX(0,I121-IF($A135&gt;='1-Input'!$C$12,'1-Input'!$B$12,0))))*(1/(1-'P-Parametri'!$B$6*I135))),MAX(0,0*I121-(M134-MIN(MAX(M134,0),MAX(0,I121-IF($A135&gt;='1-Input'!$C$12,'1-Input'!$B$12,0)))))*(1/(1-'P-Parametri'!$B$6*I135))))</f>
        <v>24648.54147910995</v>
      </c>
      <c r="K135" s="18">
        <f>IF($A135&gt;'1-Input'!$B$26,M134,(M134-MAX(0,I121-IF($A135&gt;='1-Input'!$C$12,'1-Input'!$B$12,0))+J135*(1-'P-Parametri'!$B$6*I135))*(1+ROUND('3-Liquidita'!$F$11,4)))</f>
        <v>0</v>
      </c>
      <c r="L135" s="18">
        <f>IF($A135&gt;'1-Input'!$B$26,N134,(N134-J135)*(1+'5-Roberta'!$C$4))</f>
        <v>266489.37785618898</v>
      </c>
      <c r="M135" s="18">
        <f>IF($A135&gt;'1-Input'!$B$26,K135,K135-'P-Parametri'!$B$8*(L135+K135)+MIN(MAX(L135,0),'P-Parametri'!$B$8*(L135+K135)))</f>
        <v>0</v>
      </c>
      <c r="N135" s="18">
        <f>IF($A135&gt;'1-Input'!$B$26,L135,L135-MIN(MAX(L135,0),'P-Parametri'!$B$8*(L135+K135)))</f>
        <v>265956.39910047658</v>
      </c>
      <c r="O135" s="18">
        <f>IF($A135&gt;'1-Input'!$B$26,O134,O134-J135*(1-I135))</f>
        <v>149732.39421917204</v>
      </c>
      <c r="P135" s="11">
        <f>IF($A135&gt;'1-Input'!$B$26,0,IF(U134&lt;=0,0,MAX(0,(U134-V134)/U134)))</f>
        <v>0.42127387107723863</v>
      </c>
      <c r="Q135" s="18">
        <f>IF($A135&gt;'1-Input'!$B$26,0,(MAX(0,P121-IF($A135&gt;='1-Input'!$C$12,'1-Input'!$B$12,0))-MIN(MAX(T134,0),MAX(0,P121-IF($A135&gt;='1-Input'!$C$12,'1-Input'!$B$12,0))))*(1/(1-'P-Parametri'!$B$6*P135))+MIN(MAX(0,U134-(MAX(0,P121-IF($A135&gt;='1-Input'!$C$12,'1-Input'!$B$12,0))-MIN(MAX(T134,0),MAX(0,P121-IF($A135&gt;='1-Input'!$C$12,'1-Input'!$B$12,0))))*(1/(1-'P-Parametri'!$B$6*P135))),MAX(0,0*P121-(T134-MIN(MAX(T134,0),MAX(0,P121-IF($A135&gt;='1-Input'!$C$12,'1-Input'!$B$12,0)))))*(1/(1-'P-Parametri'!$B$6*P135))))</f>
        <v>21443.805491271582</v>
      </c>
      <c r="R135" s="18">
        <f>IF($A135&gt;'1-Input'!$B$26,T134,(T134-MAX(0,P121-IF($A135&gt;='1-Input'!$C$12,'1-Input'!$B$12,0))+Q135*(1-'P-Parametri'!$B$6*P135))*(1+ROUND('3-Liquidita'!$F$11,4)))</f>
        <v>-3.6216079024598004E-12</v>
      </c>
      <c r="S135" s="18">
        <f>IF($A135&gt;'1-Input'!$B$26,U134,(U134-Q135)*(1+'5-Roberta'!$C$4))</f>
        <v>311443.08925335988</v>
      </c>
      <c r="T135" s="18">
        <f>IF($A135&gt;'1-Input'!$B$26,R135,R135-'P-Parametri'!$B$8*(S135+R135)+MIN(MAX(S135,0),'P-Parametri'!$B$8*(S135+R135)))</f>
        <v>-3.637978807091713E-12</v>
      </c>
      <c r="U135" s="18">
        <f>IF($A135&gt;'1-Input'!$B$26,S135,S135-MIN(MAX(S135,0),'P-Parametri'!$B$8*(S135+R135)))</f>
        <v>310820.20307485317</v>
      </c>
      <c r="V135" s="18">
        <f>IF($A135&gt;'1-Input'!$B$26,V134,V134-Q135*(1-P135))</f>
        <v>174990.53730421653</v>
      </c>
      <c r="W135" s="11">
        <f>IF($A135&gt;'1-Input'!$B$26,0,IF(AB134&lt;=0,0,MAX(0,(AB134-AC134)/AB134)))</f>
        <v>0.42127387107723901</v>
      </c>
      <c r="X135" s="18">
        <f>IF($A135&gt;'1-Input'!$B$26,0,(MAX(0,W121-IF($A135&gt;='1-Input'!$C$12,'1-Input'!$B$12,0))-MIN(MAX(AA134,0),MAX(0,W121-IF($A135&gt;='1-Input'!$C$12,'1-Input'!$B$12,0))))*(1/(1-'P-Parametri'!$B$6*W135))+MIN(MAX(0,AB134-(MAX(0,W121-IF($A135&gt;='1-Input'!$C$12,'1-Input'!$B$12,0))-MIN(MAX(AA134,0),MAX(0,W121-IF($A135&gt;='1-Input'!$C$12,'1-Input'!$B$12,0))))*(1/(1-'P-Parametri'!$B$6*W135))),MAX(0,0*W121-(AA134-MIN(MAX(AA134,0),MAX(0,W121-IF($A135&gt;='1-Input'!$C$12,'1-Input'!$B$12,0)))))*(1/(1-'P-Parametri'!$B$6*W135))))</f>
        <v>21156.00650306715</v>
      </c>
      <c r="Y135" s="18">
        <f>IF($A135&gt;'1-Input'!$B$26,AA134,(AA134-MAX(0,W121-IF($A135&gt;='1-Input'!$C$12,'1-Input'!$B$12,0))+X135*(1-'P-Parametri'!$B$6*W135))*(1+ROUND('3-Liquidita'!$F$11,4)))</f>
        <v>0</v>
      </c>
      <c r="Z135" s="18">
        <f>IF($A135&gt;'1-Input'!$B$26,AB134,(AB134-X135)*(1+'5-Roberta'!$C$4))</f>
        <v>315480.124661343</v>
      </c>
      <c r="AA135" s="18">
        <f>IF($A135&gt;'1-Input'!$B$26,Y135,Y135-'P-Parametri'!$B$8*(Z135+Y135)+MIN(MAX(Z135,0),'P-Parametri'!$B$8*(Z135+Y135)))</f>
        <v>0</v>
      </c>
      <c r="AB135" s="18">
        <f>IF($A135&gt;'1-Input'!$B$26,Z135,Z135-MIN(MAX(Z135,0),'P-Parametri'!$B$8*(Z135+Y135)))</f>
        <v>314849.1644120203</v>
      </c>
      <c r="AC135" s="18">
        <f>IF($A135&gt;'1-Input'!$B$26,AC134,AC134-X135*(1-W135))</f>
        <v>177258.82650226125</v>
      </c>
      <c r="AD135" s="11">
        <f>IF($A135&gt;'1-Input'!$B$26,0,IF(AI134&lt;=0,0,MAX(0,(AI134-AJ134)/AI134)))</f>
        <v>0.42127387107723901</v>
      </c>
      <c r="AE135" s="18">
        <f>IF($A135&gt;'1-Input'!$B$26,0,(MAX(0,AD121-IF($A135&gt;='1-Input'!$C$12,'1-Input'!$B$12,0))-MIN(MAX(AH134,0),MAX(0,AD121-IF($A135&gt;='1-Input'!$C$12,'1-Input'!$B$12,0))))*(1/(1-'P-Parametri'!$B$6*AD135))+MIN(MAX(0,AI134-(MAX(0,AD121-IF($A135&gt;='1-Input'!$C$12,'1-Input'!$B$12,0))-MIN(MAX(AH134,0),MAX(0,AD121-IF($A135&gt;='1-Input'!$C$12,'1-Input'!$B$12,0))))*(1/(1-'P-Parametri'!$B$6*AD135))),MAX(0,0*AD121-(AH134-MIN(MAX(AH134,0),MAX(0,AD121-IF($A135&gt;='1-Input'!$C$12,'1-Input'!$B$12,0)))))*(1/(1-'P-Parametri'!$B$6*AD135))))</f>
        <v>21163.624361807091</v>
      </c>
      <c r="AF135" s="18">
        <f>IF($A135&gt;'1-Input'!$B$26,AH134,(AH134-MAX(0,AD121-IF($A135&gt;='1-Input'!$C$12,'1-Input'!$B$12,0))+AE135*(1-'P-Parametri'!$B$6*AD135))*(1+ROUND('3-Liquidita'!$F$11,4)))</f>
        <v>0</v>
      </c>
      <c r="AG135" s="18">
        <f>IF($A135&gt;'1-Input'!$B$26,AI134,(AI134-AE135)*(1+'5-Roberta'!$C$4))</f>
        <v>315373.26686570572</v>
      </c>
      <c r="AH135" s="18">
        <f>IF($A135&gt;'1-Input'!$B$26,AF135,AF135-'P-Parametri'!$B$8*(AG135+AF135)+MIN(MAX(AG135,0),'P-Parametri'!$B$8*(AG135+AF135)))</f>
        <v>0</v>
      </c>
      <c r="AI135" s="18">
        <f>IF($A135&gt;'1-Input'!$B$26,AG135,AG135-MIN(MAX(AG135,0),'P-Parametri'!$B$8*(AG135+AF135)))</f>
        <v>314742.52033197432</v>
      </c>
      <c r="AJ135" s="18">
        <f>IF($A135&gt;'1-Input'!$B$26,AJ134,AJ134-AE135*(1-AD135))</f>
        <v>177198.78630962592</v>
      </c>
      <c r="AK135" s="11">
        <f>IF($A135&gt;'1-Input'!$B$26,0,IF(AP134&lt;=0,0,MAX(0,(AP134-AQ134)/AP134)))</f>
        <v>0.42127387107723852</v>
      </c>
      <c r="AL135" s="18">
        <f>IF($A135&gt;'1-Input'!$B$26,0,(MAX(0,AK121-IF($A135&gt;='1-Input'!$C$12,'1-Input'!$B$12,0))-MIN(MAX(AO134,0),MAX(0,AK121-IF($A135&gt;='1-Input'!$C$12,'1-Input'!$B$12,0))))*(1/(1-'P-Parametri'!$B$6*AK135))+MIN(MAX(0,AP134-(MAX(0,AK121-IF($A135&gt;='1-Input'!$C$12,'1-Input'!$B$12,0))-MIN(MAX(AO134,0),MAX(0,AK121-IF($A135&gt;='1-Input'!$C$12,'1-Input'!$B$12,0))))*(1/(1-'P-Parametri'!$B$6*AK135))),MAX(0,0*AK121-(AO134-MIN(MAX(AO134,0),MAX(0,AK121-IF($A135&gt;='1-Input'!$C$12,'1-Input'!$B$12,0)))))*(1/(1-'P-Parametri'!$B$6*AK135))))</f>
        <v>21162.441448702106</v>
      </c>
      <c r="AM135" s="18">
        <f>IF($A135&gt;'1-Input'!$B$26,AO134,(AO134-MAX(0,AK121-IF($A135&gt;='1-Input'!$C$12,'1-Input'!$B$12,0))+AL135*(1-'P-Parametri'!$B$6*AK135))*(1+ROUND('3-Liquidita'!$F$11,4)))</f>
        <v>0</v>
      </c>
      <c r="AN135" s="18">
        <f>IF($A135&gt;'1-Input'!$B$26,AP134,(AP134-AL135)*(1+'5-Roberta'!$C$4))</f>
        <v>315389.8599125371</v>
      </c>
      <c r="AO135" s="18">
        <f>IF($A135&gt;'1-Input'!$B$26,AM135,AM135-'P-Parametri'!$B$8*(AN135+AM135)+MIN(MAX(AN135,0),'P-Parametri'!$B$8*(AN135+AM135)))</f>
        <v>0</v>
      </c>
      <c r="AP135" s="18">
        <f>IF($A135&gt;'1-Input'!$B$26,AN135,AN135-MIN(MAX(AN135,0),'P-Parametri'!$B$8*(AN135+AM135)))</f>
        <v>314759.08019271202</v>
      </c>
      <c r="AQ135" s="18">
        <f>IF($A135&gt;'1-Input'!$B$26,AQ134,AQ134-AL135*(1-AK135))</f>
        <v>177208.10944531517</v>
      </c>
    </row>
    <row r="136" spans="1:43">
      <c r="A136" s="10">
        <f>13</f>
        <v>13</v>
      </c>
      <c r="B136" s="11">
        <f>IF($A136&gt;'1-Input'!$B$26,0,IF(G135&lt;=0,0,MAX(0,(G135-H135)/G135)))</f>
        <v>0.43700397987940787</v>
      </c>
      <c r="C136" s="18">
        <f>IF($A136&gt;'1-Input'!$B$26,0,(MAX(0,B121-IF($A136&gt;='1-Input'!$C$12,'1-Input'!$B$12,0))-MIN(MAX(F135,0),MAX(0,B121-IF($A136&gt;='1-Input'!$C$12,'1-Input'!$B$12,0))))*(1/(1-'P-Parametri'!$B$6*B136))+MIN(MAX(0,G135-(MAX(0,B121-IF($A136&gt;='1-Input'!$C$12,'1-Input'!$B$12,0))-MIN(MAX(F135,0),MAX(0,B121-IF($A136&gt;='1-Input'!$C$12,'1-Input'!$B$12,0))))*(1/(1-'P-Parametri'!$B$6*B136))),MAX(0,0*B121-(F135-MIN(MAX(F135,0),MAX(0,B121-IF($A136&gt;='1-Input'!$C$12,'1-Input'!$B$12,0)))))*(1/(1-'P-Parametri'!$B$6*B136))))</f>
        <v>18819.326686381686</v>
      </c>
      <c r="D136" s="18">
        <f>IF($A136&gt;'1-Input'!$B$26,F135,(F135-MAX(0,B121-IF($A136&gt;='1-Input'!$C$12,'1-Input'!$B$12,0))+C136*(1-'P-Parametri'!$B$6*B136))*(1+ROUND('3-Liquidita'!$F$11,4)))</f>
        <v>0</v>
      </c>
      <c r="E136" s="18">
        <f>IF($A136&gt;'1-Input'!$B$26,G135,(G135-C136)*(1+'5-Roberta'!$C$4))</f>
        <v>339850.1039975895</v>
      </c>
      <c r="F136" s="18">
        <f>IF($A136&gt;'1-Input'!$B$26,D136,D136-'P-Parametri'!$B$8*(E136+D136)+MIN(MAX(E136,0),'P-Parametri'!$B$8*(E136+D136)))</f>
        <v>0</v>
      </c>
      <c r="G136" s="18">
        <f>IF($A136&gt;'1-Input'!$B$26,E136,E136-MIN(MAX(E136,0),'P-Parametri'!$B$8*(E136+D136)))</f>
        <v>339170.4037895943</v>
      </c>
      <c r="H136" s="18">
        <f>IF($A136&gt;'1-Input'!$B$26,H135,H135-C136*(1-B136))</f>
        <v>185761.41358078859</v>
      </c>
      <c r="I136" s="11">
        <f>IF($A136&gt;'1-Input'!$B$26,0,IF(N135&lt;=0,0,MAX(0,(N135-O135)/N135)))</f>
        <v>0.43700397987940826</v>
      </c>
      <c r="J136" s="18">
        <f>IF($A136&gt;'1-Input'!$B$26,0,(MAX(0,I121-IF($A136&gt;='1-Input'!$C$12,'1-Input'!$B$12,0))-MIN(MAX(M135,0),MAX(0,I121-IF($A136&gt;='1-Input'!$C$12,'1-Input'!$B$12,0))))*(1/(1-'P-Parametri'!$B$6*I136))+MIN(MAX(0,N135-(MAX(0,I121-IF($A136&gt;='1-Input'!$C$12,'1-Input'!$B$12,0))-MIN(MAX(M135,0),MAX(0,I121-IF($A136&gt;='1-Input'!$C$12,'1-Input'!$B$12,0))))*(1/(1-'P-Parametri'!$B$6*I136))),MAX(0,0*I121-(M135-MIN(MAX(M135,0),MAX(0,I121-IF($A136&gt;='1-Input'!$C$12,'1-Input'!$B$12,0)))))*(1/(1-'P-Parametri'!$B$6*I136))))</f>
        <v>24762.271955765384</v>
      </c>
      <c r="K136" s="18">
        <f>IF($A136&gt;'1-Input'!$B$26,M135,(M135-MAX(0,I121-IF($A136&gt;='1-Input'!$C$12,'1-Input'!$B$12,0))+J136*(1-'P-Parametri'!$B$6*I136))*(1+ROUND('3-Liquidita'!$F$11,4)))</f>
        <v>3.6216079024598004E-12</v>
      </c>
      <c r="L136" s="18">
        <f>IF($A136&gt;'1-Input'!$B$26,N135,(N135-J136)*(1+'5-Roberta'!$C$4))</f>
        <v>248429.95095905254</v>
      </c>
      <c r="M136" s="18">
        <f>IF($A136&gt;'1-Input'!$B$26,K136,K136-'P-Parametri'!$B$8*(L136+K136)+MIN(MAX(L136,0),'P-Parametri'!$B$8*(L136+K136)))</f>
        <v>3.637978807091713E-12</v>
      </c>
      <c r="N136" s="18">
        <f>IF($A136&gt;'1-Input'!$B$26,L136,L136-MIN(MAX(L136,0),'P-Parametri'!$B$8*(L136+K136)))</f>
        <v>247933.09105713444</v>
      </c>
      <c r="O136" s="18">
        <f>IF($A136&gt;'1-Input'!$B$26,O135,O135-J136*(1-I136))</f>
        <v>135791.33365893239</v>
      </c>
      <c r="P136" s="11">
        <f>IF($A136&gt;'1-Input'!$B$26,0,IF(U135&lt;=0,0,MAX(0,(U135-V135)/U135)))</f>
        <v>0.43700397987940798</v>
      </c>
      <c r="Q136" s="18">
        <f>IF($A136&gt;'1-Input'!$B$26,0,(MAX(0,P121-IF($A136&gt;='1-Input'!$C$12,'1-Input'!$B$12,0))-MIN(MAX(T135,0),MAX(0,P121-IF($A136&gt;='1-Input'!$C$12,'1-Input'!$B$12,0))))*(1/(1-'P-Parametri'!$B$6*P136))+MIN(MAX(0,U135-(MAX(0,P121-IF($A136&gt;='1-Input'!$C$12,'1-Input'!$B$12,0))-MIN(MAX(T135,0),MAX(0,P121-IF($A136&gt;='1-Input'!$C$12,'1-Input'!$B$12,0))))*(1/(1-'P-Parametri'!$B$6*P136))),MAX(0,0*P121-(T135-MIN(MAX(T135,0),MAX(0,P121-IF($A136&gt;='1-Input'!$C$12,'1-Input'!$B$12,0)))))*(1/(1-'P-Parametri'!$B$6*P136))))</f>
        <v>21542.749042227555</v>
      </c>
      <c r="R136" s="18">
        <f>IF($A136&gt;'1-Input'!$B$26,T135,(T135-MAX(0,P121-IF($A136&gt;='1-Input'!$C$12,'1-Input'!$B$12,0))+Q136*(1-'P-Parametri'!$B$6*P136))*(1+ROUND('3-Liquidita'!$F$11,4)))</f>
        <v>0</v>
      </c>
      <c r="S136" s="18">
        <f>IF($A136&gt;'1-Input'!$B$26,U135,(U135-Q136)*(1+'5-Roberta'!$C$4))</f>
        <v>297955.7776536044</v>
      </c>
      <c r="T136" s="18">
        <f>IF($A136&gt;'1-Input'!$B$26,R136,R136-'P-Parametri'!$B$8*(S136+R136)+MIN(MAX(S136,0),'P-Parametri'!$B$8*(S136+R136)))</f>
        <v>0</v>
      </c>
      <c r="U136" s="18">
        <f>IF($A136&gt;'1-Input'!$B$26,S136,S136-MIN(MAX(S136,0),'P-Parametri'!$B$8*(S136+R136)))</f>
        <v>297359.86609829718</v>
      </c>
      <c r="V136" s="18">
        <f>IF($A136&gt;'1-Input'!$B$26,V135,V135-Q136*(1-P136))</f>
        <v>162862.05533098572</v>
      </c>
      <c r="W136" s="11">
        <f>IF($A136&gt;'1-Input'!$B$26,0,IF(AB135&lt;=0,0,MAX(0,(AB135-AC135)/AB135)))</f>
        <v>0.43700397987940837</v>
      </c>
      <c r="X136" s="18">
        <f>IF($A136&gt;'1-Input'!$B$26,0,(MAX(0,W121-IF($A136&gt;='1-Input'!$C$12,'1-Input'!$B$12,0))-MIN(MAX(AA135,0),MAX(0,W121-IF($A136&gt;='1-Input'!$C$12,'1-Input'!$B$12,0))))*(1/(1-'P-Parametri'!$B$6*W136))+MIN(MAX(0,AB135-(MAX(0,W121-IF($A136&gt;='1-Input'!$C$12,'1-Input'!$B$12,0))-MIN(MAX(AA135,0),MAX(0,W121-IF($A136&gt;='1-Input'!$C$12,'1-Input'!$B$12,0))))*(1/(1-'P-Parametri'!$B$6*W136))),MAX(0,0*W121-(AA135-MIN(MAX(AA135,0),MAX(0,W121-IF($A136&gt;='1-Input'!$C$12,'1-Input'!$B$12,0)))))*(1/(1-'P-Parametri'!$B$6*W136))))</f>
        <v>21253.622124898502</v>
      </c>
      <c r="Y136" s="18">
        <f>IF($A136&gt;'1-Input'!$B$26,AA135,(AA135-MAX(0,W121-IF($A136&gt;='1-Input'!$C$12,'1-Input'!$B$12,0))+X136*(1-'P-Parametri'!$B$6*W136))*(1+ROUND('3-Liquidita'!$F$11,4)))</f>
        <v>3.6216079024598004E-12</v>
      </c>
      <c r="Z136" s="18">
        <f>IF($A136&gt;'1-Input'!$B$26,AB135,(AB135-X136)*(1+'5-Roberta'!$C$4))</f>
        <v>302403.40855573548</v>
      </c>
      <c r="AA136" s="18">
        <f>IF($A136&gt;'1-Input'!$B$26,Y136,Y136-'P-Parametri'!$B$8*(Z136+Y136)+MIN(MAX(Z136,0),'P-Parametri'!$B$8*(Z136+Y136)))</f>
        <v>3.637978807091713E-12</v>
      </c>
      <c r="AB136" s="18">
        <f>IF($A136&gt;'1-Input'!$B$26,Z136,Z136-MIN(MAX(Z136,0),'P-Parametri'!$B$8*(Z136+Y136)))</f>
        <v>301798.60173862404</v>
      </c>
      <c r="AC136" s="18">
        <f>IF($A136&gt;'1-Input'!$B$26,AC135,AC135-X136*(1-W136))</f>
        <v>165293.12183279643</v>
      </c>
      <c r="AD136" s="11">
        <f>IF($A136&gt;'1-Input'!$B$26,0,IF(AI135&lt;=0,0,MAX(0,(AI135-AJ135)/AI135)))</f>
        <v>0.43700397987940842</v>
      </c>
      <c r="AE136" s="18">
        <f>IF($A136&gt;'1-Input'!$B$26,0,(MAX(0,AD121-IF($A136&gt;='1-Input'!$C$12,'1-Input'!$B$12,0))-MIN(MAX(AH135,0),MAX(0,AD121-IF($A136&gt;='1-Input'!$C$12,'1-Input'!$B$12,0))))*(1/(1-'P-Parametri'!$B$6*AD136))+MIN(MAX(0,AI135-(MAX(0,AD121-IF($A136&gt;='1-Input'!$C$12,'1-Input'!$B$12,0))-MIN(MAX(AH135,0),MAX(0,AD121-IF($A136&gt;='1-Input'!$C$12,'1-Input'!$B$12,0))))*(1/(1-'P-Parametri'!$B$6*AD136))),MAX(0,0*AD121-(AH135-MIN(MAX(AH135,0),MAX(0,AD121-IF($A136&gt;='1-Input'!$C$12,'1-Input'!$B$12,0)))))*(1/(1-'P-Parametri'!$B$6*AD136))))</f>
        <v>21261.275133089632</v>
      </c>
      <c r="AF136" s="18">
        <f>IF($A136&gt;'1-Input'!$B$26,AH135,(AH135-MAX(0,AD121-IF($A136&gt;='1-Input'!$C$12,'1-Input'!$B$12,0))+AE136*(1-'P-Parametri'!$B$6*AD136))*(1+ROUND('3-Liquidita'!$F$11,4)))</f>
        <v>3.6216079024598004E-12</v>
      </c>
      <c r="AG136" s="18">
        <f>IF($A136&gt;'1-Input'!$B$26,AI135,(AI135-AE136)*(1+'5-Roberta'!$C$4))</f>
        <v>302285.68255485123</v>
      </c>
      <c r="AH136" s="18">
        <f>IF($A136&gt;'1-Input'!$B$26,AF136,AF136-'P-Parametri'!$B$8*(AG136+AF136)+MIN(MAX(AG136,0),'P-Parametri'!$B$8*(AG136+AF136)))</f>
        <v>3.637978807091713E-12</v>
      </c>
      <c r="AI136" s="18">
        <f>IF($A136&gt;'1-Input'!$B$26,AG136,AG136-MIN(MAX(AG136,0),'P-Parametri'!$B$8*(AG136+AF136)))</f>
        <v>301681.11118974152</v>
      </c>
      <c r="AJ136" s="18">
        <f>IF($A136&gt;'1-Input'!$B$26,AJ135,AJ135-AE136*(1-AD136))</f>
        <v>165228.77302700756</v>
      </c>
      <c r="AK136" s="11">
        <f>IF($A136&gt;'1-Input'!$B$26,0,IF(AP135&lt;=0,0,MAX(0,(AP135-AQ135)/AP135)))</f>
        <v>0.43700397987940787</v>
      </c>
      <c r="AL136" s="18">
        <f>IF($A136&gt;'1-Input'!$B$26,0,(MAX(0,AK121-IF($A136&gt;='1-Input'!$C$12,'1-Input'!$B$12,0))-MIN(MAX(AO135,0),MAX(0,AK121-IF($A136&gt;='1-Input'!$C$12,'1-Input'!$B$12,0))))*(1/(1-'P-Parametri'!$B$6*AK136))+MIN(MAX(0,AP135-(MAX(0,AK121-IF($A136&gt;='1-Input'!$C$12,'1-Input'!$B$12,0))-MIN(MAX(AO135,0),MAX(0,AK121-IF($A136&gt;='1-Input'!$C$12,'1-Input'!$B$12,0))))*(1/(1-'P-Parametri'!$B$6*AK136))),MAX(0,0*AK121-(AO135-MIN(MAX(AO135,0),MAX(0,AK121-IF($A136&gt;='1-Input'!$C$12,'1-Input'!$B$12,0)))))*(1/(1-'P-Parametri'!$B$6*AK136))))</f>
        <v>21260.086761922499</v>
      </c>
      <c r="AM136" s="18">
        <f>IF($A136&gt;'1-Input'!$B$26,AO135,(AO135-MAX(0,AK121-IF($A136&gt;='1-Input'!$C$12,'1-Input'!$B$12,0))+AL136*(1-'P-Parametri'!$B$6*AK136))*(1+ROUND('3-Liquidita'!$F$11,4)))</f>
        <v>3.6216079024598004E-12</v>
      </c>
      <c r="AN136" s="18">
        <f>IF($A136&gt;'1-Input'!$B$26,AP135,(AP135-AL136)*(1+'5-Roberta'!$C$4))</f>
        <v>302303.96323371318</v>
      </c>
      <c r="AO136" s="18">
        <f>IF($A136&gt;'1-Input'!$B$26,AM136,AM136-'P-Parametri'!$B$8*(AN136+AM136)+MIN(MAX(AN136,0),'P-Parametri'!$B$8*(AN136+AM136)))</f>
        <v>3.637978807091713E-12</v>
      </c>
      <c r="AP136" s="18">
        <f>IF($A136&gt;'1-Input'!$B$26,AN136,AN136-MIN(MAX(AN136,0),'P-Parametri'!$B$8*(AN136+AM136)))</f>
        <v>301699.35530724574</v>
      </c>
      <c r="AQ136" s="18">
        <f>IF($A136&gt;'1-Input'!$B$26,AQ135,AQ135-AL136*(1-AK136))</f>
        <v>165238.76521093433</v>
      </c>
    </row>
    <row r="137" spans="1:43">
      <c r="A137" s="10">
        <f>14</f>
        <v>14</v>
      </c>
      <c r="B137" s="11">
        <f>IF($A137&gt;'1-Input'!$B$26,0,IF(G136&lt;=0,0,MAX(0,(G136-H136)/G136)))</f>
        <v>0.45230653528358444</v>
      </c>
      <c r="C137" s="18">
        <f>IF($A137&gt;'1-Input'!$B$26,0,(MAX(0,B121-IF($A137&gt;='1-Input'!$C$12,'1-Input'!$B$12,0))-MIN(MAX(F136,0),MAX(0,B121-IF($A137&gt;='1-Input'!$C$12,'1-Input'!$B$12,0))))*(1/(1-'P-Parametri'!$B$6*B137))+MIN(MAX(0,G136-(MAX(0,B121-IF($A137&gt;='1-Input'!$C$12,'1-Input'!$B$12,0))-MIN(MAX(F136,0),MAX(0,B121-IF($A137&gt;='1-Input'!$C$12,'1-Input'!$B$12,0))))*(1/(1-'P-Parametri'!$B$6*B137))),MAX(0,0*B121-(F136-MIN(MAX(F136,0),MAX(0,B121-IF($A137&gt;='1-Input'!$C$12,'1-Input'!$B$12,0)))))*(1/(1-'P-Parametri'!$B$6*B137))))</f>
        <v>18904.181355112731</v>
      </c>
      <c r="D137" s="18">
        <f>IF($A137&gt;'1-Input'!$B$26,F136,(F136-MAX(0,B121-IF($A137&gt;='1-Input'!$C$12,'1-Input'!$B$12,0))+C137*(1-'P-Parametri'!$B$6*B137))*(1+ROUND('3-Liquidita'!$F$11,4)))</f>
        <v>0</v>
      </c>
      <c r="E137" s="18">
        <f>IF($A137&gt;'1-Input'!$B$26,G136,(G136-C137)*(1+'5-Roberta'!$C$4))</f>
        <v>329874.20910751598</v>
      </c>
      <c r="F137" s="18">
        <f>IF($A137&gt;'1-Input'!$B$26,D137,D137-'P-Parametri'!$B$8*(E137+D137)+MIN(MAX(E137,0),'P-Parametri'!$B$8*(E137+D137)))</f>
        <v>0</v>
      </c>
      <c r="G137" s="18">
        <f>IF($A137&gt;'1-Input'!$B$26,E137,E137-MIN(MAX(E137,0),'P-Parametri'!$B$8*(E137+D137)))</f>
        <v>329214.46068930096</v>
      </c>
      <c r="H137" s="18">
        <f>IF($A137&gt;'1-Input'!$B$26,H136,H136-C137*(1-B137))</f>
        <v>175407.71699677943</v>
      </c>
      <c r="I137" s="11">
        <f>IF($A137&gt;'1-Input'!$B$26,0,IF(N136&lt;=0,0,MAX(0,(N136-O136)/N136)))</f>
        <v>0.45230653528358494</v>
      </c>
      <c r="J137" s="18">
        <f>IF($A137&gt;'1-Input'!$B$26,0,(MAX(0,I121-IF($A137&gt;='1-Input'!$C$12,'1-Input'!$B$12,0))-MIN(MAX(M136,0),MAX(0,I121-IF($A137&gt;='1-Input'!$C$12,'1-Input'!$B$12,0))))*(1/(1-'P-Parametri'!$B$6*I137))+MIN(MAX(0,N136-(MAX(0,I121-IF($A137&gt;='1-Input'!$C$12,'1-Input'!$B$12,0))-MIN(MAX(M136,0),MAX(0,I121-IF($A137&gt;='1-Input'!$C$12,'1-Input'!$B$12,0))))*(1/(1-'P-Parametri'!$B$6*I137))),MAX(0,0*I121-(M136-MIN(MAX(M136,0),MAX(0,I121-IF($A137&gt;='1-Input'!$C$12,'1-Input'!$B$12,0)))))*(1/(1-'P-Parametri'!$B$6*I137))))</f>
        <v>24873.92283567465</v>
      </c>
      <c r="K137" s="18">
        <f>IF($A137&gt;'1-Input'!$B$26,M136,(M136-MAX(0,I121-IF($A137&gt;='1-Input'!$C$12,'1-Input'!$B$12,0))+J137*(1-'P-Parametri'!$B$6*I137))*(1+ROUND('3-Liquidita'!$F$11,4)))</f>
        <v>0</v>
      </c>
      <c r="L137" s="18">
        <f>IF($A137&gt;'1-Input'!$B$26,N136,(N136-J137)*(1+'5-Roberta'!$C$4))</f>
        <v>229750.94326810358</v>
      </c>
      <c r="M137" s="18">
        <f>IF($A137&gt;'1-Input'!$B$26,K137,K137-'P-Parametri'!$B$8*(L137+K137)+MIN(MAX(L137,0),'P-Parametri'!$B$8*(L137+K137)))</f>
        <v>0</v>
      </c>
      <c r="N137" s="18">
        <f>IF($A137&gt;'1-Input'!$B$26,L137,L137-MIN(MAX(L137,0),'P-Parametri'!$B$8*(L137+K137)))</f>
        <v>229291.44138156739</v>
      </c>
      <c r="O137" s="18">
        <f>IF($A137&gt;'1-Input'!$B$26,O136,O136-J137*(1-I137))</f>
        <v>122168.04867997298</v>
      </c>
      <c r="P137" s="11">
        <f>IF($A137&gt;'1-Input'!$B$26,0,IF(U136&lt;=0,0,MAX(0,(U136-V136)/U136)))</f>
        <v>0.45230653528358467</v>
      </c>
      <c r="Q137" s="18">
        <f>IF($A137&gt;'1-Input'!$B$26,0,(MAX(0,P121-IF($A137&gt;='1-Input'!$C$12,'1-Input'!$B$12,0))-MIN(MAX(T136,0),MAX(0,P121-IF($A137&gt;='1-Input'!$C$12,'1-Input'!$B$12,0))))*(1/(1-'P-Parametri'!$B$6*P137))+MIN(MAX(0,U136-(MAX(0,P121-IF($A137&gt;='1-Input'!$C$12,'1-Input'!$B$12,0))-MIN(MAX(T136,0),MAX(0,P121-IF($A137&gt;='1-Input'!$C$12,'1-Input'!$B$12,0))))*(1/(1-'P-Parametri'!$B$6*P137))),MAX(0,0*P121-(T136-MIN(MAX(T136,0),MAX(0,P121-IF($A137&gt;='1-Input'!$C$12,'1-Input'!$B$12,0)))))*(1/(1-'P-Parametri'!$B$6*P137))))</f>
        <v>21639.883379921852</v>
      </c>
      <c r="R137" s="18">
        <f>IF($A137&gt;'1-Input'!$B$26,T136,(T136-MAX(0,P121-IF($A137&gt;='1-Input'!$C$12,'1-Input'!$B$12,0))+Q137*(1-'P-Parametri'!$B$6*P137))*(1+ROUND('3-Liquidita'!$F$11,4)))</f>
        <v>0</v>
      </c>
      <c r="S137" s="18">
        <f>IF($A137&gt;'1-Input'!$B$26,U136,(U136-Q137)*(1+'5-Roberta'!$C$4))</f>
        <v>283991.5821999266</v>
      </c>
      <c r="T137" s="18">
        <f>IF($A137&gt;'1-Input'!$B$26,R137,R137-'P-Parametri'!$B$8*(S137+R137)+MIN(MAX(S137,0),'P-Parametri'!$B$8*(S137+R137)))</f>
        <v>0</v>
      </c>
      <c r="U137" s="18">
        <f>IF($A137&gt;'1-Input'!$B$26,S137,S137-MIN(MAX(S137,0),'P-Parametri'!$B$8*(S137+R137)))</f>
        <v>283423.59903552674</v>
      </c>
      <c r="V137" s="18">
        <f>IF($A137&gt;'1-Input'!$B$26,V136,V136-Q137*(1-P137))</f>
        <v>151010.03262657716</v>
      </c>
      <c r="W137" s="11">
        <f>IF($A137&gt;'1-Input'!$B$26,0,IF(AB136&lt;=0,0,MAX(0,(AB136-AC136)/AB136)))</f>
        <v>0.45230653528358511</v>
      </c>
      <c r="X137" s="18">
        <f>IF($A137&gt;'1-Input'!$B$26,0,(MAX(0,W121-IF($A137&gt;='1-Input'!$C$12,'1-Input'!$B$12,0))-MIN(MAX(AA136,0),MAX(0,W121-IF($A137&gt;='1-Input'!$C$12,'1-Input'!$B$12,0))))*(1/(1-'P-Parametri'!$B$6*W137))+MIN(MAX(0,AB136-(MAX(0,W121-IF($A137&gt;='1-Input'!$C$12,'1-Input'!$B$12,0))-MIN(MAX(AA136,0),MAX(0,W121-IF($A137&gt;='1-Input'!$C$12,'1-Input'!$B$12,0))))*(1/(1-'P-Parametri'!$B$6*W137))),MAX(0,0*W121-(AA136-MIN(MAX(AA136,0),MAX(0,W121-IF($A137&gt;='1-Input'!$C$12,'1-Input'!$B$12,0)))))*(1/(1-'P-Parametri'!$B$6*W137))))</f>
        <v>21349.452815060657</v>
      </c>
      <c r="Y137" s="18">
        <f>IF($A137&gt;'1-Input'!$B$26,AA136,(AA136-MAX(0,W121-IF($A137&gt;='1-Input'!$C$12,'1-Input'!$B$12,0))+X137*(1-'P-Parametri'!$B$6*W137))*(1+ROUND('3-Liquidita'!$F$11,4)))</f>
        <v>-3.6216079024598004E-12</v>
      </c>
      <c r="Z137" s="18">
        <f>IF($A137&gt;'1-Input'!$B$26,AB136,(AB136-X137)*(1+'5-Roberta'!$C$4))</f>
        <v>288862.62339127029</v>
      </c>
      <c r="AA137" s="18">
        <f>IF($A137&gt;'1-Input'!$B$26,Y137,Y137-'P-Parametri'!$B$8*(Z137+Y137)+MIN(MAX(Z137,0),'P-Parametri'!$B$8*(Z137+Y137)))</f>
        <v>-3.637978807091713E-12</v>
      </c>
      <c r="AB137" s="18">
        <f>IF($A137&gt;'1-Input'!$B$26,Z137,Z137-MIN(MAX(Z137,0),'P-Parametri'!$B$8*(Z137+Y137)))</f>
        <v>288284.89814448776</v>
      </c>
      <c r="AC137" s="18">
        <f>IF($A137&gt;'1-Input'!$B$26,AC136,AC136-X137*(1-W137))</f>
        <v>153600.16605071625</v>
      </c>
      <c r="AD137" s="11">
        <f>IF($A137&gt;'1-Input'!$B$26,0,IF(AI136&lt;=0,0,MAX(0,(AI136-AJ136)/AI136)))</f>
        <v>0.45230653528358505</v>
      </c>
      <c r="AE137" s="18">
        <f>IF($A137&gt;'1-Input'!$B$26,0,(MAX(0,AD121-IF($A137&gt;='1-Input'!$C$12,'1-Input'!$B$12,0))-MIN(MAX(AH136,0),MAX(0,AD121-IF($A137&gt;='1-Input'!$C$12,'1-Input'!$B$12,0))))*(1/(1-'P-Parametri'!$B$6*AD137))+MIN(MAX(0,AI136-(MAX(0,AD121-IF($A137&gt;='1-Input'!$C$12,'1-Input'!$B$12,0))-MIN(MAX(AH136,0),MAX(0,AD121-IF($A137&gt;='1-Input'!$C$12,'1-Input'!$B$12,0))))*(1/(1-'P-Parametri'!$B$6*AD137))),MAX(0,0*AD121-(AH136-MIN(MAX(AH136,0),MAX(0,AD121-IF($A137&gt;='1-Input'!$C$12,'1-Input'!$B$12,0)))))*(1/(1-'P-Parametri'!$B$6*AD137))))</f>
        <v>21357.14032998445</v>
      </c>
      <c r="AF137" s="18">
        <f>IF($A137&gt;'1-Input'!$B$26,AH136,(AH136-MAX(0,AD121-IF($A137&gt;='1-Input'!$C$12,'1-Input'!$B$12,0))+AE137*(1-'P-Parametri'!$B$6*AD137))*(1+ROUND('3-Liquidita'!$F$11,4)))</f>
        <v>0</v>
      </c>
      <c r="AG137" s="18">
        <f>IF($A137&gt;'1-Input'!$B$26,AI136,(AI136-AE137)*(1+'5-Roberta'!$C$4))</f>
        <v>288733.68998554983</v>
      </c>
      <c r="AH137" s="18">
        <f>IF($A137&gt;'1-Input'!$B$26,AF137,AF137-'P-Parametri'!$B$8*(AG137+AF137)+MIN(MAX(AG137,0),'P-Parametri'!$B$8*(AG137+AF137)))</f>
        <v>0</v>
      </c>
      <c r="AI137" s="18">
        <f>IF($A137&gt;'1-Input'!$B$26,AG137,AG137-MIN(MAX(AG137,0),'P-Parametri'!$B$8*(AG137+AF137)))</f>
        <v>288156.22260557872</v>
      </c>
      <c r="AJ137" s="18">
        <f>IF($A137&gt;'1-Input'!$B$26,AJ136,AJ136-AE137*(1-AD137))</f>
        <v>153531.6068432437</v>
      </c>
      <c r="AK137" s="11">
        <f>IF($A137&gt;'1-Input'!$B$26,0,IF(AP136&lt;=0,0,MAX(0,(AP136-AQ136)/AP136)))</f>
        <v>0.45230653528358439</v>
      </c>
      <c r="AL137" s="18">
        <f>IF($A137&gt;'1-Input'!$B$26,0,(MAX(0,AK121-IF($A137&gt;='1-Input'!$C$12,'1-Input'!$B$12,0))-MIN(MAX(AO136,0),MAX(0,AK121-IF($A137&gt;='1-Input'!$C$12,'1-Input'!$B$12,0))))*(1/(1-'P-Parametri'!$B$6*AK137))+MIN(MAX(0,AP136-(MAX(0,AK121-IF($A137&gt;='1-Input'!$C$12,'1-Input'!$B$12,0))-MIN(MAX(AO136,0),MAX(0,AK121-IF($A137&gt;='1-Input'!$C$12,'1-Input'!$B$12,0))))*(1/(1-'P-Parametri'!$B$6*AK137))),MAX(0,0*AK121-(AO136-MIN(MAX(AO136,0),MAX(0,AK121-IF($A137&gt;='1-Input'!$C$12,'1-Input'!$B$12,0)))))*(1/(1-'P-Parametri'!$B$6*AK137))))</f>
        <v>21355.946600557512</v>
      </c>
      <c r="AM137" s="18">
        <f>IF($A137&gt;'1-Input'!$B$26,AO136,(AO136-MAX(0,AK121-IF($A137&gt;='1-Input'!$C$12,'1-Input'!$B$12,0))+AL137*(1-'P-Parametri'!$B$6*AK137))*(1+ROUND('3-Liquidita'!$F$11,4)))</f>
        <v>0</v>
      </c>
      <c r="AN137" s="18">
        <f>IF($A137&gt;'1-Input'!$B$26,AP136,(AP136-AL137)*(1+'5-Roberta'!$C$4))</f>
        <v>288753.71096788888</v>
      </c>
      <c r="AO137" s="18">
        <f>IF($A137&gt;'1-Input'!$B$26,AM137,AM137-'P-Parametri'!$B$8*(AN137+AM137)+MIN(MAX(AN137,0),'P-Parametri'!$B$8*(AN137+AM137)))</f>
        <v>0</v>
      </c>
      <c r="AP137" s="18">
        <f>IF($A137&gt;'1-Input'!$B$26,AN137,AN137-MIN(MAX(AN137,0),'P-Parametri'!$B$8*(AN137+AM137)))</f>
        <v>288176.20354595309</v>
      </c>
      <c r="AQ137" s="18">
        <f>IF($A137&gt;'1-Input'!$B$26,AQ136,AQ136-AL137*(1-AK137))</f>
        <v>153542.25282497623</v>
      </c>
    </row>
    <row r="138" spans="1:43">
      <c r="A138" s="10">
        <f>15</f>
        <v>15</v>
      </c>
      <c r="B138" s="11">
        <f>IF($A138&gt;'1-Input'!$B$26,0,IF(G137&lt;=0,0,MAX(0,(G137-H137)/G137)))</f>
        <v>0.46719315843685855</v>
      </c>
      <c r="C138" s="18">
        <f>IF($A138&gt;'1-Input'!$B$26,0,(MAX(0,B121-IF($A138&gt;='1-Input'!$C$12,'1-Input'!$B$12,0))-MIN(MAX(F137,0),MAX(0,B121-IF($A138&gt;='1-Input'!$C$12,'1-Input'!$B$12,0))))*(1/(1-'P-Parametri'!$B$6*B138))+MIN(MAX(0,G137-(MAX(0,B121-IF($A138&gt;='1-Input'!$C$12,'1-Input'!$B$12,0))-MIN(MAX(F137,0),MAX(0,B121-IF($A138&gt;='1-Input'!$C$12,'1-Input'!$B$12,0))))*(1/(1-'P-Parametri'!$B$6*B138))),MAX(0,0*B121-(F137-MIN(MAX(F137,0),MAX(0,B121-IF($A138&gt;='1-Input'!$C$12,'1-Input'!$B$12,0)))))*(1/(1-'P-Parametri'!$B$6*B138))))</f>
        <v>18987.467149137421</v>
      </c>
      <c r="D138" s="18">
        <f>IF($A138&gt;'1-Input'!$B$26,F137,(F137-MAX(0,B121-IF($A138&gt;='1-Input'!$C$12,'1-Input'!$B$12,0))+C138*(1-'P-Parametri'!$B$6*B138))*(1+ROUND('3-Liquidita'!$F$11,4)))</f>
        <v>0</v>
      </c>
      <c r="E138" s="18">
        <f>IF($A138&gt;'1-Input'!$B$26,G137,(G137-C138)*(1+'5-Roberta'!$C$4))</f>
        <v>319533.80334636848</v>
      </c>
      <c r="F138" s="18">
        <f>IF($A138&gt;'1-Input'!$B$26,D138,D138-'P-Parametri'!$B$8*(E138+D138)+MIN(MAX(E138,0),'P-Parametri'!$B$8*(E138+D138)))</f>
        <v>0</v>
      </c>
      <c r="G138" s="18">
        <f>IF($A138&gt;'1-Input'!$B$26,E138,E138-MIN(MAX(E138,0),'P-Parametri'!$B$8*(E138+D138)))</f>
        <v>318894.73573967576</v>
      </c>
      <c r="H138" s="18">
        <f>IF($A138&gt;'1-Input'!$B$26,H137,H137-C138*(1-B138))</f>
        <v>165291.06459576363</v>
      </c>
      <c r="I138" s="11">
        <f>IF($A138&gt;'1-Input'!$B$26,0,IF(N137&lt;=0,0,MAX(0,(N137-O137)/N137)))</f>
        <v>0.4671931584368591</v>
      </c>
      <c r="J138" s="18">
        <f>IF($A138&gt;'1-Input'!$B$26,0,(MAX(0,I121-IF($A138&gt;='1-Input'!$C$12,'1-Input'!$B$12,0))-MIN(MAX(M137,0),MAX(0,I121-IF($A138&gt;='1-Input'!$C$12,'1-Input'!$B$12,0))))*(1/(1-'P-Parametri'!$B$6*I138))+MIN(MAX(0,N137-(MAX(0,I121-IF($A138&gt;='1-Input'!$C$12,'1-Input'!$B$12,0))-MIN(MAX(M137,0),MAX(0,I121-IF($A138&gt;='1-Input'!$C$12,'1-Input'!$B$12,0))))*(1/(1-'P-Parametri'!$B$6*I138))),MAX(0,0*I121-(M137-MIN(MAX(M137,0),MAX(0,I121-IF($A138&gt;='1-Input'!$C$12,'1-Input'!$B$12,0)))))*(1/(1-'P-Parametri'!$B$6*I138))))</f>
        <v>24983.509406759771</v>
      </c>
      <c r="K138" s="18">
        <f>IF($A138&gt;'1-Input'!$B$26,M137,(M137-MAX(0,I121-IF($A138&gt;='1-Input'!$C$12,'1-Input'!$B$12,0))+J138*(1-'P-Parametri'!$B$6*I138))*(1+ROUND('3-Liquidita'!$F$11,4)))</f>
        <v>0</v>
      </c>
      <c r="L138" s="18">
        <f>IF($A138&gt;'1-Input'!$B$26,N137,(N137-J138)*(1+'5-Roberta'!$C$4))</f>
        <v>210437.16993405184</v>
      </c>
      <c r="M138" s="18">
        <f>IF($A138&gt;'1-Input'!$B$26,K138,K138-'P-Parametri'!$B$8*(L138+K138)+MIN(MAX(L138,0),'P-Parametri'!$B$8*(L138+K138)))</f>
        <v>0</v>
      </c>
      <c r="N138" s="18">
        <f>IF($A138&gt;'1-Input'!$B$26,L138,L138-MIN(MAX(L138,0),'P-Parametri'!$B$8*(L138+K138)))</f>
        <v>210016.29559418373</v>
      </c>
      <c r="O138" s="18">
        <f>IF($A138&gt;'1-Input'!$B$26,O137,O137-J138*(1-I138))</f>
        <v>108856.66394179429</v>
      </c>
      <c r="P138" s="11">
        <f>IF($A138&gt;'1-Input'!$B$26,0,IF(U137&lt;=0,0,MAX(0,(U137-V137)/U137)))</f>
        <v>0.46719315843685877</v>
      </c>
      <c r="Q138" s="18">
        <f>IF($A138&gt;'1-Input'!$B$26,0,(MAX(0,P121-IF($A138&gt;='1-Input'!$C$12,'1-Input'!$B$12,0))-MIN(MAX(T137,0),MAX(0,P121-IF($A138&gt;='1-Input'!$C$12,'1-Input'!$B$12,0))))*(1/(1-'P-Parametri'!$B$6*P138))+MIN(MAX(0,U137-(MAX(0,P121-IF($A138&gt;='1-Input'!$C$12,'1-Input'!$B$12,0))-MIN(MAX(T137,0),MAX(0,P121-IF($A138&gt;='1-Input'!$C$12,'1-Input'!$B$12,0))))*(1/(1-'P-Parametri'!$B$6*P138))),MAX(0,0*P121-(T137-MIN(MAX(T137,0),MAX(0,P121-IF($A138&gt;='1-Input'!$C$12,'1-Input'!$B$12,0)))))*(1/(1-'P-Parametri'!$B$6*P138))))</f>
        <v>21735.221804582645</v>
      </c>
      <c r="R138" s="18">
        <f>IF($A138&gt;'1-Input'!$B$26,T137,(T137-MAX(0,P121-IF($A138&gt;='1-Input'!$C$12,'1-Input'!$B$12,0))+Q138*(1-'P-Parametri'!$B$6*P138))*(1+ROUND('3-Liquidita'!$F$11,4)))</f>
        <v>-3.6216079024598004E-12</v>
      </c>
      <c r="S138" s="18">
        <f>IF($A138&gt;'1-Input'!$B$26,U137,(U137-Q138)*(1+'5-Roberta'!$C$4))</f>
        <v>269539.02854787244</v>
      </c>
      <c r="T138" s="18">
        <f>IF($A138&gt;'1-Input'!$B$26,R138,R138-'P-Parametri'!$B$8*(S138+R138)+MIN(MAX(S138,0),'P-Parametri'!$B$8*(S138+R138)))</f>
        <v>-3.637978807091713E-12</v>
      </c>
      <c r="U138" s="18">
        <f>IF($A138&gt;'1-Input'!$B$26,S138,S138-MIN(MAX(S138,0),'P-Parametri'!$B$8*(S138+R138)))</f>
        <v>268999.95049077668</v>
      </c>
      <c r="V138" s="18">
        <f>IF($A138&gt;'1-Input'!$B$26,V137,V137-Q138*(1-P138))</f>
        <v>139429.35774620317</v>
      </c>
      <c r="W138" s="11">
        <f>IF($A138&gt;'1-Input'!$B$26,0,IF(AB137&lt;=0,0,MAX(0,(AB137-AC137)/AB137)))</f>
        <v>0.46719315843685927</v>
      </c>
      <c r="X138" s="18">
        <f>IF($A138&gt;'1-Input'!$B$26,0,(MAX(0,W121-IF($A138&gt;='1-Input'!$C$12,'1-Input'!$B$12,0))-MIN(MAX(AA137,0),MAX(0,W121-IF($A138&gt;='1-Input'!$C$12,'1-Input'!$B$12,0))))*(1/(1-'P-Parametri'!$B$6*W138))+MIN(MAX(0,AB137-(MAX(0,W121-IF($A138&gt;='1-Input'!$C$12,'1-Input'!$B$12,0))-MIN(MAX(AA137,0),MAX(0,W121-IF($A138&gt;='1-Input'!$C$12,'1-Input'!$B$12,0))))*(1/(1-'P-Parametri'!$B$6*W138))),MAX(0,0*W121-(AA137-MIN(MAX(AA137,0),MAX(0,W121-IF($A138&gt;='1-Input'!$C$12,'1-Input'!$B$12,0)))))*(1/(1-'P-Parametri'!$B$6*W138))))</f>
        <v>21443.511695278405</v>
      </c>
      <c r="Y138" s="18">
        <f>IF($A138&gt;'1-Input'!$B$26,AA137,(AA137-MAX(0,W121-IF($A138&gt;='1-Input'!$C$12,'1-Input'!$B$12,0))+X138*(1-'P-Parametri'!$B$6*W138))*(1+ROUND('3-Liquidita'!$F$11,4)))</f>
        <v>0</v>
      </c>
      <c r="Z138" s="18">
        <f>IF($A138&gt;'1-Input'!$B$26,AB137,(AB137-X138)*(1+'5-Roberta'!$C$4))</f>
        <v>274846.62804268562</v>
      </c>
      <c r="AA138" s="18">
        <f>IF($A138&gt;'1-Input'!$B$26,Y138,Y138-'P-Parametri'!$B$8*(Z138+Y138)+MIN(MAX(Z138,0),'P-Parametri'!$B$8*(Z138+Y138)))</f>
        <v>0</v>
      </c>
      <c r="AB138" s="18">
        <f>IF($A138&gt;'1-Input'!$B$26,Z138,Z138-MIN(MAX(Z138,0),'P-Parametri'!$B$8*(Z138+Y138)))</f>
        <v>274296.93478660024</v>
      </c>
      <c r="AC138" s="18">
        <f>IF($A138&gt;'1-Input'!$B$26,AC137,AC137-X138*(1-W138))</f>
        <v>142174.9163123327</v>
      </c>
      <c r="AD138" s="11">
        <f>IF($A138&gt;'1-Input'!$B$26,0,IF(AI137&lt;=0,0,MAX(0,(AI137-AJ137)/AI137)))</f>
        <v>0.46719315843685921</v>
      </c>
      <c r="AE138" s="18">
        <f>IF($A138&gt;'1-Input'!$B$26,0,(MAX(0,AD121-IF($A138&gt;='1-Input'!$C$12,'1-Input'!$B$12,0))-MIN(MAX(AH137,0),MAX(0,AD121-IF($A138&gt;='1-Input'!$C$12,'1-Input'!$B$12,0))))*(1/(1-'P-Parametri'!$B$6*AD138))+MIN(MAX(0,AI137-(MAX(0,AD121-IF($A138&gt;='1-Input'!$C$12,'1-Input'!$B$12,0))-MIN(MAX(AH137,0),MAX(0,AD121-IF($A138&gt;='1-Input'!$C$12,'1-Input'!$B$12,0))))*(1/(1-'P-Parametri'!$B$6*AD138))),MAX(0,0*AD121-(AH137-MIN(MAX(AH137,0),MAX(0,AD121-IF($A138&gt;='1-Input'!$C$12,'1-Input'!$B$12,0)))))*(1/(1-'P-Parametri'!$B$6*AD138))))</f>
        <v>21451.233078941201</v>
      </c>
      <c r="AF138" s="18">
        <f>IF($A138&gt;'1-Input'!$B$26,AH137,(AH137-MAX(0,AD121-IF($A138&gt;='1-Input'!$C$12,'1-Input'!$B$12,0))+AE138*(1-'P-Parametri'!$B$6*AD138))*(1+ROUND('3-Liquidita'!$F$11,4)))</f>
        <v>0</v>
      </c>
      <c r="AG138" s="18">
        <f>IF($A138&gt;'1-Input'!$B$26,AI137,(AI137-AE138)*(1+'5-Roberta'!$C$4))</f>
        <v>274706.13921243668</v>
      </c>
      <c r="AH138" s="18">
        <f>IF($A138&gt;'1-Input'!$B$26,AF138,AF138-'P-Parametri'!$B$8*(AG138+AF138)+MIN(MAX(AG138,0),'P-Parametri'!$B$8*(AG138+AF138)))</f>
        <v>0</v>
      </c>
      <c r="AI138" s="18">
        <f>IF($A138&gt;'1-Input'!$B$26,AG138,AG138-MIN(MAX(AG138,0),'P-Parametri'!$B$8*(AG138+AF138)))</f>
        <v>274156.72693401179</v>
      </c>
      <c r="AJ138" s="18">
        <f>IF($A138&gt;'1-Input'!$B$26,AJ137,AJ137-AE138*(1-AD138))</f>
        <v>142102.24309881826</v>
      </c>
      <c r="AK138" s="11">
        <f>IF($A138&gt;'1-Input'!$B$26,0,IF(AP137&lt;=0,0,MAX(0,(AP137-AQ137)/AP137)))</f>
        <v>0.46719315843685855</v>
      </c>
      <c r="AL138" s="18">
        <f>IF($A138&gt;'1-Input'!$B$26,0,(MAX(0,AK121-IF($A138&gt;='1-Input'!$C$12,'1-Input'!$B$12,0))-MIN(MAX(AO137,0),MAX(0,AK121-IF($A138&gt;='1-Input'!$C$12,'1-Input'!$B$12,0))))*(1/(1-'P-Parametri'!$B$6*AK138))+MIN(MAX(0,AP137-(MAX(0,AK121-IF($A138&gt;='1-Input'!$C$12,'1-Input'!$B$12,0))-MIN(MAX(AO137,0),MAX(0,AK121-IF($A138&gt;='1-Input'!$C$12,'1-Input'!$B$12,0))))*(1/(1-'P-Parametri'!$B$6*AK138))),MAX(0,0*AK121-(AO137-MIN(MAX(AO137,0),MAX(0,AK121-IF($A138&gt;='1-Input'!$C$12,'1-Input'!$B$12,0)))))*(1/(1-'P-Parametri'!$B$6*AK138))))</f>
        <v>21450.034090323119</v>
      </c>
      <c r="AM138" s="18">
        <f>IF($A138&gt;'1-Input'!$B$26,AO137,(AO137-MAX(0,AK121-IF($A138&gt;='1-Input'!$C$12,'1-Input'!$B$12,0))+AL138*(1-'P-Parametri'!$B$6*AK138))*(1+ROUND('3-Liquidita'!$F$11,4)))</f>
        <v>0</v>
      </c>
      <c r="AN138" s="18">
        <f>IF($A138&gt;'1-Input'!$B$26,AP137,(AP137-AL138)*(1+'5-Roberta'!$C$4))</f>
        <v>274727.95453929884</v>
      </c>
      <c r="AO138" s="18">
        <f>IF($A138&gt;'1-Input'!$B$26,AM138,AM138-'P-Parametri'!$B$8*(AN138+AM138)+MIN(MAX(AN138,0),'P-Parametri'!$B$8*(AN138+AM138)))</f>
        <v>0</v>
      </c>
      <c r="AP138" s="18">
        <f>IF($A138&gt;'1-Input'!$B$26,AN138,AN138-MIN(MAX(AN138,0),'P-Parametri'!$B$8*(AN138+AM138)))</f>
        <v>274178.49863022025</v>
      </c>
      <c r="AQ138" s="18">
        <f>IF($A138&gt;'1-Input'!$B$26,AQ137,AQ137-AL138*(1-AK138))</f>
        <v>142113.52790988944</v>
      </c>
    </row>
    <row r="139" spans="1:43">
      <c r="A139" s="10">
        <f>16</f>
        <v>16</v>
      </c>
      <c r="B139" s="11">
        <f>IF($A139&gt;'1-Input'!$B$26,0,IF(G138&lt;=0,0,MAX(0,(G138-H138)/G138)))</f>
        <v>0.48167515461686344</v>
      </c>
      <c r="C139" s="18">
        <f>IF($A139&gt;'1-Input'!$B$26,0,(MAX(0,B121-IF($A139&gt;='1-Input'!$C$12,'1-Input'!$B$12,0))-MIN(MAX(F138,0),MAX(0,B121-IF($A139&gt;='1-Input'!$C$12,'1-Input'!$B$12,0))))*(1/(1-'P-Parametri'!$B$6*B139))+MIN(MAX(0,G138-(MAX(0,B121-IF($A139&gt;='1-Input'!$C$12,'1-Input'!$B$12,0))-MIN(MAX(F138,0),MAX(0,B121-IF($A139&gt;='1-Input'!$C$12,'1-Input'!$B$12,0))))*(1/(1-'P-Parametri'!$B$6*B139))),MAX(0,0*B121-(F138-MIN(MAX(F138,0),MAX(0,B121-IF($A139&gt;='1-Input'!$C$12,'1-Input'!$B$12,0)))))*(1/(1-'P-Parametri'!$B$6*B139))))</f>
        <v>19069.196430827764</v>
      </c>
      <c r="D139" s="18">
        <f>IF($A139&gt;'1-Input'!$B$26,F138,(F138-MAX(0,B121-IF($A139&gt;='1-Input'!$C$12,'1-Input'!$B$12,0))+C139*(1-'P-Parametri'!$B$6*B139))*(1+ROUND('3-Liquidita'!$F$11,4)))</f>
        <v>3.6216079024598004E-12</v>
      </c>
      <c r="E139" s="18">
        <f>IF($A139&gt;'1-Input'!$B$26,G138,(G138-C139)*(1+'5-Roberta'!$C$4))</f>
        <v>308820.30548811343</v>
      </c>
      <c r="F139" s="18">
        <f>IF($A139&gt;'1-Input'!$B$26,D139,D139-'P-Parametri'!$B$8*(E139+D139)+MIN(MAX(E139,0),'P-Parametri'!$B$8*(E139+D139)))</f>
        <v>3.637978807091713E-12</v>
      </c>
      <c r="G139" s="18">
        <f>IF($A139&gt;'1-Input'!$B$26,E139,E139-MIN(MAX(E139,0),'P-Parametri'!$B$8*(E139+D139)))</f>
        <v>308202.66487713723</v>
      </c>
      <c r="H139" s="18">
        <f>IF($A139&gt;'1-Input'!$B$26,H138,H138-C139*(1-B139))</f>
        <v>155407.02630417416</v>
      </c>
      <c r="I139" s="11">
        <f>IF($A139&gt;'1-Input'!$B$26,0,IF(N138&lt;=0,0,MAX(0,(N138-O138)/N138)))</f>
        <v>0.48167515461686389</v>
      </c>
      <c r="J139" s="18">
        <f>IF($A139&gt;'1-Input'!$B$26,0,(MAX(0,I121-IF($A139&gt;='1-Input'!$C$12,'1-Input'!$B$12,0))-MIN(MAX(M138,0),MAX(0,I121-IF($A139&gt;='1-Input'!$C$12,'1-Input'!$B$12,0))))*(1/(1-'P-Parametri'!$B$6*I139))+MIN(MAX(0,N138-(MAX(0,I121-IF($A139&gt;='1-Input'!$C$12,'1-Input'!$B$12,0))-MIN(MAX(M138,0),MAX(0,I121-IF($A139&gt;='1-Input'!$C$12,'1-Input'!$B$12,0))))*(1/(1-'P-Parametri'!$B$6*I139))),MAX(0,0*I121-(M138-MIN(MAX(M138,0),MAX(0,I121-IF($A139&gt;='1-Input'!$C$12,'1-Input'!$B$12,0)))))*(1/(1-'P-Parametri'!$B$6*I139))))</f>
        <v>25091.047935299692</v>
      </c>
      <c r="K139" s="18">
        <f>IF($A139&gt;'1-Input'!$B$26,M138,(M138-MAX(0,I121-IF($A139&gt;='1-Input'!$C$12,'1-Input'!$B$12,0))+J139*(1-'P-Parametri'!$B$6*I139))*(1+ROUND('3-Liquidita'!$F$11,4)))</f>
        <v>0</v>
      </c>
      <c r="L139" s="18">
        <f>IF($A139&gt;'1-Input'!$B$26,N138,(N138-J139)*(1+'5-Roberta'!$C$4))</f>
        <v>190473.00508865056</v>
      </c>
      <c r="M139" s="18">
        <f>IF($A139&gt;'1-Input'!$B$26,K139,K139-'P-Parametri'!$B$8*(L139+K139)+MIN(MAX(L139,0),'P-Parametri'!$B$8*(L139+K139)))</f>
        <v>0</v>
      </c>
      <c r="N139" s="18">
        <f>IF($A139&gt;'1-Input'!$B$26,L139,L139-MIN(MAX(L139,0),'P-Parametri'!$B$8*(L139+K139)))</f>
        <v>190092.05907847325</v>
      </c>
      <c r="O139" s="18">
        <f>IF($A139&gt;'1-Input'!$B$26,O138,O138-J139*(1-I139))</f>
        <v>95851.350400229217</v>
      </c>
      <c r="P139" s="11">
        <f>IF($A139&gt;'1-Input'!$B$26,0,IF(U138&lt;=0,0,MAX(0,(U138-V138)/U138)))</f>
        <v>0.48167515461686361</v>
      </c>
      <c r="Q139" s="18">
        <f>IF($A139&gt;'1-Input'!$B$26,0,(MAX(0,P121-IF($A139&gt;='1-Input'!$C$12,'1-Input'!$B$12,0))-MIN(MAX(T138,0),MAX(0,P121-IF($A139&gt;='1-Input'!$C$12,'1-Input'!$B$12,0))))*(1/(1-'P-Parametri'!$B$6*P139))+MIN(MAX(0,U138-(MAX(0,P121-IF($A139&gt;='1-Input'!$C$12,'1-Input'!$B$12,0))-MIN(MAX(T138,0),MAX(0,P121-IF($A139&gt;='1-Input'!$C$12,'1-Input'!$B$12,0))))*(1/(1-'P-Parametri'!$B$6*P139))),MAX(0,0*P121-(T138-MIN(MAX(T138,0),MAX(0,P121-IF($A139&gt;='1-Input'!$C$12,'1-Input'!$B$12,0)))))*(1/(1-'P-Parametri'!$B$6*P139))))</f>
        <v>21828.778467591783</v>
      </c>
      <c r="R139" s="18">
        <f>IF($A139&gt;'1-Input'!$B$26,T138,(T138-MAX(0,P121-IF($A139&gt;='1-Input'!$C$12,'1-Input'!$B$12,0))+Q139*(1-'P-Parametri'!$B$6*P139))*(1+ROUND('3-Liquidita'!$F$11,4)))</f>
        <v>3.6216079024598004E-12</v>
      </c>
      <c r="S139" s="18">
        <f>IF($A139&gt;'1-Input'!$B$26,U138,(U138-Q139)*(1+'5-Roberta'!$C$4))</f>
        <v>254586.30718388045</v>
      </c>
      <c r="T139" s="18">
        <f>IF($A139&gt;'1-Input'!$B$26,R139,R139-'P-Parametri'!$B$8*(S139+R139)+MIN(MAX(S139,0),'P-Parametri'!$B$8*(S139+R139)))</f>
        <v>3.637978807091713E-12</v>
      </c>
      <c r="U139" s="18">
        <f>IF($A139&gt;'1-Input'!$B$26,S139,S139-MIN(MAX(S139,0),'P-Parametri'!$B$8*(S139+R139)))</f>
        <v>254077.13456951268</v>
      </c>
      <c r="V139" s="18">
        <f>IF($A139&gt;'1-Input'!$B$26,V138,V138-Q139*(1-P139))</f>
        <v>128114.95952208592</v>
      </c>
      <c r="W139" s="11">
        <f>IF($A139&gt;'1-Input'!$B$26,0,IF(AB138&lt;=0,0,MAX(0,(AB138-AC138)/AB138)))</f>
        <v>0.481675154616864</v>
      </c>
      <c r="X139" s="18">
        <f>IF($A139&gt;'1-Input'!$B$26,0,(MAX(0,W121-IF($A139&gt;='1-Input'!$C$12,'1-Input'!$B$12,0))-MIN(MAX(AA138,0),MAX(0,W121-IF($A139&gt;='1-Input'!$C$12,'1-Input'!$B$12,0))))*(1/(1-'P-Parametri'!$B$6*W139))+MIN(MAX(0,AB138-(MAX(0,W121-IF($A139&gt;='1-Input'!$C$12,'1-Input'!$B$12,0))-MIN(MAX(AA138,0),MAX(0,W121-IF($A139&gt;='1-Input'!$C$12,'1-Input'!$B$12,0))))*(1/(1-'P-Parametri'!$B$6*W139))),MAX(0,0*W121-(AA138-MIN(MAX(AA138,0),MAX(0,W121-IF($A139&gt;='1-Input'!$C$12,'1-Input'!$B$12,0)))))*(1/(1-'P-Parametri'!$B$6*W139))))</f>
        <v>21535.812727006749</v>
      </c>
      <c r="Y139" s="18">
        <f>IF($A139&gt;'1-Input'!$B$26,AA138,(AA138-MAX(0,W121-IF($A139&gt;='1-Input'!$C$12,'1-Input'!$B$12,0))+X139*(1-'P-Parametri'!$B$6*W139))*(1+ROUND('3-Liquidita'!$F$11,4)))</f>
        <v>0</v>
      </c>
      <c r="Z139" s="18">
        <f>IF($A139&gt;'1-Input'!$B$26,AB138,(AB138-X139)*(1+'5-Roberta'!$C$4))</f>
        <v>260343.95572138132</v>
      </c>
      <c r="AA139" s="18">
        <f>IF($A139&gt;'1-Input'!$B$26,Y139,Y139-'P-Parametri'!$B$8*(Z139+Y139)+MIN(MAX(Z139,0),'P-Parametri'!$B$8*(Z139+Y139)))</f>
        <v>0</v>
      </c>
      <c r="AB139" s="18">
        <f>IF($A139&gt;'1-Input'!$B$26,Z139,Z139-MIN(MAX(Z139,0),'P-Parametri'!$B$8*(Z139+Y139)))</f>
        <v>259823.26780993855</v>
      </c>
      <c r="AC139" s="18">
        <f>IF($A139&gt;'1-Input'!$B$26,AC138,AC138-X139*(1-W139))</f>
        <v>131012.36951040676</v>
      </c>
      <c r="AD139" s="11">
        <f>IF($A139&gt;'1-Input'!$B$26,0,IF(AI138&lt;=0,0,MAX(0,(AI138-AJ138)/AI138)))</f>
        <v>0.48167515461686417</v>
      </c>
      <c r="AE139" s="18">
        <f>IF($A139&gt;'1-Input'!$B$26,0,(MAX(0,AD121-IF($A139&gt;='1-Input'!$C$12,'1-Input'!$B$12,0))-MIN(MAX(AH138,0),MAX(0,AD121-IF($A139&gt;='1-Input'!$C$12,'1-Input'!$B$12,0))))*(1/(1-'P-Parametri'!$B$6*AD139))+MIN(MAX(0,AI138-(MAX(0,AD121-IF($A139&gt;='1-Input'!$C$12,'1-Input'!$B$12,0))-MIN(MAX(AH138,0),MAX(0,AD121-IF($A139&gt;='1-Input'!$C$12,'1-Input'!$B$12,0))))*(1/(1-'P-Parametri'!$B$6*AD139))),MAX(0,0*AD121-(AH138-MIN(MAX(AH138,0),MAX(0,AD121-IF($A139&gt;='1-Input'!$C$12,'1-Input'!$B$12,0)))))*(1/(1-'P-Parametri'!$B$6*AD139))))</f>
        <v>21543.567346442149</v>
      </c>
      <c r="AF139" s="18">
        <f>IF($A139&gt;'1-Input'!$B$26,AH138,(AH138-MAX(0,AD121-IF($A139&gt;='1-Input'!$C$12,'1-Input'!$B$12,0))+AE139*(1-'P-Parametri'!$B$6*AD139))*(1+ROUND('3-Liquidita'!$F$11,4)))</f>
        <v>0</v>
      </c>
      <c r="AG139" s="18">
        <f>IF($A139&gt;'1-Input'!$B$26,AI138,(AI138-AE139)*(1+'5-Roberta'!$C$4))</f>
        <v>260191.55437519675</v>
      </c>
      <c r="AH139" s="18">
        <f>IF($A139&gt;'1-Input'!$B$26,AF139,AF139-'P-Parametri'!$B$8*(AG139+AF139)+MIN(MAX(AG139,0),'P-Parametri'!$B$8*(AG139+AF139)))</f>
        <v>0</v>
      </c>
      <c r="AI139" s="18">
        <f>IF($A139&gt;'1-Input'!$B$26,AG139,AG139-MIN(MAX(AG139,0),'P-Parametri'!$B$8*(AG139+AF139)))</f>
        <v>259671.17126644636</v>
      </c>
      <c r="AJ139" s="18">
        <f>IF($A139&gt;'1-Input'!$B$26,AJ138,AJ138-AE139*(1-AD139))</f>
        <v>130935.67688497246</v>
      </c>
      <c r="AK139" s="11">
        <f>IF($A139&gt;'1-Input'!$B$26,0,IF(AP138&lt;=0,0,MAX(0,(AP138-AQ138)/AP138)))</f>
        <v>0.48167515461686339</v>
      </c>
      <c r="AL139" s="18">
        <f>IF($A139&gt;'1-Input'!$B$26,0,(MAX(0,AK121-IF($A139&gt;='1-Input'!$C$12,'1-Input'!$B$12,0))-MIN(MAX(AO138,0),MAX(0,AK121-IF($A139&gt;='1-Input'!$C$12,'1-Input'!$B$12,0))))*(1/(1-'P-Parametri'!$B$6*AK139))+MIN(MAX(0,AP138-(MAX(0,AK121-IF($A139&gt;='1-Input'!$C$12,'1-Input'!$B$12,0))-MIN(MAX(AO138,0),MAX(0,AK121-IF($A139&gt;='1-Input'!$C$12,'1-Input'!$B$12,0))))*(1/(1-'P-Parametri'!$B$6*AK139))),MAX(0,0*AK121-(AO138-MIN(MAX(AO138,0),MAX(0,AK121-IF($A139&gt;='1-Input'!$C$12,'1-Input'!$B$12,0)))))*(1/(1-'P-Parametri'!$B$6*AK139))))</f>
        <v>21542.363196920949</v>
      </c>
      <c r="AM139" s="18">
        <f>IF($A139&gt;'1-Input'!$B$26,AO138,(AO138-MAX(0,AK121-IF($A139&gt;='1-Input'!$C$12,'1-Input'!$B$12,0))+AL139*(1-'P-Parametri'!$B$6*AK139))*(1+ROUND('3-Liquidita'!$F$11,4)))</f>
        <v>3.6216079024598004E-12</v>
      </c>
      <c r="AN139" s="18">
        <f>IF($A139&gt;'1-Input'!$B$26,AP138,(AP138-AL139)*(1+'5-Roberta'!$C$4))</f>
        <v>260215.21949629829</v>
      </c>
      <c r="AO139" s="18">
        <f>IF($A139&gt;'1-Input'!$B$26,AM139,AM139-'P-Parametri'!$B$8*(AN139+AM139)+MIN(MAX(AN139,0),'P-Parametri'!$B$8*(AN139+AM139)))</f>
        <v>3.637978807091713E-12</v>
      </c>
      <c r="AP139" s="18">
        <f>IF($A139&gt;'1-Input'!$B$26,AN139,AN139-MIN(MAX(AN139,0),'P-Parametri'!$B$8*(AN139+AM139)))</f>
        <v>259694.78905730569</v>
      </c>
      <c r="AQ139" s="18">
        <f>IF($A139&gt;'1-Input'!$B$26,AQ138,AQ138-AL139*(1-AK139))</f>
        <v>130947.58583665802</v>
      </c>
    </row>
    <row r="140" spans="1:43">
      <c r="A140" s="10">
        <f>17</f>
        <v>17</v>
      </c>
      <c r="B140" s="11">
        <f>IF($A140&gt;'1-Input'!$B$26,0,IF(G139&lt;=0,0,MAX(0,(G139-H139)/G139)))</f>
        <v>0.4957635218172885</v>
      </c>
      <c r="C140" s="18">
        <f>IF($A140&gt;'1-Input'!$B$26,0,(MAX(0,B121-IF($A140&gt;='1-Input'!$C$12,'1-Input'!$B$12,0))-MIN(MAX(F139,0),MAX(0,B121-IF($A140&gt;='1-Input'!$C$12,'1-Input'!$B$12,0))))*(1/(1-'P-Parametri'!$B$6*B140))+MIN(MAX(0,G139-(MAX(0,B121-IF($A140&gt;='1-Input'!$C$12,'1-Input'!$B$12,0))-MIN(MAX(F139,0),MAX(0,B121-IF($A140&gt;='1-Input'!$C$12,'1-Input'!$B$12,0))))*(1/(1-'P-Parametri'!$B$6*B140))),MAX(0,0*B121-(F139-MIN(MAX(F139,0),MAX(0,B121-IF($A140&gt;='1-Input'!$C$12,'1-Input'!$B$12,0)))))*(1/(1-'P-Parametri'!$B$6*B140))))</f>
        <v>19149.382264574673</v>
      </c>
      <c r="D140" s="18">
        <f>IF($A140&gt;'1-Input'!$B$26,F139,(F139-MAX(0,B121-IF($A140&gt;='1-Input'!$C$12,'1-Input'!$B$12,0))+C140*(1-'P-Parametri'!$B$6*B140))*(1+ROUND('3-Liquidita'!$F$11,4)))</f>
        <v>-3.6216079024598004E-12</v>
      </c>
      <c r="E140" s="18">
        <f>IF($A140&gt;'1-Input'!$B$26,G139,(G139-C140)*(1+'5-Roberta'!$C$4))</f>
        <v>297724.88109093939</v>
      </c>
      <c r="F140" s="18">
        <f>IF($A140&gt;'1-Input'!$B$26,D140,D140-'P-Parametri'!$B$8*(E140+D140)+MIN(MAX(E140,0),'P-Parametri'!$B$8*(E140+D140)))</f>
        <v>-3.637978807091713E-12</v>
      </c>
      <c r="G140" s="18">
        <f>IF($A140&gt;'1-Input'!$B$26,E140,E140-MIN(MAX(E140,0),'P-Parametri'!$B$8*(E140+D140)))</f>
        <v>297129.43132875749</v>
      </c>
      <c r="H140" s="18">
        <f>IF($A140&gt;'1-Input'!$B$26,H139,H139-C140*(1-B140))</f>
        <v>145751.20923171056</v>
      </c>
      <c r="I140" s="11">
        <f>IF($A140&gt;'1-Input'!$B$26,0,IF(N139&lt;=0,0,MAX(0,(N139-O139)/N139)))</f>
        <v>0.49576352181728883</v>
      </c>
      <c r="J140" s="18">
        <f>IF($A140&gt;'1-Input'!$B$26,0,(MAX(0,I121-IF($A140&gt;='1-Input'!$C$12,'1-Input'!$B$12,0))-MIN(MAX(M139,0),MAX(0,I121-IF($A140&gt;='1-Input'!$C$12,'1-Input'!$B$12,0))))*(1/(1-'P-Parametri'!$B$6*I140))+MIN(MAX(0,N139-(MAX(0,I121-IF($A140&gt;='1-Input'!$C$12,'1-Input'!$B$12,0))-MIN(MAX(M139,0),MAX(0,I121-IF($A140&gt;='1-Input'!$C$12,'1-Input'!$B$12,0))))*(1/(1-'P-Parametri'!$B$6*I140))),MAX(0,0*I121-(M139-MIN(MAX(M139,0),MAX(0,I121-IF($A140&gt;='1-Input'!$C$12,'1-Input'!$B$12,0)))))*(1/(1-'P-Parametri'!$B$6*I140))))</f>
        <v>25196.555611282482</v>
      </c>
      <c r="K140" s="18">
        <f>IF($A140&gt;'1-Input'!$B$26,M139,(M139-MAX(0,I121-IF($A140&gt;='1-Input'!$C$12,'1-Input'!$B$12,0))+J140*(1-'P-Parametri'!$B$6*I140))*(1+ROUND('3-Liquidita'!$F$11,4)))</f>
        <v>0</v>
      </c>
      <c r="L140" s="18">
        <f>IF($A140&gt;'1-Input'!$B$26,N139,(N139-J140)*(1+'5-Roberta'!$C$4))</f>
        <v>169842.36857120652</v>
      </c>
      <c r="M140" s="18">
        <f>IF($A140&gt;'1-Input'!$B$26,K140,K140-'P-Parametri'!$B$8*(L140+K140)+MIN(MAX(L140,0),'P-Parametri'!$B$8*(L140+K140)))</f>
        <v>0</v>
      </c>
      <c r="N140" s="18">
        <f>IF($A140&gt;'1-Input'!$B$26,L140,L140-MIN(MAX(L140,0),'P-Parametri'!$B$8*(L140+K140)))</f>
        <v>169502.68383406411</v>
      </c>
      <c r="O140" s="18">
        <f>IF($A140&gt;'1-Input'!$B$26,O139,O139-J140*(1-I140))</f>
        <v>83146.327936461312</v>
      </c>
      <c r="P140" s="11">
        <f>IF($A140&gt;'1-Input'!$B$26,0,IF(U139&lt;=0,0,MAX(0,(U139-V139)/U139)))</f>
        <v>0.49576352181728855</v>
      </c>
      <c r="Q140" s="18">
        <f>IF($A140&gt;'1-Input'!$B$26,0,(MAX(0,P121-IF($A140&gt;='1-Input'!$C$12,'1-Input'!$B$12,0))-MIN(MAX(T139,0),MAX(0,P121-IF($A140&gt;='1-Input'!$C$12,'1-Input'!$B$12,0))))*(1/(1-'P-Parametri'!$B$6*P140))+MIN(MAX(0,U139-(MAX(0,P121-IF($A140&gt;='1-Input'!$C$12,'1-Input'!$B$12,0))-MIN(MAX(T139,0),MAX(0,P121-IF($A140&gt;='1-Input'!$C$12,'1-Input'!$B$12,0))))*(1/(1-'P-Parametri'!$B$6*P140))),MAX(0,0*P121-(T139-MIN(MAX(T139,0),MAX(0,P121-IF($A140&gt;='1-Input'!$C$12,'1-Input'!$B$12,0)))))*(1/(1-'P-Parametri'!$B$6*P140))))</f>
        <v>21920.568323942032</v>
      </c>
      <c r="R140" s="18">
        <f>IF($A140&gt;'1-Input'!$B$26,T139,(T139-MAX(0,P121-IF($A140&gt;='1-Input'!$C$12,'1-Input'!$B$12,0))+Q140*(1-'P-Parametri'!$B$6*P140))*(1+ROUND('3-Liquidita'!$F$11,4)))</f>
        <v>-3.6216079024598004E-12</v>
      </c>
      <c r="S140" s="18">
        <f>IF($A140&gt;'1-Input'!$B$26,U139,(U139-Q140)*(1+'5-Roberta'!$C$4))</f>
        <v>239121.26323293778</v>
      </c>
      <c r="T140" s="18">
        <f>IF($A140&gt;'1-Input'!$B$26,R140,R140-'P-Parametri'!$B$8*(S140+R140)+MIN(MAX(S140,0),'P-Parametri'!$B$8*(S140+R140)))</f>
        <v>-3.637978807091713E-12</v>
      </c>
      <c r="U140" s="18">
        <f>IF($A140&gt;'1-Input'!$B$26,S140,S140-MIN(MAX(S140,0),'P-Parametri'!$B$8*(S140+R140)))</f>
        <v>238643.0207064719</v>
      </c>
      <c r="V140" s="18">
        <f>IF($A140&gt;'1-Input'!$B$26,V139,V139-Q140*(1-P140))</f>
        <v>117061.80935065789</v>
      </c>
      <c r="W140" s="11">
        <f>IF($A140&gt;'1-Input'!$B$26,0,IF(AB139&lt;=0,0,MAX(0,(AB139-AC139)/AB139)))</f>
        <v>0.495763521817289</v>
      </c>
      <c r="X140" s="18">
        <f>IF($A140&gt;'1-Input'!$B$26,0,(MAX(0,W121-IF($A140&gt;='1-Input'!$C$12,'1-Input'!$B$12,0))-MIN(MAX(AA139,0),MAX(0,W121-IF($A140&gt;='1-Input'!$C$12,'1-Input'!$B$12,0))))*(1/(1-'P-Parametri'!$B$6*W140))+MIN(MAX(0,AB139-(MAX(0,W121-IF($A140&gt;='1-Input'!$C$12,'1-Input'!$B$12,0))-MIN(MAX(AA139,0),MAX(0,W121-IF($A140&gt;='1-Input'!$C$12,'1-Input'!$B$12,0))))*(1/(1-'P-Parametri'!$B$6*W140))),MAX(0,0*W121-(AA139-MIN(MAX(AA139,0),MAX(0,W121-IF($A140&gt;='1-Input'!$C$12,'1-Input'!$B$12,0)))))*(1/(1-'P-Parametri'!$B$6*W140))))</f>
        <v>21626.370664526385</v>
      </c>
      <c r="Y140" s="18">
        <f>IF($A140&gt;'1-Input'!$B$26,AA139,(AA139-MAX(0,W121-IF($A140&gt;='1-Input'!$C$12,'1-Input'!$B$12,0))+X140*(1-'P-Parametri'!$B$6*W140))*(1+ROUND('3-Liquidita'!$F$11,4)))</f>
        <v>0</v>
      </c>
      <c r="Z140" s="18">
        <f>IF($A140&gt;'1-Input'!$B$26,AB139,(AB139-X140)*(1+'5-Roberta'!$C$4))</f>
        <v>245342.80405977453</v>
      </c>
      <c r="AA140" s="18">
        <f>IF($A140&gt;'1-Input'!$B$26,Y140,Y140-'P-Parametri'!$B$8*(Z140+Y140)+MIN(MAX(Z140,0),'P-Parametri'!$B$8*(Z140+Y140)))</f>
        <v>0</v>
      </c>
      <c r="AB140" s="18">
        <f>IF($A140&gt;'1-Input'!$B$26,Z140,Z140-MIN(MAX(Z140,0),'P-Parametri'!$B$8*(Z140+Y140)))</f>
        <v>244852.11845165497</v>
      </c>
      <c r="AC140" s="18">
        <f>IF($A140&gt;'1-Input'!$B$26,AC139,AC139-X140*(1-W140))</f>
        <v>120107.56453065207</v>
      </c>
      <c r="AD140" s="11">
        <f>IF($A140&gt;'1-Input'!$B$26,0,IF(AI139&lt;=0,0,MAX(0,(AI139-AJ139)/AI139)))</f>
        <v>0.49576352181728911</v>
      </c>
      <c r="AE140" s="18">
        <f>IF($A140&gt;'1-Input'!$B$26,0,(MAX(0,AD121-IF($A140&gt;='1-Input'!$C$12,'1-Input'!$B$12,0))-MIN(MAX(AH139,0),MAX(0,AD121-IF($A140&gt;='1-Input'!$C$12,'1-Input'!$B$12,0))))*(1/(1-'P-Parametri'!$B$6*AD140))+MIN(MAX(0,AI139-(MAX(0,AD121-IF($A140&gt;='1-Input'!$C$12,'1-Input'!$B$12,0))-MIN(MAX(AH139,0),MAX(0,AD121-IF($A140&gt;='1-Input'!$C$12,'1-Input'!$B$12,0))))*(1/(1-'P-Parametri'!$B$6*AD140))),MAX(0,0*AD121-(AH139-MIN(MAX(AH139,0),MAX(0,AD121-IF($A140&gt;='1-Input'!$C$12,'1-Input'!$B$12,0)))))*(1/(1-'P-Parametri'!$B$6*AD140))))</f>
        <v>21634.157892080697</v>
      </c>
      <c r="AF140" s="18">
        <f>IF($A140&gt;'1-Input'!$B$26,AH139,(AH139-MAX(0,AD121-IF($A140&gt;='1-Input'!$C$12,'1-Input'!$B$12,0))+AE140*(1-'P-Parametri'!$B$6*AD140))*(1+ROUND('3-Liquidita'!$F$11,4)))</f>
        <v>0</v>
      </c>
      <c r="AG140" s="18">
        <f>IF($A140&gt;'1-Input'!$B$26,AI139,(AI139-AE140)*(1+'5-Roberta'!$C$4))</f>
        <v>245178.12377559664</v>
      </c>
      <c r="AH140" s="18">
        <f>IF($A140&gt;'1-Input'!$B$26,AF140,AF140-'P-Parametri'!$B$8*(AG140+AF140)+MIN(MAX(AG140,0),'P-Parametri'!$B$8*(AG140+AF140)))</f>
        <v>0</v>
      </c>
      <c r="AI140" s="18">
        <f>IF($A140&gt;'1-Input'!$B$26,AG140,AG140-MIN(MAX(AG140,0),'P-Parametri'!$B$8*(AG140+AF140)))</f>
        <v>244687.76752804546</v>
      </c>
      <c r="AJ140" s="18">
        <f>IF($A140&gt;'1-Input'!$B$26,AJ139,AJ139-AE140*(1-AD140))</f>
        <v>120026.94530102098</v>
      </c>
      <c r="AK140" s="11">
        <f>IF($A140&gt;'1-Input'!$B$26,0,IF(AP139&lt;=0,0,MAX(0,(AP139-AQ139)/AP139)))</f>
        <v>0.49576352181728839</v>
      </c>
      <c r="AL140" s="18">
        <f>IF($A140&gt;'1-Input'!$B$26,0,(MAX(0,AK121-IF($A140&gt;='1-Input'!$C$12,'1-Input'!$B$12,0))-MIN(MAX(AO139,0),MAX(0,AK121-IF($A140&gt;='1-Input'!$C$12,'1-Input'!$B$12,0))))*(1/(1-'P-Parametri'!$B$6*AK140))+MIN(MAX(0,AP139-(MAX(0,AK121-IF($A140&gt;='1-Input'!$C$12,'1-Input'!$B$12,0))-MIN(MAX(AO139,0),MAX(0,AK121-IF($A140&gt;='1-Input'!$C$12,'1-Input'!$B$12,0))))*(1/(1-'P-Parametri'!$B$6*AK140))),MAX(0,0*AK121-(AO139-MIN(MAX(AO139,0),MAX(0,AK121-IF($A140&gt;='1-Input'!$C$12,'1-Input'!$B$12,0)))))*(1/(1-'P-Parametri'!$B$6*AK140))))</f>
        <v>21632.948679119421</v>
      </c>
      <c r="AM140" s="18">
        <f>IF($A140&gt;'1-Input'!$B$26,AO139,(AO139-MAX(0,AK121-IF($A140&gt;='1-Input'!$C$12,'1-Input'!$B$12,0))+AL140*(1-'P-Parametri'!$B$6*AK140))*(1+ROUND('3-Liquidita'!$F$11,4)))</f>
        <v>0</v>
      </c>
      <c r="AN140" s="18">
        <f>IF($A140&gt;'1-Input'!$B$26,AP139,(AP139-AL140)*(1+'5-Roberta'!$C$4))</f>
        <v>245203.69558953185</v>
      </c>
      <c r="AO140" s="18">
        <f>IF($A140&gt;'1-Input'!$B$26,AM140,AM140-'P-Parametri'!$B$8*(AN140+AM140)+MIN(MAX(AN140,0),'P-Parametri'!$B$8*(AN140+AM140)))</f>
        <v>0</v>
      </c>
      <c r="AP140" s="18">
        <f>IF($A140&gt;'1-Input'!$B$26,AN140,AN140-MIN(MAX(AN140,0),'P-Parametri'!$B$8*(AN140+AM140)))</f>
        <v>244713.28819835279</v>
      </c>
      <c r="AQ140" s="18">
        <f>IF($A140&gt;'1-Input'!$B$26,AQ139,AQ139-AL140*(1-AK140))</f>
        <v>120039.4639819915</v>
      </c>
    </row>
    <row r="141" spans="1:43">
      <c r="A141" s="10">
        <f>18</f>
        <v>18</v>
      </c>
      <c r="B141" s="11">
        <f>IF($A141&gt;'1-Input'!$B$26,0,IF(G140&lt;=0,0,MAX(0,(G140-H140)/G140)))</f>
        <v>0.50946895910003343</v>
      </c>
      <c r="C141" s="18">
        <f>IF($A141&gt;'1-Input'!$B$26,0,(MAX(0,B121-IF($A141&gt;='1-Input'!$C$12,'1-Input'!$B$12,0))-MIN(MAX(F140,0),MAX(0,B121-IF($A141&gt;='1-Input'!$C$12,'1-Input'!$B$12,0))))*(1/(1-'P-Parametri'!$B$6*B141))+MIN(MAX(0,G140-(MAX(0,B121-IF($A141&gt;='1-Input'!$C$12,'1-Input'!$B$12,0))-MIN(MAX(F140,0),MAX(0,B121-IF($A141&gt;='1-Input'!$C$12,'1-Input'!$B$12,0))))*(1/(1-'P-Parametri'!$B$6*B141))),MAX(0,0*B121-(F140-MIN(MAX(F140,0),MAX(0,B121-IF($A141&gt;='1-Input'!$C$12,'1-Input'!$B$12,0)))))*(1/(1-'P-Parametri'!$B$6*B141))))</f>
        <v>19228.038375809145</v>
      </c>
      <c r="D141" s="18">
        <f>IF($A141&gt;'1-Input'!$B$26,F140,(F140-MAX(0,B121-IF($A141&gt;='1-Input'!$C$12,'1-Input'!$B$12,0))+C141*(1-'P-Parametri'!$B$6*B141))*(1+ROUND('3-Liquidita'!$F$11,4)))</f>
        <v>3.6216079024598004E-12</v>
      </c>
      <c r="E141" s="18">
        <f>IF($A141&gt;'1-Input'!$B$26,G140,(G140-C141)*(1+'5-Roberta'!$C$4))</f>
        <v>286238.4347415368</v>
      </c>
      <c r="F141" s="18">
        <f>IF($A141&gt;'1-Input'!$B$26,D141,D141-'P-Parametri'!$B$8*(E141+D141)+MIN(MAX(E141,0),'P-Parametri'!$B$8*(E141+D141)))</f>
        <v>3.637978807091713E-12</v>
      </c>
      <c r="G141" s="18">
        <f>IF($A141&gt;'1-Input'!$B$26,E141,E141-MIN(MAX(E141,0),'P-Parametri'!$B$8*(E141+D141)))</f>
        <v>285665.95787205372</v>
      </c>
      <c r="H141" s="18">
        <f>IF($A141&gt;'1-Input'!$B$26,H140,H140-C141*(1-B141))</f>
        <v>136319.2595527604</v>
      </c>
      <c r="I141" s="11">
        <f>IF($A141&gt;'1-Input'!$B$26,0,IF(N140&lt;=0,0,MAX(0,(N140-O140)/N140)))</f>
        <v>0.50946895910003398</v>
      </c>
      <c r="J141" s="18">
        <f>IF($A141&gt;'1-Input'!$B$26,0,(MAX(0,I121-IF($A141&gt;='1-Input'!$C$12,'1-Input'!$B$12,0))-MIN(MAX(M140,0),MAX(0,I121-IF($A141&gt;='1-Input'!$C$12,'1-Input'!$B$12,0))))*(1/(1-'P-Parametri'!$B$6*I141))+MIN(MAX(0,N140-(MAX(0,I121-IF($A141&gt;='1-Input'!$C$12,'1-Input'!$B$12,0))-MIN(MAX(M140,0),MAX(0,I121-IF($A141&gt;='1-Input'!$C$12,'1-Input'!$B$12,0))))*(1/(1-'P-Parametri'!$B$6*I141))),MAX(0,0*I121-(M140-MIN(MAX(M140,0),MAX(0,I121-IF($A141&gt;='1-Input'!$C$12,'1-Input'!$B$12,0)))))*(1/(1-'P-Parametri'!$B$6*I141))))</f>
        <v>25300.050494485713</v>
      </c>
      <c r="K141" s="18">
        <f>IF($A141&gt;'1-Input'!$B$26,M140,(M140-MAX(0,I121-IF($A141&gt;='1-Input'!$C$12,'1-Input'!$B$12,0))+J141*(1-'P-Parametri'!$B$6*I141))*(1+ROUND('3-Liquidita'!$F$11,4)))</f>
        <v>-3.6216079024598004E-12</v>
      </c>
      <c r="L141" s="18">
        <f>IF($A141&gt;'1-Input'!$B$26,N140,(N140-J141)*(1+'5-Roberta'!$C$4))</f>
        <v>148528.71233976577</v>
      </c>
      <c r="M141" s="18">
        <f>IF($A141&gt;'1-Input'!$B$26,K141,K141-'P-Parametri'!$B$8*(L141+K141)+MIN(MAX(L141,0),'P-Parametri'!$B$8*(L141+K141)))</f>
        <v>-3.637978807091713E-12</v>
      </c>
      <c r="N141" s="18">
        <f>IF($A141&gt;'1-Input'!$B$26,L141,L141-MIN(MAX(L141,0),'P-Parametri'!$B$8*(L141+K141)))</f>
        <v>148231.65491508623</v>
      </c>
      <c r="O141" s="18">
        <f>IF($A141&gt;'1-Input'!$B$26,O140,O140-J141*(1-I141))</f>
        <v>70735.867832579534</v>
      </c>
      <c r="P141" s="11">
        <f>IF($A141&gt;'1-Input'!$B$26,0,IF(U140&lt;=0,0,MAX(0,(U140-V140)/U140)))</f>
        <v>0.50946895910003365</v>
      </c>
      <c r="Q141" s="18">
        <f>IF($A141&gt;'1-Input'!$B$26,0,(MAX(0,P121-IF($A141&gt;='1-Input'!$C$12,'1-Input'!$B$12,0))-MIN(MAX(T140,0),MAX(0,P121-IF($A141&gt;='1-Input'!$C$12,'1-Input'!$B$12,0))))*(1/(1-'P-Parametri'!$B$6*P141))+MIN(MAX(0,U140-(MAX(0,P121-IF($A141&gt;='1-Input'!$C$12,'1-Input'!$B$12,0))-MIN(MAX(T140,0),MAX(0,P121-IF($A141&gt;='1-Input'!$C$12,'1-Input'!$B$12,0))))*(1/(1-'P-Parametri'!$B$6*P141))),MAX(0,0*P121-(T140-MIN(MAX(T140,0),MAX(0,P121-IF($A141&gt;='1-Input'!$C$12,'1-Input'!$B$12,0)))))*(1/(1-'P-Parametri'!$B$6*P141))))</f>
        <v>22010.607085328105</v>
      </c>
      <c r="R141" s="18">
        <f>IF($A141&gt;'1-Input'!$B$26,T140,(T140-MAX(0,P121-IF($A141&gt;='1-Input'!$C$12,'1-Input'!$B$12,0))+Q141*(1-'P-Parametri'!$B$6*P141))*(1+ROUND('3-Liquidita'!$F$11,4)))</f>
        <v>0</v>
      </c>
      <c r="S141" s="18">
        <f>IF($A141&gt;'1-Input'!$B$26,U140,(U140-Q141)*(1+'5-Roberta'!$C$4))</f>
        <v>223131.38602977811</v>
      </c>
      <c r="T141" s="18">
        <f>IF($A141&gt;'1-Input'!$B$26,R141,R141-'P-Parametri'!$B$8*(S141+R141)+MIN(MAX(S141,0),'P-Parametri'!$B$8*(S141+R141)))</f>
        <v>0</v>
      </c>
      <c r="U141" s="18">
        <f>IF($A141&gt;'1-Input'!$B$26,S141,S141-MIN(MAX(S141,0),'P-Parametri'!$B$8*(S141+R141)))</f>
        <v>222685.12325771854</v>
      </c>
      <c r="V141" s="18">
        <f>IF($A141&gt;'1-Input'!$B$26,V140,V140-Q141*(1-P141))</f>
        <v>106264.92334625171</v>
      </c>
      <c r="W141" s="11">
        <f>IF($A141&gt;'1-Input'!$B$26,0,IF(AB140&lt;=0,0,MAX(0,(AB140-AC140)/AB140)))</f>
        <v>0.50946895910003409</v>
      </c>
      <c r="X141" s="18">
        <f>IF($A141&gt;'1-Input'!$B$26,0,(MAX(0,W121-IF($A141&gt;='1-Input'!$C$12,'1-Input'!$B$12,0))-MIN(MAX(AA140,0),MAX(0,W121-IF($A141&gt;='1-Input'!$C$12,'1-Input'!$B$12,0))))*(1/(1-'P-Parametri'!$B$6*W141))+MIN(MAX(0,AB140-(MAX(0,W121-IF($A141&gt;='1-Input'!$C$12,'1-Input'!$B$12,0))-MIN(MAX(AA140,0),MAX(0,W121-IF($A141&gt;='1-Input'!$C$12,'1-Input'!$B$12,0))))*(1/(1-'P-Parametri'!$B$6*W141))),MAX(0,0*W121-(AA140-MIN(MAX(AA140,0),MAX(0,W121-IF($A141&gt;='1-Input'!$C$12,'1-Input'!$B$12,0)))))*(1/(1-'P-Parametri'!$B$6*W141))))</f>
        <v>21715.201008664088</v>
      </c>
      <c r="Y141" s="18">
        <f>IF($A141&gt;'1-Input'!$B$26,AA140,(AA140-MAX(0,W121-IF($A141&gt;='1-Input'!$C$12,'1-Input'!$B$12,0))+X141*(1-'P-Parametri'!$B$6*W141))*(1+ROUND('3-Liquidita'!$F$11,4)))</f>
        <v>0</v>
      </c>
      <c r="Z141" s="18">
        <f>IF($A141&gt;'1-Input'!$B$26,AB140,(AB140-X141)*(1+'5-Roberta'!$C$4))</f>
        <v>229831.02496628062</v>
      </c>
      <c r="AA141" s="18">
        <f>IF($A141&gt;'1-Input'!$B$26,Y141,Y141-'P-Parametri'!$B$8*(Z141+Y141)+MIN(MAX(Z141,0),'P-Parametri'!$B$8*(Z141+Y141)))</f>
        <v>0</v>
      </c>
      <c r="AB141" s="18">
        <f>IF($A141&gt;'1-Input'!$B$26,Z141,Z141-MIN(MAX(Z141,0),'P-Parametri'!$B$8*(Z141+Y141)))</f>
        <v>229371.36291634807</v>
      </c>
      <c r="AC141" s="18">
        <f>IF($A141&gt;'1-Input'!$B$26,AC140,AC140-X141*(1-W141))</f>
        <v>109455.58437652008</v>
      </c>
      <c r="AD141" s="11">
        <f>IF($A141&gt;'1-Input'!$B$26,0,IF(AI140&lt;=0,0,MAX(0,(AI140-AJ140)/AI140)))</f>
        <v>0.5094689591000342</v>
      </c>
      <c r="AE141" s="18">
        <f>IF($A141&gt;'1-Input'!$B$26,0,(MAX(0,AD121-IF($A141&gt;='1-Input'!$C$12,'1-Input'!$B$12,0))-MIN(MAX(AH140,0),MAX(0,AD121-IF($A141&gt;='1-Input'!$C$12,'1-Input'!$B$12,0))))*(1/(1-'P-Parametri'!$B$6*AD141))+MIN(MAX(0,AI140-(MAX(0,AD121-IF($A141&gt;='1-Input'!$C$12,'1-Input'!$B$12,0))-MIN(MAX(AH140,0),MAX(0,AD121-IF($A141&gt;='1-Input'!$C$12,'1-Input'!$B$12,0))))*(1/(1-'P-Parametri'!$B$6*AD141))),MAX(0,0*AD121-(AH140-MIN(MAX(AH140,0),MAX(0,AD121-IF($A141&gt;='1-Input'!$C$12,'1-Input'!$B$12,0)))))*(1/(1-'P-Parametri'!$B$6*AD141))))</f>
        <v>21723.020222265171</v>
      </c>
      <c r="AF141" s="18">
        <f>IF($A141&gt;'1-Input'!$B$26,AH140,(AH140-MAX(0,AD121-IF($A141&gt;='1-Input'!$C$12,'1-Input'!$B$12,0))+AE141*(1-'P-Parametri'!$B$6*AD141))*(1+ROUND('3-Liquidita'!$F$11,4)))</f>
        <v>0</v>
      </c>
      <c r="AG141" s="18">
        <f>IF($A141&gt;'1-Input'!$B$26,AI140,(AI140-AE141)*(1+'5-Roberta'!$C$4))</f>
        <v>229653.68972495373</v>
      </c>
      <c r="AH141" s="18">
        <f>IF($A141&gt;'1-Input'!$B$26,AF141,AF141-'P-Parametri'!$B$8*(AG141+AF141)+MIN(MAX(AG141,0),'P-Parametri'!$B$8*(AG141+AF141)))</f>
        <v>0</v>
      </c>
      <c r="AI141" s="18">
        <f>IF($A141&gt;'1-Input'!$B$26,AG141,AG141-MIN(MAX(AG141,0),'P-Parametri'!$B$8*(AG141+AF141)))</f>
        <v>229194.38234550381</v>
      </c>
      <c r="AJ141" s="18">
        <f>IF($A141&gt;'1-Input'!$B$26,AJ140,AJ140-AE141*(1-AD141))</f>
        <v>109371.12957990225</v>
      </c>
      <c r="AK141" s="11">
        <f>IF($A141&gt;'1-Input'!$B$26,0,IF(AP140&lt;=0,0,MAX(0,(AP140-AQ140)/AP140)))</f>
        <v>0.50946895910003343</v>
      </c>
      <c r="AL141" s="18">
        <f>IF($A141&gt;'1-Input'!$B$26,0,(MAX(0,AK121-IF($A141&gt;='1-Input'!$C$12,'1-Input'!$B$12,0))-MIN(MAX(AO140,0),MAX(0,AK121-IF($A141&gt;='1-Input'!$C$12,'1-Input'!$B$12,0))))*(1/(1-'P-Parametri'!$B$6*AK141))+MIN(MAX(0,AP140-(MAX(0,AK121-IF($A141&gt;='1-Input'!$C$12,'1-Input'!$B$12,0))-MIN(MAX(AO140,0),MAX(0,AK121-IF($A141&gt;='1-Input'!$C$12,'1-Input'!$B$12,0))))*(1/(1-'P-Parametri'!$B$6*AK141))),MAX(0,0*AK121-(AO140-MIN(MAX(AO140,0),MAX(0,AK121-IF($A141&gt;='1-Input'!$C$12,'1-Input'!$B$12,0)))))*(1/(1-'P-Parametri'!$B$6*AK141))))</f>
        <v>21721.806042460172</v>
      </c>
      <c r="AM141" s="18">
        <f>IF($A141&gt;'1-Input'!$B$26,AO140,(AO140-MAX(0,AK121-IF($A141&gt;='1-Input'!$C$12,'1-Input'!$B$12,0))+AL141*(1-'P-Parametri'!$B$6*AK141))*(1+ROUND('3-Liquidita'!$F$11,4)))</f>
        <v>0</v>
      </c>
      <c r="AN141" s="18">
        <f>IF($A141&gt;'1-Input'!$B$26,AP140,(AP140-AL141)*(1+'5-Roberta'!$C$4))</f>
        <v>229681.22662056942</v>
      </c>
      <c r="AO141" s="18">
        <f>IF($A141&gt;'1-Input'!$B$26,AM141,AM141-'P-Parametri'!$B$8*(AN141+AM141)+MIN(MAX(AN141,0),'P-Parametri'!$B$8*(AN141+AM141)))</f>
        <v>0</v>
      </c>
      <c r="AP141" s="18">
        <f>IF($A141&gt;'1-Input'!$B$26,AN141,AN141-MIN(MAX(AN141,0),'P-Parametri'!$B$8*(AN141+AM141)))</f>
        <v>229221.86416732828</v>
      </c>
      <c r="AQ141" s="18">
        <f>IF($A141&gt;'1-Input'!$B$26,AQ140,AQ140-AL141*(1-AK141))</f>
        <v>109384.24385375633</v>
      </c>
    </row>
    <row r="142" spans="1:43">
      <c r="A142" s="10">
        <f>19</f>
        <v>19</v>
      </c>
      <c r="B142" s="11">
        <f>IF($A142&gt;'1-Input'!$B$26,0,IF(G141&lt;=0,0,MAX(0,(G141-H141)/G141)))</f>
        <v>0.52280187472034689</v>
      </c>
      <c r="C142" s="18">
        <f>IF($A142&gt;'1-Input'!$B$26,0,(MAX(0,B121-IF($A142&gt;='1-Input'!$C$12,'1-Input'!$B$12,0))-MIN(MAX(F141,0),MAX(0,B121-IF($A142&gt;='1-Input'!$C$12,'1-Input'!$B$12,0))))*(1/(1-'P-Parametri'!$B$6*B142))+MIN(MAX(0,G141-(MAX(0,B121-IF($A142&gt;='1-Input'!$C$12,'1-Input'!$B$12,0))-MIN(MAX(F141,0),MAX(0,B121-IF($A142&gt;='1-Input'!$C$12,'1-Input'!$B$12,0))))*(1/(1-'P-Parametri'!$B$6*B142))),MAX(0,0*B121-(F141-MIN(MAX(F141,0),MAX(0,B121-IF($A142&gt;='1-Input'!$C$12,'1-Input'!$B$12,0)))))*(1/(1-'P-Parametri'!$B$6*B142))))</f>
        <v>19305.179110649275</v>
      </c>
      <c r="D142" s="18">
        <f>IF($A142&gt;'1-Input'!$B$26,F141,(F141-MAX(0,B121-IF($A142&gt;='1-Input'!$C$12,'1-Input'!$B$12,0))+C142*(1-'P-Parametri'!$B$6*B142))*(1+ROUND('3-Liquidita'!$F$11,4)))</f>
        <v>0</v>
      </c>
      <c r="E142" s="18">
        <f>IF($A142&gt;'1-Input'!$B$26,G141,(G141-C142)*(1+'5-Roberta'!$C$4))</f>
        <v>274351.60212424659</v>
      </c>
      <c r="F142" s="18">
        <f>IF($A142&gt;'1-Input'!$B$26,D142,D142-'P-Parametri'!$B$8*(E142+D142)+MIN(MAX(E142,0),'P-Parametri'!$B$8*(E142+D142)))</f>
        <v>0</v>
      </c>
      <c r="G142" s="18">
        <f>IF($A142&gt;'1-Input'!$B$26,E142,E142-MIN(MAX(E142,0),'P-Parametri'!$B$8*(E142+D142)))</f>
        <v>273802.89891999809</v>
      </c>
      <c r="H142" s="18">
        <f>IF($A142&gt;'1-Input'!$B$26,H141,H141-C142*(1-B142))</f>
        <v>127106.86427297065</v>
      </c>
      <c r="I142" s="11">
        <f>IF($A142&gt;'1-Input'!$B$26,0,IF(N141&lt;=0,0,MAX(0,(N141-O141)/N141)))</f>
        <v>0.52280187472034756</v>
      </c>
      <c r="J142" s="18">
        <f>IF($A142&gt;'1-Input'!$B$26,0,(MAX(0,I121-IF($A142&gt;='1-Input'!$C$12,'1-Input'!$B$12,0))-MIN(MAX(M141,0),MAX(0,I121-IF($A142&gt;='1-Input'!$C$12,'1-Input'!$B$12,0))))*(1/(1-'P-Parametri'!$B$6*I142))+MIN(MAX(0,N141-(MAX(0,I121-IF($A142&gt;='1-Input'!$C$12,'1-Input'!$B$12,0))-MIN(MAX(M141,0),MAX(0,I121-IF($A142&gt;='1-Input'!$C$12,'1-Input'!$B$12,0))))*(1/(1-'P-Parametri'!$B$6*I142))),MAX(0,0*I121-(M141-MIN(MAX(M141,0),MAX(0,I121-IF($A142&gt;='1-Input'!$C$12,'1-Input'!$B$12,0)))))*(1/(1-'P-Parametri'!$B$6*I142))))</f>
        <v>25401.551461380641</v>
      </c>
      <c r="K142" s="18">
        <f>IF($A142&gt;'1-Input'!$B$26,M141,(M141-MAX(0,I121-IF($A142&gt;='1-Input'!$C$12,'1-Input'!$B$12,0))+J142*(1-'P-Parametri'!$B$6*I142))*(1+ROUND('3-Liquidita'!$F$11,4)))</f>
        <v>0</v>
      </c>
      <c r="L142" s="18">
        <f>IF($A142&gt;'1-Input'!$B$26,N141,(N141-J142)*(1+'5-Roberta'!$C$4))</f>
        <v>126515.00655731675</v>
      </c>
      <c r="M142" s="18">
        <f>IF($A142&gt;'1-Input'!$B$26,K142,K142-'P-Parametri'!$B$8*(L142+K142)+MIN(MAX(L142,0),'P-Parametri'!$B$8*(L142+K142)))</f>
        <v>0</v>
      </c>
      <c r="N142" s="18">
        <f>IF($A142&gt;'1-Input'!$B$26,L142,L142-MIN(MAX(L142,0),'P-Parametri'!$B$8*(L142+K142)))</f>
        <v>126261.97654420212</v>
      </c>
      <c r="O142" s="18">
        <f>IF($A142&gt;'1-Input'!$B$26,O141,O141-J142*(1-I142))</f>
        <v>58614.295096014073</v>
      </c>
      <c r="P142" s="11">
        <f>IF($A142&gt;'1-Input'!$B$26,0,IF(U141&lt;=0,0,MAX(0,(U141-V141)/U141)))</f>
        <v>0.52280187472034712</v>
      </c>
      <c r="Q142" s="18">
        <f>IF($A142&gt;'1-Input'!$B$26,0,(MAX(0,P121-IF($A142&gt;='1-Input'!$C$12,'1-Input'!$B$12,0))-MIN(MAX(T141,0),MAX(0,P121-IF($A142&gt;='1-Input'!$C$12,'1-Input'!$B$12,0))))*(1/(1-'P-Parametri'!$B$6*P142))+MIN(MAX(0,U141-(MAX(0,P121-IF($A142&gt;='1-Input'!$C$12,'1-Input'!$B$12,0))-MIN(MAX(T141,0),MAX(0,P121-IF($A142&gt;='1-Input'!$C$12,'1-Input'!$B$12,0))))*(1/(1-'P-Parametri'!$B$6*P142))),MAX(0,0*P121-(T141-MIN(MAX(T141,0),MAX(0,P121-IF($A142&gt;='1-Input'!$C$12,'1-Input'!$B$12,0)))))*(1/(1-'P-Parametri'!$B$6*P142))))</f>
        <v>22098.911173954009</v>
      </c>
      <c r="R142" s="18">
        <f>IF($A142&gt;'1-Input'!$B$26,T141,(T141-MAX(0,P121-IF($A142&gt;='1-Input'!$C$12,'1-Input'!$B$12,0))+Q142*(1-'P-Parametri'!$B$6*P142))*(1+ROUND('3-Liquidita'!$F$11,4)))</f>
        <v>0</v>
      </c>
      <c r="S142" s="18">
        <f>IF($A142&gt;'1-Input'!$B$26,U141,(U141-Q142)*(1+'5-Roberta'!$C$4))</f>
        <v>206603.79844627748</v>
      </c>
      <c r="T142" s="18">
        <f>IF($A142&gt;'1-Input'!$B$26,R142,R142-'P-Parametri'!$B$8*(S142+R142)+MIN(MAX(S142,0),'P-Parametri'!$B$8*(S142+R142)))</f>
        <v>0</v>
      </c>
      <c r="U142" s="18">
        <f>IF($A142&gt;'1-Input'!$B$26,S142,S142-MIN(MAX(S142,0),'P-Parametri'!$B$8*(S142+R142)))</f>
        <v>206190.59084938493</v>
      </c>
      <c r="V142" s="18">
        <f>IF($A142&gt;'1-Input'!$B$26,V141,V141-Q142*(1-P142))</f>
        <v>95719.364363319284</v>
      </c>
      <c r="W142" s="11">
        <f>IF($A142&gt;'1-Input'!$B$26,0,IF(AB141&lt;=0,0,MAX(0,(AB141-AC141)/AB141)))</f>
        <v>0.52280187472034756</v>
      </c>
      <c r="X142" s="18">
        <f>IF($A142&gt;'1-Input'!$B$26,0,(MAX(0,W121-IF($A142&gt;='1-Input'!$C$12,'1-Input'!$B$12,0))-MIN(MAX(AA141,0),MAX(0,W121-IF($A142&gt;='1-Input'!$C$12,'1-Input'!$B$12,0))))*(1/(1-'P-Parametri'!$B$6*W142))+MIN(MAX(0,AB141-(MAX(0,W121-IF($A142&gt;='1-Input'!$C$12,'1-Input'!$B$12,0))-MIN(MAX(AA141,0),MAX(0,W121-IF($A142&gt;='1-Input'!$C$12,'1-Input'!$B$12,0))))*(1/(1-'P-Parametri'!$B$6*W142))),MAX(0,0*W121-(AA141-MIN(MAX(AA141,0),MAX(0,W121-IF($A142&gt;='1-Input'!$C$12,'1-Input'!$B$12,0)))))*(1/(1-'P-Parametri'!$B$6*W142))))</f>
        <v>21802.319961220226</v>
      </c>
      <c r="Y142" s="18">
        <f>IF($A142&gt;'1-Input'!$B$26,AA141,(AA141-MAX(0,W121-IF($A142&gt;='1-Input'!$C$12,'1-Input'!$B$12,0))+X142*(1-'P-Parametri'!$B$6*W142))*(1+ROUND('3-Liquidita'!$F$11,4)))</f>
        <v>0</v>
      </c>
      <c r="Z142" s="18">
        <f>IF($A142&gt;'1-Input'!$B$26,AB141,(AB141-X142)*(1+'5-Roberta'!$C$4))</f>
        <v>213796.11424378169</v>
      </c>
      <c r="AA142" s="18">
        <f>IF($A142&gt;'1-Input'!$B$26,Y142,Y142-'P-Parametri'!$B$8*(Z142+Y142)+MIN(MAX(Z142,0),'P-Parametri'!$B$8*(Z142+Y142)))</f>
        <v>0</v>
      </c>
      <c r="AB142" s="18">
        <f>IF($A142&gt;'1-Input'!$B$26,Z142,Z142-MIN(MAX(Z142,0),'P-Parametri'!$B$8*(Z142+Y142)))</f>
        <v>213368.52201529412</v>
      </c>
      <c r="AC142" s="18">
        <f>IF($A142&gt;'1-Input'!$B$26,AC141,AC141-X142*(1-W142))</f>
        <v>99051.558164278642</v>
      </c>
      <c r="AD142" s="11">
        <f>IF($A142&gt;'1-Input'!$B$26,0,IF(AI141&lt;=0,0,MAX(0,(AI141-AJ141)/AI141)))</f>
        <v>0.52280187472034778</v>
      </c>
      <c r="AE142" s="18">
        <f>IF($A142&gt;'1-Input'!$B$26,0,(MAX(0,AD121-IF($A142&gt;='1-Input'!$C$12,'1-Input'!$B$12,0))-MIN(MAX(AH141,0),MAX(0,AD121-IF($A142&gt;='1-Input'!$C$12,'1-Input'!$B$12,0))))*(1/(1-'P-Parametri'!$B$6*AD142))+MIN(MAX(0,AI141-(MAX(0,AD121-IF($A142&gt;='1-Input'!$C$12,'1-Input'!$B$12,0))-MIN(MAX(AH141,0),MAX(0,AD121-IF($A142&gt;='1-Input'!$C$12,'1-Input'!$B$12,0))))*(1/(1-'P-Parametri'!$B$6*AD142))),MAX(0,0*AD121-(AH141-MIN(MAX(AH141,0),MAX(0,AD121-IF($A142&gt;='1-Input'!$C$12,'1-Input'!$B$12,0)))))*(1/(1-'P-Parametri'!$B$6*AD142))))</f>
        <v>21810.170544629884</v>
      </c>
      <c r="AF142" s="18">
        <f>IF($A142&gt;'1-Input'!$B$26,AH141,(AH141-MAX(0,AD121-IF($A142&gt;='1-Input'!$C$12,'1-Input'!$B$12,0))+AE142*(1-'P-Parametri'!$B$6*AD142))*(1+ROUND('3-Liquidita'!$F$11,4)))</f>
        <v>0</v>
      </c>
      <c r="AG142" s="18">
        <f>IF($A142&gt;'1-Input'!$B$26,AI141,(AI141-AE142)*(1+'5-Roberta'!$C$4))</f>
        <v>213605.73815490014</v>
      </c>
      <c r="AH142" s="18">
        <f>IF($A142&gt;'1-Input'!$B$26,AF142,AF142-'P-Parametri'!$B$8*(AG142+AF142)+MIN(MAX(AG142,0),'P-Parametri'!$B$8*(AG142+AF142)))</f>
        <v>0</v>
      </c>
      <c r="AI142" s="18">
        <f>IF($A142&gt;'1-Input'!$B$26,AG142,AG142-MIN(MAX(AG142,0),'P-Parametri'!$B$8*(AG142+AF142)))</f>
        <v>213178.52667859034</v>
      </c>
      <c r="AJ142" s="18">
        <f>IF($A142&gt;'1-Input'!$B$26,AJ141,AJ141-AE142*(1-AD142))</f>
        <v>98963.357083975381</v>
      </c>
      <c r="AK142" s="11">
        <f>IF($A142&gt;'1-Input'!$B$26,0,IF(AP141&lt;=0,0,MAX(0,(AP141-AQ141)/AP141)))</f>
        <v>0.522801874720347</v>
      </c>
      <c r="AL142" s="18">
        <f>IF($A142&gt;'1-Input'!$B$26,0,(MAX(0,AK121-IF($A142&gt;='1-Input'!$C$12,'1-Input'!$B$12,0))-MIN(MAX(AO141,0),MAX(0,AK121-IF($A142&gt;='1-Input'!$C$12,'1-Input'!$B$12,0))))*(1/(1-'P-Parametri'!$B$6*AK142))+MIN(MAX(0,AP141-(MAX(0,AK121-IF($A142&gt;='1-Input'!$C$12,'1-Input'!$B$12,0))-MIN(MAX(AO141,0),MAX(0,AK121-IF($A142&gt;='1-Input'!$C$12,'1-Input'!$B$12,0))))*(1/(1-'P-Parametri'!$B$6*AK142))),MAX(0,0*AK121-(AO141-MIN(MAX(AO141,0),MAX(0,AK121-IF($A142&gt;='1-Input'!$C$12,'1-Input'!$B$12,0)))))*(1/(1-'P-Parametri'!$B$6*AK142))))</f>
        <v>21808.95149367159</v>
      </c>
      <c r="AM142" s="18">
        <f>IF($A142&gt;'1-Input'!$B$26,AO141,(AO141-MAX(0,AK121-IF($A142&gt;='1-Input'!$C$12,'1-Input'!$B$12,0))+AL142*(1-'P-Parametri'!$B$6*AK142))*(1+ROUND('3-Liquidita'!$F$11,4)))</f>
        <v>0</v>
      </c>
      <c r="AN142" s="18">
        <f>IF($A142&gt;'1-Input'!$B$26,AP141,(AP141-AL142)*(1+'5-Roberta'!$C$4))</f>
        <v>213635.30005386638</v>
      </c>
      <c r="AO142" s="18">
        <f>IF($A142&gt;'1-Input'!$B$26,AM142,AM142-'P-Parametri'!$B$8*(AN142+AM142)+MIN(MAX(AN142,0),'P-Parametri'!$B$8*(AN142+AM142)))</f>
        <v>0</v>
      </c>
      <c r="AP142" s="18">
        <f>IF($A142&gt;'1-Input'!$B$26,AN142,AN142-MIN(MAX(AN142,0),'P-Parametri'!$B$8*(AN142+AM142)))</f>
        <v>213208.02945375865</v>
      </c>
      <c r="AQ142" s="18">
        <f>IF($A142&gt;'1-Input'!$B$26,AQ141,AQ141-AL142*(1-AK142))</f>
        <v>98977.053086661355</v>
      </c>
    </row>
    <row r="143" spans="1:43">
      <c r="A143" s="10">
        <f>20</f>
        <v>20</v>
      </c>
      <c r="B143" s="11">
        <f>IF($A143&gt;'1-Input'!$B$26,0,IF(G142&lt;=0,0,MAX(0,(G142-H142)/G142)))</f>
        <v>0.53577239403111743</v>
      </c>
      <c r="C143" s="18">
        <f>IF($A143&gt;'1-Input'!$B$26,0,(MAX(0,B121-IF($A143&gt;='1-Input'!$C$12,'1-Input'!$B$12,0))-MIN(MAX(F142,0),MAX(0,B121-IF($A143&gt;='1-Input'!$C$12,'1-Input'!$B$12,0))))*(1/(1-'P-Parametri'!$B$6*B143))+MIN(MAX(0,G142-(MAX(0,B121-IF($A143&gt;='1-Input'!$C$12,'1-Input'!$B$12,0))-MIN(MAX(F142,0),MAX(0,B121-IF($A143&gt;='1-Input'!$C$12,'1-Input'!$B$12,0))))*(1/(1-'P-Parametri'!$B$6*B143))),MAX(0,0*B121-(F142-MIN(MAX(F142,0),MAX(0,B121-IF($A143&gt;='1-Input'!$C$12,'1-Input'!$B$12,0)))))*(1/(1-'P-Parametri'!$B$6*B143))))</f>
        <v>19380.819396239931</v>
      </c>
      <c r="D143" s="18">
        <f>IF($A143&gt;'1-Input'!$B$26,F142,(F142-MAX(0,B121-IF($A143&gt;='1-Input'!$C$12,'1-Input'!$B$12,0))+C143*(1-'P-Parametri'!$B$6*B143))*(1+ROUND('3-Liquidita'!$F$11,4)))</f>
        <v>0</v>
      </c>
      <c r="E143" s="18">
        <f>IF($A143&gt;'1-Input'!$B$26,G142,(G142-C143)*(1+'5-Roberta'!$C$4))</f>
        <v>262054.7419094709</v>
      </c>
      <c r="F143" s="18">
        <f>IF($A143&gt;'1-Input'!$B$26,D143,D143-'P-Parametri'!$B$8*(E143+D143)+MIN(MAX(E143,0),'P-Parametri'!$B$8*(E143+D143)))</f>
        <v>0</v>
      </c>
      <c r="G143" s="18">
        <f>IF($A143&gt;'1-Input'!$B$26,E143,E143-MIN(MAX(E143,0),'P-Parametri'!$B$8*(E143+D143)))</f>
        <v>261530.63242565197</v>
      </c>
      <c r="H143" s="18">
        <f>IF($A143&gt;'1-Input'!$B$26,H142,H142-C143*(1-B143))</f>
        <v>118109.7528829389</v>
      </c>
      <c r="I143" s="11">
        <f>IF($A143&gt;'1-Input'!$B$26,0,IF(N142&lt;=0,0,MAX(0,(N142-O142)/N142)))</f>
        <v>0.53577239403111809</v>
      </c>
      <c r="J143" s="18">
        <f>IF($A143&gt;'1-Input'!$B$26,0,(MAX(0,I121-IF($A143&gt;='1-Input'!$C$12,'1-Input'!$B$12,0))-MIN(MAX(M142,0),MAX(0,I121-IF($A143&gt;='1-Input'!$C$12,'1-Input'!$B$12,0))))*(1/(1-'P-Parametri'!$B$6*I143))+MIN(MAX(0,N142-(MAX(0,I121-IF($A143&gt;='1-Input'!$C$12,'1-Input'!$B$12,0))-MIN(MAX(M142,0),MAX(0,I121-IF($A143&gt;='1-Input'!$C$12,'1-Input'!$B$12,0))))*(1/(1-'P-Parametri'!$B$6*I143))),MAX(0,0*I121-(M142-MIN(MAX(M142,0),MAX(0,I121-IF($A143&gt;='1-Input'!$C$12,'1-Input'!$B$12,0)))))*(1/(1-'P-Parametri'!$B$6*I143))))</f>
        <v>25501.078152947288</v>
      </c>
      <c r="K143" s="18">
        <f>IF($A143&gt;'1-Input'!$B$26,M142,(M142-MAX(0,I121-IF($A143&gt;='1-Input'!$C$12,'1-Input'!$B$12,0))+J143*(1-'P-Parametri'!$B$6*I143))*(1+ROUND('3-Liquidita'!$F$11,4)))</f>
        <v>0</v>
      </c>
      <c r="L143" s="18">
        <f>IF($A143&gt;'1-Input'!$B$26,N142,(N142-J143)*(1+'5-Roberta'!$C$4))</f>
        <v>103783.72534299247</v>
      </c>
      <c r="M143" s="18">
        <f>IF($A143&gt;'1-Input'!$B$26,K143,K143-'P-Parametri'!$B$8*(L143+K143)+MIN(MAX(L143,0),'P-Parametri'!$B$8*(L143+K143)))</f>
        <v>0</v>
      </c>
      <c r="N143" s="18">
        <f>IF($A143&gt;'1-Input'!$B$26,L143,L143-MIN(MAX(L143,0),'P-Parametri'!$B$8*(L143+K143)))</f>
        <v>103576.1578923065</v>
      </c>
      <c r="O143" s="18">
        <f>IF($A143&gt;'1-Input'!$B$26,O142,O142-J143*(1-I143))</f>
        <v>46775.990635445996</v>
      </c>
      <c r="P143" s="11">
        <f>IF($A143&gt;'1-Input'!$B$26,0,IF(U142&lt;=0,0,MAX(0,(U142-V142)/U142)))</f>
        <v>0.53577239403111776</v>
      </c>
      <c r="Q143" s="18">
        <f>IF($A143&gt;'1-Input'!$B$26,0,(MAX(0,P121-IF($A143&gt;='1-Input'!$C$12,'1-Input'!$B$12,0))-MIN(MAX(T142,0),MAX(0,P121-IF($A143&gt;='1-Input'!$C$12,'1-Input'!$B$12,0))))*(1/(1-'P-Parametri'!$B$6*P143))+MIN(MAX(0,U142-(MAX(0,P121-IF($A143&gt;='1-Input'!$C$12,'1-Input'!$B$12,0))-MIN(MAX(T142,0),MAX(0,P121-IF($A143&gt;='1-Input'!$C$12,'1-Input'!$B$12,0))))*(1/(1-'P-Parametri'!$B$6*P143))),MAX(0,0*P121-(T142-MIN(MAX(T142,0),MAX(0,P121-IF($A143&gt;='1-Input'!$C$12,'1-Input'!$B$12,0)))))*(1/(1-'P-Parametri'!$B$6*P143))))</f>
        <v>22185.497677133266</v>
      </c>
      <c r="R143" s="18">
        <f>IF($A143&gt;'1-Input'!$B$26,T142,(T142-MAX(0,P121-IF($A143&gt;='1-Input'!$C$12,'1-Input'!$B$12,0))+Q143*(1-'P-Parametri'!$B$6*P143))*(1+ROUND('3-Liquidita'!$F$11,4)))</f>
        <v>0</v>
      </c>
      <c r="S143" s="18">
        <f>IF($A143&gt;'1-Input'!$B$26,U142,(U142-Q143)*(1+'5-Roberta'!$C$4))</f>
        <v>189525.24596741921</v>
      </c>
      <c r="T143" s="18">
        <f>IF($A143&gt;'1-Input'!$B$26,R143,R143-'P-Parametri'!$B$8*(S143+R143)+MIN(MAX(S143,0),'P-Parametri'!$B$8*(S143+R143)))</f>
        <v>0</v>
      </c>
      <c r="U143" s="18">
        <f>IF($A143&gt;'1-Input'!$B$26,S143,S143-MIN(MAX(S143,0),'P-Parametri'!$B$8*(S143+R143)))</f>
        <v>189146.19547548436</v>
      </c>
      <c r="V143" s="18">
        <f>IF($A143&gt;'1-Input'!$B$26,V142,V142-Q143*(1-P143))</f>
        <v>85420.243889435515</v>
      </c>
      <c r="W143" s="11">
        <f>IF($A143&gt;'1-Input'!$B$26,0,IF(AB142&lt;=0,0,MAX(0,(AB142-AC142)/AB142)))</f>
        <v>0.5357723940311182</v>
      </c>
      <c r="X143" s="18">
        <f>IF($A143&gt;'1-Input'!$B$26,0,(MAX(0,W121-IF($A143&gt;='1-Input'!$C$12,'1-Input'!$B$12,0))-MIN(MAX(AA142,0),MAX(0,W121-IF($A143&gt;='1-Input'!$C$12,'1-Input'!$B$12,0))))*(1/(1-'P-Parametri'!$B$6*W143))+MIN(MAX(0,AB142-(MAX(0,W121-IF($A143&gt;='1-Input'!$C$12,'1-Input'!$B$12,0))-MIN(MAX(AA142,0),MAX(0,W121-IF($A143&gt;='1-Input'!$C$12,'1-Input'!$B$12,0))))*(1/(1-'P-Parametri'!$B$6*W143))),MAX(0,0*W121-(AA142-MIN(MAX(AA142,0),MAX(0,W121-IF($A143&gt;='1-Input'!$C$12,'1-Input'!$B$12,0)))))*(1/(1-'P-Parametri'!$B$6*W143))))</f>
        <v>21887.74438017813</v>
      </c>
      <c r="Y143" s="18">
        <f>IF($A143&gt;'1-Input'!$B$26,AA142,(AA142-MAX(0,W121-IF($A143&gt;='1-Input'!$C$12,'1-Input'!$B$12,0))+X143*(1-'P-Parametri'!$B$6*W143))*(1+ROUND('3-Liquidita'!$F$11,4)))</f>
        <v>0</v>
      </c>
      <c r="Z143" s="18">
        <f>IF($A143&gt;'1-Input'!$B$26,AB142,(AB142-X143)*(1+'5-Roberta'!$C$4))</f>
        <v>197225.20096416946</v>
      </c>
      <c r="AA143" s="18">
        <f>IF($A143&gt;'1-Input'!$B$26,Y143,Y143-'P-Parametri'!$B$8*(Z143+Y143)+MIN(MAX(Z143,0),'P-Parametri'!$B$8*(Z143+Y143)))</f>
        <v>0</v>
      </c>
      <c r="AB143" s="18">
        <f>IF($A143&gt;'1-Input'!$B$26,Z143,Z143-MIN(MAX(Z143,0),'P-Parametri'!$B$8*(Z143+Y143)))</f>
        <v>196830.75056224113</v>
      </c>
      <c r="AC143" s="18">
        <f>IF($A143&gt;'1-Input'!$B$26,AC142,AC142-X143*(1-W143))</f>
        <v>88890.662990609708</v>
      </c>
      <c r="AD143" s="11">
        <f>IF($A143&gt;'1-Input'!$B$26,0,IF(AI142&lt;=0,0,MAX(0,(AI142-AJ142)/AI142)))</f>
        <v>0.5357723940311182</v>
      </c>
      <c r="AE143" s="18">
        <f>IF($A143&gt;'1-Input'!$B$26,0,(MAX(0,AD121-IF($A143&gt;='1-Input'!$C$12,'1-Input'!$B$12,0))-MIN(MAX(AH142,0),MAX(0,AD121-IF($A143&gt;='1-Input'!$C$12,'1-Input'!$B$12,0))))*(1/(1-'P-Parametri'!$B$6*AD143))+MIN(MAX(0,AI142-(MAX(0,AD121-IF($A143&gt;='1-Input'!$C$12,'1-Input'!$B$12,0))-MIN(MAX(AH142,0),MAX(0,AD121-IF($A143&gt;='1-Input'!$C$12,'1-Input'!$B$12,0))))*(1/(1-'P-Parametri'!$B$6*AD143))),MAX(0,0*AD121-(AH142-MIN(MAX(AH142,0),MAX(0,AD121-IF($A143&gt;='1-Input'!$C$12,'1-Input'!$B$12,0)))))*(1/(1-'P-Parametri'!$B$6*AD143))))</f>
        <v>21895.625723228386</v>
      </c>
      <c r="AF143" s="18">
        <f>IF($A143&gt;'1-Input'!$B$26,AH142,(AH142-MAX(0,AD121-IF($A143&gt;='1-Input'!$C$12,'1-Input'!$B$12,0))+AE143*(1-'P-Parametri'!$B$6*AD143))*(1+ROUND('3-Liquidita'!$F$11,4)))</f>
        <v>0</v>
      </c>
      <c r="AG143" s="18">
        <f>IF($A143&gt;'1-Input'!$B$26,AI142,(AI142-AE143)*(1+'5-Roberta'!$C$4))</f>
        <v>197021.38798402282</v>
      </c>
      <c r="AH143" s="18">
        <f>IF($A143&gt;'1-Input'!$B$26,AF143,AF143-'P-Parametri'!$B$8*(AG143+AF143)+MIN(MAX(AG143,0),'P-Parametri'!$B$8*(AG143+AF143)))</f>
        <v>0</v>
      </c>
      <c r="AI143" s="18">
        <f>IF($A143&gt;'1-Input'!$B$26,AG143,AG143-MIN(MAX(AG143,0),'P-Parametri'!$B$8*(AG143+AF143)))</f>
        <v>196627.34520805479</v>
      </c>
      <c r="AJ143" s="18">
        <f>IF($A143&gt;'1-Input'!$B$26,AJ142,AJ142-AE143*(1-AD143))</f>
        <v>88798.803173290406</v>
      </c>
      <c r="AK143" s="11">
        <f>IF($A143&gt;'1-Input'!$B$26,0,IF(AP142&lt;=0,0,MAX(0,(AP142-AQ142)/AP142)))</f>
        <v>0.53577239403111754</v>
      </c>
      <c r="AL143" s="18">
        <f>IF($A143&gt;'1-Input'!$B$26,0,(MAX(0,AK121-IF($A143&gt;='1-Input'!$C$12,'1-Input'!$B$12,0))-MIN(MAX(AO142,0),MAX(0,AK121-IF($A143&gt;='1-Input'!$C$12,'1-Input'!$B$12,0))))*(1/(1-'P-Parametri'!$B$6*AK143))+MIN(MAX(0,AP142-(MAX(0,AK121-IF($A143&gt;='1-Input'!$C$12,'1-Input'!$B$12,0))-MIN(MAX(AO142,0),MAX(0,AK121-IF($A143&gt;='1-Input'!$C$12,'1-Input'!$B$12,0))))*(1/(1-'P-Parametri'!$B$6*AK143))),MAX(0,0*AK121-(AO142-MIN(MAX(AO142,0),MAX(0,AK121-IF($A143&gt;='1-Input'!$C$12,'1-Input'!$B$12,0)))))*(1/(1-'P-Parametri'!$B$6*AK143))))</f>
        <v>21894.401895864648</v>
      </c>
      <c r="AM143" s="18">
        <f>IF($A143&gt;'1-Input'!$B$26,AO142,(AO142-MAX(0,AK121-IF($A143&gt;='1-Input'!$C$12,'1-Input'!$B$12,0))+AL143*(1-'P-Parametri'!$B$6*AK143))*(1+ROUND('3-Liquidita'!$F$11,4)))</f>
        <v>0</v>
      </c>
      <c r="AN143" s="18">
        <f>IF($A143&gt;'1-Input'!$B$26,AP142,(AP142-AL143)*(1+'5-Roberta'!$C$4))</f>
        <v>197053.0363846308</v>
      </c>
      <c r="AO143" s="18">
        <f>IF($A143&gt;'1-Input'!$B$26,AM143,AM143-'P-Parametri'!$B$8*(AN143+AM143)+MIN(MAX(AN143,0),'P-Parametri'!$B$8*(AN143+AM143)))</f>
        <v>0</v>
      </c>
      <c r="AP143" s="18">
        <f>IF($A143&gt;'1-Input'!$B$26,AN143,AN143-MIN(MAX(AN143,0),'P-Parametri'!$B$8*(AN143+AM143)))</f>
        <v>196658.93031186154</v>
      </c>
      <c r="AQ143" s="18">
        <f>IF($A143&gt;'1-Input'!$B$26,AQ142,AQ142-AL143*(1-AK143))</f>
        <v>88813.067310423547</v>
      </c>
    </row>
    <row r="144" spans="1:43">
      <c r="A144" s="10">
        <f>21</f>
        <v>21</v>
      </c>
      <c r="B144" s="11">
        <f>IF($A144&gt;'1-Input'!$B$26,0,IF(G143&lt;=0,0,MAX(0,(G143-H143)/G143)))</f>
        <v>0.5483903671723227</v>
      </c>
      <c r="C144" s="18">
        <f>IF($A144&gt;'1-Input'!$B$26,0,(MAX(0,B121-IF($A144&gt;='1-Input'!$C$12,'1-Input'!$B$12,0))-MIN(MAX(F143,0),MAX(0,B121-IF($A144&gt;='1-Input'!$C$12,'1-Input'!$B$12,0))))*(1/(1-'P-Parametri'!$B$6*B144))+MIN(MAX(0,G143-(MAX(0,B121-IF($A144&gt;='1-Input'!$C$12,'1-Input'!$B$12,0))-MIN(MAX(F143,0),MAX(0,B121-IF($A144&gt;='1-Input'!$C$12,'1-Input'!$B$12,0))))*(1/(1-'P-Parametri'!$B$6*B144))),MAX(0,0*B121-(F143-MIN(MAX(F143,0),MAX(0,B121-IF($A144&gt;='1-Input'!$C$12,'1-Input'!$B$12,0)))))*(1/(1-'P-Parametri'!$B$6*B144))))</f>
        <v>19454.974701844756</v>
      </c>
      <c r="D144" s="18">
        <f>IF($A144&gt;'1-Input'!$B$26,F143,(F143-MAX(0,B121-IF($A144&gt;='1-Input'!$C$12,'1-Input'!$B$12,0))+C144*(1-'P-Parametri'!$B$6*B144))*(1+ROUND('3-Liquidita'!$F$11,4)))</f>
        <v>0</v>
      </c>
      <c r="E144" s="18">
        <f>IF($A144&gt;'1-Input'!$B$26,G143,(G143-C144)*(1+'5-Roberta'!$C$4))</f>
        <v>249337.92745552142</v>
      </c>
      <c r="F144" s="18">
        <f>IF($A144&gt;'1-Input'!$B$26,D144,D144-'P-Parametri'!$B$8*(E144+D144)+MIN(MAX(E144,0),'P-Parametri'!$B$8*(E144+D144)))</f>
        <v>0</v>
      </c>
      <c r="G144" s="18">
        <f>IF($A144&gt;'1-Input'!$B$26,E144,E144-MIN(MAX(E144,0),'P-Parametri'!$B$8*(E144+D144)))</f>
        <v>248839.25160061038</v>
      </c>
      <c r="H144" s="18">
        <f>IF($A144&gt;'1-Input'!$B$26,H143,H143-C144*(1-B144))</f>
        <v>109323.69890116704</v>
      </c>
      <c r="I144" s="11">
        <f>IF($A144&gt;'1-Input'!$B$26,0,IF(N143&lt;=0,0,MAX(0,(N143-O143)/N143)))</f>
        <v>0.54839036717232337</v>
      </c>
      <c r="J144" s="18">
        <f>IF($A144&gt;'1-Input'!$B$26,0,(MAX(0,I121-IF($A144&gt;='1-Input'!$C$12,'1-Input'!$B$12,0))-MIN(MAX(M143,0),MAX(0,I121-IF($A144&gt;='1-Input'!$C$12,'1-Input'!$B$12,0))))*(1/(1-'P-Parametri'!$B$6*I144))+MIN(MAX(0,N143-(MAX(0,I121-IF($A144&gt;='1-Input'!$C$12,'1-Input'!$B$12,0))-MIN(MAX(M143,0),MAX(0,I121-IF($A144&gt;='1-Input'!$C$12,'1-Input'!$B$12,0))))*(1/(1-'P-Parametri'!$B$6*I144))),MAX(0,0*I121-(M143-MIN(MAX(M143,0),MAX(0,I121-IF($A144&gt;='1-Input'!$C$12,'1-Input'!$B$12,0)))))*(1/(1-'P-Parametri'!$B$6*I144))))</f>
        <v>25598.650923479952</v>
      </c>
      <c r="K144" s="18">
        <f>IF($A144&gt;'1-Input'!$B$26,M143,(M143-MAX(0,I121-IF($A144&gt;='1-Input'!$C$12,'1-Input'!$B$12,0))+J144*(1-'P-Parametri'!$B$6*I144))*(1+ROUND('3-Liquidita'!$F$11,4)))</f>
        <v>0</v>
      </c>
      <c r="L144" s="18">
        <f>IF($A144&gt;'1-Input'!$B$26,N143,(N143-J144)*(1+'5-Roberta'!$C$4))</f>
        <v>80316.832177891352</v>
      </c>
      <c r="M144" s="18">
        <f>IF($A144&gt;'1-Input'!$B$26,K144,K144-'P-Parametri'!$B$8*(L144+K144)+MIN(MAX(L144,0),'P-Parametri'!$B$8*(L144+K144)))</f>
        <v>0</v>
      </c>
      <c r="N144" s="18">
        <f>IF($A144&gt;'1-Input'!$B$26,L144,L144-MIN(MAX(L144,0),'P-Parametri'!$B$8*(L144+K144)))</f>
        <v>80156.198513535564</v>
      </c>
      <c r="O144" s="18">
        <f>IF($A144&gt;'1-Input'!$B$26,O143,O143-J144*(1-I144))</f>
        <v>35215.39329100935</v>
      </c>
      <c r="P144" s="11">
        <f>IF($A144&gt;'1-Input'!$B$26,0,IF(U143&lt;=0,0,MAX(0,(U143-V143)/U143)))</f>
        <v>0.54839036717232303</v>
      </c>
      <c r="Q144" s="18">
        <f>IF($A144&gt;'1-Input'!$B$26,0,(MAX(0,P121-IF($A144&gt;='1-Input'!$C$12,'1-Input'!$B$12,0))-MIN(MAX(T143,0),MAX(0,P121-IF($A144&gt;='1-Input'!$C$12,'1-Input'!$B$12,0))))*(1/(1-'P-Parametri'!$B$6*P144))+MIN(MAX(0,U143-(MAX(0,P121-IF($A144&gt;='1-Input'!$C$12,'1-Input'!$B$12,0))-MIN(MAX(T143,0),MAX(0,P121-IF($A144&gt;='1-Input'!$C$12,'1-Input'!$B$12,0))))*(1/(1-'P-Parametri'!$B$6*P144))),MAX(0,0*P121-(T143-MIN(MAX(T143,0),MAX(0,P121-IF($A144&gt;='1-Input'!$C$12,'1-Input'!$B$12,0)))))*(1/(1-'P-Parametri'!$B$6*P144))))</f>
        <v>22270.384302750459</v>
      </c>
      <c r="R144" s="18">
        <f>IF($A144&gt;'1-Input'!$B$26,T143,(T143-MAX(0,P121-IF($A144&gt;='1-Input'!$C$12,'1-Input'!$B$12,0))+Q144*(1-'P-Parametri'!$B$6*P144))*(1+ROUND('3-Liquidita'!$F$11,4)))</f>
        <v>3.6216079024598004E-12</v>
      </c>
      <c r="S144" s="18">
        <f>IF($A144&gt;'1-Input'!$B$26,U143,(U143-Q144)*(1+'5-Roberta'!$C$4))</f>
        <v>171882.08550791591</v>
      </c>
      <c r="T144" s="18">
        <f>IF($A144&gt;'1-Input'!$B$26,R144,R144-'P-Parametri'!$B$8*(S144+R144)+MIN(MAX(S144,0),'P-Parametri'!$B$8*(S144+R144)))</f>
        <v>3.637978807091713E-12</v>
      </c>
      <c r="U144" s="18">
        <f>IF($A144&gt;'1-Input'!$B$26,S144,S144-MIN(MAX(S144,0),'P-Parametri'!$B$8*(S144+R144)))</f>
        <v>171538.32133690009</v>
      </c>
      <c r="V144" s="18">
        <f>IF($A144&gt;'1-Input'!$B$26,V143,V143-Q144*(1-P144))</f>
        <v>75362.723811539123</v>
      </c>
      <c r="W144" s="11">
        <f>IF($A144&gt;'1-Input'!$B$26,0,IF(AB143&lt;=0,0,MAX(0,(AB143-AC143)/AB143)))</f>
        <v>0.54839036717232348</v>
      </c>
      <c r="X144" s="18">
        <f>IF($A144&gt;'1-Input'!$B$26,0,(MAX(0,W121-IF($A144&gt;='1-Input'!$C$12,'1-Input'!$B$12,0))-MIN(MAX(AA143,0),MAX(0,W121-IF($A144&gt;='1-Input'!$C$12,'1-Input'!$B$12,0))))*(1/(1-'P-Parametri'!$B$6*W144))+MIN(MAX(0,AB143-(MAX(0,W121-IF($A144&gt;='1-Input'!$C$12,'1-Input'!$B$12,0))-MIN(MAX(AA143,0),MAX(0,W121-IF($A144&gt;='1-Input'!$C$12,'1-Input'!$B$12,0))))*(1/(1-'P-Parametri'!$B$6*W144))),MAX(0,0*W121-(AA143-MIN(MAX(AA143,0),MAX(0,W121-IF($A144&gt;='1-Input'!$C$12,'1-Input'!$B$12,0)))))*(1/(1-'P-Parametri'!$B$6*W144))))</f>
        <v>21971.49173576348</v>
      </c>
      <c r="Y144" s="18">
        <f>IF($A144&gt;'1-Input'!$B$26,AA143,(AA143-MAX(0,W121-IF($A144&gt;='1-Input'!$C$12,'1-Input'!$B$12,0))+X144*(1-'P-Parametri'!$B$6*W144))*(1+ROUND('3-Liquidita'!$F$11,4)))</f>
        <v>-3.6216079024598004E-12</v>
      </c>
      <c r="Z144" s="18">
        <f>IF($A144&gt;'1-Input'!$B$26,AB143,(AB143-X144)*(1+'5-Roberta'!$C$4))</f>
        <v>180105.03659127199</v>
      </c>
      <c r="AA144" s="18">
        <f>IF($A144&gt;'1-Input'!$B$26,Y144,Y144-'P-Parametri'!$B$8*(Z144+Y144)+MIN(MAX(Z144,0),'P-Parametri'!$B$8*(Z144+Y144)))</f>
        <v>-3.637978807091713E-12</v>
      </c>
      <c r="AB144" s="18">
        <f>IF($A144&gt;'1-Input'!$B$26,Z144,Z144-MIN(MAX(Z144,0),'P-Parametri'!$B$8*(Z144+Y144)))</f>
        <v>179744.82651808945</v>
      </c>
      <c r="AC144" s="18">
        <f>IF($A144&gt;'1-Input'!$B$26,AC143,AC143-X144*(1-W144))</f>
        <v>78968.125675145231</v>
      </c>
      <c r="AD144" s="11">
        <f>IF($A144&gt;'1-Input'!$B$26,0,IF(AI143&lt;=0,0,MAX(0,(AI143-AJ143)/AI143)))</f>
        <v>0.54839036717232359</v>
      </c>
      <c r="AE144" s="18">
        <f>IF($A144&gt;'1-Input'!$B$26,0,(MAX(0,AD121-IF($A144&gt;='1-Input'!$C$12,'1-Input'!$B$12,0))-MIN(MAX(AH143,0),MAX(0,AD121-IF($A144&gt;='1-Input'!$C$12,'1-Input'!$B$12,0))))*(1/(1-'P-Parametri'!$B$6*AD144))+MIN(MAX(0,AI143-(MAX(0,AD121-IF($A144&gt;='1-Input'!$C$12,'1-Input'!$B$12,0))-MIN(MAX(AH143,0),MAX(0,AD121-IF($A144&gt;='1-Input'!$C$12,'1-Input'!$B$12,0))))*(1/(1-'P-Parametri'!$B$6*AD144))),MAX(0,0*AD121-(AH143-MIN(MAX(AH143,0),MAX(0,AD121-IF($A144&gt;='1-Input'!$C$12,'1-Input'!$B$12,0)))))*(1/(1-'P-Parametri'!$B$6*AD144))))</f>
        <v>21979.403234577047</v>
      </c>
      <c r="AF144" s="18">
        <f>IF($A144&gt;'1-Input'!$B$26,AH143,(AH143-MAX(0,AD121-IF($A144&gt;='1-Input'!$C$12,'1-Input'!$B$12,0))+AE144*(1-'P-Parametri'!$B$6*AD144))*(1+ROUND('3-Liquidita'!$F$11,4)))</f>
        <v>-3.6216079024598004E-12</v>
      </c>
      <c r="AG144" s="18">
        <f>IF($A144&gt;'1-Input'!$B$26,AI143,(AI143-AE144)*(1+'5-Roberta'!$C$4))</f>
        <v>179887.38023268207</v>
      </c>
      <c r="AH144" s="18">
        <f>IF($A144&gt;'1-Input'!$B$26,AF144,AF144-'P-Parametri'!$B$8*(AG144+AF144)+MIN(MAX(AG144,0),'P-Parametri'!$B$8*(AG144+AF144)))</f>
        <v>-3.637978807091713E-12</v>
      </c>
      <c r="AI144" s="18">
        <f>IF($A144&gt;'1-Input'!$B$26,AG144,AG144-MIN(MAX(AG144,0),'P-Parametri'!$B$8*(AG144+AF144)))</f>
        <v>179527.6054722167</v>
      </c>
      <c r="AJ144" s="18">
        <f>IF($A144&gt;'1-Input'!$B$26,AJ143,AJ143-AE144*(1-AD144))</f>
        <v>78872.692948751617</v>
      </c>
      <c r="AK144" s="11">
        <f>IF($A144&gt;'1-Input'!$B$26,0,IF(AP143&lt;=0,0,MAX(0,(AP143-AQ143)/AP143)))</f>
        <v>0.54839036717232281</v>
      </c>
      <c r="AL144" s="18">
        <f>IF($A144&gt;'1-Input'!$B$26,0,(MAX(0,AK121-IF($A144&gt;='1-Input'!$C$12,'1-Input'!$B$12,0))-MIN(MAX(AO143,0),MAX(0,AK121-IF($A144&gt;='1-Input'!$C$12,'1-Input'!$B$12,0))))*(1/(1-'P-Parametri'!$B$6*AK144))+MIN(MAX(0,AP143-(MAX(0,AK121-IF($A144&gt;='1-Input'!$C$12,'1-Input'!$B$12,0))-MIN(MAX(AO143,0),MAX(0,AK121-IF($A144&gt;='1-Input'!$C$12,'1-Input'!$B$12,0))))*(1/(1-'P-Parametri'!$B$6*AK144))),MAX(0,0*AK121-(AO143-MIN(MAX(AO143,0),MAX(0,AK121-IF($A144&gt;='1-Input'!$C$12,'1-Input'!$B$12,0)))))*(1/(1-'P-Parametri'!$B$6*AK144))))</f>
        <v>21978.174724578883</v>
      </c>
      <c r="AM144" s="18">
        <f>IF($A144&gt;'1-Input'!$B$26,AO143,(AO143-MAX(0,AK121-IF($A144&gt;='1-Input'!$C$12,'1-Input'!$B$12,0))+AL144*(1-'P-Parametri'!$B$6*AK144))*(1+ROUND('3-Liquidita'!$F$11,4)))</f>
        <v>0</v>
      </c>
      <c r="AN144" s="18">
        <f>IF($A144&gt;'1-Input'!$B$26,AP143,(AP143-AL144)*(1+'5-Roberta'!$C$4))</f>
        <v>179921.17825490114</v>
      </c>
      <c r="AO144" s="18">
        <f>IF($A144&gt;'1-Input'!$B$26,AM144,AM144-'P-Parametri'!$B$8*(AN144+AM144)+MIN(MAX(AN144,0),'P-Parametri'!$B$8*(AN144+AM144)))</f>
        <v>0</v>
      </c>
      <c r="AP144" s="18">
        <f>IF($A144&gt;'1-Input'!$B$26,AN144,AN144-MIN(MAX(AN144,0),'P-Parametri'!$B$8*(AN144+AM144)))</f>
        <v>179561.33589839135</v>
      </c>
      <c r="AQ144" s="18">
        <f>IF($A144&gt;'1-Input'!$B$26,AQ143,AQ143-AL144*(1-AK144))</f>
        <v>78887.511892833936</v>
      </c>
    </row>
    <row r="145" spans="1:43">
      <c r="A145" s="10">
        <f>22</f>
        <v>22</v>
      </c>
      <c r="B145" s="11">
        <f>IF($A145&gt;'1-Input'!$B$26,0,IF(G144&lt;=0,0,MAX(0,(G144-H144)/G144)))</f>
        <v>0.56066537655147464</v>
      </c>
      <c r="C145" s="18">
        <f>IF($A145&gt;'1-Input'!$B$26,0,(MAX(0,B121-IF($A145&gt;='1-Input'!$C$12,'1-Input'!$B$12,0))-MIN(MAX(F144,0),MAX(0,B121-IF($A145&gt;='1-Input'!$C$12,'1-Input'!$B$12,0))))*(1/(1-'P-Parametri'!$B$6*B145))+MIN(MAX(0,G144-(MAX(0,B121-IF($A145&gt;='1-Input'!$C$12,'1-Input'!$B$12,0))-MIN(MAX(F144,0),MAX(0,B121-IF($A145&gt;='1-Input'!$C$12,'1-Input'!$B$12,0))))*(1/(1-'P-Parametri'!$B$6*B145))),MAX(0,0*B121-(F144-MIN(MAX(F144,0),MAX(0,B121-IF($A145&gt;='1-Input'!$C$12,'1-Input'!$B$12,0)))))*(1/(1-'P-Parametri'!$B$6*B145))))</f>
        <v>19527.661000745451</v>
      </c>
      <c r="D145" s="18">
        <f>IF($A145&gt;'1-Input'!$B$26,F144,(F144-MAX(0,B121-IF($A145&gt;='1-Input'!$C$12,'1-Input'!$B$12,0))+C145*(1-'P-Parametri'!$B$6*B145))*(1+ROUND('3-Liquidita'!$F$11,4)))</f>
        <v>0</v>
      </c>
      <c r="E145" s="18">
        <f>IF($A145&gt;'1-Input'!$B$26,G144,(G144-C145)*(1+'5-Roberta'!$C$4))</f>
        <v>236190.93831786088</v>
      </c>
      <c r="F145" s="18">
        <f>IF($A145&gt;'1-Input'!$B$26,D145,D145-'P-Parametri'!$B$8*(E145+D145)+MIN(MAX(E145,0),'P-Parametri'!$B$8*(E145+D145)))</f>
        <v>0</v>
      </c>
      <c r="G145" s="18">
        <f>IF($A145&gt;'1-Input'!$B$26,E145,E145-MIN(MAX(E145,0),'P-Parametri'!$B$8*(E145+D145)))</f>
        <v>235718.55644122517</v>
      </c>
      <c r="H145" s="18">
        <f>IF($A145&gt;'1-Input'!$B$26,H144,H144-C145*(1-B145))</f>
        <v>100744.52130857408</v>
      </c>
      <c r="I145" s="11">
        <f>IF($A145&gt;'1-Input'!$B$26,0,IF(N144&lt;=0,0,MAX(0,(N144-O144)/N144)))</f>
        <v>0.56066537655147519</v>
      </c>
      <c r="J145" s="18">
        <f>IF($A145&gt;'1-Input'!$B$26,0,(MAX(0,I121-IF($A145&gt;='1-Input'!$C$12,'1-Input'!$B$12,0))-MIN(MAX(M144,0),MAX(0,I121-IF($A145&gt;='1-Input'!$C$12,'1-Input'!$B$12,0))))*(1/(1-'P-Parametri'!$B$6*I145))+MIN(MAX(0,N144-(MAX(0,I121-IF($A145&gt;='1-Input'!$C$12,'1-Input'!$B$12,0))-MIN(MAX(M144,0),MAX(0,I121-IF($A145&gt;='1-Input'!$C$12,'1-Input'!$B$12,0))))*(1/(1-'P-Parametri'!$B$6*I145))),MAX(0,0*I121-(M144-MIN(MAX(M144,0),MAX(0,I121-IF($A145&gt;='1-Input'!$C$12,'1-Input'!$B$12,0)))))*(1/(1-'P-Parametri'!$B$6*I145))))</f>
        <v>25694.290790454546</v>
      </c>
      <c r="K145" s="18">
        <f>IF($A145&gt;'1-Input'!$B$26,M144,(M144-MAX(0,I121-IF($A145&gt;='1-Input'!$C$12,'1-Input'!$B$12,0))+J145*(1-'P-Parametri'!$B$6*I145))*(1+ROUND('3-Liquidita'!$F$11,4)))</f>
        <v>0</v>
      </c>
      <c r="L145" s="18">
        <f>IF($A145&gt;'1-Input'!$B$26,N144,(N144-J145)*(1+'5-Roberta'!$C$4))</f>
        <v>56095.764954773455</v>
      </c>
      <c r="M145" s="18">
        <f>IF($A145&gt;'1-Input'!$B$26,K145,K145-'P-Parametri'!$B$8*(L145+K145)+MIN(MAX(L145,0),'P-Parametri'!$B$8*(L145+K145)))</f>
        <v>0</v>
      </c>
      <c r="N145" s="18">
        <f>IF($A145&gt;'1-Input'!$B$26,L145,L145-MIN(MAX(L145,0),'P-Parametri'!$B$8*(L145+K145)))</f>
        <v>55983.573424863906</v>
      </c>
      <c r="O145" s="18">
        <f>IF($A145&gt;'1-Input'!$B$26,O144,O144-J145*(1-I145))</f>
        <v>23927.001721808105</v>
      </c>
      <c r="P145" s="11">
        <f>IF($A145&gt;'1-Input'!$B$26,0,IF(U144&lt;=0,0,MAX(0,(U144-V144)/U144)))</f>
        <v>0.56066537655147475</v>
      </c>
      <c r="Q145" s="18">
        <f>IF($A145&gt;'1-Input'!$B$26,0,(MAX(0,P121-IF($A145&gt;='1-Input'!$C$12,'1-Input'!$B$12,0))-MIN(MAX(T144,0),MAX(0,P121-IF($A145&gt;='1-Input'!$C$12,'1-Input'!$B$12,0))))*(1/(1-'P-Parametri'!$B$6*P145))+MIN(MAX(0,U144-(MAX(0,P121-IF($A145&gt;='1-Input'!$C$12,'1-Input'!$B$12,0))-MIN(MAX(T144,0),MAX(0,P121-IF($A145&gt;='1-Input'!$C$12,'1-Input'!$B$12,0))))*(1/(1-'P-Parametri'!$B$6*P145))),MAX(0,0*P121-(T144-MIN(MAX(T144,0),MAX(0,P121-IF($A145&gt;='1-Input'!$C$12,'1-Input'!$B$12,0)))))*(1/(1-'P-Parametri'!$B$6*P145))))</f>
        <v>22353.58933564672</v>
      </c>
      <c r="R145" s="18">
        <f>IF($A145&gt;'1-Input'!$B$26,T144,(T144-MAX(0,P121-IF($A145&gt;='1-Input'!$C$12,'1-Input'!$B$12,0))+Q145*(1-'P-Parametri'!$B$6*P145))*(1+ROUND('3-Liquidita'!$F$11,4)))</f>
        <v>0</v>
      </c>
      <c r="S145" s="18">
        <f>IF($A145&gt;'1-Input'!$B$26,U144,(U144-Q145)*(1+'5-Roberta'!$C$4))</f>
        <v>153660.27396129098</v>
      </c>
      <c r="T145" s="18">
        <f>IF($A145&gt;'1-Input'!$B$26,R145,R145-'P-Parametri'!$B$8*(S145+R145)+MIN(MAX(S145,0),'P-Parametri'!$B$8*(S145+R145)))</f>
        <v>0</v>
      </c>
      <c r="U145" s="18">
        <f>IF($A145&gt;'1-Input'!$B$26,S145,S145-MIN(MAX(S145,0),'P-Parametri'!$B$8*(S145+R145)))</f>
        <v>153352.95341336841</v>
      </c>
      <c r="V145" s="18">
        <f>IF($A145&gt;'1-Input'!$B$26,V144,V144-Q145*(1-P145))</f>
        <v>65542.018058039801</v>
      </c>
      <c r="W145" s="11">
        <f>IF($A145&gt;'1-Input'!$B$26,0,IF(AB144&lt;=0,0,MAX(0,(AB144-AC144)/AB144)))</f>
        <v>0.5606653765514753</v>
      </c>
      <c r="X145" s="18">
        <f>IF($A145&gt;'1-Input'!$B$26,0,(MAX(0,W121-IF($A145&gt;='1-Input'!$C$12,'1-Input'!$B$12,0))-MIN(MAX(AA144,0),MAX(0,W121-IF($A145&gt;='1-Input'!$C$12,'1-Input'!$B$12,0))))*(1/(1-'P-Parametri'!$B$6*W145))+MIN(MAX(0,AB144-(MAX(0,W121-IF($A145&gt;='1-Input'!$C$12,'1-Input'!$B$12,0))-MIN(MAX(AA144,0),MAX(0,W121-IF($A145&gt;='1-Input'!$C$12,'1-Input'!$B$12,0))))*(1/(1-'P-Parametri'!$B$6*W145))),MAX(0,0*W121-(AA144-MIN(MAX(AA144,0),MAX(0,W121-IF($A145&gt;='1-Input'!$C$12,'1-Input'!$B$12,0)))))*(1/(1-'P-Parametri'!$B$6*W145))))</f>
        <v>22053.580067415158</v>
      </c>
      <c r="Y145" s="18">
        <f>IF($A145&gt;'1-Input'!$B$26,AA144,(AA144-MAX(0,W121-IF($A145&gt;='1-Input'!$C$12,'1-Input'!$B$12,0))+X145*(1-'P-Parametri'!$B$6*W145))*(1+ROUND('3-Liquidita'!$F$11,4)))</f>
        <v>0</v>
      </c>
      <c r="Z145" s="18">
        <f>IF($A145&gt;'1-Input'!$B$26,AB144,(AB144-X145)*(1+'5-Roberta'!$C$4))</f>
        <v>162421.9838441945</v>
      </c>
      <c r="AA145" s="18">
        <f>IF($A145&gt;'1-Input'!$B$26,Y145,Y145-'P-Parametri'!$B$8*(Z145+Y145)+MIN(MAX(Z145,0),'P-Parametri'!$B$8*(Z145+Y145)))</f>
        <v>0</v>
      </c>
      <c r="AB145" s="18">
        <f>IF($A145&gt;'1-Input'!$B$26,Z145,Z145-MIN(MAX(Z145,0),'P-Parametri'!$B$8*(Z145+Y145)))</f>
        <v>162097.13987650612</v>
      </c>
      <c r="AC145" s="18">
        <f>IF($A145&gt;'1-Input'!$B$26,AC144,AC144-X145*(1-W145))</f>
        <v>69279.22438053551</v>
      </c>
      <c r="AD145" s="11">
        <f>IF($A145&gt;'1-Input'!$B$26,0,IF(AI144&lt;=0,0,MAX(0,(AI144-AJ144)/AI144)))</f>
        <v>0.5606653765514753</v>
      </c>
      <c r="AE145" s="18">
        <f>IF($A145&gt;'1-Input'!$B$26,0,(MAX(0,AD121-IF($A145&gt;='1-Input'!$C$12,'1-Input'!$B$12,0))-MIN(MAX(AH144,0),MAX(0,AD121-IF($A145&gt;='1-Input'!$C$12,'1-Input'!$B$12,0))))*(1/(1-'P-Parametri'!$B$6*AD145))+MIN(MAX(0,AI144-(MAX(0,AD121-IF($A145&gt;='1-Input'!$C$12,'1-Input'!$B$12,0))-MIN(MAX(AH144,0),MAX(0,AD121-IF($A145&gt;='1-Input'!$C$12,'1-Input'!$B$12,0))))*(1/(1-'P-Parametri'!$B$6*AD145))),MAX(0,0*AD121-(AH144-MIN(MAX(AH144,0),MAX(0,AD121-IF($A145&gt;='1-Input'!$C$12,'1-Input'!$B$12,0)))))*(1/(1-'P-Parametri'!$B$6*AD145))))</f>
        <v>22061.521124610386</v>
      </c>
      <c r="AF145" s="18">
        <f>IF($A145&gt;'1-Input'!$B$26,AH144,(AH144-MAX(0,AD121-IF($A145&gt;='1-Input'!$C$12,'1-Input'!$B$12,0))+AE145*(1-'P-Parametri'!$B$6*AD145))*(1+ROUND('3-Liquidita'!$F$11,4)))</f>
        <v>0</v>
      </c>
      <c r="AG145" s="18">
        <f>IF($A145&gt;'1-Input'!$B$26,AI144,(AI144-AE145)*(1+'5-Roberta'!$C$4))</f>
        <v>162190.0668780345</v>
      </c>
      <c r="AH145" s="18">
        <f>IF($A145&gt;'1-Input'!$B$26,AF145,AF145-'P-Parametri'!$B$8*(AG145+AF145)+MIN(MAX(AG145,0),'P-Parametri'!$B$8*(AG145+AF145)))</f>
        <v>0</v>
      </c>
      <c r="AI145" s="18">
        <f>IF($A145&gt;'1-Input'!$B$26,AG145,AG145-MIN(MAX(AG145,0),'P-Parametri'!$B$8*(AG145+AF145)))</f>
        <v>161865.68674427844</v>
      </c>
      <c r="AJ145" s="18">
        <f>IF($A145&gt;'1-Input'!$B$26,AJ144,AJ144-AE145*(1-AD145))</f>
        <v>69180.302872769244</v>
      </c>
      <c r="AK145" s="11">
        <f>IF($A145&gt;'1-Input'!$B$26,0,IF(AP144&lt;=0,0,MAX(0,(AP144-AQ144)/AP144)))</f>
        <v>0.56066537655147464</v>
      </c>
      <c r="AL145" s="18">
        <f>IF($A145&gt;'1-Input'!$B$26,0,(MAX(0,AK121-IF($A145&gt;='1-Input'!$C$12,'1-Input'!$B$12,0))-MIN(MAX(AO144,0),MAX(0,AK121-IF($A145&gt;='1-Input'!$C$12,'1-Input'!$B$12,0))))*(1/(1-'P-Parametri'!$B$6*AK145))+MIN(MAX(0,AP144-(MAX(0,AK121-IF($A145&gt;='1-Input'!$C$12,'1-Input'!$B$12,0))-MIN(MAX(AO144,0),MAX(0,AK121-IF($A145&gt;='1-Input'!$C$12,'1-Input'!$B$12,0))))*(1/(1-'P-Parametri'!$B$6*AK145))),MAX(0,0*AK121-(AO144-MIN(MAX(AO144,0),MAX(0,AK121-IF($A145&gt;='1-Input'!$C$12,'1-Input'!$B$12,0)))))*(1/(1-'P-Parametri'!$B$6*AK145))))</f>
        <v>22060.288024740148</v>
      </c>
      <c r="AM145" s="18">
        <f>IF($A145&gt;'1-Input'!$B$26,AO144,(AO144-MAX(0,AK121-IF($A145&gt;='1-Input'!$C$12,'1-Input'!$B$12,0))+AL145*(1-'P-Parametri'!$B$6*AK145))*(1+ROUND('3-Liquidita'!$F$11,4)))</f>
        <v>0</v>
      </c>
      <c r="AN145" s="18">
        <f>IF($A145&gt;'1-Input'!$B$26,AP144,(AP144-AL145)*(1+'5-Roberta'!$C$4))</f>
        <v>162226.07930986074</v>
      </c>
      <c r="AO145" s="18">
        <f>IF($A145&gt;'1-Input'!$B$26,AM145,AM145-'P-Parametri'!$B$8*(AN145+AM145)+MIN(MAX(AN145,0),'P-Parametri'!$B$8*(AN145+AM145)))</f>
        <v>0</v>
      </c>
      <c r="AP145" s="18">
        <f>IF($A145&gt;'1-Input'!$B$26,AN145,AN145-MIN(MAX(AN145,0),'P-Parametri'!$B$8*(AN145+AM145)))</f>
        <v>161901.62715124103</v>
      </c>
      <c r="AQ145" s="18">
        <f>IF($A145&gt;'1-Input'!$B$26,AQ144,AQ144-AL145*(1-AK145))</f>
        <v>69195.663560318702</v>
      </c>
    </row>
    <row r="146" spans="1:43">
      <c r="A146" s="10">
        <f>23</f>
        <v>23</v>
      </c>
      <c r="B146" s="11">
        <f>IF($A146&gt;'1-Input'!$B$26,0,IF(G145&lt;=0,0,MAX(0,(G145-H145)/G145)))</f>
        <v>0.5726067441207412</v>
      </c>
      <c r="C146" s="18">
        <f>IF($A146&gt;'1-Input'!$B$26,0,(MAX(0,B121-IF($A146&gt;='1-Input'!$C$12,'1-Input'!$B$12,0))-MIN(MAX(F145,0),MAX(0,B121-IF($A146&gt;='1-Input'!$C$12,'1-Input'!$B$12,0))))*(1/(1-'P-Parametri'!$B$6*B146))+MIN(MAX(0,G145-(MAX(0,B121-IF($A146&gt;='1-Input'!$C$12,'1-Input'!$B$12,0))-MIN(MAX(F145,0),MAX(0,B121-IF($A146&gt;='1-Input'!$C$12,'1-Input'!$B$12,0))))*(1/(1-'P-Parametri'!$B$6*B146))),MAX(0,0*B121-(F145-MIN(MAX(F145,0),MAX(0,B121-IF($A146&gt;='1-Input'!$C$12,'1-Input'!$B$12,0)))))*(1/(1-'P-Parametri'!$B$6*B146))))</f>
        <v>6554.9400657550368</v>
      </c>
      <c r="D146" s="18">
        <f>IF($A146&gt;'1-Input'!$B$26,F145,(F145-MAX(0,B121-IF($A146&gt;='1-Input'!$C$12,'1-Input'!$B$12,0))+C146*(1-'P-Parametri'!$B$6*B146))*(1+ROUND('3-Liquidita'!$F$11,4)))</f>
        <v>9.0540197561495011E-13</v>
      </c>
      <c r="E146" s="18">
        <f>IF($A146&gt;'1-Input'!$B$26,G145,(G145-C146)*(1+'5-Roberta'!$C$4))</f>
        <v>236038.52486673422</v>
      </c>
      <c r="F146" s="18">
        <f>IF($A146&gt;'1-Input'!$B$26,D146,D146-'P-Parametri'!$B$8*(E146+D146)+MIN(MAX(E146,0),'P-Parametri'!$B$8*(E146+D146)))</f>
        <v>9.0949470177292824E-13</v>
      </c>
      <c r="G146" s="18">
        <f>IF($A146&gt;'1-Input'!$B$26,E146,E146-MIN(MAX(E146,0),'P-Parametri'!$B$8*(E146+D146)))</f>
        <v>235566.44781700076</v>
      </c>
      <c r="H146" s="18">
        <f>IF($A146&gt;'1-Input'!$B$26,H145,H145-C146*(1-B146))</f>
        <v>97942.98413177763</v>
      </c>
      <c r="I146" s="11">
        <f>IF($A146&gt;'1-Input'!$B$26,0,IF(N145&lt;=0,0,MAX(0,(N145-O145)/N145)))</f>
        <v>0.57260674412074164</v>
      </c>
      <c r="J146" s="18">
        <f>IF($A146&gt;'1-Input'!$B$26,0,(MAX(0,I121-IF($A146&gt;='1-Input'!$C$12,'1-Input'!$B$12,0))-MIN(MAX(M145,0),MAX(0,I121-IF($A146&gt;='1-Input'!$C$12,'1-Input'!$B$12,0))))*(1/(1-'P-Parametri'!$B$6*I146))+MIN(MAX(0,N145-(MAX(0,I121-IF($A146&gt;='1-Input'!$C$12,'1-Input'!$B$12,0))-MIN(MAX(M145,0),MAX(0,I121-IF($A146&gt;='1-Input'!$C$12,'1-Input'!$B$12,0))))*(1/(1-'P-Parametri'!$B$6*I146))),MAX(0,0*I121-(M145-MIN(MAX(M145,0),MAX(0,I121-IF($A146&gt;='1-Input'!$C$12,'1-Input'!$B$12,0)))))*(1/(1-'P-Parametri'!$B$6*I146))))</f>
        <v>12744.0647182803</v>
      </c>
      <c r="K146" s="18">
        <f>IF($A146&gt;'1-Input'!$B$26,M145,(M145-MAX(0,I121-IF($A146&gt;='1-Input'!$C$12,'1-Input'!$B$12,0))+J146*(1-'P-Parametri'!$B$6*I146))*(1+ROUND('3-Liquidita'!$F$11,4)))</f>
        <v>-1.8108039512299002E-12</v>
      </c>
      <c r="L146" s="18">
        <f>IF($A146&gt;'1-Input'!$B$26,N145,(N145-J146)*(1+'5-Roberta'!$C$4))</f>
        <v>44536.693967781117</v>
      </c>
      <c r="M146" s="18">
        <f>IF($A146&gt;'1-Input'!$B$26,K146,K146-'P-Parametri'!$B$8*(L146+K146)+MIN(MAX(L146,0),'P-Parametri'!$B$8*(L146+K146)))</f>
        <v>-1.8047785488306545E-12</v>
      </c>
      <c r="N146" s="18">
        <f>IF($A146&gt;'1-Input'!$B$26,L146,L146-MIN(MAX(L146,0),'P-Parametri'!$B$8*(L146+K146)))</f>
        <v>44447.620579845556</v>
      </c>
      <c r="O146" s="18">
        <f>IF($A146&gt;'1-Input'!$B$26,O145,O145-J146*(1-I146))</f>
        <v>18480.274408726305</v>
      </c>
      <c r="P146" s="11">
        <f>IF($A146&gt;'1-Input'!$B$26,0,IF(U145&lt;=0,0,MAX(0,(U145-V145)/U145)))</f>
        <v>0.57260674412074131</v>
      </c>
      <c r="Q146" s="18">
        <f>IF($A146&gt;'1-Input'!$B$26,0,(MAX(0,P121-IF($A146&gt;='1-Input'!$C$12,'1-Input'!$B$12,0))-MIN(MAX(T145,0),MAX(0,P121-IF($A146&gt;='1-Input'!$C$12,'1-Input'!$B$12,0))))*(1/(1-'P-Parametri'!$B$6*P146))+MIN(MAX(0,U145-(MAX(0,P121-IF($A146&gt;='1-Input'!$C$12,'1-Input'!$B$12,0))-MIN(MAX(T145,0),MAX(0,P121-IF($A146&gt;='1-Input'!$C$12,'1-Input'!$B$12,0))))*(1/(1-'P-Parametri'!$B$6*P146))),MAX(0,0*P121-(T145-MIN(MAX(T145,0),MAX(0,P121-IF($A146&gt;='1-Input'!$C$12,'1-Input'!$B$12,0)))))*(1/(1-'P-Parametri'!$B$6*P146))))</f>
        <v>9391.1769277431795</v>
      </c>
      <c r="R146" s="18">
        <f>IF($A146&gt;'1-Input'!$B$26,T145,(T145-MAX(0,P121-IF($A146&gt;='1-Input'!$C$12,'1-Input'!$B$12,0))+Q146*(1-'P-Parametri'!$B$6*P146))*(1+ROUND('3-Liquidita'!$F$11,4)))</f>
        <v>0</v>
      </c>
      <c r="S146" s="18">
        <f>IF($A146&gt;'1-Input'!$B$26,U145,(U145-Q146)*(1+'5-Roberta'!$C$4))</f>
        <v>148280.62978019397</v>
      </c>
      <c r="T146" s="18">
        <f>IF($A146&gt;'1-Input'!$B$26,R146,R146-'P-Parametri'!$B$8*(S146+R146)+MIN(MAX(S146,0),'P-Parametri'!$B$8*(S146+R146)))</f>
        <v>0</v>
      </c>
      <c r="U146" s="18">
        <f>IF($A146&gt;'1-Input'!$B$26,S146,S146-MIN(MAX(S146,0),'P-Parametri'!$B$8*(S146+R146)))</f>
        <v>147984.06852063359</v>
      </c>
      <c r="V146" s="18">
        <f>IF($A146&gt;'1-Input'!$B$26,V145,V145-Q146*(1-P146))</f>
        <v>61528.29237435347</v>
      </c>
      <c r="W146" s="11">
        <f>IF($A146&gt;'1-Input'!$B$26,0,IF(AB145&lt;=0,0,MAX(0,(AB145-AC145)/AB145)))</f>
        <v>0.57260674412074164</v>
      </c>
      <c r="X146" s="18">
        <f>IF($A146&gt;'1-Input'!$B$26,0,(MAX(0,W121-IF($A146&gt;='1-Input'!$C$12,'1-Input'!$B$12,0))-MIN(MAX(AA145,0),MAX(0,W121-IF($A146&gt;='1-Input'!$C$12,'1-Input'!$B$12,0))))*(1/(1-'P-Parametri'!$B$6*W146))+MIN(MAX(0,AB145-(MAX(0,W121-IF($A146&gt;='1-Input'!$C$12,'1-Input'!$B$12,0))-MIN(MAX(AA145,0),MAX(0,W121-IF($A146&gt;='1-Input'!$C$12,'1-Input'!$B$12,0))))*(1/(1-'P-Parametri'!$B$6*W146))),MAX(0,0*W121-(AA145-MIN(MAX(AA145,0),MAX(0,W121-IF($A146&gt;='1-Input'!$C$12,'1-Input'!$B$12,0)))))*(1/(1-'P-Parametri'!$B$6*W146))))</f>
        <v>9090.0732744807883</v>
      </c>
      <c r="Y146" s="18">
        <f>IF($A146&gt;'1-Input'!$B$26,AA145,(AA145-MAX(0,W121-IF($A146&gt;='1-Input'!$C$12,'1-Input'!$B$12,0))+X146*(1-'P-Parametri'!$B$6*W146))*(1+ROUND('3-Liquidita'!$F$11,4)))</f>
        <v>0</v>
      </c>
      <c r="Z146" s="18">
        <f>IF($A146&gt;'1-Input'!$B$26,AB145,(AB145-X146)*(1+'5-Roberta'!$C$4))</f>
        <v>157597.27860008608</v>
      </c>
      <c r="AA146" s="18">
        <f>IF($A146&gt;'1-Input'!$B$26,Y146,Y146-'P-Parametri'!$B$8*(Z146+Y146)+MIN(MAX(Z146,0),'P-Parametri'!$B$8*(Z146+Y146)))</f>
        <v>0</v>
      </c>
      <c r="AB146" s="18">
        <f>IF($A146&gt;'1-Input'!$B$26,Z146,Z146-MIN(MAX(Z146,0),'P-Parametri'!$B$8*(Z146+Y146)))</f>
        <v>157282.08404288589</v>
      </c>
      <c r="AC146" s="18">
        <f>IF($A146&gt;'1-Input'!$B$26,AC145,AC145-X146*(1-W146))</f>
        <v>65394.188367574134</v>
      </c>
      <c r="AD146" s="11">
        <f>IF($A146&gt;'1-Input'!$B$26,0,IF(AI145&lt;=0,0,MAX(0,(AI145-AJ145)/AI145)))</f>
        <v>0.57260674412074186</v>
      </c>
      <c r="AE146" s="18">
        <f>IF($A146&gt;'1-Input'!$B$26,0,(MAX(0,AD121-IF($A146&gt;='1-Input'!$C$12,'1-Input'!$B$12,0))-MIN(MAX(AH145,0),MAX(0,AD121-IF($A146&gt;='1-Input'!$C$12,'1-Input'!$B$12,0))))*(1/(1-'P-Parametri'!$B$6*AD146))+MIN(MAX(0,AI145-(MAX(0,AD121-IF($A146&gt;='1-Input'!$C$12,'1-Input'!$B$12,0))-MIN(MAX(AH145,0),MAX(0,AD121-IF($A146&gt;='1-Input'!$C$12,'1-Input'!$B$12,0))))*(1/(1-'P-Parametri'!$B$6*AD146))),MAX(0,0*AD121-(AH145-MIN(MAX(AH145,0),MAX(0,AD121-IF($A146&gt;='1-Input'!$C$12,'1-Input'!$B$12,0)))))*(1/(1-'P-Parametri'!$B$6*AD146))))</f>
        <v>9098.0432993614977</v>
      </c>
      <c r="AF146" s="18">
        <f>IF($A146&gt;'1-Input'!$B$26,AH145,(AH145-MAX(0,AD121-IF($A146&gt;='1-Input'!$C$12,'1-Input'!$B$12,0))+AE146*(1-'P-Parametri'!$B$6*AD146))*(1+ROUND('3-Liquidita'!$F$11,4)))</f>
        <v>-9.0540197561495011E-13</v>
      </c>
      <c r="AG146" s="18">
        <f>IF($A146&gt;'1-Input'!$B$26,AI145,(AI145-AE146)*(1+'5-Roberta'!$C$4))</f>
        <v>157350.67274826445</v>
      </c>
      <c r="AH146" s="18">
        <f>IF($A146&gt;'1-Input'!$B$26,AF146,AF146-'P-Parametri'!$B$8*(AG146+AF146)+MIN(MAX(AG146,0),'P-Parametri'!$B$8*(AG146+AF146)))</f>
        <v>-9.0949470177292824E-13</v>
      </c>
      <c r="AI146" s="18">
        <f>IF($A146&gt;'1-Input'!$B$26,AG146,AG146-MIN(MAX(AG146,0),'P-Parametri'!$B$8*(AG146+AF146)))</f>
        <v>157035.97140276793</v>
      </c>
      <c r="AJ146" s="18">
        <f>IF($A146&gt;'1-Input'!$B$26,AJ145,AJ145-AE146*(1-AD146))</f>
        <v>65291.860524924661</v>
      </c>
      <c r="AK146" s="11">
        <f>IF($A146&gt;'1-Input'!$B$26,0,IF(AP145&lt;=0,0,MAX(0,(AP145-AQ145)/AP145)))</f>
        <v>0.57260674412074131</v>
      </c>
      <c r="AL146" s="18">
        <f>IF($A146&gt;'1-Input'!$B$26,0,(MAX(0,AK121-IF($A146&gt;='1-Input'!$C$12,'1-Input'!$B$12,0))-MIN(MAX(AO145,0),MAX(0,AK121-IF($A146&gt;='1-Input'!$C$12,'1-Input'!$B$12,0))))*(1/(1-'P-Parametri'!$B$6*AK146))+MIN(MAX(0,AP145-(MAX(0,AK121-IF($A146&gt;='1-Input'!$C$12,'1-Input'!$B$12,0))-MIN(MAX(AO145,0),MAX(0,AK121-IF($A146&gt;='1-Input'!$C$12,'1-Input'!$B$12,0))))*(1/(1-'P-Parametri'!$B$6*AK146))),MAX(0,0*AK121-(AO145-MIN(MAX(AO145,0),MAX(0,AK121-IF($A146&gt;='1-Input'!$C$12,'1-Input'!$B$12,0)))))*(1/(1-'P-Parametri'!$B$6*AK146))))</f>
        <v>9096.8057013434391</v>
      </c>
      <c r="AM146" s="18">
        <f>IF($A146&gt;'1-Input'!$B$26,AO145,(AO145-MAX(0,AK121-IF($A146&gt;='1-Input'!$C$12,'1-Input'!$B$12,0))+AL146*(1-'P-Parametri'!$B$6*AK146))*(1+ROUND('3-Liquidita'!$F$11,4)))</f>
        <v>9.0540197561495011E-13</v>
      </c>
      <c r="AN146" s="18">
        <f>IF($A146&gt;'1-Input'!$B$26,AP145,(AP145-AL146)*(1+'5-Roberta'!$C$4))</f>
        <v>157388.96609339453</v>
      </c>
      <c r="AO146" s="18">
        <f>IF($A146&gt;'1-Input'!$B$26,AM146,AM146-'P-Parametri'!$B$8*(AN146+AM146)+MIN(MAX(AN146,0),'P-Parametri'!$B$8*(AN146+AM146)))</f>
        <v>9.0949470177292824E-13</v>
      </c>
      <c r="AP146" s="18">
        <f>IF($A146&gt;'1-Input'!$B$26,AN146,AN146-MIN(MAX(AN146,0),'P-Parametri'!$B$8*(AN146+AM146)))</f>
        <v>157074.18816120774</v>
      </c>
      <c r="AQ146" s="18">
        <f>IF($A146&gt;'1-Input'!$B$26,AQ145,AQ145-AL146*(1-AK146))</f>
        <v>65307.750153520523</v>
      </c>
    </row>
    <row r="147" spans="1:43">
      <c r="A147" s="10">
        <f>24</f>
        <v>24</v>
      </c>
      <c r="B147" s="11">
        <f>IF($A147&gt;'1-Input'!$B$26,0,IF(G146&lt;=0,0,MAX(0,(G146-H146)/G146)))</f>
        <v>0.58422353845627284</v>
      </c>
      <c r="C147" s="18">
        <f>IF($A147&gt;'1-Input'!$B$26,0,(MAX(0,B121-IF($A147&gt;='1-Input'!$C$12,'1-Input'!$B$12,0))-MIN(MAX(F146,0),MAX(0,B121-IF($A147&gt;='1-Input'!$C$12,'1-Input'!$B$12,0))))*(1/(1-'P-Parametri'!$B$6*B147))+MIN(MAX(0,G146-(MAX(0,B121-IF($A147&gt;='1-Input'!$C$12,'1-Input'!$B$12,0))-MIN(MAX(F146,0),MAX(0,B121-IF($A147&gt;='1-Input'!$C$12,'1-Input'!$B$12,0))))*(1/(1-'P-Parametri'!$B$6*B147))),MAX(0,0*B121-(F146-MIN(MAX(F146,0),MAX(0,B121-IF($A147&gt;='1-Input'!$C$12,'1-Input'!$B$12,0)))))*(1/(1-'P-Parametri'!$B$6*B147))))</f>
        <v>6578.2843384532944</v>
      </c>
      <c r="D147" s="18">
        <f>IF($A147&gt;'1-Input'!$B$26,F146,(F146-MAX(0,B121-IF($A147&gt;='1-Input'!$C$12,'1-Input'!$B$12,0))+C147*(1-'P-Parametri'!$B$6*B147))*(1+ROUND('3-Liquidita'!$F$11,4)))</f>
        <v>0</v>
      </c>
      <c r="E147" s="18">
        <f>IF($A147&gt;'1-Input'!$B$26,G146,(G146-C147)*(1+'5-Roberta'!$C$4))</f>
        <v>235857.8083829039</v>
      </c>
      <c r="F147" s="18">
        <f>IF($A147&gt;'1-Input'!$B$26,D147,D147-'P-Parametri'!$B$8*(E147+D147)+MIN(MAX(E147,0),'P-Parametri'!$B$8*(E147+D147)))</f>
        <v>0</v>
      </c>
      <c r="G147" s="18">
        <f>IF($A147&gt;'1-Input'!$B$26,E147,E147-MIN(MAX(E147,0),'P-Parametri'!$B$8*(E147+D147)))</f>
        <v>235386.09276613808</v>
      </c>
      <c r="H147" s="18">
        <f>IF($A147&gt;'1-Input'!$B$26,H146,H146-C147*(1-B147))</f>
        <v>95207.888346506996</v>
      </c>
      <c r="I147" s="11">
        <f>IF($A147&gt;'1-Input'!$B$26,0,IF(N146&lt;=0,0,MAX(0,(N146-O146)/N146)))</f>
        <v>0.58422353845627339</v>
      </c>
      <c r="J147" s="18">
        <f>IF($A147&gt;'1-Input'!$B$26,0,(MAX(0,I121-IF($A147&gt;='1-Input'!$C$12,'1-Input'!$B$12,0))-MIN(MAX(M146,0),MAX(0,I121-IF($A147&gt;='1-Input'!$C$12,'1-Input'!$B$12,0))))*(1/(1-'P-Parametri'!$B$6*I147))+MIN(MAX(0,N146-(MAX(0,I121-IF($A147&gt;='1-Input'!$C$12,'1-Input'!$B$12,0))-MIN(MAX(M146,0),MAX(0,I121-IF($A147&gt;='1-Input'!$C$12,'1-Input'!$B$12,0))))*(1/(1-'P-Parametri'!$B$6*I147))),MAX(0,0*I121-(M146-MIN(MAX(M146,0),MAX(0,I121-IF($A147&gt;='1-Input'!$C$12,'1-Input'!$B$12,0)))))*(1/(1-'P-Parametri'!$B$6*I147))))</f>
        <v>12789.450476057413</v>
      </c>
      <c r="K147" s="18">
        <f>IF($A147&gt;'1-Input'!$B$26,M146,(M146-MAX(0,I121-IF($A147&gt;='1-Input'!$C$12,'1-Input'!$B$12,0))+J147*(1-'P-Parametri'!$B$6*I147))*(1+ROUND('3-Liquidita'!$F$11,4)))</f>
        <v>1.8108039512299002E-12</v>
      </c>
      <c r="L147" s="18">
        <f>IF($A147&gt;'1-Input'!$B$26,N146,(N146-J147)*(1+'5-Roberta'!$C$4))</f>
        <v>32607.915206901787</v>
      </c>
      <c r="M147" s="18">
        <f>IF($A147&gt;'1-Input'!$B$26,K147,K147-'P-Parametri'!$B$8*(L147+K147)+MIN(MAX(L147,0),'P-Parametri'!$B$8*(L147+K147)))</f>
        <v>1.8047785488306545E-12</v>
      </c>
      <c r="N147" s="18">
        <f>IF($A147&gt;'1-Input'!$B$26,L147,L147-MIN(MAX(L147,0),'P-Parametri'!$B$8*(L147+K147)))</f>
        <v>32542.699376487984</v>
      </c>
      <c r="O147" s="18">
        <f>IF($A147&gt;'1-Input'!$B$26,O146,O146-J147*(1-I147))</f>
        <v>13162.721944702425</v>
      </c>
      <c r="P147" s="11">
        <f>IF($A147&gt;'1-Input'!$B$26,0,IF(U146&lt;=0,0,MAX(0,(U146-V146)/U146)))</f>
        <v>0.58422353845627295</v>
      </c>
      <c r="Q147" s="18">
        <f>IF($A147&gt;'1-Input'!$B$26,0,(MAX(0,P121-IF($A147&gt;='1-Input'!$C$12,'1-Input'!$B$12,0))-MIN(MAX(T146,0),MAX(0,P121-IF($A147&gt;='1-Input'!$C$12,'1-Input'!$B$12,0))))*(1/(1-'P-Parametri'!$B$6*P147))+MIN(MAX(0,U146-(MAX(0,P121-IF($A147&gt;='1-Input'!$C$12,'1-Input'!$B$12,0))-MIN(MAX(T146,0),MAX(0,P121-IF($A147&gt;='1-Input'!$C$12,'1-Input'!$B$12,0))))*(1/(1-'P-Parametri'!$B$6*P147))),MAX(0,0*P121-(T146-MIN(MAX(T146,0),MAX(0,P121-IF($A147&gt;='1-Input'!$C$12,'1-Input'!$B$12,0)))))*(1/(1-'P-Parametri'!$B$6*P147))))</f>
        <v>9424.6219620165175</v>
      </c>
      <c r="R147" s="18">
        <f>IF($A147&gt;'1-Input'!$B$26,T146,(T146-MAX(0,P121-IF($A147&gt;='1-Input'!$C$12,'1-Input'!$B$12,0))+Q147*(1-'P-Parametri'!$B$6*P147))*(1+ROUND('3-Liquidita'!$F$11,4)))</f>
        <v>9.0540197561495011E-13</v>
      </c>
      <c r="S147" s="18">
        <f>IF($A147&gt;'1-Input'!$B$26,U146,(U146-Q147)*(1+'5-Roberta'!$C$4))</f>
        <v>142716.2299553756</v>
      </c>
      <c r="T147" s="18">
        <f>IF($A147&gt;'1-Input'!$B$26,R147,R147-'P-Parametri'!$B$8*(S147+R147)+MIN(MAX(S147,0),'P-Parametri'!$B$8*(S147+R147)))</f>
        <v>9.0949470177292824E-13</v>
      </c>
      <c r="U147" s="18">
        <f>IF($A147&gt;'1-Input'!$B$26,S147,S147-MIN(MAX(S147,0),'P-Parametri'!$B$8*(S147+R147)))</f>
        <v>142430.79749546485</v>
      </c>
      <c r="V147" s="18">
        <f>IF($A147&gt;'1-Input'!$B$26,V146,V146-Q147*(1-P147))</f>
        <v>57609.756403598942</v>
      </c>
      <c r="W147" s="11">
        <f>IF($A147&gt;'1-Input'!$B$26,0,IF(AB146&lt;=0,0,MAX(0,(AB146-AC146)/AB146)))</f>
        <v>0.58422353845627339</v>
      </c>
      <c r="X147" s="18">
        <f>IF($A147&gt;'1-Input'!$B$26,0,(MAX(0,W121-IF($A147&gt;='1-Input'!$C$12,'1-Input'!$B$12,0))-MIN(MAX(AA146,0),MAX(0,W121-IF($A147&gt;='1-Input'!$C$12,'1-Input'!$B$12,0))))*(1/(1-'P-Parametri'!$B$6*W147))+MIN(MAX(0,AB146-(MAX(0,W121-IF($A147&gt;='1-Input'!$C$12,'1-Input'!$B$12,0))-MIN(MAX(AA146,0),MAX(0,W121-IF($A147&gt;='1-Input'!$C$12,'1-Input'!$B$12,0))))*(1/(1-'P-Parametri'!$B$6*W147))),MAX(0,0*W121-(AA146-MIN(MAX(AA146,0),MAX(0,W121-IF($A147&gt;='1-Input'!$C$12,'1-Input'!$B$12,0)))))*(1/(1-'P-Parametri'!$B$6*W147))))</f>
        <v>9122.4459807508665</v>
      </c>
      <c r="Y147" s="18">
        <f>IF($A147&gt;'1-Input'!$B$26,AA146,(AA146-MAX(0,W121-IF($A147&gt;='1-Input'!$C$12,'1-Input'!$B$12,0))+X147*(1-'P-Parametri'!$B$6*W147))*(1+ROUND('3-Liquidita'!$F$11,4)))</f>
        <v>9.0540197561495011E-13</v>
      </c>
      <c r="Z147" s="18">
        <f>IF($A147&gt;'1-Input'!$B$26,AB146,(AB146-X147)*(1+'5-Roberta'!$C$4))</f>
        <v>152604.42720399908</v>
      </c>
      <c r="AA147" s="18">
        <f>IF($A147&gt;'1-Input'!$B$26,Y147,Y147-'P-Parametri'!$B$8*(Z147+Y147)+MIN(MAX(Z147,0),'P-Parametri'!$B$8*(Z147+Y147)))</f>
        <v>9.0949470177292824E-13</v>
      </c>
      <c r="AB147" s="18">
        <f>IF($A147&gt;'1-Input'!$B$26,Z147,Z147-MIN(MAX(Z147,0),'P-Parametri'!$B$8*(Z147+Y147)))</f>
        <v>152299.21834959107</v>
      </c>
      <c r="AC147" s="18">
        <f>IF($A147&gt;'1-Input'!$B$26,AC146,AC146-X147*(1-W147))</f>
        <v>61601.290057073747</v>
      </c>
      <c r="AD147" s="11">
        <f>IF($A147&gt;'1-Input'!$B$26,0,IF(AI146&lt;=0,0,MAX(0,(AI146-AJ146)/AI146)))</f>
        <v>0.58422353845627362</v>
      </c>
      <c r="AE147" s="18">
        <f>IF($A147&gt;'1-Input'!$B$26,0,(MAX(0,AD121-IF($A147&gt;='1-Input'!$C$12,'1-Input'!$B$12,0))-MIN(MAX(AH146,0),MAX(0,AD121-IF($A147&gt;='1-Input'!$C$12,'1-Input'!$B$12,0))))*(1/(1-'P-Parametri'!$B$6*AD147))+MIN(MAX(0,AI146-(MAX(0,AD121-IF($A147&gt;='1-Input'!$C$12,'1-Input'!$B$12,0))-MIN(MAX(AH146,0),MAX(0,AD121-IF($A147&gt;='1-Input'!$C$12,'1-Input'!$B$12,0))))*(1/(1-'P-Parametri'!$B$6*AD147))),MAX(0,0*AD121-(AH146-MIN(MAX(AH146,0),MAX(0,AD121-IF($A147&gt;='1-Input'!$C$12,'1-Input'!$B$12,0)))))*(1/(1-'P-Parametri'!$B$6*AD147))))</f>
        <v>9130.4443894813721</v>
      </c>
      <c r="AF147" s="18">
        <f>IF($A147&gt;'1-Input'!$B$26,AH146,(AH146-MAX(0,AD121-IF($A147&gt;='1-Input'!$C$12,'1-Input'!$B$12,0))+AE147*(1-'P-Parametri'!$B$6*AD147))*(1+ROUND('3-Liquidita'!$F$11,4)))</f>
        <v>1.8108039512299002E-12</v>
      </c>
      <c r="AG147" s="18">
        <f>IF($A147&gt;'1-Input'!$B$26,AI146,(AI146-AE147)*(1+'5-Roberta'!$C$4))</f>
        <v>152342.69282368518</v>
      </c>
      <c r="AH147" s="18">
        <f>IF($A147&gt;'1-Input'!$B$26,AF147,AF147-'P-Parametri'!$B$8*(AG147+AF147)+MIN(MAX(AG147,0),'P-Parametri'!$B$8*(AG147+AF147)))</f>
        <v>1.8189894035458565E-12</v>
      </c>
      <c r="AI147" s="18">
        <f>IF($A147&gt;'1-Input'!$B$26,AG147,AG147-MIN(MAX(AG147,0),'P-Parametri'!$B$8*(AG147+AF147)))</f>
        <v>152038.00743803781</v>
      </c>
      <c r="AJ147" s="18">
        <f>IF($A147&gt;'1-Input'!$B$26,AJ146,AJ146-AE147*(1-AD147))</f>
        <v>61495.636664344325</v>
      </c>
      <c r="AK147" s="11">
        <f>IF($A147&gt;'1-Input'!$B$26,0,IF(AP146&lt;=0,0,MAX(0,(AP146-AQ146)/AP146)))</f>
        <v>0.58422353845627306</v>
      </c>
      <c r="AL147" s="18">
        <f>IF($A147&gt;'1-Input'!$B$26,0,(MAX(0,AK121-IF($A147&gt;='1-Input'!$C$12,'1-Input'!$B$12,0))-MIN(MAX(AO146,0),MAX(0,AK121-IF($A147&gt;='1-Input'!$C$12,'1-Input'!$B$12,0))))*(1/(1-'P-Parametri'!$B$6*AK147))+MIN(MAX(0,AP146-(MAX(0,AK121-IF($A147&gt;='1-Input'!$C$12,'1-Input'!$B$12,0))-MIN(MAX(AO146,0),MAX(0,AK121-IF($A147&gt;='1-Input'!$C$12,'1-Input'!$B$12,0))))*(1/(1-'P-Parametri'!$B$6*AK147))),MAX(0,0*AK121-(AO146-MIN(MAX(AO146,0),MAX(0,AK121-IF($A147&gt;='1-Input'!$C$12,'1-Input'!$B$12,0)))))*(1/(1-'P-Parametri'!$B$6*AK147))))</f>
        <v>9129.2023839744015</v>
      </c>
      <c r="AM147" s="18">
        <f>IF($A147&gt;'1-Input'!$B$26,AO146,(AO146-MAX(0,AK121-IF($A147&gt;='1-Input'!$C$12,'1-Input'!$B$12,0))+AL147*(1-'P-Parametri'!$B$6*AK147))*(1+ROUND('3-Liquidita'!$F$11,4)))</f>
        <v>9.0540197561495011E-13</v>
      </c>
      <c r="AN147" s="18">
        <f>IF($A147&gt;'1-Input'!$B$26,AP146,(AP146-AL147)*(1+'5-Roberta'!$C$4))</f>
        <v>152383.33535055036</v>
      </c>
      <c r="AO147" s="18">
        <f>IF($A147&gt;'1-Input'!$B$26,AM147,AM147-'P-Parametri'!$B$8*(AN147+AM147)+MIN(MAX(AN147,0),'P-Parametri'!$B$8*(AN147+AM147)))</f>
        <v>9.0949470177292824E-13</v>
      </c>
      <c r="AP147" s="18">
        <f>IF($A147&gt;'1-Input'!$B$26,AN147,AN147-MIN(MAX(AN147,0),'P-Parametri'!$B$8*(AN147+AM147)))</f>
        <v>152078.56867984927</v>
      </c>
      <c r="AQ147" s="18">
        <f>IF($A147&gt;'1-Input'!$B$26,AQ146,AQ146-AL147*(1-AK147))</f>
        <v>61512.042689595088</v>
      </c>
    </row>
    <row r="148" spans="1:43">
      <c r="A148" s="10">
        <f>25</f>
        <v>25</v>
      </c>
      <c r="B148" s="11">
        <f>IF($A148&gt;'1-Input'!$B$26,0,IF(G147&lt;=0,0,MAX(0,(G147-H147)/G147)))</f>
        <v>0.59552458164510857</v>
      </c>
      <c r="C148" s="18">
        <f>IF($A148&gt;'1-Input'!$B$26,0,(MAX(0,B121-IF($A148&gt;='1-Input'!$C$12,'1-Input'!$B$12,0))-MIN(MAX(F147,0),MAX(0,B121-IF($A148&gt;='1-Input'!$C$12,'1-Input'!$B$12,0))))*(1/(1-'P-Parametri'!$B$6*B148))+MIN(MAX(0,G147-(MAX(0,B121-IF($A148&gt;='1-Input'!$C$12,'1-Input'!$B$12,0))-MIN(MAX(F147,0),MAX(0,B121-IF($A148&gt;='1-Input'!$C$12,'1-Input'!$B$12,0))))*(1/(1-'P-Parametri'!$B$6*B148))),MAX(0,0*B121-(F147-MIN(MAX(F147,0),MAX(0,B121-IF($A148&gt;='1-Input'!$C$12,'1-Input'!$B$12,0)))))*(1/(1-'P-Parametri'!$B$6*B148))))</f>
        <v>6601.1542105205235</v>
      </c>
      <c r="D148" s="18">
        <f>IF($A148&gt;'1-Input'!$B$26,F147,(F147-MAX(0,B121-IF($A148&gt;='1-Input'!$C$12,'1-Input'!$B$12,0))+C148*(1-'P-Parametri'!$B$6*B148))*(1+ROUND('3-Liquidita'!$F$11,4)))</f>
        <v>0</v>
      </c>
      <c r="E148" s="18">
        <f>IF($A148&gt;'1-Input'!$B$26,G147,(G147-C148)*(1+'5-Roberta'!$C$4))</f>
        <v>235648.48671228607</v>
      </c>
      <c r="F148" s="18">
        <f>IF($A148&gt;'1-Input'!$B$26,D148,D148-'P-Parametri'!$B$8*(E148+D148)+MIN(MAX(E148,0),'P-Parametri'!$B$8*(E148+D148)))</f>
        <v>0</v>
      </c>
      <c r="G148" s="18">
        <f>IF($A148&gt;'1-Input'!$B$26,E148,E148-MIN(MAX(E148,0),'P-Parametri'!$B$8*(E148+D148)))</f>
        <v>235177.18973886149</v>
      </c>
      <c r="H148" s="18">
        <f>IF($A148&gt;'1-Input'!$B$26,H147,H147-C148*(1-B148))</f>
        <v>92537.883735581549</v>
      </c>
      <c r="I148" s="11">
        <f>IF($A148&gt;'1-Input'!$B$26,0,IF(N147&lt;=0,0,MAX(0,(N147-O147)/N147)))</f>
        <v>0.59552458164510913</v>
      </c>
      <c r="J148" s="18">
        <f>IF($A148&gt;'1-Input'!$B$26,0,(MAX(0,I121-IF($A148&gt;='1-Input'!$C$12,'1-Input'!$B$12,0))-MIN(MAX(M147,0),MAX(0,I121-IF($A148&gt;='1-Input'!$C$12,'1-Input'!$B$12,0))))*(1/(1-'P-Parametri'!$B$6*I148))+MIN(MAX(0,N147-(MAX(0,I121-IF($A148&gt;='1-Input'!$C$12,'1-Input'!$B$12,0))-MIN(MAX(M147,0),MAX(0,I121-IF($A148&gt;='1-Input'!$C$12,'1-Input'!$B$12,0))))*(1/(1-'P-Parametri'!$B$6*I148))),MAX(0,0*I121-(M147-MIN(MAX(M147,0),MAX(0,I121-IF($A148&gt;='1-Input'!$C$12,'1-Input'!$B$12,0)))))*(1/(1-'P-Parametri'!$B$6*I148))))</f>
        <v>12833.913907728764</v>
      </c>
      <c r="K148" s="18">
        <f>IF($A148&gt;'1-Input'!$B$26,M147,(M147-MAX(0,I121-IF($A148&gt;='1-Input'!$C$12,'1-Input'!$B$12,0))+J148*(1-'P-Parametri'!$B$6*I148))*(1+ROUND('3-Liquidita'!$F$11,4)))</f>
        <v>-1.8108039512299002E-12</v>
      </c>
      <c r="L148" s="18">
        <f>IF($A148&gt;'1-Input'!$B$26,N147,(N147-J148)*(1+'5-Roberta'!$C$4))</f>
        <v>20300.049032821997</v>
      </c>
      <c r="M148" s="18">
        <f>IF($A148&gt;'1-Input'!$B$26,K148,K148-'P-Parametri'!$B$8*(L148+K148)+MIN(MAX(L148,0),'P-Parametri'!$B$8*(L148+K148)))</f>
        <v>-1.8118839761882555E-12</v>
      </c>
      <c r="N148" s="18">
        <f>IF($A148&gt;'1-Input'!$B$26,L148,L148-MIN(MAX(L148,0),'P-Parametri'!$B$8*(L148+K148)))</f>
        <v>20259.448934756354</v>
      </c>
      <c r="O148" s="18">
        <f>IF($A148&gt;'1-Input'!$B$26,O147,O147-J148*(1-I148))</f>
        <v>7971.7192477431818</v>
      </c>
      <c r="P148" s="11">
        <f>IF($A148&gt;'1-Input'!$B$26,0,IF(U147&lt;=0,0,MAX(0,(U147-V147)/U147)))</f>
        <v>0.5955245816451088</v>
      </c>
      <c r="Q148" s="18">
        <f>IF($A148&gt;'1-Input'!$B$26,0,(MAX(0,P121-IF($A148&gt;='1-Input'!$C$12,'1-Input'!$B$12,0))-MIN(MAX(T147,0),MAX(0,P121-IF($A148&gt;='1-Input'!$C$12,'1-Input'!$B$12,0))))*(1/(1-'P-Parametri'!$B$6*P148))+MIN(MAX(0,U147-(MAX(0,P121-IF($A148&gt;='1-Input'!$C$12,'1-Input'!$B$12,0))-MIN(MAX(T147,0),MAX(0,P121-IF($A148&gt;='1-Input'!$C$12,'1-Input'!$B$12,0))))*(1/(1-'P-Parametri'!$B$6*P148))),MAX(0,0*P121-(T147-MIN(MAX(T147,0),MAX(0,P121-IF($A148&gt;='1-Input'!$C$12,'1-Input'!$B$12,0)))))*(1/(1-'P-Parametri'!$B$6*P148))))</f>
        <v>9457.3873287084625</v>
      </c>
      <c r="R148" s="18">
        <f>IF($A148&gt;'1-Input'!$B$26,T147,(T147-MAX(0,P121-IF($A148&gt;='1-Input'!$C$12,'1-Input'!$B$12,0))+Q148*(1-'P-Parametri'!$B$6*P148))*(1+ROUND('3-Liquidita'!$F$11,4)))</f>
        <v>9.0540197561495011E-13</v>
      </c>
      <c r="S148" s="18">
        <f>IF($A148&gt;'1-Input'!$B$26,U147,(U147-Q148)*(1+'5-Roberta'!$C$4))</f>
        <v>136962.61247175909</v>
      </c>
      <c r="T148" s="18">
        <f>IF($A148&gt;'1-Input'!$B$26,R148,R148-'P-Parametri'!$B$8*(S148+R148)+MIN(MAX(S148,0),'P-Parametri'!$B$8*(S148+R148)))</f>
        <v>9.0949470177292824E-13</v>
      </c>
      <c r="U148" s="18">
        <f>IF($A148&gt;'1-Input'!$B$26,S148,S148-MIN(MAX(S148,0),'P-Parametri'!$B$8*(S148+R148)))</f>
        <v>136688.68724681556</v>
      </c>
      <c r="V148" s="18">
        <f>IF($A148&gt;'1-Input'!$B$26,V147,V147-Q148*(1-P148))</f>
        <v>53784.475707275342</v>
      </c>
      <c r="W148" s="11">
        <f>IF($A148&gt;'1-Input'!$B$26,0,IF(AB147&lt;=0,0,MAX(0,(AB147-AC147)/AB147)))</f>
        <v>0.59552458164510891</v>
      </c>
      <c r="X148" s="18">
        <f>IF($A148&gt;'1-Input'!$B$26,0,(MAX(0,W121-IF($A148&gt;='1-Input'!$C$12,'1-Input'!$B$12,0))-MIN(MAX(AA147,0),MAX(0,W121-IF($A148&gt;='1-Input'!$C$12,'1-Input'!$B$12,0))))*(1/(1-'P-Parametri'!$B$6*W148))+MIN(MAX(0,AB147-(MAX(0,W121-IF($A148&gt;='1-Input'!$C$12,'1-Input'!$B$12,0))-MIN(MAX(AA147,0),MAX(0,W121-IF($A148&gt;='1-Input'!$C$12,'1-Input'!$B$12,0))))*(1/(1-'P-Parametri'!$B$6*W148))),MAX(0,0*W121-(AA147-MIN(MAX(AA147,0),MAX(0,W121-IF($A148&gt;='1-Input'!$C$12,'1-Input'!$B$12,0)))))*(1/(1-'P-Parametri'!$B$6*W148))))</f>
        <v>9154.1608112121176</v>
      </c>
      <c r="Y148" s="18">
        <f>IF($A148&gt;'1-Input'!$B$26,AA147,(AA147-MAX(0,W121-IF($A148&gt;='1-Input'!$C$12,'1-Input'!$B$12,0))+X148*(1-'P-Parametri'!$B$6*W148))*(1+ROUND('3-Liquidita'!$F$11,4)))</f>
        <v>0</v>
      </c>
      <c r="Z148" s="18">
        <f>IF($A148&gt;'1-Input'!$B$26,AB147,(AB147-X148)*(1+'5-Roberta'!$C$4))</f>
        <v>147439.40926453032</v>
      </c>
      <c r="AA148" s="18">
        <f>IF($A148&gt;'1-Input'!$B$26,Y148,Y148-'P-Parametri'!$B$8*(Z148+Y148)+MIN(MAX(Z148,0),'P-Parametri'!$B$8*(Z148+Y148)))</f>
        <v>0</v>
      </c>
      <c r="AB148" s="18">
        <f>IF($A148&gt;'1-Input'!$B$26,Z148,Z148-MIN(MAX(Z148,0),'P-Parametri'!$B$8*(Z148+Y148)))</f>
        <v>147144.53044600127</v>
      </c>
      <c r="AC148" s="18">
        <f>IF($A148&gt;'1-Input'!$B$26,AC147,AC147-X148*(1-W148))</f>
        <v>57898.657033270778</v>
      </c>
      <c r="AD148" s="11">
        <f>IF($A148&gt;'1-Input'!$B$26,0,IF(AI147&lt;=0,0,MAX(0,(AI147-AJ147)/AI147)))</f>
        <v>0.59552458164510935</v>
      </c>
      <c r="AE148" s="18">
        <f>IF($A148&gt;'1-Input'!$B$26,0,(MAX(0,AD121-IF($A148&gt;='1-Input'!$C$12,'1-Input'!$B$12,0))-MIN(MAX(AH147,0),MAX(0,AD121-IF($A148&gt;='1-Input'!$C$12,'1-Input'!$B$12,0))))*(1/(1-'P-Parametri'!$B$6*AD148))+MIN(MAX(0,AI147-(MAX(0,AD121-IF($A148&gt;='1-Input'!$C$12,'1-Input'!$B$12,0))-MIN(MAX(AH147,0),MAX(0,AD121-IF($A148&gt;='1-Input'!$C$12,'1-Input'!$B$12,0))))*(1/(1-'P-Parametri'!$B$6*AD148))),MAX(0,0*AD121-(AH147-MIN(MAX(AH147,0),MAX(0,AD121-IF($A148&gt;='1-Input'!$C$12,'1-Input'!$B$12,0)))))*(1/(1-'P-Parametri'!$B$6*AD148))))</f>
        <v>9162.1870269778592</v>
      </c>
      <c r="AF148" s="18">
        <f>IF($A148&gt;'1-Input'!$B$26,AH147,(AH147-MAX(0,AD121-IF($A148&gt;='1-Input'!$C$12,'1-Input'!$B$12,0))+AE148*(1-'P-Parametri'!$B$6*AD148))*(1+ROUND('3-Liquidita'!$F$11,4)))</f>
        <v>0</v>
      </c>
      <c r="AG148" s="18">
        <f>IF($A148&gt;'1-Input'!$B$26,AI147,(AI147-AE148)*(1+'5-Roberta'!$C$4))</f>
        <v>147162.09502339174</v>
      </c>
      <c r="AH148" s="18">
        <f>IF($A148&gt;'1-Input'!$B$26,AF148,AF148-'P-Parametri'!$B$8*(AG148+AF148)+MIN(MAX(AG148,0),'P-Parametri'!$B$8*(AG148+AF148)))</f>
        <v>0</v>
      </c>
      <c r="AI148" s="18">
        <f>IF($A148&gt;'1-Input'!$B$26,AG148,AG148-MIN(MAX(AG148,0),'P-Parametri'!$B$8*(AG148+AF148)))</f>
        <v>146867.77083334496</v>
      </c>
      <c r="AJ148" s="18">
        <f>IF($A148&gt;'1-Input'!$B$26,AJ147,AJ147-AE148*(1-AD148))</f>
        <v>57789.757233561701</v>
      </c>
      <c r="AK148" s="11">
        <f>IF($A148&gt;'1-Input'!$B$26,0,IF(AP147&lt;=0,0,MAX(0,(AP147-AQ147)/AP147)))</f>
        <v>0.5955245816451088</v>
      </c>
      <c r="AL148" s="18">
        <f>IF($A148&gt;'1-Input'!$B$26,0,(MAX(0,AK121-IF($A148&gt;='1-Input'!$C$12,'1-Input'!$B$12,0))-MIN(MAX(AO147,0),MAX(0,AK121-IF($A148&gt;='1-Input'!$C$12,'1-Input'!$B$12,0))))*(1/(1-'P-Parametri'!$B$6*AK148))+MIN(MAX(0,AP147-(MAX(0,AK121-IF($A148&gt;='1-Input'!$C$12,'1-Input'!$B$12,0))-MIN(MAX(AO147,0),MAX(0,AK121-IF($A148&gt;='1-Input'!$C$12,'1-Input'!$B$12,0))))*(1/(1-'P-Parametri'!$B$6*AK148))),MAX(0,0*AK121-(AO147-MIN(MAX(AO147,0),MAX(0,AK121-IF($A148&gt;='1-Input'!$C$12,'1-Input'!$B$12,0)))))*(1/(1-'P-Parametri'!$B$6*AK148))))</f>
        <v>9160.9407035506592</v>
      </c>
      <c r="AM148" s="18">
        <f>IF($A148&gt;'1-Input'!$B$26,AO147,(AO147-MAX(0,AK121-IF($A148&gt;='1-Input'!$C$12,'1-Input'!$B$12,0))+AL148*(1-'P-Parametri'!$B$6*AK148))*(1+ROUND('3-Liquidita'!$F$11,4)))</f>
        <v>0</v>
      </c>
      <c r="AN148" s="18">
        <f>IF($A148&gt;'1-Input'!$B$26,AP147,(AP147-AL148)*(1+'5-Roberta'!$C$4))</f>
        <v>147205.15681558757</v>
      </c>
      <c r="AO148" s="18">
        <f>IF($A148&gt;'1-Input'!$B$26,AM148,AM148-'P-Parametri'!$B$8*(AN148+AM148)+MIN(MAX(AN148,0),'P-Parametri'!$B$8*(AN148+AM148)))</f>
        <v>0</v>
      </c>
      <c r="AP148" s="18">
        <f>IF($A148&gt;'1-Input'!$B$26,AN148,AN148-MIN(MAX(AN148,0),'P-Parametri'!$B$8*(AN148+AM148)))</f>
        <v>146910.7465019564</v>
      </c>
      <c r="AQ148" s="18">
        <f>IF($A148&gt;'1-Input'!$B$26,AQ147,AQ147-AL148*(1-AK148))</f>
        <v>57806.667366002082</v>
      </c>
    </row>
    <row r="149" spans="1:43">
      <c r="A149" s="10">
        <f>26</f>
        <v>26</v>
      </c>
      <c r="B149" s="11">
        <f>IF($A149&gt;'1-Input'!$B$26,0,IF(G148&lt;=0,0,MAX(0,(G148-H148)/G148)))</f>
        <v>0.60651845598489063</v>
      </c>
      <c r="C149" s="18">
        <f>IF($A149&gt;'1-Input'!$B$26,0,(MAX(0,B121-IF($A149&gt;='1-Input'!$C$12,'1-Input'!$B$12,0))-MIN(MAX(F148,0),MAX(0,B121-IF($A149&gt;='1-Input'!$C$12,'1-Input'!$B$12,0))))*(1/(1-'P-Parametri'!$B$6*B149))+MIN(MAX(0,G148-(MAX(0,B121-IF($A149&gt;='1-Input'!$C$12,'1-Input'!$B$12,0))-MIN(MAX(F148,0),MAX(0,B121-IF($A149&gt;='1-Input'!$C$12,'1-Input'!$B$12,0))))*(1/(1-'P-Parametri'!$B$6*B149))),MAX(0,0*B121-(F148-MIN(MAX(F148,0),MAX(0,B121-IF($A149&gt;='1-Input'!$C$12,'1-Input'!$B$12,0)))))*(1/(1-'P-Parametri'!$B$6*B149))))</f>
        <v>6623.5555770780738</v>
      </c>
      <c r="D149" s="18">
        <f>IF($A149&gt;'1-Input'!$B$26,F148,(F148-MAX(0,B121-IF($A149&gt;='1-Input'!$C$12,'1-Input'!$B$12,0))+C149*(1-'P-Parametri'!$B$6*B149))*(1+ROUND('3-Liquidita'!$F$11,4)))</f>
        <v>0</v>
      </c>
      <c r="E149" s="18">
        <f>IF($A149&gt;'1-Input'!$B$26,G148,(G148-C149)*(1+'5-Roberta'!$C$4))</f>
        <v>235410.24318663692</v>
      </c>
      <c r="F149" s="18">
        <f>IF($A149&gt;'1-Input'!$B$26,D149,D149-'P-Parametri'!$B$8*(E149+D149)+MIN(MAX(E149,0),'P-Parametri'!$B$8*(E149+D149)))</f>
        <v>0</v>
      </c>
      <c r="G149" s="18">
        <f>IF($A149&gt;'1-Input'!$B$26,E149,E149-MIN(MAX(E149,0),'P-Parametri'!$B$8*(E149+D149)))</f>
        <v>234939.42270026365</v>
      </c>
      <c r="H149" s="18">
        <f>IF($A149&gt;'1-Input'!$B$26,H148,H148-C149*(1-B149))</f>
        <v>89931.636860242987</v>
      </c>
      <c r="I149" s="11">
        <f>IF($A149&gt;'1-Input'!$B$26,0,IF(N148&lt;=0,0,MAX(0,(N148-O148)/N148)))</f>
        <v>0.60651845598489118</v>
      </c>
      <c r="J149" s="18">
        <f>IF($A149&gt;'1-Input'!$B$26,0,(MAX(0,I121-IF($A149&gt;='1-Input'!$C$12,'1-Input'!$B$12,0))-MIN(MAX(M148,0),MAX(0,I121-IF($A149&gt;='1-Input'!$C$12,'1-Input'!$B$12,0))))*(1/(1-'P-Parametri'!$B$6*I149))+MIN(MAX(0,N148-(MAX(0,I121-IF($A149&gt;='1-Input'!$C$12,'1-Input'!$B$12,0))-MIN(MAX(M148,0),MAX(0,I121-IF($A149&gt;='1-Input'!$C$12,'1-Input'!$B$12,0))))*(1/(1-'P-Parametri'!$B$6*I149))),MAX(0,0*I121-(M148-MIN(MAX(M148,0),MAX(0,I121-IF($A149&gt;='1-Input'!$C$12,'1-Input'!$B$12,0)))))*(1/(1-'P-Parametri'!$B$6*I149))))</f>
        <v>12877.466474544564</v>
      </c>
      <c r="K149" s="18">
        <f>IF($A149&gt;'1-Input'!$B$26,M148,(M148-MAX(0,I121-IF($A149&gt;='1-Input'!$C$12,'1-Input'!$B$12,0))+J149*(1-'P-Parametri'!$B$6*I149))*(1+ROUND('3-Liquidita'!$F$11,4)))</f>
        <v>0</v>
      </c>
      <c r="L149" s="18">
        <f>IF($A149&gt;'1-Input'!$B$26,N148,(N148-J149)*(1+'5-Roberta'!$C$4))</f>
        <v>7603.4419340181439</v>
      </c>
      <c r="M149" s="18">
        <f>IF($A149&gt;'1-Input'!$B$26,K149,K149-'P-Parametri'!$B$8*(L149+K149)+MIN(MAX(L149,0),'P-Parametri'!$B$8*(L149+K149)))</f>
        <v>0</v>
      </c>
      <c r="N149" s="18">
        <f>IF($A149&gt;'1-Input'!$B$26,L149,L149-MIN(MAX(L149,0),'P-Parametri'!$B$8*(L149+K149)))</f>
        <v>7588.2350501501078</v>
      </c>
      <c r="O149" s="18">
        <f>IF($A149&gt;'1-Input'!$B$26,O148,O148-J149*(1-I149))</f>
        <v>2904.6738563365861</v>
      </c>
      <c r="P149" s="11">
        <f>IF($A149&gt;'1-Input'!$B$26,0,IF(U148&lt;=0,0,MAX(0,(U148-V148)/U148)))</f>
        <v>0.60651845598489085</v>
      </c>
      <c r="Q149" s="18">
        <f>IF($A149&gt;'1-Input'!$B$26,0,(MAX(0,P121-IF($A149&gt;='1-Input'!$C$12,'1-Input'!$B$12,0))-MIN(MAX(T148,0),MAX(0,P121-IF($A149&gt;='1-Input'!$C$12,'1-Input'!$B$12,0))))*(1/(1-'P-Parametri'!$B$6*P149))+MIN(MAX(0,U148-(MAX(0,P121-IF($A149&gt;='1-Input'!$C$12,'1-Input'!$B$12,0))-MIN(MAX(T148,0),MAX(0,P121-IF($A149&gt;='1-Input'!$C$12,'1-Input'!$B$12,0))))*(1/(1-'P-Parametri'!$B$6*P149))),MAX(0,0*P121-(T148-MIN(MAX(T148,0),MAX(0,P121-IF($A149&gt;='1-Input'!$C$12,'1-Input'!$B$12,0)))))*(1/(1-'P-Parametri'!$B$6*P149))))</f>
        <v>9489.4814736823009</v>
      </c>
      <c r="R149" s="18">
        <f>IF($A149&gt;'1-Input'!$B$26,T148,(T148-MAX(0,P121-IF($A149&gt;='1-Input'!$C$12,'1-Input'!$B$12,0))+Q149*(1-'P-Parametri'!$B$6*P149))*(1+ROUND('3-Liquidita'!$F$11,4)))</f>
        <v>-9.0540197561495011E-13</v>
      </c>
      <c r="S149" s="18">
        <f>IF($A149&gt;'1-Input'!$B$26,U148,(U148-Q149)*(1+'5-Roberta'!$C$4))</f>
        <v>131015.18194632725</v>
      </c>
      <c r="T149" s="18">
        <f>IF($A149&gt;'1-Input'!$B$26,R149,R149-'P-Parametri'!$B$8*(S149+R149)+MIN(MAX(S149,0),'P-Parametri'!$B$8*(S149+R149)))</f>
        <v>-9.0949470177292824E-13</v>
      </c>
      <c r="U149" s="18">
        <f>IF($A149&gt;'1-Input'!$B$26,S149,S149-MIN(MAX(S149,0),'P-Parametri'!$B$8*(S149+R149)))</f>
        <v>130753.1515824346</v>
      </c>
      <c r="V149" s="18">
        <f>IF($A149&gt;'1-Input'!$B$26,V148,V148-Q149*(1-P149))</f>
        <v>50050.539885108054</v>
      </c>
      <c r="W149" s="11">
        <f>IF($A149&gt;'1-Input'!$B$26,0,IF(AB148&lt;=0,0,MAX(0,(AB148-AC148)/AB148)))</f>
        <v>0.60651845598489107</v>
      </c>
      <c r="X149" s="18">
        <f>IF($A149&gt;'1-Input'!$B$26,0,(MAX(0,W121-IF($A149&gt;='1-Input'!$C$12,'1-Input'!$B$12,0))-MIN(MAX(AA148,0),MAX(0,W121-IF($A149&gt;='1-Input'!$C$12,'1-Input'!$B$12,0))))*(1/(1-'P-Parametri'!$B$6*W149))+MIN(MAX(0,AB148-(MAX(0,W121-IF($A149&gt;='1-Input'!$C$12,'1-Input'!$B$12,0))-MIN(MAX(AA148,0),MAX(0,W121-IF($A149&gt;='1-Input'!$C$12,'1-Input'!$B$12,0))))*(1/(1-'P-Parametri'!$B$6*W149))),MAX(0,0*W121-(AA148-MIN(MAX(AA148,0),MAX(0,W121-IF($A149&gt;='1-Input'!$C$12,'1-Input'!$B$12,0)))))*(1/(1-'P-Parametri'!$B$6*W149))))</f>
        <v>9185.2259409332055</v>
      </c>
      <c r="Y149" s="18">
        <f>IF($A149&gt;'1-Input'!$B$26,AA148,(AA148-MAX(0,W121-IF($A149&gt;='1-Input'!$C$12,'1-Input'!$B$12,0))+X149*(1-'P-Parametri'!$B$6*W149))*(1+ROUND('3-Liquidita'!$F$11,4)))</f>
        <v>-9.0540197561495011E-13</v>
      </c>
      <c r="Z149" s="18">
        <f>IF($A149&gt;'1-Input'!$B$26,AB148,(AB148-X149)*(1+'5-Roberta'!$C$4))</f>
        <v>142098.08364022011</v>
      </c>
      <c r="AA149" s="18">
        <f>IF($A149&gt;'1-Input'!$B$26,Y149,Y149-'P-Parametri'!$B$8*(Z149+Y149)+MIN(MAX(Z149,0),'P-Parametri'!$B$8*(Z149+Y149)))</f>
        <v>-9.0949470177292824E-13</v>
      </c>
      <c r="AB149" s="18">
        <f>IF($A149&gt;'1-Input'!$B$26,Z149,Z149-MIN(MAX(Z149,0),'P-Parametri'!$B$8*(Z149+Y149)))</f>
        <v>141813.88747293968</v>
      </c>
      <c r="AC149" s="18">
        <f>IF($A149&gt;'1-Input'!$B$26,AC148,AC148-X149*(1-W149))</f>
        <v>54284.440147904752</v>
      </c>
      <c r="AD149" s="11">
        <f>IF($A149&gt;'1-Input'!$B$26,0,IF(AI148&lt;=0,0,MAX(0,(AI148-AJ148)/AI148)))</f>
        <v>0.6065184559848914</v>
      </c>
      <c r="AE149" s="18">
        <f>IF($A149&gt;'1-Input'!$B$26,0,(MAX(0,AD121-IF($A149&gt;='1-Input'!$C$12,'1-Input'!$B$12,0))-MIN(MAX(AH148,0),MAX(0,AD121-IF($A149&gt;='1-Input'!$C$12,'1-Input'!$B$12,0))))*(1/(1-'P-Parametri'!$B$6*AD149))+MIN(MAX(0,AI148-(MAX(0,AD121-IF($A149&gt;='1-Input'!$C$12,'1-Input'!$B$12,0))-MIN(MAX(AH148,0),MAX(0,AD121-IF($A149&gt;='1-Input'!$C$12,'1-Input'!$B$12,0))))*(1/(1-'P-Parametri'!$B$6*AD149))),MAX(0,0*AD121-(AH148-MIN(MAX(AH148,0),MAX(0,AD121-IF($A149&gt;='1-Input'!$C$12,'1-Input'!$B$12,0)))))*(1/(1-'P-Parametri'!$B$6*AD149))))</f>
        <v>9193.2793940873962</v>
      </c>
      <c r="AF149" s="18">
        <f>IF($A149&gt;'1-Input'!$B$26,AH148,(AH148-MAX(0,AD121-IF($A149&gt;='1-Input'!$C$12,'1-Input'!$B$12,0))+AE149*(1-'P-Parametri'!$B$6*AD149))*(1+ROUND('3-Liquidita'!$F$11,4)))</f>
        <v>-9.0540197561495011E-13</v>
      </c>
      <c r="AG149" s="18">
        <f>IF($A149&gt;'1-Input'!$B$26,AI148,(AI148-AE149)*(1+'5-Roberta'!$C$4))</f>
        <v>141804.72618243532</v>
      </c>
      <c r="AH149" s="18">
        <f>IF($A149&gt;'1-Input'!$B$26,AF149,AF149-'P-Parametri'!$B$8*(AG149+AF149)+MIN(MAX(AG149,0),'P-Parametri'!$B$8*(AG149+AF149)))</f>
        <v>-9.0949470177292824E-13</v>
      </c>
      <c r="AI149" s="18">
        <f>IF($A149&gt;'1-Input'!$B$26,AG149,AG149-MIN(MAX(AG149,0),'P-Parametri'!$B$8*(AG149+AF149)))</f>
        <v>141521.11673007044</v>
      </c>
      <c r="AJ149" s="18">
        <f>IF($A149&gt;'1-Input'!$B$26,AJ148,AJ148-AE149*(1-AD149))</f>
        <v>54172.371463013907</v>
      </c>
      <c r="AK149" s="11">
        <f>IF($A149&gt;'1-Input'!$B$26,0,IF(AP148&lt;=0,0,MAX(0,(AP148-AQ148)/AP148)))</f>
        <v>0.60651845598489096</v>
      </c>
      <c r="AL149" s="18">
        <f>IF($A149&gt;'1-Input'!$B$26,0,(MAX(0,AK121-IF($A149&gt;='1-Input'!$C$12,'1-Input'!$B$12,0))-MIN(MAX(AO148,0),MAX(0,AK121-IF($A149&gt;='1-Input'!$C$12,'1-Input'!$B$12,0))))*(1/(1-'P-Parametri'!$B$6*AK149))+MIN(MAX(0,AP148-(MAX(0,AK121-IF($A149&gt;='1-Input'!$C$12,'1-Input'!$B$12,0))-MIN(MAX(AO148,0),MAX(0,AK121-IF($A149&gt;='1-Input'!$C$12,'1-Input'!$B$12,0))))*(1/(1-'P-Parametri'!$B$6*AK149))),MAX(0,0*AK121-(AO148-MIN(MAX(AO148,0),MAX(0,AK121-IF($A149&gt;='1-Input'!$C$12,'1-Input'!$B$12,0)))))*(1/(1-'P-Parametri'!$B$6*AK149))))</f>
        <v>9192.0288411956135</v>
      </c>
      <c r="AM149" s="18">
        <f>IF($A149&gt;'1-Input'!$B$26,AO148,(AO148-MAX(0,AK121-IF($A149&gt;='1-Input'!$C$12,'1-Input'!$B$12,0))+AL149*(1-'P-Parametri'!$B$6*AK149))*(1+ROUND('3-Liquidita'!$F$11,4)))</f>
        <v>0</v>
      </c>
      <c r="AN149" s="18">
        <f>IF($A149&gt;'1-Input'!$B$26,AP148,(AP148-AL149)*(1+'5-Roberta'!$C$4))</f>
        <v>141850.27919058362</v>
      </c>
      <c r="AO149" s="18">
        <f>IF($A149&gt;'1-Input'!$B$26,AM149,AM149-'P-Parametri'!$B$8*(AN149+AM149)+MIN(MAX(AN149,0),'P-Parametri'!$B$8*(AN149+AM149)))</f>
        <v>0</v>
      </c>
      <c r="AP149" s="18">
        <f>IF($A149&gt;'1-Input'!$B$26,AN149,AN149-MIN(MAX(AN149,0),'P-Parametri'!$B$8*(AN149+AM149)))</f>
        <v>141566.57863220247</v>
      </c>
      <c r="AQ149" s="18">
        <f>IF($A149&gt;'1-Input'!$B$26,AQ148,AQ148-AL149*(1-AK149))</f>
        <v>54189.77366493702</v>
      </c>
    </row>
    <row r="150" spans="1:43">
      <c r="A150" s="10">
        <f>27</f>
        <v>27</v>
      </c>
      <c r="B150" s="11">
        <f>IF($A150&gt;'1-Input'!$B$26,0,IF(G149&lt;=0,0,MAX(0,(G149-H149)/G149)))</f>
        <v>0.61721351050147932</v>
      </c>
      <c r="C150" s="18">
        <f>IF($A150&gt;'1-Input'!$B$26,0,(MAX(0,B121-IF($A150&gt;='1-Input'!$C$12,'1-Input'!$B$12,0))-MIN(MAX(F149,0),MAX(0,B121-IF($A150&gt;='1-Input'!$C$12,'1-Input'!$B$12,0))))*(1/(1-'P-Parametri'!$B$6*B150))+MIN(MAX(0,G149-(MAX(0,B121-IF($A150&gt;='1-Input'!$C$12,'1-Input'!$B$12,0))-MIN(MAX(F149,0),MAX(0,B121-IF($A150&gt;='1-Input'!$C$12,'1-Input'!$B$12,0))))*(1/(1-'P-Parametri'!$B$6*B150))),MAX(0,0*B121-(F149-MIN(MAX(F149,0),MAX(0,B121-IF($A150&gt;='1-Input'!$C$12,'1-Input'!$B$12,0)))))*(1/(1-'P-Parametri'!$B$6*B150))))</f>
        <v>6645.4944426583179</v>
      </c>
      <c r="D150" s="18">
        <f>IF($A150&gt;'1-Input'!$B$26,F149,(F149-MAX(0,B121-IF($A150&gt;='1-Input'!$C$12,'1-Input'!$B$12,0))+C150*(1-'P-Parametri'!$B$6*B150))*(1+ROUND('3-Liquidita'!$F$11,4)))</f>
        <v>0</v>
      </c>
      <c r="E150" s="18">
        <f>IF($A150&gt;'1-Input'!$B$26,G149,(G149-C150)*(1+'5-Roberta'!$C$4))</f>
        <v>235142.7461053335</v>
      </c>
      <c r="F150" s="18">
        <f>IF($A150&gt;'1-Input'!$B$26,D150,D150-'P-Parametri'!$B$8*(E150+D150)+MIN(MAX(E150,0),'P-Parametri'!$B$8*(E150+D150)))</f>
        <v>0</v>
      </c>
      <c r="G150" s="18">
        <f>IF($A150&gt;'1-Input'!$B$26,E150,E150-MIN(MAX(E150,0),'P-Parametri'!$B$8*(E150+D150)))</f>
        <v>234672.46061312282</v>
      </c>
      <c r="H150" s="18">
        <f>IF($A150&gt;'1-Input'!$B$26,H149,H149-C150*(1-B150))</f>
        <v>87387.831371555876</v>
      </c>
      <c r="I150" s="11">
        <f>IF($A150&gt;'1-Input'!$B$26,0,IF(N149&lt;=0,0,MAX(0,(N149-O149)/N149)))</f>
        <v>0.61721351050147988</v>
      </c>
      <c r="J150" s="18">
        <f>IF($A150&gt;'1-Input'!$B$26,0,(MAX(0,I121-IF($A150&gt;='1-Input'!$C$12,'1-Input'!$B$12,0))-MIN(MAX(M149,0),MAX(0,I121-IF($A150&gt;='1-Input'!$C$12,'1-Input'!$B$12,0))))*(1/(1-'P-Parametri'!$B$6*I150))+MIN(MAX(0,N149-(MAX(0,I121-IF($A150&gt;='1-Input'!$C$12,'1-Input'!$B$12,0))-MIN(MAX(M149,0),MAX(0,I121-IF($A150&gt;='1-Input'!$C$12,'1-Input'!$B$12,0))))*(1/(1-'P-Parametri'!$B$6*I150))),MAX(0,0*I121-(M149-MIN(MAX(M149,0),MAX(0,I121-IF($A150&gt;='1-Input'!$C$12,'1-Input'!$B$12,0)))))*(1/(1-'P-Parametri'!$B$6*I150))))</f>
        <v>12920.119850471056</v>
      </c>
      <c r="K150" s="18">
        <f>IF($A150&gt;'1-Input'!$B$26,M149,(M149-MAX(0,I121-IF($A150&gt;='1-Input'!$C$12,'1-Input'!$B$12,0))+J150*(1-'P-Parametri'!$B$6*I150))*(1+ROUND('3-Liquidita'!$F$11,4)))</f>
        <v>0</v>
      </c>
      <c r="L150" s="18">
        <f>IF($A150&gt;'1-Input'!$B$26,N149,(N149-J150)*(1+'5-Roberta'!$C$4))</f>
        <v>-5491.8413443305762</v>
      </c>
      <c r="M150" s="18">
        <f>IF($A150&gt;'1-Input'!$B$26,K150,K150-'P-Parametri'!$B$8*(L150+K150)+MIN(MAX(L150,0),'P-Parametri'!$B$8*(L150+K150)))</f>
        <v>0</v>
      </c>
      <c r="N150" s="18">
        <f>IF($A150&gt;'1-Input'!$B$26,L150,L150-MIN(MAX(L150,0),'P-Parametri'!$B$8*(L150+K150)))</f>
        <v>-5480.857661641915</v>
      </c>
      <c r="O150" s="18">
        <f>IF($A150&gt;'1-Input'!$B$26,O149,O149-J150*(1-I150))</f>
        <v>-2040.9734651253739</v>
      </c>
      <c r="P150" s="11">
        <f>IF($A150&gt;'1-Input'!$B$26,0,IF(U149&lt;=0,0,MAX(0,(U149-V149)/U149)))</f>
        <v>0.61721351050147955</v>
      </c>
      <c r="Q150" s="18">
        <f>IF($A150&gt;'1-Input'!$B$26,0,(MAX(0,P121-IF($A150&gt;='1-Input'!$C$12,'1-Input'!$B$12,0))-MIN(MAX(T149,0),MAX(0,P121-IF($A150&gt;='1-Input'!$C$12,'1-Input'!$B$12,0))))*(1/(1-'P-Parametri'!$B$6*P150))+MIN(MAX(0,U149-(MAX(0,P121-IF($A150&gt;='1-Input'!$C$12,'1-Input'!$B$12,0))-MIN(MAX(T149,0),MAX(0,P121-IF($A150&gt;='1-Input'!$C$12,'1-Input'!$B$12,0))))*(1/(1-'P-Parametri'!$B$6*P150))),MAX(0,0*P121-(T149-MIN(MAX(T149,0),MAX(0,P121-IF($A150&gt;='1-Input'!$C$12,'1-Input'!$B$12,0)))))*(1/(1-'P-Parametri'!$B$6*P150))))</f>
        <v>9520.912999553062</v>
      </c>
      <c r="R150" s="18">
        <f>IF($A150&gt;'1-Input'!$B$26,T149,(T149-MAX(0,P121-IF($A150&gt;='1-Input'!$C$12,'1-Input'!$B$12,0))+Q150*(1-'P-Parametri'!$B$6*P150))*(1+ROUND('3-Liquidita'!$F$11,4)))</f>
        <v>0</v>
      </c>
      <c r="S150" s="18">
        <f>IF($A150&gt;'1-Input'!$B$26,U149,(U149-Q150)*(1+'5-Roberta'!$C$4))</f>
        <v>124869.20574036798</v>
      </c>
      <c r="T150" s="18">
        <f>IF($A150&gt;'1-Input'!$B$26,R150,R150-'P-Parametri'!$B$8*(S150+R150)+MIN(MAX(S150,0),'P-Parametri'!$B$8*(S150+R150)))</f>
        <v>0</v>
      </c>
      <c r="U150" s="18">
        <f>IF($A150&gt;'1-Input'!$B$26,S150,S150-MIN(MAX(S150,0),'P-Parametri'!$B$8*(S150+R150)))</f>
        <v>124619.46732888724</v>
      </c>
      <c r="V150" s="18">
        <f>IF($A150&gt;'1-Input'!$B$26,V149,V149-Q150*(1-P150))</f>
        <v>46406.063021188311</v>
      </c>
      <c r="W150" s="11">
        <f>IF($A150&gt;'1-Input'!$B$26,0,IF(AB149&lt;=0,0,MAX(0,(AB149-AC149)/AB149)))</f>
        <v>0.61721351050147977</v>
      </c>
      <c r="X150" s="18">
        <f>IF($A150&gt;'1-Input'!$B$26,0,(MAX(0,W121-IF($A150&gt;='1-Input'!$C$12,'1-Input'!$B$12,0))-MIN(MAX(AA149,0),MAX(0,W121-IF($A150&gt;='1-Input'!$C$12,'1-Input'!$B$12,0))))*(1/(1-'P-Parametri'!$B$6*W150))+MIN(MAX(0,AB149-(MAX(0,W121-IF($A150&gt;='1-Input'!$C$12,'1-Input'!$B$12,0))-MIN(MAX(AA149,0),MAX(0,W121-IF($A150&gt;='1-Input'!$C$12,'1-Input'!$B$12,0))))*(1/(1-'P-Parametri'!$B$6*W150))),MAX(0,0*W121-(AA149-MIN(MAX(AA149,0),MAX(0,W121-IF($A150&gt;='1-Input'!$C$12,'1-Input'!$B$12,0)))))*(1/(1-'P-Parametri'!$B$6*W150))))</f>
        <v>9215.6496967086823</v>
      </c>
      <c r="Y150" s="18">
        <f>IF($A150&gt;'1-Input'!$B$26,AA149,(AA149-MAX(0,W121-IF($A150&gt;='1-Input'!$C$12,'1-Input'!$B$12,0))+X150*(1-'P-Parametri'!$B$6*W150))*(1+ROUND('3-Liquidita'!$F$11,4)))</f>
        <v>9.0540197561495011E-13</v>
      </c>
      <c r="Z150" s="18">
        <f>IF($A150&gt;'1-Input'!$B$26,AB149,(AB149-X150)*(1+'5-Roberta'!$C$4))</f>
        <v>136576.18490951794</v>
      </c>
      <c r="AA150" s="18">
        <f>IF($A150&gt;'1-Input'!$B$26,Y150,Y150-'P-Parametri'!$B$8*(Z150+Y150)+MIN(MAX(Z150,0),'P-Parametri'!$B$8*(Z150+Y150)))</f>
        <v>9.0949470177292824E-13</v>
      </c>
      <c r="AB150" s="18">
        <f>IF($A150&gt;'1-Input'!$B$26,Z150,Z150-MIN(MAX(Z150,0),'P-Parametri'!$B$8*(Z150+Y150)))</f>
        <v>136303.03253969891</v>
      </c>
      <c r="AC150" s="18">
        <f>IF($A150&gt;'1-Input'!$B$26,AC149,AC149-X150*(1-W150))</f>
        <v>50756.813952053533</v>
      </c>
      <c r="AD150" s="11">
        <f>IF($A150&gt;'1-Input'!$B$26,0,IF(AI149&lt;=0,0,MAX(0,(AI149-AJ149)/AI149)))</f>
        <v>0.61721351050148021</v>
      </c>
      <c r="AE150" s="18">
        <f>IF($A150&gt;'1-Input'!$B$26,0,(MAX(0,AD121-IF($A150&gt;='1-Input'!$C$12,'1-Input'!$B$12,0))-MIN(MAX(AH149,0),MAX(0,AD121-IF($A150&gt;='1-Input'!$C$12,'1-Input'!$B$12,0))))*(1/(1-'P-Parametri'!$B$6*AD150))+MIN(MAX(0,AI149-(MAX(0,AD121-IF($A150&gt;='1-Input'!$C$12,'1-Input'!$B$12,0))-MIN(MAX(AH149,0),MAX(0,AD121-IF($A150&gt;='1-Input'!$C$12,'1-Input'!$B$12,0))))*(1/(1-'P-Parametri'!$B$6*AD150))),MAX(0,0*AD121-(AH149-MIN(MAX(AH149,0),MAX(0,AD121-IF($A150&gt;='1-Input'!$C$12,'1-Input'!$B$12,0)))))*(1/(1-'P-Parametri'!$B$6*AD150))))</f>
        <v>9223.7298249053256</v>
      </c>
      <c r="AF150" s="18">
        <f>IF($A150&gt;'1-Input'!$B$26,AH149,(AH149-MAX(0,AD121-IF($A150&gt;='1-Input'!$C$12,'1-Input'!$B$12,0))+AE150*(1-'P-Parametri'!$B$6*AD150))*(1+ROUND('3-Liquidita'!$F$11,4)))</f>
        <v>0</v>
      </c>
      <c r="AG150" s="18">
        <f>IF($A150&gt;'1-Input'!$B$26,AI149,(AI149-AE150)*(1+'5-Roberta'!$C$4))</f>
        <v>136266.30851232007</v>
      </c>
      <c r="AH150" s="18">
        <f>IF($A150&gt;'1-Input'!$B$26,AF150,AF150-'P-Parametri'!$B$8*(AG150+AF150)+MIN(MAX(AG150,0),'P-Parametri'!$B$8*(AG150+AF150)))</f>
        <v>0</v>
      </c>
      <c r="AI150" s="18">
        <f>IF($A150&gt;'1-Input'!$B$26,AG150,AG150-MIN(MAX(AG150,0),'P-Parametri'!$B$8*(AG150+AF150)))</f>
        <v>135993.77589529543</v>
      </c>
      <c r="AJ150" s="18">
        <f>IF($A150&gt;'1-Input'!$B$26,AJ149,AJ149-AE150*(1-AD150))</f>
        <v>50641.6523032556</v>
      </c>
      <c r="AK150" s="11">
        <f>IF($A150&gt;'1-Input'!$B$26,0,IF(AP149&lt;=0,0,MAX(0,(AP149-AQ149)/AP149)))</f>
        <v>0.61721351050147966</v>
      </c>
      <c r="AL150" s="18">
        <f>IF($A150&gt;'1-Input'!$B$26,0,(MAX(0,AK121-IF($A150&gt;='1-Input'!$C$12,'1-Input'!$B$12,0))-MIN(MAX(AO149,0),MAX(0,AK121-IF($A150&gt;='1-Input'!$C$12,'1-Input'!$B$12,0))))*(1/(1-'P-Parametri'!$B$6*AK150))+MIN(MAX(0,AP149-(MAX(0,AK121-IF($A150&gt;='1-Input'!$C$12,'1-Input'!$B$12,0))-MIN(MAX(AO149,0),MAX(0,AK121-IF($A150&gt;='1-Input'!$C$12,'1-Input'!$B$12,0))))*(1/(1-'P-Parametri'!$B$6*AK150))),MAX(0,0*AK121-(AO149-MIN(MAX(AO149,0),MAX(0,AK121-IF($A150&gt;='1-Input'!$C$12,'1-Input'!$B$12,0)))))*(1/(1-'P-Parametri'!$B$6*AK150))))</f>
        <v>9222.475129870927</v>
      </c>
      <c r="AM150" s="18">
        <f>IF($A150&gt;'1-Input'!$B$26,AO149,(AO149-MAX(0,AK121-IF($A150&gt;='1-Input'!$C$12,'1-Input'!$B$12,0))+AL150*(1-'P-Parametri'!$B$6*AK150))*(1+ROUND('3-Liquidita'!$F$11,4)))</f>
        <v>-9.0540197561495011E-13</v>
      </c>
      <c r="AN150" s="18">
        <f>IF($A150&gt;'1-Input'!$B$26,AP149,(AP149-AL150)*(1+'5-Roberta'!$C$4))</f>
        <v>136314.42660740149</v>
      </c>
      <c r="AO150" s="18">
        <f>IF($A150&gt;'1-Input'!$B$26,AM150,AM150-'P-Parametri'!$B$8*(AN150+AM150)+MIN(MAX(AN150,0),'P-Parametri'!$B$8*(AN150+AM150)))</f>
        <v>-9.0949470177292824E-13</v>
      </c>
      <c r="AP150" s="18">
        <f>IF($A150&gt;'1-Input'!$B$26,AN150,AN150-MIN(MAX(AN150,0),'P-Parametri'!$B$8*(AN150+AM150)))</f>
        <v>136041.79775418667</v>
      </c>
      <c r="AQ150" s="18">
        <f>IF($A150&gt;'1-Input'!$B$26,AQ149,AQ149-AL150*(1-AK150))</f>
        <v>50659.534785486314</v>
      </c>
    </row>
    <row r="151" spans="1:43">
      <c r="A151" s="10">
        <f>28</f>
        <v>28</v>
      </c>
      <c r="B151" s="11">
        <f>IF($A151&gt;'1-Input'!$B$26,0,IF(G150&lt;=0,0,MAX(0,(G150-H150)/G150)))</f>
        <v>0.62761786728941305</v>
      </c>
      <c r="C151" s="18">
        <f>IF($A151&gt;'1-Input'!$B$26,0,(MAX(0,B121-IF($A151&gt;='1-Input'!$C$12,'1-Input'!$B$12,0))-MIN(MAX(F150,0),MAX(0,B121-IF($A151&gt;='1-Input'!$C$12,'1-Input'!$B$12,0))))*(1/(1-'P-Parametri'!$B$6*B151))+MIN(MAX(0,G150-(MAX(0,B121-IF($A151&gt;='1-Input'!$C$12,'1-Input'!$B$12,0))-MIN(MAX(F150,0),MAX(0,B121-IF($A151&gt;='1-Input'!$C$12,'1-Input'!$B$12,0))))*(1/(1-'P-Parametri'!$B$6*B151))),MAX(0,0*B121-(F150-MIN(MAX(F150,0),MAX(0,B121-IF($A151&gt;='1-Input'!$C$12,'1-Input'!$B$12,0)))))*(1/(1-'P-Parametri'!$B$6*B151))))</f>
        <v>6666.9769103603076</v>
      </c>
      <c r="D151" s="18">
        <f>IF($A151&gt;'1-Input'!$B$26,F150,(F150-MAX(0,B121-IF($A151&gt;='1-Input'!$C$12,'1-Input'!$B$12,0))+C151*(1-'P-Parametri'!$B$6*B151))*(1+ROUND('3-Liquidita'!$F$11,4)))</f>
        <v>0</v>
      </c>
      <c r="E151" s="18">
        <f>IF($A151&gt;'1-Input'!$B$26,G150,(G150-C151)*(1+'5-Roberta'!$C$4))</f>
        <v>234845.64821384539</v>
      </c>
      <c r="F151" s="18">
        <f>IF($A151&gt;'1-Input'!$B$26,D151,D151-'P-Parametri'!$B$8*(E151+D151)+MIN(MAX(E151,0),'P-Parametri'!$B$8*(E151+D151)))</f>
        <v>0</v>
      </c>
      <c r="G151" s="18">
        <f>IF($A151&gt;'1-Input'!$B$26,E151,E151-MIN(MAX(E151,0),'P-Parametri'!$B$8*(E151+D151)))</f>
        <v>234375.9569174177</v>
      </c>
      <c r="H151" s="18">
        <f>IF($A151&gt;'1-Input'!$B$26,H150,H150-C151*(1-B151))</f>
        <v>84905.168290943664</v>
      </c>
      <c r="I151" s="11">
        <f>IF($A151&gt;'1-Input'!$B$26,0,IF(N150&lt;=0,0,MAX(0,(N150-O150)/N150)))</f>
        <v>0</v>
      </c>
      <c r="J151" s="18">
        <f>IF($A151&gt;'1-Input'!$B$26,0,(MAX(0,I121-IF($A151&gt;='1-Input'!$C$12,'1-Input'!$B$12,0))-MIN(MAX(M150,0),MAX(0,I121-IF($A151&gt;='1-Input'!$C$12,'1-Input'!$B$12,0))))*(1/(1-'P-Parametri'!$B$6*I151))+MIN(MAX(0,N150-(MAX(0,I121-IF($A151&gt;='1-Input'!$C$12,'1-Input'!$B$12,0))-MIN(MAX(M150,0),MAX(0,I121-IF($A151&gt;='1-Input'!$C$12,'1-Input'!$B$12,0))))*(1/(1-'P-Parametri'!$B$6*I151))),MAX(0,0*I121-(M150-MIN(MAX(M150,0),MAX(0,I121-IF($A151&gt;='1-Input'!$C$12,'1-Input'!$B$12,0)))))*(1/(1-'P-Parametri'!$B$6*I151))))</f>
        <v>10846.756992928691</v>
      </c>
      <c r="K151" s="18">
        <f>IF($A151&gt;'1-Input'!$B$26,M150,(M150-MAX(0,I121-IF($A151&gt;='1-Input'!$C$12,'1-Input'!$B$12,0))+J151*(1-'P-Parametri'!$B$6*I151))*(1+ROUND('3-Liquidita'!$F$11,4)))</f>
        <v>0</v>
      </c>
      <c r="L151" s="18">
        <f>IF($A151&gt;'1-Input'!$B$26,N150,(N150-J151)*(1+'5-Roberta'!$C$4))</f>
        <v>-16817.443094207727</v>
      </c>
      <c r="M151" s="18">
        <f>IF($A151&gt;'1-Input'!$B$26,K151,K151-'P-Parametri'!$B$8*(L151+K151)+MIN(MAX(L151,0),'P-Parametri'!$B$8*(L151+K151)))</f>
        <v>0</v>
      </c>
      <c r="N151" s="18">
        <f>IF($A151&gt;'1-Input'!$B$26,L151,L151-MIN(MAX(L151,0),'P-Parametri'!$B$8*(L151+K151)))</f>
        <v>-16783.808208019313</v>
      </c>
      <c r="O151" s="18">
        <f>IF($A151&gt;'1-Input'!$B$26,O150,O150-J151*(1-I151))</f>
        <v>-12887.730458054066</v>
      </c>
      <c r="P151" s="11">
        <f>IF($A151&gt;'1-Input'!$B$26,0,IF(U150&lt;=0,0,MAX(0,(U150-V150)/U150)))</f>
        <v>0.62761786728941327</v>
      </c>
      <c r="Q151" s="18">
        <f>IF($A151&gt;'1-Input'!$B$26,0,(MAX(0,P121-IF($A151&gt;='1-Input'!$C$12,'1-Input'!$B$12,0))-MIN(MAX(T150,0),MAX(0,P121-IF($A151&gt;='1-Input'!$C$12,'1-Input'!$B$12,0))))*(1/(1-'P-Parametri'!$B$6*P151))+MIN(MAX(0,U150-(MAX(0,P121-IF($A151&gt;='1-Input'!$C$12,'1-Input'!$B$12,0))-MIN(MAX(T150,0),MAX(0,P121-IF($A151&gt;='1-Input'!$C$12,'1-Input'!$B$12,0))))*(1/(1-'P-Parametri'!$B$6*P151))),MAX(0,0*P121-(T150-MIN(MAX(T150,0),MAX(0,P121-IF($A151&gt;='1-Input'!$C$12,'1-Input'!$B$12,0)))))*(1/(1-'P-Parametri'!$B$6*P151))))</f>
        <v>9551.6906501509511</v>
      </c>
      <c r="R151" s="18">
        <f>IF($A151&gt;'1-Input'!$B$26,T150,(T150-MAX(0,P121-IF($A151&gt;='1-Input'!$C$12,'1-Input'!$B$12,0))+Q151*(1-'P-Parametri'!$B$6*P151))*(1+ROUND('3-Liquidita'!$F$11,4)))</f>
        <v>0</v>
      </c>
      <c r="S151" s="18">
        <f>IF($A151&gt;'1-Input'!$B$26,U150,(U150-Q151)*(1+'5-Roberta'!$C$4))</f>
        <v>118519.80997909838</v>
      </c>
      <c r="T151" s="18">
        <f>IF($A151&gt;'1-Input'!$B$26,R151,R151-'P-Parametri'!$B$8*(S151+R151)+MIN(MAX(S151,0),'P-Parametri'!$B$8*(S151+R151)))</f>
        <v>0</v>
      </c>
      <c r="U151" s="18">
        <f>IF($A151&gt;'1-Input'!$B$26,S151,S151-MIN(MAX(S151,0),'P-Parametri'!$B$8*(S151+R151)))</f>
        <v>118282.77035914018</v>
      </c>
      <c r="V151" s="18">
        <f>IF($A151&gt;'1-Input'!$B$26,V150,V150-Q151*(1-P151))</f>
        <v>42849.184085893328</v>
      </c>
      <c r="W151" s="11">
        <f>IF($A151&gt;'1-Input'!$B$26,0,IF(AB150&lt;=0,0,MAX(0,(AB150-AC150)/AB150)))</f>
        <v>0.6276178672894136</v>
      </c>
      <c r="X151" s="18">
        <f>IF($A151&gt;'1-Input'!$B$26,0,(MAX(0,W121-IF($A151&gt;='1-Input'!$C$12,'1-Input'!$B$12,0))-MIN(MAX(AA150,0),MAX(0,W121-IF($A151&gt;='1-Input'!$C$12,'1-Input'!$B$12,0))))*(1/(1-'P-Parametri'!$B$6*W151))+MIN(MAX(0,AB150-(MAX(0,W121-IF($A151&gt;='1-Input'!$C$12,'1-Input'!$B$12,0))-MIN(MAX(AA150,0),MAX(0,W121-IF($A151&gt;='1-Input'!$C$12,'1-Input'!$B$12,0))))*(1/(1-'P-Parametri'!$B$6*W151))),MAX(0,0*W121-(AA150-MIN(MAX(AA150,0),MAX(0,W121-IF($A151&gt;='1-Input'!$C$12,'1-Input'!$B$12,0)))))*(1/(1-'P-Parametri'!$B$6*W151))))</f>
        <v>9245.4405420205912</v>
      </c>
      <c r="Y151" s="18">
        <f>IF($A151&gt;'1-Input'!$B$26,AA150,(AA150-MAX(0,W121-IF($A151&gt;='1-Input'!$C$12,'1-Input'!$B$12,0))+X151*(1-'P-Parametri'!$B$6*W151))*(1+ROUND('3-Liquidita'!$F$11,4)))</f>
        <v>0</v>
      </c>
      <c r="Z151" s="18">
        <f>IF($A151&gt;'1-Input'!$B$26,AB150,(AB150-X151)*(1+'5-Roberta'!$C$4))</f>
        <v>130869.31975760867</v>
      </c>
      <c r="AA151" s="18">
        <f>IF($A151&gt;'1-Input'!$B$26,Y151,Y151-'P-Parametri'!$B$8*(Z151+Y151)+MIN(MAX(Z151,0),'P-Parametri'!$B$8*(Z151+Y151)))</f>
        <v>0</v>
      </c>
      <c r="AB151" s="18">
        <f>IF($A151&gt;'1-Input'!$B$26,Z151,Z151-MIN(MAX(Z151,0),'P-Parametri'!$B$8*(Z151+Y151)))</f>
        <v>130607.58111809345</v>
      </c>
      <c r="AC151" s="18">
        <f>IF($A151&gt;'1-Input'!$B$26,AC150,AC150-X151*(1-W151))</f>
        <v>47313.977085166989</v>
      </c>
      <c r="AD151" s="11">
        <f>IF($A151&gt;'1-Input'!$B$26,0,IF(AI150&lt;=0,0,MAX(0,(AI150-AJ150)/AI150)))</f>
        <v>0.62761786728941393</v>
      </c>
      <c r="AE151" s="18">
        <f>IF($A151&gt;'1-Input'!$B$26,0,(MAX(0,AD121-IF($A151&gt;='1-Input'!$C$12,'1-Input'!$B$12,0))-MIN(MAX(AH150,0),MAX(0,AD121-IF($A151&gt;='1-Input'!$C$12,'1-Input'!$B$12,0))))*(1/(1-'P-Parametri'!$B$6*AD151))+MIN(MAX(0,AI150-(MAX(0,AD121-IF($A151&gt;='1-Input'!$C$12,'1-Input'!$B$12,0))-MIN(MAX(AH150,0),MAX(0,AD121-IF($A151&gt;='1-Input'!$C$12,'1-Input'!$B$12,0))))*(1/(1-'P-Parametri'!$B$6*AD151))),MAX(0,0*AD121-(AH150-MIN(MAX(AH150,0),MAX(0,AD121-IF($A151&gt;='1-Input'!$C$12,'1-Input'!$B$12,0)))))*(1/(1-'P-Parametri'!$B$6*AD151))))</f>
        <v>9253.5467903343324</v>
      </c>
      <c r="AF151" s="18">
        <f>IF($A151&gt;'1-Input'!$B$26,AH150,(AH150-MAX(0,AD121-IF($A151&gt;='1-Input'!$C$12,'1-Input'!$B$12,0))+AE151*(1-'P-Parametri'!$B$6*AD151))*(1+ROUND('3-Liquidita'!$F$11,4)))</f>
        <v>0</v>
      </c>
      <c r="AG151" s="18">
        <f>IF($A151&gt;'1-Input'!$B$26,AI150,(AI150-AE151)*(1+'5-Roberta'!$C$4))</f>
        <v>130542.43597810993</v>
      </c>
      <c r="AH151" s="18">
        <f>IF($A151&gt;'1-Input'!$B$26,AF151,AF151-'P-Parametri'!$B$8*(AG151+AF151)+MIN(MAX(AG151,0),'P-Parametri'!$B$8*(AG151+AF151)))</f>
        <v>0</v>
      </c>
      <c r="AI151" s="18">
        <f>IF($A151&gt;'1-Input'!$B$26,AG151,AG151-MIN(MAX(AG151,0),'P-Parametri'!$B$8*(AG151+AF151)))</f>
        <v>130281.35110615371</v>
      </c>
      <c r="AJ151" s="18">
        <f>IF($A151&gt;'1-Input'!$B$26,AJ150,AJ150-AE151*(1-AD151))</f>
        <v>47195.796814333706</v>
      </c>
      <c r="AK151" s="11">
        <f>IF($A151&gt;'1-Input'!$B$26,0,IF(AP150&lt;=0,0,MAX(0,(AP150-AQ150)/AP150)))</f>
        <v>0.62761786728941338</v>
      </c>
      <c r="AL151" s="18">
        <f>IF($A151&gt;'1-Input'!$B$26,0,(MAX(0,AK121-IF($A151&gt;='1-Input'!$C$12,'1-Input'!$B$12,0))-MIN(MAX(AO150,0),MAX(0,AK121-IF($A151&gt;='1-Input'!$C$12,'1-Input'!$B$12,0))))*(1/(1-'P-Parametri'!$B$6*AK151))+MIN(MAX(0,AP150-(MAX(0,AK121-IF($A151&gt;='1-Input'!$C$12,'1-Input'!$B$12,0))-MIN(MAX(AO150,0),MAX(0,AK121-IF($A151&gt;='1-Input'!$C$12,'1-Input'!$B$12,0))))*(1/(1-'P-Parametri'!$B$6*AK151))),MAX(0,0*AK121-(AO150-MIN(MAX(AO150,0),MAX(0,AK121-IF($A151&gt;='1-Input'!$C$12,'1-Input'!$B$12,0)))))*(1/(1-'P-Parametri'!$B$6*AK151))))</f>
        <v>9252.2880393270116</v>
      </c>
      <c r="AM151" s="18">
        <f>IF($A151&gt;'1-Input'!$B$26,AO150,(AO150-MAX(0,AK121-IF($A151&gt;='1-Input'!$C$12,'1-Input'!$B$12,0))+AL151*(1-'P-Parametri'!$B$6*AK151))*(1+ROUND('3-Liquidita'!$F$11,4)))</f>
        <v>1.8108039512299002E-12</v>
      </c>
      <c r="AN151" s="18">
        <f>IF($A151&gt;'1-Input'!$B$26,AP150,(AP150-AL151)*(1+'5-Roberta'!$C$4))</f>
        <v>130593.19500630545</v>
      </c>
      <c r="AO151" s="18">
        <f>IF($A151&gt;'1-Input'!$B$26,AM151,AM151-'P-Parametri'!$B$8*(AN151+AM151)+MIN(MAX(AN151,0),'P-Parametri'!$B$8*(AN151+AM151)))</f>
        <v>1.8189894035458565E-12</v>
      </c>
      <c r="AP151" s="18">
        <f>IF($A151&gt;'1-Input'!$B$26,AN151,AN151-MIN(MAX(AN151,0),'P-Parametri'!$B$8*(AN151+AM151)))</f>
        <v>130332.00861629285</v>
      </c>
      <c r="AQ151" s="18">
        <f>IF($A151&gt;'1-Input'!$B$26,AQ150,AQ150-AL151*(1-AK151))</f>
        <v>47214.148032949073</v>
      </c>
    </row>
    <row r="152" spans="1:43">
      <c r="A152" s="10">
        <f>29</f>
        <v>29</v>
      </c>
      <c r="B152" s="11">
        <f>IF($A152&gt;'1-Input'!$B$26,0,IF(G151&lt;=0,0,MAX(0,(G151-H151)/G151)))</f>
        <v>0.637739427680033</v>
      </c>
      <c r="C152" s="18">
        <f>IF($A152&gt;'1-Input'!$B$26,0,(MAX(0,B121-IF($A152&gt;='1-Input'!$C$12,'1-Input'!$B$12,0))-MIN(MAX(F151,0),MAX(0,B121-IF($A152&gt;='1-Input'!$C$12,'1-Input'!$B$12,0))))*(1/(1-'P-Parametri'!$B$6*B152))+MIN(MAX(0,G151-(MAX(0,B121-IF($A152&gt;='1-Input'!$C$12,'1-Input'!$B$12,0))-MIN(MAX(F151,0),MAX(0,B121-IF($A152&gt;='1-Input'!$C$12,'1-Input'!$B$12,0))))*(1/(1-'P-Parametri'!$B$6*B152))),MAX(0,0*B121-(F151-MIN(MAX(F151,0),MAX(0,B121-IF($A152&gt;='1-Input'!$C$12,'1-Input'!$B$12,0)))))*(1/(1-'P-Parametri'!$B$6*B152))))</f>
        <v>6688.0091713526954</v>
      </c>
      <c r="D152" s="18">
        <f>IF($A152&gt;'1-Input'!$B$26,F151,(F151-MAX(0,B121-IF($A152&gt;='1-Input'!$C$12,'1-Input'!$B$12,0))+C152*(1-'P-Parametri'!$B$6*B152))*(1+ROUND('3-Liquidita'!$F$11,4)))</f>
        <v>0</v>
      </c>
      <c r="E152" s="18">
        <f>IF($A152&gt;'1-Input'!$B$26,G151,(G151-C152)*(1+'5-Roberta'!$C$4))</f>
        <v>234518.58617844697</v>
      </c>
      <c r="F152" s="18">
        <f>IF($A152&gt;'1-Input'!$B$26,D152,D152-'P-Parametri'!$B$8*(E152+D152)+MIN(MAX(E152,0),'P-Parametri'!$B$8*(E152+D152)))</f>
        <v>0</v>
      </c>
      <c r="G152" s="18">
        <f>IF($A152&gt;'1-Input'!$B$26,E152,E152-MIN(MAX(E152,0),'P-Parametri'!$B$8*(E152+D152)))</f>
        <v>234049.54900609009</v>
      </c>
      <c r="H152" s="18">
        <f>IF($A152&gt;'1-Input'!$B$26,H151,H151-C152*(1-B152))</f>
        <v>82482.366260848241</v>
      </c>
      <c r="I152" s="11">
        <f>IF($A152&gt;'1-Input'!$B$26,0,IF(N151&lt;=0,0,MAX(0,(N151-O151)/N151)))</f>
        <v>0</v>
      </c>
      <c r="J152" s="18">
        <f>IF($A152&gt;'1-Input'!$B$26,0,(MAX(0,I121-IF($A152&gt;='1-Input'!$C$12,'1-Input'!$B$12,0))-MIN(MAX(M151,0),MAX(0,I121-IF($A152&gt;='1-Input'!$C$12,'1-Input'!$B$12,0))))*(1/(1-'P-Parametri'!$B$6*I152))+MIN(MAX(0,N151-(MAX(0,I121-IF($A152&gt;='1-Input'!$C$12,'1-Input'!$B$12,0))-MIN(MAX(M151,0),MAX(0,I121-IF($A152&gt;='1-Input'!$C$12,'1-Input'!$B$12,0))))*(1/(1-'P-Parametri'!$B$6*I152))),MAX(0,0*I121-(M151-MIN(MAX(M151,0),MAX(0,I121-IF($A152&gt;='1-Input'!$C$12,'1-Input'!$B$12,0)))))*(1/(1-'P-Parametri'!$B$6*I152))))</f>
        <v>10846.756992928691</v>
      </c>
      <c r="K152" s="18">
        <f>IF($A152&gt;'1-Input'!$B$26,M151,(M151-MAX(0,I121-IF($A152&gt;='1-Input'!$C$12,'1-Input'!$B$12,0))+J152*(1-'P-Parametri'!$B$6*I152))*(1+ROUND('3-Liquidita'!$F$11,4)))</f>
        <v>0</v>
      </c>
      <c r="L152" s="18">
        <f>IF($A152&gt;'1-Input'!$B$26,N151,(N151-J152)*(1+'5-Roberta'!$C$4))</f>
        <v>-28459.482156976446</v>
      </c>
      <c r="M152" s="18">
        <f>IF($A152&gt;'1-Input'!$B$26,K152,K152-'P-Parametri'!$B$8*(L152+K152)+MIN(MAX(L152,0),'P-Parametri'!$B$8*(L152+K152)))</f>
        <v>0</v>
      </c>
      <c r="N152" s="18">
        <f>IF($A152&gt;'1-Input'!$B$26,L152,L152-MIN(MAX(L152,0),'P-Parametri'!$B$8*(L152+K152)))</f>
        <v>-28402.563192662492</v>
      </c>
      <c r="O152" s="18">
        <f>IF($A152&gt;'1-Input'!$B$26,O151,O151-J152*(1-I152))</f>
        <v>-23734.487450982757</v>
      </c>
      <c r="P152" s="11">
        <f>IF($A152&gt;'1-Input'!$B$26,0,IF(U151&lt;=0,0,MAX(0,(U151-V151)/U151)))</f>
        <v>0.63773942768003322</v>
      </c>
      <c r="Q152" s="18">
        <f>IF($A152&gt;'1-Input'!$B$26,0,(MAX(0,P121-IF($A152&gt;='1-Input'!$C$12,'1-Input'!$B$12,0))-MIN(MAX(T151,0),MAX(0,P121-IF($A152&gt;='1-Input'!$C$12,'1-Input'!$B$12,0))))*(1/(1-'P-Parametri'!$B$6*P152))+MIN(MAX(0,U151-(MAX(0,P121-IF($A152&gt;='1-Input'!$C$12,'1-Input'!$B$12,0))-MIN(MAX(T151,0),MAX(0,P121-IF($A152&gt;='1-Input'!$C$12,'1-Input'!$B$12,0))))*(1/(1-'P-Parametri'!$B$6*P152))),MAX(0,0*P121-(T151-MIN(MAX(T151,0),MAX(0,P121-IF($A152&gt;='1-Input'!$C$12,'1-Input'!$B$12,0)))))*(1/(1-'P-Parametri'!$B$6*P152))))</f>
        <v>9581.8232954823525</v>
      </c>
      <c r="R152" s="18">
        <f>IF($A152&gt;'1-Input'!$B$26,T151,(T151-MAX(0,P121-IF($A152&gt;='1-Input'!$C$12,'1-Input'!$B$12,0))+Q152*(1-'P-Parametri'!$B$6*P152))*(1+ROUND('3-Liquidita'!$F$11,4)))</f>
        <v>9.0540197561495011E-13</v>
      </c>
      <c r="S152" s="18">
        <f>IF($A152&gt;'1-Input'!$B$26,U151,(U151-Q152)*(1+'5-Roberta'!$C$4))</f>
        <v>111961.97547556757</v>
      </c>
      <c r="T152" s="18">
        <f>IF($A152&gt;'1-Input'!$B$26,R152,R152-'P-Parametri'!$B$8*(S152+R152)+MIN(MAX(S152,0),'P-Parametri'!$B$8*(S152+R152)))</f>
        <v>9.0949470177292824E-13</v>
      </c>
      <c r="U152" s="18">
        <f>IF($A152&gt;'1-Input'!$B$26,S152,S152-MIN(MAX(S152,0),'P-Parametri'!$B$8*(S152+R152)))</f>
        <v>111738.05152461643</v>
      </c>
      <c r="V152" s="18">
        <f>IF($A152&gt;'1-Input'!$B$26,V151,V151-Q152*(1-P152))</f>
        <v>39378.0672950031</v>
      </c>
      <c r="W152" s="11">
        <f>IF($A152&gt;'1-Input'!$B$26,0,IF(AB151&lt;=0,0,MAX(0,(AB151-AC151)/AB151)))</f>
        <v>0.63773942768003344</v>
      </c>
      <c r="X152" s="18">
        <f>IF($A152&gt;'1-Input'!$B$26,0,(MAX(0,W121-IF($A152&gt;='1-Input'!$C$12,'1-Input'!$B$12,0))-MIN(MAX(AA151,0),MAX(0,W121-IF($A152&gt;='1-Input'!$C$12,'1-Input'!$B$12,0))))*(1/(1-'P-Parametri'!$B$6*W152))+MIN(MAX(0,AB151-(MAX(0,W121-IF($A152&gt;='1-Input'!$C$12,'1-Input'!$B$12,0))-MIN(MAX(AA151,0),MAX(0,W121-IF($A152&gt;='1-Input'!$C$12,'1-Input'!$B$12,0))))*(1/(1-'P-Parametri'!$B$6*W152))),MAX(0,0*W121-(AA151-MIN(MAX(AA151,0),MAX(0,W121-IF($A152&gt;='1-Input'!$C$12,'1-Input'!$B$12,0)))))*(1/(1-'P-Parametri'!$B$6*W152))))</f>
        <v>9274.6070624816421</v>
      </c>
      <c r="Y152" s="18">
        <f>IF($A152&gt;'1-Input'!$B$26,AA151,(AA151-MAX(0,W121-IF($A152&gt;='1-Input'!$C$12,'1-Input'!$B$12,0))+X152*(1-'P-Parametri'!$B$6*W152))*(1+ROUND('3-Liquidita'!$F$11,4)))</f>
        <v>-9.0540197561495011E-13</v>
      </c>
      <c r="Z152" s="18">
        <f>IF($A152&gt;'1-Input'!$B$26,AB151,(AB151-X152)*(1+'5-Roberta'!$C$4))</f>
        <v>124972.96327728017</v>
      </c>
      <c r="AA152" s="18">
        <f>IF($A152&gt;'1-Input'!$B$26,Y152,Y152-'P-Parametri'!$B$8*(Z152+Y152)+MIN(MAX(Z152,0),'P-Parametri'!$B$8*(Z152+Y152)))</f>
        <v>-9.0949470177292824E-13</v>
      </c>
      <c r="AB152" s="18">
        <f>IF($A152&gt;'1-Input'!$B$26,Z152,Z152-MIN(MAX(Z152,0),'P-Parametri'!$B$8*(Z152+Y152)))</f>
        <v>124723.01735072561</v>
      </c>
      <c r="AC152" s="18">
        <f>IF($A152&gt;'1-Input'!$B$26,AC151,AC151-X152*(1-W152))</f>
        <v>43954.152622669586</v>
      </c>
      <c r="AD152" s="11">
        <f>IF($A152&gt;'1-Input'!$B$26,0,IF(AI151&lt;=0,0,MAX(0,(AI151-AJ151)/AI151)))</f>
        <v>0.63773942768003378</v>
      </c>
      <c r="AE152" s="18">
        <f>IF($A152&gt;'1-Input'!$B$26,0,(MAX(0,AD121-IF($A152&gt;='1-Input'!$C$12,'1-Input'!$B$12,0))-MIN(MAX(AH151,0),MAX(0,AD121-IF($A152&gt;='1-Input'!$C$12,'1-Input'!$B$12,0))))*(1/(1-'P-Parametri'!$B$6*AD152))+MIN(MAX(0,AI151-(MAX(0,AD121-IF($A152&gt;='1-Input'!$C$12,'1-Input'!$B$12,0))-MIN(MAX(AH151,0),MAX(0,AD121-IF($A152&gt;='1-Input'!$C$12,'1-Input'!$B$12,0))))*(1/(1-'P-Parametri'!$B$6*AD152))),MAX(0,0*AD121-(AH151-MIN(MAX(AH151,0),MAX(0,AD121-IF($A152&gt;='1-Input'!$C$12,'1-Input'!$B$12,0)))))*(1/(1-'P-Parametri'!$B$6*AD152))))</f>
        <v>9282.7388835148467</v>
      </c>
      <c r="AF152" s="18">
        <f>IF($A152&gt;'1-Input'!$B$26,AH151,(AH151-MAX(0,AD121-IF($A152&gt;='1-Input'!$C$12,'1-Input'!$B$12,0))+AE152*(1-'P-Parametri'!$B$6*AD152))*(1+ROUND('3-Liquidita'!$F$11,4)))</f>
        <v>-9.0540197561495011E-13</v>
      </c>
      <c r="AG152" s="18">
        <f>IF($A152&gt;'1-Input'!$B$26,AI151,(AI151-AE152)*(1+'5-Roberta'!$C$4))</f>
        <v>124628.57058931804</v>
      </c>
      <c r="AH152" s="18">
        <f>IF($A152&gt;'1-Input'!$B$26,AF152,AF152-'P-Parametri'!$B$8*(AG152+AF152)+MIN(MAX(AG152,0),'P-Parametri'!$B$8*(AG152+AF152)))</f>
        <v>-9.0949470177292824E-13</v>
      </c>
      <c r="AI152" s="18">
        <f>IF($A152&gt;'1-Input'!$B$26,AG152,AG152-MIN(MAX(AG152,0),'P-Parametri'!$B$8*(AG152+AF152)))</f>
        <v>124379.31344813941</v>
      </c>
      <c r="AJ152" s="18">
        <f>IF($A152&gt;'1-Input'!$B$26,AJ151,AJ151-AE152*(1-AD152))</f>
        <v>43833.026513694815</v>
      </c>
      <c r="AK152" s="11">
        <f>IF($A152&gt;'1-Input'!$B$26,0,IF(AP151&lt;=0,0,MAX(0,(AP151-AQ151)/AP151)))</f>
        <v>0.63773942768003333</v>
      </c>
      <c r="AL152" s="18">
        <f>IF($A152&gt;'1-Input'!$B$26,0,(MAX(0,AK121-IF($A152&gt;='1-Input'!$C$12,'1-Input'!$B$12,0))-MIN(MAX(AO151,0),MAX(0,AK121-IF($A152&gt;='1-Input'!$C$12,'1-Input'!$B$12,0))))*(1/(1-'P-Parametri'!$B$6*AK152))+MIN(MAX(0,AP151-(MAX(0,AK121-IF($A152&gt;='1-Input'!$C$12,'1-Input'!$B$12,0))-MIN(MAX(AO151,0),MAX(0,AK121-IF($A152&gt;='1-Input'!$C$12,'1-Input'!$B$12,0))))*(1/(1-'P-Parametri'!$B$6*AK152))),MAX(0,0*AK121-(AO151-MIN(MAX(AO151,0),MAX(0,AK121-IF($A152&gt;='1-Input'!$C$12,'1-Input'!$B$12,0)))))*(1/(1-'P-Parametri'!$B$6*AK152))))</f>
        <v>9281.47616153536</v>
      </c>
      <c r="AM152" s="18">
        <f>IF($A152&gt;'1-Input'!$B$26,AO151,(AO151-MAX(0,AK121-IF($A152&gt;='1-Input'!$C$12,'1-Input'!$B$12,0))+AL152*(1-'P-Parametri'!$B$6*AK152))*(1+ROUND('3-Liquidita'!$F$11,4)))</f>
        <v>0</v>
      </c>
      <c r="AN152" s="18">
        <f>IF($A152&gt;'1-Input'!$B$26,AP151,(AP151-AL152)*(1+'5-Roberta'!$C$4))</f>
        <v>124682.04842840022</v>
      </c>
      <c r="AO152" s="18">
        <f>IF($A152&gt;'1-Input'!$B$26,AM152,AM152-'P-Parametri'!$B$8*(AN152+AM152)+MIN(MAX(AN152,0),'P-Parametri'!$B$8*(AN152+AM152)))</f>
        <v>0</v>
      </c>
      <c r="AP152" s="18">
        <f>IF($A152&gt;'1-Input'!$B$26,AN152,AN152-MIN(MAX(AN152,0),'P-Parametri'!$B$8*(AN152+AM152)))</f>
        <v>124432.68433154341</v>
      </c>
      <c r="AQ152" s="18">
        <f>IF($A152&gt;'1-Input'!$B$26,AQ151,AQ151-AL152*(1-AK152))</f>
        <v>43851.835166697143</v>
      </c>
    </row>
    <row r="153" spans="1:43">
      <c r="A153" s="10">
        <f>30</f>
        <v>30</v>
      </c>
      <c r="B153" s="11">
        <f>IF($A153&gt;'1-Input'!$B$26,0,IF(G152&lt;=0,0,MAX(0,(G152-H152)/G152)))</f>
        <v>0.64758587824195291</v>
      </c>
      <c r="C153" s="18">
        <f>IF($A153&gt;'1-Input'!$B$26,0,(MAX(0,B121-IF($A153&gt;='1-Input'!$C$12,'1-Input'!$B$12,0))-MIN(MAX(F152,0),MAX(0,B121-IF($A153&gt;='1-Input'!$C$12,'1-Input'!$B$12,0))))*(1/(1-'P-Parametri'!$B$6*B153))+MIN(MAX(0,G152-(MAX(0,B121-IF($A153&gt;='1-Input'!$C$12,'1-Input'!$B$12,0))-MIN(MAX(F152,0),MAX(0,B121-IF($A153&gt;='1-Input'!$C$12,'1-Input'!$B$12,0))))*(1/(1-'P-Parametri'!$B$6*B153))),MAX(0,0*B121-(F152-MIN(MAX(F152,0),MAX(0,B121-IF($A153&gt;='1-Input'!$C$12,'1-Input'!$B$12,0)))))*(1/(1-'P-Parametri'!$B$6*B153))))</f>
        <v>6708.5974947286659</v>
      </c>
      <c r="D153" s="18">
        <f>IF($A153&gt;'1-Input'!$B$26,F152,(F152-MAX(0,B121-IF($A153&gt;='1-Input'!$C$12,'1-Input'!$B$12,0))+C153*(1-'P-Parametri'!$B$6*B153))*(1+ROUND('3-Liquidita'!$F$11,4)))</f>
        <v>0</v>
      </c>
      <c r="E153" s="18">
        <f>IF($A153&gt;'1-Input'!$B$26,G152,(G152-C153)*(1+'5-Roberta'!$C$4))</f>
        <v>234161.18005670229</v>
      </c>
      <c r="F153" s="18">
        <f>IF($A153&gt;'1-Input'!$B$26,D153,D153-'P-Parametri'!$B$8*(E153+D153)+MIN(MAX(E153,0),'P-Parametri'!$B$8*(E153+D153)))</f>
        <v>0</v>
      </c>
      <c r="G153" s="18">
        <f>IF($A153&gt;'1-Input'!$B$26,E153,E153-MIN(MAX(E153,0),'P-Parametri'!$B$8*(E153+D153)))</f>
        <v>233692.85769658888</v>
      </c>
      <c r="H153" s="18">
        <f>IF($A153&gt;'1-Input'!$B$26,H152,H152-C153*(1-B153))</f>
        <v>80118.161766515201</v>
      </c>
      <c r="I153" s="11">
        <f>IF($A153&gt;'1-Input'!$B$26,0,IF(N152&lt;=0,0,MAX(0,(N152-O152)/N152)))</f>
        <v>0</v>
      </c>
      <c r="J153" s="18">
        <f>IF($A153&gt;'1-Input'!$B$26,0,(MAX(0,I121-IF($A153&gt;='1-Input'!$C$12,'1-Input'!$B$12,0))-MIN(MAX(M152,0),MAX(0,I121-IF($A153&gt;='1-Input'!$C$12,'1-Input'!$B$12,0))))*(1/(1-'P-Parametri'!$B$6*I153))+MIN(MAX(0,N152-(MAX(0,I121-IF($A153&gt;='1-Input'!$C$12,'1-Input'!$B$12,0))-MIN(MAX(M152,0),MAX(0,I121-IF($A153&gt;='1-Input'!$C$12,'1-Input'!$B$12,0))))*(1/(1-'P-Parametri'!$B$6*I153))),MAX(0,0*I121-(M152-MIN(MAX(M152,0),MAX(0,I121-IF($A153&gt;='1-Input'!$C$12,'1-Input'!$B$12,0)))))*(1/(1-'P-Parametri'!$B$6*I153))))</f>
        <v>10846.756992928691</v>
      </c>
      <c r="K153" s="18">
        <f>IF($A153&gt;'1-Input'!$B$26,M152,(M152-MAX(0,I121-IF($A153&gt;='1-Input'!$C$12,'1-Input'!$B$12,0))+J153*(1-'P-Parametri'!$B$6*I153))*(1+ROUND('3-Liquidita'!$F$11,4)))</f>
        <v>0</v>
      </c>
      <c r="L153" s="18">
        <f>IF($A153&gt;'1-Input'!$B$26,N152,(N152-J153)*(1+'5-Roberta'!$C$4))</f>
        <v>-40426.799791158919</v>
      </c>
      <c r="M153" s="18">
        <f>IF($A153&gt;'1-Input'!$B$26,K153,K153-'P-Parametri'!$B$8*(L153+K153)+MIN(MAX(L153,0),'P-Parametri'!$B$8*(L153+K153)))</f>
        <v>0</v>
      </c>
      <c r="N153" s="18">
        <f>IF($A153&gt;'1-Input'!$B$26,L153,L153-MIN(MAX(L153,0),'P-Parametri'!$B$8*(L153+K153)))</f>
        <v>-40345.946191576601</v>
      </c>
      <c r="O153" s="18">
        <f>IF($A153&gt;'1-Input'!$B$26,O152,O152-J153*(1-I153))</f>
        <v>-34581.244443911448</v>
      </c>
      <c r="P153" s="11">
        <f>IF($A153&gt;'1-Input'!$B$26,0,IF(U152&lt;=0,0,MAX(0,(U152-V152)/U152)))</f>
        <v>0.64758587824195302</v>
      </c>
      <c r="Q153" s="18">
        <f>IF($A153&gt;'1-Input'!$B$26,0,(MAX(0,P121-IF($A153&gt;='1-Input'!$C$12,'1-Input'!$B$12,0))-MIN(MAX(T152,0),MAX(0,P121-IF($A153&gt;='1-Input'!$C$12,'1-Input'!$B$12,0))))*(1/(1-'P-Parametri'!$B$6*P153))+MIN(MAX(0,U152-(MAX(0,P121-IF($A153&gt;='1-Input'!$C$12,'1-Input'!$B$12,0))-MIN(MAX(T152,0),MAX(0,P121-IF($A153&gt;='1-Input'!$C$12,'1-Input'!$B$12,0))))*(1/(1-'P-Parametri'!$B$6*P153))),MAX(0,0*P121-(T152-MIN(MAX(T152,0),MAX(0,P121-IF($A153&gt;='1-Input'!$C$12,'1-Input'!$B$12,0)))))*(1/(1-'P-Parametri'!$B$6*P153))))</f>
        <v>9611.3199171951001</v>
      </c>
      <c r="R153" s="18">
        <f>IF($A153&gt;'1-Input'!$B$26,T152,(T152-MAX(0,P121-IF($A153&gt;='1-Input'!$C$12,'1-Input'!$B$12,0))+Q153*(1-'P-Parametri'!$B$6*P153))*(1+ROUND('3-Liquidita'!$F$11,4)))</f>
        <v>-9.0540197561495011E-13</v>
      </c>
      <c r="S153" s="18">
        <f>IF($A153&gt;'1-Input'!$B$26,U152,(U152-Q153)*(1+'5-Roberta'!$C$4))</f>
        <v>105190.53355564397</v>
      </c>
      <c r="T153" s="18">
        <f>IF($A153&gt;'1-Input'!$B$26,R153,R153-'P-Parametri'!$B$8*(S153+R153)+MIN(MAX(S153,0),'P-Parametri'!$B$8*(S153+R153)))</f>
        <v>-9.0949470177292824E-13</v>
      </c>
      <c r="U153" s="18">
        <f>IF($A153&gt;'1-Input'!$B$26,S153,S153-MIN(MAX(S153,0),'P-Parametri'!$B$8*(S153+R153)))</f>
        <v>104980.15248853268</v>
      </c>
      <c r="V153" s="18">
        <f>IF($A153&gt;'1-Input'!$B$26,V152,V152-Q153*(1-P153))</f>
        <v>35990.902427449168</v>
      </c>
      <c r="W153" s="11">
        <f>IF($A153&gt;'1-Input'!$B$26,0,IF(AB152&lt;=0,0,MAX(0,(AB152-AC152)/AB152)))</f>
        <v>0.64758587824195335</v>
      </c>
      <c r="X153" s="18">
        <f>IF($A153&gt;'1-Input'!$B$26,0,(MAX(0,W121-IF($A153&gt;='1-Input'!$C$12,'1-Input'!$B$12,0))-MIN(MAX(AA152,0),MAX(0,W121-IF($A153&gt;='1-Input'!$C$12,'1-Input'!$B$12,0))))*(1/(1-'P-Parametri'!$B$6*W153))+MIN(MAX(0,AB152-(MAX(0,W121-IF($A153&gt;='1-Input'!$C$12,'1-Input'!$B$12,0))-MIN(MAX(AA152,0),MAX(0,W121-IF($A153&gt;='1-Input'!$C$12,'1-Input'!$B$12,0))))*(1/(1-'P-Parametri'!$B$6*W153))),MAX(0,0*W121-(AA152-MIN(MAX(AA152,0),MAX(0,W121-IF($A153&gt;='1-Input'!$C$12,'1-Input'!$B$12,0)))))*(1/(1-'P-Parametri'!$B$6*W153))))</f>
        <v>9303.1579517665068</v>
      </c>
      <c r="Y153" s="18">
        <f>IF($A153&gt;'1-Input'!$B$26,AA152,(AA152-MAX(0,W121-IF($A153&gt;='1-Input'!$C$12,'1-Input'!$B$12,0))+X153*(1-'P-Parametri'!$B$6*W153))*(1+ROUND('3-Liquidita'!$F$11,4)))</f>
        <v>9.0540197561495011E-13</v>
      </c>
      <c r="Z153" s="18">
        <f>IF($A153&gt;'1-Input'!$B$26,AB152,(AB152-X153)*(1+'5-Roberta'!$C$4))</f>
        <v>118882.45518092788</v>
      </c>
      <c r="AA153" s="18">
        <f>IF($A153&gt;'1-Input'!$B$26,Y153,Y153-'P-Parametri'!$B$8*(Z153+Y153)+MIN(MAX(Z153,0),'P-Parametri'!$B$8*(Z153+Y153)))</f>
        <v>9.0949470177292824E-13</v>
      </c>
      <c r="AB153" s="18">
        <f>IF($A153&gt;'1-Input'!$B$26,Z153,Z153-MIN(MAX(Z153,0),'P-Parametri'!$B$8*(Z153+Y153)))</f>
        <v>118644.69027056602</v>
      </c>
      <c r="AC153" s="18">
        <f>IF($A153&gt;'1-Input'!$B$26,AC152,AC152-X153*(1-W153))</f>
        <v>40675.588383521404</v>
      </c>
      <c r="AD153" s="11">
        <f>IF($A153&gt;'1-Input'!$B$26,0,IF(AI152&lt;=0,0,MAX(0,(AI152-AJ152)/AI152)))</f>
        <v>0.64758587824195368</v>
      </c>
      <c r="AE153" s="18">
        <f>IF($A153&gt;'1-Input'!$B$26,0,(MAX(0,AD121-IF($A153&gt;='1-Input'!$C$12,'1-Input'!$B$12,0))-MIN(MAX(AH152,0),MAX(0,AD121-IF($A153&gt;='1-Input'!$C$12,'1-Input'!$B$12,0))))*(1/(1-'P-Parametri'!$B$6*AD153))+MIN(MAX(0,AI152-(MAX(0,AD121-IF($A153&gt;='1-Input'!$C$12,'1-Input'!$B$12,0))-MIN(MAX(AH152,0),MAX(0,AD121-IF($A153&gt;='1-Input'!$C$12,'1-Input'!$B$12,0))))*(1/(1-'P-Parametri'!$B$6*AD153))),MAX(0,0*AD121-(AH152-MIN(MAX(AH152,0),MAX(0,AD121-IF($A153&gt;='1-Input'!$C$12,'1-Input'!$B$12,0)))))*(1/(1-'P-Parametri'!$B$6*AD153))))</f>
        <v>9311.3148057440121</v>
      </c>
      <c r="AF153" s="18">
        <f>IF($A153&gt;'1-Input'!$B$26,AH152,(AH152-MAX(0,AD121-IF($A153&gt;='1-Input'!$C$12,'1-Input'!$B$12,0))+AE153*(1-'P-Parametri'!$B$6*AD153))*(1+ROUND('3-Liquidita'!$F$11,4)))</f>
        <v>9.0540197561495011E-13</v>
      </c>
      <c r="AG153" s="18">
        <f>IF($A153&gt;'1-Input'!$B$26,AI152,(AI152-AE153)*(1+'5-Roberta'!$C$4))</f>
        <v>118520.03860166726</v>
      </c>
      <c r="AH153" s="18">
        <f>IF($A153&gt;'1-Input'!$B$26,AF153,AF153-'P-Parametri'!$B$8*(AG153+AF153)+MIN(MAX(AG153,0),'P-Parametri'!$B$8*(AG153+AF153)))</f>
        <v>9.0949470177292824E-13</v>
      </c>
      <c r="AI153" s="18">
        <f>IF($A153&gt;'1-Input'!$B$26,AG153,AG153-MIN(MAX(AG153,0),'P-Parametri'!$B$8*(AG153+AF153)))</f>
        <v>118282.99852446392</v>
      </c>
      <c r="AJ153" s="18">
        <f>IF($A153&gt;'1-Input'!$B$26,AJ152,AJ152-AE153*(1-AD153))</f>
        <v>40551.587684015845</v>
      </c>
      <c r="AK153" s="11">
        <f>IF($A153&gt;'1-Input'!$B$26,0,IF(AP152&lt;=0,0,MAX(0,(AP152-AQ152)/AP152)))</f>
        <v>0.64758587824195324</v>
      </c>
      <c r="AL153" s="18">
        <f>IF($A153&gt;'1-Input'!$B$26,0,(MAX(0,AK121-IF($A153&gt;='1-Input'!$C$12,'1-Input'!$B$12,0))-MIN(MAX(AO152,0),MAX(0,AK121-IF($A153&gt;='1-Input'!$C$12,'1-Input'!$B$12,0))))*(1/(1-'P-Parametri'!$B$6*AK153))+MIN(MAX(0,AP152-(MAX(0,AK121-IF($A153&gt;='1-Input'!$C$12,'1-Input'!$B$12,0))-MIN(MAX(AO152,0),MAX(0,AK121-IF($A153&gt;='1-Input'!$C$12,'1-Input'!$B$12,0))))*(1/(1-'P-Parametri'!$B$6*AK153))),MAX(0,0*AK121-(AO152-MIN(MAX(AO152,0),MAX(0,AK121-IF($A153&gt;='1-Input'!$C$12,'1-Input'!$B$12,0)))))*(1/(1-'P-Parametri'!$B$6*AK153))))</f>
        <v>9310.0481966095012</v>
      </c>
      <c r="AM153" s="18">
        <f>IF($A153&gt;'1-Input'!$B$26,AO152,(AO152-MAX(0,AK121-IF($A153&gt;='1-Input'!$C$12,'1-Input'!$B$12,0))+AL153*(1-'P-Parametri'!$B$6*AK153))*(1+ROUND('3-Liquidita'!$F$11,4)))</f>
        <v>0</v>
      </c>
      <c r="AN153" s="18">
        <f>IF($A153&gt;'1-Input'!$B$26,AP152,(AP152-AL153)*(1+'5-Roberta'!$C$4))</f>
        <v>118576.31521898194</v>
      </c>
      <c r="AO153" s="18">
        <f>IF($A153&gt;'1-Input'!$B$26,AM153,AM153-'P-Parametri'!$B$8*(AN153+AM153)+MIN(MAX(AN153,0),'P-Parametri'!$B$8*(AN153+AM153)))</f>
        <v>0</v>
      </c>
      <c r="AP153" s="18">
        <f>IF($A153&gt;'1-Input'!$B$26,AN153,AN153-MIN(MAX(AN153,0),'P-Parametri'!$B$8*(AN153+AM153)))</f>
        <v>118339.16258854397</v>
      </c>
      <c r="AQ153" s="18">
        <f>IF($A153&gt;'1-Input'!$B$26,AQ152,AQ152-AL153*(1-AK153))</f>
        <v>40570.842707963922</v>
      </c>
    </row>
    <row r="154" spans="1:43">
      <c r="A154" s="10">
        <f>31</f>
        <v>31</v>
      </c>
      <c r="B154" s="11">
        <f>IF($A154&gt;'1-Input'!$B$26,0,IF(G153&lt;=0,0,MAX(0,(G153-H153)/G153)))</f>
        <v>0.65716469661843391</v>
      </c>
      <c r="C154" s="18">
        <f>IF($A154&gt;'1-Input'!$B$26,0,(MAX(0,B121-IF($A154&gt;='1-Input'!$C$12,'1-Input'!$B$12,0))-MIN(MAX(F153,0),MAX(0,B121-IF($A154&gt;='1-Input'!$C$12,'1-Input'!$B$12,0))))*(1/(1-'P-Parametri'!$B$6*B154))+MIN(MAX(0,G153-(MAX(0,B121-IF($A154&gt;='1-Input'!$C$12,'1-Input'!$B$12,0))-MIN(MAX(F153,0),MAX(0,B121-IF($A154&gt;='1-Input'!$C$12,'1-Input'!$B$12,0))))*(1/(1-'P-Parametri'!$B$6*B154))),MAX(0,0*B121-(F153-MIN(MAX(F153,0),MAX(0,B121-IF($A154&gt;='1-Input'!$C$12,'1-Input'!$B$12,0)))))*(1/(1-'P-Parametri'!$B$6*B154))))</f>
        <v>6728.7482177163183</v>
      </c>
      <c r="D154" s="18">
        <f>IF($A154&gt;'1-Input'!$B$26,F153,(F153-MAX(0,B121-IF($A154&gt;='1-Input'!$C$12,'1-Input'!$B$12,0))+C154*(1-'P-Parametri'!$B$6*B154))*(1+ROUND('3-Liquidita'!$F$11,4)))</f>
        <v>-9.0540197561495011E-13</v>
      </c>
      <c r="E154" s="18">
        <f>IF($A154&gt;'1-Input'!$B$26,G153,(G153-C154)*(1+'5-Roberta'!$C$4))</f>
        <v>233773.03276323873</v>
      </c>
      <c r="F154" s="18">
        <f>IF($A154&gt;'1-Input'!$B$26,D154,D154-'P-Parametri'!$B$8*(E154+D154)+MIN(MAX(E154,0),'P-Parametri'!$B$8*(E154+D154)))</f>
        <v>-9.0949470177292824E-13</v>
      </c>
      <c r="G154" s="18">
        <f>IF($A154&gt;'1-Input'!$B$26,E154,E154-MIN(MAX(E154,0),'P-Parametri'!$B$8*(E154+D154)))</f>
        <v>233305.48669771224</v>
      </c>
      <c r="H154" s="18">
        <f>IF($A154&gt;'1-Input'!$B$26,H153,H153-C154*(1-B154))</f>
        <v>77811.309329916257</v>
      </c>
      <c r="I154" s="11">
        <f>IF($A154&gt;'1-Input'!$B$26,0,IF(N153&lt;=0,0,MAX(0,(N153-O153)/N153)))</f>
        <v>0</v>
      </c>
      <c r="J154" s="18">
        <f>IF($A154&gt;'1-Input'!$B$26,0,(MAX(0,I121-IF($A154&gt;='1-Input'!$C$12,'1-Input'!$B$12,0))-MIN(MAX(M153,0),MAX(0,I121-IF($A154&gt;='1-Input'!$C$12,'1-Input'!$B$12,0))))*(1/(1-'P-Parametri'!$B$6*I154))+MIN(MAX(0,N153-(MAX(0,I121-IF($A154&gt;='1-Input'!$C$12,'1-Input'!$B$12,0))-MIN(MAX(M153,0),MAX(0,I121-IF($A154&gt;='1-Input'!$C$12,'1-Input'!$B$12,0))))*(1/(1-'P-Parametri'!$B$6*I154))),MAX(0,0*I121-(M153-MIN(MAX(M153,0),MAX(0,I121-IF($A154&gt;='1-Input'!$C$12,'1-Input'!$B$12,0)))))*(1/(1-'P-Parametri'!$B$6*I154))))</f>
        <v>10846.756992928691</v>
      </c>
      <c r="K154" s="18">
        <f>IF($A154&gt;'1-Input'!$B$26,M153,(M153-MAX(0,I121-IF($A154&gt;='1-Input'!$C$12,'1-Input'!$B$12,0))+J154*(1-'P-Parametri'!$B$6*I154))*(1+ROUND('3-Liquidita'!$F$11,4)))</f>
        <v>0</v>
      </c>
      <c r="L154" s="18">
        <f>IF($A154&gt;'1-Input'!$B$26,N153,(N153-J154)*(1+'5-Roberta'!$C$4))</f>
        <v>-52728.484280040451</v>
      </c>
      <c r="M154" s="18">
        <f>IF($A154&gt;'1-Input'!$B$26,K154,K154-'P-Parametri'!$B$8*(L154+K154)+MIN(MAX(L154,0),'P-Parametri'!$B$8*(L154+K154)))</f>
        <v>0</v>
      </c>
      <c r="N154" s="18">
        <f>IF($A154&gt;'1-Input'!$B$26,L154,L154-MIN(MAX(L154,0),'P-Parametri'!$B$8*(L154+K154)))</f>
        <v>-52623.027311480371</v>
      </c>
      <c r="O154" s="18">
        <f>IF($A154&gt;'1-Input'!$B$26,O153,O153-J154*(1-I154))</f>
        <v>-45428.001436840139</v>
      </c>
      <c r="P154" s="11">
        <f>IF($A154&gt;'1-Input'!$B$26,0,IF(U153&lt;=0,0,MAX(0,(U153-V153)/U153)))</f>
        <v>0.65716469661843391</v>
      </c>
      <c r="Q154" s="18">
        <f>IF($A154&gt;'1-Input'!$B$26,0,(MAX(0,P121-IF($A154&gt;='1-Input'!$C$12,'1-Input'!$B$12,0))-MIN(MAX(T153,0),MAX(0,P121-IF($A154&gt;='1-Input'!$C$12,'1-Input'!$B$12,0))))*(1/(1-'P-Parametri'!$B$6*P154))+MIN(MAX(0,U153-(MAX(0,P121-IF($A154&gt;='1-Input'!$C$12,'1-Input'!$B$12,0))-MIN(MAX(T153,0),MAX(0,P121-IF($A154&gt;='1-Input'!$C$12,'1-Input'!$B$12,0))))*(1/(1-'P-Parametri'!$B$6*P154))),MAX(0,0*P121-(T153-MIN(MAX(T153,0),MAX(0,P121-IF($A154&gt;='1-Input'!$C$12,'1-Input'!$B$12,0)))))*(1/(1-'P-Parametri'!$B$6*P154))))</f>
        <v>9640.189594553045</v>
      </c>
      <c r="R154" s="18">
        <f>IF($A154&gt;'1-Input'!$B$26,T153,(T153-MAX(0,P121-IF($A154&gt;='1-Input'!$C$12,'1-Input'!$B$12,0))+Q154*(1-'P-Parametri'!$B$6*P154))*(1+ROUND('3-Liquidita'!$F$11,4)))</f>
        <v>9.0540197561495011E-13</v>
      </c>
      <c r="S154" s="18">
        <f>IF($A154&gt;'1-Input'!$B$26,U153,(U153-Q154)*(1+'5-Roberta'!$C$4))</f>
        <v>98200.161780799026</v>
      </c>
      <c r="T154" s="18">
        <f>IF($A154&gt;'1-Input'!$B$26,R154,R154-'P-Parametri'!$B$8*(S154+R154)+MIN(MAX(S154,0),'P-Parametri'!$B$8*(S154+R154)))</f>
        <v>9.0949470177292824E-13</v>
      </c>
      <c r="U154" s="18">
        <f>IF($A154&gt;'1-Input'!$B$26,S154,S154-MIN(MAX(S154,0),'P-Parametri'!$B$8*(S154+R154)))</f>
        <v>98003.76145723743</v>
      </c>
      <c r="V154" s="18">
        <f>IF($A154&gt;'1-Input'!$B$26,V153,V153-Q154*(1-P154))</f>
        <v>32685.90510314476</v>
      </c>
      <c r="W154" s="11">
        <f>IF($A154&gt;'1-Input'!$B$26,0,IF(AB153&lt;=0,0,MAX(0,(AB153-AC153)/AB153)))</f>
        <v>0.65716469661843424</v>
      </c>
      <c r="X154" s="18">
        <f>IF($A154&gt;'1-Input'!$B$26,0,(MAX(0,W121-IF($A154&gt;='1-Input'!$C$12,'1-Input'!$B$12,0))-MIN(MAX(AA153,0),MAX(0,W121-IF($A154&gt;='1-Input'!$C$12,'1-Input'!$B$12,0))))*(1/(1-'P-Parametri'!$B$6*W154))+MIN(MAX(0,AB153-(MAX(0,W121-IF($A154&gt;='1-Input'!$C$12,'1-Input'!$B$12,0))-MIN(MAX(AA153,0),MAX(0,W121-IF($A154&gt;='1-Input'!$C$12,'1-Input'!$B$12,0))))*(1/(1-'P-Parametri'!$B$6*W154))),MAX(0,0*W121-(AA153-MIN(MAX(AA153,0),MAX(0,W121-IF($A154&gt;='1-Input'!$C$12,'1-Input'!$B$12,0)))))*(1/(1-'P-Parametri'!$B$6*W154))))</f>
        <v>9331.1019980360452</v>
      </c>
      <c r="Y154" s="18">
        <f>IF($A154&gt;'1-Input'!$B$26,AA153,(AA153-MAX(0,W121-IF($A154&gt;='1-Input'!$C$12,'1-Input'!$B$12,0))+X154*(1-'P-Parametri'!$B$6*W154))*(1+ROUND('3-Liquidita'!$F$11,4)))</f>
        <v>0</v>
      </c>
      <c r="Z154" s="18">
        <f>IF($A154&gt;'1-Input'!$B$26,AB153,(AB153-X154)*(1+'5-Roberta'!$C$4))</f>
        <v>112592.99592070587</v>
      </c>
      <c r="AA154" s="18">
        <f>IF($A154&gt;'1-Input'!$B$26,Y154,Y154-'P-Parametri'!$B$8*(Z154+Y154)+MIN(MAX(Z154,0),'P-Parametri'!$B$8*(Z154+Y154)))</f>
        <v>0</v>
      </c>
      <c r="AB154" s="18">
        <f>IF($A154&gt;'1-Input'!$B$26,Z154,Z154-MIN(MAX(Z154,0),'P-Parametri'!$B$8*(Z154+Y154)))</f>
        <v>112367.80992886446</v>
      </c>
      <c r="AC154" s="18">
        <f>IF($A154&gt;'1-Input'!$B$26,AC153,AC153-X154*(1-W154))</f>
        <v>37476.557199140385</v>
      </c>
      <c r="AD154" s="11">
        <f>IF($A154&gt;'1-Input'!$B$26,0,IF(AI153&lt;=0,0,MAX(0,(AI153-AJ153)/AI153)))</f>
        <v>0.65716469661843457</v>
      </c>
      <c r="AE154" s="18">
        <f>IF($A154&gt;'1-Input'!$B$26,0,(MAX(0,AD121-IF($A154&gt;='1-Input'!$C$12,'1-Input'!$B$12,0))-MIN(MAX(AH153,0),MAX(0,AD121-IF($A154&gt;='1-Input'!$C$12,'1-Input'!$B$12,0))))*(1/(1-'P-Parametri'!$B$6*AD154))+MIN(MAX(0,AI153-(MAX(0,AD121-IF($A154&gt;='1-Input'!$C$12,'1-Input'!$B$12,0))-MIN(MAX(AH153,0),MAX(0,AD121-IF($A154&gt;='1-Input'!$C$12,'1-Input'!$B$12,0))))*(1/(1-'P-Parametri'!$B$6*AD154))),MAX(0,0*AD121-(AH153-MIN(MAX(AH153,0),MAX(0,AD121-IF($A154&gt;='1-Input'!$C$12,'1-Input'!$B$12,0)))))*(1/(1-'P-Parametri'!$B$6*AD154))))</f>
        <v>9339.2833528880019</v>
      </c>
      <c r="AF154" s="18">
        <f>IF($A154&gt;'1-Input'!$B$26,AH153,(AH153-MAX(0,AD121-IF($A154&gt;='1-Input'!$C$12,'1-Input'!$B$12,0))+AE154*(1-'P-Parametri'!$B$6*AD154))*(1+ROUND('3-Liquidita'!$F$11,4)))</f>
        <v>9.0540197561495011E-13</v>
      </c>
      <c r="AG154" s="18">
        <f>IF($A154&gt;'1-Input'!$B$26,AI153,(AI153-AE154)*(1+'5-Roberta'!$C$4))</f>
        <v>112212.02662672321</v>
      </c>
      <c r="AH154" s="18">
        <f>IF($A154&gt;'1-Input'!$B$26,AF154,AF154-'P-Parametri'!$B$8*(AG154+AF154)+MIN(MAX(AG154,0),'P-Parametri'!$B$8*(AG154+AF154)))</f>
        <v>9.0949470177292824E-13</v>
      </c>
      <c r="AI154" s="18">
        <f>IF($A154&gt;'1-Input'!$B$26,AG154,AG154-MIN(MAX(AG154,0),'P-Parametri'!$B$8*(AG154+AF154)))</f>
        <v>111987.60257346976</v>
      </c>
      <c r="AJ154" s="18">
        <f>IF($A154&gt;'1-Input'!$B$26,AJ153,AJ153-AE154*(1-AD154))</f>
        <v>37349.751642362084</v>
      </c>
      <c r="AK154" s="11">
        <f>IF($A154&gt;'1-Input'!$B$26,0,IF(AP153&lt;=0,0,MAX(0,(AP153-AQ153)/AP153)))</f>
        <v>0.65716469661843413</v>
      </c>
      <c r="AL154" s="18">
        <f>IF($A154&gt;'1-Input'!$B$26,0,(MAX(0,AK121-IF($A154&gt;='1-Input'!$C$12,'1-Input'!$B$12,0))-MIN(MAX(AO153,0),MAX(0,AK121-IF($A154&gt;='1-Input'!$C$12,'1-Input'!$B$12,0))))*(1/(1-'P-Parametri'!$B$6*AK154))+MIN(MAX(0,AP153-(MAX(0,AK121-IF($A154&gt;='1-Input'!$C$12,'1-Input'!$B$12,0))-MIN(MAX(AO153,0),MAX(0,AK121-IF($A154&gt;='1-Input'!$C$12,'1-Input'!$B$12,0))))*(1/(1-'P-Parametri'!$B$6*AK154))),MAX(0,0*AK121-(AO153-MIN(MAX(AO153,0),MAX(0,AK121-IF($A154&gt;='1-Input'!$C$12,'1-Input'!$B$12,0)))))*(1/(1-'P-Parametri'!$B$6*AK154))))</f>
        <v>9338.0129392191138</v>
      </c>
      <c r="AM154" s="18">
        <f>IF($A154&gt;'1-Input'!$B$26,AO153,(AO153-MAX(0,AK121-IF($A154&gt;='1-Input'!$C$12,'1-Input'!$B$12,0))+AL154*(1-'P-Parametri'!$B$6*AK154))*(1+ROUND('3-Liquidita'!$F$11,4)))</f>
        <v>0</v>
      </c>
      <c r="AN154" s="18">
        <f>IF($A154&gt;'1-Input'!$B$26,AP153,(AP153-AL154)*(1+'5-Roberta'!$C$4))</f>
        <v>112271.1841388046</v>
      </c>
      <c r="AO154" s="18">
        <f>IF($A154&gt;'1-Input'!$B$26,AM154,AM154-'P-Parametri'!$B$8*(AN154+AM154)+MIN(MAX(AN154,0),'P-Parametri'!$B$8*(AN154+AM154)))</f>
        <v>0</v>
      </c>
      <c r="AP154" s="18">
        <f>IF($A154&gt;'1-Input'!$B$26,AN154,AN154-MIN(MAX(AN154,0),'P-Parametri'!$B$8*(AN154+AM154)))</f>
        <v>112046.64177052699</v>
      </c>
      <c r="AQ154" s="18">
        <f>IF($A154&gt;'1-Input'!$B$26,AQ153,AQ153-AL154*(1-AK154))</f>
        <v>37369.442208965753</v>
      </c>
    </row>
    <row r="155" spans="1:43">
      <c r="A155" s="10">
        <f>32</f>
        <v>32</v>
      </c>
      <c r="B155" s="11">
        <f>IF($A155&gt;'1-Input'!$B$26,0,IF(G154&lt;=0,0,MAX(0,(G154-H154)/G154)))</f>
        <v>0.66648315720609552</v>
      </c>
      <c r="C155" s="18">
        <f>IF($A155&gt;'1-Input'!$B$26,0,(MAX(0,B121-IF($A155&gt;='1-Input'!$C$12,'1-Input'!$B$12,0))-MIN(MAX(F154,0),MAX(0,B121-IF($A155&gt;='1-Input'!$C$12,'1-Input'!$B$12,0))))*(1/(1-'P-Parametri'!$B$6*B155))+MIN(MAX(0,G154-(MAX(0,B121-IF($A155&gt;='1-Input'!$C$12,'1-Input'!$B$12,0))-MIN(MAX(F154,0),MAX(0,B121-IF($A155&gt;='1-Input'!$C$12,'1-Input'!$B$12,0))))*(1/(1-'P-Parametri'!$B$6*B155))),MAX(0,0*B121-(F154-MIN(MAX(F154,0),MAX(0,B121-IF($A155&gt;='1-Input'!$C$12,'1-Input'!$B$12,0)))))*(1/(1-'P-Parametri'!$B$6*B155))))</f>
        <v>6748.4677362466628</v>
      </c>
      <c r="D155" s="18">
        <f>IF($A155&gt;'1-Input'!$B$26,F154,(F154-MAX(0,B121-IF($A155&gt;='1-Input'!$C$12,'1-Input'!$B$12,0))+C155*(1-'P-Parametri'!$B$6*B155))*(1+ROUND('3-Liquidita'!$F$11,4)))</f>
        <v>0</v>
      </c>
      <c r="E155" s="18">
        <f>IF($A155&gt;'1-Input'!$B$26,G154,(G154-C155)*(1+'5-Roberta'!$C$4))</f>
        <v>233353.72953030953</v>
      </c>
      <c r="F155" s="18">
        <f>IF($A155&gt;'1-Input'!$B$26,D155,D155-'P-Parametri'!$B$8*(E155+D155)+MIN(MAX(E155,0),'P-Parametri'!$B$8*(E155+D155)))</f>
        <v>0</v>
      </c>
      <c r="G155" s="18">
        <f>IF($A155&gt;'1-Input'!$B$26,E155,E155-MIN(MAX(E155,0),'P-Parametri'!$B$8*(E155+D155)))</f>
        <v>232887.02207124891</v>
      </c>
      <c r="H155" s="18">
        <f>IF($A155&gt;'1-Input'!$B$26,H154,H154-C155*(1-B155))</f>
        <v>75560.58167682674</v>
      </c>
      <c r="I155" s="11">
        <f>IF($A155&gt;'1-Input'!$B$26,0,IF(N154&lt;=0,0,MAX(0,(N154-O154)/N154)))</f>
        <v>0</v>
      </c>
      <c r="J155" s="18">
        <f>IF($A155&gt;'1-Input'!$B$26,0,(MAX(0,I121-IF($A155&gt;='1-Input'!$C$12,'1-Input'!$B$12,0))-MIN(MAX(M154,0),MAX(0,I121-IF($A155&gt;='1-Input'!$C$12,'1-Input'!$B$12,0))))*(1/(1-'P-Parametri'!$B$6*I155))+MIN(MAX(0,N154-(MAX(0,I121-IF($A155&gt;='1-Input'!$C$12,'1-Input'!$B$12,0))-MIN(MAX(M154,0),MAX(0,I121-IF($A155&gt;='1-Input'!$C$12,'1-Input'!$B$12,0))))*(1/(1-'P-Parametri'!$B$6*I155))),MAX(0,0*I121-(M154-MIN(MAX(M154,0),MAX(0,I121-IF($A155&gt;='1-Input'!$C$12,'1-Input'!$B$12,0)))))*(1/(1-'P-Parametri'!$B$6*I155))))</f>
        <v>10846.756992928691</v>
      </c>
      <c r="K155" s="18">
        <f>IF($A155&gt;'1-Input'!$B$26,M154,(M154-MAX(0,I121-IF($A155&gt;='1-Input'!$C$12,'1-Input'!$B$12,0))+J155*(1-'P-Parametri'!$B$6*I155))*(1+ROUND('3-Liquidita'!$F$11,4)))</f>
        <v>0</v>
      </c>
      <c r="L155" s="18">
        <f>IF($A155&gt;'1-Input'!$B$26,N154,(N154-J155)*(1+'5-Roberta'!$C$4))</f>
        <v>-65373.877833541337</v>
      </c>
      <c r="M155" s="18">
        <f>IF($A155&gt;'1-Input'!$B$26,K155,K155-'P-Parametri'!$B$8*(L155+K155)+MIN(MAX(L155,0),'P-Parametri'!$B$8*(L155+K155)))</f>
        <v>0</v>
      </c>
      <c r="N155" s="18">
        <f>IF($A155&gt;'1-Input'!$B$26,L155,L155-MIN(MAX(L155,0),'P-Parametri'!$B$8*(L155+K155)))</f>
        <v>-65243.130077874252</v>
      </c>
      <c r="O155" s="18">
        <f>IF($A155&gt;'1-Input'!$B$26,O154,O154-J155*(1-I155))</f>
        <v>-56274.75842976883</v>
      </c>
      <c r="P155" s="11">
        <f>IF($A155&gt;'1-Input'!$B$26,0,IF(U154&lt;=0,0,MAX(0,(U154-V154)/U154)))</f>
        <v>0.66648315720609563</v>
      </c>
      <c r="Q155" s="18">
        <f>IF($A155&gt;'1-Input'!$B$26,0,(MAX(0,P121-IF($A155&gt;='1-Input'!$C$12,'1-Input'!$B$12,0))-MIN(MAX(T154,0),MAX(0,P121-IF($A155&gt;='1-Input'!$C$12,'1-Input'!$B$12,0))))*(1/(1-'P-Parametri'!$B$6*P155))+MIN(MAX(0,U154-(MAX(0,P121-IF($A155&gt;='1-Input'!$C$12,'1-Input'!$B$12,0))-MIN(MAX(T154,0),MAX(0,P121-IF($A155&gt;='1-Input'!$C$12,'1-Input'!$B$12,0))))*(1/(1-'P-Parametri'!$B$6*P155))),MAX(0,0*P121-(T154-MIN(MAX(T154,0),MAX(0,P121-IF($A155&gt;='1-Input'!$C$12,'1-Input'!$B$12,0)))))*(1/(1-'P-Parametri'!$B$6*P155))))</f>
        <v>9668.4414909229017</v>
      </c>
      <c r="R155" s="18">
        <f>IF($A155&gt;'1-Input'!$B$26,T154,(T154-MAX(0,P121-IF($A155&gt;='1-Input'!$C$12,'1-Input'!$B$12,0))+Q155*(1-'P-Parametri'!$B$6*P155))*(1+ROUND('3-Liquidita'!$F$11,4)))</f>
        <v>0</v>
      </c>
      <c r="S155" s="18">
        <f>IF($A155&gt;'1-Input'!$B$26,U154,(U154-Q155)*(1+'5-Roberta'!$C$4))</f>
        <v>90985.379565303971</v>
      </c>
      <c r="T155" s="18">
        <f>IF($A155&gt;'1-Input'!$B$26,R155,R155-'P-Parametri'!$B$8*(S155+R155)+MIN(MAX(S155,0),'P-Parametri'!$B$8*(S155+R155)))</f>
        <v>0</v>
      </c>
      <c r="U155" s="18">
        <f>IF($A155&gt;'1-Input'!$B$26,S155,S155-MIN(MAX(S155,0),'P-Parametri'!$B$8*(S155+R155)))</f>
        <v>90803.408806173364</v>
      </c>
      <c r="V155" s="18">
        <f>IF($A155&gt;'1-Input'!$B$26,V154,V154-Q155*(1-P155))</f>
        <v>29461.317022354564</v>
      </c>
      <c r="W155" s="11">
        <f>IF($A155&gt;'1-Input'!$B$26,0,IF(AB154&lt;=0,0,MAX(0,(AB154-AC154)/AB154)))</f>
        <v>0.66648315720609586</v>
      </c>
      <c r="X155" s="18">
        <f>IF($A155&gt;'1-Input'!$B$26,0,(MAX(0,W121-IF($A155&gt;='1-Input'!$C$12,'1-Input'!$B$12,0))-MIN(MAX(AA154,0),MAX(0,W121-IF($A155&gt;='1-Input'!$C$12,'1-Input'!$B$12,0))))*(1/(1-'P-Parametri'!$B$6*W155))+MIN(MAX(0,AB154-(MAX(0,W121-IF($A155&gt;='1-Input'!$C$12,'1-Input'!$B$12,0))-MIN(MAX(AA154,0),MAX(0,W121-IF($A155&gt;='1-Input'!$C$12,'1-Input'!$B$12,0))))*(1/(1-'P-Parametri'!$B$6*W155))),MAX(0,0*W121-(AA154-MIN(MAX(AA154,0),MAX(0,W121-IF($A155&gt;='1-Input'!$C$12,'1-Input'!$B$12,0)))))*(1/(1-'P-Parametri'!$B$6*W155))))</f>
        <v>9358.4480708574829</v>
      </c>
      <c r="Y155" s="18">
        <f>IF($A155&gt;'1-Input'!$B$26,AA154,(AA154-MAX(0,W121-IF($A155&gt;='1-Input'!$C$12,'1-Input'!$B$12,0))+X155*(1-'P-Parametri'!$B$6*W155))*(1+ROUND('3-Liquidita'!$F$11,4)))</f>
        <v>9.0540197561495011E-13</v>
      </c>
      <c r="Z155" s="18">
        <f>IF($A155&gt;'1-Input'!$B$26,AB154,(AB154-X155)*(1+'5-Roberta'!$C$4))</f>
        <v>106099.64271374719</v>
      </c>
      <c r="AA155" s="18">
        <f>IF($A155&gt;'1-Input'!$B$26,Y155,Y155-'P-Parametri'!$B$8*(Z155+Y155)+MIN(MAX(Z155,0),'P-Parametri'!$B$8*(Z155+Y155)))</f>
        <v>9.0949470177292824E-13</v>
      </c>
      <c r="AB155" s="18">
        <f>IF($A155&gt;'1-Input'!$B$26,Z155,Z155-MIN(MAX(Z155,0),'P-Parametri'!$B$8*(Z155+Y155)))</f>
        <v>105887.44342831969</v>
      </c>
      <c r="AC155" s="18">
        <f>IF($A155&gt;'1-Input'!$B$26,AC154,AC154-X155*(1-W155))</f>
        <v>34355.357145097296</v>
      </c>
      <c r="AD155" s="11">
        <f>IF($A155&gt;'1-Input'!$B$26,0,IF(AI154&lt;=0,0,MAX(0,(AI154-AJ154)/AI154)))</f>
        <v>0.6664831572060963</v>
      </c>
      <c r="AE155" s="18">
        <f>IF($A155&gt;'1-Input'!$B$26,0,(MAX(0,AD121-IF($A155&gt;='1-Input'!$C$12,'1-Input'!$B$12,0))-MIN(MAX(AH154,0),MAX(0,AD121-IF($A155&gt;='1-Input'!$C$12,'1-Input'!$B$12,0))))*(1/(1-'P-Parametri'!$B$6*AD155))+MIN(MAX(0,AI154-(MAX(0,AD121-IF($A155&gt;='1-Input'!$C$12,'1-Input'!$B$12,0))-MIN(MAX(AH154,0),MAX(0,AD121-IF($A155&gt;='1-Input'!$C$12,'1-Input'!$B$12,0))))*(1/(1-'P-Parametri'!$B$6*AD155))),MAX(0,0*AD121-(AH154-MIN(MAX(AH154,0),MAX(0,AD121-IF($A155&gt;='1-Input'!$C$12,'1-Input'!$B$12,0)))))*(1/(1-'P-Parametri'!$B$6*AD155))))</f>
        <v>9366.6534022907254</v>
      </c>
      <c r="AF155" s="18">
        <f>IF($A155&gt;'1-Input'!$B$26,AH154,(AH154-MAX(0,AD121-IF($A155&gt;='1-Input'!$C$12,'1-Input'!$B$12,0))+AE155*(1-'P-Parametri'!$B$6*AD155))*(1+ROUND('3-Liquidita'!$F$11,4)))</f>
        <v>9.0540197561495011E-13</v>
      </c>
      <c r="AG155" s="18">
        <f>IF($A155&gt;'1-Input'!$B$26,AI154,(AI154-AE155)*(1+'5-Roberta'!$C$4))</f>
        <v>105699.5776463144</v>
      </c>
      <c r="AH155" s="18">
        <f>IF($A155&gt;'1-Input'!$B$26,AF155,AF155-'P-Parametri'!$B$8*(AG155+AF155)+MIN(MAX(AG155,0),'P-Parametri'!$B$8*(AG155+AF155)))</f>
        <v>9.0949470177292824E-13</v>
      </c>
      <c r="AI155" s="18">
        <f>IF($A155&gt;'1-Input'!$B$26,AG155,AG155-MIN(MAX(AG155,0),'P-Parametri'!$B$8*(AG155+AF155)))</f>
        <v>105488.17849102177</v>
      </c>
      <c r="AJ155" s="18">
        <f>IF($A155&gt;'1-Input'!$B$26,AJ154,AJ154-AE155*(1-AD155))</f>
        <v>34225.814972085303</v>
      </c>
      <c r="AK155" s="11">
        <f>IF($A155&gt;'1-Input'!$B$26,0,IF(AP154&lt;=0,0,MAX(0,(AP154-AQ154)/AP154)))</f>
        <v>0.66648315720609574</v>
      </c>
      <c r="AL155" s="18">
        <f>IF($A155&gt;'1-Input'!$B$26,0,(MAX(0,AK121-IF($A155&gt;='1-Input'!$C$12,'1-Input'!$B$12,0))-MIN(MAX(AO154,0),MAX(0,AK121-IF($A155&gt;='1-Input'!$C$12,'1-Input'!$B$12,0))))*(1/(1-'P-Parametri'!$B$6*AK155))+MIN(MAX(0,AP154-(MAX(0,AK121-IF($A155&gt;='1-Input'!$C$12,'1-Input'!$B$12,0))-MIN(MAX(AO154,0),MAX(0,AK121-IF($A155&gt;='1-Input'!$C$12,'1-Input'!$B$12,0))))*(1/(1-'P-Parametri'!$B$6*AK155))),MAX(0,0*AK121-(AO154-MIN(MAX(AO154,0),MAX(0,AK121-IF($A155&gt;='1-Input'!$C$12,'1-Input'!$B$12,0)))))*(1/(1-'P-Parametri'!$B$6*AK155))))</f>
        <v>9365.3792655005273</v>
      </c>
      <c r="AM155" s="18">
        <f>IF($A155&gt;'1-Input'!$B$26,AO154,(AO154-MAX(0,AK121-IF($A155&gt;='1-Input'!$C$12,'1-Input'!$B$12,0))+AL155*(1-'P-Parametri'!$B$6*AK155))*(1+ROUND('3-Liquidita'!$F$11,4)))</f>
        <v>0</v>
      </c>
      <c r="AN155" s="18">
        <f>IF($A155&gt;'1-Input'!$B$26,AP154,(AP154-AL155)*(1+'5-Roberta'!$C$4))</f>
        <v>105761.70038017725</v>
      </c>
      <c r="AO155" s="18">
        <f>IF($A155&gt;'1-Input'!$B$26,AM155,AM155-'P-Parametri'!$B$8*(AN155+AM155)+MIN(MAX(AN155,0),'P-Parametri'!$B$8*(AN155+AM155)))</f>
        <v>0</v>
      </c>
      <c r="AP155" s="18">
        <f>IF($A155&gt;'1-Input'!$B$26,AN155,AN155-MIN(MAX(AN155,0),'P-Parametri'!$B$8*(AN155+AM155)))</f>
        <v>105550.17697941689</v>
      </c>
      <c r="AQ155" s="18">
        <f>IF($A155&gt;'1-Input'!$B$26,AQ154,AQ154-AL155*(1-AK155))</f>
        <v>34245.93048476852</v>
      </c>
    </row>
    <row r="156" spans="1:43">
      <c r="A156" s="10">
        <f>33</f>
        <v>33</v>
      </c>
      <c r="B156" s="11">
        <f>IF($A156&gt;'1-Input'!$B$26,0,IF(G155&lt;=0,0,MAX(0,(G155-H155)/G155)))</f>
        <v>0.6755483366792765</v>
      </c>
      <c r="C156" s="18">
        <f>IF($A156&gt;'1-Input'!$B$26,0,(MAX(0,B121-IF($A156&gt;='1-Input'!$C$12,'1-Input'!$B$12,0))-MIN(MAX(F155,0),MAX(0,B121-IF($A156&gt;='1-Input'!$C$12,'1-Input'!$B$12,0))))*(1/(1-'P-Parametri'!$B$6*B156))+MIN(MAX(0,G155-(MAX(0,B121-IF($A156&gt;='1-Input'!$C$12,'1-Input'!$B$12,0))-MIN(MAX(F155,0),MAX(0,B121-IF($A156&gt;='1-Input'!$C$12,'1-Input'!$B$12,0))))*(1/(1-'P-Parametri'!$B$6*B156))),MAX(0,0*B121-(F155-MIN(MAX(F155,0),MAX(0,B121-IF($A156&gt;='1-Input'!$C$12,'1-Input'!$B$12,0)))))*(1/(1-'P-Parametri'!$B$6*B156))))</f>
        <v>6767.762495880188</v>
      </c>
      <c r="D156" s="18">
        <f>IF($A156&gt;'1-Input'!$B$26,F155,(F155-MAX(0,B121-IF($A156&gt;='1-Input'!$C$12,'1-Input'!$B$12,0))+C156*(1-'P-Parametri'!$B$6*B156))*(1+ROUND('3-Liquidita'!$F$11,4)))</f>
        <v>0</v>
      </c>
      <c r="E156" s="18">
        <f>IF($A156&gt;'1-Input'!$B$26,G155,(G155-C156)*(1+'5-Roberta'!$C$4))</f>
        <v>232902.8373626298</v>
      </c>
      <c r="F156" s="18">
        <f>IF($A156&gt;'1-Input'!$B$26,D156,D156-'P-Parametri'!$B$8*(E156+D156)+MIN(MAX(E156,0),'P-Parametri'!$B$8*(E156+D156)))</f>
        <v>0</v>
      </c>
      <c r="G156" s="18">
        <f>IF($A156&gt;'1-Input'!$B$26,E156,E156-MIN(MAX(E156,0),'P-Parametri'!$B$8*(E156+D156)))</f>
        <v>232437.03168790453</v>
      </c>
      <c r="H156" s="18">
        <f>IF($A156&gt;'1-Input'!$B$26,H155,H155-C156*(1-B156))</f>
        <v>73364.769878078805</v>
      </c>
      <c r="I156" s="11">
        <f>IF($A156&gt;'1-Input'!$B$26,0,IF(N155&lt;=0,0,MAX(0,(N155-O155)/N155)))</f>
        <v>0</v>
      </c>
      <c r="J156" s="18">
        <f>IF($A156&gt;'1-Input'!$B$26,0,(MAX(0,I121-IF($A156&gt;='1-Input'!$C$12,'1-Input'!$B$12,0))-MIN(MAX(M155,0),MAX(0,I121-IF($A156&gt;='1-Input'!$C$12,'1-Input'!$B$12,0))))*(1/(1-'P-Parametri'!$B$6*I156))+MIN(MAX(0,N155-(MAX(0,I121-IF($A156&gt;='1-Input'!$C$12,'1-Input'!$B$12,0))-MIN(MAX(M155,0),MAX(0,I121-IF($A156&gt;='1-Input'!$C$12,'1-Input'!$B$12,0))))*(1/(1-'P-Parametri'!$B$6*I156))),MAX(0,0*I121-(M155-MIN(MAX(M155,0),MAX(0,I121-IF($A156&gt;='1-Input'!$C$12,'1-Input'!$B$12,0)))))*(1/(1-'P-Parametri'!$B$6*I156))))</f>
        <v>10846.756992928691</v>
      </c>
      <c r="K156" s="18">
        <f>IF($A156&gt;'1-Input'!$B$26,M155,(M155-MAX(0,I121-IF($A156&gt;='1-Input'!$C$12,'1-Input'!$B$12,0))+J156*(1-'P-Parametri'!$B$6*I156))*(1+ROUND('3-Liquidita'!$F$11,4)))</f>
        <v>0</v>
      </c>
      <c r="L156" s="18">
        <f>IF($A156&gt;'1-Input'!$B$26,N155,(N155-J156)*(1+'5-Roberta'!$C$4))</f>
        <v>-78372.583682927027</v>
      </c>
      <c r="M156" s="18">
        <f>IF($A156&gt;'1-Input'!$B$26,K156,K156-'P-Parametri'!$B$8*(L156+K156)+MIN(MAX(L156,0),'P-Parametri'!$B$8*(L156+K156)))</f>
        <v>0</v>
      </c>
      <c r="N156" s="18">
        <f>IF($A156&gt;'1-Input'!$B$26,L156,L156-MIN(MAX(L156,0),'P-Parametri'!$B$8*(L156+K156)))</f>
        <v>-78215.838515561176</v>
      </c>
      <c r="O156" s="18">
        <f>IF($A156&gt;'1-Input'!$B$26,O155,O155-J156*(1-I156))</f>
        <v>-67121.515422697528</v>
      </c>
      <c r="P156" s="11">
        <f>IF($A156&gt;'1-Input'!$B$26,0,IF(U155&lt;=0,0,MAX(0,(U155-V155)/U155)))</f>
        <v>0.67554833667927672</v>
      </c>
      <c r="Q156" s="18">
        <f>IF($A156&gt;'1-Input'!$B$26,0,(MAX(0,P121-IF($A156&gt;='1-Input'!$C$12,'1-Input'!$B$12,0))-MIN(MAX(T155,0),MAX(0,P121-IF($A156&gt;='1-Input'!$C$12,'1-Input'!$B$12,0))))*(1/(1-'P-Parametri'!$B$6*P156))+MIN(MAX(0,U155-(MAX(0,P121-IF($A156&gt;='1-Input'!$C$12,'1-Input'!$B$12,0))-MIN(MAX(T155,0),MAX(0,P121-IF($A156&gt;='1-Input'!$C$12,'1-Input'!$B$12,0))))*(1/(1-'P-Parametri'!$B$6*P156))),MAX(0,0*P121-(T155-MIN(MAX(T155,0),MAX(0,P121-IF($A156&gt;='1-Input'!$C$12,'1-Input'!$B$12,0)))))*(1/(1-'P-Parametri'!$B$6*P156))))</f>
        <v>9696.0848407749272</v>
      </c>
      <c r="R156" s="18">
        <f>IF($A156&gt;'1-Input'!$B$26,T155,(T155-MAX(0,P121-IF($A156&gt;='1-Input'!$C$12,'1-Input'!$B$12,0))+Q156*(1-'P-Parametri'!$B$6*P156))*(1+ROUND('3-Liquidita'!$F$11,4)))</f>
        <v>-9.0540197561495011E-13</v>
      </c>
      <c r="S156" s="18">
        <f>IF($A156&gt;'1-Input'!$B$26,U155,(U155-Q156)*(1+'5-Roberta'!$C$4))</f>
        <v>83540.543684360397</v>
      </c>
      <c r="T156" s="18">
        <f>IF($A156&gt;'1-Input'!$B$26,R156,R156-'P-Parametri'!$B$8*(S156+R156)+MIN(MAX(S156,0),'P-Parametri'!$B$8*(S156+R156)))</f>
        <v>-9.0949470177292824E-13</v>
      </c>
      <c r="U156" s="18">
        <f>IF($A156&gt;'1-Input'!$B$26,S156,S156-MIN(MAX(S156,0),'P-Parametri'!$B$8*(S156+R156)))</f>
        <v>83373.462596991681</v>
      </c>
      <c r="V156" s="18">
        <f>IF($A156&gt;'1-Input'!$B$26,V155,V155-Q156*(1-P156))</f>
        <v>26315.406168066289</v>
      </c>
      <c r="W156" s="11">
        <f>IF($A156&gt;'1-Input'!$B$26,0,IF(AB155&lt;=0,0,MAX(0,(AB155-AC155)/AB155)))</f>
        <v>0.67554833667927683</v>
      </c>
      <c r="X156" s="18">
        <f>IF($A156&gt;'1-Input'!$B$26,0,(MAX(0,W121-IF($A156&gt;='1-Input'!$C$12,'1-Input'!$B$12,0))-MIN(MAX(AA155,0),MAX(0,W121-IF($A156&gt;='1-Input'!$C$12,'1-Input'!$B$12,0))))*(1/(1-'P-Parametri'!$B$6*W156))+MIN(MAX(0,AB155-(MAX(0,W121-IF($A156&gt;='1-Input'!$C$12,'1-Input'!$B$12,0))-MIN(MAX(AA155,0),MAX(0,W121-IF($A156&gt;='1-Input'!$C$12,'1-Input'!$B$12,0))))*(1/(1-'P-Parametri'!$B$6*W156))),MAX(0,0*W121-(AA155-MIN(MAX(AA155,0),MAX(0,W121-IF($A156&gt;='1-Input'!$C$12,'1-Input'!$B$12,0)))))*(1/(1-'P-Parametri'!$B$6*W156))))</f>
        <v>9385.2051086217998</v>
      </c>
      <c r="Y156" s="18">
        <f>IF($A156&gt;'1-Input'!$B$26,AA155,(AA155-MAX(0,W121-IF($A156&gt;='1-Input'!$C$12,'1-Input'!$B$12,0))+X156*(1-'P-Parametri'!$B$6*W156))*(1+ROUND('3-Liquidita'!$F$11,4)))</f>
        <v>0</v>
      </c>
      <c r="Z156" s="18">
        <f>IF($A156&gt;'1-Input'!$B$26,AB155,(AB155-X156)*(1+'5-Roberta'!$C$4))</f>
        <v>99397.305469288825</v>
      </c>
      <c r="AA156" s="18">
        <f>IF($A156&gt;'1-Input'!$B$26,Y156,Y156-'P-Parametri'!$B$8*(Z156+Y156)+MIN(MAX(Z156,0),'P-Parametri'!$B$8*(Z156+Y156)))</f>
        <v>0</v>
      </c>
      <c r="AB156" s="18">
        <f>IF($A156&gt;'1-Input'!$B$26,Z156,Z156-MIN(MAX(Z156,0),'P-Parametri'!$B$8*(Z156+Y156)))</f>
        <v>99198.510858350244</v>
      </c>
      <c r="AC156" s="18">
        <f>IF($A156&gt;'1-Input'!$B$26,AC155,AC155-X156*(1-W156))</f>
        <v>31310.311736998803</v>
      </c>
      <c r="AD156" s="11">
        <f>IF($A156&gt;'1-Input'!$B$26,0,IF(AI155&lt;=0,0,MAX(0,(AI155-AJ155)/AI155)))</f>
        <v>0.67554833667927727</v>
      </c>
      <c r="AE156" s="18">
        <f>IF($A156&gt;'1-Input'!$B$26,0,(MAX(0,AD121-IF($A156&gt;='1-Input'!$C$12,'1-Input'!$B$12,0))-MIN(MAX(AH155,0),MAX(0,AD121-IF($A156&gt;='1-Input'!$C$12,'1-Input'!$B$12,0))))*(1/(1-'P-Parametri'!$B$6*AD156))+MIN(MAX(0,AI155-(MAX(0,AD121-IF($A156&gt;='1-Input'!$C$12,'1-Input'!$B$12,0))-MIN(MAX(AH155,0),MAX(0,AD121-IF($A156&gt;='1-Input'!$C$12,'1-Input'!$B$12,0))))*(1/(1-'P-Parametri'!$B$6*AD156))),MAX(0,0*AD121-(AH155-MIN(MAX(AH155,0),MAX(0,AD121-IF($A156&gt;='1-Input'!$C$12,'1-Input'!$B$12,0)))))*(1/(1-'P-Parametri'!$B$6*AD156))))</f>
        <v>9393.4339001802018</v>
      </c>
      <c r="AF156" s="18">
        <f>IF($A156&gt;'1-Input'!$B$26,AH155,(AH155-MAX(0,AD121-IF($A156&gt;='1-Input'!$C$12,'1-Input'!$B$12,0))+AE156*(1-'P-Parametri'!$B$6*AD156))*(1+ROUND('3-Liquidita'!$F$11,4)))</f>
        <v>0</v>
      </c>
      <c r="AG156" s="18">
        <f>IF($A156&gt;'1-Input'!$B$26,AI155,(AI155-AE156)*(1+'5-Roberta'!$C$4))</f>
        <v>98977.586928566816</v>
      </c>
      <c r="AH156" s="18">
        <f>IF($A156&gt;'1-Input'!$B$26,AF156,AF156-'P-Parametri'!$B$8*(AG156+AF156)+MIN(MAX(AG156,0),'P-Parametri'!$B$8*(AG156+AF156)))</f>
        <v>0</v>
      </c>
      <c r="AI156" s="18">
        <f>IF($A156&gt;'1-Input'!$B$26,AG156,AG156-MIN(MAX(AG156,0),'P-Parametri'!$B$8*(AG156+AF156)))</f>
        <v>98779.631754709684</v>
      </c>
      <c r="AJ156" s="18">
        <f>IF($A156&gt;'1-Input'!$B$26,AJ155,AJ155-AE156*(1-AD156))</f>
        <v>31178.099718878573</v>
      </c>
      <c r="AK156" s="11">
        <f>IF($A156&gt;'1-Input'!$B$26,0,IF(AP155&lt;=0,0,MAX(0,(AP155-AQ155)/AP155)))</f>
        <v>0.67554833667927672</v>
      </c>
      <c r="AL156" s="18">
        <f>IF($A156&gt;'1-Input'!$B$26,0,(MAX(0,AK121-IF($A156&gt;='1-Input'!$C$12,'1-Input'!$B$12,0))-MIN(MAX(AO155,0),MAX(0,AK121-IF($A156&gt;='1-Input'!$C$12,'1-Input'!$B$12,0))))*(1/(1-'P-Parametri'!$B$6*AK156))+MIN(MAX(0,AP155-(MAX(0,AK121-IF($A156&gt;='1-Input'!$C$12,'1-Input'!$B$12,0))-MIN(MAX(AO155,0),MAX(0,AK121-IF($A156&gt;='1-Input'!$C$12,'1-Input'!$B$12,0))))*(1/(1-'P-Parametri'!$B$6*AK156))),MAX(0,0*AK121-(AO155-MIN(MAX(AO155,0),MAX(0,AK121-IF($A156&gt;='1-Input'!$C$12,'1-Input'!$B$12,0)))))*(1/(1-'P-Parametri'!$B$6*AK156))))</f>
        <v>9392.1561204648133</v>
      </c>
      <c r="AM156" s="18">
        <f>IF($A156&gt;'1-Input'!$B$26,AO155,(AO155-MAX(0,AK121-IF($A156&gt;='1-Input'!$C$12,'1-Input'!$B$12,0))+AL156*(1-'P-Parametri'!$B$6*AK156))*(1+ROUND('3-Liquidita'!$F$11,4)))</f>
        <v>-9.0540197561495011E-13</v>
      </c>
      <c r="AN156" s="18">
        <f>IF($A156&gt;'1-Input'!$B$26,AP155,(AP155-AL156)*(1+'5-Roberta'!$C$4))</f>
        <v>99042.761484720642</v>
      </c>
      <c r="AO156" s="18">
        <f>IF($A156&gt;'1-Input'!$B$26,AM156,AM156-'P-Parametri'!$B$8*(AN156+AM156)+MIN(MAX(AN156,0),'P-Parametri'!$B$8*(AN156+AM156)))</f>
        <v>-9.0949470177292824E-13</v>
      </c>
      <c r="AP156" s="18">
        <f>IF($A156&gt;'1-Input'!$B$26,AN156,AN156-MIN(MAX(AN156,0),'P-Parametri'!$B$8*(AN156+AM156)))</f>
        <v>98844.6759617512</v>
      </c>
      <c r="AQ156" s="18">
        <f>IF($A156&gt;'1-Input'!$B$26,AQ155,AQ155-AL156*(1-AK156))</f>
        <v>31198.6298093158</v>
      </c>
    </row>
    <row r="157" spans="1:43">
      <c r="A157" s="10">
        <f>34</f>
        <v>34</v>
      </c>
      <c r="B157" s="11">
        <f>IF($A157&gt;'1-Input'!$B$26,0,IF(G156&lt;=0,0,MAX(0,(G156-H156)/G156)))</f>
        <v>0.68436711936423966</v>
      </c>
      <c r="C157" s="18">
        <f>IF($A157&gt;'1-Input'!$B$26,0,(MAX(0,B121-IF($A157&gt;='1-Input'!$C$12,'1-Input'!$B$12,0))-MIN(MAX(F156,0),MAX(0,B121-IF($A157&gt;='1-Input'!$C$12,'1-Input'!$B$12,0))))*(1/(1-'P-Parametri'!$B$6*B157))+MIN(MAX(0,G156-(MAX(0,B121-IF($A157&gt;='1-Input'!$C$12,'1-Input'!$B$12,0))-MIN(MAX(F156,0),MAX(0,B121-IF($A157&gt;='1-Input'!$C$12,'1-Input'!$B$12,0))))*(1/(1-'P-Parametri'!$B$6*B157))),MAX(0,0*B121-(F156-MIN(MAX(F156,0),MAX(0,B121-IF($A157&gt;='1-Input'!$C$12,'1-Input'!$B$12,0)))))*(1/(1-'P-Parametri'!$B$6*B157))))</f>
        <v>6786.6389830919652</v>
      </c>
      <c r="D157" s="18">
        <f>IF($A157&gt;'1-Input'!$B$26,F156,(F156-MAX(0,B121-IF($A157&gt;='1-Input'!$C$12,'1-Input'!$B$12,0))+C157*(1-'P-Parametri'!$B$6*B157))*(1+ROUND('3-Liquidita'!$F$11,4)))</f>
        <v>0</v>
      </c>
      <c r="E157" s="18">
        <f>IF($A157&gt;'1-Input'!$B$26,G156,(G156-C157)*(1+'5-Roberta'!$C$4))</f>
        <v>232419.90448595697</v>
      </c>
      <c r="F157" s="18">
        <f>IF($A157&gt;'1-Input'!$B$26,D157,D157-'P-Parametri'!$B$8*(E157+D157)+MIN(MAX(E157,0),'P-Parametri'!$B$8*(E157+D157)))</f>
        <v>0</v>
      </c>
      <c r="G157" s="18">
        <f>IF($A157&gt;'1-Input'!$B$26,E157,E157-MIN(MAX(E157,0),'P-Parametri'!$B$8*(E157+D157)))</f>
        <v>231955.06467698506</v>
      </c>
      <c r="H157" s="18">
        <f>IF($A157&gt;'1-Input'!$B$26,H156,H156-C157*(1-B157))</f>
        <v>71222.683466010538</v>
      </c>
      <c r="I157" s="11">
        <f>IF($A157&gt;'1-Input'!$B$26,0,IF(N156&lt;=0,0,MAX(0,(N156-O156)/N156)))</f>
        <v>0</v>
      </c>
      <c r="J157" s="18">
        <f>IF($A157&gt;'1-Input'!$B$26,0,(MAX(0,I121-IF($A157&gt;='1-Input'!$C$12,'1-Input'!$B$12,0))-MIN(MAX(M156,0),MAX(0,I121-IF($A157&gt;='1-Input'!$C$12,'1-Input'!$B$12,0))))*(1/(1-'P-Parametri'!$B$6*I157))+MIN(MAX(0,N156-(MAX(0,I121-IF($A157&gt;='1-Input'!$C$12,'1-Input'!$B$12,0))-MIN(MAX(M156,0),MAX(0,I121-IF($A157&gt;='1-Input'!$C$12,'1-Input'!$B$12,0))))*(1/(1-'P-Parametri'!$B$6*I157))),MAX(0,0*I121-(M156-MIN(MAX(M156,0),MAX(0,I121-IF($A157&gt;='1-Input'!$C$12,'1-Input'!$B$12,0)))))*(1/(1-'P-Parametri'!$B$6*I157))))</f>
        <v>10846.756992928691</v>
      </c>
      <c r="K157" s="18">
        <f>IF($A157&gt;'1-Input'!$B$26,M156,(M156-MAX(0,I121-IF($A157&gt;='1-Input'!$C$12,'1-Input'!$B$12,0))+J157*(1-'P-Parametri'!$B$6*I157))*(1+ROUND('3-Liquidita'!$F$11,4)))</f>
        <v>0</v>
      </c>
      <c r="L157" s="18">
        <f>IF($A157&gt;'1-Input'!$B$26,N156,(N156-J157)*(1+'5-Roberta'!$C$4))</f>
        <v>-91734.473373744579</v>
      </c>
      <c r="M157" s="18">
        <f>IF($A157&gt;'1-Input'!$B$26,K157,K157-'P-Parametri'!$B$8*(L157+K157)+MIN(MAX(L157,0),'P-Parametri'!$B$8*(L157+K157)))</f>
        <v>0</v>
      </c>
      <c r="N157" s="18">
        <f>IF($A157&gt;'1-Input'!$B$26,L157,L157-MIN(MAX(L157,0),'P-Parametri'!$B$8*(L157+K157)))</f>
        <v>-91551.004426997082</v>
      </c>
      <c r="O157" s="18">
        <f>IF($A157&gt;'1-Input'!$B$26,O156,O156-J157*(1-I157))</f>
        <v>-77968.272415626212</v>
      </c>
      <c r="P157" s="11">
        <f>IF($A157&gt;'1-Input'!$B$26,0,IF(U156&lt;=0,0,MAX(0,(U156-V156)/U156)))</f>
        <v>0.68436711936423988</v>
      </c>
      <c r="Q157" s="18">
        <f>IF($A157&gt;'1-Input'!$B$26,0,(MAX(0,P121-IF($A157&gt;='1-Input'!$C$12,'1-Input'!$B$12,0))-MIN(MAX(T156,0),MAX(0,P121-IF($A157&gt;='1-Input'!$C$12,'1-Input'!$B$12,0))))*(1/(1-'P-Parametri'!$B$6*P157))+MIN(MAX(0,U156-(MAX(0,P121-IF($A157&gt;='1-Input'!$C$12,'1-Input'!$B$12,0))-MIN(MAX(T156,0),MAX(0,P121-IF($A157&gt;='1-Input'!$C$12,'1-Input'!$B$12,0))))*(1/(1-'P-Parametri'!$B$6*P157))),MAX(0,0*P121-(T156-MIN(MAX(T156,0),MAX(0,P121-IF($A157&gt;='1-Input'!$C$12,'1-Input'!$B$12,0)))))*(1/(1-'P-Parametri'!$B$6*P157))))</f>
        <v>9723.1289371971397</v>
      </c>
      <c r="R157" s="18">
        <f>IF($A157&gt;'1-Input'!$B$26,T156,(T156-MAX(0,P121-IF($A157&gt;='1-Input'!$C$12,'1-Input'!$B$12,0))+Q157*(1-'P-Parametri'!$B$6*P157))*(1+ROUND('3-Liquidita'!$F$11,4)))</f>
        <v>0</v>
      </c>
      <c r="S157" s="18">
        <f>IF($A157&gt;'1-Input'!$B$26,U156,(U156-Q157)*(1+'5-Roberta'!$C$4))</f>
        <v>75859.843669588387</v>
      </c>
      <c r="T157" s="18">
        <f>IF($A157&gt;'1-Input'!$B$26,R157,R157-'P-Parametri'!$B$8*(S157+R157)+MIN(MAX(S157,0),'P-Parametri'!$B$8*(S157+R157)))</f>
        <v>0</v>
      </c>
      <c r="U157" s="18">
        <f>IF($A157&gt;'1-Input'!$B$26,S157,S157-MIN(MAX(S157,0),'P-Parametri'!$B$8*(S157+R157)))</f>
        <v>75708.123982249206</v>
      </c>
      <c r="V157" s="18">
        <f>IF($A157&gt;'1-Input'!$B$26,V156,V156-Q157*(1-P157))</f>
        <v>23246.466972825838</v>
      </c>
      <c r="W157" s="11">
        <f>IF($A157&gt;'1-Input'!$B$26,0,IF(AB156&lt;=0,0,MAX(0,(AB156-AC156)/AB156)))</f>
        <v>0.68436711936424</v>
      </c>
      <c r="X157" s="18">
        <f>IF($A157&gt;'1-Input'!$B$26,0,(MAX(0,W121-IF($A157&gt;='1-Input'!$C$12,'1-Input'!$B$12,0))-MIN(MAX(AA156,0),MAX(0,W121-IF($A157&gt;='1-Input'!$C$12,'1-Input'!$B$12,0))))*(1/(1-'P-Parametri'!$B$6*W157))+MIN(MAX(0,AB156-(MAX(0,W121-IF($A157&gt;='1-Input'!$C$12,'1-Input'!$B$12,0))-MIN(MAX(AA156,0),MAX(0,W121-IF($A157&gt;='1-Input'!$C$12,'1-Input'!$B$12,0))))*(1/(1-'P-Parametri'!$B$6*W157))),MAX(0,0*W121-(AA156-MIN(MAX(AA156,0),MAX(0,W121-IF($A157&gt;='1-Input'!$C$12,'1-Input'!$B$12,0)))))*(1/(1-'P-Parametri'!$B$6*W157))))</f>
        <v>9411.3821064583299</v>
      </c>
      <c r="Y157" s="18">
        <f>IF($A157&gt;'1-Input'!$B$26,AA156,(AA156-MAX(0,W121-IF($A157&gt;='1-Input'!$C$12,'1-Input'!$B$12,0))+X157*(1-'P-Parametri'!$B$6*W157))*(1+ROUND('3-Liquidita'!$F$11,4)))</f>
        <v>-9.0540197561495011E-13</v>
      </c>
      <c r="Z157" s="18">
        <f>IF($A157&gt;'1-Input'!$B$26,AB156,(AB156-X157)*(1+'5-Roberta'!$C$4))</f>
        <v>92480.742614448667</v>
      </c>
      <c r="AA157" s="18">
        <f>IF($A157&gt;'1-Input'!$B$26,Y157,Y157-'P-Parametri'!$B$8*(Z157+Y157)+MIN(MAX(Z157,0),'P-Parametri'!$B$8*(Z157+Y157)))</f>
        <v>-9.0949470177292824E-13</v>
      </c>
      <c r="AB157" s="18">
        <f>IF($A157&gt;'1-Input'!$B$26,Z157,Z157-MIN(MAX(Z157,0),'P-Parametri'!$B$8*(Z157+Y157)))</f>
        <v>92295.781129219773</v>
      </c>
      <c r="AC157" s="18">
        <f>IF($A157&gt;'1-Input'!$B$26,AC156,AC156-X157*(1-W157))</f>
        <v>28339.770091973514</v>
      </c>
      <c r="AD157" s="11">
        <f>IF($A157&gt;'1-Input'!$B$26,0,IF(AI156&lt;=0,0,MAX(0,(AI156-AJ156)/AI156)))</f>
        <v>0.68436711936424044</v>
      </c>
      <c r="AE157" s="18">
        <f>IF($A157&gt;'1-Input'!$B$26,0,(MAX(0,AD121-IF($A157&gt;='1-Input'!$C$12,'1-Input'!$B$12,0))-MIN(MAX(AH156,0),MAX(0,AD121-IF($A157&gt;='1-Input'!$C$12,'1-Input'!$B$12,0))))*(1/(1-'P-Parametri'!$B$6*AD157))+MIN(MAX(0,AI156-(MAX(0,AD121-IF($A157&gt;='1-Input'!$C$12,'1-Input'!$B$12,0))-MIN(MAX(AH156,0),MAX(0,AD121-IF($A157&gt;='1-Input'!$C$12,'1-Input'!$B$12,0))))*(1/(1-'P-Parametri'!$B$6*AD157))),MAX(0,0*AD121-(AH156-MIN(MAX(AH156,0),MAX(0,AD121-IF($A157&gt;='1-Input'!$C$12,'1-Input'!$B$12,0)))))*(1/(1-'P-Parametri'!$B$6*AD157))))</f>
        <v>9419.6338495725413</v>
      </c>
      <c r="AF157" s="18">
        <f>IF($A157&gt;'1-Input'!$B$26,AH156,(AH156-MAX(0,AD121-IF($A157&gt;='1-Input'!$C$12,'1-Input'!$B$12,0))+AE157*(1-'P-Parametri'!$B$6*AD157))*(1+ROUND('3-Liquidita'!$F$11,4)))</f>
        <v>0</v>
      </c>
      <c r="AG157" s="18">
        <f>IF($A157&gt;'1-Input'!$B$26,AI156,(AI156-AE157)*(1+'5-Roberta'!$C$4))</f>
        <v>92040.797842291271</v>
      </c>
      <c r="AH157" s="18">
        <f>IF($A157&gt;'1-Input'!$B$26,AF157,AF157-'P-Parametri'!$B$8*(AG157+AF157)+MIN(MAX(AG157,0),'P-Parametri'!$B$8*(AG157+AF157)))</f>
        <v>0</v>
      </c>
      <c r="AI157" s="18">
        <f>IF($A157&gt;'1-Input'!$B$26,AG157,AG157-MIN(MAX(AG157,0),'P-Parametri'!$B$8*(AG157+AF157)))</f>
        <v>91856.716246606695</v>
      </c>
      <c r="AJ157" s="18">
        <f>IF($A157&gt;'1-Input'!$B$26,AJ156,AJ156-AE157*(1-AD157))</f>
        <v>28204.953552403884</v>
      </c>
      <c r="AK157" s="11">
        <f>IF($A157&gt;'1-Input'!$B$26,0,IF(AP156&lt;=0,0,MAX(0,(AP156-AQ156)/AP156)))</f>
        <v>0.68436711936424</v>
      </c>
      <c r="AL157" s="18">
        <f>IF($A157&gt;'1-Input'!$B$26,0,(MAX(0,AK121-IF($A157&gt;='1-Input'!$C$12,'1-Input'!$B$12,0))-MIN(MAX(AO156,0),MAX(0,AK121-IF($A157&gt;='1-Input'!$C$12,'1-Input'!$B$12,0))))*(1/(1-'P-Parametri'!$B$6*AK157))+MIN(MAX(0,AP156-(MAX(0,AK121-IF($A157&gt;='1-Input'!$C$12,'1-Input'!$B$12,0))-MIN(MAX(AO156,0),MAX(0,AK121-IF($A157&gt;='1-Input'!$C$12,'1-Input'!$B$12,0))))*(1/(1-'P-Parametri'!$B$6*AK157))),MAX(0,0*AK121-(AO156-MIN(MAX(AO156,0),MAX(0,AK121-IF($A157&gt;='1-Input'!$C$12,'1-Input'!$B$12,0)))))*(1/(1-'P-Parametri'!$B$6*AK157))))</f>
        <v>9418.3525059034146</v>
      </c>
      <c r="AM157" s="18">
        <f>IF($A157&gt;'1-Input'!$B$26,AO156,(AO156-MAX(0,AK121-IF($A157&gt;='1-Input'!$C$12,'1-Input'!$B$12,0))+AL157*(1-'P-Parametri'!$B$6*AK157))*(1+ROUND('3-Liquidita'!$F$11,4)))</f>
        <v>0</v>
      </c>
      <c r="AN157" s="18">
        <f>IF($A157&gt;'1-Input'!$B$26,AP156,(AP156-AL157)*(1+'5-Roberta'!$C$4))</f>
        <v>92109.113159523215</v>
      </c>
      <c r="AO157" s="18">
        <f>IF($A157&gt;'1-Input'!$B$26,AM157,AM157-'P-Parametri'!$B$8*(AN157+AM157)+MIN(MAX(AN157,0),'P-Parametri'!$B$8*(AN157+AM157)))</f>
        <v>0</v>
      </c>
      <c r="AP157" s="18">
        <f>IF($A157&gt;'1-Input'!$B$26,AN157,AN157-MIN(MAX(AN157,0),'P-Parametri'!$B$8*(AN157+AM157)))</f>
        <v>91924.894933204167</v>
      </c>
      <c r="AQ157" s="18">
        <f>IF($A157&gt;'1-Input'!$B$26,AQ156,AQ156-AL157*(1-AK157))</f>
        <v>28225.888077034477</v>
      </c>
    </row>
    <row r="158" spans="1:43">
      <c r="A158" s="10">
        <f>35</f>
        <v>35</v>
      </c>
      <c r="B158" s="11">
        <f>IF($A158&gt;'1-Input'!$B$26,0,IF(G157&lt;=0,0,MAX(0,(G157-H157)/G157)))</f>
        <v>0.69294620246730332</v>
      </c>
      <c r="C158" s="18">
        <f>IF($A158&gt;'1-Input'!$B$26,0,(MAX(0,B121-IF($A158&gt;='1-Input'!$C$12,'1-Input'!$B$12,0))-MIN(MAX(F157,0),MAX(0,B121-IF($A158&gt;='1-Input'!$C$12,'1-Input'!$B$12,0))))*(1/(1-'P-Parametri'!$B$6*B158))+MIN(MAX(0,G157-(MAX(0,B121-IF($A158&gt;='1-Input'!$C$12,'1-Input'!$B$12,0))-MIN(MAX(F157,0),MAX(0,B121-IF($A158&gt;='1-Input'!$C$12,'1-Input'!$B$12,0))))*(1/(1-'P-Parametri'!$B$6*B158))),MAX(0,0*B121-(F157-MIN(MAX(F157,0),MAX(0,B121-IF($A158&gt;='1-Input'!$C$12,'1-Input'!$B$12,0)))))*(1/(1-'P-Parametri'!$B$6*B158))))</f>
        <v>6805.10371691405</v>
      </c>
      <c r="D158" s="18">
        <f>IF($A158&gt;'1-Input'!$B$26,F157,(F157-MAX(0,B121-IF($A158&gt;='1-Input'!$C$12,'1-Input'!$B$12,0))+C158*(1-'P-Parametri'!$B$6*B158))*(1+ROUND('3-Liquidita'!$F$11,4)))</f>
        <v>0</v>
      </c>
      <c r="E158" s="18">
        <f>IF($A158&gt;'1-Input'!$B$26,G157,(G157-C158)*(1+'5-Roberta'!$C$4))</f>
        <v>231904.45978887315</v>
      </c>
      <c r="F158" s="18">
        <f>IF($A158&gt;'1-Input'!$B$26,D158,D158-'P-Parametri'!$B$8*(E158+D158)+MIN(MAX(E158,0),'P-Parametri'!$B$8*(E158+D158)))</f>
        <v>0</v>
      </c>
      <c r="G158" s="18">
        <f>IF($A158&gt;'1-Input'!$B$26,E158,E158-MIN(MAX(E158,0),'P-Parametri'!$B$8*(E158+D158)))</f>
        <v>231440.65086929541</v>
      </c>
      <c r="H158" s="18">
        <f>IF($A158&gt;'1-Input'!$B$26,H157,H157-C158*(1-B158))</f>
        <v>69133.150527128208</v>
      </c>
      <c r="I158" s="11">
        <f>IF($A158&gt;'1-Input'!$B$26,0,IF(N157&lt;=0,0,MAX(0,(N157-O157)/N157)))</f>
        <v>0</v>
      </c>
      <c r="J158" s="18">
        <f>IF($A158&gt;'1-Input'!$B$26,0,(MAX(0,I121-IF($A158&gt;='1-Input'!$C$12,'1-Input'!$B$12,0))-MIN(MAX(M157,0),MAX(0,I121-IF($A158&gt;='1-Input'!$C$12,'1-Input'!$B$12,0))))*(1/(1-'P-Parametri'!$B$6*I158))+MIN(MAX(0,N157-(MAX(0,I121-IF($A158&gt;='1-Input'!$C$12,'1-Input'!$B$12,0))-MIN(MAX(M157,0),MAX(0,I121-IF($A158&gt;='1-Input'!$C$12,'1-Input'!$B$12,0))))*(1/(1-'P-Parametri'!$B$6*I158))),MAX(0,0*I121-(M157-MIN(MAX(M157,0),MAX(0,I121-IF($A158&gt;='1-Input'!$C$12,'1-Input'!$B$12,0)))))*(1/(1-'P-Parametri'!$B$6*I158))))</f>
        <v>10846.756992928691</v>
      </c>
      <c r="K158" s="18">
        <f>IF($A158&gt;'1-Input'!$B$26,M157,(M157-MAX(0,I121-IF($A158&gt;='1-Input'!$C$12,'1-Input'!$B$12,0))+J158*(1-'P-Parametri'!$B$6*I158))*(1+ROUND('3-Liquidita'!$F$11,4)))</f>
        <v>0</v>
      </c>
      <c r="L158" s="18">
        <f>IF($A158&gt;'1-Input'!$B$26,N157,(N157-J158)*(1+'5-Roberta'!$C$4))</f>
        <v>-105469.69426252355</v>
      </c>
      <c r="M158" s="18">
        <f>IF($A158&gt;'1-Input'!$B$26,K158,K158-'P-Parametri'!$B$8*(L158+K158)+MIN(MAX(L158,0),'P-Parametri'!$B$8*(L158+K158)))</f>
        <v>0</v>
      </c>
      <c r="N158" s="18">
        <f>IF($A158&gt;'1-Input'!$B$26,L158,L158-MIN(MAX(L158,0),'P-Parametri'!$B$8*(L158+K158)))</f>
        <v>-105258.75487399851</v>
      </c>
      <c r="O158" s="18">
        <f>IF($A158&gt;'1-Input'!$B$26,O157,O157-J158*(1-I158))</f>
        <v>-88815.029408554896</v>
      </c>
      <c r="P158" s="11">
        <f>IF($A158&gt;'1-Input'!$B$26,0,IF(U157&lt;=0,0,MAX(0,(U157-V157)/U157)))</f>
        <v>0.69294620246730343</v>
      </c>
      <c r="Q158" s="18">
        <f>IF($A158&gt;'1-Input'!$B$26,0,(MAX(0,P121-IF($A158&gt;='1-Input'!$C$12,'1-Input'!$B$12,0))-MIN(MAX(T157,0),MAX(0,P121-IF($A158&gt;='1-Input'!$C$12,'1-Input'!$B$12,0))))*(1/(1-'P-Parametri'!$B$6*P158))+MIN(MAX(0,U157-(MAX(0,P121-IF($A158&gt;='1-Input'!$C$12,'1-Input'!$B$12,0))-MIN(MAX(T157,0),MAX(0,P121-IF($A158&gt;='1-Input'!$C$12,'1-Input'!$B$12,0))))*(1/(1-'P-Parametri'!$B$6*P158))),MAX(0,0*P121-(T157-MIN(MAX(T157,0),MAX(0,P121-IF($A158&gt;='1-Input'!$C$12,'1-Input'!$B$12,0)))))*(1/(1-'P-Parametri'!$B$6*P158))))</f>
        <v>9749.5831199215245</v>
      </c>
      <c r="R158" s="18">
        <f>IF($A158&gt;'1-Input'!$B$26,T157,(T157-MAX(0,P121-IF($A158&gt;='1-Input'!$C$12,'1-Input'!$B$12,0))+Q158*(1-'P-Parametri'!$B$6*P158))*(1+ROUND('3-Liquidita'!$F$11,4)))</f>
        <v>0</v>
      </c>
      <c r="S158" s="18">
        <f>IF($A158&gt;'1-Input'!$B$26,U157,(U157-Q158)*(1+'5-Roberta'!$C$4))</f>
        <v>67937.297088197505</v>
      </c>
      <c r="T158" s="18">
        <f>IF($A158&gt;'1-Input'!$B$26,R158,R158-'P-Parametri'!$B$8*(S158+R158)+MIN(MAX(S158,0),'P-Parametri'!$B$8*(S158+R158)))</f>
        <v>0</v>
      </c>
      <c r="U158" s="18">
        <f>IF($A158&gt;'1-Input'!$B$26,S158,S158-MIN(MAX(S158,0),'P-Parametri'!$B$8*(S158+R158)))</f>
        <v>67801.422494021113</v>
      </c>
      <c r="V158" s="18">
        <f>IF($A158&gt;'1-Input'!$B$26,V157,V157-Q158*(1-P158))</f>
        <v>20252.820451493259</v>
      </c>
      <c r="W158" s="11">
        <f>IF($A158&gt;'1-Input'!$B$26,0,IF(AB157&lt;=0,0,MAX(0,(AB157-AC157)/AB157)))</f>
        <v>0.69294620246730354</v>
      </c>
      <c r="X158" s="18">
        <f>IF($A158&gt;'1-Input'!$B$26,0,(MAX(0,W121-IF($A158&gt;='1-Input'!$C$12,'1-Input'!$B$12,0))-MIN(MAX(AA157,0),MAX(0,W121-IF($A158&gt;='1-Input'!$C$12,'1-Input'!$B$12,0))))*(1/(1-'P-Parametri'!$B$6*W158))+MIN(MAX(0,AB157-(MAX(0,W121-IF($A158&gt;='1-Input'!$C$12,'1-Input'!$B$12,0))-MIN(MAX(AA157,0),MAX(0,W121-IF($A158&gt;='1-Input'!$C$12,'1-Input'!$B$12,0))))*(1/(1-'P-Parametri'!$B$6*W158))),MAX(0,0*W121-(AA157-MIN(MAX(AA157,0),MAX(0,W121-IF($A158&gt;='1-Input'!$C$12,'1-Input'!$B$12,0)))))*(1/(1-'P-Parametri'!$B$6*W158))))</f>
        <v>9436.9881046448627</v>
      </c>
      <c r="Y158" s="18">
        <f>IF($A158&gt;'1-Input'!$B$26,AA157,(AA157-MAX(0,W121-IF($A158&gt;='1-Input'!$C$12,'1-Input'!$B$12,0))+X158*(1-'P-Parametri'!$B$6*W158))*(1+ROUND('3-Liquidita'!$F$11,4)))</f>
        <v>9.0540197561495011E-13</v>
      </c>
      <c r="Z158" s="18">
        <f>IF($A158&gt;'1-Input'!$B$26,AB157,(AB157-X158)*(1+'5-Roberta'!$C$4))</f>
        <v>85344.556815312171</v>
      </c>
      <c r="AA158" s="18">
        <f>IF($A158&gt;'1-Input'!$B$26,Y158,Y158-'P-Parametri'!$B$8*(Z158+Y158)+MIN(MAX(Z158,0),'P-Parametri'!$B$8*(Z158+Y158)))</f>
        <v>9.0949470177292824E-13</v>
      </c>
      <c r="AB158" s="18">
        <f>IF($A158&gt;'1-Input'!$B$26,Z158,Z158-MIN(MAX(Z158,0),'P-Parametri'!$B$8*(Z158+Y158)))</f>
        <v>85173.867701681549</v>
      </c>
      <c r="AC158" s="18">
        <f>IF($A158&gt;'1-Input'!$B$26,AC157,AC157-X158*(1-W158))</f>
        <v>25442.107057171426</v>
      </c>
      <c r="AD158" s="11">
        <f>IF($A158&gt;'1-Input'!$B$26,0,IF(AI157&lt;=0,0,MAX(0,(AI157-AJ157)/AI157)))</f>
        <v>0.69294620246730398</v>
      </c>
      <c r="AE158" s="18">
        <f>IF($A158&gt;'1-Input'!$B$26,0,(MAX(0,AD121-IF($A158&gt;='1-Input'!$C$12,'1-Input'!$B$12,0))-MIN(MAX(AH157,0),MAX(0,AD121-IF($A158&gt;='1-Input'!$C$12,'1-Input'!$B$12,0))))*(1/(1-'P-Parametri'!$B$6*AD158))+MIN(MAX(0,AI157-(MAX(0,AD121-IF($A158&gt;='1-Input'!$C$12,'1-Input'!$B$12,0))-MIN(MAX(AH157,0),MAX(0,AD121-IF($A158&gt;='1-Input'!$C$12,'1-Input'!$B$12,0))))*(1/(1-'P-Parametri'!$B$6*AD158))),MAX(0,0*AD121-(AH157-MIN(MAX(AH157,0),MAX(0,AD121-IF($A158&gt;='1-Input'!$C$12,'1-Input'!$B$12,0)))))*(1/(1-'P-Parametri'!$B$6*AD158))))</f>
        <v>9445.2622986718943</v>
      </c>
      <c r="AF158" s="18">
        <f>IF($A158&gt;'1-Input'!$B$26,AH157,(AH157-MAX(0,AD121-IF($A158&gt;='1-Input'!$C$12,'1-Input'!$B$12,0))+AE158*(1-'P-Parametri'!$B$6*AD158))*(1+ROUND('3-Liquidita'!$F$11,4)))</f>
        <v>0</v>
      </c>
      <c r="AG158" s="18">
        <f>IF($A158&gt;'1-Input'!$B$26,AI157,(AI157-AE158)*(1+'5-Roberta'!$C$4))</f>
        <v>84883.797566372843</v>
      </c>
      <c r="AH158" s="18">
        <f>IF($A158&gt;'1-Input'!$B$26,AF158,AF158-'P-Parametri'!$B$8*(AG158+AF158)+MIN(MAX(AG158,0),'P-Parametri'!$B$8*(AG158+AF158)))</f>
        <v>0</v>
      </c>
      <c r="AI158" s="18">
        <f>IF($A158&gt;'1-Input'!$B$26,AG158,AG158-MIN(MAX(AG158,0),'P-Parametri'!$B$8*(AG158+AF158)))</f>
        <v>84714.029971240103</v>
      </c>
      <c r="AJ158" s="18">
        <f>IF($A158&gt;'1-Input'!$B$26,AJ157,AJ157-AE158*(1-AD158))</f>
        <v>25304.749894904278</v>
      </c>
      <c r="AK158" s="11">
        <f>IF($A158&gt;'1-Input'!$B$26,0,IF(AP157&lt;=0,0,MAX(0,(AP157-AQ157)/AP157)))</f>
        <v>0.69294620246730343</v>
      </c>
      <c r="AL158" s="18">
        <f>IF($A158&gt;'1-Input'!$B$26,0,(MAX(0,AK121-IF($A158&gt;='1-Input'!$C$12,'1-Input'!$B$12,0))-MIN(MAX(AO157,0),MAX(0,AK121-IF($A158&gt;='1-Input'!$C$12,'1-Input'!$B$12,0))))*(1/(1-'P-Parametri'!$B$6*AK158))+MIN(MAX(0,AP157-(MAX(0,AK121-IF($A158&gt;='1-Input'!$C$12,'1-Input'!$B$12,0))-MIN(MAX(AO157,0),MAX(0,AK121-IF($A158&gt;='1-Input'!$C$12,'1-Input'!$B$12,0))))*(1/(1-'P-Parametri'!$B$6*AK158))),MAX(0,0*AK121-(AO157-MIN(MAX(AO157,0),MAX(0,AK121-IF($A158&gt;='1-Input'!$C$12,'1-Input'!$B$12,0)))))*(1/(1-'P-Parametri'!$B$6*AK158))))</f>
        <v>9443.977468789657</v>
      </c>
      <c r="AM158" s="18">
        <f>IF($A158&gt;'1-Input'!$B$26,AO157,(AO157-MAX(0,AK121-IF($A158&gt;='1-Input'!$C$12,'1-Input'!$B$12,0))+AL158*(1-'P-Parametri'!$B$6*AK158))*(1+ROUND('3-Liquidita'!$F$11,4)))</f>
        <v>-9.0540197561495011E-13</v>
      </c>
      <c r="AN158" s="18">
        <f>IF($A158&gt;'1-Input'!$B$26,AP157,(AP157-AL158)*(1+'5-Roberta'!$C$4))</f>
        <v>84955.344988346944</v>
      </c>
      <c r="AO158" s="18">
        <f>IF($A158&gt;'1-Input'!$B$26,AM158,AM158-'P-Parametri'!$B$8*(AN158+AM158)+MIN(MAX(AN158,0),'P-Parametri'!$B$8*(AN158+AM158)))</f>
        <v>-9.0949470177292824E-13</v>
      </c>
      <c r="AP158" s="18">
        <f>IF($A158&gt;'1-Input'!$B$26,AN158,AN158-MIN(MAX(AN158,0),'P-Parametri'!$B$8*(AN158+AM158)))</f>
        <v>84785.434298370252</v>
      </c>
      <c r="AQ158" s="18">
        <f>IF($A158&gt;'1-Input'!$B$26,AQ157,AQ157-AL158*(1-AK158))</f>
        <v>25326.078931429391</v>
      </c>
    </row>
    <row r="159" spans="1:43">
      <c r="A159" s="10">
        <f>36</f>
        <v>36</v>
      </c>
      <c r="B159" s="11">
        <f>IF($A159&gt;'1-Input'!$B$26,0,IF(G158&lt;=0,0,MAX(0,(G158-H158)/G158)))</f>
        <v>0.70129210116086871</v>
      </c>
      <c r="C159" s="18">
        <f>IF($A159&gt;'1-Input'!$B$26,0,(MAX(0,B121-IF($A159&gt;='1-Input'!$C$12,'1-Input'!$B$12,0))-MIN(MAX(F158,0),MAX(0,B121-IF($A159&gt;='1-Input'!$C$12,'1-Input'!$B$12,0))))*(1/(1-'P-Parametri'!$B$6*B159))+MIN(MAX(0,G158-(MAX(0,B121-IF($A159&gt;='1-Input'!$C$12,'1-Input'!$B$12,0))-MIN(MAX(F158,0),MAX(0,B121-IF($A159&gt;='1-Input'!$C$12,'1-Input'!$B$12,0))))*(1/(1-'P-Parametri'!$B$6*B159))),MAX(0,0*B121-(F158-MIN(MAX(F158,0),MAX(0,B121-IF($A159&gt;='1-Input'!$C$12,'1-Input'!$B$12,0)))))*(1/(1-'P-Parametri'!$B$6*B159))))</f>
        <v>6823.1632409331896</v>
      </c>
      <c r="D159" s="18">
        <f>IF($A159&gt;'1-Input'!$B$26,F158,(F158-MAX(0,B121-IF($A159&gt;='1-Input'!$C$12,'1-Input'!$B$12,0))+C159*(1-'P-Parametri'!$B$6*B159))*(1+ROUND('3-Liquidita'!$F$11,4)))</f>
        <v>9.0540197561495011E-13</v>
      </c>
      <c r="E159" s="18">
        <f>IF($A159&gt;'1-Input'!$B$26,G158,(G158-C159)*(1+'5-Roberta'!$C$4))</f>
        <v>231356.01225721309</v>
      </c>
      <c r="F159" s="18">
        <f>IF($A159&gt;'1-Input'!$B$26,D159,D159-'P-Parametri'!$B$8*(E159+D159)+MIN(MAX(E159,0),'P-Parametri'!$B$8*(E159+D159)))</f>
        <v>9.0949470177292824E-13</v>
      </c>
      <c r="G159" s="18">
        <f>IF($A159&gt;'1-Input'!$B$26,E159,E159-MIN(MAX(E159,0),'P-Parametri'!$B$8*(E159+D159)))</f>
        <v>230893.30023269868</v>
      </c>
      <c r="H159" s="18">
        <f>IF($A159&gt;'1-Input'!$B$26,H158,H158-C159*(1-B159))</f>
        <v>67095.017771992658</v>
      </c>
      <c r="I159" s="11">
        <f>IF($A159&gt;'1-Input'!$B$26,0,IF(N158&lt;=0,0,MAX(0,(N158-O158)/N158)))</f>
        <v>0</v>
      </c>
      <c r="J159" s="18">
        <f>IF($A159&gt;'1-Input'!$B$26,0,(MAX(0,I121-IF($A159&gt;='1-Input'!$C$12,'1-Input'!$B$12,0))-MIN(MAX(M158,0),MAX(0,I121-IF($A159&gt;='1-Input'!$C$12,'1-Input'!$B$12,0))))*(1/(1-'P-Parametri'!$B$6*I159))+MIN(MAX(0,N158-(MAX(0,I121-IF($A159&gt;='1-Input'!$C$12,'1-Input'!$B$12,0))-MIN(MAX(M158,0),MAX(0,I121-IF($A159&gt;='1-Input'!$C$12,'1-Input'!$B$12,0))))*(1/(1-'P-Parametri'!$B$6*I159))),MAX(0,0*I121-(M158-MIN(MAX(M158,0),MAX(0,I121-IF($A159&gt;='1-Input'!$C$12,'1-Input'!$B$12,0)))))*(1/(1-'P-Parametri'!$B$6*I159))))</f>
        <v>10846.756992928691</v>
      </c>
      <c r="K159" s="18">
        <f>IF($A159&gt;'1-Input'!$B$26,M158,(M158-MAX(0,I121-IF($A159&gt;='1-Input'!$C$12,'1-Input'!$B$12,0))+J159*(1-'P-Parametri'!$B$6*I159))*(1+ROUND('3-Liquidita'!$F$11,4)))</f>
        <v>0</v>
      </c>
      <c r="L159" s="18">
        <f>IF($A159&gt;'1-Input'!$B$26,N158,(N158-J159)*(1+'5-Roberta'!$C$4))</f>
        <v>-119588.67722293502</v>
      </c>
      <c r="M159" s="18">
        <f>IF($A159&gt;'1-Input'!$B$26,K159,K159-'P-Parametri'!$B$8*(L159+K159)+MIN(MAX(L159,0),'P-Parametri'!$B$8*(L159+K159)))</f>
        <v>0</v>
      </c>
      <c r="N159" s="18">
        <f>IF($A159&gt;'1-Input'!$B$26,L159,L159-MIN(MAX(L159,0),'P-Parametri'!$B$8*(L159+K159)))</f>
        <v>-119349.49986848915</v>
      </c>
      <c r="O159" s="18">
        <f>IF($A159&gt;'1-Input'!$B$26,O158,O158-J159*(1-I159))</f>
        <v>-99661.78640148358</v>
      </c>
      <c r="P159" s="11">
        <f>IF($A159&gt;'1-Input'!$B$26,0,IF(U158&lt;=0,0,MAX(0,(U158-V158)/U158)))</f>
        <v>0.70129210116086871</v>
      </c>
      <c r="Q159" s="18">
        <f>IF($A159&gt;'1-Input'!$B$26,0,(MAX(0,P121-IF($A159&gt;='1-Input'!$C$12,'1-Input'!$B$12,0))-MIN(MAX(T158,0),MAX(0,P121-IF($A159&gt;='1-Input'!$C$12,'1-Input'!$B$12,0))))*(1/(1-'P-Parametri'!$B$6*P159))+MIN(MAX(0,U158-(MAX(0,P121-IF($A159&gt;='1-Input'!$C$12,'1-Input'!$B$12,0))-MIN(MAX(T158,0),MAX(0,P121-IF($A159&gt;='1-Input'!$C$12,'1-Input'!$B$12,0))))*(1/(1-'P-Parametri'!$B$6*P159))),MAX(0,0*P121-(T158-MIN(MAX(T158,0),MAX(0,P121-IF($A159&gt;='1-Input'!$C$12,'1-Input'!$B$12,0)))))*(1/(1-'P-Parametri'!$B$6*P159))))</f>
        <v>9775.4567638592634</v>
      </c>
      <c r="R159" s="18">
        <f>IF($A159&gt;'1-Input'!$B$26,T158,(T158-MAX(0,P121-IF($A159&gt;='1-Input'!$C$12,'1-Input'!$B$12,0))+Q159*(1-'P-Parametri'!$B$6*P159))*(1+ROUND('3-Liquidita'!$F$11,4)))</f>
        <v>9.0540197561495011E-13</v>
      </c>
      <c r="S159" s="18">
        <f>IF($A159&gt;'1-Input'!$B$26,U158,(U158-Q159)*(1+'5-Roberta'!$C$4))</f>
        <v>59766.74470206671</v>
      </c>
      <c r="T159" s="18">
        <f>IF($A159&gt;'1-Input'!$B$26,R159,R159-'P-Parametri'!$B$8*(S159+R159)+MIN(MAX(S159,0),'P-Parametri'!$B$8*(S159+R159)))</f>
        <v>9.0949470177292824E-13</v>
      </c>
      <c r="U159" s="18">
        <f>IF($A159&gt;'1-Input'!$B$26,S159,S159-MIN(MAX(S159,0),'P-Parametri'!$B$8*(S159+R159)))</f>
        <v>59647.21121266258</v>
      </c>
      <c r="V159" s="18">
        <f>IF($A159&gt;'1-Input'!$B$26,V158,V158-Q159*(1-P159))</f>
        <v>17332.814301368082</v>
      </c>
      <c r="W159" s="11">
        <f>IF($A159&gt;'1-Input'!$B$26,0,IF(AB158&lt;=0,0,MAX(0,(AB158-AC158)/AB158)))</f>
        <v>0.70129210116086893</v>
      </c>
      <c r="X159" s="18">
        <f>IF($A159&gt;'1-Input'!$B$26,0,(MAX(0,W121-IF($A159&gt;='1-Input'!$C$12,'1-Input'!$B$12,0))-MIN(MAX(AA158,0),MAX(0,W121-IF($A159&gt;='1-Input'!$C$12,'1-Input'!$B$12,0))))*(1/(1-'P-Parametri'!$B$6*W159))+MIN(MAX(0,AB158-(MAX(0,W121-IF($A159&gt;='1-Input'!$C$12,'1-Input'!$B$12,0))-MIN(MAX(AA158,0),MAX(0,W121-IF($A159&gt;='1-Input'!$C$12,'1-Input'!$B$12,0))))*(1/(1-'P-Parametri'!$B$6*W159))),MAX(0,0*W121-(AA158-MIN(MAX(AA158,0),MAX(0,W121-IF($A159&gt;='1-Input'!$C$12,'1-Input'!$B$12,0)))))*(1/(1-'P-Parametri'!$B$6*W159))))</f>
        <v>9462.0321775104312</v>
      </c>
      <c r="Y159" s="18">
        <f>IF($A159&gt;'1-Input'!$B$26,AA158,(AA158-MAX(0,W121-IF($A159&gt;='1-Input'!$C$12,'1-Input'!$B$12,0))+X159*(1-'P-Parametri'!$B$6*W159))*(1+ROUND('3-Liquidita'!$F$11,4)))</f>
        <v>9.0540197561495011E-13</v>
      </c>
      <c r="Z159" s="18">
        <f>IF($A159&gt;'1-Input'!$B$26,AB158,(AB158-X159)*(1+'5-Roberta'!$C$4))</f>
        <v>77983.190589896258</v>
      </c>
      <c r="AA159" s="18">
        <f>IF($A159&gt;'1-Input'!$B$26,Y159,Y159-'P-Parametri'!$B$8*(Z159+Y159)+MIN(MAX(Z159,0),'P-Parametri'!$B$8*(Z159+Y159)))</f>
        <v>9.0949470177292824E-13</v>
      </c>
      <c r="AB159" s="18">
        <f>IF($A159&gt;'1-Input'!$B$26,Z159,Z159-MIN(MAX(Z159,0),'P-Parametri'!$B$8*(Z159+Y159)))</f>
        <v>77827.224208716463</v>
      </c>
      <c r="AC159" s="18">
        <f>IF($A159&gt;'1-Input'!$B$26,AC158,AC158-X159*(1-W159))</f>
        <v>22615.723306679036</v>
      </c>
      <c r="AD159" s="11">
        <f>IF($A159&gt;'1-Input'!$B$26,0,IF(AI158&lt;=0,0,MAX(0,(AI158-AJ158)/AI158)))</f>
        <v>0.70129210116086926</v>
      </c>
      <c r="AE159" s="18">
        <f>IF($A159&gt;'1-Input'!$B$26,0,(MAX(0,AD121-IF($A159&gt;='1-Input'!$C$12,'1-Input'!$B$12,0))-MIN(MAX(AH158,0),MAX(0,AD121-IF($A159&gt;='1-Input'!$C$12,'1-Input'!$B$12,0))))*(1/(1-'P-Parametri'!$B$6*AD159))+MIN(MAX(0,AI158-(MAX(0,AD121-IF($A159&gt;='1-Input'!$C$12,'1-Input'!$B$12,0))-MIN(MAX(AH158,0),MAX(0,AD121-IF($A159&gt;='1-Input'!$C$12,'1-Input'!$B$12,0))))*(1/(1-'P-Parametri'!$B$6*AD159))),MAX(0,0*AD121-(AH158-MIN(MAX(AH158,0),MAX(0,AD121-IF($A159&gt;='1-Input'!$C$12,'1-Input'!$B$12,0)))))*(1/(1-'P-Parametri'!$B$6*AD159))))</f>
        <v>9470.3283297635226</v>
      </c>
      <c r="AF159" s="18">
        <f>IF($A159&gt;'1-Input'!$B$26,AH158,(AH158-MAX(0,AD121-IF($A159&gt;='1-Input'!$C$12,'1-Input'!$B$12,0))+AE159*(1-'P-Parametri'!$B$6*AD159))*(1+ROUND('3-Liquidita'!$F$11,4)))</f>
        <v>-9.0540197561495011E-13</v>
      </c>
      <c r="AG159" s="18">
        <f>IF($A159&gt;'1-Input'!$B$26,AI158,(AI158-AE159)*(1+'5-Roberta'!$C$4))</f>
        <v>77501.012690720876</v>
      </c>
      <c r="AH159" s="18">
        <f>IF($A159&gt;'1-Input'!$B$26,AF159,AF159-'P-Parametri'!$B$8*(AG159+AF159)+MIN(MAX(AG159,0),'P-Parametri'!$B$8*(AG159+AF159)))</f>
        <v>-9.0949470177292824E-13</v>
      </c>
      <c r="AI159" s="18">
        <f>IF($A159&gt;'1-Input'!$B$26,AG159,AG159-MIN(MAX(AG159,0),'P-Parametri'!$B$8*(AG159+AF159)))</f>
        <v>77346.010665339432</v>
      </c>
      <c r="AJ159" s="18">
        <f>IF($A159&gt;'1-Input'!$B$26,AJ158,AJ158-AE159*(1-AD159))</f>
        <v>22475.888018203921</v>
      </c>
      <c r="AK159" s="11">
        <f>IF($A159&gt;'1-Input'!$B$26,0,IF(AP158&lt;=0,0,MAX(0,(AP158-AQ158)/AP158)))</f>
        <v>0.70129210116086871</v>
      </c>
      <c r="AL159" s="18">
        <f>IF($A159&gt;'1-Input'!$B$26,0,(MAX(0,AK121-IF($A159&gt;='1-Input'!$C$12,'1-Input'!$B$12,0))-MIN(MAX(AO158,0),MAX(0,AK121-IF($A159&gt;='1-Input'!$C$12,'1-Input'!$B$12,0))))*(1/(1-'P-Parametri'!$B$6*AK159))+MIN(MAX(0,AP158-(MAX(0,AK121-IF($A159&gt;='1-Input'!$C$12,'1-Input'!$B$12,0))-MIN(MAX(AO158,0),MAX(0,AK121-IF($A159&gt;='1-Input'!$C$12,'1-Input'!$B$12,0))))*(1/(1-'P-Parametri'!$B$6*AK159))),MAX(0,0*AK121-(AO158-MIN(MAX(AO158,0),MAX(0,AK121-IF($A159&gt;='1-Input'!$C$12,'1-Input'!$B$12,0)))))*(1/(1-'P-Parametri'!$B$6*AK159))))</f>
        <v>9469.0400901733574</v>
      </c>
      <c r="AM159" s="18">
        <f>IF($A159&gt;'1-Input'!$B$26,AO158,(AO158-MAX(0,AK121-IF($A159&gt;='1-Input'!$C$12,'1-Input'!$B$12,0))+AL159*(1-'P-Parametri'!$B$6*AK159))*(1+ROUND('3-Liquidita'!$F$11,4)))</f>
        <v>9.0540197561495011E-13</v>
      </c>
      <c r="AN159" s="18">
        <f>IF($A159&gt;'1-Input'!$B$26,AP158,(AP158-AL159)*(1+'5-Roberta'!$C$4))</f>
        <v>77575.88603444281</v>
      </c>
      <c r="AO159" s="18">
        <f>IF($A159&gt;'1-Input'!$B$26,AM159,AM159-'P-Parametri'!$B$8*(AN159+AM159)+MIN(MAX(AN159,0),'P-Parametri'!$B$8*(AN159+AM159)))</f>
        <v>9.0949470177292824E-13</v>
      </c>
      <c r="AP159" s="18">
        <f>IF($A159&gt;'1-Input'!$B$26,AN159,AN159-MIN(MAX(AN159,0),'P-Parametri'!$B$8*(AN159+AM159)))</f>
        <v>77420.734262373924</v>
      </c>
      <c r="AQ159" s="18">
        <f>IF($A159&gt;'1-Input'!$B$26,AQ158,AQ158-AL159*(1-AK159))</f>
        <v>22497.601862070209</v>
      </c>
    </row>
    <row r="160" spans="1:43">
      <c r="A160" s="10">
        <f>37</f>
        <v>37</v>
      </c>
      <c r="B160" s="11">
        <f>IF($A160&gt;'1-Input'!$B$26,0,IF(G159&lt;=0,0,MAX(0,(G159-H159)/G159)))</f>
        <v>0.70941115353120676</v>
      </c>
      <c r="C160" s="18">
        <f>IF($A160&gt;'1-Input'!$B$26,0,(MAX(0,B121-IF($A160&gt;='1-Input'!$C$12,'1-Input'!$B$12,0))-MIN(MAX(F159,0),MAX(0,B121-IF($A160&gt;='1-Input'!$C$12,'1-Input'!$B$12,0))))*(1/(1-'P-Parametri'!$B$6*B160))+MIN(MAX(0,G159-(MAX(0,B121-IF($A160&gt;='1-Input'!$C$12,'1-Input'!$B$12,0))-MIN(MAX(F159,0),MAX(0,B121-IF($A160&gt;='1-Input'!$C$12,'1-Input'!$B$12,0))))*(1/(1-'P-Parametri'!$B$6*B160))),MAX(0,0*B121-(F159-MIN(MAX(F159,0),MAX(0,B121-IF($A160&gt;='1-Input'!$C$12,'1-Input'!$B$12,0)))))*(1/(1-'P-Parametri'!$B$6*B160))))</f>
        <v>6840.8241156408239</v>
      </c>
      <c r="D160" s="18">
        <f>IF($A160&gt;'1-Input'!$B$26,F159,(F159-MAX(0,B121-IF($A160&gt;='1-Input'!$C$12,'1-Input'!$B$12,0))+C160*(1-'P-Parametri'!$B$6*B160))*(1+ROUND('3-Liquidita'!$F$11,4)))</f>
        <v>0</v>
      </c>
      <c r="E160" s="18">
        <f>IF($A160&gt;'1-Input'!$B$26,G159,(G159-C160)*(1+'5-Roberta'!$C$4))</f>
        <v>230774.05040056957</v>
      </c>
      <c r="F160" s="18">
        <f>IF($A160&gt;'1-Input'!$B$26,D160,D160-'P-Parametri'!$B$8*(E160+D160)+MIN(MAX(E160,0),'P-Parametri'!$B$8*(E160+D160)))</f>
        <v>0</v>
      </c>
      <c r="G160" s="18">
        <f>IF($A160&gt;'1-Input'!$B$26,E160,E160-MIN(MAX(E160,0),'P-Parametri'!$B$8*(E160+D160)))</f>
        <v>230312.50229976844</v>
      </c>
      <c r="H160" s="18">
        <f>IF($A160&gt;'1-Input'!$B$26,H159,H159-C160*(1-B160))</f>
        <v>65107.150583332688</v>
      </c>
      <c r="I160" s="11">
        <f>IF($A160&gt;'1-Input'!$B$26,0,IF(N159&lt;=0,0,MAX(0,(N159-O159)/N159)))</f>
        <v>0</v>
      </c>
      <c r="J160" s="18">
        <f>IF($A160&gt;'1-Input'!$B$26,0,(MAX(0,I121-IF($A160&gt;='1-Input'!$C$12,'1-Input'!$B$12,0))-MIN(MAX(M159,0),MAX(0,I121-IF($A160&gt;='1-Input'!$C$12,'1-Input'!$B$12,0))))*(1/(1-'P-Parametri'!$B$6*I160))+MIN(MAX(0,N159-(MAX(0,I121-IF($A160&gt;='1-Input'!$C$12,'1-Input'!$B$12,0))-MIN(MAX(M159,0),MAX(0,I121-IF($A160&gt;='1-Input'!$C$12,'1-Input'!$B$12,0))))*(1/(1-'P-Parametri'!$B$6*I160))),MAX(0,0*I121-(M159-MIN(MAX(M159,0),MAX(0,I121-IF($A160&gt;='1-Input'!$C$12,'1-Input'!$B$12,0)))))*(1/(1-'P-Parametri'!$B$6*I160))))</f>
        <v>10846.756992928691</v>
      </c>
      <c r="K160" s="18">
        <f>IF($A160&gt;'1-Input'!$B$26,M159,(M159-MAX(0,I121-IF($A160&gt;='1-Input'!$C$12,'1-Input'!$B$12,0))+J160*(1-'P-Parametri'!$B$6*I160))*(1+ROUND('3-Liquidita'!$F$11,4)))</f>
        <v>0</v>
      </c>
      <c r="L160" s="18">
        <f>IF($A160&gt;'1-Input'!$B$26,N159,(N159-J160)*(1+'5-Roberta'!$C$4))</f>
        <v>-134102.14456726037</v>
      </c>
      <c r="M160" s="18">
        <f>IF($A160&gt;'1-Input'!$B$26,K160,K160-'P-Parametri'!$B$8*(L160+K160)+MIN(MAX(L160,0),'P-Parametri'!$B$8*(L160+K160)))</f>
        <v>0</v>
      </c>
      <c r="N160" s="18">
        <f>IF($A160&gt;'1-Input'!$B$26,L160,L160-MIN(MAX(L160,0),'P-Parametri'!$B$8*(L160+K160)))</f>
        <v>-133833.94027812584</v>
      </c>
      <c r="O160" s="18">
        <f>IF($A160&gt;'1-Input'!$B$26,O159,O159-J160*(1-I160))</f>
        <v>-110508.54339441226</v>
      </c>
      <c r="P160" s="11">
        <f>IF($A160&gt;'1-Input'!$B$26,0,IF(U159&lt;=0,0,MAX(0,(U159-V159)/U159)))</f>
        <v>0.70941115353120687</v>
      </c>
      <c r="Q160" s="18">
        <f>IF($A160&gt;'1-Input'!$B$26,0,(MAX(0,P121-IF($A160&gt;='1-Input'!$C$12,'1-Input'!$B$12,0))-MIN(MAX(T159,0),MAX(0,P121-IF($A160&gt;='1-Input'!$C$12,'1-Input'!$B$12,0))))*(1/(1-'P-Parametri'!$B$6*P160))+MIN(MAX(0,U159-(MAX(0,P121-IF($A160&gt;='1-Input'!$C$12,'1-Input'!$B$12,0))-MIN(MAX(T159,0),MAX(0,P121-IF($A160&gt;='1-Input'!$C$12,'1-Input'!$B$12,0))))*(1/(1-'P-Parametri'!$B$6*P160))),MAX(0,0*P121-(T159-MIN(MAX(T159,0),MAX(0,P121-IF($A160&gt;='1-Input'!$C$12,'1-Input'!$B$12,0)))))*(1/(1-'P-Parametri'!$B$6*P160))))</f>
        <v>9800.7592681406641</v>
      </c>
      <c r="R160" s="18">
        <f>IF($A160&gt;'1-Input'!$B$26,T159,(T159-MAX(0,P121-IF($A160&gt;='1-Input'!$C$12,'1-Input'!$B$12,0))+Q160*(1-'P-Parametri'!$B$6*P160))*(1+ROUND('3-Liquidita'!$F$11,4)))</f>
        <v>-9.0540197561495011E-13</v>
      </c>
      <c r="S160" s="18">
        <f>IF($A160&gt;'1-Input'!$B$26,U159,(U159-Q160)*(1+'5-Roberta'!$C$4))</f>
        <v>51341.845502857577</v>
      </c>
      <c r="T160" s="18">
        <f>IF($A160&gt;'1-Input'!$B$26,R160,R160-'P-Parametri'!$B$8*(S160+R160)+MIN(MAX(S160,0),'P-Parametri'!$B$8*(S160+R160)))</f>
        <v>-9.0949470177292824E-13</v>
      </c>
      <c r="U160" s="18">
        <f>IF($A160&gt;'1-Input'!$B$26,S160,S160-MIN(MAX(S160,0),'P-Parametri'!$B$8*(S160+R160)))</f>
        <v>51239.16181185186</v>
      </c>
      <c r="V160" s="18">
        <f>IF($A160&gt;'1-Input'!$B$26,V159,V159-Q160*(1-P160))</f>
        <v>14484.822971120753</v>
      </c>
      <c r="W160" s="11">
        <f>IF($A160&gt;'1-Input'!$B$26,0,IF(AB159&lt;=0,0,MAX(0,(AB159-AC159)/AB159)))</f>
        <v>0.70941115353120698</v>
      </c>
      <c r="X160" s="18">
        <f>IF($A160&gt;'1-Input'!$B$26,0,(MAX(0,W121-IF($A160&gt;='1-Input'!$C$12,'1-Input'!$B$12,0))-MIN(MAX(AA159,0),MAX(0,W121-IF($A160&gt;='1-Input'!$C$12,'1-Input'!$B$12,0))))*(1/(1-'P-Parametri'!$B$6*W160))+MIN(MAX(0,AB159-(MAX(0,W121-IF($A160&gt;='1-Input'!$C$12,'1-Input'!$B$12,0))-MIN(MAX(AA159,0),MAX(0,W121-IF($A160&gt;='1-Input'!$C$12,'1-Input'!$B$12,0))))*(1/(1-'P-Parametri'!$B$6*W160))),MAX(0,0*W121-(AA159-MIN(MAX(AA159,0),MAX(0,W121-IF($A160&gt;='1-Input'!$C$12,'1-Input'!$B$12,0)))))*(1/(1-'P-Parametri'!$B$6*W160))))</f>
        <v>9486.5234228266963</v>
      </c>
      <c r="Y160" s="18">
        <f>IF($A160&gt;'1-Input'!$B$26,AA159,(AA159-MAX(0,W121-IF($A160&gt;='1-Input'!$C$12,'1-Input'!$B$12,0))+X160*(1-'P-Parametri'!$B$6*W160))*(1+ROUND('3-Liquidita'!$F$11,4)))</f>
        <v>-9.0540197561495011E-13</v>
      </c>
      <c r="Z160" s="18">
        <f>IF($A160&gt;'1-Input'!$B$26,AB159,(AB159-X160)*(1+'5-Roberta'!$C$4))</f>
        <v>70390.921809466468</v>
      </c>
      <c r="AA160" s="18">
        <f>IF($A160&gt;'1-Input'!$B$26,Y160,Y160-'P-Parametri'!$B$8*(Z160+Y160)+MIN(MAX(Z160,0),'P-Parametri'!$B$8*(Z160+Y160)))</f>
        <v>-9.0949470177292824E-13</v>
      </c>
      <c r="AB160" s="18">
        <f>IF($A160&gt;'1-Input'!$B$26,Z160,Z160-MIN(MAX(Z160,0),'P-Parametri'!$B$8*(Z160+Y160)))</f>
        <v>70250.139965847542</v>
      </c>
      <c r="AC160" s="18">
        <f>IF($A160&gt;'1-Input'!$B$26,AC159,AC159-X160*(1-W160))</f>
        <v>19859.04540824064</v>
      </c>
      <c r="AD160" s="11">
        <f>IF($A160&gt;'1-Input'!$B$26,0,IF(AI159&lt;=0,0,MAX(0,(AI159-AJ159)/AI159)))</f>
        <v>0.70941115353120732</v>
      </c>
      <c r="AE160" s="18">
        <f>IF($A160&gt;'1-Input'!$B$26,0,(MAX(0,AD121-IF($A160&gt;='1-Input'!$C$12,'1-Input'!$B$12,0))-MIN(MAX(AH159,0),MAX(0,AD121-IF($A160&gt;='1-Input'!$C$12,'1-Input'!$B$12,0))))*(1/(1-'P-Parametri'!$B$6*AD160))+MIN(MAX(0,AI159-(MAX(0,AD121-IF($A160&gt;='1-Input'!$C$12,'1-Input'!$B$12,0))-MIN(MAX(AH159,0),MAX(0,AD121-IF($A160&gt;='1-Input'!$C$12,'1-Input'!$B$12,0))))*(1/(1-'P-Parametri'!$B$6*AD160))),MAX(0,0*AD121-(AH159-MIN(MAX(AH159,0),MAX(0,AD121-IF($A160&gt;='1-Input'!$C$12,'1-Input'!$B$12,0)))))*(1/(1-'P-Parametri'!$B$6*AD160))))</f>
        <v>9494.841048595863</v>
      </c>
      <c r="AF160" s="18">
        <f>IF($A160&gt;'1-Input'!$B$26,AH159,(AH159-MAX(0,AD121-IF($A160&gt;='1-Input'!$C$12,'1-Input'!$B$12,0))+AE160*(1-'P-Parametri'!$B$6*AD160))*(1+ROUND('3-Liquidita'!$F$11,4)))</f>
        <v>9.0540197561495011E-13</v>
      </c>
      <c r="AG160" s="18">
        <f>IF($A160&gt;'1-Input'!$B$26,AI159,(AI159-AE160)*(1+'5-Roberta'!$C$4))</f>
        <v>69886.70470524588</v>
      </c>
      <c r="AH160" s="18">
        <f>IF($A160&gt;'1-Input'!$B$26,AF160,AF160-'P-Parametri'!$B$8*(AG160+AF160)+MIN(MAX(AG160,0),'P-Parametri'!$B$8*(AG160+AF160)))</f>
        <v>9.0949470177292824E-13</v>
      </c>
      <c r="AI160" s="18">
        <f>IF($A160&gt;'1-Input'!$B$26,AG160,AG160-MIN(MAX(AG160,0),'P-Parametri'!$B$8*(AG160+AF160)))</f>
        <v>69746.931295835384</v>
      </c>
      <c r="AJ160" s="18">
        <f>IF($A160&gt;'1-Input'!$B$26,AJ159,AJ159-AE160*(1-AD160))</f>
        <v>19716.793110487906</v>
      </c>
      <c r="AK160" s="11">
        <f>IF($A160&gt;'1-Input'!$B$26,0,IF(AP159&lt;=0,0,MAX(0,(AP159-AQ159)/AP159)))</f>
        <v>0.70941115353120687</v>
      </c>
      <c r="AL160" s="18">
        <f>IF($A160&gt;'1-Input'!$B$26,0,(MAX(0,AK121-IF($A160&gt;='1-Input'!$C$12,'1-Input'!$B$12,0))-MIN(MAX(AO159,0),MAX(0,AK121-IF($A160&gt;='1-Input'!$C$12,'1-Input'!$B$12,0))))*(1/(1-'P-Parametri'!$B$6*AK160))+MIN(MAX(0,AP159-(MAX(0,AK121-IF($A160&gt;='1-Input'!$C$12,'1-Input'!$B$12,0))-MIN(MAX(AO159,0),MAX(0,AK121-IF($A160&gt;='1-Input'!$C$12,'1-Input'!$B$12,0))))*(1/(1-'P-Parametri'!$B$6*AK160))),MAX(0,0*AK121-(AO159-MIN(MAX(AO159,0),MAX(0,AK121-IF($A160&gt;='1-Input'!$C$12,'1-Input'!$B$12,0)))))*(1/(1-'P-Parametri'!$B$6*AK160))))</f>
        <v>9493.54947456429</v>
      </c>
      <c r="AM160" s="18">
        <f>IF($A160&gt;'1-Input'!$B$26,AO159,(AO159-MAX(0,AK121-IF($A160&gt;='1-Input'!$C$12,'1-Input'!$B$12,0))+AL160*(1-'P-Parametri'!$B$6*AK160))*(1+ROUND('3-Liquidita'!$F$11,4)))</f>
        <v>0</v>
      </c>
      <c r="AN160" s="18">
        <f>IF($A160&gt;'1-Input'!$B$26,AP159,(AP159-AL160)*(1+'5-Roberta'!$C$4))</f>
        <v>69965.000331443924</v>
      </c>
      <c r="AO160" s="18">
        <f>IF($A160&gt;'1-Input'!$B$26,AM160,AM160-'P-Parametri'!$B$8*(AN160+AM160)+MIN(MAX(AN160,0),'P-Parametri'!$B$8*(AN160+AM160)))</f>
        <v>0</v>
      </c>
      <c r="AP160" s="18">
        <f>IF($A160&gt;'1-Input'!$B$26,AN160,AN160-MIN(MAX(AN160,0),'P-Parametri'!$B$8*(AN160+AM160)))</f>
        <v>69825.070330781033</v>
      </c>
      <c r="AQ160" s="18">
        <f>IF($A160&gt;'1-Input'!$B$26,AQ159,AQ159-AL160*(1-AK160))</f>
        <v>19738.882271362156</v>
      </c>
    </row>
    <row r="161" spans="1:43">
      <c r="A161" s="10">
        <f>38</f>
        <v>38</v>
      </c>
      <c r="B161" s="11">
        <f>IF($A161&gt;'1-Input'!$B$26,0,IF(G160&lt;=0,0,MAX(0,(G160-H160)/G160)))</f>
        <v>0.71730952539176096</v>
      </c>
      <c r="C161" s="18">
        <f>IF($A161&gt;'1-Input'!$B$26,0,(MAX(0,B121-IF($A161&gt;='1-Input'!$C$12,'1-Input'!$B$12,0))-MIN(MAX(F160,0),MAX(0,B121-IF($A161&gt;='1-Input'!$C$12,'1-Input'!$B$12,0))))*(1/(1-'P-Parametri'!$B$6*B161))+MIN(MAX(0,G160-(MAX(0,B121-IF($A161&gt;='1-Input'!$C$12,'1-Input'!$B$12,0))-MIN(MAX(F160,0),MAX(0,B121-IF($A161&gt;='1-Input'!$C$12,'1-Input'!$B$12,0))))*(1/(1-'P-Parametri'!$B$6*B161))),MAX(0,0*B121-(F160-MIN(MAX(F160,0),MAX(0,B121-IF($A161&gt;='1-Input'!$C$12,'1-Input'!$B$12,0)))))*(1/(1-'P-Parametri'!$B$6*B161))))</f>
        <v>6858.0929111316846</v>
      </c>
      <c r="D161" s="18">
        <f>IF($A161&gt;'1-Input'!$B$26,F160,(F160-MAX(0,B121-IF($A161&gt;='1-Input'!$C$12,'1-Input'!$B$12,0))+C161*(1-'P-Parametri'!$B$6*B161))*(1+ROUND('3-Liquidita'!$F$11,4)))</f>
        <v>0</v>
      </c>
      <c r="E161" s="18">
        <f>IF($A161&gt;'1-Input'!$B$26,G160,(G160-C161)*(1+'5-Roberta'!$C$4))</f>
        <v>230158.04167029588</v>
      </c>
      <c r="F161" s="18">
        <f>IF($A161&gt;'1-Input'!$B$26,D161,D161-'P-Parametri'!$B$8*(E161+D161)+MIN(MAX(E161,0),'P-Parametri'!$B$8*(E161+D161)))</f>
        <v>0</v>
      </c>
      <c r="G161" s="18">
        <f>IF($A161&gt;'1-Input'!$B$26,E161,E161-MIN(MAX(E161,0),'P-Parametri'!$B$8*(E161+D161)))</f>
        <v>229697.72558695529</v>
      </c>
      <c r="H161" s="18">
        <f>IF($A161&gt;'1-Input'!$B$26,H160,H160-C161*(1-B161))</f>
        <v>63168.433043377474</v>
      </c>
      <c r="I161" s="11">
        <f>IF($A161&gt;'1-Input'!$B$26,0,IF(N160&lt;=0,0,MAX(0,(N160-O160)/N160)))</f>
        <v>0</v>
      </c>
      <c r="J161" s="18">
        <f>IF($A161&gt;'1-Input'!$B$26,0,(MAX(0,I121-IF($A161&gt;='1-Input'!$C$12,'1-Input'!$B$12,0))-MIN(MAX(M160,0),MAX(0,I121-IF($A161&gt;='1-Input'!$C$12,'1-Input'!$B$12,0))))*(1/(1-'P-Parametri'!$B$6*I161))+MIN(MAX(0,N160-(MAX(0,I121-IF($A161&gt;='1-Input'!$C$12,'1-Input'!$B$12,0))-MIN(MAX(M160,0),MAX(0,I121-IF($A161&gt;='1-Input'!$C$12,'1-Input'!$B$12,0))))*(1/(1-'P-Parametri'!$B$6*I161))),MAX(0,0*I121-(M160-MIN(MAX(M160,0),MAX(0,I121-IF($A161&gt;='1-Input'!$C$12,'1-Input'!$B$12,0)))))*(1/(1-'P-Parametri'!$B$6*I161))))</f>
        <v>10846.756992928691</v>
      </c>
      <c r="K161" s="18">
        <f>IF($A161&gt;'1-Input'!$B$26,M160,(M160-MAX(0,I121-IF($A161&gt;='1-Input'!$C$12,'1-Input'!$B$12,0))+J161*(1-'P-Parametri'!$B$6*I161))*(1+ROUND('3-Liquidita'!$F$11,4)))</f>
        <v>0</v>
      </c>
      <c r="L161" s="18">
        <f>IF($A161&gt;'1-Input'!$B$26,N160,(N160-J161)*(1+'5-Roberta'!$C$4))</f>
        <v>-149021.11818918615</v>
      </c>
      <c r="M161" s="18">
        <f>IF($A161&gt;'1-Input'!$B$26,K161,K161-'P-Parametri'!$B$8*(L161+K161)+MIN(MAX(L161,0),'P-Parametri'!$B$8*(L161+K161)))</f>
        <v>0</v>
      </c>
      <c r="N161" s="18">
        <f>IF($A161&gt;'1-Input'!$B$26,L161,L161-MIN(MAX(L161,0),'P-Parametri'!$B$8*(L161+K161)))</f>
        <v>-148723.07595280779</v>
      </c>
      <c r="O161" s="18">
        <f>IF($A161&gt;'1-Input'!$B$26,O160,O160-J161*(1-I161))</f>
        <v>-121355.30038734095</v>
      </c>
      <c r="P161" s="11">
        <f>IF($A161&gt;'1-Input'!$B$26,0,IF(U160&lt;=0,0,MAX(0,(U160-V160)/U160)))</f>
        <v>0.71730952539176107</v>
      </c>
      <c r="Q161" s="18">
        <f>IF($A161&gt;'1-Input'!$B$26,0,(MAX(0,P121-IF($A161&gt;='1-Input'!$C$12,'1-Input'!$B$12,0))-MIN(MAX(T160,0),MAX(0,P121-IF($A161&gt;='1-Input'!$C$12,'1-Input'!$B$12,0))))*(1/(1-'P-Parametri'!$B$6*P161))+MIN(MAX(0,U160-(MAX(0,P121-IF($A161&gt;='1-Input'!$C$12,'1-Input'!$B$12,0))-MIN(MAX(T160,0),MAX(0,P121-IF($A161&gt;='1-Input'!$C$12,'1-Input'!$B$12,0))))*(1/(1-'P-Parametri'!$B$6*P161))),MAX(0,0*P121-(T160-MIN(MAX(T160,0),MAX(0,P121-IF($A161&gt;='1-Input'!$C$12,'1-Input'!$B$12,0)))))*(1/(1-'P-Parametri'!$B$6*P161))))</f>
        <v>9825.5000456545495</v>
      </c>
      <c r="R161" s="18">
        <f>IF($A161&gt;'1-Input'!$B$26,T160,(T160-MAX(0,P121-IF($A161&gt;='1-Input'!$C$12,'1-Input'!$B$12,0))+Q161*(1-'P-Parametri'!$B$6*P161))*(1+ROUND('3-Liquidita'!$F$11,4)))</f>
        <v>0</v>
      </c>
      <c r="S161" s="18">
        <f>IF($A161&gt;'1-Input'!$B$26,U160,(U160-Q161)*(1+'5-Roberta'!$C$4))</f>
        <v>42656.071619183233</v>
      </c>
      <c r="T161" s="18">
        <f>IF($A161&gt;'1-Input'!$B$26,R161,R161-'P-Parametri'!$B$8*(S161+R161)+MIN(MAX(S161,0),'P-Parametri'!$B$8*(S161+R161)))</f>
        <v>0</v>
      </c>
      <c r="U161" s="18">
        <f>IF($A161&gt;'1-Input'!$B$26,S161,S161-MIN(MAX(S161,0),'P-Parametri'!$B$8*(S161+R161)))</f>
        <v>42570.759475944869</v>
      </c>
      <c r="V161" s="18">
        <f>IF($A161&gt;'1-Input'!$B$26,V160,V160-Q161*(1-P161))</f>
        <v>11707.247699951395</v>
      </c>
      <c r="W161" s="11">
        <f>IF($A161&gt;'1-Input'!$B$26,0,IF(AB160&lt;=0,0,MAX(0,(AB160-AC160)/AB160)))</f>
        <v>0.71730952539176129</v>
      </c>
      <c r="X161" s="18">
        <f>IF($A161&gt;'1-Input'!$B$26,0,(MAX(0,W121-IF($A161&gt;='1-Input'!$C$12,'1-Input'!$B$12,0))-MIN(MAX(AA160,0),MAX(0,W121-IF($A161&gt;='1-Input'!$C$12,'1-Input'!$B$12,0))))*(1/(1-'P-Parametri'!$B$6*W161))+MIN(MAX(0,AB160-(MAX(0,W121-IF($A161&gt;='1-Input'!$C$12,'1-Input'!$B$12,0))-MIN(MAX(AA160,0),MAX(0,W121-IF($A161&gt;='1-Input'!$C$12,'1-Input'!$B$12,0))))*(1/(1-'P-Parametri'!$B$6*W161))),MAX(0,0*W121-(AA160-MIN(MAX(AA160,0),MAX(0,W121-IF($A161&gt;='1-Input'!$C$12,'1-Input'!$B$12,0)))))*(1/(1-'P-Parametri'!$B$6*W161))))</f>
        <v>9510.4709516826897</v>
      </c>
      <c r="Y161" s="18">
        <f>IF($A161&gt;'1-Input'!$B$26,AA160,(AA160-MAX(0,W121-IF($A161&gt;='1-Input'!$C$12,'1-Input'!$B$12,0))+X161*(1-'P-Parametri'!$B$6*W161))*(1+ROUND('3-Liquidita'!$F$11,4)))</f>
        <v>9.0540197561495011E-13</v>
      </c>
      <c r="Z161" s="18">
        <f>IF($A161&gt;'1-Input'!$B$26,AB160,(AB160-X161)*(1+'5-Roberta'!$C$4))</f>
        <v>62561.8590845898</v>
      </c>
      <c r="AA161" s="18">
        <f>IF($A161&gt;'1-Input'!$B$26,Y161,Y161-'P-Parametri'!$B$8*(Z161+Y161)+MIN(MAX(Z161,0),'P-Parametri'!$B$8*(Z161+Y161)))</f>
        <v>9.0949470177292824E-13</v>
      </c>
      <c r="AB161" s="18">
        <f>IF($A161&gt;'1-Input'!$B$26,Z161,Z161-MIN(MAX(Z161,0),'P-Parametri'!$B$8*(Z161+Y161)))</f>
        <v>62436.735366420617</v>
      </c>
      <c r="AC161" s="18">
        <f>IF($A161&gt;'1-Input'!$B$26,AC160,AC160-X161*(1-W161))</f>
        <v>17170.525861161594</v>
      </c>
      <c r="AD161" s="11">
        <f>IF($A161&gt;'1-Input'!$B$26,0,IF(AI160&lt;=0,0,MAX(0,(AI160-AJ160)/AI160)))</f>
        <v>0.71730952539176152</v>
      </c>
      <c r="AE161" s="18">
        <f>IF($A161&gt;'1-Input'!$B$26,0,(MAX(0,AD121-IF($A161&gt;='1-Input'!$C$12,'1-Input'!$B$12,0))-MIN(MAX(AH160,0),MAX(0,AD121-IF($A161&gt;='1-Input'!$C$12,'1-Input'!$B$12,0))))*(1/(1-'P-Parametri'!$B$6*AD161))+MIN(MAX(0,AI160-(MAX(0,AD121-IF($A161&gt;='1-Input'!$C$12,'1-Input'!$B$12,0))-MIN(MAX(AH160,0),MAX(0,AD121-IF($A161&gt;='1-Input'!$C$12,'1-Input'!$B$12,0))))*(1/(1-'P-Parametri'!$B$6*AD161))),MAX(0,0*AD121-(AH160-MIN(MAX(AH160,0),MAX(0,AD121-IF($A161&gt;='1-Input'!$C$12,'1-Input'!$B$12,0)))))*(1/(1-'P-Parametri'!$B$6*AD161))))</f>
        <v>9518.8095742463775</v>
      </c>
      <c r="AF161" s="18">
        <f>IF($A161&gt;'1-Input'!$B$26,AH160,(AH160-MAX(0,AD121-IF($A161&gt;='1-Input'!$C$12,'1-Input'!$B$12,0))+AE161*(1-'P-Parametri'!$B$6*AD161))*(1+ROUND('3-Liquidita'!$F$11,4)))</f>
        <v>0</v>
      </c>
      <c r="AG161" s="18">
        <f>IF($A161&gt;'1-Input'!$B$26,AI160,(AI160-AE161)*(1+'5-Roberta'!$C$4))</f>
        <v>62034.965373236679</v>
      </c>
      <c r="AH161" s="18">
        <f>IF($A161&gt;'1-Input'!$B$26,AF161,AF161-'P-Parametri'!$B$8*(AG161+AF161)+MIN(MAX(AG161,0),'P-Parametri'!$B$8*(AG161+AF161)))</f>
        <v>0</v>
      </c>
      <c r="AI161" s="18">
        <f>IF($A161&gt;'1-Input'!$B$26,AG161,AG161-MIN(MAX(AG161,0),'P-Parametri'!$B$8*(AG161+AF161)))</f>
        <v>61910.895442490204</v>
      </c>
      <c r="AJ161" s="18">
        <f>IF($A161&gt;'1-Input'!$B$26,AJ160,AJ160-AE161*(1-AD161))</f>
        <v>17025.916314238755</v>
      </c>
      <c r="AK161" s="11">
        <f>IF($A161&gt;'1-Input'!$B$26,0,IF(AP160&lt;=0,0,MAX(0,(AP160-AQ160)/AP160)))</f>
        <v>0.71730952539176107</v>
      </c>
      <c r="AL161" s="18">
        <f>IF($A161&gt;'1-Input'!$B$26,0,(MAX(0,AK121-IF($A161&gt;='1-Input'!$C$12,'1-Input'!$B$12,0))-MIN(MAX(AO160,0),MAX(0,AK121-IF($A161&gt;='1-Input'!$C$12,'1-Input'!$B$12,0))))*(1/(1-'P-Parametri'!$B$6*AK161))+MIN(MAX(0,AP160-(MAX(0,AK121-IF($A161&gt;='1-Input'!$C$12,'1-Input'!$B$12,0))-MIN(MAX(AO160,0),MAX(0,AK121-IF($A161&gt;='1-Input'!$C$12,'1-Input'!$B$12,0))))*(1/(1-'P-Parametri'!$B$6*AK161))),MAX(0,0*AK121-(AO160-MIN(MAX(AO160,0),MAX(0,AK121-IF($A161&gt;='1-Input'!$C$12,'1-Input'!$B$12,0)))))*(1/(1-'P-Parametri'!$B$6*AK161))))</f>
        <v>9517.5147397994788</v>
      </c>
      <c r="AM161" s="18">
        <f>IF($A161&gt;'1-Input'!$B$26,AO160,(AO160-MAX(0,AK121-IF($A161&gt;='1-Input'!$C$12,'1-Input'!$B$12,0))+AL161*(1-'P-Parametri'!$B$6*AK161))*(1+ROUND('3-Liquidita'!$F$11,4)))</f>
        <v>-9.0540197561495011E-13</v>
      </c>
      <c r="AN161" s="18">
        <f>IF($A161&gt;'1-Input'!$B$26,AP160,(AP160-AL161)*(1+'5-Roberta'!$C$4))</f>
        <v>62116.782258710999</v>
      </c>
      <c r="AO161" s="18">
        <f>IF($A161&gt;'1-Input'!$B$26,AM161,AM161-'P-Parametri'!$B$8*(AN161+AM161)+MIN(MAX(AN161,0),'P-Parametri'!$B$8*(AN161+AM161)))</f>
        <v>-9.0949470177292824E-13</v>
      </c>
      <c r="AP161" s="18">
        <f>IF($A161&gt;'1-Input'!$B$26,AN161,AN161-MIN(MAX(AN161,0),'P-Parametri'!$B$8*(AN161+AM161)))</f>
        <v>61992.548694193574</v>
      </c>
      <c r="AQ161" s="18">
        <f>IF($A161&gt;'1-Input'!$B$26,AQ160,AQ160-AL161*(1-AK161))</f>
        <v>17048.37151247733</v>
      </c>
    </row>
    <row r="162" spans="1:43">
      <c r="A162" s="10">
        <f>39</f>
        <v>39</v>
      </c>
      <c r="B162" s="11">
        <f>IF($A162&gt;'1-Input'!$B$26,0,IF(G161&lt;=0,0,MAX(0,(G161-H161)/G161)))</f>
        <v>0.72499321496562152</v>
      </c>
      <c r="C162" s="18">
        <f>IF($A162&gt;'1-Input'!$B$26,0,(MAX(0,B121-IF($A162&gt;='1-Input'!$C$12,'1-Input'!$B$12,0))-MIN(MAX(F161,0),MAX(0,B121-IF($A162&gt;='1-Input'!$C$12,'1-Input'!$B$12,0))))*(1/(1-'P-Parametri'!$B$6*B162))+MIN(MAX(0,G161-(MAX(0,B121-IF($A162&gt;='1-Input'!$C$12,'1-Input'!$B$12,0))-MIN(MAX(F161,0),MAX(0,B121-IF($A162&gt;='1-Input'!$C$12,'1-Input'!$B$12,0))))*(1/(1-'P-Parametri'!$B$6*B162))),MAX(0,0*B121-(F161-MIN(MAX(F161,0),MAX(0,B121-IF($A162&gt;='1-Input'!$C$12,'1-Input'!$B$12,0)))))*(1/(1-'P-Parametri'!$B$6*B162))))</f>
        <v>6874.9762001464405</v>
      </c>
      <c r="D162" s="18">
        <f>IF($A162&gt;'1-Input'!$B$26,F161,(F161-MAX(0,B121-IF($A162&gt;='1-Input'!$C$12,'1-Input'!$B$12,0))+C162*(1-'P-Parametri'!$B$6*B162))*(1+ROUND('3-Liquidita'!$F$11,4)))</f>
        <v>0</v>
      </c>
      <c r="E162" s="18">
        <f>IF($A162&gt;'1-Input'!$B$26,G161,(G161-C162)*(1+'5-Roberta'!$C$4))</f>
        <v>229507.43186841311</v>
      </c>
      <c r="F162" s="18">
        <f>IF($A162&gt;'1-Input'!$B$26,D162,D162-'P-Parametri'!$B$8*(E162+D162)+MIN(MAX(E162,0),'P-Parametri'!$B$8*(E162+D162)))</f>
        <v>0</v>
      </c>
      <c r="G162" s="18">
        <f>IF($A162&gt;'1-Input'!$B$26,E162,E162-MIN(MAX(E162,0),'P-Parametri'!$B$8*(E162+D162)))</f>
        <v>229048.41700467627</v>
      </c>
      <c r="H162" s="18">
        <f>IF($A162&gt;'1-Input'!$B$26,H161,H161-C162*(1-B162))</f>
        <v>61277.767941387334</v>
      </c>
      <c r="I162" s="11">
        <f>IF($A162&gt;'1-Input'!$B$26,0,IF(N161&lt;=0,0,MAX(0,(N161-O161)/N161)))</f>
        <v>0</v>
      </c>
      <c r="J162" s="18">
        <f>IF($A162&gt;'1-Input'!$B$26,0,(MAX(0,I121-IF($A162&gt;='1-Input'!$C$12,'1-Input'!$B$12,0))-MIN(MAX(M161,0),MAX(0,I121-IF($A162&gt;='1-Input'!$C$12,'1-Input'!$B$12,0))))*(1/(1-'P-Parametri'!$B$6*I162))+MIN(MAX(0,N161-(MAX(0,I121-IF($A162&gt;='1-Input'!$C$12,'1-Input'!$B$12,0))-MIN(MAX(M161,0),MAX(0,I121-IF($A162&gt;='1-Input'!$C$12,'1-Input'!$B$12,0))))*(1/(1-'P-Parametri'!$B$6*I162))),MAX(0,0*I121-(M161-MIN(MAX(M161,0),MAX(0,I121-IF($A162&gt;='1-Input'!$C$12,'1-Input'!$B$12,0)))))*(1/(1-'P-Parametri'!$B$6*I162))))</f>
        <v>10846.756992928691</v>
      </c>
      <c r="K162" s="18">
        <f>IF($A162&gt;'1-Input'!$B$26,M161,(M161-MAX(0,I121-IF($A162&gt;='1-Input'!$C$12,'1-Input'!$B$12,0))+J162*(1-'P-Parametri'!$B$6*I162))*(1+ROUND('3-Liquidita'!$F$11,4)))</f>
        <v>0</v>
      </c>
      <c r="L162" s="18">
        <f>IF($A162&gt;'1-Input'!$B$26,N161,(N161-J162)*(1+'5-Roberta'!$C$4))</f>
        <v>-164356.92793410856</v>
      </c>
      <c r="M162" s="18">
        <f>IF($A162&gt;'1-Input'!$B$26,K162,K162-'P-Parametri'!$B$8*(L162+K162)+MIN(MAX(L162,0),'P-Parametri'!$B$8*(L162+K162)))</f>
        <v>0</v>
      </c>
      <c r="N162" s="18">
        <f>IF($A162&gt;'1-Input'!$B$26,L162,L162-MIN(MAX(L162,0),'P-Parametri'!$B$8*(L162+K162)))</f>
        <v>-164028.21407824036</v>
      </c>
      <c r="O162" s="18">
        <f>IF($A162&gt;'1-Input'!$B$26,O161,O161-J162*(1-I162))</f>
        <v>-132202.05738026963</v>
      </c>
      <c r="P162" s="11">
        <f>IF($A162&gt;'1-Input'!$B$26,0,IF(U161&lt;=0,0,MAX(0,(U161-V161)/U161)))</f>
        <v>0.72499321496562164</v>
      </c>
      <c r="Q162" s="18">
        <f>IF($A162&gt;'1-Input'!$B$26,0,(MAX(0,P121-IF($A162&gt;='1-Input'!$C$12,'1-Input'!$B$12,0))-MIN(MAX(T161,0),MAX(0,P121-IF($A162&gt;='1-Input'!$C$12,'1-Input'!$B$12,0))))*(1/(1-'P-Parametri'!$B$6*P162))+MIN(MAX(0,U161-(MAX(0,P121-IF($A162&gt;='1-Input'!$C$12,'1-Input'!$B$12,0))-MIN(MAX(T161,0),MAX(0,P121-IF($A162&gt;='1-Input'!$C$12,'1-Input'!$B$12,0))))*(1/(1-'P-Parametri'!$B$6*P162))),MAX(0,0*P121-(T161-MIN(MAX(T161,0),MAX(0,P121-IF($A162&gt;='1-Input'!$C$12,'1-Input'!$B$12,0)))))*(1/(1-'P-Parametri'!$B$6*P162))))</f>
        <v>9849.6885130805331</v>
      </c>
      <c r="R162" s="18">
        <f>IF($A162&gt;'1-Input'!$B$26,T161,(T161-MAX(0,P121-IF($A162&gt;='1-Input'!$C$12,'1-Input'!$B$12,0))+Q162*(1-'P-Parametri'!$B$6*P162))*(1+ROUND('3-Liquidita'!$F$11,4)))</f>
        <v>0</v>
      </c>
      <c r="S162" s="18">
        <f>IF($A162&gt;'1-Input'!$B$26,U161,(U161-Q162)*(1+'5-Roberta'!$C$4))</f>
        <v>33702.703091750271</v>
      </c>
      <c r="T162" s="18">
        <f>IF($A162&gt;'1-Input'!$B$26,R162,R162-'P-Parametri'!$B$8*(S162+R162)+MIN(MAX(S162,0),'P-Parametri'!$B$8*(S162+R162)))</f>
        <v>0</v>
      </c>
      <c r="U162" s="18">
        <f>IF($A162&gt;'1-Input'!$B$26,S162,S162-MIN(MAX(S162,0),'P-Parametri'!$B$8*(S162+R162)))</f>
        <v>33635.297685566773</v>
      </c>
      <c r="V162" s="18">
        <f>IF($A162&gt;'1-Input'!$B$26,V161,V161-Q162*(1-P162))</f>
        <v>8998.5165283790702</v>
      </c>
      <c r="W162" s="11">
        <f>IF($A162&gt;'1-Input'!$B$26,0,IF(AB161&lt;=0,0,MAX(0,(AB161-AC161)/AB161)))</f>
        <v>0.72499321496562175</v>
      </c>
      <c r="X162" s="18">
        <f>IF($A162&gt;'1-Input'!$B$26,0,(MAX(0,W121-IF($A162&gt;='1-Input'!$C$12,'1-Input'!$B$12,0))-MIN(MAX(AA161,0),MAX(0,W121-IF($A162&gt;='1-Input'!$C$12,'1-Input'!$B$12,0))))*(1/(1-'P-Parametri'!$B$6*W162))+MIN(MAX(0,AB161-(MAX(0,W121-IF($A162&gt;='1-Input'!$C$12,'1-Input'!$B$12,0))-MIN(MAX(AA161,0),MAX(0,W121-IF($A162&gt;='1-Input'!$C$12,'1-Input'!$B$12,0))))*(1/(1-'P-Parametri'!$B$6*W162))),MAX(0,0*W121-(AA161-MIN(MAX(AA161,0),MAX(0,W121-IF($A162&gt;='1-Input'!$C$12,'1-Input'!$B$12,0)))))*(1/(1-'P-Parametri'!$B$6*W162))))</f>
        <v>9533.8838788366866</v>
      </c>
      <c r="Y162" s="18">
        <f>IF($A162&gt;'1-Input'!$B$26,AA161,(AA161-MAX(0,W121-IF($A162&gt;='1-Input'!$C$12,'1-Input'!$B$12,0))+X162*(1-'P-Parametri'!$B$6*W162))*(1+ROUND('3-Liquidita'!$F$11,4)))</f>
        <v>0</v>
      </c>
      <c r="Z162" s="18">
        <f>IF($A162&gt;'1-Input'!$B$26,AB161,(AB161-X162)*(1+'5-Roberta'!$C$4))</f>
        <v>54489.937032211448</v>
      </c>
      <c r="AA162" s="18">
        <f>IF($A162&gt;'1-Input'!$B$26,Y162,Y162-'P-Parametri'!$B$8*(Z162+Y162)+MIN(MAX(Z162,0),'P-Parametri'!$B$8*(Z162+Y162)))</f>
        <v>0</v>
      </c>
      <c r="AB162" s="18">
        <f>IF($A162&gt;'1-Input'!$B$26,Z162,Z162-MIN(MAX(Z162,0),'P-Parametri'!$B$8*(Z162+Y162)))</f>
        <v>54380.957158147023</v>
      </c>
      <c r="AC162" s="18">
        <f>IF($A162&gt;'1-Input'!$B$26,AC161,AC161-X162*(1-W162))</f>
        <v>14548.643106751628</v>
      </c>
      <c r="AD162" s="11">
        <f>IF($A162&gt;'1-Input'!$B$26,0,IF(AI161&lt;=0,0,MAX(0,(AI161-AJ161)/AI161)))</f>
        <v>0.72499321496562197</v>
      </c>
      <c r="AE162" s="18">
        <f>IF($A162&gt;'1-Input'!$B$26,0,(MAX(0,AD121-IF($A162&gt;='1-Input'!$C$12,'1-Input'!$B$12,0))-MIN(MAX(AH161,0),MAX(0,AD121-IF($A162&gt;='1-Input'!$C$12,'1-Input'!$B$12,0))))*(1/(1-'P-Parametri'!$B$6*AD162))+MIN(MAX(0,AI161-(MAX(0,AD121-IF($A162&gt;='1-Input'!$C$12,'1-Input'!$B$12,0))-MIN(MAX(AH161,0),MAX(0,AD121-IF($A162&gt;='1-Input'!$C$12,'1-Input'!$B$12,0))))*(1/(1-'P-Parametri'!$B$6*AD162))),MAX(0,0*AD121-(AH161-MIN(MAX(AH161,0),MAX(0,AD121-IF($A162&gt;='1-Input'!$C$12,'1-Input'!$B$12,0)))))*(1/(1-'P-Parametri'!$B$6*AD162))))</f>
        <v>9542.2430294650403</v>
      </c>
      <c r="AF162" s="18">
        <f>IF($A162&gt;'1-Input'!$B$26,AH161,(AH161-MAX(0,AD121-IF($A162&gt;='1-Input'!$C$12,'1-Input'!$B$12,0))+AE162*(1-'P-Parametri'!$B$6*AD162))*(1+ROUND('3-Liquidita'!$F$11,4)))</f>
        <v>0</v>
      </c>
      <c r="AG162" s="18">
        <f>IF($A162&gt;'1-Input'!$B$26,AI161,(AI161-AE162)*(1+'5-Roberta'!$C$4))</f>
        <v>53939.711985415917</v>
      </c>
      <c r="AH162" s="18">
        <f>IF($A162&gt;'1-Input'!$B$26,AF162,AF162-'P-Parametri'!$B$8*(AG162+AF162)+MIN(MAX(AG162,0),'P-Parametri'!$B$8*(AG162+AF162)))</f>
        <v>0</v>
      </c>
      <c r="AI162" s="18">
        <f>IF($A162&gt;'1-Input'!$B$26,AG162,AG162-MIN(MAX(AG162,0),'P-Parametri'!$B$8*(AG162+AF162)))</f>
        <v>53831.832561445088</v>
      </c>
      <c r="AJ162" s="18">
        <f>IF($A162&gt;'1-Input'!$B$26,AJ161,AJ161-AE162*(1-AD162))</f>
        <v>14401.734736688872</v>
      </c>
      <c r="AK162" s="11">
        <f>IF($A162&gt;'1-Input'!$B$26,0,IF(AP161&lt;=0,0,MAX(0,(AP161-AQ161)/AP161)))</f>
        <v>0.72499321496562152</v>
      </c>
      <c r="AL162" s="18">
        <f>IF($A162&gt;'1-Input'!$B$26,0,(MAX(0,AK121-IF($A162&gt;='1-Input'!$C$12,'1-Input'!$B$12,0))-MIN(MAX(AO161,0),MAX(0,AK121-IF($A162&gt;='1-Input'!$C$12,'1-Input'!$B$12,0))))*(1/(1-'P-Parametri'!$B$6*AK162))+MIN(MAX(0,AP161-(MAX(0,AK121-IF($A162&gt;='1-Input'!$C$12,'1-Input'!$B$12,0))-MIN(MAX(AO161,0),MAX(0,AK121-IF($A162&gt;='1-Input'!$C$12,'1-Input'!$B$12,0))))*(1/(1-'P-Parametri'!$B$6*AK162))),MAX(0,0*AK121-(AO161-MIN(MAX(AO161,0),MAX(0,AK121-IF($A162&gt;='1-Input'!$C$12,'1-Input'!$B$12,0)))))*(1/(1-'P-Parametri'!$B$6*AK162))))</f>
        <v>9540.945007387927</v>
      </c>
      <c r="AM162" s="18">
        <f>IF($A162&gt;'1-Input'!$B$26,AO161,(AO161-MAX(0,AK121-IF($A162&gt;='1-Input'!$C$12,'1-Input'!$B$12,0))+AL162*(1-'P-Parametri'!$B$6*AK162))*(1+ROUND('3-Liquidita'!$F$11,4)))</f>
        <v>0</v>
      </c>
      <c r="AN162" s="18">
        <f>IF($A162&gt;'1-Input'!$B$26,AP161,(AP161-AL162)*(1+'5-Roberta'!$C$4))</f>
        <v>54025.151797409817</v>
      </c>
      <c r="AO162" s="18">
        <f>IF($A162&gt;'1-Input'!$B$26,AM162,AM162-'P-Parametri'!$B$8*(AN162+AM162)+MIN(MAX(AN162,0),'P-Parametri'!$B$8*(AN162+AM162)))</f>
        <v>0</v>
      </c>
      <c r="AP162" s="18">
        <f>IF($A162&gt;'1-Input'!$B$26,AN162,AN162-MIN(MAX(AN162,0),'P-Parametri'!$B$8*(AN162+AM162)))</f>
        <v>53917.101493814997</v>
      </c>
      <c r="AQ162" s="18">
        <f>IF($A162&gt;'1-Input'!$B$26,AQ161,AQ161-AL162*(1-AK162))</f>
        <v>14424.546899805771</v>
      </c>
    </row>
    <row r="163" spans="1:43">
      <c r="A163" s="10">
        <f>40</f>
        <v>40</v>
      </c>
      <c r="B163" s="11">
        <f>IF($A163&gt;'1-Input'!$B$26,0,IF(G162&lt;=0,0,MAX(0,(G162-H162)/G162)))</f>
        <v>0.73246805744072752</v>
      </c>
      <c r="C163" s="18">
        <f>IF($A163&gt;'1-Input'!$B$26,0,(MAX(0,B121-IF($A163&gt;='1-Input'!$C$12,'1-Input'!$B$12,0))-MIN(MAX(F162,0),MAX(0,B121-IF($A163&gt;='1-Input'!$C$12,'1-Input'!$B$12,0))))*(1/(1-'P-Parametri'!$B$6*B163))+MIN(MAX(0,G162-(MAX(0,B121-IF($A163&gt;='1-Input'!$C$12,'1-Input'!$B$12,0))-MIN(MAX(F162,0),MAX(0,B121-IF($A163&gt;='1-Input'!$C$12,'1-Input'!$B$12,0))))*(1/(1-'P-Parametri'!$B$6*B163))),MAX(0,0*B121-(F162-MIN(MAX(F162,0),MAX(0,B121-IF($A163&gt;='1-Input'!$C$12,'1-Input'!$B$12,0)))))*(1/(1-'P-Parametri'!$B$6*B163))))</f>
        <v>6891.4805514533327</v>
      </c>
      <c r="D163" s="18">
        <f>IF($A163&gt;'1-Input'!$B$26,F162,(F162-MAX(0,B121-IF($A163&gt;='1-Input'!$C$12,'1-Input'!$B$12,0))+C163*(1-'P-Parametri'!$B$6*B163))*(1+ROUND('3-Liquidita'!$F$11,4)))</f>
        <v>0</v>
      </c>
      <c r="E163" s="18">
        <f>IF($A163&gt;'1-Input'!$B$26,G162,(G162-C163)*(1+'5-Roberta'!$C$4))</f>
        <v>228821.64454681962</v>
      </c>
      <c r="F163" s="18">
        <f>IF($A163&gt;'1-Input'!$B$26,D163,D163-'P-Parametri'!$B$8*(E163+D163)+MIN(MAX(E163,0),'P-Parametri'!$B$8*(E163+D163)))</f>
        <v>0</v>
      </c>
      <c r="G163" s="18">
        <f>IF($A163&gt;'1-Input'!$B$26,E163,E163-MIN(MAX(E163,0),'P-Parametri'!$B$8*(E163+D163)))</f>
        <v>228364.00125772599</v>
      </c>
      <c r="H163" s="18">
        <f>IF($A163&gt;'1-Input'!$B$26,H162,H162-C163*(1-B163))</f>
        <v>59434.076762347577</v>
      </c>
      <c r="I163" s="11">
        <f>IF($A163&gt;'1-Input'!$B$26,0,IF(N162&lt;=0,0,MAX(0,(N162-O162)/N162)))</f>
        <v>0</v>
      </c>
      <c r="J163" s="18">
        <f>IF($A163&gt;'1-Input'!$B$26,0,(MAX(0,I121-IF($A163&gt;='1-Input'!$C$12,'1-Input'!$B$12,0))-MIN(MAX(M162,0),MAX(0,I121-IF($A163&gt;='1-Input'!$C$12,'1-Input'!$B$12,0))))*(1/(1-'P-Parametri'!$B$6*I163))+MIN(MAX(0,N162-(MAX(0,I121-IF($A163&gt;='1-Input'!$C$12,'1-Input'!$B$12,0))-MIN(MAX(M162,0),MAX(0,I121-IF($A163&gt;='1-Input'!$C$12,'1-Input'!$B$12,0))))*(1/(1-'P-Parametri'!$B$6*I163))),MAX(0,0*I121-(M162-MIN(MAX(M162,0),MAX(0,I121-IF($A163&gt;='1-Input'!$C$12,'1-Input'!$B$12,0)))))*(1/(1-'P-Parametri'!$B$6*I163))))</f>
        <v>10846.756992928691</v>
      </c>
      <c r="K163" s="18">
        <f>IF($A163&gt;'1-Input'!$B$26,M162,(M162-MAX(0,I121-IF($A163&gt;='1-Input'!$C$12,'1-Input'!$B$12,0))+J163*(1-'P-Parametri'!$B$6*I163))*(1+ROUND('3-Liquidita'!$F$11,4)))</f>
        <v>0</v>
      </c>
      <c r="L163" s="18">
        <f>IF($A163&gt;'1-Input'!$B$26,N162,(N162-J163)*(1+'5-Roberta'!$C$4))</f>
        <v>-180121.22020330411</v>
      </c>
      <c r="M163" s="18">
        <f>IF($A163&gt;'1-Input'!$B$26,K163,K163-'P-Parametri'!$B$8*(L163+K163)+MIN(MAX(L163,0),'P-Parametri'!$B$8*(L163+K163)))</f>
        <v>0</v>
      </c>
      <c r="N163" s="18">
        <f>IF($A163&gt;'1-Input'!$B$26,L163,L163-MIN(MAX(L163,0),'P-Parametri'!$B$8*(L163+K163)))</f>
        <v>-179760.9777628975</v>
      </c>
      <c r="O163" s="18">
        <f>IF($A163&gt;'1-Input'!$B$26,O162,O162-J163*(1-I163))</f>
        <v>-143048.81437319831</v>
      </c>
      <c r="P163" s="11">
        <f>IF($A163&gt;'1-Input'!$B$26,0,IF(U162&lt;=0,0,MAX(0,(U162-V162)/U162)))</f>
        <v>0.73246805744072785</v>
      </c>
      <c r="Q163" s="18">
        <f>IF($A163&gt;'1-Input'!$B$26,0,(MAX(0,P121-IF($A163&gt;='1-Input'!$C$12,'1-Input'!$B$12,0))-MIN(MAX(T162,0),MAX(0,P121-IF($A163&gt;='1-Input'!$C$12,'1-Input'!$B$12,0))))*(1/(1-'P-Parametri'!$B$6*P163))+MIN(MAX(0,U162-(MAX(0,P121-IF($A163&gt;='1-Input'!$C$12,'1-Input'!$B$12,0))-MIN(MAX(T162,0),MAX(0,P121-IF($A163&gt;='1-Input'!$C$12,'1-Input'!$B$12,0))))*(1/(1-'P-Parametri'!$B$6*P163))),MAX(0,0*P121-(T162-MIN(MAX(T162,0),MAX(0,P121-IF($A163&gt;='1-Input'!$C$12,'1-Input'!$B$12,0)))))*(1/(1-'P-Parametri'!$B$6*P163))))</f>
        <v>9873.3340814069907</v>
      </c>
      <c r="R163" s="18">
        <f>IF($A163&gt;'1-Input'!$B$26,T162,(T162-MAX(0,P121-IF($A163&gt;='1-Input'!$C$12,'1-Input'!$B$12,0))+Q163*(1-'P-Parametri'!$B$6*P163))*(1+ROUND('3-Liquidita'!$F$11,4)))</f>
        <v>-1.8108039512299002E-12</v>
      </c>
      <c r="S163" s="18">
        <f>IF($A163&gt;'1-Input'!$B$26,U162,(U162-Q163)*(1+'5-Roberta'!$C$4))</f>
        <v>24474.82251228458</v>
      </c>
      <c r="T163" s="18">
        <f>IF($A163&gt;'1-Input'!$B$26,R163,R163-'P-Parametri'!$B$8*(S163+R163)+MIN(MAX(S163,0),'P-Parametri'!$B$8*(S163+R163)))</f>
        <v>-1.8118839761882555E-12</v>
      </c>
      <c r="U163" s="18">
        <f>IF($A163&gt;'1-Input'!$B$26,S163,S163-MIN(MAX(S163,0),'P-Parametri'!$B$8*(S163+R163)))</f>
        <v>24425.872867260012</v>
      </c>
      <c r="V163" s="18">
        <f>IF($A163&gt;'1-Input'!$B$26,V162,V162-Q163*(1-P163))</f>
        <v>6357.084282043591</v>
      </c>
      <c r="W163" s="11">
        <f>IF($A163&gt;'1-Input'!$B$26,0,IF(AB162&lt;=0,0,MAX(0,(AB162-AC162)/AB162)))</f>
        <v>0.73246805744072796</v>
      </c>
      <c r="X163" s="18">
        <f>IF($A163&gt;'1-Input'!$B$26,0,(MAX(0,W121-IF($A163&gt;='1-Input'!$C$12,'1-Input'!$B$12,0))-MIN(MAX(AA162,0),MAX(0,W121-IF($A163&gt;='1-Input'!$C$12,'1-Input'!$B$12,0))))*(1/(1-'P-Parametri'!$B$6*W163))+MIN(MAX(0,AB162-(MAX(0,W121-IF($A163&gt;='1-Input'!$C$12,'1-Input'!$B$12,0))-MIN(MAX(AA162,0),MAX(0,W121-IF($A163&gt;='1-Input'!$C$12,'1-Input'!$B$12,0))))*(1/(1-'P-Parametri'!$B$6*W163))),MAX(0,0*W121-(AA162-MIN(MAX(AA162,0),MAX(0,W121-IF($A163&gt;='1-Input'!$C$12,'1-Input'!$B$12,0)))))*(1/(1-'P-Parametri'!$B$6*W163))))</f>
        <v>9556.7713135382201</v>
      </c>
      <c r="Y163" s="18">
        <f>IF($A163&gt;'1-Input'!$B$26,AA162,(AA162-MAX(0,W121-IF($A163&gt;='1-Input'!$C$12,'1-Input'!$B$12,0))+X163*(1-'P-Parametri'!$B$6*W163))*(1+ROUND('3-Liquidita'!$F$11,4)))</f>
        <v>0</v>
      </c>
      <c r="Z163" s="18">
        <f>IF($A163&gt;'1-Input'!$B$26,AB162,(AB162-X163)*(1+'5-Roberta'!$C$4))</f>
        <v>46168.911419947064</v>
      </c>
      <c r="AA163" s="18">
        <f>IF($A163&gt;'1-Input'!$B$26,Y163,Y163-'P-Parametri'!$B$8*(Z163+Y163)+MIN(MAX(Z163,0),'P-Parametri'!$B$8*(Z163+Y163)))</f>
        <v>0</v>
      </c>
      <c r="AB163" s="18">
        <f>IF($A163&gt;'1-Input'!$B$26,Z163,Z163-MIN(MAX(Z163,0),'P-Parametri'!$B$8*(Z163+Y163)))</f>
        <v>46076.57359710717</v>
      </c>
      <c r="AC163" s="18">
        <f>IF($A163&gt;'1-Input'!$B$26,AC162,AC162-X163*(1-W163))</f>
        <v>11991.901512646022</v>
      </c>
      <c r="AD163" s="11">
        <f>IF($A163&gt;'1-Input'!$B$26,0,IF(AI162&lt;=0,0,MAX(0,(AI162-AJ162)/AI162)))</f>
        <v>0.73246805744072807</v>
      </c>
      <c r="AE163" s="18">
        <f>IF($A163&gt;'1-Input'!$B$26,0,(MAX(0,AD121-IF($A163&gt;='1-Input'!$C$12,'1-Input'!$B$12,0))-MIN(MAX(AH162,0),MAX(0,AD121-IF($A163&gt;='1-Input'!$C$12,'1-Input'!$B$12,0))))*(1/(1-'P-Parametri'!$B$6*AD163))+MIN(MAX(0,AI162-(MAX(0,AD121-IF($A163&gt;='1-Input'!$C$12,'1-Input'!$B$12,0))-MIN(MAX(AH162,0),MAX(0,AD121-IF($A163&gt;='1-Input'!$C$12,'1-Input'!$B$12,0))))*(1/(1-'P-Parametri'!$B$6*AD163))),MAX(0,0*AD121-(AH162-MIN(MAX(AH162,0),MAX(0,AD121-IF($A163&gt;='1-Input'!$C$12,'1-Input'!$B$12,0)))))*(1/(1-'P-Parametri'!$B$6*AD163))))</f>
        <v>9565.1505314881997</v>
      </c>
      <c r="AF163" s="18">
        <f>IF($A163&gt;'1-Input'!$B$26,AH162,(AH162-MAX(0,AD121-IF($A163&gt;='1-Input'!$C$12,'1-Input'!$B$12,0))+AE163*(1-'P-Parametri'!$B$6*AD163))*(1+ROUND('3-Liquidita'!$F$11,4)))</f>
        <v>-9.0540197561495011E-13</v>
      </c>
      <c r="AG163" s="18">
        <f>IF($A163&gt;'1-Input'!$B$26,AI162,(AI162-AE163)*(1+'5-Roberta'!$C$4))</f>
        <v>45594.682490855594</v>
      </c>
      <c r="AH163" s="18">
        <f>IF($A163&gt;'1-Input'!$B$26,AF163,AF163-'P-Parametri'!$B$8*(AG163+AF163)+MIN(MAX(AG163,0),'P-Parametri'!$B$8*(AG163+AF163)))</f>
        <v>-9.0949470177292824E-13</v>
      </c>
      <c r="AI163" s="18">
        <f>IF($A163&gt;'1-Input'!$B$26,AG163,AG163-MIN(MAX(AG163,0),'P-Parametri'!$B$8*(AG163+AF163)))</f>
        <v>45503.49312587388</v>
      </c>
      <c r="AJ163" s="18">
        <f>IF($A163&gt;'1-Input'!$B$26,AJ162,AJ162-AE163*(1-AD163))</f>
        <v>11842.751434127982</v>
      </c>
      <c r="AK163" s="11">
        <f>IF($A163&gt;'1-Input'!$B$26,0,IF(AP162&lt;=0,0,MAX(0,(AP162-AQ162)/AP162)))</f>
        <v>0.73246805744072763</v>
      </c>
      <c r="AL163" s="18">
        <f>IF($A163&gt;'1-Input'!$B$26,0,(MAX(0,AK121-IF($A163&gt;='1-Input'!$C$12,'1-Input'!$B$12,0))-MIN(MAX(AO162,0),MAX(0,AK121-IF($A163&gt;='1-Input'!$C$12,'1-Input'!$B$12,0))))*(1/(1-'P-Parametri'!$B$6*AK163))+MIN(MAX(0,AP162-(MAX(0,AK121-IF($A163&gt;='1-Input'!$C$12,'1-Input'!$B$12,0))-MIN(MAX(AO162,0),MAX(0,AK121-IF($A163&gt;='1-Input'!$C$12,'1-Input'!$B$12,0))))*(1/(1-'P-Parametri'!$B$6*AK163))),MAX(0,0*AK121-(AO162-MIN(MAX(AO162,0),MAX(0,AK121-IF($A163&gt;='1-Input'!$C$12,'1-Input'!$B$12,0)))))*(1/(1-'P-Parametri'!$B$6*AK163))))</f>
        <v>9563.8493933257723</v>
      </c>
      <c r="AM163" s="18">
        <f>IF($A163&gt;'1-Input'!$B$26,AO162,(AO162-MAX(0,AK121-IF($A163&gt;='1-Input'!$C$12,'1-Input'!$B$12,0))+AL163*(1-'P-Parametri'!$B$6*AK163))*(1+ROUND('3-Liquidita'!$F$11,4)))</f>
        <v>0</v>
      </c>
      <c r="AN163" s="18">
        <f>IF($A163&gt;'1-Input'!$B$26,AP162,(AP162-AL163)*(1+'5-Roberta'!$C$4))</f>
        <v>45683.849663503905</v>
      </c>
      <c r="AO163" s="18">
        <f>IF($A163&gt;'1-Input'!$B$26,AM163,AM163-'P-Parametri'!$B$8*(AN163+AM163)+MIN(MAX(AN163,0),'P-Parametri'!$B$8*(AN163+AM163)))</f>
        <v>0</v>
      </c>
      <c r="AP163" s="18">
        <f>IF($A163&gt;'1-Input'!$B$26,AN163,AN163-MIN(MAX(AN163,0),'P-Parametri'!$B$8*(AN163+AM163)))</f>
        <v>45592.481964176899</v>
      </c>
      <c r="AQ163" s="18">
        <f>IF($A163&gt;'1-Input'!$B$26,AQ162,AQ162-AL163*(1-AK163))</f>
        <v>11865.911693265009</v>
      </c>
    </row>
    <row r="164" spans="1:43">
      <c r="A164" s="10">
        <f>41</f>
        <v>41</v>
      </c>
      <c r="B164" s="11">
        <f>IF($A164&gt;'1-Input'!$B$26,0,IF(G163&lt;=0,0,MAX(0,(G163-H163)/G163)))</f>
        <v>0.73973972940125654</v>
      </c>
      <c r="C164" s="18">
        <f>IF($A164&gt;'1-Input'!$B$26,0,(MAX(0,B121-IF($A164&gt;='1-Input'!$C$12,'1-Input'!$B$12,0))-MIN(MAX(F163,0),MAX(0,B121-IF($A164&gt;='1-Input'!$C$12,'1-Input'!$B$12,0))))*(1/(1-'P-Parametri'!$B$6*B164))+MIN(MAX(0,G163-(MAX(0,B121-IF($A164&gt;='1-Input'!$C$12,'1-Input'!$B$12,0))-MIN(MAX(F163,0),MAX(0,B121-IF($A164&gt;='1-Input'!$C$12,'1-Input'!$B$12,0))))*(1/(1-'P-Parametri'!$B$6*B164))),MAX(0,0*B121-(F163-MIN(MAX(F163,0),MAX(0,B121-IF($A164&gt;='1-Input'!$C$12,'1-Input'!$B$12,0)))))*(1/(1-'P-Parametri'!$B$6*B164))))</f>
        <v>6907.6125235630007</v>
      </c>
      <c r="D164" s="18">
        <f>IF($A164&gt;'1-Input'!$B$26,F163,(F163-MAX(0,B121-IF($A164&gt;='1-Input'!$C$12,'1-Input'!$B$12,0))+C164*(1-'P-Parametri'!$B$6*B164))*(1+ROUND('3-Liquidita'!$F$11,4)))</f>
        <v>0</v>
      </c>
      <c r="E164" s="18">
        <f>IF($A164&gt;'1-Input'!$B$26,G163,(G163-C164)*(1+'5-Roberta'!$C$4))</f>
        <v>228100.08039618787</v>
      </c>
      <c r="F164" s="18">
        <f>IF($A164&gt;'1-Input'!$B$26,D164,D164-'P-Parametri'!$B$8*(E164+D164)+MIN(MAX(E164,0),'P-Parametri'!$B$8*(E164+D164)))</f>
        <v>0</v>
      </c>
      <c r="G164" s="18">
        <f>IF($A164&gt;'1-Input'!$B$26,E164,E164-MIN(MAX(E164,0),'P-Parametri'!$B$8*(E164+D164)))</f>
        <v>227643.88023539548</v>
      </c>
      <c r="H164" s="18">
        <f>IF($A164&gt;'1-Input'!$B$26,H163,H163-C164*(1-B164))</f>
        <v>57636.299657773801</v>
      </c>
      <c r="I164" s="11">
        <f>IF($A164&gt;'1-Input'!$B$26,0,IF(N163&lt;=0,0,MAX(0,(N163-O163)/N163)))</f>
        <v>0</v>
      </c>
      <c r="J164" s="18">
        <f>IF($A164&gt;'1-Input'!$B$26,0,(MAX(0,I121-IF($A164&gt;='1-Input'!$C$12,'1-Input'!$B$12,0))-MIN(MAX(M163,0),MAX(0,I121-IF($A164&gt;='1-Input'!$C$12,'1-Input'!$B$12,0))))*(1/(1-'P-Parametri'!$B$6*I164))+MIN(MAX(0,N163-(MAX(0,I121-IF($A164&gt;='1-Input'!$C$12,'1-Input'!$B$12,0))-MIN(MAX(M163,0),MAX(0,I121-IF($A164&gt;='1-Input'!$C$12,'1-Input'!$B$12,0))))*(1/(1-'P-Parametri'!$B$6*I164))),MAX(0,0*I121-(M163-MIN(MAX(M163,0),MAX(0,I121-IF($A164&gt;='1-Input'!$C$12,'1-Input'!$B$12,0)))))*(1/(1-'P-Parametri'!$B$6*I164))))</f>
        <v>10846.756992928691</v>
      </c>
      <c r="K164" s="18">
        <f>IF($A164&gt;'1-Input'!$B$26,M163,(M163-MAX(0,I121-IF($A164&gt;='1-Input'!$C$12,'1-Input'!$B$12,0))+J164*(1-'P-Parametri'!$B$6*I164))*(1+ROUND('3-Liquidita'!$F$11,4)))</f>
        <v>0</v>
      </c>
      <c r="L164" s="18">
        <f>IF($A164&gt;'1-Input'!$B$26,N163,(N163-J164)*(1+'5-Roberta'!$C$4))</f>
        <v>-196325.96679850097</v>
      </c>
      <c r="M164" s="18">
        <f>IF($A164&gt;'1-Input'!$B$26,K164,K164-'P-Parametri'!$B$8*(L164+K164)+MIN(MAX(L164,0),'P-Parametri'!$B$8*(L164+K164)))</f>
        <v>0</v>
      </c>
      <c r="N164" s="18">
        <f>IF($A164&gt;'1-Input'!$B$26,L164,L164-MIN(MAX(L164,0),'P-Parametri'!$B$8*(L164+K164)))</f>
        <v>-195933.31486490398</v>
      </c>
      <c r="O164" s="18">
        <f>IF($A164&gt;'1-Input'!$B$26,O163,O163-J164*(1-I164))</f>
        <v>-153895.571366127</v>
      </c>
      <c r="P164" s="11">
        <f>IF($A164&gt;'1-Input'!$B$26,0,IF(U163&lt;=0,0,MAX(0,(U163-V163)/U163)))</f>
        <v>0.73973972940125676</v>
      </c>
      <c r="Q164" s="18">
        <f>IF($A164&gt;'1-Input'!$B$26,0,(MAX(0,P121-IF($A164&gt;='1-Input'!$C$12,'1-Input'!$B$12,0))-MIN(MAX(T163,0),MAX(0,P121-IF($A164&gt;='1-Input'!$C$12,'1-Input'!$B$12,0))))*(1/(1-'P-Parametri'!$B$6*P164))+MIN(MAX(0,U163-(MAX(0,P121-IF($A164&gt;='1-Input'!$C$12,'1-Input'!$B$12,0))-MIN(MAX(T163,0),MAX(0,P121-IF($A164&gt;='1-Input'!$C$12,'1-Input'!$B$12,0))))*(1/(1-'P-Parametri'!$B$6*P164))),MAX(0,0*P121-(T163-MIN(MAX(T163,0),MAX(0,P121-IF($A164&gt;='1-Input'!$C$12,'1-Input'!$B$12,0)))))*(1/(1-'P-Parametri'!$B$6*P164))))</f>
        <v>9896.4461469263715</v>
      </c>
      <c r="R164" s="18">
        <f>IF($A164&gt;'1-Input'!$B$26,T163,(T163-MAX(0,P121-IF($A164&gt;='1-Input'!$C$12,'1-Input'!$B$12,0))+Q164*(1-'P-Parametri'!$B$6*P164))*(1+ROUND('3-Liquidita'!$F$11,4)))</f>
        <v>9.0540197561495011E-13</v>
      </c>
      <c r="S164" s="18">
        <f>IF($A164&gt;'1-Input'!$B$26,U163,(U163-Q164)*(1+'5-Roberta'!$C$4))</f>
        <v>14965.309521943649</v>
      </c>
      <c r="T164" s="18">
        <f>IF($A164&gt;'1-Input'!$B$26,R164,R164-'P-Parametri'!$B$8*(S164+R164)+MIN(MAX(S164,0),'P-Parametri'!$B$8*(S164+R164)))</f>
        <v>9.0594198809412774E-13</v>
      </c>
      <c r="U164" s="18">
        <f>IF($A164&gt;'1-Input'!$B$26,S164,S164-MIN(MAX(S164,0),'P-Parametri'!$B$8*(S164+R164)))</f>
        <v>14935.378902899762</v>
      </c>
      <c r="V164" s="18">
        <f>IF($A164&gt;'1-Input'!$B$26,V163,V163-Q164*(1-P164))</f>
        <v>3781.4325298786434</v>
      </c>
      <c r="W164" s="11">
        <f>IF($A164&gt;'1-Input'!$B$26,0,IF(AB163&lt;=0,0,MAX(0,(AB163-AC163)/AB163)))</f>
        <v>0.73973972940125676</v>
      </c>
      <c r="X164" s="18">
        <f>IF($A164&gt;'1-Input'!$B$26,0,(MAX(0,W121-IF($A164&gt;='1-Input'!$C$12,'1-Input'!$B$12,0))-MIN(MAX(AA163,0),MAX(0,W121-IF($A164&gt;='1-Input'!$C$12,'1-Input'!$B$12,0))))*(1/(1-'P-Parametri'!$B$6*W164))+MIN(MAX(0,AB163-(MAX(0,W121-IF($A164&gt;='1-Input'!$C$12,'1-Input'!$B$12,0))-MIN(MAX(AA163,0),MAX(0,W121-IF($A164&gt;='1-Input'!$C$12,'1-Input'!$B$12,0))))*(1/(1-'P-Parametri'!$B$6*W164))),MAX(0,0*W121-(AA163-MIN(MAX(AA163,0),MAX(0,W121-IF($A164&gt;='1-Input'!$C$12,'1-Input'!$B$12,0)))))*(1/(1-'P-Parametri'!$B$6*W164))))</f>
        <v>9579.142350812057</v>
      </c>
      <c r="Y164" s="18">
        <f>IF($A164&gt;'1-Input'!$B$26,AA163,(AA163-MAX(0,W121-IF($A164&gt;='1-Input'!$C$12,'1-Input'!$B$12,0))+X164*(1-'P-Parametri'!$B$6*W164))*(1+ROUND('3-Liquidita'!$F$11,4)))</f>
        <v>9.0540197561495011E-13</v>
      </c>
      <c r="Z164" s="18">
        <f>IF($A164&gt;'1-Input'!$B$26,AB163,(AB163-X164)*(1+'5-Roberta'!$C$4))</f>
        <v>37592.354183683965</v>
      </c>
      <c r="AA164" s="18">
        <f>IF($A164&gt;'1-Input'!$B$26,Y164,Y164-'P-Parametri'!$B$8*(Z164+Y164)+MIN(MAX(Z164,0),'P-Parametri'!$B$8*(Z164+Y164)))</f>
        <v>9.0949470177292824E-13</v>
      </c>
      <c r="AB164" s="18">
        <f>IF($A164&gt;'1-Input'!$B$26,Z164,Z164-MIN(MAX(Z164,0),'P-Parametri'!$B$8*(Z164+Y164)))</f>
        <v>37517.169475316594</v>
      </c>
      <c r="AC164" s="18">
        <f>IF($A164&gt;'1-Input'!$B$26,AC163,AC163-X164*(1-W164))</f>
        <v>9498.8313323197945</v>
      </c>
      <c r="AD164" s="11">
        <f>IF($A164&gt;'1-Input'!$B$26,0,IF(AI163&lt;=0,0,MAX(0,(AI163-AJ163)/AI163)))</f>
        <v>0.73973972940125687</v>
      </c>
      <c r="AE164" s="18">
        <f>IF($A164&gt;'1-Input'!$B$26,0,(MAX(0,AD121-IF($A164&gt;='1-Input'!$C$12,'1-Input'!$B$12,0))-MIN(MAX(AH163,0),MAX(0,AD121-IF($A164&gt;='1-Input'!$C$12,'1-Input'!$B$12,0))))*(1/(1-'P-Parametri'!$B$6*AD164))+MIN(MAX(0,AI163-(MAX(0,AD121-IF($A164&gt;='1-Input'!$C$12,'1-Input'!$B$12,0))-MIN(MAX(AH163,0),MAX(0,AD121-IF($A164&gt;='1-Input'!$C$12,'1-Input'!$B$12,0))))*(1/(1-'P-Parametri'!$B$6*AD164))),MAX(0,0*AD121-(AH163-MIN(MAX(AH163,0),MAX(0,AD121-IF($A164&gt;='1-Input'!$C$12,'1-Input'!$B$12,0)))))*(1/(1-'P-Parametri'!$B$6*AD164))))</f>
        <v>9587.541183315001</v>
      </c>
      <c r="AF164" s="18">
        <f>IF($A164&gt;'1-Input'!$B$26,AH163,(AH163-MAX(0,AD121-IF($A164&gt;='1-Input'!$C$12,'1-Input'!$B$12,0))+AE164*(1-'P-Parametri'!$B$6*AD164))*(1+ROUND('3-Liquidita'!$F$11,4)))</f>
        <v>9.0540197561495011E-13</v>
      </c>
      <c r="AG164" s="18">
        <f>IF($A164&gt;'1-Input'!$B$26,AI163,(AI163-AE164)*(1+'5-Roberta'!$C$4))</f>
        <v>36993.430500835646</v>
      </c>
      <c r="AH164" s="18">
        <f>IF($A164&gt;'1-Input'!$B$26,AF164,AF164-'P-Parametri'!$B$8*(AG164+AF164)+MIN(MAX(AG164,0),'P-Parametri'!$B$8*(AG164+AF164)))</f>
        <v>9.0949470177292824E-13</v>
      </c>
      <c r="AI164" s="18">
        <f>IF($A164&gt;'1-Input'!$B$26,AG164,AG164-MIN(MAX(AG164,0),'P-Parametri'!$B$8*(AG164+AF164)))</f>
        <v>36919.443639833975</v>
      </c>
      <c r="AJ164" s="18">
        <f>IF($A164&gt;'1-Input'!$B$26,AJ163,AJ163-AE164*(1-AD164))</f>
        <v>9347.495371381825</v>
      </c>
      <c r="AK164" s="11">
        <f>IF($A164&gt;'1-Input'!$B$26,0,IF(AP163&lt;=0,0,MAX(0,(AP163-AQ163)/AP163)))</f>
        <v>0.73973972940125665</v>
      </c>
      <c r="AL164" s="18">
        <f>IF($A164&gt;'1-Input'!$B$26,0,(MAX(0,AK121-IF($A164&gt;='1-Input'!$C$12,'1-Input'!$B$12,0))-MIN(MAX(AO163,0),MAX(0,AK121-IF($A164&gt;='1-Input'!$C$12,'1-Input'!$B$12,0))))*(1/(1-'P-Parametri'!$B$6*AK164))+MIN(MAX(0,AP163-(MAX(0,AK121-IF($A164&gt;='1-Input'!$C$12,'1-Input'!$B$12,0))-MIN(MAX(AO163,0),MAX(0,AK121-IF($A164&gt;='1-Input'!$C$12,'1-Input'!$B$12,0))))*(1/(1-'P-Parametri'!$B$6*AK164))),MAX(0,0*AK121-(AO163-MIN(MAX(AO163,0),MAX(0,AK121-IF($A164&gt;='1-Input'!$C$12,'1-Input'!$B$12,0)))))*(1/(1-'P-Parametri'!$B$6*AK164))))</f>
        <v>9586.2369993738903</v>
      </c>
      <c r="AM164" s="18">
        <f>IF($A164&gt;'1-Input'!$B$26,AO163,(AO163-MAX(0,AK121-IF($A164&gt;='1-Input'!$C$12,'1-Input'!$B$12,0))+AL164*(1-'P-Parametri'!$B$6*AK164))*(1+ROUND('3-Liquidita'!$F$11,4)))</f>
        <v>9.0540197561495011E-13</v>
      </c>
      <c r="AN164" s="18">
        <f>IF($A164&gt;'1-Input'!$B$26,AP163,(AP163-AL164)*(1+'5-Roberta'!$C$4))</f>
        <v>37086.4323137471</v>
      </c>
      <c r="AO164" s="18">
        <f>IF($A164&gt;'1-Input'!$B$26,AM164,AM164-'P-Parametri'!$B$8*(AN164+AM164)+MIN(MAX(AN164,0),'P-Parametri'!$B$8*(AN164+AM164)))</f>
        <v>9.0949470177292824E-13</v>
      </c>
      <c r="AP164" s="18">
        <f>IF($A164&gt;'1-Input'!$B$26,AN164,AN164-MIN(MAX(AN164,0),'P-Parametri'!$B$8*(AN164+AM164)))</f>
        <v>37012.259449119607</v>
      </c>
      <c r="AQ164" s="18">
        <f>IF($A164&gt;'1-Input'!$B$26,AQ163,AQ163-AL164*(1-AK164))</f>
        <v>9370.9950577842756</v>
      </c>
    </row>
    <row r="165" spans="1:43">
      <c r="A165" s="10">
        <f>42</f>
        <v>42</v>
      </c>
      <c r="B165" s="11">
        <f>IF($A165&gt;'1-Input'!$B$26,0,IF(G164&lt;=0,0,MAX(0,(G164-H164)/G164)))</f>
        <v>0.74681375313856491</v>
      </c>
      <c r="C165" s="18">
        <f>IF($A165&gt;'1-Input'!$B$26,0,(MAX(0,B121-IF($A165&gt;='1-Input'!$C$12,'1-Input'!$B$12,0))-MIN(MAX(F164,0),MAX(0,B121-IF($A165&gt;='1-Input'!$C$12,'1-Input'!$B$12,0))))*(1/(1-'P-Parametri'!$B$6*B165))+MIN(MAX(0,G164-(MAX(0,B121-IF($A165&gt;='1-Input'!$C$12,'1-Input'!$B$12,0))-MIN(MAX(F164,0),MAX(0,B121-IF($A165&gt;='1-Input'!$C$12,'1-Input'!$B$12,0))))*(1/(1-'P-Parametri'!$B$6*B165))),MAX(0,0*B121-(F164-MIN(MAX(F164,0),MAX(0,B121-IF($A165&gt;='1-Input'!$C$12,'1-Input'!$B$12,0)))))*(1/(1-'P-Parametri'!$B$6*B165))))</f>
        <v>6923.3786587702771</v>
      </c>
      <c r="D165" s="18">
        <f>IF($A165&gt;'1-Input'!$B$26,F164,(F164-MAX(0,B121-IF($A165&gt;='1-Input'!$C$12,'1-Input'!$B$12,0))+C165*(1-'P-Parametri'!$B$6*B165))*(1+ROUND('3-Liquidita'!$F$11,4)))</f>
        <v>-9.0540197561495011E-13</v>
      </c>
      <c r="E165" s="18">
        <f>IF($A165&gt;'1-Input'!$B$26,G164,(G164-C165)*(1+'5-Roberta'!$C$4))</f>
        <v>227342.11662392397</v>
      </c>
      <c r="F165" s="18">
        <f>IF($A165&gt;'1-Input'!$B$26,D165,D165-'P-Parametri'!$B$8*(E165+D165)+MIN(MAX(E165,0),'P-Parametri'!$B$8*(E165+D165)))</f>
        <v>-9.0949470177292824E-13</v>
      </c>
      <c r="G165" s="18">
        <f>IF($A165&gt;'1-Input'!$B$26,E165,E165-MIN(MAX(E165,0),'P-Parametri'!$B$8*(E165+D165)))</f>
        <v>226887.43239067611</v>
      </c>
      <c r="H165" s="18">
        <f>IF($A165&gt;'1-Input'!$B$26,H164,H164-C165*(1-B165))</f>
        <v>55883.395399559202</v>
      </c>
      <c r="I165" s="11">
        <f>IF($A165&gt;'1-Input'!$B$26,0,IF(N164&lt;=0,0,MAX(0,(N164-O164)/N164)))</f>
        <v>0</v>
      </c>
      <c r="J165" s="18">
        <f>IF($A165&gt;'1-Input'!$B$26,0,(MAX(0,I121-IF($A165&gt;='1-Input'!$C$12,'1-Input'!$B$12,0))-MIN(MAX(M164,0),MAX(0,I121-IF($A165&gt;='1-Input'!$C$12,'1-Input'!$B$12,0))))*(1/(1-'P-Parametri'!$B$6*I165))+MIN(MAX(0,N164-(MAX(0,I121-IF($A165&gt;='1-Input'!$C$12,'1-Input'!$B$12,0))-MIN(MAX(M164,0),MAX(0,I121-IF($A165&gt;='1-Input'!$C$12,'1-Input'!$B$12,0))))*(1/(1-'P-Parametri'!$B$6*I165))),MAX(0,0*I121-(M164-MIN(MAX(M164,0),MAX(0,I121-IF($A165&gt;='1-Input'!$C$12,'1-Input'!$B$12,0)))))*(1/(1-'P-Parametri'!$B$6*I165))))</f>
        <v>10846.756992928691</v>
      </c>
      <c r="K165" s="18">
        <f>IF($A165&gt;'1-Input'!$B$26,M164,(M164-MAX(0,I121-IF($A165&gt;='1-Input'!$C$12,'1-Input'!$B$12,0))+J165*(1-'P-Parametri'!$B$6*I165))*(1+ROUND('3-Liquidita'!$F$11,4)))</f>
        <v>0</v>
      </c>
      <c r="L165" s="18">
        <f>IF($A165&gt;'1-Input'!$B$26,N164,(N164-J165)*(1+'5-Roberta'!$C$4))</f>
        <v>-212983.47401356764</v>
      </c>
      <c r="M165" s="18">
        <f>IF($A165&gt;'1-Input'!$B$26,K165,K165-'P-Parametri'!$B$8*(L165+K165)+MIN(MAX(L165,0),'P-Parametri'!$B$8*(L165+K165)))</f>
        <v>0</v>
      </c>
      <c r="N165" s="18">
        <f>IF($A165&gt;'1-Input'!$B$26,L165,L165-MIN(MAX(L165,0),'P-Parametri'!$B$8*(L165+K165)))</f>
        <v>-212557.5070655405</v>
      </c>
      <c r="O165" s="18">
        <f>IF($A165&gt;'1-Input'!$B$26,O164,O164-J165*(1-I165))</f>
        <v>-164742.32835905568</v>
      </c>
      <c r="P165" s="11">
        <f>IF($A165&gt;'1-Input'!$B$26,0,IF(U164&lt;=0,0,MAX(0,(U164-V164)/U164)))</f>
        <v>0.74681375313856524</v>
      </c>
      <c r="Q165" s="18">
        <f>IF($A165&gt;'1-Input'!$B$26,0,(MAX(0,P121-IF($A165&gt;='1-Input'!$C$12,'1-Input'!$B$12,0))-MIN(MAX(T164,0),MAX(0,P121-IF($A165&gt;='1-Input'!$C$12,'1-Input'!$B$12,0))))*(1/(1-'P-Parametri'!$B$6*P165))+MIN(MAX(0,U164-(MAX(0,P121-IF($A165&gt;='1-Input'!$C$12,'1-Input'!$B$12,0))-MIN(MAX(T164,0),MAX(0,P121-IF($A165&gt;='1-Input'!$C$12,'1-Input'!$B$12,0))))*(1/(1-'P-Parametri'!$B$6*P165))),MAX(0,0*P121-(T164-MIN(MAX(T164,0),MAX(0,P121-IF($A165&gt;='1-Input'!$C$12,'1-Input'!$B$12,0)))))*(1/(1-'P-Parametri'!$B$6*P165))))</f>
        <v>9919.0340826989286</v>
      </c>
      <c r="R165" s="18">
        <f>IF($A165&gt;'1-Input'!$B$26,T164,(T164-MAX(0,P121-IF($A165&gt;='1-Input'!$C$12,'1-Input'!$B$12,0))+Q165*(1-'P-Parametri'!$B$6*P165))*(1+ROUND('3-Liquidita'!$F$11,4)))</f>
        <v>9.0540197561495011E-13</v>
      </c>
      <c r="S165" s="18">
        <f>IF($A165&gt;'1-Input'!$B$26,U164,(U164-Q165)*(1+'5-Roberta'!$C$4))</f>
        <v>5166.8351648068583</v>
      </c>
      <c r="T165" s="18">
        <f>IF($A165&gt;'1-Input'!$B$26,R165,R165-'P-Parametri'!$B$8*(S165+R165)+MIN(MAX(S165,0),'P-Parametri'!$B$8*(S165+R165)))</f>
        <v>9.0594198809412774E-13</v>
      </c>
      <c r="U165" s="18">
        <f>IF($A165&gt;'1-Input'!$B$26,S165,S165-MIN(MAX(S165,0),'P-Parametri'!$B$8*(S165+R165)))</f>
        <v>5156.5014944772447</v>
      </c>
      <c r="V165" s="18">
        <f>IF($A165&gt;'1-Input'!$B$26,V164,V164-Q165*(1-P165))</f>
        <v>1270.0695179894474</v>
      </c>
      <c r="W165" s="11">
        <f>IF($A165&gt;'1-Input'!$B$26,0,IF(AB164&lt;=0,0,MAX(0,(AB164-AC164)/AB164)))</f>
        <v>0.74681375313856513</v>
      </c>
      <c r="X165" s="18">
        <f>IF($A165&gt;'1-Input'!$B$26,0,(MAX(0,W121-IF($A165&gt;='1-Input'!$C$12,'1-Input'!$B$12,0))-MIN(MAX(AA164,0),MAX(0,W121-IF($A165&gt;='1-Input'!$C$12,'1-Input'!$B$12,0))))*(1/(1-'P-Parametri'!$B$6*W165))+MIN(MAX(0,AB164-(MAX(0,W121-IF($A165&gt;='1-Input'!$C$12,'1-Input'!$B$12,0))-MIN(MAX(AA164,0),MAX(0,W121-IF($A165&gt;='1-Input'!$C$12,'1-Input'!$B$12,0))))*(1/(1-'P-Parametri'!$B$6*W165))),MAX(0,0*W121-(AA164-MIN(MAX(AA164,0),MAX(0,W121-IF($A165&gt;='1-Input'!$C$12,'1-Input'!$B$12,0)))))*(1/(1-'P-Parametri'!$B$6*W165))))</f>
        <v>9601.0060631956712</v>
      </c>
      <c r="Y165" s="18">
        <f>IF($A165&gt;'1-Input'!$B$26,AA164,(AA164-MAX(0,W121-IF($A165&gt;='1-Input'!$C$12,'1-Input'!$B$12,0))+X165*(1-'P-Parametri'!$B$6*W165))*(1+ROUND('3-Liquidita'!$F$11,4)))</f>
        <v>-9.0540197561495011E-13</v>
      </c>
      <c r="Z165" s="18">
        <f>IF($A165&gt;'1-Input'!$B$26,AB164,(AB164-X165)*(1+'5-Roberta'!$C$4))</f>
        <v>28753.648314484548</v>
      </c>
      <c r="AA165" s="18">
        <f>IF($A165&gt;'1-Input'!$B$26,Y165,Y165-'P-Parametri'!$B$8*(Z165+Y165)+MIN(MAX(Z165,0),'P-Parametri'!$B$8*(Z165+Y165)))</f>
        <v>-9.0238927441532724E-13</v>
      </c>
      <c r="AB165" s="18">
        <f>IF($A165&gt;'1-Input'!$B$26,Z165,Z165-MIN(MAX(Z165,0),'P-Parametri'!$B$8*(Z165+Y165)))</f>
        <v>28696.141017855578</v>
      </c>
      <c r="AC165" s="18">
        <f>IF($A165&gt;'1-Input'!$B$26,AC164,AC164-X165*(1-W165))</f>
        <v>7067.9886410854024</v>
      </c>
      <c r="AD165" s="11">
        <f>IF($A165&gt;'1-Input'!$B$26,0,IF(AI164&lt;=0,0,MAX(0,(AI164-AJ164)/AI164)))</f>
        <v>0.74681375313856546</v>
      </c>
      <c r="AE165" s="18">
        <f>IF($A165&gt;'1-Input'!$B$26,0,(MAX(0,AD121-IF($A165&gt;='1-Input'!$C$12,'1-Input'!$B$12,0))-MIN(MAX(AH164,0),MAX(0,AD121-IF($A165&gt;='1-Input'!$C$12,'1-Input'!$B$12,0))))*(1/(1-'P-Parametri'!$B$6*AD165))+MIN(MAX(0,AI164-(MAX(0,AD121-IF($A165&gt;='1-Input'!$C$12,'1-Input'!$B$12,0))-MIN(MAX(AH164,0),MAX(0,AD121-IF($A165&gt;='1-Input'!$C$12,'1-Input'!$B$12,0))))*(1/(1-'P-Parametri'!$B$6*AD165))),MAX(0,0*AD121-(AH164-MIN(MAX(AH164,0),MAX(0,AD121-IF($A165&gt;='1-Input'!$C$12,'1-Input'!$B$12,0)))))*(1/(1-'P-Parametri'!$B$6*AD165))))</f>
        <v>9609.4240654375644</v>
      </c>
      <c r="AF165" s="18">
        <f>IF($A165&gt;'1-Input'!$B$26,AH164,(AH164-MAX(0,AD121-IF($A165&gt;='1-Input'!$C$12,'1-Input'!$B$12,0))+AE165*(1-'P-Parametri'!$B$6*AD165))*(1+ROUND('3-Liquidita'!$F$11,4)))</f>
        <v>0</v>
      </c>
      <c r="AG165" s="18">
        <f>IF($A165&gt;'1-Input'!$B$26,AI164,(AI164-AE165)*(1+'5-Roberta'!$C$4))</f>
        <v>28129.320161628304</v>
      </c>
      <c r="AH165" s="18">
        <f>IF($A165&gt;'1-Input'!$B$26,AF165,AF165-'P-Parametri'!$B$8*(AG165+AF165)+MIN(MAX(AG165,0),'P-Parametri'!$B$8*(AG165+AF165)))</f>
        <v>0</v>
      </c>
      <c r="AI165" s="18">
        <f>IF($A165&gt;'1-Input'!$B$26,AG165,AG165-MIN(MAX(AG165,0),'P-Parametri'!$B$8*(AG165+AF165)))</f>
        <v>28073.061521305048</v>
      </c>
      <c r="AJ165" s="18">
        <f>IF($A165&gt;'1-Input'!$B$26,AJ164,AJ164-AE165*(1-AD165))</f>
        <v>6914.5213577537397</v>
      </c>
      <c r="AK165" s="11">
        <f>IF($A165&gt;'1-Input'!$B$26,0,IF(AP164&lt;=0,0,MAX(0,(AP164-AQ164)/AP164)))</f>
        <v>0.74681375313856502</v>
      </c>
      <c r="AL165" s="18">
        <f>IF($A165&gt;'1-Input'!$B$26,0,(MAX(0,AK121-IF($A165&gt;='1-Input'!$C$12,'1-Input'!$B$12,0))-MIN(MAX(AO164,0),MAX(0,AK121-IF($A165&gt;='1-Input'!$C$12,'1-Input'!$B$12,0))))*(1/(1-'P-Parametri'!$B$6*AK165))+MIN(MAX(0,AP164-(MAX(0,AK121-IF($A165&gt;='1-Input'!$C$12,'1-Input'!$B$12,0))-MIN(MAX(AO164,0),MAX(0,AK121-IF($A165&gt;='1-Input'!$C$12,'1-Input'!$B$12,0))))*(1/(1-'P-Parametri'!$B$6*AK165))),MAX(0,0*AK121-(AO164-MIN(MAX(AO164,0),MAX(0,AK121-IF($A165&gt;='1-Input'!$C$12,'1-Input'!$B$12,0)))))*(1/(1-'P-Parametri'!$B$6*AK165))))</f>
        <v>9608.1169047891945</v>
      </c>
      <c r="AM165" s="18">
        <f>IF($A165&gt;'1-Input'!$B$26,AO164,(AO164-MAX(0,AK121-IF($A165&gt;='1-Input'!$C$12,'1-Input'!$B$12,0))+AL165*(1-'P-Parametri'!$B$6*AK165))*(1+ROUND('3-Liquidita'!$F$11,4)))</f>
        <v>9.0540197561495011E-13</v>
      </c>
      <c r="AN165" s="18">
        <f>IF($A165&gt;'1-Input'!$B$26,AP164,(AP164-AL165)*(1+'5-Roberta'!$C$4))</f>
        <v>28226.266820660323</v>
      </c>
      <c r="AO165" s="18">
        <f>IF($A165&gt;'1-Input'!$B$26,AM165,AM165-'P-Parametri'!$B$8*(AN165+AM165)+MIN(MAX(AN165,0),'P-Parametri'!$B$8*(AN165+AM165)))</f>
        <v>9.0238927441532724E-13</v>
      </c>
      <c r="AP165" s="18">
        <f>IF($A165&gt;'1-Input'!$B$26,AN165,AN165-MIN(MAX(AN165,0),'P-Parametri'!$B$8*(AN165+AM165)))</f>
        <v>28169.814287019002</v>
      </c>
      <c r="AQ165" s="18">
        <f>IF($A165&gt;'1-Input'!$B$26,AQ164,AQ164-AL165*(1-AK165))</f>
        <v>6938.3519992547917</v>
      </c>
    </row>
    <row r="166" spans="1:43">
      <c r="A166" s="10">
        <f>43</f>
        <v>43</v>
      </c>
      <c r="B166" s="11">
        <f>IF($A166&gt;'1-Input'!$B$26,0,IF(G165&lt;=0,0,MAX(0,(G165-H165)/G165)))</f>
        <v>0.75369550084495684</v>
      </c>
      <c r="C166" s="18">
        <f>IF($A166&gt;'1-Input'!$B$26,0,(MAX(0,B121-IF($A166&gt;='1-Input'!$C$12,'1-Input'!$B$12,0))-MIN(MAX(F165,0),MAX(0,B121-IF($A166&gt;='1-Input'!$C$12,'1-Input'!$B$12,0))))*(1/(1-'P-Parametri'!$B$6*B166))+MIN(MAX(0,G165-(MAX(0,B121-IF($A166&gt;='1-Input'!$C$12,'1-Input'!$B$12,0))-MIN(MAX(F165,0),MAX(0,B121-IF($A166&gt;='1-Input'!$C$12,'1-Input'!$B$12,0))))*(1/(1-'P-Parametri'!$B$6*B166))),MAX(0,0*B121-(F165-MIN(MAX(F165,0),MAX(0,B121-IF($A166&gt;='1-Input'!$C$12,'1-Input'!$B$12,0)))))*(1/(1-'P-Parametri'!$B$6*B166))))</f>
        <v>6938.7854775161968</v>
      </c>
      <c r="D166" s="18">
        <f>IF($A166&gt;'1-Input'!$B$26,F165,(F165-MAX(0,B121-IF($A166&gt;='1-Input'!$C$12,'1-Input'!$B$12,0))+C166*(1-'P-Parametri'!$B$6*B166))*(1+ROUND('3-Liquidita'!$F$11,4)))</f>
        <v>0</v>
      </c>
      <c r="E166" s="18">
        <f>IF($A166&gt;'1-Input'!$B$26,G165,(G165-C166)*(1+'5-Roberta'!$C$4))</f>
        <v>226547.10632055474</v>
      </c>
      <c r="F166" s="18">
        <f>IF($A166&gt;'1-Input'!$B$26,D166,D166-'P-Parametri'!$B$8*(E166+D166)+MIN(MAX(E166,0),'P-Parametri'!$B$8*(E166+D166)))</f>
        <v>0</v>
      </c>
      <c r="G166" s="18">
        <f>IF($A166&gt;'1-Input'!$B$26,E166,E166-MIN(MAX(E166,0),'P-Parametri'!$B$8*(E166+D166)))</f>
        <v>226094.01210791364</v>
      </c>
      <c r="H166" s="18">
        <f>IF($A166&gt;'1-Input'!$B$26,H165,H165-C166*(1-B166))</f>
        <v>54174.341317775288</v>
      </c>
      <c r="I166" s="11">
        <f>IF($A166&gt;'1-Input'!$B$26,0,IF(N165&lt;=0,0,MAX(0,(N165-O165)/N165)))</f>
        <v>0</v>
      </c>
      <c r="J166" s="18">
        <f>IF($A166&gt;'1-Input'!$B$26,0,(MAX(0,I121-IF($A166&gt;='1-Input'!$C$12,'1-Input'!$B$12,0))-MIN(MAX(M165,0),MAX(0,I121-IF($A166&gt;='1-Input'!$C$12,'1-Input'!$B$12,0))))*(1/(1-'P-Parametri'!$B$6*I166))+MIN(MAX(0,N165-(MAX(0,I121-IF($A166&gt;='1-Input'!$C$12,'1-Input'!$B$12,0))-MIN(MAX(M165,0),MAX(0,I121-IF($A166&gt;='1-Input'!$C$12,'1-Input'!$B$12,0))))*(1/(1-'P-Parametri'!$B$6*I166))),MAX(0,0*I121-(M165-MIN(MAX(M165,0),MAX(0,I121-IF($A166&gt;='1-Input'!$C$12,'1-Input'!$B$12,0)))))*(1/(1-'P-Parametri'!$B$6*I166))))</f>
        <v>10846.756992928691</v>
      </c>
      <c r="K166" s="18">
        <f>IF($A166&gt;'1-Input'!$B$26,M165,(M165-MAX(0,I121-IF($A166&gt;='1-Input'!$C$12,'1-Input'!$B$12,0))+J166*(1-'P-Parametri'!$B$6*I166))*(1+ROUND('3-Liquidita'!$F$11,4)))</f>
        <v>0</v>
      </c>
      <c r="L166" s="18">
        <f>IF($A166&gt;'1-Input'!$B$26,N165,(N165-J166)*(1+'5-Roberta'!$C$4))</f>
        <v>-230106.39198022327</v>
      </c>
      <c r="M166" s="18">
        <f>IF($A166&gt;'1-Input'!$B$26,K166,K166-'P-Parametri'!$B$8*(L166+K166)+MIN(MAX(L166,0),'P-Parametri'!$B$8*(L166+K166)))</f>
        <v>0</v>
      </c>
      <c r="N166" s="18">
        <f>IF($A166&gt;'1-Input'!$B$26,L166,L166-MIN(MAX(L166,0),'P-Parametri'!$B$8*(L166+K166)))</f>
        <v>-229646.17919626282</v>
      </c>
      <c r="O166" s="18">
        <f>IF($A166&gt;'1-Input'!$B$26,O165,O165-J166*(1-I166))</f>
        <v>-175589.08535198437</v>
      </c>
      <c r="P166" s="11">
        <f>IF($A166&gt;'1-Input'!$B$26,0,IF(U165&lt;=0,0,MAX(0,(U165-V165)/U165)))</f>
        <v>0.75369550084495718</v>
      </c>
      <c r="Q166" s="18">
        <f>IF($A166&gt;'1-Input'!$B$26,0,(MAX(0,P121-IF($A166&gt;='1-Input'!$C$12,'1-Input'!$B$12,0))-MIN(MAX(T165,0),MAX(0,P121-IF($A166&gt;='1-Input'!$C$12,'1-Input'!$B$12,0))))*(1/(1-'P-Parametri'!$B$6*P166))+MIN(MAX(0,U165-(MAX(0,P121-IF($A166&gt;='1-Input'!$C$12,'1-Input'!$B$12,0))-MIN(MAX(T165,0),MAX(0,P121-IF($A166&gt;='1-Input'!$C$12,'1-Input'!$B$12,0))))*(1/(1-'P-Parametri'!$B$6*P166))),MAX(0,0*P121-(T165-MIN(MAX(T165,0),MAX(0,P121-IF($A166&gt;='1-Input'!$C$12,'1-Input'!$B$12,0)))))*(1/(1-'P-Parametri'!$B$6*P166))))</f>
        <v>9941.107230475287</v>
      </c>
      <c r="R166" s="18">
        <f>IF($A166&gt;'1-Input'!$B$26,T165,(T165-MAX(0,P121-IF($A166&gt;='1-Input'!$C$12,'1-Input'!$B$12,0))+Q166*(1-'P-Parametri'!$B$6*P166))*(1+ROUND('3-Liquidita'!$F$11,4)))</f>
        <v>0</v>
      </c>
      <c r="S166" s="18">
        <f>IF($A166&gt;'1-Input'!$B$26,U165,(U165-Q166)*(1+'5-Roberta'!$C$4))</f>
        <v>-4928.1439080779837</v>
      </c>
      <c r="T166" s="18">
        <f>IF($A166&gt;'1-Input'!$B$26,R166,R166-'P-Parametri'!$B$8*(S166+R166)+MIN(MAX(S166,0),'P-Parametri'!$B$8*(S166+R166)))</f>
        <v>0</v>
      </c>
      <c r="U166" s="18">
        <f>IF($A166&gt;'1-Input'!$B$26,S166,S166-MIN(MAX(S166,0),'P-Parametri'!$B$8*(S166+R166)))</f>
        <v>-4918.2876202618281</v>
      </c>
      <c r="V166" s="18">
        <f>IF($A166&gt;'1-Input'!$B$26,V165,V165-Q166*(1-P166))</f>
        <v>-1178.4699194593431</v>
      </c>
      <c r="W166" s="11">
        <f>IF($A166&gt;'1-Input'!$B$26,0,IF(AB165&lt;=0,0,MAX(0,(AB165-AC165)/AB165)))</f>
        <v>0.75369550084495707</v>
      </c>
      <c r="X166" s="18">
        <f>IF($A166&gt;'1-Input'!$B$26,0,(MAX(0,W121-IF($A166&gt;='1-Input'!$C$12,'1-Input'!$B$12,0))-MIN(MAX(AA165,0),MAX(0,W121-IF($A166&gt;='1-Input'!$C$12,'1-Input'!$B$12,0))))*(1/(1-'P-Parametri'!$B$6*W166))+MIN(MAX(0,AB165-(MAX(0,W121-IF($A166&gt;='1-Input'!$C$12,'1-Input'!$B$12,0))-MIN(MAX(AA165,0),MAX(0,W121-IF($A166&gt;='1-Input'!$C$12,'1-Input'!$B$12,0))))*(1/(1-'P-Parametri'!$B$6*W166))),MAX(0,0*W121-(AA165-MIN(MAX(AA165,0),MAX(0,W121-IF($A166&gt;='1-Input'!$C$12,'1-Input'!$B$12,0)))))*(1/(1-'P-Parametri'!$B$6*W166))))</f>
        <v>9622.3714929207617</v>
      </c>
      <c r="Y166" s="18">
        <f>IF($A166&gt;'1-Input'!$B$26,AA165,(AA165-MAX(0,W121-IF($A166&gt;='1-Input'!$C$12,'1-Input'!$B$12,0))+X166*(1-'P-Parametri'!$B$6*W166))*(1+ROUND('3-Liquidita'!$F$11,4)))</f>
        <v>9.0540197561495011E-13</v>
      </c>
      <c r="Z166" s="18">
        <f>IF($A166&gt;'1-Input'!$B$26,AB165,(AB165-X166)*(1+'5-Roberta'!$C$4))</f>
        <v>19645.982610682862</v>
      </c>
      <c r="AA166" s="18">
        <f>IF($A166&gt;'1-Input'!$B$26,Y166,Y166-'P-Parametri'!$B$8*(Z166+Y166)+MIN(MAX(Z166,0),'P-Parametri'!$B$8*(Z166+Y166)))</f>
        <v>9.0238927441532724E-13</v>
      </c>
      <c r="AB166" s="18">
        <f>IF($A166&gt;'1-Input'!$B$26,Z166,Z166-MIN(MAX(Z166,0),'P-Parametri'!$B$8*(Z166+Y166)))</f>
        <v>19606.690645461498</v>
      </c>
      <c r="AC166" s="18">
        <f>IF($A166&gt;'1-Input'!$B$26,AC165,AC165-X166*(1-W166))</f>
        <v>4697.9552498377916</v>
      </c>
      <c r="AD166" s="11">
        <f>IF($A166&gt;'1-Input'!$B$26,0,IF(AI165&lt;=0,0,MAX(0,(AI165-AJ165)/AI165)))</f>
        <v>0.75369550084495729</v>
      </c>
      <c r="AE166" s="18">
        <f>IF($A166&gt;'1-Input'!$B$26,0,(MAX(0,AD121-IF($A166&gt;='1-Input'!$C$12,'1-Input'!$B$12,0))-MIN(MAX(AH165,0),MAX(0,AD121-IF($A166&gt;='1-Input'!$C$12,'1-Input'!$B$12,0))))*(1/(1-'P-Parametri'!$B$6*AD166))+MIN(MAX(0,AI165-(MAX(0,AD121-IF($A166&gt;='1-Input'!$C$12,'1-Input'!$B$12,0))-MIN(MAX(AH165,0),MAX(0,AD121-IF($A166&gt;='1-Input'!$C$12,'1-Input'!$B$12,0))))*(1/(1-'P-Parametri'!$B$6*AD166))),MAX(0,0*AD121-(AH165-MIN(MAX(AH165,0),MAX(0,AD121-IF($A166&gt;='1-Input'!$C$12,'1-Input'!$B$12,0)))))*(1/(1-'P-Parametri'!$B$6*AD166))))</f>
        <v>9630.8082280156596</v>
      </c>
      <c r="AF166" s="18">
        <f>IF($A166&gt;'1-Input'!$B$26,AH165,(AH165-MAX(0,AD121-IF($A166&gt;='1-Input'!$C$12,'1-Input'!$B$12,0))+AE166*(1-'P-Parametri'!$B$6*AD166))*(1+ROUND('3-Liquidita'!$F$11,4)))</f>
        <v>0</v>
      </c>
      <c r="AG166" s="18">
        <f>IF($A166&gt;'1-Input'!$B$26,AI165,(AI165-AE166)*(1+'5-Roberta'!$C$4))</f>
        <v>18995.520892088069</v>
      </c>
      <c r="AH166" s="18">
        <f>IF($A166&gt;'1-Input'!$B$26,AF166,AF166-'P-Parametri'!$B$8*(AG166+AF166)+MIN(MAX(AG166,0),'P-Parametri'!$B$8*(AG166+AF166)))</f>
        <v>0</v>
      </c>
      <c r="AI166" s="18">
        <f>IF($A166&gt;'1-Input'!$B$26,AG166,AG166-MIN(MAX(AG166,0),'P-Parametri'!$B$8*(AG166+AF166)))</f>
        <v>18957.529850303894</v>
      </c>
      <c r="AJ166" s="18">
        <f>IF($A166&gt;'1-Input'!$B$26,AJ165,AJ165-AE166*(1-AD166))</f>
        <v>4542.4099606940781</v>
      </c>
      <c r="AK166" s="11">
        <f>IF($A166&gt;'1-Input'!$B$26,0,IF(AP165&lt;=0,0,MAX(0,(AP165-AQ165)/AP165)))</f>
        <v>0.75369550084495696</v>
      </c>
      <c r="AL166" s="18">
        <f>IF($A166&gt;'1-Input'!$B$26,0,(MAX(0,AK121-IF($A166&gt;='1-Input'!$C$12,'1-Input'!$B$12,0))-MIN(MAX(AO165,0),MAX(0,AK121-IF($A166&gt;='1-Input'!$C$12,'1-Input'!$B$12,0))))*(1/(1-'P-Parametri'!$B$6*AK166))+MIN(MAX(0,AP165-(MAX(0,AK121-IF($A166&gt;='1-Input'!$C$12,'1-Input'!$B$12,0))-MIN(MAX(AO165,0),MAX(0,AK121-IF($A166&gt;='1-Input'!$C$12,'1-Input'!$B$12,0))))*(1/(1-'P-Parametri'!$B$6*AK166))),MAX(0,0*AK121-(AO165-MIN(MAX(AO165,0),MAX(0,AK121-IF($A166&gt;='1-Input'!$C$12,'1-Input'!$B$12,0)))))*(1/(1-'P-Parametri'!$B$6*AK166))))</f>
        <v>9629.4981585003643</v>
      </c>
      <c r="AM166" s="18">
        <f>IF($A166&gt;'1-Input'!$B$26,AO165,(AO165-MAX(0,AK121-IF($A166&gt;='1-Input'!$C$12,'1-Input'!$B$12,0))+AL166*(1-'P-Parametri'!$B$6*AK166))*(1+ROUND('3-Liquidita'!$F$11,4)))</f>
        <v>0</v>
      </c>
      <c r="AN166" s="18">
        <f>IF($A166&gt;'1-Input'!$B$26,AP165,(AP165-AL166)*(1+'5-Roberta'!$C$4))</f>
        <v>19096.525612374196</v>
      </c>
      <c r="AO166" s="18">
        <f>IF($A166&gt;'1-Input'!$B$26,AM166,AM166-'P-Parametri'!$B$8*(AN166+AM166)+MIN(MAX(AN166,0),'P-Parametri'!$B$8*(AN166+AM166)))</f>
        <v>0</v>
      </c>
      <c r="AP166" s="18">
        <f>IF($A166&gt;'1-Input'!$B$26,AN166,AN166-MIN(MAX(AN166,0),'P-Parametri'!$B$8*(AN166+AM166)))</f>
        <v>19058.332561149447</v>
      </c>
      <c r="AQ166" s="18">
        <f>IF($A166&gt;'1-Input'!$B$26,AQ165,AQ165-AL166*(1-AK166))</f>
        <v>4566.5632782109496</v>
      </c>
    </row>
    <row r="167" spans="1:43">
      <c r="A167" s="10">
        <f>44</f>
        <v>44</v>
      </c>
      <c r="B167" s="11">
        <f>IF($A167&gt;'1-Input'!$B$26,0,IF(G166&lt;=0,0,MAX(0,(G166-H166)/G166)))</f>
        <v>0.76039019869346158</v>
      </c>
      <c r="C167" s="18">
        <f>IF($A167&gt;'1-Input'!$B$26,0,(MAX(0,B121-IF($A167&gt;='1-Input'!$C$12,'1-Input'!$B$12,0))-MIN(MAX(F166,0),MAX(0,B121-IF($A167&gt;='1-Input'!$C$12,'1-Input'!$B$12,0))))*(1/(1-'P-Parametri'!$B$6*B167))+MIN(MAX(0,G166-(MAX(0,B121-IF($A167&gt;='1-Input'!$C$12,'1-Input'!$B$12,0))-MIN(MAX(F166,0),MAX(0,B121-IF($A167&gt;='1-Input'!$C$12,'1-Input'!$B$12,0))))*(1/(1-'P-Parametri'!$B$6*B167))),MAX(0,0*B121-(F166-MIN(MAX(F166,0),MAX(0,B121-IF($A167&gt;='1-Input'!$C$12,'1-Input'!$B$12,0)))))*(1/(1-'P-Parametri'!$B$6*B167))))</f>
        <v>6953.8394730630662</v>
      </c>
      <c r="D167" s="18">
        <f>IF($A167&gt;'1-Input'!$B$26,F166,(F166-MAX(0,B121-IF($A167&gt;='1-Input'!$C$12,'1-Input'!$B$12,0))+C167*(1-'P-Parametri'!$B$6*B167))*(1+ROUND('3-Liquidita'!$F$11,4)))</f>
        <v>0</v>
      </c>
      <c r="E167" s="18">
        <f>IF($A167&gt;'1-Input'!$B$26,G166,(G166-C167)*(1+'5-Roberta'!$C$4))</f>
        <v>225714.37781389611</v>
      </c>
      <c r="F167" s="18">
        <f>IF($A167&gt;'1-Input'!$B$26,D167,D167-'P-Parametri'!$B$8*(E167+D167)+MIN(MAX(E167,0),'P-Parametri'!$B$8*(E167+D167)))</f>
        <v>0</v>
      </c>
      <c r="G167" s="18">
        <f>IF($A167&gt;'1-Input'!$B$26,E167,E167-MIN(MAX(E167,0),'P-Parametri'!$B$8*(E167+D167)))</f>
        <v>225262.94905826831</v>
      </c>
      <c r="H167" s="18">
        <f>IF($A167&gt;'1-Input'!$B$26,H166,H166-C167*(1-B167))</f>
        <v>52508.133223317083</v>
      </c>
      <c r="I167" s="11">
        <f>IF($A167&gt;'1-Input'!$B$26,0,IF(N166&lt;=0,0,MAX(0,(N166-O166)/N166)))</f>
        <v>0</v>
      </c>
      <c r="J167" s="18">
        <f>IF($A167&gt;'1-Input'!$B$26,0,(MAX(0,I121-IF($A167&gt;='1-Input'!$C$12,'1-Input'!$B$12,0))-MIN(MAX(M166,0),MAX(0,I121-IF($A167&gt;='1-Input'!$C$12,'1-Input'!$B$12,0))))*(1/(1-'P-Parametri'!$B$6*I167))+MIN(MAX(0,N166-(MAX(0,I121-IF($A167&gt;='1-Input'!$C$12,'1-Input'!$B$12,0))-MIN(MAX(M166,0),MAX(0,I121-IF($A167&gt;='1-Input'!$C$12,'1-Input'!$B$12,0))))*(1/(1-'P-Parametri'!$B$6*I167))),MAX(0,0*I121-(M166-MIN(MAX(M166,0),MAX(0,I121-IF($A167&gt;='1-Input'!$C$12,'1-Input'!$B$12,0)))))*(1/(1-'P-Parametri'!$B$6*I167))))</f>
        <v>10846.756992928691</v>
      </c>
      <c r="K167" s="18">
        <f>IF($A167&gt;'1-Input'!$B$26,M166,(M166-MAX(0,I121-IF($A167&gt;='1-Input'!$C$12,'1-Input'!$B$12,0))+J167*(1-'P-Parametri'!$B$6*I167))*(1+ROUND('3-Liquidita'!$F$11,4)))</f>
        <v>0</v>
      </c>
      <c r="L167" s="18">
        <f>IF($A167&gt;'1-Input'!$B$26,N166,(N166-J167)*(1+'5-Roberta'!$C$4))</f>
        <v>-247707.72427486724</v>
      </c>
      <c r="M167" s="18">
        <f>IF($A167&gt;'1-Input'!$B$26,K167,K167-'P-Parametri'!$B$8*(L167+K167)+MIN(MAX(L167,0),'P-Parametri'!$B$8*(L167+K167)))</f>
        <v>0</v>
      </c>
      <c r="N167" s="18">
        <f>IF($A167&gt;'1-Input'!$B$26,L167,L167-MIN(MAX(L167,0),'P-Parametri'!$B$8*(L167+K167)))</f>
        <v>-247212.30882631752</v>
      </c>
      <c r="O167" s="18">
        <f>IF($A167&gt;'1-Input'!$B$26,O166,O166-J167*(1-I167))</f>
        <v>-186435.84234491305</v>
      </c>
      <c r="P167" s="11">
        <f>IF($A167&gt;'1-Input'!$B$26,0,IF(U166&lt;=0,0,MAX(0,(U166-V166)/U166)))</f>
        <v>0</v>
      </c>
      <c r="Q167" s="18">
        <f>IF($A167&gt;'1-Input'!$B$26,0,(MAX(0,P121-IF($A167&gt;='1-Input'!$C$12,'1-Input'!$B$12,0))-MIN(MAX(T166,0),MAX(0,P121-IF($A167&gt;='1-Input'!$C$12,'1-Input'!$B$12,0))))*(1/(1-'P-Parametri'!$B$6*P167))+MIN(MAX(0,U166-(MAX(0,P121-IF($A167&gt;='1-Input'!$C$12,'1-Input'!$B$12,0))-MIN(MAX(T166,0),MAX(0,P121-IF($A167&gt;='1-Input'!$C$12,'1-Input'!$B$12,0))))*(1/(1-'P-Parametri'!$B$6*P167))),MAX(0,0*P121-(T166-MIN(MAX(T166,0),MAX(0,P121-IF($A167&gt;='1-Input'!$C$12,'1-Input'!$B$12,0)))))*(1/(1-'P-Parametri'!$B$6*P167))))</f>
        <v>7993.0396042883986</v>
      </c>
      <c r="R167" s="18">
        <f>IF($A167&gt;'1-Input'!$B$26,T166,(T166-MAX(0,P121-IF($A167&gt;='1-Input'!$C$12,'1-Input'!$B$12,0))+Q167*(1-'P-Parametri'!$B$6*P167))*(1+ROUND('3-Liquidita'!$F$11,4)))</f>
        <v>0</v>
      </c>
      <c r="S167" s="18">
        <f>IF($A167&gt;'1-Input'!$B$26,U166,(U166-Q167)*(1+'5-Roberta'!$C$4))</f>
        <v>-13298.667041286733</v>
      </c>
      <c r="T167" s="18">
        <f>IF($A167&gt;'1-Input'!$B$26,R167,R167-'P-Parametri'!$B$8*(S167+R167)+MIN(MAX(S167,0),'P-Parametri'!$B$8*(S167+R167)))</f>
        <v>0</v>
      </c>
      <c r="U167" s="18">
        <f>IF($A167&gt;'1-Input'!$B$26,S167,S167-MIN(MAX(S167,0),'P-Parametri'!$B$8*(S167+R167)))</f>
        <v>-13272.06970720416</v>
      </c>
      <c r="V167" s="18">
        <f>IF($A167&gt;'1-Input'!$B$26,V166,V166-Q167*(1-P167))</f>
        <v>-9171.5095237477417</v>
      </c>
      <c r="W167" s="11">
        <f>IF($A167&gt;'1-Input'!$B$26,0,IF(AB166&lt;=0,0,MAX(0,(AB166-AC166)/AB166)))</f>
        <v>0.76039019869346169</v>
      </c>
      <c r="X167" s="18">
        <f>IF($A167&gt;'1-Input'!$B$26,0,(MAX(0,W121-IF($A167&gt;='1-Input'!$C$12,'1-Input'!$B$12,0))-MIN(MAX(AA166,0),MAX(0,W121-IF($A167&gt;='1-Input'!$C$12,'1-Input'!$B$12,0))))*(1/(1-'P-Parametri'!$B$6*W167))+MIN(MAX(0,AB166-(MAX(0,W121-IF($A167&gt;='1-Input'!$C$12,'1-Input'!$B$12,0))-MIN(MAX(AA166,0),MAX(0,W121-IF($A167&gt;='1-Input'!$C$12,'1-Input'!$B$12,0))))*(1/(1-'P-Parametri'!$B$6*W167))),MAX(0,0*W121-(AA166-MIN(MAX(AA166,0),MAX(0,W121-IF($A167&gt;='1-Input'!$C$12,'1-Input'!$B$12,0)))))*(1/(1-'P-Parametri'!$B$6*W167))))</f>
        <v>9643.2476445288648</v>
      </c>
      <c r="Y167" s="18">
        <f>IF($A167&gt;'1-Input'!$B$26,AA166,(AA166-MAX(0,W121-IF($A167&gt;='1-Input'!$C$12,'1-Input'!$B$12,0))+X167*(1-'P-Parametri'!$B$6*W167))*(1+ROUND('3-Liquidita'!$F$11,4)))</f>
        <v>0</v>
      </c>
      <c r="Z167" s="18">
        <f>IF($A167&gt;'1-Input'!$B$26,AB166,(AB166-X167)*(1+'5-Roberta'!$C$4))</f>
        <v>10262.346290960613</v>
      </c>
      <c r="AA167" s="18">
        <f>IF($A167&gt;'1-Input'!$B$26,Y167,Y167-'P-Parametri'!$B$8*(Z167+Y167)+MIN(MAX(Z167,0),'P-Parametri'!$B$8*(Z167+Y167)))</f>
        <v>0</v>
      </c>
      <c r="AB167" s="18">
        <f>IF($A167&gt;'1-Input'!$B$26,Z167,Z167-MIN(MAX(Z167,0),'P-Parametri'!$B$8*(Z167+Y167)))</f>
        <v>10241.821598378692</v>
      </c>
      <c r="AC167" s="18">
        <f>IF($A167&gt;'1-Input'!$B$26,AC166,AC166-X167*(1-W167))</f>
        <v>2387.3385977824869</v>
      </c>
      <c r="AD167" s="11">
        <f>IF($A167&gt;'1-Input'!$B$26,0,IF(AI166&lt;=0,0,MAX(0,(AI166-AJ166)/AI166)))</f>
        <v>0.76039019869346203</v>
      </c>
      <c r="AE167" s="18">
        <f>IF($A167&gt;'1-Input'!$B$26,0,(MAX(0,AD121-IF($A167&gt;='1-Input'!$C$12,'1-Input'!$B$12,0))-MIN(MAX(AH166,0),MAX(0,AD121-IF($A167&gt;='1-Input'!$C$12,'1-Input'!$B$12,0))))*(1/(1-'P-Parametri'!$B$6*AD167))+MIN(MAX(0,AI166-(MAX(0,AD121-IF($A167&gt;='1-Input'!$C$12,'1-Input'!$B$12,0))-MIN(MAX(AH166,0),MAX(0,AD121-IF($A167&gt;='1-Input'!$C$12,'1-Input'!$B$12,0))))*(1/(1-'P-Parametri'!$B$6*AD167))),MAX(0,0*AD121-(AH166-MIN(MAX(AH166,0),MAX(0,AD121-IF($A167&gt;='1-Input'!$C$12,'1-Input'!$B$12,0)))))*(1/(1-'P-Parametri'!$B$6*AD167))))</f>
        <v>9651.7026834858716</v>
      </c>
      <c r="AF167" s="18">
        <f>IF($A167&gt;'1-Input'!$B$26,AH166,(AH166-MAX(0,AD121-IF($A167&gt;='1-Input'!$C$12,'1-Input'!$B$12,0))+AE167*(1-'P-Parametri'!$B$6*AD167))*(1+ROUND('3-Liquidita'!$F$11,4)))</f>
        <v>0</v>
      </c>
      <c r="AG167" s="18">
        <f>IF($A167&gt;'1-Input'!$B$26,AI166,(AI166-AE167)*(1+'5-Roberta'!$C$4))</f>
        <v>9585.0019818225628</v>
      </c>
      <c r="AH167" s="18">
        <f>IF($A167&gt;'1-Input'!$B$26,AF167,AF167-'P-Parametri'!$B$8*(AG167+AF167)+MIN(MAX(AG167,0),'P-Parametri'!$B$8*(AG167+AF167)))</f>
        <v>0</v>
      </c>
      <c r="AI167" s="18">
        <f>IF($A167&gt;'1-Input'!$B$26,AG167,AG167-MIN(MAX(AG167,0),'P-Parametri'!$B$8*(AG167+AF167)))</f>
        <v>9565.8319778589175</v>
      </c>
      <c r="AJ167" s="18">
        <f>IF($A167&gt;'1-Input'!$B$26,AJ166,AJ166-AE167*(1-AD167))</f>
        <v>2229.7673984342491</v>
      </c>
      <c r="AK167" s="11">
        <f>IF($A167&gt;'1-Input'!$B$26,0,IF(AP166&lt;=0,0,MAX(0,(AP166-AQ166)/AP166)))</f>
        <v>0.76039019869346158</v>
      </c>
      <c r="AL167" s="18">
        <f>IF($A167&gt;'1-Input'!$B$26,0,(MAX(0,AK121-IF($A167&gt;='1-Input'!$C$12,'1-Input'!$B$12,0))-MIN(MAX(AO166,0),MAX(0,AK121-IF($A167&gt;='1-Input'!$C$12,'1-Input'!$B$12,0))))*(1/(1-'P-Parametri'!$B$6*AK167))+MIN(MAX(0,AP166-(MAX(0,AK121-IF($A167&gt;='1-Input'!$C$12,'1-Input'!$B$12,0))-MIN(MAX(AO166,0),MAX(0,AK121-IF($A167&gt;='1-Input'!$C$12,'1-Input'!$B$12,0))))*(1/(1-'P-Parametri'!$B$6*AK167))),MAX(0,0*AK121-(AO166-MIN(MAX(AO166,0),MAX(0,AK121-IF($A167&gt;='1-Input'!$C$12,'1-Input'!$B$12,0)))))*(1/(1-'P-Parametri'!$B$6*AK167))))</f>
        <v>9650.3897717180353</v>
      </c>
      <c r="AM167" s="18">
        <f>IF($A167&gt;'1-Input'!$B$26,AO166,(AO166-MAX(0,AK121-IF($A167&gt;='1-Input'!$C$12,'1-Input'!$B$12,0))+AL167*(1-'P-Parametri'!$B$6*AK167))*(1+ROUND('3-Liquidita'!$F$11,4)))</f>
        <v>-9.0540197561495011E-13</v>
      </c>
      <c r="AN167" s="18">
        <f>IF($A167&gt;'1-Input'!$B$26,AP166,(AP166-AL167)*(1+'5-Roberta'!$C$4))</f>
        <v>9690.1810731143541</v>
      </c>
      <c r="AO167" s="18">
        <f>IF($A167&gt;'1-Input'!$B$26,AM167,AM167-'P-Parametri'!$B$8*(AN167+AM167)+MIN(MAX(AN167,0),'P-Parametri'!$B$8*(AN167+AM167)))</f>
        <v>-9.0594198809412774E-13</v>
      </c>
      <c r="AP167" s="18">
        <f>IF($A167&gt;'1-Input'!$B$26,AN167,AN167-MIN(MAX(AN167,0),'P-Parametri'!$B$8*(AN167+AM167)))</f>
        <v>9670.8007109681257</v>
      </c>
      <c r="AQ167" s="18">
        <f>IF($A167&gt;'1-Input'!$B$26,AQ166,AQ166-AL167*(1-AK167))</f>
        <v>2254.2353024789404</v>
      </c>
    </row>
    <row r="168" spans="1:43">
      <c r="A168" s="10">
        <f>45</f>
        <v>45</v>
      </c>
      <c r="B168" s="11">
        <f>IF($A168&gt;'1-Input'!$B$26,0,IF(G167&lt;=0,0,MAX(0,(G167-H167)/G167)))</f>
        <v>0.76690293080672178</v>
      </c>
      <c r="C168" s="18">
        <f>IF($A168&gt;'1-Input'!$B$26,0,(MAX(0,B121-IF($A168&gt;='1-Input'!$C$12,'1-Input'!$B$12,0))-MIN(MAX(F167,0),MAX(0,B121-IF($A168&gt;='1-Input'!$C$12,'1-Input'!$B$12,0))))*(1/(1-'P-Parametri'!$B$6*B168))+MIN(MAX(0,G167-(MAX(0,B121-IF($A168&gt;='1-Input'!$C$12,'1-Input'!$B$12,0))-MIN(MAX(F167,0),MAX(0,B121-IF($A168&gt;='1-Input'!$C$12,'1-Input'!$B$12,0))))*(1/(1-'P-Parametri'!$B$6*B168))),MAX(0,0*B121-(F167-MIN(MAX(F167,0),MAX(0,B121-IF($A168&gt;='1-Input'!$C$12,'1-Input'!$B$12,0)))))*(1/(1-'P-Parametri'!$B$6*B168))))</f>
        <v>6968.5471064751255</v>
      </c>
      <c r="D168" s="18">
        <f>IF($A168&gt;'1-Input'!$B$26,F167,(F167-MAX(0,B121-IF($A168&gt;='1-Input'!$C$12,'1-Input'!$B$12,0))+C168*(1-'P-Parametri'!$B$6*B168))*(1+ROUND('3-Liquidita'!$F$11,4)))</f>
        <v>-9.0540197561495011E-13</v>
      </c>
      <c r="E168" s="18">
        <f>IF($A168&gt;'1-Input'!$B$26,G167,(G167-C168)*(1+'5-Roberta'!$C$4))</f>
        <v>224843.23401034696</v>
      </c>
      <c r="F168" s="18">
        <f>IF($A168&gt;'1-Input'!$B$26,D168,D168-'P-Parametri'!$B$8*(E168+D168)+MIN(MAX(E168,0),'P-Parametri'!$B$8*(E168+D168)))</f>
        <v>-9.0949470177292824E-13</v>
      </c>
      <c r="G168" s="18">
        <f>IF($A168&gt;'1-Input'!$B$26,E168,E168-MIN(MAX(E168,0),'P-Parametri'!$B$8*(E168+D168)))</f>
        <v>224393.54754232627</v>
      </c>
      <c r="H168" s="18">
        <f>IF($A168&gt;'1-Input'!$B$26,H167,H167-C168*(1-B168))</f>
        <v>50883.785316262431</v>
      </c>
      <c r="I168" s="11">
        <f>IF($A168&gt;'1-Input'!$B$26,0,IF(N167&lt;=0,0,MAX(0,(N167-O167)/N167)))</f>
        <v>0</v>
      </c>
      <c r="J168" s="18">
        <f>IF($A168&gt;'1-Input'!$B$26,0,(MAX(0,I121-IF($A168&gt;='1-Input'!$C$12,'1-Input'!$B$12,0))-MIN(MAX(M167,0),MAX(0,I121-IF($A168&gt;='1-Input'!$C$12,'1-Input'!$B$12,0))))*(1/(1-'P-Parametri'!$B$6*I168))+MIN(MAX(0,N167-(MAX(0,I121-IF($A168&gt;='1-Input'!$C$12,'1-Input'!$B$12,0))-MIN(MAX(M167,0),MAX(0,I121-IF($A168&gt;='1-Input'!$C$12,'1-Input'!$B$12,0))))*(1/(1-'P-Parametri'!$B$6*I168))),MAX(0,0*I121-(M167-MIN(MAX(M167,0),MAX(0,I121-IF($A168&gt;='1-Input'!$C$12,'1-Input'!$B$12,0)))))*(1/(1-'P-Parametri'!$B$6*I168))))</f>
        <v>10846.756992928691</v>
      </c>
      <c r="K168" s="18">
        <f>IF($A168&gt;'1-Input'!$B$26,M167,(M167-MAX(0,I121-IF($A168&gt;='1-Input'!$C$12,'1-Input'!$B$12,0))+J168*(1-'P-Parametri'!$B$6*I168))*(1+ROUND('3-Liquidita'!$F$11,4)))</f>
        <v>0</v>
      </c>
      <c r="L168" s="18">
        <f>IF($A168&gt;'1-Input'!$B$26,N167,(N167-J168)*(1+'5-Roberta'!$C$4))</f>
        <v>-265800.83779382356</v>
      </c>
      <c r="M168" s="18">
        <f>IF($A168&gt;'1-Input'!$B$26,K168,K168-'P-Parametri'!$B$8*(L168+K168)+MIN(MAX(L168,0),'P-Parametri'!$B$8*(L168+K168)))</f>
        <v>0</v>
      </c>
      <c r="N168" s="18">
        <f>IF($A168&gt;'1-Input'!$B$26,L168,L168-MIN(MAX(L168,0),'P-Parametri'!$B$8*(L168+K168)))</f>
        <v>-265269.23611823592</v>
      </c>
      <c r="O168" s="18">
        <f>IF($A168&gt;'1-Input'!$B$26,O167,O167-J168*(1-I168))</f>
        <v>-197282.59933784173</v>
      </c>
      <c r="P168" s="11">
        <f>IF($A168&gt;'1-Input'!$B$26,0,IF(U167&lt;=0,0,MAX(0,(U167-V167)/U167)))</f>
        <v>0</v>
      </c>
      <c r="Q168" s="18">
        <f>IF($A168&gt;'1-Input'!$B$26,0,(MAX(0,P121-IF($A168&gt;='1-Input'!$C$12,'1-Input'!$B$12,0))-MIN(MAX(T167,0),MAX(0,P121-IF($A168&gt;='1-Input'!$C$12,'1-Input'!$B$12,0))))*(1/(1-'P-Parametri'!$B$6*P168))+MIN(MAX(0,U167-(MAX(0,P121-IF($A168&gt;='1-Input'!$C$12,'1-Input'!$B$12,0))-MIN(MAX(T167,0),MAX(0,P121-IF($A168&gt;='1-Input'!$C$12,'1-Input'!$B$12,0))))*(1/(1-'P-Parametri'!$B$6*P168))),MAX(0,0*P121-(T167-MIN(MAX(T167,0),MAX(0,P121-IF($A168&gt;='1-Input'!$C$12,'1-Input'!$B$12,0)))))*(1/(1-'P-Parametri'!$B$6*P168))))</f>
        <v>7993.0396042883986</v>
      </c>
      <c r="R168" s="18">
        <f>IF($A168&gt;'1-Input'!$B$26,T167,(T167-MAX(0,P121-IF($A168&gt;='1-Input'!$C$12,'1-Input'!$B$12,0))+Q168*(1-'P-Parametri'!$B$6*P168))*(1+ROUND('3-Liquidita'!$F$11,4)))</f>
        <v>0</v>
      </c>
      <c r="S168" s="18">
        <f>IF($A168&gt;'1-Input'!$B$26,U167,(U167-Q168)*(1+'5-Roberta'!$C$4))</f>
        <v>-21903.062590837337</v>
      </c>
      <c r="T168" s="18">
        <f>IF($A168&gt;'1-Input'!$B$26,R168,R168-'P-Parametri'!$B$8*(S168+R168)+MIN(MAX(S168,0),'P-Parametri'!$B$8*(S168+R168)))</f>
        <v>0</v>
      </c>
      <c r="U168" s="18">
        <f>IF($A168&gt;'1-Input'!$B$26,S168,S168-MIN(MAX(S168,0),'P-Parametri'!$B$8*(S168+R168)))</f>
        <v>-21859.256465655661</v>
      </c>
      <c r="V168" s="18">
        <f>IF($A168&gt;'1-Input'!$B$26,V167,V167-Q168*(1-P168))</f>
        <v>-17164.549128036138</v>
      </c>
      <c r="W168" s="11">
        <f>IF($A168&gt;'1-Input'!$B$26,0,IF(AB167&lt;=0,0,MAX(0,(AB167-AC167)/AB167)))</f>
        <v>0.76690293080672201</v>
      </c>
      <c r="X168" s="18">
        <f>IF($A168&gt;'1-Input'!$B$26,0,(MAX(0,W121-IF($A168&gt;='1-Input'!$C$12,'1-Input'!$B$12,0))-MIN(MAX(AA167,0),MAX(0,W121-IF($A168&gt;='1-Input'!$C$12,'1-Input'!$B$12,0))))*(1/(1-'P-Parametri'!$B$6*W168))+MIN(MAX(0,AB167-(MAX(0,W121-IF($A168&gt;='1-Input'!$C$12,'1-Input'!$B$12,0))-MIN(MAX(AA167,0),MAX(0,W121-IF($A168&gt;='1-Input'!$C$12,'1-Input'!$B$12,0))))*(1/(1-'P-Parametri'!$B$6*W168))),MAX(0,0*W121-(AA167-MIN(MAX(AA167,0),MAX(0,W121-IF($A168&gt;='1-Input'!$C$12,'1-Input'!$B$12,0)))))*(1/(1-'P-Parametri'!$B$6*W168))))</f>
        <v>9663.6434779108185</v>
      </c>
      <c r="Y168" s="18">
        <f>IF($A168&gt;'1-Input'!$B$26,AA167,(AA167-MAX(0,W121-IF($A168&gt;='1-Input'!$C$12,'1-Input'!$B$12,0))+X168*(1-'P-Parametri'!$B$6*W168))*(1+ROUND('3-Liquidita'!$F$11,4)))</f>
        <v>0</v>
      </c>
      <c r="Z168" s="18">
        <f>IF($A168&gt;'1-Input'!$B$26,AB167,(AB167-X168)*(1+'5-Roberta'!$C$4))</f>
        <v>595.52346408190988</v>
      </c>
      <c r="AA168" s="18">
        <f>IF($A168&gt;'1-Input'!$B$26,Y168,Y168-'P-Parametri'!$B$8*(Z168+Y168)+MIN(MAX(Z168,0),'P-Parametri'!$B$8*(Z168+Y168)))</f>
        <v>0</v>
      </c>
      <c r="AB168" s="18">
        <f>IF($A168&gt;'1-Input'!$B$26,Z168,Z168-MIN(MAX(Z168,0),'P-Parametri'!$B$8*(Z168+Y168)))</f>
        <v>594.33241715374606</v>
      </c>
      <c r="AC168" s="18">
        <f>IF($A168&gt;'1-Input'!$B$26,AC167,AC167-X168*(1-W168))</f>
        <v>134.77162535273919</v>
      </c>
      <c r="AD168" s="11">
        <f>IF($A168&gt;'1-Input'!$B$26,0,IF(AI167&lt;=0,0,MAX(0,(AI167-AJ167)/AI167)))</f>
        <v>0.76690293080672223</v>
      </c>
      <c r="AE168" s="18">
        <f>IF($A168&gt;'1-Input'!$B$26,0,(MAX(0,AD121-IF($A168&gt;='1-Input'!$C$12,'1-Input'!$B$12,0))-MIN(MAX(AH167,0),MAX(0,AD121-IF($A168&gt;='1-Input'!$C$12,'1-Input'!$B$12,0))))*(1/(1-'P-Parametri'!$B$6*AD168))+MIN(MAX(0,AI167-(MAX(0,AD121-IF($A168&gt;='1-Input'!$C$12,'1-Input'!$B$12,0))-MIN(MAX(AH167,0),MAX(0,AD121-IF($A168&gt;='1-Input'!$C$12,'1-Input'!$B$12,0))))*(1/(1-'P-Parametri'!$B$6*AD168))),MAX(0,0*AD121-(AH167-MIN(MAX(AH167,0),MAX(0,AD121-IF($A168&gt;='1-Input'!$C$12,'1-Input'!$B$12,0)))))*(1/(1-'P-Parametri'!$B$6*AD168))))</f>
        <v>9672.1163995949046</v>
      </c>
      <c r="AF168" s="18">
        <f>IF($A168&gt;'1-Input'!$B$26,AH167,(AH167-MAX(0,AD121-IF($A168&gt;='1-Input'!$C$12,'1-Input'!$B$12,0))+AE168*(1-'P-Parametri'!$B$6*AD168))*(1+ROUND('3-Liquidita'!$F$11,4)))</f>
        <v>0</v>
      </c>
      <c r="AG168" s="18">
        <f>IF($A168&gt;'1-Input'!$B$26,AI167,(AI167-AE168)*(1+'5-Roberta'!$C$4))</f>
        <v>-109.47295438806667</v>
      </c>
      <c r="AH168" s="18">
        <f>IF($A168&gt;'1-Input'!$B$26,AF168,AF168-'P-Parametri'!$B$8*(AG168+AF168)+MIN(MAX(AG168,0),'P-Parametri'!$B$8*(AG168+AF168)))</f>
        <v>0</v>
      </c>
      <c r="AI168" s="18">
        <f>IF($A168&gt;'1-Input'!$B$26,AG168,AG168-MIN(MAX(AG168,0),'P-Parametri'!$B$8*(AG168+AF168)))</f>
        <v>-109.25400847929053</v>
      </c>
      <c r="AJ168" s="18">
        <f>IF($A168&gt;'1-Input'!$B$26,AJ167,AJ167-AE168*(1-AD168))</f>
        <v>-24.774587207561126</v>
      </c>
      <c r="AK168" s="11">
        <f>IF($A168&gt;'1-Input'!$B$26,0,IF(AP167&lt;=0,0,MAX(0,(AP167-AQ167)/AP167)))</f>
        <v>0.76690293080672178</v>
      </c>
      <c r="AL168" s="18">
        <f>IF($A168&gt;'1-Input'!$B$26,0,(MAX(0,AK121-IF($A168&gt;='1-Input'!$C$12,'1-Input'!$B$12,0))-MIN(MAX(AO167,0),MAX(0,AK121-IF($A168&gt;='1-Input'!$C$12,'1-Input'!$B$12,0))))*(1/(1-'P-Parametri'!$B$6*AK168))+MIN(MAX(0,AP167-(MAX(0,AK121-IF($A168&gt;='1-Input'!$C$12,'1-Input'!$B$12,0))-MIN(MAX(AO167,0),MAX(0,AK121-IF($A168&gt;='1-Input'!$C$12,'1-Input'!$B$12,0))))*(1/(1-'P-Parametri'!$B$6*AK168))),MAX(0,0*AK121-(AO167-MIN(MAX(AO167,0),MAX(0,AK121-IF($A168&gt;='1-Input'!$C$12,'1-Input'!$B$12,0)))))*(1/(1-'P-Parametri'!$B$6*AK168))))</f>
        <v>9670.8007109690388</v>
      </c>
      <c r="AM168" s="18">
        <f>IF($A168&gt;'1-Input'!$B$26,AO167,(AO167-MAX(0,AK121-IF($A168&gt;='1-Input'!$C$12,'1-Input'!$B$12,0))+AL168*(1-'P-Parametri'!$B$6*AK168))*(1+ROUND('3-Liquidita'!$F$11,4)))</f>
        <v>-1.8108039512299002E-12</v>
      </c>
      <c r="AN168" s="18">
        <f>IF($A168&gt;'1-Input'!$B$26,AP167,(AP167-AL168)*(1+'5-Roberta'!$C$4))</f>
        <v>-9.4052666099742066E-10</v>
      </c>
      <c r="AO168" s="18">
        <f>IF($A168&gt;'1-Input'!$B$26,AM168,AM168-'P-Parametri'!$B$8*(AN168+AM168)+MIN(MAX(AN168,0),'P-Parametri'!$B$8*(AN168+AM168)))</f>
        <v>-1.8108039512299002E-12</v>
      </c>
      <c r="AP168" s="18">
        <f>IF($A168&gt;'1-Input'!$B$26,AN168,AN168-MIN(MAX(AN168,0),'P-Parametri'!$B$8*(AN168+AM168)))</f>
        <v>-9.3864198606752335E-10</v>
      </c>
      <c r="AQ168" s="18">
        <f>IF($A168&gt;'1-Input'!$B$26,AQ167,AQ167-AL168*(1-AK168))</f>
        <v>-2.1373125491663814E-10</v>
      </c>
    </row>
    <row r="169" spans="1:43">
      <c r="A169" s="10">
        <f>46</f>
        <v>46</v>
      </c>
      <c r="B169" s="11">
        <f>IF($A169&gt;'1-Input'!$B$26,0,IF(G168&lt;=0,0,MAX(0,(G168-H168)/G168)))</f>
        <v>0</v>
      </c>
      <c r="C169" s="18">
        <f>IF($A169&gt;'1-Input'!$B$26,0,(MAX(0,B121-IF($A169&gt;='1-Input'!$C$12,'1-Input'!$B$12,0))-MIN(MAX(F168,0),MAX(0,B121-IF($A169&gt;='1-Input'!$C$12,'1-Input'!$B$12,0))))*(1/(1-'P-Parametri'!$B$6*B169))+MIN(MAX(0,G168-(MAX(0,B121-IF($A169&gt;='1-Input'!$C$12,'1-Input'!$B$12,0))-MIN(MAX(F168,0),MAX(0,B121-IF($A169&gt;='1-Input'!$C$12,'1-Input'!$B$12,0))))*(1/(1-'P-Parametri'!$B$6*B169))),MAX(0,0*B121-(F168-MIN(MAX(F168,0),MAX(0,B121-IF($A169&gt;='1-Input'!$C$12,'1-Input'!$B$12,0)))))*(1/(1-'P-Parametri'!$B$6*B169))))</f>
        <v>0</v>
      </c>
      <c r="D169" s="18">
        <f>IF($A169&gt;'1-Input'!$B$26,F168,(F168-MAX(0,B121-IF($A169&gt;='1-Input'!$C$12,'1-Input'!$B$12,0))+C169*(1-'P-Parametri'!$B$6*B169))*(1+ROUND('3-Liquidita'!$F$11,4)))</f>
        <v>-9.0949470177292824E-13</v>
      </c>
      <c r="E169" s="18">
        <f>IF($A169&gt;'1-Input'!$B$26,G168,(G168-C169)*(1+'5-Roberta'!$C$4))</f>
        <v>224393.54754232627</v>
      </c>
      <c r="F169" s="18">
        <f>IF($A169&gt;'1-Input'!$B$26,D169,D169-'P-Parametri'!$B$8*(E169+D169)+MIN(MAX(E169,0),'P-Parametri'!$B$8*(E169+D169)))</f>
        <v>-9.0949470177292824E-13</v>
      </c>
      <c r="G169" s="18">
        <f>IF($A169&gt;'1-Input'!$B$26,E169,E169-MIN(MAX(E169,0),'P-Parametri'!$B$8*(E169+D169)))</f>
        <v>224393.54754232627</v>
      </c>
      <c r="H169" s="18">
        <f>IF($A169&gt;'1-Input'!$B$26,H168,H168-C169*(1-B169))</f>
        <v>50883.785316262431</v>
      </c>
      <c r="I169" s="11">
        <f>IF($A169&gt;'1-Input'!$B$26,0,IF(N168&lt;=0,0,MAX(0,(N168-O168)/N168)))</f>
        <v>0</v>
      </c>
      <c r="J169" s="18">
        <f>IF($A169&gt;'1-Input'!$B$26,0,(MAX(0,I121-IF($A169&gt;='1-Input'!$C$12,'1-Input'!$B$12,0))-MIN(MAX(M168,0),MAX(0,I121-IF($A169&gt;='1-Input'!$C$12,'1-Input'!$B$12,0))))*(1/(1-'P-Parametri'!$B$6*I169))+MIN(MAX(0,N168-(MAX(0,I121-IF($A169&gt;='1-Input'!$C$12,'1-Input'!$B$12,0))-MIN(MAX(M168,0),MAX(0,I121-IF($A169&gt;='1-Input'!$C$12,'1-Input'!$B$12,0))))*(1/(1-'P-Parametri'!$B$6*I169))),MAX(0,0*I121-(M168-MIN(MAX(M168,0),MAX(0,I121-IF($A169&gt;='1-Input'!$C$12,'1-Input'!$B$12,0)))))*(1/(1-'P-Parametri'!$B$6*I169))))</f>
        <v>0</v>
      </c>
      <c r="K169" s="18">
        <f>IF($A169&gt;'1-Input'!$B$26,M168,(M168-MAX(0,I121-IF($A169&gt;='1-Input'!$C$12,'1-Input'!$B$12,0))+J169*(1-'P-Parametri'!$B$6*I169))*(1+ROUND('3-Liquidita'!$F$11,4)))</f>
        <v>0</v>
      </c>
      <c r="L169" s="18">
        <f>IF($A169&gt;'1-Input'!$B$26,N168,(N168-J169)*(1+'5-Roberta'!$C$4))</f>
        <v>-265269.23611823592</v>
      </c>
      <c r="M169" s="18">
        <f>IF($A169&gt;'1-Input'!$B$26,K169,K169-'P-Parametri'!$B$8*(L169+K169)+MIN(MAX(L169,0),'P-Parametri'!$B$8*(L169+K169)))</f>
        <v>0</v>
      </c>
      <c r="N169" s="18">
        <f>IF($A169&gt;'1-Input'!$B$26,L169,L169-MIN(MAX(L169,0),'P-Parametri'!$B$8*(L169+K169)))</f>
        <v>-265269.23611823592</v>
      </c>
      <c r="O169" s="18">
        <f>IF($A169&gt;'1-Input'!$B$26,O168,O168-J169*(1-I169))</f>
        <v>-197282.59933784173</v>
      </c>
      <c r="P169" s="11">
        <f>IF($A169&gt;'1-Input'!$B$26,0,IF(U168&lt;=0,0,MAX(0,(U168-V168)/U168)))</f>
        <v>0</v>
      </c>
      <c r="Q169" s="18">
        <f>IF($A169&gt;'1-Input'!$B$26,0,(MAX(0,P121-IF($A169&gt;='1-Input'!$C$12,'1-Input'!$B$12,0))-MIN(MAX(T168,0),MAX(0,P121-IF($A169&gt;='1-Input'!$C$12,'1-Input'!$B$12,0))))*(1/(1-'P-Parametri'!$B$6*P169))+MIN(MAX(0,U168-(MAX(0,P121-IF($A169&gt;='1-Input'!$C$12,'1-Input'!$B$12,0))-MIN(MAX(T168,0),MAX(0,P121-IF($A169&gt;='1-Input'!$C$12,'1-Input'!$B$12,0))))*(1/(1-'P-Parametri'!$B$6*P169))),MAX(0,0*P121-(T168-MIN(MAX(T168,0),MAX(0,P121-IF($A169&gt;='1-Input'!$C$12,'1-Input'!$B$12,0)))))*(1/(1-'P-Parametri'!$B$6*P169))))</f>
        <v>0</v>
      </c>
      <c r="R169" s="18">
        <f>IF($A169&gt;'1-Input'!$B$26,T168,(T168-MAX(0,P121-IF($A169&gt;='1-Input'!$C$12,'1-Input'!$B$12,0))+Q169*(1-'P-Parametri'!$B$6*P169))*(1+ROUND('3-Liquidita'!$F$11,4)))</f>
        <v>0</v>
      </c>
      <c r="S169" s="18">
        <f>IF($A169&gt;'1-Input'!$B$26,U168,(U168-Q169)*(1+'5-Roberta'!$C$4))</f>
        <v>-21859.256465655661</v>
      </c>
      <c r="T169" s="18">
        <f>IF($A169&gt;'1-Input'!$B$26,R169,R169-'P-Parametri'!$B$8*(S169+R169)+MIN(MAX(S169,0),'P-Parametri'!$B$8*(S169+R169)))</f>
        <v>0</v>
      </c>
      <c r="U169" s="18">
        <f>IF($A169&gt;'1-Input'!$B$26,S169,S169-MIN(MAX(S169,0),'P-Parametri'!$B$8*(S169+R169)))</f>
        <v>-21859.256465655661</v>
      </c>
      <c r="V169" s="18">
        <f>IF($A169&gt;'1-Input'!$B$26,V168,V168-Q169*(1-P169))</f>
        <v>-17164.549128036138</v>
      </c>
      <c r="W169" s="11">
        <f>IF($A169&gt;'1-Input'!$B$26,0,IF(AB168&lt;=0,0,MAX(0,(AB168-AC168)/AB168)))</f>
        <v>0</v>
      </c>
      <c r="X169" s="18">
        <f>IF($A169&gt;'1-Input'!$B$26,0,(MAX(0,W121-IF($A169&gt;='1-Input'!$C$12,'1-Input'!$B$12,0))-MIN(MAX(AA168,0),MAX(0,W121-IF($A169&gt;='1-Input'!$C$12,'1-Input'!$B$12,0))))*(1/(1-'P-Parametri'!$B$6*W169))+MIN(MAX(0,AB168-(MAX(0,W121-IF($A169&gt;='1-Input'!$C$12,'1-Input'!$B$12,0))-MIN(MAX(AA168,0),MAX(0,W121-IF($A169&gt;='1-Input'!$C$12,'1-Input'!$B$12,0))))*(1/(1-'P-Parametri'!$B$6*W169))),MAX(0,0*W121-(AA168-MIN(MAX(AA168,0),MAX(0,W121-IF($A169&gt;='1-Input'!$C$12,'1-Input'!$B$12,0)))))*(1/(1-'P-Parametri'!$B$6*W169))))</f>
        <v>0</v>
      </c>
      <c r="Y169" s="18">
        <f>IF($A169&gt;'1-Input'!$B$26,AA168,(AA168-MAX(0,W121-IF($A169&gt;='1-Input'!$C$12,'1-Input'!$B$12,0))+X169*(1-'P-Parametri'!$B$6*W169))*(1+ROUND('3-Liquidita'!$F$11,4)))</f>
        <v>0</v>
      </c>
      <c r="Z169" s="18">
        <f>IF($A169&gt;'1-Input'!$B$26,AB168,(AB168-X169)*(1+'5-Roberta'!$C$4))</f>
        <v>594.33241715374606</v>
      </c>
      <c r="AA169" s="18">
        <f>IF($A169&gt;'1-Input'!$B$26,Y169,Y169-'P-Parametri'!$B$8*(Z169+Y169)+MIN(MAX(Z169,0),'P-Parametri'!$B$8*(Z169+Y169)))</f>
        <v>0</v>
      </c>
      <c r="AB169" s="18">
        <f>IF($A169&gt;'1-Input'!$B$26,Z169,Z169-MIN(MAX(Z169,0),'P-Parametri'!$B$8*(Z169+Y169)))</f>
        <v>594.33241715374606</v>
      </c>
      <c r="AC169" s="18">
        <f>IF($A169&gt;'1-Input'!$B$26,AC168,AC168-X169*(1-W169))</f>
        <v>134.77162535273919</v>
      </c>
      <c r="AD169" s="11">
        <f>IF($A169&gt;'1-Input'!$B$26,0,IF(AI168&lt;=0,0,MAX(0,(AI168-AJ168)/AI168)))</f>
        <v>0</v>
      </c>
      <c r="AE169" s="18">
        <f>IF($A169&gt;'1-Input'!$B$26,0,(MAX(0,AD121-IF($A169&gt;='1-Input'!$C$12,'1-Input'!$B$12,0))-MIN(MAX(AH168,0),MAX(0,AD121-IF($A169&gt;='1-Input'!$C$12,'1-Input'!$B$12,0))))*(1/(1-'P-Parametri'!$B$6*AD169))+MIN(MAX(0,AI168-(MAX(0,AD121-IF($A169&gt;='1-Input'!$C$12,'1-Input'!$B$12,0))-MIN(MAX(AH168,0),MAX(0,AD121-IF($A169&gt;='1-Input'!$C$12,'1-Input'!$B$12,0))))*(1/(1-'P-Parametri'!$B$6*AD169))),MAX(0,0*AD121-(AH168-MIN(MAX(AH168,0),MAX(0,AD121-IF($A169&gt;='1-Input'!$C$12,'1-Input'!$B$12,0)))))*(1/(1-'P-Parametri'!$B$6*AD169))))</f>
        <v>0</v>
      </c>
      <c r="AF169" s="18">
        <f>IF($A169&gt;'1-Input'!$B$26,AH168,(AH168-MAX(0,AD121-IF($A169&gt;='1-Input'!$C$12,'1-Input'!$B$12,0))+AE169*(1-'P-Parametri'!$B$6*AD169))*(1+ROUND('3-Liquidita'!$F$11,4)))</f>
        <v>0</v>
      </c>
      <c r="AG169" s="18">
        <f>IF($A169&gt;'1-Input'!$B$26,AI168,(AI168-AE169)*(1+'5-Roberta'!$C$4))</f>
        <v>-109.25400847929053</v>
      </c>
      <c r="AH169" s="18">
        <f>IF($A169&gt;'1-Input'!$B$26,AF169,AF169-'P-Parametri'!$B$8*(AG169+AF169)+MIN(MAX(AG169,0),'P-Parametri'!$B$8*(AG169+AF169)))</f>
        <v>0</v>
      </c>
      <c r="AI169" s="18">
        <f>IF($A169&gt;'1-Input'!$B$26,AG169,AG169-MIN(MAX(AG169,0),'P-Parametri'!$B$8*(AG169+AF169)))</f>
        <v>-109.25400847929053</v>
      </c>
      <c r="AJ169" s="18">
        <f>IF($A169&gt;'1-Input'!$B$26,AJ168,AJ168-AE169*(1-AD169))</f>
        <v>-24.774587207561126</v>
      </c>
      <c r="AK169" s="11">
        <f>IF($A169&gt;'1-Input'!$B$26,0,IF(AP168&lt;=0,0,MAX(0,(AP168-AQ168)/AP168)))</f>
        <v>0</v>
      </c>
      <c r="AL169" s="18">
        <f>IF($A169&gt;'1-Input'!$B$26,0,(MAX(0,AK121-IF($A169&gt;='1-Input'!$C$12,'1-Input'!$B$12,0))-MIN(MAX(AO168,0),MAX(0,AK121-IF($A169&gt;='1-Input'!$C$12,'1-Input'!$B$12,0))))*(1/(1-'P-Parametri'!$B$6*AK169))+MIN(MAX(0,AP168-(MAX(0,AK121-IF($A169&gt;='1-Input'!$C$12,'1-Input'!$B$12,0))-MIN(MAX(AO168,0),MAX(0,AK121-IF($A169&gt;='1-Input'!$C$12,'1-Input'!$B$12,0))))*(1/(1-'P-Parametri'!$B$6*AK169))),MAX(0,0*AK121-(AO168-MIN(MAX(AO168,0),MAX(0,AK121-IF($A169&gt;='1-Input'!$C$12,'1-Input'!$B$12,0)))))*(1/(1-'P-Parametri'!$B$6*AK169))))</f>
        <v>0</v>
      </c>
      <c r="AM169" s="18">
        <f>IF($A169&gt;'1-Input'!$B$26,AO168,(AO168-MAX(0,AK121-IF($A169&gt;='1-Input'!$C$12,'1-Input'!$B$12,0))+AL169*(1-'P-Parametri'!$B$6*AK169))*(1+ROUND('3-Liquidita'!$F$11,4)))</f>
        <v>-1.8108039512299002E-12</v>
      </c>
      <c r="AN169" s="18">
        <f>IF($A169&gt;'1-Input'!$B$26,AP168,(AP168-AL169)*(1+'5-Roberta'!$C$4))</f>
        <v>-9.3864198606752335E-10</v>
      </c>
      <c r="AO169" s="18">
        <f>IF($A169&gt;'1-Input'!$B$26,AM169,AM169-'P-Parametri'!$B$8*(AN169+AM169)+MIN(MAX(AN169,0),'P-Parametri'!$B$8*(AN169+AM169)))</f>
        <v>-1.8108039512299002E-12</v>
      </c>
      <c r="AP169" s="18">
        <f>IF($A169&gt;'1-Input'!$B$26,AN169,AN169-MIN(MAX(AN169,0),'P-Parametri'!$B$8*(AN169+AM169)))</f>
        <v>-9.3864198606752335E-10</v>
      </c>
      <c r="AQ169" s="18">
        <f>IF($A169&gt;'1-Input'!$B$26,AQ168,AQ168-AL169*(1-AK169))</f>
        <v>-2.1373125491663814E-10</v>
      </c>
    </row>
    <row r="170" spans="1:43">
      <c r="A170" s="10">
        <f>47</f>
        <v>47</v>
      </c>
      <c r="B170" s="11">
        <f>IF($A170&gt;'1-Input'!$B$26,0,IF(G169&lt;=0,0,MAX(0,(G169-H169)/G169)))</f>
        <v>0</v>
      </c>
      <c r="C170" s="18">
        <f>IF($A170&gt;'1-Input'!$B$26,0,(MAX(0,B121-IF($A170&gt;='1-Input'!$C$12,'1-Input'!$B$12,0))-MIN(MAX(F169,0),MAX(0,B121-IF($A170&gt;='1-Input'!$C$12,'1-Input'!$B$12,0))))*(1/(1-'P-Parametri'!$B$6*B170))+MIN(MAX(0,G169-(MAX(0,B121-IF($A170&gt;='1-Input'!$C$12,'1-Input'!$B$12,0))-MIN(MAX(F169,0),MAX(0,B121-IF($A170&gt;='1-Input'!$C$12,'1-Input'!$B$12,0))))*(1/(1-'P-Parametri'!$B$6*B170))),MAX(0,0*B121-(F169-MIN(MAX(F169,0),MAX(0,B121-IF($A170&gt;='1-Input'!$C$12,'1-Input'!$B$12,0)))))*(1/(1-'P-Parametri'!$B$6*B170))))</f>
        <v>0</v>
      </c>
      <c r="D170" s="18">
        <f>IF($A170&gt;'1-Input'!$B$26,F169,(F169-MAX(0,B121-IF($A170&gt;='1-Input'!$C$12,'1-Input'!$B$12,0))+C170*(1-'P-Parametri'!$B$6*B170))*(1+ROUND('3-Liquidita'!$F$11,4)))</f>
        <v>-9.0949470177292824E-13</v>
      </c>
      <c r="E170" s="18">
        <f>IF($A170&gt;'1-Input'!$B$26,G169,(G169-C170)*(1+'5-Roberta'!$C$4))</f>
        <v>224393.54754232627</v>
      </c>
      <c r="F170" s="18">
        <f>IF($A170&gt;'1-Input'!$B$26,D170,D170-'P-Parametri'!$B$8*(E170+D170)+MIN(MAX(E170,0),'P-Parametri'!$B$8*(E170+D170)))</f>
        <v>-9.0949470177292824E-13</v>
      </c>
      <c r="G170" s="18">
        <f>IF($A170&gt;'1-Input'!$B$26,E170,E170-MIN(MAX(E170,0),'P-Parametri'!$B$8*(E170+D170)))</f>
        <v>224393.54754232627</v>
      </c>
      <c r="H170" s="18">
        <f>IF($A170&gt;'1-Input'!$B$26,H169,H169-C170*(1-B170))</f>
        <v>50883.785316262431</v>
      </c>
      <c r="I170" s="11">
        <f>IF($A170&gt;'1-Input'!$B$26,0,IF(N169&lt;=0,0,MAX(0,(N169-O169)/N169)))</f>
        <v>0</v>
      </c>
      <c r="J170" s="18">
        <f>IF($A170&gt;'1-Input'!$B$26,0,(MAX(0,I121-IF($A170&gt;='1-Input'!$C$12,'1-Input'!$B$12,0))-MIN(MAX(M169,0),MAX(0,I121-IF($A170&gt;='1-Input'!$C$12,'1-Input'!$B$12,0))))*(1/(1-'P-Parametri'!$B$6*I170))+MIN(MAX(0,N169-(MAX(0,I121-IF($A170&gt;='1-Input'!$C$12,'1-Input'!$B$12,0))-MIN(MAX(M169,0),MAX(0,I121-IF($A170&gt;='1-Input'!$C$12,'1-Input'!$B$12,0))))*(1/(1-'P-Parametri'!$B$6*I170))),MAX(0,0*I121-(M169-MIN(MAX(M169,0),MAX(0,I121-IF($A170&gt;='1-Input'!$C$12,'1-Input'!$B$12,0)))))*(1/(1-'P-Parametri'!$B$6*I170))))</f>
        <v>0</v>
      </c>
      <c r="K170" s="18">
        <f>IF($A170&gt;'1-Input'!$B$26,M169,(M169-MAX(0,I121-IF($A170&gt;='1-Input'!$C$12,'1-Input'!$B$12,0))+J170*(1-'P-Parametri'!$B$6*I170))*(1+ROUND('3-Liquidita'!$F$11,4)))</f>
        <v>0</v>
      </c>
      <c r="L170" s="18">
        <f>IF($A170&gt;'1-Input'!$B$26,N169,(N169-J170)*(1+'5-Roberta'!$C$4))</f>
        <v>-265269.23611823592</v>
      </c>
      <c r="M170" s="18">
        <f>IF($A170&gt;'1-Input'!$B$26,K170,K170-'P-Parametri'!$B$8*(L170+K170)+MIN(MAX(L170,0),'P-Parametri'!$B$8*(L170+K170)))</f>
        <v>0</v>
      </c>
      <c r="N170" s="18">
        <f>IF($A170&gt;'1-Input'!$B$26,L170,L170-MIN(MAX(L170,0),'P-Parametri'!$B$8*(L170+K170)))</f>
        <v>-265269.23611823592</v>
      </c>
      <c r="O170" s="18">
        <f>IF($A170&gt;'1-Input'!$B$26,O169,O169-J170*(1-I170))</f>
        <v>-197282.59933784173</v>
      </c>
      <c r="P170" s="11">
        <f>IF($A170&gt;'1-Input'!$B$26,0,IF(U169&lt;=0,0,MAX(0,(U169-V169)/U169)))</f>
        <v>0</v>
      </c>
      <c r="Q170" s="18">
        <f>IF($A170&gt;'1-Input'!$B$26,0,(MAX(0,P121-IF($A170&gt;='1-Input'!$C$12,'1-Input'!$B$12,0))-MIN(MAX(T169,0),MAX(0,P121-IF($A170&gt;='1-Input'!$C$12,'1-Input'!$B$12,0))))*(1/(1-'P-Parametri'!$B$6*P170))+MIN(MAX(0,U169-(MAX(0,P121-IF($A170&gt;='1-Input'!$C$12,'1-Input'!$B$12,0))-MIN(MAX(T169,0),MAX(0,P121-IF($A170&gt;='1-Input'!$C$12,'1-Input'!$B$12,0))))*(1/(1-'P-Parametri'!$B$6*P170))),MAX(0,0*P121-(T169-MIN(MAX(T169,0),MAX(0,P121-IF($A170&gt;='1-Input'!$C$12,'1-Input'!$B$12,0)))))*(1/(1-'P-Parametri'!$B$6*P170))))</f>
        <v>0</v>
      </c>
      <c r="R170" s="18">
        <f>IF($A170&gt;'1-Input'!$B$26,T169,(T169-MAX(0,P121-IF($A170&gt;='1-Input'!$C$12,'1-Input'!$B$12,0))+Q170*(1-'P-Parametri'!$B$6*P170))*(1+ROUND('3-Liquidita'!$F$11,4)))</f>
        <v>0</v>
      </c>
      <c r="S170" s="18">
        <f>IF($A170&gt;'1-Input'!$B$26,U169,(U169-Q170)*(1+'5-Roberta'!$C$4))</f>
        <v>-21859.256465655661</v>
      </c>
      <c r="T170" s="18">
        <f>IF($A170&gt;'1-Input'!$B$26,R170,R170-'P-Parametri'!$B$8*(S170+R170)+MIN(MAX(S170,0),'P-Parametri'!$B$8*(S170+R170)))</f>
        <v>0</v>
      </c>
      <c r="U170" s="18">
        <f>IF($A170&gt;'1-Input'!$B$26,S170,S170-MIN(MAX(S170,0),'P-Parametri'!$B$8*(S170+R170)))</f>
        <v>-21859.256465655661</v>
      </c>
      <c r="V170" s="18">
        <f>IF($A170&gt;'1-Input'!$B$26,V169,V169-Q170*(1-P170))</f>
        <v>-17164.549128036138</v>
      </c>
      <c r="W170" s="11">
        <f>IF($A170&gt;'1-Input'!$B$26,0,IF(AB169&lt;=0,0,MAX(0,(AB169-AC169)/AB169)))</f>
        <v>0</v>
      </c>
      <c r="X170" s="18">
        <f>IF($A170&gt;'1-Input'!$B$26,0,(MAX(0,W121-IF($A170&gt;='1-Input'!$C$12,'1-Input'!$B$12,0))-MIN(MAX(AA169,0),MAX(0,W121-IF($A170&gt;='1-Input'!$C$12,'1-Input'!$B$12,0))))*(1/(1-'P-Parametri'!$B$6*W170))+MIN(MAX(0,AB169-(MAX(0,W121-IF($A170&gt;='1-Input'!$C$12,'1-Input'!$B$12,0))-MIN(MAX(AA169,0),MAX(0,W121-IF($A170&gt;='1-Input'!$C$12,'1-Input'!$B$12,0))))*(1/(1-'P-Parametri'!$B$6*W170))),MAX(0,0*W121-(AA169-MIN(MAX(AA169,0),MAX(0,W121-IF($A170&gt;='1-Input'!$C$12,'1-Input'!$B$12,0)))))*(1/(1-'P-Parametri'!$B$6*W170))))</f>
        <v>0</v>
      </c>
      <c r="Y170" s="18">
        <f>IF($A170&gt;'1-Input'!$B$26,AA169,(AA169-MAX(0,W121-IF($A170&gt;='1-Input'!$C$12,'1-Input'!$B$12,0))+X170*(1-'P-Parametri'!$B$6*W170))*(1+ROUND('3-Liquidita'!$F$11,4)))</f>
        <v>0</v>
      </c>
      <c r="Z170" s="18">
        <f>IF($A170&gt;'1-Input'!$B$26,AB169,(AB169-X170)*(1+'5-Roberta'!$C$4))</f>
        <v>594.33241715374606</v>
      </c>
      <c r="AA170" s="18">
        <f>IF($A170&gt;'1-Input'!$B$26,Y170,Y170-'P-Parametri'!$B$8*(Z170+Y170)+MIN(MAX(Z170,0),'P-Parametri'!$B$8*(Z170+Y170)))</f>
        <v>0</v>
      </c>
      <c r="AB170" s="18">
        <f>IF($A170&gt;'1-Input'!$B$26,Z170,Z170-MIN(MAX(Z170,0),'P-Parametri'!$B$8*(Z170+Y170)))</f>
        <v>594.33241715374606</v>
      </c>
      <c r="AC170" s="18">
        <f>IF($A170&gt;'1-Input'!$B$26,AC169,AC169-X170*(1-W170))</f>
        <v>134.77162535273919</v>
      </c>
      <c r="AD170" s="11">
        <f>IF($A170&gt;'1-Input'!$B$26,0,IF(AI169&lt;=0,0,MAX(0,(AI169-AJ169)/AI169)))</f>
        <v>0</v>
      </c>
      <c r="AE170" s="18">
        <f>IF($A170&gt;'1-Input'!$B$26,0,(MAX(0,AD121-IF($A170&gt;='1-Input'!$C$12,'1-Input'!$B$12,0))-MIN(MAX(AH169,0),MAX(0,AD121-IF($A170&gt;='1-Input'!$C$12,'1-Input'!$B$12,0))))*(1/(1-'P-Parametri'!$B$6*AD170))+MIN(MAX(0,AI169-(MAX(0,AD121-IF($A170&gt;='1-Input'!$C$12,'1-Input'!$B$12,0))-MIN(MAX(AH169,0),MAX(0,AD121-IF($A170&gt;='1-Input'!$C$12,'1-Input'!$B$12,0))))*(1/(1-'P-Parametri'!$B$6*AD170))),MAX(0,0*AD121-(AH169-MIN(MAX(AH169,0),MAX(0,AD121-IF($A170&gt;='1-Input'!$C$12,'1-Input'!$B$12,0)))))*(1/(1-'P-Parametri'!$B$6*AD170))))</f>
        <v>0</v>
      </c>
      <c r="AF170" s="18">
        <f>IF($A170&gt;'1-Input'!$B$26,AH169,(AH169-MAX(0,AD121-IF($A170&gt;='1-Input'!$C$12,'1-Input'!$B$12,0))+AE170*(1-'P-Parametri'!$B$6*AD170))*(1+ROUND('3-Liquidita'!$F$11,4)))</f>
        <v>0</v>
      </c>
      <c r="AG170" s="18">
        <f>IF($A170&gt;'1-Input'!$B$26,AI169,(AI169-AE170)*(1+'5-Roberta'!$C$4))</f>
        <v>-109.25400847929053</v>
      </c>
      <c r="AH170" s="18">
        <f>IF($A170&gt;'1-Input'!$B$26,AF170,AF170-'P-Parametri'!$B$8*(AG170+AF170)+MIN(MAX(AG170,0),'P-Parametri'!$B$8*(AG170+AF170)))</f>
        <v>0</v>
      </c>
      <c r="AI170" s="18">
        <f>IF($A170&gt;'1-Input'!$B$26,AG170,AG170-MIN(MAX(AG170,0),'P-Parametri'!$B$8*(AG170+AF170)))</f>
        <v>-109.25400847929053</v>
      </c>
      <c r="AJ170" s="18">
        <f>IF($A170&gt;'1-Input'!$B$26,AJ169,AJ169-AE170*(1-AD170))</f>
        <v>-24.774587207561126</v>
      </c>
      <c r="AK170" s="11">
        <f>IF($A170&gt;'1-Input'!$B$26,0,IF(AP169&lt;=0,0,MAX(0,(AP169-AQ169)/AP169)))</f>
        <v>0</v>
      </c>
      <c r="AL170" s="18">
        <f>IF($A170&gt;'1-Input'!$B$26,0,(MAX(0,AK121-IF($A170&gt;='1-Input'!$C$12,'1-Input'!$B$12,0))-MIN(MAX(AO169,0),MAX(0,AK121-IF($A170&gt;='1-Input'!$C$12,'1-Input'!$B$12,0))))*(1/(1-'P-Parametri'!$B$6*AK170))+MIN(MAX(0,AP169-(MAX(0,AK121-IF($A170&gt;='1-Input'!$C$12,'1-Input'!$B$12,0))-MIN(MAX(AO169,0),MAX(0,AK121-IF($A170&gt;='1-Input'!$C$12,'1-Input'!$B$12,0))))*(1/(1-'P-Parametri'!$B$6*AK170))),MAX(0,0*AK121-(AO169-MIN(MAX(AO169,0),MAX(0,AK121-IF($A170&gt;='1-Input'!$C$12,'1-Input'!$B$12,0)))))*(1/(1-'P-Parametri'!$B$6*AK170))))</f>
        <v>0</v>
      </c>
      <c r="AM170" s="18">
        <f>IF($A170&gt;'1-Input'!$B$26,AO169,(AO169-MAX(0,AK121-IF($A170&gt;='1-Input'!$C$12,'1-Input'!$B$12,0))+AL170*(1-'P-Parametri'!$B$6*AK170))*(1+ROUND('3-Liquidita'!$F$11,4)))</f>
        <v>-1.8108039512299002E-12</v>
      </c>
      <c r="AN170" s="18">
        <f>IF($A170&gt;'1-Input'!$B$26,AP169,(AP169-AL170)*(1+'5-Roberta'!$C$4))</f>
        <v>-9.3864198606752335E-10</v>
      </c>
      <c r="AO170" s="18">
        <f>IF($A170&gt;'1-Input'!$B$26,AM170,AM170-'P-Parametri'!$B$8*(AN170+AM170)+MIN(MAX(AN170,0),'P-Parametri'!$B$8*(AN170+AM170)))</f>
        <v>-1.8108039512299002E-12</v>
      </c>
      <c r="AP170" s="18">
        <f>IF($A170&gt;'1-Input'!$B$26,AN170,AN170-MIN(MAX(AN170,0),'P-Parametri'!$B$8*(AN170+AM170)))</f>
        <v>-9.3864198606752335E-10</v>
      </c>
      <c r="AQ170" s="18">
        <f>IF($A170&gt;'1-Input'!$B$26,AQ169,AQ169-AL170*(1-AK170))</f>
        <v>-2.1373125491663814E-10</v>
      </c>
    </row>
    <row r="171" spans="1:43">
      <c r="A171" s="10">
        <f>48</f>
        <v>48</v>
      </c>
      <c r="B171" s="11">
        <f>IF($A171&gt;'1-Input'!$B$26,0,IF(G170&lt;=0,0,MAX(0,(G170-H170)/G170)))</f>
        <v>0</v>
      </c>
      <c r="C171" s="18">
        <f>IF($A171&gt;'1-Input'!$B$26,0,(MAX(0,B121-IF($A171&gt;='1-Input'!$C$12,'1-Input'!$B$12,0))-MIN(MAX(F170,0),MAX(0,B121-IF($A171&gt;='1-Input'!$C$12,'1-Input'!$B$12,0))))*(1/(1-'P-Parametri'!$B$6*B171))+MIN(MAX(0,G170-(MAX(0,B121-IF($A171&gt;='1-Input'!$C$12,'1-Input'!$B$12,0))-MIN(MAX(F170,0),MAX(0,B121-IF($A171&gt;='1-Input'!$C$12,'1-Input'!$B$12,0))))*(1/(1-'P-Parametri'!$B$6*B171))),MAX(0,0*B121-(F170-MIN(MAX(F170,0),MAX(0,B121-IF($A171&gt;='1-Input'!$C$12,'1-Input'!$B$12,0)))))*(1/(1-'P-Parametri'!$B$6*B171))))</f>
        <v>0</v>
      </c>
      <c r="D171" s="18">
        <f>IF($A171&gt;'1-Input'!$B$26,F170,(F170-MAX(0,B121-IF($A171&gt;='1-Input'!$C$12,'1-Input'!$B$12,0))+C171*(1-'P-Parametri'!$B$6*B171))*(1+ROUND('3-Liquidita'!$F$11,4)))</f>
        <v>-9.0949470177292824E-13</v>
      </c>
      <c r="E171" s="18">
        <f>IF($A171&gt;'1-Input'!$B$26,G170,(G170-C171)*(1+'5-Roberta'!$C$4))</f>
        <v>224393.54754232627</v>
      </c>
      <c r="F171" s="18">
        <f>IF($A171&gt;'1-Input'!$B$26,D171,D171-'P-Parametri'!$B$8*(E171+D171)+MIN(MAX(E171,0),'P-Parametri'!$B$8*(E171+D171)))</f>
        <v>-9.0949470177292824E-13</v>
      </c>
      <c r="G171" s="18">
        <f>IF($A171&gt;'1-Input'!$B$26,E171,E171-MIN(MAX(E171,0),'P-Parametri'!$B$8*(E171+D171)))</f>
        <v>224393.54754232627</v>
      </c>
      <c r="H171" s="18">
        <f>IF($A171&gt;'1-Input'!$B$26,H170,H170-C171*(1-B171))</f>
        <v>50883.785316262431</v>
      </c>
      <c r="I171" s="11">
        <f>IF($A171&gt;'1-Input'!$B$26,0,IF(N170&lt;=0,0,MAX(0,(N170-O170)/N170)))</f>
        <v>0</v>
      </c>
      <c r="J171" s="18">
        <f>IF($A171&gt;'1-Input'!$B$26,0,(MAX(0,I121-IF($A171&gt;='1-Input'!$C$12,'1-Input'!$B$12,0))-MIN(MAX(M170,0),MAX(0,I121-IF($A171&gt;='1-Input'!$C$12,'1-Input'!$B$12,0))))*(1/(1-'P-Parametri'!$B$6*I171))+MIN(MAX(0,N170-(MAX(0,I121-IF($A171&gt;='1-Input'!$C$12,'1-Input'!$B$12,0))-MIN(MAX(M170,0),MAX(0,I121-IF($A171&gt;='1-Input'!$C$12,'1-Input'!$B$12,0))))*(1/(1-'P-Parametri'!$B$6*I171))),MAX(0,0*I121-(M170-MIN(MAX(M170,0),MAX(0,I121-IF($A171&gt;='1-Input'!$C$12,'1-Input'!$B$12,0)))))*(1/(1-'P-Parametri'!$B$6*I171))))</f>
        <v>0</v>
      </c>
      <c r="K171" s="18">
        <f>IF($A171&gt;'1-Input'!$B$26,M170,(M170-MAX(0,I121-IF($A171&gt;='1-Input'!$C$12,'1-Input'!$B$12,0))+J171*(1-'P-Parametri'!$B$6*I171))*(1+ROUND('3-Liquidita'!$F$11,4)))</f>
        <v>0</v>
      </c>
      <c r="L171" s="18">
        <f>IF($A171&gt;'1-Input'!$B$26,N170,(N170-J171)*(1+'5-Roberta'!$C$4))</f>
        <v>-265269.23611823592</v>
      </c>
      <c r="M171" s="18">
        <f>IF($A171&gt;'1-Input'!$B$26,K171,K171-'P-Parametri'!$B$8*(L171+K171)+MIN(MAX(L171,0),'P-Parametri'!$B$8*(L171+K171)))</f>
        <v>0</v>
      </c>
      <c r="N171" s="18">
        <f>IF($A171&gt;'1-Input'!$B$26,L171,L171-MIN(MAX(L171,0),'P-Parametri'!$B$8*(L171+K171)))</f>
        <v>-265269.23611823592</v>
      </c>
      <c r="O171" s="18">
        <f>IF($A171&gt;'1-Input'!$B$26,O170,O170-J171*(1-I171))</f>
        <v>-197282.59933784173</v>
      </c>
      <c r="P171" s="11">
        <f>IF($A171&gt;'1-Input'!$B$26,0,IF(U170&lt;=0,0,MAX(0,(U170-V170)/U170)))</f>
        <v>0</v>
      </c>
      <c r="Q171" s="18">
        <f>IF($A171&gt;'1-Input'!$B$26,0,(MAX(0,P121-IF($A171&gt;='1-Input'!$C$12,'1-Input'!$B$12,0))-MIN(MAX(T170,0),MAX(0,P121-IF($A171&gt;='1-Input'!$C$12,'1-Input'!$B$12,0))))*(1/(1-'P-Parametri'!$B$6*P171))+MIN(MAX(0,U170-(MAX(0,P121-IF($A171&gt;='1-Input'!$C$12,'1-Input'!$B$12,0))-MIN(MAX(T170,0),MAX(0,P121-IF($A171&gt;='1-Input'!$C$12,'1-Input'!$B$12,0))))*(1/(1-'P-Parametri'!$B$6*P171))),MAX(0,0*P121-(T170-MIN(MAX(T170,0),MAX(0,P121-IF($A171&gt;='1-Input'!$C$12,'1-Input'!$B$12,0)))))*(1/(1-'P-Parametri'!$B$6*P171))))</f>
        <v>0</v>
      </c>
      <c r="R171" s="18">
        <f>IF($A171&gt;'1-Input'!$B$26,T170,(T170-MAX(0,P121-IF($A171&gt;='1-Input'!$C$12,'1-Input'!$B$12,0))+Q171*(1-'P-Parametri'!$B$6*P171))*(1+ROUND('3-Liquidita'!$F$11,4)))</f>
        <v>0</v>
      </c>
      <c r="S171" s="18">
        <f>IF($A171&gt;'1-Input'!$B$26,U170,(U170-Q171)*(1+'5-Roberta'!$C$4))</f>
        <v>-21859.256465655661</v>
      </c>
      <c r="T171" s="18">
        <f>IF($A171&gt;'1-Input'!$B$26,R171,R171-'P-Parametri'!$B$8*(S171+R171)+MIN(MAX(S171,0),'P-Parametri'!$B$8*(S171+R171)))</f>
        <v>0</v>
      </c>
      <c r="U171" s="18">
        <f>IF($A171&gt;'1-Input'!$B$26,S171,S171-MIN(MAX(S171,0),'P-Parametri'!$B$8*(S171+R171)))</f>
        <v>-21859.256465655661</v>
      </c>
      <c r="V171" s="18">
        <f>IF($A171&gt;'1-Input'!$B$26,V170,V170-Q171*(1-P171))</f>
        <v>-17164.549128036138</v>
      </c>
      <c r="W171" s="11">
        <f>IF($A171&gt;'1-Input'!$B$26,0,IF(AB170&lt;=0,0,MAX(0,(AB170-AC170)/AB170)))</f>
        <v>0</v>
      </c>
      <c r="X171" s="18">
        <f>IF($A171&gt;'1-Input'!$B$26,0,(MAX(0,W121-IF($A171&gt;='1-Input'!$C$12,'1-Input'!$B$12,0))-MIN(MAX(AA170,0),MAX(0,W121-IF($A171&gt;='1-Input'!$C$12,'1-Input'!$B$12,0))))*(1/(1-'P-Parametri'!$B$6*W171))+MIN(MAX(0,AB170-(MAX(0,W121-IF($A171&gt;='1-Input'!$C$12,'1-Input'!$B$12,0))-MIN(MAX(AA170,0),MAX(0,W121-IF($A171&gt;='1-Input'!$C$12,'1-Input'!$B$12,0))))*(1/(1-'P-Parametri'!$B$6*W171))),MAX(0,0*W121-(AA170-MIN(MAX(AA170,0),MAX(0,W121-IF($A171&gt;='1-Input'!$C$12,'1-Input'!$B$12,0)))))*(1/(1-'P-Parametri'!$B$6*W171))))</f>
        <v>0</v>
      </c>
      <c r="Y171" s="18">
        <f>IF($A171&gt;'1-Input'!$B$26,AA170,(AA170-MAX(0,W121-IF($A171&gt;='1-Input'!$C$12,'1-Input'!$B$12,0))+X171*(1-'P-Parametri'!$B$6*W171))*(1+ROUND('3-Liquidita'!$F$11,4)))</f>
        <v>0</v>
      </c>
      <c r="Z171" s="18">
        <f>IF($A171&gt;'1-Input'!$B$26,AB170,(AB170-X171)*(1+'5-Roberta'!$C$4))</f>
        <v>594.33241715374606</v>
      </c>
      <c r="AA171" s="18">
        <f>IF($A171&gt;'1-Input'!$B$26,Y171,Y171-'P-Parametri'!$B$8*(Z171+Y171)+MIN(MAX(Z171,0),'P-Parametri'!$B$8*(Z171+Y171)))</f>
        <v>0</v>
      </c>
      <c r="AB171" s="18">
        <f>IF($A171&gt;'1-Input'!$B$26,Z171,Z171-MIN(MAX(Z171,0),'P-Parametri'!$B$8*(Z171+Y171)))</f>
        <v>594.33241715374606</v>
      </c>
      <c r="AC171" s="18">
        <f>IF($A171&gt;'1-Input'!$B$26,AC170,AC170-X171*(1-W171))</f>
        <v>134.77162535273919</v>
      </c>
      <c r="AD171" s="11">
        <f>IF($A171&gt;'1-Input'!$B$26,0,IF(AI170&lt;=0,0,MAX(0,(AI170-AJ170)/AI170)))</f>
        <v>0</v>
      </c>
      <c r="AE171" s="18">
        <f>IF($A171&gt;'1-Input'!$B$26,0,(MAX(0,AD121-IF($A171&gt;='1-Input'!$C$12,'1-Input'!$B$12,0))-MIN(MAX(AH170,0),MAX(0,AD121-IF($A171&gt;='1-Input'!$C$12,'1-Input'!$B$12,0))))*(1/(1-'P-Parametri'!$B$6*AD171))+MIN(MAX(0,AI170-(MAX(0,AD121-IF($A171&gt;='1-Input'!$C$12,'1-Input'!$B$12,0))-MIN(MAX(AH170,0),MAX(0,AD121-IF($A171&gt;='1-Input'!$C$12,'1-Input'!$B$12,0))))*(1/(1-'P-Parametri'!$B$6*AD171))),MAX(0,0*AD121-(AH170-MIN(MAX(AH170,0),MAX(0,AD121-IF($A171&gt;='1-Input'!$C$12,'1-Input'!$B$12,0)))))*(1/(1-'P-Parametri'!$B$6*AD171))))</f>
        <v>0</v>
      </c>
      <c r="AF171" s="18">
        <f>IF($A171&gt;'1-Input'!$B$26,AH170,(AH170-MAX(0,AD121-IF($A171&gt;='1-Input'!$C$12,'1-Input'!$B$12,0))+AE171*(1-'P-Parametri'!$B$6*AD171))*(1+ROUND('3-Liquidita'!$F$11,4)))</f>
        <v>0</v>
      </c>
      <c r="AG171" s="18">
        <f>IF($A171&gt;'1-Input'!$B$26,AI170,(AI170-AE171)*(1+'5-Roberta'!$C$4))</f>
        <v>-109.25400847929053</v>
      </c>
      <c r="AH171" s="18">
        <f>IF($A171&gt;'1-Input'!$B$26,AF171,AF171-'P-Parametri'!$B$8*(AG171+AF171)+MIN(MAX(AG171,0),'P-Parametri'!$B$8*(AG171+AF171)))</f>
        <v>0</v>
      </c>
      <c r="AI171" s="18">
        <f>IF($A171&gt;'1-Input'!$B$26,AG171,AG171-MIN(MAX(AG171,0),'P-Parametri'!$B$8*(AG171+AF171)))</f>
        <v>-109.25400847929053</v>
      </c>
      <c r="AJ171" s="18">
        <f>IF($A171&gt;'1-Input'!$B$26,AJ170,AJ170-AE171*(1-AD171))</f>
        <v>-24.774587207561126</v>
      </c>
      <c r="AK171" s="11">
        <f>IF($A171&gt;'1-Input'!$B$26,0,IF(AP170&lt;=0,0,MAX(0,(AP170-AQ170)/AP170)))</f>
        <v>0</v>
      </c>
      <c r="AL171" s="18">
        <f>IF($A171&gt;'1-Input'!$B$26,0,(MAX(0,AK121-IF($A171&gt;='1-Input'!$C$12,'1-Input'!$B$12,0))-MIN(MAX(AO170,0),MAX(0,AK121-IF($A171&gt;='1-Input'!$C$12,'1-Input'!$B$12,0))))*(1/(1-'P-Parametri'!$B$6*AK171))+MIN(MAX(0,AP170-(MAX(0,AK121-IF($A171&gt;='1-Input'!$C$12,'1-Input'!$B$12,0))-MIN(MAX(AO170,0),MAX(0,AK121-IF($A171&gt;='1-Input'!$C$12,'1-Input'!$B$12,0))))*(1/(1-'P-Parametri'!$B$6*AK171))),MAX(0,0*AK121-(AO170-MIN(MAX(AO170,0),MAX(0,AK121-IF($A171&gt;='1-Input'!$C$12,'1-Input'!$B$12,0)))))*(1/(1-'P-Parametri'!$B$6*AK171))))</f>
        <v>0</v>
      </c>
      <c r="AM171" s="18">
        <f>IF($A171&gt;'1-Input'!$B$26,AO170,(AO170-MAX(0,AK121-IF($A171&gt;='1-Input'!$C$12,'1-Input'!$B$12,0))+AL171*(1-'P-Parametri'!$B$6*AK171))*(1+ROUND('3-Liquidita'!$F$11,4)))</f>
        <v>-1.8108039512299002E-12</v>
      </c>
      <c r="AN171" s="18">
        <f>IF($A171&gt;'1-Input'!$B$26,AP170,(AP170-AL171)*(1+'5-Roberta'!$C$4))</f>
        <v>-9.3864198606752335E-10</v>
      </c>
      <c r="AO171" s="18">
        <f>IF($A171&gt;'1-Input'!$B$26,AM171,AM171-'P-Parametri'!$B$8*(AN171+AM171)+MIN(MAX(AN171,0),'P-Parametri'!$B$8*(AN171+AM171)))</f>
        <v>-1.8108039512299002E-12</v>
      </c>
      <c r="AP171" s="18">
        <f>IF($A171&gt;'1-Input'!$B$26,AN171,AN171-MIN(MAX(AN171,0),'P-Parametri'!$B$8*(AN171+AM171)))</f>
        <v>-9.3864198606752335E-10</v>
      </c>
      <c r="AQ171" s="18">
        <f>IF($A171&gt;'1-Input'!$B$26,AQ170,AQ170-AL171*(1-AK171))</f>
        <v>-2.1373125491663814E-10</v>
      </c>
    </row>
    <row r="172" spans="1:43">
      <c r="A172" s="4" t="s">
        <v>365</v>
      </c>
      <c r="B172" s="18">
        <f>F171+G171</f>
        <v>224393.54754232627</v>
      </c>
      <c r="I172" s="18">
        <f>M171+N171</f>
        <v>-265269.23611823592</v>
      </c>
      <c r="P172" s="18">
        <f>T171+U171</f>
        <v>-21859.256465655661</v>
      </c>
      <c r="W172" s="18">
        <f>AA171+AB171</f>
        <v>594.33241715374606</v>
      </c>
      <c r="AD172" s="18">
        <f>AH171+AI171</f>
        <v>-109.25400847929053</v>
      </c>
      <c r="AK172" s="18">
        <f>AO171+AP171</f>
        <v>-9.4045279001875323E-10</v>
      </c>
    </row>
    <row r="173" spans="1:43">
      <c r="A173" s="5" t="s">
        <v>266</v>
      </c>
      <c r="B173" s="18">
        <f>IFERROR(AK121-AK172*(AK121-AD121)/(AK172-AD172),AK121)</f>
        <v>18844.493704761662</v>
      </c>
    </row>
    <row r="175" spans="1:43">
      <c r="A175" s="2" t="s">
        <v>412</v>
      </c>
    </row>
    <row r="176" spans="1:43">
      <c r="A176" s="4" t="s">
        <v>360</v>
      </c>
      <c r="B176" s="9">
        <f>0.038*'2-Caso'!$B$12</f>
        <v>16681.055314625803</v>
      </c>
      <c r="I176" s="9">
        <f>0.05*'2-Caso'!$B$12</f>
        <v>21948.756992928691</v>
      </c>
      <c r="P176" s="18">
        <f>IFERROR(I176-I227*(I176-B176)/(I227-B227),I176)</f>
        <v>18127.425188034002</v>
      </c>
      <c r="W176" s="18">
        <f>IFERROR(P176-P227*(P176-I176)/(P227-I227),P176)</f>
        <v>17929.919032777158</v>
      </c>
      <c r="AD176" s="18">
        <f>IFERROR(W176-W227*(W176-P176)/(W227-P227),W176)</f>
        <v>17915.965094023264</v>
      </c>
      <c r="AK176" s="18">
        <f>IFERROR(AD176-AD227*(AD176-W176)/(AD227-W227),AD176)</f>
        <v>17915.93345484613</v>
      </c>
    </row>
    <row r="177" spans="1:43" ht="45">
      <c r="A177" s="25" t="s">
        <v>262</v>
      </c>
      <c r="B177" s="25" t="s">
        <v>361</v>
      </c>
      <c r="C177" s="25" t="s">
        <v>263</v>
      </c>
      <c r="D177" s="25" t="s">
        <v>362</v>
      </c>
      <c r="E177" s="25" t="s">
        <v>363</v>
      </c>
      <c r="F177" s="25" t="s">
        <v>264</v>
      </c>
      <c r="G177" s="25" t="s">
        <v>265</v>
      </c>
      <c r="H177" s="25" t="s">
        <v>364</v>
      </c>
      <c r="I177" s="25" t="s">
        <v>361</v>
      </c>
      <c r="J177" s="25" t="s">
        <v>263</v>
      </c>
      <c r="K177" s="25" t="s">
        <v>362</v>
      </c>
      <c r="L177" s="25" t="s">
        <v>363</v>
      </c>
      <c r="M177" s="25" t="s">
        <v>264</v>
      </c>
      <c r="N177" s="25" t="s">
        <v>265</v>
      </c>
      <c r="O177" s="25" t="s">
        <v>364</v>
      </c>
      <c r="P177" s="25" t="s">
        <v>361</v>
      </c>
      <c r="Q177" s="25" t="s">
        <v>263</v>
      </c>
      <c r="R177" s="25" t="s">
        <v>362</v>
      </c>
      <c r="S177" s="25" t="s">
        <v>363</v>
      </c>
      <c r="T177" s="25" t="s">
        <v>264</v>
      </c>
      <c r="U177" s="25" t="s">
        <v>265</v>
      </c>
      <c r="V177" s="25" t="s">
        <v>364</v>
      </c>
      <c r="W177" s="25" t="s">
        <v>361</v>
      </c>
      <c r="X177" s="25" t="s">
        <v>263</v>
      </c>
      <c r="Y177" s="25" t="s">
        <v>362</v>
      </c>
      <c r="Z177" s="25" t="s">
        <v>363</v>
      </c>
      <c r="AA177" s="25" t="s">
        <v>264</v>
      </c>
      <c r="AB177" s="25" t="s">
        <v>265</v>
      </c>
      <c r="AC177" s="25" t="s">
        <v>364</v>
      </c>
      <c r="AD177" s="25" t="s">
        <v>361</v>
      </c>
      <c r="AE177" s="25" t="s">
        <v>263</v>
      </c>
      <c r="AF177" s="25" t="s">
        <v>362</v>
      </c>
      <c r="AG177" s="25" t="s">
        <v>363</v>
      </c>
      <c r="AH177" s="25" t="s">
        <v>264</v>
      </c>
      <c r="AI177" s="25" t="s">
        <v>265</v>
      </c>
      <c r="AJ177" s="25" t="s">
        <v>364</v>
      </c>
      <c r="AK177" s="25" t="s">
        <v>361</v>
      </c>
      <c r="AL177" s="25" t="s">
        <v>263</v>
      </c>
      <c r="AM177" s="25" t="s">
        <v>362</v>
      </c>
      <c r="AN177" s="25" t="s">
        <v>363</v>
      </c>
      <c r="AO177" s="25" t="s">
        <v>264</v>
      </c>
      <c r="AP177" s="25" t="s">
        <v>265</v>
      </c>
      <c r="AQ177" s="25" t="s">
        <v>364</v>
      </c>
    </row>
    <row r="178" spans="1:43">
      <c r="A178" s="3">
        <v>0</v>
      </c>
      <c r="F178" s="18">
        <f>MIN(2*B176,'2-Caso'!$B$12)</f>
        <v>33362.110629251605</v>
      </c>
      <c r="G178" s="18">
        <f>'2-Caso'!$B$12-F178</f>
        <v>405613.02922932222</v>
      </c>
      <c r="H178" s="18">
        <f>'2-Caso'!$B$13*G178/'2-Caso'!$B$12</f>
        <v>317856</v>
      </c>
      <c r="M178" s="18">
        <f>MIN(2*I176,'2-Caso'!$B$12)</f>
        <v>43897.513985857382</v>
      </c>
      <c r="N178" s="18">
        <f>'2-Caso'!$B$12-M178</f>
        <v>395077.62587271642</v>
      </c>
      <c r="O178" s="18">
        <f>'2-Caso'!$B$13*N178/'2-Caso'!$B$12</f>
        <v>309600</v>
      </c>
      <c r="T178" s="18">
        <f>MIN(2*P176,'2-Caso'!$B$12)</f>
        <v>36254.850376068003</v>
      </c>
      <c r="U178" s="18">
        <f>'2-Caso'!$B$12-T178</f>
        <v>402720.28948250576</v>
      </c>
      <c r="V178" s="18">
        <f>'2-Caso'!$B$13*U178/'2-Caso'!$B$12</f>
        <v>315589.12339913956</v>
      </c>
      <c r="AA178" s="18">
        <f>MIN(2*W176,'2-Caso'!$B$12)</f>
        <v>35859.838065554315</v>
      </c>
      <c r="AB178" s="18">
        <f>'2-Caso'!$B$12-AA178</f>
        <v>403115.30179301946</v>
      </c>
      <c r="AC178" s="18">
        <f>'2-Caso'!$B$13*AB178/'2-Caso'!$B$12</f>
        <v>315898.67221518524</v>
      </c>
      <c r="AH178" s="18">
        <f>MIN(2*AD176,'2-Caso'!$B$12)</f>
        <v>35831.930188046528</v>
      </c>
      <c r="AI178" s="18">
        <f>'2-Caso'!$B$12-AH178</f>
        <v>403143.20967052726</v>
      </c>
      <c r="AJ178" s="18">
        <f>'2-Caso'!$B$13*AI178/'2-Caso'!$B$12</f>
        <v>315920.54204103863</v>
      </c>
      <c r="AO178" s="18">
        <f>MIN(2*AK176,'2-Caso'!$B$12)</f>
        <v>35831.86690969226</v>
      </c>
      <c r="AP178" s="18">
        <f>'2-Caso'!$B$12-AO178</f>
        <v>403143.27294888155</v>
      </c>
      <c r="AQ178" s="18">
        <f>'2-Caso'!$B$13*AP178/'2-Caso'!$B$12</f>
        <v>315920.59162870748</v>
      </c>
    </row>
    <row r="179" spans="1:43">
      <c r="A179" s="10">
        <f>1</f>
        <v>1</v>
      </c>
      <c r="B179" s="11">
        <f>IF($A179&gt;'1-Input'!$B$26,0,IF(G178&lt;=0,0,MAX(0,(G178-H178)/G178)))</f>
        <v>0.21635653419729486</v>
      </c>
      <c r="C179" s="18">
        <f>IF($A179&gt;'1-Input'!$B$26,0,(MAX(0,B176-IF($A179&gt;='1-Input'!$C$12,'1-Input'!$B$12,0))-MIN(MAX(F178,0),MAX(0,B176-IF($A179&gt;='1-Input'!$C$12,'1-Input'!$B$12,0))))*(1/(1-'P-Parametri'!$B$6*B179))+MIN(MAX(0,G178-(MAX(0,B176-IF($A179&gt;='1-Input'!$C$12,'1-Input'!$B$12,0))-MIN(MAX(F178,0),MAX(0,B176-IF($A179&gt;='1-Input'!$C$12,'1-Input'!$B$12,0))))*(1/(1-'P-Parametri'!$B$6*B179))),MAX(0,2*B176-(F178-MIN(MAX(F178,0),MAX(0,B176-IF($A179&gt;='1-Input'!$C$12,'1-Input'!$B$12,0)))))*(1/(1-'P-Parametri'!$B$6*B179))))</f>
        <v>17675.340946701614</v>
      </c>
      <c r="D179" s="18">
        <f>IF($A179&gt;'1-Input'!$B$26,F178,(F178-MAX(0,B176-IF($A179&gt;='1-Input'!$C$12,'1-Input'!$B$12,0))+C179*(1-'P-Parametri'!$B$6*B179))*(1+ROUND('3-Liquidita'!$F$11,4)))</f>
        <v>33211.981131419976</v>
      </c>
      <c r="E179" s="18">
        <f>IF($A179&gt;'1-Input'!$B$26,G178,(G178-C179)*(1+'5-Roberta'!$C$4))</f>
        <v>399575.81893109926</v>
      </c>
      <c r="F179" s="18">
        <f>IF($A179&gt;'1-Input'!$B$26,D179,D179-'P-Parametri'!$B$8*(E179+D179)+MIN(MAX(E179,0),'P-Parametri'!$B$8*(E179+D179)))</f>
        <v>33211.981131419976</v>
      </c>
      <c r="G179" s="18">
        <f>IF($A179&gt;'1-Input'!$B$26,E179,E179-MIN(MAX(E179,0),'P-Parametri'!$B$8*(E179+D179)))</f>
        <v>398710.24333097425</v>
      </c>
      <c r="H179" s="18">
        <f>IF($A179&gt;'1-Input'!$B$26,H178,H178-C179*(1-B179))</f>
        <v>304004.8345612823</v>
      </c>
      <c r="I179" s="11">
        <f>IF($A179&gt;'1-Input'!$B$26,0,IF(N178&lt;=0,0,MAX(0,(N178-O178)/N178)))</f>
        <v>0.21635653419729484</v>
      </c>
      <c r="J179" s="18">
        <f>IF($A179&gt;'1-Input'!$B$26,0,(MAX(0,I176-IF($A179&gt;='1-Input'!$C$12,'1-Input'!$B$12,0))-MIN(MAX(M178,0),MAX(0,I176-IF($A179&gt;='1-Input'!$C$12,'1-Input'!$B$12,0))))*(1/(1-'P-Parametri'!$B$6*I179))+MIN(MAX(0,N178-(MAX(0,I176-IF($A179&gt;='1-Input'!$C$12,'1-Input'!$B$12,0))-MIN(MAX(M178,0),MAX(0,I176-IF($A179&gt;='1-Input'!$C$12,'1-Input'!$B$12,0))))*(1/(1-'P-Parametri'!$B$6*I179))),MAX(0,2*I176-(M178-MIN(MAX(M178,0),MAX(0,I176-IF($A179&gt;='1-Input'!$C$12,'1-Input'!$B$12,0)))))*(1/(1-'P-Parametri'!$B$6*I179))))</f>
        <v>23257.027561449497</v>
      </c>
      <c r="K179" s="18">
        <f>IF($A179&gt;'1-Input'!$B$26,M178,(M178-MAX(0,I176-IF($A179&gt;='1-Input'!$C$12,'1-Input'!$B$12,0))+J179*(1-'P-Parametri'!$B$6*I179))*(1+ROUND('3-Liquidita'!$F$11,4)))</f>
        <v>43699.975172921026</v>
      </c>
      <c r="L179" s="18">
        <f>IF($A179&gt;'1-Input'!$B$26,N178,(N178-J179)*(1+'5-Roberta'!$C$4))</f>
        <v>382975.21626060491</v>
      </c>
      <c r="M179" s="18">
        <f>IF($A179&gt;'1-Input'!$B$26,K179,K179-'P-Parametri'!$B$8*(L179+K179)+MIN(MAX(L179,0),'P-Parametri'!$B$8*(L179+K179)))</f>
        <v>43699.975172921026</v>
      </c>
      <c r="N179" s="18">
        <f>IF($A179&gt;'1-Input'!$B$26,L179,L179-MIN(MAX(L179,0),'P-Parametri'!$B$8*(L179+K179)))</f>
        <v>382121.86587773787</v>
      </c>
      <c r="O179" s="18">
        <f>IF($A179&gt;'1-Input'!$B$26,O178,O178-J179*(1-I179))</f>
        <v>291374.7823174767</v>
      </c>
      <c r="P179" s="11">
        <f>IF($A179&gt;'1-Input'!$B$26,0,IF(U178&lt;=0,0,MAX(0,(U178-V178)/U178)))</f>
        <v>0.21635653419729475</v>
      </c>
      <c r="Q179" s="18">
        <f>IF($A179&gt;'1-Input'!$B$26,0,(MAX(0,P176-IF($A179&gt;='1-Input'!$C$12,'1-Input'!$B$12,0))-MIN(MAX(T178,0),MAX(0,P176-IF($A179&gt;='1-Input'!$C$12,'1-Input'!$B$12,0))))*(1/(1-'P-Parametri'!$B$6*P179))+MIN(MAX(0,U178-(MAX(0,P176-IF($A179&gt;='1-Input'!$C$12,'1-Input'!$B$12,0))-MIN(MAX(T178,0),MAX(0,P176-IF($A179&gt;='1-Input'!$C$12,'1-Input'!$B$12,0))))*(1/(1-'P-Parametri'!$B$6*P179))),MAX(0,2*P176-(T178-MIN(MAX(T178,0),MAX(0,P176-IF($A179&gt;='1-Input'!$C$12,'1-Input'!$B$12,0)))))*(1/(1-'P-Parametri'!$B$6*P179))))</f>
        <v>19207.922678812552</v>
      </c>
      <c r="R179" s="18">
        <f>IF($A179&gt;'1-Input'!$B$26,T178,(T178-MAX(0,P176-IF($A179&gt;='1-Input'!$C$12,'1-Input'!$B$12,0))+Q179*(1-'P-Parametri'!$B$6*P179))*(1+ROUND('3-Liquidita'!$F$11,4)))</f>
        <v>36091.703549375699</v>
      </c>
      <c r="S179" s="18">
        <f>IF($A179&gt;'1-Input'!$B$26,U178,(U178-Q179)*(1+'5-Roberta'!$C$4))</f>
        <v>395017.73780780402</v>
      </c>
      <c r="T179" s="18">
        <f>IF($A179&gt;'1-Input'!$B$26,R179,R179-'P-Parametri'!$B$8*(S179+R179)+MIN(MAX(S179,0),'P-Parametri'!$B$8*(S179+R179)))</f>
        <v>36091.703549375699</v>
      </c>
      <c r="U179" s="18">
        <f>IF($A179&gt;'1-Input'!$B$26,S179,S179-MIN(MAX(S179,0),'P-Parametri'!$B$8*(S179+R179)))</f>
        <v>394155.51892508968</v>
      </c>
      <c r="V179" s="18">
        <f>IF($A179&gt;'1-Input'!$B$26,V178,V178-Q179*(1-P179))</f>
        <v>300536.96030024451</v>
      </c>
      <c r="W179" s="11">
        <f>IF($A179&gt;'1-Input'!$B$26,0,IF(AB178&lt;=0,0,MAX(0,(AB178-AC178)/AB178)))</f>
        <v>0.21635653419729478</v>
      </c>
      <c r="X179" s="18">
        <f>IF($A179&gt;'1-Input'!$B$26,0,(MAX(0,W176-IF($A179&gt;='1-Input'!$C$12,'1-Input'!$B$12,0))-MIN(MAX(AA178,0),MAX(0,W176-IF($A179&gt;='1-Input'!$C$12,'1-Input'!$B$12,0))))*(1/(1-'P-Parametri'!$B$6*W179))+MIN(MAX(0,AB178-(MAX(0,W176-IF($A179&gt;='1-Input'!$C$12,'1-Input'!$B$12,0))-MIN(MAX(AA178,0),MAX(0,W176-IF($A179&gt;='1-Input'!$C$12,'1-Input'!$B$12,0))))*(1/(1-'P-Parametri'!$B$6*W179))),MAX(0,2*W176-(AA178-MIN(MAX(AA178,0),MAX(0,W176-IF($A179&gt;='1-Input'!$C$12,'1-Input'!$B$12,0)))))*(1/(1-'P-Parametri'!$B$6*W179))))</f>
        <v>18998.644035022189</v>
      </c>
      <c r="Y179" s="18">
        <f>IF($A179&gt;'1-Input'!$B$26,AA178,(AA178-MAX(0,W176-IF($A179&gt;='1-Input'!$C$12,'1-Input'!$B$12,0))+X179*(1-'P-Parametri'!$B$6*W179))*(1+ROUND('3-Liquidita'!$F$11,4)))</f>
        <v>35698.468794259323</v>
      </c>
      <c r="Z179" s="18">
        <f>IF($A179&gt;'1-Input'!$B$26,AB178,(AB178-X179)*(1+'5-Roberta'!$C$4))</f>
        <v>395640.15749073721</v>
      </c>
      <c r="AA179" s="18">
        <f>IF($A179&gt;'1-Input'!$B$26,Y179,Y179-'P-Parametri'!$B$8*(Z179+Y179)+MIN(MAX(Z179,0),'P-Parametri'!$B$8*(Z179+Y179)))</f>
        <v>35698.468794259323</v>
      </c>
      <c r="AB179" s="18">
        <f>IF($A179&gt;'1-Input'!$B$26,Z179,Z179-MIN(MAX(Z179,0),'P-Parametri'!$B$8*(Z179+Y179)))</f>
        <v>394777.48023816722</v>
      </c>
      <c r="AC179" s="18">
        <f>IF($A179&gt;'1-Input'!$B$26,AC178,AC178-X179*(1-W179))</f>
        <v>301010.50895802857</v>
      </c>
      <c r="AD179" s="11">
        <f>IF($A179&gt;'1-Input'!$B$26,0,IF(AI178&lt;=0,0,MAX(0,(AI178-AJ178)/AI178)))</f>
        <v>0.21635653419729484</v>
      </c>
      <c r="AE179" s="18">
        <f>IF($A179&gt;'1-Input'!$B$26,0,(MAX(0,AD176-IF($A179&gt;='1-Input'!$C$12,'1-Input'!$B$12,0))-MIN(MAX(AH178,0),MAX(0,AD176-IF($A179&gt;='1-Input'!$C$12,'1-Input'!$B$12,0))))*(1/(1-'P-Parametri'!$B$6*AD179))+MIN(MAX(0,AI178-(MAX(0,AD176-IF($A179&gt;='1-Input'!$C$12,'1-Input'!$B$12,0))-MIN(MAX(AH178,0),MAX(0,AD176-IF($A179&gt;='1-Input'!$C$12,'1-Input'!$B$12,0))))*(1/(1-'P-Parametri'!$B$6*AD179))),MAX(0,2*AD176-(AH178-MIN(MAX(AH178,0),MAX(0,AD176-IF($A179&gt;='1-Input'!$C$12,'1-Input'!$B$12,0)))))*(1/(1-'P-Parametri'!$B$6*AD179))))</f>
        <v>18983.858362271127</v>
      </c>
      <c r="AF179" s="18">
        <f>IF($A179&gt;'1-Input'!$B$26,AH178,(AH178-MAX(0,AD176-IF($A179&gt;='1-Input'!$C$12,'1-Input'!$B$12,0))+AE179*(1-'P-Parametri'!$B$6*AD179))*(1+ROUND('3-Liquidita'!$F$11,4)))</f>
        <v>35670.686502200319</v>
      </c>
      <c r="AG179" s="18">
        <f>IF($A179&gt;'1-Input'!$B$26,AI178,(AI178-AE179)*(1+'5-Roberta'!$C$4))</f>
        <v>395684.13184750383</v>
      </c>
      <c r="AH179" s="18">
        <f>IF($A179&gt;'1-Input'!$B$26,AF179,AF179-'P-Parametri'!$B$8*(AG179+AF179)+MIN(MAX(AG179,0),'P-Parametri'!$B$8*(AG179+AF179)))</f>
        <v>35670.686502200319</v>
      </c>
      <c r="AI179" s="18">
        <f>IF($A179&gt;'1-Input'!$B$26,AG179,AG179-MIN(MAX(AG179,0),'P-Parametri'!$B$8*(AG179+AF179)))</f>
        <v>394821.42221080442</v>
      </c>
      <c r="AJ179" s="18">
        <f>IF($A179&gt;'1-Input'!$B$26,AJ178,AJ178-AE179*(1-AD179))</f>
        <v>301043.96547972079</v>
      </c>
      <c r="AK179" s="11">
        <f>IF($A179&gt;'1-Input'!$B$26,0,IF(AP178&lt;=0,0,MAX(0,(AP178-AQ178)/AP178)))</f>
        <v>0.21635653419729486</v>
      </c>
      <c r="AL179" s="18">
        <f>IF($A179&gt;'1-Input'!$B$26,0,(MAX(0,AK176-IF($A179&gt;='1-Input'!$C$12,'1-Input'!$B$12,0))-MIN(MAX(AO178,0),MAX(0,AK176-IF($A179&gt;='1-Input'!$C$12,'1-Input'!$B$12,0))))*(1/(1-'P-Parametri'!$B$6*AK179))+MIN(MAX(0,AP178-(MAX(0,AK176-IF($A179&gt;='1-Input'!$C$12,'1-Input'!$B$12,0))-MIN(MAX(AO178,0),MAX(0,AK176-IF($A179&gt;='1-Input'!$C$12,'1-Input'!$B$12,0))))*(1/(1-'P-Parametri'!$B$6*AK179))),MAX(0,2*AK176-(AO178-MIN(MAX(AO178,0),MAX(0,AK176-IF($A179&gt;='1-Input'!$C$12,'1-Input'!$B$12,0)))))*(1/(1-'P-Parametri'!$B$6*AK179))))</f>
        <v>18983.824837219348</v>
      </c>
      <c r="AM179" s="18">
        <f>IF($A179&gt;'1-Input'!$B$26,AO178,(AO178-MAX(0,AK176-IF($A179&gt;='1-Input'!$C$12,'1-Input'!$B$12,0))+AL179*(1-'P-Parametri'!$B$6*AK179))*(1+ROUND('3-Liquidita'!$F$11,4)))</f>
        <v>35670.623508598648</v>
      </c>
      <c r="AN179" s="18">
        <f>IF($A179&gt;'1-Input'!$B$26,AP178,(AP178-AL179)*(1+'5-Roberta'!$C$4))</f>
        <v>395684.23155501205</v>
      </c>
      <c r="AO179" s="18">
        <f>IF($A179&gt;'1-Input'!$B$26,AM179,AM179-'P-Parametri'!$B$8*(AN179+AM179)+MIN(MAX(AN179,0),'P-Parametri'!$B$8*(AN179+AM179)))</f>
        <v>35670.623508598648</v>
      </c>
      <c r="AP179" s="18">
        <f>IF($A179&gt;'1-Input'!$B$26,AN179,AN179-MIN(MAX(AN179,0),'P-Parametri'!$B$8*(AN179+AM179)))</f>
        <v>394821.52184488485</v>
      </c>
      <c r="AQ179" s="18">
        <f>IF($A179&gt;'1-Input'!$B$26,AQ178,AQ178-AL179*(1-AK179))</f>
        <v>301044.0413390774</v>
      </c>
    </row>
    <row r="180" spans="1:43">
      <c r="A180" s="10">
        <f>2</f>
        <v>2</v>
      </c>
      <c r="B180" s="11">
        <f>IF($A180&gt;'1-Input'!$B$26,0,IF(G179&lt;=0,0,MAX(0,(G179-H179)/G179)))</f>
        <v>0.23752940977509782</v>
      </c>
      <c r="C180" s="18">
        <f>IF($A180&gt;'1-Input'!$B$26,0,(MAX(0,B176-IF($A180&gt;='1-Input'!$C$12,'1-Input'!$B$12,0))-MIN(MAX(F179,0),MAX(0,B176-IF($A180&gt;='1-Input'!$C$12,'1-Input'!$B$12,0))))*(1/(1-'P-Parametri'!$B$6*B180))+MIN(MAX(0,G179-(MAX(0,B176-IF($A180&gt;='1-Input'!$C$12,'1-Input'!$B$12,0))-MIN(MAX(F179,0),MAX(0,B176-IF($A180&gt;='1-Input'!$C$12,'1-Input'!$B$12,0))))*(1/(1-'P-Parametri'!$B$6*B180))),MAX(0,2*B176-(F179-MIN(MAX(F179,0),MAX(0,B176-IF($A180&gt;='1-Input'!$C$12,'1-Input'!$B$12,0)))))*(1/(1-'P-Parametri'!$B$6*B180))))</f>
        <v>17939.05886940155</v>
      </c>
      <c r="D180" s="18">
        <f>IF($A180&gt;'1-Input'!$B$26,F179,(F179-MAX(0,B176-IF($A180&gt;='1-Input'!$C$12,'1-Input'!$B$12,0))+C180*(1-'P-Parametri'!$B$6*B180))*(1+ROUND('3-Liquidita'!$F$11,4)))</f>
        <v>33211.981131419976</v>
      </c>
      <c r="E180" s="18">
        <f>IF($A180&gt;'1-Input'!$B$26,G179,(G179-C180)*(1+'5-Roberta'!$C$4))</f>
        <v>392194.31999541988</v>
      </c>
      <c r="F180" s="18">
        <f>IF($A180&gt;'1-Input'!$B$26,D180,D180-'P-Parametri'!$B$8*(E180+D180)+MIN(MAX(E180,0),'P-Parametri'!$B$8*(E180+D180)))</f>
        <v>33211.981131419976</v>
      </c>
      <c r="G180" s="18">
        <f>IF($A180&gt;'1-Input'!$B$26,E180,E180-MIN(MAX(E180,0),'P-Parametri'!$B$8*(E180+D180)))</f>
        <v>391343.50739316619</v>
      </c>
      <c r="H180" s="18">
        <f>IF($A180&gt;'1-Input'!$B$26,H179,H179-C180*(1-B180))</f>
        <v>290326.82975705044</v>
      </c>
      <c r="I180" s="11">
        <f>IF($A180&gt;'1-Input'!$B$26,0,IF(N179&lt;=0,0,MAX(0,(N179-O179)/N179)))</f>
        <v>0.23748204869620373</v>
      </c>
      <c r="J180" s="18">
        <f>IF($A180&gt;'1-Input'!$B$26,0,(MAX(0,I176-IF($A180&gt;='1-Input'!$C$12,'1-Input'!$B$12,0))-MIN(MAX(M179,0),MAX(0,I176-IF($A180&gt;='1-Input'!$C$12,'1-Input'!$B$12,0))))*(1/(1-'P-Parametri'!$B$6*I180))+MIN(MAX(0,N179-(MAX(0,I176-IF($A180&gt;='1-Input'!$C$12,'1-Input'!$B$12,0))-MIN(MAX(M179,0),MAX(0,I176-IF($A180&gt;='1-Input'!$C$12,'1-Input'!$B$12,0))))*(1/(1-'P-Parametri'!$B$6*I180))),MAX(0,2*I176-(M179-MIN(MAX(M179,0),MAX(0,I176-IF($A180&gt;='1-Input'!$C$12,'1-Input'!$B$12,0)))))*(1/(1-'P-Parametri'!$B$6*I180))))</f>
        <v>23603.715043246029</v>
      </c>
      <c r="K180" s="18">
        <f>IF($A180&gt;'1-Input'!$B$26,M179,(M179-MAX(0,I176-IF($A180&gt;='1-Input'!$C$12,'1-Input'!$B$12,0))+J180*(1-'P-Parametri'!$B$6*I180))*(1+ROUND('3-Liquidita'!$F$11,4)))</f>
        <v>43699.975172921026</v>
      </c>
      <c r="L180" s="18">
        <f>IF($A180&gt;'1-Input'!$B$26,N179,(N179-J180)*(1+'5-Roberta'!$C$4))</f>
        <v>369273.69535952661</v>
      </c>
      <c r="M180" s="18">
        <f>IF($A180&gt;'1-Input'!$B$26,K180,K180-'P-Parametri'!$B$8*(L180+K180)+MIN(MAX(L180,0),'P-Parametri'!$B$8*(L180+K180)))</f>
        <v>43699.975172921026</v>
      </c>
      <c r="N180" s="18">
        <f>IF($A180&gt;'1-Input'!$B$26,L180,L180-MIN(MAX(L180,0),'P-Parametri'!$B$8*(L180+K180)))</f>
        <v>368447.74801846169</v>
      </c>
      <c r="O180" s="18">
        <f>IF($A180&gt;'1-Input'!$B$26,O179,O179-J180*(1-I180))</f>
        <v>273376.52587954211</v>
      </c>
      <c r="P180" s="11">
        <f>IF($A180&gt;'1-Input'!$B$26,0,IF(U179&lt;=0,0,MAX(0,(U179-V179)/U179)))</f>
        <v>0.2375168027081149</v>
      </c>
      <c r="Q180" s="18">
        <f>IF($A180&gt;'1-Input'!$B$26,0,(MAX(0,P176-IF($A180&gt;='1-Input'!$C$12,'1-Input'!$B$12,0))-MIN(MAX(T179,0),MAX(0,P176-IF($A180&gt;='1-Input'!$C$12,'1-Input'!$B$12,0))))*(1/(1-'P-Parametri'!$B$6*P180))+MIN(MAX(0,U179-(MAX(0,P176-IF($A180&gt;='1-Input'!$C$12,'1-Input'!$B$12,0))-MIN(MAX(T179,0),MAX(0,P176-IF($A180&gt;='1-Input'!$C$12,'1-Input'!$B$12,0))))*(1/(1-'P-Parametri'!$B$6*P180))),MAX(0,2*P176-(T179-MIN(MAX(T179,0),MAX(0,P176-IF($A180&gt;='1-Input'!$C$12,'1-Input'!$B$12,0)))))*(1/(1-'P-Parametri'!$B$6*P180))))</f>
        <v>19494.438774485585</v>
      </c>
      <c r="R180" s="18">
        <f>IF($A180&gt;'1-Input'!$B$26,T179,(T179-MAX(0,P176-IF($A180&gt;='1-Input'!$C$12,'1-Input'!$B$12,0))+Q180*(1-'P-Parametri'!$B$6*P180))*(1+ROUND('3-Liquidita'!$F$11,4)))</f>
        <v>36091.703549375699</v>
      </c>
      <c r="S180" s="18">
        <f>IF($A180&gt;'1-Input'!$B$26,U179,(U179-Q180)*(1+'5-Roberta'!$C$4))</f>
        <v>385900.91255512222</v>
      </c>
      <c r="T180" s="18">
        <f>IF($A180&gt;'1-Input'!$B$26,R180,R180-'P-Parametri'!$B$8*(S180+R180)+MIN(MAX(S180,0),'P-Parametri'!$B$8*(S180+R180)))</f>
        <v>36091.703549375699</v>
      </c>
      <c r="U180" s="18">
        <f>IF($A180&gt;'1-Input'!$B$26,S180,S180-MIN(MAX(S180,0),'P-Parametri'!$B$8*(S180+R180)))</f>
        <v>385056.92732291325</v>
      </c>
      <c r="V180" s="18">
        <f>IF($A180&gt;'1-Input'!$B$26,V179,V179-Q180*(1-P180))</f>
        <v>285672.77829406381</v>
      </c>
      <c r="W180" s="11">
        <f>IF($A180&gt;'1-Input'!$B$26,0,IF(AB179&lt;=0,0,MAX(0,(AB179-AC179)/AB179)))</f>
        <v>0.2375185413908856</v>
      </c>
      <c r="X180" s="18">
        <f>IF($A180&gt;'1-Input'!$B$26,0,(MAX(0,W176-IF($A180&gt;='1-Input'!$C$12,'1-Input'!$B$12,0))-MIN(MAX(AA179,0),MAX(0,W176-IF($A180&gt;='1-Input'!$C$12,'1-Input'!$B$12,0))))*(1/(1-'P-Parametri'!$B$6*W180))+MIN(MAX(0,AB179-(MAX(0,W176-IF($A180&gt;='1-Input'!$C$12,'1-Input'!$B$12,0))-MIN(MAX(AA179,0),MAX(0,W176-IF($A180&gt;='1-Input'!$C$12,'1-Input'!$B$12,0))))*(1/(1-'P-Parametri'!$B$6*W180))),MAX(0,2*W176-(AA179-MIN(MAX(AA179,0),MAX(0,W176-IF($A180&gt;='1-Input'!$C$12,'1-Input'!$B$12,0)))))*(1/(1-'P-Parametri'!$B$6*W180))))</f>
        <v>19282.047703946577</v>
      </c>
      <c r="Y180" s="18">
        <f>IF($A180&gt;'1-Input'!$B$26,AA179,(AA179-MAX(0,W176-IF($A180&gt;='1-Input'!$C$12,'1-Input'!$B$12,0))+X180*(1-'P-Parametri'!$B$6*W180))*(1+ROUND('3-Liquidita'!$F$11,4)))</f>
        <v>35698.468794259323</v>
      </c>
      <c r="Z180" s="18">
        <f>IF($A180&gt;'1-Input'!$B$26,AB179,(AB179-X180)*(1+'5-Roberta'!$C$4))</f>
        <v>386760.29551024723</v>
      </c>
      <c r="AA180" s="18">
        <f>IF($A180&gt;'1-Input'!$B$26,Y180,Y180-'P-Parametri'!$B$8*(Z180+Y180)+MIN(MAX(Z180,0),'P-Parametri'!$B$8*(Z180+Y180)))</f>
        <v>35698.468794259323</v>
      </c>
      <c r="AB180" s="18">
        <f>IF($A180&gt;'1-Input'!$B$26,Z180,Z180-MIN(MAX(Z180,0),'P-Parametri'!$B$8*(Z180+Y180)))</f>
        <v>385915.37798163824</v>
      </c>
      <c r="AC180" s="18">
        <f>IF($A180&gt;'1-Input'!$B$26,AC179,AC179-X180*(1-W180))</f>
        <v>286308.30509975285</v>
      </c>
      <c r="AD180" s="11">
        <f>IF($A180&gt;'1-Input'!$B$26,0,IF(AI179&lt;=0,0,MAX(0,(AI179-AJ179)/AI179)))</f>
        <v>0.23751866402277849</v>
      </c>
      <c r="AE180" s="18">
        <f>IF($A180&gt;'1-Input'!$B$26,0,(MAX(0,AD176-IF($A180&gt;='1-Input'!$C$12,'1-Input'!$B$12,0))-MIN(MAX(AH179,0),MAX(0,AD176-IF($A180&gt;='1-Input'!$C$12,'1-Input'!$B$12,0))))*(1/(1-'P-Parametri'!$B$6*AD180))+MIN(MAX(0,AI179-(MAX(0,AD176-IF($A180&gt;='1-Input'!$C$12,'1-Input'!$B$12,0))-MIN(MAX(AH179,0),MAX(0,AD176-IF($A180&gt;='1-Input'!$C$12,'1-Input'!$B$12,0))))*(1/(1-'P-Parametri'!$B$6*AD180))),MAX(0,2*AD176-(AH179-MIN(MAX(AH179,0),MAX(0,AD176-IF($A180&gt;='1-Input'!$C$12,'1-Input'!$B$12,0)))))*(1/(1-'P-Parametri'!$B$6*AD180))))</f>
        <v>19267.042127367855</v>
      </c>
      <c r="AF180" s="18">
        <f>IF($A180&gt;'1-Input'!$B$26,AH179,(AH179-MAX(0,AD176-IF($A180&gt;='1-Input'!$C$12,'1-Input'!$B$12,0))+AE180*(1-'P-Parametri'!$B$6*AD180))*(1+ROUND('3-Liquidita'!$F$11,4)))</f>
        <v>35670.686502200319</v>
      </c>
      <c r="AG180" s="18">
        <f>IF($A180&gt;'1-Input'!$B$26,AI179,(AI179-AE180)*(1+'5-Roberta'!$C$4))</f>
        <v>386821.01148593967</v>
      </c>
      <c r="AH180" s="18">
        <f>IF($A180&gt;'1-Input'!$B$26,AF180,AF180-'P-Parametri'!$B$8*(AG180+AF180)+MIN(MAX(AG180,0),'P-Parametri'!$B$8*(AG180+AF180)))</f>
        <v>35670.686502200319</v>
      </c>
      <c r="AI180" s="18">
        <f>IF($A180&gt;'1-Input'!$B$26,AG180,AG180-MIN(MAX(AG180,0),'P-Parametri'!$B$8*(AG180+AF180)))</f>
        <v>385976.02808996337</v>
      </c>
      <c r="AJ180" s="18">
        <f>IF($A180&gt;'1-Input'!$B$26,AJ179,AJ179-AE180*(1-AD180))</f>
        <v>286353.20545811596</v>
      </c>
      <c r="AK180" s="11">
        <f>IF($A180&gt;'1-Input'!$B$26,0,IF(AP179&lt;=0,0,MAX(0,(AP179-AQ179)/AP179)))</f>
        <v>0.23751866430080321</v>
      </c>
      <c r="AL180" s="18">
        <f>IF($A180&gt;'1-Input'!$B$26,0,(MAX(0,AK176-IF($A180&gt;='1-Input'!$C$12,'1-Input'!$B$12,0))-MIN(MAX(AO179,0),MAX(0,AK176-IF($A180&gt;='1-Input'!$C$12,'1-Input'!$B$12,0))))*(1/(1-'P-Parametri'!$B$6*AK180))+MIN(MAX(0,AP179-(MAX(0,AK176-IF($A180&gt;='1-Input'!$C$12,'1-Input'!$B$12,0))-MIN(MAX(AO179,0),MAX(0,AK176-IF($A180&gt;='1-Input'!$C$12,'1-Input'!$B$12,0))))*(1/(1-'P-Parametri'!$B$6*AK180))),MAX(0,2*AK176-(AO179-MIN(MAX(AO179,0),MAX(0,AK176-IF($A180&gt;='1-Input'!$C$12,'1-Input'!$B$12,0)))))*(1/(1-'P-Parametri'!$B$6*AK180))))</f>
        <v>19267.008103704553</v>
      </c>
      <c r="AM180" s="18">
        <f>IF($A180&gt;'1-Input'!$B$26,AO179,(AO179-MAX(0,AK176-IF($A180&gt;='1-Input'!$C$12,'1-Input'!$B$12,0))+AL180*(1-'P-Parametri'!$B$6*AK180))*(1+ROUND('3-Liquidita'!$F$11,4)))</f>
        <v>35670.623508598648</v>
      </c>
      <c r="AN180" s="18">
        <f>IF($A180&gt;'1-Input'!$B$26,AP179,(AP179-AL180)*(1+'5-Roberta'!$C$4))</f>
        <v>386821.1491534157</v>
      </c>
      <c r="AO180" s="18">
        <f>IF($A180&gt;'1-Input'!$B$26,AM180,AM180-'P-Parametri'!$B$8*(AN180+AM180)+MIN(MAX(AN180,0),'P-Parametri'!$B$8*(AN180+AM180)))</f>
        <v>35670.623508598648</v>
      </c>
      <c r="AP180" s="18">
        <f>IF($A180&gt;'1-Input'!$B$26,AN180,AN180-MIN(MAX(AN180,0),'P-Parametri'!$B$8*(AN180+AM180)))</f>
        <v>385976.16560809169</v>
      </c>
      <c r="AQ180" s="18">
        <f>IF($A180&gt;'1-Input'!$B$26,AQ179,AQ179-AL180*(1-AK180))</f>
        <v>286353.3072652375</v>
      </c>
    </row>
    <row r="181" spans="1:43">
      <c r="A181" s="10">
        <f>3</f>
        <v>3</v>
      </c>
      <c r="B181" s="11">
        <f>IF($A181&gt;'1-Input'!$B$26,0,IF(G180&lt;=0,0,MAX(0,(G180-H180)/G180)))</f>
        <v>0.25812789972935107</v>
      </c>
      <c r="C181" s="18">
        <f>IF($A181&gt;'1-Input'!$B$26,0,(MAX(0,B176-IF($A181&gt;='1-Input'!$C$12,'1-Input'!$B$12,0))-MIN(MAX(F180,0),MAX(0,B176-IF($A181&gt;='1-Input'!$C$12,'1-Input'!$B$12,0))))*(1/(1-'P-Parametri'!$B$6*B181))+MIN(MAX(0,G180-(MAX(0,B176-IF($A181&gt;='1-Input'!$C$12,'1-Input'!$B$12,0))-MIN(MAX(F180,0),MAX(0,B176-IF($A181&gt;='1-Input'!$C$12,'1-Input'!$B$12,0))))*(1/(1-'P-Parametri'!$B$6*B181))),MAX(0,2*B176-(F180-MIN(MAX(F180,0),MAX(0,B176-IF($A181&gt;='1-Input'!$C$12,'1-Input'!$B$12,0)))))*(1/(1-'P-Parametri'!$B$6*B181))))</f>
        <v>18042.045171459471</v>
      </c>
      <c r="D181" s="18">
        <f>IF($A181&gt;'1-Input'!$B$26,F180,(F180-MAX(0,B176-IF($A181&gt;='1-Input'!$C$12,'1-Input'!$B$12,0))+C181*(1-'P-Parametri'!$B$6*B181))*(1+ROUND('3-Liquidita'!$F$11,4)))</f>
        <v>33211.981131419976</v>
      </c>
      <c r="E181" s="18">
        <f>IF($A181&gt;'1-Input'!$B$26,G180,(G180-C181)*(1+'5-Roberta'!$C$4))</f>
        <v>384500.50608835788</v>
      </c>
      <c r="F181" s="18">
        <f>IF($A181&gt;'1-Input'!$B$26,D181,D181-'P-Parametri'!$B$8*(E181+D181)+MIN(MAX(E181,0),'P-Parametri'!$B$8*(E181+D181)))</f>
        <v>33211.981131419976</v>
      </c>
      <c r="G181" s="18">
        <f>IF($A181&gt;'1-Input'!$B$26,E181,E181-MIN(MAX(E181,0),'P-Parametri'!$B$8*(E181+D181)))</f>
        <v>383665.08111391834</v>
      </c>
      <c r="H181" s="18">
        <f>IF($A181&gt;'1-Input'!$B$26,H180,H180-C181*(1-B181))</f>
        <v>276941.93981252186</v>
      </c>
      <c r="I181" s="11">
        <f>IF($A181&gt;'1-Input'!$B$26,0,IF(N180&lt;=0,0,MAX(0,(N180-O180)/N180)))</f>
        <v>0.25803176339174116</v>
      </c>
      <c r="J181" s="18">
        <f>IF($A181&gt;'1-Input'!$B$26,0,(MAX(0,I176-IF($A181&gt;='1-Input'!$C$12,'1-Input'!$B$12,0))-MIN(MAX(M180,0),MAX(0,I176-IF($A181&gt;='1-Input'!$C$12,'1-Input'!$B$12,0))))*(1/(1-'P-Parametri'!$B$6*I181))+MIN(MAX(0,N180-(MAX(0,I176-IF($A181&gt;='1-Input'!$C$12,'1-Input'!$B$12,0))-MIN(MAX(M180,0),MAX(0,I176-IF($A181&gt;='1-Input'!$C$12,'1-Input'!$B$12,0))))*(1/(1-'P-Parametri'!$B$6*I181))),MAX(0,2*I176-(M180-MIN(MAX(M180,0),MAX(0,I176-IF($A181&gt;='1-Input'!$C$12,'1-Input'!$B$12,0)))))*(1/(1-'P-Parametri'!$B$6*I181))))</f>
        <v>23738.897068468563</v>
      </c>
      <c r="K181" s="18">
        <f>IF($A181&gt;'1-Input'!$B$26,M180,(M180-MAX(0,I176-IF($A181&gt;='1-Input'!$C$12,'1-Input'!$B$12,0))+J181*(1-'P-Parametri'!$B$6*I181))*(1+ROUND('3-Liquidita'!$F$11,4)))</f>
        <v>43699.975172921026</v>
      </c>
      <c r="L181" s="18">
        <f>IF($A181&gt;'1-Input'!$B$26,N180,(N180-J181)*(1+'5-Roberta'!$C$4))</f>
        <v>355050.11647849291</v>
      </c>
      <c r="M181" s="18">
        <f>IF($A181&gt;'1-Input'!$B$26,K181,K181-'P-Parametri'!$B$8*(L181+K181)+MIN(MAX(L181,0),'P-Parametri'!$B$8*(L181+K181)))</f>
        <v>43699.975172921026</v>
      </c>
      <c r="N181" s="18">
        <f>IF($A181&gt;'1-Input'!$B$26,L181,L181-MIN(MAX(L181,0),'P-Parametri'!$B$8*(L181+K181)))</f>
        <v>354252.61629519006</v>
      </c>
      <c r="O181" s="18">
        <f>IF($A181&gt;'1-Input'!$B$26,O180,O180-J181*(1-I181))</f>
        <v>255763.01828262553</v>
      </c>
      <c r="P181" s="11">
        <f>IF($A181&gt;'1-Input'!$B$26,0,IF(U180&lt;=0,0,MAX(0,(U180-V180)/U180)))</f>
        <v>0.25810248297521143</v>
      </c>
      <c r="Q181" s="18">
        <f>IF($A181&gt;'1-Input'!$B$26,0,(MAX(0,P176-IF($A181&gt;='1-Input'!$C$12,'1-Input'!$B$12,0))-MIN(MAX(T180,0),MAX(0,P176-IF($A181&gt;='1-Input'!$C$12,'1-Input'!$B$12,0))))*(1/(1-'P-Parametri'!$B$6*P181))+MIN(MAX(0,U180-(MAX(0,P176-IF($A181&gt;='1-Input'!$C$12,'1-Input'!$B$12,0))-MIN(MAX(T180,0),MAX(0,P176-IF($A181&gt;='1-Input'!$C$12,'1-Input'!$B$12,0))))*(1/(1-'P-Parametri'!$B$6*P181))),MAX(0,2*P176-(T180-MIN(MAX(T180,0),MAX(0,P176-IF($A181&gt;='1-Input'!$C$12,'1-Input'!$B$12,0)))))*(1/(1-'P-Parametri'!$B$6*P181))))</f>
        <v>19606.28396369228</v>
      </c>
      <c r="R181" s="18">
        <f>IF($A181&gt;'1-Input'!$B$26,T180,(T180-MAX(0,P176-IF($A181&gt;='1-Input'!$C$12,'1-Input'!$B$12,0))+Q181*(1-'P-Parametri'!$B$6*P181))*(1+ROUND('3-Liquidita'!$F$11,4)))</f>
        <v>36091.703549375699</v>
      </c>
      <c r="S181" s="18">
        <f>IF($A181&gt;'1-Input'!$B$26,U180,(U180-Q181)*(1+'5-Roberta'!$C$4))</f>
        <v>376414.16265999764</v>
      </c>
      <c r="T181" s="18">
        <f>IF($A181&gt;'1-Input'!$B$26,R181,R181-'P-Parametri'!$B$8*(S181+R181)+MIN(MAX(S181,0),'P-Parametri'!$B$8*(S181+R181)))</f>
        <v>36091.703549375699</v>
      </c>
      <c r="U181" s="18">
        <f>IF($A181&gt;'1-Input'!$B$26,S181,S181-MIN(MAX(S181,0),'P-Parametri'!$B$8*(S181+R181)))</f>
        <v>375589.15092757891</v>
      </c>
      <c r="V181" s="18">
        <f>IF($A181&gt;'1-Input'!$B$26,V180,V180-Q181*(1-P181))</f>
        <v>271126.92490331759</v>
      </c>
      <c r="W181" s="11">
        <f>IF($A181&gt;'1-Input'!$B$26,0,IF(AB180&lt;=0,0,MAX(0,(AB180-AC180)/AB180)))</f>
        <v>0.25810599567925141</v>
      </c>
      <c r="X181" s="18">
        <f>IF($A181&gt;'1-Input'!$B$26,0,(MAX(0,W176-IF($A181&gt;='1-Input'!$C$12,'1-Input'!$B$12,0))-MIN(MAX(AA180,0),MAX(0,W176-IF($A181&gt;='1-Input'!$C$12,'1-Input'!$B$12,0))))*(1/(1-'P-Parametri'!$B$6*W181))+MIN(MAX(0,AB180-(MAX(0,W176-IF($A181&gt;='1-Input'!$C$12,'1-Input'!$B$12,0))-MIN(MAX(AA180,0),MAX(0,W176-IF($A181&gt;='1-Input'!$C$12,'1-Input'!$B$12,0))))*(1/(1-'P-Parametri'!$B$6*W181))),MAX(0,2*W176-(AA180-MIN(MAX(AA180,0),MAX(0,W176-IF($A181&gt;='1-Input'!$C$12,'1-Input'!$B$12,0)))))*(1/(1-'P-Parametri'!$B$6*W181))))</f>
        <v>19392.683986469561</v>
      </c>
      <c r="Y181" s="18">
        <f>IF($A181&gt;'1-Input'!$B$26,AA180,(AA180-MAX(0,W176-IF($A181&gt;='1-Input'!$C$12,'1-Input'!$B$12,0))+X181*(1-'P-Parametri'!$B$6*W181))*(1+ROUND('3-Liquidita'!$F$11,4)))</f>
        <v>35698.468794259323</v>
      </c>
      <c r="Z181" s="18">
        <f>IF($A181&gt;'1-Input'!$B$26,AB180,(AB180-X181)*(1+'5-Roberta'!$C$4))</f>
        <v>377518.37481502374</v>
      </c>
      <c r="AA181" s="18">
        <f>IF($A181&gt;'1-Input'!$B$26,Y181,Y181-'P-Parametri'!$B$8*(Z181+Y181)+MIN(MAX(Z181,0),'P-Parametri'!$B$8*(Z181+Y181)))</f>
        <v>35698.468794259323</v>
      </c>
      <c r="AB181" s="18">
        <f>IF($A181&gt;'1-Input'!$B$26,Z181,Z181-MIN(MAX(Z181,0),'P-Parametri'!$B$8*(Z181+Y181)))</f>
        <v>376691.94112780516</v>
      </c>
      <c r="AC181" s="18">
        <f>IF($A181&gt;'1-Input'!$B$26,AC180,AC180-X181*(1-W181))</f>
        <v>271920.98912250408</v>
      </c>
      <c r="AD181" s="11">
        <f>IF($A181&gt;'1-Input'!$B$26,0,IF(AI180&lt;=0,0,MAX(0,(AI180-AJ180)/AI180)))</f>
        <v>0.25810624334583621</v>
      </c>
      <c r="AE181" s="18">
        <f>IF($A181&gt;'1-Input'!$B$26,0,(MAX(0,AD176-IF($A181&gt;='1-Input'!$C$12,'1-Input'!$B$12,0))-MIN(MAX(AH180,0),MAX(0,AD176-IF($A181&gt;='1-Input'!$C$12,'1-Input'!$B$12,0))))*(1/(1-'P-Parametri'!$B$6*AD181))+MIN(MAX(0,AI180-(MAX(0,AD176-IF($A181&gt;='1-Input'!$C$12,'1-Input'!$B$12,0))-MIN(MAX(AH180,0),MAX(0,AD176-IF($A181&gt;='1-Input'!$C$12,'1-Input'!$B$12,0))))*(1/(1-'P-Parametri'!$B$6*AD181))),MAX(0,2*AD176-(AH180-MIN(MAX(AH180,0),MAX(0,AD176-IF($A181&gt;='1-Input'!$C$12,'1-Input'!$B$12,0)))))*(1/(1-'P-Parametri'!$B$6*AD181))))</f>
        <v>19377.592990128833</v>
      </c>
      <c r="AF181" s="18">
        <f>IF($A181&gt;'1-Input'!$B$26,AH180,(AH180-MAX(0,AD176-IF($A181&gt;='1-Input'!$C$12,'1-Input'!$B$12,0))+AE181*(1-'P-Parametri'!$B$6*AD181))*(1+ROUND('3-Liquidita'!$F$11,4)))</f>
        <v>35670.686502200319</v>
      </c>
      <c r="AG181" s="18">
        <f>IF($A181&gt;'1-Input'!$B$26,AI180,(AI180-AE181)*(1+'5-Roberta'!$C$4))</f>
        <v>377596.38815282955</v>
      </c>
      <c r="AH181" s="18">
        <f>IF($A181&gt;'1-Input'!$B$26,AF181,AF181-'P-Parametri'!$B$8*(AG181+AF181)+MIN(MAX(AG181,0),'P-Parametri'!$B$8*(AG181+AF181)))</f>
        <v>35670.686502200319</v>
      </c>
      <c r="AI181" s="18">
        <f>IF($A181&gt;'1-Input'!$B$26,AG181,AG181-MIN(MAX(AG181,0),'P-Parametri'!$B$8*(AG181+AF181)))</f>
        <v>376769.85400351946</v>
      </c>
      <c r="AJ181" s="18">
        <f>IF($A181&gt;'1-Input'!$B$26,AJ180,AJ180-AE181*(1-AD181))</f>
        <v>271977.09019975387</v>
      </c>
      <c r="AK181" s="11">
        <f>IF($A181&gt;'1-Input'!$B$26,0,IF(AP180&lt;=0,0,MAX(0,(AP180-AQ180)/AP180)))</f>
        <v>0.25810624390731984</v>
      </c>
      <c r="AL181" s="18">
        <f>IF($A181&gt;'1-Input'!$B$26,0,(MAX(0,AK176-IF($A181&gt;='1-Input'!$C$12,'1-Input'!$B$12,0))-MIN(MAX(AO180,0),MAX(0,AK176-IF($A181&gt;='1-Input'!$C$12,'1-Input'!$B$12,0))))*(1/(1-'P-Parametri'!$B$6*AK181))+MIN(MAX(0,AP180-(MAX(0,AK176-IF($A181&gt;='1-Input'!$C$12,'1-Input'!$B$12,0))-MIN(MAX(AO180,0),MAX(0,AK176-IF($A181&gt;='1-Input'!$C$12,'1-Input'!$B$12,0))))*(1/(1-'P-Parametri'!$B$6*AK181))),MAX(0,2*AK176-(AO180-MIN(MAX(AO180,0),MAX(0,AK176-IF($A181&gt;='1-Input'!$C$12,'1-Input'!$B$12,0)))))*(1/(1-'P-Parametri'!$B$6*AK181))))</f>
        <v>19377.55877278321</v>
      </c>
      <c r="AM181" s="18">
        <f>IF($A181&gt;'1-Input'!$B$26,AO180,(AO180-MAX(0,AK176-IF($A181&gt;='1-Input'!$C$12,'1-Input'!$B$12,0))+AL181*(1-'P-Parametri'!$B$6*AK181))*(1+ROUND('3-Liquidita'!$F$11,4)))</f>
        <v>35670.623508598648</v>
      </c>
      <c r="AN181" s="18">
        <f>IF($A181&gt;'1-Input'!$B$26,AP180,(AP180-AL181)*(1+'5-Roberta'!$C$4))</f>
        <v>377596.56504036777</v>
      </c>
      <c r="AO181" s="18">
        <f>IF($A181&gt;'1-Input'!$B$26,AM181,AM181-'P-Parametri'!$B$8*(AN181+AM181)+MIN(MAX(AN181,0),'P-Parametri'!$B$8*(AN181+AM181)))</f>
        <v>35670.623508598648</v>
      </c>
      <c r="AP181" s="18">
        <f>IF($A181&gt;'1-Input'!$B$26,AN181,AN181-MIN(MAX(AN181,0),'P-Parametri'!$B$8*(AN181+AM181)))</f>
        <v>376770.03066326986</v>
      </c>
      <c r="AQ181" s="18">
        <f>IF($A181&gt;'1-Input'!$B$26,AQ180,AQ180-AL181*(1-AK181))</f>
        <v>271977.21740339068</v>
      </c>
    </row>
    <row r="182" spans="1:43">
      <c r="A182" s="10">
        <f>4</f>
        <v>4</v>
      </c>
      <c r="B182" s="11">
        <f>IF($A182&gt;'1-Input'!$B$26,0,IF(G181&lt;=0,0,MAX(0,(G181-H181)/G181)))</f>
        <v>0.27816746051410424</v>
      </c>
      <c r="C182" s="18">
        <f>IF($A182&gt;'1-Input'!$B$26,0,(MAX(0,B176-IF($A182&gt;='1-Input'!$C$12,'1-Input'!$B$12,0))-MIN(MAX(F181,0),MAX(0,B176-IF($A182&gt;='1-Input'!$C$12,'1-Input'!$B$12,0))))*(1/(1-'P-Parametri'!$B$6*B182))+MIN(MAX(0,G181-(MAX(0,B176-IF($A182&gt;='1-Input'!$C$12,'1-Input'!$B$12,0))-MIN(MAX(F181,0),MAX(0,B176-IF($A182&gt;='1-Input'!$C$12,'1-Input'!$B$12,0))))*(1/(1-'P-Parametri'!$B$6*B182))),MAX(0,2*B176-(F181-MIN(MAX(F181,0),MAX(0,B176-IF($A182&gt;='1-Input'!$C$12,'1-Input'!$B$12,0)))))*(1/(1-'P-Parametri'!$B$6*B182))))</f>
        <v>18143.378142445541</v>
      </c>
      <c r="D182" s="18">
        <f>IF($A182&gt;'1-Input'!$B$26,F181,(F181-MAX(0,B176-IF($A182&gt;='1-Input'!$C$12,'1-Input'!$B$12,0))+C182*(1-'P-Parametri'!$B$6*B182))*(1+ROUND('3-Liquidita'!$F$11,4)))</f>
        <v>33211.981131419976</v>
      </c>
      <c r="E182" s="18">
        <f>IF($A182&gt;'1-Input'!$B$26,G181,(G181-C182)*(1+'5-Roberta'!$C$4))</f>
        <v>376487.35406061698</v>
      </c>
      <c r="F182" s="18">
        <f>IF($A182&gt;'1-Input'!$B$26,D182,D182-'P-Parametri'!$B$8*(E182+D182)+MIN(MAX(E182,0),'P-Parametri'!$B$8*(E182+D182)))</f>
        <v>33211.981131419976</v>
      </c>
      <c r="G182" s="18">
        <f>IF($A182&gt;'1-Input'!$B$26,E182,E182-MIN(MAX(E182,0),'P-Parametri'!$B$8*(E182+D182)))</f>
        <v>375667.95539023291</v>
      </c>
      <c r="H182" s="18">
        <f>IF($A182&gt;'1-Input'!$B$26,H181,H181-C182*(1-B182))</f>
        <v>263845.45909310749</v>
      </c>
      <c r="I182" s="11">
        <f>IF($A182&gt;'1-Input'!$B$26,0,IF(N181&lt;=0,0,MAX(0,(N181-O181)/N181)))</f>
        <v>0.27802080628953085</v>
      </c>
      <c r="J182" s="18">
        <f>IF($A182&gt;'1-Input'!$B$26,0,(MAX(0,I176-IF($A182&gt;='1-Input'!$C$12,'1-Input'!$B$12,0))-MIN(MAX(M181,0),MAX(0,I176-IF($A182&gt;='1-Input'!$C$12,'1-Input'!$B$12,0))))*(1/(1-'P-Parametri'!$B$6*I182))+MIN(MAX(0,N181-(MAX(0,I176-IF($A182&gt;='1-Input'!$C$12,'1-Input'!$B$12,0))-MIN(MAX(M181,0),MAX(0,I176-IF($A182&gt;='1-Input'!$C$12,'1-Input'!$B$12,0))))*(1/(1-'P-Parametri'!$B$6*I182))),MAX(0,2*I176-(M181-MIN(MAX(M181,0),MAX(0,I176-IF($A182&gt;='1-Input'!$C$12,'1-Input'!$B$12,0)))))*(1/(1-'P-Parametri'!$B$6*I182))))</f>
        <v>23871.884775638217</v>
      </c>
      <c r="K182" s="18">
        <f>IF($A182&gt;'1-Input'!$B$26,M181,(M181-MAX(0,I176-IF($A182&gt;='1-Input'!$C$12,'1-Input'!$B$12,0))+J182*(1-'P-Parametri'!$B$6*I182))*(1+ROUND('3-Liquidita'!$F$11,4)))</f>
        <v>43699.975172921026</v>
      </c>
      <c r="L182" s="18">
        <f>IF($A182&gt;'1-Input'!$B$26,N181,(N181-J182)*(1+'5-Roberta'!$C$4))</f>
        <v>340292.1534651384</v>
      </c>
      <c r="M182" s="18">
        <f>IF($A182&gt;'1-Input'!$B$26,K182,K182-'P-Parametri'!$B$8*(L182+K182)+MIN(MAX(L182,0),'P-Parametri'!$B$8*(L182+K182)))</f>
        <v>43699.975172921026</v>
      </c>
      <c r="N182" s="18">
        <f>IF($A182&gt;'1-Input'!$B$26,L182,L182-MIN(MAX(L182,0),'P-Parametri'!$B$8*(L182+K182)))</f>
        <v>339524.16920786229</v>
      </c>
      <c r="O182" s="18">
        <f>IF($A182&gt;'1-Input'!$B$26,O181,O181-J182*(1-I182))</f>
        <v>238528.01415996102</v>
      </c>
      <c r="P182" s="11">
        <f>IF($A182&gt;'1-Input'!$B$26,0,IF(U181&lt;=0,0,MAX(0,(U181-V181)/U181)))</f>
        <v>0.27812897621317001</v>
      </c>
      <c r="Q182" s="18">
        <f>IF($A182&gt;'1-Input'!$B$26,0,(MAX(0,P176-IF($A182&gt;='1-Input'!$C$12,'1-Input'!$B$12,0))-MIN(MAX(T181,0),MAX(0,P176-IF($A182&gt;='1-Input'!$C$12,'1-Input'!$B$12,0))))*(1/(1-'P-Parametri'!$B$6*P182))+MIN(MAX(0,U181-(MAX(0,P176-IF($A182&gt;='1-Input'!$C$12,'1-Input'!$B$12,0))-MIN(MAX(T181,0),MAX(0,P176-IF($A182&gt;='1-Input'!$C$12,'1-Input'!$B$12,0))))*(1/(1-'P-Parametri'!$B$6*P182))),MAX(0,2*P176-(T181-MIN(MAX(T181,0),MAX(0,P176-IF($A182&gt;='1-Input'!$C$12,'1-Input'!$B$12,0)))))*(1/(1-'P-Parametri'!$B$6*P182))))</f>
        <v>19716.32947277162</v>
      </c>
      <c r="R182" s="18">
        <f>IF($A182&gt;'1-Input'!$B$26,T181,(T181-MAX(0,P176-IF($A182&gt;='1-Input'!$C$12,'1-Input'!$B$12,0))+Q182*(1-'P-Parametri'!$B$6*P182))*(1+ROUND('3-Liquidita'!$F$11,4)))</f>
        <v>36091.703549375699</v>
      </c>
      <c r="S182" s="18">
        <f>IF($A182&gt;'1-Input'!$B$26,U181,(U181-Q182)*(1+'5-Roberta'!$C$4))</f>
        <v>366549.00609845156</v>
      </c>
      <c r="T182" s="18">
        <f>IF($A182&gt;'1-Input'!$B$26,R182,R182-'P-Parametri'!$B$8*(S182+R182)+MIN(MAX(S182,0),'P-Parametri'!$B$8*(S182+R182)))</f>
        <v>36091.703549375699</v>
      </c>
      <c r="U182" s="18">
        <f>IF($A182&gt;'1-Input'!$B$26,S182,S182-MIN(MAX(S182,0),'P-Parametri'!$B$8*(S182+R182)))</f>
        <v>365743.72467915592</v>
      </c>
      <c r="V182" s="18">
        <f>IF($A182&gt;'1-Input'!$B$26,V181,V181-Q182*(1-P182))</f>
        <v>256894.27796148948</v>
      </c>
      <c r="W182" s="11">
        <f>IF($A182&gt;'1-Input'!$B$26,0,IF(AB181&lt;=0,0,MAX(0,(AB181-AC181)/AB181)))</f>
        <v>0.27813430701920455</v>
      </c>
      <c r="X182" s="18">
        <f>IF($A182&gt;'1-Input'!$B$26,0,(MAX(0,W176-IF($A182&gt;='1-Input'!$C$12,'1-Input'!$B$12,0))-MIN(MAX(AA181,0),MAX(0,W176-IF($A182&gt;='1-Input'!$C$12,'1-Input'!$B$12,0))))*(1/(1-'P-Parametri'!$B$6*W182))+MIN(MAX(0,AB181-(MAX(0,W176-IF($A182&gt;='1-Input'!$C$12,'1-Input'!$B$12,0))-MIN(MAX(AA181,0),MAX(0,W176-IF($A182&gt;='1-Input'!$C$12,'1-Input'!$B$12,0))))*(1/(1-'P-Parametri'!$B$6*W182))),MAX(0,2*W176-(AA181-MIN(MAX(AA181,0),MAX(0,W176-IF($A182&gt;='1-Input'!$C$12,'1-Input'!$B$12,0)))))*(1/(1-'P-Parametri'!$B$6*W182))))</f>
        <v>19501.540652846597</v>
      </c>
      <c r="Y182" s="18">
        <f>IF($A182&gt;'1-Input'!$B$26,AA181,(AA181-MAX(0,W176-IF($A182&gt;='1-Input'!$C$12,'1-Input'!$B$12,0))+X182*(1-'P-Parametri'!$B$6*W182))*(1+ROUND('3-Liquidita'!$F$11,4)))</f>
        <v>35698.468794259323</v>
      </c>
      <c r="Z182" s="18">
        <f>IF($A182&gt;'1-Input'!$B$26,AB181,(AB181-X182)*(1+'5-Roberta'!$C$4))</f>
        <v>367906.11248920736</v>
      </c>
      <c r="AA182" s="18">
        <f>IF($A182&gt;'1-Input'!$B$26,Y182,Y182-'P-Parametri'!$B$8*(Z182+Y182)+MIN(MAX(Z182,0),'P-Parametri'!$B$8*(Z182+Y182)))</f>
        <v>35698.468794259323</v>
      </c>
      <c r="AB182" s="18">
        <f>IF($A182&gt;'1-Input'!$B$26,Z182,Z182-MIN(MAX(Z182,0),'P-Parametri'!$B$8*(Z182+Y182)))</f>
        <v>367098.90332664043</v>
      </c>
      <c r="AC182" s="18">
        <f>IF($A182&gt;'1-Input'!$B$26,AC181,AC181-X182*(1-W182))</f>
        <v>257843.49596494381</v>
      </c>
      <c r="AD182" s="11">
        <f>IF($A182&gt;'1-Input'!$B$26,0,IF(AI181&lt;=0,0,MAX(0,(AI181-AJ181)/AI181)))</f>
        <v>0.27813468272540376</v>
      </c>
      <c r="AE182" s="18">
        <f>IF($A182&gt;'1-Input'!$B$26,0,(MAX(0,AD176-IF($A182&gt;='1-Input'!$C$12,'1-Input'!$B$12,0))-MIN(MAX(AH181,0),MAX(0,AD176-IF($A182&gt;='1-Input'!$C$12,'1-Input'!$B$12,0))))*(1/(1-'P-Parametri'!$B$6*AD182))+MIN(MAX(0,AI181-(MAX(0,AD176-IF($A182&gt;='1-Input'!$C$12,'1-Input'!$B$12,0))-MIN(MAX(AH181,0),MAX(0,AD176-IF($A182&gt;='1-Input'!$C$12,'1-Input'!$B$12,0))))*(1/(1-'P-Parametri'!$B$6*AD182))),MAX(0,2*AD176-(AH181-MIN(MAX(AH181,0),MAX(0,AD176-IF($A182&gt;='1-Input'!$C$12,'1-Input'!$B$12,0)))))*(1/(1-'P-Parametri'!$B$6*AD182))))</f>
        <v>19486.365653264365</v>
      </c>
      <c r="AF182" s="18">
        <f>IF($A182&gt;'1-Input'!$B$26,AH181,(AH181-MAX(0,AD176-IF($A182&gt;='1-Input'!$C$12,'1-Input'!$B$12,0))+AE182*(1-'P-Parametri'!$B$6*AD182))*(1+ROUND('3-Liquidita'!$F$11,4)))</f>
        <v>35670.686502200319</v>
      </c>
      <c r="AG182" s="18">
        <f>IF($A182&gt;'1-Input'!$B$26,AI181,(AI181-AE182)*(1+'5-Roberta'!$C$4))</f>
        <v>368001.99300076271</v>
      </c>
      <c r="AH182" s="18">
        <f>IF($A182&gt;'1-Input'!$B$26,AF182,AF182-'P-Parametri'!$B$8*(AG182+AF182)+MIN(MAX(AG182,0),'P-Parametri'!$B$8*(AG182+AF182)))</f>
        <v>35670.686502200319</v>
      </c>
      <c r="AI182" s="18">
        <f>IF($A182&gt;'1-Input'!$B$26,AG182,AG182-MIN(MAX(AG182,0),'P-Parametri'!$B$8*(AG182+AF182)))</f>
        <v>367194.6476417568</v>
      </c>
      <c r="AJ182" s="18">
        <f>IF($A182&gt;'1-Input'!$B$26,AJ181,AJ181-AE182*(1-AD182))</f>
        <v>257910.55867493141</v>
      </c>
      <c r="AK182" s="11">
        <f>IF($A182&gt;'1-Input'!$B$26,0,IF(AP181&lt;=0,0,MAX(0,(AP181-AQ181)/AP181)))</f>
        <v>0.27813468357714344</v>
      </c>
      <c r="AL182" s="18">
        <f>IF($A182&gt;'1-Input'!$B$26,0,(MAX(0,AK176-IF($A182&gt;='1-Input'!$C$12,'1-Input'!$B$12,0))-MIN(MAX(AO181,0),MAX(0,AK176-IF($A182&gt;='1-Input'!$C$12,'1-Input'!$B$12,0))))*(1/(1-'P-Parametri'!$B$6*AK182))+MIN(MAX(0,AP181-(MAX(0,AK176-IF($A182&gt;='1-Input'!$C$12,'1-Input'!$B$12,0))-MIN(MAX(AO181,0),MAX(0,AK176-IF($A182&gt;='1-Input'!$C$12,'1-Input'!$B$12,0))))*(1/(1-'P-Parametri'!$B$6*AK182))),MAX(0,2*AK176-(AO181-MIN(MAX(AO181,0),MAX(0,AK176-IF($A182&gt;='1-Input'!$C$12,'1-Input'!$B$12,0)))))*(1/(1-'P-Parametri'!$B$6*AK182))))</f>
        <v>19486.331245448091</v>
      </c>
      <c r="AM182" s="18">
        <f>IF($A182&gt;'1-Input'!$B$26,AO181,(AO181-MAX(0,AK176-IF($A182&gt;='1-Input'!$C$12,'1-Input'!$B$12,0))+AL182*(1-'P-Parametri'!$B$6*AK182))*(1+ROUND('3-Liquidita'!$F$11,4)))</f>
        <v>35670.623508598648</v>
      </c>
      <c r="AN182" s="18">
        <f>IF($A182&gt;'1-Input'!$B$26,AP181,(AP181-AL182)*(1+'5-Roberta'!$C$4))</f>
        <v>368002.21040035645</v>
      </c>
      <c r="AO182" s="18">
        <f>IF($A182&gt;'1-Input'!$B$26,AM182,AM182-'P-Parametri'!$B$8*(AN182+AM182)+MIN(MAX(AN182,0),'P-Parametri'!$B$8*(AN182+AM182)))</f>
        <v>35670.623508598648</v>
      </c>
      <c r="AP182" s="18">
        <f>IF($A182&gt;'1-Input'!$B$26,AN182,AN182-MIN(MAX(AN182,0),'P-Parametri'!$B$8*(AN182+AM182)))</f>
        <v>367194.86473253852</v>
      </c>
      <c r="AQ182" s="18">
        <f>IF($A182&gt;'1-Input'!$B$26,AQ181,AQ181-AL182*(1-AK182))</f>
        <v>257910.71073297469</v>
      </c>
    </row>
    <row r="183" spans="1:43">
      <c r="A183" s="10">
        <f>5</f>
        <v>5</v>
      </c>
      <c r="B183" s="11">
        <f>IF($A183&gt;'1-Input'!$B$26,0,IF(G182&lt;=0,0,MAX(0,(G182-H182)/G182)))</f>
        <v>0.29766312162816089</v>
      </c>
      <c r="C183" s="18">
        <f>IF($A183&gt;'1-Input'!$B$26,0,(MAX(0,B176-IF($A183&gt;='1-Input'!$C$12,'1-Input'!$B$12,0))-MIN(MAX(F182,0),MAX(0,B176-IF($A183&gt;='1-Input'!$C$12,'1-Input'!$B$12,0))))*(1/(1-'P-Parametri'!$B$6*B183))+MIN(MAX(0,G182-(MAX(0,B176-IF($A183&gt;='1-Input'!$C$12,'1-Input'!$B$12,0))-MIN(MAX(F182,0),MAX(0,B176-IF($A183&gt;='1-Input'!$C$12,'1-Input'!$B$12,0))))*(1/(1-'P-Parametri'!$B$6*B183))),MAX(0,2*B176-(F182-MIN(MAX(F182,0),MAX(0,B176-IF($A183&gt;='1-Input'!$C$12,'1-Input'!$B$12,0)))))*(1/(1-'P-Parametri'!$B$6*B183))))</f>
        <v>18243.059155921088</v>
      </c>
      <c r="D183" s="18">
        <f>IF($A183&gt;'1-Input'!$B$26,F182,(F182-MAX(0,B176-IF($A183&gt;='1-Input'!$C$12,'1-Input'!$B$12,0))+C183*(1-'P-Parametri'!$B$6*B183))*(1+ROUND('3-Liquidita'!$F$11,4)))</f>
        <v>33211.981131419976</v>
      </c>
      <c r="E183" s="18">
        <f>IF($A183&gt;'1-Input'!$B$26,G182,(G182-C183)*(1+'5-Roberta'!$C$4))</f>
        <v>368147.64312134119</v>
      </c>
      <c r="F183" s="18">
        <f>IF($A183&gt;'1-Input'!$B$26,D183,D183-'P-Parametri'!$B$8*(E183+D183)+MIN(MAX(E183,0),'P-Parametri'!$B$8*(E183+D183)))</f>
        <v>33211.981131419976</v>
      </c>
      <c r="G183" s="18">
        <f>IF($A183&gt;'1-Input'!$B$26,E183,E183-MIN(MAX(E183,0),'P-Parametri'!$B$8*(E183+D183)))</f>
        <v>367344.92387283564</v>
      </c>
      <c r="H183" s="18">
        <f>IF($A183&gt;'1-Input'!$B$26,H182,H182-C183*(1-B183))</f>
        <v>251032.68587358508</v>
      </c>
      <c r="I183" s="11">
        <f>IF($A183&gt;'1-Input'!$B$26,0,IF(N182&lt;=0,0,MAX(0,(N182-O182)/N182)))</f>
        <v>0.29746381615050727</v>
      </c>
      <c r="J183" s="18">
        <f>IF($A183&gt;'1-Input'!$B$26,0,(MAX(0,I176-IF($A183&gt;='1-Input'!$C$12,'1-Input'!$B$12,0))-MIN(MAX(M182,0),MAX(0,I176-IF($A183&gt;='1-Input'!$C$12,'1-Input'!$B$12,0))))*(1/(1-'P-Parametri'!$B$6*I183))+MIN(MAX(0,N182-(MAX(0,I176-IF($A183&gt;='1-Input'!$C$12,'1-Input'!$B$12,0))-MIN(MAX(M182,0),MAX(0,I176-IF($A183&gt;='1-Input'!$C$12,'1-Input'!$B$12,0))))*(1/(1-'P-Parametri'!$B$6*I183))),MAX(0,2*I176-(M182-MIN(MAX(M182,0),MAX(0,I176-IF($A183&gt;='1-Input'!$C$12,'1-Input'!$B$12,0)))))*(1/(1-'P-Parametri'!$B$6*I183))))</f>
        <v>24002.677064389449</v>
      </c>
      <c r="K183" s="18">
        <f>IF($A183&gt;'1-Input'!$B$26,M182,(M182-MAX(0,I176-IF($A183&gt;='1-Input'!$C$12,'1-Input'!$B$12,0))+J183*(1-'P-Parametri'!$B$6*I183))*(1+ROUND('3-Liquidita'!$F$11,4)))</f>
        <v>43699.975172921026</v>
      </c>
      <c r="L183" s="18">
        <f>IF($A183&gt;'1-Input'!$B$26,N182,(N182-J183)*(1+'5-Roberta'!$C$4))</f>
        <v>324987.13690777705</v>
      </c>
      <c r="M183" s="18">
        <f>IF($A183&gt;'1-Input'!$B$26,K183,K183-'P-Parametri'!$B$8*(L183+K183)+MIN(MAX(L183,0),'P-Parametri'!$B$8*(L183+K183)))</f>
        <v>43699.975172921026</v>
      </c>
      <c r="N183" s="18">
        <f>IF($A183&gt;'1-Input'!$B$26,L183,L183-MIN(MAX(L183,0),'P-Parametri'!$B$8*(L183+K183)))</f>
        <v>324249.76268361567</v>
      </c>
      <c r="O183" s="18">
        <f>IF($A183&gt;'1-Input'!$B$26,O182,O182-J183*(1-I183))</f>
        <v>221665.2650129731</v>
      </c>
      <c r="P183" s="11">
        <f>IF($A183&gt;'1-Input'!$B$26,0,IF(U182&lt;=0,0,MAX(0,(U182-V182)/U182)))</f>
        <v>0.29761124900544295</v>
      </c>
      <c r="Q183" s="18">
        <f>IF($A183&gt;'1-Input'!$B$26,0,(MAX(0,P176-IF($A183&gt;='1-Input'!$C$12,'1-Input'!$B$12,0))-MIN(MAX(T182,0),MAX(0,P176-IF($A183&gt;='1-Input'!$C$12,'1-Input'!$B$12,0))))*(1/(1-'P-Parametri'!$B$6*P183))+MIN(MAX(0,U182-(MAX(0,P176-IF($A183&gt;='1-Input'!$C$12,'1-Input'!$B$12,0))-MIN(MAX(T182,0),MAX(0,P176-IF($A183&gt;='1-Input'!$C$12,'1-Input'!$B$12,0))))*(1/(1-'P-Parametri'!$B$6*P183))),MAX(0,2*P176-(T182-MIN(MAX(T182,0),MAX(0,P176-IF($A183&gt;='1-Input'!$C$12,'1-Input'!$B$12,0)))))*(1/(1-'P-Parametri'!$B$6*P183))))</f>
        <v>19824.576421690748</v>
      </c>
      <c r="R183" s="18">
        <f>IF($A183&gt;'1-Input'!$B$26,T182,(T182-MAX(0,P176-IF($A183&gt;='1-Input'!$C$12,'1-Input'!$B$12,0))+Q183*(1-'P-Parametri'!$B$6*P183))*(1+ROUND('3-Liquidita'!$F$11,4)))</f>
        <v>36091.703549375699</v>
      </c>
      <c r="S183" s="18">
        <f>IF($A183&gt;'1-Input'!$B$26,U182,(U182-Q183)*(1+'5-Roberta'!$C$4))</f>
        <v>356296.72270518914</v>
      </c>
      <c r="T183" s="18">
        <f>IF($A183&gt;'1-Input'!$B$26,R183,R183-'P-Parametri'!$B$8*(S183+R183)+MIN(MAX(S183,0),'P-Parametri'!$B$8*(S183+R183)))</f>
        <v>36091.703549375699</v>
      </c>
      <c r="U183" s="18">
        <f>IF($A183&gt;'1-Input'!$B$26,S183,S183-MIN(MAX(S183,0),'P-Parametri'!$B$8*(S183+R183)))</f>
        <v>355511.94585268002</v>
      </c>
      <c r="V183" s="18">
        <f>IF($A183&gt;'1-Input'!$B$26,V182,V182-Q183*(1-P183))</f>
        <v>242969.71848966199</v>
      </c>
      <c r="W183" s="11">
        <f>IF($A183&gt;'1-Input'!$B$26,0,IF(AB182&lt;=0,0,MAX(0,(AB182-AC182)/AB182)))</f>
        <v>0.29761845206190224</v>
      </c>
      <c r="X183" s="18">
        <f>IF($A183&gt;'1-Input'!$B$26,0,(MAX(0,W176-IF($A183&gt;='1-Input'!$C$12,'1-Input'!$B$12,0))-MIN(MAX(AA182,0),MAX(0,W176-IF($A183&gt;='1-Input'!$C$12,'1-Input'!$B$12,0))))*(1/(1-'P-Parametri'!$B$6*W183))+MIN(MAX(0,AB182-(MAX(0,W176-IF($A183&gt;='1-Input'!$C$12,'1-Input'!$B$12,0))-MIN(MAX(AA182,0),MAX(0,W176-IF($A183&gt;='1-Input'!$C$12,'1-Input'!$B$12,0))))*(1/(1-'P-Parametri'!$B$6*W183))),MAX(0,2*W176-(AA182-MIN(MAX(AA182,0),MAX(0,W176-IF($A183&gt;='1-Input'!$C$12,'1-Input'!$B$12,0)))))*(1/(1-'P-Parametri'!$B$6*W183))))</f>
        <v>19608.618870882343</v>
      </c>
      <c r="Y183" s="18">
        <f>IF($A183&gt;'1-Input'!$B$26,AA182,(AA182-MAX(0,W176-IF($A183&gt;='1-Input'!$C$12,'1-Input'!$B$12,0))+X183*(1-'P-Parametri'!$B$6*W183))*(1+ROUND('3-Liquidita'!$F$11,4)))</f>
        <v>35698.468794259323</v>
      </c>
      <c r="Z183" s="18">
        <f>IF($A183&gt;'1-Input'!$B$26,AB182,(AB182-X183)*(1+'5-Roberta'!$C$4))</f>
        <v>357914.99298943084</v>
      </c>
      <c r="AA183" s="18">
        <f>IF($A183&gt;'1-Input'!$B$26,Y183,Y183-'P-Parametri'!$B$8*(Z183+Y183)+MIN(MAX(Z183,0),'P-Parametri'!$B$8*(Z183+Y183)))</f>
        <v>35698.468794259323</v>
      </c>
      <c r="AB183" s="18">
        <f>IF($A183&gt;'1-Input'!$B$26,Z183,Z183-MIN(MAX(Z183,0),'P-Parametri'!$B$8*(Z183+Y183)))</f>
        <v>357127.76606586348</v>
      </c>
      <c r="AC183" s="18">
        <f>IF($A183&gt;'1-Input'!$B$26,AC182,AC182-X183*(1-W183))</f>
        <v>244070.76388948527</v>
      </c>
      <c r="AD183" s="11">
        <f>IF($A183&gt;'1-Input'!$B$26,0,IF(AI182&lt;=0,0,MAX(0,(AI182-AJ182)/AI182)))</f>
        <v>0.29761895950467493</v>
      </c>
      <c r="AE183" s="18">
        <f>IF($A183&gt;'1-Input'!$B$26,0,(MAX(0,AD176-IF($A183&gt;='1-Input'!$C$12,'1-Input'!$B$12,0))-MIN(MAX(AH182,0),MAX(0,AD176-IF($A183&gt;='1-Input'!$C$12,'1-Input'!$B$12,0))))*(1/(1-'P-Parametri'!$B$6*AD183))+MIN(MAX(0,AI182-(MAX(0,AD176-IF($A183&gt;='1-Input'!$C$12,'1-Input'!$B$12,0))-MIN(MAX(AH182,0),MAX(0,AD176-IF($A183&gt;='1-Input'!$C$12,'1-Input'!$B$12,0))))*(1/(1-'P-Parametri'!$B$6*AD183))),MAX(0,2*AD176-(AH182-MIN(MAX(AH182,0),MAX(0,AD176-IF($A183&gt;='1-Input'!$C$12,'1-Input'!$B$12,0)))))*(1/(1-'P-Parametri'!$B$6*AD183))))</f>
        <v>19593.361287783489</v>
      </c>
      <c r="AF183" s="18">
        <f>IF($A183&gt;'1-Input'!$B$26,AH182,(AH182-MAX(0,AD176-IF($A183&gt;='1-Input'!$C$12,'1-Input'!$B$12,0))+AE183*(1-'P-Parametri'!$B$6*AD183))*(1+ROUND('3-Liquidita'!$F$11,4)))</f>
        <v>35670.686502200319</v>
      </c>
      <c r="AG183" s="18">
        <f>IF($A183&gt;'1-Input'!$B$26,AI182,(AI182-AE183)*(1+'5-Roberta'!$C$4))</f>
        <v>358029.32494459255</v>
      </c>
      <c r="AH183" s="18">
        <f>IF($A183&gt;'1-Input'!$B$26,AF183,AF183-'P-Parametri'!$B$8*(AG183+AF183)+MIN(MAX(AG183,0),'P-Parametri'!$B$8*(AG183+AF183)))</f>
        <v>35670.686502200319</v>
      </c>
      <c r="AI183" s="18">
        <f>IF($A183&gt;'1-Input'!$B$26,AG183,AG183-MIN(MAX(AG183,0),'P-Parametri'!$B$8*(AG183+AF183)))</f>
        <v>357241.92492169898</v>
      </c>
      <c r="AJ183" s="18">
        <f>IF($A183&gt;'1-Input'!$B$26,AJ182,AJ182-AE183*(1-AD183))</f>
        <v>244148.55318681721</v>
      </c>
      <c r="AK183" s="11">
        <f>IF($A183&gt;'1-Input'!$B$26,0,IF(AP182&lt;=0,0,MAX(0,(AP182-AQ182)/AP182)))</f>
        <v>0.29761896065503379</v>
      </c>
      <c r="AL183" s="18">
        <f>IF($A183&gt;'1-Input'!$B$26,0,(MAX(0,AK176-IF($A183&gt;='1-Input'!$C$12,'1-Input'!$B$12,0))-MIN(MAX(AO182,0),MAX(0,AK176-IF($A183&gt;='1-Input'!$C$12,'1-Input'!$B$12,0))))*(1/(1-'P-Parametri'!$B$6*AK183))+MIN(MAX(0,AP182-(MAX(0,AK176-IF($A183&gt;='1-Input'!$C$12,'1-Input'!$B$12,0))-MIN(MAX(AO182,0),MAX(0,AK176-IF($A183&gt;='1-Input'!$C$12,'1-Input'!$B$12,0))))*(1/(1-'P-Parametri'!$B$6*AK183))),MAX(0,2*AK176-(AO182-MIN(MAX(AO182,0),MAX(0,AK176-IF($A183&gt;='1-Input'!$C$12,'1-Input'!$B$12,0)))))*(1/(1-'P-Parametri'!$B$6*AK183))))</f>
        <v>19593.326692715476</v>
      </c>
      <c r="AM183" s="18">
        <f>IF($A183&gt;'1-Input'!$B$26,AO182,(AO182-MAX(0,AK176-IF($A183&gt;='1-Input'!$C$12,'1-Input'!$B$12,0))+AL183*(1-'P-Parametri'!$B$6*AK183))*(1+ROUND('3-Liquidita'!$F$11,4)))</f>
        <v>35670.623508598655</v>
      </c>
      <c r="AN183" s="18">
        <f>IF($A183&gt;'1-Input'!$B$26,AP182,(AP182-AL183)*(1+'5-Roberta'!$C$4))</f>
        <v>358029.58418101777</v>
      </c>
      <c r="AO183" s="18">
        <f>IF($A183&gt;'1-Input'!$B$26,AM183,AM183-'P-Parametri'!$B$8*(AN183+AM183)+MIN(MAX(AN183,0),'P-Parametri'!$B$8*(AN183+AM183)))</f>
        <v>35670.623508598655</v>
      </c>
      <c r="AP183" s="18">
        <f>IF($A183&gt;'1-Input'!$B$26,AN183,AN183-MIN(MAX(AN183,0),'P-Parametri'!$B$8*(AN183+AM183)))</f>
        <v>357242.18376563856</v>
      </c>
      <c r="AQ183" s="18">
        <f>IF($A183&gt;'1-Input'!$B$26,AQ182,AQ182-AL183*(1-AK183))</f>
        <v>244148.72956631973</v>
      </c>
    </row>
    <row r="184" spans="1:43">
      <c r="A184" s="10">
        <f>6</f>
        <v>6</v>
      </c>
      <c r="B184" s="11">
        <f>IF($A184&gt;'1-Input'!$B$26,0,IF(G183&lt;=0,0,MAX(0,(G183-H183)/G183)))</f>
        <v>0.3166294957148082</v>
      </c>
      <c r="C184" s="18">
        <f>IF($A184&gt;'1-Input'!$B$26,0,(MAX(0,B176-IF($A184&gt;='1-Input'!$C$12,'1-Input'!$B$12,0))-MIN(MAX(F183,0),MAX(0,B176-IF($A184&gt;='1-Input'!$C$12,'1-Input'!$B$12,0))))*(1/(1-'P-Parametri'!$B$6*B184))+MIN(MAX(0,G183-(MAX(0,B176-IF($A184&gt;='1-Input'!$C$12,'1-Input'!$B$12,0))-MIN(MAX(F183,0),MAX(0,B176-IF($A184&gt;='1-Input'!$C$12,'1-Input'!$B$12,0))))*(1/(1-'P-Parametri'!$B$6*B184))),MAX(0,2*B176-(F183-MIN(MAX(F183,0),MAX(0,B176-IF($A184&gt;='1-Input'!$C$12,'1-Input'!$B$12,0)))))*(1/(1-'P-Parametri'!$B$6*B184))))</f>
        <v>18341.09068937488</v>
      </c>
      <c r="D184" s="18">
        <f>IF($A184&gt;'1-Input'!$B$26,F183,(F183-MAX(0,B176-IF($A184&gt;='1-Input'!$C$12,'1-Input'!$B$12,0))+C184*(1-'P-Parametri'!$B$6*B184))*(1+ROUND('3-Liquidita'!$F$11,4)))</f>
        <v>33211.981131419976</v>
      </c>
      <c r="E184" s="18">
        <f>IF($A184&gt;'1-Input'!$B$26,G183,(G183-C184)*(1+'5-Roberta'!$C$4))</f>
        <v>359473.94817896461</v>
      </c>
      <c r="F184" s="18">
        <f>IF($A184&gt;'1-Input'!$B$26,D184,D184-'P-Parametri'!$B$8*(E184+D184)+MIN(MAX(E184,0),'P-Parametri'!$B$8*(E184+D184)))</f>
        <v>33211.981131419976</v>
      </c>
      <c r="G184" s="18">
        <f>IF($A184&gt;'1-Input'!$B$26,E184,E184-MIN(MAX(E184,0),'P-Parametri'!$B$8*(E184+D184)))</f>
        <v>358688.57632034383</v>
      </c>
      <c r="H184" s="18">
        <f>IF($A184&gt;'1-Input'!$B$26,H183,H183-C184*(1-B184))</f>
        <v>238498.92548004654</v>
      </c>
      <c r="I184" s="11">
        <f>IF($A184&gt;'1-Input'!$B$26,0,IF(N183&lt;=0,0,MAX(0,(N183-O183)/N183)))</f>
        <v>0.31637493524008725</v>
      </c>
      <c r="J184" s="18">
        <f>IF($A184&gt;'1-Input'!$B$26,0,(MAX(0,I176-IF($A184&gt;='1-Input'!$C$12,'1-Input'!$B$12,0))-MIN(MAX(M183,0),MAX(0,I176-IF($A184&gt;='1-Input'!$C$12,'1-Input'!$B$12,0))))*(1/(1-'P-Parametri'!$B$6*I184))+MIN(MAX(0,N183-(MAX(0,I176-IF($A184&gt;='1-Input'!$C$12,'1-Input'!$B$12,0))-MIN(MAX(M183,0),MAX(0,I176-IF($A184&gt;='1-Input'!$C$12,'1-Input'!$B$12,0))))*(1/(1-'P-Parametri'!$B$6*I184))),MAX(0,2*I176-(M183-MIN(MAX(M183,0),MAX(0,I176-IF($A184&gt;='1-Input'!$C$12,'1-Input'!$B$12,0)))))*(1/(1-'P-Parametri'!$B$6*I184))))</f>
        <v>24131.273641084357</v>
      </c>
      <c r="K184" s="18">
        <f>IF($A184&gt;'1-Input'!$B$26,M183,(M183-MAX(0,I176-IF($A184&gt;='1-Input'!$C$12,'1-Input'!$B$12,0))+J184*(1-'P-Parametri'!$B$6*I184))*(1+ROUND('3-Liquidita'!$F$11,4)))</f>
        <v>43699.975172921026</v>
      </c>
      <c r="L184" s="18">
        <f>IF($A184&gt;'1-Input'!$B$26,N183,(N183-J184)*(1+'5-Roberta'!$C$4))</f>
        <v>309122.04371380724</v>
      </c>
      <c r="M184" s="18">
        <f>IF($A184&gt;'1-Input'!$B$26,K184,K184-'P-Parametri'!$B$8*(L184+K184)+MIN(MAX(L184,0),'P-Parametri'!$B$8*(L184+K184)))</f>
        <v>43699.975172921026</v>
      </c>
      <c r="N184" s="18">
        <f>IF($A184&gt;'1-Input'!$B$26,L184,L184-MIN(MAX(L184,0),'P-Parametri'!$B$8*(L184+K184)))</f>
        <v>308416.39967603376</v>
      </c>
      <c r="O184" s="18">
        <f>IF($A184&gt;'1-Input'!$B$26,O183,O183-J184*(1-I184))</f>
        <v>205168.52150734764</v>
      </c>
      <c r="P184" s="11">
        <f>IF($A184&gt;'1-Input'!$B$26,0,IF(U183&lt;=0,0,MAX(0,(U183-V183)/U183)))</f>
        <v>0.31656384173839885</v>
      </c>
      <c r="Q184" s="18">
        <f>IF($A184&gt;'1-Input'!$B$26,0,(MAX(0,P176-IF($A184&gt;='1-Input'!$C$12,'1-Input'!$B$12,0))-MIN(MAX(T183,0),MAX(0,P176-IF($A184&gt;='1-Input'!$C$12,'1-Input'!$B$12,0))))*(1/(1-'P-Parametri'!$B$6*P184))+MIN(MAX(0,U183-(MAX(0,P176-IF($A184&gt;='1-Input'!$C$12,'1-Input'!$B$12,0))-MIN(MAX(T183,0),MAX(0,P176-IF($A184&gt;='1-Input'!$C$12,'1-Input'!$B$12,0))))*(1/(1-'P-Parametri'!$B$6*P184))),MAX(0,2*P176-(T183-MIN(MAX(T183,0),MAX(0,P176-IF($A184&gt;='1-Input'!$C$12,'1-Input'!$B$12,0)))))*(1/(1-'P-Parametri'!$B$6*P184))))</f>
        <v>19931.027063990176</v>
      </c>
      <c r="R184" s="18">
        <f>IF($A184&gt;'1-Input'!$B$26,T183,(T183-MAX(0,P176-IF($A184&gt;='1-Input'!$C$12,'1-Input'!$B$12,0))+Q184*(1-'P-Parametri'!$B$6*P184))*(1+ROUND('3-Liquidita'!$F$11,4)))</f>
        <v>36091.703549375699</v>
      </c>
      <c r="S184" s="18">
        <f>IF($A184&gt;'1-Input'!$B$26,U183,(U183-Q184)*(1+'5-Roberta'!$C$4))</f>
        <v>345648.34635235055</v>
      </c>
      <c r="T184" s="18">
        <f>IF($A184&gt;'1-Input'!$B$26,R184,R184-'P-Parametri'!$B$8*(S184+R184)+MIN(MAX(S184,0),'P-Parametri'!$B$8*(S184+R184)))</f>
        <v>36091.703549375699</v>
      </c>
      <c r="U184" s="18">
        <f>IF($A184&gt;'1-Input'!$B$26,S184,S184-MIN(MAX(S184,0),'P-Parametri'!$B$8*(S184+R184)))</f>
        <v>344884.86625254707</v>
      </c>
      <c r="V184" s="18">
        <f>IF($A184&gt;'1-Input'!$B$26,V183,V183-Q184*(1-P184))</f>
        <v>229348.13392284056</v>
      </c>
      <c r="W184" s="11">
        <f>IF($A184&gt;'1-Input'!$B$26,0,IF(AB183&lt;=0,0,MAX(0,(AB183-AC183)/AB183)))</f>
        <v>0.31657298289018393</v>
      </c>
      <c r="X184" s="18">
        <f>IF($A184&gt;'1-Input'!$B$26,0,(MAX(0,W176-IF($A184&gt;='1-Input'!$C$12,'1-Input'!$B$12,0))-MIN(MAX(AA183,0),MAX(0,W176-IF($A184&gt;='1-Input'!$C$12,'1-Input'!$B$12,0))))*(1/(1-'P-Parametri'!$B$6*W184))+MIN(MAX(0,AB183-(MAX(0,W176-IF($A184&gt;='1-Input'!$C$12,'1-Input'!$B$12,0))-MIN(MAX(AA183,0),MAX(0,W176-IF($A184&gt;='1-Input'!$C$12,'1-Input'!$B$12,0))))*(1/(1-'P-Parametri'!$B$6*W184))),MAX(0,2*W176-(AA183-MIN(MAX(AA183,0),MAX(0,W176-IF($A184&gt;='1-Input'!$C$12,'1-Input'!$B$12,0)))))*(1/(1-'P-Parametri'!$B$6*W184))))</f>
        <v>19713.920940812674</v>
      </c>
      <c r="Y184" s="18">
        <f>IF($A184&gt;'1-Input'!$B$26,AA183,(AA183-MAX(0,W176-IF($A184&gt;='1-Input'!$C$12,'1-Input'!$B$12,0))+X184*(1-'P-Parametri'!$B$6*W184))*(1+ROUND('3-Liquidita'!$F$11,4)))</f>
        <v>35698.468794259323</v>
      </c>
      <c r="Z184" s="18">
        <f>IF($A184&gt;'1-Input'!$B$26,AB183,(AB183-X184)*(1+'5-Roberta'!$C$4))</f>
        <v>347536.26047880232</v>
      </c>
      <c r="AA184" s="18">
        <f>IF($A184&gt;'1-Input'!$B$26,Y184,Y184-'P-Parametri'!$B$8*(Z184+Y184)+MIN(MAX(Z184,0),'P-Parametri'!$B$8*(Z184+Y184)))</f>
        <v>35698.468794259323</v>
      </c>
      <c r="AB184" s="18">
        <f>IF($A184&gt;'1-Input'!$B$26,Z184,Z184-MIN(MAX(Z184,0),'P-Parametri'!$B$8*(Z184+Y184)))</f>
        <v>346769.79102025618</v>
      </c>
      <c r="AC184" s="18">
        <f>IF($A184&gt;'1-Input'!$B$26,AC183,AC183-X184*(1-W184))</f>
        <v>230597.73770536692</v>
      </c>
      <c r="AD184" s="11">
        <f>IF($A184&gt;'1-Input'!$B$26,0,IF(AI183&lt;=0,0,MAX(0,(AI183-AJ183)/AI183)))</f>
        <v>0.31657362656880156</v>
      </c>
      <c r="AE184" s="18">
        <f>IF($A184&gt;'1-Input'!$B$26,0,(MAX(0,AD176-IF($A184&gt;='1-Input'!$C$12,'1-Input'!$B$12,0))-MIN(MAX(AH183,0),MAX(0,AD176-IF($A184&gt;='1-Input'!$C$12,'1-Input'!$B$12,0))))*(1/(1-'P-Parametri'!$B$6*AD184))+MIN(MAX(0,AI183-(MAX(0,AD176-IF($A184&gt;='1-Input'!$C$12,'1-Input'!$B$12,0))-MIN(MAX(AH183,0),MAX(0,AD176-IF($A184&gt;='1-Input'!$C$12,'1-Input'!$B$12,0))))*(1/(1-'P-Parametri'!$B$6*AD184))),MAX(0,2*AD176-(AH183-MIN(MAX(AH183,0),MAX(0,AD176-IF($A184&gt;='1-Input'!$C$12,'1-Input'!$B$12,0)))))*(1/(1-'P-Parametri'!$B$6*AD184))))</f>
        <v>19698.582197005595</v>
      </c>
      <c r="AF184" s="18">
        <f>IF($A184&gt;'1-Input'!$B$26,AH183,(AH183-MAX(0,AD176-IF($A184&gt;='1-Input'!$C$12,'1-Input'!$B$12,0))+AE184*(1-'P-Parametri'!$B$6*AD184))*(1+ROUND('3-Liquidita'!$F$11,4)))</f>
        <v>35670.686502200319</v>
      </c>
      <c r="AG184" s="18">
        <f>IF($A184&gt;'1-Input'!$B$26,AI183,(AI183-AE184)*(1+'5-Roberta'!$C$4))</f>
        <v>347669.6430064342</v>
      </c>
      <c r="AH184" s="18">
        <f>IF($A184&gt;'1-Input'!$B$26,AF184,AF184-'P-Parametri'!$B$8*(AG184+AF184)+MIN(MAX(AG184,0),'P-Parametri'!$B$8*(AG184+AF184)))</f>
        <v>35670.686502200319</v>
      </c>
      <c r="AI184" s="18">
        <f>IF($A184&gt;'1-Input'!$B$26,AG184,AG184-MIN(MAX(AG184,0),'P-Parametri'!$B$8*(AG184+AF184)))</f>
        <v>346902.96234741691</v>
      </c>
      <c r="AJ184" s="18">
        <f>IF($A184&gt;'1-Input'!$B$26,AJ183,AJ183-AE184*(1-AD184))</f>
        <v>230686.0225941813</v>
      </c>
      <c r="AK184" s="11">
        <f>IF($A184&gt;'1-Input'!$B$26,0,IF(AP183&lt;=0,0,MAX(0,(AP183-AQ183)/AP183)))</f>
        <v>0.31657362802795841</v>
      </c>
      <c r="AL184" s="18">
        <f>IF($A184&gt;'1-Input'!$B$26,0,(MAX(0,AK176-IF($A184&gt;='1-Input'!$C$12,'1-Input'!$B$12,0))-MIN(MAX(AO183,0),MAX(0,AK176-IF($A184&gt;='1-Input'!$C$12,'1-Input'!$B$12,0))))*(1/(1-'P-Parametri'!$B$6*AK184))+MIN(MAX(0,AP183-(MAX(0,AK176-IF($A184&gt;='1-Input'!$C$12,'1-Input'!$B$12,0))-MIN(MAX(AO183,0),MAX(0,AK176-IF($A184&gt;='1-Input'!$C$12,'1-Input'!$B$12,0))))*(1/(1-'P-Parametri'!$B$6*AK184))),MAX(0,2*AK176-(AO183-MIN(MAX(AO183,0),MAX(0,AK176-IF($A184&gt;='1-Input'!$C$12,'1-Input'!$B$12,0)))))*(1/(1-'P-Parametri'!$B$6*AK184))))</f>
        <v>19698.547417911694</v>
      </c>
      <c r="AM184" s="18">
        <f>IF($A184&gt;'1-Input'!$B$26,AO183,(AO183-MAX(0,AK176-IF($A184&gt;='1-Input'!$C$12,'1-Input'!$B$12,0))+AL184*(1-'P-Parametri'!$B$6*AK184))*(1+ROUND('3-Liquidita'!$F$11,4)))</f>
        <v>35670.623508598641</v>
      </c>
      <c r="AN184" s="18">
        <f>IF($A184&gt;'1-Input'!$B$26,AP183,(AP183-AL184)*(1+'5-Roberta'!$C$4))</f>
        <v>347669.9454381587</v>
      </c>
      <c r="AO184" s="18">
        <f>IF($A184&gt;'1-Input'!$B$26,AM184,AM184-'P-Parametri'!$B$8*(AN184+AM184)+MIN(MAX(AN184,0),'P-Parametri'!$B$8*(AN184+AM184)))</f>
        <v>35670.623508598641</v>
      </c>
      <c r="AP184" s="18">
        <f>IF($A184&gt;'1-Input'!$B$26,AN184,AN184-MIN(MAX(AN184,0),'P-Parametri'!$B$8*(AN184+AM184)))</f>
        <v>346903.26430026517</v>
      </c>
      <c r="AQ184" s="18">
        <f>IF($A184&gt;'1-Input'!$B$26,AQ183,AQ183-AL184*(1-AK184))</f>
        <v>230686.22277137713</v>
      </c>
    </row>
    <row r="185" spans="1:43">
      <c r="A185" s="10">
        <f>7</f>
        <v>7</v>
      </c>
      <c r="B185" s="11">
        <f>IF($A185&gt;'1-Input'!$B$26,0,IF(G184&lt;=0,0,MAX(0,(G184-H184)/G184)))</f>
        <v>0.3350807881122933</v>
      </c>
      <c r="C185" s="18">
        <f>IF($A185&gt;'1-Input'!$B$26,0,(MAX(0,B176-IF($A185&gt;='1-Input'!$C$12,'1-Input'!$B$12,0))-MIN(MAX(F184,0),MAX(0,B176-IF($A185&gt;='1-Input'!$C$12,'1-Input'!$B$12,0))))*(1/(1-'P-Parametri'!$B$6*B185))+MIN(MAX(0,G184-(MAX(0,B176-IF($A185&gt;='1-Input'!$C$12,'1-Input'!$B$12,0))-MIN(MAX(F184,0),MAX(0,B176-IF($A185&gt;='1-Input'!$C$12,'1-Input'!$B$12,0))))*(1/(1-'P-Parametri'!$B$6*B185))),MAX(0,2*B176-(F184-MIN(MAX(F184,0),MAX(0,B176-IF($A185&gt;='1-Input'!$C$12,'1-Input'!$B$12,0)))))*(1/(1-'P-Parametri'!$B$6*B185))))</f>
        <v>18437.47627338412</v>
      </c>
      <c r="D185" s="18">
        <f>IF($A185&gt;'1-Input'!$B$26,F184,(F184-MAX(0,B176-IF($A185&gt;='1-Input'!$C$12,'1-Input'!$B$12,0))+C185*(1-'P-Parametri'!$B$6*B185))*(1+ROUND('3-Liquidita'!$F$11,4)))</f>
        <v>33211.981131419976</v>
      </c>
      <c r="E185" s="18">
        <f>IF($A185&gt;'1-Input'!$B$26,G184,(G184-C185)*(1+'5-Roberta'!$C$4))</f>
        <v>350458.6330483685</v>
      </c>
      <c r="F185" s="18">
        <f>IF($A185&gt;'1-Input'!$B$26,D185,D185-'P-Parametri'!$B$8*(E185+D185)+MIN(MAX(E185,0),'P-Parametri'!$B$8*(E185+D185)))</f>
        <v>33211.981131419976</v>
      </c>
      <c r="G185" s="18">
        <f>IF($A185&gt;'1-Input'!$B$26,E185,E185-MIN(MAX(E185,0),'P-Parametri'!$B$8*(E185+D185)))</f>
        <v>349691.29182000895</v>
      </c>
      <c r="H185" s="18">
        <f>IF($A185&gt;'1-Input'!$B$26,H184,H184-C185*(1-B185))</f>
        <v>226239.49328714967</v>
      </c>
      <c r="I185" s="11">
        <f>IF($A185&gt;'1-Input'!$B$26,0,IF(N184&lt;=0,0,MAX(0,(N184-O184)/N184)))</f>
        <v>0.3347677953479114</v>
      </c>
      <c r="J185" s="18">
        <f>IF($A185&gt;'1-Input'!$B$26,0,(MAX(0,I176-IF($A185&gt;='1-Input'!$C$12,'1-Input'!$B$12,0))-MIN(MAX(M184,0),MAX(0,I176-IF($A185&gt;='1-Input'!$C$12,'1-Input'!$B$12,0))))*(1/(1-'P-Parametri'!$B$6*I185))+MIN(MAX(0,N184-(MAX(0,I176-IF($A185&gt;='1-Input'!$C$12,'1-Input'!$B$12,0))-MIN(MAX(M184,0),MAX(0,I176-IF($A185&gt;='1-Input'!$C$12,'1-Input'!$B$12,0))))*(1/(1-'P-Parametri'!$B$6*I185))),MAX(0,2*I176-(M184-MIN(MAX(M184,0),MAX(0,I176-IF($A185&gt;='1-Input'!$C$12,'1-Input'!$B$12,0)))))*(1/(1-'P-Parametri'!$B$6*I185))))</f>
        <v>24257.674764140087</v>
      </c>
      <c r="K185" s="18">
        <f>IF($A185&gt;'1-Input'!$B$26,M184,(M184-MAX(0,I176-IF($A185&gt;='1-Input'!$C$12,'1-Input'!$B$12,0))+J185*(1-'P-Parametri'!$B$6*I185))*(1+ROUND('3-Liquidita'!$F$11,4)))</f>
        <v>43699.975172921026</v>
      </c>
      <c r="L185" s="18">
        <f>IF($A185&gt;'1-Input'!$B$26,N184,(N184-J185)*(1+'5-Roberta'!$C$4))</f>
        <v>292683.48665925045</v>
      </c>
      <c r="M185" s="18">
        <f>IF($A185&gt;'1-Input'!$B$26,K185,K185-'P-Parametri'!$B$8*(L185+K185)+MIN(MAX(L185,0),'P-Parametri'!$B$8*(L185+K185)))</f>
        <v>43699.975172921026</v>
      </c>
      <c r="N185" s="18">
        <f>IF($A185&gt;'1-Input'!$B$26,L185,L185-MIN(MAX(L185,0),'P-Parametri'!$B$8*(L185+K185)))</f>
        <v>292010.71973558608</v>
      </c>
      <c r="O185" s="18">
        <f>IF($A185&gt;'1-Input'!$B$26,O184,O184-J185*(1-I185))</f>
        <v>189031.53504426539</v>
      </c>
      <c r="P185" s="11">
        <f>IF($A185&gt;'1-Input'!$B$26,0,IF(U184&lt;=0,0,MAX(0,(U184-V184)/U184)))</f>
        <v>0.33500087604627748</v>
      </c>
      <c r="Q185" s="18">
        <f>IF($A185&gt;'1-Input'!$B$26,0,(MAX(0,P176-IF($A185&gt;='1-Input'!$C$12,'1-Input'!$B$12,0))-MIN(MAX(T184,0),MAX(0,P176-IF($A185&gt;='1-Input'!$C$12,'1-Input'!$B$12,0))))*(1/(1-'P-Parametri'!$B$6*P185))+MIN(MAX(0,U184-(MAX(0,P176-IF($A185&gt;='1-Input'!$C$12,'1-Input'!$B$12,0))-MIN(MAX(T184,0),MAX(0,P176-IF($A185&gt;='1-Input'!$C$12,'1-Input'!$B$12,0))))*(1/(1-'P-Parametri'!$B$6*P185))),MAX(0,2*P176-(T184-MIN(MAX(T184,0),MAX(0,P176-IF($A185&gt;='1-Input'!$C$12,'1-Input'!$B$12,0)))))*(1/(1-'P-Parametri'!$B$6*P185))))</f>
        <v>20035.684717159522</v>
      </c>
      <c r="R185" s="18">
        <f>IF($A185&gt;'1-Input'!$B$26,T184,(T184-MAX(0,P176-IF($A185&gt;='1-Input'!$C$12,'1-Input'!$B$12,0))+Q185*(1-'P-Parametri'!$B$6*P185))*(1+ROUND('3-Liquidita'!$F$11,4)))</f>
        <v>36091.703549375699</v>
      </c>
      <c r="S185" s="18">
        <f>IF($A185&gt;'1-Input'!$B$26,U184,(U184-Q185)*(1+'5-Roberta'!$C$4))</f>
        <v>334594.65698144917</v>
      </c>
      <c r="T185" s="18">
        <f>IF($A185&gt;'1-Input'!$B$26,R185,R185-'P-Parametri'!$B$8*(S185+R185)+MIN(MAX(S185,0),'P-Parametri'!$B$8*(S185+R185)))</f>
        <v>36091.703549375699</v>
      </c>
      <c r="U185" s="18">
        <f>IF($A185&gt;'1-Input'!$B$26,S185,S185-MIN(MAX(S185,0),'P-Parametri'!$B$8*(S185+R185)))</f>
        <v>333853.28426038753</v>
      </c>
      <c r="V185" s="18">
        <f>IF($A185&gt;'1-Input'!$B$26,V184,V184-Q185*(1-P185))</f>
        <v>216024.42113811648</v>
      </c>
      <c r="W185" s="11">
        <f>IF($A185&gt;'1-Input'!$B$26,0,IF(AB184&lt;=0,0,MAX(0,(AB184-AC184)/AB184)))</f>
        <v>0.33501203485197245</v>
      </c>
      <c r="X185" s="18">
        <f>IF($A185&gt;'1-Input'!$B$26,0,(MAX(0,W176-IF($A185&gt;='1-Input'!$C$12,'1-Input'!$B$12,0))-MIN(MAX(AA184,0),MAX(0,W176-IF($A185&gt;='1-Input'!$C$12,'1-Input'!$B$12,0))))*(1/(1-'P-Parametri'!$B$6*W185))+MIN(MAX(0,AB184-(MAX(0,W176-IF($A185&gt;='1-Input'!$C$12,'1-Input'!$B$12,0))-MIN(MAX(AA184,0),MAX(0,W176-IF($A185&gt;='1-Input'!$C$12,'1-Input'!$B$12,0))))*(1/(1-'P-Parametri'!$B$6*W185))),MAX(0,2*W176-(AA184-MIN(MAX(AA184,0),MAX(0,W176-IF($A185&gt;='1-Input'!$C$12,'1-Input'!$B$12,0)))))*(1/(1-'P-Parametri'!$B$6*W185))))</f>
        <v>19817.450229042552</v>
      </c>
      <c r="Y185" s="18">
        <f>IF($A185&gt;'1-Input'!$B$26,AA184,(AA184-MAX(0,W176-IF($A185&gt;='1-Input'!$C$12,'1-Input'!$B$12,0))+X185*(1-'P-Parametri'!$B$6*W185))*(1+ROUND('3-Liquidita'!$F$11,4)))</f>
        <v>35698.468794259323</v>
      </c>
      <c r="Z185" s="18">
        <f>IF($A185&gt;'1-Input'!$B$26,AB184,(AB184-X185)*(1+'5-Roberta'!$C$4))</f>
        <v>336760.91101495002</v>
      </c>
      <c r="AA185" s="18">
        <f>IF($A185&gt;'1-Input'!$B$26,Y185,Y185-'P-Parametri'!$B$8*(Z185+Y185)+MIN(MAX(Z185,0),'P-Parametri'!$B$8*(Z185+Y185)))</f>
        <v>35698.468794259323</v>
      </c>
      <c r="AB185" s="18">
        <f>IF($A185&gt;'1-Input'!$B$26,Z185,Z185-MIN(MAX(Z185,0),'P-Parametri'!$B$8*(Z185+Y185)))</f>
        <v>336015.9922553316</v>
      </c>
      <c r="AC185" s="18">
        <f>IF($A185&gt;'1-Input'!$B$26,AC184,AC184-X185*(1-W185))</f>
        <v>217419.3718031336</v>
      </c>
      <c r="AD185" s="11">
        <f>IF($A185&gt;'1-Input'!$B$26,0,IF(AI184&lt;=0,0,MAX(0,(AI184-AJ184)/AI184)))</f>
        <v>0.33501282020430395</v>
      </c>
      <c r="AE185" s="18">
        <f>IF($A185&gt;'1-Input'!$B$26,0,(MAX(0,AD176-IF($A185&gt;='1-Input'!$C$12,'1-Input'!$B$12,0))-MIN(MAX(AH184,0),MAX(0,AD176-IF($A185&gt;='1-Input'!$C$12,'1-Input'!$B$12,0))))*(1/(1-'P-Parametri'!$B$6*AD185))+MIN(MAX(0,AI184-(MAX(0,AD176-IF($A185&gt;='1-Input'!$C$12,'1-Input'!$B$12,0))-MIN(MAX(AH184,0),MAX(0,AD176-IF($A185&gt;='1-Input'!$C$12,'1-Input'!$B$12,0))))*(1/(1-'P-Parametri'!$B$6*AD185))),MAX(0,2*AD176-(AH184-MIN(MAX(AH184,0),MAX(0,AD176-IF($A185&gt;='1-Input'!$C$12,'1-Input'!$B$12,0)))))*(1/(1-'P-Parametri'!$B$6*AD185))))</f>
        <v>19802.031750524227</v>
      </c>
      <c r="AF185" s="18">
        <f>IF($A185&gt;'1-Input'!$B$26,AH184,(AH184-MAX(0,AD176-IF($A185&gt;='1-Input'!$C$12,'1-Input'!$B$12,0))+AE185*(1-'P-Parametri'!$B$6*AD185))*(1+ROUND('3-Liquidita'!$F$11,4)))</f>
        <v>35670.686502200311</v>
      </c>
      <c r="AG185" s="18">
        <f>IF($A185&gt;'1-Input'!$B$26,AI184,(AI184-AE185)*(1+'5-Roberta'!$C$4))</f>
        <v>336913.95851479948</v>
      </c>
      <c r="AH185" s="18">
        <f>IF($A185&gt;'1-Input'!$B$26,AF185,AF185-'P-Parametri'!$B$8*(AG185+AF185)+MIN(MAX(AG185,0),'P-Parametri'!$B$8*(AG185+AF185)))</f>
        <v>35670.686502200311</v>
      </c>
      <c r="AI185" s="18">
        <f>IF($A185&gt;'1-Input'!$B$26,AG185,AG185-MIN(MAX(AG185,0),'P-Parametri'!$B$8*(AG185+AF185)))</f>
        <v>336168.7892247655</v>
      </c>
      <c r="AJ185" s="18">
        <f>IF($A185&gt;'1-Input'!$B$26,AJ184,AJ184-AE185*(1-AD185))</f>
        <v>217517.92534617535</v>
      </c>
      <c r="AK185" s="11">
        <f>IF($A185&gt;'1-Input'!$B$26,0,IF(AP184&lt;=0,0,MAX(0,(AP184-AQ184)/AP184)))</f>
        <v>0.33501282198456156</v>
      </c>
      <c r="AL185" s="18">
        <f>IF($A185&gt;'1-Input'!$B$26,0,(MAX(0,AK176-IF($A185&gt;='1-Input'!$C$12,'1-Input'!$B$12,0))-MIN(MAX(AO184,0),MAX(0,AK176-IF($A185&gt;='1-Input'!$C$12,'1-Input'!$B$12,0))))*(1/(1-'P-Parametri'!$B$6*AK185))+MIN(MAX(0,AP184-(MAX(0,AK176-IF($A185&gt;='1-Input'!$C$12,'1-Input'!$B$12,0))-MIN(MAX(AO184,0),MAX(0,AK176-IF($A185&gt;='1-Input'!$C$12,'1-Input'!$B$12,0))))*(1/(1-'P-Parametri'!$B$6*AK185))),MAX(0,2*AK176-(AO184-MIN(MAX(AO184,0),MAX(0,AK176-IF($A185&gt;='1-Input'!$C$12,'1-Input'!$B$12,0)))))*(1/(1-'P-Parametri'!$B$6*AK185))))</f>
        <v>19801.996790637531</v>
      </c>
      <c r="AM185" s="18">
        <f>IF($A185&gt;'1-Input'!$B$26,AO184,(AO184-MAX(0,AK176-IF($A185&gt;='1-Input'!$C$12,'1-Input'!$B$12,0))+AL185*(1-'P-Parametri'!$B$6*AK185))*(1+ROUND('3-Liquidita'!$F$11,4)))</f>
        <v>35670.623508598641</v>
      </c>
      <c r="AN185" s="18">
        <f>IF($A185&gt;'1-Input'!$B$26,AP184,(AP184-AL185)*(1+'5-Roberta'!$C$4))</f>
        <v>336914.30553491646</v>
      </c>
      <c r="AO185" s="18">
        <f>IF($A185&gt;'1-Input'!$B$26,AM185,AM185-'P-Parametri'!$B$8*(AN185+AM185)+MIN(MAX(AN185,0),'P-Parametri'!$B$8*(AN185+AM185)))</f>
        <v>35670.623508598641</v>
      </c>
      <c r="AP185" s="18">
        <f>IF($A185&gt;'1-Input'!$B$26,AN185,AN185-MIN(MAX(AN185,0),'P-Parametri'!$B$8*(AN185+AM185)))</f>
        <v>336169.13567682944</v>
      </c>
      <c r="AQ185" s="18">
        <f>IF($A185&gt;'1-Input'!$B$26,AQ184,AQ184-AL185*(1-AK185))</f>
        <v>217518.14880650031</v>
      </c>
    </row>
    <row r="186" spans="1:43">
      <c r="A186" s="10">
        <f>8</f>
        <v>8</v>
      </c>
      <c r="B186" s="11">
        <f>IF($A186&gt;'1-Input'!$B$26,0,IF(G185&lt;=0,0,MAX(0,(G185-H185)/G185)))</f>
        <v>0.35303080580113977</v>
      </c>
      <c r="C186" s="18">
        <f>IF($A186&gt;'1-Input'!$B$26,0,(MAX(0,B176-IF($A186&gt;='1-Input'!$C$12,'1-Input'!$B$12,0))-MIN(MAX(F185,0),MAX(0,B176-IF($A186&gt;='1-Input'!$C$12,'1-Input'!$B$12,0))))*(1/(1-'P-Parametri'!$B$6*B186))+MIN(MAX(0,G185-(MAX(0,B176-IF($A186&gt;='1-Input'!$C$12,'1-Input'!$B$12,0))-MIN(MAX(F185,0),MAX(0,B176-IF($A186&gt;='1-Input'!$C$12,'1-Input'!$B$12,0))))*(1/(1-'P-Parametri'!$B$6*B186))),MAX(0,2*B176-(F185-MIN(MAX(F185,0),MAX(0,B176-IF($A186&gt;='1-Input'!$C$12,'1-Input'!$B$12,0)))))*(1/(1-'P-Parametri'!$B$6*B186))))</f>
        <v>18532.220438253706</v>
      </c>
      <c r="D186" s="18">
        <f>IF($A186&gt;'1-Input'!$B$26,F185,(F185-MAX(0,B176-IF($A186&gt;='1-Input'!$C$12,'1-Input'!$B$12,0))+C186*(1-'P-Parametri'!$B$6*B186))*(1+ROUND('3-Liquidita'!$F$11,4)))</f>
        <v>33211.981131419976</v>
      </c>
      <c r="E186" s="18">
        <f>IF($A186&gt;'1-Input'!$B$26,G185,(G185-C186)*(1+'5-Roberta'!$C$4))</f>
        <v>341093.84352320788</v>
      </c>
      <c r="F186" s="18">
        <f>IF($A186&gt;'1-Input'!$B$26,D186,D186-'P-Parametri'!$B$8*(E186+D186)+MIN(MAX(E186,0),'P-Parametri'!$B$8*(E186+D186)))</f>
        <v>33211.981131419976</v>
      </c>
      <c r="G186" s="18">
        <f>IF($A186&gt;'1-Input'!$B$26,E186,E186-MIN(MAX(E186,0),'P-Parametri'!$B$8*(E186+D186)))</f>
        <v>340345.23187389865</v>
      </c>
      <c r="H186" s="18">
        <f>IF($A186&gt;'1-Input'!$B$26,H185,H185-C186*(1-B186))</f>
        <v>214249.71756349702</v>
      </c>
      <c r="I186" s="11">
        <f>IF($A186&gt;'1-Input'!$B$26,0,IF(N185&lt;=0,0,MAX(0,(N185-O185)/N185)))</f>
        <v>0.3526554942385941</v>
      </c>
      <c r="J186" s="18">
        <f>IF($A186&gt;'1-Input'!$B$26,0,(MAX(0,I176-IF($A186&gt;='1-Input'!$C$12,'1-Input'!$B$12,0))-MIN(MAX(M185,0),MAX(0,I176-IF($A186&gt;='1-Input'!$C$12,'1-Input'!$B$12,0))))*(1/(1-'P-Parametri'!$B$6*I186))+MIN(MAX(0,N185-(MAX(0,I176-IF($A186&gt;='1-Input'!$C$12,'1-Input'!$B$12,0))-MIN(MAX(M185,0),MAX(0,I176-IF($A186&gt;='1-Input'!$C$12,'1-Input'!$B$12,0))))*(1/(1-'P-Parametri'!$B$6*I186))),MAX(0,2*I176-(M185-MIN(MAX(M185,0),MAX(0,I176-IF($A186&gt;='1-Input'!$C$12,'1-Input'!$B$12,0)))))*(1/(1-'P-Parametri'!$B$6*I186))))</f>
        <v>24381.880914611334</v>
      </c>
      <c r="K186" s="18">
        <f>IF($A186&gt;'1-Input'!$B$26,M185,(M185-MAX(0,I176-IF($A186&gt;='1-Input'!$C$12,'1-Input'!$B$12,0))+J186*(1-'P-Parametri'!$B$6*I186))*(1+ROUND('3-Liquidita'!$F$11,4)))</f>
        <v>43699.975172921026</v>
      </c>
      <c r="L186" s="18">
        <f>IF($A186&gt;'1-Input'!$B$26,N185,(N185-J186)*(1+'5-Roberta'!$C$4))</f>
        <v>275657.70398560399</v>
      </c>
      <c r="M186" s="18">
        <f>IF($A186&gt;'1-Input'!$B$26,K186,K186-'P-Parametri'!$B$8*(L186+K186)+MIN(MAX(L186,0),'P-Parametri'!$B$8*(L186+K186)))</f>
        <v>43699.975172921026</v>
      </c>
      <c r="N186" s="18">
        <f>IF($A186&gt;'1-Input'!$B$26,L186,L186-MIN(MAX(L186,0),'P-Parametri'!$B$8*(L186+K186)))</f>
        <v>275018.98862728692</v>
      </c>
      <c r="O186" s="18">
        <f>IF($A186&gt;'1-Input'!$B$26,O185,O185-J186*(1-I186))</f>
        <v>173248.05839406286</v>
      </c>
      <c r="P186" s="11">
        <f>IF($A186&gt;'1-Input'!$B$26,0,IF(U185&lt;=0,0,MAX(0,(U185-V185)/U185)))</f>
        <v>0.35293606107037995</v>
      </c>
      <c r="Q186" s="18">
        <f>IF($A186&gt;'1-Input'!$B$26,0,(MAX(0,P176-IF($A186&gt;='1-Input'!$C$12,'1-Input'!$B$12,0))-MIN(MAX(T185,0),MAX(0,P176-IF($A186&gt;='1-Input'!$C$12,'1-Input'!$B$12,0))))*(1/(1-'P-Parametri'!$B$6*P186))+MIN(MAX(0,U185-(MAX(0,P176-IF($A186&gt;='1-Input'!$C$12,'1-Input'!$B$12,0))-MIN(MAX(T185,0),MAX(0,P176-IF($A186&gt;='1-Input'!$C$12,'1-Input'!$B$12,0))))*(1/(1-'P-Parametri'!$B$6*P186))),MAX(0,2*P176-(T185-MIN(MAX(T185,0),MAX(0,P176-IF($A186&gt;='1-Input'!$C$12,'1-Input'!$B$12,0)))))*(1/(1-'P-Parametri'!$B$6*P186))))</f>
        <v>20138.553686286294</v>
      </c>
      <c r="R186" s="18">
        <f>IF($A186&gt;'1-Input'!$B$26,T185,(T185-MAX(0,P176-IF($A186&gt;='1-Input'!$C$12,'1-Input'!$B$12,0))+Q186*(1-'P-Parametri'!$B$6*P186))*(1+ROUND('3-Liquidita'!$F$11,4)))</f>
        <v>36091.703549375699</v>
      </c>
      <c r="S186" s="18">
        <f>IF($A186&gt;'1-Input'!$B$26,U185,(U185-Q186)*(1+'5-Roberta'!$C$4))</f>
        <v>323126.17249132425</v>
      </c>
      <c r="T186" s="18">
        <f>IF($A186&gt;'1-Input'!$B$26,R186,R186-'P-Parametri'!$B$8*(S186+R186)+MIN(MAX(S186,0),'P-Parametri'!$B$8*(S186+R186)))</f>
        <v>36091.703549375699</v>
      </c>
      <c r="U186" s="18">
        <f>IF($A186&gt;'1-Input'!$B$26,S186,S186-MIN(MAX(S186,0),'P-Parametri'!$B$8*(S186+R186)))</f>
        <v>322407.73673924286</v>
      </c>
      <c r="V186" s="18">
        <f>IF($A186&gt;'1-Input'!$B$26,V185,V185-Q186*(1-P186))</f>
        <v>202993.48926552245</v>
      </c>
      <c r="W186" s="11">
        <f>IF($A186&gt;'1-Input'!$B$26,0,IF(AB185&lt;=0,0,MAX(0,(AB185-AC185)/AB185)))</f>
        <v>0.35294933332244161</v>
      </c>
      <c r="X186" s="18">
        <f>IF($A186&gt;'1-Input'!$B$26,0,(MAX(0,W176-IF($A186&gt;='1-Input'!$C$12,'1-Input'!$B$12,0))-MIN(MAX(AA185,0),MAX(0,W176-IF($A186&gt;='1-Input'!$C$12,'1-Input'!$B$12,0))))*(1/(1-'P-Parametri'!$B$6*W186))+MIN(MAX(0,AB185-(MAX(0,W176-IF($A186&gt;='1-Input'!$C$12,'1-Input'!$B$12,0))-MIN(MAX(AA185,0),MAX(0,W176-IF($A186&gt;='1-Input'!$C$12,'1-Input'!$B$12,0))))*(1/(1-'P-Parametri'!$B$6*W186))),MAX(0,2*W176-(AA185-MIN(MAX(AA185,0),MAX(0,W176-IF($A186&gt;='1-Input'!$C$12,'1-Input'!$B$12,0)))))*(1/(1-'P-Parametri'!$B$6*W186))))</f>
        <v>19919.211095999028</v>
      </c>
      <c r="Y186" s="18">
        <f>IF($A186&gt;'1-Input'!$B$26,AA185,(AA185-MAX(0,W176-IF($A186&gt;='1-Input'!$C$12,'1-Input'!$B$12,0))+X186*(1-'P-Parametri'!$B$6*W186))*(1+ROUND('3-Liquidita'!$F$11,4)))</f>
        <v>35698.468794259323</v>
      </c>
      <c r="Z186" s="18">
        <f>IF($A186&gt;'1-Input'!$B$26,AB185,(AB185-X186)*(1+'5-Roberta'!$C$4))</f>
        <v>325579.68459411251</v>
      </c>
      <c r="AA186" s="18">
        <f>IF($A186&gt;'1-Input'!$B$26,Y186,Y186-'P-Parametri'!$B$8*(Z186+Y186)+MIN(MAX(Z186,0),'P-Parametri'!$B$8*(Z186+Y186)))</f>
        <v>35698.468794259323</v>
      </c>
      <c r="AB186" s="18">
        <f>IF($A186&gt;'1-Input'!$B$26,Z186,Z186-MIN(MAX(Z186,0),'P-Parametri'!$B$8*(Z186+Y186)))</f>
        <v>324857.12828733574</v>
      </c>
      <c r="AC186" s="18">
        <f>IF($A186&gt;'1-Input'!$B$26,AC185,AC185-X186*(1-W186))</f>
        <v>204530.63298377642</v>
      </c>
      <c r="AD186" s="11">
        <f>IF($A186&gt;'1-Input'!$B$26,0,IF(AI185&lt;=0,0,MAX(0,(AI185-AJ185)/AI185)))</f>
        <v>0.35295026689482201</v>
      </c>
      <c r="AE186" s="18">
        <f>IF($A186&gt;'1-Input'!$B$26,0,(MAX(0,AD176-IF($A186&gt;='1-Input'!$C$12,'1-Input'!$B$12,0))-MIN(MAX(AH185,0),MAX(0,AD176-IF($A186&gt;='1-Input'!$C$12,'1-Input'!$B$12,0))))*(1/(1-'P-Parametri'!$B$6*AD186))+MIN(MAX(0,AI185-(MAX(0,AD176-IF($A186&gt;='1-Input'!$C$12,'1-Input'!$B$12,0))-MIN(MAX(AH185,0),MAX(0,AD176-IF($A186&gt;='1-Input'!$C$12,'1-Input'!$B$12,0))))*(1/(1-'P-Parametri'!$B$6*AD186))),MAX(0,2*AD176-(AH185-MIN(MAX(AH185,0),MAX(0,AD176-IF($A186&gt;='1-Input'!$C$12,'1-Input'!$B$12,0)))))*(1/(1-'P-Parametri'!$B$6*AD186))))</f>
        <v>19903.714312341697</v>
      </c>
      <c r="AF186" s="18">
        <f>IF($A186&gt;'1-Input'!$B$26,AH185,(AH185-MAX(0,AD176-IF($A186&gt;='1-Input'!$C$12,'1-Input'!$B$12,0))+AE186*(1-'P-Parametri'!$B$6*AD186))*(1+ROUND('3-Liquidita'!$F$11,4)))</f>
        <v>35670.686502200319</v>
      </c>
      <c r="AG186" s="18">
        <f>IF($A186&gt;'1-Input'!$B$26,AI185,(AI185-AE186)*(1+'5-Roberta'!$C$4))</f>
        <v>325753.0271597965</v>
      </c>
      <c r="AH186" s="18">
        <f>IF($A186&gt;'1-Input'!$B$26,AF186,AF186-'P-Parametri'!$B$8*(AG186+AF186)+MIN(MAX(AG186,0),'P-Parametri'!$B$8*(AG186+AF186)))</f>
        <v>35670.686502200319</v>
      </c>
      <c r="AI186" s="18">
        <f>IF($A186&gt;'1-Input'!$B$26,AG186,AG186-MIN(MAX(AG186,0),'P-Parametri'!$B$8*(AG186+AF186)))</f>
        <v>325030.17973247252</v>
      </c>
      <c r="AJ186" s="18">
        <f>IF($A186&gt;'1-Input'!$B$26,AJ185,AJ185-AE186*(1-AD186))</f>
        <v>204639.23231257295</v>
      </c>
      <c r="AK186" s="11">
        <f>IF($A186&gt;'1-Input'!$B$26,0,IF(AP185&lt;=0,0,MAX(0,(AP185-AQ185)/AP185)))</f>
        <v>0.35295026901099052</v>
      </c>
      <c r="AL186" s="18">
        <f>IF($A186&gt;'1-Input'!$B$26,0,(MAX(0,AK176-IF($A186&gt;='1-Input'!$C$12,'1-Input'!$B$12,0))-MIN(MAX(AO185,0),MAX(0,AK176-IF($A186&gt;='1-Input'!$C$12,'1-Input'!$B$12,0))))*(1/(1-'P-Parametri'!$B$6*AK186))+MIN(MAX(0,AP185-(MAX(0,AK176-IF($A186&gt;='1-Input'!$C$12,'1-Input'!$B$12,0))-MIN(MAX(AO185,0),MAX(0,AK176-IF($A186&gt;='1-Input'!$C$12,'1-Input'!$B$12,0))))*(1/(1-'P-Parametri'!$B$6*AK186))),MAX(0,2*AK176-(AO185-MIN(MAX(AO185,0),MAX(0,AK176-IF($A186&gt;='1-Input'!$C$12,'1-Input'!$B$12,0)))))*(1/(1-'P-Parametri'!$B$6*AK186))))</f>
        <v>19903.6791749033</v>
      </c>
      <c r="AM186" s="18">
        <f>IF($A186&gt;'1-Input'!$B$26,AO185,(AO185-MAX(0,AK176-IF($A186&gt;='1-Input'!$C$12,'1-Input'!$B$12,0))+AL186*(1-'P-Parametri'!$B$6*AK186))*(1+ROUND('3-Liquidita'!$F$11,4)))</f>
        <v>35670.623508598655</v>
      </c>
      <c r="AN186" s="18">
        <f>IF($A186&gt;'1-Input'!$B$26,AP185,(AP185-AL186)*(1+'5-Roberta'!$C$4))</f>
        <v>325753.42019698391</v>
      </c>
      <c r="AO186" s="18">
        <f>IF($A186&gt;'1-Input'!$B$26,AM186,AM186-'P-Parametri'!$B$8*(AN186+AM186)+MIN(MAX(AN186,0),'P-Parametri'!$B$8*(AN186+AM186)))</f>
        <v>35670.623508598655</v>
      </c>
      <c r="AP186" s="18">
        <f>IF($A186&gt;'1-Input'!$B$26,AN186,AN186-MIN(MAX(AN186,0),'P-Parametri'!$B$8*(AN186+AM186)))</f>
        <v>325030.57210957276</v>
      </c>
      <c r="AQ186" s="18">
        <f>IF($A186&gt;'1-Input'!$B$26,AQ185,AQ185-AL186*(1-AK186))</f>
        <v>204639.47855068758</v>
      </c>
    </row>
    <row r="187" spans="1:43">
      <c r="A187" s="10">
        <f>9</f>
        <v>9</v>
      </c>
      <c r="B187" s="11">
        <f>IF($A187&gt;'1-Input'!$B$26,0,IF(G186&lt;=0,0,MAX(0,(G186-H186)/G186)))</f>
        <v>0.37049296567528023</v>
      </c>
      <c r="C187" s="18">
        <f>IF($A187&gt;'1-Input'!$B$26,0,(MAX(0,B176-IF($A187&gt;='1-Input'!$C$12,'1-Input'!$B$12,0))-MIN(MAX(F186,0),MAX(0,B176-IF($A187&gt;='1-Input'!$C$12,'1-Input'!$B$12,0))))*(1/(1-'P-Parametri'!$B$6*B187))+MIN(MAX(0,G186-(MAX(0,B176-IF($A187&gt;='1-Input'!$C$12,'1-Input'!$B$12,0))-MIN(MAX(F186,0),MAX(0,B176-IF($A187&gt;='1-Input'!$C$12,'1-Input'!$B$12,0))))*(1/(1-'P-Parametri'!$B$6*B187))),MAX(0,2*B176-(F186-MIN(MAX(F186,0),MAX(0,B176-IF($A187&gt;='1-Input'!$C$12,'1-Input'!$B$12,0)))))*(1/(1-'P-Parametri'!$B$6*B187))))</f>
        <v>18625.328657738872</v>
      </c>
      <c r="D187" s="18">
        <f>IF($A187&gt;'1-Input'!$B$26,F186,(F186-MAX(0,B176-IF($A187&gt;='1-Input'!$C$12,'1-Input'!$B$12,0))+C187*(1-'P-Parametri'!$B$6*B187))*(1+ROUND('3-Liquidita'!$F$11,4)))</f>
        <v>33211.981131419976</v>
      </c>
      <c r="E187" s="18">
        <f>IF($A187&gt;'1-Input'!$B$26,G186,(G186-C187)*(1+'5-Roberta'!$C$4))</f>
        <v>331371.50031264458</v>
      </c>
      <c r="F187" s="18">
        <f>IF($A187&gt;'1-Input'!$B$26,D187,D187-'P-Parametri'!$B$8*(E187+D187)+MIN(MAX(E187,0),'P-Parametri'!$B$8*(E187+D187)))</f>
        <v>33211.981131419976</v>
      </c>
      <c r="G187" s="18">
        <f>IF($A187&gt;'1-Input'!$B$26,E187,E187-MIN(MAX(E187,0),'P-Parametri'!$B$8*(E187+D187)))</f>
        <v>330642.33334975643</v>
      </c>
      <c r="H187" s="18">
        <f>IF($A187&gt;'1-Input'!$B$26,H186,H186-C187*(1-B187))</f>
        <v>202524.94215684061</v>
      </c>
      <c r="I187" s="11">
        <f>IF($A187&gt;'1-Input'!$B$26,0,IF(N186&lt;=0,0,MAX(0,(N186-O186)/N186)))</f>
        <v>0.37005055811308629</v>
      </c>
      <c r="J187" s="18">
        <f>IF($A187&gt;'1-Input'!$B$26,0,(MAX(0,I176-IF($A187&gt;='1-Input'!$C$12,'1-Input'!$B$12,0))-MIN(MAX(M186,0),MAX(0,I176-IF($A187&gt;='1-Input'!$C$12,'1-Input'!$B$12,0))))*(1/(1-'P-Parametri'!$B$6*I187))+MIN(MAX(0,N186-(MAX(0,I176-IF($A187&gt;='1-Input'!$C$12,'1-Input'!$B$12,0))-MIN(MAX(M186,0),MAX(0,I176-IF($A187&gt;='1-Input'!$C$12,'1-Input'!$B$12,0))))*(1/(1-'P-Parametri'!$B$6*I187))),MAX(0,2*I176-(M186-MIN(MAX(M186,0),MAX(0,I176-IF($A187&gt;='1-Input'!$C$12,'1-Input'!$B$12,0)))))*(1/(1-'P-Parametri'!$B$6*I187))))</f>
        <v>24503.892356949396</v>
      </c>
      <c r="K187" s="18">
        <f>IF($A187&gt;'1-Input'!$B$26,M186,(M186-MAX(0,I176-IF($A187&gt;='1-Input'!$C$12,'1-Input'!$B$12,0))+J187*(1-'P-Parametri'!$B$6*I187))*(1+ROUND('3-Liquidita'!$F$11,4)))</f>
        <v>43699.975172921026</v>
      </c>
      <c r="L187" s="18">
        <f>IF($A187&gt;'1-Input'!$B$26,N186,(N186-J187)*(1+'5-Roberta'!$C$4))</f>
        <v>258030.54915844765</v>
      </c>
      <c r="M187" s="18">
        <f>IF($A187&gt;'1-Input'!$B$26,K187,K187-'P-Parametri'!$B$8*(L187+K187)+MIN(MAX(L187,0),'P-Parametri'!$B$8*(L187+K187)))</f>
        <v>43699.975172921026</v>
      </c>
      <c r="N187" s="18">
        <f>IF($A187&gt;'1-Input'!$B$26,L187,L187-MIN(MAX(L187,0),'P-Parametri'!$B$8*(L187+K187)))</f>
        <v>257427.08810978491</v>
      </c>
      <c r="O187" s="18">
        <f>IF($A187&gt;'1-Input'!$B$26,O186,O186-J187*(1-I187))</f>
        <v>157811.84507974557</v>
      </c>
      <c r="P187" s="11">
        <f>IF($A187&gt;'1-Input'!$B$26,0,IF(U186&lt;=0,0,MAX(0,(U186-V186)/U186)))</f>
        <v>0.37038269826105424</v>
      </c>
      <c r="Q187" s="18">
        <f>IF($A187&gt;'1-Input'!$B$26,0,(MAX(0,P176-IF($A187&gt;='1-Input'!$C$12,'1-Input'!$B$12,0))-MIN(MAX(T186,0),MAX(0,P176-IF($A187&gt;='1-Input'!$C$12,'1-Input'!$B$12,0))))*(1/(1-'P-Parametri'!$B$6*P187))+MIN(MAX(0,U186-(MAX(0,P176-IF($A187&gt;='1-Input'!$C$12,'1-Input'!$B$12,0))-MIN(MAX(T186,0),MAX(0,P176-IF($A187&gt;='1-Input'!$C$12,'1-Input'!$B$12,0))))*(1/(1-'P-Parametri'!$B$6*P187))),MAX(0,2*P176-(T186-MIN(MAX(T186,0),MAX(0,P176-IF($A187&gt;='1-Input'!$C$12,'1-Input'!$B$12,0)))))*(1/(1-'P-Parametri'!$B$6*P187))))</f>
        <v>20239.63917919125</v>
      </c>
      <c r="R187" s="18">
        <f>IF($A187&gt;'1-Input'!$B$26,T186,(T186-MAX(0,P176-IF($A187&gt;='1-Input'!$C$12,'1-Input'!$B$12,0))+Q187*(1-'P-Parametri'!$B$6*P187))*(1+ROUND('3-Liquidita'!$F$11,4)))</f>
        <v>36091.703549375699</v>
      </c>
      <c r="S187" s="18">
        <f>IF($A187&gt;'1-Input'!$B$26,U186,(U186-Q187)*(1+'5-Roberta'!$C$4))</f>
        <v>311233.14048685314</v>
      </c>
      <c r="T187" s="18">
        <f>IF($A187&gt;'1-Input'!$B$26,R187,R187-'P-Parametri'!$B$8*(S187+R187)+MIN(MAX(S187,0),'P-Parametri'!$B$8*(S187+R187)))</f>
        <v>36091.703549375699</v>
      </c>
      <c r="U187" s="18">
        <f>IF($A187&gt;'1-Input'!$B$26,S187,S187-MIN(MAX(S187,0),'P-Parametri'!$B$8*(S187+R187)))</f>
        <v>310538.49079878069</v>
      </c>
      <c r="V187" s="18">
        <f>IF($A187&gt;'1-Input'!$B$26,V186,V186-Q187*(1-P187))</f>
        <v>190250.2622573502</v>
      </c>
      <c r="W187" s="11">
        <f>IF($A187&gt;'1-Input'!$B$26,0,IF(AB186&lt;=0,0,MAX(0,(AB186-AC186)/AB186)))</f>
        <v>0.37039819916505168</v>
      </c>
      <c r="X187" s="18">
        <f>IF($A187&gt;'1-Input'!$B$26,0,(MAX(0,W176-IF($A187&gt;='1-Input'!$C$12,'1-Input'!$B$12,0))-MIN(MAX(AA186,0),MAX(0,W176-IF($A187&gt;='1-Input'!$C$12,'1-Input'!$B$12,0))))*(1/(1-'P-Parametri'!$B$6*W187))+MIN(MAX(0,AB186-(MAX(0,W176-IF($A187&gt;='1-Input'!$C$12,'1-Input'!$B$12,0))-MIN(MAX(AA186,0),MAX(0,W176-IF($A187&gt;='1-Input'!$C$12,'1-Input'!$B$12,0))))*(1/(1-'P-Parametri'!$B$6*W187))),MAX(0,2*W176-(AA186-MIN(MAX(AA186,0),MAX(0,W176-IF($A187&gt;='1-Input'!$C$12,'1-Input'!$B$12,0)))))*(1/(1-'P-Parametri'!$B$6*W187))))</f>
        <v>20019.208816611474</v>
      </c>
      <c r="Y187" s="18">
        <f>IF($A187&gt;'1-Input'!$B$26,AA186,(AA186-MAX(0,W176-IF($A187&gt;='1-Input'!$C$12,'1-Input'!$B$12,0))+X187*(1-'P-Parametri'!$B$6*W187))*(1+ROUND('3-Liquidita'!$F$11,4)))</f>
        <v>35698.468794259323</v>
      </c>
      <c r="Z187" s="18">
        <f>IF($A187&gt;'1-Input'!$B$26,AB186,(AB186-X187)*(1+'5-Roberta'!$C$4))</f>
        <v>313983.05705484597</v>
      </c>
      <c r="AA187" s="18">
        <f>IF($A187&gt;'1-Input'!$B$26,Y187,Y187-'P-Parametri'!$B$8*(Z187+Y187)+MIN(MAX(Z187,0),'P-Parametri'!$B$8*(Z187+Y187)))</f>
        <v>35698.468794259323</v>
      </c>
      <c r="AB187" s="18">
        <f>IF($A187&gt;'1-Input'!$B$26,Z187,Z187-MIN(MAX(Z187,0),'P-Parametri'!$B$8*(Z187+Y187)))</f>
        <v>313283.69400314777</v>
      </c>
      <c r="AC187" s="18">
        <f>IF($A187&gt;'1-Input'!$B$26,AC186,AC186-X187*(1-W187))</f>
        <v>191926.50306154697</v>
      </c>
      <c r="AD187" s="11">
        <f>IF($A187&gt;'1-Input'!$B$26,0,IF(AI186&lt;=0,0,MAX(0,(AI186-AJ186)/AI186)))</f>
        <v>0.37039928882601475</v>
      </c>
      <c r="AE187" s="18">
        <f>IF($A187&gt;'1-Input'!$B$26,0,(MAX(0,AD176-IF($A187&gt;='1-Input'!$C$12,'1-Input'!$B$12,0))-MIN(MAX(AH186,0),MAX(0,AD176-IF($A187&gt;='1-Input'!$C$12,'1-Input'!$B$12,0))))*(1/(1-'P-Parametri'!$B$6*AD187))+MIN(MAX(0,AI186-(MAX(0,AD176-IF($A187&gt;='1-Input'!$C$12,'1-Input'!$B$12,0))-MIN(MAX(AH186,0),MAX(0,AD176-IF($A187&gt;='1-Input'!$C$12,'1-Input'!$B$12,0))))*(1/(1-'P-Parametri'!$B$6*AD187))),MAX(0,2*AD176-(AH186-MIN(MAX(AH186,0),MAX(0,AD176-IF($A187&gt;='1-Input'!$C$12,'1-Input'!$B$12,0)))))*(1/(1-'P-Parametri'!$B$6*AD187))))</f>
        <v>20003.635161705475</v>
      </c>
      <c r="AF187" s="18">
        <f>IF($A187&gt;'1-Input'!$B$26,AH186,(AH186-MAX(0,AD176-IF($A187&gt;='1-Input'!$C$12,'1-Input'!$B$12,0))+AE187*(1-'P-Parametri'!$B$6*AD187))*(1+ROUND('3-Liquidita'!$F$11,4)))</f>
        <v>35670.686502200319</v>
      </c>
      <c r="AG187" s="18">
        <f>IF($A187&gt;'1-Input'!$B$26,AI186,(AI186-AE187)*(1+'5-Roberta'!$C$4))</f>
        <v>314177.34090789006</v>
      </c>
      <c r="AH187" s="18">
        <f>IF($A187&gt;'1-Input'!$B$26,AF187,AF187-'P-Parametri'!$B$8*(AG187+AF187)+MIN(MAX(AG187,0),'P-Parametri'!$B$8*(AG187+AF187)))</f>
        <v>35670.686502200319</v>
      </c>
      <c r="AI187" s="18">
        <f>IF($A187&gt;'1-Input'!$B$26,AG187,AG187-MIN(MAX(AG187,0),'P-Parametri'!$B$8*(AG187+AF187)))</f>
        <v>313477.64485306985</v>
      </c>
      <c r="AJ187" s="18">
        <f>IF($A187&gt;'1-Input'!$B$26,AJ186,AJ186-AE187*(1-AD187))</f>
        <v>192044.92938869825</v>
      </c>
      <c r="AK187" s="11">
        <f>IF($A187&gt;'1-Input'!$B$26,0,IF(AP186&lt;=0,0,MAX(0,(AP186-AQ186)/AP186)))</f>
        <v>0.37039929129589544</v>
      </c>
      <c r="AL187" s="18">
        <f>IF($A187&gt;'1-Input'!$B$26,0,(MAX(0,AK176-IF($A187&gt;='1-Input'!$C$12,'1-Input'!$B$12,0))-MIN(MAX(AO186,0),MAX(0,AK176-IF($A187&gt;='1-Input'!$C$12,'1-Input'!$B$12,0))))*(1/(1-'P-Parametri'!$B$6*AK187))+MIN(MAX(0,AP186-(MAX(0,AK176-IF($A187&gt;='1-Input'!$C$12,'1-Input'!$B$12,0))-MIN(MAX(AO186,0),MAX(0,AK176-IF($A187&gt;='1-Input'!$C$12,'1-Input'!$B$12,0))))*(1/(1-'P-Parametri'!$B$6*AK187))),MAX(0,2*AK176-(AO186-MIN(MAX(AO186,0),MAX(0,AK176-IF($A187&gt;='1-Input'!$C$12,'1-Input'!$B$12,0)))))*(1/(1-'P-Parametri'!$B$6*AK187))))</f>
        <v>20003.59984996622</v>
      </c>
      <c r="AM187" s="18">
        <f>IF($A187&gt;'1-Input'!$B$26,AO186,(AO186-MAX(0,AK176-IF($A187&gt;='1-Input'!$C$12,'1-Input'!$B$12,0))+AL187*(1-'P-Parametri'!$B$6*AK187))*(1+ROUND('3-Liquidita'!$F$11,4)))</f>
        <v>35670.623508598648</v>
      </c>
      <c r="AN187" s="18">
        <f>IF($A187&gt;'1-Input'!$B$26,AP186,(AP186-AL187)*(1+'5-Roberta'!$C$4))</f>
        <v>314177.78142739472</v>
      </c>
      <c r="AO187" s="18">
        <f>IF($A187&gt;'1-Input'!$B$26,AM187,AM187-'P-Parametri'!$B$8*(AN187+AM187)+MIN(MAX(AN187,0),'P-Parametri'!$B$8*(AN187+AM187)))</f>
        <v>35670.623508598648</v>
      </c>
      <c r="AP187" s="18">
        <f>IF($A187&gt;'1-Input'!$B$26,AN187,AN187-MIN(MAX(AN187,0),'P-Parametri'!$B$8*(AN187+AM187)))</f>
        <v>313478.08461752272</v>
      </c>
      <c r="AQ187" s="18">
        <f>IF($A187&gt;'1-Input'!$B$26,AQ186,AQ186-AL187*(1-AK187))</f>
        <v>192045.19790851552</v>
      </c>
    </row>
    <row r="188" spans="1:43">
      <c r="A188" s="10">
        <f>10</f>
        <v>10</v>
      </c>
      <c r="B188" s="11">
        <f>IF($A188&gt;'1-Input'!$B$26,0,IF(G187&lt;=0,0,MAX(0,(G187-H187)/G187)))</f>
        <v>0.38748030203800943</v>
      </c>
      <c r="C188" s="18">
        <f>IF($A188&gt;'1-Input'!$B$26,0,(MAX(0,B176-IF($A188&gt;='1-Input'!$C$12,'1-Input'!$B$12,0))-MIN(MAX(F187,0),MAX(0,B176-IF($A188&gt;='1-Input'!$C$12,'1-Input'!$B$12,0))))*(1/(1-'P-Parametri'!$B$6*B188))+MIN(MAX(0,G187-(MAX(0,B176-IF($A188&gt;='1-Input'!$C$12,'1-Input'!$B$12,0))-MIN(MAX(F187,0),MAX(0,B176-IF($A188&gt;='1-Input'!$C$12,'1-Input'!$B$12,0))))*(1/(1-'P-Parametri'!$B$6*B188))),MAX(0,2*B176-(F187-MIN(MAX(F187,0),MAX(0,B176-IF($A188&gt;='1-Input'!$C$12,'1-Input'!$B$12,0)))))*(1/(1-'P-Parametri'!$B$6*B188))))</f>
        <v>18716.807289283519</v>
      </c>
      <c r="D188" s="18">
        <f>IF($A188&gt;'1-Input'!$B$26,F187,(F187-MAX(0,B176-IF($A188&gt;='1-Input'!$C$12,'1-Input'!$B$12,0))+C188*(1-'P-Parametri'!$B$6*B188))*(1+ROUND('3-Liquidita'!$F$11,4)))</f>
        <v>33211.981131419976</v>
      </c>
      <c r="E188" s="18">
        <f>IF($A188&gt;'1-Input'!$B$26,G187,(G187-C188)*(1+'5-Roberta'!$C$4))</f>
        <v>321283.29184228712</v>
      </c>
      <c r="F188" s="18">
        <f>IF($A188&gt;'1-Input'!$B$26,D188,D188-'P-Parametri'!$B$8*(E188+D188)+MIN(MAX(E188,0),'P-Parametri'!$B$8*(E188+D188)))</f>
        <v>33211.981131419976</v>
      </c>
      <c r="G188" s="18">
        <f>IF($A188&gt;'1-Input'!$B$26,E188,E188-MIN(MAX(E188,0),'P-Parametri'!$B$8*(E188+D188)))</f>
        <v>320574.30129633972</v>
      </c>
      <c r="H188" s="18">
        <f>IF($A188&gt;'1-Input'!$B$26,H187,H187-C188*(1-B188))</f>
        <v>191060.52900919589</v>
      </c>
      <c r="I188" s="11">
        <f>IF($A188&gt;'1-Input'!$B$26,0,IF(N187&lt;=0,0,MAX(0,(N187-O187)/N187)))</f>
        <v>0.38696488299458381</v>
      </c>
      <c r="J188" s="18">
        <f>IF($A188&gt;'1-Input'!$B$26,0,(MAX(0,I176-IF($A188&gt;='1-Input'!$C$12,'1-Input'!$B$12,0))-MIN(MAX(M187,0),MAX(0,I176-IF($A188&gt;='1-Input'!$C$12,'1-Input'!$B$12,0))))*(1/(1-'P-Parametri'!$B$6*I188))+MIN(MAX(0,N187-(MAX(0,I176-IF($A188&gt;='1-Input'!$C$12,'1-Input'!$B$12,0))-MIN(MAX(M187,0),MAX(0,I176-IF($A188&gt;='1-Input'!$C$12,'1-Input'!$B$12,0))))*(1/(1-'P-Parametri'!$B$6*I188))),MAX(0,2*I176-(M187-MIN(MAX(M187,0),MAX(0,I176-IF($A188&gt;='1-Input'!$C$12,'1-Input'!$B$12,0)))))*(1/(1-'P-Parametri'!$B$6*I188))))</f>
        <v>24623.708533689325</v>
      </c>
      <c r="K188" s="18">
        <f>IF($A188&gt;'1-Input'!$B$26,M187,(M187-MAX(0,I176-IF($A188&gt;='1-Input'!$C$12,'1-Input'!$B$12,0))+J188*(1-'P-Parametri'!$B$6*I188))*(1+ROUND('3-Liquidita'!$F$11,4)))</f>
        <v>43699.975172921026</v>
      </c>
      <c r="L188" s="18">
        <f>IF($A188&gt;'1-Input'!$B$26,N187,(N187-J188)*(1+'5-Roberta'!$C$4))</f>
        <v>239787.48096337845</v>
      </c>
      <c r="M188" s="18">
        <f>IF($A188&gt;'1-Input'!$B$26,K188,K188-'P-Parametri'!$B$8*(L188+K188)+MIN(MAX(L188,0),'P-Parametri'!$B$8*(L188+K188)))</f>
        <v>43699.975172921026</v>
      </c>
      <c r="N188" s="18">
        <f>IF($A188&gt;'1-Input'!$B$26,L188,L188-MIN(MAX(L188,0),'P-Parametri'!$B$8*(L188+K188)))</f>
        <v>239220.50605110585</v>
      </c>
      <c r="O188" s="18">
        <f>IF($A188&gt;'1-Input'!$B$26,O187,O187-J188*(1-I188))</f>
        <v>142716.64703768806</v>
      </c>
      <c r="P188" s="11">
        <f>IF($A188&gt;'1-Input'!$B$26,0,IF(U187&lt;=0,0,MAX(0,(U187-V187)/U187)))</f>
        <v>0.38735368434366974</v>
      </c>
      <c r="Q188" s="18">
        <f>IF($A188&gt;'1-Input'!$B$26,0,(MAX(0,P176-IF($A188&gt;='1-Input'!$C$12,'1-Input'!$B$12,0))-MIN(MAX(T187,0),MAX(0,P176-IF($A188&gt;='1-Input'!$C$12,'1-Input'!$B$12,0))))*(1/(1-'P-Parametri'!$B$6*P188))+MIN(MAX(0,U187-(MAX(0,P176-IF($A188&gt;='1-Input'!$C$12,'1-Input'!$B$12,0))-MIN(MAX(T187,0),MAX(0,P176-IF($A188&gt;='1-Input'!$C$12,'1-Input'!$B$12,0))))*(1/(1-'P-Parametri'!$B$6*P188))),MAX(0,2*P176-(T187-MIN(MAX(T187,0),MAX(0,P176-IF($A188&gt;='1-Input'!$C$12,'1-Input'!$B$12,0)))))*(1/(1-'P-Parametri'!$B$6*P188))))</f>
        <v>20338.947210519502</v>
      </c>
      <c r="R188" s="18">
        <f>IF($A188&gt;'1-Input'!$B$26,T187,(T187-MAX(0,P176-IF($A188&gt;='1-Input'!$C$12,'1-Input'!$B$12,0))+Q188*(1-'P-Parametri'!$B$6*P188))*(1+ROUND('3-Liquidita'!$F$11,4)))</f>
        <v>36091.703549375699</v>
      </c>
      <c r="S188" s="18">
        <f>IF($A188&gt;'1-Input'!$B$26,U187,(U187-Q188)*(1+'5-Roberta'!$C$4))</f>
        <v>298905.52989590901</v>
      </c>
      <c r="T188" s="18">
        <f>IF($A188&gt;'1-Input'!$B$26,R188,R188-'P-Parametri'!$B$8*(S188+R188)+MIN(MAX(S188,0),'P-Parametri'!$B$8*(S188+R188)))</f>
        <v>36091.703549375699</v>
      </c>
      <c r="U188" s="18">
        <f>IF($A188&gt;'1-Input'!$B$26,S188,S188-MIN(MAX(S188,0),'P-Parametri'!$B$8*(S188+R188)))</f>
        <v>298235.53542901843</v>
      </c>
      <c r="V188" s="18">
        <f>IF($A188&gt;'1-Input'!$B$26,V187,V187-Q188*(1-P188))</f>
        <v>177789.68118449685</v>
      </c>
      <c r="W188" s="11">
        <f>IF($A188&gt;'1-Input'!$B$26,0,IF(AB187&lt;=0,0,MAX(0,(AB187-AC187)/AB187)))</f>
        <v>0.3873715525723514</v>
      </c>
      <c r="X188" s="18">
        <f>IF($A188&gt;'1-Input'!$B$26,0,(MAX(0,W176-IF($A188&gt;='1-Input'!$C$12,'1-Input'!$B$12,0))-MIN(MAX(AA187,0),MAX(0,W176-IF($A188&gt;='1-Input'!$C$12,'1-Input'!$B$12,0))))*(1/(1-'P-Parametri'!$B$6*W188))+MIN(MAX(0,AB187-(MAX(0,W176-IF($A188&gt;='1-Input'!$C$12,'1-Input'!$B$12,0))-MIN(MAX(AA187,0),MAX(0,W176-IF($A188&gt;='1-Input'!$C$12,'1-Input'!$B$12,0))))*(1/(1-'P-Parametri'!$B$6*W188))),MAX(0,2*W176-(AA187-MIN(MAX(AA187,0),MAX(0,W176-IF($A188&gt;='1-Input'!$C$12,'1-Input'!$B$12,0)))))*(1/(1-'P-Parametri'!$B$6*W188))))</f>
        <v>20117.449491316398</v>
      </c>
      <c r="Y188" s="18">
        <f>IF($A188&gt;'1-Input'!$B$26,AA187,(AA187-MAX(0,W176-IF($A188&gt;='1-Input'!$C$12,'1-Input'!$B$12,0))+X188*(1-'P-Parametri'!$B$6*W188))*(1+ROUND('3-Liquidita'!$F$11,4)))</f>
        <v>35698.468794259323</v>
      </c>
      <c r="Z188" s="18">
        <f>IF($A188&gt;'1-Input'!$B$26,AB187,(AB187-X188)*(1+'5-Roberta'!$C$4))</f>
        <v>301961.23184718634</v>
      </c>
      <c r="AA188" s="18">
        <f>IF($A188&gt;'1-Input'!$B$26,Y188,Y188-'P-Parametri'!$B$8*(Z188+Y188)+MIN(MAX(Z188,0),'P-Parametri'!$B$8*(Z188+Y188)))</f>
        <v>35698.468794259323</v>
      </c>
      <c r="AB188" s="18">
        <f>IF($A188&gt;'1-Input'!$B$26,Z188,Z188-MIN(MAX(Z188,0),'P-Parametri'!$B$8*(Z188+Y188)))</f>
        <v>301285.91244590346</v>
      </c>
      <c r="AC188" s="18">
        <f>IF($A188&gt;'1-Input'!$B$26,AC187,AC187-X188*(1-W188))</f>
        <v>179601.98121347767</v>
      </c>
      <c r="AD188" s="11">
        <f>IF($A188&gt;'1-Input'!$B$26,0,IF(AI187&lt;=0,0,MAX(0,(AI187-AJ187)/AI187)))</f>
        <v>0.38737280778439032</v>
      </c>
      <c r="AE188" s="18">
        <f>IF($A188&gt;'1-Input'!$B$26,0,(MAX(0,AD176-IF($A188&gt;='1-Input'!$C$12,'1-Input'!$B$12,0))-MIN(MAX(AH187,0),MAX(0,AD176-IF($A188&gt;='1-Input'!$C$12,'1-Input'!$B$12,0))))*(1/(1-'P-Parametri'!$B$6*AD188))+MIN(MAX(0,AI187-(MAX(0,AD176-IF($A188&gt;='1-Input'!$C$12,'1-Input'!$B$12,0))-MIN(MAX(AH187,0),MAX(0,AD176-IF($A188&gt;='1-Input'!$C$12,'1-Input'!$B$12,0))))*(1/(1-'P-Parametri'!$B$6*AD188))),MAX(0,2*AD176-(AH187-MIN(MAX(AH187,0),MAX(0,AD176-IF($A188&gt;='1-Input'!$C$12,'1-Input'!$B$12,0)))))*(1/(1-'P-Parametri'!$B$6*AD188))))</f>
        <v>20101.80040457199</v>
      </c>
      <c r="AF188" s="18">
        <f>IF($A188&gt;'1-Input'!$B$26,AH187,(AH187-MAX(0,AD176-IF($A188&gt;='1-Input'!$C$12,'1-Input'!$B$12,0))+AE188*(1-'P-Parametri'!$B$6*AD188))*(1+ROUND('3-Liquidita'!$F$11,4)))</f>
        <v>35670.686502200319</v>
      </c>
      <c r="AG188" s="18">
        <f>IF($A188&gt;'1-Input'!$B$26,AI187,(AI187-AE188)*(1+'5-Roberta'!$C$4))</f>
        <v>302177.11978195282</v>
      </c>
      <c r="AH188" s="18">
        <f>IF($A188&gt;'1-Input'!$B$26,AF188,AF188-'P-Parametri'!$B$8*(AG188+AF188)+MIN(MAX(AG188,0),'P-Parametri'!$B$8*(AG188+AF188)))</f>
        <v>35670.686502200319</v>
      </c>
      <c r="AI188" s="18">
        <f>IF($A188&gt;'1-Input'!$B$26,AG188,AG188-MIN(MAX(AG188,0),'P-Parametri'!$B$8*(AG188+AF188)))</f>
        <v>301501.42416938453</v>
      </c>
      <c r="AJ188" s="18">
        <f>IF($A188&gt;'1-Input'!$B$26,AJ187,AJ187-AE188*(1-AD188))</f>
        <v>179730.0198483667</v>
      </c>
      <c r="AK188" s="11">
        <f>IF($A188&gt;'1-Input'!$B$26,0,IF(AP187&lt;=0,0,MAX(0,(AP187-AQ187)/AP187)))</f>
        <v>0.387372810629389</v>
      </c>
      <c r="AL188" s="18">
        <f>IF($A188&gt;'1-Input'!$B$26,0,(MAX(0,AK176-IF($A188&gt;='1-Input'!$C$12,'1-Input'!$B$12,0))-MIN(MAX(AO187,0),MAX(0,AK176-IF($A188&gt;='1-Input'!$C$12,'1-Input'!$B$12,0))))*(1/(1-'P-Parametri'!$B$6*AK188))+MIN(MAX(0,AP187-(MAX(0,AK176-IF($A188&gt;='1-Input'!$C$12,'1-Input'!$B$12,0))-MIN(MAX(AO187,0),MAX(0,AK176-IF($A188&gt;='1-Input'!$C$12,'1-Input'!$B$12,0))))*(1/(1-'P-Parametri'!$B$6*AK188))),MAX(0,2*AK176-(AO187-MIN(MAX(AO187,0),MAX(0,AK176-IF($A188&gt;='1-Input'!$C$12,'1-Input'!$B$12,0)))))*(1/(1-'P-Parametri'!$B$6*AK188))))</f>
        <v>20101.764921795177</v>
      </c>
      <c r="AM188" s="18">
        <f>IF($A188&gt;'1-Input'!$B$26,AO187,(AO187-MAX(0,AK176-IF($A188&gt;='1-Input'!$C$12,'1-Input'!$B$12,0))+AL188*(1-'P-Parametri'!$B$6*AK188))*(1+ROUND('3-Liquidita'!$F$11,4)))</f>
        <v>35670.623508598648</v>
      </c>
      <c r="AN188" s="18">
        <f>IF($A188&gt;'1-Input'!$B$26,AP187,(AP187-AL188)*(1+'5-Roberta'!$C$4))</f>
        <v>302177.60928659939</v>
      </c>
      <c r="AO188" s="18">
        <f>IF($A188&gt;'1-Input'!$B$26,AM188,AM188-'P-Parametri'!$B$8*(AN188+AM188)+MIN(MAX(AN188,0),'P-Parametri'!$B$8*(AN188+AM188)))</f>
        <v>35670.623508598648</v>
      </c>
      <c r="AP188" s="18">
        <f>IF($A188&gt;'1-Input'!$B$26,AN188,AN188-MIN(MAX(AN188,0),'P-Parametri'!$B$8*(AN188+AM188)))</f>
        <v>301501.912821009</v>
      </c>
      <c r="AQ188" s="18">
        <f>IF($A188&gt;'1-Input'!$B$26,AQ187,AQ187-AL188*(1-AK188))</f>
        <v>179730.31016308739</v>
      </c>
    </row>
    <row r="189" spans="1:43">
      <c r="A189" s="10">
        <f>11</f>
        <v>11</v>
      </c>
      <c r="B189" s="11">
        <f>IF($A189&gt;'1-Input'!$B$26,0,IF(G188&lt;=0,0,MAX(0,(G188-H188)/G188)))</f>
        <v>0.40400547318801128</v>
      </c>
      <c r="C189" s="18">
        <f>IF($A189&gt;'1-Input'!$B$26,0,(MAX(0,B176-IF($A189&gt;='1-Input'!$C$12,'1-Input'!$B$12,0))-MIN(MAX(F188,0),MAX(0,B176-IF($A189&gt;='1-Input'!$C$12,'1-Input'!$B$12,0))))*(1/(1-'P-Parametri'!$B$6*B189))+MIN(MAX(0,G188-(MAX(0,B176-IF($A189&gt;='1-Input'!$C$12,'1-Input'!$B$12,0))-MIN(MAX(F188,0),MAX(0,B176-IF($A189&gt;='1-Input'!$C$12,'1-Input'!$B$12,0))))*(1/(1-'P-Parametri'!$B$6*B189))),MAX(0,2*B176-(F188-MIN(MAX(F188,0),MAX(0,B176-IF($A189&gt;='1-Input'!$C$12,'1-Input'!$B$12,0)))))*(1/(1-'P-Parametri'!$B$6*B189))))</f>
        <v>18806.663509970054</v>
      </c>
      <c r="D189" s="18">
        <f>IF($A189&gt;'1-Input'!$B$26,F188,(F188-MAX(0,B176-IF($A189&gt;='1-Input'!$C$12,'1-Input'!$B$12,0))+C189*(1-'P-Parametri'!$B$6*B189))*(1+ROUND('3-Liquidita'!$F$11,4)))</f>
        <v>33211.981131419976</v>
      </c>
      <c r="E189" s="18">
        <f>IF($A189&gt;'1-Input'!$B$26,G188,(G188-C189)*(1+'5-Roberta'!$C$4))</f>
        <v>310820.66691996076</v>
      </c>
      <c r="F189" s="18">
        <f>IF($A189&gt;'1-Input'!$B$26,D189,D189-'P-Parametri'!$B$8*(E189+D189)+MIN(MAX(E189,0),'P-Parametri'!$B$8*(E189+D189)))</f>
        <v>33211.981131419976</v>
      </c>
      <c r="G189" s="18">
        <f>IF($A189&gt;'1-Input'!$B$26,E189,E189-MIN(MAX(E189,0),'P-Parametri'!$B$8*(E189+D189)))</f>
        <v>310132.60162385798</v>
      </c>
      <c r="H189" s="18">
        <f>IF($A189&gt;'1-Input'!$B$26,H188,H188-C189*(1-B189))</f>
        <v>179851.86048965898</v>
      </c>
      <c r="I189" s="11">
        <f>IF($A189&gt;'1-Input'!$B$26,0,IF(N188&lt;=0,0,MAX(0,(N188-O188)/N188)))</f>
        <v>0.40340964328869533</v>
      </c>
      <c r="J189" s="18">
        <f>IF($A189&gt;'1-Input'!$B$26,0,(MAX(0,I176-IF($A189&gt;='1-Input'!$C$12,'1-Input'!$B$12,0))-MIN(MAX(M188,0),MAX(0,I176-IF($A189&gt;='1-Input'!$C$12,'1-Input'!$B$12,0))))*(1/(1-'P-Parametri'!$B$6*I189))+MIN(MAX(0,N188-(MAX(0,I176-IF($A189&gt;='1-Input'!$C$12,'1-Input'!$B$12,0))-MIN(MAX(M188,0),MAX(0,I176-IF($A189&gt;='1-Input'!$C$12,'1-Input'!$B$12,0))))*(1/(1-'P-Parametri'!$B$6*I189))),MAX(0,2*I176-(M188-MIN(MAX(M188,0),MAX(0,I176-IF($A189&gt;='1-Input'!$C$12,'1-Input'!$B$12,0)))))*(1/(1-'P-Parametri'!$B$6*I189))))</f>
        <v>24741.327200812946</v>
      </c>
      <c r="K189" s="18">
        <f>IF($A189&gt;'1-Input'!$B$26,M188,(M188-MAX(0,I176-IF($A189&gt;='1-Input'!$C$12,'1-Input'!$B$12,0))+J189*(1-'P-Parametri'!$B$6*I189))*(1+ROUND('3-Liquidita'!$F$11,4)))</f>
        <v>43699.975172921026</v>
      </c>
      <c r="L189" s="18">
        <f>IF($A189&gt;'1-Input'!$B$26,N188,(N188-J189)*(1+'5-Roberta'!$C$4))</f>
        <v>220913.55421580168</v>
      </c>
      <c r="M189" s="18">
        <f>IF($A189&gt;'1-Input'!$B$26,K189,K189-'P-Parametri'!$B$8*(L189+K189)+MIN(MAX(L189,0),'P-Parametri'!$B$8*(L189+K189)))</f>
        <v>43699.975172921026</v>
      </c>
      <c r="N189" s="18">
        <f>IF($A189&gt;'1-Input'!$B$26,L189,L189-MIN(MAX(L189,0),'P-Parametri'!$B$8*(L189+K189)))</f>
        <v>220384.32715702424</v>
      </c>
      <c r="O189" s="18">
        <f>IF($A189&gt;'1-Input'!$B$26,O188,O188-J189*(1-I189))</f>
        <v>127956.20981744396</v>
      </c>
      <c r="P189" s="11">
        <f>IF($A189&gt;'1-Input'!$B$26,0,IF(U188&lt;=0,0,MAX(0,(U188-V188)/U188)))</f>
        <v>0.40386151191291658</v>
      </c>
      <c r="Q189" s="18">
        <f>IF($A189&gt;'1-Input'!$B$26,0,(MAX(0,P176-IF($A189&gt;='1-Input'!$C$12,'1-Input'!$B$12,0))-MIN(MAX(T188,0),MAX(0,P176-IF($A189&gt;='1-Input'!$C$12,'1-Input'!$B$12,0))))*(1/(1-'P-Parametri'!$B$6*P189))+MIN(MAX(0,U188-(MAX(0,P176-IF($A189&gt;='1-Input'!$C$12,'1-Input'!$B$12,0))-MIN(MAX(T188,0),MAX(0,P176-IF($A189&gt;='1-Input'!$C$12,'1-Input'!$B$12,0))))*(1/(1-'P-Parametri'!$B$6*P189))),MAX(0,2*P176-(T188-MIN(MAX(T188,0),MAX(0,P176-IF($A189&gt;='1-Input'!$C$12,'1-Input'!$B$12,0)))))*(1/(1-'P-Parametri'!$B$6*P189))))</f>
        <v>20436.484491171555</v>
      </c>
      <c r="R189" s="18">
        <f>IF($A189&gt;'1-Input'!$B$26,T188,(T188-MAX(0,P176-IF($A189&gt;='1-Input'!$C$12,'1-Input'!$B$12,0))+Q189*(1-'P-Parametri'!$B$6*P189))*(1+ROUND('3-Liquidita'!$F$11,4)))</f>
        <v>36091.703549375699</v>
      </c>
      <c r="S189" s="18">
        <f>IF($A189&gt;'1-Input'!$B$26,U188,(U188-Q189)*(1+'5-Roberta'!$C$4))</f>
        <v>286133.0224659823</v>
      </c>
      <c r="T189" s="18">
        <f>IF($A189&gt;'1-Input'!$B$26,R189,R189-'P-Parametri'!$B$8*(S189+R189)+MIN(MAX(S189,0),'P-Parametri'!$B$8*(S189+R189)))</f>
        <v>36091.703549375699</v>
      </c>
      <c r="U189" s="18">
        <f>IF($A189&gt;'1-Input'!$B$26,S189,S189-MIN(MAX(S189,0),'P-Parametri'!$B$8*(S189+R189)))</f>
        <v>285488.57301395159</v>
      </c>
      <c r="V189" s="18">
        <f>IF($A189&gt;'1-Input'!$B$26,V188,V188-Q189*(1-P189))</f>
        <v>165606.7062181147</v>
      </c>
      <c r="W189" s="11">
        <f>IF($A189&gt;'1-Input'!$B$26,0,IF(AB188&lt;=0,0,MAX(0,(AB188-AC188)/AB188)))</f>
        <v>0.40388191483820007</v>
      </c>
      <c r="X189" s="18">
        <f>IF($A189&gt;'1-Input'!$B$26,0,(MAX(0,W176-IF($A189&gt;='1-Input'!$C$12,'1-Input'!$B$12,0))-MIN(MAX(AA188,0),MAX(0,W176-IF($A189&gt;='1-Input'!$C$12,'1-Input'!$B$12,0))))*(1/(1-'P-Parametri'!$B$6*W189))+MIN(MAX(0,AB188-(MAX(0,W176-IF($A189&gt;='1-Input'!$C$12,'1-Input'!$B$12,0))-MIN(MAX(AA188,0),MAX(0,W176-IF($A189&gt;='1-Input'!$C$12,'1-Input'!$B$12,0))))*(1/(1-'P-Parametri'!$B$6*W189))),MAX(0,2*W176-(AA188-MIN(MAX(AA188,0),MAX(0,W176-IF($A189&gt;='1-Input'!$C$12,'1-Input'!$B$12,0)))))*(1/(1-'P-Parametri'!$B$6*W189))))</f>
        <v>20213.939944596648</v>
      </c>
      <c r="Y189" s="18">
        <f>IF($A189&gt;'1-Input'!$B$26,AA188,(AA188-MAX(0,W176-IF($A189&gt;='1-Input'!$C$12,'1-Input'!$B$12,0))+X189*(1-'P-Parametri'!$B$6*W189))*(1+ROUND('3-Liquidita'!$F$11,4)))</f>
        <v>35698.468794259323</v>
      </c>
      <c r="Z189" s="18">
        <f>IF($A189&gt;'1-Input'!$B$26,AB188,(AB188-X189)*(1+'5-Roberta'!$C$4))</f>
        <v>289504.13167634601</v>
      </c>
      <c r="AA189" s="18">
        <f>IF($A189&gt;'1-Input'!$B$26,Y189,Y189-'P-Parametri'!$B$8*(Z189+Y189)+MIN(MAX(Z189,0),'P-Parametri'!$B$8*(Z189+Y189)))</f>
        <v>35698.468794259323</v>
      </c>
      <c r="AB189" s="18">
        <f>IF($A189&gt;'1-Input'!$B$26,Z189,Z189-MIN(MAX(Z189,0),'P-Parametri'!$B$8*(Z189+Y189)))</f>
        <v>288853.72647540481</v>
      </c>
      <c r="AC189" s="18">
        <f>IF($A189&gt;'1-Input'!$B$26,AC188,AC188-X189*(1-W189))</f>
        <v>167552.0860401291</v>
      </c>
      <c r="AD189" s="11">
        <f>IF($A189&gt;'1-Input'!$B$26,0,IF(AI188&lt;=0,0,MAX(0,(AI188-AJ188)/AI188)))</f>
        <v>0.4038833470073635</v>
      </c>
      <c r="AE189" s="18">
        <f>IF($A189&gt;'1-Input'!$B$26,0,(MAX(0,AD176-IF($A189&gt;='1-Input'!$C$12,'1-Input'!$B$12,0))-MIN(MAX(AH188,0),MAX(0,AD176-IF($A189&gt;='1-Input'!$C$12,'1-Input'!$B$12,0))))*(1/(1-'P-Parametri'!$B$6*AD189))+MIN(MAX(0,AI188-(MAX(0,AD176-IF($A189&gt;='1-Input'!$C$12,'1-Input'!$B$12,0))-MIN(MAX(AH188,0),MAX(0,AD176-IF($A189&gt;='1-Input'!$C$12,'1-Input'!$B$12,0))))*(1/(1-'P-Parametri'!$B$6*AD189))),MAX(0,2*AD176-(AH188-MIN(MAX(AH188,0),MAX(0,AD176-IF($A189&gt;='1-Input'!$C$12,'1-Input'!$B$12,0)))))*(1/(1-'P-Parametri'!$B$6*AD189))))</f>
        <v>20198.216872747387</v>
      </c>
      <c r="AF189" s="18">
        <f>IF($A189&gt;'1-Input'!$B$26,AH188,(AH188-MAX(0,AD176-IF($A189&gt;='1-Input'!$C$12,'1-Input'!$B$12,0))+AE189*(1-'P-Parametri'!$B$6*AD189))*(1+ROUND('3-Liquidita'!$F$11,4)))</f>
        <v>35670.686502200319</v>
      </c>
      <c r="AG189" s="18">
        <f>IF($A189&gt;'1-Input'!$B$26,AI188,(AI188-AE189)*(1+'5-Roberta'!$C$4))</f>
        <v>289742.30351553624</v>
      </c>
      <c r="AH189" s="18">
        <f>IF($A189&gt;'1-Input'!$B$26,AF189,AF189-'P-Parametri'!$B$8*(AG189+AF189)+MIN(MAX(AG189,0),'P-Parametri'!$B$8*(AG189+AF189)))</f>
        <v>35670.686502200319</v>
      </c>
      <c r="AI189" s="18">
        <f>IF($A189&gt;'1-Input'!$B$26,AG189,AG189-MIN(MAX(AG189,0),'P-Parametri'!$B$8*(AG189+AF189)))</f>
        <v>289091.47753550077</v>
      </c>
      <c r="AJ189" s="18">
        <f>IF($A189&gt;'1-Input'!$B$26,AJ188,AJ188-AE189*(1-AD189))</f>
        <v>167689.52640976512</v>
      </c>
      <c r="AK189" s="11">
        <f>IF($A189&gt;'1-Input'!$B$26,0,IF(AP188&lt;=0,0,MAX(0,(AP188-AQ188)/AP188)))</f>
        <v>0.40388335025328048</v>
      </c>
      <c r="AL189" s="18">
        <f>IF($A189&gt;'1-Input'!$B$26,0,(MAX(0,AK176-IF($A189&gt;='1-Input'!$C$12,'1-Input'!$B$12,0))-MIN(MAX(AO188,0),MAX(0,AK176-IF($A189&gt;='1-Input'!$C$12,'1-Input'!$B$12,0))))*(1/(1-'P-Parametri'!$B$6*AK189))+MIN(MAX(0,AP188-(MAX(0,AK176-IF($A189&gt;='1-Input'!$C$12,'1-Input'!$B$12,0))-MIN(MAX(AO188,0),MAX(0,AK176-IF($A189&gt;='1-Input'!$C$12,'1-Input'!$B$12,0))))*(1/(1-'P-Parametri'!$B$6*AK189))),MAX(0,2*AK176-(AO188-MIN(MAX(AO188,0),MAX(0,AK176-IF($A189&gt;='1-Input'!$C$12,'1-Input'!$B$12,0)))))*(1/(1-'P-Parametri'!$B$6*AK189))))</f>
        <v>20198.181222212796</v>
      </c>
      <c r="AM189" s="18">
        <f>IF($A189&gt;'1-Input'!$B$26,AO188,(AO188-MAX(0,AK176-IF($A189&gt;='1-Input'!$C$12,'1-Input'!$B$12,0))+AL189*(1-'P-Parametri'!$B$6*AK189))*(1+ROUND('3-Liquidita'!$F$11,4)))</f>
        <v>35670.623508598648</v>
      </c>
      <c r="AN189" s="18">
        <f>IF($A189&gt;'1-Input'!$B$26,AP188,(AP188-AL189)*(1+'5-Roberta'!$C$4))</f>
        <v>289742.84354676009</v>
      </c>
      <c r="AO189" s="18">
        <f>IF($A189&gt;'1-Input'!$B$26,AM189,AM189-'P-Parametri'!$B$8*(AN189+AM189)+MIN(MAX(AN189,0),'P-Parametri'!$B$8*(AN189+AM189)))</f>
        <v>35670.623508598648</v>
      </c>
      <c r="AP189" s="18">
        <f>IF($A189&gt;'1-Input'!$B$26,AN189,AN189-MIN(MAX(AN189,0),'P-Parametri'!$B$8*(AN189+AM189)))</f>
        <v>289092.01661264937</v>
      </c>
      <c r="AQ189" s="18">
        <f>IF($A189&gt;'1-Input'!$B$26,AQ188,AQ188-AL189*(1-AK189))</f>
        <v>167689.83804192478</v>
      </c>
    </row>
    <row r="190" spans="1:43">
      <c r="A190" s="10">
        <f>12</f>
        <v>12</v>
      </c>
      <c r="B190" s="11">
        <f>IF($A190&gt;'1-Input'!$B$26,0,IF(G189&lt;=0,0,MAX(0,(G189-H189)/G189)))</f>
        <v>0.42008076691082297</v>
      </c>
      <c r="C190" s="18">
        <f>IF($A190&gt;'1-Input'!$B$26,0,(MAX(0,B176-IF($A190&gt;='1-Input'!$C$12,'1-Input'!$B$12,0))-MIN(MAX(F189,0),MAX(0,B176-IF($A190&gt;='1-Input'!$C$12,'1-Input'!$B$12,0))))*(1/(1-'P-Parametri'!$B$6*B190))+MIN(MAX(0,G189-(MAX(0,B176-IF($A190&gt;='1-Input'!$C$12,'1-Input'!$B$12,0))-MIN(MAX(F189,0),MAX(0,B176-IF($A190&gt;='1-Input'!$C$12,'1-Input'!$B$12,0))))*(1/(1-'P-Parametri'!$B$6*B190))),MAX(0,2*B176-(F189-MIN(MAX(F189,0),MAX(0,B176-IF($A190&gt;='1-Input'!$C$12,'1-Input'!$B$12,0)))))*(1/(1-'P-Parametri'!$B$6*B190))))</f>
        <v>18894.905247048133</v>
      </c>
      <c r="D190" s="18">
        <f>IF($A190&gt;'1-Input'!$B$26,F189,(F189-MAX(0,B176-IF($A190&gt;='1-Input'!$C$12,'1-Input'!$B$12,0))+C190*(1-'P-Parametri'!$B$6*B190))*(1+ROUND('3-Liquidita'!$F$11,4)))</f>
        <v>33211.981131419976</v>
      </c>
      <c r="E190" s="18">
        <f>IF($A190&gt;'1-Input'!$B$26,G189,(G189-C190)*(1+'5-Roberta'!$C$4))</f>
        <v>299974.82726811414</v>
      </c>
      <c r="F190" s="18">
        <f>IF($A190&gt;'1-Input'!$B$26,D190,D190-'P-Parametri'!$B$8*(E190+D190)+MIN(MAX(E190,0),'P-Parametri'!$B$8*(E190+D190)))</f>
        <v>33211.981131419976</v>
      </c>
      <c r="G190" s="18">
        <f>IF($A190&gt;'1-Input'!$B$26,E190,E190-MIN(MAX(E190,0),'P-Parametri'!$B$8*(E190+D190)))</f>
        <v>299308.45365131507</v>
      </c>
      <c r="H190" s="18">
        <f>IF($A190&gt;'1-Input'!$B$26,H189,H189-C190*(1-B190))</f>
        <v>168894.34152949817</v>
      </c>
      <c r="I190" s="11">
        <f>IF($A190&gt;'1-Input'!$B$26,0,IF(N189&lt;=0,0,MAX(0,(N189-O189)/N189)))</f>
        <v>0.41939514724985444</v>
      </c>
      <c r="J190" s="18">
        <f>IF($A190&gt;'1-Input'!$B$26,0,(MAX(0,I176-IF($A190&gt;='1-Input'!$C$12,'1-Input'!$B$12,0))-MIN(MAX(M189,0),MAX(0,I176-IF($A190&gt;='1-Input'!$C$12,'1-Input'!$B$12,0))))*(1/(1-'P-Parametri'!$B$6*I190))+MIN(MAX(0,N189-(MAX(0,I176-IF($A190&gt;='1-Input'!$C$12,'1-Input'!$B$12,0))-MIN(MAX(M189,0),MAX(0,I176-IF($A190&gt;='1-Input'!$C$12,'1-Input'!$B$12,0))))*(1/(1-'P-Parametri'!$B$6*I190))),MAX(0,2*I176-(M189-MIN(MAX(M189,0),MAX(0,I176-IF($A190&gt;='1-Input'!$C$12,'1-Input'!$B$12,0)))))*(1/(1-'P-Parametri'!$B$6*I190))))</f>
        <v>24856.74314302663</v>
      </c>
      <c r="K190" s="18">
        <f>IF($A190&gt;'1-Input'!$B$26,M189,(M189-MAX(0,I176-IF($A190&gt;='1-Input'!$C$12,'1-Input'!$B$12,0))+J190*(1-'P-Parametri'!$B$6*I190))*(1+ROUND('3-Liquidita'!$F$11,4)))</f>
        <v>43699.975172921026</v>
      </c>
      <c r="L190" s="18">
        <f>IF($A190&gt;'1-Input'!$B$26,N189,(N189-J190)*(1+'5-Roberta'!$C$4))</f>
        <v>201393.41153441754</v>
      </c>
      <c r="M190" s="18">
        <f>IF($A190&gt;'1-Input'!$B$26,K190,K190-'P-Parametri'!$B$8*(L190+K190)+MIN(MAX(L190,0),'P-Parametri'!$B$8*(L190+K190)))</f>
        <v>43699.975172921026</v>
      </c>
      <c r="N190" s="18">
        <f>IF($A190&gt;'1-Input'!$B$26,L190,L190-MIN(MAX(L190,0),'P-Parametri'!$B$8*(L190+K190)))</f>
        <v>200903.22476100287</v>
      </c>
      <c r="O190" s="18">
        <f>IF($A190&gt;'1-Input'!$B$26,O189,O189-J190*(1-I190))</f>
        <v>113524.2641250388</v>
      </c>
      <c r="P190" s="11">
        <f>IF($A190&gt;'1-Input'!$B$26,0,IF(U189&lt;=0,0,MAX(0,(U189-V189)/U189)))</f>
        <v>0.41991826688621392</v>
      </c>
      <c r="Q190" s="18">
        <f>IF($A190&gt;'1-Input'!$B$26,0,(MAX(0,P176-IF($A190&gt;='1-Input'!$C$12,'1-Input'!$B$12,0))-MIN(MAX(T189,0),MAX(0,P176-IF($A190&gt;='1-Input'!$C$12,'1-Input'!$B$12,0))))*(1/(1-'P-Parametri'!$B$6*P190))+MIN(MAX(0,U189-(MAX(0,P176-IF($A190&gt;='1-Input'!$C$12,'1-Input'!$B$12,0))-MIN(MAX(T189,0),MAX(0,P176-IF($A190&gt;='1-Input'!$C$12,'1-Input'!$B$12,0))))*(1/(1-'P-Parametri'!$B$6*P190))),MAX(0,2*P176-(T189-MIN(MAX(T189,0),MAX(0,P176-IF($A190&gt;='1-Input'!$C$12,'1-Input'!$B$12,0)))))*(1/(1-'P-Parametri'!$B$6*P190))))</f>
        <v>20532.258297846129</v>
      </c>
      <c r="R190" s="18">
        <f>IF($A190&gt;'1-Input'!$B$26,T189,(T189-MAX(0,P176-IF($A190&gt;='1-Input'!$C$12,'1-Input'!$B$12,0))+Q190*(1-'P-Parametri'!$B$6*P190))*(1+ROUND('3-Liquidita'!$F$11,4)))</f>
        <v>36091.703549375699</v>
      </c>
      <c r="S190" s="18">
        <f>IF($A190&gt;'1-Input'!$B$26,U189,(U189-Q190)*(1+'5-Roberta'!$C$4))</f>
        <v>272905.00415758864</v>
      </c>
      <c r="T190" s="18">
        <f>IF($A190&gt;'1-Input'!$B$26,R190,R190-'P-Parametri'!$B$8*(S190+R190)+MIN(MAX(S190,0),'P-Parametri'!$B$8*(S190+R190)))</f>
        <v>36091.703549375699</v>
      </c>
      <c r="U190" s="18">
        <f>IF($A190&gt;'1-Input'!$B$26,S190,S190-MIN(MAX(S190,0),'P-Parametri'!$B$8*(S190+R190)))</f>
        <v>272287.01074217469</v>
      </c>
      <c r="V190" s="18">
        <f>IF($A190&gt;'1-Input'!$B$26,V189,V189-Q190*(1-P190))</f>
        <v>153696.31823996021</v>
      </c>
      <c r="W190" s="11">
        <f>IF($A190&gt;'1-Input'!$B$26,0,IF(AB189&lt;=0,0,MAX(0,(AB189-AC189)/AB189)))</f>
        <v>0.4199414074223628</v>
      </c>
      <c r="X190" s="18">
        <f>IF($A190&gt;'1-Input'!$B$26,0,(MAX(0,W176-IF($A190&gt;='1-Input'!$C$12,'1-Input'!$B$12,0))-MIN(MAX(AA189,0),MAX(0,W176-IF($A190&gt;='1-Input'!$C$12,'1-Input'!$B$12,0))))*(1/(1-'P-Parametri'!$B$6*W190))+MIN(MAX(0,AB189-(MAX(0,W176-IF($A190&gt;='1-Input'!$C$12,'1-Input'!$B$12,0))-MIN(MAX(AA189,0),MAX(0,W176-IF($A190&gt;='1-Input'!$C$12,'1-Input'!$B$12,0))))*(1/(1-'P-Parametri'!$B$6*W190))),MAX(0,2*W176-(AA189-MIN(MAX(AA189,0),MAX(0,W176-IF($A190&gt;='1-Input'!$C$12,'1-Input'!$B$12,0)))))*(1/(1-'P-Parametri'!$B$6*W190))))</f>
        <v>20308.68760675771</v>
      </c>
      <c r="Y190" s="18">
        <f>IF($A190&gt;'1-Input'!$B$26,AA189,(AA189-MAX(0,W176-IF($A190&gt;='1-Input'!$C$12,'1-Input'!$B$12,0))+X190*(1-'P-Parametri'!$B$6*W190))*(1+ROUND('3-Liquidita'!$F$11,4)))</f>
        <v>35698.468794259323</v>
      </c>
      <c r="Z190" s="18">
        <f>IF($A190&gt;'1-Input'!$B$26,AB189,(AB189-X190)*(1+'5-Roberta'!$C$4))</f>
        <v>276601.39003470651</v>
      </c>
      <c r="AA190" s="18">
        <f>IF($A190&gt;'1-Input'!$B$26,Y190,Y190-'P-Parametri'!$B$8*(Z190+Y190)+MIN(MAX(Z190,0),'P-Parametri'!$B$8*(Z190+Y190)))</f>
        <v>35698.468794259323</v>
      </c>
      <c r="AB190" s="18">
        <f>IF($A190&gt;'1-Input'!$B$26,Z190,Z190-MIN(MAX(Z190,0),'P-Parametri'!$B$8*(Z190+Y190)))</f>
        <v>275976.79031704855</v>
      </c>
      <c r="AC190" s="18">
        <f>IF($A190&gt;'1-Input'!$B$26,AC189,AC189-X190*(1-W190))</f>
        <v>155771.85728985432</v>
      </c>
      <c r="AD190" s="11">
        <f>IF($A190&gt;'1-Input'!$B$26,0,IF(AI189&lt;=0,0,MAX(0,(AI189-AJ189)/AI189)))</f>
        <v>0.41994303035386904</v>
      </c>
      <c r="AE190" s="18">
        <f>IF($A190&gt;'1-Input'!$B$26,0,(MAX(0,AD176-IF($A190&gt;='1-Input'!$C$12,'1-Input'!$B$12,0))-MIN(MAX(AH189,0),MAX(0,AD176-IF($A190&gt;='1-Input'!$C$12,'1-Input'!$B$12,0))))*(1/(1-'P-Parametri'!$B$6*AD190))+MIN(MAX(0,AI189-(MAX(0,AD176-IF($A190&gt;='1-Input'!$C$12,'1-Input'!$B$12,0))-MIN(MAX(AH189,0),MAX(0,AD176-IF($A190&gt;='1-Input'!$C$12,'1-Input'!$B$12,0))))*(1/(1-'P-Parametri'!$B$6*AD190))),MAX(0,2*AD176-(AH189-MIN(MAX(AH189,0),MAX(0,AD176-IF($A190&gt;='1-Input'!$C$12,'1-Input'!$B$12,0)))))*(1/(1-'P-Parametri'!$B$6*AD190))))</f>
        <v>20292.89200646785</v>
      </c>
      <c r="AF190" s="18">
        <f>IF($A190&gt;'1-Input'!$B$26,AH189,(AH189-MAX(0,AD176-IF($A190&gt;='1-Input'!$C$12,'1-Input'!$B$12,0))+AE190*(1-'P-Parametri'!$B$6*AD190))*(1+ROUND('3-Liquidita'!$F$11,4)))</f>
        <v>35670.686502200319</v>
      </c>
      <c r="AG190" s="18">
        <f>IF($A190&gt;'1-Input'!$B$26,AI189,(AI189-AE190)*(1+'5-Roberta'!$C$4))</f>
        <v>276862.54309490393</v>
      </c>
      <c r="AH190" s="18">
        <f>IF($A190&gt;'1-Input'!$B$26,AF190,AF190-'P-Parametri'!$B$8*(AG190+AF190)+MIN(MAX(AG190,0),'P-Parametri'!$B$8*(AG190+AF190)))</f>
        <v>35670.686502200319</v>
      </c>
      <c r="AI190" s="18">
        <f>IF($A190&gt;'1-Input'!$B$26,AG190,AG190-MIN(MAX(AG190,0),'P-Parametri'!$B$8*(AG190+AF190)))</f>
        <v>276237.4766357097</v>
      </c>
      <c r="AJ190" s="18">
        <f>IF($A190&gt;'1-Input'!$B$26,AJ189,AJ189-AE190*(1-AD190))</f>
        <v>155918.49296713719</v>
      </c>
      <c r="AK190" s="11">
        <f>IF($A190&gt;'1-Input'!$B$26,0,IF(AP189&lt;=0,0,MAX(0,(AP189-AQ189)/AP189)))</f>
        <v>0.41994303403192829</v>
      </c>
      <c r="AL190" s="18">
        <f>IF($A190&gt;'1-Input'!$B$26,0,(MAX(0,AK176-IF($A190&gt;='1-Input'!$C$12,'1-Input'!$B$12,0))-MIN(MAX(AO189,0),MAX(0,AK176-IF($A190&gt;='1-Input'!$C$12,'1-Input'!$B$12,0))))*(1/(1-'P-Parametri'!$B$6*AK190))+MIN(MAX(0,AP189-(MAX(0,AK176-IF($A190&gt;='1-Input'!$C$12,'1-Input'!$B$12,0))-MIN(MAX(AO189,0),MAX(0,AK176-IF($A190&gt;='1-Input'!$C$12,'1-Input'!$B$12,0))))*(1/(1-'P-Parametri'!$B$6*AK190))),MAX(0,2*AK176-(AO189-MIN(MAX(AO189,0),MAX(0,AK176-IF($A190&gt;='1-Input'!$C$12,'1-Input'!$B$12,0)))))*(1/(1-'P-Parametri'!$B$6*AK190))))</f>
        <v>20292.856191477651</v>
      </c>
      <c r="AM190" s="18">
        <f>IF($A190&gt;'1-Input'!$B$26,AO189,(AO189-MAX(0,AK176-IF($A190&gt;='1-Input'!$C$12,'1-Input'!$B$12,0))+AL190*(1-'P-Parametri'!$B$6*AK190))*(1+ROUND('3-Liquidita'!$F$11,4)))</f>
        <v>35670.623508598648</v>
      </c>
      <c r="AN190" s="18">
        <f>IF($A190&gt;'1-Input'!$B$26,AP189,(AP189-AL190)*(1+'5-Roberta'!$C$4))</f>
        <v>276863.13523380685</v>
      </c>
      <c r="AO190" s="18">
        <f>IF($A190&gt;'1-Input'!$B$26,AM190,AM190-'P-Parametri'!$B$8*(AN190+AM190)+MIN(MAX(AN190,0),'P-Parametri'!$B$8*(AN190+AM190)))</f>
        <v>35670.623508598648</v>
      </c>
      <c r="AP190" s="18">
        <f>IF($A190&gt;'1-Input'!$B$26,AN190,AN190-MIN(MAX(AN190,0),'P-Parametri'!$B$8*(AN190+AM190)))</f>
        <v>276238.06771632202</v>
      </c>
      <c r="AQ190" s="18">
        <f>IF($A190&gt;'1-Input'!$B$26,AQ189,AQ189-AL190*(1-AK190))</f>
        <v>155918.82544866987</v>
      </c>
    </row>
    <row r="191" spans="1:43">
      <c r="A191" s="10">
        <f>13</f>
        <v>13</v>
      </c>
      <c r="B191" s="11">
        <f>IF($A191&gt;'1-Input'!$B$26,0,IF(G190&lt;=0,0,MAX(0,(G190-H190)/G190)))</f>
        <v>0.43571810462041022</v>
      </c>
      <c r="C191" s="18">
        <f>IF($A191&gt;'1-Input'!$B$26,0,(MAX(0,B176-IF($A191&gt;='1-Input'!$C$12,'1-Input'!$B$12,0))-MIN(MAX(F190,0),MAX(0,B176-IF($A191&gt;='1-Input'!$C$12,'1-Input'!$B$12,0))))*(1/(1-'P-Parametri'!$B$6*B191))+MIN(MAX(0,G190-(MAX(0,B176-IF($A191&gt;='1-Input'!$C$12,'1-Input'!$B$12,0))-MIN(MAX(F190,0),MAX(0,B176-IF($A191&gt;='1-Input'!$C$12,'1-Input'!$B$12,0))))*(1/(1-'P-Parametri'!$B$6*B191))),MAX(0,2*B176-(F190-MIN(MAX(F190,0),MAX(0,B176-IF($A191&gt;='1-Input'!$C$12,'1-Input'!$B$12,0)))))*(1/(1-'P-Parametri'!$B$6*B191))))</f>
        <v>18981.541101446575</v>
      </c>
      <c r="D191" s="18">
        <f>IF($A191&gt;'1-Input'!$B$26,F190,(F190-MAX(0,B176-IF($A191&gt;='1-Input'!$C$12,'1-Input'!$B$12,0))+C191*(1-'P-Parametri'!$B$6*B191))*(1+ROUND('3-Liquidita'!$F$11,4)))</f>
        <v>33211.981131419976</v>
      </c>
      <c r="E191" s="18">
        <f>IF($A191&gt;'1-Input'!$B$26,G190,(G190-C191)*(1+'5-Roberta'!$C$4))</f>
        <v>288736.7199263646</v>
      </c>
      <c r="F191" s="18">
        <f>IF($A191&gt;'1-Input'!$B$26,D191,D191-'P-Parametri'!$B$8*(E191+D191)+MIN(MAX(E191,0),'P-Parametri'!$B$8*(E191+D191)))</f>
        <v>33211.981131419976</v>
      </c>
      <c r="G191" s="18">
        <f>IF($A191&gt;'1-Input'!$B$26,E191,E191-MIN(MAX(E191,0),'P-Parametri'!$B$8*(E191+D191)))</f>
        <v>288092.82252424903</v>
      </c>
      <c r="H191" s="18">
        <f>IF($A191&gt;'1-Input'!$B$26,H190,H190-C191*(1-B191))</f>
        <v>158183.4015395483</v>
      </c>
      <c r="I191" s="11">
        <f>IF($A191&gt;'1-Input'!$B$26,0,IF(N190&lt;=0,0,MAX(0,(N190-O190)/N190)))</f>
        <v>0.4349306027312963</v>
      </c>
      <c r="J191" s="18">
        <f>IF($A191&gt;'1-Input'!$B$26,0,(MAX(0,I176-IF($A191&gt;='1-Input'!$C$12,'1-Input'!$B$12,0))-MIN(MAX(M190,0),MAX(0,I176-IF($A191&gt;='1-Input'!$C$12,'1-Input'!$B$12,0))))*(1/(1-'P-Parametri'!$B$6*I191))+MIN(MAX(0,N190-(MAX(0,I176-IF($A191&gt;='1-Input'!$C$12,'1-Input'!$B$12,0))-MIN(MAX(M190,0),MAX(0,I176-IF($A191&gt;='1-Input'!$C$12,'1-Input'!$B$12,0))))*(1/(1-'P-Parametri'!$B$6*I191))),MAX(0,2*I176-(M190-MIN(MAX(M190,0),MAX(0,I176-IF($A191&gt;='1-Input'!$C$12,'1-Input'!$B$12,0)))))*(1/(1-'P-Parametri'!$B$6*I191))))</f>
        <v>24969.94617869916</v>
      </c>
      <c r="K191" s="18">
        <f>IF($A191&gt;'1-Input'!$B$26,M190,(M190-MAX(0,I176-IF($A191&gt;='1-Input'!$C$12,'1-Input'!$B$12,0))+J191*(1-'P-Parametri'!$B$6*I191))*(1+ROUND('3-Liquidita'!$F$11,4)))</f>
        <v>43699.975172921026</v>
      </c>
      <c r="L191" s="18">
        <f>IF($A191&gt;'1-Input'!$B$26,N190,(N190-J191)*(1+'5-Roberta'!$C$4))</f>
        <v>181211.27693977286</v>
      </c>
      <c r="M191" s="18">
        <f>IF($A191&gt;'1-Input'!$B$26,K191,K191-'P-Parametri'!$B$8*(L191+K191)+MIN(MAX(L191,0),'P-Parametri'!$B$8*(L191+K191)))</f>
        <v>43699.975172921026</v>
      </c>
      <c r="N191" s="18">
        <f>IF($A191&gt;'1-Input'!$B$26,L191,L191-MIN(MAX(L191,0),'P-Parametri'!$B$8*(L191+K191)))</f>
        <v>180761.45443554746</v>
      </c>
      <c r="O191" s="18">
        <f>IF($A191&gt;'1-Input'!$B$26,O190,O190-J191*(1-I191))</f>
        <v>99414.511688009283</v>
      </c>
      <c r="P191" s="11">
        <f>IF($A191&gt;'1-Input'!$B$26,0,IF(U190&lt;=0,0,MAX(0,(U190-V190)/U190)))</f>
        <v>0.43553562169187199</v>
      </c>
      <c r="Q191" s="18">
        <f>IF($A191&gt;'1-Input'!$B$26,0,(MAX(0,P176-IF($A191&gt;='1-Input'!$C$12,'1-Input'!$B$12,0))-MIN(MAX(T190,0),MAX(0,P176-IF($A191&gt;='1-Input'!$C$12,'1-Input'!$B$12,0))))*(1/(1-'P-Parametri'!$B$6*P191))+MIN(MAX(0,U190-(MAX(0,P176-IF($A191&gt;='1-Input'!$C$12,'1-Input'!$B$12,0))-MIN(MAX(T190,0),MAX(0,P176-IF($A191&gt;='1-Input'!$C$12,'1-Input'!$B$12,0))))*(1/(1-'P-Parametri'!$B$6*P191))),MAX(0,2*P176-(T190-MIN(MAX(T190,0),MAX(0,P176-IF($A191&gt;='1-Input'!$C$12,'1-Input'!$B$12,0)))))*(1/(1-'P-Parametri'!$B$6*P191))))</f>
        <v>20626.276315019382</v>
      </c>
      <c r="R191" s="18">
        <f>IF($A191&gt;'1-Input'!$B$26,T190,(T190-MAX(0,P176-IF($A191&gt;='1-Input'!$C$12,'1-Input'!$B$12,0))+Q191*(1-'P-Parametri'!$B$6*P191))*(1+ROUND('3-Liquidita'!$F$11,4)))</f>
        <v>36091.703549375699</v>
      </c>
      <c r="S191" s="18">
        <f>IF($A191&gt;'1-Input'!$B$26,U190,(U190-Q191)*(1+'5-Roberta'!$C$4))</f>
        <v>259210.55645996999</v>
      </c>
      <c r="T191" s="18">
        <f>IF($A191&gt;'1-Input'!$B$26,R191,R191-'P-Parametri'!$B$8*(S191+R191)+MIN(MAX(S191,0),'P-Parametri'!$B$8*(S191+R191)))</f>
        <v>36091.703549375699</v>
      </c>
      <c r="U191" s="18">
        <f>IF($A191&gt;'1-Input'!$B$26,S191,S191-MIN(MAX(S191,0),'P-Parametri'!$B$8*(S191+R191)))</f>
        <v>258619.95193995131</v>
      </c>
      <c r="V191" s="18">
        <f>IF($A191&gt;'1-Input'!$B$26,V190,V190-Q191*(1-P191))</f>
        <v>142053.52000299114</v>
      </c>
      <c r="W191" s="11">
        <f>IF($A191&gt;'1-Input'!$B$26,0,IF(AB190&lt;=0,0,MAX(0,(AB190-AC190)/AB190)))</f>
        <v>0.43556174738136499</v>
      </c>
      <c r="X191" s="18">
        <f>IF($A191&gt;'1-Input'!$B$26,0,(MAX(0,W176-IF($A191&gt;='1-Input'!$C$12,'1-Input'!$B$12,0))-MIN(MAX(AA190,0),MAX(0,W176-IF($A191&gt;='1-Input'!$C$12,'1-Input'!$B$12,0))))*(1/(1-'P-Parametri'!$B$6*W191))+MIN(MAX(0,AB190-(MAX(0,W176-IF($A191&gt;='1-Input'!$C$12,'1-Input'!$B$12,0))-MIN(MAX(AA190,0),MAX(0,W176-IF($A191&gt;='1-Input'!$C$12,'1-Input'!$B$12,0))))*(1/(1-'P-Parametri'!$B$6*W191))),MAX(0,2*W176-(AA190-MIN(MAX(AA190,0),MAX(0,W176-IF($A191&gt;='1-Input'!$C$12,'1-Input'!$B$12,0)))))*(1/(1-'P-Parametri'!$B$6*W191))))</f>
        <v>20401.700372679767</v>
      </c>
      <c r="Y191" s="18">
        <f>IF($A191&gt;'1-Input'!$B$26,AA190,(AA190-MAX(0,W176-IF($A191&gt;='1-Input'!$C$12,'1-Input'!$B$12,0))+X191*(1-'P-Parametri'!$B$6*W191))*(1+ROUND('3-Liquidita'!$F$11,4)))</f>
        <v>35698.468794259323</v>
      </c>
      <c r="Z191" s="18">
        <f>IF($A191&gt;'1-Input'!$B$26,AB190,(AB190-X191)*(1+'5-Roberta'!$C$4))</f>
        <v>263242.34264269983</v>
      </c>
      <c r="AA191" s="18">
        <f>IF($A191&gt;'1-Input'!$B$26,Y191,Y191-'P-Parametri'!$B$8*(Z191+Y191)+MIN(MAX(Z191,0),'P-Parametri'!$B$8*(Z191+Y191)))</f>
        <v>35698.468794259323</v>
      </c>
      <c r="AB191" s="18">
        <f>IF($A191&gt;'1-Input'!$B$26,Z191,Z191-MIN(MAX(Z191,0),'P-Parametri'!$B$8*(Z191+Y191)))</f>
        <v>262644.46101982589</v>
      </c>
      <c r="AC191" s="18">
        <f>IF($A191&gt;'1-Input'!$B$26,AC190,AC190-X191*(1-W191))</f>
        <v>144256.35718105</v>
      </c>
      <c r="AD191" s="11">
        <f>IF($A191&gt;'1-Input'!$B$26,0,IF(AI190&lt;=0,0,MAX(0,(AI190-AJ190)/AI190)))</f>
        <v>0.43556357788209921</v>
      </c>
      <c r="AE191" s="18">
        <f>IF($A191&gt;'1-Input'!$B$26,0,(MAX(0,AD176-IF($A191&gt;='1-Input'!$C$12,'1-Input'!$B$12,0))-MIN(MAX(AH190,0),MAX(0,AD176-IF($A191&gt;='1-Input'!$C$12,'1-Input'!$B$12,0))))*(1/(1-'P-Parametri'!$B$6*AD191))+MIN(MAX(0,AI190-(MAX(0,AD176-IF($A191&gt;='1-Input'!$C$12,'1-Input'!$B$12,0))-MIN(MAX(AH190,0),MAX(0,AD176-IF($A191&gt;='1-Input'!$C$12,'1-Input'!$B$12,0))))*(1/(1-'P-Parametri'!$B$6*AD191))),MAX(0,2*AD176-(AH190-MIN(MAX(AH190,0),MAX(0,AD176-IF($A191&gt;='1-Input'!$C$12,'1-Input'!$B$12,0)))))*(1/(1-'P-Parametri'!$B$6*AD191))))</f>
        <v>20385.83371424822</v>
      </c>
      <c r="AF191" s="18">
        <f>IF($A191&gt;'1-Input'!$B$26,AH190,(AH190-MAX(0,AD176-IF($A191&gt;='1-Input'!$C$12,'1-Input'!$B$12,0))+AE191*(1-'P-Parametri'!$B$6*AD191))*(1+ROUND('3-Liquidita'!$F$11,4)))</f>
        <v>35670.686502200319</v>
      </c>
      <c r="AG191" s="18">
        <f>IF($A191&gt;'1-Input'!$B$26,AI190,(AI190-AE191)*(1+'5-Roberta'!$C$4))</f>
        <v>263527.19220910536</v>
      </c>
      <c r="AH191" s="18">
        <f>IF($A191&gt;'1-Input'!$B$26,AF191,AF191-'P-Parametri'!$B$8*(AG191+AF191)+MIN(MAX(AG191,0),'P-Parametri'!$B$8*(AG191+AF191)))</f>
        <v>35670.686502200319</v>
      </c>
      <c r="AI191" s="18">
        <f>IF($A191&gt;'1-Input'!$B$26,AG191,AG191-MIN(MAX(AG191,0),'P-Parametri'!$B$8*(AG191+AF191)))</f>
        <v>262928.79645168275</v>
      </c>
      <c r="AJ191" s="18">
        <f>IF($A191&gt;'1-Input'!$B$26,AJ190,AJ190-AE191*(1-AD191))</f>
        <v>144411.98592357646</v>
      </c>
      <c r="AK191" s="11">
        <f>IF($A191&gt;'1-Input'!$B$26,0,IF(AP190&lt;=0,0,MAX(0,(AP190-AQ190)/AP190)))</f>
        <v>0.43556358203030854</v>
      </c>
      <c r="AL191" s="18">
        <f>IF($A191&gt;'1-Input'!$B$26,0,(MAX(0,AK176-IF($A191&gt;='1-Input'!$C$12,'1-Input'!$B$12,0))-MIN(MAX(AO190,0),MAX(0,AK176-IF($A191&gt;='1-Input'!$C$12,'1-Input'!$B$12,0))))*(1/(1-'P-Parametri'!$B$6*AK191))+MIN(MAX(0,AP190-(MAX(0,AK176-IF($A191&gt;='1-Input'!$C$12,'1-Input'!$B$12,0))-MIN(MAX(AO190,0),MAX(0,AK176-IF($A191&gt;='1-Input'!$C$12,'1-Input'!$B$12,0))))*(1/(1-'P-Parametri'!$B$6*AK191))),MAX(0,2*AK176-(AO190-MIN(MAX(AO190,0),MAX(0,AK176-IF($A191&gt;='1-Input'!$C$12,'1-Input'!$B$12,0)))))*(1/(1-'P-Parametri'!$B$6*AK191))))</f>
        <v>20385.797738135312</v>
      </c>
      <c r="AM191" s="18">
        <f>IF($A191&gt;'1-Input'!$B$26,AO190,(AO190-MAX(0,AK176-IF($A191&gt;='1-Input'!$C$12,'1-Input'!$B$12,0))+AL191*(1-'P-Parametri'!$B$6*AK191))*(1+ROUND('3-Liquidita'!$F$11,4)))</f>
        <v>35670.623508598648</v>
      </c>
      <c r="AN191" s="18">
        <f>IF($A191&gt;'1-Input'!$B$26,AP190,(AP190-AL191)*(1+'5-Roberta'!$C$4))</f>
        <v>263527.8380775323</v>
      </c>
      <c r="AO191" s="18">
        <f>IF($A191&gt;'1-Input'!$B$26,AM191,AM191-'P-Parametri'!$B$8*(AN191+AM191)+MIN(MAX(AN191,0),'P-Parametri'!$B$8*(AN191+AM191)))</f>
        <v>35670.623508598648</v>
      </c>
      <c r="AP191" s="18">
        <f>IF($A191&gt;'1-Input'!$B$26,AN191,AN191-MIN(MAX(AN191,0),'P-Parametri'!$B$8*(AN191+AM191)))</f>
        <v>262929.44115436001</v>
      </c>
      <c r="AQ191" s="18">
        <f>IF($A191&gt;'1-Input'!$B$26,AQ190,AQ190-AL191*(1-AK191))</f>
        <v>144412.33879590215</v>
      </c>
    </row>
    <row r="192" spans="1:43">
      <c r="A192" s="10">
        <f>14</f>
        <v>14</v>
      </c>
      <c r="B192" s="11">
        <f>IF($A192&gt;'1-Input'!$B$26,0,IF(G191&lt;=0,0,MAX(0,(G191-H191)/G191)))</f>
        <v>0.4509290437937451</v>
      </c>
      <c r="C192" s="18">
        <f>IF($A192&gt;'1-Input'!$B$26,0,(MAX(0,B176-IF($A192&gt;='1-Input'!$C$12,'1-Input'!$B$12,0))-MIN(MAX(F191,0),MAX(0,B176-IF($A192&gt;='1-Input'!$C$12,'1-Input'!$B$12,0))))*(1/(1-'P-Parametri'!$B$6*B192))+MIN(MAX(0,G191-(MAX(0,B176-IF($A192&gt;='1-Input'!$C$12,'1-Input'!$B$12,0))-MIN(MAX(F191,0),MAX(0,B176-IF($A192&gt;='1-Input'!$C$12,'1-Input'!$B$12,0))))*(1/(1-'P-Parametri'!$B$6*B192))),MAX(0,2*B176-(F191-MIN(MAX(F191,0),MAX(0,B176-IF($A192&gt;='1-Input'!$C$12,'1-Input'!$B$12,0)))))*(1/(1-'P-Parametri'!$B$6*B192))))</f>
        <v>19066.580262008069</v>
      </c>
      <c r="D192" s="18">
        <f>IF($A192&gt;'1-Input'!$B$26,F191,(F191-MAX(0,B176-IF($A192&gt;='1-Input'!$C$12,'1-Input'!$B$12,0))+C192*(1-'P-Parametri'!$B$6*B192))*(1+ROUND('3-Liquidita'!$F$11,4)))</f>
        <v>33211.981131419976</v>
      </c>
      <c r="E192" s="18">
        <f>IF($A192&gt;'1-Input'!$B$26,G191,(G191-C192)*(1+'5-Roberta'!$C$4))</f>
        <v>277097.02953010821</v>
      </c>
      <c r="F192" s="18">
        <f>IF($A192&gt;'1-Input'!$B$26,D192,D192-'P-Parametri'!$B$8*(E192+D192)+MIN(MAX(E192,0),'P-Parametri'!$B$8*(E192+D192)))</f>
        <v>33211.981131419976</v>
      </c>
      <c r="G192" s="18">
        <f>IF($A192&gt;'1-Input'!$B$26,E192,E192-MIN(MAX(E192,0),'P-Parametri'!$B$8*(E192+D192)))</f>
        <v>276476.41150878515</v>
      </c>
      <c r="H192" s="18">
        <f>IF($A192&gt;'1-Input'!$B$26,H191,H191-C192*(1-B192))</f>
        <v>147714.49608350423</v>
      </c>
      <c r="I192" s="11">
        <f>IF($A192&gt;'1-Input'!$B$26,0,IF(N191&lt;=0,0,MAX(0,(N191-O191)/N191)))</f>
        <v>0.45002372326309947</v>
      </c>
      <c r="J192" s="18">
        <f>IF($A192&gt;'1-Input'!$B$26,0,(MAX(0,I176-IF($A192&gt;='1-Input'!$C$12,'1-Input'!$B$12,0))-MIN(MAX(M191,0),MAX(0,I176-IF($A192&gt;='1-Input'!$C$12,'1-Input'!$B$12,0))))*(1/(1-'P-Parametri'!$B$6*I192))+MIN(MAX(0,N191-(MAX(0,I176-IF($A192&gt;='1-Input'!$C$12,'1-Input'!$B$12,0))-MIN(MAX(M191,0),MAX(0,I176-IF($A192&gt;='1-Input'!$C$12,'1-Input'!$B$12,0))))*(1/(1-'P-Parametri'!$B$6*I192))),MAX(0,2*I176-(M191-MIN(MAX(M191,0),MAX(0,I176-IF($A192&gt;='1-Input'!$C$12,'1-Input'!$B$12,0)))))*(1/(1-'P-Parametri'!$B$6*I192))))</f>
        <v>25080.91790054442</v>
      </c>
      <c r="K192" s="18">
        <f>IF($A192&gt;'1-Input'!$B$26,M191,(M191-MAX(0,I176-IF($A192&gt;='1-Input'!$C$12,'1-Input'!$B$12,0))+J192*(1-'P-Parametri'!$B$6*I192))*(1+ROUND('3-Liquidita'!$F$11,4)))</f>
        <v>43699.975172921026</v>
      </c>
      <c r="L192" s="18">
        <f>IF($A192&gt;'1-Input'!$B$26,N191,(N191-J192)*(1+'5-Roberta'!$C$4))</f>
        <v>160350.95263105314</v>
      </c>
      <c r="M192" s="18">
        <f>IF($A192&gt;'1-Input'!$B$26,K192,K192-'P-Parametri'!$B$8*(L192+K192)+MIN(MAX(L192,0),'P-Parametri'!$B$8*(L192+K192)))</f>
        <v>43699.975172921026</v>
      </c>
      <c r="N192" s="18">
        <f>IF($A192&gt;'1-Input'!$B$26,L192,L192-MIN(MAX(L192,0),'P-Parametri'!$B$8*(L192+K192)))</f>
        <v>159942.8507754452</v>
      </c>
      <c r="O192" s="18">
        <f>IF($A192&gt;'1-Input'!$B$26,O191,O191-J192*(1-I192))</f>
        <v>85620.601843923985</v>
      </c>
      <c r="P192" s="11">
        <f>IF($A192&gt;'1-Input'!$B$26,0,IF(U191&lt;=0,0,MAX(0,(U191-V191)/U191)))</f>
        <v>0.45072482251495277</v>
      </c>
      <c r="Q192" s="18">
        <f>IF($A192&gt;'1-Input'!$B$26,0,(MAX(0,P176-IF($A192&gt;='1-Input'!$C$12,'1-Input'!$B$12,0))-MIN(MAX(T191,0),MAX(0,P176-IF($A192&gt;='1-Input'!$C$12,'1-Input'!$B$12,0))))*(1/(1-'P-Parametri'!$B$6*P192))+MIN(MAX(0,U191-(MAX(0,P176-IF($A192&gt;='1-Input'!$C$12,'1-Input'!$B$12,0))-MIN(MAX(T191,0),MAX(0,P176-IF($A192&gt;='1-Input'!$C$12,'1-Input'!$B$12,0))))*(1/(1-'P-Parametri'!$B$6*P192))),MAX(0,2*P176-(T191-MIN(MAX(T191,0),MAX(0,P176-IF($A192&gt;='1-Input'!$C$12,'1-Input'!$B$12,0)))))*(1/(1-'P-Parametri'!$B$6*P192))))</f>
        <v>20718.546437881629</v>
      </c>
      <c r="R192" s="18">
        <f>IF($A192&gt;'1-Input'!$B$26,T191,(T191-MAX(0,P176-IF($A192&gt;='1-Input'!$C$12,'1-Input'!$B$12,0))+Q192*(1-'P-Parametri'!$B$6*P192))*(1+ROUND('3-Liquidita'!$F$11,4)))</f>
        <v>36091.703549375699</v>
      </c>
      <c r="S192" s="18">
        <f>IF($A192&gt;'1-Input'!$B$26,U191,(U191-Q192)*(1+'5-Roberta'!$C$4))</f>
        <v>245038.44766713178</v>
      </c>
      <c r="T192" s="18">
        <f>IF($A192&gt;'1-Input'!$B$26,R192,R192-'P-Parametri'!$B$8*(S192+R192)+MIN(MAX(S192,0),'P-Parametri'!$B$8*(S192+R192)))</f>
        <v>36091.703549375699</v>
      </c>
      <c r="U192" s="18">
        <f>IF($A192&gt;'1-Input'!$B$26,S192,S192-MIN(MAX(S192,0),'P-Parametri'!$B$8*(S192+R192)))</f>
        <v>244476.18736469877</v>
      </c>
      <c r="V192" s="18">
        <f>IF($A192&gt;'1-Input'!$B$26,V191,V191-Q192*(1-P192))</f>
        <v>130673.33673109151</v>
      </c>
      <c r="W192" s="11">
        <f>IF($A192&gt;'1-Input'!$B$26,0,IF(AB191&lt;=0,0,MAX(0,(AB191-AC191)/AB191)))</f>
        <v>0.45075423779768681</v>
      </c>
      <c r="X192" s="18">
        <f>IF($A192&gt;'1-Input'!$B$26,0,(MAX(0,W176-IF($A192&gt;='1-Input'!$C$12,'1-Input'!$B$12,0))-MIN(MAX(AA191,0),MAX(0,W176-IF($A192&gt;='1-Input'!$C$12,'1-Input'!$B$12,0))))*(1/(1-'P-Parametri'!$B$6*W192))+MIN(MAX(0,AB191-(MAX(0,W176-IF($A192&gt;='1-Input'!$C$12,'1-Input'!$B$12,0))-MIN(MAX(AA191,0),MAX(0,W176-IF($A192&gt;='1-Input'!$C$12,'1-Input'!$B$12,0))))*(1/(1-'P-Parametri'!$B$6*W192))),MAX(0,2*W176-(AA191-MIN(MAX(AA191,0),MAX(0,W176-IF($A192&gt;='1-Input'!$C$12,'1-Input'!$B$12,0)))))*(1/(1-'P-Parametri'!$B$6*W192))))</f>
        <v>20492.986428266806</v>
      </c>
      <c r="Y192" s="18">
        <f>IF($A192&gt;'1-Input'!$B$26,AA191,(AA191-MAX(0,W176-IF($A192&gt;='1-Input'!$C$12,'1-Input'!$B$12,0))+X192*(1-'P-Parametri'!$B$6*W192))*(1+ROUND('3-Liquidita'!$F$11,4)))</f>
        <v>35698.468794259323</v>
      </c>
      <c r="Z192" s="18">
        <f>IF($A192&gt;'1-Input'!$B$26,AB191,(AB191-X192)*(1+'5-Roberta'!$C$4))</f>
        <v>249416.01882930586</v>
      </c>
      <c r="AA192" s="18">
        <f>IF($A192&gt;'1-Input'!$B$26,Y192,Y192-'P-Parametri'!$B$8*(Z192+Y192)+MIN(MAX(Z192,0),'P-Parametri'!$B$8*(Z192+Y192)))</f>
        <v>35698.468794259323</v>
      </c>
      <c r="AB192" s="18">
        <f>IF($A192&gt;'1-Input'!$B$26,Z192,Z192-MIN(MAX(Z192,0),'P-Parametri'!$B$8*(Z192+Y192)))</f>
        <v>248845.78985405873</v>
      </c>
      <c r="AC192" s="18">
        <f>IF($A192&gt;'1-Input'!$B$26,AC191,AC191-X192*(1-W192))</f>
        <v>133000.67123045493</v>
      </c>
      <c r="AD192" s="11">
        <f>IF($A192&gt;'1-Input'!$B$26,0,IF(AI191&lt;=0,0,MAX(0,(AI191-AJ191)/AI191)))</f>
        <v>0.45075629648609294</v>
      </c>
      <c r="AE192" s="18">
        <f>IF($A192&gt;'1-Input'!$B$26,0,(MAX(0,AD176-IF($A192&gt;='1-Input'!$C$12,'1-Input'!$B$12,0))-MIN(MAX(AH191,0),MAX(0,AD176-IF($A192&gt;='1-Input'!$C$12,'1-Input'!$B$12,0))))*(1/(1-'P-Parametri'!$B$6*AD192))+MIN(MAX(0,AI191-(MAX(0,AD176-IF($A192&gt;='1-Input'!$C$12,'1-Input'!$B$12,0))-MIN(MAX(AH191,0),MAX(0,AD176-IF($A192&gt;='1-Input'!$C$12,'1-Input'!$B$12,0))))*(1/(1-'P-Parametri'!$B$6*AD192))),MAX(0,2*AD176-(AH191-MIN(MAX(AH191,0),MAX(0,AD176-IF($A192&gt;='1-Input'!$C$12,'1-Input'!$B$12,0)))))*(1/(1-'P-Parametri'!$B$6*AD192))))</f>
        <v>20477.050200859245</v>
      </c>
      <c r="AF192" s="18">
        <f>IF($A192&gt;'1-Input'!$B$26,AH191,(AH191-MAX(0,AD176-IF($A192&gt;='1-Input'!$C$12,'1-Input'!$B$12,0))+AE192*(1-'P-Parametri'!$B$6*AD192))*(1+ROUND('3-Liquidita'!$F$11,4)))</f>
        <v>35670.686502200319</v>
      </c>
      <c r="AG192" s="18">
        <f>IF($A192&gt;'1-Input'!$B$26,AI191,(AI191-AE192)*(1+'5-Roberta'!$C$4))</f>
        <v>249725.29863834821</v>
      </c>
      <c r="AH192" s="18">
        <f>IF($A192&gt;'1-Input'!$B$26,AF192,AF192-'P-Parametri'!$B$8*(AG192+AF192)+MIN(MAX(AG192,0),'P-Parametri'!$B$8*(AG192+AF192)))</f>
        <v>35670.686502200319</v>
      </c>
      <c r="AI192" s="18">
        <f>IF($A192&gt;'1-Input'!$B$26,AG192,AG192-MIN(MAX(AG192,0),'P-Parametri'!$B$8*(AG192+AF192)))</f>
        <v>249154.5066680671</v>
      </c>
      <c r="AJ192" s="18">
        <f>IF($A192&gt;'1-Input'!$B$26,AJ191,AJ191-AE192*(1-AD192))</f>
        <v>133165.09503421633</v>
      </c>
      <c r="AK192" s="11">
        <f>IF($A192&gt;'1-Input'!$B$26,0,IF(AP191&lt;=0,0,MAX(0,(AP191-AQ191)/AP191)))</f>
        <v>0.45075630115107235</v>
      </c>
      <c r="AL192" s="18">
        <f>IF($A192&gt;'1-Input'!$B$26,0,(MAX(0,AK176-IF($A192&gt;='1-Input'!$C$12,'1-Input'!$B$12,0))-MIN(MAX(AO191,0),MAX(0,AK176-IF($A192&gt;='1-Input'!$C$12,'1-Input'!$B$12,0))))*(1/(1-'P-Parametri'!$B$6*AK192))+MIN(MAX(0,AP191-(MAX(0,AK176-IF($A192&gt;='1-Input'!$C$12,'1-Input'!$B$12,0))-MIN(MAX(AO191,0),MAX(0,AK176-IF($A192&gt;='1-Input'!$C$12,'1-Input'!$B$12,0))))*(1/(1-'P-Parametri'!$B$6*AK192))),MAX(0,2*AK176-(AO191-MIN(MAX(AO191,0),MAX(0,AK176-IF($A192&gt;='1-Input'!$C$12,'1-Input'!$B$12,0)))))*(1/(1-'P-Parametri'!$B$6*AK192))))</f>
        <v>20477.01406699908</v>
      </c>
      <c r="AM192" s="18">
        <f>IF($A192&gt;'1-Input'!$B$26,AO191,(AO191-MAX(0,AK176-IF($A192&gt;='1-Input'!$C$12,'1-Input'!$B$12,0))+AL192*(1-'P-Parametri'!$B$6*AK192))*(1+ROUND('3-Liquidita'!$F$11,4)))</f>
        <v>35670.623508598648</v>
      </c>
      <c r="AN192" s="18">
        <f>IF($A192&gt;'1-Input'!$B$26,AP191,(AP191-AL192)*(1+'5-Roberta'!$C$4))</f>
        <v>249725.99989998178</v>
      </c>
      <c r="AO192" s="18">
        <f>IF($A192&gt;'1-Input'!$B$26,AM192,AM192-'P-Parametri'!$B$8*(AN192+AM192)+MIN(MAX(AN192,0),'P-Parametri'!$B$8*(AN192+AM192)))</f>
        <v>35670.623508598648</v>
      </c>
      <c r="AP192" s="18">
        <f>IF($A192&gt;'1-Input'!$B$26,AN192,AN192-MIN(MAX(AN192,0),'P-Parametri'!$B$8*(AN192+AM192)))</f>
        <v>249155.20665316461</v>
      </c>
      <c r="AQ192" s="18">
        <f>IF($A192&gt;'1-Input'!$B$26,AQ191,AQ191-AL192*(1-AK192))</f>
        <v>133165.46784836205</v>
      </c>
    </row>
    <row r="193" spans="1:43">
      <c r="A193" s="10">
        <f>15</f>
        <v>15</v>
      </c>
      <c r="B193" s="11">
        <f>IF($A193&gt;'1-Input'!$B$26,0,IF(G192&lt;=0,0,MAX(0,(G192-H192)/G192)))</f>
        <v>0.46572477819211516</v>
      </c>
      <c r="C193" s="18">
        <f>IF($A193&gt;'1-Input'!$B$26,0,(MAX(0,B176-IF($A193&gt;='1-Input'!$C$12,'1-Input'!$B$12,0))-MIN(MAX(F192,0),MAX(0,B176-IF($A193&gt;='1-Input'!$C$12,'1-Input'!$B$12,0))))*(1/(1-'P-Parametri'!$B$6*B193))+MIN(MAX(0,G192-(MAX(0,B176-IF($A193&gt;='1-Input'!$C$12,'1-Input'!$B$12,0))-MIN(MAX(F192,0),MAX(0,B176-IF($A193&gt;='1-Input'!$C$12,'1-Input'!$B$12,0))))*(1/(1-'P-Parametri'!$B$6*B193))),MAX(0,2*B176-(F192-MIN(MAX(F192,0),MAX(0,B176-IF($A193&gt;='1-Input'!$C$12,'1-Input'!$B$12,0)))))*(1/(1-'P-Parametri'!$B$6*B193))))</f>
        <v>19150.032407215178</v>
      </c>
      <c r="D193" s="18">
        <f>IF($A193&gt;'1-Input'!$B$26,F192,(F192-MAX(0,B176-IF($A193&gt;='1-Input'!$C$12,'1-Input'!$B$12,0))+C193*(1-'P-Parametri'!$B$6*B193))*(1+ROUND('3-Liquidita'!$F$11,4)))</f>
        <v>33211.981131419976</v>
      </c>
      <c r="E193" s="18">
        <f>IF($A193&gt;'1-Input'!$B$26,G192,(G192-C193)*(1+'5-Roberta'!$C$4))</f>
        <v>265046.1704746171</v>
      </c>
      <c r="F193" s="18">
        <f>IF($A193&gt;'1-Input'!$B$26,D193,D193-'P-Parametri'!$B$8*(E193+D193)+MIN(MAX(E193,0),'P-Parametri'!$B$8*(E193+D193)))</f>
        <v>33211.981131419976</v>
      </c>
      <c r="G193" s="18">
        <f>IF($A193&gt;'1-Input'!$B$26,E193,E193-MIN(MAX(E193,0),'P-Parametri'!$B$8*(E193+D193)))</f>
        <v>264449.65417140501</v>
      </c>
      <c r="H193" s="18">
        <f>IF($A193&gt;'1-Input'!$B$26,H192,H192-C193*(1-B193))</f>
        <v>137483.10827151116</v>
      </c>
      <c r="I193" s="11">
        <f>IF($A193&gt;'1-Input'!$B$26,0,IF(N192&lt;=0,0,MAX(0,(N192-O192)/N192)))</f>
        <v>0.46468003146866094</v>
      </c>
      <c r="J193" s="18">
        <f>IF($A193&gt;'1-Input'!$B$26,0,(MAX(0,I176-IF($A193&gt;='1-Input'!$C$12,'1-Input'!$B$12,0))-MIN(MAX(M192,0),MAX(0,I176-IF($A193&gt;='1-Input'!$C$12,'1-Input'!$B$12,0))))*(1/(1-'P-Parametri'!$B$6*I193))+MIN(MAX(0,N192-(MAX(0,I176-IF($A193&gt;='1-Input'!$C$12,'1-Input'!$B$12,0))-MIN(MAX(M192,0),MAX(0,I176-IF($A193&gt;='1-Input'!$C$12,'1-Input'!$B$12,0))))*(1/(1-'P-Parametri'!$B$6*I193))),MAX(0,2*I176-(M192-MIN(MAX(M192,0),MAX(0,I176-IF($A193&gt;='1-Input'!$C$12,'1-Input'!$B$12,0)))))*(1/(1-'P-Parametri'!$B$6*I193))))</f>
        <v>25189.626021019092</v>
      </c>
      <c r="K193" s="18">
        <f>IF($A193&gt;'1-Input'!$B$26,M192,(M192-MAX(0,I176-IF($A193&gt;='1-Input'!$C$12,'1-Input'!$B$12,0))+J193*(1-'P-Parametri'!$B$6*I193))*(1+ROUND('3-Liquidita'!$F$11,4)))</f>
        <v>43699.975172921026</v>
      </c>
      <c r="L193" s="18">
        <f>IF($A193&gt;'1-Input'!$B$26,N192,(N192-J193)*(1+'5-Roberta'!$C$4))</f>
        <v>138795.8214970589</v>
      </c>
      <c r="M193" s="18">
        <f>IF($A193&gt;'1-Input'!$B$26,K193,K193-'P-Parametri'!$B$8*(L193+K193)+MIN(MAX(L193,0),'P-Parametri'!$B$8*(L193+K193)))</f>
        <v>43699.975172921026</v>
      </c>
      <c r="N193" s="18">
        <f>IF($A193&gt;'1-Input'!$B$26,L193,L193-MIN(MAX(L193,0),'P-Parametri'!$B$8*(L193+K193)))</f>
        <v>138430.82990371896</v>
      </c>
      <c r="O193" s="18">
        <f>IF($A193&gt;'1-Input'!$B$26,O192,O192-J193*(1-I193))</f>
        <v>72136.09203503585</v>
      </c>
      <c r="P193" s="11">
        <f>IF($A193&gt;'1-Input'!$B$26,0,IF(U192&lt;=0,0,MAX(0,(U192-V192)/U192)))</f>
        <v>0.46549666804088857</v>
      </c>
      <c r="Q193" s="18">
        <f>IF($A193&gt;'1-Input'!$B$26,0,(MAX(0,P176-IF($A193&gt;='1-Input'!$C$12,'1-Input'!$B$12,0))-MIN(MAX(T192,0),MAX(0,P176-IF($A193&gt;='1-Input'!$C$12,'1-Input'!$B$12,0))))*(1/(1-'P-Parametri'!$B$6*P193))+MIN(MAX(0,U192-(MAX(0,P176-IF($A193&gt;='1-Input'!$C$12,'1-Input'!$B$12,0))-MIN(MAX(T192,0),MAX(0,P176-IF($A193&gt;='1-Input'!$C$12,'1-Input'!$B$12,0))))*(1/(1-'P-Parametri'!$B$6*P193))),MAX(0,2*P176-(T192-MIN(MAX(T192,0),MAX(0,P176-IF($A193&gt;='1-Input'!$C$12,'1-Input'!$B$12,0)))))*(1/(1-'P-Parametri'!$B$6*P193))))</f>
        <v>20809.076518684778</v>
      </c>
      <c r="R193" s="18">
        <f>IF($A193&gt;'1-Input'!$B$26,T192,(T192-MAX(0,P176-IF($A193&gt;='1-Input'!$C$12,'1-Input'!$B$12,0))+Q193*(1-'P-Parametri'!$B$6*P193))*(1+ROUND('3-Liquidita'!$F$11,4)))</f>
        <v>36091.703549375699</v>
      </c>
      <c r="S193" s="18">
        <f>IF($A193&gt;'1-Input'!$B$26,U192,(U192-Q193)*(1+'5-Roberta'!$C$4))</f>
        <v>230377.12417139442</v>
      </c>
      <c r="T193" s="18">
        <f>IF($A193&gt;'1-Input'!$B$26,R193,R193-'P-Parametri'!$B$8*(S193+R193)+MIN(MAX(S193,0),'P-Parametri'!$B$8*(S193+R193)))</f>
        <v>36091.703549375699</v>
      </c>
      <c r="U193" s="18">
        <f>IF($A193&gt;'1-Input'!$B$26,S193,S193-MIN(MAX(S193,0),'P-Parametri'!$B$8*(S193+R193)))</f>
        <v>229844.18651595287</v>
      </c>
      <c r="V193" s="18">
        <f>IF($A193&gt;'1-Input'!$B$26,V192,V192-Q193*(1-P193))</f>
        <v>119550.81599686238</v>
      </c>
      <c r="W193" s="11">
        <f>IF($A193&gt;'1-Input'!$B$26,0,IF(AB192&lt;=0,0,MAX(0,(AB192-AC192)/AB192)))</f>
        <v>0.46552975114243966</v>
      </c>
      <c r="X193" s="18">
        <f>IF($A193&gt;'1-Input'!$B$26,0,(MAX(0,W176-IF($A193&gt;='1-Input'!$C$12,'1-Input'!$B$12,0))-MIN(MAX(AA192,0),MAX(0,W176-IF($A193&gt;='1-Input'!$C$12,'1-Input'!$B$12,0))))*(1/(1-'P-Parametri'!$B$6*W193))+MIN(MAX(0,AB192-(MAX(0,W176-IF($A193&gt;='1-Input'!$C$12,'1-Input'!$B$12,0))-MIN(MAX(AA192,0),MAX(0,W176-IF($A193&gt;='1-Input'!$C$12,'1-Input'!$B$12,0))))*(1/(1-'P-Parametri'!$B$6*W193))),MAX(0,2*W176-(AA192-MIN(MAX(AA192,0),MAX(0,W176-IF($A193&gt;='1-Input'!$C$12,'1-Input'!$B$12,0)))))*(1/(1-'P-Parametri'!$B$6*W193))))</f>
        <v>20582.554030559975</v>
      </c>
      <c r="Y193" s="18">
        <f>IF($A193&gt;'1-Input'!$B$26,AA192,(AA192-MAX(0,W176-IF($A193&gt;='1-Input'!$C$12,'1-Input'!$B$12,0))+X193*(1-'P-Parametri'!$B$6*W193))*(1+ROUND('3-Liquidita'!$F$11,4)))</f>
        <v>35698.468794259323</v>
      </c>
      <c r="Z193" s="18">
        <f>IF($A193&gt;'1-Input'!$B$26,AB192,(AB192-X193)*(1+'5-Roberta'!$C$4))</f>
        <v>235111.13289820371</v>
      </c>
      <c r="AA193" s="18">
        <f>IF($A193&gt;'1-Input'!$B$26,Y193,Y193-'P-Parametri'!$B$8*(Z193+Y193)+MIN(MAX(Z193,0),'P-Parametri'!$B$8*(Z193+Y193)))</f>
        <v>35698.468794259323</v>
      </c>
      <c r="AB193" s="18">
        <f>IF($A193&gt;'1-Input'!$B$26,Z193,Z193-MIN(MAX(Z193,0),'P-Parametri'!$B$8*(Z193+Y193)))</f>
        <v>234569.51369481877</v>
      </c>
      <c r="AC193" s="18">
        <f>IF($A193&gt;'1-Input'!$B$26,AC192,AC192-X193*(1-W193))</f>
        <v>121999.90845561736</v>
      </c>
      <c r="AD193" s="11">
        <f>IF($A193&gt;'1-Input'!$B$26,0,IF(AI192&lt;=0,0,MAX(0,(AI192-AJ192)/AI192)))</f>
        <v>0.46553206355755861</v>
      </c>
      <c r="AE193" s="18">
        <f>IF($A193&gt;'1-Input'!$B$26,0,(MAX(0,AD176-IF($A193&gt;='1-Input'!$C$12,'1-Input'!$B$12,0))-MIN(MAX(AH192,0),MAX(0,AD176-IF($A193&gt;='1-Input'!$C$12,'1-Input'!$B$12,0))))*(1/(1-'P-Parametri'!$B$6*AD193))+MIN(MAX(0,AI192-(MAX(0,AD176-IF($A193&gt;='1-Input'!$C$12,'1-Input'!$B$12,0))-MIN(MAX(AH192,0),MAX(0,AD176-IF($A193&gt;='1-Input'!$C$12,'1-Input'!$B$12,0))))*(1/(1-'P-Parametri'!$B$6*AD193))),MAX(0,2*AD176-(AH192-MIN(MAX(AH192,0),MAX(0,AD176-IF($A193&gt;='1-Input'!$C$12,'1-Input'!$B$12,0)))))*(1/(1-'P-Parametri'!$B$6*AD193))))</f>
        <v>20566.549749621612</v>
      </c>
      <c r="AF193" s="18">
        <f>IF($A193&gt;'1-Input'!$B$26,AH192,(AH192-MAX(0,AD176-IF($A193&gt;='1-Input'!$C$12,'1-Input'!$B$12,0))+AE193*(1-'P-Parametri'!$B$6*AD193))*(1+ROUND('3-Liquidita'!$F$11,4)))</f>
        <v>35670.686502200319</v>
      </c>
      <c r="AG193" s="18">
        <f>IF($A193&gt;'1-Input'!$B$26,AI192,(AI192-AE193)*(1+'5-Roberta'!$C$4))</f>
        <v>235445.59562599883</v>
      </c>
      <c r="AH193" s="18">
        <f>IF($A193&gt;'1-Input'!$B$26,AF193,AF193-'P-Parametri'!$B$8*(AG193+AF193)+MIN(MAX(AG193,0),'P-Parametri'!$B$8*(AG193+AF193)))</f>
        <v>35670.686502200319</v>
      </c>
      <c r="AI193" s="18">
        <f>IF($A193&gt;'1-Input'!$B$26,AG193,AG193-MIN(MAX(AG193,0),'P-Parametri'!$B$8*(AG193+AF193)))</f>
        <v>234903.36306174242</v>
      </c>
      <c r="AJ193" s="18">
        <f>IF($A193&gt;'1-Input'!$B$26,AJ192,AJ192-AE193*(1-AD193))</f>
        <v>122172.93362979525</v>
      </c>
      <c r="AK193" s="11">
        <f>IF($A193&gt;'1-Input'!$B$26,0,IF(AP192&lt;=0,0,MAX(0,(AP192-AQ192)/AP192)))</f>
        <v>0.46553206879704329</v>
      </c>
      <c r="AL193" s="18">
        <f>IF($A193&gt;'1-Input'!$B$26,0,(MAX(0,AK176-IF($A193&gt;='1-Input'!$C$12,'1-Input'!$B$12,0))-MIN(MAX(AO192,0),MAX(0,AK176-IF($A193&gt;='1-Input'!$C$12,'1-Input'!$B$12,0))))*(1/(1-'P-Parametri'!$B$6*AK193))+MIN(MAX(0,AP192-(MAX(0,AK176-IF($A193&gt;='1-Input'!$C$12,'1-Input'!$B$12,0))-MIN(MAX(AO192,0),MAX(0,AK176-IF($A193&gt;='1-Input'!$C$12,'1-Input'!$B$12,0))))*(1/(1-'P-Parametri'!$B$6*AK193))),MAX(0,2*AK176-(AO192-MIN(MAX(AO192,0),MAX(0,AK176-IF($A193&gt;='1-Input'!$C$12,'1-Input'!$B$12,0)))))*(1/(1-'P-Parametri'!$B$6*AK193))))</f>
        <v>20566.513461448885</v>
      </c>
      <c r="AM193" s="18">
        <f>IF($A193&gt;'1-Input'!$B$26,AO192,(AO192-MAX(0,AK176-IF($A193&gt;='1-Input'!$C$12,'1-Input'!$B$12,0))+AL193*(1-'P-Parametri'!$B$6*AK193))*(1+ROUND('3-Liquidita'!$F$11,4)))</f>
        <v>35670.623508598655</v>
      </c>
      <c r="AN193" s="18">
        <f>IF($A193&gt;'1-Input'!$B$26,AP192,(AP192-AL193)*(1+'5-Roberta'!$C$4))</f>
        <v>235446.35398746718</v>
      </c>
      <c r="AO193" s="18">
        <f>IF($A193&gt;'1-Input'!$B$26,AM193,AM193-'P-Parametri'!$B$8*(AN193+AM193)+MIN(MAX(AN193,0),'P-Parametri'!$B$8*(AN193+AM193)))</f>
        <v>35670.623508598655</v>
      </c>
      <c r="AP193" s="18">
        <f>IF($A193&gt;'1-Input'!$B$26,AN193,AN193-MIN(MAX(AN193,0),'P-Parametri'!$B$8*(AN193+AM193)))</f>
        <v>234904.12003247504</v>
      </c>
      <c r="AQ193" s="18">
        <f>IF($A193&gt;'1-Input'!$B$26,AQ192,AQ192-AL193*(1-AK193))</f>
        <v>122173.32594656371</v>
      </c>
    </row>
    <row r="194" spans="1:43">
      <c r="A194" s="10">
        <f>16</f>
        <v>16</v>
      </c>
      <c r="B194" s="11">
        <f>IF($A194&gt;'1-Input'!$B$26,0,IF(G193&lt;=0,0,MAX(0,(G193-H193)/G193)))</f>
        <v>0.48011613514003521</v>
      </c>
      <c r="C194" s="18">
        <f>IF($A194&gt;'1-Input'!$B$26,0,(MAX(0,B176-IF($A194&gt;='1-Input'!$C$12,'1-Input'!$B$12,0))-MIN(MAX(F193,0),MAX(0,B176-IF($A194&gt;='1-Input'!$C$12,'1-Input'!$B$12,0))))*(1/(1-'P-Parametri'!$B$6*B194))+MIN(MAX(0,G193-(MAX(0,B176-IF($A194&gt;='1-Input'!$C$12,'1-Input'!$B$12,0))-MIN(MAX(F193,0),MAX(0,B176-IF($A194&gt;='1-Input'!$C$12,'1-Input'!$B$12,0))))*(1/(1-'P-Parametri'!$B$6*B194))),MAX(0,2*B176-(F193-MIN(MAX(F193,0),MAX(0,B176-IF($A194&gt;='1-Input'!$C$12,'1-Input'!$B$12,0)))))*(1/(1-'P-Parametri'!$B$6*B194))))</f>
        <v>19231.907589728646</v>
      </c>
      <c r="D194" s="18">
        <f>IF($A194&gt;'1-Input'!$B$26,F193,(F193-MAX(0,B176-IF($A194&gt;='1-Input'!$C$12,'1-Input'!$B$12,0))+C194*(1-'P-Parametri'!$B$6*B194))*(1+ROUND('3-Liquidita'!$F$11,4)))</f>
        <v>33211.981131419976</v>
      </c>
      <c r="E194" s="18">
        <f>IF($A194&gt;'1-Input'!$B$26,G193,(G193-C194)*(1+'5-Roberta'!$C$4))</f>
        <v>252574.27897912666</v>
      </c>
      <c r="F194" s="18">
        <f>IF($A194&gt;'1-Input'!$B$26,D194,D194-'P-Parametri'!$B$8*(E194+D194)+MIN(MAX(E194,0),'P-Parametri'!$B$8*(E194+D194)))</f>
        <v>33211.981131419976</v>
      </c>
      <c r="G194" s="18">
        <f>IF($A194&gt;'1-Input'!$B$26,E194,E194-MIN(MAX(E194,0),'P-Parametri'!$B$8*(E194+D194)))</f>
        <v>252002.70645890557</v>
      </c>
      <c r="H194" s="18">
        <f>IF($A194&gt;'1-Input'!$B$26,H193,H193-C194*(1-B194))</f>
        <v>127484.74982513333</v>
      </c>
      <c r="I194" s="11">
        <f>IF($A194&gt;'1-Input'!$B$26,0,IF(N193&lt;=0,0,MAX(0,(N193-O193)/N193)))</f>
        <v>0.47890154176488176</v>
      </c>
      <c r="J194" s="18">
        <f>IF($A194&gt;'1-Input'!$B$26,0,(MAX(0,I176-IF($A194&gt;='1-Input'!$C$12,'1-Input'!$B$12,0))-MIN(MAX(M193,0),MAX(0,I176-IF($A194&gt;='1-Input'!$C$12,'1-Input'!$B$12,0))))*(1/(1-'P-Parametri'!$B$6*I194))+MIN(MAX(0,N193-(MAX(0,I176-IF($A194&gt;='1-Input'!$C$12,'1-Input'!$B$12,0))-MIN(MAX(M193,0),MAX(0,I176-IF($A194&gt;='1-Input'!$C$12,'1-Input'!$B$12,0))))*(1/(1-'P-Parametri'!$B$6*I194))),MAX(0,2*I176-(M193-MIN(MAX(M193,0),MAX(0,I176-IF($A194&gt;='1-Input'!$C$12,'1-Input'!$B$12,0)))))*(1/(1-'P-Parametri'!$B$6*I194))))</f>
        <v>25296.013809468728</v>
      </c>
      <c r="K194" s="18">
        <f>IF($A194&gt;'1-Input'!$B$26,M193,(M193-MAX(0,I176-IF($A194&gt;='1-Input'!$C$12,'1-Input'!$B$12,0))+J194*(1-'P-Parametri'!$B$6*I194))*(1+ROUND('3-Liquidita'!$F$11,4)))</f>
        <v>43699.975172921026</v>
      </c>
      <c r="L194" s="18">
        <f>IF($A194&gt;'1-Input'!$B$26,N193,(N193-J194)*(1+'5-Roberta'!$C$4))</f>
        <v>116528.86057707774</v>
      </c>
      <c r="M194" s="18">
        <f>IF($A194&gt;'1-Input'!$B$26,K194,K194-'P-Parametri'!$B$8*(L194+K194)+MIN(MAX(L194,0),'P-Parametri'!$B$8*(L194+K194)))</f>
        <v>43699.975172921026</v>
      </c>
      <c r="N194" s="18">
        <f>IF($A194&gt;'1-Input'!$B$26,L194,L194-MIN(MAX(L194,0),'P-Parametri'!$B$8*(L194+K194)))</f>
        <v>116208.40290557774</v>
      </c>
      <c r="O194" s="18">
        <f>IF($A194&gt;'1-Input'!$B$26,O193,O193-J194*(1-I194))</f>
        <v>58954.378239427431</v>
      </c>
      <c r="P194" s="11">
        <f>IF($A194&gt;'1-Input'!$B$26,0,IF(U193&lt;=0,0,MAX(0,(U193-V193)/U193)))</f>
        <v>0.47986147568468224</v>
      </c>
      <c r="Q194" s="18">
        <f>IF($A194&gt;'1-Input'!$B$26,0,(MAX(0,P176-IF($A194&gt;='1-Input'!$C$12,'1-Input'!$B$12,0))-MIN(MAX(T193,0),MAX(0,P176-IF($A194&gt;='1-Input'!$C$12,'1-Input'!$B$12,0))))*(1/(1-'P-Parametri'!$B$6*P194))+MIN(MAX(0,U193-(MAX(0,P176-IF($A194&gt;='1-Input'!$C$12,'1-Input'!$B$12,0))-MIN(MAX(T193,0),MAX(0,P176-IF($A194&gt;='1-Input'!$C$12,'1-Input'!$B$12,0))))*(1/(1-'P-Parametri'!$B$6*P194))),MAX(0,2*P176-(T193-MIN(MAX(T193,0),MAX(0,P176-IF($A194&gt;='1-Input'!$C$12,'1-Input'!$B$12,0)))))*(1/(1-'P-Parametri'!$B$6*P194))))</f>
        <v>20897.874028983693</v>
      </c>
      <c r="R194" s="18">
        <f>IF($A194&gt;'1-Input'!$B$26,T193,(T193-MAX(0,P176-IF($A194&gt;='1-Input'!$C$12,'1-Input'!$B$12,0))+Q194*(1-'P-Parametri'!$B$6*P194))*(1+ROUND('3-Liquidita'!$F$11,4)))</f>
        <v>36091.703549375699</v>
      </c>
      <c r="S194" s="18">
        <f>IF($A194&gt;'1-Input'!$B$26,U193,(U193-Q194)*(1+'5-Roberta'!$C$4))</f>
        <v>215214.70186157824</v>
      </c>
      <c r="T194" s="18">
        <f>IF($A194&gt;'1-Input'!$B$26,R194,R194-'P-Parametri'!$B$8*(S194+R194)+MIN(MAX(S194,0),'P-Parametri'!$B$8*(S194+R194)))</f>
        <v>36091.703549375699</v>
      </c>
      <c r="U194" s="18">
        <f>IF($A194&gt;'1-Input'!$B$26,S194,S194-MIN(MAX(S194,0),'P-Parametri'!$B$8*(S194+R194)))</f>
        <v>214712.08905075633</v>
      </c>
      <c r="V194" s="18">
        <f>IF($A194&gt;'1-Input'!$B$26,V193,V193-Q194*(1-P194))</f>
        <v>108681.0266380994</v>
      </c>
      <c r="W194" s="11">
        <f>IF($A194&gt;'1-Input'!$B$26,0,IF(AB193&lt;=0,0,MAX(0,(AB193-AC193)/AB193)))</f>
        <v>0.47989870237637738</v>
      </c>
      <c r="X194" s="18">
        <f>IF($A194&gt;'1-Input'!$B$26,0,(MAX(0,W176-IF($A194&gt;='1-Input'!$C$12,'1-Input'!$B$12,0))-MIN(MAX(AA193,0),MAX(0,W176-IF($A194&gt;='1-Input'!$C$12,'1-Input'!$B$12,0))))*(1/(1-'P-Parametri'!$B$6*W194))+MIN(MAX(0,AB193-(MAX(0,W176-IF($A194&gt;='1-Input'!$C$12,'1-Input'!$B$12,0))-MIN(MAX(AA193,0),MAX(0,W176-IF($A194&gt;='1-Input'!$C$12,'1-Input'!$B$12,0))))*(1/(1-'P-Parametri'!$B$6*W194))),MAX(0,2*W176-(AA193-MIN(MAX(AA193,0),MAX(0,W176-IF($A194&gt;='1-Input'!$C$12,'1-Input'!$B$12,0)))))*(1/(1-'P-Parametri'!$B$6*W194))))</f>
        <v>20670.411219781563</v>
      </c>
      <c r="Y194" s="18">
        <f>IF($A194&gt;'1-Input'!$B$26,AA193,(AA193-MAX(0,W176-IF($A194&gt;='1-Input'!$C$12,'1-Input'!$B$12,0))+X194*(1-'P-Parametri'!$B$6*W194))*(1+ROUND('3-Liquidita'!$F$11,4)))</f>
        <v>35698.468794259323</v>
      </c>
      <c r="Z194" s="18">
        <f>IF($A194&gt;'1-Input'!$B$26,AB193,(AB193-X194)*(1+'5-Roberta'!$C$4))</f>
        <v>220316.07554928833</v>
      </c>
      <c r="AA194" s="18">
        <f>IF($A194&gt;'1-Input'!$B$26,Y194,Y194-'P-Parametri'!$B$8*(Z194+Y194)+MIN(MAX(Z194,0),'P-Parametri'!$B$8*(Z194+Y194)))</f>
        <v>35698.468794259323</v>
      </c>
      <c r="AB194" s="18">
        <f>IF($A194&gt;'1-Input'!$B$26,Z194,Z194-MIN(MAX(Z194,0),'P-Parametri'!$B$8*(Z194+Y194)))</f>
        <v>219804.04646060124</v>
      </c>
      <c r="AC194" s="18">
        <f>IF($A194&gt;'1-Input'!$B$26,AC193,AC193-X194*(1-W194))</f>
        <v>111249.20075779509</v>
      </c>
      <c r="AD194" s="11">
        <f>IF($A194&gt;'1-Input'!$B$26,0,IF(AI193&lt;=0,0,MAX(0,(AI193-AJ193)/AI193)))</f>
        <v>0.47990130052891961</v>
      </c>
      <c r="AE194" s="18">
        <f>IF($A194&gt;'1-Input'!$B$26,0,(MAX(0,AD176-IF($A194&gt;='1-Input'!$C$12,'1-Input'!$B$12,0))-MIN(MAX(AH193,0),MAX(0,AD176-IF($A194&gt;='1-Input'!$C$12,'1-Input'!$B$12,0))))*(1/(1-'P-Parametri'!$B$6*AD194))+MIN(MAX(0,AI193-(MAX(0,AD176-IF($A194&gt;='1-Input'!$C$12,'1-Input'!$B$12,0))-MIN(MAX(AH193,0),MAX(0,AD176-IF($A194&gt;='1-Input'!$C$12,'1-Input'!$B$12,0))))*(1/(1-'P-Parametri'!$B$6*AD194))),MAX(0,2*AD176-(AH193-MIN(MAX(AH193,0),MAX(0,AD176-IF($A194&gt;='1-Input'!$C$12,'1-Input'!$B$12,0)))))*(1/(1-'P-Parametri'!$B$6*AD194))))</f>
        <v>20654.34043764343</v>
      </c>
      <c r="AF194" s="18">
        <f>IF($A194&gt;'1-Input'!$B$26,AH193,(AH193-MAX(0,AD176-IF($A194&gt;='1-Input'!$C$12,'1-Input'!$B$12,0))+AE194*(1-'P-Parametri'!$B$6*AD194))*(1+ROUND('3-Liquidita'!$F$11,4)))</f>
        <v>35670.686502200319</v>
      </c>
      <c r="AG194" s="18">
        <f>IF($A194&gt;'1-Input'!$B$26,AI193,(AI193-AE194)*(1+'5-Roberta'!$C$4))</f>
        <v>220676.49330282197</v>
      </c>
      <c r="AH194" s="18">
        <f>IF($A194&gt;'1-Input'!$B$26,AF194,AF194-'P-Parametri'!$B$8*(AG194+AF194)+MIN(MAX(AG194,0),'P-Parametri'!$B$8*(AG194+AF194)))</f>
        <v>35670.686502200319</v>
      </c>
      <c r="AI194" s="18">
        <f>IF($A194&gt;'1-Input'!$B$26,AG194,AG194-MIN(MAX(AG194,0),'P-Parametri'!$B$8*(AG194+AF194)))</f>
        <v>220163.79894321194</v>
      </c>
      <c r="AJ194" s="18">
        <f>IF($A194&gt;'1-Input'!$B$26,AJ193,AJ193-AE194*(1-AD194))</f>
        <v>111430.63802974396</v>
      </c>
      <c r="AK194" s="11">
        <f>IF($A194&gt;'1-Input'!$B$26,0,IF(AP193&lt;=0,0,MAX(0,(AP193-AQ193)/AP193)))</f>
        <v>0.47990130641525791</v>
      </c>
      <c r="AL194" s="18">
        <f>IF($A194&gt;'1-Input'!$B$26,0,(MAX(0,AK176-IF($A194&gt;='1-Input'!$C$12,'1-Input'!$B$12,0))-MIN(MAX(AO193,0),MAX(0,AK176-IF($A194&gt;='1-Input'!$C$12,'1-Input'!$B$12,0))))*(1/(1-'P-Parametri'!$B$6*AK194))+MIN(MAX(0,AP193-(MAX(0,AK176-IF($A194&gt;='1-Input'!$C$12,'1-Input'!$B$12,0))-MIN(MAX(AO193,0),MAX(0,AK176-IF($A194&gt;='1-Input'!$C$12,'1-Input'!$B$12,0))))*(1/(1-'P-Parametri'!$B$6*AK194))),MAX(0,2*AK176-(AO193-MIN(MAX(AO193,0),MAX(0,AK176-IF($A194&gt;='1-Input'!$C$12,'1-Input'!$B$12,0)))))*(1/(1-'P-Parametri'!$B$6*AK194))))</f>
        <v>20654.303998675983</v>
      </c>
      <c r="AM194" s="18">
        <f>IF($A194&gt;'1-Input'!$B$26,AO193,(AO193-MAX(0,AK176-IF($A194&gt;='1-Input'!$C$12,'1-Input'!$B$12,0))+AL194*(1-'P-Parametri'!$B$6*AK194))*(1+ROUND('3-Liquidita'!$F$11,4)))</f>
        <v>35670.623508598648</v>
      </c>
      <c r="AN194" s="18">
        <f>IF($A194&gt;'1-Input'!$B$26,AP193,(AP193-AL194)*(1+'5-Roberta'!$C$4))</f>
        <v>220677.31051481303</v>
      </c>
      <c r="AO194" s="18">
        <f>IF($A194&gt;'1-Input'!$B$26,AM194,AM194-'P-Parametri'!$B$8*(AN194+AM194)+MIN(MAX(AN194,0),'P-Parametri'!$B$8*(AN194+AM194)))</f>
        <v>35670.623508598648</v>
      </c>
      <c r="AP194" s="18">
        <f>IF($A194&gt;'1-Input'!$B$26,AN194,AN194-MIN(MAX(AN194,0),'P-Parametri'!$B$8*(AN194+AM194)))</f>
        <v>220164.61464676619</v>
      </c>
      <c r="AQ194" s="18">
        <f>IF($A194&gt;'1-Input'!$B$26,AQ193,AQ193-AL194*(1-AK194))</f>
        <v>111431.04941995021</v>
      </c>
    </row>
    <row r="195" spans="1:43">
      <c r="A195" s="10">
        <f>17</f>
        <v>17</v>
      </c>
      <c r="B195" s="11">
        <f>IF($A195&gt;'1-Input'!$B$26,0,IF(G194&lt;=0,0,MAX(0,(G194-H194)/G194)))</f>
        <v>0.49411356879247464</v>
      </c>
      <c r="C195" s="18">
        <f>IF($A195&gt;'1-Input'!$B$26,0,(MAX(0,B176-IF($A195&gt;='1-Input'!$C$12,'1-Input'!$B$12,0))-MIN(MAX(F194,0),MAX(0,B176-IF($A195&gt;='1-Input'!$C$12,'1-Input'!$B$12,0))))*(1/(1-'P-Parametri'!$B$6*B195))+MIN(MAX(0,G194-(MAX(0,B176-IF($A195&gt;='1-Input'!$C$12,'1-Input'!$B$12,0))-MIN(MAX(F194,0),MAX(0,B176-IF($A195&gt;='1-Input'!$C$12,'1-Input'!$B$12,0))))*(1/(1-'P-Parametri'!$B$6*B195))),MAX(0,2*B176-(F194-MIN(MAX(F194,0),MAX(0,B176-IF($A195&gt;='1-Input'!$C$12,'1-Input'!$B$12,0)))))*(1/(1-'P-Parametri'!$B$6*B195))))</f>
        <v>19312.216096853437</v>
      </c>
      <c r="D195" s="18">
        <f>IF($A195&gt;'1-Input'!$B$26,F194,(F194-MAX(0,B176-IF($A195&gt;='1-Input'!$C$12,'1-Input'!$B$12,0))+C195*(1-'P-Parametri'!$B$6*B195))*(1+ROUND('3-Liquidita'!$F$11,4)))</f>
        <v>33211.981131419976</v>
      </c>
      <c r="E195" s="18">
        <f>IF($A195&gt;'1-Input'!$B$26,G194,(G194-C195)*(1+'5-Roberta'!$C$4))</f>
        <v>239671.2050729137</v>
      </c>
      <c r="F195" s="18">
        <f>IF($A195&gt;'1-Input'!$B$26,D195,D195-'P-Parametri'!$B$8*(E195+D195)+MIN(MAX(E195,0),'P-Parametri'!$B$8*(E195+D195)))</f>
        <v>33211.981131419976</v>
      </c>
      <c r="G195" s="18">
        <f>IF($A195&gt;'1-Input'!$B$26,E195,E195-MIN(MAX(E195,0),'P-Parametri'!$B$8*(E195+D195)))</f>
        <v>239125.43870050504</v>
      </c>
      <c r="H195" s="18">
        <f>IF($A195&gt;'1-Input'!$B$26,H194,H194-C195*(1-B195))</f>
        <v>117714.96174518763</v>
      </c>
      <c r="I195" s="11">
        <f>IF($A195&gt;'1-Input'!$B$26,0,IF(N194&lt;=0,0,MAX(0,(N194-O194)/N194)))</f>
        <v>0.49268403346589873</v>
      </c>
      <c r="J195" s="18">
        <f>IF($A195&gt;'1-Input'!$B$26,0,(MAX(0,I176-IF($A195&gt;='1-Input'!$C$12,'1-Input'!$B$12,0))-MIN(MAX(M194,0),MAX(0,I176-IF($A195&gt;='1-Input'!$C$12,'1-Input'!$B$12,0))))*(1/(1-'P-Parametri'!$B$6*I195))+MIN(MAX(0,N194-(MAX(0,I176-IF($A195&gt;='1-Input'!$C$12,'1-Input'!$B$12,0))-MIN(MAX(M194,0),MAX(0,I176-IF($A195&gt;='1-Input'!$C$12,'1-Input'!$B$12,0))))*(1/(1-'P-Parametri'!$B$6*I195))),MAX(0,2*I176-(M194-MIN(MAX(M194,0),MAX(0,I176-IF($A195&gt;='1-Input'!$C$12,'1-Input'!$B$12,0)))))*(1/(1-'P-Parametri'!$B$6*I195))))</f>
        <v>25399.978395366808</v>
      </c>
      <c r="K195" s="18">
        <f>IF($A195&gt;'1-Input'!$B$26,M194,(M194-MAX(0,I176-IF($A195&gt;='1-Input'!$C$12,'1-Input'!$B$12,0))+J195*(1-'P-Parametri'!$B$6*I195))*(1+ROUND('3-Liquidita'!$F$11,4)))</f>
        <v>43699.975172921026</v>
      </c>
      <c r="L195" s="18">
        <f>IF($A195&gt;'1-Input'!$B$26,N194,(N194-J195)*(1+'5-Roberta'!$C$4))</f>
        <v>93532.677245517261</v>
      </c>
      <c r="M195" s="18">
        <f>IF($A195&gt;'1-Input'!$B$26,K195,K195-'P-Parametri'!$B$8*(L195+K195)+MIN(MAX(L195,0),'P-Parametri'!$B$8*(L195+K195)))</f>
        <v>43699.975172921026</v>
      </c>
      <c r="N195" s="18">
        <f>IF($A195&gt;'1-Input'!$B$26,L195,L195-MIN(MAX(L195,0),'P-Parametri'!$B$8*(L195+K195)))</f>
        <v>93258.211940680383</v>
      </c>
      <c r="O195" s="18">
        <f>IF($A195&gt;'1-Input'!$B$26,O194,O194-J195*(1-I195))</f>
        <v>46068.563649836629</v>
      </c>
      <c r="P195" s="11">
        <f>IF($A195&gt;'1-Input'!$B$26,0,IF(U194&lt;=0,0,MAX(0,(U194-V194)/U194)))</f>
        <v>0.49382902882376584</v>
      </c>
      <c r="Q195" s="18">
        <f>IF($A195&gt;'1-Input'!$B$26,0,(MAX(0,P176-IF($A195&gt;='1-Input'!$C$12,'1-Input'!$B$12,0))-MIN(MAX(T194,0),MAX(0,P176-IF($A195&gt;='1-Input'!$C$12,'1-Input'!$B$12,0))))*(1/(1-'P-Parametri'!$B$6*P195))+MIN(MAX(0,U194-(MAX(0,P176-IF($A195&gt;='1-Input'!$C$12,'1-Input'!$B$12,0))-MIN(MAX(T194,0),MAX(0,P176-IF($A195&gt;='1-Input'!$C$12,'1-Input'!$B$12,0))))*(1/(1-'P-Parametri'!$B$6*P195))),MAX(0,2*P176-(T194-MIN(MAX(T194,0),MAX(0,P176-IF($A195&gt;='1-Input'!$C$12,'1-Input'!$B$12,0)))))*(1/(1-'P-Parametri'!$B$6*P195))))</f>
        <v>20984.945593315628</v>
      </c>
      <c r="R195" s="18">
        <f>IF($A195&gt;'1-Input'!$B$26,T194,(T194-MAX(0,P176-IF($A195&gt;='1-Input'!$C$12,'1-Input'!$B$12,0))+Q195*(1-'P-Parametri'!$B$6*P195))*(1+ROUND('3-Liquidita'!$F$11,4)))</f>
        <v>36091.703549375699</v>
      </c>
      <c r="S195" s="18">
        <f>IF($A195&gt;'1-Input'!$B$26,U194,(U194-Q195)*(1+'5-Roberta'!$C$4))</f>
        <v>199538.95776116394</v>
      </c>
      <c r="T195" s="18">
        <f>IF($A195&gt;'1-Input'!$B$26,R195,R195-'P-Parametri'!$B$8*(S195+R195)+MIN(MAX(S195,0),'P-Parametri'!$B$8*(S195+R195)))</f>
        <v>36091.703549375699</v>
      </c>
      <c r="U195" s="18">
        <f>IF($A195&gt;'1-Input'!$B$26,S195,S195-MIN(MAX(S195,0),'P-Parametri'!$B$8*(S195+R195)))</f>
        <v>199067.69643854286</v>
      </c>
      <c r="V195" s="18">
        <f>IF($A195&gt;'1-Input'!$B$26,V194,V194-Q195*(1-P195))</f>
        <v>98059.056347050398</v>
      </c>
      <c r="W195" s="11">
        <f>IF($A195&gt;'1-Input'!$B$26,0,IF(AB194&lt;=0,0,MAX(0,(AB194-AC194)/AB194)))</f>
        <v>0.49387100670261802</v>
      </c>
      <c r="X195" s="18">
        <f>IF($A195&gt;'1-Input'!$B$26,0,(MAX(0,W176-IF($A195&gt;='1-Input'!$C$12,'1-Input'!$B$12,0))-MIN(MAX(AA194,0),MAX(0,W176-IF($A195&gt;='1-Input'!$C$12,'1-Input'!$B$12,0))))*(1/(1-'P-Parametri'!$B$6*W195))+MIN(MAX(0,AB194-(MAX(0,W176-IF($A195&gt;='1-Input'!$C$12,'1-Input'!$B$12,0))-MIN(MAX(AA194,0),MAX(0,W176-IF($A195&gt;='1-Input'!$C$12,'1-Input'!$B$12,0))))*(1/(1-'P-Parametri'!$B$6*W195))),MAX(0,2*W176-(AA194-MIN(MAX(AA194,0),MAX(0,W176-IF($A195&gt;='1-Input'!$C$12,'1-Input'!$B$12,0)))))*(1/(1-'P-Parametri'!$B$6*W195))))</f>
        <v>20756.565428702252</v>
      </c>
      <c r="Y195" s="18">
        <f>IF($A195&gt;'1-Input'!$B$26,AA194,(AA194-MAX(0,W176-IF($A195&gt;='1-Input'!$C$12,'1-Input'!$B$12,0))+X195*(1-'P-Parametri'!$B$6*W195))*(1+ROUND('3-Liquidita'!$F$11,4)))</f>
        <v>35698.468794259323</v>
      </c>
      <c r="Z195" s="18">
        <f>IF($A195&gt;'1-Input'!$B$26,AB194,(AB194-X195)*(1+'5-Roberta'!$C$4))</f>
        <v>205018.90546285597</v>
      </c>
      <c r="AA195" s="18">
        <f>IF($A195&gt;'1-Input'!$B$26,Y195,Y195-'P-Parametri'!$B$8*(Z195+Y195)+MIN(MAX(Z195,0),'P-Parametri'!$B$8*(Z195+Y195)))</f>
        <v>35698.468794259323</v>
      </c>
      <c r="AB195" s="18">
        <f>IF($A195&gt;'1-Input'!$B$26,Z195,Z195-MIN(MAX(Z195,0),'P-Parametri'!$B$8*(Z195+Y195)))</f>
        <v>204537.47071434173</v>
      </c>
      <c r="AC195" s="18">
        <f>IF($A195&gt;'1-Input'!$B$26,AC194,AC194-X195*(1-W195))</f>
        <v>100743.70119305477</v>
      </c>
      <c r="AD195" s="11">
        <f>IF($A195&gt;'1-Input'!$B$26,0,IF(AI194&lt;=0,0,MAX(0,(AI194-AJ194)/AI194)))</f>
        <v>0.49387393129746149</v>
      </c>
      <c r="AE195" s="18">
        <f>IF($A195&gt;'1-Input'!$B$26,0,(MAX(0,AD176-IF($A195&gt;='1-Input'!$C$12,'1-Input'!$B$12,0))-MIN(MAX(AH194,0),MAX(0,AD176-IF($A195&gt;='1-Input'!$C$12,'1-Input'!$B$12,0))))*(1/(1-'P-Parametri'!$B$6*AD195))+MIN(MAX(0,AI194-(MAX(0,AD176-IF($A195&gt;='1-Input'!$C$12,'1-Input'!$B$12,0))-MIN(MAX(AH194,0),MAX(0,AD176-IF($A195&gt;='1-Input'!$C$12,'1-Input'!$B$12,0))))*(1/(1-'P-Parametri'!$B$6*AD195))),MAX(0,2*AD176-(AH194-MIN(MAX(AH194,0),MAX(0,AD176-IF($A195&gt;='1-Input'!$C$12,'1-Input'!$B$12,0)))))*(1/(1-'P-Parametri'!$B$6*AD195))))</f>
        <v>20740.429750001855</v>
      </c>
      <c r="AF195" s="18">
        <f>IF($A195&gt;'1-Input'!$B$26,AH194,(AH194-MAX(0,AD176-IF($A195&gt;='1-Input'!$C$12,'1-Input'!$B$12,0))+AE195*(1-'P-Parametri'!$B$6*AD195))*(1+ROUND('3-Liquidita'!$F$11,4)))</f>
        <v>35670.686502200311</v>
      </c>
      <c r="AG195" s="18">
        <f>IF($A195&gt;'1-Input'!$B$26,AI194,(AI194-AE195)*(1+'5-Roberta'!$C$4))</f>
        <v>205406.07026900639</v>
      </c>
      <c r="AH195" s="18">
        <f>IF($A195&gt;'1-Input'!$B$26,AF195,AF195-'P-Parametri'!$B$8*(AG195+AF195)+MIN(MAX(AG195,0),'P-Parametri'!$B$8*(AG195+AF195)))</f>
        <v>35670.686502200311</v>
      </c>
      <c r="AI195" s="18">
        <f>IF($A195&gt;'1-Input'!$B$26,AG195,AG195-MIN(MAX(AG195,0),'P-Parametri'!$B$8*(AG195+AF195)))</f>
        <v>204923.91675546399</v>
      </c>
      <c r="AJ195" s="18">
        <f>IF($A195&gt;'1-Input'!$B$26,AJ194,AJ194-AE195*(1-AD195))</f>
        <v>100933.36585717434</v>
      </c>
      <c r="AK195" s="11">
        <f>IF($A195&gt;'1-Input'!$B$26,0,IF(AP194&lt;=0,0,MAX(0,(AP194-AQ194)/AP194)))</f>
        <v>0.49387393792262646</v>
      </c>
      <c r="AL195" s="18">
        <f>IF($A195&gt;'1-Input'!$B$26,0,(MAX(0,AK176-IF($A195&gt;='1-Input'!$C$12,'1-Input'!$B$12,0))-MIN(MAX(AO194,0),MAX(0,AK176-IF($A195&gt;='1-Input'!$C$12,'1-Input'!$B$12,0))))*(1/(1-'P-Parametri'!$B$6*AK195))+MIN(MAX(0,AP194-(MAX(0,AK176-IF($A195&gt;='1-Input'!$C$12,'1-Input'!$B$12,0))-MIN(MAX(AO194,0),MAX(0,AK176-IF($A195&gt;='1-Input'!$C$12,'1-Input'!$B$12,0))))*(1/(1-'P-Parametri'!$B$6*AK195))),MAX(0,2*AK176-(AO194-MIN(MAX(AO194,0),MAX(0,AK176-IF($A195&gt;='1-Input'!$C$12,'1-Input'!$B$12,0)))))*(1/(1-'P-Parametri'!$B$6*AK195))))</f>
        <v>20740.393163875488</v>
      </c>
      <c r="AM195" s="18">
        <f>IF($A195&gt;'1-Input'!$B$26,AO194,(AO194-MAX(0,AK176-IF($A195&gt;='1-Input'!$C$12,'1-Input'!$B$12,0))+AL195*(1-'P-Parametri'!$B$6*AK195))*(1+ROUND('3-Liquidita'!$F$11,4)))</f>
        <v>35670.623508598648</v>
      </c>
      <c r="AN195" s="18">
        <f>IF($A195&gt;'1-Input'!$B$26,AP194,(AP194-AL195)*(1+'5-Roberta'!$C$4))</f>
        <v>205406.94812737743</v>
      </c>
      <c r="AO195" s="18">
        <f>IF($A195&gt;'1-Input'!$B$26,AM195,AM195-'P-Parametri'!$B$8*(AN195+AM195)+MIN(MAX(AN195,0),'P-Parametri'!$B$8*(AN195+AM195)))</f>
        <v>35670.623508598648</v>
      </c>
      <c r="AP195" s="18">
        <f>IF($A195&gt;'1-Input'!$B$26,AN195,AN195-MIN(MAX(AN195,0),'P-Parametri'!$B$8*(AN195+AM195)))</f>
        <v>204924.79298410547</v>
      </c>
      <c r="AQ195" s="18">
        <f>IF($A195&gt;'1-Input'!$B$26,AQ194,AQ194-AL195*(1-AK195))</f>
        <v>100933.79590198143</v>
      </c>
    </row>
    <row r="196" spans="1:43">
      <c r="A196" s="10">
        <f>18</f>
        <v>18</v>
      </c>
      <c r="B196" s="11">
        <f>IF($A196&gt;'1-Input'!$B$26,0,IF(G195&lt;=0,0,MAX(0,(G195-H195)/G195)))</f>
        <v>0.50772714778948769</v>
      </c>
      <c r="C196" s="18">
        <f>IF($A196&gt;'1-Input'!$B$26,0,(MAX(0,B176-IF($A196&gt;='1-Input'!$C$12,'1-Input'!$B$12,0))-MIN(MAX(F195,0),MAX(0,B176-IF($A196&gt;='1-Input'!$C$12,'1-Input'!$B$12,0))))*(1/(1-'P-Parametri'!$B$6*B196))+MIN(MAX(0,G195-(MAX(0,B176-IF($A196&gt;='1-Input'!$C$12,'1-Input'!$B$12,0))-MIN(MAX(F195,0),MAX(0,B176-IF($A196&gt;='1-Input'!$C$12,'1-Input'!$B$12,0))))*(1/(1-'P-Parametri'!$B$6*B196))),MAX(0,2*B176-(F195-MIN(MAX(F195,0),MAX(0,B176-IF($A196&gt;='1-Input'!$C$12,'1-Input'!$B$12,0)))))*(1/(1-'P-Parametri'!$B$6*B196))))</f>
        <v>19390.968276606469</v>
      </c>
      <c r="D196" s="18">
        <f>IF($A196&gt;'1-Input'!$B$26,F195,(F195-MAX(0,B176-IF($A196&gt;='1-Input'!$C$12,'1-Input'!$B$12,0))+C196*(1-'P-Parametri'!$B$6*B196))*(1+ROUND('3-Liquidita'!$F$11,4)))</f>
        <v>33211.981131419976</v>
      </c>
      <c r="E196" s="18">
        <f>IF($A196&gt;'1-Input'!$B$26,G195,(G195-C196)*(1+'5-Roberta'!$C$4))</f>
        <v>226326.50453661554</v>
      </c>
      <c r="F196" s="18">
        <f>IF($A196&gt;'1-Input'!$B$26,D196,D196-'P-Parametri'!$B$8*(E196+D196)+MIN(MAX(E196,0),'P-Parametri'!$B$8*(E196+D196)))</f>
        <v>33211.981131419976</v>
      </c>
      <c r="G196" s="18">
        <f>IF($A196&gt;'1-Input'!$B$26,E196,E196-MIN(MAX(E196,0),'P-Parametri'!$B$8*(E196+D196)))</f>
        <v>225807.42756527947</v>
      </c>
      <c r="H196" s="18">
        <f>IF($A196&gt;'1-Input'!$B$26,H195,H195-C196*(1-B196))</f>
        <v>108169.31448453899</v>
      </c>
      <c r="I196" s="11">
        <f>IF($A196&gt;'1-Input'!$B$26,0,IF(N195&lt;=0,0,MAX(0,(N195-O195)/N195)))</f>
        <v>0.50601064837979215</v>
      </c>
      <c r="J196" s="18">
        <f>IF($A196&gt;'1-Input'!$B$26,0,(MAX(0,I176-IF($A196&gt;='1-Input'!$C$12,'1-Input'!$B$12,0))-MIN(MAX(M195,0),MAX(0,I176-IF($A196&gt;='1-Input'!$C$12,'1-Input'!$B$12,0))))*(1/(1-'P-Parametri'!$B$6*I196))+MIN(MAX(0,N195-(MAX(0,I176-IF($A196&gt;='1-Input'!$C$12,'1-Input'!$B$12,0))-MIN(MAX(M195,0),MAX(0,I176-IF($A196&gt;='1-Input'!$C$12,'1-Input'!$B$12,0))))*(1/(1-'P-Parametri'!$B$6*I196))),MAX(0,2*I176-(M195-MIN(MAX(M195,0),MAX(0,I176-IF($A196&gt;='1-Input'!$C$12,'1-Input'!$B$12,0)))))*(1/(1-'P-Parametri'!$B$6*I196))))</f>
        <v>25501.320077700024</v>
      </c>
      <c r="K196" s="18">
        <f>IF($A196&gt;'1-Input'!$B$26,M195,(M195-MAX(0,I176-IF($A196&gt;='1-Input'!$C$12,'1-Input'!$B$12,0))+J196*(1-'P-Parametri'!$B$6*I196))*(1+ROUND('3-Liquidita'!$F$11,4)))</f>
        <v>43699.975172921026</v>
      </c>
      <c r="L196" s="18">
        <f>IF($A196&gt;'1-Input'!$B$26,N195,(N195-J196)*(1+'5-Roberta'!$C$4))</f>
        <v>69789.598618869772</v>
      </c>
      <c r="M196" s="18">
        <f>IF($A196&gt;'1-Input'!$B$26,K196,K196-'P-Parametri'!$B$8*(L196+K196)+MIN(MAX(L196,0),'P-Parametri'!$B$8*(L196+K196)))</f>
        <v>43699.975172921026</v>
      </c>
      <c r="N196" s="18">
        <f>IF($A196&gt;'1-Input'!$B$26,L196,L196-MIN(MAX(L196,0),'P-Parametri'!$B$8*(L196+K196)))</f>
        <v>69562.619471286191</v>
      </c>
      <c r="O196" s="18">
        <f>IF($A196&gt;'1-Input'!$B$26,O195,O195-J196*(1-I196))</f>
        <v>33471.183079194205</v>
      </c>
      <c r="P196" s="11">
        <f>IF($A196&gt;'1-Input'!$B$26,0,IF(U195&lt;=0,0,MAX(0,(U195-V195)/U195)))</f>
        <v>0.50740849418869094</v>
      </c>
      <c r="Q196" s="18">
        <f>IF($A196&gt;'1-Input'!$B$26,0,(MAX(0,P176-IF($A196&gt;='1-Input'!$C$12,'1-Input'!$B$12,0))-MIN(MAX(T195,0),MAX(0,P176-IF($A196&gt;='1-Input'!$C$12,'1-Input'!$B$12,0))))*(1/(1-'P-Parametri'!$B$6*P196))+MIN(MAX(0,U195-(MAX(0,P176-IF($A196&gt;='1-Input'!$C$12,'1-Input'!$B$12,0))-MIN(MAX(T195,0),MAX(0,P176-IF($A196&gt;='1-Input'!$C$12,'1-Input'!$B$12,0))))*(1/(1-'P-Parametri'!$B$6*P196))),MAX(0,2*P176-(T195-MIN(MAX(T195,0),MAX(0,P176-IF($A196&gt;='1-Input'!$C$12,'1-Input'!$B$12,0)))))*(1/(1-'P-Parametri'!$B$6*P196))))</f>
        <v>21070.296319959558</v>
      </c>
      <c r="R196" s="18">
        <f>IF($A196&gt;'1-Input'!$B$26,T195,(T195-MAX(0,P176-IF($A196&gt;='1-Input'!$C$12,'1-Input'!$B$12,0))+Q196*(1-'P-Parametri'!$B$6*P196))*(1+ROUND('3-Liquidita'!$F$11,4)))</f>
        <v>36091.703549375699</v>
      </c>
      <c r="S196" s="18">
        <f>IF($A196&gt;'1-Input'!$B$26,U195,(U195-Q196)*(1+'5-Roberta'!$C$4))</f>
        <v>183337.32212214079</v>
      </c>
      <c r="T196" s="18">
        <f>IF($A196&gt;'1-Input'!$B$26,R196,R196-'P-Parametri'!$B$8*(S196+R196)+MIN(MAX(S196,0),'P-Parametri'!$B$8*(S196+R196)))</f>
        <v>36091.703549375699</v>
      </c>
      <c r="U196" s="18">
        <f>IF($A196&gt;'1-Input'!$B$26,S196,S196-MIN(MAX(S196,0),'P-Parametri'!$B$8*(S196+R196)))</f>
        <v>182898.46407079775</v>
      </c>
      <c r="V196" s="18">
        <f>IF($A196&gt;'1-Input'!$B$26,V195,V195-Q196*(1-P196))</f>
        <v>87680.007354911038</v>
      </c>
      <c r="W196" s="11">
        <f>IF($A196&gt;'1-Input'!$B$26,0,IF(AB195&lt;=0,0,MAX(0,(AB195-AC195)/AB195)))</f>
        <v>0.5074560136037175</v>
      </c>
      <c r="X196" s="18">
        <f>IF($A196&gt;'1-Input'!$B$26,0,(MAX(0,W176-IF($A196&gt;='1-Input'!$C$12,'1-Input'!$B$12,0))-MIN(MAX(AA195,0),MAX(0,W176-IF($A196&gt;='1-Input'!$C$12,'1-Input'!$B$12,0))))*(1/(1-'P-Parametri'!$B$6*W196))+MIN(MAX(0,AB195-(MAX(0,W176-IF($A196&gt;='1-Input'!$C$12,'1-Input'!$B$12,0))-MIN(MAX(AA195,0),MAX(0,W176-IF($A196&gt;='1-Input'!$C$12,'1-Input'!$B$12,0))))*(1/(1-'P-Parametri'!$B$6*W196))),MAX(0,2*W176-(AA195-MIN(MAX(AA195,0),MAX(0,W176-IF($A196&gt;='1-Input'!$C$12,'1-Input'!$B$12,0)))))*(1/(1-'P-Parametri'!$B$6*W196))))</f>
        <v>20841.022932416108</v>
      </c>
      <c r="Y196" s="18">
        <f>IF($A196&gt;'1-Input'!$B$26,AA195,(AA195-MAX(0,W176-IF($A196&gt;='1-Input'!$C$12,'1-Input'!$B$12,0))+X196*(1-'P-Parametri'!$B$6*W196))*(1+ROUND('3-Liquidita'!$F$11,4)))</f>
        <v>35698.468794259323</v>
      </c>
      <c r="Z196" s="18">
        <f>IF($A196&gt;'1-Input'!$B$26,AB195,(AB195-X196)*(1+'5-Roberta'!$C$4))</f>
        <v>189207.34121538338</v>
      </c>
      <c r="AA196" s="18">
        <f>IF($A196&gt;'1-Input'!$B$26,Y196,Y196-'P-Parametri'!$B$8*(Z196+Y196)+MIN(MAX(Z196,0),'P-Parametri'!$B$8*(Z196+Y196)))</f>
        <v>35698.468794259323</v>
      </c>
      <c r="AB196" s="18">
        <f>IF($A196&gt;'1-Input'!$B$26,Z196,Z196-MIN(MAX(Z196,0),'P-Parametri'!$B$8*(Z196+Y196)))</f>
        <v>188757.52959536409</v>
      </c>
      <c r="AC196" s="18">
        <f>IF($A196&gt;'1-Input'!$B$26,AC195,AC195-X196*(1-W196))</f>
        <v>90478.58067734621</v>
      </c>
      <c r="AD196" s="11">
        <f>IF($A196&gt;'1-Input'!$B$26,0,IF(AI195&lt;=0,0,MAX(0,(AI195-AJ195)/AI195)))</f>
        <v>0.50745931731522442</v>
      </c>
      <c r="AE196" s="18">
        <f>IF($A196&gt;'1-Input'!$B$26,0,(MAX(0,AD176-IF($A196&gt;='1-Input'!$C$12,'1-Input'!$B$12,0))-MIN(MAX(AH195,0),MAX(0,AD176-IF($A196&gt;='1-Input'!$C$12,'1-Input'!$B$12,0))))*(1/(1-'P-Parametri'!$B$6*AD196))+MIN(MAX(0,AI195-(MAX(0,AD176-IF($A196&gt;='1-Input'!$C$12,'1-Input'!$B$12,0))-MIN(MAX(AH195,0),MAX(0,AD176-IF($A196&gt;='1-Input'!$C$12,'1-Input'!$B$12,0))))*(1/(1-'P-Parametri'!$B$6*AD196))),MAX(0,2*AD176-(AH195-MIN(MAX(AH195,0),MAX(0,AD176-IF($A196&gt;='1-Input'!$C$12,'1-Input'!$B$12,0)))))*(1/(1-'P-Parametri'!$B$6*AD196))))</f>
        <v>20824.824037018618</v>
      </c>
      <c r="AF196" s="18">
        <f>IF($A196&gt;'1-Input'!$B$26,AH195,(AH195-MAX(0,AD176-IF($A196&gt;='1-Input'!$C$12,'1-Input'!$B$12,0))+AE196*(1-'P-Parametri'!$B$6*AD196))*(1+ROUND('3-Liquidita'!$F$11,4)))</f>
        <v>35670.686502200319</v>
      </c>
      <c r="AG196" s="18">
        <f>IF($A196&gt;'1-Input'!$B$26,AI195,(AI195-AE196)*(1+'5-Roberta'!$C$4))</f>
        <v>189622.06549999875</v>
      </c>
      <c r="AH196" s="18">
        <f>IF($A196&gt;'1-Input'!$B$26,AF196,AF196-'P-Parametri'!$B$8*(AG196+AF196)+MIN(MAX(AG196,0),'P-Parametri'!$B$8*(AG196+AF196)))</f>
        <v>35670.686502200319</v>
      </c>
      <c r="AI196" s="18">
        <f>IF($A196&gt;'1-Input'!$B$26,AG196,AG196-MIN(MAX(AG196,0),'P-Parametri'!$B$8*(AG196+AF196)))</f>
        <v>189171.47999599433</v>
      </c>
      <c r="AJ196" s="18">
        <f>IF($A196&gt;'1-Input'!$B$26,AJ195,AJ195-AE196*(1-AD196))</f>
        <v>90676.292809190869</v>
      </c>
      <c r="AK196" s="11">
        <f>IF($A196&gt;'1-Input'!$B$26,0,IF(AP195&lt;=0,0,MAX(0,(AP195-AQ195)/AP195)))</f>
        <v>0.507459324798195</v>
      </c>
      <c r="AL196" s="18">
        <f>IF($A196&gt;'1-Input'!$B$26,0,(MAX(0,AK176-IF($A196&gt;='1-Input'!$C$12,'1-Input'!$B$12,0))-MIN(MAX(AO195,0),MAX(0,AK176-IF($A196&gt;='1-Input'!$C$12,'1-Input'!$B$12,0))))*(1/(1-'P-Parametri'!$B$6*AK196))+MIN(MAX(0,AP195-(MAX(0,AK176-IF($A196&gt;='1-Input'!$C$12,'1-Input'!$B$12,0))-MIN(MAX(AO195,0),MAX(0,AK176-IF($A196&gt;='1-Input'!$C$12,'1-Input'!$B$12,0))))*(1/(1-'P-Parametri'!$B$6*AK196))),MAX(0,2*AK176-(AO195-MIN(MAX(AO195,0),MAX(0,AK176-IF($A196&gt;='1-Input'!$C$12,'1-Input'!$B$12,0)))))*(1/(1-'P-Parametri'!$B$6*AK196))))</f>
        <v>20824.787307538631</v>
      </c>
      <c r="AM196" s="18">
        <f>IF($A196&gt;'1-Input'!$B$26,AO195,(AO195-MAX(0,AK176-IF($A196&gt;='1-Input'!$C$12,'1-Input'!$B$12,0))+AL196*(1-'P-Parametri'!$B$6*AK196))*(1+ROUND('3-Liquidita'!$F$11,4)))</f>
        <v>35670.623508598648</v>
      </c>
      <c r="AN196" s="18">
        <f>IF($A196&gt;'1-Input'!$B$26,AP195,(AP195-AL196)*(1+'5-Roberta'!$C$4))</f>
        <v>189623.00584686387</v>
      </c>
      <c r="AO196" s="18">
        <f>IF($A196&gt;'1-Input'!$B$26,AM196,AM196-'P-Parametri'!$B$8*(AN196+AM196)+MIN(MAX(AN196,0),'P-Parametri'!$B$8*(AN196+AM196)))</f>
        <v>35670.623508598648</v>
      </c>
      <c r="AP196" s="18">
        <f>IF($A196&gt;'1-Input'!$B$26,AN196,AN196-MIN(MAX(AN196,0),'P-Parametri'!$B$8*(AN196+AM196)))</f>
        <v>189172.41858815294</v>
      </c>
      <c r="AQ196" s="18">
        <f>IF($A196&gt;'1-Input'!$B$26,AQ195,AQ195-AL196*(1-AK196))</f>
        <v>90676.741100592379</v>
      </c>
    </row>
    <row r="197" spans="1:43">
      <c r="A197" s="10">
        <f>19</f>
        <v>19</v>
      </c>
      <c r="B197" s="11">
        <f>IF($A197&gt;'1-Input'!$B$26,0,IF(G196&lt;=0,0,MAX(0,(G196-H196)/G196)))</f>
        <v>0.5209665348440855</v>
      </c>
      <c r="C197" s="18">
        <f>IF($A197&gt;'1-Input'!$B$26,0,(MAX(0,B176-IF($A197&gt;='1-Input'!$C$12,'1-Input'!$B$12,0))-MIN(MAX(F196,0),MAX(0,B176-IF($A197&gt;='1-Input'!$C$12,'1-Input'!$B$12,0))))*(1/(1-'P-Parametri'!$B$6*B197))+MIN(MAX(0,G196-(MAX(0,B176-IF($A197&gt;='1-Input'!$C$12,'1-Input'!$B$12,0))-MIN(MAX(F196,0),MAX(0,B176-IF($A197&gt;='1-Input'!$C$12,'1-Input'!$B$12,0))))*(1/(1-'P-Parametri'!$B$6*B197))),MAX(0,2*B176-(F196-MIN(MAX(F196,0),MAX(0,B176-IF($A197&gt;='1-Input'!$C$12,'1-Input'!$B$12,0)))))*(1/(1-'P-Parametri'!$B$6*B197))))</f>
        <v>19468.17431354287</v>
      </c>
      <c r="D197" s="18">
        <f>IF($A197&gt;'1-Input'!$B$26,F196,(F196-MAX(0,B176-IF($A197&gt;='1-Input'!$C$12,'1-Input'!$B$12,0))+C197*(1-'P-Parametri'!$B$6*B197))*(1+ROUND('3-Liquidita'!$F$11,4)))</f>
        <v>33211.981131419976</v>
      </c>
      <c r="E197" s="18">
        <f>IF($A197&gt;'1-Input'!$B$26,G196,(G196-C197)*(1+'5-Roberta'!$C$4))</f>
        <v>212529.43084928871</v>
      </c>
      <c r="F197" s="18">
        <f>IF($A197&gt;'1-Input'!$B$26,D197,D197-'P-Parametri'!$B$8*(E197+D197)+MIN(MAX(E197,0),'P-Parametri'!$B$8*(E197+D197)))</f>
        <v>33211.981131419976</v>
      </c>
      <c r="G197" s="18">
        <f>IF($A197&gt;'1-Input'!$B$26,E197,E197-MIN(MAX(E197,0),'P-Parametri'!$B$8*(E197+D197)))</f>
        <v>212037.94802532729</v>
      </c>
      <c r="H197" s="18">
        <f>IF($A197&gt;'1-Input'!$B$26,H196,H196-C197*(1-B197))</f>
        <v>98843.407482863186</v>
      </c>
      <c r="I197" s="11">
        <f>IF($A197&gt;'1-Input'!$B$26,0,IF(N196&lt;=0,0,MAX(0,(N196-O196)/N196)))</f>
        <v>0.51883377403563247</v>
      </c>
      <c r="J197" s="18">
        <f>IF($A197&gt;'1-Input'!$B$26,0,(MAX(0,I176-IF($A197&gt;='1-Input'!$C$12,'1-Input'!$B$12,0))-MIN(MAX(M196,0),MAX(0,I176-IF($A197&gt;='1-Input'!$C$12,'1-Input'!$B$12,0))))*(1/(1-'P-Parametri'!$B$6*I197))+MIN(MAX(0,N196-(MAX(0,I176-IF($A197&gt;='1-Input'!$C$12,'1-Input'!$B$12,0))-MIN(MAX(M196,0),MAX(0,I176-IF($A197&gt;='1-Input'!$C$12,'1-Input'!$B$12,0))))*(1/(1-'P-Parametri'!$B$6*I197))),MAX(0,2*I176-(M196-MIN(MAX(M196,0),MAX(0,I176-IF($A197&gt;='1-Input'!$C$12,'1-Input'!$B$12,0)))))*(1/(1-'P-Parametri'!$B$6*I197))))</f>
        <v>25599.599360924487</v>
      </c>
      <c r="K197" s="18">
        <f>IF($A197&gt;'1-Input'!$B$26,M196,(M196-MAX(0,I176-IF($A197&gt;='1-Input'!$C$12,'1-Input'!$B$12,0))+J197*(1-'P-Parametri'!$B$6*I197))*(1+ROUND('3-Liquidita'!$F$11,4)))</f>
        <v>43699.975172921026</v>
      </c>
      <c r="L197" s="18">
        <f>IF($A197&gt;'1-Input'!$B$26,N196,(N196-J197)*(1+'5-Roberta'!$C$4))</f>
        <v>45281.910713672551</v>
      </c>
      <c r="M197" s="18">
        <f>IF($A197&gt;'1-Input'!$B$26,K197,K197-'P-Parametri'!$B$8*(L197+K197)+MIN(MAX(L197,0),'P-Parametri'!$B$8*(L197+K197)))</f>
        <v>43699.975172921026</v>
      </c>
      <c r="N197" s="18">
        <f>IF($A197&gt;'1-Input'!$B$26,L197,L197-MIN(MAX(L197,0),'P-Parametri'!$B$8*(L197+K197)))</f>
        <v>45103.946941899361</v>
      </c>
      <c r="O197" s="18">
        <f>IF($A197&gt;'1-Input'!$B$26,O196,O196-J197*(1-I197))</f>
        <v>21153.520468498333</v>
      </c>
      <c r="P197" s="11">
        <f>IF($A197&gt;'1-Input'!$B$26,0,IF(U196&lt;=0,0,MAX(0,(U196-V196)/U196)))</f>
        <v>0.52060829050499202</v>
      </c>
      <c r="Q197" s="18">
        <f>IF($A197&gt;'1-Input'!$B$26,0,(MAX(0,P176-IF($A197&gt;='1-Input'!$C$12,'1-Input'!$B$12,0))-MIN(MAX(T196,0),MAX(0,P176-IF($A197&gt;='1-Input'!$C$12,'1-Input'!$B$12,0))))*(1/(1-'P-Parametri'!$B$6*P197))+MIN(MAX(0,U196-(MAX(0,P176-IF($A197&gt;='1-Input'!$C$12,'1-Input'!$B$12,0))-MIN(MAX(T196,0),MAX(0,P176-IF($A197&gt;='1-Input'!$C$12,'1-Input'!$B$12,0))))*(1/(1-'P-Parametri'!$B$6*P197))),MAX(0,2*P176-(T196-MIN(MAX(T196,0),MAX(0,P176-IF($A197&gt;='1-Input'!$C$12,'1-Input'!$B$12,0)))))*(1/(1-'P-Parametri'!$B$6*P197))))</f>
        <v>21153.928799230558</v>
      </c>
      <c r="R197" s="18">
        <f>IF($A197&gt;'1-Input'!$B$26,T196,(T196-MAX(0,P176-IF($A197&gt;='1-Input'!$C$12,'1-Input'!$B$12,0))+Q197*(1-'P-Parametri'!$B$6*P197))*(1+ROUND('3-Liquidita'!$F$11,4)))</f>
        <v>36091.703549375699</v>
      </c>
      <c r="S197" s="18">
        <f>IF($A197&gt;'1-Input'!$B$26,U196,(U196-Q197)*(1+'5-Roberta'!$C$4))</f>
        <v>166596.87132971422</v>
      </c>
      <c r="T197" s="18">
        <f>IF($A197&gt;'1-Input'!$B$26,R197,R197-'P-Parametri'!$B$8*(S197+R197)+MIN(MAX(S197,0),'P-Parametri'!$B$8*(S197+R197)))</f>
        <v>36091.703549375699</v>
      </c>
      <c r="U197" s="18">
        <f>IF($A197&gt;'1-Input'!$B$26,S197,S197-MIN(MAX(S197,0),'P-Parametri'!$B$8*(S197+R197)))</f>
        <v>166191.49417995603</v>
      </c>
      <c r="V197" s="18">
        <f>IF($A197&gt;'1-Input'!$B$26,V196,V196-Q197*(1-P197))</f>
        <v>77538.989265312222</v>
      </c>
      <c r="W197" s="11">
        <f>IF($A197&gt;'1-Input'!$B$26,0,IF(AB196&lt;=0,0,MAX(0,(AB196-AC196)/AB196)))</f>
        <v>0.52066240286518151</v>
      </c>
      <c r="X197" s="18">
        <f>IF($A197&gt;'1-Input'!$B$26,0,(MAX(0,W176-IF($A197&gt;='1-Input'!$C$12,'1-Input'!$B$12,0))-MIN(MAX(AA196,0),MAX(0,W176-IF($A197&gt;='1-Input'!$C$12,'1-Input'!$B$12,0))))*(1/(1-'P-Parametri'!$B$6*W197))+MIN(MAX(0,AB196-(MAX(0,W176-IF($A197&gt;='1-Input'!$C$12,'1-Input'!$B$12,0))-MIN(MAX(AA196,0),MAX(0,W176-IF($A197&gt;='1-Input'!$C$12,'1-Input'!$B$12,0))))*(1/(1-'P-Parametri'!$B$6*W197))),MAX(0,2*W176-(AA196-MIN(MAX(AA196,0),MAX(0,W176-IF($A197&gt;='1-Input'!$C$12,'1-Input'!$B$12,0)))))*(1/(1-'P-Parametri'!$B$6*W197))))</f>
        <v>20923.788041316944</v>
      </c>
      <c r="Y197" s="18">
        <f>IF($A197&gt;'1-Input'!$B$26,AA196,(AA196-MAX(0,W176-IF($A197&gt;='1-Input'!$C$12,'1-Input'!$B$12,0))+X197*(1-'P-Parametri'!$B$6*W197))*(1+ROUND('3-Liquidita'!$F$11,4)))</f>
        <v>35698.468794259323</v>
      </c>
      <c r="Z197" s="18">
        <f>IF($A197&gt;'1-Input'!$B$26,AB196,(AB196-X197)*(1+'5-Roberta'!$C$4))</f>
        <v>172868.75380066858</v>
      </c>
      <c r="AA197" s="18">
        <f>IF($A197&gt;'1-Input'!$B$26,Y197,Y197-'P-Parametri'!$B$8*(Z197+Y197)+MIN(MAX(Z197,0),'P-Parametri'!$B$8*(Z197+Y197)))</f>
        <v>35698.468794259323</v>
      </c>
      <c r="AB197" s="18">
        <f>IF($A197&gt;'1-Input'!$B$26,Z197,Z197-MIN(MAX(Z197,0),'P-Parametri'!$B$8*(Z197+Y197)))</f>
        <v>172451.61935547873</v>
      </c>
      <c r="AC197" s="18">
        <f>IF($A197&gt;'1-Input'!$B$26,AC196,AC196-X197*(1-W197))</f>
        <v>80449.022394663101</v>
      </c>
      <c r="AD197" s="11">
        <f>IF($A197&gt;'1-Input'!$B$26,0,IF(AI196&lt;=0,0,MAX(0,(AI196-AJ196)/AI196)))</f>
        <v>0.52066615532578742</v>
      </c>
      <c r="AE197" s="18">
        <f>IF($A197&gt;'1-Input'!$B$26,0,(MAX(0,AD176-IF($A197&gt;='1-Input'!$C$12,'1-Input'!$B$12,0))-MIN(MAX(AH196,0),MAX(0,AD176-IF($A197&gt;='1-Input'!$C$12,'1-Input'!$B$12,0))))*(1/(1-'P-Parametri'!$B$6*AD197))+MIN(MAX(0,AI196-(MAX(0,AD176-IF($A197&gt;='1-Input'!$C$12,'1-Input'!$B$12,0))-MIN(MAX(AH196,0),MAX(0,AD176-IF($A197&gt;='1-Input'!$C$12,'1-Input'!$B$12,0))))*(1/(1-'P-Parametri'!$B$6*AD197))),MAX(0,2*AD176-(AH196-MIN(MAX(AH196,0),MAX(0,AD176-IF($A197&gt;='1-Input'!$C$12,'1-Input'!$B$12,0)))))*(1/(1-'P-Parametri'!$B$6*AD197))))</f>
        <v>20907.527719372913</v>
      </c>
      <c r="AF197" s="18">
        <f>IF($A197&gt;'1-Input'!$B$26,AH196,(AH196-MAX(0,AD176-IF($A197&gt;='1-Input'!$C$12,'1-Input'!$B$12,0))+AE197*(1-'P-Parametri'!$B$6*AD197))*(1+ROUND('3-Liquidita'!$F$11,4)))</f>
        <v>35670.686502200319</v>
      </c>
      <c r="AG197" s="18">
        <f>IF($A197&gt;'1-Input'!$B$26,AI196,(AI196-AE197)*(1+'5-Roberta'!$C$4))</f>
        <v>173311.87084492008</v>
      </c>
      <c r="AH197" s="18">
        <f>IF($A197&gt;'1-Input'!$B$26,AF197,AF197-'P-Parametri'!$B$8*(AG197+AF197)+MIN(MAX(AG197,0),'P-Parametri'!$B$8*(AG197+AF197)))</f>
        <v>35670.686502200319</v>
      </c>
      <c r="AI197" s="18">
        <f>IF($A197&gt;'1-Input'!$B$26,AG197,AG197-MIN(MAX(AG197,0),'P-Parametri'!$B$8*(AG197+AF197)))</f>
        <v>172893.90573022584</v>
      </c>
      <c r="AJ197" s="18">
        <f>IF($A197&gt;'1-Input'!$B$26,AJ196,AJ196-AE197*(1-AD197))</f>
        <v>80654.607164831177</v>
      </c>
      <c r="AK197" s="11">
        <f>IF($A197&gt;'1-Input'!$B$26,0,IF(AP196&lt;=0,0,MAX(0,(AP196-AQ196)/AP196)))</f>
        <v>0.52066616382378339</v>
      </c>
      <c r="AL197" s="18">
        <f>IF($A197&gt;'1-Input'!$B$26,0,(MAX(0,AK176-IF($A197&gt;='1-Input'!$C$12,'1-Input'!$B$12,0))-MIN(MAX(AO196,0),MAX(0,AK176-IF($A197&gt;='1-Input'!$C$12,'1-Input'!$B$12,0))))*(1/(1-'P-Parametri'!$B$6*AK197))+MIN(MAX(0,AP196-(MAX(0,AK176-IF($A197&gt;='1-Input'!$C$12,'1-Input'!$B$12,0))-MIN(MAX(AO196,0),MAX(0,AK176-IF($A197&gt;='1-Input'!$C$12,'1-Input'!$B$12,0))))*(1/(1-'P-Parametri'!$B$6*AK197))),MAX(0,2*AK176-(AO196-MIN(MAX(AO196,0),MAX(0,AK176-IF($A197&gt;='1-Input'!$C$12,'1-Input'!$B$12,0)))))*(1/(1-'P-Parametri'!$B$6*AK197))))</f>
        <v>20907.490850593123</v>
      </c>
      <c r="AM197" s="18">
        <f>IF($A197&gt;'1-Input'!$B$26,AO196,(AO196-MAX(0,AK176-IF($A197&gt;='1-Input'!$C$12,'1-Input'!$B$12,0))+AL197*(1-'P-Parametri'!$B$6*AK197))*(1+ROUND('3-Liquidita'!$F$11,4)))</f>
        <v>35670.623508598641</v>
      </c>
      <c r="AN197" s="18">
        <f>IF($A197&gt;'1-Input'!$B$26,AP196,(AP196-AL197)*(1+'5-Roberta'!$C$4))</f>
        <v>173312.87556968664</v>
      </c>
      <c r="AO197" s="18">
        <f>IF($A197&gt;'1-Input'!$B$26,AM197,AM197-'P-Parametri'!$B$8*(AN197+AM197)+MIN(MAX(AN197,0),'P-Parametri'!$B$8*(AN197+AM197)))</f>
        <v>35670.623508598641</v>
      </c>
      <c r="AP197" s="18">
        <f>IF($A197&gt;'1-Input'!$B$26,AN197,AN197-MIN(MAX(AN197,0),'P-Parametri'!$B$8*(AN197+AM197)))</f>
        <v>172894.90857153008</v>
      </c>
      <c r="AQ197" s="18">
        <f>IF($A197&gt;'1-Input'!$B$26,AQ196,AQ196-AL197*(1-AK197))</f>
        <v>80655.073306358419</v>
      </c>
    </row>
    <row r="198" spans="1:43">
      <c r="A198" s="10">
        <f>20</f>
        <v>20</v>
      </c>
      <c r="B198" s="11">
        <f>IF($A198&gt;'1-Input'!$B$26,0,IF(G197&lt;=0,0,MAX(0,(G197-H197)/G197)))</f>
        <v>0.53384095439814083</v>
      </c>
      <c r="C198" s="18">
        <f>IF($A198&gt;'1-Input'!$B$26,0,(MAX(0,B176-IF($A198&gt;='1-Input'!$C$12,'1-Input'!$B$12,0))-MIN(MAX(F197,0),MAX(0,B176-IF($A198&gt;='1-Input'!$C$12,'1-Input'!$B$12,0))))*(1/(1-'P-Parametri'!$B$6*B198))+MIN(MAX(0,G197-(MAX(0,B176-IF($A198&gt;='1-Input'!$C$12,'1-Input'!$B$12,0))-MIN(MAX(F197,0),MAX(0,B176-IF($A198&gt;='1-Input'!$C$12,'1-Input'!$B$12,0))))*(1/(1-'P-Parametri'!$B$6*B198))),MAX(0,2*B176-(F197-MIN(MAX(F197,0),MAX(0,B176-IF($A198&gt;='1-Input'!$C$12,'1-Input'!$B$12,0)))))*(1/(1-'P-Parametri'!$B$6*B198))))</f>
        <v>19543.843929383773</v>
      </c>
      <c r="D198" s="18">
        <f>IF($A198&gt;'1-Input'!$B$26,F197,(F197-MAX(0,B176-IF($A198&gt;='1-Input'!$C$12,'1-Input'!$B$12,0))+C198*(1-'P-Parametri'!$B$6*B198))*(1+ROUND('3-Liquidita'!$F$11,4)))</f>
        <v>33211.981131419976</v>
      </c>
      <c r="E198" s="18">
        <f>IF($A198&gt;'1-Input'!$B$26,G197,(G197-C198)*(1+'5-Roberta'!$C$4))</f>
        <v>198268.9272188218</v>
      </c>
      <c r="F198" s="18">
        <f>IF($A198&gt;'1-Input'!$B$26,D198,D198-'P-Parametri'!$B$8*(E198+D198)+MIN(MAX(E198,0),'P-Parametri'!$B$8*(E198+D198)))</f>
        <v>33211.981131419976</v>
      </c>
      <c r="G198" s="18">
        <f>IF($A198&gt;'1-Input'!$B$26,E198,E198-MIN(MAX(E198,0),'P-Parametri'!$B$8*(E198+D198)))</f>
        <v>197805.96540212131</v>
      </c>
      <c r="H198" s="18">
        <f>IF($A198&gt;'1-Input'!$B$26,H197,H197-C198*(1-B198))</f>
        <v>89732.867849349961</v>
      </c>
      <c r="I198" s="11">
        <f>IF($A198&gt;'1-Input'!$B$26,0,IF(N197&lt;=0,0,MAX(0,(N197-O197)/N197)))</f>
        <v>0.53100511368224079</v>
      </c>
      <c r="J198" s="18">
        <f>IF($A198&gt;'1-Input'!$B$26,0,(MAX(0,I176-IF($A198&gt;='1-Input'!$C$12,'1-Input'!$B$12,0))-MIN(MAX(M197,0),MAX(0,I176-IF($A198&gt;='1-Input'!$C$12,'1-Input'!$B$12,0))))*(1/(1-'P-Parametri'!$B$6*I198))+MIN(MAX(0,N197-(MAX(0,I176-IF($A198&gt;='1-Input'!$C$12,'1-Input'!$B$12,0))-MIN(MAX(M197,0),MAX(0,I176-IF($A198&gt;='1-Input'!$C$12,'1-Input'!$B$12,0))))*(1/(1-'P-Parametri'!$B$6*I198))),MAX(0,2*I176-(M197-MIN(MAX(M197,0),MAX(0,I176-IF($A198&gt;='1-Input'!$C$12,'1-Input'!$B$12,0)))))*(1/(1-'P-Parametri'!$B$6*I198))))</f>
        <v>25693.586522220452</v>
      </c>
      <c r="K198" s="18">
        <f>IF($A198&gt;'1-Input'!$B$26,M197,(M197-MAX(0,I176-IF($A198&gt;='1-Input'!$C$12,'1-Input'!$B$12,0))+J198*(1-'P-Parametri'!$B$6*I198))*(1+ROUND('3-Liquidita'!$F$11,4)))</f>
        <v>43699.975172921026</v>
      </c>
      <c r="L198" s="18">
        <f>IF($A198&gt;'1-Input'!$B$26,N197,(N197-J198)*(1+'5-Roberta'!$C$4))</f>
        <v>19992.671232269277</v>
      </c>
      <c r="M198" s="18">
        <f>IF($A198&gt;'1-Input'!$B$26,K198,K198-'P-Parametri'!$B$8*(L198+K198)+MIN(MAX(L198,0),'P-Parametri'!$B$8*(L198+K198)))</f>
        <v>43699.975172921026</v>
      </c>
      <c r="N198" s="18">
        <f>IF($A198&gt;'1-Input'!$B$26,L198,L198-MIN(MAX(L198,0),'P-Parametri'!$B$8*(L198+K198)))</f>
        <v>19865.285939458896</v>
      </c>
      <c r="O198" s="18">
        <f>IF($A198&gt;'1-Input'!$B$26,O197,O197-J198*(1-I198))</f>
        <v>9103.359778414042</v>
      </c>
      <c r="P198" s="11">
        <f>IF($A198&gt;'1-Input'!$B$26,0,IF(U197&lt;=0,0,MAX(0,(U197-V197)/U197)))</f>
        <v>0.5334358737917646</v>
      </c>
      <c r="Q198" s="18">
        <f>IF($A198&gt;'1-Input'!$B$26,0,(MAX(0,P176-IF($A198&gt;='1-Input'!$C$12,'1-Input'!$B$12,0))-MIN(MAX(T197,0),MAX(0,P176-IF($A198&gt;='1-Input'!$C$12,'1-Input'!$B$12,0))))*(1/(1-'P-Parametri'!$B$6*P198))+MIN(MAX(0,U197-(MAX(0,P176-IF($A198&gt;='1-Input'!$C$12,'1-Input'!$B$12,0))-MIN(MAX(T197,0),MAX(0,P176-IF($A198&gt;='1-Input'!$C$12,'1-Input'!$B$12,0))))*(1/(1-'P-Parametri'!$B$6*P198))),MAX(0,2*P176-(T197-MIN(MAX(T197,0),MAX(0,P176-IF($A198&gt;='1-Input'!$C$12,'1-Input'!$B$12,0)))))*(1/(1-'P-Parametri'!$B$6*P198))))</f>
        <v>21235.841532453996</v>
      </c>
      <c r="R198" s="18">
        <f>IF($A198&gt;'1-Input'!$B$26,T197,(T197-MAX(0,P176-IF($A198&gt;='1-Input'!$C$12,'1-Input'!$B$12,0))+Q198*(1-'P-Parametri'!$B$6*P198))*(1+ROUND('3-Liquidita'!$F$11,4)))</f>
        <v>36091.703549375699</v>
      </c>
      <c r="S198" s="18">
        <f>IF($A198&gt;'1-Input'!$B$26,U197,(U197-Q198)*(1+'5-Roberta'!$C$4))</f>
        <v>149304.32222692709</v>
      </c>
      <c r="T198" s="18">
        <f>IF($A198&gt;'1-Input'!$B$26,R198,R198-'P-Parametri'!$B$8*(S198+R198)+MIN(MAX(S198,0),'P-Parametri'!$B$8*(S198+R198)))</f>
        <v>36091.703549375699</v>
      </c>
      <c r="U198" s="18">
        <f>IF($A198&gt;'1-Input'!$B$26,S198,S198-MIN(MAX(S198,0),'P-Parametri'!$B$8*(S198+R198)))</f>
        <v>148933.5301753745</v>
      </c>
      <c r="V198" s="18">
        <f>IF($A198&gt;'1-Input'!$B$26,V197,V197-Q198*(1-P198))</f>
        <v>67631.107416426268</v>
      </c>
      <c r="W198" s="11">
        <f>IF($A198&gt;'1-Input'!$B$26,0,IF(AB197&lt;=0,0,MAX(0,(AB197-AC197)/AB197)))</f>
        <v>0.53349801703611976</v>
      </c>
      <c r="X198" s="18">
        <f>IF($A198&gt;'1-Input'!$B$26,0,(MAX(0,W176-IF($A198&gt;='1-Input'!$C$12,'1-Input'!$B$12,0))-MIN(MAX(AA197,0),MAX(0,W176-IF($A198&gt;='1-Input'!$C$12,'1-Input'!$B$12,0))))*(1/(1-'P-Parametri'!$B$6*W198))+MIN(MAX(0,AB197-(MAX(0,W176-IF($A198&gt;='1-Input'!$C$12,'1-Input'!$B$12,0))-MIN(MAX(AA197,0),MAX(0,W176-IF($A198&gt;='1-Input'!$C$12,'1-Input'!$B$12,0))))*(1/(1-'P-Parametri'!$B$6*W198))),MAX(0,2*W176-(AA197-MIN(MAX(AA197,0),MAX(0,W176-IF($A198&gt;='1-Input'!$C$12,'1-Input'!$B$12,0)))))*(1/(1-'P-Parametri'!$B$6*W198))))</f>
        <v>21004.861863696002</v>
      </c>
      <c r="Y198" s="18">
        <f>IF($A198&gt;'1-Input'!$B$26,AA197,(AA197-MAX(0,W176-IF($A198&gt;='1-Input'!$C$12,'1-Input'!$B$12,0))+X198*(1-'P-Parametri'!$B$6*W198))*(1+ROUND('3-Liquidita'!$F$11,4)))</f>
        <v>35698.468794259323</v>
      </c>
      <c r="Z198" s="18">
        <f>IF($A198&gt;'1-Input'!$B$26,AB197,(AB197-X198)*(1+'5-Roberta'!$C$4))</f>
        <v>155990.1602165362</v>
      </c>
      <c r="AA198" s="18">
        <f>IF($A198&gt;'1-Input'!$B$26,Y198,Y198-'P-Parametri'!$B$8*(Z198+Y198)+MIN(MAX(Z198,0),'P-Parametri'!$B$8*(Z198+Y198)))</f>
        <v>35698.468794259323</v>
      </c>
      <c r="AB198" s="18">
        <f>IF($A198&gt;'1-Input'!$B$26,Z198,Z198-MIN(MAX(Z198,0),'P-Parametri'!$B$8*(Z198+Y198)))</f>
        <v>155606.78295851461</v>
      </c>
      <c r="AC198" s="18">
        <f>IF($A198&gt;'1-Input'!$B$26,AC197,AC197-X198*(1-W198))</f>
        <v>70650.212683366524</v>
      </c>
      <c r="AD198" s="11">
        <f>IF($A198&gt;'1-Input'!$B$26,0,IF(AI197&lt;=0,0,MAX(0,(AI197-AJ197)/AI197)))</f>
        <v>0.53350231273807769</v>
      </c>
      <c r="AE198" s="18">
        <f>IF($A198&gt;'1-Input'!$B$26,0,(MAX(0,AD176-IF($A198&gt;='1-Input'!$C$12,'1-Input'!$B$12,0))-MIN(MAX(AH197,0),MAX(0,AD176-IF($A198&gt;='1-Input'!$C$12,'1-Input'!$B$12,0))))*(1/(1-'P-Parametri'!$B$6*AD198))+MIN(MAX(0,AI197-(MAX(0,AD176-IF($A198&gt;='1-Input'!$C$12,'1-Input'!$B$12,0))-MIN(MAX(AH197,0),MAX(0,AD176-IF($A198&gt;='1-Input'!$C$12,'1-Input'!$B$12,0))))*(1/(1-'P-Parametri'!$B$6*AD198))),MAX(0,2*AD176-(AH197-MIN(MAX(AH197,0),MAX(0,AD176-IF($A198&gt;='1-Input'!$C$12,'1-Input'!$B$12,0)))))*(1/(1-'P-Parametri'!$B$6*AD198))))</f>
        <v>20988.542071229887</v>
      </c>
      <c r="AF198" s="18">
        <f>IF($A198&gt;'1-Input'!$B$26,AH197,(AH197-MAX(0,AD176-IF($A198&gt;='1-Input'!$C$12,'1-Input'!$B$12,0))+AE198*(1-'P-Parametri'!$B$6*AD198))*(1+ROUND('3-Liquidita'!$F$11,4)))</f>
        <v>35670.686502200319</v>
      </c>
      <c r="AG198" s="18">
        <f>IF($A198&gt;'1-Input'!$B$26,AI197,(AI197-AE198)*(1+'5-Roberta'!$C$4))</f>
        <v>156462.52456876583</v>
      </c>
      <c r="AH198" s="18">
        <f>IF($A198&gt;'1-Input'!$B$26,AF198,AF198-'P-Parametri'!$B$8*(AG198+AF198)+MIN(MAX(AG198,0),'P-Parametri'!$B$8*(AG198+AF198)))</f>
        <v>35670.686502200319</v>
      </c>
      <c r="AI198" s="18">
        <f>IF($A198&gt;'1-Input'!$B$26,AG198,AG198-MIN(MAX(AG198,0),'P-Parametri'!$B$8*(AG198+AF198)))</f>
        <v>156078.25814662391</v>
      </c>
      <c r="AJ198" s="18">
        <f>IF($A198&gt;'1-Input'!$B$26,AJ197,AJ197-AE198*(1-AD198))</f>
        <v>70863.500829602883</v>
      </c>
      <c r="AK198" s="11">
        <f>IF($A198&gt;'1-Input'!$B$26,0,IF(AP197&lt;=0,0,MAX(0,(AP197-AQ197)/AP197)))</f>
        <v>0.5335023224643437</v>
      </c>
      <c r="AL198" s="18">
        <f>IF($A198&gt;'1-Input'!$B$26,0,(MAX(0,AK176-IF($A198&gt;='1-Input'!$C$12,'1-Input'!$B$12,0))-MIN(MAX(AO197,0),MAX(0,AK176-IF($A198&gt;='1-Input'!$C$12,'1-Input'!$B$12,0))))*(1/(1-'P-Parametri'!$B$6*AK198))+MIN(MAX(0,AP197-(MAX(0,AK176-IF($A198&gt;='1-Input'!$C$12,'1-Input'!$B$12,0))-MIN(MAX(AO197,0),MAX(0,AK176-IF($A198&gt;='1-Input'!$C$12,'1-Input'!$B$12,0))))*(1/(1-'P-Parametri'!$B$6*AK198))),MAX(0,2*AK176-(AO197-MIN(MAX(AO197,0),MAX(0,AK176-IF($A198&gt;='1-Input'!$C$12,'1-Input'!$B$12,0)))))*(1/(1-'P-Parametri'!$B$6*AK198))))</f>
        <v>20988.505067577655</v>
      </c>
      <c r="AM198" s="18">
        <f>IF($A198&gt;'1-Input'!$B$26,AO197,(AO197-MAX(0,AK176-IF($A198&gt;='1-Input'!$C$12,'1-Input'!$B$12,0))+AL198*(1-'P-Parametri'!$B$6*AK198))*(1+ROUND('3-Liquidita'!$F$11,4)))</f>
        <v>35670.623508598648</v>
      </c>
      <c r="AN198" s="18">
        <f>IF($A198&gt;'1-Input'!$B$26,AP197,(AP197-AL198)*(1+'5-Roberta'!$C$4))</f>
        <v>156463.595609071</v>
      </c>
      <c r="AO198" s="18">
        <f>IF($A198&gt;'1-Input'!$B$26,AM198,AM198-'P-Parametri'!$B$8*(AN198+AM198)+MIN(MAX(AN198,0),'P-Parametri'!$B$8*(AN198+AM198)))</f>
        <v>35670.623508598648</v>
      </c>
      <c r="AP198" s="18">
        <f>IF($A198&gt;'1-Input'!$B$26,AN198,AN198-MIN(MAX(AN198,0),'P-Parametri'!$B$8*(AN198+AM198)))</f>
        <v>156079.32717083566</v>
      </c>
      <c r="AQ198" s="18">
        <f>IF($A198&gt;'1-Input'!$B$26,AQ197,AQ197-AL198*(1-AK198))</f>
        <v>70863.984437388091</v>
      </c>
    </row>
    <row r="199" spans="1:43">
      <c r="A199" s="10">
        <f>21</f>
        <v>21</v>
      </c>
      <c r="B199" s="11">
        <f>IF($A199&gt;'1-Input'!$B$26,0,IF(G198&lt;=0,0,MAX(0,(G198-H198)/G198)))</f>
        <v>0.54635914206666469</v>
      </c>
      <c r="C199" s="18">
        <f>IF($A199&gt;'1-Input'!$B$26,0,(MAX(0,B176-IF($A199&gt;='1-Input'!$C$12,'1-Input'!$B$12,0))-MIN(MAX(F198,0),MAX(0,B176-IF($A199&gt;='1-Input'!$C$12,'1-Input'!$B$12,0))))*(1/(1-'P-Parametri'!$B$6*B199))+MIN(MAX(0,G198-(MAX(0,B176-IF($A199&gt;='1-Input'!$C$12,'1-Input'!$B$12,0))-MIN(MAX(F198,0),MAX(0,B176-IF($A199&gt;='1-Input'!$C$12,'1-Input'!$B$12,0))))*(1/(1-'P-Parametri'!$B$6*B199))),MAX(0,2*B176-(F198-MIN(MAX(F198,0),MAX(0,B176-IF($A199&gt;='1-Input'!$C$12,'1-Input'!$B$12,0)))))*(1/(1-'P-Parametri'!$B$6*B199))))</f>
        <v>19617.985967907967</v>
      </c>
      <c r="D199" s="18">
        <f>IF($A199&gt;'1-Input'!$B$26,F198,(F198-MAX(0,B176-IF($A199&gt;='1-Input'!$C$12,'1-Input'!$B$12,0))+C199*(1-'P-Parametri'!$B$6*B199))*(1+ROUND('3-Liquidita'!$F$11,4)))</f>
        <v>33211.981131419976</v>
      </c>
      <c r="E199" s="18">
        <f>IF($A199&gt;'1-Input'!$B$26,G198,(G198-C199)*(1+'5-Roberta'!$C$4))</f>
        <v>183533.61881723974</v>
      </c>
      <c r="F199" s="18">
        <f>IF($A199&gt;'1-Input'!$B$26,D199,D199-'P-Parametri'!$B$8*(E199+D199)+MIN(MAX(E199,0),'P-Parametri'!$B$8*(E199+D199)))</f>
        <v>33211.981131419976</v>
      </c>
      <c r="G199" s="18">
        <f>IF($A199&gt;'1-Input'!$B$26,E199,E199-MIN(MAX(E199,0),'P-Parametri'!$B$8*(E199+D199)))</f>
        <v>183100.12761734243</v>
      </c>
      <c r="H199" s="18">
        <f>IF($A199&gt;'1-Input'!$B$26,H198,H198-C199*(1-B199))</f>
        <v>80833.347863944058</v>
      </c>
      <c r="I199" s="11">
        <f>IF($A199&gt;'1-Input'!$B$26,0,IF(N198&lt;=0,0,MAX(0,(N198-O198)/N198)))</f>
        <v>0.54174534380439909</v>
      </c>
      <c r="J199" s="18">
        <f>IF($A199&gt;'1-Input'!$B$26,0,(MAX(0,I176-IF($A199&gt;='1-Input'!$C$12,'1-Input'!$B$12,0))-MIN(MAX(M198,0),MAX(0,I176-IF($A199&gt;='1-Input'!$C$12,'1-Input'!$B$12,0))))*(1/(1-'P-Parametri'!$B$6*I199))+MIN(MAX(0,N198-(MAX(0,I176-IF($A199&gt;='1-Input'!$C$12,'1-Input'!$B$12,0))-MIN(MAX(M198,0),MAX(0,I176-IF($A199&gt;='1-Input'!$C$12,'1-Input'!$B$12,0))))*(1/(1-'P-Parametri'!$B$6*I199))),MAX(0,2*I176-(M198-MIN(MAX(M198,0),MAX(0,I176-IF($A199&gt;='1-Input'!$C$12,'1-Input'!$B$12,0)))))*(1/(1-'P-Parametri'!$B$6*I199))))</f>
        <v>19865.285939458896</v>
      </c>
      <c r="K199" s="18">
        <f>IF($A199&gt;'1-Input'!$B$26,M198,(M198-MAX(0,I176-IF($A199&gt;='1-Input'!$C$12,'1-Input'!$B$12,0))+J199*(1-'P-Parametri'!$B$6*I199))*(1+ROUND('3-Liquidita'!$F$11,4)))</f>
        <v>38643.720502650467</v>
      </c>
      <c r="L199" s="18">
        <f>IF($A199&gt;'1-Input'!$B$26,N198,(N198-J199)*(1+'5-Roberta'!$C$4))</f>
        <v>0</v>
      </c>
      <c r="M199" s="18">
        <f>IF($A199&gt;'1-Input'!$B$26,K199,K199-'P-Parametri'!$B$8*(L199+K199)+MIN(MAX(L199,0),'P-Parametri'!$B$8*(L199+K199)))</f>
        <v>38566.433061645163</v>
      </c>
      <c r="N199" s="18">
        <f>IF($A199&gt;'1-Input'!$B$26,L199,L199-MIN(MAX(L199,0),'P-Parametri'!$B$8*(L199+K199)))</f>
        <v>0</v>
      </c>
      <c r="O199" s="18">
        <f>IF($A199&gt;'1-Input'!$B$26,O198,O198-J199*(1-I199))</f>
        <v>1.8189894035458565E-12</v>
      </c>
      <c r="P199" s="11">
        <f>IF($A199&gt;'1-Input'!$B$26,0,IF(U198&lt;=0,0,MAX(0,(U198-V198)/U198)))</f>
        <v>0.54589737222512458</v>
      </c>
      <c r="Q199" s="18">
        <f>IF($A199&gt;'1-Input'!$B$26,0,(MAX(0,P176-IF($A199&gt;='1-Input'!$C$12,'1-Input'!$B$12,0))-MIN(MAX(T198,0),MAX(0,P176-IF($A199&gt;='1-Input'!$C$12,'1-Input'!$B$12,0))))*(1/(1-'P-Parametri'!$B$6*P199))+MIN(MAX(0,U198-(MAX(0,P176-IF($A199&gt;='1-Input'!$C$12,'1-Input'!$B$12,0))-MIN(MAX(T198,0),MAX(0,P176-IF($A199&gt;='1-Input'!$C$12,'1-Input'!$B$12,0))))*(1/(1-'P-Parametri'!$B$6*P199))),MAX(0,2*P176-(T198-MIN(MAX(T198,0),MAX(0,P176-IF($A199&gt;='1-Input'!$C$12,'1-Input'!$B$12,0)))))*(1/(1-'P-Parametri'!$B$6*P199))))</f>
        <v>21316.026332659156</v>
      </c>
      <c r="R199" s="18">
        <f>IF($A199&gt;'1-Input'!$B$26,T198,(T198-MAX(0,P176-IF($A199&gt;='1-Input'!$C$12,'1-Input'!$B$12,0))+Q199*(1-'P-Parametri'!$B$6*P199))*(1+ROUND('3-Liquidita'!$F$11,4)))</f>
        <v>36091.703549375699</v>
      </c>
      <c r="S199" s="18">
        <f>IF($A199&gt;'1-Input'!$B$26,U198,(U198-Q199)*(1+'5-Roberta'!$C$4))</f>
        <v>131446.02895799681</v>
      </c>
      <c r="T199" s="18">
        <f>IF($A199&gt;'1-Input'!$B$26,R199,R199-'P-Parametri'!$B$8*(S199+R199)+MIN(MAX(S199,0),'P-Parametri'!$B$8*(S199+R199)))</f>
        <v>36091.703549375699</v>
      </c>
      <c r="U199" s="18">
        <f>IF($A199&gt;'1-Input'!$B$26,S199,S199-MIN(MAX(S199,0),'P-Parametri'!$B$8*(S199+R199)))</f>
        <v>131110.95349298205</v>
      </c>
      <c r="V199" s="18">
        <f>IF($A199&gt;'1-Input'!$B$26,V198,V198-Q199*(1-P199))</f>
        <v>57951.443845047303</v>
      </c>
      <c r="W199" s="11">
        <f>IF($A199&gt;'1-Input'!$B$26,0,IF(AB198&lt;=0,0,MAX(0,(AB198-AC198)/AB198)))</f>
        <v>0.54596958217302038</v>
      </c>
      <c r="X199" s="18">
        <f>IF($A199&gt;'1-Input'!$B$26,0,(MAX(0,W176-IF($A199&gt;='1-Input'!$C$12,'1-Input'!$B$12,0))-MIN(MAX(AA198,0),MAX(0,W176-IF($A199&gt;='1-Input'!$C$12,'1-Input'!$B$12,0))))*(1/(1-'P-Parametri'!$B$6*W199))+MIN(MAX(0,AB198-(MAX(0,W176-IF($A199&gt;='1-Input'!$C$12,'1-Input'!$B$12,0))-MIN(MAX(AA198,0),MAX(0,W176-IF($A199&gt;='1-Input'!$C$12,'1-Input'!$B$12,0))))*(1/(1-'P-Parametri'!$B$6*W199))),MAX(0,2*W176-(AA198-MIN(MAX(AA198,0),MAX(0,W176-IF($A199&gt;='1-Input'!$C$12,'1-Input'!$B$12,0)))))*(1/(1-'P-Parametri'!$B$6*W199))))</f>
        <v>21084.240311070542</v>
      </c>
      <c r="Y199" s="18">
        <f>IF($A199&gt;'1-Input'!$B$26,AA198,(AA198-MAX(0,W176-IF($A199&gt;='1-Input'!$C$12,'1-Input'!$B$12,0))+X199*(1-'P-Parametri'!$B$6*W199))*(1+ROUND('3-Liquidita'!$F$11,4)))</f>
        <v>35698.468794259323</v>
      </c>
      <c r="Z199" s="18">
        <f>IF($A199&gt;'1-Input'!$B$26,AB198,(AB198-X199)*(1+'5-Roberta'!$C$4))</f>
        <v>138558.21892686738</v>
      </c>
      <c r="AA199" s="18">
        <f>IF($A199&gt;'1-Input'!$B$26,Y199,Y199-'P-Parametri'!$B$8*(Z199+Y199)+MIN(MAX(Z199,0),'P-Parametri'!$B$8*(Z199+Y199)))</f>
        <v>35698.468794259323</v>
      </c>
      <c r="AB199" s="18">
        <f>IF($A199&gt;'1-Input'!$B$26,Z199,Z199-MIN(MAX(Z199,0),'P-Parametri'!$B$8*(Z199+Y199)))</f>
        <v>138209.70555142514</v>
      </c>
      <c r="AC199" s="18">
        <f>IF($A199&gt;'1-Input'!$B$26,AC198,AC198-X199*(1-W199))</f>
        <v>61077.326245366719</v>
      </c>
      <c r="AD199" s="11">
        <f>IF($A199&gt;'1-Input'!$B$26,0,IF(AI198&lt;=0,0,MAX(0,(AI198-AJ198)/AI198)))</f>
        <v>0.54597455359200708</v>
      </c>
      <c r="AE199" s="18">
        <f>IF($A199&gt;'1-Input'!$B$26,0,(MAX(0,AD176-IF($A199&gt;='1-Input'!$C$12,'1-Input'!$B$12,0))-MIN(MAX(AH198,0),MAX(0,AD176-IF($A199&gt;='1-Input'!$C$12,'1-Input'!$B$12,0))))*(1/(1-'P-Parametri'!$B$6*AD199))+MIN(MAX(0,AI198-(MAX(0,AD176-IF($A199&gt;='1-Input'!$C$12,'1-Input'!$B$12,0))-MIN(MAX(AH198,0),MAX(0,AD176-IF($A199&gt;='1-Input'!$C$12,'1-Input'!$B$12,0))))*(1/(1-'P-Parametri'!$B$6*AD199))),MAX(0,2*AD176-(AH198-MIN(MAX(AH198,0),MAX(0,AD176-IF($A199&gt;='1-Input'!$C$12,'1-Input'!$B$12,0)))))*(1/(1-'P-Parametri'!$B$6*AD199))))</f>
        <v>21067.863262195242</v>
      </c>
      <c r="AF199" s="18">
        <f>IF($A199&gt;'1-Input'!$B$26,AH198,(AH198-MAX(0,AD176-IF($A199&gt;='1-Input'!$C$12,'1-Input'!$B$12,0))+AE199*(1-'P-Parametri'!$B$6*AD199))*(1+ROUND('3-Liquidita'!$F$11,4)))</f>
        <v>35670.686502200319</v>
      </c>
      <c r="AG199" s="18">
        <f>IF($A199&gt;'1-Input'!$B$26,AI198,(AI198-AE199)*(1+'5-Roberta'!$C$4))</f>
        <v>139060.70673096151</v>
      </c>
      <c r="AH199" s="18">
        <f>IF($A199&gt;'1-Input'!$B$26,AF199,AF199-'P-Parametri'!$B$8*(AG199+AF199)+MIN(MAX(AG199,0),'P-Parametri'!$B$8*(AG199+AF199)))</f>
        <v>35670.686502200319</v>
      </c>
      <c r="AI199" s="18">
        <f>IF($A199&gt;'1-Input'!$B$26,AG199,AG199-MIN(MAX(AG199,0),'P-Parametri'!$B$8*(AG199+AF199)))</f>
        <v>138711.24394449519</v>
      </c>
      <c r="AJ199" s="18">
        <f>IF($A199&gt;'1-Input'!$B$26,AJ198,AJ198-AE199*(1-AD199))</f>
        <v>61298.154807122133</v>
      </c>
      <c r="AK199" s="11">
        <f>IF($A199&gt;'1-Input'!$B$26,0,IF(AP198&lt;=0,0,MAX(0,(AP198-AQ198)/AP198)))</f>
        <v>0.54597456484532159</v>
      </c>
      <c r="AL199" s="18">
        <f>IF($A199&gt;'1-Input'!$B$26,0,(MAX(0,AK176-IF($A199&gt;='1-Input'!$C$12,'1-Input'!$B$12,0))-MIN(MAX(AO198,0),MAX(0,AK176-IF($A199&gt;='1-Input'!$C$12,'1-Input'!$B$12,0))))*(1/(1-'P-Parametri'!$B$6*AK199))+MIN(MAX(0,AP198-(MAX(0,AK176-IF($A199&gt;='1-Input'!$C$12,'1-Input'!$B$12,0))-MIN(MAX(AO198,0),MAX(0,AK176-IF($A199&gt;='1-Input'!$C$12,'1-Input'!$B$12,0))))*(1/(1-'P-Parametri'!$B$6*AK199))),MAX(0,2*AK176-(AO198-MIN(MAX(AO198,0),MAX(0,AK176-IF($A199&gt;='1-Input'!$C$12,'1-Input'!$B$12,0)))))*(1/(1-'P-Parametri'!$B$6*AK199))))</f>
        <v>21067.826128678735</v>
      </c>
      <c r="AM199" s="18">
        <f>IF($A199&gt;'1-Input'!$B$26,AO198,(AO198-MAX(0,AK176-IF($A199&gt;='1-Input'!$C$12,'1-Input'!$B$12,0))+AL199*(1-'P-Parametri'!$B$6*AK199))*(1+ROUND('3-Liquidita'!$F$11,4)))</f>
        <v>35670.623508598648</v>
      </c>
      <c r="AN199" s="18">
        <f>IF($A199&gt;'1-Input'!$B$26,AP198,(AP198-AL199)*(1+'5-Roberta'!$C$4))</f>
        <v>139061.84607342162</v>
      </c>
      <c r="AO199" s="18">
        <f>IF($A199&gt;'1-Input'!$B$26,AM199,AM199-'P-Parametri'!$B$8*(AN199+AM199)+MIN(MAX(AN199,0),'P-Parametri'!$B$8*(AN199+AM199)))</f>
        <v>35670.623508598648</v>
      </c>
      <c r="AP199" s="18">
        <f>IF($A199&gt;'1-Input'!$B$26,AN199,AN199-MIN(MAX(AN199,0),'P-Parametri'!$B$8*(AN199+AM199)))</f>
        <v>138712.38113425759</v>
      </c>
      <c r="AQ199" s="18">
        <f>IF($A199&gt;'1-Input'!$B$26,AQ198,AQ198-AL199*(1-AK199))</f>
        <v>61298.655511551624</v>
      </c>
    </row>
    <row r="200" spans="1:43">
      <c r="A200" s="10">
        <f>22</f>
        <v>22</v>
      </c>
      <c r="B200" s="11">
        <f>IF($A200&gt;'1-Input'!$B$26,0,IF(G199&lt;=0,0,MAX(0,(G199-H199)/G199)))</f>
        <v>0.55852926529425373</v>
      </c>
      <c r="C200" s="18">
        <f>IF($A200&gt;'1-Input'!$B$26,0,(MAX(0,B176-IF($A200&gt;='1-Input'!$C$12,'1-Input'!$B$12,0))-MIN(MAX(F199,0),MAX(0,B176-IF($A200&gt;='1-Input'!$C$12,'1-Input'!$B$12,0))))*(1/(1-'P-Parametri'!$B$6*B200))+MIN(MAX(0,G199-(MAX(0,B176-IF($A200&gt;='1-Input'!$C$12,'1-Input'!$B$12,0))-MIN(MAX(F199,0),MAX(0,B176-IF($A200&gt;='1-Input'!$C$12,'1-Input'!$B$12,0))))*(1/(1-'P-Parametri'!$B$6*B200))),MAX(0,2*B176-(F199-MIN(MAX(F199,0),MAX(0,B176-IF($A200&gt;='1-Input'!$C$12,'1-Input'!$B$12,0)))))*(1/(1-'P-Parametri'!$B$6*B200))))</f>
        <v>19690.60779586745</v>
      </c>
      <c r="D200" s="18">
        <f>IF($A200&gt;'1-Input'!$B$26,F199,(F199-MAX(0,B176-IF($A200&gt;='1-Input'!$C$12,'1-Input'!$B$12,0))+C200*(1-'P-Parametri'!$B$6*B200))*(1+ROUND('3-Liquidita'!$F$11,4)))</f>
        <v>33211.981131419976</v>
      </c>
      <c r="E200" s="18">
        <f>IF($A200&gt;'1-Input'!$B$26,G199,(G199-C200)*(1+'5-Roberta'!$C$4))</f>
        <v>168311.80541611923</v>
      </c>
      <c r="F200" s="18">
        <f>IF($A200&gt;'1-Input'!$B$26,D200,D200-'P-Parametri'!$B$8*(E200+D200)+MIN(MAX(E200,0),'P-Parametri'!$B$8*(E200+D200)))</f>
        <v>33211.981131419976</v>
      </c>
      <c r="G200" s="18">
        <f>IF($A200&gt;'1-Input'!$B$26,E200,E200-MIN(MAX(E200,0),'P-Parametri'!$B$8*(E200+D200)))</f>
        <v>167908.75784302416</v>
      </c>
      <c r="H200" s="18">
        <f>IF($A200&gt;'1-Input'!$B$26,H199,H199-C200*(1-B200))</f>
        <v>72140.520773499768</v>
      </c>
      <c r="I200" s="11">
        <f>IF($A200&gt;'1-Input'!$B$26,0,IF(N199&lt;=0,0,MAX(0,(N199-O199)/N199)))</f>
        <v>0</v>
      </c>
      <c r="J200" s="18">
        <f>IF($A200&gt;'1-Input'!$B$26,0,(MAX(0,I176-IF($A200&gt;='1-Input'!$C$12,'1-Input'!$B$12,0))-MIN(MAX(M199,0),MAX(0,I176-IF($A200&gt;='1-Input'!$C$12,'1-Input'!$B$12,0))))*(1/(1-'P-Parametri'!$B$6*I200))+MIN(MAX(0,N199-(MAX(0,I176-IF($A200&gt;='1-Input'!$C$12,'1-Input'!$B$12,0))-MIN(MAX(M199,0),MAX(0,I176-IF($A200&gt;='1-Input'!$C$12,'1-Input'!$B$12,0))))*(1/(1-'P-Parametri'!$B$6*I200))),MAX(0,2*I176-(M199-MIN(MAX(M199,0),MAX(0,I176-IF($A200&gt;='1-Input'!$C$12,'1-Input'!$B$12,0)))))*(1/(1-'P-Parametri'!$B$6*I200))))</f>
        <v>0</v>
      </c>
      <c r="K200" s="18">
        <f>IF($A200&gt;'1-Input'!$B$26,M199,(M199-MAX(0,I176-IF($A200&gt;='1-Input'!$C$12,'1-Input'!$B$12,0))+J200*(1-'P-Parametri'!$B$6*I200))*(1+ROUND('3-Liquidita'!$F$11,4)))</f>
        <v>16542.896526407247</v>
      </c>
      <c r="L200" s="18">
        <f>IF($A200&gt;'1-Input'!$B$26,N199,(N199-J200)*(1+'5-Roberta'!$C$4))</f>
        <v>0</v>
      </c>
      <c r="M200" s="18">
        <f>IF($A200&gt;'1-Input'!$B$26,K200,K200-'P-Parametri'!$B$8*(L200+K200)+MIN(MAX(L200,0),'P-Parametri'!$B$8*(L200+K200)))</f>
        <v>16509.810733354432</v>
      </c>
      <c r="N200" s="18">
        <f>IF($A200&gt;'1-Input'!$B$26,L200,L200-MIN(MAX(L200,0),'P-Parametri'!$B$8*(L200+K200)))</f>
        <v>0</v>
      </c>
      <c r="O200" s="18">
        <f>IF($A200&gt;'1-Input'!$B$26,O199,O199-J200*(1-I200))</f>
        <v>1.8189894035458565E-12</v>
      </c>
      <c r="P200" s="11">
        <f>IF($A200&gt;'1-Input'!$B$26,0,IF(U199&lt;=0,0,MAX(0,(U199-V199)/U199)))</f>
        <v>0.55799693083500268</v>
      </c>
      <c r="Q200" s="18">
        <f>IF($A200&gt;'1-Input'!$B$26,0,(MAX(0,P176-IF($A200&gt;='1-Input'!$C$12,'1-Input'!$B$12,0))-MIN(MAX(T199,0),MAX(0,P176-IF($A200&gt;='1-Input'!$C$12,'1-Input'!$B$12,0))))*(1/(1-'P-Parametri'!$B$6*P200))+MIN(MAX(0,U199-(MAX(0,P176-IF($A200&gt;='1-Input'!$C$12,'1-Input'!$B$12,0))-MIN(MAX(T199,0),MAX(0,P176-IF($A200&gt;='1-Input'!$C$12,'1-Input'!$B$12,0))))*(1/(1-'P-Parametri'!$B$6*P200))),MAX(0,2*P176-(T199-MIN(MAX(T199,0),MAX(0,P176-IF($A200&gt;='1-Input'!$C$12,'1-Input'!$B$12,0)))))*(1/(1-'P-Parametri'!$B$6*P200))))</f>
        <v>21394.463741999367</v>
      </c>
      <c r="R200" s="18">
        <f>IF($A200&gt;'1-Input'!$B$26,T199,(T199-MAX(0,P176-IF($A200&gt;='1-Input'!$C$12,'1-Input'!$B$12,0))+Q200*(1-'P-Parametri'!$B$6*P200))*(1+ROUND('3-Liquidita'!$F$11,4)))</f>
        <v>36091.703549375699</v>
      </c>
      <c r="S200" s="18">
        <f>IF($A200&gt;'1-Input'!$B$26,U199,(U199-Q200)*(1+'5-Roberta'!$C$4))</f>
        <v>113007.98444351216</v>
      </c>
      <c r="T200" s="18">
        <f>IF($A200&gt;'1-Input'!$B$26,R200,R200-'P-Parametri'!$B$8*(S200+R200)+MIN(MAX(S200,0),'P-Parametri'!$B$8*(S200+R200)))</f>
        <v>36091.703549375699</v>
      </c>
      <c r="U200" s="18">
        <f>IF($A200&gt;'1-Input'!$B$26,S200,S200-MIN(MAX(S200,0),'P-Parametri'!$B$8*(S200+R200)))</f>
        <v>112709.78506752639</v>
      </c>
      <c r="V200" s="18">
        <f>IF($A200&gt;'1-Input'!$B$26,V199,V199-Q200*(1-P200))</f>
        <v>48495.025207944331</v>
      </c>
      <c r="W200" s="11">
        <f>IF($A200&gt;'1-Input'!$B$26,0,IF(AB199&lt;=0,0,MAX(0,(AB199-AC199)/AB199)))</f>
        <v>0.55808222004610941</v>
      </c>
      <c r="X200" s="18">
        <f>IF($A200&gt;'1-Input'!$B$26,0,(MAX(0,W176-IF($A200&gt;='1-Input'!$C$12,'1-Input'!$B$12,0))-MIN(MAX(AA199,0),MAX(0,W176-IF($A200&gt;='1-Input'!$C$12,'1-Input'!$B$12,0))))*(1/(1-'P-Parametri'!$B$6*W200))+MIN(MAX(0,AB199-(MAX(0,W176-IF($A200&gt;='1-Input'!$C$12,'1-Input'!$B$12,0))-MIN(MAX(AA199,0),MAX(0,W176-IF($A200&gt;='1-Input'!$C$12,'1-Input'!$B$12,0))))*(1/(1-'P-Parametri'!$B$6*W200))),MAX(0,2*W176-(AA199-MIN(MAX(AA199,0),MAX(0,W176-IF($A200&gt;='1-Input'!$C$12,'1-Input'!$B$12,0)))))*(1/(1-'P-Parametri'!$B$6*W200))))</f>
        <v>21161.910689565153</v>
      </c>
      <c r="Y200" s="18">
        <f>IF($A200&gt;'1-Input'!$B$26,AA199,(AA199-MAX(0,W176-IF($A200&gt;='1-Input'!$C$12,'1-Input'!$B$12,0))+X200*(1-'P-Parametri'!$B$6*W200))*(1+ROUND('3-Liquidita'!$F$11,4)))</f>
        <v>35698.468794259323</v>
      </c>
      <c r="Z200" s="18">
        <f>IF($A200&gt;'1-Input'!$B$26,AB199,(AB199-X200)*(1+'5-Roberta'!$C$4))</f>
        <v>120559.2287077158</v>
      </c>
      <c r="AA200" s="18">
        <f>IF($A200&gt;'1-Input'!$B$26,Y200,Y200-'P-Parametri'!$B$8*(Z200+Y200)+MIN(MAX(Z200,0),'P-Parametri'!$B$8*(Z200+Y200)))</f>
        <v>35698.468794259323</v>
      </c>
      <c r="AB200" s="18">
        <f>IF($A200&gt;'1-Input'!$B$26,Z200,Z200-MIN(MAX(Z200,0),'P-Parametri'!$B$8*(Z200+Y200)))</f>
        <v>120246.71331271184</v>
      </c>
      <c r="AC200" s="18">
        <f>IF($A200&gt;'1-Input'!$B$26,AC199,AC199-X200*(1-W200))</f>
        <v>51725.501653851577</v>
      </c>
      <c r="AD200" s="11">
        <f>IF($A200&gt;'1-Input'!$B$26,0,IF(AI199&lt;=0,0,MAX(0,(AI199-AJ199)/AI199)))</f>
        <v>0.55808806075122241</v>
      </c>
      <c r="AE200" s="18">
        <f>IF($A200&gt;'1-Input'!$B$26,0,(MAX(0,AD176-IF($A200&gt;='1-Input'!$C$12,'1-Input'!$B$12,0))-MIN(MAX(AH199,0),MAX(0,AD176-IF($A200&gt;='1-Input'!$C$12,'1-Input'!$B$12,0))))*(1/(1-'P-Parametri'!$B$6*AD200))+MIN(MAX(0,AI199-(MAX(0,AD176-IF($A200&gt;='1-Input'!$C$12,'1-Input'!$B$12,0))-MIN(MAX(AH199,0),MAX(0,AD176-IF($A200&gt;='1-Input'!$C$12,'1-Input'!$B$12,0))))*(1/(1-'P-Parametri'!$B$6*AD200))),MAX(0,2*AD176-(AH199-MIN(MAX(AH199,0),MAX(0,AD176-IF($A200&gt;='1-Input'!$C$12,'1-Input'!$B$12,0)))))*(1/(1-'P-Parametri'!$B$6*AD200))))</f>
        <v>21145.479018421578</v>
      </c>
      <c r="AF200" s="18">
        <f>IF($A200&gt;'1-Input'!$B$26,AH199,(AH199-MAX(0,AD176-IF($A200&gt;='1-Input'!$C$12,'1-Input'!$B$12,0))+AE200*(1-'P-Parametri'!$B$6*AD200))*(1+ROUND('3-Liquidita'!$F$11,4)))</f>
        <v>35670.686502200319</v>
      </c>
      <c r="AG200" s="18">
        <f>IF($A200&gt;'1-Input'!$B$26,AI199,(AI199-AE200)*(1+'5-Roberta'!$C$4))</f>
        <v>121092.73787385582</v>
      </c>
      <c r="AH200" s="18">
        <f>IF($A200&gt;'1-Input'!$B$26,AF200,AF200-'P-Parametri'!$B$8*(AG200+AF200)+MIN(MAX(AG200,0),'P-Parametri'!$B$8*(AG200+AF200)))</f>
        <v>35670.686502200319</v>
      </c>
      <c r="AI200" s="18">
        <f>IF($A200&gt;'1-Input'!$B$26,AG200,AG200-MIN(MAX(AG200,0),'P-Parametri'!$B$8*(AG200+AF200)))</f>
        <v>120779.21102510371</v>
      </c>
      <c r="AJ200" s="18">
        <f>IF($A200&gt;'1-Input'!$B$26,AJ199,AJ199-AE200*(1-AD200))</f>
        <v>51953.715167747112</v>
      </c>
      <c r="AK200" s="11">
        <f>IF($A200&gt;'1-Input'!$B$26,0,IF(AP199&lt;=0,0,MAX(0,(AP199-AQ199)/AP199)))</f>
        <v>0.55808807396780546</v>
      </c>
      <c r="AL200" s="18">
        <f>IF($A200&gt;'1-Input'!$B$26,0,(MAX(0,AK176-IF($A200&gt;='1-Input'!$C$12,'1-Input'!$B$12,0))-MIN(MAX(AO199,0),MAX(0,AK176-IF($A200&gt;='1-Input'!$C$12,'1-Input'!$B$12,0))))*(1/(1-'P-Parametri'!$B$6*AK200))+MIN(MAX(0,AP199-(MAX(0,AK176-IF($A200&gt;='1-Input'!$C$12,'1-Input'!$B$12,0))-MIN(MAX(AO199,0),MAX(0,AK176-IF($A200&gt;='1-Input'!$C$12,'1-Input'!$B$12,0))))*(1/(1-'P-Parametri'!$B$6*AK200))),MAX(0,2*AK176-(AO199-MIN(MAX(AO199,0),MAX(0,AK176-IF($A200&gt;='1-Input'!$C$12,'1-Input'!$B$12,0)))))*(1/(1-'P-Parametri'!$B$6*AK200))))</f>
        <v>21145.441760993468</v>
      </c>
      <c r="AM200" s="18">
        <f>IF($A200&gt;'1-Input'!$B$26,AO199,(AO199-MAX(0,AK176-IF($A200&gt;='1-Input'!$C$12,'1-Input'!$B$12,0))+AL200*(1-'P-Parametri'!$B$6*AK200))*(1+ROUND('3-Liquidita'!$F$11,4)))</f>
        <v>35670.623508598648</v>
      </c>
      <c r="AN200" s="18">
        <f>IF($A200&gt;'1-Input'!$B$26,AP199,(AP199-AL200)*(1+'5-Roberta'!$C$4))</f>
        <v>121093.94755446205</v>
      </c>
      <c r="AO200" s="18">
        <f>IF($A200&gt;'1-Input'!$B$26,AM200,AM200-'P-Parametri'!$B$8*(AN200+AM200)+MIN(MAX(AN200,0),'P-Parametri'!$B$8*(AN200+AM200)))</f>
        <v>35670.623508598648</v>
      </c>
      <c r="AP200" s="18">
        <f>IF($A200&gt;'1-Input'!$B$26,AN200,AN200-MIN(MAX(AN200,0),'P-Parametri'!$B$8*(AN200+AM200)))</f>
        <v>120780.41841233593</v>
      </c>
      <c r="AQ200" s="18">
        <f>IF($A200&gt;'1-Input'!$B$26,AQ199,AQ199-AL200*(1-AK200))</f>
        <v>51954.232616149398</v>
      </c>
    </row>
    <row r="201" spans="1:43">
      <c r="A201" s="10">
        <f>23</f>
        <v>23</v>
      </c>
      <c r="B201" s="11">
        <f>IF($A201&gt;'1-Input'!$B$26,0,IF(G200&lt;=0,0,MAX(0,(G200-H200)/G200)))</f>
        <v>0.57035879664512168</v>
      </c>
      <c r="C201" s="18">
        <f>IF($A201&gt;'1-Input'!$B$26,0,(MAX(0,B176-IF($A201&gt;='1-Input'!$C$12,'1-Input'!$B$12,0))-MIN(MAX(F200,0),MAX(0,B176-IF($A201&gt;='1-Input'!$C$12,'1-Input'!$B$12,0))))*(1/(1-'P-Parametri'!$B$6*B201))+MIN(MAX(0,G200-(MAX(0,B176-IF($A201&gt;='1-Input'!$C$12,'1-Input'!$B$12,0))-MIN(MAX(F200,0),MAX(0,B176-IF($A201&gt;='1-Input'!$C$12,'1-Input'!$B$12,0))))*(1/(1-'P-Parametri'!$B$6*B201))),MAX(0,2*B176-(F200-MIN(MAX(F200,0),MAX(0,B176-IF($A201&gt;='1-Input'!$C$12,'1-Input'!$B$12,0)))))*(1/(1-'P-Parametri'!$B$6*B201))))</f>
        <v>6726.7108804819827</v>
      </c>
      <c r="D201" s="18">
        <f>IF($A201&gt;'1-Input'!$B$26,F200,(F200-MAX(0,B176-IF($A201&gt;='1-Input'!$C$12,'1-Input'!$B$12,0))+C201*(1-'P-Parametri'!$B$6*B201))*(1+ROUND('3-Liquidita'!$F$11,4)))</f>
        <v>33211.981131419976</v>
      </c>
      <c r="E201" s="18">
        <f>IF($A201&gt;'1-Input'!$B$26,G200,(G200-C201)*(1+'5-Roberta'!$C$4))</f>
        <v>166017.50837141843</v>
      </c>
      <c r="F201" s="18">
        <f>IF($A201&gt;'1-Input'!$B$26,D201,D201-'P-Parametri'!$B$8*(E201+D201)+MIN(MAX(E201,0),'P-Parametri'!$B$8*(E201+D201)))</f>
        <v>33211.981131419976</v>
      </c>
      <c r="G201" s="18">
        <f>IF($A201&gt;'1-Input'!$B$26,E201,E201-MIN(MAX(E201,0),'P-Parametri'!$B$8*(E201+D201)))</f>
        <v>165619.04939241277</v>
      </c>
      <c r="H201" s="18">
        <f>IF($A201&gt;'1-Input'!$B$26,H200,H200-C201*(1-B201))</f>
        <v>69250.44861618914</v>
      </c>
      <c r="I201" s="11">
        <f>IF($A201&gt;'1-Input'!$B$26,0,IF(N200&lt;=0,0,MAX(0,(N200-O200)/N200)))</f>
        <v>0</v>
      </c>
      <c r="J201" s="18">
        <f>IF($A201&gt;'1-Input'!$B$26,0,(MAX(0,I176-IF($A201&gt;='1-Input'!$C$12,'1-Input'!$B$12,0))-MIN(MAX(M200,0),MAX(0,I176-IF($A201&gt;='1-Input'!$C$12,'1-Input'!$B$12,0))))*(1/(1-'P-Parametri'!$B$6*I201))+MIN(MAX(0,N200-(MAX(0,I176-IF($A201&gt;='1-Input'!$C$12,'1-Input'!$B$12,0))-MIN(MAX(M200,0),MAX(0,I176-IF($A201&gt;='1-Input'!$C$12,'1-Input'!$B$12,0))))*(1/(1-'P-Parametri'!$B$6*I201))),MAX(0,2*I176-(M200-MIN(MAX(M200,0),MAX(0,I176-IF($A201&gt;='1-Input'!$C$12,'1-Input'!$B$12,0)))))*(1/(1-'P-Parametri'!$B$6*I201))))</f>
        <v>0</v>
      </c>
      <c r="K201" s="18">
        <f>IF($A201&gt;'1-Input'!$B$26,M200,(M200-MAX(0,I176-IF($A201&gt;='1-Input'!$C$12,'1-Input'!$B$12,0))+J201*(1-'P-Parametri'!$B$6*I201))*(1+ROUND('3-Liquidita'!$F$11,4)))</f>
        <v>5637.5699985938254</v>
      </c>
      <c r="L201" s="18">
        <f>IF($A201&gt;'1-Input'!$B$26,N200,(N200-J201)*(1+'5-Roberta'!$C$4))</f>
        <v>0</v>
      </c>
      <c r="M201" s="18">
        <f>IF($A201&gt;'1-Input'!$B$26,K201,K201-'P-Parametri'!$B$8*(L201+K201)+MIN(MAX(L201,0),'P-Parametri'!$B$8*(L201+K201)))</f>
        <v>5626.2948585966378</v>
      </c>
      <c r="N201" s="18">
        <f>IF($A201&gt;'1-Input'!$B$26,L201,L201-MIN(MAX(L201,0),'P-Parametri'!$B$8*(L201+K201)))</f>
        <v>0</v>
      </c>
      <c r="O201" s="18">
        <f>IF($A201&gt;'1-Input'!$B$26,O200,O200-J201*(1-I201))</f>
        <v>1.8189894035458565E-12</v>
      </c>
      <c r="P201" s="11">
        <f>IF($A201&gt;'1-Input'!$B$26,0,IF(U200&lt;=0,0,MAX(0,(U200-V200)/U200)))</f>
        <v>0.56973544773517115</v>
      </c>
      <c r="Q201" s="18">
        <f>IF($A201&gt;'1-Input'!$B$26,0,(MAX(0,P176-IF($A201&gt;='1-Input'!$C$12,'1-Input'!$B$12,0))-MIN(MAX(T200,0),MAX(0,P176-IF($A201&gt;='1-Input'!$C$12,'1-Input'!$B$12,0))))*(1/(1-'P-Parametri'!$B$6*P201))+MIN(MAX(0,U200-(MAX(0,P176-IF($A201&gt;='1-Input'!$C$12,'1-Input'!$B$12,0))-MIN(MAX(T200,0),MAX(0,P176-IF($A201&gt;='1-Input'!$C$12,'1-Input'!$B$12,0))))*(1/(1-'P-Parametri'!$B$6*P201))),MAX(0,2*P176-(T200-MIN(MAX(T200,0),MAX(0,P176-IF($A201&gt;='1-Input'!$C$12,'1-Input'!$B$12,0)))))*(1/(1-'P-Parametri'!$B$6*P201))))</f>
        <v>8438.5907233757571</v>
      </c>
      <c r="R201" s="18">
        <f>IF($A201&gt;'1-Input'!$B$26,T200,(T200-MAX(0,P176-IF($A201&gt;='1-Input'!$C$12,'1-Input'!$B$12,0))+Q201*(1-'P-Parametri'!$B$6*P201))*(1+ROUND('3-Liquidita'!$F$11,4)))</f>
        <v>36091.703549375699</v>
      </c>
      <c r="S201" s="18">
        <f>IF($A201&gt;'1-Input'!$B$26,U200,(U200-Q201)*(1+'5-Roberta'!$C$4))</f>
        <v>107399.33017447515</v>
      </c>
      <c r="T201" s="18">
        <f>IF($A201&gt;'1-Input'!$B$26,R201,R201-'P-Parametri'!$B$8*(S201+R201)+MIN(MAX(S201,0),'P-Parametri'!$B$8*(S201+R201)))</f>
        <v>36091.703549375699</v>
      </c>
      <c r="U201" s="18">
        <f>IF($A201&gt;'1-Input'!$B$26,S201,S201-MIN(MAX(S201,0),'P-Parametri'!$B$8*(S201+R201)))</f>
        <v>107112.34810702744</v>
      </c>
      <c r="V201" s="18">
        <f>IF($A201&gt;'1-Input'!$B$26,V200,V200-Q201*(1-P201))</f>
        <v>44864.198748604926</v>
      </c>
      <c r="W201" s="11">
        <f>IF($A201&gt;'1-Input'!$B$26,0,IF(AB200&lt;=0,0,MAX(0,(AB200-AC200)/AB200)))</f>
        <v>0.56983854087275554</v>
      </c>
      <c r="X201" s="18">
        <f>IF($A201&gt;'1-Input'!$B$26,0,(MAX(0,W176-IF($A201&gt;='1-Input'!$C$12,'1-Input'!$B$12,0))-MIN(MAX(AA200,0),MAX(0,W176-IF($A201&gt;='1-Input'!$C$12,'1-Input'!$B$12,0))))*(1/(1-'P-Parametri'!$B$6*W201))+MIN(MAX(0,AB200-(MAX(0,W176-IF($A201&gt;='1-Input'!$C$12,'1-Input'!$B$12,0))-MIN(MAX(AA200,0),MAX(0,W176-IF($A201&gt;='1-Input'!$C$12,'1-Input'!$B$12,0))))*(1/(1-'P-Parametri'!$B$6*W201))),MAX(0,2*W176-(AA200-MIN(MAX(AA200,0),MAX(0,W176-IF($A201&gt;='1-Input'!$C$12,'1-Input'!$B$12,0)))))*(1/(1-'P-Parametri'!$B$6*W201))))</f>
        <v>8204.9117950443615</v>
      </c>
      <c r="Y201" s="18">
        <f>IF($A201&gt;'1-Input'!$B$26,AA200,(AA200-MAX(0,W176-IF($A201&gt;='1-Input'!$C$12,'1-Input'!$B$12,0))+X201*(1-'P-Parametri'!$B$6*W201))*(1+ROUND('3-Liquidita'!$F$11,4)))</f>
        <v>35698.468794259323</v>
      </c>
      <c r="Z201" s="18">
        <f>IF($A201&gt;'1-Input'!$B$26,AB200,(AB200-X201)*(1+'5-Roberta'!$C$4))</f>
        <v>115403.05556319751</v>
      </c>
      <c r="AA201" s="18">
        <f>IF($A201&gt;'1-Input'!$B$26,Y201,Y201-'P-Parametri'!$B$8*(Z201+Y201)+MIN(MAX(Z201,0),'P-Parametri'!$B$8*(Z201+Y201)))</f>
        <v>35698.468794259323</v>
      </c>
      <c r="AB201" s="18">
        <f>IF($A201&gt;'1-Input'!$B$26,Z201,Z201-MIN(MAX(Z201,0),'P-Parametri'!$B$8*(Z201+Y201)))</f>
        <v>115100.8525144826</v>
      </c>
      <c r="AC201" s="18">
        <f>IF($A201&gt;'1-Input'!$B$26,AC200,AC200-X201*(1-W201))</f>
        <v>48196.064824084955</v>
      </c>
      <c r="AD201" s="11">
        <f>IF($A201&gt;'1-Input'!$B$26,0,IF(AI200&lt;=0,0,MAX(0,(AI200-AJ200)/AI200)))</f>
        <v>0.56984554935576914</v>
      </c>
      <c r="AE201" s="18">
        <f>IF($A201&gt;'1-Input'!$B$26,0,(MAX(0,AD176-IF($A201&gt;='1-Input'!$C$12,'1-Input'!$B$12,0))-MIN(MAX(AH200,0),MAX(0,AD176-IF($A201&gt;='1-Input'!$C$12,'1-Input'!$B$12,0))))*(1/(1-'P-Parametri'!$B$6*AD201))+MIN(MAX(0,AI200-(MAX(0,AD176-IF($A201&gt;='1-Input'!$C$12,'1-Input'!$B$12,0))-MIN(MAX(AH200,0),MAX(0,AD176-IF($A201&gt;='1-Input'!$C$12,'1-Input'!$B$12,0))))*(1/(1-'P-Parametri'!$B$6*AD201))),MAX(0,2*AD176-(AH200-MIN(MAX(AH200,0),MAX(0,AD176-IF($A201&gt;='1-Input'!$C$12,'1-Input'!$B$12,0)))))*(1/(1-'P-Parametri'!$B$6*AD201))))</f>
        <v>8188.4009824837549</v>
      </c>
      <c r="AF201" s="18">
        <f>IF($A201&gt;'1-Input'!$B$26,AH200,(AH200-MAX(0,AD176-IF($A201&gt;='1-Input'!$C$12,'1-Input'!$B$12,0))+AE201*(1-'P-Parametri'!$B$6*AD201))*(1+ROUND('3-Liquidita'!$F$11,4)))</f>
        <v>35670.686502200319</v>
      </c>
      <c r="AG201" s="18">
        <f>IF($A201&gt;'1-Input'!$B$26,AI200,(AI200-AE201)*(1+'5-Roberta'!$C$4))</f>
        <v>115968.53434389856</v>
      </c>
      <c r="AH201" s="18">
        <f>IF($A201&gt;'1-Input'!$B$26,AF201,AF201-'P-Parametri'!$B$8*(AG201+AF201)+MIN(MAX(AG201,0),'P-Parametri'!$B$8*(AG201+AF201)))</f>
        <v>35670.686502200319</v>
      </c>
      <c r="AI201" s="18">
        <f>IF($A201&gt;'1-Input'!$B$26,AG201,AG201-MIN(MAX(AG201,0),'P-Parametri'!$B$8*(AG201+AF201)))</f>
        <v>115665.25590220637</v>
      </c>
      <c r="AJ201" s="18">
        <f>IF($A201&gt;'1-Input'!$B$26,AJ200,AJ200-AE201*(1-AD201))</f>
        <v>48431.438041472131</v>
      </c>
      <c r="AK201" s="11">
        <f>IF($A201&gt;'1-Input'!$B$26,0,IF(AP200&lt;=0,0,MAX(0,(AP200-AQ200)/AP200)))</f>
        <v>0.569845565207588</v>
      </c>
      <c r="AL201" s="18">
        <f>IF($A201&gt;'1-Input'!$B$26,0,(MAX(0,AK176-IF($A201&gt;='1-Input'!$C$12,'1-Input'!$B$12,0))-MIN(MAX(AO200,0),MAX(0,AK176-IF($A201&gt;='1-Input'!$C$12,'1-Input'!$B$12,0))))*(1/(1-'P-Parametri'!$B$6*AK201))+MIN(MAX(0,AP200-(MAX(0,AK176-IF($A201&gt;='1-Input'!$C$12,'1-Input'!$B$12,0))-MIN(MAX(AO200,0),MAX(0,AK176-IF($A201&gt;='1-Input'!$C$12,'1-Input'!$B$12,0))))*(1/(1-'P-Parametri'!$B$6*AK201))),MAX(0,2*AK176-(AO200-MIN(MAX(AO200,0),MAX(0,AK176-IF($A201&gt;='1-Input'!$C$12,'1-Input'!$B$12,0)))))*(1/(1-'P-Parametri'!$B$6*AK201))))</f>
        <v>8188.3635456696484</v>
      </c>
      <c r="AM201" s="18">
        <f>IF($A201&gt;'1-Input'!$B$26,AO200,(AO200-MAX(0,AK176-IF($A201&gt;='1-Input'!$C$12,'1-Input'!$B$12,0))+AL201*(1-'P-Parametri'!$B$6*AK201))*(1+ROUND('3-Liquidita'!$F$11,4)))</f>
        <v>35670.623508598648</v>
      </c>
      <c r="AN201" s="18">
        <f>IF($A201&gt;'1-Input'!$B$26,AP200,(AP200-AL201)*(1+'5-Roberta'!$C$4))</f>
        <v>115969.81651266626</v>
      </c>
      <c r="AO201" s="18">
        <f>IF($A201&gt;'1-Input'!$B$26,AM201,AM201-'P-Parametri'!$B$8*(AN201+AM201)+MIN(MAX(AN201,0),'P-Parametri'!$B$8*(AN201+AM201)))</f>
        <v>35670.623508598648</v>
      </c>
      <c r="AP201" s="18">
        <f>IF($A201&gt;'1-Input'!$B$26,AN201,AN201-MIN(MAX(AN201,0),'P-Parametri'!$B$8*(AN201+AM201)))</f>
        <v>115666.53563262374</v>
      </c>
      <c r="AQ201" s="18">
        <f>IF($A201&gt;'1-Input'!$B$26,AQ200,AQ200-AL201*(1-AK201))</f>
        <v>48431.971723287083</v>
      </c>
    </row>
    <row r="202" spans="1:43">
      <c r="A202" s="10">
        <f>24</f>
        <v>24</v>
      </c>
      <c r="B202" s="11">
        <f>IF($A202&gt;'1-Input'!$B$26,0,IF(G201&lt;=0,0,MAX(0,(G201-H201)/G201)))</f>
        <v>0.58186906113614245</v>
      </c>
      <c r="C202" s="18">
        <f>IF($A202&gt;'1-Input'!$B$26,0,(MAX(0,B176-IF($A202&gt;='1-Input'!$C$12,'1-Input'!$B$12,0))-MIN(MAX(F201,0),MAX(0,B176-IF($A202&gt;='1-Input'!$C$12,'1-Input'!$B$12,0))))*(1/(1-'P-Parametri'!$B$6*B202))+MIN(MAX(0,G201-(MAX(0,B176-IF($A202&gt;='1-Input'!$C$12,'1-Input'!$B$12,0))-MIN(MAX(F201,0),MAX(0,B176-IF($A202&gt;='1-Input'!$C$12,'1-Input'!$B$12,0))))*(1/(1-'P-Parametri'!$B$6*B202))),MAX(0,2*B176-(F201-MIN(MAX(F201,0),MAX(0,B176-IF($A202&gt;='1-Input'!$C$12,'1-Input'!$B$12,0)))))*(1/(1-'P-Parametri'!$B$6*B202))))</f>
        <v>6750.4300797823453</v>
      </c>
      <c r="D202" s="18">
        <f>IF($A202&gt;'1-Input'!$B$26,F201,(F201-MAX(0,B176-IF($A202&gt;='1-Input'!$C$12,'1-Input'!$B$12,0))+C202*(1-'P-Parametri'!$B$6*B202))*(1+ROUND('3-Liquidita'!$F$11,4)))</f>
        <v>33211.981131419976</v>
      </c>
      <c r="E202" s="18">
        <f>IF($A202&gt;'1-Input'!$B$26,G201,(G201-C202)*(1+'5-Roberta'!$C$4))</f>
        <v>163634.67789200932</v>
      </c>
      <c r="F202" s="18">
        <f>IF($A202&gt;'1-Input'!$B$26,D202,D202-'P-Parametri'!$B$8*(E202+D202)+MIN(MAX(E202,0),'P-Parametri'!$B$8*(E202+D202)))</f>
        <v>33211.981131419976</v>
      </c>
      <c r="G202" s="18">
        <f>IF($A202&gt;'1-Input'!$B$26,E202,E202-MIN(MAX(E202,0),'P-Parametri'!$B$8*(E202+D202)))</f>
        <v>163240.98457396246</v>
      </c>
      <c r="H202" s="18">
        <f>IF($A202&gt;'1-Input'!$B$26,H201,H201-C202*(1-B202))</f>
        <v>66427.884949194922</v>
      </c>
      <c r="I202" s="11">
        <f>IF($A202&gt;'1-Input'!$B$26,0,IF(N201&lt;=0,0,MAX(0,(N201-O201)/N201)))</f>
        <v>0</v>
      </c>
      <c r="J202" s="18">
        <f>IF($A202&gt;'1-Input'!$B$26,0,(MAX(0,I176-IF($A202&gt;='1-Input'!$C$12,'1-Input'!$B$12,0))-MIN(MAX(M201,0),MAX(0,I176-IF($A202&gt;='1-Input'!$C$12,'1-Input'!$B$12,0))))*(1/(1-'P-Parametri'!$B$6*I202))+MIN(MAX(0,N201-(MAX(0,I176-IF($A202&gt;='1-Input'!$C$12,'1-Input'!$B$12,0))-MIN(MAX(M201,0),MAX(0,I176-IF($A202&gt;='1-Input'!$C$12,'1-Input'!$B$12,0))))*(1/(1-'P-Parametri'!$B$6*I202))),MAX(0,2*I176-(M201-MIN(MAX(M201,0),MAX(0,I176-IF($A202&gt;='1-Input'!$C$12,'1-Input'!$B$12,0)))))*(1/(1-'P-Parametri'!$B$6*I202))))</f>
        <v>5220.4621343320532</v>
      </c>
      <c r="K202" s="18">
        <f>IF($A202&gt;'1-Input'!$B$26,M201,(M201-MAX(0,I176-IF($A202&gt;='1-Input'!$C$12,'1-Input'!$B$12,0))+J202*(1-'P-Parametri'!$B$6*I202))*(1+ROUND('3-Liquidita'!$F$11,4)))</f>
        <v>0</v>
      </c>
      <c r="L202" s="18">
        <f>IF($A202&gt;'1-Input'!$B$26,N201,(N201-J202)*(1+'5-Roberta'!$C$4))</f>
        <v>-5377.0759983620146</v>
      </c>
      <c r="M202" s="18">
        <f>IF($A202&gt;'1-Input'!$B$26,K202,K202-'P-Parametri'!$B$8*(L202+K202)+MIN(MAX(L202,0),'P-Parametri'!$B$8*(L202+K202)))</f>
        <v>0</v>
      </c>
      <c r="N202" s="18">
        <f>IF($A202&gt;'1-Input'!$B$26,L202,L202-MIN(MAX(L202,0),'P-Parametri'!$B$8*(L202+K202)))</f>
        <v>-5366.3218463652902</v>
      </c>
      <c r="O202" s="18">
        <f>IF($A202&gt;'1-Input'!$B$26,O201,O201-J202*(1-I202))</f>
        <v>-5220.4621343320514</v>
      </c>
      <c r="P202" s="11">
        <f>IF($A202&gt;'1-Input'!$B$26,0,IF(U201&lt;=0,0,MAX(0,(U201-V201)/U201)))</f>
        <v>0.5811482098798143</v>
      </c>
      <c r="Q202" s="18">
        <f>IF($A202&gt;'1-Input'!$B$26,0,(MAX(0,P176-IF($A202&gt;='1-Input'!$C$12,'1-Input'!$B$12,0))-MIN(MAX(T201,0),MAX(0,P176-IF($A202&gt;='1-Input'!$C$12,'1-Input'!$B$12,0))))*(1/(1-'P-Parametri'!$B$6*P202))+MIN(MAX(0,U201-(MAX(0,P176-IF($A202&gt;='1-Input'!$C$12,'1-Input'!$B$12,0))-MIN(MAX(T201,0),MAX(0,P176-IF($A202&gt;='1-Input'!$C$12,'1-Input'!$B$12,0))))*(1/(1-'P-Parametri'!$B$6*P202))),MAX(0,2*P176-(T201-MIN(MAX(T201,0),MAX(0,P176-IF($A202&gt;='1-Input'!$C$12,'1-Input'!$B$12,0)))))*(1/(1-'P-Parametri'!$B$6*P202))))</f>
        <v>8468.0876491059607</v>
      </c>
      <c r="R202" s="18">
        <f>IF($A202&gt;'1-Input'!$B$26,T201,(T201-MAX(0,P176-IF($A202&gt;='1-Input'!$C$12,'1-Input'!$B$12,0))+Q202*(1-'P-Parametri'!$B$6*P202))*(1+ROUND('3-Liquidita'!$F$11,4)))</f>
        <v>36091.703549375699</v>
      </c>
      <c r="S202" s="18">
        <f>IF($A202&gt;'1-Input'!$B$26,U201,(U201-Q202)*(1+'5-Roberta'!$C$4))</f>
        <v>101603.58827165913</v>
      </c>
      <c r="T202" s="18">
        <f>IF($A202&gt;'1-Input'!$B$26,R202,R202-'P-Parametri'!$B$8*(S202+R202)+MIN(MAX(S202,0),'P-Parametri'!$B$8*(S202+R202)))</f>
        <v>36091.703549375699</v>
      </c>
      <c r="U202" s="18">
        <f>IF($A202&gt;'1-Input'!$B$26,S202,S202-MIN(MAX(S202,0),'P-Parametri'!$B$8*(S202+R202)))</f>
        <v>101328.19768801706</v>
      </c>
      <c r="V202" s="18">
        <f>IF($A202&gt;'1-Input'!$B$26,V201,V201-Q202*(1-P202))</f>
        <v>41317.325077882262</v>
      </c>
      <c r="W202" s="11">
        <f>IF($A202&gt;'1-Input'!$B$26,0,IF(AB201&lt;=0,0,MAX(0,(AB201-AC201)/AB201)))</f>
        <v>0.58127100042095103</v>
      </c>
      <c r="X202" s="18">
        <f>IF($A202&gt;'1-Input'!$B$26,0,(MAX(0,W176-IF($A202&gt;='1-Input'!$C$12,'1-Input'!$B$12,0))-MIN(MAX(AA201,0),MAX(0,W176-IF($A202&gt;='1-Input'!$C$12,'1-Input'!$B$12,0))))*(1/(1-'P-Parametri'!$B$6*W202))+MIN(MAX(0,AB201-(MAX(0,W176-IF($A202&gt;='1-Input'!$C$12,'1-Input'!$B$12,0))-MIN(MAX(AA201,0),MAX(0,W176-IF($A202&gt;='1-Input'!$C$12,'1-Input'!$B$12,0))))*(1/(1-'P-Parametri'!$B$6*W202))),MAX(0,2*W176-(AA201-MIN(MAX(AA201,0),MAX(0,W176-IF($A202&gt;='1-Input'!$C$12,'1-Input'!$B$12,0)))))*(1/(1-'P-Parametri'!$B$6*W202))))</f>
        <v>8233.6424805315783</v>
      </c>
      <c r="Y202" s="18">
        <f>IF($A202&gt;'1-Input'!$B$26,AA201,(AA201-MAX(0,W176-IF($A202&gt;='1-Input'!$C$12,'1-Input'!$B$12,0))+X202*(1-'P-Parametri'!$B$6*W202))*(1+ROUND('3-Liquidita'!$F$11,4)))</f>
        <v>35698.468794259323</v>
      </c>
      <c r="Z202" s="18">
        <f>IF($A202&gt;'1-Input'!$B$26,AB201,(AB201-X202)*(1+'5-Roberta'!$C$4))</f>
        <v>110073.22633496956</v>
      </c>
      <c r="AA202" s="18">
        <f>IF($A202&gt;'1-Input'!$B$26,Y202,Y202-'P-Parametri'!$B$8*(Z202+Y202)+MIN(MAX(Z202,0),'P-Parametri'!$B$8*(Z202+Y202)))</f>
        <v>35698.468794259323</v>
      </c>
      <c r="AB202" s="18">
        <f>IF($A202&gt;'1-Input'!$B$26,Z202,Z202-MIN(MAX(Z202,0),'P-Parametri'!$B$8*(Z202+Y202)))</f>
        <v>109781.68294471109</v>
      </c>
      <c r="AC202" s="18">
        <f>IF($A202&gt;'1-Input'!$B$26,AC201,AC201-X202*(1-W202))</f>
        <v>44748.399945320409</v>
      </c>
      <c r="AD202" s="11">
        <f>IF($A202&gt;'1-Input'!$B$26,0,IF(AI201&lt;=0,0,MAX(0,(AI201-AJ201)/AI201)))</f>
        <v>0.58127929027866121</v>
      </c>
      <c r="AE202" s="18">
        <f>IF($A202&gt;'1-Input'!$B$26,0,(MAX(0,AD176-IF($A202&gt;='1-Input'!$C$12,'1-Input'!$B$12,0))-MIN(MAX(AH201,0),MAX(0,AD176-IF($A202&gt;='1-Input'!$C$12,'1-Input'!$B$12,0))))*(1/(1-'P-Parametri'!$B$6*AD202))+MIN(MAX(0,AI201-(MAX(0,AD176-IF($A202&gt;='1-Input'!$C$12,'1-Input'!$B$12,0))-MIN(MAX(AH201,0),MAX(0,AD176-IF($A202&gt;='1-Input'!$C$12,'1-Input'!$B$12,0))))*(1/(1-'P-Parametri'!$B$6*AD202))),MAX(0,2*AD176-(AH201-MIN(MAX(AH201,0),MAX(0,AD176-IF($A202&gt;='1-Input'!$C$12,'1-Input'!$B$12,0)))))*(1/(1-'P-Parametri'!$B$6*AD202))))</f>
        <v>8217.0771395011798</v>
      </c>
      <c r="AF202" s="18">
        <f>IF($A202&gt;'1-Input'!$B$26,AH201,(AH201-MAX(0,AD176-IF($A202&gt;='1-Input'!$C$12,'1-Input'!$B$12,0))+AE202*(1-'P-Parametri'!$B$6*AD202))*(1+ROUND('3-Liquidita'!$F$11,4)))</f>
        <v>35670.686502200319</v>
      </c>
      <c r="AG202" s="18">
        <f>IF($A202&gt;'1-Input'!$B$26,AI201,(AI201-AE202)*(1+'5-Roberta'!$C$4))</f>
        <v>110671.62412558634</v>
      </c>
      <c r="AH202" s="18">
        <f>IF($A202&gt;'1-Input'!$B$26,AF202,AF202-'P-Parametri'!$B$8*(AG202+AF202)+MIN(MAX(AG202,0),'P-Parametri'!$B$8*(AG202+AF202)))</f>
        <v>35670.686502200319</v>
      </c>
      <c r="AI202" s="18">
        <f>IF($A202&gt;'1-Input'!$B$26,AG202,AG202-MIN(MAX(AG202,0),'P-Parametri'!$B$8*(AG202+AF202)))</f>
        <v>110378.93950433077</v>
      </c>
      <c r="AJ202" s="18">
        <f>IF($A202&gt;'1-Input'!$B$26,AJ201,AJ201-AE202*(1-AD202))</f>
        <v>44990.77766978521</v>
      </c>
      <c r="AK202" s="11">
        <f>IF($A202&gt;'1-Input'!$B$26,0,IF(AP201&lt;=0,0,MAX(0,(AP201-AQ201)/AP201)))</f>
        <v>0.58127930902058722</v>
      </c>
      <c r="AL202" s="18">
        <f>IF($A202&gt;'1-Input'!$B$26,0,(MAX(0,AK176-IF($A202&gt;='1-Input'!$C$12,'1-Input'!$B$12,0))-MIN(MAX(AO201,0),MAX(0,AK176-IF($A202&gt;='1-Input'!$C$12,'1-Input'!$B$12,0))))*(1/(1-'P-Parametri'!$B$6*AK202))+MIN(MAX(0,AP201-(MAX(0,AK176-IF($A202&gt;='1-Input'!$C$12,'1-Input'!$B$12,0))-MIN(MAX(AO201,0),MAX(0,AK176-IF($A202&gt;='1-Input'!$C$12,'1-Input'!$B$12,0))))*(1/(1-'P-Parametri'!$B$6*AK202))),MAX(0,2*AK176-(AO201-MIN(MAX(AO201,0),MAX(0,AK176-IF($A202&gt;='1-Input'!$C$12,'1-Input'!$B$12,0)))))*(1/(1-'P-Parametri'!$B$6*AK202))))</f>
        <v>8217.0395789946833</v>
      </c>
      <c r="AM202" s="18">
        <f>IF($A202&gt;'1-Input'!$B$26,AO201,(AO201-MAX(0,AK176-IF($A202&gt;='1-Input'!$C$12,'1-Input'!$B$12,0))+AL202*(1-'P-Parametri'!$B$6*AK202))*(1+ROUND('3-Liquidita'!$F$11,4)))</f>
        <v>35670.623508598648</v>
      </c>
      <c r="AN202" s="18">
        <f>IF($A202&gt;'1-Input'!$B$26,AP201,(AP201-AL202)*(1+'5-Roberta'!$C$4))</f>
        <v>110672.98093523794</v>
      </c>
      <c r="AO202" s="18">
        <f>IF($A202&gt;'1-Input'!$B$26,AM202,AM202-'P-Parametri'!$B$8*(AN202+AM202)+MIN(MAX(AN202,0),'P-Parametri'!$B$8*(AN202+AM202)))</f>
        <v>35670.623508598648</v>
      </c>
      <c r="AP202" s="18">
        <f>IF($A202&gt;'1-Input'!$B$26,AN202,AN202-MIN(MAX(AN202,0),'P-Parametri'!$B$8*(AN202+AM202)))</f>
        <v>110380.29372635027</v>
      </c>
      <c r="AQ202" s="18">
        <f>IF($A202&gt;'1-Input'!$B$26,AQ201,AQ201-AL202*(1-AK202))</f>
        <v>44991.327232965246</v>
      </c>
    </row>
    <row r="203" spans="1:43">
      <c r="A203" s="10">
        <f>25</f>
        <v>25</v>
      </c>
      <c r="B203" s="11">
        <f>IF($A203&gt;'1-Input'!$B$26,0,IF(G202&lt;=0,0,MAX(0,(G202-H202)/G202)))</f>
        <v>0.59306858432296905</v>
      </c>
      <c r="C203" s="18">
        <f>IF($A203&gt;'1-Input'!$B$26,0,(MAX(0,B176-IF($A203&gt;='1-Input'!$C$12,'1-Input'!$B$12,0))-MIN(MAX(F202,0),MAX(0,B176-IF($A203&gt;='1-Input'!$C$12,'1-Input'!$B$12,0))))*(1/(1-'P-Parametri'!$B$6*B203))+MIN(MAX(0,G202-(MAX(0,B176-IF($A203&gt;='1-Input'!$C$12,'1-Input'!$B$12,0))-MIN(MAX(F202,0),MAX(0,B176-IF($A203&gt;='1-Input'!$C$12,'1-Input'!$B$12,0))))*(1/(1-'P-Parametri'!$B$6*B203))),MAX(0,2*B176-(F202-MIN(MAX(F202,0),MAX(0,B176-IF($A203&gt;='1-Input'!$C$12,'1-Input'!$B$12,0)))))*(1/(1-'P-Parametri'!$B$6*B203))))</f>
        <v>6773.6700480323707</v>
      </c>
      <c r="D203" s="18">
        <f>IF($A203&gt;'1-Input'!$B$26,F202,(F202-MAX(0,B176-IF($A203&gt;='1-Input'!$C$12,'1-Input'!$B$12,0))+C203*(1-'P-Parametri'!$B$6*B203))*(1+ROUND('3-Liquidita'!$F$11,4)))</f>
        <v>33211.981131419976</v>
      </c>
      <c r="E203" s="18">
        <f>IF($A203&gt;'1-Input'!$B$26,G202,(G202-C203)*(1+'5-Roberta'!$C$4))</f>
        <v>161161.33396170801</v>
      </c>
      <c r="F203" s="18">
        <f>IF($A203&gt;'1-Input'!$B$26,D203,D203-'P-Parametri'!$B$8*(E203+D203)+MIN(MAX(E203,0),'P-Parametri'!$B$8*(E203+D203)))</f>
        <v>33211.981131419976</v>
      </c>
      <c r="G203" s="18">
        <f>IF($A203&gt;'1-Input'!$B$26,E203,E203-MIN(MAX(E203,0),'P-Parametri'!$B$8*(E203+D203)))</f>
        <v>160772.58733152176</v>
      </c>
      <c r="H203" s="18">
        <f>IF($A203&gt;'1-Input'!$B$26,H202,H202-C203*(1-B203))</f>
        <v>63671.465807220011</v>
      </c>
      <c r="I203" s="11">
        <f>IF($A203&gt;'1-Input'!$B$26,0,IF(N202&lt;=0,0,MAX(0,(N202-O202)/N202)))</f>
        <v>0</v>
      </c>
      <c r="J203" s="18">
        <f>IF($A203&gt;'1-Input'!$B$26,0,(MAX(0,I176-IF($A203&gt;='1-Input'!$C$12,'1-Input'!$B$12,0))-MIN(MAX(M202,0),MAX(0,I176-IF($A203&gt;='1-Input'!$C$12,'1-Input'!$B$12,0))))*(1/(1-'P-Parametri'!$B$6*I203))+MIN(MAX(0,N202-(MAX(0,I176-IF($A203&gt;='1-Input'!$C$12,'1-Input'!$B$12,0))-MIN(MAX(M202,0),MAX(0,I176-IF($A203&gt;='1-Input'!$C$12,'1-Input'!$B$12,0))))*(1/(1-'P-Parametri'!$B$6*I203))),MAX(0,2*I176-(M202-MIN(MAX(M202,0),MAX(0,I176-IF($A203&gt;='1-Input'!$C$12,'1-Input'!$B$12,0)))))*(1/(1-'P-Parametri'!$B$6*I203))))</f>
        <v>10846.756992928691</v>
      </c>
      <c r="K203" s="18">
        <f>IF($A203&gt;'1-Input'!$B$26,M202,(M202-MAX(0,I176-IF($A203&gt;='1-Input'!$C$12,'1-Input'!$B$12,0))+J203*(1-'P-Parametri'!$B$6*I203))*(1+ROUND('3-Liquidita'!$F$11,4)))</f>
        <v>0</v>
      </c>
      <c r="L203" s="18">
        <f>IF($A203&gt;'1-Input'!$B$26,N202,(N202-J203)*(1+'5-Roberta'!$C$4))</f>
        <v>-16699.4712044728</v>
      </c>
      <c r="M203" s="18">
        <f>IF($A203&gt;'1-Input'!$B$26,K203,K203-'P-Parametri'!$B$8*(L203+K203)+MIN(MAX(L203,0),'P-Parametri'!$B$8*(L203+K203)))</f>
        <v>0</v>
      </c>
      <c r="N203" s="18">
        <f>IF($A203&gt;'1-Input'!$B$26,L203,L203-MIN(MAX(L203,0),'P-Parametri'!$B$8*(L203+K203)))</f>
        <v>-16666.072262063855</v>
      </c>
      <c r="O203" s="18">
        <f>IF($A203&gt;'1-Input'!$B$26,O202,O202-J203*(1-I203))</f>
        <v>-16067.219127260742</v>
      </c>
      <c r="P203" s="11">
        <f>IF($A203&gt;'1-Input'!$B$26,0,IF(U202&lt;=0,0,MAX(0,(U202-V202)/U202)))</f>
        <v>0.59224257392699686</v>
      </c>
      <c r="Q203" s="18">
        <f>IF($A203&gt;'1-Input'!$B$26,0,(MAX(0,P176-IF($A203&gt;='1-Input'!$C$12,'1-Input'!$B$12,0))-MIN(MAX(T202,0),MAX(0,P176-IF($A203&gt;='1-Input'!$C$12,'1-Input'!$B$12,0))))*(1/(1-'P-Parametri'!$B$6*P203))+MIN(MAX(0,U202-(MAX(0,P176-IF($A203&gt;='1-Input'!$C$12,'1-Input'!$B$12,0))-MIN(MAX(T202,0),MAX(0,P176-IF($A203&gt;='1-Input'!$C$12,'1-Input'!$B$12,0))))*(1/(1-'P-Parametri'!$B$6*P203))),MAX(0,2*P176-(T202-MIN(MAX(T202,0),MAX(0,P176-IF($A203&gt;='1-Input'!$C$12,'1-Input'!$B$12,0)))))*(1/(1-'P-Parametri'!$B$6*P203))))</f>
        <v>8496.9599935870519</v>
      </c>
      <c r="R203" s="18">
        <f>IF($A203&gt;'1-Input'!$B$26,T202,(T202-MAX(0,P176-IF($A203&gt;='1-Input'!$C$12,'1-Input'!$B$12,0))+Q203*(1-'P-Parametri'!$B$6*P203))*(1+ROUND('3-Liquidita'!$F$11,4)))</f>
        <v>36091.703549375699</v>
      </c>
      <c r="S203" s="18">
        <f>IF($A203&gt;'1-Input'!$B$26,U202,(U202-Q203)*(1+'5-Roberta'!$C$4))</f>
        <v>95616.174825262904</v>
      </c>
      <c r="T203" s="18">
        <f>IF($A203&gt;'1-Input'!$B$26,R203,R203-'P-Parametri'!$B$8*(S203+R203)+MIN(MAX(S203,0),'P-Parametri'!$B$8*(S203+R203)))</f>
        <v>36091.703549375699</v>
      </c>
      <c r="U203" s="18">
        <f>IF($A203&gt;'1-Input'!$B$26,S203,S203-MIN(MAX(S203,0),'P-Parametri'!$B$8*(S203+R203)))</f>
        <v>95352.759068513624</v>
      </c>
      <c r="V203" s="18">
        <f>IF($A203&gt;'1-Input'!$B$26,V202,V202-Q203*(1-P203))</f>
        <v>37852.626541451922</v>
      </c>
      <c r="W203" s="11">
        <f>IF($A203&gt;'1-Input'!$B$26,0,IF(AB202&lt;=0,0,MAX(0,(AB202-AC202)/AB202)))</f>
        <v>0.59238737515203821</v>
      </c>
      <c r="X203" s="18">
        <f>IF($A203&gt;'1-Input'!$B$26,0,(MAX(0,W176-IF($A203&gt;='1-Input'!$C$12,'1-Input'!$B$12,0))-MIN(MAX(AA202,0),MAX(0,W176-IF($A203&gt;='1-Input'!$C$12,'1-Input'!$B$12,0))))*(1/(1-'P-Parametri'!$B$6*W203))+MIN(MAX(0,AB202-(MAX(0,W176-IF($A203&gt;='1-Input'!$C$12,'1-Input'!$B$12,0))-MIN(MAX(AA202,0),MAX(0,W176-IF($A203&gt;='1-Input'!$C$12,'1-Input'!$B$12,0))))*(1/(1-'P-Parametri'!$B$6*W203))),MAX(0,2*W176-(AA202-MIN(MAX(AA202,0),MAX(0,W176-IF($A203&gt;='1-Input'!$C$12,'1-Input'!$B$12,0)))))*(1/(1-'P-Parametri'!$B$6*W203))))</f>
        <v>8261.7724204123606</v>
      </c>
      <c r="Y203" s="18">
        <f>IF($A203&gt;'1-Input'!$B$26,AA202,(AA202-MAX(0,W176-IF($A203&gt;='1-Input'!$C$12,'1-Input'!$B$12,0))+X203*(1-'P-Parametri'!$B$6*W203))*(1+ROUND('3-Liquidita'!$F$11,4)))</f>
        <v>35698.468794259323</v>
      </c>
      <c r="Z203" s="18">
        <f>IF($A203&gt;'1-Input'!$B$26,AB202,(AB202-X203)*(1+'5-Roberta'!$C$4))</f>
        <v>104565.5078400277</v>
      </c>
      <c r="AA203" s="18">
        <f>IF($A203&gt;'1-Input'!$B$26,Y203,Y203-'P-Parametri'!$B$8*(Z203+Y203)+MIN(MAX(Z203,0),'P-Parametri'!$B$8*(Z203+Y203)))</f>
        <v>35698.468794259323</v>
      </c>
      <c r="AB203" s="18">
        <f>IF($A203&gt;'1-Input'!$B$26,Z203,Z203-MIN(MAX(Z203,0),'P-Parametri'!$B$8*(Z203+Y203)))</f>
        <v>104284.97988675913</v>
      </c>
      <c r="AC203" s="18">
        <f>IF($A203&gt;'1-Input'!$B$26,AC202,AC202-X203*(1-W203))</f>
        <v>41380.797203139628</v>
      </c>
      <c r="AD203" s="11">
        <f>IF($A203&gt;'1-Input'!$B$26,0,IF(AI202&lt;=0,0,MAX(0,(AI202-AJ202)/AI202)))</f>
        <v>0.59239708343075748</v>
      </c>
      <c r="AE203" s="18">
        <f>IF($A203&gt;'1-Input'!$B$26,0,(MAX(0,AD176-IF($A203&gt;='1-Input'!$C$12,'1-Input'!$B$12,0))-MIN(MAX(AH202,0),MAX(0,AD176-IF($A203&gt;='1-Input'!$C$12,'1-Input'!$B$12,0))))*(1/(1-'P-Parametri'!$B$6*AD203))+MIN(MAX(0,AI202-(MAX(0,AD176-IF($A203&gt;='1-Input'!$C$12,'1-Input'!$B$12,0))-MIN(MAX(AH202,0),MAX(0,AD176-IF($A203&gt;='1-Input'!$C$12,'1-Input'!$B$12,0))))*(1/(1-'P-Parametri'!$B$6*AD203))),MAX(0,2*AD176-(AH202-MIN(MAX(AH202,0),MAX(0,AD176-IF($A203&gt;='1-Input'!$C$12,'1-Input'!$B$12,0)))))*(1/(1-'P-Parametri'!$B$6*AD203))))</f>
        <v>8245.1541503578064</v>
      </c>
      <c r="AF203" s="18">
        <f>IF($A203&gt;'1-Input'!$B$26,AH202,(AH202-MAX(0,AD176-IF($A203&gt;='1-Input'!$C$12,'1-Input'!$B$12,0))+AE203*(1-'P-Parametri'!$B$6*AD203))*(1+ROUND('3-Liquidita'!$F$11,4)))</f>
        <v>35670.686502200319</v>
      </c>
      <c r="AG203" s="18">
        <f>IF($A203&gt;'1-Input'!$B$26,AI202,(AI202-AE203)*(1+'5-Roberta'!$C$4))</f>
        <v>105197.79891459216</v>
      </c>
      <c r="AH203" s="18">
        <f>IF($A203&gt;'1-Input'!$B$26,AF203,AF203-'P-Parametri'!$B$8*(AG203+AF203)+MIN(MAX(AG203,0),'P-Parametri'!$B$8*(AG203+AF203)))</f>
        <v>35670.686502200319</v>
      </c>
      <c r="AI203" s="18">
        <f>IF($A203&gt;'1-Input'!$B$26,AG203,AG203-MIN(MAX(AG203,0),'P-Parametri'!$B$8*(AG203+AF203)))</f>
        <v>104916.06194375857</v>
      </c>
      <c r="AJ203" s="18">
        <f>IF($A203&gt;'1-Input'!$B$26,AJ202,AJ202-AE203*(1-AD203))</f>
        <v>41630.028790536373</v>
      </c>
      <c r="AK203" s="11">
        <f>IF($A203&gt;'1-Input'!$B$26,0,IF(AP202&lt;=0,0,MAX(0,(AP202-AQ202)/AP202)))</f>
        <v>0.59239710537004309</v>
      </c>
      <c r="AL203" s="18">
        <f>IF($A203&gt;'1-Input'!$B$26,0,(MAX(0,AK176-IF($A203&gt;='1-Input'!$C$12,'1-Input'!$B$12,0))-MIN(MAX(AO202,0),MAX(0,AK176-IF($A203&gt;='1-Input'!$C$12,'1-Input'!$B$12,0))))*(1/(1-'P-Parametri'!$B$6*AK203))+MIN(MAX(0,AP202-(MAX(0,AK176-IF($A203&gt;='1-Input'!$C$12,'1-Input'!$B$12,0))-MIN(MAX(AO202,0),MAX(0,AK176-IF($A203&gt;='1-Input'!$C$12,'1-Input'!$B$12,0))))*(1/(1-'P-Parametri'!$B$6*AK203))),MAX(0,2*AK176-(AO202-MIN(MAX(AO202,0),MAX(0,AK176-IF($A203&gt;='1-Input'!$C$12,'1-Input'!$B$12,0)))))*(1/(1-'P-Parametri'!$B$6*AK203))))</f>
        <v>8245.116469774377</v>
      </c>
      <c r="AM203" s="18">
        <f>IF($A203&gt;'1-Input'!$B$26,AO202,(AO202-MAX(0,AK176-IF($A203&gt;='1-Input'!$C$12,'1-Input'!$B$12,0))+AL203*(1-'P-Parametri'!$B$6*AK203))*(1+ROUND('3-Liquidita'!$F$11,4)))</f>
        <v>35670.623508598648</v>
      </c>
      <c r="AN203" s="18">
        <f>IF($A203&gt;'1-Input'!$B$26,AP202,(AP202-AL203)*(1+'5-Roberta'!$C$4))</f>
        <v>105199.23257427316</v>
      </c>
      <c r="AO203" s="18">
        <f>IF($A203&gt;'1-Input'!$B$26,AM203,AM203-'P-Parametri'!$B$8*(AN203+AM203)+MIN(MAX(AN203,0),'P-Parametri'!$B$8*(AN203+AM203)))</f>
        <v>35670.623508598648</v>
      </c>
      <c r="AP203" s="18">
        <f>IF($A203&gt;'1-Input'!$B$26,AN203,AN203-MIN(MAX(AN203,0),'P-Parametri'!$B$8*(AN203+AM203)))</f>
        <v>104917.49286210742</v>
      </c>
      <c r="AQ203" s="18">
        <f>IF($A203&gt;'1-Input'!$B$26,AQ202,AQ202-AL203*(1-AK203))</f>
        <v>41630.593893324076</v>
      </c>
    </row>
    <row r="204" spans="1:43">
      <c r="A204" s="10">
        <f>26</f>
        <v>26</v>
      </c>
      <c r="B204" s="11">
        <f>IF($A204&gt;'1-Input'!$B$26,0,IF(G203&lt;=0,0,MAX(0,(G203-H203)/G203)))</f>
        <v>0.60396565817575598</v>
      </c>
      <c r="C204" s="18">
        <f>IF($A204&gt;'1-Input'!$B$26,0,(MAX(0,B176-IF($A204&gt;='1-Input'!$C$12,'1-Input'!$B$12,0))-MIN(MAX(F203,0),MAX(0,B176-IF($A204&gt;='1-Input'!$C$12,'1-Input'!$B$12,0))))*(1/(1-'P-Parametri'!$B$6*B204))+MIN(MAX(0,G203-(MAX(0,B176-IF($A204&gt;='1-Input'!$C$12,'1-Input'!$B$12,0))-MIN(MAX(F203,0),MAX(0,B176-IF($A204&gt;='1-Input'!$C$12,'1-Input'!$B$12,0))))*(1/(1-'P-Parametri'!$B$6*B204))),MAX(0,2*B176-(F203-MIN(MAX(F203,0),MAX(0,B176-IF($A204&gt;='1-Input'!$C$12,'1-Input'!$B$12,0)))))*(1/(1-'P-Parametri'!$B$6*B204))))</f>
        <v>6796.4365188502934</v>
      </c>
      <c r="D204" s="18">
        <f>IF($A204&gt;'1-Input'!$B$26,F203,(F203-MAX(0,B176-IF($A204&gt;='1-Input'!$C$12,'1-Input'!$B$12,0))+C204*(1-'P-Parametri'!$B$6*B204))*(1+ROUND('3-Liquidita'!$F$11,4)))</f>
        <v>33211.981131419976</v>
      </c>
      <c r="E204" s="18">
        <f>IF($A204&gt;'1-Input'!$B$26,G203,(G203-C204)*(1+'5-Roberta'!$C$4))</f>
        <v>158595.4353370516</v>
      </c>
      <c r="F204" s="18">
        <f>IF($A204&gt;'1-Input'!$B$26,D204,D204-'P-Parametri'!$B$8*(E204+D204)+MIN(MAX(E204,0),'P-Parametri'!$B$8*(E204+D204)))</f>
        <v>33211.981131419976</v>
      </c>
      <c r="G204" s="18">
        <f>IF($A204&gt;'1-Input'!$B$26,E204,E204-MIN(MAX(E204,0),'P-Parametri'!$B$8*(E204+D204)))</f>
        <v>158211.82050411467</v>
      </c>
      <c r="H204" s="18">
        <f>IF($A204&gt;'1-Input'!$B$26,H203,H203-C204*(1-B204))</f>
        <v>60979.843543726878</v>
      </c>
      <c r="I204" s="11">
        <f>IF($A204&gt;'1-Input'!$B$26,0,IF(N203&lt;=0,0,MAX(0,(N203-O203)/N203)))</f>
        <v>0</v>
      </c>
      <c r="J204" s="18">
        <f>IF($A204&gt;'1-Input'!$B$26,0,(MAX(0,I176-IF($A204&gt;='1-Input'!$C$12,'1-Input'!$B$12,0))-MIN(MAX(M203,0),MAX(0,I176-IF($A204&gt;='1-Input'!$C$12,'1-Input'!$B$12,0))))*(1/(1-'P-Parametri'!$B$6*I204))+MIN(MAX(0,N203-(MAX(0,I176-IF($A204&gt;='1-Input'!$C$12,'1-Input'!$B$12,0))-MIN(MAX(M203,0),MAX(0,I176-IF($A204&gt;='1-Input'!$C$12,'1-Input'!$B$12,0))))*(1/(1-'P-Parametri'!$B$6*I204))),MAX(0,2*I176-(M203-MIN(MAX(M203,0),MAX(0,I176-IF($A204&gt;='1-Input'!$C$12,'1-Input'!$B$12,0)))))*(1/(1-'P-Parametri'!$B$6*I204))))</f>
        <v>10846.756992928691</v>
      </c>
      <c r="K204" s="18">
        <f>IF($A204&gt;'1-Input'!$B$26,M203,(M203-MAX(0,I176-IF($A204&gt;='1-Input'!$C$12,'1-Input'!$B$12,0))+J204*(1-'P-Parametri'!$B$6*I204))*(1+ROUND('3-Liquidita'!$F$11,4)))</f>
        <v>0</v>
      </c>
      <c r="L204" s="18">
        <f>IF($A204&gt;'1-Input'!$B$26,N203,(N203-J204)*(1+'5-Roberta'!$C$4))</f>
        <v>-28338.214132642323</v>
      </c>
      <c r="M204" s="18">
        <f>IF($A204&gt;'1-Input'!$B$26,K204,K204-'P-Parametri'!$B$8*(L204+K204)+MIN(MAX(L204,0),'P-Parametri'!$B$8*(L204+K204)))</f>
        <v>0</v>
      </c>
      <c r="N204" s="18">
        <f>IF($A204&gt;'1-Input'!$B$26,L204,L204-MIN(MAX(L204,0),'P-Parametri'!$B$8*(L204+K204)))</f>
        <v>-28281.537704377039</v>
      </c>
      <c r="O204" s="18">
        <f>IF($A204&gt;'1-Input'!$B$26,O203,O203-J204*(1-I204))</f>
        <v>-26913.976120189433</v>
      </c>
      <c r="P204" s="11">
        <f>IF($A204&gt;'1-Input'!$B$26,0,IF(U203&lt;=0,0,MAX(0,(U203-V203)/U203)))</f>
        <v>0.60302536695080056</v>
      </c>
      <c r="Q204" s="18">
        <f>IF($A204&gt;'1-Input'!$B$26,0,(MAX(0,P176-IF($A204&gt;='1-Input'!$C$12,'1-Input'!$B$12,0))-MIN(MAX(T203,0),MAX(0,P176-IF($A204&gt;='1-Input'!$C$12,'1-Input'!$B$12,0))))*(1/(1-'P-Parametri'!$B$6*P204))+MIN(MAX(0,U203-(MAX(0,P176-IF($A204&gt;='1-Input'!$C$12,'1-Input'!$B$12,0))-MIN(MAX(T203,0),MAX(0,P176-IF($A204&gt;='1-Input'!$C$12,'1-Input'!$B$12,0))))*(1/(1-'P-Parametri'!$B$6*P204))),MAX(0,2*P176-(T203-MIN(MAX(T203,0),MAX(0,P176-IF($A204&gt;='1-Input'!$C$12,'1-Input'!$B$12,0)))))*(1/(1-'P-Parametri'!$B$6*P204))))</f>
        <v>8525.2107895483969</v>
      </c>
      <c r="R204" s="18">
        <f>IF($A204&gt;'1-Input'!$B$26,T203,(T203-MAX(0,P176-IF($A204&gt;='1-Input'!$C$12,'1-Input'!$B$12,0))+Q204*(1-'P-Parametri'!$B$6*P204))*(1+ROUND('3-Liquidita'!$F$11,4)))</f>
        <v>36091.703549375699</v>
      </c>
      <c r="S204" s="18">
        <f>IF($A204&gt;'1-Input'!$B$26,U203,(U203-Q204)*(1+'5-Roberta'!$C$4))</f>
        <v>89432.374727334187</v>
      </c>
      <c r="T204" s="18">
        <f>IF($A204&gt;'1-Input'!$B$26,R204,R204-'P-Parametri'!$B$8*(S204+R204)+MIN(MAX(S204,0),'P-Parametri'!$B$8*(S204+R204)))</f>
        <v>36091.703549375699</v>
      </c>
      <c r="U204" s="18">
        <f>IF($A204&gt;'1-Input'!$B$26,S204,S204-MIN(MAX(S204,0),'P-Parametri'!$B$8*(S204+R204)))</f>
        <v>89181.326570780773</v>
      </c>
      <c r="V204" s="18">
        <f>IF($A204&gt;'1-Input'!$B$26,V203,V203-Q204*(1-P204))</f>
        <v>34468.334116603874</v>
      </c>
      <c r="W204" s="11">
        <f>IF($A204&gt;'1-Input'!$B$26,0,IF(AB203&lt;=0,0,MAX(0,(AB203-AC203)/AB203)))</f>
        <v>0.60319504066573948</v>
      </c>
      <c r="X204" s="18">
        <f>IF($A204&gt;'1-Input'!$B$26,0,(MAX(0,W176-IF($A204&gt;='1-Input'!$C$12,'1-Input'!$B$12,0))-MIN(MAX(AA203,0),MAX(0,W176-IF($A204&gt;='1-Input'!$C$12,'1-Input'!$B$12,0))))*(1/(1-'P-Parametri'!$B$6*W204))+MIN(MAX(0,AB203-(MAX(0,W176-IF($A204&gt;='1-Input'!$C$12,'1-Input'!$B$12,0))-MIN(MAX(AA203,0),MAX(0,W176-IF($A204&gt;='1-Input'!$C$12,'1-Input'!$B$12,0))))*(1/(1-'P-Parametri'!$B$6*W204))),MAX(0,2*W176-(AA203-MIN(MAX(AA203,0),MAX(0,W176-IF($A204&gt;='1-Input'!$C$12,'1-Input'!$B$12,0)))))*(1/(1-'P-Parametri'!$B$6*W204))))</f>
        <v>8289.3060642930759</v>
      </c>
      <c r="Y204" s="18">
        <f>IF($A204&gt;'1-Input'!$B$26,AA203,(AA203-MAX(0,W176-IF($A204&gt;='1-Input'!$C$12,'1-Input'!$B$12,0))+X204*(1-'P-Parametri'!$B$6*W204))*(1+ROUND('3-Liquidita'!$F$11,4)))</f>
        <v>35698.468794259323</v>
      </c>
      <c r="Z204" s="18">
        <f>IF($A204&gt;'1-Input'!$B$26,AB203,(AB203-X204)*(1+'5-Roberta'!$C$4))</f>
        <v>98875.544037140033</v>
      </c>
      <c r="AA204" s="18">
        <f>IF($A204&gt;'1-Input'!$B$26,Y204,Y204-'P-Parametri'!$B$8*(Z204+Y204)+MIN(MAX(Z204,0),'P-Parametri'!$B$8*(Z204+Y204)))</f>
        <v>35698.468794259323</v>
      </c>
      <c r="AB204" s="18">
        <f>IF($A204&gt;'1-Input'!$B$26,Z204,Z204-MIN(MAX(Z204,0),'P-Parametri'!$B$8*(Z204+Y204)))</f>
        <v>98606.396011477234</v>
      </c>
      <c r="AC204" s="18">
        <f>IF($A204&gt;'1-Input'!$B$26,AC203,AC203-X204*(1-W204))</f>
        <v>38091.559447388572</v>
      </c>
      <c r="AD204" s="11">
        <f>IF($A204&gt;'1-Input'!$B$26,0,IF(AI203&lt;=0,0,MAX(0,(AI203-AJ203)/AI203)))</f>
        <v>0.60320633448048577</v>
      </c>
      <c r="AE204" s="18">
        <f>IF($A204&gt;'1-Input'!$B$26,0,(MAX(0,AD176-IF($A204&gt;='1-Input'!$C$12,'1-Input'!$B$12,0))-MIN(MAX(AH203,0),MAX(0,AD176-IF($A204&gt;='1-Input'!$C$12,'1-Input'!$B$12,0))))*(1/(1-'P-Parametri'!$B$6*AD204))+MIN(MAX(0,AI203-(MAX(0,AD176-IF($A204&gt;='1-Input'!$C$12,'1-Input'!$B$12,0))-MIN(MAX(AH203,0),MAX(0,AD176-IF($A204&gt;='1-Input'!$C$12,'1-Input'!$B$12,0))))*(1/(1-'P-Parametri'!$B$6*AD204))),MAX(0,2*AD176-(AH203-MIN(MAX(AH203,0),MAX(0,AD176-IF($A204&gt;='1-Input'!$C$12,'1-Input'!$B$12,0)))))*(1/(1-'P-Parametri'!$B$6*AD204))))</f>
        <v>8272.6365381652286</v>
      </c>
      <c r="AF204" s="18">
        <f>IF($A204&gt;'1-Input'!$B$26,AH203,(AH203-MAX(0,AD176-IF($A204&gt;='1-Input'!$C$12,'1-Input'!$B$12,0))+AE204*(1-'P-Parametri'!$B$6*AD204))*(1+ROUND('3-Liquidita'!$F$11,4)))</f>
        <v>35670.686502200319</v>
      </c>
      <c r="AG204" s="18">
        <f>IF($A204&gt;'1-Input'!$B$26,AI203,(AI203-AE204)*(1+'5-Roberta'!$C$4))</f>
        <v>99542.728167761146</v>
      </c>
      <c r="AH204" s="18">
        <f>IF($A204&gt;'1-Input'!$B$26,AF204,AF204-'P-Parametri'!$B$8*(AG204+AF204)+MIN(MAX(AG204,0),'P-Parametri'!$B$8*(AG204+AF204)))</f>
        <v>35670.686502200319</v>
      </c>
      <c r="AI204" s="18">
        <f>IF($A204&gt;'1-Input'!$B$26,AG204,AG204-MIN(MAX(AG204,0),'P-Parametri'!$B$8*(AG204+AF204)))</f>
        <v>99272.301338421225</v>
      </c>
      <c r="AJ204" s="18">
        <f>IF($A204&gt;'1-Input'!$B$26,AJ203,AJ203-AE204*(1-AD204))</f>
        <v>38347.499015047128</v>
      </c>
      <c r="AK204" s="11">
        <f>IF($A204&gt;'1-Input'!$B$26,0,IF(AP203&lt;=0,0,MAX(0,(AP203-AQ203)/AP203)))</f>
        <v>0.60320635999147465</v>
      </c>
      <c r="AL204" s="18">
        <f>IF($A204&gt;'1-Input'!$B$26,0,(MAX(0,AK176-IF($A204&gt;='1-Input'!$C$12,'1-Input'!$B$12,0))-MIN(MAX(AO203,0),MAX(0,AK176-IF($A204&gt;='1-Input'!$C$12,'1-Input'!$B$12,0))))*(1/(1-'P-Parametri'!$B$6*AK204))+MIN(MAX(0,AP203-(MAX(0,AK176-IF($A204&gt;='1-Input'!$C$12,'1-Input'!$B$12,0))-MIN(MAX(AO203,0),MAX(0,AK176-IF($A204&gt;='1-Input'!$C$12,'1-Input'!$B$12,0))))*(1/(1-'P-Parametri'!$B$6*AK204))),MAX(0,2*AK176-(AO203-MIN(MAX(AO203,0),MAX(0,AK176-IF($A204&gt;='1-Input'!$C$12,'1-Input'!$B$12,0)))))*(1/(1-'P-Parametri'!$B$6*AK204))))</f>
        <v>8272.5987412836876</v>
      </c>
      <c r="AM204" s="18">
        <f>IF($A204&gt;'1-Input'!$B$26,AO203,(AO203-MAX(0,AK176-IF($A204&gt;='1-Input'!$C$12,'1-Input'!$B$12,0))+AL204*(1-'P-Parametri'!$B$6*AK204))*(1+ROUND('3-Liquidita'!$F$11,4)))</f>
        <v>35670.623508598648</v>
      </c>
      <c r="AN204" s="18">
        <f>IF($A204&gt;'1-Input'!$B$26,AP203,(AP203-AL204)*(1+'5-Roberta'!$C$4))</f>
        <v>99544.240944448451</v>
      </c>
      <c r="AO204" s="18">
        <f>IF($A204&gt;'1-Input'!$B$26,AM204,AM204-'P-Parametri'!$B$8*(AN204+AM204)+MIN(MAX(AN204,0),'P-Parametri'!$B$8*(AN204+AM204)))</f>
        <v>35670.623508598648</v>
      </c>
      <c r="AP204" s="18">
        <f>IF($A204&gt;'1-Input'!$B$26,AN204,AN204-MIN(MAX(AN204,0),'P-Parametri'!$B$8*(AN204+AM204)))</f>
        <v>99273.811215542359</v>
      </c>
      <c r="AQ204" s="18">
        <f>IF($A204&gt;'1-Input'!$B$26,AQ203,AQ203-AL204*(1-AK204))</f>
        <v>38348.079326440173</v>
      </c>
    </row>
    <row r="205" spans="1:43">
      <c r="A205" s="10">
        <f>27</f>
        <v>27</v>
      </c>
      <c r="B205" s="11">
        <f>IF($A205&gt;'1-Input'!$B$26,0,IF(G204&lt;=0,0,MAX(0,(G204-H204)/G204)))</f>
        <v>0.61456834673019289</v>
      </c>
      <c r="C205" s="18">
        <f>IF($A205&gt;'1-Input'!$B$26,0,(MAX(0,B176-IF($A205&gt;='1-Input'!$C$12,'1-Input'!$B$12,0))-MIN(MAX(F204,0),MAX(0,B176-IF($A205&gt;='1-Input'!$C$12,'1-Input'!$B$12,0))))*(1/(1-'P-Parametri'!$B$6*B205))+MIN(MAX(0,G204-(MAX(0,B176-IF($A205&gt;='1-Input'!$C$12,'1-Input'!$B$12,0))-MIN(MAX(F204,0),MAX(0,B176-IF($A205&gt;='1-Input'!$C$12,'1-Input'!$B$12,0))))*(1/(1-'P-Parametri'!$B$6*B205))),MAX(0,2*B176-(F204-MIN(MAX(F204,0),MAX(0,B176-IF($A205&gt;='1-Input'!$C$12,'1-Input'!$B$12,0)))))*(1/(1-'P-Parametri'!$B$6*B205))))</f>
        <v>6818.7353253346719</v>
      </c>
      <c r="D205" s="18">
        <f>IF($A205&gt;'1-Input'!$B$26,F204,(F204-MAX(0,B176-IF($A205&gt;='1-Input'!$C$12,'1-Input'!$B$12,0))+C205*(1-'P-Parametri'!$B$6*B205))*(1+ROUND('3-Liquidita'!$F$11,4)))</f>
        <v>33211.981131419976</v>
      </c>
      <c r="E205" s="18">
        <f>IF($A205&gt;'1-Input'!$B$26,G204,(G204-C205)*(1+'5-Roberta'!$C$4))</f>
        <v>155934.8777341434</v>
      </c>
      <c r="F205" s="18">
        <f>IF($A205&gt;'1-Input'!$B$26,D205,D205-'P-Parametri'!$B$8*(E205+D205)+MIN(MAX(E205,0),'P-Parametri'!$B$8*(E205+D205)))</f>
        <v>33211.981131419976</v>
      </c>
      <c r="G205" s="18">
        <f>IF($A205&gt;'1-Input'!$B$26,E205,E205-MIN(MAX(E205,0),'P-Parametri'!$B$8*(E205+D205)))</f>
        <v>155556.58401641226</v>
      </c>
      <c r="H205" s="18">
        <f>IF($A205&gt;'1-Input'!$B$26,H204,H204-C205*(1-B205))</f>
        <v>58351.687114073902</v>
      </c>
      <c r="I205" s="11">
        <f>IF($A205&gt;'1-Input'!$B$26,0,IF(N204&lt;=0,0,MAX(0,(N204-O204)/N204)))</f>
        <v>0</v>
      </c>
      <c r="J205" s="18">
        <f>IF($A205&gt;'1-Input'!$B$26,0,(MAX(0,I176-IF($A205&gt;='1-Input'!$C$12,'1-Input'!$B$12,0))-MIN(MAX(M204,0),MAX(0,I176-IF($A205&gt;='1-Input'!$C$12,'1-Input'!$B$12,0))))*(1/(1-'P-Parametri'!$B$6*I205))+MIN(MAX(0,N204-(MAX(0,I176-IF($A205&gt;='1-Input'!$C$12,'1-Input'!$B$12,0))-MIN(MAX(M204,0),MAX(0,I176-IF($A205&gt;='1-Input'!$C$12,'1-Input'!$B$12,0))))*(1/(1-'P-Parametri'!$B$6*I205))),MAX(0,2*I176-(M204-MIN(MAX(M204,0),MAX(0,I176-IF($A205&gt;='1-Input'!$C$12,'1-Input'!$B$12,0)))))*(1/(1-'P-Parametri'!$B$6*I205))))</f>
        <v>10846.756992928691</v>
      </c>
      <c r="K205" s="18">
        <f>IF($A205&gt;'1-Input'!$B$26,M204,(M204-MAX(0,I176-IF($A205&gt;='1-Input'!$C$12,'1-Input'!$B$12,0))+J205*(1-'P-Parametri'!$B$6*I205))*(1+ROUND('3-Liquidita'!$F$11,4)))</f>
        <v>0</v>
      </c>
      <c r="L205" s="18">
        <f>IF($A205&gt;'1-Input'!$B$26,N204,(N204-J205)*(1+'5-Roberta'!$C$4))</f>
        <v>-40302.143538224896</v>
      </c>
      <c r="M205" s="18">
        <f>IF($A205&gt;'1-Input'!$B$26,K205,K205-'P-Parametri'!$B$8*(L205+K205)+MIN(MAX(L205,0),'P-Parametri'!$B$8*(L205+K205)))</f>
        <v>0</v>
      </c>
      <c r="N205" s="18">
        <f>IF($A205&gt;'1-Input'!$B$26,L205,L205-MIN(MAX(L205,0),'P-Parametri'!$B$8*(L205+K205)))</f>
        <v>-40221.539251148446</v>
      </c>
      <c r="O205" s="18">
        <f>IF($A205&gt;'1-Input'!$B$26,O204,O204-J205*(1-I205))</f>
        <v>-37760.733113118127</v>
      </c>
      <c r="P205" s="11">
        <f>IF($A205&gt;'1-Input'!$B$26,0,IF(U204&lt;=0,0,MAX(0,(U204-V204)/U204)))</f>
        <v>0.61350278761274868</v>
      </c>
      <c r="Q205" s="18">
        <f>IF($A205&gt;'1-Input'!$B$26,0,(MAX(0,P176-IF($A205&gt;='1-Input'!$C$12,'1-Input'!$B$12,0))-MIN(MAX(T204,0),MAX(0,P176-IF($A205&gt;='1-Input'!$C$12,'1-Input'!$B$12,0))))*(1/(1-'P-Parametri'!$B$6*P205))+MIN(MAX(0,U204-(MAX(0,P176-IF($A205&gt;='1-Input'!$C$12,'1-Input'!$B$12,0))-MIN(MAX(T204,0),MAX(0,P176-IF($A205&gt;='1-Input'!$C$12,'1-Input'!$B$12,0))))*(1/(1-'P-Parametri'!$B$6*P205))),MAX(0,2*P176-(T204-MIN(MAX(T204,0),MAX(0,P176-IF($A205&gt;='1-Input'!$C$12,'1-Input'!$B$12,0)))))*(1/(1-'P-Parametri'!$B$6*P205))))</f>
        <v>8552.8420488635238</v>
      </c>
      <c r="R205" s="18">
        <f>IF($A205&gt;'1-Input'!$B$26,T204,(T204-MAX(0,P176-IF($A205&gt;='1-Input'!$C$12,'1-Input'!$B$12,0))+Q205*(1-'P-Parametri'!$B$6*P205))*(1+ROUND('3-Liquidita'!$F$11,4)))</f>
        <v>36091.703549375699</v>
      </c>
      <c r="S205" s="18">
        <f>IF($A205&gt;'1-Input'!$B$26,U204,(U204-Q205)*(1+'5-Roberta'!$C$4))</f>
        <v>83047.339057574762</v>
      </c>
      <c r="T205" s="18">
        <f>IF($A205&gt;'1-Input'!$B$26,R205,R205-'P-Parametri'!$B$8*(S205+R205)+MIN(MAX(S205,0),'P-Parametri'!$B$8*(S205+R205)))</f>
        <v>36091.703549375699</v>
      </c>
      <c r="U205" s="18">
        <f>IF($A205&gt;'1-Input'!$B$26,S205,S205-MIN(MAX(S205,0),'P-Parametri'!$B$8*(S205+R205)))</f>
        <v>82809.060972360865</v>
      </c>
      <c r="V205" s="18">
        <f>IF($A205&gt;'1-Input'!$B$26,V204,V204-Q205*(1-P205))</f>
        <v>31162.684506729653</v>
      </c>
      <c r="W205" s="11">
        <f>IF($A205&gt;'1-Input'!$B$26,0,IF(AB204&lt;=0,0,MAX(0,(AB204-AC204)/AB204)))</f>
        <v>0.61370092622637862</v>
      </c>
      <c r="X205" s="18">
        <f>IF($A205&gt;'1-Input'!$B$26,0,(MAX(0,W176-IF($A205&gt;='1-Input'!$C$12,'1-Input'!$B$12,0))-MIN(MAX(AA204,0),MAX(0,W176-IF($A205&gt;='1-Input'!$C$12,'1-Input'!$B$12,0))))*(1/(1-'P-Parametri'!$B$6*W205))+MIN(MAX(0,AB204-(MAX(0,W176-IF($A205&gt;='1-Input'!$C$12,'1-Input'!$B$12,0))-MIN(MAX(AA204,0),MAX(0,W176-IF($A205&gt;='1-Input'!$C$12,'1-Input'!$B$12,0))))*(1/(1-'P-Parametri'!$B$6*W205))),MAX(0,2*W176-(AA204-MIN(MAX(AA204,0),MAX(0,W176-IF($A205&gt;='1-Input'!$C$12,'1-Input'!$B$12,0)))))*(1/(1-'P-Parametri'!$B$6*W205))))</f>
        <v>8316.2473695636654</v>
      </c>
      <c r="Y205" s="18">
        <f>IF($A205&gt;'1-Input'!$B$26,AA204,(AA204-MAX(0,W176-IF($A205&gt;='1-Input'!$C$12,'1-Input'!$B$12,0))+X205*(1-'P-Parametri'!$B$6*W205))*(1+ROUND('3-Liquidita'!$F$11,4)))</f>
        <v>35698.468794259323</v>
      </c>
      <c r="Z205" s="18">
        <f>IF($A205&gt;'1-Input'!$B$26,AB204,(AB204-X205)*(1+'5-Roberta'!$C$4))</f>
        <v>92998.853101170986</v>
      </c>
      <c r="AA205" s="18">
        <f>IF($A205&gt;'1-Input'!$B$26,Y205,Y205-'P-Parametri'!$B$8*(Z205+Y205)+MIN(MAX(Z205,0),'P-Parametri'!$B$8*(Z205+Y205)))</f>
        <v>35698.468794259323</v>
      </c>
      <c r="AB205" s="18">
        <f>IF($A205&gt;'1-Input'!$B$26,Z205,Z205-MIN(MAX(Z205,0),'P-Parametri'!$B$8*(Z205+Y205)))</f>
        <v>92741.458457380126</v>
      </c>
      <c r="AC205" s="18">
        <f>IF($A205&gt;'1-Input'!$B$26,AC204,AC204-X205*(1-W205))</f>
        <v>34879.000791253813</v>
      </c>
      <c r="AD205" s="11">
        <f>IF($A205&gt;'1-Input'!$B$26,0,IF(AI204&lt;=0,0,MAX(0,(AI204-AJ204)/AI204)))</f>
        <v>0.61371401188414332</v>
      </c>
      <c r="AE205" s="18">
        <f>IF($A205&gt;'1-Input'!$B$26,0,(MAX(0,AD176-IF($A205&gt;='1-Input'!$C$12,'1-Input'!$B$12,0))-MIN(MAX(AH204,0),MAX(0,AD176-IF($A205&gt;='1-Input'!$C$12,'1-Input'!$B$12,0))))*(1/(1-'P-Parametri'!$B$6*AD205))+MIN(MAX(0,AI204-(MAX(0,AD176-IF($A205&gt;='1-Input'!$C$12,'1-Input'!$B$12,0))-MIN(MAX(AH204,0),MAX(0,AD176-IF($A205&gt;='1-Input'!$C$12,'1-Input'!$B$12,0))))*(1/(1-'P-Parametri'!$B$6*AD205))),MAX(0,2*AD176-(AH204-MIN(MAX(AH204,0),MAX(0,AD176-IF($A205&gt;='1-Input'!$C$12,'1-Input'!$B$12,0)))))*(1/(1-'P-Parametri'!$B$6*AD205))))</f>
        <v>8299.5283599709055</v>
      </c>
      <c r="AF205" s="18">
        <f>IF($A205&gt;'1-Input'!$B$26,AH204,(AH204-MAX(0,AD176-IF($A205&gt;='1-Input'!$C$12,'1-Input'!$B$12,0))+AE205*(1-'P-Parametri'!$B$6*AD205))*(1+ROUND('3-Liquidita'!$F$11,4)))</f>
        <v>35670.686502200319</v>
      </c>
      <c r="AG205" s="18">
        <f>IF($A205&gt;'1-Input'!$B$26,AI204,(AI204-AE205)*(1+'5-Roberta'!$C$4))</f>
        <v>93701.95616780383</v>
      </c>
      <c r="AH205" s="18">
        <f>IF($A205&gt;'1-Input'!$B$26,AF205,AF205-'P-Parametri'!$B$8*(AG205+AF205)+MIN(MAX(AG205,0),'P-Parametri'!$B$8*(AG205+AF205)))</f>
        <v>35670.686502200319</v>
      </c>
      <c r="AI205" s="18">
        <f>IF($A205&gt;'1-Input'!$B$26,AG205,AG205-MIN(MAX(AG205,0),'P-Parametri'!$B$8*(AG205+AF205)))</f>
        <v>93443.210882463827</v>
      </c>
      <c r="AJ205" s="18">
        <f>IF($A205&gt;'1-Input'!$B$26,AJ204,AJ204-AE205*(1-AD205))</f>
        <v>35141.507501620188</v>
      </c>
      <c r="AK205" s="11">
        <f>IF($A205&gt;'1-Input'!$B$26,0,IF(AP204&lt;=0,0,MAX(0,(AP204-AQ204)/AP204)))</f>
        <v>0.61371404142851749</v>
      </c>
      <c r="AL205" s="18">
        <f>IF($A205&gt;'1-Input'!$B$26,0,(MAX(0,AK176-IF($A205&gt;='1-Input'!$C$12,'1-Input'!$B$12,0))-MIN(MAX(AO204,0),MAX(0,AK176-IF($A205&gt;='1-Input'!$C$12,'1-Input'!$B$12,0))))*(1/(1-'P-Parametri'!$B$6*AK205))+MIN(MAX(0,AP204-(MAX(0,AK176-IF($A205&gt;='1-Input'!$C$12,'1-Input'!$B$12,0))-MIN(MAX(AO204,0),MAX(0,AK176-IF($A205&gt;='1-Input'!$C$12,'1-Input'!$B$12,0))))*(1/(1-'P-Parametri'!$B$6*AK205))),MAX(0,2*AK176-(AO204-MIN(MAX(AO204,0),MAX(0,AK176-IF($A205&gt;='1-Input'!$C$12,'1-Input'!$B$12,0)))))*(1/(1-'P-Parametri'!$B$6*AK205))))</f>
        <v>8299.4904507914143</v>
      </c>
      <c r="AM205" s="18">
        <f>IF($A205&gt;'1-Input'!$B$26,AO204,(AO204-MAX(0,AK176-IF($A205&gt;='1-Input'!$C$12,'1-Input'!$B$12,0))+AL205*(1-'P-Parametri'!$B$6*AK205))*(1+ROUND('3-Liquidita'!$F$11,4)))</f>
        <v>35670.623508598648</v>
      </c>
      <c r="AN205" s="18">
        <f>IF($A205&gt;'1-Input'!$B$26,AP204,(AP204-AL205)*(1+'5-Roberta'!$C$4))</f>
        <v>93703.550387693467</v>
      </c>
      <c r="AO205" s="18">
        <f>IF($A205&gt;'1-Input'!$B$26,AM205,AM205-'P-Parametri'!$B$8*(AN205+AM205)+MIN(MAX(AN205,0),'P-Parametri'!$B$8*(AN205+AM205)))</f>
        <v>35670.623508598648</v>
      </c>
      <c r="AP205" s="18">
        <f>IF($A205&gt;'1-Input'!$B$26,AN205,AN205-MIN(MAX(AN205,0),'P-Parametri'!$B$8*(AN205+AM205)))</f>
        <v>93444.802039900882</v>
      </c>
      <c r="AQ205" s="18">
        <f>IF($A205&gt;'1-Input'!$B$26,AQ204,AQ204-AL205*(1-AK205))</f>
        <v>35142.102702001343</v>
      </c>
    </row>
    <row r="206" spans="1:43">
      <c r="A206" s="10">
        <f>28</f>
        <v>28</v>
      </c>
      <c r="B206" s="11">
        <f>IF($A206&gt;'1-Input'!$B$26,0,IF(G205&lt;=0,0,MAX(0,(G205-H205)/G205)))</f>
        <v>0.6248844914984929</v>
      </c>
      <c r="C206" s="18">
        <f>IF($A206&gt;'1-Input'!$B$26,0,(MAX(0,B176-IF($A206&gt;='1-Input'!$C$12,'1-Input'!$B$12,0))-MIN(MAX(F205,0),MAX(0,B176-IF($A206&gt;='1-Input'!$C$12,'1-Input'!$B$12,0))))*(1/(1-'P-Parametri'!$B$6*B206))+MIN(MAX(0,G205-(MAX(0,B176-IF($A206&gt;='1-Input'!$C$12,'1-Input'!$B$12,0))-MIN(MAX(F205,0),MAX(0,B176-IF($A206&gt;='1-Input'!$C$12,'1-Input'!$B$12,0))))*(1/(1-'P-Parametri'!$B$6*B206))),MAX(0,2*B176-(F205-MIN(MAX(F205,0),MAX(0,B176-IF($A206&gt;='1-Input'!$C$12,'1-Input'!$B$12,0)))))*(1/(1-'P-Parametri'!$B$6*B206))))</f>
        <v>6840.5723879979396</v>
      </c>
      <c r="D206" s="18">
        <f>IF($A206&gt;'1-Input'!$B$26,F205,(F205-MAX(0,B176-IF($A206&gt;='1-Input'!$C$12,'1-Input'!$B$12,0))+C206*(1-'P-Parametri'!$B$6*B206))*(1+ROUND('3-Liquidita'!$F$11,4)))</f>
        <v>33211.981131419976</v>
      </c>
      <c r="E206" s="18">
        <f>IF($A206&gt;'1-Input'!$B$26,G205,(G205-C206)*(1+'5-Roberta'!$C$4))</f>
        <v>153177.49197726676</v>
      </c>
      <c r="F206" s="18">
        <f>IF($A206&gt;'1-Input'!$B$26,D206,D206-'P-Parametri'!$B$8*(E206+D206)+MIN(MAX(E206,0),'P-Parametri'!$B$8*(E206+D206)))</f>
        <v>33211.981131419976</v>
      </c>
      <c r="G206" s="18">
        <f>IF($A206&gt;'1-Input'!$B$26,E206,E206-MIN(MAX(E206,0),'P-Parametri'!$B$8*(E206+D206)))</f>
        <v>152804.71303104938</v>
      </c>
      <c r="H206" s="18">
        <f>IF($A206&gt;'1-Input'!$B$26,H205,H205-C206*(1-B206))</f>
        <v>55785.682324308684</v>
      </c>
      <c r="I206" s="11">
        <f>IF($A206&gt;'1-Input'!$B$26,0,IF(N205&lt;=0,0,MAX(0,(N205-O205)/N205)))</f>
        <v>0</v>
      </c>
      <c r="J206" s="18">
        <f>IF($A206&gt;'1-Input'!$B$26,0,(MAX(0,I176-IF($A206&gt;='1-Input'!$C$12,'1-Input'!$B$12,0))-MIN(MAX(M205,0),MAX(0,I176-IF($A206&gt;='1-Input'!$C$12,'1-Input'!$B$12,0))))*(1/(1-'P-Parametri'!$B$6*I206))+MIN(MAX(0,N205-(MAX(0,I176-IF($A206&gt;='1-Input'!$C$12,'1-Input'!$B$12,0))-MIN(MAX(M205,0),MAX(0,I176-IF($A206&gt;='1-Input'!$C$12,'1-Input'!$B$12,0))))*(1/(1-'P-Parametri'!$B$6*I206))),MAX(0,2*I176-(M205-MIN(MAX(M205,0),MAX(0,I176-IF($A206&gt;='1-Input'!$C$12,'1-Input'!$B$12,0)))))*(1/(1-'P-Parametri'!$B$6*I206))))</f>
        <v>10846.756992928691</v>
      </c>
      <c r="K206" s="18">
        <f>IF($A206&gt;'1-Input'!$B$26,M205,(M205-MAX(0,I176-IF($A206&gt;='1-Input'!$C$12,'1-Input'!$B$12,0))+J206*(1-'P-Parametri'!$B$6*I206))*(1+ROUND('3-Liquidita'!$F$11,4)))</f>
        <v>0</v>
      </c>
      <c r="L206" s="18">
        <f>IF($A206&gt;'1-Input'!$B$26,N205,(N205-J206)*(1+'5-Roberta'!$C$4))</f>
        <v>-52600.345131399452</v>
      </c>
      <c r="M206" s="18">
        <f>IF($A206&gt;'1-Input'!$B$26,K206,K206-'P-Parametri'!$B$8*(L206+K206)+MIN(MAX(L206,0),'P-Parametri'!$B$8*(L206+K206)))</f>
        <v>0</v>
      </c>
      <c r="N206" s="18">
        <f>IF($A206&gt;'1-Input'!$B$26,L206,L206-MIN(MAX(L206,0),'P-Parametri'!$B$8*(L206+K206)))</f>
        <v>-52495.144441136654</v>
      </c>
      <c r="O206" s="18">
        <f>IF($A206&gt;'1-Input'!$B$26,O205,O205-J206*(1-I206))</f>
        <v>-48607.490106046818</v>
      </c>
      <c r="P206" s="11">
        <f>IF($A206&gt;'1-Input'!$B$26,0,IF(U205&lt;=0,0,MAX(0,(U205-V205)/U205)))</f>
        <v>0.6236802574402962</v>
      </c>
      <c r="Q206" s="18">
        <f>IF($A206&gt;'1-Input'!$B$26,0,(MAX(0,P176-IF($A206&gt;='1-Input'!$C$12,'1-Input'!$B$12,0))-MIN(MAX(T205,0),MAX(0,P176-IF($A206&gt;='1-Input'!$C$12,'1-Input'!$B$12,0))))*(1/(1-'P-Parametri'!$B$6*P206))+MIN(MAX(0,U205-(MAX(0,P176-IF($A206&gt;='1-Input'!$C$12,'1-Input'!$B$12,0))-MIN(MAX(T205,0),MAX(0,P176-IF($A206&gt;='1-Input'!$C$12,'1-Input'!$B$12,0))))*(1/(1-'P-Parametri'!$B$6*P206))),MAX(0,2*P176-(T205-MIN(MAX(T205,0),MAX(0,P176-IF($A206&gt;='1-Input'!$C$12,'1-Input'!$B$12,0)))))*(1/(1-'P-Parametri'!$B$6*P206))))</f>
        <v>8579.8543080786094</v>
      </c>
      <c r="R206" s="18">
        <f>IF($A206&gt;'1-Input'!$B$26,T205,(T205-MAX(0,P176-IF($A206&gt;='1-Input'!$C$12,'1-Input'!$B$12,0))+Q206*(1-'P-Parametri'!$B$6*P206))*(1+ROUND('3-Liquidita'!$F$11,4)))</f>
        <v>36091.703549375699</v>
      </c>
      <c r="S206" s="18">
        <f>IF($A206&gt;'1-Input'!$B$26,U205,(U205-Q206)*(1+'5-Roberta'!$C$4))</f>
        <v>76456.082864210737</v>
      </c>
      <c r="T206" s="18">
        <f>IF($A206&gt;'1-Input'!$B$26,R206,R206-'P-Parametri'!$B$8*(S206+R206)+MIN(MAX(S206,0),'P-Parametri'!$B$8*(S206+R206)))</f>
        <v>36091.703549375699</v>
      </c>
      <c r="U206" s="18">
        <f>IF($A206&gt;'1-Input'!$B$26,S206,S206-MIN(MAX(S206,0),'P-Parametri'!$B$8*(S206+R206)))</f>
        <v>76230.987291383557</v>
      </c>
      <c r="V206" s="18">
        <f>IF($A206&gt;'1-Input'!$B$26,V205,V205-Q206*(1-P206))</f>
        <v>27933.915942313746</v>
      </c>
      <c r="W206" s="11">
        <f>IF($A206&gt;'1-Input'!$B$26,0,IF(AB205&lt;=0,0,MAX(0,(AB205-AC205)/AB205)))</f>
        <v>0.62391144832725853</v>
      </c>
      <c r="X206" s="18">
        <f>IF($A206&gt;'1-Input'!$B$26,0,(MAX(0,W176-IF($A206&gt;='1-Input'!$C$12,'1-Input'!$B$12,0))-MIN(MAX(AA205,0),MAX(0,W176-IF($A206&gt;='1-Input'!$C$12,'1-Input'!$B$12,0))))*(1/(1-'P-Parametri'!$B$6*W206))+MIN(MAX(0,AB205-(MAX(0,W176-IF($A206&gt;='1-Input'!$C$12,'1-Input'!$B$12,0))-MIN(MAX(AA205,0),MAX(0,W176-IF($A206&gt;='1-Input'!$C$12,'1-Input'!$B$12,0))))*(1/(1-'P-Parametri'!$B$6*W206))),MAX(0,2*W176-(AA205-MIN(MAX(AA205,0),MAX(0,W176-IF($A206&gt;='1-Input'!$C$12,'1-Input'!$B$12,0)))))*(1/(1-'P-Parametri'!$B$6*W206))))</f>
        <v>8342.5995855299716</v>
      </c>
      <c r="Y206" s="18">
        <f>IF($A206&gt;'1-Input'!$B$26,AA205,(AA205-MAX(0,W176-IF($A206&gt;='1-Input'!$C$12,'1-Input'!$B$12,0))+X206*(1-'P-Parametri'!$B$6*W206))*(1+ROUND('3-Liquidita'!$F$11,4)))</f>
        <v>35698.468794259323</v>
      </c>
      <c r="Z206" s="18">
        <f>IF($A206&gt;'1-Input'!$B$26,AB205,(AB205-X206)*(1+'5-Roberta'!$C$4))</f>
        <v>86930.824638005666</v>
      </c>
      <c r="AA206" s="18">
        <f>IF($A206&gt;'1-Input'!$B$26,Y206,Y206-'P-Parametri'!$B$8*(Z206+Y206)+MIN(MAX(Z206,0),'P-Parametri'!$B$8*(Z206+Y206)))</f>
        <v>35698.468794259323</v>
      </c>
      <c r="AB206" s="18">
        <f>IF($A206&gt;'1-Input'!$B$26,Z206,Z206-MIN(MAX(Z206,0),'P-Parametri'!$B$8*(Z206+Y206)))</f>
        <v>86685.566051141141</v>
      </c>
      <c r="AC206" s="18">
        <f>IF($A206&gt;'1-Input'!$B$26,AC205,AC205-X206*(1-W206))</f>
        <v>31741.444595946232</v>
      </c>
      <c r="AD206" s="11">
        <f>IF($A206&gt;'1-Input'!$B$26,0,IF(AI205&lt;=0,0,MAX(0,(AI205-AJ205)/AI205)))</f>
        <v>0.62392658418146163</v>
      </c>
      <c r="AE206" s="18">
        <f>IF($A206&gt;'1-Input'!$B$26,0,(MAX(0,AD176-IF($A206&gt;='1-Input'!$C$12,'1-Input'!$B$12,0))-MIN(MAX(AH205,0),MAX(0,AD176-IF($A206&gt;='1-Input'!$C$12,'1-Input'!$B$12,0))))*(1/(1-'P-Parametri'!$B$6*AD206))+MIN(MAX(0,AI205-(MAX(0,AD176-IF($A206&gt;='1-Input'!$C$12,'1-Input'!$B$12,0))-MIN(MAX(AH205,0),MAX(0,AD176-IF($A206&gt;='1-Input'!$C$12,'1-Input'!$B$12,0))))*(1/(1-'P-Parametri'!$B$6*AD206))),MAX(0,2*AD176-(AH205-MIN(MAX(AH205,0),MAX(0,AD176-IF($A206&gt;='1-Input'!$C$12,'1-Input'!$B$12,0)))))*(1/(1-'P-Parametri'!$B$6*AD206))))</f>
        <v>8325.833001611225</v>
      </c>
      <c r="AF206" s="18">
        <f>IF($A206&gt;'1-Input'!$B$26,AH205,(AH205-MAX(0,AD176-IF($A206&gt;='1-Input'!$C$12,'1-Input'!$B$12,0))+AE206*(1-'P-Parametri'!$B$6*AD206))*(1+ROUND('3-Liquidita'!$F$11,4)))</f>
        <v>35670.686502200319</v>
      </c>
      <c r="AG206" s="18">
        <f>IF($A206&gt;'1-Input'!$B$26,AI205,(AI205-AE206)*(1+'5-Roberta'!$C$4))</f>
        <v>87670.899217278173</v>
      </c>
      <c r="AH206" s="18">
        <f>IF($A206&gt;'1-Input'!$B$26,AF206,AF206-'P-Parametri'!$B$8*(AG206+AF206)+MIN(MAX(AG206,0),'P-Parametri'!$B$8*(AG206+AF206)))</f>
        <v>35670.686502200319</v>
      </c>
      <c r="AI206" s="18">
        <f>IF($A206&gt;'1-Input'!$B$26,AG206,AG206-MIN(MAX(AG206,0),'P-Parametri'!$B$8*(AG206+AF206)))</f>
        <v>87424.216045839217</v>
      </c>
      <c r="AJ206" s="18">
        <f>IF($A206&gt;'1-Input'!$B$26,AJ205,AJ205-AE206*(1-AD206))</f>
        <v>32010.383045169539</v>
      </c>
      <c r="AK206" s="11">
        <f>IF($A206&gt;'1-Input'!$B$26,0,IF(AP205&lt;=0,0,MAX(0,(AP205-AQ205)/AP205)))</f>
        <v>0.62392661833671947</v>
      </c>
      <c r="AL206" s="18">
        <f>IF($A206&gt;'1-Input'!$B$26,0,(MAX(0,AK176-IF($A206&gt;='1-Input'!$C$12,'1-Input'!$B$12,0))-MIN(MAX(AO205,0),MAX(0,AK176-IF($A206&gt;='1-Input'!$C$12,'1-Input'!$B$12,0))))*(1/(1-'P-Parametri'!$B$6*AK206))+MIN(MAX(0,AP205-(MAX(0,AK176-IF($A206&gt;='1-Input'!$C$12,'1-Input'!$B$12,0))-MIN(MAX(AO205,0),MAX(0,AK176-IF($A206&gt;='1-Input'!$C$12,'1-Input'!$B$12,0))))*(1/(1-'P-Parametri'!$B$6*AK206))),MAX(0,2*AK176-(AO205-MIN(MAX(AO205,0),MAX(0,AK176-IF($A206&gt;='1-Input'!$C$12,'1-Input'!$B$12,0)))))*(1/(1-'P-Parametri'!$B$6*AK206))))</f>
        <v>8325.7949844369268</v>
      </c>
      <c r="AM206" s="18">
        <f>IF($A206&gt;'1-Input'!$B$26,AO205,(AO205-MAX(0,AK176-IF($A206&gt;='1-Input'!$C$12,'1-Input'!$B$12,0))+AL206*(1-'P-Parametri'!$B$6*AK206))*(1+ROUND('3-Liquidita'!$F$11,4)))</f>
        <v>35670.623508598648</v>
      </c>
      <c r="AN206" s="18">
        <f>IF($A206&gt;'1-Input'!$B$26,AP205,(AP205-AL206)*(1+'5-Roberta'!$C$4))</f>
        <v>87672.577267127868</v>
      </c>
      <c r="AO206" s="18">
        <f>IF($A206&gt;'1-Input'!$B$26,AM206,AM206-'P-Parametri'!$B$8*(AN206+AM206)+MIN(MAX(AN206,0),'P-Parametri'!$B$8*(AN206+AM206)))</f>
        <v>35670.623508598648</v>
      </c>
      <c r="AP206" s="18">
        <f>IF($A206&gt;'1-Input'!$B$26,AN206,AN206-MIN(MAX(AN206,0),'P-Parametri'!$B$8*(AN206+AM206)))</f>
        <v>87425.89086557641</v>
      </c>
      <c r="AQ206" s="18">
        <f>IF($A206&gt;'1-Input'!$B$26,AQ205,AQ205-AL206*(1-AK206))</f>
        <v>32010.992827168968</v>
      </c>
    </row>
    <row r="207" spans="1:43">
      <c r="A207" s="10">
        <f>29</f>
        <v>29</v>
      </c>
      <c r="B207" s="11">
        <f>IF($A207&gt;'1-Input'!$B$26,0,IF(G206&lt;=0,0,MAX(0,(G206-H206)/G206)))</f>
        <v>0.63492171662942598</v>
      </c>
      <c r="C207" s="18">
        <f>IF($A207&gt;'1-Input'!$B$26,0,(MAX(0,B176-IF($A207&gt;='1-Input'!$C$12,'1-Input'!$B$12,0))-MIN(MAX(F206,0),MAX(0,B176-IF($A207&gt;='1-Input'!$C$12,'1-Input'!$B$12,0))))*(1/(1-'P-Parametri'!$B$6*B207))+MIN(MAX(0,G206-(MAX(0,B176-IF($A207&gt;='1-Input'!$C$12,'1-Input'!$B$12,0))-MIN(MAX(F206,0),MAX(0,B176-IF($A207&gt;='1-Input'!$C$12,'1-Input'!$B$12,0))))*(1/(1-'P-Parametri'!$B$6*B207))),MAX(0,2*B176-(F206-MIN(MAX(F206,0),MAX(0,B176-IF($A207&gt;='1-Input'!$C$12,'1-Input'!$B$12,0)))))*(1/(1-'P-Parametri'!$B$6*B207))))</f>
        <v>6861.9537028058958</v>
      </c>
      <c r="D207" s="18">
        <f>IF($A207&gt;'1-Input'!$B$26,F206,(F206-MAX(0,B176-IF($A207&gt;='1-Input'!$C$12,'1-Input'!$B$12,0))+C207*(1-'P-Parametri'!$B$6*B207))*(1+ROUND('3-Liquidita'!$F$11,4)))</f>
        <v>33211.981131419976</v>
      </c>
      <c r="E207" s="18">
        <f>IF($A207&gt;'1-Input'!$B$26,G206,(G206-C207)*(1+'5-Roberta'!$C$4))</f>
        <v>150321.0421080908</v>
      </c>
      <c r="F207" s="18">
        <f>IF($A207&gt;'1-Input'!$B$26,D207,D207-'P-Parametri'!$B$8*(E207+D207)+MIN(MAX(E207,0),'P-Parametri'!$B$8*(E207+D207)))</f>
        <v>33211.981131419976</v>
      </c>
      <c r="G207" s="18">
        <f>IF($A207&gt;'1-Input'!$B$26,E207,E207-MIN(MAX(E207,0),'P-Parametri'!$B$8*(E207+D207)))</f>
        <v>149953.97606161179</v>
      </c>
      <c r="H207" s="18">
        <f>IF($A207&gt;'1-Input'!$B$26,H206,H206-C207*(1-B207))</f>
        <v>53280.53204591995</v>
      </c>
      <c r="I207" s="11">
        <f>IF($A207&gt;'1-Input'!$B$26,0,IF(N206&lt;=0,0,MAX(0,(N206-O206)/N206)))</f>
        <v>0</v>
      </c>
      <c r="J207" s="18">
        <f>IF($A207&gt;'1-Input'!$B$26,0,(MAX(0,I176-IF($A207&gt;='1-Input'!$C$12,'1-Input'!$B$12,0))-MIN(MAX(M206,0),MAX(0,I176-IF($A207&gt;='1-Input'!$C$12,'1-Input'!$B$12,0))))*(1/(1-'P-Parametri'!$B$6*I207))+MIN(MAX(0,N206-(MAX(0,I176-IF($A207&gt;='1-Input'!$C$12,'1-Input'!$B$12,0))-MIN(MAX(M206,0),MAX(0,I176-IF($A207&gt;='1-Input'!$C$12,'1-Input'!$B$12,0))))*(1/(1-'P-Parametri'!$B$6*I207))),MAX(0,2*I176-(M206-MIN(MAX(M206,0),MAX(0,I176-IF($A207&gt;='1-Input'!$C$12,'1-Input'!$B$12,0)))))*(1/(1-'P-Parametri'!$B$6*I207))))</f>
        <v>10846.756992928691</v>
      </c>
      <c r="K207" s="18">
        <f>IF($A207&gt;'1-Input'!$B$26,M206,(M206-MAX(0,I176-IF($A207&gt;='1-Input'!$C$12,'1-Input'!$B$12,0))+J207*(1-'P-Parametri'!$B$6*I207))*(1+ROUND('3-Liquidita'!$F$11,4)))</f>
        <v>0</v>
      </c>
      <c r="L207" s="18">
        <f>IF($A207&gt;'1-Input'!$B$26,N206,(N206-J207)*(1+'5-Roberta'!$C$4))</f>
        <v>-65242.158477087309</v>
      </c>
      <c r="M207" s="18">
        <f>IF($A207&gt;'1-Input'!$B$26,K207,K207-'P-Parametri'!$B$8*(L207+K207)+MIN(MAX(L207,0),'P-Parametri'!$B$8*(L207+K207)))</f>
        <v>0</v>
      </c>
      <c r="N207" s="18">
        <f>IF($A207&gt;'1-Input'!$B$26,L207,L207-MIN(MAX(L207,0),'P-Parametri'!$B$8*(L207+K207)))</f>
        <v>-65111.67416013313</v>
      </c>
      <c r="O207" s="18">
        <f>IF($A207&gt;'1-Input'!$B$26,O206,O206-J207*(1-I207))</f>
        <v>-59454.247098975509</v>
      </c>
      <c r="P207" s="11">
        <f>IF($A207&gt;'1-Input'!$B$26,0,IF(U206&lt;=0,0,MAX(0,(U206-V206)/U206)))</f>
        <v>0.63356219124462088</v>
      </c>
      <c r="Q207" s="18">
        <f>IF($A207&gt;'1-Input'!$B$26,0,(MAX(0,P176-IF($A207&gt;='1-Input'!$C$12,'1-Input'!$B$12,0))-MIN(MAX(T206,0),MAX(0,P176-IF($A207&gt;='1-Input'!$C$12,'1-Input'!$B$12,0))))*(1/(1-'P-Parametri'!$B$6*P207))+MIN(MAX(0,U206-(MAX(0,P176-IF($A207&gt;='1-Input'!$C$12,'1-Input'!$B$12,0))-MIN(MAX(T206,0),MAX(0,P176-IF($A207&gt;='1-Input'!$C$12,'1-Input'!$B$12,0))))*(1/(1-'P-Parametri'!$B$6*P207))),MAX(0,2*P176-(T206-MIN(MAX(T206,0),MAX(0,P176-IF($A207&gt;='1-Input'!$C$12,'1-Input'!$B$12,0)))))*(1/(1-'P-Parametri'!$B$6*P207))))</f>
        <v>8606.2459449346698</v>
      </c>
      <c r="R207" s="18">
        <f>IF($A207&gt;'1-Input'!$B$26,T206,(T206-MAX(0,P176-IF($A207&gt;='1-Input'!$C$12,'1-Input'!$B$12,0))+Q207*(1-'P-Parametri'!$B$6*P207))*(1+ROUND('3-Liquidita'!$F$11,4)))</f>
        <v>36091.703549375699</v>
      </c>
      <c r="S207" s="18">
        <f>IF($A207&gt;'1-Input'!$B$26,U206,(U206-Q207)*(1+'5-Roberta'!$C$4))</f>
        <v>69653.483586842354</v>
      </c>
      <c r="T207" s="18">
        <f>IF($A207&gt;'1-Input'!$B$26,R207,R207-'P-Parametri'!$B$8*(S207+R207)+MIN(MAX(S207,0),'P-Parametri'!$B$8*(S207+R207)))</f>
        <v>36091.703549375699</v>
      </c>
      <c r="U207" s="18">
        <f>IF($A207&gt;'1-Input'!$B$26,S207,S207-MIN(MAX(S207,0),'P-Parametri'!$B$8*(S207+R207)))</f>
        <v>69441.993212569912</v>
      </c>
      <c r="V207" s="18">
        <f>IF($A207&gt;'1-Input'!$B$26,V206,V206-Q207*(1-P207))</f>
        <v>24780.26203664202</v>
      </c>
      <c r="W207" s="11">
        <f>IF($A207&gt;'1-Input'!$B$26,0,IF(AB206&lt;=0,0,MAX(0,(AB206-AC206)/AB206)))</f>
        <v>0.63383241245468702</v>
      </c>
      <c r="X207" s="18">
        <f>IF($A207&gt;'1-Input'!$B$26,0,(MAX(0,W176-IF($A207&gt;='1-Input'!$C$12,'1-Input'!$B$12,0))-MIN(MAX(AA206,0),MAX(0,W176-IF($A207&gt;='1-Input'!$C$12,'1-Input'!$B$12,0))))*(1/(1-'P-Parametri'!$B$6*W207))+MIN(MAX(0,AB206-(MAX(0,W176-IF($A207&gt;='1-Input'!$C$12,'1-Input'!$B$12,0))-MIN(MAX(AA206,0),MAX(0,W176-IF($A207&gt;='1-Input'!$C$12,'1-Input'!$B$12,0))))*(1/(1-'P-Parametri'!$B$6*W207))),MAX(0,2*W176-(AA206-MIN(MAX(AA206,0),MAX(0,W176-IF($A207&gt;='1-Input'!$C$12,'1-Input'!$B$12,0)))))*(1/(1-'P-Parametri'!$B$6*W207))))</f>
        <v>8368.3649495901409</v>
      </c>
      <c r="Y207" s="18">
        <f>IF($A207&gt;'1-Input'!$B$26,AA206,(AA206-MAX(0,W176-IF($A207&gt;='1-Input'!$C$12,'1-Input'!$B$12,0))+X207*(1-'P-Parametri'!$B$6*W207))*(1+ROUND('3-Liquidita'!$F$11,4)))</f>
        <v>35698.468794259323</v>
      </c>
      <c r="Z207" s="18">
        <f>IF($A207&gt;'1-Input'!$B$26,AB206,(AB206-X207)*(1+'5-Roberta'!$C$4))</f>
        <v>80666.717134597537</v>
      </c>
      <c r="AA207" s="18">
        <f>IF($A207&gt;'1-Input'!$B$26,Y207,Y207-'P-Parametri'!$B$8*(Z207+Y207)+MIN(MAX(Z207,0),'P-Parametri'!$B$8*(Z207+Y207)))</f>
        <v>35698.468794259323</v>
      </c>
      <c r="AB207" s="18">
        <f>IF($A207&gt;'1-Input'!$B$26,Z207,Z207-MIN(MAX(Z207,0),'P-Parametri'!$B$8*(Z207+Y207)))</f>
        <v>80433.98676273982</v>
      </c>
      <c r="AC207" s="18">
        <f>IF($A207&gt;'1-Input'!$B$26,AC206,AC206-X207*(1-W207))</f>
        <v>28677.220590656056</v>
      </c>
      <c r="AD207" s="11">
        <f>IF($A207&gt;'1-Input'!$B$26,0,IF(AI206&lt;=0,0,MAX(0,(AI206-AJ206)/AI206)))</f>
        <v>0.63384992748021318</v>
      </c>
      <c r="AE207" s="18">
        <f>IF($A207&gt;'1-Input'!$B$26,0,(MAX(0,AD176-IF($A207&gt;='1-Input'!$C$12,'1-Input'!$B$12,0))-MIN(MAX(AH206,0),MAX(0,AD176-IF($A207&gt;='1-Input'!$C$12,'1-Input'!$B$12,0))))*(1/(1-'P-Parametri'!$B$6*AD207))+MIN(MAX(0,AI206-(MAX(0,AD176-IF($A207&gt;='1-Input'!$C$12,'1-Input'!$B$12,0))-MIN(MAX(AH206,0),MAX(0,AD176-IF($A207&gt;='1-Input'!$C$12,'1-Input'!$B$12,0))))*(1/(1-'P-Parametri'!$B$6*AD207))),MAX(0,2*AD176-(AH206-MIN(MAX(AH206,0),MAX(0,AD176-IF($A207&gt;='1-Input'!$C$12,'1-Input'!$B$12,0)))))*(1/(1-'P-Parametri'!$B$6*AD207))))</f>
        <v>8351.5528902689493</v>
      </c>
      <c r="AF207" s="18">
        <f>IF($A207&gt;'1-Input'!$B$26,AH206,(AH206-MAX(0,AD176-IF($A207&gt;='1-Input'!$C$12,'1-Input'!$B$12,0))+AE207*(1-'P-Parametri'!$B$6*AD207))*(1+ROUND('3-Liquidita'!$F$11,4)))</f>
        <v>35670.686502200319</v>
      </c>
      <c r="AG207" s="18">
        <f>IF($A207&gt;'1-Input'!$B$26,AI206,(AI206-AE207)*(1+'5-Roberta'!$C$4))</f>
        <v>81444.843050237367</v>
      </c>
      <c r="AH207" s="18">
        <f>IF($A207&gt;'1-Input'!$B$26,AF207,AF207-'P-Parametri'!$B$8*(AG207+AF207)+MIN(MAX(AG207,0),'P-Parametri'!$B$8*(AG207+AF207)))</f>
        <v>35670.686502200319</v>
      </c>
      <c r="AI207" s="18">
        <f>IF($A207&gt;'1-Input'!$B$26,AG207,AG207-MIN(MAX(AG207,0),'P-Parametri'!$B$8*(AG207+AF207)))</f>
        <v>81210.611991132493</v>
      </c>
      <c r="AJ207" s="18">
        <f>IF($A207&gt;'1-Input'!$B$26,AJ206,AJ206-AE207*(1-AD207))</f>
        <v>28952.461348744728</v>
      </c>
      <c r="AK207" s="11">
        <f>IF($A207&gt;'1-Input'!$B$26,0,IF(AP206&lt;=0,0,MAX(0,(AP206-AQ206)/AP206)))</f>
        <v>0.63384996698074059</v>
      </c>
      <c r="AL207" s="18">
        <f>IF($A207&gt;'1-Input'!$B$26,0,(MAX(0,AK176-IF($A207&gt;='1-Input'!$C$12,'1-Input'!$B$12,0))-MIN(MAX(AO206,0),MAX(0,AK176-IF($A207&gt;='1-Input'!$C$12,'1-Input'!$B$12,0))))*(1/(1-'P-Parametri'!$B$6*AK207))+MIN(MAX(0,AP206-(MAX(0,AK176-IF($A207&gt;='1-Input'!$C$12,'1-Input'!$B$12,0))-MIN(MAX(AO206,0),MAX(0,AK176-IF($A207&gt;='1-Input'!$C$12,'1-Input'!$B$12,0))))*(1/(1-'P-Parametri'!$B$6*AK207))),MAX(0,2*AK176-(AO206-MIN(MAX(AO206,0),MAX(0,AK176-IF($A207&gt;='1-Input'!$C$12,'1-Input'!$B$12,0)))))*(1/(1-'P-Parametri'!$B$6*AK207))))</f>
        <v>8351.5147698236306</v>
      </c>
      <c r="AM207" s="18">
        <f>IF($A207&gt;'1-Input'!$B$26,AO206,(AO206-MAX(0,AK176-IF($A207&gt;='1-Input'!$C$12,'1-Input'!$B$12,0))+AL207*(1-'P-Parametri'!$B$6*AK207))*(1+ROUND('3-Liquidita'!$F$11,4)))</f>
        <v>35670.623508598648</v>
      </c>
      <c r="AN207" s="18">
        <f>IF($A207&gt;'1-Input'!$B$26,AP206,(AP206-AL207)*(1+'5-Roberta'!$C$4))</f>
        <v>81446.607378625369</v>
      </c>
      <c r="AO207" s="18">
        <f>IF($A207&gt;'1-Input'!$B$26,AM207,AM207-'P-Parametri'!$B$8*(AN207+AM207)+MIN(MAX(AN207,0),'P-Parametri'!$B$8*(AN207+AM207)))</f>
        <v>35670.623508598648</v>
      </c>
      <c r="AP207" s="18">
        <f>IF($A207&gt;'1-Input'!$B$26,AN207,AN207-MIN(MAX(AN207,0),'P-Parametri'!$B$8*(AN207+AM207)))</f>
        <v>81212.372916850916</v>
      </c>
      <c r="AQ207" s="18">
        <f>IF($A207&gt;'1-Input'!$B$26,AQ206,AQ206-AL207*(1-AK207))</f>
        <v>28953.085418437215</v>
      </c>
    </row>
    <row r="208" spans="1:43">
      <c r="A208" s="10">
        <f>30</f>
        <v>30</v>
      </c>
      <c r="B208" s="11">
        <f>IF($A208&gt;'1-Input'!$B$26,0,IF(G207&lt;=0,0,MAX(0,(G207-H207)/G207)))</f>
        <v>0.64468743380283222</v>
      </c>
      <c r="C208" s="18">
        <f>IF($A208&gt;'1-Input'!$B$26,0,(MAX(0,B176-IF($A208&gt;='1-Input'!$C$12,'1-Input'!$B$12,0))-MIN(MAX(F207,0),MAX(0,B176-IF($A208&gt;='1-Input'!$C$12,'1-Input'!$B$12,0))))*(1/(1-'P-Parametri'!$B$6*B208))+MIN(MAX(0,G207-(MAX(0,B176-IF($A208&gt;='1-Input'!$C$12,'1-Input'!$B$12,0))-MIN(MAX(F207,0),MAX(0,B176-IF($A208&gt;='1-Input'!$C$12,'1-Input'!$B$12,0))))*(1/(1-'P-Parametri'!$B$6*B208))),MAX(0,2*B176-(F207-MIN(MAX(F207,0),MAX(0,B176-IF($A208&gt;='1-Input'!$C$12,'1-Input'!$B$12,0)))))*(1/(1-'P-Parametri'!$B$6*B208))))</f>
        <v>6882.8853292818385</v>
      </c>
      <c r="D208" s="18">
        <f>IF($A208&gt;'1-Input'!$B$26,F207,(F207-MAX(0,B176-IF($A208&gt;='1-Input'!$C$12,'1-Input'!$B$12,0))+C208*(1-'P-Parametri'!$B$6*B208))*(1+ROUND('3-Liquidita'!$F$11,4)))</f>
        <v>33211.981131419976</v>
      </c>
      <c r="E208" s="18">
        <f>IF($A208&gt;'1-Input'!$B$26,G207,(G207-C208)*(1+'5-Roberta'!$C$4))</f>
        <v>147363.22345429985</v>
      </c>
      <c r="F208" s="18">
        <f>IF($A208&gt;'1-Input'!$B$26,D208,D208-'P-Parametri'!$B$8*(E208+D208)+MIN(MAX(E208,0),'P-Parametri'!$B$8*(E208+D208)))</f>
        <v>33211.981131419976</v>
      </c>
      <c r="G208" s="18">
        <f>IF($A208&gt;'1-Input'!$B$26,E208,E208-MIN(MAX(E208,0),'P-Parametri'!$B$8*(E208+D208)))</f>
        <v>147002.0730451284</v>
      </c>
      <c r="H208" s="18">
        <f>IF($A208&gt;'1-Input'!$B$26,H207,H207-C208*(1-B208))</f>
        <v>50834.956396731985</v>
      </c>
      <c r="I208" s="11">
        <f>IF($A208&gt;'1-Input'!$B$26,0,IF(N207&lt;=0,0,MAX(0,(N207-O207)/N207)))</f>
        <v>0</v>
      </c>
      <c r="J208" s="18">
        <f>IF($A208&gt;'1-Input'!$B$26,0,(MAX(0,I176-IF($A208&gt;='1-Input'!$C$12,'1-Input'!$B$12,0))-MIN(MAX(M207,0),MAX(0,I176-IF($A208&gt;='1-Input'!$C$12,'1-Input'!$B$12,0))))*(1/(1-'P-Parametri'!$B$6*I208))+MIN(MAX(0,N207-(MAX(0,I176-IF($A208&gt;='1-Input'!$C$12,'1-Input'!$B$12,0))-MIN(MAX(M207,0),MAX(0,I176-IF($A208&gt;='1-Input'!$C$12,'1-Input'!$B$12,0))))*(1/(1-'P-Parametri'!$B$6*I208))),MAX(0,2*I176-(M207-MIN(MAX(M207,0),MAX(0,I176-IF($A208&gt;='1-Input'!$C$12,'1-Input'!$B$12,0)))))*(1/(1-'P-Parametri'!$B$6*I208))))</f>
        <v>10846.756992928691</v>
      </c>
      <c r="K208" s="18">
        <f>IF($A208&gt;'1-Input'!$B$26,M207,(M207-MAX(0,I176-IF($A208&gt;='1-Input'!$C$12,'1-Input'!$B$12,0))+J208*(1-'P-Parametri'!$B$6*I208))*(1+ROUND('3-Liquidita'!$F$11,4)))</f>
        <v>0</v>
      </c>
      <c r="L208" s="18">
        <f>IF($A208&gt;'1-Input'!$B$26,N207,(N207-J208)*(1+'5-Roberta'!$C$4))</f>
        <v>-78237.184087653688</v>
      </c>
      <c r="M208" s="18">
        <f>IF($A208&gt;'1-Input'!$B$26,K208,K208-'P-Parametri'!$B$8*(L208+K208)+MIN(MAX(L208,0),'P-Parametri'!$B$8*(L208+K208)))</f>
        <v>0</v>
      </c>
      <c r="N208" s="18">
        <f>IF($A208&gt;'1-Input'!$B$26,L208,L208-MIN(MAX(L208,0),'P-Parametri'!$B$8*(L208+K208)))</f>
        <v>-78080.709719478386</v>
      </c>
      <c r="O208" s="18">
        <f>IF($A208&gt;'1-Input'!$B$26,O207,O207-J208*(1-I208))</f>
        <v>-70301.004091904208</v>
      </c>
      <c r="P208" s="11">
        <f>IF($A208&gt;'1-Input'!$B$26,0,IF(U207&lt;=0,0,MAX(0,(U207-V207)/U207)))</f>
        <v>0.64315163073175641</v>
      </c>
      <c r="Q208" s="18">
        <f>IF($A208&gt;'1-Input'!$B$26,0,(MAX(0,P176-IF($A208&gt;='1-Input'!$C$12,'1-Input'!$B$12,0))-MIN(MAX(T207,0),MAX(0,P176-IF($A208&gt;='1-Input'!$C$12,'1-Input'!$B$12,0))))*(1/(1-'P-Parametri'!$B$6*P208))+MIN(MAX(0,U207-(MAX(0,P176-IF($A208&gt;='1-Input'!$C$12,'1-Input'!$B$12,0))-MIN(MAX(T207,0),MAX(0,P176-IF($A208&gt;='1-Input'!$C$12,'1-Input'!$B$12,0))))*(1/(1-'P-Parametri'!$B$6*P208))),MAX(0,2*P176-(T207-MIN(MAX(T207,0),MAX(0,P176-IF($A208&gt;='1-Input'!$C$12,'1-Input'!$B$12,0)))))*(1/(1-'P-Parametri'!$B$6*P208))))</f>
        <v>8632.0121071630292</v>
      </c>
      <c r="R208" s="18">
        <f>IF($A208&gt;'1-Input'!$B$26,T207,(T207-MAX(0,P176-IF($A208&gt;='1-Input'!$C$12,'1-Input'!$B$12,0))+Q208*(1-'P-Parametri'!$B$6*P208))*(1+ROUND('3-Liquidita'!$F$11,4)))</f>
        <v>36091.703549375699</v>
      </c>
      <c r="S208" s="18">
        <f>IF($A208&gt;'1-Input'!$B$26,U207,(U207-Q208)*(1+'5-Roberta'!$C$4))</f>
        <v>62634.280538569095</v>
      </c>
      <c r="T208" s="18">
        <f>IF($A208&gt;'1-Input'!$B$26,R208,R208-'P-Parametri'!$B$8*(S208+R208)+MIN(MAX(S208,0),'P-Parametri'!$B$8*(S208+R208)))</f>
        <v>36091.703549375699</v>
      </c>
      <c r="U208" s="18">
        <f>IF($A208&gt;'1-Input'!$B$26,S208,S208-MIN(MAX(S208,0),'P-Parametri'!$B$8*(S208+R208)))</f>
        <v>62436.828570393205</v>
      </c>
      <c r="V208" s="18">
        <f>IF($A208&gt;'1-Input'!$B$26,V207,V207-Q208*(1-P208))</f>
        <v>21699.942592697156</v>
      </c>
      <c r="W208" s="11">
        <f>IF($A208&gt;'1-Input'!$B$26,0,IF(AB207&lt;=0,0,MAX(0,(AB207-AC207)/AB207)))</f>
        <v>0.64346886503031742</v>
      </c>
      <c r="X208" s="18">
        <f>IF($A208&gt;'1-Input'!$B$26,0,(MAX(0,W176-IF($A208&gt;='1-Input'!$C$12,'1-Input'!$B$12,0))-MIN(MAX(AA207,0),MAX(0,W176-IF($A208&gt;='1-Input'!$C$12,'1-Input'!$B$12,0))))*(1/(1-'P-Parametri'!$B$6*W208))+MIN(MAX(0,AB207-(MAX(0,W176-IF($A208&gt;='1-Input'!$C$12,'1-Input'!$B$12,0))-MIN(MAX(AA207,0),MAX(0,W176-IF($A208&gt;='1-Input'!$C$12,'1-Input'!$B$12,0))))*(1/(1-'P-Parametri'!$B$6*W208))),MAX(0,2*W176-(AA207-MIN(MAX(AA207,0),MAX(0,W176-IF($A208&gt;='1-Input'!$C$12,'1-Input'!$B$12,0)))))*(1/(1-'P-Parametri'!$B$6*W208))))</f>
        <v>8393.5442452272673</v>
      </c>
      <c r="Y208" s="18">
        <f>IF($A208&gt;'1-Input'!$B$26,AA207,(AA207-MAX(0,W176-IF($A208&gt;='1-Input'!$C$12,'1-Input'!$B$12,0))+X208*(1-'P-Parametri'!$B$6*W208))*(1+ROUND('3-Liquidita'!$F$11,4)))</f>
        <v>35698.468794259323</v>
      </c>
      <c r="Z208" s="18">
        <f>IF($A208&gt;'1-Input'!$B$26,AB207,(AB207-X208)*(1+'5-Roberta'!$C$4))</f>
        <v>74201.655793037935</v>
      </c>
      <c r="AA208" s="18">
        <f>IF($A208&gt;'1-Input'!$B$26,Y208,Y208-'P-Parametri'!$B$8*(Z208+Y208)+MIN(MAX(Z208,0),'P-Parametri'!$B$8*(Z208+Y208)))</f>
        <v>35698.468794259323</v>
      </c>
      <c r="AB208" s="18">
        <f>IF($A208&gt;'1-Input'!$B$26,Z208,Z208-MIN(MAX(Z208,0),'P-Parametri'!$B$8*(Z208+Y208)))</f>
        <v>73981.855543863334</v>
      </c>
      <c r="AC208" s="18">
        <f>IF($A208&gt;'1-Input'!$B$26,AC207,AC207-X208*(1-W208))</f>
        <v>25684.66073448693</v>
      </c>
      <c r="AD208" s="11">
        <f>IF($A208&gt;'1-Input'!$B$26,0,IF(AI207&lt;=0,0,MAX(0,(AI207-AJ207)/AI207)))</f>
        <v>0.64348918646363495</v>
      </c>
      <c r="AE208" s="18">
        <f>IF($A208&gt;'1-Input'!$B$26,0,(MAX(0,AD176-IF($A208&gt;='1-Input'!$C$12,'1-Input'!$B$12,0))-MIN(MAX(AH207,0),MAX(0,AD176-IF($A208&gt;='1-Input'!$C$12,'1-Input'!$B$12,0))))*(1/(1-'P-Parametri'!$B$6*AD208))+MIN(MAX(0,AI207-(MAX(0,AD176-IF($A208&gt;='1-Input'!$C$12,'1-Input'!$B$12,0))-MIN(MAX(AH207,0),MAX(0,AD176-IF($A208&gt;='1-Input'!$C$12,'1-Input'!$B$12,0))))*(1/(1-'P-Parametri'!$B$6*AD208))),MAX(0,2*AD176-(AH207-MIN(MAX(AH207,0),MAX(0,AD176-IF($A208&gt;='1-Input'!$C$12,'1-Input'!$B$12,0)))))*(1/(1-'P-Parametri'!$B$6*AD208))))</f>
        <v>8376.6890783426734</v>
      </c>
      <c r="AF208" s="18">
        <f>IF($A208&gt;'1-Input'!$B$26,AH207,(AH207-MAX(0,AD176-IF($A208&gt;='1-Input'!$C$12,'1-Input'!$B$12,0))+AE208*(1-'P-Parametri'!$B$6*AD208))*(1+ROUND('3-Liquidita'!$F$11,4)))</f>
        <v>35670.686502200319</v>
      </c>
      <c r="AG208" s="18">
        <f>IF($A208&gt;'1-Input'!$B$26,AI207,(AI207-AE208)*(1+'5-Roberta'!$C$4))</f>
        <v>75018.940600173504</v>
      </c>
      <c r="AH208" s="18">
        <f>IF($A208&gt;'1-Input'!$B$26,AF208,AF208-'P-Parametri'!$B$8*(AG208+AF208)+MIN(MAX(AG208,0),'P-Parametri'!$B$8*(AG208+AF208)))</f>
        <v>35670.686502200319</v>
      </c>
      <c r="AI208" s="18">
        <f>IF($A208&gt;'1-Input'!$B$26,AG208,AG208-MIN(MAX(AG208,0),'P-Parametri'!$B$8*(AG208+AF208)))</f>
        <v>74797.561345968759</v>
      </c>
      <c r="AJ208" s="18">
        <f>IF($A208&gt;'1-Input'!$B$26,AJ207,AJ207-AE208*(1-AD208))</f>
        <v>25966.081110683597</v>
      </c>
      <c r="AK208" s="11">
        <f>IF($A208&gt;'1-Input'!$B$26,0,IF(AP207&lt;=0,0,MAX(0,(AP207-AQ207)/AP207)))</f>
        <v>0.64348923226168064</v>
      </c>
      <c r="AL208" s="18">
        <f>IF($A208&gt;'1-Input'!$B$26,0,(MAX(0,AK176-IF($A208&gt;='1-Input'!$C$12,'1-Input'!$B$12,0))-MIN(MAX(AO207,0),MAX(0,AK176-IF($A208&gt;='1-Input'!$C$12,'1-Input'!$B$12,0))))*(1/(1-'P-Parametri'!$B$6*AK208))+MIN(MAX(0,AP207-(MAX(0,AK176-IF($A208&gt;='1-Input'!$C$12,'1-Input'!$B$12,0))-MIN(MAX(AO207,0),MAX(0,AK176-IF($A208&gt;='1-Input'!$C$12,'1-Input'!$B$12,0))))*(1/(1-'P-Parametri'!$B$6*AK208))),MAX(0,2*AK176-(AO207-MIN(MAX(AO207,0),MAX(0,AK176-IF($A208&gt;='1-Input'!$C$12,'1-Input'!$B$12,0)))))*(1/(1-'P-Parametri'!$B$6*AK208))))</f>
        <v>8376.6508599452191</v>
      </c>
      <c r="AM208" s="18">
        <f>IF($A208&gt;'1-Input'!$B$26,AO207,(AO207-MAX(0,AK176-IF($A208&gt;='1-Input'!$C$12,'1-Input'!$B$12,0))+AL208*(1-'P-Parametri'!$B$6*AK208))*(1+ROUND('3-Liquidita'!$F$11,4)))</f>
        <v>35670.623508598648</v>
      </c>
      <c r="AN208" s="18">
        <f>IF($A208&gt;'1-Input'!$B$26,AP207,(AP207-AL208)*(1+'5-Roberta'!$C$4))</f>
        <v>75020.793718612869</v>
      </c>
      <c r="AO208" s="18">
        <f>IF($A208&gt;'1-Input'!$B$26,AM208,AM208-'P-Parametri'!$B$8*(AN208+AM208)+MIN(MAX(AN208,0),'P-Parametri'!$B$8*(AN208+AM208)))</f>
        <v>35670.623508598648</v>
      </c>
      <c r="AP208" s="18">
        <f>IF($A208&gt;'1-Input'!$B$26,AN208,AN208-MIN(MAX(AN208,0),'P-Parametri'!$B$8*(AN208+AM208)))</f>
        <v>74799.410884158453</v>
      </c>
      <c r="AQ208" s="18">
        <f>IF($A208&gt;'1-Input'!$B$26,AQ207,AQ207-AL208*(1-AK208))</f>
        <v>25966.719189282292</v>
      </c>
    </row>
    <row r="209" spans="1:43">
      <c r="A209" s="10">
        <f>31</f>
        <v>31</v>
      </c>
      <c r="B209" s="11">
        <f>IF($A209&gt;'1-Input'!$B$26,0,IF(G208&lt;=0,0,MAX(0,(G208-H208)/G208)))</f>
        <v>0.6541888468394178</v>
      </c>
      <c r="C209" s="18">
        <f>IF($A209&gt;'1-Input'!$B$26,0,(MAX(0,B176-IF($A209&gt;='1-Input'!$C$12,'1-Input'!$B$12,0))-MIN(MAX(F208,0),MAX(0,B176-IF($A209&gt;='1-Input'!$C$12,'1-Input'!$B$12,0))))*(1/(1-'P-Parametri'!$B$6*B209))+MIN(MAX(0,G208-(MAX(0,B176-IF($A209&gt;='1-Input'!$C$12,'1-Input'!$B$12,0))-MIN(MAX(F208,0),MAX(0,B176-IF($A209&gt;='1-Input'!$C$12,'1-Input'!$B$12,0))))*(1/(1-'P-Parametri'!$B$6*B209))),MAX(0,2*B176-(F208-MIN(MAX(F208,0),MAX(0,B176-IF($A209&gt;='1-Input'!$C$12,'1-Input'!$B$12,0)))))*(1/(1-'P-Parametri'!$B$6*B209))))</f>
        <v>6903.3733786216681</v>
      </c>
      <c r="D209" s="18">
        <f>IF($A209&gt;'1-Input'!$B$26,F208,(F208-MAX(0,B176-IF($A209&gt;='1-Input'!$C$12,'1-Input'!$B$12,0))+C209*(1-'P-Parametri'!$B$6*B209))*(1+ROUND('3-Liquidita'!$F$11,4)))</f>
        <v>33211.981131419976</v>
      </c>
      <c r="E209" s="18">
        <f>IF($A209&gt;'1-Input'!$B$26,G208,(G208-C209)*(1+'5-Roberta'!$C$4))</f>
        <v>144301.66065650195</v>
      </c>
      <c r="F209" s="18">
        <f>IF($A209&gt;'1-Input'!$B$26,D209,D209-'P-Parametri'!$B$8*(E209+D209)+MIN(MAX(E209,0),'P-Parametri'!$B$8*(E209+D209)))</f>
        <v>33211.981131419976</v>
      </c>
      <c r="G209" s="18">
        <f>IF($A209&gt;'1-Input'!$B$26,E209,E209-MIN(MAX(E209,0),'P-Parametri'!$B$8*(E209+D209)))</f>
        <v>143946.6333729261</v>
      </c>
      <c r="H209" s="18">
        <f>IF($A209&gt;'1-Input'!$B$26,H208,H208-C209*(1-B209))</f>
        <v>48447.692887972764</v>
      </c>
      <c r="I209" s="11">
        <f>IF($A209&gt;'1-Input'!$B$26,0,IF(N208&lt;=0,0,MAX(0,(N208-O208)/N208)))</f>
        <v>0</v>
      </c>
      <c r="J209" s="18">
        <f>IF($A209&gt;'1-Input'!$B$26,0,(MAX(0,I176-IF($A209&gt;='1-Input'!$C$12,'1-Input'!$B$12,0))-MIN(MAX(M208,0),MAX(0,I176-IF($A209&gt;='1-Input'!$C$12,'1-Input'!$B$12,0))))*(1/(1-'P-Parametri'!$B$6*I209))+MIN(MAX(0,N208-(MAX(0,I176-IF($A209&gt;='1-Input'!$C$12,'1-Input'!$B$12,0))-MIN(MAX(M208,0),MAX(0,I176-IF($A209&gt;='1-Input'!$C$12,'1-Input'!$B$12,0))))*(1/(1-'P-Parametri'!$B$6*I209))),MAX(0,2*I176-(M208-MIN(MAX(M208,0),MAX(0,I176-IF($A209&gt;='1-Input'!$C$12,'1-Input'!$B$12,0)))))*(1/(1-'P-Parametri'!$B$6*I209))))</f>
        <v>10846.756992928691</v>
      </c>
      <c r="K209" s="18">
        <f>IF($A209&gt;'1-Input'!$B$26,M208,(M208-MAX(0,I176-IF($A209&gt;='1-Input'!$C$12,'1-Input'!$B$12,0))+J209*(1-'P-Parametri'!$B$6*I209))*(1+ROUND('3-Liquidita'!$F$11,4)))</f>
        <v>0</v>
      </c>
      <c r="L209" s="18">
        <f>IF($A209&gt;'1-Input'!$B$26,N208,(N208-J209)*(1+'5-Roberta'!$C$4))</f>
        <v>-91595.290713779279</v>
      </c>
      <c r="M209" s="18">
        <f>IF($A209&gt;'1-Input'!$B$26,K209,K209-'P-Parametri'!$B$8*(L209+K209)+MIN(MAX(L209,0),'P-Parametri'!$B$8*(L209+K209)))</f>
        <v>0</v>
      </c>
      <c r="N209" s="18">
        <f>IF($A209&gt;'1-Input'!$B$26,L209,L209-MIN(MAX(L209,0),'P-Parametri'!$B$8*(L209+K209)))</f>
        <v>-91412.100132351727</v>
      </c>
      <c r="O209" s="18">
        <f>IF($A209&gt;'1-Input'!$B$26,O208,O208-J209*(1-I209))</f>
        <v>-81147.761084832891</v>
      </c>
      <c r="P209" s="11">
        <f>IF($A209&gt;'1-Input'!$B$26,0,IF(U208&lt;=0,0,MAX(0,(U208-V208)/U208)))</f>
        <v>0.65244963446162263</v>
      </c>
      <c r="Q209" s="18">
        <f>IF($A209&gt;'1-Input'!$B$26,0,(MAX(0,P176-IF($A209&gt;='1-Input'!$C$12,'1-Input'!$B$12,0))-MIN(MAX(T208,0),MAX(0,P176-IF($A209&gt;='1-Input'!$C$12,'1-Input'!$B$12,0))))*(1/(1-'P-Parametri'!$B$6*P209))+MIN(MAX(0,U208-(MAX(0,P176-IF($A209&gt;='1-Input'!$C$12,'1-Input'!$B$12,0))-MIN(MAX(T208,0),MAX(0,P176-IF($A209&gt;='1-Input'!$C$12,'1-Input'!$B$12,0))))*(1/(1-'P-Parametri'!$B$6*P209))),MAX(0,2*P176-(T208-MIN(MAX(T208,0),MAX(0,P176-IF($A209&gt;='1-Input'!$C$12,'1-Input'!$B$12,0)))))*(1/(1-'P-Parametri'!$B$6*P209))))</f>
        <v>8657.1429506753429</v>
      </c>
      <c r="R209" s="18">
        <f>IF($A209&gt;'1-Input'!$B$26,T208,(T208-MAX(0,P176-IF($A209&gt;='1-Input'!$C$12,'1-Input'!$B$12,0))+Q209*(1-'P-Parametri'!$B$6*P209))*(1+ROUND('3-Liquidita'!$F$11,4)))</f>
        <v>36091.703549375699</v>
      </c>
      <c r="S209" s="18">
        <f>IF($A209&gt;'1-Input'!$B$26,U208,(U208-Q209)*(1+'5-Roberta'!$C$4))</f>
        <v>55393.076188309402</v>
      </c>
      <c r="T209" s="18">
        <f>IF($A209&gt;'1-Input'!$B$26,R209,R209-'P-Parametri'!$B$8*(S209+R209)+MIN(MAX(S209,0),'P-Parametri'!$B$8*(S209+R209)))</f>
        <v>36091.703549375699</v>
      </c>
      <c r="U209" s="18">
        <f>IF($A209&gt;'1-Input'!$B$26,S209,S209-MIN(MAX(S209,0),'P-Parametri'!$B$8*(S209+R209)))</f>
        <v>55210.10662883403</v>
      </c>
      <c r="V209" s="18">
        <f>IF($A209&gt;'1-Input'!$B$26,V208,V208-Q209*(1-P209))</f>
        <v>18691.149395671953</v>
      </c>
      <c r="W209" s="11">
        <f>IF($A209&gt;'1-Input'!$B$26,0,IF(AB208&lt;=0,0,MAX(0,(AB208-AC208)/AB208)))</f>
        <v>0.65282486434449227</v>
      </c>
      <c r="X209" s="18">
        <f>IF($A209&gt;'1-Input'!$B$26,0,(MAX(0,W176-IF($A209&gt;='1-Input'!$C$12,'1-Input'!$B$12,0))-MIN(MAX(AA208,0),MAX(0,W176-IF($A209&gt;='1-Input'!$C$12,'1-Input'!$B$12,0))))*(1/(1-'P-Parametri'!$B$6*W209))+MIN(MAX(0,AB208-(MAX(0,W176-IF($A209&gt;='1-Input'!$C$12,'1-Input'!$B$12,0))-MIN(MAX(AA208,0),MAX(0,W176-IF($A209&gt;='1-Input'!$C$12,'1-Input'!$B$12,0))))*(1/(1-'P-Parametri'!$B$6*W209))),MAX(0,2*W176-(AA208-MIN(MAX(AA208,0),MAX(0,W176-IF($A209&gt;='1-Input'!$C$12,'1-Input'!$B$12,0)))))*(1/(1-'P-Parametri'!$B$6*W209))))</f>
        <v>8418.1361349602648</v>
      </c>
      <c r="Y209" s="18">
        <f>IF($A209&gt;'1-Input'!$B$26,AA208,(AA208-MAX(0,W176-IF($A209&gt;='1-Input'!$C$12,'1-Input'!$B$12,0))+X209*(1-'P-Parametri'!$B$6*W209))*(1+ROUND('3-Liquidita'!$F$11,4)))</f>
        <v>35698.468794259323</v>
      </c>
      <c r="Z209" s="18">
        <f>IF($A209&gt;'1-Input'!$B$26,AB208,(AB208-X209)*(1+'5-Roberta'!$C$4))</f>
        <v>67530.630991170154</v>
      </c>
      <c r="AA209" s="18">
        <f>IF($A209&gt;'1-Input'!$B$26,Y209,Y209-'P-Parametri'!$B$8*(Z209+Y209)+MIN(MAX(Z209,0),'P-Parametri'!$B$8*(Z209+Y209)))</f>
        <v>35698.468794259323</v>
      </c>
      <c r="AB209" s="18">
        <f>IF($A209&gt;'1-Input'!$B$26,Z209,Z209-MIN(MAX(Z209,0),'P-Parametri'!$B$8*(Z209+Y209)))</f>
        <v>67324.172791599296</v>
      </c>
      <c r="AC209" s="18">
        <f>IF($A209&gt;'1-Input'!$B$26,AC208,AC208-X209*(1-W209))</f>
        <v>22762.093179865569</v>
      </c>
      <c r="AD209" s="11">
        <f>IF($A209&gt;'1-Input'!$B$26,0,IF(AI208&lt;=0,0,MAX(0,(AI208-AJ208)/AI208)))</f>
        <v>0.65284856025479165</v>
      </c>
      <c r="AE209" s="18">
        <f>IF($A209&gt;'1-Input'!$B$26,0,(MAX(0,AD176-IF($A209&gt;='1-Input'!$C$12,'1-Input'!$B$12,0))-MIN(MAX(AH208,0),MAX(0,AD176-IF($A209&gt;='1-Input'!$C$12,'1-Input'!$B$12,0))))*(1/(1-'P-Parametri'!$B$6*AD209))+MIN(MAX(0,AI208-(MAX(0,AD176-IF($A209&gt;='1-Input'!$C$12,'1-Input'!$B$12,0))-MIN(MAX(AH208,0),MAX(0,AD176-IF($A209&gt;='1-Input'!$C$12,'1-Input'!$B$12,0))))*(1/(1-'P-Parametri'!$B$6*AD209))),MAX(0,2*AD176-(AH208-MIN(MAX(AH208,0),MAX(0,AD176-IF($A209&gt;='1-Input'!$C$12,'1-Input'!$B$12,0)))))*(1/(1-'P-Parametri'!$B$6*AD209))))</f>
        <v>8401.2406188930599</v>
      </c>
      <c r="AF209" s="18">
        <f>IF($A209&gt;'1-Input'!$B$26,AH208,(AH208-MAX(0,AD176-IF($A209&gt;='1-Input'!$C$12,'1-Input'!$B$12,0))+AE209*(1-'P-Parametri'!$B$6*AD209))*(1+ROUND('3-Liquidita'!$F$11,4)))</f>
        <v>35670.686502200319</v>
      </c>
      <c r="AG209" s="18">
        <f>IF($A209&gt;'1-Input'!$B$26,AI208,(AI208-AE209)*(1+'5-Roberta'!$C$4))</f>
        <v>68388.210348887966</v>
      </c>
      <c r="AH209" s="18">
        <f>IF($A209&gt;'1-Input'!$B$26,AF209,AF209-'P-Parametri'!$B$8*(AG209+AF209)+MIN(MAX(AG209,0),'P-Parametri'!$B$8*(AG209+AF209)))</f>
        <v>35670.686502200319</v>
      </c>
      <c r="AI209" s="18">
        <f>IF($A209&gt;'1-Input'!$B$26,AG209,AG209-MIN(MAX(AG209,0),'P-Parametri'!$B$8*(AG209+AF209)))</f>
        <v>68180.092555185794</v>
      </c>
      <c r="AJ209" s="18">
        <f>IF($A209&gt;'1-Input'!$B$26,AJ208,AJ208-AE209*(1-AD209))</f>
        <v>23049.578334188947</v>
      </c>
      <c r="AK209" s="11">
        <f>IF($A209&gt;'1-Input'!$B$26,0,IF(AP208&lt;=0,0,MAX(0,(AP208-AQ208)/AP208)))</f>
        <v>0.65284861361412538</v>
      </c>
      <c r="AL209" s="18">
        <f>IF($A209&gt;'1-Input'!$B$26,0,(MAX(0,AK176-IF($A209&gt;='1-Input'!$C$12,'1-Input'!$B$12,0))-MIN(MAX(AO208,0),MAX(0,AK176-IF($A209&gt;='1-Input'!$C$12,'1-Input'!$B$12,0))))*(1/(1-'P-Parametri'!$B$6*AK209))+MIN(MAX(0,AP208-(MAX(0,AK176-IF($A209&gt;='1-Input'!$C$12,'1-Input'!$B$12,0))-MIN(MAX(AO208,0),MAX(0,AK176-IF($A209&gt;='1-Input'!$C$12,'1-Input'!$B$12,0))))*(1/(1-'P-Parametri'!$B$6*AK209))),MAX(0,2*AK176-(AO208-MIN(MAX(AO208,0),MAX(0,AK176-IF($A209&gt;='1-Input'!$C$12,'1-Input'!$B$12,0)))))*(1/(1-'P-Parametri'!$B$6*AK209))))</f>
        <v>8401.2023087248763</v>
      </c>
      <c r="AM209" s="18">
        <f>IF($A209&gt;'1-Input'!$B$26,AO208,(AO208-MAX(0,AK176-IF($A209&gt;='1-Input'!$C$12,'1-Input'!$B$12,0))+AL209*(1-'P-Parametri'!$B$6*AK209))*(1+ROUND('3-Liquidita'!$F$11,4)))</f>
        <v>35670.623508598648</v>
      </c>
      <c r="AN209" s="18">
        <f>IF($A209&gt;'1-Input'!$B$26,AP208,(AP208-AL209)*(1+'5-Roberta'!$C$4))</f>
        <v>68390.154832696586</v>
      </c>
      <c r="AO209" s="18">
        <f>IF($A209&gt;'1-Input'!$B$26,AM209,AM209-'P-Parametri'!$B$8*(AN209+AM209)+MIN(MAX(AN209,0),'P-Parametri'!$B$8*(AN209+AM209)))</f>
        <v>35670.623508598648</v>
      </c>
      <c r="AP209" s="18">
        <f>IF($A209&gt;'1-Input'!$B$26,AN209,AN209-MIN(MAX(AN209,0),'P-Parametri'!$B$8*(AN209+AM209)))</f>
        <v>68182.033276014001</v>
      </c>
      <c r="AQ209" s="18">
        <f>IF($A209&gt;'1-Input'!$B$26,AQ208,AQ208-AL209*(1-AK209))</f>
        <v>23050.230160500239</v>
      </c>
    </row>
    <row r="210" spans="1:43">
      <c r="A210" s="10">
        <f>32</f>
        <v>32</v>
      </c>
      <c r="B210" s="11">
        <f>IF($A210&gt;'1-Input'!$B$26,0,IF(G209&lt;=0,0,MAX(0,(G209-H209)/G209)))</f>
        <v>0.66343295600072749</v>
      </c>
      <c r="C210" s="18">
        <f>IF($A210&gt;'1-Input'!$B$26,0,(MAX(0,B176-IF($A210&gt;='1-Input'!$C$12,'1-Input'!$B$12,0))-MIN(MAX(F209,0),MAX(0,B176-IF($A210&gt;='1-Input'!$C$12,'1-Input'!$B$12,0))))*(1/(1-'P-Parametri'!$B$6*B210))+MIN(MAX(0,G209-(MAX(0,B176-IF($A210&gt;='1-Input'!$C$12,'1-Input'!$B$12,0))-MIN(MAX(F209,0),MAX(0,B176-IF($A210&gt;='1-Input'!$C$12,'1-Input'!$B$12,0))))*(1/(1-'P-Parametri'!$B$6*B210))),MAX(0,2*B176-(F209-MIN(MAX(F209,0),MAX(0,B176-IF($A210&gt;='1-Input'!$C$12,'1-Input'!$B$12,0)))))*(1/(1-'P-Parametri'!$B$6*B210))))</f>
        <v>6923.4240017506672</v>
      </c>
      <c r="D210" s="18">
        <f>IF($A210&gt;'1-Input'!$B$26,F209,(F209-MAX(0,B176-IF($A210&gt;='1-Input'!$C$12,'1-Input'!$B$12,0))+C210*(1-'P-Parametri'!$B$6*B210))*(1+ROUND('3-Liquidita'!$F$11,4)))</f>
        <v>33211.981131419976</v>
      </c>
      <c r="E210" s="18">
        <f>IF($A210&gt;'1-Input'!$B$26,G209,(G209-C210)*(1+'5-Roberta'!$C$4))</f>
        <v>141133.9056523107</v>
      </c>
      <c r="F210" s="18">
        <f>IF($A210&gt;'1-Input'!$B$26,D210,D210-'P-Parametri'!$B$8*(E210+D210)+MIN(MAX(E210,0),'P-Parametri'!$B$8*(E210+D210)))</f>
        <v>33211.981131419976</v>
      </c>
      <c r="G210" s="18">
        <f>IF($A210&gt;'1-Input'!$B$26,E210,E210-MIN(MAX(E210,0),'P-Parametri'!$B$8*(E210+D210)))</f>
        <v>140785.21387874323</v>
      </c>
      <c r="H210" s="18">
        <f>IF($A210&gt;'1-Input'!$B$26,H209,H209-C210*(1-B210))</f>
        <v>46117.496537349929</v>
      </c>
      <c r="I210" s="11">
        <f>IF($A210&gt;'1-Input'!$B$26,0,IF(N209&lt;=0,0,MAX(0,(N209-O209)/N209)))</f>
        <v>0</v>
      </c>
      <c r="J210" s="18">
        <f>IF($A210&gt;'1-Input'!$B$26,0,(MAX(0,I176-IF($A210&gt;='1-Input'!$C$12,'1-Input'!$B$12,0))-MIN(MAX(M209,0),MAX(0,I176-IF($A210&gt;='1-Input'!$C$12,'1-Input'!$B$12,0))))*(1/(1-'P-Parametri'!$B$6*I210))+MIN(MAX(0,N209-(MAX(0,I176-IF($A210&gt;='1-Input'!$C$12,'1-Input'!$B$12,0))-MIN(MAX(M209,0),MAX(0,I176-IF($A210&gt;='1-Input'!$C$12,'1-Input'!$B$12,0))))*(1/(1-'P-Parametri'!$B$6*I210))),MAX(0,2*I176-(M209-MIN(MAX(M209,0),MAX(0,I176-IF($A210&gt;='1-Input'!$C$12,'1-Input'!$B$12,0)))))*(1/(1-'P-Parametri'!$B$6*I210))))</f>
        <v>10846.756992928691</v>
      </c>
      <c r="K210" s="18">
        <f>IF($A210&gt;'1-Input'!$B$26,M209,(M209-MAX(0,I176-IF($A210&gt;='1-Input'!$C$12,'1-Input'!$B$12,0))+J210*(1-'P-Parametri'!$B$6*I210))*(1+ROUND('3-Liquidita'!$F$11,4)))</f>
        <v>0</v>
      </c>
      <c r="L210" s="18">
        <f>IF($A210&gt;'1-Input'!$B$26,N209,(N209-J210)*(1+'5-Roberta'!$C$4))</f>
        <v>-105326.62283903884</v>
      </c>
      <c r="M210" s="18">
        <f>IF($A210&gt;'1-Input'!$B$26,K210,K210-'P-Parametri'!$B$8*(L210+K210)+MIN(MAX(L210,0),'P-Parametri'!$B$8*(L210+K210)))</f>
        <v>0</v>
      </c>
      <c r="N210" s="18">
        <f>IF($A210&gt;'1-Input'!$B$26,L210,L210-MIN(MAX(L210,0),'P-Parametri'!$B$8*(L210+K210)))</f>
        <v>-105115.96959336076</v>
      </c>
      <c r="O210" s="18">
        <f>IF($A210&gt;'1-Input'!$B$26,O209,O209-J210*(1-I210))</f>
        <v>-91994.518077761575</v>
      </c>
      <c r="P210" s="11">
        <f>IF($A210&gt;'1-Input'!$B$26,0,IF(U209&lt;=0,0,MAX(0,(U209-V209)/U209)))</f>
        <v>0.66145420581545633</v>
      </c>
      <c r="Q210" s="18">
        <f>IF($A210&gt;'1-Input'!$B$26,0,(MAX(0,P176-IF($A210&gt;='1-Input'!$C$12,'1-Input'!$B$12,0))-MIN(MAX(T209,0),MAX(0,P176-IF($A210&gt;='1-Input'!$C$12,'1-Input'!$B$12,0))))*(1/(1-'P-Parametri'!$B$6*P210))+MIN(MAX(0,U209-(MAX(0,P176-IF($A210&gt;='1-Input'!$C$12,'1-Input'!$B$12,0))-MIN(MAX(T209,0),MAX(0,P176-IF($A210&gt;='1-Input'!$C$12,'1-Input'!$B$12,0))))*(1/(1-'P-Parametri'!$B$6*P210))),MAX(0,2*P176-(T209-MIN(MAX(T209,0),MAX(0,P176-IF($A210&gt;='1-Input'!$C$12,'1-Input'!$B$12,0)))))*(1/(1-'P-Parametri'!$B$6*P210))))</f>
        <v>8681.6205687314723</v>
      </c>
      <c r="R210" s="18">
        <f>IF($A210&gt;'1-Input'!$B$26,T209,(T209-MAX(0,P176-IF($A210&gt;='1-Input'!$C$12,'1-Input'!$B$12,0))+Q210*(1-'P-Parametri'!$B$6*P210))*(1+ROUND('3-Liquidita'!$F$11,4)))</f>
        <v>36091.703549375699</v>
      </c>
      <c r="S210" s="18">
        <f>IF($A210&gt;'1-Input'!$B$26,U209,(U209-Q210)*(1+'5-Roberta'!$C$4))</f>
        <v>47924.340641905634</v>
      </c>
      <c r="T210" s="18">
        <f>IF($A210&gt;'1-Input'!$B$26,R210,R210-'P-Parametri'!$B$8*(S210+R210)+MIN(MAX(S210,0),'P-Parametri'!$B$8*(S210+R210)))</f>
        <v>36091.703549375699</v>
      </c>
      <c r="U210" s="18">
        <f>IF($A210&gt;'1-Input'!$B$26,S210,S210-MIN(MAX(S210,0),'P-Parametri'!$B$8*(S210+R210)))</f>
        <v>47756.308553523071</v>
      </c>
      <c r="V210" s="18">
        <f>IF($A210&gt;'1-Input'!$B$26,V209,V209-Q210*(1-P210))</f>
        <v>15752.023265421887</v>
      </c>
      <c r="W210" s="11">
        <f>IF($A210&gt;'1-Input'!$B$26,0,IF(AB209&lt;=0,0,MAX(0,(AB209-AC209)/AB209)))</f>
        <v>0.66190311390345347</v>
      </c>
      <c r="X210" s="18">
        <f>IF($A210&gt;'1-Input'!$B$26,0,(MAX(0,W176-IF($A210&gt;='1-Input'!$C$12,'1-Input'!$B$12,0))-MIN(MAX(AA209,0),MAX(0,W176-IF($A210&gt;='1-Input'!$C$12,'1-Input'!$B$12,0))))*(1/(1-'P-Parametri'!$B$6*W210))+MIN(MAX(0,AB209-(MAX(0,W176-IF($A210&gt;='1-Input'!$C$12,'1-Input'!$B$12,0))-MIN(MAX(AA209,0),MAX(0,W176-IF($A210&gt;='1-Input'!$C$12,'1-Input'!$B$12,0))))*(1/(1-'P-Parametri'!$B$6*W210))),MAX(0,2*W176-(AA209-MIN(MAX(AA209,0),MAX(0,W176-IF($A210&gt;='1-Input'!$C$12,'1-Input'!$B$12,0)))))*(1/(1-'P-Parametri'!$B$6*W210))))</f>
        <v>8442.1361108040219</v>
      </c>
      <c r="Y210" s="18">
        <f>IF($A210&gt;'1-Input'!$B$26,AA209,(AA209-MAX(0,W176-IF($A210&gt;='1-Input'!$C$12,'1-Input'!$B$12,0))+X210*(1-'P-Parametri'!$B$6*W210))*(1+ROUND('3-Liquidita'!$F$11,4)))</f>
        <v>35698.468794259323</v>
      </c>
      <c r="Z210" s="18">
        <f>IF($A210&gt;'1-Input'!$B$26,AB209,(AB209-X210)*(1+'5-Roberta'!$C$4))</f>
        <v>60648.497781219136</v>
      </c>
      <c r="AA210" s="18">
        <f>IF($A210&gt;'1-Input'!$B$26,Y210,Y210-'P-Parametri'!$B$8*(Z210+Y210)+MIN(MAX(Z210,0),'P-Parametri'!$B$8*(Z210+Y210)))</f>
        <v>35698.468794259323</v>
      </c>
      <c r="AB210" s="18">
        <f>IF($A210&gt;'1-Input'!$B$26,Z210,Z210-MIN(MAX(Z210,0),'P-Parametri'!$B$8*(Z210+Y210)))</f>
        <v>60455.803848068179</v>
      </c>
      <c r="AC210" s="18">
        <f>IF($A210&gt;'1-Input'!$B$26,AC209,AC209-X210*(1-W210))</f>
        <v>19907.833248799521</v>
      </c>
      <c r="AD210" s="11">
        <f>IF($A210&gt;'1-Input'!$B$26,0,IF(AI209&lt;=0,0,MAX(0,(AI209-AJ209)/AI209)))</f>
        <v>0.66193096151149489</v>
      </c>
      <c r="AE210" s="18">
        <f>IF($A210&gt;'1-Input'!$B$26,0,(MAX(0,AD176-IF($A210&gt;='1-Input'!$C$12,'1-Input'!$B$12,0))-MIN(MAX(AH209,0),MAX(0,AD176-IF($A210&gt;='1-Input'!$C$12,'1-Input'!$B$12,0))))*(1/(1-'P-Parametri'!$B$6*AD210))+MIN(MAX(0,AI209-(MAX(0,AD176-IF($A210&gt;='1-Input'!$C$12,'1-Input'!$B$12,0))-MIN(MAX(AH209,0),MAX(0,AD176-IF($A210&gt;='1-Input'!$C$12,'1-Input'!$B$12,0))))*(1/(1-'P-Parametri'!$B$6*AD210))),MAX(0,2*AD176-(AH209-MIN(MAX(AH209,0),MAX(0,AD176-IF($A210&gt;='1-Input'!$C$12,'1-Input'!$B$12,0)))))*(1/(1-'P-Parametri'!$B$6*AD210))))</f>
        <v>8425.2035891747291</v>
      </c>
      <c r="AF210" s="18">
        <f>IF($A210&gt;'1-Input'!$B$26,AH209,(AH209-MAX(0,AD176-IF($A210&gt;='1-Input'!$C$12,'1-Input'!$B$12,0))+AE210*(1-'P-Parametri'!$B$6*AD210))*(1+ROUND('3-Liquidita'!$F$11,4)))</f>
        <v>35670.686502200319</v>
      </c>
      <c r="AG210" s="18">
        <f>IF($A210&gt;'1-Input'!$B$26,AI209,(AI209-AE210)*(1+'5-Roberta'!$C$4))</f>
        <v>61547.5356349914</v>
      </c>
      <c r="AH210" s="18">
        <f>IF($A210&gt;'1-Input'!$B$26,AF210,AF210-'P-Parametri'!$B$8*(AG210+AF210)+MIN(MAX(AG210,0),'P-Parametri'!$B$8*(AG210+AF210)))</f>
        <v>35670.686502200319</v>
      </c>
      <c r="AI210" s="18">
        <f>IF($A210&gt;'1-Input'!$B$26,AG210,AG210-MIN(MAX(AG210,0),'P-Parametri'!$B$8*(AG210+AF210)))</f>
        <v>61353.099190717017</v>
      </c>
      <c r="AJ210" s="18">
        <f>IF($A210&gt;'1-Input'!$B$26,AJ209,AJ209-AE210*(1-AD210))</f>
        <v>20201.277857726745</v>
      </c>
      <c r="AK210" s="11">
        <f>IF($A210&gt;'1-Input'!$B$26,0,IF(AP209&lt;=0,0,MAX(0,(AP209-AQ209)/AP209)))</f>
        <v>0.66193102415722227</v>
      </c>
      <c r="AL210" s="18">
        <f>IF($A210&gt;'1-Input'!$B$26,0,(MAX(0,AK176-IF($A210&gt;='1-Input'!$C$12,'1-Input'!$B$12,0))-MIN(MAX(AO209,0),MAX(0,AK176-IF($A210&gt;='1-Input'!$C$12,'1-Input'!$B$12,0))))*(1/(1-'P-Parametri'!$B$6*AK210))+MIN(MAX(0,AP209-(MAX(0,AK176-IF($A210&gt;='1-Input'!$C$12,'1-Input'!$B$12,0))-MIN(MAX(AO209,0),MAX(0,AK176-IF($A210&gt;='1-Input'!$C$12,'1-Input'!$B$12,0))))*(1/(1-'P-Parametri'!$B$6*AK210))),MAX(0,2*AK176-(AO209-MIN(MAX(AO209,0),MAX(0,AK176-IF($A210&gt;='1-Input'!$C$12,'1-Input'!$B$12,0)))))*(1/(1-'P-Parametri'!$B$6*AK210))))</f>
        <v>8425.1651947064565</v>
      </c>
      <c r="AM210" s="18">
        <f>IF($A210&gt;'1-Input'!$B$26,AO209,(AO209-MAX(0,AK176-IF($A210&gt;='1-Input'!$C$12,'1-Input'!$B$12,0))+AL210*(1-'P-Parametri'!$B$6*AK210))*(1+ROUND('3-Liquidita'!$F$11,4)))</f>
        <v>35670.623508598648</v>
      </c>
      <c r="AN210" s="18">
        <f>IF($A210&gt;'1-Input'!$B$26,AP209,(AP209-AL210)*(1+'5-Roberta'!$C$4))</f>
        <v>61549.574123746774</v>
      </c>
      <c r="AO210" s="18">
        <f>IF($A210&gt;'1-Input'!$B$26,AM210,AM210-'P-Parametri'!$B$8*(AN210+AM210)+MIN(MAX(AN210,0),'P-Parametri'!$B$8*(AN210+AM210)))</f>
        <v>35670.623508598648</v>
      </c>
      <c r="AP210" s="18">
        <f>IF($A210&gt;'1-Input'!$B$26,AN210,AN210-MIN(MAX(AN210,0),'P-Parametri'!$B$8*(AN210+AM210)))</f>
        <v>61355.133728482084</v>
      </c>
      <c r="AQ210" s="18">
        <f>IF($A210&gt;'1-Input'!$B$26,AQ209,AQ209-AL210*(1-AK210))</f>
        <v>20201.94319181961</v>
      </c>
    </row>
    <row r="211" spans="1:43">
      <c r="A211" s="10">
        <f>33</f>
        <v>33</v>
      </c>
      <c r="B211" s="11">
        <f>IF($A211&gt;'1-Input'!$B$26,0,IF(G210&lt;=0,0,MAX(0,(G210-H210)/G210)))</f>
        <v>0.67242656194655193</v>
      </c>
      <c r="C211" s="18">
        <f>IF($A211&gt;'1-Input'!$B$26,0,(MAX(0,B176-IF($A211&gt;='1-Input'!$C$12,'1-Input'!$B$12,0))-MIN(MAX(F210,0),MAX(0,B176-IF($A211&gt;='1-Input'!$C$12,'1-Input'!$B$12,0))))*(1/(1-'P-Parametri'!$B$6*B211))+MIN(MAX(0,G210-(MAX(0,B176-IF($A211&gt;='1-Input'!$C$12,'1-Input'!$B$12,0))-MIN(MAX(F210,0),MAX(0,B176-IF($A211&gt;='1-Input'!$C$12,'1-Input'!$B$12,0))))*(1/(1-'P-Parametri'!$B$6*B211))),MAX(0,2*B176-(F210-MIN(MAX(F210,0),MAX(0,B176-IF($A211&gt;='1-Input'!$C$12,'1-Input'!$B$12,0)))))*(1/(1-'P-Parametri'!$B$6*B211))))</f>
        <v>6943.0433772330707</v>
      </c>
      <c r="D211" s="18">
        <f>IF($A211&gt;'1-Input'!$B$26,F210,(F210-MAX(0,B176-IF($A211&gt;='1-Input'!$C$12,'1-Input'!$B$12,0))+C211*(1-'P-Parametri'!$B$6*B211))*(1+ROUND('3-Liquidita'!$F$11,4)))</f>
        <v>33211.981131419976</v>
      </c>
      <c r="E211" s="18">
        <f>IF($A211&gt;'1-Input'!$B$26,G210,(G210-C211)*(1+'5-Roberta'!$C$4))</f>
        <v>137857.43561655548</v>
      </c>
      <c r="F211" s="18">
        <f>IF($A211&gt;'1-Input'!$B$26,D211,D211-'P-Parametri'!$B$8*(E211+D211)+MIN(MAX(E211,0),'P-Parametri'!$B$8*(E211+D211)))</f>
        <v>33211.981131419976</v>
      </c>
      <c r="G211" s="18">
        <f>IF($A211&gt;'1-Input'!$B$26,E211,E211-MIN(MAX(E211,0),'P-Parametri'!$B$8*(E211+D211)))</f>
        <v>137515.29678305952</v>
      </c>
      <c r="H211" s="18">
        <f>IF($A211&gt;'1-Input'!$B$26,H210,H210-C211*(1-B211))</f>
        <v>43843.13994771547</v>
      </c>
      <c r="I211" s="11">
        <f>IF($A211&gt;'1-Input'!$B$26,0,IF(N210&lt;=0,0,MAX(0,(N210-O210)/N210)))</f>
        <v>0</v>
      </c>
      <c r="J211" s="18">
        <f>IF($A211&gt;'1-Input'!$B$26,0,(MAX(0,I176-IF($A211&gt;='1-Input'!$C$12,'1-Input'!$B$12,0))-MIN(MAX(M210,0),MAX(0,I176-IF($A211&gt;='1-Input'!$C$12,'1-Input'!$B$12,0))))*(1/(1-'P-Parametri'!$B$6*I211))+MIN(MAX(0,N210-(MAX(0,I176-IF($A211&gt;='1-Input'!$C$12,'1-Input'!$B$12,0))-MIN(MAX(M210,0),MAX(0,I176-IF($A211&gt;='1-Input'!$C$12,'1-Input'!$B$12,0))))*(1/(1-'P-Parametri'!$B$6*I211))),MAX(0,2*I176-(M210-MIN(MAX(M210,0),MAX(0,I176-IF($A211&gt;='1-Input'!$C$12,'1-Input'!$B$12,0)))))*(1/(1-'P-Parametri'!$B$6*I211))))</f>
        <v>10846.756992928691</v>
      </c>
      <c r="K211" s="18">
        <f>IF($A211&gt;'1-Input'!$B$26,M210,(M210-MAX(0,I176-IF($A211&gt;='1-Input'!$C$12,'1-Input'!$B$12,0))+J211*(1-'P-Parametri'!$B$6*I211))*(1+ROUND('3-Liquidita'!$F$11,4)))</f>
        <v>0</v>
      </c>
      <c r="L211" s="18">
        <f>IF($A211&gt;'1-Input'!$B$26,N210,(N210-J211)*(1+'5-Roberta'!$C$4))</f>
        <v>-119441.60838387813</v>
      </c>
      <c r="M211" s="18">
        <f>IF($A211&gt;'1-Input'!$B$26,K211,K211-'P-Parametri'!$B$8*(L211+K211)+MIN(MAX(L211,0),'P-Parametri'!$B$8*(L211+K211)))</f>
        <v>0</v>
      </c>
      <c r="N211" s="18">
        <f>IF($A211&gt;'1-Input'!$B$26,L211,L211-MIN(MAX(L211,0),'P-Parametri'!$B$8*(L211+K211)))</f>
        <v>-119202.72516711037</v>
      </c>
      <c r="O211" s="18">
        <f>IF($A211&gt;'1-Input'!$B$26,O210,O210-J211*(1-I211))</f>
        <v>-102841.27507069026</v>
      </c>
      <c r="P211" s="11">
        <f>IF($A211&gt;'1-Input'!$B$26,0,IF(U210&lt;=0,0,MAX(0,(U210-V210)/U210)))</f>
        <v>0.67015827348196855</v>
      </c>
      <c r="Q211" s="18">
        <f>IF($A211&gt;'1-Input'!$B$26,0,(MAX(0,P176-IF($A211&gt;='1-Input'!$C$12,'1-Input'!$B$12,0))-MIN(MAX(T210,0),MAX(0,P176-IF($A211&gt;='1-Input'!$C$12,'1-Input'!$B$12,0))))*(1/(1-'P-Parametri'!$B$6*P211))+MIN(MAX(0,U210-(MAX(0,P176-IF($A211&gt;='1-Input'!$C$12,'1-Input'!$B$12,0))-MIN(MAX(T210,0),MAX(0,P176-IF($A211&gt;='1-Input'!$C$12,'1-Input'!$B$12,0))))*(1/(1-'P-Parametri'!$B$6*P211))),MAX(0,2*P176-(T210-MIN(MAX(T210,0),MAX(0,P176-IF($A211&gt;='1-Input'!$C$12,'1-Input'!$B$12,0)))))*(1/(1-'P-Parametri'!$B$6*P211))))</f>
        <v>8705.4132381972067</v>
      </c>
      <c r="R211" s="18">
        <f>IF($A211&gt;'1-Input'!$B$26,T210,(T210-MAX(0,P176-IF($A211&gt;='1-Input'!$C$12,'1-Input'!$B$12,0))+Q211*(1-'P-Parametri'!$B$6*P211))*(1+ROUND('3-Liquidita'!$F$11,4)))</f>
        <v>36091.703549375699</v>
      </c>
      <c r="S211" s="18">
        <f>IF($A211&gt;'1-Input'!$B$26,U210,(U210-Q211)*(1+'5-Roberta'!$C$4))</f>
        <v>40222.422174785643</v>
      </c>
      <c r="T211" s="18">
        <f>IF($A211&gt;'1-Input'!$B$26,R211,R211-'P-Parametri'!$B$8*(S211+R211)+MIN(MAX(S211,0),'P-Parametri'!$B$8*(S211+R211)))</f>
        <v>36091.703549375699</v>
      </c>
      <c r="U211" s="18">
        <f>IF($A211&gt;'1-Input'!$B$26,S211,S211-MIN(MAX(S211,0),'P-Parametri'!$B$8*(S211+R211)))</f>
        <v>40069.793923337318</v>
      </c>
      <c r="V211" s="18">
        <f>IF($A211&gt;'1-Input'!$B$26,V210,V210-Q211*(1-P211))</f>
        <v>12880.614732881993</v>
      </c>
      <c r="W211" s="11">
        <f>IF($A211&gt;'1-Input'!$B$26,0,IF(AB210&lt;=0,0,MAX(0,(AB210-AC210)/AB210)))</f>
        <v>0.67070434959677305</v>
      </c>
      <c r="X211" s="18">
        <f>IF($A211&gt;'1-Input'!$B$26,0,(MAX(0,W176-IF($A211&gt;='1-Input'!$C$12,'1-Input'!$B$12,0))-MIN(MAX(AA210,0),MAX(0,W176-IF($A211&gt;='1-Input'!$C$12,'1-Input'!$B$12,0))))*(1/(1-'P-Parametri'!$B$6*W211))+MIN(MAX(0,AB210-(MAX(0,W176-IF($A211&gt;='1-Input'!$C$12,'1-Input'!$B$12,0))-MIN(MAX(AA210,0),MAX(0,W176-IF($A211&gt;='1-Input'!$C$12,'1-Input'!$B$12,0))))*(1/(1-'P-Parametri'!$B$6*W211))),MAX(0,2*W176-(AA210-MIN(MAX(AA210,0),MAX(0,W176-IF($A211&gt;='1-Input'!$C$12,'1-Input'!$B$12,0)))))*(1/(1-'P-Parametri'!$B$6*W211))))</f>
        <v>8465.5347602698166</v>
      </c>
      <c r="Y211" s="18">
        <f>IF($A211&gt;'1-Input'!$B$26,AA210,(AA210-MAX(0,W176-IF($A211&gt;='1-Input'!$C$12,'1-Input'!$B$12,0))+X211*(1-'P-Parametri'!$B$6*W211))*(1+ROUND('3-Liquidita'!$F$11,4)))</f>
        <v>35698.468794259323</v>
      </c>
      <c r="Z211" s="18">
        <f>IF($A211&gt;'1-Input'!$B$26,AB210,(AB210-X211)*(1+'5-Roberta'!$C$4))</f>
        <v>53549.977160432318</v>
      </c>
      <c r="AA211" s="18">
        <f>IF($A211&gt;'1-Input'!$B$26,Y211,Y211-'P-Parametri'!$B$8*(Z211+Y211)+MIN(MAX(Z211,0),'P-Parametri'!$B$8*(Z211+Y211)))</f>
        <v>35698.468794259323</v>
      </c>
      <c r="AB211" s="18">
        <f>IF($A211&gt;'1-Input'!$B$26,Z211,Z211-MIN(MAX(Z211,0),'P-Parametri'!$B$8*(Z211+Y211)))</f>
        <v>53371.480268522937</v>
      </c>
      <c r="AC211" s="18">
        <f>IF($A211&gt;'1-Input'!$B$26,AC210,AC210-X211*(1-W211))</f>
        <v>17120.169473905346</v>
      </c>
      <c r="AD211" s="11">
        <f>IF($A211&gt;'1-Input'!$B$26,0,IF(AI210&lt;=0,0,MAX(0,(AI210-AJ210)/AI210)))</f>
        <v>0.67073745052502121</v>
      </c>
      <c r="AE211" s="18">
        <f>IF($A211&gt;'1-Input'!$B$26,0,(MAX(0,AD176-IF($A211&gt;='1-Input'!$C$12,'1-Input'!$B$12,0))-MIN(MAX(AH210,0),MAX(0,AD176-IF($A211&gt;='1-Input'!$C$12,'1-Input'!$B$12,0))))*(1/(1-'P-Parametri'!$B$6*AD211))+MIN(MAX(0,AI210-(MAX(0,AD176-IF($A211&gt;='1-Input'!$C$12,'1-Input'!$B$12,0))-MIN(MAX(AH210,0),MAX(0,AD176-IF($A211&gt;='1-Input'!$C$12,'1-Input'!$B$12,0))))*(1/(1-'P-Parametri'!$B$6*AD211))),MAX(0,2*AD176-(AH210-MIN(MAX(AH210,0),MAX(0,AD176-IF($A211&gt;='1-Input'!$C$12,'1-Input'!$B$12,0)))))*(1/(1-'P-Parametri'!$B$6*AD211))))</f>
        <v>8448.569489453801</v>
      </c>
      <c r="AF211" s="18">
        <f>IF($A211&gt;'1-Input'!$B$26,AH210,(AH210-MAX(0,AD176-IF($A211&gt;='1-Input'!$C$12,'1-Input'!$B$12,0))+AE211*(1-'P-Parametri'!$B$6*AD211))*(1+ROUND('3-Liquidita'!$F$11,4)))</f>
        <v>35670.686502200319</v>
      </c>
      <c r="AG211" s="18">
        <f>IF($A211&gt;'1-Input'!$B$26,AI210,(AI210-AE211)*(1+'5-Roberta'!$C$4))</f>
        <v>54491.665592301113</v>
      </c>
      <c r="AH211" s="18">
        <f>IF($A211&gt;'1-Input'!$B$26,AF211,AF211-'P-Parametri'!$B$8*(AG211+AF211)+MIN(MAX(AG211,0),'P-Parametri'!$B$8*(AG211+AF211)))</f>
        <v>35670.686502200319</v>
      </c>
      <c r="AI211" s="18">
        <f>IF($A211&gt;'1-Input'!$B$26,AG211,AG211-MIN(MAX(AG211,0),'P-Parametri'!$B$8*(AG211+AF211)))</f>
        <v>54311.340888112107</v>
      </c>
      <c r="AJ211" s="18">
        <f>IF($A211&gt;'1-Input'!$B$26,AJ210,AJ210-AE211*(1-AD211))</f>
        <v>17419.480328212667</v>
      </c>
      <c r="AK211" s="11">
        <f>IF($A211&gt;'1-Input'!$B$26,0,IF(AP210&lt;=0,0,MAX(0,(AP210-AQ210)/AP210)))</f>
        <v>0.67073752489530425</v>
      </c>
      <c r="AL211" s="18">
        <f>IF($A211&gt;'1-Input'!$B$26,0,(MAX(0,AK176-IF($A211&gt;='1-Input'!$C$12,'1-Input'!$B$12,0))-MIN(MAX(AO210,0),MAX(0,AK176-IF($A211&gt;='1-Input'!$C$12,'1-Input'!$B$12,0))))*(1/(1-'P-Parametri'!$B$6*AK211))+MIN(MAX(0,AP210-(MAX(0,AK176-IF($A211&gt;='1-Input'!$C$12,'1-Input'!$B$12,0))-MIN(MAX(AO210,0),MAX(0,AK176-IF($A211&gt;='1-Input'!$C$12,'1-Input'!$B$12,0))))*(1/(1-'P-Parametri'!$B$6*AK211))),MAX(0,2*AK176-(AO210-MIN(MAX(AO210,0),MAX(0,AK176-IF($A211&gt;='1-Input'!$C$12,'1-Input'!$B$12,0)))))*(1/(1-'P-Parametri'!$B$6*AK211))))</f>
        <v>8448.5310201602479</v>
      </c>
      <c r="AM211" s="18">
        <f>IF($A211&gt;'1-Input'!$B$26,AO210,(AO210-MAX(0,AK176-IF($A211&gt;='1-Input'!$C$12,'1-Input'!$B$12,0))+AL211*(1-'P-Parametri'!$B$6*AK211))*(1+ROUND('3-Liquidita'!$F$11,4)))</f>
        <v>35670.623508598648</v>
      </c>
      <c r="AN211" s="18">
        <f>IF($A211&gt;'1-Input'!$B$26,AP210,(AP210-AL211)*(1+'5-Roberta'!$C$4))</f>
        <v>54493.800789571491</v>
      </c>
      <c r="AO211" s="18">
        <f>IF($A211&gt;'1-Input'!$B$26,AM211,AM211-'P-Parametri'!$B$8*(AN211+AM211)+MIN(MAX(AN211,0),'P-Parametri'!$B$8*(AN211+AM211)))</f>
        <v>35670.623508598648</v>
      </c>
      <c r="AP211" s="18">
        <f>IF($A211&gt;'1-Input'!$B$26,AN211,AN211-MIN(MAX(AN211,0),'P-Parametri'!$B$8*(AN211+AM211)))</f>
        <v>54313.471940975149</v>
      </c>
      <c r="AQ211" s="18">
        <f>IF($A211&gt;'1-Input'!$B$26,AQ210,AQ210-AL211*(1-AK211))</f>
        <v>17420.158957122847</v>
      </c>
    </row>
    <row r="212" spans="1:43">
      <c r="A212" s="10">
        <f>34</f>
        <v>34</v>
      </c>
      <c r="B212" s="11">
        <f>IF($A212&gt;'1-Input'!$B$26,0,IF(G211&lt;=0,0,MAX(0,(G211-H211)/G211)))</f>
        <v>0.68117626930710662</v>
      </c>
      <c r="C212" s="18">
        <f>IF($A212&gt;'1-Input'!$B$26,0,(MAX(0,B176-IF($A212&gt;='1-Input'!$C$12,'1-Input'!$B$12,0))-MIN(MAX(F211,0),MAX(0,B176-IF($A212&gt;='1-Input'!$C$12,'1-Input'!$B$12,0))))*(1/(1-'P-Parametri'!$B$6*B212))+MIN(MAX(0,G211-(MAX(0,B176-IF($A212&gt;='1-Input'!$C$12,'1-Input'!$B$12,0))-MIN(MAX(F211,0),MAX(0,B176-IF($A212&gt;='1-Input'!$C$12,'1-Input'!$B$12,0))))*(1/(1-'P-Parametri'!$B$6*B212))),MAX(0,2*B176-(F211-MIN(MAX(F211,0),MAX(0,B176-IF($A212&gt;='1-Input'!$C$12,'1-Input'!$B$12,0)))))*(1/(1-'P-Parametri'!$B$6*B212))))</f>
        <v>6962.2376989201621</v>
      </c>
      <c r="D212" s="18">
        <f>IF($A212&gt;'1-Input'!$B$26,F211,(F211-MAX(0,B176-IF($A212&gt;='1-Input'!$C$12,'1-Input'!$B$12,0))+C212*(1-'P-Parametri'!$B$6*B212))*(1+ROUND('3-Liquidita'!$F$11,4)))</f>
        <v>33211.981131419976</v>
      </c>
      <c r="E212" s="18">
        <f>IF($A212&gt;'1-Input'!$B$26,G211,(G211-C212)*(1+'5-Roberta'!$C$4))</f>
        <v>134469.65085666353</v>
      </c>
      <c r="F212" s="18">
        <f>IF($A212&gt;'1-Input'!$B$26,D212,D212-'P-Parametri'!$B$8*(E212+D212)+MIN(MAX(E212,0),'P-Parametri'!$B$8*(E212+D212)))</f>
        <v>33211.981131419976</v>
      </c>
      <c r="G212" s="18">
        <f>IF($A212&gt;'1-Input'!$B$26,E212,E212-MIN(MAX(E212,0),'P-Parametri'!$B$8*(E212+D212)))</f>
        <v>134134.28759268735</v>
      </c>
      <c r="H212" s="18">
        <f>IF($A212&gt;'1-Input'!$B$26,H211,H211-C212*(1-B212))</f>
        <v>41623.413350575036</v>
      </c>
      <c r="I212" s="11">
        <f>IF($A212&gt;'1-Input'!$B$26,0,IF(N211&lt;=0,0,MAX(0,(N211-O211)/N211)))</f>
        <v>0</v>
      </c>
      <c r="J212" s="18">
        <f>IF($A212&gt;'1-Input'!$B$26,0,(MAX(0,I176-IF($A212&gt;='1-Input'!$C$12,'1-Input'!$B$12,0))-MIN(MAX(M211,0),MAX(0,I176-IF($A212&gt;='1-Input'!$C$12,'1-Input'!$B$12,0))))*(1/(1-'P-Parametri'!$B$6*I212))+MIN(MAX(0,N211-(MAX(0,I176-IF($A212&gt;='1-Input'!$C$12,'1-Input'!$B$12,0))-MIN(MAX(M211,0),MAX(0,I176-IF($A212&gt;='1-Input'!$C$12,'1-Input'!$B$12,0))))*(1/(1-'P-Parametri'!$B$6*I212))),MAX(0,2*I176-(M211-MIN(MAX(M211,0),MAX(0,I176-IF($A212&gt;='1-Input'!$C$12,'1-Input'!$B$12,0)))))*(1/(1-'P-Parametri'!$B$6*I212))))</f>
        <v>10846.756992928691</v>
      </c>
      <c r="K212" s="18">
        <f>IF($A212&gt;'1-Input'!$B$26,M211,(M211-MAX(0,I176-IF($A212&gt;='1-Input'!$C$12,'1-Input'!$B$12,0))+J212*(1-'P-Parametri'!$B$6*I212))*(1+ROUND('3-Liquidita'!$F$11,4)))</f>
        <v>0</v>
      </c>
      <c r="L212" s="18">
        <f>IF($A212&gt;'1-Input'!$B$26,N211,(N211-J212)*(1+'5-Roberta'!$C$4))</f>
        <v>-133950.96662484025</v>
      </c>
      <c r="M212" s="18">
        <f>IF($A212&gt;'1-Input'!$B$26,K212,K212-'P-Parametri'!$B$8*(L212+K212)+MIN(MAX(L212,0),'P-Parametri'!$B$8*(L212+K212)))</f>
        <v>0</v>
      </c>
      <c r="N212" s="18">
        <f>IF($A212&gt;'1-Input'!$B$26,L212,L212-MIN(MAX(L212,0),'P-Parametri'!$B$8*(L212+K212)))</f>
        <v>-133683.06469159058</v>
      </c>
      <c r="O212" s="18">
        <f>IF($A212&gt;'1-Input'!$B$26,O211,O211-J212*(1-I212))</f>
        <v>-113688.03206361894</v>
      </c>
      <c r="P212" s="11">
        <f>IF($A212&gt;'1-Input'!$B$26,0,IF(U211&lt;=0,0,MAX(0,(U211-V211)/U211)))</f>
        <v>0.67854552090970177</v>
      </c>
      <c r="Q212" s="18">
        <f>IF($A212&gt;'1-Input'!$B$26,0,(MAX(0,P176-IF($A212&gt;='1-Input'!$C$12,'1-Input'!$B$12,0))-MIN(MAX(T211,0),MAX(0,P176-IF($A212&gt;='1-Input'!$C$12,'1-Input'!$B$12,0))))*(1/(1-'P-Parametri'!$B$6*P212))+MIN(MAX(0,U211-(MAX(0,P176-IF($A212&gt;='1-Input'!$C$12,'1-Input'!$B$12,0))-MIN(MAX(T211,0),MAX(0,P176-IF($A212&gt;='1-Input'!$C$12,'1-Input'!$B$12,0))))*(1/(1-'P-Parametri'!$B$6*P212))),MAX(0,2*P176-(T211-MIN(MAX(T211,0),MAX(0,P176-IF($A212&gt;='1-Input'!$C$12,'1-Input'!$B$12,0)))))*(1/(1-'P-Parametri'!$B$6*P212))))</f>
        <v>8728.4635800616143</v>
      </c>
      <c r="R212" s="18">
        <f>IF($A212&gt;'1-Input'!$B$26,T211,(T211-MAX(0,P176-IF($A212&gt;='1-Input'!$C$12,'1-Input'!$B$12,0))+Q212*(1-'P-Parametri'!$B$6*P212))*(1+ROUND('3-Liquidita'!$F$11,4)))</f>
        <v>36091.703549375699</v>
      </c>
      <c r="S212" s="18">
        <f>IF($A212&gt;'1-Input'!$B$26,U211,(U211-Q212)*(1+'5-Roberta'!$C$4))</f>
        <v>32281.570253573973</v>
      </c>
      <c r="T212" s="18">
        <f>IF($A212&gt;'1-Input'!$B$26,R212,R212-'P-Parametri'!$B$8*(S212+R212)+MIN(MAX(S212,0),'P-Parametri'!$B$8*(S212+R212)))</f>
        <v>36091.703549375699</v>
      </c>
      <c r="U212" s="18">
        <f>IF($A212&gt;'1-Input'!$B$26,S212,S212-MIN(MAX(S212,0),'P-Parametri'!$B$8*(S212+R212)))</f>
        <v>32144.823705968072</v>
      </c>
      <c r="V212" s="18">
        <f>IF($A212&gt;'1-Input'!$B$26,V211,V211-Q212*(1-P212))</f>
        <v>10074.811019494648</v>
      </c>
      <c r="W212" s="11">
        <f>IF($A212&gt;'1-Input'!$B$26,0,IF(AB211&lt;=0,0,MAX(0,(AB211-AC211)/AB211)))</f>
        <v>0.67922625739870357</v>
      </c>
      <c r="X212" s="18">
        <f>IF($A212&gt;'1-Input'!$B$26,0,(MAX(0,W176-IF($A212&gt;='1-Input'!$C$12,'1-Input'!$B$12,0))-MIN(MAX(AA211,0),MAX(0,W176-IF($A212&gt;='1-Input'!$C$12,'1-Input'!$B$12,0))))*(1/(1-'P-Parametri'!$B$6*W212))+MIN(MAX(0,AB211-(MAX(0,W176-IF($A212&gt;='1-Input'!$C$12,'1-Input'!$B$12,0))-MIN(MAX(AA211,0),MAX(0,W176-IF($A212&gt;='1-Input'!$C$12,'1-Input'!$B$12,0))))*(1/(1-'P-Parametri'!$B$6*W212))),MAX(0,2*W176-(AA211-MIN(MAX(AA211,0),MAX(0,W176-IF($A212&gt;='1-Input'!$C$12,'1-Input'!$B$12,0)))))*(1/(1-'P-Parametri'!$B$6*W212))))</f>
        <v>8488.3147275091105</v>
      </c>
      <c r="Y212" s="18">
        <f>IF($A212&gt;'1-Input'!$B$26,AA211,(AA211-MAX(0,W176-IF($A212&gt;='1-Input'!$C$12,'1-Input'!$B$12,0))+X212*(1-'P-Parametri'!$B$6*W212))*(1+ROUND('3-Liquidita'!$F$11,4)))</f>
        <v>35698.468794259323</v>
      </c>
      <c r="Z212" s="18">
        <f>IF($A212&gt;'1-Input'!$B$26,AB211,(AB211-X212)*(1+'5-Roberta'!$C$4))</f>
        <v>46229.66050724424</v>
      </c>
      <c r="AA212" s="18">
        <f>IF($A212&gt;'1-Input'!$B$26,Y212,Y212-'P-Parametri'!$B$8*(Z212+Y212)+MIN(MAX(Z212,0),'P-Parametri'!$B$8*(Z212+Y212)))</f>
        <v>35698.468794259323</v>
      </c>
      <c r="AB212" s="18">
        <f>IF($A212&gt;'1-Input'!$B$26,Z212,Z212-MIN(MAX(Z212,0),'P-Parametri'!$B$8*(Z212+Y212)))</f>
        <v>46065.804248641231</v>
      </c>
      <c r="AC212" s="18">
        <f>IF($A212&gt;'1-Input'!$B$26,AC211,AC211-X212*(1-W212))</f>
        <v>14397.340990384544</v>
      </c>
      <c r="AD212" s="11">
        <f>IF($A212&gt;'1-Input'!$B$26,0,IF(AI211&lt;=0,0,MAX(0,(AI211-AJ211)/AI211)))</f>
        <v>0.67926624451974238</v>
      </c>
      <c r="AE212" s="18">
        <f>IF($A212&gt;'1-Input'!$B$26,0,(MAX(0,AD176-IF($A212&gt;='1-Input'!$C$12,'1-Input'!$B$12,0))-MIN(MAX(AH211,0),MAX(0,AD176-IF($A212&gt;='1-Input'!$C$12,'1-Input'!$B$12,0))))*(1/(1-'P-Parametri'!$B$6*AD212))+MIN(MAX(0,AI211-(MAX(0,AD176-IF($A212&gt;='1-Input'!$C$12,'1-Input'!$B$12,0))-MIN(MAX(AH211,0),MAX(0,AD176-IF($A212&gt;='1-Input'!$C$12,'1-Input'!$B$12,0))))*(1/(1-'P-Parametri'!$B$6*AD212))),MAX(0,2*AD176-(AH211-MIN(MAX(AH211,0),MAX(0,AD176-IF($A212&gt;='1-Input'!$C$12,'1-Input'!$B$12,0)))))*(1/(1-'P-Parametri'!$B$6*AD212))))</f>
        <v>8471.3224626532483</v>
      </c>
      <c r="AF212" s="18">
        <f>IF($A212&gt;'1-Input'!$B$26,AH211,(AH211-MAX(0,AD176-IF($A212&gt;='1-Input'!$C$12,'1-Input'!$B$12,0))+AE212*(1-'P-Parametri'!$B$6*AD212))*(1+ROUND('3-Liquidita'!$F$11,4)))</f>
        <v>35670.686502200319</v>
      </c>
      <c r="AG212" s="18">
        <f>IF($A212&gt;'1-Input'!$B$26,AI211,(AI211-AE212)*(1+'5-Roberta'!$C$4))</f>
        <v>47215.218978222627</v>
      </c>
      <c r="AH212" s="18">
        <f>IF($A212&gt;'1-Input'!$B$26,AF212,AF212-'P-Parametri'!$B$8*(AG212+AF212)+MIN(MAX(AG212,0),'P-Parametri'!$B$8*(AG212+AF212)))</f>
        <v>35670.686502200319</v>
      </c>
      <c r="AI212" s="18">
        <f>IF($A212&gt;'1-Input'!$B$26,AG212,AG212-MIN(MAX(AG212,0),'P-Parametri'!$B$8*(AG212+AF212)))</f>
        <v>47049.44716726178</v>
      </c>
      <c r="AJ212" s="18">
        <f>IF($A212&gt;'1-Input'!$B$26,AJ211,AJ211-AE212*(1-AD212))</f>
        <v>14702.441260881626</v>
      </c>
      <c r="AK212" s="11">
        <f>IF($A212&gt;'1-Input'!$B$26,0,IF(AP211&lt;=0,0,MAX(0,(AP211-AQ211)/AP211)))</f>
        <v>0.67926633421531024</v>
      </c>
      <c r="AL212" s="18">
        <f>IF($A212&gt;'1-Input'!$B$26,0,(MAX(0,AK176-IF($A212&gt;='1-Input'!$C$12,'1-Input'!$B$12,0))-MIN(MAX(AO211,0),MAX(0,AK176-IF($A212&gt;='1-Input'!$C$12,'1-Input'!$B$12,0))))*(1/(1-'P-Parametri'!$B$6*AK212))+MIN(MAX(0,AP211-(MAX(0,AK176-IF($A212&gt;='1-Input'!$C$12,'1-Input'!$B$12,0))-MIN(MAX(AO211,0),MAX(0,AK176-IF($A212&gt;='1-Input'!$C$12,'1-Input'!$B$12,0))))*(1/(1-'P-Parametri'!$B$6*AK212))),MAX(0,2*AK176-(AO211-MIN(MAX(AO211,0),MAX(0,AK176-IF($A212&gt;='1-Input'!$C$12,'1-Input'!$B$12,0)))))*(1/(1-'P-Parametri'!$B$6*AK212))))</f>
        <v>8471.2839312862252</v>
      </c>
      <c r="AM212" s="18">
        <f>IF($A212&gt;'1-Input'!$B$26,AO211,(AO211-MAX(0,AK176-IF($A212&gt;='1-Input'!$C$12,'1-Input'!$B$12,0))+AL212*(1-'P-Parametri'!$B$6*AK212))*(1+ROUND('3-Liquidita'!$F$11,4)))</f>
        <v>35670.623508598648</v>
      </c>
      <c r="AN212" s="18">
        <f>IF($A212&gt;'1-Input'!$B$26,AP211,(AP211-AL212)*(1+'5-Roberta'!$C$4))</f>
        <v>47217.453649979594</v>
      </c>
      <c r="AO212" s="18">
        <f>IF($A212&gt;'1-Input'!$B$26,AM212,AM212-'P-Parametri'!$B$8*(AN212+AM212)+MIN(MAX(AN212,0),'P-Parametri'!$B$8*(AN212+AM212)))</f>
        <v>35670.623508598648</v>
      </c>
      <c r="AP212" s="18">
        <f>IF($A212&gt;'1-Input'!$B$26,AN212,AN212-MIN(MAX(AN212,0),'P-Parametri'!$B$8*(AN212+AM212)))</f>
        <v>47051.677495662436</v>
      </c>
      <c r="AQ212" s="18">
        <f>IF($A212&gt;'1-Input'!$B$26,AQ211,AQ211-AL212*(1-AK212))</f>
        <v>14703.133007938479</v>
      </c>
    </row>
    <row r="213" spans="1:43">
      <c r="A213" s="10">
        <f>35</f>
        <v>35</v>
      </c>
      <c r="B213" s="11">
        <f>IF($A213&gt;'1-Input'!$B$26,0,IF(G212&lt;=0,0,MAX(0,(G212-H212)/G212)))</f>
        <v>0.68968848981426112</v>
      </c>
      <c r="C213" s="18">
        <f>IF($A213&gt;'1-Input'!$B$26,0,(MAX(0,B176-IF($A213&gt;='1-Input'!$C$12,'1-Input'!$B$12,0))-MIN(MAX(F212,0),MAX(0,B176-IF($A213&gt;='1-Input'!$C$12,'1-Input'!$B$12,0))))*(1/(1-'P-Parametri'!$B$6*B213))+MIN(MAX(0,G212-(MAX(0,B176-IF($A213&gt;='1-Input'!$C$12,'1-Input'!$B$12,0))-MIN(MAX(F212,0),MAX(0,B176-IF($A213&gt;='1-Input'!$C$12,'1-Input'!$B$12,0))))*(1/(1-'P-Parametri'!$B$6*B213))),MAX(0,2*B176-(F212-MIN(MAX(F212,0),MAX(0,B176-IF($A213&gt;='1-Input'!$C$12,'1-Input'!$B$12,0)))))*(1/(1-'P-Parametri'!$B$6*B213))))</f>
        <v>6981.0131631898403</v>
      </c>
      <c r="D213" s="18">
        <f>IF($A213&gt;'1-Input'!$B$26,F212,(F212-MAX(0,B176-IF($A213&gt;='1-Input'!$C$12,'1-Input'!$B$12,0))+C213*(1-'P-Parametri'!$B$6*B213))*(1+ROUND('3-Liquidita'!$F$11,4)))</f>
        <v>33211.981131419976</v>
      </c>
      <c r="E213" s="18">
        <f>IF($A213&gt;'1-Input'!$B$26,G212,(G212-C213)*(1+'5-Roberta'!$C$4))</f>
        <v>130967.87266238245</v>
      </c>
      <c r="F213" s="18">
        <f>IF($A213&gt;'1-Input'!$B$26,D213,D213-'P-Parametri'!$B$8*(E213+D213)+MIN(MAX(E213,0),'P-Parametri'!$B$8*(E213+D213)))</f>
        <v>33211.981131419976</v>
      </c>
      <c r="G213" s="18">
        <f>IF($A213&gt;'1-Input'!$B$26,E213,E213-MIN(MAX(E213,0),'P-Parametri'!$B$8*(E213+D213)))</f>
        <v>130639.51295479485</v>
      </c>
      <c r="H213" s="18">
        <f>IF($A213&gt;'1-Input'!$B$26,H212,H212-C213*(1-B213))</f>
        <v>39457.124613279077</v>
      </c>
      <c r="I213" s="11">
        <f>IF($A213&gt;'1-Input'!$B$26,0,IF(N212&lt;=0,0,MAX(0,(N212-O212)/N212)))</f>
        <v>0</v>
      </c>
      <c r="J213" s="18">
        <f>IF($A213&gt;'1-Input'!$B$26,0,(MAX(0,I176-IF($A213&gt;='1-Input'!$C$12,'1-Input'!$B$12,0))-MIN(MAX(M212,0),MAX(0,I176-IF($A213&gt;='1-Input'!$C$12,'1-Input'!$B$12,0))))*(1/(1-'P-Parametri'!$B$6*I213))+MIN(MAX(0,N212-(MAX(0,I176-IF($A213&gt;='1-Input'!$C$12,'1-Input'!$B$12,0))-MIN(MAX(M212,0),MAX(0,I176-IF($A213&gt;='1-Input'!$C$12,'1-Input'!$B$12,0))))*(1/(1-'P-Parametri'!$B$6*I213))),MAX(0,2*I176-(M212-MIN(MAX(M212,0),MAX(0,I176-IF($A213&gt;='1-Input'!$C$12,'1-Input'!$B$12,0)))))*(1/(1-'P-Parametri'!$B$6*I213))))</f>
        <v>10846.756992928691</v>
      </c>
      <c r="K213" s="18">
        <f>IF($A213&gt;'1-Input'!$B$26,M212,(M212-MAX(0,I176-IF($A213&gt;='1-Input'!$C$12,'1-Input'!$B$12,0))+J213*(1-'P-Parametri'!$B$6*I213))*(1+ROUND('3-Liquidita'!$F$11,4)))</f>
        <v>0</v>
      </c>
      <c r="L213" s="18">
        <f>IF($A213&gt;'1-Input'!$B$26,N212,(N212-J213)*(1+'5-Roberta'!$C$4))</f>
        <v>-148865.71633505484</v>
      </c>
      <c r="M213" s="18">
        <f>IF($A213&gt;'1-Input'!$B$26,K213,K213-'P-Parametri'!$B$8*(L213+K213)+MIN(MAX(L213,0),'P-Parametri'!$B$8*(L213+K213)))</f>
        <v>0</v>
      </c>
      <c r="N213" s="18">
        <f>IF($A213&gt;'1-Input'!$B$26,L213,L213-MIN(MAX(L213,0),'P-Parametri'!$B$8*(L213+K213)))</f>
        <v>-148567.98490238472</v>
      </c>
      <c r="O213" s="18">
        <f>IF($A213&gt;'1-Input'!$B$26,O212,O212-J213*(1-I213))</f>
        <v>-124534.78905654763</v>
      </c>
      <c r="P213" s="11">
        <f>IF($A213&gt;'1-Input'!$B$26,0,IF(U212&lt;=0,0,MAX(0,(U212-V212)/U212)))</f>
        <v>0.68658061056268493</v>
      </c>
      <c r="Q213" s="18">
        <f>IF($A213&gt;'1-Input'!$B$26,0,(MAX(0,P176-IF($A213&gt;='1-Input'!$C$12,'1-Input'!$B$12,0))-MIN(MAX(T212,0),MAX(0,P176-IF($A213&gt;='1-Input'!$C$12,'1-Input'!$B$12,0))))*(1/(1-'P-Parametri'!$B$6*P213))+MIN(MAX(0,U212-(MAX(0,P176-IF($A213&gt;='1-Input'!$C$12,'1-Input'!$B$12,0))-MIN(MAX(T212,0),MAX(0,P176-IF($A213&gt;='1-Input'!$C$12,'1-Input'!$B$12,0))))*(1/(1-'P-Parametri'!$B$6*P213))),MAX(0,2*P176-(T212-MIN(MAX(T212,0),MAX(0,P176-IF($A213&gt;='1-Input'!$C$12,'1-Input'!$B$12,0)))))*(1/(1-'P-Parametri'!$B$6*P213))))</f>
        <v>8750.6608776613575</v>
      </c>
      <c r="R213" s="18">
        <f>IF($A213&gt;'1-Input'!$B$26,T212,(T212-MAX(0,P176-IF($A213&gt;='1-Input'!$C$12,'1-Input'!$B$12,0))+Q213*(1-'P-Parametri'!$B$6*P213))*(1+ROUND('3-Liquidita'!$F$11,4)))</f>
        <v>36091.703549375699</v>
      </c>
      <c r="S213" s="18">
        <f>IF($A213&gt;'1-Input'!$B$26,U212,(U212-Q213)*(1+'5-Roberta'!$C$4))</f>
        <v>24095.987713155915</v>
      </c>
      <c r="T213" s="18">
        <f>IF($A213&gt;'1-Input'!$B$26,R213,R213-'P-Parametri'!$B$8*(S213+R213)+MIN(MAX(S213,0),'P-Parametri'!$B$8*(S213+R213)))</f>
        <v>36091.703549375699</v>
      </c>
      <c r="U213" s="18">
        <f>IF($A213&gt;'1-Input'!$B$26,S213,S213-MIN(MAX(S213,0),'P-Parametri'!$B$8*(S213+R213)))</f>
        <v>23975.612330630851</v>
      </c>
      <c r="V213" s="18">
        <f>IF($A213&gt;'1-Input'!$B$26,V212,V212-Q213*(1-P213))</f>
        <v>7332.1842300450253</v>
      </c>
      <c r="W213" s="11">
        <f>IF($A213&gt;'1-Input'!$B$26,0,IF(AB212&lt;=0,0,MAX(0,(AB212-AC212)/AB212)))</f>
        <v>0.68746142121660203</v>
      </c>
      <c r="X213" s="18">
        <f>IF($A213&gt;'1-Input'!$B$26,0,(MAX(0,W176-IF($A213&gt;='1-Input'!$C$12,'1-Input'!$B$12,0))-MIN(MAX(AA212,0),MAX(0,W176-IF($A213&gt;='1-Input'!$C$12,'1-Input'!$B$12,0))))*(1/(1-'P-Parametri'!$B$6*W213))+MIN(MAX(0,AB212-(MAX(0,W176-IF($A213&gt;='1-Input'!$C$12,'1-Input'!$B$12,0))-MIN(MAX(AA212,0),MAX(0,W176-IF($A213&gt;='1-Input'!$C$12,'1-Input'!$B$12,0))))*(1/(1-'P-Parametri'!$B$6*W213))),MAX(0,2*W176-(AA212-MIN(MAX(AA212,0),MAX(0,W176-IF($A213&gt;='1-Input'!$C$12,'1-Input'!$B$12,0)))))*(1/(1-'P-Parametri'!$B$6*W213))))</f>
        <v>8510.4449804476535</v>
      </c>
      <c r="Y213" s="18">
        <f>IF($A213&gt;'1-Input'!$B$26,AA212,(AA212-MAX(0,W176-IF($A213&gt;='1-Input'!$C$12,'1-Input'!$B$12,0))+X213*(1-'P-Parametri'!$B$6*W213))*(1+ROUND('3-Liquidita'!$F$11,4)))</f>
        <v>35698.468794259323</v>
      </c>
      <c r="Z213" s="18">
        <f>IF($A213&gt;'1-Input'!$B$26,AB212,(AB212-X213)*(1+'5-Roberta'!$C$4))</f>
        <v>38682.020046239384</v>
      </c>
      <c r="AA213" s="18">
        <f>IF($A213&gt;'1-Input'!$B$26,Y213,Y213-'P-Parametri'!$B$8*(Z213+Y213)+MIN(MAX(Z213,0),'P-Parametri'!$B$8*(Z213+Y213)))</f>
        <v>35698.468794259323</v>
      </c>
      <c r="AB213" s="18">
        <f>IF($A213&gt;'1-Input'!$B$26,Z213,Z213-MIN(MAX(Z213,0),'P-Parametri'!$B$8*(Z213+Y213)))</f>
        <v>38533.259068558385</v>
      </c>
      <c r="AC213" s="18">
        <f>IF($A213&gt;'1-Input'!$B$26,AC212,AC212-X213*(1-W213))</f>
        <v>11737.498611381132</v>
      </c>
      <c r="AD213" s="11">
        <f>IF($A213&gt;'1-Input'!$B$26,0,IF(AI212&lt;=0,0,MAX(0,(AI212-AJ212)/AI212)))</f>
        <v>0.68751086046528587</v>
      </c>
      <c r="AE213" s="18">
        <f>IF($A213&gt;'1-Input'!$B$26,0,(MAX(0,AD176-IF($A213&gt;='1-Input'!$C$12,'1-Input'!$B$12,0))-MIN(MAX(AH212,0),MAX(0,AD176-IF($A213&gt;='1-Input'!$C$12,'1-Input'!$B$12,0))))*(1/(1-'P-Parametri'!$B$6*AD213))+MIN(MAX(0,AI212-(MAX(0,AD176-IF($A213&gt;='1-Input'!$C$12,'1-Input'!$B$12,0))-MIN(MAX(AH212,0),MAX(0,AD176-IF($A213&gt;='1-Input'!$C$12,'1-Input'!$B$12,0))))*(1/(1-'P-Parametri'!$B$6*AD213))),MAX(0,2*AD176-(AH212-MIN(MAX(AH212,0),MAX(0,AD176-IF($A213&gt;='1-Input'!$C$12,'1-Input'!$B$12,0)))))*(1/(1-'P-Parametri'!$B$6*AD213))))</f>
        <v>8493.4341101461359</v>
      </c>
      <c r="AF213" s="18">
        <f>IF($A213&gt;'1-Input'!$B$26,AH212,(AH212-MAX(0,AD176-IF($A213&gt;='1-Input'!$C$12,'1-Input'!$B$12,0))+AE213*(1-'P-Parametri'!$B$6*AD213))*(1+ROUND('3-Liquidita'!$F$11,4)))</f>
        <v>35670.686502200319</v>
      </c>
      <c r="AG213" s="18">
        <f>IF($A213&gt;'1-Input'!$B$26,AI212,(AI212-AE213)*(1+'5-Roberta'!$C$4))</f>
        <v>39712.693448829115</v>
      </c>
      <c r="AH213" s="18">
        <f>IF($A213&gt;'1-Input'!$B$26,AF213,AF213-'P-Parametri'!$B$8*(AG213+AF213)+MIN(MAX(AG213,0),'P-Parametri'!$B$8*(AG213+AF213)))</f>
        <v>35670.686502200319</v>
      </c>
      <c r="AI213" s="18">
        <f>IF($A213&gt;'1-Input'!$B$26,AG213,AG213-MIN(MAX(AG213,0),'P-Parametri'!$B$8*(AG213+AF213)))</f>
        <v>39561.926688927058</v>
      </c>
      <c r="AJ213" s="18">
        <f>IF($A213&gt;'1-Input'!$B$26,AJ212,AJ212-AE213*(1-AD213))</f>
        <v>12048.335344107269</v>
      </c>
      <c r="AK213" s="11">
        <f>IF($A213&gt;'1-Input'!$B$26,0,IF(AP212&lt;=0,0,MAX(0,(AP212-AQ212)/AP212)))</f>
        <v>0.68751097111694004</v>
      </c>
      <c r="AL213" s="18">
        <f>IF($A213&gt;'1-Input'!$B$26,0,(MAX(0,AK176-IF($A213&gt;='1-Input'!$C$12,'1-Input'!$B$12,0))-MIN(MAX(AO212,0),MAX(0,AK176-IF($A213&gt;='1-Input'!$C$12,'1-Input'!$B$12,0))))*(1/(1-'P-Parametri'!$B$6*AK213))+MIN(MAX(0,AP212-(MAX(0,AK176-IF($A213&gt;='1-Input'!$C$12,'1-Input'!$B$12,0))-MIN(MAX(AO212,0),MAX(0,AK176-IF($A213&gt;='1-Input'!$C$12,'1-Input'!$B$12,0))))*(1/(1-'P-Parametri'!$B$6*AK213))),MAX(0,2*AK176-(AO212-MIN(MAX(AO212,0),MAX(0,AK176-IF($A213&gt;='1-Input'!$C$12,'1-Input'!$B$12,0)))))*(1/(1-'P-Parametri'!$B$6*AK213))))</f>
        <v>8493.3955351829609</v>
      </c>
      <c r="AM213" s="18">
        <f>IF($A213&gt;'1-Input'!$B$26,AO212,(AO212-MAX(0,AK176-IF($A213&gt;='1-Input'!$C$12,'1-Input'!$B$12,0))+AL213*(1-'P-Parametri'!$B$6*AK213))*(1+ROUND('3-Liquidita'!$F$11,4)))</f>
        <v>35670.623508598648</v>
      </c>
      <c r="AN213" s="18">
        <f>IF($A213&gt;'1-Input'!$B$26,AP212,(AP212-AL213)*(1+'5-Roberta'!$C$4))</f>
        <v>39715.030419293864</v>
      </c>
      <c r="AO213" s="18">
        <f>IF($A213&gt;'1-Input'!$B$26,AM213,AM213-'P-Parametri'!$B$8*(AN213+AM213)+MIN(MAX(AN213,0),'P-Parametri'!$B$8*(AN213+AM213)))</f>
        <v>35670.623508598648</v>
      </c>
      <c r="AP213" s="18">
        <f>IF($A213&gt;'1-Input'!$B$26,AN213,AN213-MIN(MAX(AN213,0),'P-Parametri'!$B$8*(AN213+AM213)))</f>
        <v>39564.259111438078</v>
      </c>
      <c r="AQ213" s="18">
        <f>IF($A213&gt;'1-Input'!$B$26,AQ212,AQ212-AL213*(1-AK213))</f>
        <v>12049.040085229437</v>
      </c>
    </row>
    <row r="214" spans="1:43">
      <c r="A214" s="10">
        <f>36</f>
        <v>36</v>
      </c>
      <c r="B214" s="11">
        <f>IF($A214&gt;'1-Input'!$B$26,0,IF(G213&lt;=0,0,MAX(0,(G213-H213)/G213)))</f>
        <v>0.69796944491876345</v>
      </c>
      <c r="C214" s="18">
        <f>IF($A214&gt;'1-Input'!$B$26,0,(MAX(0,B176-IF($A214&gt;='1-Input'!$C$12,'1-Input'!$B$12,0))-MIN(MAX(F213,0),MAX(0,B176-IF($A214&gt;='1-Input'!$C$12,'1-Input'!$B$12,0))))*(1/(1-'P-Parametri'!$B$6*B214))+MIN(MAX(0,G213-(MAX(0,B176-IF($A214&gt;='1-Input'!$C$12,'1-Input'!$B$12,0))-MIN(MAX(F213,0),MAX(0,B176-IF($A214&gt;='1-Input'!$C$12,'1-Input'!$B$12,0))))*(1/(1-'P-Parametri'!$B$6*B214))),MAX(0,2*B176-(F213-MIN(MAX(F213,0),MAX(0,B176-IF($A214&gt;='1-Input'!$C$12,'1-Input'!$B$12,0)))))*(1/(1-'P-Parametri'!$B$6*B214))))</f>
        <v>6999.3759555871457</v>
      </c>
      <c r="D214" s="18">
        <f>IF($A214&gt;'1-Input'!$B$26,F213,(F213-MAX(0,B176-IF($A214&gt;='1-Input'!$C$12,'1-Input'!$B$12,0))+C214*(1-'P-Parametri'!$B$6*B214))*(1+ROUND('3-Liquidita'!$F$11,4)))</f>
        <v>33211.981131419976</v>
      </c>
      <c r="E214" s="18">
        <f>IF($A214&gt;'1-Input'!$B$26,G213,(G213-C214)*(1+'5-Roberta'!$C$4))</f>
        <v>127349.34110918392</v>
      </c>
      <c r="F214" s="18">
        <f>IF($A214&gt;'1-Input'!$B$26,D214,D214-'P-Parametri'!$B$8*(E214+D214)+MIN(MAX(E214,0),'P-Parametri'!$B$8*(E214+D214)))</f>
        <v>33211.981131419976</v>
      </c>
      <c r="G214" s="18">
        <f>IF($A214&gt;'1-Input'!$B$26,E214,E214-MIN(MAX(E214,0),'P-Parametri'!$B$8*(E214+D214)))</f>
        <v>127028.21846470272</v>
      </c>
      <c r="H214" s="18">
        <f>IF($A214&gt;'1-Input'!$B$26,H213,H213-C214*(1-B214))</f>
        <v>37343.099208190833</v>
      </c>
      <c r="I214" s="11">
        <f>IF($A214&gt;'1-Input'!$B$26,0,IF(N213&lt;=0,0,MAX(0,(N213-O213)/N213)))</f>
        <v>0</v>
      </c>
      <c r="J214" s="18">
        <f>IF($A214&gt;'1-Input'!$B$26,0,(MAX(0,I176-IF($A214&gt;='1-Input'!$C$12,'1-Input'!$B$12,0))-MIN(MAX(M213,0),MAX(0,I176-IF($A214&gt;='1-Input'!$C$12,'1-Input'!$B$12,0))))*(1/(1-'P-Parametri'!$B$6*I214))+MIN(MAX(0,N213-(MAX(0,I176-IF($A214&gt;='1-Input'!$C$12,'1-Input'!$B$12,0))-MIN(MAX(M213,0),MAX(0,I176-IF($A214&gt;='1-Input'!$C$12,'1-Input'!$B$12,0))))*(1/(1-'P-Parametri'!$B$6*I214))),MAX(0,2*I176-(M213-MIN(MAX(M213,0),MAX(0,I176-IF($A214&gt;='1-Input'!$C$12,'1-Input'!$B$12,0)))))*(1/(1-'P-Parametri'!$B$6*I214))))</f>
        <v>10846.756992928691</v>
      </c>
      <c r="K214" s="18">
        <f>IF($A214&gt;'1-Input'!$B$26,M213,(M213-MAX(0,I176-IF($A214&gt;='1-Input'!$C$12,'1-Input'!$B$12,0))+J214*(1-'P-Parametri'!$B$6*I214))*(1+ROUND('3-Liquidita'!$F$11,4)))</f>
        <v>0</v>
      </c>
      <c r="L214" s="18">
        <f>IF($A214&gt;'1-Input'!$B$26,N213,(N213-J214)*(1+'5-Roberta'!$C$4))</f>
        <v>-164197.18415217282</v>
      </c>
      <c r="M214" s="18">
        <f>IF($A214&gt;'1-Input'!$B$26,K214,K214-'P-Parametri'!$B$8*(L214+K214)+MIN(MAX(L214,0),'P-Parametri'!$B$8*(L214+K214)))</f>
        <v>0</v>
      </c>
      <c r="N214" s="18">
        <f>IF($A214&gt;'1-Input'!$B$26,L214,L214-MIN(MAX(L214,0),'P-Parametri'!$B$8*(L214+K214)))</f>
        <v>-163868.78978386847</v>
      </c>
      <c r="O214" s="18">
        <f>IF($A214&gt;'1-Input'!$B$26,O213,O213-J214*(1-I214))</f>
        <v>-135381.54604947631</v>
      </c>
      <c r="P214" s="11">
        <f>IF($A214&gt;'1-Input'!$B$26,0,IF(U213&lt;=0,0,MAX(0,(U213-V213)/U213)))</f>
        <v>0.69418156546193621</v>
      </c>
      <c r="Q214" s="18">
        <f>IF($A214&gt;'1-Input'!$B$26,0,(MAX(0,P176-IF($A214&gt;='1-Input'!$C$12,'1-Input'!$B$12,0))-MIN(MAX(T213,0),MAX(0,P176-IF($A214&gt;='1-Input'!$C$12,'1-Input'!$B$12,0))))*(1/(1-'P-Parametri'!$B$6*P214))+MIN(MAX(0,U213-(MAX(0,P176-IF($A214&gt;='1-Input'!$C$12,'1-Input'!$B$12,0))-MIN(MAX(T213,0),MAX(0,P176-IF($A214&gt;='1-Input'!$C$12,'1-Input'!$B$12,0))))*(1/(1-'P-Parametri'!$B$6*P214))),MAX(0,2*P176-(T213-MIN(MAX(T213,0),MAX(0,P176-IF($A214&gt;='1-Input'!$C$12,'1-Input'!$B$12,0)))))*(1/(1-'P-Parametri'!$B$6*P214))))</f>
        <v>8771.7630234756416</v>
      </c>
      <c r="R214" s="18">
        <f>IF($A214&gt;'1-Input'!$B$26,T213,(T213-MAX(0,P176-IF($A214&gt;='1-Input'!$C$12,'1-Input'!$B$12,0))+Q214*(1-'P-Parametri'!$B$6*P214))*(1+ROUND('3-Liquidita'!$F$11,4)))</f>
        <v>36091.703549375699</v>
      </c>
      <c r="S214" s="18">
        <f>IF($A214&gt;'1-Input'!$B$26,U213,(U213-Q214)*(1+'5-Roberta'!$C$4))</f>
        <v>15659.964786369866</v>
      </c>
      <c r="T214" s="18">
        <f>IF($A214&gt;'1-Input'!$B$26,R214,R214-'P-Parametri'!$B$8*(S214+R214)+MIN(MAX(S214,0),'P-Parametri'!$B$8*(S214+R214)))</f>
        <v>36091.703549375699</v>
      </c>
      <c r="U214" s="18">
        <f>IF($A214&gt;'1-Input'!$B$26,S214,S214-MIN(MAX(S214,0),'P-Parametri'!$B$8*(S214+R214)))</f>
        <v>15556.461449698376</v>
      </c>
      <c r="V214" s="18">
        <f>IF($A214&gt;'1-Input'!$B$26,V213,V213-Q214*(1-P214))</f>
        <v>4649.6173940668314</v>
      </c>
      <c r="W214" s="11">
        <f>IF($A214&gt;'1-Input'!$B$26,0,IF(AB213&lt;=0,0,MAX(0,(AB213-AC213)/AB213)))</f>
        <v>0.69539304758785725</v>
      </c>
      <c r="X214" s="18">
        <f>IF($A214&gt;'1-Input'!$B$26,0,(MAX(0,W176-IF($A214&gt;='1-Input'!$C$12,'1-Input'!$B$12,0))-MIN(MAX(AA213,0),MAX(0,W176-IF($A214&gt;='1-Input'!$C$12,'1-Input'!$B$12,0))))*(1/(1-'P-Parametri'!$B$6*W214))+MIN(MAX(0,AB213-(MAX(0,W176-IF($A214&gt;='1-Input'!$C$12,'1-Input'!$B$12,0))-MIN(MAX(AA213,0),MAX(0,W176-IF($A214&gt;='1-Input'!$C$12,'1-Input'!$B$12,0))))*(1/(1-'P-Parametri'!$B$6*W214))),MAX(0,2*W176-(AA213-MIN(MAX(AA213,0),MAX(0,W176-IF($A214&gt;='1-Input'!$C$12,'1-Input'!$B$12,0)))))*(1/(1-'P-Parametri'!$B$6*W214))))</f>
        <v>8531.8689076047867</v>
      </c>
      <c r="Y214" s="18">
        <f>IF($A214&gt;'1-Input'!$B$26,AA213,(AA213-MAX(0,W176-IF($A214&gt;='1-Input'!$C$12,'1-Input'!$B$12,0))+X214*(1-'P-Parametri'!$B$6*W214))*(1+ROUND('3-Liquidita'!$F$11,4)))</f>
        <v>35698.468794259323</v>
      </c>
      <c r="Z214" s="18">
        <f>IF($A214&gt;'1-Input'!$B$26,AB213,(AB213-X214)*(1+'5-Roberta'!$C$4))</f>
        <v>30901.431865782204</v>
      </c>
      <c r="AA214" s="18">
        <f>IF($A214&gt;'1-Input'!$B$26,Y214,Y214-'P-Parametri'!$B$8*(Z214+Y214)+MIN(MAX(Z214,0),'P-Parametri'!$B$8*(Z214+Y214)))</f>
        <v>35698.468794259323</v>
      </c>
      <c r="AB214" s="18">
        <f>IF($A214&gt;'1-Input'!$B$26,Z214,Z214-MIN(MAX(Z214,0),'P-Parametri'!$B$8*(Z214+Y214)))</f>
        <v>30768.232064462121</v>
      </c>
      <c r="AC214" s="18">
        <f>IF($A214&gt;'1-Input'!$B$26,AC213,AC213-X214*(1-W214))</f>
        <v>9138.6320250557201</v>
      </c>
      <c r="AD214" s="11">
        <f>IF($A214&gt;'1-Input'!$B$26,0,IF(AI213&lt;=0,0,MAX(0,(AI213-AJ213)/AI213)))</f>
        <v>0.6954563047739668</v>
      </c>
      <c r="AE214" s="18">
        <f>IF($A214&gt;'1-Input'!$B$26,0,(MAX(0,AD176-IF($A214&gt;='1-Input'!$C$12,'1-Input'!$B$12,0))-MIN(MAX(AH213,0),MAX(0,AD176-IF($A214&gt;='1-Input'!$C$12,'1-Input'!$B$12,0))))*(1/(1-'P-Parametri'!$B$6*AD214))+MIN(MAX(0,AI213-(MAX(0,AD176-IF($A214&gt;='1-Input'!$C$12,'1-Input'!$B$12,0))-MIN(MAX(AH213,0),MAX(0,AD176-IF($A214&gt;='1-Input'!$C$12,'1-Input'!$B$12,0))))*(1/(1-'P-Parametri'!$B$6*AD214))),MAX(0,2*AD176-(AH213-MIN(MAX(AH213,0),MAX(0,AD176-IF($A214&gt;='1-Input'!$C$12,'1-Input'!$B$12,0)))))*(1/(1-'P-Parametri'!$B$6*AD214))))</f>
        <v>8514.8528933918496</v>
      </c>
      <c r="AF214" s="18">
        <f>IF($A214&gt;'1-Input'!$B$26,AH213,(AH213-MAX(0,AD176-IF($A214&gt;='1-Input'!$C$12,'1-Input'!$B$12,0))+AE214*(1-'P-Parametri'!$B$6*AD214))*(1+ROUND('3-Liquidita'!$F$11,4)))</f>
        <v>35670.686502200319</v>
      </c>
      <c r="AG214" s="18">
        <f>IF($A214&gt;'1-Input'!$B$26,AI213,(AI213-AE214)*(1+'5-Roberta'!$C$4))</f>
        <v>31978.486009401266</v>
      </c>
      <c r="AH214" s="18">
        <f>IF($A214&gt;'1-Input'!$B$26,AF214,AF214-'P-Parametri'!$B$8*(AG214+AF214)+MIN(MAX(AG214,0),'P-Parametri'!$B$8*(AG214+AF214)))</f>
        <v>35670.686502200319</v>
      </c>
      <c r="AI214" s="18">
        <f>IF($A214&gt;'1-Input'!$B$26,AG214,AG214-MIN(MAX(AG214,0),'P-Parametri'!$B$8*(AG214+AF214)))</f>
        <v>31843.187664378063</v>
      </c>
      <c r="AJ214" s="18">
        <f>IF($A214&gt;'1-Input'!$B$26,AJ213,AJ213-AE214*(1-AD214))</f>
        <v>9455.1905796476349</v>
      </c>
      <c r="AK214" s="11">
        <f>IF($A214&gt;'1-Input'!$B$26,0,IF(AP213&lt;=0,0,MAX(0,(AP213-AQ213)/AP213)))</f>
        <v>0.69545644589750333</v>
      </c>
      <c r="AL214" s="18">
        <f>IF($A214&gt;'1-Input'!$B$26,0,(MAX(0,AK176-IF($A214&gt;='1-Input'!$C$12,'1-Input'!$B$12,0))-MIN(MAX(AO213,0),MAX(0,AK176-IF($A214&gt;='1-Input'!$C$12,'1-Input'!$B$12,0))))*(1/(1-'P-Parametri'!$B$6*AK214))+MIN(MAX(0,AP213-(MAX(0,AK176-IF($A214&gt;='1-Input'!$C$12,'1-Input'!$B$12,0))-MIN(MAX(AO213,0),MAX(0,AK176-IF($A214&gt;='1-Input'!$C$12,'1-Input'!$B$12,0))))*(1/(1-'P-Parametri'!$B$6*AK214))),MAX(0,2*AK176-(AO213-MIN(MAX(AO213,0),MAX(0,AK176-IF($A214&gt;='1-Input'!$C$12,'1-Input'!$B$12,0)))))*(1/(1-'P-Parametri'!$B$6*AK214))))</f>
        <v>8514.8143042531556</v>
      </c>
      <c r="AM214" s="18">
        <f>IF($A214&gt;'1-Input'!$B$26,AO213,(AO213-MAX(0,AK176-IF($A214&gt;='1-Input'!$C$12,'1-Input'!$B$12,0))+AL214*(1-'P-Parametri'!$B$6*AK214))*(1+ROUND('3-Liquidita'!$F$11,4)))</f>
        <v>35670.623508598648</v>
      </c>
      <c r="AN214" s="18">
        <f>IF($A214&gt;'1-Input'!$B$26,AP213,(AP213-AL214)*(1+'5-Roberta'!$C$4))</f>
        <v>31980.928151400469</v>
      </c>
      <c r="AO214" s="18">
        <f>IF($A214&gt;'1-Input'!$B$26,AM214,AM214-'P-Parametri'!$B$8*(AN214+AM214)+MIN(MAX(AN214,0),'P-Parametri'!$B$8*(AN214+AM214)))</f>
        <v>35670.623508598648</v>
      </c>
      <c r="AP214" s="18">
        <f>IF($A214&gt;'1-Input'!$B$26,AN214,AN214-MIN(MAX(AN214,0),'P-Parametri'!$B$8*(AN214+AM214)))</f>
        <v>31845.62504808047</v>
      </c>
      <c r="AQ214" s="18">
        <f>IF($A214&gt;'1-Input'!$B$26,AQ213,AQ213-AL214*(1-AK214))</f>
        <v>9455.908274489404</v>
      </c>
    </row>
    <row r="215" spans="1:43">
      <c r="A215" s="10">
        <f>37</f>
        <v>37</v>
      </c>
      <c r="B215" s="11">
        <f>IF($A215&gt;'1-Input'!$B$26,0,IF(G214&lt;=0,0,MAX(0,(G214-H214)/G214)))</f>
        <v>0.70602516779712732</v>
      </c>
      <c r="C215" s="18">
        <f>IF($A215&gt;'1-Input'!$B$26,0,(MAX(0,B176-IF($A215&gt;='1-Input'!$C$12,'1-Input'!$B$12,0))-MIN(MAX(F214,0),MAX(0,B176-IF($A215&gt;='1-Input'!$C$12,'1-Input'!$B$12,0))))*(1/(1-'P-Parametri'!$B$6*B215))+MIN(MAX(0,G214-(MAX(0,B176-IF($A215&gt;='1-Input'!$C$12,'1-Input'!$B$12,0))-MIN(MAX(F214,0),MAX(0,B176-IF($A215&gt;='1-Input'!$C$12,'1-Input'!$B$12,0))))*(1/(1-'P-Parametri'!$B$6*B215))),MAX(0,2*B176-(F214-MIN(MAX(F214,0),MAX(0,B176-IF($A215&gt;='1-Input'!$C$12,'1-Input'!$B$12,0)))))*(1/(1-'P-Parametri'!$B$6*B215))))</f>
        <v>7017.332236617387</v>
      </c>
      <c r="D215" s="18">
        <f>IF($A215&gt;'1-Input'!$B$26,F214,(F214-MAX(0,B176-IF($A215&gt;='1-Input'!$C$12,'1-Input'!$B$12,0))+C215*(1-'P-Parametri'!$B$6*B215))*(1+ROUND('3-Liquidita'!$F$11,4)))</f>
        <v>33211.981131419976</v>
      </c>
      <c r="E215" s="18">
        <f>IF($A215&gt;'1-Input'!$B$26,G214,(G214-C215)*(1+'5-Roberta'!$C$4))</f>
        <v>123611.2128149279</v>
      </c>
      <c r="F215" s="18">
        <f>IF($A215&gt;'1-Input'!$B$26,D215,D215-'P-Parametri'!$B$8*(E215+D215)+MIN(MAX(E215,0),'P-Parametri'!$B$8*(E215+D215)))</f>
        <v>33211.981131419976</v>
      </c>
      <c r="G215" s="18">
        <f>IF($A215&gt;'1-Input'!$B$26,E215,E215-MIN(MAX(E215,0),'P-Parametri'!$B$8*(E215+D215)))</f>
        <v>123297.5664270352</v>
      </c>
      <c r="H215" s="18">
        <f>IF($A215&gt;'1-Input'!$B$26,H214,H214-C215*(1-B215))</f>
        <v>35280.180141419427</v>
      </c>
      <c r="I215" s="11">
        <f>IF($A215&gt;'1-Input'!$B$26,0,IF(N214&lt;=0,0,MAX(0,(N214-O214)/N214)))</f>
        <v>0</v>
      </c>
      <c r="J215" s="18">
        <f>IF($A215&gt;'1-Input'!$B$26,0,(MAX(0,I176-IF($A215&gt;='1-Input'!$C$12,'1-Input'!$B$12,0))-MIN(MAX(M214,0),MAX(0,I176-IF($A215&gt;='1-Input'!$C$12,'1-Input'!$B$12,0))))*(1/(1-'P-Parametri'!$B$6*I215))+MIN(MAX(0,N214-(MAX(0,I176-IF($A215&gt;='1-Input'!$C$12,'1-Input'!$B$12,0))-MIN(MAX(M214,0),MAX(0,I176-IF($A215&gt;='1-Input'!$C$12,'1-Input'!$B$12,0))))*(1/(1-'P-Parametri'!$B$6*I215))),MAX(0,2*I176-(M214-MIN(MAX(M214,0),MAX(0,I176-IF($A215&gt;='1-Input'!$C$12,'1-Input'!$B$12,0)))))*(1/(1-'P-Parametri'!$B$6*I215))))</f>
        <v>10846.756992928691</v>
      </c>
      <c r="K215" s="18">
        <f>IF($A215&gt;'1-Input'!$B$26,M214,(M214-MAX(0,I176-IF($A215&gt;='1-Input'!$C$12,'1-Input'!$B$12,0))+J215*(1-'P-Parametri'!$B$6*I215))*(1+ROUND('3-Liquidita'!$F$11,4)))</f>
        <v>0</v>
      </c>
      <c r="L215" s="18">
        <f>IF($A215&gt;'1-Input'!$B$26,N214,(N214-J215)*(1+'5-Roberta'!$C$4))</f>
        <v>-179957.01318010109</v>
      </c>
      <c r="M215" s="18">
        <f>IF($A215&gt;'1-Input'!$B$26,K215,K215-'P-Parametri'!$B$8*(L215+K215)+MIN(MAX(L215,0),'P-Parametri'!$B$8*(L215+K215)))</f>
        <v>0</v>
      </c>
      <c r="N215" s="18">
        <f>IF($A215&gt;'1-Input'!$B$26,L215,L215-MIN(MAX(L215,0),'P-Parametri'!$B$8*(L215+K215)))</f>
        <v>-179597.09915374088</v>
      </c>
      <c r="O215" s="18">
        <f>IF($A215&gt;'1-Input'!$B$26,O214,O214-J215*(1-I215))</f>
        <v>-146228.30304240499</v>
      </c>
      <c r="P215" s="11">
        <f>IF($A215&gt;'1-Input'!$B$26,0,IF(U214&lt;=0,0,MAX(0,(U214-V214)/U214)))</f>
        <v>0.70111343064093901</v>
      </c>
      <c r="Q215" s="18">
        <f>IF($A215&gt;'1-Input'!$B$26,0,(MAX(0,P176-IF($A215&gt;='1-Input'!$C$12,'1-Input'!$B$12,0))-MIN(MAX(T214,0),MAX(0,P176-IF($A215&gt;='1-Input'!$C$12,'1-Input'!$B$12,0))))*(1/(1-'P-Parametri'!$B$6*P215))+MIN(MAX(0,U214-(MAX(0,P176-IF($A215&gt;='1-Input'!$C$12,'1-Input'!$B$12,0))-MIN(MAX(T214,0),MAX(0,P176-IF($A215&gt;='1-Input'!$C$12,'1-Input'!$B$12,0))))*(1/(1-'P-Parametri'!$B$6*P215))),MAX(0,2*P176-(T214-MIN(MAX(T214,0),MAX(0,P176-IF($A215&gt;='1-Input'!$C$12,'1-Input'!$B$12,0)))))*(1/(1-'P-Parametri'!$B$6*P215))))</f>
        <v>8791.0965361265371</v>
      </c>
      <c r="R215" s="18">
        <f>IF($A215&gt;'1-Input'!$B$26,T214,(T214-MAX(0,P176-IF($A215&gt;='1-Input'!$C$12,'1-Input'!$B$12,0))+Q215*(1-'P-Parametri'!$B$6*P215))*(1+ROUND('3-Liquidita'!$F$11,4)))</f>
        <v>36091.703549375699</v>
      </c>
      <c r="S215" s="18">
        <f>IF($A215&gt;'1-Input'!$B$26,U214,(U214-Q215)*(1+'5-Roberta'!$C$4))</f>
        <v>6968.3258609789937</v>
      </c>
      <c r="T215" s="18">
        <f>IF($A215&gt;'1-Input'!$B$26,R215,R215-'P-Parametri'!$B$8*(S215+R215)+MIN(MAX(S215,0),'P-Parametri'!$B$8*(S215+R215)))</f>
        <v>36091.703549375699</v>
      </c>
      <c r="U215" s="18">
        <f>IF($A215&gt;'1-Input'!$B$26,S215,S215-MIN(MAX(S215,0),'P-Parametri'!$B$8*(S215+R215)))</f>
        <v>6882.2058021582843</v>
      </c>
      <c r="V215" s="18">
        <f>IF($A215&gt;'1-Input'!$B$26,V214,V214-Q215*(1-P215))</f>
        <v>2022.0767094796461</v>
      </c>
      <c r="W215" s="11">
        <f>IF($A215&gt;'1-Input'!$B$26,0,IF(AB214&lt;=0,0,MAX(0,(AB214-AC214)/AB214)))</f>
        <v>0.70298481869515639</v>
      </c>
      <c r="X215" s="18">
        <f>IF($A215&gt;'1-Input'!$B$26,0,(MAX(0,W176-IF($A215&gt;='1-Input'!$C$12,'1-Input'!$B$12,0))-MIN(MAX(AA214,0),MAX(0,W176-IF($A215&gt;='1-Input'!$C$12,'1-Input'!$B$12,0))))*(1/(1-'P-Parametri'!$B$6*W215))+MIN(MAX(0,AB214-(MAX(0,W176-IF($A215&gt;='1-Input'!$C$12,'1-Input'!$B$12,0))-MIN(MAX(AA214,0),MAX(0,W176-IF($A215&gt;='1-Input'!$C$12,'1-Input'!$B$12,0))))*(1/(1-'P-Parametri'!$B$6*W215))),MAX(0,2*W176-(AA214-MIN(MAX(AA214,0),MAX(0,W176-IF($A215&gt;='1-Input'!$C$12,'1-Input'!$B$12,0)))))*(1/(1-'P-Parametri'!$B$6*W215))))</f>
        <v>8552.4761340371479</v>
      </c>
      <c r="Y215" s="18">
        <f>IF($A215&gt;'1-Input'!$B$26,AA214,(AA214-MAX(0,W176-IF($A215&gt;='1-Input'!$C$12,'1-Input'!$B$12,0))+X215*(1-'P-Parametri'!$B$6*W215))*(1+ROUND('3-Liquidita'!$F$11,4)))</f>
        <v>35698.468794259323</v>
      </c>
      <c r="Z215" s="18">
        <f>IF($A215&gt;'1-Input'!$B$26,AB214,(AB214-X215)*(1+'5-Roberta'!$C$4))</f>
        <v>22882.228608337722</v>
      </c>
      <c r="AA215" s="18">
        <f>IF($A215&gt;'1-Input'!$B$26,Y215,Y215-'P-Parametri'!$B$8*(Z215+Y215)+MIN(MAX(Z215,0),'P-Parametri'!$B$8*(Z215+Y215)))</f>
        <v>35698.468794259323</v>
      </c>
      <c r="AB215" s="18">
        <f>IF($A215&gt;'1-Input'!$B$26,Z215,Z215-MIN(MAX(Z215,0),'P-Parametri'!$B$8*(Z215+Y215)))</f>
        <v>22765.067213532529</v>
      </c>
      <c r="AC215" s="18">
        <f>IF($A215&gt;'1-Input'!$B$26,AC214,AC214-X215*(1-W215))</f>
        <v>6598.4167754993287</v>
      </c>
      <c r="AD215" s="11">
        <f>IF($A215&gt;'1-Input'!$B$26,0,IF(AI214&lt;=0,0,MAX(0,(AI214-AJ214)/AI214)))</f>
        <v>0.70307022402079278</v>
      </c>
      <c r="AE215" s="18">
        <f>IF($A215&gt;'1-Input'!$B$26,0,(MAX(0,AD176-IF($A215&gt;='1-Input'!$C$12,'1-Input'!$B$12,0))-MIN(MAX(AH214,0),MAX(0,AD176-IF($A215&gt;='1-Input'!$C$12,'1-Input'!$B$12,0))))*(1/(1-'P-Parametri'!$B$6*AD215))+MIN(MAX(0,AI214-(MAX(0,AD176-IF($A215&gt;='1-Input'!$C$12,'1-Input'!$B$12,0))-MIN(MAX(AH214,0),MAX(0,AD176-IF($A215&gt;='1-Input'!$C$12,'1-Input'!$B$12,0))))*(1/(1-'P-Parametri'!$B$6*AD215))),MAX(0,2*AD176-(AH214-MIN(MAX(AH214,0),MAX(0,AD176-IF($A215&gt;='1-Input'!$C$12,'1-Input'!$B$12,0)))))*(1/(1-'P-Parametri'!$B$6*AD215))))</f>
        <v>8535.4795804683108</v>
      </c>
      <c r="AF215" s="18">
        <f>IF($A215&gt;'1-Input'!$B$26,AH214,(AH214-MAX(0,AD176-IF($A215&gt;='1-Input'!$C$12,'1-Input'!$B$12,0))+AE215*(1-'P-Parametri'!$B$6*AD215))*(1+ROUND('3-Liquidita'!$F$11,4)))</f>
        <v>35670.686502200319</v>
      </c>
      <c r="AG215" s="18">
        <f>IF($A215&gt;'1-Input'!$B$26,AI214,(AI214-AE215)*(1+'5-Roberta'!$C$4))</f>
        <v>24006.939326427047</v>
      </c>
      <c r="AH215" s="18">
        <f>IF($A215&gt;'1-Input'!$B$26,AF215,AF215-'P-Parametri'!$B$8*(AG215+AF215)+MIN(MAX(AG215,0),'P-Parametri'!$B$8*(AG215+AF215)))</f>
        <v>35670.686502200319</v>
      </c>
      <c r="AI215" s="18">
        <f>IF($A215&gt;'1-Input'!$B$26,AG215,AG215-MIN(MAX(AG215,0),'P-Parametri'!$B$8*(AG215+AF215)))</f>
        <v>23887.584074769791</v>
      </c>
      <c r="AJ215" s="18">
        <f>IF($A215&gt;'1-Input'!$B$26,AJ214,AJ214-AE215*(1-AD215))</f>
        <v>6920.7525399440819</v>
      </c>
      <c r="AK215" s="11">
        <f>IF($A215&gt;'1-Input'!$B$26,0,IF(AP214&lt;=0,0,MAX(0,(AP214-AQ214)/AP214)))</f>
        <v>0.70307041359015909</v>
      </c>
      <c r="AL215" s="18">
        <f>IF($A215&gt;'1-Input'!$B$26,0,(MAX(0,AK176-IF($A215&gt;='1-Input'!$C$12,'1-Input'!$B$12,0))-MIN(MAX(AO214,0),MAX(0,AK176-IF($A215&gt;='1-Input'!$C$12,'1-Input'!$B$12,0))))*(1/(1-'P-Parametri'!$B$6*AK215))+MIN(MAX(0,AP214-(MAX(0,AK176-IF($A215&gt;='1-Input'!$C$12,'1-Input'!$B$12,0))-MIN(MAX(AO214,0),MAX(0,AK176-IF($A215&gt;='1-Input'!$C$12,'1-Input'!$B$12,0))))*(1/(1-'P-Parametri'!$B$6*AK215))),MAX(0,2*AK176-(AO214-MIN(MAX(AO214,0),MAX(0,AK176-IF($A215&gt;='1-Input'!$C$12,'1-Input'!$B$12,0)))))*(1/(1-'P-Parametri'!$B$6*AK215))))</f>
        <v>8535.441030336804</v>
      </c>
      <c r="AM215" s="18">
        <f>IF($A215&gt;'1-Input'!$B$26,AO214,(AO214-MAX(0,AK176-IF($A215&gt;='1-Input'!$C$12,'1-Input'!$B$12,0))+AL215*(1-'P-Parametri'!$B$6*AK215))*(1+ROUND('3-Liquidita'!$F$11,4)))</f>
        <v>35670.623508598648</v>
      </c>
      <c r="AN215" s="18">
        <f>IF($A215&gt;'1-Input'!$B$26,AP214,(AP214-AL215)*(1+'5-Roberta'!$C$4))</f>
        <v>24009.489538275979</v>
      </c>
      <c r="AO215" s="18">
        <f>IF($A215&gt;'1-Input'!$B$26,AM215,AM215-'P-Parametri'!$B$8*(AN215+AM215)+MIN(MAX(AN215,0),'P-Parametri'!$B$8*(AN215+AM215)))</f>
        <v>35670.623508598648</v>
      </c>
      <c r="AP215" s="18">
        <f>IF($A215&gt;'1-Input'!$B$26,AN215,AN215-MIN(MAX(AN215,0),'P-Parametri'!$B$8*(AN215+AM215)))</f>
        <v>23890.129312182231</v>
      </c>
      <c r="AQ215" s="18">
        <f>IF($A215&gt;'1-Input'!$B$26,AQ214,AQ214-AL215*(1-AK215))</f>
        <v>6921.4832995259103</v>
      </c>
    </row>
    <row r="216" spans="1:43">
      <c r="A216" s="10">
        <f>38</f>
        <v>38</v>
      </c>
      <c r="B216" s="11">
        <f>IF($A216&gt;'1-Input'!$B$26,0,IF(G215&lt;=0,0,MAX(0,(G215-H215)/G215)))</f>
        <v>0.71386150462022724</v>
      </c>
      <c r="C216" s="18">
        <f>IF($A216&gt;'1-Input'!$B$26,0,(MAX(0,B176-IF($A216&gt;='1-Input'!$C$12,'1-Input'!$B$12,0))-MIN(MAX(F215,0),MAX(0,B176-IF($A216&gt;='1-Input'!$C$12,'1-Input'!$B$12,0))))*(1/(1-'P-Parametri'!$B$6*B216))+MIN(MAX(0,G215-(MAX(0,B176-IF($A216&gt;='1-Input'!$C$12,'1-Input'!$B$12,0))-MIN(MAX(F215,0),MAX(0,B176-IF($A216&gt;='1-Input'!$C$12,'1-Input'!$B$12,0))))*(1/(1-'P-Parametri'!$B$6*B216))),MAX(0,2*B176-(F215-MIN(MAX(F215,0),MAX(0,B176-IF($A216&gt;='1-Input'!$C$12,'1-Input'!$B$12,0)))))*(1/(1-'P-Parametri'!$B$6*B216))))</f>
        <v>7034.888126365151</v>
      </c>
      <c r="D216" s="18">
        <f>IF($A216&gt;'1-Input'!$B$26,F215,(F215-MAX(0,B176-IF($A216&gt;='1-Input'!$C$12,'1-Input'!$B$12,0))+C216*(1-'P-Parametri'!$B$6*B216))*(1+ROUND('3-Liquidita'!$F$11,4)))</f>
        <v>33211.981131419976</v>
      </c>
      <c r="E216" s="18">
        <f>IF($A216&gt;'1-Input'!$B$26,G215,(G215-C216)*(1+'5-Roberta'!$C$4))</f>
        <v>119750.55864969015</v>
      </c>
      <c r="F216" s="18">
        <f>IF($A216&gt;'1-Input'!$B$26,D216,D216-'P-Parametri'!$B$8*(E216+D216)+MIN(MAX(E216,0),'P-Parametri'!$B$8*(E216+D216)))</f>
        <v>33211.981131419976</v>
      </c>
      <c r="G216" s="18">
        <f>IF($A216&gt;'1-Input'!$B$26,E216,E216-MIN(MAX(E216,0),'P-Parametri'!$B$8*(E216+D216)))</f>
        <v>119444.63357012793</v>
      </c>
      <c r="H216" s="18">
        <f>IF($A216&gt;'1-Input'!$B$26,H215,H215-C216*(1-B216))</f>
        <v>33267.22783777627</v>
      </c>
      <c r="I216" s="11">
        <f>IF($A216&gt;'1-Input'!$B$26,0,IF(N215&lt;=0,0,MAX(0,(N215-O215)/N215)))</f>
        <v>0</v>
      </c>
      <c r="J216" s="18">
        <f>IF($A216&gt;'1-Input'!$B$26,0,(MAX(0,I176-IF($A216&gt;='1-Input'!$C$12,'1-Input'!$B$12,0))-MIN(MAX(M215,0),MAX(0,I176-IF($A216&gt;='1-Input'!$C$12,'1-Input'!$B$12,0))))*(1/(1-'P-Parametri'!$B$6*I216))+MIN(MAX(0,N215-(MAX(0,I176-IF($A216&gt;='1-Input'!$C$12,'1-Input'!$B$12,0))-MIN(MAX(M215,0),MAX(0,I176-IF($A216&gt;='1-Input'!$C$12,'1-Input'!$B$12,0))))*(1/(1-'P-Parametri'!$B$6*I216))),MAX(0,2*I176-(M215-MIN(MAX(M215,0),MAX(0,I176-IF($A216&gt;='1-Input'!$C$12,'1-Input'!$B$12,0)))))*(1/(1-'P-Parametri'!$B$6*I216))))</f>
        <v>10846.756992928691</v>
      </c>
      <c r="K216" s="18">
        <f>IF($A216&gt;'1-Input'!$B$26,M215,(M215-MAX(0,I176-IF($A216&gt;='1-Input'!$C$12,'1-Input'!$B$12,0))+J216*(1-'P-Parametri'!$B$6*I216))*(1+ROUND('3-Liquidita'!$F$11,4)))</f>
        <v>0</v>
      </c>
      <c r="L216" s="18">
        <f>IF($A216&gt;'1-Input'!$B$26,N215,(N215-J216)*(1+'5-Roberta'!$C$4))</f>
        <v>-196157.17183106966</v>
      </c>
      <c r="M216" s="18">
        <f>IF($A216&gt;'1-Input'!$B$26,K216,K216-'P-Parametri'!$B$8*(L216+K216)+MIN(MAX(L216,0),'P-Parametri'!$B$8*(L216+K216)))</f>
        <v>0</v>
      </c>
      <c r="N216" s="18">
        <f>IF($A216&gt;'1-Input'!$B$26,L216,L216-MIN(MAX(L216,0),'P-Parametri'!$B$8*(L216+K216)))</f>
        <v>-195764.85748740751</v>
      </c>
      <c r="O216" s="18">
        <f>IF($A216&gt;'1-Input'!$B$26,O215,O215-J216*(1-I216))</f>
        <v>-157075.06003533368</v>
      </c>
      <c r="P216" s="11">
        <f>IF($A216&gt;'1-Input'!$B$26,0,IF(U215&lt;=0,0,MAX(0,(U215-V215)/U215)))</f>
        <v>0.70618770091915661</v>
      </c>
      <c r="Q216" s="18">
        <f>IF($A216&gt;'1-Input'!$B$26,0,(MAX(0,P176-IF($A216&gt;='1-Input'!$C$12,'1-Input'!$B$12,0))-MIN(MAX(T215,0),MAX(0,P176-IF($A216&gt;='1-Input'!$C$12,'1-Input'!$B$12,0))))*(1/(1-'P-Parametri'!$B$6*P216))+MIN(MAX(0,U215-(MAX(0,P176-IF($A216&gt;='1-Input'!$C$12,'1-Input'!$B$12,0))-MIN(MAX(T215,0),MAX(0,P176-IF($A216&gt;='1-Input'!$C$12,'1-Input'!$B$12,0))))*(1/(1-'P-Parametri'!$B$6*P216))),MAX(0,2*P176-(T215-MIN(MAX(T215,0),MAX(0,P176-IF($A216&gt;='1-Input'!$C$12,'1-Input'!$B$12,0)))))*(1/(1-'P-Parametri'!$B$6*P216))))</f>
        <v>6882.2058021582843</v>
      </c>
      <c r="R216" s="18">
        <f>IF($A216&gt;'1-Input'!$B$26,T215,(T215-MAX(0,P176-IF($A216&gt;='1-Input'!$C$12,'1-Input'!$B$12,0))+Q216*(1-'P-Parametri'!$B$6*P216))*(1+ROUND('3-Liquidita'!$F$11,4)))</f>
        <v>34528.768771706222</v>
      </c>
      <c r="S216" s="18">
        <f>IF($A216&gt;'1-Input'!$B$26,U215,(U215-Q216)*(1+'5-Roberta'!$C$4))</f>
        <v>0</v>
      </c>
      <c r="T216" s="18">
        <f>IF($A216&gt;'1-Input'!$B$26,R216,R216-'P-Parametri'!$B$8*(S216+R216)+MIN(MAX(S216,0),'P-Parametri'!$B$8*(S216+R216)))</f>
        <v>34459.711234162809</v>
      </c>
      <c r="U216" s="18">
        <f>IF($A216&gt;'1-Input'!$B$26,S216,S216-MIN(MAX(S216,0),'P-Parametri'!$B$8*(S216+R216)))</f>
        <v>0</v>
      </c>
      <c r="V216" s="18">
        <f>IF($A216&gt;'1-Input'!$B$26,V215,V215-Q216*(1-P216))</f>
        <v>6.8212102632969618E-13</v>
      </c>
      <c r="W216" s="11">
        <f>IF($A216&gt;'1-Input'!$B$26,0,IF(AB215&lt;=0,0,MAX(0,(AB215-AC215)/AB215)))</f>
        <v>0.71015166730643575</v>
      </c>
      <c r="X216" s="18">
        <f>IF($A216&gt;'1-Input'!$B$26,0,(MAX(0,W176-IF($A216&gt;='1-Input'!$C$12,'1-Input'!$B$12,0))-MIN(MAX(AA215,0),MAX(0,W176-IF($A216&gt;='1-Input'!$C$12,'1-Input'!$B$12,0))))*(1/(1-'P-Parametri'!$B$6*W216))+MIN(MAX(0,AB215-(MAX(0,W176-IF($A216&gt;='1-Input'!$C$12,'1-Input'!$B$12,0))-MIN(MAX(AA215,0),MAX(0,W176-IF($A216&gt;='1-Input'!$C$12,'1-Input'!$B$12,0))))*(1/(1-'P-Parametri'!$B$6*W216))),MAX(0,2*W176-(AA215-MIN(MAX(AA215,0),MAX(0,W176-IF($A216&gt;='1-Input'!$C$12,'1-Input'!$B$12,0)))))*(1/(1-'P-Parametri'!$B$6*W216))))</f>
        <v>8572.0214972762587</v>
      </c>
      <c r="Y216" s="18">
        <f>IF($A216&gt;'1-Input'!$B$26,AA215,(AA215-MAX(0,W176-IF($A216&gt;='1-Input'!$C$12,'1-Input'!$B$12,0))+X216*(1-'P-Parametri'!$B$6*W216))*(1+ROUND('3-Liquidita'!$F$11,4)))</f>
        <v>35698.468794259323</v>
      </c>
      <c r="Z216" s="18">
        <f>IF($A216&gt;'1-Input'!$B$26,AB215,(AB215-X216)*(1+'5-Roberta'!$C$4))</f>
        <v>14618.837087743959</v>
      </c>
      <c r="AA216" s="18">
        <f>IF($A216&gt;'1-Input'!$B$26,Y216,Y216-'P-Parametri'!$B$8*(Z216+Y216)+MIN(MAX(Z216,0),'P-Parametri'!$B$8*(Z216+Y216)))</f>
        <v>35698.468794259323</v>
      </c>
      <c r="AB216" s="18">
        <f>IF($A216&gt;'1-Input'!$B$26,Z216,Z216-MIN(MAX(Z216,0),'P-Parametri'!$B$8*(Z216+Y216)))</f>
        <v>14518.202475979953</v>
      </c>
      <c r="AC216" s="18">
        <f>IF($A216&gt;'1-Input'!$B$26,AC215,AC215-X216*(1-W216))</f>
        <v>4113.8306367004152</v>
      </c>
      <c r="AD216" s="11">
        <f>IF($A216&gt;'1-Input'!$B$26,0,IF(AI215&lt;=0,0,MAX(0,(AI215-AJ215)/AI215)))</f>
        <v>0.71027825508508324</v>
      </c>
      <c r="AE216" s="18">
        <f>IF($A216&gt;'1-Input'!$B$26,0,(MAX(0,AD176-IF($A216&gt;='1-Input'!$C$12,'1-Input'!$B$12,0))-MIN(MAX(AH215,0),MAX(0,AD176-IF($A216&gt;='1-Input'!$C$12,'1-Input'!$B$12,0))))*(1/(1-'P-Parametri'!$B$6*AD216))+MIN(MAX(0,AI215-(MAX(0,AD176-IF($A216&gt;='1-Input'!$C$12,'1-Input'!$B$12,0))-MIN(MAX(AH215,0),MAX(0,AD176-IF($A216&gt;='1-Input'!$C$12,'1-Input'!$B$12,0))))*(1/(1-'P-Parametri'!$B$6*AD216))),MAX(0,2*AD176-(AH215-MIN(MAX(AH215,0),MAX(0,AD176-IF($A216&gt;='1-Input'!$C$12,'1-Input'!$B$12,0)))))*(1/(1-'P-Parametri'!$B$6*AD216))))</f>
        <v>8555.0989818692651</v>
      </c>
      <c r="AF216" s="18">
        <f>IF($A216&gt;'1-Input'!$B$26,AH215,(AH215-MAX(0,AD176-IF($A216&gt;='1-Input'!$C$12,'1-Input'!$B$12,0))+AE216*(1-'P-Parametri'!$B$6*AD216))*(1+ROUND('3-Liquidita'!$F$11,4)))</f>
        <v>35670.686502200319</v>
      </c>
      <c r="AG216" s="18">
        <f>IF($A216&gt;'1-Input'!$B$26,AI215,(AI215-AE216)*(1+'5-Roberta'!$C$4))</f>
        <v>15792.459645687542</v>
      </c>
      <c r="AH216" s="18">
        <f>IF($A216&gt;'1-Input'!$B$26,AF216,AF216-'P-Parametri'!$B$8*(AG216+AF216)+MIN(MAX(AG216,0),'P-Parametri'!$B$8*(AG216+AF216)))</f>
        <v>35670.686502200319</v>
      </c>
      <c r="AI216" s="18">
        <f>IF($A216&gt;'1-Input'!$B$26,AG216,AG216-MIN(MAX(AG216,0),'P-Parametri'!$B$8*(AG216+AF216)))</f>
        <v>15689.533353391767</v>
      </c>
      <c r="AJ216" s="18">
        <f>IF($A216&gt;'1-Input'!$B$26,AJ215,AJ215-AE216*(1-AD216))</f>
        <v>4442.1543349970907</v>
      </c>
      <c r="AK216" s="11">
        <f>IF($A216&gt;'1-Input'!$B$26,0,IF(AP215&lt;=0,0,MAX(0,(AP215-AQ215)/AP215)))</f>
        <v>0.71027853348636105</v>
      </c>
      <c r="AL216" s="18">
        <f>IF($A216&gt;'1-Input'!$B$26,0,(MAX(0,AK176-IF($A216&gt;='1-Input'!$C$12,'1-Input'!$B$12,0))-MIN(MAX(AO215,0),MAX(0,AK176-IF($A216&gt;='1-Input'!$C$12,'1-Input'!$B$12,0))))*(1/(1-'P-Parametri'!$B$6*AK216))+MIN(MAX(0,AP215-(MAX(0,AK176-IF($A216&gt;='1-Input'!$C$12,'1-Input'!$B$12,0))-MIN(MAX(AO215,0),MAX(0,AK176-IF($A216&gt;='1-Input'!$C$12,'1-Input'!$B$12,0))))*(1/(1-'P-Parametri'!$B$6*AK216))),MAX(0,2*AK176-(AO215-MIN(MAX(AO215,0),MAX(0,AK176-IF($A216&gt;='1-Input'!$C$12,'1-Input'!$B$12,0)))))*(1/(1-'P-Parametri'!$B$6*AK216))))</f>
        <v>8555.0605866581591</v>
      </c>
      <c r="AM216" s="18">
        <f>IF($A216&gt;'1-Input'!$B$26,AO215,(AO215-MAX(0,AK176-IF($A216&gt;='1-Input'!$C$12,'1-Input'!$B$12,0))+AL216*(1-'P-Parametri'!$B$6*AK216))*(1+ROUND('3-Liquidita'!$F$11,4)))</f>
        <v>35670.623508598648</v>
      </c>
      <c r="AN216" s="18">
        <f>IF($A216&gt;'1-Input'!$B$26,AP215,(AP215-AL216)*(1+'5-Roberta'!$C$4))</f>
        <v>15795.120787289794</v>
      </c>
      <c r="AO216" s="18">
        <f>IF($A216&gt;'1-Input'!$B$26,AM216,AM216-'P-Parametri'!$B$8*(AN216+AM216)+MIN(MAX(AN216,0),'P-Parametri'!$B$8*(AN216+AM216)))</f>
        <v>35670.623508598648</v>
      </c>
      <c r="AP216" s="18">
        <f>IF($A216&gt;'1-Input'!$B$26,AN216,AN216-MIN(MAX(AN216,0),'P-Parametri'!$B$8*(AN216+AM216)))</f>
        <v>15692.189298698017</v>
      </c>
      <c r="AQ216" s="18">
        <f>IF($A216&gt;'1-Input'!$B$26,AQ215,AQ215-AL216*(1-AK216))</f>
        <v>4442.8986002462761</v>
      </c>
    </row>
    <row r="217" spans="1:43">
      <c r="A217" s="10">
        <f>39</f>
        <v>39</v>
      </c>
      <c r="B217" s="11">
        <f>IF($A217&gt;'1-Input'!$B$26,0,IF(G216&lt;=0,0,MAX(0,(G216-H216)/G216)))</f>
        <v>0.72148411491216535</v>
      </c>
      <c r="C217" s="18">
        <f>IF($A217&gt;'1-Input'!$B$26,0,(MAX(0,B176-IF($A217&gt;='1-Input'!$C$12,'1-Input'!$B$12,0))-MIN(MAX(F216,0),MAX(0,B176-IF($A217&gt;='1-Input'!$C$12,'1-Input'!$B$12,0))))*(1/(1-'P-Parametri'!$B$6*B217))+MIN(MAX(0,G216-(MAX(0,B176-IF($A217&gt;='1-Input'!$C$12,'1-Input'!$B$12,0))-MIN(MAX(F216,0),MAX(0,B176-IF($A217&gt;='1-Input'!$C$12,'1-Input'!$B$12,0))))*(1/(1-'P-Parametri'!$B$6*B217))),MAX(0,2*B176-(F216-MIN(MAX(F216,0),MAX(0,B176-IF($A217&gt;='1-Input'!$C$12,'1-Input'!$B$12,0)))))*(1/(1-'P-Parametri'!$B$6*B217))))</f>
        <v>7052.0496875050403</v>
      </c>
      <c r="D217" s="18">
        <f>IF($A217&gt;'1-Input'!$B$26,F216,(F216-MAX(0,B176-IF($A217&gt;='1-Input'!$C$12,'1-Input'!$B$12,0))+C217*(1-'P-Parametri'!$B$6*B217))*(1+ROUND('3-Liquidita'!$F$11,4)))</f>
        <v>33211.981131419976</v>
      </c>
      <c r="E217" s="18">
        <f>IF($A217&gt;'1-Input'!$B$26,G216,(G216-C217)*(1+'5-Roberta'!$C$4))</f>
        <v>115764.36139910157</v>
      </c>
      <c r="F217" s="18">
        <f>IF($A217&gt;'1-Input'!$B$26,D217,D217-'P-Parametri'!$B$8*(E217+D217)+MIN(MAX(E217,0),'P-Parametri'!$B$8*(E217+D217)))</f>
        <v>33211.981131419976</v>
      </c>
      <c r="G217" s="18">
        <f>IF($A217&gt;'1-Input'!$B$26,E217,E217-MIN(MAX(E217,0),'P-Parametri'!$B$8*(E217+D217)))</f>
        <v>115466.40871404053</v>
      </c>
      <c r="H217" s="18">
        <f>IF($A217&gt;'1-Input'!$B$26,H216,H216-C217*(1-B217))</f>
        <v>31303.119977377417</v>
      </c>
      <c r="I217" s="11">
        <f>IF($A217&gt;'1-Input'!$B$26,0,IF(N216&lt;=0,0,MAX(0,(N216-O216)/N216)))</f>
        <v>0</v>
      </c>
      <c r="J217" s="18">
        <f>IF($A217&gt;'1-Input'!$B$26,0,(MAX(0,I176-IF($A217&gt;='1-Input'!$C$12,'1-Input'!$B$12,0))-MIN(MAX(M216,0),MAX(0,I176-IF($A217&gt;='1-Input'!$C$12,'1-Input'!$B$12,0))))*(1/(1-'P-Parametri'!$B$6*I217))+MIN(MAX(0,N216-(MAX(0,I176-IF($A217&gt;='1-Input'!$C$12,'1-Input'!$B$12,0))-MIN(MAX(M216,0),MAX(0,I176-IF($A217&gt;='1-Input'!$C$12,'1-Input'!$B$12,0))))*(1/(1-'P-Parametri'!$B$6*I217))),MAX(0,2*I176-(M216-MIN(MAX(M216,0),MAX(0,I176-IF($A217&gt;='1-Input'!$C$12,'1-Input'!$B$12,0)))))*(1/(1-'P-Parametri'!$B$6*I217))))</f>
        <v>10846.756992928691</v>
      </c>
      <c r="K217" s="18">
        <f>IF($A217&gt;'1-Input'!$B$26,M216,(M216-MAX(0,I176-IF($A217&gt;='1-Input'!$C$12,'1-Input'!$B$12,0))+J217*(1-'P-Parametri'!$B$6*I217))*(1+ROUND('3-Liquidita'!$F$11,4)))</f>
        <v>0</v>
      </c>
      <c r="L217" s="18">
        <f>IF($A217&gt;'1-Input'!$B$26,N216,(N216-J217)*(1+'5-Roberta'!$C$4))</f>
        <v>-212809.96291474628</v>
      </c>
      <c r="M217" s="18">
        <f>IF($A217&gt;'1-Input'!$B$26,K217,K217-'P-Parametri'!$B$8*(L217+K217)+MIN(MAX(L217,0),'P-Parametri'!$B$8*(L217+K217)))</f>
        <v>0</v>
      </c>
      <c r="N217" s="18">
        <f>IF($A217&gt;'1-Input'!$B$26,L217,L217-MIN(MAX(L217,0),'P-Parametri'!$B$8*(L217+K217)))</f>
        <v>-212384.34298891679</v>
      </c>
      <c r="O217" s="18">
        <f>IF($A217&gt;'1-Input'!$B$26,O216,O216-J217*(1-I217))</f>
        <v>-167921.81702826236</v>
      </c>
      <c r="P217" s="11">
        <f>IF($A217&gt;'1-Input'!$B$26,0,IF(U216&lt;=0,0,MAX(0,(U216-V216)/U216)))</f>
        <v>0</v>
      </c>
      <c r="Q217" s="18">
        <f>IF($A217&gt;'1-Input'!$B$26,0,(MAX(0,P176-IF($A217&gt;='1-Input'!$C$12,'1-Input'!$B$12,0))-MIN(MAX(T216,0),MAX(0,P176-IF($A217&gt;='1-Input'!$C$12,'1-Input'!$B$12,0))))*(1/(1-'P-Parametri'!$B$6*P217))+MIN(MAX(0,U216-(MAX(0,P176-IF($A217&gt;='1-Input'!$C$12,'1-Input'!$B$12,0))-MIN(MAX(T216,0),MAX(0,P176-IF($A217&gt;='1-Input'!$C$12,'1-Input'!$B$12,0))))*(1/(1-'P-Parametri'!$B$6*P217))),MAX(0,2*P176-(T216-MIN(MAX(T216,0),MAX(0,P176-IF($A217&gt;='1-Input'!$C$12,'1-Input'!$B$12,0)))))*(1/(1-'P-Parametri'!$B$6*P217))))</f>
        <v>0</v>
      </c>
      <c r="R217" s="18">
        <f>IF($A217&gt;'1-Input'!$B$26,T216,(T216-MAX(0,P176-IF($A217&gt;='1-Input'!$C$12,'1-Input'!$B$12,0))+Q217*(1-'P-Parametri'!$B$6*P217))*(1+ROUND('3-Liquidita'!$F$11,4)))</f>
        <v>27310.831758921227</v>
      </c>
      <c r="S217" s="18">
        <f>IF($A217&gt;'1-Input'!$B$26,U216,(U216-Q217)*(1+'5-Roberta'!$C$4))</f>
        <v>0</v>
      </c>
      <c r="T217" s="18">
        <f>IF($A217&gt;'1-Input'!$B$26,R217,R217-'P-Parametri'!$B$8*(S217+R217)+MIN(MAX(S217,0),'P-Parametri'!$B$8*(S217+R217)))</f>
        <v>27256.210095403385</v>
      </c>
      <c r="U217" s="18">
        <f>IF($A217&gt;'1-Input'!$B$26,S217,S217-MIN(MAX(S217,0),'P-Parametri'!$B$8*(S217+R217)))</f>
        <v>0</v>
      </c>
      <c r="V217" s="18">
        <f>IF($A217&gt;'1-Input'!$B$26,V216,V216-Q217*(1-P217))</f>
        <v>6.8212102632969618E-13</v>
      </c>
      <c r="W217" s="11">
        <f>IF($A217&gt;'1-Input'!$B$26,0,IF(AB216&lt;=0,0,MAX(0,(AB216-AC216)/AB216)))</f>
        <v>0.71664325225477066</v>
      </c>
      <c r="X217" s="18">
        <f>IF($A217&gt;'1-Input'!$B$26,0,(MAX(0,W176-IF($A217&gt;='1-Input'!$C$12,'1-Input'!$B$12,0))-MIN(MAX(AA216,0),MAX(0,W176-IF($A217&gt;='1-Input'!$C$12,'1-Input'!$B$12,0))))*(1/(1-'P-Parametri'!$B$6*W217))+MIN(MAX(0,AB216-(MAX(0,W176-IF($A217&gt;='1-Input'!$C$12,'1-Input'!$B$12,0))-MIN(MAX(AA216,0),MAX(0,W176-IF($A217&gt;='1-Input'!$C$12,'1-Input'!$B$12,0))))*(1/(1-'P-Parametri'!$B$6*W217))),MAX(0,2*W176-(AA216-MIN(MAX(AA216,0),MAX(0,W176-IF($A217&gt;='1-Input'!$C$12,'1-Input'!$B$12,0)))))*(1/(1-'P-Parametri'!$B$6*W217))))</f>
        <v>8589.8025541089155</v>
      </c>
      <c r="Y217" s="18">
        <f>IF($A217&gt;'1-Input'!$B$26,AA216,(AA216-MAX(0,W176-IF($A217&gt;='1-Input'!$C$12,'1-Input'!$B$12,0))+X217*(1-'P-Parametri'!$B$6*W217))*(1+ROUND('3-Liquidita'!$F$11,4)))</f>
        <v>35698.468794259323</v>
      </c>
      <c r="Z217" s="18">
        <f>IF($A217&gt;'1-Input'!$B$26,AB216,(AB216-X217)*(1+'5-Roberta'!$C$4))</f>
        <v>6106.2519195271689</v>
      </c>
      <c r="AA217" s="18">
        <f>IF($A217&gt;'1-Input'!$B$26,Y217,Y217-'P-Parametri'!$B$8*(Z217+Y217)+MIN(MAX(Z217,0),'P-Parametri'!$B$8*(Z217+Y217)))</f>
        <v>35698.468794259323</v>
      </c>
      <c r="AB217" s="18">
        <f>IF($A217&gt;'1-Input'!$B$26,Z217,Z217-MIN(MAX(Z217,0),'P-Parametri'!$B$8*(Z217+Y217)))</f>
        <v>6022.6424780995958</v>
      </c>
      <c r="AC217" s="18">
        <f>IF($A217&gt;'1-Input'!$B$26,AC216,AC216-X217*(1-W217))</f>
        <v>1679.8521211944485</v>
      </c>
      <c r="AD217" s="11">
        <f>IF($A217&gt;'1-Input'!$B$26,0,IF(AI216&lt;=0,0,MAX(0,(AI216-AJ216)/AI216)))</f>
        <v>0.71687148145570656</v>
      </c>
      <c r="AE217" s="18">
        <f>IF($A217&gt;'1-Input'!$B$26,0,(MAX(0,AD176-IF($A217&gt;='1-Input'!$C$12,'1-Input'!$B$12,0))-MIN(MAX(AH216,0),MAX(0,AD176-IF($A217&gt;='1-Input'!$C$12,'1-Input'!$B$12,0))))*(1/(1-'P-Parametri'!$B$6*AD217))+MIN(MAX(0,AI216-(MAX(0,AD176-IF($A217&gt;='1-Input'!$C$12,'1-Input'!$B$12,0))-MIN(MAX(AH216,0),MAX(0,AD176-IF($A217&gt;='1-Input'!$C$12,'1-Input'!$B$12,0))))*(1/(1-'P-Parametri'!$B$6*AD217))),MAX(0,2*AD176-(AH216-MIN(MAX(AH216,0),MAX(0,AD176-IF($A217&gt;='1-Input'!$C$12,'1-Input'!$B$12,0)))))*(1/(1-'P-Parametri'!$B$6*AD217))))</f>
        <v>8573.1241063664565</v>
      </c>
      <c r="AF217" s="18">
        <f>IF($A217&gt;'1-Input'!$B$26,AH216,(AH216-MAX(0,AD176-IF($A217&gt;='1-Input'!$C$12,'1-Input'!$B$12,0))+AE217*(1-'P-Parametri'!$B$6*AD217))*(1+ROUND('3-Liquidita'!$F$11,4)))</f>
        <v>35670.686502200319</v>
      </c>
      <c r="AG217" s="18">
        <f>IF($A217&gt;'1-Input'!$B$26,AI216,(AI216-AE217)*(1+'5-Roberta'!$C$4))</f>
        <v>7329.9015244360708</v>
      </c>
      <c r="AH217" s="18">
        <f>IF($A217&gt;'1-Input'!$B$26,AF217,AF217-'P-Parametri'!$B$8*(AG217+AF217)+MIN(MAX(AG217,0),'P-Parametri'!$B$8*(AG217+AF217)))</f>
        <v>35670.686502200319</v>
      </c>
      <c r="AI217" s="18">
        <f>IF($A217&gt;'1-Input'!$B$26,AG217,AG217-MIN(MAX(AG217,0),'P-Parametri'!$B$8*(AG217+AF217)))</f>
        <v>7243.9003483827983</v>
      </c>
      <c r="AJ217" s="18">
        <f>IF($A217&gt;'1-Input'!$B$26,AJ216,AJ216-AE217*(1-AD217))</f>
        <v>2014.8584074651862</v>
      </c>
      <c r="AK217" s="11">
        <f>IF($A217&gt;'1-Input'!$B$26,0,IF(AP216&lt;=0,0,MAX(0,(AP216-AQ216)/AP216)))</f>
        <v>0.71687197269440883</v>
      </c>
      <c r="AL217" s="18">
        <f>IF($A217&gt;'1-Input'!$B$26,0,(MAX(0,AK176-IF($A217&gt;='1-Input'!$C$12,'1-Input'!$B$12,0))-MIN(MAX(AO216,0),MAX(0,AK176-IF($A217&gt;='1-Input'!$C$12,'1-Input'!$B$12,0))))*(1/(1-'P-Parametri'!$B$6*AK217))+MIN(MAX(0,AP216-(MAX(0,AK176-IF($A217&gt;='1-Input'!$C$12,'1-Input'!$B$12,0))-MIN(MAX(AO216,0),MAX(0,AK176-IF($A217&gt;='1-Input'!$C$12,'1-Input'!$B$12,0))))*(1/(1-'P-Parametri'!$B$6*AK217))),MAX(0,2*AK176-(AO216-MIN(MAX(AO216,0),MAX(0,AK176-IF($A217&gt;='1-Input'!$C$12,'1-Input'!$B$12,0)))))*(1/(1-'P-Parametri'!$B$6*AK217))))</f>
        <v>8573.0862149589229</v>
      </c>
      <c r="AM217" s="18">
        <f>IF($A217&gt;'1-Input'!$B$26,AO216,(AO216-MAX(0,AK176-IF($A217&gt;='1-Input'!$C$12,'1-Input'!$B$12,0))+AL217*(1-'P-Parametri'!$B$6*AK217))*(1+ROUND('3-Liquidita'!$F$11,4)))</f>
        <v>35670.623508598648</v>
      </c>
      <c r="AN217" s="18">
        <f>IF($A217&gt;'1-Input'!$B$26,AP216,(AP216-AL217)*(1+'5-Roberta'!$C$4))</f>
        <v>7332.676176251267</v>
      </c>
      <c r="AO217" s="18">
        <f>IF($A217&gt;'1-Input'!$B$26,AM217,AM217-'P-Parametri'!$B$8*(AN217+AM217)+MIN(MAX(AN217,0),'P-Parametri'!$B$8*(AN217+AM217)))</f>
        <v>35670.623508598648</v>
      </c>
      <c r="AP217" s="18">
        <f>IF($A217&gt;'1-Input'!$B$26,AN217,AN217-MIN(MAX(AN217,0),'P-Parametri'!$B$8*(AN217+AM217)))</f>
        <v>7246.6695768815671</v>
      </c>
      <c r="AQ217" s="18">
        <f>IF($A217&gt;'1-Input'!$B$26,AQ216,AQ216-AL217*(1-AK217))</f>
        <v>2015.6176122841989</v>
      </c>
    </row>
    <row r="218" spans="1:43">
      <c r="A218" s="10">
        <f>40</f>
        <v>40</v>
      </c>
      <c r="B218" s="11">
        <f>IF($A218&gt;'1-Input'!$B$26,0,IF(G217&lt;=0,0,MAX(0,(G217-H217)/G217)))</f>
        <v>0.72889847076736003</v>
      </c>
      <c r="C218" s="18">
        <f>IF($A218&gt;'1-Input'!$B$26,0,(MAX(0,B176-IF($A218&gt;='1-Input'!$C$12,'1-Input'!$B$12,0))-MIN(MAX(F217,0),MAX(0,B176-IF($A218&gt;='1-Input'!$C$12,'1-Input'!$B$12,0))))*(1/(1-'P-Parametri'!$B$6*B218))+MIN(MAX(0,G217-(MAX(0,B176-IF($A218&gt;='1-Input'!$C$12,'1-Input'!$B$12,0))-MIN(MAX(F217,0),MAX(0,B176-IF($A218&gt;='1-Input'!$C$12,'1-Input'!$B$12,0))))*(1/(1-'P-Parametri'!$B$6*B218))),MAX(0,2*B176-(F217-MIN(MAX(F217,0),MAX(0,B176-IF($A218&gt;='1-Input'!$C$12,'1-Input'!$B$12,0)))))*(1/(1-'P-Parametri'!$B$6*B218))))</f>
        <v>7068.8229061205338</v>
      </c>
      <c r="D218" s="18">
        <f>IF($A218&gt;'1-Input'!$B$26,F217,(F217-MAX(0,B176-IF($A218&gt;='1-Input'!$C$12,'1-Input'!$B$12,0))+C218*(1-'P-Parametri'!$B$6*B218))*(1+ROUND('3-Liquidita'!$F$11,4)))</f>
        <v>33211.981131419976</v>
      </c>
      <c r="E218" s="18">
        <f>IF($A218&gt;'1-Input'!$B$26,G217,(G217-C218)*(1+'5-Roberta'!$C$4))</f>
        <v>111649.5133821576</v>
      </c>
      <c r="F218" s="18">
        <f>IF($A218&gt;'1-Input'!$B$26,D218,D218-'P-Parametri'!$B$8*(E218+D218)+MIN(MAX(E218,0),'P-Parametri'!$B$8*(E218+D218)))</f>
        <v>33211.981131419976</v>
      </c>
      <c r="G218" s="18">
        <f>IF($A218&gt;'1-Input'!$B$26,E218,E218-MIN(MAX(E218,0),'P-Parametri'!$B$8*(E218+D218)))</f>
        <v>111359.79039313045</v>
      </c>
      <c r="H218" s="18">
        <f>IF($A218&gt;'1-Input'!$B$26,H217,H217-C218*(1-B218))</f>
        <v>29386.751277653428</v>
      </c>
      <c r="I218" s="11">
        <f>IF($A218&gt;'1-Input'!$B$26,0,IF(N217&lt;=0,0,MAX(0,(N217-O217)/N217)))</f>
        <v>0</v>
      </c>
      <c r="J218" s="18">
        <f>IF($A218&gt;'1-Input'!$B$26,0,(MAX(0,I176-IF($A218&gt;='1-Input'!$C$12,'1-Input'!$B$12,0))-MIN(MAX(M217,0),MAX(0,I176-IF($A218&gt;='1-Input'!$C$12,'1-Input'!$B$12,0))))*(1/(1-'P-Parametri'!$B$6*I218))+MIN(MAX(0,N217-(MAX(0,I176-IF($A218&gt;='1-Input'!$C$12,'1-Input'!$B$12,0))-MIN(MAX(M217,0),MAX(0,I176-IF($A218&gt;='1-Input'!$C$12,'1-Input'!$B$12,0))))*(1/(1-'P-Parametri'!$B$6*I218))),MAX(0,2*I176-(M217-MIN(MAX(M217,0),MAX(0,I176-IF($A218&gt;='1-Input'!$C$12,'1-Input'!$B$12,0)))))*(1/(1-'P-Parametri'!$B$6*I218))))</f>
        <v>10846.756992928691</v>
      </c>
      <c r="K218" s="18">
        <f>IF($A218&gt;'1-Input'!$B$26,M217,(M217-MAX(0,I176-IF($A218&gt;='1-Input'!$C$12,'1-Input'!$B$12,0))+J218*(1-'P-Parametri'!$B$6*I218))*(1+ROUND('3-Liquidita'!$F$11,4)))</f>
        <v>0</v>
      </c>
      <c r="L218" s="18">
        <f>IF($A218&gt;'1-Input'!$B$26,N217,(N217-J218)*(1+'5-Roberta'!$C$4))</f>
        <v>-229928.03298130084</v>
      </c>
      <c r="M218" s="18">
        <f>IF($A218&gt;'1-Input'!$B$26,K218,K218-'P-Parametri'!$B$8*(L218+K218)+MIN(MAX(L218,0),'P-Parametri'!$B$8*(L218+K218)))</f>
        <v>0</v>
      </c>
      <c r="N218" s="18">
        <f>IF($A218&gt;'1-Input'!$B$26,L218,L218-MIN(MAX(L218,0),'P-Parametri'!$B$8*(L218+K218)))</f>
        <v>-229468.17691533823</v>
      </c>
      <c r="O218" s="18">
        <f>IF($A218&gt;'1-Input'!$B$26,O217,O217-J218*(1-I218))</f>
        <v>-178768.57402119105</v>
      </c>
      <c r="P218" s="11">
        <f>IF($A218&gt;'1-Input'!$B$26,0,IF(U217&lt;=0,0,MAX(0,(U217-V217)/U217)))</f>
        <v>0</v>
      </c>
      <c r="Q218" s="18">
        <f>IF($A218&gt;'1-Input'!$B$26,0,(MAX(0,P176-IF($A218&gt;='1-Input'!$C$12,'1-Input'!$B$12,0))-MIN(MAX(T217,0),MAX(0,P176-IF($A218&gt;='1-Input'!$C$12,'1-Input'!$B$12,0))))*(1/(1-'P-Parametri'!$B$6*P218))+MIN(MAX(0,U217-(MAX(0,P176-IF($A218&gt;='1-Input'!$C$12,'1-Input'!$B$12,0))-MIN(MAX(T217,0),MAX(0,P176-IF($A218&gt;='1-Input'!$C$12,'1-Input'!$B$12,0))))*(1/(1-'P-Parametri'!$B$6*P218))),MAX(0,2*P176-(T217-MIN(MAX(T217,0),MAX(0,P176-IF($A218&gt;='1-Input'!$C$12,'1-Input'!$B$12,0)))))*(1/(1-'P-Parametri'!$B$6*P218))))</f>
        <v>0</v>
      </c>
      <c r="R218" s="18">
        <f>IF($A218&gt;'1-Input'!$B$26,T217,(T217-MAX(0,P176-IF($A218&gt;='1-Input'!$C$12,'1-Input'!$B$12,0))+Q218*(1-'P-Parametri'!$B$6*P218))*(1+ROUND('3-Liquidita'!$F$11,4)))</f>
        <v>20139.74637528622</v>
      </c>
      <c r="S218" s="18">
        <f>IF($A218&gt;'1-Input'!$B$26,U217,(U217-Q218)*(1+'5-Roberta'!$C$4))</f>
        <v>0</v>
      </c>
      <c r="T218" s="18">
        <f>IF($A218&gt;'1-Input'!$B$26,R218,R218-'P-Parametri'!$B$8*(S218+R218)+MIN(MAX(S218,0),'P-Parametri'!$B$8*(S218+R218)))</f>
        <v>20099.466882535649</v>
      </c>
      <c r="U218" s="18">
        <f>IF($A218&gt;'1-Input'!$B$26,S218,S218-MIN(MAX(S218,0),'P-Parametri'!$B$8*(S218+R218)))</f>
        <v>0</v>
      </c>
      <c r="V218" s="18">
        <f>IF($A218&gt;'1-Input'!$B$26,V217,V217-Q218*(1-P218))</f>
        <v>6.8212102632969618E-13</v>
      </c>
      <c r="W218" s="11">
        <f>IF($A218&gt;'1-Input'!$B$26,0,IF(AB217&lt;=0,0,MAX(0,(AB217-AC217)/AB217)))</f>
        <v>0.72107723025184201</v>
      </c>
      <c r="X218" s="18">
        <f>IF($A218&gt;'1-Input'!$B$26,0,(MAX(0,W176-IF($A218&gt;='1-Input'!$C$12,'1-Input'!$B$12,0))-MIN(MAX(AA217,0),MAX(0,W176-IF($A218&gt;='1-Input'!$C$12,'1-Input'!$B$12,0))))*(1/(1-'P-Parametri'!$B$6*W218))+MIN(MAX(0,AB217-(MAX(0,W176-IF($A218&gt;='1-Input'!$C$12,'1-Input'!$B$12,0))-MIN(MAX(AA217,0),MAX(0,W176-IF($A218&gt;='1-Input'!$C$12,'1-Input'!$B$12,0))))*(1/(1-'P-Parametri'!$B$6*W218))),MAX(0,2*W176-(AA217-MIN(MAX(AA217,0),MAX(0,W176-IF($A218&gt;='1-Input'!$C$12,'1-Input'!$B$12,0)))))*(1/(1-'P-Parametri'!$B$6*W218))))</f>
        <v>6022.6424780995958</v>
      </c>
      <c r="Y218" s="18">
        <f>IF($A218&gt;'1-Input'!$B$26,AA217,(AA217-MAX(0,W176-IF($A218&gt;='1-Input'!$C$12,'1-Input'!$B$12,0))+X218*(1-'P-Parametri'!$B$6*W218))*(1+ROUND('3-Liquidita'!$F$11,4)))</f>
        <v>33612.128446425886</v>
      </c>
      <c r="Z218" s="18">
        <f>IF($A218&gt;'1-Input'!$B$26,AB217,(AB217-X218)*(1+'5-Roberta'!$C$4))</f>
        <v>0</v>
      </c>
      <c r="AA218" s="18">
        <f>IF($A218&gt;'1-Input'!$B$26,Y218,Y218-'P-Parametri'!$B$8*(Z218+Y218)+MIN(MAX(Z218,0),'P-Parametri'!$B$8*(Z218+Y218)))</f>
        <v>33544.904189533037</v>
      </c>
      <c r="AB218" s="18">
        <f>IF($A218&gt;'1-Input'!$B$26,Z218,Z218-MIN(MAX(Z218,0),'P-Parametri'!$B$8*(Z218+Y218)))</f>
        <v>0</v>
      </c>
      <c r="AC218" s="18">
        <f>IF($A218&gt;'1-Input'!$B$26,AC217,AC217-X218*(1-W218))</f>
        <v>-6.8212102632969618E-13</v>
      </c>
      <c r="AD218" s="11">
        <f>IF($A218&gt;'1-Input'!$B$26,0,IF(AI217&lt;=0,0,MAX(0,(AI217-AJ217)/AI217)))</f>
        <v>0.72185448300444888</v>
      </c>
      <c r="AE218" s="18">
        <f>IF($A218&gt;'1-Input'!$B$26,0,(MAX(0,AD176-IF($A218&gt;='1-Input'!$C$12,'1-Input'!$B$12,0))-MIN(MAX(AH217,0),MAX(0,AD176-IF($A218&gt;='1-Input'!$C$12,'1-Input'!$B$12,0))))*(1/(1-'P-Parametri'!$B$6*AD218))+MIN(MAX(0,AI217-(MAX(0,AD176-IF($A218&gt;='1-Input'!$C$12,'1-Input'!$B$12,0))-MIN(MAX(AH217,0),MAX(0,AD176-IF($A218&gt;='1-Input'!$C$12,'1-Input'!$B$12,0))))*(1/(1-'P-Parametri'!$B$6*AD218))),MAX(0,2*AD176-(AH217-MIN(MAX(AH217,0),MAX(0,AD176-IF($A218&gt;='1-Input'!$C$12,'1-Input'!$B$12,0)))))*(1/(1-'P-Parametri'!$B$6*AD218))))</f>
        <v>7243.9003483827983</v>
      </c>
      <c r="AF218" s="18">
        <f>IF($A218&gt;'1-Input'!$B$26,AH217,(AH217-MAX(0,AD176-IF($A218&gt;='1-Input'!$C$12,'1-Input'!$B$12,0))+AE218*(1-'P-Parametri'!$B$6*AD218))*(1+ROUND('3-Liquidita'!$F$11,4)))</f>
        <v>34584.736033087625</v>
      </c>
      <c r="AG218" s="18">
        <f>IF($A218&gt;'1-Input'!$B$26,AI217,(AI217-AE218)*(1+'5-Roberta'!$C$4))</f>
        <v>0</v>
      </c>
      <c r="AH218" s="18">
        <f>IF($A218&gt;'1-Input'!$B$26,AF218,AF218-'P-Parametri'!$B$8*(AG218+AF218)+MIN(MAX(AG218,0),'P-Parametri'!$B$8*(AG218+AF218)))</f>
        <v>34515.566561021449</v>
      </c>
      <c r="AI218" s="18">
        <f>IF($A218&gt;'1-Input'!$B$26,AG218,AG218-MIN(MAX(AG218,0),'P-Parametri'!$B$8*(AG218+AF218)))</f>
        <v>0</v>
      </c>
      <c r="AJ218" s="18">
        <f>IF($A218&gt;'1-Input'!$B$26,AJ217,AJ217-AE218*(1-AD218))</f>
        <v>0</v>
      </c>
      <c r="AK218" s="11">
        <f>IF($A218&gt;'1-Input'!$B$26,0,IF(AP217&lt;=0,0,MAX(0,(AP217-AQ217)/AP217)))</f>
        <v>0.72185600696981522</v>
      </c>
      <c r="AL218" s="18">
        <f>IF($A218&gt;'1-Input'!$B$26,0,(MAX(0,AK176-IF($A218&gt;='1-Input'!$C$12,'1-Input'!$B$12,0))-MIN(MAX(AO217,0),MAX(0,AK176-IF($A218&gt;='1-Input'!$C$12,'1-Input'!$B$12,0))))*(1/(1-'P-Parametri'!$B$6*AK218))+MIN(MAX(0,AP217-(MAX(0,AK176-IF($A218&gt;='1-Input'!$C$12,'1-Input'!$B$12,0))-MIN(MAX(AO217,0),MAX(0,AK176-IF($A218&gt;='1-Input'!$C$12,'1-Input'!$B$12,0))))*(1/(1-'P-Parametri'!$B$6*AK218))),MAX(0,2*AK176-(AO217-MIN(MAX(AO217,0),MAX(0,AK176-IF($A218&gt;='1-Input'!$C$12,'1-Input'!$B$12,0)))))*(1/(1-'P-Parametri'!$B$6*AK218))))</f>
        <v>7246.6695768815671</v>
      </c>
      <c r="AM218" s="18">
        <f>IF($A218&gt;'1-Input'!$B$26,AO217,(AO217-MAX(0,AK176-IF($A218&gt;='1-Input'!$C$12,'1-Input'!$B$12,0))+AL218*(1-'P-Parametri'!$B$6*AK218))*(1+ROUND('3-Liquidita'!$F$11,4)))</f>
        <v>34586.941332299495</v>
      </c>
      <c r="AN218" s="18">
        <f>IF($A218&gt;'1-Input'!$B$26,AP217,(AP217-AL218)*(1+'5-Roberta'!$C$4))</f>
        <v>0</v>
      </c>
      <c r="AO218" s="18">
        <f>IF($A218&gt;'1-Input'!$B$26,AM218,AM218-'P-Parametri'!$B$8*(AN218+AM218)+MIN(MAX(AN218,0),'P-Parametri'!$B$8*(AN218+AM218)))</f>
        <v>34517.767449634899</v>
      </c>
      <c r="AP218" s="18">
        <f>IF($A218&gt;'1-Input'!$B$26,AN218,AN218-MIN(MAX(AN218,0),'P-Parametri'!$B$8*(AN218+AM218)))</f>
        <v>0</v>
      </c>
      <c r="AQ218" s="18">
        <f>IF($A218&gt;'1-Input'!$B$26,AQ217,AQ217-AL218*(1-AK218))</f>
        <v>2.2737367544323206E-13</v>
      </c>
    </row>
    <row r="219" spans="1:43">
      <c r="A219" s="10">
        <f>41</f>
        <v>41</v>
      </c>
      <c r="B219" s="11">
        <f>IF($A219&gt;'1-Input'!$B$26,0,IF(G218&lt;=0,0,MAX(0,(G218-H218)/G218)))</f>
        <v>0.7361098546081114</v>
      </c>
      <c r="C219" s="18">
        <f>IF($A219&gt;'1-Input'!$B$26,0,(MAX(0,B176-IF($A219&gt;='1-Input'!$C$12,'1-Input'!$B$12,0))-MIN(MAX(F218,0),MAX(0,B176-IF($A219&gt;='1-Input'!$C$12,'1-Input'!$B$12,0))))*(1/(1-'P-Parametri'!$B$6*B219))+MIN(MAX(0,G218-(MAX(0,B176-IF($A219&gt;='1-Input'!$C$12,'1-Input'!$B$12,0))-MIN(MAX(F218,0),MAX(0,B176-IF($A219&gt;='1-Input'!$C$12,'1-Input'!$B$12,0))))*(1/(1-'P-Parametri'!$B$6*B219))),MAX(0,2*B176-(F218-MIN(MAX(F218,0),MAX(0,B176-IF($A219&gt;='1-Input'!$C$12,'1-Input'!$B$12,0)))))*(1/(1-'P-Parametri'!$B$6*B219))))</f>
        <v>7085.2136695363879</v>
      </c>
      <c r="D219" s="18">
        <f>IF($A219&gt;'1-Input'!$B$26,F218,(F218-MAX(0,B176-IF($A219&gt;='1-Input'!$C$12,'1-Input'!$B$12,0))+C219*(1-'P-Parametri'!$B$6*B219))*(1+ROUND('3-Liquidita'!$F$11,4)))</f>
        <v>33211.981131419976</v>
      </c>
      <c r="E219" s="18">
        <f>IF($A219&gt;'1-Input'!$B$26,G218,(G218-C219)*(1+'5-Roberta'!$C$4))</f>
        <v>107402.81402530188</v>
      </c>
      <c r="F219" s="18">
        <f>IF($A219&gt;'1-Input'!$B$26,D219,D219-'P-Parametri'!$B$8*(E219+D219)+MIN(MAX(E219,0),'P-Parametri'!$B$8*(E219+D219)))</f>
        <v>33211.981131419976</v>
      </c>
      <c r="G219" s="18">
        <f>IF($A219&gt;'1-Input'!$B$26,E219,E219-MIN(MAX(E219,0),'P-Parametri'!$B$8*(E219+D219)))</f>
        <v>107121.58443498843</v>
      </c>
      <c r="H219" s="18">
        <f>IF($A219&gt;'1-Input'!$B$26,H218,H218-C219*(1-B219))</f>
        <v>27517.033212266873</v>
      </c>
      <c r="I219" s="11">
        <f>IF($A219&gt;'1-Input'!$B$26,0,IF(N218&lt;=0,0,MAX(0,(N218-O218)/N218)))</f>
        <v>0</v>
      </c>
      <c r="J219" s="18">
        <f>IF($A219&gt;'1-Input'!$B$26,0,(MAX(0,I176-IF($A219&gt;='1-Input'!$C$12,'1-Input'!$B$12,0))-MIN(MAX(M218,0),MAX(0,I176-IF($A219&gt;='1-Input'!$C$12,'1-Input'!$B$12,0))))*(1/(1-'P-Parametri'!$B$6*I219))+MIN(MAX(0,N218-(MAX(0,I176-IF($A219&gt;='1-Input'!$C$12,'1-Input'!$B$12,0))-MIN(MAX(M218,0),MAX(0,I176-IF($A219&gt;='1-Input'!$C$12,'1-Input'!$B$12,0))))*(1/(1-'P-Parametri'!$B$6*I219))),MAX(0,2*I176-(M218-MIN(MAX(M218,0),MAX(0,I176-IF($A219&gt;='1-Input'!$C$12,'1-Input'!$B$12,0)))))*(1/(1-'P-Parametri'!$B$6*I219))))</f>
        <v>10846.756992928691</v>
      </c>
      <c r="K219" s="18">
        <f>IF($A219&gt;'1-Input'!$B$26,M218,(M218-MAX(0,I176-IF($A219&gt;='1-Input'!$C$12,'1-Input'!$B$12,0))+J219*(1-'P-Parametri'!$B$6*I219))*(1+ROUND('3-Liquidita'!$F$11,4)))</f>
        <v>0</v>
      </c>
      <c r="L219" s="18">
        <f>IF($A219&gt;'1-Input'!$B$26,N218,(N218-J219)*(1+'5-Roberta'!$C$4))</f>
        <v>-247524.38192551493</v>
      </c>
      <c r="M219" s="18">
        <f>IF($A219&gt;'1-Input'!$B$26,K219,K219-'P-Parametri'!$B$8*(L219+K219)+MIN(MAX(L219,0),'P-Parametri'!$B$8*(L219+K219)))</f>
        <v>0</v>
      </c>
      <c r="N219" s="18">
        <f>IF($A219&gt;'1-Input'!$B$26,L219,L219-MIN(MAX(L219,0),'P-Parametri'!$B$8*(L219+K219)))</f>
        <v>-247029.3331616639</v>
      </c>
      <c r="O219" s="18">
        <f>IF($A219&gt;'1-Input'!$B$26,O218,O218-J219*(1-I219))</f>
        <v>-189615.33101411973</v>
      </c>
      <c r="P219" s="11">
        <f>IF($A219&gt;'1-Input'!$B$26,0,IF(U218&lt;=0,0,MAX(0,(U218-V218)/U218)))</f>
        <v>0</v>
      </c>
      <c r="Q219" s="18">
        <f>IF($A219&gt;'1-Input'!$B$26,0,(MAX(0,P176-IF($A219&gt;='1-Input'!$C$12,'1-Input'!$B$12,0))-MIN(MAX(T218,0),MAX(0,P176-IF($A219&gt;='1-Input'!$C$12,'1-Input'!$B$12,0))))*(1/(1-'P-Parametri'!$B$6*P219))+MIN(MAX(0,U218-(MAX(0,P176-IF($A219&gt;='1-Input'!$C$12,'1-Input'!$B$12,0))-MIN(MAX(T218,0),MAX(0,P176-IF($A219&gt;='1-Input'!$C$12,'1-Input'!$B$12,0))))*(1/(1-'P-Parametri'!$B$6*P219))),MAX(0,2*P176-(T218-MIN(MAX(T218,0),MAX(0,P176-IF($A219&gt;='1-Input'!$C$12,'1-Input'!$B$12,0)))))*(1/(1-'P-Parametri'!$B$6*P219))))</f>
        <v>0</v>
      </c>
      <c r="R219" s="18">
        <f>IF($A219&gt;'1-Input'!$B$26,T218,(T218-MAX(0,P176-IF($A219&gt;='1-Input'!$C$12,'1-Input'!$B$12,0))+Q219*(1-'P-Parametri'!$B$6*P219))*(1+ROUND('3-Liquidita'!$F$11,4)))</f>
        <v>13015.208506876392</v>
      </c>
      <c r="S219" s="18">
        <f>IF($A219&gt;'1-Input'!$B$26,U218,(U218-Q219)*(1+'5-Roberta'!$C$4))</f>
        <v>0</v>
      </c>
      <c r="T219" s="18">
        <f>IF($A219&gt;'1-Input'!$B$26,R219,R219-'P-Parametri'!$B$8*(S219+R219)+MIN(MAX(S219,0),'P-Parametri'!$B$8*(S219+R219)))</f>
        <v>12989.178089862638</v>
      </c>
      <c r="U219" s="18">
        <f>IF($A219&gt;'1-Input'!$B$26,S219,S219-MIN(MAX(S219,0),'P-Parametri'!$B$8*(S219+R219)))</f>
        <v>0</v>
      </c>
      <c r="V219" s="18">
        <f>IF($A219&gt;'1-Input'!$B$26,V218,V218-Q219*(1-P219))</f>
        <v>6.8212102632969618E-13</v>
      </c>
      <c r="W219" s="11">
        <f>IF($A219&gt;'1-Input'!$B$26,0,IF(AB218&lt;=0,0,MAX(0,(AB218-AC218)/AB218)))</f>
        <v>0</v>
      </c>
      <c r="X219" s="18">
        <f>IF($A219&gt;'1-Input'!$B$26,0,(MAX(0,W176-IF($A219&gt;='1-Input'!$C$12,'1-Input'!$B$12,0))-MIN(MAX(AA218,0),MAX(0,W176-IF($A219&gt;='1-Input'!$C$12,'1-Input'!$B$12,0))))*(1/(1-'P-Parametri'!$B$6*W219))+MIN(MAX(0,AB218-(MAX(0,W176-IF($A219&gt;='1-Input'!$C$12,'1-Input'!$B$12,0))-MIN(MAX(AA218,0),MAX(0,W176-IF($A219&gt;='1-Input'!$C$12,'1-Input'!$B$12,0))))*(1/(1-'P-Parametri'!$B$6*W219))),MAX(0,2*W176-(AA218-MIN(MAX(AA218,0),MAX(0,W176-IF($A219&gt;='1-Input'!$C$12,'1-Input'!$B$12,0)))))*(1/(1-'P-Parametri'!$B$6*W219))))</f>
        <v>0</v>
      </c>
      <c r="Y219" s="18">
        <f>IF($A219&gt;'1-Input'!$B$26,AA218,(AA218-MAX(0,W176-IF($A219&gt;='1-Input'!$C$12,'1-Input'!$B$12,0))+X219*(1-'P-Parametri'!$B$6*W219))*(1+ROUND('3-Liquidita'!$F$11,4)))</f>
        <v>26596.75872355048</v>
      </c>
      <c r="Z219" s="18">
        <f>IF($A219&gt;'1-Input'!$B$26,AB218,(AB218-X219)*(1+'5-Roberta'!$C$4))</f>
        <v>0</v>
      </c>
      <c r="AA219" s="18">
        <f>IF($A219&gt;'1-Input'!$B$26,Y219,Y219-'P-Parametri'!$B$8*(Z219+Y219)+MIN(MAX(Z219,0),'P-Parametri'!$B$8*(Z219+Y219)))</f>
        <v>26543.56520610338</v>
      </c>
      <c r="AB219" s="18">
        <f>IF($A219&gt;'1-Input'!$B$26,Z219,Z219-MIN(MAX(Z219,0),'P-Parametri'!$B$8*(Z219+Y219)))</f>
        <v>0</v>
      </c>
      <c r="AC219" s="18">
        <f>IF($A219&gt;'1-Input'!$B$26,AC218,AC218-X219*(1-W219))</f>
        <v>-6.8212102632969618E-13</v>
      </c>
      <c r="AD219" s="11">
        <f>IF($A219&gt;'1-Input'!$B$26,0,IF(AI218&lt;=0,0,MAX(0,(AI218-AJ218)/AI218)))</f>
        <v>0</v>
      </c>
      <c r="AE219" s="18">
        <f>IF($A219&gt;'1-Input'!$B$26,0,(MAX(0,AD176-IF($A219&gt;='1-Input'!$C$12,'1-Input'!$B$12,0))-MIN(MAX(AH218,0),MAX(0,AD176-IF($A219&gt;='1-Input'!$C$12,'1-Input'!$B$12,0))))*(1/(1-'P-Parametri'!$B$6*AD219))+MIN(MAX(0,AI218-(MAX(0,AD176-IF($A219&gt;='1-Input'!$C$12,'1-Input'!$B$12,0))-MIN(MAX(AH218,0),MAX(0,AD176-IF($A219&gt;='1-Input'!$C$12,'1-Input'!$B$12,0))))*(1/(1-'P-Parametri'!$B$6*AD219))),MAX(0,2*AD176-(AH218-MIN(MAX(AH218,0),MAX(0,AD176-IF($A219&gt;='1-Input'!$C$12,'1-Input'!$B$12,0)))))*(1/(1-'P-Parametri'!$B$6*AD219))))</f>
        <v>0</v>
      </c>
      <c r="AF219" s="18">
        <f>IF($A219&gt;'1-Input'!$B$26,AH218,(AH218-MAX(0,AD176-IF($A219&gt;='1-Input'!$C$12,'1-Input'!$B$12,0))+AE219*(1-'P-Parametri'!$B$6*AD219))*(1+ROUND('3-Liquidita'!$F$11,4)))</f>
        <v>27576.944260396696</v>
      </c>
      <c r="AG219" s="18">
        <f>IF($A219&gt;'1-Input'!$B$26,AI218,(AI218-AE219)*(1+'5-Roberta'!$C$4))</f>
        <v>0</v>
      </c>
      <c r="AH219" s="18">
        <f>IF($A219&gt;'1-Input'!$B$26,AF219,AF219-'P-Parametri'!$B$8*(AG219+AF219)+MIN(MAX(AG219,0),'P-Parametri'!$B$8*(AG219+AF219)))</f>
        <v>27521.790371875904</v>
      </c>
      <c r="AI219" s="18">
        <f>IF($A219&gt;'1-Input'!$B$26,AG219,AG219-MIN(MAX(AG219,0),'P-Parametri'!$B$8*(AG219+AF219)))</f>
        <v>0</v>
      </c>
      <c r="AJ219" s="18">
        <f>IF($A219&gt;'1-Input'!$B$26,AJ218,AJ218-AE219*(1-AD219))</f>
        <v>0</v>
      </c>
      <c r="AK219" s="11">
        <f>IF($A219&gt;'1-Input'!$B$26,0,IF(AP218&lt;=0,0,MAX(0,(AP218-AQ218)/AP218)))</f>
        <v>0</v>
      </c>
      <c r="AL219" s="18">
        <f>IF($A219&gt;'1-Input'!$B$26,0,(MAX(0,AK176-IF($A219&gt;='1-Input'!$C$12,'1-Input'!$B$12,0))-MIN(MAX(AO218,0),MAX(0,AK176-IF($A219&gt;='1-Input'!$C$12,'1-Input'!$B$12,0))))*(1/(1-'P-Parametri'!$B$6*AK219))+MIN(MAX(0,AP218-(MAX(0,AK176-IF($A219&gt;='1-Input'!$C$12,'1-Input'!$B$12,0))-MIN(MAX(AO218,0),MAX(0,AK176-IF($A219&gt;='1-Input'!$C$12,'1-Input'!$B$12,0))))*(1/(1-'P-Parametri'!$B$6*AK219))),MAX(0,2*AK176-(AO218-MIN(MAX(AO218,0),MAX(0,AK176-IF($A219&gt;='1-Input'!$C$12,'1-Input'!$B$12,0)))))*(1/(1-'P-Parametri'!$B$6*AK219))))</f>
        <v>0</v>
      </c>
      <c r="AM219" s="18">
        <f>IF($A219&gt;'1-Input'!$B$26,AO218,(AO218-MAX(0,AK176-IF($A219&gt;='1-Input'!$C$12,'1-Input'!$B$12,0))+AL219*(1-'P-Parametri'!$B$6*AK219))*(1+ROUND('3-Liquidita'!$F$11,4)))</f>
        <v>27579.16674181222</v>
      </c>
      <c r="AN219" s="18">
        <f>IF($A219&gt;'1-Input'!$B$26,AP218,(AP218-AL219)*(1+'5-Roberta'!$C$4))</f>
        <v>0</v>
      </c>
      <c r="AO219" s="18">
        <f>IF($A219&gt;'1-Input'!$B$26,AM219,AM219-'P-Parametri'!$B$8*(AN219+AM219)+MIN(MAX(AN219,0),'P-Parametri'!$B$8*(AN219+AM219)))</f>
        <v>27524.008408328595</v>
      </c>
      <c r="AP219" s="18">
        <f>IF($A219&gt;'1-Input'!$B$26,AN219,AN219-MIN(MAX(AN219,0),'P-Parametri'!$B$8*(AN219+AM219)))</f>
        <v>0</v>
      </c>
      <c r="AQ219" s="18">
        <f>IF($A219&gt;'1-Input'!$B$26,AQ218,AQ218-AL219*(1-AK219))</f>
        <v>2.2737367544323206E-13</v>
      </c>
    </row>
    <row r="220" spans="1:43">
      <c r="A220" s="10">
        <f>42</f>
        <v>42</v>
      </c>
      <c r="B220" s="11">
        <f>IF($A220&gt;'1-Input'!$B$26,0,IF(G219&lt;=0,0,MAX(0,(G219-H219)/G219)))</f>
        <v>0.74312335504179527</v>
      </c>
      <c r="C220" s="18">
        <f>IF($A220&gt;'1-Input'!$B$26,0,(MAX(0,B176-IF($A220&gt;='1-Input'!$C$12,'1-Input'!$B$12,0))-MIN(MAX(F219,0),MAX(0,B176-IF($A220&gt;='1-Input'!$C$12,'1-Input'!$B$12,0))))*(1/(1-'P-Parametri'!$B$6*B220))+MIN(MAX(0,G219-(MAX(0,B176-IF($A220&gt;='1-Input'!$C$12,'1-Input'!$B$12,0))-MIN(MAX(F219,0),MAX(0,B176-IF($A220&gt;='1-Input'!$C$12,'1-Input'!$B$12,0))))*(1/(1-'P-Parametri'!$B$6*B220))),MAX(0,2*B176-(F219-MIN(MAX(F219,0),MAX(0,B176-IF($A220&gt;='1-Input'!$C$12,'1-Input'!$B$12,0)))))*(1/(1-'P-Parametri'!$B$6*B220))))</f>
        <v>7101.2277400672365</v>
      </c>
      <c r="D220" s="18">
        <f>IF($A220&gt;'1-Input'!$B$26,F219,(F219-MAX(0,B176-IF($A220&gt;='1-Input'!$C$12,'1-Input'!$B$12,0))+C220*(1-'P-Parametri'!$B$6*B220))*(1+ROUND('3-Liquidita'!$F$11,4)))</f>
        <v>33211.981131419976</v>
      </c>
      <c r="E220" s="18">
        <f>IF($A220&gt;'1-Input'!$B$26,G219,(G219-C220)*(1+'5-Roberta'!$C$4))</f>
        <v>103020.96739576884</v>
      </c>
      <c r="F220" s="18">
        <f>IF($A220&gt;'1-Input'!$B$26,D220,D220-'P-Parametri'!$B$8*(E220+D220)+MIN(MAX(E220,0),'P-Parametri'!$B$8*(E220+D220)))</f>
        <v>33211.981131419976</v>
      </c>
      <c r="G220" s="18">
        <f>IF($A220&gt;'1-Input'!$B$26,E220,E220-MIN(MAX(E220,0),'P-Parametri'!$B$8*(E220+D220)))</f>
        <v>102748.50149871445</v>
      </c>
      <c r="H220" s="18">
        <f>IF($A220&gt;'1-Input'!$B$26,H219,H219-C220*(1-B220))</f>
        <v>25692.893655314267</v>
      </c>
      <c r="I220" s="11">
        <f>IF($A220&gt;'1-Input'!$B$26,0,IF(N219&lt;=0,0,MAX(0,(N219-O219)/N219)))</f>
        <v>0</v>
      </c>
      <c r="J220" s="18">
        <f>IF($A220&gt;'1-Input'!$B$26,0,(MAX(0,I176-IF($A220&gt;='1-Input'!$C$12,'1-Input'!$B$12,0))-MIN(MAX(M219,0),MAX(0,I176-IF($A220&gt;='1-Input'!$C$12,'1-Input'!$B$12,0))))*(1/(1-'P-Parametri'!$B$6*I220))+MIN(MAX(0,N219-(MAX(0,I176-IF($A220&gt;='1-Input'!$C$12,'1-Input'!$B$12,0))-MIN(MAX(M219,0),MAX(0,I176-IF($A220&gt;='1-Input'!$C$12,'1-Input'!$B$12,0))))*(1/(1-'P-Parametri'!$B$6*I220))),MAX(0,2*I176-(M219-MIN(MAX(M219,0),MAX(0,I176-IF($A220&gt;='1-Input'!$C$12,'1-Input'!$B$12,0)))))*(1/(1-'P-Parametri'!$B$6*I220))))</f>
        <v>10846.756992928691</v>
      </c>
      <c r="K220" s="18">
        <f>IF($A220&gt;'1-Input'!$B$26,M219,(M219-MAX(0,I176-IF($A220&gt;='1-Input'!$C$12,'1-Input'!$B$12,0))+J220*(1-'P-Parametri'!$B$6*I220))*(1+ROUND('3-Liquidita'!$F$11,4)))</f>
        <v>0</v>
      </c>
      <c r="L220" s="18">
        <f>IF($A220&gt;'1-Input'!$B$26,N219,(N219-J220)*(1+'5-Roberta'!$C$4))</f>
        <v>-265612.37285923038</v>
      </c>
      <c r="M220" s="18">
        <f>IF($A220&gt;'1-Input'!$B$26,K220,K220-'P-Parametri'!$B$8*(L220+K220)+MIN(MAX(L220,0),'P-Parametri'!$B$8*(L220+K220)))</f>
        <v>0</v>
      </c>
      <c r="N220" s="18">
        <f>IF($A220&gt;'1-Input'!$B$26,L220,L220-MIN(MAX(L220,0),'P-Parametri'!$B$8*(L220+K220)))</f>
        <v>-265081.14811351191</v>
      </c>
      <c r="O220" s="18">
        <f>IF($A220&gt;'1-Input'!$B$26,O219,O219-J220*(1-I220))</f>
        <v>-200462.08800704841</v>
      </c>
      <c r="P220" s="11">
        <f>IF($A220&gt;'1-Input'!$B$26,0,IF(U219&lt;=0,0,MAX(0,(U219-V219)/U219)))</f>
        <v>0</v>
      </c>
      <c r="Q220" s="18">
        <f>IF($A220&gt;'1-Input'!$B$26,0,(MAX(0,P176-IF($A220&gt;='1-Input'!$C$12,'1-Input'!$B$12,0))-MIN(MAX(T219,0),MAX(0,P176-IF($A220&gt;='1-Input'!$C$12,'1-Input'!$B$12,0))))*(1/(1-'P-Parametri'!$B$6*P220))+MIN(MAX(0,U219-(MAX(0,P176-IF($A220&gt;='1-Input'!$C$12,'1-Input'!$B$12,0))-MIN(MAX(T219,0),MAX(0,P176-IF($A220&gt;='1-Input'!$C$12,'1-Input'!$B$12,0))))*(1/(1-'P-Parametri'!$B$6*P220))),MAX(0,2*P176-(T219-MIN(MAX(T219,0),MAX(0,P176-IF($A220&gt;='1-Input'!$C$12,'1-Input'!$B$12,0)))))*(1/(1-'P-Parametri'!$B$6*P220))))</f>
        <v>0</v>
      </c>
      <c r="R220" s="18">
        <f>IF($A220&gt;'1-Input'!$B$26,T219,(T219-MAX(0,P176-IF($A220&gt;='1-Input'!$C$12,'1-Input'!$B$12,0))+Q220*(1-'P-Parametri'!$B$6*P220))*(1+ROUND('3-Liquidita'!$F$11,4)))</f>
        <v>5936.9160137704084</v>
      </c>
      <c r="S220" s="18">
        <f>IF($A220&gt;'1-Input'!$B$26,U219,(U219-Q220)*(1+'5-Roberta'!$C$4))</f>
        <v>0</v>
      </c>
      <c r="T220" s="18">
        <f>IF($A220&gt;'1-Input'!$B$26,R220,R220-'P-Parametri'!$B$8*(S220+R220)+MIN(MAX(S220,0),'P-Parametri'!$B$8*(S220+R220)))</f>
        <v>5925.0421817428678</v>
      </c>
      <c r="U220" s="18">
        <f>IF($A220&gt;'1-Input'!$B$26,S220,S220-MIN(MAX(S220,0),'P-Parametri'!$B$8*(S220+R220)))</f>
        <v>0</v>
      </c>
      <c r="V220" s="18">
        <f>IF($A220&gt;'1-Input'!$B$26,V219,V219-Q220*(1-P220))</f>
        <v>6.8212102632969618E-13</v>
      </c>
      <c r="W220" s="11">
        <f>IF($A220&gt;'1-Input'!$B$26,0,IF(AB219&lt;=0,0,MAX(0,(AB219-AC219)/AB219)))</f>
        <v>0</v>
      </c>
      <c r="X220" s="18">
        <f>IF($A220&gt;'1-Input'!$B$26,0,(MAX(0,W176-IF($A220&gt;='1-Input'!$C$12,'1-Input'!$B$12,0))-MIN(MAX(AA219,0),MAX(0,W176-IF($A220&gt;='1-Input'!$C$12,'1-Input'!$B$12,0))))*(1/(1-'P-Parametri'!$B$6*W220))+MIN(MAX(0,AB219-(MAX(0,W176-IF($A220&gt;='1-Input'!$C$12,'1-Input'!$B$12,0))-MIN(MAX(AA219,0),MAX(0,W176-IF($A220&gt;='1-Input'!$C$12,'1-Input'!$B$12,0))))*(1/(1-'P-Parametri'!$B$6*W220))),MAX(0,2*W176-(AA219-MIN(MAX(AA219,0),MAX(0,W176-IF($A220&gt;='1-Input'!$C$12,'1-Input'!$B$12,0)))))*(1/(1-'P-Parametri'!$B$6*W220))))</f>
        <v>0</v>
      </c>
      <c r="Y220" s="18">
        <f>IF($A220&gt;'1-Input'!$B$26,AA219,(AA219-MAX(0,W176-IF($A220&gt;='1-Input'!$C$12,'1-Input'!$B$12,0))+X220*(1-'P-Parametri'!$B$6*W220))*(1+ROUND('3-Liquidita'!$F$11,4)))</f>
        <v>19626.925765546257</v>
      </c>
      <c r="Z220" s="18">
        <f>IF($A220&gt;'1-Input'!$B$26,AB219,(AB219-X220)*(1+'5-Roberta'!$C$4))</f>
        <v>0</v>
      </c>
      <c r="AA220" s="18">
        <f>IF($A220&gt;'1-Input'!$B$26,Y220,Y220-'P-Parametri'!$B$8*(Z220+Y220)+MIN(MAX(Z220,0),'P-Parametri'!$B$8*(Z220+Y220)))</f>
        <v>19587.671914015165</v>
      </c>
      <c r="AB220" s="18">
        <f>IF($A220&gt;'1-Input'!$B$26,Z220,Z220-MIN(MAX(Z220,0),'P-Parametri'!$B$8*(Z220+Y220)))</f>
        <v>0</v>
      </c>
      <c r="AC220" s="18">
        <f>IF($A220&gt;'1-Input'!$B$26,AC219,AC219-X220*(1-W220))</f>
        <v>-6.8212102632969618E-13</v>
      </c>
      <c r="AD220" s="11">
        <f>IF($A220&gt;'1-Input'!$B$26,0,IF(AI219&lt;=0,0,MAX(0,(AI219-AJ219)/AI219)))</f>
        <v>0</v>
      </c>
      <c r="AE220" s="18">
        <f>IF($A220&gt;'1-Input'!$B$26,0,(MAX(0,AD176-IF($A220&gt;='1-Input'!$C$12,'1-Input'!$B$12,0))-MIN(MAX(AH219,0),MAX(0,AD176-IF($A220&gt;='1-Input'!$C$12,'1-Input'!$B$12,0))))*(1/(1-'P-Parametri'!$B$6*AD220))+MIN(MAX(0,AI219-(MAX(0,AD176-IF($A220&gt;='1-Input'!$C$12,'1-Input'!$B$12,0))-MIN(MAX(AH219,0),MAX(0,AD176-IF($A220&gt;='1-Input'!$C$12,'1-Input'!$B$12,0))))*(1/(1-'P-Parametri'!$B$6*AD220))),MAX(0,2*AD176-(AH219-MIN(MAX(AH219,0),MAX(0,AD176-IF($A220&gt;='1-Input'!$C$12,'1-Input'!$B$12,0)))))*(1/(1-'P-Parametri'!$B$6*AD220))))</f>
        <v>0</v>
      </c>
      <c r="AF220" s="18">
        <f>IF($A220&gt;'1-Input'!$B$26,AH219,(AH219-MAX(0,AD176-IF($A220&gt;='1-Input'!$C$12,'1-Input'!$B$12,0))+AE220*(1-'P-Parametri'!$B$6*AD220))*(1+ROUND('3-Liquidita'!$F$11,4)))</f>
        <v>20614.640064102303</v>
      </c>
      <c r="AG220" s="18">
        <f>IF($A220&gt;'1-Input'!$B$26,AI219,(AI219-AE220)*(1+'5-Roberta'!$C$4))</f>
        <v>0</v>
      </c>
      <c r="AH220" s="18">
        <f>IF($A220&gt;'1-Input'!$B$26,AF220,AF220-'P-Parametri'!$B$8*(AG220+AF220)+MIN(MAX(AG220,0),'P-Parametri'!$B$8*(AG220+AF220)))</f>
        <v>20573.410783974097</v>
      </c>
      <c r="AI220" s="18">
        <f>IF($A220&gt;'1-Input'!$B$26,AG220,AG220-MIN(MAX(AG220,0),'P-Parametri'!$B$8*(AG220+AF220)))</f>
        <v>0</v>
      </c>
      <c r="AJ220" s="18">
        <f>IF($A220&gt;'1-Input'!$B$26,AJ219,AJ219-AE220*(1-AD220))</f>
        <v>0</v>
      </c>
      <c r="AK220" s="11">
        <f>IF($A220&gt;'1-Input'!$B$26,0,IF(AP219&lt;=0,0,MAX(0,(AP219-AQ219)/AP219)))</f>
        <v>0</v>
      </c>
      <c r="AL220" s="18">
        <f>IF($A220&gt;'1-Input'!$B$26,0,(MAX(0,AK176-IF($A220&gt;='1-Input'!$C$12,'1-Input'!$B$12,0))-MIN(MAX(AO219,0),MAX(0,AK176-IF($A220&gt;='1-Input'!$C$12,'1-Input'!$B$12,0))))*(1/(1-'P-Parametri'!$B$6*AK220))+MIN(MAX(0,AP219-(MAX(0,AK176-IF($A220&gt;='1-Input'!$C$12,'1-Input'!$B$12,0))-MIN(MAX(AO219,0),MAX(0,AK176-IF($A220&gt;='1-Input'!$C$12,'1-Input'!$B$12,0))))*(1/(1-'P-Parametri'!$B$6*AK220))),MAX(0,2*AK176-(AO219-MIN(MAX(AO219,0),MAX(0,AK176-IF($A220&gt;='1-Input'!$C$12,'1-Input'!$B$12,0)))))*(1/(1-'P-Parametri'!$B$6*AK220))))</f>
        <v>0</v>
      </c>
      <c r="AM220" s="18">
        <f>IF($A220&gt;'1-Input'!$B$26,AO219,(AO219-MAX(0,AK176-IF($A220&gt;='1-Input'!$C$12,'1-Input'!$B$12,0))+AL220*(1-'P-Parametri'!$B$6*AK220))*(1+ROUND('3-Liquidita'!$F$11,4)))</f>
        <v>20616.879616191796</v>
      </c>
      <c r="AN220" s="18">
        <f>IF($A220&gt;'1-Input'!$B$26,AP219,(AP219-AL220)*(1+'5-Roberta'!$C$4))</f>
        <v>0</v>
      </c>
      <c r="AO220" s="18">
        <f>IF($A220&gt;'1-Input'!$B$26,AM220,AM220-'P-Parametri'!$B$8*(AN220+AM220)+MIN(MAX(AN220,0),'P-Parametri'!$B$8*(AN220+AM220)))</f>
        <v>20575.645856959414</v>
      </c>
      <c r="AP220" s="18">
        <f>IF($A220&gt;'1-Input'!$B$26,AN220,AN220-MIN(MAX(AN220,0),'P-Parametri'!$B$8*(AN220+AM220)))</f>
        <v>0</v>
      </c>
      <c r="AQ220" s="18">
        <f>IF($A220&gt;'1-Input'!$B$26,AQ219,AQ219-AL220*(1-AK220))</f>
        <v>2.2737367544323206E-13</v>
      </c>
    </row>
    <row r="221" spans="1:43">
      <c r="A221" s="10">
        <f>43</f>
        <v>43</v>
      </c>
      <c r="B221" s="11">
        <f>IF($A221&gt;'1-Input'!$B$26,0,IF(G220&lt;=0,0,MAX(0,(G220-H220)/G220)))</f>
        <v>0.74994386019697101</v>
      </c>
      <c r="C221" s="18">
        <f>IF($A221&gt;'1-Input'!$B$26,0,(MAX(0,B176-IF($A221&gt;='1-Input'!$C$12,'1-Input'!$B$12,0))-MIN(MAX(F220,0),MAX(0,B176-IF($A221&gt;='1-Input'!$C$12,'1-Input'!$B$12,0))))*(1/(1-'P-Parametri'!$B$6*B221))+MIN(MAX(0,G220-(MAX(0,B176-IF($A221&gt;='1-Input'!$C$12,'1-Input'!$B$12,0))-MIN(MAX(F220,0),MAX(0,B176-IF($A221&gt;='1-Input'!$C$12,'1-Input'!$B$12,0))))*(1/(1-'P-Parametri'!$B$6*B221))),MAX(0,2*B176-(F220-MIN(MAX(F220,0),MAX(0,B176-IF($A221&gt;='1-Input'!$C$12,'1-Input'!$B$12,0)))))*(1/(1-'P-Parametri'!$B$6*B221))))</f>
        <v>7116.8707231429571</v>
      </c>
      <c r="D221" s="18">
        <f>IF($A221&gt;'1-Input'!$B$26,F220,(F220-MAX(0,B176-IF($A221&gt;='1-Input'!$C$12,'1-Input'!$B$12,0))+C221*(1-'P-Parametri'!$B$6*B221))*(1+ROUND('3-Liquidita'!$F$11,4)))</f>
        <v>33211.981131419976</v>
      </c>
      <c r="E221" s="18">
        <f>IF($A221&gt;'1-Input'!$B$26,G220,(G220-C221)*(1+'5-Roberta'!$C$4))</f>
        <v>98500.579698838643</v>
      </c>
      <c r="F221" s="18">
        <f>IF($A221&gt;'1-Input'!$B$26,D221,D221-'P-Parametri'!$B$8*(E221+D221)+MIN(MAX(E221,0),'P-Parametri'!$B$8*(E221+D221)))</f>
        <v>33211.981131419976</v>
      </c>
      <c r="G221" s="18">
        <f>IF($A221&gt;'1-Input'!$B$26,E221,E221-MIN(MAX(E221,0),'P-Parametri'!$B$8*(E221+D221)))</f>
        <v>98237.154577178124</v>
      </c>
      <c r="H221" s="18">
        <f>IF($A221&gt;'1-Input'!$B$26,H220,H220-C221*(1-B221))</f>
        <v>23913.276434807947</v>
      </c>
      <c r="I221" s="11">
        <f>IF($A221&gt;'1-Input'!$B$26,0,IF(N220&lt;=0,0,MAX(0,(N220-O220)/N220)))</f>
        <v>0</v>
      </c>
      <c r="J221" s="18">
        <f>IF($A221&gt;'1-Input'!$B$26,0,(MAX(0,I176-IF($A221&gt;='1-Input'!$C$12,'1-Input'!$B$12,0))-MIN(MAX(M220,0),MAX(0,I176-IF($A221&gt;='1-Input'!$C$12,'1-Input'!$B$12,0))))*(1/(1-'P-Parametri'!$B$6*I221))+MIN(MAX(0,N220-(MAX(0,I176-IF($A221&gt;='1-Input'!$C$12,'1-Input'!$B$12,0))-MIN(MAX(M220,0),MAX(0,I176-IF($A221&gt;='1-Input'!$C$12,'1-Input'!$B$12,0))))*(1/(1-'P-Parametri'!$B$6*I221))),MAX(0,2*I176-(M220-MIN(MAX(M220,0),MAX(0,I176-IF($A221&gt;='1-Input'!$C$12,'1-Input'!$B$12,0)))))*(1/(1-'P-Parametri'!$B$6*I221))))</f>
        <v>10846.756992928691</v>
      </c>
      <c r="K221" s="18">
        <f>IF($A221&gt;'1-Input'!$B$26,M220,(M220-MAX(0,I176-IF($A221&gt;='1-Input'!$C$12,'1-Input'!$B$12,0))+J221*(1-'P-Parametri'!$B$6*I221))*(1+ROUND('3-Liquidita'!$F$11,4)))</f>
        <v>0</v>
      </c>
      <c r="L221" s="18">
        <f>IF($A221&gt;'1-Input'!$B$26,N220,(N220-J221)*(1+'5-Roberta'!$C$4))</f>
        <v>-284205.74225963384</v>
      </c>
      <c r="M221" s="18">
        <f>IF($A221&gt;'1-Input'!$B$26,K221,K221-'P-Parametri'!$B$8*(L221+K221)+MIN(MAX(L221,0),'P-Parametri'!$B$8*(L221+K221)))</f>
        <v>0</v>
      </c>
      <c r="N221" s="18">
        <f>IF($A221&gt;'1-Input'!$B$26,L221,L221-MIN(MAX(L221,0),'P-Parametri'!$B$8*(L221+K221)))</f>
        <v>-283637.33077511459</v>
      </c>
      <c r="O221" s="18">
        <f>IF($A221&gt;'1-Input'!$B$26,O220,O220-J221*(1-I221))</f>
        <v>-211308.8449999771</v>
      </c>
      <c r="P221" s="11">
        <f>IF($A221&gt;'1-Input'!$B$26,0,IF(U220&lt;=0,0,MAX(0,(U220-V220)/U220)))</f>
        <v>0</v>
      </c>
      <c r="Q221" s="18">
        <f>IF($A221&gt;'1-Input'!$B$26,0,(MAX(0,P176-IF($A221&gt;='1-Input'!$C$12,'1-Input'!$B$12,0))-MIN(MAX(T220,0),MAX(0,P176-IF($A221&gt;='1-Input'!$C$12,'1-Input'!$B$12,0))))*(1/(1-'P-Parametri'!$B$6*P221))+MIN(MAX(0,U220-(MAX(0,P176-IF($A221&gt;='1-Input'!$C$12,'1-Input'!$B$12,0))-MIN(MAX(T220,0),MAX(0,P176-IF($A221&gt;='1-Input'!$C$12,'1-Input'!$B$12,0))))*(1/(1-'P-Parametri'!$B$6*P221))),MAX(0,2*P176-(T220-MIN(MAX(T220,0),MAX(0,P176-IF($A221&gt;='1-Input'!$C$12,'1-Input'!$B$12,0)))))*(1/(1-'P-Parametri'!$B$6*P221))))</f>
        <v>1100.3830062911338</v>
      </c>
      <c r="R221" s="18">
        <f>IF($A221&gt;'1-Input'!$B$26,T220,(T220-MAX(0,P176-IF($A221&gt;='1-Input'!$C$12,'1-Input'!$B$12,0))+Q221*(1-'P-Parametri'!$B$6*P221))*(1+ROUND('3-Liquidita'!$F$11,4)))</f>
        <v>0</v>
      </c>
      <c r="S221" s="18">
        <f>IF($A221&gt;'1-Input'!$B$26,U220,(U220-Q221)*(1+'5-Roberta'!$C$4))</f>
        <v>-1133.3944964798679</v>
      </c>
      <c r="T221" s="18">
        <f>IF($A221&gt;'1-Input'!$B$26,R221,R221-'P-Parametri'!$B$8*(S221+R221)+MIN(MAX(S221,0),'P-Parametri'!$B$8*(S221+R221)))</f>
        <v>0</v>
      </c>
      <c r="U221" s="18">
        <f>IF($A221&gt;'1-Input'!$B$26,S221,S221-MIN(MAX(S221,0),'P-Parametri'!$B$8*(S221+R221)))</f>
        <v>-1131.1277074869081</v>
      </c>
      <c r="V221" s="18">
        <f>IF($A221&gt;'1-Input'!$B$26,V220,V220-Q221*(1-P221))</f>
        <v>-1100.3830062911331</v>
      </c>
      <c r="W221" s="11">
        <f>IF($A221&gt;'1-Input'!$B$26,0,IF(AB220&lt;=0,0,MAX(0,(AB220-AC220)/AB220)))</f>
        <v>0</v>
      </c>
      <c r="X221" s="18">
        <f>IF($A221&gt;'1-Input'!$B$26,0,(MAX(0,W176-IF($A221&gt;='1-Input'!$C$12,'1-Input'!$B$12,0))-MIN(MAX(AA220,0),MAX(0,W176-IF($A221&gt;='1-Input'!$C$12,'1-Input'!$B$12,0))))*(1/(1-'P-Parametri'!$B$6*W221))+MIN(MAX(0,AB220-(MAX(0,W176-IF($A221&gt;='1-Input'!$C$12,'1-Input'!$B$12,0))-MIN(MAX(AA220,0),MAX(0,W176-IF($A221&gt;='1-Input'!$C$12,'1-Input'!$B$12,0))))*(1/(1-'P-Parametri'!$B$6*W221))),MAX(0,2*W176-(AA220-MIN(MAX(AA220,0),MAX(0,W176-IF($A221&gt;='1-Input'!$C$12,'1-Input'!$B$12,0)))))*(1/(1-'P-Parametri'!$B$6*W221))))</f>
        <v>0</v>
      </c>
      <c r="Y221" s="18">
        <f>IF($A221&gt;'1-Input'!$B$26,AA220,(AA220-MAX(0,W176-IF($A221&gt;='1-Input'!$C$12,'1-Input'!$B$12,0))+X221*(1-'P-Parametri'!$B$6*W221))*(1+ROUND('3-Liquidita'!$F$11,4)))</f>
        <v>12702.333993272438</v>
      </c>
      <c r="Z221" s="18">
        <f>IF($A221&gt;'1-Input'!$B$26,AB220,(AB220-X221)*(1+'5-Roberta'!$C$4))</f>
        <v>0</v>
      </c>
      <c r="AA221" s="18">
        <f>IF($A221&gt;'1-Input'!$B$26,Y221,Y221-'P-Parametri'!$B$8*(Z221+Y221)+MIN(MAX(Z221,0),'P-Parametri'!$B$8*(Z221+Y221)))</f>
        <v>12676.929325285893</v>
      </c>
      <c r="AB221" s="18">
        <f>IF($A221&gt;'1-Input'!$B$26,Z221,Z221-MIN(MAX(Z221,0),'P-Parametri'!$B$8*(Z221+Y221)))</f>
        <v>0</v>
      </c>
      <c r="AC221" s="18">
        <f>IF($A221&gt;'1-Input'!$B$26,AC220,AC220-X221*(1-W221))</f>
        <v>-6.8212102632969618E-13</v>
      </c>
      <c r="AD221" s="11">
        <f>IF($A221&gt;'1-Input'!$B$26,0,IF(AI220&lt;=0,0,MAX(0,(AI220-AJ220)/AI220)))</f>
        <v>0</v>
      </c>
      <c r="AE221" s="18">
        <f>IF($A221&gt;'1-Input'!$B$26,0,(MAX(0,AD176-IF($A221&gt;='1-Input'!$C$12,'1-Input'!$B$12,0))-MIN(MAX(AH220,0),MAX(0,AD176-IF($A221&gt;='1-Input'!$C$12,'1-Input'!$B$12,0))))*(1/(1-'P-Parametri'!$B$6*AD221))+MIN(MAX(0,AI220-(MAX(0,AD176-IF($A221&gt;='1-Input'!$C$12,'1-Input'!$B$12,0))-MIN(MAX(AH220,0),MAX(0,AD176-IF($A221&gt;='1-Input'!$C$12,'1-Input'!$B$12,0))))*(1/(1-'P-Parametri'!$B$6*AD221))),MAX(0,2*AD176-(AH220-MIN(MAX(AH220,0),MAX(0,AD176-IF($A221&gt;='1-Input'!$C$12,'1-Input'!$B$12,0)))))*(1/(1-'P-Parametri'!$B$6*AD221))))</f>
        <v>0</v>
      </c>
      <c r="AF221" s="18">
        <f>IF($A221&gt;'1-Input'!$B$26,AH220,(AH220-MAX(0,AD176-IF($A221&gt;='1-Input'!$C$12,'1-Input'!$B$12,0))+AE221*(1-'P-Parametri'!$B$6*AD221))*(1+ROUND('3-Liquidita'!$F$11,4)))</f>
        <v>13697.528184346054</v>
      </c>
      <c r="AG221" s="18">
        <f>IF($A221&gt;'1-Input'!$B$26,AI220,(AI220-AE221)*(1+'5-Roberta'!$C$4))</f>
        <v>0</v>
      </c>
      <c r="AH221" s="18">
        <f>IF($A221&gt;'1-Input'!$B$26,AF221,AF221-'P-Parametri'!$B$8*(AG221+AF221)+MIN(MAX(AG221,0),'P-Parametri'!$B$8*(AG221+AF221)))</f>
        <v>13670.133127977362</v>
      </c>
      <c r="AI221" s="18">
        <f>IF($A221&gt;'1-Input'!$B$26,AG221,AG221-MIN(MAX(AG221,0),'P-Parametri'!$B$8*(AG221+AF221)))</f>
        <v>0</v>
      </c>
      <c r="AJ221" s="18">
        <f>IF($A221&gt;'1-Input'!$B$26,AJ220,AJ220-AE221*(1-AD221))</f>
        <v>0</v>
      </c>
      <c r="AK221" s="11">
        <f>IF($A221&gt;'1-Input'!$B$26,0,IF(AP220&lt;=0,0,MAX(0,(AP220-AQ220)/AP220)))</f>
        <v>0</v>
      </c>
      <c r="AL221" s="18">
        <f>IF($A221&gt;'1-Input'!$B$26,0,(MAX(0,AK176-IF($A221&gt;='1-Input'!$C$12,'1-Input'!$B$12,0))-MIN(MAX(AO220,0),MAX(0,AK176-IF($A221&gt;='1-Input'!$C$12,'1-Input'!$B$12,0))))*(1/(1-'P-Parametri'!$B$6*AK221))+MIN(MAX(0,AP220-(MAX(0,AK176-IF($A221&gt;='1-Input'!$C$12,'1-Input'!$B$12,0))-MIN(MAX(AO220,0),MAX(0,AK176-IF($A221&gt;='1-Input'!$C$12,'1-Input'!$B$12,0))))*(1/(1-'P-Parametri'!$B$6*AK221))),MAX(0,2*AK176-(AO220-MIN(MAX(AO220,0),MAX(0,AK176-IF($A221&gt;='1-Input'!$C$12,'1-Input'!$B$12,0)))))*(1/(1-'P-Parametri'!$B$6*AK221))))</f>
        <v>0</v>
      </c>
      <c r="AM221" s="18">
        <f>IF($A221&gt;'1-Input'!$B$26,AO220,(AO220-MAX(0,AK176-IF($A221&gt;='1-Input'!$C$12,'1-Input'!$B$12,0))+AL221*(1-'P-Parametri'!$B$6*AK221))*(1+ROUND('3-Liquidita'!$F$11,4)))</f>
        <v>13699.784696303775</v>
      </c>
      <c r="AN221" s="18">
        <f>IF($A221&gt;'1-Input'!$B$26,AP220,(AP220-AL221)*(1+'5-Roberta'!$C$4))</f>
        <v>0</v>
      </c>
      <c r="AO221" s="18">
        <f>IF($A221&gt;'1-Input'!$B$26,AM221,AM221-'P-Parametri'!$B$8*(AN221+AM221)+MIN(MAX(AN221,0),'P-Parametri'!$B$8*(AN221+AM221)))</f>
        <v>13672.385126911167</v>
      </c>
      <c r="AP221" s="18">
        <f>IF($A221&gt;'1-Input'!$B$26,AN221,AN221-MIN(MAX(AN221,0),'P-Parametri'!$B$8*(AN221+AM221)))</f>
        <v>0</v>
      </c>
      <c r="AQ221" s="18">
        <f>IF($A221&gt;'1-Input'!$B$26,AQ220,AQ220-AL221*(1-AK221))</f>
        <v>2.2737367544323206E-13</v>
      </c>
    </row>
    <row r="222" spans="1:43">
      <c r="A222" s="10">
        <f>44</f>
        <v>44</v>
      </c>
      <c r="B222" s="11">
        <f>IF($A222&gt;'1-Input'!$B$26,0,IF(G221&lt;=0,0,MAX(0,(G221-H221)/G221)))</f>
        <v>0.75657604764986397</v>
      </c>
      <c r="C222" s="18">
        <f>IF($A222&gt;'1-Input'!$B$26,0,(MAX(0,B176-IF($A222&gt;='1-Input'!$C$12,'1-Input'!$B$12,0))-MIN(MAX(F221,0),MAX(0,B176-IF($A222&gt;='1-Input'!$C$12,'1-Input'!$B$12,0))))*(1/(1-'P-Parametri'!$B$6*B222))+MIN(MAX(0,G221-(MAX(0,B176-IF($A222&gt;='1-Input'!$C$12,'1-Input'!$B$12,0))-MIN(MAX(F221,0),MAX(0,B176-IF($A222&gt;='1-Input'!$C$12,'1-Input'!$B$12,0))))*(1/(1-'P-Parametri'!$B$6*B222))),MAX(0,2*B176-(F221-MIN(MAX(F221,0),MAX(0,B176-IF($A222&gt;='1-Input'!$C$12,'1-Input'!$B$12,0)))))*(1/(1-'P-Parametri'!$B$6*B222))))</f>
        <v>7132.1480276137318</v>
      </c>
      <c r="D222" s="18">
        <f>IF($A222&gt;'1-Input'!$B$26,F221,(F221-MAX(0,B176-IF($A222&gt;='1-Input'!$C$12,'1-Input'!$B$12,0))+C222*(1-'P-Parametri'!$B$6*B222))*(1+ROUND('3-Liquidita'!$F$11,4)))</f>
        <v>33211.981131419976</v>
      </c>
      <c r="E222" s="18">
        <f>IF($A222&gt;'1-Input'!$B$26,G221,(G221-C222)*(1+'5-Roberta'!$C$4))</f>
        <v>93838.156746051332</v>
      </c>
      <c r="F222" s="18">
        <f>IF($A222&gt;'1-Input'!$B$26,D222,D222-'P-Parametri'!$B$8*(E222+D222)+MIN(MAX(E222,0),'P-Parametri'!$B$8*(E222+D222)))</f>
        <v>33211.981131419976</v>
      </c>
      <c r="G222" s="18">
        <f>IF($A222&gt;'1-Input'!$B$26,E222,E222-MIN(MAX(E222,0),'P-Parametri'!$B$8*(E222+D222)))</f>
        <v>93584.056470296389</v>
      </c>
      <c r="H222" s="18">
        <f>IF($A222&gt;'1-Input'!$B$26,H221,H221-C222*(1-B222))</f>
        <v>22177.140773179985</v>
      </c>
      <c r="I222" s="11">
        <f>IF($A222&gt;'1-Input'!$B$26,0,IF(N221&lt;=0,0,MAX(0,(N221-O221)/N221)))</f>
        <v>0</v>
      </c>
      <c r="J222" s="18">
        <f>IF($A222&gt;'1-Input'!$B$26,0,(MAX(0,I176-IF($A222&gt;='1-Input'!$C$12,'1-Input'!$B$12,0))-MIN(MAX(M221,0),MAX(0,I176-IF($A222&gt;='1-Input'!$C$12,'1-Input'!$B$12,0))))*(1/(1-'P-Parametri'!$B$6*I222))+MIN(MAX(0,N221-(MAX(0,I176-IF($A222&gt;='1-Input'!$C$12,'1-Input'!$B$12,0))-MIN(MAX(M221,0),MAX(0,I176-IF($A222&gt;='1-Input'!$C$12,'1-Input'!$B$12,0))))*(1/(1-'P-Parametri'!$B$6*I222))),MAX(0,2*I176-(M221-MIN(MAX(M221,0),MAX(0,I176-IF($A222&gt;='1-Input'!$C$12,'1-Input'!$B$12,0)))))*(1/(1-'P-Parametri'!$B$6*I222))))</f>
        <v>10846.756992928691</v>
      </c>
      <c r="K222" s="18">
        <f>IF($A222&gt;'1-Input'!$B$26,M221,(M221-MAX(0,I176-IF($A222&gt;='1-Input'!$C$12,'1-Input'!$B$12,0))+J222*(1-'P-Parametri'!$B$6*I222))*(1+ROUND('3-Liquidita'!$F$11,4)))</f>
        <v>0</v>
      </c>
      <c r="L222" s="18">
        <f>IF($A222&gt;'1-Input'!$B$26,N221,(N221-J222)*(1+'5-Roberta'!$C$4))</f>
        <v>-303318.61040108459</v>
      </c>
      <c r="M222" s="18">
        <f>IF($A222&gt;'1-Input'!$B$26,K222,K222-'P-Parametri'!$B$8*(L222+K222)+MIN(MAX(L222,0),'P-Parametri'!$B$8*(L222+K222)))</f>
        <v>0</v>
      </c>
      <c r="N222" s="18">
        <f>IF($A222&gt;'1-Input'!$B$26,L222,L222-MIN(MAX(L222,0),'P-Parametri'!$B$8*(L222+K222)))</f>
        <v>-302711.9731802824</v>
      </c>
      <c r="O222" s="18">
        <f>IF($A222&gt;'1-Input'!$B$26,O221,O221-J222*(1-I222))</f>
        <v>-222155.60199290578</v>
      </c>
      <c r="P222" s="11">
        <f>IF($A222&gt;'1-Input'!$B$26,0,IF(U221&lt;=0,0,MAX(0,(U221-V221)/U221)))</f>
        <v>0</v>
      </c>
      <c r="Q222" s="18">
        <f>IF($A222&gt;'1-Input'!$B$26,0,(MAX(0,P176-IF($A222&gt;='1-Input'!$C$12,'1-Input'!$B$12,0))-MIN(MAX(T221,0),MAX(0,P176-IF($A222&gt;='1-Input'!$C$12,'1-Input'!$B$12,0))))*(1/(1-'P-Parametri'!$B$6*P222))+MIN(MAX(0,U221-(MAX(0,P176-IF($A222&gt;='1-Input'!$C$12,'1-Input'!$B$12,0))-MIN(MAX(T221,0),MAX(0,P176-IF($A222&gt;='1-Input'!$C$12,'1-Input'!$B$12,0))))*(1/(1-'P-Parametri'!$B$6*P222))),MAX(0,2*P176-(T221-MIN(MAX(T221,0),MAX(0,P176-IF($A222&gt;='1-Input'!$C$12,'1-Input'!$B$12,0)))))*(1/(1-'P-Parametri'!$B$6*P222))))</f>
        <v>7025.4251880340016</v>
      </c>
      <c r="R222" s="18">
        <f>IF($A222&gt;'1-Input'!$B$26,T221,(T221-MAX(0,P176-IF($A222&gt;='1-Input'!$C$12,'1-Input'!$B$12,0))+Q222*(1-'P-Parametri'!$B$6*P222))*(1+ROUND('3-Liquidita'!$F$11,4)))</f>
        <v>0</v>
      </c>
      <c r="S222" s="18">
        <f>IF($A222&gt;'1-Input'!$B$26,U221,(U221-Q222)*(1+'5-Roberta'!$C$4))</f>
        <v>-8401.2494823865381</v>
      </c>
      <c r="T222" s="18">
        <f>IF($A222&gt;'1-Input'!$B$26,R222,R222-'P-Parametri'!$B$8*(S222+R222)+MIN(MAX(S222,0),'P-Parametri'!$B$8*(S222+R222)))</f>
        <v>0</v>
      </c>
      <c r="U222" s="18">
        <f>IF($A222&gt;'1-Input'!$B$26,S222,S222-MIN(MAX(S222,0),'P-Parametri'!$B$8*(S222+R222)))</f>
        <v>-8384.4469834217653</v>
      </c>
      <c r="V222" s="18">
        <f>IF($A222&gt;'1-Input'!$B$26,V221,V221-Q222*(1-P222))</f>
        <v>-8125.8081943251345</v>
      </c>
      <c r="W222" s="11">
        <f>IF($A222&gt;'1-Input'!$B$26,0,IF(AB221&lt;=0,0,MAX(0,(AB221-AC221)/AB221)))</f>
        <v>0</v>
      </c>
      <c r="X222" s="18">
        <f>IF($A222&gt;'1-Input'!$B$26,0,(MAX(0,W176-IF($A222&gt;='1-Input'!$C$12,'1-Input'!$B$12,0))-MIN(MAX(AA221,0),MAX(0,W176-IF($A222&gt;='1-Input'!$C$12,'1-Input'!$B$12,0))))*(1/(1-'P-Parametri'!$B$6*W222))+MIN(MAX(0,AB221-(MAX(0,W176-IF($A222&gt;='1-Input'!$C$12,'1-Input'!$B$12,0))-MIN(MAX(AA221,0),MAX(0,W176-IF($A222&gt;='1-Input'!$C$12,'1-Input'!$B$12,0))))*(1/(1-'P-Parametri'!$B$6*W222))),MAX(0,2*W176-(AA221-MIN(MAX(AA221,0),MAX(0,W176-IF($A222&gt;='1-Input'!$C$12,'1-Input'!$B$12,0)))))*(1/(1-'P-Parametri'!$B$6*W222))))</f>
        <v>0</v>
      </c>
      <c r="Y222" s="18">
        <f>IF($A222&gt;'1-Input'!$B$26,AA221,(AA221-MAX(0,W176-IF($A222&gt;='1-Input'!$C$12,'1-Input'!$B$12,0))+X222*(1-'P-Parametri'!$B$6*W222))*(1+ROUND('3-Liquidita'!$F$11,4)))</f>
        <v>5822.6897461924464</v>
      </c>
      <c r="Z222" s="18">
        <f>IF($A222&gt;'1-Input'!$B$26,AB221,(AB221-X222)*(1+'5-Roberta'!$C$4))</f>
        <v>0</v>
      </c>
      <c r="AA222" s="18">
        <f>IF($A222&gt;'1-Input'!$B$26,Y222,Y222-'P-Parametri'!$B$8*(Z222+Y222)+MIN(MAX(Z222,0),'P-Parametri'!$B$8*(Z222+Y222)))</f>
        <v>5811.0443667000618</v>
      </c>
      <c r="AB222" s="18">
        <f>IF($A222&gt;'1-Input'!$B$26,Z222,Z222-MIN(MAX(Z222,0),'P-Parametri'!$B$8*(Z222+Y222)))</f>
        <v>0</v>
      </c>
      <c r="AC222" s="18">
        <f>IF($A222&gt;'1-Input'!$B$26,AC221,AC221-X222*(1-W222))</f>
        <v>-6.8212102632969618E-13</v>
      </c>
      <c r="AD222" s="11">
        <f>IF($A222&gt;'1-Input'!$B$26,0,IF(AI221&lt;=0,0,MAX(0,(AI221-AJ221)/AI221)))</f>
        <v>0</v>
      </c>
      <c r="AE222" s="18">
        <f>IF($A222&gt;'1-Input'!$B$26,0,(MAX(0,AD176-IF($A222&gt;='1-Input'!$C$12,'1-Input'!$B$12,0))-MIN(MAX(AH221,0),MAX(0,AD176-IF($A222&gt;='1-Input'!$C$12,'1-Input'!$B$12,0))))*(1/(1-'P-Parametri'!$B$6*AD222))+MIN(MAX(0,AI221-(MAX(0,AD176-IF($A222&gt;='1-Input'!$C$12,'1-Input'!$B$12,0))-MIN(MAX(AH221,0),MAX(0,AD176-IF($A222&gt;='1-Input'!$C$12,'1-Input'!$B$12,0))))*(1/(1-'P-Parametri'!$B$6*AD222))),MAX(0,2*AD176-(AH221-MIN(MAX(AH221,0),MAX(0,AD176-IF($A222&gt;='1-Input'!$C$12,'1-Input'!$B$12,0)))))*(1/(1-'P-Parametri'!$B$6*AD222))))</f>
        <v>0</v>
      </c>
      <c r="AF222" s="18">
        <f>IF($A222&gt;'1-Input'!$B$26,AH221,(AH221-MAX(0,AD176-IF($A222&gt;='1-Input'!$C$12,'1-Input'!$B$12,0))+AE222*(1-'P-Parametri'!$B$6*AD222))*(1+ROUND('3-Liquidita'!$F$11,4)))</f>
        <v>6825.3152778013045</v>
      </c>
      <c r="AG222" s="18">
        <f>IF($A222&gt;'1-Input'!$B$26,AI221,(AI221-AE222)*(1+'5-Roberta'!$C$4))</f>
        <v>0</v>
      </c>
      <c r="AH222" s="18">
        <f>IF($A222&gt;'1-Input'!$B$26,AF222,AF222-'P-Parametri'!$B$8*(AG222+AF222)+MIN(MAX(AG222,0),'P-Parametri'!$B$8*(AG222+AF222)))</f>
        <v>6811.6646472457023</v>
      </c>
      <c r="AI222" s="18">
        <f>IF($A222&gt;'1-Input'!$B$26,AG222,AG222-MIN(MAX(AG222,0),'P-Parametri'!$B$8*(AG222+AF222)))</f>
        <v>0</v>
      </c>
      <c r="AJ222" s="18">
        <f>IF($A222&gt;'1-Input'!$B$26,AJ221,AJ221-AE222*(1-AD222))</f>
        <v>0</v>
      </c>
      <c r="AK222" s="11">
        <f>IF($A222&gt;'1-Input'!$B$26,0,IF(AP221&lt;=0,0,MAX(0,(AP221-AQ221)/AP221)))</f>
        <v>0</v>
      </c>
      <c r="AL222" s="18">
        <f>IF($A222&gt;'1-Input'!$B$26,0,(MAX(0,AK176-IF($A222&gt;='1-Input'!$C$12,'1-Input'!$B$12,0))-MIN(MAX(AO221,0),MAX(0,AK176-IF($A222&gt;='1-Input'!$C$12,'1-Input'!$B$12,0))))*(1/(1-'P-Parametri'!$B$6*AK222))+MIN(MAX(0,AP221-(MAX(0,AK176-IF($A222&gt;='1-Input'!$C$12,'1-Input'!$B$12,0))-MIN(MAX(AO221,0),MAX(0,AK176-IF($A222&gt;='1-Input'!$C$12,'1-Input'!$B$12,0))))*(1/(1-'P-Parametri'!$B$6*AK222))),MAX(0,2*AK176-(AO221-MIN(MAX(AO221,0),MAX(0,AK176-IF($A222&gt;='1-Input'!$C$12,'1-Input'!$B$12,0)))))*(1/(1-'P-Parametri'!$B$6*AK222))))</f>
        <v>0</v>
      </c>
      <c r="AM222" s="18">
        <f>IF($A222&gt;'1-Input'!$B$26,AO221,(AO221-MAX(0,AK176-IF($A222&gt;='1-Input'!$C$12,'1-Input'!$B$12,0))+AL222*(1-'P-Parametri'!$B$6*AK222))*(1+ROUND('3-Liquidita'!$F$11,4)))</f>
        <v>6827.5886395407451</v>
      </c>
      <c r="AN222" s="18">
        <f>IF($A222&gt;'1-Input'!$B$26,AP221,(AP221-AL222)*(1+'5-Roberta'!$C$4))</f>
        <v>0</v>
      </c>
      <c r="AO222" s="18">
        <f>IF($A222&gt;'1-Input'!$B$26,AM222,AM222-'P-Parametri'!$B$8*(AN222+AM222)+MIN(MAX(AN222,0),'P-Parametri'!$B$8*(AN222+AM222)))</f>
        <v>6813.9334622616634</v>
      </c>
      <c r="AP222" s="18">
        <f>IF($A222&gt;'1-Input'!$B$26,AN222,AN222-MIN(MAX(AN222,0),'P-Parametri'!$B$8*(AN222+AM222)))</f>
        <v>0</v>
      </c>
      <c r="AQ222" s="18">
        <f>IF($A222&gt;'1-Input'!$B$26,AQ221,AQ221-AL222*(1-AK222))</f>
        <v>2.2737367544323206E-13</v>
      </c>
    </row>
    <row r="223" spans="1:43">
      <c r="A223" s="10">
        <f>45</f>
        <v>45</v>
      </c>
      <c r="B223" s="11">
        <f>IF($A223&gt;'1-Input'!$B$26,0,IF(G222&lt;=0,0,MAX(0,(G222-H222)/G222)))</f>
        <v>0.76302436964549603</v>
      </c>
      <c r="C223" s="18">
        <f>IF($A223&gt;'1-Input'!$B$26,0,(MAX(0,B176-IF($A223&gt;='1-Input'!$C$12,'1-Input'!$B$12,0))-MIN(MAX(F222,0),MAX(0,B176-IF($A223&gt;='1-Input'!$C$12,'1-Input'!$B$12,0))))*(1/(1-'P-Parametri'!$B$6*B223))+MIN(MAX(0,G222-(MAX(0,B176-IF($A223&gt;='1-Input'!$C$12,'1-Input'!$B$12,0))-MIN(MAX(F222,0),MAX(0,B176-IF($A223&gt;='1-Input'!$C$12,'1-Input'!$B$12,0))))*(1/(1-'P-Parametri'!$B$6*B223))),MAX(0,2*B176-(F222-MIN(MAX(F222,0),MAX(0,B176-IF($A223&gt;='1-Input'!$C$12,'1-Input'!$B$12,0)))))*(1/(1-'P-Parametri'!$B$6*B223))))</f>
        <v>7147.0648150379984</v>
      </c>
      <c r="D223" s="18">
        <f>IF($A223&gt;'1-Input'!$B$26,F222,(F222-MAX(0,B176-IF($A223&gt;='1-Input'!$C$12,'1-Input'!$B$12,0))+C223*(1-'P-Parametri'!$B$6*B223))*(1+ROUND('3-Liquidita'!$F$11,4)))</f>
        <v>33211.981131419976</v>
      </c>
      <c r="E223" s="18">
        <f>IF($A223&gt;'1-Input'!$B$26,G222,(G222-C223)*(1+'5-Roberta'!$C$4))</f>
        <v>89030.101404916146</v>
      </c>
      <c r="F223" s="18">
        <f>IF($A223&gt;'1-Input'!$B$26,D223,D223-'P-Parametri'!$B$8*(E223+D223)+MIN(MAX(E223,0),'P-Parametri'!$B$8*(E223+D223)))</f>
        <v>33211.981131419976</v>
      </c>
      <c r="G223" s="18">
        <f>IF($A223&gt;'1-Input'!$B$26,E223,E223-MIN(MAX(E223,0),'P-Parametri'!$B$8*(E223+D223)))</f>
        <v>88785.617239843472</v>
      </c>
      <c r="H223" s="18">
        <f>IF($A223&gt;'1-Input'!$B$26,H222,H222-C223*(1-B223))</f>
        <v>20483.460583451859</v>
      </c>
      <c r="I223" s="11">
        <f>IF($A223&gt;'1-Input'!$B$26,0,IF(N222&lt;=0,0,MAX(0,(N222-O222)/N222)))</f>
        <v>0</v>
      </c>
      <c r="J223" s="18">
        <f>IF($A223&gt;'1-Input'!$B$26,0,(MAX(0,I176-IF($A223&gt;='1-Input'!$C$12,'1-Input'!$B$12,0))-MIN(MAX(M222,0),MAX(0,I176-IF($A223&gt;='1-Input'!$C$12,'1-Input'!$B$12,0))))*(1/(1-'P-Parametri'!$B$6*I223))+MIN(MAX(0,N222-(MAX(0,I176-IF($A223&gt;='1-Input'!$C$12,'1-Input'!$B$12,0))-MIN(MAX(M222,0),MAX(0,I176-IF($A223&gt;='1-Input'!$C$12,'1-Input'!$B$12,0))))*(1/(1-'P-Parametri'!$B$6*I223))),MAX(0,2*I176-(M222-MIN(MAX(M222,0),MAX(0,I176-IF($A223&gt;='1-Input'!$C$12,'1-Input'!$B$12,0)))))*(1/(1-'P-Parametri'!$B$6*I223))))</f>
        <v>10846.756992928691</v>
      </c>
      <c r="K223" s="18">
        <f>IF($A223&gt;'1-Input'!$B$26,M222,(M222-MAX(0,I176-IF($A223&gt;='1-Input'!$C$12,'1-Input'!$B$12,0))+J223*(1-'P-Parametri'!$B$6*I223))*(1+ROUND('3-Liquidita'!$F$11,4)))</f>
        <v>0</v>
      </c>
      <c r="L223" s="18">
        <f>IF($A223&gt;'1-Input'!$B$26,N222,(N222-J223)*(1+'5-Roberta'!$C$4))</f>
        <v>-322965.49207840743</v>
      </c>
      <c r="M223" s="18">
        <f>IF($A223&gt;'1-Input'!$B$26,K223,K223-'P-Parametri'!$B$8*(L223+K223)+MIN(MAX(L223,0),'P-Parametri'!$B$8*(L223+K223)))</f>
        <v>0</v>
      </c>
      <c r="N223" s="18">
        <f>IF($A223&gt;'1-Input'!$B$26,L223,L223-MIN(MAX(L223,0),'P-Parametri'!$B$8*(L223+K223)))</f>
        <v>-322319.56109425065</v>
      </c>
      <c r="O223" s="18">
        <f>IF($A223&gt;'1-Input'!$B$26,O222,O222-J223*(1-I223))</f>
        <v>-233002.35898583446</v>
      </c>
      <c r="P223" s="11">
        <f>IF($A223&gt;'1-Input'!$B$26,0,IF(U222&lt;=0,0,MAX(0,(U222-V222)/U222)))</f>
        <v>0</v>
      </c>
      <c r="Q223" s="18">
        <f>IF($A223&gt;'1-Input'!$B$26,0,(MAX(0,P176-IF($A223&gt;='1-Input'!$C$12,'1-Input'!$B$12,0))-MIN(MAX(T222,0),MAX(0,P176-IF($A223&gt;='1-Input'!$C$12,'1-Input'!$B$12,0))))*(1/(1-'P-Parametri'!$B$6*P223))+MIN(MAX(0,U222-(MAX(0,P176-IF($A223&gt;='1-Input'!$C$12,'1-Input'!$B$12,0))-MIN(MAX(T222,0),MAX(0,P176-IF($A223&gt;='1-Input'!$C$12,'1-Input'!$B$12,0))))*(1/(1-'P-Parametri'!$B$6*P223))),MAX(0,2*P176-(T222-MIN(MAX(T222,0),MAX(0,P176-IF($A223&gt;='1-Input'!$C$12,'1-Input'!$B$12,0)))))*(1/(1-'P-Parametri'!$B$6*P223))))</f>
        <v>7025.4251880340016</v>
      </c>
      <c r="R223" s="18">
        <f>IF($A223&gt;'1-Input'!$B$26,T222,(T222-MAX(0,P176-IF($A223&gt;='1-Input'!$C$12,'1-Input'!$B$12,0))+Q223*(1-'P-Parametri'!$B$6*P223))*(1+ROUND('3-Liquidita'!$F$11,4)))</f>
        <v>0</v>
      </c>
      <c r="S223" s="18">
        <f>IF($A223&gt;'1-Input'!$B$26,U222,(U222-Q223)*(1+'5-Roberta'!$C$4))</f>
        <v>-15872.168336599439</v>
      </c>
      <c r="T223" s="18">
        <f>IF($A223&gt;'1-Input'!$B$26,R223,R223-'P-Parametri'!$B$8*(S223+R223)+MIN(MAX(S223,0),'P-Parametri'!$B$8*(S223+R223)))</f>
        <v>0</v>
      </c>
      <c r="U223" s="18">
        <f>IF($A223&gt;'1-Input'!$B$26,S223,S223-MIN(MAX(S223,0),'P-Parametri'!$B$8*(S223+R223)))</f>
        <v>-15840.423999926241</v>
      </c>
      <c r="V223" s="18">
        <f>IF($A223&gt;'1-Input'!$B$26,V222,V222-Q223*(1-P223))</f>
        <v>-15151.233382359136</v>
      </c>
      <c r="W223" s="11">
        <f>IF($A223&gt;'1-Input'!$B$26,0,IF(AB222&lt;=0,0,MAX(0,(AB222-AC222)/AB222)))</f>
        <v>0</v>
      </c>
      <c r="X223" s="18">
        <f>IF($A223&gt;'1-Input'!$B$26,0,(MAX(0,W176-IF($A223&gt;='1-Input'!$C$12,'1-Input'!$B$12,0))-MIN(MAX(AA222,0),MAX(0,W176-IF($A223&gt;='1-Input'!$C$12,'1-Input'!$B$12,0))))*(1/(1-'P-Parametri'!$B$6*W223))+MIN(MAX(0,AB222-(MAX(0,W176-IF($A223&gt;='1-Input'!$C$12,'1-Input'!$B$12,0))-MIN(MAX(AA222,0),MAX(0,W176-IF($A223&gt;='1-Input'!$C$12,'1-Input'!$B$12,0))))*(1/(1-'P-Parametri'!$B$6*W223))),MAX(0,2*W176-(AA222-MIN(MAX(AA222,0),MAX(0,W176-IF($A223&gt;='1-Input'!$C$12,'1-Input'!$B$12,0)))))*(1/(1-'P-Parametri'!$B$6*W223))))</f>
        <v>1016.8746660770958</v>
      </c>
      <c r="Y223" s="18">
        <f>IF($A223&gt;'1-Input'!$B$26,AA222,(AA222-MAX(0,W176-IF($A223&gt;='1-Input'!$C$12,'1-Input'!$B$12,0))+X223*(1-'P-Parametri'!$B$6*W223))*(1+ROUND('3-Liquidita'!$F$11,4)))</f>
        <v>0</v>
      </c>
      <c r="Z223" s="18">
        <f>IF($A223&gt;'1-Input'!$B$26,AB222,(AB222-X223)*(1+'5-Roberta'!$C$4))</f>
        <v>-1047.3809060594087</v>
      </c>
      <c r="AA223" s="18">
        <f>IF($A223&gt;'1-Input'!$B$26,Y223,Y223-'P-Parametri'!$B$8*(Z223+Y223)+MIN(MAX(Z223,0),'P-Parametri'!$B$8*(Z223+Y223)))</f>
        <v>0</v>
      </c>
      <c r="AB223" s="18">
        <f>IF($A223&gt;'1-Input'!$B$26,Z223,Z223-MIN(MAX(Z223,0),'P-Parametri'!$B$8*(Z223+Y223)))</f>
        <v>-1045.2861442472899</v>
      </c>
      <c r="AC223" s="18">
        <f>IF($A223&gt;'1-Input'!$B$26,AC222,AC222-X223*(1-W223))</f>
        <v>-1016.8746660770964</v>
      </c>
      <c r="AD223" s="11">
        <f>IF($A223&gt;'1-Input'!$B$26,0,IF(AI222&lt;=0,0,MAX(0,(AI222-AJ222)/AI222)))</f>
        <v>0</v>
      </c>
      <c r="AE223" s="18">
        <f>IF($A223&gt;'1-Input'!$B$26,0,(MAX(0,AD176-IF($A223&gt;='1-Input'!$C$12,'1-Input'!$B$12,0))-MIN(MAX(AH222,0),MAX(0,AD176-IF($A223&gt;='1-Input'!$C$12,'1-Input'!$B$12,0))))*(1/(1-'P-Parametri'!$B$6*AD223))+MIN(MAX(0,AI222-(MAX(0,AD176-IF($A223&gt;='1-Input'!$C$12,'1-Input'!$B$12,0))-MIN(MAX(AH222,0),MAX(0,AD176-IF($A223&gt;='1-Input'!$C$12,'1-Input'!$B$12,0))))*(1/(1-'P-Parametri'!$B$6*AD223))),MAX(0,2*AD176-(AH222-MIN(MAX(AH222,0),MAX(0,AD176-IF($A223&gt;='1-Input'!$C$12,'1-Input'!$B$12,0)))))*(1/(1-'P-Parametri'!$B$6*AD223))))</f>
        <v>2.3004467775617741</v>
      </c>
      <c r="AF223" s="18">
        <f>IF($A223&gt;'1-Input'!$B$26,AH222,(AH222-MAX(0,AD176-IF($A223&gt;='1-Input'!$C$12,'1-Input'!$B$12,0))+AE223*(1-'P-Parametri'!$B$6*AD223))*(1+ROUND('3-Liquidita'!$F$11,4)))</f>
        <v>0</v>
      </c>
      <c r="AG223" s="18">
        <f>IF($A223&gt;'1-Input'!$B$26,AI222,(AI222-AE223)*(1+'5-Roberta'!$C$4))</f>
        <v>-2.3694601808886273</v>
      </c>
      <c r="AH223" s="18">
        <f>IF($A223&gt;'1-Input'!$B$26,AF223,AF223-'P-Parametri'!$B$8*(AG223+AF223)+MIN(MAX(AG223,0),'P-Parametri'!$B$8*(AG223+AF223)))</f>
        <v>0</v>
      </c>
      <c r="AI223" s="18">
        <f>IF($A223&gt;'1-Input'!$B$26,AG223,AG223-MIN(MAX(AG223,0),'P-Parametri'!$B$8*(AG223+AF223)))</f>
        <v>-2.3647212605268502</v>
      </c>
      <c r="AJ223" s="18">
        <f>IF($A223&gt;'1-Input'!$B$26,AJ222,AJ222-AE223*(1-AD223))</f>
        <v>-2.3004467775617741</v>
      </c>
      <c r="AK223" s="11">
        <f>IF($A223&gt;'1-Input'!$B$26,0,IF(AP222&lt;=0,0,MAX(0,(AP222-AQ222)/AP222)))</f>
        <v>0</v>
      </c>
      <c r="AL223" s="18">
        <f>IF($A223&gt;'1-Input'!$B$26,0,(MAX(0,AK176-IF($A223&gt;='1-Input'!$C$12,'1-Input'!$B$12,0))-MIN(MAX(AO222,0),MAX(0,AK176-IF($A223&gt;='1-Input'!$C$12,'1-Input'!$B$12,0))))*(1/(1-'P-Parametri'!$B$6*AK223))+MIN(MAX(0,AP222-(MAX(0,AK176-IF($A223&gt;='1-Input'!$C$12,'1-Input'!$B$12,0))-MIN(MAX(AO222,0),MAX(0,AK176-IF($A223&gt;='1-Input'!$C$12,'1-Input'!$B$12,0))))*(1/(1-'P-Parametri'!$B$6*AK223))),MAX(0,2*AK176-(AO222-MIN(MAX(AO222,0),MAX(0,AK176-IF($A223&gt;='1-Input'!$C$12,'1-Input'!$B$12,0)))))*(1/(1-'P-Parametri'!$B$6*AK223))))</f>
        <v>0</v>
      </c>
      <c r="AM223" s="18">
        <f>IF($A223&gt;'1-Input'!$B$26,AO222,(AO222-MAX(0,AK176-IF($A223&gt;='1-Input'!$C$12,'1-Input'!$B$12,0))+AL223*(1-'P-Parametri'!$B$6*AK223))*(1+ROUND('3-Liquidita'!$F$11,4)))</f>
        <v>7.3821633191073494E-6</v>
      </c>
      <c r="AN223" s="18">
        <f>IF($A223&gt;'1-Input'!$B$26,AP222,(AP222-AL223)*(1+'5-Roberta'!$C$4))</f>
        <v>0</v>
      </c>
      <c r="AO223" s="18">
        <f>IF($A223&gt;'1-Input'!$B$26,AM223,AM223-'P-Parametri'!$B$8*(AN223+AM223)+MIN(MAX(AN223,0),'P-Parametri'!$B$8*(AN223+AM223)))</f>
        <v>7.3673989924691348E-6</v>
      </c>
      <c r="AP223" s="18">
        <f>IF($A223&gt;'1-Input'!$B$26,AN223,AN223-MIN(MAX(AN223,0),'P-Parametri'!$B$8*(AN223+AM223)))</f>
        <v>0</v>
      </c>
      <c r="AQ223" s="18">
        <f>IF($A223&gt;'1-Input'!$B$26,AQ222,AQ222-AL223*(1-AK223))</f>
        <v>2.2737367544323206E-13</v>
      </c>
    </row>
    <row r="224" spans="1:43">
      <c r="A224" s="10">
        <f>46</f>
        <v>46</v>
      </c>
      <c r="B224" s="11">
        <f>IF($A224&gt;'1-Input'!$B$26,0,IF(G223&lt;=0,0,MAX(0,(G223-H223)/G223)))</f>
        <v>0</v>
      </c>
      <c r="C224" s="18">
        <f>IF($A224&gt;'1-Input'!$B$26,0,(MAX(0,B176-IF($A224&gt;='1-Input'!$C$12,'1-Input'!$B$12,0))-MIN(MAX(F223,0),MAX(0,B176-IF($A224&gt;='1-Input'!$C$12,'1-Input'!$B$12,0))))*(1/(1-'P-Parametri'!$B$6*B224))+MIN(MAX(0,G223-(MAX(0,B176-IF($A224&gt;='1-Input'!$C$12,'1-Input'!$B$12,0))-MIN(MAX(F223,0),MAX(0,B176-IF($A224&gt;='1-Input'!$C$12,'1-Input'!$B$12,0))))*(1/(1-'P-Parametri'!$B$6*B224))),MAX(0,2*B176-(F223-MIN(MAX(F223,0),MAX(0,B176-IF($A224&gt;='1-Input'!$C$12,'1-Input'!$B$12,0)))))*(1/(1-'P-Parametri'!$B$6*B224))))</f>
        <v>0</v>
      </c>
      <c r="D224" s="18">
        <f>IF($A224&gt;'1-Input'!$B$26,F223,(F223-MAX(0,B176-IF($A224&gt;='1-Input'!$C$12,'1-Input'!$B$12,0))+C224*(1-'P-Parametri'!$B$6*B224))*(1+ROUND('3-Liquidita'!$F$11,4)))</f>
        <v>33211.981131419976</v>
      </c>
      <c r="E224" s="18">
        <f>IF($A224&gt;'1-Input'!$B$26,G223,(G223-C224)*(1+'5-Roberta'!$C$4))</f>
        <v>88785.617239843472</v>
      </c>
      <c r="F224" s="18">
        <f>IF($A224&gt;'1-Input'!$B$26,D224,D224-'P-Parametri'!$B$8*(E224+D224)+MIN(MAX(E224,0),'P-Parametri'!$B$8*(E224+D224)))</f>
        <v>33211.981131419976</v>
      </c>
      <c r="G224" s="18">
        <f>IF($A224&gt;'1-Input'!$B$26,E224,E224-MIN(MAX(E224,0),'P-Parametri'!$B$8*(E224+D224)))</f>
        <v>88785.617239843472</v>
      </c>
      <c r="H224" s="18">
        <f>IF($A224&gt;'1-Input'!$B$26,H223,H223-C224*(1-B224))</f>
        <v>20483.460583451859</v>
      </c>
      <c r="I224" s="11">
        <f>IF($A224&gt;'1-Input'!$B$26,0,IF(N223&lt;=0,0,MAX(0,(N223-O223)/N223)))</f>
        <v>0</v>
      </c>
      <c r="J224" s="18">
        <f>IF($A224&gt;'1-Input'!$B$26,0,(MAX(0,I176-IF($A224&gt;='1-Input'!$C$12,'1-Input'!$B$12,0))-MIN(MAX(M223,0),MAX(0,I176-IF($A224&gt;='1-Input'!$C$12,'1-Input'!$B$12,0))))*(1/(1-'P-Parametri'!$B$6*I224))+MIN(MAX(0,N223-(MAX(0,I176-IF($A224&gt;='1-Input'!$C$12,'1-Input'!$B$12,0))-MIN(MAX(M223,0),MAX(0,I176-IF($A224&gt;='1-Input'!$C$12,'1-Input'!$B$12,0))))*(1/(1-'P-Parametri'!$B$6*I224))),MAX(0,2*I176-(M223-MIN(MAX(M223,0),MAX(0,I176-IF($A224&gt;='1-Input'!$C$12,'1-Input'!$B$12,0)))))*(1/(1-'P-Parametri'!$B$6*I224))))</f>
        <v>0</v>
      </c>
      <c r="K224" s="18">
        <f>IF($A224&gt;'1-Input'!$B$26,M223,(M223-MAX(0,I176-IF($A224&gt;='1-Input'!$C$12,'1-Input'!$B$12,0))+J224*(1-'P-Parametri'!$B$6*I224))*(1+ROUND('3-Liquidita'!$F$11,4)))</f>
        <v>0</v>
      </c>
      <c r="L224" s="18">
        <f>IF($A224&gt;'1-Input'!$B$26,N223,(N223-J224)*(1+'5-Roberta'!$C$4))</f>
        <v>-322319.56109425065</v>
      </c>
      <c r="M224" s="18">
        <f>IF($A224&gt;'1-Input'!$B$26,K224,K224-'P-Parametri'!$B$8*(L224+K224)+MIN(MAX(L224,0),'P-Parametri'!$B$8*(L224+K224)))</f>
        <v>0</v>
      </c>
      <c r="N224" s="18">
        <f>IF($A224&gt;'1-Input'!$B$26,L224,L224-MIN(MAX(L224,0),'P-Parametri'!$B$8*(L224+K224)))</f>
        <v>-322319.56109425065</v>
      </c>
      <c r="O224" s="18">
        <f>IF($A224&gt;'1-Input'!$B$26,O223,O223-J224*(1-I224))</f>
        <v>-233002.35898583446</v>
      </c>
      <c r="P224" s="11">
        <f>IF($A224&gt;'1-Input'!$B$26,0,IF(U223&lt;=0,0,MAX(0,(U223-V223)/U223)))</f>
        <v>0</v>
      </c>
      <c r="Q224" s="18">
        <f>IF($A224&gt;'1-Input'!$B$26,0,(MAX(0,P176-IF($A224&gt;='1-Input'!$C$12,'1-Input'!$B$12,0))-MIN(MAX(T223,0),MAX(0,P176-IF($A224&gt;='1-Input'!$C$12,'1-Input'!$B$12,0))))*(1/(1-'P-Parametri'!$B$6*P224))+MIN(MAX(0,U223-(MAX(0,P176-IF($A224&gt;='1-Input'!$C$12,'1-Input'!$B$12,0))-MIN(MAX(T223,0),MAX(0,P176-IF($A224&gt;='1-Input'!$C$12,'1-Input'!$B$12,0))))*(1/(1-'P-Parametri'!$B$6*P224))),MAX(0,2*P176-(T223-MIN(MAX(T223,0),MAX(0,P176-IF($A224&gt;='1-Input'!$C$12,'1-Input'!$B$12,0)))))*(1/(1-'P-Parametri'!$B$6*P224))))</f>
        <v>0</v>
      </c>
      <c r="R224" s="18">
        <f>IF($A224&gt;'1-Input'!$B$26,T223,(T223-MAX(0,P176-IF($A224&gt;='1-Input'!$C$12,'1-Input'!$B$12,0))+Q224*(1-'P-Parametri'!$B$6*P224))*(1+ROUND('3-Liquidita'!$F$11,4)))</f>
        <v>0</v>
      </c>
      <c r="S224" s="18">
        <f>IF($A224&gt;'1-Input'!$B$26,U223,(U223-Q224)*(1+'5-Roberta'!$C$4))</f>
        <v>-15840.423999926241</v>
      </c>
      <c r="T224" s="18">
        <f>IF($A224&gt;'1-Input'!$B$26,R224,R224-'P-Parametri'!$B$8*(S224+R224)+MIN(MAX(S224,0),'P-Parametri'!$B$8*(S224+R224)))</f>
        <v>0</v>
      </c>
      <c r="U224" s="18">
        <f>IF($A224&gt;'1-Input'!$B$26,S224,S224-MIN(MAX(S224,0),'P-Parametri'!$B$8*(S224+R224)))</f>
        <v>-15840.423999926241</v>
      </c>
      <c r="V224" s="18">
        <f>IF($A224&gt;'1-Input'!$B$26,V223,V223-Q224*(1-P224))</f>
        <v>-15151.233382359136</v>
      </c>
      <c r="W224" s="11">
        <f>IF($A224&gt;'1-Input'!$B$26,0,IF(AB223&lt;=0,0,MAX(0,(AB223-AC223)/AB223)))</f>
        <v>0</v>
      </c>
      <c r="X224" s="18">
        <f>IF($A224&gt;'1-Input'!$B$26,0,(MAX(0,W176-IF($A224&gt;='1-Input'!$C$12,'1-Input'!$B$12,0))-MIN(MAX(AA223,0),MAX(0,W176-IF($A224&gt;='1-Input'!$C$12,'1-Input'!$B$12,0))))*(1/(1-'P-Parametri'!$B$6*W224))+MIN(MAX(0,AB223-(MAX(0,W176-IF($A224&gt;='1-Input'!$C$12,'1-Input'!$B$12,0))-MIN(MAX(AA223,0),MAX(0,W176-IF($A224&gt;='1-Input'!$C$12,'1-Input'!$B$12,0))))*(1/(1-'P-Parametri'!$B$6*W224))),MAX(0,2*W176-(AA223-MIN(MAX(AA223,0),MAX(0,W176-IF($A224&gt;='1-Input'!$C$12,'1-Input'!$B$12,0)))))*(1/(1-'P-Parametri'!$B$6*W224))))</f>
        <v>0</v>
      </c>
      <c r="Y224" s="18">
        <f>IF($A224&gt;'1-Input'!$B$26,AA223,(AA223-MAX(0,W176-IF($A224&gt;='1-Input'!$C$12,'1-Input'!$B$12,0))+X224*(1-'P-Parametri'!$B$6*W224))*(1+ROUND('3-Liquidita'!$F$11,4)))</f>
        <v>0</v>
      </c>
      <c r="Z224" s="18">
        <f>IF($A224&gt;'1-Input'!$B$26,AB223,(AB223-X224)*(1+'5-Roberta'!$C$4))</f>
        <v>-1045.2861442472899</v>
      </c>
      <c r="AA224" s="18">
        <f>IF($A224&gt;'1-Input'!$B$26,Y224,Y224-'P-Parametri'!$B$8*(Z224+Y224)+MIN(MAX(Z224,0),'P-Parametri'!$B$8*(Z224+Y224)))</f>
        <v>0</v>
      </c>
      <c r="AB224" s="18">
        <f>IF($A224&gt;'1-Input'!$B$26,Z224,Z224-MIN(MAX(Z224,0),'P-Parametri'!$B$8*(Z224+Y224)))</f>
        <v>-1045.2861442472899</v>
      </c>
      <c r="AC224" s="18">
        <f>IF($A224&gt;'1-Input'!$B$26,AC223,AC223-X224*(1-W224))</f>
        <v>-1016.8746660770964</v>
      </c>
      <c r="AD224" s="11">
        <f>IF($A224&gt;'1-Input'!$B$26,0,IF(AI223&lt;=0,0,MAX(0,(AI223-AJ223)/AI223)))</f>
        <v>0</v>
      </c>
      <c r="AE224" s="18">
        <f>IF($A224&gt;'1-Input'!$B$26,0,(MAX(0,AD176-IF($A224&gt;='1-Input'!$C$12,'1-Input'!$B$12,0))-MIN(MAX(AH223,0),MAX(0,AD176-IF($A224&gt;='1-Input'!$C$12,'1-Input'!$B$12,0))))*(1/(1-'P-Parametri'!$B$6*AD224))+MIN(MAX(0,AI223-(MAX(0,AD176-IF($A224&gt;='1-Input'!$C$12,'1-Input'!$B$12,0))-MIN(MAX(AH223,0),MAX(0,AD176-IF($A224&gt;='1-Input'!$C$12,'1-Input'!$B$12,0))))*(1/(1-'P-Parametri'!$B$6*AD224))),MAX(0,2*AD176-(AH223-MIN(MAX(AH223,0),MAX(0,AD176-IF($A224&gt;='1-Input'!$C$12,'1-Input'!$B$12,0)))))*(1/(1-'P-Parametri'!$B$6*AD224))))</f>
        <v>0</v>
      </c>
      <c r="AF224" s="18">
        <f>IF($A224&gt;'1-Input'!$B$26,AH223,(AH223-MAX(0,AD176-IF($A224&gt;='1-Input'!$C$12,'1-Input'!$B$12,0))+AE224*(1-'P-Parametri'!$B$6*AD224))*(1+ROUND('3-Liquidita'!$F$11,4)))</f>
        <v>0</v>
      </c>
      <c r="AG224" s="18">
        <f>IF($A224&gt;'1-Input'!$B$26,AI223,(AI223-AE224)*(1+'5-Roberta'!$C$4))</f>
        <v>-2.3647212605268502</v>
      </c>
      <c r="AH224" s="18">
        <f>IF($A224&gt;'1-Input'!$B$26,AF224,AF224-'P-Parametri'!$B$8*(AG224+AF224)+MIN(MAX(AG224,0),'P-Parametri'!$B$8*(AG224+AF224)))</f>
        <v>0</v>
      </c>
      <c r="AI224" s="18">
        <f>IF($A224&gt;'1-Input'!$B$26,AG224,AG224-MIN(MAX(AG224,0),'P-Parametri'!$B$8*(AG224+AF224)))</f>
        <v>-2.3647212605268502</v>
      </c>
      <c r="AJ224" s="18">
        <f>IF($A224&gt;'1-Input'!$B$26,AJ223,AJ223-AE224*(1-AD224))</f>
        <v>-2.3004467775617741</v>
      </c>
      <c r="AK224" s="11">
        <f>IF($A224&gt;'1-Input'!$B$26,0,IF(AP223&lt;=0,0,MAX(0,(AP223-AQ223)/AP223)))</f>
        <v>0</v>
      </c>
      <c r="AL224" s="18">
        <f>IF($A224&gt;'1-Input'!$B$26,0,(MAX(0,AK176-IF($A224&gt;='1-Input'!$C$12,'1-Input'!$B$12,0))-MIN(MAX(AO223,0),MAX(0,AK176-IF($A224&gt;='1-Input'!$C$12,'1-Input'!$B$12,0))))*(1/(1-'P-Parametri'!$B$6*AK224))+MIN(MAX(0,AP223-(MAX(0,AK176-IF($A224&gt;='1-Input'!$C$12,'1-Input'!$B$12,0))-MIN(MAX(AO223,0),MAX(0,AK176-IF($A224&gt;='1-Input'!$C$12,'1-Input'!$B$12,0))))*(1/(1-'P-Parametri'!$B$6*AK224))),MAX(0,2*AK176-(AO223-MIN(MAX(AO223,0),MAX(0,AK176-IF($A224&gt;='1-Input'!$C$12,'1-Input'!$B$12,0)))))*(1/(1-'P-Parametri'!$B$6*AK224))))</f>
        <v>0</v>
      </c>
      <c r="AM224" s="18">
        <f>IF($A224&gt;'1-Input'!$B$26,AO223,(AO223-MAX(0,AK176-IF($A224&gt;='1-Input'!$C$12,'1-Input'!$B$12,0))+AL224*(1-'P-Parametri'!$B$6*AK224))*(1+ROUND('3-Liquidita'!$F$11,4)))</f>
        <v>7.3673989924691348E-6</v>
      </c>
      <c r="AN224" s="18">
        <f>IF($A224&gt;'1-Input'!$B$26,AP223,(AP223-AL224)*(1+'5-Roberta'!$C$4))</f>
        <v>0</v>
      </c>
      <c r="AO224" s="18">
        <f>IF($A224&gt;'1-Input'!$B$26,AM224,AM224-'P-Parametri'!$B$8*(AN224+AM224)+MIN(MAX(AN224,0),'P-Parametri'!$B$8*(AN224+AM224)))</f>
        <v>7.3673989924691348E-6</v>
      </c>
      <c r="AP224" s="18">
        <f>IF($A224&gt;'1-Input'!$B$26,AN224,AN224-MIN(MAX(AN224,0),'P-Parametri'!$B$8*(AN224+AM224)))</f>
        <v>0</v>
      </c>
      <c r="AQ224" s="18">
        <f>IF($A224&gt;'1-Input'!$B$26,AQ223,AQ223-AL224*(1-AK224))</f>
        <v>2.2737367544323206E-13</v>
      </c>
    </row>
    <row r="225" spans="1:43">
      <c r="A225" s="10">
        <f>47</f>
        <v>47</v>
      </c>
      <c r="B225" s="11">
        <f>IF($A225&gt;'1-Input'!$B$26,0,IF(G224&lt;=0,0,MAX(0,(G224-H224)/G224)))</f>
        <v>0</v>
      </c>
      <c r="C225" s="18">
        <f>IF($A225&gt;'1-Input'!$B$26,0,(MAX(0,B176-IF($A225&gt;='1-Input'!$C$12,'1-Input'!$B$12,0))-MIN(MAX(F224,0),MAX(0,B176-IF($A225&gt;='1-Input'!$C$12,'1-Input'!$B$12,0))))*(1/(1-'P-Parametri'!$B$6*B225))+MIN(MAX(0,G224-(MAX(0,B176-IF($A225&gt;='1-Input'!$C$12,'1-Input'!$B$12,0))-MIN(MAX(F224,0),MAX(0,B176-IF($A225&gt;='1-Input'!$C$12,'1-Input'!$B$12,0))))*(1/(1-'P-Parametri'!$B$6*B225))),MAX(0,2*B176-(F224-MIN(MAX(F224,0),MAX(0,B176-IF($A225&gt;='1-Input'!$C$12,'1-Input'!$B$12,0)))))*(1/(1-'P-Parametri'!$B$6*B225))))</f>
        <v>0</v>
      </c>
      <c r="D225" s="18">
        <f>IF($A225&gt;'1-Input'!$B$26,F224,(F224-MAX(0,B176-IF($A225&gt;='1-Input'!$C$12,'1-Input'!$B$12,0))+C225*(1-'P-Parametri'!$B$6*B225))*(1+ROUND('3-Liquidita'!$F$11,4)))</f>
        <v>33211.981131419976</v>
      </c>
      <c r="E225" s="18">
        <f>IF($A225&gt;'1-Input'!$B$26,G224,(G224-C225)*(1+'5-Roberta'!$C$4))</f>
        <v>88785.617239843472</v>
      </c>
      <c r="F225" s="18">
        <f>IF($A225&gt;'1-Input'!$B$26,D225,D225-'P-Parametri'!$B$8*(E225+D225)+MIN(MAX(E225,0),'P-Parametri'!$B$8*(E225+D225)))</f>
        <v>33211.981131419976</v>
      </c>
      <c r="G225" s="18">
        <f>IF($A225&gt;'1-Input'!$B$26,E225,E225-MIN(MAX(E225,0),'P-Parametri'!$B$8*(E225+D225)))</f>
        <v>88785.617239843472</v>
      </c>
      <c r="H225" s="18">
        <f>IF($A225&gt;'1-Input'!$B$26,H224,H224-C225*(1-B225))</f>
        <v>20483.460583451859</v>
      </c>
      <c r="I225" s="11">
        <f>IF($A225&gt;'1-Input'!$B$26,0,IF(N224&lt;=0,0,MAX(0,(N224-O224)/N224)))</f>
        <v>0</v>
      </c>
      <c r="J225" s="18">
        <f>IF($A225&gt;'1-Input'!$B$26,0,(MAX(0,I176-IF($A225&gt;='1-Input'!$C$12,'1-Input'!$B$12,0))-MIN(MAX(M224,0),MAX(0,I176-IF($A225&gt;='1-Input'!$C$12,'1-Input'!$B$12,0))))*(1/(1-'P-Parametri'!$B$6*I225))+MIN(MAX(0,N224-(MAX(0,I176-IF($A225&gt;='1-Input'!$C$12,'1-Input'!$B$12,0))-MIN(MAX(M224,0),MAX(0,I176-IF($A225&gt;='1-Input'!$C$12,'1-Input'!$B$12,0))))*(1/(1-'P-Parametri'!$B$6*I225))),MAX(0,2*I176-(M224-MIN(MAX(M224,0),MAX(0,I176-IF($A225&gt;='1-Input'!$C$12,'1-Input'!$B$12,0)))))*(1/(1-'P-Parametri'!$B$6*I225))))</f>
        <v>0</v>
      </c>
      <c r="K225" s="18">
        <f>IF($A225&gt;'1-Input'!$B$26,M224,(M224-MAX(0,I176-IF($A225&gt;='1-Input'!$C$12,'1-Input'!$B$12,0))+J225*(1-'P-Parametri'!$B$6*I225))*(1+ROUND('3-Liquidita'!$F$11,4)))</f>
        <v>0</v>
      </c>
      <c r="L225" s="18">
        <f>IF($A225&gt;'1-Input'!$B$26,N224,(N224-J225)*(1+'5-Roberta'!$C$4))</f>
        <v>-322319.56109425065</v>
      </c>
      <c r="M225" s="18">
        <f>IF($A225&gt;'1-Input'!$B$26,K225,K225-'P-Parametri'!$B$8*(L225+K225)+MIN(MAX(L225,0),'P-Parametri'!$B$8*(L225+K225)))</f>
        <v>0</v>
      </c>
      <c r="N225" s="18">
        <f>IF($A225&gt;'1-Input'!$B$26,L225,L225-MIN(MAX(L225,0),'P-Parametri'!$B$8*(L225+K225)))</f>
        <v>-322319.56109425065</v>
      </c>
      <c r="O225" s="18">
        <f>IF($A225&gt;'1-Input'!$B$26,O224,O224-J225*(1-I225))</f>
        <v>-233002.35898583446</v>
      </c>
      <c r="P225" s="11">
        <f>IF($A225&gt;'1-Input'!$B$26,0,IF(U224&lt;=0,0,MAX(0,(U224-V224)/U224)))</f>
        <v>0</v>
      </c>
      <c r="Q225" s="18">
        <f>IF($A225&gt;'1-Input'!$B$26,0,(MAX(0,P176-IF($A225&gt;='1-Input'!$C$12,'1-Input'!$B$12,0))-MIN(MAX(T224,0),MAX(0,P176-IF($A225&gt;='1-Input'!$C$12,'1-Input'!$B$12,0))))*(1/(1-'P-Parametri'!$B$6*P225))+MIN(MAX(0,U224-(MAX(0,P176-IF($A225&gt;='1-Input'!$C$12,'1-Input'!$B$12,0))-MIN(MAX(T224,0),MAX(0,P176-IF($A225&gt;='1-Input'!$C$12,'1-Input'!$B$12,0))))*(1/(1-'P-Parametri'!$B$6*P225))),MAX(0,2*P176-(T224-MIN(MAX(T224,0),MAX(0,P176-IF($A225&gt;='1-Input'!$C$12,'1-Input'!$B$12,0)))))*(1/(1-'P-Parametri'!$B$6*P225))))</f>
        <v>0</v>
      </c>
      <c r="R225" s="18">
        <f>IF($A225&gt;'1-Input'!$B$26,T224,(T224-MAX(0,P176-IF($A225&gt;='1-Input'!$C$12,'1-Input'!$B$12,0))+Q225*(1-'P-Parametri'!$B$6*P225))*(1+ROUND('3-Liquidita'!$F$11,4)))</f>
        <v>0</v>
      </c>
      <c r="S225" s="18">
        <f>IF($A225&gt;'1-Input'!$B$26,U224,(U224-Q225)*(1+'5-Roberta'!$C$4))</f>
        <v>-15840.423999926241</v>
      </c>
      <c r="T225" s="18">
        <f>IF($A225&gt;'1-Input'!$B$26,R225,R225-'P-Parametri'!$B$8*(S225+R225)+MIN(MAX(S225,0),'P-Parametri'!$B$8*(S225+R225)))</f>
        <v>0</v>
      </c>
      <c r="U225" s="18">
        <f>IF($A225&gt;'1-Input'!$B$26,S225,S225-MIN(MAX(S225,0),'P-Parametri'!$B$8*(S225+R225)))</f>
        <v>-15840.423999926241</v>
      </c>
      <c r="V225" s="18">
        <f>IF($A225&gt;'1-Input'!$B$26,V224,V224-Q225*(1-P225))</f>
        <v>-15151.233382359136</v>
      </c>
      <c r="W225" s="11">
        <f>IF($A225&gt;'1-Input'!$B$26,0,IF(AB224&lt;=0,0,MAX(0,(AB224-AC224)/AB224)))</f>
        <v>0</v>
      </c>
      <c r="X225" s="18">
        <f>IF($A225&gt;'1-Input'!$B$26,0,(MAX(0,W176-IF($A225&gt;='1-Input'!$C$12,'1-Input'!$B$12,0))-MIN(MAX(AA224,0),MAX(0,W176-IF($A225&gt;='1-Input'!$C$12,'1-Input'!$B$12,0))))*(1/(1-'P-Parametri'!$B$6*W225))+MIN(MAX(0,AB224-(MAX(0,W176-IF($A225&gt;='1-Input'!$C$12,'1-Input'!$B$12,0))-MIN(MAX(AA224,0),MAX(0,W176-IF($A225&gt;='1-Input'!$C$12,'1-Input'!$B$12,0))))*(1/(1-'P-Parametri'!$B$6*W225))),MAX(0,2*W176-(AA224-MIN(MAX(AA224,0),MAX(0,W176-IF($A225&gt;='1-Input'!$C$12,'1-Input'!$B$12,0)))))*(1/(1-'P-Parametri'!$B$6*W225))))</f>
        <v>0</v>
      </c>
      <c r="Y225" s="18">
        <f>IF($A225&gt;'1-Input'!$B$26,AA224,(AA224-MAX(0,W176-IF($A225&gt;='1-Input'!$C$12,'1-Input'!$B$12,0))+X225*(1-'P-Parametri'!$B$6*W225))*(1+ROUND('3-Liquidita'!$F$11,4)))</f>
        <v>0</v>
      </c>
      <c r="Z225" s="18">
        <f>IF($A225&gt;'1-Input'!$B$26,AB224,(AB224-X225)*(1+'5-Roberta'!$C$4))</f>
        <v>-1045.2861442472899</v>
      </c>
      <c r="AA225" s="18">
        <f>IF($A225&gt;'1-Input'!$B$26,Y225,Y225-'P-Parametri'!$B$8*(Z225+Y225)+MIN(MAX(Z225,0),'P-Parametri'!$B$8*(Z225+Y225)))</f>
        <v>0</v>
      </c>
      <c r="AB225" s="18">
        <f>IF($A225&gt;'1-Input'!$B$26,Z225,Z225-MIN(MAX(Z225,0),'P-Parametri'!$B$8*(Z225+Y225)))</f>
        <v>-1045.2861442472899</v>
      </c>
      <c r="AC225" s="18">
        <f>IF($A225&gt;'1-Input'!$B$26,AC224,AC224-X225*(1-W225))</f>
        <v>-1016.8746660770964</v>
      </c>
      <c r="AD225" s="11">
        <f>IF($A225&gt;'1-Input'!$B$26,0,IF(AI224&lt;=0,0,MAX(0,(AI224-AJ224)/AI224)))</f>
        <v>0</v>
      </c>
      <c r="AE225" s="18">
        <f>IF($A225&gt;'1-Input'!$B$26,0,(MAX(0,AD176-IF($A225&gt;='1-Input'!$C$12,'1-Input'!$B$12,0))-MIN(MAX(AH224,0),MAX(0,AD176-IF($A225&gt;='1-Input'!$C$12,'1-Input'!$B$12,0))))*(1/(1-'P-Parametri'!$B$6*AD225))+MIN(MAX(0,AI224-(MAX(0,AD176-IF($A225&gt;='1-Input'!$C$12,'1-Input'!$B$12,0))-MIN(MAX(AH224,0),MAX(0,AD176-IF($A225&gt;='1-Input'!$C$12,'1-Input'!$B$12,0))))*(1/(1-'P-Parametri'!$B$6*AD225))),MAX(0,2*AD176-(AH224-MIN(MAX(AH224,0),MAX(0,AD176-IF($A225&gt;='1-Input'!$C$12,'1-Input'!$B$12,0)))))*(1/(1-'P-Parametri'!$B$6*AD225))))</f>
        <v>0</v>
      </c>
      <c r="AF225" s="18">
        <f>IF($A225&gt;'1-Input'!$B$26,AH224,(AH224-MAX(0,AD176-IF($A225&gt;='1-Input'!$C$12,'1-Input'!$B$12,0))+AE225*(1-'P-Parametri'!$B$6*AD225))*(1+ROUND('3-Liquidita'!$F$11,4)))</f>
        <v>0</v>
      </c>
      <c r="AG225" s="18">
        <f>IF($A225&gt;'1-Input'!$B$26,AI224,(AI224-AE225)*(1+'5-Roberta'!$C$4))</f>
        <v>-2.3647212605268502</v>
      </c>
      <c r="AH225" s="18">
        <f>IF($A225&gt;'1-Input'!$B$26,AF225,AF225-'P-Parametri'!$B$8*(AG225+AF225)+MIN(MAX(AG225,0),'P-Parametri'!$B$8*(AG225+AF225)))</f>
        <v>0</v>
      </c>
      <c r="AI225" s="18">
        <f>IF($A225&gt;'1-Input'!$B$26,AG225,AG225-MIN(MAX(AG225,0),'P-Parametri'!$B$8*(AG225+AF225)))</f>
        <v>-2.3647212605268502</v>
      </c>
      <c r="AJ225" s="18">
        <f>IF($A225&gt;'1-Input'!$B$26,AJ224,AJ224-AE225*(1-AD225))</f>
        <v>-2.3004467775617741</v>
      </c>
      <c r="AK225" s="11">
        <f>IF($A225&gt;'1-Input'!$B$26,0,IF(AP224&lt;=0,0,MAX(0,(AP224-AQ224)/AP224)))</f>
        <v>0</v>
      </c>
      <c r="AL225" s="18">
        <f>IF($A225&gt;'1-Input'!$B$26,0,(MAX(0,AK176-IF($A225&gt;='1-Input'!$C$12,'1-Input'!$B$12,0))-MIN(MAX(AO224,0),MAX(0,AK176-IF($A225&gt;='1-Input'!$C$12,'1-Input'!$B$12,0))))*(1/(1-'P-Parametri'!$B$6*AK225))+MIN(MAX(0,AP224-(MAX(0,AK176-IF($A225&gt;='1-Input'!$C$12,'1-Input'!$B$12,0))-MIN(MAX(AO224,0),MAX(0,AK176-IF($A225&gt;='1-Input'!$C$12,'1-Input'!$B$12,0))))*(1/(1-'P-Parametri'!$B$6*AK225))),MAX(0,2*AK176-(AO224-MIN(MAX(AO224,0),MAX(0,AK176-IF($A225&gt;='1-Input'!$C$12,'1-Input'!$B$12,0)))))*(1/(1-'P-Parametri'!$B$6*AK225))))</f>
        <v>0</v>
      </c>
      <c r="AM225" s="18">
        <f>IF($A225&gt;'1-Input'!$B$26,AO224,(AO224-MAX(0,AK176-IF($A225&gt;='1-Input'!$C$12,'1-Input'!$B$12,0))+AL225*(1-'P-Parametri'!$B$6*AK225))*(1+ROUND('3-Liquidita'!$F$11,4)))</f>
        <v>7.3673989924691348E-6</v>
      </c>
      <c r="AN225" s="18">
        <f>IF($A225&gt;'1-Input'!$B$26,AP224,(AP224-AL225)*(1+'5-Roberta'!$C$4))</f>
        <v>0</v>
      </c>
      <c r="AO225" s="18">
        <f>IF($A225&gt;'1-Input'!$B$26,AM225,AM225-'P-Parametri'!$B$8*(AN225+AM225)+MIN(MAX(AN225,0),'P-Parametri'!$B$8*(AN225+AM225)))</f>
        <v>7.3673989924691348E-6</v>
      </c>
      <c r="AP225" s="18">
        <f>IF($A225&gt;'1-Input'!$B$26,AN225,AN225-MIN(MAX(AN225,0),'P-Parametri'!$B$8*(AN225+AM225)))</f>
        <v>0</v>
      </c>
      <c r="AQ225" s="18">
        <f>IF($A225&gt;'1-Input'!$B$26,AQ224,AQ224-AL225*(1-AK225))</f>
        <v>2.2737367544323206E-13</v>
      </c>
    </row>
    <row r="226" spans="1:43">
      <c r="A226" s="10">
        <f>48</f>
        <v>48</v>
      </c>
      <c r="B226" s="11">
        <f>IF($A226&gt;'1-Input'!$B$26,0,IF(G225&lt;=0,0,MAX(0,(G225-H225)/G225)))</f>
        <v>0</v>
      </c>
      <c r="C226" s="18">
        <f>IF($A226&gt;'1-Input'!$B$26,0,(MAX(0,B176-IF($A226&gt;='1-Input'!$C$12,'1-Input'!$B$12,0))-MIN(MAX(F225,0),MAX(0,B176-IF($A226&gt;='1-Input'!$C$12,'1-Input'!$B$12,0))))*(1/(1-'P-Parametri'!$B$6*B226))+MIN(MAX(0,G225-(MAX(0,B176-IF($A226&gt;='1-Input'!$C$12,'1-Input'!$B$12,0))-MIN(MAX(F225,0),MAX(0,B176-IF($A226&gt;='1-Input'!$C$12,'1-Input'!$B$12,0))))*(1/(1-'P-Parametri'!$B$6*B226))),MAX(0,2*B176-(F225-MIN(MAX(F225,0),MAX(0,B176-IF($A226&gt;='1-Input'!$C$12,'1-Input'!$B$12,0)))))*(1/(1-'P-Parametri'!$B$6*B226))))</f>
        <v>0</v>
      </c>
      <c r="D226" s="18">
        <f>IF($A226&gt;'1-Input'!$B$26,F225,(F225-MAX(0,B176-IF($A226&gt;='1-Input'!$C$12,'1-Input'!$B$12,0))+C226*(1-'P-Parametri'!$B$6*B226))*(1+ROUND('3-Liquidita'!$F$11,4)))</f>
        <v>33211.981131419976</v>
      </c>
      <c r="E226" s="18">
        <f>IF($A226&gt;'1-Input'!$B$26,G225,(G225-C226)*(1+'5-Roberta'!$C$4))</f>
        <v>88785.617239843472</v>
      </c>
      <c r="F226" s="18">
        <f>IF($A226&gt;'1-Input'!$B$26,D226,D226-'P-Parametri'!$B$8*(E226+D226)+MIN(MAX(E226,0),'P-Parametri'!$B$8*(E226+D226)))</f>
        <v>33211.981131419976</v>
      </c>
      <c r="G226" s="18">
        <f>IF($A226&gt;'1-Input'!$B$26,E226,E226-MIN(MAX(E226,0),'P-Parametri'!$B$8*(E226+D226)))</f>
        <v>88785.617239843472</v>
      </c>
      <c r="H226" s="18">
        <f>IF($A226&gt;'1-Input'!$B$26,H225,H225-C226*(1-B226))</f>
        <v>20483.460583451859</v>
      </c>
      <c r="I226" s="11">
        <f>IF($A226&gt;'1-Input'!$B$26,0,IF(N225&lt;=0,0,MAX(0,(N225-O225)/N225)))</f>
        <v>0</v>
      </c>
      <c r="J226" s="18">
        <f>IF($A226&gt;'1-Input'!$B$26,0,(MAX(0,I176-IF($A226&gt;='1-Input'!$C$12,'1-Input'!$B$12,0))-MIN(MAX(M225,0),MAX(0,I176-IF($A226&gt;='1-Input'!$C$12,'1-Input'!$B$12,0))))*(1/(1-'P-Parametri'!$B$6*I226))+MIN(MAX(0,N225-(MAX(0,I176-IF($A226&gt;='1-Input'!$C$12,'1-Input'!$B$12,0))-MIN(MAX(M225,0),MAX(0,I176-IF($A226&gt;='1-Input'!$C$12,'1-Input'!$B$12,0))))*(1/(1-'P-Parametri'!$B$6*I226))),MAX(0,2*I176-(M225-MIN(MAX(M225,0),MAX(0,I176-IF($A226&gt;='1-Input'!$C$12,'1-Input'!$B$12,0)))))*(1/(1-'P-Parametri'!$B$6*I226))))</f>
        <v>0</v>
      </c>
      <c r="K226" s="18">
        <f>IF($A226&gt;'1-Input'!$B$26,M225,(M225-MAX(0,I176-IF($A226&gt;='1-Input'!$C$12,'1-Input'!$B$12,0))+J226*(1-'P-Parametri'!$B$6*I226))*(1+ROUND('3-Liquidita'!$F$11,4)))</f>
        <v>0</v>
      </c>
      <c r="L226" s="18">
        <f>IF($A226&gt;'1-Input'!$B$26,N225,(N225-J226)*(1+'5-Roberta'!$C$4))</f>
        <v>-322319.56109425065</v>
      </c>
      <c r="M226" s="18">
        <f>IF($A226&gt;'1-Input'!$B$26,K226,K226-'P-Parametri'!$B$8*(L226+K226)+MIN(MAX(L226,0),'P-Parametri'!$B$8*(L226+K226)))</f>
        <v>0</v>
      </c>
      <c r="N226" s="18">
        <f>IF($A226&gt;'1-Input'!$B$26,L226,L226-MIN(MAX(L226,0),'P-Parametri'!$B$8*(L226+K226)))</f>
        <v>-322319.56109425065</v>
      </c>
      <c r="O226" s="18">
        <f>IF($A226&gt;'1-Input'!$B$26,O225,O225-J226*(1-I226))</f>
        <v>-233002.35898583446</v>
      </c>
      <c r="P226" s="11">
        <f>IF($A226&gt;'1-Input'!$B$26,0,IF(U225&lt;=0,0,MAX(0,(U225-V225)/U225)))</f>
        <v>0</v>
      </c>
      <c r="Q226" s="18">
        <f>IF($A226&gt;'1-Input'!$B$26,0,(MAX(0,P176-IF($A226&gt;='1-Input'!$C$12,'1-Input'!$B$12,0))-MIN(MAX(T225,0),MAX(0,P176-IF($A226&gt;='1-Input'!$C$12,'1-Input'!$B$12,0))))*(1/(1-'P-Parametri'!$B$6*P226))+MIN(MAX(0,U225-(MAX(0,P176-IF($A226&gt;='1-Input'!$C$12,'1-Input'!$B$12,0))-MIN(MAX(T225,0),MAX(0,P176-IF($A226&gt;='1-Input'!$C$12,'1-Input'!$B$12,0))))*(1/(1-'P-Parametri'!$B$6*P226))),MAX(0,2*P176-(T225-MIN(MAX(T225,0),MAX(0,P176-IF($A226&gt;='1-Input'!$C$12,'1-Input'!$B$12,0)))))*(1/(1-'P-Parametri'!$B$6*P226))))</f>
        <v>0</v>
      </c>
      <c r="R226" s="18">
        <f>IF($A226&gt;'1-Input'!$B$26,T225,(T225-MAX(0,P176-IF($A226&gt;='1-Input'!$C$12,'1-Input'!$B$12,0))+Q226*(1-'P-Parametri'!$B$6*P226))*(1+ROUND('3-Liquidita'!$F$11,4)))</f>
        <v>0</v>
      </c>
      <c r="S226" s="18">
        <f>IF($A226&gt;'1-Input'!$B$26,U225,(U225-Q226)*(1+'5-Roberta'!$C$4))</f>
        <v>-15840.423999926241</v>
      </c>
      <c r="T226" s="18">
        <f>IF($A226&gt;'1-Input'!$B$26,R226,R226-'P-Parametri'!$B$8*(S226+R226)+MIN(MAX(S226,0),'P-Parametri'!$B$8*(S226+R226)))</f>
        <v>0</v>
      </c>
      <c r="U226" s="18">
        <f>IF($A226&gt;'1-Input'!$B$26,S226,S226-MIN(MAX(S226,0),'P-Parametri'!$B$8*(S226+R226)))</f>
        <v>-15840.423999926241</v>
      </c>
      <c r="V226" s="18">
        <f>IF($A226&gt;'1-Input'!$B$26,V225,V225-Q226*(1-P226))</f>
        <v>-15151.233382359136</v>
      </c>
      <c r="W226" s="11">
        <f>IF($A226&gt;'1-Input'!$B$26,0,IF(AB225&lt;=0,0,MAX(0,(AB225-AC225)/AB225)))</f>
        <v>0</v>
      </c>
      <c r="X226" s="18">
        <f>IF($A226&gt;'1-Input'!$B$26,0,(MAX(0,W176-IF($A226&gt;='1-Input'!$C$12,'1-Input'!$B$12,0))-MIN(MAX(AA225,0),MAX(0,W176-IF($A226&gt;='1-Input'!$C$12,'1-Input'!$B$12,0))))*(1/(1-'P-Parametri'!$B$6*W226))+MIN(MAX(0,AB225-(MAX(0,W176-IF($A226&gt;='1-Input'!$C$12,'1-Input'!$B$12,0))-MIN(MAX(AA225,0),MAX(0,W176-IF($A226&gt;='1-Input'!$C$12,'1-Input'!$B$12,0))))*(1/(1-'P-Parametri'!$B$6*W226))),MAX(0,2*W176-(AA225-MIN(MAX(AA225,0),MAX(0,W176-IF($A226&gt;='1-Input'!$C$12,'1-Input'!$B$12,0)))))*(1/(1-'P-Parametri'!$B$6*W226))))</f>
        <v>0</v>
      </c>
      <c r="Y226" s="18">
        <f>IF($A226&gt;'1-Input'!$B$26,AA225,(AA225-MAX(0,W176-IF($A226&gt;='1-Input'!$C$12,'1-Input'!$B$12,0))+X226*(1-'P-Parametri'!$B$6*W226))*(1+ROUND('3-Liquidita'!$F$11,4)))</f>
        <v>0</v>
      </c>
      <c r="Z226" s="18">
        <f>IF($A226&gt;'1-Input'!$B$26,AB225,(AB225-X226)*(1+'5-Roberta'!$C$4))</f>
        <v>-1045.2861442472899</v>
      </c>
      <c r="AA226" s="18">
        <f>IF($A226&gt;'1-Input'!$B$26,Y226,Y226-'P-Parametri'!$B$8*(Z226+Y226)+MIN(MAX(Z226,0),'P-Parametri'!$B$8*(Z226+Y226)))</f>
        <v>0</v>
      </c>
      <c r="AB226" s="18">
        <f>IF($A226&gt;'1-Input'!$B$26,Z226,Z226-MIN(MAX(Z226,0),'P-Parametri'!$B$8*(Z226+Y226)))</f>
        <v>-1045.2861442472899</v>
      </c>
      <c r="AC226" s="18">
        <f>IF($A226&gt;'1-Input'!$B$26,AC225,AC225-X226*(1-W226))</f>
        <v>-1016.8746660770964</v>
      </c>
      <c r="AD226" s="11">
        <f>IF($A226&gt;'1-Input'!$B$26,0,IF(AI225&lt;=0,0,MAX(0,(AI225-AJ225)/AI225)))</f>
        <v>0</v>
      </c>
      <c r="AE226" s="18">
        <f>IF($A226&gt;'1-Input'!$B$26,0,(MAX(0,AD176-IF($A226&gt;='1-Input'!$C$12,'1-Input'!$B$12,0))-MIN(MAX(AH225,0),MAX(0,AD176-IF($A226&gt;='1-Input'!$C$12,'1-Input'!$B$12,0))))*(1/(1-'P-Parametri'!$B$6*AD226))+MIN(MAX(0,AI225-(MAX(0,AD176-IF($A226&gt;='1-Input'!$C$12,'1-Input'!$B$12,0))-MIN(MAX(AH225,0),MAX(0,AD176-IF($A226&gt;='1-Input'!$C$12,'1-Input'!$B$12,0))))*(1/(1-'P-Parametri'!$B$6*AD226))),MAX(0,2*AD176-(AH225-MIN(MAX(AH225,0),MAX(0,AD176-IF($A226&gt;='1-Input'!$C$12,'1-Input'!$B$12,0)))))*(1/(1-'P-Parametri'!$B$6*AD226))))</f>
        <v>0</v>
      </c>
      <c r="AF226" s="18">
        <f>IF($A226&gt;'1-Input'!$B$26,AH225,(AH225-MAX(0,AD176-IF($A226&gt;='1-Input'!$C$12,'1-Input'!$B$12,0))+AE226*(1-'P-Parametri'!$B$6*AD226))*(1+ROUND('3-Liquidita'!$F$11,4)))</f>
        <v>0</v>
      </c>
      <c r="AG226" s="18">
        <f>IF($A226&gt;'1-Input'!$B$26,AI225,(AI225-AE226)*(1+'5-Roberta'!$C$4))</f>
        <v>-2.3647212605268502</v>
      </c>
      <c r="AH226" s="18">
        <f>IF($A226&gt;'1-Input'!$B$26,AF226,AF226-'P-Parametri'!$B$8*(AG226+AF226)+MIN(MAX(AG226,0),'P-Parametri'!$B$8*(AG226+AF226)))</f>
        <v>0</v>
      </c>
      <c r="AI226" s="18">
        <f>IF($A226&gt;'1-Input'!$B$26,AG226,AG226-MIN(MAX(AG226,0),'P-Parametri'!$B$8*(AG226+AF226)))</f>
        <v>-2.3647212605268502</v>
      </c>
      <c r="AJ226" s="18">
        <f>IF($A226&gt;'1-Input'!$B$26,AJ225,AJ225-AE226*(1-AD226))</f>
        <v>-2.3004467775617741</v>
      </c>
      <c r="AK226" s="11">
        <f>IF($A226&gt;'1-Input'!$B$26,0,IF(AP225&lt;=0,0,MAX(0,(AP225-AQ225)/AP225)))</f>
        <v>0</v>
      </c>
      <c r="AL226" s="18">
        <f>IF($A226&gt;'1-Input'!$B$26,0,(MAX(0,AK176-IF($A226&gt;='1-Input'!$C$12,'1-Input'!$B$12,0))-MIN(MAX(AO225,0),MAX(0,AK176-IF($A226&gt;='1-Input'!$C$12,'1-Input'!$B$12,0))))*(1/(1-'P-Parametri'!$B$6*AK226))+MIN(MAX(0,AP225-(MAX(0,AK176-IF($A226&gt;='1-Input'!$C$12,'1-Input'!$B$12,0))-MIN(MAX(AO225,0),MAX(0,AK176-IF($A226&gt;='1-Input'!$C$12,'1-Input'!$B$12,0))))*(1/(1-'P-Parametri'!$B$6*AK226))),MAX(0,2*AK176-(AO225-MIN(MAX(AO225,0),MAX(0,AK176-IF($A226&gt;='1-Input'!$C$12,'1-Input'!$B$12,0)))))*(1/(1-'P-Parametri'!$B$6*AK226))))</f>
        <v>0</v>
      </c>
      <c r="AM226" s="18">
        <f>IF($A226&gt;'1-Input'!$B$26,AO225,(AO225-MAX(0,AK176-IF($A226&gt;='1-Input'!$C$12,'1-Input'!$B$12,0))+AL226*(1-'P-Parametri'!$B$6*AK226))*(1+ROUND('3-Liquidita'!$F$11,4)))</f>
        <v>7.3673989924691348E-6</v>
      </c>
      <c r="AN226" s="18">
        <f>IF($A226&gt;'1-Input'!$B$26,AP225,(AP225-AL226)*(1+'5-Roberta'!$C$4))</f>
        <v>0</v>
      </c>
      <c r="AO226" s="18">
        <f>IF($A226&gt;'1-Input'!$B$26,AM226,AM226-'P-Parametri'!$B$8*(AN226+AM226)+MIN(MAX(AN226,0),'P-Parametri'!$B$8*(AN226+AM226)))</f>
        <v>7.3673989924691348E-6</v>
      </c>
      <c r="AP226" s="18">
        <f>IF($A226&gt;'1-Input'!$B$26,AN226,AN226-MIN(MAX(AN226,0),'P-Parametri'!$B$8*(AN226+AM226)))</f>
        <v>0</v>
      </c>
      <c r="AQ226" s="18">
        <f>IF($A226&gt;'1-Input'!$B$26,AQ225,AQ225-AL226*(1-AK226))</f>
        <v>2.2737367544323206E-13</v>
      </c>
    </row>
    <row r="227" spans="1:43">
      <c r="A227" s="4" t="s">
        <v>365</v>
      </c>
      <c r="B227" s="18">
        <f>F226+G226</f>
        <v>121997.59837126345</v>
      </c>
      <c r="I227" s="18">
        <f>M226+N226</f>
        <v>-322319.56109425065</v>
      </c>
      <c r="P227" s="18">
        <f>T226+U226</f>
        <v>-15840.423999926241</v>
      </c>
      <c r="W227" s="18">
        <f>AA226+AB226</f>
        <v>-1045.2861442472899</v>
      </c>
      <c r="AD227" s="18">
        <f>AH226+AI226</f>
        <v>-2.3647212605268502</v>
      </c>
      <c r="AK227" s="18">
        <f>AO226+AP226</f>
        <v>7.3673989924691348E-6</v>
      </c>
    </row>
    <row r="228" spans="1:43">
      <c r="A228" s="5" t="s">
        <v>266</v>
      </c>
      <c r="B228" s="18">
        <f>IFERROR(AK176-AK227*(AK176-AD176)/(AK227-AD227),AK176)</f>
        <v>17915.933454944705</v>
      </c>
    </row>
    <row r="230" spans="1:43">
      <c r="A230" s="2" t="s">
        <v>413</v>
      </c>
    </row>
    <row r="231" spans="1:43">
      <c r="A231" s="4" t="s">
        <v>360</v>
      </c>
      <c r="B231" s="9">
        <f>0.038*'2-Caso'!$B$12</f>
        <v>16681.055314625803</v>
      </c>
      <c r="I231" s="9">
        <f>0.05*'2-Caso'!$B$12</f>
        <v>21948.756992928691</v>
      </c>
      <c r="P231" s="18">
        <f>IFERROR(I231-I282*(I231-B231)/(I282-B282),I231)</f>
        <v>19095.039604288399</v>
      </c>
      <c r="W231" s="18">
        <f>IFERROR(P231-P282*(P231-I231)/(P282-I282),P231)</f>
        <v>18838.76358648574</v>
      </c>
      <c r="AD231" s="18">
        <f>IFERROR(W231-W282*(W231-P231)/(W282-P282),W231)</f>
        <v>18845.5470519671</v>
      </c>
      <c r="AK231" s="18">
        <f>IFERROR(AD231-AD282*(AD231-W231)/(AD282-W282),AD231)</f>
        <v>18844.49370476167</v>
      </c>
    </row>
    <row r="232" spans="1:43" ht="45">
      <c r="A232" s="25" t="s">
        <v>262</v>
      </c>
      <c r="B232" s="25" t="s">
        <v>361</v>
      </c>
      <c r="C232" s="25" t="s">
        <v>263</v>
      </c>
      <c r="D232" s="25" t="s">
        <v>362</v>
      </c>
      <c r="E232" s="25" t="s">
        <v>363</v>
      </c>
      <c r="F232" s="25" t="s">
        <v>264</v>
      </c>
      <c r="G232" s="25" t="s">
        <v>265</v>
      </c>
      <c r="H232" s="25" t="s">
        <v>364</v>
      </c>
      <c r="I232" s="25" t="s">
        <v>361</v>
      </c>
      <c r="J232" s="25" t="s">
        <v>263</v>
      </c>
      <c r="K232" s="25" t="s">
        <v>362</v>
      </c>
      <c r="L232" s="25" t="s">
        <v>363</v>
      </c>
      <c r="M232" s="25" t="s">
        <v>264</v>
      </c>
      <c r="N232" s="25" t="s">
        <v>265</v>
      </c>
      <c r="O232" s="25" t="s">
        <v>364</v>
      </c>
      <c r="P232" s="25" t="s">
        <v>361</v>
      </c>
      <c r="Q232" s="25" t="s">
        <v>263</v>
      </c>
      <c r="R232" s="25" t="s">
        <v>362</v>
      </c>
      <c r="S232" s="25" t="s">
        <v>363</v>
      </c>
      <c r="T232" s="25" t="s">
        <v>264</v>
      </c>
      <c r="U232" s="25" t="s">
        <v>265</v>
      </c>
      <c r="V232" s="25" t="s">
        <v>364</v>
      </c>
      <c r="W232" s="25" t="s">
        <v>361</v>
      </c>
      <c r="X232" s="25" t="s">
        <v>263</v>
      </c>
      <c r="Y232" s="25" t="s">
        <v>362</v>
      </c>
      <c r="Z232" s="25" t="s">
        <v>363</v>
      </c>
      <c r="AA232" s="25" t="s">
        <v>264</v>
      </c>
      <c r="AB232" s="25" t="s">
        <v>265</v>
      </c>
      <c r="AC232" s="25" t="s">
        <v>364</v>
      </c>
      <c r="AD232" s="25" t="s">
        <v>361</v>
      </c>
      <c r="AE232" s="25" t="s">
        <v>263</v>
      </c>
      <c r="AF232" s="25" t="s">
        <v>362</v>
      </c>
      <c r="AG232" s="25" t="s">
        <v>363</v>
      </c>
      <c r="AH232" s="25" t="s">
        <v>264</v>
      </c>
      <c r="AI232" s="25" t="s">
        <v>265</v>
      </c>
      <c r="AJ232" s="25" t="s">
        <v>364</v>
      </c>
      <c r="AK232" s="25" t="s">
        <v>361</v>
      </c>
      <c r="AL232" s="25" t="s">
        <v>263</v>
      </c>
      <c r="AM232" s="25" t="s">
        <v>362</v>
      </c>
      <c r="AN232" s="25" t="s">
        <v>363</v>
      </c>
      <c r="AO232" s="25" t="s">
        <v>264</v>
      </c>
      <c r="AP232" s="25" t="s">
        <v>265</v>
      </c>
      <c r="AQ232" s="25" t="s">
        <v>364</v>
      </c>
    </row>
    <row r="233" spans="1:43">
      <c r="A233" s="3">
        <v>0</v>
      </c>
      <c r="F233" s="18">
        <f>MIN(0*B231,'2-Caso'!$B$12)</f>
        <v>0</v>
      </c>
      <c r="G233" s="18">
        <f>'2-Caso'!$B$12-F233</f>
        <v>438975.13985857379</v>
      </c>
      <c r="H233" s="18">
        <f>'2-Caso'!$B$13*G233/'2-Caso'!$B$12</f>
        <v>344000</v>
      </c>
      <c r="M233" s="18">
        <f>MIN(0*I231,'2-Caso'!$B$12)</f>
        <v>0</v>
      </c>
      <c r="N233" s="18">
        <f>'2-Caso'!$B$12-M233</f>
        <v>438975.13985857379</v>
      </c>
      <c r="O233" s="18">
        <f>'2-Caso'!$B$13*N233/'2-Caso'!$B$12</f>
        <v>344000</v>
      </c>
      <c r="T233" s="18">
        <f>MIN(0*P231,'2-Caso'!$B$12)</f>
        <v>0</v>
      </c>
      <c r="U233" s="18">
        <f>'2-Caso'!$B$12-T233</f>
        <v>438975.13985857379</v>
      </c>
      <c r="V233" s="18">
        <f>'2-Caso'!$B$13*U233/'2-Caso'!$B$12</f>
        <v>344000</v>
      </c>
      <c r="AA233" s="18">
        <f>MIN(0*W231,'2-Caso'!$B$12)</f>
        <v>0</v>
      </c>
      <c r="AB233" s="18">
        <f>'2-Caso'!$B$12-AA233</f>
        <v>438975.13985857379</v>
      </c>
      <c r="AC233" s="18">
        <f>'2-Caso'!$B$13*AB233/'2-Caso'!$B$12</f>
        <v>344000</v>
      </c>
      <c r="AH233" s="18">
        <f>MIN(0*AD231,'2-Caso'!$B$12)</f>
        <v>0</v>
      </c>
      <c r="AI233" s="18">
        <f>'2-Caso'!$B$12-AH233</f>
        <v>438975.13985857379</v>
      </c>
      <c r="AJ233" s="18">
        <f>'2-Caso'!$B$13*AI233/'2-Caso'!$B$12</f>
        <v>344000</v>
      </c>
      <c r="AO233" s="18">
        <f>MIN(0*AK231,'2-Caso'!$B$12)</f>
        <v>0</v>
      </c>
      <c r="AP233" s="18">
        <f>'2-Caso'!$B$12-AO233</f>
        <v>438975.13985857379</v>
      </c>
      <c r="AQ233" s="18">
        <f>'2-Caso'!$B$13*AP233/'2-Caso'!$B$12</f>
        <v>344000</v>
      </c>
    </row>
    <row r="234" spans="1:43">
      <c r="A234" s="10">
        <f>1</f>
        <v>1</v>
      </c>
      <c r="B234" s="11">
        <f>IF($A234&gt;'1-Input'!$B$26,0,IF(G233&lt;=0,0,MAX(0,(G233-H233)/G233)))</f>
        <v>0.21635653419729481</v>
      </c>
      <c r="C234" s="18">
        <f>IF($A234&gt;'1-Input'!$B$26,0,(MAX(0,B231-IF($A234&gt;='1-Input'!$C$12,'1-Input'!$B$12,0))-MIN(MAX(F233,0),MAX(0,B231-IF($A234&gt;='1-Input'!$C$12,'1-Input'!$B$12,0))))*(1/(1-'P-Parametri'!$B$6*B234))+MIN(MAX(0,G233-(MAX(0,B231-IF($A234&gt;='1-Input'!$C$12,'1-Input'!$B$12,0))-MIN(MAX(F233,0),MAX(0,B231-IF($A234&gt;='1-Input'!$C$12,'1-Input'!$B$12,0))))*(1/(1-'P-Parametri'!$B$6*B234))),MAX(0,0*B231-(F233-MIN(MAX(F233,0),MAX(0,B231-IF($A234&gt;='1-Input'!$C$12,'1-Input'!$B$12,0)))))*(1/(1-'P-Parametri'!$B$6*B234))))</f>
        <v>17675.340946701614</v>
      </c>
      <c r="D234" s="18">
        <f>IF($A234&gt;'1-Input'!$B$26,F233,(F233-MAX(0,B231-IF($A234&gt;='1-Input'!$C$12,'1-Input'!$B$12,0))+C234*(1-'P-Parametri'!$B$6*B234))*(1+ROUND('3-Liquidita'!$F$7,4)))</f>
        <v>-3.6608980735763906E-12</v>
      </c>
      <c r="E234" s="18">
        <f>IF($A234&gt;'1-Input'!$B$26,G233,(G233-C234)*(1+'5-Roberta'!$C$4))</f>
        <v>433938.79287922836</v>
      </c>
      <c r="F234" s="18">
        <f>IF($A234&gt;'1-Input'!$B$26,D234,D234-'P-Parametri'!$B$8*(E234+D234)+MIN(MAX(E234,0),'P-Parametri'!$B$8*(E234+D234)))</f>
        <v>-3.637978807091713E-12</v>
      </c>
      <c r="G234" s="18">
        <f>IF($A234&gt;'1-Input'!$B$26,E234,E234-MIN(MAX(E234,0),'P-Parametri'!$B$8*(E234+D234)))</f>
        <v>433070.91529346991</v>
      </c>
      <c r="H234" s="18">
        <f>IF($A234&gt;'1-Input'!$B$26,H233,H233-C234*(1-B234))</f>
        <v>330148.8345612823</v>
      </c>
      <c r="I234" s="11">
        <f>IF($A234&gt;'1-Input'!$B$26,0,IF(N233&lt;=0,0,MAX(0,(N233-O233)/N233)))</f>
        <v>0.21635653419729481</v>
      </c>
      <c r="J234" s="18">
        <f>IF($A234&gt;'1-Input'!$B$26,0,(MAX(0,I231-IF($A234&gt;='1-Input'!$C$12,'1-Input'!$B$12,0))-MIN(MAX(M233,0),MAX(0,I231-IF($A234&gt;='1-Input'!$C$12,'1-Input'!$B$12,0))))*(1/(1-'P-Parametri'!$B$6*I234))+MIN(MAX(0,N233-(MAX(0,I231-IF($A234&gt;='1-Input'!$C$12,'1-Input'!$B$12,0))-MIN(MAX(M233,0),MAX(0,I231-IF($A234&gt;='1-Input'!$C$12,'1-Input'!$B$12,0))))*(1/(1-'P-Parametri'!$B$6*I234))),MAX(0,0*I231-(M233-MIN(MAX(M233,0),MAX(0,I231-IF($A234&gt;='1-Input'!$C$12,'1-Input'!$B$12,0)))))*(1/(1-'P-Parametri'!$B$6*I234))))</f>
        <v>23257.027561449497</v>
      </c>
      <c r="K234" s="18">
        <f>IF($A234&gt;'1-Input'!$B$26,M233,(M233-MAX(0,I231-IF($A234&gt;='1-Input'!$C$12,'1-Input'!$B$12,0))+J234*(1-'P-Parametri'!$B$6*I234))*(1+ROUND('3-Liquidita'!$F$7,4)))</f>
        <v>0</v>
      </c>
      <c r="L234" s="18">
        <f>IF($A234&gt;'1-Input'!$B$26,N233,(N233-J234)*(1+'5-Roberta'!$C$4))</f>
        <v>428189.65566603804</v>
      </c>
      <c r="M234" s="18">
        <f>IF($A234&gt;'1-Input'!$B$26,K234,K234-'P-Parametri'!$B$8*(L234+K234)+MIN(MAX(L234,0),'P-Parametri'!$B$8*(L234+K234)))</f>
        <v>0</v>
      </c>
      <c r="N234" s="18">
        <f>IF($A234&gt;'1-Input'!$B$26,L234,L234-MIN(MAX(L234,0),'P-Parametri'!$B$8*(L234+K234)))</f>
        <v>427333.27635470597</v>
      </c>
      <c r="O234" s="18">
        <f>IF($A234&gt;'1-Input'!$B$26,O233,O233-J234*(1-I234))</f>
        <v>325774.7823174767</v>
      </c>
      <c r="P234" s="11">
        <f>IF($A234&gt;'1-Input'!$B$26,0,IF(U233&lt;=0,0,MAX(0,(U233-V233)/U233)))</f>
        <v>0.21635653419729481</v>
      </c>
      <c r="Q234" s="18">
        <f>IF($A234&gt;'1-Input'!$B$26,0,(MAX(0,P231-IF($A234&gt;='1-Input'!$C$12,'1-Input'!$B$12,0))-MIN(MAX(T233,0),MAX(0,P231-IF($A234&gt;='1-Input'!$C$12,'1-Input'!$B$12,0))))*(1/(1-'P-Parametri'!$B$6*P234))+MIN(MAX(0,U233-(MAX(0,P231-IF($A234&gt;='1-Input'!$C$12,'1-Input'!$B$12,0))-MIN(MAX(T233,0),MAX(0,P231-IF($A234&gt;='1-Input'!$C$12,'1-Input'!$B$12,0))))*(1/(1-'P-Parametri'!$B$6*P234))),MAX(0,0*P231-(T233-MIN(MAX(T233,0),MAX(0,P231-IF($A234&gt;='1-Input'!$C$12,'1-Input'!$B$12,0)))))*(1/(1-'P-Parametri'!$B$6*P234))))</f>
        <v>20233.212409567444</v>
      </c>
      <c r="R234" s="18">
        <f>IF($A234&gt;'1-Input'!$B$26,T233,(T233-MAX(0,P231-IF($A234&gt;='1-Input'!$C$12,'1-Input'!$B$12,0))+Q234*(1-'P-Parametri'!$B$6*P234))*(1+ROUND('3-Liquidita'!$F$7,4)))</f>
        <v>0</v>
      </c>
      <c r="S234" s="18">
        <f>IF($A234&gt;'1-Input'!$B$26,U233,(U233-Q234)*(1+'5-Roberta'!$C$4))</f>
        <v>431304.18527247658</v>
      </c>
      <c r="T234" s="18">
        <f>IF($A234&gt;'1-Input'!$B$26,R234,R234-'P-Parametri'!$B$8*(S234+R234)+MIN(MAX(S234,0),'P-Parametri'!$B$8*(S234+R234)))</f>
        <v>0</v>
      </c>
      <c r="U234" s="18">
        <f>IF($A234&gt;'1-Input'!$B$26,S234,S234-MIN(MAX(S234,0),'P-Parametri'!$B$8*(S234+R234)))</f>
        <v>430441.57690193161</v>
      </c>
      <c r="V234" s="18">
        <f>IF($A234&gt;'1-Input'!$B$26,V233,V233-Q234*(1-P234))</f>
        <v>328144.37530304427</v>
      </c>
      <c r="W234" s="11">
        <f>IF($A234&gt;'1-Input'!$B$26,0,IF(AB233&lt;=0,0,MAX(0,(AB233-AC233)/AB233)))</f>
        <v>0.21635653419729481</v>
      </c>
      <c r="X234" s="18">
        <f>IF($A234&gt;'1-Input'!$B$26,0,(MAX(0,W231-IF($A234&gt;='1-Input'!$C$12,'1-Input'!$B$12,0))-MIN(MAX(AA233,0),MAX(0,W231-IF($A234&gt;='1-Input'!$C$12,'1-Input'!$B$12,0))))*(1/(1-'P-Parametri'!$B$6*W234))+MIN(MAX(0,AB233-(MAX(0,W231-IF($A234&gt;='1-Input'!$C$12,'1-Input'!$B$12,0))-MIN(MAX(AA233,0),MAX(0,W231-IF($A234&gt;='1-Input'!$C$12,'1-Input'!$B$12,0))))*(1/(1-'P-Parametri'!$B$6*W234))),MAX(0,0*W231-(AA233-MIN(MAX(AA233,0),MAX(0,W231-IF($A234&gt;='1-Input'!$C$12,'1-Input'!$B$12,0)))))*(1/(1-'P-Parametri'!$B$6*W234))))</f>
        <v>19961.660885656765</v>
      </c>
      <c r="Y234" s="18">
        <f>IF($A234&gt;'1-Input'!$B$26,AA233,(AA233-MAX(0,W231-IF($A234&gt;='1-Input'!$C$12,'1-Input'!$B$12,0))+X234*(1-'P-Parametri'!$B$6*W234))*(1+ROUND('3-Liquidita'!$F$7,4)))</f>
        <v>0</v>
      </c>
      <c r="Z234" s="18">
        <f>IF($A234&gt;'1-Input'!$B$26,AB233,(AB233-X234)*(1+'5-Roberta'!$C$4))</f>
        <v>431583.88334210456</v>
      </c>
      <c r="AA234" s="18">
        <f>IF($A234&gt;'1-Input'!$B$26,Y234,Y234-'P-Parametri'!$B$8*(Z234+Y234)+MIN(MAX(Z234,0),'P-Parametri'!$B$8*(Z234+Y234)))</f>
        <v>0</v>
      </c>
      <c r="AB234" s="18">
        <f>IF($A234&gt;'1-Input'!$B$26,Z234,Z234-MIN(MAX(Z234,0),'P-Parametri'!$B$8*(Z234+Y234)))</f>
        <v>430720.71557542036</v>
      </c>
      <c r="AC234" s="18">
        <f>IF($A234&gt;'1-Input'!$B$26,AC233,AC233-X234*(1-W234))</f>
        <v>328357.17488038563</v>
      </c>
      <c r="AD234" s="11">
        <f>IF($A234&gt;'1-Input'!$B$26,0,IF(AI233&lt;=0,0,MAX(0,(AI233-AJ233)/AI233)))</f>
        <v>0.21635653419729481</v>
      </c>
      <c r="AE234" s="18">
        <f>IF($A234&gt;'1-Input'!$B$26,0,(MAX(0,AD231-IF($A234&gt;='1-Input'!$C$12,'1-Input'!$B$12,0))-MIN(MAX(AH233,0),MAX(0,AD231-IF($A234&gt;='1-Input'!$C$12,'1-Input'!$B$12,0))))*(1/(1-'P-Parametri'!$B$6*AD234))+MIN(MAX(0,AI233-(MAX(0,AD231-IF($A234&gt;='1-Input'!$C$12,'1-Input'!$B$12,0))-MIN(MAX(AH233,0),MAX(0,AD231-IF($A234&gt;='1-Input'!$C$12,'1-Input'!$B$12,0))))*(1/(1-'P-Parametri'!$B$6*AD234))),MAX(0,0*AD231-(AH233-MIN(MAX(AH233,0),MAX(0,AD231-IF($A234&gt;='1-Input'!$C$12,'1-Input'!$B$12,0)))))*(1/(1-'P-Parametri'!$B$6*AD234))))</f>
        <v>19968.848684205583</v>
      </c>
      <c r="AF234" s="18">
        <f>IF($A234&gt;'1-Input'!$B$26,AH233,(AH233-MAX(0,AD231-IF($A234&gt;='1-Input'!$C$12,'1-Input'!$B$12,0))+AE234*(1-'P-Parametri'!$B$6*AD234))*(1+ROUND('3-Liquidita'!$F$7,4)))</f>
        <v>0</v>
      </c>
      <c r="AG234" s="18">
        <f>IF($A234&gt;'1-Input'!$B$26,AI233,(AI233-AE234)*(1+'5-Roberta'!$C$4))</f>
        <v>431576.47990959929</v>
      </c>
      <c r="AH234" s="18">
        <f>IF($A234&gt;'1-Input'!$B$26,AF234,AF234-'P-Parametri'!$B$8*(AG234+AF234)+MIN(MAX(AG234,0),'P-Parametri'!$B$8*(AG234+AF234)))</f>
        <v>0</v>
      </c>
      <c r="AI234" s="18">
        <f>IF($A234&gt;'1-Input'!$B$26,AG234,AG234-MIN(MAX(AG234,0),'P-Parametri'!$B$8*(AG234+AF234)))</f>
        <v>430713.32694978011</v>
      </c>
      <c r="AJ234" s="18">
        <f>IF($A234&gt;'1-Input'!$B$26,AJ233,AJ233-AE234*(1-AD234))</f>
        <v>328351.54220901936</v>
      </c>
      <c r="AK234" s="11">
        <f>IF($A234&gt;'1-Input'!$B$26,0,IF(AP233&lt;=0,0,MAX(0,(AP233-AQ233)/AP233)))</f>
        <v>0.21635653419729481</v>
      </c>
      <c r="AL234" s="18">
        <f>IF($A234&gt;'1-Input'!$B$26,0,(MAX(0,AK231-IF($A234&gt;='1-Input'!$C$12,'1-Input'!$B$12,0))-MIN(MAX(AO233,0),MAX(0,AK231-IF($A234&gt;='1-Input'!$C$12,'1-Input'!$B$12,0))))*(1/(1-'P-Parametri'!$B$6*AK234))+MIN(MAX(0,AP233-(MAX(0,AK231-IF($A234&gt;='1-Input'!$C$12,'1-Input'!$B$12,0))-MIN(MAX(AO233,0),MAX(0,AK231-IF($A234&gt;='1-Input'!$C$12,'1-Input'!$B$12,0))))*(1/(1-'P-Parametri'!$B$6*AK234))),MAX(0,0*AK231-(AO233-MIN(MAX(AO233,0),MAX(0,AK231-IF($A234&gt;='1-Input'!$C$12,'1-Input'!$B$12,0)))))*(1/(1-'P-Parametri'!$B$6*AK234))))</f>
        <v>19967.732551524521</v>
      </c>
      <c r="AM234" s="18">
        <f>IF($A234&gt;'1-Input'!$B$26,AO233,(AO233-MAX(0,AK231-IF($A234&gt;='1-Input'!$C$12,'1-Input'!$B$12,0))+AL234*(1-'P-Parametri'!$B$6*AK234))*(1+ROUND('3-Liquidita'!$F$7,4)))</f>
        <v>0</v>
      </c>
      <c r="AN234" s="18">
        <f>IF($A234&gt;'1-Input'!$B$26,AP233,(AP233-AL234)*(1+'5-Roberta'!$C$4))</f>
        <v>431577.62952626077</v>
      </c>
      <c r="AO234" s="18">
        <f>IF($A234&gt;'1-Input'!$B$26,AM234,AM234-'P-Parametri'!$B$8*(AN234+AM234)+MIN(MAX(AN234,0),'P-Parametri'!$B$8*(AN234+AM234)))</f>
        <v>0</v>
      </c>
      <c r="AP234" s="18">
        <f>IF($A234&gt;'1-Input'!$B$26,AN234,AN234-MIN(MAX(AN234,0),'P-Parametri'!$B$8*(AN234+AM234)))</f>
        <v>430714.47426720825</v>
      </c>
      <c r="AQ234" s="18">
        <f>IF($A234&gt;'1-Input'!$B$26,AQ233,AQ233-AL234*(1-AK234))</f>
        <v>328352.41685910185</v>
      </c>
    </row>
    <row r="235" spans="1:43">
      <c r="A235" s="10">
        <f>2</f>
        <v>2</v>
      </c>
      <c r="B235" s="11">
        <f>IF($A235&gt;'1-Input'!$B$26,0,IF(G234&lt;=0,0,MAX(0,(G234-H234)/G234)))</f>
        <v>0.23765641399040294</v>
      </c>
      <c r="C235" s="18">
        <f>IF($A235&gt;'1-Input'!$B$26,0,(MAX(0,B231-IF($A235&gt;='1-Input'!$C$12,'1-Input'!$B$12,0))-MIN(MAX(F234,0),MAX(0,B231-IF($A235&gt;='1-Input'!$C$12,'1-Input'!$B$12,0))))*(1/(1-'P-Parametri'!$B$6*B235))+MIN(MAX(0,G234-(MAX(0,B231-IF($A235&gt;='1-Input'!$C$12,'1-Input'!$B$12,0))-MIN(MAX(F234,0),MAX(0,B231-IF($A235&gt;='1-Input'!$C$12,'1-Input'!$B$12,0))))*(1/(1-'P-Parametri'!$B$6*B235))),MAX(0,0*B231-(F234-MIN(MAX(F234,0),MAX(0,B231-IF($A235&gt;='1-Input'!$C$12,'1-Input'!$B$12,0)))))*(1/(1-'P-Parametri'!$B$6*B235))))</f>
        <v>17779.673191505583</v>
      </c>
      <c r="D235" s="18">
        <f>IF($A235&gt;'1-Input'!$B$26,F234,(F234-MAX(0,B231-IF($A235&gt;='1-Input'!$C$12,'1-Input'!$B$12,0))+C235*(1-'P-Parametri'!$B$6*B235))*(1+ROUND('3-Liquidita'!$F$7,4)))</f>
        <v>0</v>
      </c>
      <c r="E235" s="18">
        <f>IF($A235&gt;'1-Input'!$B$26,G234,(G234-C235)*(1+'5-Roberta'!$C$4))</f>
        <v>427749.97936502326</v>
      </c>
      <c r="F235" s="18">
        <f>IF($A235&gt;'1-Input'!$B$26,D235,D235-'P-Parametri'!$B$8*(E235+D235)+MIN(MAX(E235,0),'P-Parametri'!$B$8*(E235+D235)))</f>
        <v>0</v>
      </c>
      <c r="G235" s="18">
        <f>IF($A235&gt;'1-Input'!$B$26,E235,E235-MIN(MAX(E235,0),'P-Parametri'!$B$8*(E235+D235)))</f>
        <v>426894.47940629319</v>
      </c>
      <c r="H235" s="18">
        <f>IF($A235&gt;'1-Input'!$B$26,H234,H234-C235*(1-B235))</f>
        <v>316594.61474239122</v>
      </c>
      <c r="I235" s="11">
        <f>IF($A235&gt;'1-Input'!$B$26,0,IF(N234&lt;=0,0,MAX(0,(N234-O234)/N234)))</f>
        <v>0.23765641399040296</v>
      </c>
      <c r="J235" s="18">
        <f>IF($A235&gt;'1-Input'!$B$26,0,(MAX(0,I231-IF($A235&gt;='1-Input'!$C$12,'1-Input'!$B$12,0))-MIN(MAX(M234,0),MAX(0,I231-IF($A235&gt;='1-Input'!$C$12,'1-Input'!$B$12,0))))*(1/(1-'P-Parametri'!$B$6*I235))+MIN(MAX(0,N234-(MAX(0,I231-IF($A235&gt;='1-Input'!$C$12,'1-Input'!$B$12,0))-MIN(MAX(M234,0),MAX(0,I231-IF($A235&gt;='1-Input'!$C$12,'1-Input'!$B$12,0))))*(1/(1-'P-Parametri'!$B$6*I235))),MAX(0,0*I231-(M234-MIN(MAX(M234,0),MAX(0,I231-IF($A235&gt;='1-Input'!$C$12,'1-Input'!$B$12,0)))))*(1/(1-'P-Parametri'!$B$6*I235))))</f>
        <v>23394.306830928395</v>
      </c>
      <c r="K235" s="18">
        <f>IF($A235&gt;'1-Input'!$B$26,M234,(M234-MAX(0,I231-IF($A235&gt;='1-Input'!$C$12,'1-Input'!$B$12,0))+J235*(1-'P-Parametri'!$B$6*I235))*(1+ROUND('3-Liquidita'!$F$7,4)))</f>
        <v>0</v>
      </c>
      <c r="L235" s="18">
        <f>IF($A235&gt;'1-Input'!$B$26,N234,(N234-J235)*(1+'5-Roberta'!$C$4))</f>
        <v>416057.13860949094</v>
      </c>
      <c r="M235" s="18">
        <f>IF($A235&gt;'1-Input'!$B$26,K235,K235-'P-Parametri'!$B$8*(L235+K235)+MIN(MAX(L235,0),'P-Parametri'!$B$8*(L235+K235)))</f>
        <v>0</v>
      </c>
      <c r="N235" s="18">
        <f>IF($A235&gt;'1-Input'!$B$26,L235,L235-MIN(MAX(L235,0),'P-Parametri'!$B$8*(L235+K235)))</f>
        <v>415225.02433227195</v>
      </c>
      <c r="O235" s="18">
        <f>IF($A235&gt;'1-Input'!$B$26,O234,O234-J235*(1-I235))</f>
        <v>307940.28255577793</v>
      </c>
      <c r="P235" s="11">
        <f>IF($A235&gt;'1-Input'!$B$26,0,IF(U234&lt;=0,0,MAX(0,(U234-V234)/U234)))</f>
        <v>0.23765641399040296</v>
      </c>
      <c r="Q235" s="18">
        <f>IF($A235&gt;'1-Input'!$B$26,0,(MAX(0,P231-IF($A235&gt;='1-Input'!$C$12,'1-Input'!$B$12,0))-MIN(MAX(T234,0),MAX(0,P231-IF($A235&gt;='1-Input'!$C$12,'1-Input'!$B$12,0))))*(1/(1-'P-Parametri'!$B$6*P235))+MIN(MAX(0,U234-(MAX(0,P231-IF($A235&gt;='1-Input'!$C$12,'1-Input'!$B$12,0))-MIN(MAX(T234,0),MAX(0,P231-IF($A235&gt;='1-Input'!$C$12,'1-Input'!$B$12,0))))*(1/(1-'P-Parametri'!$B$6*P235))),MAX(0,0*P231-(T234-MIN(MAX(T234,0),MAX(0,P231-IF($A235&gt;='1-Input'!$C$12,'1-Input'!$B$12,0)))))*(1/(1-'P-Parametri'!$B$6*P235))))</f>
        <v>20352.643003673154</v>
      </c>
      <c r="R235" s="18">
        <f>IF($A235&gt;'1-Input'!$B$26,T234,(T234-MAX(0,P231-IF($A235&gt;='1-Input'!$C$12,'1-Input'!$B$12,0))+Q235*(1-'P-Parametri'!$B$6*P235))*(1+ROUND('3-Liquidita'!$F$7,4)))</f>
        <v>3.6608980735763906E-12</v>
      </c>
      <c r="S235" s="18">
        <f>IF($A235&gt;'1-Input'!$B$26,U234,(U234-Q235)*(1+'5-Roberta'!$C$4))</f>
        <v>422391.60191520618</v>
      </c>
      <c r="T235" s="18">
        <f>IF($A235&gt;'1-Input'!$B$26,R235,R235-'P-Parametri'!$B$8*(S235+R235)+MIN(MAX(S235,0),'P-Parametri'!$B$8*(S235+R235)))</f>
        <v>3.637978807091713E-12</v>
      </c>
      <c r="U235" s="18">
        <f>IF($A235&gt;'1-Input'!$B$26,S235,S235-MIN(MAX(S235,0),'P-Parametri'!$B$8*(S235+R235)))</f>
        <v>421546.81871137576</v>
      </c>
      <c r="V235" s="18">
        <f>IF($A235&gt;'1-Input'!$B$26,V234,V234-Q235*(1-P235))</f>
        <v>312628.66845085094</v>
      </c>
      <c r="W235" s="11">
        <f>IF($A235&gt;'1-Input'!$B$26,0,IF(AB234&lt;=0,0,MAX(0,(AB234-AC234)/AB234)))</f>
        <v>0.23765641399040299</v>
      </c>
      <c r="X235" s="18">
        <f>IF($A235&gt;'1-Input'!$B$26,0,(MAX(0,W231-IF($A235&gt;='1-Input'!$C$12,'1-Input'!$B$12,0))-MIN(MAX(AA234,0),MAX(0,W231-IF($A235&gt;='1-Input'!$C$12,'1-Input'!$B$12,0))))*(1/(1-'P-Parametri'!$B$6*W235))+MIN(MAX(0,AB234-(MAX(0,W231-IF($A235&gt;='1-Input'!$C$12,'1-Input'!$B$12,0))-MIN(MAX(AA234,0),MAX(0,W231-IF($A235&gt;='1-Input'!$C$12,'1-Input'!$B$12,0))))*(1/(1-'P-Parametri'!$B$6*W235))),MAX(0,0*W231-(AA234-MIN(MAX(AA234,0),MAX(0,W231-IF($A235&gt;='1-Input'!$C$12,'1-Input'!$B$12,0)))))*(1/(1-'P-Parametri'!$B$6*W235))))</f>
        <v>20079.48859243176</v>
      </c>
      <c r="Y235" s="18">
        <f>IF($A235&gt;'1-Input'!$B$26,AA234,(AA234-MAX(0,W231-IF($A235&gt;='1-Input'!$C$12,'1-Input'!$B$12,0))+X235*(1-'P-Parametri'!$B$6*W235))*(1+ROUND('3-Liquidita'!$F$7,4)))</f>
        <v>0</v>
      </c>
      <c r="Z235" s="18">
        <f>IF($A235&gt;'1-Input'!$B$26,AB234,(AB234-X235)*(1+'5-Roberta'!$C$4))</f>
        <v>422960.46379247826</v>
      </c>
      <c r="AA235" s="18">
        <f>IF($A235&gt;'1-Input'!$B$26,Y235,Y235-'P-Parametri'!$B$8*(Z235+Y235)+MIN(MAX(Z235,0),'P-Parametri'!$B$8*(Z235+Y235)))</f>
        <v>0</v>
      </c>
      <c r="AB235" s="18">
        <f>IF($A235&gt;'1-Input'!$B$26,Z235,Z235-MIN(MAX(Z235,0),'P-Parametri'!$B$8*(Z235+Y235)))</f>
        <v>422114.54286489333</v>
      </c>
      <c r="AC235" s="18">
        <f>IF($A235&gt;'1-Input'!$B$26,AC234,AC234-X235*(1-W235))</f>
        <v>313049.70554159238</v>
      </c>
      <c r="AD235" s="11">
        <f>IF($A235&gt;'1-Input'!$B$26,0,IF(AI234&lt;=0,0,MAX(0,(AI234-AJ234)/AI234)))</f>
        <v>0.23765641399040302</v>
      </c>
      <c r="AE235" s="18">
        <f>IF($A235&gt;'1-Input'!$B$26,0,(MAX(0,AD231-IF($A235&gt;='1-Input'!$C$12,'1-Input'!$B$12,0))-MIN(MAX(AH234,0),MAX(0,AD231-IF($A235&gt;='1-Input'!$C$12,'1-Input'!$B$12,0))))*(1/(1-'P-Parametri'!$B$6*AD235))+MIN(MAX(0,AI234-(MAX(0,AD231-IF($A235&gt;='1-Input'!$C$12,'1-Input'!$B$12,0))-MIN(MAX(AH234,0),MAX(0,AD231-IF($A235&gt;='1-Input'!$C$12,'1-Input'!$B$12,0))))*(1/(1-'P-Parametri'!$B$6*AD235))),MAX(0,0*AD231-(AH234-MIN(MAX(AH234,0),MAX(0,AD231-IF($A235&gt;='1-Input'!$C$12,'1-Input'!$B$12,0)))))*(1/(1-'P-Parametri'!$B$6*AD235))))</f>
        <v>20086.718818403057</v>
      </c>
      <c r="AF235" s="18">
        <f>IF($A235&gt;'1-Input'!$B$26,AH234,(AH234-MAX(0,AD231-IF($A235&gt;='1-Input'!$C$12,'1-Input'!$B$12,0))+AE235*(1-'P-Parametri'!$B$6*AD235))*(1+ROUND('3-Liquidita'!$F$7,4)))</f>
        <v>0</v>
      </c>
      <c r="AG235" s="18">
        <f>IF($A235&gt;'1-Input'!$B$26,AI234,(AI234-AE235)*(1+'5-Roberta'!$C$4))</f>
        <v>422945.40637531836</v>
      </c>
      <c r="AH235" s="18">
        <f>IF($A235&gt;'1-Input'!$B$26,AF235,AF235-'P-Parametri'!$B$8*(AG235+AF235)+MIN(MAX(AG235,0),'P-Parametri'!$B$8*(AG235+AF235)))</f>
        <v>0</v>
      </c>
      <c r="AI235" s="18">
        <f>IF($A235&gt;'1-Input'!$B$26,AG235,AG235-MIN(MAX(AG235,0),'P-Parametri'!$B$8*(AG235+AF235)))</f>
        <v>422099.51556256774</v>
      </c>
      <c r="AJ235" s="18">
        <f>IF($A235&gt;'1-Input'!$B$26,AJ234,AJ234-AE235*(1-AD235))</f>
        <v>313038.56095383153</v>
      </c>
      <c r="AK235" s="11">
        <f>IF($A235&gt;'1-Input'!$B$26,0,IF(AP234&lt;=0,0,MAX(0,(AP234-AQ234)/AP234)))</f>
        <v>0.23765641399040294</v>
      </c>
      <c r="AL235" s="18">
        <f>IF($A235&gt;'1-Input'!$B$26,0,(MAX(0,AK231-IF($A235&gt;='1-Input'!$C$12,'1-Input'!$B$12,0))-MIN(MAX(AO234,0),MAX(0,AK231-IF($A235&gt;='1-Input'!$C$12,'1-Input'!$B$12,0))))*(1/(1-'P-Parametri'!$B$6*AK235))+MIN(MAX(0,AP234-(MAX(0,AK231-IF($A235&gt;='1-Input'!$C$12,'1-Input'!$B$12,0))-MIN(MAX(AO234,0),MAX(0,AK231-IF($A235&gt;='1-Input'!$C$12,'1-Input'!$B$12,0))))*(1/(1-'P-Parametri'!$B$6*AK235))),MAX(0,0*AK231-(AO234-MIN(MAX(AO234,0),MAX(0,AK231-IF($A235&gt;='1-Input'!$C$12,'1-Input'!$B$12,0)))))*(1/(1-'P-Parametri'!$B$6*AK235))))</f>
        <v>20085.596097524998</v>
      </c>
      <c r="AM235" s="18">
        <f>IF($A235&gt;'1-Input'!$B$26,AO234,(AO234-MAX(0,AK231-IF($A235&gt;='1-Input'!$C$12,'1-Input'!$B$12,0))+AL235*(1-'P-Parametri'!$B$6*AK235))*(1+ROUND('3-Liquidita'!$F$7,4)))</f>
        <v>0</v>
      </c>
      <c r="AN235" s="18">
        <f>IF($A235&gt;'1-Input'!$B$26,AP234,(AP234-AL235)*(1+'5-Roberta'!$C$4))</f>
        <v>422947.74451477377</v>
      </c>
      <c r="AO235" s="18">
        <f>IF($A235&gt;'1-Input'!$B$26,AM235,AM235-'P-Parametri'!$B$8*(AN235+AM235)+MIN(MAX(AN235,0),'P-Parametri'!$B$8*(AN235+AM235)))</f>
        <v>0</v>
      </c>
      <c r="AP235" s="18">
        <f>IF($A235&gt;'1-Input'!$B$26,AN235,AN235-MIN(MAX(AN235,0),'P-Parametri'!$B$8*(AN235+AM235)))</f>
        <v>422101.84902574425</v>
      </c>
      <c r="AQ235" s="18">
        <f>IF($A235&gt;'1-Input'!$B$26,AQ234,AQ234-AL235*(1-AK235))</f>
        <v>313040.29150297429</v>
      </c>
    </row>
    <row r="236" spans="1:43">
      <c r="A236" s="10">
        <f>3</f>
        <v>3</v>
      </c>
      <c r="B236" s="11">
        <f>IF($A236&gt;'1-Input'!$B$26,0,IF(G235&lt;=0,0,MAX(0,(G235-H235)/G235)))</f>
        <v>0.25837735080880492</v>
      </c>
      <c r="C236" s="18">
        <f>IF($A236&gt;'1-Input'!$B$26,0,(MAX(0,B231-IF($A236&gt;='1-Input'!$C$12,'1-Input'!$B$12,0))-MIN(MAX(F235,0),MAX(0,B231-IF($A236&gt;='1-Input'!$C$12,'1-Input'!$B$12,0))))*(1/(1-'P-Parametri'!$B$6*B236))+MIN(MAX(0,G235-(MAX(0,B231-IF($A236&gt;='1-Input'!$C$12,'1-Input'!$B$12,0))-MIN(MAX(F235,0),MAX(0,B231-IF($A236&gt;='1-Input'!$C$12,'1-Input'!$B$12,0))))*(1/(1-'P-Parametri'!$B$6*B236))),MAX(0,0*B231-(F235-MIN(MAX(F235,0),MAX(0,B231-IF($A236&gt;='1-Input'!$C$12,'1-Input'!$B$12,0)))))*(1/(1-'P-Parametri'!$B$6*B236))))</f>
        <v>17882.358374189342</v>
      </c>
      <c r="D236" s="18">
        <f>IF($A236&gt;'1-Input'!$B$26,F235,(F235-MAX(0,B231-IF($A236&gt;='1-Input'!$C$12,'1-Input'!$B$12,0))+C236*(1-'P-Parametri'!$B$6*B236))*(1+ROUND('3-Liquidita'!$F$7,4)))</f>
        <v>0</v>
      </c>
      <c r="E236" s="18">
        <f>IF($A236&gt;'1-Input'!$B$26,G235,(G235-C236)*(1+'5-Roberta'!$C$4))</f>
        <v>421282.48466306698</v>
      </c>
      <c r="F236" s="18">
        <f>IF($A236&gt;'1-Input'!$B$26,D236,D236-'P-Parametri'!$B$8*(E236+D236)+MIN(MAX(E236,0),'P-Parametri'!$B$8*(E236+D236)))</f>
        <v>0</v>
      </c>
      <c r="G236" s="18">
        <f>IF($A236&gt;'1-Input'!$B$26,E236,E236-MIN(MAX(E236,0),'P-Parametri'!$B$8*(E236+D236)))</f>
        <v>420439.91969374084</v>
      </c>
      <c r="H236" s="18">
        <f>IF($A236&gt;'1-Input'!$B$26,H235,H235-C236*(1-B236))</f>
        <v>303332.65275113855</v>
      </c>
      <c r="I236" s="11">
        <f>IF($A236&gt;'1-Input'!$B$26,0,IF(N235&lt;=0,0,MAX(0,(N235-O235)/N235)))</f>
        <v>0.25837735080880497</v>
      </c>
      <c r="J236" s="18">
        <f>IF($A236&gt;'1-Input'!$B$26,0,(MAX(0,I231-IF($A236&gt;='1-Input'!$C$12,'1-Input'!$B$12,0))-MIN(MAX(M235,0),MAX(0,I231-IF($A236&gt;='1-Input'!$C$12,'1-Input'!$B$12,0))))*(1/(1-'P-Parametri'!$B$6*I236))+MIN(MAX(0,N235-(MAX(0,I231-IF($A236&gt;='1-Input'!$C$12,'1-Input'!$B$12,0))-MIN(MAX(M235,0),MAX(0,I231-IF($A236&gt;='1-Input'!$C$12,'1-Input'!$B$12,0))))*(1/(1-'P-Parametri'!$B$6*I236))),MAX(0,0*I231-(M235-MIN(MAX(M235,0),MAX(0,I231-IF($A236&gt;='1-Input'!$C$12,'1-Input'!$B$12,0)))))*(1/(1-'P-Parametri'!$B$6*I236))))</f>
        <v>23529.418913407029</v>
      </c>
      <c r="K236" s="18">
        <f>IF($A236&gt;'1-Input'!$B$26,M235,(M235-MAX(0,I231-IF($A236&gt;='1-Input'!$C$12,'1-Input'!$B$12,0))+J236*(1-'P-Parametri'!$B$6*I236))*(1+ROUND('3-Liquidita'!$F$7,4)))</f>
        <v>-3.6608980735763906E-12</v>
      </c>
      <c r="L236" s="18">
        <f>IF($A236&gt;'1-Input'!$B$26,N235,(N235-J236)*(1+'5-Roberta'!$C$4))</f>
        <v>403446.47358143091</v>
      </c>
      <c r="M236" s="18">
        <f>IF($A236&gt;'1-Input'!$B$26,K236,K236-'P-Parametri'!$B$8*(L236+K236)+MIN(MAX(L236,0),'P-Parametri'!$B$8*(L236+K236)))</f>
        <v>-3.637978807091713E-12</v>
      </c>
      <c r="N236" s="18">
        <f>IF($A236&gt;'1-Input'!$B$26,L236,L236-MIN(MAX(L236,0),'P-Parametri'!$B$8*(L236+K236)))</f>
        <v>402639.58063426806</v>
      </c>
      <c r="O236" s="18">
        <f>IF($A236&gt;'1-Input'!$B$26,O235,O235-J236*(1-I236))</f>
        <v>290490.33256728761</v>
      </c>
      <c r="P236" s="11">
        <f>IF($A236&gt;'1-Input'!$B$26,0,IF(U235&lt;=0,0,MAX(0,(U235-V235)/U235)))</f>
        <v>0.25837735080880492</v>
      </c>
      <c r="Q236" s="18">
        <f>IF($A236&gt;'1-Input'!$B$26,0,(MAX(0,P231-IF($A236&gt;='1-Input'!$C$12,'1-Input'!$B$12,0))-MIN(MAX(T235,0),MAX(0,P231-IF($A236&gt;='1-Input'!$C$12,'1-Input'!$B$12,0))))*(1/(1-'P-Parametri'!$B$6*P236))+MIN(MAX(0,U235-(MAX(0,P231-IF($A236&gt;='1-Input'!$C$12,'1-Input'!$B$12,0))-MIN(MAX(T235,0),MAX(0,P231-IF($A236&gt;='1-Input'!$C$12,'1-Input'!$B$12,0))))*(1/(1-'P-Parametri'!$B$6*P236))),MAX(0,0*P231-(T235-MIN(MAX(T235,0),MAX(0,P231-IF($A236&gt;='1-Input'!$C$12,'1-Input'!$B$12,0)))))*(1/(1-'P-Parametri'!$B$6*P236))))</f>
        <v>20470.1881825085</v>
      </c>
      <c r="R236" s="18">
        <f>IF($A236&gt;'1-Input'!$B$26,T235,(T235-MAX(0,P231-IF($A236&gt;='1-Input'!$C$12,'1-Input'!$B$12,0))+Q236*(1-'P-Parametri'!$B$6*P236))*(1+ROUND('3-Liquidita'!$F$7,4)))</f>
        <v>0</v>
      </c>
      <c r="S236" s="18">
        <f>IF($A236&gt;'1-Input'!$B$26,U235,(U235-Q236)*(1+'5-Roberta'!$C$4))</f>
        <v>413108.92944473325</v>
      </c>
      <c r="T236" s="18">
        <f>IF($A236&gt;'1-Input'!$B$26,R236,R236-'P-Parametri'!$B$8*(S236+R236)+MIN(MAX(S236,0),'P-Parametri'!$B$8*(S236+R236)))</f>
        <v>0</v>
      </c>
      <c r="U236" s="18">
        <f>IF($A236&gt;'1-Input'!$B$26,S236,S236-MIN(MAX(S236,0),'P-Parametri'!$B$8*(S236+R236)))</f>
        <v>412282.71158584376</v>
      </c>
      <c r="V236" s="18">
        <f>IF($A236&gt;'1-Input'!$B$26,V235,V235-Q236*(1-P236))</f>
        <v>297447.51326149667</v>
      </c>
      <c r="W236" s="11">
        <f>IF($A236&gt;'1-Input'!$B$26,0,IF(AB235&lt;=0,0,MAX(0,(AB235-AC235)/AB235)))</f>
        <v>0.25837735080880514</v>
      </c>
      <c r="X236" s="18">
        <f>IF($A236&gt;'1-Input'!$B$26,0,(MAX(0,W231-IF($A236&gt;='1-Input'!$C$12,'1-Input'!$B$12,0))-MIN(MAX(AA235,0),MAX(0,W231-IF($A236&gt;='1-Input'!$C$12,'1-Input'!$B$12,0))))*(1/(1-'P-Parametri'!$B$6*W236))+MIN(MAX(0,AB235-(MAX(0,W231-IF($A236&gt;='1-Input'!$C$12,'1-Input'!$B$12,0))-MIN(MAX(AA235,0),MAX(0,W231-IF($A236&gt;='1-Input'!$C$12,'1-Input'!$B$12,0))))*(1/(1-'P-Parametri'!$B$6*W236))),MAX(0,0*W231-(AA235-MIN(MAX(AA235,0),MAX(0,W231-IF($A236&gt;='1-Input'!$C$12,'1-Input'!$B$12,0)))))*(1/(1-'P-Parametri'!$B$6*W236))))</f>
        <v>20195.456188241988</v>
      </c>
      <c r="Y236" s="18">
        <f>IF($A236&gt;'1-Input'!$B$26,AA235,(AA235-MAX(0,W231-IF($A236&gt;='1-Input'!$C$12,'1-Input'!$B$12,0))+X236*(1-'P-Parametri'!$B$6*W236))*(1+ROUND('3-Liquidita'!$F$7,4)))</f>
        <v>0</v>
      </c>
      <c r="Z236" s="18">
        <f>IF($A236&gt;'1-Input'!$B$26,AB235,(AB235-X236)*(1+'5-Roberta'!$C$4))</f>
        <v>413976.65927695087</v>
      </c>
      <c r="AA236" s="18">
        <f>IF($A236&gt;'1-Input'!$B$26,Y236,Y236-'P-Parametri'!$B$8*(Z236+Y236)+MIN(MAX(Z236,0),'P-Parametri'!$B$8*(Z236+Y236)))</f>
        <v>0</v>
      </c>
      <c r="AB236" s="18">
        <f>IF($A236&gt;'1-Input'!$B$26,Z236,Z236-MIN(MAX(Z236,0),'P-Parametri'!$B$8*(Z236+Y236)))</f>
        <v>413148.70595839695</v>
      </c>
      <c r="AC236" s="18">
        <f>IF($A236&gt;'1-Input'!$B$26,AC235,AC235-X236*(1-W236))</f>
        <v>298072.29782164365</v>
      </c>
      <c r="AD236" s="11">
        <f>IF($A236&gt;'1-Input'!$B$26,0,IF(AI235&lt;=0,0,MAX(0,(AI235-AJ235)/AI235)))</f>
        <v>0.25837735080880497</v>
      </c>
      <c r="AE236" s="18">
        <f>IF($A236&gt;'1-Input'!$B$26,0,(MAX(0,AD231-IF($A236&gt;='1-Input'!$C$12,'1-Input'!$B$12,0))-MIN(MAX(AH235,0),MAX(0,AD231-IF($A236&gt;='1-Input'!$C$12,'1-Input'!$B$12,0))))*(1/(1-'P-Parametri'!$B$6*AD236))+MIN(MAX(0,AI235-(MAX(0,AD231-IF($A236&gt;='1-Input'!$C$12,'1-Input'!$B$12,0))-MIN(MAX(AH235,0),MAX(0,AD231-IF($A236&gt;='1-Input'!$C$12,'1-Input'!$B$12,0))))*(1/(1-'P-Parametri'!$B$6*AD236))),MAX(0,0*AD231-(AH235-MIN(MAX(AH235,0),MAX(0,AD231-IF($A236&gt;='1-Input'!$C$12,'1-Input'!$B$12,0)))))*(1/(1-'P-Parametri'!$B$6*AD236))))</f>
        <v>20202.728171846658</v>
      </c>
      <c r="AF236" s="18">
        <f>IF($A236&gt;'1-Input'!$B$26,AH235,(AH235-MAX(0,AD231-IF($A236&gt;='1-Input'!$C$12,'1-Input'!$B$12,0))+AE236*(1-'P-Parametri'!$B$6*AD236))*(1+ROUND('3-Liquidita'!$F$7,4)))</f>
        <v>0</v>
      </c>
      <c r="AG236" s="18">
        <f>IF($A236&gt;'1-Input'!$B$26,AI235,(AI235-AE236)*(1+'5-Roberta'!$C$4))</f>
        <v>413953.69101244275</v>
      </c>
      <c r="AH236" s="18">
        <f>IF($A236&gt;'1-Input'!$B$26,AF236,AF236-'P-Parametri'!$B$8*(AG236+AF236)+MIN(MAX(AG236,0),'P-Parametri'!$B$8*(AG236+AF236)))</f>
        <v>0</v>
      </c>
      <c r="AI236" s="18">
        <f>IF($A236&gt;'1-Input'!$B$26,AG236,AG236-MIN(MAX(AG236,0),'P-Parametri'!$B$8*(AG236+AF236)))</f>
        <v>413125.78363041789</v>
      </c>
      <c r="AJ236" s="18">
        <f>IF($A236&gt;'1-Input'!$B$26,AJ235,AJ235-AE236*(1-AD236))</f>
        <v>298055.76016613701</v>
      </c>
      <c r="AK236" s="11">
        <f>IF($A236&gt;'1-Input'!$B$26,0,IF(AP235&lt;=0,0,MAX(0,(AP235-AQ235)/AP235)))</f>
        <v>0.25837735080880497</v>
      </c>
      <c r="AL236" s="18">
        <f>IF($A236&gt;'1-Input'!$B$26,0,(MAX(0,AK231-IF($A236&gt;='1-Input'!$C$12,'1-Input'!$B$12,0))-MIN(MAX(AO235,0),MAX(0,AK231-IF($A236&gt;='1-Input'!$C$12,'1-Input'!$B$12,0))))*(1/(1-'P-Parametri'!$B$6*AK236))+MIN(MAX(0,AP235-(MAX(0,AK231-IF($A236&gt;='1-Input'!$C$12,'1-Input'!$B$12,0))-MIN(MAX(AO235,0),MAX(0,AK231-IF($A236&gt;='1-Input'!$C$12,'1-Input'!$B$12,0))))*(1/(1-'P-Parametri'!$B$6*AK236))),MAX(0,0*AK231-(AO235-MIN(MAX(AO235,0),MAX(0,AK231-IF($A236&gt;='1-Input'!$C$12,'1-Input'!$B$12,0)))))*(1/(1-'P-Parametri'!$B$6*AK236))))</f>
        <v>20201.598966777514</v>
      </c>
      <c r="AM236" s="18">
        <f>IF($A236&gt;'1-Input'!$B$26,AO235,(AO235-MAX(0,AK231-IF($A236&gt;='1-Input'!$C$12,'1-Input'!$B$12,0))+AL236*(1-'P-Parametri'!$B$6*AK236))*(1+ROUND('3-Liquidita'!$F$7,4)))</f>
        <v>0</v>
      </c>
      <c r="AN236" s="18">
        <f>IF($A236&gt;'1-Input'!$B$26,AP235,(AP235-AL236)*(1+'5-Roberta'!$C$4))</f>
        <v>413957.25756073574</v>
      </c>
      <c r="AO236" s="18">
        <f>IF($A236&gt;'1-Input'!$B$26,AM236,AM236-'P-Parametri'!$B$8*(AN236+AM236)+MIN(MAX(AN236,0),'P-Parametri'!$B$8*(AN236+AM236)))</f>
        <v>0</v>
      </c>
      <c r="AP236" s="18">
        <f>IF($A236&gt;'1-Input'!$B$26,AN236,AN236-MIN(MAX(AN236,0),'P-Parametri'!$B$8*(AN236+AM236)))</f>
        <v>413129.34304561425</v>
      </c>
      <c r="AQ236" s="18">
        <f>IF($A236&gt;'1-Input'!$B$26,AQ235,AQ235-AL236*(1-AK236))</f>
        <v>298058.32815933466</v>
      </c>
    </row>
    <row r="237" spans="1:43">
      <c r="A237" s="10">
        <f>4</f>
        <v>4</v>
      </c>
      <c r="B237" s="11">
        <f>IF($A237&gt;'1-Input'!$B$26,0,IF(G236&lt;=0,0,MAX(0,(G236-H236)/G236)))</f>
        <v>0.27853508065529603</v>
      </c>
      <c r="C237" s="18">
        <f>IF($A237&gt;'1-Input'!$B$26,0,(MAX(0,B231-IF($A237&gt;='1-Input'!$C$12,'1-Input'!$B$12,0))-MIN(MAX(F236,0),MAX(0,B231-IF($A237&gt;='1-Input'!$C$12,'1-Input'!$B$12,0))))*(1/(1-'P-Parametri'!$B$6*B237))+MIN(MAX(0,G236-(MAX(0,B231-IF($A237&gt;='1-Input'!$C$12,'1-Input'!$B$12,0))-MIN(MAX(F236,0),MAX(0,B231-IF($A237&gt;='1-Input'!$C$12,'1-Input'!$B$12,0))))*(1/(1-'P-Parametri'!$B$6*B237))),MAX(0,0*B231-(F236-MIN(MAX(F236,0),MAX(0,B231-IF($A237&gt;='1-Input'!$C$12,'1-Input'!$B$12,0)))))*(1/(1-'P-Parametri'!$B$6*B237))))</f>
        <v>17983.397126595017</v>
      </c>
      <c r="D237" s="18">
        <f>IF($A237&gt;'1-Input'!$B$26,F236,(F236-MAX(0,B231-IF($A237&gt;='1-Input'!$C$12,'1-Input'!$B$12,0))+C237*(1-'P-Parametri'!$B$6*B237))*(1+ROUND('3-Liquidita'!$F$7,4)))</f>
        <v>0</v>
      </c>
      <c r="E237" s="18">
        <f>IF($A237&gt;'1-Input'!$B$26,G236,(G236-C237)*(1+'5-Roberta'!$C$4))</f>
        <v>414530.21824416018</v>
      </c>
      <c r="F237" s="18">
        <f>IF($A237&gt;'1-Input'!$B$26,D237,D237-'P-Parametri'!$B$8*(E237+D237)+MIN(MAX(E237,0),'P-Parametri'!$B$8*(E237+D237)))</f>
        <v>0</v>
      </c>
      <c r="G237" s="18">
        <f>IF($A237&gt;'1-Input'!$B$26,E237,E237-MIN(MAX(E237,0),'P-Parametri'!$B$8*(E237+D237)))</f>
        <v>413701.15780767187</v>
      </c>
      <c r="H237" s="18">
        <f>IF($A237&gt;'1-Input'!$B$26,H236,H236-C237*(1-B237))</f>
        <v>290358.26259365591</v>
      </c>
      <c r="I237" s="11">
        <f>IF($A237&gt;'1-Input'!$B$26,0,IF(N236&lt;=0,0,MAX(0,(N236-O236)/N236)))</f>
        <v>0.27853508065529609</v>
      </c>
      <c r="J237" s="18">
        <f>IF($A237&gt;'1-Input'!$B$26,0,(MAX(0,I231-IF($A237&gt;='1-Input'!$C$12,'1-Input'!$B$12,0))-MIN(MAX(M236,0),MAX(0,I231-IF($A237&gt;='1-Input'!$C$12,'1-Input'!$B$12,0))))*(1/(1-'P-Parametri'!$B$6*I237))+MIN(MAX(0,N236-(MAX(0,I231-IF($A237&gt;='1-Input'!$C$12,'1-Input'!$B$12,0))-MIN(MAX(M236,0),MAX(0,I231-IF($A237&gt;='1-Input'!$C$12,'1-Input'!$B$12,0))))*(1/(1-'P-Parametri'!$B$6*I237))),MAX(0,0*I231-(M236-MIN(MAX(M236,0),MAX(0,I231-IF($A237&gt;='1-Input'!$C$12,'1-Input'!$B$12,0)))))*(1/(1-'P-Parametri'!$B$6*I237))))</f>
        <v>23662.364640256612</v>
      </c>
      <c r="K237" s="18">
        <f>IF($A237&gt;'1-Input'!$B$26,M236,(M236-MAX(0,I231-IF($A237&gt;='1-Input'!$C$12,'1-Input'!$B$12,0))+J237*(1-'P-Parametri'!$B$6*I237))*(1+ROUND('3-Liquidita'!$F$7,4)))</f>
        <v>3.6608980735763906E-12</v>
      </c>
      <c r="L237" s="18">
        <f>IF($A237&gt;'1-Input'!$B$26,N236,(N236-J237)*(1+'5-Roberta'!$C$4))</f>
        <v>390346.53247383179</v>
      </c>
      <c r="M237" s="18">
        <f>IF($A237&gt;'1-Input'!$B$26,K237,K237-'P-Parametri'!$B$8*(L237+K237)+MIN(MAX(L237,0),'P-Parametri'!$B$8*(L237+K237)))</f>
        <v>3.637978807091713E-12</v>
      </c>
      <c r="N237" s="18">
        <f>IF($A237&gt;'1-Input'!$B$26,L237,L237-MIN(MAX(L237,0),'P-Parametri'!$B$8*(L237+K237)))</f>
        <v>389565.83940888412</v>
      </c>
      <c r="O237" s="18">
        <f>IF($A237&gt;'1-Input'!$B$26,O236,O236-J237*(1-I237))</f>
        <v>273418.76657059992</v>
      </c>
      <c r="P237" s="11">
        <f>IF($A237&gt;'1-Input'!$B$26,0,IF(U236&lt;=0,0,MAX(0,(U236-V236)/U236)))</f>
        <v>0.27853508065529592</v>
      </c>
      <c r="Q237" s="18">
        <f>IF($A237&gt;'1-Input'!$B$26,0,(MAX(0,P231-IF($A237&gt;='1-Input'!$C$12,'1-Input'!$B$12,0))-MIN(MAX(T236,0),MAX(0,P231-IF($A237&gt;='1-Input'!$C$12,'1-Input'!$B$12,0))))*(1/(1-'P-Parametri'!$B$6*P237))+MIN(MAX(0,U236-(MAX(0,P231-IF($A237&gt;='1-Input'!$C$12,'1-Input'!$B$12,0))-MIN(MAX(T236,0),MAX(0,P231-IF($A237&gt;='1-Input'!$C$12,'1-Input'!$B$12,0))))*(1/(1-'P-Parametri'!$B$6*P237))),MAX(0,0*P231-(T236-MIN(MAX(T236,0),MAX(0,P231-IF($A237&gt;='1-Input'!$C$12,'1-Input'!$B$12,0)))))*(1/(1-'P-Parametri'!$B$6*P237))))</f>
        <v>20585.848669352083</v>
      </c>
      <c r="R237" s="18">
        <f>IF($A237&gt;'1-Input'!$B$26,T236,(T236-MAX(0,P231-IF($A237&gt;='1-Input'!$C$12,'1-Input'!$B$12,0))+Q237*(1-'P-Parametri'!$B$6*P237))*(1+ROUND('3-Liquidita'!$F$7,4)))</f>
        <v>3.6608980735763906E-12</v>
      </c>
      <c r="S237" s="18">
        <f>IF($A237&gt;'1-Input'!$B$26,U236,(U236-Q237)*(1+'5-Roberta'!$C$4))</f>
        <v>403447.76880398643</v>
      </c>
      <c r="T237" s="18">
        <f>IF($A237&gt;'1-Input'!$B$26,R237,R237-'P-Parametri'!$B$8*(S237+R237)+MIN(MAX(S237,0),'P-Parametri'!$B$8*(S237+R237)))</f>
        <v>3.637978807091713E-12</v>
      </c>
      <c r="U237" s="18">
        <f>IF($A237&gt;'1-Input'!$B$26,S237,S237-MIN(MAX(S237,0),'P-Parametri'!$B$8*(S237+R237)))</f>
        <v>402640.87326637848</v>
      </c>
      <c r="V237" s="18">
        <f>IF($A237&gt;'1-Input'!$B$26,V236,V236-Q237*(1-P237))</f>
        <v>282595.5456116203</v>
      </c>
      <c r="W237" s="11">
        <f>IF($A237&gt;'1-Input'!$B$26,0,IF(AB236&lt;=0,0,MAX(0,(AB236-AC236)/AB236)))</f>
        <v>0.27853508065529609</v>
      </c>
      <c r="X237" s="18">
        <f>IF($A237&gt;'1-Input'!$B$26,0,(MAX(0,W231-IF($A237&gt;='1-Input'!$C$12,'1-Input'!$B$12,0))-MIN(MAX(AA236,0),MAX(0,W231-IF($A237&gt;='1-Input'!$C$12,'1-Input'!$B$12,0))))*(1/(1-'P-Parametri'!$B$6*W237))+MIN(MAX(0,AB236-(MAX(0,W231-IF($A237&gt;='1-Input'!$C$12,'1-Input'!$B$12,0))-MIN(MAX(AA236,0),MAX(0,W231-IF($A237&gt;='1-Input'!$C$12,'1-Input'!$B$12,0))))*(1/(1-'P-Parametri'!$B$6*W237))),MAX(0,0*W231-(AA236-MIN(MAX(AA236,0),MAX(0,W231-IF($A237&gt;='1-Input'!$C$12,'1-Input'!$B$12,0)))))*(1/(1-'P-Parametri'!$B$6*W237))))</f>
        <v>20309.564386658847</v>
      </c>
      <c r="Y237" s="18">
        <f>IF($A237&gt;'1-Input'!$B$26,AA236,(AA236-MAX(0,W231-IF($A237&gt;='1-Input'!$C$12,'1-Input'!$B$12,0))+X237*(1-'P-Parametri'!$B$6*W237))*(1+ROUND('3-Liquidita'!$F$7,4)))</f>
        <v>0</v>
      </c>
      <c r="Z237" s="18">
        <f>IF($A237&gt;'1-Input'!$B$26,AB236,(AB236-X237)*(1+'5-Roberta'!$C$4))</f>
        <v>404624.31581889029</v>
      </c>
      <c r="AA237" s="18">
        <f>IF($A237&gt;'1-Input'!$B$26,Y237,Y237-'P-Parametri'!$B$8*(Z237+Y237)+MIN(MAX(Z237,0),'P-Parametri'!$B$8*(Z237+Y237)))</f>
        <v>0</v>
      </c>
      <c r="AB237" s="18">
        <f>IF($A237&gt;'1-Input'!$B$26,Z237,Z237-MIN(MAX(Z237,0),'P-Parametri'!$B$8*(Z237+Y237)))</f>
        <v>403815.06718725251</v>
      </c>
      <c r="AC237" s="18">
        <f>IF($A237&gt;'1-Input'!$B$26,AC236,AC236-X237*(1-W237))</f>
        <v>283419.65958949673</v>
      </c>
      <c r="AD237" s="11">
        <f>IF($A237&gt;'1-Input'!$B$26,0,IF(AI236&lt;=0,0,MAX(0,(AI236-AJ236)/AI236)))</f>
        <v>0.27853508065529614</v>
      </c>
      <c r="AE237" s="18">
        <f>IF($A237&gt;'1-Input'!$B$26,0,(MAX(0,AD231-IF($A237&gt;='1-Input'!$C$12,'1-Input'!$B$12,0))-MIN(MAX(AH236,0),MAX(0,AD231-IF($A237&gt;='1-Input'!$C$12,'1-Input'!$B$12,0))))*(1/(1-'P-Parametri'!$B$6*AD237))+MIN(MAX(0,AI236-(MAX(0,AD231-IF($A237&gt;='1-Input'!$C$12,'1-Input'!$B$12,0))-MIN(MAX(AH236,0),MAX(0,AD231-IF($A237&gt;='1-Input'!$C$12,'1-Input'!$B$12,0))))*(1/(1-'P-Parametri'!$B$6*AD237))),MAX(0,0*AD231-(AH236-MIN(MAX(AH236,0),MAX(0,AD231-IF($A237&gt;='1-Input'!$C$12,'1-Input'!$B$12,0)))))*(1/(1-'P-Parametri'!$B$6*AD237))))</f>
        <v>20316.877458364743</v>
      </c>
      <c r="AF237" s="18">
        <f>IF($A237&gt;'1-Input'!$B$26,AH236,(AH236-MAX(0,AD231-IF($A237&gt;='1-Input'!$C$12,'1-Input'!$B$12,0))+AE237*(1-'P-Parametri'!$B$6*AD237))*(1+ROUND('3-Liquidita'!$F$7,4)))</f>
        <v>0</v>
      </c>
      <c r="AG237" s="18">
        <f>IF($A237&gt;'1-Input'!$B$26,AI236,(AI236-AE237)*(1+'5-Roberta'!$C$4))</f>
        <v>404593.17335721472</v>
      </c>
      <c r="AH237" s="18">
        <f>IF($A237&gt;'1-Input'!$B$26,AF237,AF237-'P-Parametri'!$B$8*(AG237+AF237)+MIN(MAX(AG237,0),'P-Parametri'!$B$8*(AG237+AF237)))</f>
        <v>0</v>
      </c>
      <c r="AI237" s="18">
        <f>IF($A237&gt;'1-Input'!$B$26,AG237,AG237-MIN(MAX(AG237,0),'P-Parametri'!$B$8*(AG237+AF237)))</f>
        <v>403783.98701050028</v>
      </c>
      <c r="AJ237" s="18">
        <f>IF($A237&gt;'1-Input'!$B$26,AJ236,AJ236-AE237*(1-AD237))</f>
        <v>283397.84580930165</v>
      </c>
      <c r="AK237" s="11">
        <f>IF($A237&gt;'1-Input'!$B$26,0,IF(AP236&lt;=0,0,MAX(0,(AP236-AQ236)/AP236)))</f>
        <v>0.27853508065529592</v>
      </c>
      <c r="AL237" s="18">
        <f>IF($A237&gt;'1-Input'!$B$26,0,(MAX(0,AK231-IF($A237&gt;='1-Input'!$C$12,'1-Input'!$B$12,0))-MIN(MAX(AO236,0),MAX(0,AK231-IF($A237&gt;='1-Input'!$C$12,'1-Input'!$B$12,0))))*(1/(1-'P-Parametri'!$B$6*AK237))+MIN(MAX(0,AP236-(MAX(0,AK231-IF($A237&gt;='1-Input'!$C$12,'1-Input'!$B$12,0))-MIN(MAX(AO236,0),MAX(0,AK231-IF($A237&gt;='1-Input'!$C$12,'1-Input'!$B$12,0))))*(1/(1-'P-Parametri'!$B$6*AK237))),MAX(0,0*AK231-(AO236-MIN(MAX(AO236,0),MAX(0,AK231-IF($A237&gt;='1-Input'!$C$12,'1-Input'!$B$12,0)))))*(1/(1-'P-Parametri'!$B$6*AK237))))</f>
        <v>20315.741873070518</v>
      </c>
      <c r="AM237" s="18">
        <f>IF($A237&gt;'1-Input'!$B$26,AO236,(AO236-MAX(0,AK231-IF($A237&gt;='1-Input'!$C$12,'1-Input'!$B$12,0))+AL237*(1-'P-Parametri'!$B$6*AK237))*(1+ROUND('3-Liquidita'!$F$7,4)))</f>
        <v>3.6608980735763906E-12</v>
      </c>
      <c r="AN237" s="18">
        <f>IF($A237&gt;'1-Input'!$B$26,AP236,(AP236-AL237)*(1+'5-Roberta'!$C$4))</f>
        <v>404598.00920772005</v>
      </c>
      <c r="AO237" s="18">
        <f>IF($A237&gt;'1-Input'!$B$26,AM237,AM237-'P-Parametri'!$B$8*(AN237+AM237)+MIN(MAX(AN237,0),'P-Parametri'!$B$8*(AN237+AM237)))</f>
        <v>3.637978807091713E-12</v>
      </c>
      <c r="AP237" s="18">
        <f>IF($A237&gt;'1-Input'!$B$26,AN237,AN237-MIN(MAX(AN237,0),'P-Parametri'!$B$8*(AN237+AM237)))</f>
        <v>403788.81318930461</v>
      </c>
      <c r="AQ237" s="18">
        <f>IF($A237&gt;'1-Input'!$B$26,AQ236,AQ236-AL237*(1-AK237))</f>
        <v>283401.23308745201</v>
      </c>
    </row>
    <row r="238" spans="1:43">
      <c r="A238" s="10">
        <f>5</f>
        <v>5</v>
      </c>
      <c r="B238" s="11">
        <f>IF($A238&gt;'1-Input'!$B$26,0,IF(G237&lt;=0,0,MAX(0,(G237-H237)/G237)))</f>
        <v>0.29814491181907116</v>
      </c>
      <c r="C238" s="18">
        <f>IF($A238&gt;'1-Input'!$B$26,0,(MAX(0,B231-IF($A238&gt;='1-Input'!$C$12,'1-Input'!$B$12,0))-MIN(MAX(F237,0),MAX(0,B231-IF($A238&gt;='1-Input'!$C$12,'1-Input'!$B$12,0))))*(1/(1-'P-Parametri'!$B$6*B238))+MIN(MAX(0,G237-(MAX(0,B231-IF($A238&gt;='1-Input'!$C$12,'1-Input'!$B$12,0))-MIN(MAX(F237,0),MAX(0,B231-IF($A238&gt;='1-Input'!$C$12,'1-Input'!$B$12,0))))*(1/(1-'P-Parametri'!$B$6*B238))),MAX(0,0*B231-(F237-MIN(MAX(F237,0),MAX(0,B231-IF($A238&gt;='1-Input'!$C$12,'1-Input'!$B$12,0)))))*(1/(1-'P-Parametri'!$B$6*B238))))</f>
        <v>18082.791290457168</v>
      </c>
      <c r="D238" s="18">
        <f>IF($A238&gt;'1-Input'!$B$26,F237,(F237-MAX(0,B231-IF($A238&gt;='1-Input'!$C$12,'1-Input'!$B$12,0))+C238*(1-'P-Parametri'!$B$6*B238))*(1+ROUND('3-Liquidita'!$F$7,4)))</f>
        <v>0</v>
      </c>
      <c r="E238" s="18">
        <f>IF($A238&gt;'1-Input'!$B$26,G237,(G237-C238)*(1+'5-Roberta'!$C$4))</f>
        <v>407486.91751273116</v>
      </c>
      <c r="F238" s="18">
        <f>IF($A238&gt;'1-Input'!$B$26,D238,D238-'P-Parametri'!$B$8*(E238+D238)+MIN(MAX(E238,0),'P-Parametri'!$B$8*(E238+D238)))</f>
        <v>0</v>
      </c>
      <c r="G238" s="18">
        <f>IF($A238&gt;'1-Input'!$B$26,E238,E238-MIN(MAX(E238,0),'P-Parametri'!$B$8*(E238+D238)))</f>
        <v>406671.94367770571</v>
      </c>
      <c r="H238" s="18">
        <f>IF($A238&gt;'1-Input'!$B$26,H237,H237-C238*(1-B238))</f>
        <v>277666.76351793477</v>
      </c>
      <c r="I238" s="11">
        <f>IF($A238&gt;'1-Input'!$B$26,0,IF(N237&lt;=0,0,MAX(0,(N237-O237)/N237)))</f>
        <v>0.29814491181907116</v>
      </c>
      <c r="J238" s="18">
        <f>IF($A238&gt;'1-Input'!$B$26,0,(MAX(0,I231-IF($A238&gt;='1-Input'!$C$12,'1-Input'!$B$12,0))-MIN(MAX(M237,0),MAX(0,I231-IF($A238&gt;='1-Input'!$C$12,'1-Input'!$B$12,0))))*(1/(1-'P-Parametri'!$B$6*I238))+MIN(MAX(0,N237-(MAX(0,I231-IF($A238&gt;='1-Input'!$C$12,'1-Input'!$B$12,0))-MIN(MAX(M237,0),MAX(0,I231-IF($A238&gt;='1-Input'!$C$12,'1-Input'!$B$12,0))))*(1/(1-'P-Parametri'!$B$6*I238))),MAX(0,0*I231-(M237-MIN(MAX(M237,0),MAX(0,I231-IF($A238&gt;='1-Input'!$C$12,'1-Input'!$B$12,0)))))*(1/(1-'P-Parametri'!$B$6*I238))))</f>
        <v>23793.146434812061</v>
      </c>
      <c r="K238" s="18">
        <f>IF($A238&gt;'1-Input'!$B$26,M237,(M237-MAX(0,I231-IF($A238&gt;='1-Input'!$C$12,'1-Input'!$B$12,0))+J238*(1-'P-Parametri'!$B$6*I238))*(1+ROUND('3-Liquidita'!$F$7,4)))</f>
        <v>-3.6608980735763906E-12</v>
      </c>
      <c r="L238" s="18">
        <f>IF($A238&gt;'1-Input'!$B$26,N237,(N237-J238)*(1+'5-Roberta'!$C$4))</f>
        <v>376745.87376329425</v>
      </c>
      <c r="M238" s="18">
        <f>IF($A238&gt;'1-Input'!$B$26,K238,K238-'P-Parametri'!$B$8*(L238+K238)+MIN(MAX(L238,0),'P-Parametri'!$B$8*(L238+K238)))</f>
        <v>-3.637978807091713E-12</v>
      </c>
      <c r="N238" s="18">
        <f>IF($A238&gt;'1-Input'!$B$26,L238,L238-MIN(MAX(L238,0),'P-Parametri'!$B$8*(L238+K238)))</f>
        <v>375992.38201576768</v>
      </c>
      <c r="O238" s="18">
        <f>IF($A238&gt;'1-Input'!$B$26,O237,O237-J238*(1-I238))</f>
        <v>256719.42568149316</v>
      </c>
      <c r="P238" s="11">
        <f>IF($A238&gt;'1-Input'!$B$26,0,IF(U237&lt;=0,0,MAX(0,(U237-V237)/U237)))</f>
        <v>0.29814491181907105</v>
      </c>
      <c r="Q238" s="18">
        <f>IF($A238&gt;'1-Input'!$B$26,0,(MAX(0,P231-IF($A238&gt;='1-Input'!$C$12,'1-Input'!$B$12,0))-MIN(MAX(T237,0),MAX(0,P231-IF($A238&gt;='1-Input'!$C$12,'1-Input'!$B$12,0))))*(1/(1-'P-Parametri'!$B$6*P238))+MIN(MAX(0,U237-(MAX(0,P231-IF($A238&gt;='1-Input'!$C$12,'1-Input'!$B$12,0))-MIN(MAX(T237,0),MAX(0,P231-IF($A238&gt;='1-Input'!$C$12,'1-Input'!$B$12,0))))*(1/(1-'P-Parametri'!$B$6*P238))),MAX(0,0*P231-(T237-MIN(MAX(T237,0),MAX(0,P231-IF($A238&gt;='1-Input'!$C$12,'1-Input'!$B$12,0)))))*(1/(1-'P-Parametri'!$B$6*P238))))</f>
        <v>20699.626572463447</v>
      </c>
      <c r="R238" s="18">
        <f>IF($A238&gt;'1-Input'!$B$26,T237,(T237-MAX(0,P231-IF($A238&gt;='1-Input'!$C$12,'1-Input'!$B$12,0))+Q238*(1-'P-Parametri'!$B$6*P238))*(1+ROUND('3-Liquidita'!$F$7,4)))</f>
        <v>0</v>
      </c>
      <c r="S238" s="18">
        <f>IF($A238&gt;'1-Input'!$B$26,U237,(U237-Q238)*(1+'5-Roberta'!$C$4))</f>
        <v>393399.4840947325</v>
      </c>
      <c r="T238" s="18">
        <f>IF($A238&gt;'1-Input'!$B$26,R238,R238-'P-Parametri'!$B$8*(S238+R238)+MIN(MAX(S238,0),'P-Parametri'!$B$8*(S238+R238)))</f>
        <v>0</v>
      </c>
      <c r="U238" s="18">
        <f>IF($A238&gt;'1-Input'!$B$26,S238,S238-MIN(MAX(S238,0),'P-Parametri'!$B$8*(S238+R238)))</f>
        <v>392612.68512654305</v>
      </c>
      <c r="V238" s="18">
        <f>IF($A238&gt;'1-Input'!$B$26,V237,V237-Q238*(1-P238))</f>
        <v>268067.40737829165</v>
      </c>
      <c r="W238" s="11">
        <f>IF($A238&gt;'1-Input'!$B$26,0,IF(AB237&lt;=0,0,MAX(0,(AB237-AC237)/AB237)))</f>
        <v>0.29814491181907138</v>
      </c>
      <c r="X238" s="18">
        <f>IF($A238&gt;'1-Input'!$B$26,0,(MAX(0,W231-IF($A238&gt;='1-Input'!$C$12,'1-Input'!$B$12,0))-MIN(MAX(AA237,0),MAX(0,W231-IF($A238&gt;='1-Input'!$C$12,'1-Input'!$B$12,0))))*(1/(1-'P-Parametri'!$B$6*W238))+MIN(MAX(0,AB237-(MAX(0,W231-IF($A238&gt;='1-Input'!$C$12,'1-Input'!$B$12,0))-MIN(MAX(AA237,0),MAX(0,W231-IF($A238&gt;='1-Input'!$C$12,'1-Input'!$B$12,0))))*(1/(1-'P-Parametri'!$B$6*W238))),MAX(0,0*W231-(AA237-MIN(MAX(AA237,0),MAX(0,W231-IF($A238&gt;='1-Input'!$C$12,'1-Input'!$B$12,0)))))*(1/(1-'P-Parametri'!$B$6*W238))))</f>
        <v>20421.815267646798</v>
      </c>
      <c r="Y238" s="18">
        <f>IF($A238&gt;'1-Input'!$B$26,AA237,(AA237-MAX(0,W231-IF($A238&gt;='1-Input'!$C$12,'1-Input'!$B$12,0))+X238*(1-'P-Parametri'!$B$6*W238))*(1+ROUND('3-Liquidita'!$F$7,4)))</f>
        <v>0</v>
      </c>
      <c r="Z238" s="18">
        <f>IF($A238&gt;'1-Input'!$B$26,AB237,(AB237-X238)*(1+'5-Roberta'!$C$4))</f>
        <v>394895.04947719391</v>
      </c>
      <c r="AA238" s="18">
        <f>IF($A238&gt;'1-Input'!$B$26,Y238,Y238-'P-Parametri'!$B$8*(Z238+Y238)+MIN(MAX(Z238,0),'P-Parametri'!$B$8*(Z238+Y238)))</f>
        <v>0</v>
      </c>
      <c r="AB238" s="18">
        <f>IF($A238&gt;'1-Input'!$B$26,Z238,Z238-MIN(MAX(Z238,0),'P-Parametri'!$B$8*(Z238+Y238)))</f>
        <v>394105.25937823951</v>
      </c>
      <c r="AC238" s="18">
        <f>IF($A238&gt;'1-Input'!$B$26,AC237,AC237-X238*(1-W238))</f>
        <v>269086.50463400787</v>
      </c>
      <c r="AD238" s="11">
        <f>IF($A238&gt;'1-Input'!$B$26,0,IF(AI237&lt;=0,0,MAX(0,(AI237-AJ237)/AI237)))</f>
        <v>0.29814491181907127</v>
      </c>
      <c r="AE238" s="18">
        <f>IF($A238&gt;'1-Input'!$B$26,0,(MAX(0,AD231-IF($A238&gt;='1-Input'!$C$12,'1-Input'!$B$12,0))-MIN(MAX(AH237,0),MAX(0,AD231-IF($A238&gt;='1-Input'!$C$12,'1-Input'!$B$12,0))))*(1/(1-'P-Parametri'!$B$6*AD238))+MIN(MAX(0,AI237-(MAX(0,AD231-IF($A238&gt;='1-Input'!$C$12,'1-Input'!$B$12,0))-MIN(MAX(AH237,0),MAX(0,AD231-IF($A238&gt;='1-Input'!$C$12,'1-Input'!$B$12,0))))*(1/(1-'P-Parametri'!$B$6*AD238))),MAX(0,0*AD231-(AH237-MIN(MAX(AH237,0),MAX(0,AD231-IF($A238&gt;='1-Input'!$C$12,'1-Input'!$B$12,0)))))*(1/(1-'P-Parametri'!$B$6*AD238))))</f>
        <v>20429.168758670708</v>
      </c>
      <c r="AF238" s="18">
        <f>IF($A238&gt;'1-Input'!$B$26,AH237,(AH237-MAX(0,AD231-IF($A238&gt;='1-Input'!$C$12,'1-Input'!$B$12,0))+AE238*(1-'P-Parametri'!$B$6*AD238))*(1+ROUND('3-Liquidita'!$F$7,4)))</f>
        <v>0</v>
      </c>
      <c r="AG238" s="18">
        <f>IF($A238&gt;'1-Input'!$B$26,AI237,(AI237-AE238)*(1+'5-Roberta'!$C$4))</f>
        <v>394855.46279938449</v>
      </c>
      <c r="AH238" s="18">
        <f>IF($A238&gt;'1-Input'!$B$26,AF238,AF238-'P-Parametri'!$B$8*(AG238+AF238)+MIN(MAX(AG238,0),'P-Parametri'!$B$8*(AG238+AF238)))</f>
        <v>0</v>
      </c>
      <c r="AI238" s="18">
        <f>IF($A238&gt;'1-Input'!$B$26,AG238,AG238-MIN(MAX(AG238,0),'P-Parametri'!$B$8*(AG238+AF238)))</f>
        <v>394065.75187378575</v>
      </c>
      <c r="AJ238" s="18">
        <f>IF($A238&gt;'1-Input'!$B$26,AJ237,AJ237-AE238*(1-AD238))</f>
        <v>269059.52976872172</v>
      </c>
      <c r="AK238" s="11">
        <f>IF($A238&gt;'1-Input'!$B$26,0,IF(AP237&lt;=0,0,MAX(0,(AP237-AQ237)/AP237)))</f>
        <v>0.2981449118190711</v>
      </c>
      <c r="AL238" s="18">
        <f>IF($A238&gt;'1-Input'!$B$26,0,(MAX(0,AK231-IF($A238&gt;='1-Input'!$C$12,'1-Input'!$B$12,0))-MIN(MAX(AO237,0),MAX(0,AK231-IF($A238&gt;='1-Input'!$C$12,'1-Input'!$B$12,0))))*(1/(1-'P-Parametri'!$B$6*AK238))+MIN(MAX(0,AP237-(MAX(0,AK231-IF($A238&gt;='1-Input'!$C$12,'1-Input'!$B$12,0))-MIN(MAX(AO237,0),MAX(0,AK231-IF($A238&gt;='1-Input'!$C$12,'1-Input'!$B$12,0))))*(1/(1-'P-Parametri'!$B$6*AK238))),MAX(0,0*AK231-(AO237-MIN(MAX(AO237,0),MAX(0,AK231-IF($A238&gt;='1-Input'!$C$12,'1-Input'!$B$12,0)))))*(1/(1-'P-Parametri'!$B$6*AK238))))</f>
        <v>20428.026897001109</v>
      </c>
      <c r="AM238" s="18">
        <f>IF($A238&gt;'1-Input'!$B$26,AO237,(AO237-MAX(0,AK231-IF($A238&gt;='1-Input'!$C$12,'1-Input'!$B$12,0))+AL238*(1-'P-Parametri'!$B$6*AK238))*(1+ROUND('3-Liquidita'!$F$7,4)))</f>
        <v>0</v>
      </c>
      <c r="AN238" s="18">
        <f>IF($A238&gt;'1-Input'!$B$26,AP237,(AP237-AL238)*(1+'5-Roberta'!$C$4))</f>
        <v>394861.6098810726</v>
      </c>
      <c r="AO238" s="18">
        <f>IF($A238&gt;'1-Input'!$B$26,AM238,AM238-'P-Parametri'!$B$8*(AN238+AM238)+MIN(MAX(AN238,0),'P-Parametri'!$B$8*(AN238+AM238)))</f>
        <v>0</v>
      </c>
      <c r="AP238" s="18">
        <f>IF($A238&gt;'1-Input'!$B$26,AN238,AN238-MIN(MAX(AN238,0),'P-Parametri'!$B$8*(AN238+AM238)))</f>
        <v>394071.88666131045</v>
      </c>
      <c r="AQ238" s="18">
        <f>IF($A238&gt;'1-Input'!$B$26,AQ237,AQ237-AL238*(1-AK238))</f>
        <v>269063.71846829489</v>
      </c>
    </row>
    <row r="239" spans="1:43">
      <c r="A239" s="10">
        <f>6</f>
        <v>6</v>
      </c>
      <c r="B239" s="11">
        <f>IF($A239&gt;'1-Input'!$B$26,0,IF(G238&lt;=0,0,MAX(0,(G238-H238)/G238)))</f>
        <v>0.31722173650122687</v>
      </c>
      <c r="C239" s="18">
        <f>IF($A239&gt;'1-Input'!$B$26,0,(MAX(0,B231-IF($A239&gt;='1-Input'!$C$12,'1-Input'!$B$12,0))-MIN(MAX(F238,0),MAX(0,B231-IF($A239&gt;='1-Input'!$C$12,'1-Input'!$B$12,0))))*(1/(1-'P-Parametri'!$B$6*B239))+MIN(MAX(0,G238-(MAX(0,B231-IF($A239&gt;='1-Input'!$C$12,'1-Input'!$B$12,0))-MIN(MAX(F238,0),MAX(0,B231-IF($A239&gt;='1-Input'!$C$12,'1-Input'!$B$12,0))))*(1/(1-'P-Parametri'!$B$6*B239))),MAX(0,0*B231-(F238-MIN(MAX(F238,0),MAX(0,B231-IF($A239&gt;='1-Input'!$C$12,'1-Input'!$B$12,0)))))*(1/(1-'P-Parametri'!$B$6*B239))))</f>
        <v>18180.543876365096</v>
      </c>
      <c r="D239" s="18">
        <f>IF($A239&gt;'1-Input'!$B$26,F238,(F238-MAX(0,B231-IF($A239&gt;='1-Input'!$C$12,'1-Input'!$B$12,0))+C239*(1-'P-Parametri'!$B$6*B239))*(1+ROUND('3-Liquidita'!$F$7,4)))</f>
        <v>0</v>
      </c>
      <c r="E239" s="18">
        <f>IF($A239&gt;'1-Input'!$B$26,G238,(G238-C239)*(1+'5-Roberta'!$C$4))</f>
        <v>400146.1417953808</v>
      </c>
      <c r="F239" s="18">
        <f>IF($A239&gt;'1-Input'!$B$26,D239,D239-'P-Parametri'!$B$8*(E239+D239)+MIN(MAX(E239,0),'P-Parametri'!$B$8*(E239+D239)))</f>
        <v>0</v>
      </c>
      <c r="G239" s="18">
        <f>IF($A239&gt;'1-Input'!$B$26,E239,E239-MIN(MAX(E239,0),'P-Parametri'!$B$8*(E239+D239)))</f>
        <v>399345.84951179003</v>
      </c>
      <c r="H239" s="18">
        <f>IF($A239&gt;'1-Input'!$B$26,H238,H238-C239*(1-B239))</f>
        <v>265253.48334056698</v>
      </c>
      <c r="I239" s="11">
        <f>IF($A239&gt;'1-Input'!$B$26,0,IF(N238&lt;=0,0,MAX(0,(N238-O238)/N238)))</f>
        <v>0.31722173650122698</v>
      </c>
      <c r="J239" s="18">
        <f>IF($A239&gt;'1-Input'!$B$26,0,(MAX(0,I231-IF($A239&gt;='1-Input'!$C$12,'1-Input'!$B$12,0))-MIN(MAX(M238,0),MAX(0,I231-IF($A239&gt;='1-Input'!$C$12,'1-Input'!$B$12,0))))*(1/(1-'P-Parametri'!$B$6*I239))+MIN(MAX(0,N238-(MAX(0,I231-IF($A239&gt;='1-Input'!$C$12,'1-Input'!$B$12,0))-MIN(MAX(M238,0),MAX(0,I231-IF($A239&gt;='1-Input'!$C$12,'1-Input'!$B$12,0))))*(1/(1-'P-Parametri'!$B$6*I239))),MAX(0,0*I231-(M238-MIN(MAX(M238,0),MAX(0,I231-IF($A239&gt;='1-Input'!$C$12,'1-Input'!$B$12,0)))))*(1/(1-'P-Parametri'!$B$6*I239))))</f>
        <v>23921.768258375134</v>
      </c>
      <c r="K239" s="18">
        <f>IF($A239&gt;'1-Input'!$B$26,M238,(M238-MAX(0,I231-IF($A239&gt;='1-Input'!$C$12,'1-Input'!$B$12,0))+J239*(1-'P-Parametri'!$B$6*I239))*(1+ROUND('3-Liquidita'!$F$7,4)))</f>
        <v>0</v>
      </c>
      <c r="L239" s="18">
        <f>IF($A239&gt;'1-Input'!$B$26,N238,(N238-J239)*(1+'5-Roberta'!$C$4))</f>
        <v>362632.73217011435</v>
      </c>
      <c r="M239" s="18">
        <f>IF($A239&gt;'1-Input'!$B$26,K239,K239-'P-Parametri'!$B$8*(L239+K239)+MIN(MAX(L239,0),'P-Parametri'!$B$8*(L239+K239)))</f>
        <v>0</v>
      </c>
      <c r="N239" s="18">
        <f>IF($A239&gt;'1-Input'!$B$26,L239,L239-MIN(MAX(L239,0),'P-Parametri'!$B$8*(L239+K239)))</f>
        <v>361907.46670577413</v>
      </c>
      <c r="O239" s="18">
        <f>IF($A239&gt;'1-Input'!$B$26,O238,O238-J239*(1-I239))</f>
        <v>240386.16229021971</v>
      </c>
      <c r="P239" s="11">
        <f>IF($A239&gt;'1-Input'!$B$26,0,IF(U238&lt;=0,0,MAX(0,(U238-V238)/U238)))</f>
        <v>0.31722173650122687</v>
      </c>
      <c r="Q239" s="18">
        <f>IF($A239&gt;'1-Input'!$B$26,0,(MAX(0,P231-IF($A239&gt;='1-Input'!$C$12,'1-Input'!$B$12,0))-MIN(MAX(T238,0),MAX(0,P231-IF($A239&gt;='1-Input'!$C$12,'1-Input'!$B$12,0))))*(1/(1-'P-Parametri'!$B$6*P239))+MIN(MAX(0,U238-(MAX(0,P231-IF($A239&gt;='1-Input'!$C$12,'1-Input'!$B$12,0))-MIN(MAX(T238,0),MAX(0,P231-IF($A239&gt;='1-Input'!$C$12,'1-Input'!$B$12,0))))*(1/(1-'P-Parametri'!$B$6*P239))),MAX(0,0*P231-(T238-MIN(MAX(T238,0),MAX(0,P231-IF($A239&gt;='1-Input'!$C$12,'1-Input'!$B$12,0)))))*(1/(1-'P-Parametri'!$B$6*P239))))</f>
        <v>20811.525338106709</v>
      </c>
      <c r="R239" s="18">
        <f>IF($A239&gt;'1-Input'!$B$26,T238,(T238-MAX(0,P231-IF($A239&gt;='1-Input'!$C$12,'1-Input'!$B$12,0))+Q239*(1-'P-Parametri'!$B$6*P239))*(1+ROUND('3-Liquidita'!$F$7,4)))</f>
        <v>3.6608980735763906E-12</v>
      </c>
      <c r="S239" s="18">
        <f>IF($A239&gt;'1-Input'!$B$26,U238,(U238-Q239)*(1+'5-Roberta'!$C$4))</f>
        <v>382955.19458208943</v>
      </c>
      <c r="T239" s="18">
        <f>IF($A239&gt;'1-Input'!$B$26,R239,R239-'P-Parametri'!$B$8*(S239+R239)+MIN(MAX(S239,0),'P-Parametri'!$B$8*(S239+R239)))</f>
        <v>3.637978807091713E-12</v>
      </c>
      <c r="U239" s="18">
        <f>IF($A239&gt;'1-Input'!$B$26,S239,S239-MIN(MAX(S239,0),'P-Parametri'!$B$8*(S239+R239)))</f>
        <v>382189.28419292526</v>
      </c>
      <c r="V239" s="18">
        <f>IF($A239&gt;'1-Input'!$B$26,V238,V238-Q239*(1-P239))</f>
        <v>253857.75024717842</v>
      </c>
      <c r="W239" s="11">
        <f>IF($A239&gt;'1-Input'!$B$26,0,IF(AB238&lt;=0,0,MAX(0,(AB238-AC238)/AB238)))</f>
        <v>0.31722173650122709</v>
      </c>
      <c r="X239" s="18">
        <f>IF($A239&gt;'1-Input'!$B$26,0,(MAX(0,W231-IF($A239&gt;='1-Input'!$C$12,'1-Input'!$B$12,0))-MIN(MAX(AA238,0),MAX(0,W231-IF($A239&gt;='1-Input'!$C$12,'1-Input'!$B$12,0))))*(1/(1-'P-Parametri'!$B$6*W239))+MIN(MAX(0,AB238-(MAX(0,W231-IF($A239&gt;='1-Input'!$C$12,'1-Input'!$B$12,0))-MIN(MAX(AA238,0),MAX(0,W231-IF($A239&gt;='1-Input'!$C$12,'1-Input'!$B$12,0))))*(1/(1-'P-Parametri'!$B$6*W239))),MAX(0,0*W231-(AA238-MIN(MAX(AA238,0),MAX(0,W231-IF($A239&gt;='1-Input'!$C$12,'1-Input'!$B$12,0)))))*(1/(1-'P-Parametri'!$B$6*W239))))</f>
        <v>20532.212231217349</v>
      </c>
      <c r="Y239" s="18">
        <f>IF($A239&gt;'1-Input'!$B$26,AA238,(AA238-MAX(0,W231-IF($A239&gt;='1-Input'!$C$12,'1-Input'!$B$12,0))+X239*(1-'P-Parametri'!$B$6*W239))*(1+ROUND('3-Liquidita'!$F$7,4)))</f>
        <v>-3.6608980735763906E-12</v>
      </c>
      <c r="Z239" s="18">
        <f>IF($A239&gt;'1-Input'!$B$26,AB238,(AB238-X239)*(1+'5-Roberta'!$C$4))</f>
        <v>384780.23856143281</v>
      </c>
      <c r="AA239" s="18">
        <f>IF($A239&gt;'1-Input'!$B$26,Y239,Y239-'P-Parametri'!$B$8*(Z239+Y239)+MIN(MAX(Z239,0),'P-Parametri'!$B$8*(Z239+Y239)))</f>
        <v>-3.637978807091713E-12</v>
      </c>
      <c r="AB239" s="18">
        <f>IF($A239&gt;'1-Input'!$B$26,Z239,Z239-MIN(MAX(Z239,0),'P-Parametri'!$B$8*(Z239+Y239)))</f>
        <v>384010.67808430997</v>
      </c>
      <c r="AC239" s="18">
        <f>IF($A239&gt;'1-Input'!$B$26,AC238,AC238-X239*(1-W239))</f>
        <v>255067.55642098901</v>
      </c>
      <c r="AD239" s="11">
        <f>IF($A239&gt;'1-Input'!$B$26,0,IF(AI238&lt;=0,0,MAX(0,(AI238-AJ238)/AI238)))</f>
        <v>0.31722173650122715</v>
      </c>
      <c r="AE239" s="18">
        <f>IF($A239&gt;'1-Input'!$B$26,0,(MAX(0,AD231-IF($A239&gt;='1-Input'!$C$12,'1-Input'!$B$12,0))-MIN(MAX(AH238,0),MAX(0,AD231-IF($A239&gt;='1-Input'!$C$12,'1-Input'!$B$12,0))))*(1/(1-'P-Parametri'!$B$6*AD239))+MIN(MAX(0,AI238-(MAX(0,AD231-IF($A239&gt;='1-Input'!$C$12,'1-Input'!$B$12,0))-MIN(MAX(AH238,0),MAX(0,AD231-IF($A239&gt;='1-Input'!$C$12,'1-Input'!$B$12,0))))*(1/(1-'P-Parametri'!$B$6*AD239))),MAX(0,0*AD231-(AH238-MIN(MAX(AH238,0),MAX(0,AD231-IF($A239&gt;='1-Input'!$C$12,'1-Input'!$B$12,0)))))*(1/(1-'P-Parametri'!$B$6*AD239))))</f>
        <v>20539.605474000349</v>
      </c>
      <c r="AF239" s="18">
        <f>IF($A239&gt;'1-Input'!$B$26,AH238,(AH238-MAX(0,AD231-IF($A239&gt;='1-Input'!$C$12,'1-Input'!$B$12,0))+AE239*(1-'P-Parametri'!$B$6*AD239))*(1+ROUND('3-Liquidita'!$F$7,4)))</f>
        <v>0</v>
      </c>
      <c r="AG239" s="18">
        <f>IF($A239&gt;'1-Input'!$B$26,AI238,(AI238-AE239)*(1+'5-Roberta'!$C$4))</f>
        <v>384731.93079177901</v>
      </c>
      <c r="AH239" s="18">
        <f>IF($A239&gt;'1-Input'!$B$26,AF239,AF239-'P-Parametri'!$B$8*(AG239+AF239)+MIN(MAX(AG239,0),'P-Parametri'!$B$8*(AG239+AF239)))</f>
        <v>0</v>
      </c>
      <c r="AI239" s="18">
        <f>IF($A239&gt;'1-Input'!$B$26,AG239,AG239-MIN(MAX(AG239,0),'P-Parametri'!$B$8*(AG239+AF239)))</f>
        <v>383962.46693019546</v>
      </c>
      <c r="AJ239" s="18">
        <f>IF($A239&gt;'1-Input'!$B$26,AJ238,AJ238-AE239*(1-AD239))</f>
        <v>255035.53361023386</v>
      </c>
      <c r="AK239" s="11">
        <f>IF($A239&gt;'1-Input'!$B$26,0,IF(AP238&lt;=0,0,MAX(0,(AP238-AQ238)/AP238)))</f>
        <v>0.31722173650122687</v>
      </c>
      <c r="AL239" s="18">
        <f>IF($A239&gt;'1-Input'!$B$26,0,(MAX(0,AK231-IF($A239&gt;='1-Input'!$C$12,'1-Input'!$B$12,0))-MIN(MAX(AO238,0),MAX(0,AK231-IF($A239&gt;='1-Input'!$C$12,'1-Input'!$B$12,0))))*(1/(1-'P-Parametri'!$B$6*AK239))+MIN(MAX(0,AP238-(MAX(0,AK231-IF($A239&gt;='1-Input'!$C$12,'1-Input'!$B$12,0))-MIN(MAX(AO238,0),MAX(0,AK231-IF($A239&gt;='1-Input'!$C$12,'1-Input'!$B$12,0))))*(1/(1-'P-Parametri'!$B$6*AK239))),MAX(0,0*AK231-(AO238-MIN(MAX(AO238,0),MAX(0,AK231-IF($A239&gt;='1-Input'!$C$12,'1-Input'!$B$12,0)))))*(1/(1-'P-Parametri'!$B$6*AK239))))</f>
        <v>20538.457439614984</v>
      </c>
      <c r="AM239" s="18">
        <f>IF($A239&gt;'1-Input'!$B$26,AO238,(AO238-MAX(0,AK231-IF($A239&gt;='1-Input'!$C$12,'1-Input'!$B$12,0))+AL239*(1-'P-Parametri'!$B$6*AK239))*(1+ROUND('3-Liquidita'!$F$7,4)))</f>
        <v>0</v>
      </c>
      <c r="AN239" s="18">
        <f>IF($A239&gt;'1-Input'!$B$26,AP238,(AP238-AL239)*(1+'5-Roberta'!$C$4))</f>
        <v>384739.43209834635</v>
      </c>
      <c r="AO239" s="18">
        <f>IF($A239&gt;'1-Input'!$B$26,AM239,AM239-'P-Parametri'!$B$8*(AN239+AM239)+MIN(MAX(AN239,0),'P-Parametri'!$B$8*(AN239+AM239)))</f>
        <v>0</v>
      </c>
      <c r="AP239" s="18">
        <f>IF($A239&gt;'1-Input'!$B$26,AN239,AN239-MIN(MAX(AN239,0),'P-Parametri'!$B$8*(AN239+AM239)))</f>
        <v>383969.95323414967</v>
      </c>
      <c r="AQ239" s="18">
        <f>IF($A239&gt;'1-Input'!$B$26,AQ238,AQ238-AL239*(1-AK239))</f>
        <v>255040.50616273112</v>
      </c>
    </row>
    <row r="240" spans="1:43">
      <c r="A240" s="10">
        <f>7</f>
        <v>7</v>
      </c>
      <c r="B240" s="11">
        <f>IF($A240&gt;'1-Input'!$B$26,0,IF(G239&lt;=0,0,MAX(0,(G239-H239)/G239)))</f>
        <v>0.33578004212427454</v>
      </c>
      <c r="C240" s="18">
        <f>IF($A240&gt;'1-Input'!$B$26,0,(MAX(0,B231-IF($A240&gt;='1-Input'!$C$12,'1-Input'!$B$12,0))-MIN(MAX(F239,0),MAX(0,B231-IF($A240&gt;='1-Input'!$C$12,'1-Input'!$B$12,0))))*(1/(1-'P-Parametri'!$B$6*B240))+MIN(MAX(0,G239-(MAX(0,B231-IF($A240&gt;='1-Input'!$C$12,'1-Input'!$B$12,0))-MIN(MAX(F239,0),MAX(0,B231-IF($A240&gt;='1-Input'!$C$12,'1-Input'!$B$12,0))))*(1/(1-'P-Parametri'!$B$6*B240))),MAX(0,0*B231-(F239-MIN(MAX(F239,0),MAX(0,B231-IF($A240&gt;='1-Input'!$C$12,'1-Input'!$B$12,0)))))*(1/(1-'P-Parametri'!$B$6*B240))))</f>
        <v>18276.659022069383</v>
      </c>
      <c r="D240" s="18">
        <f>IF($A240&gt;'1-Input'!$B$26,F239,(F239-MAX(0,B231-IF($A240&gt;='1-Input'!$C$12,'1-Input'!$B$12,0))+C240*(1-'P-Parametri'!$B$6*B240))*(1+ROUND('3-Liquidita'!$F$7,4)))</f>
        <v>0</v>
      </c>
      <c r="E240" s="18">
        <f>IF($A240&gt;'1-Input'!$B$26,G239,(G239-C240)*(1+'5-Roberta'!$C$4))</f>
        <v>392501.26620441233</v>
      </c>
      <c r="F240" s="18">
        <f>IF($A240&gt;'1-Input'!$B$26,D240,D240-'P-Parametri'!$B$8*(E240+D240)+MIN(MAX(E240,0),'P-Parametri'!$B$8*(E240+D240)))</f>
        <v>0</v>
      </c>
      <c r="G240" s="18">
        <f>IF($A240&gt;'1-Input'!$B$26,E240,E240-MIN(MAX(E240,0),'P-Parametri'!$B$8*(E240+D240)))</f>
        <v>391716.26367200352</v>
      </c>
      <c r="H240" s="18">
        <f>IF($A240&gt;'1-Input'!$B$26,H239,H239-C240*(1-B240))</f>
        <v>253113.76165481904</v>
      </c>
      <c r="I240" s="11">
        <f>IF($A240&gt;'1-Input'!$B$26,0,IF(N239&lt;=0,0,MAX(0,(N239-O239)/N239)))</f>
        <v>0.33578004212427481</v>
      </c>
      <c r="J240" s="18">
        <f>IF($A240&gt;'1-Input'!$B$26,0,(MAX(0,I231-IF($A240&gt;='1-Input'!$C$12,'1-Input'!$B$12,0))-MIN(MAX(M239,0),MAX(0,I231-IF($A240&gt;='1-Input'!$C$12,'1-Input'!$B$12,0))))*(1/(1-'P-Parametri'!$B$6*I240))+MIN(MAX(0,N239-(MAX(0,I231-IF($A240&gt;='1-Input'!$C$12,'1-Input'!$B$12,0))-MIN(MAX(M239,0),MAX(0,I231-IF($A240&gt;='1-Input'!$C$12,'1-Input'!$B$12,0))))*(1/(1-'P-Parametri'!$B$6*I240))),MAX(0,0*I231-(M239-MIN(MAX(M239,0),MAX(0,I231-IF($A240&gt;='1-Input'!$C$12,'1-Input'!$B$12,0)))))*(1/(1-'P-Parametri'!$B$6*I240))))</f>
        <v>24048.235555354455</v>
      </c>
      <c r="K240" s="18">
        <f>IF($A240&gt;'1-Input'!$B$26,M239,(M239-MAX(0,I231-IF($A240&gt;='1-Input'!$C$12,'1-Input'!$B$12,0))+J240*(1-'P-Parametri'!$B$6*I240))*(1+ROUND('3-Liquidita'!$F$7,4)))</f>
        <v>-3.6608980735763906E-12</v>
      </c>
      <c r="L240" s="18">
        <f>IF($A240&gt;'1-Input'!$B$26,N239,(N239-J240)*(1+'5-Roberta'!$C$4))</f>
        <v>347995.00808493228</v>
      </c>
      <c r="M240" s="18">
        <f>IF($A240&gt;'1-Input'!$B$26,K240,K240-'P-Parametri'!$B$8*(L240+K240)+MIN(MAX(L240,0),'P-Parametri'!$B$8*(L240+K240)))</f>
        <v>-3.637978807091713E-12</v>
      </c>
      <c r="N240" s="18">
        <f>IF($A240&gt;'1-Input'!$B$26,L240,L240-MIN(MAX(L240,0),'P-Parametri'!$B$8*(L240+K240)))</f>
        <v>347299.01806876244</v>
      </c>
      <c r="O240" s="18">
        <f>IF($A240&gt;'1-Input'!$B$26,O239,O239-J240*(1-I240))</f>
        <v>224412.84428265665</v>
      </c>
      <c r="P240" s="11">
        <f>IF($A240&gt;'1-Input'!$B$26,0,IF(U239&lt;=0,0,MAX(0,(U239-V239)/U239)))</f>
        <v>0.3357800421242747</v>
      </c>
      <c r="Q240" s="18">
        <f>IF($A240&gt;'1-Input'!$B$26,0,(MAX(0,P231-IF($A240&gt;='1-Input'!$C$12,'1-Input'!$B$12,0))-MIN(MAX(T239,0),MAX(0,P231-IF($A240&gt;='1-Input'!$C$12,'1-Input'!$B$12,0))))*(1/(1-'P-Parametri'!$B$6*P240))+MIN(MAX(0,U239-(MAX(0,P231-IF($A240&gt;='1-Input'!$C$12,'1-Input'!$B$12,0))-MIN(MAX(T239,0),MAX(0,P231-IF($A240&gt;='1-Input'!$C$12,'1-Input'!$B$12,0))))*(1/(1-'P-Parametri'!$B$6*P240))),MAX(0,0*P231-(T239-MIN(MAX(T239,0),MAX(0,P231-IF($A240&gt;='1-Input'!$C$12,'1-Input'!$B$12,0)))))*(1/(1-'P-Parametri'!$B$6*P240))))</f>
        <v>20921.549702823369</v>
      </c>
      <c r="R240" s="18">
        <f>IF($A240&gt;'1-Input'!$B$26,T239,(T239-MAX(0,P231-IF($A240&gt;='1-Input'!$C$12,'1-Input'!$B$12,0))+Q240*(1-'P-Parametri'!$B$6*P240))*(1+ROUND('3-Liquidita'!$F$7,4)))</f>
        <v>0</v>
      </c>
      <c r="S240" s="18">
        <f>IF($A240&gt;'1-Input'!$B$26,U239,(U239-Q240)*(1+'5-Roberta'!$C$4))</f>
        <v>372105.76652480493</v>
      </c>
      <c r="T240" s="18">
        <f>IF($A240&gt;'1-Input'!$B$26,R240,R240-'P-Parametri'!$B$8*(S240+R240)+MIN(MAX(S240,0),'P-Parametri'!$B$8*(S240+R240)))</f>
        <v>0</v>
      </c>
      <c r="U240" s="18">
        <f>IF($A240&gt;'1-Input'!$B$26,S240,S240-MIN(MAX(S240,0),'P-Parametri'!$B$8*(S240+R240)))</f>
        <v>371361.55499175534</v>
      </c>
      <c r="V240" s="18">
        <f>IF($A240&gt;'1-Input'!$B$26,V239,V239-Q240*(1-P240))</f>
        <v>239961.23938487418</v>
      </c>
      <c r="W240" s="11">
        <f>IF($A240&gt;'1-Input'!$B$26,0,IF(AB239&lt;=0,0,MAX(0,(AB239-AC239)/AB239)))</f>
        <v>0.33578004212427487</v>
      </c>
      <c r="X240" s="18">
        <f>IF($A240&gt;'1-Input'!$B$26,0,(MAX(0,W231-IF($A240&gt;='1-Input'!$C$12,'1-Input'!$B$12,0))-MIN(MAX(AA239,0),MAX(0,W231-IF($A240&gt;='1-Input'!$C$12,'1-Input'!$B$12,0))))*(1/(1-'P-Parametri'!$B$6*W240))+MIN(MAX(0,AB239-(MAX(0,W231-IF($A240&gt;='1-Input'!$C$12,'1-Input'!$B$12,0))-MIN(MAX(AA239,0),MAX(0,W231-IF($A240&gt;='1-Input'!$C$12,'1-Input'!$B$12,0))))*(1/(1-'P-Parametri'!$B$6*W240))),MAX(0,0*W231-(AA239-MIN(MAX(AA239,0),MAX(0,W231-IF($A240&gt;='1-Input'!$C$12,'1-Input'!$B$12,0)))))*(1/(1-'P-Parametri'!$B$6*W240))))</f>
        <v>20640.759950342541</v>
      </c>
      <c r="Y240" s="18">
        <f>IF($A240&gt;'1-Input'!$B$26,AA239,(AA239-MAX(0,W231-IF($A240&gt;='1-Input'!$C$12,'1-Input'!$B$12,0))+X240*(1-'P-Parametri'!$B$6*W240))*(1+ROUND('3-Liquidita'!$F$7,4)))</f>
        <v>0</v>
      </c>
      <c r="Z240" s="18">
        <f>IF($A240&gt;'1-Input'!$B$26,AB239,(AB239-X240)*(1+'5-Roberta'!$C$4))</f>
        <v>374271.01567798649</v>
      </c>
      <c r="AA240" s="18">
        <f>IF($A240&gt;'1-Input'!$B$26,Y240,Y240-'P-Parametri'!$B$8*(Z240+Y240)+MIN(MAX(Z240,0),'P-Parametri'!$B$8*(Z240+Y240)))</f>
        <v>0</v>
      </c>
      <c r="AB240" s="18">
        <f>IF($A240&gt;'1-Input'!$B$26,Z240,Z240-MIN(MAX(Z240,0),'P-Parametri'!$B$8*(Z240+Y240)))</f>
        <v>373522.47364663053</v>
      </c>
      <c r="AC240" s="18">
        <f>IF($A240&gt;'1-Input'!$B$26,AC239,AC239-X240*(1-W240))</f>
        <v>241357.55171624955</v>
      </c>
      <c r="AD240" s="11">
        <f>IF($A240&gt;'1-Input'!$B$26,0,IF(AI239&lt;=0,0,MAX(0,(AI239-AJ239)/AI239)))</f>
        <v>0.33578004212427504</v>
      </c>
      <c r="AE240" s="18">
        <f>IF($A240&gt;'1-Input'!$B$26,0,(MAX(0,AD231-IF($A240&gt;='1-Input'!$C$12,'1-Input'!$B$12,0))-MIN(MAX(AH239,0),MAX(0,AD231-IF($A240&gt;='1-Input'!$C$12,'1-Input'!$B$12,0))))*(1/(1-'P-Parametri'!$B$6*AD240))+MIN(MAX(0,AI239-(MAX(0,AD231-IF($A240&gt;='1-Input'!$C$12,'1-Input'!$B$12,0))-MIN(MAX(AH239,0),MAX(0,AD231-IF($A240&gt;='1-Input'!$C$12,'1-Input'!$B$12,0))))*(1/(1-'P-Parametri'!$B$6*AD240))),MAX(0,0*AD231-(AH239-MIN(MAX(AH239,0),MAX(0,AD231-IF($A240&gt;='1-Input'!$C$12,'1-Input'!$B$12,0)))))*(1/(1-'P-Parametri'!$B$6*AD240))))</f>
        <v>20648.192279008341</v>
      </c>
      <c r="AF240" s="18">
        <f>IF($A240&gt;'1-Input'!$B$26,AH239,(AH239-MAX(0,AD231-IF($A240&gt;='1-Input'!$C$12,'1-Input'!$B$12,0))+AE240*(1-'P-Parametri'!$B$6*AD240))*(1+ROUND('3-Liquidita'!$F$7,4)))</f>
        <v>-3.6608980735763906E-12</v>
      </c>
      <c r="AG240" s="18">
        <f>IF($A240&gt;'1-Input'!$B$26,AI239,(AI239-AE240)*(1+'5-Roberta'!$C$4))</f>
        <v>374213.70289072272</v>
      </c>
      <c r="AH240" s="18">
        <f>IF($A240&gt;'1-Input'!$B$26,AF240,AF240-'P-Parametri'!$B$8*(AG240+AF240)+MIN(MAX(AG240,0),'P-Parametri'!$B$8*(AG240+AF240)))</f>
        <v>-3.637978807091713E-12</v>
      </c>
      <c r="AI240" s="18">
        <f>IF($A240&gt;'1-Input'!$B$26,AG240,AG240-MIN(MAX(AG240,0),'P-Parametri'!$B$8*(AG240+AF240)))</f>
        <v>373465.27548494126</v>
      </c>
      <c r="AJ240" s="18">
        <f>IF($A240&gt;'1-Input'!$B$26,AJ239,AJ239-AE240*(1-AD240))</f>
        <v>241320.59220446108</v>
      </c>
      <c r="AK240" s="11">
        <f>IF($A240&gt;'1-Input'!$B$26,0,IF(AP239&lt;=0,0,MAX(0,(AP239-AQ239)/AP239)))</f>
        <v>0.33578004212427465</v>
      </c>
      <c r="AL240" s="18">
        <f>IF($A240&gt;'1-Input'!$B$26,0,(MAX(0,AK231-IF($A240&gt;='1-Input'!$C$12,'1-Input'!$B$12,0))-MIN(MAX(AO239,0),MAX(0,AK231-IF($A240&gt;='1-Input'!$C$12,'1-Input'!$B$12,0))))*(1/(1-'P-Parametri'!$B$6*AK240))+MIN(MAX(0,AP239-(MAX(0,AK231-IF($A240&gt;='1-Input'!$C$12,'1-Input'!$B$12,0))-MIN(MAX(AO239,0),MAX(0,AK231-IF($A240&gt;='1-Input'!$C$12,'1-Input'!$B$12,0))))*(1/(1-'P-Parametri'!$B$6*AK240))),MAX(0,0*AK231-(AO239-MIN(MAX(AO239,0),MAX(0,AK231-IF($A240&gt;='1-Input'!$C$12,'1-Input'!$B$12,0)))))*(1/(1-'P-Parametri'!$B$6*AK240))))</f>
        <v>20647.038175305526</v>
      </c>
      <c r="AM240" s="18">
        <f>IF($A240&gt;'1-Input'!$B$26,AO239,(AO239-MAX(0,AK231-IF($A240&gt;='1-Input'!$C$12,'1-Input'!$B$12,0))+AL240*(1-'P-Parametri'!$B$6*AK240))*(1+ROUND('3-Liquidita'!$F$7,4)))</f>
        <v>0</v>
      </c>
      <c r="AN240" s="18">
        <f>IF($A240&gt;'1-Input'!$B$26,AP239,(AP239-AL240)*(1+'5-Roberta'!$C$4))</f>
        <v>374222.60251060949</v>
      </c>
      <c r="AO240" s="18">
        <f>IF($A240&gt;'1-Input'!$B$26,AM240,AM240-'P-Parametri'!$B$8*(AN240+AM240)+MIN(MAX(AN240,0),'P-Parametri'!$B$8*(AN240+AM240)))</f>
        <v>0</v>
      </c>
      <c r="AP240" s="18">
        <f>IF($A240&gt;'1-Input'!$B$26,AN240,AN240-MIN(MAX(AN240,0),'P-Parametri'!$B$8*(AN240+AM240)))</f>
        <v>373474.15730558825</v>
      </c>
      <c r="AQ240" s="18">
        <f>IF($A240&gt;'1-Input'!$B$26,AQ239,AQ239-AL240*(1-AK240))</f>
        <v>241326.33133567119</v>
      </c>
    </row>
    <row r="241" spans="1:43">
      <c r="A241" s="10">
        <f>8</f>
        <v>8</v>
      </c>
      <c r="B241" s="11">
        <f>IF($A241&gt;'1-Input'!$B$26,0,IF(G240&lt;=0,0,MAX(0,(G240-H240)/G240)))</f>
        <v>0.35383392233425559</v>
      </c>
      <c r="C241" s="18">
        <f>IF($A241&gt;'1-Input'!$B$26,0,(MAX(0,B231-IF($A241&gt;='1-Input'!$C$12,'1-Input'!$B$12,0))-MIN(MAX(F240,0),MAX(0,B231-IF($A241&gt;='1-Input'!$C$12,'1-Input'!$B$12,0))))*(1/(1-'P-Parametri'!$B$6*B241))+MIN(MAX(0,G240-(MAX(0,B231-IF($A241&gt;='1-Input'!$C$12,'1-Input'!$B$12,0))-MIN(MAX(F240,0),MAX(0,B231-IF($A241&gt;='1-Input'!$C$12,'1-Input'!$B$12,0))))*(1/(1-'P-Parametri'!$B$6*B241))),MAX(0,0*B231-(F240-MIN(MAX(F240,0),MAX(0,B231-IF($A241&gt;='1-Input'!$C$12,'1-Input'!$B$12,0)))))*(1/(1-'P-Parametri'!$B$6*B241))))</f>
        <v>18371.141950272082</v>
      </c>
      <c r="D241" s="18">
        <f>IF($A241&gt;'1-Input'!$B$26,F240,(F240-MAX(0,B231-IF($A241&gt;='1-Input'!$C$12,'1-Input'!$B$12,0))+C241*(1-'P-Parametri'!$B$6*B241))*(1+ROUND('3-Liquidita'!$F$7,4)))</f>
        <v>0</v>
      </c>
      <c r="E241" s="18">
        <f>IF($A241&gt;'1-Input'!$B$26,G240,(G240-C241)*(1+'5-Roberta'!$C$4))</f>
        <v>384545.47537338338</v>
      </c>
      <c r="F241" s="18">
        <f>IF($A241&gt;'1-Input'!$B$26,D241,D241-'P-Parametri'!$B$8*(E241+D241)+MIN(MAX(E241,0),'P-Parametri'!$B$8*(E241+D241)))</f>
        <v>0</v>
      </c>
      <c r="G241" s="18">
        <f>IF($A241&gt;'1-Input'!$B$26,E241,E241-MIN(MAX(E241,0),'P-Parametri'!$B$8*(E241+D241)))</f>
        <v>383776.38442263659</v>
      </c>
      <c r="H241" s="18">
        <f>IF($A241&gt;'1-Input'!$B$26,H240,H240-C241*(1-B241))</f>
        <v>241242.95291857113</v>
      </c>
      <c r="I241" s="11">
        <f>IF($A241&gt;'1-Input'!$B$26,0,IF(N240&lt;=0,0,MAX(0,(N240-O240)/N240)))</f>
        <v>0.35383392233425581</v>
      </c>
      <c r="J241" s="18">
        <f>IF($A241&gt;'1-Input'!$B$26,0,(MAX(0,I231-IF($A241&gt;='1-Input'!$C$12,'1-Input'!$B$12,0))-MIN(MAX(M240,0),MAX(0,I231-IF($A241&gt;='1-Input'!$C$12,'1-Input'!$B$12,0))))*(1/(1-'P-Parametri'!$B$6*I241))+MIN(MAX(0,N240-(MAX(0,I231-IF($A241&gt;='1-Input'!$C$12,'1-Input'!$B$12,0))-MIN(MAX(M240,0),MAX(0,I231-IF($A241&gt;='1-Input'!$C$12,'1-Input'!$B$12,0))))*(1/(1-'P-Parametri'!$B$6*I241))),MAX(0,0*I231-(M240-MIN(MAX(M240,0),MAX(0,I231-IF($A241&gt;='1-Input'!$C$12,'1-Input'!$B$12,0)))))*(1/(1-'P-Parametri'!$B$6*I241))))</f>
        <v>24172.555197726433</v>
      </c>
      <c r="K241" s="18">
        <f>IF($A241&gt;'1-Input'!$B$26,M240,(M240-MAX(0,I231-IF($A241&gt;='1-Input'!$C$12,'1-Input'!$B$12,0))+J241*(1-'P-Parametri'!$B$6*I241))*(1+ROUND('3-Liquidita'!$F$7,4)))</f>
        <v>-3.6608980735763906E-12</v>
      </c>
      <c r="L241" s="18">
        <f>IF($A241&gt;'1-Input'!$B$26,N240,(N240-J241)*(1+'5-Roberta'!$C$4))</f>
        <v>332820.25675716711</v>
      </c>
      <c r="M241" s="18">
        <f>IF($A241&gt;'1-Input'!$B$26,K241,K241-'P-Parametri'!$B$8*(L241+K241)+MIN(MAX(L241,0),'P-Parametri'!$B$8*(L241+K241)))</f>
        <v>-3.637978807091713E-12</v>
      </c>
      <c r="N241" s="18">
        <f>IF($A241&gt;'1-Input'!$B$26,L241,L241-MIN(MAX(L241,0),'P-Parametri'!$B$8*(L241+K241)))</f>
        <v>332154.61624365277</v>
      </c>
      <c r="O241" s="18">
        <f>IF($A241&gt;'1-Input'!$B$26,O240,O240-J241*(1-I241))</f>
        <v>208793.35910338306</v>
      </c>
      <c r="P241" s="11">
        <f>IF($A241&gt;'1-Input'!$B$26,0,IF(U240&lt;=0,0,MAX(0,(U240-V240)/U240)))</f>
        <v>0.35383392233425565</v>
      </c>
      <c r="Q241" s="18">
        <f>IF($A241&gt;'1-Input'!$B$26,0,(MAX(0,P231-IF($A241&gt;='1-Input'!$C$12,'1-Input'!$B$12,0))-MIN(MAX(T240,0),MAX(0,P231-IF($A241&gt;='1-Input'!$C$12,'1-Input'!$B$12,0))))*(1/(1-'P-Parametri'!$B$6*P241))+MIN(MAX(0,U240-(MAX(0,P231-IF($A241&gt;='1-Input'!$C$12,'1-Input'!$B$12,0))-MIN(MAX(T240,0),MAX(0,P231-IF($A241&gt;='1-Input'!$C$12,'1-Input'!$B$12,0))))*(1/(1-'P-Parametri'!$B$6*P241))),MAX(0,0*P231-(T240-MIN(MAX(T240,0),MAX(0,P231-IF($A241&gt;='1-Input'!$C$12,'1-Input'!$B$12,0)))))*(1/(1-'P-Parametri'!$B$6*P241))))</f>
        <v>21029.70564511426</v>
      </c>
      <c r="R241" s="18">
        <f>IF($A241&gt;'1-Input'!$B$26,T240,(T240-MAX(0,P231-IF($A241&gt;='1-Input'!$C$12,'1-Input'!$B$12,0))+Q241*(1-'P-Parametri'!$B$6*P241))*(1+ROUND('3-Liquidita'!$F$7,4)))</f>
        <v>0</v>
      </c>
      <c r="S241" s="18">
        <f>IF($A241&gt;'1-Input'!$B$26,U240,(U240-Q241)*(1+'5-Roberta'!$C$4))</f>
        <v>360841.80482704035</v>
      </c>
      <c r="T241" s="18">
        <f>IF($A241&gt;'1-Input'!$B$26,R241,R241-'P-Parametri'!$B$8*(S241+R241)+MIN(MAX(S241,0),'P-Parametri'!$B$8*(S241+R241)))</f>
        <v>0</v>
      </c>
      <c r="U241" s="18">
        <f>IF($A241&gt;'1-Input'!$B$26,S241,S241-MIN(MAX(S241,0),'P-Parametri'!$B$8*(S241+R241)))</f>
        <v>360120.12121738627</v>
      </c>
      <c r="V241" s="18">
        <f>IF($A241&gt;'1-Input'!$B$26,V240,V240-Q241*(1-P241))</f>
        <v>226372.55697370553</v>
      </c>
      <c r="W241" s="11">
        <f>IF($A241&gt;'1-Input'!$B$26,0,IF(AB240&lt;=0,0,MAX(0,(AB240-AC240)/AB240)))</f>
        <v>0.35383392233425581</v>
      </c>
      <c r="X241" s="18">
        <f>IF($A241&gt;'1-Input'!$B$26,0,(MAX(0,W231-IF($A241&gt;='1-Input'!$C$12,'1-Input'!$B$12,0))-MIN(MAX(AA240,0),MAX(0,W231-IF($A241&gt;='1-Input'!$C$12,'1-Input'!$B$12,0))))*(1/(1-'P-Parametri'!$B$6*W241))+MIN(MAX(0,AB240-(MAX(0,W231-IF($A241&gt;='1-Input'!$C$12,'1-Input'!$B$12,0))-MIN(MAX(AA240,0),MAX(0,W231-IF($A241&gt;='1-Input'!$C$12,'1-Input'!$B$12,0))))*(1/(1-'P-Parametri'!$B$6*W241))),MAX(0,0*W231-(AA240-MIN(MAX(AA240,0),MAX(0,W231-IF($A241&gt;='1-Input'!$C$12,'1-Input'!$B$12,0)))))*(1/(1-'P-Parametri'!$B$6*W241))))</f>
        <v>20747.464323285232</v>
      </c>
      <c r="Y241" s="18">
        <f>IF($A241&gt;'1-Input'!$B$26,AA240,(AA240-MAX(0,W231-IF($A241&gt;='1-Input'!$C$12,'1-Input'!$B$12,0))+X241*(1-'P-Parametri'!$B$6*W241))*(1+ROUND('3-Liquidita'!$F$7,4)))</f>
        <v>-3.6608980735763906E-12</v>
      </c>
      <c r="Z241" s="18">
        <f>IF($A241&gt;'1-Input'!$B$26,AB240,(AB240-X241)*(1+'5-Roberta'!$C$4))</f>
        <v>363358.25960304571</v>
      </c>
      <c r="AA241" s="18">
        <f>IF($A241&gt;'1-Input'!$B$26,Y241,Y241-'P-Parametri'!$B$8*(Z241+Y241)+MIN(MAX(Z241,0),'P-Parametri'!$B$8*(Z241+Y241)))</f>
        <v>-3.637978807091713E-12</v>
      </c>
      <c r="AB241" s="18">
        <f>IF($A241&gt;'1-Input'!$B$26,Z241,Z241-MIN(MAX(Z241,0),'P-Parametri'!$B$8*(Z241+Y241)))</f>
        <v>362631.54308383964</v>
      </c>
      <c r="AC241" s="18">
        <f>IF($A241&gt;'1-Input'!$B$26,AC240,AC240-X241*(1-W241))</f>
        <v>227951.24407296238</v>
      </c>
      <c r="AD241" s="11">
        <f>IF($A241&gt;'1-Input'!$B$26,0,IF(AI240&lt;=0,0,MAX(0,(AI240-AJ240)/AI240)))</f>
        <v>0.35383392233425587</v>
      </c>
      <c r="AE241" s="18">
        <f>IF($A241&gt;'1-Input'!$B$26,0,(MAX(0,AD231-IF($A241&gt;='1-Input'!$C$12,'1-Input'!$B$12,0))-MIN(MAX(AH240,0),MAX(0,AD231-IF($A241&gt;='1-Input'!$C$12,'1-Input'!$B$12,0))))*(1/(1-'P-Parametri'!$B$6*AD241))+MIN(MAX(0,AI240-(MAX(0,AD231-IF($A241&gt;='1-Input'!$C$12,'1-Input'!$B$12,0))-MIN(MAX(AH240,0),MAX(0,AD231-IF($A241&gt;='1-Input'!$C$12,'1-Input'!$B$12,0))))*(1/(1-'P-Parametri'!$B$6*AD241))),MAX(0,0*AD231-(AH240-MIN(MAX(AH240,0),MAX(0,AD231-IF($A241&gt;='1-Input'!$C$12,'1-Input'!$B$12,0)))))*(1/(1-'P-Parametri'!$B$6*AD241))))</f>
        <v>20754.935074081415</v>
      </c>
      <c r="AF241" s="18">
        <f>IF($A241&gt;'1-Input'!$B$26,AH240,(AH240-MAX(0,AD231-IF($A241&gt;='1-Input'!$C$12,'1-Input'!$B$12,0))+AE241*(1-'P-Parametri'!$B$6*AD241))*(1+ROUND('3-Liquidita'!$F$7,4)))</f>
        <v>0</v>
      </c>
      <c r="AG241" s="18">
        <f>IF($A241&gt;'1-Input'!$B$26,AI240,(AI240-AE241)*(1+'5-Roberta'!$C$4))</f>
        <v>363291.65062318568</v>
      </c>
      <c r="AH241" s="18">
        <f>IF($A241&gt;'1-Input'!$B$26,AF241,AF241-'P-Parametri'!$B$8*(AG241+AF241)+MIN(MAX(AG241,0),'P-Parametri'!$B$8*(AG241+AF241)))</f>
        <v>0</v>
      </c>
      <c r="AI241" s="18">
        <f>IF($A241&gt;'1-Input'!$B$26,AG241,AG241-MIN(MAX(AG241,0),'P-Parametri'!$B$8*(AG241+AF241)))</f>
        <v>362565.06732193928</v>
      </c>
      <c r="AJ241" s="18">
        <f>IF($A241&gt;'1-Input'!$B$26,AJ240,AJ240-AE241*(1-AD241))</f>
        <v>227909.4572154347</v>
      </c>
      <c r="AK241" s="11">
        <f>IF($A241&gt;'1-Input'!$B$26,0,IF(AP240&lt;=0,0,MAX(0,(AP240-AQ240)/AP240)))</f>
        <v>0.35383392233425559</v>
      </c>
      <c r="AL241" s="18">
        <f>IF($A241&gt;'1-Input'!$B$26,0,(MAX(0,AK231-IF($A241&gt;='1-Input'!$C$12,'1-Input'!$B$12,0))-MIN(MAX(AO240,0),MAX(0,AK231-IF($A241&gt;='1-Input'!$C$12,'1-Input'!$B$12,0))))*(1/(1-'P-Parametri'!$B$6*AK241))+MIN(MAX(0,AP240-(MAX(0,AK231-IF($A241&gt;='1-Input'!$C$12,'1-Input'!$B$12,0))-MIN(MAX(AO240,0),MAX(0,AK231-IF($A241&gt;='1-Input'!$C$12,'1-Input'!$B$12,0))))*(1/(1-'P-Parametri'!$B$6*AK241))),MAX(0,0*AK231-(AO240-MIN(MAX(AO240,0),MAX(0,AK231-IF($A241&gt;='1-Input'!$C$12,'1-Input'!$B$12,0)))))*(1/(1-'P-Parametri'!$B$6*AK241))))</f>
        <v>20753.775004129664</v>
      </c>
      <c r="AM241" s="18">
        <f>IF($A241&gt;'1-Input'!$B$26,AO240,(AO240-MAX(0,AK231-IF($A241&gt;='1-Input'!$C$12,'1-Input'!$B$12,0))+AL241*(1-'P-Parametri'!$B$6*AK241))*(1+ROUND('3-Liquidita'!$F$7,4)))</f>
        <v>0</v>
      </c>
      <c r="AN241" s="18">
        <f>IF($A241&gt;'1-Input'!$B$26,AP240,(AP240-AL241)*(1+'5-Roberta'!$C$4))</f>
        <v>363301.99377050233</v>
      </c>
      <c r="AO241" s="18">
        <f>IF($A241&gt;'1-Input'!$B$26,AM241,AM241-'P-Parametri'!$B$8*(AN241+AM241)+MIN(MAX(AN241,0),'P-Parametri'!$B$8*(AN241+AM241)))</f>
        <v>0</v>
      </c>
      <c r="AP241" s="18">
        <f>IF($A241&gt;'1-Input'!$B$26,AN241,AN241-MIN(MAX(AN241,0),'P-Parametri'!$B$8*(AN241+AM241)))</f>
        <v>362575.38978296134</v>
      </c>
      <c r="AQ241" s="18">
        <f>IF($A241&gt;'1-Input'!$B$26,AQ240,AQ240-AL241*(1-AK241))</f>
        <v>227915.94594449535</v>
      </c>
    </row>
    <row r="242" spans="1:43">
      <c r="A242" s="10">
        <f>9</f>
        <v>9</v>
      </c>
      <c r="B242" s="11">
        <f>IF($A242&gt;'1-Input'!$B$26,0,IF(G241&lt;=0,0,MAX(0,(G241-H241)/G241)))</f>
        <v>0.37139708770381102</v>
      </c>
      <c r="C242" s="18">
        <f>IF($A242&gt;'1-Input'!$B$26,0,(MAX(0,B231-IF($A242&gt;='1-Input'!$C$12,'1-Input'!$B$12,0))-MIN(MAX(F241,0),MAX(0,B231-IF($A242&gt;='1-Input'!$C$12,'1-Input'!$B$12,0))))*(1/(1-'P-Parametri'!$B$6*B242))+MIN(MAX(0,G241-(MAX(0,B231-IF($A242&gt;='1-Input'!$C$12,'1-Input'!$B$12,0))-MIN(MAX(F241,0),MAX(0,B231-IF($A242&gt;='1-Input'!$C$12,'1-Input'!$B$12,0))))*(1/(1-'P-Parametri'!$B$6*B242))),MAX(0,0*B231-(F241-MIN(MAX(F241,0),MAX(0,B231-IF($A242&gt;='1-Input'!$C$12,'1-Input'!$B$12,0)))))*(1/(1-'P-Parametri'!$B$6*B242))))</f>
        <v>18463.998926034648</v>
      </c>
      <c r="D242" s="18">
        <f>IF($A242&gt;'1-Input'!$B$26,F241,(F241-MAX(0,B231-IF($A242&gt;='1-Input'!$C$12,'1-Input'!$B$12,0))+C242*(1-'P-Parametri'!$B$6*B242))*(1+ROUND('3-Liquidita'!$F$7,4)))</f>
        <v>0</v>
      </c>
      <c r="E242" s="18">
        <f>IF($A242&gt;'1-Input'!$B$26,G241,(G241-C242)*(1+'5-Roberta'!$C$4))</f>
        <v>376271.75706149999</v>
      </c>
      <c r="F242" s="18">
        <f>IF($A242&gt;'1-Input'!$B$26,D242,D242-'P-Parametri'!$B$8*(E242+D242)+MIN(MAX(E242,0),'P-Parametri'!$B$8*(E242+D242)))</f>
        <v>0</v>
      </c>
      <c r="G242" s="18">
        <f>IF($A242&gt;'1-Input'!$B$26,E242,E242-MIN(MAX(E242,0),'P-Parametri'!$B$8*(E242+D242)))</f>
        <v>375519.21354737697</v>
      </c>
      <c r="H242" s="18">
        <f>IF($A242&gt;'1-Input'!$B$26,H241,H241-C242*(1-B242))</f>
        <v>229636.42942103205</v>
      </c>
      <c r="I242" s="11">
        <f>IF($A242&gt;'1-Input'!$B$26,0,IF(N241&lt;=0,0,MAX(0,(N241-O241)/N241)))</f>
        <v>0.37139708770381136</v>
      </c>
      <c r="J242" s="18">
        <f>IF($A242&gt;'1-Input'!$B$26,0,(MAX(0,I231-IF($A242&gt;='1-Input'!$C$12,'1-Input'!$B$12,0))-MIN(MAX(M241,0),MAX(0,I231-IF($A242&gt;='1-Input'!$C$12,'1-Input'!$B$12,0))))*(1/(1-'P-Parametri'!$B$6*I242))+MIN(MAX(0,N241-(MAX(0,I231-IF($A242&gt;='1-Input'!$C$12,'1-Input'!$B$12,0))-MIN(MAX(M241,0),MAX(0,I231-IF($A242&gt;='1-Input'!$C$12,'1-Input'!$B$12,0))))*(1/(1-'P-Parametri'!$B$6*I242))),MAX(0,0*I231-(M241-MIN(MAX(M241,0),MAX(0,I231-IF($A242&gt;='1-Input'!$C$12,'1-Input'!$B$12,0)))))*(1/(1-'P-Parametri'!$B$6*I242))))</f>
        <v>24294.735428992972</v>
      </c>
      <c r="K242" s="18">
        <f>IF($A242&gt;'1-Input'!$B$26,M241,(M241-MAX(0,I231-IF($A242&gt;='1-Input'!$C$12,'1-Input'!$B$12,0))+J242*(1-'P-Parametri'!$B$6*I242))*(1+ROUND('3-Liquidita'!$F$7,4)))</f>
        <v>0</v>
      </c>
      <c r="L242" s="18">
        <f>IF($A242&gt;'1-Input'!$B$26,N241,(N241-J242)*(1+'5-Roberta'!$C$4))</f>
        <v>317095.67723909963</v>
      </c>
      <c r="M242" s="18">
        <f>IF($A242&gt;'1-Input'!$B$26,K242,K242-'P-Parametri'!$B$8*(L242+K242)+MIN(MAX(L242,0),'P-Parametri'!$B$8*(L242+K242)))</f>
        <v>0</v>
      </c>
      <c r="N242" s="18">
        <f>IF($A242&gt;'1-Input'!$B$26,L242,L242-MIN(MAX(L242,0),'P-Parametri'!$B$8*(L242+K242)))</f>
        <v>316461.48588462145</v>
      </c>
      <c r="O242" s="18">
        <f>IF($A242&gt;'1-Input'!$B$26,O241,O241-J242*(1-I242))</f>
        <v>193521.61765925269</v>
      </c>
      <c r="P242" s="11">
        <f>IF($A242&gt;'1-Input'!$B$26,0,IF(U241&lt;=0,0,MAX(0,(U241-V241)/U241)))</f>
        <v>0.37139708770381125</v>
      </c>
      <c r="Q242" s="18">
        <f>IF($A242&gt;'1-Input'!$B$26,0,(MAX(0,P231-IF($A242&gt;='1-Input'!$C$12,'1-Input'!$B$12,0))-MIN(MAX(T241,0),MAX(0,P231-IF($A242&gt;='1-Input'!$C$12,'1-Input'!$B$12,0))))*(1/(1-'P-Parametri'!$B$6*P242))+MIN(MAX(0,U241-(MAX(0,P231-IF($A242&gt;='1-Input'!$C$12,'1-Input'!$B$12,0))-MIN(MAX(T241,0),MAX(0,P231-IF($A242&gt;='1-Input'!$C$12,'1-Input'!$B$12,0))))*(1/(1-'P-Parametri'!$B$6*P242))),MAX(0,0*P231-(T241-MIN(MAX(T241,0),MAX(0,P231-IF($A242&gt;='1-Input'!$C$12,'1-Input'!$B$12,0)))))*(1/(1-'P-Parametri'!$B$6*P242))))</f>
        <v>21136.000336683683</v>
      </c>
      <c r="R242" s="18">
        <f>IF($A242&gt;'1-Input'!$B$26,T241,(T241-MAX(0,P231-IF($A242&gt;='1-Input'!$C$12,'1-Input'!$B$12,0))+Q242*(1-'P-Parametri'!$B$6*P242))*(1+ROUND('3-Liquidita'!$F$7,4)))</f>
        <v>0</v>
      </c>
      <c r="S242" s="18">
        <f>IF($A242&gt;'1-Input'!$B$26,U241,(U241-Q242)*(1+'5-Roberta'!$C$4))</f>
        <v>349153.64450712368</v>
      </c>
      <c r="T242" s="18">
        <f>IF($A242&gt;'1-Input'!$B$26,R242,R242-'P-Parametri'!$B$8*(S242+R242)+MIN(MAX(S242,0),'P-Parametri'!$B$8*(S242+R242)))</f>
        <v>0</v>
      </c>
      <c r="U242" s="18">
        <f>IF($A242&gt;'1-Input'!$B$26,S242,S242-MIN(MAX(S242,0),'P-Parametri'!$B$8*(S242+R242)))</f>
        <v>348455.33721810946</v>
      </c>
      <c r="V242" s="18">
        <f>IF($A242&gt;'1-Input'!$B$26,V241,V241-Q242*(1-P242))</f>
        <v>213086.40560777293</v>
      </c>
      <c r="W242" s="11">
        <f>IF($A242&gt;'1-Input'!$B$26,0,IF(AB241&lt;=0,0,MAX(0,(AB241-AC241)/AB241)))</f>
        <v>0.37139708770381141</v>
      </c>
      <c r="X242" s="18">
        <f>IF($A242&gt;'1-Input'!$B$26,0,(MAX(0,W231-IF($A242&gt;='1-Input'!$C$12,'1-Input'!$B$12,0))-MIN(MAX(AA241,0),MAX(0,W231-IF($A242&gt;='1-Input'!$C$12,'1-Input'!$B$12,0))))*(1/(1-'P-Parametri'!$B$6*W242))+MIN(MAX(0,AB241-(MAX(0,W231-IF($A242&gt;='1-Input'!$C$12,'1-Input'!$B$12,0))-MIN(MAX(AA241,0),MAX(0,W231-IF($A242&gt;='1-Input'!$C$12,'1-Input'!$B$12,0))))*(1/(1-'P-Parametri'!$B$6*W242))),MAX(0,0*W231-(AA241-MIN(MAX(AA241,0),MAX(0,W231-IF($A242&gt;='1-Input'!$C$12,'1-Input'!$B$12,0)))))*(1/(1-'P-Parametri'!$B$6*W242))))</f>
        <v>20852.332425497767</v>
      </c>
      <c r="Y242" s="18">
        <f>IF($A242&gt;'1-Input'!$B$26,AA241,(AA241-MAX(0,W231-IF($A242&gt;='1-Input'!$C$12,'1-Input'!$B$12,0))+X242*(1-'P-Parametri'!$B$6*W242))*(1+ROUND('3-Liquidita'!$F$7,4)))</f>
        <v>0</v>
      </c>
      <c r="Z242" s="18">
        <f>IF($A242&gt;'1-Input'!$B$26,AB241,(AB241-X242)*(1+'5-Roberta'!$C$4))</f>
        <v>352032.58697809215</v>
      </c>
      <c r="AA242" s="18">
        <f>IF($A242&gt;'1-Input'!$B$26,Y242,Y242-'P-Parametri'!$B$8*(Z242+Y242)+MIN(MAX(Z242,0),'P-Parametri'!$B$8*(Z242+Y242)))</f>
        <v>0</v>
      </c>
      <c r="AB242" s="18">
        <f>IF($A242&gt;'1-Input'!$B$26,Z242,Z242-MIN(MAX(Z242,0),'P-Parametri'!$B$8*(Z242+Y242)))</f>
        <v>351328.52180413599</v>
      </c>
      <c r="AC242" s="18">
        <f>IF($A242&gt;'1-Input'!$B$26,AC241,AC241-X242*(1-W242))</f>
        <v>214843.40718212625</v>
      </c>
      <c r="AD242" s="11">
        <f>IF($A242&gt;'1-Input'!$B$26,0,IF(AI241&lt;=0,0,MAX(0,(AI241-AJ241)/AI241)))</f>
        <v>0.37139708770381141</v>
      </c>
      <c r="AE242" s="18">
        <f>IF($A242&gt;'1-Input'!$B$26,0,(MAX(0,AD231-IF($A242&gt;='1-Input'!$C$12,'1-Input'!$B$12,0))-MIN(MAX(AH241,0),MAX(0,AD231-IF($A242&gt;='1-Input'!$C$12,'1-Input'!$B$12,0))))*(1/(1-'P-Parametri'!$B$6*AD242))+MIN(MAX(0,AI241-(MAX(0,AD231-IF($A242&gt;='1-Input'!$C$12,'1-Input'!$B$12,0))-MIN(MAX(AH241,0),MAX(0,AD231-IF($A242&gt;='1-Input'!$C$12,'1-Input'!$B$12,0))))*(1/(1-'P-Parametri'!$B$6*AD242))),MAX(0,0*AD231-(AH241-MIN(MAX(AH241,0),MAX(0,AD231-IF($A242&gt;='1-Input'!$C$12,'1-Input'!$B$12,0)))))*(1/(1-'P-Parametri'!$B$6*AD242))))</f>
        <v>20859.840937219607</v>
      </c>
      <c r="AF242" s="18">
        <f>IF($A242&gt;'1-Input'!$B$26,AH241,(AH241-MAX(0,AD231-IF($A242&gt;='1-Input'!$C$12,'1-Input'!$B$12,0))+AE242*(1-'P-Parametri'!$B$6*AD242))*(1+ROUND('3-Liquidita'!$F$7,4)))</f>
        <v>0</v>
      </c>
      <c r="AG242" s="18">
        <f>IF($A242&gt;'1-Input'!$B$26,AI241,(AI241-AE242)*(1+'5-Roberta'!$C$4))</f>
        <v>351956.38317626127</v>
      </c>
      <c r="AH242" s="18">
        <f>IF($A242&gt;'1-Input'!$B$26,AF242,AF242-'P-Parametri'!$B$8*(AG242+AF242)+MIN(MAX(AG242,0),'P-Parametri'!$B$8*(AG242+AF242)))</f>
        <v>0</v>
      </c>
      <c r="AI242" s="18">
        <f>IF($A242&gt;'1-Input'!$B$26,AG242,AG242-MIN(MAX(AG242,0),'P-Parametri'!$B$8*(AG242+AF242)))</f>
        <v>351252.47040990874</v>
      </c>
      <c r="AJ242" s="18">
        <f>IF($A242&gt;'1-Input'!$B$26,AJ241,AJ241-AE242*(1-AD242))</f>
        <v>214796.90045226319</v>
      </c>
      <c r="AK242" s="11">
        <f>IF($A242&gt;'1-Input'!$B$26,0,IF(AP241&lt;=0,0,MAX(0,(AP241-AQ241)/AP241)))</f>
        <v>0.37139708770381108</v>
      </c>
      <c r="AL242" s="18">
        <f>IF($A242&gt;'1-Input'!$B$26,0,(MAX(0,AK231-IF($A242&gt;='1-Input'!$C$12,'1-Input'!$B$12,0))-MIN(MAX(AO241,0),MAX(0,AK231-IF($A242&gt;='1-Input'!$C$12,'1-Input'!$B$12,0))))*(1/(1-'P-Parametri'!$B$6*AK242))+MIN(MAX(0,AP241-(MAX(0,AK231-IF($A242&gt;='1-Input'!$C$12,'1-Input'!$B$12,0))-MIN(MAX(AO241,0),MAX(0,AK231-IF($A242&gt;='1-Input'!$C$12,'1-Input'!$B$12,0))))*(1/(1-'P-Parametri'!$B$6*AK242))),MAX(0,0*AK231-(AO241-MIN(MAX(AO241,0),MAX(0,AK231-IF($A242&gt;='1-Input'!$C$12,'1-Input'!$B$12,0)))))*(1/(1-'P-Parametri'!$B$6*AK242))))</f>
        <v>20858.675003691842</v>
      </c>
      <c r="AM242" s="18">
        <f>IF($A242&gt;'1-Input'!$B$26,AO241,(AO241-MAX(0,AK231-IF($A242&gt;='1-Input'!$C$12,'1-Input'!$B$12,0))+AL242*(1-'P-Parametri'!$B$6*AK242))*(1+ROUND('3-Liquidita'!$F$7,4)))</f>
        <v>0</v>
      </c>
      <c r="AN242" s="18">
        <f>IF($A242&gt;'1-Input'!$B$26,AP241,(AP241-AL242)*(1+'5-Roberta'!$C$4))</f>
        <v>351968.21622264758</v>
      </c>
      <c r="AO242" s="18">
        <f>IF($A242&gt;'1-Input'!$B$26,AM242,AM242-'P-Parametri'!$B$8*(AN242+AM242)+MIN(MAX(AN242,0),'P-Parametri'!$B$8*(AN242+AM242)))</f>
        <v>0</v>
      </c>
      <c r="AP242" s="18">
        <f>IF($A242&gt;'1-Input'!$B$26,AN242,AN242-MIN(MAX(AN242,0),'P-Parametri'!$B$8*(AN242+AM242)))</f>
        <v>351264.27979020227</v>
      </c>
      <c r="AQ242" s="18">
        <f>IF($A242&gt;'1-Input'!$B$26,AQ241,AQ241-AL242*(1-AK242))</f>
        <v>214804.12209053495</v>
      </c>
    </row>
    <row r="243" spans="1:43">
      <c r="A243" s="10">
        <f>10</f>
        <v>10</v>
      </c>
      <c r="B243" s="11">
        <f>IF($A243&gt;'1-Input'!$B$26,0,IF(G242&lt;=0,0,MAX(0,(G242-H242)/G242)))</f>
        <v>0.38848287614433819</v>
      </c>
      <c r="C243" s="18">
        <f>IF($A243&gt;'1-Input'!$B$26,0,(MAX(0,B231-IF($A243&gt;='1-Input'!$C$12,'1-Input'!$B$12,0))-MIN(MAX(F242,0),MAX(0,B231-IF($A243&gt;='1-Input'!$C$12,'1-Input'!$B$12,0))))*(1/(1-'P-Parametri'!$B$6*B243))+MIN(MAX(0,G242-(MAX(0,B231-IF($A243&gt;='1-Input'!$C$12,'1-Input'!$B$12,0))-MIN(MAX(F242,0),MAX(0,B231-IF($A243&gt;='1-Input'!$C$12,'1-Input'!$B$12,0))))*(1/(1-'P-Parametri'!$B$6*B243))),MAX(0,0*B231-(F242-MIN(MAX(F242,0),MAX(0,B231-IF($A243&gt;='1-Input'!$C$12,'1-Input'!$B$12,0)))))*(1/(1-'P-Parametri'!$B$6*B243))))</f>
        <v>18555.237213932091</v>
      </c>
      <c r="D243" s="18">
        <f>IF($A243&gt;'1-Input'!$B$26,F242,(F242-MAX(0,B231-IF($A243&gt;='1-Input'!$C$12,'1-Input'!$B$12,0))+C243*(1-'P-Parametri'!$B$6*B243))*(1+ROUND('3-Liquidita'!$F$7,4)))</f>
        <v>0</v>
      </c>
      <c r="E243" s="18">
        <f>IF($A243&gt;'1-Input'!$B$26,G242,(G242-C243)*(1+'5-Roberta'!$C$4))</f>
        <v>367672.89562344825</v>
      </c>
      <c r="F243" s="18">
        <f>IF($A243&gt;'1-Input'!$B$26,D243,D243-'P-Parametri'!$B$8*(E243+D243)+MIN(MAX(E243,0),'P-Parametri'!$B$8*(E243+D243)))</f>
        <v>0</v>
      </c>
      <c r="G243" s="18">
        <f>IF($A243&gt;'1-Input'!$B$26,E243,E243-MIN(MAX(E243,0),'P-Parametri'!$B$8*(E243+D243)))</f>
        <v>366937.54983220133</v>
      </c>
      <c r="H243" s="18">
        <f>IF($A243&gt;'1-Input'!$B$26,H242,H242-C243*(1-B243))</f>
        <v>218289.58412750874</v>
      </c>
      <c r="I243" s="11">
        <f>IF($A243&gt;'1-Input'!$B$26,0,IF(N242&lt;=0,0,MAX(0,(N242-O242)/N242)))</f>
        <v>0.38848287614433863</v>
      </c>
      <c r="J243" s="18">
        <f>IF($A243&gt;'1-Input'!$B$26,0,(MAX(0,I231-IF($A243&gt;='1-Input'!$C$12,'1-Input'!$B$12,0))-MIN(MAX(M242,0),MAX(0,I231-IF($A243&gt;='1-Input'!$C$12,'1-Input'!$B$12,0))))*(1/(1-'P-Parametri'!$B$6*I243))+MIN(MAX(0,N242-(MAX(0,I231-IF($A243&gt;='1-Input'!$C$12,'1-Input'!$B$12,0))-MIN(MAX(M242,0),MAX(0,I231-IF($A243&gt;='1-Input'!$C$12,'1-Input'!$B$12,0))))*(1/(1-'P-Parametri'!$B$6*I243))),MAX(0,0*I231-(M242-MIN(MAX(M242,0),MAX(0,I231-IF($A243&gt;='1-Input'!$C$12,'1-Input'!$B$12,0)))))*(1/(1-'P-Parametri'!$B$6*I243))))</f>
        <v>24414.785807805387</v>
      </c>
      <c r="K243" s="18">
        <f>IF($A243&gt;'1-Input'!$B$26,M242,(M242-MAX(0,I231-IF($A243&gt;='1-Input'!$C$12,'1-Input'!$B$12,0))+J243*(1-'P-Parametri'!$B$6*I243))*(1+ROUND('3-Liquidita'!$F$7,4)))</f>
        <v>0</v>
      </c>
      <c r="L243" s="18">
        <f>IF($A243&gt;'1-Input'!$B$26,N242,(N242-J243)*(1+'5-Roberta'!$C$4))</f>
        <v>300808.10107912059</v>
      </c>
      <c r="M243" s="18">
        <f>IF($A243&gt;'1-Input'!$B$26,K243,K243-'P-Parametri'!$B$8*(L243+K243)+MIN(MAX(L243,0),'P-Parametri'!$B$8*(L243+K243)))</f>
        <v>0</v>
      </c>
      <c r="N243" s="18">
        <f>IF($A243&gt;'1-Input'!$B$26,L243,L243-MIN(MAX(L243,0),'P-Parametri'!$B$8*(L243+K243)))</f>
        <v>300206.48487696238</v>
      </c>
      <c r="O243" s="18">
        <f>IF($A243&gt;'1-Input'!$B$26,O242,O242-J243*(1-I243))</f>
        <v>178591.55806251153</v>
      </c>
      <c r="P243" s="11">
        <f>IF($A243&gt;'1-Input'!$B$26,0,IF(U242&lt;=0,0,MAX(0,(U242-V242)/U242)))</f>
        <v>0.38848287614433852</v>
      </c>
      <c r="Q243" s="18">
        <f>IF($A243&gt;'1-Input'!$B$26,0,(MAX(0,P231-IF($A243&gt;='1-Input'!$C$12,'1-Input'!$B$12,0))-MIN(MAX(T242,0),MAX(0,P231-IF($A243&gt;='1-Input'!$C$12,'1-Input'!$B$12,0))))*(1/(1-'P-Parametri'!$B$6*P243))+MIN(MAX(0,U242-(MAX(0,P231-IF($A243&gt;='1-Input'!$C$12,'1-Input'!$B$12,0))-MIN(MAX(T242,0),MAX(0,P231-IF($A243&gt;='1-Input'!$C$12,'1-Input'!$B$12,0))))*(1/(1-'P-Parametri'!$B$6*P243))),MAX(0,0*P231-(T242-MIN(MAX(T242,0),MAX(0,P231-IF($A243&gt;='1-Input'!$C$12,'1-Input'!$B$12,0)))))*(1/(1-'P-Parametri'!$B$6*P243))))</f>
        <v>21240.442093393256</v>
      </c>
      <c r="R243" s="18">
        <f>IF($A243&gt;'1-Input'!$B$26,T242,(T242-MAX(0,P231-IF($A243&gt;='1-Input'!$C$12,'1-Input'!$B$12,0))+Q243*(1-'P-Parametri'!$B$6*P243))*(1+ROUND('3-Liquidita'!$F$7,4)))</f>
        <v>0</v>
      </c>
      <c r="S243" s="18">
        <f>IF($A243&gt;'1-Input'!$B$26,U242,(U242-Q243)*(1+'5-Roberta'!$C$4))</f>
        <v>337031.3419784577</v>
      </c>
      <c r="T243" s="18">
        <f>IF($A243&gt;'1-Input'!$B$26,R243,R243-'P-Parametri'!$B$8*(S243+R243)+MIN(MAX(S243,0),'P-Parametri'!$B$8*(S243+R243)))</f>
        <v>0</v>
      </c>
      <c r="U243" s="18">
        <f>IF($A243&gt;'1-Input'!$B$26,S243,S243-MIN(MAX(S243,0),'P-Parametri'!$B$8*(S243+R243)))</f>
        <v>336357.27929450077</v>
      </c>
      <c r="V243" s="18">
        <f>IF($A243&gt;'1-Input'!$B$26,V242,V242-Q243*(1-P243))</f>
        <v>200097.51154939836</v>
      </c>
      <c r="W243" s="11">
        <f>IF($A243&gt;'1-Input'!$B$26,0,IF(AB242&lt;=0,0,MAX(0,(AB242-AC242)/AB242)))</f>
        <v>0.38848287614433863</v>
      </c>
      <c r="X243" s="18">
        <f>IF($A243&gt;'1-Input'!$B$26,0,(MAX(0,W231-IF($A243&gt;='1-Input'!$C$12,'1-Input'!$B$12,0))-MIN(MAX(AA242,0),MAX(0,W231-IF($A243&gt;='1-Input'!$C$12,'1-Input'!$B$12,0))))*(1/(1-'P-Parametri'!$B$6*W243))+MIN(MAX(0,AB242-(MAX(0,W231-IF($A243&gt;='1-Input'!$C$12,'1-Input'!$B$12,0))-MIN(MAX(AA242,0),MAX(0,W231-IF($A243&gt;='1-Input'!$C$12,'1-Input'!$B$12,0))))*(1/(1-'P-Parametri'!$B$6*W243))),MAX(0,0*W231-(AA242-MIN(MAX(AA242,0),MAX(0,W231-IF($A243&gt;='1-Input'!$C$12,'1-Input'!$B$12,0)))))*(1/(1-'P-Parametri'!$B$6*W243))))</f>
        <v>20955.372461233903</v>
      </c>
      <c r="Y243" s="18">
        <f>IF($A243&gt;'1-Input'!$B$26,AA242,(AA242-MAX(0,W231-IF($A243&gt;='1-Input'!$C$12,'1-Input'!$B$12,0))+X243*(1-'P-Parametri'!$B$6*W243))*(1+ROUND('3-Liquidita'!$F$7,4)))</f>
        <v>0</v>
      </c>
      <c r="Z243" s="18">
        <f>IF($A243&gt;'1-Input'!$B$26,AB242,(AB242-X243)*(1+'5-Roberta'!$C$4))</f>
        <v>340284.34382318915</v>
      </c>
      <c r="AA243" s="18">
        <f>IF($A243&gt;'1-Input'!$B$26,Y243,Y243-'P-Parametri'!$B$8*(Z243+Y243)+MIN(MAX(Z243,0),'P-Parametri'!$B$8*(Z243+Y243)))</f>
        <v>0</v>
      </c>
      <c r="AB243" s="18">
        <f>IF($A243&gt;'1-Input'!$B$26,Z243,Z243-MIN(MAX(Z243,0),'P-Parametri'!$B$8*(Z243+Y243)))</f>
        <v>339603.77513554279</v>
      </c>
      <c r="AC243" s="18">
        <f>IF($A243&gt;'1-Input'!$B$26,AC242,AC242-X243*(1-W243))</f>
        <v>202028.83808530835</v>
      </c>
      <c r="AD243" s="11">
        <f>IF($A243&gt;'1-Input'!$B$26,0,IF(AI242&lt;=0,0,MAX(0,(AI242-AJ242)/AI242)))</f>
        <v>0.38848287614433863</v>
      </c>
      <c r="AE243" s="18">
        <f>IF($A243&gt;'1-Input'!$B$26,0,(MAX(0,AD231-IF($A243&gt;='1-Input'!$C$12,'1-Input'!$B$12,0))-MIN(MAX(AH242,0),MAX(0,AD231-IF($A243&gt;='1-Input'!$C$12,'1-Input'!$B$12,0))))*(1/(1-'P-Parametri'!$B$6*AD243))+MIN(MAX(0,AI242-(MAX(0,AD231-IF($A243&gt;='1-Input'!$C$12,'1-Input'!$B$12,0))-MIN(MAX(AH242,0),MAX(0,AD231-IF($A243&gt;='1-Input'!$C$12,'1-Input'!$B$12,0))))*(1/(1-'P-Parametri'!$B$6*AD243))),MAX(0,0*AD231-(AH242-MIN(MAX(AH242,0),MAX(0,AD231-IF($A243&gt;='1-Input'!$C$12,'1-Input'!$B$12,0)))))*(1/(1-'P-Parametri'!$B$6*AD243))))</f>
        <v>20962.9180756309</v>
      </c>
      <c r="AF243" s="18">
        <f>IF($A243&gt;'1-Input'!$B$26,AH242,(AH242-MAX(0,AD231-IF($A243&gt;='1-Input'!$C$12,'1-Input'!$B$12,0))+AE243*(1-'P-Parametri'!$B$6*AD243))*(1+ROUND('3-Liquidita'!$F$7,4)))</f>
        <v>0</v>
      </c>
      <c r="AG243" s="18">
        <f>IF($A243&gt;'1-Input'!$B$26,AI242,(AI242-AE243)*(1+'5-Roberta'!$C$4))</f>
        <v>340198.2389043062</v>
      </c>
      <c r="AH243" s="18">
        <f>IF($A243&gt;'1-Input'!$B$26,AF243,AF243-'P-Parametri'!$B$8*(AG243+AF243)+MIN(MAX(AG243,0),'P-Parametri'!$B$8*(AG243+AF243)))</f>
        <v>0</v>
      </c>
      <c r="AI243" s="18">
        <f>IF($A243&gt;'1-Input'!$B$26,AG243,AG243-MIN(MAX(AG243,0),'P-Parametri'!$B$8*(AG243+AF243)))</f>
        <v>339517.84242649761</v>
      </c>
      <c r="AJ243" s="18">
        <f>IF($A243&gt;'1-Input'!$B$26,AJ242,AJ242-AE243*(1-AD243))</f>
        <v>201977.71708303152</v>
      </c>
      <c r="AK243" s="11">
        <f>IF($A243&gt;'1-Input'!$B$26,0,IF(AP242&lt;=0,0,MAX(0,(AP242-AQ242)/AP242)))</f>
        <v>0.38848287614433824</v>
      </c>
      <c r="AL243" s="18">
        <f>IF($A243&gt;'1-Input'!$B$26,0,(MAX(0,AK231-IF($A243&gt;='1-Input'!$C$12,'1-Input'!$B$12,0))-MIN(MAX(AO242,0),MAX(0,AK231-IF($A243&gt;='1-Input'!$C$12,'1-Input'!$B$12,0))))*(1/(1-'P-Parametri'!$B$6*AK243))+MIN(MAX(0,AP242-(MAX(0,AK231-IF($A243&gt;='1-Input'!$C$12,'1-Input'!$B$12,0))-MIN(MAX(AO242,0),MAX(0,AK231-IF($A243&gt;='1-Input'!$C$12,'1-Input'!$B$12,0))))*(1/(1-'P-Parametri'!$B$6*AK243))),MAX(0,0*AK231-(AO242-MIN(MAX(AO242,0),MAX(0,AK231-IF($A243&gt;='1-Input'!$C$12,'1-Input'!$B$12,0)))))*(1/(1-'P-Parametri'!$B$6*AK243))))</f>
        <v>20961.746380741293</v>
      </c>
      <c r="AM243" s="18">
        <f>IF($A243&gt;'1-Input'!$B$26,AO242,(AO242-MAX(0,AK231-IF($A243&gt;='1-Input'!$C$12,'1-Input'!$B$12,0))+AL243*(1-'P-Parametri'!$B$6*AK243))*(1+ROUND('3-Liquidita'!$F$7,4)))</f>
        <v>0</v>
      </c>
      <c r="AN243" s="18">
        <f>IF($A243&gt;'1-Input'!$B$26,AP242,(AP242-AL243)*(1+'5-Roberta'!$C$4))</f>
        <v>340211.60941174481</v>
      </c>
      <c r="AO243" s="18">
        <f>IF($A243&gt;'1-Input'!$B$26,AM243,AM243-'P-Parametri'!$B$8*(AN243+AM243)+MIN(MAX(AN243,0),'P-Parametri'!$B$8*(AN243+AM243)))</f>
        <v>0</v>
      </c>
      <c r="AP243" s="18">
        <f>IF($A243&gt;'1-Input'!$B$26,AN243,AN243-MIN(MAX(AN243,0),'P-Parametri'!$B$8*(AN243+AM243)))</f>
        <v>339531.1861929213</v>
      </c>
      <c r="AQ243" s="18">
        <f>IF($A243&gt;'1-Input'!$B$26,AQ242,AQ242-AL243*(1-AK243))</f>
        <v>201985.6552327922</v>
      </c>
    </row>
    <row r="244" spans="1:43">
      <c r="A244" s="10">
        <f>11</f>
        <v>11</v>
      </c>
      <c r="B244" s="11">
        <f>IF($A244&gt;'1-Input'!$B$26,0,IF(G243&lt;=0,0,MAX(0,(G243-H243)/G243)))</f>
        <v>0.40510426303513647</v>
      </c>
      <c r="C244" s="18">
        <f>IF($A244&gt;'1-Input'!$B$26,0,(MAX(0,B231-IF($A244&gt;='1-Input'!$C$12,'1-Input'!$B$12,0))-MIN(MAX(F243,0),MAX(0,B231-IF($A244&gt;='1-Input'!$C$12,'1-Input'!$B$12,0))))*(1/(1-'P-Parametri'!$B$6*B244))+MIN(MAX(0,G243-(MAX(0,B231-IF($A244&gt;='1-Input'!$C$12,'1-Input'!$B$12,0))-MIN(MAX(F243,0),MAX(0,B231-IF($A244&gt;='1-Input'!$C$12,'1-Input'!$B$12,0))))*(1/(1-'P-Parametri'!$B$6*B244))),MAX(0,0*B231-(F243-MIN(MAX(F243,0),MAX(0,B231-IF($A244&gt;='1-Input'!$C$12,'1-Input'!$B$12,0)))))*(1/(1-'P-Parametri'!$B$6*B244))))</f>
        <v>18644.865035076062</v>
      </c>
      <c r="D244" s="18">
        <f>IF($A244&gt;'1-Input'!$B$26,F243,(F243-MAX(0,B231-IF($A244&gt;='1-Input'!$C$12,'1-Input'!$B$12,0))+C244*(1-'P-Parametri'!$B$6*B244))*(1+ROUND('3-Liquidita'!$F$7,4)))</f>
        <v>0</v>
      </c>
      <c r="E244" s="18">
        <f>IF($A244&gt;'1-Input'!$B$26,G243,(G243-C244)*(1+'5-Roberta'!$C$4))</f>
        <v>358741.46534103906</v>
      </c>
      <c r="F244" s="18">
        <f>IF($A244&gt;'1-Input'!$B$26,D244,D244-'P-Parametri'!$B$8*(E244+D244)+MIN(MAX(E244,0),'P-Parametri'!$B$8*(E244+D244)))</f>
        <v>0</v>
      </c>
      <c r="G244" s="18">
        <f>IF($A244&gt;'1-Input'!$B$26,E244,E244-MIN(MAX(E244,0),'P-Parametri'!$B$8*(E244+D244)))</f>
        <v>358023.98241035698</v>
      </c>
      <c r="H244" s="18">
        <f>IF($A244&gt;'1-Input'!$B$26,H243,H243-C244*(1-B244))</f>
        <v>207197.83340185677</v>
      </c>
      <c r="I244" s="11">
        <f>IF($A244&gt;'1-Input'!$B$26,0,IF(N243&lt;=0,0,MAX(0,(N243-O243)/N243)))</f>
        <v>0.40510426303513702</v>
      </c>
      <c r="J244" s="18">
        <f>IF($A244&gt;'1-Input'!$B$26,0,(MAX(0,I231-IF($A244&gt;='1-Input'!$C$12,'1-Input'!$B$12,0))-MIN(MAX(M243,0),MAX(0,I231-IF($A244&gt;='1-Input'!$C$12,'1-Input'!$B$12,0))))*(1/(1-'P-Parametri'!$B$6*I244))+MIN(MAX(0,N243-(MAX(0,I231-IF($A244&gt;='1-Input'!$C$12,'1-Input'!$B$12,0))-MIN(MAX(M243,0),MAX(0,I231-IF($A244&gt;='1-Input'!$C$12,'1-Input'!$B$12,0))))*(1/(1-'P-Parametri'!$B$6*I244))),MAX(0,0*I231-(M243-MIN(MAX(M243,0),MAX(0,I231-IF($A244&gt;='1-Input'!$C$12,'1-Input'!$B$12,0)))))*(1/(1-'P-Parametri'!$B$6*I244))))</f>
        <v>24532.71715141588</v>
      </c>
      <c r="K244" s="18">
        <f>IF($A244&gt;'1-Input'!$B$26,M243,(M243-MAX(0,I231-IF($A244&gt;='1-Input'!$C$12,'1-Input'!$B$12,0))+J244*(1-'P-Parametri'!$B$6*I244))*(1+ROUND('3-Liquidita'!$F$7,4)))</f>
        <v>3.6608980735763906E-12</v>
      </c>
      <c r="L244" s="18">
        <f>IF($A244&gt;'1-Input'!$B$26,N243,(N243-J244)*(1+'5-Roberta'!$C$4))</f>
        <v>283943.98075731291</v>
      </c>
      <c r="M244" s="18">
        <f>IF($A244&gt;'1-Input'!$B$26,K244,K244-'P-Parametri'!$B$8*(L244+K244)+MIN(MAX(L244,0),'P-Parametri'!$B$8*(L244+K244)))</f>
        <v>3.637978807091713E-12</v>
      </c>
      <c r="N244" s="18">
        <f>IF($A244&gt;'1-Input'!$B$26,L244,L244-MIN(MAX(L244,0),'P-Parametri'!$B$8*(L244+K244)))</f>
        <v>283376.09279579826</v>
      </c>
      <c r="O244" s="18">
        <f>IF($A244&gt;'1-Input'!$B$26,O243,O243-J244*(1-I244))</f>
        <v>163997.14921296944</v>
      </c>
      <c r="P244" s="11">
        <f>IF($A244&gt;'1-Input'!$B$26,0,IF(U243&lt;=0,0,MAX(0,(U243-V243)/U243)))</f>
        <v>0.4051042630351368</v>
      </c>
      <c r="Q244" s="18">
        <f>IF($A244&gt;'1-Input'!$B$26,0,(MAX(0,P231-IF($A244&gt;='1-Input'!$C$12,'1-Input'!$B$12,0))-MIN(MAX(T243,0),MAX(0,P231-IF($A244&gt;='1-Input'!$C$12,'1-Input'!$B$12,0))))*(1/(1-'P-Parametri'!$B$6*P244))+MIN(MAX(0,U243-(MAX(0,P231-IF($A244&gt;='1-Input'!$C$12,'1-Input'!$B$12,0))-MIN(MAX(T243,0),MAX(0,P231-IF($A244&gt;='1-Input'!$C$12,'1-Input'!$B$12,0))))*(1/(1-'P-Parametri'!$B$6*P244))),MAX(0,0*P231-(T243-MIN(MAX(T243,0),MAX(0,P231-IF($A244&gt;='1-Input'!$C$12,'1-Input'!$B$12,0)))))*(1/(1-'P-Parametri'!$B$6*P244))))</f>
        <v>21343.040326065602</v>
      </c>
      <c r="R244" s="18">
        <f>IF($A244&gt;'1-Input'!$B$26,T243,(T243-MAX(0,P231-IF($A244&gt;='1-Input'!$C$12,'1-Input'!$B$12,0))+Q244*(1-'P-Parametri'!$B$6*P244))*(1+ROUND('3-Liquidita'!$F$7,4)))</f>
        <v>0</v>
      </c>
      <c r="S244" s="18">
        <f>IF($A244&gt;'1-Input'!$B$26,U243,(U243-Q244)*(1+'5-Roberta'!$C$4))</f>
        <v>324464.66613748821</v>
      </c>
      <c r="T244" s="18">
        <f>IF($A244&gt;'1-Input'!$B$26,R244,R244-'P-Parametri'!$B$8*(S244+R244)+MIN(MAX(S244,0),'P-Parametri'!$B$8*(S244+R244)))</f>
        <v>0</v>
      </c>
      <c r="U244" s="18">
        <f>IF($A244&gt;'1-Input'!$B$26,S244,S244-MIN(MAX(S244,0),'P-Parametri'!$B$8*(S244+R244)))</f>
        <v>323815.73680521321</v>
      </c>
      <c r="V244" s="18">
        <f>IF($A244&gt;'1-Input'!$B$26,V243,V243-Q244*(1-P244))</f>
        <v>187400.62784555278</v>
      </c>
      <c r="W244" s="11">
        <f>IF($A244&gt;'1-Input'!$B$26,0,IF(AB243&lt;=0,0,MAX(0,(AB243-AC243)/AB243)))</f>
        <v>0.40510426303513697</v>
      </c>
      <c r="X244" s="18">
        <f>IF($A244&gt;'1-Input'!$B$26,0,(MAX(0,W231-IF($A244&gt;='1-Input'!$C$12,'1-Input'!$B$12,0))-MIN(MAX(AA243,0),MAX(0,W231-IF($A244&gt;='1-Input'!$C$12,'1-Input'!$B$12,0))))*(1/(1-'P-Parametri'!$B$6*W244))+MIN(MAX(0,AB243-(MAX(0,W231-IF($A244&gt;='1-Input'!$C$12,'1-Input'!$B$12,0))-MIN(MAX(AA243,0),MAX(0,W231-IF($A244&gt;='1-Input'!$C$12,'1-Input'!$B$12,0))))*(1/(1-'P-Parametri'!$B$6*W244))),MAX(0,0*W231-(AA243-MIN(MAX(AA243,0),MAX(0,W231-IF($A244&gt;='1-Input'!$C$12,'1-Input'!$B$12,0)))))*(1/(1-'P-Parametri'!$B$6*W244))))</f>
        <v>21056.593715012896</v>
      </c>
      <c r="Y244" s="18">
        <f>IF($A244&gt;'1-Input'!$B$26,AA243,(AA243-MAX(0,W231-IF($A244&gt;='1-Input'!$C$12,'1-Input'!$B$12,0))+X244*(1-'P-Parametri'!$B$6*W244))*(1+ROUND('3-Liquidita'!$F$7,4)))</f>
        <v>0</v>
      </c>
      <c r="Z244" s="18">
        <f>IF($A244&gt;'1-Input'!$B$26,AB243,(AB243-X244)*(1+'5-Roberta'!$C$4))</f>
        <v>328103.59686314582</v>
      </c>
      <c r="AA244" s="18">
        <f>IF($A244&gt;'1-Input'!$B$26,Y244,Y244-'P-Parametri'!$B$8*(Z244+Y244)+MIN(MAX(Z244,0),'P-Parametri'!$B$8*(Z244+Y244)))</f>
        <v>0</v>
      </c>
      <c r="AB244" s="18">
        <f>IF($A244&gt;'1-Input'!$B$26,Z244,Z244-MIN(MAX(Z244,0),'P-Parametri'!$B$8*(Z244+Y244)))</f>
        <v>327447.38966941956</v>
      </c>
      <c r="AC244" s="18">
        <f>IF($A244&gt;'1-Input'!$B$26,AC243,AC243-X244*(1-W244))</f>
        <v>189502.36024924606</v>
      </c>
      <c r="AD244" s="11">
        <f>IF($A244&gt;'1-Input'!$B$26,0,IF(AI243&lt;=0,0,MAX(0,(AI243-AJ243)/AI243)))</f>
        <v>0.40510426303513702</v>
      </c>
      <c r="AE244" s="18">
        <f>IF($A244&gt;'1-Input'!$B$26,0,(MAX(0,AD231-IF($A244&gt;='1-Input'!$C$12,'1-Input'!$B$12,0))-MIN(MAX(AH243,0),MAX(0,AD231-IF($A244&gt;='1-Input'!$C$12,'1-Input'!$B$12,0))))*(1/(1-'P-Parametri'!$B$6*AD244))+MIN(MAX(0,AI243-(MAX(0,AD231-IF($A244&gt;='1-Input'!$C$12,'1-Input'!$B$12,0))-MIN(MAX(AH243,0),MAX(0,AD231-IF($A244&gt;='1-Input'!$C$12,'1-Input'!$B$12,0))))*(1/(1-'P-Parametri'!$B$6*AD244))),MAX(0,0*AD231-(AH243-MIN(MAX(AH243,0),MAX(0,AD231-IF($A244&gt;='1-Input'!$C$12,'1-Input'!$B$12,0)))))*(1/(1-'P-Parametri'!$B$6*AD244))))</f>
        <v>21064.175777177701</v>
      </c>
      <c r="AF244" s="18">
        <f>IF($A244&gt;'1-Input'!$B$26,AH243,(AH243-MAX(0,AD231-IF($A244&gt;='1-Input'!$C$12,'1-Input'!$B$12,0))+AE244*(1-'P-Parametri'!$B$6*AD244))*(1+ROUND('3-Liquidita'!$F$7,4)))</f>
        <v>0</v>
      </c>
      <c r="AG244" s="18">
        <f>IF($A244&gt;'1-Input'!$B$26,AI243,(AI243-AE244)*(1+'5-Roberta'!$C$4))</f>
        <v>328007.27664879954</v>
      </c>
      <c r="AH244" s="18">
        <f>IF($A244&gt;'1-Input'!$B$26,AF244,AF244-'P-Parametri'!$B$8*(AG244+AF244)+MIN(MAX(AG244,0),'P-Parametri'!$B$8*(AG244+AF244)))</f>
        <v>0</v>
      </c>
      <c r="AI244" s="18">
        <f>IF($A244&gt;'1-Input'!$B$26,AG244,AG244-MIN(MAX(AG244,0),'P-Parametri'!$B$8*(AG244+AF244)))</f>
        <v>327351.26209550194</v>
      </c>
      <c r="AJ244" s="18">
        <f>IF($A244&gt;'1-Input'!$B$26,AJ243,AJ243-AE244*(1-AD244))</f>
        <v>189446.72871050998</v>
      </c>
      <c r="AK244" s="11">
        <f>IF($A244&gt;'1-Input'!$B$26,0,IF(AP243&lt;=0,0,MAX(0,(AP243-AQ243)/AP243)))</f>
        <v>0.40510426303513652</v>
      </c>
      <c r="AL244" s="18">
        <f>IF($A244&gt;'1-Input'!$B$26,0,(MAX(0,AK231-IF($A244&gt;='1-Input'!$C$12,'1-Input'!$B$12,0))-MIN(MAX(AO243,0),MAX(0,AK231-IF($A244&gt;='1-Input'!$C$12,'1-Input'!$B$12,0))))*(1/(1-'P-Parametri'!$B$6*AK244))+MIN(MAX(0,AP243-(MAX(0,AK231-IF($A244&gt;='1-Input'!$C$12,'1-Input'!$B$12,0))-MIN(MAX(AO243,0),MAX(0,AK231-IF($A244&gt;='1-Input'!$C$12,'1-Input'!$B$12,0))))*(1/(1-'P-Parametri'!$B$6*AK244))),MAX(0,0*AK231-(AO243-MIN(MAX(AO243,0),MAX(0,AK231-IF($A244&gt;='1-Input'!$C$12,'1-Input'!$B$12,0)))))*(1/(1-'P-Parametri'!$B$6*AK244))))</f>
        <v>21062.998422621291</v>
      </c>
      <c r="AM244" s="18">
        <f>IF($A244&gt;'1-Input'!$B$26,AO243,(AO243-MAX(0,AK231-IF($A244&gt;='1-Input'!$C$12,'1-Input'!$B$12,0))+AL244*(1-'P-Parametri'!$B$6*AK244))*(1+ROUND('3-Liquidita'!$F$7,4)))</f>
        <v>0</v>
      </c>
      <c r="AN244" s="18">
        <f>IF($A244&gt;'1-Input'!$B$26,AP243,(AP243-AL244)*(1+'5-Roberta'!$C$4))</f>
        <v>328022.23340340902</v>
      </c>
      <c r="AO244" s="18">
        <f>IF($A244&gt;'1-Input'!$B$26,AM244,AM244-'P-Parametri'!$B$8*(AN244+AM244)+MIN(MAX(AN244,0),'P-Parametri'!$B$8*(AN244+AM244)))</f>
        <v>0</v>
      </c>
      <c r="AP244" s="18">
        <f>IF($A244&gt;'1-Input'!$B$26,AN244,AN244-MIN(MAX(AN244,0),'P-Parametri'!$B$8*(AN244+AM244)))</f>
        <v>327366.18893660221</v>
      </c>
      <c r="AQ244" s="18">
        <f>IF($A244&gt;'1-Input'!$B$26,AQ243,AQ243-AL244*(1-AK244))</f>
        <v>189455.36726347715</v>
      </c>
    </row>
    <row r="245" spans="1:43">
      <c r="A245" s="10">
        <f>12</f>
        <v>12</v>
      </c>
      <c r="B245" s="11">
        <f>IF($A245&gt;'1-Input'!$B$26,0,IF(G244&lt;=0,0,MAX(0,(G244-H244)/G244)))</f>
        <v>0.42127387107723846</v>
      </c>
      <c r="C245" s="18">
        <f>IF($A245&gt;'1-Input'!$B$26,0,(MAX(0,B231-IF($A245&gt;='1-Input'!$C$12,'1-Input'!$B$12,0))-MIN(MAX(F244,0),MAX(0,B231-IF($A245&gt;='1-Input'!$C$12,'1-Input'!$B$12,0))))*(1/(1-'P-Parametri'!$B$6*B245))+MIN(MAX(0,G244-(MAX(0,B231-IF($A245&gt;='1-Input'!$C$12,'1-Input'!$B$12,0))-MIN(MAX(F244,0),MAX(0,B231-IF($A245&gt;='1-Input'!$C$12,'1-Input'!$B$12,0))))*(1/(1-'P-Parametri'!$B$6*B245))),MAX(0,0*B231-(F244-MIN(MAX(F244,0),MAX(0,B231-IF($A245&gt;='1-Input'!$C$12,'1-Input'!$B$12,0)))))*(1/(1-'P-Parametri'!$B$6*B245))))</f>
        <v>18732.891524123559</v>
      </c>
      <c r="D245" s="18">
        <f>IF($A245&gt;'1-Input'!$B$26,F244,(F244-MAX(0,B231-IF($A245&gt;='1-Input'!$C$12,'1-Input'!$B$12,0))+C245*(1-'P-Parametri'!$B$6*B245))*(1+ROUND('3-Liquidita'!$F$7,4)))</f>
        <v>0</v>
      </c>
      <c r="E245" s="18">
        <f>IF($A245&gt;'1-Input'!$B$26,G244,(G244-C245)*(1+'5-Roberta'!$C$4))</f>
        <v>349469.82361282047</v>
      </c>
      <c r="F245" s="18">
        <f>IF($A245&gt;'1-Input'!$B$26,D245,D245-'P-Parametri'!$B$8*(E245+D245)+MIN(MAX(E245,0),'P-Parametri'!$B$8*(E245+D245)))</f>
        <v>0</v>
      </c>
      <c r="G245" s="18">
        <f>IF($A245&gt;'1-Input'!$B$26,E245,E245-MIN(MAX(E245,0),'P-Parametri'!$B$8*(E245+D245)))</f>
        <v>348770.88396559481</v>
      </c>
      <c r="H245" s="18">
        <f>IF($A245&gt;'1-Input'!$B$26,H244,H244-C245*(1-B245))</f>
        <v>196356.61960657072</v>
      </c>
      <c r="I245" s="11">
        <f>IF($A245&gt;'1-Input'!$B$26,0,IF(N244&lt;=0,0,MAX(0,(N244-O244)/N244)))</f>
        <v>0.42127387107723896</v>
      </c>
      <c r="J245" s="18">
        <f>IF($A245&gt;'1-Input'!$B$26,0,(MAX(0,I231-IF($A245&gt;='1-Input'!$C$12,'1-Input'!$B$12,0))-MIN(MAX(M244,0),MAX(0,I231-IF($A245&gt;='1-Input'!$C$12,'1-Input'!$B$12,0))))*(1/(1-'P-Parametri'!$B$6*I245))+MIN(MAX(0,N244-(MAX(0,I231-IF($A245&gt;='1-Input'!$C$12,'1-Input'!$B$12,0))-MIN(MAX(M244,0),MAX(0,I231-IF($A245&gt;='1-Input'!$C$12,'1-Input'!$B$12,0))))*(1/(1-'P-Parametri'!$B$6*I245))),MAX(0,0*I231-(M244-MIN(MAX(M244,0),MAX(0,I231-IF($A245&gt;='1-Input'!$C$12,'1-Input'!$B$12,0)))))*(1/(1-'P-Parametri'!$B$6*I245))))</f>
        <v>24648.54147910995</v>
      </c>
      <c r="K245" s="18">
        <f>IF($A245&gt;'1-Input'!$B$26,M244,(M244-MAX(0,I231-IF($A245&gt;='1-Input'!$C$12,'1-Input'!$B$12,0))+J245*(1-'P-Parametri'!$B$6*I245))*(1+ROUND('3-Liquidita'!$F$7,4)))</f>
        <v>0</v>
      </c>
      <c r="L245" s="18">
        <f>IF($A245&gt;'1-Input'!$B$26,N244,(N244-J245)*(1+'5-Roberta'!$C$4))</f>
        <v>266489.37785618898</v>
      </c>
      <c r="M245" s="18">
        <f>IF($A245&gt;'1-Input'!$B$26,K245,K245-'P-Parametri'!$B$8*(L245+K245)+MIN(MAX(L245,0),'P-Parametri'!$B$8*(L245+K245)))</f>
        <v>0</v>
      </c>
      <c r="N245" s="18">
        <f>IF($A245&gt;'1-Input'!$B$26,L245,L245-MIN(MAX(L245,0),'P-Parametri'!$B$8*(L245+K245)))</f>
        <v>265956.39910047658</v>
      </c>
      <c r="O245" s="18">
        <f>IF($A245&gt;'1-Input'!$B$26,O244,O244-J245*(1-I245))</f>
        <v>149732.39421917204</v>
      </c>
      <c r="P245" s="11">
        <f>IF($A245&gt;'1-Input'!$B$26,0,IF(U244&lt;=0,0,MAX(0,(U244-V244)/U244)))</f>
        <v>0.42127387107723863</v>
      </c>
      <c r="Q245" s="18">
        <f>IF($A245&gt;'1-Input'!$B$26,0,(MAX(0,P231-IF($A245&gt;='1-Input'!$C$12,'1-Input'!$B$12,0))-MIN(MAX(T244,0),MAX(0,P231-IF($A245&gt;='1-Input'!$C$12,'1-Input'!$B$12,0))))*(1/(1-'P-Parametri'!$B$6*P245))+MIN(MAX(0,U244-(MAX(0,P231-IF($A245&gt;='1-Input'!$C$12,'1-Input'!$B$12,0))-MIN(MAX(T244,0),MAX(0,P231-IF($A245&gt;='1-Input'!$C$12,'1-Input'!$B$12,0))))*(1/(1-'P-Parametri'!$B$6*P245))),MAX(0,0*P231-(T244-MIN(MAX(T244,0),MAX(0,P231-IF($A245&gt;='1-Input'!$C$12,'1-Input'!$B$12,0)))))*(1/(1-'P-Parametri'!$B$6*P245))))</f>
        <v>21443.805491271582</v>
      </c>
      <c r="R245" s="18">
        <f>IF($A245&gt;'1-Input'!$B$26,T244,(T244-MAX(0,P231-IF($A245&gt;='1-Input'!$C$12,'1-Input'!$B$12,0))+Q245*(1-'P-Parametri'!$B$6*P245))*(1+ROUND('3-Liquidita'!$F$7,4)))</f>
        <v>-3.6608980735763906E-12</v>
      </c>
      <c r="S245" s="18">
        <f>IF($A245&gt;'1-Input'!$B$26,U244,(U244-Q245)*(1+'5-Roberta'!$C$4))</f>
        <v>311443.08925335988</v>
      </c>
      <c r="T245" s="18">
        <f>IF($A245&gt;'1-Input'!$B$26,R245,R245-'P-Parametri'!$B$8*(S245+R245)+MIN(MAX(S245,0),'P-Parametri'!$B$8*(S245+R245)))</f>
        <v>-3.637978807091713E-12</v>
      </c>
      <c r="U245" s="18">
        <f>IF($A245&gt;'1-Input'!$B$26,S245,S245-MIN(MAX(S245,0),'P-Parametri'!$B$8*(S245+R245)))</f>
        <v>310820.20307485317</v>
      </c>
      <c r="V245" s="18">
        <f>IF($A245&gt;'1-Input'!$B$26,V244,V244-Q245*(1-P245))</f>
        <v>174990.53730421653</v>
      </c>
      <c r="W245" s="11">
        <f>IF($A245&gt;'1-Input'!$B$26,0,IF(AB244&lt;=0,0,MAX(0,(AB244-AC244)/AB244)))</f>
        <v>0.42127387107723901</v>
      </c>
      <c r="X245" s="18">
        <f>IF($A245&gt;'1-Input'!$B$26,0,(MAX(0,W231-IF($A245&gt;='1-Input'!$C$12,'1-Input'!$B$12,0))-MIN(MAX(AA244,0),MAX(0,W231-IF($A245&gt;='1-Input'!$C$12,'1-Input'!$B$12,0))))*(1/(1-'P-Parametri'!$B$6*W245))+MIN(MAX(0,AB244-(MAX(0,W231-IF($A245&gt;='1-Input'!$C$12,'1-Input'!$B$12,0))-MIN(MAX(AA244,0),MAX(0,W231-IF($A245&gt;='1-Input'!$C$12,'1-Input'!$B$12,0))))*(1/(1-'P-Parametri'!$B$6*W245))),MAX(0,0*W231-(AA244-MIN(MAX(AA244,0),MAX(0,W231-IF($A245&gt;='1-Input'!$C$12,'1-Input'!$B$12,0)))))*(1/(1-'P-Parametri'!$B$6*W245))))</f>
        <v>21156.00650306715</v>
      </c>
      <c r="Y245" s="18">
        <f>IF($A245&gt;'1-Input'!$B$26,AA244,(AA244-MAX(0,W231-IF($A245&gt;='1-Input'!$C$12,'1-Input'!$B$12,0))+X245*(1-'P-Parametri'!$B$6*W245))*(1+ROUND('3-Liquidita'!$F$7,4)))</f>
        <v>0</v>
      </c>
      <c r="Z245" s="18">
        <f>IF($A245&gt;'1-Input'!$B$26,AB244,(AB244-X245)*(1+'5-Roberta'!$C$4))</f>
        <v>315480.124661343</v>
      </c>
      <c r="AA245" s="18">
        <f>IF($A245&gt;'1-Input'!$B$26,Y245,Y245-'P-Parametri'!$B$8*(Z245+Y245)+MIN(MAX(Z245,0),'P-Parametri'!$B$8*(Z245+Y245)))</f>
        <v>0</v>
      </c>
      <c r="AB245" s="18">
        <f>IF($A245&gt;'1-Input'!$B$26,Z245,Z245-MIN(MAX(Z245,0),'P-Parametri'!$B$8*(Z245+Y245)))</f>
        <v>314849.1644120203</v>
      </c>
      <c r="AC245" s="18">
        <f>IF($A245&gt;'1-Input'!$B$26,AC244,AC244-X245*(1-W245))</f>
        <v>177258.82650226125</v>
      </c>
      <c r="AD245" s="11">
        <f>IF($A245&gt;'1-Input'!$B$26,0,IF(AI244&lt;=0,0,MAX(0,(AI244-AJ244)/AI244)))</f>
        <v>0.42127387107723901</v>
      </c>
      <c r="AE245" s="18">
        <f>IF($A245&gt;'1-Input'!$B$26,0,(MAX(0,AD231-IF($A245&gt;='1-Input'!$C$12,'1-Input'!$B$12,0))-MIN(MAX(AH244,0),MAX(0,AD231-IF($A245&gt;='1-Input'!$C$12,'1-Input'!$B$12,0))))*(1/(1-'P-Parametri'!$B$6*AD245))+MIN(MAX(0,AI244-(MAX(0,AD231-IF($A245&gt;='1-Input'!$C$12,'1-Input'!$B$12,0))-MIN(MAX(AH244,0),MAX(0,AD231-IF($A245&gt;='1-Input'!$C$12,'1-Input'!$B$12,0))))*(1/(1-'P-Parametri'!$B$6*AD245))),MAX(0,0*AD231-(AH244-MIN(MAX(AH244,0),MAX(0,AD231-IF($A245&gt;='1-Input'!$C$12,'1-Input'!$B$12,0)))))*(1/(1-'P-Parametri'!$B$6*AD245))))</f>
        <v>21163.624361807091</v>
      </c>
      <c r="AF245" s="18">
        <f>IF($A245&gt;'1-Input'!$B$26,AH244,(AH244-MAX(0,AD231-IF($A245&gt;='1-Input'!$C$12,'1-Input'!$B$12,0))+AE245*(1-'P-Parametri'!$B$6*AD245))*(1+ROUND('3-Liquidita'!$F$7,4)))</f>
        <v>0</v>
      </c>
      <c r="AG245" s="18">
        <f>IF($A245&gt;'1-Input'!$B$26,AI244,(AI244-AE245)*(1+'5-Roberta'!$C$4))</f>
        <v>315373.26686570572</v>
      </c>
      <c r="AH245" s="18">
        <f>IF($A245&gt;'1-Input'!$B$26,AF245,AF245-'P-Parametri'!$B$8*(AG245+AF245)+MIN(MAX(AG245,0),'P-Parametri'!$B$8*(AG245+AF245)))</f>
        <v>0</v>
      </c>
      <c r="AI245" s="18">
        <f>IF($A245&gt;'1-Input'!$B$26,AG245,AG245-MIN(MAX(AG245,0),'P-Parametri'!$B$8*(AG245+AF245)))</f>
        <v>314742.52033197432</v>
      </c>
      <c r="AJ245" s="18">
        <f>IF($A245&gt;'1-Input'!$B$26,AJ244,AJ244-AE245*(1-AD245))</f>
        <v>177198.78630962592</v>
      </c>
      <c r="AK245" s="11">
        <f>IF($A245&gt;'1-Input'!$B$26,0,IF(AP244&lt;=0,0,MAX(0,(AP244-AQ244)/AP244)))</f>
        <v>0.42127387107723852</v>
      </c>
      <c r="AL245" s="18">
        <f>IF($A245&gt;'1-Input'!$B$26,0,(MAX(0,AK231-IF($A245&gt;='1-Input'!$C$12,'1-Input'!$B$12,0))-MIN(MAX(AO244,0),MAX(0,AK231-IF($A245&gt;='1-Input'!$C$12,'1-Input'!$B$12,0))))*(1/(1-'P-Parametri'!$B$6*AK245))+MIN(MAX(0,AP244-(MAX(0,AK231-IF($A245&gt;='1-Input'!$C$12,'1-Input'!$B$12,0))-MIN(MAX(AO244,0),MAX(0,AK231-IF($A245&gt;='1-Input'!$C$12,'1-Input'!$B$12,0))))*(1/(1-'P-Parametri'!$B$6*AK245))),MAX(0,0*AK231-(AO244-MIN(MAX(AO244,0),MAX(0,AK231-IF($A245&gt;='1-Input'!$C$12,'1-Input'!$B$12,0)))))*(1/(1-'P-Parametri'!$B$6*AK245))))</f>
        <v>21162.441448702106</v>
      </c>
      <c r="AM245" s="18">
        <f>IF($A245&gt;'1-Input'!$B$26,AO244,(AO244-MAX(0,AK231-IF($A245&gt;='1-Input'!$C$12,'1-Input'!$B$12,0))+AL245*(1-'P-Parametri'!$B$6*AK245))*(1+ROUND('3-Liquidita'!$F$7,4)))</f>
        <v>0</v>
      </c>
      <c r="AN245" s="18">
        <f>IF($A245&gt;'1-Input'!$B$26,AP244,(AP244-AL245)*(1+'5-Roberta'!$C$4))</f>
        <v>315389.8599125371</v>
      </c>
      <c r="AO245" s="18">
        <f>IF($A245&gt;'1-Input'!$B$26,AM245,AM245-'P-Parametri'!$B$8*(AN245+AM245)+MIN(MAX(AN245,0),'P-Parametri'!$B$8*(AN245+AM245)))</f>
        <v>0</v>
      </c>
      <c r="AP245" s="18">
        <f>IF($A245&gt;'1-Input'!$B$26,AN245,AN245-MIN(MAX(AN245,0),'P-Parametri'!$B$8*(AN245+AM245)))</f>
        <v>314759.08019271202</v>
      </c>
      <c r="AQ245" s="18">
        <f>IF($A245&gt;'1-Input'!$B$26,AQ244,AQ244-AL245*(1-AK245))</f>
        <v>177208.10944531517</v>
      </c>
    </row>
    <row r="246" spans="1:43">
      <c r="A246" s="10">
        <f>13</f>
        <v>13</v>
      </c>
      <c r="B246" s="11">
        <f>IF($A246&gt;'1-Input'!$B$26,0,IF(G245&lt;=0,0,MAX(0,(G245-H245)/G245)))</f>
        <v>0.43700397987940787</v>
      </c>
      <c r="C246" s="18">
        <f>IF($A246&gt;'1-Input'!$B$26,0,(MAX(0,B231-IF($A246&gt;='1-Input'!$C$12,'1-Input'!$B$12,0))-MIN(MAX(F245,0),MAX(0,B231-IF($A246&gt;='1-Input'!$C$12,'1-Input'!$B$12,0))))*(1/(1-'P-Parametri'!$B$6*B246))+MIN(MAX(0,G245-(MAX(0,B231-IF($A246&gt;='1-Input'!$C$12,'1-Input'!$B$12,0))-MIN(MAX(F245,0),MAX(0,B231-IF($A246&gt;='1-Input'!$C$12,'1-Input'!$B$12,0))))*(1/(1-'P-Parametri'!$B$6*B246))),MAX(0,0*B231-(F245-MIN(MAX(F245,0),MAX(0,B231-IF($A246&gt;='1-Input'!$C$12,'1-Input'!$B$12,0)))))*(1/(1-'P-Parametri'!$B$6*B246))))</f>
        <v>18819.326686381686</v>
      </c>
      <c r="D246" s="18">
        <f>IF($A246&gt;'1-Input'!$B$26,F245,(F245-MAX(0,B231-IF($A246&gt;='1-Input'!$C$12,'1-Input'!$B$12,0))+C246*(1-'P-Parametri'!$B$6*B246))*(1+ROUND('3-Liquidita'!$F$7,4)))</f>
        <v>0</v>
      </c>
      <c r="E246" s="18">
        <f>IF($A246&gt;'1-Input'!$B$26,G245,(G245-C246)*(1+'5-Roberta'!$C$4))</f>
        <v>339850.1039975895</v>
      </c>
      <c r="F246" s="18">
        <f>IF($A246&gt;'1-Input'!$B$26,D246,D246-'P-Parametri'!$B$8*(E246+D246)+MIN(MAX(E246,0),'P-Parametri'!$B$8*(E246+D246)))</f>
        <v>0</v>
      </c>
      <c r="G246" s="18">
        <f>IF($A246&gt;'1-Input'!$B$26,E246,E246-MIN(MAX(E246,0),'P-Parametri'!$B$8*(E246+D246)))</f>
        <v>339170.4037895943</v>
      </c>
      <c r="H246" s="18">
        <f>IF($A246&gt;'1-Input'!$B$26,H245,H245-C246*(1-B246))</f>
        <v>185761.41358078859</v>
      </c>
      <c r="I246" s="11">
        <f>IF($A246&gt;'1-Input'!$B$26,0,IF(N245&lt;=0,0,MAX(0,(N245-O245)/N245)))</f>
        <v>0.43700397987940826</v>
      </c>
      <c r="J246" s="18">
        <f>IF($A246&gt;'1-Input'!$B$26,0,(MAX(0,I231-IF($A246&gt;='1-Input'!$C$12,'1-Input'!$B$12,0))-MIN(MAX(M245,0),MAX(0,I231-IF($A246&gt;='1-Input'!$C$12,'1-Input'!$B$12,0))))*(1/(1-'P-Parametri'!$B$6*I246))+MIN(MAX(0,N245-(MAX(0,I231-IF($A246&gt;='1-Input'!$C$12,'1-Input'!$B$12,0))-MIN(MAX(M245,0),MAX(0,I231-IF($A246&gt;='1-Input'!$C$12,'1-Input'!$B$12,0))))*(1/(1-'P-Parametri'!$B$6*I246))),MAX(0,0*I231-(M245-MIN(MAX(M245,0),MAX(0,I231-IF($A246&gt;='1-Input'!$C$12,'1-Input'!$B$12,0)))))*(1/(1-'P-Parametri'!$B$6*I246))))</f>
        <v>24762.271955765384</v>
      </c>
      <c r="K246" s="18">
        <f>IF($A246&gt;'1-Input'!$B$26,M245,(M245-MAX(0,I231-IF($A246&gt;='1-Input'!$C$12,'1-Input'!$B$12,0))+J246*(1-'P-Parametri'!$B$6*I246))*(1+ROUND('3-Liquidita'!$F$7,4)))</f>
        <v>3.6608980735763906E-12</v>
      </c>
      <c r="L246" s="18">
        <f>IF($A246&gt;'1-Input'!$B$26,N245,(N245-J246)*(1+'5-Roberta'!$C$4))</f>
        <v>248429.95095905254</v>
      </c>
      <c r="M246" s="18">
        <f>IF($A246&gt;'1-Input'!$B$26,K246,K246-'P-Parametri'!$B$8*(L246+K246)+MIN(MAX(L246,0),'P-Parametri'!$B$8*(L246+K246)))</f>
        <v>3.637978807091713E-12</v>
      </c>
      <c r="N246" s="18">
        <f>IF($A246&gt;'1-Input'!$B$26,L246,L246-MIN(MAX(L246,0),'P-Parametri'!$B$8*(L246+K246)))</f>
        <v>247933.09105713444</v>
      </c>
      <c r="O246" s="18">
        <f>IF($A246&gt;'1-Input'!$B$26,O245,O245-J246*(1-I246))</f>
        <v>135791.33365893239</v>
      </c>
      <c r="P246" s="11">
        <f>IF($A246&gt;'1-Input'!$B$26,0,IF(U245&lt;=0,0,MAX(0,(U245-V245)/U245)))</f>
        <v>0.43700397987940798</v>
      </c>
      <c r="Q246" s="18">
        <f>IF($A246&gt;'1-Input'!$B$26,0,(MAX(0,P231-IF($A246&gt;='1-Input'!$C$12,'1-Input'!$B$12,0))-MIN(MAX(T245,0),MAX(0,P231-IF($A246&gt;='1-Input'!$C$12,'1-Input'!$B$12,0))))*(1/(1-'P-Parametri'!$B$6*P246))+MIN(MAX(0,U245-(MAX(0,P231-IF($A246&gt;='1-Input'!$C$12,'1-Input'!$B$12,0))-MIN(MAX(T245,0),MAX(0,P231-IF($A246&gt;='1-Input'!$C$12,'1-Input'!$B$12,0))))*(1/(1-'P-Parametri'!$B$6*P246))),MAX(0,0*P231-(T245-MIN(MAX(T245,0),MAX(0,P231-IF($A246&gt;='1-Input'!$C$12,'1-Input'!$B$12,0)))))*(1/(1-'P-Parametri'!$B$6*P246))))</f>
        <v>21542.749042227555</v>
      </c>
      <c r="R246" s="18">
        <f>IF($A246&gt;'1-Input'!$B$26,T245,(T245-MAX(0,P231-IF($A246&gt;='1-Input'!$C$12,'1-Input'!$B$12,0))+Q246*(1-'P-Parametri'!$B$6*P246))*(1+ROUND('3-Liquidita'!$F$7,4)))</f>
        <v>0</v>
      </c>
      <c r="S246" s="18">
        <f>IF($A246&gt;'1-Input'!$B$26,U245,(U245-Q246)*(1+'5-Roberta'!$C$4))</f>
        <v>297955.7776536044</v>
      </c>
      <c r="T246" s="18">
        <f>IF($A246&gt;'1-Input'!$B$26,R246,R246-'P-Parametri'!$B$8*(S246+R246)+MIN(MAX(S246,0),'P-Parametri'!$B$8*(S246+R246)))</f>
        <v>0</v>
      </c>
      <c r="U246" s="18">
        <f>IF($A246&gt;'1-Input'!$B$26,S246,S246-MIN(MAX(S246,0),'P-Parametri'!$B$8*(S246+R246)))</f>
        <v>297359.86609829718</v>
      </c>
      <c r="V246" s="18">
        <f>IF($A246&gt;'1-Input'!$B$26,V245,V245-Q246*(1-P246))</f>
        <v>162862.05533098572</v>
      </c>
      <c r="W246" s="11">
        <f>IF($A246&gt;'1-Input'!$B$26,0,IF(AB245&lt;=0,0,MAX(0,(AB245-AC245)/AB245)))</f>
        <v>0.43700397987940837</v>
      </c>
      <c r="X246" s="18">
        <f>IF($A246&gt;'1-Input'!$B$26,0,(MAX(0,W231-IF($A246&gt;='1-Input'!$C$12,'1-Input'!$B$12,0))-MIN(MAX(AA245,0),MAX(0,W231-IF($A246&gt;='1-Input'!$C$12,'1-Input'!$B$12,0))))*(1/(1-'P-Parametri'!$B$6*W246))+MIN(MAX(0,AB245-(MAX(0,W231-IF($A246&gt;='1-Input'!$C$12,'1-Input'!$B$12,0))-MIN(MAX(AA245,0),MAX(0,W231-IF($A246&gt;='1-Input'!$C$12,'1-Input'!$B$12,0))))*(1/(1-'P-Parametri'!$B$6*W246))),MAX(0,0*W231-(AA245-MIN(MAX(AA245,0),MAX(0,W231-IF($A246&gt;='1-Input'!$C$12,'1-Input'!$B$12,0)))))*(1/(1-'P-Parametri'!$B$6*W246))))</f>
        <v>21253.622124898502</v>
      </c>
      <c r="Y246" s="18">
        <f>IF($A246&gt;'1-Input'!$B$26,AA245,(AA245-MAX(0,W231-IF($A246&gt;='1-Input'!$C$12,'1-Input'!$B$12,0))+X246*(1-'P-Parametri'!$B$6*W246))*(1+ROUND('3-Liquidita'!$F$7,4)))</f>
        <v>3.6608980735763906E-12</v>
      </c>
      <c r="Z246" s="18">
        <f>IF($A246&gt;'1-Input'!$B$26,AB245,(AB245-X246)*(1+'5-Roberta'!$C$4))</f>
        <v>302403.40855573548</v>
      </c>
      <c r="AA246" s="18">
        <f>IF($A246&gt;'1-Input'!$B$26,Y246,Y246-'P-Parametri'!$B$8*(Z246+Y246)+MIN(MAX(Z246,0),'P-Parametri'!$B$8*(Z246+Y246)))</f>
        <v>3.637978807091713E-12</v>
      </c>
      <c r="AB246" s="18">
        <f>IF($A246&gt;'1-Input'!$B$26,Z246,Z246-MIN(MAX(Z246,0),'P-Parametri'!$B$8*(Z246+Y246)))</f>
        <v>301798.60173862404</v>
      </c>
      <c r="AC246" s="18">
        <f>IF($A246&gt;'1-Input'!$B$26,AC245,AC245-X246*(1-W246))</f>
        <v>165293.12183279643</v>
      </c>
      <c r="AD246" s="11">
        <f>IF($A246&gt;'1-Input'!$B$26,0,IF(AI245&lt;=0,0,MAX(0,(AI245-AJ245)/AI245)))</f>
        <v>0.43700397987940842</v>
      </c>
      <c r="AE246" s="18">
        <f>IF($A246&gt;'1-Input'!$B$26,0,(MAX(0,AD231-IF($A246&gt;='1-Input'!$C$12,'1-Input'!$B$12,0))-MIN(MAX(AH245,0),MAX(0,AD231-IF($A246&gt;='1-Input'!$C$12,'1-Input'!$B$12,0))))*(1/(1-'P-Parametri'!$B$6*AD246))+MIN(MAX(0,AI245-(MAX(0,AD231-IF($A246&gt;='1-Input'!$C$12,'1-Input'!$B$12,0))-MIN(MAX(AH245,0),MAX(0,AD231-IF($A246&gt;='1-Input'!$C$12,'1-Input'!$B$12,0))))*(1/(1-'P-Parametri'!$B$6*AD246))),MAX(0,0*AD231-(AH245-MIN(MAX(AH245,0),MAX(0,AD231-IF($A246&gt;='1-Input'!$C$12,'1-Input'!$B$12,0)))))*(1/(1-'P-Parametri'!$B$6*AD246))))</f>
        <v>21261.275133089632</v>
      </c>
      <c r="AF246" s="18">
        <f>IF($A246&gt;'1-Input'!$B$26,AH245,(AH245-MAX(0,AD231-IF($A246&gt;='1-Input'!$C$12,'1-Input'!$B$12,0))+AE246*(1-'P-Parametri'!$B$6*AD246))*(1+ROUND('3-Liquidita'!$F$7,4)))</f>
        <v>3.6608980735763906E-12</v>
      </c>
      <c r="AG246" s="18">
        <f>IF($A246&gt;'1-Input'!$B$26,AI245,(AI245-AE246)*(1+'5-Roberta'!$C$4))</f>
        <v>302285.68255485123</v>
      </c>
      <c r="AH246" s="18">
        <f>IF($A246&gt;'1-Input'!$B$26,AF246,AF246-'P-Parametri'!$B$8*(AG246+AF246)+MIN(MAX(AG246,0),'P-Parametri'!$B$8*(AG246+AF246)))</f>
        <v>3.637978807091713E-12</v>
      </c>
      <c r="AI246" s="18">
        <f>IF($A246&gt;'1-Input'!$B$26,AG246,AG246-MIN(MAX(AG246,0),'P-Parametri'!$B$8*(AG246+AF246)))</f>
        <v>301681.11118974152</v>
      </c>
      <c r="AJ246" s="18">
        <f>IF($A246&gt;'1-Input'!$B$26,AJ245,AJ245-AE246*(1-AD246))</f>
        <v>165228.77302700756</v>
      </c>
      <c r="AK246" s="11">
        <f>IF($A246&gt;'1-Input'!$B$26,0,IF(AP245&lt;=0,0,MAX(0,(AP245-AQ245)/AP245)))</f>
        <v>0.43700397987940787</v>
      </c>
      <c r="AL246" s="18">
        <f>IF($A246&gt;'1-Input'!$B$26,0,(MAX(0,AK231-IF($A246&gt;='1-Input'!$C$12,'1-Input'!$B$12,0))-MIN(MAX(AO245,0),MAX(0,AK231-IF($A246&gt;='1-Input'!$C$12,'1-Input'!$B$12,0))))*(1/(1-'P-Parametri'!$B$6*AK246))+MIN(MAX(0,AP245-(MAX(0,AK231-IF($A246&gt;='1-Input'!$C$12,'1-Input'!$B$12,0))-MIN(MAX(AO245,0),MAX(0,AK231-IF($A246&gt;='1-Input'!$C$12,'1-Input'!$B$12,0))))*(1/(1-'P-Parametri'!$B$6*AK246))),MAX(0,0*AK231-(AO245-MIN(MAX(AO245,0),MAX(0,AK231-IF($A246&gt;='1-Input'!$C$12,'1-Input'!$B$12,0)))))*(1/(1-'P-Parametri'!$B$6*AK246))))</f>
        <v>21260.086761922499</v>
      </c>
      <c r="AM246" s="18">
        <f>IF($A246&gt;'1-Input'!$B$26,AO245,(AO245-MAX(0,AK231-IF($A246&gt;='1-Input'!$C$12,'1-Input'!$B$12,0))+AL246*(1-'P-Parametri'!$B$6*AK246))*(1+ROUND('3-Liquidita'!$F$7,4)))</f>
        <v>3.6608980735763906E-12</v>
      </c>
      <c r="AN246" s="18">
        <f>IF($A246&gt;'1-Input'!$B$26,AP245,(AP245-AL246)*(1+'5-Roberta'!$C$4))</f>
        <v>302303.96323371318</v>
      </c>
      <c r="AO246" s="18">
        <f>IF($A246&gt;'1-Input'!$B$26,AM246,AM246-'P-Parametri'!$B$8*(AN246+AM246)+MIN(MAX(AN246,0),'P-Parametri'!$B$8*(AN246+AM246)))</f>
        <v>3.637978807091713E-12</v>
      </c>
      <c r="AP246" s="18">
        <f>IF($A246&gt;'1-Input'!$B$26,AN246,AN246-MIN(MAX(AN246,0),'P-Parametri'!$B$8*(AN246+AM246)))</f>
        <v>301699.35530724574</v>
      </c>
      <c r="AQ246" s="18">
        <f>IF($A246&gt;'1-Input'!$B$26,AQ245,AQ245-AL246*(1-AK246))</f>
        <v>165238.76521093433</v>
      </c>
    </row>
    <row r="247" spans="1:43">
      <c r="A247" s="10">
        <f>14</f>
        <v>14</v>
      </c>
      <c r="B247" s="11">
        <f>IF($A247&gt;'1-Input'!$B$26,0,IF(G246&lt;=0,0,MAX(0,(G246-H246)/G246)))</f>
        <v>0.45230653528358444</v>
      </c>
      <c r="C247" s="18">
        <f>IF($A247&gt;'1-Input'!$B$26,0,(MAX(0,B231-IF($A247&gt;='1-Input'!$C$12,'1-Input'!$B$12,0))-MIN(MAX(F246,0),MAX(0,B231-IF($A247&gt;='1-Input'!$C$12,'1-Input'!$B$12,0))))*(1/(1-'P-Parametri'!$B$6*B247))+MIN(MAX(0,G246-(MAX(0,B231-IF($A247&gt;='1-Input'!$C$12,'1-Input'!$B$12,0))-MIN(MAX(F246,0),MAX(0,B231-IF($A247&gt;='1-Input'!$C$12,'1-Input'!$B$12,0))))*(1/(1-'P-Parametri'!$B$6*B247))),MAX(0,0*B231-(F246-MIN(MAX(F246,0),MAX(0,B231-IF($A247&gt;='1-Input'!$C$12,'1-Input'!$B$12,0)))))*(1/(1-'P-Parametri'!$B$6*B247))))</f>
        <v>18904.181355112731</v>
      </c>
      <c r="D247" s="18">
        <f>IF($A247&gt;'1-Input'!$B$26,F246,(F246-MAX(0,B231-IF($A247&gt;='1-Input'!$C$12,'1-Input'!$B$12,0))+C247*(1-'P-Parametri'!$B$6*B247))*(1+ROUND('3-Liquidita'!$F$7,4)))</f>
        <v>0</v>
      </c>
      <c r="E247" s="18">
        <f>IF($A247&gt;'1-Input'!$B$26,G246,(G246-C247)*(1+'5-Roberta'!$C$4))</f>
        <v>329874.20910751598</v>
      </c>
      <c r="F247" s="18">
        <f>IF($A247&gt;'1-Input'!$B$26,D247,D247-'P-Parametri'!$B$8*(E247+D247)+MIN(MAX(E247,0),'P-Parametri'!$B$8*(E247+D247)))</f>
        <v>0</v>
      </c>
      <c r="G247" s="18">
        <f>IF($A247&gt;'1-Input'!$B$26,E247,E247-MIN(MAX(E247,0),'P-Parametri'!$B$8*(E247+D247)))</f>
        <v>329214.46068930096</v>
      </c>
      <c r="H247" s="18">
        <f>IF($A247&gt;'1-Input'!$B$26,H246,H246-C247*(1-B247))</f>
        <v>175407.71699677943</v>
      </c>
      <c r="I247" s="11">
        <f>IF($A247&gt;'1-Input'!$B$26,0,IF(N246&lt;=0,0,MAX(0,(N246-O246)/N246)))</f>
        <v>0.45230653528358494</v>
      </c>
      <c r="J247" s="18">
        <f>IF($A247&gt;'1-Input'!$B$26,0,(MAX(0,I231-IF($A247&gt;='1-Input'!$C$12,'1-Input'!$B$12,0))-MIN(MAX(M246,0),MAX(0,I231-IF($A247&gt;='1-Input'!$C$12,'1-Input'!$B$12,0))))*(1/(1-'P-Parametri'!$B$6*I247))+MIN(MAX(0,N246-(MAX(0,I231-IF($A247&gt;='1-Input'!$C$12,'1-Input'!$B$12,0))-MIN(MAX(M246,0),MAX(0,I231-IF($A247&gt;='1-Input'!$C$12,'1-Input'!$B$12,0))))*(1/(1-'P-Parametri'!$B$6*I247))),MAX(0,0*I231-(M246-MIN(MAX(M246,0),MAX(0,I231-IF($A247&gt;='1-Input'!$C$12,'1-Input'!$B$12,0)))))*(1/(1-'P-Parametri'!$B$6*I247))))</f>
        <v>24873.92283567465</v>
      </c>
      <c r="K247" s="18">
        <f>IF($A247&gt;'1-Input'!$B$26,M246,(M246-MAX(0,I231-IF($A247&gt;='1-Input'!$C$12,'1-Input'!$B$12,0))+J247*(1-'P-Parametri'!$B$6*I247))*(1+ROUND('3-Liquidita'!$F$7,4)))</f>
        <v>0</v>
      </c>
      <c r="L247" s="18">
        <f>IF($A247&gt;'1-Input'!$B$26,N246,(N246-J247)*(1+'5-Roberta'!$C$4))</f>
        <v>229750.94326810358</v>
      </c>
      <c r="M247" s="18">
        <f>IF($A247&gt;'1-Input'!$B$26,K247,K247-'P-Parametri'!$B$8*(L247+K247)+MIN(MAX(L247,0),'P-Parametri'!$B$8*(L247+K247)))</f>
        <v>0</v>
      </c>
      <c r="N247" s="18">
        <f>IF($A247&gt;'1-Input'!$B$26,L247,L247-MIN(MAX(L247,0),'P-Parametri'!$B$8*(L247+K247)))</f>
        <v>229291.44138156739</v>
      </c>
      <c r="O247" s="18">
        <f>IF($A247&gt;'1-Input'!$B$26,O246,O246-J247*(1-I247))</f>
        <v>122168.04867997298</v>
      </c>
      <c r="P247" s="11">
        <f>IF($A247&gt;'1-Input'!$B$26,0,IF(U246&lt;=0,0,MAX(0,(U246-V246)/U246)))</f>
        <v>0.45230653528358467</v>
      </c>
      <c r="Q247" s="18">
        <f>IF($A247&gt;'1-Input'!$B$26,0,(MAX(0,P231-IF($A247&gt;='1-Input'!$C$12,'1-Input'!$B$12,0))-MIN(MAX(T246,0),MAX(0,P231-IF($A247&gt;='1-Input'!$C$12,'1-Input'!$B$12,0))))*(1/(1-'P-Parametri'!$B$6*P247))+MIN(MAX(0,U246-(MAX(0,P231-IF($A247&gt;='1-Input'!$C$12,'1-Input'!$B$12,0))-MIN(MAX(T246,0),MAX(0,P231-IF($A247&gt;='1-Input'!$C$12,'1-Input'!$B$12,0))))*(1/(1-'P-Parametri'!$B$6*P247))),MAX(0,0*P231-(T246-MIN(MAX(T246,0),MAX(0,P231-IF($A247&gt;='1-Input'!$C$12,'1-Input'!$B$12,0)))))*(1/(1-'P-Parametri'!$B$6*P247))))</f>
        <v>21639.883379921852</v>
      </c>
      <c r="R247" s="18">
        <f>IF($A247&gt;'1-Input'!$B$26,T246,(T246-MAX(0,P231-IF($A247&gt;='1-Input'!$C$12,'1-Input'!$B$12,0))+Q247*(1-'P-Parametri'!$B$6*P247))*(1+ROUND('3-Liquidita'!$F$7,4)))</f>
        <v>0</v>
      </c>
      <c r="S247" s="18">
        <f>IF($A247&gt;'1-Input'!$B$26,U246,(U246-Q247)*(1+'5-Roberta'!$C$4))</f>
        <v>283991.5821999266</v>
      </c>
      <c r="T247" s="18">
        <f>IF($A247&gt;'1-Input'!$B$26,R247,R247-'P-Parametri'!$B$8*(S247+R247)+MIN(MAX(S247,0),'P-Parametri'!$B$8*(S247+R247)))</f>
        <v>0</v>
      </c>
      <c r="U247" s="18">
        <f>IF($A247&gt;'1-Input'!$B$26,S247,S247-MIN(MAX(S247,0),'P-Parametri'!$B$8*(S247+R247)))</f>
        <v>283423.59903552674</v>
      </c>
      <c r="V247" s="18">
        <f>IF($A247&gt;'1-Input'!$B$26,V246,V246-Q247*(1-P247))</f>
        <v>151010.03262657716</v>
      </c>
      <c r="W247" s="11">
        <f>IF($A247&gt;'1-Input'!$B$26,0,IF(AB246&lt;=0,0,MAX(0,(AB246-AC246)/AB246)))</f>
        <v>0.45230653528358511</v>
      </c>
      <c r="X247" s="18">
        <f>IF($A247&gt;'1-Input'!$B$26,0,(MAX(0,W231-IF($A247&gt;='1-Input'!$C$12,'1-Input'!$B$12,0))-MIN(MAX(AA246,0),MAX(0,W231-IF($A247&gt;='1-Input'!$C$12,'1-Input'!$B$12,0))))*(1/(1-'P-Parametri'!$B$6*W247))+MIN(MAX(0,AB246-(MAX(0,W231-IF($A247&gt;='1-Input'!$C$12,'1-Input'!$B$12,0))-MIN(MAX(AA246,0),MAX(0,W231-IF($A247&gt;='1-Input'!$C$12,'1-Input'!$B$12,0))))*(1/(1-'P-Parametri'!$B$6*W247))),MAX(0,0*W231-(AA246-MIN(MAX(AA246,0),MAX(0,W231-IF($A247&gt;='1-Input'!$C$12,'1-Input'!$B$12,0)))))*(1/(1-'P-Parametri'!$B$6*W247))))</f>
        <v>21349.452815060657</v>
      </c>
      <c r="Y247" s="18">
        <f>IF($A247&gt;'1-Input'!$B$26,AA246,(AA246-MAX(0,W231-IF($A247&gt;='1-Input'!$C$12,'1-Input'!$B$12,0))+X247*(1-'P-Parametri'!$B$6*W247))*(1+ROUND('3-Liquidita'!$F$7,4)))</f>
        <v>-3.6608980735763906E-12</v>
      </c>
      <c r="Z247" s="18">
        <f>IF($A247&gt;'1-Input'!$B$26,AB246,(AB246-X247)*(1+'5-Roberta'!$C$4))</f>
        <v>288862.62339127029</v>
      </c>
      <c r="AA247" s="18">
        <f>IF($A247&gt;'1-Input'!$B$26,Y247,Y247-'P-Parametri'!$B$8*(Z247+Y247)+MIN(MAX(Z247,0),'P-Parametri'!$B$8*(Z247+Y247)))</f>
        <v>-3.637978807091713E-12</v>
      </c>
      <c r="AB247" s="18">
        <f>IF($A247&gt;'1-Input'!$B$26,Z247,Z247-MIN(MAX(Z247,0),'P-Parametri'!$B$8*(Z247+Y247)))</f>
        <v>288284.89814448776</v>
      </c>
      <c r="AC247" s="18">
        <f>IF($A247&gt;'1-Input'!$B$26,AC246,AC246-X247*(1-W247))</f>
        <v>153600.16605071625</v>
      </c>
      <c r="AD247" s="11">
        <f>IF($A247&gt;'1-Input'!$B$26,0,IF(AI246&lt;=0,0,MAX(0,(AI246-AJ246)/AI246)))</f>
        <v>0.45230653528358505</v>
      </c>
      <c r="AE247" s="18">
        <f>IF($A247&gt;'1-Input'!$B$26,0,(MAX(0,AD231-IF($A247&gt;='1-Input'!$C$12,'1-Input'!$B$12,0))-MIN(MAX(AH246,0),MAX(0,AD231-IF($A247&gt;='1-Input'!$C$12,'1-Input'!$B$12,0))))*(1/(1-'P-Parametri'!$B$6*AD247))+MIN(MAX(0,AI246-(MAX(0,AD231-IF($A247&gt;='1-Input'!$C$12,'1-Input'!$B$12,0))-MIN(MAX(AH246,0),MAX(0,AD231-IF($A247&gt;='1-Input'!$C$12,'1-Input'!$B$12,0))))*(1/(1-'P-Parametri'!$B$6*AD247))),MAX(0,0*AD231-(AH246-MIN(MAX(AH246,0),MAX(0,AD231-IF($A247&gt;='1-Input'!$C$12,'1-Input'!$B$12,0)))))*(1/(1-'P-Parametri'!$B$6*AD247))))</f>
        <v>21357.14032998445</v>
      </c>
      <c r="AF247" s="18">
        <f>IF($A247&gt;'1-Input'!$B$26,AH246,(AH246-MAX(0,AD231-IF($A247&gt;='1-Input'!$C$12,'1-Input'!$B$12,0))+AE247*(1-'P-Parametri'!$B$6*AD247))*(1+ROUND('3-Liquidita'!$F$7,4)))</f>
        <v>0</v>
      </c>
      <c r="AG247" s="18">
        <f>IF($A247&gt;'1-Input'!$B$26,AI246,(AI246-AE247)*(1+'5-Roberta'!$C$4))</f>
        <v>288733.68998554983</v>
      </c>
      <c r="AH247" s="18">
        <f>IF($A247&gt;'1-Input'!$B$26,AF247,AF247-'P-Parametri'!$B$8*(AG247+AF247)+MIN(MAX(AG247,0),'P-Parametri'!$B$8*(AG247+AF247)))</f>
        <v>0</v>
      </c>
      <c r="AI247" s="18">
        <f>IF($A247&gt;'1-Input'!$B$26,AG247,AG247-MIN(MAX(AG247,0),'P-Parametri'!$B$8*(AG247+AF247)))</f>
        <v>288156.22260557872</v>
      </c>
      <c r="AJ247" s="18">
        <f>IF($A247&gt;'1-Input'!$B$26,AJ246,AJ246-AE247*(1-AD247))</f>
        <v>153531.6068432437</v>
      </c>
      <c r="AK247" s="11">
        <f>IF($A247&gt;'1-Input'!$B$26,0,IF(AP246&lt;=0,0,MAX(0,(AP246-AQ246)/AP246)))</f>
        <v>0.45230653528358439</v>
      </c>
      <c r="AL247" s="18">
        <f>IF($A247&gt;'1-Input'!$B$26,0,(MAX(0,AK231-IF($A247&gt;='1-Input'!$C$12,'1-Input'!$B$12,0))-MIN(MAX(AO246,0),MAX(0,AK231-IF($A247&gt;='1-Input'!$C$12,'1-Input'!$B$12,0))))*(1/(1-'P-Parametri'!$B$6*AK247))+MIN(MAX(0,AP246-(MAX(0,AK231-IF($A247&gt;='1-Input'!$C$12,'1-Input'!$B$12,0))-MIN(MAX(AO246,0),MAX(0,AK231-IF($A247&gt;='1-Input'!$C$12,'1-Input'!$B$12,0))))*(1/(1-'P-Parametri'!$B$6*AK247))),MAX(0,0*AK231-(AO246-MIN(MAX(AO246,0),MAX(0,AK231-IF($A247&gt;='1-Input'!$C$12,'1-Input'!$B$12,0)))))*(1/(1-'P-Parametri'!$B$6*AK247))))</f>
        <v>21355.946600557512</v>
      </c>
      <c r="AM247" s="18">
        <f>IF($A247&gt;'1-Input'!$B$26,AO246,(AO246-MAX(0,AK231-IF($A247&gt;='1-Input'!$C$12,'1-Input'!$B$12,0))+AL247*(1-'P-Parametri'!$B$6*AK247))*(1+ROUND('3-Liquidita'!$F$7,4)))</f>
        <v>0</v>
      </c>
      <c r="AN247" s="18">
        <f>IF($A247&gt;'1-Input'!$B$26,AP246,(AP246-AL247)*(1+'5-Roberta'!$C$4))</f>
        <v>288753.71096788888</v>
      </c>
      <c r="AO247" s="18">
        <f>IF($A247&gt;'1-Input'!$B$26,AM247,AM247-'P-Parametri'!$B$8*(AN247+AM247)+MIN(MAX(AN247,0),'P-Parametri'!$B$8*(AN247+AM247)))</f>
        <v>0</v>
      </c>
      <c r="AP247" s="18">
        <f>IF($A247&gt;'1-Input'!$B$26,AN247,AN247-MIN(MAX(AN247,0),'P-Parametri'!$B$8*(AN247+AM247)))</f>
        <v>288176.20354595309</v>
      </c>
      <c r="AQ247" s="18">
        <f>IF($A247&gt;'1-Input'!$B$26,AQ246,AQ246-AL247*(1-AK247))</f>
        <v>153542.25282497623</v>
      </c>
    </row>
    <row r="248" spans="1:43">
      <c r="A248" s="10">
        <f>15</f>
        <v>15</v>
      </c>
      <c r="B248" s="11">
        <f>IF($A248&gt;'1-Input'!$B$26,0,IF(G247&lt;=0,0,MAX(0,(G247-H247)/G247)))</f>
        <v>0.46719315843685855</v>
      </c>
      <c r="C248" s="18">
        <f>IF($A248&gt;'1-Input'!$B$26,0,(MAX(0,B231-IF($A248&gt;='1-Input'!$C$12,'1-Input'!$B$12,0))-MIN(MAX(F247,0),MAX(0,B231-IF($A248&gt;='1-Input'!$C$12,'1-Input'!$B$12,0))))*(1/(1-'P-Parametri'!$B$6*B248))+MIN(MAX(0,G247-(MAX(0,B231-IF($A248&gt;='1-Input'!$C$12,'1-Input'!$B$12,0))-MIN(MAX(F247,0),MAX(0,B231-IF($A248&gt;='1-Input'!$C$12,'1-Input'!$B$12,0))))*(1/(1-'P-Parametri'!$B$6*B248))),MAX(0,0*B231-(F247-MIN(MAX(F247,0),MAX(0,B231-IF($A248&gt;='1-Input'!$C$12,'1-Input'!$B$12,0)))))*(1/(1-'P-Parametri'!$B$6*B248))))</f>
        <v>18987.467149137421</v>
      </c>
      <c r="D248" s="18">
        <f>IF($A248&gt;'1-Input'!$B$26,F247,(F247-MAX(0,B231-IF($A248&gt;='1-Input'!$C$12,'1-Input'!$B$12,0))+C248*(1-'P-Parametri'!$B$6*B248))*(1+ROUND('3-Liquidita'!$F$7,4)))</f>
        <v>0</v>
      </c>
      <c r="E248" s="18">
        <f>IF($A248&gt;'1-Input'!$B$26,G247,(G247-C248)*(1+'5-Roberta'!$C$4))</f>
        <v>319533.80334636848</v>
      </c>
      <c r="F248" s="18">
        <f>IF($A248&gt;'1-Input'!$B$26,D248,D248-'P-Parametri'!$B$8*(E248+D248)+MIN(MAX(E248,0),'P-Parametri'!$B$8*(E248+D248)))</f>
        <v>0</v>
      </c>
      <c r="G248" s="18">
        <f>IF($A248&gt;'1-Input'!$B$26,E248,E248-MIN(MAX(E248,0),'P-Parametri'!$B$8*(E248+D248)))</f>
        <v>318894.73573967576</v>
      </c>
      <c r="H248" s="18">
        <f>IF($A248&gt;'1-Input'!$B$26,H247,H247-C248*(1-B248))</f>
        <v>165291.06459576363</v>
      </c>
      <c r="I248" s="11">
        <f>IF($A248&gt;'1-Input'!$B$26,0,IF(N247&lt;=0,0,MAX(0,(N247-O247)/N247)))</f>
        <v>0.4671931584368591</v>
      </c>
      <c r="J248" s="18">
        <f>IF($A248&gt;'1-Input'!$B$26,0,(MAX(0,I231-IF($A248&gt;='1-Input'!$C$12,'1-Input'!$B$12,0))-MIN(MAX(M247,0),MAX(0,I231-IF($A248&gt;='1-Input'!$C$12,'1-Input'!$B$12,0))))*(1/(1-'P-Parametri'!$B$6*I248))+MIN(MAX(0,N247-(MAX(0,I231-IF($A248&gt;='1-Input'!$C$12,'1-Input'!$B$12,0))-MIN(MAX(M247,0),MAX(0,I231-IF($A248&gt;='1-Input'!$C$12,'1-Input'!$B$12,0))))*(1/(1-'P-Parametri'!$B$6*I248))),MAX(0,0*I231-(M247-MIN(MAX(M247,0),MAX(0,I231-IF($A248&gt;='1-Input'!$C$12,'1-Input'!$B$12,0)))))*(1/(1-'P-Parametri'!$B$6*I248))))</f>
        <v>24983.509406759771</v>
      </c>
      <c r="K248" s="18">
        <f>IF($A248&gt;'1-Input'!$B$26,M247,(M247-MAX(0,I231-IF($A248&gt;='1-Input'!$C$12,'1-Input'!$B$12,0))+J248*(1-'P-Parametri'!$B$6*I248))*(1+ROUND('3-Liquidita'!$F$7,4)))</f>
        <v>0</v>
      </c>
      <c r="L248" s="18">
        <f>IF($A248&gt;'1-Input'!$B$26,N247,(N247-J248)*(1+'5-Roberta'!$C$4))</f>
        <v>210437.16993405184</v>
      </c>
      <c r="M248" s="18">
        <f>IF($A248&gt;'1-Input'!$B$26,K248,K248-'P-Parametri'!$B$8*(L248+K248)+MIN(MAX(L248,0),'P-Parametri'!$B$8*(L248+K248)))</f>
        <v>0</v>
      </c>
      <c r="N248" s="18">
        <f>IF($A248&gt;'1-Input'!$B$26,L248,L248-MIN(MAX(L248,0),'P-Parametri'!$B$8*(L248+K248)))</f>
        <v>210016.29559418373</v>
      </c>
      <c r="O248" s="18">
        <f>IF($A248&gt;'1-Input'!$B$26,O247,O247-J248*(1-I248))</f>
        <v>108856.66394179429</v>
      </c>
      <c r="P248" s="11">
        <f>IF($A248&gt;'1-Input'!$B$26,0,IF(U247&lt;=0,0,MAX(0,(U247-V247)/U247)))</f>
        <v>0.46719315843685877</v>
      </c>
      <c r="Q248" s="18">
        <f>IF($A248&gt;'1-Input'!$B$26,0,(MAX(0,P231-IF($A248&gt;='1-Input'!$C$12,'1-Input'!$B$12,0))-MIN(MAX(T247,0),MAX(0,P231-IF($A248&gt;='1-Input'!$C$12,'1-Input'!$B$12,0))))*(1/(1-'P-Parametri'!$B$6*P248))+MIN(MAX(0,U247-(MAX(0,P231-IF($A248&gt;='1-Input'!$C$12,'1-Input'!$B$12,0))-MIN(MAX(T247,0),MAX(0,P231-IF($A248&gt;='1-Input'!$C$12,'1-Input'!$B$12,0))))*(1/(1-'P-Parametri'!$B$6*P248))),MAX(0,0*P231-(T247-MIN(MAX(T247,0),MAX(0,P231-IF($A248&gt;='1-Input'!$C$12,'1-Input'!$B$12,0)))))*(1/(1-'P-Parametri'!$B$6*P248))))</f>
        <v>21735.221804582645</v>
      </c>
      <c r="R248" s="18">
        <f>IF($A248&gt;'1-Input'!$B$26,T247,(T247-MAX(0,P231-IF($A248&gt;='1-Input'!$C$12,'1-Input'!$B$12,0))+Q248*(1-'P-Parametri'!$B$6*P248))*(1+ROUND('3-Liquidita'!$F$7,4)))</f>
        <v>-3.6608980735763906E-12</v>
      </c>
      <c r="S248" s="18">
        <f>IF($A248&gt;'1-Input'!$B$26,U247,(U247-Q248)*(1+'5-Roberta'!$C$4))</f>
        <v>269539.02854787244</v>
      </c>
      <c r="T248" s="18">
        <f>IF($A248&gt;'1-Input'!$B$26,R248,R248-'P-Parametri'!$B$8*(S248+R248)+MIN(MAX(S248,0),'P-Parametri'!$B$8*(S248+R248)))</f>
        <v>-3.637978807091713E-12</v>
      </c>
      <c r="U248" s="18">
        <f>IF($A248&gt;'1-Input'!$B$26,S248,S248-MIN(MAX(S248,0),'P-Parametri'!$B$8*(S248+R248)))</f>
        <v>268999.95049077668</v>
      </c>
      <c r="V248" s="18">
        <f>IF($A248&gt;'1-Input'!$B$26,V247,V247-Q248*(1-P248))</f>
        <v>139429.35774620317</v>
      </c>
      <c r="W248" s="11">
        <f>IF($A248&gt;'1-Input'!$B$26,0,IF(AB247&lt;=0,0,MAX(0,(AB247-AC247)/AB247)))</f>
        <v>0.46719315843685927</v>
      </c>
      <c r="X248" s="18">
        <f>IF($A248&gt;'1-Input'!$B$26,0,(MAX(0,W231-IF($A248&gt;='1-Input'!$C$12,'1-Input'!$B$12,0))-MIN(MAX(AA247,0),MAX(0,W231-IF($A248&gt;='1-Input'!$C$12,'1-Input'!$B$12,0))))*(1/(1-'P-Parametri'!$B$6*W248))+MIN(MAX(0,AB247-(MAX(0,W231-IF($A248&gt;='1-Input'!$C$12,'1-Input'!$B$12,0))-MIN(MAX(AA247,0),MAX(0,W231-IF($A248&gt;='1-Input'!$C$12,'1-Input'!$B$12,0))))*(1/(1-'P-Parametri'!$B$6*W248))),MAX(0,0*W231-(AA247-MIN(MAX(AA247,0),MAX(0,W231-IF($A248&gt;='1-Input'!$C$12,'1-Input'!$B$12,0)))))*(1/(1-'P-Parametri'!$B$6*W248))))</f>
        <v>21443.511695278405</v>
      </c>
      <c r="Y248" s="18">
        <f>IF($A248&gt;'1-Input'!$B$26,AA247,(AA247-MAX(0,W231-IF($A248&gt;='1-Input'!$C$12,'1-Input'!$B$12,0))+X248*(1-'P-Parametri'!$B$6*W248))*(1+ROUND('3-Liquidita'!$F$7,4)))</f>
        <v>0</v>
      </c>
      <c r="Z248" s="18">
        <f>IF($A248&gt;'1-Input'!$B$26,AB247,(AB247-X248)*(1+'5-Roberta'!$C$4))</f>
        <v>274846.62804268562</v>
      </c>
      <c r="AA248" s="18">
        <f>IF($A248&gt;'1-Input'!$B$26,Y248,Y248-'P-Parametri'!$B$8*(Z248+Y248)+MIN(MAX(Z248,0),'P-Parametri'!$B$8*(Z248+Y248)))</f>
        <v>0</v>
      </c>
      <c r="AB248" s="18">
        <f>IF($A248&gt;'1-Input'!$B$26,Z248,Z248-MIN(MAX(Z248,0),'P-Parametri'!$B$8*(Z248+Y248)))</f>
        <v>274296.93478660024</v>
      </c>
      <c r="AC248" s="18">
        <f>IF($A248&gt;'1-Input'!$B$26,AC247,AC247-X248*(1-W248))</f>
        <v>142174.9163123327</v>
      </c>
      <c r="AD248" s="11">
        <f>IF($A248&gt;'1-Input'!$B$26,0,IF(AI247&lt;=0,0,MAX(0,(AI247-AJ247)/AI247)))</f>
        <v>0.46719315843685921</v>
      </c>
      <c r="AE248" s="18">
        <f>IF($A248&gt;'1-Input'!$B$26,0,(MAX(0,AD231-IF($A248&gt;='1-Input'!$C$12,'1-Input'!$B$12,0))-MIN(MAX(AH247,0),MAX(0,AD231-IF($A248&gt;='1-Input'!$C$12,'1-Input'!$B$12,0))))*(1/(1-'P-Parametri'!$B$6*AD248))+MIN(MAX(0,AI247-(MAX(0,AD231-IF($A248&gt;='1-Input'!$C$12,'1-Input'!$B$12,0))-MIN(MAX(AH247,0),MAX(0,AD231-IF($A248&gt;='1-Input'!$C$12,'1-Input'!$B$12,0))))*(1/(1-'P-Parametri'!$B$6*AD248))),MAX(0,0*AD231-(AH247-MIN(MAX(AH247,0),MAX(0,AD231-IF($A248&gt;='1-Input'!$C$12,'1-Input'!$B$12,0)))))*(1/(1-'P-Parametri'!$B$6*AD248))))</f>
        <v>21451.233078941201</v>
      </c>
      <c r="AF248" s="18">
        <f>IF($A248&gt;'1-Input'!$B$26,AH247,(AH247-MAX(0,AD231-IF($A248&gt;='1-Input'!$C$12,'1-Input'!$B$12,0))+AE248*(1-'P-Parametri'!$B$6*AD248))*(1+ROUND('3-Liquidita'!$F$7,4)))</f>
        <v>0</v>
      </c>
      <c r="AG248" s="18">
        <f>IF($A248&gt;'1-Input'!$B$26,AI247,(AI247-AE248)*(1+'5-Roberta'!$C$4))</f>
        <v>274706.13921243668</v>
      </c>
      <c r="AH248" s="18">
        <f>IF($A248&gt;'1-Input'!$B$26,AF248,AF248-'P-Parametri'!$B$8*(AG248+AF248)+MIN(MAX(AG248,0),'P-Parametri'!$B$8*(AG248+AF248)))</f>
        <v>0</v>
      </c>
      <c r="AI248" s="18">
        <f>IF($A248&gt;'1-Input'!$B$26,AG248,AG248-MIN(MAX(AG248,0),'P-Parametri'!$B$8*(AG248+AF248)))</f>
        <v>274156.72693401179</v>
      </c>
      <c r="AJ248" s="18">
        <f>IF($A248&gt;'1-Input'!$B$26,AJ247,AJ247-AE248*(1-AD248))</f>
        <v>142102.24309881826</v>
      </c>
      <c r="AK248" s="11">
        <f>IF($A248&gt;'1-Input'!$B$26,0,IF(AP247&lt;=0,0,MAX(0,(AP247-AQ247)/AP247)))</f>
        <v>0.46719315843685855</v>
      </c>
      <c r="AL248" s="18">
        <f>IF($A248&gt;'1-Input'!$B$26,0,(MAX(0,AK231-IF($A248&gt;='1-Input'!$C$12,'1-Input'!$B$12,0))-MIN(MAX(AO247,0),MAX(0,AK231-IF($A248&gt;='1-Input'!$C$12,'1-Input'!$B$12,0))))*(1/(1-'P-Parametri'!$B$6*AK248))+MIN(MAX(0,AP247-(MAX(0,AK231-IF($A248&gt;='1-Input'!$C$12,'1-Input'!$B$12,0))-MIN(MAX(AO247,0),MAX(0,AK231-IF($A248&gt;='1-Input'!$C$12,'1-Input'!$B$12,0))))*(1/(1-'P-Parametri'!$B$6*AK248))),MAX(0,0*AK231-(AO247-MIN(MAX(AO247,0),MAX(0,AK231-IF($A248&gt;='1-Input'!$C$12,'1-Input'!$B$12,0)))))*(1/(1-'P-Parametri'!$B$6*AK248))))</f>
        <v>21450.034090323119</v>
      </c>
      <c r="AM248" s="18">
        <f>IF($A248&gt;'1-Input'!$B$26,AO247,(AO247-MAX(0,AK231-IF($A248&gt;='1-Input'!$C$12,'1-Input'!$B$12,0))+AL248*(1-'P-Parametri'!$B$6*AK248))*(1+ROUND('3-Liquidita'!$F$7,4)))</f>
        <v>0</v>
      </c>
      <c r="AN248" s="18">
        <f>IF($A248&gt;'1-Input'!$B$26,AP247,(AP247-AL248)*(1+'5-Roberta'!$C$4))</f>
        <v>274727.95453929884</v>
      </c>
      <c r="AO248" s="18">
        <f>IF($A248&gt;'1-Input'!$B$26,AM248,AM248-'P-Parametri'!$B$8*(AN248+AM248)+MIN(MAX(AN248,0),'P-Parametri'!$B$8*(AN248+AM248)))</f>
        <v>0</v>
      </c>
      <c r="AP248" s="18">
        <f>IF($A248&gt;'1-Input'!$B$26,AN248,AN248-MIN(MAX(AN248,0),'P-Parametri'!$B$8*(AN248+AM248)))</f>
        <v>274178.49863022025</v>
      </c>
      <c r="AQ248" s="18">
        <f>IF($A248&gt;'1-Input'!$B$26,AQ247,AQ247-AL248*(1-AK248))</f>
        <v>142113.52790988944</v>
      </c>
    </row>
    <row r="249" spans="1:43">
      <c r="A249" s="10">
        <f>16</f>
        <v>16</v>
      </c>
      <c r="B249" s="11">
        <f>IF($A249&gt;'1-Input'!$B$26,0,IF(G248&lt;=0,0,MAX(0,(G248-H248)/G248)))</f>
        <v>0.48167515461686344</v>
      </c>
      <c r="C249" s="18">
        <f>IF($A249&gt;'1-Input'!$B$26,0,(MAX(0,B231-IF($A249&gt;='1-Input'!$C$12,'1-Input'!$B$12,0))-MIN(MAX(F248,0),MAX(0,B231-IF($A249&gt;='1-Input'!$C$12,'1-Input'!$B$12,0))))*(1/(1-'P-Parametri'!$B$6*B249))+MIN(MAX(0,G248-(MAX(0,B231-IF($A249&gt;='1-Input'!$C$12,'1-Input'!$B$12,0))-MIN(MAX(F248,0),MAX(0,B231-IF($A249&gt;='1-Input'!$C$12,'1-Input'!$B$12,0))))*(1/(1-'P-Parametri'!$B$6*B249))),MAX(0,0*B231-(F248-MIN(MAX(F248,0),MAX(0,B231-IF($A249&gt;='1-Input'!$C$12,'1-Input'!$B$12,0)))))*(1/(1-'P-Parametri'!$B$6*B249))))</f>
        <v>19069.196430827764</v>
      </c>
      <c r="D249" s="18">
        <f>IF($A249&gt;'1-Input'!$B$26,F248,(F248-MAX(0,B231-IF($A249&gt;='1-Input'!$C$12,'1-Input'!$B$12,0))+C249*(1-'P-Parametri'!$B$6*B249))*(1+ROUND('3-Liquidita'!$F$7,4)))</f>
        <v>3.6608980735763906E-12</v>
      </c>
      <c r="E249" s="18">
        <f>IF($A249&gt;'1-Input'!$B$26,G248,(G248-C249)*(1+'5-Roberta'!$C$4))</f>
        <v>308820.30548811343</v>
      </c>
      <c r="F249" s="18">
        <f>IF($A249&gt;'1-Input'!$B$26,D249,D249-'P-Parametri'!$B$8*(E249+D249)+MIN(MAX(E249,0),'P-Parametri'!$B$8*(E249+D249)))</f>
        <v>3.637978807091713E-12</v>
      </c>
      <c r="G249" s="18">
        <f>IF($A249&gt;'1-Input'!$B$26,E249,E249-MIN(MAX(E249,0),'P-Parametri'!$B$8*(E249+D249)))</f>
        <v>308202.66487713723</v>
      </c>
      <c r="H249" s="18">
        <f>IF($A249&gt;'1-Input'!$B$26,H248,H248-C249*(1-B249))</f>
        <v>155407.02630417416</v>
      </c>
      <c r="I249" s="11">
        <f>IF($A249&gt;'1-Input'!$B$26,0,IF(N248&lt;=0,0,MAX(0,(N248-O248)/N248)))</f>
        <v>0.48167515461686389</v>
      </c>
      <c r="J249" s="18">
        <f>IF($A249&gt;'1-Input'!$B$26,0,(MAX(0,I231-IF($A249&gt;='1-Input'!$C$12,'1-Input'!$B$12,0))-MIN(MAX(M248,0),MAX(0,I231-IF($A249&gt;='1-Input'!$C$12,'1-Input'!$B$12,0))))*(1/(1-'P-Parametri'!$B$6*I249))+MIN(MAX(0,N248-(MAX(0,I231-IF($A249&gt;='1-Input'!$C$12,'1-Input'!$B$12,0))-MIN(MAX(M248,0),MAX(0,I231-IF($A249&gt;='1-Input'!$C$12,'1-Input'!$B$12,0))))*(1/(1-'P-Parametri'!$B$6*I249))),MAX(0,0*I231-(M248-MIN(MAX(M248,0),MAX(0,I231-IF($A249&gt;='1-Input'!$C$12,'1-Input'!$B$12,0)))))*(1/(1-'P-Parametri'!$B$6*I249))))</f>
        <v>25091.047935299692</v>
      </c>
      <c r="K249" s="18">
        <f>IF($A249&gt;'1-Input'!$B$26,M248,(M248-MAX(0,I231-IF($A249&gt;='1-Input'!$C$12,'1-Input'!$B$12,0))+J249*(1-'P-Parametri'!$B$6*I249))*(1+ROUND('3-Liquidita'!$F$7,4)))</f>
        <v>0</v>
      </c>
      <c r="L249" s="18">
        <f>IF($A249&gt;'1-Input'!$B$26,N248,(N248-J249)*(1+'5-Roberta'!$C$4))</f>
        <v>190473.00508865056</v>
      </c>
      <c r="M249" s="18">
        <f>IF($A249&gt;'1-Input'!$B$26,K249,K249-'P-Parametri'!$B$8*(L249+K249)+MIN(MAX(L249,0),'P-Parametri'!$B$8*(L249+K249)))</f>
        <v>0</v>
      </c>
      <c r="N249" s="18">
        <f>IF($A249&gt;'1-Input'!$B$26,L249,L249-MIN(MAX(L249,0),'P-Parametri'!$B$8*(L249+K249)))</f>
        <v>190092.05907847325</v>
      </c>
      <c r="O249" s="18">
        <f>IF($A249&gt;'1-Input'!$B$26,O248,O248-J249*(1-I249))</f>
        <v>95851.350400229217</v>
      </c>
      <c r="P249" s="11">
        <f>IF($A249&gt;'1-Input'!$B$26,0,IF(U248&lt;=0,0,MAX(0,(U248-V248)/U248)))</f>
        <v>0.48167515461686361</v>
      </c>
      <c r="Q249" s="18">
        <f>IF($A249&gt;'1-Input'!$B$26,0,(MAX(0,P231-IF($A249&gt;='1-Input'!$C$12,'1-Input'!$B$12,0))-MIN(MAX(T248,0),MAX(0,P231-IF($A249&gt;='1-Input'!$C$12,'1-Input'!$B$12,0))))*(1/(1-'P-Parametri'!$B$6*P249))+MIN(MAX(0,U248-(MAX(0,P231-IF($A249&gt;='1-Input'!$C$12,'1-Input'!$B$12,0))-MIN(MAX(T248,0),MAX(0,P231-IF($A249&gt;='1-Input'!$C$12,'1-Input'!$B$12,0))))*(1/(1-'P-Parametri'!$B$6*P249))),MAX(0,0*P231-(T248-MIN(MAX(T248,0),MAX(0,P231-IF($A249&gt;='1-Input'!$C$12,'1-Input'!$B$12,0)))))*(1/(1-'P-Parametri'!$B$6*P249))))</f>
        <v>21828.778467591783</v>
      </c>
      <c r="R249" s="18">
        <f>IF($A249&gt;'1-Input'!$B$26,T248,(T248-MAX(0,P231-IF($A249&gt;='1-Input'!$C$12,'1-Input'!$B$12,0))+Q249*(1-'P-Parametri'!$B$6*P249))*(1+ROUND('3-Liquidita'!$F$7,4)))</f>
        <v>3.6608980735763906E-12</v>
      </c>
      <c r="S249" s="18">
        <f>IF($A249&gt;'1-Input'!$B$26,U248,(U248-Q249)*(1+'5-Roberta'!$C$4))</f>
        <v>254586.30718388045</v>
      </c>
      <c r="T249" s="18">
        <f>IF($A249&gt;'1-Input'!$B$26,R249,R249-'P-Parametri'!$B$8*(S249+R249)+MIN(MAX(S249,0),'P-Parametri'!$B$8*(S249+R249)))</f>
        <v>3.637978807091713E-12</v>
      </c>
      <c r="U249" s="18">
        <f>IF($A249&gt;'1-Input'!$B$26,S249,S249-MIN(MAX(S249,0),'P-Parametri'!$B$8*(S249+R249)))</f>
        <v>254077.13456951268</v>
      </c>
      <c r="V249" s="18">
        <f>IF($A249&gt;'1-Input'!$B$26,V248,V248-Q249*(1-P249))</f>
        <v>128114.95952208592</v>
      </c>
      <c r="W249" s="11">
        <f>IF($A249&gt;'1-Input'!$B$26,0,IF(AB248&lt;=0,0,MAX(0,(AB248-AC248)/AB248)))</f>
        <v>0.481675154616864</v>
      </c>
      <c r="X249" s="18">
        <f>IF($A249&gt;'1-Input'!$B$26,0,(MAX(0,W231-IF($A249&gt;='1-Input'!$C$12,'1-Input'!$B$12,0))-MIN(MAX(AA248,0),MAX(0,W231-IF($A249&gt;='1-Input'!$C$12,'1-Input'!$B$12,0))))*(1/(1-'P-Parametri'!$B$6*W249))+MIN(MAX(0,AB248-(MAX(0,W231-IF($A249&gt;='1-Input'!$C$12,'1-Input'!$B$12,0))-MIN(MAX(AA248,0),MAX(0,W231-IF($A249&gt;='1-Input'!$C$12,'1-Input'!$B$12,0))))*(1/(1-'P-Parametri'!$B$6*W249))),MAX(0,0*W231-(AA248-MIN(MAX(AA248,0),MAX(0,W231-IF($A249&gt;='1-Input'!$C$12,'1-Input'!$B$12,0)))))*(1/(1-'P-Parametri'!$B$6*W249))))</f>
        <v>21535.812727006749</v>
      </c>
      <c r="Y249" s="18">
        <f>IF($A249&gt;'1-Input'!$B$26,AA248,(AA248-MAX(0,W231-IF($A249&gt;='1-Input'!$C$12,'1-Input'!$B$12,0))+X249*(1-'P-Parametri'!$B$6*W249))*(1+ROUND('3-Liquidita'!$F$7,4)))</f>
        <v>0</v>
      </c>
      <c r="Z249" s="18">
        <f>IF($A249&gt;'1-Input'!$B$26,AB248,(AB248-X249)*(1+'5-Roberta'!$C$4))</f>
        <v>260343.95572138132</v>
      </c>
      <c r="AA249" s="18">
        <f>IF($A249&gt;'1-Input'!$B$26,Y249,Y249-'P-Parametri'!$B$8*(Z249+Y249)+MIN(MAX(Z249,0),'P-Parametri'!$B$8*(Z249+Y249)))</f>
        <v>0</v>
      </c>
      <c r="AB249" s="18">
        <f>IF($A249&gt;'1-Input'!$B$26,Z249,Z249-MIN(MAX(Z249,0),'P-Parametri'!$B$8*(Z249+Y249)))</f>
        <v>259823.26780993855</v>
      </c>
      <c r="AC249" s="18">
        <f>IF($A249&gt;'1-Input'!$B$26,AC248,AC248-X249*(1-W249))</f>
        <v>131012.36951040676</v>
      </c>
      <c r="AD249" s="11">
        <f>IF($A249&gt;'1-Input'!$B$26,0,IF(AI248&lt;=0,0,MAX(0,(AI248-AJ248)/AI248)))</f>
        <v>0.48167515461686417</v>
      </c>
      <c r="AE249" s="18">
        <f>IF($A249&gt;'1-Input'!$B$26,0,(MAX(0,AD231-IF($A249&gt;='1-Input'!$C$12,'1-Input'!$B$12,0))-MIN(MAX(AH248,0),MAX(0,AD231-IF($A249&gt;='1-Input'!$C$12,'1-Input'!$B$12,0))))*(1/(1-'P-Parametri'!$B$6*AD249))+MIN(MAX(0,AI248-(MAX(0,AD231-IF($A249&gt;='1-Input'!$C$12,'1-Input'!$B$12,0))-MIN(MAX(AH248,0),MAX(0,AD231-IF($A249&gt;='1-Input'!$C$12,'1-Input'!$B$12,0))))*(1/(1-'P-Parametri'!$B$6*AD249))),MAX(0,0*AD231-(AH248-MIN(MAX(AH248,0),MAX(0,AD231-IF($A249&gt;='1-Input'!$C$12,'1-Input'!$B$12,0)))))*(1/(1-'P-Parametri'!$B$6*AD249))))</f>
        <v>21543.567346442149</v>
      </c>
      <c r="AF249" s="18">
        <f>IF($A249&gt;'1-Input'!$B$26,AH248,(AH248-MAX(0,AD231-IF($A249&gt;='1-Input'!$C$12,'1-Input'!$B$12,0))+AE249*(1-'P-Parametri'!$B$6*AD249))*(1+ROUND('3-Liquidita'!$F$7,4)))</f>
        <v>0</v>
      </c>
      <c r="AG249" s="18">
        <f>IF($A249&gt;'1-Input'!$B$26,AI248,(AI248-AE249)*(1+'5-Roberta'!$C$4))</f>
        <v>260191.55437519675</v>
      </c>
      <c r="AH249" s="18">
        <f>IF($A249&gt;'1-Input'!$B$26,AF249,AF249-'P-Parametri'!$B$8*(AG249+AF249)+MIN(MAX(AG249,0),'P-Parametri'!$B$8*(AG249+AF249)))</f>
        <v>0</v>
      </c>
      <c r="AI249" s="18">
        <f>IF($A249&gt;'1-Input'!$B$26,AG249,AG249-MIN(MAX(AG249,0),'P-Parametri'!$B$8*(AG249+AF249)))</f>
        <v>259671.17126644636</v>
      </c>
      <c r="AJ249" s="18">
        <f>IF($A249&gt;'1-Input'!$B$26,AJ248,AJ248-AE249*(1-AD249))</f>
        <v>130935.67688497246</v>
      </c>
      <c r="AK249" s="11">
        <f>IF($A249&gt;'1-Input'!$B$26,0,IF(AP248&lt;=0,0,MAX(0,(AP248-AQ248)/AP248)))</f>
        <v>0.48167515461686339</v>
      </c>
      <c r="AL249" s="18">
        <f>IF($A249&gt;'1-Input'!$B$26,0,(MAX(0,AK231-IF($A249&gt;='1-Input'!$C$12,'1-Input'!$B$12,0))-MIN(MAX(AO248,0),MAX(0,AK231-IF($A249&gt;='1-Input'!$C$12,'1-Input'!$B$12,0))))*(1/(1-'P-Parametri'!$B$6*AK249))+MIN(MAX(0,AP248-(MAX(0,AK231-IF($A249&gt;='1-Input'!$C$12,'1-Input'!$B$12,0))-MIN(MAX(AO248,0),MAX(0,AK231-IF($A249&gt;='1-Input'!$C$12,'1-Input'!$B$12,0))))*(1/(1-'P-Parametri'!$B$6*AK249))),MAX(0,0*AK231-(AO248-MIN(MAX(AO248,0),MAX(0,AK231-IF($A249&gt;='1-Input'!$C$12,'1-Input'!$B$12,0)))))*(1/(1-'P-Parametri'!$B$6*AK249))))</f>
        <v>21542.363196920949</v>
      </c>
      <c r="AM249" s="18">
        <f>IF($A249&gt;'1-Input'!$B$26,AO248,(AO248-MAX(0,AK231-IF($A249&gt;='1-Input'!$C$12,'1-Input'!$B$12,0))+AL249*(1-'P-Parametri'!$B$6*AK249))*(1+ROUND('3-Liquidita'!$F$7,4)))</f>
        <v>3.6608980735763906E-12</v>
      </c>
      <c r="AN249" s="18">
        <f>IF($A249&gt;'1-Input'!$B$26,AP248,(AP248-AL249)*(1+'5-Roberta'!$C$4))</f>
        <v>260215.21949629829</v>
      </c>
      <c r="AO249" s="18">
        <f>IF($A249&gt;'1-Input'!$B$26,AM249,AM249-'P-Parametri'!$B$8*(AN249+AM249)+MIN(MAX(AN249,0),'P-Parametri'!$B$8*(AN249+AM249)))</f>
        <v>3.637978807091713E-12</v>
      </c>
      <c r="AP249" s="18">
        <f>IF($A249&gt;'1-Input'!$B$26,AN249,AN249-MIN(MAX(AN249,0),'P-Parametri'!$B$8*(AN249+AM249)))</f>
        <v>259694.78905730569</v>
      </c>
      <c r="AQ249" s="18">
        <f>IF($A249&gt;'1-Input'!$B$26,AQ248,AQ248-AL249*(1-AK249))</f>
        <v>130947.58583665802</v>
      </c>
    </row>
    <row r="250" spans="1:43">
      <c r="A250" s="10">
        <f>17</f>
        <v>17</v>
      </c>
      <c r="B250" s="11">
        <f>IF($A250&gt;'1-Input'!$B$26,0,IF(G249&lt;=0,0,MAX(0,(G249-H249)/G249)))</f>
        <v>0.4957635218172885</v>
      </c>
      <c r="C250" s="18">
        <f>IF($A250&gt;'1-Input'!$B$26,0,(MAX(0,B231-IF($A250&gt;='1-Input'!$C$12,'1-Input'!$B$12,0))-MIN(MAX(F249,0),MAX(0,B231-IF($A250&gt;='1-Input'!$C$12,'1-Input'!$B$12,0))))*(1/(1-'P-Parametri'!$B$6*B250))+MIN(MAX(0,G249-(MAX(0,B231-IF($A250&gt;='1-Input'!$C$12,'1-Input'!$B$12,0))-MIN(MAX(F249,0),MAX(0,B231-IF($A250&gt;='1-Input'!$C$12,'1-Input'!$B$12,0))))*(1/(1-'P-Parametri'!$B$6*B250))),MAX(0,0*B231-(F249-MIN(MAX(F249,0),MAX(0,B231-IF($A250&gt;='1-Input'!$C$12,'1-Input'!$B$12,0)))))*(1/(1-'P-Parametri'!$B$6*B250))))</f>
        <v>19149.382264574673</v>
      </c>
      <c r="D250" s="18">
        <f>IF($A250&gt;'1-Input'!$B$26,F249,(F249-MAX(0,B231-IF($A250&gt;='1-Input'!$C$12,'1-Input'!$B$12,0))+C250*(1-'P-Parametri'!$B$6*B250))*(1+ROUND('3-Liquidita'!$F$7,4)))</f>
        <v>-3.6608980735763906E-12</v>
      </c>
      <c r="E250" s="18">
        <f>IF($A250&gt;'1-Input'!$B$26,G249,(G249-C250)*(1+'5-Roberta'!$C$4))</f>
        <v>297724.88109093939</v>
      </c>
      <c r="F250" s="18">
        <f>IF($A250&gt;'1-Input'!$B$26,D250,D250-'P-Parametri'!$B$8*(E250+D250)+MIN(MAX(E250,0),'P-Parametri'!$B$8*(E250+D250)))</f>
        <v>-3.637978807091713E-12</v>
      </c>
      <c r="G250" s="18">
        <f>IF($A250&gt;'1-Input'!$B$26,E250,E250-MIN(MAX(E250,0),'P-Parametri'!$B$8*(E250+D250)))</f>
        <v>297129.43132875749</v>
      </c>
      <c r="H250" s="18">
        <f>IF($A250&gt;'1-Input'!$B$26,H249,H249-C250*(1-B250))</f>
        <v>145751.20923171056</v>
      </c>
      <c r="I250" s="11">
        <f>IF($A250&gt;'1-Input'!$B$26,0,IF(N249&lt;=0,0,MAX(0,(N249-O249)/N249)))</f>
        <v>0.49576352181728883</v>
      </c>
      <c r="J250" s="18">
        <f>IF($A250&gt;'1-Input'!$B$26,0,(MAX(0,I231-IF($A250&gt;='1-Input'!$C$12,'1-Input'!$B$12,0))-MIN(MAX(M249,0),MAX(0,I231-IF($A250&gt;='1-Input'!$C$12,'1-Input'!$B$12,0))))*(1/(1-'P-Parametri'!$B$6*I250))+MIN(MAX(0,N249-(MAX(0,I231-IF($A250&gt;='1-Input'!$C$12,'1-Input'!$B$12,0))-MIN(MAX(M249,0),MAX(0,I231-IF($A250&gt;='1-Input'!$C$12,'1-Input'!$B$12,0))))*(1/(1-'P-Parametri'!$B$6*I250))),MAX(0,0*I231-(M249-MIN(MAX(M249,0),MAX(0,I231-IF($A250&gt;='1-Input'!$C$12,'1-Input'!$B$12,0)))))*(1/(1-'P-Parametri'!$B$6*I250))))</f>
        <v>25196.555611282482</v>
      </c>
      <c r="K250" s="18">
        <f>IF($A250&gt;'1-Input'!$B$26,M249,(M249-MAX(0,I231-IF($A250&gt;='1-Input'!$C$12,'1-Input'!$B$12,0))+J250*(1-'P-Parametri'!$B$6*I250))*(1+ROUND('3-Liquidita'!$F$7,4)))</f>
        <v>0</v>
      </c>
      <c r="L250" s="18">
        <f>IF($A250&gt;'1-Input'!$B$26,N249,(N249-J250)*(1+'5-Roberta'!$C$4))</f>
        <v>169842.36857120652</v>
      </c>
      <c r="M250" s="18">
        <f>IF($A250&gt;'1-Input'!$B$26,K250,K250-'P-Parametri'!$B$8*(L250+K250)+MIN(MAX(L250,0),'P-Parametri'!$B$8*(L250+K250)))</f>
        <v>0</v>
      </c>
      <c r="N250" s="18">
        <f>IF($A250&gt;'1-Input'!$B$26,L250,L250-MIN(MAX(L250,0),'P-Parametri'!$B$8*(L250+K250)))</f>
        <v>169502.68383406411</v>
      </c>
      <c r="O250" s="18">
        <f>IF($A250&gt;'1-Input'!$B$26,O249,O249-J250*(1-I250))</f>
        <v>83146.327936461312</v>
      </c>
      <c r="P250" s="11">
        <f>IF($A250&gt;'1-Input'!$B$26,0,IF(U249&lt;=0,0,MAX(0,(U249-V249)/U249)))</f>
        <v>0.49576352181728855</v>
      </c>
      <c r="Q250" s="18">
        <f>IF($A250&gt;'1-Input'!$B$26,0,(MAX(0,P231-IF($A250&gt;='1-Input'!$C$12,'1-Input'!$B$12,0))-MIN(MAX(T249,0),MAX(0,P231-IF($A250&gt;='1-Input'!$C$12,'1-Input'!$B$12,0))))*(1/(1-'P-Parametri'!$B$6*P250))+MIN(MAX(0,U249-(MAX(0,P231-IF($A250&gt;='1-Input'!$C$12,'1-Input'!$B$12,0))-MIN(MAX(T249,0),MAX(0,P231-IF($A250&gt;='1-Input'!$C$12,'1-Input'!$B$12,0))))*(1/(1-'P-Parametri'!$B$6*P250))),MAX(0,0*P231-(T249-MIN(MAX(T249,0),MAX(0,P231-IF($A250&gt;='1-Input'!$C$12,'1-Input'!$B$12,0)))))*(1/(1-'P-Parametri'!$B$6*P250))))</f>
        <v>21920.568323942032</v>
      </c>
      <c r="R250" s="18">
        <f>IF($A250&gt;'1-Input'!$B$26,T249,(T249-MAX(0,P231-IF($A250&gt;='1-Input'!$C$12,'1-Input'!$B$12,0))+Q250*(1-'P-Parametri'!$B$6*P250))*(1+ROUND('3-Liquidita'!$F$7,4)))</f>
        <v>-3.6608980735763906E-12</v>
      </c>
      <c r="S250" s="18">
        <f>IF($A250&gt;'1-Input'!$B$26,U249,(U249-Q250)*(1+'5-Roberta'!$C$4))</f>
        <v>239121.26323293778</v>
      </c>
      <c r="T250" s="18">
        <f>IF($A250&gt;'1-Input'!$B$26,R250,R250-'P-Parametri'!$B$8*(S250+R250)+MIN(MAX(S250,0),'P-Parametri'!$B$8*(S250+R250)))</f>
        <v>-3.637978807091713E-12</v>
      </c>
      <c r="U250" s="18">
        <f>IF($A250&gt;'1-Input'!$B$26,S250,S250-MIN(MAX(S250,0),'P-Parametri'!$B$8*(S250+R250)))</f>
        <v>238643.0207064719</v>
      </c>
      <c r="V250" s="18">
        <f>IF($A250&gt;'1-Input'!$B$26,V249,V249-Q250*(1-P250))</f>
        <v>117061.80935065789</v>
      </c>
      <c r="W250" s="11">
        <f>IF($A250&gt;'1-Input'!$B$26,0,IF(AB249&lt;=0,0,MAX(0,(AB249-AC249)/AB249)))</f>
        <v>0.495763521817289</v>
      </c>
      <c r="X250" s="18">
        <f>IF($A250&gt;'1-Input'!$B$26,0,(MAX(0,W231-IF($A250&gt;='1-Input'!$C$12,'1-Input'!$B$12,0))-MIN(MAX(AA249,0),MAX(0,W231-IF($A250&gt;='1-Input'!$C$12,'1-Input'!$B$12,0))))*(1/(1-'P-Parametri'!$B$6*W250))+MIN(MAX(0,AB249-(MAX(0,W231-IF($A250&gt;='1-Input'!$C$12,'1-Input'!$B$12,0))-MIN(MAX(AA249,0),MAX(0,W231-IF($A250&gt;='1-Input'!$C$12,'1-Input'!$B$12,0))))*(1/(1-'P-Parametri'!$B$6*W250))),MAX(0,0*W231-(AA249-MIN(MAX(AA249,0),MAX(0,W231-IF($A250&gt;='1-Input'!$C$12,'1-Input'!$B$12,0)))))*(1/(1-'P-Parametri'!$B$6*W250))))</f>
        <v>21626.370664526385</v>
      </c>
      <c r="Y250" s="18">
        <f>IF($A250&gt;'1-Input'!$B$26,AA249,(AA249-MAX(0,W231-IF($A250&gt;='1-Input'!$C$12,'1-Input'!$B$12,0))+X250*(1-'P-Parametri'!$B$6*W250))*(1+ROUND('3-Liquidita'!$F$7,4)))</f>
        <v>0</v>
      </c>
      <c r="Z250" s="18">
        <f>IF($A250&gt;'1-Input'!$B$26,AB249,(AB249-X250)*(1+'5-Roberta'!$C$4))</f>
        <v>245342.80405977453</v>
      </c>
      <c r="AA250" s="18">
        <f>IF($A250&gt;'1-Input'!$B$26,Y250,Y250-'P-Parametri'!$B$8*(Z250+Y250)+MIN(MAX(Z250,0),'P-Parametri'!$B$8*(Z250+Y250)))</f>
        <v>0</v>
      </c>
      <c r="AB250" s="18">
        <f>IF($A250&gt;'1-Input'!$B$26,Z250,Z250-MIN(MAX(Z250,0),'P-Parametri'!$B$8*(Z250+Y250)))</f>
        <v>244852.11845165497</v>
      </c>
      <c r="AC250" s="18">
        <f>IF($A250&gt;'1-Input'!$B$26,AC249,AC249-X250*(1-W250))</f>
        <v>120107.56453065207</v>
      </c>
      <c r="AD250" s="11">
        <f>IF($A250&gt;'1-Input'!$B$26,0,IF(AI249&lt;=0,0,MAX(0,(AI249-AJ249)/AI249)))</f>
        <v>0.49576352181728911</v>
      </c>
      <c r="AE250" s="18">
        <f>IF($A250&gt;'1-Input'!$B$26,0,(MAX(0,AD231-IF($A250&gt;='1-Input'!$C$12,'1-Input'!$B$12,0))-MIN(MAX(AH249,0),MAX(0,AD231-IF($A250&gt;='1-Input'!$C$12,'1-Input'!$B$12,0))))*(1/(1-'P-Parametri'!$B$6*AD250))+MIN(MAX(0,AI249-(MAX(0,AD231-IF($A250&gt;='1-Input'!$C$12,'1-Input'!$B$12,0))-MIN(MAX(AH249,0),MAX(0,AD231-IF($A250&gt;='1-Input'!$C$12,'1-Input'!$B$12,0))))*(1/(1-'P-Parametri'!$B$6*AD250))),MAX(0,0*AD231-(AH249-MIN(MAX(AH249,0),MAX(0,AD231-IF($A250&gt;='1-Input'!$C$12,'1-Input'!$B$12,0)))))*(1/(1-'P-Parametri'!$B$6*AD250))))</f>
        <v>21634.157892080697</v>
      </c>
      <c r="AF250" s="18">
        <f>IF($A250&gt;'1-Input'!$B$26,AH249,(AH249-MAX(0,AD231-IF($A250&gt;='1-Input'!$C$12,'1-Input'!$B$12,0))+AE250*(1-'P-Parametri'!$B$6*AD250))*(1+ROUND('3-Liquidita'!$F$7,4)))</f>
        <v>0</v>
      </c>
      <c r="AG250" s="18">
        <f>IF($A250&gt;'1-Input'!$B$26,AI249,(AI249-AE250)*(1+'5-Roberta'!$C$4))</f>
        <v>245178.12377559664</v>
      </c>
      <c r="AH250" s="18">
        <f>IF($A250&gt;'1-Input'!$B$26,AF250,AF250-'P-Parametri'!$B$8*(AG250+AF250)+MIN(MAX(AG250,0),'P-Parametri'!$B$8*(AG250+AF250)))</f>
        <v>0</v>
      </c>
      <c r="AI250" s="18">
        <f>IF($A250&gt;'1-Input'!$B$26,AG250,AG250-MIN(MAX(AG250,0),'P-Parametri'!$B$8*(AG250+AF250)))</f>
        <v>244687.76752804546</v>
      </c>
      <c r="AJ250" s="18">
        <f>IF($A250&gt;'1-Input'!$B$26,AJ249,AJ249-AE250*(1-AD250))</f>
        <v>120026.94530102098</v>
      </c>
      <c r="AK250" s="11">
        <f>IF($A250&gt;'1-Input'!$B$26,0,IF(AP249&lt;=0,0,MAX(0,(AP249-AQ249)/AP249)))</f>
        <v>0.49576352181728839</v>
      </c>
      <c r="AL250" s="18">
        <f>IF($A250&gt;'1-Input'!$B$26,0,(MAX(0,AK231-IF($A250&gt;='1-Input'!$C$12,'1-Input'!$B$12,0))-MIN(MAX(AO249,0),MAX(0,AK231-IF($A250&gt;='1-Input'!$C$12,'1-Input'!$B$12,0))))*(1/(1-'P-Parametri'!$B$6*AK250))+MIN(MAX(0,AP249-(MAX(0,AK231-IF($A250&gt;='1-Input'!$C$12,'1-Input'!$B$12,0))-MIN(MAX(AO249,0),MAX(0,AK231-IF($A250&gt;='1-Input'!$C$12,'1-Input'!$B$12,0))))*(1/(1-'P-Parametri'!$B$6*AK250))),MAX(0,0*AK231-(AO249-MIN(MAX(AO249,0),MAX(0,AK231-IF($A250&gt;='1-Input'!$C$12,'1-Input'!$B$12,0)))))*(1/(1-'P-Parametri'!$B$6*AK250))))</f>
        <v>21632.948679119421</v>
      </c>
      <c r="AM250" s="18">
        <f>IF($A250&gt;'1-Input'!$B$26,AO249,(AO249-MAX(0,AK231-IF($A250&gt;='1-Input'!$C$12,'1-Input'!$B$12,0))+AL250*(1-'P-Parametri'!$B$6*AK250))*(1+ROUND('3-Liquidita'!$F$7,4)))</f>
        <v>0</v>
      </c>
      <c r="AN250" s="18">
        <f>IF($A250&gt;'1-Input'!$B$26,AP249,(AP249-AL250)*(1+'5-Roberta'!$C$4))</f>
        <v>245203.69558953185</v>
      </c>
      <c r="AO250" s="18">
        <f>IF($A250&gt;'1-Input'!$B$26,AM250,AM250-'P-Parametri'!$B$8*(AN250+AM250)+MIN(MAX(AN250,0),'P-Parametri'!$B$8*(AN250+AM250)))</f>
        <v>0</v>
      </c>
      <c r="AP250" s="18">
        <f>IF($A250&gt;'1-Input'!$B$26,AN250,AN250-MIN(MAX(AN250,0),'P-Parametri'!$B$8*(AN250+AM250)))</f>
        <v>244713.28819835279</v>
      </c>
      <c r="AQ250" s="18">
        <f>IF($A250&gt;'1-Input'!$B$26,AQ249,AQ249-AL250*(1-AK250))</f>
        <v>120039.4639819915</v>
      </c>
    </row>
    <row r="251" spans="1:43">
      <c r="A251" s="10">
        <f>18</f>
        <v>18</v>
      </c>
      <c r="B251" s="11">
        <f>IF($A251&gt;'1-Input'!$B$26,0,IF(G250&lt;=0,0,MAX(0,(G250-H250)/G250)))</f>
        <v>0.50946895910003343</v>
      </c>
      <c r="C251" s="18">
        <f>IF($A251&gt;'1-Input'!$B$26,0,(MAX(0,B231-IF($A251&gt;='1-Input'!$C$12,'1-Input'!$B$12,0))-MIN(MAX(F250,0),MAX(0,B231-IF($A251&gt;='1-Input'!$C$12,'1-Input'!$B$12,0))))*(1/(1-'P-Parametri'!$B$6*B251))+MIN(MAX(0,G250-(MAX(0,B231-IF($A251&gt;='1-Input'!$C$12,'1-Input'!$B$12,0))-MIN(MAX(F250,0),MAX(0,B231-IF($A251&gt;='1-Input'!$C$12,'1-Input'!$B$12,0))))*(1/(1-'P-Parametri'!$B$6*B251))),MAX(0,0*B231-(F250-MIN(MAX(F250,0),MAX(0,B231-IF($A251&gt;='1-Input'!$C$12,'1-Input'!$B$12,0)))))*(1/(1-'P-Parametri'!$B$6*B251))))</f>
        <v>19228.038375809145</v>
      </c>
      <c r="D251" s="18">
        <f>IF($A251&gt;'1-Input'!$B$26,F250,(F250-MAX(0,B231-IF($A251&gt;='1-Input'!$C$12,'1-Input'!$B$12,0))+C251*(1-'P-Parametri'!$B$6*B251))*(1+ROUND('3-Liquidita'!$F$7,4)))</f>
        <v>3.6608980735763906E-12</v>
      </c>
      <c r="E251" s="18">
        <f>IF($A251&gt;'1-Input'!$B$26,G250,(G250-C251)*(1+'5-Roberta'!$C$4))</f>
        <v>286238.4347415368</v>
      </c>
      <c r="F251" s="18">
        <f>IF($A251&gt;'1-Input'!$B$26,D251,D251-'P-Parametri'!$B$8*(E251+D251)+MIN(MAX(E251,0),'P-Parametri'!$B$8*(E251+D251)))</f>
        <v>3.637978807091713E-12</v>
      </c>
      <c r="G251" s="18">
        <f>IF($A251&gt;'1-Input'!$B$26,E251,E251-MIN(MAX(E251,0),'P-Parametri'!$B$8*(E251+D251)))</f>
        <v>285665.95787205372</v>
      </c>
      <c r="H251" s="18">
        <f>IF($A251&gt;'1-Input'!$B$26,H250,H250-C251*(1-B251))</f>
        <v>136319.2595527604</v>
      </c>
      <c r="I251" s="11">
        <f>IF($A251&gt;'1-Input'!$B$26,0,IF(N250&lt;=0,0,MAX(0,(N250-O250)/N250)))</f>
        <v>0.50946895910003398</v>
      </c>
      <c r="J251" s="18">
        <f>IF($A251&gt;'1-Input'!$B$26,0,(MAX(0,I231-IF($A251&gt;='1-Input'!$C$12,'1-Input'!$B$12,0))-MIN(MAX(M250,0),MAX(0,I231-IF($A251&gt;='1-Input'!$C$12,'1-Input'!$B$12,0))))*(1/(1-'P-Parametri'!$B$6*I251))+MIN(MAX(0,N250-(MAX(0,I231-IF($A251&gt;='1-Input'!$C$12,'1-Input'!$B$12,0))-MIN(MAX(M250,0),MAX(0,I231-IF($A251&gt;='1-Input'!$C$12,'1-Input'!$B$12,0))))*(1/(1-'P-Parametri'!$B$6*I251))),MAX(0,0*I231-(M250-MIN(MAX(M250,0),MAX(0,I231-IF($A251&gt;='1-Input'!$C$12,'1-Input'!$B$12,0)))))*(1/(1-'P-Parametri'!$B$6*I251))))</f>
        <v>25300.050494485713</v>
      </c>
      <c r="K251" s="18">
        <f>IF($A251&gt;'1-Input'!$B$26,M250,(M250-MAX(0,I231-IF($A251&gt;='1-Input'!$C$12,'1-Input'!$B$12,0))+J251*(1-'P-Parametri'!$B$6*I251))*(1+ROUND('3-Liquidita'!$F$7,4)))</f>
        <v>-3.6608980735763906E-12</v>
      </c>
      <c r="L251" s="18">
        <f>IF($A251&gt;'1-Input'!$B$26,N250,(N250-J251)*(1+'5-Roberta'!$C$4))</f>
        <v>148528.71233976577</v>
      </c>
      <c r="M251" s="18">
        <f>IF($A251&gt;'1-Input'!$B$26,K251,K251-'P-Parametri'!$B$8*(L251+K251)+MIN(MAX(L251,0),'P-Parametri'!$B$8*(L251+K251)))</f>
        <v>-3.637978807091713E-12</v>
      </c>
      <c r="N251" s="18">
        <f>IF($A251&gt;'1-Input'!$B$26,L251,L251-MIN(MAX(L251,0),'P-Parametri'!$B$8*(L251+K251)))</f>
        <v>148231.65491508623</v>
      </c>
      <c r="O251" s="18">
        <f>IF($A251&gt;'1-Input'!$B$26,O250,O250-J251*(1-I251))</f>
        <v>70735.867832579534</v>
      </c>
      <c r="P251" s="11">
        <f>IF($A251&gt;'1-Input'!$B$26,0,IF(U250&lt;=0,0,MAX(0,(U250-V250)/U250)))</f>
        <v>0.50946895910003365</v>
      </c>
      <c r="Q251" s="18">
        <f>IF($A251&gt;'1-Input'!$B$26,0,(MAX(0,P231-IF($A251&gt;='1-Input'!$C$12,'1-Input'!$B$12,0))-MIN(MAX(T250,0),MAX(0,P231-IF($A251&gt;='1-Input'!$C$12,'1-Input'!$B$12,0))))*(1/(1-'P-Parametri'!$B$6*P251))+MIN(MAX(0,U250-(MAX(0,P231-IF($A251&gt;='1-Input'!$C$12,'1-Input'!$B$12,0))-MIN(MAX(T250,0),MAX(0,P231-IF($A251&gt;='1-Input'!$C$12,'1-Input'!$B$12,0))))*(1/(1-'P-Parametri'!$B$6*P251))),MAX(0,0*P231-(T250-MIN(MAX(T250,0),MAX(0,P231-IF($A251&gt;='1-Input'!$C$12,'1-Input'!$B$12,0)))))*(1/(1-'P-Parametri'!$B$6*P251))))</f>
        <v>22010.607085328105</v>
      </c>
      <c r="R251" s="18">
        <f>IF($A251&gt;'1-Input'!$B$26,T250,(T250-MAX(0,P231-IF($A251&gt;='1-Input'!$C$12,'1-Input'!$B$12,0))+Q251*(1-'P-Parametri'!$B$6*P251))*(1+ROUND('3-Liquidita'!$F$7,4)))</f>
        <v>0</v>
      </c>
      <c r="S251" s="18">
        <f>IF($A251&gt;'1-Input'!$B$26,U250,(U250-Q251)*(1+'5-Roberta'!$C$4))</f>
        <v>223131.38602977811</v>
      </c>
      <c r="T251" s="18">
        <f>IF($A251&gt;'1-Input'!$B$26,R251,R251-'P-Parametri'!$B$8*(S251+R251)+MIN(MAX(S251,0),'P-Parametri'!$B$8*(S251+R251)))</f>
        <v>0</v>
      </c>
      <c r="U251" s="18">
        <f>IF($A251&gt;'1-Input'!$B$26,S251,S251-MIN(MAX(S251,0),'P-Parametri'!$B$8*(S251+R251)))</f>
        <v>222685.12325771854</v>
      </c>
      <c r="V251" s="18">
        <f>IF($A251&gt;'1-Input'!$B$26,V250,V250-Q251*(1-P251))</f>
        <v>106264.92334625171</v>
      </c>
      <c r="W251" s="11">
        <f>IF($A251&gt;'1-Input'!$B$26,0,IF(AB250&lt;=0,0,MAX(0,(AB250-AC250)/AB250)))</f>
        <v>0.50946895910003409</v>
      </c>
      <c r="X251" s="18">
        <f>IF($A251&gt;'1-Input'!$B$26,0,(MAX(0,W231-IF($A251&gt;='1-Input'!$C$12,'1-Input'!$B$12,0))-MIN(MAX(AA250,0),MAX(0,W231-IF($A251&gt;='1-Input'!$C$12,'1-Input'!$B$12,0))))*(1/(1-'P-Parametri'!$B$6*W251))+MIN(MAX(0,AB250-(MAX(0,W231-IF($A251&gt;='1-Input'!$C$12,'1-Input'!$B$12,0))-MIN(MAX(AA250,0),MAX(0,W231-IF($A251&gt;='1-Input'!$C$12,'1-Input'!$B$12,0))))*(1/(1-'P-Parametri'!$B$6*W251))),MAX(0,0*W231-(AA250-MIN(MAX(AA250,0),MAX(0,W231-IF($A251&gt;='1-Input'!$C$12,'1-Input'!$B$12,0)))))*(1/(1-'P-Parametri'!$B$6*W251))))</f>
        <v>21715.201008664088</v>
      </c>
      <c r="Y251" s="18">
        <f>IF($A251&gt;'1-Input'!$B$26,AA250,(AA250-MAX(0,W231-IF($A251&gt;='1-Input'!$C$12,'1-Input'!$B$12,0))+X251*(1-'P-Parametri'!$B$6*W251))*(1+ROUND('3-Liquidita'!$F$7,4)))</f>
        <v>0</v>
      </c>
      <c r="Z251" s="18">
        <f>IF($A251&gt;'1-Input'!$B$26,AB250,(AB250-X251)*(1+'5-Roberta'!$C$4))</f>
        <v>229831.02496628062</v>
      </c>
      <c r="AA251" s="18">
        <f>IF($A251&gt;'1-Input'!$B$26,Y251,Y251-'P-Parametri'!$B$8*(Z251+Y251)+MIN(MAX(Z251,0),'P-Parametri'!$B$8*(Z251+Y251)))</f>
        <v>0</v>
      </c>
      <c r="AB251" s="18">
        <f>IF($A251&gt;'1-Input'!$B$26,Z251,Z251-MIN(MAX(Z251,0),'P-Parametri'!$B$8*(Z251+Y251)))</f>
        <v>229371.36291634807</v>
      </c>
      <c r="AC251" s="18">
        <f>IF($A251&gt;'1-Input'!$B$26,AC250,AC250-X251*(1-W251))</f>
        <v>109455.58437652008</v>
      </c>
      <c r="AD251" s="11">
        <f>IF($A251&gt;'1-Input'!$B$26,0,IF(AI250&lt;=0,0,MAX(0,(AI250-AJ250)/AI250)))</f>
        <v>0.5094689591000342</v>
      </c>
      <c r="AE251" s="18">
        <f>IF($A251&gt;'1-Input'!$B$26,0,(MAX(0,AD231-IF($A251&gt;='1-Input'!$C$12,'1-Input'!$B$12,0))-MIN(MAX(AH250,0),MAX(0,AD231-IF($A251&gt;='1-Input'!$C$12,'1-Input'!$B$12,0))))*(1/(1-'P-Parametri'!$B$6*AD251))+MIN(MAX(0,AI250-(MAX(0,AD231-IF($A251&gt;='1-Input'!$C$12,'1-Input'!$B$12,0))-MIN(MAX(AH250,0),MAX(0,AD231-IF($A251&gt;='1-Input'!$C$12,'1-Input'!$B$12,0))))*(1/(1-'P-Parametri'!$B$6*AD251))),MAX(0,0*AD231-(AH250-MIN(MAX(AH250,0),MAX(0,AD231-IF($A251&gt;='1-Input'!$C$12,'1-Input'!$B$12,0)))))*(1/(1-'P-Parametri'!$B$6*AD251))))</f>
        <v>21723.020222265171</v>
      </c>
      <c r="AF251" s="18">
        <f>IF($A251&gt;'1-Input'!$B$26,AH250,(AH250-MAX(0,AD231-IF($A251&gt;='1-Input'!$C$12,'1-Input'!$B$12,0))+AE251*(1-'P-Parametri'!$B$6*AD251))*(1+ROUND('3-Liquidita'!$F$7,4)))</f>
        <v>0</v>
      </c>
      <c r="AG251" s="18">
        <f>IF($A251&gt;'1-Input'!$B$26,AI250,(AI250-AE251)*(1+'5-Roberta'!$C$4))</f>
        <v>229653.68972495373</v>
      </c>
      <c r="AH251" s="18">
        <f>IF($A251&gt;'1-Input'!$B$26,AF251,AF251-'P-Parametri'!$B$8*(AG251+AF251)+MIN(MAX(AG251,0),'P-Parametri'!$B$8*(AG251+AF251)))</f>
        <v>0</v>
      </c>
      <c r="AI251" s="18">
        <f>IF($A251&gt;'1-Input'!$B$26,AG251,AG251-MIN(MAX(AG251,0),'P-Parametri'!$B$8*(AG251+AF251)))</f>
        <v>229194.38234550381</v>
      </c>
      <c r="AJ251" s="18">
        <f>IF($A251&gt;'1-Input'!$B$26,AJ250,AJ250-AE251*(1-AD251))</f>
        <v>109371.12957990225</v>
      </c>
      <c r="AK251" s="11">
        <f>IF($A251&gt;'1-Input'!$B$26,0,IF(AP250&lt;=0,0,MAX(0,(AP250-AQ250)/AP250)))</f>
        <v>0.50946895910003343</v>
      </c>
      <c r="AL251" s="18">
        <f>IF($A251&gt;'1-Input'!$B$26,0,(MAX(0,AK231-IF($A251&gt;='1-Input'!$C$12,'1-Input'!$B$12,0))-MIN(MAX(AO250,0),MAX(0,AK231-IF($A251&gt;='1-Input'!$C$12,'1-Input'!$B$12,0))))*(1/(1-'P-Parametri'!$B$6*AK251))+MIN(MAX(0,AP250-(MAX(0,AK231-IF($A251&gt;='1-Input'!$C$12,'1-Input'!$B$12,0))-MIN(MAX(AO250,0),MAX(0,AK231-IF($A251&gt;='1-Input'!$C$12,'1-Input'!$B$12,0))))*(1/(1-'P-Parametri'!$B$6*AK251))),MAX(0,0*AK231-(AO250-MIN(MAX(AO250,0),MAX(0,AK231-IF($A251&gt;='1-Input'!$C$12,'1-Input'!$B$12,0)))))*(1/(1-'P-Parametri'!$B$6*AK251))))</f>
        <v>21721.806042460172</v>
      </c>
      <c r="AM251" s="18">
        <f>IF($A251&gt;'1-Input'!$B$26,AO250,(AO250-MAX(0,AK231-IF($A251&gt;='1-Input'!$C$12,'1-Input'!$B$12,0))+AL251*(1-'P-Parametri'!$B$6*AK251))*(1+ROUND('3-Liquidita'!$F$7,4)))</f>
        <v>0</v>
      </c>
      <c r="AN251" s="18">
        <f>IF($A251&gt;'1-Input'!$B$26,AP250,(AP250-AL251)*(1+'5-Roberta'!$C$4))</f>
        <v>229681.22662056942</v>
      </c>
      <c r="AO251" s="18">
        <f>IF($A251&gt;'1-Input'!$B$26,AM251,AM251-'P-Parametri'!$B$8*(AN251+AM251)+MIN(MAX(AN251,0),'P-Parametri'!$B$8*(AN251+AM251)))</f>
        <v>0</v>
      </c>
      <c r="AP251" s="18">
        <f>IF($A251&gt;'1-Input'!$B$26,AN251,AN251-MIN(MAX(AN251,0),'P-Parametri'!$B$8*(AN251+AM251)))</f>
        <v>229221.86416732828</v>
      </c>
      <c r="AQ251" s="18">
        <f>IF($A251&gt;'1-Input'!$B$26,AQ250,AQ250-AL251*(1-AK251))</f>
        <v>109384.24385375633</v>
      </c>
    </row>
    <row r="252" spans="1:43">
      <c r="A252" s="10">
        <f>19</f>
        <v>19</v>
      </c>
      <c r="B252" s="11">
        <f>IF($A252&gt;'1-Input'!$B$26,0,IF(G251&lt;=0,0,MAX(0,(G251-H251)/G251)))</f>
        <v>0.52280187472034689</v>
      </c>
      <c r="C252" s="18">
        <f>IF($A252&gt;'1-Input'!$B$26,0,(MAX(0,B231-IF($A252&gt;='1-Input'!$C$12,'1-Input'!$B$12,0))-MIN(MAX(F251,0),MAX(0,B231-IF($A252&gt;='1-Input'!$C$12,'1-Input'!$B$12,0))))*(1/(1-'P-Parametri'!$B$6*B252))+MIN(MAX(0,G251-(MAX(0,B231-IF($A252&gt;='1-Input'!$C$12,'1-Input'!$B$12,0))-MIN(MAX(F251,0),MAX(0,B231-IF($A252&gt;='1-Input'!$C$12,'1-Input'!$B$12,0))))*(1/(1-'P-Parametri'!$B$6*B252))),MAX(0,0*B231-(F251-MIN(MAX(F251,0),MAX(0,B231-IF($A252&gt;='1-Input'!$C$12,'1-Input'!$B$12,0)))))*(1/(1-'P-Parametri'!$B$6*B252))))</f>
        <v>19305.179110649275</v>
      </c>
      <c r="D252" s="18">
        <f>IF($A252&gt;'1-Input'!$B$26,F251,(F251-MAX(0,B231-IF($A252&gt;='1-Input'!$C$12,'1-Input'!$B$12,0))+C252*(1-'P-Parametri'!$B$6*B252))*(1+ROUND('3-Liquidita'!$F$7,4)))</f>
        <v>0</v>
      </c>
      <c r="E252" s="18">
        <f>IF($A252&gt;'1-Input'!$B$26,G251,(G251-C252)*(1+'5-Roberta'!$C$4))</f>
        <v>274351.60212424659</v>
      </c>
      <c r="F252" s="18">
        <f>IF($A252&gt;'1-Input'!$B$26,D252,D252-'P-Parametri'!$B$8*(E252+D252)+MIN(MAX(E252,0),'P-Parametri'!$B$8*(E252+D252)))</f>
        <v>0</v>
      </c>
      <c r="G252" s="18">
        <f>IF($A252&gt;'1-Input'!$B$26,E252,E252-MIN(MAX(E252,0),'P-Parametri'!$B$8*(E252+D252)))</f>
        <v>273802.89891999809</v>
      </c>
      <c r="H252" s="18">
        <f>IF($A252&gt;'1-Input'!$B$26,H251,H251-C252*(1-B252))</f>
        <v>127106.86427297065</v>
      </c>
      <c r="I252" s="11">
        <f>IF($A252&gt;'1-Input'!$B$26,0,IF(N251&lt;=0,0,MAX(0,(N251-O251)/N251)))</f>
        <v>0.52280187472034756</v>
      </c>
      <c r="J252" s="18">
        <f>IF($A252&gt;'1-Input'!$B$26,0,(MAX(0,I231-IF($A252&gt;='1-Input'!$C$12,'1-Input'!$B$12,0))-MIN(MAX(M251,0),MAX(0,I231-IF($A252&gt;='1-Input'!$C$12,'1-Input'!$B$12,0))))*(1/(1-'P-Parametri'!$B$6*I252))+MIN(MAX(0,N251-(MAX(0,I231-IF($A252&gt;='1-Input'!$C$12,'1-Input'!$B$12,0))-MIN(MAX(M251,0),MAX(0,I231-IF($A252&gt;='1-Input'!$C$12,'1-Input'!$B$12,0))))*(1/(1-'P-Parametri'!$B$6*I252))),MAX(0,0*I231-(M251-MIN(MAX(M251,0),MAX(0,I231-IF($A252&gt;='1-Input'!$C$12,'1-Input'!$B$12,0)))))*(1/(1-'P-Parametri'!$B$6*I252))))</f>
        <v>25401.551461380641</v>
      </c>
      <c r="K252" s="18">
        <f>IF($A252&gt;'1-Input'!$B$26,M251,(M251-MAX(0,I231-IF($A252&gt;='1-Input'!$C$12,'1-Input'!$B$12,0))+J252*(1-'P-Parametri'!$B$6*I252))*(1+ROUND('3-Liquidita'!$F$7,4)))</f>
        <v>0</v>
      </c>
      <c r="L252" s="18">
        <f>IF($A252&gt;'1-Input'!$B$26,N251,(N251-J252)*(1+'5-Roberta'!$C$4))</f>
        <v>126515.00655731675</v>
      </c>
      <c r="M252" s="18">
        <f>IF($A252&gt;'1-Input'!$B$26,K252,K252-'P-Parametri'!$B$8*(L252+K252)+MIN(MAX(L252,0),'P-Parametri'!$B$8*(L252+K252)))</f>
        <v>0</v>
      </c>
      <c r="N252" s="18">
        <f>IF($A252&gt;'1-Input'!$B$26,L252,L252-MIN(MAX(L252,0),'P-Parametri'!$B$8*(L252+K252)))</f>
        <v>126261.97654420212</v>
      </c>
      <c r="O252" s="18">
        <f>IF($A252&gt;'1-Input'!$B$26,O251,O251-J252*(1-I252))</f>
        <v>58614.295096014073</v>
      </c>
      <c r="P252" s="11">
        <f>IF($A252&gt;'1-Input'!$B$26,0,IF(U251&lt;=0,0,MAX(0,(U251-V251)/U251)))</f>
        <v>0.52280187472034712</v>
      </c>
      <c r="Q252" s="18">
        <f>IF($A252&gt;'1-Input'!$B$26,0,(MAX(0,P231-IF($A252&gt;='1-Input'!$C$12,'1-Input'!$B$12,0))-MIN(MAX(T251,0),MAX(0,P231-IF($A252&gt;='1-Input'!$C$12,'1-Input'!$B$12,0))))*(1/(1-'P-Parametri'!$B$6*P252))+MIN(MAX(0,U251-(MAX(0,P231-IF($A252&gt;='1-Input'!$C$12,'1-Input'!$B$12,0))-MIN(MAX(T251,0),MAX(0,P231-IF($A252&gt;='1-Input'!$C$12,'1-Input'!$B$12,0))))*(1/(1-'P-Parametri'!$B$6*P252))),MAX(0,0*P231-(T251-MIN(MAX(T251,0),MAX(0,P231-IF($A252&gt;='1-Input'!$C$12,'1-Input'!$B$12,0)))))*(1/(1-'P-Parametri'!$B$6*P252))))</f>
        <v>22098.911173954009</v>
      </c>
      <c r="R252" s="18">
        <f>IF($A252&gt;'1-Input'!$B$26,T251,(T251-MAX(0,P231-IF($A252&gt;='1-Input'!$C$12,'1-Input'!$B$12,0))+Q252*(1-'P-Parametri'!$B$6*P252))*(1+ROUND('3-Liquidita'!$F$7,4)))</f>
        <v>0</v>
      </c>
      <c r="S252" s="18">
        <f>IF($A252&gt;'1-Input'!$B$26,U251,(U251-Q252)*(1+'5-Roberta'!$C$4))</f>
        <v>206603.79844627748</v>
      </c>
      <c r="T252" s="18">
        <f>IF($A252&gt;'1-Input'!$B$26,R252,R252-'P-Parametri'!$B$8*(S252+R252)+MIN(MAX(S252,0),'P-Parametri'!$B$8*(S252+R252)))</f>
        <v>0</v>
      </c>
      <c r="U252" s="18">
        <f>IF($A252&gt;'1-Input'!$B$26,S252,S252-MIN(MAX(S252,0),'P-Parametri'!$B$8*(S252+R252)))</f>
        <v>206190.59084938493</v>
      </c>
      <c r="V252" s="18">
        <f>IF($A252&gt;'1-Input'!$B$26,V251,V251-Q252*(1-P252))</f>
        <v>95719.364363319284</v>
      </c>
      <c r="W252" s="11">
        <f>IF($A252&gt;'1-Input'!$B$26,0,IF(AB251&lt;=0,0,MAX(0,(AB251-AC251)/AB251)))</f>
        <v>0.52280187472034756</v>
      </c>
      <c r="X252" s="18">
        <f>IF($A252&gt;'1-Input'!$B$26,0,(MAX(0,W231-IF($A252&gt;='1-Input'!$C$12,'1-Input'!$B$12,0))-MIN(MAX(AA251,0),MAX(0,W231-IF($A252&gt;='1-Input'!$C$12,'1-Input'!$B$12,0))))*(1/(1-'P-Parametri'!$B$6*W252))+MIN(MAX(0,AB251-(MAX(0,W231-IF($A252&gt;='1-Input'!$C$12,'1-Input'!$B$12,0))-MIN(MAX(AA251,0),MAX(0,W231-IF($A252&gt;='1-Input'!$C$12,'1-Input'!$B$12,0))))*(1/(1-'P-Parametri'!$B$6*W252))),MAX(0,0*W231-(AA251-MIN(MAX(AA251,0),MAX(0,W231-IF($A252&gt;='1-Input'!$C$12,'1-Input'!$B$12,0)))))*(1/(1-'P-Parametri'!$B$6*W252))))</f>
        <v>21802.319961220226</v>
      </c>
      <c r="Y252" s="18">
        <f>IF($A252&gt;'1-Input'!$B$26,AA251,(AA251-MAX(0,W231-IF($A252&gt;='1-Input'!$C$12,'1-Input'!$B$12,0))+X252*(1-'P-Parametri'!$B$6*W252))*(1+ROUND('3-Liquidita'!$F$7,4)))</f>
        <v>0</v>
      </c>
      <c r="Z252" s="18">
        <f>IF($A252&gt;'1-Input'!$B$26,AB251,(AB251-X252)*(1+'5-Roberta'!$C$4))</f>
        <v>213796.11424378169</v>
      </c>
      <c r="AA252" s="18">
        <f>IF($A252&gt;'1-Input'!$B$26,Y252,Y252-'P-Parametri'!$B$8*(Z252+Y252)+MIN(MAX(Z252,0),'P-Parametri'!$B$8*(Z252+Y252)))</f>
        <v>0</v>
      </c>
      <c r="AB252" s="18">
        <f>IF($A252&gt;'1-Input'!$B$26,Z252,Z252-MIN(MAX(Z252,0),'P-Parametri'!$B$8*(Z252+Y252)))</f>
        <v>213368.52201529412</v>
      </c>
      <c r="AC252" s="18">
        <f>IF($A252&gt;'1-Input'!$B$26,AC251,AC251-X252*(1-W252))</f>
        <v>99051.558164278642</v>
      </c>
      <c r="AD252" s="11">
        <f>IF($A252&gt;'1-Input'!$B$26,0,IF(AI251&lt;=0,0,MAX(0,(AI251-AJ251)/AI251)))</f>
        <v>0.52280187472034778</v>
      </c>
      <c r="AE252" s="18">
        <f>IF($A252&gt;'1-Input'!$B$26,0,(MAX(0,AD231-IF($A252&gt;='1-Input'!$C$12,'1-Input'!$B$12,0))-MIN(MAX(AH251,0),MAX(0,AD231-IF($A252&gt;='1-Input'!$C$12,'1-Input'!$B$12,0))))*(1/(1-'P-Parametri'!$B$6*AD252))+MIN(MAX(0,AI251-(MAX(0,AD231-IF($A252&gt;='1-Input'!$C$12,'1-Input'!$B$12,0))-MIN(MAX(AH251,0),MAX(0,AD231-IF($A252&gt;='1-Input'!$C$12,'1-Input'!$B$12,0))))*(1/(1-'P-Parametri'!$B$6*AD252))),MAX(0,0*AD231-(AH251-MIN(MAX(AH251,0),MAX(0,AD231-IF($A252&gt;='1-Input'!$C$12,'1-Input'!$B$12,0)))))*(1/(1-'P-Parametri'!$B$6*AD252))))</f>
        <v>21810.170544629884</v>
      </c>
      <c r="AF252" s="18">
        <f>IF($A252&gt;'1-Input'!$B$26,AH251,(AH251-MAX(0,AD231-IF($A252&gt;='1-Input'!$C$12,'1-Input'!$B$12,0))+AE252*(1-'P-Parametri'!$B$6*AD252))*(1+ROUND('3-Liquidita'!$F$7,4)))</f>
        <v>0</v>
      </c>
      <c r="AG252" s="18">
        <f>IF($A252&gt;'1-Input'!$B$26,AI251,(AI251-AE252)*(1+'5-Roberta'!$C$4))</f>
        <v>213605.73815490014</v>
      </c>
      <c r="AH252" s="18">
        <f>IF($A252&gt;'1-Input'!$B$26,AF252,AF252-'P-Parametri'!$B$8*(AG252+AF252)+MIN(MAX(AG252,0),'P-Parametri'!$B$8*(AG252+AF252)))</f>
        <v>0</v>
      </c>
      <c r="AI252" s="18">
        <f>IF($A252&gt;'1-Input'!$B$26,AG252,AG252-MIN(MAX(AG252,0),'P-Parametri'!$B$8*(AG252+AF252)))</f>
        <v>213178.52667859034</v>
      </c>
      <c r="AJ252" s="18">
        <f>IF($A252&gt;'1-Input'!$B$26,AJ251,AJ251-AE252*(1-AD252))</f>
        <v>98963.357083975381</v>
      </c>
      <c r="AK252" s="11">
        <f>IF($A252&gt;'1-Input'!$B$26,0,IF(AP251&lt;=0,0,MAX(0,(AP251-AQ251)/AP251)))</f>
        <v>0.522801874720347</v>
      </c>
      <c r="AL252" s="18">
        <f>IF($A252&gt;'1-Input'!$B$26,0,(MAX(0,AK231-IF($A252&gt;='1-Input'!$C$12,'1-Input'!$B$12,0))-MIN(MAX(AO251,0),MAX(0,AK231-IF($A252&gt;='1-Input'!$C$12,'1-Input'!$B$12,0))))*(1/(1-'P-Parametri'!$B$6*AK252))+MIN(MAX(0,AP251-(MAX(0,AK231-IF($A252&gt;='1-Input'!$C$12,'1-Input'!$B$12,0))-MIN(MAX(AO251,0),MAX(0,AK231-IF($A252&gt;='1-Input'!$C$12,'1-Input'!$B$12,0))))*(1/(1-'P-Parametri'!$B$6*AK252))),MAX(0,0*AK231-(AO251-MIN(MAX(AO251,0),MAX(0,AK231-IF($A252&gt;='1-Input'!$C$12,'1-Input'!$B$12,0)))))*(1/(1-'P-Parametri'!$B$6*AK252))))</f>
        <v>21808.95149367159</v>
      </c>
      <c r="AM252" s="18">
        <f>IF($A252&gt;'1-Input'!$B$26,AO251,(AO251-MAX(0,AK231-IF($A252&gt;='1-Input'!$C$12,'1-Input'!$B$12,0))+AL252*(1-'P-Parametri'!$B$6*AK252))*(1+ROUND('3-Liquidita'!$F$7,4)))</f>
        <v>0</v>
      </c>
      <c r="AN252" s="18">
        <f>IF($A252&gt;'1-Input'!$B$26,AP251,(AP251-AL252)*(1+'5-Roberta'!$C$4))</f>
        <v>213635.30005386638</v>
      </c>
      <c r="AO252" s="18">
        <f>IF($A252&gt;'1-Input'!$B$26,AM252,AM252-'P-Parametri'!$B$8*(AN252+AM252)+MIN(MAX(AN252,0),'P-Parametri'!$B$8*(AN252+AM252)))</f>
        <v>0</v>
      </c>
      <c r="AP252" s="18">
        <f>IF($A252&gt;'1-Input'!$B$26,AN252,AN252-MIN(MAX(AN252,0),'P-Parametri'!$B$8*(AN252+AM252)))</f>
        <v>213208.02945375865</v>
      </c>
      <c r="AQ252" s="18">
        <f>IF($A252&gt;'1-Input'!$B$26,AQ251,AQ251-AL252*(1-AK252))</f>
        <v>98977.053086661355</v>
      </c>
    </row>
    <row r="253" spans="1:43">
      <c r="A253" s="10">
        <f>20</f>
        <v>20</v>
      </c>
      <c r="B253" s="11">
        <f>IF($A253&gt;'1-Input'!$B$26,0,IF(G252&lt;=0,0,MAX(0,(G252-H252)/G252)))</f>
        <v>0.53577239403111743</v>
      </c>
      <c r="C253" s="18">
        <f>IF($A253&gt;'1-Input'!$B$26,0,(MAX(0,B231-IF($A253&gt;='1-Input'!$C$12,'1-Input'!$B$12,0))-MIN(MAX(F252,0),MAX(0,B231-IF($A253&gt;='1-Input'!$C$12,'1-Input'!$B$12,0))))*(1/(1-'P-Parametri'!$B$6*B253))+MIN(MAX(0,G252-(MAX(0,B231-IF($A253&gt;='1-Input'!$C$12,'1-Input'!$B$12,0))-MIN(MAX(F252,0),MAX(0,B231-IF($A253&gt;='1-Input'!$C$12,'1-Input'!$B$12,0))))*(1/(1-'P-Parametri'!$B$6*B253))),MAX(0,0*B231-(F252-MIN(MAX(F252,0),MAX(0,B231-IF($A253&gt;='1-Input'!$C$12,'1-Input'!$B$12,0)))))*(1/(1-'P-Parametri'!$B$6*B253))))</f>
        <v>19380.819396239931</v>
      </c>
      <c r="D253" s="18">
        <f>IF($A253&gt;'1-Input'!$B$26,F252,(F252-MAX(0,B231-IF($A253&gt;='1-Input'!$C$12,'1-Input'!$B$12,0))+C253*(1-'P-Parametri'!$B$6*B253))*(1+ROUND('3-Liquidita'!$F$7,4)))</f>
        <v>0</v>
      </c>
      <c r="E253" s="18">
        <f>IF($A253&gt;'1-Input'!$B$26,G252,(G252-C253)*(1+'5-Roberta'!$C$4))</f>
        <v>262054.7419094709</v>
      </c>
      <c r="F253" s="18">
        <f>IF($A253&gt;'1-Input'!$B$26,D253,D253-'P-Parametri'!$B$8*(E253+D253)+MIN(MAX(E253,0),'P-Parametri'!$B$8*(E253+D253)))</f>
        <v>0</v>
      </c>
      <c r="G253" s="18">
        <f>IF($A253&gt;'1-Input'!$B$26,E253,E253-MIN(MAX(E253,0),'P-Parametri'!$B$8*(E253+D253)))</f>
        <v>261530.63242565197</v>
      </c>
      <c r="H253" s="18">
        <f>IF($A253&gt;'1-Input'!$B$26,H252,H252-C253*(1-B253))</f>
        <v>118109.7528829389</v>
      </c>
      <c r="I253" s="11">
        <f>IF($A253&gt;'1-Input'!$B$26,0,IF(N252&lt;=0,0,MAX(0,(N252-O252)/N252)))</f>
        <v>0.53577239403111809</v>
      </c>
      <c r="J253" s="18">
        <f>IF($A253&gt;'1-Input'!$B$26,0,(MAX(0,I231-IF($A253&gt;='1-Input'!$C$12,'1-Input'!$B$12,0))-MIN(MAX(M252,0),MAX(0,I231-IF($A253&gt;='1-Input'!$C$12,'1-Input'!$B$12,0))))*(1/(1-'P-Parametri'!$B$6*I253))+MIN(MAX(0,N252-(MAX(0,I231-IF($A253&gt;='1-Input'!$C$12,'1-Input'!$B$12,0))-MIN(MAX(M252,0),MAX(0,I231-IF($A253&gt;='1-Input'!$C$12,'1-Input'!$B$12,0))))*(1/(1-'P-Parametri'!$B$6*I253))),MAX(0,0*I231-(M252-MIN(MAX(M252,0),MAX(0,I231-IF($A253&gt;='1-Input'!$C$12,'1-Input'!$B$12,0)))))*(1/(1-'P-Parametri'!$B$6*I253))))</f>
        <v>25501.078152947288</v>
      </c>
      <c r="K253" s="18">
        <f>IF($A253&gt;'1-Input'!$B$26,M252,(M252-MAX(0,I231-IF($A253&gt;='1-Input'!$C$12,'1-Input'!$B$12,0))+J253*(1-'P-Parametri'!$B$6*I253))*(1+ROUND('3-Liquidita'!$F$7,4)))</f>
        <v>0</v>
      </c>
      <c r="L253" s="18">
        <f>IF($A253&gt;'1-Input'!$B$26,N252,(N252-J253)*(1+'5-Roberta'!$C$4))</f>
        <v>103783.72534299247</v>
      </c>
      <c r="M253" s="18">
        <f>IF($A253&gt;'1-Input'!$B$26,K253,K253-'P-Parametri'!$B$8*(L253+K253)+MIN(MAX(L253,0),'P-Parametri'!$B$8*(L253+K253)))</f>
        <v>0</v>
      </c>
      <c r="N253" s="18">
        <f>IF($A253&gt;'1-Input'!$B$26,L253,L253-MIN(MAX(L253,0),'P-Parametri'!$B$8*(L253+K253)))</f>
        <v>103576.1578923065</v>
      </c>
      <c r="O253" s="18">
        <f>IF($A253&gt;'1-Input'!$B$26,O252,O252-J253*(1-I253))</f>
        <v>46775.990635445996</v>
      </c>
      <c r="P253" s="11">
        <f>IF($A253&gt;'1-Input'!$B$26,0,IF(U252&lt;=0,0,MAX(0,(U252-V252)/U252)))</f>
        <v>0.53577239403111776</v>
      </c>
      <c r="Q253" s="18">
        <f>IF($A253&gt;'1-Input'!$B$26,0,(MAX(0,P231-IF($A253&gt;='1-Input'!$C$12,'1-Input'!$B$12,0))-MIN(MAX(T252,0),MAX(0,P231-IF($A253&gt;='1-Input'!$C$12,'1-Input'!$B$12,0))))*(1/(1-'P-Parametri'!$B$6*P253))+MIN(MAX(0,U252-(MAX(0,P231-IF($A253&gt;='1-Input'!$C$12,'1-Input'!$B$12,0))-MIN(MAX(T252,0),MAX(0,P231-IF($A253&gt;='1-Input'!$C$12,'1-Input'!$B$12,0))))*(1/(1-'P-Parametri'!$B$6*P253))),MAX(0,0*P231-(T252-MIN(MAX(T252,0),MAX(0,P231-IF($A253&gt;='1-Input'!$C$12,'1-Input'!$B$12,0)))))*(1/(1-'P-Parametri'!$B$6*P253))))</f>
        <v>22185.497677133266</v>
      </c>
      <c r="R253" s="18">
        <f>IF($A253&gt;'1-Input'!$B$26,T252,(T252-MAX(0,P231-IF($A253&gt;='1-Input'!$C$12,'1-Input'!$B$12,0))+Q253*(1-'P-Parametri'!$B$6*P253))*(1+ROUND('3-Liquidita'!$F$7,4)))</f>
        <v>0</v>
      </c>
      <c r="S253" s="18">
        <f>IF($A253&gt;'1-Input'!$B$26,U252,(U252-Q253)*(1+'5-Roberta'!$C$4))</f>
        <v>189525.24596741921</v>
      </c>
      <c r="T253" s="18">
        <f>IF($A253&gt;'1-Input'!$B$26,R253,R253-'P-Parametri'!$B$8*(S253+R253)+MIN(MAX(S253,0),'P-Parametri'!$B$8*(S253+R253)))</f>
        <v>0</v>
      </c>
      <c r="U253" s="18">
        <f>IF($A253&gt;'1-Input'!$B$26,S253,S253-MIN(MAX(S253,0),'P-Parametri'!$B$8*(S253+R253)))</f>
        <v>189146.19547548436</v>
      </c>
      <c r="V253" s="18">
        <f>IF($A253&gt;'1-Input'!$B$26,V252,V252-Q253*(1-P253))</f>
        <v>85420.243889435515</v>
      </c>
      <c r="W253" s="11">
        <f>IF($A253&gt;'1-Input'!$B$26,0,IF(AB252&lt;=0,0,MAX(0,(AB252-AC252)/AB252)))</f>
        <v>0.5357723940311182</v>
      </c>
      <c r="X253" s="18">
        <f>IF($A253&gt;'1-Input'!$B$26,0,(MAX(0,W231-IF($A253&gt;='1-Input'!$C$12,'1-Input'!$B$12,0))-MIN(MAX(AA252,0),MAX(0,W231-IF($A253&gt;='1-Input'!$C$12,'1-Input'!$B$12,0))))*(1/(1-'P-Parametri'!$B$6*W253))+MIN(MAX(0,AB252-(MAX(0,W231-IF($A253&gt;='1-Input'!$C$12,'1-Input'!$B$12,0))-MIN(MAX(AA252,0),MAX(0,W231-IF($A253&gt;='1-Input'!$C$12,'1-Input'!$B$12,0))))*(1/(1-'P-Parametri'!$B$6*W253))),MAX(0,0*W231-(AA252-MIN(MAX(AA252,0),MAX(0,W231-IF($A253&gt;='1-Input'!$C$12,'1-Input'!$B$12,0)))))*(1/(1-'P-Parametri'!$B$6*W253))))</f>
        <v>21887.74438017813</v>
      </c>
      <c r="Y253" s="18">
        <f>IF($A253&gt;'1-Input'!$B$26,AA252,(AA252-MAX(0,W231-IF($A253&gt;='1-Input'!$C$12,'1-Input'!$B$12,0))+X253*(1-'P-Parametri'!$B$6*W253))*(1+ROUND('3-Liquidita'!$F$7,4)))</f>
        <v>0</v>
      </c>
      <c r="Z253" s="18">
        <f>IF($A253&gt;'1-Input'!$B$26,AB252,(AB252-X253)*(1+'5-Roberta'!$C$4))</f>
        <v>197225.20096416946</v>
      </c>
      <c r="AA253" s="18">
        <f>IF($A253&gt;'1-Input'!$B$26,Y253,Y253-'P-Parametri'!$B$8*(Z253+Y253)+MIN(MAX(Z253,0),'P-Parametri'!$B$8*(Z253+Y253)))</f>
        <v>0</v>
      </c>
      <c r="AB253" s="18">
        <f>IF($A253&gt;'1-Input'!$B$26,Z253,Z253-MIN(MAX(Z253,0),'P-Parametri'!$B$8*(Z253+Y253)))</f>
        <v>196830.75056224113</v>
      </c>
      <c r="AC253" s="18">
        <f>IF($A253&gt;'1-Input'!$B$26,AC252,AC252-X253*(1-W253))</f>
        <v>88890.662990609708</v>
      </c>
      <c r="AD253" s="11">
        <f>IF($A253&gt;'1-Input'!$B$26,0,IF(AI252&lt;=0,0,MAX(0,(AI252-AJ252)/AI252)))</f>
        <v>0.5357723940311182</v>
      </c>
      <c r="AE253" s="18">
        <f>IF($A253&gt;'1-Input'!$B$26,0,(MAX(0,AD231-IF($A253&gt;='1-Input'!$C$12,'1-Input'!$B$12,0))-MIN(MAX(AH252,0),MAX(0,AD231-IF($A253&gt;='1-Input'!$C$12,'1-Input'!$B$12,0))))*(1/(1-'P-Parametri'!$B$6*AD253))+MIN(MAX(0,AI252-(MAX(0,AD231-IF($A253&gt;='1-Input'!$C$12,'1-Input'!$B$12,0))-MIN(MAX(AH252,0),MAX(0,AD231-IF($A253&gt;='1-Input'!$C$12,'1-Input'!$B$12,0))))*(1/(1-'P-Parametri'!$B$6*AD253))),MAX(0,0*AD231-(AH252-MIN(MAX(AH252,0),MAX(0,AD231-IF($A253&gt;='1-Input'!$C$12,'1-Input'!$B$12,0)))))*(1/(1-'P-Parametri'!$B$6*AD253))))</f>
        <v>21895.625723228386</v>
      </c>
      <c r="AF253" s="18">
        <f>IF($A253&gt;'1-Input'!$B$26,AH252,(AH252-MAX(0,AD231-IF($A253&gt;='1-Input'!$C$12,'1-Input'!$B$12,0))+AE253*(1-'P-Parametri'!$B$6*AD253))*(1+ROUND('3-Liquidita'!$F$7,4)))</f>
        <v>0</v>
      </c>
      <c r="AG253" s="18">
        <f>IF($A253&gt;'1-Input'!$B$26,AI252,(AI252-AE253)*(1+'5-Roberta'!$C$4))</f>
        <v>197021.38798402282</v>
      </c>
      <c r="AH253" s="18">
        <f>IF($A253&gt;'1-Input'!$B$26,AF253,AF253-'P-Parametri'!$B$8*(AG253+AF253)+MIN(MAX(AG253,0),'P-Parametri'!$B$8*(AG253+AF253)))</f>
        <v>0</v>
      </c>
      <c r="AI253" s="18">
        <f>IF($A253&gt;'1-Input'!$B$26,AG253,AG253-MIN(MAX(AG253,0),'P-Parametri'!$B$8*(AG253+AF253)))</f>
        <v>196627.34520805479</v>
      </c>
      <c r="AJ253" s="18">
        <f>IF($A253&gt;'1-Input'!$B$26,AJ252,AJ252-AE253*(1-AD253))</f>
        <v>88798.803173290406</v>
      </c>
      <c r="AK253" s="11">
        <f>IF($A253&gt;'1-Input'!$B$26,0,IF(AP252&lt;=0,0,MAX(0,(AP252-AQ252)/AP252)))</f>
        <v>0.53577239403111754</v>
      </c>
      <c r="AL253" s="18">
        <f>IF($A253&gt;'1-Input'!$B$26,0,(MAX(0,AK231-IF($A253&gt;='1-Input'!$C$12,'1-Input'!$B$12,0))-MIN(MAX(AO252,0),MAX(0,AK231-IF($A253&gt;='1-Input'!$C$12,'1-Input'!$B$12,0))))*(1/(1-'P-Parametri'!$B$6*AK253))+MIN(MAX(0,AP252-(MAX(0,AK231-IF($A253&gt;='1-Input'!$C$12,'1-Input'!$B$12,0))-MIN(MAX(AO252,0),MAX(0,AK231-IF($A253&gt;='1-Input'!$C$12,'1-Input'!$B$12,0))))*(1/(1-'P-Parametri'!$B$6*AK253))),MAX(0,0*AK231-(AO252-MIN(MAX(AO252,0),MAX(0,AK231-IF($A253&gt;='1-Input'!$C$12,'1-Input'!$B$12,0)))))*(1/(1-'P-Parametri'!$B$6*AK253))))</f>
        <v>21894.401895864648</v>
      </c>
      <c r="AM253" s="18">
        <f>IF($A253&gt;'1-Input'!$B$26,AO252,(AO252-MAX(0,AK231-IF($A253&gt;='1-Input'!$C$12,'1-Input'!$B$12,0))+AL253*(1-'P-Parametri'!$B$6*AK253))*(1+ROUND('3-Liquidita'!$F$7,4)))</f>
        <v>0</v>
      </c>
      <c r="AN253" s="18">
        <f>IF($A253&gt;'1-Input'!$B$26,AP252,(AP252-AL253)*(1+'5-Roberta'!$C$4))</f>
        <v>197053.0363846308</v>
      </c>
      <c r="AO253" s="18">
        <f>IF($A253&gt;'1-Input'!$B$26,AM253,AM253-'P-Parametri'!$B$8*(AN253+AM253)+MIN(MAX(AN253,0),'P-Parametri'!$B$8*(AN253+AM253)))</f>
        <v>0</v>
      </c>
      <c r="AP253" s="18">
        <f>IF($A253&gt;'1-Input'!$B$26,AN253,AN253-MIN(MAX(AN253,0),'P-Parametri'!$B$8*(AN253+AM253)))</f>
        <v>196658.93031186154</v>
      </c>
      <c r="AQ253" s="18">
        <f>IF($A253&gt;'1-Input'!$B$26,AQ252,AQ252-AL253*(1-AK253))</f>
        <v>88813.067310423547</v>
      </c>
    </row>
    <row r="254" spans="1:43">
      <c r="A254" s="10">
        <f>21</f>
        <v>21</v>
      </c>
      <c r="B254" s="11">
        <f>IF($A254&gt;'1-Input'!$B$26,0,IF(G253&lt;=0,0,MAX(0,(G253-H253)/G253)))</f>
        <v>0.5483903671723227</v>
      </c>
      <c r="C254" s="18">
        <f>IF($A254&gt;'1-Input'!$B$26,0,(MAX(0,B231-IF($A254&gt;='1-Input'!$C$12,'1-Input'!$B$12,0))-MIN(MAX(F253,0),MAX(0,B231-IF($A254&gt;='1-Input'!$C$12,'1-Input'!$B$12,0))))*(1/(1-'P-Parametri'!$B$6*B254))+MIN(MAX(0,G253-(MAX(0,B231-IF($A254&gt;='1-Input'!$C$12,'1-Input'!$B$12,0))-MIN(MAX(F253,0),MAX(0,B231-IF($A254&gt;='1-Input'!$C$12,'1-Input'!$B$12,0))))*(1/(1-'P-Parametri'!$B$6*B254))),MAX(0,0*B231-(F253-MIN(MAX(F253,0),MAX(0,B231-IF($A254&gt;='1-Input'!$C$12,'1-Input'!$B$12,0)))))*(1/(1-'P-Parametri'!$B$6*B254))))</f>
        <v>19454.974701844756</v>
      </c>
      <c r="D254" s="18">
        <f>IF($A254&gt;'1-Input'!$B$26,F253,(F253-MAX(0,B231-IF($A254&gt;='1-Input'!$C$12,'1-Input'!$B$12,0))+C254*(1-'P-Parametri'!$B$6*B254))*(1+ROUND('3-Liquidita'!$F$7,4)))</f>
        <v>0</v>
      </c>
      <c r="E254" s="18">
        <f>IF($A254&gt;'1-Input'!$B$26,G253,(G253-C254)*(1+'5-Roberta'!$C$4))</f>
        <v>249337.92745552142</v>
      </c>
      <c r="F254" s="18">
        <f>IF($A254&gt;'1-Input'!$B$26,D254,D254-'P-Parametri'!$B$8*(E254+D254)+MIN(MAX(E254,0),'P-Parametri'!$B$8*(E254+D254)))</f>
        <v>0</v>
      </c>
      <c r="G254" s="18">
        <f>IF($A254&gt;'1-Input'!$B$26,E254,E254-MIN(MAX(E254,0),'P-Parametri'!$B$8*(E254+D254)))</f>
        <v>248839.25160061038</v>
      </c>
      <c r="H254" s="18">
        <f>IF($A254&gt;'1-Input'!$B$26,H253,H253-C254*(1-B254))</f>
        <v>109323.69890116704</v>
      </c>
      <c r="I254" s="11">
        <f>IF($A254&gt;'1-Input'!$B$26,0,IF(N253&lt;=0,0,MAX(0,(N253-O253)/N253)))</f>
        <v>0.54839036717232337</v>
      </c>
      <c r="J254" s="18">
        <f>IF($A254&gt;'1-Input'!$B$26,0,(MAX(0,I231-IF($A254&gt;='1-Input'!$C$12,'1-Input'!$B$12,0))-MIN(MAX(M253,0),MAX(0,I231-IF($A254&gt;='1-Input'!$C$12,'1-Input'!$B$12,0))))*(1/(1-'P-Parametri'!$B$6*I254))+MIN(MAX(0,N253-(MAX(0,I231-IF($A254&gt;='1-Input'!$C$12,'1-Input'!$B$12,0))-MIN(MAX(M253,0),MAX(0,I231-IF($A254&gt;='1-Input'!$C$12,'1-Input'!$B$12,0))))*(1/(1-'P-Parametri'!$B$6*I254))),MAX(0,0*I231-(M253-MIN(MAX(M253,0),MAX(0,I231-IF($A254&gt;='1-Input'!$C$12,'1-Input'!$B$12,0)))))*(1/(1-'P-Parametri'!$B$6*I254))))</f>
        <v>25598.650923479952</v>
      </c>
      <c r="K254" s="18">
        <f>IF($A254&gt;'1-Input'!$B$26,M253,(M253-MAX(0,I231-IF($A254&gt;='1-Input'!$C$12,'1-Input'!$B$12,0))+J254*(1-'P-Parametri'!$B$6*I254))*(1+ROUND('3-Liquidita'!$F$7,4)))</f>
        <v>0</v>
      </c>
      <c r="L254" s="18">
        <f>IF($A254&gt;'1-Input'!$B$26,N253,(N253-J254)*(1+'5-Roberta'!$C$4))</f>
        <v>80316.832177891352</v>
      </c>
      <c r="M254" s="18">
        <f>IF($A254&gt;'1-Input'!$B$26,K254,K254-'P-Parametri'!$B$8*(L254+K254)+MIN(MAX(L254,0),'P-Parametri'!$B$8*(L254+K254)))</f>
        <v>0</v>
      </c>
      <c r="N254" s="18">
        <f>IF($A254&gt;'1-Input'!$B$26,L254,L254-MIN(MAX(L254,0),'P-Parametri'!$B$8*(L254+K254)))</f>
        <v>80156.198513535564</v>
      </c>
      <c r="O254" s="18">
        <f>IF($A254&gt;'1-Input'!$B$26,O253,O253-J254*(1-I254))</f>
        <v>35215.39329100935</v>
      </c>
      <c r="P254" s="11">
        <f>IF($A254&gt;'1-Input'!$B$26,0,IF(U253&lt;=0,0,MAX(0,(U253-V253)/U253)))</f>
        <v>0.54839036717232303</v>
      </c>
      <c r="Q254" s="18">
        <f>IF($A254&gt;'1-Input'!$B$26,0,(MAX(0,P231-IF($A254&gt;='1-Input'!$C$12,'1-Input'!$B$12,0))-MIN(MAX(T253,0),MAX(0,P231-IF($A254&gt;='1-Input'!$C$12,'1-Input'!$B$12,0))))*(1/(1-'P-Parametri'!$B$6*P254))+MIN(MAX(0,U253-(MAX(0,P231-IF($A254&gt;='1-Input'!$C$12,'1-Input'!$B$12,0))-MIN(MAX(T253,0),MAX(0,P231-IF($A254&gt;='1-Input'!$C$12,'1-Input'!$B$12,0))))*(1/(1-'P-Parametri'!$B$6*P254))),MAX(0,0*P231-(T253-MIN(MAX(T253,0),MAX(0,P231-IF($A254&gt;='1-Input'!$C$12,'1-Input'!$B$12,0)))))*(1/(1-'P-Parametri'!$B$6*P254))))</f>
        <v>22270.384302750459</v>
      </c>
      <c r="R254" s="18">
        <f>IF($A254&gt;'1-Input'!$B$26,T253,(T253-MAX(0,P231-IF($A254&gt;='1-Input'!$C$12,'1-Input'!$B$12,0))+Q254*(1-'P-Parametri'!$B$6*P254))*(1+ROUND('3-Liquidita'!$F$7,4)))</f>
        <v>3.6608980735763906E-12</v>
      </c>
      <c r="S254" s="18">
        <f>IF($A254&gt;'1-Input'!$B$26,U253,(U253-Q254)*(1+'5-Roberta'!$C$4))</f>
        <v>171882.08550791591</v>
      </c>
      <c r="T254" s="18">
        <f>IF($A254&gt;'1-Input'!$B$26,R254,R254-'P-Parametri'!$B$8*(S254+R254)+MIN(MAX(S254,0),'P-Parametri'!$B$8*(S254+R254)))</f>
        <v>3.637978807091713E-12</v>
      </c>
      <c r="U254" s="18">
        <f>IF($A254&gt;'1-Input'!$B$26,S254,S254-MIN(MAX(S254,0),'P-Parametri'!$B$8*(S254+R254)))</f>
        <v>171538.32133690009</v>
      </c>
      <c r="V254" s="18">
        <f>IF($A254&gt;'1-Input'!$B$26,V253,V253-Q254*(1-P254))</f>
        <v>75362.723811539123</v>
      </c>
      <c r="W254" s="11">
        <f>IF($A254&gt;'1-Input'!$B$26,0,IF(AB253&lt;=0,0,MAX(0,(AB253-AC253)/AB253)))</f>
        <v>0.54839036717232348</v>
      </c>
      <c r="X254" s="18">
        <f>IF($A254&gt;'1-Input'!$B$26,0,(MAX(0,W231-IF($A254&gt;='1-Input'!$C$12,'1-Input'!$B$12,0))-MIN(MAX(AA253,0),MAX(0,W231-IF($A254&gt;='1-Input'!$C$12,'1-Input'!$B$12,0))))*(1/(1-'P-Parametri'!$B$6*W254))+MIN(MAX(0,AB253-(MAX(0,W231-IF($A254&gt;='1-Input'!$C$12,'1-Input'!$B$12,0))-MIN(MAX(AA253,0),MAX(0,W231-IF($A254&gt;='1-Input'!$C$12,'1-Input'!$B$12,0))))*(1/(1-'P-Parametri'!$B$6*W254))),MAX(0,0*W231-(AA253-MIN(MAX(AA253,0),MAX(0,W231-IF($A254&gt;='1-Input'!$C$12,'1-Input'!$B$12,0)))))*(1/(1-'P-Parametri'!$B$6*W254))))</f>
        <v>21971.49173576348</v>
      </c>
      <c r="Y254" s="18">
        <f>IF($A254&gt;'1-Input'!$B$26,AA253,(AA253-MAX(0,W231-IF($A254&gt;='1-Input'!$C$12,'1-Input'!$B$12,0))+X254*(1-'P-Parametri'!$B$6*W254))*(1+ROUND('3-Liquidita'!$F$7,4)))</f>
        <v>-3.6608980735763906E-12</v>
      </c>
      <c r="Z254" s="18">
        <f>IF($A254&gt;'1-Input'!$B$26,AB253,(AB253-X254)*(1+'5-Roberta'!$C$4))</f>
        <v>180105.03659127199</v>
      </c>
      <c r="AA254" s="18">
        <f>IF($A254&gt;'1-Input'!$B$26,Y254,Y254-'P-Parametri'!$B$8*(Z254+Y254)+MIN(MAX(Z254,0),'P-Parametri'!$B$8*(Z254+Y254)))</f>
        <v>-3.637978807091713E-12</v>
      </c>
      <c r="AB254" s="18">
        <f>IF($A254&gt;'1-Input'!$B$26,Z254,Z254-MIN(MAX(Z254,0),'P-Parametri'!$B$8*(Z254+Y254)))</f>
        <v>179744.82651808945</v>
      </c>
      <c r="AC254" s="18">
        <f>IF($A254&gt;'1-Input'!$B$26,AC253,AC253-X254*(1-W254))</f>
        <v>78968.125675145231</v>
      </c>
      <c r="AD254" s="11">
        <f>IF($A254&gt;'1-Input'!$B$26,0,IF(AI253&lt;=0,0,MAX(0,(AI253-AJ253)/AI253)))</f>
        <v>0.54839036717232359</v>
      </c>
      <c r="AE254" s="18">
        <f>IF($A254&gt;'1-Input'!$B$26,0,(MAX(0,AD231-IF($A254&gt;='1-Input'!$C$12,'1-Input'!$B$12,0))-MIN(MAX(AH253,0),MAX(0,AD231-IF($A254&gt;='1-Input'!$C$12,'1-Input'!$B$12,0))))*(1/(1-'P-Parametri'!$B$6*AD254))+MIN(MAX(0,AI253-(MAX(0,AD231-IF($A254&gt;='1-Input'!$C$12,'1-Input'!$B$12,0))-MIN(MAX(AH253,0),MAX(0,AD231-IF($A254&gt;='1-Input'!$C$12,'1-Input'!$B$12,0))))*(1/(1-'P-Parametri'!$B$6*AD254))),MAX(0,0*AD231-(AH253-MIN(MAX(AH253,0),MAX(0,AD231-IF($A254&gt;='1-Input'!$C$12,'1-Input'!$B$12,0)))))*(1/(1-'P-Parametri'!$B$6*AD254))))</f>
        <v>21979.403234577047</v>
      </c>
      <c r="AF254" s="18">
        <f>IF($A254&gt;'1-Input'!$B$26,AH253,(AH253-MAX(0,AD231-IF($A254&gt;='1-Input'!$C$12,'1-Input'!$B$12,0))+AE254*(1-'P-Parametri'!$B$6*AD254))*(1+ROUND('3-Liquidita'!$F$7,4)))</f>
        <v>-3.6608980735763906E-12</v>
      </c>
      <c r="AG254" s="18">
        <f>IF($A254&gt;'1-Input'!$B$26,AI253,(AI253-AE254)*(1+'5-Roberta'!$C$4))</f>
        <v>179887.38023268207</v>
      </c>
      <c r="AH254" s="18">
        <f>IF($A254&gt;'1-Input'!$B$26,AF254,AF254-'P-Parametri'!$B$8*(AG254+AF254)+MIN(MAX(AG254,0),'P-Parametri'!$B$8*(AG254+AF254)))</f>
        <v>-3.637978807091713E-12</v>
      </c>
      <c r="AI254" s="18">
        <f>IF($A254&gt;'1-Input'!$B$26,AG254,AG254-MIN(MAX(AG254,0),'P-Parametri'!$B$8*(AG254+AF254)))</f>
        <v>179527.6054722167</v>
      </c>
      <c r="AJ254" s="18">
        <f>IF($A254&gt;'1-Input'!$B$26,AJ253,AJ253-AE254*(1-AD254))</f>
        <v>78872.692948751617</v>
      </c>
      <c r="AK254" s="11">
        <f>IF($A254&gt;'1-Input'!$B$26,0,IF(AP253&lt;=0,0,MAX(0,(AP253-AQ253)/AP253)))</f>
        <v>0.54839036717232281</v>
      </c>
      <c r="AL254" s="18">
        <f>IF($A254&gt;'1-Input'!$B$26,0,(MAX(0,AK231-IF($A254&gt;='1-Input'!$C$12,'1-Input'!$B$12,0))-MIN(MAX(AO253,0),MAX(0,AK231-IF($A254&gt;='1-Input'!$C$12,'1-Input'!$B$12,0))))*(1/(1-'P-Parametri'!$B$6*AK254))+MIN(MAX(0,AP253-(MAX(0,AK231-IF($A254&gt;='1-Input'!$C$12,'1-Input'!$B$12,0))-MIN(MAX(AO253,0),MAX(0,AK231-IF($A254&gt;='1-Input'!$C$12,'1-Input'!$B$12,0))))*(1/(1-'P-Parametri'!$B$6*AK254))),MAX(0,0*AK231-(AO253-MIN(MAX(AO253,0),MAX(0,AK231-IF($A254&gt;='1-Input'!$C$12,'1-Input'!$B$12,0)))))*(1/(1-'P-Parametri'!$B$6*AK254))))</f>
        <v>21978.174724578883</v>
      </c>
      <c r="AM254" s="18">
        <f>IF($A254&gt;'1-Input'!$B$26,AO253,(AO253-MAX(0,AK231-IF($A254&gt;='1-Input'!$C$12,'1-Input'!$B$12,0))+AL254*(1-'P-Parametri'!$B$6*AK254))*(1+ROUND('3-Liquidita'!$F$7,4)))</f>
        <v>0</v>
      </c>
      <c r="AN254" s="18">
        <f>IF($A254&gt;'1-Input'!$B$26,AP253,(AP253-AL254)*(1+'5-Roberta'!$C$4))</f>
        <v>179921.17825490114</v>
      </c>
      <c r="AO254" s="18">
        <f>IF($A254&gt;'1-Input'!$B$26,AM254,AM254-'P-Parametri'!$B$8*(AN254+AM254)+MIN(MAX(AN254,0),'P-Parametri'!$B$8*(AN254+AM254)))</f>
        <v>0</v>
      </c>
      <c r="AP254" s="18">
        <f>IF($A254&gt;'1-Input'!$B$26,AN254,AN254-MIN(MAX(AN254,0),'P-Parametri'!$B$8*(AN254+AM254)))</f>
        <v>179561.33589839135</v>
      </c>
      <c r="AQ254" s="18">
        <f>IF($A254&gt;'1-Input'!$B$26,AQ253,AQ253-AL254*(1-AK254))</f>
        <v>78887.511892833936</v>
      </c>
    </row>
    <row r="255" spans="1:43">
      <c r="A255" s="10">
        <f>22</f>
        <v>22</v>
      </c>
      <c r="B255" s="11">
        <f>IF($A255&gt;'1-Input'!$B$26,0,IF(G254&lt;=0,0,MAX(0,(G254-H254)/G254)))</f>
        <v>0.56066537655147464</v>
      </c>
      <c r="C255" s="18">
        <f>IF($A255&gt;'1-Input'!$B$26,0,(MAX(0,B231-IF($A255&gt;='1-Input'!$C$12,'1-Input'!$B$12,0))-MIN(MAX(F254,0),MAX(0,B231-IF($A255&gt;='1-Input'!$C$12,'1-Input'!$B$12,0))))*(1/(1-'P-Parametri'!$B$6*B255))+MIN(MAX(0,G254-(MAX(0,B231-IF($A255&gt;='1-Input'!$C$12,'1-Input'!$B$12,0))-MIN(MAX(F254,0),MAX(0,B231-IF($A255&gt;='1-Input'!$C$12,'1-Input'!$B$12,0))))*(1/(1-'P-Parametri'!$B$6*B255))),MAX(0,0*B231-(F254-MIN(MAX(F254,0),MAX(0,B231-IF($A255&gt;='1-Input'!$C$12,'1-Input'!$B$12,0)))))*(1/(1-'P-Parametri'!$B$6*B255))))</f>
        <v>19527.661000745451</v>
      </c>
      <c r="D255" s="18">
        <f>IF($A255&gt;'1-Input'!$B$26,F254,(F254-MAX(0,B231-IF($A255&gt;='1-Input'!$C$12,'1-Input'!$B$12,0))+C255*(1-'P-Parametri'!$B$6*B255))*(1+ROUND('3-Liquidita'!$F$7,4)))</f>
        <v>0</v>
      </c>
      <c r="E255" s="18">
        <f>IF($A255&gt;'1-Input'!$B$26,G254,(G254-C255)*(1+'5-Roberta'!$C$4))</f>
        <v>236190.93831786088</v>
      </c>
      <c r="F255" s="18">
        <f>IF($A255&gt;'1-Input'!$B$26,D255,D255-'P-Parametri'!$B$8*(E255+D255)+MIN(MAX(E255,0),'P-Parametri'!$B$8*(E255+D255)))</f>
        <v>0</v>
      </c>
      <c r="G255" s="18">
        <f>IF($A255&gt;'1-Input'!$B$26,E255,E255-MIN(MAX(E255,0),'P-Parametri'!$B$8*(E255+D255)))</f>
        <v>235718.55644122517</v>
      </c>
      <c r="H255" s="18">
        <f>IF($A255&gt;'1-Input'!$B$26,H254,H254-C255*(1-B255))</f>
        <v>100744.52130857408</v>
      </c>
      <c r="I255" s="11">
        <f>IF($A255&gt;'1-Input'!$B$26,0,IF(N254&lt;=0,0,MAX(0,(N254-O254)/N254)))</f>
        <v>0.56066537655147519</v>
      </c>
      <c r="J255" s="18">
        <f>IF($A255&gt;'1-Input'!$B$26,0,(MAX(0,I231-IF($A255&gt;='1-Input'!$C$12,'1-Input'!$B$12,0))-MIN(MAX(M254,0),MAX(0,I231-IF($A255&gt;='1-Input'!$C$12,'1-Input'!$B$12,0))))*(1/(1-'P-Parametri'!$B$6*I255))+MIN(MAX(0,N254-(MAX(0,I231-IF($A255&gt;='1-Input'!$C$12,'1-Input'!$B$12,0))-MIN(MAX(M254,0),MAX(0,I231-IF($A255&gt;='1-Input'!$C$12,'1-Input'!$B$12,0))))*(1/(1-'P-Parametri'!$B$6*I255))),MAX(0,0*I231-(M254-MIN(MAX(M254,0),MAX(0,I231-IF($A255&gt;='1-Input'!$C$12,'1-Input'!$B$12,0)))))*(1/(1-'P-Parametri'!$B$6*I255))))</f>
        <v>25694.290790454546</v>
      </c>
      <c r="K255" s="18">
        <f>IF($A255&gt;'1-Input'!$B$26,M254,(M254-MAX(0,I231-IF($A255&gt;='1-Input'!$C$12,'1-Input'!$B$12,0))+J255*(1-'P-Parametri'!$B$6*I255))*(1+ROUND('3-Liquidita'!$F$7,4)))</f>
        <v>0</v>
      </c>
      <c r="L255" s="18">
        <f>IF($A255&gt;'1-Input'!$B$26,N254,(N254-J255)*(1+'5-Roberta'!$C$4))</f>
        <v>56095.764954773455</v>
      </c>
      <c r="M255" s="18">
        <f>IF($A255&gt;'1-Input'!$B$26,K255,K255-'P-Parametri'!$B$8*(L255+K255)+MIN(MAX(L255,0),'P-Parametri'!$B$8*(L255+K255)))</f>
        <v>0</v>
      </c>
      <c r="N255" s="18">
        <f>IF($A255&gt;'1-Input'!$B$26,L255,L255-MIN(MAX(L255,0),'P-Parametri'!$B$8*(L255+K255)))</f>
        <v>55983.573424863906</v>
      </c>
      <c r="O255" s="18">
        <f>IF($A255&gt;'1-Input'!$B$26,O254,O254-J255*(1-I255))</f>
        <v>23927.001721808105</v>
      </c>
      <c r="P255" s="11">
        <f>IF($A255&gt;'1-Input'!$B$26,0,IF(U254&lt;=0,0,MAX(0,(U254-V254)/U254)))</f>
        <v>0.56066537655147475</v>
      </c>
      <c r="Q255" s="18">
        <f>IF($A255&gt;'1-Input'!$B$26,0,(MAX(0,P231-IF($A255&gt;='1-Input'!$C$12,'1-Input'!$B$12,0))-MIN(MAX(T254,0),MAX(0,P231-IF($A255&gt;='1-Input'!$C$12,'1-Input'!$B$12,0))))*(1/(1-'P-Parametri'!$B$6*P255))+MIN(MAX(0,U254-(MAX(0,P231-IF($A255&gt;='1-Input'!$C$12,'1-Input'!$B$12,0))-MIN(MAX(T254,0),MAX(0,P231-IF($A255&gt;='1-Input'!$C$12,'1-Input'!$B$12,0))))*(1/(1-'P-Parametri'!$B$6*P255))),MAX(0,0*P231-(T254-MIN(MAX(T254,0),MAX(0,P231-IF($A255&gt;='1-Input'!$C$12,'1-Input'!$B$12,0)))))*(1/(1-'P-Parametri'!$B$6*P255))))</f>
        <v>22353.58933564672</v>
      </c>
      <c r="R255" s="18">
        <f>IF($A255&gt;'1-Input'!$B$26,T254,(T254-MAX(0,P231-IF($A255&gt;='1-Input'!$C$12,'1-Input'!$B$12,0))+Q255*(1-'P-Parametri'!$B$6*P255))*(1+ROUND('3-Liquidita'!$F$7,4)))</f>
        <v>0</v>
      </c>
      <c r="S255" s="18">
        <f>IF($A255&gt;'1-Input'!$B$26,U254,(U254-Q255)*(1+'5-Roberta'!$C$4))</f>
        <v>153660.27396129098</v>
      </c>
      <c r="T255" s="18">
        <f>IF($A255&gt;'1-Input'!$B$26,R255,R255-'P-Parametri'!$B$8*(S255+R255)+MIN(MAX(S255,0),'P-Parametri'!$B$8*(S255+R255)))</f>
        <v>0</v>
      </c>
      <c r="U255" s="18">
        <f>IF($A255&gt;'1-Input'!$B$26,S255,S255-MIN(MAX(S255,0),'P-Parametri'!$B$8*(S255+R255)))</f>
        <v>153352.95341336841</v>
      </c>
      <c r="V255" s="18">
        <f>IF($A255&gt;'1-Input'!$B$26,V254,V254-Q255*(1-P255))</f>
        <v>65542.018058039801</v>
      </c>
      <c r="W255" s="11">
        <f>IF($A255&gt;'1-Input'!$B$26,0,IF(AB254&lt;=0,0,MAX(0,(AB254-AC254)/AB254)))</f>
        <v>0.5606653765514753</v>
      </c>
      <c r="X255" s="18">
        <f>IF($A255&gt;'1-Input'!$B$26,0,(MAX(0,W231-IF($A255&gt;='1-Input'!$C$12,'1-Input'!$B$12,0))-MIN(MAX(AA254,0),MAX(0,W231-IF($A255&gt;='1-Input'!$C$12,'1-Input'!$B$12,0))))*(1/(1-'P-Parametri'!$B$6*W255))+MIN(MAX(0,AB254-(MAX(0,W231-IF($A255&gt;='1-Input'!$C$12,'1-Input'!$B$12,0))-MIN(MAX(AA254,0),MAX(0,W231-IF($A255&gt;='1-Input'!$C$12,'1-Input'!$B$12,0))))*(1/(1-'P-Parametri'!$B$6*W255))),MAX(0,0*W231-(AA254-MIN(MAX(AA254,0),MAX(0,W231-IF($A255&gt;='1-Input'!$C$12,'1-Input'!$B$12,0)))))*(1/(1-'P-Parametri'!$B$6*W255))))</f>
        <v>22053.580067415158</v>
      </c>
      <c r="Y255" s="18">
        <f>IF($A255&gt;'1-Input'!$B$26,AA254,(AA254-MAX(0,W231-IF($A255&gt;='1-Input'!$C$12,'1-Input'!$B$12,0))+X255*(1-'P-Parametri'!$B$6*W255))*(1+ROUND('3-Liquidita'!$F$7,4)))</f>
        <v>0</v>
      </c>
      <c r="Z255" s="18">
        <f>IF($A255&gt;'1-Input'!$B$26,AB254,(AB254-X255)*(1+'5-Roberta'!$C$4))</f>
        <v>162421.9838441945</v>
      </c>
      <c r="AA255" s="18">
        <f>IF($A255&gt;'1-Input'!$B$26,Y255,Y255-'P-Parametri'!$B$8*(Z255+Y255)+MIN(MAX(Z255,0),'P-Parametri'!$B$8*(Z255+Y255)))</f>
        <v>0</v>
      </c>
      <c r="AB255" s="18">
        <f>IF($A255&gt;'1-Input'!$B$26,Z255,Z255-MIN(MAX(Z255,0),'P-Parametri'!$B$8*(Z255+Y255)))</f>
        <v>162097.13987650612</v>
      </c>
      <c r="AC255" s="18">
        <f>IF($A255&gt;'1-Input'!$B$26,AC254,AC254-X255*(1-W255))</f>
        <v>69279.22438053551</v>
      </c>
      <c r="AD255" s="11">
        <f>IF($A255&gt;'1-Input'!$B$26,0,IF(AI254&lt;=0,0,MAX(0,(AI254-AJ254)/AI254)))</f>
        <v>0.5606653765514753</v>
      </c>
      <c r="AE255" s="18">
        <f>IF($A255&gt;'1-Input'!$B$26,0,(MAX(0,AD231-IF($A255&gt;='1-Input'!$C$12,'1-Input'!$B$12,0))-MIN(MAX(AH254,0),MAX(0,AD231-IF($A255&gt;='1-Input'!$C$12,'1-Input'!$B$12,0))))*(1/(1-'P-Parametri'!$B$6*AD255))+MIN(MAX(0,AI254-(MAX(0,AD231-IF($A255&gt;='1-Input'!$C$12,'1-Input'!$B$12,0))-MIN(MAX(AH254,0),MAX(0,AD231-IF($A255&gt;='1-Input'!$C$12,'1-Input'!$B$12,0))))*(1/(1-'P-Parametri'!$B$6*AD255))),MAX(0,0*AD231-(AH254-MIN(MAX(AH254,0),MAX(0,AD231-IF($A255&gt;='1-Input'!$C$12,'1-Input'!$B$12,0)))))*(1/(1-'P-Parametri'!$B$6*AD255))))</f>
        <v>22061.521124610386</v>
      </c>
      <c r="AF255" s="18">
        <f>IF($A255&gt;'1-Input'!$B$26,AH254,(AH254-MAX(0,AD231-IF($A255&gt;='1-Input'!$C$12,'1-Input'!$B$12,0))+AE255*(1-'P-Parametri'!$B$6*AD255))*(1+ROUND('3-Liquidita'!$F$7,4)))</f>
        <v>0</v>
      </c>
      <c r="AG255" s="18">
        <f>IF($A255&gt;'1-Input'!$B$26,AI254,(AI254-AE255)*(1+'5-Roberta'!$C$4))</f>
        <v>162190.0668780345</v>
      </c>
      <c r="AH255" s="18">
        <f>IF($A255&gt;'1-Input'!$B$26,AF255,AF255-'P-Parametri'!$B$8*(AG255+AF255)+MIN(MAX(AG255,0),'P-Parametri'!$B$8*(AG255+AF255)))</f>
        <v>0</v>
      </c>
      <c r="AI255" s="18">
        <f>IF($A255&gt;'1-Input'!$B$26,AG255,AG255-MIN(MAX(AG255,0),'P-Parametri'!$B$8*(AG255+AF255)))</f>
        <v>161865.68674427844</v>
      </c>
      <c r="AJ255" s="18">
        <f>IF($A255&gt;'1-Input'!$B$26,AJ254,AJ254-AE255*(1-AD255))</f>
        <v>69180.302872769244</v>
      </c>
      <c r="AK255" s="11">
        <f>IF($A255&gt;'1-Input'!$B$26,0,IF(AP254&lt;=0,0,MAX(0,(AP254-AQ254)/AP254)))</f>
        <v>0.56066537655147464</v>
      </c>
      <c r="AL255" s="18">
        <f>IF($A255&gt;'1-Input'!$B$26,0,(MAX(0,AK231-IF($A255&gt;='1-Input'!$C$12,'1-Input'!$B$12,0))-MIN(MAX(AO254,0),MAX(0,AK231-IF($A255&gt;='1-Input'!$C$12,'1-Input'!$B$12,0))))*(1/(1-'P-Parametri'!$B$6*AK255))+MIN(MAX(0,AP254-(MAX(0,AK231-IF($A255&gt;='1-Input'!$C$12,'1-Input'!$B$12,0))-MIN(MAX(AO254,0),MAX(0,AK231-IF($A255&gt;='1-Input'!$C$12,'1-Input'!$B$12,0))))*(1/(1-'P-Parametri'!$B$6*AK255))),MAX(0,0*AK231-(AO254-MIN(MAX(AO254,0),MAX(0,AK231-IF($A255&gt;='1-Input'!$C$12,'1-Input'!$B$12,0)))))*(1/(1-'P-Parametri'!$B$6*AK255))))</f>
        <v>22060.288024740148</v>
      </c>
      <c r="AM255" s="18">
        <f>IF($A255&gt;'1-Input'!$B$26,AO254,(AO254-MAX(0,AK231-IF($A255&gt;='1-Input'!$C$12,'1-Input'!$B$12,0))+AL255*(1-'P-Parametri'!$B$6*AK255))*(1+ROUND('3-Liquidita'!$F$7,4)))</f>
        <v>0</v>
      </c>
      <c r="AN255" s="18">
        <f>IF($A255&gt;'1-Input'!$B$26,AP254,(AP254-AL255)*(1+'5-Roberta'!$C$4))</f>
        <v>162226.07930986074</v>
      </c>
      <c r="AO255" s="18">
        <f>IF($A255&gt;'1-Input'!$B$26,AM255,AM255-'P-Parametri'!$B$8*(AN255+AM255)+MIN(MAX(AN255,0),'P-Parametri'!$B$8*(AN255+AM255)))</f>
        <v>0</v>
      </c>
      <c r="AP255" s="18">
        <f>IF($A255&gt;'1-Input'!$B$26,AN255,AN255-MIN(MAX(AN255,0),'P-Parametri'!$B$8*(AN255+AM255)))</f>
        <v>161901.62715124103</v>
      </c>
      <c r="AQ255" s="18">
        <f>IF($A255&gt;'1-Input'!$B$26,AQ254,AQ254-AL255*(1-AK255))</f>
        <v>69195.663560318702</v>
      </c>
    </row>
    <row r="256" spans="1:43">
      <c r="A256" s="10">
        <f>23</f>
        <v>23</v>
      </c>
      <c r="B256" s="11">
        <f>IF($A256&gt;'1-Input'!$B$26,0,IF(G255&lt;=0,0,MAX(0,(G255-H255)/G255)))</f>
        <v>0.5726067441207412</v>
      </c>
      <c r="C256" s="18">
        <f>IF($A256&gt;'1-Input'!$B$26,0,(MAX(0,B231-IF($A256&gt;='1-Input'!$C$12,'1-Input'!$B$12,0))-MIN(MAX(F255,0),MAX(0,B231-IF($A256&gt;='1-Input'!$C$12,'1-Input'!$B$12,0))))*(1/(1-'P-Parametri'!$B$6*B256))+MIN(MAX(0,G255-(MAX(0,B231-IF($A256&gt;='1-Input'!$C$12,'1-Input'!$B$12,0))-MIN(MAX(F255,0),MAX(0,B231-IF($A256&gt;='1-Input'!$C$12,'1-Input'!$B$12,0))))*(1/(1-'P-Parametri'!$B$6*B256))),MAX(0,0*B231-(F255-MIN(MAX(F255,0),MAX(0,B231-IF($A256&gt;='1-Input'!$C$12,'1-Input'!$B$12,0)))))*(1/(1-'P-Parametri'!$B$6*B256))))</f>
        <v>6554.9400657550368</v>
      </c>
      <c r="D256" s="18">
        <f>IF($A256&gt;'1-Input'!$B$26,F255,(F255-MAX(0,B231-IF($A256&gt;='1-Input'!$C$12,'1-Input'!$B$12,0))+C256*(1-'P-Parametri'!$B$6*B256))*(1+ROUND('3-Liquidita'!$F$7,4)))</f>
        <v>9.1522451839409766E-13</v>
      </c>
      <c r="E256" s="18">
        <f>IF($A256&gt;'1-Input'!$B$26,G255,(G255-C256)*(1+'5-Roberta'!$C$4))</f>
        <v>236038.52486673422</v>
      </c>
      <c r="F256" s="18">
        <f>IF($A256&gt;'1-Input'!$B$26,D256,D256-'P-Parametri'!$B$8*(E256+D256)+MIN(MAX(E256,0),'P-Parametri'!$B$8*(E256+D256)))</f>
        <v>9.0949470177292824E-13</v>
      </c>
      <c r="G256" s="18">
        <f>IF($A256&gt;'1-Input'!$B$26,E256,E256-MIN(MAX(E256,0),'P-Parametri'!$B$8*(E256+D256)))</f>
        <v>235566.44781700076</v>
      </c>
      <c r="H256" s="18">
        <f>IF($A256&gt;'1-Input'!$B$26,H255,H255-C256*(1-B256))</f>
        <v>97942.98413177763</v>
      </c>
      <c r="I256" s="11">
        <f>IF($A256&gt;'1-Input'!$B$26,0,IF(N255&lt;=0,0,MAX(0,(N255-O255)/N255)))</f>
        <v>0.57260674412074164</v>
      </c>
      <c r="J256" s="18">
        <f>IF($A256&gt;'1-Input'!$B$26,0,(MAX(0,I231-IF($A256&gt;='1-Input'!$C$12,'1-Input'!$B$12,0))-MIN(MAX(M255,0),MAX(0,I231-IF($A256&gt;='1-Input'!$C$12,'1-Input'!$B$12,0))))*(1/(1-'P-Parametri'!$B$6*I256))+MIN(MAX(0,N255-(MAX(0,I231-IF($A256&gt;='1-Input'!$C$12,'1-Input'!$B$12,0))-MIN(MAX(M255,0),MAX(0,I231-IF($A256&gt;='1-Input'!$C$12,'1-Input'!$B$12,0))))*(1/(1-'P-Parametri'!$B$6*I256))),MAX(0,0*I231-(M255-MIN(MAX(M255,0),MAX(0,I231-IF($A256&gt;='1-Input'!$C$12,'1-Input'!$B$12,0)))))*(1/(1-'P-Parametri'!$B$6*I256))))</f>
        <v>12744.0647182803</v>
      </c>
      <c r="K256" s="18">
        <f>IF($A256&gt;'1-Input'!$B$26,M255,(M255-MAX(0,I231-IF($A256&gt;='1-Input'!$C$12,'1-Input'!$B$12,0))+J256*(1-'P-Parametri'!$B$6*I256))*(1+ROUND('3-Liquidita'!$F$7,4)))</f>
        <v>-1.8304490367881953E-12</v>
      </c>
      <c r="L256" s="18">
        <f>IF($A256&gt;'1-Input'!$B$26,N255,(N255-J256)*(1+'5-Roberta'!$C$4))</f>
        <v>44536.693967781117</v>
      </c>
      <c r="M256" s="18">
        <f>IF($A256&gt;'1-Input'!$B$26,K256,K256-'P-Parametri'!$B$8*(L256+K256)+MIN(MAX(L256,0),'P-Parametri'!$B$8*(L256+K256)))</f>
        <v>-1.8332002582610585E-12</v>
      </c>
      <c r="N256" s="18">
        <f>IF($A256&gt;'1-Input'!$B$26,L256,L256-MIN(MAX(L256,0),'P-Parametri'!$B$8*(L256+K256)))</f>
        <v>44447.620579845556</v>
      </c>
      <c r="O256" s="18">
        <f>IF($A256&gt;'1-Input'!$B$26,O255,O255-J256*(1-I256))</f>
        <v>18480.274408726305</v>
      </c>
      <c r="P256" s="11">
        <f>IF($A256&gt;'1-Input'!$B$26,0,IF(U255&lt;=0,0,MAX(0,(U255-V255)/U255)))</f>
        <v>0.57260674412074131</v>
      </c>
      <c r="Q256" s="18">
        <f>IF($A256&gt;'1-Input'!$B$26,0,(MAX(0,P231-IF($A256&gt;='1-Input'!$C$12,'1-Input'!$B$12,0))-MIN(MAX(T255,0),MAX(0,P231-IF($A256&gt;='1-Input'!$C$12,'1-Input'!$B$12,0))))*(1/(1-'P-Parametri'!$B$6*P256))+MIN(MAX(0,U255-(MAX(0,P231-IF($A256&gt;='1-Input'!$C$12,'1-Input'!$B$12,0))-MIN(MAX(T255,0),MAX(0,P231-IF($A256&gt;='1-Input'!$C$12,'1-Input'!$B$12,0))))*(1/(1-'P-Parametri'!$B$6*P256))),MAX(0,0*P231-(T255-MIN(MAX(T255,0),MAX(0,P231-IF($A256&gt;='1-Input'!$C$12,'1-Input'!$B$12,0)))))*(1/(1-'P-Parametri'!$B$6*P256))))</f>
        <v>9391.1769277431795</v>
      </c>
      <c r="R256" s="18">
        <f>IF($A256&gt;'1-Input'!$B$26,T255,(T255-MAX(0,P231-IF($A256&gt;='1-Input'!$C$12,'1-Input'!$B$12,0))+Q256*(1-'P-Parametri'!$B$6*P256))*(1+ROUND('3-Liquidita'!$F$7,4)))</f>
        <v>0</v>
      </c>
      <c r="S256" s="18">
        <f>IF($A256&gt;'1-Input'!$B$26,U255,(U255-Q256)*(1+'5-Roberta'!$C$4))</f>
        <v>148280.62978019397</v>
      </c>
      <c r="T256" s="18">
        <f>IF($A256&gt;'1-Input'!$B$26,R256,R256-'P-Parametri'!$B$8*(S256+R256)+MIN(MAX(S256,0),'P-Parametri'!$B$8*(S256+R256)))</f>
        <v>0</v>
      </c>
      <c r="U256" s="18">
        <f>IF($A256&gt;'1-Input'!$B$26,S256,S256-MIN(MAX(S256,0),'P-Parametri'!$B$8*(S256+R256)))</f>
        <v>147984.06852063359</v>
      </c>
      <c r="V256" s="18">
        <f>IF($A256&gt;'1-Input'!$B$26,V255,V255-Q256*(1-P256))</f>
        <v>61528.29237435347</v>
      </c>
      <c r="W256" s="11">
        <f>IF($A256&gt;'1-Input'!$B$26,0,IF(AB255&lt;=0,0,MAX(0,(AB255-AC255)/AB255)))</f>
        <v>0.57260674412074164</v>
      </c>
      <c r="X256" s="18">
        <f>IF($A256&gt;'1-Input'!$B$26,0,(MAX(0,W231-IF($A256&gt;='1-Input'!$C$12,'1-Input'!$B$12,0))-MIN(MAX(AA255,0),MAX(0,W231-IF($A256&gt;='1-Input'!$C$12,'1-Input'!$B$12,0))))*(1/(1-'P-Parametri'!$B$6*W256))+MIN(MAX(0,AB255-(MAX(0,W231-IF($A256&gt;='1-Input'!$C$12,'1-Input'!$B$12,0))-MIN(MAX(AA255,0),MAX(0,W231-IF($A256&gt;='1-Input'!$C$12,'1-Input'!$B$12,0))))*(1/(1-'P-Parametri'!$B$6*W256))),MAX(0,0*W231-(AA255-MIN(MAX(AA255,0),MAX(0,W231-IF($A256&gt;='1-Input'!$C$12,'1-Input'!$B$12,0)))))*(1/(1-'P-Parametri'!$B$6*W256))))</f>
        <v>9090.0732744807883</v>
      </c>
      <c r="Y256" s="18">
        <f>IF($A256&gt;'1-Input'!$B$26,AA255,(AA255-MAX(0,W231-IF($A256&gt;='1-Input'!$C$12,'1-Input'!$B$12,0))+X256*(1-'P-Parametri'!$B$6*W256))*(1+ROUND('3-Liquidita'!$F$7,4)))</f>
        <v>0</v>
      </c>
      <c r="Z256" s="18">
        <f>IF($A256&gt;'1-Input'!$B$26,AB255,(AB255-X256)*(1+'5-Roberta'!$C$4))</f>
        <v>157597.27860008608</v>
      </c>
      <c r="AA256" s="18">
        <f>IF($A256&gt;'1-Input'!$B$26,Y256,Y256-'P-Parametri'!$B$8*(Z256+Y256)+MIN(MAX(Z256,0),'P-Parametri'!$B$8*(Z256+Y256)))</f>
        <v>0</v>
      </c>
      <c r="AB256" s="18">
        <f>IF($A256&gt;'1-Input'!$B$26,Z256,Z256-MIN(MAX(Z256,0),'P-Parametri'!$B$8*(Z256+Y256)))</f>
        <v>157282.08404288589</v>
      </c>
      <c r="AC256" s="18">
        <f>IF($A256&gt;'1-Input'!$B$26,AC255,AC255-X256*(1-W256))</f>
        <v>65394.188367574134</v>
      </c>
      <c r="AD256" s="11">
        <f>IF($A256&gt;'1-Input'!$B$26,0,IF(AI255&lt;=0,0,MAX(0,(AI255-AJ255)/AI255)))</f>
        <v>0.57260674412074186</v>
      </c>
      <c r="AE256" s="18">
        <f>IF($A256&gt;'1-Input'!$B$26,0,(MAX(0,AD231-IF($A256&gt;='1-Input'!$C$12,'1-Input'!$B$12,0))-MIN(MAX(AH255,0),MAX(0,AD231-IF($A256&gt;='1-Input'!$C$12,'1-Input'!$B$12,0))))*(1/(1-'P-Parametri'!$B$6*AD256))+MIN(MAX(0,AI255-(MAX(0,AD231-IF($A256&gt;='1-Input'!$C$12,'1-Input'!$B$12,0))-MIN(MAX(AH255,0),MAX(0,AD231-IF($A256&gt;='1-Input'!$C$12,'1-Input'!$B$12,0))))*(1/(1-'P-Parametri'!$B$6*AD256))),MAX(0,0*AD231-(AH255-MIN(MAX(AH255,0),MAX(0,AD231-IF($A256&gt;='1-Input'!$C$12,'1-Input'!$B$12,0)))))*(1/(1-'P-Parametri'!$B$6*AD256))))</f>
        <v>9098.0432993614977</v>
      </c>
      <c r="AF256" s="18">
        <f>IF($A256&gt;'1-Input'!$B$26,AH255,(AH255-MAX(0,AD231-IF($A256&gt;='1-Input'!$C$12,'1-Input'!$B$12,0))+AE256*(1-'P-Parametri'!$B$6*AD256))*(1+ROUND('3-Liquidita'!$F$7,4)))</f>
        <v>-9.1522451839409766E-13</v>
      </c>
      <c r="AG256" s="18">
        <f>IF($A256&gt;'1-Input'!$B$26,AI255,(AI255-AE256)*(1+'5-Roberta'!$C$4))</f>
        <v>157350.67274826445</v>
      </c>
      <c r="AH256" s="18">
        <f>IF($A256&gt;'1-Input'!$B$26,AF256,AF256-'P-Parametri'!$B$8*(AG256+AF256)+MIN(MAX(AG256,0),'P-Parametri'!$B$8*(AG256+AF256)))</f>
        <v>-9.0949470177292824E-13</v>
      </c>
      <c r="AI256" s="18">
        <f>IF($A256&gt;'1-Input'!$B$26,AG256,AG256-MIN(MAX(AG256,0),'P-Parametri'!$B$8*(AG256+AF256)))</f>
        <v>157035.97140276793</v>
      </c>
      <c r="AJ256" s="18">
        <f>IF($A256&gt;'1-Input'!$B$26,AJ255,AJ255-AE256*(1-AD256))</f>
        <v>65291.860524924661</v>
      </c>
      <c r="AK256" s="11">
        <f>IF($A256&gt;'1-Input'!$B$26,0,IF(AP255&lt;=0,0,MAX(0,(AP255-AQ255)/AP255)))</f>
        <v>0.57260674412074131</v>
      </c>
      <c r="AL256" s="18">
        <f>IF($A256&gt;'1-Input'!$B$26,0,(MAX(0,AK231-IF($A256&gt;='1-Input'!$C$12,'1-Input'!$B$12,0))-MIN(MAX(AO255,0),MAX(0,AK231-IF($A256&gt;='1-Input'!$C$12,'1-Input'!$B$12,0))))*(1/(1-'P-Parametri'!$B$6*AK256))+MIN(MAX(0,AP255-(MAX(0,AK231-IF($A256&gt;='1-Input'!$C$12,'1-Input'!$B$12,0))-MIN(MAX(AO255,0),MAX(0,AK231-IF($A256&gt;='1-Input'!$C$12,'1-Input'!$B$12,0))))*(1/(1-'P-Parametri'!$B$6*AK256))),MAX(0,0*AK231-(AO255-MIN(MAX(AO255,0),MAX(0,AK231-IF($A256&gt;='1-Input'!$C$12,'1-Input'!$B$12,0)))))*(1/(1-'P-Parametri'!$B$6*AK256))))</f>
        <v>9096.8057013434391</v>
      </c>
      <c r="AM256" s="18">
        <f>IF($A256&gt;'1-Input'!$B$26,AO255,(AO255-MAX(0,AK231-IF($A256&gt;='1-Input'!$C$12,'1-Input'!$B$12,0))+AL256*(1-'P-Parametri'!$B$6*AK256))*(1+ROUND('3-Liquidita'!$F$7,4)))</f>
        <v>9.1522451839409766E-13</v>
      </c>
      <c r="AN256" s="18">
        <f>IF($A256&gt;'1-Input'!$B$26,AP255,(AP255-AL256)*(1+'5-Roberta'!$C$4))</f>
        <v>157388.96609339453</v>
      </c>
      <c r="AO256" s="18">
        <f>IF($A256&gt;'1-Input'!$B$26,AM256,AM256-'P-Parametri'!$B$8*(AN256+AM256)+MIN(MAX(AN256,0),'P-Parametri'!$B$8*(AN256+AM256)))</f>
        <v>9.0949470177292824E-13</v>
      </c>
      <c r="AP256" s="18">
        <f>IF($A256&gt;'1-Input'!$B$26,AN256,AN256-MIN(MAX(AN256,0),'P-Parametri'!$B$8*(AN256+AM256)))</f>
        <v>157074.18816120774</v>
      </c>
      <c r="AQ256" s="18">
        <f>IF($A256&gt;'1-Input'!$B$26,AQ255,AQ255-AL256*(1-AK256))</f>
        <v>65307.750153520523</v>
      </c>
    </row>
    <row r="257" spans="1:43">
      <c r="A257" s="10">
        <f>24</f>
        <v>24</v>
      </c>
      <c r="B257" s="11">
        <f>IF($A257&gt;'1-Input'!$B$26,0,IF(G256&lt;=0,0,MAX(0,(G256-H256)/G256)))</f>
        <v>0.58422353845627284</v>
      </c>
      <c r="C257" s="18">
        <f>IF($A257&gt;'1-Input'!$B$26,0,(MAX(0,B231-IF($A257&gt;='1-Input'!$C$12,'1-Input'!$B$12,0))-MIN(MAX(F256,0),MAX(0,B231-IF($A257&gt;='1-Input'!$C$12,'1-Input'!$B$12,0))))*(1/(1-'P-Parametri'!$B$6*B257))+MIN(MAX(0,G256-(MAX(0,B231-IF($A257&gt;='1-Input'!$C$12,'1-Input'!$B$12,0))-MIN(MAX(F256,0),MAX(0,B231-IF($A257&gt;='1-Input'!$C$12,'1-Input'!$B$12,0))))*(1/(1-'P-Parametri'!$B$6*B257))),MAX(0,0*B231-(F256-MIN(MAX(F256,0),MAX(0,B231-IF($A257&gt;='1-Input'!$C$12,'1-Input'!$B$12,0)))))*(1/(1-'P-Parametri'!$B$6*B257))))</f>
        <v>6578.2843384532944</v>
      </c>
      <c r="D257" s="18">
        <f>IF($A257&gt;'1-Input'!$B$26,F256,(F256-MAX(0,B231-IF($A257&gt;='1-Input'!$C$12,'1-Input'!$B$12,0))+C257*(1-'P-Parametri'!$B$6*B257))*(1+ROUND('3-Liquidita'!$F$7,4)))</f>
        <v>0</v>
      </c>
      <c r="E257" s="18">
        <f>IF($A257&gt;'1-Input'!$B$26,G256,(G256-C257)*(1+'5-Roberta'!$C$4))</f>
        <v>235857.8083829039</v>
      </c>
      <c r="F257" s="18">
        <f>IF($A257&gt;'1-Input'!$B$26,D257,D257-'P-Parametri'!$B$8*(E257+D257)+MIN(MAX(E257,0),'P-Parametri'!$B$8*(E257+D257)))</f>
        <v>0</v>
      </c>
      <c r="G257" s="18">
        <f>IF($A257&gt;'1-Input'!$B$26,E257,E257-MIN(MAX(E257,0),'P-Parametri'!$B$8*(E257+D257)))</f>
        <v>235386.09276613808</v>
      </c>
      <c r="H257" s="18">
        <f>IF($A257&gt;'1-Input'!$B$26,H256,H256-C257*(1-B257))</f>
        <v>95207.888346506996</v>
      </c>
      <c r="I257" s="11">
        <f>IF($A257&gt;'1-Input'!$B$26,0,IF(N256&lt;=0,0,MAX(0,(N256-O256)/N256)))</f>
        <v>0.58422353845627339</v>
      </c>
      <c r="J257" s="18">
        <f>IF($A257&gt;'1-Input'!$B$26,0,(MAX(0,I231-IF($A257&gt;='1-Input'!$C$12,'1-Input'!$B$12,0))-MIN(MAX(M256,0),MAX(0,I231-IF($A257&gt;='1-Input'!$C$12,'1-Input'!$B$12,0))))*(1/(1-'P-Parametri'!$B$6*I257))+MIN(MAX(0,N256-(MAX(0,I231-IF($A257&gt;='1-Input'!$C$12,'1-Input'!$B$12,0))-MIN(MAX(M256,0),MAX(0,I231-IF($A257&gt;='1-Input'!$C$12,'1-Input'!$B$12,0))))*(1/(1-'P-Parametri'!$B$6*I257))),MAX(0,0*I231-(M256-MIN(MAX(M256,0),MAX(0,I231-IF($A257&gt;='1-Input'!$C$12,'1-Input'!$B$12,0)))))*(1/(1-'P-Parametri'!$B$6*I257))))</f>
        <v>12789.450476057413</v>
      </c>
      <c r="K257" s="18">
        <f>IF($A257&gt;'1-Input'!$B$26,M256,(M256-MAX(0,I231-IF($A257&gt;='1-Input'!$C$12,'1-Input'!$B$12,0))+J257*(1-'P-Parametri'!$B$6*I257))*(1+ROUND('3-Liquidita'!$F$7,4)))</f>
        <v>1.8304490367881953E-12</v>
      </c>
      <c r="L257" s="18">
        <f>IF($A257&gt;'1-Input'!$B$26,N256,(N256-J257)*(1+'5-Roberta'!$C$4))</f>
        <v>32607.915206901787</v>
      </c>
      <c r="M257" s="18">
        <f>IF($A257&gt;'1-Input'!$B$26,K257,K257-'P-Parametri'!$B$8*(L257+K257)+MIN(MAX(L257,0),'P-Parametri'!$B$8*(L257+K257)))</f>
        <v>1.8332002582610585E-12</v>
      </c>
      <c r="N257" s="18">
        <f>IF($A257&gt;'1-Input'!$B$26,L257,L257-MIN(MAX(L257,0),'P-Parametri'!$B$8*(L257+K257)))</f>
        <v>32542.699376487984</v>
      </c>
      <c r="O257" s="18">
        <f>IF($A257&gt;'1-Input'!$B$26,O256,O256-J257*(1-I257))</f>
        <v>13162.721944702425</v>
      </c>
      <c r="P257" s="11">
        <f>IF($A257&gt;'1-Input'!$B$26,0,IF(U256&lt;=0,0,MAX(0,(U256-V256)/U256)))</f>
        <v>0.58422353845627295</v>
      </c>
      <c r="Q257" s="18">
        <f>IF($A257&gt;'1-Input'!$B$26,0,(MAX(0,P231-IF($A257&gt;='1-Input'!$C$12,'1-Input'!$B$12,0))-MIN(MAX(T256,0),MAX(0,P231-IF($A257&gt;='1-Input'!$C$12,'1-Input'!$B$12,0))))*(1/(1-'P-Parametri'!$B$6*P257))+MIN(MAX(0,U256-(MAX(0,P231-IF($A257&gt;='1-Input'!$C$12,'1-Input'!$B$12,0))-MIN(MAX(T256,0),MAX(0,P231-IF($A257&gt;='1-Input'!$C$12,'1-Input'!$B$12,0))))*(1/(1-'P-Parametri'!$B$6*P257))),MAX(0,0*P231-(T256-MIN(MAX(T256,0),MAX(0,P231-IF($A257&gt;='1-Input'!$C$12,'1-Input'!$B$12,0)))))*(1/(1-'P-Parametri'!$B$6*P257))))</f>
        <v>9424.6219620165175</v>
      </c>
      <c r="R257" s="18">
        <f>IF($A257&gt;'1-Input'!$B$26,T256,(T256-MAX(0,P231-IF($A257&gt;='1-Input'!$C$12,'1-Input'!$B$12,0))+Q257*(1-'P-Parametri'!$B$6*P257))*(1+ROUND('3-Liquidita'!$F$7,4)))</f>
        <v>9.1522451839409766E-13</v>
      </c>
      <c r="S257" s="18">
        <f>IF($A257&gt;'1-Input'!$B$26,U256,(U256-Q257)*(1+'5-Roberta'!$C$4))</f>
        <v>142716.2299553756</v>
      </c>
      <c r="T257" s="18">
        <f>IF($A257&gt;'1-Input'!$B$26,R257,R257-'P-Parametri'!$B$8*(S257+R257)+MIN(MAX(S257,0),'P-Parametri'!$B$8*(S257+R257)))</f>
        <v>9.0949470177292824E-13</v>
      </c>
      <c r="U257" s="18">
        <f>IF($A257&gt;'1-Input'!$B$26,S257,S257-MIN(MAX(S257,0),'P-Parametri'!$B$8*(S257+R257)))</f>
        <v>142430.79749546485</v>
      </c>
      <c r="V257" s="18">
        <f>IF($A257&gt;'1-Input'!$B$26,V256,V256-Q257*(1-P257))</f>
        <v>57609.756403598942</v>
      </c>
      <c r="W257" s="11">
        <f>IF($A257&gt;'1-Input'!$B$26,0,IF(AB256&lt;=0,0,MAX(0,(AB256-AC256)/AB256)))</f>
        <v>0.58422353845627339</v>
      </c>
      <c r="X257" s="18">
        <f>IF($A257&gt;'1-Input'!$B$26,0,(MAX(0,W231-IF($A257&gt;='1-Input'!$C$12,'1-Input'!$B$12,0))-MIN(MAX(AA256,0),MAX(0,W231-IF($A257&gt;='1-Input'!$C$12,'1-Input'!$B$12,0))))*(1/(1-'P-Parametri'!$B$6*W257))+MIN(MAX(0,AB256-(MAX(0,W231-IF($A257&gt;='1-Input'!$C$12,'1-Input'!$B$12,0))-MIN(MAX(AA256,0),MAX(0,W231-IF($A257&gt;='1-Input'!$C$12,'1-Input'!$B$12,0))))*(1/(1-'P-Parametri'!$B$6*W257))),MAX(0,0*W231-(AA256-MIN(MAX(AA256,0),MAX(0,W231-IF($A257&gt;='1-Input'!$C$12,'1-Input'!$B$12,0)))))*(1/(1-'P-Parametri'!$B$6*W257))))</f>
        <v>9122.4459807508665</v>
      </c>
      <c r="Y257" s="18">
        <f>IF($A257&gt;'1-Input'!$B$26,AA256,(AA256-MAX(0,W231-IF($A257&gt;='1-Input'!$C$12,'1-Input'!$B$12,0))+X257*(1-'P-Parametri'!$B$6*W257))*(1+ROUND('3-Liquidita'!$F$7,4)))</f>
        <v>9.1522451839409766E-13</v>
      </c>
      <c r="Z257" s="18">
        <f>IF($A257&gt;'1-Input'!$B$26,AB256,(AB256-X257)*(1+'5-Roberta'!$C$4))</f>
        <v>152604.42720399908</v>
      </c>
      <c r="AA257" s="18">
        <f>IF($A257&gt;'1-Input'!$B$26,Y257,Y257-'P-Parametri'!$B$8*(Z257+Y257)+MIN(MAX(Z257,0),'P-Parametri'!$B$8*(Z257+Y257)))</f>
        <v>9.0949470177292824E-13</v>
      </c>
      <c r="AB257" s="18">
        <f>IF($A257&gt;'1-Input'!$B$26,Z257,Z257-MIN(MAX(Z257,0),'P-Parametri'!$B$8*(Z257+Y257)))</f>
        <v>152299.21834959107</v>
      </c>
      <c r="AC257" s="18">
        <f>IF($A257&gt;'1-Input'!$B$26,AC256,AC256-X257*(1-W257))</f>
        <v>61601.290057073747</v>
      </c>
      <c r="AD257" s="11">
        <f>IF($A257&gt;'1-Input'!$B$26,0,IF(AI256&lt;=0,0,MAX(0,(AI256-AJ256)/AI256)))</f>
        <v>0.58422353845627362</v>
      </c>
      <c r="AE257" s="18">
        <f>IF($A257&gt;'1-Input'!$B$26,0,(MAX(0,AD231-IF($A257&gt;='1-Input'!$C$12,'1-Input'!$B$12,0))-MIN(MAX(AH256,0),MAX(0,AD231-IF($A257&gt;='1-Input'!$C$12,'1-Input'!$B$12,0))))*(1/(1-'P-Parametri'!$B$6*AD257))+MIN(MAX(0,AI256-(MAX(0,AD231-IF($A257&gt;='1-Input'!$C$12,'1-Input'!$B$12,0))-MIN(MAX(AH256,0),MAX(0,AD231-IF($A257&gt;='1-Input'!$C$12,'1-Input'!$B$12,0))))*(1/(1-'P-Parametri'!$B$6*AD257))),MAX(0,0*AD231-(AH256-MIN(MAX(AH256,0),MAX(0,AD231-IF($A257&gt;='1-Input'!$C$12,'1-Input'!$B$12,0)))))*(1/(1-'P-Parametri'!$B$6*AD257))))</f>
        <v>9130.4443894813721</v>
      </c>
      <c r="AF257" s="18">
        <f>IF($A257&gt;'1-Input'!$B$26,AH256,(AH256-MAX(0,AD231-IF($A257&gt;='1-Input'!$C$12,'1-Input'!$B$12,0))+AE257*(1-'P-Parametri'!$B$6*AD257))*(1+ROUND('3-Liquidita'!$F$7,4)))</f>
        <v>1.8304490367881953E-12</v>
      </c>
      <c r="AG257" s="18">
        <f>IF($A257&gt;'1-Input'!$B$26,AI256,(AI256-AE257)*(1+'5-Roberta'!$C$4))</f>
        <v>152342.69282368518</v>
      </c>
      <c r="AH257" s="18">
        <f>IF($A257&gt;'1-Input'!$B$26,AF257,AF257-'P-Parametri'!$B$8*(AG257+AF257)+MIN(MAX(AG257,0),'P-Parametri'!$B$8*(AG257+AF257)))</f>
        <v>1.8189894035458565E-12</v>
      </c>
      <c r="AI257" s="18">
        <f>IF($A257&gt;'1-Input'!$B$26,AG257,AG257-MIN(MAX(AG257,0),'P-Parametri'!$B$8*(AG257+AF257)))</f>
        <v>152038.00743803781</v>
      </c>
      <c r="AJ257" s="18">
        <f>IF($A257&gt;'1-Input'!$B$26,AJ256,AJ256-AE257*(1-AD257))</f>
        <v>61495.636664344325</v>
      </c>
      <c r="AK257" s="11">
        <f>IF($A257&gt;'1-Input'!$B$26,0,IF(AP256&lt;=0,0,MAX(0,(AP256-AQ256)/AP256)))</f>
        <v>0.58422353845627306</v>
      </c>
      <c r="AL257" s="18">
        <f>IF($A257&gt;'1-Input'!$B$26,0,(MAX(0,AK231-IF($A257&gt;='1-Input'!$C$12,'1-Input'!$B$12,0))-MIN(MAX(AO256,0),MAX(0,AK231-IF($A257&gt;='1-Input'!$C$12,'1-Input'!$B$12,0))))*(1/(1-'P-Parametri'!$B$6*AK257))+MIN(MAX(0,AP256-(MAX(0,AK231-IF($A257&gt;='1-Input'!$C$12,'1-Input'!$B$12,0))-MIN(MAX(AO256,0),MAX(0,AK231-IF($A257&gt;='1-Input'!$C$12,'1-Input'!$B$12,0))))*(1/(1-'P-Parametri'!$B$6*AK257))),MAX(0,0*AK231-(AO256-MIN(MAX(AO256,0),MAX(0,AK231-IF($A257&gt;='1-Input'!$C$12,'1-Input'!$B$12,0)))))*(1/(1-'P-Parametri'!$B$6*AK257))))</f>
        <v>9129.2023839744015</v>
      </c>
      <c r="AM257" s="18">
        <f>IF($A257&gt;'1-Input'!$B$26,AO256,(AO256-MAX(0,AK231-IF($A257&gt;='1-Input'!$C$12,'1-Input'!$B$12,0))+AL257*(1-'P-Parametri'!$B$6*AK257))*(1+ROUND('3-Liquidita'!$F$7,4)))</f>
        <v>9.1522451839409766E-13</v>
      </c>
      <c r="AN257" s="18">
        <f>IF($A257&gt;'1-Input'!$B$26,AP256,(AP256-AL257)*(1+'5-Roberta'!$C$4))</f>
        <v>152383.33535055036</v>
      </c>
      <c r="AO257" s="18">
        <f>IF($A257&gt;'1-Input'!$B$26,AM257,AM257-'P-Parametri'!$B$8*(AN257+AM257)+MIN(MAX(AN257,0),'P-Parametri'!$B$8*(AN257+AM257)))</f>
        <v>9.0949470177292824E-13</v>
      </c>
      <c r="AP257" s="18">
        <f>IF($A257&gt;'1-Input'!$B$26,AN257,AN257-MIN(MAX(AN257,0),'P-Parametri'!$B$8*(AN257+AM257)))</f>
        <v>152078.56867984927</v>
      </c>
      <c r="AQ257" s="18">
        <f>IF($A257&gt;'1-Input'!$B$26,AQ256,AQ256-AL257*(1-AK257))</f>
        <v>61512.042689595088</v>
      </c>
    </row>
    <row r="258" spans="1:43">
      <c r="A258" s="10">
        <f>25</f>
        <v>25</v>
      </c>
      <c r="B258" s="11">
        <f>IF($A258&gt;'1-Input'!$B$26,0,IF(G257&lt;=0,0,MAX(0,(G257-H257)/G257)))</f>
        <v>0.59552458164510857</v>
      </c>
      <c r="C258" s="18">
        <f>IF($A258&gt;'1-Input'!$B$26,0,(MAX(0,B231-IF($A258&gt;='1-Input'!$C$12,'1-Input'!$B$12,0))-MIN(MAX(F257,0),MAX(0,B231-IF($A258&gt;='1-Input'!$C$12,'1-Input'!$B$12,0))))*(1/(1-'P-Parametri'!$B$6*B258))+MIN(MAX(0,G257-(MAX(0,B231-IF($A258&gt;='1-Input'!$C$12,'1-Input'!$B$12,0))-MIN(MAX(F257,0),MAX(0,B231-IF($A258&gt;='1-Input'!$C$12,'1-Input'!$B$12,0))))*(1/(1-'P-Parametri'!$B$6*B258))),MAX(0,0*B231-(F257-MIN(MAX(F257,0),MAX(0,B231-IF($A258&gt;='1-Input'!$C$12,'1-Input'!$B$12,0)))))*(1/(1-'P-Parametri'!$B$6*B258))))</f>
        <v>6601.1542105205235</v>
      </c>
      <c r="D258" s="18">
        <f>IF($A258&gt;'1-Input'!$B$26,F257,(F257-MAX(0,B231-IF($A258&gt;='1-Input'!$C$12,'1-Input'!$B$12,0))+C258*(1-'P-Parametri'!$B$6*B258))*(1+ROUND('3-Liquidita'!$F$7,4)))</f>
        <v>0</v>
      </c>
      <c r="E258" s="18">
        <f>IF($A258&gt;'1-Input'!$B$26,G257,(G257-C258)*(1+'5-Roberta'!$C$4))</f>
        <v>235648.48671228607</v>
      </c>
      <c r="F258" s="18">
        <f>IF($A258&gt;'1-Input'!$B$26,D258,D258-'P-Parametri'!$B$8*(E258+D258)+MIN(MAX(E258,0),'P-Parametri'!$B$8*(E258+D258)))</f>
        <v>0</v>
      </c>
      <c r="G258" s="18">
        <f>IF($A258&gt;'1-Input'!$B$26,E258,E258-MIN(MAX(E258,0),'P-Parametri'!$B$8*(E258+D258)))</f>
        <v>235177.18973886149</v>
      </c>
      <c r="H258" s="18">
        <f>IF($A258&gt;'1-Input'!$B$26,H257,H257-C258*(1-B258))</f>
        <v>92537.883735581549</v>
      </c>
      <c r="I258" s="11">
        <f>IF($A258&gt;'1-Input'!$B$26,0,IF(N257&lt;=0,0,MAX(0,(N257-O257)/N257)))</f>
        <v>0.59552458164510913</v>
      </c>
      <c r="J258" s="18">
        <f>IF($A258&gt;'1-Input'!$B$26,0,(MAX(0,I231-IF($A258&gt;='1-Input'!$C$12,'1-Input'!$B$12,0))-MIN(MAX(M257,0),MAX(0,I231-IF($A258&gt;='1-Input'!$C$12,'1-Input'!$B$12,0))))*(1/(1-'P-Parametri'!$B$6*I258))+MIN(MAX(0,N257-(MAX(0,I231-IF($A258&gt;='1-Input'!$C$12,'1-Input'!$B$12,0))-MIN(MAX(M257,0),MAX(0,I231-IF($A258&gt;='1-Input'!$C$12,'1-Input'!$B$12,0))))*(1/(1-'P-Parametri'!$B$6*I258))),MAX(0,0*I231-(M257-MIN(MAX(M257,0),MAX(0,I231-IF($A258&gt;='1-Input'!$C$12,'1-Input'!$B$12,0)))))*(1/(1-'P-Parametri'!$B$6*I258))))</f>
        <v>12833.913907728764</v>
      </c>
      <c r="K258" s="18">
        <f>IF($A258&gt;'1-Input'!$B$26,M257,(M257-MAX(0,I231-IF($A258&gt;='1-Input'!$C$12,'1-Input'!$B$12,0))+J258*(1-'P-Parametri'!$B$6*I258))*(1+ROUND('3-Liquidita'!$F$7,4)))</f>
        <v>-1.8304490367881953E-12</v>
      </c>
      <c r="L258" s="18">
        <f>IF($A258&gt;'1-Input'!$B$26,N257,(N257-J258)*(1+'5-Roberta'!$C$4))</f>
        <v>20300.049032821997</v>
      </c>
      <c r="M258" s="18">
        <f>IF($A258&gt;'1-Input'!$B$26,K258,K258-'P-Parametri'!$B$8*(L258+K258)+MIN(MAX(L258,0),'P-Parametri'!$B$8*(L258+K258)))</f>
        <v>-1.8332002582610585E-12</v>
      </c>
      <c r="N258" s="18">
        <f>IF($A258&gt;'1-Input'!$B$26,L258,L258-MIN(MAX(L258,0),'P-Parametri'!$B$8*(L258+K258)))</f>
        <v>20259.448934756354</v>
      </c>
      <c r="O258" s="18">
        <f>IF($A258&gt;'1-Input'!$B$26,O257,O257-J258*(1-I258))</f>
        <v>7971.7192477431818</v>
      </c>
      <c r="P258" s="11">
        <f>IF($A258&gt;'1-Input'!$B$26,0,IF(U257&lt;=0,0,MAX(0,(U257-V257)/U257)))</f>
        <v>0.5955245816451088</v>
      </c>
      <c r="Q258" s="18">
        <f>IF($A258&gt;'1-Input'!$B$26,0,(MAX(0,P231-IF($A258&gt;='1-Input'!$C$12,'1-Input'!$B$12,0))-MIN(MAX(T257,0),MAX(0,P231-IF($A258&gt;='1-Input'!$C$12,'1-Input'!$B$12,0))))*(1/(1-'P-Parametri'!$B$6*P258))+MIN(MAX(0,U257-(MAX(0,P231-IF($A258&gt;='1-Input'!$C$12,'1-Input'!$B$12,0))-MIN(MAX(T257,0),MAX(0,P231-IF($A258&gt;='1-Input'!$C$12,'1-Input'!$B$12,0))))*(1/(1-'P-Parametri'!$B$6*P258))),MAX(0,0*P231-(T257-MIN(MAX(T257,0),MAX(0,P231-IF($A258&gt;='1-Input'!$C$12,'1-Input'!$B$12,0)))))*(1/(1-'P-Parametri'!$B$6*P258))))</f>
        <v>9457.3873287084625</v>
      </c>
      <c r="R258" s="18">
        <f>IF($A258&gt;'1-Input'!$B$26,T257,(T257-MAX(0,P231-IF($A258&gt;='1-Input'!$C$12,'1-Input'!$B$12,0))+Q258*(1-'P-Parametri'!$B$6*P258))*(1+ROUND('3-Liquidita'!$F$7,4)))</f>
        <v>9.1522451839409766E-13</v>
      </c>
      <c r="S258" s="18">
        <f>IF($A258&gt;'1-Input'!$B$26,U257,(U257-Q258)*(1+'5-Roberta'!$C$4))</f>
        <v>136962.61247175909</v>
      </c>
      <c r="T258" s="18">
        <f>IF($A258&gt;'1-Input'!$B$26,R258,R258-'P-Parametri'!$B$8*(S258+R258)+MIN(MAX(S258,0),'P-Parametri'!$B$8*(S258+R258)))</f>
        <v>9.0949470177292824E-13</v>
      </c>
      <c r="U258" s="18">
        <f>IF($A258&gt;'1-Input'!$B$26,S258,S258-MIN(MAX(S258,0),'P-Parametri'!$B$8*(S258+R258)))</f>
        <v>136688.68724681556</v>
      </c>
      <c r="V258" s="18">
        <f>IF($A258&gt;'1-Input'!$B$26,V257,V257-Q258*(1-P258))</f>
        <v>53784.475707275342</v>
      </c>
      <c r="W258" s="11">
        <f>IF($A258&gt;'1-Input'!$B$26,0,IF(AB257&lt;=0,0,MAX(0,(AB257-AC257)/AB257)))</f>
        <v>0.59552458164510891</v>
      </c>
      <c r="X258" s="18">
        <f>IF($A258&gt;'1-Input'!$B$26,0,(MAX(0,W231-IF($A258&gt;='1-Input'!$C$12,'1-Input'!$B$12,0))-MIN(MAX(AA257,0),MAX(0,W231-IF($A258&gt;='1-Input'!$C$12,'1-Input'!$B$12,0))))*(1/(1-'P-Parametri'!$B$6*W258))+MIN(MAX(0,AB257-(MAX(0,W231-IF($A258&gt;='1-Input'!$C$12,'1-Input'!$B$12,0))-MIN(MAX(AA257,0),MAX(0,W231-IF($A258&gt;='1-Input'!$C$12,'1-Input'!$B$12,0))))*(1/(1-'P-Parametri'!$B$6*W258))),MAX(0,0*W231-(AA257-MIN(MAX(AA257,0),MAX(0,W231-IF($A258&gt;='1-Input'!$C$12,'1-Input'!$B$12,0)))))*(1/(1-'P-Parametri'!$B$6*W258))))</f>
        <v>9154.1608112121176</v>
      </c>
      <c r="Y258" s="18">
        <f>IF($A258&gt;'1-Input'!$B$26,AA257,(AA257-MAX(0,W231-IF($A258&gt;='1-Input'!$C$12,'1-Input'!$B$12,0))+X258*(1-'P-Parametri'!$B$6*W258))*(1+ROUND('3-Liquidita'!$F$7,4)))</f>
        <v>0</v>
      </c>
      <c r="Z258" s="18">
        <f>IF($A258&gt;'1-Input'!$B$26,AB257,(AB257-X258)*(1+'5-Roberta'!$C$4))</f>
        <v>147439.40926453032</v>
      </c>
      <c r="AA258" s="18">
        <f>IF($A258&gt;'1-Input'!$B$26,Y258,Y258-'P-Parametri'!$B$8*(Z258+Y258)+MIN(MAX(Z258,0),'P-Parametri'!$B$8*(Z258+Y258)))</f>
        <v>0</v>
      </c>
      <c r="AB258" s="18">
        <f>IF($A258&gt;'1-Input'!$B$26,Z258,Z258-MIN(MAX(Z258,0),'P-Parametri'!$B$8*(Z258+Y258)))</f>
        <v>147144.53044600127</v>
      </c>
      <c r="AC258" s="18">
        <f>IF($A258&gt;'1-Input'!$B$26,AC257,AC257-X258*(1-W258))</f>
        <v>57898.657033270778</v>
      </c>
      <c r="AD258" s="11">
        <f>IF($A258&gt;'1-Input'!$B$26,0,IF(AI257&lt;=0,0,MAX(0,(AI257-AJ257)/AI257)))</f>
        <v>0.59552458164510935</v>
      </c>
      <c r="AE258" s="18">
        <f>IF($A258&gt;'1-Input'!$B$26,0,(MAX(0,AD231-IF($A258&gt;='1-Input'!$C$12,'1-Input'!$B$12,0))-MIN(MAX(AH257,0),MAX(0,AD231-IF($A258&gt;='1-Input'!$C$12,'1-Input'!$B$12,0))))*(1/(1-'P-Parametri'!$B$6*AD258))+MIN(MAX(0,AI257-(MAX(0,AD231-IF($A258&gt;='1-Input'!$C$12,'1-Input'!$B$12,0))-MIN(MAX(AH257,0),MAX(0,AD231-IF($A258&gt;='1-Input'!$C$12,'1-Input'!$B$12,0))))*(1/(1-'P-Parametri'!$B$6*AD258))),MAX(0,0*AD231-(AH257-MIN(MAX(AH257,0),MAX(0,AD231-IF($A258&gt;='1-Input'!$C$12,'1-Input'!$B$12,0)))))*(1/(1-'P-Parametri'!$B$6*AD258))))</f>
        <v>9162.1870269778592</v>
      </c>
      <c r="AF258" s="18">
        <f>IF($A258&gt;'1-Input'!$B$26,AH257,(AH257-MAX(0,AD231-IF($A258&gt;='1-Input'!$C$12,'1-Input'!$B$12,0))+AE258*(1-'P-Parametri'!$B$6*AD258))*(1+ROUND('3-Liquidita'!$F$7,4)))</f>
        <v>0</v>
      </c>
      <c r="AG258" s="18">
        <f>IF($A258&gt;'1-Input'!$B$26,AI257,(AI257-AE258)*(1+'5-Roberta'!$C$4))</f>
        <v>147162.09502339174</v>
      </c>
      <c r="AH258" s="18">
        <f>IF($A258&gt;'1-Input'!$B$26,AF258,AF258-'P-Parametri'!$B$8*(AG258+AF258)+MIN(MAX(AG258,0),'P-Parametri'!$B$8*(AG258+AF258)))</f>
        <v>0</v>
      </c>
      <c r="AI258" s="18">
        <f>IF($A258&gt;'1-Input'!$B$26,AG258,AG258-MIN(MAX(AG258,0),'P-Parametri'!$B$8*(AG258+AF258)))</f>
        <v>146867.77083334496</v>
      </c>
      <c r="AJ258" s="18">
        <f>IF($A258&gt;'1-Input'!$B$26,AJ257,AJ257-AE258*(1-AD258))</f>
        <v>57789.757233561701</v>
      </c>
      <c r="AK258" s="11">
        <f>IF($A258&gt;'1-Input'!$B$26,0,IF(AP257&lt;=0,0,MAX(0,(AP257-AQ257)/AP257)))</f>
        <v>0.5955245816451088</v>
      </c>
      <c r="AL258" s="18">
        <f>IF($A258&gt;'1-Input'!$B$26,0,(MAX(0,AK231-IF($A258&gt;='1-Input'!$C$12,'1-Input'!$B$12,0))-MIN(MAX(AO257,0),MAX(0,AK231-IF($A258&gt;='1-Input'!$C$12,'1-Input'!$B$12,0))))*(1/(1-'P-Parametri'!$B$6*AK258))+MIN(MAX(0,AP257-(MAX(0,AK231-IF($A258&gt;='1-Input'!$C$12,'1-Input'!$B$12,0))-MIN(MAX(AO257,0),MAX(0,AK231-IF($A258&gt;='1-Input'!$C$12,'1-Input'!$B$12,0))))*(1/(1-'P-Parametri'!$B$6*AK258))),MAX(0,0*AK231-(AO257-MIN(MAX(AO257,0),MAX(0,AK231-IF($A258&gt;='1-Input'!$C$12,'1-Input'!$B$12,0)))))*(1/(1-'P-Parametri'!$B$6*AK258))))</f>
        <v>9160.9407035506592</v>
      </c>
      <c r="AM258" s="18">
        <f>IF($A258&gt;'1-Input'!$B$26,AO257,(AO257-MAX(0,AK231-IF($A258&gt;='1-Input'!$C$12,'1-Input'!$B$12,0))+AL258*(1-'P-Parametri'!$B$6*AK258))*(1+ROUND('3-Liquidita'!$F$7,4)))</f>
        <v>0</v>
      </c>
      <c r="AN258" s="18">
        <f>IF($A258&gt;'1-Input'!$B$26,AP257,(AP257-AL258)*(1+'5-Roberta'!$C$4))</f>
        <v>147205.15681558757</v>
      </c>
      <c r="AO258" s="18">
        <f>IF($A258&gt;'1-Input'!$B$26,AM258,AM258-'P-Parametri'!$B$8*(AN258+AM258)+MIN(MAX(AN258,0),'P-Parametri'!$B$8*(AN258+AM258)))</f>
        <v>0</v>
      </c>
      <c r="AP258" s="18">
        <f>IF($A258&gt;'1-Input'!$B$26,AN258,AN258-MIN(MAX(AN258,0),'P-Parametri'!$B$8*(AN258+AM258)))</f>
        <v>146910.7465019564</v>
      </c>
      <c r="AQ258" s="18">
        <f>IF($A258&gt;'1-Input'!$B$26,AQ257,AQ257-AL258*(1-AK258))</f>
        <v>57806.667366002082</v>
      </c>
    </row>
    <row r="259" spans="1:43">
      <c r="A259" s="10">
        <f>26</f>
        <v>26</v>
      </c>
      <c r="B259" s="11">
        <f>IF($A259&gt;'1-Input'!$B$26,0,IF(G258&lt;=0,0,MAX(0,(G258-H258)/G258)))</f>
        <v>0.60651845598489063</v>
      </c>
      <c r="C259" s="18">
        <f>IF($A259&gt;'1-Input'!$B$26,0,(MAX(0,B231-IF($A259&gt;='1-Input'!$C$12,'1-Input'!$B$12,0))-MIN(MAX(F258,0),MAX(0,B231-IF($A259&gt;='1-Input'!$C$12,'1-Input'!$B$12,0))))*(1/(1-'P-Parametri'!$B$6*B259))+MIN(MAX(0,G258-(MAX(0,B231-IF($A259&gt;='1-Input'!$C$12,'1-Input'!$B$12,0))-MIN(MAX(F258,0),MAX(0,B231-IF($A259&gt;='1-Input'!$C$12,'1-Input'!$B$12,0))))*(1/(1-'P-Parametri'!$B$6*B259))),MAX(0,0*B231-(F258-MIN(MAX(F258,0),MAX(0,B231-IF($A259&gt;='1-Input'!$C$12,'1-Input'!$B$12,0)))))*(1/(1-'P-Parametri'!$B$6*B259))))</f>
        <v>6623.5555770780738</v>
      </c>
      <c r="D259" s="18">
        <f>IF($A259&gt;'1-Input'!$B$26,F258,(F258-MAX(0,B231-IF($A259&gt;='1-Input'!$C$12,'1-Input'!$B$12,0))+C259*(1-'P-Parametri'!$B$6*B259))*(1+ROUND('3-Liquidita'!$F$7,4)))</f>
        <v>0</v>
      </c>
      <c r="E259" s="18">
        <f>IF($A259&gt;'1-Input'!$B$26,G258,(G258-C259)*(1+'5-Roberta'!$C$4))</f>
        <v>235410.24318663692</v>
      </c>
      <c r="F259" s="18">
        <f>IF($A259&gt;'1-Input'!$B$26,D259,D259-'P-Parametri'!$B$8*(E259+D259)+MIN(MAX(E259,0),'P-Parametri'!$B$8*(E259+D259)))</f>
        <v>0</v>
      </c>
      <c r="G259" s="18">
        <f>IF($A259&gt;'1-Input'!$B$26,E259,E259-MIN(MAX(E259,0),'P-Parametri'!$B$8*(E259+D259)))</f>
        <v>234939.42270026365</v>
      </c>
      <c r="H259" s="18">
        <f>IF($A259&gt;'1-Input'!$B$26,H258,H258-C259*(1-B259))</f>
        <v>89931.636860242987</v>
      </c>
      <c r="I259" s="11">
        <f>IF($A259&gt;'1-Input'!$B$26,0,IF(N258&lt;=0,0,MAX(0,(N258-O258)/N258)))</f>
        <v>0.60651845598489118</v>
      </c>
      <c r="J259" s="18">
        <f>IF($A259&gt;'1-Input'!$B$26,0,(MAX(0,I231-IF($A259&gt;='1-Input'!$C$12,'1-Input'!$B$12,0))-MIN(MAX(M258,0),MAX(0,I231-IF($A259&gt;='1-Input'!$C$12,'1-Input'!$B$12,0))))*(1/(1-'P-Parametri'!$B$6*I259))+MIN(MAX(0,N258-(MAX(0,I231-IF($A259&gt;='1-Input'!$C$12,'1-Input'!$B$12,0))-MIN(MAX(M258,0),MAX(0,I231-IF($A259&gt;='1-Input'!$C$12,'1-Input'!$B$12,0))))*(1/(1-'P-Parametri'!$B$6*I259))),MAX(0,0*I231-(M258-MIN(MAX(M258,0),MAX(0,I231-IF($A259&gt;='1-Input'!$C$12,'1-Input'!$B$12,0)))))*(1/(1-'P-Parametri'!$B$6*I259))))</f>
        <v>12877.466474544564</v>
      </c>
      <c r="K259" s="18">
        <f>IF($A259&gt;'1-Input'!$B$26,M258,(M258-MAX(0,I231-IF($A259&gt;='1-Input'!$C$12,'1-Input'!$B$12,0))+J259*(1-'P-Parametri'!$B$6*I259))*(1+ROUND('3-Liquidita'!$F$7,4)))</f>
        <v>0</v>
      </c>
      <c r="L259" s="18">
        <f>IF($A259&gt;'1-Input'!$B$26,N258,(N258-J259)*(1+'5-Roberta'!$C$4))</f>
        <v>7603.4419340181439</v>
      </c>
      <c r="M259" s="18">
        <f>IF($A259&gt;'1-Input'!$B$26,K259,K259-'P-Parametri'!$B$8*(L259+K259)+MIN(MAX(L259,0),'P-Parametri'!$B$8*(L259+K259)))</f>
        <v>0</v>
      </c>
      <c r="N259" s="18">
        <f>IF($A259&gt;'1-Input'!$B$26,L259,L259-MIN(MAX(L259,0),'P-Parametri'!$B$8*(L259+K259)))</f>
        <v>7588.2350501501078</v>
      </c>
      <c r="O259" s="18">
        <f>IF($A259&gt;'1-Input'!$B$26,O258,O258-J259*(1-I259))</f>
        <v>2904.6738563365861</v>
      </c>
      <c r="P259" s="11">
        <f>IF($A259&gt;'1-Input'!$B$26,0,IF(U258&lt;=0,0,MAX(0,(U258-V258)/U258)))</f>
        <v>0.60651845598489085</v>
      </c>
      <c r="Q259" s="18">
        <f>IF($A259&gt;'1-Input'!$B$26,0,(MAX(0,P231-IF($A259&gt;='1-Input'!$C$12,'1-Input'!$B$12,0))-MIN(MAX(T258,0),MAX(0,P231-IF($A259&gt;='1-Input'!$C$12,'1-Input'!$B$12,0))))*(1/(1-'P-Parametri'!$B$6*P259))+MIN(MAX(0,U258-(MAX(0,P231-IF($A259&gt;='1-Input'!$C$12,'1-Input'!$B$12,0))-MIN(MAX(T258,0),MAX(0,P231-IF($A259&gt;='1-Input'!$C$12,'1-Input'!$B$12,0))))*(1/(1-'P-Parametri'!$B$6*P259))),MAX(0,0*P231-(T258-MIN(MAX(T258,0),MAX(0,P231-IF($A259&gt;='1-Input'!$C$12,'1-Input'!$B$12,0)))))*(1/(1-'P-Parametri'!$B$6*P259))))</f>
        <v>9489.4814736823009</v>
      </c>
      <c r="R259" s="18">
        <f>IF($A259&gt;'1-Input'!$B$26,T258,(T258-MAX(0,P231-IF($A259&gt;='1-Input'!$C$12,'1-Input'!$B$12,0))+Q259*(1-'P-Parametri'!$B$6*P259))*(1+ROUND('3-Liquidita'!$F$7,4)))</f>
        <v>-9.1522451839409766E-13</v>
      </c>
      <c r="S259" s="18">
        <f>IF($A259&gt;'1-Input'!$B$26,U258,(U258-Q259)*(1+'5-Roberta'!$C$4))</f>
        <v>131015.18194632725</v>
      </c>
      <c r="T259" s="18">
        <f>IF($A259&gt;'1-Input'!$B$26,R259,R259-'P-Parametri'!$B$8*(S259+R259)+MIN(MAX(S259,0),'P-Parametri'!$B$8*(S259+R259)))</f>
        <v>-9.0949470177292824E-13</v>
      </c>
      <c r="U259" s="18">
        <f>IF($A259&gt;'1-Input'!$B$26,S259,S259-MIN(MAX(S259,0),'P-Parametri'!$B$8*(S259+R259)))</f>
        <v>130753.1515824346</v>
      </c>
      <c r="V259" s="18">
        <f>IF($A259&gt;'1-Input'!$B$26,V258,V258-Q259*(1-P259))</f>
        <v>50050.539885108054</v>
      </c>
      <c r="W259" s="11">
        <f>IF($A259&gt;'1-Input'!$B$26,0,IF(AB258&lt;=0,0,MAX(0,(AB258-AC258)/AB258)))</f>
        <v>0.60651845598489107</v>
      </c>
      <c r="X259" s="18">
        <f>IF($A259&gt;'1-Input'!$B$26,0,(MAX(0,W231-IF($A259&gt;='1-Input'!$C$12,'1-Input'!$B$12,0))-MIN(MAX(AA258,0),MAX(0,W231-IF($A259&gt;='1-Input'!$C$12,'1-Input'!$B$12,0))))*(1/(1-'P-Parametri'!$B$6*W259))+MIN(MAX(0,AB258-(MAX(0,W231-IF($A259&gt;='1-Input'!$C$12,'1-Input'!$B$12,0))-MIN(MAX(AA258,0),MAX(0,W231-IF($A259&gt;='1-Input'!$C$12,'1-Input'!$B$12,0))))*(1/(1-'P-Parametri'!$B$6*W259))),MAX(0,0*W231-(AA258-MIN(MAX(AA258,0),MAX(0,W231-IF($A259&gt;='1-Input'!$C$12,'1-Input'!$B$12,0)))))*(1/(1-'P-Parametri'!$B$6*W259))))</f>
        <v>9185.2259409332055</v>
      </c>
      <c r="Y259" s="18">
        <f>IF($A259&gt;'1-Input'!$B$26,AA258,(AA258-MAX(0,W231-IF($A259&gt;='1-Input'!$C$12,'1-Input'!$B$12,0))+X259*(1-'P-Parametri'!$B$6*W259))*(1+ROUND('3-Liquidita'!$F$7,4)))</f>
        <v>-9.1522451839409766E-13</v>
      </c>
      <c r="Z259" s="18">
        <f>IF($A259&gt;'1-Input'!$B$26,AB258,(AB258-X259)*(1+'5-Roberta'!$C$4))</f>
        <v>142098.08364022011</v>
      </c>
      <c r="AA259" s="18">
        <f>IF($A259&gt;'1-Input'!$B$26,Y259,Y259-'P-Parametri'!$B$8*(Z259+Y259)+MIN(MAX(Z259,0),'P-Parametri'!$B$8*(Z259+Y259)))</f>
        <v>-9.0949470177292824E-13</v>
      </c>
      <c r="AB259" s="18">
        <f>IF($A259&gt;'1-Input'!$B$26,Z259,Z259-MIN(MAX(Z259,0),'P-Parametri'!$B$8*(Z259+Y259)))</f>
        <v>141813.88747293968</v>
      </c>
      <c r="AC259" s="18">
        <f>IF($A259&gt;'1-Input'!$B$26,AC258,AC258-X259*(1-W259))</f>
        <v>54284.440147904752</v>
      </c>
      <c r="AD259" s="11">
        <f>IF($A259&gt;'1-Input'!$B$26,0,IF(AI258&lt;=0,0,MAX(0,(AI258-AJ258)/AI258)))</f>
        <v>0.6065184559848914</v>
      </c>
      <c r="AE259" s="18">
        <f>IF($A259&gt;'1-Input'!$B$26,0,(MAX(0,AD231-IF($A259&gt;='1-Input'!$C$12,'1-Input'!$B$12,0))-MIN(MAX(AH258,0),MAX(0,AD231-IF($A259&gt;='1-Input'!$C$12,'1-Input'!$B$12,0))))*(1/(1-'P-Parametri'!$B$6*AD259))+MIN(MAX(0,AI258-(MAX(0,AD231-IF($A259&gt;='1-Input'!$C$12,'1-Input'!$B$12,0))-MIN(MAX(AH258,0),MAX(0,AD231-IF($A259&gt;='1-Input'!$C$12,'1-Input'!$B$12,0))))*(1/(1-'P-Parametri'!$B$6*AD259))),MAX(0,0*AD231-(AH258-MIN(MAX(AH258,0),MAX(0,AD231-IF($A259&gt;='1-Input'!$C$12,'1-Input'!$B$12,0)))))*(1/(1-'P-Parametri'!$B$6*AD259))))</f>
        <v>9193.2793940873962</v>
      </c>
      <c r="AF259" s="18">
        <f>IF($A259&gt;'1-Input'!$B$26,AH258,(AH258-MAX(0,AD231-IF($A259&gt;='1-Input'!$C$12,'1-Input'!$B$12,0))+AE259*(1-'P-Parametri'!$B$6*AD259))*(1+ROUND('3-Liquidita'!$F$7,4)))</f>
        <v>-9.1522451839409766E-13</v>
      </c>
      <c r="AG259" s="18">
        <f>IF($A259&gt;'1-Input'!$B$26,AI258,(AI258-AE259)*(1+'5-Roberta'!$C$4))</f>
        <v>141804.72618243532</v>
      </c>
      <c r="AH259" s="18">
        <f>IF($A259&gt;'1-Input'!$B$26,AF259,AF259-'P-Parametri'!$B$8*(AG259+AF259)+MIN(MAX(AG259,0),'P-Parametri'!$B$8*(AG259+AF259)))</f>
        <v>-9.0949470177292824E-13</v>
      </c>
      <c r="AI259" s="18">
        <f>IF($A259&gt;'1-Input'!$B$26,AG259,AG259-MIN(MAX(AG259,0),'P-Parametri'!$B$8*(AG259+AF259)))</f>
        <v>141521.11673007044</v>
      </c>
      <c r="AJ259" s="18">
        <f>IF($A259&gt;'1-Input'!$B$26,AJ258,AJ258-AE259*(1-AD259))</f>
        <v>54172.371463013907</v>
      </c>
      <c r="AK259" s="11">
        <f>IF($A259&gt;'1-Input'!$B$26,0,IF(AP258&lt;=0,0,MAX(0,(AP258-AQ258)/AP258)))</f>
        <v>0.60651845598489096</v>
      </c>
      <c r="AL259" s="18">
        <f>IF($A259&gt;'1-Input'!$B$26,0,(MAX(0,AK231-IF($A259&gt;='1-Input'!$C$12,'1-Input'!$B$12,0))-MIN(MAX(AO258,0),MAX(0,AK231-IF($A259&gt;='1-Input'!$C$12,'1-Input'!$B$12,0))))*(1/(1-'P-Parametri'!$B$6*AK259))+MIN(MAX(0,AP258-(MAX(0,AK231-IF($A259&gt;='1-Input'!$C$12,'1-Input'!$B$12,0))-MIN(MAX(AO258,0),MAX(0,AK231-IF($A259&gt;='1-Input'!$C$12,'1-Input'!$B$12,0))))*(1/(1-'P-Parametri'!$B$6*AK259))),MAX(0,0*AK231-(AO258-MIN(MAX(AO258,0),MAX(0,AK231-IF($A259&gt;='1-Input'!$C$12,'1-Input'!$B$12,0)))))*(1/(1-'P-Parametri'!$B$6*AK259))))</f>
        <v>9192.0288411956135</v>
      </c>
      <c r="AM259" s="18">
        <f>IF($A259&gt;'1-Input'!$B$26,AO258,(AO258-MAX(0,AK231-IF($A259&gt;='1-Input'!$C$12,'1-Input'!$B$12,0))+AL259*(1-'P-Parametri'!$B$6*AK259))*(1+ROUND('3-Liquidita'!$F$7,4)))</f>
        <v>0</v>
      </c>
      <c r="AN259" s="18">
        <f>IF($A259&gt;'1-Input'!$B$26,AP258,(AP258-AL259)*(1+'5-Roberta'!$C$4))</f>
        <v>141850.27919058362</v>
      </c>
      <c r="AO259" s="18">
        <f>IF($A259&gt;'1-Input'!$B$26,AM259,AM259-'P-Parametri'!$B$8*(AN259+AM259)+MIN(MAX(AN259,0),'P-Parametri'!$B$8*(AN259+AM259)))</f>
        <v>0</v>
      </c>
      <c r="AP259" s="18">
        <f>IF($A259&gt;'1-Input'!$B$26,AN259,AN259-MIN(MAX(AN259,0),'P-Parametri'!$B$8*(AN259+AM259)))</f>
        <v>141566.57863220247</v>
      </c>
      <c r="AQ259" s="18">
        <f>IF($A259&gt;'1-Input'!$B$26,AQ258,AQ258-AL259*(1-AK259))</f>
        <v>54189.77366493702</v>
      </c>
    </row>
    <row r="260" spans="1:43">
      <c r="A260" s="10">
        <f>27</f>
        <v>27</v>
      </c>
      <c r="B260" s="11">
        <f>IF($A260&gt;'1-Input'!$B$26,0,IF(G259&lt;=0,0,MAX(0,(G259-H259)/G259)))</f>
        <v>0.61721351050147932</v>
      </c>
      <c r="C260" s="18">
        <f>IF($A260&gt;'1-Input'!$B$26,0,(MAX(0,B231-IF($A260&gt;='1-Input'!$C$12,'1-Input'!$B$12,0))-MIN(MAX(F259,0),MAX(0,B231-IF($A260&gt;='1-Input'!$C$12,'1-Input'!$B$12,0))))*(1/(1-'P-Parametri'!$B$6*B260))+MIN(MAX(0,G259-(MAX(0,B231-IF($A260&gt;='1-Input'!$C$12,'1-Input'!$B$12,0))-MIN(MAX(F259,0),MAX(0,B231-IF($A260&gt;='1-Input'!$C$12,'1-Input'!$B$12,0))))*(1/(1-'P-Parametri'!$B$6*B260))),MAX(0,0*B231-(F259-MIN(MAX(F259,0),MAX(0,B231-IF($A260&gt;='1-Input'!$C$12,'1-Input'!$B$12,0)))))*(1/(1-'P-Parametri'!$B$6*B260))))</f>
        <v>6645.4944426583179</v>
      </c>
      <c r="D260" s="18">
        <f>IF($A260&gt;'1-Input'!$B$26,F259,(F259-MAX(0,B231-IF($A260&gt;='1-Input'!$C$12,'1-Input'!$B$12,0))+C260*(1-'P-Parametri'!$B$6*B260))*(1+ROUND('3-Liquidita'!$F$7,4)))</f>
        <v>0</v>
      </c>
      <c r="E260" s="18">
        <f>IF($A260&gt;'1-Input'!$B$26,G259,(G259-C260)*(1+'5-Roberta'!$C$4))</f>
        <v>235142.7461053335</v>
      </c>
      <c r="F260" s="18">
        <f>IF($A260&gt;'1-Input'!$B$26,D260,D260-'P-Parametri'!$B$8*(E260+D260)+MIN(MAX(E260,0),'P-Parametri'!$B$8*(E260+D260)))</f>
        <v>0</v>
      </c>
      <c r="G260" s="18">
        <f>IF($A260&gt;'1-Input'!$B$26,E260,E260-MIN(MAX(E260,0),'P-Parametri'!$B$8*(E260+D260)))</f>
        <v>234672.46061312282</v>
      </c>
      <c r="H260" s="18">
        <f>IF($A260&gt;'1-Input'!$B$26,H259,H259-C260*(1-B260))</f>
        <v>87387.831371555876</v>
      </c>
      <c r="I260" s="11">
        <f>IF($A260&gt;'1-Input'!$B$26,0,IF(N259&lt;=0,0,MAX(0,(N259-O259)/N259)))</f>
        <v>0.61721351050147988</v>
      </c>
      <c r="J260" s="18">
        <f>IF($A260&gt;'1-Input'!$B$26,0,(MAX(0,I231-IF($A260&gt;='1-Input'!$C$12,'1-Input'!$B$12,0))-MIN(MAX(M259,0),MAX(0,I231-IF($A260&gt;='1-Input'!$C$12,'1-Input'!$B$12,0))))*(1/(1-'P-Parametri'!$B$6*I260))+MIN(MAX(0,N259-(MAX(0,I231-IF($A260&gt;='1-Input'!$C$12,'1-Input'!$B$12,0))-MIN(MAX(M259,0),MAX(0,I231-IF($A260&gt;='1-Input'!$C$12,'1-Input'!$B$12,0))))*(1/(1-'P-Parametri'!$B$6*I260))),MAX(0,0*I231-(M259-MIN(MAX(M259,0),MAX(0,I231-IF($A260&gt;='1-Input'!$C$12,'1-Input'!$B$12,0)))))*(1/(1-'P-Parametri'!$B$6*I260))))</f>
        <v>12920.119850471056</v>
      </c>
      <c r="K260" s="18">
        <f>IF($A260&gt;'1-Input'!$B$26,M259,(M259-MAX(0,I231-IF($A260&gt;='1-Input'!$C$12,'1-Input'!$B$12,0))+J260*(1-'P-Parametri'!$B$6*I260))*(1+ROUND('3-Liquidita'!$F$7,4)))</f>
        <v>0</v>
      </c>
      <c r="L260" s="18">
        <f>IF($A260&gt;'1-Input'!$B$26,N259,(N259-J260)*(1+'5-Roberta'!$C$4))</f>
        <v>-5491.8413443305762</v>
      </c>
      <c r="M260" s="18">
        <f>IF($A260&gt;'1-Input'!$B$26,K260,K260-'P-Parametri'!$B$8*(L260+K260)+MIN(MAX(L260,0),'P-Parametri'!$B$8*(L260+K260)))</f>
        <v>0</v>
      </c>
      <c r="N260" s="18">
        <f>IF($A260&gt;'1-Input'!$B$26,L260,L260-MIN(MAX(L260,0),'P-Parametri'!$B$8*(L260+K260)))</f>
        <v>-5480.857661641915</v>
      </c>
      <c r="O260" s="18">
        <f>IF($A260&gt;'1-Input'!$B$26,O259,O259-J260*(1-I260))</f>
        <v>-2040.9734651253739</v>
      </c>
      <c r="P260" s="11">
        <f>IF($A260&gt;'1-Input'!$B$26,0,IF(U259&lt;=0,0,MAX(0,(U259-V259)/U259)))</f>
        <v>0.61721351050147955</v>
      </c>
      <c r="Q260" s="18">
        <f>IF($A260&gt;'1-Input'!$B$26,0,(MAX(0,P231-IF($A260&gt;='1-Input'!$C$12,'1-Input'!$B$12,0))-MIN(MAX(T259,0),MAX(0,P231-IF($A260&gt;='1-Input'!$C$12,'1-Input'!$B$12,0))))*(1/(1-'P-Parametri'!$B$6*P260))+MIN(MAX(0,U259-(MAX(0,P231-IF($A260&gt;='1-Input'!$C$12,'1-Input'!$B$12,0))-MIN(MAX(T259,0),MAX(0,P231-IF($A260&gt;='1-Input'!$C$12,'1-Input'!$B$12,0))))*(1/(1-'P-Parametri'!$B$6*P260))),MAX(0,0*P231-(T259-MIN(MAX(T259,0),MAX(0,P231-IF($A260&gt;='1-Input'!$C$12,'1-Input'!$B$12,0)))))*(1/(1-'P-Parametri'!$B$6*P260))))</f>
        <v>9520.912999553062</v>
      </c>
      <c r="R260" s="18">
        <f>IF($A260&gt;'1-Input'!$B$26,T259,(T259-MAX(0,P231-IF($A260&gt;='1-Input'!$C$12,'1-Input'!$B$12,0))+Q260*(1-'P-Parametri'!$B$6*P260))*(1+ROUND('3-Liquidita'!$F$7,4)))</f>
        <v>0</v>
      </c>
      <c r="S260" s="18">
        <f>IF($A260&gt;'1-Input'!$B$26,U259,(U259-Q260)*(1+'5-Roberta'!$C$4))</f>
        <v>124869.20574036798</v>
      </c>
      <c r="T260" s="18">
        <f>IF($A260&gt;'1-Input'!$B$26,R260,R260-'P-Parametri'!$B$8*(S260+R260)+MIN(MAX(S260,0),'P-Parametri'!$B$8*(S260+R260)))</f>
        <v>0</v>
      </c>
      <c r="U260" s="18">
        <f>IF($A260&gt;'1-Input'!$B$26,S260,S260-MIN(MAX(S260,0),'P-Parametri'!$B$8*(S260+R260)))</f>
        <v>124619.46732888724</v>
      </c>
      <c r="V260" s="18">
        <f>IF($A260&gt;'1-Input'!$B$26,V259,V259-Q260*(1-P260))</f>
        <v>46406.063021188311</v>
      </c>
      <c r="W260" s="11">
        <f>IF($A260&gt;'1-Input'!$B$26,0,IF(AB259&lt;=0,0,MAX(0,(AB259-AC259)/AB259)))</f>
        <v>0.61721351050147977</v>
      </c>
      <c r="X260" s="18">
        <f>IF($A260&gt;'1-Input'!$B$26,0,(MAX(0,W231-IF($A260&gt;='1-Input'!$C$12,'1-Input'!$B$12,0))-MIN(MAX(AA259,0),MAX(0,W231-IF($A260&gt;='1-Input'!$C$12,'1-Input'!$B$12,0))))*(1/(1-'P-Parametri'!$B$6*W260))+MIN(MAX(0,AB259-(MAX(0,W231-IF($A260&gt;='1-Input'!$C$12,'1-Input'!$B$12,0))-MIN(MAX(AA259,0),MAX(0,W231-IF($A260&gt;='1-Input'!$C$12,'1-Input'!$B$12,0))))*(1/(1-'P-Parametri'!$B$6*W260))),MAX(0,0*W231-(AA259-MIN(MAX(AA259,0),MAX(0,W231-IF($A260&gt;='1-Input'!$C$12,'1-Input'!$B$12,0)))))*(1/(1-'P-Parametri'!$B$6*W260))))</f>
        <v>9215.6496967086823</v>
      </c>
      <c r="Y260" s="18">
        <f>IF($A260&gt;'1-Input'!$B$26,AA259,(AA259-MAX(0,W231-IF($A260&gt;='1-Input'!$C$12,'1-Input'!$B$12,0))+X260*(1-'P-Parametri'!$B$6*W260))*(1+ROUND('3-Liquidita'!$F$7,4)))</f>
        <v>9.1522451839409766E-13</v>
      </c>
      <c r="Z260" s="18">
        <f>IF($A260&gt;'1-Input'!$B$26,AB259,(AB259-X260)*(1+'5-Roberta'!$C$4))</f>
        <v>136576.18490951794</v>
      </c>
      <c r="AA260" s="18">
        <f>IF($A260&gt;'1-Input'!$B$26,Y260,Y260-'P-Parametri'!$B$8*(Z260+Y260)+MIN(MAX(Z260,0),'P-Parametri'!$B$8*(Z260+Y260)))</f>
        <v>9.0949470177292824E-13</v>
      </c>
      <c r="AB260" s="18">
        <f>IF($A260&gt;'1-Input'!$B$26,Z260,Z260-MIN(MAX(Z260,0),'P-Parametri'!$B$8*(Z260+Y260)))</f>
        <v>136303.03253969891</v>
      </c>
      <c r="AC260" s="18">
        <f>IF($A260&gt;'1-Input'!$B$26,AC259,AC259-X260*(1-W260))</f>
        <v>50756.813952053533</v>
      </c>
      <c r="AD260" s="11">
        <f>IF($A260&gt;'1-Input'!$B$26,0,IF(AI259&lt;=0,0,MAX(0,(AI259-AJ259)/AI259)))</f>
        <v>0.61721351050148021</v>
      </c>
      <c r="AE260" s="18">
        <f>IF($A260&gt;'1-Input'!$B$26,0,(MAX(0,AD231-IF($A260&gt;='1-Input'!$C$12,'1-Input'!$B$12,0))-MIN(MAX(AH259,0),MAX(0,AD231-IF($A260&gt;='1-Input'!$C$12,'1-Input'!$B$12,0))))*(1/(1-'P-Parametri'!$B$6*AD260))+MIN(MAX(0,AI259-(MAX(0,AD231-IF($A260&gt;='1-Input'!$C$12,'1-Input'!$B$12,0))-MIN(MAX(AH259,0),MAX(0,AD231-IF($A260&gt;='1-Input'!$C$12,'1-Input'!$B$12,0))))*(1/(1-'P-Parametri'!$B$6*AD260))),MAX(0,0*AD231-(AH259-MIN(MAX(AH259,0),MAX(0,AD231-IF($A260&gt;='1-Input'!$C$12,'1-Input'!$B$12,0)))))*(1/(1-'P-Parametri'!$B$6*AD260))))</f>
        <v>9223.7298249053256</v>
      </c>
      <c r="AF260" s="18">
        <f>IF($A260&gt;'1-Input'!$B$26,AH259,(AH259-MAX(0,AD231-IF($A260&gt;='1-Input'!$C$12,'1-Input'!$B$12,0))+AE260*(1-'P-Parametri'!$B$6*AD260))*(1+ROUND('3-Liquidita'!$F$7,4)))</f>
        <v>0</v>
      </c>
      <c r="AG260" s="18">
        <f>IF($A260&gt;'1-Input'!$B$26,AI259,(AI259-AE260)*(1+'5-Roberta'!$C$4))</f>
        <v>136266.30851232007</v>
      </c>
      <c r="AH260" s="18">
        <f>IF($A260&gt;'1-Input'!$B$26,AF260,AF260-'P-Parametri'!$B$8*(AG260+AF260)+MIN(MAX(AG260,0),'P-Parametri'!$B$8*(AG260+AF260)))</f>
        <v>0</v>
      </c>
      <c r="AI260" s="18">
        <f>IF($A260&gt;'1-Input'!$B$26,AG260,AG260-MIN(MAX(AG260,0),'P-Parametri'!$B$8*(AG260+AF260)))</f>
        <v>135993.77589529543</v>
      </c>
      <c r="AJ260" s="18">
        <f>IF($A260&gt;'1-Input'!$B$26,AJ259,AJ259-AE260*(1-AD260))</f>
        <v>50641.6523032556</v>
      </c>
      <c r="AK260" s="11">
        <f>IF($A260&gt;'1-Input'!$B$26,0,IF(AP259&lt;=0,0,MAX(0,(AP259-AQ259)/AP259)))</f>
        <v>0.61721351050147966</v>
      </c>
      <c r="AL260" s="18">
        <f>IF($A260&gt;'1-Input'!$B$26,0,(MAX(0,AK231-IF($A260&gt;='1-Input'!$C$12,'1-Input'!$B$12,0))-MIN(MAX(AO259,0),MAX(0,AK231-IF($A260&gt;='1-Input'!$C$12,'1-Input'!$B$12,0))))*(1/(1-'P-Parametri'!$B$6*AK260))+MIN(MAX(0,AP259-(MAX(0,AK231-IF($A260&gt;='1-Input'!$C$12,'1-Input'!$B$12,0))-MIN(MAX(AO259,0),MAX(0,AK231-IF($A260&gt;='1-Input'!$C$12,'1-Input'!$B$12,0))))*(1/(1-'P-Parametri'!$B$6*AK260))),MAX(0,0*AK231-(AO259-MIN(MAX(AO259,0),MAX(0,AK231-IF($A260&gt;='1-Input'!$C$12,'1-Input'!$B$12,0)))))*(1/(1-'P-Parametri'!$B$6*AK260))))</f>
        <v>9222.475129870927</v>
      </c>
      <c r="AM260" s="18">
        <f>IF($A260&gt;'1-Input'!$B$26,AO259,(AO259-MAX(0,AK231-IF($A260&gt;='1-Input'!$C$12,'1-Input'!$B$12,0))+AL260*(1-'P-Parametri'!$B$6*AK260))*(1+ROUND('3-Liquidita'!$F$7,4)))</f>
        <v>-9.1522451839409766E-13</v>
      </c>
      <c r="AN260" s="18">
        <f>IF($A260&gt;'1-Input'!$B$26,AP259,(AP259-AL260)*(1+'5-Roberta'!$C$4))</f>
        <v>136314.42660740149</v>
      </c>
      <c r="AO260" s="18">
        <f>IF($A260&gt;'1-Input'!$B$26,AM260,AM260-'P-Parametri'!$B$8*(AN260+AM260)+MIN(MAX(AN260,0),'P-Parametri'!$B$8*(AN260+AM260)))</f>
        <v>-9.0949470177292824E-13</v>
      </c>
      <c r="AP260" s="18">
        <f>IF($A260&gt;'1-Input'!$B$26,AN260,AN260-MIN(MAX(AN260,0),'P-Parametri'!$B$8*(AN260+AM260)))</f>
        <v>136041.79775418667</v>
      </c>
      <c r="AQ260" s="18">
        <f>IF($A260&gt;'1-Input'!$B$26,AQ259,AQ259-AL260*(1-AK260))</f>
        <v>50659.534785486314</v>
      </c>
    </row>
    <row r="261" spans="1:43">
      <c r="A261" s="10">
        <f>28</f>
        <v>28</v>
      </c>
      <c r="B261" s="11">
        <f>IF($A261&gt;'1-Input'!$B$26,0,IF(G260&lt;=0,0,MAX(0,(G260-H260)/G260)))</f>
        <v>0.62761786728941305</v>
      </c>
      <c r="C261" s="18">
        <f>IF($A261&gt;'1-Input'!$B$26,0,(MAX(0,B231-IF($A261&gt;='1-Input'!$C$12,'1-Input'!$B$12,0))-MIN(MAX(F260,0),MAX(0,B231-IF($A261&gt;='1-Input'!$C$12,'1-Input'!$B$12,0))))*(1/(1-'P-Parametri'!$B$6*B261))+MIN(MAX(0,G260-(MAX(0,B231-IF($A261&gt;='1-Input'!$C$12,'1-Input'!$B$12,0))-MIN(MAX(F260,0),MAX(0,B231-IF($A261&gt;='1-Input'!$C$12,'1-Input'!$B$12,0))))*(1/(1-'P-Parametri'!$B$6*B261))),MAX(0,0*B231-(F260-MIN(MAX(F260,0),MAX(0,B231-IF($A261&gt;='1-Input'!$C$12,'1-Input'!$B$12,0)))))*(1/(1-'P-Parametri'!$B$6*B261))))</f>
        <v>6666.9769103603076</v>
      </c>
      <c r="D261" s="18">
        <f>IF($A261&gt;'1-Input'!$B$26,F260,(F260-MAX(0,B231-IF($A261&gt;='1-Input'!$C$12,'1-Input'!$B$12,0))+C261*(1-'P-Parametri'!$B$6*B261))*(1+ROUND('3-Liquidita'!$F$7,4)))</f>
        <v>0</v>
      </c>
      <c r="E261" s="18">
        <f>IF($A261&gt;'1-Input'!$B$26,G260,(G260-C261)*(1+'5-Roberta'!$C$4))</f>
        <v>234845.64821384539</v>
      </c>
      <c r="F261" s="18">
        <f>IF($A261&gt;'1-Input'!$B$26,D261,D261-'P-Parametri'!$B$8*(E261+D261)+MIN(MAX(E261,0),'P-Parametri'!$B$8*(E261+D261)))</f>
        <v>0</v>
      </c>
      <c r="G261" s="18">
        <f>IF($A261&gt;'1-Input'!$B$26,E261,E261-MIN(MAX(E261,0),'P-Parametri'!$B$8*(E261+D261)))</f>
        <v>234375.9569174177</v>
      </c>
      <c r="H261" s="18">
        <f>IF($A261&gt;'1-Input'!$B$26,H260,H260-C261*(1-B261))</f>
        <v>84905.168290943664</v>
      </c>
      <c r="I261" s="11">
        <f>IF($A261&gt;'1-Input'!$B$26,0,IF(N260&lt;=0,0,MAX(0,(N260-O260)/N260)))</f>
        <v>0</v>
      </c>
      <c r="J261" s="18">
        <f>IF($A261&gt;'1-Input'!$B$26,0,(MAX(0,I231-IF($A261&gt;='1-Input'!$C$12,'1-Input'!$B$12,0))-MIN(MAX(M260,0),MAX(0,I231-IF($A261&gt;='1-Input'!$C$12,'1-Input'!$B$12,0))))*(1/(1-'P-Parametri'!$B$6*I261))+MIN(MAX(0,N260-(MAX(0,I231-IF($A261&gt;='1-Input'!$C$12,'1-Input'!$B$12,0))-MIN(MAX(M260,0),MAX(0,I231-IF($A261&gt;='1-Input'!$C$12,'1-Input'!$B$12,0))))*(1/(1-'P-Parametri'!$B$6*I261))),MAX(0,0*I231-(M260-MIN(MAX(M260,0),MAX(0,I231-IF($A261&gt;='1-Input'!$C$12,'1-Input'!$B$12,0)))))*(1/(1-'P-Parametri'!$B$6*I261))))</f>
        <v>10846.756992928691</v>
      </c>
      <c r="K261" s="18">
        <f>IF($A261&gt;'1-Input'!$B$26,M260,(M260-MAX(0,I231-IF($A261&gt;='1-Input'!$C$12,'1-Input'!$B$12,0))+J261*(1-'P-Parametri'!$B$6*I261))*(1+ROUND('3-Liquidita'!$F$7,4)))</f>
        <v>0</v>
      </c>
      <c r="L261" s="18">
        <f>IF($A261&gt;'1-Input'!$B$26,N260,(N260-J261)*(1+'5-Roberta'!$C$4))</f>
        <v>-16817.443094207727</v>
      </c>
      <c r="M261" s="18">
        <f>IF($A261&gt;'1-Input'!$B$26,K261,K261-'P-Parametri'!$B$8*(L261+K261)+MIN(MAX(L261,0),'P-Parametri'!$B$8*(L261+K261)))</f>
        <v>0</v>
      </c>
      <c r="N261" s="18">
        <f>IF($A261&gt;'1-Input'!$B$26,L261,L261-MIN(MAX(L261,0),'P-Parametri'!$B$8*(L261+K261)))</f>
        <v>-16783.808208019313</v>
      </c>
      <c r="O261" s="18">
        <f>IF($A261&gt;'1-Input'!$B$26,O260,O260-J261*(1-I261))</f>
        <v>-12887.730458054066</v>
      </c>
      <c r="P261" s="11">
        <f>IF($A261&gt;'1-Input'!$B$26,0,IF(U260&lt;=0,0,MAX(0,(U260-V260)/U260)))</f>
        <v>0.62761786728941327</v>
      </c>
      <c r="Q261" s="18">
        <f>IF($A261&gt;'1-Input'!$B$26,0,(MAX(0,P231-IF($A261&gt;='1-Input'!$C$12,'1-Input'!$B$12,0))-MIN(MAX(T260,0),MAX(0,P231-IF($A261&gt;='1-Input'!$C$12,'1-Input'!$B$12,0))))*(1/(1-'P-Parametri'!$B$6*P261))+MIN(MAX(0,U260-(MAX(0,P231-IF($A261&gt;='1-Input'!$C$12,'1-Input'!$B$12,0))-MIN(MAX(T260,0),MAX(0,P231-IF($A261&gt;='1-Input'!$C$12,'1-Input'!$B$12,0))))*(1/(1-'P-Parametri'!$B$6*P261))),MAX(0,0*P231-(T260-MIN(MAX(T260,0),MAX(0,P231-IF($A261&gt;='1-Input'!$C$12,'1-Input'!$B$12,0)))))*(1/(1-'P-Parametri'!$B$6*P261))))</f>
        <v>9551.6906501509511</v>
      </c>
      <c r="R261" s="18">
        <f>IF($A261&gt;'1-Input'!$B$26,T260,(T260-MAX(0,P231-IF($A261&gt;='1-Input'!$C$12,'1-Input'!$B$12,0))+Q261*(1-'P-Parametri'!$B$6*P261))*(1+ROUND('3-Liquidita'!$F$7,4)))</f>
        <v>0</v>
      </c>
      <c r="S261" s="18">
        <f>IF($A261&gt;'1-Input'!$B$26,U260,(U260-Q261)*(1+'5-Roberta'!$C$4))</f>
        <v>118519.80997909838</v>
      </c>
      <c r="T261" s="18">
        <f>IF($A261&gt;'1-Input'!$B$26,R261,R261-'P-Parametri'!$B$8*(S261+R261)+MIN(MAX(S261,0),'P-Parametri'!$B$8*(S261+R261)))</f>
        <v>0</v>
      </c>
      <c r="U261" s="18">
        <f>IF($A261&gt;'1-Input'!$B$26,S261,S261-MIN(MAX(S261,0),'P-Parametri'!$B$8*(S261+R261)))</f>
        <v>118282.77035914018</v>
      </c>
      <c r="V261" s="18">
        <f>IF($A261&gt;'1-Input'!$B$26,V260,V260-Q261*(1-P261))</f>
        <v>42849.184085893328</v>
      </c>
      <c r="W261" s="11">
        <f>IF($A261&gt;'1-Input'!$B$26,0,IF(AB260&lt;=0,0,MAX(0,(AB260-AC260)/AB260)))</f>
        <v>0.6276178672894136</v>
      </c>
      <c r="X261" s="18">
        <f>IF($A261&gt;'1-Input'!$B$26,0,(MAX(0,W231-IF($A261&gt;='1-Input'!$C$12,'1-Input'!$B$12,0))-MIN(MAX(AA260,0),MAX(0,W231-IF($A261&gt;='1-Input'!$C$12,'1-Input'!$B$12,0))))*(1/(1-'P-Parametri'!$B$6*W261))+MIN(MAX(0,AB260-(MAX(0,W231-IF($A261&gt;='1-Input'!$C$12,'1-Input'!$B$12,0))-MIN(MAX(AA260,0),MAX(0,W231-IF($A261&gt;='1-Input'!$C$12,'1-Input'!$B$12,0))))*(1/(1-'P-Parametri'!$B$6*W261))),MAX(0,0*W231-(AA260-MIN(MAX(AA260,0),MAX(0,W231-IF($A261&gt;='1-Input'!$C$12,'1-Input'!$B$12,0)))))*(1/(1-'P-Parametri'!$B$6*W261))))</f>
        <v>9245.4405420205912</v>
      </c>
      <c r="Y261" s="18">
        <f>IF($A261&gt;'1-Input'!$B$26,AA260,(AA260-MAX(0,W231-IF($A261&gt;='1-Input'!$C$12,'1-Input'!$B$12,0))+X261*(1-'P-Parametri'!$B$6*W261))*(1+ROUND('3-Liquidita'!$F$7,4)))</f>
        <v>0</v>
      </c>
      <c r="Z261" s="18">
        <f>IF($A261&gt;'1-Input'!$B$26,AB260,(AB260-X261)*(1+'5-Roberta'!$C$4))</f>
        <v>130869.31975760867</v>
      </c>
      <c r="AA261" s="18">
        <f>IF($A261&gt;'1-Input'!$B$26,Y261,Y261-'P-Parametri'!$B$8*(Z261+Y261)+MIN(MAX(Z261,0),'P-Parametri'!$B$8*(Z261+Y261)))</f>
        <v>0</v>
      </c>
      <c r="AB261" s="18">
        <f>IF($A261&gt;'1-Input'!$B$26,Z261,Z261-MIN(MAX(Z261,0),'P-Parametri'!$B$8*(Z261+Y261)))</f>
        <v>130607.58111809345</v>
      </c>
      <c r="AC261" s="18">
        <f>IF($A261&gt;'1-Input'!$B$26,AC260,AC260-X261*(1-W261))</f>
        <v>47313.977085166989</v>
      </c>
      <c r="AD261" s="11">
        <f>IF($A261&gt;'1-Input'!$B$26,0,IF(AI260&lt;=0,0,MAX(0,(AI260-AJ260)/AI260)))</f>
        <v>0.62761786728941393</v>
      </c>
      <c r="AE261" s="18">
        <f>IF($A261&gt;'1-Input'!$B$26,0,(MAX(0,AD231-IF($A261&gt;='1-Input'!$C$12,'1-Input'!$B$12,0))-MIN(MAX(AH260,0),MAX(0,AD231-IF($A261&gt;='1-Input'!$C$12,'1-Input'!$B$12,0))))*(1/(1-'P-Parametri'!$B$6*AD261))+MIN(MAX(0,AI260-(MAX(0,AD231-IF($A261&gt;='1-Input'!$C$12,'1-Input'!$B$12,0))-MIN(MAX(AH260,0),MAX(0,AD231-IF($A261&gt;='1-Input'!$C$12,'1-Input'!$B$12,0))))*(1/(1-'P-Parametri'!$B$6*AD261))),MAX(0,0*AD231-(AH260-MIN(MAX(AH260,0),MAX(0,AD231-IF($A261&gt;='1-Input'!$C$12,'1-Input'!$B$12,0)))))*(1/(1-'P-Parametri'!$B$6*AD261))))</f>
        <v>9253.5467903343324</v>
      </c>
      <c r="AF261" s="18">
        <f>IF($A261&gt;'1-Input'!$B$26,AH260,(AH260-MAX(0,AD231-IF($A261&gt;='1-Input'!$C$12,'1-Input'!$B$12,0))+AE261*(1-'P-Parametri'!$B$6*AD261))*(1+ROUND('3-Liquidita'!$F$7,4)))</f>
        <v>0</v>
      </c>
      <c r="AG261" s="18">
        <f>IF($A261&gt;'1-Input'!$B$26,AI260,(AI260-AE261)*(1+'5-Roberta'!$C$4))</f>
        <v>130542.43597810993</v>
      </c>
      <c r="AH261" s="18">
        <f>IF($A261&gt;'1-Input'!$B$26,AF261,AF261-'P-Parametri'!$B$8*(AG261+AF261)+MIN(MAX(AG261,0),'P-Parametri'!$B$8*(AG261+AF261)))</f>
        <v>0</v>
      </c>
      <c r="AI261" s="18">
        <f>IF($A261&gt;'1-Input'!$B$26,AG261,AG261-MIN(MAX(AG261,0),'P-Parametri'!$B$8*(AG261+AF261)))</f>
        <v>130281.35110615371</v>
      </c>
      <c r="AJ261" s="18">
        <f>IF($A261&gt;'1-Input'!$B$26,AJ260,AJ260-AE261*(1-AD261))</f>
        <v>47195.796814333706</v>
      </c>
      <c r="AK261" s="11">
        <f>IF($A261&gt;'1-Input'!$B$26,0,IF(AP260&lt;=0,0,MAX(0,(AP260-AQ260)/AP260)))</f>
        <v>0.62761786728941338</v>
      </c>
      <c r="AL261" s="18">
        <f>IF($A261&gt;'1-Input'!$B$26,0,(MAX(0,AK231-IF($A261&gt;='1-Input'!$C$12,'1-Input'!$B$12,0))-MIN(MAX(AO260,0),MAX(0,AK231-IF($A261&gt;='1-Input'!$C$12,'1-Input'!$B$12,0))))*(1/(1-'P-Parametri'!$B$6*AK261))+MIN(MAX(0,AP260-(MAX(0,AK231-IF($A261&gt;='1-Input'!$C$12,'1-Input'!$B$12,0))-MIN(MAX(AO260,0),MAX(0,AK231-IF($A261&gt;='1-Input'!$C$12,'1-Input'!$B$12,0))))*(1/(1-'P-Parametri'!$B$6*AK261))),MAX(0,0*AK231-(AO260-MIN(MAX(AO260,0),MAX(0,AK231-IF($A261&gt;='1-Input'!$C$12,'1-Input'!$B$12,0)))))*(1/(1-'P-Parametri'!$B$6*AK261))))</f>
        <v>9252.2880393270116</v>
      </c>
      <c r="AM261" s="18">
        <f>IF($A261&gt;'1-Input'!$B$26,AO260,(AO260-MAX(0,AK231-IF($A261&gt;='1-Input'!$C$12,'1-Input'!$B$12,0))+AL261*(1-'P-Parametri'!$B$6*AK261))*(1+ROUND('3-Liquidita'!$F$7,4)))</f>
        <v>1.8304490367881953E-12</v>
      </c>
      <c r="AN261" s="18">
        <f>IF($A261&gt;'1-Input'!$B$26,AP260,(AP260-AL261)*(1+'5-Roberta'!$C$4))</f>
        <v>130593.19500630545</v>
      </c>
      <c r="AO261" s="18">
        <f>IF($A261&gt;'1-Input'!$B$26,AM261,AM261-'P-Parametri'!$B$8*(AN261+AM261)+MIN(MAX(AN261,0),'P-Parametri'!$B$8*(AN261+AM261)))</f>
        <v>1.8189894035458565E-12</v>
      </c>
      <c r="AP261" s="18">
        <f>IF($A261&gt;'1-Input'!$B$26,AN261,AN261-MIN(MAX(AN261,0),'P-Parametri'!$B$8*(AN261+AM261)))</f>
        <v>130332.00861629285</v>
      </c>
      <c r="AQ261" s="18">
        <f>IF($A261&gt;'1-Input'!$B$26,AQ260,AQ260-AL261*(1-AK261))</f>
        <v>47214.148032949073</v>
      </c>
    </row>
    <row r="262" spans="1:43">
      <c r="A262" s="10">
        <f>29</f>
        <v>29</v>
      </c>
      <c r="B262" s="11">
        <f>IF($A262&gt;'1-Input'!$B$26,0,IF(G261&lt;=0,0,MAX(0,(G261-H261)/G261)))</f>
        <v>0.637739427680033</v>
      </c>
      <c r="C262" s="18">
        <f>IF($A262&gt;'1-Input'!$B$26,0,(MAX(0,B231-IF($A262&gt;='1-Input'!$C$12,'1-Input'!$B$12,0))-MIN(MAX(F261,0),MAX(0,B231-IF($A262&gt;='1-Input'!$C$12,'1-Input'!$B$12,0))))*(1/(1-'P-Parametri'!$B$6*B262))+MIN(MAX(0,G261-(MAX(0,B231-IF($A262&gt;='1-Input'!$C$12,'1-Input'!$B$12,0))-MIN(MAX(F261,0),MAX(0,B231-IF($A262&gt;='1-Input'!$C$12,'1-Input'!$B$12,0))))*(1/(1-'P-Parametri'!$B$6*B262))),MAX(0,0*B231-(F261-MIN(MAX(F261,0),MAX(0,B231-IF($A262&gt;='1-Input'!$C$12,'1-Input'!$B$12,0)))))*(1/(1-'P-Parametri'!$B$6*B262))))</f>
        <v>6688.0091713526954</v>
      </c>
      <c r="D262" s="18">
        <f>IF($A262&gt;'1-Input'!$B$26,F261,(F261-MAX(0,B231-IF($A262&gt;='1-Input'!$C$12,'1-Input'!$B$12,0))+C262*(1-'P-Parametri'!$B$6*B262))*(1+ROUND('3-Liquidita'!$F$7,4)))</f>
        <v>0</v>
      </c>
      <c r="E262" s="18">
        <f>IF($A262&gt;'1-Input'!$B$26,G261,(G261-C262)*(1+'5-Roberta'!$C$4))</f>
        <v>234518.58617844697</v>
      </c>
      <c r="F262" s="18">
        <f>IF($A262&gt;'1-Input'!$B$26,D262,D262-'P-Parametri'!$B$8*(E262+D262)+MIN(MAX(E262,0),'P-Parametri'!$B$8*(E262+D262)))</f>
        <v>0</v>
      </c>
      <c r="G262" s="18">
        <f>IF($A262&gt;'1-Input'!$B$26,E262,E262-MIN(MAX(E262,0),'P-Parametri'!$B$8*(E262+D262)))</f>
        <v>234049.54900609009</v>
      </c>
      <c r="H262" s="18">
        <f>IF($A262&gt;'1-Input'!$B$26,H261,H261-C262*(1-B262))</f>
        <v>82482.366260848241</v>
      </c>
      <c r="I262" s="11">
        <f>IF($A262&gt;'1-Input'!$B$26,0,IF(N261&lt;=0,0,MAX(0,(N261-O261)/N261)))</f>
        <v>0</v>
      </c>
      <c r="J262" s="18">
        <f>IF($A262&gt;'1-Input'!$B$26,0,(MAX(0,I231-IF($A262&gt;='1-Input'!$C$12,'1-Input'!$B$12,0))-MIN(MAX(M261,0),MAX(0,I231-IF($A262&gt;='1-Input'!$C$12,'1-Input'!$B$12,0))))*(1/(1-'P-Parametri'!$B$6*I262))+MIN(MAX(0,N261-(MAX(0,I231-IF($A262&gt;='1-Input'!$C$12,'1-Input'!$B$12,0))-MIN(MAX(M261,0),MAX(0,I231-IF($A262&gt;='1-Input'!$C$12,'1-Input'!$B$12,0))))*(1/(1-'P-Parametri'!$B$6*I262))),MAX(0,0*I231-(M261-MIN(MAX(M261,0),MAX(0,I231-IF($A262&gt;='1-Input'!$C$12,'1-Input'!$B$12,0)))))*(1/(1-'P-Parametri'!$B$6*I262))))</f>
        <v>10846.756992928691</v>
      </c>
      <c r="K262" s="18">
        <f>IF($A262&gt;'1-Input'!$B$26,M261,(M261-MAX(0,I231-IF($A262&gt;='1-Input'!$C$12,'1-Input'!$B$12,0))+J262*(1-'P-Parametri'!$B$6*I262))*(1+ROUND('3-Liquidita'!$F$7,4)))</f>
        <v>0</v>
      </c>
      <c r="L262" s="18">
        <f>IF($A262&gt;'1-Input'!$B$26,N261,(N261-J262)*(1+'5-Roberta'!$C$4))</f>
        <v>-28459.482156976446</v>
      </c>
      <c r="M262" s="18">
        <f>IF($A262&gt;'1-Input'!$B$26,K262,K262-'P-Parametri'!$B$8*(L262+K262)+MIN(MAX(L262,0),'P-Parametri'!$B$8*(L262+K262)))</f>
        <v>0</v>
      </c>
      <c r="N262" s="18">
        <f>IF($A262&gt;'1-Input'!$B$26,L262,L262-MIN(MAX(L262,0),'P-Parametri'!$B$8*(L262+K262)))</f>
        <v>-28402.563192662492</v>
      </c>
      <c r="O262" s="18">
        <f>IF($A262&gt;'1-Input'!$B$26,O261,O261-J262*(1-I262))</f>
        <v>-23734.487450982757</v>
      </c>
      <c r="P262" s="11">
        <f>IF($A262&gt;'1-Input'!$B$26,0,IF(U261&lt;=0,0,MAX(0,(U261-V261)/U261)))</f>
        <v>0.63773942768003322</v>
      </c>
      <c r="Q262" s="18">
        <f>IF($A262&gt;'1-Input'!$B$26,0,(MAX(0,P231-IF($A262&gt;='1-Input'!$C$12,'1-Input'!$B$12,0))-MIN(MAX(T261,0),MAX(0,P231-IF($A262&gt;='1-Input'!$C$12,'1-Input'!$B$12,0))))*(1/(1-'P-Parametri'!$B$6*P262))+MIN(MAX(0,U261-(MAX(0,P231-IF($A262&gt;='1-Input'!$C$12,'1-Input'!$B$12,0))-MIN(MAX(T261,0),MAX(0,P231-IF($A262&gt;='1-Input'!$C$12,'1-Input'!$B$12,0))))*(1/(1-'P-Parametri'!$B$6*P262))),MAX(0,0*P231-(T261-MIN(MAX(T261,0),MAX(0,P231-IF($A262&gt;='1-Input'!$C$12,'1-Input'!$B$12,0)))))*(1/(1-'P-Parametri'!$B$6*P262))))</f>
        <v>9581.8232954823525</v>
      </c>
      <c r="R262" s="18">
        <f>IF($A262&gt;'1-Input'!$B$26,T261,(T261-MAX(0,P231-IF($A262&gt;='1-Input'!$C$12,'1-Input'!$B$12,0))+Q262*(1-'P-Parametri'!$B$6*P262))*(1+ROUND('3-Liquidita'!$F$7,4)))</f>
        <v>9.1522451839409766E-13</v>
      </c>
      <c r="S262" s="18">
        <f>IF($A262&gt;'1-Input'!$B$26,U261,(U261-Q262)*(1+'5-Roberta'!$C$4))</f>
        <v>111961.97547556757</v>
      </c>
      <c r="T262" s="18">
        <f>IF($A262&gt;'1-Input'!$B$26,R262,R262-'P-Parametri'!$B$8*(S262+R262)+MIN(MAX(S262,0),'P-Parametri'!$B$8*(S262+R262)))</f>
        <v>9.0949470177292824E-13</v>
      </c>
      <c r="U262" s="18">
        <f>IF($A262&gt;'1-Input'!$B$26,S262,S262-MIN(MAX(S262,0),'P-Parametri'!$B$8*(S262+R262)))</f>
        <v>111738.05152461643</v>
      </c>
      <c r="V262" s="18">
        <f>IF($A262&gt;'1-Input'!$B$26,V261,V261-Q262*(1-P262))</f>
        <v>39378.0672950031</v>
      </c>
      <c r="W262" s="11">
        <f>IF($A262&gt;'1-Input'!$B$26,0,IF(AB261&lt;=0,0,MAX(0,(AB261-AC261)/AB261)))</f>
        <v>0.63773942768003344</v>
      </c>
      <c r="X262" s="18">
        <f>IF($A262&gt;'1-Input'!$B$26,0,(MAX(0,W231-IF($A262&gt;='1-Input'!$C$12,'1-Input'!$B$12,0))-MIN(MAX(AA261,0),MAX(0,W231-IF($A262&gt;='1-Input'!$C$12,'1-Input'!$B$12,0))))*(1/(1-'P-Parametri'!$B$6*W262))+MIN(MAX(0,AB261-(MAX(0,W231-IF($A262&gt;='1-Input'!$C$12,'1-Input'!$B$12,0))-MIN(MAX(AA261,0),MAX(0,W231-IF($A262&gt;='1-Input'!$C$12,'1-Input'!$B$12,0))))*(1/(1-'P-Parametri'!$B$6*W262))),MAX(0,0*W231-(AA261-MIN(MAX(AA261,0),MAX(0,W231-IF($A262&gt;='1-Input'!$C$12,'1-Input'!$B$12,0)))))*(1/(1-'P-Parametri'!$B$6*W262))))</f>
        <v>9274.6070624816421</v>
      </c>
      <c r="Y262" s="18">
        <f>IF($A262&gt;'1-Input'!$B$26,AA261,(AA261-MAX(0,W231-IF($A262&gt;='1-Input'!$C$12,'1-Input'!$B$12,0))+X262*(1-'P-Parametri'!$B$6*W262))*(1+ROUND('3-Liquidita'!$F$7,4)))</f>
        <v>-9.1522451839409766E-13</v>
      </c>
      <c r="Z262" s="18">
        <f>IF($A262&gt;'1-Input'!$B$26,AB261,(AB261-X262)*(1+'5-Roberta'!$C$4))</f>
        <v>124972.96327728017</v>
      </c>
      <c r="AA262" s="18">
        <f>IF($A262&gt;'1-Input'!$B$26,Y262,Y262-'P-Parametri'!$B$8*(Z262+Y262)+MIN(MAX(Z262,0),'P-Parametri'!$B$8*(Z262+Y262)))</f>
        <v>-9.0949470177292824E-13</v>
      </c>
      <c r="AB262" s="18">
        <f>IF($A262&gt;'1-Input'!$B$26,Z262,Z262-MIN(MAX(Z262,0),'P-Parametri'!$B$8*(Z262+Y262)))</f>
        <v>124723.01735072561</v>
      </c>
      <c r="AC262" s="18">
        <f>IF($A262&gt;'1-Input'!$B$26,AC261,AC261-X262*(1-W262))</f>
        <v>43954.152622669586</v>
      </c>
      <c r="AD262" s="11">
        <f>IF($A262&gt;'1-Input'!$B$26,0,IF(AI261&lt;=0,0,MAX(0,(AI261-AJ261)/AI261)))</f>
        <v>0.63773942768003378</v>
      </c>
      <c r="AE262" s="18">
        <f>IF($A262&gt;'1-Input'!$B$26,0,(MAX(0,AD231-IF($A262&gt;='1-Input'!$C$12,'1-Input'!$B$12,0))-MIN(MAX(AH261,0),MAX(0,AD231-IF($A262&gt;='1-Input'!$C$12,'1-Input'!$B$12,0))))*(1/(1-'P-Parametri'!$B$6*AD262))+MIN(MAX(0,AI261-(MAX(0,AD231-IF($A262&gt;='1-Input'!$C$12,'1-Input'!$B$12,0))-MIN(MAX(AH261,0),MAX(0,AD231-IF($A262&gt;='1-Input'!$C$12,'1-Input'!$B$12,0))))*(1/(1-'P-Parametri'!$B$6*AD262))),MAX(0,0*AD231-(AH261-MIN(MAX(AH261,0),MAX(0,AD231-IF($A262&gt;='1-Input'!$C$12,'1-Input'!$B$12,0)))))*(1/(1-'P-Parametri'!$B$6*AD262))))</f>
        <v>9282.7388835148467</v>
      </c>
      <c r="AF262" s="18">
        <f>IF($A262&gt;'1-Input'!$B$26,AH261,(AH261-MAX(0,AD231-IF($A262&gt;='1-Input'!$C$12,'1-Input'!$B$12,0))+AE262*(1-'P-Parametri'!$B$6*AD262))*(1+ROUND('3-Liquidita'!$F$7,4)))</f>
        <v>-9.1522451839409766E-13</v>
      </c>
      <c r="AG262" s="18">
        <f>IF($A262&gt;'1-Input'!$B$26,AI261,(AI261-AE262)*(1+'5-Roberta'!$C$4))</f>
        <v>124628.57058931804</v>
      </c>
      <c r="AH262" s="18">
        <f>IF($A262&gt;'1-Input'!$B$26,AF262,AF262-'P-Parametri'!$B$8*(AG262+AF262)+MIN(MAX(AG262,0),'P-Parametri'!$B$8*(AG262+AF262)))</f>
        <v>-9.0949470177292824E-13</v>
      </c>
      <c r="AI262" s="18">
        <f>IF($A262&gt;'1-Input'!$B$26,AG262,AG262-MIN(MAX(AG262,0),'P-Parametri'!$B$8*(AG262+AF262)))</f>
        <v>124379.31344813941</v>
      </c>
      <c r="AJ262" s="18">
        <f>IF($A262&gt;'1-Input'!$B$26,AJ261,AJ261-AE262*(1-AD262))</f>
        <v>43833.026513694815</v>
      </c>
      <c r="AK262" s="11">
        <f>IF($A262&gt;'1-Input'!$B$26,0,IF(AP261&lt;=0,0,MAX(0,(AP261-AQ261)/AP261)))</f>
        <v>0.63773942768003333</v>
      </c>
      <c r="AL262" s="18">
        <f>IF($A262&gt;'1-Input'!$B$26,0,(MAX(0,AK231-IF($A262&gt;='1-Input'!$C$12,'1-Input'!$B$12,0))-MIN(MAX(AO261,0),MAX(0,AK231-IF($A262&gt;='1-Input'!$C$12,'1-Input'!$B$12,0))))*(1/(1-'P-Parametri'!$B$6*AK262))+MIN(MAX(0,AP261-(MAX(0,AK231-IF($A262&gt;='1-Input'!$C$12,'1-Input'!$B$12,0))-MIN(MAX(AO261,0),MAX(0,AK231-IF($A262&gt;='1-Input'!$C$12,'1-Input'!$B$12,0))))*(1/(1-'P-Parametri'!$B$6*AK262))),MAX(0,0*AK231-(AO261-MIN(MAX(AO261,0),MAX(0,AK231-IF($A262&gt;='1-Input'!$C$12,'1-Input'!$B$12,0)))))*(1/(1-'P-Parametri'!$B$6*AK262))))</f>
        <v>9281.47616153536</v>
      </c>
      <c r="AM262" s="18">
        <f>IF($A262&gt;'1-Input'!$B$26,AO261,(AO261-MAX(0,AK231-IF($A262&gt;='1-Input'!$C$12,'1-Input'!$B$12,0))+AL262*(1-'P-Parametri'!$B$6*AK262))*(1+ROUND('3-Liquidita'!$F$7,4)))</f>
        <v>0</v>
      </c>
      <c r="AN262" s="18">
        <f>IF($A262&gt;'1-Input'!$B$26,AP261,(AP261-AL262)*(1+'5-Roberta'!$C$4))</f>
        <v>124682.04842840022</v>
      </c>
      <c r="AO262" s="18">
        <f>IF($A262&gt;'1-Input'!$B$26,AM262,AM262-'P-Parametri'!$B$8*(AN262+AM262)+MIN(MAX(AN262,0),'P-Parametri'!$B$8*(AN262+AM262)))</f>
        <v>0</v>
      </c>
      <c r="AP262" s="18">
        <f>IF($A262&gt;'1-Input'!$B$26,AN262,AN262-MIN(MAX(AN262,0),'P-Parametri'!$B$8*(AN262+AM262)))</f>
        <v>124432.68433154341</v>
      </c>
      <c r="AQ262" s="18">
        <f>IF($A262&gt;'1-Input'!$B$26,AQ261,AQ261-AL262*(1-AK262))</f>
        <v>43851.835166697143</v>
      </c>
    </row>
    <row r="263" spans="1:43">
      <c r="A263" s="10">
        <f>30</f>
        <v>30</v>
      </c>
      <c r="B263" s="11">
        <f>IF($A263&gt;'1-Input'!$B$26,0,IF(G262&lt;=0,0,MAX(0,(G262-H262)/G262)))</f>
        <v>0.64758587824195291</v>
      </c>
      <c r="C263" s="18">
        <f>IF($A263&gt;'1-Input'!$B$26,0,(MAX(0,B231-IF($A263&gt;='1-Input'!$C$12,'1-Input'!$B$12,0))-MIN(MAX(F262,0),MAX(0,B231-IF($A263&gt;='1-Input'!$C$12,'1-Input'!$B$12,0))))*(1/(1-'P-Parametri'!$B$6*B263))+MIN(MAX(0,G262-(MAX(0,B231-IF($A263&gt;='1-Input'!$C$12,'1-Input'!$B$12,0))-MIN(MAX(F262,0),MAX(0,B231-IF($A263&gt;='1-Input'!$C$12,'1-Input'!$B$12,0))))*(1/(1-'P-Parametri'!$B$6*B263))),MAX(0,0*B231-(F262-MIN(MAX(F262,0),MAX(0,B231-IF($A263&gt;='1-Input'!$C$12,'1-Input'!$B$12,0)))))*(1/(1-'P-Parametri'!$B$6*B263))))</f>
        <v>6708.5974947286659</v>
      </c>
      <c r="D263" s="18">
        <f>IF($A263&gt;'1-Input'!$B$26,F262,(F262-MAX(0,B231-IF($A263&gt;='1-Input'!$C$12,'1-Input'!$B$12,0))+C263*(1-'P-Parametri'!$B$6*B263))*(1+ROUND('3-Liquidita'!$F$7,4)))</f>
        <v>0</v>
      </c>
      <c r="E263" s="18">
        <f>IF($A263&gt;'1-Input'!$B$26,G262,(G262-C263)*(1+'5-Roberta'!$C$4))</f>
        <v>234161.18005670229</v>
      </c>
      <c r="F263" s="18">
        <f>IF($A263&gt;'1-Input'!$B$26,D263,D263-'P-Parametri'!$B$8*(E263+D263)+MIN(MAX(E263,0),'P-Parametri'!$B$8*(E263+D263)))</f>
        <v>0</v>
      </c>
      <c r="G263" s="18">
        <f>IF($A263&gt;'1-Input'!$B$26,E263,E263-MIN(MAX(E263,0),'P-Parametri'!$B$8*(E263+D263)))</f>
        <v>233692.85769658888</v>
      </c>
      <c r="H263" s="18">
        <f>IF($A263&gt;'1-Input'!$B$26,H262,H262-C263*(1-B263))</f>
        <v>80118.161766515201</v>
      </c>
      <c r="I263" s="11">
        <f>IF($A263&gt;'1-Input'!$B$26,0,IF(N262&lt;=0,0,MAX(0,(N262-O262)/N262)))</f>
        <v>0</v>
      </c>
      <c r="J263" s="18">
        <f>IF($A263&gt;'1-Input'!$B$26,0,(MAX(0,I231-IF($A263&gt;='1-Input'!$C$12,'1-Input'!$B$12,0))-MIN(MAX(M262,0),MAX(0,I231-IF($A263&gt;='1-Input'!$C$12,'1-Input'!$B$12,0))))*(1/(1-'P-Parametri'!$B$6*I263))+MIN(MAX(0,N262-(MAX(0,I231-IF($A263&gt;='1-Input'!$C$12,'1-Input'!$B$12,0))-MIN(MAX(M262,0),MAX(0,I231-IF($A263&gt;='1-Input'!$C$12,'1-Input'!$B$12,0))))*(1/(1-'P-Parametri'!$B$6*I263))),MAX(0,0*I231-(M262-MIN(MAX(M262,0),MAX(0,I231-IF($A263&gt;='1-Input'!$C$12,'1-Input'!$B$12,0)))))*(1/(1-'P-Parametri'!$B$6*I263))))</f>
        <v>10846.756992928691</v>
      </c>
      <c r="K263" s="18">
        <f>IF($A263&gt;'1-Input'!$B$26,M262,(M262-MAX(0,I231-IF($A263&gt;='1-Input'!$C$12,'1-Input'!$B$12,0))+J263*(1-'P-Parametri'!$B$6*I263))*(1+ROUND('3-Liquidita'!$F$7,4)))</f>
        <v>0</v>
      </c>
      <c r="L263" s="18">
        <f>IF($A263&gt;'1-Input'!$B$26,N262,(N262-J263)*(1+'5-Roberta'!$C$4))</f>
        <v>-40426.799791158919</v>
      </c>
      <c r="M263" s="18">
        <f>IF($A263&gt;'1-Input'!$B$26,K263,K263-'P-Parametri'!$B$8*(L263+K263)+MIN(MAX(L263,0),'P-Parametri'!$B$8*(L263+K263)))</f>
        <v>0</v>
      </c>
      <c r="N263" s="18">
        <f>IF($A263&gt;'1-Input'!$B$26,L263,L263-MIN(MAX(L263,0),'P-Parametri'!$B$8*(L263+K263)))</f>
        <v>-40345.946191576601</v>
      </c>
      <c r="O263" s="18">
        <f>IF($A263&gt;'1-Input'!$B$26,O262,O262-J263*(1-I263))</f>
        <v>-34581.244443911448</v>
      </c>
      <c r="P263" s="11">
        <f>IF($A263&gt;'1-Input'!$B$26,0,IF(U262&lt;=0,0,MAX(0,(U262-V262)/U262)))</f>
        <v>0.64758587824195302</v>
      </c>
      <c r="Q263" s="18">
        <f>IF($A263&gt;'1-Input'!$B$26,0,(MAX(0,P231-IF($A263&gt;='1-Input'!$C$12,'1-Input'!$B$12,0))-MIN(MAX(T262,0),MAX(0,P231-IF($A263&gt;='1-Input'!$C$12,'1-Input'!$B$12,0))))*(1/(1-'P-Parametri'!$B$6*P263))+MIN(MAX(0,U262-(MAX(0,P231-IF($A263&gt;='1-Input'!$C$12,'1-Input'!$B$12,0))-MIN(MAX(T262,0),MAX(0,P231-IF($A263&gt;='1-Input'!$C$12,'1-Input'!$B$12,0))))*(1/(1-'P-Parametri'!$B$6*P263))),MAX(0,0*P231-(T262-MIN(MAX(T262,0),MAX(0,P231-IF($A263&gt;='1-Input'!$C$12,'1-Input'!$B$12,0)))))*(1/(1-'P-Parametri'!$B$6*P263))))</f>
        <v>9611.3199171951001</v>
      </c>
      <c r="R263" s="18">
        <f>IF($A263&gt;'1-Input'!$B$26,T262,(T262-MAX(0,P231-IF($A263&gt;='1-Input'!$C$12,'1-Input'!$B$12,0))+Q263*(1-'P-Parametri'!$B$6*P263))*(1+ROUND('3-Liquidita'!$F$7,4)))</f>
        <v>-9.1522451839409766E-13</v>
      </c>
      <c r="S263" s="18">
        <f>IF($A263&gt;'1-Input'!$B$26,U262,(U262-Q263)*(1+'5-Roberta'!$C$4))</f>
        <v>105190.53355564397</v>
      </c>
      <c r="T263" s="18">
        <f>IF($A263&gt;'1-Input'!$B$26,R263,R263-'P-Parametri'!$B$8*(S263+R263)+MIN(MAX(S263,0),'P-Parametri'!$B$8*(S263+R263)))</f>
        <v>-9.0949470177292824E-13</v>
      </c>
      <c r="U263" s="18">
        <f>IF($A263&gt;'1-Input'!$B$26,S263,S263-MIN(MAX(S263,0),'P-Parametri'!$B$8*(S263+R263)))</f>
        <v>104980.15248853268</v>
      </c>
      <c r="V263" s="18">
        <f>IF($A263&gt;'1-Input'!$B$26,V262,V262-Q263*(1-P263))</f>
        <v>35990.902427449168</v>
      </c>
      <c r="W263" s="11">
        <f>IF($A263&gt;'1-Input'!$B$26,0,IF(AB262&lt;=0,0,MAX(0,(AB262-AC262)/AB262)))</f>
        <v>0.64758587824195335</v>
      </c>
      <c r="X263" s="18">
        <f>IF($A263&gt;'1-Input'!$B$26,0,(MAX(0,W231-IF($A263&gt;='1-Input'!$C$12,'1-Input'!$B$12,0))-MIN(MAX(AA262,0),MAX(0,W231-IF($A263&gt;='1-Input'!$C$12,'1-Input'!$B$12,0))))*(1/(1-'P-Parametri'!$B$6*W263))+MIN(MAX(0,AB262-(MAX(0,W231-IF($A263&gt;='1-Input'!$C$12,'1-Input'!$B$12,0))-MIN(MAX(AA262,0),MAX(0,W231-IF($A263&gt;='1-Input'!$C$12,'1-Input'!$B$12,0))))*(1/(1-'P-Parametri'!$B$6*W263))),MAX(0,0*W231-(AA262-MIN(MAX(AA262,0),MAX(0,W231-IF($A263&gt;='1-Input'!$C$12,'1-Input'!$B$12,0)))))*(1/(1-'P-Parametri'!$B$6*W263))))</f>
        <v>9303.1579517665068</v>
      </c>
      <c r="Y263" s="18">
        <f>IF($A263&gt;'1-Input'!$B$26,AA262,(AA262-MAX(0,W231-IF($A263&gt;='1-Input'!$C$12,'1-Input'!$B$12,0))+X263*(1-'P-Parametri'!$B$6*W263))*(1+ROUND('3-Liquidita'!$F$7,4)))</f>
        <v>9.1522451839409766E-13</v>
      </c>
      <c r="Z263" s="18">
        <f>IF($A263&gt;'1-Input'!$B$26,AB262,(AB262-X263)*(1+'5-Roberta'!$C$4))</f>
        <v>118882.45518092788</v>
      </c>
      <c r="AA263" s="18">
        <f>IF($A263&gt;'1-Input'!$B$26,Y263,Y263-'P-Parametri'!$B$8*(Z263+Y263)+MIN(MAX(Z263,0),'P-Parametri'!$B$8*(Z263+Y263)))</f>
        <v>9.0949470177292824E-13</v>
      </c>
      <c r="AB263" s="18">
        <f>IF($A263&gt;'1-Input'!$B$26,Z263,Z263-MIN(MAX(Z263,0),'P-Parametri'!$B$8*(Z263+Y263)))</f>
        <v>118644.69027056602</v>
      </c>
      <c r="AC263" s="18">
        <f>IF($A263&gt;'1-Input'!$B$26,AC262,AC262-X263*(1-W263))</f>
        <v>40675.588383521404</v>
      </c>
      <c r="AD263" s="11">
        <f>IF($A263&gt;'1-Input'!$B$26,0,IF(AI262&lt;=0,0,MAX(0,(AI262-AJ262)/AI262)))</f>
        <v>0.64758587824195368</v>
      </c>
      <c r="AE263" s="18">
        <f>IF($A263&gt;'1-Input'!$B$26,0,(MAX(0,AD231-IF($A263&gt;='1-Input'!$C$12,'1-Input'!$B$12,0))-MIN(MAX(AH262,0),MAX(0,AD231-IF($A263&gt;='1-Input'!$C$12,'1-Input'!$B$12,0))))*(1/(1-'P-Parametri'!$B$6*AD263))+MIN(MAX(0,AI262-(MAX(0,AD231-IF($A263&gt;='1-Input'!$C$12,'1-Input'!$B$12,0))-MIN(MAX(AH262,0),MAX(0,AD231-IF($A263&gt;='1-Input'!$C$12,'1-Input'!$B$12,0))))*(1/(1-'P-Parametri'!$B$6*AD263))),MAX(0,0*AD231-(AH262-MIN(MAX(AH262,0),MAX(0,AD231-IF($A263&gt;='1-Input'!$C$12,'1-Input'!$B$12,0)))))*(1/(1-'P-Parametri'!$B$6*AD263))))</f>
        <v>9311.3148057440121</v>
      </c>
      <c r="AF263" s="18">
        <f>IF($A263&gt;'1-Input'!$B$26,AH262,(AH262-MAX(0,AD231-IF($A263&gt;='1-Input'!$C$12,'1-Input'!$B$12,0))+AE263*(1-'P-Parametri'!$B$6*AD263))*(1+ROUND('3-Liquidita'!$F$7,4)))</f>
        <v>9.1522451839409766E-13</v>
      </c>
      <c r="AG263" s="18">
        <f>IF($A263&gt;'1-Input'!$B$26,AI262,(AI262-AE263)*(1+'5-Roberta'!$C$4))</f>
        <v>118520.03860166726</v>
      </c>
      <c r="AH263" s="18">
        <f>IF($A263&gt;'1-Input'!$B$26,AF263,AF263-'P-Parametri'!$B$8*(AG263+AF263)+MIN(MAX(AG263,0),'P-Parametri'!$B$8*(AG263+AF263)))</f>
        <v>9.0949470177292824E-13</v>
      </c>
      <c r="AI263" s="18">
        <f>IF($A263&gt;'1-Input'!$B$26,AG263,AG263-MIN(MAX(AG263,0),'P-Parametri'!$B$8*(AG263+AF263)))</f>
        <v>118282.99852446392</v>
      </c>
      <c r="AJ263" s="18">
        <f>IF($A263&gt;'1-Input'!$B$26,AJ262,AJ262-AE263*(1-AD263))</f>
        <v>40551.587684015845</v>
      </c>
      <c r="AK263" s="11">
        <f>IF($A263&gt;'1-Input'!$B$26,0,IF(AP262&lt;=0,0,MAX(0,(AP262-AQ262)/AP262)))</f>
        <v>0.64758587824195324</v>
      </c>
      <c r="AL263" s="18">
        <f>IF($A263&gt;'1-Input'!$B$26,0,(MAX(0,AK231-IF($A263&gt;='1-Input'!$C$12,'1-Input'!$B$12,0))-MIN(MAX(AO262,0),MAX(0,AK231-IF($A263&gt;='1-Input'!$C$12,'1-Input'!$B$12,0))))*(1/(1-'P-Parametri'!$B$6*AK263))+MIN(MAX(0,AP262-(MAX(0,AK231-IF($A263&gt;='1-Input'!$C$12,'1-Input'!$B$12,0))-MIN(MAX(AO262,0),MAX(0,AK231-IF($A263&gt;='1-Input'!$C$12,'1-Input'!$B$12,0))))*(1/(1-'P-Parametri'!$B$6*AK263))),MAX(0,0*AK231-(AO262-MIN(MAX(AO262,0),MAX(0,AK231-IF($A263&gt;='1-Input'!$C$12,'1-Input'!$B$12,0)))))*(1/(1-'P-Parametri'!$B$6*AK263))))</f>
        <v>9310.0481966095012</v>
      </c>
      <c r="AM263" s="18">
        <f>IF($A263&gt;'1-Input'!$B$26,AO262,(AO262-MAX(0,AK231-IF($A263&gt;='1-Input'!$C$12,'1-Input'!$B$12,0))+AL263*(1-'P-Parametri'!$B$6*AK263))*(1+ROUND('3-Liquidita'!$F$7,4)))</f>
        <v>0</v>
      </c>
      <c r="AN263" s="18">
        <f>IF($A263&gt;'1-Input'!$B$26,AP262,(AP262-AL263)*(1+'5-Roberta'!$C$4))</f>
        <v>118576.31521898194</v>
      </c>
      <c r="AO263" s="18">
        <f>IF($A263&gt;'1-Input'!$B$26,AM263,AM263-'P-Parametri'!$B$8*(AN263+AM263)+MIN(MAX(AN263,0),'P-Parametri'!$B$8*(AN263+AM263)))</f>
        <v>0</v>
      </c>
      <c r="AP263" s="18">
        <f>IF($A263&gt;'1-Input'!$B$26,AN263,AN263-MIN(MAX(AN263,0),'P-Parametri'!$B$8*(AN263+AM263)))</f>
        <v>118339.16258854397</v>
      </c>
      <c r="AQ263" s="18">
        <f>IF($A263&gt;'1-Input'!$B$26,AQ262,AQ262-AL263*(1-AK263))</f>
        <v>40570.842707963922</v>
      </c>
    </row>
    <row r="264" spans="1:43">
      <c r="A264" s="10">
        <f>31</f>
        <v>31</v>
      </c>
      <c r="B264" s="11">
        <f>IF($A264&gt;'1-Input'!$B$26,0,IF(G263&lt;=0,0,MAX(0,(G263-H263)/G263)))</f>
        <v>0.65716469661843391</v>
      </c>
      <c r="C264" s="18">
        <f>IF($A264&gt;'1-Input'!$B$26,0,(MAX(0,B231-IF($A264&gt;='1-Input'!$C$12,'1-Input'!$B$12,0))-MIN(MAX(F263,0),MAX(0,B231-IF($A264&gt;='1-Input'!$C$12,'1-Input'!$B$12,0))))*(1/(1-'P-Parametri'!$B$6*B264))+MIN(MAX(0,G263-(MAX(0,B231-IF($A264&gt;='1-Input'!$C$12,'1-Input'!$B$12,0))-MIN(MAX(F263,0),MAX(0,B231-IF($A264&gt;='1-Input'!$C$12,'1-Input'!$B$12,0))))*(1/(1-'P-Parametri'!$B$6*B264))),MAX(0,0*B231-(F263-MIN(MAX(F263,0),MAX(0,B231-IF($A264&gt;='1-Input'!$C$12,'1-Input'!$B$12,0)))))*(1/(1-'P-Parametri'!$B$6*B264))))</f>
        <v>6728.7482177163183</v>
      </c>
      <c r="D264" s="18">
        <f>IF($A264&gt;'1-Input'!$B$26,F263,(F263-MAX(0,B231-IF($A264&gt;='1-Input'!$C$12,'1-Input'!$B$12,0))+C264*(1-'P-Parametri'!$B$6*B264))*(1+ROUND('3-Liquidita'!$F$7,4)))</f>
        <v>-9.1522451839409766E-13</v>
      </c>
      <c r="E264" s="18">
        <f>IF($A264&gt;'1-Input'!$B$26,G263,(G263-C264)*(1+'5-Roberta'!$C$4))</f>
        <v>233773.03276323873</v>
      </c>
      <c r="F264" s="18">
        <f>IF($A264&gt;'1-Input'!$B$26,D264,D264-'P-Parametri'!$B$8*(E264+D264)+MIN(MAX(E264,0),'P-Parametri'!$B$8*(E264+D264)))</f>
        <v>-9.0949470177292824E-13</v>
      </c>
      <c r="G264" s="18">
        <f>IF($A264&gt;'1-Input'!$B$26,E264,E264-MIN(MAX(E264,0),'P-Parametri'!$B$8*(E264+D264)))</f>
        <v>233305.48669771224</v>
      </c>
      <c r="H264" s="18">
        <f>IF($A264&gt;'1-Input'!$B$26,H263,H263-C264*(1-B264))</f>
        <v>77811.309329916257</v>
      </c>
      <c r="I264" s="11">
        <f>IF($A264&gt;'1-Input'!$B$26,0,IF(N263&lt;=0,0,MAX(0,(N263-O263)/N263)))</f>
        <v>0</v>
      </c>
      <c r="J264" s="18">
        <f>IF($A264&gt;'1-Input'!$B$26,0,(MAX(0,I231-IF($A264&gt;='1-Input'!$C$12,'1-Input'!$B$12,0))-MIN(MAX(M263,0),MAX(0,I231-IF($A264&gt;='1-Input'!$C$12,'1-Input'!$B$12,0))))*(1/(1-'P-Parametri'!$B$6*I264))+MIN(MAX(0,N263-(MAX(0,I231-IF($A264&gt;='1-Input'!$C$12,'1-Input'!$B$12,0))-MIN(MAX(M263,0),MAX(0,I231-IF($A264&gt;='1-Input'!$C$12,'1-Input'!$B$12,0))))*(1/(1-'P-Parametri'!$B$6*I264))),MAX(0,0*I231-(M263-MIN(MAX(M263,0),MAX(0,I231-IF($A264&gt;='1-Input'!$C$12,'1-Input'!$B$12,0)))))*(1/(1-'P-Parametri'!$B$6*I264))))</f>
        <v>10846.756992928691</v>
      </c>
      <c r="K264" s="18">
        <f>IF($A264&gt;'1-Input'!$B$26,M263,(M263-MAX(0,I231-IF($A264&gt;='1-Input'!$C$12,'1-Input'!$B$12,0))+J264*(1-'P-Parametri'!$B$6*I264))*(1+ROUND('3-Liquidita'!$F$7,4)))</f>
        <v>0</v>
      </c>
      <c r="L264" s="18">
        <f>IF($A264&gt;'1-Input'!$B$26,N263,(N263-J264)*(1+'5-Roberta'!$C$4))</f>
        <v>-52728.484280040451</v>
      </c>
      <c r="M264" s="18">
        <f>IF($A264&gt;'1-Input'!$B$26,K264,K264-'P-Parametri'!$B$8*(L264+K264)+MIN(MAX(L264,0),'P-Parametri'!$B$8*(L264+K264)))</f>
        <v>0</v>
      </c>
      <c r="N264" s="18">
        <f>IF($A264&gt;'1-Input'!$B$26,L264,L264-MIN(MAX(L264,0),'P-Parametri'!$B$8*(L264+K264)))</f>
        <v>-52623.027311480371</v>
      </c>
      <c r="O264" s="18">
        <f>IF($A264&gt;'1-Input'!$B$26,O263,O263-J264*(1-I264))</f>
        <v>-45428.001436840139</v>
      </c>
      <c r="P264" s="11">
        <f>IF($A264&gt;'1-Input'!$B$26,0,IF(U263&lt;=0,0,MAX(0,(U263-V263)/U263)))</f>
        <v>0.65716469661843391</v>
      </c>
      <c r="Q264" s="18">
        <f>IF($A264&gt;'1-Input'!$B$26,0,(MAX(0,P231-IF($A264&gt;='1-Input'!$C$12,'1-Input'!$B$12,0))-MIN(MAX(T263,0),MAX(0,P231-IF($A264&gt;='1-Input'!$C$12,'1-Input'!$B$12,0))))*(1/(1-'P-Parametri'!$B$6*P264))+MIN(MAX(0,U263-(MAX(0,P231-IF($A264&gt;='1-Input'!$C$12,'1-Input'!$B$12,0))-MIN(MAX(T263,0),MAX(0,P231-IF($A264&gt;='1-Input'!$C$12,'1-Input'!$B$12,0))))*(1/(1-'P-Parametri'!$B$6*P264))),MAX(0,0*P231-(T263-MIN(MAX(T263,0),MAX(0,P231-IF($A264&gt;='1-Input'!$C$12,'1-Input'!$B$12,0)))))*(1/(1-'P-Parametri'!$B$6*P264))))</f>
        <v>9640.189594553045</v>
      </c>
      <c r="R264" s="18">
        <f>IF($A264&gt;'1-Input'!$B$26,T263,(T263-MAX(0,P231-IF($A264&gt;='1-Input'!$C$12,'1-Input'!$B$12,0))+Q264*(1-'P-Parametri'!$B$6*P264))*(1+ROUND('3-Liquidita'!$F$7,4)))</f>
        <v>9.1522451839409766E-13</v>
      </c>
      <c r="S264" s="18">
        <f>IF($A264&gt;'1-Input'!$B$26,U263,(U263-Q264)*(1+'5-Roberta'!$C$4))</f>
        <v>98200.161780799026</v>
      </c>
      <c r="T264" s="18">
        <f>IF($A264&gt;'1-Input'!$B$26,R264,R264-'P-Parametri'!$B$8*(S264+R264)+MIN(MAX(S264,0),'P-Parametri'!$B$8*(S264+R264)))</f>
        <v>9.0949470177292824E-13</v>
      </c>
      <c r="U264" s="18">
        <f>IF($A264&gt;'1-Input'!$B$26,S264,S264-MIN(MAX(S264,0),'P-Parametri'!$B$8*(S264+R264)))</f>
        <v>98003.76145723743</v>
      </c>
      <c r="V264" s="18">
        <f>IF($A264&gt;'1-Input'!$B$26,V263,V263-Q264*(1-P264))</f>
        <v>32685.90510314476</v>
      </c>
      <c r="W264" s="11">
        <f>IF($A264&gt;'1-Input'!$B$26,0,IF(AB263&lt;=0,0,MAX(0,(AB263-AC263)/AB263)))</f>
        <v>0.65716469661843424</v>
      </c>
      <c r="X264" s="18">
        <f>IF($A264&gt;'1-Input'!$B$26,0,(MAX(0,W231-IF($A264&gt;='1-Input'!$C$12,'1-Input'!$B$12,0))-MIN(MAX(AA263,0),MAX(0,W231-IF($A264&gt;='1-Input'!$C$12,'1-Input'!$B$12,0))))*(1/(1-'P-Parametri'!$B$6*W264))+MIN(MAX(0,AB263-(MAX(0,W231-IF($A264&gt;='1-Input'!$C$12,'1-Input'!$B$12,0))-MIN(MAX(AA263,0),MAX(0,W231-IF($A264&gt;='1-Input'!$C$12,'1-Input'!$B$12,0))))*(1/(1-'P-Parametri'!$B$6*W264))),MAX(0,0*W231-(AA263-MIN(MAX(AA263,0),MAX(0,W231-IF($A264&gt;='1-Input'!$C$12,'1-Input'!$B$12,0)))))*(1/(1-'P-Parametri'!$B$6*W264))))</f>
        <v>9331.1019980360452</v>
      </c>
      <c r="Y264" s="18">
        <f>IF($A264&gt;'1-Input'!$B$26,AA263,(AA263-MAX(0,W231-IF($A264&gt;='1-Input'!$C$12,'1-Input'!$B$12,0))+X264*(1-'P-Parametri'!$B$6*W264))*(1+ROUND('3-Liquidita'!$F$7,4)))</f>
        <v>0</v>
      </c>
      <c r="Z264" s="18">
        <f>IF($A264&gt;'1-Input'!$B$26,AB263,(AB263-X264)*(1+'5-Roberta'!$C$4))</f>
        <v>112592.99592070587</v>
      </c>
      <c r="AA264" s="18">
        <f>IF($A264&gt;'1-Input'!$B$26,Y264,Y264-'P-Parametri'!$B$8*(Z264+Y264)+MIN(MAX(Z264,0),'P-Parametri'!$B$8*(Z264+Y264)))</f>
        <v>0</v>
      </c>
      <c r="AB264" s="18">
        <f>IF($A264&gt;'1-Input'!$B$26,Z264,Z264-MIN(MAX(Z264,0),'P-Parametri'!$B$8*(Z264+Y264)))</f>
        <v>112367.80992886446</v>
      </c>
      <c r="AC264" s="18">
        <f>IF($A264&gt;'1-Input'!$B$26,AC263,AC263-X264*(1-W264))</f>
        <v>37476.557199140385</v>
      </c>
      <c r="AD264" s="11">
        <f>IF($A264&gt;'1-Input'!$B$26,0,IF(AI263&lt;=0,0,MAX(0,(AI263-AJ263)/AI263)))</f>
        <v>0.65716469661843457</v>
      </c>
      <c r="AE264" s="18">
        <f>IF($A264&gt;'1-Input'!$B$26,0,(MAX(0,AD231-IF($A264&gt;='1-Input'!$C$12,'1-Input'!$B$12,0))-MIN(MAX(AH263,0),MAX(0,AD231-IF($A264&gt;='1-Input'!$C$12,'1-Input'!$B$12,0))))*(1/(1-'P-Parametri'!$B$6*AD264))+MIN(MAX(0,AI263-(MAX(0,AD231-IF($A264&gt;='1-Input'!$C$12,'1-Input'!$B$12,0))-MIN(MAX(AH263,0),MAX(0,AD231-IF($A264&gt;='1-Input'!$C$12,'1-Input'!$B$12,0))))*(1/(1-'P-Parametri'!$B$6*AD264))),MAX(0,0*AD231-(AH263-MIN(MAX(AH263,0),MAX(0,AD231-IF($A264&gt;='1-Input'!$C$12,'1-Input'!$B$12,0)))))*(1/(1-'P-Parametri'!$B$6*AD264))))</f>
        <v>9339.2833528880019</v>
      </c>
      <c r="AF264" s="18">
        <f>IF($A264&gt;'1-Input'!$B$26,AH263,(AH263-MAX(0,AD231-IF($A264&gt;='1-Input'!$C$12,'1-Input'!$B$12,0))+AE264*(1-'P-Parametri'!$B$6*AD264))*(1+ROUND('3-Liquidita'!$F$7,4)))</f>
        <v>9.1522451839409766E-13</v>
      </c>
      <c r="AG264" s="18">
        <f>IF($A264&gt;'1-Input'!$B$26,AI263,(AI263-AE264)*(1+'5-Roberta'!$C$4))</f>
        <v>112212.02662672321</v>
      </c>
      <c r="AH264" s="18">
        <f>IF($A264&gt;'1-Input'!$B$26,AF264,AF264-'P-Parametri'!$B$8*(AG264+AF264)+MIN(MAX(AG264,0),'P-Parametri'!$B$8*(AG264+AF264)))</f>
        <v>9.0949470177292824E-13</v>
      </c>
      <c r="AI264" s="18">
        <f>IF($A264&gt;'1-Input'!$B$26,AG264,AG264-MIN(MAX(AG264,0),'P-Parametri'!$B$8*(AG264+AF264)))</f>
        <v>111987.60257346976</v>
      </c>
      <c r="AJ264" s="18">
        <f>IF($A264&gt;'1-Input'!$B$26,AJ263,AJ263-AE264*(1-AD264))</f>
        <v>37349.751642362084</v>
      </c>
      <c r="AK264" s="11">
        <f>IF($A264&gt;'1-Input'!$B$26,0,IF(AP263&lt;=0,0,MAX(0,(AP263-AQ263)/AP263)))</f>
        <v>0.65716469661843413</v>
      </c>
      <c r="AL264" s="18">
        <f>IF($A264&gt;'1-Input'!$B$26,0,(MAX(0,AK231-IF($A264&gt;='1-Input'!$C$12,'1-Input'!$B$12,0))-MIN(MAX(AO263,0),MAX(0,AK231-IF($A264&gt;='1-Input'!$C$12,'1-Input'!$B$12,0))))*(1/(1-'P-Parametri'!$B$6*AK264))+MIN(MAX(0,AP263-(MAX(0,AK231-IF($A264&gt;='1-Input'!$C$12,'1-Input'!$B$12,0))-MIN(MAX(AO263,0),MAX(0,AK231-IF($A264&gt;='1-Input'!$C$12,'1-Input'!$B$12,0))))*(1/(1-'P-Parametri'!$B$6*AK264))),MAX(0,0*AK231-(AO263-MIN(MAX(AO263,0),MAX(0,AK231-IF($A264&gt;='1-Input'!$C$12,'1-Input'!$B$12,0)))))*(1/(1-'P-Parametri'!$B$6*AK264))))</f>
        <v>9338.0129392191138</v>
      </c>
      <c r="AM264" s="18">
        <f>IF($A264&gt;'1-Input'!$B$26,AO263,(AO263-MAX(0,AK231-IF($A264&gt;='1-Input'!$C$12,'1-Input'!$B$12,0))+AL264*(1-'P-Parametri'!$B$6*AK264))*(1+ROUND('3-Liquidita'!$F$7,4)))</f>
        <v>0</v>
      </c>
      <c r="AN264" s="18">
        <f>IF($A264&gt;'1-Input'!$B$26,AP263,(AP263-AL264)*(1+'5-Roberta'!$C$4))</f>
        <v>112271.1841388046</v>
      </c>
      <c r="AO264" s="18">
        <f>IF($A264&gt;'1-Input'!$B$26,AM264,AM264-'P-Parametri'!$B$8*(AN264+AM264)+MIN(MAX(AN264,0),'P-Parametri'!$B$8*(AN264+AM264)))</f>
        <v>0</v>
      </c>
      <c r="AP264" s="18">
        <f>IF($A264&gt;'1-Input'!$B$26,AN264,AN264-MIN(MAX(AN264,0),'P-Parametri'!$B$8*(AN264+AM264)))</f>
        <v>112046.64177052699</v>
      </c>
      <c r="AQ264" s="18">
        <f>IF($A264&gt;'1-Input'!$B$26,AQ263,AQ263-AL264*(1-AK264))</f>
        <v>37369.442208965753</v>
      </c>
    </row>
    <row r="265" spans="1:43">
      <c r="A265" s="10">
        <f>32</f>
        <v>32</v>
      </c>
      <c r="B265" s="11">
        <f>IF($A265&gt;'1-Input'!$B$26,0,IF(G264&lt;=0,0,MAX(0,(G264-H264)/G264)))</f>
        <v>0.66648315720609552</v>
      </c>
      <c r="C265" s="18">
        <f>IF($A265&gt;'1-Input'!$B$26,0,(MAX(0,B231-IF($A265&gt;='1-Input'!$C$12,'1-Input'!$B$12,0))-MIN(MAX(F264,0),MAX(0,B231-IF($A265&gt;='1-Input'!$C$12,'1-Input'!$B$12,0))))*(1/(1-'P-Parametri'!$B$6*B265))+MIN(MAX(0,G264-(MAX(0,B231-IF($A265&gt;='1-Input'!$C$12,'1-Input'!$B$12,0))-MIN(MAX(F264,0),MAX(0,B231-IF($A265&gt;='1-Input'!$C$12,'1-Input'!$B$12,0))))*(1/(1-'P-Parametri'!$B$6*B265))),MAX(0,0*B231-(F264-MIN(MAX(F264,0),MAX(0,B231-IF($A265&gt;='1-Input'!$C$12,'1-Input'!$B$12,0)))))*(1/(1-'P-Parametri'!$B$6*B265))))</f>
        <v>6748.4677362466628</v>
      </c>
      <c r="D265" s="18">
        <f>IF($A265&gt;'1-Input'!$B$26,F264,(F264-MAX(0,B231-IF($A265&gt;='1-Input'!$C$12,'1-Input'!$B$12,0))+C265*(1-'P-Parametri'!$B$6*B265))*(1+ROUND('3-Liquidita'!$F$7,4)))</f>
        <v>0</v>
      </c>
      <c r="E265" s="18">
        <f>IF($A265&gt;'1-Input'!$B$26,G264,(G264-C265)*(1+'5-Roberta'!$C$4))</f>
        <v>233353.72953030953</v>
      </c>
      <c r="F265" s="18">
        <f>IF($A265&gt;'1-Input'!$B$26,D265,D265-'P-Parametri'!$B$8*(E265+D265)+MIN(MAX(E265,0),'P-Parametri'!$B$8*(E265+D265)))</f>
        <v>0</v>
      </c>
      <c r="G265" s="18">
        <f>IF($A265&gt;'1-Input'!$B$26,E265,E265-MIN(MAX(E265,0),'P-Parametri'!$B$8*(E265+D265)))</f>
        <v>232887.02207124891</v>
      </c>
      <c r="H265" s="18">
        <f>IF($A265&gt;'1-Input'!$B$26,H264,H264-C265*(1-B265))</f>
        <v>75560.58167682674</v>
      </c>
      <c r="I265" s="11">
        <f>IF($A265&gt;'1-Input'!$B$26,0,IF(N264&lt;=0,0,MAX(0,(N264-O264)/N264)))</f>
        <v>0</v>
      </c>
      <c r="J265" s="18">
        <f>IF($A265&gt;'1-Input'!$B$26,0,(MAX(0,I231-IF($A265&gt;='1-Input'!$C$12,'1-Input'!$B$12,0))-MIN(MAX(M264,0),MAX(0,I231-IF($A265&gt;='1-Input'!$C$12,'1-Input'!$B$12,0))))*(1/(1-'P-Parametri'!$B$6*I265))+MIN(MAX(0,N264-(MAX(0,I231-IF($A265&gt;='1-Input'!$C$12,'1-Input'!$B$12,0))-MIN(MAX(M264,0),MAX(0,I231-IF($A265&gt;='1-Input'!$C$12,'1-Input'!$B$12,0))))*(1/(1-'P-Parametri'!$B$6*I265))),MAX(0,0*I231-(M264-MIN(MAX(M264,0),MAX(0,I231-IF($A265&gt;='1-Input'!$C$12,'1-Input'!$B$12,0)))))*(1/(1-'P-Parametri'!$B$6*I265))))</f>
        <v>10846.756992928691</v>
      </c>
      <c r="K265" s="18">
        <f>IF($A265&gt;'1-Input'!$B$26,M264,(M264-MAX(0,I231-IF($A265&gt;='1-Input'!$C$12,'1-Input'!$B$12,0))+J265*(1-'P-Parametri'!$B$6*I265))*(1+ROUND('3-Liquidita'!$F$7,4)))</f>
        <v>0</v>
      </c>
      <c r="L265" s="18">
        <f>IF($A265&gt;'1-Input'!$B$26,N264,(N264-J265)*(1+'5-Roberta'!$C$4))</f>
        <v>-65373.877833541337</v>
      </c>
      <c r="M265" s="18">
        <f>IF($A265&gt;'1-Input'!$B$26,K265,K265-'P-Parametri'!$B$8*(L265+K265)+MIN(MAX(L265,0),'P-Parametri'!$B$8*(L265+K265)))</f>
        <v>0</v>
      </c>
      <c r="N265" s="18">
        <f>IF($A265&gt;'1-Input'!$B$26,L265,L265-MIN(MAX(L265,0),'P-Parametri'!$B$8*(L265+K265)))</f>
        <v>-65243.130077874252</v>
      </c>
      <c r="O265" s="18">
        <f>IF($A265&gt;'1-Input'!$B$26,O264,O264-J265*(1-I265))</f>
        <v>-56274.75842976883</v>
      </c>
      <c r="P265" s="11">
        <f>IF($A265&gt;'1-Input'!$B$26,0,IF(U264&lt;=0,0,MAX(0,(U264-V264)/U264)))</f>
        <v>0.66648315720609563</v>
      </c>
      <c r="Q265" s="18">
        <f>IF($A265&gt;'1-Input'!$B$26,0,(MAX(0,P231-IF($A265&gt;='1-Input'!$C$12,'1-Input'!$B$12,0))-MIN(MAX(T264,0),MAX(0,P231-IF($A265&gt;='1-Input'!$C$12,'1-Input'!$B$12,0))))*(1/(1-'P-Parametri'!$B$6*P265))+MIN(MAX(0,U264-(MAX(0,P231-IF($A265&gt;='1-Input'!$C$12,'1-Input'!$B$12,0))-MIN(MAX(T264,0),MAX(0,P231-IF($A265&gt;='1-Input'!$C$12,'1-Input'!$B$12,0))))*(1/(1-'P-Parametri'!$B$6*P265))),MAX(0,0*P231-(T264-MIN(MAX(T264,0),MAX(0,P231-IF($A265&gt;='1-Input'!$C$12,'1-Input'!$B$12,0)))))*(1/(1-'P-Parametri'!$B$6*P265))))</f>
        <v>9668.4414909229017</v>
      </c>
      <c r="R265" s="18">
        <f>IF($A265&gt;'1-Input'!$B$26,T264,(T264-MAX(0,P231-IF($A265&gt;='1-Input'!$C$12,'1-Input'!$B$12,0))+Q265*(1-'P-Parametri'!$B$6*P265))*(1+ROUND('3-Liquidita'!$F$7,4)))</f>
        <v>0</v>
      </c>
      <c r="S265" s="18">
        <f>IF($A265&gt;'1-Input'!$B$26,U264,(U264-Q265)*(1+'5-Roberta'!$C$4))</f>
        <v>90985.379565303971</v>
      </c>
      <c r="T265" s="18">
        <f>IF($A265&gt;'1-Input'!$B$26,R265,R265-'P-Parametri'!$B$8*(S265+R265)+MIN(MAX(S265,0),'P-Parametri'!$B$8*(S265+R265)))</f>
        <v>0</v>
      </c>
      <c r="U265" s="18">
        <f>IF($A265&gt;'1-Input'!$B$26,S265,S265-MIN(MAX(S265,0),'P-Parametri'!$B$8*(S265+R265)))</f>
        <v>90803.408806173364</v>
      </c>
      <c r="V265" s="18">
        <f>IF($A265&gt;'1-Input'!$B$26,V264,V264-Q265*(1-P265))</f>
        <v>29461.317022354564</v>
      </c>
      <c r="W265" s="11">
        <f>IF($A265&gt;'1-Input'!$B$26,0,IF(AB264&lt;=0,0,MAX(0,(AB264-AC264)/AB264)))</f>
        <v>0.66648315720609586</v>
      </c>
      <c r="X265" s="18">
        <f>IF($A265&gt;'1-Input'!$B$26,0,(MAX(0,W231-IF($A265&gt;='1-Input'!$C$12,'1-Input'!$B$12,0))-MIN(MAX(AA264,0),MAX(0,W231-IF($A265&gt;='1-Input'!$C$12,'1-Input'!$B$12,0))))*(1/(1-'P-Parametri'!$B$6*W265))+MIN(MAX(0,AB264-(MAX(0,W231-IF($A265&gt;='1-Input'!$C$12,'1-Input'!$B$12,0))-MIN(MAX(AA264,0),MAX(0,W231-IF($A265&gt;='1-Input'!$C$12,'1-Input'!$B$12,0))))*(1/(1-'P-Parametri'!$B$6*W265))),MAX(0,0*W231-(AA264-MIN(MAX(AA264,0),MAX(0,W231-IF($A265&gt;='1-Input'!$C$12,'1-Input'!$B$12,0)))))*(1/(1-'P-Parametri'!$B$6*W265))))</f>
        <v>9358.4480708574829</v>
      </c>
      <c r="Y265" s="18">
        <f>IF($A265&gt;'1-Input'!$B$26,AA264,(AA264-MAX(0,W231-IF($A265&gt;='1-Input'!$C$12,'1-Input'!$B$12,0))+X265*(1-'P-Parametri'!$B$6*W265))*(1+ROUND('3-Liquidita'!$F$7,4)))</f>
        <v>9.1522451839409766E-13</v>
      </c>
      <c r="Z265" s="18">
        <f>IF($A265&gt;'1-Input'!$B$26,AB264,(AB264-X265)*(1+'5-Roberta'!$C$4))</f>
        <v>106099.64271374719</v>
      </c>
      <c r="AA265" s="18">
        <f>IF($A265&gt;'1-Input'!$B$26,Y265,Y265-'P-Parametri'!$B$8*(Z265+Y265)+MIN(MAX(Z265,0),'P-Parametri'!$B$8*(Z265+Y265)))</f>
        <v>9.0949470177292824E-13</v>
      </c>
      <c r="AB265" s="18">
        <f>IF($A265&gt;'1-Input'!$B$26,Z265,Z265-MIN(MAX(Z265,0),'P-Parametri'!$B$8*(Z265+Y265)))</f>
        <v>105887.44342831969</v>
      </c>
      <c r="AC265" s="18">
        <f>IF($A265&gt;'1-Input'!$B$26,AC264,AC264-X265*(1-W265))</f>
        <v>34355.357145097296</v>
      </c>
      <c r="AD265" s="11">
        <f>IF($A265&gt;'1-Input'!$B$26,0,IF(AI264&lt;=0,0,MAX(0,(AI264-AJ264)/AI264)))</f>
        <v>0.6664831572060963</v>
      </c>
      <c r="AE265" s="18">
        <f>IF($A265&gt;'1-Input'!$B$26,0,(MAX(0,AD231-IF($A265&gt;='1-Input'!$C$12,'1-Input'!$B$12,0))-MIN(MAX(AH264,0),MAX(0,AD231-IF($A265&gt;='1-Input'!$C$12,'1-Input'!$B$12,0))))*(1/(1-'P-Parametri'!$B$6*AD265))+MIN(MAX(0,AI264-(MAX(0,AD231-IF($A265&gt;='1-Input'!$C$12,'1-Input'!$B$12,0))-MIN(MAX(AH264,0),MAX(0,AD231-IF($A265&gt;='1-Input'!$C$12,'1-Input'!$B$12,0))))*(1/(1-'P-Parametri'!$B$6*AD265))),MAX(0,0*AD231-(AH264-MIN(MAX(AH264,0),MAX(0,AD231-IF($A265&gt;='1-Input'!$C$12,'1-Input'!$B$12,0)))))*(1/(1-'P-Parametri'!$B$6*AD265))))</f>
        <v>9366.6534022907254</v>
      </c>
      <c r="AF265" s="18">
        <f>IF($A265&gt;'1-Input'!$B$26,AH264,(AH264-MAX(0,AD231-IF($A265&gt;='1-Input'!$C$12,'1-Input'!$B$12,0))+AE265*(1-'P-Parametri'!$B$6*AD265))*(1+ROUND('3-Liquidita'!$F$7,4)))</f>
        <v>9.1522451839409766E-13</v>
      </c>
      <c r="AG265" s="18">
        <f>IF($A265&gt;'1-Input'!$B$26,AI264,(AI264-AE265)*(1+'5-Roberta'!$C$4))</f>
        <v>105699.5776463144</v>
      </c>
      <c r="AH265" s="18">
        <f>IF($A265&gt;'1-Input'!$B$26,AF265,AF265-'P-Parametri'!$B$8*(AG265+AF265)+MIN(MAX(AG265,0),'P-Parametri'!$B$8*(AG265+AF265)))</f>
        <v>9.0949470177292824E-13</v>
      </c>
      <c r="AI265" s="18">
        <f>IF($A265&gt;'1-Input'!$B$26,AG265,AG265-MIN(MAX(AG265,0),'P-Parametri'!$B$8*(AG265+AF265)))</f>
        <v>105488.17849102177</v>
      </c>
      <c r="AJ265" s="18">
        <f>IF($A265&gt;'1-Input'!$B$26,AJ264,AJ264-AE265*(1-AD265))</f>
        <v>34225.814972085303</v>
      </c>
      <c r="AK265" s="11">
        <f>IF($A265&gt;'1-Input'!$B$26,0,IF(AP264&lt;=0,0,MAX(0,(AP264-AQ264)/AP264)))</f>
        <v>0.66648315720609574</v>
      </c>
      <c r="AL265" s="18">
        <f>IF($A265&gt;'1-Input'!$B$26,0,(MAX(0,AK231-IF($A265&gt;='1-Input'!$C$12,'1-Input'!$B$12,0))-MIN(MAX(AO264,0),MAX(0,AK231-IF($A265&gt;='1-Input'!$C$12,'1-Input'!$B$12,0))))*(1/(1-'P-Parametri'!$B$6*AK265))+MIN(MAX(0,AP264-(MAX(0,AK231-IF($A265&gt;='1-Input'!$C$12,'1-Input'!$B$12,0))-MIN(MAX(AO264,0),MAX(0,AK231-IF($A265&gt;='1-Input'!$C$12,'1-Input'!$B$12,0))))*(1/(1-'P-Parametri'!$B$6*AK265))),MAX(0,0*AK231-(AO264-MIN(MAX(AO264,0),MAX(0,AK231-IF($A265&gt;='1-Input'!$C$12,'1-Input'!$B$12,0)))))*(1/(1-'P-Parametri'!$B$6*AK265))))</f>
        <v>9365.3792655005273</v>
      </c>
      <c r="AM265" s="18">
        <f>IF($A265&gt;'1-Input'!$B$26,AO264,(AO264-MAX(0,AK231-IF($A265&gt;='1-Input'!$C$12,'1-Input'!$B$12,0))+AL265*(1-'P-Parametri'!$B$6*AK265))*(1+ROUND('3-Liquidita'!$F$7,4)))</f>
        <v>0</v>
      </c>
      <c r="AN265" s="18">
        <f>IF($A265&gt;'1-Input'!$B$26,AP264,(AP264-AL265)*(1+'5-Roberta'!$C$4))</f>
        <v>105761.70038017725</v>
      </c>
      <c r="AO265" s="18">
        <f>IF($A265&gt;'1-Input'!$B$26,AM265,AM265-'P-Parametri'!$B$8*(AN265+AM265)+MIN(MAX(AN265,0),'P-Parametri'!$B$8*(AN265+AM265)))</f>
        <v>0</v>
      </c>
      <c r="AP265" s="18">
        <f>IF($A265&gt;'1-Input'!$B$26,AN265,AN265-MIN(MAX(AN265,0),'P-Parametri'!$B$8*(AN265+AM265)))</f>
        <v>105550.17697941689</v>
      </c>
      <c r="AQ265" s="18">
        <f>IF($A265&gt;'1-Input'!$B$26,AQ264,AQ264-AL265*(1-AK265))</f>
        <v>34245.93048476852</v>
      </c>
    </row>
    <row r="266" spans="1:43">
      <c r="A266" s="10">
        <f>33</f>
        <v>33</v>
      </c>
      <c r="B266" s="11">
        <f>IF($A266&gt;'1-Input'!$B$26,0,IF(G265&lt;=0,0,MAX(0,(G265-H265)/G265)))</f>
        <v>0.6755483366792765</v>
      </c>
      <c r="C266" s="18">
        <f>IF($A266&gt;'1-Input'!$B$26,0,(MAX(0,B231-IF($A266&gt;='1-Input'!$C$12,'1-Input'!$B$12,0))-MIN(MAX(F265,0),MAX(0,B231-IF($A266&gt;='1-Input'!$C$12,'1-Input'!$B$12,0))))*(1/(1-'P-Parametri'!$B$6*B266))+MIN(MAX(0,G265-(MAX(0,B231-IF($A266&gt;='1-Input'!$C$12,'1-Input'!$B$12,0))-MIN(MAX(F265,0),MAX(0,B231-IF($A266&gt;='1-Input'!$C$12,'1-Input'!$B$12,0))))*(1/(1-'P-Parametri'!$B$6*B266))),MAX(0,0*B231-(F265-MIN(MAX(F265,0),MAX(0,B231-IF($A266&gt;='1-Input'!$C$12,'1-Input'!$B$12,0)))))*(1/(1-'P-Parametri'!$B$6*B266))))</f>
        <v>6767.762495880188</v>
      </c>
      <c r="D266" s="18">
        <f>IF($A266&gt;'1-Input'!$B$26,F265,(F265-MAX(0,B231-IF($A266&gt;='1-Input'!$C$12,'1-Input'!$B$12,0))+C266*(1-'P-Parametri'!$B$6*B266))*(1+ROUND('3-Liquidita'!$F$7,4)))</f>
        <v>0</v>
      </c>
      <c r="E266" s="18">
        <f>IF($A266&gt;'1-Input'!$B$26,G265,(G265-C266)*(1+'5-Roberta'!$C$4))</f>
        <v>232902.8373626298</v>
      </c>
      <c r="F266" s="18">
        <f>IF($A266&gt;'1-Input'!$B$26,D266,D266-'P-Parametri'!$B$8*(E266+D266)+MIN(MAX(E266,0),'P-Parametri'!$B$8*(E266+D266)))</f>
        <v>0</v>
      </c>
      <c r="G266" s="18">
        <f>IF($A266&gt;'1-Input'!$B$26,E266,E266-MIN(MAX(E266,0),'P-Parametri'!$B$8*(E266+D266)))</f>
        <v>232437.03168790453</v>
      </c>
      <c r="H266" s="18">
        <f>IF($A266&gt;'1-Input'!$B$26,H265,H265-C266*(1-B266))</f>
        <v>73364.769878078805</v>
      </c>
      <c r="I266" s="11">
        <f>IF($A266&gt;'1-Input'!$B$26,0,IF(N265&lt;=0,0,MAX(0,(N265-O265)/N265)))</f>
        <v>0</v>
      </c>
      <c r="J266" s="18">
        <f>IF($A266&gt;'1-Input'!$B$26,0,(MAX(0,I231-IF($A266&gt;='1-Input'!$C$12,'1-Input'!$B$12,0))-MIN(MAX(M265,0),MAX(0,I231-IF($A266&gt;='1-Input'!$C$12,'1-Input'!$B$12,0))))*(1/(1-'P-Parametri'!$B$6*I266))+MIN(MAX(0,N265-(MAX(0,I231-IF($A266&gt;='1-Input'!$C$12,'1-Input'!$B$12,0))-MIN(MAX(M265,0),MAX(0,I231-IF($A266&gt;='1-Input'!$C$12,'1-Input'!$B$12,0))))*(1/(1-'P-Parametri'!$B$6*I266))),MAX(0,0*I231-(M265-MIN(MAX(M265,0),MAX(0,I231-IF($A266&gt;='1-Input'!$C$12,'1-Input'!$B$12,0)))))*(1/(1-'P-Parametri'!$B$6*I266))))</f>
        <v>10846.756992928691</v>
      </c>
      <c r="K266" s="18">
        <f>IF($A266&gt;'1-Input'!$B$26,M265,(M265-MAX(0,I231-IF($A266&gt;='1-Input'!$C$12,'1-Input'!$B$12,0))+J266*(1-'P-Parametri'!$B$6*I266))*(1+ROUND('3-Liquidita'!$F$7,4)))</f>
        <v>0</v>
      </c>
      <c r="L266" s="18">
        <f>IF($A266&gt;'1-Input'!$B$26,N265,(N265-J266)*(1+'5-Roberta'!$C$4))</f>
        <v>-78372.583682927027</v>
      </c>
      <c r="M266" s="18">
        <f>IF($A266&gt;'1-Input'!$B$26,K266,K266-'P-Parametri'!$B$8*(L266+K266)+MIN(MAX(L266,0),'P-Parametri'!$B$8*(L266+K266)))</f>
        <v>0</v>
      </c>
      <c r="N266" s="18">
        <f>IF($A266&gt;'1-Input'!$B$26,L266,L266-MIN(MAX(L266,0),'P-Parametri'!$B$8*(L266+K266)))</f>
        <v>-78215.838515561176</v>
      </c>
      <c r="O266" s="18">
        <f>IF($A266&gt;'1-Input'!$B$26,O265,O265-J266*(1-I266))</f>
        <v>-67121.515422697528</v>
      </c>
      <c r="P266" s="11">
        <f>IF($A266&gt;'1-Input'!$B$26,0,IF(U265&lt;=0,0,MAX(0,(U265-V265)/U265)))</f>
        <v>0.67554833667927672</v>
      </c>
      <c r="Q266" s="18">
        <f>IF($A266&gt;'1-Input'!$B$26,0,(MAX(0,P231-IF($A266&gt;='1-Input'!$C$12,'1-Input'!$B$12,0))-MIN(MAX(T265,0),MAX(0,P231-IF($A266&gt;='1-Input'!$C$12,'1-Input'!$B$12,0))))*(1/(1-'P-Parametri'!$B$6*P266))+MIN(MAX(0,U265-(MAX(0,P231-IF($A266&gt;='1-Input'!$C$12,'1-Input'!$B$12,0))-MIN(MAX(T265,0),MAX(0,P231-IF($A266&gt;='1-Input'!$C$12,'1-Input'!$B$12,0))))*(1/(1-'P-Parametri'!$B$6*P266))),MAX(0,0*P231-(T265-MIN(MAX(T265,0),MAX(0,P231-IF($A266&gt;='1-Input'!$C$12,'1-Input'!$B$12,0)))))*(1/(1-'P-Parametri'!$B$6*P266))))</f>
        <v>9696.0848407749272</v>
      </c>
      <c r="R266" s="18">
        <f>IF($A266&gt;'1-Input'!$B$26,T265,(T265-MAX(0,P231-IF($A266&gt;='1-Input'!$C$12,'1-Input'!$B$12,0))+Q266*(1-'P-Parametri'!$B$6*P266))*(1+ROUND('3-Liquidita'!$F$7,4)))</f>
        <v>-9.1522451839409766E-13</v>
      </c>
      <c r="S266" s="18">
        <f>IF($A266&gt;'1-Input'!$B$26,U265,(U265-Q266)*(1+'5-Roberta'!$C$4))</f>
        <v>83540.543684360397</v>
      </c>
      <c r="T266" s="18">
        <f>IF($A266&gt;'1-Input'!$B$26,R266,R266-'P-Parametri'!$B$8*(S266+R266)+MIN(MAX(S266,0),'P-Parametri'!$B$8*(S266+R266)))</f>
        <v>-9.0949470177292824E-13</v>
      </c>
      <c r="U266" s="18">
        <f>IF($A266&gt;'1-Input'!$B$26,S266,S266-MIN(MAX(S266,0),'P-Parametri'!$B$8*(S266+R266)))</f>
        <v>83373.462596991681</v>
      </c>
      <c r="V266" s="18">
        <f>IF($A266&gt;'1-Input'!$B$26,V265,V265-Q266*(1-P266))</f>
        <v>26315.406168066289</v>
      </c>
      <c r="W266" s="11">
        <f>IF($A266&gt;'1-Input'!$B$26,0,IF(AB265&lt;=0,0,MAX(0,(AB265-AC265)/AB265)))</f>
        <v>0.67554833667927683</v>
      </c>
      <c r="X266" s="18">
        <f>IF($A266&gt;'1-Input'!$B$26,0,(MAX(0,W231-IF($A266&gt;='1-Input'!$C$12,'1-Input'!$B$12,0))-MIN(MAX(AA265,0),MAX(0,W231-IF($A266&gt;='1-Input'!$C$12,'1-Input'!$B$12,0))))*(1/(1-'P-Parametri'!$B$6*W266))+MIN(MAX(0,AB265-(MAX(0,W231-IF($A266&gt;='1-Input'!$C$12,'1-Input'!$B$12,0))-MIN(MAX(AA265,0),MAX(0,W231-IF($A266&gt;='1-Input'!$C$12,'1-Input'!$B$12,0))))*(1/(1-'P-Parametri'!$B$6*W266))),MAX(0,0*W231-(AA265-MIN(MAX(AA265,0),MAX(0,W231-IF($A266&gt;='1-Input'!$C$12,'1-Input'!$B$12,0)))))*(1/(1-'P-Parametri'!$B$6*W266))))</f>
        <v>9385.2051086217998</v>
      </c>
      <c r="Y266" s="18">
        <f>IF($A266&gt;'1-Input'!$B$26,AA265,(AA265-MAX(0,W231-IF($A266&gt;='1-Input'!$C$12,'1-Input'!$B$12,0))+X266*(1-'P-Parametri'!$B$6*W266))*(1+ROUND('3-Liquidita'!$F$7,4)))</f>
        <v>0</v>
      </c>
      <c r="Z266" s="18">
        <f>IF($A266&gt;'1-Input'!$B$26,AB265,(AB265-X266)*(1+'5-Roberta'!$C$4))</f>
        <v>99397.305469288825</v>
      </c>
      <c r="AA266" s="18">
        <f>IF($A266&gt;'1-Input'!$B$26,Y266,Y266-'P-Parametri'!$B$8*(Z266+Y266)+MIN(MAX(Z266,0),'P-Parametri'!$B$8*(Z266+Y266)))</f>
        <v>0</v>
      </c>
      <c r="AB266" s="18">
        <f>IF($A266&gt;'1-Input'!$B$26,Z266,Z266-MIN(MAX(Z266,0),'P-Parametri'!$B$8*(Z266+Y266)))</f>
        <v>99198.510858350244</v>
      </c>
      <c r="AC266" s="18">
        <f>IF($A266&gt;'1-Input'!$B$26,AC265,AC265-X266*(1-W266))</f>
        <v>31310.311736998803</v>
      </c>
      <c r="AD266" s="11">
        <f>IF($A266&gt;'1-Input'!$B$26,0,IF(AI265&lt;=0,0,MAX(0,(AI265-AJ265)/AI265)))</f>
        <v>0.67554833667927727</v>
      </c>
      <c r="AE266" s="18">
        <f>IF($A266&gt;'1-Input'!$B$26,0,(MAX(0,AD231-IF($A266&gt;='1-Input'!$C$12,'1-Input'!$B$12,0))-MIN(MAX(AH265,0),MAX(0,AD231-IF($A266&gt;='1-Input'!$C$12,'1-Input'!$B$12,0))))*(1/(1-'P-Parametri'!$B$6*AD266))+MIN(MAX(0,AI265-(MAX(0,AD231-IF($A266&gt;='1-Input'!$C$12,'1-Input'!$B$12,0))-MIN(MAX(AH265,0),MAX(0,AD231-IF($A266&gt;='1-Input'!$C$12,'1-Input'!$B$12,0))))*(1/(1-'P-Parametri'!$B$6*AD266))),MAX(0,0*AD231-(AH265-MIN(MAX(AH265,0),MAX(0,AD231-IF($A266&gt;='1-Input'!$C$12,'1-Input'!$B$12,0)))))*(1/(1-'P-Parametri'!$B$6*AD266))))</f>
        <v>9393.4339001802018</v>
      </c>
      <c r="AF266" s="18">
        <f>IF($A266&gt;'1-Input'!$B$26,AH265,(AH265-MAX(0,AD231-IF($A266&gt;='1-Input'!$C$12,'1-Input'!$B$12,0))+AE266*(1-'P-Parametri'!$B$6*AD266))*(1+ROUND('3-Liquidita'!$F$7,4)))</f>
        <v>0</v>
      </c>
      <c r="AG266" s="18">
        <f>IF($A266&gt;'1-Input'!$B$26,AI265,(AI265-AE266)*(1+'5-Roberta'!$C$4))</f>
        <v>98977.586928566816</v>
      </c>
      <c r="AH266" s="18">
        <f>IF($A266&gt;'1-Input'!$B$26,AF266,AF266-'P-Parametri'!$B$8*(AG266+AF266)+MIN(MAX(AG266,0),'P-Parametri'!$B$8*(AG266+AF266)))</f>
        <v>0</v>
      </c>
      <c r="AI266" s="18">
        <f>IF($A266&gt;'1-Input'!$B$26,AG266,AG266-MIN(MAX(AG266,0),'P-Parametri'!$B$8*(AG266+AF266)))</f>
        <v>98779.631754709684</v>
      </c>
      <c r="AJ266" s="18">
        <f>IF($A266&gt;'1-Input'!$B$26,AJ265,AJ265-AE266*(1-AD266))</f>
        <v>31178.099718878573</v>
      </c>
      <c r="AK266" s="11">
        <f>IF($A266&gt;'1-Input'!$B$26,0,IF(AP265&lt;=0,0,MAX(0,(AP265-AQ265)/AP265)))</f>
        <v>0.67554833667927672</v>
      </c>
      <c r="AL266" s="18">
        <f>IF($A266&gt;'1-Input'!$B$26,0,(MAX(0,AK231-IF($A266&gt;='1-Input'!$C$12,'1-Input'!$B$12,0))-MIN(MAX(AO265,0),MAX(0,AK231-IF($A266&gt;='1-Input'!$C$12,'1-Input'!$B$12,0))))*(1/(1-'P-Parametri'!$B$6*AK266))+MIN(MAX(0,AP265-(MAX(0,AK231-IF($A266&gt;='1-Input'!$C$12,'1-Input'!$B$12,0))-MIN(MAX(AO265,0),MAX(0,AK231-IF($A266&gt;='1-Input'!$C$12,'1-Input'!$B$12,0))))*(1/(1-'P-Parametri'!$B$6*AK266))),MAX(0,0*AK231-(AO265-MIN(MAX(AO265,0),MAX(0,AK231-IF($A266&gt;='1-Input'!$C$12,'1-Input'!$B$12,0)))))*(1/(1-'P-Parametri'!$B$6*AK266))))</f>
        <v>9392.1561204648133</v>
      </c>
      <c r="AM266" s="18">
        <f>IF($A266&gt;'1-Input'!$B$26,AO265,(AO265-MAX(0,AK231-IF($A266&gt;='1-Input'!$C$12,'1-Input'!$B$12,0))+AL266*(1-'P-Parametri'!$B$6*AK266))*(1+ROUND('3-Liquidita'!$F$7,4)))</f>
        <v>-9.1522451839409766E-13</v>
      </c>
      <c r="AN266" s="18">
        <f>IF($A266&gt;'1-Input'!$B$26,AP265,(AP265-AL266)*(1+'5-Roberta'!$C$4))</f>
        <v>99042.761484720642</v>
      </c>
      <c r="AO266" s="18">
        <f>IF($A266&gt;'1-Input'!$B$26,AM266,AM266-'P-Parametri'!$B$8*(AN266+AM266)+MIN(MAX(AN266,0),'P-Parametri'!$B$8*(AN266+AM266)))</f>
        <v>-9.0949470177292824E-13</v>
      </c>
      <c r="AP266" s="18">
        <f>IF($A266&gt;'1-Input'!$B$26,AN266,AN266-MIN(MAX(AN266,0),'P-Parametri'!$B$8*(AN266+AM266)))</f>
        <v>98844.6759617512</v>
      </c>
      <c r="AQ266" s="18">
        <f>IF($A266&gt;'1-Input'!$B$26,AQ265,AQ265-AL266*(1-AK266))</f>
        <v>31198.6298093158</v>
      </c>
    </row>
    <row r="267" spans="1:43">
      <c r="A267" s="10">
        <f>34</f>
        <v>34</v>
      </c>
      <c r="B267" s="11">
        <f>IF($A267&gt;'1-Input'!$B$26,0,IF(G266&lt;=0,0,MAX(0,(G266-H266)/G266)))</f>
        <v>0.68436711936423966</v>
      </c>
      <c r="C267" s="18">
        <f>IF($A267&gt;'1-Input'!$B$26,0,(MAX(0,B231-IF($A267&gt;='1-Input'!$C$12,'1-Input'!$B$12,0))-MIN(MAX(F266,0),MAX(0,B231-IF($A267&gt;='1-Input'!$C$12,'1-Input'!$B$12,0))))*(1/(1-'P-Parametri'!$B$6*B267))+MIN(MAX(0,G266-(MAX(0,B231-IF($A267&gt;='1-Input'!$C$12,'1-Input'!$B$12,0))-MIN(MAX(F266,0),MAX(0,B231-IF($A267&gt;='1-Input'!$C$12,'1-Input'!$B$12,0))))*(1/(1-'P-Parametri'!$B$6*B267))),MAX(0,0*B231-(F266-MIN(MAX(F266,0),MAX(0,B231-IF($A267&gt;='1-Input'!$C$12,'1-Input'!$B$12,0)))))*(1/(1-'P-Parametri'!$B$6*B267))))</f>
        <v>6786.6389830919652</v>
      </c>
      <c r="D267" s="18">
        <f>IF($A267&gt;'1-Input'!$B$26,F266,(F266-MAX(0,B231-IF($A267&gt;='1-Input'!$C$12,'1-Input'!$B$12,0))+C267*(1-'P-Parametri'!$B$6*B267))*(1+ROUND('3-Liquidita'!$F$7,4)))</f>
        <v>0</v>
      </c>
      <c r="E267" s="18">
        <f>IF($A267&gt;'1-Input'!$B$26,G266,(G266-C267)*(1+'5-Roberta'!$C$4))</f>
        <v>232419.90448595697</v>
      </c>
      <c r="F267" s="18">
        <f>IF($A267&gt;'1-Input'!$B$26,D267,D267-'P-Parametri'!$B$8*(E267+D267)+MIN(MAX(E267,0),'P-Parametri'!$B$8*(E267+D267)))</f>
        <v>0</v>
      </c>
      <c r="G267" s="18">
        <f>IF($A267&gt;'1-Input'!$B$26,E267,E267-MIN(MAX(E267,0),'P-Parametri'!$B$8*(E267+D267)))</f>
        <v>231955.06467698506</v>
      </c>
      <c r="H267" s="18">
        <f>IF($A267&gt;'1-Input'!$B$26,H266,H266-C267*(1-B267))</f>
        <v>71222.683466010538</v>
      </c>
      <c r="I267" s="11">
        <f>IF($A267&gt;'1-Input'!$B$26,0,IF(N266&lt;=0,0,MAX(0,(N266-O266)/N266)))</f>
        <v>0</v>
      </c>
      <c r="J267" s="18">
        <f>IF($A267&gt;'1-Input'!$B$26,0,(MAX(0,I231-IF($A267&gt;='1-Input'!$C$12,'1-Input'!$B$12,0))-MIN(MAX(M266,0),MAX(0,I231-IF($A267&gt;='1-Input'!$C$12,'1-Input'!$B$12,0))))*(1/(1-'P-Parametri'!$B$6*I267))+MIN(MAX(0,N266-(MAX(0,I231-IF($A267&gt;='1-Input'!$C$12,'1-Input'!$B$12,0))-MIN(MAX(M266,0),MAX(0,I231-IF($A267&gt;='1-Input'!$C$12,'1-Input'!$B$12,0))))*(1/(1-'P-Parametri'!$B$6*I267))),MAX(0,0*I231-(M266-MIN(MAX(M266,0),MAX(0,I231-IF($A267&gt;='1-Input'!$C$12,'1-Input'!$B$12,0)))))*(1/(1-'P-Parametri'!$B$6*I267))))</f>
        <v>10846.756992928691</v>
      </c>
      <c r="K267" s="18">
        <f>IF($A267&gt;'1-Input'!$B$26,M266,(M266-MAX(0,I231-IF($A267&gt;='1-Input'!$C$12,'1-Input'!$B$12,0))+J267*(1-'P-Parametri'!$B$6*I267))*(1+ROUND('3-Liquidita'!$F$7,4)))</f>
        <v>0</v>
      </c>
      <c r="L267" s="18">
        <f>IF($A267&gt;'1-Input'!$B$26,N266,(N266-J267)*(1+'5-Roberta'!$C$4))</f>
        <v>-91734.473373744579</v>
      </c>
      <c r="M267" s="18">
        <f>IF($A267&gt;'1-Input'!$B$26,K267,K267-'P-Parametri'!$B$8*(L267+K267)+MIN(MAX(L267,0),'P-Parametri'!$B$8*(L267+K267)))</f>
        <v>0</v>
      </c>
      <c r="N267" s="18">
        <f>IF($A267&gt;'1-Input'!$B$26,L267,L267-MIN(MAX(L267,0),'P-Parametri'!$B$8*(L267+K267)))</f>
        <v>-91551.004426997082</v>
      </c>
      <c r="O267" s="18">
        <f>IF($A267&gt;'1-Input'!$B$26,O266,O266-J267*(1-I267))</f>
        <v>-77968.272415626212</v>
      </c>
      <c r="P267" s="11">
        <f>IF($A267&gt;'1-Input'!$B$26,0,IF(U266&lt;=0,0,MAX(0,(U266-V266)/U266)))</f>
        <v>0.68436711936423988</v>
      </c>
      <c r="Q267" s="18">
        <f>IF($A267&gt;'1-Input'!$B$26,0,(MAX(0,P231-IF($A267&gt;='1-Input'!$C$12,'1-Input'!$B$12,0))-MIN(MAX(T266,0),MAX(0,P231-IF($A267&gt;='1-Input'!$C$12,'1-Input'!$B$12,0))))*(1/(1-'P-Parametri'!$B$6*P267))+MIN(MAX(0,U266-(MAX(0,P231-IF($A267&gt;='1-Input'!$C$12,'1-Input'!$B$12,0))-MIN(MAX(T266,0),MAX(0,P231-IF($A267&gt;='1-Input'!$C$12,'1-Input'!$B$12,0))))*(1/(1-'P-Parametri'!$B$6*P267))),MAX(0,0*P231-(T266-MIN(MAX(T266,0),MAX(0,P231-IF($A267&gt;='1-Input'!$C$12,'1-Input'!$B$12,0)))))*(1/(1-'P-Parametri'!$B$6*P267))))</f>
        <v>9723.1289371971397</v>
      </c>
      <c r="R267" s="18">
        <f>IF($A267&gt;'1-Input'!$B$26,T266,(T266-MAX(0,P231-IF($A267&gt;='1-Input'!$C$12,'1-Input'!$B$12,0))+Q267*(1-'P-Parametri'!$B$6*P267))*(1+ROUND('3-Liquidita'!$F$7,4)))</f>
        <v>0</v>
      </c>
      <c r="S267" s="18">
        <f>IF($A267&gt;'1-Input'!$B$26,U266,(U266-Q267)*(1+'5-Roberta'!$C$4))</f>
        <v>75859.843669588387</v>
      </c>
      <c r="T267" s="18">
        <f>IF($A267&gt;'1-Input'!$B$26,R267,R267-'P-Parametri'!$B$8*(S267+R267)+MIN(MAX(S267,0),'P-Parametri'!$B$8*(S267+R267)))</f>
        <v>0</v>
      </c>
      <c r="U267" s="18">
        <f>IF($A267&gt;'1-Input'!$B$26,S267,S267-MIN(MAX(S267,0),'P-Parametri'!$B$8*(S267+R267)))</f>
        <v>75708.123982249206</v>
      </c>
      <c r="V267" s="18">
        <f>IF($A267&gt;'1-Input'!$B$26,V266,V266-Q267*(1-P267))</f>
        <v>23246.466972825838</v>
      </c>
      <c r="W267" s="11">
        <f>IF($A267&gt;'1-Input'!$B$26,0,IF(AB266&lt;=0,0,MAX(0,(AB266-AC266)/AB266)))</f>
        <v>0.68436711936424</v>
      </c>
      <c r="X267" s="18">
        <f>IF($A267&gt;'1-Input'!$B$26,0,(MAX(0,W231-IF($A267&gt;='1-Input'!$C$12,'1-Input'!$B$12,0))-MIN(MAX(AA266,0),MAX(0,W231-IF($A267&gt;='1-Input'!$C$12,'1-Input'!$B$12,0))))*(1/(1-'P-Parametri'!$B$6*W267))+MIN(MAX(0,AB266-(MAX(0,W231-IF($A267&gt;='1-Input'!$C$12,'1-Input'!$B$12,0))-MIN(MAX(AA266,0),MAX(0,W231-IF($A267&gt;='1-Input'!$C$12,'1-Input'!$B$12,0))))*(1/(1-'P-Parametri'!$B$6*W267))),MAX(0,0*W231-(AA266-MIN(MAX(AA266,0),MAX(0,W231-IF($A267&gt;='1-Input'!$C$12,'1-Input'!$B$12,0)))))*(1/(1-'P-Parametri'!$B$6*W267))))</f>
        <v>9411.3821064583299</v>
      </c>
      <c r="Y267" s="18">
        <f>IF($A267&gt;'1-Input'!$B$26,AA266,(AA266-MAX(0,W231-IF($A267&gt;='1-Input'!$C$12,'1-Input'!$B$12,0))+X267*(1-'P-Parametri'!$B$6*W267))*(1+ROUND('3-Liquidita'!$F$7,4)))</f>
        <v>-9.1522451839409766E-13</v>
      </c>
      <c r="Z267" s="18">
        <f>IF($A267&gt;'1-Input'!$B$26,AB266,(AB266-X267)*(1+'5-Roberta'!$C$4))</f>
        <v>92480.742614448667</v>
      </c>
      <c r="AA267" s="18">
        <f>IF($A267&gt;'1-Input'!$B$26,Y267,Y267-'P-Parametri'!$B$8*(Z267+Y267)+MIN(MAX(Z267,0),'P-Parametri'!$B$8*(Z267+Y267)))</f>
        <v>-9.0949470177292824E-13</v>
      </c>
      <c r="AB267" s="18">
        <f>IF($A267&gt;'1-Input'!$B$26,Z267,Z267-MIN(MAX(Z267,0),'P-Parametri'!$B$8*(Z267+Y267)))</f>
        <v>92295.781129219773</v>
      </c>
      <c r="AC267" s="18">
        <f>IF($A267&gt;'1-Input'!$B$26,AC266,AC266-X267*(1-W267))</f>
        <v>28339.770091973514</v>
      </c>
      <c r="AD267" s="11">
        <f>IF($A267&gt;'1-Input'!$B$26,0,IF(AI266&lt;=0,0,MAX(0,(AI266-AJ266)/AI266)))</f>
        <v>0.68436711936424044</v>
      </c>
      <c r="AE267" s="18">
        <f>IF($A267&gt;'1-Input'!$B$26,0,(MAX(0,AD231-IF($A267&gt;='1-Input'!$C$12,'1-Input'!$B$12,0))-MIN(MAX(AH266,0),MAX(0,AD231-IF($A267&gt;='1-Input'!$C$12,'1-Input'!$B$12,0))))*(1/(1-'P-Parametri'!$B$6*AD267))+MIN(MAX(0,AI266-(MAX(0,AD231-IF($A267&gt;='1-Input'!$C$12,'1-Input'!$B$12,0))-MIN(MAX(AH266,0),MAX(0,AD231-IF($A267&gt;='1-Input'!$C$12,'1-Input'!$B$12,0))))*(1/(1-'P-Parametri'!$B$6*AD267))),MAX(0,0*AD231-(AH266-MIN(MAX(AH266,0),MAX(0,AD231-IF($A267&gt;='1-Input'!$C$12,'1-Input'!$B$12,0)))))*(1/(1-'P-Parametri'!$B$6*AD267))))</f>
        <v>9419.6338495725413</v>
      </c>
      <c r="AF267" s="18">
        <f>IF($A267&gt;'1-Input'!$B$26,AH266,(AH266-MAX(0,AD231-IF($A267&gt;='1-Input'!$C$12,'1-Input'!$B$12,0))+AE267*(1-'P-Parametri'!$B$6*AD267))*(1+ROUND('3-Liquidita'!$F$7,4)))</f>
        <v>0</v>
      </c>
      <c r="AG267" s="18">
        <f>IF($A267&gt;'1-Input'!$B$26,AI266,(AI266-AE267)*(1+'5-Roberta'!$C$4))</f>
        <v>92040.797842291271</v>
      </c>
      <c r="AH267" s="18">
        <f>IF($A267&gt;'1-Input'!$B$26,AF267,AF267-'P-Parametri'!$B$8*(AG267+AF267)+MIN(MAX(AG267,0),'P-Parametri'!$B$8*(AG267+AF267)))</f>
        <v>0</v>
      </c>
      <c r="AI267" s="18">
        <f>IF($A267&gt;'1-Input'!$B$26,AG267,AG267-MIN(MAX(AG267,0),'P-Parametri'!$B$8*(AG267+AF267)))</f>
        <v>91856.716246606695</v>
      </c>
      <c r="AJ267" s="18">
        <f>IF($A267&gt;'1-Input'!$B$26,AJ266,AJ266-AE267*(1-AD267))</f>
        <v>28204.953552403884</v>
      </c>
      <c r="AK267" s="11">
        <f>IF($A267&gt;'1-Input'!$B$26,0,IF(AP266&lt;=0,0,MAX(0,(AP266-AQ266)/AP266)))</f>
        <v>0.68436711936424</v>
      </c>
      <c r="AL267" s="18">
        <f>IF($A267&gt;'1-Input'!$B$26,0,(MAX(0,AK231-IF($A267&gt;='1-Input'!$C$12,'1-Input'!$B$12,0))-MIN(MAX(AO266,0),MAX(0,AK231-IF($A267&gt;='1-Input'!$C$12,'1-Input'!$B$12,0))))*(1/(1-'P-Parametri'!$B$6*AK267))+MIN(MAX(0,AP266-(MAX(0,AK231-IF($A267&gt;='1-Input'!$C$12,'1-Input'!$B$12,0))-MIN(MAX(AO266,0),MAX(0,AK231-IF($A267&gt;='1-Input'!$C$12,'1-Input'!$B$12,0))))*(1/(1-'P-Parametri'!$B$6*AK267))),MAX(0,0*AK231-(AO266-MIN(MAX(AO266,0),MAX(0,AK231-IF($A267&gt;='1-Input'!$C$12,'1-Input'!$B$12,0)))))*(1/(1-'P-Parametri'!$B$6*AK267))))</f>
        <v>9418.3525059034146</v>
      </c>
      <c r="AM267" s="18">
        <f>IF($A267&gt;'1-Input'!$B$26,AO266,(AO266-MAX(0,AK231-IF($A267&gt;='1-Input'!$C$12,'1-Input'!$B$12,0))+AL267*(1-'P-Parametri'!$B$6*AK267))*(1+ROUND('3-Liquidita'!$F$7,4)))</f>
        <v>0</v>
      </c>
      <c r="AN267" s="18">
        <f>IF($A267&gt;'1-Input'!$B$26,AP266,(AP266-AL267)*(1+'5-Roberta'!$C$4))</f>
        <v>92109.113159523215</v>
      </c>
      <c r="AO267" s="18">
        <f>IF($A267&gt;'1-Input'!$B$26,AM267,AM267-'P-Parametri'!$B$8*(AN267+AM267)+MIN(MAX(AN267,0),'P-Parametri'!$B$8*(AN267+AM267)))</f>
        <v>0</v>
      </c>
      <c r="AP267" s="18">
        <f>IF($A267&gt;'1-Input'!$B$26,AN267,AN267-MIN(MAX(AN267,0),'P-Parametri'!$B$8*(AN267+AM267)))</f>
        <v>91924.894933204167</v>
      </c>
      <c r="AQ267" s="18">
        <f>IF($A267&gt;'1-Input'!$B$26,AQ266,AQ266-AL267*(1-AK267))</f>
        <v>28225.888077034477</v>
      </c>
    </row>
    <row r="268" spans="1:43">
      <c r="A268" s="10">
        <f>35</f>
        <v>35</v>
      </c>
      <c r="B268" s="11">
        <f>IF($A268&gt;'1-Input'!$B$26,0,IF(G267&lt;=0,0,MAX(0,(G267-H267)/G267)))</f>
        <v>0.69294620246730332</v>
      </c>
      <c r="C268" s="18">
        <f>IF($A268&gt;'1-Input'!$B$26,0,(MAX(0,B231-IF($A268&gt;='1-Input'!$C$12,'1-Input'!$B$12,0))-MIN(MAX(F267,0),MAX(0,B231-IF($A268&gt;='1-Input'!$C$12,'1-Input'!$B$12,0))))*(1/(1-'P-Parametri'!$B$6*B268))+MIN(MAX(0,G267-(MAX(0,B231-IF($A268&gt;='1-Input'!$C$12,'1-Input'!$B$12,0))-MIN(MAX(F267,0),MAX(0,B231-IF($A268&gt;='1-Input'!$C$12,'1-Input'!$B$12,0))))*(1/(1-'P-Parametri'!$B$6*B268))),MAX(0,0*B231-(F267-MIN(MAX(F267,0),MAX(0,B231-IF($A268&gt;='1-Input'!$C$12,'1-Input'!$B$12,0)))))*(1/(1-'P-Parametri'!$B$6*B268))))</f>
        <v>6805.10371691405</v>
      </c>
      <c r="D268" s="18">
        <f>IF($A268&gt;'1-Input'!$B$26,F267,(F267-MAX(0,B231-IF($A268&gt;='1-Input'!$C$12,'1-Input'!$B$12,0))+C268*(1-'P-Parametri'!$B$6*B268))*(1+ROUND('3-Liquidita'!$F$7,4)))</f>
        <v>0</v>
      </c>
      <c r="E268" s="18">
        <f>IF($A268&gt;'1-Input'!$B$26,G267,(G267-C268)*(1+'5-Roberta'!$C$4))</f>
        <v>231904.45978887315</v>
      </c>
      <c r="F268" s="18">
        <f>IF($A268&gt;'1-Input'!$B$26,D268,D268-'P-Parametri'!$B$8*(E268+D268)+MIN(MAX(E268,0),'P-Parametri'!$B$8*(E268+D268)))</f>
        <v>0</v>
      </c>
      <c r="G268" s="18">
        <f>IF($A268&gt;'1-Input'!$B$26,E268,E268-MIN(MAX(E268,0),'P-Parametri'!$B$8*(E268+D268)))</f>
        <v>231440.65086929541</v>
      </c>
      <c r="H268" s="18">
        <f>IF($A268&gt;'1-Input'!$B$26,H267,H267-C268*(1-B268))</f>
        <v>69133.150527128208</v>
      </c>
      <c r="I268" s="11">
        <f>IF($A268&gt;'1-Input'!$B$26,0,IF(N267&lt;=0,0,MAX(0,(N267-O267)/N267)))</f>
        <v>0</v>
      </c>
      <c r="J268" s="18">
        <f>IF($A268&gt;'1-Input'!$B$26,0,(MAX(0,I231-IF($A268&gt;='1-Input'!$C$12,'1-Input'!$B$12,0))-MIN(MAX(M267,0),MAX(0,I231-IF($A268&gt;='1-Input'!$C$12,'1-Input'!$B$12,0))))*(1/(1-'P-Parametri'!$B$6*I268))+MIN(MAX(0,N267-(MAX(0,I231-IF($A268&gt;='1-Input'!$C$12,'1-Input'!$B$12,0))-MIN(MAX(M267,0),MAX(0,I231-IF($A268&gt;='1-Input'!$C$12,'1-Input'!$B$12,0))))*(1/(1-'P-Parametri'!$B$6*I268))),MAX(0,0*I231-(M267-MIN(MAX(M267,0),MAX(0,I231-IF($A268&gt;='1-Input'!$C$12,'1-Input'!$B$12,0)))))*(1/(1-'P-Parametri'!$B$6*I268))))</f>
        <v>10846.756992928691</v>
      </c>
      <c r="K268" s="18">
        <f>IF($A268&gt;'1-Input'!$B$26,M267,(M267-MAX(0,I231-IF($A268&gt;='1-Input'!$C$12,'1-Input'!$B$12,0))+J268*(1-'P-Parametri'!$B$6*I268))*(1+ROUND('3-Liquidita'!$F$7,4)))</f>
        <v>0</v>
      </c>
      <c r="L268" s="18">
        <f>IF($A268&gt;'1-Input'!$B$26,N267,(N267-J268)*(1+'5-Roberta'!$C$4))</f>
        <v>-105469.69426252355</v>
      </c>
      <c r="M268" s="18">
        <f>IF($A268&gt;'1-Input'!$B$26,K268,K268-'P-Parametri'!$B$8*(L268+K268)+MIN(MAX(L268,0),'P-Parametri'!$B$8*(L268+K268)))</f>
        <v>0</v>
      </c>
      <c r="N268" s="18">
        <f>IF($A268&gt;'1-Input'!$B$26,L268,L268-MIN(MAX(L268,0),'P-Parametri'!$B$8*(L268+K268)))</f>
        <v>-105258.75487399851</v>
      </c>
      <c r="O268" s="18">
        <f>IF($A268&gt;'1-Input'!$B$26,O267,O267-J268*(1-I268))</f>
        <v>-88815.029408554896</v>
      </c>
      <c r="P268" s="11">
        <f>IF($A268&gt;'1-Input'!$B$26,0,IF(U267&lt;=0,0,MAX(0,(U267-V267)/U267)))</f>
        <v>0.69294620246730343</v>
      </c>
      <c r="Q268" s="18">
        <f>IF($A268&gt;'1-Input'!$B$26,0,(MAX(0,P231-IF($A268&gt;='1-Input'!$C$12,'1-Input'!$B$12,0))-MIN(MAX(T267,0),MAX(0,P231-IF($A268&gt;='1-Input'!$C$12,'1-Input'!$B$12,0))))*(1/(1-'P-Parametri'!$B$6*P268))+MIN(MAX(0,U267-(MAX(0,P231-IF($A268&gt;='1-Input'!$C$12,'1-Input'!$B$12,0))-MIN(MAX(T267,0),MAX(0,P231-IF($A268&gt;='1-Input'!$C$12,'1-Input'!$B$12,0))))*(1/(1-'P-Parametri'!$B$6*P268))),MAX(0,0*P231-(T267-MIN(MAX(T267,0),MAX(0,P231-IF($A268&gt;='1-Input'!$C$12,'1-Input'!$B$12,0)))))*(1/(1-'P-Parametri'!$B$6*P268))))</f>
        <v>9749.5831199215245</v>
      </c>
      <c r="R268" s="18">
        <f>IF($A268&gt;'1-Input'!$B$26,T267,(T267-MAX(0,P231-IF($A268&gt;='1-Input'!$C$12,'1-Input'!$B$12,0))+Q268*(1-'P-Parametri'!$B$6*P268))*(1+ROUND('3-Liquidita'!$F$7,4)))</f>
        <v>0</v>
      </c>
      <c r="S268" s="18">
        <f>IF($A268&gt;'1-Input'!$B$26,U267,(U267-Q268)*(1+'5-Roberta'!$C$4))</f>
        <v>67937.297088197505</v>
      </c>
      <c r="T268" s="18">
        <f>IF($A268&gt;'1-Input'!$B$26,R268,R268-'P-Parametri'!$B$8*(S268+R268)+MIN(MAX(S268,0),'P-Parametri'!$B$8*(S268+R268)))</f>
        <v>0</v>
      </c>
      <c r="U268" s="18">
        <f>IF($A268&gt;'1-Input'!$B$26,S268,S268-MIN(MAX(S268,0),'P-Parametri'!$B$8*(S268+R268)))</f>
        <v>67801.422494021113</v>
      </c>
      <c r="V268" s="18">
        <f>IF($A268&gt;'1-Input'!$B$26,V267,V267-Q268*(1-P268))</f>
        <v>20252.820451493259</v>
      </c>
      <c r="W268" s="11">
        <f>IF($A268&gt;'1-Input'!$B$26,0,IF(AB267&lt;=0,0,MAX(0,(AB267-AC267)/AB267)))</f>
        <v>0.69294620246730354</v>
      </c>
      <c r="X268" s="18">
        <f>IF($A268&gt;'1-Input'!$B$26,0,(MAX(0,W231-IF($A268&gt;='1-Input'!$C$12,'1-Input'!$B$12,0))-MIN(MAX(AA267,0),MAX(0,W231-IF($A268&gt;='1-Input'!$C$12,'1-Input'!$B$12,0))))*(1/(1-'P-Parametri'!$B$6*W268))+MIN(MAX(0,AB267-(MAX(0,W231-IF($A268&gt;='1-Input'!$C$12,'1-Input'!$B$12,0))-MIN(MAX(AA267,0),MAX(0,W231-IF($A268&gt;='1-Input'!$C$12,'1-Input'!$B$12,0))))*(1/(1-'P-Parametri'!$B$6*W268))),MAX(0,0*W231-(AA267-MIN(MAX(AA267,0),MAX(0,W231-IF($A268&gt;='1-Input'!$C$12,'1-Input'!$B$12,0)))))*(1/(1-'P-Parametri'!$B$6*W268))))</f>
        <v>9436.9881046448627</v>
      </c>
      <c r="Y268" s="18">
        <f>IF($A268&gt;'1-Input'!$B$26,AA267,(AA267-MAX(0,W231-IF($A268&gt;='1-Input'!$C$12,'1-Input'!$B$12,0))+X268*(1-'P-Parametri'!$B$6*W268))*(1+ROUND('3-Liquidita'!$F$7,4)))</f>
        <v>9.1522451839409766E-13</v>
      </c>
      <c r="Z268" s="18">
        <f>IF($A268&gt;'1-Input'!$B$26,AB267,(AB267-X268)*(1+'5-Roberta'!$C$4))</f>
        <v>85344.556815312171</v>
      </c>
      <c r="AA268" s="18">
        <f>IF($A268&gt;'1-Input'!$B$26,Y268,Y268-'P-Parametri'!$B$8*(Z268+Y268)+MIN(MAX(Z268,0),'P-Parametri'!$B$8*(Z268+Y268)))</f>
        <v>9.0949470177292824E-13</v>
      </c>
      <c r="AB268" s="18">
        <f>IF($A268&gt;'1-Input'!$B$26,Z268,Z268-MIN(MAX(Z268,0),'P-Parametri'!$B$8*(Z268+Y268)))</f>
        <v>85173.867701681549</v>
      </c>
      <c r="AC268" s="18">
        <f>IF($A268&gt;'1-Input'!$B$26,AC267,AC267-X268*(1-W268))</f>
        <v>25442.107057171426</v>
      </c>
      <c r="AD268" s="11">
        <f>IF($A268&gt;'1-Input'!$B$26,0,IF(AI267&lt;=0,0,MAX(0,(AI267-AJ267)/AI267)))</f>
        <v>0.69294620246730398</v>
      </c>
      <c r="AE268" s="18">
        <f>IF($A268&gt;'1-Input'!$B$26,0,(MAX(0,AD231-IF($A268&gt;='1-Input'!$C$12,'1-Input'!$B$12,0))-MIN(MAX(AH267,0),MAX(0,AD231-IF($A268&gt;='1-Input'!$C$12,'1-Input'!$B$12,0))))*(1/(1-'P-Parametri'!$B$6*AD268))+MIN(MAX(0,AI267-(MAX(0,AD231-IF($A268&gt;='1-Input'!$C$12,'1-Input'!$B$12,0))-MIN(MAX(AH267,0),MAX(0,AD231-IF($A268&gt;='1-Input'!$C$12,'1-Input'!$B$12,0))))*(1/(1-'P-Parametri'!$B$6*AD268))),MAX(0,0*AD231-(AH267-MIN(MAX(AH267,0),MAX(0,AD231-IF($A268&gt;='1-Input'!$C$12,'1-Input'!$B$12,0)))))*(1/(1-'P-Parametri'!$B$6*AD268))))</f>
        <v>9445.2622986718943</v>
      </c>
      <c r="AF268" s="18">
        <f>IF($A268&gt;'1-Input'!$B$26,AH267,(AH267-MAX(0,AD231-IF($A268&gt;='1-Input'!$C$12,'1-Input'!$B$12,0))+AE268*(1-'P-Parametri'!$B$6*AD268))*(1+ROUND('3-Liquidita'!$F$7,4)))</f>
        <v>0</v>
      </c>
      <c r="AG268" s="18">
        <f>IF($A268&gt;'1-Input'!$B$26,AI267,(AI267-AE268)*(1+'5-Roberta'!$C$4))</f>
        <v>84883.797566372843</v>
      </c>
      <c r="AH268" s="18">
        <f>IF($A268&gt;'1-Input'!$B$26,AF268,AF268-'P-Parametri'!$B$8*(AG268+AF268)+MIN(MAX(AG268,0),'P-Parametri'!$B$8*(AG268+AF268)))</f>
        <v>0</v>
      </c>
      <c r="AI268" s="18">
        <f>IF($A268&gt;'1-Input'!$B$26,AG268,AG268-MIN(MAX(AG268,0),'P-Parametri'!$B$8*(AG268+AF268)))</f>
        <v>84714.029971240103</v>
      </c>
      <c r="AJ268" s="18">
        <f>IF($A268&gt;'1-Input'!$B$26,AJ267,AJ267-AE268*(1-AD268))</f>
        <v>25304.749894904278</v>
      </c>
      <c r="AK268" s="11">
        <f>IF($A268&gt;'1-Input'!$B$26,0,IF(AP267&lt;=0,0,MAX(0,(AP267-AQ267)/AP267)))</f>
        <v>0.69294620246730343</v>
      </c>
      <c r="AL268" s="18">
        <f>IF($A268&gt;'1-Input'!$B$26,0,(MAX(0,AK231-IF($A268&gt;='1-Input'!$C$12,'1-Input'!$B$12,0))-MIN(MAX(AO267,0),MAX(0,AK231-IF($A268&gt;='1-Input'!$C$12,'1-Input'!$B$12,0))))*(1/(1-'P-Parametri'!$B$6*AK268))+MIN(MAX(0,AP267-(MAX(0,AK231-IF($A268&gt;='1-Input'!$C$12,'1-Input'!$B$12,0))-MIN(MAX(AO267,0),MAX(0,AK231-IF($A268&gt;='1-Input'!$C$12,'1-Input'!$B$12,0))))*(1/(1-'P-Parametri'!$B$6*AK268))),MAX(0,0*AK231-(AO267-MIN(MAX(AO267,0),MAX(0,AK231-IF($A268&gt;='1-Input'!$C$12,'1-Input'!$B$12,0)))))*(1/(1-'P-Parametri'!$B$6*AK268))))</f>
        <v>9443.977468789657</v>
      </c>
      <c r="AM268" s="18">
        <f>IF($A268&gt;'1-Input'!$B$26,AO267,(AO267-MAX(0,AK231-IF($A268&gt;='1-Input'!$C$12,'1-Input'!$B$12,0))+AL268*(1-'P-Parametri'!$B$6*AK268))*(1+ROUND('3-Liquidita'!$F$7,4)))</f>
        <v>-9.1522451839409766E-13</v>
      </c>
      <c r="AN268" s="18">
        <f>IF($A268&gt;'1-Input'!$B$26,AP267,(AP267-AL268)*(1+'5-Roberta'!$C$4))</f>
        <v>84955.344988346944</v>
      </c>
      <c r="AO268" s="18">
        <f>IF($A268&gt;'1-Input'!$B$26,AM268,AM268-'P-Parametri'!$B$8*(AN268+AM268)+MIN(MAX(AN268,0),'P-Parametri'!$B$8*(AN268+AM268)))</f>
        <v>-9.0949470177292824E-13</v>
      </c>
      <c r="AP268" s="18">
        <f>IF($A268&gt;'1-Input'!$B$26,AN268,AN268-MIN(MAX(AN268,0),'P-Parametri'!$B$8*(AN268+AM268)))</f>
        <v>84785.434298370252</v>
      </c>
      <c r="AQ268" s="18">
        <f>IF($A268&gt;'1-Input'!$B$26,AQ267,AQ267-AL268*(1-AK268))</f>
        <v>25326.078931429391</v>
      </c>
    </row>
    <row r="269" spans="1:43">
      <c r="A269" s="10">
        <f>36</f>
        <v>36</v>
      </c>
      <c r="B269" s="11">
        <f>IF($A269&gt;'1-Input'!$B$26,0,IF(G268&lt;=0,0,MAX(0,(G268-H268)/G268)))</f>
        <v>0.70129210116086871</v>
      </c>
      <c r="C269" s="18">
        <f>IF($A269&gt;'1-Input'!$B$26,0,(MAX(0,B231-IF($A269&gt;='1-Input'!$C$12,'1-Input'!$B$12,0))-MIN(MAX(F268,0),MAX(0,B231-IF($A269&gt;='1-Input'!$C$12,'1-Input'!$B$12,0))))*(1/(1-'P-Parametri'!$B$6*B269))+MIN(MAX(0,G268-(MAX(0,B231-IF($A269&gt;='1-Input'!$C$12,'1-Input'!$B$12,0))-MIN(MAX(F268,0),MAX(0,B231-IF($A269&gt;='1-Input'!$C$12,'1-Input'!$B$12,0))))*(1/(1-'P-Parametri'!$B$6*B269))),MAX(0,0*B231-(F268-MIN(MAX(F268,0),MAX(0,B231-IF($A269&gt;='1-Input'!$C$12,'1-Input'!$B$12,0)))))*(1/(1-'P-Parametri'!$B$6*B269))))</f>
        <v>6823.1632409331896</v>
      </c>
      <c r="D269" s="18">
        <f>IF($A269&gt;'1-Input'!$B$26,F268,(F268-MAX(0,B231-IF($A269&gt;='1-Input'!$C$12,'1-Input'!$B$12,0))+C269*(1-'P-Parametri'!$B$6*B269))*(1+ROUND('3-Liquidita'!$F$7,4)))</f>
        <v>9.1522451839409766E-13</v>
      </c>
      <c r="E269" s="18">
        <f>IF($A269&gt;'1-Input'!$B$26,G268,(G268-C269)*(1+'5-Roberta'!$C$4))</f>
        <v>231356.01225721309</v>
      </c>
      <c r="F269" s="18">
        <f>IF($A269&gt;'1-Input'!$B$26,D269,D269-'P-Parametri'!$B$8*(E269+D269)+MIN(MAX(E269,0),'P-Parametri'!$B$8*(E269+D269)))</f>
        <v>9.0949470177292824E-13</v>
      </c>
      <c r="G269" s="18">
        <f>IF($A269&gt;'1-Input'!$B$26,E269,E269-MIN(MAX(E269,0),'P-Parametri'!$B$8*(E269+D269)))</f>
        <v>230893.30023269868</v>
      </c>
      <c r="H269" s="18">
        <f>IF($A269&gt;'1-Input'!$B$26,H268,H268-C269*(1-B269))</f>
        <v>67095.017771992658</v>
      </c>
      <c r="I269" s="11">
        <f>IF($A269&gt;'1-Input'!$B$26,0,IF(N268&lt;=0,0,MAX(0,(N268-O268)/N268)))</f>
        <v>0</v>
      </c>
      <c r="J269" s="18">
        <f>IF($A269&gt;'1-Input'!$B$26,0,(MAX(0,I231-IF($A269&gt;='1-Input'!$C$12,'1-Input'!$B$12,0))-MIN(MAX(M268,0),MAX(0,I231-IF($A269&gt;='1-Input'!$C$12,'1-Input'!$B$12,0))))*(1/(1-'P-Parametri'!$B$6*I269))+MIN(MAX(0,N268-(MAX(0,I231-IF($A269&gt;='1-Input'!$C$12,'1-Input'!$B$12,0))-MIN(MAX(M268,0),MAX(0,I231-IF($A269&gt;='1-Input'!$C$12,'1-Input'!$B$12,0))))*(1/(1-'P-Parametri'!$B$6*I269))),MAX(0,0*I231-(M268-MIN(MAX(M268,0),MAX(0,I231-IF($A269&gt;='1-Input'!$C$12,'1-Input'!$B$12,0)))))*(1/(1-'P-Parametri'!$B$6*I269))))</f>
        <v>10846.756992928691</v>
      </c>
      <c r="K269" s="18">
        <f>IF($A269&gt;'1-Input'!$B$26,M268,(M268-MAX(0,I231-IF($A269&gt;='1-Input'!$C$12,'1-Input'!$B$12,0))+J269*(1-'P-Parametri'!$B$6*I269))*(1+ROUND('3-Liquidita'!$F$7,4)))</f>
        <v>0</v>
      </c>
      <c r="L269" s="18">
        <f>IF($A269&gt;'1-Input'!$B$26,N268,(N268-J269)*(1+'5-Roberta'!$C$4))</f>
        <v>-119588.67722293502</v>
      </c>
      <c r="M269" s="18">
        <f>IF($A269&gt;'1-Input'!$B$26,K269,K269-'P-Parametri'!$B$8*(L269+K269)+MIN(MAX(L269,0),'P-Parametri'!$B$8*(L269+K269)))</f>
        <v>0</v>
      </c>
      <c r="N269" s="18">
        <f>IF($A269&gt;'1-Input'!$B$26,L269,L269-MIN(MAX(L269,0),'P-Parametri'!$B$8*(L269+K269)))</f>
        <v>-119349.49986848915</v>
      </c>
      <c r="O269" s="18">
        <f>IF($A269&gt;'1-Input'!$B$26,O268,O268-J269*(1-I269))</f>
        <v>-99661.78640148358</v>
      </c>
      <c r="P269" s="11">
        <f>IF($A269&gt;'1-Input'!$B$26,0,IF(U268&lt;=0,0,MAX(0,(U268-V268)/U268)))</f>
        <v>0.70129210116086871</v>
      </c>
      <c r="Q269" s="18">
        <f>IF($A269&gt;'1-Input'!$B$26,0,(MAX(0,P231-IF($A269&gt;='1-Input'!$C$12,'1-Input'!$B$12,0))-MIN(MAX(T268,0),MAX(0,P231-IF($A269&gt;='1-Input'!$C$12,'1-Input'!$B$12,0))))*(1/(1-'P-Parametri'!$B$6*P269))+MIN(MAX(0,U268-(MAX(0,P231-IF($A269&gt;='1-Input'!$C$12,'1-Input'!$B$12,0))-MIN(MAX(T268,0),MAX(0,P231-IF($A269&gt;='1-Input'!$C$12,'1-Input'!$B$12,0))))*(1/(1-'P-Parametri'!$B$6*P269))),MAX(0,0*P231-(T268-MIN(MAX(T268,0),MAX(0,P231-IF($A269&gt;='1-Input'!$C$12,'1-Input'!$B$12,0)))))*(1/(1-'P-Parametri'!$B$6*P269))))</f>
        <v>9775.4567638592634</v>
      </c>
      <c r="R269" s="18">
        <f>IF($A269&gt;'1-Input'!$B$26,T268,(T268-MAX(0,P231-IF($A269&gt;='1-Input'!$C$12,'1-Input'!$B$12,0))+Q269*(1-'P-Parametri'!$B$6*P269))*(1+ROUND('3-Liquidita'!$F$7,4)))</f>
        <v>9.1522451839409766E-13</v>
      </c>
      <c r="S269" s="18">
        <f>IF($A269&gt;'1-Input'!$B$26,U268,(U268-Q269)*(1+'5-Roberta'!$C$4))</f>
        <v>59766.74470206671</v>
      </c>
      <c r="T269" s="18">
        <f>IF($A269&gt;'1-Input'!$B$26,R269,R269-'P-Parametri'!$B$8*(S269+R269)+MIN(MAX(S269,0),'P-Parametri'!$B$8*(S269+R269)))</f>
        <v>9.0949470177292824E-13</v>
      </c>
      <c r="U269" s="18">
        <f>IF($A269&gt;'1-Input'!$B$26,S269,S269-MIN(MAX(S269,0),'P-Parametri'!$B$8*(S269+R269)))</f>
        <v>59647.21121266258</v>
      </c>
      <c r="V269" s="18">
        <f>IF($A269&gt;'1-Input'!$B$26,V268,V268-Q269*(1-P269))</f>
        <v>17332.814301368082</v>
      </c>
      <c r="W269" s="11">
        <f>IF($A269&gt;'1-Input'!$B$26,0,IF(AB268&lt;=0,0,MAX(0,(AB268-AC268)/AB268)))</f>
        <v>0.70129210116086893</v>
      </c>
      <c r="X269" s="18">
        <f>IF($A269&gt;'1-Input'!$B$26,0,(MAX(0,W231-IF($A269&gt;='1-Input'!$C$12,'1-Input'!$B$12,0))-MIN(MAX(AA268,0),MAX(0,W231-IF($A269&gt;='1-Input'!$C$12,'1-Input'!$B$12,0))))*(1/(1-'P-Parametri'!$B$6*W269))+MIN(MAX(0,AB268-(MAX(0,W231-IF($A269&gt;='1-Input'!$C$12,'1-Input'!$B$12,0))-MIN(MAX(AA268,0),MAX(0,W231-IF($A269&gt;='1-Input'!$C$12,'1-Input'!$B$12,0))))*(1/(1-'P-Parametri'!$B$6*W269))),MAX(0,0*W231-(AA268-MIN(MAX(AA268,0),MAX(0,W231-IF($A269&gt;='1-Input'!$C$12,'1-Input'!$B$12,0)))))*(1/(1-'P-Parametri'!$B$6*W269))))</f>
        <v>9462.0321775104312</v>
      </c>
      <c r="Y269" s="18">
        <f>IF($A269&gt;'1-Input'!$B$26,AA268,(AA268-MAX(0,W231-IF($A269&gt;='1-Input'!$C$12,'1-Input'!$B$12,0))+X269*(1-'P-Parametri'!$B$6*W269))*(1+ROUND('3-Liquidita'!$F$7,4)))</f>
        <v>9.1522451839409766E-13</v>
      </c>
      <c r="Z269" s="18">
        <f>IF($A269&gt;'1-Input'!$B$26,AB268,(AB268-X269)*(1+'5-Roberta'!$C$4))</f>
        <v>77983.190589896258</v>
      </c>
      <c r="AA269" s="18">
        <f>IF($A269&gt;'1-Input'!$B$26,Y269,Y269-'P-Parametri'!$B$8*(Z269+Y269)+MIN(MAX(Z269,0),'P-Parametri'!$B$8*(Z269+Y269)))</f>
        <v>9.0949470177292824E-13</v>
      </c>
      <c r="AB269" s="18">
        <f>IF($A269&gt;'1-Input'!$B$26,Z269,Z269-MIN(MAX(Z269,0),'P-Parametri'!$B$8*(Z269+Y269)))</f>
        <v>77827.224208716463</v>
      </c>
      <c r="AC269" s="18">
        <f>IF($A269&gt;'1-Input'!$B$26,AC268,AC268-X269*(1-W269))</f>
        <v>22615.723306679036</v>
      </c>
      <c r="AD269" s="11">
        <f>IF($A269&gt;'1-Input'!$B$26,0,IF(AI268&lt;=0,0,MAX(0,(AI268-AJ268)/AI268)))</f>
        <v>0.70129210116086926</v>
      </c>
      <c r="AE269" s="18">
        <f>IF($A269&gt;'1-Input'!$B$26,0,(MAX(0,AD231-IF($A269&gt;='1-Input'!$C$12,'1-Input'!$B$12,0))-MIN(MAX(AH268,0),MAX(0,AD231-IF($A269&gt;='1-Input'!$C$12,'1-Input'!$B$12,0))))*(1/(1-'P-Parametri'!$B$6*AD269))+MIN(MAX(0,AI268-(MAX(0,AD231-IF($A269&gt;='1-Input'!$C$12,'1-Input'!$B$12,0))-MIN(MAX(AH268,0),MAX(0,AD231-IF($A269&gt;='1-Input'!$C$12,'1-Input'!$B$12,0))))*(1/(1-'P-Parametri'!$B$6*AD269))),MAX(0,0*AD231-(AH268-MIN(MAX(AH268,0),MAX(0,AD231-IF($A269&gt;='1-Input'!$C$12,'1-Input'!$B$12,0)))))*(1/(1-'P-Parametri'!$B$6*AD269))))</f>
        <v>9470.3283297635226</v>
      </c>
      <c r="AF269" s="18">
        <f>IF($A269&gt;'1-Input'!$B$26,AH268,(AH268-MAX(0,AD231-IF($A269&gt;='1-Input'!$C$12,'1-Input'!$B$12,0))+AE269*(1-'P-Parametri'!$B$6*AD269))*(1+ROUND('3-Liquidita'!$F$7,4)))</f>
        <v>-9.1522451839409766E-13</v>
      </c>
      <c r="AG269" s="18">
        <f>IF($A269&gt;'1-Input'!$B$26,AI268,(AI268-AE269)*(1+'5-Roberta'!$C$4))</f>
        <v>77501.012690720876</v>
      </c>
      <c r="AH269" s="18">
        <f>IF($A269&gt;'1-Input'!$B$26,AF269,AF269-'P-Parametri'!$B$8*(AG269+AF269)+MIN(MAX(AG269,0),'P-Parametri'!$B$8*(AG269+AF269)))</f>
        <v>-9.0949470177292824E-13</v>
      </c>
      <c r="AI269" s="18">
        <f>IF($A269&gt;'1-Input'!$B$26,AG269,AG269-MIN(MAX(AG269,0),'P-Parametri'!$B$8*(AG269+AF269)))</f>
        <v>77346.010665339432</v>
      </c>
      <c r="AJ269" s="18">
        <f>IF($A269&gt;'1-Input'!$B$26,AJ268,AJ268-AE269*(1-AD269))</f>
        <v>22475.888018203921</v>
      </c>
      <c r="AK269" s="11">
        <f>IF($A269&gt;'1-Input'!$B$26,0,IF(AP268&lt;=0,0,MAX(0,(AP268-AQ268)/AP268)))</f>
        <v>0.70129210116086871</v>
      </c>
      <c r="AL269" s="18">
        <f>IF($A269&gt;'1-Input'!$B$26,0,(MAX(0,AK231-IF($A269&gt;='1-Input'!$C$12,'1-Input'!$B$12,0))-MIN(MAX(AO268,0),MAX(0,AK231-IF($A269&gt;='1-Input'!$C$12,'1-Input'!$B$12,0))))*(1/(1-'P-Parametri'!$B$6*AK269))+MIN(MAX(0,AP268-(MAX(0,AK231-IF($A269&gt;='1-Input'!$C$12,'1-Input'!$B$12,0))-MIN(MAX(AO268,0),MAX(0,AK231-IF($A269&gt;='1-Input'!$C$12,'1-Input'!$B$12,0))))*(1/(1-'P-Parametri'!$B$6*AK269))),MAX(0,0*AK231-(AO268-MIN(MAX(AO268,0),MAX(0,AK231-IF($A269&gt;='1-Input'!$C$12,'1-Input'!$B$12,0)))))*(1/(1-'P-Parametri'!$B$6*AK269))))</f>
        <v>9469.0400901733574</v>
      </c>
      <c r="AM269" s="18">
        <f>IF($A269&gt;'1-Input'!$B$26,AO268,(AO268-MAX(0,AK231-IF($A269&gt;='1-Input'!$C$12,'1-Input'!$B$12,0))+AL269*(1-'P-Parametri'!$B$6*AK269))*(1+ROUND('3-Liquidita'!$F$7,4)))</f>
        <v>9.1522451839409766E-13</v>
      </c>
      <c r="AN269" s="18">
        <f>IF($A269&gt;'1-Input'!$B$26,AP268,(AP268-AL269)*(1+'5-Roberta'!$C$4))</f>
        <v>77575.88603444281</v>
      </c>
      <c r="AO269" s="18">
        <f>IF($A269&gt;'1-Input'!$B$26,AM269,AM269-'P-Parametri'!$B$8*(AN269+AM269)+MIN(MAX(AN269,0),'P-Parametri'!$B$8*(AN269+AM269)))</f>
        <v>9.0949470177292824E-13</v>
      </c>
      <c r="AP269" s="18">
        <f>IF($A269&gt;'1-Input'!$B$26,AN269,AN269-MIN(MAX(AN269,0),'P-Parametri'!$B$8*(AN269+AM269)))</f>
        <v>77420.734262373924</v>
      </c>
      <c r="AQ269" s="18">
        <f>IF($A269&gt;'1-Input'!$B$26,AQ268,AQ268-AL269*(1-AK269))</f>
        <v>22497.601862070209</v>
      </c>
    </row>
    <row r="270" spans="1:43">
      <c r="A270" s="10">
        <f>37</f>
        <v>37</v>
      </c>
      <c r="B270" s="11">
        <f>IF($A270&gt;'1-Input'!$B$26,0,IF(G269&lt;=0,0,MAX(0,(G269-H269)/G269)))</f>
        <v>0.70941115353120676</v>
      </c>
      <c r="C270" s="18">
        <f>IF($A270&gt;'1-Input'!$B$26,0,(MAX(0,B231-IF($A270&gt;='1-Input'!$C$12,'1-Input'!$B$12,0))-MIN(MAX(F269,0),MAX(0,B231-IF($A270&gt;='1-Input'!$C$12,'1-Input'!$B$12,0))))*(1/(1-'P-Parametri'!$B$6*B270))+MIN(MAX(0,G269-(MAX(0,B231-IF($A270&gt;='1-Input'!$C$12,'1-Input'!$B$12,0))-MIN(MAX(F269,0),MAX(0,B231-IF($A270&gt;='1-Input'!$C$12,'1-Input'!$B$12,0))))*(1/(1-'P-Parametri'!$B$6*B270))),MAX(0,0*B231-(F269-MIN(MAX(F269,0),MAX(0,B231-IF($A270&gt;='1-Input'!$C$12,'1-Input'!$B$12,0)))))*(1/(1-'P-Parametri'!$B$6*B270))))</f>
        <v>6840.8241156408239</v>
      </c>
      <c r="D270" s="18">
        <f>IF($A270&gt;'1-Input'!$B$26,F269,(F269-MAX(0,B231-IF($A270&gt;='1-Input'!$C$12,'1-Input'!$B$12,0))+C270*(1-'P-Parametri'!$B$6*B270))*(1+ROUND('3-Liquidita'!$F$7,4)))</f>
        <v>0</v>
      </c>
      <c r="E270" s="18">
        <f>IF($A270&gt;'1-Input'!$B$26,G269,(G269-C270)*(1+'5-Roberta'!$C$4))</f>
        <v>230774.05040056957</v>
      </c>
      <c r="F270" s="18">
        <f>IF($A270&gt;'1-Input'!$B$26,D270,D270-'P-Parametri'!$B$8*(E270+D270)+MIN(MAX(E270,0),'P-Parametri'!$B$8*(E270+D270)))</f>
        <v>0</v>
      </c>
      <c r="G270" s="18">
        <f>IF($A270&gt;'1-Input'!$B$26,E270,E270-MIN(MAX(E270,0),'P-Parametri'!$B$8*(E270+D270)))</f>
        <v>230312.50229976844</v>
      </c>
      <c r="H270" s="18">
        <f>IF($A270&gt;'1-Input'!$B$26,H269,H269-C270*(1-B270))</f>
        <v>65107.150583332688</v>
      </c>
      <c r="I270" s="11">
        <f>IF($A270&gt;'1-Input'!$B$26,0,IF(N269&lt;=0,0,MAX(0,(N269-O269)/N269)))</f>
        <v>0</v>
      </c>
      <c r="J270" s="18">
        <f>IF($A270&gt;'1-Input'!$B$26,0,(MAX(0,I231-IF($A270&gt;='1-Input'!$C$12,'1-Input'!$B$12,0))-MIN(MAX(M269,0),MAX(0,I231-IF($A270&gt;='1-Input'!$C$12,'1-Input'!$B$12,0))))*(1/(1-'P-Parametri'!$B$6*I270))+MIN(MAX(0,N269-(MAX(0,I231-IF($A270&gt;='1-Input'!$C$12,'1-Input'!$B$12,0))-MIN(MAX(M269,0),MAX(0,I231-IF($A270&gt;='1-Input'!$C$12,'1-Input'!$B$12,0))))*(1/(1-'P-Parametri'!$B$6*I270))),MAX(0,0*I231-(M269-MIN(MAX(M269,0),MAX(0,I231-IF($A270&gt;='1-Input'!$C$12,'1-Input'!$B$12,0)))))*(1/(1-'P-Parametri'!$B$6*I270))))</f>
        <v>10846.756992928691</v>
      </c>
      <c r="K270" s="18">
        <f>IF($A270&gt;'1-Input'!$B$26,M269,(M269-MAX(0,I231-IF($A270&gt;='1-Input'!$C$12,'1-Input'!$B$12,0))+J270*(1-'P-Parametri'!$B$6*I270))*(1+ROUND('3-Liquidita'!$F$7,4)))</f>
        <v>0</v>
      </c>
      <c r="L270" s="18">
        <f>IF($A270&gt;'1-Input'!$B$26,N269,(N269-J270)*(1+'5-Roberta'!$C$4))</f>
        <v>-134102.14456726037</v>
      </c>
      <c r="M270" s="18">
        <f>IF($A270&gt;'1-Input'!$B$26,K270,K270-'P-Parametri'!$B$8*(L270+K270)+MIN(MAX(L270,0),'P-Parametri'!$B$8*(L270+K270)))</f>
        <v>0</v>
      </c>
      <c r="N270" s="18">
        <f>IF($A270&gt;'1-Input'!$B$26,L270,L270-MIN(MAX(L270,0),'P-Parametri'!$B$8*(L270+K270)))</f>
        <v>-133833.94027812584</v>
      </c>
      <c r="O270" s="18">
        <f>IF($A270&gt;'1-Input'!$B$26,O269,O269-J270*(1-I270))</f>
        <v>-110508.54339441226</v>
      </c>
      <c r="P270" s="11">
        <f>IF($A270&gt;'1-Input'!$B$26,0,IF(U269&lt;=0,0,MAX(0,(U269-V269)/U269)))</f>
        <v>0.70941115353120687</v>
      </c>
      <c r="Q270" s="18">
        <f>IF($A270&gt;'1-Input'!$B$26,0,(MAX(0,P231-IF($A270&gt;='1-Input'!$C$12,'1-Input'!$B$12,0))-MIN(MAX(T269,0),MAX(0,P231-IF($A270&gt;='1-Input'!$C$12,'1-Input'!$B$12,0))))*(1/(1-'P-Parametri'!$B$6*P270))+MIN(MAX(0,U269-(MAX(0,P231-IF($A270&gt;='1-Input'!$C$12,'1-Input'!$B$12,0))-MIN(MAX(T269,0),MAX(0,P231-IF($A270&gt;='1-Input'!$C$12,'1-Input'!$B$12,0))))*(1/(1-'P-Parametri'!$B$6*P270))),MAX(0,0*P231-(T269-MIN(MAX(T269,0),MAX(0,P231-IF($A270&gt;='1-Input'!$C$12,'1-Input'!$B$12,0)))))*(1/(1-'P-Parametri'!$B$6*P270))))</f>
        <v>9800.7592681406641</v>
      </c>
      <c r="R270" s="18">
        <f>IF($A270&gt;'1-Input'!$B$26,T269,(T269-MAX(0,P231-IF($A270&gt;='1-Input'!$C$12,'1-Input'!$B$12,0))+Q270*(1-'P-Parametri'!$B$6*P270))*(1+ROUND('3-Liquidita'!$F$7,4)))</f>
        <v>-9.1522451839409766E-13</v>
      </c>
      <c r="S270" s="18">
        <f>IF($A270&gt;'1-Input'!$B$26,U269,(U269-Q270)*(1+'5-Roberta'!$C$4))</f>
        <v>51341.845502857577</v>
      </c>
      <c r="T270" s="18">
        <f>IF($A270&gt;'1-Input'!$B$26,R270,R270-'P-Parametri'!$B$8*(S270+R270)+MIN(MAX(S270,0),'P-Parametri'!$B$8*(S270+R270)))</f>
        <v>-9.0949470177292824E-13</v>
      </c>
      <c r="U270" s="18">
        <f>IF($A270&gt;'1-Input'!$B$26,S270,S270-MIN(MAX(S270,0),'P-Parametri'!$B$8*(S270+R270)))</f>
        <v>51239.16181185186</v>
      </c>
      <c r="V270" s="18">
        <f>IF($A270&gt;'1-Input'!$B$26,V269,V269-Q270*(1-P270))</f>
        <v>14484.822971120753</v>
      </c>
      <c r="W270" s="11">
        <f>IF($A270&gt;'1-Input'!$B$26,0,IF(AB269&lt;=0,0,MAX(0,(AB269-AC269)/AB269)))</f>
        <v>0.70941115353120698</v>
      </c>
      <c r="X270" s="18">
        <f>IF($A270&gt;'1-Input'!$B$26,0,(MAX(0,W231-IF($A270&gt;='1-Input'!$C$12,'1-Input'!$B$12,0))-MIN(MAX(AA269,0),MAX(0,W231-IF($A270&gt;='1-Input'!$C$12,'1-Input'!$B$12,0))))*(1/(1-'P-Parametri'!$B$6*W270))+MIN(MAX(0,AB269-(MAX(0,W231-IF($A270&gt;='1-Input'!$C$12,'1-Input'!$B$12,0))-MIN(MAX(AA269,0),MAX(0,W231-IF($A270&gt;='1-Input'!$C$12,'1-Input'!$B$12,0))))*(1/(1-'P-Parametri'!$B$6*W270))),MAX(0,0*W231-(AA269-MIN(MAX(AA269,0),MAX(0,W231-IF($A270&gt;='1-Input'!$C$12,'1-Input'!$B$12,0)))))*(1/(1-'P-Parametri'!$B$6*W270))))</f>
        <v>9486.5234228266963</v>
      </c>
      <c r="Y270" s="18">
        <f>IF($A270&gt;'1-Input'!$B$26,AA269,(AA269-MAX(0,W231-IF($A270&gt;='1-Input'!$C$12,'1-Input'!$B$12,0))+X270*(1-'P-Parametri'!$B$6*W270))*(1+ROUND('3-Liquidita'!$F$7,4)))</f>
        <v>-9.1522451839409766E-13</v>
      </c>
      <c r="Z270" s="18">
        <f>IF($A270&gt;'1-Input'!$B$26,AB269,(AB269-X270)*(1+'5-Roberta'!$C$4))</f>
        <v>70390.921809466468</v>
      </c>
      <c r="AA270" s="18">
        <f>IF($A270&gt;'1-Input'!$B$26,Y270,Y270-'P-Parametri'!$B$8*(Z270+Y270)+MIN(MAX(Z270,0),'P-Parametri'!$B$8*(Z270+Y270)))</f>
        <v>-9.0949470177292824E-13</v>
      </c>
      <c r="AB270" s="18">
        <f>IF($A270&gt;'1-Input'!$B$26,Z270,Z270-MIN(MAX(Z270,0),'P-Parametri'!$B$8*(Z270+Y270)))</f>
        <v>70250.139965847542</v>
      </c>
      <c r="AC270" s="18">
        <f>IF($A270&gt;'1-Input'!$B$26,AC269,AC269-X270*(1-W270))</f>
        <v>19859.04540824064</v>
      </c>
      <c r="AD270" s="11">
        <f>IF($A270&gt;'1-Input'!$B$26,0,IF(AI269&lt;=0,0,MAX(0,(AI269-AJ269)/AI269)))</f>
        <v>0.70941115353120732</v>
      </c>
      <c r="AE270" s="18">
        <f>IF($A270&gt;'1-Input'!$B$26,0,(MAX(0,AD231-IF($A270&gt;='1-Input'!$C$12,'1-Input'!$B$12,0))-MIN(MAX(AH269,0),MAX(0,AD231-IF($A270&gt;='1-Input'!$C$12,'1-Input'!$B$12,0))))*(1/(1-'P-Parametri'!$B$6*AD270))+MIN(MAX(0,AI269-(MAX(0,AD231-IF($A270&gt;='1-Input'!$C$12,'1-Input'!$B$12,0))-MIN(MAX(AH269,0),MAX(0,AD231-IF($A270&gt;='1-Input'!$C$12,'1-Input'!$B$12,0))))*(1/(1-'P-Parametri'!$B$6*AD270))),MAX(0,0*AD231-(AH269-MIN(MAX(AH269,0),MAX(0,AD231-IF($A270&gt;='1-Input'!$C$12,'1-Input'!$B$12,0)))))*(1/(1-'P-Parametri'!$B$6*AD270))))</f>
        <v>9494.841048595863</v>
      </c>
      <c r="AF270" s="18">
        <f>IF($A270&gt;'1-Input'!$B$26,AH269,(AH269-MAX(0,AD231-IF($A270&gt;='1-Input'!$C$12,'1-Input'!$B$12,0))+AE270*(1-'P-Parametri'!$B$6*AD270))*(1+ROUND('3-Liquidita'!$F$7,4)))</f>
        <v>9.1522451839409766E-13</v>
      </c>
      <c r="AG270" s="18">
        <f>IF($A270&gt;'1-Input'!$B$26,AI269,(AI269-AE270)*(1+'5-Roberta'!$C$4))</f>
        <v>69886.70470524588</v>
      </c>
      <c r="AH270" s="18">
        <f>IF($A270&gt;'1-Input'!$B$26,AF270,AF270-'P-Parametri'!$B$8*(AG270+AF270)+MIN(MAX(AG270,0),'P-Parametri'!$B$8*(AG270+AF270)))</f>
        <v>9.0949470177292824E-13</v>
      </c>
      <c r="AI270" s="18">
        <f>IF($A270&gt;'1-Input'!$B$26,AG270,AG270-MIN(MAX(AG270,0),'P-Parametri'!$B$8*(AG270+AF270)))</f>
        <v>69746.931295835384</v>
      </c>
      <c r="AJ270" s="18">
        <f>IF($A270&gt;'1-Input'!$B$26,AJ269,AJ269-AE270*(1-AD270))</f>
        <v>19716.793110487906</v>
      </c>
      <c r="AK270" s="11">
        <f>IF($A270&gt;'1-Input'!$B$26,0,IF(AP269&lt;=0,0,MAX(0,(AP269-AQ269)/AP269)))</f>
        <v>0.70941115353120687</v>
      </c>
      <c r="AL270" s="18">
        <f>IF($A270&gt;'1-Input'!$B$26,0,(MAX(0,AK231-IF($A270&gt;='1-Input'!$C$12,'1-Input'!$B$12,0))-MIN(MAX(AO269,0),MAX(0,AK231-IF($A270&gt;='1-Input'!$C$12,'1-Input'!$B$12,0))))*(1/(1-'P-Parametri'!$B$6*AK270))+MIN(MAX(0,AP269-(MAX(0,AK231-IF($A270&gt;='1-Input'!$C$12,'1-Input'!$B$12,0))-MIN(MAX(AO269,0),MAX(0,AK231-IF($A270&gt;='1-Input'!$C$12,'1-Input'!$B$12,0))))*(1/(1-'P-Parametri'!$B$6*AK270))),MAX(0,0*AK231-(AO269-MIN(MAX(AO269,0),MAX(0,AK231-IF($A270&gt;='1-Input'!$C$12,'1-Input'!$B$12,0)))))*(1/(1-'P-Parametri'!$B$6*AK270))))</f>
        <v>9493.54947456429</v>
      </c>
      <c r="AM270" s="18">
        <f>IF($A270&gt;'1-Input'!$B$26,AO269,(AO269-MAX(0,AK231-IF($A270&gt;='1-Input'!$C$12,'1-Input'!$B$12,0))+AL270*(1-'P-Parametri'!$B$6*AK270))*(1+ROUND('3-Liquidita'!$F$7,4)))</f>
        <v>0</v>
      </c>
      <c r="AN270" s="18">
        <f>IF($A270&gt;'1-Input'!$B$26,AP269,(AP269-AL270)*(1+'5-Roberta'!$C$4))</f>
        <v>69965.000331443924</v>
      </c>
      <c r="AO270" s="18">
        <f>IF($A270&gt;'1-Input'!$B$26,AM270,AM270-'P-Parametri'!$B$8*(AN270+AM270)+MIN(MAX(AN270,0),'P-Parametri'!$B$8*(AN270+AM270)))</f>
        <v>0</v>
      </c>
      <c r="AP270" s="18">
        <f>IF($A270&gt;'1-Input'!$B$26,AN270,AN270-MIN(MAX(AN270,0),'P-Parametri'!$B$8*(AN270+AM270)))</f>
        <v>69825.070330781033</v>
      </c>
      <c r="AQ270" s="18">
        <f>IF($A270&gt;'1-Input'!$B$26,AQ269,AQ269-AL270*(1-AK270))</f>
        <v>19738.882271362156</v>
      </c>
    </row>
    <row r="271" spans="1:43">
      <c r="A271" s="10">
        <f>38</f>
        <v>38</v>
      </c>
      <c r="B271" s="11">
        <f>IF($A271&gt;'1-Input'!$B$26,0,IF(G270&lt;=0,0,MAX(0,(G270-H270)/G270)))</f>
        <v>0.71730952539176096</v>
      </c>
      <c r="C271" s="18">
        <f>IF($A271&gt;'1-Input'!$B$26,0,(MAX(0,B231-IF($A271&gt;='1-Input'!$C$12,'1-Input'!$B$12,0))-MIN(MAX(F270,0),MAX(0,B231-IF($A271&gt;='1-Input'!$C$12,'1-Input'!$B$12,0))))*(1/(1-'P-Parametri'!$B$6*B271))+MIN(MAX(0,G270-(MAX(0,B231-IF($A271&gt;='1-Input'!$C$12,'1-Input'!$B$12,0))-MIN(MAX(F270,0),MAX(0,B231-IF($A271&gt;='1-Input'!$C$12,'1-Input'!$B$12,0))))*(1/(1-'P-Parametri'!$B$6*B271))),MAX(0,0*B231-(F270-MIN(MAX(F270,0),MAX(0,B231-IF($A271&gt;='1-Input'!$C$12,'1-Input'!$B$12,0)))))*(1/(1-'P-Parametri'!$B$6*B271))))</f>
        <v>6858.0929111316846</v>
      </c>
      <c r="D271" s="18">
        <f>IF($A271&gt;'1-Input'!$B$26,F270,(F270-MAX(0,B231-IF($A271&gt;='1-Input'!$C$12,'1-Input'!$B$12,0))+C271*(1-'P-Parametri'!$B$6*B271))*(1+ROUND('3-Liquidita'!$F$7,4)))</f>
        <v>0</v>
      </c>
      <c r="E271" s="18">
        <f>IF($A271&gt;'1-Input'!$B$26,G270,(G270-C271)*(1+'5-Roberta'!$C$4))</f>
        <v>230158.04167029588</v>
      </c>
      <c r="F271" s="18">
        <f>IF($A271&gt;'1-Input'!$B$26,D271,D271-'P-Parametri'!$B$8*(E271+D271)+MIN(MAX(E271,0),'P-Parametri'!$B$8*(E271+D271)))</f>
        <v>0</v>
      </c>
      <c r="G271" s="18">
        <f>IF($A271&gt;'1-Input'!$B$26,E271,E271-MIN(MAX(E271,0),'P-Parametri'!$B$8*(E271+D271)))</f>
        <v>229697.72558695529</v>
      </c>
      <c r="H271" s="18">
        <f>IF($A271&gt;'1-Input'!$B$26,H270,H270-C271*(1-B271))</f>
        <v>63168.433043377474</v>
      </c>
      <c r="I271" s="11">
        <f>IF($A271&gt;'1-Input'!$B$26,0,IF(N270&lt;=0,0,MAX(0,(N270-O270)/N270)))</f>
        <v>0</v>
      </c>
      <c r="J271" s="18">
        <f>IF($A271&gt;'1-Input'!$B$26,0,(MAX(0,I231-IF($A271&gt;='1-Input'!$C$12,'1-Input'!$B$12,0))-MIN(MAX(M270,0),MAX(0,I231-IF($A271&gt;='1-Input'!$C$12,'1-Input'!$B$12,0))))*(1/(1-'P-Parametri'!$B$6*I271))+MIN(MAX(0,N270-(MAX(0,I231-IF($A271&gt;='1-Input'!$C$12,'1-Input'!$B$12,0))-MIN(MAX(M270,0),MAX(0,I231-IF($A271&gt;='1-Input'!$C$12,'1-Input'!$B$12,0))))*(1/(1-'P-Parametri'!$B$6*I271))),MAX(0,0*I231-(M270-MIN(MAX(M270,0),MAX(0,I231-IF($A271&gt;='1-Input'!$C$12,'1-Input'!$B$12,0)))))*(1/(1-'P-Parametri'!$B$6*I271))))</f>
        <v>10846.756992928691</v>
      </c>
      <c r="K271" s="18">
        <f>IF($A271&gt;'1-Input'!$B$26,M270,(M270-MAX(0,I231-IF($A271&gt;='1-Input'!$C$12,'1-Input'!$B$12,0))+J271*(1-'P-Parametri'!$B$6*I271))*(1+ROUND('3-Liquidita'!$F$7,4)))</f>
        <v>0</v>
      </c>
      <c r="L271" s="18">
        <f>IF($A271&gt;'1-Input'!$B$26,N270,(N270-J271)*(1+'5-Roberta'!$C$4))</f>
        <v>-149021.11818918615</v>
      </c>
      <c r="M271" s="18">
        <f>IF($A271&gt;'1-Input'!$B$26,K271,K271-'P-Parametri'!$B$8*(L271+K271)+MIN(MAX(L271,0),'P-Parametri'!$B$8*(L271+K271)))</f>
        <v>0</v>
      </c>
      <c r="N271" s="18">
        <f>IF($A271&gt;'1-Input'!$B$26,L271,L271-MIN(MAX(L271,0),'P-Parametri'!$B$8*(L271+K271)))</f>
        <v>-148723.07595280779</v>
      </c>
      <c r="O271" s="18">
        <f>IF($A271&gt;'1-Input'!$B$26,O270,O270-J271*(1-I271))</f>
        <v>-121355.30038734095</v>
      </c>
      <c r="P271" s="11">
        <f>IF($A271&gt;'1-Input'!$B$26,0,IF(U270&lt;=0,0,MAX(0,(U270-V270)/U270)))</f>
        <v>0.71730952539176107</v>
      </c>
      <c r="Q271" s="18">
        <f>IF($A271&gt;'1-Input'!$B$26,0,(MAX(0,P231-IF($A271&gt;='1-Input'!$C$12,'1-Input'!$B$12,0))-MIN(MAX(T270,0),MAX(0,P231-IF($A271&gt;='1-Input'!$C$12,'1-Input'!$B$12,0))))*(1/(1-'P-Parametri'!$B$6*P271))+MIN(MAX(0,U270-(MAX(0,P231-IF($A271&gt;='1-Input'!$C$12,'1-Input'!$B$12,0))-MIN(MAX(T270,0),MAX(0,P231-IF($A271&gt;='1-Input'!$C$12,'1-Input'!$B$12,0))))*(1/(1-'P-Parametri'!$B$6*P271))),MAX(0,0*P231-(T270-MIN(MAX(T270,0),MAX(0,P231-IF($A271&gt;='1-Input'!$C$12,'1-Input'!$B$12,0)))))*(1/(1-'P-Parametri'!$B$6*P271))))</f>
        <v>9825.5000456545495</v>
      </c>
      <c r="R271" s="18">
        <f>IF($A271&gt;'1-Input'!$B$26,T270,(T270-MAX(0,P231-IF($A271&gt;='1-Input'!$C$12,'1-Input'!$B$12,0))+Q271*(1-'P-Parametri'!$B$6*P271))*(1+ROUND('3-Liquidita'!$F$7,4)))</f>
        <v>0</v>
      </c>
      <c r="S271" s="18">
        <f>IF($A271&gt;'1-Input'!$B$26,U270,(U270-Q271)*(1+'5-Roberta'!$C$4))</f>
        <v>42656.071619183233</v>
      </c>
      <c r="T271" s="18">
        <f>IF($A271&gt;'1-Input'!$B$26,R271,R271-'P-Parametri'!$B$8*(S271+R271)+MIN(MAX(S271,0),'P-Parametri'!$B$8*(S271+R271)))</f>
        <v>0</v>
      </c>
      <c r="U271" s="18">
        <f>IF($A271&gt;'1-Input'!$B$26,S271,S271-MIN(MAX(S271,0),'P-Parametri'!$B$8*(S271+R271)))</f>
        <v>42570.759475944869</v>
      </c>
      <c r="V271" s="18">
        <f>IF($A271&gt;'1-Input'!$B$26,V270,V270-Q271*(1-P271))</f>
        <v>11707.247699951395</v>
      </c>
      <c r="W271" s="11">
        <f>IF($A271&gt;'1-Input'!$B$26,0,IF(AB270&lt;=0,0,MAX(0,(AB270-AC270)/AB270)))</f>
        <v>0.71730952539176129</v>
      </c>
      <c r="X271" s="18">
        <f>IF($A271&gt;'1-Input'!$B$26,0,(MAX(0,W231-IF($A271&gt;='1-Input'!$C$12,'1-Input'!$B$12,0))-MIN(MAX(AA270,0),MAX(0,W231-IF($A271&gt;='1-Input'!$C$12,'1-Input'!$B$12,0))))*(1/(1-'P-Parametri'!$B$6*W271))+MIN(MAX(0,AB270-(MAX(0,W231-IF($A271&gt;='1-Input'!$C$12,'1-Input'!$B$12,0))-MIN(MAX(AA270,0),MAX(0,W231-IF($A271&gt;='1-Input'!$C$12,'1-Input'!$B$12,0))))*(1/(1-'P-Parametri'!$B$6*W271))),MAX(0,0*W231-(AA270-MIN(MAX(AA270,0),MAX(0,W231-IF($A271&gt;='1-Input'!$C$12,'1-Input'!$B$12,0)))))*(1/(1-'P-Parametri'!$B$6*W271))))</f>
        <v>9510.4709516826897</v>
      </c>
      <c r="Y271" s="18">
        <f>IF($A271&gt;'1-Input'!$B$26,AA270,(AA270-MAX(0,W231-IF($A271&gt;='1-Input'!$C$12,'1-Input'!$B$12,0))+X271*(1-'P-Parametri'!$B$6*W271))*(1+ROUND('3-Liquidita'!$F$7,4)))</f>
        <v>9.1522451839409766E-13</v>
      </c>
      <c r="Z271" s="18">
        <f>IF($A271&gt;'1-Input'!$B$26,AB270,(AB270-X271)*(1+'5-Roberta'!$C$4))</f>
        <v>62561.8590845898</v>
      </c>
      <c r="AA271" s="18">
        <f>IF($A271&gt;'1-Input'!$B$26,Y271,Y271-'P-Parametri'!$B$8*(Z271+Y271)+MIN(MAX(Z271,0),'P-Parametri'!$B$8*(Z271+Y271)))</f>
        <v>9.0949470177292824E-13</v>
      </c>
      <c r="AB271" s="18">
        <f>IF($A271&gt;'1-Input'!$B$26,Z271,Z271-MIN(MAX(Z271,0),'P-Parametri'!$B$8*(Z271+Y271)))</f>
        <v>62436.735366420617</v>
      </c>
      <c r="AC271" s="18">
        <f>IF($A271&gt;'1-Input'!$B$26,AC270,AC270-X271*(1-W271))</f>
        <v>17170.525861161594</v>
      </c>
      <c r="AD271" s="11">
        <f>IF($A271&gt;'1-Input'!$B$26,0,IF(AI270&lt;=0,0,MAX(0,(AI270-AJ270)/AI270)))</f>
        <v>0.71730952539176152</v>
      </c>
      <c r="AE271" s="18">
        <f>IF($A271&gt;'1-Input'!$B$26,0,(MAX(0,AD231-IF($A271&gt;='1-Input'!$C$12,'1-Input'!$B$12,0))-MIN(MAX(AH270,0),MAX(0,AD231-IF($A271&gt;='1-Input'!$C$12,'1-Input'!$B$12,0))))*(1/(1-'P-Parametri'!$B$6*AD271))+MIN(MAX(0,AI270-(MAX(0,AD231-IF($A271&gt;='1-Input'!$C$12,'1-Input'!$B$12,0))-MIN(MAX(AH270,0),MAX(0,AD231-IF($A271&gt;='1-Input'!$C$12,'1-Input'!$B$12,0))))*(1/(1-'P-Parametri'!$B$6*AD271))),MAX(0,0*AD231-(AH270-MIN(MAX(AH270,0),MAX(0,AD231-IF($A271&gt;='1-Input'!$C$12,'1-Input'!$B$12,0)))))*(1/(1-'P-Parametri'!$B$6*AD271))))</f>
        <v>9518.8095742463775</v>
      </c>
      <c r="AF271" s="18">
        <f>IF($A271&gt;'1-Input'!$B$26,AH270,(AH270-MAX(0,AD231-IF($A271&gt;='1-Input'!$C$12,'1-Input'!$B$12,0))+AE271*(1-'P-Parametri'!$B$6*AD271))*(1+ROUND('3-Liquidita'!$F$7,4)))</f>
        <v>0</v>
      </c>
      <c r="AG271" s="18">
        <f>IF($A271&gt;'1-Input'!$B$26,AI270,(AI270-AE271)*(1+'5-Roberta'!$C$4))</f>
        <v>62034.965373236679</v>
      </c>
      <c r="AH271" s="18">
        <f>IF($A271&gt;'1-Input'!$B$26,AF271,AF271-'P-Parametri'!$B$8*(AG271+AF271)+MIN(MAX(AG271,0),'P-Parametri'!$B$8*(AG271+AF271)))</f>
        <v>0</v>
      </c>
      <c r="AI271" s="18">
        <f>IF($A271&gt;'1-Input'!$B$26,AG271,AG271-MIN(MAX(AG271,0),'P-Parametri'!$B$8*(AG271+AF271)))</f>
        <v>61910.895442490204</v>
      </c>
      <c r="AJ271" s="18">
        <f>IF($A271&gt;'1-Input'!$B$26,AJ270,AJ270-AE271*(1-AD271))</f>
        <v>17025.916314238755</v>
      </c>
      <c r="AK271" s="11">
        <f>IF($A271&gt;'1-Input'!$B$26,0,IF(AP270&lt;=0,0,MAX(0,(AP270-AQ270)/AP270)))</f>
        <v>0.71730952539176107</v>
      </c>
      <c r="AL271" s="18">
        <f>IF($A271&gt;'1-Input'!$B$26,0,(MAX(0,AK231-IF($A271&gt;='1-Input'!$C$12,'1-Input'!$B$12,0))-MIN(MAX(AO270,0),MAX(0,AK231-IF($A271&gt;='1-Input'!$C$12,'1-Input'!$B$12,0))))*(1/(1-'P-Parametri'!$B$6*AK271))+MIN(MAX(0,AP270-(MAX(0,AK231-IF($A271&gt;='1-Input'!$C$12,'1-Input'!$B$12,0))-MIN(MAX(AO270,0),MAX(0,AK231-IF($A271&gt;='1-Input'!$C$12,'1-Input'!$B$12,0))))*(1/(1-'P-Parametri'!$B$6*AK271))),MAX(0,0*AK231-(AO270-MIN(MAX(AO270,0),MAX(0,AK231-IF($A271&gt;='1-Input'!$C$12,'1-Input'!$B$12,0)))))*(1/(1-'P-Parametri'!$B$6*AK271))))</f>
        <v>9517.5147397994788</v>
      </c>
      <c r="AM271" s="18">
        <f>IF($A271&gt;'1-Input'!$B$26,AO270,(AO270-MAX(0,AK231-IF($A271&gt;='1-Input'!$C$12,'1-Input'!$B$12,0))+AL271*(1-'P-Parametri'!$B$6*AK271))*(1+ROUND('3-Liquidita'!$F$7,4)))</f>
        <v>-9.1522451839409766E-13</v>
      </c>
      <c r="AN271" s="18">
        <f>IF($A271&gt;'1-Input'!$B$26,AP270,(AP270-AL271)*(1+'5-Roberta'!$C$4))</f>
        <v>62116.782258710999</v>
      </c>
      <c r="AO271" s="18">
        <f>IF($A271&gt;'1-Input'!$B$26,AM271,AM271-'P-Parametri'!$B$8*(AN271+AM271)+MIN(MAX(AN271,0),'P-Parametri'!$B$8*(AN271+AM271)))</f>
        <v>-9.0949470177292824E-13</v>
      </c>
      <c r="AP271" s="18">
        <f>IF($A271&gt;'1-Input'!$B$26,AN271,AN271-MIN(MAX(AN271,0),'P-Parametri'!$B$8*(AN271+AM271)))</f>
        <v>61992.548694193574</v>
      </c>
      <c r="AQ271" s="18">
        <f>IF($A271&gt;'1-Input'!$B$26,AQ270,AQ270-AL271*(1-AK271))</f>
        <v>17048.37151247733</v>
      </c>
    </row>
    <row r="272" spans="1:43">
      <c r="A272" s="10">
        <f>39</f>
        <v>39</v>
      </c>
      <c r="B272" s="11">
        <f>IF($A272&gt;'1-Input'!$B$26,0,IF(G271&lt;=0,0,MAX(0,(G271-H271)/G271)))</f>
        <v>0.72499321496562152</v>
      </c>
      <c r="C272" s="18">
        <f>IF($A272&gt;'1-Input'!$B$26,0,(MAX(0,B231-IF($A272&gt;='1-Input'!$C$12,'1-Input'!$B$12,0))-MIN(MAX(F271,0),MAX(0,B231-IF($A272&gt;='1-Input'!$C$12,'1-Input'!$B$12,0))))*(1/(1-'P-Parametri'!$B$6*B272))+MIN(MAX(0,G271-(MAX(0,B231-IF($A272&gt;='1-Input'!$C$12,'1-Input'!$B$12,0))-MIN(MAX(F271,0),MAX(0,B231-IF($A272&gt;='1-Input'!$C$12,'1-Input'!$B$12,0))))*(1/(1-'P-Parametri'!$B$6*B272))),MAX(0,0*B231-(F271-MIN(MAX(F271,0),MAX(0,B231-IF($A272&gt;='1-Input'!$C$12,'1-Input'!$B$12,0)))))*(1/(1-'P-Parametri'!$B$6*B272))))</f>
        <v>6874.9762001464405</v>
      </c>
      <c r="D272" s="18">
        <f>IF($A272&gt;'1-Input'!$B$26,F271,(F271-MAX(0,B231-IF($A272&gt;='1-Input'!$C$12,'1-Input'!$B$12,0))+C272*(1-'P-Parametri'!$B$6*B272))*(1+ROUND('3-Liquidita'!$F$7,4)))</f>
        <v>0</v>
      </c>
      <c r="E272" s="18">
        <f>IF($A272&gt;'1-Input'!$B$26,G271,(G271-C272)*(1+'5-Roberta'!$C$4))</f>
        <v>229507.43186841311</v>
      </c>
      <c r="F272" s="18">
        <f>IF($A272&gt;'1-Input'!$B$26,D272,D272-'P-Parametri'!$B$8*(E272+D272)+MIN(MAX(E272,0),'P-Parametri'!$B$8*(E272+D272)))</f>
        <v>0</v>
      </c>
      <c r="G272" s="18">
        <f>IF($A272&gt;'1-Input'!$B$26,E272,E272-MIN(MAX(E272,0),'P-Parametri'!$B$8*(E272+D272)))</f>
        <v>229048.41700467627</v>
      </c>
      <c r="H272" s="18">
        <f>IF($A272&gt;'1-Input'!$B$26,H271,H271-C272*(1-B272))</f>
        <v>61277.767941387334</v>
      </c>
      <c r="I272" s="11">
        <f>IF($A272&gt;'1-Input'!$B$26,0,IF(N271&lt;=0,0,MAX(0,(N271-O271)/N271)))</f>
        <v>0</v>
      </c>
      <c r="J272" s="18">
        <f>IF($A272&gt;'1-Input'!$B$26,0,(MAX(0,I231-IF($A272&gt;='1-Input'!$C$12,'1-Input'!$B$12,0))-MIN(MAX(M271,0),MAX(0,I231-IF($A272&gt;='1-Input'!$C$12,'1-Input'!$B$12,0))))*(1/(1-'P-Parametri'!$B$6*I272))+MIN(MAX(0,N271-(MAX(0,I231-IF($A272&gt;='1-Input'!$C$12,'1-Input'!$B$12,0))-MIN(MAX(M271,0),MAX(0,I231-IF($A272&gt;='1-Input'!$C$12,'1-Input'!$B$12,0))))*(1/(1-'P-Parametri'!$B$6*I272))),MAX(0,0*I231-(M271-MIN(MAX(M271,0),MAX(0,I231-IF($A272&gt;='1-Input'!$C$12,'1-Input'!$B$12,0)))))*(1/(1-'P-Parametri'!$B$6*I272))))</f>
        <v>10846.756992928691</v>
      </c>
      <c r="K272" s="18">
        <f>IF($A272&gt;'1-Input'!$B$26,M271,(M271-MAX(0,I231-IF($A272&gt;='1-Input'!$C$12,'1-Input'!$B$12,0))+J272*(1-'P-Parametri'!$B$6*I272))*(1+ROUND('3-Liquidita'!$F$7,4)))</f>
        <v>0</v>
      </c>
      <c r="L272" s="18">
        <f>IF($A272&gt;'1-Input'!$B$26,N271,(N271-J272)*(1+'5-Roberta'!$C$4))</f>
        <v>-164356.92793410856</v>
      </c>
      <c r="M272" s="18">
        <f>IF($A272&gt;'1-Input'!$B$26,K272,K272-'P-Parametri'!$B$8*(L272+K272)+MIN(MAX(L272,0),'P-Parametri'!$B$8*(L272+K272)))</f>
        <v>0</v>
      </c>
      <c r="N272" s="18">
        <f>IF($A272&gt;'1-Input'!$B$26,L272,L272-MIN(MAX(L272,0),'P-Parametri'!$B$8*(L272+K272)))</f>
        <v>-164028.21407824036</v>
      </c>
      <c r="O272" s="18">
        <f>IF($A272&gt;'1-Input'!$B$26,O271,O271-J272*(1-I272))</f>
        <v>-132202.05738026963</v>
      </c>
      <c r="P272" s="11">
        <f>IF($A272&gt;'1-Input'!$B$26,0,IF(U271&lt;=0,0,MAX(0,(U271-V271)/U271)))</f>
        <v>0.72499321496562164</v>
      </c>
      <c r="Q272" s="18">
        <f>IF($A272&gt;'1-Input'!$B$26,0,(MAX(0,P231-IF($A272&gt;='1-Input'!$C$12,'1-Input'!$B$12,0))-MIN(MAX(T271,0),MAX(0,P231-IF($A272&gt;='1-Input'!$C$12,'1-Input'!$B$12,0))))*(1/(1-'P-Parametri'!$B$6*P272))+MIN(MAX(0,U271-(MAX(0,P231-IF($A272&gt;='1-Input'!$C$12,'1-Input'!$B$12,0))-MIN(MAX(T271,0),MAX(0,P231-IF($A272&gt;='1-Input'!$C$12,'1-Input'!$B$12,0))))*(1/(1-'P-Parametri'!$B$6*P272))),MAX(0,0*P231-(T271-MIN(MAX(T271,0),MAX(0,P231-IF($A272&gt;='1-Input'!$C$12,'1-Input'!$B$12,0)))))*(1/(1-'P-Parametri'!$B$6*P272))))</f>
        <v>9849.6885130805331</v>
      </c>
      <c r="R272" s="18">
        <f>IF($A272&gt;'1-Input'!$B$26,T271,(T271-MAX(0,P231-IF($A272&gt;='1-Input'!$C$12,'1-Input'!$B$12,0))+Q272*(1-'P-Parametri'!$B$6*P272))*(1+ROUND('3-Liquidita'!$F$7,4)))</f>
        <v>0</v>
      </c>
      <c r="S272" s="18">
        <f>IF($A272&gt;'1-Input'!$B$26,U271,(U271-Q272)*(1+'5-Roberta'!$C$4))</f>
        <v>33702.703091750271</v>
      </c>
      <c r="T272" s="18">
        <f>IF($A272&gt;'1-Input'!$B$26,R272,R272-'P-Parametri'!$B$8*(S272+R272)+MIN(MAX(S272,0),'P-Parametri'!$B$8*(S272+R272)))</f>
        <v>0</v>
      </c>
      <c r="U272" s="18">
        <f>IF($A272&gt;'1-Input'!$B$26,S272,S272-MIN(MAX(S272,0),'P-Parametri'!$B$8*(S272+R272)))</f>
        <v>33635.297685566773</v>
      </c>
      <c r="V272" s="18">
        <f>IF($A272&gt;'1-Input'!$B$26,V271,V271-Q272*(1-P272))</f>
        <v>8998.5165283790702</v>
      </c>
      <c r="W272" s="11">
        <f>IF($A272&gt;'1-Input'!$B$26,0,IF(AB271&lt;=0,0,MAX(0,(AB271-AC271)/AB271)))</f>
        <v>0.72499321496562175</v>
      </c>
      <c r="X272" s="18">
        <f>IF($A272&gt;'1-Input'!$B$26,0,(MAX(0,W231-IF($A272&gt;='1-Input'!$C$12,'1-Input'!$B$12,0))-MIN(MAX(AA271,0),MAX(0,W231-IF($A272&gt;='1-Input'!$C$12,'1-Input'!$B$12,0))))*(1/(1-'P-Parametri'!$B$6*W272))+MIN(MAX(0,AB271-(MAX(0,W231-IF($A272&gt;='1-Input'!$C$12,'1-Input'!$B$12,0))-MIN(MAX(AA271,0),MAX(0,W231-IF($A272&gt;='1-Input'!$C$12,'1-Input'!$B$12,0))))*(1/(1-'P-Parametri'!$B$6*W272))),MAX(0,0*W231-(AA271-MIN(MAX(AA271,0),MAX(0,W231-IF($A272&gt;='1-Input'!$C$12,'1-Input'!$B$12,0)))))*(1/(1-'P-Parametri'!$B$6*W272))))</f>
        <v>9533.8838788366866</v>
      </c>
      <c r="Y272" s="18">
        <f>IF($A272&gt;'1-Input'!$B$26,AA271,(AA271-MAX(0,W231-IF($A272&gt;='1-Input'!$C$12,'1-Input'!$B$12,0))+X272*(1-'P-Parametri'!$B$6*W272))*(1+ROUND('3-Liquidita'!$F$7,4)))</f>
        <v>0</v>
      </c>
      <c r="Z272" s="18">
        <f>IF($A272&gt;'1-Input'!$B$26,AB271,(AB271-X272)*(1+'5-Roberta'!$C$4))</f>
        <v>54489.937032211448</v>
      </c>
      <c r="AA272" s="18">
        <f>IF($A272&gt;'1-Input'!$B$26,Y272,Y272-'P-Parametri'!$B$8*(Z272+Y272)+MIN(MAX(Z272,0),'P-Parametri'!$B$8*(Z272+Y272)))</f>
        <v>0</v>
      </c>
      <c r="AB272" s="18">
        <f>IF($A272&gt;'1-Input'!$B$26,Z272,Z272-MIN(MAX(Z272,0),'P-Parametri'!$B$8*(Z272+Y272)))</f>
        <v>54380.957158147023</v>
      </c>
      <c r="AC272" s="18">
        <f>IF($A272&gt;'1-Input'!$B$26,AC271,AC271-X272*(1-W272))</f>
        <v>14548.643106751628</v>
      </c>
      <c r="AD272" s="11">
        <f>IF($A272&gt;'1-Input'!$B$26,0,IF(AI271&lt;=0,0,MAX(0,(AI271-AJ271)/AI271)))</f>
        <v>0.72499321496562197</v>
      </c>
      <c r="AE272" s="18">
        <f>IF($A272&gt;'1-Input'!$B$26,0,(MAX(0,AD231-IF($A272&gt;='1-Input'!$C$12,'1-Input'!$B$12,0))-MIN(MAX(AH271,0),MAX(0,AD231-IF($A272&gt;='1-Input'!$C$12,'1-Input'!$B$12,0))))*(1/(1-'P-Parametri'!$B$6*AD272))+MIN(MAX(0,AI271-(MAX(0,AD231-IF($A272&gt;='1-Input'!$C$12,'1-Input'!$B$12,0))-MIN(MAX(AH271,0),MAX(0,AD231-IF($A272&gt;='1-Input'!$C$12,'1-Input'!$B$12,0))))*(1/(1-'P-Parametri'!$B$6*AD272))),MAX(0,0*AD231-(AH271-MIN(MAX(AH271,0),MAX(0,AD231-IF($A272&gt;='1-Input'!$C$12,'1-Input'!$B$12,0)))))*(1/(1-'P-Parametri'!$B$6*AD272))))</f>
        <v>9542.2430294650403</v>
      </c>
      <c r="AF272" s="18">
        <f>IF($A272&gt;'1-Input'!$B$26,AH271,(AH271-MAX(0,AD231-IF($A272&gt;='1-Input'!$C$12,'1-Input'!$B$12,0))+AE272*(1-'P-Parametri'!$B$6*AD272))*(1+ROUND('3-Liquidita'!$F$7,4)))</f>
        <v>0</v>
      </c>
      <c r="AG272" s="18">
        <f>IF($A272&gt;'1-Input'!$B$26,AI271,(AI271-AE272)*(1+'5-Roberta'!$C$4))</f>
        <v>53939.711985415917</v>
      </c>
      <c r="AH272" s="18">
        <f>IF($A272&gt;'1-Input'!$B$26,AF272,AF272-'P-Parametri'!$B$8*(AG272+AF272)+MIN(MAX(AG272,0),'P-Parametri'!$B$8*(AG272+AF272)))</f>
        <v>0</v>
      </c>
      <c r="AI272" s="18">
        <f>IF($A272&gt;'1-Input'!$B$26,AG272,AG272-MIN(MAX(AG272,0),'P-Parametri'!$B$8*(AG272+AF272)))</f>
        <v>53831.832561445088</v>
      </c>
      <c r="AJ272" s="18">
        <f>IF($A272&gt;'1-Input'!$B$26,AJ271,AJ271-AE272*(1-AD272))</f>
        <v>14401.734736688872</v>
      </c>
      <c r="AK272" s="11">
        <f>IF($A272&gt;'1-Input'!$B$26,0,IF(AP271&lt;=0,0,MAX(0,(AP271-AQ271)/AP271)))</f>
        <v>0.72499321496562152</v>
      </c>
      <c r="AL272" s="18">
        <f>IF($A272&gt;'1-Input'!$B$26,0,(MAX(0,AK231-IF($A272&gt;='1-Input'!$C$12,'1-Input'!$B$12,0))-MIN(MAX(AO271,0),MAX(0,AK231-IF($A272&gt;='1-Input'!$C$12,'1-Input'!$B$12,0))))*(1/(1-'P-Parametri'!$B$6*AK272))+MIN(MAX(0,AP271-(MAX(0,AK231-IF($A272&gt;='1-Input'!$C$12,'1-Input'!$B$12,0))-MIN(MAX(AO271,0),MAX(0,AK231-IF($A272&gt;='1-Input'!$C$12,'1-Input'!$B$12,0))))*(1/(1-'P-Parametri'!$B$6*AK272))),MAX(0,0*AK231-(AO271-MIN(MAX(AO271,0),MAX(0,AK231-IF($A272&gt;='1-Input'!$C$12,'1-Input'!$B$12,0)))))*(1/(1-'P-Parametri'!$B$6*AK272))))</f>
        <v>9540.945007387927</v>
      </c>
      <c r="AM272" s="18">
        <f>IF($A272&gt;'1-Input'!$B$26,AO271,(AO271-MAX(0,AK231-IF($A272&gt;='1-Input'!$C$12,'1-Input'!$B$12,0))+AL272*(1-'P-Parametri'!$B$6*AK272))*(1+ROUND('3-Liquidita'!$F$7,4)))</f>
        <v>0</v>
      </c>
      <c r="AN272" s="18">
        <f>IF($A272&gt;'1-Input'!$B$26,AP271,(AP271-AL272)*(1+'5-Roberta'!$C$4))</f>
        <v>54025.151797409817</v>
      </c>
      <c r="AO272" s="18">
        <f>IF($A272&gt;'1-Input'!$B$26,AM272,AM272-'P-Parametri'!$B$8*(AN272+AM272)+MIN(MAX(AN272,0),'P-Parametri'!$B$8*(AN272+AM272)))</f>
        <v>0</v>
      </c>
      <c r="AP272" s="18">
        <f>IF($A272&gt;'1-Input'!$B$26,AN272,AN272-MIN(MAX(AN272,0),'P-Parametri'!$B$8*(AN272+AM272)))</f>
        <v>53917.101493814997</v>
      </c>
      <c r="AQ272" s="18">
        <f>IF($A272&gt;'1-Input'!$B$26,AQ271,AQ271-AL272*(1-AK272))</f>
        <v>14424.546899805771</v>
      </c>
    </row>
    <row r="273" spans="1:43">
      <c r="A273" s="10">
        <f>40</f>
        <v>40</v>
      </c>
      <c r="B273" s="11">
        <f>IF($A273&gt;'1-Input'!$B$26,0,IF(G272&lt;=0,0,MAX(0,(G272-H272)/G272)))</f>
        <v>0.73246805744072752</v>
      </c>
      <c r="C273" s="18">
        <f>IF($A273&gt;'1-Input'!$B$26,0,(MAX(0,B231-IF($A273&gt;='1-Input'!$C$12,'1-Input'!$B$12,0))-MIN(MAX(F272,0),MAX(0,B231-IF($A273&gt;='1-Input'!$C$12,'1-Input'!$B$12,0))))*(1/(1-'P-Parametri'!$B$6*B273))+MIN(MAX(0,G272-(MAX(0,B231-IF($A273&gt;='1-Input'!$C$12,'1-Input'!$B$12,0))-MIN(MAX(F272,0),MAX(0,B231-IF($A273&gt;='1-Input'!$C$12,'1-Input'!$B$12,0))))*(1/(1-'P-Parametri'!$B$6*B273))),MAX(0,0*B231-(F272-MIN(MAX(F272,0),MAX(0,B231-IF($A273&gt;='1-Input'!$C$12,'1-Input'!$B$12,0)))))*(1/(1-'P-Parametri'!$B$6*B273))))</f>
        <v>6891.4805514533327</v>
      </c>
      <c r="D273" s="18">
        <f>IF($A273&gt;'1-Input'!$B$26,F272,(F272-MAX(0,B231-IF($A273&gt;='1-Input'!$C$12,'1-Input'!$B$12,0))+C273*(1-'P-Parametri'!$B$6*B273))*(1+ROUND('3-Liquidita'!$F$7,4)))</f>
        <v>0</v>
      </c>
      <c r="E273" s="18">
        <f>IF($A273&gt;'1-Input'!$B$26,G272,(G272-C273)*(1+'5-Roberta'!$C$4))</f>
        <v>228821.64454681962</v>
      </c>
      <c r="F273" s="18">
        <f>IF($A273&gt;'1-Input'!$B$26,D273,D273-'P-Parametri'!$B$8*(E273+D273)+MIN(MAX(E273,0),'P-Parametri'!$B$8*(E273+D273)))</f>
        <v>0</v>
      </c>
      <c r="G273" s="18">
        <f>IF($A273&gt;'1-Input'!$B$26,E273,E273-MIN(MAX(E273,0),'P-Parametri'!$B$8*(E273+D273)))</f>
        <v>228364.00125772599</v>
      </c>
      <c r="H273" s="18">
        <f>IF($A273&gt;'1-Input'!$B$26,H272,H272-C273*(1-B273))</f>
        <v>59434.076762347577</v>
      </c>
      <c r="I273" s="11">
        <f>IF($A273&gt;'1-Input'!$B$26,0,IF(N272&lt;=0,0,MAX(0,(N272-O272)/N272)))</f>
        <v>0</v>
      </c>
      <c r="J273" s="18">
        <f>IF($A273&gt;'1-Input'!$B$26,0,(MAX(0,I231-IF($A273&gt;='1-Input'!$C$12,'1-Input'!$B$12,0))-MIN(MAX(M272,0),MAX(0,I231-IF($A273&gt;='1-Input'!$C$12,'1-Input'!$B$12,0))))*(1/(1-'P-Parametri'!$B$6*I273))+MIN(MAX(0,N272-(MAX(0,I231-IF($A273&gt;='1-Input'!$C$12,'1-Input'!$B$12,0))-MIN(MAX(M272,0),MAX(0,I231-IF($A273&gt;='1-Input'!$C$12,'1-Input'!$B$12,0))))*(1/(1-'P-Parametri'!$B$6*I273))),MAX(0,0*I231-(M272-MIN(MAX(M272,0),MAX(0,I231-IF($A273&gt;='1-Input'!$C$12,'1-Input'!$B$12,0)))))*(1/(1-'P-Parametri'!$B$6*I273))))</f>
        <v>10846.756992928691</v>
      </c>
      <c r="K273" s="18">
        <f>IF($A273&gt;'1-Input'!$B$26,M272,(M272-MAX(0,I231-IF($A273&gt;='1-Input'!$C$12,'1-Input'!$B$12,0))+J273*(1-'P-Parametri'!$B$6*I273))*(1+ROUND('3-Liquidita'!$F$7,4)))</f>
        <v>0</v>
      </c>
      <c r="L273" s="18">
        <f>IF($A273&gt;'1-Input'!$B$26,N272,(N272-J273)*(1+'5-Roberta'!$C$4))</f>
        <v>-180121.22020330411</v>
      </c>
      <c r="M273" s="18">
        <f>IF($A273&gt;'1-Input'!$B$26,K273,K273-'P-Parametri'!$B$8*(L273+K273)+MIN(MAX(L273,0),'P-Parametri'!$B$8*(L273+K273)))</f>
        <v>0</v>
      </c>
      <c r="N273" s="18">
        <f>IF($A273&gt;'1-Input'!$B$26,L273,L273-MIN(MAX(L273,0),'P-Parametri'!$B$8*(L273+K273)))</f>
        <v>-179760.9777628975</v>
      </c>
      <c r="O273" s="18">
        <f>IF($A273&gt;'1-Input'!$B$26,O272,O272-J273*(1-I273))</f>
        <v>-143048.81437319831</v>
      </c>
      <c r="P273" s="11">
        <f>IF($A273&gt;'1-Input'!$B$26,0,IF(U272&lt;=0,0,MAX(0,(U272-V272)/U272)))</f>
        <v>0.73246805744072785</v>
      </c>
      <c r="Q273" s="18">
        <f>IF($A273&gt;'1-Input'!$B$26,0,(MAX(0,P231-IF($A273&gt;='1-Input'!$C$12,'1-Input'!$B$12,0))-MIN(MAX(T272,0),MAX(0,P231-IF($A273&gt;='1-Input'!$C$12,'1-Input'!$B$12,0))))*(1/(1-'P-Parametri'!$B$6*P273))+MIN(MAX(0,U272-(MAX(0,P231-IF($A273&gt;='1-Input'!$C$12,'1-Input'!$B$12,0))-MIN(MAX(T272,0),MAX(0,P231-IF($A273&gt;='1-Input'!$C$12,'1-Input'!$B$12,0))))*(1/(1-'P-Parametri'!$B$6*P273))),MAX(0,0*P231-(T272-MIN(MAX(T272,0),MAX(0,P231-IF($A273&gt;='1-Input'!$C$12,'1-Input'!$B$12,0)))))*(1/(1-'P-Parametri'!$B$6*P273))))</f>
        <v>9873.3340814069907</v>
      </c>
      <c r="R273" s="18">
        <f>IF($A273&gt;'1-Input'!$B$26,T272,(T272-MAX(0,P231-IF($A273&gt;='1-Input'!$C$12,'1-Input'!$B$12,0))+Q273*(1-'P-Parametri'!$B$6*P273))*(1+ROUND('3-Liquidita'!$F$7,4)))</f>
        <v>-1.8304490367881953E-12</v>
      </c>
      <c r="S273" s="18">
        <f>IF($A273&gt;'1-Input'!$B$26,U272,(U272-Q273)*(1+'5-Roberta'!$C$4))</f>
        <v>24474.82251228458</v>
      </c>
      <c r="T273" s="18">
        <f>IF($A273&gt;'1-Input'!$B$26,R273,R273-'P-Parametri'!$B$8*(S273+R273)+MIN(MAX(S273,0),'P-Parametri'!$B$8*(S273+R273)))</f>
        <v>-1.8332002582610585E-12</v>
      </c>
      <c r="U273" s="18">
        <f>IF($A273&gt;'1-Input'!$B$26,S273,S273-MIN(MAX(S273,0),'P-Parametri'!$B$8*(S273+R273)))</f>
        <v>24425.872867260012</v>
      </c>
      <c r="V273" s="18">
        <f>IF($A273&gt;'1-Input'!$B$26,V272,V272-Q273*(1-P273))</f>
        <v>6357.084282043591</v>
      </c>
      <c r="W273" s="11">
        <f>IF($A273&gt;'1-Input'!$B$26,0,IF(AB272&lt;=0,0,MAX(0,(AB272-AC272)/AB272)))</f>
        <v>0.73246805744072796</v>
      </c>
      <c r="X273" s="18">
        <f>IF($A273&gt;'1-Input'!$B$26,0,(MAX(0,W231-IF($A273&gt;='1-Input'!$C$12,'1-Input'!$B$12,0))-MIN(MAX(AA272,0),MAX(0,W231-IF($A273&gt;='1-Input'!$C$12,'1-Input'!$B$12,0))))*(1/(1-'P-Parametri'!$B$6*W273))+MIN(MAX(0,AB272-(MAX(0,W231-IF($A273&gt;='1-Input'!$C$12,'1-Input'!$B$12,0))-MIN(MAX(AA272,0),MAX(0,W231-IF($A273&gt;='1-Input'!$C$12,'1-Input'!$B$12,0))))*(1/(1-'P-Parametri'!$B$6*W273))),MAX(0,0*W231-(AA272-MIN(MAX(AA272,0),MAX(0,W231-IF($A273&gt;='1-Input'!$C$12,'1-Input'!$B$12,0)))))*(1/(1-'P-Parametri'!$B$6*W273))))</f>
        <v>9556.7713135382201</v>
      </c>
      <c r="Y273" s="18">
        <f>IF($A273&gt;'1-Input'!$B$26,AA272,(AA272-MAX(0,W231-IF($A273&gt;='1-Input'!$C$12,'1-Input'!$B$12,0))+X273*(1-'P-Parametri'!$B$6*W273))*(1+ROUND('3-Liquidita'!$F$7,4)))</f>
        <v>0</v>
      </c>
      <c r="Z273" s="18">
        <f>IF($A273&gt;'1-Input'!$B$26,AB272,(AB272-X273)*(1+'5-Roberta'!$C$4))</f>
        <v>46168.911419947064</v>
      </c>
      <c r="AA273" s="18">
        <f>IF($A273&gt;'1-Input'!$B$26,Y273,Y273-'P-Parametri'!$B$8*(Z273+Y273)+MIN(MAX(Z273,0),'P-Parametri'!$B$8*(Z273+Y273)))</f>
        <v>0</v>
      </c>
      <c r="AB273" s="18">
        <f>IF($A273&gt;'1-Input'!$B$26,Z273,Z273-MIN(MAX(Z273,0),'P-Parametri'!$B$8*(Z273+Y273)))</f>
        <v>46076.57359710717</v>
      </c>
      <c r="AC273" s="18">
        <f>IF($A273&gt;'1-Input'!$B$26,AC272,AC272-X273*(1-W273))</f>
        <v>11991.901512646022</v>
      </c>
      <c r="AD273" s="11">
        <f>IF($A273&gt;'1-Input'!$B$26,0,IF(AI272&lt;=0,0,MAX(0,(AI272-AJ272)/AI272)))</f>
        <v>0.73246805744072807</v>
      </c>
      <c r="AE273" s="18">
        <f>IF($A273&gt;'1-Input'!$B$26,0,(MAX(0,AD231-IF($A273&gt;='1-Input'!$C$12,'1-Input'!$B$12,0))-MIN(MAX(AH272,0),MAX(0,AD231-IF($A273&gt;='1-Input'!$C$12,'1-Input'!$B$12,0))))*(1/(1-'P-Parametri'!$B$6*AD273))+MIN(MAX(0,AI272-(MAX(0,AD231-IF($A273&gt;='1-Input'!$C$12,'1-Input'!$B$12,0))-MIN(MAX(AH272,0),MAX(0,AD231-IF($A273&gt;='1-Input'!$C$12,'1-Input'!$B$12,0))))*(1/(1-'P-Parametri'!$B$6*AD273))),MAX(0,0*AD231-(AH272-MIN(MAX(AH272,0),MAX(0,AD231-IF($A273&gt;='1-Input'!$C$12,'1-Input'!$B$12,0)))))*(1/(1-'P-Parametri'!$B$6*AD273))))</f>
        <v>9565.1505314881997</v>
      </c>
      <c r="AF273" s="18">
        <f>IF($A273&gt;'1-Input'!$B$26,AH272,(AH272-MAX(0,AD231-IF($A273&gt;='1-Input'!$C$12,'1-Input'!$B$12,0))+AE273*(1-'P-Parametri'!$B$6*AD273))*(1+ROUND('3-Liquidita'!$F$7,4)))</f>
        <v>-9.1522451839409766E-13</v>
      </c>
      <c r="AG273" s="18">
        <f>IF($A273&gt;'1-Input'!$B$26,AI272,(AI272-AE273)*(1+'5-Roberta'!$C$4))</f>
        <v>45594.682490855594</v>
      </c>
      <c r="AH273" s="18">
        <f>IF($A273&gt;'1-Input'!$B$26,AF273,AF273-'P-Parametri'!$B$8*(AG273+AF273)+MIN(MAX(AG273,0),'P-Parametri'!$B$8*(AG273+AF273)))</f>
        <v>-9.0949470177292824E-13</v>
      </c>
      <c r="AI273" s="18">
        <f>IF($A273&gt;'1-Input'!$B$26,AG273,AG273-MIN(MAX(AG273,0),'P-Parametri'!$B$8*(AG273+AF273)))</f>
        <v>45503.49312587388</v>
      </c>
      <c r="AJ273" s="18">
        <f>IF($A273&gt;'1-Input'!$B$26,AJ272,AJ272-AE273*(1-AD273))</f>
        <v>11842.751434127982</v>
      </c>
      <c r="AK273" s="11">
        <f>IF($A273&gt;'1-Input'!$B$26,0,IF(AP272&lt;=0,0,MAX(0,(AP272-AQ272)/AP272)))</f>
        <v>0.73246805744072763</v>
      </c>
      <c r="AL273" s="18">
        <f>IF($A273&gt;'1-Input'!$B$26,0,(MAX(0,AK231-IF($A273&gt;='1-Input'!$C$12,'1-Input'!$B$12,0))-MIN(MAX(AO272,0),MAX(0,AK231-IF($A273&gt;='1-Input'!$C$12,'1-Input'!$B$12,0))))*(1/(1-'P-Parametri'!$B$6*AK273))+MIN(MAX(0,AP272-(MAX(0,AK231-IF($A273&gt;='1-Input'!$C$12,'1-Input'!$B$12,0))-MIN(MAX(AO272,0),MAX(0,AK231-IF($A273&gt;='1-Input'!$C$12,'1-Input'!$B$12,0))))*(1/(1-'P-Parametri'!$B$6*AK273))),MAX(0,0*AK231-(AO272-MIN(MAX(AO272,0),MAX(0,AK231-IF($A273&gt;='1-Input'!$C$12,'1-Input'!$B$12,0)))))*(1/(1-'P-Parametri'!$B$6*AK273))))</f>
        <v>9563.8493933257723</v>
      </c>
      <c r="AM273" s="18">
        <f>IF($A273&gt;'1-Input'!$B$26,AO272,(AO272-MAX(0,AK231-IF($A273&gt;='1-Input'!$C$12,'1-Input'!$B$12,0))+AL273*(1-'P-Parametri'!$B$6*AK273))*(1+ROUND('3-Liquidita'!$F$7,4)))</f>
        <v>0</v>
      </c>
      <c r="AN273" s="18">
        <f>IF($A273&gt;'1-Input'!$B$26,AP272,(AP272-AL273)*(1+'5-Roberta'!$C$4))</f>
        <v>45683.849663503905</v>
      </c>
      <c r="AO273" s="18">
        <f>IF($A273&gt;'1-Input'!$B$26,AM273,AM273-'P-Parametri'!$B$8*(AN273+AM273)+MIN(MAX(AN273,0),'P-Parametri'!$B$8*(AN273+AM273)))</f>
        <v>0</v>
      </c>
      <c r="AP273" s="18">
        <f>IF($A273&gt;'1-Input'!$B$26,AN273,AN273-MIN(MAX(AN273,0),'P-Parametri'!$B$8*(AN273+AM273)))</f>
        <v>45592.481964176899</v>
      </c>
      <c r="AQ273" s="18">
        <f>IF($A273&gt;'1-Input'!$B$26,AQ272,AQ272-AL273*(1-AK273))</f>
        <v>11865.911693265009</v>
      </c>
    </row>
    <row r="274" spans="1:43">
      <c r="A274" s="10">
        <f>41</f>
        <v>41</v>
      </c>
      <c r="B274" s="11">
        <f>IF($A274&gt;'1-Input'!$B$26,0,IF(G273&lt;=0,0,MAX(0,(G273-H273)/G273)))</f>
        <v>0.73973972940125654</v>
      </c>
      <c r="C274" s="18">
        <f>IF($A274&gt;'1-Input'!$B$26,0,(MAX(0,B231-IF($A274&gt;='1-Input'!$C$12,'1-Input'!$B$12,0))-MIN(MAX(F273,0),MAX(0,B231-IF($A274&gt;='1-Input'!$C$12,'1-Input'!$B$12,0))))*(1/(1-'P-Parametri'!$B$6*B274))+MIN(MAX(0,G273-(MAX(0,B231-IF($A274&gt;='1-Input'!$C$12,'1-Input'!$B$12,0))-MIN(MAX(F273,0),MAX(0,B231-IF($A274&gt;='1-Input'!$C$12,'1-Input'!$B$12,0))))*(1/(1-'P-Parametri'!$B$6*B274))),MAX(0,0*B231-(F273-MIN(MAX(F273,0),MAX(0,B231-IF($A274&gt;='1-Input'!$C$12,'1-Input'!$B$12,0)))))*(1/(1-'P-Parametri'!$B$6*B274))))</f>
        <v>6907.6125235630007</v>
      </c>
      <c r="D274" s="18">
        <f>IF($A274&gt;'1-Input'!$B$26,F273,(F273-MAX(0,B231-IF($A274&gt;='1-Input'!$C$12,'1-Input'!$B$12,0))+C274*(1-'P-Parametri'!$B$6*B274))*(1+ROUND('3-Liquidita'!$F$7,4)))</f>
        <v>0</v>
      </c>
      <c r="E274" s="18">
        <f>IF($A274&gt;'1-Input'!$B$26,G273,(G273-C274)*(1+'5-Roberta'!$C$4))</f>
        <v>228100.08039618787</v>
      </c>
      <c r="F274" s="18">
        <f>IF($A274&gt;'1-Input'!$B$26,D274,D274-'P-Parametri'!$B$8*(E274+D274)+MIN(MAX(E274,0),'P-Parametri'!$B$8*(E274+D274)))</f>
        <v>0</v>
      </c>
      <c r="G274" s="18">
        <f>IF($A274&gt;'1-Input'!$B$26,E274,E274-MIN(MAX(E274,0),'P-Parametri'!$B$8*(E274+D274)))</f>
        <v>227643.88023539548</v>
      </c>
      <c r="H274" s="18">
        <f>IF($A274&gt;'1-Input'!$B$26,H273,H273-C274*(1-B274))</f>
        <v>57636.299657773801</v>
      </c>
      <c r="I274" s="11">
        <f>IF($A274&gt;'1-Input'!$B$26,0,IF(N273&lt;=0,0,MAX(0,(N273-O273)/N273)))</f>
        <v>0</v>
      </c>
      <c r="J274" s="18">
        <f>IF($A274&gt;'1-Input'!$B$26,0,(MAX(0,I231-IF($A274&gt;='1-Input'!$C$12,'1-Input'!$B$12,0))-MIN(MAX(M273,0),MAX(0,I231-IF($A274&gt;='1-Input'!$C$12,'1-Input'!$B$12,0))))*(1/(1-'P-Parametri'!$B$6*I274))+MIN(MAX(0,N273-(MAX(0,I231-IF($A274&gt;='1-Input'!$C$12,'1-Input'!$B$12,0))-MIN(MAX(M273,0),MAX(0,I231-IF($A274&gt;='1-Input'!$C$12,'1-Input'!$B$12,0))))*(1/(1-'P-Parametri'!$B$6*I274))),MAX(0,0*I231-(M273-MIN(MAX(M273,0),MAX(0,I231-IF($A274&gt;='1-Input'!$C$12,'1-Input'!$B$12,0)))))*(1/(1-'P-Parametri'!$B$6*I274))))</f>
        <v>10846.756992928691</v>
      </c>
      <c r="K274" s="18">
        <f>IF($A274&gt;'1-Input'!$B$26,M273,(M273-MAX(0,I231-IF($A274&gt;='1-Input'!$C$12,'1-Input'!$B$12,0))+J274*(1-'P-Parametri'!$B$6*I274))*(1+ROUND('3-Liquidita'!$F$7,4)))</f>
        <v>0</v>
      </c>
      <c r="L274" s="18">
        <f>IF($A274&gt;'1-Input'!$B$26,N273,(N273-J274)*(1+'5-Roberta'!$C$4))</f>
        <v>-196325.96679850097</v>
      </c>
      <c r="M274" s="18">
        <f>IF($A274&gt;'1-Input'!$B$26,K274,K274-'P-Parametri'!$B$8*(L274+K274)+MIN(MAX(L274,0),'P-Parametri'!$B$8*(L274+K274)))</f>
        <v>0</v>
      </c>
      <c r="N274" s="18">
        <f>IF($A274&gt;'1-Input'!$B$26,L274,L274-MIN(MAX(L274,0),'P-Parametri'!$B$8*(L274+K274)))</f>
        <v>-195933.31486490398</v>
      </c>
      <c r="O274" s="18">
        <f>IF($A274&gt;'1-Input'!$B$26,O273,O273-J274*(1-I274))</f>
        <v>-153895.571366127</v>
      </c>
      <c r="P274" s="11">
        <f>IF($A274&gt;'1-Input'!$B$26,0,IF(U273&lt;=0,0,MAX(0,(U273-V273)/U273)))</f>
        <v>0.73973972940125676</v>
      </c>
      <c r="Q274" s="18">
        <f>IF($A274&gt;'1-Input'!$B$26,0,(MAX(0,P231-IF($A274&gt;='1-Input'!$C$12,'1-Input'!$B$12,0))-MIN(MAX(T273,0),MAX(0,P231-IF($A274&gt;='1-Input'!$C$12,'1-Input'!$B$12,0))))*(1/(1-'P-Parametri'!$B$6*P274))+MIN(MAX(0,U273-(MAX(0,P231-IF($A274&gt;='1-Input'!$C$12,'1-Input'!$B$12,0))-MIN(MAX(T273,0),MAX(0,P231-IF($A274&gt;='1-Input'!$C$12,'1-Input'!$B$12,0))))*(1/(1-'P-Parametri'!$B$6*P274))),MAX(0,0*P231-(T273-MIN(MAX(T273,0),MAX(0,P231-IF($A274&gt;='1-Input'!$C$12,'1-Input'!$B$12,0)))))*(1/(1-'P-Parametri'!$B$6*P274))))</f>
        <v>9896.4461469263715</v>
      </c>
      <c r="R274" s="18">
        <f>IF($A274&gt;'1-Input'!$B$26,T273,(T273-MAX(0,P231-IF($A274&gt;='1-Input'!$C$12,'1-Input'!$B$12,0))+Q274*(1-'P-Parametri'!$B$6*P274))*(1+ROUND('3-Liquidita'!$F$7,4)))</f>
        <v>9.1522451839409766E-13</v>
      </c>
      <c r="S274" s="18">
        <f>IF($A274&gt;'1-Input'!$B$26,U273,(U273-Q274)*(1+'5-Roberta'!$C$4))</f>
        <v>14965.309521943649</v>
      </c>
      <c r="T274" s="18">
        <f>IF($A274&gt;'1-Input'!$B$26,R274,R274-'P-Parametri'!$B$8*(S274+R274)+MIN(MAX(S274,0),'P-Parametri'!$B$8*(S274+R274)))</f>
        <v>9.1660012913052924E-13</v>
      </c>
      <c r="U274" s="18">
        <f>IF($A274&gt;'1-Input'!$B$26,S274,S274-MIN(MAX(S274,0),'P-Parametri'!$B$8*(S274+R274)))</f>
        <v>14935.378902899762</v>
      </c>
      <c r="V274" s="18">
        <f>IF($A274&gt;'1-Input'!$B$26,V273,V273-Q274*(1-P274))</f>
        <v>3781.4325298786434</v>
      </c>
      <c r="W274" s="11">
        <f>IF($A274&gt;'1-Input'!$B$26,0,IF(AB273&lt;=0,0,MAX(0,(AB273-AC273)/AB273)))</f>
        <v>0.73973972940125676</v>
      </c>
      <c r="X274" s="18">
        <f>IF($A274&gt;'1-Input'!$B$26,0,(MAX(0,W231-IF($A274&gt;='1-Input'!$C$12,'1-Input'!$B$12,0))-MIN(MAX(AA273,0),MAX(0,W231-IF($A274&gt;='1-Input'!$C$12,'1-Input'!$B$12,0))))*(1/(1-'P-Parametri'!$B$6*W274))+MIN(MAX(0,AB273-(MAX(0,W231-IF($A274&gt;='1-Input'!$C$12,'1-Input'!$B$12,0))-MIN(MAX(AA273,0),MAX(0,W231-IF($A274&gt;='1-Input'!$C$12,'1-Input'!$B$12,0))))*(1/(1-'P-Parametri'!$B$6*W274))),MAX(0,0*W231-(AA273-MIN(MAX(AA273,0),MAX(0,W231-IF($A274&gt;='1-Input'!$C$12,'1-Input'!$B$12,0)))))*(1/(1-'P-Parametri'!$B$6*W274))))</f>
        <v>9579.142350812057</v>
      </c>
      <c r="Y274" s="18">
        <f>IF($A274&gt;'1-Input'!$B$26,AA273,(AA273-MAX(0,W231-IF($A274&gt;='1-Input'!$C$12,'1-Input'!$B$12,0))+X274*(1-'P-Parametri'!$B$6*W274))*(1+ROUND('3-Liquidita'!$F$7,4)))</f>
        <v>9.1522451839409766E-13</v>
      </c>
      <c r="Z274" s="18">
        <f>IF($A274&gt;'1-Input'!$B$26,AB273,(AB273-X274)*(1+'5-Roberta'!$C$4))</f>
        <v>37592.354183683965</v>
      </c>
      <c r="AA274" s="18">
        <f>IF($A274&gt;'1-Input'!$B$26,Y274,Y274-'P-Parametri'!$B$8*(Z274+Y274)+MIN(MAX(Z274,0),'P-Parametri'!$B$8*(Z274+Y274)))</f>
        <v>9.0949470177292824E-13</v>
      </c>
      <c r="AB274" s="18">
        <f>IF($A274&gt;'1-Input'!$B$26,Z274,Z274-MIN(MAX(Z274,0),'P-Parametri'!$B$8*(Z274+Y274)))</f>
        <v>37517.169475316594</v>
      </c>
      <c r="AC274" s="18">
        <f>IF($A274&gt;'1-Input'!$B$26,AC273,AC273-X274*(1-W274))</f>
        <v>9498.8313323197945</v>
      </c>
      <c r="AD274" s="11">
        <f>IF($A274&gt;'1-Input'!$B$26,0,IF(AI273&lt;=0,0,MAX(0,(AI273-AJ273)/AI273)))</f>
        <v>0.73973972940125687</v>
      </c>
      <c r="AE274" s="18">
        <f>IF($A274&gt;'1-Input'!$B$26,0,(MAX(0,AD231-IF($A274&gt;='1-Input'!$C$12,'1-Input'!$B$12,0))-MIN(MAX(AH273,0),MAX(0,AD231-IF($A274&gt;='1-Input'!$C$12,'1-Input'!$B$12,0))))*(1/(1-'P-Parametri'!$B$6*AD274))+MIN(MAX(0,AI273-(MAX(0,AD231-IF($A274&gt;='1-Input'!$C$12,'1-Input'!$B$12,0))-MIN(MAX(AH273,0),MAX(0,AD231-IF($A274&gt;='1-Input'!$C$12,'1-Input'!$B$12,0))))*(1/(1-'P-Parametri'!$B$6*AD274))),MAX(0,0*AD231-(AH273-MIN(MAX(AH273,0),MAX(0,AD231-IF($A274&gt;='1-Input'!$C$12,'1-Input'!$B$12,0)))))*(1/(1-'P-Parametri'!$B$6*AD274))))</f>
        <v>9587.541183315001</v>
      </c>
      <c r="AF274" s="18">
        <f>IF($A274&gt;'1-Input'!$B$26,AH273,(AH273-MAX(0,AD231-IF($A274&gt;='1-Input'!$C$12,'1-Input'!$B$12,0))+AE274*(1-'P-Parametri'!$B$6*AD274))*(1+ROUND('3-Liquidita'!$F$7,4)))</f>
        <v>9.1522451839409766E-13</v>
      </c>
      <c r="AG274" s="18">
        <f>IF($A274&gt;'1-Input'!$B$26,AI273,(AI273-AE274)*(1+'5-Roberta'!$C$4))</f>
        <v>36993.430500835646</v>
      </c>
      <c r="AH274" s="18">
        <f>IF($A274&gt;'1-Input'!$B$26,AF274,AF274-'P-Parametri'!$B$8*(AG274+AF274)+MIN(MAX(AG274,0),'P-Parametri'!$B$8*(AG274+AF274)))</f>
        <v>9.0949470177292824E-13</v>
      </c>
      <c r="AI274" s="18">
        <f>IF($A274&gt;'1-Input'!$B$26,AG274,AG274-MIN(MAX(AG274,0),'P-Parametri'!$B$8*(AG274+AF274)))</f>
        <v>36919.443639833975</v>
      </c>
      <c r="AJ274" s="18">
        <f>IF($A274&gt;'1-Input'!$B$26,AJ273,AJ273-AE274*(1-AD274))</f>
        <v>9347.495371381825</v>
      </c>
      <c r="AK274" s="11">
        <f>IF($A274&gt;'1-Input'!$B$26,0,IF(AP273&lt;=0,0,MAX(0,(AP273-AQ273)/AP273)))</f>
        <v>0.73973972940125665</v>
      </c>
      <c r="AL274" s="18">
        <f>IF($A274&gt;'1-Input'!$B$26,0,(MAX(0,AK231-IF($A274&gt;='1-Input'!$C$12,'1-Input'!$B$12,0))-MIN(MAX(AO273,0),MAX(0,AK231-IF($A274&gt;='1-Input'!$C$12,'1-Input'!$B$12,0))))*(1/(1-'P-Parametri'!$B$6*AK274))+MIN(MAX(0,AP273-(MAX(0,AK231-IF($A274&gt;='1-Input'!$C$12,'1-Input'!$B$12,0))-MIN(MAX(AO273,0),MAX(0,AK231-IF($A274&gt;='1-Input'!$C$12,'1-Input'!$B$12,0))))*(1/(1-'P-Parametri'!$B$6*AK274))),MAX(0,0*AK231-(AO273-MIN(MAX(AO273,0),MAX(0,AK231-IF($A274&gt;='1-Input'!$C$12,'1-Input'!$B$12,0)))))*(1/(1-'P-Parametri'!$B$6*AK274))))</f>
        <v>9586.2369993738903</v>
      </c>
      <c r="AM274" s="18">
        <f>IF($A274&gt;'1-Input'!$B$26,AO273,(AO273-MAX(0,AK231-IF($A274&gt;='1-Input'!$C$12,'1-Input'!$B$12,0))+AL274*(1-'P-Parametri'!$B$6*AK274))*(1+ROUND('3-Liquidita'!$F$7,4)))</f>
        <v>9.1522451839409766E-13</v>
      </c>
      <c r="AN274" s="18">
        <f>IF($A274&gt;'1-Input'!$B$26,AP273,(AP273-AL274)*(1+'5-Roberta'!$C$4))</f>
        <v>37086.4323137471</v>
      </c>
      <c r="AO274" s="18">
        <f>IF($A274&gt;'1-Input'!$B$26,AM274,AM274-'P-Parametri'!$B$8*(AN274+AM274)+MIN(MAX(AN274,0),'P-Parametri'!$B$8*(AN274+AM274)))</f>
        <v>9.0949470177292824E-13</v>
      </c>
      <c r="AP274" s="18">
        <f>IF($A274&gt;'1-Input'!$B$26,AN274,AN274-MIN(MAX(AN274,0),'P-Parametri'!$B$8*(AN274+AM274)))</f>
        <v>37012.259449119607</v>
      </c>
      <c r="AQ274" s="18">
        <f>IF($A274&gt;'1-Input'!$B$26,AQ273,AQ273-AL274*(1-AK274))</f>
        <v>9370.9950577842756</v>
      </c>
    </row>
    <row r="275" spans="1:43">
      <c r="A275" s="10">
        <f>42</f>
        <v>42</v>
      </c>
      <c r="B275" s="11">
        <f>IF($A275&gt;'1-Input'!$B$26,0,IF(G274&lt;=0,0,MAX(0,(G274-H274)/G274)))</f>
        <v>0.74681375313856491</v>
      </c>
      <c r="C275" s="18">
        <f>IF($A275&gt;'1-Input'!$B$26,0,(MAX(0,B231-IF($A275&gt;='1-Input'!$C$12,'1-Input'!$B$12,0))-MIN(MAX(F274,0),MAX(0,B231-IF($A275&gt;='1-Input'!$C$12,'1-Input'!$B$12,0))))*(1/(1-'P-Parametri'!$B$6*B275))+MIN(MAX(0,G274-(MAX(0,B231-IF($A275&gt;='1-Input'!$C$12,'1-Input'!$B$12,0))-MIN(MAX(F274,0),MAX(0,B231-IF($A275&gt;='1-Input'!$C$12,'1-Input'!$B$12,0))))*(1/(1-'P-Parametri'!$B$6*B275))),MAX(0,0*B231-(F274-MIN(MAX(F274,0),MAX(0,B231-IF($A275&gt;='1-Input'!$C$12,'1-Input'!$B$12,0)))))*(1/(1-'P-Parametri'!$B$6*B275))))</f>
        <v>6923.3786587702771</v>
      </c>
      <c r="D275" s="18">
        <f>IF($A275&gt;'1-Input'!$B$26,F274,(F274-MAX(0,B231-IF($A275&gt;='1-Input'!$C$12,'1-Input'!$B$12,0))+C275*(1-'P-Parametri'!$B$6*B275))*(1+ROUND('3-Liquidita'!$F$7,4)))</f>
        <v>-9.1522451839409766E-13</v>
      </c>
      <c r="E275" s="18">
        <f>IF($A275&gt;'1-Input'!$B$26,G274,(G274-C275)*(1+'5-Roberta'!$C$4))</f>
        <v>227342.11662392397</v>
      </c>
      <c r="F275" s="18">
        <f>IF($A275&gt;'1-Input'!$B$26,D275,D275-'P-Parametri'!$B$8*(E275+D275)+MIN(MAX(E275,0),'P-Parametri'!$B$8*(E275+D275)))</f>
        <v>-9.0949470177292824E-13</v>
      </c>
      <c r="G275" s="18">
        <f>IF($A275&gt;'1-Input'!$B$26,E275,E275-MIN(MAX(E275,0),'P-Parametri'!$B$8*(E275+D275)))</f>
        <v>226887.43239067611</v>
      </c>
      <c r="H275" s="18">
        <f>IF($A275&gt;'1-Input'!$B$26,H274,H274-C275*(1-B275))</f>
        <v>55883.395399559202</v>
      </c>
      <c r="I275" s="11">
        <f>IF($A275&gt;'1-Input'!$B$26,0,IF(N274&lt;=0,0,MAX(0,(N274-O274)/N274)))</f>
        <v>0</v>
      </c>
      <c r="J275" s="18">
        <f>IF($A275&gt;'1-Input'!$B$26,0,(MAX(0,I231-IF($A275&gt;='1-Input'!$C$12,'1-Input'!$B$12,0))-MIN(MAX(M274,0),MAX(0,I231-IF($A275&gt;='1-Input'!$C$12,'1-Input'!$B$12,0))))*(1/(1-'P-Parametri'!$B$6*I275))+MIN(MAX(0,N274-(MAX(0,I231-IF($A275&gt;='1-Input'!$C$12,'1-Input'!$B$12,0))-MIN(MAX(M274,0),MAX(0,I231-IF($A275&gt;='1-Input'!$C$12,'1-Input'!$B$12,0))))*(1/(1-'P-Parametri'!$B$6*I275))),MAX(0,0*I231-(M274-MIN(MAX(M274,0),MAX(0,I231-IF($A275&gt;='1-Input'!$C$12,'1-Input'!$B$12,0)))))*(1/(1-'P-Parametri'!$B$6*I275))))</f>
        <v>10846.756992928691</v>
      </c>
      <c r="K275" s="18">
        <f>IF($A275&gt;'1-Input'!$B$26,M274,(M274-MAX(0,I231-IF($A275&gt;='1-Input'!$C$12,'1-Input'!$B$12,0))+J275*(1-'P-Parametri'!$B$6*I275))*(1+ROUND('3-Liquidita'!$F$7,4)))</f>
        <v>0</v>
      </c>
      <c r="L275" s="18">
        <f>IF($A275&gt;'1-Input'!$B$26,N274,(N274-J275)*(1+'5-Roberta'!$C$4))</f>
        <v>-212983.47401356764</v>
      </c>
      <c r="M275" s="18">
        <f>IF($A275&gt;'1-Input'!$B$26,K275,K275-'P-Parametri'!$B$8*(L275+K275)+MIN(MAX(L275,0),'P-Parametri'!$B$8*(L275+K275)))</f>
        <v>0</v>
      </c>
      <c r="N275" s="18">
        <f>IF($A275&gt;'1-Input'!$B$26,L275,L275-MIN(MAX(L275,0),'P-Parametri'!$B$8*(L275+K275)))</f>
        <v>-212557.5070655405</v>
      </c>
      <c r="O275" s="18">
        <f>IF($A275&gt;'1-Input'!$B$26,O274,O274-J275*(1-I275))</f>
        <v>-164742.32835905568</v>
      </c>
      <c r="P275" s="11">
        <f>IF($A275&gt;'1-Input'!$B$26,0,IF(U274&lt;=0,0,MAX(0,(U274-V274)/U274)))</f>
        <v>0.74681375313856524</v>
      </c>
      <c r="Q275" s="18">
        <f>IF($A275&gt;'1-Input'!$B$26,0,(MAX(0,P231-IF($A275&gt;='1-Input'!$C$12,'1-Input'!$B$12,0))-MIN(MAX(T274,0),MAX(0,P231-IF($A275&gt;='1-Input'!$C$12,'1-Input'!$B$12,0))))*(1/(1-'P-Parametri'!$B$6*P275))+MIN(MAX(0,U274-(MAX(0,P231-IF($A275&gt;='1-Input'!$C$12,'1-Input'!$B$12,0))-MIN(MAX(T274,0),MAX(0,P231-IF($A275&gt;='1-Input'!$C$12,'1-Input'!$B$12,0))))*(1/(1-'P-Parametri'!$B$6*P275))),MAX(0,0*P231-(T274-MIN(MAX(T274,0),MAX(0,P231-IF($A275&gt;='1-Input'!$C$12,'1-Input'!$B$12,0)))))*(1/(1-'P-Parametri'!$B$6*P275))))</f>
        <v>9919.0340826989286</v>
      </c>
      <c r="R275" s="18">
        <f>IF($A275&gt;'1-Input'!$B$26,T274,(T274-MAX(0,P231-IF($A275&gt;='1-Input'!$C$12,'1-Input'!$B$12,0))+Q275*(1-'P-Parametri'!$B$6*P275))*(1+ROUND('3-Liquidita'!$F$7,4)))</f>
        <v>9.1522451839409766E-13</v>
      </c>
      <c r="S275" s="18">
        <f>IF($A275&gt;'1-Input'!$B$26,U274,(U274-Q275)*(1+'5-Roberta'!$C$4))</f>
        <v>5166.8351648068583</v>
      </c>
      <c r="T275" s="18">
        <f>IF($A275&gt;'1-Input'!$B$26,R275,R275-'P-Parametri'!$B$8*(S275+R275)+MIN(MAX(S275,0),'P-Parametri'!$B$8*(S275+R275)))</f>
        <v>9.1482377229112899E-13</v>
      </c>
      <c r="U275" s="18">
        <f>IF($A275&gt;'1-Input'!$B$26,S275,S275-MIN(MAX(S275,0),'P-Parametri'!$B$8*(S275+R275)))</f>
        <v>5156.5014944772447</v>
      </c>
      <c r="V275" s="18">
        <f>IF($A275&gt;'1-Input'!$B$26,V274,V274-Q275*(1-P275))</f>
        <v>1270.0695179894474</v>
      </c>
      <c r="W275" s="11">
        <f>IF($A275&gt;'1-Input'!$B$26,0,IF(AB274&lt;=0,0,MAX(0,(AB274-AC274)/AB274)))</f>
        <v>0.74681375313856513</v>
      </c>
      <c r="X275" s="18">
        <f>IF($A275&gt;'1-Input'!$B$26,0,(MAX(0,W231-IF($A275&gt;='1-Input'!$C$12,'1-Input'!$B$12,0))-MIN(MAX(AA274,0),MAX(0,W231-IF($A275&gt;='1-Input'!$C$12,'1-Input'!$B$12,0))))*(1/(1-'P-Parametri'!$B$6*W275))+MIN(MAX(0,AB274-(MAX(0,W231-IF($A275&gt;='1-Input'!$C$12,'1-Input'!$B$12,0))-MIN(MAX(AA274,0),MAX(0,W231-IF($A275&gt;='1-Input'!$C$12,'1-Input'!$B$12,0))))*(1/(1-'P-Parametri'!$B$6*W275))),MAX(0,0*W231-(AA274-MIN(MAX(AA274,0),MAX(0,W231-IF($A275&gt;='1-Input'!$C$12,'1-Input'!$B$12,0)))))*(1/(1-'P-Parametri'!$B$6*W275))))</f>
        <v>9601.0060631956712</v>
      </c>
      <c r="Y275" s="18">
        <f>IF($A275&gt;'1-Input'!$B$26,AA274,(AA274-MAX(0,W231-IF($A275&gt;='1-Input'!$C$12,'1-Input'!$B$12,0))+X275*(1-'P-Parametri'!$B$6*W275))*(1+ROUND('3-Liquidita'!$F$7,4)))</f>
        <v>-9.1522451839409766E-13</v>
      </c>
      <c r="Z275" s="18">
        <f>IF($A275&gt;'1-Input'!$B$26,AB274,(AB274-X275)*(1+'5-Roberta'!$C$4))</f>
        <v>28753.648314484548</v>
      </c>
      <c r="AA275" s="18">
        <f>IF($A275&gt;'1-Input'!$B$26,Y275,Y275-'P-Parametri'!$B$8*(Z275+Y275)+MIN(MAX(Z275,0),'P-Parametri'!$B$8*(Z275+Y275)))</f>
        <v>-9.1660012913052924E-13</v>
      </c>
      <c r="AB275" s="18">
        <f>IF($A275&gt;'1-Input'!$B$26,Z275,Z275-MIN(MAX(Z275,0),'P-Parametri'!$B$8*(Z275+Y275)))</f>
        <v>28696.141017855578</v>
      </c>
      <c r="AC275" s="18">
        <f>IF($A275&gt;'1-Input'!$B$26,AC274,AC274-X275*(1-W275))</f>
        <v>7067.9886410854024</v>
      </c>
      <c r="AD275" s="11">
        <f>IF($A275&gt;'1-Input'!$B$26,0,IF(AI274&lt;=0,0,MAX(0,(AI274-AJ274)/AI274)))</f>
        <v>0.74681375313856546</v>
      </c>
      <c r="AE275" s="18">
        <f>IF($A275&gt;'1-Input'!$B$26,0,(MAX(0,AD231-IF($A275&gt;='1-Input'!$C$12,'1-Input'!$B$12,0))-MIN(MAX(AH274,0),MAX(0,AD231-IF($A275&gt;='1-Input'!$C$12,'1-Input'!$B$12,0))))*(1/(1-'P-Parametri'!$B$6*AD275))+MIN(MAX(0,AI274-(MAX(0,AD231-IF($A275&gt;='1-Input'!$C$12,'1-Input'!$B$12,0))-MIN(MAX(AH274,0),MAX(0,AD231-IF($A275&gt;='1-Input'!$C$12,'1-Input'!$B$12,0))))*(1/(1-'P-Parametri'!$B$6*AD275))),MAX(0,0*AD231-(AH274-MIN(MAX(AH274,0),MAX(0,AD231-IF($A275&gt;='1-Input'!$C$12,'1-Input'!$B$12,0)))))*(1/(1-'P-Parametri'!$B$6*AD275))))</f>
        <v>9609.4240654375644</v>
      </c>
      <c r="AF275" s="18">
        <f>IF($A275&gt;'1-Input'!$B$26,AH274,(AH274-MAX(0,AD231-IF($A275&gt;='1-Input'!$C$12,'1-Input'!$B$12,0))+AE275*(1-'P-Parametri'!$B$6*AD275))*(1+ROUND('3-Liquidita'!$F$7,4)))</f>
        <v>0</v>
      </c>
      <c r="AG275" s="18">
        <f>IF($A275&gt;'1-Input'!$B$26,AI274,(AI274-AE275)*(1+'5-Roberta'!$C$4))</f>
        <v>28129.320161628304</v>
      </c>
      <c r="AH275" s="18">
        <f>IF($A275&gt;'1-Input'!$B$26,AF275,AF275-'P-Parametri'!$B$8*(AG275+AF275)+MIN(MAX(AG275,0),'P-Parametri'!$B$8*(AG275+AF275)))</f>
        <v>0</v>
      </c>
      <c r="AI275" s="18">
        <f>IF($A275&gt;'1-Input'!$B$26,AG275,AG275-MIN(MAX(AG275,0),'P-Parametri'!$B$8*(AG275+AF275)))</f>
        <v>28073.061521305048</v>
      </c>
      <c r="AJ275" s="18">
        <f>IF($A275&gt;'1-Input'!$B$26,AJ274,AJ274-AE275*(1-AD275))</f>
        <v>6914.5213577537397</v>
      </c>
      <c r="AK275" s="11">
        <f>IF($A275&gt;'1-Input'!$B$26,0,IF(AP274&lt;=0,0,MAX(0,(AP274-AQ274)/AP274)))</f>
        <v>0.74681375313856502</v>
      </c>
      <c r="AL275" s="18">
        <f>IF($A275&gt;'1-Input'!$B$26,0,(MAX(0,AK231-IF($A275&gt;='1-Input'!$C$12,'1-Input'!$B$12,0))-MIN(MAX(AO274,0),MAX(0,AK231-IF($A275&gt;='1-Input'!$C$12,'1-Input'!$B$12,0))))*(1/(1-'P-Parametri'!$B$6*AK275))+MIN(MAX(0,AP274-(MAX(0,AK231-IF($A275&gt;='1-Input'!$C$12,'1-Input'!$B$12,0))-MIN(MAX(AO274,0),MAX(0,AK231-IF($A275&gt;='1-Input'!$C$12,'1-Input'!$B$12,0))))*(1/(1-'P-Parametri'!$B$6*AK275))),MAX(0,0*AK231-(AO274-MIN(MAX(AO274,0),MAX(0,AK231-IF($A275&gt;='1-Input'!$C$12,'1-Input'!$B$12,0)))))*(1/(1-'P-Parametri'!$B$6*AK275))))</f>
        <v>9608.1169047891945</v>
      </c>
      <c r="AM275" s="18">
        <f>IF($A275&gt;'1-Input'!$B$26,AO274,(AO274-MAX(0,AK231-IF($A275&gt;='1-Input'!$C$12,'1-Input'!$B$12,0))+AL275*(1-'P-Parametri'!$B$6*AK275))*(1+ROUND('3-Liquidita'!$F$7,4)))</f>
        <v>9.1522451839409766E-13</v>
      </c>
      <c r="AN275" s="18">
        <f>IF($A275&gt;'1-Input'!$B$26,AP274,(AP274-AL275)*(1+'5-Roberta'!$C$4))</f>
        <v>28226.266820660323</v>
      </c>
      <c r="AO275" s="18">
        <f>IF($A275&gt;'1-Input'!$B$26,AM275,AM275-'P-Parametri'!$B$8*(AN275+AM275)+MIN(MAX(AN275,0),'P-Parametri'!$B$8*(AN275+AM275)))</f>
        <v>9.1660012913052924E-13</v>
      </c>
      <c r="AP275" s="18">
        <f>IF($A275&gt;'1-Input'!$B$26,AN275,AN275-MIN(MAX(AN275,0),'P-Parametri'!$B$8*(AN275+AM275)))</f>
        <v>28169.814287019002</v>
      </c>
      <c r="AQ275" s="18">
        <f>IF($A275&gt;'1-Input'!$B$26,AQ274,AQ274-AL275*(1-AK275))</f>
        <v>6938.3519992547917</v>
      </c>
    </row>
    <row r="276" spans="1:43">
      <c r="A276" s="10">
        <f>43</f>
        <v>43</v>
      </c>
      <c r="B276" s="11">
        <f>IF($A276&gt;'1-Input'!$B$26,0,IF(G275&lt;=0,0,MAX(0,(G275-H275)/G275)))</f>
        <v>0.75369550084495684</v>
      </c>
      <c r="C276" s="18">
        <f>IF($A276&gt;'1-Input'!$B$26,0,(MAX(0,B231-IF($A276&gt;='1-Input'!$C$12,'1-Input'!$B$12,0))-MIN(MAX(F275,0),MAX(0,B231-IF($A276&gt;='1-Input'!$C$12,'1-Input'!$B$12,0))))*(1/(1-'P-Parametri'!$B$6*B276))+MIN(MAX(0,G275-(MAX(0,B231-IF($A276&gt;='1-Input'!$C$12,'1-Input'!$B$12,0))-MIN(MAX(F275,0),MAX(0,B231-IF($A276&gt;='1-Input'!$C$12,'1-Input'!$B$12,0))))*(1/(1-'P-Parametri'!$B$6*B276))),MAX(0,0*B231-(F275-MIN(MAX(F275,0),MAX(0,B231-IF($A276&gt;='1-Input'!$C$12,'1-Input'!$B$12,0)))))*(1/(1-'P-Parametri'!$B$6*B276))))</f>
        <v>6938.7854775161968</v>
      </c>
      <c r="D276" s="18">
        <f>IF($A276&gt;'1-Input'!$B$26,F275,(F275-MAX(0,B231-IF($A276&gt;='1-Input'!$C$12,'1-Input'!$B$12,0))+C276*(1-'P-Parametri'!$B$6*B276))*(1+ROUND('3-Liquidita'!$F$7,4)))</f>
        <v>0</v>
      </c>
      <c r="E276" s="18">
        <f>IF($A276&gt;'1-Input'!$B$26,G275,(G275-C276)*(1+'5-Roberta'!$C$4))</f>
        <v>226547.10632055474</v>
      </c>
      <c r="F276" s="18">
        <f>IF($A276&gt;'1-Input'!$B$26,D276,D276-'P-Parametri'!$B$8*(E276+D276)+MIN(MAX(E276,0),'P-Parametri'!$B$8*(E276+D276)))</f>
        <v>0</v>
      </c>
      <c r="G276" s="18">
        <f>IF($A276&gt;'1-Input'!$B$26,E276,E276-MIN(MAX(E276,0),'P-Parametri'!$B$8*(E276+D276)))</f>
        <v>226094.01210791364</v>
      </c>
      <c r="H276" s="18">
        <f>IF($A276&gt;'1-Input'!$B$26,H275,H275-C276*(1-B276))</f>
        <v>54174.341317775288</v>
      </c>
      <c r="I276" s="11">
        <f>IF($A276&gt;'1-Input'!$B$26,0,IF(N275&lt;=0,0,MAX(0,(N275-O275)/N275)))</f>
        <v>0</v>
      </c>
      <c r="J276" s="18">
        <f>IF($A276&gt;'1-Input'!$B$26,0,(MAX(0,I231-IF($A276&gt;='1-Input'!$C$12,'1-Input'!$B$12,0))-MIN(MAX(M275,0),MAX(0,I231-IF($A276&gt;='1-Input'!$C$12,'1-Input'!$B$12,0))))*(1/(1-'P-Parametri'!$B$6*I276))+MIN(MAX(0,N275-(MAX(0,I231-IF($A276&gt;='1-Input'!$C$12,'1-Input'!$B$12,0))-MIN(MAX(M275,0),MAX(0,I231-IF($A276&gt;='1-Input'!$C$12,'1-Input'!$B$12,0))))*(1/(1-'P-Parametri'!$B$6*I276))),MAX(0,0*I231-(M275-MIN(MAX(M275,0),MAX(0,I231-IF($A276&gt;='1-Input'!$C$12,'1-Input'!$B$12,0)))))*(1/(1-'P-Parametri'!$B$6*I276))))</f>
        <v>10846.756992928691</v>
      </c>
      <c r="K276" s="18">
        <f>IF($A276&gt;'1-Input'!$B$26,M275,(M275-MAX(0,I231-IF($A276&gt;='1-Input'!$C$12,'1-Input'!$B$12,0))+J276*(1-'P-Parametri'!$B$6*I276))*(1+ROUND('3-Liquidita'!$F$7,4)))</f>
        <v>0</v>
      </c>
      <c r="L276" s="18">
        <f>IF($A276&gt;'1-Input'!$B$26,N275,(N275-J276)*(1+'5-Roberta'!$C$4))</f>
        <v>-230106.39198022327</v>
      </c>
      <c r="M276" s="18">
        <f>IF($A276&gt;'1-Input'!$B$26,K276,K276-'P-Parametri'!$B$8*(L276+K276)+MIN(MAX(L276,0),'P-Parametri'!$B$8*(L276+K276)))</f>
        <v>0</v>
      </c>
      <c r="N276" s="18">
        <f>IF($A276&gt;'1-Input'!$B$26,L276,L276-MIN(MAX(L276,0),'P-Parametri'!$B$8*(L276+K276)))</f>
        <v>-229646.17919626282</v>
      </c>
      <c r="O276" s="18">
        <f>IF($A276&gt;'1-Input'!$B$26,O275,O275-J276*(1-I276))</f>
        <v>-175589.08535198437</v>
      </c>
      <c r="P276" s="11">
        <f>IF($A276&gt;'1-Input'!$B$26,0,IF(U275&lt;=0,0,MAX(0,(U275-V275)/U275)))</f>
        <v>0.75369550084495718</v>
      </c>
      <c r="Q276" s="18">
        <f>IF($A276&gt;'1-Input'!$B$26,0,(MAX(0,P231-IF($A276&gt;='1-Input'!$C$12,'1-Input'!$B$12,0))-MIN(MAX(T275,0),MAX(0,P231-IF($A276&gt;='1-Input'!$C$12,'1-Input'!$B$12,0))))*(1/(1-'P-Parametri'!$B$6*P276))+MIN(MAX(0,U275-(MAX(0,P231-IF($A276&gt;='1-Input'!$C$12,'1-Input'!$B$12,0))-MIN(MAX(T275,0),MAX(0,P231-IF($A276&gt;='1-Input'!$C$12,'1-Input'!$B$12,0))))*(1/(1-'P-Parametri'!$B$6*P276))),MAX(0,0*P231-(T275-MIN(MAX(T275,0),MAX(0,P231-IF($A276&gt;='1-Input'!$C$12,'1-Input'!$B$12,0)))))*(1/(1-'P-Parametri'!$B$6*P276))))</f>
        <v>9941.107230475287</v>
      </c>
      <c r="R276" s="18">
        <f>IF($A276&gt;'1-Input'!$B$26,T275,(T275-MAX(0,P231-IF($A276&gt;='1-Input'!$C$12,'1-Input'!$B$12,0))+Q276*(1-'P-Parametri'!$B$6*P276))*(1+ROUND('3-Liquidita'!$F$7,4)))</f>
        <v>0</v>
      </c>
      <c r="S276" s="18">
        <f>IF($A276&gt;'1-Input'!$B$26,U275,(U275-Q276)*(1+'5-Roberta'!$C$4))</f>
        <v>-4928.1439080779837</v>
      </c>
      <c r="T276" s="18">
        <f>IF($A276&gt;'1-Input'!$B$26,R276,R276-'P-Parametri'!$B$8*(S276+R276)+MIN(MAX(S276,0),'P-Parametri'!$B$8*(S276+R276)))</f>
        <v>0</v>
      </c>
      <c r="U276" s="18">
        <f>IF($A276&gt;'1-Input'!$B$26,S276,S276-MIN(MAX(S276,0),'P-Parametri'!$B$8*(S276+R276)))</f>
        <v>-4918.2876202618281</v>
      </c>
      <c r="V276" s="18">
        <f>IF($A276&gt;'1-Input'!$B$26,V275,V275-Q276*(1-P276))</f>
        <v>-1178.4699194593431</v>
      </c>
      <c r="W276" s="11">
        <f>IF($A276&gt;'1-Input'!$B$26,0,IF(AB275&lt;=0,0,MAX(0,(AB275-AC275)/AB275)))</f>
        <v>0.75369550084495707</v>
      </c>
      <c r="X276" s="18">
        <f>IF($A276&gt;'1-Input'!$B$26,0,(MAX(0,W231-IF($A276&gt;='1-Input'!$C$12,'1-Input'!$B$12,0))-MIN(MAX(AA275,0),MAX(0,W231-IF($A276&gt;='1-Input'!$C$12,'1-Input'!$B$12,0))))*(1/(1-'P-Parametri'!$B$6*W276))+MIN(MAX(0,AB275-(MAX(0,W231-IF($A276&gt;='1-Input'!$C$12,'1-Input'!$B$12,0))-MIN(MAX(AA275,0),MAX(0,W231-IF($A276&gt;='1-Input'!$C$12,'1-Input'!$B$12,0))))*(1/(1-'P-Parametri'!$B$6*W276))),MAX(0,0*W231-(AA275-MIN(MAX(AA275,0),MAX(0,W231-IF($A276&gt;='1-Input'!$C$12,'1-Input'!$B$12,0)))))*(1/(1-'P-Parametri'!$B$6*W276))))</f>
        <v>9622.3714929207617</v>
      </c>
      <c r="Y276" s="18">
        <f>IF($A276&gt;'1-Input'!$B$26,AA275,(AA275-MAX(0,W231-IF($A276&gt;='1-Input'!$C$12,'1-Input'!$B$12,0))+X276*(1-'P-Parametri'!$B$6*W276))*(1+ROUND('3-Liquidita'!$F$7,4)))</f>
        <v>9.1522451839409766E-13</v>
      </c>
      <c r="Z276" s="18">
        <f>IF($A276&gt;'1-Input'!$B$26,AB275,(AB275-X276)*(1+'5-Roberta'!$C$4))</f>
        <v>19645.982610682862</v>
      </c>
      <c r="AA276" s="18">
        <f>IF($A276&gt;'1-Input'!$B$26,Y276,Y276-'P-Parametri'!$B$8*(Z276+Y276)+MIN(MAX(Z276,0),'P-Parametri'!$B$8*(Z276+Y276)))</f>
        <v>9.1660012913052924E-13</v>
      </c>
      <c r="AB276" s="18">
        <f>IF($A276&gt;'1-Input'!$B$26,Z276,Z276-MIN(MAX(Z276,0),'P-Parametri'!$B$8*(Z276+Y276)))</f>
        <v>19606.690645461498</v>
      </c>
      <c r="AC276" s="18">
        <f>IF($A276&gt;'1-Input'!$B$26,AC275,AC275-X276*(1-W276))</f>
        <v>4697.9552498377916</v>
      </c>
      <c r="AD276" s="11">
        <f>IF($A276&gt;'1-Input'!$B$26,0,IF(AI275&lt;=0,0,MAX(0,(AI275-AJ275)/AI275)))</f>
        <v>0.75369550084495729</v>
      </c>
      <c r="AE276" s="18">
        <f>IF($A276&gt;'1-Input'!$B$26,0,(MAX(0,AD231-IF($A276&gt;='1-Input'!$C$12,'1-Input'!$B$12,0))-MIN(MAX(AH275,0),MAX(0,AD231-IF($A276&gt;='1-Input'!$C$12,'1-Input'!$B$12,0))))*(1/(1-'P-Parametri'!$B$6*AD276))+MIN(MAX(0,AI275-(MAX(0,AD231-IF($A276&gt;='1-Input'!$C$12,'1-Input'!$B$12,0))-MIN(MAX(AH275,0),MAX(0,AD231-IF($A276&gt;='1-Input'!$C$12,'1-Input'!$B$12,0))))*(1/(1-'P-Parametri'!$B$6*AD276))),MAX(0,0*AD231-(AH275-MIN(MAX(AH275,0),MAX(0,AD231-IF($A276&gt;='1-Input'!$C$12,'1-Input'!$B$12,0)))))*(1/(1-'P-Parametri'!$B$6*AD276))))</f>
        <v>9630.8082280156596</v>
      </c>
      <c r="AF276" s="18">
        <f>IF($A276&gt;'1-Input'!$B$26,AH275,(AH275-MAX(0,AD231-IF($A276&gt;='1-Input'!$C$12,'1-Input'!$B$12,0))+AE276*(1-'P-Parametri'!$B$6*AD276))*(1+ROUND('3-Liquidita'!$F$7,4)))</f>
        <v>0</v>
      </c>
      <c r="AG276" s="18">
        <f>IF($A276&gt;'1-Input'!$B$26,AI275,(AI275-AE276)*(1+'5-Roberta'!$C$4))</f>
        <v>18995.520892088069</v>
      </c>
      <c r="AH276" s="18">
        <f>IF($A276&gt;'1-Input'!$B$26,AF276,AF276-'P-Parametri'!$B$8*(AG276+AF276)+MIN(MAX(AG276,0),'P-Parametri'!$B$8*(AG276+AF276)))</f>
        <v>0</v>
      </c>
      <c r="AI276" s="18">
        <f>IF($A276&gt;'1-Input'!$B$26,AG276,AG276-MIN(MAX(AG276,0),'P-Parametri'!$B$8*(AG276+AF276)))</f>
        <v>18957.529850303894</v>
      </c>
      <c r="AJ276" s="18">
        <f>IF($A276&gt;'1-Input'!$B$26,AJ275,AJ275-AE276*(1-AD276))</f>
        <v>4542.4099606940781</v>
      </c>
      <c r="AK276" s="11">
        <f>IF($A276&gt;'1-Input'!$B$26,0,IF(AP275&lt;=0,0,MAX(0,(AP275-AQ275)/AP275)))</f>
        <v>0.75369550084495696</v>
      </c>
      <c r="AL276" s="18">
        <f>IF($A276&gt;'1-Input'!$B$26,0,(MAX(0,AK231-IF($A276&gt;='1-Input'!$C$12,'1-Input'!$B$12,0))-MIN(MAX(AO275,0),MAX(0,AK231-IF($A276&gt;='1-Input'!$C$12,'1-Input'!$B$12,0))))*(1/(1-'P-Parametri'!$B$6*AK276))+MIN(MAX(0,AP275-(MAX(0,AK231-IF($A276&gt;='1-Input'!$C$12,'1-Input'!$B$12,0))-MIN(MAX(AO275,0),MAX(0,AK231-IF($A276&gt;='1-Input'!$C$12,'1-Input'!$B$12,0))))*(1/(1-'P-Parametri'!$B$6*AK276))),MAX(0,0*AK231-(AO275-MIN(MAX(AO275,0),MAX(0,AK231-IF($A276&gt;='1-Input'!$C$12,'1-Input'!$B$12,0)))))*(1/(1-'P-Parametri'!$B$6*AK276))))</f>
        <v>9629.4981585003643</v>
      </c>
      <c r="AM276" s="18">
        <f>IF($A276&gt;'1-Input'!$B$26,AO275,(AO275-MAX(0,AK231-IF($A276&gt;='1-Input'!$C$12,'1-Input'!$B$12,0))+AL276*(1-'P-Parametri'!$B$6*AK276))*(1+ROUND('3-Liquidita'!$F$7,4)))</f>
        <v>0</v>
      </c>
      <c r="AN276" s="18">
        <f>IF($A276&gt;'1-Input'!$B$26,AP275,(AP275-AL276)*(1+'5-Roberta'!$C$4))</f>
        <v>19096.525612374196</v>
      </c>
      <c r="AO276" s="18">
        <f>IF($A276&gt;'1-Input'!$B$26,AM276,AM276-'P-Parametri'!$B$8*(AN276+AM276)+MIN(MAX(AN276,0),'P-Parametri'!$B$8*(AN276+AM276)))</f>
        <v>0</v>
      </c>
      <c r="AP276" s="18">
        <f>IF($A276&gt;'1-Input'!$B$26,AN276,AN276-MIN(MAX(AN276,0),'P-Parametri'!$B$8*(AN276+AM276)))</f>
        <v>19058.332561149447</v>
      </c>
      <c r="AQ276" s="18">
        <f>IF($A276&gt;'1-Input'!$B$26,AQ275,AQ275-AL276*(1-AK276))</f>
        <v>4566.5632782109496</v>
      </c>
    </row>
    <row r="277" spans="1:43">
      <c r="A277" s="10">
        <f>44</f>
        <v>44</v>
      </c>
      <c r="B277" s="11">
        <f>IF($A277&gt;'1-Input'!$B$26,0,IF(G276&lt;=0,0,MAX(0,(G276-H276)/G276)))</f>
        <v>0.76039019869346158</v>
      </c>
      <c r="C277" s="18">
        <f>IF($A277&gt;'1-Input'!$B$26,0,(MAX(0,B231-IF($A277&gt;='1-Input'!$C$12,'1-Input'!$B$12,0))-MIN(MAX(F276,0),MAX(0,B231-IF($A277&gt;='1-Input'!$C$12,'1-Input'!$B$12,0))))*(1/(1-'P-Parametri'!$B$6*B277))+MIN(MAX(0,G276-(MAX(0,B231-IF($A277&gt;='1-Input'!$C$12,'1-Input'!$B$12,0))-MIN(MAX(F276,0),MAX(0,B231-IF($A277&gt;='1-Input'!$C$12,'1-Input'!$B$12,0))))*(1/(1-'P-Parametri'!$B$6*B277))),MAX(0,0*B231-(F276-MIN(MAX(F276,0),MAX(0,B231-IF($A277&gt;='1-Input'!$C$12,'1-Input'!$B$12,0)))))*(1/(1-'P-Parametri'!$B$6*B277))))</f>
        <v>6953.8394730630662</v>
      </c>
      <c r="D277" s="18">
        <f>IF($A277&gt;'1-Input'!$B$26,F276,(F276-MAX(0,B231-IF($A277&gt;='1-Input'!$C$12,'1-Input'!$B$12,0))+C277*(1-'P-Parametri'!$B$6*B277))*(1+ROUND('3-Liquidita'!$F$7,4)))</f>
        <v>0</v>
      </c>
      <c r="E277" s="18">
        <f>IF($A277&gt;'1-Input'!$B$26,G276,(G276-C277)*(1+'5-Roberta'!$C$4))</f>
        <v>225714.37781389611</v>
      </c>
      <c r="F277" s="18">
        <f>IF($A277&gt;'1-Input'!$B$26,D277,D277-'P-Parametri'!$B$8*(E277+D277)+MIN(MAX(E277,0),'P-Parametri'!$B$8*(E277+D277)))</f>
        <v>0</v>
      </c>
      <c r="G277" s="18">
        <f>IF($A277&gt;'1-Input'!$B$26,E277,E277-MIN(MAX(E277,0),'P-Parametri'!$B$8*(E277+D277)))</f>
        <v>225262.94905826831</v>
      </c>
      <c r="H277" s="18">
        <f>IF($A277&gt;'1-Input'!$B$26,H276,H276-C277*(1-B277))</f>
        <v>52508.133223317083</v>
      </c>
      <c r="I277" s="11">
        <f>IF($A277&gt;'1-Input'!$B$26,0,IF(N276&lt;=0,0,MAX(0,(N276-O276)/N276)))</f>
        <v>0</v>
      </c>
      <c r="J277" s="18">
        <f>IF($A277&gt;'1-Input'!$B$26,0,(MAX(0,I231-IF($A277&gt;='1-Input'!$C$12,'1-Input'!$B$12,0))-MIN(MAX(M276,0),MAX(0,I231-IF($A277&gt;='1-Input'!$C$12,'1-Input'!$B$12,0))))*(1/(1-'P-Parametri'!$B$6*I277))+MIN(MAX(0,N276-(MAX(0,I231-IF($A277&gt;='1-Input'!$C$12,'1-Input'!$B$12,0))-MIN(MAX(M276,0),MAX(0,I231-IF($A277&gt;='1-Input'!$C$12,'1-Input'!$B$12,0))))*(1/(1-'P-Parametri'!$B$6*I277))),MAX(0,0*I231-(M276-MIN(MAX(M276,0),MAX(0,I231-IF($A277&gt;='1-Input'!$C$12,'1-Input'!$B$12,0)))))*(1/(1-'P-Parametri'!$B$6*I277))))</f>
        <v>10846.756992928691</v>
      </c>
      <c r="K277" s="18">
        <f>IF($A277&gt;'1-Input'!$B$26,M276,(M276-MAX(0,I231-IF($A277&gt;='1-Input'!$C$12,'1-Input'!$B$12,0))+J277*(1-'P-Parametri'!$B$6*I277))*(1+ROUND('3-Liquidita'!$F$7,4)))</f>
        <v>0</v>
      </c>
      <c r="L277" s="18">
        <f>IF($A277&gt;'1-Input'!$B$26,N276,(N276-J277)*(1+'5-Roberta'!$C$4))</f>
        <v>-247707.72427486724</v>
      </c>
      <c r="M277" s="18">
        <f>IF($A277&gt;'1-Input'!$B$26,K277,K277-'P-Parametri'!$B$8*(L277+K277)+MIN(MAX(L277,0),'P-Parametri'!$B$8*(L277+K277)))</f>
        <v>0</v>
      </c>
      <c r="N277" s="18">
        <f>IF($A277&gt;'1-Input'!$B$26,L277,L277-MIN(MAX(L277,0),'P-Parametri'!$B$8*(L277+K277)))</f>
        <v>-247212.30882631752</v>
      </c>
      <c r="O277" s="18">
        <f>IF($A277&gt;'1-Input'!$B$26,O276,O276-J277*(1-I277))</f>
        <v>-186435.84234491305</v>
      </c>
      <c r="P277" s="11">
        <f>IF($A277&gt;'1-Input'!$B$26,0,IF(U276&lt;=0,0,MAX(0,(U276-V276)/U276)))</f>
        <v>0</v>
      </c>
      <c r="Q277" s="18">
        <f>IF($A277&gt;'1-Input'!$B$26,0,(MAX(0,P231-IF($A277&gt;='1-Input'!$C$12,'1-Input'!$B$12,0))-MIN(MAX(T276,0),MAX(0,P231-IF($A277&gt;='1-Input'!$C$12,'1-Input'!$B$12,0))))*(1/(1-'P-Parametri'!$B$6*P277))+MIN(MAX(0,U276-(MAX(0,P231-IF($A277&gt;='1-Input'!$C$12,'1-Input'!$B$12,0))-MIN(MAX(T276,0),MAX(0,P231-IF($A277&gt;='1-Input'!$C$12,'1-Input'!$B$12,0))))*(1/(1-'P-Parametri'!$B$6*P277))),MAX(0,0*P231-(T276-MIN(MAX(T276,0),MAX(0,P231-IF($A277&gt;='1-Input'!$C$12,'1-Input'!$B$12,0)))))*(1/(1-'P-Parametri'!$B$6*P277))))</f>
        <v>7993.0396042883986</v>
      </c>
      <c r="R277" s="18">
        <f>IF($A277&gt;'1-Input'!$B$26,T276,(T276-MAX(0,P231-IF($A277&gt;='1-Input'!$C$12,'1-Input'!$B$12,0))+Q277*(1-'P-Parametri'!$B$6*P277))*(1+ROUND('3-Liquidita'!$F$7,4)))</f>
        <v>0</v>
      </c>
      <c r="S277" s="18">
        <f>IF($A277&gt;'1-Input'!$B$26,U276,(U276-Q277)*(1+'5-Roberta'!$C$4))</f>
        <v>-13298.667041286733</v>
      </c>
      <c r="T277" s="18">
        <f>IF($A277&gt;'1-Input'!$B$26,R277,R277-'P-Parametri'!$B$8*(S277+R277)+MIN(MAX(S277,0),'P-Parametri'!$B$8*(S277+R277)))</f>
        <v>0</v>
      </c>
      <c r="U277" s="18">
        <f>IF($A277&gt;'1-Input'!$B$26,S277,S277-MIN(MAX(S277,0),'P-Parametri'!$B$8*(S277+R277)))</f>
        <v>-13272.06970720416</v>
      </c>
      <c r="V277" s="18">
        <f>IF($A277&gt;'1-Input'!$B$26,V276,V276-Q277*(1-P277))</f>
        <v>-9171.5095237477417</v>
      </c>
      <c r="W277" s="11">
        <f>IF($A277&gt;'1-Input'!$B$26,0,IF(AB276&lt;=0,0,MAX(0,(AB276-AC276)/AB276)))</f>
        <v>0.76039019869346169</v>
      </c>
      <c r="X277" s="18">
        <f>IF($A277&gt;'1-Input'!$B$26,0,(MAX(0,W231-IF($A277&gt;='1-Input'!$C$12,'1-Input'!$B$12,0))-MIN(MAX(AA276,0),MAX(0,W231-IF($A277&gt;='1-Input'!$C$12,'1-Input'!$B$12,0))))*(1/(1-'P-Parametri'!$B$6*W277))+MIN(MAX(0,AB276-(MAX(0,W231-IF($A277&gt;='1-Input'!$C$12,'1-Input'!$B$12,0))-MIN(MAX(AA276,0),MAX(0,W231-IF($A277&gt;='1-Input'!$C$12,'1-Input'!$B$12,0))))*(1/(1-'P-Parametri'!$B$6*W277))),MAX(0,0*W231-(AA276-MIN(MAX(AA276,0),MAX(0,W231-IF($A277&gt;='1-Input'!$C$12,'1-Input'!$B$12,0)))))*(1/(1-'P-Parametri'!$B$6*W277))))</f>
        <v>9643.2476445288648</v>
      </c>
      <c r="Y277" s="18">
        <f>IF($A277&gt;'1-Input'!$B$26,AA276,(AA276-MAX(0,W231-IF($A277&gt;='1-Input'!$C$12,'1-Input'!$B$12,0))+X277*(1-'P-Parametri'!$B$6*W277))*(1+ROUND('3-Liquidita'!$F$7,4)))</f>
        <v>0</v>
      </c>
      <c r="Z277" s="18">
        <f>IF($A277&gt;'1-Input'!$B$26,AB276,(AB276-X277)*(1+'5-Roberta'!$C$4))</f>
        <v>10262.346290960613</v>
      </c>
      <c r="AA277" s="18">
        <f>IF($A277&gt;'1-Input'!$B$26,Y277,Y277-'P-Parametri'!$B$8*(Z277+Y277)+MIN(MAX(Z277,0),'P-Parametri'!$B$8*(Z277+Y277)))</f>
        <v>0</v>
      </c>
      <c r="AB277" s="18">
        <f>IF($A277&gt;'1-Input'!$B$26,Z277,Z277-MIN(MAX(Z277,0),'P-Parametri'!$B$8*(Z277+Y277)))</f>
        <v>10241.821598378692</v>
      </c>
      <c r="AC277" s="18">
        <f>IF($A277&gt;'1-Input'!$B$26,AC276,AC276-X277*(1-W277))</f>
        <v>2387.3385977824869</v>
      </c>
      <c r="AD277" s="11">
        <f>IF($A277&gt;'1-Input'!$B$26,0,IF(AI276&lt;=0,0,MAX(0,(AI276-AJ276)/AI276)))</f>
        <v>0.76039019869346203</v>
      </c>
      <c r="AE277" s="18">
        <f>IF($A277&gt;'1-Input'!$B$26,0,(MAX(0,AD231-IF($A277&gt;='1-Input'!$C$12,'1-Input'!$B$12,0))-MIN(MAX(AH276,0),MAX(0,AD231-IF($A277&gt;='1-Input'!$C$12,'1-Input'!$B$12,0))))*(1/(1-'P-Parametri'!$B$6*AD277))+MIN(MAX(0,AI276-(MAX(0,AD231-IF($A277&gt;='1-Input'!$C$12,'1-Input'!$B$12,0))-MIN(MAX(AH276,0),MAX(0,AD231-IF($A277&gt;='1-Input'!$C$12,'1-Input'!$B$12,0))))*(1/(1-'P-Parametri'!$B$6*AD277))),MAX(0,0*AD231-(AH276-MIN(MAX(AH276,0),MAX(0,AD231-IF($A277&gt;='1-Input'!$C$12,'1-Input'!$B$12,0)))))*(1/(1-'P-Parametri'!$B$6*AD277))))</f>
        <v>9651.7026834858716</v>
      </c>
      <c r="AF277" s="18">
        <f>IF($A277&gt;'1-Input'!$B$26,AH276,(AH276-MAX(0,AD231-IF($A277&gt;='1-Input'!$C$12,'1-Input'!$B$12,0))+AE277*(1-'P-Parametri'!$B$6*AD277))*(1+ROUND('3-Liquidita'!$F$7,4)))</f>
        <v>0</v>
      </c>
      <c r="AG277" s="18">
        <f>IF($A277&gt;'1-Input'!$B$26,AI276,(AI276-AE277)*(1+'5-Roberta'!$C$4))</f>
        <v>9585.0019818225628</v>
      </c>
      <c r="AH277" s="18">
        <f>IF($A277&gt;'1-Input'!$B$26,AF277,AF277-'P-Parametri'!$B$8*(AG277+AF277)+MIN(MAX(AG277,0),'P-Parametri'!$B$8*(AG277+AF277)))</f>
        <v>0</v>
      </c>
      <c r="AI277" s="18">
        <f>IF($A277&gt;'1-Input'!$B$26,AG277,AG277-MIN(MAX(AG277,0),'P-Parametri'!$B$8*(AG277+AF277)))</f>
        <v>9565.8319778589175</v>
      </c>
      <c r="AJ277" s="18">
        <f>IF($A277&gt;'1-Input'!$B$26,AJ276,AJ276-AE277*(1-AD277))</f>
        <v>2229.7673984342491</v>
      </c>
      <c r="AK277" s="11">
        <f>IF($A277&gt;'1-Input'!$B$26,0,IF(AP276&lt;=0,0,MAX(0,(AP276-AQ276)/AP276)))</f>
        <v>0.76039019869346158</v>
      </c>
      <c r="AL277" s="18">
        <f>IF($A277&gt;'1-Input'!$B$26,0,(MAX(0,AK231-IF($A277&gt;='1-Input'!$C$12,'1-Input'!$B$12,0))-MIN(MAX(AO276,0),MAX(0,AK231-IF($A277&gt;='1-Input'!$C$12,'1-Input'!$B$12,0))))*(1/(1-'P-Parametri'!$B$6*AK277))+MIN(MAX(0,AP276-(MAX(0,AK231-IF($A277&gt;='1-Input'!$C$12,'1-Input'!$B$12,0))-MIN(MAX(AO276,0),MAX(0,AK231-IF($A277&gt;='1-Input'!$C$12,'1-Input'!$B$12,0))))*(1/(1-'P-Parametri'!$B$6*AK277))),MAX(0,0*AK231-(AO276-MIN(MAX(AO276,0),MAX(0,AK231-IF($A277&gt;='1-Input'!$C$12,'1-Input'!$B$12,0)))))*(1/(1-'P-Parametri'!$B$6*AK277))))</f>
        <v>9650.3897717180353</v>
      </c>
      <c r="AM277" s="18">
        <f>IF($A277&gt;'1-Input'!$B$26,AO276,(AO276-MAX(0,AK231-IF($A277&gt;='1-Input'!$C$12,'1-Input'!$B$12,0))+AL277*(1-'P-Parametri'!$B$6*AK277))*(1+ROUND('3-Liquidita'!$F$7,4)))</f>
        <v>-9.1522451839409766E-13</v>
      </c>
      <c r="AN277" s="18">
        <f>IF($A277&gt;'1-Input'!$B$26,AP276,(AP276-AL277)*(1+'5-Roberta'!$C$4))</f>
        <v>9690.1810731143541</v>
      </c>
      <c r="AO277" s="18">
        <f>IF($A277&gt;'1-Input'!$B$26,AM277,AM277-'P-Parametri'!$B$8*(AN277+AM277)+MIN(MAX(AN277,0),'P-Parametri'!$B$8*(AN277+AM277)))</f>
        <v>-9.1660012913052924E-13</v>
      </c>
      <c r="AP277" s="18">
        <f>IF($A277&gt;'1-Input'!$B$26,AN277,AN277-MIN(MAX(AN277,0),'P-Parametri'!$B$8*(AN277+AM277)))</f>
        <v>9670.8007109681257</v>
      </c>
      <c r="AQ277" s="18">
        <f>IF($A277&gt;'1-Input'!$B$26,AQ276,AQ276-AL277*(1-AK277))</f>
        <v>2254.2353024789404</v>
      </c>
    </row>
    <row r="278" spans="1:43">
      <c r="A278" s="10">
        <f>45</f>
        <v>45</v>
      </c>
      <c r="B278" s="11">
        <f>IF($A278&gt;'1-Input'!$B$26,0,IF(G277&lt;=0,0,MAX(0,(G277-H277)/G277)))</f>
        <v>0.76690293080672178</v>
      </c>
      <c r="C278" s="18">
        <f>IF($A278&gt;'1-Input'!$B$26,0,(MAX(0,B231-IF($A278&gt;='1-Input'!$C$12,'1-Input'!$B$12,0))-MIN(MAX(F277,0),MAX(0,B231-IF($A278&gt;='1-Input'!$C$12,'1-Input'!$B$12,0))))*(1/(1-'P-Parametri'!$B$6*B278))+MIN(MAX(0,G277-(MAX(0,B231-IF($A278&gt;='1-Input'!$C$12,'1-Input'!$B$12,0))-MIN(MAX(F277,0),MAX(0,B231-IF($A278&gt;='1-Input'!$C$12,'1-Input'!$B$12,0))))*(1/(1-'P-Parametri'!$B$6*B278))),MAX(0,0*B231-(F277-MIN(MAX(F277,0),MAX(0,B231-IF($A278&gt;='1-Input'!$C$12,'1-Input'!$B$12,0)))))*(1/(1-'P-Parametri'!$B$6*B278))))</f>
        <v>6968.5471064751255</v>
      </c>
      <c r="D278" s="18">
        <f>IF($A278&gt;'1-Input'!$B$26,F277,(F277-MAX(0,B231-IF($A278&gt;='1-Input'!$C$12,'1-Input'!$B$12,0))+C278*(1-'P-Parametri'!$B$6*B278))*(1+ROUND('3-Liquidita'!$F$7,4)))</f>
        <v>-9.1522451839409766E-13</v>
      </c>
      <c r="E278" s="18">
        <f>IF($A278&gt;'1-Input'!$B$26,G277,(G277-C278)*(1+'5-Roberta'!$C$4))</f>
        <v>224843.23401034696</v>
      </c>
      <c r="F278" s="18">
        <f>IF($A278&gt;'1-Input'!$B$26,D278,D278-'P-Parametri'!$B$8*(E278+D278)+MIN(MAX(E278,0),'P-Parametri'!$B$8*(E278+D278)))</f>
        <v>-9.0949470177292824E-13</v>
      </c>
      <c r="G278" s="18">
        <f>IF($A278&gt;'1-Input'!$B$26,E278,E278-MIN(MAX(E278,0),'P-Parametri'!$B$8*(E278+D278)))</f>
        <v>224393.54754232627</v>
      </c>
      <c r="H278" s="18">
        <f>IF($A278&gt;'1-Input'!$B$26,H277,H277-C278*(1-B278))</f>
        <v>50883.785316262431</v>
      </c>
      <c r="I278" s="11">
        <f>IF($A278&gt;'1-Input'!$B$26,0,IF(N277&lt;=0,0,MAX(0,(N277-O277)/N277)))</f>
        <v>0</v>
      </c>
      <c r="J278" s="18">
        <f>IF($A278&gt;'1-Input'!$B$26,0,(MAX(0,I231-IF($A278&gt;='1-Input'!$C$12,'1-Input'!$B$12,0))-MIN(MAX(M277,0),MAX(0,I231-IF($A278&gt;='1-Input'!$C$12,'1-Input'!$B$12,0))))*(1/(1-'P-Parametri'!$B$6*I278))+MIN(MAX(0,N277-(MAX(0,I231-IF($A278&gt;='1-Input'!$C$12,'1-Input'!$B$12,0))-MIN(MAX(M277,0),MAX(0,I231-IF($A278&gt;='1-Input'!$C$12,'1-Input'!$B$12,0))))*(1/(1-'P-Parametri'!$B$6*I278))),MAX(0,0*I231-(M277-MIN(MAX(M277,0),MAX(0,I231-IF($A278&gt;='1-Input'!$C$12,'1-Input'!$B$12,0)))))*(1/(1-'P-Parametri'!$B$6*I278))))</f>
        <v>10846.756992928691</v>
      </c>
      <c r="K278" s="18">
        <f>IF($A278&gt;'1-Input'!$B$26,M277,(M277-MAX(0,I231-IF($A278&gt;='1-Input'!$C$12,'1-Input'!$B$12,0))+J278*(1-'P-Parametri'!$B$6*I278))*(1+ROUND('3-Liquidita'!$F$7,4)))</f>
        <v>0</v>
      </c>
      <c r="L278" s="18">
        <f>IF($A278&gt;'1-Input'!$B$26,N277,(N277-J278)*(1+'5-Roberta'!$C$4))</f>
        <v>-265800.83779382356</v>
      </c>
      <c r="M278" s="18">
        <f>IF($A278&gt;'1-Input'!$B$26,K278,K278-'P-Parametri'!$B$8*(L278+K278)+MIN(MAX(L278,0),'P-Parametri'!$B$8*(L278+K278)))</f>
        <v>0</v>
      </c>
      <c r="N278" s="18">
        <f>IF($A278&gt;'1-Input'!$B$26,L278,L278-MIN(MAX(L278,0),'P-Parametri'!$B$8*(L278+K278)))</f>
        <v>-265269.23611823592</v>
      </c>
      <c r="O278" s="18">
        <f>IF($A278&gt;'1-Input'!$B$26,O277,O277-J278*(1-I278))</f>
        <v>-197282.59933784173</v>
      </c>
      <c r="P278" s="11">
        <f>IF($A278&gt;'1-Input'!$B$26,0,IF(U277&lt;=0,0,MAX(0,(U277-V277)/U277)))</f>
        <v>0</v>
      </c>
      <c r="Q278" s="18">
        <f>IF($A278&gt;'1-Input'!$B$26,0,(MAX(0,P231-IF($A278&gt;='1-Input'!$C$12,'1-Input'!$B$12,0))-MIN(MAX(T277,0),MAX(0,P231-IF($A278&gt;='1-Input'!$C$12,'1-Input'!$B$12,0))))*(1/(1-'P-Parametri'!$B$6*P278))+MIN(MAX(0,U277-(MAX(0,P231-IF($A278&gt;='1-Input'!$C$12,'1-Input'!$B$12,0))-MIN(MAX(T277,0),MAX(0,P231-IF($A278&gt;='1-Input'!$C$12,'1-Input'!$B$12,0))))*(1/(1-'P-Parametri'!$B$6*P278))),MAX(0,0*P231-(T277-MIN(MAX(T277,0),MAX(0,P231-IF($A278&gt;='1-Input'!$C$12,'1-Input'!$B$12,0)))))*(1/(1-'P-Parametri'!$B$6*P278))))</f>
        <v>7993.0396042883986</v>
      </c>
      <c r="R278" s="18">
        <f>IF($A278&gt;'1-Input'!$B$26,T277,(T277-MAX(0,P231-IF($A278&gt;='1-Input'!$C$12,'1-Input'!$B$12,0))+Q278*(1-'P-Parametri'!$B$6*P278))*(1+ROUND('3-Liquidita'!$F$7,4)))</f>
        <v>0</v>
      </c>
      <c r="S278" s="18">
        <f>IF($A278&gt;'1-Input'!$B$26,U277,(U277-Q278)*(1+'5-Roberta'!$C$4))</f>
        <v>-21903.062590837337</v>
      </c>
      <c r="T278" s="18">
        <f>IF($A278&gt;'1-Input'!$B$26,R278,R278-'P-Parametri'!$B$8*(S278+R278)+MIN(MAX(S278,0),'P-Parametri'!$B$8*(S278+R278)))</f>
        <v>0</v>
      </c>
      <c r="U278" s="18">
        <f>IF($A278&gt;'1-Input'!$B$26,S278,S278-MIN(MAX(S278,0),'P-Parametri'!$B$8*(S278+R278)))</f>
        <v>-21859.256465655661</v>
      </c>
      <c r="V278" s="18">
        <f>IF($A278&gt;'1-Input'!$B$26,V277,V277-Q278*(1-P278))</f>
        <v>-17164.549128036138</v>
      </c>
      <c r="W278" s="11">
        <f>IF($A278&gt;'1-Input'!$B$26,0,IF(AB277&lt;=0,0,MAX(0,(AB277-AC277)/AB277)))</f>
        <v>0.76690293080672201</v>
      </c>
      <c r="X278" s="18">
        <f>IF($A278&gt;'1-Input'!$B$26,0,(MAX(0,W231-IF($A278&gt;='1-Input'!$C$12,'1-Input'!$B$12,0))-MIN(MAX(AA277,0),MAX(0,W231-IF($A278&gt;='1-Input'!$C$12,'1-Input'!$B$12,0))))*(1/(1-'P-Parametri'!$B$6*W278))+MIN(MAX(0,AB277-(MAX(0,W231-IF($A278&gt;='1-Input'!$C$12,'1-Input'!$B$12,0))-MIN(MAX(AA277,0),MAX(0,W231-IF($A278&gt;='1-Input'!$C$12,'1-Input'!$B$12,0))))*(1/(1-'P-Parametri'!$B$6*W278))),MAX(0,0*W231-(AA277-MIN(MAX(AA277,0),MAX(0,W231-IF($A278&gt;='1-Input'!$C$12,'1-Input'!$B$12,0)))))*(1/(1-'P-Parametri'!$B$6*W278))))</f>
        <v>9663.6434779108185</v>
      </c>
      <c r="Y278" s="18">
        <f>IF($A278&gt;'1-Input'!$B$26,AA277,(AA277-MAX(0,W231-IF($A278&gt;='1-Input'!$C$12,'1-Input'!$B$12,0))+X278*(1-'P-Parametri'!$B$6*W278))*(1+ROUND('3-Liquidita'!$F$7,4)))</f>
        <v>0</v>
      </c>
      <c r="Z278" s="18">
        <f>IF($A278&gt;'1-Input'!$B$26,AB277,(AB277-X278)*(1+'5-Roberta'!$C$4))</f>
        <v>595.52346408190988</v>
      </c>
      <c r="AA278" s="18">
        <f>IF($A278&gt;'1-Input'!$B$26,Y278,Y278-'P-Parametri'!$B$8*(Z278+Y278)+MIN(MAX(Z278,0),'P-Parametri'!$B$8*(Z278+Y278)))</f>
        <v>0</v>
      </c>
      <c r="AB278" s="18">
        <f>IF($A278&gt;'1-Input'!$B$26,Z278,Z278-MIN(MAX(Z278,0),'P-Parametri'!$B$8*(Z278+Y278)))</f>
        <v>594.33241715374606</v>
      </c>
      <c r="AC278" s="18">
        <f>IF($A278&gt;'1-Input'!$B$26,AC277,AC277-X278*(1-W278))</f>
        <v>134.77162535273919</v>
      </c>
      <c r="AD278" s="11">
        <f>IF($A278&gt;'1-Input'!$B$26,0,IF(AI277&lt;=0,0,MAX(0,(AI277-AJ277)/AI277)))</f>
        <v>0.76690293080672223</v>
      </c>
      <c r="AE278" s="18">
        <f>IF($A278&gt;'1-Input'!$B$26,0,(MAX(0,AD231-IF($A278&gt;='1-Input'!$C$12,'1-Input'!$B$12,0))-MIN(MAX(AH277,0),MAX(0,AD231-IF($A278&gt;='1-Input'!$C$12,'1-Input'!$B$12,0))))*(1/(1-'P-Parametri'!$B$6*AD278))+MIN(MAX(0,AI277-(MAX(0,AD231-IF($A278&gt;='1-Input'!$C$12,'1-Input'!$B$12,0))-MIN(MAX(AH277,0),MAX(0,AD231-IF($A278&gt;='1-Input'!$C$12,'1-Input'!$B$12,0))))*(1/(1-'P-Parametri'!$B$6*AD278))),MAX(0,0*AD231-(AH277-MIN(MAX(AH277,0),MAX(0,AD231-IF($A278&gt;='1-Input'!$C$12,'1-Input'!$B$12,0)))))*(1/(1-'P-Parametri'!$B$6*AD278))))</f>
        <v>9672.1163995949046</v>
      </c>
      <c r="AF278" s="18">
        <f>IF($A278&gt;'1-Input'!$B$26,AH277,(AH277-MAX(0,AD231-IF($A278&gt;='1-Input'!$C$12,'1-Input'!$B$12,0))+AE278*(1-'P-Parametri'!$B$6*AD278))*(1+ROUND('3-Liquidita'!$F$7,4)))</f>
        <v>0</v>
      </c>
      <c r="AG278" s="18">
        <f>IF($A278&gt;'1-Input'!$B$26,AI277,(AI277-AE278)*(1+'5-Roberta'!$C$4))</f>
        <v>-109.47295438806667</v>
      </c>
      <c r="AH278" s="18">
        <f>IF($A278&gt;'1-Input'!$B$26,AF278,AF278-'P-Parametri'!$B$8*(AG278+AF278)+MIN(MAX(AG278,0),'P-Parametri'!$B$8*(AG278+AF278)))</f>
        <v>0</v>
      </c>
      <c r="AI278" s="18">
        <f>IF($A278&gt;'1-Input'!$B$26,AG278,AG278-MIN(MAX(AG278,0),'P-Parametri'!$B$8*(AG278+AF278)))</f>
        <v>-109.25400847929053</v>
      </c>
      <c r="AJ278" s="18">
        <f>IF($A278&gt;'1-Input'!$B$26,AJ277,AJ277-AE278*(1-AD278))</f>
        <v>-24.774587207561126</v>
      </c>
      <c r="AK278" s="11">
        <f>IF($A278&gt;'1-Input'!$B$26,0,IF(AP277&lt;=0,0,MAX(0,(AP277-AQ277)/AP277)))</f>
        <v>0.76690293080672178</v>
      </c>
      <c r="AL278" s="18">
        <f>IF($A278&gt;'1-Input'!$B$26,0,(MAX(0,AK231-IF($A278&gt;='1-Input'!$C$12,'1-Input'!$B$12,0))-MIN(MAX(AO277,0),MAX(0,AK231-IF($A278&gt;='1-Input'!$C$12,'1-Input'!$B$12,0))))*(1/(1-'P-Parametri'!$B$6*AK278))+MIN(MAX(0,AP277-(MAX(0,AK231-IF($A278&gt;='1-Input'!$C$12,'1-Input'!$B$12,0))-MIN(MAX(AO277,0),MAX(0,AK231-IF($A278&gt;='1-Input'!$C$12,'1-Input'!$B$12,0))))*(1/(1-'P-Parametri'!$B$6*AK278))),MAX(0,0*AK231-(AO277-MIN(MAX(AO277,0),MAX(0,AK231-IF($A278&gt;='1-Input'!$C$12,'1-Input'!$B$12,0)))))*(1/(1-'P-Parametri'!$B$6*AK278))))</f>
        <v>9670.8007109690388</v>
      </c>
      <c r="AM278" s="18">
        <f>IF($A278&gt;'1-Input'!$B$26,AO277,(AO277-MAX(0,AK231-IF($A278&gt;='1-Input'!$C$12,'1-Input'!$B$12,0))+AL278*(1-'P-Parametri'!$B$6*AK278))*(1+ROUND('3-Liquidita'!$F$7,4)))</f>
        <v>-1.8304490367881953E-12</v>
      </c>
      <c r="AN278" s="18">
        <f>IF($A278&gt;'1-Input'!$B$26,AP277,(AP277-AL278)*(1+'5-Roberta'!$C$4))</f>
        <v>-9.4052666099742066E-10</v>
      </c>
      <c r="AO278" s="18">
        <f>IF($A278&gt;'1-Input'!$B$26,AM278,AM278-'P-Parametri'!$B$8*(AN278+AM278)+MIN(MAX(AN278,0),'P-Parametri'!$B$8*(AN278+AM278)))</f>
        <v>-1.8304490367881953E-12</v>
      </c>
      <c r="AP278" s="18">
        <f>IF($A278&gt;'1-Input'!$B$26,AN278,AN278-MIN(MAX(AN278,0),'P-Parametri'!$B$8*(AN278+AM278)))</f>
        <v>-9.3864194677735229E-10</v>
      </c>
      <c r="AQ278" s="18">
        <f>IF($A278&gt;'1-Input'!$B$26,AQ277,AQ277-AL278*(1-AK278))</f>
        <v>-2.1373125491663814E-10</v>
      </c>
    </row>
    <row r="279" spans="1:43">
      <c r="A279" s="10">
        <f>46</f>
        <v>46</v>
      </c>
      <c r="B279" s="11">
        <f>IF($A279&gt;'1-Input'!$B$26,0,IF(G278&lt;=0,0,MAX(0,(G278-H278)/G278)))</f>
        <v>0</v>
      </c>
      <c r="C279" s="18">
        <f>IF($A279&gt;'1-Input'!$B$26,0,(MAX(0,B231-IF($A279&gt;='1-Input'!$C$12,'1-Input'!$B$12,0))-MIN(MAX(F278,0),MAX(0,B231-IF($A279&gt;='1-Input'!$C$12,'1-Input'!$B$12,0))))*(1/(1-'P-Parametri'!$B$6*B279))+MIN(MAX(0,G278-(MAX(0,B231-IF($A279&gt;='1-Input'!$C$12,'1-Input'!$B$12,0))-MIN(MAX(F278,0),MAX(0,B231-IF($A279&gt;='1-Input'!$C$12,'1-Input'!$B$12,0))))*(1/(1-'P-Parametri'!$B$6*B279))),MAX(0,0*B231-(F278-MIN(MAX(F278,0),MAX(0,B231-IF($A279&gt;='1-Input'!$C$12,'1-Input'!$B$12,0)))))*(1/(1-'P-Parametri'!$B$6*B279))))</f>
        <v>0</v>
      </c>
      <c r="D279" s="18">
        <f>IF($A279&gt;'1-Input'!$B$26,F278,(F278-MAX(0,B231-IF($A279&gt;='1-Input'!$C$12,'1-Input'!$B$12,0))+C279*(1-'P-Parametri'!$B$6*B279))*(1+ROUND('3-Liquidita'!$F$7,4)))</f>
        <v>-9.0949470177292824E-13</v>
      </c>
      <c r="E279" s="18">
        <f>IF($A279&gt;'1-Input'!$B$26,G278,(G278-C279)*(1+'5-Roberta'!$C$4))</f>
        <v>224393.54754232627</v>
      </c>
      <c r="F279" s="18">
        <f>IF($A279&gt;'1-Input'!$B$26,D279,D279-'P-Parametri'!$B$8*(E279+D279)+MIN(MAX(E279,0),'P-Parametri'!$B$8*(E279+D279)))</f>
        <v>-9.0949470177292824E-13</v>
      </c>
      <c r="G279" s="18">
        <f>IF($A279&gt;'1-Input'!$B$26,E279,E279-MIN(MAX(E279,0),'P-Parametri'!$B$8*(E279+D279)))</f>
        <v>224393.54754232627</v>
      </c>
      <c r="H279" s="18">
        <f>IF($A279&gt;'1-Input'!$B$26,H278,H278-C279*(1-B279))</f>
        <v>50883.785316262431</v>
      </c>
      <c r="I279" s="11">
        <f>IF($A279&gt;'1-Input'!$B$26,0,IF(N278&lt;=0,0,MAX(0,(N278-O278)/N278)))</f>
        <v>0</v>
      </c>
      <c r="J279" s="18">
        <f>IF($A279&gt;'1-Input'!$B$26,0,(MAX(0,I231-IF($A279&gt;='1-Input'!$C$12,'1-Input'!$B$12,0))-MIN(MAX(M278,0),MAX(0,I231-IF($A279&gt;='1-Input'!$C$12,'1-Input'!$B$12,0))))*(1/(1-'P-Parametri'!$B$6*I279))+MIN(MAX(0,N278-(MAX(0,I231-IF($A279&gt;='1-Input'!$C$12,'1-Input'!$B$12,0))-MIN(MAX(M278,0),MAX(0,I231-IF($A279&gt;='1-Input'!$C$12,'1-Input'!$B$12,0))))*(1/(1-'P-Parametri'!$B$6*I279))),MAX(0,0*I231-(M278-MIN(MAX(M278,0),MAX(0,I231-IF($A279&gt;='1-Input'!$C$12,'1-Input'!$B$12,0)))))*(1/(1-'P-Parametri'!$B$6*I279))))</f>
        <v>0</v>
      </c>
      <c r="K279" s="18">
        <f>IF($A279&gt;'1-Input'!$B$26,M278,(M278-MAX(0,I231-IF($A279&gt;='1-Input'!$C$12,'1-Input'!$B$12,0))+J279*(1-'P-Parametri'!$B$6*I279))*(1+ROUND('3-Liquidita'!$F$7,4)))</f>
        <v>0</v>
      </c>
      <c r="L279" s="18">
        <f>IF($A279&gt;'1-Input'!$B$26,N278,(N278-J279)*(1+'5-Roberta'!$C$4))</f>
        <v>-265269.23611823592</v>
      </c>
      <c r="M279" s="18">
        <f>IF($A279&gt;'1-Input'!$B$26,K279,K279-'P-Parametri'!$B$8*(L279+K279)+MIN(MAX(L279,0),'P-Parametri'!$B$8*(L279+K279)))</f>
        <v>0</v>
      </c>
      <c r="N279" s="18">
        <f>IF($A279&gt;'1-Input'!$B$26,L279,L279-MIN(MAX(L279,0),'P-Parametri'!$B$8*(L279+K279)))</f>
        <v>-265269.23611823592</v>
      </c>
      <c r="O279" s="18">
        <f>IF($A279&gt;'1-Input'!$B$26,O278,O278-J279*(1-I279))</f>
        <v>-197282.59933784173</v>
      </c>
      <c r="P279" s="11">
        <f>IF($A279&gt;'1-Input'!$B$26,0,IF(U278&lt;=0,0,MAX(0,(U278-V278)/U278)))</f>
        <v>0</v>
      </c>
      <c r="Q279" s="18">
        <f>IF($A279&gt;'1-Input'!$B$26,0,(MAX(0,P231-IF($A279&gt;='1-Input'!$C$12,'1-Input'!$B$12,0))-MIN(MAX(T278,0),MAX(0,P231-IF($A279&gt;='1-Input'!$C$12,'1-Input'!$B$12,0))))*(1/(1-'P-Parametri'!$B$6*P279))+MIN(MAX(0,U278-(MAX(0,P231-IF($A279&gt;='1-Input'!$C$12,'1-Input'!$B$12,0))-MIN(MAX(T278,0),MAX(0,P231-IF($A279&gt;='1-Input'!$C$12,'1-Input'!$B$12,0))))*(1/(1-'P-Parametri'!$B$6*P279))),MAX(0,0*P231-(T278-MIN(MAX(T278,0),MAX(0,P231-IF($A279&gt;='1-Input'!$C$12,'1-Input'!$B$12,0)))))*(1/(1-'P-Parametri'!$B$6*P279))))</f>
        <v>0</v>
      </c>
      <c r="R279" s="18">
        <f>IF($A279&gt;'1-Input'!$B$26,T278,(T278-MAX(0,P231-IF($A279&gt;='1-Input'!$C$12,'1-Input'!$B$12,0))+Q279*(1-'P-Parametri'!$B$6*P279))*(1+ROUND('3-Liquidita'!$F$7,4)))</f>
        <v>0</v>
      </c>
      <c r="S279" s="18">
        <f>IF($A279&gt;'1-Input'!$B$26,U278,(U278-Q279)*(1+'5-Roberta'!$C$4))</f>
        <v>-21859.256465655661</v>
      </c>
      <c r="T279" s="18">
        <f>IF($A279&gt;'1-Input'!$B$26,R279,R279-'P-Parametri'!$B$8*(S279+R279)+MIN(MAX(S279,0),'P-Parametri'!$B$8*(S279+R279)))</f>
        <v>0</v>
      </c>
      <c r="U279" s="18">
        <f>IF($A279&gt;'1-Input'!$B$26,S279,S279-MIN(MAX(S279,0),'P-Parametri'!$B$8*(S279+R279)))</f>
        <v>-21859.256465655661</v>
      </c>
      <c r="V279" s="18">
        <f>IF($A279&gt;'1-Input'!$B$26,V278,V278-Q279*(1-P279))</f>
        <v>-17164.549128036138</v>
      </c>
      <c r="W279" s="11">
        <f>IF($A279&gt;'1-Input'!$B$26,0,IF(AB278&lt;=0,0,MAX(0,(AB278-AC278)/AB278)))</f>
        <v>0</v>
      </c>
      <c r="X279" s="18">
        <f>IF($A279&gt;'1-Input'!$B$26,0,(MAX(0,W231-IF($A279&gt;='1-Input'!$C$12,'1-Input'!$B$12,0))-MIN(MAX(AA278,0),MAX(0,W231-IF($A279&gt;='1-Input'!$C$12,'1-Input'!$B$12,0))))*(1/(1-'P-Parametri'!$B$6*W279))+MIN(MAX(0,AB278-(MAX(0,W231-IF($A279&gt;='1-Input'!$C$12,'1-Input'!$B$12,0))-MIN(MAX(AA278,0),MAX(0,W231-IF($A279&gt;='1-Input'!$C$12,'1-Input'!$B$12,0))))*(1/(1-'P-Parametri'!$B$6*W279))),MAX(0,0*W231-(AA278-MIN(MAX(AA278,0),MAX(0,W231-IF($A279&gt;='1-Input'!$C$12,'1-Input'!$B$12,0)))))*(1/(1-'P-Parametri'!$B$6*W279))))</f>
        <v>0</v>
      </c>
      <c r="Y279" s="18">
        <f>IF($A279&gt;'1-Input'!$B$26,AA278,(AA278-MAX(0,W231-IF($A279&gt;='1-Input'!$C$12,'1-Input'!$B$12,0))+X279*(1-'P-Parametri'!$B$6*W279))*(1+ROUND('3-Liquidita'!$F$7,4)))</f>
        <v>0</v>
      </c>
      <c r="Z279" s="18">
        <f>IF($A279&gt;'1-Input'!$B$26,AB278,(AB278-X279)*(1+'5-Roberta'!$C$4))</f>
        <v>594.33241715374606</v>
      </c>
      <c r="AA279" s="18">
        <f>IF($A279&gt;'1-Input'!$B$26,Y279,Y279-'P-Parametri'!$B$8*(Z279+Y279)+MIN(MAX(Z279,0),'P-Parametri'!$B$8*(Z279+Y279)))</f>
        <v>0</v>
      </c>
      <c r="AB279" s="18">
        <f>IF($A279&gt;'1-Input'!$B$26,Z279,Z279-MIN(MAX(Z279,0),'P-Parametri'!$B$8*(Z279+Y279)))</f>
        <v>594.33241715374606</v>
      </c>
      <c r="AC279" s="18">
        <f>IF($A279&gt;'1-Input'!$B$26,AC278,AC278-X279*(1-W279))</f>
        <v>134.77162535273919</v>
      </c>
      <c r="AD279" s="11">
        <f>IF($A279&gt;'1-Input'!$B$26,0,IF(AI278&lt;=0,0,MAX(0,(AI278-AJ278)/AI278)))</f>
        <v>0</v>
      </c>
      <c r="AE279" s="18">
        <f>IF($A279&gt;'1-Input'!$B$26,0,(MAX(0,AD231-IF($A279&gt;='1-Input'!$C$12,'1-Input'!$B$12,0))-MIN(MAX(AH278,0),MAX(0,AD231-IF($A279&gt;='1-Input'!$C$12,'1-Input'!$B$12,0))))*(1/(1-'P-Parametri'!$B$6*AD279))+MIN(MAX(0,AI278-(MAX(0,AD231-IF($A279&gt;='1-Input'!$C$12,'1-Input'!$B$12,0))-MIN(MAX(AH278,0),MAX(0,AD231-IF($A279&gt;='1-Input'!$C$12,'1-Input'!$B$12,0))))*(1/(1-'P-Parametri'!$B$6*AD279))),MAX(0,0*AD231-(AH278-MIN(MAX(AH278,0),MAX(0,AD231-IF($A279&gt;='1-Input'!$C$12,'1-Input'!$B$12,0)))))*(1/(1-'P-Parametri'!$B$6*AD279))))</f>
        <v>0</v>
      </c>
      <c r="AF279" s="18">
        <f>IF($A279&gt;'1-Input'!$B$26,AH278,(AH278-MAX(0,AD231-IF($A279&gt;='1-Input'!$C$12,'1-Input'!$B$12,0))+AE279*(1-'P-Parametri'!$B$6*AD279))*(1+ROUND('3-Liquidita'!$F$7,4)))</f>
        <v>0</v>
      </c>
      <c r="AG279" s="18">
        <f>IF($A279&gt;'1-Input'!$B$26,AI278,(AI278-AE279)*(1+'5-Roberta'!$C$4))</f>
        <v>-109.25400847929053</v>
      </c>
      <c r="AH279" s="18">
        <f>IF($A279&gt;'1-Input'!$B$26,AF279,AF279-'P-Parametri'!$B$8*(AG279+AF279)+MIN(MAX(AG279,0),'P-Parametri'!$B$8*(AG279+AF279)))</f>
        <v>0</v>
      </c>
      <c r="AI279" s="18">
        <f>IF($A279&gt;'1-Input'!$B$26,AG279,AG279-MIN(MAX(AG279,0),'P-Parametri'!$B$8*(AG279+AF279)))</f>
        <v>-109.25400847929053</v>
      </c>
      <c r="AJ279" s="18">
        <f>IF($A279&gt;'1-Input'!$B$26,AJ278,AJ278-AE279*(1-AD279))</f>
        <v>-24.774587207561126</v>
      </c>
      <c r="AK279" s="11">
        <f>IF($A279&gt;'1-Input'!$B$26,0,IF(AP278&lt;=0,0,MAX(0,(AP278-AQ278)/AP278)))</f>
        <v>0</v>
      </c>
      <c r="AL279" s="18">
        <f>IF($A279&gt;'1-Input'!$B$26,0,(MAX(0,AK231-IF($A279&gt;='1-Input'!$C$12,'1-Input'!$B$12,0))-MIN(MAX(AO278,0),MAX(0,AK231-IF($A279&gt;='1-Input'!$C$12,'1-Input'!$B$12,0))))*(1/(1-'P-Parametri'!$B$6*AK279))+MIN(MAX(0,AP278-(MAX(0,AK231-IF($A279&gt;='1-Input'!$C$12,'1-Input'!$B$12,0))-MIN(MAX(AO278,0),MAX(0,AK231-IF($A279&gt;='1-Input'!$C$12,'1-Input'!$B$12,0))))*(1/(1-'P-Parametri'!$B$6*AK279))),MAX(0,0*AK231-(AO278-MIN(MAX(AO278,0),MAX(0,AK231-IF($A279&gt;='1-Input'!$C$12,'1-Input'!$B$12,0)))))*(1/(1-'P-Parametri'!$B$6*AK279))))</f>
        <v>0</v>
      </c>
      <c r="AM279" s="18">
        <f>IF($A279&gt;'1-Input'!$B$26,AO278,(AO278-MAX(0,AK231-IF($A279&gt;='1-Input'!$C$12,'1-Input'!$B$12,0))+AL279*(1-'P-Parametri'!$B$6*AK279))*(1+ROUND('3-Liquidita'!$F$7,4)))</f>
        <v>-1.8304490367881953E-12</v>
      </c>
      <c r="AN279" s="18">
        <f>IF($A279&gt;'1-Input'!$B$26,AP278,(AP278-AL279)*(1+'5-Roberta'!$C$4))</f>
        <v>-9.3864194677735229E-10</v>
      </c>
      <c r="AO279" s="18">
        <f>IF($A279&gt;'1-Input'!$B$26,AM279,AM279-'P-Parametri'!$B$8*(AN279+AM279)+MIN(MAX(AN279,0),'P-Parametri'!$B$8*(AN279+AM279)))</f>
        <v>-1.8304490367881953E-12</v>
      </c>
      <c r="AP279" s="18">
        <f>IF($A279&gt;'1-Input'!$B$26,AN279,AN279-MIN(MAX(AN279,0),'P-Parametri'!$B$8*(AN279+AM279)))</f>
        <v>-9.3864194677735229E-10</v>
      </c>
      <c r="AQ279" s="18">
        <f>IF($A279&gt;'1-Input'!$B$26,AQ278,AQ278-AL279*(1-AK279))</f>
        <v>-2.1373125491663814E-10</v>
      </c>
    </row>
    <row r="280" spans="1:43">
      <c r="A280" s="10">
        <f>47</f>
        <v>47</v>
      </c>
      <c r="B280" s="11">
        <f>IF($A280&gt;'1-Input'!$B$26,0,IF(G279&lt;=0,0,MAX(0,(G279-H279)/G279)))</f>
        <v>0</v>
      </c>
      <c r="C280" s="18">
        <f>IF($A280&gt;'1-Input'!$B$26,0,(MAX(0,B231-IF($A280&gt;='1-Input'!$C$12,'1-Input'!$B$12,0))-MIN(MAX(F279,0),MAX(0,B231-IF($A280&gt;='1-Input'!$C$12,'1-Input'!$B$12,0))))*(1/(1-'P-Parametri'!$B$6*B280))+MIN(MAX(0,G279-(MAX(0,B231-IF($A280&gt;='1-Input'!$C$12,'1-Input'!$B$12,0))-MIN(MAX(F279,0),MAX(0,B231-IF($A280&gt;='1-Input'!$C$12,'1-Input'!$B$12,0))))*(1/(1-'P-Parametri'!$B$6*B280))),MAX(0,0*B231-(F279-MIN(MAX(F279,0),MAX(0,B231-IF($A280&gt;='1-Input'!$C$12,'1-Input'!$B$12,0)))))*(1/(1-'P-Parametri'!$B$6*B280))))</f>
        <v>0</v>
      </c>
      <c r="D280" s="18">
        <f>IF($A280&gt;'1-Input'!$B$26,F279,(F279-MAX(0,B231-IF($A280&gt;='1-Input'!$C$12,'1-Input'!$B$12,0))+C280*(1-'P-Parametri'!$B$6*B280))*(1+ROUND('3-Liquidita'!$F$7,4)))</f>
        <v>-9.0949470177292824E-13</v>
      </c>
      <c r="E280" s="18">
        <f>IF($A280&gt;'1-Input'!$B$26,G279,(G279-C280)*(1+'5-Roberta'!$C$4))</f>
        <v>224393.54754232627</v>
      </c>
      <c r="F280" s="18">
        <f>IF($A280&gt;'1-Input'!$B$26,D280,D280-'P-Parametri'!$B$8*(E280+D280)+MIN(MAX(E280,0),'P-Parametri'!$B$8*(E280+D280)))</f>
        <v>-9.0949470177292824E-13</v>
      </c>
      <c r="G280" s="18">
        <f>IF($A280&gt;'1-Input'!$B$26,E280,E280-MIN(MAX(E280,0),'P-Parametri'!$B$8*(E280+D280)))</f>
        <v>224393.54754232627</v>
      </c>
      <c r="H280" s="18">
        <f>IF($A280&gt;'1-Input'!$B$26,H279,H279-C280*(1-B280))</f>
        <v>50883.785316262431</v>
      </c>
      <c r="I280" s="11">
        <f>IF($A280&gt;'1-Input'!$B$26,0,IF(N279&lt;=0,0,MAX(0,(N279-O279)/N279)))</f>
        <v>0</v>
      </c>
      <c r="J280" s="18">
        <f>IF($A280&gt;'1-Input'!$B$26,0,(MAX(0,I231-IF($A280&gt;='1-Input'!$C$12,'1-Input'!$B$12,0))-MIN(MAX(M279,0),MAX(0,I231-IF($A280&gt;='1-Input'!$C$12,'1-Input'!$B$12,0))))*(1/(1-'P-Parametri'!$B$6*I280))+MIN(MAX(0,N279-(MAX(0,I231-IF($A280&gt;='1-Input'!$C$12,'1-Input'!$B$12,0))-MIN(MAX(M279,0),MAX(0,I231-IF($A280&gt;='1-Input'!$C$12,'1-Input'!$B$12,0))))*(1/(1-'P-Parametri'!$B$6*I280))),MAX(0,0*I231-(M279-MIN(MAX(M279,0),MAX(0,I231-IF($A280&gt;='1-Input'!$C$12,'1-Input'!$B$12,0)))))*(1/(1-'P-Parametri'!$B$6*I280))))</f>
        <v>0</v>
      </c>
      <c r="K280" s="18">
        <f>IF($A280&gt;'1-Input'!$B$26,M279,(M279-MAX(0,I231-IF($A280&gt;='1-Input'!$C$12,'1-Input'!$B$12,0))+J280*(1-'P-Parametri'!$B$6*I280))*(1+ROUND('3-Liquidita'!$F$7,4)))</f>
        <v>0</v>
      </c>
      <c r="L280" s="18">
        <f>IF($A280&gt;'1-Input'!$B$26,N279,(N279-J280)*(1+'5-Roberta'!$C$4))</f>
        <v>-265269.23611823592</v>
      </c>
      <c r="M280" s="18">
        <f>IF($A280&gt;'1-Input'!$B$26,K280,K280-'P-Parametri'!$B$8*(L280+K280)+MIN(MAX(L280,0),'P-Parametri'!$B$8*(L280+K280)))</f>
        <v>0</v>
      </c>
      <c r="N280" s="18">
        <f>IF($A280&gt;'1-Input'!$B$26,L280,L280-MIN(MAX(L280,0),'P-Parametri'!$B$8*(L280+K280)))</f>
        <v>-265269.23611823592</v>
      </c>
      <c r="O280" s="18">
        <f>IF($A280&gt;'1-Input'!$B$26,O279,O279-J280*(1-I280))</f>
        <v>-197282.59933784173</v>
      </c>
      <c r="P280" s="11">
        <f>IF($A280&gt;'1-Input'!$B$26,0,IF(U279&lt;=0,0,MAX(0,(U279-V279)/U279)))</f>
        <v>0</v>
      </c>
      <c r="Q280" s="18">
        <f>IF($A280&gt;'1-Input'!$B$26,0,(MAX(0,P231-IF($A280&gt;='1-Input'!$C$12,'1-Input'!$B$12,0))-MIN(MAX(T279,0),MAX(0,P231-IF($A280&gt;='1-Input'!$C$12,'1-Input'!$B$12,0))))*(1/(1-'P-Parametri'!$B$6*P280))+MIN(MAX(0,U279-(MAX(0,P231-IF($A280&gt;='1-Input'!$C$12,'1-Input'!$B$12,0))-MIN(MAX(T279,0),MAX(0,P231-IF($A280&gt;='1-Input'!$C$12,'1-Input'!$B$12,0))))*(1/(1-'P-Parametri'!$B$6*P280))),MAX(0,0*P231-(T279-MIN(MAX(T279,0),MAX(0,P231-IF($A280&gt;='1-Input'!$C$12,'1-Input'!$B$12,0)))))*(1/(1-'P-Parametri'!$B$6*P280))))</f>
        <v>0</v>
      </c>
      <c r="R280" s="18">
        <f>IF($A280&gt;'1-Input'!$B$26,T279,(T279-MAX(0,P231-IF($A280&gt;='1-Input'!$C$12,'1-Input'!$B$12,0))+Q280*(1-'P-Parametri'!$B$6*P280))*(1+ROUND('3-Liquidita'!$F$7,4)))</f>
        <v>0</v>
      </c>
      <c r="S280" s="18">
        <f>IF($A280&gt;'1-Input'!$B$26,U279,(U279-Q280)*(1+'5-Roberta'!$C$4))</f>
        <v>-21859.256465655661</v>
      </c>
      <c r="T280" s="18">
        <f>IF($A280&gt;'1-Input'!$B$26,R280,R280-'P-Parametri'!$B$8*(S280+R280)+MIN(MAX(S280,0),'P-Parametri'!$B$8*(S280+R280)))</f>
        <v>0</v>
      </c>
      <c r="U280" s="18">
        <f>IF($A280&gt;'1-Input'!$B$26,S280,S280-MIN(MAX(S280,0),'P-Parametri'!$B$8*(S280+R280)))</f>
        <v>-21859.256465655661</v>
      </c>
      <c r="V280" s="18">
        <f>IF($A280&gt;'1-Input'!$B$26,V279,V279-Q280*(1-P280))</f>
        <v>-17164.549128036138</v>
      </c>
      <c r="W280" s="11">
        <f>IF($A280&gt;'1-Input'!$B$26,0,IF(AB279&lt;=0,0,MAX(0,(AB279-AC279)/AB279)))</f>
        <v>0</v>
      </c>
      <c r="X280" s="18">
        <f>IF($A280&gt;'1-Input'!$B$26,0,(MAX(0,W231-IF($A280&gt;='1-Input'!$C$12,'1-Input'!$B$12,0))-MIN(MAX(AA279,0),MAX(0,W231-IF($A280&gt;='1-Input'!$C$12,'1-Input'!$B$12,0))))*(1/(1-'P-Parametri'!$B$6*W280))+MIN(MAX(0,AB279-(MAX(0,W231-IF($A280&gt;='1-Input'!$C$12,'1-Input'!$B$12,0))-MIN(MAX(AA279,0),MAX(0,W231-IF($A280&gt;='1-Input'!$C$12,'1-Input'!$B$12,0))))*(1/(1-'P-Parametri'!$B$6*W280))),MAX(0,0*W231-(AA279-MIN(MAX(AA279,0),MAX(0,W231-IF($A280&gt;='1-Input'!$C$12,'1-Input'!$B$12,0)))))*(1/(1-'P-Parametri'!$B$6*W280))))</f>
        <v>0</v>
      </c>
      <c r="Y280" s="18">
        <f>IF($A280&gt;'1-Input'!$B$26,AA279,(AA279-MAX(0,W231-IF($A280&gt;='1-Input'!$C$12,'1-Input'!$B$12,0))+X280*(1-'P-Parametri'!$B$6*W280))*(1+ROUND('3-Liquidita'!$F$7,4)))</f>
        <v>0</v>
      </c>
      <c r="Z280" s="18">
        <f>IF($A280&gt;'1-Input'!$B$26,AB279,(AB279-X280)*(1+'5-Roberta'!$C$4))</f>
        <v>594.33241715374606</v>
      </c>
      <c r="AA280" s="18">
        <f>IF($A280&gt;'1-Input'!$B$26,Y280,Y280-'P-Parametri'!$B$8*(Z280+Y280)+MIN(MAX(Z280,0),'P-Parametri'!$B$8*(Z280+Y280)))</f>
        <v>0</v>
      </c>
      <c r="AB280" s="18">
        <f>IF($A280&gt;'1-Input'!$B$26,Z280,Z280-MIN(MAX(Z280,0),'P-Parametri'!$B$8*(Z280+Y280)))</f>
        <v>594.33241715374606</v>
      </c>
      <c r="AC280" s="18">
        <f>IF($A280&gt;'1-Input'!$B$26,AC279,AC279-X280*(1-W280))</f>
        <v>134.77162535273919</v>
      </c>
      <c r="AD280" s="11">
        <f>IF($A280&gt;'1-Input'!$B$26,0,IF(AI279&lt;=0,0,MAX(0,(AI279-AJ279)/AI279)))</f>
        <v>0</v>
      </c>
      <c r="AE280" s="18">
        <f>IF($A280&gt;'1-Input'!$B$26,0,(MAX(0,AD231-IF($A280&gt;='1-Input'!$C$12,'1-Input'!$B$12,0))-MIN(MAX(AH279,0),MAX(0,AD231-IF($A280&gt;='1-Input'!$C$12,'1-Input'!$B$12,0))))*(1/(1-'P-Parametri'!$B$6*AD280))+MIN(MAX(0,AI279-(MAX(0,AD231-IF($A280&gt;='1-Input'!$C$12,'1-Input'!$B$12,0))-MIN(MAX(AH279,0),MAX(0,AD231-IF($A280&gt;='1-Input'!$C$12,'1-Input'!$B$12,0))))*(1/(1-'P-Parametri'!$B$6*AD280))),MAX(0,0*AD231-(AH279-MIN(MAX(AH279,0),MAX(0,AD231-IF($A280&gt;='1-Input'!$C$12,'1-Input'!$B$12,0)))))*(1/(1-'P-Parametri'!$B$6*AD280))))</f>
        <v>0</v>
      </c>
      <c r="AF280" s="18">
        <f>IF($A280&gt;'1-Input'!$B$26,AH279,(AH279-MAX(0,AD231-IF($A280&gt;='1-Input'!$C$12,'1-Input'!$B$12,0))+AE280*(1-'P-Parametri'!$B$6*AD280))*(1+ROUND('3-Liquidita'!$F$7,4)))</f>
        <v>0</v>
      </c>
      <c r="AG280" s="18">
        <f>IF($A280&gt;'1-Input'!$B$26,AI279,(AI279-AE280)*(1+'5-Roberta'!$C$4))</f>
        <v>-109.25400847929053</v>
      </c>
      <c r="AH280" s="18">
        <f>IF($A280&gt;'1-Input'!$B$26,AF280,AF280-'P-Parametri'!$B$8*(AG280+AF280)+MIN(MAX(AG280,0),'P-Parametri'!$B$8*(AG280+AF280)))</f>
        <v>0</v>
      </c>
      <c r="AI280" s="18">
        <f>IF($A280&gt;'1-Input'!$B$26,AG280,AG280-MIN(MAX(AG280,0),'P-Parametri'!$B$8*(AG280+AF280)))</f>
        <v>-109.25400847929053</v>
      </c>
      <c r="AJ280" s="18">
        <f>IF($A280&gt;'1-Input'!$B$26,AJ279,AJ279-AE280*(1-AD280))</f>
        <v>-24.774587207561126</v>
      </c>
      <c r="AK280" s="11">
        <f>IF($A280&gt;'1-Input'!$B$26,0,IF(AP279&lt;=0,0,MAX(0,(AP279-AQ279)/AP279)))</f>
        <v>0</v>
      </c>
      <c r="AL280" s="18">
        <f>IF($A280&gt;'1-Input'!$B$26,0,(MAX(0,AK231-IF($A280&gt;='1-Input'!$C$12,'1-Input'!$B$12,0))-MIN(MAX(AO279,0),MAX(0,AK231-IF($A280&gt;='1-Input'!$C$12,'1-Input'!$B$12,0))))*(1/(1-'P-Parametri'!$B$6*AK280))+MIN(MAX(0,AP279-(MAX(0,AK231-IF($A280&gt;='1-Input'!$C$12,'1-Input'!$B$12,0))-MIN(MAX(AO279,0),MAX(0,AK231-IF($A280&gt;='1-Input'!$C$12,'1-Input'!$B$12,0))))*(1/(1-'P-Parametri'!$B$6*AK280))),MAX(0,0*AK231-(AO279-MIN(MAX(AO279,0),MAX(0,AK231-IF($A280&gt;='1-Input'!$C$12,'1-Input'!$B$12,0)))))*(1/(1-'P-Parametri'!$B$6*AK280))))</f>
        <v>0</v>
      </c>
      <c r="AM280" s="18">
        <f>IF($A280&gt;'1-Input'!$B$26,AO279,(AO279-MAX(0,AK231-IF($A280&gt;='1-Input'!$C$12,'1-Input'!$B$12,0))+AL280*(1-'P-Parametri'!$B$6*AK280))*(1+ROUND('3-Liquidita'!$F$7,4)))</f>
        <v>-1.8304490367881953E-12</v>
      </c>
      <c r="AN280" s="18">
        <f>IF($A280&gt;'1-Input'!$B$26,AP279,(AP279-AL280)*(1+'5-Roberta'!$C$4))</f>
        <v>-9.3864194677735229E-10</v>
      </c>
      <c r="AO280" s="18">
        <f>IF($A280&gt;'1-Input'!$B$26,AM280,AM280-'P-Parametri'!$B$8*(AN280+AM280)+MIN(MAX(AN280,0),'P-Parametri'!$B$8*(AN280+AM280)))</f>
        <v>-1.8304490367881953E-12</v>
      </c>
      <c r="AP280" s="18">
        <f>IF($A280&gt;'1-Input'!$B$26,AN280,AN280-MIN(MAX(AN280,0),'P-Parametri'!$B$8*(AN280+AM280)))</f>
        <v>-9.3864194677735229E-10</v>
      </c>
      <c r="AQ280" s="18">
        <f>IF($A280&gt;'1-Input'!$B$26,AQ279,AQ279-AL280*(1-AK280))</f>
        <v>-2.1373125491663814E-10</v>
      </c>
    </row>
    <row r="281" spans="1:43">
      <c r="A281" s="10">
        <f>48</f>
        <v>48</v>
      </c>
      <c r="B281" s="11">
        <f>IF($A281&gt;'1-Input'!$B$26,0,IF(G280&lt;=0,0,MAX(0,(G280-H280)/G280)))</f>
        <v>0</v>
      </c>
      <c r="C281" s="18">
        <f>IF($A281&gt;'1-Input'!$B$26,0,(MAX(0,B231-IF($A281&gt;='1-Input'!$C$12,'1-Input'!$B$12,0))-MIN(MAX(F280,0),MAX(0,B231-IF($A281&gt;='1-Input'!$C$12,'1-Input'!$B$12,0))))*(1/(1-'P-Parametri'!$B$6*B281))+MIN(MAX(0,G280-(MAX(0,B231-IF($A281&gt;='1-Input'!$C$12,'1-Input'!$B$12,0))-MIN(MAX(F280,0),MAX(0,B231-IF($A281&gt;='1-Input'!$C$12,'1-Input'!$B$12,0))))*(1/(1-'P-Parametri'!$B$6*B281))),MAX(0,0*B231-(F280-MIN(MAX(F280,0),MAX(0,B231-IF($A281&gt;='1-Input'!$C$12,'1-Input'!$B$12,0)))))*(1/(1-'P-Parametri'!$B$6*B281))))</f>
        <v>0</v>
      </c>
      <c r="D281" s="18">
        <f>IF($A281&gt;'1-Input'!$B$26,F280,(F280-MAX(0,B231-IF($A281&gt;='1-Input'!$C$12,'1-Input'!$B$12,0))+C281*(1-'P-Parametri'!$B$6*B281))*(1+ROUND('3-Liquidita'!$F$7,4)))</f>
        <v>-9.0949470177292824E-13</v>
      </c>
      <c r="E281" s="18">
        <f>IF($A281&gt;'1-Input'!$B$26,G280,(G280-C281)*(1+'5-Roberta'!$C$4))</f>
        <v>224393.54754232627</v>
      </c>
      <c r="F281" s="18">
        <f>IF($A281&gt;'1-Input'!$B$26,D281,D281-'P-Parametri'!$B$8*(E281+D281)+MIN(MAX(E281,0),'P-Parametri'!$B$8*(E281+D281)))</f>
        <v>-9.0949470177292824E-13</v>
      </c>
      <c r="G281" s="18">
        <f>IF($A281&gt;'1-Input'!$B$26,E281,E281-MIN(MAX(E281,0),'P-Parametri'!$B$8*(E281+D281)))</f>
        <v>224393.54754232627</v>
      </c>
      <c r="H281" s="18">
        <f>IF($A281&gt;'1-Input'!$B$26,H280,H280-C281*(1-B281))</f>
        <v>50883.785316262431</v>
      </c>
      <c r="I281" s="11">
        <f>IF($A281&gt;'1-Input'!$B$26,0,IF(N280&lt;=0,0,MAX(0,(N280-O280)/N280)))</f>
        <v>0</v>
      </c>
      <c r="J281" s="18">
        <f>IF($A281&gt;'1-Input'!$B$26,0,(MAX(0,I231-IF($A281&gt;='1-Input'!$C$12,'1-Input'!$B$12,0))-MIN(MAX(M280,0),MAX(0,I231-IF($A281&gt;='1-Input'!$C$12,'1-Input'!$B$12,0))))*(1/(1-'P-Parametri'!$B$6*I281))+MIN(MAX(0,N280-(MAX(0,I231-IF($A281&gt;='1-Input'!$C$12,'1-Input'!$B$12,0))-MIN(MAX(M280,0),MAX(0,I231-IF($A281&gt;='1-Input'!$C$12,'1-Input'!$B$12,0))))*(1/(1-'P-Parametri'!$B$6*I281))),MAX(0,0*I231-(M280-MIN(MAX(M280,0),MAX(0,I231-IF($A281&gt;='1-Input'!$C$12,'1-Input'!$B$12,0)))))*(1/(1-'P-Parametri'!$B$6*I281))))</f>
        <v>0</v>
      </c>
      <c r="K281" s="18">
        <f>IF($A281&gt;'1-Input'!$B$26,M280,(M280-MAX(0,I231-IF($A281&gt;='1-Input'!$C$12,'1-Input'!$B$12,0))+J281*(1-'P-Parametri'!$B$6*I281))*(1+ROUND('3-Liquidita'!$F$7,4)))</f>
        <v>0</v>
      </c>
      <c r="L281" s="18">
        <f>IF($A281&gt;'1-Input'!$B$26,N280,(N280-J281)*(1+'5-Roberta'!$C$4))</f>
        <v>-265269.23611823592</v>
      </c>
      <c r="M281" s="18">
        <f>IF($A281&gt;'1-Input'!$B$26,K281,K281-'P-Parametri'!$B$8*(L281+K281)+MIN(MAX(L281,0),'P-Parametri'!$B$8*(L281+K281)))</f>
        <v>0</v>
      </c>
      <c r="N281" s="18">
        <f>IF($A281&gt;'1-Input'!$B$26,L281,L281-MIN(MAX(L281,0),'P-Parametri'!$B$8*(L281+K281)))</f>
        <v>-265269.23611823592</v>
      </c>
      <c r="O281" s="18">
        <f>IF($A281&gt;'1-Input'!$B$26,O280,O280-J281*(1-I281))</f>
        <v>-197282.59933784173</v>
      </c>
      <c r="P281" s="11">
        <f>IF($A281&gt;'1-Input'!$B$26,0,IF(U280&lt;=0,0,MAX(0,(U280-V280)/U280)))</f>
        <v>0</v>
      </c>
      <c r="Q281" s="18">
        <f>IF($A281&gt;'1-Input'!$B$26,0,(MAX(0,P231-IF($A281&gt;='1-Input'!$C$12,'1-Input'!$B$12,0))-MIN(MAX(T280,0),MAX(0,P231-IF($A281&gt;='1-Input'!$C$12,'1-Input'!$B$12,0))))*(1/(1-'P-Parametri'!$B$6*P281))+MIN(MAX(0,U280-(MAX(0,P231-IF($A281&gt;='1-Input'!$C$12,'1-Input'!$B$12,0))-MIN(MAX(T280,0),MAX(0,P231-IF($A281&gt;='1-Input'!$C$12,'1-Input'!$B$12,0))))*(1/(1-'P-Parametri'!$B$6*P281))),MAX(0,0*P231-(T280-MIN(MAX(T280,0),MAX(0,P231-IF($A281&gt;='1-Input'!$C$12,'1-Input'!$B$12,0)))))*(1/(1-'P-Parametri'!$B$6*P281))))</f>
        <v>0</v>
      </c>
      <c r="R281" s="18">
        <f>IF($A281&gt;'1-Input'!$B$26,T280,(T280-MAX(0,P231-IF($A281&gt;='1-Input'!$C$12,'1-Input'!$B$12,0))+Q281*(1-'P-Parametri'!$B$6*P281))*(1+ROUND('3-Liquidita'!$F$7,4)))</f>
        <v>0</v>
      </c>
      <c r="S281" s="18">
        <f>IF($A281&gt;'1-Input'!$B$26,U280,(U280-Q281)*(1+'5-Roberta'!$C$4))</f>
        <v>-21859.256465655661</v>
      </c>
      <c r="T281" s="18">
        <f>IF($A281&gt;'1-Input'!$B$26,R281,R281-'P-Parametri'!$B$8*(S281+R281)+MIN(MAX(S281,0),'P-Parametri'!$B$8*(S281+R281)))</f>
        <v>0</v>
      </c>
      <c r="U281" s="18">
        <f>IF($A281&gt;'1-Input'!$B$26,S281,S281-MIN(MAX(S281,0),'P-Parametri'!$B$8*(S281+R281)))</f>
        <v>-21859.256465655661</v>
      </c>
      <c r="V281" s="18">
        <f>IF($A281&gt;'1-Input'!$B$26,V280,V280-Q281*(1-P281))</f>
        <v>-17164.549128036138</v>
      </c>
      <c r="W281" s="11">
        <f>IF($A281&gt;'1-Input'!$B$26,0,IF(AB280&lt;=0,0,MAX(0,(AB280-AC280)/AB280)))</f>
        <v>0</v>
      </c>
      <c r="X281" s="18">
        <f>IF($A281&gt;'1-Input'!$B$26,0,(MAX(0,W231-IF($A281&gt;='1-Input'!$C$12,'1-Input'!$B$12,0))-MIN(MAX(AA280,0),MAX(0,W231-IF($A281&gt;='1-Input'!$C$12,'1-Input'!$B$12,0))))*(1/(1-'P-Parametri'!$B$6*W281))+MIN(MAX(0,AB280-(MAX(0,W231-IF($A281&gt;='1-Input'!$C$12,'1-Input'!$B$12,0))-MIN(MAX(AA280,0),MAX(0,W231-IF($A281&gt;='1-Input'!$C$12,'1-Input'!$B$12,0))))*(1/(1-'P-Parametri'!$B$6*W281))),MAX(0,0*W231-(AA280-MIN(MAX(AA280,0),MAX(0,W231-IF($A281&gt;='1-Input'!$C$12,'1-Input'!$B$12,0)))))*(1/(1-'P-Parametri'!$B$6*W281))))</f>
        <v>0</v>
      </c>
      <c r="Y281" s="18">
        <f>IF($A281&gt;'1-Input'!$B$26,AA280,(AA280-MAX(0,W231-IF($A281&gt;='1-Input'!$C$12,'1-Input'!$B$12,0))+X281*(1-'P-Parametri'!$B$6*W281))*(1+ROUND('3-Liquidita'!$F$7,4)))</f>
        <v>0</v>
      </c>
      <c r="Z281" s="18">
        <f>IF($A281&gt;'1-Input'!$B$26,AB280,(AB280-X281)*(1+'5-Roberta'!$C$4))</f>
        <v>594.33241715374606</v>
      </c>
      <c r="AA281" s="18">
        <f>IF($A281&gt;'1-Input'!$B$26,Y281,Y281-'P-Parametri'!$B$8*(Z281+Y281)+MIN(MAX(Z281,0),'P-Parametri'!$B$8*(Z281+Y281)))</f>
        <v>0</v>
      </c>
      <c r="AB281" s="18">
        <f>IF($A281&gt;'1-Input'!$B$26,Z281,Z281-MIN(MAX(Z281,0),'P-Parametri'!$B$8*(Z281+Y281)))</f>
        <v>594.33241715374606</v>
      </c>
      <c r="AC281" s="18">
        <f>IF($A281&gt;'1-Input'!$B$26,AC280,AC280-X281*(1-W281))</f>
        <v>134.77162535273919</v>
      </c>
      <c r="AD281" s="11">
        <f>IF($A281&gt;'1-Input'!$B$26,0,IF(AI280&lt;=0,0,MAX(0,(AI280-AJ280)/AI280)))</f>
        <v>0</v>
      </c>
      <c r="AE281" s="18">
        <f>IF($A281&gt;'1-Input'!$B$26,0,(MAX(0,AD231-IF($A281&gt;='1-Input'!$C$12,'1-Input'!$B$12,0))-MIN(MAX(AH280,0),MAX(0,AD231-IF($A281&gt;='1-Input'!$C$12,'1-Input'!$B$12,0))))*(1/(1-'P-Parametri'!$B$6*AD281))+MIN(MAX(0,AI280-(MAX(0,AD231-IF($A281&gt;='1-Input'!$C$12,'1-Input'!$B$12,0))-MIN(MAX(AH280,0),MAX(0,AD231-IF($A281&gt;='1-Input'!$C$12,'1-Input'!$B$12,0))))*(1/(1-'P-Parametri'!$B$6*AD281))),MAX(0,0*AD231-(AH280-MIN(MAX(AH280,0),MAX(0,AD231-IF($A281&gt;='1-Input'!$C$12,'1-Input'!$B$12,0)))))*(1/(1-'P-Parametri'!$B$6*AD281))))</f>
        <v>0</v>
      </c>
      <c r="AF281" s="18">
        <f>IF($A281&gt;'1-Input'!$B$26,AH280,(AH280-MAX(0,AD231-IF($A281&gt;='1-Input'!$C$12,'1-Input'!$B$12,0))+AE281*(1-'P-Parametri'!$B$6*AD281))*(1+ROUND('3-Liquidita'!$F$7,4)))</f>
        <v>0</v>
      </c>
      <c r="AG281" s="18">
        <f>IF($A281&gt;'1-Input'!$B$26,AI280,(AI280-AE281)*(1+'5-Roberta'!$C$4))</f>
        <v>-109.25400847929053</v>
      </c>
      <c r="AH281" s="18">
        <f>IF($A281&gt;'1-Input'!$B$26,AF281,AF281-'P-Parametri'!$B$8*(AG281+AF281)+MIN(MAX(AG281,0),'P-Parametri'!$B$8*(AG281+AF281)))</f>
        <v>0</v>
      </c>
      <c r="AI281" s="18">
        <f>IF($A281&gt;'1-Input'!$B$26,AG281,AG281-MIN(MAX(AG281,0),'P-Parametri'!$B$8*(AG281+AF281)))</f>
        <v>-109.25400847929053</v>
      </c>
      <c r="AJ281" s="18">
        <f>IF($A281&gt;'1-Input'!$B$26,AJ280,AJ280-AE281*(1-AD281))</f>
        <v>-24.774587207561126</v>
      </c>
      <c r="AK281" s="11">
        <f>IF($A281&gt;'1-Input'!$B$26,0,IF(AP280&lt;=0,0,MAX(0,(AP280-AQ280)/AP280)))</f>
        <v>0</v>
      </c>
      <c r="AL281" s="18">
        <f>IF($A281&gt;'1-Input'!$B$26,0,(MAX(0,AK231-IF($A281&gt;='1-Input'!$C$12,'1-Input'!$B$12,0))-MIN(MAX(AO280,0),MAX(0,AK231-IF($A281&gt;='1-Input'!$C$12,'1-Input'!$B$12,0))))*(1/(1-'P-Parametri'!$B$6*AK281))+MIN(MAX(0,AP280-(MAX(0,AK231-IF($A281&gt;='1-Input'!$C$12,'1-Input'!$B$12,0))-MIN(MAX(AO280,0),MAX(0,AK231-IF($A281&gt;='1-Input'!$C$12,'1-Input'!$B$12,0))))*(1/(1-'P-Parametri'!$B$6*AK281))),MAX(0,0*AK231-(AO280-MIN(MAX(AO280,0),MAX(0,AK231-IF($A281&gt;='1-Input'!$C$12,'1-Input'!$B$12,0)))))*(1/(1-'P-Parametri'!$B$6*AK281))))</f>
        <v>0</v>
      </c>
      <c r="AM281" s="18">
        <f>IF($A281&gt;'1-Input'!$B$26,AO280,(AO280-MAX(0,AK231-IF($A281&gt;='1-Input'!$C$12,'1-Input'!$B$12,0))+AL281*(1-'P-Parametri'!$B$6*AK281))*(1+ROUND('3-Liquidita'!$F$7,4)))</f>
        <v>-1.8304490367881953E-12</v>
      </c>
      <c r="AN281" s="18">
        <f>IF($A281&gt;'1-Input'!$B$26,AP280,(AP280-AL281)*(1+'5-Roberta'!$C$4))</f>
        <v>-9.3864194677735229E-10</v>
      </c>
      <c r="AO281" s="18">
        <f>IF($A281&gt;'1-Input'!$B$26,AM281,AM281-'P-Parametri'!$B$8*(AN281+AM281)+MIN(MAX(AN281,0),'P-Parametri'!$B$8*(AN281+AM281)))</f>
        <v>-1.8304490367881953E-12</v>
      </c>
      <c r="AP281" s="18">
        <f>IF($A281&gt;'1-Input'!$B$26,AN281,AN281-MIN(MAX(AN281,0),'P-Parametri'!$B$8*(AN281+AM281)))</f>
        <v>-9.3864194677735229E-10</v>
      </c>
      <c r="AQ281" s="18">
        <f>IF($A281&gt;'1-Input'!$B$26,AQ280,AQ280-AL281*(1-AK281))</f>
        <v>-2.1373125491663814E-10</v>
      </c>
    </row>
    <row r="282" spans="1:43">
      <c r="A282" s="4" t="s">
        <v>365</v>
      </c>
      <c r="B282" s="18">
        <f>F281+G281</f>
        <v>224393.54754232627</v>
      </c>
      <c r="I282" s="18">
        <f>M281+N281</f>
        <v>-265269.23611823592</v>
      </c>
      <c r="P282" s="18">
        <f>T281+U281</f>
        <v>-21859.256465655661</v>
      </c>
      <c r="W282" s="18">
        <f>AA281+AB281</f>
        <v>594.33241715374606</v>
      </c>
      <c r="AD282" s="18">
        <f>AH281+AI281</f>
        <v>-109.25400847929053</v>
      </c>
      <c r="AK282" s="18">
        <f>AO281+AP281</f>
        <v>-9.404723958141405E-10</v>
      </c>
    </row>
    <row r="283" spans="1:43">
      <c r="A283" s="5" t="s">
        <v>266</v>
      </c>
      <c r="B283" s="18">
        <f>IFERROR(AK231-AK282*(AK231-AD231)/(AK282-AD282),AK231)</f>
        <v>18844.493704761662</v>
      </c>
    </row>
    <row r="285" spans="1:43">
      <c r="A285" s="2" t="s">
        <v>414</v>
      </c>
    </row>
    <row r="286" spans="1:43">
      <c r="A286" s="4" t="s">
        <v>360</v>
      </c>
      <c r="B286" s="9">
        <f>0.038*'2-Caso'!$B$12</f>
        <v>16681.055314625803</v>
      </c>
      <c r="I286" s="9">
        <f>0.05*'2-Caso'!$B$12</f>
        <v>21948.756992928691</v>
      </c>
      <c r="P286" s="18">
        <f>IFERROR(I286-I337*(I286-B286)/(I337-B337),I286)</f>
        <v>18504.482089613735</v>
      </c>
      <c r="W286" s="18">
        <f>IFERROR(P286-P337*(P286-I286)/(P337-I337),P286)</f>
        <v>18278.715578023282</v>
      </c>
      <c r="AD286" s="18">
        <f>IFERROR(W286-W337*(W286-P286)/(W337-P337),W286)</f>
        <v>18267.110548568729</v>
      </c>
      <c r="AK286" s="18">
        <f>IFERROR(AD286-AD337*(AD286-W286)/(AD337-W337),AD286)</f>
        <v>18267.075125245923</v>
      </c>
    </row>
    <row r="287" spans="1:43" ht="45">
      <c r="A287" s="25" t="s">
        <v>262</v>
      </c>
      <c r="B287" s="25" t="s">
        <v>361</v>
      </c>
      <c r="C287" s="25" t="s">
        <v>263</v>
      </c>
      <c r="D287" s="25" t="s">
        <v>362</v>
      </c>
      <c r="E287" s="25" t="s">
        <v>363</v>
      </c>
      <c r="F287" s="25" t="s">
        <v>264</v>
      </c>
      <c r="G287" s="25" t="s">
        <v>265</v>
      </c>
      <c r="H287" s="25" t="s">
        <v>364</v>
      </c>
      <c r="I287" s="25" t="s">
        <v>361</v>
      </c>
      <c r="J287" s="25" t="s">
        <v>263</v>
      </c>
      <c r="K287" s="25" t="s">
        <v>362</v>
      </c>
      <c r="L287" s="25" t="s">
        <v>363</v>
      </c>
      <c r="M287" s="25" t="s">
        <v>264</v>
      </c>
      <c r="N287" s="25" t="s">
        <v>265</v>
      </c>
      <c r="O287" s="25" t="s">
        <v>364</v>
      </c>
      <c r="P287" s="25" t="s">
        <v>361</v>
      </c>
      <c r="Q287" s="25" t="s">
        <v>263</v>
      </c>
      <c r="R287" s="25" t="s">
        <v>362</v>
      </c>
      <c r="S287" s="25" t="s">
        <v>363</v>
      </c>
      <c r="T287" s="25" t="s">
        <v>264</v>
      </c>
      <c r="U287" s="25" t="s">
        <v>265</v>
      </c>
      <c r="V287" s="25" t="s">
        <v>364</v>
      </c>
      <c r="W287" s="25" t="s">
        <v>361</v>
      </c>
      <c r="X287" s="25" t="s">
        <v>263</v>
      </c>
      <c r="Y287" s="25" t="s">
        <v>362</v>
      </c>
      <c r="Z287" s="25" t="s">
        <v>363</v>
      </c>
      <c r="AA287" s="25" t="s">
        <v>264</v>
      </c>
      <c r="AB287" s="25" t="s">
        <v>265</v>
      </c>
      <c r="AC287" s="25" t="s">
        <v>364</v>
      </c>
      <c r="AD287" s="25" t="s">
        <v>361</v>
      </c>
      <c r="AE287" s="25" t="s">
        <v>263</v>
      </c>
      <c r="AF287" s="25" t="s">
        <v>362</v>
      </c>
      <c r="AG287" s="25" t="s">
        <v>363</v>
      </c>
      <c r="AH287" s="25" t="s">
        <v>264</v>
      </c>
      <c r="AI287" s="25" t="s">
        <v>265</v>
      </c>
      <c r="AJ287" s="25" t="s">
        <v>364</v>
      </c>
      <c r="AK287" s="25" t="s">
        <v>361</v>
      </c>
      <c r="AL287" s="25" t="s">
        <v>263</v>
      </c>
      <c r="AM287" s="25" t="s">
        <v>362</v>
      </c>
      <c r="AN287" s="25" t="s">
        <v>363</v>
      </c>
      <c r="AO287" s="25" t="s">
        <v>264</v>
      </c>
      <c r="AP287" s="25" t="s">
        <v>265</v>
      </c>
      <c r="AQ287" s="25" t="s">
        <v>364</v>
      </c>
    </row>
    <row r="288" spans="1:43">
      <c r="A288" s="3">
        <v>0</v>
      </c>
      <c r="F288" s="18">
        <f>MIN(2*B286,'2-Caso'!$B$12)</f>
        <v>33362.110629251605</v>
      </c>
      <c r="G288" s="18">
        <f>'2-Caso'!$B$12-F288</f>
        <v>405613.02922932222</v>
      </c>
      <c r="H288" s="18">
        <f>'2-Caso'!$B$13*G288/'2-Caso'!$B$12</f>
        <v>317856</v>
      </c>
      <c r="M288" s="18">
        <f>MIN(2*I286,'2-Caso'!$B$12)</f>
        <v>43897.513985857382</v>
      </c>
      <c r="N288" s="18">
        <f>'2-Caso'!$B$12-M288</f>
        <v>395077.62587271642</v>
      </c>
      <c r="O288" s="18">
        <f>'2-Caso'!$B$13*N288/'2-Caso'!$B$12</f>
        <v>309600</v>
      </c>
      <c r="T288" s="18">
        <f>MIN(2*P286,'2-Caso'!$B$12)</f>
        <v>37008.964179227471</v>
      </c>
      <c r="U288" s="18">
        <f>'2-Caso'!$B$12-T288</f>
        <v>401966.17567934631</v>
      </c>
      <c r="V288" s="18">
        <f>'2-Caso'!$B$13*U288/'2-Caso'!$B$12</f>
        <v>314998.16704482201</v>
      </c>
      <c r="AA288" s="18">
        <f>MIN(2*W286,'2-Caso'!$B$12)</f>
        <v>36557.431156046565</v>
      </c>
      <c r="AB288" s="18">
        <f>'2-Caso'!$B$12-AA288</f>
        <v>402417.70870252722</v>
      </c>
      <c r="AC288" s="18">
        <f>'2-Caso'!$B$13*AB288/'2-Caso'!$B$12</f>
        <v>315352.00794803188</v>
      </c>
      <c r="AH288" s="18">
        <f>MIN(2*AD286,'2-Caso'!$B$12)</f>
        <v>36534.221097137459</v>
      </c>
      <c r="AI288" s="18">
        <f>'2-Caso'!$B$12-AH288</f>
        <v>402440.91876143636</v>
      </c>
      <c r="AJ288" s="18">
        <f>'2-Caso'!$B$13*AI288/'2-Caso'!$B$12</f>
        <v>315370.1963590369</v>
      </c>
      <c r="AO288" s="18">
        <f>MIN(2*AK286,'2-Caso'!$B$12)</f>
        <v>36534.150250491846</v>
      </c>
      <c r="AP288" s="18">
        <f>'2-Caso'!$B$12-AO288</f>
        <v>402440.98960808193</v>
      </c>
      <c r="AQ288" s="18">
        <f>'2-Caso'!$B$13*AP288/'2-Caso'!$B$12</f>
        <v>315370.25187754777</v>
      </c>
    </row>
    <row r="289" spans="1:43">
      <c r="A289" s="10">
        <f>1</f>
        <v>1</v>
      </c>
      <c r="B289" s="11">
        <f>IF($A289&gt;'1-Input'!$B$26,0,IF(G288&lt;=0,0,MAX(0,(G288-H288)/G288)))</f>
        <v>0.21635653419729486</v>
      </c>
      <c r="C289" s="18">
        <f>IF($A289&gt;'1-Input'!$B$26,0,(MAX(0,B286-IF($A289&gt;='1-Input'!$C$12,'1-Input'!$B$12,0))-MIN(MAX(F288,0),MAX(0,B286-IF($A289&gt;='1-Input'!$C$12,'1-Input'!$B$12,0))))*(1/(1-'P-Parametri'!$B$6*B289))+MIN(MAX(0,G288-(MAX(0,B286-IF($A289&gt;='1-Input'!$C$12,'1-Input'!$B$12,0))-MIN(MAX(F288,0),MAX(0,B286-IF($A289&gt;='1-Input'!$C$12,'1-Input'!$B$12,0))))*(1/(1-'P-Parametri'!$B$6*B289))),MAX(0,2*B286-(F288-MIN(MAX(F288,0),MAX(0,B286-IF($A289&gt;='1-Input'!$C$12,'1-Input'!$B$12,0)))))*(1/(1-'P-Parametri'!$B$6*B289))))</f>
        <v>17675.340946701614</v>
      </c>
      <c r="D289" s="18">
        <f>IF($A289&gt;'1-Input'!$B$26,F288,(F288-MAX(0,B286-IF($A289&gt;='1-Input'!$C$12,'1-Input'!$B$12,0))+C289*(1-'P-Parametri'!$B$6*B289))*(1+ROUND('3-Liquidita'!$F$7,4)))</f>
        <v>33572.29192621589</v>
      </c>
      <c r="E289" s="18">
        <f>IF($A289&gt;'1-Input'!$B$26,G288,(G288-C289)*(1+'5-Roberta'!$C$4))</f>
        <v>399575.81893109926</v>
      </c>
      <c r="F289" s="18">
        <f>IF($A289&gt;'1-Input'!$B$26,D289,D289-'P-Parametri'!$B$8*(E289+D289)+MIN(MAX(E289,0),'P-Parametri'!$B$8*(E289+D289)))</f>
        <v>33572.29192621589</v>
      </c>
      <c r="G289" s="18">
        <f>IF($A289&gt;'1-Input'!$B$26,E289,E289-MIN(MAX(E289,0),'P-Parametri'!$B$8*(E289+D289)))</f>
        <v>398709.52270938462</v>
      </c>
      <c r="H289" s="18">
        <f>IF($A289&gt;'1-Input'!$B$26,H288,H288-C289*(1-B289))</f>
        <v>304004.8345612823</v>
      </c>
      <c r="I289" s="11">
        <f>IF($A289&gt;'1-Input'!$B$26,0,IF(N288&lt;=0,0,MAX(0,(N288-O288)/N288)))</f>
        <v>0.21635653419729484</v>
      </c>
      <c r="J289" s="18">
        <f>IF($A289&gt;'1-Input'!$B$26,0,(MAX(0,I286-IF($A289&gt;='1-Input'!$C$12,'1-Input'!$B$12,0))-MIN(MAX(M288,0),MAX(0,I286-IF($A289&gt;='1-Input'!$C$12,'1-Input'!$B$12,0))))*(1/(1-'P-Parametri'!$B$6*I289))+MIN(MAX(0,N288-(MAX(0,I286-IF($A289&gt;='1-Input'!$C$12,'1-Input'!$B$12,0))-MIN(MAX(M288,0),MAX(0,I286-IF($A289&gt;='1-Input'!$C$12,'1-Input'!$B$12,0))))*(1/(1-'P-Parametri'!$B$6*I289))),MAX(0,2*I286-(M288-MIN(MAX(M288,0),MAX(0,I286-IF($A289&gt;='1-Input'!$C$12,'1-Input'!$B$12,0)))))*(1/(1-'P-Parametri'!$B$6*I289))))</f>
        <v>23257.027561449497</v>
      </c>
      <c r="K289" s="18">
        <f>IF($A289&gt;'1-Input'!$B$26,M288,(M288-MAX(0,I286-IF($A289&gt;='1-Input'!$C$12,'1-Input'!$B$12,0))+J289*(1-'P-Parametri'!$B$6*I289))*(1+ROUND('3-Liquidita'!$F$7,4)))</f>
        <v>44174.068323968284</v>
      </c>
      <c r="L289" s="18">
        <f>IF($A289&gt;'1-Input'!$B$26,N288,(N288-J289)*(1+'5-Roberta'!$C$4))</f>
        <v>382975.21626060491</v>
      </c>
      <c r="M289" s="18">
        <f>IF($A289&gt;'1-Input'!$B$26,K289,K289-'P-Parametri'!$B$8*(L289+K289)+MIN(MAX(L289,0),'P-Parametri'!$B$8*(L289+K289)))</f>
        <v>44174.068323968284</v>
      </c>
      <c r="N289" s="18">
        <f>IF($A289&gt;'1-Input'!$B$26,L289,L289-MIN(MAX(L289,0),'P-Parametri'!$B$8*(L289+K289)))</f>
        <v>382120.91769143578</v>
      </c>
      <c r="O289" s="18">
        <f>IF($A289&gt;'1-Input'!$B$26,O288,O288-J289*(1-I289))</f>
        <v>291374.7823174767</v>
      </c>
      <c r="P289" s="11">
        <f>IF($A289&gt;'1-Input'!$B$26,0,IF(U288&lt;=0,0,MAX(0,(U288-V288)/U288)))</f>
        <v>0.21635653419729481</v>
      </c>
      <c r="Q289" s="18">
        <f>IF($A289&gt;'1-Input'!$B$26,0,(MAX(0,P286-IF($A289&gt;='1-Input'!$C$12,'1-Input'!$B$12,0))-MIN(MAX(T288,0),MAX(0,P286-IF($A289&gt;='1-Input'!$C$12,'1-Input'!$B$12,0))))*(1/(1-'P-Parametri'!$B$6*P289))+MIN(MAX(0,U288-(MAX(0,P286-IF($A289&gt;='1-Input'!$C$12,'1-Input'!$B$12,0))-MIN(MAX(T288,0),MAX(0,P286-IF($A289&gt;='1-Input'!$C$12,'1-Input'!$B$12,0))))*(1/(1-'P-Parametri'!$B$6*P289))),MAX(0,2*P286-(T288-MIN(MAX(T288,0),MAX(0,P286-IF($A289&gt;='1-Input'!$C$12,'1-Input'!$B$12,0)))))*(1/(1-'P-Parametri'!$B$6*P289))))</f>
        <v>19607.454313114205</v>
      </c>
      <c r="R289" s="18">
        <f>IF($A289&gt;'1-Input'!$B$26,T288,(T288-MAX(0,P286-IF($A289&gt;='1-Input'!$C$12,'1-Input'!$B$12,0))+Q289*(1-'P-Parametri'!$B$6*P289))*(1+ROUND('3-Liquidita'!$F$7,4)))</f>
        <v>37242.120653556602</v>
      </c>
      <c r="S289" s="18">
        <f>IF($A289&gt;'1-Input'!$B$26,U288,(U288-Q289)*(1+'5-Roberta'!$C$4))</f>
        <v>393829.48300721904</v>
      </c>
      <c r="T289" s="18">
        <f>IF($A289&gt;'1-Input'!$B$26,R289,R289-'P-Parametri'!$B$8*(S289+R289)+MIN(MAX(S289,0),'P-Parametri'!$B$8*(S289+R289)))</f>
        <v>37242.120653556602</v>
      </c>
      <c r="U289" s="18">
        <f>IF($A289&gt;'1-Input'!$B$26,S289,S289-MIN(MAX(S289,0),'P-Parametri'!$B$8*(S289+R289)))</f>
        <v>392967.33979989751</v>
      </c>
      <c r="V289" s="18">
        <f>IF($A289&gt;'1-Input'!$B$26,V288,V288-Q289*(1-P289))</f>
        <v>299632.91359132499</v>
      </c>
      <c r="W289" s="11">
        <f>IF($A289&gt;'1-Input'!$B$26,0,IF(AB288&lt;=0,0,MAX(0,(AB288-AC288)/AB288)))</f>
        <v>0.21635653419729478</v>
      </c>
      <c r="X289" s="18">
        <f>IF($A289&gt;'1-Input'!$B$26,0,(MAX(0,W286-IF($A289&gt;='1-Input'!$C$12,'1-Input'!$B$12,0))-MIN(MAX(AA288,0),MAX(0,W286-IF($A289&gt;='1-Input'!$C$12,'1-Input'!$B$12,0))))*(1/(1-'P-Parametri'!$B$6*W289))+MIN(MAX(0,AB288-(MAX(0,W286-IF($A289&gt;='1-Input'!$C$12,'1-Input'!$B$12,0))-MIN(MAX(AA288,0),MAX(0,W286-IF($A289&gt;='1-Input'!$C$12,'1-Input'!$B$12,0))))*(1/(1-'P-Parametri'!$B$6*W289))),MAX(0,2*W286-(AA288-MIN(MAX(AA288,0),MAX(0,W286-IF($A289&gt;='1-Input'!$C$12,'1-Input'!$B$12,0)))))*(1/(1-'P-Parametri'!$B$6*W289))))</f>
        <v>19368.230835256069</v>
      </c>
      <c r="Y289" s="18">
        <f>IF($A289&gt;'1-Input'!$B$26,AA288,(AA288-MAX(0,W286-IF($A289&gt;='1-Input'!$C$12,'1-Input'!$B$12,0))+X289*(1-'P-Parametri'!$B$6*W289))*(1+ROUND('3-Liquidita'!$F$7,4)))</f>
        <v>36787.742972329659</v>
      </c>
      <c r="Z289" s="18">
        <f>IF($A289&gt;'1-Input'!$B$26,AB288,(AB288-X289)*(1+'5-Roberta'!$C$4))</f>
        <v>394540.96220328932</v>
      </c>
      <c r="AA289" s="18">
        <f>IF($A289&gt;'1-Input'!$B$26,Y289,Y289-'P-Parametri'!$B$8*(Z289+Y289)+MIN(MAX(Z289,0),'P-Parametri'!$B$8*(Z289+Y289)))</f>
        <v>36787.742972329659</v>
      </c>
      <c r="AB289" s="18">
        <f>IF($A289&gt;'1-Input'!$B$26,Z289,Z289-MIN(MAX(Z289,0),'P-Parametri'!$B$8*(Z289+Y289)))</f>
        <v>393678.30479293811</v>
      </c>
      <c r="AC289" s="18">
        <f>IF($A289&gt;'1-Input'!$B$26,AC288,AC288-X289*(1-W289))</f>
        <v>300174.22040982498</v>
      </c>
      <c r="AD289" s="11">
        <f>IF($A289&gt;'1-Input'!$B$26,0,IF(AI288&lt;=0,0,MAX(0,(AI288-AJ288)/AI288)))</f>
        <v>0.21635653419729484</v>
      </c>
      <c r="AE289" s="18">
        <f>IF($A289&gt;'1-Input'!$B$26,0,(MAX(0,AD286-IF($A289&gt;='1-Input'!$C$12,'1-Input'!$B$12,0))-MIN(MAX(AH288,0),MAX(0,AD286-IF($A289&gt;='1-Input'!$C$12,'1-Input'!$B$12,0))))*(1/(1-'P-Parametri'!$B$6*AD289))+MIN(MAX(0,AI288-(MAX(0,AD286-IF($A289&gt;='1-Input'!$C$12,'1-Input'!$B$12,0))-MIN(MAX(AH288,0),MAX(0,AD286-IF($A289&gt;='1-Input'!$C$12,'1-Input'!$B$12,0))))*(1/(1-'P-Parametri'!$B$6*AD289))),MAX(0,2*AD286-(AH288-MIN(MAX(AH288,0),MAX(0,AD286-IF($A289&gt;='1-Input'!$C$12,'1-Input'!$B$12,0)))))*(1/(1-'P-Parametri'!$B$6*AD289))))</f>
        <v>19355.934080138552</v>
      </c>
      <c r="AF289" s="18">
        <f>IF($A289&gt;'1-Input'!$B$26,AH288,(AH288-MAX(0,AD286-IF($A289&gt;='1-Input'!$C$12,'1-Input'!$B$12,0))+AE289*(1-'P-Parametri'!$B$6*AD289))*(1+ROUND('3-Liquidita'!$F$7,4)))</f>
        <v>36764.386690049425</v>
      </c>
      <c r="AG289" s="18">
        <f>IF($A289&gt;'1-Input'!$B$26,AI288,(AI288-AE289)*(1+'5-Roberta'!$C$4))</f>
        <v>394577.53422173671</v>
      </c>
      <c r="AH289" s="18">
        <f>IF($A289&gt;'1-Input'!$B$26,AF289,AF289-'P-Parametri'!$B$8*(AG289+AF289)+MIN(MAX(AG289,0),'P-Parametri'!$B$8*(AG289+AF289)))</f>
        <v>36764.386690049425</v>
      </c>
      <c r="AI289" s="18">
        <f>IF($A289&gt;'1-Input'!$B$26,AG289,AG289-MIN(MAX(AG289,0),'P-Parametri'!$B$8*(AG289+AF289)))</f>
        <v>393714.85037991311</v>
      </c>
      <c r="AJ289" s="18">
        <f>IF($A289&gt;'1-Input'!$B$26,AJ288,AJ288-AE289*(1-AD289))</f>
        <v>300202.04509262845</v>
      </c>
      <c r="AK289" s="11">
        <f>IF($A289&gt;'1-Input'!$B$26,0,IF(AP288&lt;=0,0,MAX(0,(AP288-AQ288)/AP288)))</f>
        <v>0.21635653419729486</v>
      </c>
      <c r="AL289" s="18">
        <f>IF($A289&gt;'1-Input'!$B$26,0,(MAX(0,AK286-IF($A289&gt;='1-Input'!$C$12,'1-Input'!$B$12,0))-MIN(MAX(AO288,0),MAX(0,AK286-IF($A289&gt;='1-Input'!$C$12,'1-Input'!$B$12,0))))*(1/(1-'P-Parametri'!$B$6*AK289))+MIN(MAX(0,AP288-(MAX(0,AK286-IF($A289&gt;='1-Input'!$C$12,'1-Input'!$B$12,0))-MIN(MAX(AO288,0),MAX(0,AK286-IF($A289&gt;='1-Input'!$C$12,'1-Input'!$B$12,0))))*(1/(1-'P-Parametri'!$B$6*AK289))),MAX(0,2*AK286-(AO288-MIN(MAX(AO288,0),MAX(0,AK286-IF($A289&gt;='1-Input'!$C$12,'1-Input'!$B$12,0)))))*(1/(1-'P-Parametri'!$B$6*AK289))))</f>
        <v>19355.896545384527</v>
      </c>
      <c r="AM289" s="18">
        <f>IF($A289&gt;'1-Input'!$B$26,AO288,(AO288-MAX(0,AK286-IF($A289&gt;='1-Input'!$C$12,'1-Input'!$B$12,0))+AL289*(1-'P-Parametri'!$B$6*AK289))*(1+ROUND('3-Liquidita'!$F$7,4)))</f>
        <v>36764.315397069942</v>
      </c>
      <c r="AN289" s="18">
        <f>IF($A289&gt;'1-Input'!$B$26,AP288,(AP288-AL289)*(1+'5-Roberta'!$C$4))</f>
        <v>394577.6458545783</v>
      </c>
      <c r="AO289" s="18">
        <f>IF($A289&gt;'1-Input'!$B$26,AM289,AM289-'P-Parametri'!$B$8*(AN289+AM289)+MIN(MAX(AN289,0),'P-Parametri'!$B$8*(AN289+AM289)))</f>
        <v>36764.315397069942</v>
      </c>
      <c r="AP289" s="18">
        <f>IF($A289&gt;'1-Input'!$B$26,AN289,AN289-MIN(MAX(AN289,0),'P-Parametri'!$B$8*(AN289+AM289)))</f>
        <v>393714.96193207498</v>
      </c>
      <c r="AQ289" s="18">
        <f>IF($A289&gt;'1-Input'!$B$26,AQ288,AQ288-AL289*(1-AK289))</f>
        <v>300202.13002500404</v>
      </c>
    </row>
    <row r="290" spans="1:43">
      <c r="A290" s="10">
        <f>2</f>
        <v>2</v>
      </c>
      <c r="B290" s="11">
        <f>IF($A290&gt;'1-Input'!$B$26,0,IF(G289&lt;=0,0,MAX(0,(G289-H289)/G289)))</f>
        <v>0.23752803169723041</v>
      </c>
      <c r="C290" s="18">
        <f>IF($A290&gt;'1-Input'!$B$26,0,(MAX(0,B286-IF($A290&gt;='1-Input'!$C$12,'1-Input'!$B$12,0))-MIN(MAX(F289,0),MAX(0,B286-IF($A290&gt;='1-Input'!$C$12,'1-Input'!$B$12,0))))*(1/(1-'P-Parametri'!$B$6*B290))+MIN(MAX(0,G289-(MAX(0,B286-IF($A290&gt;='1-Input'!$C$12,'1-Input'!$B$12,0))-MIN(MAX(F289,0),MAX(0,B286-IF($A290&gt;='1-Input'!$C$12,'1-Input'!$B$12,0))))*(1/(1-'P-Parametri'!$B$6*B290))),MAX(0,2*B286-(F289-MIN(MAX(F289,0),MAX(0,B286-IF($A290&gt;='1-Input'!$C$12,'1-Input'!$B$12,0)))))*(1/(1-'P-Parametri'!$B$6*B290))))</f>
        <v>17555.024740652814</v>
      </c>
      <c r="D290" s="18">
        <f>IF($A290&gt;'1-Input'!$B$26,F289,(F289-MAX(0,B286-IF($A290&gt;='1-Input'!$C$12,'1-Input'!$B$12,0))+C290*(1-'P-Parametri'!$B$6*B290))*(1+ROUND('3-Liquidita'!$F$7,4)))</f>
        <v>33572.29192621589</v>
      </c>
      <c r="E290" s="18">
        <f>IF($A290&gt;'1-Input'!$B$26,G289,(G289-C290)*(1+'5-Roberta'!$C$4))</f>
        <v>392589.13290779374</v>
      </c>
      <c r="F290" s="18">
        <f>IF($A290&gt;'1-Input'!$B$26,D290,D290-'P-Parametri'!$B$8*(E290+D290)+MIN(MAX(E290,0),'P-Parametri'!$B$8*(E290+D290)))</f>
        <v>33572.29192621589</v>
      </c>
      <c r="G290" s="18">
        <f>IF($A290&gt;'1-Input'!$B$26,E290,E290-MIN(MAX(E290,0),'P-Parametri'!$B$8*(E290+D290)))</f>
        <v>391736.8100581257</v>
      </c>
      <c r="H290" s="18">
        <f>IF($A290&gt;'1-Input'!$B$26,H289,H289-C290*(1-B290))</f>
        <v>290619.62029367295</v>
      </c>
      <c r="I290" s="11">
        <f>IF($A290&gt;'1-Input'!$B$26,0,IF(N289&lt;=0,0,MAX(0,(N289-O289)/N289)))</f>
        <v>0.23748015660120697</v>
      </c>
      <c r="J290" s="18">
        <f>IF($A290&gt;'1-Input'!$B$26,0,(MAX(0,I286-IF($A290&gt;='1-Input'!$C$12,'1-Input'!$B$12,0))-MIN(MAX(M289,0),MAX(0,I286-IF($A290&gt;='1-Input'!$C$12,'1-Input'!$B$12,0))))*(1/(1-'P-Parametri'!$B$6*I290))+MIN(MAX(0,N289-(MAX(0,I286-IF($A290&gt;='1-Input'!$C$12,'1-Input'!$B$12,0))-MIN(MAX(M289,0),MAX(0,I286-IF($A290&gt;='1-Input'!$C$12,'1-Input'!$B$12,0))))*(1/(1-'P-Parametri'!$B$6*I290))),MAX(0,2*I286-(M289-MIN(MAX(M289,0),MAX(0,I286-IF($A290&gt;='1-Input'!$C$12,'1-Input'!$B$12,0)))))*(1/(1-'P-Parametri'!$B$6*I290))))</f>
        <v>23098.410320880623</v>
      </c>
      <c r="K290" s="18">
        <f>IF($A290&gt;'1-Input'!$B$26,M289,(M289-MAX(0,I286-IF($A290&gt;='1-Input'!$C$12,'1-Input'!$B$12,0))+J290*(1-'P-Parametri'!$B$6*I290))*(1+ROUND('3-Liquidita'!$F$7,4)))</f>
        <v>44174.068323968284</v>
      </c>
      <c r="L290" s="18">
        <f>IF($A290&gt;'1-Input'!$B$26,N289,(N289-J290)*(1+'5-Roberta'!$C$4))</f>
        <v>369793.18259167182</v>
      </c>
      <c r="M290" s="18">
        <f>IF($A290&gt;'1-Input'!$B$26,K290,K290-'P-Parametri'!$B$8*(L290+K290)+MIN(MAX(L290,0),'P-Parametri'!$B$8*(L290+K290)))</f>
        <v>44174.068323968284</v>
      </c>
      <c r="N290" s="18">
        <f>IF($A290&gt;'1-Input'!$B$26,L290,L290-MIN(MAX(L290,0),'P-Parametri'!$B$8*(L290+K290)))</f>
        <v>368965.24808984052</v>
      </c>
      <c r="O290" s="18">
        <f>IF($A290&gt;'1-Input'!$B$26,O289,O289-J290*(1-I290))</f>
        <v>273761.78609683772</v>
      </c>
      <c r="P290" s="11">
        <f>IF($A290&gt;'1-Input'!$B$26,0,IF(U289&lt;=0,0,MAX(0,(U289-V289)/U289)))</f>
        <v>0.23751191703641134</v>
      </c>
      <c r="Q290" s="18">
        <f>IF($A290&gt;'1-Input'!$B$26,0,(MAX(0,P286-IF($A290&gt;='1-Input'!$C$12,'1-Input'!$B$12,0))-MIN(MAX(T289,0),MAX(0,P286-IF($A290&gt;='1-Input'!$C$12,'1-Input'!$B$12,0))))*(1/(1-'P-Parametri'!$B$6*P290))+MIN(MAX(0,U289-(MAX(0,P286-IF($A290&gt;='1-Input'!$C$12,'1-Input'!$B$12,0))-MIN(MAX(T289,0),MAX(0,P286-IF($A290&gt;='1-Input'!$C$12,'1-Input'!$B$12,0))))*(1/(1-'P-Parametri'!$B$6*P290))),MAX(0,2*P286-(T289-MIN(MAX(T289,0),MAX(0,P286-IF($A290&gt;='1-Input'!$C$12,'1-Input'!$B$12,0)))))*(1/(1-'P-Parametri'!$B$6*P290))))</f>
        <v>19473.89923132195</v>
      </c>
      <c r="R290" s="18">
        <f>IF($A290&gt;'1-Input'!$B$26,T289,(T289-MAX(0,P286-IF($A290&gt;='1-Input'!$C$12,'1-Input'!$B$12,0))+Q290*(1-'P-Parametri'!$B$6*P290))*(1+ROUND('3-Liquidita'!$F$7,4)))</f>
        <v>37242.120653556602</v>
      </c>
      <c r="S290" s="18">
        <f>IF($A290&gt;'1-Input'!$B$26,U289,(U289-Q290)*(1+'5-Roberta'!$C$4))</f>
        <v>384698.24378563283</v>
      </c>
      <c r="T290" s="18">
        <f>IF($A290&gt;'1-Input'!$B$26,R290,R290-'P-Parametri'!$B$8*(S290+R290)+MIN(MAX(S290,0),'P-Parametri'!$B$8*(S290+R290)))</f>
        <v>37242.120653556602</v>
      </c>
      <c r="U290" s="18">
        <f>IF($A290&gt;'1-Input'!$B$26,S290,S290-MIN(MAX(S290,0),'P-Parametri'!$B$8*(S290+R290)))</f>
        <v>383854.36305675446</v>
      </c>
      <c r="V290" s="18">
        <f>IF($A290&gt;'1-Input'!$B$26,V289,V289-Q290*(1-P290))</f>
        <v>284784.29749860824</v>
      </c>
      <c r="W290" s="11">
        <f>IF($A290&gt;'1-Input'!$B$26,0,IF(AB289&lt;=0,0,MAX(0,(AB289-AC289)/AB289)))</f>
        <v>0.23751393776269489</v>
      </c>
      <c r="X290" s="18">
        <f>IF($A290&gt;'1-Input'!$B$26,0,(MAX(0,W286-IF($A290&gt;='1-Input'!$C$12,'1-Input'!$B$12,0))-MIN(MAX(AA289,0),MAX(0,W286-IF($A290&gt;='1-Input'!$C$12,'1-Input'!$B$12,0))))*(1/(1-'P-Parametri'!$B$6*W290))+MIN(MAX(0,AB289-(MAX(0,W286-IF($A290&gt;='1-Input'!$C$12,'1-Input'!$B$12,0))-MIN(MAX(AA289,0),MAX(0,W286-IF($A290&gt;='1-Input'!$C$12,'1-Input'!$B$12,0))))*(1/(1-'P-Parametri'!$B$6*W290))),MAX(0,2*W286-(AA289-MIN(MAX(AA289,0),MAX(0,W286-IF($A290&gt;='1-Input'!$C$12,'1-Input'!$B$12,0)))))*(1/(1-'P-Parametri'!$B$6*W290))))</f>
        <v>19236.315982578293</v>
      </c>
      <c r="Y290" s="18">
        <f>IF($A290&gt;'1-Input'!$B$26,AA289,(AA289-MAX(0,W286-IF($A290&gt;='1-Input'!$C$12,'1-Input'!$B$12,0))+X290*(1-'P-Parametri'!$B$6*W290))*(1+ROUND('3-Liquidita'!$F$7,4)))</f>
        <v>36787.742972329659</v>
      </c>
      <c r="Z290" s="18">
        <f>IF($A290&gt;'1-Input'!$B$26,AB289,(AB289-X290)*(1+'5-Roberta'!$C$4))</f>
        <v>385675.24847467063</v>
      </c>
      <c r="AA290" s="18">
        <f>IF($A290&gt;'1-Input'!$B$26,Y290,Y290-'P-Parametri'!$B$8*(Z290+Y290)+MIN(MAX(Z290,0),'P-Parametri'!$B$8*(Z290+Y290)))</f>
        <v>36787.742972329659</v>
      </c>
      <c r="AB290" s="18">
        <f>IF($A290&gt;'1-Input'!$B$26,Z290,Z290-MIN(MAX(Z290,0),'P-Parametri'!$B$8*(Z290+Y290)))</f>
        <v>384830.32249177661</v>
      </c>
      <c r="AC290" s="18">
        <f>IF($A290&gt;'1-Input'!$B$26,AC289,AC289-X290*(1-W290))</f>
        <v>285506.79758431634</v>
      </c>
      <c r="AD290" s="11">
        <f>IF($A290&gt;'1-Input'!$B$26,0,IF(AI289&lt;=0,0,MAX(0,(AI289-AJ289)/AI289)))</f>
        <v>0.23751404143646082</v>
      </c>
      <c r="AE290" s="18">
        <f>IF($A290&gt;'1-Input'!$B$26,0,(MAX(0,AD286-IF($A290&gt;='1-Input'!$C$12,'1-Input'!$B$12,0))-MIN(MAX(AH289,0),MAX(0,AD286-IF($A290&gt;='1-Input'!$C$12,'1-Input'!$B$12,0))))*(1/(1-'P-Parametri'!$B$6*AD290))+MIN(MAX(0,AI289-(MAX(0,AD286-IF($A290&gt;='1-Input'!$C$12,'1-Input'!$B$12,0))-MIN(MAX(AH289,0),MAX(0,AD286-IF($A290&gt;='1-Input'!$C$12,'1-Input'!$B$12,0))))*(1/(1-'P-Parametri'!$B$6*AD290))),MAX(0,2*AD286-(AH289-MIN(MAX(AH289,0),MAX(0,AD286-IF($A290&gt;='1-Input'!$C$12,'1-Input'!$B$12,0)))))*(1/(1-'P-Parametri'!$B$6*AD290))))</f>
        <v>19224.10353157912</v>
      </c>
      <c r="AF290" s="18">
        <f>IF($A290&gt;'1-Input'!$B$26,AH289,(AH289-MAX(0,AD286-IF($A290&gt;='1-Input'!$C$12,'1-Input'!$B$12,0))+AE290*(1-'P-Parametri'!$B$6*AD290))*(1+ROUND('3-Liquidita'!$F$7,4)))</f>
        <v>36764.386690049425</v>
      </c>
      <c r="AG290" s="18">
        <f>IF($A290&gt;'1-Input'!$B$26,AI289,(AI289-AE290)*(1+'5-Roberta'!$C$4))</f>
        <v>385725.46925378399</v>
      </c>
      <c r="AH290" s="18">
        <f>IF($A290&gt;'1-Input'!$B$26,AF290,AF290-'P-Parametri'!$B$8*(AG290+AF290)+MIN(MAX(AG290,0),'P-Parametri'!$B$8*(AG290+AF290)))</f>
        <v>36764.386690049425</v>
      </c>
      <c r="AI290" s="18">
        <f>IF($A290&gt;'1-Input'!$B$26,AG290,AG290-MIN(MAX(AG290,0),'P-Parametri'!$B$8*(AG290+AF290)))</f>
        <v>384880.48954189633</v>
      </c>
      <c r="AJ290" s="18">
        <f>IF($A290&gt;'1-Input'!$B$26,AJ289,AJ289-AE290*(1-AD290))</f>
        <v>285543.93608382763</v>
      </c>
      <c r="AK290" s="11">
        <f>IF($A290&gt;'1-Input'!$B$26,0,IF(AP289&lt;=0,0,MAX(0,(AP289-AQ289)/AP289)))</f>
        <v>0.2375140417528864</v>
      </c>
      <c r="AL290" s="18">
        <f>IF($A290&gt;'1-Input'!$B$26,0,(MAX(0,AK286-IF($A290&gt;='1-Input'!$C$12,'1-Input'!$B$12,0))-MIN(MAX(AO289,0),MAX(0,AK286-IF($A290&gt;='1-Input'!$C$12,'1-Input'!$B$12,0))))*(1/(1-'P-Parametri'!$B$6*AK290))+MIN(MAX(0,AP289-(MAX(0,AK286-IF($A290&gt;='1-Input'!$C$12,'1-Input'!$B$12,0))-MIN(MAX(AO289,0),MAX(0,AK286-IF($A290&gt;='1-Input'!$C$12,'1-Input'!$B$12,0))))*(1/(1-'P-Parametri'!$B$6*AK290))),MAX(0,2*AK286-(AO289-MIN(MAX(AO289,0),MAX(0,AK286-IF($A290&gt;='1-Input'!$C$12,'1-Input'!$B$12,0)))))*(1/(1-'P-Parametri'!$B$6*AK290))))</f>
        <v>19224.06625415471</v>
      </c>
      <c r="AM290" s="18">
        <f>IF($A290&gt;'1-Input'!$B$26,AO289,(AO289-MAX(0,AK286-IF($A290&gt;='1-Input'!$C$12,'1-Input'!$B$12,0))+AL290*(1-'P-Parametri'!$B$6*AK290))*(1+ROUND('3-Liquidita'!$F$7,4)))</f>
        <v>36764.315397069942</v>
      </c>
      <c r="AN290" s="18">
        <f>IF($A290&gt;'1-Input'!$B$26,AP289,(AP289-AL290)*(1+'5-Roberta'!$C$4))</f>
        <v>385725.62254825787</v>
      </c>
      <c r="AO290" s="18">
        <f>IF($A290&gt;'1-Input'!$B$26,AM290,AM290-'P-Parametri'!$B$8*(AN290+AM290)+MIN(MAX(AN290,0),'P-Parametri'!$B$8*(AN290+AM290)))</f>
        <v>36764.315397069942</v>
      </c>
      <c r="AP290" s="18">
        <f>IF($A290&gt;'1-Input'!$B$26,AN290,AN290-MIN(MAX(AN290,0),'P-Parametri'!$B$8*(AN290+AM290)))</f>
        <v>384880.64267236722</v>
      </c>
      <c r="AQ290" s="18">
        <f>IF($A290&gt;'1-Input'!$B$26,AQ289,AQ289-AL290*(1-AK290))</f>
        <v>285544.04944579885</v>
      </c>
    </row>
    <row r="291" spans="1:43">
      <c r="A291" s="10">
        <f>3</f>
        <v>3</v>
      </c>
      <c r="B291" s="11">
        <f>IF($A291&gt;'1-Input'!$B$26,0,IF(G290&lt;=0,0,MAX(0,(G290-H290)/G290)))</f>
        <v>0.25812532079752482</v>
      </c>
      <c r="C291" s="18">
        <f>IF($A291&gt;'1-Input'!$B$26,0,(MAX(0,B286-IF($A291&gt;='1-Input'!$C$12,'1-Input'!$B$12,0))-MIN(MAX(F290,0),MAX(0,B286-IF($A291&gt;='1-Input'!$C$12,'1-Input'!$B$12,0))))*(1/(1-'P-Parametri'!$B$6*B291))+MIN(MAX(0,G290-(MAX(0,B286-IF($A291&gt;='1-Input'!$C$12,'1-Input'!$B$12,0))-MIN(MAX(F290,0),MAX(0,B286-IF($A291&gt;='1-Input'!$C$12,'1-Input'!$B$12,0))))*(1/(1-'P-Parametri'!$B$6*B291))),MAX(0,2*B286-(F290-MIN(MAX(F290,0),MAX(0,B286-IF($A291&gt;='1-Input'!$C$12,'1-Input'!$B$12,0)))))*(1/(1-'P-Parametri'!$B$6*B291))))</f>
        <v>17655.800394243844</v>
      </c>
      <c r="D291" s="18">
        <f>IF($A291&gt;'1-Input'!$B$26,F290,(F290-MAX(0,B286-IF($A291&gt;='1-Input'!$C$12,'1-Input'!$B$12,0))+C291*(1-'P-Parametri'!$B$6*B291))*(1+ROUND('3-Liquidita'!$F$7,4)))</f>
        <v>33572.29192621589</v>
      </c>
      <c r="E291" s="18">
        <f>IF($A291&gt;'1-Input'!$B$26,G290,(G290-C291)*(1+'5-Roberta'!$C$4))</f>
        <v>385303.43995379831</v>
      </c>
      <c r="F291" s="18">
        <f>IF($A291&gt;'1-Input'!$B$26,D291,D291-'P-Parametri'!$B$8*(E291+D291)+MIN(MAX(E291,0),'P-Parametri'!$B$8*(E291+D291)))</f>
        <v>33572.29192621589</v>
      </c>
      <c r="G291" s="18">
        <f>IF($A291&gt;'1-Input'!$B$26,E291,E291-MIN(MAX(E291,0),'P-Parametri'!$B$8*(E291+D291)))</f>
        <v>384465.68849003827</v>
      </c>
      <c r="H291" s="18">
        <f>IF($A291&gt;'1-Input'!$B$26,H290,H290-C291*(1-B291))</f>
        <v>277521.22904013039</v>
      </c>
      <c r="I291" s="11">
        <f>IF($A291&gt;'1-Input'!$B$26,0,IF(N290&lt;=0,0,MAX(0,(N290-O290)/N290)))</f>
        <v>0.25802826278593427</v>
      </c>
      <c r="J291" s="18">
        <f>IF($A291&gt;'1-Input'!$B$26,0,(MAX(0,I286-IF($A291&gt;='1-Input'!$C$12,'1-Input'!$B$12,0))-MIN(MAX(M290,0),MAX(0,I286-IF($A291&gt;='1-Input'!$C$12,'1-Input'!$B$12,0))))*(1/(1-'P-Parametri'!$B$6*I291))+MIN(MAX(0,N290-(MAX(0,I286-IF($A291&gt;='1-Input'!$C$12,'1-Input'!$B$12,0))-MIN(MAX(M290,0),MAX(0,I286-IF($A291&gt;='1-Input'!$C$12,'1-Input'!$B$12,0))))*(1/(1-'P-Parametri'!$B$6*I291))),MAX(0,2*I286-(M290-MIN(MAX(M290,0),MAX(0,I286-IF($A291&gt;='1-Input'!$C$12,'1-Input'!$B$12,0)))))*(1/(1-'P-Parametri'!$B$6*I291))))</f>
        <v>23230.68790619478</v>
      </c>
      <c r="K291" s="18">
        <f>IF($A291&gt;'1-Input'!$B$26,M290,(M290-MAX(0,I286-IF($A291&gt;='1-Input'!$C$12,'1-Input'!$B$12,0))+J291*(1-'P-Parametri'!$B$6*I291))*(1+ROUND('3-Liquidita'!$F$7,4)))</f>
        <v>44174.068323968284</v>
      </c>
      <c r="L291" s="18">
        <f>IF($A291&gt;'1-Input'!$B$26,N290,(N290-J291)*(1+'5-Roberta'!$C$4))</f>
        <v>356106.59698915511</v>
      </c>
      <c r="M291" s="18">
        <f>IF($A291&gt;'1-Input'!$B$26,K291,K291-'P-Parametri'!$B$8*(L291+K291)+MIN(MAX(L291,0),'P-Parametri'!$B$8*(L291+K291)))</f>
        <v>44174.068323968284</v>
      </c>
      <c r="N291" s="18">
        <f>IF($A291&gt;'1-Input'!$B$26,L291,L291-MIN(MAX(L291,0),'P-Parametri'!$B$8*(L291+K291)))</f>
        <v>355306.03565852885</v>
      </c>
      <c r="O291" s="18">
        <f>IF($A291&gt;'1-Input'!$B$26,O290,O290-J291*(1-I291))</f>
        <v>256525.27223440059</v>
      </c>
      <c r="P291" s="11">
        <f>IF($A291&gt;'1-Input'!$B$26,0,IF(U290&lt;=0,0,MAX(0,(U290-V290)/U290)))</f>
        <v>0.25809284742583033</v>
      </c>
      <c r="Q291" s="18">
        <f>IF($A291&gt;'1-Input'!$B$26,0,(MAX(0,P286-IF($A291&gt;='1-Input'!$C$12,'1-Input'!$B$12,0))-MIN(MAX(T290,0),MAX(0,P286-IF($A291&gt;='1-Input'!$C$12,'1-Input'!$B$12,0))))*(1/(1-'P-Parametri'!$B$6*P291))+MIN(MAX(0,U290-(MAX(0,P286-IF($A291&gt;='1-Input'!$C$12,'1-Input'!$B$12,0))-MIN(MAX(T290,0),MAX(0,P286-IF($A291&gt;='1-Input'!$C$12,'1-Input'!$B$12,0))))*(1/(1-'P-Parametri'!$B$6*P291))),MAX(0,2*P286-(T290-MIN(MAX(T290,0),MAX(0,P286-IF($A291&gt;='1-Input'!$C$12,'1-Input'!$B$12,0)))))*(1/(1-'P-Parametri'!$B$6*P291))))</f>
        <v>19585.600499676217</v>
      </c>
      <c r="R291" s="18">
        <f>IF($A291&gt;'1-Input'!$B$26,T290,(T290-MAX(0,P286-IF($A291&gt;='1-Input'!$C$12,'1-Input'!$B$12,0))+Q291*(1-'P-Parametri'!$B$6*P291))*(1+ROUND('3-Liquidita'!$F$7,4)))</f>
        <v>37242.120653556602</v>
      </c>
      <c r="S291" s="18">
        <f>IF($A291&gt;'1-Input'!$B$26,U290,(U290-Q291)*(1+'5-Roberta'!$C$4))</f>
        <v>375196.82543379063</v>
      </c>
      <c r="T291" s="18">
        <f>IF($A291&gt;'1-Input'!$B$26,R291,R291-'P-Parametri'!$B$8*(S291+R291)+MIN(MAX(S291,0),'P-Parametri'!$B$8*(S291+R291)))</f>
        <v>37242.120653556602</v>
      </c>
      <c r="U291" s="18">
        <f>IF($A291&gt;'1-Input'!$B$26,S291,S291-MIN(MAX(S291,0),'P-Parametri'!$B$8*(S291+R291)))</f>
        <v>374371.94754161593</v>
      </c>
      <c r="V291" s="18">
        <f>IF($A291&gt;'1-Input'!$B$26,V290,V290-Q291*(1-P291))</f>
        <v>270253.60040043824</v>
      </c>
      <c r="W291" s="11">
        <f>IF($A291&gt;'1-Input'!$B$26,0,IF(AB290&lt;=0,0,MAX(0,(AB290-AC290)/AB290)))</f>
        <v>0.2580969302635519</v>
      </c>
      <c r="X291" s="18">
        <f>IF($A291&gt;'1-Input'!$B$26,0,(MAX(0,W286-IF($A291&gt;='1-Input'!$C$12,'1-Input'!$B$12,0))-MIN(MAX(AA290,0),MAX(0,W286-IF($A291&gt;='1-Input'!$C$12,'1-Input'!$B$12,0))))*(1/(1-'P-Parametri'!$B$6*W291))+MIN(MAX(0,AB290-(MAX(0,W286-IF($A291&gt;='1-Input'!$C$12,'1-Input'!$B$12,0))-MIN(MAX(AA290,0),MAX(0,W286-IF($A291&gt;='1-Input'!$C$12,'1-Input'!$B$12,0))))*(1/(1-'P-Parametri'!$B$6*W291))),MAX(0,2*W286-(AA290-MIN(MAX(AA290,0),MAX(0,W286-IF($A291&gt;='1-Input'!$C$12,'1-Input'!$B$12,0)))))*(1/(1-'P-Parametri'!$B$6*W291))))</f>
        <v>19346.665666793178</v>
      </c>
      <c r="Y291" s="18">
        <f>IF($A291&gt;'1-Input'!$B$26,AA290,(AA290-MAX(0,W286-IF($A291&gt;='1-Input'!$C$12,'1-Input'!$B$12,0))+X291*(1-'P-Parametri'!$B$6*W291))*(1+ROUND('3-Liquidita'!$F$7,4)))</f>
        <v>36787.742972329659</v>
      </c>
      <c r="Z291" s="18">
        <f>IF($A291&gt;'1-Input'!$B$26,AB290,(AB290-X291)*(1+'5-Roberta'!$C$4))</f>
        <v>376448.16652973293</v>
      </c>
      <c r="AA291" s="18">
        <f>IF($A291&gt;'1-Input'!$B$26,Y291,Y291-'P-Parametri'!$B$8*(Z291+Y291)+MIN(MAX(Z291,0),'P-Parametri'!$B$8*(Z291+Y291)))</f>
        <v>36787.742972329659</v>
      </c>
      <c r="AB291" s="18">
        <f>IF($A291&gt;'1-Input'!$B$26,Z291,Z291-MIN(MAX(Z291,0),'P-Parametri'!$B$8*(Z291+Y291)))</f>
        <v>375621.69471072883</v>
      </c>
      <c r="AC291" s="18">
        <f>IF($A291&gt;'1-Input'!$B$26,AC290,AC290-X291*(1-W291))</f>
        <v>271153.44693695771</v>
      </c>
      <c r="AD291" s="11">
        <f>IF($A291&gt;'1-Input'!$B$26,0,IF(AI290&lt;=0,0,MAX(0,(AI290-AJ290)/AI290)))</f>
        <v>0.25809713965055475</v>
      </c>
      <c r="AE291" s="18">
        <f>IF($A291&gt;'1-Input'!$B$26,0,(MAX(0,AD286-IF($A291&gt;='1-Input'!$C$12,'1-Input'!$B$12,0))-MIN(MAX(AH290,0),MAX(0,AD286-IF($A291&gt;='1-Input'!$C$12,'1-Input'!$B$12,0))))*(1/(1-'P-Parametri'!$B$6*AD291))+MIN(MAX(0,AI290-(MAX(0,AD286-IF($A291&gt;='1-Input'!$C$12,'1-Input'!$B$12,0))-MIN(MAX(AH290,0),MAX(0,AD286-IF($A291&gt;='1-Input'!$C$12,'1-Input'!$B$12,0))))*(1/(1-'P-Parametri'!$B$6*AD291))),MAX(0,2*AD286-(AH290-MIN(MAX(AH290,0),MAX(0,AD286-IF($A291&gt;='1-Input'!$C$12,'1-Input'!$B$12,0)))))*(1/(1-'P-Parametri'!$B$6*AD291))))</f>
        <v>19334.383731541184</v>
      </c>
      <c r="AF291" s="18">
        <f>IF($A291&gt;'1-Input'!$B$26,AH290,(AH290-MAX(0,AD286-IF($A291&gt;='1-Input'!$C$12,'1-Input'!$B$12,0))+AE291*(1-'P-Parametri'!$B$6*AD291))*(1+ROUND('3-Liquidita'!$F$7,4)))</f>
        <v>36764.386690049425</v>
      </c>
      <c r="AG291" s="18">
        <f>IF($A291&gt;'1-Input'!$B$26,AI290,(AI290-AE291)*(1+'5-Roberta'!$C$4))</f>
        <v>376512.48898466583</v>
      </c>
      <c r="AH291" s="18">
        <f>IF($A291&gt;'1-Input'!$B$26,AF291,AF291-'P-Parametri'!$B$8*(AG291+AF291)+MIN(MAX(AG291,0),'P-Parametri'!$B$8*(AG291+AF291)))</f>
        <v>36764.386690049425</v>
      </c>
      <c r="AI291" s="18">
        <f>IF($A291&gt;'1-Input'!$B$26,AG291,AG291-MIN(MAX(AG291,0),'P-Parametri'!$B$8*(AG291+AF291)))</f>
        <v>375685.93523331638</v>
      </c>
      <c r="AJ291" s="18">
        <f>IF($A291&gt;'1-Input'!$B$26,AJ290,AJ290-AE291*(1-AD291))</f>
        <v>271199.70149030344</v>
      </c>
      <c r="AK291" s="11">
        <f>IF($A291&gt;'1-Input'!$B$26,0,IF(AP290&lt;=0,0,MAX(0,(AP290-AQ290)/AP290)))</f>
        <v>0.25809714028961817</v>
      </c>
      <c r="AL291" s="18">
        <f>IF($A291&gt;'1-Input'!$B$26,0,(MAX(0,AK286-IF($A291&gt;='1-Input'!$C$12,'1-Input'!$B$12,0))-MIN(MAX(AO290,0),MAX(0,AK286-IF($A291&gt;='1-Input'!$C$12,'1-Input'!$B$12,0))))*(1/(1-'P-Parametri'!$B$6*AK291))+MIN(MAX(0,AP290-(MAX(0,AK286-IF($A291&gt;='1-Input'!$C$12,'1-Input'!$B$12,0))-MIN(MAX(AO290,0),MAX(0,AK286-IF($A291&gt;='1-Input'!$C$12,'1-Input'!$B$12,0))))*(1/(1-'P-Parametri'!$B$6*AK291))),MAX(0,2*AK286-(AO290-MIN(MAX(AO290,0),MAX(0,AK286-IF($A291&gt;='1-Input'!$C$12,'1-Input'!$B$12,0)))))*(1/(1-'P-Parametri'!$B$6*AK291))))</f>
        <v>19334.346242020907</v>
      </c>
      <c r="AM291" s="18">
        <f>IF($A291&gt;'1-Input'!$B$26,AO290,(AO290-MAX(0,AK286-IF($A291&gt;='1-Input'!$C$12,'1-Input'!$B$12,0))+AL291*(1-'P-Parametri'!$B$6*AK291))*(1+ROUND('3-Liquidita'!$F$7,4)))</f>
        <v>36764.315397069942</v>
      </c>
      <c r="AN291" s="18">
        <f>IF($A291&gt;'1-Input'!$B$26,AP290,(AP290-AL291)*(1+'5-Roberta'!$C$4))</f>
        <v>376512.68532325671</v>
      </c>
      <c r="AO291" s="18">
        <f>IF($A291&gt;'1-Input'!$B$26,AM291,AM291-'P-Parametri'!$B$8*(AN291+AM291)+MIN(MAX(AN291,0),'P-Parametri'!$B$8*(AN291+AM291)))</f>
        <v>36764.315397069942</v>
      </c>
      <c r="AP291" s="18">
        <f>IF($A291&gt;'1-Input'!$B$26,AN291,AN291-MIN(MAX(AN291,0),'P-Parametri'!$B$8*(AN291+AM291)))</f>
        <v>375686.13132181606</v>
      </c>
      <c r="AQ291" s="18">
        <f>IF($A291&gt;'1-Input'!$B$26,AQ290,AQ290-AL291*(1-AK291))</f>
        <v>271199.84267821285</v>
      </c>
    </row>
    <row r="292" spans="1:43">
      <c r="A292" s="10">
        <f>4</f>
        <v>4</v>
      </c>
      <c r="B292" s="11">
        <f>IF($A292&gt;'1-Input'!$B$26,0,IF(G291&lt;=0,0,MAX(0,(G291-H291)/G291)))</f>
        <v>0.27816385870459509</v>
      </c>
      <c r="C292" s="18">
        <f>IF($A292&gt;'1-Input'!$B$26,0,(MAX(0,B286-IF($A292&gt;='1-Input'!$C$12,'1-Input'!$B$12,0))-MIN(MAX(F291,0),MAX(0,B286-IF($A292&gt;='1-Input'!$C$12,'1-Input'!$B$12,0))))*(1/(1-'P-Parametri'!$B$6*B292))+MIN(MAX(0,G291-(MAX(0,B286-IF($A292&gt;='1-Input'!$C$12,'1-Input'!$B$12,0))-MIN(MAX(F291,0),MAX(0,B286-IF($A292&gt;='1-Input'!$C$12,'1-Input'!$B$12,0))))*(1/(1-'P-Parametri'!$B$6*B292))),MAX(0,2*B286-(F291-MIN(MAX(F291,0),MAX(0,B286-IF($A292&gt;='1-Input'!$C$12,'1-Input'!$B$12,0)))))*(1/(1-'P-Parametri'!$B$6*B292))))</f>
        <v>17754.958863500829</v>
      </c>
      <c r="D292" s="18">
        <f>IF($A292&gt;'1-Input'!$B$26,F291,(F291-MAX(0,B286-IF($A292&gt;='1-Input'!$C$12,'1-Input'!$B$12,0))+C292*(1-'P-Parametri'!$B$6*B292))*(1+ROUND('3-Liquidita'!$F$7,4)))</f>
        <v>33572.29192621589</v>
      </c>
      <c r="E292" s="18">
        <f>IF($A292&gt;'1-Input'!$B$26,G291,(G291-C292)*(1+'5-Roberta'!$C$4))</f>
        <v>377712.05151533353</v>
      </c>
      <c r="F292" s="18">
        <f>IF($A292&gt;'1-Input'!$B$26,D292,D292-'P-Parametri'!$B$8*(E292+D292)+MIN(MAX(E292,0),'P-Parametri'!$B$8*(E292+D292)))</f>
        <v>33572.29192621589</v>
      </c>
      <c r="G292" s="18">
        <f>IF($A292&gt;'1-Input'!$B$26,E292,E292-MIN(MAX(E292,0),'P-Parametri'!$B$8*(E292+D292)))</f>
        <v>376889.48282845045</v>
      </c>
      <c r="H292" s="18">
        <f>IF($A292&gt;'1-Input'!$B$26,H291,H291-C292*(1-B292))</f>
        <v>264705.05804524233</v>
      </c>
      <c r="I292" s="11">
        <f>IF($A292&gt;'1-Input'!$B$26,0,IF(N291&lt;=0,0,MAX(0,(N291-O291)/N291)))</f>
        <v>0.27801600172945756</v>
      </c>
      <c r="J292" s="18">
        <f>IF($A292&gt;'1-Input'!$B$26,0,(MAX(0,I286-IF($A292&gt;='1-Input'!$C$12,'1-Input'!$B$12,0))-MIN(MAX(M291,0),MAX(0,I286-IF($A292&gt;='1-Input'!$C$12,'1-Input'!$B$12,0))))*(1/(1-'P-Parametri'!$B$6*I292))+MIN(MAX(0,N291-(MAX(0,I286-IF($A292&gt;='1-Input'!$C$12,'1-Input'!$B$12,0))-MIN(MAX(M291,0),MAX(0,I286-IF($A292&gt;='1-Input'!$C$12,'1-Input'!$B$12,0))))*(1/(1-'P-Parametri'!$B$6*I292))),MAX(0,2*I286-(M291-MIN(MAX(M291,0),MAX(0,I286-IF($A292&gt;='1-Input'!$C$12,'1-Input'!$B$12,0)))))*(1/(1-'P-Parametri'!$B$6*I292))))</f>
        <v>23360.819909383234</v>
      </c>
      <c r="K292" s="18">
        <f>IF($A292&gt;'1-Input'!$B$26,M291,(M291-MAX(0,I286-IF($A292&gt;='1-Input'!$C$12,'1-Input'!$B$12,0))+J292*(1-'P-Parametri'!$B$6*I292))*(1+ROUND('3-Liquidita'!$F$7,4)))</f>
        <v>44174.068323968284</v>
      </c>
      <c r="L292" s="18">
        <f>IF($A292&gt;'1-Input'!$B$26,N291,(N291-J292)*(1+'5-Roberta'!$C$4))</f>
        <v>341903.57222161995</v>
      </c>
      <c r="M292" s="18">
        <f>IF($A292&gt;'1-Input'!$B$26,K292,K292-'P-Parametri'!$B$8*(L292+K292)+MIN(MAX(L292,0),'P-Parametri'!$B$8*(L292+K292)))</f>
        <v>44174.068323968284</v>
      </c>
      <c r="N292" s="18">
        <f>IF($A292&gt;'1-Input'!$B$26,L292,L292-MIN(MAX(L292,0),'P-Parametri'!$B$8*(L292+K292)))</f>
        <v>341131.41694052878</v>
      </c>
      <c r="O292" s="18">
        <f>IF($A292&gt;'1-Input'!$B$26,O291,O291-J292*(1-I292))</f>
        <v>239659.13407334598</v>
      </c>
      <c r="P292" s="11">
        <f>IF($A292&gt;'1-Input'!$B$26,0,IF(U291&lt;=0,0,MAX(0,(U291-V291)/U291)))</f>
        <v>0.27811471405614246</v>
      </c>
      <c r="Q292" s="18">
        <f>IF($A292&gt;'1-Input'!$B$26,0,(MAX(0,P286-IF($A292&gt;='1-Input'!$C$12,'1-Input'!$B$12,0))-MIN(MAX(T291,0),MAX(0,P286-IF($A292&gt;='1-Input'!$C$12,'1-Input'!$B$12,0))))*(1/(1-'P-Parametri'!$B$6*P292))+MIN(MAX(0,U291-(MAX(0,P286-IF($A292&gt;='1-Input'!$C$12,'1-Input'!$B$12,0))-MIN(MAX(T291,0),MAX(0,P286-IF($A292&gt;='1-Input'!$C$12,'1-Input'!$B$12,0))))*(1/(1-'P-Parametri'!$B$6*P292))),MAX(0,2*P286-(T291-MIN(MAX(T291,0),MAX(0,P286-IF($A292&gt;='1-Input'!$C$12,'1-Input'!$B$12,0)))))*(1/(1-'P-Parametri'!$B$6*P292))))</f>
        <v>19695.504081604857</v>
      </c>
      <c r="R292" s="18">
        <f>IF($A292&gt;'1-Input'!$B$26,T291,(T291-MAX(0,P286-IF($A292&gt;='1-Input'!$C$12,'1-Input'!$B$12,0))+Q292*(1-'P-Parametri'!$B$6*P292))*(1+ROUND('3-Liquidita'!$F$7,4)))</f>
        <v>37242.120653556602</v>
      </c>
      <c r="S292" s="18">
        <f>IF($A292&gt;'1-Input'!$B$26,U291,(U291-Q292)*(1+'5-Roberta'!$C$4))</f>
        <v>365316.73676381138</v>
      </c>
      <c r="T292" s="18">
        <f>IF($A292&gt;'1-Input'!$B$26,R292,R292-'P-Parametri'!$B$8*(S292+R292)+MIN(MAX(S292,0),'P-Parametri'!$B$8*(S292+R292)))</f>
        <v>37242.120653556602</v>
      </c>
      <c r="U292" s="18">
        <f>IF($A292&gt;'1-Input'!$B$26,S292,S292-MIN(MAX(S292,0),'P-Parametri'!$B$8*(S292+R292)))</f>
        <v>364511.61904897663</v>
      </c>
      <c r="V292" s="18">
        <f>IF($A292&gt;'1-Input'!$B$26,V291,V291-Q292*(1-P292))</f>
        <v>256035.7058046805</v>
      </c>
      <c r="W292" s="11">
        <f>IF($A292&gt;'1-Input'!$B$26,0,IF(AB291&lt;=0,0,MAX(0,(AB291-AC291)/AB291)))</f>
        <v>0.27812091059922267</v>
      </c>
      <c r="X292" s="18">
        <f>IF($A292&gt;'1-Input'!$B$26,0,(MAX(0,W286-IF($A292&gt;='1-Input'!$C$12,'1-Input'!$B$12,0))-MIN(MAX(AA291,0),MAX(0,W286-IF($A292&gt;='1-Input'!$C$12,'1-Input'!$B$12,0))))*(1/(1-'P-Parametri'!$B$6*W292))+MIN(MAX(0,AB291-(MAX(0,W286-IF($A292&gt;='1-Input'!$C$12,'1-Input'!$B$12,0))-MIN(MAX(AA291,0),MAX(0,W286-IF($A292&gt;='1-Input'!$C$12,'1-Input'!$B$12,0))))*(1/(1-'P-Parametri'!$B$6*W292))),MAX(0,2*W286-(AA291-MIN(MAX(AA291,0),MAX(0,W286-IF($A292&gt;='1-Input'!$C$12,'1-Input'!$B$12,0)))))*(1/(1-'P-Parametri'!$B$6*W292))))</f>
        <v>19455.240127811274</v>
      </c>
      <c r="Y292" s="18">
        <f>IF($A292&gt;'1-Input'!$B$26,AA291,(AA291-MAX(0,W286-IF($A292&gt;='1-Input'!$C$12,'1-Input'!$B$12,0))+X292*(1-'P-Parametri'!$B$6*W292))*(1+ROUND('3-Liquidita'!$F$7,4)))</f>
        <v>36787.742972329659</v>
      </c>
      <c r="Z292" s="18">
        <f>IF($A292&gt;'1-Input'!$B$26,AB291,(AB291-X292)*(1+'5-Roberta'!$C$4))</f>
        <v>366851.44822040509</v>
      </c>
      <c r="AA292" s="18">
        <f>IF($A292&gt;'1-Input'!$B$26,Y292,Y292-'P-Parametri'!$B$8*(Z292+Y292)+MIN(MAX(Z292,0),'P-Parametri'!$B$8*(Z292+Y292)))</f>
        <v>36787.742972329659</v>
      </c>
      <c r="AB292" s="18">
        <f>IF($A292&gt;'1-Input'!$B$26,Z292,Z292-MIN(MAX(Z292,0),'P-Parametri'!$B$8*(Z292+Y292)))</f>
        <v>366044.16983801965</v>
      </c>
      <c r="AC292" s="18">
        <f>IF($A292&gt;'1-Input'!$B$26,AC291,AC291-X292*(1-W292))</f>
        <v>257109.11590941984</v>
      </c>
      <c r="AD292" s="11">
        <f>IF($A292&gt;'1-Input'!$B$26,0,IF(AI291&lt;=0,0,MAX(0,(AI291-AJ291)/AI291)))</f>
        <v>0.27812122824912971</v>
      </c>
      <c r="AE292" s="18">
        <f>IF($A292&gt;'1-Input'!$B$26,0,(MAX(0,AD286-IF($A292&gt;='1-Input'!$C$12,'1-Input'!$B$12,0))-MIN(MAX(AH291,0),MAX(0,AD286-IF($A292&gt;='1-Input'!$C$12,'1-Input'!$B$12,0))))*(1/(1-'P-Parametri'!$B$6*AD292))+MIN(MAX(0,AI291-(MAX(0,AD286-IF($A292&gt;='1-Input'!$C$12,'1-Input'!$B$12,0))-MIN(MAX(AH291,0),MAX(0,AD286-IF($A292&gt;='1-Input'!$C$12,'1-Input'!$B$12,0))))*(1/(1-'P-Parametri'!$B$6*AD292))),MAX(0,2*AD286-(AH291-MIN(MAX(AH291,0),MAX(0,AD286-IF($A292&gt;='1-Input'!$C$12,'1-Input'!$B$12,0)))))*(1/(1-'P-Parametri'!$B$6*AD292))))</f>
        <v>19442.889862033506</v>
      </c>
      <c r="AF292" s="18">
        <f>IF($A292&gt;'1-Input'!$B$26,AH291,(AH291-MAX(0,AD286-IF($A292&gt;='1-Input'!$C$12,'1-Input'!$B$12,0))+AE292*(1-'P-Parametri'!$B$6*AD292))*(1+ROUND('3-Liquidita'!$F$7,4)))</f>
        <v>36764.386690049425</v>
      </c>
      <c r="AG292" s="18">
        <f>IF($A292&gt;'1-Input'!$B$26,AI291,(AI291-AE292)*(1+'5-Roberta'!$C$4))</f>
        <v>366930.33673242142</v>
      </c>
      <c r="AH292" s="18">
        <f>IF($A292&gt;'1-Input'!$B$26,AF292,AF292-'P-Parametri'!$B$8*(AG292+AF292)+MIN(MAX(AG292,0),'P-Parametri'!$B$8*(AG292+AF292)))</f>
        <v>36764.386690049425</v>
      </c>
      <c r="AI292" s="18">
        <f>IF($A292&gt;'1-Input'!$B$26,AG292,AG292-MIN(MAX(AG292,0),'P-Parametri'!$B$8*(AG292+AF292)))</f>
        <v>366122.94728557649</v>
      </c>
      <c r="AJ292" s="18">
        <f>IF($A292&gt;'1-Input'!$B$26,AJ291,AJ291-AE292*(1-AD292))</f>
        <v>257164.29203741124</v>
      </c>
      <c r="AK292" s="11">
        <f>IF($A292&gt;'1-Input'!$B$26,0,IF(AP291&lt;=0,0,MAX(0,(AP291-AQ291)/AP291)))</f>
        <v>0.27812122921859828</v>
      </c>
      <c r="AL292" s="18">
        <f>IF($A292&gt;'1-Input'!$B$26,0,(MAX(0,AK286-IF($A292&gt;='1-Input'!$C$12,'1-Input'!$B$12,0))-MIN(MAX(AO291,0),MAX(0,AK286-IF($A292&gt;='1-Input'!$C$12,'1-Input'!$B$12,0))))*(1/(1-'P-Parametri'!$B$6*AK292))+MIN(MAX(0,AP291-(MAX(0,AK286-IF($A292&gt;='1-Input'!$C$12,'1-Input'!$B$12,0))-MIN(MAX(AO291,0),MAX(0,AK286-IF($A292&gt;='1-Input'!$C$12,'1-Input'!$B$12,0))))*(1/(1-'P-Parametri'!$B$6*AK292))),MAX(0,2*AK286-(AO291-MIN(MAX(AO291,0),MAX(0,AK286-IF($A292&gt;='1-Input'!$C$12,'1-Input'!$B$12,0)))))*(1/(1-'P-Parametri'!$B$6*AK292))))</f>
        <v>19442.852163938871</v>
      </c>
      <c r="AM292" s="18">
        <f>IF($A292&gt;'1-Input'!$B$26,AO291,(AO291-MAX(0,AK286-IF($A292&gt;='1-Input'!$C$12,'1-Input'!$B$12,0))+AL292*(1-'P-Parametri'!$B$6*AK292))*(1+ROUND('3-Liquidita'!$F$7,4)))</f>
        <v>36764.315397069942</v>
      </c>
      <c r="AN292" s="18">
        <f>IF($A292&gt;'1-Input'!$B$26,AP291,(AP291-AL292)*(1+'5-Roberta'!$C$4))</f>
        <v>366930.57753261353</v>
      </c>
      <c r="AO292" s="18">
        <f>IF($A292&gt;'1-Input'!$B$26,AM292,AM292-'P-Parametri'!$B$8*(AN292+AM292)+MIN(MAX(AN292,0),'P-Parametri'!$B$8*(AN292+AM292)))</f>
        <v>36764.315397069942</v>
      </c>
      <c r="AP292" s="18">
        <f>IF($A292&gt;'1-Input'!$B$26,AN292,AN292-MIN(MAX(AN292,0),'P-Parametri'!$B$8*(AN292+AM292)))</f>
        <v>366123.18774675415</v>
      </c>
      <c r="AQ292" s="18">
        <f>IF($A292&gt;'1-Input'!$B$26,AQ291,AQ291-AL292*(1-AK292))</f>
        <v>257164.46045762414</v>
      </c>
    </row>
    <row r="293" spans="1:43">
      <c r="A293" s="10">
        <f>5</f>
        <v>5</v>
      </c>
      <c r="B293" s="11">
        <f>IF($A293&gt;'1-Input'!$B$26,0,IF(G292&lt;=0,0,MAX(0,(G292-H292)/G292)))</f>
        <v>0.29765867686541769</v>
      </c>
      <c r="C293" s="18">
        <f>IF($A293&gt;'1-Input'!$B$26,0,(MAX(0,B286-IF($A293&gt;='1-Input'!$C$12,'1-Input'!$B$12,0))-MIN(MAX(F292,0),MAX(0,B286-IF($A293&gt;='1-Input'!$C$12,'1-Input'!$B$12,0))))*(1/(1-'P-Parametri'!$B$6*B293))+MIN(MAX(0,G292-(MAX(0,B286-IF($A293&gt;='1-Input'!$C$12,'1-Input'!$B$12,0))-MIN(MAX(F292,0),MAX(0,B286-IF($A293&gt;='1-Input'!$C$12,'1-Input'!$B$12,0))))*(1/(1-'P-Parametri'!$B$6*B293))),MAX(0,2*B286-(F292-MIN(MAX(F292,0),MAX(0,B286-IF($A293&gt;='1-Input'!$C$12,'1-Input'!$B$12,0)))))*(1/(1-'P-Parametri'!$B$6*B293))))</f>
        <v>17852.501533839662</v>
      </c>
      <c r="D293" s="18">
        <f>IF($A293&gt;'1-Input'!$B$26,F292,(F292-MAX(0,B286-IF($A293&gt;='1-Input'!$C$12,'1-Input'!$B$12,0))+C293*(1-'P-Parametri'!$B$6*B293))*(1+ROUND('3-Liquidita'!$F$7,4)))</f>
        <v>33572.29192621589</v>
      </c>
      <c r="E293" s="18">
        <f>IF($A293&gt;'1-Input'!$B$26,G292,(G292-C293)*(1+'5-Roberta'!$C$4))</f>
        <v>369808.09073344909</v>
      </c>
      <c r="F293" s="18">
        <f>IF($A293&gt;'1-Input'!$B$26,D293,D293-'P-Parametri'!$B$8*(E293+D293)+MIN(MAX(E293,0),'P-Parametri'!$B$8*(E293+D293)))</f>
        <v>33572.29192621589</v>
      </c>
      <c r="G293" s="18">
        <f>IF($A293&gt;'1-Input'!$B$26,E293,E293-MIN(MAX(E293,0),'P-Parametri'!$B$8*(E293+D293)))</f>
        <v>369001.32996812975</v>
      </c>
      <c r="H293" s="18">
        <f>IF($A293&gt;'1-Input'!$B$26,H292,H292-C293*(1-B293))</f>
        <v>252166.50849670323</v>
      </c>
      <c r="I293" s="11">
        <f>IF($A293&gt;'1-Input'!$B$26,0,IF(N292&lt;=0,0,MAX(0,(N292-O292)/N292)))</f>
        <v>0.29745804059106346</v>
      </c>
      <c r="J293" s="18">
        <f>IF($A293&gt;'1-Input'!$B$26,0,(MAX(0,I286-IF($A293&gt;='1-Input'!$C$12,'1-Input'!$B$12,0))-MIN(MAX(M292,0),MAX(0,I286-IF($A293&gt;='1-Input'!$C$12,'1-Input'!$B$12,0))))*(1/(1-'P-Parametri'!$B$6*I293))+MIN(MAX(0,N292-(MAX(0,I286-IF($A293&gt;='1-Input'!$C$12,'1-Input'!$B$12,0))-MIN(MAX(M292,0),MAX(0,I286-IF($A293&gt;='1-Input'!$C$12,'1-Input'!$B$12,0))))*(1/(1-'P-Parametri'!$B$6*I293))),MAX(0,2*I286-(M292-MIN(MAX(M292,0),MAX(0,I286-IF($A293&gt;='1-Input'!$C$12,'1-Input'!$B$12,0)))))*(1/(1-'P-Parametri'!$B$6*I293))))</f>
        <v>23488.805511250055</v>
      </c>
      <c r="K293" s="18">
        <f>IF($A293&gt;'1-Input'!$B$26,M292,(M292-MAX(0,I286-IF($A293&gt;='1-Input'!$C$12,'1-Input'!$B$12,0))+J293*(1-'P-Parametri'!$B$6*I293))*(1+ROUND('3-Liquidita'!$F$7,4)))</f>
        <v>44174.068323968284</v>
      </c>
      <c r="L293" s="18">
        <f>IF($A293&gt;'1-Input'!$B$26,N292,(N292-J293)*(1+'5-Roberta'!$C$4))</f>
        <v>327171.88977215713</v>
      </c>
      <c r="M293" s="18">
        <f>IF($A293&gt;'1-Input'!$B$26,K293,K293-'P-Parametri'!$B$8*(L293+K293)+MIN(MAX(L293,0),'P-Parametri'!$B$8*(L293+K293)))</f>
        <v>44174.068323968284</v>
      </c>
      <c r="N293" s="18">
        <f>IF($A293&gt;'1-Input'!$B$26,L293,L293-MIN(MAX(L293,0),'P-Parametri'!$B$8*(L293+K293)))</f>
        <v>326429.19785596489</v>
      </c>
      <c r="O293" s="18">
        <f>IF($A293&gt;'1-Input'!$B$26,O292,O292-J293*(1-I293))</f>
        <v>223157.26262529695</v>
      </c>
      <c r="P293" s="11">
        <f>IF($A293&gt;'1-Input'!$B$26,0,IF(U292&lt;=0,0,MAX(0,(U292-V292)/U292)))</f>
        <v>0.29759247051524318</v>
      </c>
      <c r="Q293" s="18">
        <f>IF($A293&gt;'1-Input'!$B$26,0,(MAX(0,P286-IF($A293&gt;='1-Input'!$C$12,'1-Input'!$B$12,0))-MIN(MAX(T292,0),MAX(0,P286-IF($A293&gt;='1-Input'!$C$12,'1-Input'!$B$12,0))))*(1/(1-'P-Parametri'!$B$6*P293))+MIN(MAX(0,U292-(MAX(0,P286-IF($A293&gt;='1-Input'!$C$12,'1-Input'!$B$12,0))-MIN(MAX(T292,0),MAX(0,P286-IF($A293&gt;='1-Input'!$C$12,'1-Input'!$B$12,0))))*(1/(1-'P-Parametri'!$B$6*P293))),MAX(0,2*P286-(T292-MIN(MAX(T292,0),MAX(0,P286-IF($A293&gt;='1-Input'!$C$12,'1-Input'!$B$12,0)))))*(1/(1-'P-Parametri'!$B$6*P293))))</f>
        <v>19803.611055454701</v>
      </c>
      <c r="R293" s="18">
        <f>IF($A293&gt;'1-Input'!$B$26,T292,(T292-MAX(0,P286-IF($A293&gt;='1-Input'!$C$12,'1-Input'!$B$12,0))+Q293*(1-'P-Parametri'!$B$6*P293))*(1+ROUND('3-Liquidita'!$F$7,4)))</f>
        <v>37242.120653556602</v>
      </c>
      <c r="S293" s="18">
        <f>IF($A293&gt;'1-Input'!$B$26,U292,(U292-Q293)*(1+'5-Roberta'!$C$4))</f>
        <v>355049.24823332758</v>
      </c>
      <c r="T293" s="18">
        <f>IF($A293&gt;'1-Input'!$B$26,R293,R293-'P-Parametri'!$B$8*(S293+R293)+MIN(MAX(S293,0),'P-Parametri'!$B$8*(S293+R293)))</f>
        <v>37242.120653556602</v>
      </c>
      <c r="U293" s="18">
        <f>IF($A293&gt;'1-Input'!$B$26,S293,S293-MIN(MAX(S293,0),'P-Parametri'!$B$8*(S293+R293)))</f>
        <v>354264.66549555381</v>
      </c>
      <c r="V293" s="18">
        <f>IF($A293&gt;'1-Input'!$B$26,V292,V292-Q293*(1-P293))</f>
        <v>242125.50028834154</v>
      </c>
      <c r="W293" s="11">
        <f>IF($A293&gt;'1-Input'!$B$26,0,IF(AB292&lt;=0,0,MAX(0,(AB292-AC292)/AB292)))</f>
        <v>0.29760084411890864</v>
      </c>
      <c r="X293" s="18">
        <f>IF($A293&gt;'1-Input'!$B$26,0,(MAX(0,W286-IF($A293&gt;='1-Input'!$C$12,'1-Input'!$B$12,0))-MIN(MAX(AA292,0),MAX(0,W286-IF($A293&gt;='1-Input'!$C$12,'1-Input'!$B$12,0))))*(1/(1-'P-Parametri'!$B$6*W293))+MIN(MAX(0,AB292-(MAX(0,W286-IF($A293&gt;='1-Input'!$C$12,'1-Input'!$B$12,0))-MIN(MAX(AA292,0),MAX(0,W286-IF($A293&gt;='1-Input'!$C$12,'1-Input'!$B$12,0))))*(1/(1-'P-Parametri'!$B$6*W293))),MAX(0,2*W286-(AA292-MIN(MAX(AA292,0),MAX(0,W286-IF($A293&gt;='1-Input'!$C$12,'1-Input'!$B$12,0)))))*(1/(1-'P-Parametri'!$B$6*W293))))</f>
        <v>19562.040500831477</v>
      </c>
      <c r="Y293" s="18">
        <f>IF($A293&gt;'1-Input'!$B$26,AA292,(AA292-MAX(0,W286-IF($A293&gt;='1-Input'!$C$12,'1-Input'!$B$12,0))+X293*(1-'P-Parametri'!$B$6*W293))*(1+ROUND('3-Liquidita'!$F$7,4)))</f>
        <v>36787.742972329659</v>
      </c>
      <c r="Z293" s="18">
        <f>IF($A293&gt;'1-Input'!$B$26,AB292,(AB292-X293)*(1+'5-Roberta'!$C$4))</f>
        <v>356876.5932173038</v>
      </c>
      <c r="AA293" s="18">
        <f>IF($A293&gt;'1-Input'!$B$26,Y293,Y293-'P-Parametri'!$B$8*(Z293+Y293)+MIN(MAX(Z293,0),'P-Parametri'!$B$8*(Z293+Y293)))</f>
        <v>36787.742972329659</v>
      </c>
      <c r="AB293" s="18">
        <f>IF($A293&gt;'1-Input'!$B$26,Z293,Z293-MIN(MAX(Z293,0),'P-Parametri'!$B$8*(Z293+Y293)))</f>
        <v>356089.26454492455</v>
      </c>
      <c r="AC293" s="18">
        <f>IF($A293&gt;'1-Input'!$B$26,AC292,AC292-X293*(1-W293))</f>
        <v>243368.75517432409</v>
      </c>
      <c r="AD293" s="11">
        <f>IF($A293&gt;'1-Input'!$B$26,0,IF(AI292&lt;=0,0,MAX(0,(AI292-AJ292)/AI292)))</f>
        <v>0.29760127316788293</v>
      </c>
      <c r="AE293" s="18">
        <f>IF($A293&gt;'1-Input'!$B$26,0,(MAX(0,AD286-IF($A293&gt;='1-Input'!$C$12,'1-Input'!$B$12,0))-MIN(MAX(AH292,0),MAX(0,AD286-IF($A293&gt;='1-Input'!$C$12,'1-Input'!$B$12,0))))*(1/(1-'P-Parametri'!$B$6*AD293))+MIN(MAX(0,AI292-(MAX(0,AD286-IF($A293&gt;='1-Input'!$C$12,'1-Input'!$B$12,0))-MIN(MAX(AH292,0),MAX(0,AD286-IF($A293&gt;='1-Input'!$C$12,'1-Input'!$B$12,0))))*(1/(1-'P-Parametri'!$B$6*AD293))),MAX(0,2*AD286-(AH292-MIN(MAX(AH292,0),MAX(0,AD286-IF($A293&gt;='1-Input'!$C$12,'1-Input'!$B$12,0)))))*(1/(1-'P-Parametri'!$B$6*AD293))))</f>
        <v>19549.623061013303</v>
      </c>
      <c r="AF293" s="18">
        <f>IF($A293&gt;'1-Input'!$B$26,AH292,(AH292-MAX(0,AD286-IF($A293&gt;='1-Input'!$C$12,'1-Input'!$B$12,0))+AE293*(1-'P-Parametri'!$B$6*AD293))*(1+ROUND('3-Liquidita'!$F$7,4)))</f>
        <v>36764.386690049425</v>
      </c>
      <c r="AG293" s="18">
        <f>IF($A293&gt;'1-Input'!$B$26,AI292,(AI292-AE293)*(1+'5-Roberta'!$C$4))</f>
        <v>356970.52395130013</v>
      </c>
      <c r="AH293" s="18">
        <f>IF($A293&gt;'1-Input'!$B$26,AF293,AF293-'P-Parametri'!$B$8*(AG293+AF293)+MIN(MAX(AG293,0),'P-Parametri'!$B$8*(AG293+AF293)))</f>
        <v>36764.386690049425</v>
      </c>
      <c r="AI293" s="18">
        <f>IF($A293&gt;'1-Input'!$B$26,AG293,AG293-MIN(MAX(AG293,0),'P-Parametri'!$B$8*(AG293+AF293)))</f>
        <v>356183.05413001741</v>
      </c>
      <c r="AJ293" s="18">
        <f>IF($A293&gt;'1-Input'!$B$26,AJ292,AJ292-AE293*(1-AD293))</f>
        <v>243432.66168930772</v>
      </c>
      <c r="AK293" s="11">
        <f>IF($A293&gt;'1-Input'!$B$26,0,IF(AP292&lt;=0,0,MAX(0,(AP292-AQ292)/AP292)))</f>
        <v>0.29760127447731144</v>
      </c>
      <c r="AL293" s="18">
        <f>IF($A293&gt;'1-Input'!$B$26,0,(MAX(0,AK286-IF($A293&gt;='1-Input'!$C$12,'1-Input'!$B$12,0))-MIN(MAX(AO292,0),MAX(0,AK286-IF($A293&gt;='1-Input'!$C$12,'1-Input'!$B$12,0))))*(1/(1-'P-Parametri'!$B$6*AK293))+MIN(MAX(0,AP292-(MAX(0,AK286-IF($A293&gt;='1-Input'!$C$12,'1-Input'!$B$12,0))-MIN(MAX(AO292,0),MAX(0,AK286-IF($A293&gt;='1-Input'!$C$12,'1-Input'!$B$12,0))))*(1/(1-'P-Parametri'!$B$6*AK293))),MAX(0,2*AK286-(AO292-MIN(MAX(AO292,0),MAX(0,AK286-IF($A293&gt;='1-Input'!$C$12,'1-Input'!$B$12,0)))))*(1/(1-'P-Parametri'!$B$6*AK293))))</f>
        <v>19549.585157874211</v>
      </c>
      <c r="AM293" s="18">
        <f>IF($A293&gt;'1-Input'!$B$26,AO292,(AO292-MAX(0,AK286-IF($A293&gt;='1-Input'!$C$12,'1-Input'!$B$12,0))+AL293*(1-'P-Parametri'!$B$6*AK293))*(1+ROUND('3-Liquidita'!$F$7,4)))</f>
        <v>36764.315397069942</v>
      </c>
      <c r="AN293" s="18">
        <f>IF($A293&gt;'1-Input'!$B$26,AP292,(AP292-AL293)*(1+'5-Roberta'!$C$4))</f>
        <v>356970.81066654634</v>
      </c>
      <c r="AO293" s="18">
        <f>IF($A293&gt;'1-Input'!$B$26,AM293,AM293-'P-Parametri'!$B$8*(AN293+AM293)+MIN(MAX(AN293,0),'P-Parametri'!$B$8*(AN293+AM293)))</f>
        <v>36764.315397069942</v>
      </c>
      <c r="AP293" s="18">
        <f>IF($A293&gt;'1-Input'!$B$26,AN293,AN293-MIN(MAX(AN293,0),'P-Parametri'!$B$8*(AN293+AM293)))</f>
        <v>356183.34041441913</v>
      </c>
      <c r="AQ293" s="18">
        <f>IF($A293&gt;'1-Input'!$B$26,AQ292,AQ292-AL293*(1-AK293))</f>
        <v>243432.85675823601</v>
      </c>
    </row>
    <row r="294" spans="1:43">
      <c r="A294" s="10">
        <f>6</f>
        <v>6</v>
      </c>
      <c r="B294" s="11">
        <f>IF($A294&gt;'1-Input'!$B$26,0,IF(G293&lt;=0,0,MAX(0,(G293-H293)/G293)))</f>
        <v>0.31662439124953135</v>
      </c>
      <c r="C294" s="18">
        <f>IF($A294&gt;'1-Input'!$B$26,0,(MAX(0,B286-IF($A294&gt;='1-Input'!$C$12,'1-Input'!$B$12,0))-MIN(MAX(F293,0),MAX(0,B286-IF($A294&gt;='1-Input'!$C$12,'1-Input'!$B$12,0))))*(1/(1-'P-Parametri'!$B$6*B294))+MIN(MAX(0,G293-(MAX(0,B286-IF($A294&gt;='1-Input'!$C$12,'1-Input'!$B$12,0))-MIN(MAX(F293,0),MAX(0,B286-IF($A294&gt;='1-Input'!$C$12,'1-Input'!$B$12,0))))*(1/(1-'P-Parametri'!$B$6*B294))),MAX(0,2*B286-(F293-MIN(MAX(F293,0),MAX(0,B286-IF($A294&gt;='1-Input'!$C$12,'1-Input'!$B$12,0)))))*(1/(1-'P-Parametri'!$B$6*B294))))</f>
        <v>17948.430877809944</v>
      </c>
      <c r="D294" s="18">
        <f>IF($A294&gt;'1-Input'!$B$26,F293,(F293-MAX(0,B286-IF($A294&gt;='1-Input'!$C$12,'1-Input'!$B$12,0))+C294*(1-'P-Parametri'!$B$6*B294))*(1+ROUND('3-Liquidita'!$F$7,4)))</f>
        <v>33572.29192621589</v>
      </c>
      <c r="E294" s="18">
        <f>IF($A294&gt;'1-Input'!$B$26,G293,(G293-C294)*(1+'5-Roberta'!$C$4))</f>
        <v>361584.48606302944</v>
      </c>
      <c r="F294" s="18">
        <f>IF($A294&gt;'1-Input'!$B$26,D294,D294-'P-Parametri'!$B$8*(E294+D294)+MIN(MAX(E294,0),'P-Parametri'!$B$8*(E294+D294)))</f>
        <v>33572.29192621589</v>
      </c>
      <c r="G294" s="18">
        <f>IF($A294&gt;'1-Input'!$B$26,E294,E294-MIN(MAX(E294,0),'P-Parametri'!$B$8*(E294+D294)))</f>
        <v>360794.17250705097</v>
      </c>
      <c r="H294" s="18">
        <f>IF($A294&gt;'1-Input'!$B$26,H293,H293-C294*(1-B294))</f>
        <v>239900.98861946416</v>
      </c>
      <c r="I294" s="11">
        <f>IF($A294&gt;'1-Input'!$B$26,0,IF(N293&lt;=0,0,MAX(0,(N293-O293)/N293)))</f>
        <v>0.31636855988671736</v>
      </c>
      <c r="J294" s="18">
        <f>IF($A294&gt;'1-Input'!$B$26,0,(MAX(0,I286-IF($A294&gt;='1-Input'!$C$12,'1-Input'!$B$12,0))-MIN(MAX(M293,0),MAX(0,I286-IF($A294&gt;='1-Input'!$C$12,'1-Input'!$B$12,0))))*(1/(1-'P-Parametri'!$B$6*I294))+MIN(MAX(0,N293-(MAX(0,I286-IF($A294&gt;='1-Input'!$C$12,'1-Input'!$B$12,0))-MIN(MAX(M293,0),MAX(0,I286-IF($A294&gt;='1-Input'!$C$12,'1-Input'!$B$12,0))))*(1/(1-'P-Parametri'!$B$6*I294))),MAX(0,2*I286-(M293-MIN(MAX(M293,0),MAX(0,I286-IF($A294&gt;='1-Input'!$C$12,'1-Input'!$B$12,0)))))*(1/(1-'P-Parametri'!$B$6*I294))))</f>
        <v>23614.644754668199</v>
      </c>
      <c r="K294" s="18">
        <f>IF($A294&gt;'1-Input'!$B$26,M293,(M293-MAX(0,I286-IF($A294&gt;='1-Input'!$C$12,'1-Input'!$B$12,0))+J294*(1-'P-Parametri'!$B$6*I294))*(1+ROUND('3-Liquidita'!$F$7,4)))</f>
        <v>44174.068323968284</v>
      </c>
      <c r="L294" s="18">
        <f>IF($A294&gt;'1-Input'!$B$26,N293,(N293-J294)*(1+'5-Roberta'!$C$4))</f>
        <v>311898.98969433561</v>
      </c>
      <c r="M294" s="18">
        <f>IF($A294&gt;'1-Input'!$B$26,K294,K294-'P-Parametri'!$B$8*(L294+K294)+MIN(MAX(L294,0),'P-Parametri'!$B$8*(L294+K294)))</f>
        <v>44174.068323968284</v>
      </c>
      <c r="N294" s="18">
        <f>IF($A294&gt;'1-Input'!$B$26,L294,L294-MIN(MAX(L294,0),'P-Parametri'!$B$8*(L294+K294)))</f>
        <v>311186.84357829898</v>
      </c>
      <c r="O294" s="18">
        <f>IF($A294&gt;'1-Input'!$B$26,O293,O293-J294*(1-I294))</f>
        <v>207013.54902389954</v>
      </c>
      <c r="P294" s="11">
        <f>IF($A294&gt;'1-Input'!$B$26,0,IF(U293&lt;=0,0,MAX(0,(U293-V293)/U293)))</f>
        <v>0.3165406435619238</v>
      </c>
      <c r="Q294" s="18">
        <f>IF($A294&gt;'1-Input'!$B$26,0,(MAX(0,P286-IF($A294&gt;='1-Input'!$C$12,'1-Input'!$B$12,0))-MIN(MAX(T293,0),MAX(0,P286-IF($A294&gt;='1-Input'!$C$12,'1-Input'!$B$12,0))))*(1/(1-'P-Parametri'!$B$6*P294))+MIN(MAX(0,U293-(MAX(0,P286-IF($A294&gt;='1-Input'!$C$12,'1-Input'!$B$12,0))-MIN(MAX(T293,0),MAX(0,P286-IF($A294&gt;='1-Input'!$C$12,'1-Input'!$B$12,0))))*(1/(1-'P-Parametri'!$B$6*P294))),MAX(0,2*P286-(T293-MIN(MAX(T293,0),MAX(0,P286-IF($A294&gt;='1-Input'!$C$12,'1-Input'!$B$12,0)))))*(1/(1-'P-Parametri'!$B$6*P294))))</f>
        <v>19909.923625045143</v>
      </c>
      <c r="R294" s="18">
        <f>IF($A294&gt;'1-Input'!$B$26,T293,(T293-MAX(0,P286-IF($A294&gt;='1-Input'!$C$12,'1-Input'!$B$12,0))+Q294*(1-'P-Parametri'!$B$6*P294))*(1+ROUND('3-Liquidita'!$F$7,4)))</f>
        <v>37242.120653556602</v>
      </c>
      <c r="S294" s="18">
        <f>IF($A294&gt;'1-Input'!$B$26,U293,(U293-Q294)*(1+'5-Roberta'!$C$4))</f>
        <v>344385.38412662392</v>
      </c>
      <c r="T294" s="18">
        <f>IF($A294&gt;'1-Input'!$B$26,R294,R294-'P-Parametri'!$B$8*(S294+R294)+MIN(MAX(S294,0),'P-Parametri'!$B$8*(S294+R294)))</f>
        <v>37242.120653556602</v>
      </c>
      <c r="U294" s="18">
        <f>IF($A294&gt;'1-Input'!$B$26,S294,S294-MIN(MAX(S294,0),'P-Parametri'!$B$8*(S294+R294)))</f>
        <v>343622.12911706354</v>
      </c>
      <c r="V294" s="18">
        <f>IF($A294&gt;'1-Input'!$B$26,V293,V293-Q294*(1-P294))</f>
        <v>228517.87670083693</v>
      </c>
      <c r="W294" s="11">
        <f>IF($A294&gt;'1-Input'!$B$26,0,IF(AB293&lt;=0,0,MAX(0,(AB293-AC293)/AB293)))</f>
        <v>0.31655127125119925</v>
      </c>
      <c r="X294" s="18">
        <f>IF($A294&gt;'1-Input'!$B$26,0,(MAX(0,W286-IF($A294&gt;='1-Input'!$C$12,'1-Input'!$B$12,0))-MIN(MAX(AA293,0),MAX(0,W286-IF($A294&gt;='1-Input'!$C$12,'1-Input'!$B$12,0))))*(1/(1-'P-Parametri'!$B$6*W294))+MIN(MAX(0,AB293-(MAX(0,W286-IF($A294&gt;='1-Input'!$C$12,'1-Input'!$B$12,0))-MIN(MAX(AA293,0),MAX(0,W286-IF($A294&gt;='1-Input'!$C$12,'1-Input'!$B$12,0))))*(1/(1-'P-Parametri'!$B$6*W294))),MAX(0,2*W286-(AA293-MIN(MAX(AA293,0),MAX(0,W286-IF($A294&gt;='1-Input'!$C$12,'1-Input'!$B$12,0)))))*(1/(1-'P-Parametri'!$B$6*W294))))</f>
        <v>19667.069045888042</v>
      </c>
      <c r="Y294" s="18">
        <f>IF($A294&gt;'1-Input'!$B$26,AA293,(AA293-MAX(0,W286-IF($A294&gt;='1-Input'!$C$12,'1-Input'!$B$12,0))+X294*(1-'P-Parametri'!$B$6*W294))*(1+ROUND('3-Liquidita'!$F$7,4)))</f>
        <v>36787.742972329659</v>
      </c>
      <c r="Z294" s="18">
        <f>IF($A294&gt;'1-Input'!$B$26,AB293,(AB293-X294)*(1+'5-Roberta'!$C$4))</f>
        <v>346514.86136400764</v>
      </c>
      <c r="AA294" s="18">
        <f>IF($A294&gt;'1-Input'!$B$26,Y294,Y294-'P-Parametri'!$B$8*(Z294+Y294)+MIN(MAX(Z294,0),'P-Parametri'!$B$8*(Z294+Y294)))</f>
        <v>36787.742972329659</v>
      </c>
      <c r="AB294" s="18">
        <f>IF($A294&gt;'1-Input'!$B$26,Z294,Z294-MIN(MAX(Z294,0),'P-Parametri'!$B$8*(Z294+Y294)))</f>
        <v>345748.25615533494</v>
      </c>
      <c r="AC294" s="18">
        <f>IF($A294&gt;'1-Input'!$B$26,AC293,AC293-X294*(1-W294))</f>
        <v>229927.32183669702</v>
      </c>
      <c r="AD294" s="11">
        <f>IF($A294&gt;'1-Input'!$B$26,0,IF(AI293&lt;=0,0,MAX(0,(AI293-AJ293)/AI293)))</f>
        <v>0.31655181551549177</v>
      </c>
      <c r="AE294" s="18">
        <f>IF($A294&gt;'1-Input'!$B$26,0,(MAX(0,AD286-IF($A294&gt;='1-Input'!$C$12,'1-Input'!$B$12,0))-MIN(MAX(AH293,0),MAX(0,AD286-IF($A294&gt;='1-Input'!$C$12,'1-Input'!$B$12,0))))*(1/(1-'P-Parametri'!$B$6*AD294))+MIN(MAX(0,AI293-(MAX(0,AD286-IF($A294&gt;='1-Input'!$C$12,'1-Input'!$B$12,0))-MIN(MAX(AH293,0),MAX(0,AD286-IF($A294&gt;='1-Input'!$C$12,'1-Input'!$B$12,0))))*(1/(1-'P-Parametri'!$B$6*AD294))),MAX(0,2*AD286-(AH293-MIN(MAX(AH293,0),MAX(0,AD286-IF($A294&gt;='1-Input'!$C$12,'1-Input'!$B$12,0)))))*(1/(1-'P-Parametri'!$B$6*AD294))))</f>
        <v>19654.585591202725</v>
      </c>
      <c r="AF294" s="18">
        <f>IF($A294&gt;'1-Input'!$B$26,AH293,(AH293-MAX(0,AD286-IF($A294&gt;='1-Input'!$C$12,'1-Input'!$B$12,0))+AE294*(1-'P-Parametri'!$B$6*AD294))*(1+ROUND('3-Liquidita'!$F$7,4)))</f>
        <v>36764.386690049425</v>
      </c>
      <c r="AG294" s="18">
        <f>IF($A294&gt;'1-Input'!$B$26,AI293,(AI293-AE294)*(1+'5-Roberta'!$C$4))</f>
        <v>346624.32259497914</v>
      </c>
      <c r="AH294" s="18">
        <f>IF($A294&gt;'1-Input'!$B$26,AF294,AF294-'P-Parametri'!$B$8*(AG294+AF294)+MIN(MAX(AG294,0),'P-Parametri'!$B$8*(AG294+AF294)))</f>
        <v>36764.386690049425</v>
      </c>
      <c r="AI294" s="18">
        <f>IF($A294&gt;'1-Input'!$B$26,AG294,AG294-MIN(MAX(AG294,0),'P-Parametri'!$B$8*(AG294+AF294)))</f>
        <v>345857.54517640907</v>
      </c>
      <c r="AJ294" s="18">
        <f>IF($A294&gt;'1-Input'!$B$26,AJ293,AJ293-AE294*(1-AD294))</f>
        <v>229999.77085020483</v>
      </c>
      <c r="AK294" s="11">
        <f>IF($A294&gt;'1-Input'!$B$26,0,IF(AP293&lt;=0,0,MAX(0,(AP293-AQ293)/AP293)))</f>
        <v>0.31655181717650799</v>
      </c>
      <c r="AL294" s="18">
        <f>IF($A294&gt;'1-Input'!$B$26,0,(MAX(0,AK286-IF($A294&gt;='1-Input'!$C$12,'1-Input'!$B$12,0))-MIN(MAX(AO293,0),MAX(0,AK286-IF($A294&gt;='1-Input'!$C$12,'1-Input'!$B$12,0))))*(1/(1-'P-Parametri'!$B$6*AK294))+MIN(MAX(0,AP293-(MAX(0,AK286-IF($A294&gt;='1-Input'!$C$12,'1-Input'!$B$12,0))-MIN(MAX(AO293,0),MAX(0,AK286-IF($A294&gt;='1-Input'!$C$12,'1-Input'!$B$12,0))))*(1/(1-'P-Parametri'!$B$6*AK294))),MAX(0,2*AK286-(AO293-MIN(MAX(AO293,0),MAX(0,AK286-IF($A294&gt;='1-Input'!$C$12,'1-Input'!$B$12,0)))))*(1/(1-'P-Parametri'!$B$6*AK294))))</f>
        <v>19654.547486557261</v>
      </c>
      <c r="AM294" s="18">
        <f>IF($A294&gt;'1-Input'!$B$26,AO293,(AO293-MAX(0,AK286-IF($A294&gt;='1-Input'!$C$12,'1-Input'!$B$12,0))+AL294*(1-'P-Parametri'!$B$6*AK294))*(1+ROUND('3-Liquidita'!$F$7,4)))</f>
        <v>36764.315397069942</v>
      </c>
      <c r="AN294" s="18">
        <f>IF($A294&gt;'1-Input'!$B$26,AP293,(AP293-AL294)*(1+'5-Roberta'!$C$4))</f>
        <v>346624.65671569773</v>
      </c>
      <c r="AO294" s="18">
        <f>IF($A294&gt;'1-Input'!$B$26,AM294,AM294-'P-Parametri'!$B$8*(AN294+AM294)+MIN(MAX(AN294,0),'P-Parametri'!$B$8*(AN294+AM294)))</f>
        <v>36764.315397069942</v>
      </c>
      <c r="AP294" s="18">
        <f>IF($A294&gt;'1-Input'!$B$26,AN294,AN294-MIN(MAX(AN294,0),'P-Parametri'!$B$8*(AN294+AM294)))</f>
        <v>345857.8787714722</v>
      </c>
      <c r="AQ294" s="18">
        <f>IF($A294&gt;'1-Input'!$B$26,AQ293,AQ293-AL294*(1-AK294))</f>
        <v>229999.99199433043</v>
      </c>
    </row>
    <row r="295" spans="1:43">
      <c r="A295" s="10">
        <f>7</f>
        <v>7</v>
      </c>
      <c r="B295" s="11">
        <f>IF($A295&gt;'1-Input'!$B$26,0,IF(G294&lt;=0,0,MAX(0,(G294-H294)/G294)))</f>
        <v>0.33507521212866653</v>
      </c>
      <c r="C295" s="18">
        <f>IF($A295&gt;'1-Input'!$B$26,0,(MAX(0,B286-IF($A295&gt;='1-Input'!$C$12,'1-Input'!$B$12,0))-MIN(MAX(F294,0),MAX(0,B286-IF($A295&gt;='1-Input'!$C$12,'1-Input'!$B$12,0))))*(1/(1-'P-Parametri'!$B$6*B295))+MIN(MAX(0,G294-(MAX(0,B286-IF($A295&gt;='1-Input'!$C$12,'1-Input'!$B$12,0))-MIN(MAX(F294,0),MAX(0,B286-IF($A295&gt;='1-Input'!$C$12,'1-Input'!$B$12,0))))*(1/(1-'P-Parametri'!$B$6*B295))),MAX(0,2*B286-(F294-MIN(MAX(F294,0),MAX(0,B286-IF($A295&gt;='1-Input'!$C$12,'1-Input'!$B$12,0)))))*(1/(1-'P-Parametri'!$B$6*B295))))</f>
        <v>18042.750406851181</v>
      </c>
      <c r="D295" s="18">
        <f>IF($A295&gt;'1-Input'!$B$26,F294,(F294-MAX(0,B286-IF($A295&gt;='1-Input'!$C$12,'1-Input'!$B$12,0))+C295*(1-'P-Parametri'!$B$6*B295))*(1+ROUND('3-Liquidita'!$F$7,4)))</f>
        <v>33572.29192621589</v>
      </c>
      <c r="E295" s="18">
        <f>IF($A295&gt;'1-Input'!$B$26,G294,(G294-C295)*(1+'5-Roberta'!$C$4))</f>
        <v>353033.96476320579</v>
      </c>
      <c r="F295" s="18">
        <f>IF($A295&gt;'1-Input'!$B$26,D295,D295-'P-Parametri'!$B$8*(E295+D295)+MIN(MAX(E295,0),'P-Parametri'!$B$8*(E295+D295)))</f>
        <v>33572.29192621589</v>
      </c>
      <c r="G295" s="18">
        <f>IF($A295&gt;'1-Input'!$B$26,E295,E295-MIN(MAX(E295,0),'P-Parametri'!$B$8*(E295+D295)))</f>
        <v>352260.75224982697</v>
      </c>
      <c r="H295" s="18">
        <f>IF($A295&gt;'1-Input'!$B$26,H294,H294-C295*(1-B295))</f>
        <v>227903.91663257324</v>
      </c>
      <c r="I295" s="11">
        <f>IF($A295&gt;'1-Input'!$B$26,0,IF(N294&lt;=0,0,MAX(0,(N294-O294)/N294)))</f>
        <v>0.33476124297712467</v>
      </c>
      <c r="J295" s="18">
        <f>IF($A295&gt;'1-Input'!$B$26,0,(MAX(0,I286-IF($A295&gt;='1-Input'!$C$12,'1-Input'!$B$12,0))-MIN(MAX(M294,0),MAX(0,I286-IF($A295&gt;='1-Input'!$C$12,'1-Input'!$B$12,0))))*(1/(1-'P-Parametri'!$B$6*I295))+MIN(MAX(0,N294-(MAX(0,I286-IF($A295&gt;='1-Input'!$C$12,'1-Input'!$B$12,0))-MIN(MAX(M294,0),MAX(0,I286-IF($A295&gt;='1-Input'!$C$12,'1-Input'!$B$12,0))))*(1/(1-'P-Parametri'!$B$6*I295))),MAX(0,2*I286-(M294-MIN(MAX(M294,0),MAX(0,I286-IF($A295&gt;='1-Input'!$C$12,'1-Input'!$B$12,0)))))*(1/(1-'P-Parametri'!$B$6*I295))))</f>
        <v>23738.338321964613</v>
      </c>
      <c r="K295" s="18">
        <f>IF($A295&gt;'1-Input'!$B$26,M294,(M294-MAX(0,I286-IF($A295&gt;='1-Input'!$C$12,'1-Input'!$B$12,0))+J295*(1-'P-Parametri'!$B$6*I295))*(1+ROUND('3-Liquidita'!$F$7,4)))</f>
        <v>44174.068323968284</v>
      </c>
      <c r="L295" s="18">
        <f>IF($A295&gt;'1-Input'!$B$26,N294,(N294-J295)*(1+'5-Roberta'!$C$4))</f>
        <v>296071.96041402442</v>
      </c>
      <c r="M295" s="18">
        <f>IF($A295&gt;'1-Input'!$B$26,K295,K295-'P-Parametri'!$B$8*(L295+K295)+MIN(MAX(L295,0),'P-Parametri'!$B$8*(L295+K295)))</f>
        <v>44174.068323968284</v>
      </c>
      <c r="N295" s="18">
        <f>IF($A295&gt;'1-Input'!$B$26,L295,L295-MIN(MAX(L295,0),'P-Parametri'!$B$8*(L295+K295)))</f>
        <v>295391.46835654846</v>
      </c>
      <c r="O295" s="18">
        <f>IF($A295&gt;'1-Input'!$B$26,O294,O294-J295*(1-I295))</f>
        <v>191221.88634480731</v>
      </c>
      <c r="P295" s="11">
        <f>IF($A295&gt;'1-Input'!$B$26,0,IF(U294&lt;=0,0,MAX(0,(U294-V294)/U294)))</f>
        <v>0.33497334037242243</v>
      </c>
      <c r="Q295" s="18">
        <f>IF($A295&gt;'1-Input'!$B$26,0,(MAX(0,P286-IF($A295&gt;='1-Input'!$C$12,'1-Input'!$B$12,0))-MIN(MAX(T294,0),MAX(0,P286-IF($A295&gt;='1-Input'!$C$12,'1-Input'!$B$12,0))))*(1/(1-'P-Parametri'!$B$6*P295))+MIN(MAX(0,U294-(MAX(0,P286-IF($A295&gt;='1-Input'!$C$12,'1-Input'!$B$12,0))-MIN(MAX(T294,0),MAX(0,P286-IF($A295&gt;='1-Input'!$C$12,'1-Input'!$B$12,0))))*(1/(1-'P-Parametri'!$B$6*P295))),MAX(0,2*P286-(T294-MIN(MAX(T294,0),MAX(0,P286-IF($A295&gt;='1-Input'!$C$12,'1-Input'!$B$12,0)))))*(1/(1-'P-Parametri'!$B$6*P295))))</f>
        <v>20014.445048850146</v>
      </c>
      <c r="R295" s="18">
        <f>IF($A295&gt;'1-Input'!$B$26,T294,(T294-MAX(0,P286-IF($A295&gt;='1-Input'!$C$12,'1-Input'!$B$12,0))+Q295*(1-'P-Parametri'!$B$6*P295))*(1+ROUND('3-Liquidita'!$F$7,4)))</f>
        <v>37242.120653556602</v>
      </c>
      <c r="S295" s="18">
        <f>IF($A295&gt;'1-Input'!$B$26,U294,(U294-Q295)*(1+'5-Roberta'!$C$4))</f>
        <v>333315.91459025978</v>
      </c>
      <c r="T295" s="18">
        <f>IF($A295&gt;'1-Input'!$B$26,R295,R295-'P-Parametri'!$B$8*(S295+R295)+MIN(MAX(S295,0),'P-Parametri'!$B$8*(S295+R295)))</f>
        <v>37242.120653556602</v>
      </c>
      <c r="U295" s="18">
        <f>IF($A295&gt;'1-Input'!$B$26,S295,S295-MIN(MAX(S295,0),'P-Parametri'!$B$8*(S295+R295)))</f>
        <v>332574.79851977213</v>
      </c>
      <c r="V295" s="18">
        <f>IF($A295&gt;'1-Input'!$B$26,V294,V294-Q295*(1-P295))</f>
        <v>215207.73716570041</v>
      </c>
      <c r="W295" s="11">
        <f>IF($A295&gt;'1-Input'!$B$26,0,IF(AB294&lt;=0,0,MAX(0,(AB294-AC294)/AB294)))</f>
        <v>0.33498631520675792</v>
      </c>
      <c r="X295" s="18">
        <f>IF($A295&gt;'1-Input'!$B$26,0,(MAX(0,W286-IF($A295&gt;='1-Input'!$C$12,'1-Input'!$B$12,0))-MIN(MAX(AA294,0),MAX(0,W286-IF($A295&gt;='1-Input'!$C$12,'1-Input'!$B$12,0))))*(1/(1-'P-Parametri'!$B$6*W295))+MIN(MAX(0,AB294-(MAX(0,W286-IF($A295&gt;='1-Input'!$C$12,'1-Input'!$B$12,0))-MIN(MAX(AA294,0),MAX(0,W286-IF($A295&gt;='1-Input'!$C$12,'1-Input'!$B$12,0))))*(1/(1-'P-Parametri'!$B$6*W295))),MAX(0,2*W286-(AA294-MIN(MAX(AA294,0),MAX(0,W286-IF($A295&gt;='1-Input'!$C$12,'1-Input'!$B$12,0)))))*(1/(1-'P-Parametri'!$B$6*W295))))</f>
        <v>19770.329080945427</v>
      </c>
      <c r="Y295" s="18">
        <f>IF($A295&gt;'1-Input'!$B$26,AA294,(AA294-MAX(0,W286-IF($A295&gt;='1-Input'!$C$12,'1-Input'!$B$12,0))+X295*(1-'P-Parametri'!$B$6*W295))*(1+ROUND('3-Liquidita'!$F$7,4)))</f>
        <v>36787.742972329659</v>
      </c>
      <c r="Z295" s="18">
        <f>IF($A295&gt;'1-Input'!$B$26,AB294,(AB294-X295)*(1+'5-Roberta'!$C$4))</f>
        <v>335757.26488662121</v>
      </c>
      <c r="AA295" s="18">
        <f>IF($A295&gt;'1-Input'!$B$26,Y295,Y295-'P-Parametri'!$B$8*(Z295+Y295)+MIN(MAX(Z295,0),'P-Parametri'!$B$8*(Z295+Y295)))</f>
        <v>36787.742972329659</v>
      </c>
      <c r="AB295" s="18">
        <f>IF($A295&gt;'1-Input'!$B$26,Z295,Z295-MIN(MAX(Z295,0),'P-Parametri'!$B$8*(Z295+Y295)))</f>
        <v>335012.17487090331</v>
      </c>
      <c r="AC295" s="18">
        <f>IF($A295&gt;'1-Input'!$B$26,AC294,AC294-X295*(1-W295))</f>
        <v>216779.78244500252</v>
      </c>
      <c r="AD295" s="11">
        <f>IF($A295&gt;'1-Input'!$B$26,0,IF(AI294&lt;=0,0,MAX(0,(AI294-AJ294)/AI294)))</f>
        <v>0.33498697929839727</v>
      </c>
      <c r="AE295" s="18">
        <f>IF($A295&gt;'1-Input'!$B$26,0,(MAX(0,AD286-IF($A295&gt;='1-Input'!$C$12,'1-Input'!$B$12,0))-MIN(MAX(AH294,0),MAX(0,AD286-IF($A295&gt;='1-Input'!$C$12,'1-Input'!$B$12,0))))*(1/(1-'P-Parametri'!$B$6*AD295))+MIN(MAX(0,AI294-(MAX(0,AD286-IF($A295&gt;='1-Input'!$C$12,'1-Input'!$B$12,0))-MIN(MAX(AH294,0),MAX(0,AD286-IF($A295&gt;='1-Input'!$C$12,'1-Input'!$B$12,0))))*(1/(1-'P-Parametri'!$B$6*AD295))),MAX(0,2*AD286-(AH294-MIN(MAX(AH294,0),MAX(0,AD286-IF($A295&gt;='1-Input'!$C$12,'1-Input'!$B$12,0)))))*(1/(1-'P-Parametri'!$B$6*AD295))))</f>
        <v>19757.780773374016</v>
      </c>
      <c r="AF295" s="18">
        <f>IF($A295&gt;'1-Input'!$B$26,AH294,(AH294-MAX(0,AD286-IF($A295&gt;='1-Input'!$C$12,'1-Input'!$B$12,0))+AE295*(1-'P-Parametri'!$B$6*AD295))*(1+ROUND('3-Liquidita'!$F$7,4)))</f>
        <v>36764.386690049425</v>
      </c>
      <c r="AG295" s="18">
        <f>IF($A295&gt;'1-Input'!$B$26,AI294,(AI294-AE295)*(1+'5-Roberta'!$C$4))</f>
        <v>335882.75733512611</v>
      </c>
      <c r="AH295" s="18">
        <f>IF($A295&gt;'1-Input'!$B$26,AF295,AF295-'P-Parametri'!$B$8*(AG295+AF295)+MIN(MAX(AG295,0),'P-Parametri'!$B$8*(AG295+AF295)))</f>
        <v>36764.386690049425</v>
      </c>
      <c r="AI295" s="18">
        <f>IF($A295&gt;'1-Input'!$B$26,AG295,AG295-MIN(MAX(AG295,0),'P-Parametri'!$B$8*(AG295+AF295)))</f>
        <v>335137.46304707578</v>
      </c>
      <c r="AJ295" s="18">
        <f>IF($A295&gt;'1-Input'!$B$26,AJ294,AJ294-AE295*(1-AD295))</f>
        <v>216860.58937574332</v>
      </c>
      <c r="AK295" s="11">
        <f>IF($A295&gt;'1-Input'!$B$26,0,IF(AP294&lt;=0,0,MAX(0,(AP294-AQ294)/AP294)))</f>
        <v>0.3349869813250535</v>
      </c>
      <c r="AL295" s="18">
        <f>IF($A295&gt;'1-Input'!$B$26,0,(MAX(0,AK286-IF($A295&gt;='1-Input'!$C$12,'1-Input'!$B$12,0))-MIN(MAX(AO294,0),MAX(0,AK286-IF($A295&gt;='1-Input'!$C$12,'1-Input'!$B$12,0))))*(1/(1-'P-Parametri'!$B$6*AK295))+MIN(MAX(0,AP294-(MAX(0,AK286-IF($A295&gt;='1-Input'!$C$12,'1-Input'!$B$12,0))-MIN(MAX(AO294,0),MAX(0,AK286-IF($A295&gt;='1-Input'!$C$12,'1-Input'!$B$12,0))))*(1/(1-'P-Parametri'!$B$6*AK295))),MAX(0,2*AK286-(AO294-MIN(MAX(AO294,0),MAX(0,AK286-IF($A295&gt;='1-Input'!$C$12,'1-Input'!$B$12,0)))))*(1/(1-'P-Parametri'!$B$6*AK295))))</f>
        <v>19757.742470768793</v>
      </c>
      <c r="AM295" s="18">
        <f>IF($A295&gt;'1-Input'!$B$26,AO294,(AO294-MAX(0,AK286-IF($A295&gt;='1-Input'!$C$12,'1-Input'!$B$12,0))+AL295*(1-'P-Parametri'!$B$6*AK295))*(1+ROUND('3-Liquidita'!$F$7,4)))</f>
        <v>36764.315397069942</v>
      </c>
      <c r="AN295" s="18">
        <f>IF($A295&gt;'1-Input'!$B$26,AP294,(AP294-AL295)*(1+'5-Roberta'!$C$4))</f>
        <v>335883.14038972452</v>
      </c>
      <c r="AO295" s="18">
        <f>IF($A295&gt;'1-Input'!$B$26,AM295,AM295-'P-Parametri'!$B$8*(AN295+AM295)+MIN(MAX(AN295,0),'P-Parametri'!$B$8*(AN295+AM295)))</f>
        <v>36764.315397069942</v>
      </c>
      <c r="AP295" s="18">
        <f>IF($A295&gt;'1-Input'!$B$26,AN295,AN295-MIN(MAX(AN295,0),'P-Parametri'!$B$8*(AN295+AM295)))</f>
        <v>335137.84547815094</v>
      </c>
      <c r="AQ295" s="18">
        <f>IF($A295&gt;'1-Input'!$B$26,AQ294,AQ294-AL295*(1-AK295))</f>
        <v>216860.83603164228</v>
      </c>
    </row>
    <row r="296" spans="1:43">
      <c r="A296" s="10">
        <f>8</f>
        <v>8</v>
      </c>
      <c r="B296" s="11">
        <f>IF($A296&gt;'1-Input'!$B$26,0,IF(G295&lt;=0,0,MAX(0,(G295-H295)/G295)))</f>
        <v>0.35302495331372763</v>
      </c>
      <c r="C296" s="18">
        <f>IF($A296&gt;'1-Input'!$B$26,0,(MAX(0,B286-IF($A296&gt;='1-Input'!$C$12,'1-Input'!$B$12,0))-MIN(MAX(F295,0),MAX(0,B286-IF($A296&gt;='1-Input'!$C$12,'1-Input'!$B$12,0))))*(1/(1-'P-Parametri'!$B$6*B296))+MIN(MAX(0,G295-(MAX(0,B286-IF($A296&gt;='1-Input'!$C$12,'1-Input'!$B$12,0))-MIN(MAX(F295,0),MAX(0,B286-IF($A296&gt;='1-Input'!$C$12,'1-Input'!$B$12,0))))*(1/(1-'P-Parametri'!$B$6*B296))),MAX(0,2*B286-(F295-MIN(MAX(F295,0),MAX(0,B286-IF($A296&gt;='1-Input'!$C$12,'1-Input'!$B$12,0)))))*(1/(1-'P-Parametri'!$B$6*B296))))</f>
        <v>18135.464620956896</v>
      </c>
      <c r="D296" s="18">
        <f>IF($A296&gt;'1-Input'!$B$26,F295,(F295-MAX(0,B286-IF($A296&gt;='1-Input'!$C$12,'1-Input'!$B$12,0))+C296*(1-'P-Parametri'!$B$6*B296))*(1+ROUND('3-Liquidita'!$F$7,4)))</f>
        <v>33572.29192621589</v>
      </c>
      <c r="E296" s="18">
        <f>IF($A296&gt;'1-Input'!$B$26,G295,(G295-C296)*(1+'5-Roberta'!$C$4))</f>
        <v>344149.04625773616</v>
      </c>
      <c r="F296" s="18">
        <f>IF($A296&gt;'1-Input'!$B$26,D296,D296-'P-Parametri'!$B$8*(E296+D296)+MIN(MAX(E296,0),'P-Parametri'!$B$8*(E296+D296)))</f>
        <v>33572.29192621589</v>
      </c>
      <c r="G296" s="18">
        <f>IF($A296&gt;'1-Input'!$B$26,E296,E296-MIN(MAX(E296,0),'P-Parametri'!$B$8*(E296+D296)))</f>
        <v>343393.60358136828</v>
      </c>
      <c r="H296" s="18">
        <f>IF($A296&gt;'1-Input'!$B$26,H295,H295-C296*(1-B296))</f>
        <v>216170.72356275242</v>
      </c>
      <c r="I296" s="11">
        <f>IF($A296&gt;'1-Input'!$B$26,0,IF(N295&lt;=0,0,MAX(0,(N295-O295)/N295)))</f>
        <v>0.35264925758114518</v>
      </c>
      <c r="J296" s="18">
        <f>IF($A296&gt;'1-Input'!$B$26,0,(MAX(0,I286-IF($A296&gt;='1-Input'!$C$12,'1-Input'!$B$12,0))-MIN(MAX(M295,0),MAX(0,I286-IF($A296&gt;='1-Input'!$C$12,'1-Input'!$B$12,0))))*(1/(1-'P-Parametri'!$B$6*I296))+MIN(MAX(0,N295-(MAX(0,I286-IF($A296&gt;='1-Input'!$C$12,'1-Input'!$B$12,0))-MIN(MAX(M295,0),MAX(0,I286-IF($A296&gt;='1-Input'!$C$12,'1-Input'!$B$12,0))))*(1/(1-'P-Parametri'!$B$6*I296))),MAX(0,2*I286-(M295-MIN(MAX(M295,0),MAX(0,I286-IF($A296&gt;='1-Input'!$C$12,'1-Input'!$B$12,0)))))*(1/(1-'P-Parametri'!$B$6*I296))))</f>
        <v>23859.88725135988</v>
      </c>
      <c r="K296" s="18">
        <f>IF($A296&gt;'1-Input'!$B$26,M295,(M295-MAX(0,I286-IF($A296&gt;='1-Input'!$C$12,'1-Input'!$B$12,0))+J296*(1-'P-Parametri'!$B$6*I296))*(1+ROUND('3-Liquidita'!$F$7,4)))</f>
        <v>44174.068323968284</v>
      </c>
      <c r="L296" s="18">
        <f>IF($A296&gt;'1-Input'!$B$26,N295,(N295-J296)*(1+'5-Roberta'!$C$4))</f>
        <v>279677.52853834425</v>
      </c>
      <c r="M296" s="18">
        <f>IF($A296&gt;'1-Input'!$B$26,K296,K296-'P-Parametri'!$B$8*(L296+K296)+MIN(MAX(L296,0),'P-Parametri'!$B$8*(L296+K296)))</f>
        <v>44174.068323968284</v>
      </c>
      <c r="N296" s="18">
        <f>IF($A296&gt;'1-Input'!$B$26,L296,L296-MIN(MAX(L296,0),'P-Parametri'!$B$8*(L296+K296)))</f>
        <v>279029.82534461963</v>
      </c>
      <c r="O296" s="18">
        <f>IF($A296&gt;'1-Input'!$B$26,O295,O295-J296*(1-I296))</f>
        <v>175776.17061860932</v>
      </c>
      <c r="P296" s="11">
        <f>IF($A296&gt;'1-Input'!$B$26,0,IF(U295&lt;=0,0,MAX(0,(U295-V295)/U295)))</f>
        <v>0.35290425455100755</v>
      </c>
      <c r="Q296" s="18">
        <f>IF($A296&gt;'1-Input'!$B$26,0,(MAX(0,P286-IF($A296&gt;='1-Input'!$C$12,'1-Input'!$B$12,0))-MIN(MAX(T295,0),MAX(0,P286-IF($A296&gt;='1-Input'!$C$12,'1-Input'!$B$12,0))))*(1/(1-'P-Parametri'!$B$6*P296))+MIN(MAX(0,U295-(MAX(0,P286-IF($A296&gt;='1-Input'!$C$12,'1-Input'!$B$12,0))-MIN(MAX(T295,0),MAX(0,P286-IF($A296&gt;='1-Input'!$C$12,'1-Input'!$B$12,0))))*(1/(1-'P-Parametri'!$B$6*P296))),MAX(0,2*P286-(T295-MIN(MAX(T295,0),MAX(0,P286-IF($A296&gt;='1-Input'!$C$12,'1-Input'!$B$12,0)))))*(1/(1-'P-Parametri'!$B$6*P296))))</f>
        <v>20117.179562114135</v>
      </c>
      <c r="R296" s="18">
        <f>IF($A296&gt;'1-Input'!$B$26,T295,(T295-MAX(0,P286-IF($A296&gt;='1-Input'!$C$12,'1-Input'!$B$12,0))+Q296*(1-'P-Parametri'!$B$6*P296))*(1+ROUND('3-Liquidita'!$F$7,4)))</f>
        <v>37242.120653556602</v>
      </c>
      <c r="S296" s="18">
        <f>IF($A296&gt;'1-Input'!$B$26,U295,(U295-Q296)*(1+'5-Roberta'!$C$4))</f>
        <v>321831.34752638778</v>
      </c>
      <c r="T296" s="18">
        <f>IF($A296&gt;'1-Input'!$B$26,R296,R296-'P-Parametri'!$B$8*(S296+R296)+MIN(MAX(S296,0),'P-Parametri'!$B$8*(S296+R296)))</f>
        <v>37242.120653556602</v>
      </c>
      <c r="U296" s="18">
        <f>IF($A296&gt;'1-Input'!$B$26,S296,S296-MIN(MAX(S296,0),'P-Parametri'!$B$8*(S296+R296)))</f>
        <v>321113.2005900279</v>
      </c>
      <c r="V296" s="18">
        <f>IF($A296&gt;'1-Input'!$B$26,V295,V295-Q296*(1-P296))</f>
        <v>202189.99586062293</v>
      </c>
      <c r="W296" s="11">
        <f>IF($A296&gt;'1-Input'!$B$26,0,IF(AB295&lt;=0,0,MAX(0,(AB295-AC295)/AB295)))</f>
        <v>0.35291968857986</v>
      </c>
      <c r="X296" s="18">
        <f>IF($A296&gt;'1-Input'!$B$26,0,(MAX(0,W286-IF($A296&gt;='1-Input'!$C$12,'1-Input'!$B$12,0))-MIN(MAX(AA295,0),MAX(0,W286-IF($A296&gt;='1-Input'!$C$12,'1-Input'!$B$12,0))))*(1/(1-'P-Parametri'!$B$6*W296))+MIN(MAX(0,AB295-(MAX(0,W286-IF($A296&gt;='1-Input'!$C$12,'1-Input'!$B$12,0))-MIN(MAX(AA295,0),MAX(0,W286-IF($A296&gt;='1-Input'!$C$12,'1-Input'!$B$12,0))))*(1/(1-'P-Parametri'!$B$6*W296))),MAX(0,2*W286-(AA295-MIN(MAX(AA295,0),MAX(0,W286-IF($A296&gt;='1-Input'!$C$12,'1-Input'!$B$12,0)))))*(1/(1-'P-Parametri'!$B$6*W296))))</f>
        <v>19871.824908915893</v>
      </c>
      <c r="Y296" s="18">
        <f>IF($A296&gt;'1-Input'!$B$26,AA295,(AA295-MAX(0,W286-IF($A296&gt;='1-Input'!$C$12,'1-Input'!$B$12,0))+X296*(1-'P-Parametri'!$B$6*W296))*(1+ROUND('3-Liquidita'!$F$7,4)))</f>
        <v>36787.742972329652</v>
      </c>
      <c r="Z296" s="18">
        <f>IF($A296&gt;'1-Input'!$B$26,AB295,(AB295-X296)*(1+'5-Roberta'!$C$4))</f>
        <v>324594.56046084705</v>
      </c>
      <c r="AA296" s="18">
        <f>IF($A296&gt;'1-Input'!$B$26,Y296,Y296-'P-Parametri'!$B$8*(Z296+Y296)+MIN(MAX(Z296,0),'P-Parametri'!$B$8*(Z296+Y296)))</f>
        <v>36787.742972329652</v>
      </c>
      <c r="AB296" s="18">
        <f>IF($A296&gt;'1-Input'!$B$26,Z296,Z296-MIN(MAX(Z296,0),'P-Parametri'!$B$8*(Z296+Y296)))</f>
        <v>323871.7958539807</v>
      </c>
      <c r="AC296" s="18">
        <f>IF($A296&gt;'1-Input'!$B$26,AC295,AC295-X296*(1-W296))</f>
        <v>203921.11579445473</v>
      </c>
      <c r="AD296" s="11">
        <f>IF($A296&gt;'1-Input'!$B$26,0,IF(AI295&lt;=0,0,MAX(0,(AI295-AJ295)/AI295)))</f>
        <v>0.35292047805087806</v>
      </c>
      <c r="AE296" s="18">
        <f>IF($A296&gt;'1-Input'!$B$26,0,(MAX(0,AD286-IF($A296&gt;='1-Input'!$C$12,'1-Input'!$B$12,0))-MIN(MAX(AH295,0),MAX(0,AD286-IF($A296&gt;='1-Input'!$C$12,'1-Input'!$B$12,0))))*(1/(1-'P-Parametri'!$B$6*AD296))+MIN(MAX(0,AI295-(MAX(0,AD286-IF($A296&gt;='1-Input'!$C$12,'1-Input'!$B$12,0))-MIN(MAX(AH295,0),MAX(0,AD286-IF($A296&gt;='1-Input'!$C$12,'1-Input'!$B$12,0))))*(1/(1-'P-Parametri'!$B$6*AD296))),MAX(0,2*AD286-(AH295-MIN(MAX(AH295,0),MAX(0,AD286-IF($A296&gt;='1-Input'!$C$12,'1-Input'!$B$12,0)))))*(1/(1-'P-Parametri'!$B$6*AD296))))</f>
        <v>19859.21291360446</v>
      </c>
      <c r="AF296" s="18">
        <f>IF($A296&gt;'1-Input'!$B$26,AH295,(AH295-MAX(0,AD286-IF($A296&gt;='1-Input'!$C$12,'1-Input'!$B$12,0))+AE296*(1-'P-Parametri'!$B$6*AD296))*(1+ROUND('3-Liquidita'!$F$7,4)))</f>
        <v>36764.386690049425</v>
      </c>
      <c r="AG296" s="18">
        <f>IF($A296&gt;'1-Input'!$B$26,AI295,(AI295-AE296)*(1+'5-Roberta'!$C$4))</f>
        <v>324736.59763747547</v>
      </c>
      <c r="AH296" s="18">
        <f>IF($A296&gt;'1-Input'!$B$26,AF296,AF296-'P-Parametri'!$B$8*(AG296+AF296)+MIN(MAX(AG296,0),'P-Parametri'!$B$8*(AG296+AF296)))</f>
        <v>36764.386690049425</v>
      </c>
      <c r="AI296" s="18">
        <f>IF($A296&gt;'1-Input'!$B$26,AG296,AG296-MIN(MAX(AG296,0),'P-Parametri'!$B$8*(AG296+AF296)))</f>
        <v>324013.59566882043</v>
      </c>
      <c r="AJ296" s="18">
        <f>IF($A296&gt;'1-Input'!$B$26,AJ295,AJ295-AE296*(1-AD296))</f>
        <v>204010.09937732233</v>
      </c>
      <c r="AK296" s="11">
        <f>IF($A296&gt;'1-Input'!$B$26,0,IF(AP295&lt;=0,0,MAX(0,(AP295-AQ295)/AP295)))</f>
        <v>0.35292048046009067</v>
      </c>
      <c r="AL296" s="18">
        <f>IF($A296&gt;'1-Input'!$B$26,0,(MAX(0,AK286-IF($A296&gt;='1-Input'!$C$12,'1-Input'!$B$12,0))-MIN(MAX(AO295,0),MAX(0,AK286-IF($A296&gt;='1-Input'!$C$12,'1-Input'!$B$12,0))))*(1/(1-'P-Parametri'!$B$6*AK296))+MIN(MAX(0,AP295-(MAX(0,AK286-IF($A296&gt;='1-Input'!$C$12,'1-Input'!$B$12,0))-MIN(MAX(AO295,0),MAX(0,AK286-IF($A296&gt;='1-Input'!$C$12,'1-Input'!$B$12,0))))*(1/(1-'P-Parametri'!$B$6*AK296))),MAX(0,2*AK286-(AO295-MIN(MAX(AO295,0),MAX(0,AK286-IF($A296&gt;='1-Input'!$C$12,'1-Input'!$B$12,0)))))*(1/(1-'P-Parametri'!$B$6*AK296))))</f>
        <v>19859.17441659571</v>
      </c>
      <c r="AM296" s="18">
        <f>IF($A296&gt;'1-Input'!$B$26,AO295,(AO295-MAX(0,AK286-IF($A296&gt;='1-Input'!$C$12,'1-Input'!$B$12,0))+AL296*(1-'P-Parametri'!$B$6*AK296))*(1+ROUND('3-Liquidita'!$F$7,4)))</f>
        <v>36764.315397069942</v>
      </c>
      <c r="AN296" s="18">
        <f>IF($A296&gt;'1-Input'!$B$26,AP295,(AP295-AL296)*(1+'5-Roberta'!$C$4))</f>
        <v>324737.0311934019</v>
      </c>
      <c r="AO296" s="18">
        <f>IF($A296&gt;'1-Input'!$B$26,AM296,AM296-'P-Parametri'!$B$8*(AN296+AM296)+MIN(MAX(AN296,0),'P-Parametri'!$B$8*(AN296+AM296)))</f>
        <v>36764.315397069942</v>
      </c>
      <c r="AP296" s="18">
        <f>IF($A296&gt;'1-Input'!$B$26,AN296,AN296-MIN(MAX(AN296,0),'P-Parametri'!$B$8*(AN296+AM296)))</f>
        <v>324014.02850022097</v>
      </c>
      <c r="AQ296" s="18">
        <f>IF($A296&gt;'1-Input'!$B$26,AQ295,AQ295-AL296*(1-AK296))</f>
        <v>204010.37099169227</v>
      </c>
    </row>
    <row r="297" spans="1:43">
      <c r="A297" s="10">
        <f>9</f>
        <v>9</v>
      </c>
      <c r="B297" s="11">
        <f>IF($A297&gt;'1-Input'!$B$26,0,IF(G296&lt;=0,0,MAX(0,(G296-H296)/G296)))</f>
        <v>0.37048704079448574</v>
      </c>
      <c r="C297" s="18">
        <f>IF($A297&gt;'1-Input'!$B$26,0,(MAX(0,B286-IF($A297&gt;='1-Input'!$C$12,'1-Input'!$B$12,0))-MIN(MAX(F296,0),MAX(0,B286-IF($A297&gt;='1-Input'!$C$12,'1-Input'!$B$12,0))))*(1/(1-'P-Parametri'!$B$6*B297))+MIN(MAX(0,G296-(MAX(0,B286-IF($A297&gt;='1-Input'!$C$12,'1-Input'!$B$12,0))-MIN(MAX(F296,0),MAX(0,B286-IF($A297&gt;='1-Input'!$C$12,'1-Input'!$B$12,0))))*(1/(1-'P-Parametri'!$B$6*B297))),MAX(0,2*B286-(F296-MIN(MAX(F296,0),MAX(0,B286-IF($A297&gt;='1-Input'!$C$12,'1-Input'!$B$12,0)))))*(1/(1-'P-Parametri'!$B$6*B297))))</f>
        <v>18226.57895597515</v>
      </c>
      <c r="D297" s="18">
        <f>IF($A297&gt;'1-Input'!$B$26,F296,(F296-MAX(0,B286-IF($A297&gt;='1-Input'!$C$12,'1-Input'!$B$12,0))+C297*(1-'P-Parametri'!$B$6*B297))*(1+ROUND('3-Liquidita'!$F$7,4)))</f>
        <v>33572.29192621589</v>
      </c>
      <c r="E297" s="18">
        <f>IF($A297&gt;'1-Input'!$B$26,G296,(G296-C297)*(1+'5-Roberta'!$C$4))</f>
        <v>334922.03536415496</v>
      </c>
      <c r="F297" s="18">
        <f>IF($A297&gt;'1-Input'!$B$26,D297,D297-'P-Parametri'!$B$8*(E297+D297)+MIN(MAX(E297,0),'P-Parametri'!$B$8*(E297+D297)))</f>
        <v>33572.29192621589</v>
      </c>
      <c r="G297" s="18">
        <f>IF($A297&gt;'1-Input'!$B$26,E297,E297-MIN(MAX(E297,0),'P-Parametri'!$B$8*(E297+D297)))</f>
        <v>334185.04670957424</v>
      </c>
      <c r="H297" s="18">
        <f>IF($A297&gt;'1-Input'!$B$26,H296,H296-C297*(1-B297))</f>
        <v>204696.85590798355</v>
      </c>
      <c r="I297" s="11">
        <f>IF($A297&gt;'1-Input'!$B$26,0,IF(N296&lt;=0,0,MAX(0,(N296-O296)/N296)))</f>
        <v>0.37004522580511046</v>
      </c>
      <c r="J297" s="18">
        <f>IF($A297&gt;'1-Input'!$B$26,0,(MAX(0,I286-IF($A297&gt;='1-Input'!$C$12,'1-Input'!$B$12,0))-MIN(MAX(M296,0),MAX(0,I286-IF($A297&gt;='1-Input'!$C$12,'1-Input'!$B$12,0))))*(1/(1-'P-Parametri'!$B$6*I297))+MIN(MAX(0,N296-(MAX(0,I286-IF($A297&gt;='1-Input'!$C$12,'1-Input'!$B$12,0))-MIN(MAX(M296,0),MAX(0,I286-IF($A297&gt;='1-Input'!$C$12,'1-Input'!$B$12,0))))*(1/(1-'P-Parametri'!$B$6*I297))),MAX(0,2*I286-(M296-MIN(MAX(M296,0),MAX(0,I286-IF($A297&gt;='1-Input'!$C$12,'1-Input'!$B$12,0)))))*(1/(1-'P-Parametri'!$B$6*I297))))</f>
        <v>23979.292565112824</v>
      </c>
      <c r="K297" s="18">
        <f>IF($A297&gt;'1-Input'!$B$26,M296,(M296-MAX(0,I286-IF($A297&gt;='1-Input'!$C$12,'1-Input'!$B$12,0))+J297*(1-'P-Parametri'!$B$6*I297))*(1+ROUND('3-Liquidita'!$F$7,4)))</f>
        <v>44174.068323968284</v>
      </c>
      <c r="L297" s="18">
        <f>IF($A297&gt;'1-Input'!$B$26,N296,(N296-J297)*(1+'5-Roberta'!$C$4))</f>
        <v>262702.04876289202</v>
      </c>
      <c r="M297" s="18">
        <f>IF($A297&gt;'1-Input'!$B$26,K297,K297-'P-Parametri'!$B$8*(L297+K297)+MIN(MAX(L297,0),'P-Parametri'!$B$8*(L297+K297)))</f>
        <v>44174.068323968284</v>
      </c>
      <c r="N297" s="18">
        <f>IF($A297&gt;'1-Input'!$B$26,L297,L297-MIN(MAX(L297,0),'P-Parametri'!$B$8*(L297+K297)))</f>
        <v>262088.29652871829</v>
      </c>
      <c r="O297" s="18">
        <f>IF($A297&gt;'1-Input'!$B$26,O296,O296-J297*(1-I297))</f>
        <v>160670.30078540047</v>
      </c>
      <c r="P297" s="11">
        <f>IF($A297&gt;'1-Input'!$B$26,0,IF(U296&lt;=0,0,MAX(0,(U296-V296)/U296)))</f>
        <v>0.37034667061612569</v>
      </c>
      <c r="Q297" s="18">
        <f>IF($A297&gt;'1-Input'!$B$26,0,(MAX(0,P286-IF($A297&gt;='1-Input'!$C$12,'1-Input'!$B$12,0))-MIN(MAX(T296,0),MAX(0,P286-IF($A297&gt;='1-Input'!$C$12,'1-Input'!$B$12,0))))*(1/(1-'P-Parametri'!$B$6*P297))+MIN(MAX(0,U296-(MAX(0,P286-IF($A297&gt;='1-Input'!$C$12,'1-Input'!$B$12,0))-MIN(MAX(T296,0),MAX(0,P286-IF($A297&gt;='1-Input'!$C$12,'1-Input'!$B$12,0))))*(1/(1-'P-Parametri'!$B$6*P297))),MAX(0,2*P286-(T296-MIN(MAX(T296,0),MAX(0,P286-IF($A297&gt;='1-Input'!$C$12,'1-Input'!$B$12,0)))))*(1/(1-'P-Parametri'!$B$6*P297))))</f>
        <v>20218.132290000947</v>
      </c>
      <c r="R297" s="18">
        <f>IF($A297&gt;'1-Input'!$B$26,T296,(T296-MAX(0,P286-IF($A297&gt;='1-Input'!$C$12,'1-Input'!$B$12,0))+Q297*(1-'P-Parametri'!$B$6*P297))*(1+ROUND('3-Liquidita'!$F$7,4)))</f>
        <v>37242.120653556602</v>
      </c>
      <c r="S297" s="18">
        <f>IF($A297&gt;'1-Input'!$B$26,U296,(U296-Q297)*(1+'5-Roberta'!$C$4))</f>
        <v>309921.92034902773</v>
      </c>
      <c r="T297" s="18">
        <f>IF($A297&gt;'1-Input'!$B$26,R297,R297-'P-Parametri'!$B$8*(S297+R297)+MIN(MAX(S297,0),'P-Parametri'!$B$8*(S297+R297)))</f>
        <v>37242.120653556602</v>
      </c>
      <c r="U297" s="18">
        <f>IF($A297&gt;'1-Input'!$B$26,S297,S297-MIN(MAX(S297,0),'P-Parametri'!$B$8*(S297+R297)))</f>
        <v>309227.59226702258</v>
      </c>
      <c r="V297" s="18">
        <f>IF($A297&gt;'1-Input'!$B$26,V296,V296-Q297*(1-P297))</f>
        <v>189459.58155030024</v>
      </c>
      <c r="W297" s="11">
        <f>IF($A297&gt;'1-Input'!$B$26,0,IF(AB296&lt;=0,0,MAX(0,(AB296-AC296)/AB296)))</f>
        <v>0.37036469860934224</v>
      </c>
      <c r="X297" s="18">
        <f>IF($A297&gt;'1-Input'!$B$26,0,(MAX(0,W286-IF($A297&gt;='1-Input'!$C$12,'1-Input'!$B$12,0))-MIN(MAX(AA296,0),MAX(0,W286-IF($A297&gt;='1-Input'!$C$12,'1-Input'!$B$12,0))))*(1/(1-'P-Parametri'!$B$6*W297))+MIN(MAX(0,AB296-(MAX(0,W286-IF($A297&gt;='1-Input'!$C$12,'1-Input'!$B$12,0))-MIN(MAX(AA296,0),MAX(0,W286-IF($A297&gt;='1-Input'!$C$12,'1-Input'!$B$12,0))))*(1/(1-'P-Parametri'!$B$6*W297))),MAX(0,2*W286-(AA296-MIN(MAX(AA296,0),MAX(0,W286-IF($A297&gt;='1-Input'!$C$12,'1-Input'!$B$12,0)))))*(1/(1-'P-Parametri'!$B$6*W297))))</f>
        <v>19971.561737050331</v>
      </c>
      <c r="Y297" s="18">
        <f>IF($A297&gt;'1-Input'!$B$26,AA296,(AA296-MAX(0,W286-IF($A297&gt;='1-Input'!$C$12,'1-Input'!$B$12,0))+X297*(1-'P-Parametri'!$B$6*W297))*(1+ROUND('3-Liquidita'!$F$7,4)))</f>
        <v>36787.742972329666</v>
      </c>
      <c r="Z297" s="18">
        <f>IF($A297&gt;'1-Input'!$B$26,AB296,(AB296-X297)*(1+'5-Roberta'!$C$4))</f>
        <v>313017.2411404383</v>
      </c>
      <c r="AA297" s="18">
        <f>IF($A297&gt;'1-Input'!$B$26,Y297,Y297-'P-Parametri'!$B$8*(Z297+Y297)+MIN(MAX(Z297,0),'P-Parametri'!$B$8*(Z297+Y297)))</f>
        <v>36787.742972329666</v>
      </c>
      <c r="AB297" s="18">
        <f>IF($A297&gt;'1-Input'!$B$26,Z297,Z297-MIN(MAX(Z297,0),'P-Parametri'!$B$8*(Z297+Y297)))</f>
        <v>312317.63117221277</v>
      </c>
      <c r="AC297" s="18">
        <f>IF($A297&gt;'1-Input'!$B$26,AC296,AC296-X297*(1-W297))</f>
        <v>191346.31550090492</v>
      </c>
      <c r="AD297" s="11">
        <f>IF($A297&gt;'1-Input'!$B$26,0,IF(AI296&lt;=0,0,MAX(0,(AI296-AJ296)/AI296)))</f>
        <v>0.37036562013328483</v>
      </c>
      <c r="AE297" s="18">
        <f>IF($A297&gt;'1-Input'!$B$26,0,(MAX(0,AD286-IF($A297&gt;='1-Input'!$C$12,'1-Input'!$B$12,0))-MIN(MAX(AH296,0),MAX(0,AD286-IF($A297&gt;='1-Input'!$C$12,'1-Input'!$B$12,0))))*(1/(1-'P-Parametri'!$B$6*AD297))+MIN(MAX(0,AI296-(MAX(0,AD286-IF($A297&gt;='1-Input'!$C$12,'1-Input'!$B$12,0))-MIN(MAX(AH296,0),MAX(0,AD286-IF($A297&gt;='1-Input'!$C$12,'1-Input'!$B$12,0))))*(1/(1-'P-Parametri'!$B$6*AD297))),MAX(0,2*AD286-(AH296-MIN(MAX(AH296,0),MAX(0,AD286-IF($A297&gt;='1-Input'!$C$12,'1-Input'!$B$12,0)))))*(1/(1-'P-Parametri'!$B$6*AD297))))</f>
        <v>19958.88722296802</v>
      </c>
      <c r="AF297" s="18">
        <f>IF($A297&gt;'1-Input'!$B$26,AH296,(AH296-MAX(0,AD286-IF($A297&gt;='1-Input'!$C$12,'1-Input'!$B$12,0))+AE297*(1-'P-Parametri'!$B$6*AD297))*(1+ROUND('3-Liquidita'!$F$7,4)))</f>
        <v>36764.386690049425</v>
      </c>
      <c r="AG297" s="18">
        <f>IF($A297&gt;'1-Input'!$B$26,AI296,(AI296-AE297)*(1+'5-Roberta'!$C$4))</f>
        <v>313176.34969922795</v>
      </c>
      <c r="AH297" s="18">
        <f>IF($A297&gt;'1-Input'!$B$26,AF297,AF297-'P-Parametri'!$B$8*(AG297+AF297)+MIN(MAX(AG297,0),'P-Parametri'!$B$8*(AG297+AF297)))</f>
        <v>36764.386690049425</v>
      </c>
      <c r="AI297" s="18">
        <f>IF($A297&gt;'1-Input'!$B$26,AG297,AG297-MIN(MAX(AG297,0),'P-Parametri'!$B$8*(AG297+AF297)))</f>
        <v>312476.46822644939</v>
      </c>
      <c r="AJ297" s="18">
        <f>IF($A297&gt;'1-Input'!$B$26,AJ296,AJ296-AE297*(1-AD297))</f>
        <v>191443.29779785915</v>
      </c>
      <c r="AK297" s="11">
        <f>IF($A297&gt;'1-Input'!$B$26,0,IF(AP296&lt;=0,0,MAX(0,(AP296-AQ296)/AP296)))</f>
        <v>0.37036562294538694</v>
      </c>
      <c r="AL297" s="18">
        <f>IF($A297&gt;'1-Input'!$B$26,0,(MAX(0,AK286-IF($A297&gt;='1-Input'!$C$12,'1-Input'!$B$12,0))-MIN(MAX(AO296,0),MAX(0,AK286-IF($A297&gt;='1-Input'!$C$12,'1-Input'!$B$12,0))))*(1/(1-'P-Parametri'!$B$6*AK297))+MIN(MAX(0,AP296-(MAX(0,AK286-IF($A297&gt;='1-Input'!$C$12,'1-Input'!$B$12,0))-MIN(MAX(AO296,0),MAX(0,AK286-IF($A297&gt;='1-Input'!$C$12,'1-Input'!$B$12,0))))*(1/(1-'P-Parametri'!$B$6*AK297))),MAX(0,2*AK286-(AO296-MIN(MAX(AO296,0),MAX(0,AK286-IF($A297&gt;='1-Input'!$C$12,'1-Input'!$B$12,0)))))*(1/(1-'P-Parametri'!$B$6*AK297))))</f>
        <v>19958.848535123579</v>
      </c>
      <c r="AM297" s="18">
        <f>IF($A297&gt;'1-Input'!$B$26,AO296,(AO296-MAX(0,AK286-IF($A297&gt;='1-Input'!$C$12,'1-Input'!$B$12,0))+AL297*(1-'P-Parametri'!$B$6*AK297))*(1+ROUND('3-Liquidita'!$F$7,4)))</f>
        <v>36764.315397069942</v>
      </c>
      <c r="AN297" s="18">
        <f>IF($A297&gt;'1-Input'!$B$26,AP296,(AP296-AL297)*(1+'5-Roberta'!$C$4))</f>
        <v>313176.83536405035</v>
      </c>
      <c r="AO297" s="18">
        <f>IF($A297&gt;'1-Input'!$B$26,AM297,AM297-'P-Parametri'!$B$8*(AN297+AM297)+MIN(MAX(AN297,0),'P-Parametri'!$B$8*(AN297+AM297)))</f>
        <v>36764.31539706995</v>
      </c>
      <c r="AP297" s="18">
        <f>IF($A297&gt;'1-Input'!$B$26,AN297,AN297-MIN(MAX(AN297,0),'P-Parametri'!$B$8*(AN297+AM297)))</f>
        <v>312476.9530625281</v>
      </c>
      <c r="AQ297" s="18">
        <f>IF($A297&gt;'1-Input'!$B$26,AQ296,AQ296-AL297*(1-AK297))</f>
        <v>191443.59382755237</v>
      </c>
    </row>
    <row r="298" spans="1:43">
      <c r="A298" s="10">
        <f>10</f>
        <v>10</v>
      </c>
      <c r="B298" s="11">
        <f>IF($A298&gt;'1-Input'!$B$26,0,IF(G297&lt;=0,0,MAX(0,(G297-H297)/G297)))</f>
        <v>0.38747452070805327</v>
      </c>
      <c r="C298" s="18">
        <f>IF($A298&gt;'1-Input'!$B$26,0,(MAX(0,B286-IF($A298&gt;='1-Input'!$C$12,'1-Input'!$B$12,0))-MIN(MAX(F297,0),MAX(0,B286-IF($A298&gt;='1-Input'!$C$12,'1-Input'!$B$12,0))))*(1/(1-'P-Parametri'!$B$6*B298))+MIN(MAX(0,G297-(MAX(0,B286-IF($A298&gt;='1-Input'!$C$12,'1-Input'!$B$12,0))-MIN(MAX(F297,0),MAX(0,B286-IF($A298&gt;='1-Input'!$C$12,'1-Input'!$B$12,0))))*(1/(1-'P-Parametri'!$B$6*B298))),MAX(0,2*B286-(F297-MIN(MAX(F297,0),MAX(0,B286-IF($A298&gt;='1-Input'!$C$12,'1-Input'!$B$12,0)))))*(1/(1-'P-Parametri'!$B$6*B298))))</f>
        <v>18316.099728146699</v>
      </c>
      <c r="D298" s="18">
        <f>IF($A298&gt;'1-Input'!$B$26,F297,(F297-MAX(0,B286-IF($A298&gt;='1-Input'!$C$12,'1-Input'!$B$12,0))+C298*(1-'P-Parametri'!$B$6*B298))*(1+ROUND('3-Liquidita'!$F$7,4)))</f>
        <v>33572.29192621589</v>
      </c>
      <c r="E298" s="18">
        <f>IF($A298&gt;'1-Input'!$B$26,G297,(G297-C298)*(1+'5-Roberta'!$C$4))</f>
        <v>325345.01539087039</v>
      </c>
      <c r="F298" s="18">
        <f>IF($A298&gt;'1-Input'!$B$26,D298,D298-'P-Parametri'!$B$8*(E298+D298)+MIN(MAX(E298,0),'P-Parametri'!$B$8*(E298+D298)))</f>
        <v>33572.29192621589</v>
      </c>
      <c r="G298" s="18">
        <f>IF($A298&gt;'1-Input'!$B$26,E298,E298-MIN(MAX(E298,0),'P-Parametri'!$B$8*(E298+D298)))</f>
        <v>324627.18077623623</v>
      </c>
      <c r="H298" s="18">
        <f>IF($A298&gt;'1-Input'!$B$26,H297,H297-C298*(1-B298))</f>
        <v>193477.77814324139</v>
      </c>
      <c r="I298" s="11">
        <f>IF($A298&gt;'1-Input'!$B$26,0,IF(N297&lt;=0,0,MAX(0,(N297-O297)/N297)))</f>
        <v>0.38696117715506217</v>
      </c>
      <c r="J298" s="18">
        <f>IF($A298&gt;'1-Input'!$B$26,0,(MAX(0,I286-IF($A298&gt;='1-Input'!$C$12,'1-Input'!$B$12,0))-MIN(MAX(M297,0),MAX(0,I286-IF($A298&gt;='1-Input'!$C$12,'1-Input'!$B$12,0))))*(1/(1-'P-Parametri'!$B$6*I298))+MIN(MAX(0,N297-(MAX(0,I286-IF($A298&gt;='1-Input'!$C$12,'1-Input'!$B$12,0))-MIN(MAX(M297,0),MAX(0,I286-IF($A298&gt;='1-Input'!$C$12,'1-Input'!$B$12,0))))*(1/(1-'P-Parametri'!$B$6*I298))),MAX(0,2*I286-(M297-MIN(MAX(M297,0),MAX(0,I286-IF($A298&gt;='1-Input'!$C$12,'1-Input'!$B$12,0)))))*(1/(1-'P-Parametri'!$B$6*I298))))</f>
        <v>24096.554766224945</v>
      </c>
      <c r="K298" s="18">
        <f>IF($A298&gt;'1-Input'!$B$26,M297,(M297-MAX(0,I286-IF($A298&gt;='1-Input'!$C$12,'1-Input'!$B$12,0))+J298*(1-'P-Parametri'!$B$6*I298))*(1+ROUND('3-Liquidita'!$F$7,4)))</f>
        <v>44174.068323968284</v>
      </c>
      <c r="L298" s="18">
        <f>IF($A298&gt;'1-Input'!$B$26,N297,(N297-J298)*(1+'5-Roberta'!$C$4))</f>
        <v>245131.49401536814</v>
      </c>
      <c r="M298" s="18">
        <f>IF($A298&gt;'1-Input'!$B$26,K298,K298-'P-Parametri'!$B$8*(L298+K298)+MIN(MAX(L298,0),'P-Parametri'!$B$8*(L298+K298)))</f>
        <v>44174.068323968284</v>
      </c>
      <c r="N298" s="18">
        <f>IF($A298&gt;'1-Input'!$B$26,L298,L298-MIN(MAX(L298,0),'P-Parametri'!$B$8*(L298+K298)))</f>
        <v>244552.88289068948</v>
      </c>
      <c r="O298" s="18">
        <f>IF($A298&gt;'1-Input'!$B$26,O297,O297-J298*(1-I298))</f>
        <v>145898.17721689536</v>
      </c>
      <c r="P298" s="11">
        <f>IF($A298&gt;'1-Input'!$B$26,0,IF(U297&lt;=0,0,MAX(0,(U297-V297)/U297)))</f>
        <v>0.38731346655928717</v>
      </c>
      <c r="Q298" s="18">
        <f>IF($A298&gt;'1-Input'!$B$26,0,(MAX(0,P286-IF($A298&gt;='1-Input'!$C$12,'1-Input'!$B$12,0))-MIN(MAX(T297,0),MAX(0,P286-IF($A298&gt;='1-Input'!$C$12,'1-Input'!$B$12,0))))*(1/(1-'P-Parametri'!$B$6*P298))+MIN(MAX(0,U297-(MAX(0,P286-IF($A298&gt;='1-Input'!$C$12,'1-Input'!$B$12,0))-MIN(MAX(T297,0),MAX(0,P286-IF($A298&gt;='1-Input'!$C$12,'1-Input'!$B$12,0))))*(1/(1-'P-Parametri'!$B$6*P298))),MAX(0,2*P286-(T297-MIN(MAX(T297,0),MAX(0,P286-IF($A298&gt;='1-Input'!$C$12,'1-Input'!$B$12,0)))))*(1/(1-'P-Parametri'!$B$6*P298))))</f>
        <v>20317.309149083554</v>
      </c>
      <c r="R298" s="18">
        <f>IF($A298&gt;'1-Input'!$B$26,T297,(T297-MAX(0,P286-IF($A298&gt;='1-Input'!$C$12,'1-Input'!$B$12,0))+Q298*(1-'P-Parametri'!$B$6*P298))*(1+ROUND('3-Liquidita'!$F$7,4)))</f>
        <v>37242.120653556602</v>
      </c>
      <c r="S298" s="18">
        <f>IF($A298&gt;'1-Input'!$B$26,U297,(U297-Q298)*(1+'5-Roberta'!$C$4))</f>
        <v>297577.5916114772</v>
      </c>
      <c r="T298" s="18">
        <f>IF($A298&gt;'1-Input'!$B$26,R298,R298-'P-Parametri'!$B$8*(S298+R298)+MIN(MAX(S298,0),'P-Parametri'!$B$8*(S298+R298)))</f>
        <v>37242.120653556602</v>
      </c>
      <c r="U298" s="18">
        <f>IF($A298&gt;'1-Input'!$B$26,S298,S298-MIN(MAX(S298,0),'P-Parametri'!$B$8*(S298+R298)))</f>
        <v>296907.95218694711</v>
      </c>
      <c r="V298" s="18">
        <f>IF($A298&gt;'1-Input'!$B$26,V297,V297-Q298*(1-P298))</f>
        <v>177011.43983890495</v>
      </c>
      <c r="W298" s="11">
        <f>IF($A298&gt;'1-Input'!$B$26,0,IF(AB297&lt;=0,0,MAX(0,(AB297-AC297)/AB297)))</f>
        <v>0.38733425076666245</v>
      </c>
      <c r="X298" s="18">
        <f>IF($A298&gt;'1-Input'!$B$26,0,(MAX(0,W286-IF($A298&gt;='1-Input'!$C$12,'1-Input'!$B$12,0))-MIN(MAX(AA297,0),MAX(0,W286-IF($A298&gt;='1-Input'!$C$12,'1-Input'!$B$12,0))))*(1/(1-'P-Parametri'!$B$6*W298))+MIN(MAX(0,AB297-(MAX(0,W286-IF($A298&gt;='1-Input'!$C$12,'1-Input'!$B$12,0))-MIN(MAX(AA297,0),MAX(0,W286-IF($A298&gt;='1-Input'!$C$12,'1-Input'!$B$12,0))))*(1/(1-'P-Parametri'!$B$6*W298))),MAX(0,2*W286-(AA297-MIN(MAX(AA297,0),MAX(0,W286-IF($A298&gt;='1-Input'!$C$12,'1-Input'!$B$12,0)))))*(1/(1-'P-Parametri'!$B$6*W298))))</f>
        <v>20069.545586515025</v>
      </c>
      <c r="Y298" s="18">
        <f>IF($A298&gt;'1-Input'!$B$26,AA297,(AA297-MAX(0,W286-IF($A298&gt;='1-Input'!$C$12,'1-Input'!$B$12,0))+X298*(1-'P-Parametri'!$B$6*W298))*(1+ROUND('3-Liquidita'!$F$7,4)))</f>
        <v>36787.742972329659</v>
      </c>
      <c r="Z298" s="18">
        <f>IF($A298&gt;'1-Input'!$B$26,AB297,(AB297-X298)*(1+'5-Roberta'!$C$4))</f>
        <v>301015.52815326868</v>
      </c>
      <c r="AA298" s="18">
        <f>IF($A298&gt;'1-Input'!$B$26,Y298,Y298-'P-Parametri'!$B$8*(Z298+Y298)+MIN(MAX(Z298,0),'P-Parametri'!$B$8*(Z298+Y298)))</f>
        <v>36787.742972329659</v>
      </c>
      <c r="AB298" s="18">
        <f>IF($A298&gt;'1-Input'!$B$26,Z298,Z298-MIN(MAX(Z298,0),'P-Parametri'!$B$8*(Z298+Y298)))</f>
        <v>300339.92161101749</v>
      </c>
      <c r="AC298" s="18">
        <f>IF($A298&gt;'1-Input'!$B$26,AC297,AC297-X298*(1-W298))</f>
        <v>179050.39231737008</v>
      </c>
      <c r="AD298" s="11">
        <f>IF($A298&gt;'1-Input'!$B$26,0,IF(AI297&lt;=0,0,MAX(0,(AI297-AJ297)/AI297)))</f>
        <v>0.38733531236943702</v>
      </c>
      <c r="AE298" s="18">
        <f>IF($A298&gt;'1-Input'!$B$26,0,(MAX(0,AD286-IF($A298&gt;='1-Input'!$C$12,'1-Input'!$B$12,0))-MIN(MAX(AH297,0),MAX(0,AD286-IF($A298&gt;='1-Input'!$C$12,'1-Input'!$B$12,0))))*(1/(1-'P-Parametri'!$B$6*AD298))+MIN(MAX(0,AI297-(MAX(0,AD286-IF($A298&gt;='1-Input'!$C$12,'1-Input'!$B$12,0))-MIN(MAX(AH297,0),MAX(0,AD286-IF($A298&gt;='1-Input'!$C$12,'1-Input'!$B$12,0))))*(1/(1-'P-Parametri'!$B$6*AD298))),MAX(0,2*AD286-(AH297-MIN(MAX(AH297,0),MAX(0,AD286-IF($A298&gt;='1-Input'!$C$12,'1-Input'!$B$12,0)))))*(1/(1-'P-Parametri'!$B$6*AD298))))</f>
        <v>20056.809727500015</v>
      </c>
      <c r="AF298" s="18">
        <f>IF($A298&gt;'1-Input'!$B$26,AH297,(AH297-MAX(0,AD286-IF($A298&gt;='1-Input'!$C$12,'1-Input'!$B$12,0))+AE298*(1-'P-Parametri'!$B$6*AD298))*(1+ROUND('3-Liquidita'!$F$7,4)))</f>
        <v>36764.386690049425</v>
      </c>
      <c r="AG298" s="18">
        <f>IF($A298&gt;'1-Input'!$B$26,AI297,(AI297-AE298)*(1+'5-Roberta'!$C$4))</f>
        <v>301192.24825391785</v>
      </c>
      <c r="AH298" s="18">
        <f>IF($A298&gt;'1-Input'!$B$26,AF298,AF298-'P-Parametri'!$B$8*(AG298+AF298)+MIN(MAX(AG298,0),'P-Parametri'!$B$8*(AG298+AF298)))</f>
        <v>36764.386690049425</v>
      </c>
      <c r="AI298" s="18">
        <f>IF($A298&gt;'1-Input'!$B$26,AG298,AG298-MIN(MAX(AG298,0),'P-Parametri'!$B$8*(AG298+AF298)))</f>
        <v>300516.33498402993</v>
      </c>
      <c r="AJ298" s="18">
        <f>IF($A298&gt;'1-Input'!$B$26,AJ297,AJ297-AE298*(1-AD298))</f>
        <v>179155.19873129472</v>
      </c>
      <c r="AK298" s="11">
        <f>IF($A298&gt;'1-Input'!$B$26,0,IF(AP297&lt;=0,0,MAX(0,(AP297-AQ297)/AP297)))</f>
        <v>0.38733531560888074</v>
      </c>
      <c r="AL298" s="18">
        <f>IF($A298&gt;'1-Input'!$B$26,0,(MAX(0,AK286-IF($A298&gt;='1-Input'!$C$12,'1-Input'!$B$12,0))-MIN(MAX(AO297,0),MAX(0,AK286-IF($A298&gt;='1-Input'!$C$12,'1-Input'!$B$12,0))))*(1/(1-'P-Parametri'!$B$6*AK298))+MIN(MAX(0,AP297-(MAX(0,AK286-IF($A298&gt;='1-Input'!$C$12,'1-Input'!$B$12,0))-MIN(MAX(AO297,0),MAX(0,AK286-IF($A298&gt;='1-Input'!$C$12,'1-Input'!$B$12,0))))*(1/(1-'P-Parametri'!$B$6*AK298))),MAX(0,2*AK286-(AO297-MIN(MAX(AO297,0),MAX(0,AK286-IF($A298&gt;='1-Input'!$C$12,'1-Input'!$B$12,0)))))*(1/(1-'P-Parametri'!$B$6*AK298))))</f>
        <v>20056.770852402504</v>
      </c>
      <c r="AM298" s="18">
        <f>IF($A298&gt;'1-Input'!$B$26,AO297,(AO297-MAX(0,AK286-IF($A298&gt;='1-Input'!$C$12,'1-Input'!$B$12,0))+AL298*(1-'P-Parametri'!$B$6*AK298))*(1+ROUND('3-Liquidita'!$F$7,4)))</f>
        <v>36764.315397069942</v>
      </c>
      <c r="AN298" s="18">
        <f>IF($A298&gt;'1-Input'!$B$26,AP297,(AP297-AL298)*(1+'5-Roberta'!$C$4))</f>
        <v>301192.78767642938</v>
      </c>
      <c r="AO298" s="18">
        <f>IF($A298&gt;'1-Input'!$B$26,AM298,AM298-'P-Parametri'!$B$8*(AN298+AM298)+MIN(MAX(AN298,0),'P-Parametri'!$B$8*(AN298+AM298)))</f>
        <v>36764.315397069942</v>
      </c>
      <c r="AP298" s="18">
        <f>IF($A298&gt;'1-Input'!$B$26,AN298,AN298-MIN(MAX(AN298,0),'P-Parametri'!$B$8*(AN298+AM298)))</f>
        <v>300516.87347028236</v>
      </c>
      <c r="AQ298" s="18">
        <f>IF($A298&gt;'1-Input'!$B$26,AQ297,AQ297-AL298*(1-AK298))</f>
        <v>179155.51864336018</v>
      </c>
    </row>
    <row r="299" spans="1:43">
      <c r="A299" s="10">
        <f>11</f>
        <v>11</v>
      </c>
      <c r="B299" s="11">
        <f>IF($A299&gt;'1-Input'!$B$26,0,IF(G298&lt;=0,0,MAX(0,(G298-H298)/G298)))</f>
        <v>0.40400006653600401</v>
      </c>
      <c r="C299" s="18">
        <f>IF($A299&gt;'1-Input'!$B$26,0,(MAX(0,B286-IF($A299&gt;='1-Input'!$C$12,'1-Input'!$B$12,0))-MIN(MAX(F298,0),MAX(0,B286-IF($A299&gt;='1-Input'!$C$12,'1-Input'!$B$12,0))))*(1/(1-'P-Parametri'!$B$6*B299))+MIN(MAX(0,G298-(MAX(0,B286-IF($A299&gt;='1-Input'!$C$12,'1-Input'!$B$12,0))-MIN(MAX(F298,0),MAX(0,B286-IF($A299&gt;='1-Input'!$C$12,'1-Input'!$B$12,0))))*(1/(1-'P-Parametri'!$B$6*B299))),MAX(0,2*B286-(F298-MIN(MAX(F298,0),MAX(0,B286-IF($A299&gt;='1-Input'!$C$12,'1-Input'!$B$12,0)))))*(1/(1-'P-Parametri'!$B$6*B299))))</f>
        <v>18404.034075310123</v>
      </c>
      <c r="D299" s="18">
        <f>IF($A299&gt;'1-Input'!$B$26,F298,(F298-MAX(0,B286-IF($A299&gt;='1-Input'!$C$12,'1-Input'!$B$12,0))+C299*(1-'P-Parametri'!$B$6*B299))*(1+ROUND('3-Liquidita'!$F$7,4)))</f>
        <v>33572.29192621589</v>
      </c>
      <c r="E299" s="18">
        <f>IF($A299&gt;'1-Input'!$B$26,G298,(G298-C299)*(1+'5-Roberta'!$C$4))</f>
        <v>315409.84110195393</v>
      </c>
      <c r="F299" s="18">
        <f>IF($A299&gt;'1-Input'!$B$26,D299,D299-'P-Parametri'!$B$8*(E299+D299)+MIN(MAX(E299,0),'P-Parametri'!$B$8*(E299+D299)))</f>
        <v>33572.29192621589</v>
      </c>
      <c r="G299" s="18">
        <f>IF($A299&gt;'1-Input'!$B$26,E299,E299-MIN(MAX(E299,0),'P-Parametri'!$B$8*(E299+D299)))</f>
        <v>314711.87683589762</v>
      </c>
      <c r="H299" s="18">
        <f>IF($A299&gt;'1-Input'!$B$26,H298,H298-C299*(1-B299))</f>
        <v>182508.97505888744</v>
      </c>
      <c r="I299" s="11">
        <f>IF($A299&gt;'1-Input'!$B$26,0,IF(N298&lt;=0,0,MAX(0,(N298-O298)/N298)))</f>
        <v>0.40340847553161296</v>
      </c>
      <c r="J299" s="18">
        <f>IF($A299&gt;'1-Input'!$B$26,0,(MAX(0,I286-IF($A299&gt;='1-Input'!$C$12,'1-Input'!$B$12,0))-MIN(MAX(M298,0),MAX(0,I286-IF($A299&gt;='1-Input'!$C$12,'1-Input'!$B$12,0))))*(1/(1-'P-Parametri'!$B$6*I299))+MIN(MAX(0,N298-(MAX(0,I286-IF($A299&gt;='1-Input'!$C$12,'1-Input'!$B$12,0))-MIN(MAX(M298,0),MAX(0,I286-IF($A299&gt;='1-Input'!$C$12,'1-Input'!$B$12,0))))*(1/(1-'P-Parametri'!$B$6*I299))),MAX(0,2*I286-(M298-MIN(MAX(M298,0),MAX(0,I286-IF($A299&gt;='1-Input'!$C$12,'1-Input'!$B$12,0)))))*(1/(1-'P-Parametri'!$B$6*I299))))</f>
        <v>24211.673133522432</v>
      </c>
      <c r="K299" s="18">
        <f>IF($A299&gt;'1-Input'!$B$26,M298,(M298-MAX(0,I286-IF($A299&gt;='1-Input'!$C$12,'1-Input'!$B$12,0))+J299*(1-'P-Parametri'!$B$6*I299))*(1+ROUND('3-Liquidita'!$F$7,4)))</f>
        <v>44174.068323968284</v>
      </c>
      <c r="L299" s="18">
        <f>IF($A299&gt;'1-Input'!$B$26,N298,(N298-J299)*(1+'5-Roberta'!$C$4))</f>
        <v>226951.44604988204</v>
      </c>
      <c r="M299" s="18">
        <f>IF($A299&gt;'1-Input'!$B$26,K299,K299-'P-Parametri'!$B$8*(L299+K299)+MIN(MAX(L299,0),'P-Parametri'!$B$8*(L299+K299)))</f>
        <v>44174.068323968284</v>
      </c>
      <c r="N299" s="18">
        <f>IF($A299&gt;'1-Input'!$B$26,L299,L299-MIN(MAX(L299,0),'P-Parametri'!$B$8*(L299+K299)))</f>
        <v>226409.19502113434</v>
      </c>
      <c r="O299" s="18">
        <f>IF($A299&gt;'1-Input'!$B$26,O298,O298-J299*(1-I299))</f>
        <v>131453.69823223693</v>
      </c>
      <c r="P299" s="11">
        <f>IF($A299&gt;'1-Input'!$B$26,0,IF(U298&lt;=0,0,MAX(0,(U298-V298)/U298)))</f>
        <v>0.40381711390656766</v>
      </c>
      <c r="Q299" s="18">
        <f>IF($A299&gt;'1-Input'!$B$26,0,(MAX(0,P286-IF($A299&gt;='1-Input'!$C$12,'1-Input'!$B$12,0))-MIN(MAX(T298,0),MAX(0,P286-IF($A299&gt;='1-Input'!$C$12,'1-Input'!$B$12,0))))*(1/(1-'P-Parametri'!$B$6*P299))+MIN(MAX(0,U298-(MAX(0,P286-IF($A299&gt;='1-Input'!$C$12,'1-Input'!$B$12,0))-MIN(MAX(T298,0),MAX(0,P286-IF($A299&gt;='1-Input'!$C$12,'1-Input'!$B$12,0))))*(1/(1-'P-Parametri'!$B$6*P299))),MAX(0,2*P286-(T298-MIN(MAX(T298,0),MAX(0,P286-IF($A299&gt;='1-Input'!$C$12,'1-Input'!$B$12,0)))))*(1/(1-'P-Parametri'!$B$6*P299))))</f>
        <v>20414.716733327426</v>
      </c>
      <c r="R299" s="18">
        <f>IF($A299&gt;'1-Input'!$B$26,T298,(T298-MAX(0,P286-IF($A299&gt;='1-Input'!$C$12,'1-Input'!$B$12,0))+Q299*(1-'P-Parametri'!$B$6*P299))*(1+ROUND('3-Liquidita'!$F$7,4)))</f>
        <v>37242.120653556602</v>
      </c>
      <c r="S299" s="18">
        <f>IF($A299&gt;'1-Input'!$B$26,U298,(U298-Q299)*(1+'5-Roberta'!$C$4))</f>
        <v>284788.03251722828</v>
      </c>
      <c r="T299" s="18">
        <f>IF($A299&gt;'1-Input'!$B$26,R299,R299-'P-Parametri'!$B$8*(S299+R299)+MIN(MAX(S299,0),'P-Parametri'!$B$8*(S299+R299)))</f>
        <v>37242.120653556602</v>
      </c>
      <c r="U299" s="18">
        <f>IF($A299&gt;'1-Input'!$B$26,S299,S299-MIN(MAX(S299,0),'P-Parametri'!$B$8*(S299+R299)))</f>
        <v>284143.97221088671</v>
      </c>
      <c r="V299" s="18">
        <f>IF($A299&gt;'1-Input'!$B$26,V298,V298-Q299*(1-P299))</f>
        <v>164840.53509804991</v>
      </c>
      <c r="W299" s="11">
        <f>IF($A299&gt;'1-Input'!$B$26,0,IF(AB298&lt;=0,0,MAX(0,(AB298-AC298)/AB298)))</f>
        <v>0.40384085020417115</v>
      </c>
      <c r="X299" s="18">
        <f>IF($A299&gt;'1-Input'!$B$26,0,(MAX(0,W286-IF($A299&gt;='1-Input'!$C$12,'1-Input'!$B$12,0))-MIN(MAX(AA298,0),MAX(0,W286-IF($A299&gt;='1-Input'!$C$12,'1-Input'!$B$12,0))))*(1/(1-'P-Parametri'!$B$6*W299))+MIN(MAX(0,AB298-(MAX(0,W286-IF($A299&gt;='1-Input'!$C$12,'1-Input'!$B$12,0))-MIN(MAX(AA298,0),MAX(0,W286-IF($A299&gt;='1-Input'!$C$12,'1-Input'!$B$12,0))))*(1/(1-'P-Parametri'!$B$6*W299))),MAX(0,2*W286-(AA298-MIN(MAX(AA298,0),MAX(0,W286-IF($A299&gt;='1-Input'!$C$12,'1-Input'!$B$12,0)))))*(1/(1-'P-Parametri'!$B$6*W299))))</f>
        <v>20165.783189045433</v>
      </c>
      <c r="Y299" s="18">
        <f>IF($A299&gt;'1-Input'!$B$26,AA298,(AA298-MAX(0,W286-IF($A299&gt;='1-Input'!$C$12,'1-Input'!$B$12,0))+X299*(1-'P-Parametri'!$B$6*W299))*(1+ROUND('3-Liquidita'!$F$7,4)))</f>
        <v>36787.742972329659</v>
      </c>
      <c r="Z299" s="18">
        <f>IF($A299&gt;'1-Input'!$B$26,AB298,(AB298-X299)*(1+'5-Roberta'!$C$4))</f>
        <v>288579.36257463123</v>
      </c>
      <c r="AA299" s="18">
        <f>IF($A299&gt;'1-Input'!$B$26,Y299,Y299-'P-Parametri'!$B$8*(Z299+Y299)+MIN(MAX(Z299,0),'P-Parametri'!$B$8*(Z299+Y299)))</f>
        <v>36787.742972329659</v>
      </c>
      <c r="AB299" s="18">
        <f>IF($A299&gt;'1-Input'!$B$26,Z299,Z299-MIN(MAX(Z299,0),'P-Parametri'!$B$8*(Z299+Y299)))</f>
        <v>287928.62836353731</v>
      </c>
      <c r="AC299" s="18">
        <f>IF($A299&gt;'1-Input'!$B$26,AC298,AC298-X299*(1-W299))</f>
        <v>167028.37615642173</v>
      </c>
      <c r="AD299" s="11">
        <f>IF($A299&gt;'1-Input'!$B$26,0,IF(AI298&lt;=0,0,MAX(0,(AI298-AJ298)/AI298)))</f>
        <v>0.40384206156109487</v>
      </c>
      <c r="AE299" s="18">
        <f>IF($A299&gt;'1-Input'!$B$26,0,(MAX(0,AD286-IF($A299&gt;='1-Input'!$C$12,'1-Input'!$B$12,0))-MIN(MAX(AH298,0),MAX(0,AD286-IF($A299&gt;='1-Input'!$C$12,'1-Input'!$B$12,0))))*(1/(1-'P-Parametri'!$B$6*AD299))+MIN(MAX(0,AI298-(MAX(0,AD286-IF($A299&gt;='1-Input'!$C$12,'1-Input'!$B$12,0))-MIN(MAX(AH298,0),MAX(0,AD286-IF($A299&gt;='1-Input'!$C$12,'1-Input'!$B$12,0))))*(1/(1-'P-Parametri'!$B$6*AD299))),MAX(0,2*AD286-(AH298-MIN(MAX(AH298,0),MAX(0,AD286-IF($A299&gt;='1-Input'!$C$12,'1-Input'!$B$12,0)))))*(1/(1-'P-Parametri'!$B$6*AD299))))</f>
        <v>20152.987165359791</v>
      </c>
      <c r="AF299" s="18">
        <f>IF($A299&gt;'1-Input'!$B$26,AH298,(AH298-MAX(0,AD286-IF($A299&gt;='1-Input'!$C$12,'1-Input'!$B$12,0))+AE299*(1-'P-Parametri'!$B$6*AD299))*(1+ROUND('3-Liquidita'!$F$7,4)))</f>
        <v>36764.386690049425</v>
      </c>
      <c r="AG299" s="18">
        <f>IF($A299&gt;'1-Input'!$B$26,AI298,(AI298-AE299)*(1+'5-Roberta'!$C$4))</f>
        <v>288774.24825323024</v>
      </c>
      <c r="AH299" s="18">
        <f>IF($A299&gt;'1-Input'!$B$26,AF299,AF299-'P-Parametri'!$B$8*(AG299+AF299)+MIN(MAX(AG299,0),'P-Parametri'!$B$8*(AG299+AF299)))</f>
        <v>36764.386690049425</v>
      </c>
      <c r="AI299" s="18">
        <f>IF($A299&gt;'1-Input'!$B$26,AG299,AG299-MIN(MAX(AG299,0),'P-Parametri'!$B$8*(AG299+AF299)))</f>
        <v>288123.17098334368</v>
      </c>
      <c r="AJ299" s="18">
        <f>IF($A299&gt;'1-Input'!$B$26,AJ298,AJ298-AE299*(1-AD299))</f>
        <v>167140.8354494081</v>
      </c>
      <c r="AK299" s="11">
        <f>IF($A299&gt;'1-Input'!$B$26,0,IF(AP298&lt;=0,0,MAX(0,(AP298-AQ298)/AP298)))</f>
        <v>0.40384206525735539</v>
      </c>
      <c r="AL299" s="18">
        <f>IF($A299&gt;'1-Input'!$B$26,0,(MAX(0,AK286-IF($A299&gt;='1-Input'!$C$12,'1-Input'!$B$12,0))-MIN(MAX(AO298,0),MAX(0,AK286-IF($A299&gt;='1-Input'!$C$12,'1-Input'!$B$12,0))))*(1/(1-'P-Parametri'!$B$6*AK299))+MIN(MAX(0,AP298-(MAX(0,AK286-IF($A299&gt;='1-Input'!$C$12,'1-Input'!$B$12,0))-MIN(MAX(AO298,0),MAX(0,AK286-IF($A299&gt;='1-Input'!$C$12,'1-Input'!$B$12,0))))*(1/(1-'P-Parametri'!$B$6*AK299))),MAX(0,2*AK286-(AO298-MIN(MAX(AO298,0),MAX(0,AK286-IF($A299&gt;='1-Input'!$C$12,'1-Input'!$B$12,0)))))*(1/(1-'P-Parametri'!$B$6*AK299))))</f>
        <v>20152.948106611369</v>
      </c>
      <c r="AM299" s="18">
        <f>IF($A299&gt;'1-Input'!$B$26,AO298,(AO298-MAX(0,AK286-IF($A299&gt;='1-Input'!$C$12,'1-Input'!$B$12,0))+AL299*(1-'P-Parametri'!$B$6*AK299))*(1+ROUND('3-Liquidita'!$F$7,4)))</f>
        <v>36764.315397069942</v>
      </c>
      <c r="AN299" s="18">
        <f>IF($A299&gt;'1-Input'!$B$26,AP298,(AP298-AL299)*(1+'5-Roberta'!$C$4))</f>
        <v>288774.84312458109</v>
      </c>
      <c r="AO299" s="18">
        <f>IF($A299&gt;'1-Input'!$B$26,AM299,AM299-'P-Parametri'!$B$8*(AN299+AM299)+MIN(MAX(AN299,0),'P-Parametri'!$B$8*(AN299+AM299)))</f>
        <v>36764.315397069942</v>
      </c>
      <c r="AP299" s="18">
        <f>IF($A299&gt;'1-Input'!$B$26,AN299,AN299-MIN(MAX(AN299,0),'P-Parametri'!$B$8*(AN299+AM299)))</f>
        <v>288123.76480753778</v>
      </c>
      <c r="AQ299" s="18">
        <f>IF($A299&gt;'1-Input'!$B$26,AQ298,AQ298-AL299*(1-AK299))</f>
        <v>167141.17872114707</v>
      </c>
    </row>
    <row r="300" spans="1:43">
      <c r="A300" s="10">
        <f>12</f>
        <v>12</v>
      </c>
      <c r="B300" s="11">
        <f>IF($A300&gt;'1-Input'!$B$26,0,IF(G299&lt;=0,0,MAX(0,(G299-H299)/G299)))</f>
        <v>0.4200759853939216</v>
      </c>
      <c r="C300" s="18">
        <f>IF($A300&gt;'1-Input'!$B$26,0,(MAX(0,B286-IF($A300&gt;='1-Input'!$C$12,'1-Input'!$B$12,0))-MIN(MAX(F299,0),MAX(0,B286-IF($A300&gt;='1-Input'!$C$12,'1-Input'!$B$12,0))))*(1/(1-'P-Parametri'!$B$6*B300))+MIN(MAX(0,G299-(MAX(0,B286-IF($A300&gt;='1-Input'!$C$12,'1-Input'!$B$12,0))-MIN(MAX(F299,0),MAX(0,B286-IF($A300&gt;='1-Input'!$C$12,'1-Input'!$B$12,0))))*(1/(1-'P-Parametri'!$B$6*B300))),MAX(0,2*B286-(F299-MIN(MAX(F299,0),MAX(0,B286-IF($A300&gt;='1-Input'!$C$12,'1-Input'!$B$12,0)))))*(1/(1-'P-Parametri'!$B$6*B300))))</f>
        <v>18490.389893968433</v>
      </c>
      <c r="D300" s="18">
        <f>IF($A300&gt;'1-Input'!$B$26,F299,(F299-MAX(0,B286-IF($A300&gt;='1-Input'!$C$12,'1-Input'!$B$12,0))+C300*(1-'P-Parametri'!$B$6*B300))*(1+ROUND('3-Liquidita'!$F$7,4)))</f>
        <v>33572.29192621589</v>
      </c>
      <c r="E300" s="18">
        <f>IF($A300&gt;'1-Input'!$B$26,G299,(G299-C300)*(1+'5-Roberta'!$C$4))</f>
        <v>305108.13155018707</v>
      </c>
      <c r="F300" s="18">
        <f>IF($A300&gt;'1-Input'!$B$26,D300,D300-'P-Parametri'!$B$8*(E300+D300)+MIN(MAX(E300,0),'P-Parametri'!$B$8*(E300+D300)))</f>
        <v>33572.29192621589</v>
      </c>
      <c r="G300" s="18">
        <f>IF($A300&gt;'1-Input'!$B$26,E300,E300-MIN(MAX(E300,0),'P-Parametri'!$B$8*(E300+D300)))</f>
        <v>304430.77070323424</v>
      </c>
      <c r="H300" s="18">
        <f>IF($A300&gt;'1-Input'!$B$26,H299,H299-C300*(1-B300))</f>
        <v>171785.9539199456</v>
      </c>
      <c r="I300" s="11">
        <f>IF($A300&gt;'1-Input'!$B$26,0,IF(N299&lt;=0,0,MAX(0,(N299-O299)/N299)))</f>
        <v>0.41939770502710244</v>
      </c>
      <c r="J300" s="18">
        <f>IF($A300&gt;'1-Input'!$B$26,0,(MAX(0,I286-IF($A300&gt;='1-Input'!$C$12,'1-Input'!$B$12,0))-MIN(MAX(M299,0),MAX(0,I286-IF($A300&gt;='1-Input'!$C$12,'1-Input'!$B$12,0))))*(1/(1-'P-Parametri'!$B$6*I300))+MIN(MAX(0,N299-(MAX(0,I286-IF($A300&gt;='1-Input'!$C$12,'1-Input'!$B$12,0))-MIN(MAX(M299,0),MAX(0,I286-IF($A300&gt;='1-Input'!$C$12,'1-Input'!$B$12,0))))*(1/(1-'P-Parametri'!$B$6*I300))),MAX(0,2*I286-(M299-MIN(MAX(M299,0),MAX(0,I286-IF($A300&gt;='1-Input'!$C$12,'1-Input'!$B$12,0)))))*(1/(1-'P-Parametri'!$B$6*I300))))</f>
        <v>24324.644696790532</v>
      </c>
      <c r="K300" s="18">
        <f>IF($A300&gt;'1-Input'!$B$26,M299,(M299-MAX(0,I286-IF($A300&gt;='1-Input'!$C$12,'1-Input'!$B$12,0))+J300*(1-'P-Parametri'!$B$6*I300))*(1+ROUND('3-Liquidita'!$F$7,4)))</f>
        <v>44174.068323968284</v>
      </c>
      <c r="L300" s="18">
        <f>IF($A300&gt;'1-Input'!$B$26,N299,(N299-J300)*(1+'5-Roberta'!$C$4))</f>
        <v>208147.08683407414</v>
      </c>
      <c r="M300" s="18">
        <f>IF($A300&gt;'1-Input'!$B$26,K300,K300-'P-Parametri'!$B$8*(L300+K300)+MIN(MAX(L300,0),'P-Parametri'!$B$8*(L300+K300)))</f>
        <v>44174.068323968284</v>
      </c>
      <c r="N300" s="18">
        <f>IF($A300&gt;'1-Input'!$B$26,L300,L300-MIN(MAX(L300,0),'P-Parametri'!$B$8*(L300+K300)))</f>
        <v>207642.44452375805</v>
      </c>
      <c r="O300" s="18">
        <f>IF($A300&gt;'1-Input'!$B$26,O299,O299-J300*(1-I300))</f>
        <v>117330.75369688003</v>
      </c>
      <c r="P300" s="11">
        <f>IF($A300&gt;'1-Input'!$B$26,0,IF(U299&lt;=0,0,MAX(0,(U299-V299)/U299)))</f>
        <v>0.41986967446309886</v>
      </c>
      <c r="Q300" s="18">
        <f>IF($A300&gt;'1-Input'!$B$26,0,(MAX(0,P286-IF($A300&gt;='1-Input'!$C$12,'1-Input'!$B$12,0))-MIN(MAX(T299,0),MAX(0,P286-IF($A300&gt;='1-Input'!$C$12,'1-Input'!$B$12,0))))*(1/(1-'P-Parametri'!$B$6*P300))+MIN(MAX(0,U299-(MAX(0,P286-IF($A300&gt;='1-Input'!$C$12,'1-Input'!$B$12,0))-MIN(MAX(T299,0),MAX(0,P286-IF($A300&gt;='1-Input'!$C$12,'1-Input'!$B$12,0))))*(1/(1-'P-Parametri'!$B$6*P300))),MAX(0,2*P286-(T299-MIN(MAX(T299,0),MAX(0,P286-IF($A300&gt;='1-Input'!$C$12,'1-Input'!$B$12,0)))))*(1/(1-'P-Parametri'!$B$6*P300))))</f>
        <v>20510.362179001149</v>
      </c>
      <c r="R300" s="18">
        <f>IF($A300&gt;'1-Input'!$B$26,T299,(T299-MAX(0,P286-IF($A300&gt;='1-Input'!$C$12,'1-Input'!$B$12,0))+Q300*(1-'P-Parametri'!$B$6*P300))*(1+ROUND('3-Liquidita'!$F$7,4)))</f>
        <v>37242.120653556609</v>
      </c>
      <c r="S300" s="18">
        <f>IF($A300&gt;'1-Input'!$B$26,U299,(U299-Q300)*(1+'5-Roberta'!$C$4))</f>
        <v>271542.61833284213</v>
      </c>
      <c r="T300" s="18">
        <f>IF($A300&gt;'1-Input'!$B$26,R300,R300-'P-Parametri'!$B$8*(S300+R300)+MIN(MAX(S300,0),'P-Parametri'!$B$8*(S300+R300)))</f>
        <v>37242.120653556609</v>
      </c>
      <c r="U300" s="18">
        <f>IF($A300&gt;'1-Input'!$B$26,S300,S300-MIN(MAX(S300,0),'P-Parametri'!$B$8*(S300+R300)))</f>
        <v>270925.04885486932</v>
      </c>
      <c r="V300" s="18">
        <f>IF($A300&gt;'1-Input'!$B$26,V299,V299-Q300*(1-P300))</f>
        <v>152941.85201026622</v>
      </c>
      <c r="W300" s="11">
        <f>IF($A300&gt;'1-Input'!$B$26,0,IF(AB299&lt;=0,0,MAX(0,(AB299-AC299)/AB299)))</f>
        <v>0.41989660039802468</v>
      </c>
      <c r="X300" s="18">
        <f>IF($A300&gt;'1-Input'!$B$26,0,(MAX(0,W286-IF($A300&gt;='1-Input'!$C$12,'1-Input'!$B$12,0))-MIN(MAX(AA299,0),MAX(0,W286-IF($A300&gt;='1-Input'!$C$12,'1-Input'!$B$12,0))))*(1/(1-'P-Parametri'!$B$6*W300))+MIN(MAX(0,AB299-(MAX(0,W286-IF($A300&gt;='1-Input'!$C$12,'1-Input'!$B$12,0))-MIN(MAX(AA299,0),MAX(0,W286-IF($A300&gt;='1-Input'!$C$12,'1-Input'!$B$12,0))))*(1/(1-'P-Parametri'!$B$6*W300))),MAX(0,2*W286-(AA299-MIN(MAX(AA299,0),MAX(0,W286-IF($A300&gt;='1-Input'!$C$12,'1-Input'!$B$12,0)))))*(1/(1-'P-Parametri'!$B$6*W300))))</f>
        <v>20260.281866209207</v>
      </c>
      <c r="Y300" s="18">
        <f>IF($A300&gt;'1-Input'!$B$26,AA299,(AA299-MAX(0,W286-IF($A300&gt;='1-Input'!$C$12,'1-Input'!$B$12,0))+X300*(1-'P-Parametri'!$B$6*W300))*(1+ROUND('3-Liquidita'!$F$7,4)))</f>
        <v>36787.742972329659</v>
      </c>
      <c r="Z300" s="18">
        <f>IF($A300&gt;'1-Input'!$B$26,AB299,(AB299-X300)*(1+'5-Roberta'!$C$4))</f>
        <v>275698.39689224795</v>
      </c>
      <c r="AA300" s="18">
        <f>IF($A300&gt;'1-Input'!$B$26,Y300,Y300-'P-Parametri'!$B$8*(Z300+Y300)+MIN(MAX(Z300,0),'P-Parametri'!$B$8*(Z300+Y300)))</f>
        <v>36787.742972329659</v>
      </c>
      <c r="AB300" s="18">
        <f>IF($A300&gt;'1-Input'!$B$26,Z300,Z300-MIN(MAX(Z300,0),'P-Parametri'!$B$8*(Z300+Y300)))</f>
        <v>275073.42461251881</v>
      </c>
      <c r="AC300" s="18">
        <f>IF($A300&gt;'1-Input'!$B$26,AC299,AC299-X300*(1-W300))</f>
        <v>155275.31776893951</v>
      </c>
      <c r="AD300" s="11">
        <f>IF($A300&gt;'1-Input'!$B$26,0,IF(AI299&lt;=0,0,MAX(0,(AI299-AJ299)/AI299)))</f>
        <v>0.41989797322107614</v>
      </c>
      <c r="AE300" s="18">
        <f>IF($A300&gt;'1-Input'!$B$26,0,(MAX(0,AD286-IF($A300&gt;='1-Input'!$C$12,'1-Input'!$B$12,0))-MIN(MAX(AH299,0),MAX(0,AD286-IF($A300&gt;='1-Input'!$C$12,'1-Input'!$B$12,0))))*(1/(1-'P-Parametri'!$B$6*AD300))+MIN(MAX(0,AI299-(MAX(0,AD286-IF($A300&gt;='1-Input'!$C$12,'1-Input'!$B$12,0))-MIN(MAX(AH299,0),MAX(0,AD286-IF($A300&gt;='1-Input'!$C$12,'1-Input'!$B$12,0))))*(1/(1-'P-Parametri'!$B$6*AD300))),MAX(0,2*AD286-(AH299-MIN(MAX(AH299,0),MAX(0,AD286-IF($A300&gt;='1-Input'!$C$12,'1-Input'!$B$12,0)))))*(1/(1-'P-Parametri'!$B$6*AD300))))</f>
        <v>20247.426866774964</v>
      </c>
      <c r="AF300" s="18">
        <f>IF($A300&gt;'1-Input'!$B$26,AH299,(AH299-MAX(0,AD286-IF($A300&gt;='1-Input'!$C$12,'1-Input'!$B$12,0))+AE300*(1-'P-Parametri'!$B$6*AD300))*(1+ROUND('3-Liquidita'!$F$7,4)))</f>
        <v>36764.386690049425</v>
      </c>
      <c r="AG300" s="18">
        <f>IF($A300&gt;'1-Input'!$B$26,AI299,(AI299-AE300)*(1+'5-Roberta'!$C$4))</f>
        <v>275912.01644006575</v>
      </c>
      <c r="AH300" s="18">
        <f>IF($A300&gt;'1-Input'!$B$26,AF300,AF300-'P-Parametri'!$B$8*(AG300+AF300)+MIN(MAX(AG300,0),'P-Parametri'!$B$8*(AG300+AF300)))</f>
        <v>36764.386690049425</v>
      </c>
      <c r="AI300" s="18">
        <f>IF($A300&gt;'1-Input'!$B$26,AG300,AG300-MIN(MAX(AG300,0),'P-Parametri'!$B$8*(AG300+AF300)))</f>
        <v>275286.66363380553</v>
      </c>
      <c r="AJ300" s="18">
        <f>IF($A300&gt;'1-Input'!$B$26,AJ299,AJ299-AE300*(1-AD300))</f>
        <v>155395.26208693392</v>
      </c>
      <c r="AK300" s="11">
        <f>IF($A300&gt;'1-Input'!$B$26,0,IF(AP299&lt;=0,0,MAX(0,(AP299-AQ299)/AP299)))</f>
        <v>0.41989797740983015</v>
      </c>
      <c r="AL300" s="18">
        <f>IF($A300&gt;'1-Input'!$B$26,0,(MAX(0,AK286-IF($A300&gt;='1-Input'!$C$12,'1-Input'!$B$12,0))-MIN(MAX(AO299,0),MAX(0,AK286-IF($A300&gt;='1-Input'!$C$12,'1-Input'!$B$12,0))))*(1/(1-'P-Parametri'!$B$6*AK300))+MIN(MAX(0,AP299-(MAX(0,AK286-IF($A300&gt;='1-Input'!$C$12,'1-Input'!$B$12,0))-MIN(MAX(AO299,0),MAX(0,AK286-IF($A300&gt;='1-Input'!$C$12,'1-Input'!$B$12,0))))*(1/(1-'P-Parametri'!$B$6*AK300))),MAX(0,2*AK286-(AO299-MIN(MAX(AO299,0),MAX(0,AK286-IF($A300&gt;='1-Input'!$C$12,'1-Input'!$B$12,0)))))*(1/(1-'P-Parametri'!$B$6*AK300))))</f>
        <v>20247.387628004075</v>
      </c>
      <c r="AM300" s="18">
        <f>IF($A300&gt;'1-Input'!$B$26,AO299,(AO299-MAX(0,AK286-IF($A300&gt;='1-Input'!$C$12,'1-Input'!$B$12,0))+AL300*(1-'P-Parametri'!$B$6*AK300))*(1+ROUND('3-Liquidita'!$F$7,4)))</f>
        <v>36764.315397069942</v>
      </c>
      <c r="AN300" s="18">
        <f>IF($A300&gt;'1-Input'!$B$26,AP299,(AP299-AL300)*(1+'5-Roberta'!$C$4))</f>
        <v>275912.66849491972</v>
      </c>
      <c r="AO300" s="18">
        <f>IF($A300&gt;'1-Input'!$B$26,AM300,AM300-'P-Parametri'!$B$8*(AN300+AM300)+MIN(MAX(AN300,0),'P-Parametri'!$B$8*(AN300+AM300)))</f>
        <v>36764.315397069942</v>
      </c>
      <c r="AP300" s="18">
        <f>IF($A300&gt;'1-Input'!$B$26,AN300,AN300-MIN(MAX(AN300,0),'P-Parametri'!$B$8*(AN300+AM300)))</f>
        <v>275287.31452713575</v>
      </c>
      <c r="AQ300" s="18">
        <f>IF($A300&gt;'1-Input'!$B$26,AQ299,AQ299-AL300*(1-AK300))</f>
        <v>155395.62820597473</v>
      </c>
    </row>
    <row r="301" spans="1:43">
      <c r="A301" s="10">
        <f>13</f>
        <v>13</v>
      </c>
      <c r="B301" s="11">
        <f>IF($A301&gt;'1-Input'!$B$26,0,IF(G300&lt;=0,0,MAX(0,(G300-H300)/G300)))</f>
        <v>0.43571422322677655</v>
      </c>
      <c r="C301" s="18">
        <f>IF($A301&gt;'1-Input'!$B$26,0,(MAX(0,B286-IF($A301&gt;='1-Input'!$C$12,'1-Input'!$B$12,0))-MIN(MAX(F300,0),MAX(0,B286-IF($A301&gt;='1-Input'!$C$12,'1-Input'!$B$12,0))))*(1/(1-'P-Parametri'!$B$6*B301))+MIN(MAX(0,G300-(MAX(0,B286-IF($A301&gt;='1-Input'!$C$12,'1-Input'!$B$12,0))-MIN(MAX(F300,0),MAX(0,B286-IF($A301&gt;='1-Input'!$C$12,'1-Input'!$B$12,0))))*(1/(1-'P-Parametri'!$B$6*B301))),MAX(0,2*B286-(F300-MIN(MAX(F300,0),MAX(0,B286-IF($A301&gt;='1-Input'!$C$12,'1-Input'!$B$12,0)))))*(1/(1-'P-Parametri'!$B$6*B301))))</f>
        <v>18575.175771085334</v>
      </c>
      <c r="D301" s="18">
        <f>IF($A301&gt;'1-Input'!$B$26,F300,(F300-MAX(0,B286-IF($A301&gt;='1-Input'!$C$12,'1-Input'!$B$12,0))+C301*(1-'P-Parametri'!$B$6*B301))*(1+ROUND('3-Liquidita'!$F$7,4)))</f>
        <v>33572.29192621589</v>
      </c>
      <c r="E301" s="18">
        <f>IF($A301&gt;'1-Input'!$B$26,G300,(G300-C301)*(1+'5-Roberta'!$C$4))</f>
        <v>294431.26278011338</v>
      </c>
      <c r="F301" s="18">
        <f>IF($A301&gt;'1-Input'!$B$26,D301,D301-'P-Parametri'!$B$8*(E301+D301)+MIN(MAX(E301,0),'P-Parametri'!$B$8*(E301+D301)))</f>
        <v>33572.29192621589</v>
      </c>
      <c r="G301" s="18">
        <f>IF($A301&gt;'1-Input'!$B$26,E301,E301-MIN(MAX(E301,0),'P-Parametri'!$B$8*(E301+D301)))</f>
        <v>293775.25567070075</v>
      </c>
      <c r="H301" s="18">
        <f>IF($A301&gt;'1-Input'!$B$26,H300,H300-C301*(1-B301))</f>
        <v>161304.24643125955</v>
      </c>
      <c r="I301" s="11">
        <f>IF($A301&gt;'1-Input'!$B$26,0,IF(N300&lt;=0,0,MAX(0,(N300-O300)/N300)))</f>
        <v>0.43493848781261452</v>
      </c>
      <c r="J301" s="18">
        <f>IF($A301&gt;'1-Input'!$B$26,0,(MAX(0,I286-IF($A301&gt;='1-Input'!$C$12,'1-Input'!$B$12,0))-MIN(MAX(M300,0),MAX(0,I286-IF($A301&gt;='1-Input'!$C$12,'1-Input'!$B$12,0))))*(1/(1-'P-Parametri'!$B$6*I301))+MIN(MAX(0,N300-(MAX(0,I286-IF($A301&gt;='1-Input'!$C$12,'1-Input'!$B$12,0))-MIN(MAX(M300,0),MAX(0,I286-IF($A301&gt;='1-Input'!$C$12,'1-Input'!$B$12,0))))*(1/(1-'P-Parametri'!$B$6*I301))),MAX(0,2*I286-(M300-MIN(MAX(M300,0),MAX(0,I286-IF($A301&gt;='1-Input'!$C$12,'1-Input'!$B$12,0)))))*(1/(1-'P-Parametri'!$B$6*I301))))</f>
        <v>24435.462683888065</v>
      </c>
      <c r="K301" s="18">
        <f>IF($A301&gt;'1-Input'!$B$26,M300,(M300-MAX(0,I286-IF($A301&gt;='1-Input'!$C$12,'1-Input'!$B$12,0))+J301*(1-'P-Parametri'!$B$6*I301))*(1+ROUND('3-Liquidita'!$F$7,4)))</f>
        <v>44174.068323968284</v>
      </c>
      <c r="L301" s="18">
        <f>IF($A301&gt;'1-Input'!$B$26,N300,(N300-J301)*(1+'5-Roberta'!$C$4))</f>
        <v>188703.19129506609</v>
      </c>
      <c r="M301" s="18">
        <f>IF($A301&gt;'1-Input'!$B$26,K301,K301-'P-Parametri'!$B$8*(L301+K301)+MIN(MAX(L301,0),'P-Parametri'!$B$8*(L301+K301)))</f>
        <v>44174.068323968284</v>
      </c>
      <c r="N301" s="18">
        <f>IF($A301&gt;'1-Input'!$B$26,L301,L301-MIN(MAX(L301,0),'P-Parametri'!$B$8*(L301+K301)))</f>
        <v>188237.43677582801</v>
      </c>
      <c r="O301" s="18">
        <f>IF($A301&gt;'1-Input'!$B$26,O300,O300-J301*(1-I301))</f>
        <v>103523.21420172381</v>
      </c>
      <c r="P301" s="11">
        <f>IF($A301&gt;'1-Input'!$B$26,0,IF(U300&lt;=0,0,MAX(0,(U300-V300)/U300)))</f>
        <v>0.43548279254091793</v>
      </c>
      <c r="Q301" s="18">
        <f>IF($A301&gt;'1-Input'!$B$26,0,(MAX(0,P286-IF($A301&gt;='1-Input'!$C$12,'1-Input'!$B$12,0))-MIN(MAX(T300,0),MAX(0,P286-IF($A301&gt;='1-Input'!$C$12,'1-Input'!$B$12,0))))*(1/(1-'P-Parametri'!$B$6*P301))+MIN(MAX(0,U300-(MAX(0,P286-IF($A301&gt;='1-Input'!$C$12,'1-Input'!$B$12,0))-MIN(MAX(T300,0),MAX(0,P286-IF($A301&gt;='1-Input'!$C$12,'1-Input'!$B$12,0))))*(1/(1-'P-Parametri'!$B$6*P301))),MAX(0,2*P286-(T300-MIN(MAX(T300,0),MAX(0,P286-IF($A301&gt;='1-Input'!$C$12,'1-Input'!$B$12,0)))))*(1/(1-'P-Parametri'!$B$6*P301))))</f>
        <v>20604.253000333894</v>
      </c>
      <c r="R301" s="18">
        <f>IF($A301&gt;'1-Input'!$B$26,T300,(T300-MAX(0,P286-IF($A301&gt;='1-Input'!$C$12,'1-Input'!$B$12,0))+Q301*(1-'P-Parametri'!$B$6*P301))*(1+ROUND('3-Liquidita'!$F$7,4)))</f>
        <v>37242.120653556602</v>
      </c>
      <c r="S301" s="18">
        <f>IF($A301&gt;'1-Input'!$B$26,U300,(U300-Q301)*(1+'5-Roberta'!$C$4))</f>
        <v>257830.4197301715</v>
      </c>
      <c r="T301" s="18">
        <f>IF($A301&gt;'1-Input'!$B$26,R301,R301-'P-Parametri'!$B$8*(S301+R301)+MIN(MAX(S301,0),'P-Parametri'!$B$8*(S301+R301)))</f>
        <v>37242.120653556602</v>
      </c>
      <c r="U301" s="18">
        <f>IF($A301&gt;'1-Input'!$B$26,S301,S301-MIN(MAX(S301,0),'P-Parametri'!$B$8*(S301+R301)))</f>
        <v>257240.27464940405</v>
      </c>
      <c r="V301" s="18">
        <f>IF($A301&gt;'1-Input'!$B$26,V300,V300-Q301*(1-P301))</f>
        <v>141310.39664473731</v>
      </c>
      <c r="W301" s="11">
        <f>IF($A301&gt;'1-Input'!$B$26,0,IF(AB300&lt;=0,0,MAX(0,(AB300-AC300)/AB300)))</f>
        <v>0.43551319802097377</v>
      </c>
      <c r="X301" s="18">
        <f>IF($A301&gt;'1-Input'!$B$26,0,(MAX(0,W286-IF($A301&gt;='1-Input'!$C$12,'1-Input'!$B$12,0))-MIN(MAX(AA300,0),MAX(0,W286-IF($A301&gt;='1-Input'!$C$12,'1-Input'!$B$12,0))))*(1/(1-'P-Parametri'!$B$6*W301))+MIN(MAX(0,AB300-(MAX(0,W286-IF($A301&gt;='1-Input'!$C$12,'1-Input'!$B$12,0))-MIN(MAX(AA300,0),MAX(0,W286-IF($A301&gt;='1-Input'!$C$12,'1-Input'!$B$12,0))))*(1/(1-'P-Parametri'!$B$6*W301))),MAX(0,2*W286-(AA300-MIN(MAX(AA300,0),MAX(0,W286-IF($A301&gt;='1-Input'!$C$12,'1-Input'!$B$12,0)))))*(1/(1-'P-Parametri'!$B$6*W301))))</f>
        <v>20353.049384770664</v>
      </c>
      <c r="Y301" s="18">
        <f>IF($A301&gt;'1-Input'!$B$26,AA300,(AA300-MAX(0,W286-IF($A301&gt;='1-Input'!$C$12,'1-Input'!$B$12,0))+X301*(1-'P-Parametri'!$B$6*W301))*(1+ROUND('3-Liquidita'!$F$7,4)))</f>
        <v>36787.742972329666</v>
      </c>
      <c r="Z301" s="18">
        <f>IF($A301&gt;'1-Input'!$B$26,AB300,(AB300-X301)*(1+'5-Roberta'!$C$4))</f>
        <v>262361.98648458062</v>
      </c>
      <c r="AA301" s="18">
        <f>IF($A301&gt;'1-Input'!$B$26,Y301,Y301-'P-Parametri'!$B$8*(Z301+Y301)+MIN(MAX(Z301,0),'P-Parametri'!$B$8*(Z301+Y301)))</f>
        <v>36787.742972329666</v>
      </c>
      <c r="AB301" s="18">
        <f>IF($A301&gt;'1-Input'!$B$26,Z301,Z301-MIN(MAX(Z301,0),'P-Parametri'!$B$8*(Z301+Y301)))</f>
        <v>261763.68702566679</v>
      </c>
      <c r="AC301" s="18">
        <f>IF($A301&gt;'1-Input'!$B$26,AC300,AC300-X301*(1-W301))</f>
        <v>143786.29001120914</v>
      </c>
      <c r="AD301" s="11">
        <f>IF($A301&gt;'1-Input'!$B$26,0,IF(AI300&lt;=0,0,MAX(0,(AI300-AJ300)/AI300)))</f>
        <v>0.43551474657106781</v>
      </c>
      <c r="AE301" s="18">
        <f>IF($A301&gt;'1-Input'!$B$26,0,(MAX(0,AD286-IF($A301&gt;='1-Input'!$C$12,'1-Input'!$B$12,0))-MIN(MAX(AH300,0),MAX(0,AD286-IF($A301&gt;='1-Input'!$C$12,'1-Input'!$B$12,0))))*(1/(1-'P-Parametri'!$B$6*AD301))+MIN(MAX(0,AI300-(MAX(0,AD286-IF($A301&gt;='1-Input'!$C$12,'1-Input'!$B$12,0))-MIN(MAX(AH300,0),MAX(0,AD286-IF($A301&gt;='1-Input'!$C$12,'1-Input'!$B$12,0))))*(1/(1-'P-Parametri'!$B$6*AD301))),MAX(0,2*AD286-(AH300-MIN(MAX(AH300,0),MAX(0,AD286-IF($A301&gt;='1-Input'!$C$12,'1-Input'!$B$12,0)))))*(1/(1-'P-Parametri'!$B$6*AD301))))</f>
        <v>20340.136610335237</v>
      </c>
      <c r="AF301" s="18">
        <f>IF($A301&gt;'1-Input'!$B$26,AH300,(AH300-MAX(0,AD286-IF($A301&gt;='1-Input'!$C$12,'1-Input'!$B$12,0))+AE301*(1-'P-Parametri'!$B$6*AD301))*(1+ROUND('3-Liquidita'!$F$7,4)))</f>
        <v>36764.386690049425</v>
      </c>
      <c r="AG301" s="18">
        <f>IF($A301&gt;'1-Input'!$B$26,AI300,(AI300-AE301)*(1+'5-Roberta'!$C$4))</f>
        <v>262594.92283417442</v>
      </c>
      <c r="AH301" s="18">
        <f>IF($A301&gt;'1-Input'!$B$26,AF301,AF301-'P-Parametri'!$B$8*(AG301+AF301)+MIN(MAX(AG301,0),'P-Parametri'!$B$8*(AG301+AF301)))</f>
        <v>36764.386690049425</v>
      </c>
      <c r="AI301" s="18">
        <f>IF($A301&gt;'1-Input'!$B$26,AG301,AG301-MIN(MAX(AG301,0),'P-Parametri'!$B$8*(AG301+AF301)))</f>
        <v>261996.20421512597</v>
      </c>
      <c r="AJ301" s="18">
        <f>IF($A301&gt;'1-Input'!$B$26,AJ300,AJ300-AE301*(1-AD301))</f>
        <v>143913.55491766974</v>
      </c>
      <c r="AK301" s="11">
        <f>IF($A301&gt;'1-Input'!$B$26,0,IF(AP300&lt;=0,0,MAX(0,(AP300-AQ300)/AP300)))</f>
        <v>0.43551475129575212</v>
      </c>
      <c r="AL301" s="18">
        <f>IF($A301&gt;'1-Input'!$B$26,0,(MAX(0,AK286-IF($A301&gt;='1-Input'!$C$12,'1-Input'!$B$12,0))-MIN(MAX(AO300,0),MAX(0,AK286-IF($A301&gt;='1-Input'!$C$12,'1-Input'!$B$12,0))))*(1/(1-'P-Parametri'!$B$6*AK301))+MIN(MAX(0,AP300-(MAX(0,AK286-IF($A301&gt;='1-Input'!$C$12,'1-Input'!$B$12,0))-MIN(MAX(AO300,0),MAX(0,AK286-IF($A301&gt;='1-Input'!$C$12,'1-Input'!$B$12,0))))*(1/(1-'P-Parametri'!$B$6*AK301))),MAX(0,2*AK286-(AO300-MIN(MAX(AO300,0),MAX(0,AK286-IF($A301&gt;='1-Input'!$C$12,'1-Input'!$B$12,0)))))*(1/(1-'P-Parametri'!$B$6*AK301))))</f>
        <v>20340.097195206265</v>
      </c>
      <c r="AM301" s="18">
        <f>IF($A301&gt;'1-Input'!$B$26,AO300,(AO300-MAX(0,AK286-IF($A301&gt;='1-Input'!$C$12,'1-Input'!$B$12,0))+AL301*(1-'P-Parametri'!$B$6*AK301))*(1+ROUND('3-Liquidita'!$F$7,4)))</f>
        <v>36764.315397069942</v>
      </c>
      <c r="AN301" s="18">
        <f>IF($A301&gt;'1-Input'!$B$26,AP300,(AP300-AL301)*(1+'5-Roberta'!$C$4))</f>
        <v>262595.63385188737</v>
      </c>
      <c r="AO301" s="18">
        <f>IF($A301&gt;'1-Input'!$B$26,AM301,AM301-'P-Parametri'!$B$8*(AN301+AM301)+MIN(MAX(AN301,0),'P-Parametri'!$B$8*(AN301+AM301)))</f>
        <v>36764.315397069942</v>
      </c>
      <c r="AP301" s="18">
        <f>IF($A301&gt;'1-Input'!$B$26,AN301,AN301-MIN(MAX(AN301,0),'P-Parametri'!$B$8*(AN301+AM301)))</f>
        <v>261996.91395338945</v>
      </c>
      <c r="AQ301" s="18">
        <f>IF($A301&gt;'1-Input'!$B$26,AQ300,AQ300-AL301*(1-AK301))</f>
        <v>143913.94338207014</v>
      </c>
    </row>
    <row r="302" spans="1:43">
      <c r="A302" s="10">
        <f>14</f>
        <v>14</v>
      </c>
      <c r="B302" s="11">
        <f>IF($A302&gt;'1-Input'!$B$26,0,IF(G301&lt;=0,0,MAX(0,(G301-H301)/G301)))</f>
        <v>0.45092636865213354</v>
      </c>
      <c r="C302" s="18">
        <f>IF($A302&gt;'1-Input'!$B$26,0,(MAX(0,B286-IF($A302&gt;='1-Input'!$C$12,'1-Input'!$B$12,0))-MIN(MAX(F301,0),MAX(0,B286-IF($A302&gt;='1-Input'!$C$12,'1-Input'!$B$12,0))))*(1/(1-'P-Parametri'!$B$6*B302))+MIN(MAX(0,G301-(MAX(0,B286-IF($A302&gt;='1-Input'!$C$12,'1-Input'!$B$12,0))-MIN(MAX(F301,0),MAX(0,B286-IF($A302&gt;='1-Input'!$C$12,'1-Input'!$B$12,0))))*(1/(1-'P-Parametri'!$B$6*B302))),MAX(0,2*B286-(F301-MIN(MAX(F301,0),MAX(0,B286-IF($A302&gt;='1-Input'!$C$12,'1-Input'!$B$12,0)))))*(1/(1-'P-Parametri'!$B$6*B302))))</f>
        <v>18658.400909019016</v>
      </c>
      <c r="D302" s="18">
        <f>IF($A302&gt;'1-Input'!$B$26,F301,(F301-MAX(0,B286-IF($A302&gt;='1-Input'!$C$12,'1-Input'!$B$12,0))+C302*(1-'P-Parametri'!$B$6*B302))*(1+ROUND('3-Liquidita'!$F$7,4)))</f>
        <v>33572.29192621589</v>
      </c>
      <c r="E302" s="18">
        <f>IF($A302&gt;'1-Input'!$B$26,G301,(G301-C302)*(1+'5-Roberta'!$C$4))</f>
        <v>283370.36040453223</v>
      </c>
      <c r="F302" s="18">
        <f>IF($A302&gt;'1-Input'!$B$26,D302,D302-'P-Parametri'!$B$8*(E302+D302)+MIN(MAX(E302,0),'P-Parametri'!$B$8*(E302+D302)))</f>
        <v>33572.29192621589</v>
      </c>
      <c r="G302" s="18">
        <f>IF($A302&gt;'1-Input'!$B$26,E302,E302-MIN(MAX(E302,0),'P-Parametri'!$B$8*(E302+D302)))</f>
        <v>282736.47509987076</v>
      </c>
      <c r="H302" s="18">
        <f>IF($A302&gt;'1-Input'!$B$26,H301,H301-C302*(1-B302))</f>
        <v>151059.41048900015</v>
      </c>
      <c r="I302" s="11">
        <f>IF($A302&gt;'1-Input'!$B$26,0,IF(N301&lt;=0,0,MAX(0,(N301-O301)/N301)))</f>
        <v>0.45003918468668047</v>
      </c>
      <c r="J302" s="18">
        <f>IF($A302&gt;'1-Input'!$B$26,0,(MAX(0,I286-IF($A302&gt;='1-Input'!$C$12,'1-Input'!$B$12,0))-MIN(MAX(M301,0),MAX(0,I286-IF($A302&gt;='1-Input'!$C$12,'1-Input'!$B$12,0))))*(1/(1-'P-Parametri'!$B$6*I302))+MIN(MAX(0,N301-(MAX(0,I286-IF($A302&gt;='1-Input'!$C$12,'1-Input'!$B$12,0))-MIN(MAX(M301,0),MAX(0,I286-IF($A302&gt;='1-Input'!$C$12,'1-Input'!$B$12,0))))*(1/(1-'P-Parametri'!$B$6*I302))),MAX(0,2*I286-(M301-MIN(MAX(M301,0),MAX(0,I286-IF($A302&gt;='1-Input'!$C$12,'1-Input'!$B$12,0)))))*(1/(1-'P-Parametri'!$B$6*I302))))</f>
        <v>24544.114055160539</v>
      </c>
      <c r="K302" s="18">
        <f>IF($A302&gt;'1-Input'!$B$26,M301,(M301-MAX(0,I286-IF($A302&gt;='1-Input'!$C$12,'1-Input'!$B$12,0))+J302*(1-'P-Parametri'!$B$6*I302))*(1+ROUND('3-Liquidita'!$F$7,4)))</f>
        <v>44174.068323968284</v>
      </c>
      <c r="L302" s="18">
        <f>IF($A302&gt;'1-Input'!$B$26,N301,(N301-J302)*(1+'5-Roberta'!$C$4))</f>
        <v>168604.1224022875</v>
      </c>
      <c r="M302" s="18">
        <f>IF($A302&gt;'1-Input'!$B$26,K302,K302-'P-Parametri'!$B$8*(L302+K302)+MIN(MAX(L302,0),'P-Parametri'!$B$8*(L302+K302)))</f>
        <v>44174.068323968284</v>
      </c>
      <c r="N302" s="18">
        <f>IF($A302&gt;'1-Input'!$B$26,L302,L302-MIN(MAX(L302,0),'P-Parametri'!$B$8*(L302+K302)))</f>
        <v>168178.56602083499</v>
      </c>
      <c r="O302" s="18">
        <f>IF($A302&gt;'1-Input'!$B$26,O301,O301-J302*(1-I302))</f>
        <v>90024.913224804608</v>
      </c>
      <c r="P302" s="11">
        <f>IF($A302&gt;'1-Input'!$B$26,0,IF(U301&lt;=0,0,MAX(0,(U301-V301)/U301)))</f>
        <v>0.45066768087800019</v>
      </c>
      <c r="Q302" s="18">
        <f>IF($A302&gt;'1-Input'!$B$26,0,(MAX(0,P286-IF($A302&gt;='1-Input'!$C$12,'1-Input'!$B$12,0))-MIN(MAX(T301,0),MAX(0,P286-IF($A302&gt;='1-Input'!$C$12,'1-Input'!$B$12,0))))*(1/(1-'P-Parametri'!$B$6*P302))+MIN(MAX(0,U301-(MAX(0,P286-IF($A302&gt;='1-Input'!$C$12,'1-Input'!$B$12,0))-MIN(MAX(T301,0),MAX(0,P286-IF($A302&gt;='1-Input'!$C$12,'1-Input'!$B$12,0))))*(1/(1-'P-Parametri'!$B$6*P302))),MAX(0,2*P286-(T301-MIN(MAX(T301,0),MAX(0,P286-IF($A302&gt;='1-Input'!$C$12,'1-Input'!$B$12,0)))))*(1/(1-'P-Parametri'!$B$6*P302))))</f>
        <v>20696.396883668982</v>
      </c>
      <c r="R302" s="18">
        <f>IF($A302&gt;'1-Input'!$B$26,T301,(T301-MAX(0,P286-IF($A302&gt;='1-Input'!$C$12,'1-Input'!$B$12,0))+Q302*(1-'P-Parametri'!$B$6*P302))*(1+ROUND('3-Liquidita'!$F$7,4)))</f>
        <v>37242.120653556602</v>
      </c>
      <c r="S302" s="18">
        <f>IF($A302&gt;'1-Input'!$B$26,U301,(U301-Q302)*(1+'5-Roberta'!$C$4))</f>
        <v>243640.19409870711</v>
      </c>
      <c r="T302" s="18">
        <f>IF($A302&gt;'1-Input'!$B$26,R302,R302-'P-Parametri'!$B$8*(S302+R302)+MIN(MAX(S302,0),'P-Parametri'!$B$8*(S302+R302)))</f>
        <v>37242.120653556602</v>
      </c>
      <c r="U302" s="18">
        <f>IF($A302&gt;'1-Input'!$B$26,S302,S302-MIN(MAX(S302,0),'P-Parametri'!$B$8*(S302+R302)))</f>
        <v>243078.42946920259</v>
      </c>
      <c r="V302" s="18">
        <f>IF($A302&gt;'1-Input'!$B$26,V301,V301-Q302*(1-P302))</f>
        <v>129941.1969471621</v>
      </c>
      <c r="W302" s="11">
        <f>IF($A302&gt;'1-Input'!$B$26,0,IF(AB301&lt;=0,0,MAX(0,(AB301-AC301)/AB301)))</f>
        <v>0.45070192261957853</v>
      </c>
      <c r="X302" s="18">
        <f>IF($A302&gt;'1-Input'!$B$26,0,(MAX(0,W286-IF($A302&gt;='1-Input'!$C$12,'1-Input'!$B$12,0))-MIN(MAX(AA301,0),MAX(0,W286-IF($A302&gt;='1-Input'!$C$12,'1-Input'!$B$12,0))))*(1/(1-'P-Parametri'!$B$6*W302))+MIN(MAX(0,AB301-(MAX(0,W286-IF($A302&gt;='1-Input'!$C$12,'1-Input'!$B$12,0))-MIN(MAX(AA301,0),MAX(0,W286-IF($A302&gt;='1-Input'!$C$12,'1-Input'!$B$12,0))))*(1/(1-'P-Parametri'!$B$6*W302))),MAX(0,2*W286-(AA301-MIN(MAX(AA301,0),MAX(0,W286-IF($A302&gt;='1-Input'!$C$12,'1-Input'!$B$12,0)))))*(1/(1-'P-Parametri'!$B$6*W302))))</f>
        <v>20444.093778509356</v>
      </c>
      <c r="Y302" s="18">
        <f>IF($A302&gt;'1-Input'!$B$26,AA301,(AA301-MAX(0,W286-IF($A302&gt;='1-Input'!$C$12,'1-Input'!$B$12,0))+X302*(1-'P-Parametri'!$B$6*W302))*(1+ROUND('3-Liquidita'!$F$7,4)))</f>
        <v>36787.742972329659</v>
      </c>
      <c r="Z302" s="18">
        <f>IF($A302&gt;'1-Input'!$B$26,AB301,(AB301-X302)*(1+'5-Roberta'!$C$4))</f>
        <v>248559.18104457215</v>
      </c>
      <c r="AA302" s="18">
        <f>IF($A302&gt;'1-Input'!$B$26,Y302,Y302-'P-Parametri'!$B$8*(Z302+Y302)+MIN(MAX(Z302,0),'P-Parametri'!$B$8*(Z302+Y302)))</f>
        <v>36787.742972329659</v>
      </c>
      <c r="AB302" s="18">
        <f>IF($A302&gt;'1-Input'!$B$26,Z302,Z302-MIN(MAX(Z302,0),'P-Parametri'!$B$8*(Z302+Y302)))</f>
        <v>247988.48719653834</v>
      </c>
      <c r="AC302" s="18">
        <f>IF($A302&gt;'1-Input'!$B$26,AC301,AC301-X302*(1-W302))</f>
        <v>132556.38860488893</v>
      </c>
      <c r="AD302" s="11">
        <f>IF($A302&gt;'1-Input'!$B$26,0,IF(AI301&lt;=0,0,MAX(0,(AI301-AJ301)/AI301)))</f>
        <v>0.45070366439545118</v>
      </c>
      <c r="AE302" s="18">
        <f>IF($A302&gt;'1-Input'!$B$26,0,(MAX(0,AD286-IF($A302&gt;='1-Input'!$C$12,'1-Input'!$B$12,0))-MIN(MAX(AH301,0),MAX(0,AD286-IF($A302&gt;='1-Input'!$C$12,'1-Input'!$B$12,0))))*(1/(1-'P-Parametri'!$B$6*AD302))+MIN(MAX(0,AI301-(MAX(0,AD286-IF($A302&gt;='1-Input'!$C$12,'1-Input'!$B$12,0))-MIN(MAX(AH301,0),MAX(0,AD286-IF($A302&gt;='1-Input'!$C$12,'1-Input'!$B$12,0))))*(1/(1-'P-Parametri'!$B$6*AD302))),MAX(0,2*AD286-(AH301-MIN(MAX(AH301,0),MAX(0,AD286-IF($A302&gt;='1-Input'!$C$12,'1-Input'!$B$12,0)))))*(1/(1-'P-Parametri'!$B$6*AD302))))</f>
        <v>20431.124446107613</v>
      </c>
      <c r="AF302" s="18">
        <f>IF($A302&gt;'1-Input'!$B$26,AH301,(AH301-MAX(0,AD286-IF($A302&gt;='1-Input'!$C$12,'1-Input'!$B$12,0))+AE302*(1-'P-Parametri'!$B$6*AD302))*(1+ROUND('3-Liquidita'!$F$7,4)))</f>
        <v>36764.386690049425</v>
      </c>
      <c r="AG302" s="18">
        <f>IF($A302&gt;'1-Input'!$B$26,AI301,(AI301-AE302)*(1+'5-Roberta'!$C$4))</f>
        <v>248812.0321620889</v>
      </c>
      <c r="AH302" s="18">
        <f>IF($A302&gt;'1-Input'!$B$26,AF302,AF302-'P-Parametri'!$B$8*(AG302+AF302)+MIN(MAX(AG302,0),'P-Parametri'!$B$8*(AG302+AF302)))</f>
        <v>36764.386690049425</v>
      </c>
      <c r="AI302" s="18">
        <f>IF($A302&gt;'1-Input'!$B$26,AG302,AG302-MIN(MAX(AG302,0),'P-Parametri'!$B$8*(AG302+AF302)))</f>
        <v>248240.87932438462</v>
      </c>
      <c r="AJ302" s="18">
        <f>IF($A302&gt;'1-Input'!$B$26,AJ301,AJ301-AE302*(1-AD302))</f>
        <v>132690.81312714232</v>
      </c>
      <c r="AK302" s="11">
        <f>IF($A302&gt;'1-Input'!$B$26,0,IF(AP301&lt;=0,0,MAX(0,(AP301-AQ301)/AP301)))</f>
        <v>0.45070366970935716</v>
      </c>
      <c r="AL302" s="18">
        <f>IF($A302&gt;'1-Input'!$B$26,0,(MAX(0,AK286-IF($A302&gt;='1-Input'!$C$12,'1-Input'!$B$12,0))-MIN(MAX(AO301,0),MAX(0,AK286-IF($A302&gt;='1-Input'!$C$12,'1-Input'!$B$12,0))))*(1/(1-'P-Parametri'!$B$6*AK302))+MIN(MAX(0,AP301-(MAX(0,AK286-IF($A302&gt;='1-Input'!$C$12,'1-Input'!$B$12,0))-MIN(MAX(AO301,0),MAX(0,AK286-IF($A302&gt;='1-Input'!$C$12,'1-Input'!$B$12,0))))*(1/(1-'P-Parametri'!$B$6*AK302))),MAX(0,2*AK286-(AO301-MIN(MAX(AO301,0),MAX(0,AK286-IF($A302&gt;='1-Input'!$C$12,'1-Input'!$B$12,0)))))*(1/(1-'P-Parametri'!$B$6*AK302))))</f>
        <v>20431.084858334427</v>
      </c>
      <c r="AM302" s="18">
        <f>IF($A302&gt;'1-Input'!$B$26,AO301,(AO301-MAX(0,AK286-IF($A302&gt;='1-Input'!$C$12,'1-Input'!$B$12,0))+AL302*(1-'P-Parametri'!$B$6*AK302))*(1+ROUND('3-Liquidita'!$F$7,4)))</f>
        <v>36764.315397069942</v>
      </c>
      <c r="AN302" s="18">
        <f>IF($A302&gt;'1-Input'!$B$26,AP301,(AP301-AL302)*(1+'5-Roberta'!$C$4))</f>
        <v>248812.80396790669</v>
      </c>
      <c r="AO302" s="18">
        <f>IF($A302&gt;'1-Input'!$B$26,AM302,AM302-'P-Parametri'!$B$8*(AN302+AM302)+MIN(MAX(AN302,0),'P-Parametri'!$B$8*(AN302+AM302)))</f>
        <v>36764.315397069942</v>
      </c>
      <c r="AP302" s="18">
        <f>IF($A302&gt;'1-Input'!$B$26,AN302,AN302-MIN(MAX(AN302,0),'P-Parametri'!$B$8*(AN302+AM302)))</f>
        <v>248241.64972917674</v>
      </c>
      <c r="AQ302" s="18">
        <f>IF($A302&gt;'1-Input'!$B$26,AQ301,AQ301-AL302*(1-AK302))</f>
        <v>132691.22344553031</v>
      </c>
    </row>
    <row r="303" spans="1:43">
      <c r="A303" s="10">
        <f>15</f>
        <v>15</v>
      </c>
      <c r="B303" s="11">
        <f>IF($A303&gt;'1-Input'!$B$26,0,IF(G302&lt;=0,0,MAX(0,(G302-H302)/G302)))</f>
        <v>0.46572365509033964</v>
      </c>
      <c r="C303" s="18">
        <f>IF($A303&gt;'1-Input'!$B$26,0,(MAX(0,B286-IF($A303&gt;='1-Input'!$C$12,'1-Input'!$B$12,0))-MIN(MAX(F302,0),MAX(0,B286-IF($A303&gt;='1-Input'!$C$12,'1-Input'!$B$12,0))))*(1/(1-'P-Parametri'!$B$6*B303))+MIN(MAX(0,G302-(MAX(0,B286-IF($A303&gt;='1-Input'!$C$12,'1-Input'!$B$12,0))-MIN(MAX(F302,0),MAX(0,B286-IF($A303&gt;='1-Input'!$C$12,'1-Input'!$B$12,0))))*(1/(1-'P-Parametri'!$B$6*B303))),MAX(0,2*B286-(F302-MIN(MAX(F302,0),MAX(0,B286-IF($A303&gt;='1-Input'!$C$12,'1-Input'!$B$12,0)))))*(1/(1-'P-Parametri'!$B$6*B303))))</f>
        <v>18740.07504134085</v>
      </c>
      <c r="D303" s="18">
        <f>IF($A303&gt;'1-Input'!$B$26,F302,(F302-MAX(0,B286-IF($A303&gt;='1-Input'!$C$12,'1-Input'!$B$12,0))+C303*(1-'P-Parametri'!$B$6*B303))*(1+ROUND('3-Liquidita'!$F$7,4)))</f>
        <v>33572.29192621589</v>
      </c>
      <c r="E303" s="18">
        <f>IF($A303&gt;'1-Input'!$B$26,G302,(G302-C303)*(1+'5-Roberta'!$C$4))</f>
        <v>271916.29206028581</v>
      </c>
      <c r="F303" s="18">
        <f>IF($A303&gt;'1-Input'!$B$26,D303,D303-'P-Parametri'!$B$8*(E303+D303)+MIN(MAX(E303,0),'P-Parametri'!$B$8*(E303+D303)))</f>
        <v>33572.29192621589</v>
      </c>
      <c r="G303" s="18">
        <f>IF($A303&gt;'1-Input'!$B$26,E303,E303-MIN(MAX(E303,0),'P-Parametri'!$B$8*(E303+D303)))</f>
        <v>271305.3148923128</v>
      </c>
      <c r="H303" s="18">
        <f>IF($A303&gt;'1-Input'!$B$26,H302,H302-C303*(1-B303))</f>
        <v>141047.0316925798</v>
      </c>
      <c r="I303" s="11">
        <f>IF($A303&gt;'1-Input'!$B$26,0,IF(N302&lt;=0,0,MAX(0,(N302-O302)/N302)))</f>
        <v>0.4647063811113018</v>
      </c>
      <c r="J303" s="18">
        <f>IF($A303&gt;'1-Input'!$B$26,0,(MAX(0,I286-IF($A303&gt;='1-Input'!$C$12,'1-Input'!$B$12,0))-MIN(MAX(M302,0),MAX(0,I286-IF($A303&gt;='1-Input'!$C$12,'1-Input'!$B$12,0))))*(1/(1-'P-Parametri'!$B$6*I303))+MIN(MAX(0,N302-(MAX(0,I286-IF($A303&gt;='1-Input'!$C$12,'1-Input'!$B$12,0))-MIN(MAX(M302,0),MAX(0,I286-IF($A303&gt;='1-Input'!$C$12,'1-Input'!$B$12,0))))*(1/(1-'P-Parametri'!$B$6*I303))),MAX(0,2*I286-(M302-MIN(MAX(M302,0),MAX(0,I286-IF($A303&gt;='1-Input'!$C$12,'1-Input'!$B$12,0)))))*(1/(1-'P-Parametri'!$B$6*I303))))</f>
        <v>24650.575369623344</v>
      </c>
      <c r="K303" s="18">
        <f>IF($A303&gt;'1-Input'!$B$26,M302,(M302-MAX(0,I286-IF($A303&gt;='1-Input'!$C$12,'1-Input'!$B$12,0))+J303*(1-'P-Parametri'!$B$6*I303))*(1+ROUND('3-Liquidita'!$F$7,4)))</f>
        <v>44174.068323968284</v>
      </c>
      <c r="L303" s="18">
        <f>IF($A303&gt;'1-Input'!$B$26,N302,(N302-J303)*(1+'5-Roberta'!$C$4))</f>
        <v>147833.83037074801</v>
      </c>
      <c r="M303" s="18">
        <f>IF($A303&gt;'1-Input'!$B$26,K303,K303-'P-Parametri'!$B$8*(L303+K303)+MIN(MAX(L303,0),'P-Parametri'!$B$8*(L303+K303)))</f>
        <v>44174.068323968284</v>
      </c>
      <c r="N303" s="18">
        <f>IF($A303&gt;'1-Input'!$B$26,L303,L303-MIN(MAX(L303,0),'P-Parametri'!$B$8*(L303+K303)))</f>
        <v>147449.81457335857</v>
      </c>
      <c r="O303" s="18">
        <f>IF($A303&gt;'1-Input'!$B$26,O302,O302-J303*(1-I303))</f>
        <v>76829.617527510316</v>
      </c>
      <c r="P303" s="11">
        <f>IF($A303&gt;'1-Input'!$B$26,0,IF(U302&lt;=0,0,MAX(0,(U302-V302)/U302)))</f>
        <v>0.4654350975077971</v>
      </c>
      <c r="Q303" s="18">
        <f>IF($A303&gt;'1-Input'!$B$26,0,(MAX(0,P286-IF($A303&gt;='1-Input'!$C$12,'1-Input'!$B$12,0))-MIN(MAX(T302,0),MAX(0,P286-IF($A303&gt;='1-Input'!$C$12,'1-Input'!$B$12,0))))*(1/(1-'P-Parametri'!$B$6*P303))+MIN(MAX(0,U302-(MAX(0,P286-IF($A303&gt;='1-Input'!$C$12,'1-Input'!$B$12,0))-MIN(MAX(T302,0),MAX(0,P286-IF($A303&gt;='1-Input'!$C$12,'1-Input'!$B$12,0))))*(1/(1-'P-Parametri'!$B$6*P303))),MAX(0,2*P286-(T302-MIN(MAX(T302,0),MAX(0,P286-IF($A303&gt;='1-Input'!$C$12,'1-Input'!$B$12,0)))))*(1/(1-'P-Parametri'!$B$6*P303))))</f>
        <v>20786.801421354696</v>
      </c>
      <c r="R303" s="18">
        <f>IF($A303&gt;'1-Input'!$B$26,T302,(T302-MAX(0,P286-IF($A303&gt;='1-Input'!$C$12,'1-Input'!$B$12,0))+Q303*(1-'P-Parametri'!$B$6*P303))*(1+ROUND('3-Liquidita'!$F$7,4)))</f>
        <v>37242.120653556594</v>
      </c>
      <c r="S303" s="18">
        <f>IF($A303&gt;'1-Input'!$B$26,U302,(U302-Q303)*(1+'5-Roberta'!$C$4))</f>
        <v>228960.37688928333</v>
      </c>
      <c r="T303" s="18">
        <f>IF($A303&gt;'1-Input'!$B$26,R303,R303-'P-Parametri'!$B$8*(S303+R303)+MIN(MAX(S303,0),'P-Parametri'!$B$8*(S303+R303)))</f>
        <v>37242.120653556594</v>
      </c>
      <c r="U303" s="18">
        <f>IF($A303&gt;'1-Input'!$B$26,S303,S303-MIN(MAX(S303,0),'P-Parametri'!$B$8*(S303+R303)))</f>
        <v>228427.97189419766</v>
      </c>
      <c r="V303" s="18">
        <f>IF($A303&gt;'1-Input'!$B$26,V302,V302-Q303*(1-P303))</f>
        <v>118829.30247223083</v>
      </c>
      <c r="W303" s="11">
        <f>IF($A303&gt;'1-Input'!$B$26,0,IF(AB302&lt;=0,0,MAX(0,(AB302-AC302)/AB302)))</f>
        <v>0.46547361894331007</v>
      </c>
      <c r="X303" s="18">
        <f>IF($A303&gt;'1-Input'!$B$26,0,(MAX(0,W286-IF($A303&gt;='1-Input'!$C$12,'1-Input'!$B$12,0))-MIN(MAX(AA302,0),MAX(0,W286-IF($A303&gt;='1-Input'!$C$12,'1-Input'!$B$12,0))))*(1/(1-'P-Parametri'!$B$6*W303))+MIN(MAX(0,AB302-(MAX(0,W286-IF($A303&gt;='1-Input'!$C$12,'1-Input'!$B$12,0))-MIN(MAX(AA302,0),MAX(0,W286-IF($A303&gt;='1-Input'!$C$12,'1-Input'!$B$12,0))))*(1/(1-'P-Parametri'!$B$6*W303))),MAX(0,2*W286-(AA302-MIN(MAX(AA302,0),MAX(0,W286-IF($A303&gt;='1-Input'!$C$12,'1-Input'!$B$12,0)))))*(1/(1-'P-Parametri'!$B$6*W303))))</f>
        <v>20533.423121899883</v>
      </c>
      <c r="Y303" s="18">
        <f>IF($A303&gt;'1-Input'!$B$26,AA302,(AA302-MAX(0,W286-IF($A303&gt;='1-Input'!$C$12,'1-Input'!$B$12,0))+X303*(1-'P-Parametri'!$B$6*W303))*(1+ROUND('3-Liquidita'!$F$7,4)))</f>
        <v>36787.742972329659</v>
      </c>
      <c r="Z303" s="18">
        <f>IF($A303&gt;'1-Input'!$B$26,AB302,(AB302-X303)*(1+'5-Roberta'!$C$4))</f>
        <v>234278.71599687761</v>
      </c>
      <c r="AA303" s="18">
        <f>IF($A303&gt;'1-Input'!$B$26,Y303,Y303-'P-Parametri'!$B$8*(Z303+Y303)+MIN(MAX(Z303,0),'P-Parametri'!$B$8*(Z303+Y303)))</f>
        <v>36787.742972329659</v>
      </c>
      <c r="AB303" s="18">
        <f>IF($A303&gt;'1-Input'!$B$26,Z303,Z303-MIN(MAX(Z303,0),'P-Parametri'!$B$8*(Z303+Y303)))</f>
        <v>233736.58307893921</v>
      </c>
      <c r="AC303" s="18">
        <f>IF($A303&gt;'1-Input'!$B$26,AC302,AC302-X303*(1-W303))</f>
        <v>121580.73225283402</v>
      </c>
      <c r="AD303" s="11">
        <f>IF($A303&gt;'1-Input'!$B$26,0,IF(AI302&lt;=0,0,MAX(0,(AI302-AJ302)/AI302)))</f>
        <v>0.46547557562527475</v>
      </c>
      <c r="AE303" s="18">
        <f>IF($A303&gt;'1-Input'!$B$26,0,(MAX(0,AD286-IF($A303&gt;='1-Input'!$C$12,'1-Input'!$B$12,0))-MIN(MAX(AH302,0),MAX(0,AD286-IF($A303&gt;='1-Input'!$C$12,'1-Input'!$B$12,0))))*(1/(1-'P-Parametri'!$B$6*AD303))+MIN(MAX(0,AI302-(MAX(0,AD286-IF($A303&gt;='1-Input'!$C$12,'1-Input'!$B$12,0))-MIN(MAX(AH302,0),MAX(0,AD286-IF($A303&gt;='1-Input'!$C$12,'1-Input'!$B$12,0))))*(1/(1-'P-Parametri'!$B$6*AD303))),MAX(0,2*AD286-(AH302-MIN(MAX(AH302,0),MAX(0,AD286-IF($A303&gt;='1-Input'!$C$12,'1-Input'!$B$12,0)))))*(1/(1-'P-Parametri'!$B$6*AD303))))</f>
        <v>20520.398471167733</v>
      </c>
      <c r="AF303" s="18">
        <f>IF($A303&gt;'1-Input'!$B$26,AH302,(AH302-MAX(0,AD286-IF($A303&gt;='1-Input'!$C$12,'1-Input'!$B$12,0))+AE303*(1-'P-Parametri'!$B$6*AD303))*(1+ROUND('3-Liquidita'!$F$7,4)))</f>
        <v>36764.386690049425</v>
      </c>
      <c r="AG303" s="18">
        <f>IF($A303&gt;'1-Input'!$B$26,AI302,(AI302-AE303)*(1+'5-Roberta'!$C$4))</f>
        <v>234552.09527881342</v>
      </c>
      <c r="AH303" s="18">
        <f>IF($A303&gt;'1-Input'!$B$26,AF303,AF303-'P-Parametri'!$B$8*(AG303+AF303)+MIN(MAX(AG303,0),'P-Parametri'!$B$8*(AG303+AF303)))</f>
        <v>36764.386690049425</v>
      </c>
      <c r="AI303" s="18">
        <f>IF($A303&gt;'1-Input'!$B$26,AG303,AG303-MIN(MAX(AG303,0),'P-Parametri'!$B$8*(AG303+AF303)))</f>
        <v>234009.46231487568</v>
      </c>
      <c r="AJ303" s="18">
        <f>IF($A303&gt;'1-Input'!$B$26,AJ302,AJ302-AE303*(1-AD303))</f>
        <v>121722.1589464014</v>
      </c>
      <c r="AK303" s="11">
        <f>IF($A303&gt;'1-Input'!$B$26,0,IF(AP302&lt;=0,0,MAX(0,(AP302-AQ302)/AP302)))</f>
        <v>0.46547558159441837</v>
      </c>
      <c r="AL303" s="18">
        <f>IF($A303&gt;'1-Input'!$B$26,0,(MAX(0,AK286-IF($A303&gt;='1-Input'!$C$12,'1-Input'!$B$12,0))-MIN(MAX(AO302,0),MAX(0,AK286-IF($A303&gt;='1-Input'!$C$12,'1-Input'!$B$12,0))))*(1/(1-'P-Parametri'!$B$6*AK303))+MIN(MAX(0,AP302-(MAX(0,AK286-IF($A303&gt;='1-Input'!$C$12,'1-Input'!$B$12,0))-MIN(MAX(AO302,0),MAX(0,AK286-IF($A303&gt;='1-Input'!$C$12,'1-Input'!$B$12,0))))*(1/(1-'P-Parametri'!$B$6*AK303))),MAX(0,2*AK286-(AO302-MIN(MAX(AO302,0),MAX(0,AK286-IF($A303&gt;='1-Input'!$C$12,'1-Input'!$B$12,0)))))*(1/(1-'P-Parametri'!$B$6*AK303))))</f>
        <v>20520.358714532882</v>
      </c>
      <c r="AM303" s="18">
        <f>IF($A303&gt;'1-Input'!$B$26,AO302,(AO302-MAX(0,AK286-IF($A303&gt;='1-Input'!$C$12,'1-Input'!$B$12,0))+AL303*(1-'P-Parametri'!$B$6*AK303))*(1+ROUND('3-Liquidita'!$F$7,4)))</f>
        <v>36764.315397069942</v>
      </c>
      <c r="AN303" s="18">
        <f>IF($A303&gt;'1-Input'!$B$26,AP302,(AP302-AL303)*(1+'5-Roberta'!$C$4))</f>
        <v>234552.92974508318</v>
      </c>
      <c r="AO303" s="18">
        <f>IF($A303&gt;'1-Input'!$B$26,AM303,AM303-'P-Parametri'!$B$8*(AN303+AM303)+MIN(MAX(AN303,0),'P-Parametri'!$B$8*(AN303+AM303)))</f>
        <v>36764.315397069942</v>
      </c>
      <c r="AP303" s="18">
        <f>IF($A303&gt;'1-Input'!$B$26,AN303,AN303-MIN(MAX(AN303,0),'P-Parametri'!$B$8*(AN303+AM303)))</f>
        <v>234010.29525479887</v>
      </c>
      <c r="AQ303" s="18">
        <f>IF($A303&gt;'1-Input'!$B$26,AQ302,AQ302-AL303*(1-AK303))</f>
        <v>121722.59063817072</v>
      </c>
    </row>
    <row r="304" spans="1:43">
      <c r="A304" s="10">
        <f>16</f>
        <v>16</v>
      </c>
      <c r="B304" s="11">
        <f>IF($A304&gt;'1-Input'!$B$26,0,IF(G303&lt;=0,0,MAX(0,(G303-H303)/G303)))</f>
        <v>0.48011696067006815</v>
      </c>
      <c r="C304" s="18">
        <f>IF($A304&gt;'1-Input'!$B$26,0,(MAX(0,B286-IF($A304&gt;='1-Input'!$C$12,'1-Input'!$B$12,0))-MIN(MAX(F303,0),MAX(0,B286-IF($A304&gt;='1-Input'!$C$12,'1-Input'!$B$12,0))))*(1/(1-'P-Parametri'!$B$6*B304))+MIN(MAX(0,G303-(MAX(0,B286-IF($A304&gt;='1-Input'!$C$12,'1-Input'!$B$12,0))-MIN(MAX(F303,0),MAX(0,B286-IF($A304&gt;='1-Input'!$C$12,'1-Input'!$B$12,0))))*(1/(1-'P-Parametri'!$B$6*B304))),MAX(0,2*B286-(F303-MIN(MAX(F303,0),MAX(0,B286-IF($A304&gt;='1-Input'!$C$12,'1-Input'!$B$12,0)))))*(1/(1-'P-Parametri'!$B$6*B304))))</f>
        <v>18820.208336320564</v>
      </c>
      <c r="D304" s="18">
        <f>IF($A304&gt;'1-Input'!$B$26,F303,(F303-MAX(0,B286-IF($A304&gt;='1-Input'!$C$12,'1-Input'!$B$12,0))+C304*(1-'P-Parametri'!$B$6*B304))*(1+ROUND('3-Liquidita'!$F$7,4)))</f>
        <v>33572.29192621589</v>
      </c>
      <c r="E304" s="18">
        <f>IF($A304&gt;'1-Input'!$B$26,G303,(G303-C304)*(1+'5-Roberta'!$C$4))</f>
        <v>260059.65975267201</v>
      </c>
      <c r="F304" s="18">
        <f>IF($A304&gt;'1-Input'!$B$26,D304,D304-'P-Parametri'!$B$8*(E304+D304)+MIN(MAX(E304,0),'P-Parametri'!$B$8*(E304+D304)))</f>
        <v>33572.29192621589</v>
      </c>
      <c r="G304" s="18">
        <f>IF($A304&gt;'1-Input'!$B$26,E304,E304-MIN(MAX(E304,0),'P-Parametri'!$B$8*(E304+D304)))</f>
        <v>259472.39584931423</v>
      </c>
      <c r="H304" s="18">
        <f>IF($A304&gt;'1-Input'!$B$26,H303,H303-C304*(1-B304))</f>
        <v>131262.72458187095</v>
      </c>
      <c r="I304" s="11">
        <f>IF($A304&gt;'1-Input'!$B$26,0,IF(N303&lt;=0,0,MAX(0,(N303-O303)/N303)))</f>
        <v>0.47894395289804592</v>
      </c>
      <c r="J304" s="18">
        <f>IF($A304&gt;'1-Input'!$B$26,0,(MAX(0,I286-IF($A304&gt;='1-Input'!$C$12,'1-Input'!$B$12,0))-MIN(MAX(M303,0),MAX(0,I286-IF($A304&gt;='1-Input'!$C$12,'1-Input'!$B$12,0))))*(1/(1-'P-Parametri'!$B$6*I304))+MIN(MAX(0,N303-(MAX(0,I286-IF($A304&gt;='1-Input'!$C$12,'1-Input'!$B$12,0))-MIN(MAX(M303,0),MAX(0,I286-IF($A304&gt;='1-Input'!$C$12,'1-Input'!$B$12,0))))*(1/(1-'P-Parametri'!$B$6*I304))),MAX(0,2*I286-(M303-MIN(MAX(M303,0),MAX(0,I286-IF($A304&gt;='1-Input'!$C$12,'1-Input'!$B$12,0)))))*(1/(1-'P-Parametri'!$B$6*I304))))</f>
        <v>24754.805384245396</v>
      </c>
      <c r="K304" s="18">
        <f>IF($A304&gt;'1-Input'!$B$26,M303,(M303-MAX(0,I286-IF($A304&gt;='1-Input'!$C$12,'1-Input'!$B$12,0))+J304*(1-'P-Parametri'!$B$6*I304))*(1+ROUND('3-Liquidita'!$F$7,4)))</f>
        <v>44174.068323968284</v>
      </c>
      <c r="L304" s="18">
        <f>IF($A304&gt;'1-Input'!$B$26,N303,(N303-J304)*(1+'5-Roberta'!$C$4))</f>
        <v>126375.85946478657</v>
      </c>
      <c r="M304" s="18">
        <f>IF($A304&gt;'1-Input'!$B$26,K304,K304-'P-Parametri'!$B$8*(L304+K304)+MIN(MAX(L304,0),'P-Parametri'!$B$8*(L304+K304)))</f>
        <v>44174.068323968284</v>
      </c>
      <c r="N304" s="18">
        <f>IF($A304&gt;'1-Input'!$B$26,L304,L304-MIN(MAX(L304,0),'P-Parametri'!$B$8*(L304+K304)))</f>
        <v>126034.75960920905</v>
      </c>
      <c r="O304" s="18">
        <f>IF($A304&gt;'1-Input'!$B$26,O303,O303-J304*(1-I304))</f>
        <v>63930.976487217238</v>
      </c>
      <c r="P304" s="11">
        <f>IF($A304&gt;'1-Input'!$B$26,0,IF(U303&lt;=0,0,MAX(0,(U303-V303)/U303)))</f>
        <v>0.47979530927469027</v>
      </c>
      <c r="Q304" s="18">
        <f>IF($A304&gt;'1-Input'!$B$26,0,(MAX(0,P286-IF($A304&gt;='1-Input'!$C$12,'1-Input'!$B$12,0))-MIN(MAX(T303,0),MAX(0,P286-IF($A304&gt;='1-Input'!$C$12,'1-Input'!$B$12,0))))*(1/(1-'P-Parametri'!$B$6*P304))+MIN(MAX(0,U303-(MAX(0,P286-IF($A304&gt;='1-Input'!$C$12,'1-Input'!$B$12,0))-MIN(MAX(T303,0),MAX(0,P286-IF($A304&gt;='1-Input'!$C$12,'1-Input'!$B$12,0))))*(1/(1-'P-Parametri'!$B$6*P304))),MAX(0,2*P286-(T303-MIN(MAX(T303,0),MAX(0,P286-IF($A304&gt;='1-Input'!$C$12,'1-Input'!$B$12,0)))))*(1/(1-'P-Parametri'!$B$6*P304))))</f>
        <v>20875.47375589568</v>
      </c>
      <c r="R304" s="18">
        <f>IF($A304&gt;'1-Input'!$B$26,T303,(T303-MAX(0,P286-IF($A304&gt;='1-Input'!$C$12,'1-Input'!$B$12,0))+Q304*(1-'P-Parametri'!$B$6*P304))*(1+ROUND('3-Liquidita'!$F$7,4)))</f>
        <v>37242.120653556602</v>
      </c>
      <c r="S304" s="18">
        <f>IF($A304&gt;'1-Input'!$B$26,U303,(U303-Q304)*(1+'5-Roberta'!$C$4))</f>
        <v>213779.07308245104</v>
      </c>
      <c r="T304" s="18">
        <f>IF($A304&gt;'1-Input'!$B$26,R304,R304-'P-Parametri'!$B$8*(S304+R304)+MIN(MAX(S304,0),'P-Parametri'!$B$8*(S304+R304)))</f>
        <v>37242.120653556602</v>
      </c>
      <c r="U304" s="18">
        <f>IF($A304&gt;'1-Input'!$B$26,S304,S304-MIN(MAX(S304,0),'P-Parametri'!$B$8*(S304+R304)))</f>
        <v>213277.03069497901</v>
      </c>
      <c r="V304" s="18">
        <f>IF($A304&gt;'1-Input'!$B$26,V303,V303-Q304*(1-P304))</f>
        <v>107969.7831033008</v>
      </c>
      <c r="W304" s="11">
        <f>IF($A304&gt;'1-Input'!$B$26,0,IF(AB303&lt;=0,0,MAX(0,(AB303-AC303)/AB303)))</f>
        <v>0.47983866859312779</v>
      </c>
      <c r="X304" s="18">
        <f>IF($A304&gt;'1-Input'!$B$26,0,(MAX(0,W286-IF($A304&gt;='1-Input'!$C$12,'1-Input'!$B$12,0))-MIN(MAX(AA303,0),MAX(0,W286-IF($A304&gt;='1-Input'!$C$12,'1-Input'!$B$12,0))))*(1/(1-'P-Parametri'!$B$6*W304))+MIN(MAX(0,AB303-(MAX(0,W286-IF($A304&gt;='1-Input'!$C$12,'1-Input'!$B$12,0))-MIN(MAX(AA303,0),MAX(0,W286-IF($A304&gt;='1-Input'!$C$12,'1-Input'!$B$12,0))))*(1/(1-'P-Parametri'!$B$6*W304))),MAX(0,2*W286-(AA303-MIN(MAX(AA303,0),MAX(0,W286-IF($A304&gt;='1-Input'!$C$12,'1-Input'!$B$12,0)))))*(1/(1-'P-Parametri'!$B$6*W304))))</f>
        <v>20621.045233041757</v>
      </c>
      <c r="Y304" s="18">
        <f>IF($A304&gt;'1-Input'!$B$26,AA303,(AA303-MAX(0,W286-IF($A304&gt;='1-Input'!$C$12,'1-Input'!$B$12,0))+X304*(1-'P-Parametri'!$B$6*W304))*(1+ROUND('3-Liquidita'!$F$7,4)))</f>
        <v>36787.742972329659</v>
      </c>
      <c r="Z304" s="18">
        <f>IF($A304&gt;'1-Input'!$B$26,AB303,(AB303-X304)*(1+'5-Roberta'!$C$4))</f>
        <v>219509.00398127438</v>
      </c>
      <c r="AA304" s="18">
        <f>IF($A304&gt;'1-Input'!$B$26,Y304,Y304-'P-Parametri'!$B$8*(Z304+Y304)+MIN(MAX(Z304,0),'P-Parametri'!$B$8*(Z304+Y304)))</f>
        <v>36787.742972329659</v>
      </c>
      <c r="AB304" s="18">
        <f>IF($A304&gt;'1-Input'!$B$26,Z304,Z304-MIN(MAX(Z304,0),'P-Parametri'!$B$8*(Z304+Y304)))</f>
        <v>218996.41048736716</v>
      </c>
      <c r="AC304" s="18">
        <f>IF($A304&gt;'1-Input'!$B$26,AC303,AC303-X304*(1-W304))</f>
        <v>110854.46190941367</v>
      </c>
      <c r="AD304" s="11">
        <f>IF($A304&gt;'1-Input'!$B$26,0,IF(AI303&lt;=0,0,MAX(0,(AI303-AJ303)/AI303)))</f>
        <v>0.47984086736366272</v>
      </c>
      <c r="AE304" s="18">
        <f>IF($A304&gt;'1-Input'!$B$26,0,(MAX(0,AD286-IF($A304&gt;='1-Input'!$C$12,'1-Input'!$B$12,0))-MIN(MAX(AH303,0),MAX(0,AD286-IF($A304&gt;='1-Input'!$C$12,'1-Input'!$B$12,0))))*(1/(1-'P-Parametri'!$B$6*AD304))+MIN(MAX(0,AI303-(MAX(0,AD286-IF($A304&gt;='1-Input'!$C$12,'1-Input'!$B$12,0))-MIN(MAX(AH303,0),MAX(0,AD286-IF($A304&gt;='1-Input'!$C$12,'1-Input'!$B$12,0))))*(1/(1-'P-Parametri'!$B$6*AD304))),MAX(0,2*AD286-(AH303-MIN(MAX(AH303,0),MAX(0,AD286-IF($A304&gt;='1-Input'!$C$12,'1-Input'!$B$12,0)))))*(1/(1-'P-Parametri'!$B$6*AD304))))</f>
        <v>20607.96653524365</v>
      </c>
      <c r="AF304" s="18">
        <f>IF($A304&gt;'1-Input'!$B$26,AH303,(AH303-MAX(0,AD286-IF($A304&gt;='1-Input'!$C$12,'1-Input'!$B$12,0))+AE304*(1-'P-Parametri'!$B$6*AD304))*(1+ROUND('3-Liquidita'!$F$7,4)))</f>
        <v>36764.386690049425</v>
      </c>
      <c r="AG304" s="18">
        <f>IF($A304&gt;'1-Input'!$B$26,AI303,(AI303-AE304)*(1+'5-Roberta'!$C$4))</f>
        <v>219803.54065302102</v>
      </c>
      <c r="AH304" s="18">
        <f>IF($A304&gt;'1-Input'!$B$26,AF304,AF304-'P-Parametri'!$B$8*(AG304+AF304)+MIN(MAX(AG304,0),'P-Parametri'!$B$8*(AG304+AF304)))</f>
        <v>36764.386690049425</v>
      </c>
      <c r="AI304" s="18">
        <f>IF($A304&gt;'1-Input'!$B$26,AG304,AG304-MIN(MAX(AG304,0),'P-Parametri'!$B$8*(AG304+AF304)))</f>
        <v>219290.40479833487</v>
      </c>
      <c r="AJ304" s="18">
        <f>IF($A304&gt;'1-Input'!$B$26,AJ303,AJ303-AE304*(1-AD304))</f>
        <v>111002.73694803039</v>
      </c>
      <c r="AK304" s="11">
        <f>IF($A304&gt;'1-Input'!$B$26,0,IF(AP303&lt;=0,0,MAX(0,(AP303-AQ303)/AP303)))</f>
        <v>0.47984087407079778</v>
      </c>
      <c r="AL304" s="18">
        <f>IF($A304&gt;'1-Input'!$B$26,0,(MAX(0,AK286-IF($A304&gt;='1-Input'!$C$12,'1-Input'!$B$12,0))-MIN(MAX(AO303,0),MAX(0,AK286-IF($A304&gt;='1-Input'!$C$12,'1-Input'!$B$12,0))))*(1/(1-'P-Parametri'!$B$6*AK304))+MIN(MAX(0,AP303-(MAX(0,AK286-IF($A304&gt;='1-Input'!$C$12,'1-Input'!$B$12,0))-MIN(MAX(AO303,0),MAX(0,AK286-IF($A304&gt;='1-Input'!$C$12,'1-Input'!$B$12,0))))*(1/(1-'P-Parametri'!$B$6*AK304))),MAX(0,2*AK286-(AO303-MIN(MAX(AO303,0),MAX(0,AK286-IF($A304&gt;='1-Input'!$C$12,'1-Input'!$B$12,0)))))*(1/(1-'P-Parametri'!$B$6*AK304))))</f>
        <v>20607.926613625783</v>
      </c>
      <c r="AM304" s="18">
        <f>IF($A304&gt;'1-Input'!$B$26,AO303,(AO303-MAX(0,AK286-IF($A304&gt;='1-Input'!$C$12,'1-Input'!$B$12,0))+AL304*(1-'P-Parametri'!$B$6*AK304))*(1+ROUND('3-Liquidita'!$F$7,4)))</f>
        <v>36764.315397069942</v>
      </c>
      <c r="AN304" s="18">
        <f>IF($A304&gt;'1-Input'!$B$26,AP303,(AP303-AL304)*(1+'5-Roberta'!$C$4))</f>
        <v>219804.43970040829</v>
      </c>
      <c r="AO304" s="18">
        <f>IF($A304&gt;'1-Input'!$B$26,AM304,AM304-'P-Parametri'!$B$8*(AN304+AM304)+MIN(MAX(AN304,0),'P-Parametri'!$B$8*(AN304+AM304)))</f>
        <v>36764.315397069942</v>
      </c>
      <c r="AP304" s="18">
        <f>IF($A304&gt;'1-Input'!$B$26,AN304,AN304-MIN(MAX(AN304,0),'P-Parametri'!$B$8*(AN304+AM304)))</f>
        <v>219291.30219021332</v>
      </c>
      <c r="AQ304" s="18">
        <f>IF($A304&gt;'1-Input'!$B$26,AQ303,AQ303-AL304*(1-AK304))</f>
        <v>111003.18954361399</v>
      </c>
    </row>
    <row r="305" spans="1:43">
      <c r="A305" s="10">
        <f>17</f>
        <v>17</v>
      </c>
      <c r="B305" s="11">
        <f>IF($A305&gt;'1-Input'!$B$26,0,IF(G304&lt;=0,0,MAX(0,(G304-H304)/G304)))</f>
        <v>0.49411680517221435</v>
      </c>
      <c r="C305" s="18">
        <f>IF($A305&gt;'1-Input'!$B$26,0,(MAX(0,B286-IF($A305&gt;='1-Input'!$C$12,'1-Input'!$B$12,0))-MIN(MAX(F304,0),MAX(0,B286-IF($A305&gt;='1-Input'!$C$12,'1-Input'!$B$12,0))))*(1/(1-'P-Parametri'!$B$6*B305))+MIN(MAX(0,G304-(MAX(0,B286-IF($A305&gt;='1-Input'!$C$12,'1-Input'!$B$12,0))-MIN(MAX(F304,0),MAX(0,B286-IF($A305&gt;='1-Input'!$C$12,'1-Input'!$B$12,0))))*(1/(1-'P-Parametri'!$B$6*B305))),MAX(0,2*B286-(F304-MIN(MAX(F304,0),MAX(0,B286-IF($A305&gt;='1-Input'!$C$12,'1-Input'!$B$12,0)))))*(1/(1-'P-Parametri'!$B$6*B305))))</f>
        <v>18898.811283419655</v>
      </c>
      <c r="D305" s="18">
        <f>IF($A305&gt;'1-Input'!$B$26,F304,(F304-MAX(0,B286-IF($A305&gt;='1-Input'!$C$12,'1-Input'!$B$12,0))+C305*(1-'P-Parametri'!$B$6*B305))*(1+ROUND('3-Liquidita'!$F$7,4)))</f>
        <v>33572.29192621589</v>
      </c>
      <c r="E305" s="18">
        <f>IF($A305&gt;'1-Input'!$B$26,G304,(G304-C305)*(1+'5-Roberta'!$C$4))</f>
        <v>247790.7921028714</v>
      </c>
      <c r="F305" s="18">
        <f>IF($A305&gt;'1-Input'!$B$26,D305,D305-'P-Parametri'!$B$8*(E305+D305)+MIN(MAX(E305,0),'P-Parametri'!$B$8*(E305+D305)))</f>
        <v>33572.29192621589</v>
      </c>
      <c r="G305" s="18">
        <f>IF($A305&gt;'1-Input'!$B$26,E305,E305-MIN(MAX(E305,0),'P-Parametri'!$B$8*(E305+D305)))</f>
        <v>247228.06593481323</v>
      </c>
      <c r="H305" s="18">
        <f>IF($A305&gt;'1-Input'!$B$26,H304,H304-C305*(1-B305))</f>
        <v>121702.13355136721</v>
      </c>
      <c r="I305" s="11">
        <f>IF($A305&gt;'1-Input'!$B$26,0,IF(N304&lt;=0,0,MAX(0,(N304-O304)/N304)))</f>
        <v>0.49275123239457541</v>
      </c>
      <c r="J305" s="18">
        <f>IF($A305&gt;'1-Input'!$B$26,0,(MAX(0,I286-IF($A305&gt;='1-Input'!$C$12,'1-Input'!$B$12,0))-MIN(MAX(M304,0),MAX(0,I286-IF($A305&gt;='1-Input'!$C$12,'1-Input'!$B$12,0))))*(1/(1-'P-Parametri'!$B$6*I305))+MIN(MAX(0,N304-(MAX(0,I286-IF($A305&gt;='1-Input'!$C$12,'1-Input'!$B$12,0))-MIN(MAX(M304,0),MAX(0,I286-IF($A305&gt;='1-Input'!$C$12,'1-Input'!$B$12,0))))*(1/(1-'P-Parametri'!$B$6*I305))),MAX(0,2*I286-(M304-MIN(MAX(M304,0),MAX(0,I286-IF($A305&gt;='1-Input'!$C$12,'1-Input'!$B$12,0)))))*(1/(1-'P-Parametri'!$B$6*I305))))</f>
        <v>24856.730669154531</v>
      </c>
      <c r="K305" s="18">
        <f>IF($A305&gt;'1-Input'!$B$26,M304,(M304-MAX(0,I286-IF($A305&gt;='1-Input'!$C$12,'1-Input'!$B$12,0))+J305*(1-'P-Parametri'!$B$6*I305))*(1+ROUND('3-Liquidita'!$F$7,4)))</f>
        <v>44174.068323968284</v>
      </c>
      <c r="L305" s="18">
        <f>IF($A305&gt;'1-Input'!$B$26,N304,(N304-J305)*(1+'5-Roberta'!$C$4))</f>
        <v>104213.36980825618</v>
      </c>
      <c r="M305" s="18">
        <f>IF($A305&gt;'1-Input'!$B$26,K305,K305-'P-Parametri'!$B$8*(L305+K305)+MIN(MAX(L305,0),'P-Parametri'!$B$8*(L305+K305)))</f>
        <v>44174.068323968284</v>
      </c>
      <c r="N305" s="18">
        <f>IF($A305&gt;'1-Input'!$B$26,L305,L305-MIN(MAX(L305,0),'P-Parametri'!$B$8*(L305+K305)))</f>
        <v>103916.59493199173</v>
      </c>
      <c r="O305" s="18">
        <f>IF($A305&gt;'1-Input'!$B$26,O304,O304-J305*(1-I305))</f>
        <v>51322.430488588638</v>
      </c>
      <c r="P305" s="11">
        <f>IF($A305&gt;'1-Input'!$B$26,0,IF(U304&lt;=0,0,MAX(0,(U304-V304)/U304)))</f>
        <v>0.49375803502386895</v>
      </c>
      <c r="Q305" s="18">
        <f>IF($A305&gt;'1-Input'!$B$26,0,(MAX(0,P286-IF($A305&gt;='1-Input'!$C$12,'1-Input'!$B$12,0))-MIN(MAX(T304,0),MAX(0,P286-IF($A305&gt;='1-Input'!$C$12,'1-Input'!$B$12,0))))*(1/(1-'P-Parametri'!$B$6*P305))+MIN(MAX(0,U304-(MAX(0,P286-IF($A305&gt;='1-Input'!$C$12,'1-Input'!$B$12,0))-MIN(MAX(T304,0),MAX(0,P286-IF($A305&gt;='1-Input'!$C$12,'1-Input'!$B$12,0))))*(1/(1-'P-Parametri'!$B$6*P305))),MAX(0,2*P286-(T304-MIN(MAX(T304,0),MAX(0,P286-IF($A305&gt;='1-Input'!$C$12,'1-Input'!$B$12,0)))))*(1/(1-'P-Parametri'!$B$6*P305))))</f>
        <v>20962.420086627277</v>
      </c>
      <c r="R305" s="18">
        <f>IF($A305&gt;'1-Input'!$B$26,T304,(T304-MAX(0,P286-IF($A305&gt;='1-Input'!$C$12,'1-Input'!$B$12,0))+Q305*(1-'P-Parametri'!$B$6*P305))*(1+ROUND('3-Liquidita'!$F$7,4)))</f>
        <v>37242.120653556602</v>
      </c>
      <c r="S305" s="18">
        <f>IF($A305&gt;'1-Input'!$B$26,U304,(U304-Q305)*(1+'5-Roberta'!$C$4))</f>
        <v>198084.04892660229</v>
      </c>
      <c r="T305" s="18">
        <f>IF($A305&gt;'1-Input'!$B$26,R305,R305-'P-Parametri'!$B$8*(S305+R305)+MIN(MAX(S305,0),'P-Parametri'!$B$8*(S305+R305)))</f>
        <v>37242.120653556602</v>
      </c>
      <c r="U305" s="18">
        <f>IF($A305&gt;'1-Input'!$B$26,S305,S305-MIN(MAX(S305,0),'P-Parametri'!$B$8*(S305+R305)))</f>
        <v>197613.39658744197</v>
      </c>
      <c r="V305" s="18">
        <f>IF($A305&gt;'1-Input'!$B$26,V304,V304-Q305*(1-P305))</f>
        <v>97357.72636799149</v>
      </c>
      <c r="W305" s="11">
        <f>IF($A305&gt;'1-Input'!$B$26,0,IF(AB304&lt;=0,0,MAX(0,(AB304-AC304)/AB304)))</f>
        <v>0.49380694568138445</v>
      </c>
      <c r="X305" s="18">
        <f>IF($A305&gt;'1-Input'!$B$26,0,(MAX(0,W286-IF($A305&gt;='1-Input'!$C$12,'1-Input'!$B$12,0))-MIN(MAX(AA304,0),MAX(0,W286-IF($A305&gt;='1-Input'!$C$12,'1-Input'!$B$12,0))))*(1/(1-'P-Parametri'!$B$6*W305))+MIN(MAX(0,AB304-(MAX(0,W286-IF($A305&gt;='1-Input'!$C$12,'1-Input'!$B$12,0))-MIN(MAX(AA304,0),MAX(0,W286-IF($A305&gt;='1-Input'!$C$12,'1-Input'!$B$12,0))))*(1/(1-'P-Parametri'!$B$6*W305))),MAX(0,2*W286-(AA304-MIN(MAX(AA304,0),MAX(0,W286-IF($A305&gt;='1-Input'!$C$12,'1-Input'!$B$12,0)))))*(1/(1-'P-Parametri'!$B$6*W305))))</f>
        <v>20706.967269816654</v>
      </c>
      <c r="Y305" s="18">
        <f>IF($A305&gt;'1-Input'!$B$26,AA304,(AA304-MAX(0,W286-IF($A305&gt;='1-Input'!$C$12,'1-Input'!$B$12,0))+X305*(1-'P-Parametri'!$B$6*W305))*(1+ROUND('3-Liquidita'!$F$7,4)))</f>
        <v>36787.742972329659</v>
      </c>
      <c r="Z305" s="18">
        <f>IF($A305&gt;'1-Input'!$B$26,AB304,(AB304-X305)*(1+'5-Roberta'!$C$4))</f>
        <v>204238.12651407704</v>
      </c>
      <c r="AA305" s="18">
        <f>IF($A305&gt;'1-Input'!$B$26,Y305,Y305-'P-Parametri'!$B$8*(Z305+Y305)+MIN(MAX(Z305,0),'P-Parametri'!$B$8*(Z305+Y305)))</f>
        <v>36787.742972329659</v>
      </c>
      <c r="AB305" s="18">
        <f>IF($A305&gt;'1-Input'!$B$26,Z305,Z305-MIN(MAX(Z305,0),'P-Parametri'!$B$8*(Z305+Y305)))</f>
        <v>203756.07477510424</v>
      </c>
      <c r="AC305" s="18">
        <f>IF($A305&gt;'1-Input'!$B$26,AC304,AC304-X305*(1-W305))</f>
        <v>100372.73890142958</v>
      </c>
      <c r="AD305" s="11">
        <f>IF($A305&gt;'1-Input'!$B$26,0,IF(AI304&lt;=0,0,MAX(0,(AI304-AJ304)/AI304)))</f>
        <v>0.49380942111848725</v>
      </c>
      <c r="AE305" s="18">
        <f>IF($A305&gt;'1-Input'!$B$26,0,(MAX(0,AD286-IF($A305&gt;='1-Input'!$C$12,'1-Input'!$B$12,0))-MIN(MAX(AH304,0),MAX(0,AD286-IF($A305&gt;='1-Input'!$C$12,'1-Input'!$B$12,0))))*(1/(1-'P-Parametri'!$B$6*AD305))+MIN(MAX(0,AI304-(MAX(0,AD286-IF($A305&gt;='1-Input'!$C$12,'1-Input'!$B$12,0))-MIN(MAX(AH304,0),MAX(0,AD286-IF($A305&gt;='1-Input'!$C$12,'1-Input'!$B$12,0))))*(1/(1-'P-Parametri'!$B$6*AD305))),MAX(0,2*AD286-(AH304-MIN(MAX(AH304,0),MAX(0,AD286-IF($A305&gt;='1-Input'!$C$12,'1-Input'!$B$12,0)))))*(1/(1-'P-Parametri'!$B$6*AD305))))</f>
        <v>20693.835840967553</v>
      </c>
      <c r="AF305" s="18">
        <f>IF($A305&gt;'1-Input'!$B$26,AH304,(AH304-MAX(0,AD286-IF($A305&gt;='1-Input'!$C$12,'1-Input'!$B$12,0))+AE305*(1-'P-Parametri'!$B$6*AD305))*(1+ROUND('3-Liquidita'!$F$7,4)))</f>
        <v>36764.386690049425</v>
      </c>
      <c r="AG305" s="18">
        <f>IF($A305&gt;'1-Input'!$B$26,AI304,(AI304-AE305)*(1+'5-Roberta'!$C$4))</f>
        <v>204554.46602608837</v>
      </c>
      <c r="AH305" s="18">
        <f>IF($A305&gt;'1-Input'!$B$26,AF305,AF305-'P-Parametri'!$B$8*(AG305+AF305)+MIN(MAX(AG305,0),'P-Parametri'!$B$8*(AG305+AF305)))</f>
        <v>36764.386690049425</v>
      </c>
      <c r="AI305" s="18">
        <f>IF($A305&gt;'1-Input'!$B$26,AG305,AG305-MIN(MAX(AG305,0),'P-Parametri'!$B$8*(AG305+AF305)))</f>
        <v>204071.82832065609</v>
      </c>
      <c r="AJ305" s="18">
        <f>IF($A305&gt;'1-Input'!$B$26,AJ304,AJ304-AE305*(1-AD305))</f>
        <v>100527.71220441203</v>
      </c>
      <c r="AK305" s="11">
        <f>IF($A305&gt;'1-Input'!$B$26,0,IF(AP304&lt;=0,0,MAX(0,(AP304-AQ304)/AP304)))</f>
        <v>0.49380942866885891</v>
      </c>
      <c r="AL305" s="18">
        <f>IF($A305&gt;'1-Input'!$B$26,0,(MAX(0,AK286-IF($A305&gt;='1-Input'!$C$12,'1-Input'!$B$12,0))-MIN(MAX(AO304,0),MAX(0,AK286-IF($A305&gt;='1-Input'!$C$12,'1-Input'!$B$12,0))))*(1/(1-'P-Parametri'!$B$6*AK305))+MIN(MAX(0,AP304-(MAX(0,AK286-IF($A305&gt;='1-Input'!$C$12,'1-Input'!$B$12,0))-MIN(MAX(AO304,0),MAX(0,AK286-IF($A305&gt;='1-Input'!$C$12,'1-Input'!$B$12,0))))*(1/(1-'P-Parametri'!$B$6*AK305))),MAX(0,2*AK286-(AO304-MIN(MAX(AO304,0),MAX(0,AK286-IF($A305&gt;='1-Input'!$C$12,'1-Input'!$B$12,0)))))*(1/(1-'P-Parametri'!$B$6*AK305))))</f>
        <v>20693.795758381268</v>
      </c>
      <c r="AM305" s="18">
        <f>IF($A305&gt;'1-Input'!$B$26,AO304,(AO304-MAX(0,AK286-IF($A305&gt;='1-Input'!$C$12,'1-Input'!$B$12,0))+AL305*(1-'P-Parametri'!$B$6*AK305))*(1+ROUND('3-Liquidita'!$F$7,4)))</f>
        <v>36764.315397069942</v>
      </c>
      <c r="AN305" s="18">
        <f>IF($A305&gt;'1-Input'!$B$26,AP304,(AP304-AL305)*(1+'5-Roberta'!$C$4))</f>
        <v>204555.43162478702</v>
      </c>
      <c r="AO305" s="18">
        <f>IF($A305&gt;'1-Input'!$B$26,AM305,AM305-'P-Parametri'!$B$8*(AN305+AM305)+MIN(MAX(AN305,0),'P-Parametri'!$B$8*(AN305+AM305)))</f>
        <v>36764.315397069942</v>
      </c>
      <c r="AP305" s="18">
        <f>IF($A305&gt;'1-Input'!$B$26,AN305,AN305-MIN(MAX(AN305,0),'P-Parametri'!$B$8*(AN305+AM305)))</f>
        <v>204072.7921307433</v>
      </c>
      <c r="AQ305" s="18">
        <f>IF($A305&gt;'1-Input'!$B$26,AQ304,AQ304-AL305*(1-AK305))</f>
        <v>100528.18524566904</v>
      </c>
    </row>
    <row r="306" spans="1:43">
      <c r="A306" s="10">
        <f>18</f>
        <v>18</v>
      </c>
      <c r="B306" s="11">
        <f>IF($A306&gt;'1-Input'!$B$26,0,IF(G305&lt;=0,0,MAX(0,(G305-H305)/G305)))</f>
        <v>0.50773334293099037</v>
      </c>
      <c r="C306" s="18">
        <f>IF($A306&gt;'1-Input'!$B$26,0,(MAX(0,B286-IF($A306&gt;='1-Input'!$C$12,'1-Input'!$B$12,0))-MIN(MAX(F305,0),MAX(0,B286-IF($A306&gt;='1-Input'!$C$12,'1-Input'!$B$12,0))))*(1/(1-'P-Parametri'!$B$6*B306))+MIN(MAX(0,G305-(MAX(0,B286-IF($A306&gt;='1-Input'!$C$12,'1-Input'!$B$12,0))-MIN(MAX(F305,0),MAX(0,B286-IF($A306&gt;='1-Input'!$C$12,'1-Input'!$B$12,0))))*(1/(1-'P-Parametri'!$B$6*B306))),MAX(0,2*B286-(F305-MIN(MAX(F305,0),MAX(0,B286-IF($A306&gt;='1-Input'!$C$12,'1-Input'!$B$12,0)))))*(1/(1-'P-Parametri'!$B$6*B306))))</f>
        <v>18975.894555939773</v>
      </c>
      <c r="D306" s="18">
        <f>IF($A306&gt;'1-Input'!$B$26,F305,(F305-MAX(0,B286-IF($A306&gt;='1-Input'!$C$12,'1-Input'!$B$12,0))+C306*(1-'P-Parametri'!$B$6*B306))*(1+ROUND('3-Liquidita'!$F$7,4)))</f>
        <v>33572.29192621589</v>
      </c>
      <c r="E306" s="18">
        <f>IF($A306&gt;'1-Input'!$B$26,G305,(G305-C306)*(1+'5-Roberta'!$C$4))</f>
        <v>235099.73652023968</v>
      </c>
      <c r="F306" s="18">
        <f>IF($A306&gt;'1-Input'!$B$26,D306,D306-'P-Parametri'!$B$8*(E306+D306)+MIN(MAX(E306,0),'P-Parametri'!$B$8*(E306+D306)))</f>
        <v>33572.29192621589</v>
      </c>
      <c r="G306" s="18">
        <f>IF($A306&gt;'1-Input'!$B$26,E306,E306-MIN(MAX(E306,0),'P-Parametri'!$B$8*(E306+D306)))</f>
        <v>234562.39246334677</v>
      </c>
      <c r="H306" s="18">
        <f>IF($A306&gt;'1-Input'!$B$26,H305,H305-C306*(1-B306))</f>
        <v>112360.93337342072</v>
      </c>
      <c r="I306" s="11">
        <f>IF($A306&gt;'1-Input'!$B$26,0,IF(N305&lt;=0,0,MAX(0,(N305-O305)/N305)))</f>
        <v>0.50611901282777183</v>
      </c>
      <c r="J306" s="18">
        <f>IF($A306&gt;'1-Input'!$B$26,0,(MAX(0,I286-IF($A306&gt;='1-Input'!$C$12,'1-Input'!$B$12,0))-MIN(MAX(M305,0),MAX(0,I286-IF($A306&gt;='1-Input'!$C$12,'1-Input'!$B$12,0))))*(1/(1-'P-Parametri'!$B$6*I306))+MIN(MAX(0,N305-(MAX(0,I286-IF($A306&gt;='1-Input'!$C$12,'1-Input'!$B$12,0))-MIN(MAX(M305,0),MAX(0,I286-IF($A306&gt;='1-Input'!$C$12,'1-Input'!$B$12,0))))*(1/(1-'P-Parametri'!$B$6*I306))),MAX(0,2*I286-(M305-MIN(MAX(M305,0),MAX(0,I286-IF($A306&gt;='1-Input'!$C$12,'1-Input'!$B$12,0)))))*(1/(1-'P-Parametri'!$B$6*I306))))</f>
        <v>24956.21445733451</v>
      </c>
      <c r="K306" s="18">
        <f>IF($A306&gt;'1-Input'!$B$26,M305,(M305-MAX(0,I286-IF($A306&gt;='1-Input'!$C$12,'1-Input'!$B$12,0))+J306*(1-'P-Parametri'!$B$6*I306))*(1+ROUND('3-Liquidita'!$F$7,4)))</f>
        <v>44174.068323968284</v>
      </c>
      <c r="L306" s="18">
        <f>IF($A306&gt;'1-Input'!$B$26,N305,(N305-J306)*(1+'5-Roberta'!$C$4))</f>
        <v>81329.191888896938</v>
      </c>
      <c r="M306" s="18">
        <f>IF($A306&gt;'1-Input'!$B$26,K306,K306-'P-Parametri'!$B$8*(L306+K306)+MIN(MAX(L306,0),'P-Parametri'!$B$8*(L306+K306)))</f>
        <v>44174.068323968284</v>
      </c>
      <c r="N306" s="18">
        <f>IF($A306&gt;'1-Input'!$B$26,L306,L306-MIN(MAX(L306,0),'P-Parametri'!$B$8*(L306+K306)))</f>
        <v>81078.185368471211</v>
      </c>
      <c r="O306" s="18">
        <f>IF($A306&gt;'1-Input'!$B$26,O305,O305-J306*(1-I306))</f>
        <v>38997.030656318435</v>
      </c>
      <c r="P306" s="11">
        <f>IF($A306&gt;'1-Input'!$B$26,0,IF(U305&lt;=0,0,MAX(0,(U305-V305)/U305)))</f>
        <v>0.50733235676705923</v>
      </c>
      <c r="Q306" s="18">
        <f>IF($A306&gt;'1-Input'!$B$26,0,(MAX(0,P286-IF($A306&gt;='1-Input'!$C$12,'1-Input'!$B$12,0))-MIN(MAX(T305,0),MAX(0,P286-IF($A306&gt;='1-Input'!$C$12,'1-Input'!$B$12,0))))*(1/(1-'P-Parametri'!$B$6*P306))+MIN(MAX(0,U305-(MAX(0,P286-IF($A306&gt;='1-Input'!$C$12,'1-Input'!$B$12,0))-MIN(MAX(T305,0),MAX(0,P286-IF($A306&gt;='1-Input'!$C$12,'1-Input'!$B$12,0))))*(1/(1-'P-Parametri'!$B$6*P306))),MAX(0,2*P286-(T305-MIN(MAX(T305,0),MAX(0,P286-IF($A306&gt;='1-Input'!$C$12,'1-Input'!$B$12,0)))))*(1/(1-'P-Parametri'!$B$6*P306))))</f>
        <v>21047.644958839312</v>
      </c>
      <c r="R306" s="18">
        <f>IF($A306&gt;'1-Input'!$B$26,T305,(T305-MAX(0,P286-IF($A306&gt;='1-Input'!$C$12,'1-Input'!$B$12,0))+Q306*(1-'P-Parametri'!$B$6*P306))*(1+ROUND('3-Liquidita'!$F$7,4)))</f>
        <v>37242.120653556602</v>
      </c>
      <c r="S306" s="18">
        <f>IF($A306&gt;'1-Input'!$B$26,U305,(U305-Q306)*(1+'5-Roberta'!$C$4))</f>
        <v>181862.72417746074</v>
      </c>
      <c r="T306" s="18">
        <f>IF($A306&gt;'1-Input'!$B$26,R306,R306-'P-Parametri'!$B$8*(S306+R306)+MIN(MAX(S306,0),'P-Parametri'!$B$8*(S306+R306)))</f>
        <v>37242.120653556602</v>
      </c>
      <c r="U306" s="18">
        <f>IF($A306&gt;'1-Input'!$B$26,S306,S306-MIN(MAX(S306,0),'P-Parametri'!$B$8*(S306+R306)))</f>
        <v>181424.5144877987</v>
      </c>
      <c r="V306" s="18">
        <f>IF($A306&gt;'1-Input'!$B$26,V305,V305-Q306*(1-P306))</f>
        <v>86988.232730516436</v>
      </c>
      <c r="W306" s="11">
        <f>IF($A306&gt;'1-Input'!$B$26,0,IF(AB305&lt;=0,0,MAX(0,(AB305-AC305)/AB305)))</f>
        <v>0.50738774776547901</v>
      </c>
      <c r="X306" s="18">
        <f>IF($A306&gt;'1-Input'!$B$26,0,(MAX(0,W286-IF($A306&gt;='1-Input'!$C$12,'1-Input'!$B$12,0))-MIN(MAX(AA305,0),MAX(0,W286-IF($A306&gt;='1-Input'!$C$12,'1-Input'!$B$12,0))))*(1/(1-'P-Parametri'!$B$6*W306))+MIN(MAX(0,AB305-(MAX(0,W286-IF($A306&gt;='1-Input'!$C$12,'1-Input'!$B$12,0))-MIN(MAX(AA305,0),MAX(0,W286-IF($A306&gt;='1-Input'!$C$12,'1-Input'!$B$12,0))))*(1/(1-'P-Parametri'!$B$6*W306))),MAX(0,2*W286-(AA305-MIN(MAX(AA305,0),MAX(0,W286-IF($A306&gt;='1-Input'!$C$12,'1-Input'!$B$12,0)))))*(1/(1-'P-Parametri'!$B$6*W306))))</f>
        <v>20791.195159991094</v>
      </c>
      <c r="Y306" s="18">
        <f>IF($A306&gt;'1-Input'!$B$26,AA305,(AA305-MAX(0,W286-IF($A306&gt;='1-Input'!$C$12,'1-Input'!$B$12,0))+X306*(1-'P-Parametri'!$B$6*W306))*(1+ROUND('3-Liquidita'!$F$7,4)))</f>
        <v>36787.742972329659</v>
      </c>
      <c r="Z306" s="18">
        <f>IF($A306&gt;'1-Input'!$B$26,AB305,(AB305-X306)*(1+'5-Roberta'!$C$4))</f>
        <v>188453.82600356653</v>
      </c>
      <c r="AA306" s="18">
        <f>IF($A306&gt;'1-Input'!$B$26,Y306,Y306-'P-Parametri'!$B$8*(Z306+Y306)+MIN(MAX(Z306,0),'P-Parametri'!$B$8*(Z306+Y306)))</f>
        <v>36787.742972329659</v>
      </c>
      <c r="AB306" s="18">
        <f>IF($A306&gt;'1-Input'!$B$26,Z306,Z306-MIN(MAX(Z306,0),'P-Parametri'!$B$8*(Z306+Y306)))</f>
        <v>188003.34286561474</v>
      </c>
      <c r="AC306" s="18">
        <f>IF($A306&gt;'1-Input'!$B$26,AC305,AC305-X306*(1-W306))</f>
        <v>90130.741427018889</v>
      </c>
      <c r="AD306" s="11">
        <f>IF($A306&gt;'1-Input'!$B$26,0,IF(AI305&lt;=0,0,MAX(0,(AI305-AJ305)/AI305)))</f>
        <v>0.50739054463483413</v>
      </c>
      <c r="AE306" s="18">
        <f>IF($A306&gt;'1-Input'!$B$26,0,(MAX(0,AD286-IF($A306&gt;='1-Input'!$C$12,'1-Input'!$B$12,0))-MIN(MAX(AH305,0),MAX(0,AD286-IF($A306&gt;='1-Input'!$C$12,'1-Input'!$B$12,0))))*(1/(1-'P-Parametri'!$B$6*AD306))+MIN(MAX(0,AI305-(MAX(0,AD286-IF($A306&gt;='1-Input'!$C$12,'1-Input'!$B$12,0))-MIN(MAX(AH305,0),MAX(0,AD286-IF($A306&gt;='1-Input'!$C$12,'1-Input'!$B$12,0))))*(1/(1-'P-Parametri'!$B$6*AD306))),MAX(0,2*AD286-(AH305-MIN(MAX(AH305,0),MAX(0,AD286-IF($A306&gt;='1-Input'!$C$12,'1-Input'!$B$12,0)))))*(1/(1-'P-Parametri'!$B$6*AD306))))</f>
        <v>20778.012380363241</v>
      </c>
      <c r="AF306" s="18">
        <f>IF($A306&gt;'1-Input'!$B$26,AH305,(AH305-MAX(0,AD286-IF($A306&gt;='1-Input'!$C$12,'1-Input'!$B$12,0))+AE306*(1-'P-Parametri'!$B$6*AD306))*(1+ROUND('3-Liquidita'!$F$7,4)))</f>
        <v>36764.386690049425</v>
      </c>
      <c r="AG306" s="18">
        <f>IF($A306&gt;'1-Input'!$B$26,AI305,(AI305-AE306)*(1+'5-Roberta'!$C$4))</f>
        <v>188792.63041850162</v>
      </c>
      <c r="AH306" s="18">
        <f>IF($A306&gt;'1-Input'!$B$26,AF306,AF306-'P-Parametri'!$B$8*(AG306+AF306)+MIN(MAX(AG306,0),'P-Parametri'!$B$8*(AG306+AF306)))</f>
        <v>36764.386690049425</v>
      </c>
      <c r="AI306" s="18">
        <f>IF($A306&gt;'1-Input'!$B$26,AG306,AG306-MIN(MAX(AG306,0),'P-Parametri'!$B$8*(AG306+AF306)))</f>
        <v>188341.51638428451</v>
      </c>
      <c r="AJ306" s="18">
        <f>IF($A306&gt;'1-Input'!$B$26,AJ305,AJ305-AE306*(1-AD306))</f>
        <v>90292.266842150624</v>
      </c>
      <c r="AK306" s="11">
        <f>IF($A306&gt;'1-Input'!$B$26,0,IF(AP305&lt;=0,0,MAX(0,(AP305-AQ305)/AP305)))</f>
        <v>0.50739055316465875</v>
      </c>
      <c r="AL306" s="18">
        <f>IF($A306&gt;'1-Input'!$B$26,0,(MAX(0,AK286-IF($A306&gt;='1-Input'!$C$12,'1-Input'!$B$12,0))-MIN(MAX(AO305,0),MAX(0,AK286-IF($A306&gt;='1-Input'!$C$12,'1-Input'!$B$12,0))))*(1/(1-'P-Parametri'!$B$6*AK306))+MIN(MAX(0,AP305-(MAX(0,AK286-IF($A306&gt;='1-Input'!$C$12,'1-Input'!$B$12,0))-MIN(MAX(AO305,0),MAX(0,AK286-IF($A306&gt;='1-Input'!$C$12,'1-Input'!$B$12,0))))*(1/(1-'P-Parametri'!$B$6*AK306))),MAX(0,2*AK286-(AO305-MIN(MAX(AO305,0),MAX(0,AK286-IF($A306&gt;='1-Input'!$C$12,'1-Input'!$B$12,0)))))*(1/(1-'P-Parametri'!$B$6*AK306))))</f>
        <v>20777.972141018327</v>
      </c>
      <c r="AM306" s="18">
        <f>IF($A306&gt;'1-Input'!$B$26,AO305,(AO305-MAX(0,AK286-IF($A306&gt;='1-Input'!$C$12,'1-Input'!$B$12,0))+AL306*(1-'P-Parametri'!$B$6*AK306))*(1+ROUND('3-Liquidita'!$F$7,4)))</f>
        <v>36764.315397069942</v>
      </c>
      <c r="AN306" s="18">
        <f>IF($A306&gt;'1-Input'!$B$26,AP305,(AP305-AL306)*(1+'5-Roberta'!$C$4))</f>
        <v>188793.6645894167</v>
      </c>
      <c r="AO306" s="18">
        <f>IF($A306&gt;'1-Input'!$B$26,AM306,AM306-'P-Parametri'!$B$8*(AN306+AM306)+MIN(MAX(AN306,0),'P-Parametri'!$B$8*(AN306+AM306)))</f>
        <v>36764.315397069942</v>
      </c>
      <c r="AP306" s="18">
        <f>IF($A306&gt;'1-Input'!$B$26,AN306,AN306-MIN(MAX(AN306,0),'P-Parametri'!$B$8*(AN306+AM306)))</f>
        <v>188342.54862944371</v>
      </c>
      <c r="AQ306" s="18">
        <f>IF($A306&gt;'1-Input'!$B$26,AQ305,AQ305-AL306*(1-AK306))</f>
        <v>90292.759882921877</v>
      </c>
    </row>
    <row r="307" spans="1:43">
      <c r="A307" s="10">
        <f>19</f>
        <v>19</v>
      </c>
      <c r="B307" s="11">
        <f>IF($A307&gt;'1-Input'!$B$26,0,IF(G306&lt;=0,0,MAX(0,(G306-H306)/G306)))</f>
        <v>0.52097635007291943</v>
      </c>
      <c r="C307" s="18">
        <f>IF($A307&gt;'1-Input'!$B$26,0,(MAX(0,B286-IF($A307&gt;='1-Input'!$C$12,'1-Input'!$B$12,0))-MIN(MAX(F306,0),MAX(0,B286-IF($A307&gt;='1-Input'!$C$12,'1-Input'!$B$12,0))))*(1/(1-'P-Parametri'!$B$6*B307))+MIN(MAX(0,G306-(MAX(0,B286-IF($A307&gt;='1-Input'!$C$12,'1-Input'!$B$12,0))-MIN(MAX(F306,0),MAX(0,B286-IF($A307&gt;='1-Input'!$C$12,'1-Input'!$B$12,0))))*(1/(1-'P-Parametri'!$B$6*B307))),MAX(0,2*B286-(F306-MIN(MAX(F306,0),MAX(0,B286-IF($A307&gt;='1-Input'!$C$12,'1-Input'!$B$12,0)))))*(1/(1-'P-Parametri'!$B$6*B307))))</f>
        <v>19051.46883954568</v>
      </c>
      <c r="D307" s="18">
        <f>IF($A307&gt;'1-Input'!$B$26,F306,(F306-MAX(0,B286-IF($A307&gt;='1-Input'!$C$12,'1-Input'!$B$12,0))+C307*(1-'P-Parametri'!$B$6*B307))*(1+ROUND('3-Liquidita'!$F$7,4)))</f>
        <v>33572.29192621589</v>
      </c>
      <c r="E307" s="18">
        <f>IF($A307&gt;'1-Input'!$B$26,G306,(G306-C307)*(1+'5-Roberta'!$C$4))</f>
        <v>221976.25133251512</v>
      </c>
      <c r="F307" s="18">
        <f>IF($A307&gt;'1-Input'!$B$26,D307,D307-'P-Parametri'!$B$8*(E307+D307)+MIN(MAX(E307,0),'P-Parametri'!$B$8*(E307+D307)))</f>
        <v>33572.29192621589</v>
      </c>
      <c r="G307" s="18">
        <f>IF($A307&gt;'1-Input'!$B$26,E307,E307-MIN(MAX(E307,0),'P-Parametri'!$B$8*(E307+D307)))</f>
        <v>221465.15424599766</v>
      </c>
      <c r="H307" s="18">
        <f>IF($A307&gt;'1-Input'!$B$26,H306,H306-C307*(1-B307))</f>
        <v>103234.82923342951</v>
      </c>
      <c r="I307" s="11">
        <f>IF($A307&gt;'1-Input'!$B$26,0,IF(N306&lt;=0,0,MAX(0,(N306-O306)/N306)))</f>
        <v>0.5190194442673951</v>
      </c>
      <c r="J307" s="18">
        <f>IF($A307&gt;'1-Input'!$B$26,0,(MAX(0,I286-IF($A307&gt;='1-Input'!$C$12,'1-Input'!$B$12,0))-MIN(MAX(M306,0),MAX(0,I286-IF($A307&gt;='1-Input'!$C$12,'1-Input'!$B$12,0))))*(1/(1-'P-Parametri'!$B$6*I307))+MIN(MAX(0,N306-(MAX(0,I286-IF($A307&gt;='1-Input'!$C$12,'1-Input'!$B$12,0))-MIN(MAX(M306,0),MAX(0,I286-IF($A307&gt;='1-Input'!$C$12,'1-Input'!$B$12,0))))*(1/(1-'P-Parametri'!$B$6*I307))),MAX(0,2*I286-(M306-MIN(MAX(M306,0),MAX(0,I286-IF($A307&gt;='1-Input'!$C$12,'1-Input'!$B$12,0)))))*(1/(1-'P-Parametri'!$B$6*I307))))</f>
        <v>25052.978186932218</v>
      </c>
      <c r="K307" s="18">
        <f>IF($A307&gt;'1-Input'!$B$26,M306,(M306-MAX(0,I286-IF($A307&gt;='1-Input'!$C$12,'1-Input'!$B$12,0))+J307*(1-'P-Parametri'!$B$6*I307))*(1+ROUND('3-Liquidita'!$F$7,4)))</f>
        <v>44174.068323968284</v>
      </c>
      <c r="L307" s="18">
        <f>IF($A307&gt;'1-Input'!$B$26,N306,(N306-J307)*(1+'5-Roberta'!$C$4))</f>
        <v>57705.963396985164</v>
      </c>
      <c r="M307" s="18">
        <f>IF($A307&gt;'1-Input'!$B$26,K307,K307-'P-Parametri'!$B$8*(L307+K307)+MIN(MAX(L307,0),'P-Parametri'!$B$8*(L307+K307)))</f>
        <v>44174.068323968284</v>
      </c>
      <c r="N307" s="18">
        <f>IF($A307&gt;'1-Input'!$B$26,L307,L307-MIN(MAX(L307,0),'P-Parametri'!$B$8*(L307+K307)))</f>
        <v>57502.203333543257</v>
      </c>
      <c r="O307" s="18">
        <f>IF($A307&gt;'1-Input'!$B$26,O306,O306-J307*(1-I307))</f>
        <v>26947.03528521095</v>
      </c>
      <c r="P307" s="11">
        <f>IF($A307&gt;'1-Input'!$B$26,0,IF(U306&lt;=0,0,MAX(0,(U306-V306)/U306)))</f>
        <v>0.52052657836178673</v>
      </c>
      <c r="Q307" s="18">
        <f>IF($A307&gt;'1-Input'!$B$26,0,(MAX(0,P286-IF($A307&gt;='1-Input'!$C$12,'1-Input'!$B$12,0))-MIN(MAX(T306,0),MAX(0,P286-IF($A307&gt;='1-Input'!$C$12,'1-Input'!$B$12,0))))*(1/(1-'P-Parametri'!$B$6*P307))+MIN(MAX(0,U306-(MAX(0,P286-IF($A307&gt;='1-Input'!$C$12,'1-Input'!$B$12,0))-MIN(MAX(T306,0),MAX(0,P286-IF($A307&gt;='1-Input'!$C$12,'1-Input'!$B$12,0))))*(1/(1-'P-Parametri'!$B$6*P307))),MAX(0,2*P286-(T306-MIN(MAX(T306,0),MAX(0,P286-IF($A307&gt;='1-Input'!$C$12,'1-Input'!$B$12,0)))))*(1/(1-'P-Parametri'!$B$6*P307))))</f>
        <v>21131.150195377279</v>
      </c>
      <c r="R307" s="18">
        <f>IF($A307&gt;'1-Input'!$B$26,T306,(T306-MAX(0,P286-IF($A307&gt;='1-Input'!$C$12,'1-Input'!$B$12,0))+Q307*(1-'P-Parametri'!$B$6*P307))*(1+ROUND('3-Liquidita'!$F$7,4)))</f>
        <v>37242.120653556609</v>
      </c>
      <c r="S307" s="18">
        <f>IF($A307&gt;'1-Input'!$B$26,U306,(U306-Q307)*(1+'5-Roberta'!$C$4))</f>
        <v>165102.1652211941</v>
      </c>
      <c r="T307" s="18">
        <f>IF($A307&gt;'1-Input'!$B$26,R307,R307-'P-Parametri'!$B$8*(S307+R307)+MIN(MAX(S307,0),'P-Parametri'!$B$8*(S307+R307)))</f>
        <v>37242.120653556609</v>
      </c>
      <c r="U307" s="18">
        <f>IF($A307&gt;'1-Input'!$B$26,S307,S307-MIN(MAX(S307,0),'P-Parametri'!$B$8*(S307+R307)))</f>
        <v>164697.47664944461</v>
      </c>
      <c r="V307" s="18">
        <f>IF($A307&gt;'1-Input'!$B$26,V306,V306-Q307*(1-P307))</f>
        <v>76856.407843187888</v>
      </c>
      <c r="W307" s="11">
        <f>IF($A307&gt;'1-Input'!$B$26,0,IF(AB306&lt;=0,0,MAX(0,(AB306-AC306)/AB306)))</f>
        <v>0.52058968711293307</v>
      </c>
      <c r="X307" s="18">
        <f>IF($A307&gt;'1-Input'!$B$26,0,(MAX(0,W286-IF($A307&gt;='1-Input'!$C$12,'1-Input'!$B$12,0))-MIN(MAX(AA306,0),MAX(0,W286-IF($A307&gt;='1-Input'!$C$12,'1-Input'!$B$12,0))))*(1/(1-'P-Parametri'!$B$6*W307))+MIN(MAX(0,AB306-(MAX(0,W286-IF($A307&gt;='1-Input'!$C$12,'1-Input'!$B$12,0))-MIN(MAX(AA306,0),MAX(0,W286-IF($A307&gt;='1-Input'!$C$12,'1-Input'!$B$12,0))))*(1/(1-'P-Parametri'!$B$6*W307))),MAX(0,2*W286-(AA306-MIN(MAX(AA306,0),MAX(0,W286-IF($A307&gt;='1-Input'!$C$12,'1-Input'!$B$12,0)))))*(1/(1-'P-Parametri'!$B$6*W307))))</f>
        <v>20873.732763939308</v>
      </c>
      <c r="Y307" s="18">
        <f>IF($A307&gt;'1-Input'!$B$26,AA306,(AA306-MAX(0,W286-IF($A307&gt;='1-Input'!$C$12,'1-Input'!$B$12,0))+X307*(1-'P-Parametri'!$B$6*W307))*(1+ROUND('3-Liquidita'!$F$7,4)))</f>
        <v>36787.742972329666</v>
      </c>
      <c r="Z307" s="18">
        <f>IF($A307&gt;'1-Input'!$B$26,AB306,(AB306-X307)*(1+'5-Roberta'!$C$4))</f>
        <v>172143.49840472572</v>
      </c>
      <c r="AA307" s="18">
        <f>IF($A307&gt;'1-Input'!$B$26,Y307,Y307-'P-Parametri'!$B$8*(Z307+Y307)+MIN(MAX(Z307,0),'P-Parametri'!$B$8*(Z307+Y307)))</f>
        <v>36787.742972329666</v>
      </c>
      <c r="AB307" s="18">
        <f>IF($A307&gt;'1-Input'!$B$26,Z307,Z307-MIN(MAX(Z307,0),'P-Parametri'!$B$8*(Z307+Y307)))</f>
        <v>171725.63592197161</v>
      </c>
      <c r="AC307" s="18">
        <f>IF($A307&gt;'1-Input'!$B$26,AC306,AC306-X307*(1-W307))</f>
        <v>80123.65867153772</v>
      </c>
      <c r="AD307" s="11">
        <f>IF($A307&gt;'1-Input'!$B$26,0,IF(AI306&lt;=0,0,MAX(0,(AI306-AJ306)/AI306)))</f>
        <v>0.5205928646240594</v>
      </c>
      <c r="AE307" s="18">
        <f>IF($A307&gt;'1-Input'!$B$26,0,(MAX(0,AD286-IF($A307&gt;='1-Input'!$C$12,'1-Input'!$B$12,0))-MIN(MAX(AH306,0),MAX(0,AD286-IF($A307&gt;='1-Input'!$C$12,'1-Input'!$B$12,0))))*(1/(1-'P-Parametri'!$B$6*AD307))+MIN(MAX(0,AI306-(MAX(0,AD286-IF($A307&gt;='1-Input'!$C$12,'1-Input'!$B$12,0))-MIN(MAX(AH306,0),MAX(0,AD286-IF($A307&gt;='1-Input'!$C$12,'1-Input'!$B$12,0))))*(1/(1-'P-Parametri'!$B$6*AD307))),MAX(0,2*AD286-(AH306-MIN(MAX(AH306,0),MAX(0,AD286-IF($A307&gt;='1-Input'!$C$12,'1-Input'!$B$12,0)))))*(1/(1-'P-Parametri'!$B$6*AD307))))</f>
        <v>20860.500107910324</v>
      </c>
      <c r="AF307" s="18">
        <f>IF($A307&gt;'1-Input'!$B$26,AH306,(AH306-MAX(0,AD286-IF($A307&gt;='1-Input'!$C$12,'1-Input'!$B$12,0))+AE307*(1-'P-Parametri'!$B$6*AD307))*(1+ROUND('3-Liquidita'!$F$7,4)))</f>
        <v>36764.386690049425</v>
      </c>
      <c r="AG307" s="18">
        <f>IF($A307&gt;'1-Input'!$B$26,AI306,(AI306-AE307)*(1+'5-Roberta'!$C$4))</f>
        <v>172505.44676466539</v>
      </c>
      <c r="AH307" s="18">
        <f>IF($A307&gt;'1-Input'!$B$26,AF307,AF307-'P-Parametri'!$B$8*(AG307+AF307)+MIN(MAX(AG307,0),'P-Parametri'!$B$8*(AG307+AF307)))</f>
        <v>36764.386690049425</v>
      </c>
      <c r="AI307" s="18">
        <f>IF($A307&gt;'1-Input'!$B$26,AG307,AG307-MIN(MAX(AG307,0),'P-Parametri'!$B$8*(AG307+AF307)))</f>
        <v>172086.90709775596</v>
      </c>
      <c r="AJ307" s="18">
        <f>IF($A307&gt;'1-Input'!$B$26,AJ306,AJ306-AE307*(1-AD307))</f>
        <v>80291.594242907842</v>
      </c>
      <c r="AK307" s="11">
        <f>IF($A307&gt;'1-Input'!$B$26,0,IF(AP306&lt;=0,0,MAX(0,(AP306-AQ306)/AP306)))</f>
        <v>0.5205928743134447</v>
      </c>
      <c r="AL307" s="18">
        <f>IF($A307&gt;'1-Input'!$B$26,0,(MAX(0,AK286-IF($A307&gt;='1-Input'!$C$12,'1-Input'!$B$12,0))-MIN(MAX(AO306,0),MAX(0,AK286-IF($A307&gt;='1-Input'!$C$12,'1-Input'!$B$12,0))))*(1/(1-'P-Parametri'!$B$6*AK307))+MIN(MAX(0,AP306-(MAX(0,AK286-IF($A307&gt;='1-Input'!$C$12,'1-Input'!$B$12,0))-MIN(MAX(AO306,0),MAX(0,AK286-IF($A307&gt;='1-Input'!$C$12,'1-Input'!$B$12,0))))*(1/(1-'P-Parametri'!$B$6*AK307))),MAX(0,2*AK286-(AO306-MIN(MAX(AO306,0),MAX(0,AK286-IF($A307&gt;='1-Input'!$C$12,'1-Input'!$B$12,0)))))*(1/(1-'P-Parametri'!$B$6*AK307))))</f>
        <v>20860.459716302339</v>
      </c>
      <c r="AM307" s="18">
        <f>IF($A307&gt;'1-Input'!$B$26,AO306,(AO306-MAX(0,AK286-IF($A307&gt;='1-Input'!$C$12,'1-Input'!$B$12,0))+AL307*(1-'P-Parametri'!$B$6*AK307))*(1+ROUND('3-Liquidita'!$F$7,4)))</f>
        <v>36764.315397069942</v>
      </c>
      <c r="AN307" s="18">
        <f>IF($A307&gt;'1-Input'!$B$26,AP306,(AP306-AL307)*(1+'5-Roberta'!$C$4))</f>
        <v>172506.55158053563</v>
      </c>
      <c r="AO307" s="18">
        <f>IF($A307&gt;'1-Input'!$B$26,AM307,AM307-'P-Parametri'!$B$8*(AN307+AM307)+MIN(MAX(AN307,0),'P-Parametri'!$B$8*(AN307+AM307)))</f>
        <v>36764.315397069942</v>
      </c>
      <c r="AP307" s="18">
        <f>IF($A307&gt;'1-Input'!$B$26,AN307,AN307-MIN(MAX(AN307,0),'P-Parametri'!$B$8*(AN307+AM307)))</f>
        <v>172088.00984658042</v>
      </c>
      <c r="AQ307" s="18">
        <f>IF($A307&gt;'1-Input'!$B$26,AQ306,AQ306-AL307*(1-AK307))</f>
        <v>80292.106849829201</v>
      </c>
    </row>
    <row r="308" spans="1:43">
      <c r="A308" s="10">
        <f>20</f>
        <v>20</v>
      </c>
      <c r="B308" s="11">
        <f>IF($A308&gt;'1-Input'!$B$26,0,IF(G307&lt;=0,0,MAX(0,(G307-H307)/G307)))</f>
        <v>0.53385520361023031</v>
      </c>
      <c r="C308" s="18">
        <f>IF($A308&gt;'1-Input'!$B$26,0,(MAX(0,B286-IF($A308&gt;='1-Input'!$C$12,'1-Input'!$B$12,0))-MIN(MAX(F307,0),MAX(0,B286-IF($A308&gt;='1-Input'!$C$12,'1-Input'!$B$12,0))))*(1/(1-'P-Parametri'!$B$6*B308))+MIN(MAX(0,G307-(MAX(0,B286-IF($A308&gt;='1-Input'!$C$12,'1-Input'!$B$12,0))-MIN(MAX(F307,0),MAX(0,B286-IF($A308&gt;='1-Input'!$C$12,'1-Input'!$B$12,0))))*(1/(1-'P-Parametri'!$B$6*B308))),MAX(0,2*B286-(F307-MIN(MAX(F307,0),MAX(0,B286-IF($A308&gt;='1-Input'!$C$12,'1-Input'!$B$12,0)))))*(1/(1-'P-Parametri'!$B$6*B308))))</f>
        <v>19125.544610885769</v>
      </c>
      <c r="D308" s="18">
        <f>IF($A308&gt;'1-Input'!$B$26,F307,(F307-MAX(0,B286-IF($A308&gt;='1-Input'!$C$12,'1-Input'!$B$12,0))+C308*(1-'P-Parametri'!$B$6*B308))*(1+ROUND('3-Liquidita'!$F$7,4)))</f>
        <v>33572.29192621589</v>
      </c>
      <c r="E308" s="18">
        <f>IF($A308&gt;'1-Input'!$B$26,G307,(G307-C308)*(1+'5-Roberta'!$C$4))</f>
        <v>208409.79792416526</v>
      </c>
      <c r="F308" s="18">
        <f>IF($A308&gt;'1-Input'!$B$26,D308,D308-'P-Parametri'!$B$8*(E308+D308)+MIN(MAX(E308,0),'P-Parametri'!$B$8*(E308+D308)))</f>
        <v>33572.29192621589</v>
      </c>
      <c r="G308" s="18">
        <f>IF($A308&gt;'1-Input'!$B$26,E308,E308-MIN(MAX(E308,0),'P-Parametri'!$B$8*(E308+D308)))</f>
        <v>207925.8337444645</v>
      </c>
      <c r="H308" s="18">
        <f>IF($A308&gt;'1-Input'!$B$26,H307,H307-C308*(1-B308))</f>
        <v>94319.556134944709</v>
      </c>
      <c r="I308" s="11">
        <f>IF($A308&gt;'1-Input'!$B$26,0,IF(N307&lt;=0,0,MAX(0,(N307-O307)/N307)))</f>
        <v>0.53137386529514596</v>
      </c>
      <c r="J308" s="18">
        <f>IF($A308&gt;'1-Input'!$B$26,0,(MAX(0,I286-IF($A308&gt;='1-Input'!$C$12,'1-Input'!$B$12,0))-MIN(MAX(M307,0),MAX(0,I286-IF($A308&gt;='1-Input'!$C$12,'1-Input'!$B$12,0))))*(1/(1-'P-Parametri'!$B$6*I308))+MIN(MAX(0,N307-(MAX(0,I286-IF($A308&gt;='1-Input'!$C$12,'1-Input'!$B$12,0))-MIN(MAX(M307,0),MAX(0,I286-IF($A308&gt;='1-Input'!$C$12,'1-Input'!$B$12,0))))*(1/(1-'P-Parametri'!$B$6*I308))),MAX(0,2*I286-(M307-MIN(MAX(M307,0),MAX(0,I286-IF($A308&gt;='1-Input'!$C$12,'1-Input'!$B$12,0)))))*(1/(1-'P-Parametri'!$B$6*I308))))</f>
        <v>25146.352420609182</v>
      </c>
      <c r="K308" s="18">
        <f>IF($A308&gt;'1-Input'!$B$26,M307,(M307-MAX(0,I286-IF($A308&gt;='1-Input'!$C$12,'1-Input'!$B$12,0))+J308*(1-'P-Parametri'!$B$6*I308))*(1+ROUND('3-Liquidita'!$F$7,4)))</f>
        <v>44174.068323968284</v>
      </c>
      <c r="L308" s="18">
        <f>IF($A308&gt;'1-Input'!$B$26,N307,(N307-J308)*(1+'5-Roberta'!$C$4))</f>
        <v>33326.526440322101</v>
      </c>
      <c r="M308" s="18">
        <f>IF($A308&gt;'1-Input'!$B$26,K308,K308-'P-Parametri'!$B$8*(L308+K308)+MIN(MAX(L308,0),'P-Parametri'!$B$8*(L308+K308)))</f>
        <v>44174.068323968284</v>
      </c>
      <c r="N308" s="18">
        <f>IF($A308&gt;'1-Input'!$B$26,L308,L308-MIN(MAX(L308,0),'P-Parametri'!$B$8*(L308+K308)))</f>
        <v>33171.525250793522</v>
      </c>
      <c r="O308" s="18">
        <f>IF($A308&gt;'1-Input'!$B$26,O307,O307-J308*(1-I308))</f>
        <v>15162.797348414819</v>
      </c>
      <c r="P308" s="11">
        <f>IF($A308&gt;'1-Input'!$B$26,0,IF(U307&lt;=0,0,MAX(0,(U307-V307)/U307)))</f>
        <v>0.53334799411180256</v>
      </c>
      <c r="Q308" s="18">
        <f>IF($A308&gt;'1-Input'!$B$26,0,(MAX(0,P286-IF($A308&gt;='1-Input'!$C$12,'1-Input'!$B$12,0))-MIN(MAX(T307,0),MAX(0,P286-IF($A308&gt;='1-Input'!$C$12,'1-Input'!$B$12,0))))*(1/(1-'P-Parametri'!$B$6*P308))+MIN(MAX(0,U307-(MAX(0,P286-IF($A308&gt;='1-Input'!$C$12,'1-Input'!$B$12,0))-MIN(MAX(T307,0),MAX(0,P286-IF($A308&gt;='1-Input'!$C$12,'1-Input'!$B$12,0))))*(1/(1-'P-Parametri'!$B$6*P308))),MAX(0,2*P286-(T307-MIN(MAX(T307,0),MAX(0,P286-IF($A308&gt;='1-Input'!$C$12,'1-Input'!$B$12,0)))))*(1/(1-'P-Parametri'!$B$6*P308))))</f>
        <v>21212.933213770557</v>
      </c>
      <c r="R308" s="18">
        <f>IF($A308&gt;'1-Input'!$B$26,T307,(T307-MAX(0,P286-IF($A308&gt;='1-Input'!$C$12,'1-Input'!$B$12,0))+Q308*(1-'P-Parametri'!$B$6*P308))*(1+ROUND('3-Liquidita'!$F$7,4)))</f>
        <v>37242.120653556602</v>
      </c>
      <c r="S308" s="18">
        <f>IF($A308&gt;'1-Input'!$B$26,U307,(U307-Q308)*(1+'5-Roberta'!$C$4))</f>
        <v>147789.07973874427</v>
      </c>
      <c r="T308" s="18">
        <f>IF($A308&gt;'1-Input'!$B$26,R308,R308-'P-Parametri'!$B$8*(S308+R308)+MIN(MAX(S308,0),'P-Parametri'!$B$8*(S308+R308)))</f>
        <v>37242.120653556602</v>
      </c>
      <c r="U308" s="18">
        <f>IF($A308&gt;'1-Input'!$B$26,S308,S308-MIN(MAX(S308,0),'P-Parametri'!$B$8*(S308+R308)))</f>
        <v>147419.01733795967</v>
      </c>
      <c r="V308" s="18">
        <f>IF($A308&gt;'1-Input'!$B$26,V307,V307-Q308*(1-P308))</f>
        <v>66957.350008209498</v>
      </c>
      <c r="W308" s="11">
        <f>IF($A308&gt;'1-Input'!$B$26,0,IF(AB307&lt;=0,0,MAX(0,(AB307-AC307)/AB307)))</f>
        <v>0.53342051557203629</v>
      </c>
      <c r="X308" s="18">
        <f>IF($A308&gt;'1-Input'!$B$26,0,(MAX(0,W286-IF($A308&gt;='1-Input'!$C$12,'1-Input'!$B$12,0))-MIN(MAX(AA307,0),MAX(0,W286-IF($A308&gt;='1-Input'!$C$12,'1-Input'!$B$12,0))))*(1/(1-'P-Parametri'!$B$6*W308))+MIN(MAX(0,AB307-(MAX(0,W286-IF($A308&gt;='1-Input'!$C$12,'1-Input'!$B$12,0))-MIN(MAX(AA307,0),MAX(0,W286-IF($A308&gt;='1-Input'!$C$12,'1-Input'!$B$12,0))))*(1/(1-'P-Parametri'!$B$6*W308))),MAX(0,2*W286-(AA307-MIN(MAX(AA307,0),MAX(0,W286-IF($A308&gt;='1-Input'!$C$12,'1-Input'!$B$12,0)))))*(1/(1-'P-Parametri'!$B$6*W308))))</f>
        <v>20954.580588882764</v>
      </c>
      <c r="Y308" s="18">
        <f>IF($A308&gt;'1-Input'!$B$26,AA307,(AA307-MAX(0,W286-IF($A308&gt;='1-Input'!$C$12,'1-Input'!$B$12,0))+X308*(1-'P-Parametri'!$B$6*W308))*(1+ROUND('3-Liquidita'!$F$7,4)))</f>
        <v>36787.742972329659</v>
      </c>
      <c r="Z308" s="18">
        <f>IF($A308&gt;'1-Input'!$B$26,AB307,(AB307-X308)*(1+'5-Roberta'!$C$4))</f>
        <v>155294.18699308153</v>
      </c>
      <c r="AA308" s="18">
        <f>IF($A308&gt;'1-Input'!$B$26,Y308,Y308-'P-Parametri'!$B$8*(Z308+Y308)+MIN(MAX(Z308,0),'P-Parametri'!$B$8*(Z308+Y308)))</f>
        <v>36787.742972329659</v>
      </c>
      <c r="AB308" s="18">
        <f>IF($A308&gt;'1-Input'!$B$26,Z308,Z308-MIN(MAX(Z308,0),'P-Parametri'!$B$8*(Z308+Y308)))</f>
        <v>154910.02313315071</v>
      </c>
      <c r="AC308" s="18">
        <f>IF($A308&gt;'1-Input'!$B$26,AC307,AC307-X308*(1-W308))</f>
        <v>70346.681263972583</v>
      </c>
      <c r="AD308" s="11">
        <f>IF($A308&gt;'1-Input'!$B$26,0,IF(AI307&lt;=0,0,MAX(0,(AI307-AJ307)/AI307)))</f>
        <v>0.53342415412639577</v>
      </c>
      <c r="AE308" s="18">
        <f>IF($A308&gt;'1-Input'!$B$26,0,(MAX(0,AD286-IF($A308&gt;='1-Input'!$C$12,'1-Input'!$B$12,0))-MIN(MAX(AH307,0),MAX(0,AD286-IF($A308&gt;='1-Input'!$C$12,'1-Input'!$B$12,0))))*(1/(1-'P-Parametri'!$B$6*AD308))+MIN(MAX(0,AI307-(MAX(0,AD286-IF($A308&gt;='1-Input'!$C$12,'1-Input'!$B$12,0))-MIN(MAX(AH307,0),MAX(0,AD286-IF($A308&gt;='1-Input'!$C$12,'1-Input'!$B$12,0))))*(1/(1-'P-Parametri'!$B$6*AD308))),MAX(0,2*AD286-(AH307-MIN(MAX(AH307,0),MAX(0,AD286-IF($A308&gt;='1-Input'!$C$12,'1-Input'!$B$12,0)))))*(1/(1-'P-Parametri'!$B$6*AD308))))</f>
        <v>20941.299672297446</v>
      </c>
      <c r="AF308" s="18">
        <f>IF($A308&gt;'1-Input'!$B$26,AH307,(AH307-MAX(0,AD286-IF($A308&gt;='1-Input'!$C$12,'1-Input'!$B$12,0))+AE308*(1-'P-Parametri'!$B$6*AD308))*(1+ROUND('3-Liquidita'!$F$7,4)))</f>
        <v>36764.386690049425</v>
      </c>
      <c r="AG308" s="18">
        <f>IF($A308&gt;'1-Input'!$B$26,AI307,(AI307-AE308)*(1+'5-Roberta'!$C$4))</f>
        <v>155679.97564822229</v>
      </c>
      <c r="AH308" s="18">
        <f>IF($A308&gt;'1-Input'!$B$26,AF308,AF308-'P-Parametri'!$B$8*(AG308+AF308)+MIN(MAX(AG308,0),'P-Parametri'!$B$8*(AG308+AF308)))</f>
        <v>36764.386690049425</v>
      </c>
      <c r="AI308" s="18">
        <f>IF($A308&gt;'1-Input'!$B$26,AG308,AG308-MIN(MAX(AG308,0),'P-Parametri'!$B$8*(AG308+AF308)))</f>
        <v>155295.08692354575</v>
      </c>
      <c r="AJ308" s="18">
        <f>IF($A308&gt;'1-Input'!$B$26,AJ307,AJ307-AE308*(1-AD308))</f>
        <v>70520.889634613035</v>
      </c>
      <c r="AK308" s="11">
        <f>IF($A308&gt;'1-Input'!$B$26,0,IF(AP307&lt;=0,0,MAX(0,(AP307-AQ307)/AP307)))</f>
        <v>0.53342416521981362</v>
      </c>
      <c r="AL308" s="18">
        <f>IF($A308&gt;'1-Input'!$B$26,0,(MAX(0,AK286-IF($A308&gt;='1-Input'!$C$12,'1-Input'!$B$12,0))-MIN(MAX(AO307,0),MAX(0,AK286-IF($A308&gt;='1-Input'!$C$12,'1-Input'!$B$12,0))))*(1/(1-'P-Parametri'!$B$6*AK308))+MIN(MAX(0,AP307-(MAX(0,AK286-IF($A308&gt;='1-Input'!$C$12,'1-Input'!$B$12,0))-MIN(MAX(AO307,0),MAX(0,AK286-IF($A308&gt;='1-Input'!$C$12,'1-Input'!$B$12,0))))*(1/(1-'P-Parametri'!$B$6*AK308))),MAX(0,2*AK286-(AO307-MIN(MAX(AO307,0),MAX(0,AK286-IF($A308&gt;='1-Input'!$C$12,'1-Input'!$B$12,0)))))*(1/(1-'P-Parametri'!$B$6*AK308))))</f>
        <v>20941.259133351363</v>
      </c>
      <c r="AM308" s="18">
        <f>IF($A308&gt;'1-Input'!$B$26,AO307,(AO307-MAX(0,AK286-IF($A308&gt;='1-Input'!$C$12,'1-Input'!$B$12,0))+AL308*(1-'P-Parametri'!$B$6*AK308))*(1+ROUND('3-Liquidita'!$F$7,4)))</f>
        <v>36764.315397069942</v>
      </c>
      <c r="AN308" s="18">
        <f>IF($A308&gt;'1-Input'!$B$26,AP307,(AP307-AL308)*(1+'5-Roberta'!$C$4))</f>
        <v>155681.15323462593</v>
      </c>
      <c r="AO308" s="18">
        <f>IF($A308&gt;'1-Input'!$B$26,AM308,AM308-'P-Parametri'!$B$8*(AN308+AM308)+MIN(MAX(AN308,0),'P-Parametri'!$B$8*(AN308+AM308)))</f>
        <v>36764.315397069942</v>
      </c>
      <c r="AP308" s="18">
        <f>IF($A308&gt;'1-Input'!$B$26,AN308,AN308-MIN(MAX(AN308,0),'P-Parametri'!$B$8*(AN308+AM308)))</f>
        <v>155296.26229736255</v>
      </c>
      <c r="AQ308" s="18">
        <f>IF($A308&gt;'1-Input'!$B$26,AQ307,AQ307-AL308*(1-AK308))</f>
        <v>70521.421388337592</v>
      </c>
    </row>
    <row r="309" spans="1:43">
      <c r="A309" s="10">
        <f>21</f>
        <v>21</v>
      </c>
      <c r="B309" s="11">
        <f>IF($A309&gt;'1-Input'!$B$26,0,IF(G308&lt;=0,0,MAX(0,(G308-H308)/G308)))</f>
        <v>0.54637884847507201</v>
      </c>
      <c r="C309" s="18">
        <f>IF($A309&gt;'1-Input'!$B$26,0,(MAX(0,B286-IF($A309&gt;='1-Input'!$C$12,'1-Input'!$B$12,0))-MIN(MAX(F308,0),MAX(0,B286-IF($A309&gt;='1-Input'!$C$12,'1-Input'!$B$12,0))))*(1/(1-'P-Parametri'!$B$6*B309))+MIN(MAX(0,G308-(MAX(0,B286-IF($A309&gt;='1-Input'!$C$12,'1-Input'!$B$12,0))-MIN(MAX(F308,0),MAX(0,B286-IF($A309&gt;='1-Input'!$C$12,'1-Input'!$B$12,0))))*(1/(1-'P-Parametri'!$B$6*B309))),MAX(0,2*B286-(F308-MIN(MAX(F308,0),MAX(0,B286-IF($A309&gt;='1-Input'!$C$12,'1-Input'!$B$12,0)))))*(1/(1-'P-Parametri'!$B$6*B309))))</f>
        <v>19198.131841446007</v>
      </c>
      <c r="D309" s="18">
        <f>IF($A309&gt;'1-Input'!$B$26,F308,(F308-MAX(0,B286-IF($A309&gt;='1-Input'!$C$12,'1-Input'!$B$12,0))+C309*(1-'P-Parametri'!$B$6*B309))*(1+ROUND('3-Liquidita'!$F$7,4)))</f>
        <v>33572.29192621589</v>
      </c>
      <c r="E309" s="18">
        <f>IF($A309&gt;'1-Input'!$B$26,G308,(G308-C309)*(1+'5-Roberta'!$C$4))</f>
        <v>194389.53296010906</v>
      </c>
      <c r="F309" s="18">
        <f>IF($A309&gt;'1-Input'!$B$26,D309,D309-'P-Parametri'!$B$8*(E309+D309)+MIN(MAX(E309,0),'P-Parametri'!$B$8*(E309+D309)))</f>
        <v>33572.29192621589</v>
      </c>
      <c r="G309" s="18">
        <f>IF($A309&gt;'1-Input'!$B$26,E309,E309-MIN(MAX(E309,0),'P-Parametri'!$B$8*(E309+D309)))</f>
        <v>193933.60931033641</v>
      </c>
      <c r="H309" s="18">
        <f>IF($A309&gt;'1-Input'!$B$26,H308,H308-C309*(1-B309))</f>
        <v>85610.877461900585</v>
      </c>
      <c r="I309" s="11">
        <f>IF($A309&gt;'1-Input'!$B$26,0,IF(N308&lt;=0,0,MAX(0,(N308-O308)/N308)))</f>
        <v>0.54289719167941797</v>
      </c>
      <c r="J309" s="18">
        <f>IF($A309&gt;'1-Input'!$B$26,0,(MAX(0,I286-IF($A309&gt;='1-Input'!$C$12,'1-Input'!$B$12,0))-MIN(MAX(M308,0),MAX(0,I286-IF($A309&gt;='1-Input'!$C$12,'1-Input'!$B$12,0))))*(1/(1-'P-Parametri'!$B$6*I309))+MIN(MAX(0,N308-(MAX(0,I286-IF($A309&gt;='1-Input'!$C$12,'1-Input'!$B$12,0))-MIN(MAX(M308,0),MAX(0,I286-IF($A309&gt;='1-Input'!$C$12,'1-Input'!$B$12,0))))*(1/(1-'P-Parametri'!$B$6*I309))),MAX(0,2*I286-(M308-MIN(MAX(M308,0),MAX(0,I286-IF($A309&gt;='1-Input'!$C$12,'1-Input'!$B$12,0)))))*(1/(1-'P-Parametri'!$B$6*I309))))</f>
        <v>25234.074828107889</v>
      </c>
      <c r="K309" s="18">
        <f>IF($A309&gt;'1-Input'!$B$26,M308,(M308-MAX(0,I286-IF($A309&gt;='1-Input'!$C$12,'1-Input'!$B$12,0))+J309*(1-'P-Parametri'!$B$6*I309))*(1+ROUND('3-Liquidita'!$F$7,4)))</f>
        <v>44174.068323968284</v>
      </c>
      <c r="L309" s="18">
        <f>IF($A309&gt;'1-Input'!$B$26,N308,(N308-J309)*(1+'5-Roberta'!$C$4))</f>
        <v>8175.5739353662029</v>
      </c>
      <c r="M309" s="18">
        <f>IF($A309&gt;'1-Input'!$B$26,K309,K309-'P-Parametri'!$B$8*(L309+K309)+MIN(MAX(L309,0),'P-Parametri'!$B$8*(L309+K309)))</f>
        <v>44174.068323968284</v>
      </c>
      <c r="N309" s="18">
        <f>IF($A309&gt;'1-Input'!$B$26,L309,L309-MIN(MAX(L309,0),'P-Parametri'!$B$8*(L309+K309)))</f>
        <v>8070.8746508475342</v>
      </c>
      <c r="O309" s="18">
        <f>IF($A309&gt;'1-Input'!$B$26,O308,O308-J309*(1-I309))</f>
        <v>3628.2308791149953</v>
      </c>
      <c r="P309" s="11">
        <f>IF($A309&gt;'1-Input'!$B$26,0,IF(U308&lt;=0,0,MAX(0,(U308-V308)/U308)))</f>
        <v>0.54580249402484449</v>
      </c>
      <c r="Q309" s="18">
        <f>IF($A309&gt;'1-Input'!$B$26,0,(MAX(0,P286-IF($A309&gt;='1-Input'!$C$12,'1-Input'!$B$12,0))-MIN(MAX(T308,0),MAX(0,P286-IF($A309&gt;='1-Input'!$C$12,'1-Input'!$B$12,0))))*(1/(1-'P-Parametri'!$B$6*P309))+MIN(MAX(0,U308-(MAX(0,P286-IF($A309&gt;='1-Input'!$C$12,'1-Input'!$B$12,0))-MIN(MAX(T308,0),MAX(0,P286-IF($A309&gt;='1-Input'!$C$12,'1-Input'!$B$12,0))))*(1/(1-'P-Parametri'!$B$6*P309))),MAX(0,2*P286-(T308-MIN(MAX(T308,0),MAX(0,P286-IF($A309&gt;='1-Input'!$C$12,'1-Input'!$B$12,0)))))*(1/(1-'P-Parametri'!$B$6*P309))))</f>
        <v>21292.9842285499</v>
      </c>
      <c r="R309" s="18">
        <f>IF($A309&gt;'1-Input'!$B$26,T308,(T308-MAX(0,P286-IF($A309&gt;='1-Input'!$C$12,'1-Input'!$B$12,0))+Q309*(1-'P-Parametri'!$B$6*P309))*(1+ROUND('3-Liquidita'!$F$7,4)))</f>
        <v>37242.120653556602</v>
      </c>
      <c r="S309" s="18">
        <f>IF($A309&gt;'1-Input'!$B$26,U308,(U308-Q309)*(1+'5-Roberta'!$C$4))</f>
        <v>129909.81410269206</v>
      </c>
      <c r="T309" s="18">
        <f>IF($A309&gt;'1-Input'!$B$26,R309,R309-'P-Parametri'!$B$8*(S309+R309)+MIN(MAX(S309,0),'P-Parametri'!$B$8*(S309+R309)))</f>
        <v>37242.120653556602</v>
      </c>
      <c r="U309" s="18">
        <f>IF($A309&gt;'1-Input'!$B$26,S309,S309-MIN(MAX(S309,0),'P-Parametri'!$B$8*(S309+R309)))</f>
        <v>129575.51023317956</v>
      </c>
      <c r="V309" s="18">
        <f>IF($A309&gt;'1-Input'!$B$26,V308,V308-Q309*(1-P309))</f>
        <v>57286.129676833814</v>
      </c>
      <c r="W309" s="11">
        <f>IF($A309&gt;'1-Input'!$B$26,0,IF(AB308&lt;=0,0,MAX(0,(AB308-AC308)/AB308)))</f>
        <v>0.54588683261955817</v>
      </c>
      <c r="X309" s="18">
        <f>IF($A309&gt;'1-Input'!$B$26,0,(MAX(0,W286-IF($A309&gt;='1-Input'!$C$12,'1-Input'!$B$12,0))-MIN(MAX(AA308,0),MAX(0,W286-IF($A309&gt;='1-Input'!$C$12,'1-Input'!$B$12,0))))*(1/(1-'P-Parametri'!$B$6*W309))+MIN(MAX(0,AB308-(MAX(0,W286-IF($A309&gt;='1-Input'!$C$12,'1-Input'!$B$12,0))-MIN(MAX(AA308,0),MAX(0,W286-IF($A309&gt;='1-Input'!$C$12,'1-Input'!$B$12,0))))*(1/(1-'P-Parametri'!$B$6*W309))),MAX(0,2*W286-(AA308-MIN(MAX(AA308,0),MAX(0,W286-IF($A309&gt;='1-Input'!$C$12,'1-Input'!$B$12,0)))))*(1/(1-'P-Parametri'!$B$6*W309))))</f>
        <v>21033.733713205009</v>
      </c>
      <c r="Y309" s="18">
        <f>IF($A309&gt;'1-Input'!$B$26,AA308,(AA308-MAX(0,W286-IF($A309&gt;='1-Input'!$C$12,'1-Input'!$B$12,0))+X309*(1-'P-Parametri'!$B$6*W309))*(1+ROUND('3-Liquidita'!$F$7,4)))</f>
        <v>36787.742972329659</v>
      </c>
      <c r="Z309" s="18">
        <f>IF($A309&gt;'1-Input'!$B$26,AB308,(AB308-X309)*(1+'5-Roberta'!$C$4))</f>
        <v>137892.5781025441</v>
      </c>
      <c r="AA309" s="18">
        <f>IF($A309&gt;'1-Input'!$B$26,Y309,Y309-'P-Parametri'!$B$8*(Z309+Y309)+MIN(MAX(Z309,0),'P-Parametri'!$B$8*(Z309+Y309)))</f>
        <v>36787.742972329659</v>
      </c>
      <c r="AB309" s="18">
        <f>IF($A309&gt;'1-Input'!$B$26,Z309,Z309-MIN(MAX(Z309,0),'P-Parametri'!$B$8*(Z309+Y309)))</f>
        <v>137543.21746039434</v>
      </c>
      <c r="AC309" s="18">
        <f>IF($A309&gt;'1-Input'!$B$26,AC308,AC308-X309*(1-W309))</f>
        <v>60794.985825632277</v>
      </c>
      <c r="AD309" s="11">
        <f>IF($A309&gt;'1-Input'!$B$26,0,IF(AI308&lt;=0,0,MAX(0,(AI308-AJ308)/AI308)))</f>
        <v>0.54589104503137564</v>
      </c>
      <c r="AE309" s="18">
        <f>IF($A309&gt;'1-Input'!$B$26,0,(MAX(0,AD286-IF($A309&gt;='1-Input'!$C$12,'1-Input'!$B$12,0))-MIN(MAX(AH308,0),MAX(0,AD286-IF($A309&gt;='1-Input'!$C$12,'1-Input'!$B$12,0))))*(1/(1-'P-Parametri'!$B$6*AD309))+MIN(MAX(0,AI308-(MAX(0,AD286-IF($A309&gt;='1-Input'!$C$12,'1-Input'!$B$12,0))-MIN(MAX(AH308,0),MAX(0,AD286-IF($A309&gt;='1-Input'!$C$12,'1-Input'!$B$12,0))))*(1/(1-'P-Parametri'!$B$6*AD309))),MAX(0,2*AD286-(AH308-MIN(MAX(AH308,0),MAX(0,AD286-IF($A309&gt;='1-Input'!$C$12,'1-Input'!$B$12,0)))))*(1/(1-'P-Parametri'!$B$6*AD309))))</f>
        <v>21020.406372022764</v>
      </c>
      <c r="AF309" s="18">
        <f>IF($A309&gt;'1-Input'!$B$26,AH308,(AH308-MAX(0,AD286-IF($A309&gt;='1-Input'!$C$12,'1-Input'!$B$12,0))+AE309*(1-'P-Parametri'!$B$6*AD309))*(1+ROUND('3-Liquidita'!$F$7,4)))</f>
        <v>36764.386690049425</v>
      </c>
      <c r="AG309" s="18">
        <f>IF($A309&gt;'1-Input'!$B$26,AI308,(AI308-AE309)*(1+'5-Roberta'!$C$4))</f>
        <v>138302.92096806868</v>
      </c>
      <c r="AH309" s="18">
        <f>IF($A309&gt;'1-Input'!$B$26,AF309,AF309-'P-Parametri'!$B$8*(AG309+AF309)+MIN(MAX(AG309,0),'P-Parametri'!$B$8*(AG309+AF309)))</f>
        <v>36764.386690049425</v>
      </c>
      <c r="AI309" s="18">
        <f>IF($A309&gt;'1-Input'!$B$26,AG309,AG309-MIN(MAX(AG309,0),'P-Parametri'!$B$8*(AG309+AF309)))</f>
        <v>137952.78635275245</v>
      </c>
      <c r="AJ309" s="18">
        <f>IF($A309&gt;'1-Input'!$B$26,AJ308,AJ308-AE309*(1-AD309))</f>
        <v>60975.334863997967</v>
      </c>
      <c r="AK309" s="11">
        <f>IF($A309&gt;'1-Input'!$B$26,0,IF(AP308&lt;=0,0,MAX(0,(AP308-AQ308)/AP308)))</f>
        <v>0.54589105787167891</v>
      </c>
      <c r="AL309" s="18">
        <f>IF($A309&gt;'1-Input'!$B$26,0,(MAX(0,AK286-IF($A309&gt;='1-Input'!$C$12,'1-Input'!$B$12,0))-MIN(MAX(AO308,0),MAX(0,AK286-IF($A309&gt;='1-Input'!$C$12,'1-Input'!$B$12,0))))*(1/(1-'P-Parametri'!$B$6*AK309))+MIN(MAX(0,AP308-(MAX(0,AK286-IF($A309&gt;='1-Input'!$C$12,'1-Input'!$B$12,0))-MIN(MAX(AO308,0),MAX(0,AK286-IF($A309&gt;='1-Input'!$C$12,'1-Input'!$B$12,0))))*(1/(1-'P-Parametri'!$B$6*AK309))),MAX(0,2*AK286-(AO308-MIN(MAX(AO308,0),MAX(0,AK286-IF($A309&gt;='1-Input'!$C$12,'1-Input'!$B$12,0)))))*(1/(1-'P-Parametri'!$B$6*AK309))))</f>
        <v>21020.365691331332</v>
      </c>
      <c r="AM309" s="18">
        <f>IF($A309&gt;'1-Input'!$B$26,AO308,(AO308-MAX(0,AK286-IF($A309&gt;='1-Input'!$C$12,'1-Input'!$B$12,0))+AL309*(1-'P-Parametri'!$B$6*AK309))*(1+ROUND('3-Liquidita'!$F$7,4)))</f>
        <v>36764.315397069942</v>
      </c>
      <c r="AN309" s="18">
        <f>IF($A309&gt;'1-Input'!$B$26,AP308,(AP308-AL309)*(1+'5-Roberta'!$C$4))</f>
        <v>138304.17350421217</v>
      </c>
      <c r="AO309" s="18">
        <f>IF($A309&gt;'1-Input'!$B$26,AM309,AM309-'P-Parametri'!$B$8*(AN309+AM309)+MIN(MAX(AN309,0),'P-Parametri'!$B$8*(AN309+AM309)))</f>
        <v>36764.315397069942</v>
      </c>
      <c r="AP309" s="18">
        <f>IF($A309&gt;'1-Input'!$B$26,AN309,AN309-MIN(MAX(AN309,0),'P-Parametri'!$B$8*(AN309+AM309)))</f>
        <v>137954.03652640962</v>
      </c>
      <c r="AQ309" s="18">
        <f>IF($A309&gt;'1-Input'!$B$26,AQ308,AQ308-AL309*(1-AK309))</f>
        <v>60975.885361096669</v>
      </c>
    </row>
    <row r="310" spans="1:43">
      <c r="A310" s="10">
        <f>22</f>
        <v>22</v>
      </c>
      <c r="B310" s="11">
        <f>IF($A310&gt;'1-Input'!$B$26,0,IF(G309&lt;=0,0,MAX(0,(G309-H309)/G309)))</f>
        <v>0.55855574613214998</v>
      </c>
      <c r="C310" s="18">
        <f>IF($A310&gt;'1-Input'!$B$26,0,(MAX(0,B286-IF($A310&gt;='1-Input'!$C$12,'1-Input'!$B$12,0))-MIN(MAX(F309,0),MAX(0,B286-IF($A310&gt;='1-Input'!$C$12,'1-Input'!$B$12,0))))*(1/(1-'P-Parametri'!$B$6*B310))+MIN(MAX(0,G309-(MAX(0,B286-IF($A310&gt;='1-Input'!$C$12,'1-Input'!$B$12,0))-MIN(MAX(F309,0),MAX(0,B286-IF($A310&gt;='1-Input'!$C$12,'1-Input'!$B$12,0))))*(1/(1-'P-Parametri'!$B$6*B310))),MAX(0,2*B286-(F309-MIN(MAX(F309,0),MAX(0,B286-IF($A310&gt;='1-Input'!$C$12,'1-Input'!$B$12,0)))))*(1/(1-'P-Parametri'!$B$6*B310))))</f>
        <v>19269.239586227472</v>
      </c>
      <c r="D310" s="18">
        <f>IF($A310&gt;'1-Input'!$B$26,F309,(F309-MAX(0,B286-IF($A310&gt;='1-Input'!$C$12,'1-Input'!$B$12,0))+C310*(1-'P-Parametri'!$B$6*B310))*(1+ROUND('3-Liquidita'!$F$7,4)))</f>
        <v>33572.29192621589</v>
      </c>
      <c r="E310" s="18">
        <f>IF($A310&gt;'1-Input'!$B$26,G309,(G309-C310)*(1+'5-Roberta'!$C$4))</f>
        <v>179904.30081583222</v>
      </c>
      <c r="F310" s="18">
        <f>IF($A310&gt;'1-Input'!$B$26,D310,D310-'P-Parametri'!$B$8*(E310+D310)+MIN(MAX(E310,0),'P-Parametri'!$B$8*(E310+D310)))</f>
        <v>33572.29192621589</v>
      </c>
      <c r="G310" s="18">
        <f>IF($A310&gt;'1-Input'!$B$26,E310,E310-MIN(MAX(E310,0),'P-Parametri'!$B$8*(E310+D310)))</f>
        <v>179477.34763034811</v>
      </c>
      <c r="H310" s="18">
        <f>IF($A310&gt;'1-Input'!$B$26,H309,H309-C310*(1-B310))</f>
        <v>77104.582370157557</v>
      </c>
      <c r="I310" s="11">
        <f>IF($A310&gt;'1-Input'!$B$26,0,IF(N309&lt;=0,0,MAX(0,(N309-O309)/N309)))</f>
        <v>0.55045381869064347</v>
      </c>
      <c r="J310" s="18">
        <f>IF($A310&gt;'1-Input'!$B$26,0,(MAX(0,I286-IF($A310&gt;='1-Input'!$C$12,'1-Input'!$B$12,0))-MIN(MAX(M309,0),MAX(0,I286-IF($A310&gt;='1-Input'!$C$12,'1-Input'!$B$12,0))))*(1/(1-'P-Parametri'!$B$6*I310))+MIN(MAX(0,N309-(MAX(0,I286-IF($A310&gt;='1-Input'!$C$12,'1-Input'!$B$12,0))-MIN(MAX(M309,0),MAX(0,I286-IF($A310&gt;='1-Input'!$C$12,'1-Input'!$B$12,0))))*(1/(1-'P-Parametri'!$B$6*I310))),MAX(0,2*I286-(M309-MIN(MAX(M309,0),MAX(0,I286-IF($A310&gt;='1-Input'!$C$12,'1-Input'!$B$12,0)))))*(1/(1-'P-Parametri'!$B$6*I310))))</f>
        <v>8070.8746508475342</v>
      </c>
      <c r="K310" s="18">
        <f>IF($A310&gt;'1-Input'!$B$26,M309,(M309-MAX(0,I286-IF($A310&gt;='1-Input'!$C$12,'1-Input'!$B$12,0))+J310*(1-'P-Parametri'!$B$6*I310))*(1+ROUND('3-Liquidita'!$F$7,4)))</f>
        <v>29324.687522424458</v>
      </c>
      <c r="L310" s="18">
        <f>IF($A310&gt;'1-Input'!$B$26,N309,(N309-J310)*(1+'5-Roberta'!$C$4))</f>
        <v>0</v>
      </c>
      <c r="M310" s="18">
        <f>IF($A310&gt;'1-Input'!$B$26,K310,K310-'P-Parametri'!$B$8*(L310+K310)+MIN(MAX(L310,0),'P-Parametri'!$B$8*(L310+K310)))</f>
        <v>29266.038147379608</v>
      </c>
      <c r="N310" s="18">
        <f>IF($A310&gt;'1-Input'!$B$26,L310,L310-MIN(MAX(L310,0),'P-Parametri'!$B$8*(L310+K310)))</f>
        <v>0</v>
      </c>
      <c r="O310" s="18">
        <f>IF($A310&gt;'1-Input'!$B$26,O309,O309-J310*(1-I310))</f>
        <v>0</v>
      </c>
      <c r="P310" s="11">
        <f>IF($A310&gt;'1-Input'!$B$26,0,IF(U309&lt;=0,0,MAX(0,(U309-V309)/U309)))</f>
        <v>0.55789385221216803</v>
      </c>
      <c r="Q310" s="18">
        <f>IF($A310&gt;'1-Input'!$B$26,0,(MAX(0,P286-IF($A310&gt;='1-Input'!$C$12,'1-Input'!$B$12,0))-MIN(MAX(T309,0),MAX(0,P286-IF($A310&gt;='1-Input'!$C$12,'1-Input'!$B$12,0))))*(1/(1-'P-Parametri'!$B$6*P310))+MIN(MAX(0,U309-(MAX(0,P286-IF($A310&gt;='1-Input'!$C$12,'1-Input'!$B$12,0))-MIN(MAX(T309,0),MAX(0,P286-IF($A310&gt;='1-Input'!$C$12,'1-Input'!$B$12,0))))*(1/(1-'P-Parametri'!$B$6*P310))),MAX(0,2*P286-(T309-MIN(MAX(T309,0),MAX(0,P286-IF($A310&gt;='1-Input'!$C$12,'1-Input'!$B$12,0)))))*(1/(1-'P-Parametri'!$B$6*P310))))</f>
        <v>21371.281291330455</v>
      </c>
      <c r="R310" s="18">
        <f>IF($A310&gt;'1-Input'!$B$26,T309,(T309-MAX(0,P286-IF($A310&gt;='1-Input'!$C$12,'1-Input'!$B$12,0))+Q310*(1-'P-Parametri'!$B$6*P310))*(1+ROUND('3-Liquidita'!$F$7,4)))</f>
        <v>37242.120653556602</v>
      </c>
      <c r="S310" s="18">
        <f>IF($A310&gt;'1-Input'!$B$26,U309,(U309-Q310)*(1+'5-Roberta'!$C$4))</f>
        <v>111450.35581010459</v>
      </c>
      <c r="T310" s="18">
        <f>IF($A310&gt;'1-Input'!$B$26,R310,R310-'P-Parametri'!$B$8*(S310+R310)+MIN(MAX(S310,0),'P-Parametri'!$B$8*(S310+R310)))</f>
        <v>37242.120653556602</v>
      </c>
      <c r="U310" s="18">
        <f>IF($A310&gt;'1-Input'!$B$26,S310,S310-MIN(MAX(S310,0),'P-Parametri'!$B$8*(S310+R310)))</f>
        <v>111152.97085717726</v>
      </c>
      <c r="V310" s="18">
        <f>IF($A310&gt;'1-Input'!$B$26,V309,V309-Q310*(1-P310))</f>
        <v>47837.754831833547</v>
      </c>
      <c r="W310" s="11">
        <f>IF($A310&gt;'1-Input'!$B$26,0,IF(AB309&lt;=0,0,MAX(0,(AB309-AC309)/AB309)))</f>
        <v>0.55799357505114178</v>
      </c>
      <c r="X310" s="18">
        <f>IF($A310&gt;'1-Input'!$B$26,0,(MAX(0,W286-IF($A310&gt;='1-Input'!$C$12,'1-Input'!$B$12,0))-MIN(MAX(AA309,0),MAX(0,W286-IF($A310&gt;='1-Input'!$C$12,'1-Input'!$B$12,0))))*(1/(1-'P-Parametri'!$B$6*W310))+MIN(MAX(0,AB309-(MAX(0,W286-IF($A310&gt;='1-Input'!$C$12,'1-Input'!$B$12,0))-MIN(MAX(AA309,0),MAX(0,W286-IF($A310&gt;='1-Input'!$C$12,'1-Input'!$B$12,0))))*(1/(1-'P-Parametri'!$B$6*W310))),MAX(0,2*W286-(AA309-MIN(MAX(AA309,0),MAX(0,W286-IF($A310&gt;='1-Input'!$C$12,'1-Input'!$B$12,0)))))*(1/(1-'P-Parametri'!$B$6*W310))))</f>
        <v>21111.178233984072</v>
      </c>
      <c r="Y310" s="18">
        <f>IF($A310&gt;'1-Input'!$B$26,AA309,(AA309-MAX(0,W286-IF($A310&gt;='1-Input'!$C$12,'1-Input'!$B$12,0))+X310*(1-'P-Parametri'!$B$6*W310))*(1+ROUND('3-Liquidita'!$F$7,4)))</f>
        <v>36787.742972329659</v>
      </c>
      <c r="Z310" s="18">
        <f>IF($A310&gt;'1-Input'!$B$26,AB309,(AB309-X310)*(1+'5-Roberta'!$C$4))</f>
        <v>119925.00040320258</v>
      </c>
      <c r="AA310" s="18">
        <f>IF($A310&gt;'1-Input'!$B$26,Y310,Y310-'P-Parametri'!$B$8*(Z310+Y310)+MIN(MAX(Z310,0),'P-Parametri'!$B$8*(Z310+Y310)))</f>
        <v>36787.742972329659</v>
      </c>
      <c r="AB310" s="18">
        <f>IF($A310&gt;'1-Input'!$B$26,Z310,Z310-MIN(MAX(Z310,0),'P-Parametri'!$B$8*(Z310+Y310)))</f>
        <v>119611.57491645151</v>
      </c>
      <c r="AC310" s="18">
        <f>IF($A310&gt;'1-Input'!$B$26,AC309,AC309-X310*(1-W310))</f>
        <v>51463.709407970826</v>
      </c>
      <c r="AD310" s="11">
        <f>IF($A310&gt;'1-Input'!$B$26,0,IF(AI309&lt;=0,0,MAX(0,(AI309-AJ309)/AI309)))</f>
        <v>0.55799852633580838</v>
      </c>
      <c r="AE310" s="18">
        <f>IF($A310&gt;'1-Input'!$B$26,0,(MAX(0,AD286-IF($A310&gt;='1-Input'!$C$12,'1-Input'!$B$12,0))-MIN(MAX(AH309,0),MAX(0,AD286-IF($A310&gt;='1-Input'!$C$12,'1-Input'!$B$12,0))))*(1/(1-'P-Parametri'!$B$6*AD310))+MIN(MAX(0,AI309-(MAX(0,AD286-IF($A310&gt;='1-Input'!$C$12,'1-Input'!$B$12,0))-MIN(MAX(AH309,0),MAX(0,AD286-IF($A310&gt;='1-Input'!$C$12,'1-Input'!$B$12,0))))*(1/(1-'P-Parametri'!$B$6*AD310))),MAX(0,2*AD286-(AH309-MIN(MAX(AH309,0),MAX(0,AD286-IF($A310&gt;='1-Input'!$C$12,'1-Input'!$B$12,0)))))*(1/(1-'P-Parametri'!$B$6*AD310))))</f>
        <v>21097.806662582923</v>
      </c>
      <c r="AF310" s="18">
        <f>IF($A310&gt;'1-Input'!$B$26,AH309,(AH309-MAX(0,AD286-IF($A310&gt;='1-Input'!$C$12,'1-Input'!$B$12,0))+AE310*(1-'P-Parametri'!$B$6*AD310))*(1+ROUND('3-Liquidita'!$F$7,4)))</f>
        <v>36764.386690049425</v>
      </c>
      <c r="AG310" s="18">
        <f>IF($A310&gt;'1-Input'!$B$26,AI309,(AI309-AE310)*(1+'5-Roberta'!$C$4))</f>
        <v>120360.62908087461</v>
      </c>
      <c r="AH310" s="18">
        <f>IF($A310&gt;'1-Input'!$B$26,AF310,AF310-'P-Parametri'!$B$8*(AG310+AF310)+MIN(MAX(AG310,0),'P-Parametri'!$B$8*(AG310+AF310)))</f>
        <v>36764.386690049425</v>
      </c>
      <c r="AI310" s="18">
        <f>IF($A310&gt;'1-Input'!$B$26,AG310,AG310-MIN(MAX(AG310,0),'P-Parametri'!$B$8*(AG310+AF310)))</f>
        <v>120046.37904933277</v>
      </c>
      <c r="AJ310" s="18">
        <f>IF($A310&gt;'1-Input'!$B$26,AJ309,AJ309-AE310*(1-AD310))</f>
        <v>51650.073228054112</v>
      </c>
      <c r="AK310" s="11">
        <f>IF($A310&gt;'1-Input'!$B$26,0,IF(AP309&lt;=0,0,MAX(0,(AP309-AQ309)/AP309)))</f>
        <v>0.55799854142416783</v>
      </c>
      <c r="AL310" s="18">
        <f>IF($A310&gt;'1-Input'!$B$26,0,(MAX(0,AK286-IF($A310&gt;='1-Input'!$C$12,'1-Input'!$B$12,0))-MIN(MAX(AO309,0),MAX(0,AK286-IF($A310&gt;='1-Input'!$C$12,'1-Input'!$B$12,0))))*(1/(1-'P-Parametri'!$B$6*AK310))+MIN(MAX(0,AP309-(MAX(0,AK286-IF($A310&gt;='1-Input'!$C$12,'1-Input'!$B$12,0))-MIN(MAX(AO309,0),MAX(0,AK286-IF($A310&gt;='1-Input'!$C$12,'1-Input'!$B$12,0))))*(1/(1-'P-Parametri'!$B$6*AK310))),MAX(0,2*AK286-(AO309-MIN(MAX(AO309,0),MAX(0,AK286-IF($A310&gt;='1-Input'!$C$12,'1-Input'!$B$12,0)))))*(1/(1-'P-Parametri'!$B$6*AK310))))</f>
        <v>21097.765846825514</v>
      </c>
      <c r="AM310" s="18">
        <f>IF($A310&gt;'1-Input'!$B$26,AO309,(AO309-MAX(0,AK286-IF($A310&gt;='1-Input'!$C$12,'1-Input'!$B$12,0))+AL310*(1-'P-Parametri'!$B$6*AK310))*(1+ROUND('3-Liquidita'!$F$7,4)))</f>
        <v>36764.315397069942</v>
      </c>
      <c r="AN310" s="18">
        <f>IF($A310&gt;'1-Input'!$B$26,AP309,(AP309-AL310)*(1+'5-Roberta'!$C$4))</f>
        <v>120361.95879997163</v>
      </c>
      <c r="AO310" s="18">
        <f>IF($A310&gt;'1-Input'!$B$26,AM310,AM310-'P-Parametri'!$B$8*(AN310+AM310)+MIN(MAX(AN310,0),'P-Parametri'!$B$8*(AN310+AM310)))</f>
        <v>36764.315397069942</v>
      </c>
      <c r="AP310" s="18">
        <f>IF($A310&gt;'1-Input'!$B$26,AN310,AN310-MIN(MAX(AN310,0),'P-Parametri'!$B$8*(AN310+AM310)))</f>
        <v>120047.70625157755</v>
      </c>
      <c r="AQ310" s="18">
        <f>IF($A310&gt;'1-Input'!$B$26,AQ309,AQ309-AL310*(1-AK310))</f>
        <v>51650.642084108418</v>
      </c>
    </row>
    <row r="311" spans="1:43">
      <c r="A311" s="10">
        <f>23</f>
        <v>23</v>
      </c>
      <c r="B311" s="11">
        <f>IF($A311&gt;'1-Input'!$B$26,0,IF(G310&lt;=0,0,MAX(0,(G310-H310)/G310)))</f>
        <v>0.57039379404601909</v>
      </c>
      <c r="C311" s="18">
        <f>IF($A311&gt;'1-Input'!$B$26,0,(MAX(0,B286-IF($A311&gt;='1-Input'!$C$12,'1-Input'!$B$12,0))-MIN(MAX(F310,0),MAX(0,B286-IF($A311&gt;='1-Input'!$C$12,'1-Input'!$B$12,0))))*(1/(1-'P-Parametri'!$B$6*B311))+MIN(MAX(0,G310-(MAX(0,B286-IF($A311&gt;='1-Input'!$C$12,'1-Input'!$B$12,0))-MIN(MAX(F310,0),MAX(0,B286-IF($A311&gt;='1-Input'!$C$12,'1-Input'!$B$12,0))))*(1/(1-'P-Parametri'!$B$6*B311))),MAX(0,2*B286-(F310-MIN(MAX(F310,0),MAX(0,B286-IF($A311&gt;='1-Input'!$C$12,'1-Input'!$B$12,0)))))*(1/(1-'P-Parametri'!$B$6*B311))))</f>
        <v>6303.7326068058992</v>
      </c>
      <c r="D311" s="18">
        <f>IF($A311&gt;'1-Input'!$B$26,F310,(F310-MAX(0,B286-IF($A311&gt;='1-Input'!$C$12,'1-Input'!$B$12,0))+C311*(1-'P-Parametri'!$B$6*B311))*(1+ROUND('3-Liquidita'!$F$7,4)))</f>
        <v>33572.29192621589</v>
      </c>
      <c r="E311" s="18">
        <f>IF($A311&gt;'1-Input'!$B$26,G310,(G310-C311)*(1+'5-Roberta'!$C$4))</f>
        <v>178368.82347424849</v>
      </c>
      <c r="F311" s="18">
        <f>IF($A311&gt;'1-Input'!$B$26,D311,D311-'P-Parametri'!$B$8*(E311+D311)+MIN(MAX(E311,0),'P-Parametri'!$B$8*(E311+D311)))</f>
        <v>33572.29192621589</v>
      </c>
      <c r="G311" s="18">
        <f>IF($A311&gt;'1-Input'!$B$26,E311,E311-MIN(MAX(E311,0),'P-Parametri'!$B$8*(E311+D311)))</f>
        <v>177944.94124344757</v>
      </c>
      <c r="H311" s="18">
        <f>IF($A311&gt;'1-Input'!$B$26,H310,H310-C311*(1-B311))</f>
        <v>74396.459721599284</v>
      </c>
      <c r="I311" s="11">
        <f>IF($A311&gt;'1-Input'!$B$26,0,IF(N310&lt;=0,0,MAX(0,(N310-O310)/N310)))</f>
        <v>0</v>
      </c>
      <c r="J311" s="18">
        <f>IF($A311&gt;'1-Input'!$B$26,0,(MAX(0,I286-IF($A311&gt;='1-Input'!$C$12,'1-Input'!$B$12,0))-MIN(MAX(M310,0),MAX(0,I286-IF($A311&gt;='1-Input'!$C$12,'1-Input'!$B$12,0))))*(1/(1-'P-Parametri'!$B$6*I311))+MIN(MAX(0,N310-(MAX(0,I286-IF($A311&gt;='1-Input'!$C$12,'1-Input'!$B$12,0))-MIN(MAX(M310,0),MAX(0,I286-IF($A311&gt;='1-Input'!$C$12,'1-Input'!$B$12,0))))*(1/(1-'P-Parametri'!$B$6*I311))),MAX(0,2*I286-(M310-MIN(MAX(M310,0),MAX(0,I286-IF($A311&gt;='1-Input'!$C$12,'1-Input'!$B$12,0)))))*(1/(1-'P-Parametri'!$B$6*I311))))</f>
        <v>0</v>
      </c>
      <c r="K311" s="18">
        <f>IF($A311&gt;'1-Input'!$B$26,M310,(M310-MAX(0,I286-IF($A311&gt;='1-Input'!$C$12,'1-Input'!$B$12,0))+J311*(1-'P-Parametri'!$B$6*I311))*(1+ROUND('3-Liquidita'!$F$7,4)))</f>
        <v>18535.322625723958</v>
      </c>
      <c r="L311" s="18">
        <f>IF($A311&gt;'1-Input'!$B$26,N310,(N310-J311)*(1+'5-Roberta'!$C$4))</f>
        <v>0</v>
      </c>
      <c r="M311" s="18">
        <f>IF($A311&gt;'1-Input'!$B$26,K311,K311-'P-Parametri'!$B$8*(L311+K311)+MIN(MAX(L311,0),'P-Parametri'!$B$8*(L311+K311)))</f>
        <v>18498.251980472509</v>
      </c>
      <c r="N311" s="18">
        <f>IF($A311&gt;'1-Input'!$B$26,L311,L311-MIN(MAX(L311,0),'P-Parametri'!$B$8*(L311+K311)))</f>
        <v>0</v>
      </c>
      <c r="O311" s="18">
        <f>IF($A311&gt;'1-Input'!$B$26,O310,O310-J311*(1-I311))</f>
        <v>0</v>
      </c>
      <c r="P311" s="11">
        <f>IF($A311&gt;'1-Input'!$B$26,0,IF(U310&lt;=0,0,MAX(0,(U310-V310)/U310)))</f>
        <v>0.56962234600727624</v>
      </c>
      <c r="Q311" s="18">
        <f>IF($A311&gt;'1-Input'!$B$26,0,(MAX(0,P286-IF($A311&gt;='1-Input'!$C$12,'1-Input'!$B$12,0))-MIN(MAX(T310,0),MAX(0,P286-IF($A311&gt;='1-Input'!$C$12,'1-Input'!$B$12,0))))*(1/(1-'P-Parametri'!$B$6*P311))+MIN(MAX(0,U310-(MAX(0,P286-IF($A311&gt;='1-Input'!$C$12,'1-Input'!$B$12,0))-MIN(MAX(T310,0),MAX(0,P286-IF($A311&gt;='1-Input'!$C$12,'1-Input'!$B$12,0))))*(1/(1-'P-Parametri'!$B$6*P311))),MAX(0,2*P286-(T310-MIN(MAX(T310,0),MAX(0,P286-IF($A311&gt;='1-Input'!$C$12,'1-Input'!$B$12,0)))))*(1/(1-'P-Parametri'!$B$6*P311))))</f>
        <v>8415.7070634976899</v>
      </c>
      <c r="R311" s="18">
        <f>IF($A311&gt;'1-Input'!$B$26,T310,(T310-MAX(0,P286-IF($A311&gt;='1-Input'!$C$12,'1-Input'!$B$12,0))+Q311*(1-'P-Parametri'!$B$6*P311))*(1+ROUND('3-Liquidita'!$F$7,4)))</f>
        <v>37242.120653556602</v>
      </c>
      <c r="S311" s="18">
        <f>IF($A311&gt;'1-Input'!$B$26,U310,(U310-Q311)*(1+'5-Roberta'!$C$4))</f>
        <v>105819.38170748997</v>
      </c>
      <c r="T311" s="18">
        <f>IF($A311&gt;'1-Input'!$B$26,R311,R311-'P-Parametri'!$B$8*(S311+R311)+MIN(MAX(S311,0),'P-Parametri'!$B$8*(S311+R311)))</f>
        <v>37242.120653556602</v>
      </c>
      <c r="U311" s="18">
        <f>IF($A311&gt;'1-Input'!$B$26,S311,S311-MIN(MAX(S311,0),'P-Parametri'!$B$8*(S311+R311)))</f>
        <v>105533.25870276788</v>
      </c>
      <c r="V311" s="18">
        <f>IF($A311&gt;'1-Input'!$B$26,V310,V310-Q311*(1-P311))</f>
        <v>44215.822569155418</v>
      </c>
      <c r="W311" s="11">
        <f>IF($A311&gt;'1-Input'!$B$26,0,IF(AB310&lt;=0,0,MAX(0,(AB310-AC310)/AB310)))</f>
        <v>0.56974306672311492</v>
      </c>
      <c r="X311" s="18">
        <f>IF($A311&gt;'1-Input'!$B$26,0,(MAX(0,W286-IF($A311&gt;='1-Input'!$C$12,'1-Input'!$B$12,0))-MIN(MAX(AA310,0),MAX(0,W286-IF($A311&gt;='1-Input'!$C$12,'1-Input'!$B$12,0))))*(1/(1-'P-Parametri'!$B$6*W311))+MIN(MAX(0,AB310-(MAX(0,W286-IF($A311&gt;='1-Input'!$C$12,'1-Input'!$B$12,0))-MIN(MAX(AA310,0),MAX(0,W286-IF($A311&gt;='1-Input'!$C$12,'1-Input'!$B$12,0))))*(1/(1-'P-Parametri'!$B$6*W311))),MAX(0,2*W286-(AA310-MIN(MAX(AA310,0),MAX(0,W286-IF($A311&gt;='1-Input'!$C$12,'1-Input'!$B$12,0)))))*(1/(1-'P-Parametri'!$B$6*W311))))</f>
        <v>8154.3308650072804</v>
      </c>
      <c r="Y311" s="18">
        <f>IF($A311&gt;'1-Input'!$B$26,AA310,(AA310-MAX(0,W286-IF($A311&gt;='1-Input'!$C$12,'1-Input'!$B$12,0))+X311*(1-'P-Parametri'!$B$6*W311))*(1+ROUND('3-Liquidita'!$F$7,4)))</f>
        <v>36787.742972329659</v>
      </c>
      <c r="Z311" s="18">
        <f>IF($A311&gt;'1-Input'!$B$26,AB310,(AB310-X311)*(1+'5-Roberta'!$C$4))</f>
        <v>114800.96137298756</v>
      </c>
      <c r="AA311" s="18">
        <f>IF($A311&gt;'1-Input'!$B$26,Y311,Y311-'P-Parametri'!$B$8*(Z311+Y311)+MIN(MAX(Z311,0),'P-Parametri'!$B$8*(Z311+Y311)))</f>
        <v>36787.742972329659</v>
      </c>
      <c r="AB311" s="18">
        <f>IF($A311&gt;'1-Input'!$B$26,Z311,Z311-MIN(MAX(Z311,0),'P-Parametri'!$B$8*(Z311+Y311)))</f>
        <v>114497.78396429692</v>
      </c>
      <c r="AC311" s="18">
        <f>IF($A311&gt;'1-Input'!$B$26,AC310,AC310-X311*(1-W311))</f>
        <v>47955.252017067745</v>
      </c>
      <c r="AD311" s="11">
        <f>IF($A311&gt;'1-Input'!$B$26,0,IF(AI310&lt;=0,0,MAX(0,(AI310-AJ310)/AI310)))</f>
        <v>0.56974901169798187</v>
      </c>
      <c r="AE311" s="18">
        <f>IF($A311&gt;'1-Input'!$B$26,0,(MAX(0,AD286-IF($A311&gt;='1-Input'!$C$12,'1-Input'!$B$12,0))-MIN(MAX(AH310,0),MAX(0,AD286-IF($A311&gt;='1-Input'!$C$12,'1-Input'!$B$12,0))))*(1/(1-'P-Parametri'!$B$6*AD311))+MIN(MAX(0,AI310-(MAX(0,AD286-IF($A311&gt;='1-Input'!$C$12,'1-Input'!$B$12,0))-MIN(MAX(AH310,0),MAX(0,AD286-IF($A311&gt;='1-Input'!$C$12,'1-Input'!$B$12,0))))*(1/(1-'P-Parametri'!$B$6*AD311))),MAX(0,2*AD286-(AH310-MIN(MAX(AH310,0),MAX(0,AD286-IF($A311&gt;='1-Input'!$C$12,'1-Input'!$B$12,0)))))*(1/(1-'P-Parametri'!$B$6*AD311))))</f>
        <v>8140.8942306405261</v>
      </c>
      <c r="AF311" s="18">
        <f>IF($A311&gt;'1-Input'!$B$26,AH310,(AH310-MAX(0,AD286-IF($A311&gt;='1-Input'!$C$12,'1-Input'!$B$12,0))+AE311*(1-'P-Parametri'!$B$6*AD311))*(1+ROUND('3-Liquidita'!$F$7,4)))</f>
        <v>36764.386690049425</v>
      </c>
      <c r="AG311" s="18">
        <f>IF($A311&gt;'1-Input'!$B$26,AI310,(AI310-AE311)*(1+'5-Roberta'!$C$4))</f>
        <v>115262.64936325302</v>
      </c>
      <c r="AH311" s="18">
        <f>IF($A311&gt;'1-Input'!$B$26,AF311,AF311-'P-Parametri'!$B$8*(AG311+AF311)+MIN(MAX(AG311,0),'P-Parametri'!$B$8*(AG311+AF311)))</f>
        <v>36764.386690049425</v>
      </c>
      <c r="AI311" s="18">
        <f>IF($A311&gt;'1-Input'!$B$26,AG311,AG311-MIN(MAX(AG311,0),'P-Parametri'!$B$8*(AG311+AF311)))</f>
        <v>114958.59529114641</v>
      </c>
      <c r="AJ311" s="18">
        <f>IF($A311&gt;'1-Input'!$B$26,AJ310,AJ310-AE311*(1-AD311))</f>
        <v>48147.445439658826</v>
      </c>
      <c r="AK311" s="11">
        <f>IF($A311&gt;'1-Input'!$B$26,0,IF(AP310&lt;=0,0,MAX(0,(AP310-AQ310)/AP310)))</f>
        <v>0.56974902980764219</v>
      </c>
      <c r="AL311" s="18">
        <f>IF($A311&gt;'1-Input'!$B$26,0,(MAX(0,AK286-IF($A311&gt;='1-Input'!$C$12,'1-Input'!$B$12,0))-MIN(MAX(AO310,0),MAX(0,AK286-IF($A311&gt;='1-Input'!$C$12,'1-Input'!$B$12,0))))*(1/(1-'P-Parametri'!$B$6*AK311))+MIN(MAX(0,AP310-(MAX(0,AK286-IF($A311&gt;='1-Input'!$C$12,'1-Input'!$B$12,0))-MIN(MAX(AO310,0),MAX(0,AK286-IF($A311&gt;='1-Input'!$C$12,'1-Input'!$B$12,0))))*(1/(1-'P-Parametri'!$B$6*AK311))),MAX(0,2*AK286-(AO310-MIN(MAX(AO310,0),MAX(0,AK286-IF($A311&gt;='1-Input'!$C$12,'1-Input'!$B$12,0)))))*(1/(1-'P-Parametri'!$B$6*AK311))))</f>
        <v>8140.8532163400287</v>
      </c>
      <c r="AM311" s="18">
        <f>IF($A311&gt;'1-Input'!$B$26,AO310,(AO310-MAX(0,AK286-IF($A311&gt;='1-Input'!$C$12,'1-Input'!$B$12,0))+AL311*(1-'P-Parametri'!$B$6*AK311))*(1+ROUND('3-Liquidita'!$F$7,4)))</f>
        <v>36764.315397069942</v>
      </c>
      <c r="AN311" s="18">
        <f>IF($A311&gt;'1-Input'!$B$26,AP310,(AP310-AL311)*(1+'5-Roberta'!$C$4))</f>
        <v>115264.05862629465</v>
      </c>
      <c r="AO311" s="18">
        <f>IF($A311&gt;'1-Input'!$B$26,AM311,AM311-'P-Parametri'!$B$8*(AN311+AM311)+MIN(MAX(AN311,0),'P-Parametri'!$B$8*(AN311+AM311)))</f>
        <v>36764.315397069942</v>
      </c>
      <c r="AP311" s="18">
        <f>IF($A311&gt;'1-Input'!$B$26,AN311,AN311-MIN(MAX(AN311,0),'P-Parametri'!$B$8*(AN311+AM311)))</f>
        <v>114960.00187824792</v>
      </c>
      <c r="AQ311" s="18">
        <f>IF($A311&gt;'1-Input'!$B$26,AQ310,AQ310-AL311*(1-AK311))</f>
        <v>48148.032089584543</v>
      </c>
    </row>
    <row r="312" spans="1:43">
      <c r="A312" s="10">
        <f>24</f>
        <v>24</v>
      </c>
      <c r="B312" s="11">
        <f>IF($A312&gt;'1-Input'!$B$26,0,IF(G311&lt;=0,0,MAX(0,(G311-H311)/G311)))</f>
        <v>0.58191303893367197</v>
      </c>
      <c r="C312" s="18">
        <f>IF($A312&gt;'1-Input'!$B$26,0,(MAX(0,B286-IF($A312&gt;='1-Input'!$C$12,'1-Input'!$B$12,0))-MIN(MAX(F311,0),MAX(0,B286-IF($A312&gt;='1-Input'!$C$12,'1-Input'!$B$12,0))))*(1/(1-'P-Parametri'!$B$6*B312))+MIN(MAX(0,G311-(MAX(0,B286-IF($A312&gt;='1-Input'!$C$12,'1-Input'!$B$12,0))-MIN(MAX(F311,0),MAX(0,B286-IF($A312&gt;='1-Input'!$C$12,'1-Input'!$B$12,0))))*(1/(1-'P-Parametri'!$B$6*B312))),MAX(0,2*B286-(F311-MIN(MAX(F311,0),MAX(0,B286-IF($A312&gt;='1-Input'!$C$12,'1-Input'!$B$12,0)))))*(1/(1-'P-Parametri'!$B$6*B312))))</f>
        <v>6325.9779752981576</v>
      </c>
      <c r="D312" s="18">
        <f>IF($A312&gt;'1-Input'!$B$26,F311,(F311-MAX(0,B286-IF($A312&gt;='1-Input'!$C$12,'1-Input'!$B$12,0))+C312*(1-'P-Parametri'!$B$6*B312))*(1+ROUND('3-Liquidita'!$F$7,4)))</f>
        <v>33572.29192621589</v>
      </c>
      <c r="E312" s="18">
        <f>IF($A312&gt;'1-Input'!$B$26,G311,(G311-C312)*(1+'5-Roberta'!$C$4))</f>
        <v>176767.53216619391</v>
      </c>
      <c r="F312" s="18">
        <f>IF($A312&gt;'1-Input'!$B$26,D312,D312-'P-Parametri'!$B$8*(E312+D312)+MIN(MAX(E312,0),'P-Parametri'!$B$8*(E312+D312)))</f>
        <v>33572.29192621589</v>
      </c>
      <c r="G312" s="18">
        <f>IF($A312&gt;'1-Input'!$B$26,E312,E312-MIN(MAX(E312,0),'P-Parametri'!$B$8*(E312+D312)))</f>
        <v>176346.85251800908</v>
      </c>
      <c r="H312" s="18">
        <f>IF($A312&gt;'1-Input'!$B$26,H311,H311-C312*(1-B312))</f>
        <v>71751.650814134351</v>
      </c>
      <c r="I312" s="11">
        <f>IF($A312&gt;'1-Input'!$B$26,0,IF(N311&lt;=0,0,MAX(0,(N311-O311)/N311)))</f>
        <v>0</v>
      </c>
      <c r="J312" s="18">
        <f>IF($A312&gt;'1-Input'!$B$26,0,(MAX(0,I286-IF($A312&gt;='1-Input'!$C$12,'1-Input'!$B$12,0))-MIN(MAX(M311,0),MAX(0,I286-IF($A312&gt;='1-Input'!$C$12,'1-Input'!$B$12,0))))*(1/(1-'P-Parametri'!$B$6*I312))+MIN(MAX(0,N311-(MAX(0,I286-IF($A312&gt;='1-Input'!$C$12,'1-Input'!$B$12,0))-MIN(MAX(M311,0),MAX(0,I286-IF($A312&gt;='1-Input'!$C$12,'1-Input'!$B$12,0))))*(1/(1-'P-Parametri'!$B$6*I312))),MAX(0,2*I286-(M311-MIN(MAX(M311,0),MAX(0,I286-IF($A312&gt;='1-Input'!$C$12,'1-Input'!$B$12,0)))))*(1/(1-'P-Parametri'!$B$6*I312))))</f>
        <v>0</v>
      </c>
      <c r="K312" s="18">
        <f>IF($A312&gt;'1-Input'!$B$26,M311,(M311-MAX(0,I286-IF($A312&gt;='1-Input'!$C$12,'1-Input'!$B$12,0))+J312*(1-'P-Parametri'!$B$6*I312))*(1+ROUND('3-Liquidita'!$F$7,4)))</f>
        <v>7699.6994059653434</v>
      </c>
      <c r="L312" s="18">
        <f>IF($A312&gt;'1-Input'!$B$26,N311,(N311-J312)*(1+'5-Roberta'!$C$4))</f>
        <v>0</v>
      </c>
      <c r="M312" s="18">
        <f>IF($A312&gt;'1-Input'!$B$26,K312,K312-'P-Parametri'!$B$8*(L312+K312)+MIN(MAX(L312,0),'P-Parametri'!$B$8*(L312+K312)))</f>
        <v>7684.3000071534125</v>
      </c>
      <c r="N312" s="18">
        <f>IF($A312&gt;'1-Input'!$B$26,L312,L312-MIN(MAX(L312,0),'P-Parametri'!$B$8*(L312+K312)))</f>
        <v>0</v>
      </c>
      <c r="O312" s="18">
        <f>IF($A312&gt;'1-Input'!$B$26,O311,O311-J312*(1-I312))</f>
        <v>0</v>
      </c>
      <c r="P312" s="11">
        <f>IF($A312&gt;'1-Input'!$B$26,0,IF(U311&lt;=0,0,MAX(0,(U311-V311)/U311)))</f>
        <v>0.58102475833056277</v>
      </c>
      <c r="Q312" s="18">
        <f>IF($A312&gt;'1-Input'!$B$26,0,(MAX(0,P286-IF($A312&gt;='1-Input'!$C$12,'1-Input'!$B$12,0))-MIN(MAX(T311,0),MAX(0,P286-IF($A312&gt;='1-Input'!$C$12,'1-Input'!$B$12,0))))*(1/(1-'P-Parametri'!$B$6*P312))+MIN(MAX(0,U311-(MAX(0,P286-IF($A312&gt;='1-Input'!$C$12,'1-Input'!$B$12,0))-MIN(MAX(T311,0),MAX(0,P286-IF($A312&gt;='1-Input'!$C$12,'1-Input'!$B$12,0))))*(1/(1-'P-Parametri'!$B$6*P312))),MAX(0,2*P286-(T311-MIN(MAX(T311,0),MAX(0,P286-IF($A312&gt;='1-Input'!$C$12,'1-Input'!$B$12,0)))))*(1/(1-'P-Parametri'!$B$6*P312))))</f>
        <v>8445.0962114758986</v>
      </c>
      <c r="R312" s="18">
        <f>IF($A312&gt;'1-Input'!$B$26,T311,(T311-MAX(0,P286-IF($A312&gt;='1-Input'!$C$12,'1-Input'!$B$12,0))+Q312*(1-'P-Parametri'!$B$6*P312))*(1+ROUND('3-Liquidita'!$F$7,4)))</f>
        <v>37242.120653556602</v>
      </c>
      <c r="S312" s="18">
        <f>IF($A312&gt;'1-Input'!$B$26,U311,(U311-Q312)*(1+'5-Roberta'!$C$4))</f>
        <v>100000.80736603074</v>
      </c>
      <c r="T312" s="18">
        <f>IF($A312&gt;'1-Input'!$B$26,R312,R312-'P-Parametri'!$B$8*(S312+R312)+MIN(MAX(S312,0),'P-Parametri'!$B$8*(S312+R312)))</f>
        <v>37242.120653556602</v>
      </c>
      <c r="U312" s="18">
        <f>IF($A312&gt;'1-Input'!$B$26,S312,S312-MIN(MAX(S312,0),'P-Parametri'!$B$8*(S312+R312)))</f>
        <v>99726.321509991569</v>
      </c>
      <c r="V312" s="18">
        <f>IF($A312&gt;'1-Input'!$B$26,V311,V311-Q312*(1-P312))</f>
        <v>40677.536343030653</v>
      </c>
      <c r="W312" s="11">
        <f>IF($A312&gt;'1-Input'!$B$26,0,IF(AB311&lt;=0,0,MAX(0,(AB311-AC311)/AB311)))</f>
        <v>0.58116873220863985</v>
      </c>
      <c r="X312" s="18">
        <f>IF($A312&gt;'1-Input'!$B$26,0,(MAX(0,W286-IF($A312&gt;='1-Input'!$C$12,'1-Input'!$B$12,0))-MIN(MAX(AA311,0),MAX(0,W286-IF($A312&gt;='1-Input'!$C$12,'1-Input'!$B$12,0))))*(1/(1-'P-Parametri'!$B$6*W312))+MIN(MAX(0,AB311-(MAX(0,W286-IF($A312&gt;='1-Input'!$C$12,'1-Input'!$B$12,0))-MIN(MAX(AA311,0),MAX(0,W286-IF($A312&gt;='1-Input'!$C$12,'1-Input'!$B$12,0))))*(1/(1-'P-Parametri'!$B$6*W312))),MAX(0,2*W286-(AA311-MIN(MAX(AA311,0),MAX(0,W286-IF($A312&gt;='1-Input'!$C$12,'1-Input'!$B$12,0)))))*(1/(1-'P-Parametri'!$B$6*W312))))</f>
        <v>8182.8665714409562</v>
      </c>
      <c r="Y312" s="18">
        <f>IF($A312&gt;'1-Input'!$B$26,AA311,(AA311-MAX(0,W286-IF($A312&gt;='1-Input'!$C$12,'1-Input'!$B$12,0))+X312*(1-'P-Parametri'!$B$6*W312))*(1+ROUND('3-Liquidita'!$F$7,4)))</f>
        <v>36787.742972329659</v>
      </c>
      <c r="Z312" s="18">
        <f>IF($A312&gt;'1-Input'!$B$26,AB311,(AB311-X312)*(1+'5-Roberta'!$C$4))</f>
        <v>109504.36491464164</v>
      </c>
      <c r="AA312" s="18">
        <f>IF($A312&gt;'1-Input'!$B$26,Y312,Y312-'P-Parametri'!$B$8*(Z312+Y312)+MIN(MAX(Z312,0),'P-Parametri'!$B$8*(Z312+Y312)))</f>
        <v>36787.742972329659</v>
      </c>
      <c r="AB312" s="18">
        <f>IF($A312&gt;'1-Input'!$B$26,Z312,Z312-MIN(MAX(Z312,0),'P-Parametri'!$B$8*(Z312+Y312)))</f>
        <v>109211.7806988677</v>
      </c>
      <c r="AC312" s="18">
        <f>IF($A312&gt;'1-Input'!$B$26,AC311,AC311-X312*(1-W312))</f>
        <v>44528.011636783587</v>
      </c>
      <c r="AD312" s="11">
        <f>IF($A312&gt;'1-Input'!$B$26,0,IF(AI311&lt;=0,0,MAX(0,(AI311-AJ311)/AI311)))</f>
        <v>0.58117576752117006</v>
      </c>
      <c r="AE312" s="18">
        <f>IF($A312&gt;'1-Input'!$B$26,0,(MAX(0,AD286-IF($A312&gt;='1-Input'!$C$12,'1-Input'!$B$12,0))-MIN(MAX(AH311,0),MAX(0,AD286-IF($A312&gt;='1-Input'!$C$12,'1-Input'!$B$12,0))))*(1/(1-'P-Parametri'!$B$6*AD312))+MIN(MAX(0,AI311-(MAX(0,AD286-IF($A312&gt;='1-Input'!$C$12,'1-Input'!$B$12,0))-MIN(MAX(AH311,0),MAX(0,AD286-IF($A312&gt;='1-Input'!$C$12,'1-Input'!$B$12,0))))*(1/(1-'P-Parametri'!$B$6*AD312))),MAX(0,2*AD286-(AH311-MIN(MAX(AH311,0),MAX(0,AD286-IF($A312&gt;='1-Input'!$C$12,'1-Input'!$B$12,0)))))*(1/(1-'P-Parametri'!$B$6*AD312))))</f>
        <v>8169.3856962233185</v>
      </c>
      <c r="AF312" s="18">
        <f>IF($A312&gt;'1-Input'!$B$26,AH311,(AH311-MAX(0,AD286-IF($A312&gt;='1-Input'!$C$12,'1-Input'!$B$12,0))+AE312*(1-'P-Parametri'!$B$6*AD312))*(1+ROUND('3-Liquidita'!$F$7,4)))</f>
        <v>36764.386690049425</v>
      </c>
      <c r="AG312" s="18">
        <f>IF($A312&gt;'1-Input'!$B$26,AI311,(AI311-AE312)*(1+'5-Roberta'!$C$4))</f>
        <v>109992.8858827708</v>
      </c>
      <c r="AH312" s="18">
        <f>IF($A312&gt;'1-Input'!$B$26,AF312,AF312-'P-Parametri'!$B$8*(AG312+AF312)+MIN(MAX(AG312,0),'P-Parametri'!$B$8*(AG312+AF312)))</f>
        <v>36764.386690049425</v>
      </c>
      <c r="AI312" s="18">
        <f>IF($A312&gt;'1-Input'!$B$26,AG312,AG312-MIN(MAX(AG312,0),'P-Parametri'!$B$8*(AG312+AF312)))</f>
        <v>109699.37133762517</v>
      </c>
      <c r="AJ312" s="18">
        <f>IF($A312&gt;'1-Input'!$B$26,AJ311,AJ311-AE312*(1-AD312))</f>
        <v>44725.908745614564</v>
      </c>
      <c r="AK312" s="11">
        <f>IF($A312&gt;'1-Input'!$B$26,0,IF(AP311&lt;=0,0,MAX(0,(AP311-AQ311)/AP311)))</f>
        <v>0.58117578894459954</v>
      </c>
      <c r="AL312" s="18">
        <f>IF($A312&gt;'1-Input'!$B$26,0,(MAX(0,AK286-IF($A312&gt;='1-Input'!$C$12,'1-Input'!$B$12,0))-MIN(MAX(AO311,0),MAX(0,AK286-IF($A312&gt;='1-Input'!$C$12,'1-Input'!$B$12,0))))*(1/(1-'P-Parametri'!$B$6*AK312))+MIN(MAX(0,AP311-(MAX(0,AK286-IF($A312&gt;='1-Input'!$C$12,'1-Input'!$B$12,0))-MIN(MAX(AO311,0),MAX(0,AK286-IF($A312&gt;='1-Input'!$C$12,'1-Input'!$B$12,0))))*(1/(1-'P-Parametri'!$B$6*AK312))),MAX(0,2*AK286-(AO311-MIN(MAX(AO311,0),MAX(0,AK286-IF($A312&gt;='1-Input'!$C$12,'1-Input'!$B$12,0)))))*(1/(1-'P-Parametri'!$B$6*AK312))))</f>
        <v>8169.3445468306072</v>
      </c>
      <c r="AM312" s="18">
        <f>IF($A312&gt;'1-Input'!$B$26,AO311,(AO311-MAX(0,AK286-IF($A312&gt;='1-Input'!$C$12,'1-Input'!$B$12,0))+AL312*(1-'P-Parametri'!$B$6*AK312))*(1+ROUND('3-Liquidita'!$F$7,4)))</f>
        <v>36764.315397069942</v>
      </c>
      <c r="AN312" s="18">
        <f>IF($A312&gt;'1-Input'!$B$26,AP311,(AP311-AL312)*(1+'5-Roberta'!$C$4))</f>
        <v>109994.37705135984</v>
      </c>
      <c r="AO312" s="18">
        <f>IF($A312&gt;'1-Input'!$B$26,AM312,AM312-'P-Parametri'!$B$8*(AN312+AM312)+MIN(MAX(AN312,0),'P-Parametri'!$B$8*(AN312+AM312)))</f>
        <v>36764.315397069942</v>
      </c>
      <c r="AP312" s="18">
        <f>IF($A312&gt;'1-Input'!$B$26,AN312,AN312-MIN(MAX(AN312,0),'P-Parametri'!$B$8*(AN312+AM312)))</f>
        <v>109700.85966646299</v>
      </c>
      <c r="AQ312" s="18">
        <f>IF($A312&gt;'1-Input'!$B$26,AQ311,AQ311-AL312*(1-AK312))</f>
        <v>44726.512804918479</v>
      </c>
    </row>
    <row r="313" spans="1:43">
      <c r="A313" s="10">
        <f>25</f>
        <v>25</v>
      </c>
      <c r="B313" s="11">
        <f>IF($A313&gt;'1-Input'!$B$26,0,IF(G312&lt;=0,0,MAX(0,(G312-H312)/G312)))</f>
        <v>0.59312202180185292</v>
      </c>
      <c r="C313" s="18">
        <f>IF($A313&gt;'1-Input'!$B$26,0,(MAX(0,B286-IF($A313&gt;='1-Input'!$C$12,'1-Input'!$B$12,0))-MIN(MAX(F312,0),MAX(0,B286-IF($A313&gt;='1-Input'!$C$12,'1-Input'!$B$12,0))))*(1/(1-'P-Parametri'!$B$6*B313))+MIN(MAX(0,G312-(MAX(0,B286-IF($A313&gt;='1-Input'!$C$12,'1-Input'!$B$12,0))-MIN(MAX(F312,0),MAX(0,B286-IF($A313&gt;='1-Input'!$C$12,'1-Input'!$B$12,0))))*(1/(1-'P-Parametri'!$B$6*B313))),MAX(0,2*B286-(F312-MIN(MAX(F312,0),MAX(0,B286-IF($A313&gt;='1-Input'!$C$12,'1-Input'!$B$12,0)))))*(1/(1-'P-Parametri'!$B$6*B313))))</f>
        <v>6347.7754192145658</v>
      </c>
      <c r="D313" s="18">
        <f>IF($A313&gt;'1-Input'!$B$26,F312,(F312-MAX(0,B286-IF($A313&gt;='1-Input'!$C$12,'1-Input'!$B$12,0))+C313*(1-'P-Parametri'!$B$6*B313))*(1+ROUND('3-Liquidita'!$F$7,4)))</f>
        <v>33572.29192621589</v>
      </c>
      <c r="E313" s="18">
        <f>IF($A313&gt;'1-Input'!$B$26,G312,(G312-C313)*(1+'5-Roberta'!$C$4))</f>
        <v>175099.04941175834</v>
      </c>
      <c r="F313" s="18">
        <f>IF($A313&gt;'1-Input'!$B$26,D313,D313-'P-Parametri'!$B$8*(E313+D313)+MIN(MAX(E313,0),'P-Parametri'!$B$8*(E313+D313)))</f>
        <v>33572.29192621589</v>
      </c>
      <c r="G313" s="18">
        <f>IF($A313&gt;'1-Input'!$B$26,E313,E313-MIN(MAX(E313,0),'P-Parametri'!$B$8*(E313+D313)))</f>
        <v>174681.70672908239</v>
      </c>
      <c r="H313" s="18">
        <f>IF($A313&gt;'1-Input'!$B$26,H312,H312-C313*(1-B313))</f>
        <v>69168.880785508431</v>
      </c>
      <c r="I313" s="11">
        <f>IF($A313&gt;'1-Input'!$B$26,0,IF(N312&lt;=0,0,MAX(0,(N312-O312)/N312)))</f>
        <v>0</v>
      </c>
      <c r="J313" s="18">
        <f>IF($A313&gt;'1-Input'!$B$26,0,(MAX(0,I286-IF($A313&gt;='1-Input'!$C$12,'1-Input'!$B$12,0))-MIN(MAX(M312,0),MAX(0,I286-IF($A313&gt;='1-Input'!$C$12,'1-Input'!$B$12,0))))*(1/(1-'P-Parametri'!$B$6*I313))+MIN(MAX(0,N312-(MAX(0,I286-IF($A313&gt;='1-Input'!$C$12,'1-Input'!$B$12,0))-MIN(MAX(M312,0),MAX(0,I286-IF($A313&gt;='1-Input'!$C$12,'1-Input'!$B$12,0))))*(1/(1-'P-Parametri'!$B$6*I313))),MAX(0,2*I286-(M312-MIN(MAX(M312,0),MAX(0,I286-IF($A313&gt;='1-Input'!$C$12,'1-Input'!$B$12,0)))))*(1/(1-'P-Parametri'!$B$6*I313))))</f>
        <v>3162.4569857752786</v>
      </c>
      <c r="K313" s="18">
        <f>IF($A313&gt;'1-Input'!$B$26,M312,(M312-MAX(0,I286-IF($A313&gt;='1-Input'!$C$12,'1-Input'!$B$12,0))+J313*(1-'P-Parametri'!$B$6*I313))*(1+ROUND('3-Liquidita'!$F$7,4)))</f>
        <v>0</v>
      </c>
      <c r="L313" s="18">
        <f>IF($A313&gt;'1-Input'!$B$26,N312,(N312-J313)*(1+'5-Roberta'!$C$4))</f>
        <v>-3257.3306953485371</v>
      </c>
      <c r="M313" s="18">
        <f>IF($A313&gt;'1-Input'!$B$26,K313,K313-'P-Parametri'!$B$8*(L313+K313)+MIN(MAX(L313,0),'P-Parametri'!$B$8*(L313+K313)))</f>
        <v>0</v>
      </c>
      <c r="N313" s="18">
        <f>IF($A313&gt;'1-Input'!$B$26,L313,L313-MIN(MAX(L313,0),'P-Parametri'!$B$8*(L313+K313)))</f>
        <v>-3250.8160339578399</v>
      </c>
      <c r="O313" s="18">
        <f>IF($A313&gt;'1-Input'!$B$26,O312,O312-J313*(1-I313))</f>
        <v>-3162.4569857752786</v>
      </c>
      <c r="P313" s="11">
        <f>IF($A313&gt;'1-Input'!$B$26,0,IF(U312&lt;=0,0,MAX(0,(U312-V312)/U312)))</f>
        <v>0.59210832479211439</v>
      </c>
      <c r="Q313" s="18">
        <f>IF($A313&gt;'1-Input'!$B$26,0,(MAX(0,P286-IF($A313&gt;='1-Input'!$C$12,'1-Input'!$B$12,0))-MIN(MAX(T312,0),MAX(0,P286-IF($A313&gt;='1-Input'!$C$12,'1-Input'!$B$12,0))))*(1/(1-'P-Parametri'!$B$6*P313))+MIN(MAX(0,U312-(MAX(0,P286-IF($A313&gt;='1-Input'!$C$12,'1-Input'!$B$12,0))-MIN(MAX(T312,0),MAX(0,P286-IF($A313&gt;='1-Input'!$C$12,'1-Input'!$B$12,0))))*(1/(1-'P-Parametri'!$B$6*P313))),MAX(0,2*P286-(T312-MIN(MAX(T312,0),MAX(0,P286-IF($A313&gt;='1-Input'!$C$12,'1-Input'!$B$12,0)))))*(1/(1-'P-Parametri'!$B$6*P313))))</f>
        <v>8473.8609550910787</v>
      </c>
      <c r="R313" s="18">
        <f>IF($A313&gt;'1-Input'!$B$26,T312,(T312-MAX(0,P286-IF($A313&gt;='1-Input'!$C$12,'1-Input'!$B$12,0))+Q313*(1-'P-Parametri'!$B$6*P313))*(1+ROUND('3-Liquidita'!$F$7,4)))</f>
        <v>37242.120653556602</v>
      </c>
      <c r="S313" s="18">
        <f>IF($A313&gt;'1-Input'!$B$26,U312,(U312-Q313)*(1+'5-Roberta'!$C$4))</f>
        <v>93990.034371547503</v>
      </c>
      <c r="T313" s="18">
        <f>IF($A313&gt;'1-Input'!$B$26,R313,R313-'P-Parametri'!$B$8*(S313+R313)+MIN(MAX(S313,0),'P-Parametri'!$B$8*(S313+R313)))</f>
        <v>37242.120653556602</v>
      </c>
      <c r="U313" s="18">
        <f>IF($A313&gt;'1-Input'!$B$26,S313,S313-MIN(MAX(S313,0),'P-Parametri'!$B$8*(S313+R313)))</f>
        <v>93727.570061497288</v>
      </c>
      <c r="V313" s="18">
        <f>IF($A313&gt;'1-Input'!$B$26,V312,V312-Q313*(1-P313))</f>
        <v>37221.119002579857</v>
      </c>
      <c r="W313" s="11">
        <f>IF($A313&gt;'1-Input'!$B$26,0,IF(AB312&lt;=0,0,MAX(0,(AB312-AC312)/AB312)))</f>
        <v>0.59227831144369159</v>
      </c>
      <c r="X313" s="18">
        <f>IF($A313&gt;'1-Input'!$B$26,0,(MAX(0,W286-IF($A313&gt;='1-Input'!$C$12,'1-Input'!$B$12,0))-MIN(MAX(AA312,0),MAX(0,W286-IF($A313&gt;='1-Input'!$C$12,'1-Input'!$B$12,0))))*(1/(1-'P-Parametri'!$B$6*W313))+MIN(MAX(0,AB312-(MAX(0,W286-IF($A313&gt;='1-Input'!$C$12,'1-Input'!$B$12,0))-MIN(MAX(AA312,0),MAX(0,W286-IF($A313&gt;='1-Input'!$C$12,'1-Input'!$B$12,0))))*(1/(1-'P-Parametri'!$B$6*W313))),MAX(0,2*W286-(AA312-MIN(MAX(AA312,0),MAX(0,W286-IF($A313&gt;='1-Input'!$C$12,'1-Input'!$B$12,0)))))*(1/(1-'P-Parametri'!$B$6*W313))))</f>
        <v>8210.8050108728057</v>
      </c>
      <c r="Y313" s="18">
        <f>IF($A313&gt;'1-Input'!$B$26,AA312,(AA312-MAX(0,W286-IF($A313&gt;='1-Input'!$C$12,'1-Input'!$B$12,0))+X313*(1-'P-Parametri'!$B$6*W313))*(1+ROUND('3-Liquidita'!$F$7,4)))</f>
        <v>36787.742972329659</v>
      </c>
      <c r="Z313" s="18">
        <f>IF($A313&gt;'1-Input'!$B$26,AB312,(AB312-X313)*(1+'5-Roberta'!$C$4))</f>
        <v>104031.00495863474</v>
      </c>
      <c r="AA313" s="18">
        <f>IF($A313&gt;'1-Input'!$B$26,Y313,Y313-'P-Parametri'!$B$8*(Z313+Y313)+MIN(MAX(Z313,0),'P-Parametri'!$B$8*(Z313+Y313)))</f>
        <v>36787.742972329659</v>
      </c>
      <c r="AB313" s="18">
        <f>IF($A313&gt;'1-Input'!$B$26,Z313,Z313-MIN(MAX(Z313,0),'P-Parametri'!$B$8*(Z313+Y313)))</f>
        <v>103749.36746277282</v>
      </c>
      <c r="AC313" s="18">
        <f>IF($A313&gt;'1-Input'!$B$26,AC312,AC312-X313*(1-W313))</f>
        <v>41180.288353343931</v>
      </c>
      <c r="AD313" s="11">
        <f>IF($A313&gt;'1-Input'!$B$26,0,IF(AI312&lt;=0,0,MAX(0,(AI312-AJ312)/AI312)))</f>
        <v>0.59228655369445793</v>
      </c>
      <c r="AE313" s="18">
        <f>IF($A313&gt;'1-Input'!$B$26,0,(MAX(0,AD286-IF($A313&gt;='1-Input'!$C$12,'1-Input'!$B$12,0))-MIN(MAX(AH312,0),MAX(0,AD286-IF($A313&gt;='1-Input'!$C$12,'1-Input'!$B$12,0))))*(1/(1-'P-Parametri'!$B$6*AD313))+MIN(MAX(0,AI312-(MAX(0,AD286-IF($A313&gt;='1-Input'!$C$12,'1-Input'!$B$12,0))-MIN(MAX(AH312,0),MAX(0,AD286-IF($A313&gt;='1-Input'!$C$12,'1-Input'!$B$12,0))))*(1/(1-'P-Parametri'!$B$6*AD313))),MAX(0,2*AD286-(AH312-MIN(MAX(AH312,0),MAX(0,AD286-IF($A313&gt;='1-Input'!$C$12,'1-Input'!$B$12,0)))))*(1/(1-'P-Parametri'!$B$6*AD313))))</f>
        <v>8197.281209309609</v>
      </c>
      <c r="AF313" s="18">
        <f>IF($A313&gt;'1-Input'!$B$26,AH312,(AH312-MAX(0,AD286-IF($A313&gt;='1-Input'!$C$12,'1-Input'!$B$12,0))+AE313*(1-'P-Parametri'!$B$6*AD313))*(1+ROUND('3-Liquidita'!$F$7,4)))</f>
        <v>36764.386690049425</v>
      </c>
      <c r="AG313" s="18">
        <f>IF($A313&gt;'1-Input'!$B$26,AI312,(AI312-AE313)*(1+'5-Roberta'!$C$4))</f>
        <v>104547.15283216503</v>
      </c>
      <c r="AH313" s="18">
        <f>IF($A313&gt;'1-Input'!$B$26,AF313,AF313-'P-Parametri'!$B$8*(AG313+AF313)+MIN(MAX(AG313,0),'P-Parametri'!$B$8*(AG313+AF313)))</f>
        <v>36764.386690049425</v>
      </c>
      <c r="AI313" s="18">
        <f>IF($A313&gt;'1-Input'!$B$26,AG313,AG313-MIN(MAX(AG313,0),'P-Parametri'!$B$8*(AG313+AF313)))</f>
        <v>104264.5297531206</v>
      </c>
      <c r="AJ313" s="18">
        <f>IF($A313&gt;'1-Input'!$B$26,AJ312,AJ312-AE313*(1-AD313))</f>
        <v>41383.76697343128</v>
      </c>
      <c r="AK313" s="11">
        <f>IF($A313&gt;'1-Input'!$B$26,0,IF(AP312&lt;=0,0,MAX(0,(AP312-AQ312)/AP312)))</f>
        <v>0.5922865787842867</v>
      </c>
      <c r="AL313" s="18">
        <f>IF($A313&gt;'1-Input'!$B$26,0,(MAX(0,AK286-IF($A313&gt;='1-Input'!$C$12,'1-Input'!$B$12,0))-MIN(MAX(AO312,0),MAX(0,AK286-IF($A313&gt;='1-Input'!$C$12,'1-Input'!$B$12,0))))*(1/(1-'P-Parametri'!$B$6*AK313))+MIN(MAX(0,AP312-(MAX(0,AK286-IF($A313&gt;='1-Input'!$C$12,'1-Input'!$B$12,0))-MIN(MAX(AO312,0),MAX(0,AK286-IF($A313&gt;='1-Input'!$C$12,'1-Input'!$B$12,0))))*(1/(1-'P-Parametri'!$B$6*AK313))),MAX(0,2*AK286-(AO312-MIN(MAX(AO312,0),MAX(0,AK286-IF($A313&gt;='1-Input'!$C$12,'1-Input'!$B$12,0)))))*(1/(1-'P-Parametri'!$B$6*AK313))))</f>
        <v>8197.2399288266915</v>
      </c>
      <c r="AM313" s="18">
        <f>IF($A313&gt;'1-Input'!$B$26,AO312,(AO312-MAX(0,AK286-IF($A313&gt;='1-Input'!$C$12,'1-Input'!$B$12,0))+AL313*(1-'P-Parametri'!$B$6*AK313))*(1+ROUND('3-Liquidita'!$F$7,4)))</f>
        <v>36764.315397069942</v>
      </c>
      <c r="AN313" s="18">
        <f>IF($A313&gt;'1-Input'!$B$26,AP312,(AP312-AL313)*(1+'5-Roberta'!$C$4))</f>
        <v>104548.72832976539</v>
      </c>
      <c r="AO313" s="18">
        <f>IF($A313&gt;'1-Input'!$B$26,AM313,AM313-'P-Parametri'!$B$8*(AN313+AM313)+MIN(MAX(AN313,0),'P-Parametri'!$B$8*(AN313+AM313)))</f>
        <v>36764.315397069942</v>
      </c>
      <c r="AP313" s="18">
        <f>IF($A313&gt;'1-Input'!$B$26,AN313,AN313-MIN(MAX(AN313,0),'P-Parametri'!$B$8*(AN313+AM313)))</f>
        <v>104266.10224231172</v>
      </c>
      <c r="AQ313" s="18">
        <f>IF($A313&gt;'1-Input'!$B$26,AQ312,AQ312-AL313*(1-AK313))</f>
        <v>41384.3880690105</v>
      </c>
    </row>
    <row r="314" spans="1:43">
      <c r="A314" s="10">
        <f>26</f>
        <v>26</v>
      </c>
      <c r="B314" s="11">
        <f>IF($A314&gt;'1-Input'!$B$26,0,IF(G313&lt;=0,0,MAX(0,(G313-H313)/G313)))</f>
        <v>0.60402905329529477</v>
      </c>
      <c r="C314" s="18">
        <f>IF($A314&gt;'1-Input'!$B$26,0,(MAX(0,B286-IF($A314&gt;='1-Input'!$C$12,'1-Input'!$B$12,0))-MIN(MAX(F313,0),MAX(0,B286-IF($A314&gt;='1-Input'!$C$12,'1-Input'!$B$12,0))))*(1/(1-'P-Parametri'!$B$6*B314))+MIN(MAX(0,G313-(MAX(0,B286-IF($A314&gt;='1-Input'!$C$12,'1-Input'!$B$12,0))-MIN(MAX(F313,0),MAX(0,B286-IF($A314&gt;='1-Input'!$C$12,'1-Input'!$B$12,0))))*(1/(1-'P-Parametri'!$B$6*B314))),MAX(0,2*B286-(F313-MIN(MAX(F313,0),MAX(0,B286-IF($A314&gt;='1-Input'!$C$12,'1-Input'!$B$12,0)))))*(1/(1-'P-Parametri'!$B$6*B314))))</f>
        <v>6369.1303610610903</v>
      </c>
      <c r="D314" s="18">
        <f>IF($A314&gt;'1-Input'!$B$26,F313,(F313-MAX(0,B286-IF($A314&gt;='1-Input'!$C$12,'1-Input'!$B$12,0))+C314*(1-'P-Parametri'!$B$6*B314))*(1+ROUND('3-Liquidita'!$F$7,4)))</f>
        <v>33572.29192621589</v>
      </c>
      <c r="E314" s="18">
        <f>IF($A314&gt;'1-Input'!$B$26,G313,(G313-C314)*(1+'5-Roberta'!$C$4))</f>
        <v>173361.95365906195</v>
      </c>
      <c r="F314" s="18">
        <f>IF($A314&gt;'1-Input'!$B$26,D314,D314-'P-Parametri'!$B$8*(E314+D314)+MIN(MAX(E314,0),'P-Parametri'!$B$8*(E314+D314)))</f>
        <v>33572.29192621589</v>
      </c>
      <c r="G314" s="18">
        <f>IF($A314&gt;'1-Input'!$B$26,E314,E314-MIN(MAX(E314,0),'P-Parametri'!$B$8*(E314+D314)))</f>
        <v>172948.0851678914</v>
      </c>
      <c r="H314" s="18">
        <f>IF($A314&gt;'1-Input'!$B$26,H313,H313-C314*(1-B314))</f>
        <v>66646.890206753393</v>
      </c>
      <c r="I314" s="11">
        <f>IF($A314&gt;'1-Input'!$B$26,0,IF(N313&lt;=0,0,MAX(0,(N313-O313)/N313)))</f>
        <v>0</v>
      </c>
      <c r="J314" s="18">
        <f>IF($A314&gt;'1-Input'!$B$26,0,(MAX(0,I286-IF($A314&gt;='1-Input'!$C$12,'1-Input'!$B$12,0))-MIN(MAX(M313,0),MAX(0,I286-IF($A314&gt;='1-Input'!$C$12,'1-Input'!$B$12,0))))*(1/(1-'P-Parametri'!$B$6*I314))+MIN(MAX(0,N313-(MAX(0,I286-IF($A314&gt;='1-Input'!$C$12,'1-Input'!$B$12,0))-MIN(MAX(M313,0),MAX(0,I286-IF($A314&gt;='1-Input'!$C$12,'1-Input'!$B$12,0))))*(1/(1-'P-Parametri'!$B$6*I314))),MAX(0,2*I286-(M313-MIN(MAX(M313,0),MAX(0,I286-IF($A314&gt;='1-Input'!$C$12,'1-Input'!$B$12,0)))))*(1/(1-'P-Parametri'!$B$6*I314))))</f>
        <v>10846.756992928691</v>
      </c>
      <c r="K314" s="18">
        <f>IF($A314&gt;'1-Input'!$B$26,M313,(M313-MAX(0,I286-IF($A314&gt;='1-Input'!$C$12,'1-Input'!$B$12,0))+J314*(1-'P-Parametri'!$B$6*I314))*(1+ROUND('3-Liquidita'!$F$7,4)))</f>
        <v>0</v>
      </c>
      <c r="L314" s="18">
        <f>IF($A314&gt;'1-Input'!$B$26,N313,(N313-J314)*(1+'5-Roberta'!$C$4))</f>
        <v>-14520.500217693127</v>
      </c>
      <c r="M314" s="18">
        <f>IF($A314&gt;'1-Input'!$B$26,K314,K314-'P-Parametri'!$B$8*(L314+K314)+MIN(MAX(L314,0),'P-Parametri'!$B$8*(L314+K314)))</f>
        <v>0</v>
      </c>
      <c r="N314" s="18">
        <f>IF($A314&gt;'1-Input'!$B$26,L314,L314-MIN(MAX(L314,0),'P-Parametri'!$B$8*(L314+K314)))</f>
        <v>-14491.45921725774</v>
      </c>
      <c r="O314" s="18">
        <f>IF($A314&gt;'1-Input'!$B$26,O313,O313-J314*(1-I314))</f>
        <v>-14009.21397870397</v>
      </c>
      <c r="P314" s="11">
        <f>IF($A314&gt;'1-Input'!$B$26,0,IF(U313&lt;=0,0,MAX(0,(U313-V313)/U313)))</f>
        <v>0.60287971854857614</v>
      </c>
      <c r="Q314" s="18">
        <f>IF($A314&gt;'1-Input'!$B$26,0,(MAX(0,P286-IF($A314&gt;='1-Input'!$C$12,'1-Input'!$B$12,0))-MIN(MAX(T313,0),MAX(0,P286-IF($A314&gt;='1-Input'!$C$12,'1-Input'!$B$12,0))))*(1/(1-'P-Parametri'!$B$6*P314))+MIN(MAX(0,U313-(MAX(0,P286-IF($A314&gt;='1-Input'!$C$12,'1-Input'!$B$12,0))-MIN(MAX(T313,0),MAX(0,P286-IF($A314&gt;='1-Input'!$C$12,'1-Input'!$B$12,0))))*(1/(1-'P-Parametri'!$B$6*P314))),MAX(0,2*P286-(T313-MIN(MAX(T313,0),MAX(0,P286-IF($A314&gt;='1-Input'!$C$12,'1-Input'!$B$12,0)))))*(1/(1-'P-Parametri'!$B$6*P314))))</f>
        <v>8502.003902431823</v>
      </c>
      <c r="R314" s="18">
        <f>IF($A314&gt;'1-Input'!$B$26,T313,(T313-MAX(0,P286-IF($A314&gt;='1-Input'!$C$12,'1-Input'!$B$12,0))+Q314*(1-'P-Parametri'!$B$6*P314))*(1+ROUND('3-Liquidita'!$F$7,4)))</f>
        <v>37242.120653556602</v>
      </c>
      <c r="S314" s="18">
        <f>IF($A314&gt;'1-Input'!$B$26,U313,(U313-Q314)*(1+'5-Roberta'!$C$4))</f>
        <v>87782.33314383743</v>
      </c>
      <c r="T314" s="18">
        <f>IF($A314&gt;'1-Input'!$B$26,R314,R314-'P-Parametri'!$B$8*(S314+R314)+MIN(MAX(S314,0),'P-Parametri'!$B$8*(S314+R314)))</f>
        <v>37242.120653556602</v>
      </c>
      <c r="U314" s="18">
        <f>IF($A314&gt;'1-Input'!$B$26,S314,S314-MIN(MAX(S314,0),'P-Parametri'!$B$8*(S314+R314)))</f>
        <v>87532.284236242645</v>
      </c>
      <c r="V314" s="18">
        <f>IF($A314&gt;'1-Input'!$B$26,V313,V313-Q314*(1-P314))</f>
        <v>33844.800819945027</v>
      </c>
      <c r="W314" s="11">
        <f>IF($A314&gt;'1-Input'!$B$26,0,IF(AB313&lt;=0,0,MAX(0,(AB313-AC313)/AB313)))</f>
        <v>0.60307913811503311</v>
      </c>
      <c r="X314" s="18">
        <f>IF($A314&gt;'1-Input'!$B$26,0,(MAX(0,W286-IF($A314&gt;='1-Input'!$C$12,'1-Input'!$B$12,0))-MIN(MAX(AA313,0),MAX(0,W286-IF($A314&gt;='1-Input'!$C$12,'1-Input'!$B$12,0))))*(1/(1-'P-Parametri'!$B$6*W314))+MIN(MAX(0,AB313-(MAX(0,W286-IF($A314&gt;='1-Input'!$C$12,'1-Input'!$B$12,0))-MIN(MAX(AA313,0),MAX(0,W286-IF($A314&gt;='1-Input'!$C$12,'1-Input'!$B$12,0))))*(1/(1-'P-Parametri'!$B$6*W314))),MAX(0,2*W286-(AA313-MIN(MAX(AA313,0),MAX(0,W286-IF($A314&gt;='1-Input'!$C$12,'1-Input'!$B$12,0)))))*(1/(1-'P-Parametri'!$B$6*W314))))</f>
        <v>8238.150505423022</v>
      </c>
      <c r="Y314" s="18">
        <f>IF($A314&gt;'1-Input'!$B$26,AA313,(AA313-MAX(0,W286-IF($A314&gt;='1-Input'!$C$12,'1-Input'!$B$12,0))+X314*(1-'P-Parametri'!$B$6*W314))*(1+ROUND('3-Liquidita'!$F$7,4)))</f>
        <v>36787.742972329659</v>
      </c>
      <c r="Z314" s="18">
        <f>IF($A314&gt;'1-Input'!$B$26,AB313,(AB313-X314)*(1+'5-Roberta'!$C$4))</f>
        <v>98376.553466070298</v>
      </c>
      <c r="AA314" s="18">
        <f>IF($A314&gt;'1-Input'!$B$26,Y314,Y314-'P-Parametri'!$B$8*(Z314+Y314)+MIN(MAX(Z314,0),'P-Parametri'!$B$8*(Z314+Y314)))</f>
        <v>36787.742972329659</v>
      </c>
      <c r="AB314" s="18">
        <f>IF($A314&gt;'1-Input'!$B$26,Z314,Z314-MIN(MAX(Z314,0),'P-Parametri'!$B$8*(Z314+Y314)))</f>
        <v>98106.224873193496</v>
      </c>
      <c r="AC314" s="18">
        <f>IF($A314&gt;'1-Input'!$B$26,AC313,AC313-X314*(1-W314))</f>
        <v>37910.394554393351</v>
      </c>
      <c r="AD314" s="11">
        <f>IF($A314&gt;'1-Input'!$B$26,0,IF(AI313&lt;=0,0,MAX(0,(AI313-AJ313)/AI313)))</f>
        <v>0.60308872949007208</v>
      </c>
      <c r="AE314" s="18">
        <f>IF($A314&gt;'1-Input'!$B$26,0,(MAX(0,AD286-IF($A314&gt;='1-Input'!$C$12,'1-Input'!$B$12,0))-MIN(MAX(AH313,0),MAX(0,AD286-IF($A314&gt;='1-Input'!$C$12,'1-Input'!$B$12,0))))*(1/(1-'P-Parametri'!$B$6*AD314))+MIN(MAX(0,AI313-(MAX(0,AD286-IF($A314&gt;='1-Input'!$C$12,'1-Input'!$B$12,0))-MIN(MAX(AH313,0),MAX(0,AD286-IF($A314&gt;='1-Input'!$C$12,'1-Input'!$B$12,0))))*(1/(1-'P-Parametri'!$B$6*AD314))),MAX(0,2*AD286-(AH313-MIN(MAX(AH313,0),MAX(0,AD286-IF($A314&gt;='1-Input'!$C$12,'1-Input'!$B$12,0)))))*(1/(1-'P-Parametri'!$B$6*AD314))))</f>
        <v>8224.5851546464019</v>
      </c>
      <c r="AF314" s="18">
        <f>IF($A314&gt;'1-Input'!$B$26,AH313,(AH313-MAX(0,AD286-IF($A314&gt;='1-Input'!$C$12,'1-Input'!$B$12,0))+AE314*(1-'P-Parametri'!$B$6*AD314))*(1+ROUND('3-Liquidita'!$F$7,4)))</f>
        <v>36764.386690049425</v>
      </c>
      <c r="AG314" s="18">
        <f>IF($A314&gt;'1-Input'!$B$26,AI313,(AI313-AE314)*(1+'5-Roberta'!$C$4))</f>
        <v>98921.142936428427</v>
      </c>
      <c r="AH314" s="18">
        <f>IF($A314&gt;'1-Input'!$B$26,AF314,AF314-'P-Parametri'!$B$8*(AG314+AF314)+MIN(MAX(AG314,0),'P-Parametri'!$B$8*(AG314+AF314)))</f>
        <v>36764.386690049425</v>
      </c>
      <c r="AI314" s="18">
        <f>IF($A314&gt;'1-Input'!$B$26,AG314,AG314-MIN(MAX(AG314,0),'P-Parametri'!$B$8*(AG314+AF314)))</f>
        <v>98649.771877175473</v>
      </c>
      <c r="AJ314" s="18">
        <f>IF($A314&gt;'1-Input'!$B$26,AJ313,AJ313-AE314*(1-AD314))</f>
        <v>38119.336430283482</v>
      </c>
      <c r="AK314" s="11">
        <f>IF($A314&gt;'1-Input'!$B$26,0,IF(AP313&lt;=0,0,MAX(0,(AP313-AQ313)/AP313)))</f>
        <v>0.6030887586760052</v>
      </c>
      <c r="AL314" s="18">
        <f>IF($A314&gt;'1-Input'!$B$26,0,(MAX(0,AK286-IF($A314&gt;='1-Input'!$C$12,'1-Input'!$B$12,0))-MIN(MAX(AO313,0),MAX(0,AK286-IF($A314&gt;='1-Input'!$C$12,'1-Input'!$B$12,0))))*(1/(1-'P-Parametri'!$B$6*AK314))+MIN(MAX(0,AP313-(MAX(0,AK286-IF($A314&gt;='1-Input'!$C$12,'1-Input'!$B$12,0))-MIN(MAX(AO313,0),MAX(0,AK286-IF($A314&gt;='1-Input'!$C$12,'1-Input'!$B$12,0))))*(1/(1-'P-Parametri'!$B$6*AK314))),MAX(0,2*AK286-(AO313-MIN(MAX(AO313,0),MAX(0,AK286-IF($A314&gt;='1-Input'!$C$12,'1-Input'!$B$12,0)))))*(1/(1-'P-Parametri'!$B$6*AK314))))</f>
        <v>8224.5437472633512</v>
      </c>
      <c r="AM314" s="18">
        <f>IF($A314&gt;'1-Input'!$B$26,AO313,(AO313-MAX(0,AK286-IF($A314&gt;='1-Input'!$C$12,'1-Input'!$B$12,0))+AL314*(1-'P-Parametri'!$B$6*AK314))*(1+ROUND('3-Liquidita'!$F$7,4)))</f>
        <v>36764.315397069942</v>
      </c>
      <c r="AN314" s="18">
        <f>IF($A314&gt;'1-Input'!$B$26,AP313,(AP313-AL314)*(1+'5-Roberta'!$C$4))</f>
        <v>98922.80524989983</v>
      </c>
      <c r="AO314" s="18">
        <f>IF($A314&gt;'1-Input'!$B$26,AM314,AM314-'P-Parametri'!$B$8*(AN314+AM314)+MIN(MAX(AN314,0),'P-Parametri'!$B$8*(AN314+AM314)))</f>
        <v>36764.315397069942</v>
      </c>
      <c r="AP314" s="18">
        <f>IF($A314&gt;'1-Input'!$B$26,AN314,AN314-MIN(MAX(AN314,0),'P-Parametri'!$B$8*(AN314+AM314)))</f>
        <v>98651.431008605883</v>
      </c>
      <c r="AQ314" s="18">
        <f>IF($A314&gt;'1-Input'!$B$26,AQ313,AQ313-AL314*(1-AK314))</f>
        <v>38119.9742009607</v>
      </c>
    </row>
    <row r="315" spans="1:43">
      <c r="A315" s="10">
        <f>27</f>
        <v>27</v>
      </c>
      <c r="B315" s="11">
        <f>IF($A315&gt;'1-Input'!$B$26,0,IF(G314&lt;=0,0,MAX(0,(G314-H314)/G314)))</f>
        <v>0.61464221970393529</v>
      </c>
      <c r="C315" s="18">
        <f>IF($A315&gt;'1-Input'!$B$26,0,(MAX(0,B286-IF($A315&gt;='1-Input'!$C$12,'1-Input'!$B$12,0))-MIN(MAX(F314,0),MAX(0,B286-IF($A315&gt;='1-Input'!$C$12,'1-Input'!$B$12,0))))*(1/(1-'P-Parametri'!$B$6*B315))+MIN(MAX(0,G314-(MAX(0,B286-IF($A315&gt;='1-Input'!$C$12,'1-Input'!$B$12,0))-MIN(MAX(F314,0),MAX(0,B286-IF($A315&gt;='1-Input'!$C$12,'1-Input'!$B$12,0))))*(1/(1-'P-Parametri'!$B$6*B315))),MAX(0,2*B286-(F314-MIN(MAX(F314,0),MAX(0,B286-IF($A315&gt;='1-Input'!$C$12,'1-Input'!$B$12,0)))))*(1/(1-'P-Parametri'!$B$6*B315))))</f>
        <v>6390.0483239880959</v>
      </c>
      <c r="D315" s="18">
        <f>IF($A315&gt;'1-Input'!$B$26,F314,(F314-MAX(0,B286-IF($A315&gt;='1-Input'!$C$12,'1-Input'!$B$12,0))+C315*(1-'P-Parametri'!$B$6*B315))*(1+ROUND('3-Liquidita'!$F$7,4)))</f>
        <v>33572.29192621589</v>
      </c>
      <c r="E315" s="18">
        <f>IF($A315&gt;'1-Input'!$B$26,G314,(G314-C315)*(1+'5-Roberta'!$C$4))</f>
        <v>171554.77794922041</v>
      </c>
      <c r="F315" s="18">
        <f>IF($A315&gt;'1-Input'!$B$26,D315,D315-'P-Parametri'!$B$8*(E315+D315)+MIN(MAX(E315,0),'P-Parametri'!$B$8*(E315+D315)))</f>
        <v>33572.29192621589</v>
      </c>
      <c r="G315" s="18">
        <f>IF($A315&gt;'1-Input'!$B$26,E315,E315-MIN(MAX(E315,0),'P-Parametri'!$B$8*(E315+D315)))</f>
        <v>171144.52380946954</v>
      </c>
      <c r="H315" s="18">
        <f>IF($A315&gt;'1-Input'!$B$26,H314,H314-C315*(1-B315))</f>
        <v>64184.435368636754</v>
      </c>
      <c r="I315" s="11">
        <f>IF($A315&gt;'1-Input'!$B$26,0,IF(N314&lt;=0,0,MAX(0,(N314-O314)/N314)))</f>
        <v>0</v>
      </c>
      <c r="J315" s="18">
        <f>IF($A315&gt;'1-Input'!$B$26,0,(MAX(0,I286-IF($A315&gt;='1-Input'!$C$12,'1-Input'!$B$12,0))-MIN(MAX(M314,0),MAX(0,I286-IF($A315&gt;='1-Input'!$C$12,'1-Input'!$B$12,0))))*(1/(1-'P-Parametri'!$B$6*I315))+MIN(MAX(0,N314-(MAX(0,I286-IF($A315&gt;='1-Input'!$C$12,'1-Input'!$B$12,0))-MIN(MAX(M314,0),MAX(0,I286-IF($A315&gt;='1-Input'!$C$12,'1-Input'!$B$12,0))))*(1/(1-'P-Parametri'!$B$6*I315))),MAX(0,2*I286-(M314-MIN(MAX(M314,0),MAX(0,I286-IF($A315&gt;='1-Input'!$C$12,'1-Input'!$B$12,0)))))*(1/(1-'P-Parametri'!$B$6*I315))))</f>
        <v>10846.756992928691</v>
      </c>
      <c r="K315" s="18">
        <f>IF($A315&gt;'1-Input'!$B$26,M314,(M314-MAX(0,I286-IF($A315&gt;='1-Input'!$C$12,'1-Input'!$B$12,0))+J315*(1-'P-Parametri'!$B$6*I315))*(1+ROUND('3-Liquidita'!$F$7,4)))</f>
        <v>0</v>
      </c>
      <c r="L315" s="18">
        <f>IF($A315&gt;'1-Input'!$B$26,N314,(N314-J315)*(1+'5-Roberta'!$C$4))</f>
        <v>-26098.362696492026</v>
      </c>
      <c r="M315" s="18">
        <f>IF($A315&gt;'1-Input'!$B$26,K315,K315-'P-Parametri'!$B$8*(L315+K315)+MIN(MAX(L315,0),'P-Parametri'!$B$8*(L315+K315)))</f>
        <v>0</v>
      </c>
      <c r="N315" s="18">
        <f>IF($A315&gt;'1-Input'!$B$26,L315,L315-MIN(MAX(L315,0),'P-Parametri'!$B$8*(L315+K315)))</f>
        <v>-26046.165971099043</v>
      </c>
      <c r="O315" s="18">
        <f>IF($A315&gt;'1-Input'!$B$26,O314,O314-J315*(1-I315))</f>
        <v>-24855.970971632662</v>
      </c>
      <c r="P315" s="11">
        <f>IF($A315&gt;'1-Input'!$B$26,0,IF(U314&lt;=0,0,MAX(0,(U314-V314)/U314)))</f>
        <v>0.61334493763923026</v>
      </c>
      <c r="Q315" s="18">
        <f>IF($A315&gt;'1-Input'!$B$26,0,(MAX(0,P286-IF($A315&gt;='1-Input'!$C$12,'1-Input'!$B$12,0))-MIN(MAX(T314,0),MAX(0,P286-IF($A315&gt;='1-Input'!$C$12,'1-Input'!$B$12,0))))*(1/(1-'P-Parametri'!$B$6*P315))+MIN(MAX(0,U314-(MAX(0,P286-IF($A315&gt;='1-Input'!$C$12,'1-Input'!$B$12,0))-MIN(MAX(T314,0),MAX(0,P286-IF($A315&gt;='1-Input'!$C$12,'1-Input'!$B$12,0))))*(1/(1-'P-Parametri'!$B$6*P315))),MAX(0,2*P286-(T314-MIN(MAX(T314,0),MAX(0,P286-IF($A315&gt;='1-Input'!$C$12,'1-Input'!$B$12,0)))))*(1/(1-'P-Parametri'!$B$6*P315))))</f>
        <v>8529.5265108093863</v>
      </c>
      <c r="R315" s="18">
        <f>IF($A315&gt;'1-Input'!$B$26,T314,(T314-MAX(0,P286-IF($A315&gt;='1-Input'!$C$12,'1-Input'!$B$12,0))+Q315*(1-'P-Parametri'!$B$6*P315))*(1+ROUND('3-Liquidita'!$F$7,4)))</f>
        <v>37242.120653556602</v>
      </c>
      <c r="S315" s="18">
        <f>IF($A315&gt;'1-Input'!$B$26,U314,(U314-Q315)*(1+'5-Roberta'!$C$4))</f>
        <v>81372.84045719626</v>
      </c>
      <c r="T315" s="18">
        <f>IF($A315&gt;'1-Input'!$B$26,R315,R315-'P-Parametri'!$B$8*(S315+R315)+MIN(MAX(S315,0),'P-Parametri'!$B$8*(S315+R315)))</f>
        <v>37242.120653556602</v>
      </c>
      <c r="U315" s="18">
        <f>IF($A315&gt;'1-Input'!$B$26,S315,S315-MIN(MAX(S315,0),'P-Parametri'!$B$8*(S315+R315)))</f>
        <v>81135.610534974752</v>
      </c>
      <c r="V315" s="18">
        <f>IF($A315&gt;'1-Input'!$B$26,V314,V314-Q315*(1-P315))</f>
        <v>30546.816215000184</v>
      </c>
      <c r="W315" s="11">
        <f>IF($A315&gt;'1-Input'!$B$26,0,IF(AB314&lt;=0,0,MAX(0,(AB314-AC314)/AB314)))</f>
        <v>0.61357809248705508</v>
      </c>
      <c r="X315" s="18">
        <f>IF($A315&gt;'1-Input'!$B$26,0,(MAX(0,W286-IF($A315&gt;='1-Input'!$C$12,'1-Input'!$B$12,0))-MIN(MAX(AA314,0),MAX(0,W286-IF($A315&gt;='1-Input'!$C$12,'1-Input'!$B$12,0))))*(1/(1-'P-Parametri'!$B$6*W315))+MIN(MAX(0,AB314-(MAX(0,W286-IF($A315&gt;='1-Input'!$C$12,'1-Input'!$B$12,0))-MIN(MAX(AA314,0),MAX(0,W286-IF($A315&gt;='1-Input'!$C$12,'1-Input'!$B$12,0))))*(1/(1-'P-Parametri'!$B$6*W315))),MAX(0,2*W286-(AA314-MIN(MAX(AA314,0),MAX(0,W286-IF($A315&gt;='1-Input'!$C$12,'1-Input'!$B$12,0)))))*(1/(1-'P-Parametri'!$B$6*W315))))</f>
        <v>8264.9068671782497</v>
      </c>
      <c r="Y315" s="18">
        <f>IF($A315&gt;'1-Input'!$B$26,AA314,(AA314-MAX(0,W286-IF($A315&gt;='1-Input'!$C$12,'1-Input'!$B$12,0))+X315*(1-'P-Parametri'!$B$6*W315))*(1+ROUND('3-Liquidita'!$F$7,4)))</f>
        <v>36787.742972329659</v>
      </c>
      <c r="Z315" s="18">
        <f>IF($A315&gt;'1-Input'!$B$26,AB314,(AB314-X315)*(1+'5-Roberta'!$C$4))</f>
        <v>92536.557546195705</v>
      </c>
      <c r="AA315" s="18">
        <f>IF($A315&gt;'1-Input'!$B$26,Y315,Y315-'P-Parametri'!$B$8*(Z315+Y315)+MIN(MAX(Z315,0),'P-Parametri'!$B$8*(Z315+Y315)))</f>
        <v>36787.742972329659</v>
      </c>
      <c r="AB315" s="18">
        <f>IF($A315&gt;'1-Input'!$B$26,Z315,Z315-MIN(MAX(Z315,0),'P-Parametri'!$B$8*(Z315+Y315)))</f>
        <v>92277.908945158648</v>
      </c>
      <c r="AC315" s="18">
        <f>IF($A315&gt;'1-Input'!$B$26,AC314,AC314-X315*(1-W315))</f>
        <v>34716.653477361491</v>
      </c>
      <c r="AD315" s="11">
        <f>IF($A315&gt;'1-Input'!$B$26,0,IF(AI314&lt;=0,0,MAX(0,(AI314-AJ314)/AI314)))</f>
        <v>0.61358920852098675</v>
      </c>
      <c r="AE315" s="18">
        <f>IF($A315&gt;'1-Input'!$B$26,0,(MAX(0,AD286-IF($A315&gt;='1-Input'!$C$12,'1-Input'!$B$12,0))-MIN(MAX(AH314,0),MAX(0,AD286-IF($A315&gt;='1-Input'!$C$12,'1-Input'!$B$12,0))))*(1/(1-'P-Parametri'!$B$6*AD315))+MIN(MAX(0,AI314-(MAX(0,AD286-IF($A315&gt;='1-Input'!$C$12,'1-Input'!$B$12,0))-MIN(MAX(AH314,0),MAX(0,AD286-IF($A315&gt;='1-Input'!$C$12,'1-Input'!$B$12,0))))*(1/(1-'P-Parametri'!$B$6*AD315))),MAX(0,2*AD286-(AH314-MIN(MAX(AH314,0),MAX(0,AD286-IF($A315&gt;='1-Input'!$C$12,'1-Input'!$B$12,0)))))*(1/(1-'P-Parametri'!$B$6*AD315))))</f>
        <v>8251.3014290710253</v>
      </c>
      <c r="AF315" s="18">
        <f>IF($A315&gt;'1-Input'!$B$26,AH314,(AH314-MAX(0,AD286-IF($A315&gt;='1-Input'!$C$12,'1-Input'!$B$12,0))+AE315*(1-'P-Parametri'!$B$6*AD315))*(1+ROUND('3-Liquidita'!$F$7,4)))</f>
        <v>36764.386690049425</v>
      </c>
      <c r="AG315" s="18">
        <f>IF($A315&gt;'1-Input'!$B$26,AI314,(AI314-AE315)*(1+'5-Roberta'!$C$4))</f>
        <v>93110.424561547581</v>
      </c>
      <c r="AH315" s="18">
        <f>IF($A315&gt;'1-Input'!$B$26,AF315,AF315-'P-Parametri'!$B$8*(AG315+AF315)+MIN(MAX(AG315,0),'P-Parametri'!$B$8*(AG315+AF315)))</f>
        <v>36764.386690049425</v>
      </c>
      <c r="AI315" s="18">
        <f>IF($A315&gt;'1-Input'!$B$26,AG315,AG315-MIN(MAX(AG315,0),'P-Parametri'!$B$8*(AG315+AF315)))</f>
        <v>92850.674939044387</v>
      </c>
      <c r="AJ315" s="18">
        <f>IF($A315&gt;'1-Input'!$B$26,AJ314,AJ314-AE315*(1-AD315))</f>
        <v>34930.944514344235</v>
      </c>
      <c r="AK315" s="11">
        <f>IF($A315&gt;'1-Input'!$B$26,0,IF(AP314&lt;=0,0,MAX(0,(AP314-AQ314)/AP314)))</f>
        <v>0.61358924233308598</v>
      </c>
      <c r="AL315" s="18">
        <f>IF($A315&gt;'1-Input'!$B$26,0,(MAX(0,AK286-IF($A315&gt;='1-Input'!$C$12,'1-Input'!$B$12,0))-MIN(MAX(AO314,0),MAX(0,AK286-IF($A315&gt;='1-Input'!$C$12,'1-Input'!$B$12,0))))*(1/(1-'P-Parametri'!$B$6*AK315))+MIN(MAX(0,AP314-(MAX(0,AK286-IF($A315&gt;='1-Input'!$C$12,'1-Input'!$B$12,0))-MIN(MAX(AO314,0),MAX(0,AK286-IF($A315&gt;='1-Input'!$C$12,'1-Input'!$B$12,0))))*(1/(1-'P-Parametri'!$B$6*AK315))),MAX(0,2*AK286-(AO314-MIN(MAX(AO314,0),MAX(0,AK286-IF($A315&gt;='1-Input'!$C$12,'1-Input'!$B$12,0)))))*(1/(1-'P-Parametri'!$B$6*AK315))))</f>
        <v>8251.2598992322892</v>
      </c>
      <c r="AM315" s="18">
        <f>IF($A315&gt;'1-Input'!$B$26,AO314,(AO314-MAX(0,AK286-IF($A315&gt;='1-Input'!$C$12,'1-Input'!$B$12,0))+AL315*(1-'P-Parametri'!$B$6*AK315))*(1+ROUND('3-Liquidita'!$F$7,4)))</f>
        <v>36764.315397069942</v>
      </c>
      <c r="AN315" s="18">
        <f>IF($A315&gt;'1-Input'!$B$26,AP314,(AP314-AL315)*(1+'5-Roberta'!$C$4))</f>
        <v>93112.176242654808</v>
      </c>
      <c r="AO315" s="18">
        <f>IF($A315&gt;'1-Input'!$B$26,AM315,AM315-'P-Parametri'!$B$8*(AN315+AM315)+MIN(MAX(AN315,0),'P-Parametri'!$B$8*(AN315+AM315)))</f>
        <v>36764.315397069942</v>
      </c>
      <c r="AP315" s="18">
        <f>IF($A315&gt;'1-Input'!$B$26,AN315,AN315-MIN(MAX(AN315,0),'P-Parametri'!$B$8*(AN315+AM315)))</f>
        <v>92852.423259375355</v>
      </c>
      <c r="AQ315" s="18">
        <f>IF($A315&gt;'1-Input'!$B$26,AQ314,AQ314-AL315*(1-AK315))</f>
        <v>34931.598611591726</v>
      </c>
    </row>
    <row r="316" spans="1:43">
      <c r="A316" s="10">
        <f>28</f>
        <v>28</v>
      </c>
      <c r="B316" s="11">
        <f>IF($A316&gt;'1-Input'!$B$26,0,IF(G315&lt;=0,0,MAX(0,(G315-H315)/G315)))</f>
        <v>0.624969388795101</v>
      </c>
      <c r="C316" s="18">
        <f>IF($A316&gt;'1-Input'!$B$26,0,(MAX(0,B286-IF($A316&gt;='1-Input'!$C$12,'1-Input'!$B$12,0))-MIN(MAX(F315,0),MAX(0,B286-IF($A316&gt;='1-Input'!$C$12,'1-Input'!$B$12,0))))*(1/(1-'P-Parametri'!$B$6*B316))+MIN(MAX(0,G315-(MAX(0,B286-IF($A316&gt;='1-Input'!$C$12,'1-Input'!$B$12,0))-MIN(MAX(F315,0),MAX(0,B286-IF($A316&gt;='1-Input'!$C$12,'1-Input'!$B$12,0))))*(1/(1-'P-Parametri'!$B$6*B316))),MAX(0,2*B286-(F315-MIN(MAX(F315,0),MAX(0,B286-IF($A316&gt;='1-Input'!$C$12,'1-Input'!$B$12,0)))))*(1/(1-'P-Parametri'!$B$6*B316))))</f>
        <v>6410.5349215164651</v>
      </c>
      <c r="D316" s="18">
        <f>IF($A316&gt;'1-Input'!$B$26,F315,(F315-MAX(0,B286-IF($A316&gt;='1-Input'!$C$12,'1-Input'!$B$12,0))+C316*(1-'P-Parametri'!$B$6*B316))*(1+ROUND('3-Liquidita'!$F$7,4)))</f>
        <v>33572.29192621589</v>
      </c>
      <c r="E316" s="18">
        <f>IF($A316&gt;'1-Input'!$B$26,G315,(G315-C316)*(1+'5-Roberta'!$C$4))</f>
        <v>169676.00855459168</v>
      </c>
      <c r="F316" s="18">
        <f>IF($A316&gt;'1-Input'!$B$26,D316,D316-'P-Parametri'!$B$8*(E316+D316)+MIN(MAX(E316,0),'P-Parametri'!$B$8*(E316+D316)))</f>
        <v>33572.29192621589</v>
      </c>
      <c r="G316" s="18">
        <f>IF($A316&gt;'1-Input'!$B$26,E316,E316-MIN(MAX(E316,0),'P-Parametri'!$B$8*(E316+D316)))</f>
        <v>169269.51195363008</v>
      </c>
      <c r="H316" s="18">
        <f>IF($A316&gt;'1-Input'!$B$26,H315,H315-C316*(1-B316))</f>
        <v>61780.288538870082</v>
      </c>
      <c r="I316" s="11">
        <f>IF($A316&gt;'1-Input'!$B$26,0,IF(N315&lt;=0,0,MAX(0,(N315-O315)/N315)))</f>
        <v>0</v>
      </c>
      <c r="J316" s="18">
        <f>IF($A316&gt;'1-Input'!$B$26,0,(MAX(0,I286-IF($A316&gt;='1-Input'!$C$12,'1-Input'!$B$12,0))-MIN(MAX(M315,0),MAX(0,I286-IF($A316&gt;='1-Input'!$C$12,'1-Input'!$B$12,0))))*(1/(1-'P-Parametri'!$B$6*I316))+MIN(MAX(0,N315-(MAX(0,I286-IF($A316&gt;='1-Input'!$C$12,'1-Input'!$B$12,0))-MIN(MAX(M315,0),MAX(0,I286-IF($A316&gt;='1-Input'!$C$12,'1-Input'!$B$12,0))))*(1/(1-'P-Parametri'!$B$6*I316))),MAX(0,2*I286-(M315-MIN(MAX(M315,0),MAX(0,I286-IF($A316&gt;='1-Input'!$C$12,'1-Input'!$B$12,0)))))*(1/(1-'P-Parametri'!$B$6*I316))))</f>
        <v>10846.756992928691</v>
      </c>
      <c r="K316" s="18">
        <f>IF($A316&gt;'1-Input'!$B$26,M315,(M315-MAX(0,I286-IF($A316&gt;='1-Input'!$C$12,'1-Input'!$B$12,0))+J316*(1-'P-Parametri'!$B$6*I316))*(1+ROUND('3-Liquidita'!$F$7,4)))</f>
        <v>0</v>
      </c>
      <c r="L316" s="18">
        <f>IF($A316&gt;'1-Input'!$B$26,N315,(N315-J316)*(1+'5-Roberta'!$C$4))</f>
        <v>-37999.710652948568</v>
      </c>
      <c r="M316" s="18">
        <f>IF($A316&gt;'1-Input'!$B$26,K316,K316-'P-Parametri'!$B$8*(L316+K316)+MIN(MAX(L316,0),'P-Parametri'!$B$8*(L316+K316)))</f>
        <v>0</v>
      </c>
      <c r="N316" s="18">
        <f>IF($A316&gt;'1-Input'!$B$26,L316,L316-MIN(MAX(L316,0),'P-Parametri'!$B$8*(L316+K316)))</f>
        <v>-37923.711231642672</v>
      </c>
      <c r="O316" s="18">
        <f>IF($A316&gt;'1-Input'!$B$26,O315,O315-J316*(1-I316))</f>
        <v>-35702.727964561353</v>
      </c>
      <c r="P316" s="11">
        <f>IF($A316&gt;'1-Input'!$B$26,0,IF(U315&lt;=0,0,MAX(0,(U315-V315)/U315)))</f>
        <v>0.62350913472411085</v>
      </c>
      <c r="Q316" s="18">
        <f>IF($A316&gt;'1-Input'!$B$26,0,(MAX(0,P286-IF($A316&gt;='1-Input'!$C$12,'1-Input'!$B$12,0))-MIN(MAX(T315,0),MAX(0,P286-IF($A316&gt;='1-Input'!$C$12,'1-Input'!$B$12,0))))*(1/(1-'P-Parametri'!$B$6*P316))+MIN(MAX(0,U315-(MAX(0,P286-IF($A316&gt;='1-Input'!$C$12,'1-Input'!$B$12,0))-MIN(MAX(T315,0),MAX(0,P286-IF($A316&gt;='1-Input'!$C$12,'1-Input'!$B$12,0))))*(1/(1-'P-Parametri'!$B$6*P316))),MAX(0,2*P286-(T315-MIN(MAX(T315,0),MAX(0,P286-IF($A316&gt;='1-Input'!$C$12,'1-Input'!$B$12,0)))))*(1/(1-'P-Parametri'!$B$6*P316))))</f>
        <v>8556.4285730159627</v>
      </c>
      <c r="R316" s="18">
        <f>IF($A316&gt;'1-Input'!$B$26,T315,(T315-MAX(0,P286-IF($A316&gt;='1-Input'!$C$12,'1-Input'!$B$12,0))+Q316*(1-'P-Parametri'!$B$6*P316))*(1+ROUND('3-Liquidita'!$F$7,4)))</f>
        <v>37242.120653556602</v>
      </c>
      <c r="S316" s="18">
        <f>IF($A316&gt;'1-Input'!$B$26,U315,(U315-Q316)*(1+'5-Roberta'!$C$4))</f>
        <v>74756.557420817553</v>
      </c>
      <c r="T316" s="18">
        <f>IF($A316&gt;'1-Input'!$B$26,R316,R316-'P-Parametri'!$B$8*(S316+R316)+MIN(MAX(S316,0),'P-Parametri'!$B$8*(S316+R316)))</f>
        <v>37242.120653556602</v>
      </c>
      <c r="U316" s="18">
        <f>IF($A316&gt;'1-Input'!$B$26,S316,S316-MIN(MAX(S316,0),'P-Parametri'!$B$8*(S316+R316)))</f>
        <v>74532.560064668811</v>
      </c>
      <c r="V316" s="18">
        <f>IF($A316&gt;'1-Input'!$B$26,V315,V315-Q316*(1-P316))</f>
        <v>27325.399017874064</v>
      </c>
      <c r="W316" s="11">
        <f>IF($A316&gt;'1-Input'!$B$26,0,IF(AB315&lt;=0,0,MAX(0,(AB315-AC315)/AB315)))</f>
        <v>0.62378153260935054</v>
      </c>
      <c r="X316" s="18">
        <f>IF($A316&gt;'1-Input'!$B$26,0,(MAX(0,W286-IF($A316&gt;='1-Input'!$C$12,'1-Input'!$B$12,0))-MIN(MAX(AA315,0),MAX(0,W286-IF($A316&gt;='1-Input'!$C$12,'1-Input'!$B$12,0))))*(1/(1-'P-Parametri'!$B$6*W316))+MIN(MAX(0,AB315-(MAX(0,W286-IF($A316&gt;='1-Input'!$C$12,'1-Input'!$B$12,0))-MIN(MAX(AA315,0),MAX(0,W286-IF($A316&gt;='1-Input'!$C$12,'1-Input'!$B$12,0))))*(1/(1-'P-Parametri'!$B$6*W316))),MAX(0,2*W286-(AA315-MIN(MAX(AA315,0),MAX(0,W286-IF($A316&gt;='1-Input'!$C$12,'1-Input'!$B$12,0)))))*(1/(1-'P-Parametri'!$B$6*W316))))</f>
        <v>8291.0771771642012</v>
      </c>
      <c r="Y316" s="18">
        <f>IF($A316&gt;'1-Input'!$B$26,AA315,(AA315-MAX(0,W286-IF($A316&gt;='1-Input'!$C$12,'1-Input'!$B$12,0))+X316*(1-'P-Parametri'!$B$6*W316))*(1+ROUND('3-Liquidita'!$F$7,4)))</f>
        <v>36787.742972329659</v>
      </c>
      <c r="Z316" s="18">
        <f>IF($A316&gt;'1-Input'!$B$26,AB315,(AB315-X316)*(1+'5-Roberta'!$C$4))</f>
        <v>86506.436721034275</v>
      </c>
      <c r="AA316" s="18">
        <f>IF($A316&gt;'1-Input'!$B$26,Y316,Y316-'P-Parametri'!$B$8*(Z316+Y316)+MIN(MAX(Z316,0),'P-Parametri'!$B$8*(Z316+Y316)))</f>
        <v>36787.742972329659</v>
      </c>
      <c r="AB316" s="18">
        <f>IF($A316&gt;'1-Input'!$B$26,Z316,Z316-MIN(MAX(Z316,0),'P-Parametri'!$B$8*(Z316+Y316)))</f>
        <v>86259.848361647542</v>
      </c>
      <c r="AC316" s="18">
        <f>IF($A316&gt;'1-Input'!$B$26,AC315,AC315-X316*(1-W316))</f>
        <v>31597.397128751181</v>
      </c>
      <c r="AD316" s="11">
        <f>IF($A316&gt;'1-Input'!$B$26,0,IF(AI315&lt;=0,0,MAX(0,(AI315-AJ315)/AI315)))</f>
        <v>0.62379439312340945</v>
      </c>
      <c r="AE316" s="18">
        <f>IF($A316&gt;'1-Input'!$B$26,0,(MAX(0,AD286-IF($A316&gt;='1-Input'!$C$12,'1-Input'!$B$12,0))-MIN(MAX(AH315,0),MAX(0,AD286-IF($A316&gt;='1-Input'!$C$12,'1-Input'!$B$12,0))))*(1/(1-'P-Parametri'!$B$6*AD316))+MIN(MAX(0,AI315-(MAX(0,AD286-IF($A316&gt;='1-Input'!$C$12,'1-Input'!$B$12,0))-MIN(MAX(AH315,0),MAX(0,AD286-IF($A316&gt;='1-Input'!$C$12,'1-Input'!$B$12,0))))*(1/(1-'P-Parametri'!$B$6*AD316))),MAX(0,2*AD286-(AH315-MIN(MAX(AH315,0),MAX(0,AD286-IF($A316&gt;='1-Input'!$C$12,'1-Input'!$B$12,0)))))*(1/(1-'P-Parametri'!$B$6*AD316))))</f>
        <v>8277.4332295486893</v>
      </c>
      <c r="AF316" s="18">
        <f>IF($A316&gt;'1-Input'!$B$26,AH315,(AH315-MAX(0,AD286-IF($A316&gt;='1-Input'!$C$12,'1-Input'!$B$12,0))+AE316*(1-'P-Parametri'!$B$6*AD316))*(1+ROUND('3-Liquidita'!$F$7,4)))</f>
        <v>36764.386690049425</v>
      </c>
      <c r="AG316" s="18">
        <f>IF($A316&gt;'1-Input'!$B$26,AI315,(AI315-AE316)*(1+'5-Roberta'!$C$4))</f>
        <v>87110.438960780564</v>
      </c>
      <c r="AH316" s="18">
        <f>IF($A316&gt;'1-Input'!$B$26,AF316,AF316-'P-Parametri'!$B$8*(AG316+AF316)+MIN(MAX(AG316,0),'P-Parametri'!$B$8*(AG316+AF316)))</f>
        <v>36764.386690049425</v>
      </c>
      <c r="AI316" s="18">
        <f>IF($A316&gt;'1-Input'!$B$26,AG316,AG316-MIN(MAX(AG316,0),'P-Parametri'!$B$8*(AG316+AF316)))</f>
        <v>86862.689309478897</v>
      </c>
      <c r="AJ316" s="18">
        <f>IF($A316&gt;'1-Input'!$B$26,AJ315,AJ315-AE316*(1-AD316))</f>
        <v>31816.927722841414</v>
      </c>
      <c r="AK316" s="11">
        <f>IF($A316&gt;'1-Input'!$B$26,0,IF(AP315&lt;=0,0,MAX(0,(AP315-AQ315)/AP315)))</f>
        <v>0.62379443222485131</v>
      </c>
      <c r="AL316" s="18">
        <f>IF($A316&gt;'1-Input'!$B$26,0,(MAX(0,AK286-IF($A316&gt;='1-Input'!$C$12,'1-Input'!$B$12,0))-MIN(MAX(AO315,0),MAX(0,AK286-IF($A316&gt;='1-Input'!$C$12,'1-Input'!$B$12,0))))*(1/(1-'P-Parametri'!$B$6*AK316))+MIN(MAX(0,AP315-(MAX(0,AK286-IF($A316&gt;='1-Input'!$C$12,'1-Input'!$B$12,0))-MIN(MAX(AO315,0),MAX(0,AK286-IF($A316&gt;='1-Input'!$C$12,'1-Input'!$B$12,0))))*(1/(1-'P-Parametri'!$B$6*AK316))),MAX(0,2*AK286-(AO315-MIN(MAX(AO315,0),MAX(0,AK286-IF($A316&gt;='1-Input'!$C$12,'1-Input'!$B$12,0)))))*(1/(1-'P-Parametri'!$B$6*AK316))))</f>
        <v>8277.3915820464372</v>
      </c>
      <c r="AM316" s="18">
        <f>IF($A316&gt;'1-Input'!$B$26,AO315,(AO315-MAX(0,AK286-IF($A316&gt;='1-Input'!$C$12,'1-Input'!$B$12,0))+AL316*(1-'P-Parametri'!$B$6*AK316))*(1+ROUND('3-Liquidita'!$F$7,4)))</f>
        <v>36764.315397069942</v>
      </c>
      <c r="AN316" s="18">
        <f>IF($A316&gt;'1-Input'!$B$26,AP315,(AP315-AL316)*(1+'5-Roberta'!$C$4))</f>
        <v>87112.28262764879</v>
      </c>
      <c r="AO316" s="18">
        <f>IF($A316&gt;'1-Input'!$B$26,AM316,AM316-'P-Parametri'!$B$8*(AN316+AM316)+MIN(MAX(AN316,0),'P-Parametri'!$B$8*(AN316+AM316)))</f>
        <v>36764.315397069942</v>
      </c>
      <c r="AP316" s="18">
        <f>IF($A316&gt;'1-Input'!$B$26,AN316,AN316-MIN(MAX(AN316,0),'P-Parametri'!$B$8*(AN316+AM316)))</f>
        <v>86864.529431599352</v>
      </c>
      <c r="AQ316" s="18">
        <f>IF($A316&gt;'1-Input'!$B$26,AQ315,AQ315-AL316*(1-AK316))</f>
        <v>31817.597811770709</v>
      </c>
    </row>
    <row r="317" spans="1:43">
      <c r="A317" s="10">
        <f>29</f>
        <v>29</v>
      </c>
      <c r="B317" s="11">
        <f>IF($A317&gt;'1-Input'!$B$26,0,IF(G316&lt;=0,0,MAX(0,(G316-H316)/G316)))</f>
        <v>0.63501821547288295</v>
      </c>
      <c r="C317" s="18">
        <f>IF($A317&gt;'1-Input'!$B$26,0,(MAX(0,B286-IF($A317&gt;='1-Input'!$C$12,'1-Input'!$B$12,0))-MIN(MAX(F316,0),MAX(0,B286-IF($A317&gt;='1-Input'!$C$12,'1-Input'!$B$12,0))))*(1/(1-'P-Parametri'!$B$6*B317))+MIN(MAX(0,G316-(MAX(0,B286-IF($A317&gt;='1-Input'!$C$12,'1-Input'!$B$12,0))-MIN(MAX(F316,0),MAX(0,B286-IF($A317&gt;='1-Input'!$C$12,'1-Input'!$B$12,0))))*(1/(1-'P-Parametri'!$B$6*B317))),MAX(0,2*B286-(F316-MIN(MAX(F316,0),MAX(0,B286-IF($A317&gt;='1-Input'!$C$12,'1-Input'!$B$12,0)))))*(1/(1-'P-Parametri'!$B$6*B317))))</f>
        <v>6430.5958475398629</v>
      </c>
      <c r="D317" s="18">
        <f>IF($A317&gt;'1-Input'!$B$26,F316,(F316-MAX(0,B286-IF($A317&gt;='1-Input'!$C$12,'1-Input'!$B$12,0))+C317*(1-'P-Parametri'!$B$6*B317))*(1+ROUND('3-Liquidita'!$F$7,4)))</f>
        <v>33572.29192621589</v>
      </c>
      <c r="E317" s="18">
        <f>IF($A317&gt;'1-Input'!$B$26,G316,(G316-C317)*(1+'5-Roberta'!$C$4))</f>
        <v>167724.08358927292</v>
      </c>
      <c r="F317" s="18">
        <f>IF($A317&gt;'1-Input'!$B$26,D317,D317-'P-Parametri'!$B$8*(E317+D317)+MIN(MAX(E317,0),'P-Parametri'!$B$8*(E317+D317)))</f>
        <v>33572.29192621589</v>
      </c>
      <c r="G317" s="18">
        <f>IF($A317&gt;'1-Input'!$B$26,E317,E317-MIN(MAX(E317,0),'P-Parametri'!$B$8*(E317+D317)))</f>
        <v>167321.49083824194</v>
      </c>
      <c r="H317" s="18">
        <f>IF($A317&gt;'1-Input'!$B$26,H316,H316-C317*(1-B317))</f>
        <v>59433.238190862314</v>
      </c>
      <c r="I317" s="11">
        <f>IF($A317&gt;'1-Input'!$B$26,0,IF(N316&lt;=0,0,MAX(0,(N316-O316)/N316)))</f>
        <v>0</v>
      </c>
      <c r="J317" s="18">
        <f>IF($A317&gt;'1-Input'!$B$26,0,(MAX(0,I286-IF($A317&gt;='1-Input'!$C$12,'1-Input'!$B$12,0))-MIN(MAX(M316,0),MAX(0,I286-IF($A317&gt;='1-Input'!$C$12,'1-Input'!$B$12,0))))*(1/(1-'P-Parametri'!$B$6*I317))+MIN(MAX(0,N316-(MAX(0,I286-IF($A317&gt;='1-Input'!$C$12,'1-Input'!$B$12,0))-MIN(MAX(M316,0),MAX(0,I286-IF($A317&gt;='1-Input'!$C$12,'1-Input'!$B$12,0))))*(1/(1-'P-Parametri'!$B$6*I317))),MAX(0,2*I286-(M316-MIN(MAX(M316,0),MAX(0,I286-IF($A317&gt;='1-Input'!$C$12,'1-Input'!$B$12,0)))))*(1/(1-'P-Parametri'!$B$6*I317))))</f>
        <v>10846.756992928691</v>
      </c>
      <c r="K317" s="18">
        <f>IF($A317&gt;'1-Input'!$B$26,M316,(M316-MAX(0,I286-IF($A317&gt;='1-Input'!$C$12,'1-Input'!$B$12,0))+J317*(1-'P-Parametri'!$B$6*I317))*(1+ROUND('3-Liquidita'!$F$7,4)))</f>
        <v>0</v>
      </c>
      <c r="L317" s="18">
        <f>IF($A317&gt;'1-Input'!$B$26,N316,(N316-J317)*(1+'5-Roberta'!$C$4))</f>
        <v>-50233.582271308507</v>
      </c>
      <c r="M317" s="18">
        <f>IF($A317&gt;'1-Input'!$B$26,K317,K317-'P-Parametri'!$B$8*(L317+K317)+MIN(MAX(L317,0),'P-Parametri'!$B$8*(L317+K317)))</f>
        <v>0</v>
      </c>
      <c r="N317" s="18">
        <f>IF($A317&gt;'1-Input'!$B$26,L317,L317-MIN(MAX(L317,0),'P-Parametri'!$B$8*(L317+K317)))</f>
        <v>-50133.115106765887</v>
      </c>
      <c r="O317" s="18">
        <f>IF($A317&gt;'1-Input'!$B$26,O316,O316-J317*(1-I317))</f>
        <v>-46549.484957490044</v>
      </c>
      <c r="P317" s="11">
        <f>IF($A317&gt;'1-Input'!$B$26,0,IF(U316&lt;=0,0,MAX(0,(U316-V316)/U316)))</f>
        <v>0.63337635264151737</v>
      </c>
      <c r="Q317" s="18">
        <f>IF($A317&gt;'1-Input'!$B$26,0,(MAX(0,P286-IF($A317&gt;='1-Input'!$C$12,'1-Input'!$B$12,0))-MIN(MAX(T316,0),MAX(0,P286-IF($A317&gt;='1-Input'!$C$12,'1-Input'!$B$12,0))))*(1/(1-'P-Parametri'!$B$6*P317))+MIN(MAX(0,U316-(MAX(0,P286-IF($A317&gt;='1-Input'!$C$12,'1-Input'!$B$12,0))-MIN(MAX(T316,0),MAX(0,P286-IF($A317&gt;='1-Input'!$C$12,'1-Input'!$B$12,0))))*(1/(1-'P-Parametri'!$B$6*P317))),MAX(0,2*P286-(T316-MIN(MAX(T316,0),MAX(0,P286-IF($A317&gt;='1-Input'!$C$12,'1-Input'!$B$12,0)))))*(1/(1-'P-Parametri'!$B$6*P317))))</f>
        <v>8582.7074377973422</v>
      </c>
      <c r="R317" s="18">
        <f>IF($A317&gt;'1-Input'!$B$26,T316,(T316-MAX(0,P286-IF($A317&gt;='1-Input'!$C$12,'1-Input'!$B$12,0))+Q317*(1-'P-Parametri'!$B$6*P317))*(1+ROUND('3-Liquidita'!$F$7,4)))</f>
        <v>37242.120653556602</v>
      </c>
      <c r="S317" s="18">
        <f>IF($A317&gt;'1-Input'!$B$26,U316,(U316-Q317)*(1+'5-Roberta'!$C$4))</f>
        <v>67928.348205677612</v>
      </c>
      <c r="T317" s="18">
        <f>IF($A317&gt;'1-Input'!$B$26,R317,R317-'P-Parametri'!$B$8*(S317+R317)+MIN(MAX(S317,0),'P-Parametri'!$B$8*(S317+R317)))</f>
        <v>37242.120653556602</v>
      </c>
      <c r="U317" s="18">
        <f>IF($A317&gt;'1-Input'!$B$26,S317,S317-MIN(MAX(S317,0),'P-Parametri'!$B$8*(S317+R317)))</f>
        <v>67718.007267959139</v>
      </c>
      <c r="V317" s="18">
        <f>IF($A317&gt;'1-Input'!$B$26,V316,V316-Q317*(1-P317))</f>
        <v>24178.775512818025</v>
      </c>
      <c r="W317" s="11">
        <f>IF($A317&gt;'1-Input'!$B$26,0,IF(AB316&lt;=0,0,MAX(0,(AB316-AC316)/AB316)))</f>
        <v>0.63369519273581443</v>
      </c>
      <c r="X317" s="18">
        <f>IF($A317&gt;'1-Input'!$B$26,0,(MAX(0,W286-IF($A317&gt;='1-Input'!$C$12,'1-Input'!$B$12,0))-MIN(MAX(AA316,0),MAX(0,W286-IF($A317&gt;='1-Input'!$C$12,'1-Input'!$B$12,0))))*(1/(1-'P-Parametri'!$B$6*W317))+MIN(MAX(0,AB316-(MAX(0,W286-IF($A317&gt;='1-Input'!$C$12,'1-Input'!$B$12,0))-MIN(MAX(AA316,0),MAX(0,W286-IF($A317&gt;='1-Input'!$C$12,'1-Input'!$B$12,0))))*(1/(1-'P-Parametri'!$B$6*W317))),MAX(0,2*W286-(AA316-MIN(MAX(AA316,0),MAX(0,W286-IF($A317&gt;='1-Input'!$C$12,'1-Input'!$B$12,0)))))*(1/(1-'P-Parametri'!$B$6*W317))))</f>
        <v>8316.6634741673497</v>
      </c>
      <c r="Y317" s="18">
        <f>IF($A317&gt;'1-Input'!$B$26,AA316,(AA316-MAX(0,W286-IF($A317&gt;='1-Input'!$C$12,'1-Input'!$B$12,0))+X317*(1-'P-Parametri'!$B$6*W317))*(1+ROUND('3-Liquidita'!$F$7,4)))</f>
        <v>36787.742972329659</v>
      </c>
      <c r="Z317" s="18">
        <f>IF($A317&gt;'1-Input'!$B$26,AB316,(AB316-X317)*(1+'5-Roberta'!$C$4))</f>
        <v>80281.480434104596</v>
      </c>
      <c r="AA317" s="18">
        <f>IF($A317&gt;'1-Input'!$B$26,Y317,Y317-'P-Parametri'!$B$8*(Z317+Y317)+MIN(MAX(Z317,0),'P-Parametri'!$B$8*(Z317+Y317)))</f>
        <v>36787.742972329659</v>
      </c>
      <c r="AB317" s="18">
        <f>IF($A317&gt;'1-Input'!$B$26,Z317,Z317-MIN(MAX(Z317,0),'P-Parametri'!$B$8*(Z317+Y317)))</f>
        <v>80047.341987291729</v>
      </c>
      <c r="AC317" s="18">
        <f>IF($A317&gt;'1-Input'!$B$26,AC316,AC316-X317*(1-W317))</f>
        <v>28550.963317765218</v>
      </c>
      <c r="AD317" s="11">
        <f>IF($A317&gt;'1-Input'!$B$26,0,IF(AI316&lt;=0,0,MAX(0,(AI316-AJ316)/AI316)))</f>
        <v>0.63371007764355058</v>
      </c>
      <c r="AE317" s="18">
        <f>IF($A317&gt;'1-Input'!$B$26,0,(MAX(0,AD286-IF($A317&gt;='1-Input'!$C$12,'1-Input'!$B$12,0))-MIN(MAX(AH316,0),MAX(0,AD286-IF($A317&gt;='1-Input'!$C$12,'1-Input'!$B$12,0))))*(1/(1-'P-Parametri'!$B$6*AD317))+MIN(MAX(0,AI316-(MAX(0,AD286-IF($A317&gt;='1-Input'!$C$12,'1-Input'!$B$12,0))-MIN(MAX(AH316,0),MAX(0,AD286-IF($A317&gt;='1-Input'!$C$12,'1-Input'!$B$12,0))))*(1/(1-'P-Parametri'!$B$6*AD317))),MAX(0,2*AD286-(AH316-MIN(MAX(AH316,0),MAX(0,AD286-IF($A317&gt;='1-Input'!$C$12,'1-Input'!$B$12,0)))))*(1/(1-'P-Parametri'!$B$6*AD317))))</f>
        <v>8302.982755845549</v>
      </c>
      <c r="AF317" s="18">
        <f>IF($A317&gt;'1-Input'!$B$26,AH316,(AH316-MAX(0,AD286-IF($A317&gt;='1-Input'!$C$12,'1-Input'!$B$12,0))+AE317*(1-'P-Parametri'!$B$6*AD317))*(1+ROUND('3-Liquidita'!$F$7,4)))</f>
        <v>36764.386690049425</v>
      </c>
      <c r="AG317" s="18">
        <f>IF($A317&gt;'1-Input'!$B$26,AI316,(AI316-AE317)*(1+'5-Roberta'!$C$4))</f>
        <v>80916.497750242357</v>
      </c>
      <c r="AH317" s="18">
        <f>IF($A317&gt;'1-Input'!$B$26,AF317,AF317-'P-Parametri'!$B$8*(AG317+AF317)+MIN(MAX(AG317,0),'P-Parametri'!$B$8*(AG317+AF317)))</f>
        <v>36764.386690049425</v>
      </c>
      <c r="AI317" s="18">
        <f>IF($A317&gt;'1-Input'!$B$26,AG317,AG317-MIN(MAX(AG317,0),'P-Parametri'!$B$8*(AG317+AF317)))</f>
        <v>80681.135981361775</v>
      </c>
      <c r="AJ317" s="18">
        <f>IF($A317&gt;'1-Input'!$B$26,AJ316,AJ316-AE317*(1-AD317))</f>
        <v>28775.62881387581</v>
      </c>
      <c r="AK317" s="11">
        <f>IF($A317&gt;'1-Input'!$B$26,0,IF(AP316&lt;=0,0,MAX(0,(AP316-AQ316)/AP316)))</f>
        <v>0.63371012287788675</v>
      </c>
      <c r="AL317" s="18">
        <f>IF($A317&gt;'1-Input'!$B$26,0,(MAX(0,AK286-IF($A317&gt;='1-Input'!$C$12,'1-Input'!$B$12,0))-MIN(MAX(AO316,0),MAX(0,AK286-IF($A317&gt;='1-Input'!$C$12,'1-Input'!$B$12,0))))*(1/(1-'P-Parametri'!$B$6*AK317))+MIN(MAX(0,AP316-(MAX(0,AK286-IF($A317&gt;='1-Input'!$C$12,'1-Input'!$B$12,0))-MIN(MAX(AO316,0),MAX(0,AK286-IF($A317&gt;='1-Input'!$C$12,'1-Input'!$B$12,0))))*(1/(1-'P-Parametri'!$B$6*AK317))),MAX(0,2*AK286-(AO316-MIN(MAX(AO316,0),MAX(0,AK286-IF($A317&gt;='1-Input'!$C$12,'1-Input'!$B$12,0)))))*(1/(1-'P-Parametri'!$B$6*AK317))))</f>
        <v>8302.9409959542736</v>
      </c>
      <c r="AM317" s="18">
        <f>IF($A317&gt;'1-Input'!$B$26,AO316,(AO316-MAX(0,AK286-IF($A317&gt;='1-Input'!$C$12,'1-Input'!$B$12,0))+AL317*(1-'P-Parametri'!$B$6*AK317))*(1+ROUND('3-Liquidita'!$F$7,4)))</f>
        <v>36764.315397069942</v>
      </c>
      <c r="AN317" s="18">
        <f>IF($A317&gt;'1-Input'!$B$26,AP316,(AP316-AL317)*(1+'5-Roberta'!$C$4))</f>
        <v>80918.436088714443</v>
      </c>
      <c r="AO317" s="18">
        <f>IF($A317&gt;'1-Input'!$B$26,AM317,AM317-'P-Parametri'!$B$8*(AN317+AM317)+MIN(MAX(AN317,0),'P-Parametri'!$B$8*(AN317+AM317)))</f>
        <v>36764.315397069942</v>
      </c>
      <c r="AP317" s="18">
        <f>IF($A317&gt;'1-Input'!$B$26,AN317,AN317-MIN(MAX(AN317,0),'P-Parametri'!$B$8*(AN317+AM317)))</f>
        <v>80683.070585742869</v>
      </c>
      <c r="AQ317" s="18">
        <f>IF($A317&gt;'1-Input'!$B$26,AQ316,AQ316-AL317*(1-AK317))</f>
        <v>28776.31457461046</v>
      </c>
    </row>
    <row r="318" spans="1:43">
      <c r="A318" s="10">
        <f>30</f>
        <v>30</v>
      </c>
      <c r="B318" s="11">
        <f>IF($A318&gt;'1-Input'!$B$26,0,IF(G317&lt;=0,0,MAX(0,(G317-H317)/G317)))</f>
        <v>0.64479614726646561</v>
      </c>
      <c r="C318" s="18">
        <f>IF($A318&gt;'1-Input'!$B$26,0,(MAX(0,B286-IF($A318&gt;='1-Input'!$C$12,'1-Input'!$B$12,0))-MIN(MAX(F317,0),MAX(0,B286-IF($A318&gt;='1-Input'!$C$12,'1-Input'!$B$12,0))))*(1/(1-'P-Parametri'!$B$6*B318))+MIN(MAX(0,G317-(MAX(0,B286-IF($A318&gt;='1-Input'!$C$12,'1-Input'!$B$12,0))-MIN(MAX(F317,0),MAX(0,B286-IF($A318&gt;='1-Input'!$C$12,'1-Input'!$B$12,0))))*(1/(1-'P-Parametri'!$B$6*B318))),MAX(0,2*B286-(F317-MIN(MAX(F317,0),MAX(0,B286-IF($A318&gt;='1-Input'!$C$12,'1-Input'!$B$12,0)))))*(1/(1-'P-Parametri'!$B$6*B318))))</f>
        <v>6450.2368666022412</v>
      </c>
      <c r="D318" s="18">
        <f>IF($A318&gt;'1-Input'!$B$26,F317,(F317-MAX(0,B286-IF($A318&gt;='1-Input'!$C$12,'1-Input'!$B$12,0))+C318*(1-'P-Parametri'!$B$6*B318))*(1+ROUND('3-Liquidita'!$F$7,4)))</f>
        <v>33572.29192621589</v>
      </c>
      <c r="E318" s="18">
        <f>IF($A318&gt;'1-Input'!$B$26,G317,(G317-C318)*(1+'5-Roberta'!$C$4))</f>
        <v>165697.3915907889</v>
      </c>
      <c r="F318" s="18">
        <f>IF($A318&gt;'1-Input'!$B$26,D318,D318-'P-Parametri'!$B$8*(E318+D318)+MIN(MAX(E318,0),'P-Parametri'!$B$8*(E318+D318)))</f>
        <v>33572.29192621589</v>
      </c>
      <c r="G318" s="18">
        <f>IF($A318&gt;'1-Input'!$B$26,E318,E318-MIN(MAX(E318,0),'P-Parametri'!$B$8*(E318+D318)))</f>
        <v>165298.85222375489</v>
      </c>
      <c r="H318" s="18">
        <f>IF($A318&gt;'1-Input'!$B$26,H317,H317-C318*(1-B318))</f>
        <v>57142.089204801319</v>
      </c>
      <c r="I318" s="11">
        <f>IF($A318&gt;'1-Input'!$B$26,0,IF(N317&lt;=0,0,MAX(0,(N317-O317)/N317)))</f>
        <v>0</v>
      </c>
      <c r="J318" s="18">
        <f>IF($A318&gt;'1-Input'!$B$26,0,(MAX(0,I286-IF($A318&gt;='1-Input'!$C$12,'1-Input'!$B$12,0))-MIN(MAX(M317,0),MAX(0,I286-IF($A318&gt;='1-Input'!$C$12,'1-Input'!$B$12,0))))*(1/(1-'P-Parametri'!$B$6*I318))+MIN(MAX(0,N317-(MAX(0,I286-IF($A318&gt;='1-Input'!$C$12,'1-Input'!$B$12,0))-MIN(MAX(M317,0),MAX(0,I286-IF($A318&gt;='1-Input'!$C$12,'1-Input'!$B$12,0))))*(1/(1-'P-Parametri'!$B$6*I318))),MAX(0,2*I286-(M317-MIN(MAX(M317,0),MAX(0,I286-IF($A318&gt;='1-Input'!$C$12,'1-Input'!$B$12,0)))))*(1/(1-'P-Parametri'!$B$6*I318))))</f>
        <v>10846.756992928691</v>
      </c>
      <c r="K318" s="18">
        <f>IF($A318&gt;'1-Input'!$B$26,M317,(M317-MAX(0,I286-IF($A318&gt;='1-Input'!$C$12,'1-Input'!$B$12,0))+J318*(1-'P-Parametri'!$B$6*I318))*(1+ROUND('3-Liquidita'!$F$7,4)))</f>
        <v>0</v>
      </c>
      <c r="L318" s="18">
        <f>IF($A318&gt;'1-Input'!$B$26,N317,(N317-J318)*(1+'5-Roberta'!$C$4))</f>
        <v>-62809.268262685415</v>
      </c>
      <c r="M318" s="18">
        <f>IF($A318&gt;'1-Input'!$B$26,K318,K318-'P-Parametri'!$B$8*(L318+K318)+MIN(MAX(L318,0),'P-Parametri'!$B$8*(L318+K318)))</f>
        <v>0</v>
      </c>
      <c r="N318" s="18">
        <f>IF($A318&gt;'1-Input'!$B$26,L318,L318-MIN(MAX(L318,0),'P-Parametri'!$B$8*(L318+K318)))</f>
        <v>-62683.649726160045</v>
      </c>
      <c r="O318" s="18">
        <f>IF($A318&gt;'1-Input'!$B$26,O317,O317-J318*(1-I318))</f>
        <v>-57396.241950418735</v>
      </c>
      <c r="P318" s="11">
        <f>IF($A318&gt;'1-Input'!$B$26,0,IF(U317&lt;=0,0,MAX(0,(U317-V317)/U317)))</f>
        <v>0.64294909894287089</v>
      </c>
      <c r="Q318" s="18">
        <f>IF($A318&gt;'1-Input'!$B$26,0,(MAX(0,P286-IF($A318&gt;='1-Input'!$C$12,'1-Input'!$B$12,0))-MIN(MAX(T317,0),MAX(0,P286-IF($A318&gt;='1-Input'!$C$12,'1-Input'!$B$12,0))))*(1/(1-'P-Parametri'!$B$6*P318))+MIN(MAX(0,U317-(MAX(0,P286-IF($A318&gt;='1-Input'!$C$12,'1-Input'!$B$12,0))-MIN(MAX(T317,0),MAX(0,P286-IF($A318&gt;='1-Input'!$C$12,'1-Input'!$B$12,0))))*(1/(1-'P-Parametri'!$B$6*P318))),MAX(0,2*P286-(T317-MIN(MAX(T317,0),MAX(0,P286-IF($A318&gt;='1-Input'!$C$12,'1-Input'!$B$12,0)))))*(1/(1-'P-Parametri'!$B$6*P318))))</f>
        <v>8608.3567756838183</v>
      </c>
      <c r="R318" s="18">
        <f>IF($A318&gt;'1-Input'!$B$26,T317,(T317-MAX(0,P286-IF($A318&gt;='1-Input'!$C$12,'1-Input'!$B$12,0))+Q318*(1-'P-Parametri'!$B$6*P318))*(1+ROUND('3-Liquidita'!$F$7,4)))</f>
        <v>37242.120653556602</v>
      </c>
      <c r="S318" s="18">
        <f>IF($A318&gt;'1-Input'!$B$26,U317,(U317-Q318)*(1+'5-Roberta'!$C$4))</f>
        <v>60882.940007043588</v>
      </c>
      <c r="T318" s="18">
        <f>IF($A318&gt;'1-Input'!$B$26,R318,R318-'P-Parametri'!$B$8*(S318+R318)+MIN(MAX(S318,0),'P-Parametri'!$B$8*(S318+R318)))</f>
        <v>37242.120653556602</v>
      </c>
      <c r="U318" s="18">
        <f>IF($A318&gt;'1-Input'!$B$26,S318,S318-MIN(MAX(S318,0),'P-Parametri'!$B$8*(S318+R318)))</f>
        <v>60686.689885722386</v>
      </c>
      <c r="V318" s="18">
        <f>IF($A318&gt;'1-Input'!$B$26,V317,V317-Q318*(1-P318))</f>
        <v>21105.153969438874</v>
      </c>
      <c r="W318" s="11">
        <f>IF($A318&gt;'1-Input'!$B$26,0,IF(AB317&lt;=0,0,MAX(0,(AB317-AC317)/AB317)))</f>
        <v>0.64332403039318975</v>
      </c>
      <c r="X318" s="18">
        <f>IF($A318&gt;'1-Input'!$B$26,0,(MAX(0,W286-IF($A318&gt;='1-Input'!$C$12,'1-Input'!$B$12,0))-MIN(MAX(AA317,0),MAX(0,W286-IF($A318&gt;='1-Input'!$C$12,'1-Input'!$B$12,0))))*(1/(1-'P-Parametri'!$B$6*W318))+MIN(MAX(0,AB317-(MAX(0,W286-IF($A318&gt;='1-Input'!$C$12,'1-Input'!$B$12,0))-MIN(MAX(AA317,0),MAX(0,W286-IF($A318&gt;='1-Input'!$C$12,'1-Input'!$B$12,0))))*(1/(1-'P-Parametri'!$B$6*W318))),MAX(0,2*W286-(AA317-MIN(MAX(AA317,0),MAX(0,W286-IF($A318&gt;='1-Input'!$C$12,'1-Input'!$B$12,0)))))*(1/(1-'P-Parametri'!$B$6*W318))))</f>
        <v>8341.6663019947027</v>
      </c>
      <c r="Y318" s="18">
        <f>IF($A318&gt;'1-Input'!$B$26,AA317,(AA317-MAX(0,W286-IF($A318&gt;='1-Input'!$C$12,'1-Input'!$B$12,0))+X318*(1-'P-Parametri'!$B$6*W318))*(1+ROUND('3-Liquidita'!$F$7,4)))</f>
        <v>36787.742972329659</v>
      </c>
      <c r="Z318" s="18">
        <f>IF($A318&gt;'1-Input'!$B$26,AB317,(AB317-X318)*(1+'5-Roberta'!$C$4))</f>
        <v>73856.845955855941</v>
      </c>
      <c r="AA318" s="18">
        <f>IF($A318&gt;'1-Input'!$B$26,Y318,Y318-'P-Parametri'!$B$8*(Z318+Y318)+MIN(MAX(Z318,0),'P-Parametri'!$B$8*(Z318+Y318)))</f>
        <v>36787.742972329659</v>
      </c>
      <c r="AB318" s="18">
        <f>IF($A318&gt;'1-Input'!$B$26,Z318,Z318-MIN(MAX(Z318,0),'P-Parametri'!$B$8*(Z318+Y318)))</f>
        <v>73635.556777999576</v>
      </c>
      <c r="AC318" s="18">
        <f>IF($A318&gt;'1-Input'!$B$26,AC317,AC317-X318*(1-W318))</f>
        <v>25575.691401364802</v>
      </c>
      <c r="AD318" s="11">
        <f>IF($A318&gt;'1-Input'!$B$26,0,IF(AI317&lt;=0,0,MAX(0,(AI317-AJ317)/AI317)))</f>
        <v>0.6433413032195866</v>
      </c>
      <c r="AE318" s="18">
        <f>IF($A318&gt;'1-Input'!$B$26,0,(MAX(0,AD286-IF($A318&gt;='1-Input'!$C$12,'1-Input'!$B$12,0))-MIN(MAX(AH317,0),MAX(0,AD286-IF($A318&gt;='1-Input'!$C$12,'1-Input'!$B$12,0))))*(1/(1-'P-Parametri'!$B$6*AD318))+MIN(MAX(0,AI317-(MAX(0,AD286-IF($A318&gt;='1-Input'!$C$12,'1-Input'!$B$12,0))-MIN(MAX(AH317,0),MAX(0,AD286-IF($A318&gt;='1-Input'!$C$12,'1-Input'!$B$12,0))))*(1/(1-'P-Parametri'!$B$6*AD318))),MAX(0,2*AD286-(AH317-MIN(MAX(AH317,0),MAX(0,AD286-IF($A318&gt;='1-Input'!$C$12,'1-Input'!$B$12,0)))))*(1/(1-'P-Parametri'!$B$6*AD318))))</f>
        <v>8327.9507796694561</v>
      </c>
      <c r="AF318" s="18">
        <f>IF($A318&gt;'1-Input'!$B$26,AH317,(AH317-MAX(0,AD286-IF($A318&gt;='1-Input'!$C$12,'1-Input'!$B$12,0))+AE318*(1-'P-Parametri'!$B$6*AD318))*(1+ROUND('3-Liquidita'!$F$7,4)))</f>
        <v>36764.386690049425</v>
      </c>
      <c r="AG318" s="18">
        <f>IF($A318&gt;'1-Input'!$B$26,AI317,(AI317-AE318)*(1+'5-Roberta'!$C$4))</f>
        <v>74523.780757743094</v>
      </c>
      <c r="AH318" s="18">
        <f>IF($A318&gt;'1-Input'!$B$26,AF318,AF318-'P-Parametri'!$B$8*(AG318+AF318)+MIN(MAX(AG318,0),'P-Parametri'!$B$8*(AG318+AF318)))</f>
        <v>36764.386690049425</v>
      </c>
      <c r="AI318" s="18">
        <f>IF($A318&gt;'1-Input'!$B$26,AG318,AG318-MIN(MAX(AG318,0),'P-Parametri'!$B$8*(AG318+AF318)))</f>
        <v>74301.204422847513</v>
      </c>
      <c r="AJ318" s="18">
        <f>IF($A318&gt;'1-Input'!$B$26,AJ317,AJ317-AE318*(1-AD318))</f>
        <v>25805.392741947475</v>
      </c>
      <c r="AK318" s="11">
        <f>IF($A318&gt;'1-Input'!$B$26,0,IF(AP317&lt;=0,0,MAX(0,(AP317-AQ317)/AP317)))</f>
        <v>0.64334135568093531</v>
      </c>
      <c r="AL318" s="18">
        <f>IF($A318&gt;'1-Input'!$B$26,0,(MAX(0,AK286-IF($A318&gt;='1-Input'!$C$12,'1-Input'!$B$12,0))-MIN(MAX(AO317,0),MAX(0,AK286-IF($A318&gt;='1-Input'!$C$12,'1-Input'!$B$12,0))))*(1/(1-'P-Parametri'!$B$6*AK318))+MIN(MAX(0,AP317-(MAX(0,AK286-IF($A318&gt;='1-Input'!$C$12,'1-Input'!$B$12,0))-MIN(MAX(AO317,0),MAX(0,AK286-IF($A318&gt;='1-Input'!$C$12,'1-Input'!$B$12,0))))*(1/(1-'P-Parametri'!$B$6*AK318))),MAX(0,2*AK286-(AO317-MIN(MAX(AO317,0),MAX(0,AK286-IF($A318&gt;='1-Input'!$C$12,'1-Input'!$B$12,0)))))*(1/(1-'P-Parametri'!$B$6*AK318))))</f>
        <v>8327.9089133455927</v>
      </c>
      <c r="AM318" s="18">
        <f>IF($A318&gt;'1-Input'!$B$26,AO317,(AO317-MAX(0,AK286-IF($A318&gt;='1-Input'!$C$12,'1-Input'!$B$12,0))+AL318*(1-'P-Parametri'!$B$6*AK318))*(1+ROUND('3-Liquidita'!$F$7,4)))</f>
        <v>36764.315397069942</v>
      </c>
      <c r="AN318" s="18">
        <f>IF($A318&gt;'1-Input'!$B$26,AP317,(AP317-AL318)*(1+'5-Roberta'!$C$4))</f>
        <v>74525.816522569206</v>
      </c>
      <c r="AO318" s="18">
        <f>IF($A318&gt;'1-Input'!$B$26,AM318,AM318-'P-Parametri'!$B$8*(AN318+AM318)+MIN(MAX(AN318,0),'P-Parametri'!$B$8*(AN318+AM318)))</f>
        <v>36764.315397069942</v>
      </c>
      <c r="AP318" s="18">
        <f>IF($A318&gt;'1-Input'!$B$26,AN318,AN318-MIN(MAX(AN318,0),'P-Parametri'!$B$8*(AN318+AM318)))</f>
        <v>74303.236258729929</v>
      </c>
      <c r="AQ318" s="18">
        <f>IF($A318&gt;'1-Input'!$B$26,AQ317,AQ317-AL318*(1-AK318))</f>
        <v>25806.093871563964</v>
      </c>
    </row>
    <row r="319" spans="1:43">
      <c r="A319" s="10">
        <f>31</f>
        <v>31</v>
      </c>
      <c r="B319" s="11">
        <f>IF($A319&gt;'1-Input'!$B$26,0,IF(G318&lt;=0,0,MAX(0,(G318-H318)/G318)))</f>
        <v>0.65431042964864883</v>
      </c>
      <c r="C319" s="18">
        <f>IF($A319&gt;'1-Input'!$B$26,0,(MAX(0,B286-IF($A319&gt;='1-Input'!$C$12,'1-Input'!$B$12,0))-MIN(MAX(F318,0),MAX(0,B286-IF($A319&gt;='1-Input'!$C$12,'1-Input'!$B$12,0))))*(1/(1-'P-Parametri'!$B$6*B319))+MIN(MAX(0,G318-(MAX(0,B286-IF($A319&gt;='1-Input'!$C$12,'1-Input'!$B$12,0))-MIN(MAX(F318,0),MAX(0,B286-IF($A319&gt;='1-Input'!$C$12,'1-Input'!$B$12,0))))*(1/(1-'P-Parametri'!$B$6*B319))),MAX(0,2*B286-(F318-MIN(MAX(F318,0),MAX(0,B286-IF($A319&gt;='1-Input'!$C$12,'1-Input'!$B$12,0)))))*(1/(1-'P-Parametri'!$B$6*B319))))</f>
        <v>6469.4638044474623</v>
      </c>
      <c r="D319" s="18">
        <f>IF($A319&gt;'1-Input'!$B$26,F318,(F318-MAX(0,B286-IF($A319&gt;='1-Input'!$C$12,'1-Input'!$B$12,0))+C319*(1-'P-Parametri'!$B$6*B319))*(1+ROUND('3-Liquidita'!$F$7,4)))</f>
        <v>33572.29192621589</v>
      </c>
      <c r="E319" s="18">
        <f>IF($A319&gt;'1-Input'!$B$26,G318,(G318-C319)*(1+'5-Roberta'!$C$4))</f>
        <v>163594.27007188665</v>
      </c>
      <c r="F319" s="18">
        <f>IF($A319&gt;'1-Input'!$B$26,D319,D319-'P-Parametri'!$B$8*(E319+D319)+MIN(MAX(E319,0),'P-Parametri'!$B$8*(E319+D319)))</f>
        <v>33572.29192621589</v>
      </c>
      <c r="G319" s="18">
        <f>IF($A319&gt;'1-Input'!$B$26,E319,E319-MIN(MAX(E319,0),'P-Parametri'!$B$8*(E319+D319)))</f>
        <v>163199.93694789044</v>
      </c>
      <c r="H319" s="18">
        <f>IF($A319&gt;'1-Input'!$B$26,H318,H318-C319*(1-B319))</f>
        <v>54905.663041838256</v>
      </c>
      <c r="I319" s="11">
        <f>IF($A319&gt;'1-Input'!$B$26,0,IF(N318&lt;=0,0,MAX(0,(N318-O318)/N318)))</f>
        <v>0</v>
      </c>
      <c r="J319" s="18">
        <f>IF($A319&gt;'1-Input'!$B$26,0,(MAX(0,I286-IF($A319&gt;='1-Input'!$C$12,'1-Input'!$B$12,0))-MIN(MAX(M318,0),MAX(0,I286-IF($A319&gt;='1-Input'!$C$12,'1-Input'!$B$12,0))))*(1/(1-'P-Parametri'!$B$6*I319))+MIN(MAX(0,N318-(MAX(0,I286-IF($A319&gt;='1-Input'!$C$12,'1-Input'!$B$12,0))-MIN(MAX(M318,0),MAX(0,I286-IF($A319&gt;='1-Input'!$C$12,'1-Input'!$B$12,0))))*(1/(1-'P-Parametri'!$B$6*I319))),MAX(0,2*I286-(M318-MIN(MAX(M318,0),MAX(0,I286-IF($A319&gt;='1-Input'!$C$12,'1-Input'!$B$12,0)))))*(1/(1-'P-Parametri'!$B$6*I319))))</f>
        <v>10846.756992928691</v>
      </c>
      <c r="K319" s="18">
        <f>IF($A319&gt;'1-Input'!$B$26,M318,(M318-MAX(0,I286-IF($A319&gt;='1-Input'!$C$12,'1-Input'!$B$12,0))+J319*(1-'P-Parametri'!$B$6*I319))*(1+ROUND('3-Liquidita'!$F$7,4)))</f>
        <v>0</v>
      </c>
      <c r="L319" s="18">
        <f>IF($A319&gt;'1-Input'!$B$26,N318,(N318-J319)*(1+'5-Roberta'!$C$4))</f>
        <v>-75736.31892066139</v>
      </c>
      <c r="M319" s="18">
        <f>IF($A319&gt;'1-Input'!$B$26,K319,K319-'P-Parametri'!$B$8*(L319+K319)+MIN(MAX(L319,0),'P-Parametri'!$B$8*(L319+K319)))</f>
        <v>0</v>
      </c>
      <c r="N319" s="18">
        <f>IF($A319&gt;'1-Input'!$B$26,L319,L319-MIN(MAX(L319,0),'P-Parametri'!$B$8*(L319+K319)))</f>
        <v>-75584.846282820072</v>
      </c>
      <c r="O319" s="18">
        <f>IF($A319&gt;'1-Input'!$B$26,O318,O318-J319*(1-I319))</f>
        <v>-68242.998943347426</v>
      </c>
      <c r="P319" s="11">
        <f>IF($A319&gt;'1-Input'!$B$26,0,IF(U318&lt;=0,0,MAX(0,(U318-V318)/U318)))</f>
        <v>0.65222762999297745</v>
      </c>
      <c r="Q319" s="18">
        <f>IF($A319&gt;'1-Input'!$B$26,0,(MAX(0,P286-IF($A319&gt;='1-Input'!$C$12,'1-Input'!$B$12,0))-MIN(MAX(T318,0),MAX(0,P286-IF($A319&gt;='1-Input'!$C$12,'1-Input'!$B$12,0))))*(1/(1-'P-Parametri'!$B$6*P319))+MIN(MAX(0,U318-(MAX(0,P286-IF($A319&gt;='1-Input'!$C$12,'1-Input'!$B$12,0))-MIN(MAX(T318,0),MAX(0,P286-IF($A319&gt;='1-Input'!$C$12,'1-Input'!$B$12,0))))*(1/(1-'P-Parametri'!$B$6*P319))),MAX(0,2*P286-(T318-MIN(MAX(T318,0),MAX(0,P286-IF($A319&gt;='1-Input'!$C$12,'1-Input'!$B$12,0)))))*(1/(1-'P-Parametri'!$B$6*P319))))</f>
        <v>8633.3645248388948</v>
      </c>
      <c r="R319" s="18">
        <f>IF($A319&gt;'1-Input'!$B$26,T318,(T318-MAX(0,P286-IF($A319&gt;='1-Input'!$C$12,'1-Input'!$B$12,0))+Q319*(1-'P-Parametri'!$B$6*P319))*(1+ROUND('3-Liquidita'!$F$7,4)))</f>
        <v>37242.120653556602</v>
      </c>
      <c r="S319" s="18">
        <f>IF($A319&gt;'1-Input'!$B$26,U318,(U318-Q319)*(1+'5-Roberta'!$C$4))</f>
        <v>53614.925121710003</v>
      </c>
      <c r="T319" s="18">
        <f>IF($A319&gt;'1-Input'!$B$26,R319,R319-'P-Parametri'!$B$8*(S319+R319)+MIN(MAX(S319,0),'P-Parametri'!$B$8*(S319+R319)))</f>
        <v>37242.120653556602</v>
      </c>
      <c r="U319" s="18">
        <f>IF($A319&gt;'1-Input'!$B$26,S319,S319-MIN(MAX(S319,0),'P-Parametri'!$B$8*(S319+R319)))</f>
        <v>53433.211030159473</v>
      </c>
      <c r="V319" s="18">
        <f>IF($A319&gt;'1-Input'!$B$26,V318,V318-Q319*(1-P319))</f>
        <v>18102.708327501099</v>
      </c>
      <c r="W319" s="11">
        <f>IF($A319&gt;'1-Input'!$B$26,0,IF(AB318&lt;=0,0,MAX(0,(AB318-AC318)/AB318)))</f>
        <v>0.65267198999429354</v>
      </c>
      <c r="X319" s="18">
        <f>IF($A319&gt;'1-Input'!$B$26,0,(MAX(0,W286-IF($A319&gt;='1-Input'!$C$12,'1-Input'!$B$12,0))-MIN(MAX(AA318,0),MAX(0,W286-IF($A319&gt;='1-Input'!$C$12,'1-Input'!$B$12,0))))*(1/(1-'P-Parametri'!$B$6*W319))+MIN(MAX(0,AB318-(MAX(0,W286-IF($A319&gt;='1-Input'!$C$12,'1-Input'!$B$12,0))-MIN(MAX(AA318,0),MAX(0,W286-IF($A319&gt;='1-Input'!$C$12,'1-Input'!$B$12,0))))*(1/(1-'P-Parametri'!$B$6*W319))),MAX(0,2*W286-(AA318-MIN(MAX(AA318,0),MAX(0,W286-IF($A319&gt;='1-Input'!$C$12,'1-Input'!$B$12,0)))))*(1/(1-'P-Parametri'!$B$6*W319))))</f>
        <v>8366.0840263185582</v>
      </c>
      <c r="Y319" s="18">
        <f>IF($A319&gt;'1-Input'!$B$26,AA318,(AA318-MAX(0,W286-IF($A319&gt;='1-Input'!$C$12,'1-Input'!$B$12,0))+X319*(1-'P-Parametri'!$B$6*W319))*(1+ROUND('3-Liquidita'!$F$7,4)))</f>
        <v>36787.742972329659</v>
      </c>
      <c r="Z319" s="18">
        <f>IF($A319&gt;'1-Input'!$B$26,AB318,(AB318-X319)*(1+'5-Roberta'!$C$4))</f>
        <v>67227.556934231456</v>
      </c>
      <c r="AA319" s="18">
        <f>IF($A319&gt;'1-Input'!$B$26,Y319,Y319-'P-Parametri'!$B$8*(Z319+Y319)+MIN(MAX(Z319,0),'P-Parametri'!$B$8*(Z319+Y319)))</f>
        <v>36787.742972329659</v>
      </c>
      <c r="AB319" s="18">
        <f>IF($A319&gt;'1-Input'!$B$26,Z319,Z319-MIN(MAX(Z319,0),'P-Parametri'!$B$8*(Z319+Y319)))</f>
        <v>67019.526334418333</v>
      </c>
      <c r="AC319" s="18">
        <f>IF($A319&gt;'1-Input'!$B$26,AC318,AC318-X319*(1-W319))</f>
        <v>22669.91608496305</v>
      </c>
      <c r="AD319" s="11">
        <f>IF($A319&gt;'1-Input'!$B$26,0,IF(AI318&lt;=0,0,MAX(0,(AI318-AJ318)/AI318)))</f>
        <v>0.65269213409934501</v>
      </c>
      <c r="AE319" s="18">
        <f>IF($A319&gt;'1-Input'!$B$26,0,(MAX(0,AD286-IF($A319&gt;='1-Input'!$C$12,'1-Input'!$B$12,0))-MIN(MAX(AH318,0),MAX(0,AD286-IF($A319&gt;='1-Input'!$C$12,'1-Input'!$B$12,0))))*(1/(1-'P-Parametri'!$B$6*AD319))+MIN(MAX(0,AI318-(MAX(0,AD286-IF($A319&gt;='1-Input'!$C$12,'1-Input'!$B$12,0))-MIN(MAX(AH318,0),MAX(0,AD286-IF($A319&gt;='1-Input'!$C$12,'1-Input'!$B$12,0))))*(1/(1-'P-Parametri'!$B$6*AD319))),MAX(0,2*AD286-(AH318-MIN(MAX(AH318,0),MAX(0,AD286-IF($A319&gt;='1-Input'!$C$12,'1-Input'!$B$12,0)))))*(1/(1-'P-Parametri'!$B$6*AD319))))</f>
        <v>8352.3359974479208</v>
      </c>
      <c r="AF319" s="18">
        <f>IF($A319&gt;'1-Input'!$B$26,AH318,(AH318-MAX(0,AD286-IF($A319&gt;='1-Input'!$C$12,'1-Input'!$B$12,0))+AE319*(1-'P-Parametri'!$B$6*AD319))*(1+ROUND('3-Liquidita'!$F$7,4)))</f>
        <v>36764.386690049425</v>
      </c>
      <c r="AG319" s="18">
        <f>IF($A319&gt;'1-Input'!$B$26,AI318,(AI318-AE319)*(1+'5-Roberta'!$C$4))</f>
        <v>67927.334478161574</v>
      </c>
      <c r="AH319" s="18">
        <f>IF($A319&gt;'1-Input'!$B$26,AF319,AF319-'P-Parametri'!$B$8*(AG319+AF319)+MIN(MAX(AG319,0),'P-Parametri'!$B$8*(AG319+AF319)))</f>
        <v>36764.386690049425</v>
      </c>
      <c r="AI319" s="18">
        <f>IF($A319&gt;'1-Input'!$B$26,AG319,AG319-MIN(MAX(AG319,0),'P-Parametri'!$B$8*(AG319+AF319)))</f>
        <v>67717.951035825157</v>
      </c>
      <c r="AJ319" s="18">
        <f>IF($A319&gt;'1-Input'!$B$26,AJ318,AJ318-AE319*(1-AD319))</f>
        <v>22904.560751388621</v>
      </c>
      <c r="AK319" s="11">
        <f>IF($A319&gt;'1-Input'!$B$26,0,IF(AP318&lt;=0,0,MAX(0,(AP318-AQ318)/AP318)))</f>
        <v>0.6526921952402579</v>
      </c>
      <c r="AL319" s="18">
        <f>IF($A319&gt;'1-Input'!$B$26,0,(MAX(0,AK286-IF($A319&gt;='1-Input'!$C$12,'1-Input'!$B$12,0))-MIN(MAX(AO318,0),MAX(0,AK286-IF($A319&gt;='1-Input'!$C$12,'1-Input'!$B$12,0))))*(1/(1-'P-Parametri'!$B$6*AK319))+MIN(MAX(0,AP318-(MAX(0,AK286-IF($A319&gt;='1-Input'!$C$12,'1-Input'!$B$12,0))-MIN(MAX(AO318,0),MAX(0,AK286-IF($A319&gt;='1-Input'!$C$12,'1-Input'!$B$12,0))))*(1/(1-'P-Parametri'!$B$6*AK319))),MAX(0,2*AK286-(AO318-MIN(MAX(AO318,0),MAX(0,AK286-IF($A319&gt;='1-Input'!$C$12,'1-Input'!$B$12,0)))))*(1/(1-'P-Parametri'!$B$6*AK319))))</f>
        <v>8352.2940316359818</v>
      </c>
      <c r="AM319" s="18">
        <f>IF($A319&gt;'1-Input'!$B$26,AO318,(AO318-MAX(0,AK286-IF($A319&gt;='1-Input'!$C$12,'1-Input'!$B$12,0))+AL319*(1-'P-Parametri'!$B$6*AK319))*(1+ROUND('3-Liquidita'!$F$7,4)))</f>
        <v>36764.315397069942</v>
      </c>
      <c r="AN319" s="18">
        <f>IF($A319&gt;'1-Input'!$B$26,AP318,(AP318-AL319)*(1+'5-Roberta'!$C$4))</f>
        <v>67929.47049390676</v>
      </c>
      <c r="AO319" s="18">
        <f>IF($A319&gt;'1-Input'!$B$26,AM319,AM319-'P-Parametri'!$B$8*(AN319+AM319)+MIN(MAX(AN319,0),'P-Parametri'!$B$8*(AN319+AM319)))</f>
        <v>36764.315397069942</v>
      </c>
      <c r="AP319" s="18">
        <f>IF($A319&gt;'1-Input'!$B$26,AN319,AN319-MIN(MAX(AN319,0),'P-Parametri'!$B$8*(AN319+AM319)))</f>
        <v>67720.082922124813</v>
      </c>
      <c r="AQ319" s="18">
        <f>IF($A319&gt;'1-Input'!$B$26,AQ318,AQ318-AL319*(1-AK319))</f>
        <v>22905.276966728576</v>
      </c>
    </row>
    <row r="320" spans="1:43">
      <c r="A320" s="10">
        <f>32</f>
        <v>32</v>
      </c>
      <c r="B320" s="11">
        <f>IF($A320&gt;'1-Input'!$B$26,0,IF(G319&lt;=0,0,MAX(0,(G319-H319)/G319)))</f>
        <v>0.66356811118518033</v>
      </c>
      <c r="C320" s="18">
        <f>IF($A320&gt;'1-Input'!$B$26,0,(MAX(0,B286-IF($A320&gt;='1-Input'!$C$12,'1-Input'!$B$12,0))-MIN(MAX(F319,0),MAX(0,B286-IF($A320&gt;='1-Input'!$C$12,'1-Input'!$B$12,0))))*(1/(1-'P-Parametri'!$B$6*B320))+MIN(MAX(0,G319-(MAX(0,B286-IF($A320&gt;='1-Input'!$C$12,'1-Input'!$B$12,0))-MIN(MAX(F319,0),MAX(0,B286-IF($A320&gt;='1-Input'!$C$12,'1-Input'!$B$12,0))))*(1/(1-'P-Parametri'!$B$6*B320))),MAX(0,2*B286-(F319-MIN(MAX(F319,0),MAX(0,B286-IF($A320&gt;='1-Input'!$C$12,'1-Input'!$B$12,0)))))*(1/(1-'P-Parametri'!$B$6*B320))))</f>
        <v>6488.2825388355495</v>
      </c>
      <c r="D320" s="18">
        <f>IF($A320&gt;'1-Input'!$B$26,F319,(F319-MAX(0,B286-IF($A320&gt;='1-Input'!$C$12,'1-Input'!$B$12,0))+C320*(1-'P-Parametri'!$B$6*B320))*(1+ROUND('3-Liquidita'!$F$7,4)))</f>
        <v>33572.29192621589</v>
      </c>
      <c r="E320" s="18">
        <f>IF($A320&gt;'1-Input'!$B$26,G319,(G319-C320)*(1+'5-Roberta'!$C$4))</f>
        <v>161413.00404132655</v>
      </c>
      <c r="F320" s="18">
        <f>IF($A320&gt;'1-Input'!$B$26,D320,D320-'P-Parametri'!$B$8*(E320+D320)+MIN(MAX(E320,0),'P-Parametri'!$B$8*(E320+D320)))</f>
        <v>33572.29192621589</v>
      </c>
      <c r="G320" s="18">
        <f>IF($A320&gt;'1-Input'!$B$26,E320,E320-MIN(MAX(E320,0),'P-Parametri'!$B$8*(E320+D320)))</f>
        <v>161023.03344939146</v>
      </c>
      <c r="H320" s="18">
        <f>IF($A320&gt;'1-Input'!$B$26,H319,H319-C320*(1-B320))</f>
        <v>52722.797892133596</v>
      </c>
      <c r="I320" s="11">
        <f>IF($A320&gt;'1-Input'!$B$26,0,IF(N319&lt;=0,0,MAX(0,(N319-O319)/N319)))</f>
        <v>0</v>
      </c>
      <c r="J320" s="18">
        <f>IF($A320&gt;'1-Input'!$B$26,0,(MAX(0,I286-IF($A320&gt;='1-Input'!$C$12,'1-Input'!$B$12,0))-MIN(MAX(M319,0),MAX(0,I286-IF($A320&gt;='1-Input'!$C$12,'1-Input'!$B$12,0))))*(1/(1-'P-Parametri'!$B$6*I320))+MIN(MAX(0,N319-(MAX(0,I286-IF($A320&gt;='1-Input'!$C$12,'1-Input'!$B$12,0))-MIN(MAX(M319,0),MAX(0,I286-IF($A320&gt;='1-Input'!$C$12,'1-Input'!$B$12,0))))*(1/(1-'P-Parametri'!$B$6*I320))),MAX(0,2*I286-(M319-MIN(MAX(M319,0),MAX(0,I286-IF($A320&gt;='1-Input'!$C$12,'1-Input'!$B$12,0)))))*(1/(1-'P-Parametri'!$B$6*I320))))</f>
        <v>10846.756992928691</v>
      </c>
      <c r="K320" s="18">
        <f>IF($A320&gt;'1-Input'!$B$26,M319,(M319-MAX(0,I286-IF($A320&gt;='1-Input'!$C$12,'1-Input'!$B$12,0))+J320*(1-'P-Parametri'!$B$6*I320))*(1+ROUND('3-Liquidita'!$F$7,4)))</f>
        <v>0</v>
      </c>
      <c r="L320" s="18">
        <f>IF($A320&gt;'1-Input'!$B$26,N319,(N319-J320)*(1+'5-Roberta'!$C$4))</f>
        <v>-89024.551374021219</v>
      </c>
      <c r="M320" s="18">
        <f>IF($A320&gt;'1-Input'!$B$26,K320,K320-'P-Parametri'!$B$8*(L320+K320)+MIN(MAX(L320,0),'P-Parametri'!$B$8*(L320+K320)))</f>
        <v>0</v>
      </c>
      <c r="N320" s="18">
        <f>IF($A320&gt;'1-Input'!$B$26,L320,L320-MIN(MAX(L320,0),'P-Parametri'!$B$8*(L320+K320)))</f>
        <v>-88846.502271273173</v>
      </c>
      <c r="O320" s="18">
        <f>IF($A320&gt;'1-Input'!$B$26,O319,O319-J320*(1-I320))</f>
        <v>-79089.755936276109</v>
      </c>
      <c r="P320" s="11">
        <f>IF($A320&gt;'1-Input'!$B$26,0,IF(U319&lt;=0,0,MAX(0,(U319-V319)/U319)))</f>
        <v>0.6612086756814346</v>
      </c>
      <c r="Q320" s="18">
        <f>IF($A320&gt;'1-Input'!$B$26,0,(MAX(0,P286-IF($A320&gt;='1-Input'!$C$12,'1-Input'!$B$12,0))-MIN(MAX(T319,0),MAX(0,P286-IF($A320&gt;='1-Input'!$C$12,'1-Input'!$B$12,0))))*(1/(1-'P-Parametri'!$B$6*P320))+MIN(MAX(0,U319-(MAX(0,P286-IF($A320&gt;='1-Input'!$C$12,'1-Input'!$B$12,0))-MIN(MAX(T319,0),MAX(0,P286-IF($A320&gt;='1-Input'!$C$12,'1-Input'!$B$12,0))))*(1/(1-'P-Parametri'!$B$6*P320))),MAX(0,2*P286-(T319-MIN(MAX(T319,0),MAX(0,P286-IF($A320&gt;='1-Input'!$C$12,'1-Input'!$B$12,0)))))*(1/(1-'P-Parametri'!$B$6*P320))))</f>
        <v>8657.7092582935002</v>
      </c>
      <c r="R320" s="18">
        <f>IF($A320&gt;'1-Input'!$B$26,T319,(T319-MAX(0,P286-IF($A320&gt;='1-Input'!$C$12,'1-Input'!$B$12,0))+Q320*(1-'P-Parametri'!$B$6*P320))*(1+ROUND('3-Liquidita'!$F$7,4)))</f>
        <v>37242.120653556602</v>
      </c>
      <c r="S320" s="18">
        <f>IF($A320&gt;'1-Input'!$B$26,U319,(U319-Q320)*(1+'5-Roberta'!$C$4))</f>
        <v>46118.76682502195</v>
      </c>
      <c r="T320" s="18">
        <f>IF($A320&gt;'1-Input'!$B$26,R320,R320-'P-Parametri'!$B$8*(S320+R320)+MIN(MAX(S320,0),'P-Parametri'!$B$8*(S320+R320)))</f>
        <v>37242.120653556602</v>
      </c>
      <c r="U320" s="18">
        <f>IF($A320&gt;'1-Input'!$B$26,S320,S320-MIN(MAX(S320,0),'P-Parametri'!$B$8*(S320+R320)))</f>
        <v>45952.045050064793</v>
      </c>
      <c r="V320" s="18">
        <f>IF($A320&gt;'1-Input'!$B$26,V319,V319-Q320*(1-P320))</f>
        <v>15169.551542318739</v>
      </c>
      <c r="W320" s="11">
        <f>IF($A320&gt;'1-Input'!$B$26,0,IF(AB319&lt;=0,0,MAX(0,(AB319-AC319)/AB319)))</f>
        <v>0.66174162479389587</v>
      </c>
      <c r="X320" s="18">
        <f>IF($A320&gt;'1-Input'!$B$26,0,(MAX(0,W286-IF($A320&gt;='1-Input'!$C$12,'1-Input'!$B$12,0))-MIN(MAX(AA319,0),MAX(0,W286-IF($A320&gt;='1-Input'!$C$12,'1-Input'!$B$12,0))))*(1/(1-'P-Parametri'!$B$6*W320))+MIN(MAX(0,AB319-(MAX(0,W286-IF($A320&gt;='1-Input'!$C$12,'1-Input'!$B$12,0))-MIN(MAX(AA319,0),MAX(0,W286-IF($A320&gt;='1-Input'!$C$12,'1-Input'!$B$12,0))))*(1/(1-'P-Parametri'!$B$6*W320))),MAX(0,2*W286-(AA319-MIN(MAX(AA319,0),MAX(0,W286-IF($A320&gt;='1-Input'!$C$12,'1-Input'!$B$12,0)))))*(1/(1-'P-Parametri'!$B$6*W320))))</f>
        <v>8389.9117601504204</v>
      </c>
      <c r="Y320" s="18">
        <f>IF($A320&gt;'1-Input'!$B$26,AA319,(AA319-MAX(0,W286-IF($A320&gt;='1-Input'!$C$12,'1-Input'!$B$12,0))+X320*(1-'P-Parametri'!$B$6*W320))*(1+ROUND('3-Liquidita'!$F$7,4)))</f>
        <v>36787.742972329659</v>
      </c>
      <c r="Z320" s="18">
        <f>IF($A320&gt;'1-Input'!$B$26,AB319,(AB319-X320)*(1+'5-Roberta'!$C$4))</f>
        <v>60388.503011495952</v>
      </c>
      <c r="AA320" s="18">
        <f>IF($A320&gt;'1-Input'!$B$26,Y320,Y320-'P-Parametri'!$B$8*(Z320+Y320)+MIN(MAX(Z320,0),'P-Parametri'!$B$8*(Z320+Y320)))</f>
        <v>36787.742972329659</v>
      </c>
      <c r="AB320" s="18">
        <f>IF($A320&gt;'1-Input'!$B$26,Z320,Z320-MIN(MAX(Z320,0),'P-Parametri'!$B$8*(Z320+Y320)))</f>
        <v>60194.150519528303</v>
      </c>
      <c r="AC320" s="18">
        <f>IF($A320&gt;'1-Input'!$B$26,AC319,AC319-X320*(1-W320))</f>
        <v>19831.958164851982</v>
      </c>
      <c r="AD320" s="11">
        <f>IF($A320&gt;'1-Input'!$B$26,0,IF(AI319&lt;=0,0,MAX(0,(AI319-AJ319)/AI319)))</f>
        <v>0.66176530150371338</v>
      </c>
      <c r="AE320" s="18">
        <f>IF($A320&gt;'1-Input'!$B$26,0,(MAX(0,AD286-IF($A320&gt;='1-Input'!$C$12,'1-Input'!$B$12,0))-MIN(MAX(AH319,0),MAX(0,AD286-IF($A320&gt;='1-Input'!$C$12,'1-Input'!$B$12,0))))*(1/(1-'P-Parametri'!$B$6*AD320))+MIN(MAX(0,AI319-(MAX(0,AD286-IF($A320&gt;='1-Input'!$C$12,'1-Input'!$B$12,0))-MIN(MAX(AH319,0),MAX(0,AD286-IF($A320&gt;='1-Input'!$C$12,'1-Input'!$B$12,0))))*(1/(1-'P-Parametri'!$B$6*AD320))),MAX(0,2*AD286-(AH319-MIN(MAX(AH319,0),MAX(0,AD286-IF($A320&gt;='1-Input'!$C$12,'1-Input'!$B$12,0)))))*(1/(1-'P-Parametri'!$B$6*AD320))))</f>
        <v>8376.1340175889272</v>
      </c>
      <c r="AF320" s="18">
        <f>IF($A320&gt;'1-Input'!$B$26,AH319,(AH319-MAX(0,AD286-IF($A320&gt;='1-Input'!$C$12,'1-Input'!$B$12,0))+AE320*(1-'P-Parametri'!$B$6*AD320))*(1+ROUND('3-Liquidita'!$F$7,4)))</f>
        <v>36764.386690049425</v>
      </c>
      <c r="AG320" s="18">
        <f>IF($A320&gt;'1-Input'!$B$26,AI319,(AI319-AE320)*(1+'5-Roberta'!$C$4))</f>
        <v>61122.071528783315</v>
      </c>
      <c r="AH320" s="18">
        <f>IF($A320&gt;'1-Input'!$B$26,AF320,AF320-'P-Parametri'!$B$8*(AG320+AF320)+MIN(MAX(AG320,0),'P-Parametri'!$B$8*(AG320+AF320)))</f>
        <v>36764.386690049425</v>
      </c>
      <c r="AI320" s="18">
        <f>IF($A320&gt;'1-Input'!$B$26,AG320,AG320-MIN(MAX(AG320,0),'P-Parametri'!$B$8*(AG320+AF320)))</f>
        <v>60926.29861234565</v>
      </c>
      <c r="AJ320" s="18">
        <f>IF($A320&gt;'1-Input'!$B$26,AJ319,AJ319-AE320*(1-AD320))</f>
        <v>20071.46158738494</v>
      </c>
      <c r="AK320" s="11">
        <f>IF($A320&gt;'1-Input'!$B$26,0,IF(AP319&lt;=0,0,MAX(0,(AP319-AQ319)/AP319)))</f>
        <v>0.66176537330781682</v>
      </c>
      <c r="AL320" s="18">
        <f>IF($A320&gt;'1-Input'!$B$26,0,(MAX(0,AK286-IF($A320&gt;='1-Input'!$C$12,'1-Input'!$B$12,0))-MIN(MAX(AO319,0),MAX(0,AK286-IF($A320&gt;='1-Input'!$C$12,'1-Input'!$B$12,0))))*(1/(1-'P-Parametri'!$B$6*AK320))+MIN(MAX(0,AP319-(MAX(0,AK286-IF($A320&gt;='1-Input'!$C$12,'1-Input'!$B$12,0))-MIN(MAX(AO319,0),MAX(0,AK286-IF($A320&gt;='1-Input'!$C$12,'1-Input'!$B$12,0))))*(1/(1-'P-Parametri'!$B$6*AK320))),MAX(0,2*AK286-(AO319-MIN(MAX(AO319,0),MAX(0,AK286-IF($A320&gt;='1-Input'!$C$12,'1-Input'!$B$12,0)))))*(1/(1-'P-Parametri'!$B$6*AK320))))</f>
        <v>8376.0919607102296</v>
      </c>
      <c r="AM320" s="18">
        <f>IF($A320&gt;'1-Input'!$B$26,AO319,(AO319-MAX(0,AK286-IF($A320&gt;='1-Input'!$C$12,'1-Input'!$B$12,0))+AL320*(1-'P-Parametri'!$B$6*AK320))*(1+ROUND('3-Liquidita'!$F$7,4)))</f>
        <v>36764.315397069942</v>
      </c>
      <c r="AN320" s="18">
        <f>IF($A320&gt;'1-Input'!$B$26,AP319,(AP319-AL320)*(1+'5-Roberta'!$C$4))</f>
        <v>61124.310690257029</v>
      </c>
      <c r="AO320" s="18">
        <f>IF($A320&gt;'1-Input'!$B$26,AM320,AM320-'P-Parametri'!$B$8*(AN320+AM320)+MIN(MAX(AN320,0),'P-Parametri'!$B$8*(AN320+AM320)))</f>
        <v>36764.315397069942</v>
      </c>
      <c r="AP320" s="18">
        <f>IF($A320&gt;'1-Input'!$B$26,AN320,AN320-MIN(MAX(AN320,0),'P-Parametri'!$B$8*(AN320+AM320)))</f>
        <v>60928.533438082377</v>
      </c>
      <c r="AQ320" s="18">
        <f>IF($A320&gt;'1-Input'!$B$26,AQ319,AQ319-AL320*(1-AK320))</f>
        <v>20072.192629258356</v>
      </c>
    </row>
    <row r="321" spans="1:43">
      <c r="A321" s="10">
        <f>33</f>
        <v>33</v>
      </c>
      <c r="B321" s="11">
        <f>IF($A321&gt;'1-Input'!$B$26,0,IF(G320&lt;=0,0,MAX(0,(G320-H320)/G320)))</f>
        <v>0.67257604851479813</v>
      </c>
      <c r="C321" s="18">
        <f>IF($A321&gt;'1-Input'!$B$26,0,(MAX(0,B286-IF($A321&gt;='1-Input'!$C$12,'1-Input'!$B$12,0))-MIN(MAX(F320,0),MAX(0,B286-IF($A321&gt;='1-Input'!$C$12,'1-Input'!$B$12,0))))*(1/(1-'P-Parametri'!$B$6*B321))+MIN(MAX(0,G320-(MAX(0,B286-IF($A321&gt;='1-Input'!$C$12,'1-Input'!$B$12,0))-MIN(MAX(F320,0),MAX(0,B286-IF($A321&gt;='1-Input'!$C$12,'1-Input'!$B$12,0))))*(1/(1-'P-Parametri'!$B$6*B321))),MAX(0,2*B286-(F320-MIN(MAX(F320,0),MAX(0,B286-IF($A321&gt;='1-Input'!$C$12,'1-Input'!$B$12,0)))))*(1/(1-'P-Parametri'!$B$6*B321))))</f>
        <v>6506.6989906175613</v>
      </c>
      <c r="D321" s="18">
        <f>IF($A321&gt;'1-Input'!$B$26,F320,(F320-MAX(0,B286-IF($A321&gt;='1-Input'!$C$12,'1-Input'!$B$12,0))+C321*(1-'P-Parametri'!$B$6*B321))*(1+ROUND('3-Liquidita'!$F$7,4)))</f>
        <v>33572.29192621589</v>
      </c>
      <c r="E321" s="18">
        <f>IF($A321&gt;'1-Input'!$B$26,G320,(G320-C321)*(1+'5-Roberta'!$C$4))</f>
        <v>159151.82449253713</v>
      </c>
      <c r="F321" s="18">
        <f>IF($A321&gt;'1-Input'!$B$26,D321,D321-'P-Parametri'!$B$8*(E321+D321)+MIN(MAX(E321,0),'P-Parametri'!$B$8*(E321+D321)))</f>
        <v>33572.29192621589</v>
      </c>
      <c r="G321" s="18">
        <f>IF($A321&gt;'1-Input'!$B$26,E321,E321-MIN(MAX(E321,0),'P-Parametri'!$B$8*(E321+D321)))</f>
        <v>158766.37625969961</v>
      </c>
      <c r="H321" s="18">
        <f>IF($A321&gt;'1-Input'!$B$26,H320,H320-C321*(1-B321))</f>
        <v>50592.348797500817</v>
      </c>
      <c r="I321" s="11">
        <f>IF($A321&gt;'1-Input'!$B$26,0,IF(N320&lt;=0,0,MAX(0,(N320-O320)/N320)))</f>
        <v>0</v>
      </c>
      <c r="J321" s="18">
        <f>IF($A321&gt;'1-Input'!$B$26,0,(MAX(0,I286-IF($A321&gt;='1-Input'!$C$12,'1-Input'!$B$12,0))-MIN(MAX(M320,0),MAX(0,I286-IF($A321&gt;='1-Input'!$C$12,'1-Input'!$B$12,0))))*(1/(1-'P-Parametri'!$B$6*I321))+MIN(MAX(0,N320-(MAX(0,I286-IF($A321&gt;='1-Input'!$C$12,'1-Input'!$B$12,0))-MIN(MAX(M320,0),MAX(0,I286-IF($A321&gt;='1-Input'!$C$12,'1-Input'!$B$12,0))))*(1/(1-'P-Parametri'!$B$6*I321))),MAX(0,2*I286-(M320-MIN(MAX(M320,0),MAX(0,I286-IF($A321&gt;='1-Input'!$C$12,'1-Input'!$B$12,0)))))*(1/(1-'P-Parametri'!$B$6*I321))))</f>
        <v>10846.756992928691</v>
      </c>
      <c r="K321" s="18">
        <f>IF($A321&gt;'1-Input'!$B$26,M320,(M320-MAX(0,I286-IF($A321&gt;='1-Input'!$C$12,'1-Input'!$B$12,0))+J321*(1-'P-Parametri'!$B$6*I321))*(1+ROUND('3-Liquidita'!$F$7,4)))</f>
        <v>0</v>
      </c>
      <c r="L321" s="18">
        <f>IF($A321&gt;'1-Input'!$B$26,N320,(N320-J321)*(1+'5-Roberta'!$C$4))</f>
        <v>-102684.05704212791</v>
      </c>
      <c r="M321" s="18">
        <f>IF($A321&gt;'1-Input'!$B$26,K321,K321-'P-Parametri'!$B$8*(L321+K321)+MIN(MAX(L321,0),'P-Parametri'!$B$8*(L321+K321)))</f>
        <v>0</v>
      </c>
      <c r="N321" s="18">
        <f>IF($A321&gt;'1-Input'!$B$26,L321,L321-MIN(MAX(L321,0),'P-Parametri'!$B$8*(L321+K321)))</f>
        <v>-102478.68892804366</v>
      </c>
      <c r="O321" s="18">
        <f>IF($A321&gt;'1-Input'!$B$26,O320,O320-J321*(1-I321))</f>
        <v>-89936.512929204793</v>
      </c>
      <c r="P321" s="11">
        <f>IF($A321&gt;'1-Input'!$B$26,0,IF(U320&lt;=0,0,MAX(0,(U320-V320)/U320)))</f>
        <v>0.66988299376466276</v>
      </c>
      <c r="Q321" s="18">
        <f>IF($A321&gt;'1-Input'!$B$26,0,(MAX(0,P286-IF($A321&gt;='1-Input'!$C$12,'1-Input'!$B$12,0))-MIN(MAX(T320,0),MAX(0,P286-IF($A321&gt;='1-Input'!$C$12,'1-Input'!$B$12,0))))*(1/(1-'P-Parametri'!$B$6*P321))+MIN(MAX(0,U320-(MAX(0,P286-IF($A321&gt;='1-Input'!$C$12,'1-Input'!$B$12,0))-MIN(MAX(T320,0),MAX(0,P286-IF($A321&gt;='1-Input'!$C$12,'1-Input'!$B$12,0))))*(1/(1-'P-Parametri'!$B$6*P321))),MAX(0,2*P286-(T320-MIN(MAX(T320,0),MAX(0,P286-IF($A321&gt;='1-Input'!$C$12,'1-Input'!$B$12,0)))))*(1/(1-'P-Parametri'!$B$6*P321))))</f>
        <v>8681.3532507200471</v>
      </c>
      <c r="R321" s="18">
        <f>IF($A321&gt;'1-Input'!$B$26,T320,(T320-MAX(0,P286-IF($A321&gt;='1-Input'!$C$12,'1-Input'!$B$12,0))+Q321*(1-'P-Parametri'!$B$6*P321))*(1+ROUND('3-Liquidita'!$F$7,4)))</f>
        <v>37242.120653556602</v>
      </c>
      <c r="S321" s="18">
        <f>IF($A321&gt;'1-Input'!$B$26,U320,(U320-Q321)*(1+'5-Roberta'!$C$4))</f>
        <v>38388.812553325086</v>
      </c>
      <c r="T321" s="18">
        <f>IF($A321&gt;'1-Input'!$B$26,R321,R321-'P-Parametri'!$B$8*(S321+R321)+MIN(MAX(S321,0),'P-Parametri'!$B$8*(S321+R321)))</f>
        <v>37242.120653556602</v>
      </c>
      <c r="U321" s="18">
        <f>IF($A321&gt;'1-Input'!$B$26,S321,S321-MIN(MAX(S321,0),'P-Parametri'!$B$8*(S321+R321)))</f>
        <v>38237.550686911323</v>
      </c>
      <c r="V321" s="18">
        <f>IF($A321&gt;'1-Input'!$B$26,V320,V320-Q321*(1-P321))</f>
        <v>12303.689197119624</v>
      </c>
      <c r="W321" s="11">
        <f>IF($A321&gt;'1-Input'!$B$26,0,IF(AB320&lt;=0,0,MAX(0,(AB320-AC320)/AB320)))</f>
        <v>0.67053346556625859</v>
      </c>
      <c r="X321" s="18">
        <f>IF($A321&gt;'1-Input'!$B$26,0,(MAX(0,W286-IF($A321&gt;='1-Input'!$C$12,'1-Input'!$B$12,0))-MIN(MAX(AA320,0),MAX(0,W286-IF($A321&gt;='1-Input'!$C$12,'1-Input'!$B$12,0))))*(1/(1-'P-Parametri'!$B$6*W321))+MIN(MAX(0,AB320-(MAX(0,W286-IF($A321&gt;='1-Input'!$C$12,'1-Input'!$B$12,0))-MIN(MAX(AA320,0),MAX(0,W286-IF($A321&gt;='1-Input'!$C$12,'1-Input'!$B$12,0))))*(1/(1-'P-Parametri'!$B$6*W321))),MAX(0,2*W286-(AA320-MIN(MAX(AA320,0),MAX(0,W286-IF($A321&gt;='1-Input'!$C$12,'1-Input'!$B$12,0)))))*(1/(1-'P-Parametri'!$B$6*W321))))</f>
        <v>8413.1395895031746</v>
      </c>
      <c r="Y321" s="18">
        <f>IF($A321&gt;'1-Input'!$B$26,AA320,(AA320-MAX(0,W286-IF($A321&gt;='1-Input'!$C$12,'1-Input'!$B$12,0))+X321*(1-'P-Parametri'!$B$6*W321))*(1+ROUND('3-Liquidita'!$F$7,4)))</f>
        <v>36787.742972329659</v>
      </c>
      <c r="Z321" s="18">
        <f>IF($A321&gt;'1-Input'!$B$26,AB320,(AB320-X321)*(1+'5-Roberta'!$C$4))</f>
        <v>53334.441257925886</v>
      </c>
      <c r="AA321" s="18">
        <f>IF($A321&gt;'1-Input'!$B$26,Y321,Y321-'P-Parametri'!$B$8*(Z321+Y321)+MIN(MAX(Z321,0),'P-Parametri'!$B$8*(Z321+Y321)))</f>
        <v>36787.742972329659</v>
      </c>
      <c r="AB321" s="18">
        <f>IF($A321&gt;'1-Input'!$B$26,Z321,Z321-MIN(MAX(Z321,0),'P-Parametri'!$B$8*(Z321+Y321)))</f>
        <v>53154.196889465376</v>
      </c>
      <c r="AC321" s="18">
        <f>IF($A321&gt;'1-Input'!$B$26,AC320,AC320-X321*(1-W321))</f>
        <v>17060.110220591061</v>
      </c>
      <c r="AD321" s="11">
        <f>IF($A321&gt;'1-Input'!$B$26,0,IF(AI320&lt;=0,0,MAX(0,(AI320-AJ320)/AI320)))</f>
        <v>0.67056161223426414</v>
      </c>
      <c r="AE321" s="18">
        <f>IF($A321&gt;'1-Input'!$B$26,0,(MAX(0,AD286-IF($A321&gt;='1-Input'!$C$12,'1-Input'!$B$12,0))-MIN(MAX(AH320,0),MAX(0,AD286-IF($A321&gt;='1-Input'!$C$12,'1-Input'!$B$12,0))))*(1/(1-'P-Parametri'!$B$6*AD321))+MIN(MAX(0,AI320-(MAX(0,AD286-IF($A321&gt;='1-Input'!$C$12,'1-Input'!$B$12,0))-MIN(MAX(AH320,0),MAX(0,AD286-IF($A321&gt;='1-Input'!$C$12,'1-Input'!$B$12,0))))*(1/(1-'P-Parametri'!$B$6*AD321))),MAX(0,2*AD286-(AH320-MIN(MAX(AH320,0),MAX(0,AD286-IF($A321&gt;='1-Input'!$C$12,'1-Input'!$B$12,0)))))*(1/(1-'P-Parametri'!$B$6*AD321))))</f>
        <v>8399.3356984446928</v>
      </c>
      <c r="AF321" s="18">
        <f>IF($A321&gt;'1-Input'!$B$26,AH320,(AH320-MAX(0,AD286-IF($A321&gt;='1-Input'!$C$12,'1-Input'!$B$12,0))+AE321*(1-'P-Parametri'!$B$6*AD321))*(1+ROUND('3-Liquidita'!$F$7,4)))</f>
        <v>36764.386690049425</v>
      </c>
      <c r="AG321" s="18">
        <f>IF($A321&gt;'1-Input'!$B$26,AI320,(AI320-AE321)*(1+'5-Roberta'!$C$4))</f>
        <v>54102.771801317984</v>
      </c>
      <c r="AH321" s="18">
        <f>IF($A321&gt;'1-Input'!$B$26,AF321,AF321-'P-Parametri'!$B$8*(AG321+AF321)+MIN(MAX(AG321,0),'P-Parametri'!$B$8*(AG321+AF321)))</f>
        <v>36764.386690049425</v>
      </c>
      <c r="AI321" s="18">
        <f>IF($A321&gt;'1-Input'!$B$26,AG321,AG321-MIN(MAX(AG321,0),'P-Parametri'!$B$8*(AG321+AF321)))</f>
        <v>53921.037484335247</v>
      </c>
      <c r="AJ321" s="18">
        <f>IF($A321&gt;'1-Input'!$B$26,AJ320,AJ320-AE321*(1-AD321))</f>
        <v>17304.39797658613</v>
      </c>
      <c r="AK321" s="11">
        <f>IF($A321&gt;'1-Input'!$B$26,0,IF(AP320&lt;=0,0,MAX(0,(AP320-AQ320)/AP320)))</f>
        <v>0.67056169750653216</v>
      </c>
      <c r="AL321" s="18">
        <f>IF($A321&gt;'1-Input'!$B$26,0,(MAX(0,AK286-IF($A321&gt;='1-Input'!$C$12,'1-Input'!$B$12,0))-MIN(MAX(AO320,0),MAX(0,AK286-IF($A321&gt;='1-Input'!$C$12,'1-Input'!$B$12,0))))*(1/(1-'P-Parametri'!$B$6*AK321))+MIN(MAX(0,AP320-(MAX(0,AK286-IF($A321&gt;='1-Input'!$C$12,'1-Input'!$B$12,0))-MIN(MAX(AO320,0),MAX(0,AK286-IF($A321&gt;='1-Input'!$C$12,'1-Input'!$B$12,0))))*(1/(1-'P-Parametri'!$B$6*AK321))),MAX(0,2*AK286-(AO320-MIN(MAX(AO320,0),MAX(0,AK286-IF($A321&gt;='1-Input'!$C$12,'1-Input'!$B$12,0)))))*(1/(1-'P-Parametri'!$B$6*AK321))))</f>
        <v>8399.2935612167821</v>
      </c>
      <c r="AM321" s="18">
        <f>IF($A321&gt;'1-Input'!$B$26,AO320,(AO320-MAX(0,AK286-IF($A321&gt;='1-Input'!$C$12,'1-Input'!$B$12,0))+AL321*(1-'P-Parametri'!$B$6*AK321))*(1+ROUND('3-Liquidita'!$F$7,4)))</f>
        <v>36764.315397069942</v>
      </c>
      <c r="AN321" s="18">
        <f>IF($A321&gt;'1-Input'!$B$26,AP320,(AP320-AL321)*(1+'5-Roberta'!$C$4))</f>
        <v>54105.117073171568</v>
      </c>
      <c r="AO321" s="18">
        <f>IF($A321&gt;'1-Input'!$B$26,AM321,AM321-'P-Parametri'!$B$8*(AN321+AM321)+MIN(MAX(AN321,0),'P-Parametri'!$B$8*(AN321+AM321)))</f>
        <v>36764.315397069942</v>
      </c>
      <c r="AP321" s="18">
        <f>IF($A321&gt;'1-Input'!$B$26,AN321,AN321-MIN(MAX(AN321,0),'P-Parametri'!$B$8*(AN321+AM321)))</f>
        <v>53923.378208231086</v>
      </c>
      <c r="AQ321" s="18">
        <f>IF($A321&gt;'1-Input'!$B$26,AQ320,AQ320-AL321*(1-AK321))</f>
        <v>17305.143616306785</v>
      </c>
    </row>
    <row r="322" spans="1:43">
      <c r="A322" s="10">
        <f>34</f>
        <v>34</v>
      </c>
      <c r="B322" s="11">
        <f>IF($A322&gt;'1-Input'!$B$26,0,IF(G321&lt;=0,0,MAX(0,(G321-H321)/G321)))</f>
        <v>0.68134091115901529</v>
      </c>
      <c r="C322" s="18">
        <f>IF($A322&gt;'1-Input'!$B$26,0,(MAX(0,B286-IF($A322&gt;='1-Input'!$C$12,'1-Input'!$B$12,0))-MIN(MAX(F321,0),MAX(0,B286-IF($A322&gt;='1-Input'!$C$12,'1-Input'!$B$12,0))))*(1/(1-'P-Parametri'!$B$6*B322))+MIN(MAX(0,G321-(MAX(0,B286-IF($A322&gt;='1-Input'!$C$12,'1-Input'!$B$12,0))-MIN(MAX(F321,0),MAX(0,B286-IF($A322&gt;='1-Input'!$C$12,'1-Input'!$B$12,0))))*(1/(1-'P-Parametri'!$B$6*B322))),MAX(0,2*B286-(F321-MIN(MAX(F321,0),MAX(0,B286-IF($A322&gt;='1-Input'!$C$12,'1-Input'!$B$12,0)))))*(1/(1-'P-Parametri'!$B$6*B322))))</f>
        <v>6524.7191150582257</v>
      </c>
      <c r="D322" s="18">
        <f>IF($A322&gt;'1-Input'!$B$26,F321,(F321-MAX(0,B286-IF($A322&gt;='1-Input'!$C$12,'1-Input'!$B$12,0))+C322*(1-'P-Parametri'!$B$6*B322))*(1+ROUND('3-Liquidita'!$F$7,4)))</f>
        <v>33572.29192621589</v>
      </c>
      <c r="E322" s="18">
        <f>IF($A322&gt;'1-Input'!$B$26,G321,(G321-C322)*(1+'5-Roberta'!$C$4))</f>
        <v>156808.90685898063</v>
      </c>
      <c r="F322" s="18">
        <f>IF($A322&gt;'1-Input'!$B$26,D322,D322-'P-Parametri'!$B$8*(E322+D322)+MIN(MAX(E322,0),'P-Parametri'!$B$8*(E322+D322)))</f>
        <v>33572.29192621589</v>
      </c>
      <c r="G322" s="18">
        <f>IF($A322&gt;'1-Input'!$B$26,E322,E322-MIN(MAX(E322,0),'P-Parametri'!$B$8*(E322+D322)))</f>
        <v>156428.14446141024</v>
      </c>
      <c r="H322" s="18">
        <f>IF($A322&gt;'1-Input'!$B$26,H321,H321-C322*(1-B322))</f>
        <v>48513.187749353005</v>
      </c>
      <c r="I322" s="11">
        <f>IF($A322&gt;'1-Input'!$B$26,0,IF(N321&lt;=0,0,MAX(0,(N321-O321)/N321)))</f>
        <v>0</v>
      </c>
      <c r="J322" s="18">
        <f>IF($A322&gt;'1-Input'!$B$26,0,(MAX(0,I286-IF($A322&gt;='1-Input'!$C$12,'1-Input'!$B$12,0))-MIN(MAX(M321,0),MAX(0,I286-IF($A322&gt;='1-Input'!$C$12,'1-Input'!$B$12,0))))*(1/(1-'P-Parametri'!$B$6*I322))+MIN(MAX(0,N321-(MAX(0,I286-IF($A322&gt;='1-Input'!$C$12,'1-Input'!$B$12,0))-MIN(MAX(M321,0),MAX(0,I286-IF($A322&gt;='1-Input'!$C$12,'1-Input'!$B$12,0))))*(1/(1-'P-Parametri'!$B$6*I322))),MAX(0,2*I286-(M321-MIN(MAX(M321,0),MAX(0,I286-IF($A322&gt;='1-Input'!$C$12,'1-Input'!$B$12,0)))))*(1/(1-'P-Parametri'!$B$6*I322))))</f>
        <v>10846.756992928691</v>
      </c>
      <c r="K322" s="18">
        <f>IF($A322&gt;'1-Input'!$B$26,M321,(M321-MAX(0,I286-IF($A322&gt;='1-Input'!$C$12,'1-Input'!$B$12,0))+J322*(1-'P-Parametri'!$B$6*I322))*(1+ROUND('3-Liquidita'!$F$7,4)))</f>
        <v>0</v>
      </c>
      <c r="L322" s="18">
        <f>IF($A322&gt;'1-Input'!$B$26,N321,(N321-J322)*(1+'5-Roberta'!$C$4))</f>
        <v>-116725.20929860153</v>
      </c>
      <c r="M322" s="18">
        <f>IF($A322&gt;'1-Input'!$B$26,K322,K322-'P-Parametri'!$B$8*(L322+K322)+MIN(MAX(L322,0),'P-Parametri'!$B$8*(L322+K322)))</f>
        <v>0</v>
      </c>
      <c r="N322" s="18">
        <f>IF($A322&gt;'1-Input'!$B$26,L322,L322-MIN(MAX(L322,0),'P-Parametri'!$B$8*(L322+K322)))</f>
        <v>-116491.75888000433</v>
      </c>
      <c r="O322" s="18">
        <f>IF($A322&gt;'1-Input'!$B$26,O321,O321-J322*(1-I322))</f>
        <v>-100783.26992213348</v>
      </c>
      <c r="P322" s="11">
        <f>IF($A322&gt;'1-Input'!$B$26,0,IF(U321&lt;=0,0,MAX(0,(U321-V321)/U321)))</f>
        <v>0.67823019581295607</v>
      </c>
      <c r="Q322" s="18">
        <f>IF($A322&gt;'1-Input'!$B$26,0,(MAX(0,P286-IF($A322&gt;='1-Input'!$C$12,'1-Input'!$B$12,0))-MIN(MAX(T321,0),MAX(0,P286-IF($A322&gt;='1-Input'!$C$12,'1-Input'!$B$12,0))))*(1/(1-'P-Parametri'!$B$6*P322))+MIN(MAX(0,U321-(MAX(0,P286-IF($A322&gt;='1-Input'!$C$12,'1-Input'!$B$12,0))-MIN(MAX(T321,0),MAX(0,P286-IF($A322&gt;='1-Input'!$C$12,'1-Input'!$B$12,0))))*(1/(1-'P-Parametri'!$B$6*P322))),MAX(0,2*P286-(T321-MIN(MAX(T321,0),MAX(0,P286-IF($A322&gt;='1-Input'!$C$12,'1-Input'!$B$12,0)))))*(1/(1-'P-Parametri'!$B$6*P322))))</f>
        <v>8704.2278580763741</v>
      </c>
      <c r="R322" s="18">
        <f>IF($A322&gt;'1-Input'!$B$26,T321,(T321-MAX(0,P286-IF($A322&gt;='1-Input'!$C$12,'1-Input'!$B$12,0))+Q322*(1-'P-Parametri'!$B$6*P322))*(1+ROUND('3-Liquidita'!$F$7,4)))</f>
        <v>37242.120653556602</v>
      </c>
      <c r="S322" s="18">
        <f>IF($A322&gt;'1-Input'!$B$26,U321,(U321-Q322)*(1+'5-Roberta'!$C$4))</f>
        <v>30419.322513699997</v>
      </c>
      <c r="T322" s="18">
        <f>IF($A322&gt;'1-Input'!$B$26,R322,R322-'P-Parametri'!$B$8*(S322+R322)+MIN(MAX(S322,0),'P-Parametri'!$B$8*(S322+R322)))</f>
        <v>37242.120653556602</v>
      </c>
      <c r="U322" s="18">
        <f>IF($A322&gt;'1-Input'!$B$26,S322,S322-MIN(MAX(S322,0),'P-Parametri'!$B$8*(S322+R322)))</f>
        <v>30283.999627365483</v>
      </c>
      <c r="V322" s="18">
        <f>IF($A322&gt;'1-Input'!$B$26,V321,V321-Q322*(1-P322))</f>
        <v>9502.9315036269763</v>
      </c>
      <c r="W322" s="11">
        <f>IF($A322&gt;'1-Input'!$B$26,0,IF(AB321&lt;=0,0,MAX(0,(AB321-AC321)/AB321)))</f>
        <v>0.67904490672547047</v>
      </c>
      <c r="X322" s="18">
        <f>IF($A322&gt;'1-Input'!$B$26,0,(MAX(0,W286-IF($A322&gt;='1-Input'!$C$12,'1-Input'!$B$12,0))-MIN(MAX(AA321,0),MAX(0,W286-IF($A322&gt;='1-Input'!$C$12,'1-Input'!$B$12,0))))*(1/(1-'P-Parametri'!$B$6*W322))+MIN(MAX(0,AB321-(MAX(0,W286-IF($A322&gt;='1-Input'!$C$12,'1-Input'!$B$12,0))-MIN(MAX(AA321,0),MAX(0,W286-IF($A322&gt;='1-Input'!$C$12,'1-Input'!$B$12,0))))*(1/(1-'P-Parametri'!$B$6*W322))),MAX(0,2*W286-(AA321-MIN(MAX(AA321,0),MAX(0,W286-IF($A322&gt;='1-Input'!$C$12,'1-Input'!$B$12,0)))))*(1/(1-'P-Parametri'!$B$6*W322))))</f>
        <v>8435.7494661919172</v>
      </c>
      <c r="Y322" s="18">
        <f>IF($A322&gt;'1-Input'!$B$26,AA321,(AA321-MAX(0,W286-IF($A322&gt;='1-Input'!$C$12,'1-Input'!$B$12,0))+X322*(1-'P-Parametri'!$B$6*W322))*(1+ROUND('3-Liquidita'!$F$7,4)))</f>
        <v>36787.742972329659</v>
      </c>
      <c r="Z322" s="18">
        <f>IF($A322&gt;'1-Input'!$B$26,AB321,(AB321-X322)*(1+'5-Roberta'!$C$4))</f>
        <v>46060.000845971663</v>
      </c>
      <c r="AA322" s="18">
        <f>IF($A322&gt;'1-Input'!$B$26,Y322,Y322-'P-Parametri'!$B$8*(Z322+Y322)+MIN(MAX(Z322,0),'P-Parametri'!$B$8*(Z322+Y322)))</f>
        <v>36787.742972329659</v>
      </c>
      <c r="AB322" s="18">
        <f>IF($A322&gt;'1-Input'!$B$26,Z322,Z322-MIN(MAX(Z322,0),'P-Parametri'!$B$8*(Z322+Y322)))</f>
        <v>45894.305358335063</v>
      </c>
      <c r="AC322" s="18">
        <f>IF($A322&gt;'1-Input'!$B$26,AC321,AC321-X322*(1-W322))</f>
        <v>14352.613463828871</v>
      </c>
      <c r="AD322" s="11">
        <f>IF($A322&gt;'1-Input'!$B$26,0,IF(AI321&lt;=0,0,MAX(0,(AI321-AJ321)/AI321)))</f>
        <v>0.67907891272282583</v>
      </c>
      <c r="AE322" s="18">
        <f>IF($A322&gt;'1-Input'!$B$26,0,(MAX(0,AD286-IF($A322&gt;='1-Input'!$C$12,'1-Input'!$B$12,0))-MIN(MAX(AH321,0),MAX(0,AD286-IF($A322&gt;='1-Input'!$C$12,'1-Input'!$B$12,0))))*(1/(1-'P-Parametri'!$B$6*AD322))+MIN(MAX(0,AI321-(MAX(0,AD286-IF($A322&gt;='1-Input'!$C$12,'1-Input'!$B$12,0))-MIN(MAX(AH321,0),MAX(0,AD286-IF($A322&gt;='1-Input'!$C$12,'1-Input'!$B$12,0))))*(1/(1-'P-Parametri'!$B$6*AD322))),MAX(0,2*AD286-(AH321-MIN(MAX(AH321,0),MAX(0,AD286-IF($A322&gt;='1-Input'!$C$12,'1-Input'!$B$12,0)))))*(1/(1-'P-Parametri'!$B$6*AD322))))</f>
        <v>8421.9242596728473</v>
      </c>
      <c r="AF322" s="18">
        <f>IF($A322&gt;'1-Input'!$B$26,AH321,(AH321-MAX(0,AD286-IF($A322&gt;='1-Input'!$C$12,'1-Input'!$B$12,0))+AE322*(1-'P-Parametri'!$B$6*AD322))*(1+ROUND('3-Liquidita'!$F$7,4)))</f>
        <v>36764.386690049425</v>
      </c>
      <c r="AG322" s="18">
        <f>IF($A322&gt;'1-Input'!$B$26,AI321,(AI321-AE322)*(1+'5-Roberta'!$C$4))</f>
        <v>46864.086621402275</v>
      </c>
      <c r="AH322" s="18">
        <f>IF($A322&gt;'1-Input'!$B$26,AF322,AF322-'P-Parametri'!$B$8*(AG322+AF322)+MIN(MAX(AG322,0),'P-Parametri'!$B$8*(AG322+AF322)))</f>
        <v>36764.386690049425</v>
      </c>
      <c r="AI322" s="18">
        <f>IF($A322&gt;'1-Input'!$B$26,AG322,AG322-MIN(MAX(AG322,0),'P-Parametri'!$B$8*(AG322+AF322)))</f>
        <v>46696.829674779372</v>
      </c>
      <c r="AJ322" s="18">
        <f>IF($A322&gt;'1-Input'!$B$26,AJ321,AJ321-AE322*(1-AD322))</f>
        <v>14601.624886205909</v>
      </c>
      <c r="AK322" s="11">
        <f>IF($A322&gt;'1-Input'!$B$26,0,IF(AP321&lt;=0,0,MAX(0,(AP321-AQ321)/AP321)))</f>
        <v>0.67907901560838679</v>
      </c>
      <c r="AL322" s="18">
        <f>IF($A322&gt;'1-Input'!$B$26,0,(MAX(0,AK286-IF($A322&gt;='1-Input'!$C$12,'1-Input'!$B$12,0))-MIN(MAX(AO321,0),MAX(0,AK286-IF($A322&gt;='1-Input'!$C$12,'1-Input'!$B$12,0))))*(1/(1-'P-Parametri'!$B$6*AK322))+MIN(MAX(0,AP321-(MAX(0,AK286-IF($A322&gt;='1-Input'!$C$12,'1-Input'!$B$12,0))-MIN(MAX(AO321,0),MAX(0,AK286-IF($A322&gt;='1-Input'!$C$12,'1-Input'!$B$12,0))))*(1/(1-'P-Parametri'!$B$6*AK322))),MAX(0,2*AK286-(AO321-MIN(MAX(AO321,0),MAX(0,AK286-IF($A322&gt;='1-Input'!$C$12,'1-Input'!$B$12,0)))))*(1/(1-'P-Parametri'!$B$6*AK322))))</f>
        <v>8421.8820565695805</v>
      </c>
      <c r="AM322" s="18">
        <f>IF($A322&gt;'1-Input'!$B$26,AO321,(AO321-MAX(0,AK286-IF($A322&gt;='1-Input'!$C$12,'1-Input'!$B$12,0))+AL322*(1-'P-Parametri'!$B$6*AK322))*(1+ROUND('3-Liquidita'!$F$7,4)))</f>
        <v>36764.315397069942</v>
      </c>
      <c r="AN322" s="18">
        <f>IF($A322&gt;'1-Input'!$B$26,AP321,(AP321-AL322)*(1+'5-Roberta'!$C$4))</f>
        <v>46866.541036211354</v>
      </c>
      <c r="AO322" s="18">
        <f>IF($A322&gt;'1-Input'!$B$26,AM322,AM322-'P-Parametri'!$B$8*(AN322+AM322)+MIN(MAX(AN322,0),'P-Parametri'!$B$8*(AN322+AM322)))</f>
        <v>36764.315397069942</v>
      </c>
      <c r="AP322" s="18">
        <f>IF($A322&gt;'1-Input'!$B$26,AN322,AN322-MIN(MAX(AN322,0),'P-Parametri'!$B$8*(AN322+AM322)))</f>
        <v>46699.279323344788</v>
      </c>
      <c r="AQ322" s="18">
        <f>IF($A322&gt;'1-Input'!$B$26,AQ321,AQ321-AL322*(1-AK322))</f>
        <v>14602.384936282411</v>
      </c>
    </row>
    <row r="323" spans="1:43">
      <c r="A323" s="10">
        <f>35</f>
        <v>35</v>
      </c>
      <c r="B323" s="11">
        <f>IF($A323&gt;'1-Input'!$B$26,0,IF(G322&lt;=0,0,MAX(0,(G322-H322)/G322)))</f>
        <v>0.68986918615964998</v>
      </c>
      <c r="C323" s="18">
        <f>IF($A323&gt;'1-Input'!$B$26,0,(MAX(0,B286-IF($A323&gt;='1-Input'!$C$12,'1-Input'!$B$12,0))-MIN(MAX(F322,0),MAX(0,B286-IF($A323&gt;='1-Input'!$C$12,'1-Input'!$B$12,0))))*(1/(1-'P-Parametri'!$B$6*B323))+MIN(MAX(0,G322-(MAX(0,B286-IF($A323&gt;='1-Input'!$C$12,'1-Input'!$B$12,0))-MIN(MAX(F322,0),MAX(0,B286-IF($A323&gt;='1-Input'!$C$12,'1-Input'!$B$12,0))))*(1/(1-'P-Parametri'!$B$6*B323))),MAX(0,2*B286-(F322-MIN(MAX(F322,0),MAX(0,B286-IF($A323&gt;='1-Input'!$C$12,'1-Input'!$B$12,0)))))*(1/(1-'P-Parametri'!$B$6*B323))))</f>
        <v>6542.3488933923554</v>
      </c>
      <c r="D323" s="18">
        <f>IF($A323&gt;'1-Input'!$B$26,F322,(F322-MAX(0,B286-IF($A323&gt;='1-Input'!$C$12,'1-Input'!$B$12,0))+C323*(1-'P-Parametri'!$B$6*B323))*(1+ROUND('3-Liquidita'!$F$7,4)))</f>
        <v>33572.29192621589</v>
      </c>
      <c r="E323" s="18">
        <f>IF($A323&gt;'1-Input'!$B$26,G322,(G322-C323)*(1+'5-Roberta'!$C$4))</f>
        <v>154382.36943505841</v>
      </c>
      <c r="F323" s="18">
        <f>IF($A323&gt;'1-Input'!$B$26,D323,D323-'P-Parametri'!$B$8*(E323+D323)+MIN(MAX(E323,0),'P-Parametri'!$B$8*(E323+D323)))</f>
        <v>33572.29192621589</v>
      </c>
      <c r="G323" s="18">
        <f>IF($A323&gt;'1-Input'!$B$26,E323,E323-MIN(MAX(E323,0),'P-Parametri'!$B$8*(E323+D323)))</f>
        <v>154006.46011233586</v>
      </c>
      <c r="H323" s="18">
        <f>IF($A323&gt;'1-Input'!$B$26,H322,H322-C323*(1-B323))</f>
        <v>46484.203762617719</v>
      </c>
      <c r="I323" s="11">
        <f>IF($A323&gt;'1-Input'!$B$26,0,IF(N322&lt;=0,0,MAX(0,(N322-O322)/N322)))</f>
        <v>0</v>
      </c>
      <c r="J323" s="18">
        <f>IF($A323&gt;'1-Input'!$B$26,0,(MAX(0,I286-IF($A323&gt;='1-Input'!$C$12,'1-Input'!$B$12,0))-MIN(MAX(M322,0),MAX(0,I286-IF($A323&gt;='1-Input'!$C$12,'1-Input'!$B$12,0))))*(1/(1-'P-Parametri'!$B$6*I323))+MIN(MAX(0,N322-(MAX(0,I286-IF($A323&gt;='1-Input'!$C$12,'1-Input'!$B$12,0))-MIN(MAX(M322,0),MAX(0,I286-IF($A323&gt;='1-Input'!$C$12,'1-Input'!$B$12,0))))*(1/(1-'P-Parametri'!$B$6*I323))),MAX(0,2*I286-(M322-MIN(MAX(M322,0),MAX(0,I286-IF($A323&gt;='1-Input'!$C$12,'1-Input'!$B$12,0)))))*(1/(1-'P-Parametri'!$B$6*I323))))</f>
        <v>10846.756992928691</v>
      </c>
      <c r="K323" s="18">
        <f>IF($A323&gt;'1-Input'!$B$26,M322,(M322-MAX(0,I286-IF($A323&gt;='1-Input'!$C$12,'1-Input'!$B$12,0))+J323*(1-'P-Parametri'!$B$6*I323))*(1+ROUND('3-Liquidita'!$F$7,4)))</f>
        <v>0</v>
      </c>
      <c r="L323" s="18">
        <f>IF($A323&gt;'1-Input'!$B$26,N322,(N322-J323)*(1+'5-Roberta'!$C$4))</f>
        <v>-131158.67134912102</v>
      </c>
      <c r="M323" s="18">
        <f>IF($A323&gt;'1-Input'!$B$26,K323,K323-'P-Parametri'!$B$8*(L323+K323)+MIN(MAX(L323,0),'P-Parametri'!$B$8*(L323+K323)))</f>
        <v>0</v>
      </c>
      <c r="N323" s="18">
        <f>IF($A323&gt;'1-Input'!$B$26,L323,L323-MIN(MAX(L323,0),'P-Parametri'!$B$8*(L323+K323)))</f>
        <v>-130896.35400642279</v>
      </c>
      <c r="O323" s="18">
        <f>IF($A323&gt;'1-Input'!$B$26,O322,O322-J323*(1-I323))</f>
        <v>-111630.02691506216</v>
      </c>
      <c r="P323" s="11">
        <f>IF($A323&gt;'1-Input'!$B$26,0,IF(U322&lt;=0,0,MAX(0,(U322-V322)/U322)))</f>
        <v>0.68620619401144567</v>
      </c>
      <c r="Q323" s="18">
        <f>IF($A323&gt;'1-Input'!$B$26,0,(MAX(0,P286-IF($A323&gt;='1-Input'!$C$12,'1-Input'!$B$12,0))-MIN(MAX(T322,0),MAX(0,P286-IF($A323&gt;='1-Input'!$C$12,'1-Input'!$B$12,0))))*(1/(1-'P-Parametri'!$B$6*P323))+MIN(MAX(0,U322-(MAX(0,P286-IF($A323&gt;='1-Input'!$C$12,'1-Input'!$B$12,0))-MIN(MAX(T322,0),MAX(0,P286-IF($A323&gt;='1-Input'!$C$12,'1-Input'!$B$12,0))))*(1/(1-'P-Parametri'!$B$6*P323))),MAX(0,2*P286-(T322-MIN(MAX(T322,0),MAX(0,P286-IF($A323&gt;='1-Input'!$C$12,'1-Input'!$B$12,0)))))*(1/(1-'P-Parametri'!$B$6*P323))))</f>
        <v>8726.1981289029136</v>
      </c>
      <c r="R323" s="18">
        <f>IF($A323&gt;'1-Input'!$B$26,T322,(T322-MAX(0,P286-IF($A323&gt;='1-Input'!$C$12,'1-Input'!$B$12,0))+Q323*(1-'P-Parametri'!$B$6*P323))*(1+ROUND('3-Liquidita'!$F$7,4)))</f>
        <v>37242.120653556602</v>
      </c>
      <c r="S323" s="18">
        <f>IF($A323&gt;'1-Input'!$B$26,U322,(U322-Q323)*(1+'5-Roberta'!$C$4))</f>
        <v>22204.535543416448</v>
      </c>
      <c r="T323" s="18">
        <f>IF($A323&gt;'1-Input'!$B$26,R323,R323-'P-Parametri'!$B$8*(S323+R323)+MIN(MAX(S323,0),'P-Parametri'!$B$8*(S323+R323)))</f>
        <v>37242.120653556602</v>
      </c>
      <c r="U323" s="18">
        <f>IF($A323&gt;'1-Input'!$B$26,S323,S323-MIN(MAX(S323,0),'P-Parametri'!$B$8*(S323+R323)))</f>
        <v>22085.642231022503</v>
      </c>
      <c r="V323" s="18">
        <f>IF($A323&gt;'1-Input'!$B$26,V322,V322-Q323*(1-P323))</f>
        <v>6764.7045809483297</v>
      </c>
      <c r="W323" s="11">
        <f>IF($A323&gt;'1-Input'!$B$26,0,IF(AB322&lt;=0,0,MAX(0,(AB322-AC322)/AB322)))</f>
        <v>0.68726809673300282</v>
      </c>
      <c r="X323" s="18">
        <f>IF($A323&gt;'1-Input'!$B$26,0,(MAX(0,W286-IF($A323&gt;='1-Input'!$C$12,'1-Input'!$B$12,0))-MIN(MAX(AA322,0),MAX(0,W286-IF($A323&gt;='1-Input'!$C$12,'1-Input'!$B$12,0))))*(1/(1-'P-Parametri'!$B$6*W323))+MIN(MAX(0,AB322-(MAX(0,W286-IF($A323&gt;='1-Input'!$C$12,'1-Input'!$B$12,0))-MIN(MAX(AA322,0),MAX(0,W286-IF($A323&gt;='1-Input'!$C$12,'1-Input'!$B$12,0))))*(1/(1-'P-Parametri'!$B$6*W323))),MAX(0,2*W286-(AA322-MIN(MAX(AA322,0),MAX(0,W286-IF($A323&gt;='1-Input'!$C$12,'1-Input'!$B$12,0)))))*(1/(1-'P-Parametri'!$B$6*W323))))</f>
        <v>8457.7093521197803</v>
      </c>
      <c r="Y323" s="18">
        <f>IF($A323&gt;'1-Input'!$B$26,AA322,(AA322-MAX(0,W286-IF($A323&gt;='1-Input'!$C$12,'1-Input'!$B$12,0))+X323*(1-'P-Parametri'!$B$6*W323))*(1+ROUND('3-Liquidita'!$F$7,4)))</f>
        <v>36787.742972329659</v>
      </c>
      <c r="Z323" s="18">
        <f>IF($A323&gt;'1-Input'!$B$26,AB322,(AB322-X323)*(1+'5-Roberta'!$C$4))</f>
        <v>38559.693886401743</v>
      </c>
      <c r="AA323" s="18">
        <f>IF($A323&gt;'1-Input'!$B$26,Y323,Y323-'P-Parametri'!$B$8*(Z323+Y323)+MIN(MAX(Z323,0),'P-Parametri'!$B$8*(Z323+Y323)))</f>
        <v>36787.742972329659</v>
      </c>
      <c r="AB323" s="18">
        <f>IF($A323&gt;'1-Input'!$B$26,Z323,Z323-MIN(MAX(Z323,0),'P-Parametri'!$B$8*(Z323+Y323)))</f>
        <v>38408.999012684282</v>
      </c>
      <c r="AC323" s="18">
        <f>IF($A323&gt;'1-Input'!$B$26,AC322,AC322-X323*(1-W323))</f>
        <v>11707.61792086137</v>
      </c>
      <c r="AD323" s="11">
        <f>IF($A323&gt;'1-Input'!$B$26,0,IF(AI322&lt;=0,0,MAX(0,(AI322-AJ322)/AI322)))</f>
        <v>0.68731014529467849</v>
      </c>
      <c r="AE323" s="18">
        <f>IF($A323&gt;'1-Input'!$B$26,0,(MAX(0,AD286-IF($A323&gt;='1-Input'!$C$12,'1-Input'!$B$12,0))-MIN(MAX(AH322,0),MAX(0,AD286-IF($A323&gt;='1-Input'!$C$12,'1-Input'!$B$12,0))))*(1/(1-'P-Parametri'!$B$6*AD323))+MIN(MAX(0,AI322-(MAX(0,AD286-IF($A323&gt;='1-Input'!$C$12,'1-Input'!$B$12,0))-MIN(MAX(AH322,0),MAX(0,AD286-IF($A323&gt;='1-Input'!$C$12,'1-Input'!$B$12,0))))*(1/(1-'P-Parametri'!$B$6*AD323))),MAX(0,2*AD286-(AH322-MIN(MAX(AH322,0),MAX(0,AD286-IF($A323&gt;='1-Input'!$C$12,'1-Input'!$B$12,0)))))*(1/(1-'P-Parametri'!$B$6*AD323))))</f>
        <v>8443.8698903683562</v>
      </c>
      <c r="AF323" s="18">
        <f>IF($A323&gt;'1-Input'!$B$26,AH322,(AH322-MAX(0,AD286-IF($A323&gt;='1-Input'!$C$12,'1-Input'!$B$12,0))+AE323*(1-'P-Parametri'!$B$6*AD323))*(1+ROUND('3-Liquidita'!$F$7,4)))</f>
        <v>36764.386690049425</v>
      </c>
      <c r="AG323" s="18">
        <f>IF($A323&gt;'1-Input'!$B$26,AI322,(AI322-AE323)*(1+'5-Roberta'!$C$4))</f>
        <v>39400.548577943351</v>
      </c>
      <c r="AH323" s="18">
        <f>IF($A323&gt;'1-Input'!$B$26,AF323,AF323-'P-Parametri'!$B$8*(AG323+AF323)+MIN(MAX(AG323,0),'P-Parametri'!$B$8*(AG323+AF323)))</f>
        <v>36764.386690049425</v>
      </c>
      <c r="AI323" s="18">
        <f>IF($A323&gt;'1-Input'!$B$26,AG323,AG323-MIN(MAX(AG323,0),'P-Parametri'!$B$8*(AG323+AF323)))</f>
        <v>39248.218707407366</v>
      </c>
      <c r="AJ323" s="18">
        <f>IF($A323&gt;'1-Input'!$B$26,AJ322,AJ322-AE323*(1-AD323))</f>
        <v>11961.312437035989</v>
      </c>
      <c r="AK323" s="11">
        <f>IF($A323&gt;'1-Input'!$B$26,0,IF(AP322&lt;=0,0,MAX(0,(AP322-AQ322)/AP322)))</f>
        <v>0.68731027228116692</v>
      </c>
      <c r="AL323" s="18">
        <f>IF($A323&gt;'1-Input'!$B$26,0,(MAX(0,AK286-IF($A323&gt;='1-Input'!$C$12,'1-Input'!$B$12,0))-MIN(MAX(AO322,0),MAX(0,AK286-IF($A323&gt;='1-Input'!$C$12,'1-Input'!$B$12,0))))*(1/(1-'P-Parametri'!$B$6*AK323))+MIN(MAX(0,AP322-(MAX(0,AK286-IF($A323&gt;='1-Input'!$C$12,'1-Input'!$B$12,0))-MIN(MAX(AO322,0),MAX(0,AK286-IF($A323&gt;='1-Input'!$C$12,'1-Input'!$B$12,0))))*(1/(1-'P-Parametri'!$B$6*AK323))),MAX(0,2*AK286-(AO322-MIN(MAX(AO322,0),MAX(0,AK286-IF($A323&gt;='1-Input'!$C$12,'1-Input'!$B$12,0)))))*(1/(1-'P-Parametri'!$B$6*AK323))))</f>
        <v>8443.8276424317246</v>
      </c>
      <c r="AM323" s="18">
        <f>IF($A323&gt;'1-Input'!$B$26,AO322,(AO322-MAX(0,AK286-IF($A323&gt;='1-Input'!$C$12,'1-Input'!$B$12,0))+AL323*(1-'P-Parametri'!$B$6*AK323))*(1+ROUND('3-Liquidita'!$F$7,4)))</f>
        <v>36764.315397069942</v>
      </c>
      <c r="AN323" s="18">
        <f>IF($A323&gt;'1-Input'!$B$26,AP322,(AP322-AL323)*(1+'5-Roberta'!$C$4))</f>
        <v>39403.11523134046</v>
      </c>
      <c r="AO323" s="18">
        <f>IF($A323&gt;'1-Input'!$B$26,AM323,AM323-'P-Parametri'!$B$8*(AN323+AM323)+MIN(MAX(AN323,0),'P-Parametri'!$B$8*(AN323+AM323)))</f>
        <v>36764.315397069942</v>
      </c>
      <c r="AP323" s="18">
        <f>IF($A323&gt;'1-Input'!$B$26,AN323,AN323-MIN(MAX(AN323,0),'P-Parametri'!$B$8*(AN323+AM323)))</f>
        <v>39250.780370083638</v>
      </c>
      <c r="AQ323" s="18">
        <f>IF($A323&gt;'1-Input'!$B$26,AQ322,AQ322-AL323*(1-AK323))</f>
        <v>11962.086769865678</v>
      </c>
    </row>
    <row r="324" spans="1:43">
      <c r="A324" s="10">
        <f>36</f>
        <v>36</v>
      </c>
      <c r="B324" s="11">
        <f>IF($A324&gt;'1-Input'!$B$26,0,IF(G323&lt;=0,0,MAX(0,(G323-H323)/G323)))</f>
        <v>0.69816718254084231</v>
      </c>
      <c r="C324" s="18">
        <f>IF($A324&gt;'1-Input'!$B$26,0,(MAX(0,B286-IF($A324&gt;='1-Input'!$C$12,'1-Input'!$B$12,0))-MIN(MAX(F323,0),MAX(0,B286-IF($A324&gt;='1-Input'!$C$12,'1-Input'!$B$12,0))))*(1/(1-'P-Parametri'!$B$6*B324))+MIN(MAX(0,G323-(MAX(0,B286-IF($A324&gt;='1-Input'!$C$12,'1-Input'!$B$12,0))-MIN(MAX(F323,0),MAX(0,B286-IF($A324&gt;='1-Input'!$C$12,'1-Input'!$B$12,0))))*(1/(1-'P-Parametri'!$B$6*B324))),MAX(0,2*B286-(F323-MIN(MAX(F323,0),MAX(0,B286-IF($A324&gt;='1-Input'!$C$12,'1-Input'!$B$12,0)))))*(1/(1-'P-Parametri'!$B$6*B324))))</f>
        <v>6559.5943245974422</v>
      </c>
      <c r="D324" s="18">
        <f>IF($A324&gt;'1-Input'!$B$26,F323,(F323-MAX(0,B286-IF($A324&gt;='1-Input'!$C$12,'1-Input'!$B$12,0))+C324*(1-'P-Parametri'!$B$6*B324))*(1+ROUND('3-Liquidita'!$F$7,4)))</f>
        <v>33572.29192621589</v>
      </c>
      <c r="E324" s="18">
        <f>IF($A324&gt;'1-Input'!$B$26,G323,(G323-C324)*(1+'5-Roberta'!$C$4))</f>
        <v>151870.27176137056</v>
      </c>
      <c r="F324" s="18">
        <f>IF($A324&gt;'1-Input'!$B$26,D324,D324-'P-Parametri'!$B$8*(E324+D324)+MIN(MAX(E324,0),'P-Parametri'!$B$8*(E324+D324)))</f>
        <v>33572.29192621589</v>
      </c>
      <c r="G324" s="18">
        <f>IF($A324&gt;'1-Input'!$B$26,E324,E324-MIN(MAX(E324,0),'P-Parametri'!$B$8*(E324+D324)))</f>
        <v>151499.3866339954</v>
      </c>
      <c r="H324" s="18">
        <f>IF($A324&gt;'1-Input'!$B$26,H323,H323-C324*(1-B324))</f>
        <v>44504.302926235374</v>
      </c>
      <c r="I324" s="11">
        <f>IF($A324&gt;'1-Input'!$B$26,0,IF(N323&lt;=0,0,MAX(0,(N323-O323)/N323)))</f>
        <v>0</v>
      </c>
      <c r="J324" s="18">
        <f>IF($A324&gt;'1-Input'!$B$26,0,(MAX(0,I286-IF($A324&gt;='1-Input'!$C$12,'1-Input'!$B$12,0))-MIN(MAX(M323,0),MAX(0,I286-IF($A324&gt;='1-Input'!$C$12,'1-Input'!$B$12,0))))*(1/(1-'P-Parametri'!$B$6*I324))+MIN(MAX(0,N323-(MAX(0,I286-IF($A324&gt;='1-Input'!$C$12,'1-Input'!$B$12,0))-MIN(MAX(M323,0),MAX(0,I286-IF($A324&gt;='1-Input'!$C$12,'1-Input'!$B$12,0))))*(1/(1-'P-Parametri'!$B$6*I324))),MAX(0,2*I286-(M323-MIN(MAX(M323,0),MAX(0,I286-IF($A324&gt;='1-Input'!$C$12,'1-Input'!$B$12,0)))))*(1/(1-'P-Parametri'!$B$6*I324))))</f>
        <v>10846.756992928691</v>
      </c>
      <c r="K324" s="18">
        <f>IF($A324&gt;'1-Input'!$B$26,M323,(M323-MAX(0,I286-IF($A324&gt;='1-Input'!$C$12,'1-Input'!$B$12,0))+J324*(1-'P-Parametri'!$B$6*I324))*(1+ROUND('3-Liquidita'!$F$7,4)))</f>
        <v>0</v>
      </c>
      <c r="L324" s="18">
        <f>IF($A324&gt;'1-Input'!$B$26,N323,(N323-J324)*(1+'5-Roberta'!$C$4))</f>
        <v>-145995.40432933203</v>
      </c>
      <c r="M324" s="18">
        <f>IF($A324&gt;'1-Input'!$B$26,K324,K324-'P-Parametri'!$B$8*(L324+K324)+MIN(MAX(L324,0),'P-Parametri'!$B$8*(L324+K324)))</f>
        <v>0</v>
      </c>
      <c r="N324" s="18">
        <f>IF($A324&gt;'1-Input'!$B$26,L324,L324-MIN(MAX(L324,0),'P-Parametri'!$B$8*(L324+K324)))</f>
        <v>-145703.41352067338</v>
      </c>
      <c r="O324" s="18">
        <f>IF($A324&gt;'1-Input'!$B$26,O323,O323-J324*(1-I324))</f>
        <v>-122476.78390799084</v>
      </c>
      <c r="P324" s="11">
        <f>IF($A324&gt;'1-Input'!$B$26,0,IF(U323&lt;=0,0,MAX(0,(U323-V323)/U323)))</f>
        <v>0.69370577906734732</v>
      </c>
      <c r="Q324" s="18">
        <f>IF($A324&gt;'1-Input'!$B$26,0,(MAX(0,P286-IF($A324&gt;='1-Input'!$C$12,'1-Input'!$B$12,0))-MIN(MAX(T323,0),MAX(0,P286-IF($A324&gt;='1-Input'!$C$12,'1-Input'!$B$12,0))))*(1/(1-'P-Parametri'!$B$6*P324))+MIN(MAX(0,U323-(MAX(0,P286-IF($A324&gt;='1-Input'!$C$12,'1-Input'!$B$12,0))-MIN(MAX(T323,0),MAX(0,P286-IF($A324&gt;='1-Input'!$C$12,'1-Input'!$B$12,0))))*(1/(1-'P-Parametri'!$B$6*P324))),MAX(0,2*P286-(T323-MIN(MAX(T323,0),MAX(0,P286-IF($A324&gt;='1-Input'!$C$12,'1-Input'!$B$12,0)))))*(1/(1-'P-Parametri'!$B$6*P324))))</f>
        <v>8746.9575081820276</v>
      </c>
      <c r="R324" s="18">
        <f>IF($A324&gt;'1-Input'!$B$26,T323,(T323-MAX(0,P286-IF($A324&gt;='1-Input'!$C$12,'1-Input'!$B$12,0))+Q324*(1-'P-Parametri'!$B$6*P324))*(1+ROUND('3-Liquidita'!$F$7,4)))</f>
        <v>37242.120653556602</v>
      </c>
      <c r="S324" s="18">
        <f>IF($A324&gt;'1-Input'!$B$26,U323,(U323-Q324)*(1+'5-Roberta'!$C$4))</f>
        <v>13738.845264525689</v>
      </c>
      <c r="T324" s="18">
        <f>IF($A324&gt;'1-Input'!$B$26,R324,R324-'P-Parametri'!$B$8*(S324+R324)+MIN(MAX(S324,0),'P-Parametri'!$B$8*(S324+R324)))</f>
        <v>37242.120653556602</v>
      </c>
      <c r="U324" s="18">
        <f>IF($A324&gt;'1-Input'!$B$26,S324,S324-MIN(MAX(S324,0),'P-Parametri'!$B$8*(S324+R324)))</f>
        <v>13636.883332689526</v>
      </c>
      <c r="V324" s="18">
        <f>IF($A324&gt;'1-Input'!$B$26,V323,V323-Q324*(1-P324))</f>
        <v>4085.5620454486984</v>
      </c>
      <c r="W324" s="11">
        <f>IF($A324&gt;'1-Input'!$B$26,0,IF(AB323&lt;=0,0,MAX(0,(AB323-AC323)/AB323)))</f>
        <v>0.69518554969383561</v>
      </c>
      <c r="X324" s="18">
        <f>IF($A324&gt;'1-Input'!$B$26,0,(MAX(0,W286-IF($A324&gt;='1-Input'!$C$12,'1-Input'!$B$12,0))-MIN(MAX(AA323,0),MAX(0,W286-IF($A324&gt;='1-Input'!$C$12,'1-Input'!$B$12,0))))*(1/(1-'P-Parametri'!$B$6*W324))+MIN(MAX(0,AB323-(MAX(0,W286-IF($A324&gt;='1-Input'!$C$12,'1-Input'!$B$12,0))-MIN(MAX(AA323,0),MAX(0,W286-IF($A324&gt;='1-Input'!$C$12,'1-Input'!$B$12,0))))*(1/(1-'P-Parametri'!$B$6*W324))),MAX(0,2*W286-(AA323-MIN(MAX(AA323,0),MAX(0,W286-IF($A324&gt;='1-Input'!$C$12,'1-Input'!$B$12,0)))))*(1/(1-'P-Parametri'!$B$6*W324))))</f>
        <v>8478.9610784627712</v>
      </c>
      <c r="Y324" s="18">
        <f>IF($A324&gt;'1-Input'!$B$26,AA323,(AA323-MAX(0,W286-IF($A324&gt;='1-Input'!$C$12,'1-Input'!$B$12,0))+X324*(1-'P-Parametri'!$B$6*W324))*(1+ROUND('3-Liquidita'!$F$7,4)))</f>
        <v>36787.742972329659</v>
      </c>
      <c r="Z324" s="18">
        <f>IF($A324&gt;'1-Input'!$B$26,AB323,(AB323-X324)*(1+'5-Roberta'!$C$4))</f>
        <v>30827.939072248155</v>
      </c>
      <c r="AA324" s="18">
        <f>IF($A324&gt;'1-Input'!$B$26,Y324,Y324-'P-Parametri'!$B$8*(Z324+Y324)+MIN(MAX(Z324,0),'P-Parametri'!$B$8*(Z324+Y324)))</f>
        <v>36787.742972329659</v>
      </c>
      <c r="AB324" s="18">
        <f>IF($A324&gt;'1-Input'!$B$26,Z324,Z324-MIN(MAX(Z324,0),'P-Parametri'!$B$8*(Z324+Y324)))</f>
        <v>30692.707708159</v>
      </c>
      <c r="AC324" s="18">
        <f>IF($A324&gt;'1-Input'!$B$26,AC323,AC323-X324*(1-W324))</f>
        <v>9123.1080605623774</v>
      </c>
      <c r="AD324" s="11">
        <f>IF($A324&gt;'1-Input'!$B$26,0,IF(AI323&lt;=0,0,MAX(0,(AI323-AJ323)/AI323)))</f>
        <v>0.69523935528879144</v>
      </c>
      <c r="AE324" s="18">
        <f>IF($A324&gt;'1-Input'!$B$26,0,(MAX(0,AD286-IF($A324&gt;='1-Input'!$C$12,'1-Input'!$B$12,0))-MIN(MAX(AH323,0),MAX(0,AD286-IF($A324&gt;='1-Input'!$C$12,'1-Input'!$B$12,0))))*(1/(1-'P-Parametri'!$B$6*AD324))+MIN(MAX(0,AI323-(MAX(0,AD286-IF($A324&gt;='1-Input'!$C$12,'1-Input'!$B$12,0))-MIN(MAX(AH323,0),MAX(0,AD286-IF($A324&gt;='1-Input'!$C$12,'1-Input'!$B$12,0))))*(1/(1-'P-Parametri'!$B$6*AD324))),MAX(0,2*AD286-(AH323-MIN(MAX(AH323,0),MAX(0,AD286-IF($A324&gt;='1-Input'!$C$12,'1-Input'!$B$12,0)))))*(1/(1-'P-Parametri'!$B$6*AD324))))</f>
        <v>8465.1187112163389</v>
      </c>
      <c r="AF324" s="18">
        <f>IF($A324&gt;'1-Input'!$B$26,AH323,(AH323-MAX(0,AD286-IF($A324&gt;='1-Input'!$C$12,'1-Input'!$B$12,0))+AE324*(1-'P-Parametri'!$B$6*AD324))*(1+ROUND('3-Liquidita'!$F$7,4)))</f>
        <v>36764.386690049425</v>
      </c>
      <c r="AG324" s="18">
        <f>IF($A324&gt;'1-Input'!$B$26,AI323,(AI323-AE324)*(1+'5-Roberta'!$C$4))</f>
        <v>31706.592996076761</v>
      </c>
      <c r="AH324" s="18">
        <f>IF($A324&gt;'1-Input'!$B$26,AF324,AF324-'P-Parametri'!$B$8*(AG324+AF324)+MIN(MAX(AG324,0),'P-Parametri'!$B$8*(AG324+AF324)))</f>
        <v>36764.386690049425</v>
      </c>
      <c r="AI324" s="18">
        <f>IF($A324&gt;'1-Input'!$B$26,AG324,AG324-MIN(MAX(AG324,0),'P-Parametri'!$B$8*(AG324+AF324)))</f>
        <v>31569.651036704508</v>
      </c>
      <c r="AJ324" s="18">
        <f>IF($A324&gt;'1-Input'!$B$26,AJ323,AJ323-AE324*(1-AD324))</f>
        <v>9381.4774010487818</v>
      </c>
      <c r="AK324" s="11">
        <f>IF($A324&gt;'1-Input'!$B$26,0,IF(AP323&lt;=0,0,MAX(0,(AP323-AQ323)/AP323)))</f>
        <v>0.69523951735280642</v>
      </c>
      <c r="AL324" s="18">
        <f>IF($A324&gt;'1-Input'!$B$26,0,(MAX(0,AK286-IF($A324&gt;='1-Input'!$C$12,'1-Input'!$B$12,0))-MIN(MAX(AO323,0),MAX(0,AK286-IF($A324&gt;='1-Input'!$C$12,'1-Input'!$B$12,0))))*(1/(1-'P-Parametri'!$B$6*AK324))+MIN(MAX(0,AP323-(MAX(0,AK286-IF($A324&gt;='1-Input'!$C$12,'1-Input'!$B$12,0))-MIN(MAX(AO323,0),MAX(0,AK286-IF($A324&gt;='1-Input'!$C$12,'1-Input'!$B$12,0))))*(1/(1-'P-Parametri'!$B$6*AK324))),MAX(0,2*AK286-(AO323-MIN(MAX(AO323,0),MAX(0,AK286-IF($A324&gt;='1-Input'!$C$12,'1-Input'!$B$12,0)))))*(1/(1-'P-Parametri'!$B$6*AK324))))</f>
        <v>8465.0764520574066</v>
      </c>
      <c r="AM324" s="18">
        <f>IF($A324&gt;'1-Input'!$B$26,AO323,(AO323-MAX(0,AK286-IF($A324&gt;='1-Input'!$C$12,'1-Input'!$B$12,0))+AL324*(1-'P-Parametri'!$B$6*AK324))*(1+ROUND('3-Liquidita'!$F$7,4)))</f>
        <v>36764.315397069942</v>
      </c>
      <c r="AN324" s="18">
        <f>IF($A324&gt;'1-Input'!$B$26,AP323,(AP323-AL324)*(1+'5-Roberta'!$C$4))</f>
        <v>31709.275035567018</v>
      </c>
      <c r="AO324" s="18">
        <f>IF($A324&gt;'1-Input'!$B$26,AM324,AM324-'P-Parametri'!$B$8*(AN324+AM324)+MIN(MAX(AN324,0),'P-Parametri'!$B$8*(AN324+AM324)))</f>
        <v>36764.315397069942</v>
      </c>
      <c r="AP324" s="18">
        <f>IF($A324&gt;'1-Input'!$B$26,AN324,AN324-MIN(MAX(AN324,0),'P-Parametri'!$B$8*(AN324+AM324)))</f>
        <v>31572.327854701743</v>
      </c>
      <c r="AQ324" s="18">
        <f>IF($A324&gt;'1-Input'!$B$26,AQ323,AQ323-AL324*(1-AK324))</f>
        <v>9382.2659846912702</v>
      </c>
    </row>
    <row r="325" spans="1:43">
      <c r="A325" s="10">
        <f>37</f>
        <v>37</v>
      </c>
      <c r="B325" s="11">
        <f>IF($A325&gt;'1-Input'!$B$26,0,IF(G324&lt;=0,0,MAX(0,(G324-H324)/G324)))</f>
        <v>0.70624103559077434</v>
      </c>
      <c r="C325" s="18">
        <f>IF($A325&gt;'1-Input'!$B$26,0,(MAX(0,B286-IF($A325&gt;='1-Input'!$C$12,'1-Input'!$B$12,0))-MIN(MAX(F324,0),MAX(0,B286-IF($A325&gt;='1-Input'!$C$12,'1-Input'!$B$12,0))))*(1/(1-'P-Parametri'!$B$6*B325))+MIN(MAX(0,G324-(MAX(0,B286-IF($A325&gt;='1-Input'!$C$12,'1-Input'!$B$12,0))-MIN(MAX(F324,0),MAX(0,B286-IF($A325&gt;='1-Input'!$C$12,'1-Input'!$B$12,0))))*(1/(1-'P-Parametri'!$B$6*B325))),MAX(0,2*B286-(F324-MIN(MAX(F324,0),MAX(0,B286-IF($A325&gt;='1-Input'!$C$12,'1-Input'!$B$12,0)))))*(1/(1-'P-Parametri'!$B$6*B325))))</f>
        <v>6576.4614173605923</v>
      </c>
      <c r="D325" s="18">
        <f>IF($A325&gt;'1-Input'!$B$26,F324,(F324-MAX(0,B286-IF($A325&gt;='1-Input'!$C$12,'1-Input'!$B$12,0))+C325*(1-'P-Parametri'!$B$6*B325))*(1+ROUND('3-Liquidita'!$F$7,4)))</f>
        <v>33572.29192621589</v>
      </c>
      <c r="E325" s="18">
        <f>IF($A325&gt;'1-Input'!$B$26,G324,(G324-C325)*(1+'5-Roberta'!$C$4))</f>
        <v>149270.61297313386</v>
      </c>
      <c r="F325" s="18">
        <f>IF($A325&gt;'1-Input'!$B$26,D325,D325-'P-Parametri'!$B$8*(E325+D325)+MIN(MAX(E325,0),'P-Parametri'!$B$8*(E325+D325)))</f>
        <v>33572.29192621589</v>
      </c>
      <c r="G325" s="18">
        <f>IF($A325&gt;'1-Input'!$B$26,E325,E325-MIN(MAX(E325,0),'P-Parametri'!$B$8*(E325+D325)))</f>
        <v>148904.92716333515</v>
      </c>
      <c r="H325" s="18">
        <f>IF($A325&gt;'1-Input'!$B$26,H324,H324-C325*(1-B325))</f>
        <v>42572.408430794298</v>
      </c>
      <c r="I325" s="11">
        <f>IF($A325&gt;'1-Input'!$B$26,0,IF(N324&lt;=0,0,MAX(0,(N324-O324)/N324)))</f>
        <v>0</v>
      </c>
      <c r="J325" s="18">
        <f>IF($A325&gt;'1-Input'!$B$26,0,(MAX(0,I286-IF($A325&gt;='1-Input'!$C$12,'1-Input'!$B$12,0))-MIN(MAX(M324,0),MAX(0,I286-IF($A325&gt;='1-Input'!$C$12,'1-Input'!$B$12,0))))*(1/(1-'P-Parametri'!$B$6*I325))+MIN(MAX(0,N324-(MAX(0,I286-IF($A325&gt;='1-Input'!$C$12,'1-Input'!$B$12,0))-MIN(MAX(M324,0),MAX(0,I286-IF($A325&gt;='1-Input'!$C$12,'1-Input'!$B$12,0))))*(1/(1-'P-Parametri'!$B$6*I325))),MAX(0,2*I286-(M324-MIN(MAX(M324,0),MAX(0,I286-IF($A325&gt;='1-Input'!$C$12,'1-Input'!$B$12,0)))))*(1/(1-'P-Parametri'!$B$6*I325))))</f>
        <v>10846.756992928691</v>
      </c>
      <c r="K325" s="18">
        <f>IF($A325&gt;'1-Input'!$B$26,M324,(M324-MAX(0,I286-IF($A325&gt;='1-Input'!$C$12,'1-Input'!$B$12,0))+J325*(1-'P-Parametri'!$B$6*I325))*(1+ROUND('3-Liquidita'!$F$7,4)))</f>
        <v>0</v>
      </c>
      <c r="L325" s="18">
        <f>IF($A325&gt;'1-Input'!$B$26,N324,(N324-J325)*(1+'5-Roberta'!$C$4))</f>
        <v>-161246.67562901013</v>
      </c>
      <c r="M325" s="18">
        <f>IF($A325&gt;'1-Input'!$B$26,K325,K325-'P-Parametri'!$B$8*(L325+K325)+MIN(MAX(L325,0),'P-Parametri'!$B$8*(L325+K325)))</f>
        <v>0</v>
      </c>
      <c r="N325" s="18">
        <f>IF($A325&gt;'1-Input'!$B$26,L325,L325-MIN(MAX(L325,0),'P-Parametri'!$B$8*(L325+K325)))</f>
        <v>-160924.18227775212</v>
      </c>
      <c r="O325" s="18">
        <f>IF($A325&gt;'1-Input'!$B$26,O324,O324-J325*(1-I325))</f>
        <v>-133323.54090091953</v>
      </c>
      <c r="P325" s="11">
        <f>IF($A325&gt;'1-Input'!$B$26,0,IF(U324&lt;=0,0,MAX(0,(U324-V324)/U324)))</f>
        <v>0.70040353460713189</v>
      </c>
      <c r="Q325" s="18">
        <f>IF($A325&gt;'1-Input'!$B$26,0,(MAX(0,P286-IF($A325&gt;='1-Input'!$C$12,'1-Input'!$B$12,0))-MIN(MAX(T324,0),MAX(0,P286-IF($A325&gt;='1-Input'!$C$12,'1-Input'!$B$12,0))))*(1/(1-'P-Parametri'!$B$6*P325))+MIN(MAX(0,U324-(MAX(0,P286-IF($A325&gt;='1-Input'!$C$12,'1-Input'!$B$12,0))-MIN(MAX(T324,0),MAX(0,P286-IF($A325&gt;='1-Input'!$C$12,'1-Input'!$B$12,0))))*(1/(1-'P-Parametri'!$B$6*P325))),MAX(0,2*P286-(T324-MIN(MAX(T324,0),MAX(0,P286-IF($A325&gt;='1-Input'!$C$12,'1-Input'!$B$12,0)))))*(1/(1-'P-Parametri'!$B$6*P325))))</f>
        <v>8765.5810406638157</v>
      </c>
      <c r="R325" s="18">
        <f>IF($A325&gt;'1-Input'!$B$26,T324,(T324-MAX(0,P286-IF($A325&gt;='1-Input'!$C$12,'1-Input'!$B$12,0))+Q325*(1-'P-Parametri'!$B$6*P325))*(1+ROUND('3-Liquidita'!$F$7,4)))</f>
        <v>37242.120653556602</v>
      </c>
      <c r="S325" s="18">
        <f>IF($A325&gt;'1-Input'!$B$26,U324,(U324-Q325)*(1+'5-Roberta'!$C$4))</f>
        <v>5017.4413607864817</v>
      </c>
      <c r="T325" s="18">
        <f>IF($A325&gt;'1-Input'!$B$26,R325,R325-'P-Parametri'!$B$8*(S325+R325)+MIN(MAX(S325,0),'P-Parametri'!$B$8*(S325+R325)))</f>
        <v>37242.120653556602</v>
      </c>
      <c r="U325" s="18">
        <f>IF($A325&gt;'1-Input'!$B$26,S325,S325-MIN(MAX(S325,0),'P-Parametri'!$B$8*(S325+R325)))</f>
        <v>4932.9222367577959</v>
      </c>
      <c r="V325" s="18">
        <f>IF($A325&gt;'1-Input'!$B$26,V324,V324-Q325*(1-P325))</f>
        <v>1459.4249485510809</v>
      </c>
      <c r="W325" s="11">
        <f>IF($A325&gt;'1-Input'!$B$26,0,IF(AB324&lt;=0,0,MAX(0,(AB324-AC324)/AB324)))</f>
        <v>0.70275975168729765</v>
      </c>
      <c r="X325" s="18">
        <f>IF($A325&gt;'1-Input'!$B$26,0,(MAX(0,W286-IF($A325&gt;='1-Input'!$C$12,'1-Input'!$B$12,0))-MIN(MAX(AA324,0),MAX(0,W286-IF($A325&gt;='1-Input'!$C$12,'1-Input'!$B$12,0))))*(1/(1-'P-Parametri'!$B$6*W325))+MIN(MAX(0,AB324-(MAX(0,W286-IF($A325&gt;='1-Input'!$C$12,'1-Input'!$B$12,0))-MIN(MAX(AA324,0),MAX(0,W286-IF($A325&gt;='1-Input'!$C$12,'1-Input'!$B$12,0))))*(1/(1-'P-Parametri'!$B$6*W325))),MAX(0,2*W286-(AA324-MIN(MAX(AA324,0),MAX(0,W286-IF($A325&gt;='1-Input'!$C$12,'1-Input'!$B$12,0)))))*(1/(1-'P-Parametri'!$B$6*W325))))</f>
        <v>8499.3916582669481</v>
      </c>
      <c r="Y325" s="18">
        <f>IF($A325&gt;'1-Input'!$B$26,AA324,(AA324-MAX(0,W286-IF($A325&gt;='1-Input'!$C$12,'1-Input'!$B$12,0))+X325*(1-'P-Parametri'!$B$6*W325))*(1+ROUND('3-Liquidita'!$F$7,4)))</f>
        <v>36787.742972329659</v>
      </c>
      <c r="Z325" s="18">
        <f>IF($A325&gt;'1-Input'!$B$26,AB324,(AB324-X325)*(1+'5-Roberta'!$C$4))</f>
        <v>22859.115531388812</v>
      </c>
      <c r="AA325" s="18">
        <f>IF($A325&gt;'1-Input'!$B$26,Y325,Y325-'P-Parametri'!$B$8*(Z325+Y325)+MIN(MAX(Z325,0),'P-Parametri'!$B$8*(Z325+Y325)))</f>
        <v>36787.742972329659</v>
      </c>
      <c r="AB325" s="18">
        <f>IF($A325&gt;'1-Input'!$B$26,Z325,Z325-MIN(MAX(Z325,0),'P-Parametri'!$B$8*(Z325+Y325)))</f>
        <v>22739.821814381376</v>
      </c>
      <c r="AC325" s="18">
        <f>IF($A325&gt;'1-Input'!$B$26,AC324,AC324-X325*(1-W325))</f>
        <v>6596.7467735521986</v>
      </c>
      <c r="AD325" s="11">
        <f>IF($A325&gt;'1-Input'!$B$26,0,IF(AI324&lt;=0,0,MAX(0,(AI324-AJ324)/AI324)))</f>
        <v>0.70283240096187982</v>
      </c>
      <c r="AE325" s="18">
        <f>IF($A325&gt;'1-Input'!$B$26,0,(MAX(0,AD286-IF($A325&gt;='1-Input'!$C$12,'1-Input'!$B$12,0))-MIN(MAX(AH324,0),MAX(0,AD286-IF($A325&gt;='1-Input'!$C$12,'1-Input'!$B$12,0))))*(1/(1-'P-Parametri'!$B$6*AD325))+MIN(MAX(0,AI324-(MAX(0,AD286-IF($A325&gt;='1-Input'!$C$12,'1-Input'!$B$12,0))-MIN(MAX(AH324,0),MAX(0,AD286-IF($A325&gt;='1-Input'!$C$12,'1-Input'!$B$12,0))))*(1/(1-'P-Parametri'!$B$6*AD325))),MAX(0,2*AD286-(AH324-MIN(MAX(AH324,0),MAX(0,AD286-IF($A325&gt;='1-Input'!$C$12,'1-Input'!$B$12,0)))))*(1/(1-'P-Parametri'!$B$6*AD325))))</f>
        <v>8485.5671553615266</v>
      </c>
      <c r="AF325" s="18">
        <f>IF($A325&gt;'1-Input'!$B$26,AH324,(AH324-MAX(0,AD286-IF($A325&gt;='1-Input'!$C$12,'1-Input'!$B$12,0))+AE325*(1-'P-Parametri'!$B$6*AD325))*(1+ROUND('3-Liquidita'!$F$7,4)))</f>
        <v>36764.386690049425</v>
      </c>
      <c r="AG325" s="18">
        <f>IF($A325&gt;'1-Input'!$B$26,AI324,(AI324-AE325)*(1+'5-Roberta'!$C$4))</f>
        <v>23776.606397783271</v>
      </c>
      <c r="AH325" s="18">
        <f>IF($A325&gt;'1-Input'!$B$26,AF325,AF325-'P-Parametri'!$B$8*(AG325+AF325)+MIN(MAX(AG325,0),'P-Parametri'!$B$8*(AG325+AF325)))</f>
        <v>36764.386690049425</v>
      </c>
      <c r="AI325" s="18">
        <f>IF($A325&gt;'1-Input'!$B$26,AG325,AG325-MIN(MAX(AG325,0),'P-Parametri'!$B$8*(AG325+AF325)))</f>
        <v>23655.524411607606</v>
      </c>
      <c r="AJ325" s="18">
        <f>IF($A325&gt;'1-Input'!$B$26,AJ324,AJ324-AE325*(1-AD325))</f>
        <v>6859.8417830132657</v>
      </c>
      <c r="AK325" s="11">
        <f>IF($A325&gt;'1-Input'!$B$26,0,IF(AP324&lt;=0,0,MAX(0,(AP324-AQ324)/AP324)))</f>
        <v>0.70283261887216009</v>
      </c>
      <c r="AL325" s="18">
        <f>IF($A325&gt;'1-Input'!$B$26,0,(MAX(0,AK286-IF($A325&gt;='1-Input'!$C$12,'1-Input'!$B$12,0))-MIN(MAX(AO324,0),MAX(0,AK286-IF($A325&gt;='1-Input'!$C$12,'1-Input'!$B$12,0))))*(1/(1-'P-Parametri'!$B$6*AK325))+MIN(MAX(0,AP324-(MAX(0,AK286-IF($A325&gt;='1-Input'!$C$12,'1-Input'!$B$12,0))-MIN(MAX(AO324,0),MAX(0,AK286-IF($A325&gt;='1-Input'!$C$12,'1-Input'!$B$12,0))))*(1/(1-'P-Parametri'!$B$6*AK325))),MAX(0,2*AK286-(AO324-MIN(MAX(AO324,0),MAX(0,AK286-IF($A325&gt;='1-Input'!$C$12,'1-Input'!$B$12,0)))))*(1/(1-'P-Parametri'!$B$6*AK325))))</f>
        <v>8485.5249459344213</v>
      </c>
      <c r="AM325" s="18">
        <f>IF($A325&gt;'1-Input'!$B$26,AO324,(AO324-MAX(0,AK286-IF($A325&gt;='1-Input'!$C$12,'1-Input'!$B$12,0))+AL325*(1-'P-Parametri'!$B$6*AK325))*(1+ROUND('3-Liquidita'!$F$7,4)))</f>
        <v>36764.315397069942</v>
      </c>
      <c r="AN325" s="18">
        <f>IF($A325&gt;'1-Input'!$B$26,AP324,(AP324-AL325)*(1+'5-Roberta'!$C$4))</f>
        <v>23779.406996030342</v>
      </c>
      <c r="AO325" s="18">
        <f>IF($A325&gt;'1-Input'!$B$26,AM325,AM325-'P-Parametri'!$B$8*(AN325+AM325)+MIN(MAX(AN325,0),'P-Parametri'!$B$8*(AN325+AM325)))</f>
        <v>36764.315397069942</v>
      </c>
      <c r="AP325" s="18">
        <f>IF($A325&gt;'1-Input'!$B$26,AN325,AN325-MIN(MAX(AN325,0),'P-Parametri'!$B$8*(AN325+AM325)))</f>
        <v>23658.319551244142</v>
      </c>
      <c r="AQ325" s="18">
        <f>IF($A325&gt;'1-Input'!$B$26,AQ324,AQ324-AL325*(1-AK325))</f>
        <v>6860.6447590129828</v>
      </c>
    </row>
    <row r="326" spans="1:43">
      <c r="A326" s="10">
        <f>38</f>
        <v>38</v>
      </c>
      <c r="B326" s="11">
        <f>IF($A326&gt;'1-Input'!$B$26,0,IF(G325&lt;=0,0,MAX(0,(G325-H325)/G325)))</f>
        <v>0.71409671095640614</v>
      </c>
      <c r="C326" s="18">
        <f>IF($A326&gt;'1-Input'!$B$26,0,(MAX(0,B286-IF($A326&gt;='1-Input'!$C$12,'1-Input'!$B$12,0))-MIN(MAX(F325,0),MAX(0,B286-IF($A326&gt;='1-Input'!$C$12,'1-Input'!$B$12,0))))*(1/(1-'P-Parametri'!$B$6*B326))+MIN(MAX(0,G325-(MAX(0,B286-IF($A326&gt;='1-Input'!$C$12,'1-Input'!$B$12,0))-MIN(MAX(F325,0),MAX(0,B286-IF($A326&gt;='1-Input'!$C$12,'1-Input'!$B$12,0))))*(1/(1-'P-Parametri'!$B$6*B326))),MAX(0,2*B286-(F325-MIN(MAX(F325,0),MAX(0,B286-IF($A326&gt;='1-Input'!$C$12,'1-Input'!$B$12,0)))))*(1/(1-'P-Parametri'!$B$6*B326))))</f>
        <v>6592.9561822129999</v>
      </c>
      <c r="D326" s="18">
        <f>IF($A326&gt;'1-Input'!$B$26,F325,(F325-MAX(0,B286-IF($A326&gt;='1-Input'!$C$12,'1-Input'!$B$12,0))+C326*(1-'P-Parametri'!$B$6*B326))*(1+ROUND('3-Liquidita'!$F$7,4)))</f>
        <v>33572.29192621589</v>
      </c>
      <c r="E326" s="18">
        <f>IF($A326&gt;'1-Input'!$B$26,G325,(G325-C326)*(1+'5-Roberta'!$C$4))</f>
        <v>146581.33011055581</v>
      </c>
      <c r="F326" s="18">
        <f>IF($A326&gt;'1-Input'!$B$26,D326,D326-'P-Parametri'!$B$8*(E326+D326)+MIN(MAX(E326,0),'P-Parametri'!$B$8*(E326+D326)))</f>
        <v>33572.29192621589</v>
      </c>
      <c r="G326" s="18">
        <f>IF($A326&gt;'1-Input'!$B$26,E326,E326-MIN(MAX(E326,0),'P-Parametri'!$B$8*(E326+D326)))</f>
        <v>146221.02286648226</v>
      </c>
      <c r="H326" s="18">
        <f>IF($A326&gt;'1-Input'!$B$26,H325,H325-C326*(1-B326))</f>
        <v>40687.460573779303</v>
      </c>
      <c r="I326" s="11">
        <f>IF($A326&gt;'1-Input'!$B$26,0,IF(N325&lt;=0,0,MAX(0,(N325-O325)/N325)))</f>
        <v>0</v>
      </c>
      <c r="J326" s="18">
        <f>IF($A326&gt;'1-Input'!$B$26,0,(MAX(0,I286-IF($A326&gt;='1-Input'!$C$12,'1-Input'!$B$12,0))-MIN(MAX(M325,0),MAX(0,I286-IF($A326&gt;='1-Input'!$C$12,'1-Input'!$B$12,0))))*(1/(1-'P-Parametri'!$B$6*I326))+MIN(MAX(0,N325-(MAX(0,I286-IF($A326&gt;='1-Input'!$C$12,'1-Input'!$B$12,0))-MIN(MAX(M325,0),MAX(0,I286-IF($A326&gt;='1-Input'!$C$12,'1-Input'!$B$12,0))))*(1/(1-'P-Parametri'!$B$6*I326))),MAX(0,2*I286-(M325-MIN(MAX(M325,0),MAX(0,I286-IF($A326&gt;='1-Input'!$C$12,'1-Input'!$B$12,0)))))*(1/(1-'P-Parametri'!$B$6*I326))))</f>
        <v>10846.756992928691</v>
      </c>
      <c r="K326" s="18">
        <f>IF($A326&gt;'1-Input'!$B$26,M325,(M325-MAX(0,I286-IF($A326&gt;='1-Input'!$C$12,'1-Input'!$B$12,0))+J326*(1-'P-Parametri'!$B$6*I326))*(1+ROUND('3-Liquidita'!$F$7,4)))</f>
        <v>0</v>
      </c>
      <c r="L326" s="18">
        <f>IF($A326&gt;'1-Input'!$B$26,N325,(N325-J326)*(1+'5-Roberta'!$C$4))</f>
        <v>-176924.06744880122</v>
      </c>
      <c r="M326" s="18">
        <f>IF($A326&gt;'1-Input'!$B$26,K326,K326-'P-Parametri'!$B$8*(L326+K326)+MIN(MAX(L326,0),'P-Parametri'!$B$8*(L326+K326)))</f>
        <v>0</v>
      </c>
      <c r="N326" s="18">
        <f>IF($A326&gt;'1-Input'!$B$26,L326,L326-MIN(MAX(L326,0),'P-Parametri'!$B$8*(L326+K326)))</f>
        <v>-176570.21931390362</v>
      </c>
      <c r="O326" s="18">
        <f>IF($A326&gt;'1-Input'!$B$26,O325,O325-J326*(1-I326))</f>
        <v>-144170.29789384821</v>
      </c>
      <c r="P326" s="11">
        <f>IF($A326&gt;'1-Input'!$B$26,0,IF(U325&lt;=0,0,MAX(0,(U325-V325)/U325)))</f>
        <v>0.7041459649057229</v>
      </c>
      <c r="Q326" s="18">
        <f>IF($A326&gt;'1-Input'!$B$26,0,(MAX(0,P286-IF($A326&gt;='1-Input'!$C$12,'1-Input'!$B$12,0))-MIN(MAX(T325,0),MAX(0,P286-IF($A326&gt;='1-Input'!$C$12,'1-Input'!$B$12,0))))*(1/(1-'P-Parametri'!$B$6*P326))+MIN(MAX(0,U325-(MAX(0,P286-IF($A326&gt;='1-Input'!$C$12,'1-Input'!$B$12,0))-MIN(MAX(T325,0),MAX(0,P286-IF($A326&gt;='1-Input'!$C$12,'1-Input'!$B$12,0))))*(1/(1-'P-Parametri'!$B$6*P326))),MAX(0,2*P286-(T325-MIN(MAX(T325,0),MAX(0,P286-IF($A326&gt;='1-Input'!$C$12,'1-Input'!$B$12,0)))))*(1/(1-'P-Parametri'!$B$6*P326))))</f>
        <v>4932.9222367577959</v>
      </c>
      <c r="R326" s="18">
        <f>IF($A326&gt;'1-Input'!$B$26,T325,(T325-MAX(0,P286-IF($A326&gt;='1-Input'!$C$12,'1-Input'!$B$12,0))+Q326*(1-'P-Parametri'!$B$6*P326))*(1+ROUND('3-Liquidita'!$F$7,4)))</f>
        <v>34082.829050253247</v>
      </c>
      <c r="S326" s="18">
        <f>IF($A326&gt;'1-Input'!$B$26,U325,(U325-Q326)*(1+'5-Roberta'!$C$4))</f>
        <v>0</v>
      </c>
      <c r="T326" s="18">
        <f>IF($A326&gt;'1-Input'!$B$26,R326,R326-'P-Parametri'!$B$8*(S326+R326)+MIN(MAX(S326,0),'P-Parametri'!$B$8*(S326+R326)))</f>
        <v>34014.663392152739</v>
      </c>
      <c r="U326" s="18">
        <f>IF($A326&gt;'1-Input'!$B$26,S326,S326-MIN(MAX(S326,0),'P-Parametri'!$B$8*(S326+R326)))</f>
        <v>0</v>
      </c>
      <c r="V326" s="18">
        <f>IF($A326&gt;'1-Input'!$B$26,V325,V325-Q326*(1-P326))</f>
        <v>0</v>
      </c>
      <c r="W326" s="11">
        <f>IF($A326&gt;'1-Input'!$B$26,0,IF(AB325&lt;=0,0,MAX(0,(AB325-AC325)/AB325)))</f>
        <v>0.70990332169708514</v>
      </c>
      <c r="X326" s="18">
        <f>IF($A326&gt;'1-Input'!$B$26,0,(MAX(0,W286-IF($A326&gt;='1-Input'!$C$12,'1-Input'!$B$12,0))-MIN(MAX(AA325,0),MAX(0,W286-IF($A326&gt;='1-Input'!$C$12,'1-Input'!$B$12,0))))*(1/(1-'P-Parametri'!$B$6*W326))+MIN(MAX(0,AB325-(MAX(0,W286-IF($A326&gt;='1-Input'!$C$12,'1-Input'!$B$12,0))-MIN(MAX(AA325,0),MAX(0,W286-IF($A326&gt;='1-Input'!$C$12,'1-Input'!$B$12,0))))*(1/(1-'P-Parametri'!$B$6*W326))),MAX(0,2*W286-(AA325-MIN(MAX(AA325,0),MAX(0,W286-IF($A326&gt;='1-Input'!$C$12,'1-Input'!$B$12,0)))))*(1/(1-'P-Parametri'!$B$6*W326))))</f>
        <v>8518.751080888951</v>
      </c>
      <c r="Y326" s="18">
        <f>IF($A326&gt;'1-Input'!$B$26,AA325,(AA325-MAX(0,W286-IF($A326&gt;='1-Input'!$C$12,'1-Input'!$B$12,0))+X326*(1-'P-Parametri'!$B$6*W326))*(1+ROUND('3-Liquidita'!$F$7,4)))</f>
        <v>36787.742972329659</v>
      </c>
      <c r="Z326" s="18">
        <f>IF($A326&gt;'1-Input'!$B$26,AB325,(AB325-X326)*(1+'5-Roberta'!$C$4))</f>
        <v>14647.702855497198</v>
      </c>
      <c r="AA326" s="18">
        <f>IF($A326&gt;'1-Input'!$B$26,Y326,Y326-'P-Parametri'!$B$8*(Z326+Y326)+MIN(MAX(Z326,0),'P-Parametri'!$B$8*(Z326+Y326)))</f>
        <v>36787.742972329659</v>
      </c>
      <c r="AB326" s="18">
        <f>IF($A326&gt;'1-Input'!$B$26,Z326,Z326-MIN(MAX(Z326,0),'P-Parametri'!$B$8*(Z326+Y326)))</f>
        <v>14544.831963841545</v>
      </c>
      <c r="AC326" s="18">
        <f>IF($A326&gt;'1-Input'!$B$26,AC325,AC325-X326*(1-W326))</f>
        <v>4125.485381696948</v>
      </c>
      <c r="AD326" s="11">
        <f>IF($A326&gt;'1-Input'!$B$26,0,IF(AI325&lt;=0,0,MAX(0,(AI325-AJ325)/AI325)))</f>
        <v>0.710011003617946</v>
      </c>
      <c r="AE326" s="18">
        <f>IF($A326&gt;'1-Input'!$B$26,0,(MAX(0,AD286-IF($A326&gt;='1-Input'!$C$12,'1-Input'!$B$12,0))-MIN(MAX(AH325,0),MAX(0,AD286-IF($A326&gt;='1-Input'!$C$12,'1-Input'!$B$12,0))))*(1/(1-'P-Parametri'!$B$6*AD326))+MIN(MAX(0,AI325-(MAX(0,AD286-IF($A326&gt;='1-Input'!$C$12,'1-Input'!$B$12,0))-MIN(MAX(AH325,0),MAX(0,AD286-IF($A326&gt;='1-Input'!$C$12,'1-Input'!$B$12,0))))*(1/(1-'P-Parametri'!$B$6*AD326))),MAX(0,2*AD286-(AH325-MIN(MAX(AH325,0),MAX(0,AD286-IF($A326&gt;='1-Input'!$C$12,'1-Input'!$B$12,0)))))*(1/(1-'P-Parametri'!$B$6*AD326))))</f>
        <v>8504.9905419794813</v>
      </c>
      <c r="AF326" s="18">
        <f>IF($A326&gt;'1-Input'!$B$26,AH325,(AH325-MAX(0,AD286-IF($A326&gt;='1-Input'!$C$12,'1-Input'!$B$12,0))+AE326*(1-'P-Parametri'!$B$6*AD326))*(1+ROUND('3-Liquidita'!$F$7,4)))</f>
        <v>36764.386690049425</v>
      </c>
      <c r="AG326" s="18">
        <f>IF($A326&gt;'1-Input'!$B$26,AI325,(AI325-AE326)*(1+'5-Roberta'!$C$4))</f>
        <v>15605.04988571697</v>
      </c>
      <c r="AH326" s="18">
        <f>IF($A326&gt;'1-Input'!$B$26,AF326,AF326-'P-Parametri'!$B$8*(AG326+AF326)+MIN(MAX(AG326,0),'P-Parametri'!$B$8*(AG326+AF326)))</f>
        <v>36764.386690049425</v>
      </c>
      <c r="AI326" s="18">
        <f>IF($A326&gt;'1-Input'!$B$26,AG326,AG326-MIN(MAX(AG326,0),'P-Parametri'!$B$8*(AG326+AF326)))</f>
        <v>15500.311012565437</v>
      </c>
      <c r="AJ326" s="18">
        <f>IF($A326&gt;'1-Input'!$B$26,AJ325,AJ325-AE326*(1-AD326))</f>
        <v>4393.4881115057742</v>
      </c>
      <c r="AK326" s="11">
        <f>IF($A326&gt;'1-Input'!$B$26,0,IF(AP325&lt;=0,0,MAX(0,(AP325-AQ325)/AP325)))</f>
        <v>0.71001132417064694</v>
      </c>
      <c r="AL326" s="18">
        <f>IF($A326&gt;'1-Input'!$B$26,0,(MAX(0,AK286-IF($A326&gt;='1-Input'!$C$12,'1-Input'!$B$12,0))-MIN(MAX(AO325,0),MAX(0,AK286-IF($A326&gt;='1-Input'!$C$12,'1-Input'!$B$12,0))))*(1/(1-'P-Parametri'!$B$6*AK326))+MIN(MAX(0,AP325-(MAX(0,AK286-IF($A326&gt;='1-Input'!$C$12,'1-Input'!$B$12,0))-MIN(MAX(AO325,0),MAX(0,AK286-IF($A326&gt;='1-Input'!$C$12,'1-Input'!$B$12,0))))*(1/(1-'P-Parametri'!$B$6*AK326))),MAX(0,2*AK286-(AO325-MIN(MAX(AO325,0),MAX(0,AK286-IF($A326&gt;='1-Input'!$C$12,'1-Input'!$B$12,0)))))*(1/(1-'P-Parametri'!$B$6*AK326))))</f>
        <v>8504.9485156423762</v>
      </c>
      <c r="AM326" s="18">
        <f>IF($A326&gt;'1-Input'!$B$26,AO325,(AO325-MAX(0,AK286-IF($A326&gt;='1-Input'!$C$12,'1-Input'!$B$12,0))+AL326*(1-'P-Parametri'!$B$6*AK326))*(1+ROUND('3-Liquidita'!$F$7,4)))</f>
        <v>36764.315397069942</v>
      </c>
      <c r="AN326" s="18">
        <f>IF($A326&gt;'1-Input'!$B$26,AP325,(AP325-AL326)*(1+'5-Roberta'!$C$4))</f>
        <v>15607.972166669819</v>
      </c>
      <c r="AO326" s="18">
        <f>IF($A326&gt;'1-Input'!$B$26,AM326,AM326-'P-Parametri'!$B$8*(AN326+AM326)+MIN(MAX(AN326,0),'P-Parametri'!$B$8*(AN326+AM326)))</f>
        <v>36764.315397069942</v>
      </c>
      <c r="AP326" s="18">
        <f>IF($A326&gt;'1-Input'!$B$26,AN326,AN326-MIN(MAX(AN326,0),'P-Parametri'!$B$8*(AN326+AM326)))</f>
        <v>15503.22759154234</v>
      </c>
      <c r="AQ326" s="18">
        <f>IF($A326&gt;'1-Input'!$B$26,AQ325,AQ325-AL326*(1-AK326))</f>
        <v>4394.3060009650289</v>
      </c>
    </row>
    <row r="327" spans="1:43">
      <c r="A327" s="10">
        <f>39</f>
        <v>39</v>
      </c>
      <c r="B327" s="11">
        <f>IF($A327&gt;'1-Input'!$B$26,0,IF(G326&lt;=0,0,MAX(0,(G326-H326)/G326)))</f>
        <v>0.721740008542192</v>
      </c>
      <c r="C327" s="18">
        <f>IF($A327&gt;'1-Input'!$B$26,0,(MAX(0,B286-IF($A327&gt;='1-Input'!$C$12,'1-Input'!$B$12,0))-MIN(MAX(F326,0),MAX(0,B286-IF($A327&gt;='1-Input'!$C$12,'1-Input'!$B$12,0))))*(1/(1-'P-Parametri'!$B$6*B327))+MIN(MAX(0,G326-(MAX(0,B286-IF($A327&gt;='1-Input'!$C$12,'1-Input'!$B$12,0))-MIN(MAX(F326,0),MAX(0,B286-IF($A327&gt;='1-Input'!$C$12,'1-Input'!$B$12,0))))*(1/(1-'P-Parametri'!$B$6*B327))),MAX(0,2*B286-(F326-MIN(MAX(F326,0),MAX(0,B286-IF($A327&gt;='1-Input'!$C$12,'1-Input'!$B$12,0)))))*(1/(1-'P-Parametri'!$B$6*B327))))</f>
        <v>6609.0846237990918</v>
      </c>
      <c r="D327" s="18">
        <f>IF($A327&gt;'1-Input'!$B$26,F326,(F326-MAX(0,B286-IF($A327&gt;='1-Input'!$C$12,'1-Input'!$B$12,0))+C327*(1-'P-Parametri'!$B$6*B327))*(1+ROUND('3-Liquidita'!$F$7,4)))</f>
        <v>33572.29192621589</v>
      </c>
      <c r="E327" s="18">
        <f>IF($A327&gt;'1-Input'!$B$26,G326,(G326-C327)*(1+'5-Roberta'!$C$4))</f>
        <v>143800.29638996368</v>
      </c>
      <c r="F327" s="18">
        <f>IF($A327&gt;'1-Input'!$B$26,D327,D327-'P-Parametri'!$B$8*(E327+D327)+MIN(MAX(E327,0),'P-Parametri'!$B$8*(E327+D327)))</f>
        <v>33572.29192621589</v>
      </c>
      <c r="G327" s="18">
        <f>IF($A327&gt;'1-Input'!$B$26,E327,E327-MIN(MAX(E327,0),'P-Parametri'!$B$8*(E327+D327)))</f>
        <v>143445.55121333132</v>
      </c>
      <c r="H327" s="18">
        <f>IF($A327&gt;'1-Input'!$B$26,H326,H326-C327*(1-B327))</f>
        <v>38848.41674281704</v>
      </c>
      <c r="I327" s="11">
        <f>IF($A327&gt;'1-Input'!$B$26,0,IF(N326&lt;=0,0,MAX(0,(N326-O326)/N326)))</f>
        <v>0</v>
      </c>
      <c r="J327" s="18">
        <f>IF($A327&gt;'1-Input'!$B$26,0,(MAX(0,I286-IF($A327&gt;='1-Input'!$C$12,'1-Input'!$B$12,0))-MIN(MAX(M326,0),MAX(0,I286-IF($A327&gt;='1-Input'!$C$12,'1-Input'!$B$12,0))))*(1/(1-'P-Parametri'!$B$6*I327))+MIN(MAX(0,N326-(MAX(0,I286-IF($A327&gt;='1-Input'!$C$12,'1-Input'!$B$12,0))-MIN(MAX(M326,0),MAX(0,I286-IF($A327&gt;='1-Input'!$C$12,'1-Input'!$B$12,0))))*(1/(1-'P-Parametri'!$B$6*I327))),MAX(0,2*I286-(M326-MIN(MAX(M326,0),MAX(0,I286-IF($A327&gt;='1-Input'!$C$12,'1-Input'!$B$12,0)))))*(1/(1-'P-Parametri'!$B$6*I327))))</f>
        <v>10846.756992928691</v>
      </c>
      <c r="K327" s="18">
        <f>IF($A327&gt;'1-Input'!$B$26,M326,(M326-MAX(0,I286-IF($A327&gt;='1-Input'!$C$12,'1-Input'!$B$12,0))+J327*(1-'P-Parametri'!$B$6*I327))*(1+ROUND('3-Liquidita'!$F$7,4)))</f>
        <v>0</v>
      </c>
      <c r="L327" s="18">
        <f>IF($A327&gt;'1-Input'!$B$26,N326,(N326-J327)*(1+'5-Roberta'!$C$4))</f>
        <v>-193039.4855960373</v>
      </c>
      <c r="M327" s="18">
        <f>IF($A327&gt;'1-Input'!$B$26,K327,K327-'P-Parametri'!$B$8*(L327+K327)+MIN(MAX(L327,0),'P-Parametri'!$B$8*(L327+K327)))</f>
        <v>0</v>
      </c>
      <c r="N327" s="18">
        <f>IF($A327&gt;'1-Input'!$B$26,L327,L327-MIN(MAX(L327,0),'P-Parametri'!$B$8*(L327+K327)))</f>
        <v>-192653.40662484523</v>
      </c>
      <c r="O327" s="18">
        <f>IF($A327&gt;'1-Input'!$B$26,O326,O326-J327*(1-I327))</f>
        <v>-155017.0548867769</v>
      </c>
      <c r="P327" s="11">
        <f>IF($A327&gt;'1-Input'!$B$26,0,IF(U326&lt;=0,0,MAX(0,(U326-V326)/U326)))</f>
        <v>0</v>
      </c>
      <c r="Q327" s="18">
        <f>IF($A327&gt;'1-Input'!$B$26,0,(MAX(0,P286-IF($A327&gt;='1-Input'!$C$12,'1-Input'!$B$12,0))-MIN(MAX(T326,0),MAX(0,P286-IF($A327&gt;='1-Input'!$C$12,'1-Input'!$B$12,0))))*(1/(1-'P-Parametri'!$B$6*P327))+MIN(MAX(0,U326-(MAX(0,P286-IF($A327&gt;='1-Input'!$C$12,'1-Input'!$B$12,0))-MIN(MAX(T326,0),MAX(0,P286-IF($A327&gt;='1-Input'!$C$12,'1-Input'!$B$12,0))))*(1/(1-'P-Parametri'!$B$6*P327))),MAX(0,2*P286-(T326-MIN(MAX(T326,0),MAX(0,P286-IF($A327&gt;='1-Input'!$C$12,'1-Input'!$B$12,0)))))*(1/(1-'P-Parametri'!$B$6*P327))))</f>
        <v>0</v>
      </c>
      <c r="R327" s="18">
        <f>IF($A327&gt;'1-Input'!$B$26,T326,(T326-MAX(0,P286-IF($A327&gt;='1-Input'!$C$12,'1-Input'!$B$12,0))+Q327*(1-'P-Parametri'!$B$6*P327))*(1+ROUND('3-Liquidita'!$F$7,4)))</f>
        <v>26779.838044745</v>
      </c>
      <c r="S327" s="18">
        <f>IF($A327&gt;'1-Input'!$B$26,U326,(U326-Q327)*(1+'5-Roberta'!$C$4))</f>
        <v>0</v>
      </c>
      <c r="T327" s="18">
        <f>IF($A327&gt;'1-Input'!$B$26,R327,R327-'P-Parametri'!$B$8*(S327+R327)+MIN(MAX(S327,0),'P-Parametri'!$B$8*(S327+R327)))</f>
        <v>26726.278368655509</v>
      </c>
      <c r="U327" s="18">
        <f>IF($A327&gt;'1-Input'!$B$26,S327,S327-MIN(MAX(S327,0),'P-Parametri'!$B$8*(S327+R327)))</f>
        <v>0</v>
      </c>
      <c r="V327" s="18">
        <f>IF($A327&gt;'1-Input'!$B$26,V326,V326-Q327*(1-P327))</f>
        <v>0</v>
      </c>
      <c r="W327" s="11">
        <f>IF($A327&gt;'1-Input'!$B$26,0,IF(AB326&lt;=0,0,MAX(0,(AB326-AC326)/AB326)))</f>
        <v>0.71636073954289015</v>
      </c>
      <c r="X327" s="18">
        <f>IF($A327&gt;'1-Input'!$B$26,0,(MAX(0,W286-IF($A327&gt;='1-Input'!$C$12,'1-Input'!$B$12,0))-MIN(MAX(AA326,0),MAX(0,W286-IF($A327&gt;='1-Input'!$C$12,'1-Input'!$B$12,0))))*(1/(1-'P-Parametri'!$B$6*W327))+MIN(MAX(0,AB326-(MAX(0,W286-IF($A327&gt;='1-Input'!$C$12,'1-Input'!$B$12,0))-MIN(MAX(AA326,0),MAX(0,W286-IF($A327&gt;='1-Input'!$C$12,'1-Input'!$B$12,0))))*(1/(1-'P-Parametri'!$B$6*W327))),MAX(0,2*W286-(AA326-MIN(MAX(AA326,0),MAX(0,W286-IF($A327&gt;='1-Input'!$C$12,'1-Input'!$B$12,0)))))*(1/(1-'P-Parametri'!$B$6*W327))))</f>
        <v>8536.3270462578785</v>
      </c>
      <c r="Y327" s="18">
        <f>IF($A327&gt;'1-Input'!$B$26,AA326,(AA326-MAX(0,W286-IF($A327&gt;='1-Input'!$C$12,'1-Input'!$B$12,0))+X327*(1-'P-Parametri'!$B$6*W327))*(1+ROUND('3-Liquidita'!$F$7,4)))</f>
        <v>36787.742972329659</v>
      </c>
      <c r="Z327" s="18">
        <f>IF($A327&gt;'1-Input'!$B$26,AB326,(AB326-X327)*(1+'5-Roberta'!$C$4))</f>
        <v>6188.760065111177</v>
      </c>
      <c r="AA327" s="18">
        <f>IF($A327&gt;'1-Input'!$B$26,Y327,Y327-'P-Parametri'!$B$8*(Z327+Y327)+MIN(MAX(Z327,0),'P-Parametri'!$B$8*(Z327+Y327)))</f>
        <v>36787.742972329659</v>
      </c>
      <c r="AB327" s="18">
        <f>IF($A327&gt;'1-Input'!$B$26,Z327,Z327-MIN(MAX(Z327,0),'P-Parametri'!$B$8*(Z327+Y327)))</f>
        <v>6102.807059036295</v>
      </c>
      <c r="AC327" s="18">
        <f>IF($A327&gt;'1-Input'!$B$26,AC326,AC326-X327*(1-W327))</f>
        <v>1704.2478912763386</v>
      </c>
      <c r="AD327" s="11">
        <f>IF($A327&gt;'1-Input'!$B$26,0,IF(AI326&lt;=0,0,MAX(0,(AI326-AJ326)/AI326)))</f>
        <v>0.71655484151613724</v>
      </c>
      <c r="AE327" s="18">
        <f>IF($A327&gt;'1-Input'!$B$26,0,(MAX(0,AD286-IF($A327&gt;='1-Input'!$C$12,'1-Input'!$B$12,0))-MIN(MAX(AH326,0),MAX(0,AD286-IF($A327&gt;='1-Input'!$C$12,'1-Input'!$B$12,0))))*(1/(1-'P-Parametri'!$B$6*AD327))+MIN(MAX(0,AI326-(MAX(0,AD286-IF($A327&gt;='1-Input'!$C$12,'1-Input'!$B$12,0))-MIN(MAX(AH326,0),MAX(0,AD286-IF($A327&gt;='1-Input'!$C$12,'1-Input'!$B$12,0))))*(1/(1-'P-Parametri'!$B$6*AD327))),MAX(0,2*AD286-(AH326-MIN(MAX(AH326,0),MAX(0,AD286-IF($A327&gt;='1-Input'!$C$12,'1-Input'!$B$12,0)))))*(1/(1-'P-Parametri'!$B$6*AD327))))</f>
        <v>8522.7740597240499</v>
      </c>
      <c r="AF327" s="18">
        <f>IF($A327&gt;'1-Input'!$B$26,AH326,(AH326-MAX(0,AD286-IF($A327&gt;='1-Input'!$C$12,'1-Input'!$B$12,0))+AE327*(1-'P-Parametri'!$B$6*AD327))*(1+ROUND('3-Liquidita'!$F$7,4)))</f>
        <v>36764.386690049425</v>
      </c>
      <c r="AG327" s="18">
        <f>IF($A327&gt;'1-Input'!$B$26,AI326,(AI326-AE327)*(1+'5-Roberta'!$C$4))</f>
        <v>7186.8630614266285</v>
      </c>
      <c r="AH327" s="18">
        <f>IF($A327&gt;'1-Input'!$B$26,AF327,AF327-'P-Parametri'!$B$8*(AG327+AF327)+MIN(MAX(AG327,0),'P-Parametri'!$B$8*(AG327+AF327)))</f>
        <v>36764.386690049425</v>
      </c>
      <c r="AI327" s="18">
        <f>IF($A327&gt;'1-Input'!$B$26,AG327,AG327-MIN(MAX(AG327,0),'P-Parametri'!$B$8*(AG327+AF327)))</f>
        <v>7098.9605619236763</v>
      </c>
      <c r="AJ327" s="18">
        <f>IF($A327&gt;'1-Input'!$B$26,AJ326,AJ326-AE327*(1-AD327))</f>
        <v>1977.7490674251367</v>
      </c>
      <c r="AK327" s="11">
        <f>IF($A327&gt;'1-Input'!$B$26,0,IF(AP326&lt;=0,0,MAX(0,(AP326-AQ326)/AP326)))</f>
        <v>0.71655540918703231</v>
      </c>
      <c r="AL327" s="18">
        <f>IF($A327&gt;'1-Input'!$B$26,0,(MAX(0,AK286-IF($A327&gt;='1-Input'!$C$12,'1-Input'!$B$12,0))-MIN(MAX(AO326,0),MAX(0,AK286-IF($A327&gt;='1-Input'!$C$12,'1-Input'!$B$12,0))))*(1/(1-'P-Parametri'!$B$6*AK327))+MIN(MAX(0,AP326-(MAX(0,AK286-IF($A327&gt;='1-Input'!$C$12,'1-Input'!$B$12,0))-MIN(MAX(AO326,0),MAX(0,AK286-IF($A327&gt;='1-Input'!$C$12,'1-Input'!$B$12,0))))*(1/(1-'P-Parametri'!$B$6*AK327))),MAX(0,2*AK286-(AO326-MIN(MAX(AO326,0),MAX(0,AK286-IF($A327&gt;='1-Input'!$C$12,'1-Input'!$B$12,0)))))*(1/(1-'P-Parametri'!$B$6*AK327))))</f>
        <v>8522.7326203022349</v>
      </c>
      <c r="AM327" s="18">
        <f>IF($A327&gt;'1-Input'!$B$26,AO326,(AO326-MAX(0,AK286-IF($A327&gt;='1-Input'!$C$12,'1-Input'!$B$12,0))+AL327*(1-'P-Parametri'!$B$6*AK327))*(1+ROUND('3-Liquidita'!$F$7,4)))</f>
        <v>36764.315397069942</v>
      </c>
      <c r="AN327" s="18">
        <f>IF($A327&gt;'1-Input'!$B$26,AP326,(AP326-AL327)*(1+'5-Roberta'!$C$4))</f>
        <v>7189.9098203773083</v>
      </c>
      <c r="AO327" s="18">
        <f>IF($A327&gt;'1-Input'!$B$26,AM327,AM327-'P-Parametri'!$B$8*(AN327+AM327)+MIN(MAX(AN327,0),'P-Parametri'!$B$8*(AN327+AM327)))</f>
        <v>36764.315397069942</v>
      </c>
      <c r="AP327" s="18">
        <f>IF($A327&gt;'1-Input'!$B$26,AN327,AN327-MIN(MAX(AN327,0),'P-Parametri'!$B$8*(AN327+AM327)))</f>
        <v>7102.0013699424135</v>
      </c>
      <c r="AQ327" s="18">
        <f>IF($A327&gt;'1-Input'!$B$26,AQ326,AQ326-AL327*(1-AK327))</f>
        <v>1978.5835407951299</v>
      </c>
    </row>
    <row r="328" spans="1:43">
      <c r="A328" s="10">
        <f>40</f>
        <v>40</v>
      </c>
      <c r="B328" s="11">
        <f>IF($A328&gt;'1-Input'!$B$26,0,IF(G327&lt;=0,0,MAX(0,(G327-H327)/G327)))</f>
        <v>0.72917656620077453</v>
      </c>
      <c r="C328" s="18">
        <f>IF($A328&gt;'1-Input'!$B$26,0,(MAX(0,B286-IF($A328&gt;='1-Input'!$C$12,'1-Input'!$B$12,0))-MIN(MAX(F327,0),MAX(0,B286-IF($A328&gt;='1-Input'!$C$12,'1-Input'!$B$12,0))))*(1/(1-'P-Parametri'!$B$6*B328))+MIN(MAX(0,G327-(MAX(0,B286-IF($A328&gt;='1-Input'!$C$12,'1-Input'!$B$12,0))-MIN(MAX(F327,0),MAX(0,B286-IF($A328&gt;='1-Input'!$C$12,'1-Input'!$B$12,0))))*(1/(1-'P-Parametri'!$B$6*B328))),MAX(0,2*B286-(F327-MIN(MAX(F327,0),MAX(0,B286-IF($A328&gt;='1-Input'!$C$12,'1-Input'!$B$12,0)))))*(1/(1-'P-Parametri'!$B$6*B328))))</f>
        <v>6624.8527332400672</v>
      </c>
      <c r="D328" s="18">
        <f>IF($A328&gt;'1-Input'!$B$26,F327,(F327-MAX(0,B286-IF($A328&gt;='1-Input'!$C$12,'1-Input'!$B$12,0))+C328*(1-'P-Parametri'!$B$6*B328))*(1+ROUND('3-Liquidita'!$F$7,4)))</f>
        <v>33572.29192621589</v>
      </c>
      <c r="E328" s="18">
        <f>IF($A328&gt;'1-Input'!$B$26,G327,(G327-C328)*(1+'5-Roberta'!$C$4))</f>
        <v>140925.31943449401</v>
      </c>
      <c r="F328" s="18">
        <f>IF($A328&gt;'1-Input'!$B$26,D328,D328-'P-Parametri'!$B$8*(E328+D328)+MIN(MAX(E328,0),'P-Parametri'!$B$8*(E328+D328)))</f>
        <v>33572.291926215898</v>
      </c>
      <c r="G328" s="18">
        <f>IF($A328&gt;'1-Input'!$B$26,E328,E328-MIN(MAX(E328,0),'P-Parametri'!$B$8*(E328+D328)))</f>
        <v>140576.32421177259</v>
      </c>
      <c r="H328" s="18">
        <f>IF($A328&gt;'1-Input'!$B$26,H327,H327-C328*(1-B328))</f>
        <v>37054.251377186782</v>
      </c>
      <c r="I328" s="11">
        <f>IF($A328&gt;'1-Input'!$B$26,0,IF(N327&lt;=0,0,MAX(0,(N327-O327)/N327)))</f>
        <v>0</v>
      </c>
      <c r="J328" s="18">
        <f>IF($A328&gt;'1-Input'!$B$26,0,(MAX(0,I286-IF($A328&gt;='1-Input'!$C$12,'1-Input'!$B$12,0))-MIN(MAX(M327,0),MAX(0,I286-IF($A328&gt;='1-Input'!$C$12,'1-Input'!$B$12,0))))*(1/(1-'P-Parametri'!$B$6*I328))+MIN(MAX(0,N327-(MAX(0,I286-IF($A328&gt;='1-Input'!$C$12,'1-Input'!$B$12,0))-MIN(MAX(M327,0),MAX(0,I286-IF($A328&gt;='1-Input'!$C$12,'1-Input'!$B$12,0))))*(1/(1-'P-Parametri'!$B$6*I328))),MAX(0,2*I286-(M327-MIN(MAX(M327,0),MAX(0,I286-IF($A328&gt;='1-Input'!$C$12,'1-Input'!$B$12,0)))))*(1/(1-'P-Parametri'!$B$6*I328))))</f>
        <v>10846.756992928691</v>
      </c>
      <c r="K328" s="18">
        <f>IF($A328&gt;'1-Input'!$B$26,M327,(M327-MAX(0,I286-IF($A328&gt;='1-Input'!$C$12,'1-Input'!$B$12,0))+J328*(1-'P-Parametri'!$B$6*I328))*(1+ROUND('3-Liquidita'!$F$7,4)))</f>
        <v>0</v>
      </c>
      <c r="L328" s="18">
        <f>IF($A328&gt;'1-Input'!$B$26,N327,(N327-J328)*(1+'5-Roberta'!$C$4))</f>
        <v>-209605.16852630713</v>
      </c>
      <c r="M328" s="18">
        <f>IF($A328&gt;'1-Input'!$B$26,K328,K328-'P-Parametri'!$B$8*(L328+K328)+MIN(MAX(L328,0),'P-Parametri'!$B$8*(L328+K328)))</f>
        <v>0</v>
      </c>
      <c r="N328" s="18">
        <f>IF($A328&gt;'1-Input'!$B$26,L328,L328-MIN(MAX(L328,0),'P-Parametri'!$B$8*(L328+K328)))</f>
        <v>-209185.95818925451</v>
      </c>
      <c r="O328" s="18">
        <f>IF($A328&gt;'1-Input'!$B$26,O327,O327-J328*(1-I328))</f>
        <v>-165863.81187970558</v>
      </c>
      <c r="P328" s="11">
        <f>IF($A328&gt;'1-Input'!$B$26,0,IF(U327&lt;=0,0,MAX(0,(U327-V327)/U327)))</f>
        <v>0</v>
      </c>
      <c r="Q328" s="18">
        <f>IF($A328&gt;'1-Input'!$B$26,0,(MAX(0,P286-IF($A328&gt;='1-Input'!$C$12,'1-Input'!$B$12,0))-MIN(MAX(T327,0),MAX(0,P286-IF($A328&gt;='1-Input'!$C$12,'1-Input'!$B$12,0))))*(1/(1-'P-Parametri'!$B$6*P328))+MIN(MAX(0,U327-(MAX(0,P286-IF($A328&gt;='1-Input'!$C$12,'1-Input'!$B$12,0))-MIN(MAX(T327,0),MAX(0,P286-IF($A328&gt;='1-Input'!$C$12,'1-Input'!$B$12,0))))*(1/(1-'P-Parametri'!$B$6*P328))),MAX(0,2*P286-(T327-MIN(MAX(T327,0),MAX(0,P286-IF($A328&gt;='1-Input'!$C$12,'1-Input'!$B$12,0)))))*(1/(1-'P-Parametri'!$B$6*P328))))</f>
        <v>0</v>
      </c>
      <c r="R328" s="18">
        <f>IF($A328&gt;'1-Input'!$B$26,T327,(T327-MAX(0,P286-IF($A328&gt;='1-Input'!$C$12,'1-Input'!$B$12,0))+Q328*(1-'P-Parametri'!$B$6*P328))*(1+ROUND('3-Liquidita'!$F$7,4)))</f>
        <v>19445.536195599736</v>
      </c>
      <c r="S328" s="18">
        <f>IF($A328&gt;'1-Input'!$B$26,U327,(U327-Q328)*(1+'5-Roberta'!$C$4))</f>
        <v>0</v>
      </c>
      <c r="T328" s="18">
        <f>IF($A328&gt;'1-Input'!$B$26,R328,R328-'P-Parametri'!$B$8*(S328+R328)+MIN(MAX(S328,0),'P-Parametri'!$B$8*(S328+R328)))</f>
        <v>19406.645123208538</v>
      </c>
      <c r="U328" s="18">
        <f>IF($A328&gt;'1-Input'!$B$26,S328,S328-MIN(MAX(S328,0),'P-Parametri'!$B$8*(S328+R328)))</f>
        <v>0</v>
      </c>
      <c r="V328" s="18">
        <f>IF($A328&gt;'1-Input'!$B$26,V327,V327-Q328*(1-P328))</f>
        <v>0</v>
      </c>
      <c r="W328" s="11">
        <f>IF($A328&gt;'1-Input'!$B$26,0,IF(AB327&lt;=0,0,MAX(0,(AB327-AC327)/AB327)))</f>
        <v>0.72074360621430833</v>
      </c>
      <c r="X328" s="18">
        <f>IF($A328&gt;'1-Input'!$B$26,0,(MAX(0,W286-IF($A328&gt;='1-Input'!$C$12,'1-Input'!$B$12,0))-MIN(MAX(AA327,0),MAX(0,W286-IF($A328&gt;='1-Input'!$C$12,'1-Input'!$B$12,0))))*(1/(1-'P-Parametri'!$B$6*W328))+MIN(MAX(0,AB327-(MAX(0,W286-IF($A328&gt;='1-Input'!$C$12,'1-Input'!$B$12,0))-MIN(MAX(AA327,0),MAX(0,W286-IF($A328&gt;='1-Input'!$C$12,'1-Input'!$B$12,0))))*(1/(1-'P-Parametri'!$B$6*W328))),MAX(0,2*W286-(AA327-MIN(MAX(AA327,0),MAX(0,W286-IF($A328&gt;='1-Input'!$C$12,'1-Input'!$B$12,0)))))*(1/(1-'P-Parametri'!$B$6*W328))))</f>
        <v>6102.807059036295</v>
      </c>
      <c r="Y328" s="18">
        <f>IF($A328&gt;'1-Input'!$B$26,AA327,(AA327-MAX(0,W286-IF($A328&gt;='1-Input'!$C$12,'1-Input'!$B$12,0))+X328*(1-'P-Parametri'!$B$6*W328))*(1+ROUND('3-Liquidita'!$F$7,4)))</f>
        <v>34788.001386864351</v>
      </c>
      <c r="Z328" s="18">
        <f>IF($A328&gt;'1-Input'!$B$26,AB327,(AB327-X328)*(1+'5-Roberta'!$C$4))</f>
        <v>0</v>
      </c>
      <c r="AA328" s="18">
        <f>IF($A328&gt;'1-Input'!$B$26,Y328,Y328-'P-Parametri'!$B$8*(Z328+Y328)+MIN(MAX(Z328,0),'P-Parametri'!$B$8*(Z328+Y328)))</f>
        <v>34718.425384090624</v>
      </c>
      <c r="AB328" s="18">
        <f>IF($A328&gt;'1-Input'!$B$26,Z328,Z328-MIN(MAX(Z328,0),'P-Parametri'!$B$8*(Z328+Y328)))</f>
        <v>0</v>
      </c>
      <c r="AC328" s="18">
        <f>IF($A328&gt;'1-Input'!$B$26,AC327,AC327-X328*(1-W328))</f>
        <v>2.2737367544323206E-13</v>
      </c>
      <c r="AD328" s="11">
        <f>IF($A328&gt;'1-Input'!$B$26,0,IF(AI327&lt;=0,0,MAX(0,(AI327-AJ327)/AI327)))</f>
        <v>0.72140300679608138</v>
      </c>
      <c r="AE328" s="18">
        <f>IF($A328&gt;'1-Input'!$B$26,0,(MAX(0,AD286-IF($A328&gt;='1-Input'!$C$12,'1-Input'!$B$12,0))-MIN(MAX(AH327,0),MAX(0,AD286-IF($A328&gt;='1-Input'!$C$12,'1-Input'!$B$12,0))))*(1/(1-'P-Parametri'!$B$6*AD328))+MIN(MAX(0,AI327-(MAX(0,AD286-IF($A328&gt;='1-Input'!$C$12,'1-Input'!$B$12,0))-MIN(MAX(AH327,0),MAX(0,AD286-IF($A328&gt;='1-Input'!$C$12,'1-Input'!$B$12,0))))*(1/(1-'P-Parametri'!$B$6*AD328))),MAX(0,2*AD286-(AH327-MIN(MAX(AH327,0),MAX(0,AD286-IF($A328&gt;='1-Input'!$C$12,'1-Input'!$B$12,0)))))*(1/(1-'P-Parametri'!$B$6*AD328))))</f>
        <v>7098.9605619236763</v>
      </c>
      <c r="AF328" s="18">
        <f>IF($A328&gt;'1-Input'!$B$26,AH327,(AH327-MAX(0,AD286-IF($A328&gt;='1-Input'!$C$12,'1-Input'!$B$12,0))+AE328*(1-'P-Parametri'!$B$6*AD328))*(1+ROUND('3-Liquidita'!$F$7,4)))</f>
        <v>35589.532061638209</v>
      </c>
      <c r="AG328" s="18">
        <f>IF($A328&gt;'1-Input'!$B$26,AI327,(AI327-AE328)*(1+'5-Roberta'!$C$4))</f>
        <v>0</v>
      </c>
      <c r="AH328" s="18">
        <f>IF($A328&gt;'1-Input'!$B$26,AF328,AF328-'P-Parametri'!$B$8*(AG328+AF328)+MIN(MAX(AG328,0),'P-Parametri'!$B$8*(AG328+AF328)))</f>
        <v>35518.352997514936</v>
      </c>
      <c r="AI328" s="18">
        <f>IF($A328&gt;'1-Input'!$B$26,AG328,AG328-MIN(MAX(AG328,0),'P-Parametri'!$B$8*(AG328+AF328)))</f>
        <v>0</v>
      </c>
      <c r="AJ328" s="18">
        <f>IF($A328&gt;'1-Input'!$B$26,AJ327,AJ327-AE328*(1-AD328))</f>
        <v>0</v>
      </c>
      <c r="AK328" s="11">
        <f>IF($A328&gt;'1-Input'!$B$26,0,IF(AP327&lt;=0,0,MAX(0,(AP327-AQ327)/AP327)))</f>
        <v>0.7214047931377443</v>
      </c>
      <c r="AL328" s="18">
        <f>IF($A328&gt;'1-Input'!$B$26,0,(MAX(0,AK286-IF($A328&gt;='1-Input'!$C$12,'1-Input'!$B$12,0))-MIN(MAX(AO327,0),MAX(0,AK286-IF($A328&gt;='1-Input'!$C$12,'1-Input'!$B$12,0))))*(1/(1-'P-Parametri'!$B$6*AK328))+MIN(MAX(0,AP327-(MAX(0,AK286-IF($A328&gt;='1-Input'!$C$12,'1-Input'!$B$12,0))-MIN(MAX(AO327,0),MAX(0,AK286-IF($A328&gt;='1-Input'!$C$12,'1-Input'!$B$12,0))))*(1/(1-'P-Parametri'!$B$6*AK328))),MAX(0,2*AK286-(AO327-MIN(MAX(AO327,0),MAX(0,AK286-IF($A328&gt;='1-Input'!$C$12,'1-Input'!$B$12,0)))))*(1/(1-'P-Parametri'!$B$6*AK328))))</f>
        <v>7102.0013699424135</v>
      </c>
      <c r="AM328" s="18">
        <f>IF($A328&gt;'1-Input'!$B$26,AO327,(AO327-MAX(0,AK286-IF($A328&gt;='1-Input'!$C$12,'1-Input'!$B$12,0))+AL328*(1-'P-Parametri'!$B$6*AK328))*(1+ROUND('3-Liquidita'!$F$7,4)))</f>
        <v>35591.97867012713</v>
      </c>
      <c r="AN328" s="18">
        <f>IF($A328&gt;'1-Input'!$B$26,AP327,(AP327-AL328)*(1+'5-Roberta'!$C$4))</f>
        <v>0</v>
      </c>
      <c r="AO328" s="18">
        <f>IF($A328&gt;'1-Input'!$B$26,AM328,AM328-'P-Parametri'!$B$8*(AN328+AM328)+MIN(MAX(AN328,0),'P-Parametri'!$B$8*(AN328+AM328)))</f>
        <v>35520.794712786876</v>
      </c>
      <c r="AP328" s="18">
        <f>IF($A328&gt;'1-Input'!$B$26,AN328,AN328-MIN(MAX(AN328,0),'P-Parametri'!$B$8*(AN328+AM328)))</f>
        <v>0</v>
      </c>
      <c r="AQ328" s="18">
        <f>IF($A328&gt;'1-Input'!$B$26,AQ327,AQ327-AL328*(1-AK328))</f>
        <v>0</v>
      </c>
    </row>
    <row r="329" spans="1:43">
      <c r="A329" s="10">
        <f>41</f>
        <v>41</v>
      </c>
      <c r="B329" s="11">
        <f>IF($A329&gt;'1-Input'!$B$26,0,IF(G328&lt;=0,0,MAX(0,(G328-H328)/G328)))</f>
        <v>0.73641186319990815</v>
      </c>
      <c r="C329" s="18">
        <f>IF($A329&gt;'1-Input'!$B$26,0,(MAX(0,B286-IF($A329&gt;='1-Input'!$C$12,'1-Input'!$B$12,0))-MIN(MAX(F328,0),MAX(0,B286-IF($A329&gt;='1-Input'!$C$12,'1-Input'!$B$12,0))))*(1/(1-'P-Parametri'!$B$6*B329))+MIN(MAX(0,G328-(MAX(0,B286-IF($A329&gt;='1-Input'!$C$12,'1-Input'!$B$12,0))-MIN(MAX(F328,0),MAX(0,B286-IF($A329&gt;='1-Input'!$C$12,'1-Input'!$B$12,0))))*(1/(1-'P-Parametri'!$B$6*B329))),MAX(0,2*B286-(F328-MIN(MAX(F328,0),MAX(0,B286-IF($A329&gt;='1-Input'!$C$12,'1-Input'!$B$12,0)))))*(1/(1-'P-Parametri'!$B$6*B329))))</f>
        <v>6640.2664805423301</v>
      </c>
      <c r="D329" s="18">
        <f>IF($A329&gt;'1-Input'!$B$26,F328,(F328-MAX(0,B286-IF($A329&gt;='1-Input'!$C$12,'1-Input'!$B$12,0))+C329*(1-'P-Parametri'!$B$6*B329))*(1+ROUND('3-Liquidita'!$F$7,4)))</f>
        <v>33572.29192621589</v>
      </c>
      <c r="E329" s="18">
        <f>IF($A329&gt;'1-Input'!$B$26,G328,(G328-C329)*(1+'5-Roberta'!$C$4))</f>
        <v>137954.13946316717</v>
      </c>
      <c r="F329" s="18">
        <f>IF($A329&gt;'1-Input'!$B$26,D329,D329-'P-Parametri'!$B$8*(E329+D329)+MIN(MAX(E329,0),'P-Parametri'!$B$8*(E329+D329)))</f>
        <v>33572.29192621589</v>
      </c>
      <c r="G329" s="18">
        <f>IF($A329&gt;'1-Input'!$B$26,E329,E329-MIN(MAX(E329,0),'P-Parametri'!$B$8*(E329+D329)))</f>
        <v>137611.0866003884</v>
      </c>
      <c r="H329" s="18">
        <f>IF($A329&gt;'1-Input'!$B$26,H328,H328-C329*(1-B329))</f>
        <v>35303.955907724529</v>
      </c>
      <c r="I329" s="11">
        <f>IF($A329&gt;'1-Input'!$B$26,0,IF(N328&lt;=0,0,MAX(0,(N328-O328)/N328)))</f>
        <v>0</v>
      </c>
      <c r="J329" s="18">
        <f>IF($A329&gt;'1-Input'!$B$26,0,(MAX(0,I286-IF($A329&gt;='1-Input'!$C$12,'1-Input'!$B$12,0))-MIN(MAX(M328,0),MAX(0,I286-IF($A329&gt;='1-Input'!$C$12,'1-Input'!$B$12,0))))*(1/(1-'P-Parametri'!$B$6*I329))+MIN(MAX(0,N328-(MAX(0,I286-IF($A329&gt;='1-Input'!$C$12,'1-Input'!$B$12,0))-MIN(MAX(M328,0),MAX(0,I286-IF($A329&gt;='1-Input'!$C$12,'1-Input'!$B$12,0))))*(1/(1-'P-Parametri'!$B$6*I329))),MAX(0,2*I286-(M328-MIN(MAX(M328,0),MAX(0,I286-IF($A329&gt;='1-Input'!$C$12,'1-Input'!$B$12,0)))))*(1/(1-'P-Parametri'!$B$6*I329))))</f>
        <v>10846.756992928691</v>
      </c>
      <c r="K329" s="18">
        <f>IF($A329&gt;'1-Input'!$B$26,M328,(M328-MAX(0,I286-IF($A329&gt;='1-Input'!$C$12,'1-Input'!$B$12,0))+J329*(1-'P-Parametri'!$B$6*I329))*(1+ROUND('3-Liquidita'!$F$7,4)))</f>
        <v>0</v>
      </c>
      <c r="L329" s="18">
        <f>IF($A329&gt;'1-Input'!$B$26,N328,(N328-J329)*(1+'5-Roberta'!$C$4))</f>
        <v>-226633.69663764868</v>
      </c>
      <c r="M329" s="18">
        <f>IF($A329&gt;'1-Input'!$B$26,K329,K329-'P-Parametri'!$B$8*(L329+K329)+MIN(MAX(L329,0),'P-Parametri'!$B$8*(L329+K329)))</f>
        <v>0</v>
      </c>
      <c r="N329" s="18">
        <f>IF($A329&gt;'1-Input'!$B$26,L329,L329-MIN(MAX(L329,0),'P-Parametri'!$B$8*(L329+K329)))</f>
        <v>-226180.42924437337</v>
      </c>
      <c r="O329" s="18">
        <f>IF($A329&gt;'1-Input'!$B$26,O328,O328-J329*(1-I329))</f>
        <v>-176710.56887263426</v>
      </c>
      <c r="P329" s="11">
        <f>IF($A329&gt;'1-Input'!$B$26,0,IF(U328&lt;=0,0,MAX(0,(U328-V328)/U328)))</f>
        <v>0</v>
      </c>
      <c r="Q329" s="18">
        <f>IF($A329&gt;'1-Input'!$B$26,0,(MAX(0,P286-IF($A329&gt;='1-Input'!$C$12,'1-Input'!$B$12,0))-MIN(MAX(T328,0),MAX(0,P286-IF($A329&gt;='1-Input'!$C$12,'1-Input'!$B$12,0))))*(1/(1-'P-Parametri'!$B$6*P329))+MIN(MAX(0,U328-(MAX(0,P286-IF($A329&gt;='1-Input'!$C$12,'1-Input'!$B$12,0))-MIN(MAX(T328,0),MAX(0,P286-IF($A329&gt;='1-Input'!$C$12,'1-Input'!$B$12,0))))*(1/(1-'P-Parametri'!$B$6*P329))),MAX(0,2*P286-(T328-MIN(MAX(T328,0),MAX(0,P286-IF($A329&gt;='1-Input'!$C$12,'1-Input'!$B$12,0)))))*(1/(1-'P-Parametri'!$B$6*P329))))</f>
        <v>0</v>
      </c>
      <c r="R329" s="18">
        <f>IF($A329&gt;'1-Input'!$B$26,T328,(T328-MAX(0,P286-IF($A329&gt;='1-Input'!$C$12,'1-Input'!$B$12,0))+Q329*(1-'P-Parametri'!$B$6*P329))*(1+ROUND('3-Liquidita'!$F$7,4)))</f>
        <v>12079.78926070645</v>
      </c>
      <c r="S329" s="18">
        <f>IF($A329&gt;'1-Input'!$B$26,U328,(U328-Q329)*(1+'5-Roberta'!$C$4))</f>
        <v>0</v>
      </c>
      <c r="T329" s="18">
        <f>IF($A329&gt;'1-Input'!$B$26,R329,R329-'P-Parametri'!$B$8*(S329+R329)+MIN(MAX(S329,0),'P-Parametri'!$B$8*(S329+R329)))</f>
        <v>12055.629682185037</v>
      </c>
      <c r="U329" s="18">
        <f>IF($A329&gt;'1-Input'!$B$26,S329,S329-MIN(MAX(S329,0),'P-Parametri'!$B$8*(S329+R329)))</f>
        <v>0</v>
      </c>
      <c r="V329" s="18">
        <f>IF($A329&gt;'1-Input'!$B$26,V328,V328-Q329*(1-P329))</f>
        <v>0</v>
      </c>
      <c r="W329" s="11">
        <f>IF($A329&gt;'1-Input'!$B$26,0,IF(AB328&lt;=0,0,MAX(0,(AB328-AC328)/AB328)))</f>
        <v>0</v>
      </c>
      <c r="X329" s="18">
        <f>IF($A329&gt;'1-Input'!$B$26,0,(MAX(0,W286-IF($A329&gt;='1-Input'!$C$12,'1-Input'!$B$12,0))-MIN(MAX(AA328,0),MAX(0,W286-IF($A329&gt;='1-Input'!$C$12,'1-Input'!$B$12,0))))*(1/(1-'P-Parametri'!$B$6*W329))+MIN(MAX(0,AB328-(MAX(0,W286-IF($A329&gt;='1-Input'!$C$12,'1-Input'!$B$12,0))-MIN(MAX(AA328,0),MAX(0,W286-IF($A329&gt;='1-Input'!$C$12,'1-Input'!$B$12,0))))*(1/(1-'P-Parametri'!$B$6*W329))),MAX(0,2*W286-(AA328-MIN(MAX(AA328,0),MAX(0,W286-IF($A329&gt;='1-Input'!$C$12,'1-Input'!$B$12,0)))))*(1/(1-'P-Parametri'!$B$6*W329))))</f>
        <v>0</v>
      </c>
      <c r="Y329" s="18">
        <f>IF($A329&gt;'1-Input'!$B$26,AA328,(AA328-MAX(0,W286-IF($A329&gt;='1-Input'!$C$12,'1-Input'!$B$12,0))+X329*(1-'P-Parametri'!$B$6*W329))*(1+ROUND('3-Liquidita'!$F$7,4)))</f>
        <v>27715.222577845565</v>
      </c>
      <c r="Z329" s="18">
        <f>IF($A329&gt;'1-Input'!$B$26,AB328,(AB328-X329)*(1+'5-Roberta'!$C$4))</f>
        <v>0</v>
      </c>
      <c r="AA329" s="18">
        <f>IF($A329&gt;'1-Input'!$B$26,Y329,Y329-'P-Parametri'!$B$8*(Z329+Y329)+MIN(MAX(Z329,0),'P-Parametri'!$B$8*(Z329+Y329)))</f>
        <v>27659.792132689872</v>
      </c>
      <c r="AB329" s="18">
        <f>IF($A329&gt;'1-Input'!$B$26,Z329,Z329-MIN(MAX(Z329,0),'P-Parametri'!$B$8*(Z329+Y329)))</f>
        <v>0</v>
      </c>
      <c r="AC329" s="18">
        <f>IF($A329&gt;'1-Input'!$B$26,AC328,AC328-X329*(1-W329))</f>
        <v>2.2737367544323206E-13</v>
      </c>
      <c r="AD329" s="11">
        <f>IF($A329&gt;'1-Input'!$B$26,0,IF(AI328&lt;=0,0,MAX(0,(AI328-AJ328)/AI328)))</f>
        <v>0</v>
      </c>
      <c r="AE329" s="18">
        <f>IF($A329&gt;'1-Input'!$B$26,0,(MAX(0,AD286-IF($A329&gt;='1-Input'!$C$12,'1-Input'!$B$12,0))-MIN(MAX(AH328,0),MAX(0,AD286-IF($A329&gt;='1-Input'!$C$12,'1-Input'!$B$12,0))))*(1/(1-'P-Parametri'!$B$6*AD329))+MIN(MAX(0,AI328-(MAX(0,AD286-IF($A329&gt;='1-Input'!$C$12,'1-Input'!$B$12,0))-MIN(MAX(AH328,0),MAX(0,AD286-IF($A329&gt;='1-Input'!$C$12,'1-Input'!$B$12,0))))*(1/(1-'P-Parametri'!$B$6*AD329))),MAX(0,2*AD286-(AH328-MIN(MAX(AH328,0),MAX(0,AD286-IF($A329&gt;='1-Input'!$C$12,'1-Input'!$B$12,0)))))*(1/(1-'P-Parametri'!$B$6*AD329))))</f>
        <v>0</v>
      </c>
      <c r="AF329" s="18">
        <f>IF($A329&gt;'1-Input'!$B$26,AH328,(AH328-MAX(0,AD286-IF($A329&gt;='1-Input'!$C$12,'1-Input'!$B$12,0))+AE329*(1-'P-Parametri'!$B$6*AD329))*(1+ROUND('3-Liquidita'!$F$7,4)))</f>
        <v>28531.867876374567</v>
      </c>
      <c r="AG329" s="18">
        <f>IF($A329&gt;'1-Input'!$B$26,AI328,(AI328-AE329)*(1+'5-Roberta'!$C$4))</f>
        <v>0</v>
      </c>
      <c r="AH329" s="18">
        <f>IF($A329&gt;'1-Input'!$B$26,AF329,AF329-'P-Parametri'!$B$8*(AG329+AF329)+MIN(MAX(AG329,0),'P-Parametri'!$B$8*(AG329+AF329)))</f>
        <v>28474.804140621818</v>
      </c>
      <c r="AI329" s="18">
        <f>IF($A329&gt;'1-Input'!$B$26,AG329,AG329-MIN(MAX(AG329,0),'P-Parametri'!$B$8*(AG329+AF329)))</f>
        <v>0</v>
      </c>
      <c r="AJ329" s="18">
        <f>IF($A329&gt;'1-Input'!$B$26,AJ328,AJ328-AE329*(1-AD329))</f>
        <v>0</v>
      </c>
      <c r="AK329" s="11">
        <f>IF($A329&gt;'1-Input'!$B$26,0,IF(AP328&lt;=0,0,MAX(0,(AP328-AQ328)/AP328)))</f>
        <v>0</v>
      </c>
      <c r="AL329" s="18">
        <f>IF($A329&gt;'1-Input'!$B$26,0,(MAX(0,AK286-IF($A329&gt;='1-Input'!$C$12,'1-Input'!$B$12,0))-MIN(MAX(AO328,0),MAX(0,AK286-IF($A329&gt;='1-Input'!$C$12,'1-Input'!$B$12,0))))*(1/(1-'P-Parametri'!$B$6*AK329))+MIN(MAX(0,AP328-(MAX(0,AK286-IF($A329&gt;='1-Input'!$C$12,'1-Input'!$B$12,0))-MIN(MAX(AO328,0),MAX(0,AK286-IF($A329&gt;='1-Input'!$C$12,'1-Input'!$B$12,0))))*(1/(1-'P-Parametri'!$B$6*AK329))),MAX(0,2*AK286-(AO328-MIN(MAX(AO328,0),MAX(0,AK286-IF($A329&gt;='1-Input'!$C$12,'1-Input'!$B$12,0)))))*(1/(1-'P-Parametri'!$B$6*AK329))))</f>
        <v>0</v>
      </c>
      <c r="AM329" s="18">
        <f>IF($A329&gt;'1-Input'!$B$26,AO328,(AO328-MAX(0,AK286-IF($A329&gt;='1-Input'!$C$12,'1-Input'!$B$12,0))+AL329*(1-'P-Parametri'!$B$6*AK329))*(1+ROUND('3-Liquidita'!$F$7,4)))</f>
        <v>28534.360620942458</v>
      </c>
      <c r="AN329" s="18">
        <f>IF($A329&gt;'1-Input'!$B$26,AP328,(AP328-AL329)*(1+'5-Roberta'!$C$4))</f>
        <v>0</v>
      </c>
      <c r="AO329" s="18">
        <f>IF($A329&gt;'1-Input'!$B$26,AM329,AM329-'P-Parametri'!$B$8*(AN329+AM329)+MIN(MAX(AN329,0),'P-Parametri'!$B$8*(AN329+AM329)))</f>
        <v>28477.291899700573</v>
      </c>
      <c r="AP329" s="18">
        <f>IF($A329&gt;'1-Input'!$B$26,AN329,AN329-MIN(MAX(AN329,0),'P-Parametri'!$B$8*(AN329+AM329)))</f>
        <v>0</v>
      </c>
      <c r="AQ329" s="18">
        <f>IF($A329&gt;'1-Input'!$B$26,AQ328,AQ328-AL329*(1-AK329))</f>
        <v>0</v>
      </c>
    </row>
    <row r="330" spans="1:43">
      <c r="A330" s="10">
        <f>42</f>
        <v>42</v>
      </c>
      <c r="B330" s="11">
        <f>IF($A330&gt;'1-Input'!$B$26,0,IF(G329&lt;=0,0,MAX(0,(G329-H329)/G329)))</f>
        <v>0.74345122344506731</v>
      </c>
      <c r="C330" s="18">
        <f>IF($A330&gt;'1-Input'!$B$26,0,(MAX(0,B286-IF($A330&gt;='1-Input'!$C$12,'1-Input'!$B$12,0))-MIN(MAX(F329,0),MAX(0,B286-IF($A330&gt;='1-Input'!$C$12,'1-Input'!$B$12,0))))*(1/(1-'P-Parametri'!$B$6*B330))+MIN(MAX(0,G329-(MAX(0,B286-IF($A330&gt;='1-Input'!$C$12,'1-Input'!$B$12,0))-MIN(MAX(F329,0),MAX(0,B286-IF($A330&gt;='1-Input'!$C$12,'1-Input'!$B$12,0))))*(1/(1-'P-Parametri'!$B$6*B330))),MAX(0,2*B286-(F329-MIN(MAX(F329,0),MAX(0,B286-IF($A330&gt;='1-Input'!$C$12,'1-Input'!$B$12,0)))))*(1/(1-'P-Parametri'!$B$6*B330))))</f>
        <v>6655.3318069897641</v>
      </c>
      <c r="D330" s="18">
        <f>IF($A330&gt;'1-Input'!$B$26,F329,(F329-MAX(0,B286-IF($A330&gt;='1-Input'!$C$12,'1-Input'!$B$12,0))+C330*(1-'P-Parametri'!$B$6*B330))*(1+ROUND('3-Liquidita'!$F$7,4)))</f>
        <v>33572.29192621589</v>
      </c>
      <c r="E330" s="18">
        <f>IF($A330&gt;'1-Input'!$B$26,G329,(G329-C330)*(1+'5-Roberta'!$C$4))</f>
        <v>134884.42743720059</v>
      </c>
      <c r="F330" s="18">
        <f>IF($A330&gt;'1-Input'!$B$26,D330,D330-'P-Parametri'!$B$8*(E330+D330)+MIN(MAX(E330,0),'P-Parametri'!$B$8*(E330+D330)))</f>
        <v>33572.29192621589</v>
      </c>
      <c r="G330" s="18">
        <f>IF($A330&gt;'1-Input'!$B$26,E330,E330-MIN(MAX(E330,0),'P-Parametri'!$B$8*(E330+D330)))</f>
        <v>134547.51399847376</v>
      </c>
      <c r="H330" s="18">
        <f>IF($A330&gt;'1-Input'!$B$26,H329,H329-C330*(1-B330))</f>
        <v>33596.538675074175</v>
      </c>
      <c r="I330" s="11">
        <f>IF($A330&gt;'1-Input'!$B$26,0,IF(N329&lt;=0,0,MAX(0,(N329-O329)/N329)))</f>
        <v>0</v>
      </c>
      <c r="J330" s="18">
        <f>IF($A330&gt;'1-Input'!$B$26,0,(MAX(0,I286-IF($A330&gt;='1-Input'!$C$12,'1-Input'!$B$12,0))-MIN(MAX(M329,0),MAX(0,I286-IF($A330&gt;='1-Input'!$C$12,'1-Input'!$B$12,0))))*(1/(1-'P-Parametri'!$B$6*I330))+MIN(MAX(0,N329-(MAX(0,I286-IF($A330&gt;='1-Input'!$C$12,'1-Input'!$B$12,0))-MIN(MAX(M329,0),MAX(0,I286-IF($A330&gt;='1-Input'!$C$12,'1-Input'!$B$12,0))))*(1/(1-'P-Parametri'!$B$6*I330))),MAX(0,2*I286-(M329-MIN(MAX(M329,0),MAX(0,I286-IF($A330&gt;='1-Input'!$C$12,'1-Input'!$B$12,0)))))*(1/(1-'P-Parametri'!$B$6*I330))))</f>
        <v>10846.756992928691</v>
      </c>
      <c r="K330" s="18">
        <f>IF($A330&gt;'1-Input'!$B$26,M329,(M329-MAX(0,I286-IF($A330&gt;='1-Input'!$C$12,'1-Input'!$B$12,0))+J330*(1-'P-Parametri'!$B$6*I330))*(1+ROUND('3-Liquidita'!$F$7,4)))</f>
        <v>0</v>
      </c>
      <c r="L330" s="18">
        <f>IF($A330&gt;'1-Input'!$B$26,N329,(N329-J330)*(1+'5-Roberta'!$C$4))</f>
        <v>-244138.00182442111</v>
      </c>
      <c r="M330" s="18">
        <f>IF($A330&gt;'1-Input'!$B$26,K330,K330-'P-Parametri'!$B$8*(L330+K330)+MIN(MAX(L330,0),'P-Parametri'!$B$8*(L330+K330)))</f>
        <v>0</v>
      </c>
      <c r="N330" s="18">
        <f>IF($A330&gt;'1-Input'!$B$26,L330,L330-MIN(MAX(L330,0),'P-Parametri'!$B$8*(L330+K330)))</f>
        <v>-243649.72582077226</v>
      </c>
      <c r="O330" s="18">
        <f>IF($A330&gt;'1-Input'!$B$26,O329,O329-J330*(1-I330))</f>
        <v>-187557.32586556295</v>
      </c>
      <c r="P330" s="11">
        <f>IF($A330&gt;'1-Input'!$B$26,0,IF(U329&lt;=0,0,MAX(0,(U329-V329)/U329)))</f>
        <v>0</v>
      </c>
      <c r="Q330" s="18">
        <f>IF($A330&gt;'1-Input'!$B$26,0,(MAX(0,P286-IF($A330&gt;='1-Input'!$C$12,'1-Input'!$B$12,0))-MIN(MAX(T329,0),MAX(0,P286-IF($A330&gt;='1-Input'!$C$12,'1-Input'!$B$12,0))))*(1/(1-'P-Parametri'!$B$6*P330))+MIN(MAX(0,U329-(MAX(0,P286-IF($A330&gt;='1-Input'!$C$12,'1-Input'!$B$12,0))-MIN(MAX(T329,0),MAX(0,P286-IF($A330&gt;='1-Input'!$C$12,'1-Input'!$B$12,0))))*(1/(1-'P-Parametri'!$B$6*P330))),MAX(0,2*P286-(T329-MIN(MAX(T329,0),MAX(0,P286-IF($A330&gt;='1-Input'!$C$12,'1-Input'!$B$12,0)))))*(1/(1-'P-Parametri'!$B$6*P330))))</f>
        <v>0</v>
      </c>
      <c r="R330" s="18">
        <f>IF($A330&gt;'1-Input'!$B$26,T329,(T329-MAX(0,P286-IF($A330&gt;='1-Input'!$C$12,'1-Input'!$B$12,0))+Q330*(1-'P-Parametri'!$B$6*P330))*(1+ROUND('3-Liquidita'!$F$7,4)))</f>
        <v>4682.462422404501</v>
      </c>
      <c r="S330" s="18">
        <f>IF($A330&gt;'1-Input'!$B$26,U329,(U329-Q330)*(1+'5-Roberta'!$C$4))</f>
        <v>0</v>
      </c>
      <c r="T330" s="18">
        <f>IF($A330&gt;'1-Input'!$B$26,R330,R330-'P-Parametri'!$B$8*(S330+R330)+MIN(MAX(S330,0),'P-Parametri'!$B$8*(S330+R330)))</f>
        <v>4673.0974975596919</v>
      </c>
      <c r="U330" s="18">
        <f>IF($A330&gt;'1-Input'!$B$26,S330,S330-MIN(MAX(S330,0),'P-Parametri'!$B$8*(S330+R330)))</f>
        <v>0</v>
      </c>
      <c r="V330" s="18">
        <f>IF($A330&gt;'1-Input'!$B$26,V329,V329-Q330*(1-P330))</f>
        <v>0</v>
      </c>
      <c r="W330" s="11">
        <f>IF($A330&gt;'1-Input'!$B$26,0,IF(AB329&lt;=0,0,MAX(0,(AB329-AC329)/AB329)))</f>
        <v>0</v>
      </c>
      <c r="X330" s="18">
        <f>IF($A330&gt;'1-Input'!$B$26,0,(MAX(0,W286-IF($A330&gt;='1-Input'!$C$12,'1-Input'!$B$12,0))-MIN(MAX(AA329,0),MAX(0,W286-IF($A330&gt;='1-Input'!$C$12,'1-Input'!$B$12,0))))*(1/(1-'P-Parametri'!$B$6*W330))+MIN(MAX(0,AB329-(MAX(0,W286-IF($A330&gt;='1-Input'!$C$12,'1-Input'!$B$12,0))-MIN(MAX(AA329,0),MAX(0,W286-IF($A330&gt;='1-Input'!$C$12,'1-Input'!$B$12,0))))*(1/(1-'P-Parametri'!$B$6*W330))),MAX(0,2*W286-(AA329-MIN(MAX(AA329,0),MAX(0,W286-IF($A330&gt;='1-Input'!$C$12,'1-Input'!$B$12,0)))))*(1/(1-'P-Parametri'!$B$6*W330))))</f>
        <v>0</v>
      </c>
      <c r="Y330" s="18">
        <f>IF($A330&gt;'1-Input'!$B$26,AA329,(AA329-MAX(0,W286-IF($A330&gt;='1-Input'!$C$12,'1-Input'!$B$12,0))+X330*(1-'P-Parametri'!$B$6*W330))*(1+ROUND('3-Liquidita'!$F$7,4)))</f>
        <v>20612.119936960989</v>
      </c>
      <c r="Z330" s="18">
        <f>IF($A330&gt;'1-Input'!$B$26,AB329,(AB329-X330)*(1+'5-Roberta'!$C$4))</f>
        <v>0</v>
      </c>
      <c r="AA330" s="18">
        <f>IF($A330&gt;'1-Input'!$B$26,Y330,Y330-'P-Parametri'!$B$8*(Z330+Y330)+MIN(MAX(Z330,0),'P-Parametri'!$B$8*(Z330+Y330)))</f>
        <v>20570.895697087068</v>
      </c>
      <c r="AB330" s="18">
        <f>IF($A330&gt;'1-Input'!$B$26,Z330,Z330-MIN(MAX(Z330,0),'P-Parametri'!$B$8*(Z330+Y330)))</f>
        <v>0</v>
      </c>
      <c r="AC330" s="18">
        <f>IF($A330&gt;'1-Input'!$B$26,AC329,AC329-X330*(1-W330))</f>
        <v>2.2737367544323206E-13</v>
      </c>
      <c r="AD330" s="11">
        <f>IF($A330&gt;'1-Input'!$B$26,0,IF(AI329&lt;=0,0,MAX(0,(AI329-AJ329)/AI329)))</f>
        <v>0</v>
      </c>
      <c r="AE330" s="18">
        <f>IF($A330&gt;'1-Input'!$B$26,0,(MAX(0,AD286-IF($A330&gt;='1-Input'!$C$12,'1-Input'!$B$12,0))-MIN(MAX(AH329,0),MAX(0,AD286-IF($A330&gt;='1-Input'!$C$12,'1-Input'!$B$12,0))))*(1/(1-'P-Parametri'!$B$6*AD330))+MIN(MAX(0,AI329-(MAX(0,AD286-IF($A330&gt;='1-Input'!$C$12,'1-Input'!$B$12,0))-MIN(MAX(AH329,0),MAX(0,AD286-IF($A330&gt;='1-Input'!$C$12,'1-Input'!$B$12,0))))*(1/(1-'P-Parametri'!$B$6*AD330))),MAX(0,2*AD286-(AH329-MIN(MAX(AH329,0),MAX(0,AD286-IF($A330&gt;='1-Input'!$C$12,'1-Input'!$B$12,0)))))*(1/(1-'P-Parametri'!$B$6*AD330))))</f>
        <v>0</v>
      </c>
      <c r="AF330" s="18">
        <f>IF($A330&gt;'1-Input'!$B$26,AH329,(AH329-MAX(0,AD286-IF($A330&gt;='1-Input'!$C$12,'1-Input'!$B$12,0))+AE330*(1-'P-Parametri'!$B$6*AD330))*(1+ROUND('3-Liquidita'!$F$7,4)))</f>
        <v>21443.944661683021</v>
      </c>
      <c r="AG330" s="18">
        <f>IF($A330&gt;'1-Input'!$B$26,AI329,(AI329-AE330)*(1+'5-Roberta'!$C$4))</f>
        <v>0</v>
      </c>
      <c r="AH330" s="18">
        <f>IF($A330&gt;'1-Input'!$B$26,AF330,AF330-'P-Parametri'!$B$8*(AG330+AF330)+MIN(MAX(AG330,0),'P-Parametri'!$B$8*(AG330+AF330)))</f>
        <v>21401.056772359654</v>
      </c>
      <c r="AI330" s="18">
        <f>IF($A330&gt;'1-Input'!$B$26,AG330,AG330-MIN(MAX(AG330,0),'P-Parametri'!$B$8*(AG330+AF330)))</f>
        <v>0</v>
      </c>
      <c r="AJ330" s="18">
        <f>IF($A330&gt;'1-Input'!$B$26,AJ329,AJ329-AE330*(1-AD330))</f>
        <v>0</v>
      </c>
      <c r="AK330" s="11">
        <f>IF($A330&gt;'1-Input'!$B$26,0,IF(AP329&lt;=0,0,MAX(0,(AP329-AQ329)/AP329)))</f>
        <v>0</v>
      </c>
      <c r="AL330" s="18">
        <f>IF($A330&gt;'1-Input'!$B$26,0,(MAX(0,AK286-IF($A330&gt;='1-Input'!$C$12,'1-Input'!$B$12,0))-MIN(MAX(AO329,0),MAX(0,AK286-IF($A330&gt;='1-Input'!$C$12,'1-Input'!$B$12,0))))*(1/(1-'P-Parametri'!$B$6*AK330))+MIN(MAX(0,AP329-(MAX(0,AK286-IF($A330&gt;='1-Input'!$C$12,'1-Input'!$B$12,0))-MIN(MAX(AO329,0),MAX(0,AK286-IF($A330&gt;='1-Input'!$C$12,'1-Input'!$B$12,0))))*(1/(1-'P-Parametri'!$B$6*AK330))),MAX(0,2*AK286-(AO329-MIN(MAX(AO329,0),MAX(0,AK286-IF($A330&gt;='1-Input'!$C$12,'1-Input'!$B$12,0)))))*(1/(1-'P-Parametri'!$B$6*AK330))))</f>
        <v>0</v>
      </c>
      <c r="AM330" s="18">
        <f>IF($A330&gt;'1-Input'!$B$26,AO329,(AO329-MAX(0,AK286-IF($A330&gt;='1-Input'!$C$12,'1-Input'!$B$12,0))+AL330*(1-'P-Parametri'!$B$6*AK330))*(1+ROUND('3-Liquidita'!$F$7,4)))</f>
        <v>21446.483740133714</v>
      </c>
      <c r="AN330" s="18">
        <f>IF($A330&gt;'1-Input'!$B$26,AP329,(AP329-AL330)*(1+'5-Roberta'!$C$4))</f>
        <v>0</v>
      </c>
      <c r="AO330" s="18">
        <f>IF($A330&gt;'1-Input'!$B$26,AM330,AM330-'P-Parametri'!$B$8*(AN330+AM330)+MIN(MAX(AN330,0),'P-Parametri'!$B$8*(AN330+AM330)))</f>
        <v>21403.590772653446</v>
      </c>
      <c r="AP330" s="18">
        <f>IF($A330&gt;'1-Input'!$B$26,AN330,AN330-MIN(MAX(AN330,0),'P-Parametri'!$B$8*(AN330+AM330)))</f>
        <v>0</v>
      </c>
      <c r="AQ330" s="18">
        <f>IF($A330&gt;'1-Input'!$B$26,AQ329,AQ329-AL330*(1-AK330))</f>
        <v>0</v>
      </c>
    </row>
    <row r="331" spans="1:43">
      <c r="A331" s="10">
        <f>43</f>
        <v>43</v>
      </c>
      <c r="B331" s="11">
        <f>IF($A331&gt;'1-Input'!$B$26,0,IF(G330&lt;=0,0,MAX(0,(G330-H330)/G330)))</f>
        <v>0.75029981843101701</v>
      </c>
      <c r="C331" s="18">
        <f>IF($A331&gt;'1-Input'!$B$26,0,(MAX(0,B286-IF($A331&gt;='1-Input'!$C$12,'1-Input'!$B$12,0))-MIN(MAX(F330,0),MAX(0,B286-IF($A331&gt;='1-Input'!$C$12,'1-Input'!$B$12,0))))*(1/(1-'P-Parametri'!$B$6*B331))+MIN(MAX(0,G330-(MAX(0,B286-IF($A331&gt;='1-Input'!$C$12,'1-Input'!$B$12,0))-MIN(MAX(F330,0),MAX(0,B286-IF($A331&gt;='1-Input'!$C$12,'1-Input'!$B$12,0))))*(1/(1-'P-Parametri'!$B$6*B331))),MAX(0,2*B286-(F330-MIN(MAX(F330,0),MAX(0,B286-IF($A331&gt;='1-Input'!$C$12,'1-Input'!$B$12,0)))))*(1/(1-'P-Parametri'!$B$6*B331))))</f>
        <v>6670.0546174436886</v>
      </c>
      <c r="D331" s="18">
        <f>IF($A331&gt;'1-Input'!$B$26,F330,(F330-MAX(0,B286-IF($A331&gt;='1-Input'!$C$12,'1-Input'!$B$12,0))+C331*(1-'P-Parametri'!$B$6*B331))*(1+ROUND('3-Liquidita'!$F$7,4)))</f>
        <v>33572.29192621589</v>
      </c>
      <c r="E331" s="18">
        <f>IF($A331&gt;'1-Input'!$B$26,G330,(G330-C331)*(1+'5-Roberta'!$C$4))</f>
        <v>131713.78316246098</v>
      </c>
      <c r="F331" s="18">
        <f>IF($A331&gt;'1-Input'!$B$26,D331,D331-'P-Parametri'!$B$8*(E331+D331)+MIN(MAX(E331,0),'P-Parametri'!$B$8*(E331+D331)))</f>
        <v>33572.29192621589</v>
      </c>
      <c r="G331" s="18">
        <f>IF($A331&gt;'1-Input'!$B$26,E331,E331-MIN(MAX(E331,0),'P-Parametri'!$B$8*(E331+D331)))</f>
        <v>131383.21101228363</v>
      </c>
      <c r="H331" s="18">
        <f>IF($A331&gt;'1-Input'!$B$26,H330,H330-C331*(1-B331))</f>
        <v>31931.024826023451</v>
      </c>
      <c r="I331" s="11">
        <f>IF($A331&gt;'1-Input'!$B$26,0,IF(N330&lt;=0,0,MAX(0,(N330-O330)/N330)))</f>
        <v>0</v>
      </c>
      <c r="J331" s="18">
        <f>IF($A331&gt;'1-Input'!$B$26,0,(MAX(0,I286-IF($A331&gt;='1-Input'!$C$12,'1-Input'!$B$12,0))-MIN(MAX(M330,0),MAX(0,I286-IF($A331&gt;='1-Input'!$C$12,'1-Input'!$B$12,0))))*(1/(1-'P-Parametri'!$B$6*I331))+MIN(MAX(0,N330-(MAX(0,I286-IF($A331&gt;='1-Input'!$C$12,'1-Input'!$B$12,0))-MIN(MAX(M330,0),MAX(0,I286-IF($A331&gt;='1-Input'!$C$12,'1-Input'!$B$12,0))))*(1/(1-'P-Parametri'!$B$6*I331))),MAX(0,2*I286-(M330-MIN(MAX(M330,0),MAX(0,I286-IF($A331&gt;='1-Input'!$C$12,'1-Input'!$B$12,0)))))*(1/(1-'P-Parametri'!$B$6*I331))))</f>
        <v>10846.756992928691</v>
      </c>
      <c r="K331" s="18">
        <f>IF($A331&gt;'1-Input'!$B$26,M330,(M330-MAX(0,I286-IF($A331&gt;='1-Input'!$C$12,'1-Input'!$B$12,0))+J331*(1-'P-Parametri'!$B$6*I331))*(1+ROUND('3-Liquidita'!$F$7,4)))</f>
        <v>0</v>
      </c>
      <c r="L331" s="18">
        <f>IF($A331&gt;'1-Input'!$B$26,N330,(N330-J331)*(1+'5-Roberta'!$C$4))</f>
        <v>-262131.37729811197</v>
      </c>
      <c r="M331" s="18">
        <f>IF($A331&gt;'1-Input'!$B$26,K331,K331-'P-Parametri'!$B$8*(L331+K331)+MIN(MAX(L331,0),'P-Parametri'!$B$8*(L331+K331)))</f>
        <v>0</v>
      </c>
      <c r="N331" s="18">
        <f>IF($A331&gt;'1-Input'!$B$26,L331,L331-MIN(MAX(L331,0),'P-Parametri'!$B$8*(L331+K331)))</f>
        <v>-261607.11454351575</v>
      </c>
      <c r="O331" s="18">
        <f>IF($A331&gt;'1-Input'!$B$26,O330,O330-J331*(1-I331))</f>
        <v>-198404.08285849163</v>
      </c>
      <c r="P331" s="11">
        <f>IF($A331&gt;'1-Input'!$B$26,0,IF(U330&lt;=0,0,MAX(0,(U330-V330)/U330)))</f>
        <v>0</v>
      </c>
      <c r="Q331" s="18">
        <f>IF($A331&gt;'1-Input'!$B$26,0,(MAX(0,P286-IF($A331&gt;='1-Input'!$C$12,'1-Input'!$B$12,0))-MIN(MAX(T330,0),MAX(0,P286-IF($A331&gt;='1-Input'!$C$12,'1-Input'!$B$12,0))))*(1/(1-'P-Parametri'!$B$6*P331))+MIN(MAX(0,U330-(MAX(0,P286-IF($A331&gt;='1-Input'!$C$12,'1-Input'!$B$12,0))-MIN(MAX(T330,0),MAX(0,P286-IF($A331&gt;='1-Input'!$C$12,'1-Input'!$B$12,0))))*(1/(1-'P-Parametri'!$B$6*P331))),MAX(0,2*P286-(T330-MIN(MAX(T330,0),MAX(0,P286-IF($A331&gt;='1-Input'!$C$12,'1-Input'!$B$12,0)))))*(1/(1-'P-Parametri'!$B$6*P331))))</f>
        <v>2729.3845920540434</v>
      </c>
      <c r="R331" s="18">
        <f>IF($A331&gt;'1-Input'!$B$26,T330,(T330-MAX(0,P286-IF($A331&gt;='1-Input'!$C$12,'1-Input'!$B$12,0))+Q331*(1-'P-Parametri'!$B$6*P331))*(1+ROUND('3-Liquidita'!$F$7,4)))</f>
        <v>0</v>
      </c>
      <c r="S331" s="18">
        <f>IF($A331&gt;'1-Input'!$B$26,U330,(U330-Q331)*(1+'5-Roberta'!$C$4))</f>
        <v>-2811.266129815665</v>
      </c>
      <c r="T331" s="18">
        <f>IF($A331&gt;'1-Input'!$B$26,R331,R331-'P-Parametri'!$B$8*(S331+R331)+MIN(MAX(S331,0),'P-Parametri'!$B$8*(S331+R331)))</f>
        <v>0</v>
      </c>
      <c r="U331" s="18">
        <f>IF($A331&gt;'1-Input'!$B$26,S331,S331-MIN(MAX(S331,0),'P-Parametri'!$B$8*(S331+R331)))</f>
        <v>-2805.6435975560335</v>
      </c>
      <c r="V331" s="18">
        <f>IF($A331&gt;'1-Input'!$B$26,V330,V330-Q331*(1-P331))</f>
        <v>-2729.3845920540434</v>
      </c>
      <c r="W331" s="11">
        <f>IF($A331&gt;'1-Input'!$B$26,0,IF(AB330&lt;=0,0,MAX(0,(AB330-AC330)/AB330)))</f>
        <v>0</v>
      </c>
      <c r="X331" s="18">
        <f>IF($A331&gt;'1-Input'!$B$26,0,(MAX(0,W286-IF($A331&gt;='1-Input'!$C$12,'1-Input'!$B$12,0))-MIN(MAX(AA330,0),MAX(0,W286-IF($A331&gt;='1-Input'!$C$12,'1-Input'!$B$12,0))))*(1/(1-'P-Parametri'!$B$6*W331))+MIN(MAX(0,AB330-(MAX(0,W286-IF($A331&gt;='1-Input'!$C$12,'1-Input'!$B$12,0))-MIN(MAX(AA330,0),MAX(0,W286-IF($A331&gt;='1-Input'!$C$12,'1-Input'!$B$12,0))))*(1/(1-'P-Parametri'!$B$6*W331))),MAX(0,2*W286-(AA330-MIN(MAX(AA330,0),MAX(0,W286-IF($A331&gt;='1-Input'!$C$12,'1-Input'!$B$12,0)))))*(1/(1-'P-Parametri'!$B$6*W331))))</f>
        <v>0</v>
      </c>
      <c r="Y331" s="18">
        <f>IF($A331&gt;'1-Input'!$B$26,AA330,(AA330-MAX(0,W286-IF($A331&gt;='1-Input'!$C$12,'1-Input'!$B$12,0))+X331*(1-'P-Parametri'!$B$6*W331))*(1+ROUND('3-Liquidita'!$F$7,4)))</f>
        <v>13478.563453813887</v>
      </c>
      <c r="Z331" s="18">
        <f>IF($A331&gt;'1-Input'!$B$26,AB330,(AB330-X331)*(1+'5-Roberta'!$C$4))</f>
        <v>0</v>
      </c>
      <c r="AA331" s="18">
        <f>IF($A331&gt;'1-Input'!$B$26,Y331,Y331-'P-Parametri'!$B$8*(Z331+Y331)+MIN(MAX(Z331,0),'P-Parametri'!$B$8*(Z331+Y331)))</f>
        <v>13451.60632690626</v>
      </c>
      <c r="AB331" s="18">
        <f>IF($A331&gt;'1-Input'!$B$26,Z331,Z331-MIN(MAX(Z331,0),'P-Parametri'!$B$8*(Z331+Y331)))</f>
        <v>0</v>
      </c>
      <c r="AC331" s="18">
        <f>IF($A331&gt;'1-Input'!$B$26,AC330,AC330-X331*(1-W331))</f>
        <v>2.2737367544323206E-13</v>
      </c>
      <c r="AD331" s="11">
        <f>IF($A331&gt;'1-Input'!$B$26,0,IF(AI330&lt;=0,0,MAX(0,(AI330-AJ330)/AI330)))</f>
        <v>0</v>
      </c>
      <c r="AE331" s="18">
        <f>IF($A331&gt;'1-Input'!$B$26,0,(MAX(0,AD286-IF($A331&gt;='1-Input'!$C$12,'1-Input'!$B$12,0))-MIN(MAX(AH330,0),MAX(0,AD286-IF($A331&gt;='1-Input'!$C$12,'1-Input'!$B$12,0))))*(1/(1-'P-Parametri'!$B$6*AD331))+MIN(MAX(0,AI330-(MAX(0,AD286-IF($A331&gt;='1-Input'!$C$12,'1-Input'!$B$12,0))-MIN(MAX(AH330,0),MAX(0,AD286-IF($A331&gt;='1-Input'!$C$12,'1-Input'!$B$12,0))))*(1/(1-'P-Parametri'!$B$6*AD331))),MAX(0,2*AD286-(AH330-MIN(MAX(AH330,0),MAX(0,AD286-IF($A331&gt;='1-Input'!$C$12,'1-Input'!$B$12,0)))))*(1/(1-'P-Parametri'!$B$6*AD331))))</f>
        <v>0</v>
      </c>
      <c r="AF331" s="18">
        <f>IF($A331&gt;'1-Input'!$B$26,AH330,(AH330-MAX(0,AD286-IF($A331&gt;='1-Input'!$C$12,'1-Input'!$B$12,0))+AE331*(1-'P-Parametri'!$B$6*AD331))*(1+ROUND('3-Liquidita'!$F$7,4)))</f>
        <v>14325.632685000806</v>
      </c>
      <c r="AG331" s="18">
        <f>IF($A331&gt;'1-Input'!$B$26,AI330,(AI330-AE331)*(1+'5-Roberta'!$C$4))</f>
        <v>0</v>
      </c>
      <c r="AH331" s="18">
        <f>IF($A331&gt;'1-Input'!$B$26,AF331,AF331-'P-Parametri'!$B$8*(AG331+AF331)+MIN(MAX(AG331,0),'P-Parametri'!$B$8*(AG331+AF331)))</f>
        <v>14296.981419630805</v>
      </c>
      <c r="AI331" s="18">
        <f>IF($A331&gt;'1-Input'!$B$26,AG331,AG331-MIN(MAX(AG331,0),'P-Parametri'!$B$8*(AG331+AF331)))</f>
        <v>0</v>
      </c>
      <c r="AJ331" s="18">
        <f>IF($A331&gt;'1-Input'!$B$26,AJ330,AJ330-AE331*(1-AD331))</f>
        <v>0</v>
      </c>
      <c r="AK331" s="11">
        <f>IF($A331&gt;'1-Input'!$B$26,0,IF(AP330&lt;=0,0,MAX(0,(AP330-AQ330)/AP330)))</f>
        <v>0</v>
      </c>
      <c r="AL331" s="18">
        <f>IF($A331&gt;'1-Input'!$B$26,0,(MAX(0,AK286-IF($A331&gt;='1-Input'!$C$12,'1-Input'!$B$12,0))-MIN(MAX(AO330,0),MAX(0,AK286-IF($A331&gt;='1-Input'!$C$12,'1-Input'!$B$12,0))))*(1/(1-'P-Parametri'!$B$6*AK331))+MIN(MAX(0,AP330-(MAX(0,AK286-IF($A331&gt;='1-Input'!$C$12,'1-Input'!$B$12,0))-MIN(MAX(AO330,0),MAX(0,AK286-IF($A331&gt;='1-Input'!$C$12,'1-Input'!$B$12,0))))*(1/(1-'P-Parametri'!$B$6*AK331))),MAX(0,2*AK286-(AO330-MIN(MAX(AO330,0),MAX(0,AK286-IF($A331&gt;='1-Input'!$C$12,'1-Input'!$B$12,0)))))*(1/(1-'P-Parametri'!$B$6*AK331))))</f>
        <v>0</v>
      </c>
      <c r="AM331" s="18">
        <f>IF($A331&gt;'1-Input'!$B$26,AO330,(AO330-MAX(0,AK286-IF($A331&gt;='1-Input'!$C$12,'1-Input'!$B$12,0))+AL331*(1-'P-Parametri'!$B$6*AK331))*(1+ROUND('3-Liquidita'!$F$7,4)))</f>
        <v>14328.218295986189</v>
      </c>
      <c r="AN331" s="18">
        <f>IF($A331&gt;'1-Input'!$B$26,AP330,(AP330-AL331)*(1+'5-Roberta'!$C$4))</f>
        <v>0</v>
      </c>
      <c r="AO331" s="18">
        <f>IF($A331&gt;'1-Input'!$B$26,AM331,AM331-'P-Parametri'!$B$8*(AN331+AM331)+MIN(MAX(AN331,0),'P-Parametri'!$B$8*(AN331+AM331)))</f>
        <v>14299.561859394216</v>
      </c>
      <c r="AP331" s="18">
        <f>IF($A331&gt;'1-Input'!$B$26,AN331,AN331-MIN(MAX(AN331,0),'P-Parametri'!$B$8*(AN331+AM331)))</f>
        <v>0</v>
      </c>
      <c r="AQ331" s="18">
        <f>IF($A331&gt;'1-Input'!$B$26,AQ330,AQ330-AL331*(1-AK331))</f>
        <v>0</v>
      </c>
    </row>
    <row r="332" spans="1:43">
      <c r="A332" s="10">
        <f>44</f>
        <v>44</v>
      </c>
      <c r="B332" s="11">
        <f>IF($A332&gt;'1-Input'!$B$26,0,IF(G331&lt;=0,0,MAX(0,(G331-H331)/G331)))</f>
        <v>0.75696266988756977</v>
      </c>
      <c r="C332" s="18">
        <f>IF($A332&gt;'1-Input'!$B$26,0,(MAX(0,B286-IF($A332&gt;='1-Input'!$C$12,'1-Input'!$B$12,0))-MIN(MAX(F331,0),MAX(0,B286-IF($A332&gt;='1-Input'!$C$12,'1-Input'!$B$12,0))))*(1/(1-'P-Parametri'!$B$6*B332))+MIN(MAX(0,G331-(MAX(0,B286-IF($A332&gt;='1-Input'!$C$12,'1-Input'!$B$12,0))-MIN(MAX(F331,0),MAX(0,B286-IF($A332&gt;='1-Input'!$C$12,'1-Input'!$B$12,0))))*(1/(1-'P-Parametri'!$B$6*B332))),MAX(0,2*B286-(F331-MIN(MAX(F331,0),MAX(0,B286-IF($A332&gt;='1-Input'!$C$12,'1-Input'!$B$12,0)))))*(1/(1-'P-Parametri'!$B$6*B332))))</f>
        <v>6684.4407724555749</v>
      </c>
      <c r="D332" s="18">
        <f>IF($A332&gt;'1-Input'!$B$26,F331,(F331-MAX(0,B286-IF($A332&gt;='1-Input'!$C$12,'1-Input'!$B$12,0))+C332*(1-'P-Parametri'!$B$6*B332))*(1+ROUND('3-Liquidita'!$F$7,4)))</f>
        <v>33572.29192621589</v>
      </c>
      <c r="E332" s="18">
        <f>IF($A332&gt;'1-Input'!$B$26,G331,(G331-C332)*(1+'5-Roberta'!$C$4))</f>
        <v>128439.73334702289</v>
      </c>
      <c r="F332" s="18">
        <f>IF($A332&gt;'1-Input'!$B$26,D332,D332-'P-Parametri'!$B$8*(E332+D332)+MIN(MAX(E332,0),'P-Parametri'!$B$8*(E332+D332)))</f>
        <v>33572.29192621589</v>
      </c>
      <c r="G332" s="18">
        <f>IF($A332&gt;'1-Input'!$B$26,E332,E332-MIN(MAX(E332,0),'P-Parametri'!$B$8*(E332+D332)))</f>
        <v>128115.70929647642</v>
      </c>
      <c r="H332" s="18">
        <f>IF($A332&gt;'1-Input'!$B$26,H331,H331-C332*(1-B332))</f>
        <v>30306.456187391177</v>
      </c>
      <c r="I332" s="11">
        <f>IF($A332&gt;'1-Input'!$B$26,0,IF(N331&lt;=0,0,MAX(0,(N331-O331)/N331)))</f>
        <v>0</v>
      </c>
      <c r="J332" s="18">
        <f>IF($A332&gt;'1-Input'!$B$26,0,(MAX(0,I286-IF($A332&gt;='1-Input'!$C$12,'1-Input'!$B$12,0))-MIN(MAX(M331,0),MAX(0,I286-IF($A332&gt;='1-Input'!$C$12,'1-Input'!$B$12,0))))*(1/(1-'P-Parametri'!$B$6*I332))+MIN(MAX(0,N331-(MAX(0,I286-IF($A332&gt;='1-Input'!$C$12,'1-Input'!$B$12,0))-MIN(MAX(M331,0),MAX(0,I286-IF($A332&gt;='1-Input'!$C$12,'1-Input'!$B$12,0))))*(1/(1-'P-Parametri'!$B$6*I332))),MAX(0,2*I286-(M331-MIN(MAX(M331,0),MAX(0,I286-IF($A332&gt;='1-Input'!$C$12,'1-Input'!$B$12,0)))))*(1/(1-'P-Parametri'!$B$6*I332))))</f>
        <v>10846.756992928691</v>
      </c>
      <c r="K332" s="18">
        <f>IF($A332&gt;'1-Input'!$B$26,M331,(M331-MAX(0,I286-IF($A332&gt;='1-Input'!$C$12,'1-Input'!$B$12,0))+J332*(1-'P-Parametri'!$B$6*I332))*(1+ROUND('3-Liquidita'!$F$7,4)))</f>
        <v>0</v>
      </c>
      <c r="L332" s="18">
        <f>IF($A332&gt;'1-Input'!$B$26,N331,(N331-J332)*(1+'5-Roberta'!$C$4))</f>
        <v>-280627.48768253782</v>
      </c>
      <c r="M332" s="18">
        <f>IF($A332&gt;'1-Input'!$B$26,K332,K332-'P-Parametri'!$B$8*(L332+K332)+MIN(MAX(L332,0),'P-Parametri'!$B$8*(L332+K332)))</f>
        <v>0</v>
      </c>
      <c r="N332" s="18">
        <f>IF($A332&gt;'1-Input'!$B$26,L332,L332-MIN(MAX(L332,0),'P-Parametri'!$B$8*(L332+K332)))</f>
        <v>-280066.23270717275</v>
      </c>
      <c r="O332" s="18">
        <f>IF($A332&gt;'1-Input'!$B$26,O331,O331-J332*(1-I332))</f>
        <v>-209250.83985142031</v>
      </c>
      <c r="P332" s="11">
        <f>IF($A332&gt;'1-Input'!$B$26,0,IF(U331&lt;=0,0,MAX(0,(U331-V331)/U331)))</f>
        <v>0</v>
      </c>
      <c r="Q332" s="18">
        <f>IF($A332&gt;'1-Input'!$B$26,0,(MAX(0,P286-IF($A332&gt;='1-Input'!$C$12,'1-Input'!$B$12,0))-MIN(MAX(T331,0),MAX(0,P286-IF($A332&gt;='1-Input'!$C$12,'1-Input'!$B$12,0))))*(1/(1-'P-Parametri'!$B$6*P332))+MIN(MAX(0,U331-(MAX(0,P286-IF($A332&gt;='1-Input'!$C$12,'1-Input'!$B$12,0))-MIN(MAX(T331,0),MAX(0,P286-IF($A332&gt;='1-Input'!$C$12,'1-Input'!$B$12,0))))*(1/(1-'P-Parametri'!$B$6*P332))),MAX(0,2*P286-(T331-MIN(MAX(T331,0),MAX(0,P286-IF($A332&gt;='1-Input'!$C$12,'1-Input'!$B$12,0)))))*(1/(1-'P-Parametri'!$B$6*P332))))</f>
        <v>7402.4820896137353</v>
      </c>
      <c r="R332" s="18">
        <f>IF($A332&gt;'1-Input'!$B$26,T331,(T331-MAX(0,P286-IF($A332&gt;='1-Input'!$C$12,'1-Input'!$B$12,0))+Q332*(1-'P-Parametri'!$B$6*P332))*(1+ROUND('3-Liquidita'!$F$7,4)))</f>
        <v>0</v>
      </c>
      <c r="S332" s="18">
        <f>IF($A332&gt;'1-Input'!$B$26,U331,(U331-Q332)*(1+'5-Roberta'!$C$4))</f>
        <v>-10514.369457784864</v>
      </c>
      <c r="T332" s="18">
        <f>IF($A332&gt;'1-Input'!$B$26,R332,R332-'P-Parametri'!$B$8*(S332+R332)+MIN(MAX(S332,0),'P-Parametri'!$B$8*(S332+R332)))</f>
        <v>0</v>
      </c>
      <c r="U332" s="18">
        <f>IF($A332&gt;'1-Input'!$B$26,S332,S332-MIN(MAX(S332,0),'P-Parametri'!$B$8*(S332+R332)))</f>
        <v>-10493.340718869295</v>
      </c>
      <c r="V332" s="18">
        <f>IF($A332&gt;'1-Input'!$B$26,V331,V331-Q332*(1-P332))</f>
        <v>-10131.86668166778</v>
      </c>
      <c r="W332" s="11">
        <f>IF($A332&gt;'1-Input'!$B$26,0,IF(AB331&lt;=0,0,MAX(0,(AB331-AC331)/AB331)))</f>
        <v>0</v>
      </c>
      <c r="X332" s="18">
        <f>IF($A332&gt;'1-Input'!$B$26,0,(MAX(0,W286-IF($A332&gt;='1-Input'!$C$12,'1-Input'!$B$12,0))-MIN(MAX(AA331,0),MAX(0,W286-IF($A332&gt;='1-Input'!$C$12,'1-Input'!$B$12,0))))*(1/(1-'P-Parametri'!$B$6*W332))+MIN(MAX(0,AB331-(MAX(0,W286-IF($A332&gt;='1-Input'!$C$12,'1-Input'!$B$12,0))-MIN(MAX(AA331,0),MAX(0,W286-IF($A332&gt;='1-Input'!$C$12,'1-Input'!$B$12,0))))*(1/(1-'P-Parametri'!$B$6*W332))),MAX(0,2*W286-(AA331-MIN(MAX(AA331,0),MAX(0,W286-IF($A332&gt;='1-Input'!$C$12,'1-Input'!$B$12,0)))))*(1/(1-'P-Parametri'!$B$6*W332))))</f>
        <v>0</v>
      </c>
      <c r="Y332" s="18">
        <f>IF($A332&gt;'1-Input'!$B$26,AA331,(AA331-MAX(0,W286-IF($A332&gt;='1-Input'!$C$12,'1-Input'!$B$12,0))+X332*(1-'P-Parametri'!$B$6*W332))*(1+ROUND('3-Liquidita'!$F$7,4)))</f>
        <v>6314.4225606009395</v>
      </c>
      <c r="Z332" s="18">
        <f>IF($A332&gt;'1-Input'!$B$26,AB331,(AB331-X332)*(1+'5-Roberta'!$C$4))</f>
        <v>0</v>
      </c>
      <c r="AA332" s="18">
        <f>IF($A332&gt;'1-Input'!$B$26,Y332,Y332-'P-Parametri'!$B$8*(Z332+Y332)+MIN(MAX(Z332,0),'P-Parametri'!$B$8*(Z332+Y332)))</f>
        <v>6301.7937154797373</v>
      </c>
      <c r="AB332" s="18">
        <f>IF($A332&gt;'1-Input'!$B$26,Z332,Z332-MIN(MAX(Z332,0),'P-Parametri'!$B$8*(Z332+Y332)))</f>
        <v>0</v>
      </c>
      <c r="AC332" s="18">
        <f>IF($A332&gt;'1-Input'!$B$26,AC331,AC331-X332*(1-W332))</f>
        <v>2.2737367544323206E-13</v>
      </c>
      <c r="AD332" s="11">
        <f>IF($A332&gt;'1-Input'!$B$26,0,IF(AI331&lt;=0,0,MAX(0,(AI331-AJ331)/AI331)))</f>
        <v>0</v>
      </c>
      <c r="AE332" s="18">
        <f>IF($A332&gt;'1-Input'!$B$26,0,(MAX(0,AD286-IF($A332&gt;='1-Input'!$C$12,'1-Input'!$B$12,0))-MIN(MAX(AH331,0),MAX(0,AD286-IF($A332&gt;='1-Input'!$C$12,'1-Input'!$B$12,0))))*(1/(1-'P-Parametri'!$B$6*AD332))+MIN(MAX(0,AI331-(MAX(0,AD286-IF($A332&gt;='1-Input'!$C$12,'1-Input'!$B$12,0))-MIN(MAX(AH331,0),MAX(0,AD286-IF($A332&gt;='1-Input'!$C$12,'1-Input'!$B$12,0))))*(1/(1-'P-Parametri'!$B$6*AD332))),MAX(0,2*AD286-(AH331-MIN(MAX(AH331,0),MAX(0,AD286-IF($A332&gt;='1-Input'!$C$12,'1-Input'!$B$12,0)))))*(1/(1-'P-Parametri'!$B$6*AD332))))</f>
        <v>0</v>
      </c>
      <c r="AF332" s="18">
        <f>IF($A332&gt;'1-Input'!$B$26,AH331,(AH331-MAX(0,AD286-IF($A332&gt;='1-Input'!$C$12,'1-Input'!$B$12,0))+AE332*(1-'P-Parametri'!$B$6*AD332))*(1+ROUND('3-Liquidita'!$F$7,4)))</f>
        <v>7176.8016575497668</v>
      </c>
      <c r="AG332" s="18">
        <f>IF($A332&gt;'1-Input'!$B$26,AI331,(AI331-AE332)*(1+'5-Roberta'!$C$4))</f>
        <v>0</v>
      </c>
      <c r="AH332" s="18">
        <f>IF($A332&gt;'1-Input'!$B$26,AF332,AF332-'P-Parametri'!$B$8*(AG332+AF332)+MIN(MAX(AG332,0),'P-Parametri'!$B$8*(AG332+AF332)))</f>
        <v>7162.4480542346673</v>
      </c>
      <c r="AI332" s="18">
        <f>IF($A332&gt;'1-Input'!$B$26,AG332,AG332-MIN(MAX(AG332,0),'P-Parametri'!$B$8*(AG332+AF332)))</f>
        <v>0</v>
      </c>
      <c r="AJ332" s="18">
        <f>IF($A332&gt;'1-Input'!$B$26,AJ331,AJ331-AE332*(1-AD332))</f>
        <v>0</v>
      </c>
      <c r="AK332" s="11">
        <f>IF($A332&gt;'1-Input'!$B$26,0,IF(AP331&lt;=0,0,MAX(0,(AP331-AQ331)/AP331)))</f>
        <v>0</v>
      </c>
      <c r="AL332" s="18">
        <f>IF($A332&gt;'1-Input'!$B$26,0,(MAX(0,AK286-IF($A332&gt;='1-Input'!$C$12,'1-Input'!$B$12,0))-MIN(MAX(AO331,0),MAX(0,AK286-IF($A332&gt;='1-Input'!$C$12,'1-Input'!$B$12,0))))*(1/(1-'P-Parametri'!$B$6*AK332))+MIN(MAX(0,AP331-(MAX(0,AK286-IF($A332&gt;='1-Input'!$C$12,'1-Input'!$B$12,0))-MIN(MAX(AO331,0),MAX(0,AK286-IF($A332&gt;='1-Input'!$C$12,'1-Input'!$B$12,0))))*(1/(1-'P-Parametri'!$B$6*AK332))),MAX(0,2*AK286-(AO331-MIN(MAX(AO331,0),MAX(0,AK286-IF($A332&gt;='1-Input'!$C$12,'1-Input'!$B$12,0)))))*(1/(1-'P-Parametri'!$B$6*AK332))))</f>
        <v>0</v>
      </c>
      <c r="AM332" s="18">
        <f>IF($A332&gt;'1-Input'!$B$26,AO331,(AO331-MAX(0,AK286-IF($A332&gt;='1-Input'!$C$12,'1-Input'!$B$12,0))+AL332*(1-'P-Parametri'!$B$6*AK332))*(1+ROUND('3-Liquidita'!$F$7,4)))</f>
        <v>7179.4340005734275</v>
      </c>
      <c r="AN332" s="18">
        <f>IF($A332&gt;'1-Input'!$B$26,AP331,(AP331-AL332)*(1+'5-Roberta'!$C$4))</f>
        <v>0</v>
      </c>
      <c r="AO332" s="18">
        <f>IF($A332&gt;'1-Input'!$B$26,AM332,AM332-'P-Parametri'!$B$8*(AN332+AM332)+MIN(MAX(AN332,0),'P-Parametri'!$B$8*(AN332+AM332)))</f>
        <v>7165.0751325722804</v>
      </c>
      <c r="AP332" s="18">
        <f>IF($A332&gt;'1-Input'!$B$26,AN332,AN332-MIN(MAX(AN332,0),'P-Parametri'!$B$8*(AN332+AM332)))</f>
        <v>0</v>
      </c>
      <c r="AQ332" s="18">
        <f>IF($A332&gt;'1-Input'!$B$26,AQ331,AQ331-AL332*(1-AK332))</f>
        <v>0</v>
      </c>
    </row>
    <row r="333" spans="1:43">
      <c r="A333" s="10">
        <f>45</f>
        <v>45</v>
      </c>
      <c r="B333" s="11">
        <f>IF($A333&gt;'1-Input'!$B$26,0,IF(G332&lt;=0,0,MAX(0,(G332-H332)/G332)))</f>
        <v>0.76344465207418011</v>
      </c>
      <c r="C333" s="18">
        <f>IF($A333&gt;'1-Input'!$B$26,0,(MAX(0,B286-IF($A333&gt;='1-Input'!$C$12,'1-Input'!$B$12,0))-MIN(MAX(F332,0),MAX(0,B286-IF($A333&gt;='1-Input'!$C$12,'1-Input'!$B$12,0))))*(1/(1-'P-Parametri'!$B$6*B333))+MIN(MAX(0,G332-(MAX(0,B286-IF($A333&gt;='1-Input'!$C$12,'1-Input'!$B$12,0))-MIN(MAX(F332,0),MAX(0,B286-IF($A333&gt;='1-Input'!$C$12,'1-Input'!$B$12,0))))*(1/(1-'P-Parametri'!$B$6*B333))),MAX(0,2*B286-(F332-MIN(MAX(F332,0),MAX(0,B286-IF($A333&gt;='1-Input'!$C$12,'1-Input'!$B$12,0)))))*(1/(1-'P-Parametri'!$B$6*B333))))</f>
        <v>6698.4960800719155</v>
      </c>
      <c r="D333" s="18">
        <f>IF($A333&gt;'1-Input'!$B$26,F332,(F332-MAX(0,B286-IF($A333&gt;='1-Input'!$C$12,'1-Input'!$B$12,0))+C333*(1-'P-Parametri'!$B$6*B333))*(1+ROUND('3-Liquidita'!$F$7,4)))</f>
        <v>33572.29192621589</v>
      </c>
      <c r="E333" s="18">
        <f>IF($A333&gt;'1-Input'!$B$26,G332,(G332-C333)*(1+'5-Roberta'!$C$4))</f>
        <v>125059.72961289664</v>
      </c>
      <c r="F333" s="18">
        <f>IF($A333&gt;'1-Input'!$B$26,D333,D333-'P-Parametri'!$B$8*(E333+D333)+MIN(MAX(E333,0),'P-Parametri'!$B$8*(E333+D333)))</f>
        <v>33572.29192621589</v>
      </c>
      <c r="G333" s="18">
        <f>IF($A333&gt;'1-Input'!$B$26,E333,E333-MIN(MAX(E333,0),'P-Parametri'!$B$8*(E333+D333)))</f>
        <v>124742.46556981842</v>
      </c>
      <c r="H333" s="18">
        <f>IF($A333&gt;'1-Input'!$B$26,H332,H332-C333*(1-B333))</f>
        <v>28721.891116590024</v>
      </c>
      <c r="I333" s="11">
        <f>IF($A333&gt;'1-Input'!$B$26,0,IF(N332&lt;=0,0,MAX(0,(N332-O332)/N332)))</f>
        <v>0</v>
      </c>
      <c r="J333" s="18">
        <f>IF($A333&gt;'1-Input'!$B$26,0,(MAX(0,I286-IF($A333&gt;='1-Input'!$C$12,'1-Input'!$B$12,0))-MIN(MAX(M332,0),MAX(0,I286-IF($A333&gt;='1-Input'!$C$12,'1-Input'!$B$12,0))))*(1/(1-'P-Parametri'!$B$6*I333))+MIN(MAX(0,N332-(MAX(0,I286-IF($A333&gt;='1-Input'!$C$12,'1-Input'!$B$12,0))-MIN(MAX(M332,0),MAX(0,I286-IF($A333&gt;='1-Input'!$C$12,'1-Input'!$B$12,0))))*(1/(1-'P-Parametri'!$B$6*I333))),MAX(0,2*I286-(M332-MIN(MAX(M332,0),MAX(0,I286-IF($A333&gt;='1-Input'!$C$12,'1-Input'!$B$12,0)))))*(1/(1-'P-Parametri'!$B$6*I333))))</f>
        <v>10846.756992928691</v>
      </c>
      <c r="K333" s="18">
        <f>IF($A333&gt;'1-Input'!$B$26,M332,(M332-MAX(0,I286-IF($A333&gt;='1-Input'!$C$12,'1-Input'!$B$12,0))+J333*(1-'P-Parametri'!$B$6*I333))*(1+ROUND('3-Liquidita'!$F$7,4)))</f>
        <v>0</v>
      </c>
      <c r="L333" s="18">
        <f>IF($A333&gt;'1-Input'!$B$26,N332,(N332-J333)*(1+'5-Roberta'!$C$4))</f>
        <v>-299640.37939110451</v>
      </c>
      <c r="M333" s="18">
        <f>IF($A333&gt;'1-Input'!$B$26,K333,K333-'P-Parametri'!$B$8*(L333+K333)+MIN(MAX(L333,0),'P-Parametri'!$B$8*(L333+K333)))</f>
        <v>0</v>
      </c>
      <c r="N333" s="18">
        <f>IF($A333&gt;'1-Input'!$B$26,L333,L333-MIN(MAX(L333,0),'P-Parametri'!$B$8*(L333+K333)))</f>
        <v>-299041.09863232228</v>
      </c>
      <c r="O333" s="18">
        <f>IF($A333&gt;'1-Input'!$B$26,O332,O332-J333*(1-I333))</f>
        <v>-220097.596844349</v>
      </c>
      <c r="P333" s="11">
        <f>IF($A333&gt;'1-Input'!$B$26,0,IF(U332&lt;=0,0,MAX(0,(U332-V332)/U332)))</f>
        <v>0</v>
      </c>
      <c r="Q333" s="18">
        <f>IF($A333&gt;'1-Input'!$B$26,0,(MAX(0,P286-IF($A333&gt;='1-Input'!$C$12,'1-Input'!$B$12,0))-MIN(MAX(T332,0),MAX(0,P286-IF($A333&gt;='1-Input'!$C$12,'1-Input'!$B$12,0))))*(1/(1-'P-Parametri'!$B$6*P333))+MIN(MAX(0,U332-(MAX(0,P286-IF($A333&gt;='1-Input'!$C$12,'1-Input'!$B$12,0))-MIN(MAX(T332,0),MAX(0,P286-IF($A333&gt;='1-Input'!$C$12,'1-Input'!$B$12,0))))*(1/(1-'P-Parametri'!$B$6*P333))),MAX(0,2*P286-(T332-MIN(MAX(T332,0),MAX(0,P286-IF($A333&gt;='1-Input'!$C$12,'1-Input'!$B$12,0)))))*(1/(1-'P-Parametri'!$B$6*P333))))</f>
        <v>7402.4820896137353</v>
      </c>
      <c r="R333" s="18">
        <f>IF($A333&gt;'1-Input'!$B$26,T332,(T332-MAX(0,P286-IF($A333&gt;='1-Input'!$C$12,'1-Input'!$B$12,0))+Q333*(1-'P-Parametri'!$B$6*P333))*(1+ROUND('3-Liquidita'!$F$7,4)))</f>
        <v>0</v>
      </c>
      <c r="S333" s="18">
        <f>IF($A333&gt;'1-Input'!$B$26,U332,(U332-Q333)*(1+'5-Roberta'!$C$4))</f>
        <v>-18432.697492737519</v>
      </c>
      <c r="T333" s="18">
        <f>IF($A333&gt;'1-Input'!$B$26,R333,R333-'P-Parametri'!$B$8*(S333+R333)+MIN(MAX(S333,0),'P-Parametri'!$B$8*(S333+R333)))</f>
        <v>0</v>
      </c>
      <c r="U333" s="18">
        <f>IF($A333&gt;'1-Input'!$B$26,S333,S333-MIN(MAX(S333,0),'P-Parametri'!$B$8*(S333+R333)))</f>
        <v>-18395.832097752045</v>
      </c>
      <c r="V333" s="18">
        <f>IF($A333&gt;'1-Input'!$B$26,V332,V332-Q333*(1-P333))</f>
        <v>-17534.348771281515</v>
      </c>
      <c r="W333" s="11">
        <f>IF($A333&gt;'1-Input'!$B$26,0,IF(AB332&lt;=0,0,MAX(0,(AB332-AC332)/AB332)))</f>
        <v>0</v>
      </c>
      <c r="X333" s="18">
        <f>IF($A333&gt;'1-Input'!$B$26,0,(MAX(0,W286-IF($A333&gt;='1-Input'!$C$12,'1-Input'!$B$12,0))-MIN(MAX(AA332,0),MAX(0,W286-IF($A333&gt;='1-Input'!$C$12,'1-Input'!$B$12,0))))*(1/(1-'P-Parametri'!$B$6*W333))+MIN(MAX(0,AB332-(MAX(0,W286-IF($A333&gt;='1-Input'!$C$12,'1-Input'!$B$12,0))-MIN(MAX(AA332,0),MAX(0,W286-IF($A333&gt;='1-Input'!$C$12,'1-Input'!$B$12,0))))*(1/(1-'P-Parametri'!$B$6*W333))),MAX(0,2*W286-(AA332-MIN(MAX(AA332,0),MAX(0,W286-IF($A333&gt;='1-Input'!$C$12,'1-Input'!$B$12,0)))))*(1/(1-'P-Parametri'!$B$6*W333))))</f>
        <v>874.9218625435451</v>
      </c>
      <c r="Y333" s="18">
        <f>IF($A333&gt;'1-Input'!$B$26,AA332,(AA332-MAX(0,W286-IF($A333&gt;='1-Input'!$C$12,'1-Input'!$B$12,0))+X333*(1-'P-Parametri'!$B$6*W333))*(1+ROUND('3-Liquidita'!$F$7,4)))</f>
        <v>0</v>
      </c>
      <c r="Z333" s="18">
        <f>IF($A333&gt;'1-Input'!$B$26,AB332,(AB332-X333)*(1+'5-Roberta'!$C$4))</f>
        <v>-901.16951841985144</v>
      </c>
      <c r="AA333" s="18">
        <f>IF($A333&gt;'1-Input'!$B$26,Y333,Y333-'P-Parametri'!$B$8*(Z333+Y333)+MIN(MAX(Z333,0),'P-Parametri'!$B$8*(Z333+Y333)))</f>
        <v>0</v>
      </c>
      <c r="AB333" s="18">
        <f>IF($A333&gt;'1-Input'!$B$26,Z333,Z333-MIN(MAX(Z333,0),'P-Parametri'!$B$8*(Z333+Y333)))</f>
        <v>-899.36717938301172</v>
      </c>
      <c r="AC333" s="18">
        <f>IF($A333&gt;'1-Input'!$B$26,AC332,AC332-X333*(1-W333))</f>
        <v>-874.92186254354488</v>
      </c>
      <c r="AD333" s="11">
        <f>IF($A333&gt;'1-Input'!$B$26,0,IF(AI332&lt;=0,0,MAX(0,(AI332-AJ332)/AI332)))</f>
        <v>0</v>
      </c>
      <c r="AE333" s="18">
        <f>IF($A333&gt;'1-Input'!$B$26,0,(MAX(0,AD286-IF($A333&gt;='1-Input'!$C$12,'1-Input'!$B$12,0))-MIN(MAX(AH332,0),MAX(0,AD286-IF($A333&gt;='1-Input'!$C$12,'1-Input'!$B$12,0))))*(1/(1-'P-Parametri'!$B$6*AD333))+MIN(MAX(0,AI332-(MAX(0,AD286-IF($A333&gt;='1-Input'!$C$12,'1-Input'!$B$12,0))-MIN(MAX(AH332,0),MAX(0,AD286-IF($A333&gt;='1-Input'!$C$12,'1-Input'!$B$12,0))))*(1/(1-'P-Parametri'!$B$6*AD333))),MAX(0,2*AD286-(AH332-MIN(MAX(AH332,0),MAX(0,AD286-IF($A333&gt;='1-Input'!$C$12,'1-Input'!$B$12,0)))))*(1/(1-'P-Parametri'!$B$6*AD333))))</f>
        <v>2.662494334062103</v>
      </c>
      <c r="AF333" s="18">
        <f>IF($A333&gt;'1-Input'!$B$26,AH332,(AH332-MAX(0,AD286-IF($A333&gt;='1-Input'!$C$12,'1-Input'!$B$12,0))+AE333*(1-'P-Parametri'!$B$6*AD333))*(1+ROUND('3-Liquidita'!$F$7,4)))</f>
        <v>0</v>
      </c>
      <c r="AG333" s="18">
        <f>IF($A333&gt;'1-Input'!$B$26,AI332,(AI332-AE333)*(1+'5-Roberta'!$C$4))</f>
        <v>-2.742369164083966</v>
      </c>
      <c r="AH333" s="18">
        <f>IF($A333&gt;'1-Input'!$B$26,AF333,AF333-'P-Parametri'!$B$8*(AG333+AF333)+MIN(MAX(AG333,0),'P-Parametri'!$B$8*(AG333+AF333)))</f>
        <v>0</v>
      </c>
      <c r="AI333" s="18">
        <f>IF($A333&gt;'1-Input'!$B$26,AG333,AG333-MIN(MAX(AG333,0),'P-Parametri'!$B$8*(AG333+AF333)))</f>
        <v>-2.736884425755798</v>
      </c>
      <c r="AJ333" s="18">
        <f>IF($A333&gt;'1-Input'!$B$26,AJ332,AJ332-AE333*(1-AD333))</f>
        <v>-2.662494334062103</v>
      </c>
      <c r="AK333" s="11">
        <f>IF($A333&gt;'1-Input'!$B$26,0,IF(AP332&lt;=0,0,MAX(0,(AP332-AQ332)/AP332)))</f>
        <v>0</v>
      </c>
      <c r="AL333" s="18">
        <f>IF($A333&gt;'1-Input'!$B$26,0,(MAX(0,AK286-IF($A333&gt;='1-Input'!$C$12,'1-Input'!$B$12,0))-MIN(MAX(AO332,0),MAX(0,AK286-IF($A333&gt;='1-Input'!$C$12,'1-Input'!$B$12,0))))*(1/(1-'P-Parametri'!$B$6*AK333))+MIN(MAX(0,AP332-(MAX(0,AK286-IF($A333&gt;='1-Input'!$C$12,'1-Input'!$B$12,0))-MIN(MAX(AO332,0),MAX(0,AK286-IF($A333&gt;='1-Input'!$C$12,'1-Input'!$B$12,0))))*(1/(1-'P-Parametri'!$B$6*AK333))),MAX(0,2*AK286-(AO332-MIN(MAX(AO332,0),MAX(0,AK286-IF($A333&gt;='1-Input'!$C$12,'1-Input'!$B$12,0)))))*(1/(1-'P-Parametri'!$B$6*AK333))))</f>
        <v>0</v>
      </c>
      <c r="AM333" s="18">
        <f>IF($A333&gt;'1-Input'!$B$26,AO332,(AO332-MAX(0,AK286-IF($A333&gt;='1-Input'!$C$12,'1-Input'!$B$12,0))+AL333*(1-'P-Parametri'!$B$6*AK333))*(1+ROUND('3-Liquidita'!$F$7,4)))</f>
        <v>7.3725133138395905E-6</v>
      </c>
      <c r="AN333" s="18">
        <f>IF($A333&gt;'1-Input'!$B$26,AP332,(AP332-AL333)*(1+'5-Roberta'!$C$4))</f>
        <v>0</v>
      </c>
      <c r="AO333" s="18">
        <f>IF($A333&gt;'1-Input'!$B$26,AM333,AM333-'P-Parametri'!$B$8*(AN333+AM333)+MIN(MAX(AN333,0),'P-Parametri'!$B$8*(AN333+AM333)))</f>
        <v>7.3577682872119115E-6</v>
      </c>
      <c r="AP333" s="18">
        <f>IF($A333&gt;'1-Input'!$B$26,AN333,AN333-MIN(MAX(AN333,0),'P-Parametri'!$B$8*(AN333+AM333)))</f>
        <v>0</v>
      </c>
      <c r="AQ333" s="18">
        <f>IF($A333&gt;'1-Input'!$B$26,AQ332,AQ332-AL333*(1-AK333))</f>
        <v>0</v>
      </c>
    </row>
    <row r="334" spans="1:43">
      <c r="A334" s="10">
        <f>46</f>
        <v>46</v>
      </c>
      <c r="B334" s="11">
        <f>IF($A334&gt;'1-Input'!$B$26,0,IF(G333&lt;=0,0,MAX(0,(G333-H333)/G333)))</f>
        <v>0</v>
      </c>
      <c r="C334" s="18">
        <f>IF($A334&gt;'1-Input'!$B$26,0,(MAX(0,B286-IF($A334&gt;='1-Input'!$C$12,'1-Input'!$B$12,0))-MIN(MAX(F333,0),MAX(0,B286-IF($A334&gt;='1-Input'!$C$12,'1-Input'!$B$12,0))))*(1/(1-'P-Parametri'!$B$6*B334))+MIN(MAX(0,G333-(MAX(0,B286-IF($A334&gt;='1-Input'!$C$12,'1-Input'!$B$12,0))-MIN(MAX(F333,0),MAX(0,B286-IF($A334&gt;='1-Input'!$C$12,'1-Input'!$B$12,0))))*(1/(1-'P-Parametri'!$B$6*B334))),MAX(0,2*B286-(F333-MIN(MAX(F333,0),MAX(0,B286-IF($A334&gt;='1-Input'!$C$12,'1-Input'!$B$12,0)))))*(1/(1-'P-Parametri'!$B$6*B334))))</f>
        <v>0</v>
      </c>
      <c r="D334" s="18">
        <f>IF($A334&gt;'1-Input'!$B$26,F333,(F333-MAX(0,B286-IF($A334&gt;='1-Input'!$C$12,'1-Input'!$B$12,0))+C334*(1-'P-Parametri'!$B$6*B334))*(1+ROUND('3-Liquidita'!$F$7,4)))</f>
        <v>33572.29192621589</v>
      </c>
      <c r="E334" s="18">
        <f>IF($A334&gt;'1-Input'!$B$26,G333,(G333-C334)*(1+'5-Roberta'!$C$4))</f>
        <v>124742.46556981842</v>
      </c>
      <c r="F334" s="18">
        <f>IF($A334&gt;'1-Input'!$B$26,D334,D334-'P-Parametri'!$B$8*(E334+D334)+MIN(MAX(E334,0),'P-Parametri'!$B$8*(E334+D334)))</f>
        <v>33572.29192621589</v>
      </c>
      <c r="G334" s="18">
        <f>IF($A334&gt;'1-Input'!$B$26,E334,E334-MIN(MAX(E334,0),'P-Parametri'!$B$8*(E334+D334)))</f>
        <v>124742.46556981842</v>
      </c>
      <c r="H334" s="18">
        <f>IF($A334&gt;'1-Input'!$B$26,H333,H333-C334*(1-B334))</f>
        <v>28721.891116590024</v>
      </c>
      <c r="I334" s="11">
        <f>IF($A334&gt;'1-Input'!$B$26,0,IF(N333&lt;=0,0,MAX(0,(N333-O333)/N333)))</f>
        <v>0</v>
      </c>
      <c r="J334" s="18">
        <f>IF($A334&gt;'1-Input'!$B$26,0,(MAX(0,I286-IF($A334&gt;='1-Input'!$C$12,'1-Input'!$B$12,0))-MIN(MAX(M333,0),MAX(0,I286-IF($A334&gt;='1-Input'!$C$12,'1-Input'!$B$12,0))))*(1/(1-'P-Parametri'!$B$6*I334))+MIN(MAX(0,N333-(MAX(0,I286-IF($A334&gt;='1-Input'!$C$12,'1-Input'!$B$12,0))-MIN(MAX(M333,0),MAX(0,I286-IF($A334&gt;='1-Input'!$C$12,'1-Input'!$B$12,0))))*(1/(1-'P-Parametri'!$B$6*I334))),MAX(0,2*I286-(M333-MIN(MAX(M333,0),MAX(0,I286-IF($A334&gt;='1-Input'!$C$12,'1-Input'!$B$12,0)))))*(1/(1-'P-Parametri'!$B$6*I334))))</f>
        <v>0</v>
      </c>
      <c r="K334" s="18">
        <f>IF($A334&gt;'1-Input'!$B$26,M333,(M333-MAX(0,I286-IF($A334&gt;='1-Input'!$C$12,'1-Input'!$B$12,0))+J334*(1-'P-Parametri'!$B$6*I334))*(1+ROUND('3-Liquidita'!$F$7,4)))</f>
        <v>0</v>
      </c>
      <c r="L334" s="18">
        <f>IF($A334&gt;'1-Input'!$B$26,N333,(N333-J334)*(1+'5-Roberta'!$C$4))</f>
        <v>-299041.09863232228</v>
      </c>
      <c r="M334" s="18">
        <f>IF($A334&gt;'1-Input'!$B$26,K334,K334-'P-Parametri'!$B$8*(L334+K334)+MIN(MAX(L334,0),'P-Parametri'!$B$8*(L334+K334)))</f>
        <v>0</v>
      </c>
      <c r="N334" s="18">
        <f>IF($A334&gt;'1-Input'!$B$26,L334,L334-MIN(MAX(L334,0),'P-Parametri'!$B$8*(L334+K334)))</f>
        <v>-299041.09863232228</v>
      </c>
      <c r="O334" s="18">
        <f>IF($A334&gt;'1-Input'!$B$26,O333,O333-J334*(1-I334))</f>
        <v>-220097.596844349</v>
      </c>
      <c r="P334" s="11">
        <f>IF($A334&gt;'1-Input'!$B$26,0,IF(U333&lt;=0,0,MAX(0,(U333-V333)/U333)))</f>
        <v>0</v>
      </c>
      <c r="Q334" s="18">
        <f>IF($A334&gt;'1-Input'!$B$26,0,(MAX(0,P286-IF($A334&gt;='1-Input'!$C$12,'1-Input'!$B$12,0))-MIN(MAX(T333,0),MAX(0,P286-IF($A334&gt;='1-Input'!$C$12,'1-Input'!$B$12,0))))*(1/(1-'P-Parametri'!$B$6*P334))+MIN(MAX(0,U333-(MAX(0,P286-IF($A334&gt;='1-Input'!$C$12,'1-Input'!$B$12,0))-MIN(MAX(T333,0),MAX(0,P286-IF($A334&gt;='1-Input'!$C$12,'1-Input'!$B$12,0))))*(1/(1-'P-Parametri'!$B$6*P334))),MAX(0,2*P286-(T333-MIN(MAX(T333,0),MAX(0,P286-IF($A334&gt;='1-Input'!$C$12,'1-Input'!$B$12,0)))))*(1/(1-'P-Parametri'!$B$6*P334))))</f>
        <v>0</v>
      </c>
      <c r="R334" s="18">
        <f>IF($A334&gt;'1-Input'!$B$26,T333,(T333-MAX(0,P286-IF($A334&gt;='1-Input'!$C$12,'1-Input'!$B$12,0))+Q334*(1-'P-Parametri'!$B$6*P334))*(1+ROUND('3-Liquidita'!$F$7,4)))</f>
        <v>0</v>
      </c>
      <c r="S334" s="18">
        <f>IF($A334&gt;'1-Input'!$B$26,U333,(U333-Q334)*(1+'5-Roberta'!$C$4))</f>
        <v>-18395.832097752045</v>
      </c>
      <c r="T334" s="18">
        <f>IF($A334&gt;'1-Input'!$B$26,R334,R334-'P-Parametri'!$B$8*(S334+R334)+MIN(MAX(S334,0),'P-Parametri'!$B$8*(S334+R334)))</f>
        <v>0</v>
      </c>
      <c r="U334" s="18">
        <f>IF($A334&gt;'1-Input'!$B$26,S334,S334-MIN(MAX(S334,0),'P-Parametri'!$B$8*(S334+R334)))</f>
        <v>-18395.832097752045</v>
      </c>
      <c r="V334" s="18">
        <f>IF($A334&gt;'1-Input'!$B$26,V333,V333-Q334*(1-P334))</f>
        <v>-17534.348771281515</v>
      </c>
      <c r="W334" s="11">
        <f>IF($A334&gt;'1-Input'!$B$26,0,IF(AB333&lt;=0,0,MAX(0,(AB333-AC333)/AB333)))</f>
        <v>0</v>
      </c>
      <c r="X334" s="18">
        <f>IF($A334&gt;'1-Input'!$B$26,0,(MAX(0,W286-IF($A334&gt;='1-Input'!$C$12,'1-Input'!$B$12,0))-MIN(MAX(AA333,0),MAX(0,W286-IF($A334&gt;='1-Input'!$C$12,'1-Input'!$B$12,0))))*(1/(1-'P-Parametri'!$B$6*W334))+MIN(MAX(0,AB333-(MAX(0,W286-IF($A334&gt;='1-Input'!$C$12,'1-Input'!$B$12,0))-MIN(MAX(AA333,0),MAX(0,W286-IF($A334&gt;='1-Input'!$C$12,'1-Input'!$B$12,0))))*(1/(1-'P-Parametri'!$B$6*W334))),MAX(0,2*W286-(AA333-MIN(MAX(AA333,0),MAX(0,W286-IF($A334&gt;='1-Input'!$C$12,'1-Input'!$B$12,0)))))*(1/(1-'P-Parametri'!$B$6*W334))))</f>
        <v>0</v>
      </c>
      <c r="Y334" s="18">
        <f>IF($A334&gt;'1-Input'!$B$26,AA333,(AA333-MAX(0,W286-IF($A334&gt;='1-Input'!$C$12,'1-Input'!$B$12,0))+X334*(1-'P-Parametri'!$B$6*W334))*(1+ROUND('3-Liquidita'!$F$7,4)))</f>
        <v>0</v>
      </c>
      <c r="Z334" s="18">
        <f>IF($A334&gt;'1-Input'!$B$26,AB333,(AB333-X334)*(1+'5-Roberta'!$C$4))</f>
        <v>-899.36717938301172</v>
      </c>
      <c r="AA334" s="18">
        <f>IF($A334&gt;'1-Input'!$B$26,Y334,Y334-'P-Parametri'!$B$8*(Z334+Y334)+MIN(MAX(Z334,0),'P-Parametri'!$B$8*(Z334+Y334)))</f>
        <v>0</v>
      </c>
      <c r="AB334" s="18">
        <f>IF($A334&gt;'1-Input'!$B$26,Z334,Z334-MIN(MAX(Z334,0),'P-Parametri'!$B$8*(Z334+Y334)))</f>
        <v>-899.36717938301172</v>
      </c>
      <c r="AC334" s="18">
        <f>IF($A334&gt;'1-Input'!$B$26,AC333,AC333-X334*(1-W334))</f>
        <v>-874.92186254354488</v>
      </c>
      <c r="AD334" s="11">
        <f>IF($A334&gt;'1-Input'!$B$26,0,IF(AI333&lt;=0,0,MAX(0,(AI333-AJ333)/AI333)))</f>
        <v>0</v>
      </c>
      <c r="AE334" s="18">
        <f>IF($A334&gt;'1-Input'!$B$26,0,(MAX(0,AD286-IF($A334&gt;='1-Input'!$C$12,'1-Input'!$B$12,0))-MIN(MAX(AH333,0),MAX(0,AD286-IF($A334&gt;='1-Input'!$C$12,'1-Input'!$B$12,0))))*(1/(1-'P-Parametri'!$B$6*AD334))+MIN(MAX(0,AI333-(MAX(0,AD286-IF($A334&gt;='1-Input'!$C$12,'1-Input'!$B$12,0))-MIN(MAX(AH333,0),MAX(0,AD286-IF($A334&gt;='1-Input'!$C$12,'1-Input'!$B$12,0))))*(1/(1-'P-Parametri'!$B$6*AD334))),MAX(0,2*AD286-(AH333-MIN(MAX(AH333,0),MAX(0,AD286-IF($A334&gt;='1-Input'!$C$12,'1-Input'!$B$12,0)))))*(1/(1-'P-Parametri'!$B$6*AD334))))</f>
        <v>0</v>
      </c>
      <c r="AF334" s="18">
        <f>IF($A334&gt;'1-Input'!$B$26,AH333,(AH333-MAX(0,AD286-IF($A334&gt;='1-Input'!$C$12,'1-Input'!$B$12,0))+AE334*(1-'P-Parametri'!$B$6*AD334))*(1+ROUND('3-Liquidita'!$F$7,4)))</f>
        <v>0</v>
      </c>
      <c r="AG334" s="18">
        <f>IF($A334&gt;'1-Input'!$B$26,AI333,(AI333-AE334)*(1+'5-Roberta'!$C$4))</f>
        <v>-2.736884425755798</v>
      </c>
      <c r="AH334" s="18">
        <f>IF($A334&gt;'1-Input'!$B$26,AF334,AF334-'P-Parametri'!$B$8*(AG334+AF334)+MIN(MAX(AG334,0),'P-Parametri'!$B$8*(AG334+AF334)))</f>
        <v>0</v>
      </c>
      <c r="AI334" s="18">
        <f>IF($A334&gt;'1-Input'!$B$26,AG334,AG334-MIN(MAX(AG334,0),'P-Parametri'!$B$8*(AG334+AF334)))</f>
        <v>-2.736884425755798</v>
      </c>
      <c r="AJ334" s="18">
        <f>IF($A334&gt;'1-Input'!$B$26,AJ333,AJ333-AE334*(1-AD334))</f>
        <v>-2.662494334062103</v>
      </c>
      <c r="AK334" s="11">
        <f>IF($A334&gt;'1-Input'!$B$26,0,IF(AP333&lt;=0,0,MAX(0,(AP333-AQ333)/AP333)))</f>
        <v>0</v>
      </c>
      <c r="AL334" s="18">
        <f>IF($A334&gt;'1-Input'!$B$26,0,(MAX(0,AK286-IF($A334&gt;='1-Input'!$C$12,'1-Input'!$B$12,0))-MIN(MAX(AO333,0),MAX(0,AK286-IF($A334&gt;='1-Input'!$C$12,'1-Input'!$B$12,0))))*(1/(1-'P-Parametri'!$B$6*AK334))+MIN(MAX(0,AP333-(MAX(0,AK286-IF($A334&gt;='1-Input'!$C$12,'1-Input'!$B$12,0))-MIN(MAX(AO333,0),MAX(0,AK286-IF($A334&gt;='1-Input'!$C$12,'1-Input'!$B$12,0))))*(1/(1-'P-Parametri'!$B$6*AK334))),MAX(0,2*AK286-(AO333-MIN(MAX(AO333,0),MAX(0,AK286-IF($A334&gt;='1-Input'!$C$12,'1-Input'!$B$12,0)))))*(1/(1-'P-Parametri'!$B$6*AK334))))</f>
        <v>0</v>
      </c>
      <c r="AM334" s="18">
        <f>IF($A334&gt;'1-Input'!$B$26,AO333,(AO333-MAX(0,AK286-IF($A334&gt;='1-Input'!$C$12,'1-Input'!$B$12,0))+AL334*(1-'P-Parametri'!$B$6*AK334))*(1+ROUND('3-Liquidita'!$F$7,4)))</f>
        <v>7.3577682872119115E-6</v>
      </c>
      <c r="AN334" s="18">
        <f>IF($A334&gt;'1-Input'!$B$26,AP333,(AP333-AL334)*(1+'5-Roberta'!$C$4))</f>
        <v>0</v>
      </c>
      <c r="AO334" s="18">
        <f>IF($A334&gt;'1-Input'!$B$26,AM334,AM334-'P-Parametri'!$B$8*(AN334+AM334)+MIN(MAX(AN334,0),'P-Parametri'!$B$8*(AN334+AM334)))</f>
        <v>7.3577682872119115E-6</v>
      </c>
      <c r="AP334" s="18">
        <f>IF($A334&gt;'1-Input'!$B$26,AN334,AN334-MIN(MAX(AN334,0),'P-Parametri'!$B$8*(AN334+AM334)))</f>
        <v>0</v>
      </c>
      <c r="AQ334" s="18">
        <f>IF($A334&gt;'1-Input'!$B$26,AQ333,AQ333-AL334*(1-AK334))</f>
        <v>0</v>
      </c>
    </row>
    <row r="335" spans="1:43">
      <c r="A335" s="10">
        <f>47</f>
        <v>47</v>
      </c>
      <c r="B335" s="11">
        <f>IF($A335&gt;'1-Input'!$B$26,0,IF(G334&lt;=0,0,MAX(0,(G334-H334)/G334)))</f>
        <v>0</v>
      </c>
      <c r="C335" s="18">
        <f>IF($A335&gt;'1-Input'!$B$26,0,(MAX(0,B286-IF($A335&gt;='1-Input'!$C$12,'1-Input'!$B$12,0))-MIN(MAX(F334,0),MAX(0,B286-IF($A335&gt;='1-Input'!$C$12,'1-Input'!$B$12,0))))*(1/(1-'P-Parametri'!$B$6*B335))+MIN(MAX(0,G334-(MAX(0,B286-IF($A335&gt;='1-Input'!$C$12,'1-Input'!$B$12,0))-MIN(MAX(F334,0),MAX(0,B286-IF($A335&gt;='1-Input'!$C$12,'1-Input'!$B$12,0))))*(1/(1-'P-Parametri'!$B$6*B335))),MAX(0,2*B286-(F334-MIN(MAX(F334,0),MAX(0,B286-IF($A335&gt;='1-Input'!$C$12,'1-Input'!$B$12,0)))))*(1/(1-'P-Parametri'!$B$6*B335))))</f>
        <v>0</v>
      </c>
      <c r="D335" s="18">
        <f>IF($A335&gt;'1-Input'!$B$26,F334,(F334-MAX(0,B286-IF($A335&gt;='1-Input'!$C$12,'1-Input'!$B$12,0))+C335*(1-'P-Parametri'!$B$6*B335))*(1+ROUND('3-Liquidita'!$F$7,4)))</f>
        <v>33572.29192621589</v>
      </c>
      <c r="E335" s="18">
        <f>IF($A335&gt;'1-Input'!$B$26,G334,(G334-C335)*(1+'5-Roberta'!$C$4))</f>
        <v>124742.46556981842</v>
      </c>
      <c r="F335" s="18">
        <f>IF($A335&gt;'1-Input'!$B$26,D335,D335-'P-Parametri'!$B$8*(E335+D335)+MIN(MAX(E335,0),'P-Parametri'!$B$8*(E335+D335)))</f>
        <v>33572.29192621589</v>
      </c>
      <c r="G335" s="18">
        <f>IF($A335&gt;'1-Input'!$B$26,E335,E335-MIN(MAX(E335,0),'P-Parametri'!$B$8*(E335+D335)))</f>
        <v>124742.46556981842</v>
      </c>
      <c r="H335" s="18">
        <f>IF($A335&gt;'1-Input'!$B$26,H334,H334-C335*(1-B335))</f>
        <v>28721.891116590024</v>
      </c>
      <c r="I335" s="11">
        <f>IF($A335&gt;'1-Input'!$B$26,0,IF(N334&lt;=0,0,MAX(0,(N334-O334)/N334)))</f>
        <v>0</v>
      </c>
      <c r="J335" s="18">
        <f>IF($A335&gt;'1-Input'!$B$26,0,(MAX(0,I286-IF($A335&gt;='1-Input'!$C$12,'1-Input'!$B$12,0))-MIN(MAX(M334,0),MAX(0,I286-IF($A335&gt;='1-Input'!$C$12,'1-Input'!$B$12,0))))*(1/(1-'P-Parametri'!$B$6*I335))+MIN(MAX(0,N334-(MAX(0,I286-IF($A335&gt;='1-Input'!$C$12,'1-Input'!$B$12,0))-MIN(MAX(M334,0),MAX(0,I286-IF($A335&gt;='1-Input'!$C$12,'1-Input'!$B$12,0))))*(1/(1-'P-Parametri'!$B$6*I335))),MAX(0,2*I286-(M334-MIN(MAX(M334,0),MAX(0,I286-IF($A335&gt;='1-Input'!$C$12,'1-Input'!$B$12,0)))))*(1/(1-'P-Parametri'!$B$6*I335))))</f>
        <v>0</v>
      </c>
      <c r="K335" s="18">
        <f>IF($A335&gt;'1-Input'!$B$26,M334,(M334-MAX(0,I286-IF($A335&gt;='1-Input'!$C$12,'1-Input'!$B$12,0))+J335*(1-'P-Parametri'!$B$6*I335))*(1+ROUND('3-Liquidita'!$F$7,4)))</f>
        <v>0</v>
      </c>
      <c r="L335" s="18">
        <f>IF($A335&gt;'1-Input'!$B$26,N334,(N334-J335)*(1+'5-Roberta'!$C$4))</f>
        <v>-299041.09863232228</v>
      </c>
      <c r="M335" s="18">
        <f>IF($A335&gt;'1-Input'!$B$26,K335,K335-'P-Parametri'!$B$8*(L335+K335)+MIN(MAX(L335,0),'P-Parametri'!$B$8*(L335+K335)))</f>
        <v>0</v>
      </c>
      <c r="N335" s="18">
        <f>IF($A335&gt;'1-Input'!$B$26,L335,L335-MIN(MAX(L335,0),'P-Parametri'!$B$8*(L335+K335)))</f>
        <v>-299041.09863232228</v>
      </c>
      <c r="O335" s="18">
        <f>IF($A335&gt;'1-Input'!$B$26,O334,O334-J335*(1-I335))</f>
        <v>-220097.596844349</v>
      </c>
      <c r="P335" s="11">
        <f>IF($A335&gt;'1-Input'!$B$26,0,IF(U334&lt;=0,0,MAX(0,(U334-V334)/U334)))</f>
        <v>0</v>
      </c>
      <c r="Q335" s="18">
        <f>IF($A335&gt;'1-Input'!$B$26,0,(MAX(0,P286-IF($A335&gt;='1-Input'!$C$12,'1-Input'!$B$12,0))-MIN(MAX(T334,0),MAX(0,P286-IF($A335&gt;='1-Input'!$C$12,'1-Input'!$B$12,0))))*(1/(1-'P-Parametri'!$B$6*P335))+MIN(MAX(0,U334-(MAX(0,P286-IF($A335&gt;='1-Input'!$C$12,'1-Input'!$B$12,0))-MIN(MAX(T334,0),MAX(0,P286-IF($A335&gt;='1-Input'!$C$12,'1-Input'!$B$12,0))))*(1/(1-'P-Parametri'!$B$6*P335))),MAX(0,2*P286-(T334-MIN(MAX(T334,0),MAX(0,P286-IF($A335&gt;='1-Input'!$C$12,'1-Input'!$B$12,0)))))*(1/(1-'P-Parametri'!$B$6*P335))))</f>
        <v>0</v>
      </c>
      <c r="R335" s="18">
        <f>IF($A335&gt;'1-Input'!$B$26,T334,(T334-MAX(0,P286-IF($A335&gt;='1-Input'!$C$12,'1-Input'!$B$12,0))+Q335*(1-'P-Parametri'!$B$6*P335))*(1+ROUND('3-Liquidita'!$F$7,4)))</f>
        <v>0</v>
      </c>
      <c r="S335" s="18">
        <f>IF($A335&gt;'1-Input'!$B$26,U334,(U334-Q335)*(1+'5-Roberta'!$C$4))</f>
        <v>-18395.832097752045</v>
      </c>
      <c r="T335" s="18">
        <f>IF($A335&gt;'1-Input'!$B$26,R335,R335-'P-Parametri'!$B$8*(S335+R335)+MIN(MAX(S335,0),'P-Parametri'!$B$8*(S335+R335)))</f>
        <v>0</v>
      </c>
      <c r="U335" s="18">
        <f>IF($A335&gt;'1-Input'!$B$26,S335,S335-MIN(MAX(S335,0),'P-Parametri'!$B$8*(S335+R335)))</f>
        <v>-18395.832097752045</v>
      </c>
      <c r="V335" s="18">
        <f>IF($A335&gt;'1-Input'!$B$26,V334,V334-Q335*(1-P335))</f>
        <v>-17534.348771281515</v>
      </c>
      <c r="W335" s="11">
        <f>IF($A335&gt;'1-Input'!$B$26,0,IF(AB334&lt;=0,0,MAX(0,(AB334-AC334)/AB334)))</f>
        <v>0</v>
      </c>
      <c r="X335" s="18">
        <f>IF($A335&gt;'1-Input'!$B$26,0,(MAX(0,W286-IF($A335&gt;='1-Input'!$C$12,'1-Input'!$B$12,0))-MIN(MAX(AA334,0),MAX(0,W286-IF($A335&gt;='1-Input'!$C$12,'1-Input'!$B$12,0))))*(1/(1-'P-Parametri'!$B$6*W335))+MIN(MAX(0,AB334-(MAX(0,W286-IF($A335&gt;='1-Input'!$C$12,'1-Input'!$B$12,0))-MIN(MAX(AA334,0),MAX(0,W286-IF($A335&gt;='1-Input'!$C$12,'1-Input'!$B$12,0))))*(1/(1-'P-Parametri'!$B$6*W335))),MAX(0,2*W286-(AA334-MIN(MAX(AA334,0),MAX(0,W286-IF($A335&gt;='1-Input'!$C$12,'1-Input'!$B$12,0)))))*(1/(1-'P-Parametri'!$B$6*W335))))</f>
        <v>0</v>
      </c>
      <c r="Y335" s="18">
        <f>IF($A335&gt;'1-Input'!$B$26,AA334,(AA334-MAX(0,W286-IF($A335&gt;='1-Input'!$C$12,'1-Input'!$B$12,0))+X335*(1-'P-Parametri'!$B$6*W335))*(1+ROUND('3-Liquidita'!$F$7,4)))</f>
        <v>0</v>
      </c>
      <c r="Z335" s="18">
        <f>IF($A335&gt;'1-Input'!$B$26,AB334,(AB334-X335)*(1+'5-Roberta'!$C$4))</f>
        <v>-899.36717938301172</v>
      </c>
      <c r="AA335" s="18">
        <f>IF($A335&gt;'1-Input'!$B$26,Y335,Y335-'P-Parametri'!$B$8*(Z335+Y335)+MIN(MAX(Z335,0),'P-Parametri'!$B$8*(Z335+Y335)))</f>
        <v>0</v>
      </c>
      <c r="AB335" s="18">
        <f>IF($A335&gt;'1-Input'!$B$26,Z335,Z335-MIN(MAX(Z335,0),'P-Parametri'!$B$8*(Z335+Y335)))</f>
        <v>-899.36717938301172</v>
      </c>
      <c r="AC335" s="18">
        <f>IF($A335&gt;'1-Input'!$B$26,AC334,AC334-X335*(1-W335))</f>
        <v>-874.92186254354488</v>
      </c>
      <c r="AD335" s="11">
        <f>IF($A335&gt;'1-Input'!$B$26,0,IF(AI334&lt;=0,0,MAX(0,(AI334-AJ334)/AI334)))</f>
        <v>0</v>
      </c>
      <c r="AE335" s="18">
        <f>IF($A335&gt;'1-Input'!$B$26,0,(MAX(0,AD286-IF($A335&gt;='1-Input'!$C$12,'1-Input'!$B$12,0))-MIN(MAX(AH334,0),MAX(0,AD286-IF($A335&gt;='1-Input'!$C$12,'1-Input'!$B$12,0))))*(1/(1-'P-Parametri'!$B$6*AD335))+MIN(MAX(0,AI334-(MAX(0,AD286-IF($A335&gt;='1-Input'!$C$12,'1-Input'!$B$12,0))-MIN(MAX(AH334,0),MAX(0,AD286-IF($A335&gt;='1-Input'!$C$12,'1-Input'!$B$12,0))))*(1/(1-'P-Parametri'!$B$6*AD335))),MAX(0,2*AD286-(AH334-MIN(MAX(AH334,0),MAX(0,AD286-IF($A335&gt;='1-Input'!$C$12,'1-Input'!$B$12,0)))))*(1/(1-'P-Parametri'!$B$6*AD335))))</f>
        <v>0</v>
      </c>
      <c r="AF335" s="18">
        <f>IF($A335&gt;'1-Input'!$B$26,AH334,(AH334-MAX(0,AD286-IF($A335&gt;='1-Input'!$C$12,'1-Input'!$B$12,0))+AE335*(1-'P-Parametri'!$B$6*AD335))*(1+ROUND('3-Liquidita'!$F$7,4)))</f>
        <v>0</v>
      </c>
      <c r="AG335" s="18">
        <f>IF($A335&gt;'1-Input'!$B$26,AI334,(AI334-AE335)*(1+'5-Roberta'!$C$4))</f>
        <v>-2.736884425755798</v>
      </c>
      <c r="AH335" s="18">
        <f>IF($A335&gt;'1-Input'!$B$26,AF335,AF335-'P-Parametri'!$B$8*(AG335+AF335)+MIN(MAX(AG335,0),'P-Parametri'!$B$8*(AG335+AF335)))</f>
        <v>0</v>
      </c>
      <c r="AI335" s="18">
        <f>IF($A335&gt;'1-Input'!$B$26,AG335,AG335-MIN(MAX(AG335,0),'P-Parametri'!$B$8*(AG335+AF335)))</f>
        <v>-2.736884425755798</v>
      </c>
      <c r="AJ335" s="18">
        <f>IF($A335&gt;'1-Input'!$B$26,AJ334,AJ334-AE335*(1-AD335))</f>
        <v>-2.662494334062103</v>
      </c>
      <c r="AK335" s="11">
        <f>IF($A335&gt;'1-Input'!$B$26,0,IF(AP334&lt;=0,0,MAX(0,(AP334-AQ334)/AP334)))</f>
        <v>0</v>
      </c>
      <c r="AL335" s="18">
        <f>IF($A335&gt;'1-Input'!$B$26,0,(MAX(0,AK286-IF($A335&gt;='1-Input'!$C$12,'1-Input'!$B$12,0))-MIN(MAX(AO334,0),MAX(0,AK286-IF($A335&gt;='1-Input'!$C$12,'1-Input'!$B$12,0))))*(1/(1-'P-Parametri'!$B$6*AK335))+MIN(MAX(0,AP334-(MAX(0,AK286-IF($A335&gt;='1-Input'!$C$12,'1-Input'!$B$12,0))-MIN(MAX(AO334,0),MAX(0,AK286-IF($A335&gt;='1-Input'!$C$12,'1-Input'!$B$12,0))))*(1/(1-'P-Parametri'!$B$6*AK335))),MAX(0,2*AK286-(AO334-MIN(MAX(AO334,0),MAX(0,AK286-IF($A335&gt;='1-Input'!$C$12,'1-Input'!$B$12,0)))))*(1/(1-'P-Parametri'!$B$6*AK335))))</f>
        <v>0</v>
      </c>
      <c r="AM335" s="18">
        <f>IF($A335&gt;'1-Input'!$B$26,AO334,(AO334-MAX(0,AK286-IF($A335&gt;='1-Input'!$C$12,'1-Input'!$B$12,0))+AL335*(1-'P-Parametri'!$B$6*AK335))*(1+ROUND('3-Liquidita'!$F$7,4)))</f>
        <v>7.3577682872119115E-6</v>
      </c>
      <c r="AN335" s="18">
        <f>IF($A335&gt;'1-Input'!$B$26,AP334,(AP334-AL335)*(1+'5-Roberta'!$C$4))</f>
        <v>0</v>
      </c>
      <c r="AO335" s="18">
        <f>IF($A335&gt;'1-Input'!$B$26,AM335,AM335-'P-Parametri'!$B$8*(AN335+AM335)+MIN(MAX(AN335,0),'P-Parametri'!$B$8*(AN335+AM335)))</f>
        <v>7.3577682872119115E-6</v>
      </c>
      <c r="AP335" s="18">
        <f>IF($A335&gt;'1-Input'!$B$26,AN335,AN335-MIN(MAX(AN335,0),'P-Parametri'!$B$8*(AN335+AM335)))</f>
        <v>0</v>
      </c>
      <c r="AQ335" s="18">
        <f>IF($A335&gt;'1-Input'!$B$26,AQ334,AQ334-AL335*(1-AK335))</f>
        <v>0</v>
      </c>
    </row>
    <row r="336" spans="1:43">
      <c r="A336" s="10">
        <f>48</f>
        <v>48</v>
      </c>
      <c r="B336" s="11">
        <f>IF($A336&gt;'1-Input'!$B$26,0,IF(G335&lt;=0,0,MAX(0,(G335-H335)/G335)))</f>
        <v>0</v>
      </c>
      <c r="C336" s="18">
        <f>IF($A336&gt;'1-Input'!$B$26,0,(MAX(0,B286-IF($A336&gt;='1-Input'!$C$12,'1-Input'!$B$12,0))-MIN(MAX(F335,0),MAX(0,B286-IF($A336&gt;='1-Input'!$C$12,'1-Input'!$B$12,0))))*(1/(1-'P-Parametri'!$B$6*B336))+MIN(MAX(0,G335-(MAX(0,B286-IF($A336&gt;='1-Input'!$C$12,'1-Input'!$B$12,0))-MIN(MAX(F335,0),MAX(0,B286-IF($A336&gt;='1-Input'!$C$12,'1-Input'!$B$12,0))))*(1/(1-'P-Parametri'!$B$6*B336))),MAX(0,2*B286-(F335-MIN(MAX(F335,0),MAX(0,B286-IF($A336&gt;='1-Input'!$C$12,'1-Input'!$B$12,0)))))*(1/(1-'P-Parametri'!$B$6*B336))))</f>
        <v>0</v>
      </c>
      <c r="D336" s="18">
        <f>IF($A336&gt;'1-Input'!$B$26,F335,(F335-MAX(0,B286-IF($A336&gt;='1-Input'!$C$12,'1-Input'!$B$12,0))+C336*(1-'P-Parametri'!$B$6*B336))*(1+ROUND('3-Liquidita'!$F$7,4)))</f>
        <v>33572.29192621589</v>
      </c>
      <c r="E336" s="18">
        <f>IF($A336&gt;'1-Input'!$B$26,G335,(G335-C336)*(1+'5-Roberta'!$C$4))</f>
        <v>124742.46556981842</v>
      </c>
      <c r="F336" s="18">
        <f>IF($A336&gt;'1-Input'!$B$26,D336,D336-'P-Parametri'!$B$8*(E336+D336)+MIN(MAX(E336,0),'P-Parametri'!$B$8*(E336+D336)))</f>
        <v>33572.29192621589</v>
      </c>
      <c r="G336" s="18">
        <f>IF($A336&gt;'1-Input'!$B$26,E336,E336-MIN(MAX(E336,0),'P-Parametri'!$B$8*(E336+D336)))</f>
        <v>124742.46556981842</v>
      </c>
      <c r="H336" s="18">
        <f>IF($A336&gt;'1-Input'!$B$26,H335,H335-C336*(1-B336))</f>
        <v>28721.891116590024</v>
      </c>
      <c r="I336" s="11">
        <f>IF($A336&gt;'1-Input'!$B$26,0,IF(N335&lt;=0,0,MAX(0,(N335-O335)/N335)))</f>
        <v>0</v>
      </c>
      <c r="J336" s="18">
        <f>IF($A336&gt;'1-Input'!$B$26,0,(MAX(0,I286-IF($A336&gt;='1-Input'!$C$12,'1-Input'!$B$12,0))-MIN(MAX(M335,0),MAX(0,I286-IF($A336&gt;='1-Input'!$C$12,'1-Input'!$B$12,0))))*(1/(1-'P-Parametri'!$B$6*I336))+MIN(MAX(0,N335-(MAX(0,I286-IF($A336&gt;='1-Input'!$C$12,'1-Input'!$B$12,0))-MIN(MAX(M335,0),MAX(0,I286-IF($A336&gt;='1-Input'!$C$12,'1-Input'!$B$12,0))))*(1/(1-'P-Parametri'!$B$6*I336))),MAX(0,2*I286-(M335-MIN(MAX(M335,0),MAX(0,I286-IF($A336&gt;='1-Input'!$C$12,'1-Input'!$B$12,0)))))*(1/(1-'P-Parametri'!$B$6*I336))))</f>
        <v>0</v>
      </c>
      <c r="K336" s="18">
        <f>IF($A336&gt;'1-Input'!$B$26,M335,(M335-MAX(0,I286-IF($A336&gt;='1-Input'!$C$12,'1-Input'!$B$12,0))+J336*(1-'P-Parametri'!$B$6*I336))*(1+ROUND('3-Liquidita'!$F$7,4)))</f>
        <v>0</v>
      </c>
      <c r="L336" s="18">
        <f>IF($A336&gt;'1-Input'!$B$26,N335,(N335-J336)*(1+'5-Roberta'!$C$4))</f>
        <v>-299041.09863232228</v>
      </c>
      <c r="M336" s="18">
        <f>IF($A336&gt;'1-Input'!$B$26,K336,K336-'P-Parametri'!$B$8*(L336+K336)+MIN(MAX(L336,0),'P-Parametri'!$B$8*(L336+K336)))</f>
        <v>0</v>
      </c>
      <c r="N336" s="18">
        <f>IF($A336&gt;'1-Input'!$B$26,L336,L336-MIN(MAX(L336,0),'P-Parametri'!$B$8*(L336+K336)))</f>
        <v>-299041.09863232228</v>
      </c>
      <c r="O336" s="18">
        <f>IF($A336&gt;'1-Input'!$B$26,O335,O335-J336*(1-I336))</f>
        <v>-220097.596844349</v>
      </c>
      <c r="P336" s="11">
        <f>IF($A336&gt;'1-Input'!$B$26,0,IF(U335&lt;=0,0,MAX(0,(U335-V335)/U335)))</f>
        <v>0</v>
      </c>
      <c r="Q336" s="18">
        <f>IF($A336&gt;'1-Input'!$B$26,0,(MAX(0,P286-IF($A336&gt;='1-Input'!$C$12,'1-Input'!$B$12,0))-MIN(MAX(T335,0),MAX(0,P286-IF($A336&gt;='1-Input'!$C$12,'1-Input'!$B$12,0))))*(1/(1-'P-Parametri'!$B$6*P336))+MIN(MAX(0,U335-(MAX(0,P286-IF($A336&gt;='1-Input'!$C$12,'1-Input'!$B$12,0))-MIN(MAX(T335,0),MAX(0,P286-IF($A336&gt;='1-Input'!$C$12,'1-Input'!$B$12,0))))*(1/(1-'P-Parametri'!$B$6*P336))),MAX(0,2*P286-(T335-MIN(MAX(T335,0),MAX(0,P286-IF($A336&gt;='1-Input'!$C$12,'1-Input'!$B$12,0)))))*(1/(1-'P-Parametri'!$B$6*P336))))</f>
        <v>0</v>
      </c>
      <c r="R336" s="18">
        <f>IF($A336&gt;'1-Input'!$B$26,T335,(T335-MAX(0,P286-IF($A336&gt;='1-Input'!$C$12,'1-Input'!$B$12,0))+Q336*(1-'P-Parametri'!$B$6*P336))*(1+ROUND('3-Liquidita'!$F$7,4)))</f>
        <v>0</v>
      </c>
      <c r="S336" s="18">
        <f>IF($A336&gt;'1-Input'!$B$26,U335,(U335-Q336)*(1+'5-Roberta'!$C$4))</f>
        <v>-18395.832097752045</v>
      </c>
      <c r="T336" s="18">
        <f>IF($A336&gt;'1-Input'!$B$26,R336,R336-'P-Parametri'!$B$8*(S336+R336)+MIN(MAX(S336,0),'P-Parametri'!$B$8*(S336+R336)))</f>
        <v>0</v>
      </c>
      <c r="U336" s="18">
        <f>IF($A336&gt;'1-Input'!$B$26,S336,S336-MIN(MAX(S336,0),'P-Parametri'!$B$8*(S336+R336)))</f>
        <v>-18395.832097752045</v>
      </c>
      <c r="V336" s="18">
        <f>IF($A336&gt;'1-Input'!$B$26,V335,V335-Q336*(1-P336))</f>
        <v>-17534.348771281515</v>
      </c>
      <c r="W336" s="11">
        <f>IF($A336&gt;'1-Input'!$B$26,0,IF(AB335&lt;=0,0,MAX(0,(AB335-AC335)/AB335)))</f>
        <v>0</v>
      </c>
      <c r="X336" s="18">
        <f>IF($A336&gt;'1-Input'!$B$26,0,(MAX(0,W286-IF($A336&gt;='1-Input'!$C$12,'1-Input'!$B$12,0))-MIN(MAX(AA335,0),MAX(0,W286-IF($A336&gt;='1-Input'!$C$12,'1-Input'!$B$12,0))))*(1/(1-'P-Parametri'!$B$6*W336))+MIN(MAX(0,AB335-(MAX(0,W286-IF($A336&gt;='1-Input'!$C$12,'1-Input'!$B$12,0))-MIN(MAX(AA335,0),MAX(0,W286-IF($A336&gt;='1-Input'!$C$12,'1-Input'!$B$12,0))))*(1/(1-'P-Parametri'!$B$6*W336))),MAX(0,2*W286-(AA335-MIN(MAX(AA335,0),MAX(0,W286-IF($A336&gt;='1-Input'!$C$12,'1-Input'!$B$12,0)))))*(1/(1-'P-Parametri'!$B$6*W336))))</f>
        <v>0</v>
      </c>
      <c r="Y336" s="18">
        <f>IF($A336&gt;'1-Input'!$B$26,AA335,(AA335-MAX(0,W286-IF($A336&gt;='1-Input'!$C$12,'1-Input'!$B$12,0))+X336*(1-'P-Parametri'!$B$6*W336))*(1+ROUND('3-Liquidita'!$F$7,4)))</f>
        <v>0</v>
      </c>
      <c r="Z336" s="18">
        <f>IF($A336&gt;'1-Input'!$B$26,AB335,(AB335-X336)*(1+'5-Roberta'!$C$4))</f>
        <v>-899.36717938301172</v>
      </c>
      <c r="AA336" s="18">
        <f>IF($A336&gt;'1-Input'!$B$26,Y336,Y336-'P-Parametri'!$B$8*(Z336+Y336)+MIN(MAX(Z336,0),'P-Parametri'!$B$8*(Z336+Y336)))</f>
        <v>0</v>
      </c>
      <c r="AB336" s="18">
        <f>IF($A336&gt;'1-Input'!$B$26,Z336,Z336-MIN(MAX(Z336,0),'P-Parametri'!$B$8*(Z336+Y336)))</f>
        <v>-899.36717938301172</v>
      </c>
      <c r="AC336" s="18">
        <f>IF($A336&gt;'1-Input'!$B$26,AC335,AC335-X336*(1-W336))</f>
        <v>-874.92186254354488</v>
      </c>
      <c r="AD336" s="11">
        <f>IF($A336&gt;'1-Input'!$B$26,0,IF(AI335&lt;=0,0,MAX(0,(AI335-AJ335)/AI335)))</f>
        <v>0</v>
      </c>
      <c r="AE336" s="18">
        <f>IF($A336&gt;'1-Input'!$B$26,0,(MAX(0,AD286-IF($A336&gt;='1-Input'!$C$12,'1-Input'!$B$12,0))-MIN(MAX(AH335,0),MAX(0,AD286-IF($A336&gt;='1-Input'!$C$12,'1-Input'!$B$12,0))))*(1/(1-'P-Parametri'!$B$6*AD336))+MIN(MAX(0,AI335-(MAX(0,AD286-IF($A336&gt;='1-Input'!$C$12,'1-Input'!$B$12,0))-MIN(MAX(AH335,0),MAX(0,AD286-IF($A336&gt;='1-Input'!$C$12,'1-Input'!$B$12,0))))*(1/(1-'P-Parametri'!$B$6*AD336))),MAX(0,2*AD286-(AH335-MIN(MAX(AH335,0),MAX(0,AD286-IF($A336&gt;='1-Input'!$C$12,'1-Input'!$B$12,0)))))*(1/(1-'P-Parametri'!$B$6*AD336))))</f>
        <v>0</v>
      </c>
      <c r="AF336" s="18">
        <f>IF($A336&gt;'1-Input'!$B$26,AH335,(AH335-MAX(0,AD286-IF($A336&gt;='1-Input'!$C$12,'1-Input'!$B$12,0))+AE336*(1-'P-Parametri'!$B$6*AD336))*(1+ROUND('3-Liquidita'!$F$7,4)))</f>
        <v>0</v>
      </c>
      <c r="AG336" s="18">
        <f>IF($A336&gt;'1-Input'!$B$26,AI335,(AI335-AE336)*(1+'5-Roberta'!$C$4))</f>
        <v>-2.736884425755798</v>
      </c>
      <c r="AH336" s="18">
        <f>IF($A336&gt;'1-Input'!$B$26,AF336,AF336-'P-Parametri'!$B$8*(AG336+AF336)+MIN(MAX(AG336,0),'P-Parametri'!$B$8*(AG336+AF336)))</f>
        <v>0</v>
      </c>
      <c r="AI336" s="18">
        <f>IF($A336&gt;'1-Input'!$B$26,AG336,AG336-MIN(MAX(AG336,0),'P-Parametri'!$B$8*(AG336+AF336)))</f>
        <v>-2.736884425755798</v>
      </c>
      <c r="AJ336" s="18">
        <f>IF($A336&gt;'1-Input'!$B$26,AJ335,AJ335-AE336*(1-AD336))</f>
        <v>-2.662494334062103</v>
      </c>
      <c r="AK336" s="11">
        <f>IF($A336&gt;'1-Input'!$B$26,0,IF(AP335&lt;=0,0,MAX(0,(AP335-AQ335)/AP335)))</f>
        <v>0</v>
      </c>
      <c r="AL336" s="18">
        <f>IF($A336&gt;'1-Input'!$B$26,0,(MAX(0,AK286-IF($A336&gt;='1-Input'!$C$12,'1-Input'!$B$12,0))-MIN(MAX(AO335,0),MAX(0,AK286-IF($A336&gt;='1-Input'!$C$12,'1-Input'!$B$12,0))))*(1/(1-'P-Parametri'!$B$6*AK336))+MIN(MAX(0,AP335-(MAX(0,AK286-IF($A336&gt;='1-Input'!$C$12,'1-Input'!$B$12,0))-MIN(MAX(AO335,0),MAX(0,AK286-IF($A336&gt;='1-Input'!$C$12,'1-Input'!$B$12,0))))*(1/(1-'P-Parametri'!$B$6*AK336))),MAX(0,2*AK286-(AO335-MIN(MAX(AO335,0),MAX(0,AK286-IF($A336&gt;='1-Input'!$C$12,'1-Input'!$B$12,0)))))*(1/(1-'P-Parametri'!$B$6*AK336))))</f>
        <v>0</v>
      </c>
      <c r="AM336" s="18">
        <f>IF($A336&gt;'1-Input'!$B$26,AO335,(AO335-MAX(0,AK286-IF($A336&gt;='1-Input'!$C$12,'1-Input'!$B$12,0))+AL336*(1-'P-Parametri'!$B$6*AK336))*(1+ROUND('3-Liquidita'!$F$7,4)))</f>
        <v>7.3577682872119115E-6</v>
      </c>
      <c r="AN336" s="18">
        <f>IF($A336&gt;'1-Input'!$B$26,AP335,(AP335-AL336)*(1+'5-Roberta'!$C$4))</f>
        <v>0</v>
      </c>
      <c r="AO336" s="18">
        <f>IF($A336&gt;'1-Input'!$B$26,AM336,AM336-'P-Parametri'!$B$8*(AN336+AM336)+MIN(MAX(AN336,0),'P-Parametri'!$B$8*(AN336+AM336)))</f>
        <v>7.3577682872119115E-6</v>
      </c>
      <c r="AP336" s="18">
        <f>IF($A336&gt;'1-Input'!$B$26,AN336,AN336-MIN(MAX(AN336,0),'P-Parametri'!$B$8*(AN336+AM336)))</f>
        <v>0</v>
      </c>
      <c r="AQ336" s="18">
        <f>IF($A336&gt;'1-Input'!$B$26,AQ335,AQ335-AL336*(1-AK336))</f>
        <v>0</v>
      </c>
    </row>
    <row r="337" spans="1:43">
      <c r="A337" s="4" t="s">
        <v>365</v>
      </c>
      <c r="B337" s="18">
        <f>F336+G336</f>
        <v>158314.75749603432</v>
      </c>
      <c r="I337" s="18">
        <f>M336+N336</f>
        <v>-299041.09863232228</v>
      </c>
      <c r="P337" s="18">
        <f>T336+U336</f>
        <v>-18395.832097752045</v>
      </c>
      <c r="W337" s="18">
        <f>AA336+AB336</f>
        <v>-899.36717938301172</v>
      </c>
      <c r="AD337" s="18">
        <f>AH336+AI336</f>
        <v>-2.736884425755798</v>
      </c>
      <c r="AK337" s="18">
        <f>AO336+AP336</f>
        <v>7.3577682872119115E-6</v>
      </c>
    </row>
    <row r="338" spans="1:43">
      <c r="A338" s="5" t="s">
        <v>266</v>
      </c>
      <c r="B338" s="18">
        <f>IFERROR(AK286-AK337*(AK286-AD286)/(AK337-AD337),AK286)</f>
        <v>18267.075125341154</v>
      </c>
    </row>
    <row r="340" spans="1:43">
      <c r="A340" s="2" t="s">
        <v>415</v>
      </c>
    </row>
    <row r="341" spans="1:43">
      <c r="A341" s="4" t="s">
        <v>360</v>
      </c>
      <c r="B341" s="9">
        <f>0.038*'2-Caso'!$B$12</f>
        <v>16681.055314625803</v>
      </c>
      <c r="I341" s="9">
        <f>0.05*'2-Caso'!$B$12</f>
        <v>21948.756992928691</v>
      </c>
      <c r="P341" s="18">
        <f>IFERROR(I341-I392*(I341-B341)/(I392-B392),I341)</f>
        <v>19347.009604463154</v>
      </c>
      <c r="W341" s="18">
        <f>IFERROR(P341-P392*(P341-I341)/(P392-I392),P341)</f>
        <v>19079.81627813934</v>
      </c>
      <c r="AD341" s="18">
        <f>IFERROR(W341-W392*(W341-P341)/(W392-P392),W341)</f>
        <v>19088.61123553124</v>
      </c>
      <c r="AK341" s="18">
        <f>IFERROR(AD341-AD392*(AD341-W341)/(AD392-W392),AD341)</f>
        <v>19087.260049243294</v>
      </c>
    </row>
    <row r="342" spans="1:43" ht="45">
      <c r="A342" s="25" t="s">
        <v>262</v>
      </c>
      <c r="B342" s="25" t="s">
        <v>361</v>
      </c>
      <c r="C342" s="25" t="s">
        <v>263</v>
      </c>
      <c r="D342" s="25" t="s">
        <v>362</v>
      </c>
      <c r="E342" s="25" t="s">
        <v>363</v>
      </c>
      <c r="F342" s="25" t="s">
        <v>264</v>
      </c>
      <c r="G342" s="25" t="s">
        <v>265</v>
      </c>
      <c r="H342" s="25" t="s">
        <v>364</v>
      </c>
      <c r="I342" s="25" t="s">
        <v>361</v>
      </c>
      <c r="J342" s="25" t="s">
        <v>263</v>
      </c>
      <c r="K342" s="25" t="s">
        <v>362</v>
      </c>
      <c r="L342" s="25" t="s">
        <v>363</v>
      </c>
      <c r="M342" s="25" t="s">
        <v>264</v>
      </c>
      <c r="N342" s="25" t="s">
        <v>265</v>
      </c>
      <c r="O342" s="25" t="s">
        <v>364</v>
      </c>
      <c r="P342" s="25" t="s">
        <v>361</v>
      </c>
      <c r="Q342" s="25" t="s">
        <v>263</v>
      </c>
      <c r="R342" s="25" t="s">
        <v>362</v>
      </c>
      <c r="S342" s="25" t="s">
        <v>363</v>
      </c>
      <c r="T342" s="25" t="s">
        <v>264</v>
      </c>
      <c r="U342" s="25" t="s">
        <v>265</v>
      </c>
      <c r="V342" s="25" t="s">
        <v>364</v>
      </c>
      <c r="W342" s="25" t="s">
        <v>361</v>
      </c>
      <c r="X342" s="25" t="s">
        <v>263</v>
      </c>
      <c r="Y342" s="25" t="s">
        <v>362</v>
      </c>
      <c r="Z342" s="25" t="s">
        <v>363</v>
      </c>
      <c r="AA342" s="25" t="s">
        <v>264</v>
      </c>
      <c r="AB342" s="25" t="s">
        <v>265</v>
      </c>
      <c r="AC342" s="25" t="s">
        <v>364</v>
      </c>
      <c r="AD342" s="25" t="s">
        <v>361</v>
      </c>
      <c r="AE342" s="25" t="s">
        <v>263</v>
      </c>
      <c r="AF342" s="25" t="s">
        <v>362</v>
      </c>
      <c r="AG342" s="25" t="s">
        <v>363</v>
      </c>
      <c r="AH342" s="25" t="s">
        <v>264</v>
      </c>
      <c r="AI342" s="25" t="s">
        <v>265</v>
      </c>
      <c r="AJ342" s="25" t="s">
        <v>364</v>
      </c>
      <c r="AK342" s="25" t="s">
        <v>361</v>
      </c>
      <c r="AL342" s="25" t="s">
        <v>263</v>
      </c>
      <c r="AM342" s="25" t="s">
        <v>362</v>
      </c>
      <c r="AN342" s="25" t="s">
        <v>363</v>
      </c>
      <c r="AO342" s="25" t="s">
        <v>264</v>
      </c>
      <c r="AP342" s="25" t="s">
        <v>265</v>
      </c>
      <c r="AQ342" s="25" t="s">
        <v>364</v>
      </c>
    </row>
    <row r="343" spans="1:43">
      <c r="A343" s="3">
        <v>0</v>
      </c>
      <c r="F343" s="18">
        <f>MIN(0*B341,'2-Caso'!$B$12)</f>
        <v>0</v>
      </c>
      <c r="G343" s="18">
        <f>'2-Caso'!$B$12-F343</f>
        <v>438975.13985857379</v>
      </c>
      <c r="H343" s="18">
        <f>'2-Caso'!$B$13*G343/'2-Caso'!$B$12</f>
        <v>344000</v>
      </c>
      <c r="M343" s="18">
        <f>MIN(0*I341,'2-Caso'!$B$12)</f>
        <v>0</v>
      </c>
      <c r="N343" s="18">
        <f>'2-Caso'!$B$12-M343</f>
        <v>438975.13985857379</v>
      </c>
      <c r="O343" s="18">
        <f>'2-Caso'!$B$13*N343/'2-Caso'!$B$12</f>
        <v>344000</v>
      </c>
      <c r="T343" s="18">
        <f>MIN(0*P341,'2-Caso'!$B$12)</f>
        <v>0</v>
      </c>
      <c r="U343" s="18">
        <f>'2-Caso'!$B$12-T343</f>
        <v>438975.13985857379</v>
      </c>
      <c r="V343" s="18">
        <f>'2-Caso'!$B$13*U343/'2-Caso'!$B$12</f>
        <v>344000</v>
      </c>
      <c r="AA343" s="18">
        <f>MIN(0*W341,'2-Caso'!$B$12)</f>
        <v>0</v>
      </c>
      <c r="AB343" s="18">
        <f>'2-Caso'!$B$12-AA343</f>
        <v>438975.13985857379</v>
      </c>
      <c r="AC343" s="18">
        <f>'2-Caso'!$B$13*AB343/'2-Caso'!$B$12</f>
        <v>344000</v>
      </c>
      <c r="AH343" s="18">
        <f>MIN(0*AD341,'2-Caso'!$B$12)</f>
        <v>0</v>
      </c>
      <c r="AI343" s="18">
        <f>'2-Caso'!$B$12-AH343</f>
        <v>438975.13985857379</v>
      </c>
      <c r="AJ343" s="18">
        <f>'2-Caso'!$B$13*AI343/'2-Caso'!$B$12</f>
        <v>344000</v>
      </c>
      <c r="AO343" s="18">
        <f>MIN(0*AK341,'2-Caso'!$B$12)</f>
        <v>0</v>
      </c>
      <c r="AP343" s="18">
        <f>'2-Caso'!$B$12-AO343</f>
        <v>438975.13985857379</v>
      </c>
      <c r="AQ343" s="18">
        <f>'2-Caso'!$B$13*AP343/'2-Caso'!$B$12</f>
        <v>344000</v>
      </c>
    </row>
    <row r="344" spans="1:43">
      <c r="A344" s="10">
        <f>1</f>
        <v>1</v>
      </c>
      <c r="B344" s="11">
        <f>IF($A344&gt;'1-Input'!$B$26,0,IF(G343&lt;=0,0,MAX(0,(G343-H343)/G343)))</f>
        <v>0.21635653419729481</v>
      </c>
      <c r="C344" s="18">
        <f>IF($A344&gt;'1-Input'!$B$26,0,(MAX(0,B341-IF($A344&gt;=('1-Input'!$C$12-1),'1-Input'!$B$12,0))-MIN(MAX(F343,0),MAX(0,B341-IF($A344&gt;=('1-Input'!$C$12-1),'1-Input'!$B$12,0))))*(1/(1-'P-Parametri'!$B$6*B344))+MIN(MAX(0,G343-(MAX(0,B341-IF($A344&gt;=('1-Input'!$C$12-1),'1-Input'!$B$12,0))-MIN(MAX(F343,0),MAX(0,B341-IF($A344&gt;=('1-Input'!$C$12-1),'1-Input'!$B$12,0))))*(1/(1-'P-Parametri'!$B$6*B344))),MAX(0,0*B341-(F343-MIN(MAX(F343,0),MAX(0,B341-IF($A344&gt;=('1-Input'!$C$12-1),'1-Input'!$B$12,0)))))*(1/(1-'P-Parametri'!$B$6*B344))))</f>
        <v>17675.340946701614</v>
      </c>
      <c r="D344" s="18">
        <f>IF($A344&gt;'1-Input'!$B$26,F343,(F343-MAX(0,B341-IF($A344&gt;=('1-Input'!$C$12-1),'1-Input'!$B$12,0))+C344*(1-'P-Parametri'!$B$6*B344))*(1+'1-Input'!$B$27))</f>
        <v>-3.6248820833861826E-12</v>
      </c>
      <c r="E344" s="18">
        <f>IF($A344&gt;'1-Input'!$B$26,G343,(G343-C344)*(1+'5-Roberta'!$C$4))</f>
        <v>433938.79287922836</v>
      </c>
      <c r="F344" s="18">
        <f>IF($A344&gt;'1-Input'!$B$26,D344,D344-'P-Parametri'!$B$8*(E344+D344)+MIN(MAX(E344,0),'P-Parametri'!$B$8*(E344+D344)))</f>
        <v>-3.637978807091713E-12</v>
      </c>
      <c r="G344" s="18">
        <f>IF($A344&gt;'1-Input'!$B$26,E344,E344-MIN(MAX(E344,0),'P-Parametri'!$B$8*(E344+D344)))</f>
        <v>433070.91529346991</v>
      </c>
      <c r="H344" s="18">
        <f>IF($A344&gt;'1-Input'!$B$26,H343,H343-C344*(1-B344))</f>
        <v>330148.8345612823</v>
      </c>
      <c r="I344" s="11">
        <f>IF($A344&gt;'1-Input'!$B$26,0,IF(N343&lt;=0,0,MAX(0,(N343-O343)/N343)))</f>
        <v>0.21635653419729481</v>
      </c>
      <c r="J344" s="18">
        <f>IF($A344&gt;'1-Input'!$B$26,0,(MAX(0,I341-IF($A344&gt;=('1-Input'!$C$12-1),'1-Input'!$B$12,0))-MIN(MAX(M343,0),MAX(0,I341-IF($A344&gt;=('1-Input'!$C$12-1),'1-Input'!$B$12,0))))*(1/(1-'P-Parametri'!$B$6*I344))+MIN(MAX(0,N343-(MAX(0,I341-IF($A344&gt;=('1-Input'!$C$12-1),'1-Input'!$B$12,0))-MIN(MAX(M343,0),MAX(0,I341-IF($A344&gt;=('1-Input'!$C$12-1),'1-Input'!$B$12,0))))*(1/(1-'P-Parametri'!$B$6*I344))),MAX(0,0*I341-(M343-MIN(MAX(M343,0),MAX(0,I341-IF($A344&gt;=('1-Input'!$C$12-1),'1-Input'!$B$12,0)))))*(1/(1-'P-Parametri'!$B$6*I344))))</f>
        <v>23257.027561449497</v>
      </c>
      <c r="K344" s="18">
        <f>IF($A344&gt;'1-Input'!$B$26,M343,(M343-MAX(0,I341-IF($A344&gt;=('1-Input'!$C$12-1),'1-Input'!$B$12,0))+J344*(1-'P-Parametri'!$B$6*I344))*(1+'1-Input'!$B$27))</f>
        <v>0</v>
      </c>
      <c r="L344" s="18">
        <f>IF($A344&gt;'1-Input'!$B$26,N343,(N343-J344)*(1+'5-Roberta'!$C$4))</f>
        <v>428189.65566603804</v>
      </c>
      <c r="M344" s="18">
        <f>IF($A344&gt;'1-Input'!$B$26,K344,K344-'P-Parametri'!$B$8*(L344+K344)+MIN(MAX(L344,0),'P-Parametri'!$B$8*(L344+K344)))</f>
        <v>0</v>
      </c>
      <c r="N344" s="18">
        <f>IF($A344&gt;'1-Input'!$B$26,L344,L344-MIN(MAX(L344,0),'P-Parametri'!$B$8*(L344+K344)))</f>
        <v>427333.27635470597</v>
      </c>
      <c r="O344" s="18">
        <f>IF($A344&gt;'1-Input'!$B$26,O343,O343-J344*(1-I344))</f>
        <v>325774.7823174767</v>
      </c>
      <c r="P344" s="11">
        <f>IF($A344&gt;'1-Input'!$B$26,0,IF(U343&lt;=0,0,MAX(0,(U343-V343)/U343)))</f>
        <v>0.21635653419729481</v>
      </c>
      <c r="Q344" s="18">
        <f>IF($A344&gt;'1-Input'!$B$26,0,(MAX(0,P341-IF($A344&gt;=('1-Input'!$C$12-1),'1-Input'!$B$12,0))-MIN(MAX(T343,0),MAX(0,P341-IF($A344&gt;=('1-Input'!$C$12-1),'1-Input'!$B$12,0))))*(1/(1-'P-Parametri'!$B$6*P344))+MIN(MAX(0,U343-(MAX(0,P341-IF($A344&gt;=('1-Input'!$C$12-1),'1-Input'!$B$12,0))-MIN(MAX(T343,0),MAX(0,P341-IF($A344&gt;=('1-Input'!$C$12-1),'1-Input'!$B$12,0))))*(1/(1-'P-Parametri'!$B$6*P344))),MAX(0,0*P341-(T343-MIN(MAX(T343,0),MAX(0,P341-IF($A344&gt;=('1-Input'!$C$12-1),'1-Input'!$B$12,0)))))*(1/(1-'P-Parametri'!$B$6*P344))))</f>
        <v>20500.201252744788</v>
      </c>
      <c r="R344" s="18">
        <f>IF($A344&gt;'1-Input'!$B$26,T343,(T343-MAX(0,P341-IF($A344&gt;=('1-Input'!$C$12-1),'1-Input'!$B$12,0))+Q344*(1-'P-Parametri'!$B$6*P344))*(1+'1-Input'!$B$27))</f>
        <v>0</v>
      </c>
      <c r="S344" s="18">
        <f>IF($A344&gt;'1-Input'!$B$26,U343,(U343-Q344)*(1+'5-Roberta'!$C$4))</f>
        <v>431029.18676400388</v>
      </c>
      <c r="T344" s="18">
        <f>IF($A344&gt;'1-Input'!$B$26,R344,R344-'P-Parametri'!$B$8*(S344+R344)+MIN(MAX(S344,0),'P-Parametri'!$B$8*(S344+R344)))</f>
        <v>0</v>
      </c>
      <c r="U344" s="18">
        <f>IF($A344&gt;'1-Input'!$B$26,S344,S344-MIN(MAX(S344,0),'P-Parametri'!$B$8*(S344+R344)))</f>
        <v>430167.12839047587</v>
      </c>
      <c r="V344" s="18">
        <f>IF($A344&gt;'1-Input'!$B$26,V343,V343-Q344*(1-P344))</f>
        <v>327935.15124064614</v>
      </c>
      <c r="W344" s="11">
        <f>IF($A344&gt;'1-Input'!$B$26,0,IF(AB343&lt;=0,0,MAX(0,(AB343-AC343)/AB343)))</f>
        <v>0.21635653419729481</v>
      </c>
      <c r="X344" s="18">
        <f>IF($A344&gt;'1-Input'!$B$26,0,(MAX(0,W341-IF($A344&gt;=('1-Input'!$C$12-1),'1-Input'!$B$12,0))-MIN(MAX(AA343,0),MAX(0,W341-IF($A344&gt;=('1-Input'!$C$12-1),'1-Input'!$B$12,0))))*(1/(1-'P-Parametri'!$B$6*W344))+MIN(MAX(0,AB343-(MAX(0,W341-IF($A344&gt;=('1-Input'!$C$12-1),'1-Input'!$B$12,0))-MIN(MAX(AA343,0),MAX(0,W341-IF($A344&gt;=('1-Input'!$C$12-1),'1-Input'!$B$12,0))))*(1/(1-'P-Parametri'!$B$6*W344))),MAX(0,0*W341-(AA343-MIN(MAX(AA343,0),MAX(0,W341-IF($A344&gt;=('1-Input'!$C$12-1),'1-Input'!$B$12,0)))))*(1/(1-'P-Parametri'!$B$6*W344))))</f>
        <v>20217.081686723337</v>
      </c>
      <c r="Y344" s="18">
        <f>IF($A344&gt;'1-Input'!$B$26,AA343,(AA343-MAX(0,W341-IF($A344&gt;=('1-Input'!$C$12-1),'1-Input'!$B$12,0))+X344*(1-'P-Parametri'!$B$6*W344))*(1+'1-Input'!$B$27))</f>
        <v>0</v>
      </c>
      <c r="Z344" s="18">
        <f>IF($A344&gt;'1-Input'!$B$26,AB343,(AB343-X344)*(1+'5-Roberta'!$C$4))</f>
        <v>431320.79991700599</v>
      </c>
      <c r="AA344" s="18">
        <f>IF($A344&gt;'1-Input'!$B$26,Y344,Y344-'P-Parametri'!$B$8*(Z344+Y344)+MIN(MAX(Z344,0),'P-Parametri'!$B$8*(Z344+Y344)))</f>
        <v>0</v>
      </c>
      <c r="AB344" s="18">
        <f>IF($A344&gt;'1-Input'!$B$26,Z344,Z344-MIN(MAX(Z344,0),'P-Parametri'!$B$8*(Z344+Y344)))</f>
        <v>430458.15831717197</v>
      </c>
      <c r="AC344" s="18">
        <f>IF($A344&gt;'1-Input'!$B$26,AC343,AC343-X344*(1-W344))</f>
        <v>328157.01603859972</v>
      </c>
      <c r="AD344" s="11">
        <f>IF($A344&gt;'1-Input'!$B$26,0,IF(AI343&lt;=0,0,MAX(0,(AI343-AJ343)/AI343)))</f>
        <v>0.21635653419729481</v>
      </c>
      <c r="AE344" s="18">
        <f>IF($A344&gt;'1-Input'!$B$26,0,(MAX(0,AD341-IF($A344&gt;=('1-Input'!$C$12-1),'1-Input'!$B$12,0))-MIN(MAX(AH343,0),MAX(0,AD341-IF($A344&gt;=('1-Input'!$C$12-1),'1-Input'!$B$12,0))))*(1/(1-'P-Parametri'!$B$6*AD344))+MIN(MAX(0,AI343-(MAX(0,AD341-IF($A344&gt;=('1-Input'!$C$12-1),'1-Input'!$B$12,0))-MIN(MAX(AH343,0),MAX(0,AD341-IF($A344&gt;=('1-Input'!$C$12-1),'1-Input'!$B$12,0))))*(1/(1-'P-Parametri'!$B$6*AD344))),MAX(0,0*AD341-(AH343-MIN(MAX(AH343,0),MAX(0,AD341-IF($A344&gt;=('1-Input'!$C$12-1),'1-Input'!$B$12,0)))))*(1/(1-'P-Parametri'!$B$6*AD344))))</f>
        <v>20226.400873524261</v>
      </c>
      <c r="AF344" s="18">
        <f>IF($A344&gt;'1-Input'!$B$26,AH343,(AH343-MAX(0,AD341-IF($A344&gt;=('1-Input'!$C$12-1),'1-Input'!$B$12,0))+AE344*(1-'P-Parametri'!$B$6*AD344))*(1+'1-Input'!$B$27))</f>
        <v>0</v>
      </c>
      <c r="AG344" s="18">
        <f>IF($A344&gt;'1-Input'!$B$26,AI343,(AI343-AE344)*(1+'5-Roberta'!$C$4))</f>
        <v>431311.20115460106</v>
      </c>
      <c r="AH344" s="18">
        <f>IF($A344&gt;'1-Input'!$B$26,AF344,AF344-'P-Parametri'!$B$8*(AG344+AF344)+MIN(MAX(AG344,0),'P-Parametri'!$B$8*(AG344+AF344)))</f>
        <v>0</v>
      </c>
      <c r="AI344" s="18">
        <f>IF($A344&gt;'1-Input'!$B$26,AG344,AG344-MIN(MAX(AG344,0),'P-Parametri'!$B$8*(AG344+AF344)))</f>
        <v>430448.57875229185</v>
      </c>
      <c r="AJ344" s="18">
        <f>IF($A344&gt;'1-Input'!$B$26,AJ343,AJ343-AE344*(1-AD344))</f>
        <v>328149.7131187566</v>
      </c>
      <c r="AK344" s="11">
        <f>IF($A344&gt;'1-Input'!$B$26,0,IF(AP343&lt;=0,0,MAX(0,(AP343-AQ343)/AP343)))</f>
        <v>0.21635653419729481</v>
      </c>
      <c r="AL344" s="18">
        <f>IF($A344&gt;'1-Input'!$B$26,0,(MAX(0,AK341-IF($A344&gt;=('1-Input'!$C$12-1),'1-Input'!$B$12,0))-MIN(MAX(AO343,0),MAX(0,AK341-IF($A344&gt;=('1-Input'!$C$12-1),'1-Input'!$B$12,0))))*(1/(1-'P-Parametri'!$B$6*AK344))+MIN(MAX(0,AP343-(MAX(0,AK341-IF($A344&gt;=('1-Input'!$C$12-1),'1-Input'!$B$12,0))-MIN(MAX(AO343,0),MAX(0,AK341-IF($A344&gt;=('1-Input'!$C$12-1),'1-Input'!$B$12,0))))*(1/(1-'P-Parametri'!$B$6*AK344))),MAX(0,0*AK341-(AO343-MIN(MAX(AO343,0),MAX(0,AK341-IF($A344&gt;=('1-Input'!$C$12-1),'1-Input'!$B$12,0)))))*(1/(1-'P-Parametri'!$B$6*AK344))))</f>
        <v>20224.969148859873</v>
      </c>
      <c r="AM344" s="18">
        <f>IF($A344&gt;'1-Input'!$B$26,AO343,(AO343-MAX(0,AK341-IF($A344&gt;=('1-Input'!$C$12-1),'1-Input'!$B$12,0))+AL344*(1-'P-Parametri'!$B$6*AK344))*(1+'1-Input'!$B$27))</f>
        <v>0</v>
      </c>
      <c r="AN344" s="18">
        <f>IF($A344&gt;'1-Input'!$B$26,AP343,(AP343-AL344)*(1+'5-Roberta'!$C$4))</f>
        <v>431312.67583100538</v>
      </c>
      <c r="AO344" s="18">
        <f>IF($A344&gt;'1-Input'!$B$26,AM344,AM344-'P-Parametri'!$B$8*(AN344+AM344)+MIN(MAX(AN344,0),'P-Parametri'!$B$8*(AN344+AM344)))</f>
        <v>0</v>
      </c>
      <c r="AP344" s="18">
        <f>IF($A344&gt;'1-Input'!$B$26,AN344,AN344-MIN(MAX(AN344,0),'P-Parametri'!$B$8*(AN344+AM344)))</f>
        <v>430450.05047934339</v>
      </c>
      <c r="AQ344" s="18">
        <f>IF($A344&gt;'1-Input'!$B$26,AQ343,AQ343-AL344*(1-AK344))</f>
        <v>328150.83508043468</v>
      </c>
    </row>
    <row r="345" spans="1:43">
      <c r="A345" s="10">
        <f>2</f>
        <v>2</v>
      </c>
      <c r="B345" s="11">
        <f>IF($A345&gt;'1-Input'!$B$26,0,IF(G344&lt;=0,0,MAX(0,(G344-H344)/G344)))</f>
        <v>0.23765641399040294</v>
      </c>
      <c r="C345" s="18">
        <f>IF($A345&gt;'1-Input'!$B$26,0,(MAX(0,B341-IF($A345&gt;=('1-Input'!$C$12-1),'1-Input'!$B$12,0))-MIN(MAX(F344,0),MAX(0,B341-IF($A345&gt;=('1-Input'!$C$12-1),'1-Input'!$B$12,0))))*(1/(1-'P-Parametri'!$B$6*B345))+MIN(MAX(0,G344-(MAX(0,B341-IF($A345&gt;=('1-Input'!$C$12-1),'1-Input'!$B$12,0))-MIN(MAX(F344,0),MAX(0,B341-IF($A345&gt;=('1-Input'!$C$12-1),'1-Input'!$B$12,0))))*(1/(1-'P-Parametri'!$B$6*B345))),MAX(0,0*B341-(F344-MIN(MAX(F344,0),MAX(0,B341-IF($A345&gt;=('1-Input'!$C$12-1),'1-Input'!$B$12,0)))))*(1/(1-'P-Parametri'!$B$6*B345))))</f>
        <v>17779.673191505583</v>
      </c>
      <c r="D345" s="18">
        <f>IF($A345&gt;'1-Input'!$B$26,F344,(F344-MAX(0,B341-IF($A345&gt;=('1-Input'!$C$12-1),'1-Input'!$B$12,0))+C345*(1-'P-Parametri'!$B$6*B345))*(1+'1-Input'!$B$27))</f>
        <v>0</v>
      </c>
      <c r="E345" s="18">
        <f>IF($A345&gt;'1-Input'!$B$26,G344,(G344-C345)*(1+'5-Roberta'!$C$4))</f>
        <v>427749.97936502326</v>
      </c>
      <c r="F345" s="18">
        <f>IF($A345&gt;'1-Input'!$B$26,D345,D345-'P-Parametri'!$B$8*(E345+D345)+MIN(MAX(E345,0),'P-Parametri'!$B$8*(E345+D345)))</f>
        <v>0</v>
      </c>
      <c r="G345" s="18">
        <f>IF($A345&gt;'1-Input'!$B$26,E345,E345-MIN(MAX(E345,0),'P-Parametri'!$B$8*(E345+D345)))</f>
        <v>426894.47940629319</v>
      </c>
      <c r="H345" s="18">
        <f>IF($A345&gt;'1-Input'!$B$26,H344,H344-C345*(1-B345))</f>
        <v>316594.61474239122</v>
      </c>
      <c r="I345" s="11">
        <f>IF($A345&gt;'1-Input'!$B$26,0,IF(N344&lt;=0,0,MAX(0,(N344-O344)/N344)))</f>
        <v>0.23765641399040296</v>
      </c>
      <c r="J345" s="18">
        <f>IF($A345&gt;'1-Input'!$B$26,0,(MAX(0,I341-IF($A345&gt;=('1-Input'!$C$12-1),'1-Input'!$B$12,0))-MIN(MAX(M344,0),MAX(0,I341-IF($A345&gt;=('1-Input'!$C$12-1),'1-Input'!$B$12,0))))*(1/(1-'P-Parametri'!$B$6*I345))+MIN(MAX(0,N344-(MAX(0,I341-IF($A345&gt;=('1-Input'!$C$12-1),'1-Input'!$B$12,0))-MIN(MAX(M344,0),MAX(0,I341-IF($A345&gt;=('1-Input'!$C$12-1),'1-Input'!$B$12,0))))*(1/(1-'P-Parametri'!$B$6*I345))),MAX(0,0*I341-(M344-MIN(MAX(M344,0),MAX(0,I341-IF($A345&gt;=('1-Input'!$C$12-1),'1-Input'!$B$12,0)))))*(1/(1-'P-Parametri'!$B$6*I345))))</f>
        <v>23394.306830928395</v>
      </c>
      <c r="K345" s="18">
        <f>IF($A345&gt;'1-Input'!$B$26,M344,(M344-MAX(0,I341-IF($A345&gt;=('1-Input'!$C$12-1),'1-Input'!$B$12,0))+J345*(1-'P-Parametri'!$B$6*I345))*(1+'1-Input'!$B$27))</f>
        <v>0</v>
      </c>
      <c r="L345" s="18">
        <f>IF($A345&gt;'1-Input'!$B$26,N344,(N344-J345)*(1+'5-Roberta'!$C$4))</f>
        <v>416057.13860949094</v>
      </c>
      <c r="M345" s="18">
        <f>IF($A345&gt;'1-Input'!$B$26,K345,K345-'P-Parametri'!$B$8*(L345+K345)+MIN(MAX(L345,0),'P-Parametri'!$B$8*(L345+K345)))</f>
        <v>0</v>
      </c>
      <c r="N345" s="18">
        <f>IF($A345&gt;'1-Input'!$B$26,L345,L345-MIN(MAX(L345,0),'P-Parametri'!$B$8*(L345+K345)))</f>
        <v>415225.02433227195</v>
      </c>
      <c r="O345" s="18">
        <f>IF($A345&gt;'1-Input'!$B$26,O344,O344-J345*(1-I345))</f>
        <v>307940.28255577793</v>
      </c>
      <c r="P345" s="11">
        <f>IF($A345&gt;'1-Input'!$B$26,0,IF(U344&lt;=0,0,MAX(0,(U344-V344)/U344)))</f>
        <v>0.23765641399040291</v>
      </c>
      <c r="Q345" s="18">
        <f>IF($A345&gt;'1-Input'!$B$26,0,(MAX(0,P341-IF($A345&gt;=('1-Input'!$C$12-1),'1-Input'!$B$12,0))-MIN(MAX(T344,0),MAX(0,P341-IF($A345&gt;=('1-Input'!$C$12-1),'1-Input'!$B$12,0))))*(1/(1-'P-Parametri'!$B$6*P345))+MIN(MAX(0,U344-(MAX(0,P341-IF($A345&gt;=('1-Input'!$C$12-1),'1-Input'!$B$12,0))-MIN(MAX(T344,0),MAX(0,P341-IF($A345&gt;=('1-Input'!$C$12-1),'1-Input'!$B$12,0))))*(1/(1-'P-Parametri'!$B$6*P345))),MAX(0,0*P341-(T344-MIN(MAX(T344,0),MAX(0,P341-IF($A345&gt;=('1-Input'!$C$12-1),'1-Input'!$B$12,0)))))*(1/(1-'P-Parametri'!$B$6*P345))))</f>
        <v>20621.207802043122</v>
      </c>
      <c r="R345" s="18">
        <f>IF($A345&gt;'1-Input'!$B$26,T344,(T344-MAX(0,P341-IF($A345&gt;=('1-Input'!$C$12-1),'1-Input'!$B$12,0))+Q345*(1-'P-Parametri'!$B$6*P345))*(1+'1-Input'!$B$27))</f>
        <v>3.6248820833861826E-12</v>
      </c>
      <c r="S345" s="18">
        <f>IF($A345&gt;'1-Input'!$B$26,U344,(U344-Q345)*(1+'5-Roberta'!$C$4))</f>
        <v>421832.29820608575</v>
      </c>
      <c r="T345" s="18">
        <f>IF($A345&gt;'1-Input'!$B$26,R345,R345-'P-Parametri'!$B$8*(S345+R345)+MIN(MAX(S345,0),'P-Parametri'!$B$8*(S345+R345)))</f>
        <v>3.637978807091713E-12</v>
      </c>
      <c r="U345" s="18">
        <f>IF($A345&gt;'1-Input'!$B$26,S345,S345-MIN(MAX(S345,0),'P-Parametri'!$B$8*(S345+R345)))</f>
        <v>420988.63360967359</v>
      </c>
      <c r="V345" s="18">
        <f>IF($A345&gt;'1-Input'!$B$26,V344,V344-Q345*(1-P345))</f>
        <v>312214.70573698753</v>
      </c>
      <c r="W345" s="11">
        <f>IF($A345&gt;'1-Input'!$B$26,0,IF(AB344&lt;=0,0,MAX(0,(AB344-AC344)/AB344)))</f>
        <v>0.23765641399040299</v>
      </c>
      <c r="X345" s="18">
        <f>IF($A345&gt;'1-Input'!$B$26,0,(MAX(0,W341-IF($A345&gt;=('1-Input'!$C$12-1),'1-Input'!$B$12,0))-MIN(MAX(AA344,0),MAX(0,W341-IF($A345&gt;=('1-Input'!$C$12-1),'1-Input'!$B$12,0))))*(1/(1-'P-Parametri'!$B$6*W345))+MIN(MAX(0,AB344-(MAX(0,W341-IF($A345&gt;=('1-Input'!$C$12-1),'1-Input'!$B$12,0))-MIN(MAX(AA344,0),MAX(0,W341-IF($A345&gt;=('1-Input'!$C$12-1),'1-Input'!$B$12,0))))*(1/(1-'P-Parametri'!$B$6*W345))),MAX(0,0*W341-(AA344-MIN(MAX(AA344,0),MAX(0,W341-IF($A345&gt;=('1-Input'!$C$12-1),'1-Input'!$B$12,0)))))*(1/(1-'P-Parametri'!$B$6*W345))))</f>
        <v>20336.417066002374</v>
      </c>
      <c r="Y345" s="18">
        <f>IF($A345&gt;'1-Input'!$B$26,AA344,(AA344-MAX(0,W341-IF($A345&gt;=('1-Input'!$C$12-1),'1-Input'!$B$12,0))+X345*(1-'P-Parametri'!$B$6*W345))*(1+'1-Input'!$B$27))</f>
        <v>0</v>
      </c>
      <c r="Z345" s="18">
        <f>IF($A345&gt;'1-Input'!$B$26,AB344,(AB344-X345)*(1+'5-Roberta'!$C$4))</f>
        <v>422425.39348870469</v>
      </c>
      <c r="AA345" s="18">
        <f>IF($A345&gt;'1-Input'!$B$26,Y345,Y345-'P-Parametri'!$B$8*(Z345+Y345)+MIN(MAX(Z345,0),'P-Parametri'!$B$8*(Z345+Y345)))</f>
        <v>0</v>
      </c>
      <c r="AB345" s="18">
        <f>IF($A345&gt;'1-Input'!$B$26,Z345,Z345-MIN(MAX(Z345,0),'P-Parametri'!$B$8*(Z345+Y345)))</f>
        <v>421580.5427017273</v>
      </c>
      <c r="AC345" s="18">
        <f>IF($A345&gt;'1-Input'!$B$26,AC344,AC344-X345*(1-W345))</f>
        <v>312653.67892591667</v>
      </c>
      <c r="AD345" s="11">
        <f>IF($A345&gt;'1-Input'!$B$26,0,IF(AI344&lt;=0,0,MAX(0,(AI344-AJ344)/AI344)))</f>
        <v>0.23765641399040299</v>
      </c>
      <c r="AE345" s="18">
        <f>IF($A345&gt;'1-Input'!$B$26,0,(MAX(0,AD341-IF($A345&gt;=('1-Input'!$C$12-1),'1-Input'!$B$12,0))-MIN(MAX(AH344,0),MAX(0,AD341-IF($A345&gt;=('1-Input'!$C$12-1),'1-Input'!$B$12,0))))*(1/(1-'P-Parametri'!$B$6*AD345))+MIN(MAX(0,AI344-(MAX(0,AD341-IF($A345&gt;=('1-Input'!$C$12-1),'1-Input'!$B$12,0))-MIN(MAX(AH344,0),MAX(0,AD341-IF($A345&gt;=('1-Input'!$C$12-1),'1-Input'!$B$12,0))))*(1/(1-'P-Parametri'!$B$6*AD345))),MAX(0,0*AD341-(AH344-MIN(MAX(AH344,0),MAX(0,AD341-IF($A345&gt;=('1-Input'!$C$12-1),'1-Input'!$B$12,0)))))*(1/(1-'P-Parametri'!$B$6*AD345))))</f>
        <v>20345.791261172391</v>
      </c>
      <c r="AF345" s="18">
        <f>IF($A345&gt;'1-Input'!$B$26,AH344,(AH344-MAX(0,AD341-IF($A345&gt;=('1-Input'!$C$12-1),'1-Input'!$B$12,0))+AE345*(1-'P-Parametri'!$B$6*AD345))*(1+'1-Input'!$B$27))</f>
        <v>0</v>
      </c>
      <c r="AG345" s="18">
        <f>IF($A345&gt;'1-Input'!$B$26,AI344,(AI344-AE345)*(1+'5-Roberta'!$C$4))</f>
        <v>422405.87111585308</v>
      </c>
      <c r="AH345" s="18">
        <f>IF($A345&gt;'1-Input'!$B$26,AF345,AF345-'P-Parametri'!$B$8*(AG345+AF345)+MIN(MAX(AG345,0),'P-Parametri'!$B$8*(AG345+AF345)))</f>
        <v>0</v>
      </c>
      <c r="AI345" s="18">
        <f>IF($A345&gt;'1-Input'!$B$26,AG345,AG345-MIN(MAX(AG345,0),'P-Parametri'!$B$8*(AG345+AF345)))</f>
        <v>421561.05937362136</v>
      </c>
      <c r="AJ345" s="18">
        <f>IF($A345&gt;'1-Input'!$B$26,AJ344,AJ344-AE345*(1-AD345))</f>
        <v>312639.22964851174</v>
      </c>
      <c r="AK345" s="11">
        <f>IF($A345&gt;'1-Input'!$B$26,0,IF(AP344&lt;=0,0,MAX(0,(AP344-AQ344)/AP344)))</f>
        <v>0.23765641399040302</v>
      </c>
      <c r="AL345" s="18">
        <f>IF($A345&gt;'1-Input'!$B$26,0,(MAX(0,AK341-IF($A345&gt;=('1-Input'!$C$12-1),'1-Input'!$B$12,0))-MIN(MAX(AO344,0),MAX(0,AK341-IF($A345&gt;=('1-Input'!$C$12-1),'1-Input'!$B$12,0))))*(1/(1-'P-Parametri'!$B$6*AK345))+MIN(MAX(0,AP344-(MAX(0,AK341-IF($A345&gt;=('1-Input'!$C$12-1),'1-Input'!$B$12,0))-MIN(MAX(AO344,0),MAX(0,AK341-IF($A345&gt;=('1-Input'!$C$12-1),'1-Input'!$B$12,0))))*(1/(1-'P-Parametri'!$B$6*AK345))),MAX(0,0*AK341-(AO344-MIN(MAX(AO344,0),MAX(0,AK341-IF($A345&gt;=('1-Input'!$C$12-1),'1-Input'!$B$12,0)))))*(1/(1-'P-Parametri'!$B$6*AK345))))</f>
        <v>20344.351085466034</v>
      </c>
      <c r="AM345" s="18">
        <f>IF($A345&gt;'1-Input'!$B$26,AO344,(AO344-MAX(0,AK341-IF($A345&gt;=('1-Input'!$C$12-1),'1-Input'!$B$12,0))+AL345*(1-'P-Parametri'!$B$6*AK345))*(1+'1-Input'!$B$27))</f>
        <v>0</v>
      </c>
      <c r="AN345" s="18">
        <f>IF($A345&gt;'1-Input'!$B$26,AP344,(AP344-AL345)*(1+'5-Roberta'!$C$4))</f>
        <v>422408.87037569366</v>
      </c>
      <c r="AO345" s="18">
        <f>IF($A345&gt;'1-Input'!$B$26,AM345,AM345-'P-Parametri'!$B$8*(AN345+AM345)+MIN(MAX(AN345,0),'P-Parametri'!$B$8*(AN345+AM345)))</f>
        <v>0</v>
      </c>
      <c r="AP345" s="18">
        <f>IF($A345&gt;'1-Input'!$B$26,AN345,AN345-MIN(MAX(AN345,0),'P-Parametri'!$B$8*(AN345+AM345)))</f>
        <v>421564.05263494229</v>
      </c>
      <c r="AQ345" s="18">
        <f>IF($A345&gt;'1-Input'!$B$26,AQ344,AQ344-AL345*(1-AK345))</f>
        <v>312641.44951890229</v>
      </c>
    </row>
    <row r="346" spans="1:43">
      <c r="A346" s="10">
        <f>3</f>
        <v>3</v>
      </c>
      <c r="B346" s="11">
        <f>IF($A346&gt;'1-Input'!$B$26,0,IF(G345&lt;=0,0,MAX(0,(G345-H345)/G345)))</f>
        <v>0.25837735080880492</v>
      </c>
      <c r="C346" s="18">
        <f>IF($A346&gt;'1-Input'!$B$26,0,(MAX(0,B341-IF($A346&gt;=('1-Input'!$C$12-1),'1-Input'!$B$12,0))-MIN(MAX(F345,0),MAX(0,B341-IF($A346&gt;=('1-Input'!$C$12-1),'1-Input'!$B$12,0))))*(1/(1-'P-Parametri'!$B$6*B346))+MIN(MAX(0,G345-(MAX(0,B341-IF($A346&gt;=('1-Input'!$C$12-1),'1-Input'!$B$12,0))-MIN(MAX(F345,0),MAX(0,B341-IF($A346&gt;=('1-Input'!$C$12-1),'1-Input'!$B$12,0))))*(1/(1-'P-Parametri'!$B$6*B346))),MAX(0,0*B341-(F345-MIN(MAX(F345,0),MAX(0,B341-IF($A346&gt;=('1-Input'!$C$12-1),'1-Input'!$B$12,0)))))*(1/(1-'P-Parametri'!$B$6*B346))))</f>
        <v>17882.358374189342</v>
      </c>
      <c r="D346" s="18">
        <f>IF($A346&gt;'1-Input'!$B$26,F345,(F345-MAX(0,B341-IF($A346&gt;=('1-Input'!$C$12-1),'1-Input'!$B$12,0))+C346*(1-'P-Parametri'!$B$6*B346))*(1+'1-Input'!$B$27))</f>
        <v>0</v>
      </c>
      <c r="E346" s="18">
        <f>IF($A346&gt;'1-Input'!$B$26,G345,(G345-C346)*(1+'5-Roberta'!$C$4))</f>
        <v>421282.48466306698</v>
      </c>
      <c r="F346" s="18">
        <f>IF($A346&gt;'1-Input'!$B$26,D346,D346-'P-Parametri'!$B$8*(E346+D346)+MIN(MAX(E346,0),'P-Parametri'!$B$8*(E346+D346)))</f>
        <v>0</v>
      </c>
      <c r="G346" s="18">
        <f>IF($A346&gt;'1-Input'!$B$26,E346,E346-MIN(MAX(E346,0),'P-Parametri'!$B$8*(E346+D346)))</f>
        <v>420439.91969374084</v>
      </c>
      <c r="H346" s="18">
        <f>IF($A346&gt;'1-Input'!$B$26,H345,H345-C346*(1-B346))</f>
        <v>303332.65275113855</v>
      </c>
      <c r="I346" s="11">
        <f>IF($A346&gt;'1-Input'!$B$26,0,IF(N345&lt;=0,0,MAX(0,(N345-O345)/N345)))</f>
        <v>0.25837735080880497</v>
      </c>
      <c r="J346" s="18">
        <f>IF($A346&gt;'1-Input'!$B$26,0,(MAX(0,I341-IF($A346&gt;=('1-Input'!$C$12-1),'1-Input'!$B$12,0))-MIN(MAX(M345,0),MAX(0,I341-IF($A346&gt;=('1-Input'!$C$12-1),'1-Input'!$B$12,0))))*(1/(1-'P-Parametri'!$B$6*I346))+MIN(MAX(0,N345-(MAX(0,I341-IF($A346&gt;=('1-Input'!$C$12-1),'1-Input'!$B$12,0))-MIN(MAX(M345,0),MAX(0,I341-IF($A346&gt;=('1-Input'!$C$12-1),'1-Input'!$B$12,0))))*(1/(1-'P-Parametri'!$B$6*I346))),MAX(0,0*I341-(M345-MIN(MAX(M345,0),MAX(0,I341-IF($A346&gt;=('1-Input'!$C$12-1),'1-Input'!$B$12,0)))))*(1/(1-'P-Parametri'!$B$6*I346))))</f>
        <v>23529.418913407029</v>
      </c>
      <c r="K346" s="18">
        <f>IF($A346&gt;'1-Input'!$B$26,M345,(M345-MAX(0,I341-IF($A346&gt;=('1-Input'!$C$12-1),'1-Input'!$B$12,0))+J346*(1-'P-Parametri'!$B$6*I346))*(1+'1-Input'!$B$27))</f>
        <v>-3.6248820833861826E-12</v>
      </c>
      <c r="L346" s="18">
        <f>IF($A346&gt;'1-Input'!$B$26,N345,(N345-J346)*(1+'5-Roberta'!$C$4))</f>
        <v>403446.47358143091</v>
      </c>
      <c r="M346" s="18">
        <f>IF($A346&gt;'1-Input'!$B$26,K346,K346-'P-Parametri'!$B$8*(L346+K346)+MIN(MAX(L346,0),'P-Parametri'!$B$8*(L346+K346)))</f>
        <v>-3.637978807091713E-12</v>
      </c>
      <c r="N346" s="18">
        <f>IF($A346&gt;'1-Input'!$B$26,L346,L346-MIN(MAX(L346,0),'P-Parametri'!$B$8*(L346+K346)))</f>
        <v>402639.58063426806</v>
      </c>
      <c r="O346" s="18">
        <f>IF($A346&gt;'1-Input'!$B$26,O345,O345-J346*(1-I346))</f>
        <v>290490.33256728761</v>
      </c>
      <c r="P346" s="11">
        <f>IF($A346&gt;'1-Input'!$B$26,0,IF(U345&lt;=0,0,MAX(0,(U345-V345)/U345)))</f>
        <v>0.25837735080880492</v>
      </c>
      <c r="Q346" s="18">
        <f>IF($A346&gt;'1-Input'!$B$26,0,(MAX(0,P341-IF($A346&gt;=('1-Input'!$C$12-1),'1-Input'!$B$12,0))-MIN(MAX(T345,0),MAX(0,P341-IF($A346&gt;=('1-Input'!$C$12-1),'1-Input'!$B$12,0))))*(1/(1-'P-Parametri'!$B$6*P346))+MIN(MAX(0,U345-(MAX(0,P341-IF($A346&gt;=('1-Input'!$C$12-1),'1-Input'!$B$12,0))-MIN(MAX(T345,0),MAX(0,P341-IF($A346&gt;=('1-Input'!$C$12-1),'1-Input'!$B$12,0))))*(1/(1-'P-Parametri'!$B$6*P346))),MAX(0,0*P341-(T345-MIN(MAX(T345,0),MAX(0,P341-IF($A346&gt;=('1-Input'!$C$12-1),'1-Input'!$B$12,0)))))*(1/(1-'P-Parametri'!$B$6*P346))))</f>
        <v>20740.304056935151</v>
      </c>
      <c r="R346" s="18">
        <f>IF($A346&gt;'1-Input'!$B$26,T345,(T345-MAX(0,P341-IF($A346&gt;=('1-Input'!$C$12-1),'1-Input'!$B$12,0))+Q346*(1-'P-Parametri'!$B$6*P346))*(1+'1-Input'!$B$27))</f>
        <v>-3.6248820833861826E-12</v>
      </c>
      <c r="S346" s="18">
        <f>IF($A346&gt;'1-Input'!$B$26,U345,(U345-Q346)*(1+'5-Roberta'!$C$4))</f>
        <v>412255.77943932061</v>
      </c>
      <c r="T346" s="18">
        <f>IF($A346&gt;'1-Input'!$B$26,R346,R346-'P-Parametri'!$B$8*(S346+R346)+MIN(MAX(S346,0),'P-Parametri'!$B$8*(S346+R346)))</f>
        <v>-3.637978807091713E-12</v>
      </c>
      <c r="U346" s="18">
        <f>IF($A346&gt;'1-Input'!$B$26,S346,S346-MIN(MAX(S346,0),'P-Parametri'!$B$8*(S346+R346)))</f>
        <v>411431.26788044197</v>
      </c>
      <c r="V346" s="18">
        <f>IF($A346&gt;'1-Input'!$B$26,V345,V345-Q346*(1-P346))</f>
        <v>296833.22649725241</v>
      </c>
      <c r="W346" s="11">
        <f>IF($A346&gt;'1-Input'!$B$26,0,IF(AB345&lt;=0,0,MAX(0,(AB345-AC345)/AB345)))</f>
        <v>0.25837735080880508</v>
      </c>
      <c r="X346" s="18">
        <f>IF($A346&gt;'1-Input'!$B$26,0,(MAX(0,W341-IF($A346&gt;=('1-Input'!$C$12-1),'1-Input'!$B$12,0))-MIN(MAX(AA345,0),MAX(0,W341-IF($A346&gt;=('1-Input'!$C$12-1),'1-Input'!$B$12,0))))*(1/(1-'P-Parametri'!$B$6*W346))+MIN(MAX(0,AB345-(MAX(0,W341-IF($A346&gt;=('1-Input'!$C$12-1),'1-Input'!$B$12,0))-MIN(MAX(AA345,0),MAX(0,W341-IF($A346&gt;=('1-Input'!$C$12-1),'1-Input'!$B$12,0))))*(1/(1-'P-Parametri'!$B$6*W346))),MAX(0,0*W341-(AA345-MIN(MAX(AA345,0),MAX(0,W341-IF($A346&gt;=('1-Input'!$C$12-1),'1-Input'!$B$12,0)))))*(1/(1-'P-Parametri'!$B$6*W346))))</f>
        <v>20453.868533139204</v>
      </c>
      <c r="Y346" s="18">
        <f>IF($A346&gt;'1-Input'!$B$26,AA345,(AA345-MAX(0,W341-IF($A346&gt;=('1-Input'!$C$12-1),'1-Input'!$B$12,0))+X346*(1-'P-Parametri'!$B$6*W346))*(1+'1-Input'!$B$27))</f>
        <v>0</v>
      </c>
      <c r="Z346" s="18">
        <f>IF($A346&gt;'1-Input'!$B$26,AB345,(AB345-X346)*(1+'5-Roberta'!$C$4))</f>
        <v>413160.47439364577</v>
      </c>
      <c r="AA346" s="18">
        <f>IF($A346&gt;'1-Input'!$B$26,Y346,Y346-'P-Parametri'!$B$8*(Z346+Y346)+MIN(MAX(Z346,0),'P-Parametri'!$B$8*(Z346+Y346)))</f>
        <v>0</v>
      </c>
      <c r="AB346" s="18">
        <f>IF($A346&gt;'1-Input'!$B$26,Z346,Z346-MIN(MAX(Z346,0),'P-Parametri'!$B$8*(Z346+Y346)))</f>
        <v>412334.1534448585</v>
      </c>
      <c r="AC346" s="18">
        <f>IF($A346&gt;'1-Input'!$B$26,AC345,AC345-X346*(1-W346))</f>
        <v>297484.62675816152</v>
      </c>
      <c r="AD346" s="11">
        <f>IF($A346&gt;'1-Input'!$B$26,0,IF(AI345&lt;=0,0,MAX(0,(AI345-AJ345)/AI345)))</f>
        <v>0.25837735080880497</v>
      </c>
      <c r="AE346" s="18">
        <f>IF($A346&gt;'1-Input'!$B$26,0,(MAX(0,AD341-IF($A346&gt;=('1-Input'!$C$12-1),'1-Input'!$B$12,0))-MIN(MAX(AH345,0),MAX(0,AD341-IF($A346&gt;=('1-Input'!$C$12-1),'1-Input'!$B$12,0))))*(1/(1-'P-Parametri'!$B$6*AD346))+MIN(MAX(0,AI345-(MAX(0,AD341-IF($A346&gt;=('1-Input'!$C$12-1),'1-Input'!$B$12,0))-MIN(MAX(AH345,0),MAX(0,AD341-IF($A346&gt;=('1-Input'!$C$12-1),'1-Input'!$B$12,0))))*(1/(1-'P-Parametri'!$B$6*AD346))),MAX(0,0*AD341-(AH345-MIN(MAX(AH345,0),MAX(0,AD341-IF($A346&gt;=('1-Input'!$C$12-1),'1-Input'!$B$12,0)))))*(1/(1-'P-Parametri'!$B$6*AD346))))</f>
        <v>20463.296868277554</v>
      </c>
      <c r="AF346" s="18">
        <f>IF($A346&gt;'1-Input'!$B$26,AH345,(AH345-MAX(0,AD341-IF($A346&gt;=('1-Input'!$C$12-1),'1-Input'!$B$12,0))+AE346*(1-'P-Parametri'!$B$6*AD346))*(1+'1-Input'!$B$27))</f>
        <v>0</v>
      </c>
      <c r="AG346" s="18">
        <f>IF($A346&gt;'1-Input'!$B$26,AI345,(AI345-AE346)*(1+'5-Roberta'!$C$4))</f>
        <v>413130.69538050413</v>
      </c>
      <c r="AH346" s="18">
        <f>IF($A346&gt;'1-Input'!$B$26,AF346,AF346-'P-Parametri'!$B$8*(AG346+AF346)+MIN(MAX(AG346,0),'P-Parametri'!$B$8*(AG346+AF346)))</f>
        <v>0</v>
      </c>
      <c r="AI346" s="18">
        <f>IF($A346&gt;'1-Input'!$B$26,AG346,AG346-MIN(MAX(AG346,0),'P-Parametri'!$B$8*(AG346+AF346)))</f>
        <v>412304.43398974312</v>
      </c>
      <c r="AJ346" s="18">
        <f>IF($A346&gt;'1-Input'!$B$26,AJ345,AJ345-AE346*(1-AD346))</f>
        <v>297463.18521387386</v>
      </c>
      <c r="AK346" s="11">
        <f>IF($A346&gt;'1-Input'!$B$26,0,IF(AP345&lt;=0,0,MAX(0,(AP345-AQ345)/AP345)))</f>
        <v>0.25837735080880497</v>
      </c>
      <c r="AL346" s="18">
        <f>IF($A346&gt;'1-Input'!$B$26,0,(MAX(0,AK341-IF($A346&gt;=('1-Input'!$C$12-1),'1-Input'!$B$12,0))-MIN(MAX(AO345,0),MAX(0,AK341-IF($A346&gt;=('1-Input'!$C$12-1),'1-Input'!$B$12,0))))*(1/(1-'P-Parametri'!$B$6*AK346))+MIN(MAX(0,AP345-(MAX(0,AK341-IF($A346&gt;=('1-Input'!$C$12-1),'1-Input'!$B$12,0))-MIN(MAX(AO345,0),MAX(0,AK341-IF($A346&gt;=('1-Input'!$C$12-1),'1-Input'!$B$12,0))))*(1/(1-'P-Parametri'!$B$6*AK346))),MAX(0,0*AK341-(AO345-MIN(MAX(AO345,0),MAX(0,AK341-IF($A346&gt;=('1-Input'!$C$12-1),'1-Input'!$B$12,0)))))*(1/(1-'P-Parametri'!$B$6*AK346))))</f>
        <v>20461.848374943311</v>
      </c>
      <c r="AM346" s="18">
        <f>IF($A346&gt;'1-Input'!$B$26,AO345,(AO345-MAX(0,AK341-IF($A346&gt;=('1-Input'!$C$12-1),'1-Input'!$B$12,0))+AL346*(1-'P-Parametri'!$B$6*AK346))*(1+'1-Input'!$B$27))</f>
        <v>0</v>
      </c>
      <c r="AN346" s="18">
        <f>IF($A346&gt;'1-Input'!$B$26,AP345,(AP345-AL346)*(1+'5-Roberta'!$C$4))</f>
        <v>413135.27038779896</v>
      </c>
      <c r="AO346" s="18">
        <f>IF($A346&gt;'1-Input'!$B$26,AM346,AM346-'P-Parametri'!$B$8*(AN346+AM346)+MIN(MAX(AN346,0),'P-Parametri'!$B$8*(AN346+AM346)))</f>
        <v>0</v>
      </c>
      <c r="AP346" s="18">
        <f>IF($A346&gt;'1-Input'!$B$26,AN346,AN346-MIN(MAX(AN346,0),'P-Parametri'!$B$8*(AN346+AM346)))</f>
        <v>412308.99984702334</v>
      </c>
      <c r="AQ346" s="18">
        <f>IF($A346&gt;'1-Input'!$B$26,AQ345,AQ345-AL346*(1-AK346))</f>
        <v>297466.47931972827</v>
      </c>
    </row>
    <row r="347" spans="1:43">
      <c r="A347" s="10">
        <f>4</f>
        <v>4</v>
      </c>
      <c r="B347" s="11">
        <f>IF($A347&gt;'1-Input'!$B$26,0,IF(G346&lt;=0,0,MAX(0,(G346-H346)/G346)))</f>
        <v>0.27853508065529603</v>
      </c>
      <c r="C347" s="18">
        <f>IF($A347&gt;'1-Input'!$B$26,0,(MAX(0,B341-IF($A347&gt;=('1-Input'!$C$12-1),'1-Input'!$B$12,0))-MIN(MAX(F346,0),MAX(0,B341-IF($A347&gt;=('1-Input'!$C$12-1),'1-Input'!$B$12,0))))*(1/(1-'P-Parametri'!$B$6*B347))+MIN(MAX(0,G346-(MAX(0,B341-IF($A347&gt;=('1-Input'!$C$12-1),'1-Input'!$B$12,0))-MIN(MAX(F346,0),MAX(0,B341-IF($A347&gt;=('1-Input'!$C$12-1),'1-Input'!$B$12,0))))*(1/(1-'P-Parametri'!$B$6*B347))),MAX(0,0*B341-(F346-MIN(MAX(F346,0),MAX(0,B341-IF($A347&gt;=('1-Input'!$C$12-1),'1-Input'!$B$12,0)))))*(1/(1-'P-Parametri'!$B$6*B347))))</f>
        <v>17983.397126595017</v>
      </c>
      <c r="D347" s="18">
        <f>IF($A347&gt;'1-Input'!$B$26,F346,(F346-MAX(0,B341-IF($A347&gt;=('1-Input'!$C$12-1),'1-Input'!$B$12,0))+C347*(1-'P-Parametri'!$B$6*B347))*(1+'1-Input'!$B$27))</f>
        <v>0</v>
      </c>
      <c r="E347" s="18">
        <f>IF($A347&gt;'1-Input'!$B$26,G346,(G346-C347)*(1+'5-Roberta'!$C$4))</f>
        <v>414530.21824416018</v>
      </c>
      <c r="F347" s="18">
        <f>IF($A347&gt;'1-Input'!$B$26,D347,D347-'P-Parametri'!$B$8*(E347+D347)+MIN(MAX(E347,0),'P-Parametri'!$B$8*(E347+D347)))</f>
        <v>0</v>
      </c>
      <c r="G347" s="18">
        <f>IF($A347&gt;'1-Input'!$B$26,E347,E347-MIN(MAX(E347,0),'P-Parametri'!$B$8*(E347+D347)))</f>
        <v>413701.15780767187</v>
      </c>
      <c r="H347" s="18">
        <f>IF($A347&gt;'1-Input'!$B$26,H346,H346-C347*(1-B347))</f>
        <v>290358.26259365591</v>
      </c>
      <c r="I347" s="11">
        <f>IF($A347&gt;'1-Input'!$B$26,0,IF(N346&lt;=0,0,MAX(0,(N346-O346)/N346)))</f>
        <v>0.27853508065529609</v>
      </c>
      <c r="J347" s="18">
        <f>IF($A347&gt;'1-Input'!$B$26,0,(MAX(0,I341-IF($A347&gt;=('1-Input'!$C$12-1),'1-Input'!$B$12,0))-MIN(MAX(M346,0),MAX(0,I341-IF($A347&gt;=('1-Input'!$C$12-1),'1-Input'!$B$12,0))))*(1/(1-'P-Parametri'!$B$6*I347))+MIN(MAX(0,N346-(MAX(0,I341-IF($A347&gt;=('1-Input'!$C$12-1),'1-Input'!$B$12,0))-MIN(MAX(M346,0),MAX(0,I341-IF($A347&gt;=('1-Input'!$C$12-1),'1-Input'!$B$12,0))))*(1/(1-'P-Parametri'!$B$6*I347))),MAX(0,0*I341-(M346-MIN(MAX(M346,0),MAX(0,I341-IF($A347&gt;=('1-Input'!$C$12-1),'1-Input'!$B$12,0)))))*(1/(1-'P-Parametri'!$B$6*I347))))</f>
        <v>23662.364640256612</v>
      </c>
      <c r="K347" s="18">
        <f>IF($A347&gt;'1-Input'!$B$26,M346,(M346-MAX(0,I341-IF($A347&gt;=('1-Input'!$C$12-1),'1-Input'!$B$12,0))+J347*(1-'P-Parametri'!$B$6*I347))*(1+'1-Input'!$B$27))</f>
        <v>3.6248820833861826E-12</v>
      </c>
      <c r="L347" s="18">
        <f>IF($A347&gt;'1-Input'!$B$26,N346,(N346-J347)*(1+'5-Roberta'!$C$4))</f>
        <v>390346.53247383179</v>
      </c>
      <c r="M347" s="18">
        <f>IF($A347&gt;'1-Input'!$B$26,K347,K347-'P-Parametri'!$B$8*(L347+K347)+MIN(MAX(L347,0),'P-Parametri'!$B$8*(L347+K347)))</f>
        <v>3.637978807091713E-12</v>
      </c>
      <c r="N347" s="18">
        <f>IF($A347&gt;'1-Input'!$B$26,L347,L347-MIN(MAX(L347,0),'P-Parametri'!$B$8*(L347+K347)))</f>
        <v>389565.83940888412</v>
      </c>
      <c r="O347" s="18">
        <f>IF($A347&gt;'1-Input'!$B$26,O346,O346-J347*(1-I347))</f>
        <v>273418.76657059992</v>
      </c>
      <c r="P347" s="11">
        <f>IF($A347&gt;'1-Input'!$B$26,0,IF(U346&lt;=0,0,MAX(0,(U346-V346)/U346)))</f>
        <v>0.27853508065529592</v>
      </c>
      <c r="Q347" s="18">
        <f>IF($A347&gt;'1-Input'!$B$26,0,(MAX(0,P341-IF($A347&gt;=('1-Input'!$C$12-1),'1-Input'!$B$12,0))-MIN(MAX(T346,0),MAX(0,P341-IF($A347&gt;=('1-Input'!$C$12-1),'1-Input'!$B$12,0))))*(1/(1-'P-Parametri'!$B$6*P347))+MIN(MAX(0,U346-(MAX(0,P341-IF($A347&gt;=('1-Input'!$C$12-1),'1-Input'!$B$12,0))-MIN(MAX(T346,0),MAX(0,P341-IF($A347&gt;=('1-Input'!$C$12-1),'1-Input'!$B$12,0))))*(1/(1-'P-Parametri'!$B$6*P347))),MAX(0,0*P341-(T346-MIN(MAX(T346,0),MAX(0,P341-IF($A347&gt;=('1-Input'!$C$12-1),'1-Input'!$B$12,0)))))*(1/(1-'P-Parametri'!$B$6*P347))))</f>
        <v>20857.490750243567</v>
      </c>
      <c r="R347" s="18">
        <f>IF($A347&gt;'1-Input'!$B$26,T346,(T346-MAX(0,P341-IF($A347&gt;=('1-Input'!$C$12-1),'1-Input'!$B$12,0))+Q347*(1-'P-Parametri'!$B$6*P347))*(1+'1-Input'!$B$27))</f>
        <v>3.6248820833861826E-12</v>
      </c>
      <c r="S347" s="18">
        <f>IF($A347&gt;'1-Input'!$B$26,U346,(U346-Q347)*(1+'5-Roberta'!$C$4))</f>
        <v>402290.99044410442</v>
      </c>
      <c r="T347" s="18">
        <f>IF($A347&gt;'1-Input'!$B$26,R347,R347-'P-Parametri'!$B$8*(S347+R347)+MIN(MAX(S347,0),'P-Parametri'!$B$8*(S347+R347)))</f>
        <v>3.637978807091713E-12</v>
      </c>
      <c r="U347" s="18">
        <f>IF($A347&gt;'1-Input'!$B$26,S347,S347-MIN(MAX(S347,0),'P-Parametri'!$B$8*(S347+R347)))</f>
        <v>401486.40846321621</v>
      </c>
      <c r="V347" s="18">
        <f>IF($A347&gt;'1-Input'!$B$26,V346,V346-Q347*(1-P347))</f>
        <v>281785.27861539501</v>
      </c>
      <c r="W347" s="11">
        <f>IF($A347&gt;'1-Input'!$B$26,0,IF(AB346&lt;=0,0,MAX(0,(AB346-AC346)/AB346)))</f>
        <v>0.27853508065529631</v>
      </c>
      <c r="X347" s="18">
        <f>IF($A347&gt;'1-Input'!$B$26,0,(MAX(0,W341-IF($A347&gt;=('1-Input'!$C$12-1),'1-Input'!$B$12,0))-MIN(MAX(AA346,0),MAX(0,W341-IF($A347&gt;=('1-Input'!$C$12-1),'1-Input'!$B$12,0))))*(1/(1-'P-Parametri'!$B$6*W347))+MIN(MAX(0,AB346-(MAX(0,W341-IF($A347&gt;=('1-Input'!$C$12-1),'1-Input'!$B$12,0))-MIN(MAX(AA346,0),MAX(0,W341-IF($A347&gt;=('1-Input'!$C$12-1),'1-Input'!$B$12,0))))*(1/(1-'P-Parametri'!$B$6*W347))),MAX(0,0*W341-(AA346-MIN(MAX(AA346,0),MAX(0,W341-IF($A347&gt;=('1-Input'!$C$12-1),'1-Input'!$B$12,0)))))*(1/(1-'P-Parametri'!$B$6*W347))))</f>
        <v>20569.436810835785</v>
      </c>
      <c r="Y347" s="18">
        <f>IF($A347&gt;'1-Input'!$B$26,AA346,(AA346-MAX(0,W341-IF($A347&gt;=('1-Input'!$C$12-1),'1-Input'!$B$12,0))+X347*(1-'P-Parametri'!$B$6*W347))*(1+'1-Input'!$B$27))</f>
        <v>0</v>
      </c>
      <c r="Z347" s="18">
        <f>IF($A347&gt;'1-Input'!$B$26,AB346,(AB346-X347)*(1+'5-Roberta'!$C$4))</f>
        <v>403517.65813304338</v>
      </c>
      <c r="AA347" s="18">
        <f>IF($A347&gt;'1-Input'!$B$26,Y347,Y347-'P-Parametri'!$B$8*(Z347+Y347)+MIN(MAX(Z347,0),'P-Parametri'!$B$8*(Z347+Y347)))</f>
        <v>0</v>
      </c>
      <c r="AB347" s="18">
        <f>IF($A347&gt;'1-Input'!$B$26,Z347,Z347-MIN(MAX(Z347,0),'P-Parametri'!$B$8*(Z347+Y347)))</f>
        <v>402710.62281677732</v>
      </c>
      <c r="AC347" s="18">
        <f>IF($A347&gt;'1-Input'!$B$26,AC346,AC346-X347*(1-W347))</f>
        <v>282644.4996884659</v>
      </c>
      <c r="AD347" s="11">
        <f>IF($A347&gt;'1-Input'!$B$26,0,IF(AI346&lt;=0,0,MAX(0,(AI346-AJ346)/AI346)))</f>
        <v>0.27853508065529597</v>
      </c>
      <c r="AE347" s="18">
        <f>IF($A347&gt;'1-Input'!$B$26,0,(MAX(0,AD341-IF($A347&gt;=('1-Input'!$C$12-1),'1-Input'!$B$12,0))-MIN(MAX(AH346,0),MAX(0,AD341-IF($A347&gt;=('1-Input'!$C$12-1),'1-Input'!$B$12,0))))*(1/(1-'P-Parametri'!$B$6*AD347))+MIN(MAX(0,AI346-(MAX(0,AD341-IF($A347&gt;=('1-Input'!$C$12-1),'1-Input'!$B$12,0))-MIN(MAX(AH346,0),MAX(0,AD341-IF($A347&gt;=('1-Input'!$C$12-1),'1-Input'!$B$12,0))))*(1/(1-'P-Parametri'!$B$6*AD347))),MAX(0,0*AD341-(AH346-MIN(MAX(AH346,0),MAX(0,AD341-IF($A347&gt;=('1-Input'!$C$12-1),'1-Input'!$B$12,0)))))*(1/(1-'P-Parametri'!$B$6*AD347))))</f>
        <v>20578.918417874836</v>
      </c>
      <c r="AF347" s="18">
        <f>IF($A347&gt;'1-Input'!$B$26,AH346,(AH346-MAX(0,AD341-IF($A347&gt;=('1-Input'!$C$12-1),'1-Input'!$B$12,0))+AE347*(1-'P-Parametri'!$B$6*AD347))*(1+'1-Input'!$B$27))</f>
        <v>0</v>
      </c>
      <c r="AG347" s="18">
        <f>IF($A347&gt;'1-Input'!$B$26,AI346,(AI346-AE347)*(1+'5-Roberta'!$C$4))</f>
        <v>403477.28103902435</v>
      </c>
      <c r="AH347" s="18">
        <f>IF($A347&gt;'1-Input'!$B$26,AF347,AF347-'P-Parametri'!$B$8*(AG347+AF347)+MIN(MAX(AG347,0),'P-Parametri'!$B$8*(AG347+AF347)))</f>
        <v>0</v>
      </c>
      <c r="AI347" s="18">
        <f>IF($A347&gt;'1-Input'!$B$26,AG347,AG347-MIN(MAX(AG347,0),'P-Parametri'!$B$8*(AG347+AF347)))</f>
        <v>402670.3264769463</v>
      </c>
      <c r="AJ347" s="18">
        <f>IF($A347&gt;'1-Input'!$B$26,AJ346,AJ346-AE347*(1-AD347))</f>
        <v>282616.21749732055</v>
      </c>
      <c r="AK347" s="11">
        <f>IF($A347&gt;'1-Input'!$B$26,0,IF(AP346&lt;=0,0,MAX(0,(AP346-AQ346)/AP346)))</f>
        <v>0.27853508065529597</v>
      </c>
      <c r="AL347" s="18">
        <f>IF($A347&gt;'1-Input'!$B$26,0,(MAX(0,AK341-IF($A347&gt;=('1-Input'!$C$12-1),'1-Input'!$B$12,0))-MIN(MAX(AO346,0),MAX(0,AK341-IF($A347&gt;=('1-Input'!$C$12-1),'1-Input'!$B$12,0))))*(1/(1-'P-Parametri'!$B$6*AK347))+MIN(MAX(0,AP346-(MAX(0,AK341-IF($A347&gt;=('1-Input'!$C$12-1),'1-Input'!$B$12,0))-MIN(MAX(AO346,0),MAX(0,AK341-IF($A347&gt;=('1-Input'!$C$12-1),'1-Input'!$B$12,0))))*(1/(1-'P-Parametri'!$B$6*AK347))),MAX(0,0*AK341-(AO346-MIN(MAX(AO346,0),MAX(0,AK341-IF($A347&gt;=('1-Input'!$C$12-1),'1-Input'!$B$12,0)))))*(1/(1-'P-Parametri'!$B$6*AK347))))</f>
        <v>20577.461740275619</v>
      </c>
      <c r="AM347" s="18">
        <f>IF($A347&gt;'1-Input'!$B$26,AO346,(AO346-MAX(0,AK341-IF($A347&gt;=('1-Input'!$C$12-1),'1-Input'!$B$12,0))+AL347*(1-'P-Parametri'!$B$6*AK347))*(1+'1-Input'!$B$27))</f>
        <v>3.6248820833861826E-12</v>
      </c>
      <c r="AN347" s="18">
        <f>IF($A347&gt;'1-Input'!$B$26,AP346,(AP346-AL347)*(1+'5-Roberta'!$C$4))</f>
        <v>403483.48424995015</v>
      </c>
      <c r="AO347" s="18">
        <f>IF($A347&gt;'1-Input'!$B$26,AM347,AM347-'P-Parametri'!$B$8*(AN347+AM347)+MIN(MAX(AN347,0),'P-Parametri'!$B$8*(AN347+AM347)))</f>
        <v>3.637978807091713E-12</v>
      </c>
      <c r="AP347" s="18">
        <f>IF($A347&gt;'1-Input'!$B$26,AN347,AN347-MIN(MAX(AN347,0),'P-Parametri'!$B$8*(AN347+AM347)))</f>
        <v>402676.51728145027</v>
      </c>
      <c r="AQ347" s="18">
        <f>IF($A347&gt;'1-Input'!$B$26,AQ346,AQ346-AL347*(1-AK347))</f>
        <v>282620.56254496158</v>
      </c>
    </row>
    <row r="348" spans="1:43">
      <c r="A348" s="10">
        <f>5</f>
        <v>5</v>
      </c>
      <c r="B348" s="11">
        <f>IF($A348&gt;'1-Input'!$B$26,0,IF(G347&lt;=0,0,MAX(0,(G347-H347)/G347)))</f>
        <v>0.29814491181907116</v>
      </c>
      <c r="C348" s="18">
        <f>IF($A348&gt;'1-Input'!$B$26,0,(MAX(0,B341-IF($A348&gt;=('1-Input'!$C$12-1),'1-Input'!$B$12,0))-MIN(MAX(F347,0),MAX(0,B341-IF($A348&gt;=('1-Input'!$C$12-1),'1-Input'!$B$12,0))))*(1/(1-'P-Parametri'!$B$6*B348))+MIN(MAX(0,G347-(MAX(0,B341-IF($A348&gt;=('1-Input'!$C$12-1),'1-Input'!$B$12,0))-MIN(MAX(F347,0),MAX(0,B341-IF($A348&gt;=('1-Input'!$C$12-1),'1-Input'!$B$12,0))))*(1/(1-'P-Parametri'!$B$6*B348))),MAX(0,0*B341-(F347-MIN(MAX(F347,0),MAX(0,B341-IF($A348&gt;=('1-Input'!$C$12-1),'1-Input'!$B$12,0)))))*(1/(1-'P-Parametri'!$B$6*B348))))</f>
        <v>18082.791290457168</v>
      </c>
      <c r="D348" s="18">
        <f>IF($A348&gt;'1-Input'!$B$26,F347,(F347-MAX(0,B341-IF($A348&gt;=('1-Input'!$C$12-1),'1-Input'!$B$12,0))+C348*(1-'P-Parametri'!$B$6*B348))*(1+'1-Input'!$B$27))</f>
        <v>0</v>
      </c>
      <c r="E348" s="18">
        <f>IF($A348&gt;'1-Input'!$B$26,G347,(G347-C348)*(1+'5-Roberta'!$C$4))</f>
        <v>407486.91751273116</v>
      </c>
      <c r="F348" s="18">
        <f>IF($A348&gt;'1-Input'!$B$26,D348,D348-'P-Parametri'!$B$8*(E348+D348)+MIN(MAX(E348,0),'P-Parametri'!$B$8*(E348+D348)))</f>
        <v>0</v>
      </c>
      <c r="G348" s="18">
        <f>IF($A348&gt;'1-Input'!$B$26,E348,E348-MIN(MAX(E348,0),'P-Parametri'!$B$8*(E348+D348)))</f>
        <v>406671.94367770571</v>
      </c>
      <c r="H348" s="18">
        <f>IF($A348&gt;'1-Input'!$B$26,H347,H347-C348*(1-B348))</f>
        <v>277666.76351793477</v>
      </c>
      <c r="I348" s="11">
        <f>IF($A348&gt;'1-Input'!$B$26,0,IF(N347&lt;=0,0,MAX(0,(N347-O347)/N347)))</f>
        <v>0.29814491181907116</v>
      </c>
      <c r="J348" s="18">
        <f>IF($A348&gt;'1-Input'!$B$26,0,(MAX(0,I341-IF($A348&gt;=('1-Input'!$C$12-1),'1-Input'!$B$12,0))-MIN(MAX(M347,0),MAX(0,I341-IF($A348&gt;=('1-Input'!$C$12-1),'1-Input'!$B$12,0))))*(1/(1-'P-Parametri'!$B$6*I348))+MIN(MAX(0,N347-(MAX(0,I341-IF($A348&gt;=('1-Input'!$C$12-1),'1-Input'!$B$12,0))-MIN(MAX(M347,0),MAX(0,I341-IF($A348&gt;=('1-Input'!$C$12-1),'1-Input'!$B$12,0))))*(1/(1-'P-Parametri'!$B$6*I348))),MAX(0,0*I341-(M347-MIN(MAX(M347,0),MAX(0,I341-IF($A348&gt;=('1-Input'!$C$12-1),'1-Input'!$B$12,0)))))*(1/(1-'P-Parametri'!$B$6*I348))))</f>
        <v>23793.146434812061</v>
      </c>
      <c r="K348" s="18">
        <f>IF($A348&gt;'1-Input'!$B$26,M347,(M347-MAX(0,I341-IF($A348&gt;=('1-Input'!$C$12-1),'1-Input'!$B$12,0))+J348*(1-'P-Parametri'!$B$6*I348))*(1+'1-Input'!$B$27))</f>
        <v>-3.6248820833861826E-12</v>
      </c>
      <c r="L348" s="18">
        <f>IF($A348&gt;'1-Input'!$B$26,N347,(N347-J348)*(1+'5-Roberta'!$C$4))</f>
        <v>376745.87376329425</v>
      </c>
      <c r="M348" s="18">
        <f>IF($A348&gt;'1-Input'!$B$26,K348,K348-'P-Parametri'!$B$8*(L348+K348)+MIN(MAX(L348,0),'P-Parametri'!$B$8*(L348+K348)))</f>
        <v>-3.637978807091713E-12</v>
      </c>
      <c r="N348" s="18">
        <f>IF($A348&gt;'1-Input'!$B$26,L348,L348-MIN(MAX(L348,0),'P-Parametri'!$B$8*(L348+K348)))</f>
        <v>375992.38201576768</v>
      </c>
      <c r="O348" s="18">
        <f>IF($A348&gt;'1-Input'!$B$26,O347,O347-J348*(1-I348))</f>
        <v>256719.42568149316</v>
      </c>
      <c r="P348" s="11">
        <f>IF($A348&gt;'1-Input'!$B$26,0,IF(U347&lt;=0,0,MAX(0,(U347-V347)/U347)))</f>
        <v>0.29814491181907121</v>
      </c>
      <c r="Q348" s="18">
        <f>IF($A348&gt;'1-Input'!$B$26,0,(MAX(0,P341-IF($A348&gt;=('1-Input'!$C$12-1),'1-Input'!$B$12,0))-MIN(MAX(T347,0),MAX(0,P341-IF($A348&gt;=('1-Input'!$C$12-1),'1-Input'!$B$12,0))))*(1/(1-'P-Parametri'!$B$6*P348))+MIN(MAX(0,U347-(MAX(0,P341-IF($A348&gt;=('1-Input'!$C$12-1),'1-Input'!$B$12,0))-MIN(MAX(T347,0),MAX(0,P341-IF($A348&gt;=('1-Input'!$C$12-1),'1-Input'!$B$12,0))))*(1/(1-'P-Parametri'!$B$6*P348))),MAX(0,0*P341-(T347-MIN(MAX(T347,0),MAX(0,P341-IF($A348&gt;=('1-Input'!$C$12-1),'1-Input'!$B$12,0)))))*(1/(1-'P-Parametri'!$B$6*P348))))</f>
        <v>20972.770018047588</v>
      </c>
      <c r="R348" s="18">
        <f>IF($A348&gt;'1-Input'!$B$26,T347,(T347-MAX(0,P341-IF($A348&gt;=('1-Input'!$C$12-1),'1-Input'!$B$12,0))+Q348*(1-'P-Parametri'!$B$6*P348))*(1+'1-Input'!$B$27))</f>
        <v>-3.6248820833861826E-12</v>
      </c>
      <c r="S348" s="18">
        <f>IF($A348&gt;'1-Input'!$B$26,U347,(U347-Q348)*(1+'5-Roberta'!$C$4))</f>
        <v>391929.04759852367</v>
      </c>
      <c r="T348" s="18">
        <f>IF($A348&gt;'1-Input'!$B$26,R348,R348-'P-Parametri'!$B$8*(S348+R348)+MIN(MAX(S348,0),'P-Parametri'!$B$8*(S348+R348)))</f>
        <v>-3.637978807091713E-12</v>
      </c>
      <c r="U348" s="18">
        <f>IF($A348&gt;'1-Input'!$B$26,S348,S348-MIN(MAX(S348,0),'P-Parametri'!$B$8*(S348+R348)))</f>
        <v>391145.1895033266</v>
      </c>
      <c r="V348" s="18">
        <f>IF($A348&gt;'1-Input'!$B$26,V347,V347-Q348*(1-P348))</f>
        <v>267065.43326497986</v>
      </c>
      <c r="W348" s="11">
        <f>IF($A348&gt;'1-Input'!$B$26,0,IF(AB347&lt;=0,0,MAX(0,(AB347-AC347)/AB347)))</f>
        <v>0.29814491181907143</v>
      </c>
      <c r="X348" s="18">
        <f>IF($A348&gt;'1-Input'!$B$26,0,(MAX(0,W341-IF($A348&gt;=('1-Input'!$C$12-1),'1-Input'!$B$12,0))-MIN(MAX(AA347,0),MAX(0,W341-IF($A348&gt;=('1-Input'!$C$12-1),'1-Input'!$B$12,0))))*(1/(1-'P-Parametri'!$B$6*W348))+MIN(MAX(0,AB347-(MAX(0,W341-IF($A348&gt;=('1-Input'!$C$12-1),'1-Input'!$B$12,0))-MIN(MAX(AA347,0),MAX(0,W341-IF($A348&gt;=('1-Input'!$C$12-1),'1-Input'!$B$12,0))))*(1/(1-'P-Parametri'!$B$6*W348))),MAX(0,0*W341-(AA347-MIN(MAX(AA347,0),MAX(0,W341-IF($A348&gt;=('1-Input'!$C$12-1),'1-Input'!$B$12,0)))))*(1/(1-'P-Parametri'!$B$6*W348))))</f>
        <v>20683.124005670892</v>
      </c>
      <c r="Y348" s="18">
        <f>IF($A348&gt;'1-Input'!$B$26,AA347,(AA347-MAX(0,W341-IF($A348&gt;=('1-Input'!$C$12-1),'1-Input'!$B$12,0))+X348*(1-'P-Parametri'!$B$6*W348))*(1+'1-Input'!$B$27))</f>
        <v>0</v>
      </c>
      <c r="Z348" s="18">
        <f>IF($A348&gt;'1-Input'!$B$26,AB347,(AB347-X348)*(1+'5-Roberta'!$C$4))</f>
        <v>393488.32377543964</v>
      </c>
      <c r="AA348" s="18">
        <f>IF($A348&gt;'1-Input'!$B$26,Y348,Y348-'P-Parametri'!$B$8*(Z348+Y348)+MIN(MAX(Z348,0),'P-Parametri'!$B$8*(Z348+Y348)))</f>
        <v>0</v>
      </c>
      <c r="AB348" s="18">
        <f>IF($A348&gt;'1-Input'!$B$26,Z348,Z348-MIN(MAX(Z348,0),'P-Parametri'!$B$8*(Z348+Y348)))</f>
        <v>392701.34712788876</v>
      </c>
      <c r="AC348" s="18">
        <f>IF($A348&gt;'1-Input'!$B$26,AC347,AC347-X348*(1-W348))</f>
        <v>268127.94386560866</v>
      </c>
      <c r="AD348" s="11">
        <f>IF($A348&gt;'1-Input'!$B$26,0,IF(AI347&lt;=0,0,MAX(0,(AI347-AJ347)/AI347)))</f>
        <v>0.29814491181907116</v>
      </c>
      <c r="AE348" s="18">
        <f>IF($A348&gt;'1-Input'!$B$26,0,(MAX(0,AD341-IF($A348&gt;=('1-Input'!$C$12-1),'1-Input'!$B$12,0))-MIN(MAX(AH347,0),MAX(0,AD341-IF($A348&gt;=('1-Input'!$C$12-1),'1-Input'!$B$12,0))))*(1/(1-'P-Parametri'!$B$6*AD348))+MIN(MAX(0,AI347-(MAX(0,AD341-IF($A348&gt;=('1-Input'!$C$12-1),'1-Input'!$B$12,0))-MIN(MAX(AH347,0),MAX(0,AD341-IF($A348&gt;=('1-Input'!$C$12-1),'1-Input'!$B$12,0))))*(1/(1-'P-Parametri'!$B$6*AD348))),MAX(0,0*AD341-(AH347-MIN(MAX(AH347,0),MAX(0,AD341-IF($A348&gt;=('1-Input'!$C$12-1),'1-Input'!$B$12,0)))))*(1/(1-'P-Parametri'!$B$6*AD348))))</f>
        <v>20692.658017514059</v>
      </c>
      <c r="AF348" s="18">
        <f>IF($A348&gt;'1-Input'!$B$26,AH347,(AH347-MAX(0,AD341-IF($A348&gt;=('1-Input'!$C$12-1),'1-Input'!$B$12,0))+AE348*(1-'P-Parametri'!$B$6*AD348))*(1+'1-Input'!$B$27))</f>
        <v>-3.6248820833861826E-12</v>
      </c>
      <c r="AG348" s="18">
        <f>IF($A348&gt;'1-Input'!$B$26,AI347,(AI347-AE348)*(1+'5-Roberta'!$C$4))</f>
        <v>393436.99851321522</v>
      </c>
      <c r="AH348" s="18">
        <f>IF($A348&gt;'1-Input'!$B$26,AF348,AF348-'P-Parametri'!$B$8*(AG348+AF348)+MIN(MAX(AG348,0),'P-Parametri'!$B$8*(AG348+AF348)))</f>
        <v>-3.637978807091713E-12</v>
      </c>
      <c r="AI348" s="18">
        <f>IF($A348&gt;'1-Input'!$B$26,AG348,AG348-MIN(MAX(AG348,0),'P-Parametri'!$B$8*(AG348+AF348)))</f>
        <v>392650.12451618881</v>
      </c>
      <c r="AJ348" s="18">
        <f>IF($A348&gt;'1-Input'!$B$26,AJ347,AJ347-AE348*(1-AD348))</f>
        <v>268092.9701797404</v>
      </c>
      <c r="AK348" s="11">
        <f>IF($A348&gt;'1-Input'!$B$26,0,IF(AP347&lt;=0,0,MAX(0,(AP347-AQ347)/AP347)))</f>
        <v>0.29814491181907121</v>
      </c>
      <c r="AL348" s="18">
        <f>IF($A348&gt;'1-Input'!$B$26,0,(MAX(0,AK341-IF($A348&gt;=('1-Input'!$C$12-1),'1-Input'!$B$12,0))-MIN(MAX(AO347,0),MAX(0,AK341-IF($A348&gt;=('1-Input'!$C$12-1),'1-Input'!$B$12,0))))*(1/(1-'P-Parametri'!$B$6*AK348))+MIN(MAX(0,AP347-(MAX(0,AK341-IF($A348&gt;=('1-Input'!$C$12-1),'1-Input'!$B$12,0))-MIN(MAX(AO347,0),MAX(0,AK341-IF($A348&gt;=('1-Input'!$C$12-1),'1-Input'!$B$12,0))))*(1/(1-'P-Parametri'!$B$6*AK348))),MAX(0,0*AK341-(AO347-MIN(MAX(AO347,0),MAX(0,AK341-IF($A348&gt;=('1-Input'!$C$12-1),'1-Input'!$B$12,0)))))*(1/(1-'P-Parametri'!$B$6*AK348))))</f>
        <v>20691.193288863582</v>
      </c>
      <c r="AM348" s="18">
        <f>IF($A348&gt;'1-Input'!$B$26,AO347,(AO347-MAX(0,AK341-IF($A348&gt;=('1-Input'!$C$12-1),'1-Input'!$B$12,0))+AL348*(1-'P-Parametri'!$B$6*AK348))*(1+'1-Input'!$B$27))</f>
        <v>-3.6248820833861826E-12</v>
      </c>
      <c r="AN348" s="18">
        <f>IF($A348&gt;'1-Input'!$B$26,AP347,(AP347-AL348)*(1+'5-Roberta'!$C$4))</f>
        <v>393444.8837123643</v>
      </c>
      <c r="AO348" s="18">
        <f>IF($A348&gt;'1-Input'!$B$26,AM348,AM348-'P-Parametri'!$B$8*(AN348+AM348)+MIN(MAX(AN348,0),'P-Parametri'!$B$8*(AN348+AM348)))</f>
        <v>-3.637978807091713E-12</v>
      </c>
      <c r="AP348" s="18">
        <f>IF($A348&gt;'1-Input'!$B$26,AN348,AN348-MIN(MAX(AN348,0),'P-Parametri'!$B$8*(AN348+AM348)))</f>
        <v>392657.99394493958</v>
      </c>
      <c r="AQ348" s="18">
        <f>IF($A348&gt;'1-Input'!$B$26,AQ347,AQ347-AL348*(1-AK348))</f>
        <v>268098.34325463756</v>
      </c>
    </row>
    <row r="349" spans="1:43">
      <c r="A349" s="10">
        <f>6</f>
        <v>6</v>
      </c>
      <c r="B349" s="11">
        <f>IF($A349&gt;'1-Input'!$B$26,0,IF(G348&lt;=0,0,MAX(0,(G348-H348)/G348)))</f>
        <v>0.31722173650122687</v>
      </c>
      <c r="C349" s="18">
        <f>IF($A349&gt;'1-Input'!$B$26,0,(MAX(0,B341-IF($A349&gt;=('1-Input'!$C$12-1),'1-Input'!$B$12,0))-MIN(MAX(F348,0),MAX(0,B341-IF($A349&gt;=('1-Input'!$C$12-1),'1-Input'!$B$12,0))))*(1/(1-'P-Parametri'!$B$6*B349))+MIN(MAX(0,G348-(MAX(0,B341-IF($A349&gt;=('1-Input'!$C$12-1),'1-Input'!$B$12,0))-MIN(MAX(F348,0),MAX(0,B341-IF($A349&gt;=('1-Input'!$C$12-1),'1-Input'!$B$12,0))))*(1/(1-'P-Parametri'!$B$6*B349))),MAX(0,0*B341-(F348-MIN(MAX(F348,0),MAX(0,B341-IF($A349&gt;=('1-Input'!$C$12-1),'1-Input'!$B$12,0)))))*(1/(1-'P-Parametri'!$B$6*B349))))</f>
        <v>18180.543876365096</v>
      </c>
      <c r="D349" s="18">
        <f>IF($A349&gt;'1-Input'!$B$26,F348,(F348-MAX(0,B341-IF($A349&gt;=('1-Input'!$C$12-1),'1-Input'!$B$12,0))+C349*(1-'P-Parametri'!$B$6*B349))*(1+'1-Input'!$B$27))</f>
        <v>0</v>
      </c>
      <c r="E349" s="18">
        <f>IF($A349&gt;'1-Input'!$B$26,G348,(G348-C349)*(1+'5-Roberta'!$C$4))</f>
        <v>400146.1417953808</v>
      </c>
      <c r="F349" s="18">
        <f>IF($A349&gt;'1-Input'!$B$26,D349,D349-'P-Parametri'!$B$8*(E349+D349)+MIN(MAX(E349,0),'P-Parametri'!$B$8*(E349+D349)))</f>
        <v>0</v>
      </c>
      <c r="G349" s="18">
        <f>IF($A349&gt;'1-Input'!$B$26,E349,E349-MIN(MAX(E349,0),'P-Parametri'!$B$8*(E349+D349)))</f>
        <v>399345.84951179003</v>
      </c>
      <c r="H349" s="18">
        <f>IF($A349&gt;'1-Input'!$B$26,H348,H348-C349*(1-B349))</f>
        <v>265253.48334056698</v>
      </c>
      <c r="I349" s="11">
        <f>IF($A349&gt;'1-Input'!$B$26,0,IF(N348&lt;=0,0,MAX(0,(N348-O348)/N348)))</f>
        <v>0.31722173650122698</v>
      </c>
      <c r="J349" s="18">
        <f>IF($A349&gt;'1-Input'!$B$26,0,(MAX(0,I341-IF($A349&gt;=('1-Input'!$C$12-1),'1-Input'!$B$12,0))-MIN(MAX(M348,0),MAX(0,I341-IF($A349&gt;=('1-Input'!$C$12-1),'1-Input'!$B$12,0))))*(1/(1-'P-Parametri'!$B$6*I349))+MIN(MAX(0,N348-(MAX(0,I341-IF($A349&gt;=('1-Input'!$C$12-1),'1-Input'!$B$12,0))-MIN(MAX(M348,0),MAX(0,I341-IF($A349&gt;=('1-Input'!$C$12-1),'1-Input'!$B$12,0))))*(1/(1-'P-Parametri'!$B$6*I349))),MAX(0,0*I341-(M348-MIN(MAX(M348,0),MAX(0,I341-IF($A349&gt;=('1-Input'!$C$12-1),'1-Input'!$B$12,0)))))*(1/(1-'P-Parametri'!$B$6*I349))))</f>
        <v>23921.768258375134</v>
      </c>
      <c r="K349" s="18">
        <f>IF($A349&gt;'1-Input'!$B$26,M348,(M348-MAX(0,I341-IF($A349&gt;=('1-Input'!$C$12-1),'1-Input'!$B$12,0))+J349*(1-'P-Parametri'!$B$6*I349))*(1+'1-Input'!$B$27))</f>
        <v>0</v>
      </c>
      <c r="L349" s="18">
        <f>IF($A349&gt;'1-Input'!$B$26,N348,(N348-J349)*(1+'5-Roberta'!$C$4))</f>
        <v>362632.73217011435</v>
      </c>
      <c r="M349" s="18">
        <f>IF($A349&gt;'1-Input'!$B$26,K349,K349-'P-Parametri'!$B$8*(L349+K349)+MIN(MAX(L349,0),'P-Parametri'!$B$8*(L349+K349)))</f>
        <v>0</v>
      </c>
      <c r="N349" s="18">
        <f>IF($A349&gt;'1-Input'!$B$26,L349,L349-MIN(MAX(L349,0),'P-Parametri'!$B$8*(L349+K349)))</f>
        <v>361907.46670577413</v>
      </c>
      <c r="O349" s="18">
        <f>IF($A349&gt;'1-Input'!$B$26,O348,O348-J349*(1-I349))</f>
        <v>240386.16229021971</v>
      </c>
      <c r="P349" s="11">
        <f>IF($A349&gt;'1-Input'!$B$26,0,IF(U348&lt;=0,0,MAX(0,(U348-V348)/U348)))</f>
        <v>0.31722173650122693</v>
      </c>
      <c r="Q349" s="18">
        <f>IF($A349&gt;'1-Input'!$B$26,0,(MAX(0,P341-IF($A349&gt;=('1-Input'!$C$12-1),'1-Input'!$B$12,0))-MIN(MAX(T348,0),MAX(0,P341-IF($A349&gt;=('1-Input'!$C$12-1),'1-Input'!$B$12,0))))*(1/(1-'P-Parametri'!$B$6*P349))+MIN(MAX(0,U348-(MAX(0,P341-IF($A349&gt;=('1-Input'!$C$12-1),'1-Input'!$B$12,0))-MIN(MAX(T348,0),MAX(0,P341-IF($A349&gt;=('1-Input'!$C$12-1),'1-Input'!$B$12,0))))*(1/(1-'P-Parametri'!$B$6*P349))),MAX(0,0*P341-(T348-MIN(MAX(T348,0),MAX(0,P341-IF($A349&gt;=('1-Input'!$C$12-1),'1-Input'!$B$12,0)))))*(1/(1-'P-Parametri'!$B$6*P349))))</f>
        <v>21086.14535208678</v>
      </c>
      <c r="R349" s="18">
        <f>IF($A349&gt;'1-Input'!$B$26,T348,(T348-MAX(0,P341-IF($A349&gt;=('1-Input'!$C$12-1),'1-Input'!$B$12,0))+Q349*(1-'P-Parametri'!$B$6*P349))*(1+'1-Input'!$B$27))</f>
        <v>0</v>
      </c>
      <c r="S349" s="18">
        <f>IF($A349&gt;'1-Input'!$B$26,U348,(U348-Q349)*(1+'5-Roberta'!$C$4))</f>
        <v>381160.81547577702</v>
      </c>
      <c r="T349" s="18">
        <f>IF($A349&gt;'1-Input'!$B$26,R349,R349-'P-Parametri'!$B$8*(S349+R349)+MIN(MAX(S349,0),'P-Parametri'!$B$8*(S349+R349)))</f>
        <v>0</v>
      </c>
      <c r="U349" s="18">
        <f>IF($A349&gt;'1-Input'!$B$26,S349,S349-MIN(MAX(S349,0),'P-Parametri'!$B$8*(S349+R349)))</f>
        <v>380398.49384482548</v>
      </c>
      <c r="V349" s="18">
        <f>IF($A349&gt;'1-Input'!$B$26,V348,V348-Q349*(1-P349))</f>
        <v>252668.27155759934</v>
      </c>
      <c r="W349" s="11">
        <f>IF($A349&gt;'1-Input'!$B$26,0,IF(AB348&lt;=0,0,MAX(0,(AB348-AC348)/AB348)))</f>
        <v>0.31722173650122726</v>
      </c>
      <c r="X349" s="18">
        <f>IF($A349&gt;'1-Input'!$B$26,0,(MAX(0,W341-IF($A349&gt;=('1-Input'!$C$12-1),'1-Input'!$B$12,0))-MIN(MAX(AA348,0),MAX(0,W341-IF($A349&gt;=('1-Input'!$C$12-1),'1-Input'!$B$12,0))))*(1/(1-'P-Parametri'!$B$6*W349))+MIN(MAX(0,AB348-(MAX(0,W341-IF($A349&gt;=('1-Input'!$C$12-1),'1-Input'!$B$12,0))-MIN(MAX(AA348,0),MAX(0,W341-IF($A349&gt;=('1-Input'!$C$12-1),'1-Input'!$B$12,0))))*(1/(1-'P-Parametri'!$B$6*W349))),MAX(0,0*W341-(AA348-MIN(MAX(AA348,0),MAX(0,W341-IF($A349&gt;=('1-Input'!$C$12-1),'1-Input'!$B$12,0)))))*(1/(1-'P-Parametri'!$B$6*W349))))</f>
        <v>20794.933561161128</v>
      </c>
      <c r="Y349" s="18">
        <f>IF($A349&gt;'1-Input'!$B$26,AA348,(AA348-MAX(0,W341-IF($A349&gt;=('1-Input'!$C$12-1),'1-Input'!$B$12,0))+X349*(1-'P-Parametri'!$B$6*W349))*(1+'1-Input'!$B$27))</f>
        <v>0</v>
      </c>
      <c r="Z349" s="18">
        <f>IF($A349&gt;'1-Input'!$B$26,AB348,(AB348-X349)*(1+'5-Roberta'!$C$4))</f>
        <v>383063.60597372951</v>
      </c>
      <c r="AA349" s="18">
        <f>IF($A349&gt;'1-Input'!$B$26,Y349,Y349-'P-Parametri'!$B$8*(Z349+Y349)+MIN(MAX(Z349,0),'P-Parametri'!$B$8*(Z349+Y349)))</f>
        <v>0</v>
      </c>
      <c r="AB349" s="18">
        <f>IF($A349&gt;'1-Input'!$B$26,Z349,Z349-MIN(MAX(Z349,0),'P-Parametri'!$B$8*(Z349+Y349)))</f>
        <v>382297.47876178205</v>
      </c>
      <c r="AC349" s="18">
        <f>IF($A349&gt;'1-Input'!$B$26,AC348,AC348-X349*(1-W349))</f>
        <v>253929.61523914672</v>
      </c>
      <c r="AD349" s="11">
        <f>IF($A349&gt;'1-Input'!$B$26,0,IF(AI348&lt;=0,0,MAX(0,(AI348-AJ348)/AI348)))</f>
        <v>0.31722173650122698</v>
      </c>
      <c r="AE349" s="18">
        <f>IF($A349&gt;'1-Input'!$B$26,0,(MAX(0,AD341-IF($A349&gt;=('1-Input'!$C$12-1),'1-Input'!$B$12,0))-MIN(MAX(AH348,0),MAX(0,AD341-IF($A349&gt;=('1-Input'!$C$12-1),'1-Input'!$B$12,0))))*(1/(1-'P-Parametri'!$B$6*AD349))+MIN(MAX(0,AI348-(MAX(0,AD341-IF($A349&gt;=('1-Input'!$C$12-1),'1-Input'!$B$12,0))-MIN(MAX(AH348,0),MAX(0,AD341-IF($A349&gt;=('1-Input'!$C$12-1),'1-Input'!$B$12,0))))*(1/(1-'P-Parametri'!$B$6*AD349))),MAX(0,0*AD341-(AH348-MIN(MAX(AH348,0),MAX(0,AD341-IF($A349&gt;=('1-Input'!$C$12-1),'1-Input'!$B$12,0)))))*(1/(1-'P-Parametri'!$B$6*AD349))))</f>
        <v>20804.519112299131</v>
      </c>
      <c r="AF349" s="18">
        <f>IF($A349&gt;'1-Input'!$B$26,AH348,(AH348-MAX(0,AD341-IF($A349&gt;=('1-Input'!$C$12-1),'1-Input'!$B$12,0))+AE349*(1-'P-Parametri'!$B$6*AD349))*(1+'1-Input'!$B$27))</f>
        <v>-3.6248820833861826E-12</v>
      </c>
      <c r="AG349" s="18">
        <f>IF($A349&gt;'1-Input'!$B$26,AI348,(AI348-AE349)*(1+'5-Roberta'!$C$4))</f>
        <v>383000.97356600635</v>
      </c>
      <c r="AH349" s="18">
        <f>IF($A349&gt;'1-Input'!$B$26,AF349,AF349-'P-Parametri'!$B$8*(AG349+AF349)+MIN(MAX(AG349,0),'P-Parametri'!$B$8*(AG349+AF349)))</f>
        <v>-3.637978807091713E-12</v>
      </c>
      <c r="AI349" s="18">
        <f>IF($A349&gt;'1-Input'!$B$26,AG349,AG349-MIN(MAX(AG349,0),'P-Parametri'!$B$8*(AG349+AF349)))</f>
        <v>382234.97161887435</v>
      </c>
      <c r="AJ349" s="18">
        <f>IF($A349&gt;'1-Input'!$B$26,AJ348,AJ348-AE349*(1-AD349))</f>
        <v>253888.09674731776</v>
      </c>
      <c r="AK349" s="11">
        <f>IF($A349&gt;'1-Input'!$B$26,0,IF(AP348&lt;=0,0,MAX(0,(AP348-AQ348)/AP348)))</f>
        <v>0.31722173650122704</v>
      </c>
      <c r="AL349" s="18">
        <f>IF($A349&gt;'1-Input'!$B$26,0,(MAX(0,AK341-IF($A349&gt;=('1-Input'!$C$12-1),'1-Input'!$B$12,0))-MIN(MAX(AO348,0),MAX(0,AK341-IF($A349&gt;=('1-Input'!$C$12-1),'1-Input'!$B$12,0))))*(1/(1-'P-Parametri'!$B$6*AK349))+MIN(MAX(0,AP348-(MAX(0,AK341-IF($A349&gt;=('1-Input'!$C$12-1),'1-Input'!$B$12,0))-MIN(MAX(AO348,0),MAX(0,AK341-IF($A349&gt;=('1-Input'!$C$12-1),'1-Input'!$B$12,0))))*(1/(1-'P-Parametri'!$B$6*AK349))),MAX(0,0*AK341-(AO348-MIN(MAX(AO348,0),MAX(0,AK341-IF($A349&gt;=('1-Input'!$C$12-1),'1-Input'!$B$12,0)))))*(1/(1-'P-Parametri'!$B$6*AK349))))</f>
        <v>20803.046465567266</v>
      </c>
      <c r="AM349" s="18">
        <f>IF($A349&gt;'1-Input'!$B$26,AO348,(AO348-MAX(0,AK341-IF($A349&gt;=('1-Input'!$C$12-1),'1-Input'!$B$12,0))+AL349*(1-'P-Parametri'!$B$6*AK349))*(1+'1-Input'!$B$27))</f>
        <v>-3.6248820833861826E-12</v>
      </c>
      <c r="AN349" s="18">
        <f>IF($A349&gt;'1-Input'!$B$26,AP348,(AP348-AL349)*(1+'5-Roberta'!$C$4))</f>
        <v>383010.59590375348</v>
      </c>
      <c r="AO349" s="18">
        <f>IF($A349&gt;'1-Input'!$B$26,AM349,AM349-'P-Parametri'!$B$8*(AN349+AM349)+MIN(MAX(AN349,0),'P-Parametri'!$B$8*(AN349+AM349)))</f>
        <v>-3.637978807091713E-12</v>
      </c>
      <c r="AP349" s="18">
        <f>IF($A349&gt;'1-Input'!$B$26,AN349,AN349-MIN(MAX(AN349,0),'P-Parametri'!$B$8*(AN349+AM349)))</f>
        <v>382244.57471194596</v>
      </c>
      <c r="AQ349" s="18">
        <f>IF($A349&gt;'1-Input'!$B$26,AQ348,AQ348-AL349*(1-AK349))</f>
        <v>253894.47531339325</v>
      </c>
    </row>
    <row r="350" spans="1:43">
      <c r="A350" s="10">
        <f>7</f>
        <v>7</v>
      </c>
      <c r="B350" s="11">
        <f>IF($A350&gt;'1-Input'!$B$26,0,IF(G349&lt;=0,0,MAX(0,(G349-H349)/G349)))</f>
        <v>0.33578004212427454</v>
      </c>
      <c r="C350" s="18">
        <f>IF($A350&gt;'1-Input'!$B$26,0,(MAX(0,B341-IF($A350&gt;=('1-Input'!$C$12-1),'1-Input'!$B$12,0))-MIN(MAX(F349,0),MAX(0,B341-IF($A350&gt;=('1-Input'!$C$12-1),'1-Input'!$B$12,0))))*(1/(1-'P-Parametri'!$B$6*B350))+MIN(MAX(0,G349-(MAX(0,B341-IF($A350&gt;=('1-Input'!$C$12-1),'1-Input'!$B$12,0))-MIN(MAX(F349,0),MAX(0,B341-IF($A350&gt;=('1-Input'!$C$12-1),'1-Input'!$B$12,0))))*(1/(1-'P-Parametri'!$B$6*B350))),MAX(0,0*B341-(F349-MIN(MAX(F349,0),MAX(0,B341-IF($A350&gt;=('1-Input'!$C$12-1),'1-Input'!$B$12,0)))))*(1/(1-'P-Parametri'!$B$6*B350))))</f>
        <v>18276.659022069383</v>
      </c>
      <c r="D350" s="18">
        <f>IF($A350&gt;'1-Input'!$B$26,F349,(F349-MAX(0,B341-IF($A350&gt;=('1-Input'!$C$12-1),'1-Input'!$B$12,0))+C350*(1-'P-Parametri'!$B$6*B350))*(1+'1-Input'!$B$27))</f>
        <v>0</v>
      </c>
      <c r="E350" s="18">
        <f>IF($A350&gt;'1-Input'!$B$26,G349,(G349-C350)*(1+'5-Roberta'!$C$4))</f>
        <v>392501.26620441233</v>
      </c>
      <c r="F350" s="18">
        <f>IF($A350&gt;'1-Input'!$B$26,D350,D350-'P-Parametri'!$B$8*(E350+D350)+MIN(MAX(E350,0),'P-Parametri'!$B$8*(E350+D350)))</f>
        <v>0</v>
      </c>
      <c r="G350" s="18">
        <f>IF($A350&gt;'1-Input'!$B$26,E350,E350-MIN(MAX(E350,0),'P-Parametri'!$B$8*(E350+D350)))</f>
        <v>391716.26367200352</v>
      </c>
      <c r="H350" s="18">
        <f>IF($A350&gt;'1-Input'!$B$26,H349,H349-C350*(1-B350))</f>
        <v>253113.76165481904</v>
      </c>
      <c r="I350" s="11">
        <f>IF($A350&gt;'1-Input'!$B$26,0,IF(N349&lt;=0,0,MAX(0,(N349-O349)/N349)))</f>
        <v>0.33578004212427481</v>
      </c>
      <c r="J350" s="18">
        <f>IF($A350&gt;'1-Input'!$B$26,0,(MAX(0,I341-IF($A350&gt;=('1-Input'!$C$12-1),'1-Input'!$B$12,0))-MIN(MAX(M349,0),MAX(0,I341-IF($A350&gt;=('1-Input'!$C$12-1),'1-Input'!$B$12,0))))*(1/(1-'P-Parametri'!$B$6*I350))+MIN(MAX(0,N349-(MAX(0,I341-IF($A350&gt;=('1-Input'!$C$12-1),'1-Input'!$B$12,0))-MIN(MAX(M349,0),MAX(0,I341-IF($A350&gt;=('1-Input'!$C$12-1),'1-Input'!$B$12,0))))*(1/(1-'P-Parametri'!$B$6*I350))),MAX(0,0*I341-(M349-MIN(MAX(M349,0),MAX(0,I341-IF($A350&gt;=('1-Input'!$C$12-1),'1-Input'!$B$12,0)))))*(1/(1-'P-Parametri'!$B$6*I350))))</f>
        <v>24048.235555354455</v>
      </c>
      <c r="K350" s="18">
        <f>IF($A350&gt;'1-Input'!$B$26,M349,(M349-MAX(0,I341-IF($A350&gt;=('1-Input'!$C$12-1),'1-Input'!$B$12,0))+J350*(1-'P-Parametri'!$B$6*I350))*(1+'1-Input'!$B$27))</f>
        <v>-3.6248820833861826E-12</v>
      </c>
      <c r="L350" s="18">
        <f>IF($A350&gt;'1-Input'!$B$26,N349,(N349-J350)*(1+'5-Roberta'!$C$4))</f>
        <v>347995.00808493228</v>
      </c>
      <c r="M350" s="18">
        <f>IF($A350&gt;'1-Input'!$B$26,K350,K350-'P-Parametri'!$B$8*(L350+K350)+MIN(MAX(L350,0),'P-Parametri'!$B$8*(L350+K350)))</f>
        <v>-3.637978807091713E-12</v>
      </c>
      <c r="N350" s="18">
        <f>IF($A350&gt;'1-Input'!$B$26,L350,L350-MIN(MAX(L350,0),'P-Parametri'!$B$8*(L350+K350)))</f>
        <v>347299.01806876244</v>
      </c>
      <c r="O350" s="18">
        <f>IF($A350&gt;'1-Input'!$B$26,O349,O349-J350*(1-I350))</f>
        <v>224412.84428265665</v>
      </c>
      <c r="P350" s="11">
        <f>IF($A350&gt;'1-Input'!$B$26,0,IF(U349&lt;=0,0,MAX(0,(U349-V349)/U349)))</f>
        <v>0.3357800421242747</v>
      </c>
      <c r="Q350" s="18">
        <f>IF($A350&gt;'1-Input'!$B$26,0,(MAX(0,P341-IF($A350&gt;=('1-Input'!$C$12-1),'1-Input'!$B$12,0))-MIN(MAX(T349,0),MAX(0,P341-IF($A350&gt;=('1-Input'!$C$12-1),'1-Input'!$B$12,0))))*(1/(1-'P-Parametri'!$B$6*P350))+MIN(MAX(0,U349-(MAX(0,P341-IF($A350&gt;=('1-Input'!$C$12-1),'1-Input'!$B$12,0))-MIN(MAX(T349,0),MAX(0,P341-IF($A350&gt;=('1-Input'!$C$12-1),'1-Input'!$B$12,0))))*(1/(1-'P-Parametri'!$B$6*P350))),MAX(0,0*P341-(T349-MIN(MAX(T349,0),MAX(0,P341-IF($A350&gt;=('1-Input'!$C$12-1),'1-Input'!$B$12,0)))))*(1/(1-'P-Parametri'!$B$6*P350))))</f>
        <v>21197.621551404023</v>
      </c>
      <c r="R350" s="18">
        <f>IF($A350&gt;'1-Input'!$B$26,T349,(T349-MAX(0,P341-IF($A350&gt;=('1-Input'!$C$12-1),'1-Input'!$B$12,0))+Q350*(1-'P-Parametri'!$B$6*P350))*(1+'1-Input'!$B$27))</f>
        <v>3.6248820833861826E-12</v>
      </c>
      <c r="S350" s="18">
        <f>IF($A350&gt;'1-Input'!$B$26,U349,(U349-Q350)*(1+'5-Roberta'!$C$4))</f>
        <v>369976.89846222411</v>
      </c>
      <c r="T350" s="18">
        <f>IF($A350&gt;'1-Input'!$B$26,R350,R350-'P-Parametri'!$B$8*(S350+R350)+MIN(MAX(S350,0),'P-Parametri'!$B$8*(S350+R350)))</f>
        <v>3.637978807091713E-12</v>
      </c>
      <c r="U350" s="18">
        <f>IF($A350&gt;'1-Input'!$B$26,S350,S350-MIN(MAX(S350,0),'P-Parametri'!$B$8*(S350+R350)))</f>
        <v>369236.94466529967</v>
      </c>
      <c r="V350" s="18">
        <f>IF($A350&gt;'1-Input'!$B$26,V349,V349-Q350*(1-P350))</f>
        <v>238588.38826366019</v>
      </c>
      <c r="W350" s="11">
        <f>IF($A350&gt;'1-Input'!$B$26,0,IF(AB349&lt;=0,0,MAX(0,(AB349-AC349)/AB349)))</f>
        <v>0.33578004212427509</v>
      </c>
      <c r="X350" s="18">
        <f>IF($A350&gt;'1-Input'!$B$26,0,(MAX(0,W341-IF($A350&gt;=('1-Input'!$C$12-1),'1-Input'!$B$12,0))-MIN(MAX(AA349,0),MAX(0,W341-IF($A350&gt;=('1-Input'!$C$12-1),'1-Input'!$B$12,0))))*(1/(1-'P-Parametri'!$B$6*W350))+MIN(MAX(0,AB349-(MAX(0,W341-IF($A350&gt;=('1-Input'!$C$12-1),'1-Input'!$B$12,0))-MIN(MAX(AA349,0),MAX(0,W341-IF($A350&gt;=('1-Input'!$C$12-1),'1-Input'!$B$12,0))))*(1/(1-'P-Parametri'!$B$6*W350))),MAX(0,0*W341-(AA349-MIN(MAX(AA349,0),MAX(0,W341-IF($A350&gt;=('1-Input'!$C$12-1),'1-Input'!$B$12,0)))))*(1/(1-'P-Parametri'!$B$6*W350))))</f>
        <v>20904.870210071851</v>
      </c>
      <c r="Y350" s="18">
        <f>IF($A350&gt;'1-Input'!$B$26,AA349,(AA349-MAX(0,W341-IF($A350&gt;=('1-Input'!$C$12-1),'1-Input'!$B$12,0))+X350*(1-'P-Parametri'!$B$6*W350))*(1+'1-Input'!$B$27))</f>
        <v>0</v>
      </c>
      <c r="Z350" s="18">
        <f>IF($A350&gt;'1-Input'!$B$26,AB349,(AB349-X350)*(1+'5-Roberta'!$C$4))</f>
        <v>372234.38680826151</v>
      </c>
      <c r="AA350" s="18">
        <f>IF($A350&gt;'1-Input'!$B$26,Y350,Y350-'P-Parametri'!$B$8*(Z350+Y350)+MIN(MAX(Z350,0),'P-Parametri'!$B$8*(Z350+Y350)))</f>
        <v>0</v>
      </c>
      <c r="AB350" s="18">
        <f>IF($A350&gt;'1-Input'!$B$26,Z350,Z350-MIN(MAX(Z350,0),'P-Parametri'!$B$8*(Z350+Y350)))</f>
        <v>371489.91803464497</v>
      </c>
      <c r="AC350" s="18">
        <f>IF($A350&gt;'1-Input'!$B$26,AC349,AC349-X350*(1-W350))</f>
        <v>240044.18322881529</v>
      </c>
      <c r="AD350" s="11">
        <f>IF($A350&gt;'1-Input'!$B$26,0,IF(AI349&lt;=0,0,MAX(0,(AI349-AJ349)/AI349)))</f>
        <v>0.33578004212427476</v>
      </c>
      <c r="AE350" s="18">
        <f>IF($A350&gt;'1-Input'!$B$26,0,(MAX(0,AD341-IF($A350&gt;=('1-Input'!$C$12-1),'1-Input'!$B$12,0))-MIN(MAX(AH349,0),MAX(0,AD341-IF($A350&gt;=('1-Input'!$C$12-1),'1-Input'!$B$12,0))))*(1/(1-'P-Parametri'!$B$6*AD350))+MIN(MAX(0,AI349-(MAX(0,AD341-IF($A350&gt;=('1-Input'!$C$12-1),'1-Input'!$B$12,0))-MIN(MAX(AH349,0),MAX(0,AD341-IF($A350&gt;=('1-Input'!$C$12-1),'1-Input'!$B$12,0))))*(1/(1-'P-Parametri'!$B$6*AD350))),MAX(0,0*AD341-(AH349-MIN(MAX(AH349,0),MAX(0,AD341-IF($A350&gt;=('1-Input'!$C$12-1),'1-Input'!$B$12,0)))))*(1/(1-'P-Parametri'!$B$6*AD350))))</f>
        <v>20914.50643717701</v>
      </c>
      <c r="AF350" s="18">
        <f>IF($A350&gt;'1-Input'!$B$26,AH349,(AH349-MAX(0,AD341-IF($A350&gt;=('1-Input'!$C$12-1),'1-Input'!$B$12,0))+AE350*(1-'P-Parametri'!$B$6*AD350))*(1+'1-Input'!$B$27))</f>
        <v>0</v>
      </c>
      <c r="AG350" s="18">
        <f>IF($A350&gt;'1-Input'!$B$26,AI349,(AI349-AE350)*(1+'5-Roberta'!$C$4))</f>
        <v>372160.07913714828</v>
      </c>
      <c r="AH350" s="18">
        <f>IF($A350&gt;'1-Input'!$B$26,AF350,AF350-'P-Parametri'!$B$8*(AG350+AF350)+MIN(MAX(AG350,0),'P-Parametri'!$B$8*(AG350+AF350)))</f>
        <v>0</v>
      </c>
      <c r="AI350" s="18">
        <f>IF($A350&gt;'1-Input'!$B$26,AG350,AG350-MIN(MAX(AG350,0),'P-Parametri'!$B$8*(AG350+AF350)))</f>
        <v>371415.75897887396</v>
      </c>
      <c r="AJ350" s="18">
        <f>IF($A350&gt;'1-Input'!$B$26,AJ349,AJ349-AE350*(1-AD350))</f>
        <v>239996.26416262446</v>
      </c>
      <c r="AK350" s="11">
        <f>IF($A350&gt;'1-Input'!$B$26,0,IF(AP349&lt;=0,0,MAX(0,(AP349-AQ349)/AP349)))</f>
        <v>0.33578004212427476</v>
      </c>
      <c r="AL350" s="18">
        <f>IF($A350&gt;'1-Input'!$B$26,0,(MAX(0,AK341-IF($A350&gt;=('1-Input'!$C$12-1),'1-Input'!$B$12,0))-MIN(MAX(AO349,0),MAX(0,AK341-IF($A350&gt;=('1-Input'!$C$12-1),'1-Input'!$B$12,0))))*(1/(1-'P-Parametri'!$B$6*AK350))+MIN(MAX(0,AP349-(MAX(0,AK341-IF($A350&gt;=('1-Input'!$C$12-1),'1-Input'!$B$12,0))-MIN(MAX(AO349,0),MAX(0,AK341-IF($A350&gt;=('1-Input'!$C$12-1),'1-Input'!$B$12,0))))*(1/(1-'P-Parametri'!$B$6*AK350))),MAX(0,0*AK341-(AO349-MIN(MAX(AO349,0),MAX(0,AK341-IF($A350&gt;=('1-Input'!$C$12-1),'1-Input'!$B$12,0)))))*(1/(1-'P-Parametri'!$B$6*AK350))))</f>
        <v>20913.02600499845</v>
      </c>
      <c r="AM350" s="18">
        <f>IF($A350&gt;'1-Input'!$B$26,AO349,(AO349-MAX(0,AK341-IF($A350&gt;=('1-Input'!$C$12-1),'1-Input'!$B$12,0))+AL350*(1-'P-Parametri'!$B$6*AK350))*(1+'1-Input'!$B$27))</f>
        <v>0</v>
      </c>
      <c r="AN350" s="18">
        <f>IF($A350&gt;'1-Input'!$B$26,AP349,(AP349-AL350)*(1+'5-Roberta'!$C$4))</f>
        <v>372171.49516815593</v>
      </c>
      <c r="AO350" s="18">
        <f>IF($A350&gt;'1-Input'!$B$26,AM350,AM350-'P-Parametri'!$B$8*(AN350+AM350)+MIN(MAX(AN350,0),'P-Parametri'!$B$8*(AN350+AM350)))</f>
        <v>0</v>
      </c>
      <c r="AP350" s="18">
        <f>IF($A350&gt;'1-Input'!$B$26,AN350,AN350-MIN(MAX(AN350,0),'P-Parametri'!$B$8*(AN350+AM350)))</f>
        <v>371427.15217781963</v>
      </c>
      <c r="AQ350" s="18">
        <f>IF($A350&gt;'1-Input'!$B$26,AQ349,AQ349-AL350*(1-AK350))</f>
        <v>240003.62606129923</v>
      </c>
    </row>
    <row r="351" spans="1:43">
      <c r="A351" s="10">
        <f>8</f>
        <v>8</v>
      </c>
      <c r="B351" s="11">
        <f>IF($A351&gt;'1-Input'!$B$26,0,IF(G350&lt;=0,0,MAX(0,(G350-H350)/G350)))</f>
        <v>0.35383392233425559</v>
      </c>
      <c r="C351" s="18">
        <f>IF($A351&gt;'1-Input'!$B$26,0,(MAX(0,B341-IF($A351&gt;=('1-Input'!$C$12-1),'1-Input'!$B$12,0))-MIN(MAX(F350,0),MAX(0,B341-IF($A351&gt;=('1-Input'!$C$12-1),'1-Input'!$B$12,0))))*(1/(1-'P-Parametri'!$B$6*B351))+MIN(MAX(0,G350-(MAX(0,B341-IF($A351&gt;=('1-Input'!$C$12-1),'1-Input'!$B$12,0))-MIN(MAX(F350,0),MAX(0,B341-IF($A351&gt;=('1-Input'!$C$12-1),'1-Input'!$B$12,0))))*(1/(1-'P-Parametri'!$B$6*B351))),MAX(0,0*B341-(F350-MIN(MAX(F350,0),MAX(0,B341-IF($A351&gt;=('1-Input'!$C$12-1),'1-Input'!$B$12,0)))))*(1/(1-'P-Parametri'!$B$6*B351))))</f>
        <v>18371.141950272082</v>
      </c>
      <c r="D351" s="18">
        <f>IF($A351&gt;'1-Input'!$B$26,F350,(F350-MAX(0,B341-IF($A351&gt;=('1-Input'!$C$12-1),'1-Input'!$B$12,0))+C351*(1-'P-Parametri'!$B$6*B351))*(1+'1-Input'!$B$27))</f>
        <v>0</v>
      </c>
      <c r="E351" s="18">
        <f>IF($A351&gt;'1-Input'!$B$26,G350,(G350-C351)*(1+'5-Roberta'!$C$4))</f>
        <v>384545.47537338338</v>
      </c>
      <c r="F351" s="18">
        <f>IF($A351&gt;'1-Input'!$B$26,D351,D351-'P-Parametri'!$B$8*(E351+D351)+MIN(MAX(E351,0),'P-Parametri'!$B$8*(E351+D351)))</f>
        <v>0</v>
      </c>
      <c r="G351" s="18">
        <f>IF($A351&gt;'1-Input'!$B$26,E351,E351-MIN(MAX(E351,0),'P-Parametri'!$B$8*(E351+D351)))</f>
        <v>383776.38442263659</v>
      </c>
      <c r="H351" s="18">
        <f>IF($A351&gt;'1-Input'!$B$26,H350,H350-C351*(1-B351))</f>
        <v>241242.95291857113</v>
      </c>
      <c r="I351" s="11">
        <f>IF($A351&gt;'1-Input'!$B$26,0,IF(N350&lt;=0,0,MAX(0,(N350-O350)/N350)))</f>
        <v>0.35383392233425581</v>
      </c>
      <c r="J351" s="18">
        <f>IF($A351&gt;'1-Input'!$B$26,0,(MAX(0,I341-IF($A351&gt;=('1-Input'!$C$12-1),'1-Input'!$B$12,0))-MIN(MAX(M350,0),MAX(0,I341-IF($A351&gt;=('1-Input'!$C$12-1),'1-Input'!$B$12,0))))*(1/(1-'P-Parametri'!$B$6*I351))+MIN(MAX(0,N350-(MAX(0,I341-IF($A351&gt;=('1-Input'!$C$12-1),'1-Input'!$B$12,0))-MIN(MAX(M350,0),MAX(0,I341-IF($A351&gt;=('1-Input'!$C$12-1),'1-Input'!$B$12,0))))*(1/(1-'P-Parametri'!$B$6*I351))),MAX(0,0*I341-(M350-MIN(MAX(M350,0),MAX(0,I341-IF($A351&gt;=('1-Input'!$C$12-1),'1-Input'!$B$12,0)))))*(1/(1-'P-Parametri'!$B$6*I351))))</f>
        <v>24172.555197726433</v>
      </c>
      <c r="K351" s="18">
        <f>IF($A351&gt;'1-Input'!$B$26,M350,(M350-MAX(0,I341-IF($A351&gt;=('1-Input'!$C$12-1),'1-Input'!$B$12,0))+J351*(1-'P-Parametri'!$B$6*I351))*(1+'1-Input'!$B$27))</f>
        <v>-3.6248820833861826E-12</v>
      </c>
      <c r="L351" s="18">
        <f>IF($A351&gt;'1-Input'!$B$26,N350,(N350-J351)*(1+'5-Roberta'!$C$4))</f>
        <v>332820.25675716711</v>
      </c>
      <c r="M351" s="18">
        <f>IF($A351&gt;'1-Input'!$B$26,K351,K351-'P-Parametri'!$B$8*(L351+K351)+MIN(MAX(L351,0),'P-Parametri'!$B$8*(L351+K351)))</f>
        <v>-3.637978807091713E-12</v>
      </c>
      <c r="N351" s="18">
        <f>IF($A351&gt;'1-Input'!$B$26,L351,L351-MIN(MAX(L351,0),'P-Parametri'!$B$8*(L351+K351)))</f>
        <v>332154.61624365277</v>
      </c>
      <c r="O351" s="18">
        <f>IF($A351&gt;'1-Input'!$B$26,O350,O350-J351*(1-I351))</f>
        <v>208793.35910338306</v>
      </c>
      <c r="P351" s="11">
        <f>IF($A351&gt;'1-Input'!$B$26,0,IF(U350&lt;=0,0,MAX(0,(U350-V350)/U350)))</f>
        <v>0.35383392233425559</v>
      </c>
      <c r="Q351" s="18">
        <f>IF($A351&gt;'1-Input'!$B$26,0,(MAX(0,P341-IF($A351&gt;=('1-Input'!$C$12-1),'1-Input'!$B$12,0))-MIN(MAX(T350,0),MAX(0,P341-IF($A351&gt;=('1-Input'!$C$12-1),'1-Input'!$B$12,0))))*(1/(1-'P-Parametri'!$B$6*P351))+MIN(MAX(0,U350-(MAX(0,P341-IF($A351&gt;=('1-Input'!$C$12-1),'1-Input'!$B$12,0))-MIN(MAX(T350,0),MAX(0,P341-IF($A351&gt;=('1-Input'!$C$12-1),'1-Input'!$B$12,0))))*(1/(1-'P-Parametri'!$B$6*P351))),MAX(0,0*P341-(T350-MIN(MAX(T350,0),MAX(0,P341-IF($A351&gt;=('1-Input'!$C$12-1),'1-Input'!$B$12,0)))))*(1/(1-'P-Parametri'!$B$6*P351))))</f>
        <v>21307.204673389875</v>
      </c>
      <c r="R351" s="18">
        <f>IF($A351&gt;'1-Input'!$B$26,T350,(T350-MAX(0,P341-IF($A351&gt;=('1-Input'!$C$12-1),'1-Input'!$B$12,0))+Q351*(1-'P-Parametri'!$B$6*P351))*(1+'1-Input'!$B$27))</f>
        <v>3.6248820833861826E-12</v>
      </c>
      <c r="S351" s="18">
        <f>IF($A351&gt;'1-Input'!$B$26,U350,(U350-Q351)*(1+'5-Roberta'!$C$4))</f>
        <v>358367.6321916671</v>
      </c>
      <c r="T351" s="18">
        <f>IF($A351&gt;'1-Input'!$B$26,R351,R351-'P-Parametri'!$B$8*(S351+R351)+MIN(MAX(S351,0),'P-Parametri'!$B$8*(S351+R351)))</f>
        <v>3.637978807091713E-12</v>
      </c>
      <c r="U351" s="18">
        <f>IF($A351&gt;'1-Input'!$B$26,S351,S351-MIN(MAX(S351,0),'P-Parametri'!$B$8*(S351+R351)))</f>
        <v>357650.89692728379</v>
      </c>
      <c r="V351" s="18">
        <f>IF($A351&gt;'1-Input'!$B$26,V350,V350-Q351*(1-P351))</f>
        <v>224820.39539383462</v>
      </c>
      <c r="W351" s="11">
        <f>IF($A351&gt;'1-Input'!$B$26,0,IF(AB350&lt;=0,0,MAX(0,(AB350-AC350)/AB350)))</f>
        <v>0.35383392233425592</v>
      </c>
      <c r="X351" s="18">
        <f>IF($A351&gt;'1-Input'!$B$26,0,(MAX(0,W341-IF($A351&gt;=('1-Input'!$C$12-1),'1-Input'!$B$12,0))-MIN(MAX(AA350,0),MAX(0,W341-IF($A351&gt;=('1-Input'!$C$12-1),'1-Input'!$B$12,0))))*(1/(1-'P-Parametri'!$B$6*W351))+MIN(MAX(0,AB350-(MAX(0,W341-IF($A351&gt;=('1-Input'!$C$12-1),'1-Input'!$B$12,0))-MIN(MAX(AA350,0),MAX(0,W341-IF($A351&gt;=('1-Input'!$C$12-1),'1-Input'!$B$12,0))))*(1/(1-'P-Parametri'!$B$6*W351))),MAX(0,0*W341-(AA350-MIN(MAX(AA350,0),MAX(0,W341-IF($A351&gt;=('1-Input'!$C$12-1),'1-Input'!$B$12,0)))))*(1/(1-'P-Parametri'!$B$6*W351))))</f>
        <v>21012.939926137569</v>
      </c>
      <c r="Y351" s="18">
        <f>IF($A351&gt;'1-Input'!$B$26,AA350,(AA350-MAX(0,W341-IF($A351&gt;=('1-Input'!$C$12-1),'1-Input'!$B$12,0))+X351*(1-'P-Parametri'!$B$6*W351))*(1+'1-Input'!$B$27))</f>
        <v>0</v>
      </c>
      <c r="Z351" s="18">
        <f>IF($A351&gt;'1-Input'!$B$26,AB350,(AB350-X351)*(1+'5-Roberta'!$C$4))</f>
        <v>360991.28745176265</v>
      </c>
      <c r="AA351" s="18">
        <f>IF($A351&gt;'1-Input'!$B$26,Y351,Y351-'P-Parametri'!$B$8*(Z351+Y351)+MIN(MAX(Z351,0),'P-Parametri'!$B$8*(Z351+Y351)))</f>
        <v>0</v>
      </c>
      <c r="AB351" s="18">
        <f>IF($A351&gt;'1-Input'!$B$26,Z351,Z351-MIN(MAX(Z351,0),'P-Parametri'!$B$8*(Z351+Y351)))</f>
        <v>360269.30487685913</v>
      </c>
      <c r="AC351" s="18">
        <f>IF($A351&gt;'1-Input'!$B$26,AC350,AC350-X351*(1-W351))</f>
        <v>226466.33425651706</v>
      </c>
      <c r="AD351" s="11">
        <f>IF($A351&gt;'1-Input'!$B$26,0,IF(AI350&lt;=0,0,MAX(0,(AI350-AJ350)/AI350)))</f>
        <v>0.35383392233425565</v>
      </c>
      <c r="AE351" s="18">
        <f>IF($A351&gt;'1-Input'!$B$26,0,(MAX(0,AD341-IF($A351&gt;=('1-Input'!$C$12-1),'1-Input'!$B$12,0))-MIN(MAX(AH350,0),MAX(0,AD341-IF($A351&gt;=('1-Input'!$C$12-1),'1-Input'!$B$12,0))))*(1/(1-'P-Parametri'!$B$6*AD351))+MIN(MAX(0,AI350-(MAX(0,AD341-IF($A351&gt;=('1-Input'!$C$12-1),'1-Input'!$B$12,0))-MIN(MAX(AH350,0),MAX(0,AD341-IF($A351&gt;=('1-Input'!$C$12-1),'1-Input'!$B$12,0))))*(1/(1-'P-Parametri'!$B$6*AD351))),MAX(0,0*AD341-(AH350-MIN(MAX(AH350,0),MAX(0,AD341-IF($A351&gt;=('1-Input'!$C$12-1),'1-Input'!$B$12,0)))))*(1/(1-'P-Parametri'!$B$6*AD351))))</f>
        <v>21022.625968635821</v>
      </c>
      <c r="AF351" s="18">
        <f>IF($A351&gt;'1-Input'!$B$26,AH350,(AH350-MAX(0,AD341-IF($A351&gt;=('1-Input'!$C$12-1),'1-Input'!$B$12,0))+AE351*(1-'P-Parametri'!$B$6*AD351))*(1+'1-Input'!$B$27))</f>
        <v>0</v>
      </c>
      <c r="AG351" s="18">
        <f>IF($A351&gt;'1-Input'!$B$26,AI350,(AI350-AE351)*(1+'5-Roberta'!$C$4))</f>
        <v>360904.92700054526</v>
      </c>
      <c r="AH351" s="18">
        <f>IF($A351&gt;'1-Input'!$B$26,AF351,AF351-'P-Parametri'!$B$8*(AG351+AF351)+MIN(MAX(AG351,0),'P-Parametri'!$B$8*(AG351+AF351)))</f>
        <v>0</v>
      </c>
      <c r="AI351" s="18">
        <f>IF($A351&gt;'1-Input'!$B$26,AG351,AG351-MIN(MAX(AG351,0),'P-Parametri'!$B$8*(AG351+AF351)))</f>
        <v>360183.11714654416</v>
      </c>
      <c r="AJ351" s="18">
        <f>IF($A351&gt;'1-Input'!$B$26,AJ350,AJ350-AE351*(1-AD351))</f>
        <v>226412.15639823704</v>
      </c>
      <c r="AK351" s="11">
        <f>IF($A351&gt;'1-Input'!$B$26,0,IF(AP350&lt;=0,0,MAX(0,(AP350-AQ350)/AP350)))</f>
        <v>0.3538339223342557</v>
      </c>
      <c r="AL351" s="18">
        <f>IF($A351&gt;'1-Input'!$B$26,0,(MAX(0,AK341-IF($A351&gt;=('1-Input'!$C$12-1),'1-Input'!$B$12,0))-MIN(MAX(AO350,0),MAX(0,AK341-IF($A351&gt;=('1-Input'!$C$12-1),'1-Input'!$B$12,0))))*(1/(1-'P-Parametri'!$B$6*AK351))+MIN(MAX(0,AP350-(MAX(0,AK341-IF($A351&gt;=('1-Input'!$C$12-1),'1-Input'!$B$12,0))-MIN(MAX(AO350,0),MAX(0,AK341-IF($A351&gt;=('1-Input'!$C$12-1),'1-Input'!$B$12,0))))*(1/(1-'P-Parametri'!$B$6*AK351))),MAX(0,0*AK341-(AO350-MIN(MAX(AO350,0),MAX(0,AK341-IF($A351&gt;=('1-Input'!$C$12-1),'1-Input'!$B$12,0)))))*(1/(1-'P-Parametri'!$B$6*AK351))))</f>
        <v>21021.137883222225</v>
      </c>
      <c r="AM351" s="18">
        <f>IF($A351&gt;'1-Input'!$B$26,AO350,(AO350-MAX(0,AK341-IF($A351&gt;=('1-Input'!$C$12-1),'1-Input'!$B$12,0))+AL351*(1-'P-Parametri'!$B$6*AK351))*(1+'1-Input'!$B$27))</f>
        <v>0</v>
      </c>
      <c r="AN351" s="18">
        <f>IF($A351&gt;'1-Input'!$B$26,AP350,(AP350-AL351)*(1+'5-Roberta'!$C$4))</f>
        <v>360918.19472343539</v>
      </c>
      <c r="AO351" s="18">
        <f>IF($A351&gt;'1-Input'!$B$26,AM351,AM351-'P-Parametri'!$B$8*(AN351+AM351)+MIN(MAX(AN351,0),'P-Parametri'!$B$8*(AN351+AM351)))</f>
        <v>0</v>
      </c>
      <c r="AP351" s="18">
        <f>IF($A351&gt;'1-Input'!$B$26,AN351,AN351-MIN(MAX(AN351,0),'P-Parametri'!$B$8*(AN351+AM351)))</f>
        <v>360196.35833398852</v>
      </c>
      <c r="AQ351" s="18">
        <f>IF($A351&gt;'1-Input'!$B$26,AQ350,AQ350-AL351*(1-AK351))</f>
        <v>226420.47984722673</v>
      </c>
    </row>
    <row r="352" spans="1:43">
      <c r="A352" s="10">
        <f>9</f>
        <v>9</v>
      </c>
      <c r="B352" s="11">
        <f>IF($A352&gt;'1-Input'!$B$26,0,IF(G351&lt;=0,0,MAX(0,(G351-H351)/G351)))</f>
        <v>0.37139708770381102</v>
      </c>
      <c r="C352" s="18">
        <f>IF($A352&gt;'1-Input'!$B$26,0,(MAX(0,B341-IF($A352&gt;=('1-Input'!$C$12-1),'1-Input'!$B$12,0))-MIN(MAX(F351,0),MAX(0,B341-IF($A352&gt;=('1-Input'!$C$12-1),'1-Input'!$B$12,0))))*(1/(1-'P-Parametri'!$B$6*B352))+MIN(MAX(0,G351-(MAX(0,B341-IF($A352&gt;=('1-Input'!$C$12-1),'1-Input'!$B$12,0))-MIN(MAX(F351,0),MAX(0,B341-IF($A352&gt;=('1-Input'!$C$12-1),'1-Input'!$B$12,0))))*(1/(1-'P-Parametri'!$B$6*B352))),MAX(0,0*B341-(F351-MIN(MAX(F351,0),MAX(0,B341-IF($A352&gt;=('1-Input'!$C$12-1),'1-Input'!$B$12,0)))))*(1/(1-'P-Parametri'!$B$6*B352))))</f>
        <v>18463.998926034648</v>
      </c>
      <c r="D352" s="18">
        <f>IF($A352&gt;'1-Input'!$B$26,F351,(F351-MAX(0,B341-IF($A352&gt;=('1-Input'!$C$12-1),'1-Input'!$B$12,0))+C352*(1-'P-Parametri'!$B$6*B352))*(1+'1-Input'!$B$27))</f>
        <v>0</v>
      </c>
      <c r="E352" s="18">
        <f>IF($A352&gt;'1-Input'!$B$26,G351,(G351-C352)*(1+'5-Roberta'!$C$4))</f>
        <v>376271.75706149999</v>
      </c>
      <c r="F352" s="18">
        <f>IF($A352&gt;'1-Input'!$B$26,D352,D352-'P-Parametri'!$B$8*(E352+D352)+MIN(MAX(E352,0),'P-Parametri'!$B$8*(E352+D352)))</f>
        <v>0</v>
      </c>
      <c r="G352" s="18">
        <f>IF($A352&gt;'1-Input'!$B$26,E352,E352-MIN(MAX(E352,0),'P-Parametri'!$B$8*(E352+D352)))</f>
        <v>375519.21354737697</v>
      </c>
      <c r="H352" s="18">
        <f>IF($A352&gt;'1-Input'!$B$26,H351,H351-C352*(1-B352))</f>
        <v>229636.42942103205</v>
      </c>
      <c r="I352" s="11">
        <f>IF($A352&gt;'1-Input'!$B$26,0,IF(N351&lt;=0,0,MAX(0,(N351-O351)/N351)))</f>
        <v>0.37139708770381136</v>
      </c>
      <c r="J352" s="18">
        <f>IF($A352&gt;'1-Input'!$B$26,0,(MAX(0,I341-IF($A352&gt;=('1-Input'!$C$12-1),'1-Input'!$B$12,0))-MIN(MAX(M351,0),MAX(0,I341-IF($A352&gt;=('1-Input'!$C$12-1),'1-Input'!$B$12,0))))*(1/(1-'P-Parametri'!$B$6*I352))+MIN(MAX(0,N351-(MAX(0,I341-IF($A352&gt;=('1-Input'!$C$12-1),'1-Input'!$B$12,0))-MIN(MAX(M351,0),MAX(0,I341-IF($A352&gt;=('1-Input'!$C$12-1),'1-Input'!$B$12,0))))*(1/(1-'P-Parametri'!$B$6*I352))),MAX(0,0*I341-(M351-MIN(MAX(M351,0),MAX(0,I341-IF($A352&gt;=('1-Input'!$C$12-1),'1-Input'!$B$12,0)))))*(1/(1-'P-Parametri'!$B$6*I352))))</f>
        <v>24294.735428992972</v>
      </c>
      <c r="K352" s="18">
        <f>IF($A352&gt;'1-Input'!$B$26,M351,(M351-MAX(0,I341-IF($A352&gt;=('1-Input'!$C$12-1),'1-Input'!$B$12,0))+J352*(1-'P-Parametri'!$B$6*I352))*(1+'1-Input'!$B$27))</f>
        <v>0</v>
      </c>
      <c r="L352" s="18">
        <f>IF($A352&gt;'1-Input'!$B$26,N351,(N351-J352)*(1+'5-Roberta'!$C$4))</f>
        <v>317095.67723909963</v>
      </c>
      <c r="M352" s="18">
        <f>IF($A352&gt;'1-Input'!$B$26,K352,K352-'P-Parametri'!$B$8*(L352+K352)+MIN(MAX(L352,0),'P-Parametri'!$B$8*(L352+K352)))</f>
        <v>0</v>
      </c>
      <c r="N352" s="18">
        <f>IF($A352&gt;'1-Input'!$B$26,L352,L352-MIN(MAX(L352,0),'P-Parametri'!$B$8*(L352+K352)))</f>
        <v>316461.48588462145</v>
      </c>
      <c r="O352" s="18">
        <f>IF($A352&gt;'1-Input'!$B$26,O351,O351-J352*(1-I352))</f>
        <v>193521.61765925269</v>
      </c>
      <c r="P352" s="11">
        <f>IF($A352&gt;'1-Input'!$B$26,0,IF(U351&lt;=0,0,MAX(0,(U351-V351)/U351)))</f>
        <v>0.37139708770381119</v>
      </c>
      <c r="Q352" s="18">
        <f>IF($A352&gt;'1-Input'!$B$26,0,(MAX(0,P341-IF($A352&gt;=('1-Input'!$C$12-1),'1-Input'!$B$12,0))-MIN(MAX(T351,0),MAX(0,P341-IF($A352&gt;=('1-Input'!$C$12-1),'1-Input'!$B$12,0))))*(1/(1-'P-Parametri'!$B$6*P352))+MIN(MAX(0,U351-(MAX(0,P341-IF($A352&gt;=('1-Input'!$C$12-1),'1-Input'!$B$12,0))-MIN(MAX(T351,0),MAX(0,P341-IF($A352&gt;=('1-Input'!$C$12-1),'1-Input'!$B$12,0))))*(1/(1-'P-Parametri'!$B$6*P352))),MAX(0,0*P341-(T351-MIN(MAX(T351,0),MAX(0,P341-IF($A352&gt;=('1-Input'!$C$12-1),'1-Input'!$B$12,0)))))*(1/(1-'P-Parametri'!$B$6*P352))))</f>
        <v>21414.901984383418</v>
      </c>
      <c r="R352" s="18">
        <f>IF($A352&gt;'1-Input'!$B$26,T351,(T351-MAX(0,P341-IF($A352&gt;=('1-Input'!$C$12-1),'1-Input'!$B$12,0))+Q352*(1-'P-Parametri'!$B$6*P352))*(1+'1-Input'!$B$27))</f>
        <v>0</v>
      </c>
      <c r="S352" s="18">
        <f>IF($A352&gt;'1-Input'!$B$26,U351,(U351-Q352)*(1+'5-Roberta'!$C$4))</f>
        <v>346323.07479118742</v>
      </c>
      <c r="T352" s="18">
        <f>IF($A352&gt;'1-Input'!$B$26,R352,R352-'P-Parametri'!$B$8*(S352+R352)+MIN(MAX(S352,0),'P-Parametri'!$B$8*(S352+R352)))</f>
        <v>0</v>
      </c>
      <c r="U352" s="18">
        <f>IF($A352&gt;'1-Input'!$B$26,S352,S352-MIN(MAX(S352,0),'P-Parametri'!$B$8*(S352+R352)))</f>
        <v>345630.42864160507</v>
      </c>
      <c r="V352" s="18">
        <f>IF($A352&gt;'1-Input'!$B$26,V351,V351-Q352*(1-P352))</f>
        <v>211358.92563991377</v>
      </c>
      <c r="W352" s="11">
        <f>IF($A352&gt;'1-Input'!$B$26,0,IF(AB351&lt;=0,0,MAX(0,(AB351-AC351)/AB351)))</f>
        <v>0.37139708770381152</v>
      </c>
      <c r="X352" s="18">
        <f>IF($A352&gt;'1-Input'!$B$26,0,(MAX(0,W341-IF($A352&gt;=('1-Input'!$C$12-1),'1-Input'!$B$12,0))-MIN(MAX(AA351,0),MAX(0,W341-IF($A352&gt;=('1-Input'!$C$12-1),'1-Input'!$B$12,0))))*(1/(1-'P-Parametri'!$B$6*W352))+MIN(MAX(0,AB351-(MAX(0,W341-IF($A352&gt;=('1-Input'!$C$12-1),'1-Input'!$B$12,0))-MIN(MAX(AA351,0),MAX(0,W341-IF($A352&gt;=('1-Input'!$C$12-1),'1-Input'!$B$12,0))))*(1/(1-'P-Parametri'!$B$6*W352))),MAX(0,0*W341-(AA351-MIN(MAX(AA351,0),MAX(0,W341-IF($A352&gt;=('1-Input'!$C$12-1),'1-Input'!$B$12,0)))))*(1/(1-'P-Parametri'!$B$6*W352))))</f>
        <v>21119.149875345043</v>
      </c>
      <c r="Y352" s="18">
        <f>IF($A352&gt;'1-Input'!$B$26,AA351,(AA351-MAX(0,W341-IF($A352&gt;=('1-Input'!$C$12-1),'1-Input'!$B$12,0))+X352*(1-'P-Parametri'!$B$6*W352))*(1+'1-Input'!$B$27))</f>
        <v>3.6248820833861826E-12</v>
      </c>
      <c r="Z352" s="18">
        <f>IF($A352&gt;'1-Input'!$B$26,AB351,(AB351-X352)*(1+'5-Roberta'!$C$4))</f>
        <v>349324.65965155949</v>
      </c>
      <c r="AA352" s="18">
        <f>IF($A352&gt;'1-Input'!$B$26,Y352,Y352-'P-Parametri'!$B$8*(Z352+Y352)+MIN(MAX(Z352,0),'P-Parametri'!$B$8*(Z352+Y352)))</f>
        <v>3.637978807091713E-12</v>
      </c>
      <c r="AB352" s="18">
        <f>IF($A352&gt;'1-Input'!$B$26,Z352,Z352-MIN(MAX(Z352,0),'P-Parametri'!$B$8*(Z352+Y352)))</f>
        <v>348626.01033225638</v>
      </c>
      <c r="AC352" s="18">
        <f>IF($A352&gt;'1-Input'!$B$26,AC351,AC351-X352*(1-W352))</f>
        <v>213190.77513965548</v>
      </c>
      <c r="AD352" s="11">
        <f>IF($A352&gt;'1-Input'!$B$26,0,IF(AI351&lt;=0,0,MAX(0,(AI351-AJ351)/AI351)))</f>
        <v>0.37139708770381108</v>
      </c>
      <c r="AE352" s="18">
        <f>IF($A352&gt;'1-Input'!$B$26,0,(MAX(0,AD341-IF($A352&gt;=('1-Input'!$C$12-1),'1-Input'!$B$12,0))-MIN(MAX(AH351,0),MAX(0,AD341-IF($A352&gt;=('1-Input'!$C$12-1),'1-Input'!$B$12,0))))*(1/(1-'P-Parametri'!$B$6*AD352))+MIN(MAX(0,AI351-(MAX(0,AD341-IF($A352&gt;=('1-Input'!$C$12-1),'1-Input'!$B$12,0))-MIN(MAX(AH351,0),MAX(0,AD341-IF($A352&gt;=('1-Input'!$C$12-1),'1-Input'!$B$12,0))))*(1/(1-'P-Parametri'!$B$6*AD352))),MAX(0,0*AD341-(AH351-MIN(MAX(AH351,0),MAX(0,AD341-IF($A352&gt;=('1-Input'!$C$12-1),'1-Input'!$B$12,0)))))*(1/(1-'P-Parametri'!$B$6*AD352))))</f>
        <v>21128.884875965541</v>
      </c>
      <c r="AF352" s="18">
        <f>IF($A352&gt;'1-Input'!$B$26,AH351,(AH351-MAX(0,AD341-IF($A352&gt;=('1-Input'!$C$12-1),'1-Input'!$B$12,0))+AE352*(1-'P-Parametri'!$B$6*AD352))*(1+'1-Input'!$B$27))</f>
        <v>0</v>
      </c>
      <c r="AG352" s="18">
        <f>IF($A352&gt;'1-Input'!$B$26,AI351,(AI351-AE352)*(1+'5-Roberta'!$C$4))</f>
        <v>349225.85923869599</v>
      </c>
      <c r="AH352" s="18">
        <f>IF($A352&gt;'1-Input'!$B$26,AF352,AF352-'P-Parametri'!$B$8*(AG352+AF352)+MIN(MAX(AG352,0),'P-Parametri'!$B$8*(AG352+AF352)))</f>
        <v>0</v>
      </c>
      <c r="AI352" s="18">
        <f>IF($A352&gt;'1-Input'!$B$26,AG352,AG352-MIN(MAX(AG352,0),'P-Parametri'!$B$8*(AG352+AF352)))</f>
        <v>348527.40752021858</v>
      </c>
      <c r="AJ352" s="18">
        <f>IF($A352&gt;'1-Input'!$B$26,AJ351,AJ351-AE352*(1-AD352))</f>
        <v>213130.4778316342</v>
      </c>
      <c r="AK352" s="11">
        <f>IF($A352&gt;'1-Input'!$B$26,0,IF(AP351&lt;=0,0,MAX(0,(AP351-AQ351)/AP351)))</f>
        <v>0.37139708770381136</v>
      </c>
      <c r="AL352" s="18">
        <f>IF($A352&gt;'1-Input'!$B$26,0,(MAX(0,AK341-IF($A352&gt;=('1-Input'!$C$12-1),'1-Input'!$B$12,0))-MIN(MAX(AO351,0),MAX(0,AK341-IF($A352&gt;=('1-Input'!$C$12-1),'1-Input'!$B$12,0))))*(1/(1-'P-Parametri'!$B$6*AK352))+MIN(MAX(0,AP351-(MAX(0,AK341-IF($A352&gt;=('1-Input'!$C$12-1),'1-Input'!$B$12,0))-MIN(MAX(AO351,0),MAX(0,AK341-IF($A352&gt;=('1-Input'!$C$12-1),'1-Input'!$B$12,0))))*(1/(1-'P-Parametri'!$B$6*AK352))),MAX(0,0*AK341-(AO351-MIN(MAX(AO351,0),MAX(0,AK341-IF($A352&gt;=('1-Input'!$C$12-1),'1-Input'!$B$12,0)))))*(1/(1-'P-Parametri'!$B$6*AK352))))</f>
        <v>21127.389269021085</v>
      </c>
      <c r="AM352" s="18">
        <f>IF($A352&gt;'1-Input'!$B$26,AO351,(AO351-MAX(0,AK341-IF($A352&gt;=('1-Input'!$C$12-1),'1-Input'!$B$12,0))+AL352*(1-'P-Parametri'!$B$6*AK352))*(1+'1-Input'!$B$27))</f>
        <v>0</v>
      </c>
      <c r="AN352" s="18">
        <f>IF($A352&gt;'1-Input'!$B$26,AP351,(AP351-AL352)*(1+'5-Roberta'!$C$4))</f>
        <v>349241.03813691647</v>
      </c>
      <c r="AO352" s="18">
        <f>IF($A352&gt;'1-Input'!$B$26,AM352,AM352-'P-Parametri'!$B$8*(AN352+AM352)+MIN(MAX(AN352,0),'P-Parametri'!$B$8*(AN352+AM352)))</f>
        <v>0</v>
      </c>
      <c r="AP352" s="18">
        <f>IF($A352&gt;'1-Input'!$B$26,AN352,AN352-MIN(MAX(AN352,0),'P-Parametri'!$B$8*(AN352+AM352)))</f>
        <v>348542.55606064264</v>
      </c>
      <c r="AQ352" s="18">
        <f>IF($A352&gt;'1-Input'!$B$26,AQ351,AQ351-AL352*(1-AK352))</f>
        <v>213139.74142350483</v>
      </c>
    </row>
    <row r="353" spans="1:43">
      <c r="A353" s="10">
        <f>10</f>
        <v>10</v>
      </c>
      <c r="B353" s="11">
        <f>IF($A353&gt;'1-Input'!$B$26,0,IF(G352&lt;=0,0,MAX(0,(G352-H352)/G352)))</f>
        <v>0.38848287614433819</v>
      </c>
      <c r="C353" s="18">
        <f>IF($A353&gt;'1-Input'!$B$26,0,(MAX(0,B341-IF($A353&gt;=('1-Input'!$C$12-1),'1-Input'!$B$12,0))-MIN(MAX(F352,0),MAX(0,B341-IF($A353&gt;=('1-Input'!$C$12-1),'1-Input'!$B$12,0))))*(1/(1-'P-Parametri'!$B$6*B353))+MIN(MAX(0,G352-(MAX(0,B341-IF($A353&gt;=('1-Input'!$C$12-1),'1-Input'!$B$12,0))-MIN(MAX(F352,0),MAX(0,B341-IF($A353&gt;=('1-Input'!$C$12-1),'1-Input'!$B$12,0))))*(1/(1-'P-Parametri'!$B$6*B353))),MAX(0,0*B341-(F352-MIN(MAX(F352,0),MAX(0,B341-IF($A353&gt;=('1-Input'!$C$12-1),'1-Input'!$B$12,0)))))*(1/(1-'P-Parametri'!$B$6*B353))))</f>
        <v>18555.237213932091</v>
      </c>
      <c r="D353" s="18">
        <f>IF($A353&gt;'1-Input'!$B$26,F352,(F352-MAX(0,B341-IF($A353&gt;=('1-Input'!$C$12-1),'1-Input'!$B$12,0))+C353*(1-'P-Parametri'!$B$6*B353))*(1+'1-Input'!$B$27))</f>
        <v>0</v>
      </c>
      <c r="E353" s="18">
        <f>IF($A353&gt;'1-Input'!$B$26,G352,(G352-C353)*(1+'5-Roberta'!$C$4))</f>
        <v>367672.89562344825</v>
      </c>
      <c r="F353" s="18">
        <f>IF($A353&gt;'1-Input'!$B$26,D353,D353-'P-Parametri'!$B$8*(E353+D353)+MIN(MAX(E353,0),'P-Parametri'!$B$8*(E353+D353)))</f>
        <v>0</v>
      </c>
      <c r="G353" s="18">
        <f>IF($A353&gt;'1-Input'!$B$26,E353,E353-MIN(MAX(E353,0),'P-Parametri'!$B$8*(E353+D353)))</f>
        <v>366937.54983220133</v>
      </c>
      <c r="H353" s="18">
        <f>IF($A353&gt;'1-Input'!$B$26,H352,H352-C353*(1-B353))</f>
        <v>218289.58412750874</v>
      </c>
      <c r="I353" s="11">
        <f>IF($A353&gt;'1-Input'!$B$26,0,IF(N352&lt;=0,0,MAX(0,(N352-O352)/N352)))</f>
        <v>0.38848287614433863</v>
      </c>
      <c r="J353" s="18">
        <f>IF($A353&gt;'1-Input'!$B$26,0,(MAX(0,I341-IF($A353&gt;=('1-Input'!$C$12-1),'1-Input'!$B$12,0))-MIN(MAX(M352,0),MAX(0,I341-IF($A353&gt;=('1-Input'!$C$12-1),'1-Input'!$B$12,0))))*(1/(1-'P-Parametri'!$B$6*I353))+MIN(MAX(0,N352-(MAX(0,I341-IF($A353&gt;=('1-Input'!$C$12-1),'1-Input'!$B$12,0))-MIN(MAX(M352,0),MAX(0,I341-IF($A353&gt;=('1-Input'!$C$12-1),'1-Input'!$B$12,0))))*(1/(1-'P-Parametri'!$B$6*I353))),MAX(0,0*I341-(M352-MIN(MAX(M352,0),MAX(0,I341-IF($A353&gt;=('1-Input'!$C$12-1),'1-Input'!$B$12,0)))))*(1/(1-'P-Parametri'!$B$6*I353))))</f>
        <v>24414.785807805387</v>
      </c>
      <c r="K353" s="18">
        <f>IF($A353&gt;'1-Input'!$B$26,M352,(M352-MAX(0,I341-IF($A353&gt;=('1-Input'!$C$12-1),'1-Input'!$B$12,0))+J353*(1-'P-Parametri'!$B$6*I353))*(1+'1-Input'!$B$27))</f>
        <v>0</v>
      </c>
      <c r="L353" s="18">
        <f>IF($A353&gt;'1-Input'!$B$26,N352,(N352-J353)*(1+'5-Roberta'!$C$4))</f>
        <v>300808.10107912059</v>
      </c>
      <c r="M353" s="18">
        <f>IF($A353&gt;'1-Input'!$B$26,K353,K353-'P-Parametri'!$B$8*(L353+K353)+MIN(MAX(L353,0),'P-Parametri'!$B$8*(L353+K353)))</f>
        <v>0</v>
      </c>
      <c r="N353" s="18">
        <f>IF($A353&gt;'1-Input'!$B$26,L353,L353-MIN(MAX(L353,0),'P-Parametri'!$B$8*(L353+K353)))</f>
        <v>300206.48487696238</v>
      </c>
      <c r="O353" s="18">
        <f>IF($A353&gt;'1-Input'!$B$26,O352,O352-J353*(1-I353))</f>
        <v>178591.55806251153</v>
      </c>
      <c r="P353" s="11">
        <f>IF($A353&gt;'1-Input'!$B$26,0,IF(U352&lt;=0,0,MAX(0,(U352-V352)/U352)))</f>
        <v>0.38848287614433857</v>
      </c>
      <c r="Q353" s="18">
        <f>IF($A353&gt;'1-Input'!$B$26,0,(MAX(0,P341-IF($A353&gt;=('1-Input'!$C$12-1),'1-Input'!$B$12,0))-MIN(MAX(T352,0),MAX(0,P341-IF($A353&gt;=('1-Input'!$C$12-1),'1-Input'!$B$12,0))))*(1/(1-'P-Parametri'!$B$6*P353))+MIN(MAX(0,U352-(MAX(0,P341-IF($A353&gt;=('1-Input'!$C$12-1),'1-Input'!$B$12,0))-MIN(MAX(T352,0),MAX(0,P341-IF($A353&gt;=('1-Input'!$C$12-1),'1-Input'!$B$12,0))))*(1/(1-'P-Parametri'!$B$6*P353))),MAX(0,0*P341-(T352-MIN(MAX(T352,0),MAX(0,P341-IF($A353&gt;=('1-Input'!$C$12-1),'1-Input'!$B$12,0)))))*(1/(1-'P-Parametri'!$B$6*P353))))</f>
        <v>21520.721909978827</v>
      </c>
      <c r="R353" s="18">
        <f>IF($A353&gt;'1-Input'!$B$26,T352,(T352-MAX(0,P341-IF($A353&gt;=('1-Input'!$C$12-1),'1-Input'!$B$12,0))+Q353*(1-'P-Parametri'!$B$6*P353))*(1+'1-Input'!$B$27))</f>
        <v>0</v>
      </c>
      <c r="S353" s="18">
        <f>IF($A353&gt;'1-Input'!$B$26,U352,(U352-Q353)*(1+'5-Roberta'!$C$4))</f>
        <v>333832.99793357501</v>
      </c>
      <c r="T353" s="18">
        <f>IF($A353&gt;'1-Input'!$B$26,R353,R353-'P-Parametri'!$B$8*(S353+R353)+MIN(MAX(S353,0),'P-Parametri'!$B$8*(S353+R353)))</f>
        <v>0</v>
      </c>
      <c r="U353" s="18">
        <f>IF($A353&gt;'1-Input'!$B$26,S353,S353-MIN(MAX(S353,0),'P-Parametri'!$B$8*(S353+R353)))</f>
        <v>333165.33193770784</v>
      </c>
      <c r="V353" s="18">
        <f>IF($A353&gt;'1-Input'!$B$26,V352,V352-Q353*(1-P353))</f>
        <v>198198.63567422601</v>
      </c>
      <c r="W353" s="11">
        <f>IF($A353&gt;'1-Input'!$B$26,0,IF(AB352&lt;=0,0,MAX(0,(AB352-AC352)/AB352)))</f>
        <v>0.38848287614433868</v>
      </c>
      <c r="X353" s="18">
        <f>IF($A353&gt;'1-Input'!$B$26,0,(MAX(0,W341-IF($A353&gt;=('1-Input'!$C$12-1),'1-Input'!$B$12,0))-MIN(MAX(AA352,0),MAX(0,W341-IF($A353&gt;=('1-Input'!$C$12-1),'1-Input'!$B$12,0))))*(1/(1-'P-Parametri'!$B$6*W353))+MIN(MAX(0,AB352-(MAX(0,W341-IF($A353&gt;=('1-Input'!$C$12-1),'1-Input'!$B$12,0))-MIN(MAX(AA352,0),MAX(0,W341-IF($A353&gt;=('1-Input'!$C$12-1),'1-Input'!$B$12,0))))*(1/(1-'P-Parametri'!$B$6*W353))),MAX(0,0*W341-(AA352-MIN(MAX(AA352,0),MAX(0,W341-IF($A353&gt;=('1-Input'!$C$12-1),'1-Input'!$B$12,0)))))*(1/(1-'P-Parametri'!$B$6*W353))))</f>
        <v>21223.508366926129</v>
      </c>
      <c r="Y353" s="18">
        <f>IF($A353&gt;'1-Input'!$B$26,AA352,(AA352-MAX(0,W341-IF($A353&gt;=('1-Input'!$C$12-1),'1-Input'!$B$12,0))+X353*(1-'P-Parametri'!$B$6*W353))*(1+'1-Input'!$B$27))</f>
        <v>0</v>
      </c>
      <c r="Z353" s="18">
        <f>IF($A353&gt;'1-Input'!$B$26,AB352,(AB352-X353)*(1+'5-Roberta'!$C$4))</f>
        <v>337224.57702429016</v>
      </c>
      <c r="AA353" s="18">
        <f>IF($A353&gt;'1-Input'!$B$26,Y353,Y353-'P-Parametri'!$B$8*(Z353+Y353)+MIN(MAX(Z353,0),'P-Parametri'!$B$8*(Z353+Y353)))</f>
        <v>0</v>
      </c>
      <c r="AB353" s="18">
        <f>IF($A353&gt;'1-Input'!$B$26,Z353,Z353-MIN(MAX(Z353,0),'P-Parametri'!$B$8*(Z353+Y353)))</f>
        <v>336550.12787024159</v>
      </c>
      <c r="AC353" s="18">
        <f>IF($A353&gt;'1-Input'!$B$26,AC352,AC352-X353*(1-W353))</f>
        <v>200212.23634498625</v>
      </c>
      <c r="AD353" s="11">
        <f>IF($A353&gt;'1-Input'!$B$26,0,IF(AI352&lt;=0,0,MAX(0,(AI352-AJ352)/AI352)))</f>
        <v>0.38848287614433824</v>
      </c>
      <c r="AE353" s="18">
        <f>IF($A353&gt;'1-Input'!$B$26,0,(MAX(0,AD341-IF($A353&gt;=('1-Input'!$C$12-1),'1-Input'!$B$12,0))-MIN(MAX(AH352,0),MAX(0,AD341-IF($A353&gt;=('1-Input'!$C$12-1),'1-Input'!$B$12,0))))*(1/(1-'P-Parametri'!$B$6*AD353))+MIN(MAX(0,AI352-(MAX(0,AD341-IF($A353&gt;=('1-Input'!$C$12-1),'1-Input'!$B$12,0))-MIN(MAX(AH352,0),MAX(0,AD341-IF($A353&gt;=('1-Input'!$C$12-1),'1-Input'!$B$12,0))))*(1/(1-'P-Parametri'!$B$6*AD353))),MAX(0,0*AD341-(AH352-MIN(MAX(AH352,0),MAX(0,AD341-IF($A353&gt;=('1-Input'!$C$12-1),'1-Input'!$B$12,0)))))*(1/(1-'P-Parametri'!$B$6*AD353))))</f>
        <v>21233.291472228233</v>
      </c>
      <c r="AF353" s="18">
        <f>IF($A353&gt;'1-Input'!$B$26,AH352,(AH352-MAX(0,AD341-IF($A353&gt;=('1-Input'!$C$12-1),'1-Input'!$B$12,0))+AE353*(1-'P-Parametri'!$B$6*AD353))*(1+'1-Input'!$B$27))</f>
        <v>3.6248820833861826E-12</v>
      </c>
      <c r="AG353" s="18">
        <f>IF($A353&gt;'1-Input'!$B$26,AI352,(AI352-AE353)*(1+'5-Roberta'!$C$4))</f>
        <v>337112.93952943006</v>
      </c>
      <c r="AH353" s="18">
        <f>IF($A353&gt;'1-Input'!$B$26,AF353,AF353-'P-Parametri'!$B$8*(AG353+AF353)+MIN(MAX(AG353,0),'P-Parametri'!$B$8*(AG353+AF353)))</f>
        <v>3.637978807091713E-12</v>
      </c>
      <c r="AI353" s="18">
        <f>IF($A353&gt;'1-Input'!$B$26,AG353,AG353-MIN(MAX(AG353,0),'P-Parametri'!$B$8*(AG353+AF353)))</f>
        <v>336438.71365037118</v>
      </c>
      <c r="AJ353" s="18">
        <f>IF($A353&gt;'1-Input'!$B$26,AJ352,AJ352-AE353*(1-AD353))</f>
        <v>200145.95650054823</v>
      </c>
      <c r="AK353" s="11">
        <f>IF($A353&gt;'1-Input'!$B$26,0,IF(AP352&lt;=0,0,MAX(0,(AP352-AQ352)/AP352)))</f>
        <v>0.38848287614433852</v>
      </c>
      <c r="AL353" s="18">
        <f>IF($A353&gt;'1-Input'!$B$26,0,(MAX(0,AK341-IF($A353&gt;=('1-Input'!$C$12-1),'1-Input'!$B$12,0))-MIN(MAX(AO352,0),MAX(0,AK341-IF($A353&gt;=('1-Input'!$C$12-1),'1-Input'!$B$12,0))))*(1/(1-'P-Parametri'!$B$6*AK353))+MIN(MAX(0,AP352-(MAX(0,AK341-IF($A353&gt;=('1-Input'!$C$12-1),'1-Input'!$B$12,0))-MIN(MAX(AO352,0),MAX(0,AK341-IF($A353&gt;=('1-Input'!$C$12-1),'1-Input'!$B$12,0))))*(1/(1-'P-Parametri'!$B$6*AK353))),MAX(0,0*AK341-(AO352-MIN(MAX(AO352,0),MAX(0,AK341-IF($A353&gt;=('1-Input'!$C$12-1),'1-Input'!$B$12,0)))))*(1/(1-'P-Parametri'!$B$6*AK353))))</f>
        <v>21231.788474868641</v>
      </c>
      <c r="AM353" s="18">
        <f>IF($A353&gt;'1-Input'!$B$26,AO352,(AO352-MAX(0,AK341-IF($A353&gt;=('1-Input'!$C$12-1),'1-Input'!$B$12,0))+AL353*(1-'P-Parametri'!$B$6*AK353))*(1+'1-Input'!$B$27))</f>
        <v>-3.6248820833861826E-12</v>
      </c>
      <c r="AN353" s="18">
        <f>IF($A353&gt;'1-Input'!$B$26,AP352,(AP352-AL353)*(1+'5-Roberta'!$C$4))</f>
        <v>337130.09061334725</v>
      </c>
      <c r="AO353" s="18">
        <f>IF($A353&gt;'1-Input'!$B$26,AM353,AM353-'P-Parametri'!$B$8*(AN353+AM353)+MIN(MAX(AN353,0),'P-Parametri'!$B$8*(AN353+AM353)))</f>
        <v>-3.637978807091713E-12</v>
      </c>
      <c r="AP353" s="18">
        <f>IF($A353&gt;'1-Input'!$B$26,AN353,AN353-MIN(MAX(AN353,0),'P-Parametri'!$B$8*(AN353+AM353)))</f>
        <v>336455.83043212054</v>
      </c>
      <c r="AQ353" s="18">
        <f>IF($A353&gt;'1-Input'!$B$26,AQ352,AQ352-AL353*(1-AK353))</f>
        <v>200156.13920104137</v>
      </c>
    </row>
    <row r="354" spans="1:43">
      <c r="A354" s="10">
        <f>11</f>
        <v>11</v>
      </c>
      <c r="B354" s="11">
        <f>IF($A354&gt;'1-Input'!$B$26,0,IF(G353&lt;=0,0,MAX(0,(G353-H353)/G353)))</f>
        <v>0.40510426303513647</v>
      </c>
      <c r="C354" s="18">
        <f>IF($A354&gt;'1-Input'!$B$26,0,(MAX(0,B341-IF($A354&gt;=('1-Input'!$C$12-1),'1-Input'!$B$12,0))-MIN(MAX(F353,0),MAX(0,B341-IF($A354&gt;=('1-Input'!$C$12-1),'1-Input'!$B$12,0))))*(1/(1-'P-Parametri'!$B$6*B354))+MIN(MAX(0,G353-(MAX(0,B341-IF($A354&gt;=('1-Input'!$C$12-1),'1-Input'!$B$12,0))-MIN(MAX(F353,0),MAX(0,B341-IF($A354&gt;=('1-Input'!$C$12-1),'1-Input'!$B$12,0))))*(1/(1-'P-Parametri'!$B$6*B354))),MAX(0,0*B341-(F353-MIN(MAX(F353,0),MAX(0,B341-IF($A354&gt;=('1-Input'!$C$12-1),'1-Input'!$B$12,0)))))*(1/(1-'P-Parametri'!$B$6*B354))))</f>
        <v>18644.865035076062</v>
      </c>
      <c r="D354" s="18">
        <f>IF($A354&gt;'1-Input'!$B$26,F353,(F353-MAX(0,B341-IF($A354&gt;=('1-Input'!$C$12-1),'1-Input'!$B$12,0))+C354*(1-'P-Parametri'!$B$6*B354))*(1+'1-Input'!$B$27))</f>
        <v>0</v>
      </c>
      <c r="E354" s="18">
        <f>IF($A354&gt;'1-Input'!$B$26,G353,(G353-C354)*(1+'5-Roberta'!$C$4))</f>
        <v>358741.46534103906</v>
      </c>
      <c r="F354" s="18">
        <f>IF($A354&gt;'1-Input'!$B$26,D354,D354-'P-Parametri'!$B$8*(E354+D354)+MIN(MAX(E354,0),'P-Parametri'!$B$8*(E354+D354)))</f>
        <v>0</v>
      </c>
      <c r="G354" s="18">
        <f>IF($A354&gt;'1-Input'!$B$26,E354,E354-MIN(MAX(E354,0),'P-Parametri'!$B$8*(E354+D354)))</f>
        <v>358023.98241035698</v>
      </c>
      <c r="H354" s="18">
        <f>IF($A354&gt;'1-Input'!$B$26,H353,H353-C354*(1-B354))</f>
        <v>207197.83340185677</v>
      </c>
      <c r="I354" s="11">
        <f>IF($A354&gt;'1-Input'!$B$26,0,IF(N353&lt;=0,0,MAX(0,(N353-O353)/N353)))</f>
        <v>0.40510426303513702</v>
      </c>
      <c r="J354" s="18">
        <f>IF($A354&gt;'1-Input'!$B$26,0,(MAX(0,I341-IF($A354&gt;=('1-Input'!$C$12-1),'1-Input'!$B$12,0))-MIN(MAX(M353,0),MAX(0,I341-IF($A354&gt;=('1-Input'!$C$12-1),'1-Input'!$B$12,0))))*(1/(1-'P-Parametri'!$B$6*I354))+MIN(MAX(0,N353-(MAX(0,I341-IF($A354&gt;=('1-Input'!$C$12-1),'1-Input'!$B$12,0))-MIN(MAX(M353,0),MAX(0,I341-IF($A354&gt;=('1-Input'!$C$12-1),'1-Input'!$B$12,0))))*(1/(1-'P-Parametri'!$B$6*I354))),MAX(0,0*I341-(M353-MIN(MAX(M353,0),MAX(0,I341-IF($A354&gt;=('1-Input'!$C$12-1),'1-Input'!$B$12,0)))))*(1/(1-'P-Parametri'!$B$6*I354))))</f>
        <v>24532.71715141588</v>
      </c>
      <c r="K354" s="18">
        <f>IF($A354&gt;'1-Input'!$B$26,M353,(M353-MAX(0,I341-IF($A354&gt;=('1-Input'!$C$12-1),'1-Input'!$B$12,0))+J354*(1-'P-Parametri'!$B$6*I354))*(1+'1-Input'!$B$27))</f>
        <v>3.6248820833861826E-12</v>
      </c>
      <c r="L354" s="18">
        <f>IF($A354&gt;'1-Input'!$B$26,N353,(N353-J354)*(1+'5-Roberta'!$C$4))</f>
        <v>283943.98075731291</v>
      </c>
      <c r="M354" s="18">
        <f>IF($A354&gt;'1-Input'!$B$26,K354,K354-'P-Parametri'!$B$8*(L354+K354)+MIN(MAX(L354,0),'P-Parametri'!$B$8*(L354+K354)))</f>
        <v>3.637978807091713E-12</v>
      </c>
      <c r="N354" s="18">
        <f>IF($A354&gt;'1-Input'!$B$26,L354,L354-MIN(MAX(L354,0),'P-Parametri'!$B$8*(L354+K354)))</f>
        <v>283376.09279579826</v>
      </c>
      <c r="O354" s="18">
        <f>IF($A354&gt;'1-Input'!$B$26,O353,O353-J354*(1-I354))</f>
        <v>163997.14921296944</v>
      </c>
      <c r="P354" s="11">
        <f>IF($A354&gt;'1-Input'!$B$26,0,IF(U353&lt;=0,0,MAX(0,(U353-V353)/U353)))</f>
        <v>0.40510426303513669</v>
      </c>
      <c r="Q354" s="18">
        <f>IF($A354&gt;'1-Input'!$B$26,0,(MAX(0,P341-IF($A354&gt;=('1-Input'!$C$12-1),'1-Input'!$B$12,0))-MIN(MAX(T353,0),MAX(0,P341-IF($A354&gt;=('1-Input'!$C$12-1),'1-Input'!$B$12,0))))*(1/(1-'P-Parametri'!$B$6*P354))+MIN(MAX(0,U353-(MAX(0,P341-IF($A354&gt;=('1-Input'!$C$12-1),'1-Input'!$B$12,0))-MIN(MAX(T353,0),MAX(0,P341-IF($A354&gt;=('1-Input'!$C$12-1),'1-Input'!$B$12,0))))*(1/(1-'P-Parametri'!$B$6*P354))),MAX(0,0*P341-(T353-MIN(MAX(T353,0),MAX(0,P341-IF($A354&gt;=('1-Input'!$C$12-1),'1-Input'!$B$12,0)))))*(1/(1-'P-Parametri'!$B$6*P354))))</f>
        <v>21624.673985179918</v>
      </c>
      <c r="R354" s="18">
        <f>IF($A354&gt;'1-Input'!$B$26,T353,(T353-MAX(0,P341-IF($A354&gt;=('1-Input'!$C$12-1),'1-Input'!$B$12,0))+Q354*(1-'P-Parametri'!$B$6*P354))*(1+'1-Input'!$B$27))</f>
        <v>0</v>
      </c>
      <c r="S354" s="18">
        <f>IF($A354&gt;'1-Input'!$B$26,U353,(U353-Q354)*(1+'5-Roberta'!$C$4))</f>
        <v>320886.87769110379</v>
      </c>
      <c r="T354" s="18">
        <f>IF($A354&gt;'1-Input'!$B$26,R354,R354-'P-Parametri'!$B$8*(S354+R354)+MIN(MAX(S354,0),'P-Parametri'!$B$8*(S354+R354)))</f>
        <v>0</v>
      </c>
      <c r="U354" s="18">
        <f>IF($A354&gt;'1-Input'!$B$26,S354,S354-MIN(MAX(S354,0),'P-Parametri'!$B$8*(S354+R354)))</f>
        <v>320245.10393572156</v>
      </c>
      <c r="V354" s="18">
        <f>IF($A354&gt;'1-Input'!$B$26,V353,V353-Q354*(1-P354))</f>
        <v>185334.2093071875</v>
      </c>
      <c r="W354" s="11">
        <f>IF($A354&gt;'1-Input'!$B$26,0,IF(AB353&lt;=0,0,MAX(0,(AB353-AC353)/AB353)))</f>
        <v>0.40510426303513702</v>
      </c>
      <c r="X354" s="18">
        <f>IF($A354&gt;'1-Input'!$B$26,0,(MAX(0,W341-IF($A354&gt;=('1-Input'!$C$12-1),'1-Input'!$B$12,0))-MIN(MAX(AA353,0),MAX(0,W341-IF($A354&gt;=('1-Input'!$C$12-1),'1-Input'!$B$12,0))))*(1/(1-'P-Parametri'!$B$6*W354))+MIN(MAX(0,AB353-(MAX(0,W341-IF($A354&gt;=('1-Input'!$C$12-1),'1-Input'!$B$12,0))-MIN(MAX(AA353,0),MAX(0,W341-IF($A354&gt;=('1-Input'!$C$12-1),'1-Input'!$B$12,0))))*(1/(1-'P-Parametri'!$B$6*W354))),MAX(0,0*W341-(AA353-MIN(MAX(AA353,0),MAX(0,W341-IF($A354&gt;=('1-Input'!$C$12-1),'1-Input'!$B$12,0)))))*(1/(1-'P-Parametri'!$B$6*W354))))</f>
        <v>21326.024804200792</v>
      </c>
      <c r="Y354" s="18">
        <f>IF($A354&gt;'1-Input'!$B$26,AA353,(AA353-MAX(0,W341-IF($A354&gt;=('1-Input'!$C$12-1),'1-Input'!$B$12,0))+X354*(1-'P-Parametri'!$B$6*W354))*(1+'1-Input'!$B$27))</f>
        <v>0</v>
      </c>
      <c r="Z354" s="18">
        <f>IF($A354&gt;'1-Input'!$B$26,AB353,(AB353-X354)*(1+'5-Roberta'!$C$4))</f>
        <v>324680.82615802204</v>
      </c>
      <c r="AA354" s="18">
        <f>IF($A354&gt;'1-Input'!$B$26,Y354,Y354-'P-Parametri'!$B$8*(Z354+Y354)+MIN(MAX(Z354,0),'P-Parametri'!$B$8*(Z354+Y354)))</f>
        <v>0</v>
      </c>
      <c r="AB354" s="18">
        <f>IF($A354&gt;'1-Input'!$B$26,Z354,Z354-MIN(MAX(Z354,0),'P-Parametri'!$B$8*(Z354+Y354)))</f>
        <v>324031.46450570598</v>
      </c>
      <c r="AC354" s="18">
        <f>IF($A354&gt;'1-Input'!$B$26,AC353,AC353-X354*(1-W354))</f>
        <v>187525.47510256027</v>
      </c>
      <c r="AD354" s="11">
        <f>IF($A354&gt;'1-Input'!$B$26,0,IF(AI353&lt;=0,0,MAX(0,(AI353-AJ353)/AI353)))</f>
        <v>0.40510426303513652</v>
      </c>
      <c r="AE354" s="18">
        <f>IF($A354&gt;'1-Input'!$B$26,0,(MAX(0,AD341-IF($A354&gt;=('1-Input'!$C$12-1),'1-Input'!$B$12,0))-MIN(MAX(AH353,0),MAX(0,AD341-IF($A354&gt;=('1-Input'!$C$12-1),'1-Input'!$B$12,0))))*(1/(1-'P-Parametri'!$B$6*AD354))+MIN(MAX(0,AI353-(MAX(0,AD341-IF($A354&gt;=('1-Input'!$C$12-1),'1-Input'!$B$12,0))-MIN(MAX(AH353,0),MAX(0,AD341-IF($A354&gt;=('1-Input'!$C$12-1),'1-Input'!$B$12,0))))*(1/(1-'P-Parametri'!$B$6*AD354))),MAX(0,0*AD341-(AH353-MIN(MAX(AH353,0),MAX(0,AD341-IF($A354&gt;=('1-Input'!$C$12-1),'1-Input'!$B$12,0)))))*(1/(1-'P-Parametri'!$B$6*AD354))))</f>
        <v>21335.855165078337</v>
      </c>
      <c r="AF354" s="18">
        <f>IF($A354&gt;'1-Input'!$B$26,AH353,(AH353-MAX(0,AD341-IF($A354&gt;=('1-Input'!$C$12-1),'1-Input'!$B$12,0))+AE354*(1-'P-Parametri'!$B$6*AD354))*(1+'1-Input'!$B$27))</f>
        <v>0</v>
      </c>
      <c r="AG354" s="18">
        <f>IF($A354&gt;'1-Input'!$B$26,AI353,(AI353-AE354)*(1+'5-Roberta'!$C$4))</f>
        <v>324555.94423985161</v>
      </c>
      <c r="AH354" s="18">
        <f>IF($A354&gt;'1-Input'!$B$26,AF354,AF354-'P-Parametri'!$B$8*(AG354+AF354)+MIN(MAX(AG354,0),'P-Parametri'!$B$8*(AG354+AF354)))</f>
        <v>0</v>
      </c>
      <c r="AI354" s="18">
        <f>IF($A354&gt;'1-Input'!$B$26,AG354,AG354-MIN(MAX(AG354,0),'P-Parametri'!$B$8*(AG354+AF354)))</f>
        <v>323906.83235137194</v>
      </c>
      <c r="AJ354" s="18">
        <f>IF($A354&gt;'1-Input'!$B$26,AJ353,AJ353-AE354*(1-AD354))</f>
        <v>187453.34721834335</v>
      </c>
      <c r="AK354" s="11">
        <f>IF($A354&gt;'1-Input'!$B$26,0,IF(AP353&lt;=0,0,MAX(0,(AP353-AQ353)/AP353)))</f>
        <v>0.40510426303513686</v>
      </c>
      <c r="AL354" s="18">
        <f>IF($A354&gt;'1-Input'!$B$26,0,(MAX(0,AK341-IF($A354&gt;=('1-Input'!$C$12-1),'1-Input'!$B$12,0))-MIN(MAX(AO353,0),MAX(0,AK341-IF($A354&gt;=('1-Input'!$C$12-1),'1-Input'!$B$12,0))))*(1/(1-'P-Parametri'!$B$6*AK354))+MIN(MAX(0,AP353-(MAX(0,AK341-IF($A354&gt;=('1-Input'!$C$12-1),'1-Input'!$B$12,0))-MIN(MAX(AO353,0),MAX(0,AK341-IF($A354&gt;=('1-Input'!$C$12-1),'1-Input'!$B$12,0))))*(1/(1-'P-Parametri'!$B$6*AK354))),MAX(0,0*AK341-(AO353-MIN(MAX(AO353,0),MAX(0,AK341-IF($A354&gt;=('1-Input'!$C$12-1),'1-Input'!$B$12,0)))))*(1/(1-'P-Parametri'!$B$6*AK354))))</f>
        <v>21334.34490775345</v>
      </c>
      <c r="AM354" s="18">
        <f>IF($A354&gt;'1-Input'!$B$26,AO353,(AO353-MAX(0,AK341-IF($A354&gt;=('1-Input'!$C$12-1),'1-Input'!$B$12,0))+AL354*(1-'P-Parametri'!$B$6*AK354))*(1+'1-Input'!$B$27))</f>
        <v>0</v>
      </c>
      <c r="AN354" s="18">
        <f>IF($A354&gt;'1-Input'!$B$26,AP353,(AP353-AL354)*(1+'5-Roberta'!$C$4))</f>
        <v>324575.13009009807</v>
      </c>
      <c r="AO354" s="18">
        <f>IF($A354&gt;'1-Input'!$B$26,AM354,AM354-'P-Parametri'!$B$8*(AN354+AM354)+MIN(MAX(AN354,0),'P-Parametri'!$B$8*(AN354+AM354)))</f>
        <v>0</v>
      </c>
      <c r="AP354" s="18">
        <f>IF($A354&gt;'1-Input'!$B$26,AN354,AN354-MIN(MAX(AN354,0),'P-Parametri'!$B$8*(AN354+AM354)))</f>
        <v>323925.97982991789</v>
      </c>
      <c r="AQ354" s="18">
        <f>IF($A354&gt;'1-Input'!$B$26,AQ353,AQ353-AL354*(1-AK354))</f>
        <v>187464.42836448082</v>
      </c>
    </row>
    <row r="355" spans="1:43">
      <c r="A355" s="10">
        <f>12</f>
        <v>12</v>
      </c>
      <c r="B355" s="11">
        <f>IF($A355&gt;'1-Input'!$B$26,0,IF(G354&lt;=0,0,MAX(0,(G354-H354)/G354)))</f>
        <v>0.42127387107723846</v>
      </c>
      <c r="C355" s="18">
        <f>IF($A355&gt;'1-Input'!$B$26,0,(MAX(0,B341-IF($A355&gt;=('1-Input'!$C$12-1),'1-Input'!$B$12,0))-MIN(MAX(F354,0),MAX(0,B341-IF($A355&gt;=('1-Input'!$C$12-1),'1-Input'!$B$12,0))))*(1/(1-'P-Parametri'!$B$6*B355))+MIN(MAX(0,G354-(MAX(0,B341-IF($A355&gt;=('1-Input'!$C$12-1),'1-Input'!$B$12,0))-MIN(MAX(F354,0),MAX(0,B341-IF($A355&gt;=('1-Input'!$C$12-1),'1-Input'!$B$12,0))))*(1/(1-'P-Parametri'!$B$6*B355))),MAX(0,0*B341-(F354-MIN(MAX(F354,0),MAX(0,B341-IF($A355&gt;=('1-Input'!$C$12-1),'1-Input'!$B$12,0)))))*(1/(1-'P-Parametri'!$B$6*B355))))</f>
        <v>18732.891524123559</v>
      </c>
      <c r="D355" s="18">
        <f>IF($A355&gt;'1-Input'!$B$26,F354,(F354-MAX(0,B341-IF($A355&gt;=('1-Input'!$C$12-1),'1-Input'!$B$12,0))+C355*(1-'P-Parametri'!$B$6*B355))*(1+'1-Input'!$B$27))</f>
        <v>0</v>
      </c>
      <c r="E355" s="18">
        <f>IF($A355&gt;'1-Input'!$B$26,G354,(G354-C355)*(1+'5-Roberta'!$C$4))</f>
        <v>349469.82361282047</v>
      </c>
      <c r="F355" s="18">
        <f>IF($A355&gt;'1-Input'!$B$26,D355,D355-'P-Parametri'!$B$8*(E355+D355)+MIN(MAX(E355,0),'P-Parametri'!$B$8*(E355+D355)))</f>
        <v>0</v>
      </c>
      <c r="G355" s="18">
        <f>IF($A355&gt;'1-Input'!$B$26,E355,E355-MIN(MAX(E355,0),'P-Parametri'!$B$8*(E355+D355)))</f>
        <v>348770.88396559481</v>
      </c>
      <c r="H355" s="18">
        <f>IF($A355&gt;'1-Input'!$B$26,H354,H354-C355*(1-B355))</f>
        <v>196356.61960657072</v>
      </c>
      <c r="I355" s="11">
        <f>IF($A355&gt;'1-Input'!$B$26,0,IF(N354&lt;=0,0,MAX(0,(N354-O354)/N354)))</f>
        <v>0.42127387107723896</v>
      </c>
      <c r="J355" s="18">
        <f>IF($A355&gt;'1-Input'!$B$26,0,(MAX(0,I341-IF($A355&gt;=('1-Input'!$C$12-1),'1-Input'!$B$12,0))-MIN(MAX(M354,0),MAX(0,I341-IF($A355&gt;=('1-Input'!$C$12-1),'1-Input'!$B$12,0))))*(1/(1-'P-Parametri'!$B$6*I355))+MIN(MAX(0,N354-(MAX(0,I341-IF($A355&gt;=('1-Input'!$C$12-1),'1-Input'!$B$12,0))-MIN(MAX(M354,0),MAX(0,I341-IF($A355&gt;=('1-Input'!$C$12-1),'1-Input'!$B$12,0))))*(1/(1-'P-Parametri'!$B$6*I355))),MAX(0,0*I341-(M354-MIN(MAX(M354,0),MAX(0,I341-IF($A355&gt;=('1-Input'!$C$12-1),'1-Input'!$B$12,0)))))*(1/(1-'P-Parametri'!$B$6*I355))))</f>
        <v>24648.54147910995</v>
      </c>
      <c r="K355" s="18">
        <f>IF($A355&gt;'1-Input'!$B$26,M354,(M354-MAX(0,I341-IF($A355&gt;=('1-Input'!$C$12-1),'1-Input'!$B$12,0))+J355*(1-'P-Parametri'!$B$6*I355))*(1+'1-Input'!$B$27))</f>
        <v>0</v>
      </c>
      <c r="L355" s="18">
        <f>IF($A355&gt;'1-Input'!$B$26,N354,(N354-J355)*(1+'5-Roberta'!$C$4))</f>
        <v>266489.37785618898</v>
      </c>
      <c r="M355" s="18">
        <f>IF($A355&gt;'1-Input'!$B$26,K355,K355-'P-Parametri'!$B$8*(L355+K355)+MIN(MAX(L355,0),'P-Parametri'!$B$8*(L355+K355)))</f>
        <v>0</v>
      </c>
      <c r="N355" s="18">
        <f>IF($A355&gt;'1-Input'!$B$26,L355,L355-MIN(MAX(L355,0),'P-Parametri'!$B$8*(L355+K355)))</f>
        <v>265956.39910047658</v>
      </c>
      <c r="O355" s="18">
        <f>IF($A355&gt;'1-Input'!$B$26,O354,O354-J355*(1-I355))</f>
        <v>149732.39421917204</v>
      </c>
      <c r="P355" s="11">
        <f>IF($A355&gt;'1-Input'!$B$26,0,IF(U354&lt;=0,0,MAX(0,(U354-V354)/U354)))</f>
        <v>0.42127387107723868</v>
      </c>
      <c r="Q355" s="18">
        <f>IF($A355&gt;'1-Input'!$B$26,0,(MAX(0,P341-IF($A355&gt;=('1-Input'!$C$12-1),'1-Input'!$B$12,0))-MIN(MAX(T354,0),MAX(0,P341-IF($A355&gt;=('1-Input'!$C$12-1),'1-Input'!$B$12,0))))*(1/(1-'P-Parametri'!$B$6*P355))+MIN(MAX(0,U354-(MAX(0,P341-IF($A355&gt;=('1-Input'!$C$12-1),'1-Input'!$B$12,0))-MIN(MAX(T354,0),MAX(0,P341-IF($A355&gt;=('1-Input'!$C$12-1),'1-Input'!$B$12,0))))*(1/(1-'P-Parametri'!$B$6*P355))),MAX(0,0*P341-(T354-MIN(MAX(T354,0),MAX(0,P341-IF($A355&gt;=('1-Input'!$C$12-1),'1-Input'!$B$12,0)))))*(1/(1-'P-Parametri'!$B$6*P355))))</f>
        <v>21726.768804538013</v>
      </c>
      <c r="R355" s="18">
        <f>IF($A355&gt;'1-Input'!$B$26,T354,(T354-MAX(0,P341-IF($A355&gt;=('1-Input'!$C$12-1),'1-Input'!$B$12,0))+Q355*(1-'P-Parametri'!$B$6*P355))*(1+'1-Input'!$B$27))</f>
        <v>0</v>
      </c>
      <c r="S355" s="18">
        <f>IF($A355&gt;'1-Input'!$B$26,U354,(U354-Q355)*(1+'5-Roberta'!$C$4))</f>
        <v>307473.88518511906</v>
      </c>
      <c r="T355" s="18">
        <f>IF($A355&gt;'1-Input'!$B$26,R355,R355-'P-Parametri'!$B$8*(S355+R355)+MIN(MAX(S355,0),'P-Parametri'!$B$8*(S355+R355)))</f>
        <v>0</v>
      </c>
      <c r="U355" s="18">
        <f>IF($A355&gt;'1-Input'!$B$26,S355,S355-MIN(MAX(S355,0),'P-Parametri'!$B$8*(S355+R355)))</f>
        <v>306858.93741474883</v>
      </c>
      <c r="V355" s="18">
        <f>IF($A355&gt;'1-Input'!$B$26,V354,V354-Q355*(1-P355))</f>
        <v>172760.3605029374</v>
      </c>
      <c r="W355" s="11">
        <f>IF($A355&gt;'1-Input'!$B$26,0,IF(AB354&lt;=0,0,MAX(0,(AB354-AC354)/AB354)))</f>
        <v>0.42127387107723896</v>
      </c>
      <c r="X355" s="18">
        <f>IF($A355&gt;'1-Input'!$B$26,0,(MAX(0,W341-IF($A355&gt;=('1-Input'!$C$12-1),'1-Input'!$B$12,0))-MIN(MAX(AA354,0),MAX(0,W341-IF($A355&gt;=('1-Input'!$C$12-1),'1-Input'!$B$12,0))))*(1/(1-'P-Parametri'!$B$6*W355))+MIN(MAX(0,AB354-(MAX(0,W341-IF($A355&gt;=('1-Input'!$C$12-1),'1-Input'!$B$12,0))-MIN(MAX(AA354,0),MAX(0,W341-IF($A355&gt;=('1-Input'!$C$12-1),'1-Input'!$B$12,0))))*(1/(1-'P-Parametri'!$B$6*W355))),MAX(0,0*W341-(AA354-MIN(MAX(AA354,0),MAX(0,W341-IF($A355&gt;=('1-Input'!$C$12-1),'1-Input'!$B$12,0)))))*(1/(1-'P-Parametri'!$B$6*W355))))</f>
        <v>21426.709635403487</v>
      </c>
      <c r="Y355" s="18">
        <f>IF($A355&gt;'1-Input'!$B$26,AA354,(AA354-MAX(0,W341-IF($A355&gt;=('1-Input'!$C$12-1),'1-Input'!$B$12,0))+X355*(1-'P-Parametri'!$B$6*W355))*(1+'1-Input'!$B$27))</f>
        <v>0</v>
      </c>
      <c r="Z355" s="18">
        <f>IF($A355&gt;'1-Input'!$B$26,AB354,(AB354-X355)*(1+'5-Roberta'!$C$4))</f>
        <v>311682.89751641161</v>
      </c>
      <c r="AA355" s="18">
        <f>IF($A355&gt;'1-Input'!$B$26,Y355,Y355-'P-Parametri'!$B$8*(Z355+Y355)+MIN(MAX(Z355,0),'P-Parametri'!$B$8*(Z355+Y355)))</f>
        <v>0</v>
      </c>
      <c r="AB355" s="18">
        <f>IF($A355&gt;'1-Input'!$B$26,Z355,Z355-MIN(MAX(Z355,0),'P-Parametri'!$B$8*(Z355+Y355)))</f>
        <v>311059.53172137879</v>
      </c>
      <c r="AC355" s="18">
        <f>IF($A355&gt;'1-Input'!$B$26,AC354,AC354-X355*(1-W355))</f>
        <v>175125.27837971121</v>
      </c>
      <c r="AD355" s="11">
        <f>IF($A355&gt;'1-Input'!$B$26,0,IF(AI354&lt;=0,0,MAX(0,(AI354-AJ354)/AI354)))</f>
        <v>0.42127387107723857</v>
      </c>
      <c r="AE355" s="18">
        <f>IF($A355&gt;'1-Input'!$B$26,0,(MAX(0,AD341-IF($A355&gt;=('1-Input'!$C$12-1),'1-Input'!$B$12,0))-MIN(MAX(AH354,0),MAX(0,AD341-IF($A355&gt;=('1-Input'!$C$12-1),'1-Input'!$B$12,0))))*(1/(1-'P-Parametri'!$B$6*AD355))+MIN(MAX(0,AI354-(MAX(0,AD341-IF($A355&gt;=('1-Input'!$C$12-1),'1-Input'!$B$12,0))-MIN(MAX(AH354,0),MAX(0,AD341-IF($A355&gt;=('1-Input'!$C$12-1),'1-Input'!$B$12,0))))*(1/(1-'P-Parametri'!$B$6*AD355))),MAX(0,0*AD341-(AH354-MIN(MAX(AH354,0),MAX(0,AD341-IF($A355&gt;=('1-Input'!$C$12-1),'1-Input'!$B$12,0)))))*(1/(1-'P-Parametri'!$B$6*AD355))))</f>
        <v>21436.58640756653</v>
      </c>
      <c r="AF355" s="18">
        <f>IF($A355&gt;'1-Input'!$B$26,AH354,(AH354-MAX(0,AD341-IF($A355&gt;=('1-Input'!$C$12-1),'1-Input'!$B$12,0))+AE355*(1-'P-Parametri'!$B$6*AD355))*(1+'1-Input'!$B$27))</f>
        <v>0</v>
      </c>
      <c r="AG355" s="18">
        <f>IF($A355&gt;'1-Input'!$B$26,AI354,(AI354-AE355)*(1+'5-Roberta'!$C$4))</f>
        <v>311544.35332211963</v>
      </c>
      <c r="AH355" s="18">
        <f>IF($A355&gt;'1-Input'!$B$26,AF355,AF355-'P-Parametri'!$B$8*(AG355+AF355)+MIN(MAX(AG355,0),'P-Parametri'!$B$8*(AG355+AF355)))</f>
        <v>0</v>
      </c>
      <c r="AI355" s="18">
        <f>IF($A355&gt;'1-Input'!$B$26,AG355,AG355-MIN(MAX(AG355,0),'P-Parametri'!$B$8*(AG355+AF355)))</f>
        <v>310921.26461547537</v>
      </c>
      <c r="AJ355" s="18">
        <f>IF($A355&gt;'1-Input'!$B$26,AJ354,AJ354-AE355*(1-AD355))</f>
        <v>175047.4345493741</v>
      </c>
      <c r="AK355" s="11">
        <f>IF($A355&gt;'1-Input'!$B$26,0,IF(AP354&lt;=0,0,MAX(0,(AP354-AQ354)/AP354)))</f>
        <v>0.42127387107723879</v>
      </c>
      <c r="AL355" s="18">
        <f>IF($A355&gt;'1-Input'!$B$26,0,(MAX(0,AK341-IF($A355&gt;=('1-Input'!$C$12-1),'1-Input'!$B$12,0))-MIN(MAX(AO354,0),MAX(0,AK341-IF($A355&gt;=('1-Input'!$C$12-1),'1-Input'!$B$12,0))))*(1/(1-'P-Parametri'!$B$6*AK355))+MIN(MAX(0,AP354-(MAX(0,AK341-IF($A355&gt;=('1-Input'!$C$12-1),'1-Input'!$B$12,0))-MIN(MAX(AO354,0),MAX(0,AK341-IF($A355&gt;=('1-Input'!$C$12-1),'1-Input'!$B$12,0))))*(1/(1-'P-Parametri'!$B$6*AK355))),MAX(0,0*AK341-(AO354-MIN(MAX(AO354,0),MAX(0,AK341-IF($A355&gt;=('1-Input'!$C$12-1),'1-Input'!$B$12,0)))))*(1/(1-'P-Parametri'!$B$6*AK355))))</f>
        <v>21435.069019986215</v>
      </c>
      <c r="AM355" s="18">
        <f>IF($A355&gt;'1-Input'!$B$26,AO354,(AO354-MAX(0,AK341-IF($A355&gt;=('1-Input'!$C$12-1),'1-Input'!$B$12,0))+AL355*(1-'P-Parametri'!$B$6*AK355))*(1+'1-Input'!$B$27))</f>
        <v>0</v>
      </c>
      <c r="AN355" s="18">
        <f>IF($A355&gt;'1-Input'!$B$26,AP354,(AP354-AL355)*(1+'5-Roberta'!$C$4))</f>
        <v>311565.63813422964</v>
      </c>
      <c r="AO355" s="18">
        <f>IF($A355&gt;'1-Input'!$B$26,AM355,AM355-'P-Parametri'!$B$8*(AN355+AM355)+MIN(MAX(AN355,0),'P-Parametri'!$B$8*(AN355+AM355)))</f>
        <v>0</v>
      </c>
      <c r="AP355" s="18">
        <f>IF($A355&gt;'1-Input'!$B$26,AN355,AN355-MIN(MAX(AN355,0),'P-Parametri'!$B$8*(AN355+AM355)))</f>
        <v>310942.50685796118</v>
      </c>
      <c r="AQ355" s="18">
        <f>IF($A355&gt;'1-Input'!$B$26,AQ354,AQ354-AL355*(1-AK355))</f>
        <v>175059.39384735198</v>
      </c>
    </row>
    <row r="356" spans="1:43">
      <c r="A356" s="10">
        <f>13</f>
        <v>13</v>
      </c>
      <c r="B356" s="11">
        <f>IF($A356&gt;'1-Input'!$B$26,0,IF(G355&lt;=0,0,MAX(0,(G355-H355)/G355)))</f>
        <v>0.43700397987940787</v>
      </c>
      <c r="C356" s="18">
        <f>IF($A356&gt;'1-Input'!$B$26,0,(MAX(0,B341-IF($A356&gt;=('1-Input'!$C$12-1),'1-Input'!$B$12,0))-MIN(MAX(F355,0),MAX(0,B341-IF($A356&gt;=('1-Input'!$C$12-1),'1-Input'!$B$12,0))))*(1/(1-'P-Parametri'!$B$6*B356))+MIN(MAX(0,G355-(MAX(0,B341-IF($A356&gt;=('1-Input'!$C$12-1),'1-Input'!$B$12,0))-MIN(MAX(F355,0),MAX(0,B341-IF($A356&gt;=('1-Input'!$C$12-1),'1-Input'!$B$12,0))))*(1/(1-'P-Parametri'!$B$6*B356))),MAX(0,0*B341-(F355-MIN(MAX(F355,0),MAX(0,B341-IF($A356&gt;=('1-Input'!$C$12-1),'1-Input'!$B$12,0)))))*(1/(1-'P-Parametri'!$B$6*B356))))</f>
        <v>18819.326686381686</v>
      </c>
      <c r="D356" s="18">
        <f>IF($A356&gt;'1-Input'!$B$26,F355,(F355-MAX(0,B341-IF($A356&gt;=('1-Input'!$C$12-1),'1-Input'!$B$12,0))+C356*(1-'P-Parametri'!$B$6*B356))*(1+'1-Input'!$B$27))</f>
        <v>0</v>
      </c>
      <c r="E356" s="18">
        <f>IF($A356&gt;'1-Input'!$B$26,G355,(G355-C356)*(1+'5-Roberta'!$C$4))</f>
        <v>339850.1039975895</v>
      </c>
      <c r="F356" s="18">
        <f>IF($A356&gt;'1-Input'!$B$26,D356,D356-'P-Parametri'!$B$8*(E356+D356)+MIN(MAX(E356,0),'P-Parametri'!$B$8*(E356+D356)))</f>
        <v>0</v>
      </c>
      <c r="G356" s="18">
        <f>IF($A356&gt;'1-Input'!$B$26,E356,E356-MIN(MAX(E356,0),'P-Parametri'!$B$8*(E356+D356)))</f>
        <v>339170.4037895943</v>
      </c>
      <c r="H356" s="18">
        <f>IF($A356&gt;'1-Input'!$B$26,H355,H355-C356*(1-B356))</f>
        <v>185761.41358078859</v>
      </c>
      <c r="I356" s="11">
        <f>IF($A356&gt;'1-Input'!$B$26,0,IF(N355&lt;=0,0,MAX(0,(N355-O355)/N355)))</f>
        <v>0.43700397987940826</v>
      </c>
      <c r="J356" s="18">
        <f>IF($A356&gt;'1-Input'!$B$26,0,(MAX(0,I341-IF($A356&gt;=('1-Input'!$C$12-1),'1-Input'!$B$12,0))-MIN(MAX(M355,0),MAX(0,I341-IF($A356&gt;=('1-Input'!$C$12-1),'1-Input'!$B$12,0))))*(1/(1-'P-Parametri'!$B$6*I356))+MIN(MAX(0,N355-(MAX(0,I341-IF($A356&gt;=('1-Input'!$C$12-1),'1-Input'!$B$12,0))-MIN(MAX(M355,0),MAX(0,I341-IF($A356&gt;=('1-Input'!$C$12-1),'1-Input'!$B$12,0))))*(1/(1-'P-Parametri'!$B$6*I356))),MAX(0,0*I341-(M355-MIN(MAX(M355,0),MAX(0,I341-IF($A356&gt;=('1-Input'!$C$12-1),'1-Input'!$B$12,0)))))*(1/(1-'P-Parametri'!$B$6*I356))))</f>
        <v>24762.271955765384</v>
      </c>
      <c r="K356" s="18">
        <f>IF($A356&gt;'1-Input'!$B$26,M355,(M355-MAX(0,I341-IF($A356&gt;=('1-Input'!$C$12-1),'1-Input'!$B$12,0))+J356*(1-'P-Parametri'!$B$6*I356))*(1+'1-Input'!$B$27))</f>
        <v>3.6248820833861826E-12</v>
      </c>
      <c r="L356" s="18">
        <f>IF($A356&gt;'1-Input'!$B$26,N355,(N355-J356)*(1+'5-Roberta'!$C$4))</f>
        <v>248429.95095905254</v>
      </c>
      <c r="M356" s="18">
        <f>IF($A356&gt;'1-Input'!$B$26,K356,K356-'P-Parametri'!$B$8*(L356+K356)+MIN(MAX(L356,0),'P-Parametri'!$B$8*(L356+K356)))</f>
        <v>3.637978807091713E-12</v>
      </c>
      <c r="N356" s="18">
        <f>IF($A356&gt;'1-Input'!$B$26,L356,L356-MIN(MAX(L356,0),'P-Parametri'!$B$8*(L356+K356)))</f>
        <v>247933.09105713444</v>
      </c>
      <c r="O356" s="18">
        <f>IF($A356&gt;'1-Input'!$B$26,O355,O355-J356*(1-I356))</f>
        <v>135791.33365893239</v>
      </c>
      <c r="P356" s="11">
        <f>IF($A356&gt;'1-Input'!$B$26,0,IF(U355&lt;=0,0,MAX(0,(U355-V355)/U355)))</f>
        <v>0.43700397987940803</v>
      </c>
      <c r="Q356" s="18">
        <f>IF($A356&gt;'1-Input'!$B$26,0,(MAX(0,P341-IF($A356&gt;=('1-Input'!$C$12-1),'1-Input'!$B$12,0))-MIN(MAX(T355,0),MAX(0,P341-IF($A356&gt;=('1-Input'!$C$12-1),'1-Input'!$B$12,0))))*(1/(1-'P-Parametri'!$B$6*P356))+MIN(MAX(0,U355-(MAX(0,P341-IF($A356&gt;=('1-Input'!$C$12-1),'1-Input'!$B$12,0))-MIN(MAX(T355,0),MAX(0,P341-IF($A356&gt;=('1-Input'!$C$12-1),'1-Input'!$B$12,0))))*(1/(1-'P-Parametri'!$B$6*P356))),MAX(0,0*P341-(T355-MIN(MAX(T355,0),MAX(0,P341-IF($A356&gt;=('1-Input'!$C$12-1),'1-Input'!$B$12,0)))))*(1/(1-'P-Parametri'!$B$6*P356))))</f>
        <v>21827.017972401216</v>
      </c>
      <c r="R356" s="18">
        <f>IF($A356&gt;'1-Input'!$B$26,T355,(T355-MAX(0,P341-IF($A356&gt;=('1-Input'!$C$12-1),'1-Input'!$B$12,0))+Q356*(1-'P-Parametri'!$B$6*P356))*(1+'1-Input'!$B$27))</f>
        <v>0</v>
      </c>
      <c r="S356" s="18">
        <f>IF($A356&gt;'1-Input'!$B$26,U355,(U355-Q356)*(1+'5-Roberta'!$C$4))</f>
        <v>293582.87702561804</v>
      </c>
      <c r="T356" s="18">
        <f>IF($A356&gt;'1-Input'!$B$26,R356,R356-'P-Parametri'!$B$8*(S356+R356)+MIN(MAX(S356,0),'P-Parametri'!$B$8*(S356+R356)))</f>
        <v>0</v>
      </c>
      <c r="U356" s="18">
        <f>IF($A356&gt;'1-Input'!$B$26,S356,S356-MIN(MAX(S356,0),'P-Parametri'!$B$8*(S356+R356)))</f>
        <v>292995.7112715668</v>
      </c>
      <c r="V356" s="18">
        <f>IF($A356&gt;'1-Input'!$B$26,V355,V355-Q356*(1-P356))</f>
        <v>160471.83625337487</v>
      </c>
      <c r="W356" s="11">
        <f>IF($A356&gt;'1-Input'!$B$26,0,IF(AB355&lt;=0,0,MAX(0,(AB355-AC355)/AB355)))</f>
        <v>0.43700397987940831</v>
      </c>
      <c r="X356" s="18">
        <f>IF($A356&gt;'1-Input'!$B$26,0,(MAX(0,W341-IF($A356&gt;=('1-Input'!$C$12-1),'1-Input'!$B$12,0))-MIN(MAX(AA355,0),MAX(0,W341-IF($A356&gt;=('1-Input'!$C$12-1),'1-Input'!$B$12,0))))*(1/(1-'P-Parametri'!$B$6*W356))+MIN(MAX(0,AB355-(MAX(0,W341-IF($A356&gt;=('1-Input'!$C$12-1),'1-Input'!$B$12,0))-MIN(MAX(AA355,0),MAX(0,W341-IF($A356&gt;=('1-Input'!$C$12-1),'1-Input'!$B$12,0))))*(1/(1-'P-Parametri'!$B$6*W356))),MAX(0,0*W341-(AA355-MIN(MAX(AA355,0),MAX(0,W341-IF($A356&gt;=('1-Input'!$C$12-1),'1-Input'!$B$12,0)))))*(1/(1-'P-Parametri'!$B$6*W356))))</f>
        <v>21525.5743046196</v>
      </c>
      <c r="Y356" s="18">
        <f>IF($A356&gt;'1-Input'!$B$26,AA355,(AA355-MAX(0,W341-IF($A356&gt;=('1-Input'!$C$12-1),'1-Input'!$B$12,0))+X356*(1-'P-Parametri'!$B$6*W356))*(1+'1-Input'!$B$27))</f>
        <v>0</v>
      </c>
      <c r="Z356" s="18">
        <f>IF($A356&gt;'1-Input'!$B$26,AB355,(AB355-X356)*(1+'5-Roberta'!$C$4))</f>
        <v>298219.97613926203</v>
      </c>
      <c r="AA356" s="18">
        <f>IF($A356&gt;'1-Input'!$B$26,Y356,Y356-'P-Parametri'!$B$8*(Z356+Y356)+MIN(MAX(Z356,0),'P-Parametri'!$B$8*(Z356+Y356)))</f>
        <v>0</v>
      </c>
      <c r="AB356" s="18">
        <f>IF($A356&gt;'1-Input'!$B$26,Z356,Z356-MIN(MAX(Z356,0),'P-Parametri'!$B$8*(Z356+Y356)))</f>
        <v>297623.53618698352</v>
      </c>
      <c r="AC356" s="18">
        <f>IF($A356&gt;'1-Input'!$B$26,AC355,AC355-X356*(1-W356))</f>
        <v>163006.46571540029</v>
      </c>
      <c r="AD356" s="11">
        <f>IF($A356&gt;'1-Input'!$B$26,0,IF(AI355&lt;=0,0,MAX(0,(AI355-AJ355)/AI355)))</f>
        <v>0.43700397987940798</v>
      </c>
      <c r="AE356" s="18">
        <f>IF($A356&gt;'1-Input'!$B$26,0,(MAX(0,AD341-IF($A356&gt;=('1-Input'!$C$12-1),'1-Input'!$B$12,0))-MIN(MAX(AH355,0),MAX(0,AD341-IF($A356&gt;=('1-Input'!$C$12-1),'1-Input'!$B$12,0))))*(1/(1-'P-Parametri'!$B$6*AD356))+MIN(MAX(0,AI355-(MAX(0,AD341-IF($A356&gt;=('1-Input'!$C$12-1),'1-Input'!$B$12,0))-MIN(MAX(AH355,0),MAX(0,AD341-IF($A356&gt;=('1-Input'!$C$12-1),'1-Input'!$B$12,0))))*(1/(1-'P-Parametri'!$B$6*AD356))),MAX(0,0*AD341-(AH355-MIN(MAX(AH355,0),MAX(0,AD341-IF($A356&gt;=('1-Input'!$C$12-1),'1-Input'!$B$12,0)))))*(1/(1-'P-Parametri'!$B$6*AD356))))</f>
        <v>21535.496649053395</v>
      </c>
      <c r="AF356" s="18">
        <f>IF($A356&gt;'1-Input'!$B$26,AH355,(AH355-MAX(0,AD341-IF($A356&gt;=('1-Input'!$C$12-1),'1-Input'!$B$12,0))+AE356*(1-'P-Parametri'!$B$6*AD356))*(1+'1-Input'!$B$27))</f>
        <v>0</v>
      </c>
      <c r="AG356" s="18">
        <f>IF($A356&gt;'1-Input'!$B$26,AI355,(AI355-AE356)*(1+'5-Roberta'!$C$4))</f>
        <v>298067.34100541461</v>
      </c>
      <c r="AH356" s="18">
        <f>IF($A356&gt;'1-Input'!$B$26,AF356,AF356-'P-Parametri'!$B$8*(AG356+AF356)+MIN(MAX(AG356,0),'P-Parametri'!$B$8*(AG356+AF356)))</f>
        <v>0</v>
      </c>
      <c r="AI356" s="18">
        <f>IF($A356&gt;'1-Input'!$B$26,AG356,AG356-MIN(MAX(AG356,0),'P-Parametri'!$B$8*(AG356+AF356)))</f>
        <v>297471.20632340381</v>
      </c>
      <c r="AJ356" s="18">
        <f>IF($A356&gt;'1-Input'!$B$26,AJ355,AJ355-AE356*(1-AD356))</f>
        <v>162923.03564463669</v>
      </c>
      <c r="AK356" s="11">
        <f>IF($A356&gt;'1-Input'!$B$26,0,IF(AP355&lt;=0,0,MAX(0,(AP355-AQ355)/AP355)))</f>
        <v>0.43700397987940814</v>
      </c>
      <c r="AL356" s="18">
        <f>IF($A356&gt;'1-Input'!$B$26,0,(MAX(0,AK341-IF($A356&gt;=('1-Input'!$C$12-1),'1-Input'!$B$12,0))-MIN(MAX(AO355,0),MAX(0,AK341-IF($A356&gt;=('1-Input'!$C$12-1),'1-Input'!$B$12,0))))*(1/(1-'P-Parametri'!$B$6*AK356))+MIN(MAX(0,AP355-(MAX(0,AK341-IF($A356&gt;=('1-Input'!$C$12-1),'1-Input'!$B$12,0))-MIN(MAX(AO355,0),MAX(0,AK341-IF($A356&gt;=('1-Input'!$C$12-1),'1-Input'!$B$12,0))))*(1/(1-'P-Parametri'!$B$6*AK356))),MAX(0,0*AK341-(AO355-MIN(MAX(AO355,0),MAX(0,AK341-IF($A356&gt;=('1-Input'!$C$12-1),'1-Input'!$B$12,0)))))*(1/(1-'P-Parametri'!$B$6*AK356))))</f>
        <v>21533.972260117127</v>
      </c>
      <c r="AM356" s="18">
        <f>IF($A356&gt;'1-Input'!$B$26,AO355,(AO355-MAX(0,AK341-IF($A356&gt;=('1-Input'!$C$12-1),'1-Input'!$B$12,0))+AL356*(1-'P-Parametri'!$B$6*AK356))*(1+'1-Input'!$B$27))</f>
        <v>3.6248820833861826E-12</v>
      </c>
      <c r="AN356" s="18">
        <f>IF($A356&gt;'1-Input'!$B$26,AP355,(AP355-AL356)*(1+'5-Roberta'!$C$4))</f>
        <v>298090.79063577938</v>
      </c>
      <c r="AO356" s="18">
        <f>IF($A356&gt;'1-Input'!$B$26,AM356,AM356-'P-Parametri'!$B$8*(AN356+AM356)+MIN(MAX(AN356,0),'P-Parametri'!$B$8*(AN356+AM356)))</f>
        <v>3.637978807091713E-12</v>
      </c>
      <c r="AP356" s="18">
        <f>IF($A356&gt;'1-Input'!$B$26,AN356,AN356-MIN(MAX(AN356,0),'P-Parametri'!$B$8*(AN356+AM356)))</f>
        <v>297494.6090545078</v>
      </c>
      <c r="AQ356" s="18">
        <f>IF($A356&gt;'1-Input'!$B$26,AQ355,AQ355-AL356*(1-AK356))</f>
        <v>162935.8531675188</v>
      </c>
    </row>
    <row r="357" spans="1:43">
      <c r="A357" s="10">
        <f>14</f>
        <v>14</v>
      </c>
      <c r="B357" s="11">
        <f>IF($A357&gt;'1-Input'!$B$26,0,IF(G356&lt;=0,0,MAX(0,(G356-H356)/G356)))</f>
        <v>0.45230653528358444</v>
      </c>
      <c r="C357" s="18">
        <f>IF($A357&gt;'1-Input'!$B$26,0,(MAX(0,B341-IF($A357&gt;=('1-Input'!$C$12-1),'1-Input'!$B$12,0))-MIN(MAX(F356,0),MAX(0,B341-IF($A357&gt;=('1-Input'!$C$12-1),'1-Input'!$B$12,0))))*(1/(1-'P-Parametri'!$B$6*B357))+MIN(MAX(0,G356-(MAX(0,B341-IF($A357&gt;=('1-Input'!$C$12-1),'1-Input'!$B$12,0))-MIN(MAX(F356,0),MAX(0,B341-IF($A357&gt;=('1-Input'!$C$12-1),'1-Input'!$B$12,0))))*(1/(1-'P-Parametri'!$B$6*B357))),MAX(0,0*B341-(F356-MIN(MAX(F356,0),MAX(0,B341-IF($A357&gt;=('1-Input'!$C$12-1),'1-Input'!$B$12,0)))))*(1/(1-'P-Parametri'!$B$6*B357))))</f>
        <v>18904.181355112731</v>
      </c>
      <c r="D357" s="18">
        <f>IF($A357&gt;'1-Input'!$B$26,F356,(F356-MAX(0,B341-IF($A357&gt;=('1-Input'!$C$12-1),'1-Input'!$B$12,0))+C357*(1-'P-Parametri'!$B$6*B357))*(1+'1-Input'!$B$27))</f>
        <v>0</v>
      </c>
      <c r="E357" s="18">
        <f>IF($A357&gt;'1-Input'!$B$26,G356,(G356-C357)*(1+'5-Roberta'!$C$4))</f>
        <v>329874.20910751598</v>
      </c>
      <c r="F357" s="18">
        <f>IF($A357&gt;'1-Input'!$B$26,D357,D357-'P-Parametri'!$B$8*(E357+D357)+MIN(MAX(E357,0),'P-Parametri'!$B$8*(E357+D357)))</f>
        <v>0</v>
      </c>
      <c r="G357" s="18">
        <f>IF($A357&gt;'1-Input'!$B$26,E357,E357-MIN(MAX(E357,0),'P-Parametri'!$B$8*(E357+D357)))</f>
        <v>329214.46068930096</v>
      </c>
      <c r="H357" s="18">
        <f>IF($A357&gt;'1-Input'!$B$26,H356,H356-C357*(1-B357))</f>
        <v>175407.71699677943</v>
      </c>
      <c r="I357" s="11">
        <f>IF($A357&gt;'1-Input'!$B$26,0,IF(N356&lt;=0,0,MAX(0,(N356-O356)/N356)))</f>
        <v>0.45230653528358494</v>
      </c>
      <c r="J357" s="18">
        <f>IF($A357&gt;'1-Input'!$B$26,0,(MAX(0,I341-IF($A357&gt;=('1-Input'!$C$12-1),'1-Input'!$B$12,0))-MIN(MAX(M356,0),MAX(0,I341-IF($A357&gt;=('1-Input'!$C$12-1),'1-Input'!$B$12,0))))*(1/(1-'P-Parametri'!$B$6*I357))+MIN(MAX(0,N356-(MAX(0,I341-IF($A357&gt;=('1-Input'!$C$12-1),'1-Input'!$B$12,0))-MIN(MAX(M356,0),MAX(0,I341-IF($A357&gt;=('1-Input'!$C$12-1),'1-Input'!$B$12,0))))*(1/(1-'P-Parametri'!$B$6*I357))),MAX(0,0*I341-(M356-MIN(MAX(M356,0),MAX(0,I341-IF($A357&gt;=('1-Input'!$C$12-1),'1-Input'!$B$12,0)))))*(1/(1-'P-Parametri'!$B$6*I357))))</f>
        <v>24873.92283567465</v>
      </c>
      <c r="K357" s="18">
        <f>IF($A357&gt;'1-Input'!$B$26,M356,(M356-MAX(0,I341-IF($A357&gt;=('1-Input'!$C$12-1),'1-Input'!$B$12,0))+J357*(1-'P-Parametri'!$B$6*I357))*(1+'1-Input'!$B$27))</f>
        <v>0</v>
      </c>
      <c r="L357" s="18">
        <f>IF($A357&gt;'1-Input'!$B$26,N356,(N356-J357)*(1+'5-Roberta'!$C$4))</f>
        <v>229750.94326810358</v>
      </c>
      <c r="M357" s="18">
        <f>IF($A357&gt;'1-Input'!$B$26,K357,K357-'P-Parametri'!$B$8*(L357+K357)+MIN(MAX(L357,0),'P-Parametri'!$B$8*(L357+K357)))</f>
        <v>0</v>
      </c>
      <c r="N357" s="18">
        <f>IF($A357&gt;'1-Input'!$B$26,L357,L357-MIN(MAX(L357,0),'P-Parametri'!$B$8*(L357+K357)))</f>
        <v>229291.44138156739</v>
      </c>
      <c r="O357" s="18">
        <f>IF($A357&gt;'1-Input'!$B$26,O356,O356-J357*(1-I357))</f>
        <v>122168.04867997298</v>
      </c>
      <c r="P357" s="11">
        <f>IF($A357&gt;'1-Input'!$B$26,0,IF(U356&lt;=0,0,MAX(0,(U356-V356)/U356)))</f>
        <v>0.45230653528358472</v>
      </c>
      <c r="Q357" s="18">
        <f>IF($A357&gt;'1-Input'!$B$26,0,(MAX(0,P341-IF($A357&gt;=('1-Input'!$C$12-1),'1-Input'!$B$12,0))-MIN(MAX(T356,0),MAX(0,P341-IF($A357&gt;=('1-Input'!$C$12-1),'1-Input'!$B$12,0))))*(1/(1-'P-Parametri'!$B$6*P357))+MIN(MAX(0,U356-(MAX(0,P341-IF($A357&gt;=('1-Input'!$C$12-1),'1-Input'!$B$12,0))-MIN(MAX(T356,0),MAX(0,P341-IF($A357&gt;=('1-Input'!$C$12-1),'1-Input'!$B$12,0))))*(1/(1-'P-Parametri'!$B$6*P357))),MAX(0,0*P341-(T356-MIN(MAX(T356,0),MAX(0,P341-IF($A357&gt;=('1-Input'!$C$12-1),'1-Input'!$B$12,0)))))*(1/(1-'P-Parametri'!$B$6*P357))))</f>
        <v>21925.434053396028</v>
      </c>
      <c r="R357" s="18">
        <f>IF($A357&gt;'1-Input'!$B$26,T356,(T356-MAX(0,P341-IF($A357&gt;=('1-Input'!$C$12-1),'1-Input'!$B$12,0))+Q357*(1-'P-Parametri'!$B$6*P357))*(1+'1-Input'!$B$27))</f>
        <v>0</v>
      </c>
      <c r="S357" s="18">
        <f>IF($A357&gt;'1-Input'!$B$26,U356,(U356-Q357)*(1+'5-Roberta'!$C$4))</f>
        <v>279202.3855347159</v>
      </c>
      <c r="T357" s="18">
        <f>IF($A357&gt;'1-Input'!$B$26,R357,R357-'P-Parametri'!$B$8*(S357+R357)+MIN(MAX(S357,0),'P-Parametri'!$B$8*(S357+R357)))</f>
        <v>0</v>
      </c>
      <c r="U357" s="18">
        <f>IF($A357&gt;'1-Input'!$B$26,S357,S357-MIN(MAX(S357,0),'P-Parametri'!$B$8*(S357+R357)))</f>
        <v>278643.98076364648</v>
      </c>
      <c r="V357" s="18">
        <f>IF($A357&gt;'1-Input'!$B$26,V356,V356-Q357*(1-P357))</f>
        <v>148463.41931125912</v>
      </c>
      <c r="W357" s="11">
        <f>IF($A357&gt;'1-Input'!$B$26,0,IF(AB356&lt;=0,0,MAX(0,(AB356-AC356)/AB356)))</f>
        <v>0.45230653528358511</v>
      </c>
      <c r="X357" s="18">
        <f>IF($A357&gt;'1-Input'!$B$26,0,(MAX(0,W341-IF($A357&gt;=('1-Input'!$C$12-1),'1-Input'!$B$12,0))-MIN(MAX(AA356,0),MAX(0,W341-IF($A357&gt;=('1-Input'!$C$12-1),'1-Input'!$B$12,0))))*(1/(1-'P-Parametri'!$B$6*W357))+MIN(MAX(0,AB356-(MAX(0,W341-IF($A357&gt;=('1-Input'!$C$12-1),'1-Input'!$B$12,0))-MIN(MAX(AA356,0),MAX(0,W341-IF($A357&gt;=('1-Input'!$C$12-1),'1-Input'!$B$12,0))))*(1/(1-'P-Parametri'!$B$6*W357))),MAX(0,0*W341-(AA356-MIN(MAX(AA356,0),MAX(0,W341-IF($A357&gt;=('1-Input'!$C$12-1),'1-Input'!$B$12,0)))))*(1/(1-'P-Parametri'!$B$6*W357))))</f>
        <v>21622.631202950921</v>
      </c>
      <c r="Y357" s="18">
        <f>IF($A357&gt;'1-Input'!$B$26,AA356,(AA356-MAX(0,W341-IF($A357&gt;=('1-Input'!$C$12-1),'1-Input'!$B$12,0))+X357*(1-'P-Parametri'!$B$6*W357))*(1+'1-Input'!$B$27))</f>
        <v>0</v>
      </c>
      <c r="Z357" s="18">
        <f>IF($A357&gt;'1-Input'!$B$26,AB356,(AB356-X357)*(1+'5-Roberta'!$C$4))</f>
        <v>284280.93213355361</v>
      </c>
      <c r="AA357" s="18">
        <f>IF($A357&gt;'1-Input'!$B$26,Y357,Y357-'P-Parametri'!$B$8*(Z357+Y357)+MIN(MAX(Z357,0),'P-Parametri'!$B$8*(Z357+Y357)))</f>
        <v>0</v>
      </c>
      <c r="AB357" s="18">
        <f>IF($A357&gt;'1-Input'!$B$26,Z357,Z357-MIN(MAX(Z357,0),'P-Parametri'!$B$8*(Z357+Y357)))</f>
        <v>283712.3702692865</v>
      </c>
      <c r="AC357" s="18">
        <f>IF($A357&gt;'1-Input'!$B$26,AC356,AC356-X357*(1-W357))</f>
        <v>151163.89191557083</v>
      </c>
      <c r="AD357" s="11">
        <f>IF($A357&gt;'1-Input'!$B$26,0,IF(AI356&lt;=0,0,MAX(0,(AI356-AJ356)/AI356)))</f>
        <v>0.45230653528358461</v>
      </c>
      <c r="AE357" s="18">
        <f>IF($A357&gt;'1-Input'!$B$26,0,(MAX(0,AD341-IF($A357&gt;=('1-Input'!$C$12-1),'1-Input'!$B$12,0))-MIN(MAX(AH356,0),MAX(0,AD341-IF($A357&gt;=('1-Input'!$C$12-1),'1-Input'!$B$12,0))))*(1/(1-'P-Parametri'!$B$6*AD357))+MIN(MAX(0,AI356-(MAX(0,AD341-IF($A357&gt;=('1-Input'!$C$12-1),'1-Input'!$B$12,0))-MIN(MAX(AH356,0),MAX(0,AD341-IF($A357&gt;=('1-Input'!$C$12-1),'1-Input'!$B$12,0))))*(1/(1-'P-Parametri'!$B$6*AD357))),MAX(0,0*AD341-(AH356-MIN(MAX(AH356,0),MAX(0,AD341-IF($A357&gt;=('1-Input'!$C$12-1),'1-Input'!$B$12,0)))))*(1/(1-'P-Parametri'!$B$6*AD357))))</f>
        <v>21632.598286352484</v>
      </c>
      <c r="AF357" s="18">
        <f>IF($A357&gt;'1-Input'!$B$26,AH356,(AH356-MAX(0,AD341-IF($A357&gt;=('1-Input'!$C$12-1),'1-Input'!$B$12,0))+AE357*(1-'P-Parametri'!$B$6*AD357))*(1+'1-Input'!$B$27))</f>
        <v>0</v>
      </c>
      <c r="AG357" s="18">
        <f>IF($A357&gt;'1-Input'!$B$26,AI356,(AI356-AE357)*(1+'5-Roberta'!$C$4))</f>
        <v>284113.76627816289</v>
      </c>
      <c r="AH357" s="18">
        <f>IF($A357&gt;'1-Input'!$B$26,AF357,AF357-'P-Parametri'!$B$8*(AG357+AF357)+MIN(MAX(AG357,0),'P-Parametri'!$B$8*(AG357+AF357)))</f>
        <v>0</v>
      </c>
      <c r="AI357" s="18">
        <f>IF($A357&gt;'1-Input'!$B$26,AG357,AG357-MIN(MAX(AG357,0),'P-Parametri'!$B$8*(AG357+AF357)))</f>
        <v>283545.53874560655</v>
      </c>
      <c r="AJ357" s="18">
        <f>IF($A357&gt;'1-Input'!$B$26,AJ356,AJ356-AE357*(1-AD357))</f>
        <v>151075.00293836591</v>
      </c>
      <c r="AK357" s="11">
        <f>IF($A357&gt;'1-Input'!$B$26,0,IF(AP356&lt;=0,0,MAX(0,(AP356-AQ356)/AP356)))</f>
        <v>0.45230653528358483</v>
      </c>
      <c r="AL357" s="18">
        <f>IF($A357&gt;'1-Input'!$B$26,0,(MAX(0,AK341-IF($A357&gt;=('1-Input'!$C$12-1),'1-Input'!$B$12,0))-MIN(MAX(AO356,0),MAX(0,AK341-IF($A357&gt;=('1-Input'!$C$12-1),'1-Input'!$B$12,0))))*(1/(1-'P-Parametri'!$B$6*AK357))+MIN(MAX(0,AP356-(MAX(0,AK341-IF($A357&gt;=('1-Input'!$C$12-1),'1-Input'!$B$12,0))-MIN(MAX(AO356,0),MAX(0,AK341-IF($A357&gt;=('1-Input'!$C$12-1),'1-Input'!$B$12,0))))*(1/(1-'P-Parametri'!$B$6*AK357))),MAX(0,0*AK341-(AO356-MIN(MAX(AO356,0),MAX(0,AK341-IF($A357&gt;=('1-Input'!$C$12-1),'1-Input'!$B$12,0)))))*(1/(1-'P-Parametri'!$B$6*AK357))))</f>
        <v>21631.067024082193</v>
      </c>
      <c r="AM357" s="18">
        <f>IF($A357&gt;'1-Input'!$B$26,AO356,(AO356-MAX(0,AK341-IF($A357&gt;=('1-Input'!$C$12-1),'1-Input'!$B$12,0))+AL357*(1-'P-Parametri'!$B$6*AK357))*(1+'1-Input'!$B$27))</f>
        <v>0</v>
      </c>
      <c r="AN357" s="18">
        <f>IF($A357&gt;'1-Input'!$B$26,AP356,(AP356-AL357)*(1+'5-Roberta'!$C$4))</f>
        <v>284139.4482913384</v>
      </c>
      <c r="AO357" s="18">
        <f>IF($A357&gt;'1-Input'!$B$26,AM357,AM357-'P-Parametri'!$B$8*(AN357+AM357)+MIN(MAX(AN357,0),'P-Parametri'!$B$8*(AN357+AM357)))</f>
        <v>0</v>
      </c>
      <c r="AP357" s="18">
        <f>IF($A357&gt;'1-Input'!$B$26,AN357,AN357-MIN(MAX(AN357,0),'P-Parametri'!$B$8*(AN357+AM357)))</f>
        <v>283571.16939475574</v>
      </c>
      <c r="AQ357" s="18">
        <f>IF($A357&gt;'1-Input'!$B$26,AQ356,AQ356-AL357*(1-AK357))</f>
        <v>151088.65912358623</v>
      </c>
    </row>
    <row r="358" spans="1:43">
      <c r="A358" s="10">
        <f>15</f>
        <v>15</v>
      </c>
      <c r="B358" s="11">
        <f>IF($A358&gt;'1-Input'!$B$26,0,IF(G357&lt;=0,0,MAX(0,(G357-H357)/G357)))</f>
        <v>0.46719315843685855</v>
      </c>
      <c r="C358" s="18">
        <f>IF($A358&gt;'1-Input'!$B$26,0,(MAX(0,B341-IF($A358&gt;=('1-Input'!$C$12-1),'1-Input'!$B$12,0))-MIN(MAX(F357,0),MAX(0,B341-IF($A358&gt;=('1-Input'!$C$12-1),'1-Input'!$B$12,0))))*(1/(1-'P-Parametri'!$B$6*B358))+MIN(MAX(0,G357-(MAX(0,B341-IF($A358&gt;=('1-Input'!$C$12-1),'1-Input'!$B$12,0))-MIN(MAX(F357,0),MAX(0,B341-IF($A358&gt;=('1-Input'!$C$12-1),'1-Input'!$B$12,0))))*(1/(1-'P-Parametri'!$B$6*B358))),MAX(0,0*B341-(F357-MIN(MAX(F357,0),MAX(0,B341-IF($A358&gt;=('1-Input'!$C$12-1),'1-Input'!$B$12,0)))))*(1/(1-'P-Parametri'!$B$6*B358))))</f>
        <v>18987.467149137421</v>
      </c>
      <c r="D358" s="18">
        <f>IF($A358&gt;'1-Input'!$B$26,F357,(F357-MAX(0,B341-IF($A358&gt;=('1-Input'!$C$12-1),'1-Input'!$B$12,0))+C358*(1-'P-Parametri'!$B$6*B358))*(1+'1-Input'!$B$27))</f>
        <v>0</v>
      </c>
      <c r="E358" s="18">
        <f>IF($A358&gt;'1-Input'!$B$26,G357,(G357-C358)*(1+'5-Roberta'!$C$4))</f>
        <v>319533.80334636848</v>
      </c>
      <c r="F358" s="18">
        <f>IF($A358&gt;'1-Input'!$B$26,D358,D358-'P-Parametri'!$B$8*(E358+D358)+MIN(MAX(E358,0),'P-Parametri'!$B$8*(E358+D358)))</f>
        <v>0</v>
      </c>
      <c r="G358" s="18">
        <f>IF($A358&gt;'1-Input'!$B$26,E358,E358-MIN(MAX(E358,0),'P-Parametri'!$B$8*(E358+D358)))</f>
        <v>318894.73573967576</v>
      </c>
      <c r="H358" s="18">
        <f>IF($A358&gt;'1-Input'!$B$26,H357,H357-C358*(1-B358))</f>
        <v>165291.06459576363</v>
      </c>
      <c r="I358" s="11">
        <f>IF($A358&gt;'1-Input'!$B$26,0,IF(N357&lt;=0,0,MAX(0,(N357-O357)/N357)))</f>
        <v>0.4671931584368591</v>
      </c>
      <c r="J358" s="18">
        <f>IF($A358&gt;'1-Input'!$B$26,0,(MAX(0,I341-IF($A358&gt;=('1-Input'!$C$12-1),'1-Input'!$B$12,0))-MIN(MAX(M357,0),MAX(0,I341-IF($A358&gt;=('1-Input'!$C$12-1),'1-Input'!$B$12,0))))*(1/(1-'P-Parametri'!$B$6*I358))+MIN(MAX(0,N357-(MAX(0,I341-IF($A358&gt;=('1-Input'!$C$12-1),'1-Input'!$B$12,0))-MIN(MAX(M357,0),MAX(0,I341-IF($A358&gt;=('1-Input'!$C$12-1),'1-Input'!$B$12,0))))*(1/(1-'P-Parametri'!$B$6*I358))),MAX(0,0*I341-(M357-MIN(MAX(M357,0),MAX(0,I341-IF($A358&gt;=('1-Input'!$C$12-1),'1-Input'!$B$12,0)))))*(1/(1-'P-Parametri'!$B$6*I358))))</f>
        <v>24983.509406759771</v>
      </c>
      <c r="K358" s="18">
        <f>IF($A358&gt;'1-Input'!$B$26,M357,(M357-MAX(0,I341-IF($A358&gt;=('1-Input'!$C$12-1),'1-Input'!$B$12,0))+J358*(1-'P-Parametri'!$B$6*I358))*(1+'1-Input'!$B$27))</f>
        <v>0</v>
      </c>
      <c r="L358" s="18">
        <f>IF($A358&gt;'1-Input'!$B$26,N357,(N357-J358)*(1+'5-Roberta'!$C$4))</f>
        <v>210437.16993405184</v>
      </c>
      <c r="M358" s="18">
        <f>IF($A358&gt;'1-Input'!$B$26,K358,K358-'P-Parametri'!$B$8*(L358+K358)+MIN(MAX(L358,0),'P-Parametri'!$B$8*(L358+K358)))</f>
        <v>0</v>
      </c>
      <c r="N358" s="18">
        <f>IF($A358&gt;'1-Input'!$B$26,L358,L358-MIN(MAX(L358,0),'P-Parametri'!$B$8*(L358+K358)))</f>
        <v>210016.29559418373</v>
      </c>
      <c r="O358" s="18">
        <f>IF($A358&gt;'1-Input'!$B$26,O357,O357-J358*(1-I358))</f>
        <v>108856.66394179429</v>
      </c>
      <c r="P358" s="11">
        <f>IF($A358&gt;'1-Input'!$B$26,0,IF(U357&lt;=0,0,MAX(0,(U357-V357)/U357)))</f>
        <v>0.46719315843685894</v>
      </c>
      <c r="Q358" s="18">
        <f>IF($A358&gt;'1-Input'!$B$26,0,(MAX(0,P341-IF($A358&gt;=('1-Input'!$C$12-1),'1-Input'!$B$12,0))-MIN(MAX(T357,0),MAX(0,P341-IF($A358&gt;=('1-Input'!$C$12-1),'1-Input'!$B$12,0))))*(1/(1-'P-Parametri'!$B$6*P358))+MIN(MAX(0,U357-(MAX(0,P341-IF($A358&gt;=('1-Input'!$C$12-1),'1-Input'!$B$12,0))-MIN(MAX(T357,0),MAX(0,P341-IF($A358&gt;=('1-Input'!$C$12-1),'1-Input'!$B$12,0))))*(1/(1-'P-Parametri'!$B$6*P358))),MAX(0,0*P341-(T357-MIN(MAX(T357,0),MAX(0,P341-IF($A358&gt;=('1-Input'!$C$12-1),'1-Input'!$B$12,0)))))*(1/(1-'P-Parametri'!$B$6*P358))))</f>
        <v>22022.030523254751</v>
      </c>
      <c r="R358" s="18">
        <f>IF($A358&gt;'1-Input'!$B$26,T357,(T357-MAX(0,P341-IF($A358&gt;=('1-Input'!$C$12-1),'1-Input'!$B$12,0))+Q358*(1-'P-Parametri'!$B$6*P358))*(1+'1-Input'!$B$27))</f>
        <v>0</v>
      </c>
      <c r="S358" s="18">
        <f>IF($A358&gt;'1-Input'!$B$26,U357,(U357-Q358)*(1+'5-Roberta'!$C$4))</f>
        <v>264320.60874760349</v>
      </c>
      <c r="T358" s="18">
        <f>IF($A358&gt;'1-Input'!$B$26,R358,R358-'P-Parametri'!$B$8*(S358+R358)+MIN(MAX(S358,0),'P-Parametri'!$B$8*(S358+R358)))</f>
        <v>0</v>
      </c>
      <c r="U358" s="18">
        <f>IF($A358&gt;'1-Input'!$B$26,S358,S358-MIN(MAX(S358,0),'P-Parametri'!$B$8*(S358+R358)))</f>
        <v>263791.96753010829</v>
      </c>
      <c r="V358" s="18">
        <f>IF($A358&gt;'1-Input'!$B$26,V357,V357-Q358*(1-P358))</f>
        <v>136729.93078335666</v>
      </c>
      <c r="W358" s="11">
        <f>IF($A358&gt;'1-Input'!$B$26,0,IF(AB357&lt;=0,0,MAX(0,(AB357-AC357)/AB357)))</f>
        <v>0.46719315843685938</v>
      </c>
      <c r="X358" s="18">
        <f>IF($A358&gt;'1-Input'!$B$26,0,(MAX(0,W341-IF($A358&gt;=('1-Input'!$C$12-1),'1-Input'!$B$12,0))-MIN(MAX(AA357,0),MAX(0,W341-IF($A358&gt;=('1-Input'!$C$12-1),'1-Input'!$B$12,0))))*(1/(1-'P-Parametri'!$B$6*W358))+MIN(MAX(0,AB357-(MAX(0,W341-IF($A358&gt;=('1-Input'!$C$12-1),'1-Input'!$B$12,0))-MIN(MAX(AA357,0),MAX(0,W341-IF($A358&gt;=('1-Input'!$C$12-1),'1-Input'!$B$12,0))))*(1/(1-'P-Parametri'!$B$6*W358))),MAX(0,0*W341-(AA357-MIN(MAX(AA357,0),MAX(0,W341-IF($A358&gt;=('1-Input'!$C$12-1),'1-Input'!$B$12,0)))))*(1/(1-'P-Parametri'!$B$6*W358))))</f>
        <v>21717.893620022143</v>
      </c>
      <c r="Y358" s="18">
        <f>IF($A358&gt;'1-Input'!$B$26,AA357,(AA357-MAX(0,W341-IF($A358&gt;=('1-Input'!$C$12-1),'1-Input'!$B$12,0))+X358*(1-'P-Parametri'!$B$6*W358))*(1+'1-Input'!$B$27))</f>
        <v>0</v>
      </c>
      <c r="Z358" s="18">
        <f>IF($A358&gt;'1-Input'!$B$26,AB357,(AB357-X358)*(1+'5-Roberta'!$C$4))</f>
        <v>269854.31094874232</v>
      </c>
      <c r="AA358" s="18">
        <f>IF($A358&gt;'1-Input'!$B$26,Y358,Y358-'P-Parametri'!$B$8*(Z358+Y358)+MIN(MAX(Z358,0),'P-Parametri'!$B$8*(Z358+Y358)))</f>
        <v>0</v>
      </c>
      <c r="AB358" s="18">
        <f>IF($A358&gt;'1-Input'!$B$26,Z358,Z358-MIN(MAX(Z358,0),'P-Parametri'!$B$8*(Z358+Y358)))</f>
        <v>269314.60232684482</v>
      </c>
      <c r="AC358" s="18">
        <f>IF($A358&gt;'1-Input'!$B$26,AC357,AC357-X358*(1-W358))</f>
        <v>139592.44961048255</v>
      </c>
      <c r="AD358" s="11">
        <f>IF($A358&gt;'1-Input'!$B$26,0,IF(AI357&lt;=0,0,MAX(0,(AI357-AJ357)/AI357)))</f>
        <v>0.46719315843685877</v>
      </c>
      <c r="AE358" s="18">
        <f>IF($A358&gt;'1-Input'!$B$26,0,(MAX(0,AD341-IF($A358&gt;=('1-Input'!$C$12-1),'1-Input'!$B$12,0))-MIN(MAX(AH357,0),MAX(0,AD341-IF($A358&gt;=('1-Input'!$C$12-1),'1-Input'!$B$12,0))))*(1/(1-'P-Parametri'!$B$6*AD358))+MIN(MAX(0,AI357-(MAX(0,AD341-IF($A358&gt;=('1-Input'!$C$12-1),'1-Input'!$B$12,0))-MIN(MAX(AH357,0),MAX(0,AD341-IF($A358&gt;=('1-Input'!$C$12-1),'1-Input'!$B$12,0))))*(1/(1-'P-Parametri'!$B$6*AD358))),MAX(0,0*AD341-(AH357-MIN(MAX(AH357,0),MAX(0,AD341-IF($A358&gt;=('1-Input'!$C$12-1),'1-Input'!$B$12,0)))))*(1/(1-'P-Parametri'!$B$6*AD358))))</f>
        <v>21727.904615214415</v>
      </c>
      <c r="AF358" s="18">
        <f>IF($A358&gt;'1-Input'!$B$26,AH357,(AH357-MAX(0,AD341-IF($A358&gt;=('1-Input'!$C$12-1),'1-Input'!$B$12,0))+AE358*(1-'P-Parametri'!$B$6*AD358))*(1+'1-Input'!$B$27))</f>
        <v>0</v>
      </c>
      <c r="AG358" s="18">
        <f>IF($A358&gt;'1-Input'!$B$26,AI357,(AI357-AE358)*(1+'5-Roberta'!$C$4))</f>
        <v>269672.16315430391</v>
      </c>
      <c r="AH358" s="18">
        <f>IF($A358&gt;'1-Input'!$B$26,AF358,AF358-'P-Parametri'!$B$8*(AG358+AF358)+MIN(MAX(AG358,0),'P-Parametri'!$B$8*(AG358+AF358)))</f>
        <v>0</v>
      </c>
      <c r="AI358" s="18">
        <f>IF($A358&gt;'1-Input'!$B$26,AG358,AG358-MIN(MAX(AG358,0),'P-Parametri'!$B$8*(AG358+AF358)))</f>
        <v>269132.81882799533</v>
      </c>
      <c r="AJ358" s="18">
        <f>IF($A358&gt;'1-Input'!$B$26,AJ357,AJ357-AE358*(1-AD358))</f>
        <v>139498.22670654833</v>
      </c>
      <c r="AK358" s="11">
        <f>IF($A358&gt;'1-Input'!$B$26,0,IF(AP357&lt;=0,0,MAX(0,(AP357-AQ357)/AP357)))</f>
        <v>0.46719315843685905</v>
      </c>
      <c r="AL358" s="18">
        <f>IF($A358&gt;'1-Input'!$B$26,0,(MAX(0,AK341-IF($A358&gt;=('1-Input'!$C$12-1),'1-Input'!$B$12,0))-MIN(MAX(AO357,0),MAX(0,AK341-IF($A358&gt;=('1-Input'!$C$12-1),'1-Input'!$B$12,0))))*(1/(1-'P-Parametri'!$B$6*AK358))+MIN(MAX(0,AP357-(MAX(0,AK341-IF($A358&gt;=('1-Input'!$C$12-1),'1-Input'!$B$12,0))-MIN(MAX(AO357,0),MAX(0,AK341-IF($A358&gt;=('1-Input'!$C$12-1),'1-Input'!$B$12,0))))*(1/(1-'P-Parametri'!$B$6*AK358))),MAX(0,0*AK341-(AO357-MIN(MAX(AO357,0),MAX(0,AK341-IF($A358&gt;=('1-Input'!$C$12-1),'1-Input'!$B$12,0)))))*(1/(1-'P-Parametri'!$B$6*AK358))))</f>
        <v>21726.366606690925</v>
      </c>
      <c r="AM358" s="18">
        <f>IF($A358&gt;'1-Input'!$B$26,AO357,(AO357-MAX(0,AK341-IF($A358&gt;=('1-Input'!$C$12-1),'1-Input'!$B$12,0))+AL358*(1-'P-Parametri'!$B$6*AK358))*(1+'1-Input'!$B$27))</f>
        <v>0</v>
      </c>
      <c r="AN358" s="18">
        <f>IF($A358&gt;'1-Input'!$B$26,AP357,(AP357-AL358)*(1+'5-Roberta'!$C$4))</f>
        <v>269700.14687170676</v>
      </c>
      <c r="AO358" s="18">
        <f>IF($A358&gt;'1-Input'!$B$26,AM358,AM358-'P-Parametri'!$B$8*(AN358+AM358)+MIN(MAX(AN358,0),'P-Parametri'!$B$8*(AN358+AM358)))</f>
        <v>0</v>
      </c>
      <c r="AP358" s="18">
        <f>IF($A358&gt;'1-Input'!$B$26,AN358,AN358-MIN(MAX(AN358,0),'P-Parametri'!$B$8*(AN358+AM358)))</f>
        <v>269160.74657796335</v>
      </c>
      <c r="AQ358" s="18">
        <f>IF($A358&gt;'1-Input'!$B$26,AQ357,AQ357-AL358*(1-AK358))</f>
        <v>139512.70235323234</v>
      </c>
    </row>
    <row r="359" spans="1:43">
      <c r="A359" s="10">
        <f>16</f>
        <v>16</v>
      </c>
      <c r="B359" s="11">
        <f>IF($A359&gt;'1-Input'!$B$26,0,IF(G358&lt;=0,0,MAX(0,(G358-H358)/G358)))</f>
        <v>0.48167515461686344</v>
      </c>
      <c r="C359" s="18">
        <f>IF($A359&gt;'1-Input'!$B$26,0,(MAX(0,B341-IF($A359&gt;=('1-Input'!$C$12-1),'1-Input'!$B$12,0))-MIN(MAX(F358,0),MAX(0,B341-IF($A359&gt;=('1-Input'!$C$12-1),'1-Input'!$B$12,0))))*(1/(1-'P-Parametri'!$B$6*B359))+MIN(MAX(0,G358-(MAX(0,B341-IF($A359&gt;=('1-Input'!$C$12-1),'1-Input'!$B$12,0))-MIN(MAX(F358,0),MAX(0,B341-IF($A359&gt;=('1-Input'!$C$12-1),'1-Input'!$B$12,0))))*(1/(1-'P-Parametri'!$B$6*B359))),MAX(0,0*B341-(F358-MIN(MAX(F358,0),MAX(0,B341-IF($A359&gt;=('1-Input'!$C$12-1),'1-Input'!$B$12,0)))))*(1/(1-'P-Parametri'!$B$6*B359))))</f>
        <v>19069.196430827764</v>
      </c>
      <c r="D359" s="18">
        <f>IF($A359&gt;'1-Input'!$B$26,F358,(F358-MAX(0,B341-IF($A359&gt;=('1-Input'!$C$12-1),'1-Input'!$B$12,0))+C359*(1-'P-Parametri'!$B$6*B359))*(1+'1-Input'!$B$27))</f>
        <v>3.6248820833861826E-12</v>
      </c>
      <c r="E359" s="18">
        <f>IF($A359&gt;'1-Input'!$B$26,G358,(G358-C359)*(1+'5-Roberta'!$C$4))</f>
        <v>308820.30548811343</v>
      </c>
      <c r="F359" s="18">
        <f>IF($A359&gt;'1-Input'!$B$26,D359,D359-'P-Parametri'!$B$8*(E359+D359)+MIN(MAX(E359,0),'P-Parametri'!$B$8*(E359+D359)))</f>
        <v>3.637978807091713E-12</v>
      </c>
      <c r="G359" s="18">
        <f>IF($A359&gt;'1-Input'!$B$26,E359,E359-MIN(MAX(E359,0),'P-Parametri'!$B$8*(E359+D359)))</f>
        <v>308202.66487713723</v>
      </c>
      <c r="H359" s="18">
        <f>IF($A359&gt;'1-Input'!$B$26,H358,H358-C359*(1-B359))</f>
        <v>155407.02630417416</v>
      </c>
      <c r="I359" s="11">
        <f>IF($A359&gt;'1-Input'!$B$26,0,IF(N358&lt;=0,0,MAX(0,(N358-O358)/N358)))</f>
        <v>0.48167515461686389</v>
      </c>
      <c r="J359" s="18">
        <f>IF($A359&gt;'1-Input'!$B$26,0,(MAX(0,I341-IF($A359&gt;=('1-Input'!$C$12-1),'1-Input'!$B$12,0))-MIN(MAX(M358,0),MAX(0,I341-IF($A359&gt;=('1-Input'!$C$12-1),'1-Input'!$B$12,0))))*(1/(1-'P-Parametri'!$B$6*I359))+MIN(MAX(0,N358-(MAX(0,I341-IF($A359&gt;=('1-Input'!$C$12-1),'1-Input'!$B$12,0))-MIN(MAX(M358,0),MAX(0,I341-IF($A359&gt;=('1-Input'!$C$12-1),'1-Input'!$B$12,0))))*(1/(1-'P-Parametri'!$B$6*I359))),MAX(0,0*I341-(M358-MIN(MAX(M358,0),MAX(0,I341-IF($A359&gt;=('1-Input'!$C$12-1),'1-Input'!$B$12,0)))))*(1/(1-'P-Parametri'!$B$6*I359))))</f>
        <v>25091.047935299692</v>
      </c>
      <c r="K359" s="18">
        <f>IF($A359&gt;'1-Input'!$B$26,M358,(M358-MAX(0,I341-IF($A359&gt;=('1-Input'!$C$12-1),'1-Input'!$B$12,0))+J359*(1-'P-Parametri'!$B$6*I359))*(1+'1-Input'!$B$27))</f>
        <v>0</v>
      </c>
      <c r="L359" s="18">
        <f>IF($A359&gt;'1-Input'!$B$26,N358,(N358-J359)*(1+'5-Roberta'!$C$4))</f>
        <v>190473.00508865056</v>
      </c>
      <c r="M359" s="18">
        <f>IF($A359&gt;'1-Input'!$B$26,K359,K359-'P-Parametri'!$B$8*(L359+K359)+MIN(MAX(L359,0),'P-Parametri'!$B$8*(L359+K359)))</f>
        <v>0</v>
      </c>
      <c r="N359" s="18">
        <f>IF($A359&gt;'1-Input'!$B$26,L359,L359-MIN(MAX(L359,0),'P-Parametri'!$B$8*(L359+K359)))</f>
        <v>190092.05907847325</v>
      </c>
      <c r="O359" s="18">
        <f>IF($A359&gt;'1-Input'!$B$26,O358,O358-J359*(1-I359))</f>
        <v>95851.350400229217</v>
      </c>
      <c r="P359" s="11">
        <f>IF($A359&gt;'1-Input'!$B$26,0,IF(U358&lt;=0,0,MAX(0,(U358-V358)/U358)))</f>
        <v>0.48167515461686383</v>
      </c>
      <c r="Q359" s="18">
        <f>IF($A359&gt;'1-Input'!$B$26,0,(MAX(0,P341-IF($A359&gt;=('1-Input'!$C$12-1),'1-Input'!$B$12,0))-MIN(MAX(T358,0),MAX(0,P341-IF($A359&gt;=('1-Input'!$C$12-1),'1-Input'!$B$12,0))))*(1/(1-'P-Parametri'!$B$6*P359))+MIN(MAX(0,U358-(MAX(0,P341-IF($A359&gt;=('1-Input'!$C$12-1),'1-Input'!$B$12,0))-MIN(MAX(T358,0),MAX(0,P341-IF($A359&gt;=('1-Input'!$C$12-1),'1-Input'!$B$12,0))))*(1/(1-'P-Parametri'!$B$6*P359))),MAX(0,0*P341-(T358-MIN(MAX(T358,0),MAX(0,P341-IF($A359&gt;=('1-Input'!$C$12-1),'1-Input'!$B$12,0)))))*(1/(1-'P-Parametri'!$B$6*P359))))</f>
        <v>22116.821720094827</v>
      </c>
      <c r="R359" s="18">
        <f>IF($A359&gt;'1-Input'!$B$26,T358,(T358-MAX(0,P341-IF($A359&gt;=('1-Input'!$C$12-1),'1-Input'!$B$12,0))+Q359*(1-'P-Parametri'!$B$6*P359))*(1+'1-Input'!$B$27))</f>
        <v>-3.6248820833861826E-12</v>
      </c>
      <c r="S359" s="18">
        <f>IF($A359&gt;'1-Input'!$B$26,U358,(U358-Q359)*(1+'5-Roberta'!$C$4))</f>
        <v>248925.40018431388</v>
      </c>
      <c r="T359" s="18">
        <f>IF($A359&gt;'1-Input'!$B$26,R359,R359-'P-Parametri'!$B$8*(S359+R359)+MIN(MAX(S359,0),'P-Parametri'!$B$8*(S359+R359)))</f>
        <v>-3.637978807091713E-12</v>
      </c>
      <c r="U359" s="18">
        <f>IF($A359&gt;'1-Input'!$B$26,S359,S359-MIN(MAX(S359,0),'P-Parametri'!$B$8*(S359+R359)))</f>
        <v>248427.54938394527</v>
      </c>
      <c r="V359" s="18">
        <f>IF($A359&gt;'1-Input'!$B$26,V358,V358-Q359*(1-P359))</f>
        <v>125266.23258492212</v>
      </c>
      <c r="W359" s="11">
        <f>IF($A359&gt;'1-Input'!$B$26,0,IF(AB358&lt;=0,0,MAX(0,(AB358-AC358)/AB358)))</f>
        <v>0.48167515461686417</v>
      </c>
      <c r="X359" s="18">
        <f>IF($A359&gt;'1-Input'!$B$26,0,(MAX(0,W341-IF($A359&gt;=('1-Input'!$C$12-1),'1-Input'!$B$12,0))-MIN(MAX(AA358,0),MAX(0,W341-IF($A359&gt;=('1-Input'!$C$12-1),'1-Input'!$B$12,0))))*(1/(1-'P-Parametri'!$B$6*W359))+MIN(MAX(0,AB358-(MAX(0,W341-IF($A359&gt;=('1-Input'!$C$12-1),'1-Input'!$B$12,0))-MIN(MAX(AA358,0),MAX(0,W341-IF($A359&gt;=('1-Input'!$C$12-1),'1-Input'!$B$12,0))))*(1/(1-'P-Parametri'!$B$6*W359))),MAX(0,0*W341-(AA358-MIN(MAX(AA358,0),MAX(0,W341-IF($A359&gt;=('1-Input'!$C$12-1),'1-Input'!$B$12,0)))))*(1/(1-'P-Parametri'!$B$6*W359))))</f>
        <v>21811.375695933057</v>
      </c>
      <c r="Y359" s="18">
        <f>IF($A359&gt;'1-Input'!$B$26,AA358,(AA358-MAX(0,W341-IF($A359&gt;=('1-Input'!$C$12-1),'1-Input'!$B$12,0))+X359*(1-'P-Parametri'!$B$6*W359))*(1+'1-Input'!$B$27))</f>
        <v>0</v>
      </c>
      <c r="Z359" s="18">
        <f>IF($A359&gt;'1-Input'!$B$26,AB358,(AB358-X359)*(1+'5-Roberta'!$C$4))</f>
        <v>254928.3234298391</v>
      </c>
      <c r="AA359" s="18">
        <f>IF($A359&gt;'1-Input'!$B$26,Y359,Y359-'P-Parametri'!$B$8*(Z359+Y359)+MIN(MAX(Z359,0),'P-Parametri'!$B$8*(Z359+Y359)))</f>
        <v>0</v>
      </c>
      <c r="AB359" s="18">
        <f>IF($A359&gt;'1-Input'!$B$26,Z359,Z359-MIN(MAX(Z359,0),'P-Parametri'!$B$8*(Z359+Y359)))</f>
        <v>254418.46678297943</v>
      </c>
      <c r="AC359" s="18">
        <f>IF($A359&gt;'1-Input'!$B$26,AC358,AC358-X359*(1-W359))</f>
        <v>128287.07167529456</v>
      </c>
      <c r="AD359" s="11">
        <f>IF($A359&gt;'1-Input'!$B$26,0,IF(AI358&lt;=0,0,MAX(0,(AI358-AJ358)/AI358)))</f>
        <v>0.48167515461686361</v>
      </c>
      <c r="AE359" s="18">
        <f>IF($A359&gt;'1-Input'!$B$26,0,(MAX(0,AD341-IF($A359&gt;=('1-Input'!$C$12-1),'1-Input'!$B$12,0))-MIN(MAX(AH358,0),MAX(0,AD341-IF($A359&gt;=('1-Input'!$C$12-1),'1-Input'!$B$12,0))))*(1/(1-'P-Parametri'!$B$6*AD359))+MIN(MAX(0,AI358-(MAX(0,AD341-IF($A359&gt;=('1-Input'!$C$12-1),'1-Input'!$B$12,0))-MIN(MAX(AH358,0),MAX(0,AD341-IF($A359&gt;=('1-Input'!$C$12-1),'1-Input'!$B$12,0))))*(1/(1-'P-Parametri'!$B$6*AD359))),MAX(0,0*AD341-(AH358-MIN(MAX(AH358,0),MAX(0,AD341-IF($A359&gt;=('1-Input'!$C$12-1),'1-Input'!$B$12,0)))))*(1/(1-'P-Parametri'!$B$6*AD359))))</f>
        <v>21821.42978225695</v>
      </c>
      <c r="AF359" s="18">
        <f>IF($A359&gt;'1-Input'!$B$26,AH358,(AH358-MAX(0,AD341-IF($A359&gt;=('1-Input'!$C$12-1),'1-Input'!$B$12,0))+AE359*(1-'P-Parametri'!$B$6*AD359))*(1+'1-Input'!$B$27))</f>
        <v>0</v>
      </c>
      <c r="AG359" s="18">
        <f>IF($A359&gt;'1-Input'!$B$26,AI358,(AI358-AE359)*(1+'5-Roberta'!$C$4))</f>
        <v>254730.73071711053</v>
      </c>
      <c r="AH359" s="18">
        <f>IF($A359&gt;'1-Input'!$B$26,AF359,AF359-'P-Parametri'!$B$8*(AG359+AF359)+MIN(MAX(AG359,0),'P-Parametri'!$B$8*(AG359+AF359)))</f>
        <v>0</v>
      </c>
      <c r="AI359" s="18">
        <f>IF($A359&gt;'1-Input'!$B$26,AG359,AG359-MIN(MAX(AG359,0),'P-Parametri'!$B$8*(AG359+AF359)))</f>
        <v>254221.26925567631</v>
      </c>
      <c r="AJ359" s="18">
        <f>IF($A359&gt;'1-Input'!$B$26,AJ358,AJ358-AE359*(1-AD359))</f>
        <v>128187.63748862103</v>
      </c>
      <c r="AK359" s="11">
        <f>IF($A359&gt;'1-Input'!$B$26,0,IF(AP358&lt;=0,0,MAX(0,(AP358-AQ358)/AP358)))</f>
        <v>0.48167515461686389</v>
      </c>
      <c r="AL359" s="18">
        <f>IF($A359&gt;'1-Input'!$B$26,0,(MAX(0,AK341-IF($A359&gt;=('1-Input'!$C$12-1),'1-Input'!$B$12,0))-MIN(MAX(AO358,0),MAX(0,AK341-IF($A359&gt;=('1-Input'!$C$12-1),'1-Input'!$B$12,0))))*(1/(1-'P-Parametri'!$B$6*AK359))+MIN(MAX(0,AP358-(MAX(0,AK341-IF($A359&gt;=('1-Input'!$C$12-1),'1-Input'!$B$12,0))-MIN(MAX(AO358,0),MAX(0,AK341-IF($A359&gt;=('1-Input'!$C$12-1),'1-Input'!$B$12,0))))*(1/(1-'P-Parametri'!$B$6*AK359))),MAX(0,0*AK341-(AO358-MIN(MAX(AO358,0),MAX(0,AK341-IF($A359&gt;=('1-Input'!$C$12-1),'1-Input'!$B$12,0)))))*(1/(1-'P-Parametri'!$B$6*AK359))))</f>
        <v>21819.885153559695</v>
      </c>
      <c r="AM359" s="18">
        <f>IF($A359&gt;'1-Input'!$B$26,AO358,(AO358-MAX(0,AK341-IF($A359&gt;=('1-Input'!$C$12-1),'1-Input'!$B$12,0))+AL359*(1-'P-Parametri'!$B$6*AK359))*(1+'1-Input'!$B$27))</f>
        <v>0</v>
      </c>
      <c r="AN359" s="18">
        <f>IF($A359&gt;'1-Input'!$B$26,AP358,(AP358-AL359)*(1+'5-Roberta'!$C$4))</f>
        <v>254761.08726713576</v>
      </c>
      <c r="AO359" s="18">
        <f>IF($A359&gt;'1-Input'!$B$26,AM359,AM359-'P-Parametri'!$B$8*(AN359+AM359)+MIN(MAX(AN359,0),'P-Parametri'!$B$8*(AN359+AM359)))</f>
        <v>0</v>
      </c>
      <c r="AP359" s="18">
        <f>IF($A359&gt;'1-Input'!$B$26,AN359,AN359-MIN(MAX(AN359,0),'P-Parametri'!$B$8*(AN359+AM359)))</f>
        <v>254251.56509260149</v>
      </c>
      <c r="AQ359" s="18">
        <f>IF($A359&gt;'1-Input'!$B$26,AQ358,AQ358-AL359*(1-AK359))</f>
        <v>128202.91375473572</v>
      </c>
    </row>
    <row r="360" spans="1:43">
      <c r="A360" s="10">
        <f>17</f>
        <v>17</v>
      </c>
      <c r="B360" s="11">
        <f>IF($A360&gt;'1-Input'!$B$26,0,IF(G359&lt;=0,0,MAX(0,(G359-H359)/G359)))</f>
        <v>0.4957635218172885</v>
      </c>
      <c r="C360" s="18">
        <f>IF($A360&gt;'1-Input'!$B$26,0,(MAX(0,B341-IF($A360&gt;=('1-Input'!$C$12-1),'1-Input'!$B$12,0))-MIN(MAX(F359,0),MAX(0,B341-IF($A360&gt;=('1-Input'!$C$12-1),'1-Input'!$B$12,0))))*(1/(1-'P-Parametri'!$B$6*B360))+MIN(MAX(0,G359-(MAX(0,B341-IF($A360&gt;=('1-Input'!$C$12-1),'1-Input'!$B$12,0))-MIN(MAX(F359,0),MAX(0,B341-IF($A360&gt;=('1-Input'!$C$12-1),'1-Input'!$B$12,0))))*(1/(1-'P-Parametri'!$B$6*B360))),MAX(0,0*B341-(F359-MIN(MAX(F359,0),MAX(0,B341-IF($A360&gt;=('1-Input'!$C$12-1),'1-Input'!$B$12,0)))))*(1/(1-'P-Parametri'!$B$6*B360))))</f>
        <v>19149.382264574673</v>
      </c>
      <c r="D360" s="18">
        <f>IF($A360&gt;'1-Input'!$B$26,F359,(F359-MAX(0,B341-IF($A360&gt;=('1-Input'!$C$12-1),'1-Input'!$B$12,0))+C360*(1-'P-Parametri'!$B$6*B360))*(1+'1-Input'!$B$27))</f>
        <v>-3.6248820833861826E-12</v>
      </c>
      <c r="E360" s="18">
        <f>IF($A360&gt;'1-Input'!$B$26,G359,(G359-C360)*(1+'5-Roberta'!$C$4))</f>
        <v>297724.88109093939</v>
      </c>
      <c r="F360" s="18">
        <f>IF($A360&gt;'1-Input'!$B$26,D360,D360-'P-Parametri'!$B$8*(E360+D360)+MIN(MAX(E360,0),'P-Parametri'!$B$8*(E360+D360)))</f>
        <v>-3.637978807091713E-12</v>
      </c>
      <c r="G360" s="18">
        <f>IF($A360&gt;'1-Input'!$B$26,E360,E360-MIN(MAX(E360,0),'P-Parametri'!$B$8*(E360+D360)))</f>
        <v>297129.43132875749</v>
      </c>
      <c r="H360" s="18">
        <f>IF($A360&gt;'1-Input'!$B$26,H359,H359-C360*(1-B360))</f>
        <v>145751.20923171056</v>
      </c>
      <c r="I360" s="11">
        <f>IF($A360&gt;'1-Input'!$B$26,0,IF(N359&lt;=0,0,MAX(0,(N359-O359)/N359)))</f>
        <v>0.49576352181728883</v>
      </c>
      <c r="J360" s="18">
        <f>IF($A360&gt;'1-Input'!$B$26,0,(MAX(0,I341-IF($A360&gt;=('1-Input'!$C$12-1),'1-Input'!$B$12,0))-MIN(MAX(M359,0),MAX(0,I341-IF($A360&gt;=('1-Input'!$C$12-1),'1-Input'!$B$12,0))))*(1/(1-'P-Parametri'!$B$6*I360))+MIN(MAX(0,N359-(MAX(0,I341-IF($A360&gt;=('1-Input'!$C$12-1),'1-Input'!$B$12,0))-MIN(MAX(M359,0),MAX(0,I341-IF($A360&gt;=('1-Input'!$C$12-1),'1-Input'!$B$12,0))))*(1/(1-'P-Parametri'!$B$6*I360))),MAX(0,0*I341-(M359-MIN(MAX(M359,0),MAX(0,I341-IF($A360&gt;=('1-Input'!$C$12-1),'1-Input'!$B$12,0)))))*(1/(1-'P-Parametri'!$B$6*I360))))</f>
        <v>25196.555611282482</v>
      </c>
      <c r="K360" s="18">
        <f>IF($A360&gt;'1-Input'!$B$26,M359,(M359-MAX(0,I341-IF($A360&gt;=('1-Input'!$C$12-1),'1-Input'!$B$12,0))+J360*(1-'P-Parametri'!$B$6*I360))*(1+'1-Input'!$B$27))</f>
        <v>0</v>
      </c>
      <c r="L360" s="18">
        <f>IF($A360&gt;'1-Input'!$B$26,N359,(N359-J360)*(1+'5-Roberta'!$C$4))</f>
        <v>169842.36857120652</v>
      </c>
      <c r="M360" s="18">
        <f>IF($A360&gt;'1-Input'!$B$26,K360,K360-'P-Parametri'!$B$8*(L360+K360)+MIN(MAX(L360,0),'P-Parametri'!$B$8*(L360+K360)))</f>
        <v>0</v>
      </c>
      <c r="N360" s="18">
        <f>IF($A360&gt;'1-Input'!$B$26,L360,L360-MIN(MAX(L360,0),'P-Parametri'!$B$8*(L360+K360)))</f>
        <v>169502.68383406411</v>
      </c>
      <c r="O360" s="18">
        <f>IF($A360&gt;'1-Input'!$B$26,O359,O359-J360*(1-I360))</f>
        <v>83146.327936461312</v>
      </c>
      <c r="P360" s="11">
        <f>IF($A360&gt;'1-Input'!$B$26,0,IF(U359&lt;=0,0,MAX(0,(U359-V359)/U359)))</f>
        <v>0.49576352181728883</v>
      </c>
      <c r="Q360" s="18">
        <f>IF($A360&gt;'1-Input'!$B$26,0,(MAX(0,P341-IF($A360&gt;=('1-Input'!$C$12-1),'1-Input'!$B$12,0))-MIN(MAX(T359,0),MAX(0,P341-IF($A360&gt;=('1-Input'!$C$12-1),'1-Input'!$B$12,0))))*(1/(1-'P-Parametri'!$B$6*P360))+MIN(MAX(0,U359-(MAX(0,P341-IF($A360&gt;=('1-Input'!$C$12-1),'1-Input'!$B$12,0))-MIN(MAX(T359,0),MAX(0,P341-IF($A360&gt;=('1-Input'!$C$12-1),'1-Input'!$B$12,0))))*(1/(1-'P-Parametri'!$B$6*P360))),MAX(0,0*P341-(T359-MIN(MAX(T359,0),MAX(0,P341-IF($A360&gt;=('1-Input'!$C$12-1),'1-Input'!$B$12,0)))))*(1/(1-'P-Parametri'!$B$6*P360))))</f>
        <v>22209.822796248769</v>
      </c>
      <c r="R360" s="18">
        <f>IF($A360&gt;'1-Input'!$B$26,T359,(T359-MAX(0,P341-IF($A360&gt;=('1-Input'!$C$12-1),'1-Input'!$B$12,0))+Q360*(1-'P-Parametri'!$B$6*P360))*(1+'1-Input'!$B$27))</f>
        <v>0</v>
      </c>
      <c r="S360" s="18">
        <f>IF($A360&gt;'1-Input'!$B$26,U359,(U359-Q360)*(1+'5-Roberta'!$C$4))</f>
        <v>233004.25838532738</v>
      </c>
      <c r="T360" s="18">
        <f>IF($A360&gt;'1-Input'!$B$26,R360,R360-'P-Parametri'!$B$8*(S360+R360)+MIN(MAX(S360,0),'P-Parametri'!$B$8*(S360+R360)))</f>
        <v>0</v>
      </c>
      <c r="U360" s="18">
        <f>IF($A360&gt;'1-Input'!$B$26,S360,S360-MIN(MAX(S360,0),'P-Parametri'!$B$8*(S360+R360)))</f>
        <v>232538.24986855674</v>
      </c>
      <c r="V360" s="18">
        <f>IF($A360&gt;'1-Input'!$B$26,V359,V359-Q360*(1-P360))</f>
        <v>114067.22975707955</v>
      </c>
      <c r="W360" s="11">
        <f>IF($A360&gt;'1-Input'!$B$26,0,IF(AB359&lt;=0,0,MAX(0,(AB359-AC359)/AB359)))</f>
        <v>0.49576352181728911</v>
      </c>
      <c r="X360" s="18">
        <f>IF($A360&gt;'1-Input'!$B$26,0,(MAX(0,W341-IF($A360&gt;=('1-Input'!$C$12-1),'1-Input'!$B$12,0))-MIN(MAX(AA359,0),MAX(0,W341-IF($A360&gt;=('1-Input'!$C$12-1),'1-Input'!$B$12,0))))*(1/(1-'P-Parametri'!$B$6*W360))+MIN(MAX(0,AB359-(MAX(0,W341-IF($A360&gt;=('1-Input'!$C$12-1),'1-Input'!$B$12,0))-MIN(MAX(AA359,0),MAX(0,W341-IF($A360&gt;=('1-Input'!$C$12-1),'1-Input'!$B$12,0))))*(1/(1-'P-Parametri'!$B$6*W360))),MAX(0,0*W341-(AA359-MIN(MAX(AA359,0),MAX(0,W341-IF($A360&gt;=('1-Input'!$C$12-1),'1-Input'!$B$12,0)))))*(1/(1-'P-Parametri'!$B$6*W360))))</f>
        <v>21903.092373753745</v>
      </c>
      <c r="Y360" s="18">
        <f>IF($A360&gt;'1-Input'!$B$26,AA359,(AA359-MAX(0,W341-IF($A360&gt;=('1-Input'!$C$12-1),'1-Input'!$B$12,0))+X360*(1-'P-Parametri'!$B$6*W360))*(1+'1-Input'!$B$27))</f>
        <v>0</v>
      </c>
      <c r="Z360" s="18">
        <f>IF($A360&gt;'1-Input'!$B$26,AB359,(AB359-X360)*(1+'5-Roberta'!$C$4))</f>
        <v>239490.83564150246</v>
      </c>
      <c r="AA360" s="18">
        <f>IF($A360&gt;'1-Input'!$B$26,Y360,Y360-'P-Parametri'!$B$8*(Z360+Y360)+MIN(MAX(Z360,0),'P-Parametri'!$B$8*(Z360+Y360)))</f>
        <v>0</v>
      </c>
      <c r="AB360" s="18">
        <f>IF($A360&gt;'1-Input'!$B$26,Z360,Z360-MIN(MAX(Z360,0),'P-Parametri'!$B$8*(Z360+Y360)))</f>
        <v>239011.85397021947</v>
      </c>
      <c r="AC360" s="18">
        <f>IF($A360&gt;'1-Input'!$B$26,AC359,AC359-X360*(1-W360))</f>
        <v>117242.73351544238</v>
      </c>
      <c r="AD360" s="11">
        <f>IF($A360&gt;'1-Input'!$B$26,0,IF(AI359&lt;=0,0,MAX(0,(AI359-AJ359)/AI359)))</f>
        <v>0.49576352181728861</v>
      </c>
      <c r="AE360" s="18">
        <f>IF($A360&gt;'1-Input'!$B$26,0,(MAX(0,AD341-IF($A360&gt;=('1-Input'!$C$12-1),'1-Input'!$B$12,0))-MIN(MAX(AH359,0),MAX(0,AD341-IF($A360&gt;=('1-Input'!$C$12-1),'1-Input'!$B$12,0))))*(1/(1-'P-Parametri'!$B$6*AD360))+MIN(MAX(0,AI359-(MAX(0,AD341-IF($A360&gt;=('1-Input'!$C$12-1),'1-Input'!$B$12,0))-MIN(MAX(AH359,0),MAX(0,AD341-IF($A360&gt;=('1-Input'!$C$12-1),'1-Input'!$B$12,0))))*(1/(1-'P-Parametri'!$B$6*AD360))),MAX(0,0*AD341-(AH359-MIN(MAX(AH359,0),MAX(0,AD341-IF($A360&gt;=('1-Input'!$C$12-1),'1-Input'!$B$12,0)))))*(1/(1-'P-Parametri'!$B$6*AD360))))</f>
        <v>21913.188737438271</v>
      </c>
      <c r="AF360" s="18">
        <f>IF($A360&gt;'1-Input'!$B$26,AH359,(AH359-MAX(0,AD341-IF($A360&gt;=('1-Input'!$C$12-1),'1-Input'!$B$12,0))+AE360*(1-'P-Parametri'!$B$6*AD360))*(1+'1-Input'!$B$27))</f>
        <v>0</v>
      </c>
      <c r="AG360" s="18">
        <f>IF($A360&gt;'1-Input'!$B$26,AI359,(AI359-AE360)*(1+'5-Roberta'!$C$4))</f>
        <v>239277.32293378518</v>
      </c>
      <c r="AH360" s="18">
        <f>IF($A360&gt;'1-Input'!$B$26,AF360,AF360-'P-Parametri'!$B$8*(AG360+AF360)+MIN(MAX(AG360,0),'P-Parametri'!$B$8*(AG360+AF360)))</f>
        <v>0</v>
      </c>
      <c r="AI360" s="18">
        <f>IF($A360&gt;'1-Input'!$B$26,AG360,AG360-MIN(MAX(AG360,0),'P-Parametri'!$B$8*(AG360+AF360)))</f>
        <v>238798.7682879176</v>
      </c>
      <c r="AJ360" s="18">
        <f>IF($A360&gt;'1-Input'!$B$26,AJ359,AJ359-AE360*(1-AD360))</f>
        <v>117138.2083739021</v>
      </c>
      <c r="AK360" s="11">
        <f>IF($A360&gt;'1-Input'!$B$26,0,IF(AP359&lt;=0,0,MAX(0,(AP359-AQ359)/AP359)))</f>
        <v>0.49576352181728883</v>
      </c>
      <c r="AL360" s="18">
        <f>IF($A360&gt;'1-Input'!$B$26,0,(MAX(0,AK341-IF($A360&gt;=('1-Input'!$C$12-1),'1-Input'!$B$12,0))-MIN(MAX(AO359,0),MAX(0,AK341-IF($A360&gt;=('1-Input'!$C$12-1),'1-Input'!$B$12,0))))*(1/(1-'P-Parametri'!$B$6*AK360))+MIN(MAX(0,AP359-(MAX(0,AK341-IF($A360&gt;=('1-Input'!$C$12-1),'1-Input'!$B$12,0))-MIN(MAX(AO359,0),MAX(0,AK341-IF($A360&gt;=('1-Input'!$C$12-1),'1-Input'!$B$12,0))))*(1/(1-'P-Parametri'!$B$6*AK360))),MAX(0,0*AK341-(AO359-MIN(MAX(AO359,0),MAX(0,AK341-IF($A360&gt;=('1-Input'!$C$12-1),'1-Input'!$B$12,0)))))*(1/(1-'P-Parametri'!$B$6*AK360))))</f>
        <v>21911.63761358846</v>
      </c>
      <c r="AM360" s="18">
        <f>IF($A360&gt;'1-Input'!$B$26,AO359,(AO359-MAX(0,AK341-IF($A360&gt;=('1-Input'!$C$12-1),'1-Input'!$B$12,0))+AL360*(1-'P-Parametri'!$B$6*AK360))*(1+'1-Input'!$B$27))</f>
        <v>0</v>
      </c>
      <c r="AN360" s="18">
        <f>IF($A360&gt;'1-Input'!$B$26,AP359,(AP359-AL360)*(1+'5-Roberta'!$C$4))</f>
        <v>239310.12530338345</v>
      </c>
      <c r="AO360" s="18">
        <f>IF($A360&gt;'1-Input'!$B$26,AM360,AM360-'P-Parametri'!$B$8*(AN360+AM360)+MIN(MAX(AN360,0),'P-Parametri'!$B$8*(AN360+AM360)))</f>
        <v>0</v>
      </c>
      <c r="AP360" s="18">
        <f>IF($A360&gt;'1-Input'!$B$26,AN360,AN360-MIN(MAX(AN360,0),'P-Parametri'!$B$8*(AN360+AM360)))</f>
        <v>238831.50505277669</v>
      </c>
      <c r="AQ360" s="18">
        <f>IF($A360&gt;'1-Input'!$B$26,AQ359,AQ359-AL360*(1-AK360))</f>
        <v>117154.26677324406</v>
      </c>
    </row>
    <row r="361" spans="1:43">
      <c r="A361" s="10">
        <f>18</f>
        <v>18</v>
      </c>
      <c r="B361" s="11">
        <f>IF($A361&gt;'1-Input'!$B$26,0,IF(G360&lt;=0,0,MAX(0,(G360-H360)/G360)))</f>
        <v>0.50946895910003343</v>
      </c>
      <c r="C361" s="18">
        <f>IF($A361&gt;'1-Input'!$B$26,0,(MAX(0,B341-IF($A361&gt;=('1-Input'!$C$12-1),'1-Input'!$B$12,0))-MIN(MAX(F360,0),MAX(0,B341-IF($A361&gt;=('1-Input'!$C$12-1),'1-Input'!$B$12,0))))*(1/(1-'P-Parametri'!$B$6*B361))+MIN(MAX(0,G360-(MAX(0,B341-IF($A361&gt;=('1-Input'!$C$12-1),'1-Input'!$B$12,0))-MIN(MAX(F360,0),MAX(0,B341-IF($A361&gt;=('1-Input'!$C$12-1),'1-Input'!$B$12,0))))*(1/(1-'P-Parametri'!$B$6*B361))),MAX(0,0*B341-(F360-MIN(MAX(F360,0),MAX(0,B341-IF($A361&gt;=('1-Input'!$C$12-1),'1-Input'!$B$12,0)))))*(1/(1-'P-Parametri'!$B$6*B361))))</f>
        <v>19228.038375809145</v>
      </c>
      <c r="D361" s="18">
        <f>IF($A361&gt;'1-Input'!$B$26,F360,(F360-MAX(0,B341-IF($A361&gt;=('1-Input'!$C$12-1),'1-Input'!$B$12,0))+C361*(1-'P-Parametri'!$B$6*B361))*(1+'1-Input'!$B$27))</f>
        <v>3.6248820833861826E-12</v>
      </c>
      <c r="E361" s="18">
        <f>IF($A361&gt;'1-Input'!$B$26,G360,(G360-C361)*(1+'5-Roberta'!$C$4))</f>
        <v>286238.4347415368</v>
      </c>
      <c r="F361" s="18">
        <f>IF($A361&gt;'1-Input'!$B$26,D361,D361-'P-Parametri'!$B$8*(E361+D361)+MIN(MAX(E361,0),'P-Parametri'!$B$8*(E361+D361)))</f>
        <v>3.637978807091713E-12</v>
      </c>
      <c r="G361" s="18">
        <f>IF($A361&gt;'1-Input'!$B$26,E361,E361-MIN(MAX(E361,0),'P-Parametri'!$B$8*(E361+D361)))</f>
        <v>285665.95787205372</v>
      </c>
      <c r="H361" s="18">
        <f>IF($A361&gt;'1-Input'!$B$26,H360,H360-C361*(1-B361))</f>
        <v>136319.2595527604</v>
      </c>
      <c r="I361" s="11">
        <f>IF($A361&gt;'1-Input'!$B$26,0,IF(N360&lt;=0,0,MAX(0,(N360-O360)/N360)))</f>
        <v>0.50946895910003398</v>
      </c>
      <c r="J361" s="18">
        <f>IF($A361&gt;'1-Input'!$B$26,0,(MAX(0,I341-IF($A361&gt;=('1-Input'!$C$12-1),'1-Input'!$B$12,0))-MIN(MAX(M360,0),MAX(0,I341-IF($A361&gt;=('1-Input'!$C$12-1),'1-Input'!$B$12,0))))*(1/(1-'P-Parametri'!$B$6*I361))+MIN(MAX(0,N360-(MAX(0,I341-IF($A361&gt;=('1-Input'!$C$12-1),'1-Input'!$B$12,0))-MIN(MAX(M360,0),MAX(0,I341-IF($A361&gt;=('1-Input'!$C$12-1),'1-Input'!$B$12,0))))*(1/(1-'P-Parametri'!$B$6*I361))),MAX(0,0*I341-(M360-MIN(MAX(M360,0),MAX(0,I341-IF($A361&gt;=('1-Input'!$C$12-1),'1-Input'!$B$12,0)))))*(1/(1-'P-Parametri'!$B$6*I361))))</f>
        <v>25300.050494485713</v>
      </c>
      <c r="K361" s="18">
        <f>IF($A361&gt;'1-Input'!$B$26,M360,(M360-MAX(0,I341-IF($A361&gt;=('1-Input'!$C$12-1),'1-Input'!$B$12,0))+J361*(1-'P-Parametri'!$B$6*I361))*(1+'1-Input'!$B$27))</f>
        <v>-3.6248820833861826E-12</v>
      </c>
      <c r="L361" s="18">
        <f>IF($A361&gt;'1-Input'!$B$26,N360,(N360-J361)*(1+'5-Roberta'!$C$4))</f>
        <v>148528.71233976577</v>
      </c>
      <c r="M361" s="18">
        <f>IF($A361&gt;'1-Input'!$B$26,K361,K361-'P-Parametri'!$B$8*(L361+K361)+MIN(MAX(L361,0),'P-Parametri'!$B$8*(L361+K361)))</f>
        <v>-3.637978807091713E-12</v>
      </c>
      <c r="N361" s="18">
        <f>IF($A361&gt;'1-Input'!$B$26,L361,L361-MIN(MAX(L361,0),'P-Parametri'!$B$8*(L361+K361)))</f>
        <v>148231.65491508623</v>
      </c>
      <c r="O361" s="18">
        <f>IF($A361&gt;'1-Input'!$B$26,O360,O360-J361*(1-I361))</f>
        <v>70735.867832579534</v>
      </c>
      <c r="P361" s="11">
        <f>IF($A361&gt;'1-Input'!$B$26,0,IF(U360&lt;=0,0,MAX(0,(U360-V360)/U360)))</f>
        <v>0.50946895910003387</v>
      </c>
      <c r="Q361" s="18">
        <f>IF($A361&gt;'1-Input'!$B$26,0,(MAX(0,P341-IF($A361&gt;=('1-Input'!$C$12-1),'1-Input'!$B$12,0))-MIN(MAX(T360,0),MAX(0,P341-IF($A361&gt;=('1-Input'!$C$12-1),'1-Input'!$B$12,0))))*(1/(1-'P-Parametri'!$B$6*P361))+MIN(MAX(0,U360-(MAX(0,P341-IF($A361&gt;=('1-Input'!$C$12-1),'1-Input'!$B$12,0))-MIN(MAX(T360,0),MAX(0,P341-IF($A361&gt;=('1-Input'!$C$12-1),'1-Input'!$B$12,0))))*(1/(1-'P-Parametri'!$B$6*P361))),MAX(0,0*P341-(T360-MIN(MAX(T360,0),MAX(0,P341-IF($A361&gt;=('1-Input'!$C$12-1),'1-Input'!$B$12,0)))))*(1/(1-'P-Parametri'!$B$6*P361))))</f>
        <v>22301.049670736047</v>
      </c>
      <c r="R361" s="18">
        <f>IF($A361&gt;'1-Input'!$B$26,T360,(T360-MAX(0,P341-IF($A361&gt;=('1-Input'!$C$12-1),'1-Input'!$B$12,0))+Q361*(1-'P-Parametri'!$B$6*P361))*(1+'1-Input'!$B$27))</f>
        <v>3.6248820833861826E-12</v>
      </c>
      <c r="S361" s="18">
        <f>IF($A361&gt;'1-Input'!$B$26,U360,(U360-Q361)*(1+'5-Roberta'!$C$4))</f>
        <v>216544.31620375533</v>
      </c>
      <c r="T361" s="18">
        <f>IF($A361&gt;'1-Input'!$B$26,R361,R361-'P-Parametri'!$B$8*(S361+R361)+MIN(MAX(S361,0),'P-Parametri'!$B$8*(S361+R361)))</f>
        <v>3.637978807091713E-12</v>
      </c>
      <c r="U361" s="18">
        <f>IF($A361&gt;'1-Input'!$B$26,S361,S361-MIN(MAX(S361,0),'P-Parametri'!$B$8*(S361+R361)))</f>
        <v>216111.22757134782</v>
      </c>
      <c r="V361" s="18">
        <f>IF($A361&gt;'1-Input'!$B$26,V360,V360-Q361*(1-P361))</f>
        <v>103127.87264893154</v>
      </c>
      <c r="W361" s="11">
        <f>IF($A361&gt;'1-Input'!$B$26,0,IF(AB360&lt;=0,0,MAX(0,(AB360-AC360)/AB360)))</f>
        <v>0.5094689591000342</v>
      </c>
      <c r="X361" s="18">
        <f>IF($A361&gt;'1-Input'!$B$26,0,(MAX(0,W341-IF($A361&gt;=('1-Input'!$C$12-1),'1-Input'!$B$12,0))-MIN(MAX(AA360,0),MAX(0,W341-IF($A361&gt;=('1-Input'!$C$12-1),'1-Input'!$B$12,0))))*(1/(1-'P-Parametri'!$B$6*W361))+MIN(MAX(0,AB360-(MAX(0,W341-IF($A361&gt;=('1-Input'!$C$12-1),'1-Input'!$B$12,0))-MIN(MAX(AA360,0),MAX(0,W341-IF($A361&gt;=('1-Input'!$C$12-1),'1-Input'!$B$12,0))))*(1/(1-'P-Parametri'!$B$6*W361))),MAX(0,0*W341-(AA360-MIN(MAX(AA360,0),MAX(0,W341-IF($A361&gt;=('1-Input'!$C$12-1),'1-Input'!$B$12,0)))))*(1/(1-'P-Parametri'!$B$6*W361))))</f>
        <v>21993.059352652886</v>
      </c>
      <c r="Y361" s="18">
        <f>IF($A361&gt;'1-Input'!$B$26,AA360,(AA360-MAX(0,W341-IF($A361&gt;=('1-Input'!$C$12-1),'1-Input'!$B$12,0))+X361*(1-'P-Parametri'!$B$6*W361))*(1+'1-Input'!$B$27))</f>
        <v>0</v>
      </c>
      <c r="Z361" s="18">
        <f>IF($A361&gt;'1-Input'!$B$26,AB360,(AB360-X361)*(1+'5-Roberta'!$C$4))</f>
        <v>223529.35845609359</v>
      </c>
      <c r="AA361" s="18">
        <f>IF($A361&gt;'1-Input'!$B$26,Y361,Y361-'P-Parametri'!$B$8*(Z361+Y361)+MIN(MAX(Z361,0),'P-Parametri'!$B$8*(Z361+Y361)))</f>
        <v>0</v>
      </c>
      <c r="AB361" s="18">
        <f>IF($A361&gt;'1-Input'!$B$26,Z361,Z361-MIN(MAX(Z361,0),'P-Parametri'!$B$8*(Z361+Y361)))</f>
        <v>223082.29973918138</v>
      </c>
      <c r="AC361" s="18">
        <f>IF($A361&gt;'1-Input'!$B$26,AC360,AC360-X361*(1-W361))</f>
        <v>106454.45521861083</v>
      </c>
      <c r="AD361" s="11">
        <f>IF($A361&gt;'1-Input'!$B$26,0,IF(AI360&lt;=0,0,MAX(0,(AI360-AJ360)/AI360)))</f>
        <v>0.50946895910003365</v>
      </c>
      <c r="AE361" s="18">
        <f>IF($A361&gt;'1-Input'!$B$26,0,(MAX(0,AD341-IF($A361&gt;=('1-Input'!$C$12-1),'1-Input'!$B$12,0))-MIN(MAX(AH360,0),MAX(0,AD341-IF($A361&gt;=('1-Input'!$C$12-1),'1-Input'!$B$12,0))))*(1/(1-'P-Parametri'!$B$6*AD361))+MIN(MAX(0,AI360-(MAX(0,AD341-IF($A361&gt;=('1-Input'!$C$12-1),'1-Input'!$B$12,0))-MIN(MAX(AH360,0),MAX(0,AD341-IF($A361&gt;=('1-Input'!$C$12-1),'1-Input'!$B$12,0))))*(1/(1-'P-Parametri'!$B$6*AD361))),MAX(0,0*AD341-(AH360-MIN(MAX(AH360,0),MAX(0,AD341-IF($A361&gt;=('1-Input'!$C$12-1),'1-Input'!$B$12,0)))))*(1/(1-'P-Parametri'!$B$6*AD361))))</f>
        <v>22003.197187163678</v>
      </c>
      <c r="AF361" s="18">
        <f>IF($A361&gt;'1-Input'!$B$26,AH360,(AH360-MAX(0,AD341-IF($A361&gt;=('1-Input'!$C$12-1),'1-Input'!$B$12,0))+AE361*(1-'P-Parametri'!$B$6*AD361))*(1+'1-Input'!$B$27))</f>
        <v>0</v>
      </c>
      <c r="AG361" s="18">
        <f>IF($A361&gt;'1-Input'!$B$26,AI360,(AI360-AE361)*(1+'5-Roberta'!$C$4))</f>
        <v>223299.43823377654</v>
      </c>
      <c r="AH361" s="18">
        <f>IF($A361&gt;'1-Input'!$B$26,AF361,AF361-'P-Parametri'!$B$8*(AG361+AF361)+MIN(MAX(AG361,0),'P-Parametri'!$B$8*(AG361+AF361)))</f>
        <v>0</v>
      </c>
      <c r="AI361" s="18">
        <f>IF($A361&gt;'1-Input'!$B$26,AG361,AG361-MIN(MAX(AG361,0),'P-Parametri'!$B$8*(AG361+AF361)))</f>
        <v>222852.83935730899</v>
      </c>
      <c r="AJ361" s="18">
        <f>IF($A361&gt;'1-Input'!$B$26,AJ360,AJ360-AE361*(1-AD361))</f>
        <v>106344.95715455549</v>
      </c>
      <c r="AK361" s="11">
        <f>IF($A361&gt;'1-Input'!$B$26,0,IF(AP360&lt;=0,0,MAX(0,(AP360-AQ360)/AP360)))</f>
        <v>0.50946895910003387</v>
      </c>
      <c r="AL361" s="18">
        <f>IF($A361&gt;'1-Input'!$B$26,0,(MAX(0,AK341-IF($A361&gt;=('1-Input'!$C$12-1),'1-Input'!$B$12,0))-MIN(MAX(AO360,0),MAX(0,AK341-IF($A361&gt;=('1-Input'!$C$12-1),'1-Input'!$B$12,0))))*(1/(1-'P-Parametri'!$B$6*AK361))+MIN(MAX(0,AP360-(MAX(0,AK341-IF($A361&gt;=('1-Input'!$C$12-1),'1-Input'!$B$12,0))-MIN(MAX(AO360,0),MAX(0,AK341-IF($A361&gt;=('1-Input'!$C$12-1),'1-Input'!$B$12,0))))*(1/(1-'P-Parametri'!$B$6*AK361))),MAX(0,0*AK341-(AO360-MIN(MAX(AO360,0),MAX(0,AK341-IF($A361&gt;=('1-Input'!$C$12-1),'1-Input'!$B$12,0)))))*(1/(1-'P-Parametri'!$B$6*AK361))))</f>
        <v>22001.639692070745</v>
      </c>
      <c r="AM361" s="18">
        <f>IF($A361&gt;'1-Input'!$B$26,AO360,(AO360-MAX(0,AK341-IF($A361&gt;=('1-Input'!$C$12-1),'1-Input'!$B$12,0))+AL361*(1-'P-Parametri'!$B$6*AK361))*(1+'1-Input'!$B$27))</f>
        <v>0</v>
      </c>
      <c r="AN361" s="18">
        <f>IF($A361&gt;'1-Input'!$B$26,AP360,(AP360-AL361)*(1+'5-Roberta'!$C$4))</f>
        <v>223334.76132152713</v>
      </c>
      <c r="AO361" s="18">
        <f>IF($A361&gt;'1-Input'!$B$26,AM361,AM361-'P-Parametri'!$B$8*(AN361+AM361)+MIN(MAX(AN361,0),'P-Parametri'!$B$8*(AN361+AM361)))</f>
        <v>0</v>
      </c>
      <c r="AP361" s="18">
        <f>IF($A361&gt;'1-Input'!$B$26,AN361,AN361-MIN(MAX(AN361,0),'P-Parametri'!$B$8*(AN361+AM361)))</f>
        <v>222888.09179888407</v>
      </c>
      <c r="AQ361" s="18">
        <f>IF($A361&gt;'1-Input'!$B$26,AQ360,AQ360-AL361*(1-AK361))</f>
        <v>106361.77955358659</v>
      </c>
    </row>
    <row r="362" spans="1:43">
      <c r="A362" s="10">
        <f>19</f>
        <v>19</v>
      </c>
      <c r="B362" s="11">
        <f>IF($A362&gt;'1-Input'!$B$26,0,IF(G361&lt;=0,0,MAX(0,(G361-H361)/G361)))</f>
        <v>0.52280187472034689</v>
      </c>
      <c r="C362" s="18">
        <f>IF($A362&gt;'1-Input'!$B$26,0,(MAX(0,B341-IF($A362&gt;=('1-Input'!$C$12-1),'1-Input'!$B$12,0))-MIN(MAX(F361,0),MAX(0,B341-IF($A362&gt;=('1-Input'!$C$12-1),'1-Input'!$B$12,0))))*(1/(1-'P-Parametri'!$B$6*B362))+MIN(MAX(0,G361-(MAX(0,B341-IF($A362&gt;=('1-Input'!$C$12-1),'1-Input'!$B$12,0))-MIN(MAX(F361,0),MAX(0,B341-IF($A362&gt;=('1-Input'!$C$12-1),'1-Input'!$B$12,0))))*(1/(1-'P-Parametri'!$B$6*B362))),MAX(0,0*B341-(F361-MIN(MAX(F361,0),MAX(0,B341-IF($A362&gt;=('1-Input'!$C$12-1),'1-Input'!$B$12,0)))))*(1/(1-'P-Parametri'!$B$6*B362))))</f>
        <v>19305.179110649275</v>
      </c>
      <c r="D362" s="18">
        <f>IF($A362&gt;'1-Input'!$B$26,F361,(F361-MAX(0,B341-IF($A362&gt;=('1-Input'!$C$12-1),'1-Input'!$B$12,0))+C362*(1-'P-Parametri'!$B$6*B362))*(1+'1-Input'!$B$27))</f>
        <v>0</v>
      </c>
      <c r="E362" s="18">
        <f>IF($A362&gt;'1-Input'!$B$26,G361,(G361-C362)*(1+'5-Roberta'!$C$4))</f>
        <v>274351.60212424659</v>
      </c>
      <c r="F362" s="18">
        <f>IF($A362&gt;'1-Input'!$B$26,D362,D362-'P-Parametri'!$B$8*(E362+D362)+MIN(MAX(E362,0),'P-Parametri'!$B$8*(E362+D362)))</f>
        <v>0</v>
      </c>
      <c r="G362" s="18">
        <f>IF($A362&gt;'1-Input'!$B$26,E362,E362-MIN(MAX(E362,0),'P-Parametri'!$B$8*(E362+D362)))</f>
        <v>273802.89891999809</v>
      </c>
      <c r="H362" s="18">
        <f>IF($A362&gt;'1-Input'!$B$26,H361,H361-C362*(1-B362))</f>
        <v>127106.86427297065</v>
      </c>
      <c r="I362" s="11">
        <f>IF($A362&gt;'1-Input'!$B$26,0,IF(N361&lt;=0,0,MAX(0,(N361-O361)/N361)))</f>
        <v>0.52280187472034756</v>
      </c>
      <c r="J362" s="18">
        <f>IF($A362&gt;'1-Input'!$B$26,0,(MAX(0,I341-IF($A362&gt;=('1-Input'!$C$12-1),'1-Input'!$B$12,0))-MIN(MAX(M361,0),MAX(0,I341-IF($A362&gt;=('1-Input'!$C$12-1),'1-Input'!$B$12,0))))*(1/(1-'P-Parametri'!$B$6*I362))+MIN(MAX(0,N361-(MAX(0,I341-IF($A362&gt;=('1-Input'!$C$12-1),'1-Input'!$B$12,0))-MIN(MAX(M361,0),MAX(0,I341-IF($A362&gt;=('1-Input'!$C$12-1),'1-Input'!$B$12,0))))*(1/(1-'P-Parametri'!$B$6*I362))),MAX(0,0*I341-(M361-MIN(MAX(M361,0),MAX(0,I341-IF($A362&gt;=('1-Input'!$C$12-1),'1-Input'!$B$12,0)))))*(1/(1-'P-Parametri'!$B$6*I362))))</f>
        <v>25401.551461380641</v>
      </c>
      <c r="K362" s="18">
        <f>IF($A362&gt;'1-Input'!$B$26,M361,(M361-MAX(0,I341-IF($A362&gt;=('1-Input'!$C$12-1),'1-Input'!$B$12,0))+J362*(1-'P-Parametri'!$B$6*I362))*(1+'1-Input'!$B$27))</f>
        <v>0</v>
      </c>
      <c r="L362" s="18">
        <f>IF($A362&gt;'1-Input'!$B$26,N361,(N361-J362)*(1+'5-Roberta'!$C$4))</f>
        <v>126515.00655731675</v>
      </c>
      <c r="M362" s="18">
        <f>IF($A362&gt;'1-Input'!$B$26,K362,K362-'P-Parametri'!$B$8*(L362+K362)+MIN(MAX(L362,0),'P-Parametri'!$B$8*(L362+K362)))</f>
        <v>0</v>
      </c>
      <c r="N362" s="18">
        <f>IF($A362&gt;'1-Input'!$B$26,L362,L362-MIN(MAX(L362,0),'P-Parametri'!$B$8*(L362+K362)))</f>
        <v>126261.97654420212</v>
      </c>
      <c r="O362" s="18">
        <f>IF($A362&gt;'1-Input'!$B$26,O361,O361-J362*(1-I362))</f>
        <v>58614.295096014073</v>
      </c>
      <c r="P362" s="11">
        <f>IF($A362&gt;'1-Input'!$B$26,0,IF(U361&lt;=0,0,MAX(0,(U361-V361)/U361)))</f>
        <v>0.52280187472034745</v>
      </c>
      <c r="Q362" s="18">
        <f>IF($A362&gt;'1-Input'!$B$26,0,(MAX(0,P341-IF($A362&gt;=('1-Input'!$C$12-1),'1-Input'!$B$12,0))-MIN(MAX(T361,0),MAX(0,P341-IF($A362&gt;=('1-Input'!$C$12-1),'1-Input'!$B$12,0))))*(1/(1-'P-Parametri'!$B$6*P362))+MIN(MAX(0,U361-(MAX(0,P341-IF($A362&gt;=('1-Input'!$C$12-1),'1-Input'!$B$12,0))-MIN(MAX(T361,0),MAX(0,P341-IF($A362&gt;=('1-Input'!$C$12-1),'1-Input'!$B$12,0))))*(1/(1-'P-Parametri'!$B$6*P362))),MAX(0,0*P341-(T361-MIN(MAX(T361,0),MAX(0,P341-IF($A362&gt;=('1-Input'!$C$12-1),'1-Input'!$B$12,0)))))*(1/(1-'P-Parametri'!$B$6*P362))))</f>
        <v>22390.518982461123</v>
      </c>
      <c r="R362" s="18">
        <f>IF($A362&gt;'1-Input'!$B$26,T361,(T361-MAX(0,P341-IF($A362&gt;=('1-Input'!$C$12-1),'1-Input'!$B$12,0))+Q362*(1-'P-Parametri'!$B$6*P362))*(1+'1-Input'!$B$27))</f>
        <v>0</v>
      </c>
      <c r="S362" s="18">
        <f>IF($A362&gt;'1-Input'!$B$26,U361,(U361-Q362)*(1+'5-Roberta'!$C$4))</f>
        <v>199532.3298465533</v>
      </c>
      <c r="T362" s="18">
        <f>IF($A362&gt;'1-Input'!$B$26,R362,R362-'P-Parametri'!$B$8*(S362+R362)+MIN(MAX(S362,0),'P-Parametri'!$B$8*(S362+R362)))</f>
        <v>0</v>
      </c>
      <c r="U362" s="18">
        <f>IF($A362&gt;'1-Input'!$B$26,S362,S362-MIN(MAX(S362,0),'P-Parametri'!$B$8*(S362+R362)))</f>
        <v>199133.2651868602</v>
      </c>
      <c r="V362" s="18">
        <f>IF($A362&gt;'1-Input'!$B$26,V361,V361-Q362*(1-P362))</f>
        <v>92443.158966462623</v>
      </c>
      <c r="W362" s="11">
        <f>IF($A362&gt;'1-Input'!$B$26,0,IF(AB361&lt;=0,0,MAX(0,(AB361-AC361)/AB361)))</f>
        <v>0.52280187472034767</v>
      </c>
      <c r="X362" s="18">
        <f>IF($A362&gt;'1-Input'!$B$26,0,(MAX(0,W341-IF($A362&gt;=('1-Input'!$C$12-1),'1-Input'!$B$12,0))-MIN(MAX(AA361,0),MAX(0,W341-IF($A362&gt;=('1-Input'!$C$12-1),'1-Input'!$B$12,0))))*(1/(1-'P-Parametri'!$B$6*W362))+MIN(MAX(0,AB361-(MAX(0,W341-IF($A362&gt;=('1-Input'!$C$12-1),'1-Input'!$B$12,0))-MIN(MAX(AA361,0),MAX(0,W341-IF($A362&gt;=('1-Input'!$C$12-1),'1-Input'!$B$12,0))))*(1/(1-'P-Parametri'!$B$6*W362))),MAX(0,0*W341-(AA361-MIN(MAX(AA361,0),MAX(0,W341-IF($A362&gt;=('1-Input'!$C$12-1),'1-Input'!$B$12,0)))))*(1/(1-'P-Parametri'!$B$6*W362))))</f>
        <v>22081.293041742094</v>
      </c>
      <c r="Y362" s="18">
        <f>IF($A362&gt;'1-Input'!$B$26,AA361,(AA361-MAX(0,W341-IF($A362&gt;=('1-Input'!$C$12-1),'1-Input'!$B$12,0))+X362*(1-'P-Parametri'!$B$6*W362))*(1+'1-Input'!$B$27))</f>
        <v>0</v>
      </c>
      <c r="Z362" s="18">
        <f>IF($A362&gt;'1-Input'!$B$26,AB361,(AB361-X362)*(1+'5-Roberta'!$C$4))</f>
        <v>207031.03689836248</v>
      </c>
      <c r="AA362" s="18">
        <f>IF($A362&gt;'1-Input'!$B$26,Y362,Y362-'P-Parametri'!$B$8*(Z362+Y362)+MIN(MAX(Z362,0),'P-Parametri'!$B$8*(Z362+Y362)))</f>
        <v>0</v>
      </c>
      <c r="AB362" s="18">
        <f>IF($A362&gt;'1-Input'!$B$26,Z362,Z362-MIN(MAX(Z362,0),'P-Parametri'!$B$8*(Z362+Y362)))</f>
        <v>206616.97482456575</v>
      </c>
      <c r="AC362" s="18">
        <f>IF($A362&gt;'1-Input'!$B$26,AC361,AC361-X362*(1-W362))</f>
        <v>95917.303575340877</v>
      </c>
      <c r="AD362" s="11">
        <f>IF($A362&gt;'1-Input'!$B$26,0,IF(AI361&lt;=0,0,MAX(0,(AI361-AJ361)/AI361)))</f>
        <v>0.52280187472034712</v>
      </c>
      <c r="AE362" s="18">
        <f>IF($A362&gt;'1-Input'!$B$26,0,(MAX(0,AD341-IF($A362&gt;=('1-Input'!$C$12-1),'1-Input'!$B$12,0))-MIN(MAX(AH361,0),MAX(0,AD341-IF($A362&gt;=('1-Input'!$C$12-1),'1-Input'!$B$12,0))))*(1/(1-'P-Parametri'!$B$6*AD362))+MIN(MAX(0,AI361-(MAX(0,AD341-IF($A362&gt;=('1-Input'!$C$12-1),'1-Input'!$B$12,0))-MIN(MAX(AH361,0),MAX(0,AD341-IF($A362&gt;=('1-Input'!$C$12-1),'1-Input'!$B$12,0))))*(1/(1-'P-Parametri'!$B$6*AD362))),MAX(0,0*AD341-(AH361-MIN(MAX(AH361,0),MAX(0,AD341-IF($A362&gt;=('1-Input'!$C$12-1),'1-Input'!$B$12,0)))))*(1/(1-'P-Parametri'!$B$6*AD362))))</f>
        <v>22091.471548108668</v>
      </c>
      <c r="AF362" s="18">
        <f>IF($A362&gt;'1-Input'!$B$26,AH361,(AH361-MAX(0,AD341-IF($A362&gt;=('1-Input'!$C$12-1),'1-Input'!$B$12,0))+AE362*(1-'P-Parametri'!$B$6*AD362))*(1+'1-Input'!$B$27))</f>
        <v>0</v>
      </c>
      <c r="AG362" s="18">
        <f>IF($A362&gt;'1-Input'!$B$26,AI361,(AI361-AE362)*(1+'5-Roberta'!$C$4))</f>
        <v>206784.20884347631</v>
      </c>
      <c r="AH362" s="18">
        <f>IF($A362&gt;'1-Input'!$B$26,AF362,AF362-'P-Parametri'!$B$8*(AG362+AF362)+MIN(MAX(AG362,0),'P-Parametri'!$B$8*(AG362+AF362)))</f>
        <v>0</v>
      </c>
      <c r="AI362" s="18">
        <f>IF($A362&gt;'1-Input'!$B$26,AG362,AG362-MIN(MAX(AG362,0),'P-Parametri'!$B$8*(AG362+AF362)))</f>
        <v>206370.64042578937</v>
      </c>
      <c r="AJ362" s="18">
        <f>IF($A362&gt;'1-Input'!$B$26,AJ361,AJ361-AE362*(1-AD362))</f>
        <v>95802.948347129248</v>
      </c>
      <c r="AK362" s="11">
        <f>IF($A362&gt;'1-Input'!$B$26,0,IF(AP361&lt;=0,0,MAX(0,(AP361-AQ361)/AP361)))</f>
        <v>0.52280187472034745</v>
      </c>
      <c r="AL362" s="18">
        <f>IF($A362&gt;'1-Input'!$B$26,0,(MAX(0,AK341-IF($A362&gt;=('1-Input'!$C$12-1),'1-Input'!$B$12,0))-MIN(MAX(AO361,0),MAX(0,AK341-IF($A362&gt;=('1-Input'!$C$12-1),'1-Input'!$B$12,0))))*(1/(1-'P-Parametri'!$B$6*AK362))+MIN(MAX(0,AP361-(MAX(0,AK341-IF($A362&gt;=('1-Input'!$C$12-1),'1-Input'!$B$12,0))-MIN(MAX(AO361,0),MAX(0,AK341-IF($A362&gt;=('1-Input'!$C$12-1),'1-Input'!$B$12,0))))*(1/(1-'P-Parametri'!$B$6*AK362))),MAX(0,0*AK341-(AO361-MIN(MAX(AO361,0),MAX(0,AK341-IF($A362&gt;=('1-Input'!$C$12-1),'1-Input'!$B$12,0)))))*(1/(1-'P-Parametri'!$B$6*AK362))))</f>
        <v>22089.907804519993</v>
      </c>
      <c r="AM362" s="18">
        <f>IF($A362&gt;'1-Input'!$B$26,AO361,(AO361-MAX(0,AK341-IF($A362&gt;=('1-Input'!$C$12-1),'1-Input'!$B$12,0))+AL362*(1-'P-Parametri'!$B$6*AK362))*(1+'1-Input'!$B$27))</f>
        <v>0</v>
      </c>
      <c r="AN362" s="18">
        <f>IF($A362&gt;'1-Input'!$B$26,AP361,(AP361-AL362)*(1+'5-Roberta'!$C$4))</f>
        <v>206822.129514195</v>
      </c>
      <c r="AO362" s="18">
        <f>IF($A362&gt;'1-Input'!$B$26,AM362,AM362-'P-Parametri'!$B$8*(AN362+AM362)+MIN(MAX(AN362,0),'P-Parametri'!$B$8*(AN362+AM362)))</f>
        <v>0</v>
      </c>
      <c r="AP362" s="18">
        <f>IF($A362&gt;'1-Input'!$B$26,AN362,AN362-MIN(MAX(AN362,0),'P-Parametri'!$B$8*(AN362+AM362)))</f>
        <v>206408.4852551666</v>
      </c>
      <c r="AQ362" s="18">
        <f>IF($A362&gt;'1-Input'!$B$26,AQ361,AQ361-AL362*(1-AK362))</f>
        <v>95820.516961669287</v>
      </c>
    </row>
    <row r="363" spans="1:43">
      <c r="A363" s="10">
        <f>20</f>
        <v>20</v>
      </c>
      <c r="B363" s="11">
        <f>IF($A363&gt;'1-Input'!$B$26,0,IF(G362&lt;=0,0,MAX(0,(G362-H362)/G362)))</f>
        <v>0.53577239403111743</v>
      </c>
      <c r="C363" s="18">
        <f>IF($A363&gt;'1-Input'!$B$26,0,(MAX(0,B341-IF($A363&gt;=('1-Input'!$C$12-1),'1-Input'!$B$12,0))-MIN(MAX(F362,0),MAX(0,B341-IF($A363&gt;=('1-Input'!$C$12-1),'1-Input'!$B$12,0))))*(1/(1-'P-Parametri'!$B$6*B363))+MIN(MAX(0,G362-(MAX(0,B341-IF($A363&gt;=('1-Input'!$C$12-1),'1-Input'!$B$12,0))-MIN(MAX(F362,0),MAX(0,B341-IF($A363&gt;=('1-Input'!$C$12-1),'1-Input'!$B$12,0))))*(1/(1-'P-Parametri'!$B$6*B363))),MAX(0,0*B341-(F362-MIN(MAX(F362,0),MAX(0,B341-IF($A363&gt;=('1-Input'!$C$12-1),'1-Input'!$B$12,0)))))*(1/(1-'P-Parametri'!$B$6*B363))))</f>
        <v>19380.819396239931</v>
      </c>
      <c r="D363" s="18">
        <f>IF($A363&gt;'1-Input'!$B$26,F362,(F362-MAX(0,B341-IF($A363&gt;=('1-Input'!$C$12-1),'1-Input'!$B$12,0))+C363*(1-'P-Parametri'!$B$6*B363))*(1+'1-Input'!$B$27))</f>
        <v>0</v>
      </c>
      <c r="E363" s="18">
        <f>IF($A363&gt;'1-Input'!$B$26,G362,(G362-C363)*(1+'5-Roberta'!$C$4))</f>
        <v>262054.7419094709</v>
      </c>
      <c r="F363" s="18">
        <f>IF($A363&gt;'1-Input'!$B$26,D363,D363-'P-Parametri'!$B$8*(E363+D363)+MIN(MAX(E363,0),'P-Parametri'!$B$8*(E363+D363)))</f>
        <v>0</v>
      </c>
      <c r="G363" s="18">
        <f>IF($A363&gt;'1-Input'!$B$26,E363,E363-MIN(MAX(E363,0),'P-Parametri'!$B$8*(E363+D363)))</f>
        <v>261530.63242565197</v>
      </c>
      <c r="H363" s="18">
        <f>IF($A363&gt;'1-Input'!$B$26,H362,H362-C363*(1-B363))</f>
        <v>118109.7528829389</v>
      </c>
      <c r="I363" s="11">
        <f>IF($A363&gt;'1-Input'!$B$26,0,IF(N362&lt;=0,0,MAX(0,(N362-O362)/N362)))</f>
        <v>0.53577239403111809</v>
      </c>
      <c r="J363" s="18">
        <f>IF($A363&gt;'1-Input'!$B$26,0,(MAX(0,I341-IF($A363&gt;=('1-Input'!$C$12-1),'1-Input'!$B$12,0))-MIN(MAX(M362,0),MAX(0,I341-IF($A363&gt;=('1-Input'!$C$12-1),'1-Input'!$B$12,0))))*(1/(1-'P-Parametri'!$B$6*I363))+MIN(MAX(0,N362-(MAX(0,I341-IF($A363&gt;=('1-Input'!$C$12-1),'1-Input'!$B$12,0))-MIN(MAX(M362,0),MAX(0,I341-IF($A363&gt;=('1-Input'!$C$12-1),'1-Input'!$B$12,0))))*(1/(1-'P-Parametri'!$B$6*I363))),MAX(0,0*I341-(M362-MIN(MAX(M362,0),MAX(0,I341-IF($A363&gt;=('1-Input'!$C$12-1),'1-Input'!$B$12,0)))))*(1/(1-'P-Parametri'!$B$6*I363))))</f>
        <v>25501.078152947288</v>
      </c>
      <c r="K363" s="18">
        <f>IF($A363&gt;'1-Input'!$B$26,M362,(M362-MAX(0,I341-IF($A363&gt;=('1-Input'!$C$12-1),'1-Input'!$B$12,0))+J363*(1-'P-Parametri'!$B$6*I363))*(1+'1-Input'!$B$27))</f>
        <v>0</v>
      </c>
      <c r="L363" s="18">
        <f>IF($A363&gt;'1-Input'!$B$26,N362,(N362-J363)*(1+'5-Roberta'!$C$4))</f>
        <v>103783.72534299247</v>
      </c>
      <c r="M363" s="18">
        <f>IF($A363&gt;'1-Input'!$B$26,K363,K363-'P-Parametri'!$B$8*(L363+K363)+MIN(MAX(L363,0),'P-Parametri'!$B$8*(L363+K363)))</f>
        <v>0</v>
      </c>
      <c r="N363" s="18">
        <f>IF($A363&gt;'1-Input'!$B$26,L363,L363-MIN(MAX(L363,0),'P-Parametri'!$B$8*(L363+K363)))</f>
        <v>103576.1578923065</v>
      </c>
      <c r="O363" s="18">
        <f>IF($A363&gt;'1-Input'!$B$26,O362,O362-J363*(1-I363))</f>
        <v>46775.990635445996</v>
      </c>
      <c r="P363" s="11">
        <f>IF($A363&gt;'1-Input'!$B$26,0,IF(U362&lt;=0,0,MAX(0,(U362-V362)/U362)))</f>
        <v>0.53577239403111798</v>
      </c>
      <c r="Q363" s="18">
        <f>IF($A363&gt;'1-Input'!$B$26,0,(MAX(0,P341-IF($A363&gt;=('1-Input'!$C$12-1),'1-Input'!$B$12,0))-MIN(MAX(T362,0),MAX(0,P341-IF($A363&gt;=('1-Input'!$C$12-1),'1-Input'!$B$12,0))))*(1/(1-'P-Parametri'!$B$6*P363))+MIN(MAX(0,U362-(MAX(0,P341-IF($A363&gt;=('1-Input'!$C$12-1),'1-Input'!$B$12,0))-MIN(MAX(T362,0),MAX(0,P341-IF($A363&gt;=('1-Input'!$C$12-1),'1-Input'!$B$12,0))))*(1/(1-'P-Parametri'!$B$6*P363))),MAX(0,0*P341-(T362-MIN(MAX(T362,0),MAX(0,P341-IF($A363&gt;=('1-Input'!$C$12-1),'1-Input'!$B$12,0)))))*(1/(1-'P-Parametri'!$B$6*P363))))</f>
        <v>22478.248044214408</v>
      </c>
      <c r="R363" s="18">
        <f>IF($A363&gt;'1-Input'!$B$26,T362,(T362-MAX(0,P341-IF($A363&gt;=('1-Input'!$C$12-1),'1-Input'!$B$12,0))+Q363*(1-'P-Parametri'!$B$6*P363))*(1+'1-Input'!$B$27))</f>
        <v>0</v>
      </c>
      <c r="S363" s="18">
        <f>IF($A363&gt;'1-Input'!$B$26,U362,(U362-Q363)*(1+'5-Roberta'!$C$4))</f>
        <v>181954.66765692516</v>
      </c>
      <c r="T363" s="18">
        <f>IF($A363&gt;'1-Input'!$B$26,R363,R363-'P-Parametri'!$B$8*(S363+R363)+MIN(MAX(S363,0),'P-Parametri'!$B$8*(S363+R363)))</f>
        <v>0</v>
      </c>
      <c r="U363" s="18">
        <f>IF($A363&gt;'1-Input'!$B$26,S363,S363-MIN(MAX(S363,0),'P-Parametri'!$B$8*(S363+R363)))</f>
        <v>181590.7583216113</v>
      </c>
      <c r="V363" s="18">
        <f>IF($A363&gt;'1-Input'!$B$26,V362,V362-Q363*(1-P363))</f>
        <v>82008.135690522264</v>
      </c>
      <c r="W363" s="11">
        <f>IF($A363&gt;'1-Input'!$B$26,0,IF(AB362&lt;=0,0,MAX(0,(AB362-AC362)/AB362)))</f>
        <v>0.5357723940311182</v>
      </c>
      <c r="X363" s="18">
        <f>IF($A363&gt;'1-Input'!$B$26,0,(MAX(0,W341-IF($A363&gt;=('1-Input'!$C$12-1),'1-Input'!$B$12,0))-MIN(MAX(AA362,0),MAX(0,W341-IF($A363&gt;=('1-Input'!$C$12-1),'1-Input'!$B$12,0))))*(1/(1-'P-Parametri'!$B$6*W363))+MIN(MAX(0,AB362-(MAX(0,W341-IF($A363&gt;=('1-Input'!$C$12-1),'1-Input'!$B$12,0))-MIN(MAX(AA362,0),MAX(0,W341-IF($A363&gt;=('1-Input'!$C$12-1),'1-Input'!$B$12,0))))*(1/(1-'P-Parametri'!$B$6*W363))),MAX(0,0*W341-(AA362-MIN(MAX(AA362,0),MAX(0,W341-IF($A363&gt;=('1-Input'!$C$12-1),'1-Input'!$B$12,0)))))*(1/(1-'P-Parametri'!$B$6*W363))))</f>
        <v>22167.810514712179</v>
      </c>
      <c r="Y363" s="18">
        <f>IF($A363&gt;'1-Input'!$B$26,AA362,(AA362-MAX(0,W341-IF($A363&gt;=('1-Input'!$C$12-1),'1-Input'!$B$12,0))+X363*(1-'P-Parametri'!$B$6*W363))*(1+'1-Input'!$B$27))</f>
        <v>0</v>
      </c>
      <c r="Z363" s="18">
        <f>IF($A363&gt;'1-Input'!$B$26,AB362,(AB362-X363)*(1+'5-Roberta'!$C$4))</f>
        <v>189982.6392391492</v>
      </c>
      <c r="AA363" s="18">
        <f>IF($A363&gt;'1-Input'!$B$26,Y363,Y363-'P-Parametri'!$B$8*(Z363+Y363)+MIN(MAX(Z363,0),'P-Parametri'!$B$8*(Z363+Y363)))</f>
        <v>0</v>
      </c>
      <c r="AB363" s="18">
        <f>IF($A363&gt;'1-Input'!$B$26,Z363,Z363-MIN(MAX(Z363,0),'P-Parametri'!$B$8*(Z363+Y363)))</f>
        <v>189602.67396067089</v>
      </c>
      <c r="AC363" s="18">
        <f>IF($A363&gt;'1-Input'!$B$26,AC362,AC362-X363*(1-W363))</f>
        <v>85626.393970524237</v>
      </c>
      <c r="AD363" s="11">
        <f>IF($A363&gt;'1-Input'!$B$26,0,IF(AI362&lt;=0,0,MAX(0,(AI362-AJ362)/AI362)))</f>
        <v>0.53577239403111765</v>
      </c>
      <c r="AE363" s="18">
        <f>IF($A363&gt;'1-Input'!$B$26,0,(MAX(0,AD341-IF($A363&gt;=('1-Input'!$C$12-1),'1-Input'!$B$12,0))-MIN(MAX(AH362,0),MAX(0,AD341-IF($A363&gt;=('1-Input'!$C$12-1),'1-Input'!$B$12,0))))*(1/(1-'P-Parametri'!$B$6*AD363))+MIN(MAX(0,AI362-(MAX(0,AD341-IF($A363&gt;=('1-Input'!$C$12-1),'1-Input'!$B$12,0))-MIN(MAX(AH362,0),MAX(0,AD341-IF($A363&gt;=('1-Input'!$C$12-1),'1-Input'!$B$12,0))))*(1/(1-'P-Parametri'!$B$6*AD363))),MAX(0,0*AD341-(AH362-MIN(MAX(AH362,0),MAX(0,AD341-IF($A363&gt;=('1-Input'!$C$12-1),'1-Input'!$B$12,0)))))*(1/(1-'P-Parametri'!$B$6*AD363))))</f>
        <v>22178.028901834277</v>
      </c>
      <c r="AF363" s="18">
        <f>IF($A363&gt;'1-Input'!$B$26,AH362,(AH362-MAX(0,AD341-IF($A363&gt;=('1-Input'!$C$12-1),'1-Input'!$B$12,0))+AE363*(1-'P-Parametri'!$B$6*AD363))*(1+'1-Input'!$B$27))</f>
        <v>0</v>
      </c>
      <c r="AG363" s="18">
        <f>IF($A363&gt;'1-Input'!$B$26,AI362,(AI362-AE363)*(1+'5-Roberta'!$C$4))</f>
        <v>189718.38986967376</v>
      </c>
      <c r="AH363" s="18">
        <f>IF($A363&gt;'1-Input'!$B$26,AF363,AF363-'P-Parametri'!$B$8*(AG363+AF363)+MIN(MAX(AG363,0),'P-Parametri'!$B$8*(AG363+AF363)))</f>
        <v>0</v>
      </c>
      <c r="AI363" s="18">
        <f>IF($A363&gt;'1-Input'!$B$26,AG363,AG363-MIN(MAX(AG363,0),'P-Parametri'!$B$8*(AG363+AF363)))</f>
        <v>189338.95308993442</v>
      </c>
      <c r="AJ363" s="18">
        <f>IF($A363&gt;'1-Input'!$B$26,AJ362,AJ362-AE363*(1-AD363))</f>
        <v>85507.295084922036</v>
      </c>
      <c r="AK363" s="11">
        <f>IF($A363&gt;'1-Input'!$B$26,0,IF(AP362&lt;=0,0,MAX(0,(AP362-AQ362)/AP362)))</f>
        <v>0.53577239403111787</v>
      </c>
      <c r="AL363" s="18">
        <f>IF($A363&gt;'1-Input'!$B$26,0,(MAX(0,AK341-IF($A363&gt;=('1-Input'!$C$12-1),'1-Input'!$B$12,0))-MIN(MAX(AO362,0),MAX(0,AK341-IF($A363&gt;=('1-Input'!$C$12-1),'1-Input'!$B$12,0))))*(1/(1-'P-Parametri'!$B$6*AK363))+MIN(MAX(0,AP362-(MAX(0,AK341-IF($A363&gt;=('1-Input'!$C$12-1),'1-Input'!$B$12,0))-MIN(MAX(AO362,0),MAX(0,AK341-IF($A363&gt;=('1-Input'!$C$12-1),'1-Input'!$B$12,0))))*(1/(1-'P-Parametri'!$B$6*AK363))),MAX(0,0*AK341-(AO362-MIN(MAX(AO362,0),MAX(0,AK341-IF($A363&gt;=('1-Input'!$C$12-1),'1-Input'!$B$12,0)))))*(1/(1-'P-Parametri'!$B$6*AK363))))</f>
        <v>22176.459031288116</v>
      </c>
      <c r="AM363" s="18">
        <f>IF($A363&gt;'1-Input'!$B$26,AO362,(AO362-MAX(0,AK341-IF($A363&gt;=('1-Input'!$C$12-1),'1-Input'!$B$12,0))+AL363*(1-'P-Parametri'!$B$6*AK363))*(1+'1-Input'!$B$27))</f>
        <v>0</v>
      </c>
      <c r="AN363" s="18">
        <f>IF($A363&gt;'1-Input'!$B$26,AP362,(AP362-AL363)*(1+'5-Roberta'!$C$4))</f>
        <v>189758.98701059486</v>
      </c>
      <c r="AO363" s="18">
        <f>IF($A363&gt;'1-Input'!$B$26,AM363,AM363-'P-Parametri'!$B$8*(AN363+AM363)+MIN(MAX(AN363,0),'P-Parametri'!$B$8*(AN363+AM363)))</f>
        <v>0</v>
      </c>
      <c r="AP363" s="18">
        <f>IF($A363&gt;'1-Input'!$B$26,AN363,AN363-MIN(MAX(AN363,0),'P-Parametri'!$B$8*(AN363+AM363)))</f>
        <v>189379.46903657366</v>
      </c>
      <c r="AQ363" s="18">
        <f>IF($A363&gt;'1-Input'!$B$26,AQ362,AQ362-AL363*(1-AK363))</f>
        <v>85525.592476707418</v>
      </c>
    </row>
    <row r="364" spans="1:43">
      <c r="A364" s="10">
        <f>21</f>
        <v>21</v>
      </c>
      <c r="B364" s="11">
        <f>IF($A364&gt;'1-Input'!$B$26,0,IF(G363&lt;=0,0,MAX(0,(G363-H363)/G363)))</f>
        <v>0.5483903671723227</v>
      </c>
      <c r="C364" s="18">
        <f>IF($A364&gt;'1-Input'!$B$26,0,(MAX(0,B341-IF($A364&gt;=('1-Input'!$C$12-1),'1-Input'!$B$12,0))-MIN(MAX(F363,0),MAX(0,B341-IF($A364&gt;=('1-Input'!$C$12-1),'1-Input'!$B$12,0))))*(1/(1-'P-Parametri'!$B$6*B364))+MIN(MAX(0,G363-(MAX(0,B341-IF($A364&gt;=('1-Input'!$C$12-1),'1-Input'!$B$12,0))-MIN(MAX(F363,0),MAX(0,B341-IF($A364&gt;=('1-Input'!$C$12-1),'1-Input'!$B$12,0))))*(1/(1-'P-Parametri'!$B$6*B364))),MAX(0,0*B341-(F363-MIN(MAX(F363,0),MAX(0,B341-IF($A364&gt;=('1-Input'!$C$12-1),'1-Input'!$B$12,0)))))*(1/(1-'P-Parametri'!$B$6*B364))))</f>
        <v>19454.974701844756</v>
      </c>
      <c r="D364" s="18">
        <f>IF($A364&gt;'1-Input'!$B$26,F363,(F363-MAX(0,B341-IF($A364&gt;=('1-Input'!$C$12-1),'1-Input'!$B$12,0))+C364*(1-'P-Parametri'!$B$6*B364))*(1+'1-Input'!$B$27))</f>
        <v>0</v>
      </c>
      <c r="E364" s="18">
        <f>IF($A364&gt;'1-Input'!$B$26,G363,(G363-C364)*(1+'5-Roberta'!$C$4))</f>
        <v>249337.92745552142</v>
      </c>
      <c r="F364" s="18">
        <f>IF($A364&gt;'1-Input'!$B$26,D364,D364-'P-Parametri'!$B$8*(E364+D364)+MIN(MAX(E364,0),'P-Parametri'!$B$8*(E364+D364)))</f>
        <v>0</v>
      </c>
      <c r="G364" s="18">
        <f>IF($A364&gt;'1-Input'!$B$26,E364,E364-MIN(MAX(E364,0),'P-Parametri'!$B$8*(E364+D364)))</f>
        <v>248839.25160061038</v>
      </c>
      <c r="H364" s="18">
        <f>IF($A364&gt;'1-Input'!$B$26,H363,H363-C364*(1-B364))</f>
        <v>109323.69890116704</v>
      </c>
      <c r="I364" s="11">
        <f>IF($A364&gt;'1-Input'!$B$26,0,IF(N363&lt;=0,0,MAX(0,(N363-O363)/N363)))</f>
        <v>0.54839036717232337</v>
      </c>
      <c r="J364" s="18">
        <f>IF($A364&gt;'1-Input'!$B$26,0,(MAX(0,I341-IF($A364&gt;=('1-Input'!$C$12-1),'1-Input'!$B$12,0))-MIN(MAX(M363,0),MAX(0,I341-IF($A364&gt;=('1-Input'!$C$12-1),'1-Input'!$B$12,0))))*(1/(1-'P-Parametri'!$B$6*I364))+MIN(MAX(0,N363-(MAX(0,I341-IF($A364&gt;=('1-Input'!$C$12-1),'1-Input'!$B$12,0))-MIN(MAX(M363,0),MAX(0,I341-IF($A364&gt;=('1-Input'!$C$12-1),'1-Input'!$B$12,0))))*(1/(1-'P-Parametri'!$B$6*I364))),MAX(0,0*I341-(M363-MIN(MAX(M363,0),MAX(0,I341-IF($A364&gt;=('1-Input'!$C$12-1),'1-Input'!$B$12,0)))))*(1/(1-'P-Parametri'!$B$6*I364))))</f>
        <v>25598.650923479952</v>
      </c>
      <c r="K364" s="18">
        <f>IF($A364&gt;'1-Input'!$B$26,M363,(M363-MAX(0,I341-IF($A364&gt;=('1-Input'!$C$12-1),'1-Input'!$B$12,0))+J364*(1-'P-Parametri'!$B$6*I364))*(1+'1-Input'!$B$27))</f>
        <v>0</v>
      </c>
      <c r="L364" s="18">
        <f>IF($A364&gt;'1-Input'!$B$26,N363,(N363-J364)*(1+'5-Roberta'!$C$4))</f>
        <v>80316.832177891352</v>
      </c>
      <c r="M364" s="18">
        <f>IF($A364&gt;'1-Input'!$B$26,K364,K364-'P-Parametri'!$B$8*(L364+K364)+MIN(MAX(L364,0),'P-Parametri'!$B$8*(L364+K364)))</f>
        <v>0</v>
      </c>
      <c r="N364" s="18">
        <f>IF($A364&gt;'1-Input'!$B$26,L364,L364-MIN(MAX(L364,0),'P-Parametri'!$B$8*(L364+K364)))</f>
        <v>80156.198513535564</v>
      </c>
      <c r="O364" s="18">
        <f>IF($A364&gt;'1-Input'!$B$26,O363,O363-J364*(1-I364))</f>
        <v>35215.39329100935</v>
      </c>
      <c r="P364" s="11">
        <f>IF($A364&gt;'1-Input'!$B$26,0,IF(U363&lt;=0,0,MAX(0,(U363-V363)/U363)))</f>
        <v>0.54839036717232326</v>
      </c>
      <c r="Q364" s="18">
        <f>IF($A364&gt;'1-Input'!$B$26,0,(MAX(0,P341-IF($A364&gt;=('1-Input'!$C$12-1),'1-Input'!$B$12,0))-MIN(MAX(T363,0),MAX(0,P341-IF($A364&gt;=('1-Input'!$C$12-1),'1-Input'!$B$12,0))))*(1/(1-'P-Parametri'!$B$6*P364))+MIN(MAX(0,U363-(MAX(0,P341-IF($A364&gt;=('1-Input'!$C$12-1),'1-Input'!$B$12,0))-MIN(MAX(T363,0),MAX(0,P341-IF($A364&gt;=('1-Input'!$C$12-1),'1-Input'!$B$12,0))))*(1/(1-'P-Parametri'!$B$6*P364))),MAX(0,0*P341-(T363-MIN(MAX(T363,0),MAX(0,P341-IF($A364&gt;=('1-Input'!$C$12-1),'1-Input'!$B$12,0)))))*(1/(1-'P-Parametri'!$B$6*P364))))</f>
        <v>22564.254797546168</v>
      </c>
      <c r="R364" s="18">
        <f>IF($A364&gt;'1-Input'!$B$26,T363,(T363-MAX(0,P341-IF($A364&gt;=('1-Input'!$C$12-1),'1-Input'!$B$12,0))+Q364*(1-'P-Parametri'!$B$6*P364))*(1+'1-Input'!$B$27))</f>
        <v>3.6248820833861826E-12</v>
      </c>
      <c r="S364" s="18">
        <f>IF($A364&gt;'1-Input'!$B$26,U363,(U363-Q364)*(1+'5-Roberta'!$C$4))</f>
        <v>163797.29862978708</v>
      </c>
      <c r="T364" s="18">
        <f>IF($A364&gt;'1-Input'!$B$26,R364,R364-'P-Parametri'!$B$8*(S364+R364)+MIN(MAX(S364,0),'P-Parametri'!$B$8*(S364+R364)))</f>
        <v>3.637978807091713E-12</v>
      </c>
      <c r="U364" s="18">
        <f>IF($A364&gt;'1-Input'!$B$26,S364,S364-MIN(MAX(S364,0),'P-Parametri'!$B$8*(S364+R364)))</f>
        <v>163469.70403252752</v>
      </c>
      <c r="V364" s="18">
        <f>IF($A364&gt;'1-Input'!$B$26,V363,V363-Q364*(1-P364))</f>
        <v>71817.900866372293</v>
      </c>
      <c r="W364" s="11">
        <f>IF($A364&gt;'1-Input'!$B$26,0,IF(AB363&lt;=0,0,MAX(0,(AB363-AC363)/AB363)))</f>
        <v>0.54839036717232348</v>
      </c>
      <c r="X364" s="18">
        <f>IF($A364&gt;'1-Input'!$B$26,0,(MAX(0,W341-IF($A364&gt;=('1-Input'!$C$12-1),'1-Input'!$B$12,0))-MIN(MAX(AA363,0),MAX(0,W341-IF($A364&gt;=('1-Input'!$C$12-1),'1-Input'!$B$12,0))))*(1/(1-'P-Parametri'!$B$6*W364))+MIN(MAX(0,AB363-(MAX(0,W341-IF($A364&gt;=('1-Input'!$C$12-1),'1-Input'!$B$12,0))-MIN(MAX(AA363,0),MAX(0,W341-IF($A364&gt;=('1-Input'!$C$12-1),'1-Input'!$B$12,0))))*(1/(1-'P-Parametri'!$B$6*W364))),MAX(0,0*W341-(AA363-MIN(MAX(AA363,0),MAX(0,W341-IF($A364&gt;=('1-Input'!$C$12-1),'1-Input'!$B$12,0)))))*(1/(1-'P-Parametri'!$B$6*W364))))</f>
        <v>22252.629465330298</v>
      </c>
      <c r="Y364" s="18">
        <f>IF($A364&gt;'1-Input'!$B$26,AA363,(AA363-MAX(0,W341-IF($A364&gt;=('1-Input'!$C$12-1),'1-Input'!$B$12,0))+X364*(1-'P-Parametri'!$B$6*W364))*(1+'1-Input'!$B$27))</f>
        <v>0</v>
      </c>
      <c r="Z364" s="18">
        <f>IF($A364&gt;'1-Input'!$B$26,AB363,(AB363-X364)*(1+'5-Roberta'!$C$4))</f>
        <v>172370.5458302008</v>
      </c>
      <c r="AA364" s="18">
        <f>IF($A364&gt;'1-Input'!$B$26,Y364,Y364-'P-Parametri'!$B$8*(Z364+Y364)+MIN(MAX(Z364,0),'P-Parametri'!$B$8*(Z364+Y364)))</f>
        <v>0</v>
      </c>
      <c r="AB364" s="18">
        <f>IF($A364&gt;'1-Input'!$B$26,Z364,Z364-MIN(MAX(Z364,0),'P-Parametri'!$B$8*(Z364+Y364)))</f>
        <v>172025.80473854041</v>
      </c>
      <c r="AC364" s="18">
        <f>IF($A364&gt;'1-Input'!$B$26,AC363,AC363-X364*(1-W364))</f>
        <v>75576.892148236089</v>
      </c>
      <c r="AD364" s="11">
        <f>IF($A364&gt;'1-Input'!$B$26,0,IF(AI363&lt;=0,0,MAX(0,(AI363-AJ363)/AI363)))</f>
        <v>0.54839036717232303</v>
      </c>
      <c r="AE364" s="18">
        <f>IF($A364&gt;'1-Input'!$B$26,0,(MAX(0,AD341-IF($A364&gt;=('1-Input'!$C$12-1),'1-Input'!$B$12,0))-MIN(MAX(AH363,0),MAX(0,AD341-IF($A364&gt;=('1-Input'!$C$12-1),'1-Input'!$B$12,0))))*(1/(1-'P-Parametri'!$B$6*AD364))+MIN(MAX(0,AI363-(MAX(0,AD341-IF($A364&gt;=('1-Input'!$C$12-1),'1-Input'!$B$12,0))-MIN(MAX(AH363,0),MAX(0,AD341-IF($A364&gt;=('1-Input'!$C$12-1),'1-Input'!$B$12,0))))*(1/(1-'P-Parametri'!$B$6*AD364))),MAX(0,0*AD341-(AH363-MIN(MAX(AH363,0),MAX(0,AD341-IF($A364&gt;=('1-Input'!$C$12-1),'1-Input'!$B$12,0)))))*(1/(1-'P-Parametri'!$B$6*AD364))))</f>
        <v>22262.88695026371</v>
      </c>
      <c r="AF364" s="18">
        <f>IF($A364&gt;'1-Input'!$B$26,AH363,(AH363-MAX(0,AD341-IF($A364&gt;=('1-Input'!$C$12-1),'1-Input'!$B$12,0))+AE364*(1-'P-Parametri'!$B$6*AD364))*(1+'1-Input'!$B$27))</f>
        <v>0</v>
      </c>
      <c r="AG364" s="18">
        <f>IF($A364&gt;'1-Input'!$B$26,AI363,(AI363-AE364)*(1+'5-Roberta'!$C$4))</f>
        <v>172088.34812386087</v>
      </c>
      <c r="AH364" s="18">
        <f>IF($A364&gt;'1-Input'!$B$26,AF364,AF364-'P-Parametri'!$B$8*(AG364+AF364)+MIN(MAX(AG364,0),'P-Parametri'!$B$8*(AG364+AF364)))</f>
        <v>0</v>
      </c>
      <c r="AI364" s="18">
        <f>IF($A364&gt;'1-Input'!$B$26,AG364,AG364-MIN(MAX(AG364,0),'P-Parametri'!$B$8*(AG364+AF364)))</f>
        <v>171744.17142761315</v>
      </c>
      <c r="AJ364" s="18">
        <f>IF($A364&gt;'1-Input'!$B$26,AJ363,AJ363-AE364*(1-AD364))</f>
        <v>75453.16088362936</v>
      </c>
      <c r="AK364" s="11">
        <f>IF($A364&gt;'1-Input'!$B$26,0,IF(AP363&lt;=0,0,MAX(0,(AP363-AQ363)/AP363)))</f>
        <v>0.54839036717232326</v>
      </c>
      <c r="AL364" s="18">
        <f>IF($A364&gt;'1-Input'!$B$26,0,(MAX(0,AK341-IF($A364&gt;=('1-Input'!$C$12-1),'1-Input'!$B$12,0))-MIN(MAX(AO363,0),MAX(0,AK341-IF($A364&gt;=('1-Input'!$C$12-1),'1-Input'!$B$12,0))))*(1/(1-'P-Parametri'!$B$6*AK364))+MIN(MAX(0,AP363-(MAX(0,AK341-IF($A364&gt;=('1-Input'!$C$12-1),'1-Input'!$B$12,0))-MIN(MAX(AO363,0),MAX(0,AK341-IF($A364&gt;=('1-Input'!$C$12-1),'1-Input'!$B$12,0))))*(1/(1-'P-Parametri'!$B$6*AK364))),MAX(0,0*AK341-(AO363-MIN(MAX(AO363,0),MAX(0,AK341-IF($A364&gt;=('1-Input'!$C$12-1),'1-Input'!$B$12,0)))))*(1/(1-'P-Parametri'!$B$6*AK364))))</f>
        <v>22261.311073045294</v>
      </c>
      <c r="AM364" s="18">
        <f>IF($A364&gt;'1-Input'!$B$26,AO363,(AO363-MAX(0,AK341-IF($A364&gt;=('1-Input'!$C$12-1),'1-Input'!$B$12,0))+AL364*(1-'P-Parametri'!$B$6*AK364))*(1+'1-Input'!$B$27))</f>
        <v>0</v>
      </c>
      <c r="AN364" s="18">
        <f>IF($A364&gt;'1-Input'!$B$26,AP363,(AP363-AL364)*(1+'5-Roberta'!$C$4))</f>
        <v>172131.70270243421</v>
      </c>
      <c r="AO364" s="18">
        <f>IF($A364&gt;'1-Input'!$B$26,AM364,AM364-'P-Parametri'!$B$8*(AN364+AM364)+MIN(MAX(AN364,0),'P-Parametri'!$B$8*(AN364+AM364)))</f>
        <v>0</v>
      </c>
      <c r="AP364" s="18">
        <f>IF($A364&gt;'1-Input'!$B$26,AN364,AN364-MIN(MAX(AN364,0),'P-Parametri'!$B$8*(AN364+AM364)))</f>
        <v>171787.43929702934</v>
      </c>
      <c r="AQ364" s="18">
        <f>IF($A364&gt;'1-Input'!$B$26,AQ363,AQ363-AL364*(1-AK364))</f>
        <v>75472.169956746744</v>
      </c>
    </row>
    <row r="365" spans="1:43">
      <c r="A365" s="10">
        <f>22</f>
        <v>22</v>
      </c>
      <c r="B365" s="11">
        <f>IF($A365&gt;'1-Input'!$B$26,0,IF(G364&lt;=0,0,MAX(0,(G364-H364)/G364)))</f>
        <v>0.56066537655147464</v>
      </c>
      <c r="C365" s="18">
        <f>IF($A365&gt;'1-Input'!$B$26,0,(MAX(0,B341-IF($A365&gt;=('1-Input'!$C$12-1),'1-Input'!$B$12,0))-MIN(MAX(F364,0),MAX(0,B341-IF($A365&gt;=('1-Input'!$C$12-1),'1-Input'!$B$12,0))))*(1/(1-'P-Parametri'!$B$6*B365))+MIN(MAX(0,G364-(MAX(0,B341-IF($A365&gt;=('1-Input'!$C$12-1),'1-Input'!$B$12,0))-MIN(MAX(F364,0),MAX(0,B341-IF($A365&gt;=('1-Input'!$C$12-1),'1-Input'!$B$12,0))))*(1/(1-'P-Parametri'!$B$6*B365))),MAX(0,0*B341-(F364-MIN(MAX(F364,0),MAX(0,B341-IF($A365&gt;=('1-Input'!$C$12-1),'1-Input'!$B$12,0)))))*(1/(1-'P-Parametri'!$B$6*B365))))</f>
        <v>6531.1156179008121</v>
      </c>
      <c r="D365" s="18">
        <f>IF($A365&gt;'1-Input'!$B$26,F364,(F364-MAX(0,B341-IF($A365&gt;=('1-Input'!$C$12-1),'1-Input'!$B$12,0))+C365*(1-'P-Parametri'!$B$6*B365))*(1+'1-Input'!$B$27))</f>
        <v>0</v>
      </c>
      <c r="E365" s="18">
        <f>IF($A365&gt;'1-Input'!$B$26,G364,(G364-C365)*(1+'5-Roberta'!$C$4))</f>
        <v>249577.38006219084</v>
      </c>
      <c r="F365" s="18">
        <f>IF($A365&gt;'1-Input'!$B$26,D365,D365-'P-Parametri'!$B$8*(E365+D365)+MIN(MAX(E365,0),'P-Parametri'!$B$8*(E365+D365)))</f>
        <v>0</v>
      </c>
      <c r="G365" s="18">
        <f>IF($A365&gt;'1-Input'!$B$26,E365,E365-MIN(MAX(E365,0),'P-Parametri'!$B$8*(E365+D365)))</f>
        <v>249078.22530206645</v>
      </c>
      <c r="H365" s="18">
        <f>IF($A365&gt;'1-Input'!$B$26,H364,H364-C365*(1-B365))</f>
        <v>106454.3536804778</v>
      </c>
      <c r="I365" s="11">
        <f>IF($A365&gt;'1-Input'!$B$26,0,IF(N364&lt;=0,0,MAX(0,(N364-O364)/N364)))</f>
        <v>0.56066537655147519</v>
      </c>
      <c r="J365" s="18">
        <f>IF($A365&gt;'1-Input'!$B$26,0,(MAX(0,I341-IF($A365&gt;=('1-Input'!$C$12-1),'1-Input'!$B$12,0))-MIN(MAX(M364,0),MAX(0,I341-IF($A365&gt;=('1-Input'!$C$12-1),'1-Input'!$B$12,0))))*(1/(1-'P-Parametri'!$B$6*I365))+MIN(MAX(0,N364-(MAX(0,I341-IF($A365&gt;=('1-Input'!$C$12-1),'1-Input'!$B$12,0))-MIN(MAX(M364,0),MAX(0,I341-IF($A365&gt;=('1-Input'!$C$12-1),'1-Input'!$B$12,0))))*(1/(1-'P-Parametri'!$B$6*I365))),MAX(0,0*I341-(M364-MIN(MAX(M364,0),MAX(0,I341-IF($A365&gt;=('1-Input'!$C$12-1),'1-Input'!$B$12,0)))))*(1/(1-'P-Parametri'!$B$6*I365))))</f>
        <v>12697.745407609907</v>
      </c>
      <c r="K365" s="18">
        <f>IF($A365&gt;'1-Input'!$B$26,M364,(M364-MAX(0,I341-IF($A365&gt;=('1-Input'!$C$12-1),'1-Input'!$B$12,0))+J365*(1-'P-Parametri'!$B$6*I365))*(1+'1-Input'!$B$27))</f>
        <v>0</v>
      </c>
      <c r="L365" s="18">
        <f>IF($A365&gt;'1-Input'!$B$26,N364,(N364-J365)*(1+'5-Roberta'!$C$4))</f>
        <v>69482.206699103423</v>
      </c>
      <c r="M365" s="18">
        <f>IF($A365&gt;'1-Input'!$B$26,K365,K365-'P-Parametri'!$B$8*(L365+K365)+MIN(MAX(L365,0),'P-Parametri'!$B$8*(L365+K365)))</f>
        <v>0</v>
      </c>
      <c r="N365" s="18">
        <f>IF($A365&gt;'1-Input'!$B$26,L365,L365-MIN(MAX(L365,0),'P-Parametri'!$B$8*(L365+K365)))</f>
        <v>69343.242285705215</v>
      </c>
      <c r="O365" s="18">
        <f>IF($A365&gt;'1-Input'!$B$26,O364,O364-J365*(1-I365))</f>
        <v>29636.834093711816</v>
      </c>
      <c r="P365" s="11">
        <f>IF($A365&gt;'1-Input'!$B$26,0,IF(U364&lt;=0,0,MAX(0,(U364-V364)/U364)))</f>
        <v>0.56066537655147508</v>
      </c>
      <c r="Q365" s="18">
        <f>IF($A365&gt;'1-Input'!$B$26,0,(MAX(0,P341-IF($A365&gt;=('1-Input'!$C$12-1),'1-Input'!$B$12,0))-MIN(MAX(T364,0),MAX(0,P341-IF($A365&gt;=('1-Input'!$C$12-1),'1-Input'!$B$12,0))))*(1/(1-'P-Parametri'!$B$6*P365))+MIN(MAX(0,U364-(MAX(0,P341-IF($A365&gt;=('1-Input'!$C$12-1),'1-Input'!$B$12,0))-MIN(MAX(T364,0),MAX(0,P341-IF($A365&gt;=('1-Input'!$C$12-1),'1-Input'!$B$12,0))))*(1/(1-'P-Parametri'!$B$6*P365))),MAX(0,0*P341-(T364-MIN(MAX(T364,0),MAX(0,P341-IF($A365&gt;=('1-Input'!$C$12-1),'1-Input'!$B$12,0)))))*(1/(1-'P-Parametri'!$B$6*P365))))</f>
        <v>9652.012385731874</v>
      </c>
      <c r="R365" s="18">
        <f>IF($A365&gt;'1-Input'!$B$26,T364,(T364-MAX(0,P341-IF($A365&gt;=('1-Input'!$C$12-1),'1-Input'!$B$12,0))+Q365*(1-'P-Parametri'!$B$6*P365))*(1+'1-Input'!$B$27))</f>
        <v>0</v>
      </c>
      <c r="S365" s="18">
        <f>IF($A365&gt;'1-Input'!$B$26,U364,(U364-Q365)*(1+'5-Roberta'!$C$4))</f>
        <v>158432.2223961995</v>
      </c>
      <c r="T365" s="18">
        <f>IF($A365&gt;'1-Input'!$B$26,R365,R365-'P-Parametri'!$B$8*(S365+R365)+MIN(MAX(S365,0),'P-Parametri'!$B$8*(S365+R365)))</f>
        <v>0</v>
      </c>
      <c r="U365" s="18">
        <f>IF($A365&gt;'1-Input'!$B$26,S365,S365-MIN(MAX(S365,0),'P-Parametri'!$B$8*(S365+R365)))</f>
        <v>158115.35795140712</v>
      </c>
      <c r="V365" s="18">
        <f>IF($A365&gt;'1-Input'!$B$26,V364,V364-Q365*(1-P365))</f>
        <v>67577.437639366282</v>
      </c>
      <c r="W365" s="11">
        <f>IF($A365&gt;'1-Input'!$B$26,0,IF(AB364&lt;=0,0,MAX(0,(AB364-AC364)/AB364)))</f>
        <v>0.5606653765514753</v>
      </c>
      <c r="X365" s="18">
        <f>IF($A365&gt;'1-Input'!$B$26,0,(MAX(0,W341-IF($A365&gt;=('1-Input'!$C$12-1),'1-Input'!$B$12,0))-MIN(MAX(AA364,0),MAX(0,W341-IF($A365&gt;=('1-Input'!$C$12-1),'1-Input'!$B$12,0))))*(1/(1-'P-Parametri'!$B$6*W365))+MIN(MAX(0,AB364-(MAX(0,W341-IF($A365&gt;=('1-Input'!$C$12-1),'1-Input'!$B$12,0))-MIN(MAX(AA364,0),MAX(0,W341-IF($A365&gt;=('1-Input'!$C$12-1),'1-Input'!$B$12,0))))*(1/(1-'P-Parametri'!$B$6*W365))),MAX(0,0*W341-(AA364-MIN(MAX(AA364,0),MAX(0,W341-IF($A365&gt;=('1-Input'!$C$12-1),'1-Input'!$B$12,0)))))*(1/(1-'P-Parametri'!$B$6*W365))))</f>
        <v>9339.2227810155528</v>
      </c>
      <c r="Y365" s="18">
        <f>IF($A365&gt;'1-Input'!$B$26,AA364,(AA364-MAX(0,W341-IF($A365&gt;=('1-Input'!$C$12-1),'1-Input'!$B$12,0))+X365*(1-'P-Parametri'!$B$6*W365))*(1+'1-Input'!$B$27))</f>
        <v>0</v>
      </c>
      <c r="Z365" s="18">
        <f>IF($A365&gt;'1-Input'!$B$26,AB364,(AB364-X365)*(1+'5-Roberta'!$C$4))</f>
        <v>167567.17941625058</v>
      </c>
      <c r="AA365" s="18">
        <f>IF($A365&gt;'1-Input'!$B$26,Y365,Y365-'P-Parametri'!$B$8*(Z365+Y365)+MIN(MAX(Z365,0),'P-Parametri'!$B$8*(Z365+Y365)))</f>
        <v>0</v>
      </c>
      <c r="AB365" s="18">
        <f>IF($A365&gt;'1-Input'!$B$26,Z365,Z365-MIN(MAX(Z365,0),'P-Parametri'!$B$8*(Z365+Y365)))</f>
        <v>167232.04505741809</v>
      </c>
      <c r="AC365" s="18">
        <f>IF($A365&gt;'1-Input'!$B$26,AC364,AC364-X365*(1-W365))</f>
        <v>71473.848224436733</v>
      </c>
      <c r="AD365" s="11">
        <f>IF($A365&gt;'1-Input'!$B$26,0,IF(AI364&lt;=0,0,MAX(0,(AI364-AJ364)/AI364)))</f>
        <v>0.56066537655147497</v>
      </c>
      <c r="AE365" s="18">
        <f>IF($A365&gt;'1-Input'!$B$26,0,(MAX(0,AD341-IF($A365&gt;=('1-Input'!$C$12-1),'1-Input'!$B$12,0))-MIN(MAX(AH364,0),MAX(0,AD341-IF($A365&gt;=('1-Input'!$C$12-1),'1-Input'!$B$12,0))))*(1/(1-'P-Parametri'!$B$6*AD365))+MIN(MAX(0,AI364-(MAX(0,AD341-IF($A365&gt;=('1-Input'!$C$12-1),'1-Input'!$B$12,0))-MIN(MAX(AH364,0),MAX(0,AD341-IF($A365&gt;=('1-Input'!$C$12-1),'1-Input'!$B$12,0))))*(1/(1-'P-Parametri'!$B$6*AD365))),MAX(0,0*AD341-(AH364-MIN(MAX(AH364,0),MAX(0,AD341-IF($A365&gt;=('1-Input'!$C$12-1),'1-Input'!$B$12,0)))))*(1/(1-'P-Parametri'!$B$6*AD365))))</f>
        <v>9349.518589237854</v>
      </c>
      <c r="AF365" s="18">
        <f>IF($A365&gt;'1-Input'!$B$26,AH364,(AH364-MAX(0,AD341-IF($A365&gt;=('1-Input'!$C$12-1),'1-Input'!$B$12,0))+AE365*(1-'P-Parametri'!$B$6*AD365))*(1+'1-Input'!$B$27))</f>
        <v>-9.0622052084654565E-13</v>
      </c>
      <c r="AG365" s="18">
        <f>IF($A365&gt;'1-Input'!$B$26,AI364,(AI364-AE365)*(1+'5-Roberta'!$C$4))</f>
        <v>167266.49242352656</v>
      </c>
      <c r="AH365" s="18">
        <f>IF($A365&gt;'1-Input'!$B$26,AF365,AF365-'P-Parametri'!$B$8*(AG365+AF365)+MIN(MAX(AG365,0),'P-Parametri'!$B$8*(AG365+AF365)))</f>
        <v>-9.0949470177292824E-13</v>
      </c>
      <c r="AI365" s="18">
        <f>IF($A365&gt;'1-Input'!$B$26,AG365,AG365-MIN(MAX(AG365,0),'P-Parametri'!$B$8*(AG365+AF365)))</f>
        <v>166931.95943867951</v>
      </c>
      <c r="AJ365" s="18">
        <f>IF($A365&gt;'1-Input'!$B$26,AJ364,AJ364-AE365*(1-AD365))</f>
        <v>71345.59365480156</v>
      </c>
      <c r="AK365" s="11">
        <f>IF($A365&gt;'1-Input'!$B$26,0,IF(AP364&lt;=0,0,MAX(0,(AP364-AQ364)/AP364)))</f>
        <v>0.56066537655147497</v>
      </c>
      <c r="AL365" s="18">
        <f>IF($A365&gt;'1-Input'!$B$26,0,(MAX(0,AK341-IF($A365&gt;=('1-Input'!$C$12-1),'1-Input'!$B$12,0))-MIN(MAX(AO364,0),MAX(0,AK341-IF($A365&gt;=('1-Input'!$C$12-1),'1-Input'!$B$12,0))))*(1/(1-'P-Parametri'!$B$6*AK365))+MIN(MAX(0,AP364-(MAX(0,AK341-IF($A365&gt;=('1-Input'!$C$12-1),'1-Input'!$B$12,0))-MIN(MAX(AO364,0),MAX(0,AK341-IF($A365&gt;=('1-Input'!$C$12-1),'1-Input'!$B$12,0))))*(1/(1-'P-Parametri'!$B$6*AK365))),MAX(0,0*AK341-(AO364-MIN(MAX(AO364,0),MAX(0,AK341-IF($A365&gt;=('1-Input'!$C$12-1),'1-Input'!$B$12,0)))))*(1/(1-'P-Parametri'!$B$6*AK365))))</f>
        <v>9347.9368243385597</v>
      </c>
      <c r="AM365" s="18">
        <f>IF($A365&gt;'1-Input'!$B$26,AO364,(AO364-MAX(0,AK341-IF($A365&gt;=('1-Input'!$C$12-1),'1-Input'!$B$12,0))+AL365*(1-'P-Parametri'!$B$6*AK365))*(1+'1-Input'!$B$27))</f>
        <v>0</v>
      </c>
      <c r="AN365" s="18">
        <f>IF($A365&gt;'1-Input'!$B$26,AP364,(AP364-AL365)*(1+'5-Roberta'!$C$4))</f>
        <v>167312.68754687149</v>
      </c>
      <c r="AO365" s="18">
        <f>IF($A365&gt;'1-Input'!$B$26,AM365,AM365-'P-Parametri'!$B$8*(AN365+AM365)+MIN(MAX(AN365,0),'P-Parametri'!$B$8*(AN365+AM365)))</f>
        <v>0</v>
      </c>
      <c r="AP365" s="18">
        <f>IF($A365&gt;'1-Input'!$B$26,AN365,AN365-MIN(MAX(AN365,0),'P-Parametri'!$B$8*(AN365+AM365)))</f>
        <v>166978.06217177774</v>
      </c>
      <c r="AQ365" s="18">
        <f>IF($A365&gt;'1-Input'!$B$26,AQ364,AQ364-AL365*(1-AK365))</f>
        <v>71365.297652005363</v>
      </c>
    </row>
    <row r="366" spans="1:43">
      <c r="A366" s="10">
        <f>23</f>
        <v>23</v>
      </c>
      <c r="B366" s="11">
        <f>IF($A366&gt;'1-Input'!$B$26,0,IF(G365&lt;=0,0,MAX(0,(G365-H365)/G365)))</f>
        <v>0.57260674412074108</v>
      </c>
      <c r="C366" s="18">
        <f>IF($A366&gt;'1-Input'!$B$26,0,(MAX(0,B341-IF($A366&gt;=('1-Input'!$C$12-1),'1-Input'!$B$12,0))-MIN(MAX(F365,0),MAX(0,B341-IF($A366&gt;=('1-Input'!$C$12-1),'1-Input'!$B$12,0))))*(1/(1-'P-Parametri'!$B$6*B366))+MIN(MAX(0,G365-(MAX(0,B341-IF($A366&gt;=('1-Input'!$C$12-1),'1-Input'!$B$12,0))-MIN(MAX(F365,0),MAX(0,B341-IF($A366&gt;=('1-Input'!$C$12-1),'1-Input'!$B$12,0))))*(1/(1-'P-Parametri'!$B$6*B366))),MAX(0,0*B341-(F365-MIN(MAX(F365,0),MAX(0,B341-IF($A366&gt;=('1-Input'!$C$12-1),'1-Input'!$B$12,0)))))*(1/(1-'P-Parametri'!$B$6*B366))))</f>
        <v>6554.940065755035</v>
      </c>
      <c r="D366" s="18">
        <f>IF($A366&gt;'1-Input'!$B$26,F365,(F365-MAX(0,B341-IF($A366&gt;=('1-Input'!$C$12-1),'1-Input'!$B$12,0))+C366*(1-'P-Parametri'!$B$6*B366))*(1+'1-Input'!$B$27))</f>
        <v>0</v>
      </c>
      <c r="E366" s="18">
        <f>IF($A366&gt;'1-Input'!$B$26,G365,(G365-C366)*(1+'5-Roberta'!$C$4))</f>
        <v>249798.98379340075</v>
      </c>
      <c r="F366" s="18">
        <f>IF($A366&gt;'1-Input'!$B$26,D366,D366-'P-Parametri'!$B$8*(E366+D366)+MIN(MAX(E366,0),'P-Parametri'!$B$8*(E366+D366)))</f>
        <v>0</v>
      </c>
      <c r="G366" s="18">
        <f>IF($A366&gt;'1-Input'!$B$26,E366,E366-MIN(MAX(E366,0),'P-Parametri'!$B$8*(E366+D366)))</f>
        <v>249299.38582581395</v>
      </c>
      <c r="H366" s="18">
        <f>IF($A366&gt;'1-Input'!$B$26,H365,H365-C366*(1-B366))</f>
        <v>103652.81650368134</v>
      </c>
      <c r="I366" s="11">
        <f>IF($A366&gt;'1-Input'!$B$26,0,IF(N365&lt;=0,0,MAX(0,(N365-O365)/N365)))</f>
        <v>0.57260674412074164</v>
      </c>
      <c r="J366" s="18">
        <f>IF($A366&gt;'1-Input'!$B$26,0,(MAX(0,I341-IF($A366&gt;=('1-Input'!$C$12-1),'1-Input'!$B$12,0))-MIN(MAX(M365,0),MAX(0,I341-IF($A366&gt;=('1-Input'!$C$12-1),'1-Input'!$B$12,0))))*(1/(1-'P-Parametri'!$B$6*I366))+MIN(MAX(0,N365-(MAX(0,I341-IF($A366&gt;=('1-Input'!$C$12-1),'1-Input'!$B$12,0))-MIN(MAX(M365,0),MAX(0,I341-IF($A366&gt;=('1-Input'!$C$12-1),'1-Input'!$B$12,0))))*(1/(1-'P-Parametri'!$B$6*I366))),MAX(0,0*I341-(M365-MIN(MAX(M365,0),MAX(0,I341-IF($A366&gt;=('1-Input'!$C$12-1),'1-Input'!$B$12,0)))))*(1/(1-'P-Parametri'!$B$6*I366))))</f>
        <v>12744.0647182803</v>
      </c>
      <c r="K366" s="18">
        <f>IF($A366&gt;'1-Input'!$B$26,M365,(M365-MAX(0,I341-IF($A366&gt;=('1-Input'!$C$12-1),'1-Input'!$B$12,0))+J366*(1-'P-Parametri'!$B$6*I366))*(1+'1-Input'!$B$27))</f>
        <v>-1.8124410416930913E-12</v>
      </c>
      <c r="L366" s="18">
        <f>IF($A366&gt;'1-Input'!$B$26,N365,(N365-J366)*(1+'5-Roberta'!$C$4))</f>
        <v>58297.152894447667</v>
      </c>
      <c r="M366" s="18">
        <f>IF($A366&gt;'1-Input'!$B$26,K366,K366-'P-Parametri'!$B$8*(L366+K366)+MIN(MAX(L366,0),'P-Parametri'!$B$8*(L366+K366)))</f>
        <v>-1.8189894035458565E-12</v>
      </c>
      <c r="N366" s="18">
        <f>IF($A366&gt;'1-Input'!$B$26,L366,L366-MIN(MAX(L366,0),'P-Parametri'!$B$8*(L366+K366)))</f>
        <v>58180.558588658772</v>
      </c>
      <c r="O366" s="18">
        <f>IF($A366&gt;'1-Input'!$B$26,O365,O365-J366*(1-I366))</f>
        <v>24190.106780630013</v>
      </c>
      <c r="P366" s="11">
        <f>IF($A366&gt;'1-Input'!$B$26,0,IF(U365&lt;=0,0,MAX(0,(U365-V365)/U365)))</f>
        <v>0.57260674412074153</v>
      </c>
      <c r="Q366" s="18">
        <f>IF($A366&gt;'1-Input'!$B$26,0,(MAX(0,P341-IF($A366&gt;=('1-Input'!$C$12-1),'1-Input'!$B$12,0))-MIN(MAX(T365,0),MAX(0,P341-IF($A366&gt;=('1-Input'!$C$12-1),'1-Input'!$B$12,0))))*(1/(1-'P-Parametri'!$B$6*P366))+MIN(MAX(0,U365-(MAX(0,P341-IF($A366&gt;=('1-Input'!$C$12-1),'1-Input'!$B$12,0))-MIN(MAX(T365,0),MAX(0,P341-IF($A366&gt;=('1-Input'!$C$12-1),'1-Input'!$B$12,0))))*(1/(1-'P-Parametri'!$B$6*P366))),MAX(0,0*P341-(T365-MIN(MAX(T365,0),MAX(0,P341-IF($A366&gt;=('1-Input'!$C$12-1),'1-Input'!$B$12,0)))))*(1/(1-'P-Parametri'!$B$6*P366))))</f>
        <v>9687.22135755622</v>
      </c>
      <c r="R366" s="18">
        <f>IF($A366&gt;'1-Input'!$B$26,T365,(T365-MAX(0,P341-IF($A366&gt;=('1-Input'!$C$12-1),'1-Input'!$B$12,0))+Q366*(1-'P-Parametri'!$B$6*P366))*(1+'1-Input'!$B$27))</f>
        <v>0</v>
      </c>
      <c r="S366" s="18">
        <f>IF($A366&gt;'1-Input'!$B$26,U365,(U365-Q366)*(1+'5-Roberta'!$C$4))</f>
        <v>152880.98069166645</v>
      </c>
      <c r="T366" s="18">
        <f>IF($A366&gt;'1-Input'!$B$26,R366,R366-'P-Parametri'!$B$8*(S366+R366)+MIN(MAX(S366,0),'P-Parametri'!$B$8*(S366+R366)))</f>
        <v>0</v>
      </c>
      <c r="U366" s="18">
        <f>IF($A366&gt;'1-Input'!$B$26,S366,S366-MIN(MAX(S366,0),'P-Parametri'!$B$8*(S366+R366)))</f>
        <v>152575.21873028312</v>
      </c>
      <c r="V366" s="18">
        <f>IF($A366&gt;'1-Input'!$B$26,V365,V365-Q366*(1-P366))</f>
        <v>63437.18456293724</v>
      </c>
      <c r="W366" s="11">
        <f>IF($A366&gt;'1-Input'!$B$26,0,IF(AB365&lt;=0,0,MAX(0,(AB365-AC365)/AB365)))</f>
        <v>0.57260674412074175</v>
      </c>
      <c r="X366" s="18">
        <f>IF($A366&gt;'1-Input'!$B$26,0,(MAX(0,W341-IF($A366&gt;=('1-Input'!$C$12-1),'1-Input'!$B$12,0))-MIN(MAX(AA365,0),MAX(0,W341-IF($A366&gt;=('1-Input'!$C$12-1),'1-Input'!$B$12,0))))*(1/(1-'P-Parametri'!$B$6*W366))+MIN(MAX(0,AB365-(MAX(0,W341-IF($A366&gt;=('1-Input'!$C$12-1),'1-Input'!$B$12,0))-MIN(MAX(AA365,0),MAX(0,W341-IF($A366&gt;=('1-Input'!$C$12-1),'1-Input'!$B$12,0))))*(1/(1-'P-Parametri'!$B$6*W366))),MAX(0,0*W341-(AA365-MIN(MAX(AA365,0),MAX(0,W341-IF($A366&gt;=('1-Input'!$C$12-1),'1-Input'!$B$12,0)))))*(1/(1-'P-Parametri'!$B$6*W366))))</f>
        <v>9373.2907472195857</v>
      </c>
      <c r="Y366" s="18">
        <f>IF($A366&gt;'1-Input'!$B$26,AA365,(AA365-MAX(0,W341-IF($A366&gt;=('1-Input'!$C$12-1),'1-Input'!$B$12,0))+X366*(1-'P-Parametri'!$B$6*W366))*(1+'1-Input'!$B$27))</f>
        <v>0</v>
      </c>
      <c r="Z366" s="18">
        <f>IF($A366&gt;'1-Input'!$B$26,AB365,(AB365-X366)*(1+'5-Roberta'!$C$4))</f>
        <v>162594.51693950448</v>
      </c>
      <c r="AA366" s="18">
        <f>IF($A366&gt;'1-Input'!$B$26,Y366,Y366-'P-Parametri'!$B$8*(Z366+Y366)+MIN(MAX(Z366,0),'P-Parametri'!$B$8*(Z366+Y366)))</f>
        <v>0</v>
      </c>
      <c r="AB366" s="18">
        <f>IF($A366&gt;'1-Input'!$B$26,Z366,Z366-MIN(MAX(Z366,0),'P-Parametri'!$B$8*(Z366+Y366)))</f>
        <v>162269.32790562548</v>
      </c>
      <c r="AC366" s="18">
        <f>IF($A366&gt;'1-Input'!$B$26,AC365,AC365-X366*(1-W366))</f>
        <v>67467.766973679623</v>
      </c>
      <c r="AD366" s="11">
        <f>IF($A366&gt;'1-Input'!$B$26,0,IF(AI365&lt;=0,0,MAX(0,(AI365-AJ365)/AI365)))</f>
        <v>0.57260674412074142</v>
      </c>
      <c r="AE366" s="18">
        <f>IF($A366&gt;'1-Input'!$B$26,0,(MAX(0,AD341-IF($A366&gt;=('1-Input'!$C$12-1),'1-Input'!$B$12,0))-MIN(MAX(AH365,0),MAX(0,AD341-IF($A366&gt;=('1-Input'!$C$12-1),'1-Input'!$B$12,0))))*(1/(1-'P-Parametri'!$B$6*AD366))+MIN(MAX(0,AI365-(MAX(0,AD341-IF($A366&gt;=('1-Input'!$C$12-1),'1-Input'!$B$12,0))-MIN(MAX(AH365,0),MAX(0,AD341-IF($A366&gt;=('1-Input'!$C$12-1),'1-Input'!$B$12,0))))*(1/(1-'P-Parametri'!$B$6*AD366))),MAX(0,0*AD341-(AH365-MIN(MAX(AH365,0),MAX(0,AD341-IF($A366&gt;=('1-Input'!$C$12-1),'1-Input'!$B$12,0)))))*(1/(1-'P-Parametri'!$B$6*AD366))))</f>
        <v>9383.6241128762485</v>
      </c>
      <c r="AF366" s="18">
        <f>IF($A366&gt;'1-Input'!$B$26,AH365,(AH365-MAX(0,AD341-IF($A366&gt;=('1-Input'!$C$12-1),'1-Input'!$B$12,0))+AE366*(1-'P-Parametri'!$B$6*AD366))*(1+'1-Input'!$B$27))</f>
        <v>9.0622052084654565E-13</v>
      </c>
      <c r="AG366" s="18">
        <f>IF($A366&gt;'1-Input'!$B$26,AI365,(AI365-AE366)*(1+'5-Roberta'!$C$4))</f>
        <v>162274.78538557736</v>
      </c>
      <c r="AH366" s="18">
        <f>IF($A366&gt;'1-Input'!$B$26,AF366,AF366-'P-Parametri'!$B$8*(AG366+AF366)+MIN(MAX(AG366,0),'P-Parametri'!$B$8*(AG366+AF366)))</f>
        <v>9.0949470177292824E-13</v>
      </c>
      <c r="AI366" s="18">
        <f>IF($A366&gt;'1-Input'!$B$26,AG366,AG366-MIN(MAX(AG366,0),'P-Parametri'!$B$8*(AG366+AF366)))</f>
        <v>161950.23581480619</v>
      </c>
      <c r="AJ366" s="18">
        <f>IF($A366&gt;'1-Input'!$B$26,AJ365,AJ365-AE366*(1-AD366))</f>
        <v>67335.095993252267</v>
      </c>
      <c r="AK366" s="11">
        <f>IF($A366&gt;'1-Input'!$B$26,0,IF(AP365&lt;=0,0,MAX(0,(AP365-AQ365)/AP365)))</f>
        <v>0.57260674412074131</v>
      </c>
      <c r="AL366" s="18">
        <f>IF($A366&gt;'1-Input'!$B$26,0,(MAX(0,AK341-IF($A366&gt;=('1-Input'!$C$12-1),'1-Input'!$B$12,0))-MIN(MAX(AO365,0),MAX(0,AK341-IF($A366&gt;=('1-Input'!$C$12-1),'1-Input'!$B$12,0))))*(1/(1-'P-Parametri'!$B$6*AK366))+MIN(MAX(0,AP365-(MAX(0,AK341-IF($A366&gt;=('1-Input'!$C$12-1),'1-Input'!$B$12,0))-MIN(MAX(AO365,0),MAX(0,AK341-IF($A366&gt;=('1-Input'!$C$12-1),'1-Input'!$B$12,0))))*(1/(1-'P-Parametri'!$B$6*AK366))),MAX(0,0*AK341-(AO365-MIN(MAX(AO365,0),MAX(0,AK341-IF($A366&gt;=('1-Input'!$C$12-1),'1-Input'!$B$12,0)))))*(1/(1-'P-Parametri'!$B$6*AK366))))</f>
        <v>9382.0365779557851</v>
      </c>
      <c r="AM366" s="18">
        <f>IF($A366&gt;'1-Input'!$B$26,AO365,(AO365-MAX(0,AK341-IF($A366&gt;=('1-Input'!$C$12-1),'1-Input'!$B$12,0))+AL366*(1-'P-Parametri'!$B$6*AK366))*(1+'1-Input'!$B$27))</f>
        <v>9.0622052084654565E-13</v>
      </c>
      <c r="AN366" s="18">
        <f>IF($A366&gt;'1-Input'!$B$26,AP365,(AP365-AL366)*(1+'5-Roberta'!$C$4))</f>
        <v>162323.90636163662</v>
      </c>
      <c r="AO366" s="18">
        <f>IF($A366&gt;'1-Input'!$B$26,AM366,AM366-'P-Parametri'!$B$8*(AN366+AM366)+MIN(MAX(AN366,0),'P-Parametri'!$B$8*(AN366+AM366)))</f>
        <v>9.0949470177292824E-13</v>
      </c>
      <c r="AP366" s="18">
        <f>IF($A366&gt;'1-Input'!$B$26,AN366,AN366-MIN(MAX(AN366,0),'P-Parametri'!$B$8*(AN366+AM366)))</f>
        <v>161999.25854891335</v>
      </c>
      <c r="AQ366" s="18">
        <f>IF($A366&gt;'1-Input'!$B$26,AQ365,AQ365-AL366*(1-AK366))</f>
        <v>67355.478492174545</v>
      </c>
    </row>
    <row r="367" spans="1:43">
      <c r="A367" s="10">
        <f>24</f>
        <v>24</v>
      </c>
      <c r="B367" s="11">
        <f>IF($A367&gt;'1-Input'!$B$26,0,IF(G366&lt;=0,0,MAX(0,(G366-H366)/G366)))</f>
        <v>0.58422353845627284</v>
      </c>
      <c r="C367" s="18">
        <f>IF($A367&gt;'1-Input'!$B$26,0,(MAX(0,B341-IF($A367&gt;=('1-Input'!$C$12-1),'1-Input'!$B$12,0))-MIN(MAX(F366,0),MAX(0,B341-IF($A367&gt;=('1-Input'!$C$12-1),'1-Input'!$B$12,0))))*(1/(1-'P-Parametri'!$B$6*B367))+MIN(MAX(0,G366-(MAX(0,B341-IF($A367&gt;=('1-Input'!$C$12-1),'1-Input'!$B$12,0))-MIN(MAX(F366,0),MAX(0,B341-IF($A367&gt;=('1-Input'!$C$12-1),'1-Input'!$B$12,0))))*(1/(1-'P-Parametri'!$B$6*B367))),MAX(0,0*B341-(F366-MIN(MAX(F366,0),MAX(0,B341-IF($A367&gt;=('1-Input'!$C$12-1),'1-Input'!$B$12,0)))))*(1/(1-'P-Parametri'!$B$6*B367))))</f>
        <v>6578.2843384532953</v>
      </c>
      <c r="D367" s="18">
        <f>IF($A367&gt;'1-Input'!$B$26,F366,(F366-MAX(0,B341-IF($A367&gt;=('1-Input'!$C$12-1),'1-Input'!$B$12,0))+C367*(1-'P-Parametri'!$B$6*B367))*(1+'1-Input'!$B$27))</f>
        <v>0</v>
      </c>
      <c r="E367" s="18">
        <f>IF($A367&gt;'1-Input'!$B$26,G366,(G366-C367)*(1+'5-Roberta'!$C$4))</f>
        <v>250002.73453198149</v>
      </c>
      <c r="F367" s="18">
        <f>IF($A367&gt;'1-Input'!$B$26,D367,D367-'P-Parametri'!$B$8*(E367+D367)+MIN(MAX(E367,0),'P-Parametri'!$B$8*(E367+D367)))</f>
        <v>0</v>
      </c>
      <c r="G367" s="18">
        <f>IF($A367&gt;'1-Input'!$B$26,E367,E367-MIN(MAX(E367,0),'P-Parametri'!$B$8*(E367+D367)))</f>
        <v>249502.72906291753</v>
      </c>
      <c r="H367" s="18">
        <f>IF($A367&gt;'1-Input'!$B$26,H366,H366-C367*(1-B367))</f>
        <v>100917.72071841071</v>
      </c>
      <c r="I367" s="11">
        <f>IF($A367&gt;'1-Input'!$B$26,0,IF(N366&lt;=0,0,MAX(0,(N366-O366)/N366)))</f>
        <v>0.58422353845627351</v>
      </c>
      <c r="J367" s="18">
        <f>IF($A367&gt;'1-Input'!$B$26,0,(MAX(0,I341-IF($A367&gt;=('1-Input'!$C$12-1),'1-Input'!$B$12,0))-MIN(MAX(M366,0),MAX(0,I341-IF($A367&gt;=('1-Input'!$C$12-1),'1-Input'!$B$12,0))))*(1/(1-'P-Parametri'!$B$6*I367))+MIN(MAX(0,N366-(MAX(0,I341-IF($A367&gt;=('1-Input'!$C$12-1),'1-Input'!$B$12,0))-MIN(MAX(M366,0),MAX(0,I341-IF($A367&gt;=('1-Input'!$C$12-1),'1-Input'!$B$12,0))))*(1/(1-'P-Parametri'!$B$6*I367))),MAX(0,0*I341-(M366-MIN(MAX(M366,0),MAX(0,I341-IF($A367&gt;=('1-Input'!$C$12-1),'1-Input'!$B$12,0)))))*(1/(1-'P-Parametri'!$B$6*I367))))</f>
        <v>12789.450476057413</v>
      </c>
      <c r="K367" s="18">
        <f>IF($A367&gt;'1-Input'!$B$26,M366,(M366-MAX(0,I341-IF($A367&gt;=('1-Input'!$C$12-1),'1-Input'!$B$12,0))+J367*(1-'P-Parametri'!$B$6*I367))*(1+'1-Input'!$B$27))</f>
        <v>1.8124410416930913E-12</v>
      </c>
      <c r="L367" s="18">
        <f>IF($A367&gt;'1-Input'!$B$26,N366,(N366-J367)*(1+'5-Roberta'!$C$4))</f>
        <v>46752.841355979399</v>
      </c>
      <c r="M367" s="18">
        <f>IF($A367&gt;'1-Input'!$B$26,K367,K367-'P-Parametri'!$B$8*(L367+K367)+MIN(MAX(L367,0),'P-Parametri'!$B$8*(L367+K367)))</f>
        <v>1.8189894035458565E-12</v>
      </c>
      <c r="N367" s="18">
        <f>IF($A367&gt;'1-Input'!$B$26,L367,L367-MIN(MAX(L367,0),'P-Parametri'!$B$8*(L367+K367)))</f>
        <v>46659.335673267444</v>
      </c>
      <c r="O367" s="18">
        <f>IF($A367&gt;'1-Input'!$B$26,O366,O366-J367*(1-I367))</f>
        <v>18872.554316606132</v>
      </c>
      <c r="P367" s="11">
        <f>IF($A367&gt;'1-Input'!$B$26,0,IF(U366&lt;=0,0,MAX(0,(U366-V366)/U366)))</f>
        <v>0.58422353845627339</v>
      </c>
      <c r="Q367" s="18">
        <f>IF($A367&gt;'1-Input'!$B$26,0,(MAX(0,P341-IF($A367&gt;=('1-Input'!$C$12-1),'1-Input'!$B$12,0))-MIN(MAX(T366,0),MAX(0,P341-IF($A367&gt;=('1-Input'!$C$12-1),'1-Input'!$B$12,0))))*(1/(1-'P-Parametri'!$B$6*P367))+MIN(MAX(0,U366-(MAX(0,P341-IF($A367&gt;=('1-Input'!$C$12-1),'1-Input'!$B$12,0))-MIN(MAX(T366,0),MAX(0,P341-IF($A367&gt;=('1-Input'!$C$12-1),'1-Input'!$B$12,0))))*(1/(1-'P-Parametri'!$B$6*P367))),MAX(0,0*P341-(T366-MIN(MAX(T366,0),MAX(0,P341-IF($A367&gt;=('1-Input'!$C$12-1),'1-Input'!$B$12,0)))))*(1/(1-'P-Parametri'!$B$6*P367))))</f>
        <v>9721.7207022932744</v>
      </c>
      <c r="R367" s="18">
        <f>IF($A367&gt;'1-Input'!$B$26,T366,(T366-MAX(0,P341-IF($A367&gt;=('1-Input'!$C$12-1),'1-Input'!$B$12,0))+Q367*(1-'P-Parametri'!$B$6*P367))*(1+'1-Input'!$B$27))</f>
        <v>0</v>
      </c>
      <c r="S367" s="18">
        <f>IF($A367&gt;'1-Input'!$B$26,U366,(U366-Q367)*(1+'5-Roberta'!$C$4))</f>
        <v>147139.10296882954</v>
      </c>
      <c r="T367" s="18">
        <f>IF($A367&gt;'1-Input'!$B$26,R367,R367-'P-Parametri'!$B$8*(S367+R367)+MIN(MAX(S367,0),'P-Parametri'!$B$8*(S367+R367)))</f>
        <v>0</v>
      </c>
      <c r="U367" s="18">
        <f>IF($A367&gt;'1-Input'!$B$26,S367,S367-MIN(MAX(S367,0),'P-Parametri'!$B$8*(S367+R367)))</f>
        <v>146844.82476289189</v>
      </c>
      <c r="V367" s="18">
        <f>IF($A367&gt;'1-Input'!$B$26,V366,V366-Q367*(1-P367))</f>
        <v>59395.12192922135</v>
      </c>
      <c r="W367" s="11">
        <f>IF($A367&gt;'1-Input'!$B$26,0,IF(AB366&lt;=0,0,MAX(0,(AB366-AC366)/AB366)))</f>
        <v>0.58422353845627362</v>
      </c>
      <c r="X367" s="18">
        <f>IF($A367&gt;'1-Input'!$B$26,0,(MAX(0,W341-IF($A367&gt;=('1-Input'!$C$12-1),'1-Input'!$B$12,0))-MIN(MAX(AA366,0),MAX(0,W341-IF($A367&gt;=('1-Input'!$C$12-1),'1-Input'!$B$12,0))))*(1/(1-'P-Parametri'!$B$6*W367))+MIN(MAX(0,AB366-(MAX(0,W341-IF($A367&gt;=('1-Input'!$C$12-1),'1-Input'!$B$12,0))-MIN(MAX(AA366,0),MAX(0,W341-IF($A367&gt;=('1-Input'!$C$12-1),'1-Input'!$B$12,0))))*(1/(1-'P-Parametri'!$B$6*W367))),MAX(0,0*W341-(AA366-MIN(MAX(AA366,0),MAX(0,W341-IF($A367&gt;=('1-Input'!$C$12-1),'1-Input'!$B$12,0)))))*(1/(1-'P-Parametri'!$B$6*W367))))</f>
        <v>9406.6720829889728</v>
      </c>
      <c r="Y367" s="18">
        <f>IF($A367&gt;'1-Input'!$B$26,AA366,(AA366-MAX(0,W341-IF($A367&gt;=('1-Input'!$C$12-1),'1-Input'!$B$12,0))+X367*(1-'P-Parametri'!$B$6*W367))*(1+'1-Input'!$B$27))</f>
        <v>0</v>
      </c>
      <c r="Z367" s="18">
        <f>IF($A367&gt;'1-Input'!$B$26,AB366,(AB366-X367)*(1+'5-Roberta'!$C$4))</f>
        <v>157448.53549731561</v>
      </c>
      <c r="AA367" s="18">
        <f>IF($A367&gt;'1-Input'!$B$26,Y367,Y367-'P-Parametri'!$B$8*(Z367+Y367)+MIN(MAX(Z367,0),'P-Parametri'!$B$8*(Z367+Y367)))</f>
        <v>0</v>
      </c>
      <c r="AB367" s="18">
        <f>IF($A367&gt;'1-Input'!$B$26,Z367,Z367-MIN(MAX(Z367,0),'P-Parametri'!$B$8*(Z367+Y367)))</f>
        <v>157133.63842632098</v>
      </c>
      <c r="AC367" s="18">
        <f>IF($A367&gt;'1-Input'!$B$26,AC366,AC366-X367*(1-W367))</f>
        <v>63556.694140112311</v>
      </c>
      <c r="AD367" s="11">
        <f>IF($A367&gt;'1-Input'!$B$26,0,IF(AI366&lt;=0,0,MAX(0,(AI366-AJ366)/AI366)))</f>
        <v>0.58422353845627306</v>
      </c>
      <c r="AE367" s="18">
        <f>IF($A367&gt;'1-Input'!$B$26,0,(MAX(0,AD341-IF($A367&gt;=('1-Input'!$C$12-1),'1-Input'!$B$12,0))-MIN(MAX(AH366,0),MAX(0,AD341-IF($A367&gt;=('1-Input'!$C$12-1),'1-Input'!$B$12,0))))*(1/(1-'P-Parametri'!$B$6*AD367))+MIN(MAX(0,AI366-(MAX(0,AD341-IF($A367&gt;=('1-Input'!$C$12-1),'1-Input'!$B$12,0))-MIN(MAX(AH366,0),MAX(0,AD341-IF($A367&gt;=('1-Input'!$C$12-1),'1-Input'!$B$12,0))))*(1/(1-'P-Parametri'!$B$6*AD367))),MAX(0,0*AD341-(AH366-MIN(MAX(AH366,0),MAX(0,AD341-IF($A367&gt;=('1-Input'!$C$12-1),'1-Input'!$B$12,0)))))*(1/(1-'P-Parametri'!$B$6*AD367))))</f>
        <v>9417.0422491202917</v>
      </c>
      <c r="AF367" s="18">
        <f>IF($A367&gt;'1-Input'!$B$26,AH366,(AH366-MAX(0,AD341-IF($A367&gt;=('1-Input'!$C$12-1),'1-Input'!$B$12,0))+AE367*(1-'P-Parametri'!$B$6*AD367))*(1+'1-Input'!$B$27))</f>
        <v>9.0622052084654565E-13</v>
      </c>
      <c r="AG367" s="18">
        <f>IF($A367&gt;'1-Input'!$B$26,AI366,(AI366-AE367)*(1+'5-Roberta'!$C$4))</f>
        <v>157109.18937265646</v>
      </c>
      <c r="AH367" s="18">
        <f>IF($A367&gt;'1-Input'!$B$26,AF367,AF367-'P-Parametri'!$B$8*(AG367+AF367)+MIN(MAX(AG367,0),'P-Parametri'!$B$8*(AG367+AF367)))</f>
        <v>9.0949470177292824E-13</v>
      </c>
      <c r="AI367" s="18">
        <f>IF($A367&gt;'1-Input'!$B$26,AG367,AG367-MIN(MAX(AG367,0),'P-Parametri'!$B$8*(AG367+AF367)))</f>
        <v>156794.97099391115</v>
      </c>
      <c r="AJ367" s="18">
        <f>IF($A367&gt;'1-Input'!$B$26,AJ366,AJ366-AE367*(1-AD367))</f>
        <v>63419.711488705252</v>
      </c>
      <c r="AK367" s="11">
        <f>IF($A367&gt;'1-Input'!$B$26,0,IF(AP366&lt;=0,0,MAX(0,(AP366-AQ366)/AP366)))</f>
        <v>0.58422353845627306</v>
      </c>
      <c r="AL367" s="18">
        <f>IF($A367&gt;'1-Input'!$B$26,0,(MAX(0,AK341-IF($A367&gt;=('1-Input'!$C$12-1),'1-Input'!$B$12,0))-MIN(MAX(AO366,0),MAX(0,AK341-IF($A367&gt;=('1-Input'!$C$12-1),'1-Input'!$B$12,0))))*(1/(1-'P-Parametri'!$B$6*AK367))+MIN(MAX(0,AP366-(MAX(0,AK341-IF($A367&gt;=('1-Input'!$C$12-1),'1-Input'!$B$12,0))-MIN(MAX(AO366,0),MAX(0,AK341-IF($A367&gt;=('1-Input'!$C$12-1),'1-Input'!$B$12,0))))*(1/(1-'P-Parametri'!$B$6*AK367))),MAX(0,0*AK341-(AO366-MIN(MAX(AO366,0),MAX(0,AK341-IF($A367&gt;=('1-Input'!$C$12-1),'1-Input'!$B$12,0)))))*(1/(1-'P-Parametri'!$B$6*AK367))))</f>
        <v>9415.449060471843</v>
      </c>
      <c r="AM367" s="18">
        <f>IF($A367&gt;'1-Input'!$B$26,AO366,(AO366-MAX(0,AK341-IF($A367&gt;=('1-Input'!$C$12-1),'1-Input'!$B$12,0))+AL367*(1-'P-Parametri'!$B$6*AK367))*(1+'1-Input'!$B$27))</f>
        <v>0</v>
      </c>
      <c r="AN367" s="18">
        <f>IF($A367&gt;'1-Input'!$B$26,AP366,(AP366-AL367)*(1+'5-Roberta'!$C$4))</f>
        <v>157161.32377309474</v>
      </c>
      <c r="AO367" s="18">
        <f>IF($A367&gt;'1-Input'!$B$26,AM367,AM367-'P-Parametri'!$B$8*(AN367+AM367)+MIN(MAX(AN367,0),'P-Parametri'!$B$8*(AN367+AM367)))</f>
        <v>0</v>
      </c>
      <c r="AP367" s="18">
        <f>IF($A367&gt;'1-Input'!$B$26,AN367,AN367-MIN(MAX(AN367,0),'P-Parametri'!$B$8*(AN367+AM367)))</f>
        <v>156847.00112554856</v>
      </c>
      <c r="AQ367" s="18">
        <f>IF($A367&gt;'1-Input'!$B$26,AQ366,AQ366-AL367*(1-AK367))</f>
        <v>63440.756397966354</v>
      </c>
    </row>
    <row r="368" spans="1:43">
      <c r="A368" s="10">
        <f>25</f>
        <v>25</v>
      </c>
      <c r="B368" s="11">
        <f>IF($A368&gt;'1-Input'!$B$26,0,IF(G367&lt;=0,0,MAX(0,(G367-H367)/G367)))</f>
        <v>0.59552458164510846</v>
      </c>
      <c r="C368" s="18">
        <f>IF($A368&gt;'1-Input'!$B$26,0,(MAX(0,B341-IF($A368&gt;=('1-Input'!$C$12-1),'1-Input'!$B$12,0))-MIN(MAX(F367,0),MAX(0,B341-IF($A368&gt;=('1-Input'!$C$12-1),'1-Input'!$B$12,0))))*(1/(1-'P-Parametri'!$B$6*B368))+MIN(MAX(0,G367-(MAX(0,B341-IF($A368&gt;=('1-Input'!$C$12-1),'1-Input'!$B$12,0))-MIN(MAX(F367,0),MAX(0,B341-IF($A368&gt;=('1-Input'!$C$12-1),'1-Input'!$B$12,0))))*(1/(1-'P-Parametri'!$B$6*B368))),MAX(0,0*B341-(F367-MIN(MAX(F367,0),MAX(0,B341-IF($A368&gt;=('1-Input'!$C$12-1),'1-Input'!$B$12,0)))))*(1/(1-'P-Parametri'!$B$6*B368))))</f>
        <v>6601.1542105205235</v>
      </c>
      <c r="D368" s="18">
        <f>IF($A368&gt;'1-Input'!$B$26,F367,(F367-MAX(0,B341-IF($A368&gt;=('1-Input'!$C$12-1),'1-Input'!$B$12,0))+C368*(1-'P-Parametri'!$B$6*B368))*(1+'1-Input'!$B$27))</f>
        <v>0</v>
      </c>
      <c r="E368" s="18">
        <f>IF($A368&gt;'1-Input'!$B$26,G367,(G367-C368)*(1+'5-Roberta'!$C$4))</f>
        <v>250188.62209796891</v>
      </c>
      <c r="F368" s="18">
        <f>IF($A368&gt;'1-Input'!$B$26,D368,D368-'P-Parametri'!$B$8*(E368+D368)+MIN(MAX(E368,0),'P-Parametri'!$B$8*(E368+D368)))</f>
        <v>0</v>
      </c>
      <c r="G368" s="18">
        <f>IF($A368&gt;'1-Input'!$B$26,E368,E368-MIN(MAX(E368,0),'P-Parametri'!$B$8*(E368+D368)))</f>
        <v>249688.24485377298</v>
      </c>
      <c r="H368" s="18">
        <f>IF($A368&gt;'1-Input'!$B$26,H367,H367-C368*(1-B368))</f>
        <v>98247.716107485263</v>
      </c>
      <c r="I368" s="11">
        <f>IF($A368&gt;'1-Input'!$B$26,0,IF(N367&lt;=0,0,MAX(0,(N367-O367)/N367)))</f>
        <v>0.59552458164510913</v>
      </c>
      <c r="J368" s="18">
        <f>IF($A368&gt;'1-Input'!$B$26,0,(MAX(0,I341-IF($A368&gt;=('1-Input'!$C$12-1),'1-Input'!$B$12,0))-MIN(MAX(M367,0),MAX(0,I341-IF($A368&gt;=('1-Input'!$C$12-1),'1-Input'!$B$12,0))))*(1/(1-'P-Parametri'!$B$6*I368))+MIN(MAX(0,N367-(MAX(0,I341-IF($A368&gt;=('1-Input'!$C$12-1),'1-Input'!$B$12,0))-MIN(MAX(M367,0),MAX(0,I341-IF($A368&gt;=('1-Input'!$C$12-1),'1-Input'!$B$12,0))))*(1/(1-'P-Parametri'!$B$6*I368))),MAX(0,0*I341-(M367-MIN(MAX(M367,0),MAX(0,I341-IF($A368&gt;=('1-Input'!$C$12-1),'1-Input'!$B$12,0)))))*(1/(1-'P-Parametri'!$B$6*I368))))</f>
        <v>12833.913907728764</v>
      </c>
      <c r="K368" s="18">
        <f>IF($A368&gt;'1-Input'!$B$26,M367,(M367-MAX(0,I341-IF($A368&gt;=('1-Input'!$C$12-1),'1-Input'!$B$12,0))+J368*(1-'P-Parametri'!$B$6*I368))*(1+'1-Input'!$B$27))</f>
        <v>-1.8124410416930913E-12</v>
      </c>
      <c r="L368" s="18">
        <f>IF($A368&gt;'1-Input'!$B$26,N367,(N367-J368)*(1+'5-Roberta'!$C$4))</f>
        <v>34840.184418504847</v>
      </c>
      <c r="M368" s="18">
        <f>IF($A368&gt;'1-Input'!$B$26,K368,K368-'P-Parametri'!$B$8*(L368+K368)+MIN(MAX(L368,0),'P-Parametri'!$B$8*(L368+K368)))</f>
        <v>-1.8189894035458565E-12</v>
      </c>
      <c r="N368" s="18">
        <f>IF($A368&gt;'1-Input'!$B$26,L368,L368-MIN(MAX(L368,0),'P-Parametri'!$B$8*(L368+K368)))</f>
        <v>34770.504049667834</v>
      </c>
      <c r="O368" s="18">
        <f>IF($A368&gt;'1-Input'!$B$26,O367,O367-J368*(1-I368))</f>
        <v>13681.551619646889</v>
      </c>
      <c r="P368" s="11">
        <f>IF($A368&gt;'1-Input'!$B$26,0,IF(U367&lt;=0,0,MAX(0,(U367-V367)/U367)))</f>
        <v>0.59552458164510902</v>
      </c>
      <c r="Q368" s="18">
        <f>IF($A368&gt;'1-Input'!$B$26,0,(MAX(0,P341-IF($A368&gt;=('1-Input'!$C$12-1),'1-Input'!$B$12,0))-MIN(MAX(T367,0),MAX(0,P341-IF($A368&gt;=('1-Input'!$C$12-1),'1-Input'!$B$12,0))))*(1/(1-'P-Parametri'!$B$6*P368))+MIN(MAX(0,U367-(MAX(0,P341-IF($A368&gt;=('1-Input'!$C$12-1),'1-Input'!$B$12,0))-MIN(MAX(T367,0),MAX(0,P341-IF($A368&gt;=('1-Input'!$C$12-1),'1-Input'!$B$12,0))))*(1/(1-'P-Parametri'!$B$6*P368))),MAX(0,0*P341-(T367-MIN(MAX(T367,0),MAX(0,P341-IF($A368&gt;=('1-Input'!$C$12-1),'1-Input'!$B$12,0)))))*(1/(1-'P-Parametri'!$B$6*P368))))</f>
        <v>9755.5189538275099</v>
      </c>
      <c r="R368" s="18">
        <f>IF($A368&gt;'1-Input'!$B$26,T367,(T367-MAX(0,P341-IF($A368&gt;=('1-Input'!$C$12-1),'1-Input'!$B$12,0))+Q368*(1-'P-Parametri'!$B$6*P368))*(1+'1-Input'!$B$27))</f>
        <v>0</v>
      </c>
      <c r="S368" s="18">
        <f>IF($A368&gt;'1-Input'!$B$26,U367,(U367-Q368)*(1+'5-Roberta'!$C$4))</f>
        <v>141201.98498333633</v>
      </c>
      <c r="T368" s="18">
        <f>IF($A368&gt;'1-Input'!$B$26,R368,R368-'P-Parametri'!$B$8*(S368+R368)+MIN(MAX(S368,0),'P-Parametri'!$B$8*(S368+R368)))</f>
        <v>0</v>
      </c>
      <c r="U368" s="18">
        <f>IF($A368&gt;'1-Input'!$B$26,S368,S368-MIN(MAX(S368,0),'P-Parametri'!$B$8*(S368+R368)))</f>
        <v>140919.58101336967</v>
      </c>
      <c r="V368" s="18">
        <f>IF($A368&gt;'1-Input'!$B$26,V367,V367-Q368*(1-P368))</f>
        <v>55449.254319102896</v>
      </c>
      <c r="W368" s="11">
        <f>IF($A368&gt;'1-Input'!$B$26,0,IF(AB367&lt;=0,0,MAX(0,(AB367-AC367)/AB367)))</f>
        <v>0.59552458164510924</v>
      </c>
      <c r="X368" s="18">
        <f>IF($A368&gt;'1-Input'!$B$26,0,(MAX(0,W341-IF($A368&gt;=('1-Input'!$C$12-1),'1-Input'!$B$12,0))-MIN(MAX(AA367,0),MAX(0,W341-IF($A368&gt;=('1-Input'!$C$12-1),'1-Input'!$B$12,0))))*(1/(1-'P-Parametri'!$B$6*W368))+MIN(MAX(0,AB367-(MAX(0,W341-IF($A368&gt;=('1-Input'!$C$12-1),'1-Input'!$B$12,0))-MIN(MAX(AA367,0),MAX(0,W341-IF($A368&gt;=('1-Input'!$C$12-1),'1-Input'!$B$12,0))))*(1/(1-'P-Parametri'!$B$6*W368))),MAX(0,0*W341-(AA367-MIN(MAX(AA367,0),MAX(0,W341-IF($A368&gt;=('1-Input'!$C$12-1),'1-Input'!$B$12,0)))))*(1/(1-'P-Parametri'!$B$6*W368))))</f>
        <v>9439.3750456533835</v>
      </c>
      <c r="Y368" s="18">
        <f>IF($A368&gt;'1-Input'!$B$26,AA367,(AA367-MAX(0,W341-IF($A368&gt;=('1-Input'!$C$12-1),'1-Input'!$B$12,0))+X368*(1-'P-Parametri'!$B$6*W368))*(1+'1-Input'!$B$27))</f>
        <v>-9.0622052084654565E-13</v>
      </c>
      <c r="Z368" s="18">
        <f>IF($A368&gt;'1-Input'!$B$26,AB367,(AB367-X368)*(1+'5-Roberta'!$C$4))</f>
        <v>152125.09128208764</v>
      </c>
      <c r="AA368" s="18">
        <f>IF($A368&gt;'1-Input'!$B$26,Y368,Y368-'P-Parametri'!$B$8*(Z368+Y368)+MIN(MAX(Z368,0),'P-Parametri'!$B$8*(Z368+Y368)))</f>
        <v>-9.0949470177292824E-13</v>
      </c>
      <c r="AB368" s="18">
        <f>IF($A368&gt;'1-Input'!$B$26,Z368,Z368-MIN(MAX(Z368,0),'P-Parametri'!$B$8*(Z368+Y368)))</f>
        <v>151820.84109952347</v>
      </c>
      <c r="AC368" s="18">
        <f>IF($A368&gt;'1-Input'!$B$26,AC367,AC367-X368*(1-W368))</f>
        <v>59738.698969512945</v>
      </c>
      <c r="AD368" s="11">
        <f>IF($A368&gt;'1-Input'!$B$26,0,IF(AI367&lt;=0,0,MAX(0,(AI367-AJ367)/AI367)))</f>
        <v>0.5955245816451088</v>
      </c>
      <c r="AE368" s="18">
        <f>IF($A368&gt;'1-Input'!$B$26,0,(MAX(0,AD341-IF($A368&gt;=('1-Input'!$C$12-1),'1-Input'!$B$12,0))-MIN(MAX(AH367,0),MAX(0,AD341-IF($A368&gt;=('1-Input'!$C$12-1),'1-Input'!$B$12,0))))*(1/(1-'P-Parametri'!$B$6*AD368))+MIN(MAX(0,AI367-(MAX(0,AD341-IF($A368&gt;=('1-Input'!$C$12-1),'1-Input'!$B$12,0))-MIN(MAX(AH367,0),MAX(0,AD341-IF($A368&gt;=('1-Input'!$C$12-1),'1-Input'!$B$12,0))))*(1/(1-'P-Parametri'!$B$6*AD368))),MAX(0,0*AD341-(AH367-MIN(MAX(AH367,0),MAX(0,AD341-IF($A368&gt;=('1-Input'!$C$12-1),'1-Input'!$B$12,0)))))*(1/(1-'P-Parametri'!$B$6*AD368))))</f>
        <v>9449.7812644027636</v>
      </c>
      <c r="AF368" s="18">
        <f>IF($A368&gt;'1-Input'!$B$26,AH367,(AH367-MAX(0,AD341-IF($A368&gt;=('1-Input'!$C$12-1),'1-Input'!$B$12,0))+AE368*(1-'P-Parametri'!$B$6*AD368))*(1+'1-Input'!$B$27))</f>
        <v>1.8124410416930913E-12</v>
      </c>
      <c r="AG368" s="18">
        <f>IF($A368&gt;'1-Input'!$B$26,AI367,(AI367-AE368)*(1+'5-Roberta'!$C$4))</f>
        <v>151765.54542139365</v>
      </c>
      <c r="AH368" s="18">
        <f>IF($A368&gt;'1-Input'!$B$26,AF368,AF368-'P-Parametri'!$B$8*(AG368+AF368)+MIN(MAX(AG368,0),'P-Parametri'!$B$8*(AG368+AF368)))</f>
        <v>1.8189894035458565E-12</v>
      </c>
      <c r="AI368" s="18">
        <f>IF($A368&gt;'1-Input'!$B$26,AG368,AG368-MIN(MAX(AG368,0),'P-Parametri'!$B$8*(AG368+AF368)))</f>
        <v>151462.01433055085</v>
      </c>
      <c r="AJ368" s="18">
        <f>IF($A368&gt;'1-Input'!$B$26,AJ367,AJ367-AE368*(1-AD368))</f>
        <v>59597.507258423735</v>
      </c>
      <c r="AK368" s="11">
        <f>IF($A368&gt;'1-Input'!$B$26,0,IF(AP367&lt;=0,0,MAX(0,(AP367-AQ367)/AP367)))</f>
        <v>0.59552458164510869</v>
      </c>
      <c r="AL368" s="18">
        <f>IF($A368&gt;'1-Input'!$B$26,0,(MAX(0,AK341-IF($A368&gt;=('1-Input'!$C$12-1),'1-Input'!$B$12,0))-MIN(MAX(AO367,0),MAX(0,AK341-IF($A368&gt;=('1-Input'!$C$12-1),'1-Input'!$B$12,0))))*(1/(1-'P-Parametri'!$B$6*AK368))+MIN(MAX(0,AP367-(MAX(0,AK341-IF($A368&gt;=('1-Input'!$C$12-1),'1-Input'!$B$12,0))-MIN(MAX(AO367,0),MAX(0,AK341-IF($A368&gt;=('1-Input'!$C$12-1),'1-Input'!$B$12,0))))*(1/(1-'P-Parametri'!$B$6*AK368))),MAX(0,0*AK341-(AO367-MIN(MAX(AO367,0),MAX(0,AK341-IF($A368&gt;=('1-Input'!$C$12-1),'1-Input'!$B$12,0)))))*(1/(1-'P-Parametri'!$B$6*AK368))))</f>
        <v>9448.1825369209819</v>
      </c>
      <c r="AM368" s="18">
        <f>IF($A368&gt;'1-Input'!$B$26,AO367,(AO367-MAX(0,AK341-IF($A368&gt;=('1-Input'!$C$12-1),'1-Input'!$B$12,0))+AL368*(1-'P-Parametri'!$B$6*AK368))*(1+'1-Input'!$B$27))</f>
        <v>0</v>
      </c>
      <c r="AN368" s="18">
        <f>IF($A368&gt;'1-Input'!$B$26,AP367,(AP367-AL368)*(1+'5-Roberta'!$C$4))</f>
        <v>151820.78314628641</v>
      </c>
      <c r="AO368" s="18">
        <f>IF($A368&gt;'1-Input'!$B$26,AM368,AM368-'P-Parametri'!$B$8*(AN368+AM368)+MIN(MAX(AN368,0),'P-Parametri'!$B$8*(AN368+AM368)))</f>
        <v>0</v>
      </c>
      <c r="AP368" s="18">
        <f>IF($A368&gt;'1-Input'!$B$26,AN368,AN368-MIN(MAX(AN368,0),'P-Parametri'!$B$8*(AN368+AM368)))</f>
        <v>151517.14157999383</v>
      </c>
      <c r="AQ368" s="18">
        <f>IF($A368&gt;'1-Input'!$B$26,AQ367,AQ367-AL368*(1-AK368))</f>
        <v>59619.198813651863</v>
      </c>
    </row>
    <row r="369" spans="1:43">
      <c r="A369" s="10">
        <f>26</f>
        <v>26</v>
      </c>
      <c r="B369" s="11">
        <f>IF($A369&gt;'1-Input'!$B$26,0,IF(G368&lt;=0,0,MAX(0,(G368-H368)/G368)))</f>
        <v>0.60651845598489074</v>
      </c>
      <c r="C369" s="18">
        <f>IF($A369&gt;'1-Input'!$B$26,0,(MAX(0,B341-IF($A369&gt;=('1-Input'!$C$12-1),'1-Input'!$B$12,0))-MIN(MAX(F368,0),MAX(0,B341-IF($A369&gt;=('1-Input'!$C$12-1),'1-Input'!$B$12,0))))*(1/(1-'P-Parametri'!$B$6*B369))+MIN(MAX(0,G368-(MAX(0,B341-IF($A369&gt;=('1-Input'!$C$12-1),'1-Input'!$B$12,0))-MIN(MAX(F368,0),MAX(0,B341-IF($A369&gt;=('1-Input'!$C$12-1),'1-Input'!$B$12,0))))*(1/(1-'P-Parametri'!$B$6*B369))),MAX(0,0*B341-(F368-MIN(MAX(F368,0),MAX(0,B341-IF($A369&gt;=('1-Input'!$C$12-1),'1-Input'!$B$12,0)))))*(1/(1-'P-Parametri'!$B$6*B369))))</f>
        <v>6623.5555770780738</v>
      </c>
      <c r="D369" s="18">
        <f>IF($A369&gt;'1-Input'!$B$26,F368,(F368-MAX(0,B341-IF($A369&gt;=('1-Input'!$C$12-1),'1-Input'!$B$12,0))+C369*(1-'P-Parametri'!$B$6*B369))*(1+'1-Input'!$B$27))</f>
        <v>0</v>
      </c>
      <c r="E369" s="18">
        <f>IF($A369&gt;'1-Input'!$B$26,G368,(G368-C369)*(1+'5-Roberta'!$C$4))</f>
        <v>250356.62995499576</v>
      </c>
      <c r="F369" s="18">
        <f>IF($A369&gt;'1-Input'!$B$26,D369,D369-'P-Parametri'!$B$8*(E369+D369)+MIN(MAX(E369,0),'P-Parametri'!$B$8*(E369+D369)))</f>
        <v>0</v>
      </c>
      <c r="G369" s="18">
        <f>IF($A369&gt;'1-Input'!$B$26,E369,E369-MIN(MAX(E369,0),'P-Parametri'!$B$8*(E369+D369)))</f>
        <v>249855.91669508576</v>
      </c>
      <c r="H369" s="18">
        <f>IF($A369&gt;'1-Input'!$B$26,H368,H368-C369*(1-B369))</f>
        <v>95641.469232146701</v>
      </c>
      <c r="I369" s="11">
        <f>IF($A369&gt;'1-Input'!$B$26,0,IF(N368&lt;=0,0,MAX(0,(N368-O368)/N368)))</f>
        <v>0.60651845598489129</v>
      </c>
      <c r="J369" s="18">
        <f>IF($A369&gt;'1-Input'!$B$26,0,(MAX(0,I341-IF($A369&gt;=('1-Input'!$C$12-1),'1-Input'!$B$12,0))-MIN(MAX(M368,0),MAX(0,I341-IF($A369&gt;=('1-Input'!$C$12-1),'1-Input'!$B$12,0))))*(1/(1-'P-Parametri'!$B$6*I369))+MIN(MAX(0,N368-(MAX(0,I341-IF($A369&gt;=('1-Input'!$C$12-1),'1-Input'!$B$12,0))-MIN(MAX(M368,0),MAX(0,I341-IF($A369&gt;=('1-Input'!$C$12-1),'1-Input'!$B$12,0))))*(1/(1-'P-Parametri'!$B$6*I369))),MAX(0,0*I341-(M368-MIN(MAX(M368,0),MAX(0,I341-IF($A369&gt;=('1-Input'!$C$12-1),'1-Input'!$B$12,0)))))*(1/(1-'P-Parametri'!$B$6*I369))))</f>
        <v>12877.466474544564</v>
      </c>
      <c r="K369" s="18">
        <f>IF($A369&gt;'1-Input'!$B$26,M368,(M368-MAX(0,I341-IF($A369&gt;=('1-Input'!$C$12-1),'1-Input'!$B$12,0))+J369*(1-'P-Parametri'!$B$6*I369))*(1+'1-Input'!$B$27))</f>
        <v>0</v>
      </c>
      <c r="L369" s="18">
        <f>IF($A369&gt;'1-Input'!$B$26,N368,(N368-J369)*(1+'5-Roberta'!$C$4))</f>
        <v>22549.82870237697</v>
      </c>
      <c r="M369" s="18">
        <f>IF($A369&gt;'1-Input'!$B$26,K369,K369-'P-Parametri'!$B$8*(L369+K369)+MIN(MAX(L369,0),'P-Parametri'!$B$8*(L369+K369)))</f>
        <v>0</v>
      </c>
      <c r="N369" s="18">
        <f>IF($A369&gt;'1-Input'!$B$26,L369,L369-MIN(MAX(L369,0),'P-Parametri'!$B$8*(L369+K369)))</f>
        <v>22504.729044972217</v>
      </c>
      <c r="O369" s="18">
        <f>IF($A369&gt;'1-Input'!$B$26,O368,O368-J369*(1-I369))</f>
        <v>8614.5062282402941</v>
      </c>
      <c r="P369" s="11">
        <f>IF($A369&gt;'1-Input'!$B$26,0,IF(U368&lt;=0,0,MAX(0,(U368-V368)/U368)))</f>
        <v>0.60651845598489129</v>
      </c>
      <c r="Q369" s="18">
        <f>IF($A369&gt;'1-Input'!$B$26,0,(MAX(0,P341-IF($A369&gt;=('1-Input'!$C$12-1),'1-Input'!$B$12,0))-MIN(MAX(T368,0),MAX(0,P341-IF($A369&gt;=('1-Input'!$C$12-1),'1-Input'!$B$12,0))))*(1/(1-'P-Parametri'!$B$6*P369))+MIN(MAX(0,U368-(MAX(0,P341-IF($A369&gt;=('1-Input'!$C$12-1),'1-Input'!$B$12,0))-MIN(MAX(T368,0),MAX(0,P341-IF($A369&gt;=('1-Input'!$C$12-1),'1-Input'!$B$12,0))))*(1/(1-'P-Parametri'!$B$6*P369))),MAX(0,0*P341-(T368-MIN(MAX(T368,0),MAX(0,P341-IF($A369&gt;=('1-Input'!$C$12-1),'1-Input'!$B$12,0)))))*(1/(1-'P-Parametri'!$B$6*P369))))</f>
        <v>9788.6248242668826</v>
      </c>
      <c r="R369" s="18">
        <f>IF($A369&gt;'1-Input'!$B$26,T368,(T368-MAX(0,P341-IF($A369&gt;=('1-Input'!$C$12-1),'1-Input'!$B$12,0))+Q369*(1-'P-Parametri'!$B$6*P369))*(1+'1-Input'!$B$27))</f>
        <v>0</v>
      </c>
      <c r="S369" s="18">
        <f>IF($A369&gt;'1-Input'!$B$26,U368,(U368-Q369)*(1+'5-Roberta'!$C$4))</f>
        <v>135064.88487477586</v>
      </c>
      <c r="T369" s="18">
        <f>IF($A369&gt;'1-Input'!$B$26,R369,R369-'P-Parametri'!$B$8*(S369+R369)+MIN(MAX(S369,0),'P-Parametri'!$B$8*(S369+R369)))</f>
        <v>0</v>
      </c>
      <c r="U369" s="18">
        <f>IF($A369&gt;'1-Input'!$B$26,S369,S369-MIN(MAX(S369,0),'P-Parametri'!$B$8*(S369+R369)))</f>
        <v>134794.7551050263</v>
      </c>
      <c r="V369" s="18">
        <f>IF($A369&gt;'1-Input'!$B$26,V368,V368-Q369*(1-P369))</f>
        <v>51597.611109465739</v>
      </c>
      <c r="W369" s="11">
        <f>IF($A369&gt;'1-Input'!$B$26,0,IF(AB368&lt;=0,0,MAX(0,(AB368-AC368)/AB368)))</f>
        <v>0.60651845598489151</v>
      </c>
      <c r="X369" s="18">
        <f>IF($A369&gt;'1-Input'!$B$26,0,(MAX(0,W341-IF($A369&gt;=('1-Input'!$C$12-1),'1-Input'!$B$12,0))-MIN(MAX(AA368,0),MAX(0,W341-IF($A369&gt;=('1-Input'!$C$12-1),'1-Input'!$B$12,0))))*(1/(1-'P-Parametri'!$B$6*W369))+MIN(MAX(0,AB368-(MAX(0,W341-IF($A369&gt;=('1-Input'!$C$12-1),'1-Input'!$B$12,0))-MIN(MAX(AA368,0),MAX(0,W341-IF($A369&gt;=('1-Input'!$C$12-1),'1-Input'!$B$12,0))))*(1/(1-'P-Parametri'!$B$6*W369))),MAX(0,0*W341-(AA368-MIN(MAX(AA368,0),MAX(0,W341-IF($A369&gt;=('1-Input'!$C$12-1),'1-Input'!$B$12,0)))))*(1/(1-'P-Parametri'!$B$6*W369))))</f>
        <v>9471.4080649903499</v>
      </c>
      <c r="Y369" s="18">
        <f>IF($A369&gt;'1-Input'!$B$26,AA368,(AA368-MAX(0,W341-IF($A369&gt;=('1-Input'!$C$12-1),'1-Input'!$B$12,0))+X369*(1-'P-Parametri'!$B$6*W369))*(1+'1-Input'!$B$27))</f>
        <v>1.8124410416930913E-12</v>
      </c>
      <c r="Z369" s="18">
        <f>IF($A369&gt;'1-Input'!$B$26,AB368,(AB368-X369)*(1+'5-Roberta'!$C$4))</f>
        <v>146619.91602556911</v>
      </c>
      <c r="AA369" s="18">
        <f>IF($A369&gt;'1-Input'!$B$26,Y369,Y369-'P-Parametri'!$B$8*(Z369+Y369)+MIN(MAX(Z369,0),'P-Parametri'!$B$8*(Z369+Y369)))</f>
        <v>1.8189894035458565E-12</v>
      </c>
      <c r="AB369" s="18">
        <f>IF($A369&gt;'1-Input'!$B$26,Z369,Z369-MIN(MAX(Z369,0),'P-Parametri'!$B$8*(Z369+Y369)))</f>
        <v>146326.67619351798</v>
      </c>
      <c r="AC369" s="18">
        <f>IF($A369&gt;'1-Input'!$B$26,AC368,AC368-X369*(1-W369))</f>
        <v>56011.874700103392</v>
      </c>
      <c r="AD369" s="11">
        <f>IF($A369&gt;'1-Input'!$B$26,0,IF(AI368&lt;=0,0,MAX(0,(AI368-AJ368)/AI368)))</f>
        <v>0.60651845598489085</v>
      </c>
      <c r="AE369" s="18">
        <f>IF($A369&gt;'1-Input'!$B$26,0,(MAX(0,AD341-IF($A369&gt;=('1-Input'!$C$12-1),'1-Input'!$B$12,0))-MIN(MAX(AH368,0),MAX(0,AD341-IF($A369&gt;=('1-Input'!$C$12-1),'1-Input'!$B$12,0))))*(1/(1-'P-Parametri'!$B$6*AD369))+MIN(MAX(0,AI368-(MAX(0,AD341-IF($A369&gt;=('1-Input'!$C$12-1),'1-Input'!$B$12,0))-MIN(MAX(AH368,0),MAX(0,AD341-IF($A369&gt;=('1-Input'!$C$12-1),'1-Input'!$B$12,0))))*(1/(1-'P-Parametri'!$B$6*AD369))),MAX(0,0*AD341-(AH368-MIN(MAX(AH368,0),MAX(0,AD341-IF($A369&gt;=('1-Input'!$C$12-1),'1-Input'!$B$12,0)))))*(1/(1-'P-Parametri'!$B$6*AD369))))</f>
        <v>9481.849597794393</v>
      </c>
      <c r="AF369" s="18">
        <f>IF($A369&gt;'1-Input'!$B$26,AH368,(AH368-MAX(0,AD341-IF($A369&gt;=('1-Input'!$C$12-1),'1-Input'!$B$12,0))+AE369*(1-'P-Parametri'!$B$6*AD369))*(1+'1-Input'!$B$27))</f>
        <v>0</v>
      </c>
      <c r="AG369" s="18">
        <f>IF($A369&gt;'1-Input'!$B$26,AI368,(AI368-AE369)*(1+'5-Roberta'!$C$4))</f>
        <v>146239.56967473918</v>
      </c>
      <c r="AH369" s="18">
        <f>IF($A369&gt;'1-Input'!$B$26,AF369,AF369-'P-Parametri'!$B$8*(AG369+AF369)+MIN(MAX(AG369,0),'P-Parametri'!$B$8*(AG369+AF369)))</f>
        <v>0</v>
      </c>
      <c r="AI369" s="18">
        <f>IF($A369&gt;'1-Input'!$B$26,AG369,AG369-MIN(MAX(AG369,0),'P-Parametri'!$B$8*(AG369+AF369)))</f>
        <v>145947.0905353897</v>
      </c>
      <c r="AJ369" s="18">
        <f>IF($A369&gt;'1-Input'!$B$26,AJ368,AJ368-AE369*(1-AD369))</f>
        <v>55866.574438564552</v>
      </c>
      <c r="AK369" s="11">
        <f>IF($A369&gt;'1-Input'!$B$26,0,IF(AP368&lt;=0,0,MAX(0,(AP368-AQ368)/AP368)))</f>
        <v>0.60651845598489085</v>
      </c>
      <c r="AL369" s="18">
        <f>IF($A369&gt;'1-Input'!$B$26,0,(MAX(0,AK341-IF($A369&gt;=('1-Input'!$C$12-1),'1-Input'!$B$12,0))-MIN(MAX(AO368,0),MAX(0,AK341-IF($A369&gt;=('1-Input'!$C$12-1),'1-Input'!$B$12,0))))*(1/(1-'P-Parametri'!$B$6*AK369))+MIN(MAX(0,AP368-(MAX(0,AK341-IF($A369&gt;=('1-Input'!$C$12-1),'1-Input'!$B$12,0))-MIN(MAX(AO368,0),MAX(0,AK341-IF($A369&gt;=('1-Input'!$C$12-1),'1-Input'!$B$12,0))))*(1/(1-'P-Parametri'!$B$6*AK369))),MAX(0,0*AK341-(AO368-MIN(MAX(AO368,0),MAX(0,AK341-IF($A369&gt;=('1-Input'!$C$12-1),'1-Input'!$B$12,0)))))*(1/(1-'P-Parametri'!$B$6*AK369))))</f>
        <v>9480.2454449462002</v>
      </c>
      <c r="AM369" s="18">
        <f>IF($A369&gt;'1-Input'!$B$26,AO368,(AO368-MAX(0,AK341-IF($A369&gt;=('1-Input'!$C$12-1),'1-Input'!$B$12,0))+AL369*(1-'P-Parametri'!$B$6*AK369))*(1+'1-Input'!$B$27))</f>
        <v>0</v>
      </c>
      <c r="AN369" s="18">
        <f>IF($A369&gt;'1-Input'!$B$26,AP368,(AP368-AL369)*(1+'5-Roberta'!$C$4))</f>
        <v>146298.00301909907</v>
      </c>
      <c r="AO369" s="18">
        <f>IF($A369&gt;'1-Input'!$B$26,AM369,AM369-'P-Parametri'!$B$8*(AN369+AM369)+MIN(MAX(AN369,0),'P-Parametri'!$B$8*(AN369+AM369)))</f>
        <v>0</v>
      </c>
      <c r="AP369" s="18">
        <f>IF($A369&gt;'1-Input'!$B$26,AN369,AN369-MIN(MAX(AN369,0),'P-Parametri'!$B$8*(AN369+AM369)))</f>
        <v>146005.40701306087</v>
      </c>
      <c r="AQ369" s="18">
        <f>IF($A369&gt;'1-Input'!$B$26,AQ368,AQ368-AL369*(1-AK369))</f>
        <v>55888.897198332226</v>
      </c>
    </row>
    <row r="370" spans="1:43">
      <c r="A370" s="10">
        <f>27</f>
        <v>27</v>
      </c>
      <c r="B370" s="11">
        <f>IF($A370&gt;'1-Input'!$B$26,0,IF(G369&lt;=0,0,MAX(0,(G369-H369)/G369)))</f>
        <v>0.61721351050147943</v>
      </c>
      <c r="C370" s="18">
        <f>IF($A370&gt;'1-Input'!$B$26,0,(MAX(0,B341-IF($A370&gt;=('1-Input'!$C$12-1),'1-Input'!$B$12,0))-MIN(MAX(F369,0),MAX(0,B341-IF($A370&gt;=('1-Input'!$C$12-1),'1-Input'!$B$12,0))))*(1/(1-'P-Parametri'!$B$6*B370))+MIN(MAX(0,G369-(MAX(0,B341-IF($A370&gt;=('1-Input'!$C$12-1),'1-Input'!$B$12,0))-MIN(MAX(F369,0),MAX(0,B341-IF($A370&gt;=('1-Input'!$C$12-1),'1-Input'!$B$12,0))))*(1/(1-'P-Parametri'!$B$6*B370))),MAX(0,0*B341-(F369-MIN(MAX(F369,0),MAX(0,B341-IF($A370&gt;=('1-Input'!$C$12-1),'1-Input'!$B$12,0)))))*(1/(1-'P-Parametri'!$B$6*B370))))</f>
        <v>6645.4944426583179</v>
      </c>
      <c r="D370" s="18">
        <f>IF($A370&gt;'1-Input'!$B$26,F369,(F369-MAX(0,B341-IF($A370&gt;=('1-Input'!$C$12-1),'1-Input'!$B$12,0))+C370*(1-'P-Parametri'!$B$6*B370))*(1+'1-Input'!$B$27))</f>
        <v>0</v>
      </c>
      <c r="E370" s="18">
        <f>IF($A370&gt;'1-Input'!$B$26,G369,(G369-C370)*(1+'5-Roberta'!$C$4))</f>
        <v>250506.73492000028</v>
      </c>
      <c r="F370" s="18">
        <f>IF($A370&gt;'1-Input'!$B$26,D370,D370-'P-Parametri'!$B$8*(E370+D370)+MIN(MAX(E370,0),'P-Parametri'!$B$8*(E370+D370)))</f>
        <v>0</v>
      </c>
      <c r="G370" s="18">
        <f>IF($A370&gt;'1-Input'!$B$26,E370,E370-MIN(MAX(E370,0),'P-Parametri'!$B$8*(E370+D370)))</f>
        <v>250005.72145016029</v>
      </c>
      <c r="H370" s="18">
        <f>IF($A370&gt;'1-Input'!$B$26,H369,H369-C370*(1-B370))</f>
        <v>93097.66374345959</v>
      </c>
      <c r="I370" s="11">
        <f>IF($A370&gt;'1-Input'!$B$26,0,IF(N369&lt;=0,0,MAX(0,(N369-O369)/N369)))</f>
        <v>0.6172135105014801</v>
      </c>
      <c r="J370" s="18">
        <f>IF($A370&gt;'1-Input'!$B$26,0,(MAX(0,I341-IF($A370&gt;=('1-Input'!$C$12-1),'1-Input'!$B$12,0))-MIN(MAX(M369,0),MAX(0,I341-IF($A370&gt;=('1-Input'!$C$12-1),'1-Input'!$B$12,0))))*(1/(1-'P-Parametri'!$B$6*I370))+MIN(MAX(0,N369-(MAX(0,I341-IF($A370&gt;=('1-Input'!$C$12-1),'1-Input'!$B$12,0))-MIN(MAX(M369,0),MAX(0,I341-IF($A370&gt;=('1-Input'!$C$12-1),'1-Input'!$B$12,0))))*(1/(1-'P-Parametri'!$B$6*I370))),MAX(0,0*I341-(M369-MIN(MAX(M369,0),MAX(0,I341-IF($A370&gt;=('1-Input'!$C$12-1),'1-Input'!$B$12,0)))))*(1/(1-'P-Parametri'!$B$6*I370))))</f>
        <v>12920.119850471057</v>
      </c>
      <c r="K370" s="18">
        <f>IF($A370&gt;'1-Input'!$B$26,M369,(M369-MAX(0,I341-IF($A370&gt;=('1-Input'!$C$12-1),'1-Input'!$B$12,0))+J370*(1-'P-Parametri'!$B$6*I370))*(1+'1-Input'!$B$27))</f>
        <v>0</v>
      </c>
      <c r="L370" s="18">
        <f>IF($A370&gt;'1-Input'!$B$26,N369,(N369-J370)*(1+'5-Roberta'!$C$4))</f>
        <v>9872.1474703361946</v>
      </c>
      <c r="M370" s="18">
        <f>IF($A370&gt;'1-Input'!$B$26,K370,K370-'P-Parametri'!$B$8*(L370+K370)+MIN(MAX(L370,0),'P-Parametri'!$B$8*(L370+K370)))</f>
        <v>0</v>
      </c>
      <c r="N370" s="18">
        <f>IF($A370&gt;'1-Input'!$B$26,L370,L370-MIN(MAX(L370,0),'P-Parametri'!$B$8*(L370+K370)))</f>
        <v>9852.4031753955223</v>
      </c>
      <c r="O370" s="18">
        <f>IF($A370&gt;'1-Input'!$B$26,O369,O369-J370*(1-I370))</f>
        <v>3668.8589067783359</v>
      </c>
      <c r="P370" s="11">
        <f>IF($A370&gt;'1-Input'!$B$26,0,IF(U369&lt;=0,0,MAX(0,(U369-V369)/U369)))</f>
        <v>0.61721351050147988</v>
      </c>
      <c r="Q370" s="18">
        <f>IF($A370&gt;'1-Input'!$B$26,0,(MAX(0,P341-IF($A370&gt;=('1-Input'!$C$12-1),'1-Input'!$B$12,0))-MIN(MAX(T369,0),MAX(0,P341-IF($A370&gt;=('1-Input'!$C$12-1),'1-Input'!$B$12,0))))*(1/(1-'P-Parametri'!$B$6*P370))+MIN(MAX(0,U369-(MAX(0,P341-IF($A370&gt;=('1-Input'!$C$12-1),'1-Input'!$B$12,0))-MIN(MAX(T369,0),MAX(0,P341-IF($A370&gt;=('1-Input'!$C$12-1),'1-Input'!$B$12,0))))*(1/(1-'P-Parametri'!$B$6*P370))),MAX(0,0*P341-(T369-MIN(MAX(T369,0),MAX(0,P341-IF($A370&gt;=('1-Input'!$C$12-1),'1-Input'!$B$12,0)))))*(1/(1-'P-Parametri'!$B$6*P370))))</f>
        <v>9821.0471874124723</v>
      </c>
      <c r="R370" s="18">
        <f>IF($A370&gt;'1-Input'!$B$26,T369,(T369-MAX(0,P341-IF($A370&gt;=('1-Input'!$C$12-1),'1-Input'!$B$12,0))+Q370*(1-'P-Parametri'!$B$6*P370))*(1+'1-Input'!$B$27))</f>
        <v>0</v>
      </c>
      <c r="S370" s="18">
        <f>IF($A370&gt;'1-Input'!$B$26,U369,(U369-Q370)*(1+'5-Roberta'!$C$4))</f>
        <v>128722.91915514224</v>
      </c>
      <c r="T370" s="18">
        <f>IF($A370&gt;'1-Input'!$B$26,R370,R370-'P-Parametri'!$B$8*(S370+R370)+MIN(MAX(S370,0),'P-Parametri'!$B$8*(S370+R370)))</f>
        <v>0</v>
      </c>
      <c r="U370" s="18">
        <f>IF($A370&gt;'1-Input'!$B$26,S370,S370-MIN(MAX(S370,0),'P-Parametri'!$B$8*(S370+R370)))</f>
        <v>128465.47331683195</v>
      </c>
      <c r="V370" s="18">
        <f>IF($A370&gt;'1-Input'!$B$26,V369,V369-Q370*(1-P370))</f>
        <v>47838.246933396804</v>
      </c>
      <c r="W370" s="11">
        <f>IF($A370&gt;'1-Input'!$B$26,0,IF(AB369&lt;=0,0,MAX(0,(AB369-AC369)/AB369)))</f>
        <v>0.6172135105014801</v>
      </c>
      <c r="X370" s="18">
        <f>IF($A370&gt;'1-Input'!$B$26,0,(MAX(0,W341-IF($A370&gt;=('1-Input'!$C$12-1),'1-Input'!$B$12,0))-MIN(MAX(AA369,0),MAX(0,W341-IF($A370&gt;=('1-Input'!$C$12-1),'1-Input'!$B$12,0))))*(1/(1-'P-Parametri'!$B$6*W370))+MIN(MAX(0,AB369-(MAX(0,W341-IF($A370&gt;=('1-Input'!$C$12-1),'1-Input'!$B$12,0))-MIN(MAX(AA369,0),MAX(0,W341-IF($A370&gt;=('1-Input'!$C$12-1),'1-Input'!$B$12,0))))*(1/(1-'P-Parametri'!$B$6*W370))),MAX(0,0*W341-(AA369-MIN(MAX(AA369,0),MAX(0,W341-IF($A370&gt;=('1-Input'!$C$12-1),'1-Input'!$B$12,0)))))*(1/(1-'P-Parametri'!$B$6*W370))))</f>
        <v>9502.7797272305706</v>
      </c>
      <c r="Y370" s="18">
        <f>IF($A370&gt;'1-Input'!$B$26,AA369,(AA369-MAX(0,W341-IF($A370&gt;=('1-Input'!$C$12-1),'1-Input'!$B$12,0))+X370*(1-'P-Parametri'!$B$6*W370))*(1+'1-Input'!$B$27))</f>
        <v>0</v>
      </c>
      <c r="Z370" s="18">
        <f>IF($A370&gt;'1-Input'!$B$26,AB369,(AB369-X370)*(1+'5-Roberta'!$C$4))</f>
        <v>140928.61336027604</v>
      </c>
      <c r="AA370" s="18">
        <f>IF($A370&gt;'1-Input'!$B$26,Y370,Y370-'P-Parametri'!$B$8*(Z370+Y370)+MIN(MAX(Z370,0),'P-Parametri'!$B$8*(Z370+Y370)))</f>
        <v>0</v>
      </c>
      <c r="AB370" s="18">
        <f>IF($A370&gt;'1-Input'!$B$26,Z370,Z370-MIN(MAX(Z370,0),'P-Parametri'!$B$8*(Z370+Y370)))</f>
        <v>140646.75613355549</v>
      </c>
      <c r="AC370" s="18">
        <f>IF($A370&gt;'1-Input'!$B$26,AC369,AC369-X370*(1-W370))</f>
        <v>52374.339007839102</v>
      </c>
      <c r="AD370" s="11">
        <f>IF($A370&gt;'1-Input'!$B$26,0,IF(AI369&lt;=0,0,MAX(0,(AI369-AJ369)/AI369)))</f>
        <v>0.61721351050147966</v>
      </c>
      <c r="AE370" s="18">
        <f>IF($A370&gt;'1-Input'!$B$26,0,(MAX(0,AD341-IF($A370&gt;=('1-Input'!$C$12-1),'1-Input'!$B$12,0))-MIN(MAX(AH369,0),MAX(0,AD341-IF($A370&gt;=('1-Input'!$C$12-1),'1-Input'!$B$12,0))))*(1/(1-'P-Parametri'!$B$6*AD370))+MIN(MAX(0,AI369-(MAX(0,AD341-IF($A370&gt;=('1-Input'!$C$12-1),'1-Input'!$B$12,0))-MIN(MAX(AH369,0),MAX(0,AD341-IF($A370&gt;=('1-Input'!$C$12-1),'1-Input'!$B$12,0))))*(1/(1-'P-Parametri'!$B$6*AD370))),MAX(0,0*AD341-(AH369-MIN(MAX(AH369,0),MAX(0,AD341-IF($A370&gt;=('1-Input'!$C$12-1),'1-Input'!$B$12,0)))))*(1/(1-'P-Parametri'!$B$6*AD370))))</f>
        <v>9513.2558449915959</v>
      </c>
      <c r="AF370" s="18">
        <f>IF($A370&gt;'1-Input'!$B$26,AH369,(AH369-MAX(0,AD341-IF($A370&gt;=('1-Input'!$C$12-1),'1-Input'!$B$12,0))+AE370*(1-'P-Parametri'!$B$6*AD370))*(1+'1-Input'!$B$27))</f>
        <v>0</v>
      </c>
      <c r="AG370" s="18">
        <f>IF($A370&gt;'1-Input'!$B$26,AI369,(AI369-AE370)*(1+'5-Roberta'!$C$4))</f>
        <v>140526.84973111004</v>
      </c>
      <c r="AH370" s="18">
        <f>IF($A370&gt;'1-Input'!$B$26,AF370,AF370-'P-Parametri'!$B$8*(AG370+AF370)+MIN(MAX(AG370,0),'P-Parametri'!$B$8*(AG370+AF370)))</f>
        <v>0</v>
      </c>
      <c r="AI370" s="18">
        <f>IF($A370&gt;'1-Input'!$B$26,AG370,AG370-MIN(MAX(AG370,0),'P-Parametri'!$B$8*(AG370+AF370)))</f>
        <v>140245.79603164783</v>
      </c>
      <c r="AJ370" s="18">
        <f>IF($A370&gt;'1-Input'!$B$26,AJ369,AJ369-AE370*(1-AD370))</f>
        <v>52225.028629958942</v>
      </c>
      <c r="AK370" s="11">
        <f>IF($A370&gt;'1-Input'!$B$26,0,IF(AP369&lt;=0,0,MAX(0,(AP369-AQ369)/AP369)))</f>
        <v>0.61721351050147955</v>
      </c>
      <c r="AL370" s="18">
        <f>IF($A370&gt;'1-Input'!$B$26,0,(MAX(0,AK341-IF($A370&gt;=('1-Input'!$C$12-1),'1-Input'!$B$12,0))-MIN(MAX(AO369,0),MAX(0,AK341-IF($A370&gt;=('1-Input'!$C$12-1),'1-Input'!$B$12,0))))*(1/(1-'P-Parametri'!$B$6*AK370))+MIN(MAX(0,AP369-(MAX(0,AK341-IF($A370&gt;=('1-Input'!$C$12-1),'1-Input'!$B$12,0))-MIN(MAX(AO369,0),MAX(0,AK341-IF($A370&gt;=('1-Input'!$C$12-1),'1-Input'!$B$12,0))))*(1/(1-'P-Parametri'!$B$6*AK370))),MAX(0,0*AK341-(AO369-MIN(MAX(AO369,0),MAX(0,AK341-IF($A370&gt;=('1-Input'!$C$12-1),'1-Input'!$B$12,0)))))*(1/(1-'P-Parametri'!$B$6*AK370))))</f>
        <v>9511.6463787896737</v>
      </c>
      <c r="AM370" s="18">
        <f>IF($A370&gt;'1-Input'!$B$26,AO369,(AO369-MAX(0,AK341-IF($A370&gt;=('1-Input'!$C$12-1),'1-Input'!$B$12,0))+AL370*(1-'P-Parametri'!$B$6*AK370))*(1+'1-Input'!$B$27))</f>
        <v>0</v>
      </c>
      <c r="AN370" s="18">
        <f>IF($A370&gt;'1-Input'!$B$26,AP369,(AP369-AL370)*(1+'5-Roberta'!$C$4))</f>
        <v>140588.57345329932</v>
      </c>
      <c r="AO370" s="18">
        <f>IF($A370&gt;'1-Input'!$B$26,AM370,AM370-'P-Parametri'!$B$8*(AN370+AM370)+MIN(MAX(AN370,0),'P-Parametri'!$B$8*(AN370+AM370)))</f>
        <v>0</v>
      </c>
      <c r="AP370" s="18">
        <f>IF($A370&gt;'1-Input'!$B$26,AN370,AN370-MIN(MAX(AN370,0),'P-Parametri'!$B$8*(AN370+AM370)))</f>
        <v>140307.39630639274</v>
      </c>
      <c r="AQ370" s="18">
        <f>IF($A370&gt;'1-Input'!$B$26,AQ369,AQ369-AL370*(1-AK370))</f>
        <v>52247.967471644013</v>
      </c>
    </row>
    <row r="371" spans="1:43">
      <c r="A371" s="10">
        <f>28</f>
        <v>28</v>
      </c>
      <c r="B371" s="11">
        <f>IF($A371&gt;'1-Input'!$B$26,0,IF(G370&lt;=0,0,MAX(0,(G370-H370)/G370)))</f>
        <v>0.62761786728941316</v>
      </c>
      <c r="C371" s="18">
        <f>IF($A371&gt;'1-Input'!$B$26,0,(MAX(0,B341-IF($A371&gt;=('1-Input'!$C$12-1),'1-Input'!$B$12,0))-MIN(MAX(F370,0),MAX(0,B341-IF($A371&gt;=('1-Input'!$C$12-1),'1-Input'!$B$12,0))))*(1/(1-'P-Parametri'!$B$6*B371))+MIN(MAX(0,G370-(MAX(0,B341-IF($A371&gt;=('1-Input'!$C$12-1),'1-Input'!$B$12,0))-MIN(MAX(F370,0),MAX(0,B341-IF($A371&gt;=('1-Input'!$C$12-1),'1-Input'!$B$12,0))))*(1/(1-'P-Parametri'!$B$6*B371))),MAX(0,0*B341-(F370-MIN(MAX(F370,0),MAX(0,B341-IF($A371&gt;=('1-Input'!$C$12-1),'1-Input'!$B$12,0)))))*(1/(1-'P-Parametri'!$B$6*B371))))</f>
        <v>6666.9769103603085</v>
      </c>
      <c r="D371" s="18">
        <f>IF($A371&gt;'1-Input'!$B$26,F370,(F370-MAX(0,B341-IF($A371&gt;=('1-Input'!$C$12-1),'1-Input'!$B$12,0))+C371*(1-'P-Parametri'!$B$6*B371))*(1+'1-Input'!$B$27))</f>
        <v>0</v>
      </c>
      <c r="E371" s="18">
        <f>IF($A371&gt;'1-Input'!$B$26,G370,(G370-C371)*(1+'5-Roberta'!$C$4))</f>
        <v>250638.906875994</v>
      </c>
      <c r="F371" s="18">
        <f>IF($A371&gt;'1-Input'!$B$26,D371,D371-'P-Parametri'!$B$8*(E371+D371)+MIN(MAX(E371,0),'P-Parametri'!$B$8*(E371+D371)))</f>
        <v>0</v>
      </c>
      <c r="G371" s="18">
        <f>IF($A371&gt;'1-Input'!$B$26,E371,E371-MIN(MAX(E371,0),'P-Parametri'!$B$8*(E371+D371)))</f>
        <v>250137.62906224202</v>
      </c>
      <c r="H371" s="18">
        <f>IF($A371&gt;'1-Input'!$B$26,H370,H370-C371*(1-B371))</f>
        <v>90615.000662847378</v>
      </c>
      <c r="I371" s="11">
        <f>IF($A371&gt;'1-Input'!$B$26,0,IF(N370&lt;=0,0,MAX(0,(N370-O370)/N370)))</f>
        <v>0.62761786728941382</v>
      </c>
      <c r="J371" s="18">
        <f>IF($A371&gt;'1-Input'!$B$26,0,(MAX(0,I341-IF($A371&gt;=('1-Input'!$C$12-1),'1-Input'!$B$12,0))-MIN(MAX(M370,0),MAX(0,I341-IF($A371&gt;=('1-Input'!$C$12-1),'1-Input'!$B$12,0))))*(1/(1-'P-Parametri'!$B$6*I371))+MIN(MAX(0,N370-(MAX(0,I341-IF($A371&gt;=('1-Input'!$C$12-1),'1-Input'!$B$12,0))-MIN(MAX(M370,0),MAX(0,I341-IF($A371&gt;=('1-Input'!$C$12-1),'1-Input'!$B$12,0))))*(1/(1-'P-Parametri'!$B$6*I371))),MAX(0,0*I341-(M370-MIN(MAX(M370,0),MAX(0,I341-IF($A371&gt;=('1-Input'!$C$12-1),'1-Input'!$B$12,0)))))*(1/(1-'P-Parametri'!$B$6*I371))))</f>
        <v>12961.885901107094</v>
      </c>
      <c r="K371" s="18">
        <f>IF($A371&gt;'1-Input'!$B$26,M370,(M370-MAX(0,I341-IF($A371&gt;=('1-Input'!$C$12-1),'1-Input'!$B$12,0))+J371*(1-'P-Parametri'!$B$6*I371))*(1+'1-Input'!$B$27))</f>
        <v>-1.8124410416930913E-12</v>
      </c>
      <c r="L371" s="18">
        <f>IF($A371&gt;'1-Input'!$B$26,N370,(N370-J371)*(1+'5-Roberta'!$C$4))</f>
        <v>-3202.7672074829193</v>
      </c>
      <c r="M371" s="18">
        <f>IF($A371&gt;'1-Input'!$B$26,K371,K371-'P-Parametri'!$B$8*(L371+K371)+MIN(MAX(L371,0),'P-Parametri'!$B$8*(L371+K371)))</f>
        <v>-1.8127721546079556E-12</v>
      </c>
      <c r="N371" s="18">
        <f>IF($A371&gt;'1-Input'!$B$26,L371,L371-MIN(MAX(L371,0),'P-Parametri'!$B$8*(L371+K371)))</f>
        <v>-3196.3616730679532</v>
      </c>
      <c r="O371" s="18">
        <f>IF($A371&gt;'1-Input'!$B$26,O370,O370-J371*(1-I371))</f>
        <v>-1157.9158090272022</v>
      </c>
      <c r="P371" s="11">
        <f>IF($A371&gt;'1-Input'!$B$26,0,IF(U370&lt;=0,0,MAX(0,(U370-V370)/U370)))</f>
        <v>0.62761786728941371</v>
      </c>
      <c r="Q371" s="18">
        <f>IF($A371&gt;'1-Input'!$B$26,0,(MAX(0,P341-IF($A371&gt;=('1-Input'!$C$12-1),'1-Input'!$B$12,0))-MIN(MAX(T370,0),MAX(0,P341-IF($A371&gt;=('1-Input'!$C$12-1),'1-Input'!$B$12,0))))*(1/(1-'P-Parametri'!$B$6*P371))+MIN(MAX(0,U370-(MAX(0,P341-IF($A371&gt;=('1-Input'!$C$12-1),'1-Input'!$B$12,0))-MIN(MAX(T370,0),MAX(0,P341-IF($A371&gt;=('1-Input'!$C$12-1),'1-Input'!$B$12,0))))*(1/(1-'P-Parametri'!$B$6*P371))),MAX(0,0*P341-(T370-MIN(MAX(T370,0),MAX(0,P341-IF($A371&gt;=('1-Input'!$C$12-1),'1-Input'!$B$12,0)))))*(1/(1-'P-Parametri'!$B$6*P371))))</f>
        <v>9852.7950627321788</v>
      </c>
      <c r="R371" s="18">
        <f>IF($A371&gt;'1-Input'!$B$26,T370,(T370-MAX(0,P341-IF($A371&gt;=('1-Input'!$C$12-1),'1-Input'!$B$12,0))+Q371*(1-'P-Parametri'!$B$6*P371))*(1+'1-Input'!$B$27))</f>
        <v>0</v>
      </c>
      <c r="S371" s="18">
        <f>IF($A371&gt;'1-Input'!$B$26,U370,(U370-Q371)*(1+'5-Roberta'!$C$4))</f>
        <v>122171.05860172276</v>
      </c>
      <c r="T371" s="18">
        <f>IF($A371&gt;'1-Input'!$B$26,R371,R371-'P-Parametri'!$B$8*(S371+R371)+MIN(MAX(S371,0),'P-Parametri'!$B$8*(S371+R371)))</f>
        <v>0</v>
      </c>
      <c r="U371" s="18">
        <f>IF($A371&gt;'1-Input'!$B$26,S371,S371-MIN(MAX(S371,0),'P-Parametri'!$B$8*(S371+R371)))</f>
        <v>121926.71648451932</v>
      </c>
      <c r="V371" s="18">
        <f>IF($A371&gt;'1-Input'!$B$26,V370,V370-Q371*(1-P371))</f>
        <v>44169.242094776258</v>
      </c>
      <c r="W371" s="11">
        <f>IF($A371&gt;'1-Input'!$B$26,0,IF(AB370&lt;=0,0,MAX(0,(AB370-AC370)/AB370)))</f>
        <v>0.62761786728941393</v>
      </c>
      <c r="X371" s="18">
        <f>IF($A371&gt;'1-Input'!$B$26,0,(MAX(0,W341-IF($A371&gt;=('1-Input'!$C$12-1),'1-Input'!$B$12,0))-MIN(MAX(AA370,0),MAX(0,W341-IF($A371&gt;=('1-Input'!$C$12-1),'1-Input'!$B$12,0))))*(1/(1-'P-Parametri'!$B$6*W371))+MIN(MAX(0,AB370-(MAX(0,W341-IF($A371&gt;=('1-Input'!$C$12-1),'1-Input'!$B$12,0))-MIN(MAX(AA370,0),MAX(0,W341-IF($A371&gt;=('1-Input'!$C$12-1),'1-Input'!$B$12,0))))*(1/(1-'P-Parametri'!$B$6*W371))),MAX(0,0*W341-(AA370-MIN(MAX(AA370,0),MAX(0,W341-IF($A371&gt;=('1-Input'!$C$12-1),'1-Input'!$B$12,0)))))*(1/(1-'P-Parametri'!$B$6*W371))))</f>
        <v>9533.4987595510174</v>
      </c>
      <c r="Y371" s="18">
        <f>IF($A371&gt;'1-Input'!$B$26,AA370,(AA370-MAX(0,W341-IF($A371&gt;=('1-Input'!$C$12-1),'1-Input'!$B$12,0))+X371*(1-'P-Parametri'!$B$6*W371))*(1+'1-Input'!$B$27))</f>
        <v>0</v>
      </c>
      <c r="Z371" s="18">
        <f>IF($A371&gt;'1-Input'!$B$26,AB370,(AB370-X371)*(1+'5-Roberta'!$C$4))</f>
        <v>135046.65509522459</v>
      </c>
      <c r="AA371" s="18">
        <f>IF($A371&gt;'1-Input'!$B$26,Y371,Y371-'P-Parametri'!$B$8*(Z371+Y371)+MIN(MAX(Z371,0),'P-Parametri'!$B$8*(Z371+Y371)))</f>
        <v>0</v>
      </c>
      <c r="AB371" s="18">
        <f>IF($A371&gt;'1-Input'!$B$26,Z371,Z371-MIN(MAX(Z371,0),'P-Parametri'!$B$8*(Z371+Y371)))</f>
        <v>134776.56178503414</v>
      </c>
      <c r="AC371" s="18">
        <f>IF($A371&gt;'1-Input'!$B$26,AC370,AC370-X371*(1-W371))</f>
        <v>48824.234407563767</v>
      </c>
      <c r="AD371" s="11">
        <f>IF($A371&gt;'1-Input'!$B$26,0,IF(AI370&lt;=0,0,MAX(0,(AI370-AJ370)/AI370)))</f>
        <v>0.62761786728941338</v>
      </c>
      <c r="AE371" s="18">
        <f>IF($A371&gt;'1-Input'!$B$26,0,(MAX(0,AD341-IF($A371&gt;=('1-Input'!$C$12-1),'1-Input'!$B$12,0))-MIN(MAX(AH370,0),MAX(0,AD341-IF($A371&gt;=('1-Input'!$C$12-1),'1-Input'!$B$12,0))))*(1/(1-'P-Parametri'!$B$6*AD371))+MIN(MAX(0,AI370-(MAX(0,AD341-IF($A371&gt;=('1-Input'!$C$12-1),'1-Input'!$B$12,0))-MIN(MAX(AH370,0),MAX(0,AD341-IF($A371&gt;=('1-Input'!$C$12-1),'1-Input'!$B$12,0))))*(1/(1-'P-Parametri'!$B$6*AD371))),MAX(0,0*AD341-(AH370-MIN(MAX(AH370,0),MAX(0,AD341-IF($A371&gt;=('1-Input'!$C$12-1),'1-Input'!$B$12,0)))))*(1/(1-'P-Parametri'!$B$6*AD371))))</f>
        <v>9544.0087427923881</v>
      </c>
      <c r="AF371" s="18">
        <f>IF($A371&gt;'1-Input'!$B$26,AH370,(AH370-MAX(0,AD341-IF($A371&gt;=('1-Input'!$C$12-1),'1-Input'!$B$12,0))+AE371*(1-'P-Parametri'!$B$6*AD371))*(1+'1-Input'!$B$27))</f>
        <v>9.0622052084654565E-13</v>
      </c>
      <c r="AG371" s="18">
        <f>IF($A371&gt;'1-Input'!$B$26,AI370,(AI370-AE371)*(1+'5-Roberta'!$C$4))</f>
        <v>134622.84090752111</v>
      </c>
      <c r="AH371" s="18">
        <f>IF($A371&gt;'1-Input'!$B$26,AF371,AF371-'P-Parametri'!$B$8*(AG371+AF371)+MIN(MAX(AG371,0),'P-Parametri'!$B$8*(AG371+AF371)))</f>
        <v>9.0949470177292824E-13</v>
      </c>
      <c r="AI371" s="18">
        <f>IF($A371&gt;'1-Input'!$B$26,AG371,AG371-MIN(MAX(AG371,0),'P-Parametri'!$B$8*(AG371+AF371)))</f>
        <v>134353.59522570606</v>
      </c>
      <c r="AJ371" s="18">
        <f>IF($A371&gt;'1-Input'!$B$26,AJ370,AJ370-AE371*(1-AD371))</f>
        <v>48671.010299709429</v>
      </c>
      <c r="AK371" s="11">
        <f>IF($A371&gt;'1-Input'!$B$26,0,IF(AP370&lt;=0,0,MAX(0,(AP370-AQ370)/AP370)))</f>
        <v>0.62761786728941327</v>
      </c>
      <c r="AL371" s="18">
        <f>IF($A371&gt;'1-Input'!$B$26,0,(MAX(0,AK341-IF($A371&gt;=('1-Input'!$C$12-1),'1-Input'!$B$12,0))-MIN(MAX(AO370,0),MAX(0,AK341-IF($A371&gt;=('1-Input'!$C$12-1),'1-Input'!$B$12,0))))*(1/(1-'P-Parametri'!$B$6*AK371))+MIN(MAX(0,AP370-(MAX(0,AK341-IF($A371&gt;=('1-Input'!$C$12-1),'1-Input'!$B$12,0))-MIN(MAX(AO370,0),MAX(0,AK341-IF($A371&gt;=('1-Input'!$C$12-1),'1-Input'!$B$12,0))))*(1/(1-'P-Parametri'!$B$6*AK371))),MAX(0,0*AK341-(AO370-MIN(MAX(AO370,0),MAX(0,AK341-IF($A371&gt;=('1-Input'!$C$12-1),'1-Input'!$B$12,0)))))*(1/(1-'P-Parametri'!$B$6*AK371))))</f>
        <v>9542.3940737713237</v>
      </c>
      <c r="AM371" s="18">
        <f>IF($A371&gt;'1-Input'!$B$26,AO370,(AO370-MAX(0,AK341-IF($A371&gt;=('1-Input'!$C$12-1),'1-Input'!$B$12,0))+AL371*(1-'P-Parametri'!$B$6*AK371))*(1+'1-Input'!$B$27))</f>
        <v>9.0622052084654565E-13</v>
      </c>
      <c r="AN371" s="18">
        <f>IF($A371&gt;'1-Input'!$B$26,AP370,(AP370-AL371)*(1+'5-Roberta'!$C$4))</f>
        <v>134687.95229960006</v>
      </c>
      <c r="AO371" s="18">
        <f>IF($A371&gt;'1-Input'!$B$26,AM371,AM371-'P-Parametri'!$B$8*(AN371+AM371)+MIN(MAX(AN371,0),'P-Parametri'!$B$8*(AN371+AM371)))</f>
        <v>9.0949470177292824E-13</v>
      </c>
      <c r="AP371" s="18">
        <f>IF($A371&gt;'1-Input'!$B$26,AN371,AN371-MIN(MAX(AN371,0),'P-Parametri'!$B$8*(AN371+AM371)))</f>
        <v>134418.57639500085</v>
      </c>
      <c r="AQ371" s="18">
        <f>IF($A371&gt;'1-Input'!$B$26,AQ370,AQ370-AL371*(1-AK371))</f>
        <v>48694.550415288184</v>
      </c>
    </row>
    <row r="372" spans="1:43">
      <c r="A372" s="10">
        <f>29</f>
        <v>29</v>
      </c>
      <c r="B372" s="11">
        <f>IF($A372&gt;'1-Input'!$B$26,0,IF(G371&lt;=0,0,MAX(0,(G371-H371)/G371)))</f>
        <v>0.637739427680033</v>
      </c>
      <c r="C372" s="18">
        <f>IF($A372&gt;'1-Input'!$B$26,0,(MAX(0,B341-IF($A372&gt;=('1-Input'!$C$12-1),'1-Input'!$B$12,0))-MIN(MAX(F371,0),MAX(0,B341-IF($A372&gt;=('1-Input'!$C$12-1),'1-Input'!$B$12,0))))*(1/(1-'P-Parametri'!$B$6*B372))+MIN(MAX(0,G371-(MAX(0,B341-IF($A372&gt;=('1-Input'!$C$12-1),'1-Input'!$B$12,0))-MIN(MAX(F371,0),MAX(0,B341-IF($A372&gt;=('1-Input'!$C$12-1),'1-Input'!$B$12,0))))*(1/(1-'P-Parametri'!$B$6*B372))),MAX(0,0*B341-(F371-MIN(MAX(F371,0),MAX(0,B341-IF($A372&gt;=('1-Input'!$C$12-1),'1-Input'!$B$12,0)))))*(1/(1-'P-Parametri'!$B$6*B372))))</f>
        <v>6688.0091713526954</v>
      </c>
      <c r="D372" s="18">
        <f>IF($A372&gt;'1-Input'!$B$26,F371,(F371-MAX(0,B341-IF($A372&gt;=('1-Input'!$C$12-1),'1-Input'!$B$12,0))+C372*(1-'P-Parametri'!$B$6*B372))*(1+'1-Input'!$B$27))</f>
        <v>0</v>
      </c>
      <c r="E372" s="18">
        <f>IF($A372&gt;'1-Input'!$B$26,G371,(G371-C372)*(1+'5-Roberta'!$C$4))</f>
        <v>250753.108487616</v>
      </c>
      <c r="F372" s="18">
        <f>IF($A372&gt;'1-Input'!$B$26,D372,D372-'P-Parametri'!$B$8*(E372+D372)+MIN(MAX(E372,0),'P-Parametri'!$B$8*(E372+D372)))</f>
        <v>0</v>
      </c>
      <c r="G372" s="18">
        <f>IF($A372&gt;'1-Input'!$B$26,E372,E372-MIN(MAX(E372,0),'P-Parametri'!$B$8*(E372+D372)))</f>
        <v>250251.60227064078</v>
      </c>
      <c r="H372" s="18">
        <f>IF($A372&gt;'1-Input'!$B$26,H371,H371-C372*(1-B372))</f>
        <v>88192.19863275197</v>
      </c>
      <c r="I372" s="11">
        <f>IF($A372&gt;'1-Input'!$B$26,0,IF(N371&lt;=0,0,MAX(0,(N371-O371)/N371)))</f>
        <v>0</v>
      </c>
      <c r="J372" s="18">
        <f>IF($A372&gt;'1-Input'!$B$26,0,(MAX(0,I341-IF($A372&gt;=('1-Input'!$C$12-1),'1-Input'!$B$12,0))-MIN(MAX(M371,0),MAX(0,I341-IF($A372&gt;=('1-Input'!$C$12-1),'1-Input'!$B$12,0))))*(1/(1-'P-Parametri'!$B$6*I372))+MIN(MAX(0,N371-(MAX(0,I341-IF($A372&gt;=('1-Input'!$C$12-1),'1-Input'!$B$12,0))-MIN(MAX(M371,0),MAX(0,I341-IF($A372&gt;=('1-Input'!$C$12-1),'1-Input'!$B$12,0))))*(1/(1-'P-Parametri'!$B$6*I372))),MAX(0,0*I341-(M371-MIN(MAX(M371,0),MAX(0,I341-IF($A372&gt;=('1-Input'!$C$12-1),'1-Input'!$B$12,0)))))*(1/(1-'P-Parametri'!$B$6*I372))))</f>
        <v>10846.756992928691</v>
      </c>
      <c r="K372" s="18">
        <f>IF($A372&gt;'1-Input'!$B$26,M371,(M371-MAX(0,I341-IF($A372&gt;=('1-Input'!$C$12-1),'1-Input'!$B$12,0))+J372*(1-'P-Parametri'!$B$6*I372))*(1+'1-Input'!$B$27))</f>
        <v>-1.8124410416930913E-12</v>
      </c>
      <c r="L372" s="18">
        <f>IF($A372&gt;'1-Input'!$B$26,N371,(N371-J372)*(1+'5-Roberta'!$C$4))</f>
        <v>-14464.412225976545</v>
      </c>
      <c r="M372" s="18">
        <f>IF($A372&gt;'1-Input'!$B$26,K372,K372-'P-Parametri'!$B$8*(L372+K372)+MIN(MAX(L372,0),'P-Parametri'!$B$8*(L372+K372)))</f>
        <v>-1.8118839761882555E-12</v>
      </c>
      <c r="N372" s="18">
        <f>IF($A372&gt;'1-Input'!$B$26,L372,L372-MIN(MAX(L372,0),'P-Parametri'!$B$8*(L372+K372)))</f>
        <v>-14435.483401524591</v>
      </c>
      <c r="O372" s="18">
        <f>IF($A372&gt;'1-Input'!$B$26,O371,O371-J372*(1-I372))</f>
        <v>-12004.672801955894</v>
      </c>
      <c r="P372" s="11">
        <f>IF($A372&gt;'1-Input'!$B$26,0,IF(U371&lt;=0,0,MAX(0,(U371-V371)/U371)))</f>
        <v>0.63773942768003355</v>
      </c>
      <c r="Q372" s="18">
        <f>IF($A372&gt;'1-Input'!$B$26,0,(MAX(0,P341-IF($A372&gt;=('1-Input'!$C$12-1),'1-Input'!$B$12,0))-MIN(MAX(T371,0),MAX(0,P341-IF($A372&gt;=('1-Input'!$C$12-1),'1-Input'!$B$12,0))))*(1/(1-'P-Parametri'!$B$6*P372))+MIN(MAX(0,U371-(MAX(0,P341-IF($A372&gt;=('1-Input'!$C$12-1),'1-Input'!$B$12,0))-MIN(MAX(T371,0),MAX(0,P341-IF($A372&gt;=('1-Input'!$C$12-1),'1-Input'!$B$12,0))))*(1/(1-'P-Parametri'!$B$6*P372))),MAX(0,0*P341-(T371-MIN(MAX(T371,0),MAX(0,P341-IF($A372&gt;=('1-Input'!$C$12-1),'1-Input'!$B$12,0)))))*(1/(1-'P-Parametri'!$B$6*P372))))</f>
        <v>9883.877599847594</v>
      </c>
      <c r="R372" s="18">
        <f>IF($A372&gt;'1-Input'!$B$26,T371,(T371-MAX(0,P341-IF($A372&gt;=('1-Input'!$C$12-1),'1-Input'!$B$12,0))+Q372*(1-'P-Parametri'!$B$6*P372))*(1+'1-Input'!$B$27))</f>
        <v>0</v>
      </c>
      <c r="S372" s="18">
        <f>IF($A372&gt;'1-Input'!$B$26,U371,(U371-Q372)*(1+'5-Roberta'!$C$4))</f>
        <v>115404.12405121188</v>
      </c>
      <c r="T372" s="18">
        <f>IF($A372&gt;'1-Input'!$B$26,R372,R372-'P-Parametri'!$B$8*(S372+R372)+MIN(MAX(S372,0),'P-Parametri'!$B$8*(S372+R372)))</f>
        <v>0</v>
      </c>
      <c r="U372" s="18">
        <f>IF($A372&gt;'1-Input'!$B$26,S372,S372-MIN(MAX(S372,0),'P-Parametri'!$B$8*(S372+R372)))</f>
        <v>115173.31580310946</v>
      </c>
      <c r="V372" s="18">
        <f>IF($A372&gt;'1-Input'!$B$26,V371,V371-Q372*(1-P372))</f>
        <v>40588.702938714974</v>
      </c>
      <c r="W372" s="11">
        <f>IF($A372&gt;'1-Input'!$B$26,0,IF(AB371&lt;=0,0,MAX(0,(AB371-AC371)/AB371)))</f>
        <v>0.63773942768003367</v>
      </c>
      <c r="X372" s="18">
        <f>IF($A372&gt;'1-Input'!$B$26,0,(MAX(0,W341-IF($A372&gt;=('1-Input'!$C$12-1),'1-Input'!$B$12,0))-MIN(MAX(AA371,0),MAX(0,W341-IF($A372&gt;=('1-Input'!$C$12-1),'1-Input'!$B$12,0))))*(1/(1-'P-Parametri'!$B$6*W372))+MIN(MAX(0,AB371-(MAX(0,W341-IF($A372&gt;=('1-Input'!$C$12-1),'1-Input'!$B$12,0))-MIN(MAX(AA371,0),MAX(0,W341-IF($A372&gt;=('1-Input'!$C$12-1),'1-Input'!$B$12,0))))*(1/(1-'P-Parametri'!$B$6*W372))),MAX(0,0*W341-(AA371-MIN(MAX(AA371,0),MAX(0,W341-IF($A372&gt;=('1-Input'!$C$12-1),'1-Input'!$B$12,0)))))*(1/(1-'P-Parametri'!$B$6*W372))))</f>
        <v>9563.5740150644851</v>
      </c>
      <c r="Y372" s="18">
        <f>IF($A372&gt;'1-Input'!$B$26,AA371,(AA371-MAX(0,W341-IF($A372&gt;=('1-Input'!$C$12-1),'1-Input'!$B$12,0))+X372*(1-'P-Parametri'!$B$6*W372))*(1+'1-Input'!$B$27))</f>
        <v>-9.0622052084654565E-13</v>
      </c>
      <c r="Z372" s="18">
        <f>IF($A372&gt;'1-Input'!$B$26,AB371,(AB371-X372)*(1+'5-Roberta'!$C$4))</f>
        <v>128969.37740306875</v>
      </c>
      <c r="AA372" s="18">
        <f>IF($A372&gt;'1-Input'!$B$26,Y372,Y372-'P-Parametri'!$B$8*(Z372+Y372)+MIN(MAX(Z372,0),'P-Parametri'!$B$8*(Z372+Y372)))</f>
        <v>-9.0949470177292824E-13</v>
      </c>
      <c r="AB372" s="18">
        <f>IF($A372&gt;'1-Input'!$B$26,Z372,Z372-MIN(MAX(Z372,0),'P-Parametri'!$B$8*(Z372+Y372)))</f>
        <v>128711.43864826261</v>
      </c>
      <c r="AC372" s="18">
        <f>IF($A372&gt;'1-Input'!$B$26,AC371,AC371-X372*(1-W372))</f>
        <v>45359.728611442144</v>
      </c>
      <c r="AD372" s="11">
        <f>IF($A372&gt;'1-Input'!$B$26,0,IF(AI371&lt;=0,0,MAX(0,(AI371-AJ371)/AI371)))</f>
        <v>0.63773942768003333</v>
      </c>
      <c r="AE372" s="18">
        <f>IF($A372&gt;'1-Input'!$B$26,0,(MAX(0,AD341-IF($A372&gt;=('1-Input'!$C$12-1),'1-Input'!$B$12,0))-MIN(MAX(AH371,0),MAX(0,AD341-IF($A372&gt;=('1-Input'!$C$12-1),'1-Input'!$B$12,0))))*(1/(1-'P-Parametri'!$B$6*AD372))+MIN(MAX(0,AI371-(MAX(0,AD341-IF($A372&gt;=('1-Input'!$C$12-1),'1-Input'!$B$12,0))-MIN(MAX(AH371,0),MAX(0,AD341-IF($A372&gt;=('1-Input'!$C$12-1),'1-Input'!$B$12,0))))*(1/(1-'P-Parametri'!$B$6*AD372))),MAX(0,0*AD341-(AH371-MIN(MAX(AH371,0),MAX(0,AD341-IF($A372&gt;=('1-Input'!$C$12-1),'1-Input'!$B$12,0)))))*(1/(1-'P-Parametri'!$B$6*AD372))))</f>
        <v>9574.1171540694831</v>
      </c>
      <c r="AF372" s="18">
        <f>IF($A372&gt;'1-Input'!$B$26,AH371,(AH371-MAX(0,AD341-IF($A372&gt;=('1-Input'!$C$12-1),'1-Input'!$B$12,0))+AE372*(1-'P-Parametri'!$B$6*AD372))*(1+'1-Input'!$B$27))</f>
        <v>0</v>
      </c>
      <c r="AG372" s="18">
        <f>IF($A372&gt;'1-Input'!$B$26,AI371,(AI371-AE372)*(1+'5-Roberta'!$C$4))</f>
        <v>128522.86241378568</v>
      </c>
      <c r="AH372" s="18">
        <f>IF($A372&gt;'1-Input'!$B$26,AF372,AF372-'P-Parametri'!$B$8*(AG372+AF372)+MIN(MAX(AG372,0),'P-Parametri'!$B$8*(AG372+AF372)))</f>
        <v>0</v>
      </c>
      <c r="AI372" s="18">
        <f>IF($A372&gt;'1-Input'!$B$26,AG372,AG372-MIN(MAX(AG372,0),'P-Parametri'!$B$8*(AG372+AF372)))</f>
        <v>128265.8166889581</v>
      </c>
      <c r="AJ372" s="18">
        <f>IF($A372&gt;'1-Input'!$B$26,AJ371,AJ371-AE372*(1-AD372))</f>
        <v>45202.685140017806</v>
      </c>
      <c r="AK372" s="11">
        <f>IF($A372&gt;'1-Input'!$B$26,0,IF(AP371&lt;=0,0,MAX(0,(AP371-AQ371)/AP371)))</f>
        <v>0.63773942768003322</v>
      </c>
      <c r="AL372" s="18">
        <f>IF($A372&gt;'1-Input'!$B$26,0,(MAX(0,AK341-IF($A372&gt;=('1-Input'!$C$12-1),'1-Input'!$B$12,0))-MIN(MAX(AO371,0),MAX(0,AK341-IF($A372&gt;=('1-Input'!$C$12-1),'1-Input'!$B$12,0))))*(1/(1-'P-Parametri'!$B$6*AK372))+MIN(MAX(0,AP371-(MAX(0,AK341-IF($A372&gt;=('1-Input'!$C$12-1),'1-Input'!$B$12,0))-MIN(MAX(AO371,0),MAX(0,AK341-IF($A372&gt;=('1-Input'!$C$12-1),'1-Input'!$B$12,0))))*(1/(1-'P-Parametri'!$B$6*AK372))),MAX(0,0*AK341-(AO371-MIN(MAX(AO371,0),MAX(0,AK341-IF($A372&gt;=('1-Input'!$C$12-1),'1-Input'!$B$12,0)))))*(1/(1-'P-Parametri'!$B$6*AK372))))</f>
        <v>9572.4973912644255</v>
      </c>
      <c r="AM372" s="18">
        <f>IF($A372&gt;'1-Input'!$B$26,AO371,(AO371-MAX(0,AK341-IF($A372&gt;=('1-Input'!$C$12-1),'1-Input'!$B$12,0))+AL372*(1-'P-Parametri'!$B$6*AK372))*(1+'1-Input'!$B$27))</f>
        <v>0</v>
      </c>
      <c r="AN372" s="18">
        <f>IF($A372&gt;'1-Input'!$B$26,AP371,(AP371-AL372)*(1+'5-Roberta'!$C$4))</f>
        <v>128591.46137384854</v>
      </c>
      <c r="AO372" s="18">
        <f>IF($A372&gt;'1-Input'!$B$26,AM372,AM372-'P-Parametri'!$B$8*(AN372+AM372)+MIN(MAX(AN372,0),'P-Parametri'!$B$8*(AN372+AM372)))</f>
        <v>0</v>
      </c>
      <c r="AP372" s="18">
        <f>IF($A372&gt;'1-Input'!$B$26,AN372,AN372-MIN(MAX(AN372,0),'P-Parametri'!$B$8*(AN372+AM372)))</f>
        <v>128334.27845110084</v>
      </c>
      <c r="AQ372" s="18">
        <f>IF($A372&gt;'1-Input'!$B$26,AQ371,AQ371-AL372*(1-AK372))</f>
        <v>45226.812031797344</v>
      </c>
    </row>
    <row r="373" spans="1:43">
      <c r="A373" s="10">
        <f>30</f>
        <v>30</v>
      </c>
      <c r="B373" s="11">
        <f>IF($A373&gt;'1-Input'!$B$26,0,IF(G372&lt;=0,0,MAX(0,(G372-H372)/G372)))</f>
        <v>0.64758587824195291</v>
      </c>
      <c r="C373" s="18">
        <f>IF($A373&gt;'1-Input'!$B$26,0,(MAX(0,B341-IF($A373&gt;=('1-Input'!$C$12-1),'1-Input'!$B$12,0))-MIN(MAX(F372,0),MAX(0,B341-IF($A373&gt;=('1-Input'!$C$12-1),'1-Input'!$B$12,0))))*(1/(1-'P-Parametri'!$B$6*B373))+MIN(MAX(0,G372-(MAX(0,B341-IF($A373&gt;=('1-Input'!$C$12-1),'1-Input'!$B$12,0))-MIN(MAX(F372,0),MAX(0,B341-IF($A373&gt;=('1-Input'!$C$12-1),'1-Input'!$B$12,0))))*(1/(1-'P-Parametri'!$B$6*B373))),MAX(0,0*B341-(F372-MIN(MAX(F372,0),MAX(0,B341-IF($A373&gt;=('1-Input'!$C$12-1),'1-Input'!$B$12,0)))))*(1/(1-'P-Parametri'!$B$6*B373))))</f>
        <v>6708.5974947286659</v>
      </c>
      <c r="D373" s="18">
        <f>IF($A373&gt;'1-Input'!$B$26,F372,(F372-MAX(0,B341-IF($A373&gt;=('1-Input'!$C$12-1),'1-Input'!$B$12,0))+C373*(1-'P-Parametri'!$B$6*B373))*(1+'1-Input'!$B$27))</f>
        <v>0</v>
      </c>
      <c r="E373" s="18">
        <f>IF($A373&gt;'1-Input'!$B$26,G372,(G372-C373)*(1+'5-Roberta'!$C$4))</f>
        <v>250849.2949191895</v>
      </c>
      <c r="F373" s="18">
        <f>IF($A373&gt;'1-Input'!$B$26,D373,D373-'P-Parametri'!$B$8*(E373+D373)+MIN(MAX(E373,0),'P-Parametri'!$B$8*(E373+D373)))</f>
        <v>0</v>
      </c>
      <c r="G373" s="18">
        <f>IF($A373&gt;'1-Input'!$B$26,E373,E373-MIN(MAX(E373,0),'P-Parametri'!$B$8*(E373+D373)))</f>
        <v>250347.59632935113</v>
      </c>
      <c r="H373" s="18">
        <f>IF($A373&gt;'1-Input'!$B$26,H372,H372-C373*(1-B373))</f>
        <v>85827.99413841893</v>
      </c>
      <c r="I373" s="11">
        <f>IF($A373&gt;'1-Input'!$B$26,0,IF(N372&lt;=0,0,MAX(0,(N372-O372)/N372)))</f>
        <v>0</v>
      </c>
      <c r="J373" s="18">
        <f>IF($A373&gt;'1-Input'!$B$26,0,(MAX(0,I341-IF($A373&gt;=('1-Input'!$C$12-1),'1-Input'!$B$12,0))-MIN(MAX(M372,0),MAX(0,I341-IF($A373&gt;=('1-Input'!$C$12-1),'1-Input'!$B$12,0))))*(1/(1-'P-Parametri'!$B$6*I373))+MIN(MAX(0,N372-(MAX(0,I341-IF($A373&gt;=('1-Input'!$C$12-1),'1-Input'!$B$12,0))-MIN(MAX(M372,0),MAX(0,I341-IF($A373&gt;=('1-Input'!$C$12-1),'1-Input'!$B$12,0))))*(1/(1-'P-Parametri'!$B$6*I373))),MAX(0,0*I341-(M372-MIN(MAX(M372,0),MAX(0,I341-IF($A373&gt;=('1-Input'!$C$12-1),'1-Input'!$B$12,0)))))*(1/(1-'P-Parametri'!$B$6*I373))))</f>
        <v>10846.756992928691</v>
      </c>
      <c r="K373" s="18">
        <f>IF($A373&gt;'1-Input'!$B$26,M372,(M372-MAX(0,I341-IF($A373&gt;=('1-Input'!$C$12-1),'1-Input'!$B$12,0))+J373*(1-'P-Parametri'!$B$6*I373))*(1+'1-Input'!$B$27))</f>
        <v>-1.8124410416930913E-12</v>
      </c>
      <c r="L373" s="18">
        <f>IF($A373&gt;'1-Input'!$B$26,N372,(N372-J373)*(1+'5-Roberta'!$C$4))</f>
        <v>-26040.70760628688</v>
      </c>
      <c r="M373" s="18">
        <f>IF($A373&gt;'1-Input'!$B$26,K373,K373-'P-Parametri'!$B$8*(L373+K373)+MIN(MAX(L373,0),'P-Parametri'!$B$8*(L373+K373)))</f>
        <v>-1.8118839761882555E-12</v>
      </c>
      <c r="N373" s="18">
        <f>IF($A373&gt;'1-Input'!$B$26,L373,L373-MIN(MAX(L373,0),'P-Parametri'!$B$8*(L373+K373)))</f>
        <v>-25988.626191074305</v>
      </c>
      <c r="O373" s="18">
        <f>IF($A373&gt;'1-Input'!$B$26,O372,O372-J373*(1-I373))</f>
        <v>-22851.429794884585</v>
      </c>
      <c r="P373" s="11">
        <f>IF($A373&gt;'1-Input'!$B$26,0,IF(U372&lt;=0,0,MAX(0,(U372-V372)/U372)))</f>
        <v>0.64758587824195346</v>
      </c>
      <c r="Q373" s="18">
        <f>IF($A373&gt;'1-Input'!$B$26,0,(MAX(0,P341-IF($A373&gt;=('1-Input'!$C$12-1),'1-Input'!$B$12,0))-MIN(MAX(T372,0),MAX(0,P341-IF($A373&gt;=('1-Input'!$C$12-1),'1-Input'!$B$12,0))))*(1/(1-'P-Parametri'!$B$6*P373))+MIN(MAX(0,U372-(MAX(0,P341-IF($A373&gt;=('1-Input'!$C$12-1),'1-Input'!$B$12,0))-MIN(MAX(T372,0),MAX(0,P341-IF($A373&gt;=('1-Input'!$C$12-1),'1-Input'!$B$12,0))))*(1/(1-'P-Parametri'!$B$6*P373))),MAX(0,0*P341-(T372-MIN(MAX(T372,0),MAX(0,P341-IF($A373&gt;=('1-Input'!$C$12-1),'1-Input'!$B$12,0)))))*(1/(1-'P-Parametri'!$B$6*P373))))</f>
        <v>9914.3040635411271</v>
      </c>
      <c r="R373" s="18">
        <f>IF($A373&gt;'1-Input'!$B$26,T372,(T372-MAX(0,P341-IF($A373&gt;=('1-Input'!$C$12-1),'1-Input'!$B$12,0))+Q373*(1-'P-Parametri'!$B$6*P373))*(1+'1-Input'!$B$27))</f>
        <v>0</v>
      </c>
      <c r="S373" s="18">
        <f>IF($A373&gt;'1-Input'!$B$26,U372,(U372-Q373)*(1+'5-Roberta'!$C$4))</f>
        <v>108416.78209175539</v>
      </c>
      <c r="T373" s="18">
        <f>IF($A373&gt;'1-Input'!$B$26,R373,R373-'P-Parametri'!$B$8*(S373+R373)+MIN(MAX(S373,0),'P-Parametri'!$B$8*(S373+R373)))</f>
        <v>0</v>
      </c>
      <c r="U373" s="18">
        <f>IF($A373&gt;'1-Input'!$B$26,S373,S373-MIN(MAX(S373,0),'P-Parametri'!$B$8*(S373+R373)))</f>
        <v>108199.94852757188</v>
      </c>
      <c r="V373" s="18">
        <f>IF($A373&gt;'1-Input'!$B$26,V372,V372-Q373*(1-P373))</f>
        <v>37094.762179319892</v>
      </c>
      <c r="W373" s="11">
        <f>IF($A373&gt;'1-Input'!$B$26,0,IF(AB372&lt;=0,0,MAX(0,(AB372-AC372)/AB372)))</f>
        <v>0.64758587824195357</v>
      </c>
      <c r="X373" s="18">
        <f>IF($A373&gt;'1-Input'!$B$26,0,(MAX(0,W341-IF($A373&gt;=('1-Input'!$C$12-1),'1-Input'!$B$12,0))-MIN(MAX(AA372,0),MAX(0,W341-IF($A373&gt;=('1-Input'!$C$12-1),'1-Input'!$B$12,0))))*(1/(1-'P-Parametri'!$B$6*W373))+MIN(MAX(0,AB372-(MAX(0,W341-IF($A373&gt;=('1-Input'!$C$12-1),'1-Input'!$B$12,0))-MIN(MAX(AA372,0),MAX(0,W341-IF($A373&gt;=('1-Input'!$C$12-1),'1-Input'!$B$12,0))))*(1/(1-'P-Parametri'!$B$6*W373))),MAX(0,0*W341-(AA372-MIN(MAX(AA372,0),MAX(0,W341-IF($A373&gt;=('1-Input'!$C$12-1),'1-Input'!$B$12,0)))))*(1/(1-'P-Parametri'!$B$6*W373))))</f>
        <v>9593.0144583126166</v>
      </c>
      <c r="Y373" s="18">
        <f>IF($A373&gt;'1-Input'!$B$26,AA372,(AA372-MAX(0,W341-IF($A373&gt;=('1-Input'!$C$12-1),'1-Input'!$B$12,0))+X373*(1-'P-Parametri'!$B$6*W373))*(1+'1-Input'!$B$27))</f>
        <v>0</v>
      </c>
      <c r="Z373" s="18">
        <f>IF($A373&gt;'1-Input'!$B$26,AB372,(AB372-X373)*(1+'5-Roberta'!$C$4))</f>
        <v>122691.9769156485</v>
      </c>
      <c r="AA373" s="18">
        <f>IF($A373&gt;'1-Input'!$B$26,Y373,Y373-'P-Parametri'!$B$8*(Z373+Y373)+MIN(MAX(Z373,0),'P-Parametri'!$B$8*(Z373+Y373)))</f>
        <v>0</v>
      </c>
      <c r="AB373" s="18">
        <f>IF($A373&gt;'1-Input'!$B$26,Z373,Z373-MIN(MAX(Z373,0),'P-Parametri'!$B$8*(Z373+Y373)))</f>
        <v>122446.59296181719</v>
      </c>
      <c r="AC373" s="18">
        <f>IF($A373&gt;'1-Input'!$B$26,AC372,AC372-X373*(1-W373))</f>
        <v>41979.014846103659</v>
      </c>
      <c r="AD373" s="11">
        <f>IF($A373&gt;'1-Input'!$B$26,0,IF(AI372&lt;=0,0,MAX(0,(AI372-AJ372)/AI372)))</f>
        <v>0.64758587824195302</v>
      </c>
      <c r="AE373" s="18">
        <f>IF($A373&gt;'1-Input'!$B$26,0,(MAX(0,AD341-IF($A373&gt;=('1-Input'!$C$12-1),'1-Input'!$B$12,0))-MIN(MAX(AH372,0),MAX(0,AD341-IF($A373&gt;=('1-Input'!$C$12-1),'1-Input'!$B$12,0))))*(1/(1-'P-Parametri'!$B$6*AD373))+MIN(MAX(0,AI372-(MAX(0,AD341-IF($A373&gt;=('1-Input'!$C$12-1),'1-Input'!$B$12,0))-MIN(MAX(AH372,0),MAX(0,AD341-IF($A373&gt;=('1-Input'!$C$12-1),'1-Input'!$B$12,0))))*(1/(1-'P-Parametri'!$B$6*AD373))),MAX(0,0*AD341-(AH372-MIN(MAX(AH372,0),MAX(0,AD341-IF($A373&gt;=('1-Input'!$C$12-1),'1-Input'!$B$12,0)))))*(1/(1-'P-Parametri'!$B$6*AD373))))</f>
        <v>9603.5900532472733</v>
      </c>
      <c r="AF373" s="18">
        <f>IF($A373&gt;'1-Input'!$B$26,AH372,(AH372-MAX(0,AD341-IF($A373&gt;=('1-Input'!$C$12-1),'1-Input'!$B$12,0))+AE373*(1-'P-Parametri'!$B$6*AD373))*(1+'1-Input'!$B$27))</f>
        <v>0</v>
      </c>
      <c r="AG373" s="18">
        <f>IF($A373&gt;'1-Input'!$B$26,AI372,(AI372-AE373)*(1+'5-Roberta'!$C$4))</f>
        <v>122222.09343478216</v>
      </c>
      <c r="AH373" s="18">
        <f>IF($A373&gt;'1-Input'!$B$26,AF373,AF373-'P-Parametri'!$B$8*(AG373+AF373)+MIN(MAX(AG373,0),'P-Parametri'!$B$8*(AG373+AF373)))</f>
        <v>0</v>
      </c>
      <c r="AI373" s="18">
        <f>IF($A373&gt;'1-Input'!$B$26,AG373,AG373-MIN(MAX(AG373,0),'P-Parametri'!$B$8*(AG373+AF373)))</f>
        <v>121977.6492479126</v>
      </c>
      <c r="AJ373" s="18">
        <f>IF($A373&gt;'1-Input'!$B$26,AJ372,AJ372-AE373*(1-AD373))</f>
        <v>41818.24438567835</v>
      </c>
      <c r="AK373" s="11">
        <f>IF($A373&gt;'1-Input'!$B$26,0,IF(AP372&lt;=0,0,MAX(0,(AP372-AQ372)/AP372)))</f>
        <v>0.64758587824195313</v>
      </c>
      <c r="AL373" s="18">
        <f>IF($A373&gt;'1-Input'!$B$26,0,(MAX(0,AK341-IF($A373&gt;=('1-Input'!$C$12-1),'1-Input'!$B$12,0))-MIN(MAX(AO372,0),MAX(0,AK341-IF($A373&gt;=('1-Input'!$C$12-1),'1-Input'!$B$12,0))))*(1/(1-'P-Parametri'!$B$6*AK373))+MIN(MAX(0,AP372-(MAX(0,AK341-IF($A373&gt;=('1-Input'!$C$12-1),'1-Input'!$B$12,0))-MIN(MAX(AO372,0),MAX(0,AK341-IF($A373&gt;=('1-Input'!$C$12-1),'1-Input'!$B$12,0))))*(1/(1-'P-Parametri'!$B$6*AK373))),MAX(0,0*AK341-(AO372-MIN(MAX(AO372,0),MAX(0,AK341-IF($A373&gt;=('1-Input'!$C$12-1),'1-Input'!$B$12,0)))))*(1/(1-'P-Parametri'!$B$6*AK373))))</f>
        <v>9601.9653041750662</v>
      </c>
      <c r="AM373" s="18">
        <f>IF($A373&gt;'1-Input'!$B$26,AO372,(AO372-MAX(0,AK341-IF($A373&gt;=('1-Input'!$C$12-1),'1-Input'!$B$12,0))+AL373*(1-'P-Parametri'!$B$6*AK373))*(1+'1-Input'!$B$27))</f>
        <v>-9.0622052084654565E-13</v>
      </c>
      <c r="AN373" s="18">
        <f>IF($A373&gt;'1-Input'!$B$26,AP372,(AP372-AL373)*(1+'5-Roberta'!$C$4))</f>
        <v>122294.28254133354</v>
      </c>
      <c r="AO373" s="18">
        <f>IF($A373&gt;'1-Input'!$B$26,AM373,AM373-'P-Parametri'!$B$8*(AN373+AM373)+MIN(MAX(AN373,0),'P-Parametri'!$B$8*(AN373+AM373)))</f>
        <v>-9.0949470177292824E-13</v>
      </c>
      <c r="AP373" s="18">
        <f>IF($A373&gt;'1-Input'!$B$26,AN373,AN373-MIN(MAX(AN373,0),'P-Parametri'!$B$8*(AN373+AM373)))</f>
        <v>122049.69397625087</v>
      </c>
      <c r="AQ373" s="18">
        <f>IF($A373&gt;'1-Input'!$B$26,AQ372,AQ372-AL373*(1-AK373))</f>
        <v>41842.943861975247</v>
      </c>
    </row>
    <row r="374" spans="1:43">
      <c r="A374" s="10">
        <f>31</f>
        <v>31</v>
      </c>
      <c r="B374" s="11">
        <f>IF($A374&gt;'1-Input'!$B$26,0,IF(G373&lt;=0,0,MAX(0,(G373-H373)/G373)))</f>
        <v>0.65716469661843391</v>
      </c>
      <c r="C374" s="18">
        <f>IF($A374&gt;'1-Input'!$B$26,0,(MAX(0,B341-IF($A374&gt;=('1-Input'!$C$12-1),'1-Input'!$B$12,0))-MIN(MAX(F373,0),MAX(0,B341-IF($A374&gt;=('1-Input'!$C$12-1),'1-Input'!$B$12,0))))*(1/(1-'P-Parametri'!$B$6*B374))+MIN(MAX(0,G373-(MAX(0,B341-IF($A374&gt;=('1-Input'!$C$12-1),'1-Input'!$B$12,0))-MIN(MAX(F373,0),MAX(0,B341-IF($A374&gt;=('1-Input'!$C$12-1),'1-Input'!$B$12,0))))*(1/(1-'P-Parametri'!$B$6*B374))),MAX(0,0*B341-(F373-MIN(MAX(F373,0),MAX(0,B341-IF($A374&gt;=('1-Input'!$C$12-1),'1-Input'!$B$12,0)))))*(1/(1-'P-Parametri'!$B$6*B374))))</f>
        <v>6728.7482177163183</v>
      </c>
      <c r="D374" s="18">
        <f>IF($A374&gt;'1-Input'!$B$26,F373,(F373-MAX(0,B341-IF($A374&gt;=('1-Input'!$C$12-1),'1-Input'!$B$12,0))+C374*(1-'P-Parametri'!$B$6*B374))*(1+'1-Input'!$B$27))</f>
        <v>-9.0622052084654565E-13</v>
      </c>
      <c r="E374" s="18">
        <f>IF($A374&gt;'1-Input'!$B$26,G373,(G373-C374)*(1+'5-Roberta'!$C$4))</f>
        <v>250927.41355498385</v>
      </c>
      <c r="F374" s="18">
        <f>IF($A374&gt;'1-Input'!$B$26,D374,D374-'P-Parametri'!$B$8*(E374+D374)+MIN(MAX(E374,0),'P-Parametri'!$B$8*(E374+D374)))</f>
        <v>-9.0949470177292824E-13</v>
      </c>
      <c r="G374" s="18">
        <f>IF($A374&gt;'1-Input'!$B$26,E374,E374-MIN(MAX(E374,0),'P-Parametri'!$B$8*(E374+D374)))</f>
        <v>250425.5587278739</v>
      </c>
      <c r="H374" s="18">
        <f>IF($A374&gt;'1-Input'!$B$26,H373,H373-C374*(1-B374))</f>
        <v>83521.141701819986</v>
      </c>
      <c r="I374" s="11">
        <f>IF($A374&gt;'1-Input'!$B$26,0,IF(N373&lt;=0,0,MAX(0,(N373-O373)/N373)))</f>
        <v>0</v>
      </c>
      <c r="J374" s="18">
        <f>IF($A374&gt;'1-Input'!$B$26,0,(MAX(0,I341-IF($A374&gt;=('1-Input'!$C$12-1),'1-Input'!$B$12,0))-MIN(MAX(M373,0),MAX(0,I341-IF($A374&gt;=('1-Input'!$C$12-1),'1-Input'!$B$12,0))))*(1/(1-'P-Parametri'!$B$6*I374))+MIN(MAX(0,N373-(MAX(0,I341-IF($A374&gt;=('1-Input'!$C$12-1),'1-Input'!$B$12,0))-MIN(MAX(M373,0),MAX(0,I341-IF($A374&gt;=('1-Input'!$C$12-1),'1-Input'!$B$12,0))))*(1/(1-'P-Parametri'!$B$6*I374))),MAX(0,0*I341-(M373-MIN(MAX(M373,0),MAX(0,I341-IF($A374&gt;=('1-Input'!$C$12-1),'1-Input'!$B$12,0)))))*(1/(1-'P-Parametri'!$B$6*I374))))</f>
        <v>10846.756992928691</v>
      </c>
      <c r="K374" s="18">
        <f>IF($A374&gt;'1-Input'!$B$26,M373,(M373-MAX(0,I341-IF($A374&gt;=('1-Input'!$C$12-1),'1-Input'!$B$12,0))+J374*(1-'P-Parametri'!$B$6*I374))*(1+'1-Input'!$B$27))</f>
        <v>-1.8124410416930913E-12</v>
      </c>
      <c r="L374" s="18">
        <f>IF($A374&gt;'1-Input'!$B$26,N373,(N373-J374)*(1+'5-Roberta'!$C$4))</f>
        <v>-37940.444679523091</v>
      </c>
      <c r="M374" s="18">
        <f>IF($A374&gt;'1-Input'!$B$26,K374,K374-'P-Parametri'!$B$8*(L374+K374)+MIN(MAX(L374,0),'P-Parametri'!$B$8*(L374+K374)))</f>
        <v>-1.8189894035458565E-12</v>
      </c>
      <c r="N374" s="18">
        <f>IF($A374&gt;'1-Input'!$B$26,L374,L374-MIN(MAX(L374,0),'P-Parametri'!$B$8*(L374+K374)))</f>
        <v>-37864.563790164044</v>
      </c>
      <c r="O374" s="18">
        <f>IF($A374&gt;'1-Input'!$B$26,O373,O373-J374*(1-I374))</f>
        <v>-33698.186787813276</v>
      </c>
      <c r="P374" s="11">
        <f>IF($A374&gt;'1-Input'!$B$26,0,IF(U373&lt;=0,0,MAX(0,(U373-V373)/U373)))</f>
        <v>0.65716469661843435</v>
      </c>
      <c r="Q374" s="18">
        <f>IF($A374&gt;'1-Input'!$B$26,0,(MAX(0,P341-IF($A374&gt;=('1-Input'!$C$12-1),'1-Input'!$B$12,0))-MIN(MAX(T373,0),MAX(0,P341-IF($A374&gt;=('1-Input'!$C$12-1),'1-Input'!$B$12,0))))*(1/(1-'P-Parametri'!$B$6*P374))+MIN(MAX(0,U373-(MAX(0,P341-IF($A374&gt;=('1-Input'!$C$12-1),'1-Input'!$B$12,0))-MIN(MAX(T373,0),MAX(0,P341-IF($A374&gt;=('1-Input'!$C$12-1),'1-Input'!$B$12,0))))*(1/(1-'P-Parametri'!$B$6*P374))),MAX(0,0*P341-(T373-MIN(MAX(T373,0),MAX(0,P341-IF($A374&gt;=('1-Input'!$C$12-1),'1-Input'!$B$12,0)))))*(1/(1-'P-Parametri'!$B$6*P374))))</f>
        <v>9944.0838192884003</v>
      </c>
      <c r="R374" s="18">
        <f>IF($A374&gt;'1-Input'!$B$26,T373,(T373-MAX(0,P341-IF($A374&gt;=('1-Input'!$C$12-1),'1-Input'!$B$12,0))+Q374*(1-'P-Parametri'!$B$6*P374))*(1+'1-Input'!$B$27))</f>
        <v>0</v>
      </c>
      <c r="S374" s="18">
        <f>IF($A374&gt;'1-Input'!$B$26,U373,(U373-Q374)*(1+'5-Roberta'!$C$4))</f>
        <v>101203.54064953199</v>
      </c>
      <c r="T374" s="18">
        <f>IF($A374&gt;'1-Input'!$B$26,R374,R374-'P-Parametri'!$B$8*(S374+R374)+MIN(MAX(S374,0),'P-Parametri'!$B$8*(S374+R374)))</f>
        <v>0</v>
      </c>
      <c r="U374" s="18">
        <f>IF($A374&gt;'1-Input'!$B$26,S374,S374-MIN(MAX(S374,0),'P-Parametri'!$B$8*(S374+R374)))</f>
        <v>101001.13356823292</v>
      </c>
      <c r="V374" s="18">
        <f>IF($A374&gt;'1-Input'!$B$26,V373,V373-Q374*(1-P374))</f>
        <v>33685.579186282434</v>
      </c>
      <c r="W374" s="11">
        <f>IF($A374&gt;'1-Input'!$B$26,0,IF(AB373&lt;=0,0,MAX(0,(AB373-AC373)/AB373)))</f>
        <v>0.65716469661843446</v>
      </c>
      <c r="X374" s="18">
        <f>IF($A374&gt;'1-Input'!$B$26,0,(MAX(0,W341-IF($A374&gt;=('1-Input'!$C$12-1),'1-Input'!$B$12,0))-MIN(MAX(AA373,0),MAX(0,W341-IF($A374&gt;=('1-Input'!$C$12-1),'1-Input'!$B$12,0))))*(1/(1-'P-Parametri'!$B$6*W374))+MIN(MAX(0,AB373-(MAX(0,W341-IF($A374&gt;=('1-Input'!$C$12-1),'1-Input'!$B$12,0))-MIN(MAX(AA373,0),MAX(0,W341-IF($A374&gt;=('1-Input'!$C$12-1),'1-Input'!$B$12,0))))*(1/(1-'P-Parametri'!$B$6*W374))),MAX(0,0*W341-(AA373-MIN(MAX(AA373,0),MAX(0,W341-IF($A374&gt;=('1-Input'!$C$12-1),'1-Input'!$B$12,0)))))*(1/(1-'P-Parametri'!$B$6*W374))))</f>
        <v>9621.8291512671276</v>
      </c>
      <c r="Y374" s="18">
        <f>IF($A374&gt;'1-Input'!$B$26,AA373,(AA373-MAX(0,W341-IF($A374&gt;=('1-Input'!$C$12-1),'1-Input'!$B$12,0))+X374*(1-'P-Parametri'!$B$6*W374))*(1+'1-Input'!$B$27))</f>
        <v>9.0622052084654565E-13</v>
      </c>
      <c r="Z374" s="18">
        <f>IF($A374&gt;'1-Input'!$B$26,AB373,(AB373-X374)*(1+'5-Roberta'!$C$4))</f>
        <v>116209.50672486657</v>
      </c>
      <c r="AA374" s="18">
        <f>IF($A374&gt;'1-Input'!$B$26,Y374,Y374-'P-Parametri'!$B$8*(Z374+Y374)+MIN(MAX(Z374,0),'P-Parametri'!$B$8*(Z374+Y374)))</f>
        <v>9.0949470177292824E-13</v>
      </c>
      <c r="AB374" s="18">
        <f>IF($A374&gt;'1-Input'!$B$26,Z374,Z374-MIN(MAX(Z374,0),'P-Parametri'!$B$8*(Z374+Y374)))</f>
        <v>115977.08771141684</v>
      </c>
      <c r="AC374" s="18">
        <f>IF($A374&gt;'1-Input'!$B$26,AC373,AC373-X374*(1-W374))</f>
        <v>38680.312129943399</v>
      </c>
      <c r="AD374" s="11">
        <f>IF($A374&gt;'1-Input'!$B$26,0,IF(AI373&lt;=0,0,MAX(0,(AI373-AJ373)/AI373)))</f>
        <v>0.65716469661843413</v>
      </c>
      <c r="AE374" s="18">
        <f>IF($A374&gt;'1-Input'!$B$26,0,(MAX(0,AD341-IF($A374&gt;=('1-Input'!$C$12-1),'1-Input'!$B$12,0))-MIN(MAX(AH373,0),MAX(0,AD341-IF($A374&gt;=('1-Input'!$C$12-1),'1-Input'!$B$12,0))))*(1/(1-'P-Parametri'!$B$6*AD374))+MIN(MAX(0,AI373-(MAX(0,AD341-IF($A374&gt;=('1-Input'!$C$12-1),'1-Input'!$B$12,0))-MIN(MAX(AH373,0),MAX(0,AD341-IF($A374&gt;=('1-Input'!$C$12-1),'1-Input'!$B$12,0))))*(1/(1-'P-Parametri'!$B$6*AD374))),MAX(0,0*AD341-(AH373-MIN(MAX(AH373,0),MAX(0,AD341-IF($A374&gt;=('1-Input'!$C$12-1),'1-Input'!$B$12,0)))))*(1/(1-'P-Parametri'!$B$6*AD374))))</f>
        <v>9632.436512287637</v>
      </c>
      <c r="AF374" s="18">
        <f>IF($A374&gt;'1-Input'!$B$26,AH373,(AH373-MAX(0,AD341-IF($A374&gt;=('1-Input'!$C$12-1),'1-Input'!$B$12,0))+AE374*(1-'P-Parametri'!$B$6*AD374))*(1+'1-Input'!$B$27))</f>
        <v>9.0622052084654565E-13</v>
      </c>
      <c r="AG374" s="18">
        <f>IF($A374&gt;'1-Input'!$B$26,AI373,(AI373-AE374)*(1+'5-Roberta'!$C$4))</f>
        <v>115715.56911769373</v>
      </c>
      <c r="AH374" s="18">
        <f>IF($A374&gt;'1-Input'!$B$26,AF374,AF374-'P-Parametri'!$B$8*(AG374+AF374)+MIN(MAX(AG374,0),'P-Parametri'!$B$8*(AG374+AF374)))</f>
        <v>9.0949470177292824E-13</v>
      </c>
      <c r="AI374" s="18">
        <f>IF($A374&gt;'1-Input'!$B$26,AG374,AG374-MIN(MAX(AG374,0),'P-Parametri'!$B$8*(AG374+AF374)))</f>
        <v>115484.13797945833</v>
      </c>
      <c r="AJ374" s="18">
        <f>IF($A374&gt;'1-Input'!$B$26,AJ373,AJ373-AE374*(1-AD374))</f>
        <v>38515.905091684544</v>
      </c>
      <c r="AK374" s="11">
        <f>IF($A374&gt;'1-Input'!$B$26,0,IF(AP373&lt;=0,0,MAX(0,(AP373-AQ373)/AP373)))</f>
        <v>0.65716469661843402</v>
      </c>
      <c r="AL374" s="18">
        <f>IF($A374&gt;'1-Input'!$B$26,0,(MAX(0,AK341-IF($A374&gt;=('1-Input'!$C$12-1),'1-Input'!$B$12,0))-MIN(MAX(AO373,0),MAX(0,AK341-IF($A374&gt;=('1-Input'!$C$12-1),'1-Input'!$B$12,0))))*(1/(1-'P-Parametri'!$B$6*AK374))+MIN(MAX(0,AP373-(MAX(0,AK341-IF($A374&gt;=('1-Input'!$C$12-1),'1-Input'!$B$12,0))-MIN(MAX(AO373,0),MAX(0,AK341-IF($A374&gt;=('1-Input'!$C$12-1),'1-Input'!$B$12,0))))*(1/(1-'P-Parametri'!$B$6*AK374))),MAX(0,0*AK341-(AO373-MIN(MAX(AO373,0),MAX(0,AK341-IF($A374&gt;=('1-Input'!$C$12-1),'1-Input'!$B$12,0)))))*(1/(1-'P-Parametri'!$B$6*AK374))))</f>
        <v>9630.8068829303193</v>
      </c>
      <c r="AM374" s="18">
        <f>IF($A374&gt;'1-Input'!$B$26,AO373,(AO373-MAX(0,AK341-IF($A374&gt;=('1-Input'!$C$12-1),'1-Input'!$B$12,0))+AL374*(1-'P-Parametri'!$B$6*AK374))*(1+'1-Input'!$B$27))</f>
        <v>9.0622052084654565E-13</v>
      </c>
      <c r="AN374" s="18">
        <f>IF($A374&gt;'1-Input'!$B$26,AP373,(AP373-AL374)*(1+'5-Roberta'!$C$4))</f>
        <v>115791.45370612017</v>
      </c>
      <c r="AO374" s="18">
        <f>IF($A374&gt;'1-Input'!$B$26,AM374,AM374-'P-Parametri'!$B$8*(AN374+AM374)+MIN(MAX(AN374,0),'P-Parametri'!$B$8*(AN374+AM374)))</f>
        <v>9.0949470177292824E-13</v>
      </c>
      <c r="AP374" s="18">
        <f>IF($A374&gt;'1-Input'!$B$26,AN374,AN374-MIN(MAX(AN374,0),'P-Parametri'!$B$8*(AN374+AM374)))</f>
        <v>115559.87079870793</v>
      </c>
      <c r="AQ374" s="18">
        <f>IF($A374&gt;'1-Input'!$B$26,AQ373,AQ373-AL374*(1-AK374))</f>
        <v>38541.163262456554</v>
      </c>
    </row>
    <row r="375" spans="1:43">
      <c r="A375" s="10">
        <f>32</f>
        <v>32</v>
      </c>
      <c r="B375" s="11">
        <f>IF($A375&gt;'1-Input'!$B$26,0,IF(G374&lt;=0,0,MAX(0,(G374-H374)/G374)))</f>
        <v>0.66648315720609563</v>
      </c>
      <c r="C375" s="18">
        <f>IF($A375&gt;'1-Input'!$B$26,0,(MAX(0,B341-IF($A375&gt;=('1-Input'!$C$12-1),'1-Input'!$B$12,0))-MIN(MAX(F374,0),MAX(0,B341-IF($A375&gt;=('1-Input'!$C$12-1),'1-Input'!$B$12,0))))*(1/(1-'P-Parametri'!$B$6*B375))+MIN(MAX(0,G374-(MAX(0,B341-IF($A375&gt;=('1-Input'!$C$12-1),'1-Input'!$B$12,0))-MIN(MAX(F374,0),MAX(0,B341-IF($A375&gt;=('1-Input'!$C$12-1),'1-Input'!$B$12,0))))*(1/(1-'P-Parametri'!$B$6*B375))),MAX(0,0*B341-(F374-MIN(MAX(F374,0),MAX(0,B341-IF($A375&gt;=('1-Input'!$C$12-1),'1-Input'!$B$12,0)))))*(1/(1-'P-Parametri'!$B$6*B375))))</f>
        <v>6748.4677362466628</v>
      </c>
      <c r="D375" s="18">
        <f>IF($A375&gt;'1-Input'!$B$26,F374,(F374-MAX(0,B341-IF($A375&gt;=('1-Input'!$C$12-1),'1-Input'!$B$12,0))+C375*(1-'P-Parametri'!$B$6*B375))*(1+'1-Input'!$B$27))</f>
        <v>0</v>
      </c>
      <c r="E375" s="18">
        <f>IF($A375&gt;'1-Input'!$B$26,G374,(G374-C375)*(1+'5-Roberta'!$C$4))</f>
        <v>250987.40372137603</v>
      </c>
      <c r="F375" s="18">
        <f>IF($A375&gt;'1-Input'!$B$26,D375,D375-'P-Parametri'!$B$8*(E375+D375)+MIN(MAX(E375,0),'P-Parametri'!$B$8*(E375+D375)))</f>
        <v>0</v>
      </c>
      <c r="G375" s="18">
        <f>IF($A375&gt;'1-Input'!$B$26,E375,E375-MIN(MAX(E375,0),'P-Parametri'!$B$8*(E375+D375)))</f>
        <v>250485.42891393328</v>
      </c>
      <c r="H375" s="18">
        <f>IF($A375&gt;'1-Input'!$B$26,H374,H374-C375*(1-B375))</f>
        <v>81270.414048730468</v>
      </c>
      <c r="I375" s="11">
        <f>IF($A375&gt;'1-Input'!$B$26,0,IF(N374&lt;=0,0,MAX(0,(N374-O374)/N374)))</f>
        <v>0</v>
      </c>
      <c r="J375" s="18">
        <f>IF($A375&gt;'1-Input'!$B$26,0,(MAX(0,I341-IF($A375&gt;=('1-Input'!$C$12-1),'1-Input'!$B$12,0))-MIN(MAX(M374,0),MAX(0,I341-IF($A375&gt;=('1-Input'!$C$12-1),'1-Input'!$B$12,0))))*(1/(1-'P-Parametri'!$B$6*I375))+MIN(MAX(0,N374-(MAX(0,I341-IF($A375&gt;=('1-Input'!$C$12-1),'1-Input'!$B$12,0))-MIN(MAX(M374,0),MAX(0,I341-IF($A375&gt;=('1-Input'!$C$12-1),'1-Input'!$B$12,0))))*(1/(1-'P-Parametri'!$B$6*I375))),MAX(0,0*I341-(M374-MIN(MAX(M374,0),MAX(0,I341-IF($A375&gt;=('1-Input'!$C$12-1),'1-Input'!$B$12,0)))))*(1/(1-'P-Parametri'!$B$6*I375))))</f>
        <v>10846.756992928691</v>
      </c>
      <c r="K375" s="18">
        <f>IF($A375&gt;'1-Input'!$B$26,M374,(M374-MAX(0,I341-IF($A375&gt;=('1-Input'!$C$12-1),'1-Input'!$B$12,0))+J375*(1-'P-Parametri'!$B$6*I375))*(1+'1-Input'!$B$27))</f>
        <v>-1.8124410416930913E-12</v>
      </c>
      <c r="L375" s="18">
        <f>IF($A375&gt;'1-Input'!$B$26,N374,(N374-J375)*(1+'5-Roberta'!$C$4))</f>
        <v>-50172.660406585521</v>
      </c>
      <c r="M375" s="18">
        <f>IF($A375&gt;'1-Input'!$B$26,K375,K375-'P-Parametri'!$B$8*(L375+K375)+MIN(MAX(L375,0),'P-Parametri'!$B$8*(L375+K375)))</f>
        <v>-1.8189894035458565E-12</v>
      </c>
      <c r="N375" s="18">
        <f>IF($A375&gt;'1-Input'!$B$26,L375,L375-MIN(MAX(L375,0),'P-Parametri'!$B$8*(L375+K375)))</f>
        <v>-50072.315085772352</v>
      </c>
      <c r="O375" s="18">
        <f>IF($A375&gt;'1-Input'!$B$26,O374,O374-J375*(1-I375))</f>
        <v>-44544.943780741967</v>
      </c>
      <c r="P375" s="11">
        <f>IF($A375&gt;'1-Input'!$B$26,0,IF(U374&lt;=0,0,MAX(0,(U374-V374)/U374)))</f>
        <v>0.66648315720609619</v>
      </c>
      <c r="Q375" s="18">
        <f>IF($A375&gt;'1-Input'!$B$26,0,(MAX(0,P341-IF($A375&gt;=('1-Input'!$C$12-1),'1-Input'!$B$12,0))-MIN(MAX(T374,0),MAX(0,P341-IF($A375&gt;=('1-Input'!$C$12-1),'1-Input'!$B$12,0))))*(1/(1-'P-Parametri'!$B$6*P375))+MIN(MAX(0,U374-(MAX(0,P341-IF($A375&gt;=('1-Input'!$C$12-1),'1-Input'!$B$12,0))-MIN(MAX(T374,0),MAX(0,P341-IF($A375&gt;=('1-Input'!$C$12-1),'1-Input'!$B$12,0))))*(1/(1-'P-Parametri'!$B$6*P375))),MAX(0,0*P341-(T374-MIN(MAX(T374,0),MAX(0,P341-IF($A375&gt;=('1-Input'!$C$12-1),'1-Input'!$B$12,0)))))*(1/(1-'P-Parametri'!$B$6*P375))))</f>
        <v>9973.226319319152</v>
      </c>
      <c r="R375" s="18">
        <f>IF($A375&gt;'1-Input'!$B$26,T374,(T374-MAX(0,P341-IF($A375&gt;=('1-Input'!$C$12-1),'1-Input'!$B$12,0))+Q375*(1-'P-Parametri'!$B$6*P375))*(1+'1-Input'!$B$27))</f>
        <v>0</v>
      </c>
      <c r="S375" s="18">
        <f>IF($A375&gt;'1-Input'!$B$26,U374,(U374-Q375)*(1+'5-Roberta'!$C$4))</f>
        <v>93758.744466381191</v>
      </c>
      <c r="T375" s="18">
        <f>IF($A375&gt;'1-Input'!$B$26,R375,R375-'P-Parametri'!$B$8*(S375+R375)+MIN(MAX(S375,0),'P-Parametri'!$B$8*(S375+R375)))</f>
        <v>0</v>
      </c>
      <c r="U375" s="18">
        <f>IF($A375&gt;'1-Input'!$B$26,S375,S375-MIN(MAX(S375,0),'P-Parametri'!$B$8*(S375+R375)))</f>
        <v>93571.22697744843</v>
      </c>
      <c r="V375" s="18">
        <f>IF($A375&gt;'1-Input'!$B$26,V374,V374-Q375*(1-P375))</f>
        <v>30359.340231794045</v>
      </c>
      <c r="W375" s="11">
        <f>IF($A375&gt;'1-Input'!$B$26,0,IF(AB374&lt;=0,0,MAX(0,(AB374-AC374)/AB374)))</f>
        <v>0.66648315720609619</v>
      </c>
      <c r="X375" s="18">
        <f>IF($A375&gt;'1-Input'!$B$26,0,(MAX(0,W341-IF($A375&gt;=('1-Input'!$C$12-1),'1-Input'!$B$12,0))-MIN(MAX(AA374,0),MAX(0,W341-IF($A375&gt;=('1-Input'!$C$12-1),'1-Input'!$B$12,0))))*(1/(1-'P-Parametri'!$B$6*W375))+MIN(MAX(0,AB374-(MAX(0,W341-IF($A375&gt;=('1-Input'!$C$12-1),'1-Input'!$B$12,0))-MIN(MAX(AA374,0),MAX(0,W341-IF($A375&gt;=('1-Input'!$C$12-1),'1-Input'!$B$12,0))))*(1/(1-'P-Parametri'!$B$6*W375))),MAX(0,0*W341-(AA374-MIN(MAX(AA374,0),MAX(0,W341-IF($A375&gt;=('1-Input'!$C$12-1),'1-Input'!$B$12,0)))))*(1/(1-'P-Parametri'!$B$6*W375))))</f>
        <v>9650.0272398424459</v>
      </c>
      <c r="Y375" s="18">
        <f>IF($A375&gt;'1-Input'!$B$26,AA374,(AA374-MAX(0,W341-IF($A375&gt;=('1-Input'!$C$12-1),'1-Input'!$B$12,0))+X375*(1-'P-Parametri'!$B$6*W375))*(1+'1-Input'!$B$27))</f>
        <v>0</v>
      </c>
      <c r="Z375" s="18">
        <f>IF($A375&gt;'1-Input'!$B$26,AB374,(AB374-X375)*(1+'5-Roberta'!$C$4))</f>
        <v>109516.87228572163</v>
      </c>
      <c r="AA375" s="18">
        <f>IF($A375&gt;'1-Input'!$B$26,Y375,Y375-'P-Parametri'!$B$8*(Z375+Y375)+MIN(MAX(Z375,0),'P-Parametri'!$B$8*(Z375+Y375)))</f>
        <v>0</v>
      </c>
      <c r="AB375" s="18">
        <f>IF($A375&gt;'1-Input'!$B$26,Z375,Z375-MIN(MAX(Z375,0),'P-Parametri'!$B$8*(Z375+Y375)))</f>
        <v>109297.83854115019</v>
      </c>
      <c r="AC375" s="18">
        <f>IF($A375&gt;'1-Input'!$B$26,AC374,AC374-X375*(1-W375))</f>
        <v>35461.865512035976</v>
      </c>
      <c r="AD375" s="11">
        <f>IF($A375&gt;'1-Input'!$B$26,0,IF(AI374&lt;=0,0,MAX(0,(AI374-AJ374)/AI374)))</f>
        <v>0.66648315720609586</v>
      </c>
      <c r="AE375" s="18">
        <f>IF($A375&gt;'1-Input'!$B$26,0,(MAX(0,AD341-IF($A375&gt;=('1-Input'!$C$12-1),'1-Input'!$B$12,0))-MIN(MAX(AH374,0),MAX(0,AD341-IF($A375&gt;=('1-Input'!$C$12-1),'1-Input'!$B$12,0))))*(1/(1-'P-Parametri'!$B$6*AD375))+MIN(MAX(0,AI374-(MAX(0,AD341-IF($A375&gt;=('1-Input'!$C$12-1),'1-Input'!$B$12,0))-MIN(MAX(AH374,0),MAX(0,AD341-IF($A375&gt;=('1-Input'!$C$12-1),'1-Input'!$B$12,0))))*(1/(1-'P-Parametri'!$B$6*AD375))),MAX(0,0*AD341-(AH374-MIN(MAX(AH374,0),MAX(0,AD341-IF($A375&gt;=('1-Input'!$C$12-1),'1-Input'!$B$12,0)))))*(1/(1-'P-Parametri'!$B$6*AD375))))</f>
        <v>9660.6656871876967</v>
      </c>
      <c r="AF375" s="18">
        <f>IF($A375&gt;'1-Input'!$B$26,AH374,(AH374-MAX(0,AD341-IF($A375&gt;=('1-Input'!$C$12-1),'1-Input'!$B$12,0))+AE375*(1-'P-Parametri'!$B$6*AD375))*(1+'1-Input'!$B$27))</f>
        <v>0</v>
      </c>
      <c r="AG375" s="18">
        <f>IF($A375&gt;'1-Input'!$B$26,AI374,(AI374-AE375)*(1+'5-Roberta'!$C$4))</f>
        <v>108998.17646103876</v>
      </c>
      <c r="AH375" s="18">
        <f>IF($A375&gt;'1-Input'!$B$26,AF375,AF375-'P-Parametri'!$B$8*(AG375+AF375)+MIN(MAX(AG375,0),'P-Parametri'!$B$8*(AG375+AF375)))</f>
        <v>0</v>
      </c>
      <c r="AI375" s="18">
        <f>IF($A375&gt;'1-Input'!$B$26,AG375,AG375-MIN(MAX(AG375,0),'P-Parametri'!$B$8*(AG375+AF375)))</f>
        <v>108780.18010811668</v>
      </c>
      <c r="AJ375" s="18">
        <f>IF($A375&gt;'1-Input'!$B$26,AJ374,AJ374-AE375*(1-AD375))</f>
        <v>35293.910372406302</v>
      </c>
      <c r="AK375" s="11">
        <f>IF($A375&gt;'1-Input'!$B$26,0,IF(AP374&lt;=0,0,MAX(0,(AP374-AQ374)/AP374)))</f>
        <v>0.66648315720609574</v>
      </c>
      <c r="AL375" s="18">
        <f>IF($A375&gt;'1-Input'!$B$26,0,(MAX(0,AK341-IF($A375&gt;=('1-Input'!$C$12-1),'1-Input'!$B$12,0))-MIN(MAX(AO374,0),MAX(0,AK341-IF($A375&gt;=('1-Input'!$C$12-1),'1-Input'!$B$12,0))))*(1/(1-'P-Parametri'!$B$6*AK375))+MIN(MAX(0,AP374-(MAX(0,AK341-IF($A375&gt;=('1-Input'!$C$12-1),'1-Input'!$B$12,0))-MIN(MAX(AO374,0),MAX(0,AK341-IF($A375&gt;=('1-Input'!$C$12-1),'1-Input'!$B$12,0))))*(1/(1-'P-Parametri'!$B$6*AK375))),MAX(0,0*AK341-(AO374-MIN(MAX(AO374,0),MAX(0,AK341-IF($A375&gt;=('1-Input'!$C$12-1),'1-Input'!$B$12,0)))))*(1/(1-'P-Parametri'!$B$6*AK375))))</f>
        <v>9659.0312819782775</v>
      </c>
      <c r="AM375" s="18">
        <f>IF($A375&gt;'1-Input'!$B$26,AO374,(AO374-MAX(0,AK341-IF($A375&gt;=('1-Input'!$C$12-1),'1-Input'!$B$12,0))+AL375*(1-'P-Parametri'!$B$6*AK375))*(1+'1-Input'!$B$27))</f>
        <v>0</v>
      </c>
      <c r="AN375" s="18">
        <f>IF($A375&gt;'1-Input'!$B$26,AP374,(AP374-AL375)*(1+'5-Roberta'!$C$4))</f>
        <v>109077.86470223153</v>
      </c>
      <c r="AO375" s="18">
        <f>IF($A375&gt;'1-Input'!$B$26,AM375,AM375-'P-Parametri'!$B$8*(AN375+AM375)+MIN(MAX(AN375,0),'P-Parametri'!$B$8*(AN375+AM375)))</f>
        <v>0</v>
      </c>
      <c r="AP375" s="18">
        <f>IF($A375&gt;'1-Input'!$B$26,AN375,AN375-MIN(MAX(AN375,0),'P-Parametri'!$B$8*(AN375+AM375)))</f>
        <v>108859.70897282707</v>
      </c>
      <c r="AQ375" s="18">
        <f>IF($A375&gt;'1-Input'!$B$26,AQ374,AQ374-AL375*(1-AK375))</f>
        <v>35319.713644843599</v>
      </c>
    </row>
    <row r="376" spans="1:43">
      <c r="A376" s="10">
        <f>33</f>
        <v>33</v>
      </c>
      <c r="B376" s="11">
        <f>IF($A376&gt;'1-Input'!$B$26,0,IF(G375&lt;=0,0,MAX(0,(G375-H375)/G375)))</f>
        <v>0.67554833667927672</v>
      </c>
      <c r="C376" s="18">
        <f>IF($A376&gt;'1-Input'!$B$26,0,(MAX(0,B341-IF($A376&gt;=('1-Input'!$C$12-1),'1-Input'!$B$12,0))-MIN(MAX(F375,0),MAX(0,B341-IF($A376&gt;=('1-Input'!$C$12-1),'1-Input'!$B$12,0))))*(1/(1-'P-Parametri'!$B$6*B376))+MIN(MAX(0,G375-(MAX(0,B341-IF($A376&gt;=('1-Input'!$C$12-1),'1-Input'!$B$12,0))-MIN(MAX(F375,0),MAX(0,B341-IF($A376&gt;=('1-Input'!$C$12-1),'1-Input'!$B$12,0))))*(1/(1-'P-Parametri'!$B$6*B376))),MAX(0,0*B341-(F375-MIN(MAX(F375,0),MAX(0,B341-IF($A376&gt;=('1-Input'!$C$12-1),'1-Input'!$B$12,0)))))*(1/(1-'P-Parametri'!$B$6*B376))))</f>
        <v>6767.762495880188</v>
      </c>
      <c r="D376" s="18">
        <f>IF($A376&gt;'1-Input'!$B$26,F375,(F375-MAX(0,B341-IF($A376&gt;=('1-Input'!$C$12-1),'1-Input'!$B$12,0))+C376*(1-'P-Parametri'!$B$6*B376))*(1+'1-Input'!$B$27))</f>
        <v>0</v>
      </c>
      <c r="E376" s="18">
        <f>IF($A376&gt;'1-Input'!$B$26,G375,(G375-C376)*(1+'5-Roberta'!$C$4))</f>
        <v>251029.19641059468</v>
      </c>
      <c r="F376" s="18">
        <f>IF($A376&gt;'1-Input'!$B$26,D376,D376-'P-Parametri'!$B$8*(E376+D376)+MIN(MAX(E376,0),'P-Parametri'!$B$8*(E376+D376)))</f>
        <v>0</v>
      </c>
      <c r="G376" s="18">
        <f>IF($A376&gt;'1-Input'!$B$26,E376,E376-MIN(MAX(E376,0),'P-Parametri'!$B$8*(E376+D376)))</f>
        <v>250527.13801777348</v>
      </c>
      <c r="H376" s="18">
        <f>IF($A376&gt;'1-Input'!$B$26,H375,H375-C376*(1-B376))</f>
        <v>79074.602249982534</v>
      </c>
      <c r="I376" s="11">
        <f>IF($A376&gt;'1-Input'!$B$26,0,IF(N375&lt;=0,0,MAX(0,(N375-O375)/N375)))</f>
        <v>0</v>
      </c>
      <c r="J376" s="18">
        <f>IF($A376&gt;'1-Input'!$B$26,0,(MAX(0,I341-IF($A376&gt;=('1-Input'!$C$12-1),'1-Input'!$B$12,0))-MIN(MAX(M375,0),MAX(0,I341-IF($A376&gt;=('1-Input'!$C$12-1),'1-Input'!$B$12,0))))*(1/(1-'P-Parametri'!$B$6*I376))+MIN(MAX(0,N375-(MAX(0,I341-IF($A376&gt;=('1-Input'!$C$12-1),'1-Input'!$B$12,0))-MIN(MAX(M375,0),MAX(0,I341-IF($A376&gt;=('1-Input'!$C$12-1),'1-Input'!$B$12,0))))*(1/(1-'P-Parametri'!$B$6*I376))),MAX(0,0*I341-(M375-MIN(MAX(M375,0),MAX(0,I341-IF($A376&gt;=('1-Input'!$C$12-1),'1-Input'!$B$12,0)))))*(1/(1-'P-Parametri'!$B$6*I376))))</f>
        <v>10846.756992928691</v>
      </c>
      <c r="K376" s="18">
        <f>IF($A376&gt;'1-Input'!$B$26,M375,(M375-MAX(0,I341-IF($A376&gt;=('1-Input'!$C$12-1),'1-Input'!$B$12,0))+J376*(1-'P-Parametri'!$B$6*I376))*(1+'1-Input'!$B$27))</f>
        <v>-1.8124410416930913E-12</v>
      </c>
      <c r="L376" s="18">
        <f>IF($A376&gt;'1-Input'!$B$26,N375,(N375-J376)*(1+'5-Roberta'!$C$4))</f>
        <v>-62746.644241062073</v>
      </c>
      <c r="M376" s="18">
        <f>IF($A376&gt;'1-Input'!$B$26,K376,K376-'P-Parametri'!$B$8*(L376+K376)+MIN(MAX(L376,0),'P-Parametri'!$B$8*(L376+K376)))</f>
        <v>-1.8189894035458565E-12</v>
      </c>
      <c r="N376" s="18">
        <f>IF($A376&gt;'1-Input'!$B$26,L376,L376-MIN(MAX(L376,0),'P-Parametri'!$B$8*(L376+K376)))</f>
        <v>-62621.150952579948</v>
      </c>
      <c r="O376" s="18">
        <f>IF($A376&gt;'1-Input'!$B$26,O375,O375-J376*(1-I376))</f>
        <v>-55391.700773670658</v>
      </c>
      <c r="P376" s="11">
        <f>IF($A376&gt;'1-Input'!$B$26,0,IF(U375&lt;=0,0,MAX(0,(U375-V375)/U375)))</f>
        <v>0.67554833667927705</v>
      </c>
      <c r="Q376" s="18">
        <f>IF($A376&gt;'1-Input'!$B$26,0,(MAX(0,P341-IF($A376&gt;=('1-Input'!$C$12-1),'1-Input'!$B$12,0))-MIN(MAX(T375,0),MAX(0,P341-IF($A376&gt;=('1-Input'!$C$12-1),'1-Input'!$B$12,0))))*(1/(1-'P-Parametri'!$B$6*P376))+MIN(MAX(0,U375-(MAX(0,P341-IF($A376&gt;=('1-Input'!$C$12-1),'1-Input'!$B$12,0))-MIN(MAX(T375,0),MAX(0,P341-IF($A376&gt;=('1-Input'!$C$12-1),'1-Input'!$B$12,0))))*(1/(1-'P-Parametri'!$B$6*P376))),MAX(0,0*P341-(T375-MIN(MAX(T375,0),MAX(0,P341-IF($A376&gt;=('1-Input'!$C$12-1),'1-Input'!$B$12,0)))))*(1/(1-'P-Parametri'!$B$6*P376))))</f>
        <v>10001.741089208093</v>
      </c>
      <c r="R376" s="18">
        <f>IF($A376&gt;'1-Input'!$B$26,T375,(T375-MAX(0,P341-IF($A376&gt;=('1-Input'!$C$12-1),'1-Input'!$B$12,0))+Q376*(1-'P-Parametri'!$B$6*P376))*(1+'1-Input'!$B$27))</f>
        <v>0</v>
      </c>
      <c r="S376" s="18">
        <f>IF($A376&gt;'1-Input'!$B$26,U375,(U375-Q376)*(1+'5-Roberta'!$C$4))</f>
        <v>86076.570464887554</v>
      </c>
      <c r="T376" s="18">
        <f>IF($A376&gt;'1-Input'!$B$26,R376,R376-'P-Parametri'!$B$8*(S376+R376)+MIN(MAX(S376,0),'P-Parametri'!$B$8*(S376+R376)))</f>
        <v>0</v>
      </c>
      <c r="U376" s="18">
        <f>IF($A376&gt;'1-Input'!$B$26,S376,S376-MIN(MAX(S376,0),'P-Parametri'!$B$8*(S376+R376)))</f>
        <v>85904.417323957779</v>
      </c>
      <c r="V376" s="18">
        <f>IF($A376&gt;'1-Input'!$B$26,V375,V375-Q376*(1-P376))</f>
        <v>27114.258699297261</v>
      </c>
      <c r="W376" s="11">
        <f>IF($A376&gt;'1-Input'!$B$26,0,IF(AB375&lt;=0,0,MAX(0,(AB375-AC375)/AB375)))</f>
        <v>0.67554833667927727</v>
      </c>
      <c r="X376" s="18">
        <f>IF($A376&gt;'1-Input'!$B$26,0,(MAX(0,W341-IF($A376&gt;=('1-Input'!$C$12-1),'1-Input'!$B$12,0))-MIN(MAX(AA375,0),MAX(0,W341-IF($A376&gt;=('1-Input'!$C$12-1),'1-Input'!$B$12,0))))*(1/(1-'P-Parametri'!$B$6*W376))+MIN(MAX(0,AB375-(MAX(0,W341-IF($A376&gt;=('1-Input'!$C$12-1),'1-Input'!$B$12,0))-MIN(MAX(AA375,0),MAX(0,W341-IF($A376&gt;=('1-Input'!$C$12-1),'1-Input'!$B$12,0))))*(1/(1-'P-Parametri'!$B$6*W376))),MAX(0,0*W341-(AA375-MIN(MAX(AA375,0),MAX(0,W341-IF($A376&gt;=('1-Input'!$C$12-1),'1-Input'!$B$12,0)))))*(1/(1-'P-Parametri'!$B$6*W376))))</f>
        <v>9677.6179409211036</v>
      </c>
      <c r="Y376" s="18">
        <f>IF($A376&gt;'1-Input'!$B$26,AA375,(AA375-MAX(0,W341-IF($A376&gt;=('1-Input'!$C$12-1),'1-Input'!$B$12,0))+X376*(1-'P-Parametri'!$B$6*W376))*(1+'1-Input'!$B$27))</f>
        <v>-9.0622052084654565E-13</v>
      </c>
      <c r="Z376" s="18">
        <f>IF($A376&gt;'1-Input'!$B$26,AB375,(AB375-X376)*(1+'5-Roberta'!$C$4))</f>
        <v>102608.82721823597</v>
      </c>
      <c r="AA376" s="18">
        <f>IF($A376&gt;'1-Input'!$B$26,Y376,Y376-'P-Parametri'!$B$8*(Z376+Y376)+MIN(MAX(Z376,0),'P-Parametri'!$B$8*(Z376+Y376)))</f>
        <v>-9.0949470177292824E-13</v>
      </c>
      <c r="AB376" s="18">
        <f>IF($A376&gt;'1-Input'!$B$26,Z376,Z376-MIN(MAX(Z376,0),'P-Parametri'!$B$8*(Z376+Y376)))</f>
        <v>102403.60956379949</v>
      </c>
      <c r="AC376" s="18">
        <f>IF($A376&gt;'1-Input'!$B$26,AC375,AC375-X376*(1-W376))</f>
        <v>32321.946274121656</v>
      </c>
      <c r="AD376" s="11">
        <f>IF($A376&gt;'1-Input'!$B$26,0,IF(AI375&lt;=0,0,MAX(0,(AI375-AJ375)/AI375)))</f>
        <v>0.67554833667927683</v>
      </c>
      <c r="AE376" s="18">
        <f>IF($A376&gt;'1-Input'!$B$26,0,(MAX(0,AD341-IF($A376&gt;=('1-Input'!$C$12-1),'1-Input'!$B$12,0))-MIN(MAX(AH375,0),MAX(0,AD341-IF($A376&gt;=('1-Input'!$C$12-1),'1-Input'!$B$12,0))))*(1/(1-'P-Parametri'!$B$6*AD376))+MIN(MAX(0,AI375-(MAX(0,AD341-IF($A376&gt;=('1-Input'!$C$12-1),'1-Input'!$B$12,0))-MIN(MAX(AH375,0),MAX(0,AD341-IF($A376&gt;=('1-Input'!$C$12-1),'1-Input'!$B$12,0))))*(1/(1-'P-Parametri'!$B$6*AD376))),MAX(0,0*AD341-(AH375-MIN(MAX(AH375,0),MAX(0,AD341-IF($A376&gt;=('1-Input'!$C$12-1),'1-Input'!$B$12,0)))))*(1/(1-'P-Parametri'!$B$6*AD376))))</f>
        <v>9688.2868049909248</v>
      </c>
      <c r="AF376" s="18">
        <f>IF($A376&gt;'1-Input'!$B$26,AH375,(AH375-MAX(0,AD341-IF($A376&gt;=('1-Input'!$C$12-1),'1-Input'!$B$12,0))+AE376*(1-'P-Parametri'!$B$6*AD376))*(1+'1-Input'!$B$27))</f>
        <v>0</v>
      </c>
      <c r="AG376" s="18">
        <f>IF($A376&gt;'1-Input'!$B$26,AI375,(AI375-AE376)*(1+'5-Roberta'!$C$4))</f>
        <v>102064.65010221953</v>
      </c>
      <c r="AH376" s="18">
        <f>IF($A376&gt;'1-Input'!$B$26,AF376,AF376-'P-Parametri'!$B$8*(AG376+AF376)+MIN(MAX(AG376,0),'P-Parametri'!$B$8*(AG376+AF376)))</f>
        <v>0</v>
      </c>
      <c r="AI376" s="18">
        <f>IF($A376&gt;'1-Input'!$B$26,AG376,AG376-MIN(MAX(AG376,0),'P-Parametri'!$B$8*(AG376+AF376)))</f>
        <v>101860.52080201509</v>
      </c>
      <c r="AJ376" s="18">
        <f>IF($A376&gt;'1-Input'!$B$26,AJ375,AJ375-AE376*(1-AD376))</f>
        <v>32150.529603798783</v>
      </c>
      <c r="AK376" s="11">
        <f>IF($A376&gt;'1-Input'!$B$26,0,IF(AP375&lt;=0,0,MAX(0,(AP375-AQ375)/AP375)))</f>
        <v>0.67554833667927672</v>
      </c>
      <c r="AL376" s="18">
        <f>IF($A376&gt;'1-Input'!$B$26,0,(MAX(0,AK341-IF($A376&gt;=('1-Input'!$C$12-1),'1-Input'!$B$12,0))-MIN(MAX(AO375,0),MAX(0,AK341-IF($A376&gt;=('1-Input'!$C$12-1),'1-Input'!$B$12,0))))*(1/(1-'P-Parametri'!$B$6*AK376))+MIN(MAX(0,AP375-(MAX(0,AK341-IF($A376&gt;=('1-Input'!$C$12-1),'1-Input'!$B$12,0))-MIN(MAX(AO375,0),MAX(0,AK341-IF($A376&gt;=('1-Input'!$C$12-1),'1-Input'!$B$12,0))))*(1/(1-'P-Parametri'!$B$6*AK376))),MAX(0,0*AK341-(AO375-MIN(MAX(AO375,0),MAX(0,AK341-IF($A376&gt;=('1-Input'!$C$12-1),'1-Input'!$B$12,0)))))*(1/(1-'P-Parametri'!$B$6*AK376))))</f>
        <v>9686.6477268013732</v>
      </c>
      <c r="AM376" s="18">
        <f>IF($A376&gt;'1-Input'!$B$26,AO375,(AO375-MAX(0,AK341-IF($A376&gt;=('1-Input'!$C$12-1),'1-Input'!$B$12,0))+AL376*(1-'P-Parametri'!$B$6*AK376))*(1+'1-Input'!$B$27))</f>
        <v>0</v>
      </c>
      <c r="AN376" s="18">
        <f>IF($A376&gt;'1-Input'!$B$26,AP375,(AP375-AL376)*(1+'5-Roberta'!$C$4))</f>
        <v>102148.25308340647</v>
      </c>
      <c r="AO376" s="18">
        <f>IF($A376&gt;'1-Input'!$B$26,AM376,AM376-'P-Parametri'!$B$8*(AN376+AM376)+MIN(MAX(AN376,0),'P-Parametri'!$B$8*(AN376+AM376)))</f>
        <v>0</v>
      </c>
      <c r="AP376" s="18">
        <f>IF($A376&gt;'1-Input'!$B$26,AN376,AN376-MIN(MAX(AN376,0),'P-Parametri'!$B$8*(AN376+AM376)))</f>
        <v>101943.95657723966</v>
      </c>
      <c r="AQ376" s="18">
        <f>IF($A376&gt;'1-Input'!$B$26,AQ375,AQ375-AL376*(1-AK376))</f>
        <v>32176.864677880993</v>
      </c>
    </row>
    <row r="377" spans="1:43">
      <c r="A377" s="10">
        <f>34</f>
        <v>34</v>
      </c>
      <c r="B377" s="11">
        <f>IF($A377&gt;'1-Input'!$B$26,0,IF(G376&lt;=0,0,MAX(0,(G376-H376)/G376)))</f>
        <v>0.68436711936423977</v>
      </c>
      <c r="C377" s="18">
        <f>IF($A377&gt;'1-Input'!$B$26,0,(MAX(0,B341-IF($A377&gt;=('1-Input'!$C$12-1),'1-Input'!$B$12,0))-MIN(MAX(F376,0),MAX(0,B341-IF($A377&gt;=('1-Input'!$C$12-1),'1-Input'!$B$12,0))))*(1/(1-'P-Parametri'!$B$6*B377))+MIN(MAX(0,G376-(MAX(0,B341-IF($A377&gt;=('1-Input'!$C$12-1),'1-Input'!$B$12,0))-MIN(MAX(F376,0),MAX(0,B341-IF($A377&gt;=('1-Input'!$C$12-1),'1-Input'!$B$12,0))))*(1/(1-'P-Parametri'!$B$6*B377))),MAX(0,0*B341-(F376-MIN(MAX(F376,0),MAX(0,B341-IF($A377&gt;=('1-Input'!$C$12-1),'1-Input'!$B$12,0)))))*(1/(1-'P-Parametri'!$B$6*B377))))</f>
        <v>6786.6389830919652</v>
      </c>
      <c r="D377" s="18">
        <f>IF($A377&gt;'1-Input'!$B$26,F376,(F376-MAX(0,B341-IF($A377&gt;=('1-Input'!$C$12-1),'1-Input'!$B$12,0))+C377*(1-'P-Parametri'!$B$6*B377))*(1+'1-Input'!$B$27))</f>
        <v>0</v>
      </c>
      <c r="E377" s="18">
        <f>IF($A377&gt;'1-Input'!$B$26,G376,(G376-C377)*(1+'5-Roberta'!$C$4))</f>
        <v>251052.71400572199</v>
      </c>
      <c r="F377" s="18">
        <f>IF($A377&gt;'1-Input'!$B$26,D377,D377-'P-Parametri'!$B$8*(E377+D377)+MIN(MAX(E377,0),'P-Parametri'!$B$8*(E377+D377)))</f>
        <v>0</v>
      </c>
      <c r="G377" s="18">
        <f>IF($A377&gt;'1-Input'!$B$26,E377,E377-MIN(MAX(E377,0),'P-Parametri'!$B$8*(E377+D377)))</f>
        <v>250550.60857771055</v>
      </c>
      <c r="H377" s="18">
        <f>IF($A377&gt;'1-Input'!$B$26,H376,H376-C377*(1-B377))</f>
        <v>76932.515837914267</v>
      </c>
      <c r="I377" s="11">
        <f>IF($A377&gt;'1-Input'!$B$26,0,IF(N376&lt;=0,0,MAX(0,(N376-O376)/N376)))</f>
        <v>0</v>
      </c>
      <c r="J377" s="18">
        <f>IF($A377&gt;'1-Input'!$B$26,0,(MAX(0,I341-IF($A377&gt;=('1-Input'!$C$12-1),'1-Input'!$B$12,0))-MIN(MAX(M376,0),MAX(0,I341-IF($A377&gt;=('1-Input'!$C$12-1),'1-Input'!$B$12,0))))*(1/(1-'P-Parametri'!$B$6*I377))+MIN(MAX(0,N376-(MAX(0,I341-IF($A377&gt;=('1-Input'!$C$12-1),'1-Input'!$B$12,0))-MIN(MAX(M376,0),MAX(0,I341-IF($A377&gt;=('1-Input'!$C$12-1),'1-Input'!$B$12,0))))*(1/(1-'P-Parametri'!$B$6*I377))),MAX(0,0*I341-(M376-MIN(MAX(M376,0),MAX(0,I341-IF($A377&gt;=('1-Input'!$C$12-1),'1-Input'!$B$12,0)))))*(1/(1-'P-Parametri'!$B$6*I377))))</f>
        <v>10846.756992928691</v>
      </c>
      <c r="K377" s="18">
        <f>IF($A377&gt;'1-Input'!$B$26,M376,(M376-MAX(0,I341-IF($A377&gt;=('1-Input'!$C$12-1),'1-Input'!$B$12,0))+J377*(1-'P-Parametri'!$B$6*I377))*(1+'1-Input'!$B$27))</f>
        <v>-1.8124410416930913E-12</v>
      </c>
      <c r="L377" s="18">
        <f>IF($A377&gt;'1-Input'!$B$26,N376,(N376-J377)*(1+'5-Roberta'!$C$4))</f>
        <v>-75671.94518387389</v>
      </c>
      <c r="M377" s="18">
        <f>IF($A377&gt;'1-Input'!$B$26,K377,K377-'P-Parametri'!$B$8*(L377+K377)+MIN(MAX(L377,0),'P-Parametri'!$B$8*(L377+K377)))</f>
        <v>-1.8189894035458565E-12</v>
      </c>
      <c r="N377" s="18">
        <f>IF($A377&gt;'1-Input'!$B$26,L377,L377-MIN(MAX(L377,0),'P-Parametri'!$B$8*(L377+K377)))</f>
        <v>-75520.601293506144</v>
      </c>
      <c r="O377" s="18">
        <f>IF($A377&gt;'1-Input'!$B$26,O376,O376-J377*(1-I377))</f>
        <v>-66238.457766599342</v>
      </c>
      <c r="P377" s="11">
        <f>IF($A377&gt;'1-Input'!$B$26,0,IF(U376&lt;=0,0,MAX(0,(U376-V376)/U376)))</f>
        <v>0.68436711936424022</v>
      </c>
      <c r="Q377" s="18">
        <f>IF($A377&gt;'1-Input'!$B$26,0,(MAX(0,P341-IF($A377&gt;=('1-Input'!$C$12-1),'1-Input'!$B$12,0))-MIN(MAX(T376,0),MAX(0,P341-IF($A377&gt;=('1-Input'!$C$12-1),'1-Input'!$B$12,0))))*(1/(1-'P-Parametri'!$B$6*P377))+MIN(MAX(0,U376-(MAX(0,P341-IF($A377&gt;=('1-Input'!$C$12-1),'1-Input'!$B$12,0))-MIN(MAX(T376,0),MAX(0,P341-IF($A377&gt;=('1-Input'!$C$12-1),'1-Input'!$B$12,0))))*(1/(1-'P-Parametri'!$B$6*P377))),MAX(0,0*P341-(T376-MIN(MAX(T376,0),MAX(0,P341-IF($A377&gt;=('1-Input'!$C$12-1),'1-Input'!$B$12,0)))))*(1/(1-'P-Parametri'!$B$6*P377))))</f>
        <v>10029.637714995548</v>
      </c>
      <c r="R377" s="18">
        <f>IF($A377&gt;'1-Input'!$B$26,T376,(T376-MAX(0,P341-IF($A377&gt;=('1-Input'!$C$12-1),'1-Input'!$B$12,0))+Q377*(1-'P-Parametri'!$B$6*P377))*(1+'1-Input'!$B$27))</f>
        <v>0</v>
      </c>
      <c r="S377" s="18">
        <f>IF($A377&gt;'1-Input'!$B$26,U376,(U376-Q377)*(1+'5-Roberta'!$C$4))</f>
        <v>78151.022997231092</v>
      </c>
      <c r="T377" s="18">
        <f>IF($A377&gt;'1-Input'!$B$26,R377,R377-'P-Parametri'!$B$8*(S377+R377)+MIN(MAX(S377,0),'P-Parametri'!$B$8*(S377+R377)))</f>
        <v>0</v>
      </c>
      <c r="U377" s="18">
        <f>IF($A377&gt;'1-Input'!$B$26,S377,S377-MIN(MAX(S377,0),'P-Parametri'!$B$8*(S377+R377)))</f>
        <v>77994.720951236624</v>
      </c>
      <c r="V377" s="18">
        <f>IF($A377&gt;'1-Input'!$B$26,V376,V376-Q377*(1-P377))</f>
        <v>23948.575255580155</v>
      </c>
      <c r="W377" s="11">
        <f>IF($A377&gt;'1-Input'!$B$26,0,IF(AB376&lt;=0,0,MAX(0,(AB376-AC376)/AB376)))</f>
        <v>0.68436711936424033</v>
      </c>
      <c r="X377" s="18">
        <f>IF($A377&gt;'1-Input'!$B$26,0,(MAX(0,W341-IF($A377&gt;=('1-Input'!$C$12-1),'1-Input'!$B$12,0))-MIN(MAX(AA376,0),MAX(0,W341-IF($A377&gt;=('1-Input'!$C$12-1),'1-Input'!$B$12,0))))*(1/(1-'P-Parametri'!$B$6*W377))+MIN(MAX(0,AB376-(MAX(0,W341-IF($A377&gt;=('1-Input'!$C$12-1),'1-Input'!$B$12,0))-MIN(MAX(AA376,0),MAX(0,W341-IF($A377&gt;=('1-Input'!$C$12-1),'1-Input'!$B$12,0))))*(1/(1-'P-Parametri'!$B$6*W377))),MAX(0,0*W341-(AA376-MIN(MAX(AA376,0),MAX(0,W341-IF($A377&gt;=('1-Input'!$C$12-1),'1-Input'!$B$12,0)))))*(1/(1-'P-Parametri'!$B$6*W377))))</f>
        <v>9704.6105298917537</v>
      </c>
      <c r="Y377" s="18">
        <f>IF($A377&gt;'1-Input'!$B$26,AA376,(AA376-MAX(0,W341-IF($A377&gt;=('1-Input'!$C$12-1),'1-Input'!$B$12,0))+X377*(1-'P-Parametri'!$B$6*W377))*(1+'1-Input'!$B$27))</f>
        <v>9.0622052084654565E-13</v>
      </c>
      <c r="Z377" s="18">
        <f>IF($A377&gt;'1-Input'!$B$26,AB376,(AB376-X377)*(1+'5-Roberta'!$C$4))</f>
        <v>95479.969004924962</v>
      </c>
      <c r="AA377" s="18">
        <f>IF($A377&gt;'1-Input'!$B$26,Y377,Y377-'P-Parametri'!$B$8*(Z377+Y377)+MIN(MAX(Z377,0),'P-Parametri'!$B$8*(Z377+Y377)))</f>
        <v>9.0949470177292824E-13</v>
      </c>
      <c r="AB377" s="18">
        <f>IF($A377&gt;'1-Input'!$B$26,Z377,Z377-MIN(MAX(Z377,0),'P-Parametri'!$B$8*(Z377+Y377)))</f>
        <v>95289.00906691511</v>
      </c>
      <c r="AC377" s="18">
        <f>IF($A377&gt;'1-Input'!$B$26,AC376,AC376-X377*(1-W377))</f>
        <v>29258.852097123796</v>
      </c>
      <c r="AD377" s="11">
        <f>IF($A377&gt;'1-Input'!$B$26,0,IF(AI376&lt;=0,0,MAX(0,(AI376-AJ376)/AI376)))</f>
        <v>0.68436711936423988</v>
      </c>
      <c r="AE377" s="18">
        <f>IF($A377&gt;'1-Input'!$B$26,0,(MAX(0,AD341-IF($A377&gt;=('1-Input'!$C$12-1),'1-Input'!$B$12,0))-MIN(MAX(AH376,0),MAX(0,AD341-IF($A377&gt;=('1-Input'!$C$12-1),'1-Input'!$B$12,0))))*(1/(1-'P-Parametri'!$B$6*AD377))+MIN(MAX(0,AI376-(MAX(0,AD341-IF($A377&gt;=('1-Input'!$C$12-1),'1-Input'!$B$12,0))-MIN(MAX(AH376,0),MAX(0,AD341-IF($A377&gt;=('1-Input'!$C$12-1),'1-Input'!$B$12,0))))*(1/(1-'P-Parametri'!$B$6*AD377))),MAX(0,0*AD341-(AH376-MIN(MAX(AH376,0),MAX(0,AD341-IF($A377&gt;=('1-Input'!$C$12-1),'1-Input'!$B$12,0)))))*(1/(1-'P-Parametri'!$B$6*AD377))))</f>
        <v>9715.3091513114068</v>
      </c>
      <c r="AF377" s="18">
        <f>IF($A377&gt;'1-Input'!$B$26,AH376,(AH376-MAX(0,AD341-IF($A377&gt;=('1-Input'!$C$12-1),'1-Input'!$B$12,0))+AE377*(1-'P-Parametri'!$B$6*AD377))*(1+'1-Input'!$B$27))</f>
        <v>0</v>
      </c>
      <c r="AG377" s="18">
        <f>IF($A377&gt;'1-Input'!$B$26,AI376,(AI376-AE377)*(1+'5-Roberta'!$C$4))</f>
        <v>94909.568000224797</v>
      </c>
      <c r="AH377" s="18">
        <f>IF($A377&gt;'1-Input'!$B$26,AF377,AF377-'P-Parametri'!$B$8*(AG377+AF377)+MIN(MAX(AG377,0),'P-Parametri'!$B$8*(AG377+AF377)))</f>
        <v>0</v>
      </c>
      <c r="AI377" s="18">
        <f>IF($A377&gt;'1-Input'!$B$26,AG377,AG377-MIN(MAX(AG377,0),'P-Parametri'!$B$8*(AG377+AF377)))</f>
        <v>94719.748864224341</v>
      </c>
      <c r="AJ377" s="18">
        <f>IF($A377&gt;'1-Input'!$B$26,AJ376,AJ376-AE377*(1-AD377))</f>
        <v>29084.058590103403</v>
      </c>
      <c r="AK377" s="11">
        <f>IF($A377&gt;'1-Input'!$B$26,0,IF(AP376&lt;=0,0,MAX(0,(AP376-AQ376)/AP376)))</f>
        <v>0.68436711936423988</v>
      </c>
      <c r="AL377" s="18">
        <f>IF($A377&gt;'1-Input'!$B$26,0,(MAX(0,AK341-IF($A377&gt;=('1-Input'!$C$12-1),'1-Input'!$B$12,0))-MIN(MAX(AO376,0),MAX(0,AK341-IF($A377&gt;=('1-Input'!$C$12-1),'1-Input'!$B$12,0))))*(1/(1-'P-Parametri'!$B$6*AK377))+MIN(MAX(0,AP376-(MAX(0,AK341-IF($A377&gt;=('1-Input'!$C$12-1),'1-Input'!$B$12,0))-MIN(MAX(AO376,0),MAX(0,AK341-IF($A377&gt;=('1-Input'!$C$12-1),'1-Input'!$B$12,0))))*(1/(1-'P-Parametri'!$B$6*AK377))),MAX(0,0*AK341-(AO376-MIN(MAX(AO376,0),MAX(0,AK341-IF($A377&gt;=('1-Input'!$C$12-1),'1-Input'!$B$12,0)))))*(1/(1-'P-Parametri'!$B$6*AK377))))</f>
        <v>9713.6655014427361</v>
      </c>
      <c r="AM377" s="18">
        <f>IF($A377&gt;'1-Input'!$B$26,AO376,(AO376-MAX(0,AK341-IF($A377&gt;=('1-Input'!$C$12-1),'1-Input'!$B$12,0))+AL377*(1-'P-Parametri'!$B$6*AK377))*(1+'1-Input'!$B$27))</f>
        <v>0</v>
      </c>
      <c r="AN377" s="18">
        <f>IF($A377&gt;'1-Input'!$B$26,AP376,(AP376-AL377)*(1+'5-Roberta'!$C$4))</f>
        <v>94997.199808070829</v>
      </c>
      <c r="AO377" s="18">
        <f>IF($A377&gt;'1-Input'!$B$26,AM377,AM377-'P-Parametri'!$B$8*(AN377+AM377)+MIN(MAX(AN377,0),'P-Parametri'!$B$8*(AN377+AM377)))</f>
        <v>0</v>
      </c>
      <c r="AP377" s="18">
        <f>IF($A377&gt;'1-Input'!$B$26,AN377,AN377-MIN(MAX(AN377,0),'P-Parametri'!$B$8*(AN377+AM377)))</f>
        <v>94807.205408454683</v>
      </c>
      <c r="AQ377" s="18">
        <f>IF($A377&gt;'1-Input'!$B$26,AQ376,AQ376-AL377*(1-AK377))</f>
        <v>29110.912454128418</v>
      </c>
    </row>
    <row r="378" spans="1:43">
      <c r="A378" s="10">
        <f>35</f>
        <v>35</v>
      </c>
      <c r="B378" s="11">
        <f>IF($A378&gt;'1-Input'!$B$26,0,IF(G377&lt;=0,0,MAX(0,(G377-H377)/G377)))</f>
        <v>0.69294620246730332</v>
      </c>
      <c r="C378" s="18">
        <f>IF($A378&gt;'1-Input'!$B$26,0,(MAX(0,B341-IF($A378&gt;=('1-Input'!$C$12-1),'1-Input'!$B$12,0))-MIN(MAX(F377,0),MAX(0,B341-IF($A378&gt;=('1-Input'!$C$12-1),'1-Input'!$B$12,0))))*(1/(1-'P-Parametri'!$B$6*B378))+MIN(MAX(0,G377-(MAX(0,B341-IF($A378&gt;=('1-Input'!$C$12-1),'1-Input'!$B$12,0))-MIN(MAX(F377,0),MAX(0,B341-IF($A378&gt;=('1-Input'!$C$12-1),'1-Input'!$B$12,0))))*(1/(1-'P-Parametri'!$B$6*B378))),MAX(0,0*B341-(F377-MIN(MAX(F377,0),MAX(0,B341-IF($A378&gt;=('1-Input'!$C$12-1),'1-Input'!$B$12,0)))))*(1/(1-'P-Parametri'!$B$6*B378))))</f>
        <v>6805.10371691405</v>
      </c>
      <c r="D378" s="18">
        <f>IF($A378&gt;'1-Input'!$B$26,F377,(F377-MAX(0,B341-IF($A378&gt;=('1-Input'!$C$12-1),'1-Input'!$B$12,0))+C378*(1-'P-Parametri'!$B$6*B378))*(1+'1-Input'!$B$27))</f>
        <v>0</v>
      </c>
      <c r="E378" s="18">
        <f>IF($A378&gt;'1-Input'!$B$26,G377,(G377-C378)*(1+'5-Roberta'!$C$4))</f>
        <v>251057.87000662039</v>
      </c>
      <c r="F378" s="18">
        <f>IF($A378&gt;'1-Input'!$B$26,D378,D378-'P-Parametri'!$B$8*(E378+D378)+MIN(MAX(E378,0),'P-Parametri'!$B$8*(E378+D378)))</f>
        <v>0</v>
      </c>
      <c r="G378" s="18">
        <f>IF($A378&gt;'1-Input'!$B$26,E378,E378-MIN(MAX(E378,0),'P-Parametri'!$B$8*(E378+D378)))</f>
        <v>250555.75426660714</v>
      </c>
      <c r="H378" s="18">
        <f>IF($A378&gt;'1-Input'!$B$26,H377,H377-C378*(1-B378))</f>
        <v>74842.982899031937</v>
      </c>
      <c r="I378" s="11">
        <f>IF($A378&gt;'1-Input'!$B$26,0,IF(N377&lt;=0,0,MAX(0,(N377-O377)/N377)))</f>
        <v>0</v>
      </c>
      <c r="J378" s="18">
        <f>IF($A378&gt;'1-Input'!$B$26,0,(MAX(0,I341-IF($A378&gt;=('1-Input'!$C$12-1),'1-Input'!$B$12,0))-MIN(MAX(M377,0),MAX(0,I341-IF($A378&gt;=('1-Input'!$C$12-1),'1-Input'!$B$12,0))))*(1/(1-'P-Parametri'!$B$6*I378))+MIN(MAX(0,N377-(MAX(0,I341-IF($A378&gt;=('1-Input'!$C$12-1),'1-Input'!$B$12,0))-MIN(MAX(M377,0),MAX(0,I341-IF($A378&gt;=('1-Input'!$C$12-1),'1-Input'!$B$12,0))))*(1/(1-'P-Parametri'!$B$6*I378))),MAX(0,0*I341-(M377-MIN(MAX(M377,0),MAX(0,I341-IF($A378&gt;=('1-Input'!$C$12-1),'1-Input'!$B$12,0)))))*(1/(1-'P-Parametri'!$B$6*I378))))</f>
        <v>10846.756992928691</v>
      </c>
      <c r="K378" s="18">
        <f>IF($A378&gt;'1-Input'!$B$26,M377,(M377-MAX(0,I341-IF($A378&gt;=('1-Input'!$C$12-1),'1-Input'!$B$12,0))+J378*(1-'P-Parametri'!$B$6*I378))*(1+'1-Input'!$B$27))</f>
        <v>-1.8124410416930913E-12</v>
      </c>
      <c r="L378" s="18">
        <f>IF($A378&gt;'1-Input'!$B$26,N377,(N377-J378)*(1+'5-Roberta'!$C$4))</f>
        <v>-88958.379035027887</v>
      </c>
      <c r="M378" s="18">
        <f>IF($A378&gt;'1-Input'!$B$26,K378,K378-'P-Parametri'!$B$8*(L378+K378)+MIN(MAX(L378,0),'P-Parametri'!$B$8*(L378+K378)))</f>
        <v>-1.8189894035458565E-12</v>
      </c>
      <c r="N378" s="18">
        <f>IF($A378&gt;'1-Input'!$B$26,L378,L378-MIN(MAX(L378,0),'P-Parametri'!$B$8*(L378+K378)))</f>
        <v>-88780.462276957827</v>
      </c>
      <c r="O378" s="18">
        <f>IF($A378&gt;'1-Input'!$B$26,O377,O377-J378*(1-I378))</f>
        <v>-77085.214759528026</v>
      </c>
      <c r="P378" s="11">
        <f>IF($A378&gt;'1-Input'!$B$26,0,IF(U377&lt;=0,0,MAX(0,(U377-V377)/U377)))</f>
        <v>0.69294620246730365</v>
      </c>
      <c r="Q378" s="18">
        <f>IF($A378&gt;'1-Input'!$B$26,0,(MAX(0,P341-IF($A378&gt;=('1-Input'!$C$12-1),'1-Input'!$B$12,0))-MIN(MAX(T377,0),MAX(0,P341-IF($A378&gt;=('1-Input'!$C$12-1),'1-Input'!$B$12,0))))*(1/(1-'P-Parametri'!$B$6*P378))+MIN(MAX(0,U377-(MAX(0,P341-IF($A378&gt;=('1-Input'!$C$12-1),'1-Input'!$B$12,0))-MIN(MAX(T377,0),MAX(0,P341-IF($A378&gt;=('1-Input'!$C$12-1),'1-Input'!$B$12,0))))*(1/(1-'P-Parametri'!$B$6*P378))),MAX(0,0*P341-(T377-MIN(MAX(T377,0),MAX(0,P341-IF($A378&gt;=('1-Input'!$C$12-1),'1-Input'!$B$12,0)))))*(1/(1-'P-Parametri'!$B$6*P378))))</f>
        <v>10056.925830836208</v>
      </c>
      <c r="R378" s="18">
        <f>IF($A378&gt;'1-Input'!$B$26,T377,(T377-MAX(0,P341-IF($A378&gt;=('1-Input'!$C$12-1),'1-Input'!$B$12,0))+Q378*(1-'P-Parametri'!$B$6*P378))*(1+'1-Input'!$B$27))</f>
        <v>0</v>
      </c>
      <c r="S378" s="18">
        <f>IF($A378&gt;'1-Input'!$B$26,U377,(U377-Q378)*(1+'5-Roberta'!$C$4))</f>
        <v>69975.928974012437</v>
      </c>
      <c r="T378" s="18">
        <f>IF($A378&gt;'1-Input'!$B$26,R378,R378-'P-Parametri'!$B$8*(S378+R378)+MIN(MAX(S378,0),'P-Parametri'!$B$8*(S378+R378)))</f>
        <v>0</v>
      </c>
      <c r="U378" s="18">
        <f>IF($A378&gt;'1-Input'!$B$26,S378,S378-MIN(MAX(S378,0),'P-Parametri'!$B$8*(S378+R378)))</f>
        <v>69835.977116064416</v>
      </c>
      <c r="V378" s="18">
        <f>IF($A378&gt;'1-Input'!$B$26,V377,V377-Q378*(1-P378))</f>
        <v>20860.557987717231</v>
      </c>
      <c r="W378" s="11">
        <f>IF($A378&gt;'1-Input'!$B$26,0,IF(AB377&lt;=0,0,MAX(0,(AB377-AC377)/AB377)))</f>
        <v>0.69294620246730376</v>
      </c>
      <c r="X378" s="18">
        <f>IF($A378&gt;'1-Input'!$B$26,0,(MAX(0,W341-IF($A378&gt;=('1-Input'!$C$12-1),'1-Input'!$B$12,0))-MIN(MAX(AA377,0),MAX(0,W341-IF($A378&gt;=('1-Input'!$C$12-1),'1-Input'!$B$12,0))))*(1/(1-'P-Parametri'!$B$6*W378))+MIN(MAX(0,AB377-(MAX(0,W341-IF($A378&gt;=('1-Input'!$C$12-1),'1-Input'!$B$12,0))-MIN(MAX(AA377,0),MAX(0,W341-IF($A378&gt;=('1-Input'!$C$12-1),'1-Input'!$B$12,0))))*(1/(1-'P-Parametri'!$B$6*W378))),MAX(0,0*W341-(AA377-MIN(MAX(AA377,0),MAX(0,W341-IF($A378&gt;=('1-Input'!$C$12-1),'1-Input'!$B$12,0)))))*(1/(1-'P-Parametri'!$B$6*W378))))</f>
        <v>9731.0143286981838</v>
      </c>
      <c r="Y378" s="18">
        <f>IF($A378&gt;'1-Input'!$B$26,AA377,(AA377-MAX(0,W341-IF($A378&gt;=('1-Input'!$C$12-1),'1-Input'!$B$12,0))+X378*(1-'P-Parametri'!$B$6*W378))*(1+'1-Input'!$B$27))</f>
        <v>-9.0622052084654565E-13</v>
      </c>
      <c r="Z378" s="18">
        <f>IF($A378&gt;'1-Input'!$B$26,AB377,(AB377-X378)*(1+'5-Roberta'!$C$4))</f>
        <v>88124.734580363423</v>
      </c>
      <c r="AA378" s="18">
        <f>IF($A378&gt;'1-Input'!$B$26,Y378,Y378-'P-Parametri'!$B$8*(Z378+Y378)+MIN(MAX(Z378,0),'P-Parametri'!$B$8*(Z378+Y378)))</f>
        <v>-9.0949470177292824E-13</v>
      </c>
      <c r="AB378" s="18">
        <f>IF($A378&gt;'1-Input'!$B$26,Z378,Z378-MIN(MAX(Z378,0),'P-Parametri'!$B$8*(Z378+Y378)))</f>
        <v>87948.485111202695</v>
      </c>
      <c r="AC378" s="18">
        <f>IF($A378&gt;'1-Input'!$B$26,AC377,AC377-X378*(1-W378))</f>
        <v>26270.907193651939</v>
      </c>
      <c r="AD378" s="11">
        <f>IF($A378&gt;'1-Input'!$B$26,0,IF(AI377&lt;=0,0,MAX(0,(AI377-AJ377)/AI377)))</f>
        <v>0.69294620246730343</v>
      </c>
      <c r="AE378" s="18">
        <f>IF($A378&gt;'1-Input'!$B$26,0,(MAX(0,AD341-IF($A378&gt;=('1-Input'!$C$12-1),'1-Input'!$B$12,0))-MIN(MAX(AH377,0),MAX(0,AD341-IF($A378&gt;=('1-Input'!$C$12-1),'1-Input'!$B$12,0))))*(1/(1-'P-Parametri'!$B$6*AD378))+MIN(MAX(0,AI377-(MAX(0,AD341-IF($A378&gt;=('1-Input'!$C$12-1),'1-Input'!$B$12,0))-MIN(MAX(AH377,0),MAX(0,AD341-IF($A378&gt;=('1-Input'!$C$12-1),'1-Input'!$B$12,0))))*(1/(1-'P-Parametri'!$B$6*AD378))),MAX(0,0*AD341-(AH377-MIN(MAX(AH377,0),MAX(0,AD341-IF($A378&gt;=('1-Input'!$C$12-1),'1-Input'!$B$12,0)))))*(1/(1-'P-Parametri'!$B$6*AD378))))</f>
        <v>9741.7420583696949</v>
      </c>
      <c r="AF378" s="18">
        <f>IF($A378&gt;'1-Input'!$B$26,AH377,(AH377-MAX(0,AD341-IF($A378&gt;=('1-Input'!$C$12-1),'1-Input'!$B$12,0))+AE378*(1-'P-Parametri'!$B$6*AD378))*(1+'1-Input'!$B$27))</f>
        <v>-9.0622052084654565E-13</v>
      </c>
      <c r="AG378" s="18">
        <f>IF($A378&gt;'1-Input'!$B$26,AI377,(AI377-AE378)*(1+'5-Roberta'!$C$4))</f>
        <v>87527.34701003028</v>
      </c>
      <c r="AH378" s="18">
        <f>IF($A378&gt;'1-Input'!$B$26,AF378,AF378-'P-Parametri'!$B$8*(AG378+AF378)+MIN(MAX(AG378,0),'P-Parametri'!$B$8*(AG378+AF378)))</f>
        <v>-9.0949470177292824E-13</v>
      </c>
      <c r="AI378" s="18">
        <f>IF($A378&gt;'1-Input'!$B$26,AG378,AG378-MIN(MAX(AG378,0),'P-Parametri'!$B$8*(AG378+AF378)))</f>
        <v>87352.292316010222</v>
      </c>
      <c r="AJ378" s="18">
        <f>IF($A378&gt;'1-Input'!$B$26,AJ377,AJ377-AE378*(1-AD378))</f>
        <v>26092.819696497001</v>
      </c>
      <c r="AK378" s="11">
        <f>IF($A378&gt;'1-Input'!$B$26,0,IF(AP377&lt;=0,0,MAX(0,(AP377-AQ377)/AP377)))</f>
        <v>0.69294620246730332</v>
      </c>
      <c r="AL378" s="18">
        <f>IF($A378&gt;'1-Input'!$B$26,0,(MAX(0,AK341-IF($A378&gt;=('1-Input'!$C$12-1),'1-Input'!$B$12,0))-MIN(MAX(AO377,0),MAX(0,AK341-IF($A378&gt;=('1-Input'!$C$12-1),'1-Input'!$B$12,0))))*(1/(1-'P-Parametri'!$B$6*AK378))+MIN(MAX(0,AP377-(MAX(0,AK341-IF($A378&gt;=('1-Input'!$C$12-1),'1-Input'!$B$12,0))-MIN(MAX(AO377,0),MAX(0,AK341-IF($A378&gt;=('1-Input'!$C$12-1),'1-Input'!$B$12,0))))*(1/(1-'P-Parametri'!$B$6*AK378))),MAX(0,0*AK341-(AO377-MIN(MAX(AO377,0),MAX(0,AK341-IF($A378&gt;=('1-Input'!$C$12-1),'1-Input'!$B$12,0)))))*(1/(1-'P-Parametri'!$B$6*AK378))))</f>
        <v>9740.0939365440809</v>
      </c>
      <c r="AM378" s="18">
        <f>IF($A378&gt;'1-Input'!$B$26,AO377,(AO377-MAX(0,AK341-IF($A378&gt;=('1-Input'!$C$12-1),'1-Input'!$B$12,0))+AL378*(1-'P-Parametri'!$B$6*AK378))*(1+'1-Input'!$B$27))</f>
        <v>-9.0622052084654565E-13</v>
      </c>
      <c r="AN378" s="18">
        <f>IF($A378&gt;'1-Input'!$B$26,AP377,(AP377-AL378)*(1+'5-Roberta'!$C$4))</f>
        <v>87619.124816067924</v>
      </c>
      <c r="AO378" s="18">
        <f>IF($A378&gt;'1-Input'!$B$26,AM378,AM378-'P-Parametri'!$B$8*(AN378+AM378)+MIN(MAX(AN378,0),'P-Parametri'!$B$8*(AN378+AM378)))</f>
        <v>-9.0949470177292824E-13</v>
      </c>
      <c r="AP378" s="18">
        <f>IF($A378&gt;'1-Input'!$B$26,AN378,AN378-MIN(MAX(AN378,0),'P-Parametri'!$B$8*(AN378+AM378)))</f>
        <v>87443.886566435787</v>
      </c>
      <c r="AQ378" s="18">
        <f>IF($A378&gt;'1-Input'!$B$26,AQ377,AQ377-AL378*(1-AK378))</f>
        <v>26120.179622587366</v>
      </c>
    </row>
    <row r="379" spans="1:43">
      <c r="A379" s="10">
        <f>36</f>
        <v>36</v>
      </c>
      <c r="B379" s="11">
        <f>IF($A379&gt;'1-Input'!$B$26,0,IF(G378&lt;=0,0,MAX(0,(G378-H378)/G378)))</f>
        <v>0.70129210116086871</v>
      </c>
      <c r="C379" s="18">
        <f>IF($A379&gt;'1-Input'!$B$26,0,(MAX(0,B341-IF($A379&gt;=('1-Input'!$C$12-1),'1-Input'!$B$12,0))-MIN(MAX(F378,0),MAX(0,B341-IF($A379&gt;=('1-Input'!$C$12-1),'1-Input'!$B$12,0))))*(1/(1-'P-Parametri'!$B$6*B379))+MIN(MAX(0,G378-(MAX(0,B341-IF($A379&gt;=('1-Input'!$C$12-1),'1-Input'!$B$12,0))-MIN(MAX(F378,0),MAX(0,B341-IF($A379&gt;=('1-Input'!$C$12-1),'1-Input'!$B$12,0))))*(1/(1-'P-Parametri'!$B$6*B379))),MAX(0,0*B341-(F378-MIN(MAX(F378,0),MAX(0,B341-IF($A379&gt;=('1-Input'!$C$12-1),'1-Input'!$B$12,0)))))*(1/(1-'P-Parametri'!$B$6*B379))))</f>
        <v>6823.1632409331896</v>
      </c>
      <c r="D379" s="18">
        <f>IF($A379&gt;'1-Input'!$B$26,F378,(F378-MAX(0,B341-IF($A379&gt;=('1-Input'!$C$12-1),'1-Input'!$B$12,0))+C379*(1-'P-Parametri'!$B$6*B379))*(1+'1-Input'!$B$27))</f>
        <v>9.0622052084654565E-13</v>
      </c>
      <c r="E379" s="18">
        <f>IF($A379&gt;'1-Input'!$B$26,G378,(G378-C379)*(1+'5-Roberta'!$C$4))</f>
        <v>251044.56875644418</v>
      </c>
      <c r="F379" s="18">
        <f>IF($A379&gt;'1-Input'!$B$26,D379,D379-'P-Parametri'!$B$8*(E379+D379)+MIN(MAX(E379,0),'P-Parametri'!$B$8*(E379+D379)))</f>
        <v>9.0949470177292824E-13</v>
      </c>
      <c r="G379" s="18">
        <f>IF($A379&gt;'1-Input'!$B$26,E379,E379-MIN(MAX(E379,0),'P-Parametri'!$B$8*(E379+D379)))</f>
        <v>250542.47961893128</v>
      </c>
      <c r="H379" s="18">
        <f>IF($A379&gt;'1-Input'!$B$26,H378,H378-C379*(1-B379))</f>
        <v>72804.850143896387</v>
      </c>
      <c r="I379" s="11">
        <f>IF($A379&gt;'1-Input'!$B$26,0,IF(N378&lt;=0,0,MAX(0,(N378-O378)/N378)))</f>
        <v>0</v>
      </c>
      <c r="J379" s="18">
        <f>IF($A379&gt;'1-Input'!$B$26,0,(MAX(0,I341-IF($A379&gt;=('1-Input'!$C$12-1),'1-Input'!$B$12,0))-MIN(MAX(M378,0),MAX(0,I341-IF($A379&gt;=('1-Input'!$C$12-1),'1-Input'!$B$12,0))))*(1/(1-'P-Parametri'!$B$6*I379))+MIN(MAX(0,N378-(MAX(0,I341-IF($A379&gt;=('1-Input'!$C$12-1),'1-Input'!$B$12,0))-MIN(MAX(M378,0),MAX(0,I341-IF($A379&gt;=('1-Input'!$C$12-1),'1-Input'!$B$12,0))))*(1/(1-'P-Parametri'!$B$6*I379))),MAX(0,0*I341-(M378-MIN(MAX(M378,0),MAX(0,I341-IF($A379&gt;=('1-Input'!$C$12-1),'1-Input'!$B$12,0)))))*(1/(1-'P-Parametri'!$B$6*I379))))</f>
        <v>10846.756992928691</v>
      </c>
      <c r="K379" s="18">
        <f>IF($A379&gt;'1-Input'!$B$26,M378,(M378-MAX(0,I341-IF($A379&gt;=('1-Input'!$C$12-1),'1-Input'!$B$12,0))+J379*(1-'P-Parametri'!$B$6*I379))*(1+'1-Input'!$B$27))</f>
        <v>-1.8124410416930913E-12</v>
      </c>
      <c r="L379" s="18">
        <f>IF($A379&gt;'1-Input'!$B$26,N378,(N378-J379)*(1+'5-Roberta'!$C$4))</f>
        <v>-102616.03584798312</v>
      </c>
      <c r="M379" s="18">
        <f>IF($A379&gt;'1-Input'!$B$26,K379,K379-'P-Parametri'!$B$8*(L379+K379)+MIN(MAX(L379,0),'P-Parametri'!$B$8*(L379+K379)))</f>
        <v>-1.8189894035458565E-12</v>
      </c>
      <c r="N379" s="18">
        <f>IF($A379&gt;'1-Input'!$B$26,L379,L379-MIN(MAX(L379,0),'P-Parametri'!$B$8*(L379+K379)))</f>
        <v>-102410.80377628715</v>
      </c>
      <c r="O379" s="18">
        <f>IF($A379&gt;'1-Input'!$B$26,O378,O378-J379*(1-I379))</f>
        <v>-87931.97175245671</v>
      </c>
      <c r="P379" s="11">
        <f>IF($A379&gt;'1-Input'!$B$26,0,IF(U378&lt;=0,0,MAX(0,(U378-V378)/U378)))</f>
        <v>0.70129210116086915</v>
      </c>
      <c r="Q379" s="18">
        <f>IF($A379&gt;'1-Input'!$B$26,0,(MAX(0,P341-IF($A379&gt;=('1-Input'!$C$12-1),'1-Input'!$B$12,0))-MIN(MAX(T378,0),MAX(0,P341-IF($A379&gt;=('1-Input'!$C$12-1),'1-Input'!$B$12,0))))*(1/(1-'P-Parametri'!$B$6*P379))+MIN(MAX(0,U378-(MAX(0,P341-IF($A379&gt;=('1-Input'!$C$12-1),'1-Input'!$B$12,0))-MIN(MAX(T378,0),MAX(0,P341-IF($A379&gt;=('1-Input'!$C$12-1),'1-Input'!$B$12,0))))*(1/(1-'P-Parametri'!$B$6*P379))),MAX(0,0*P341-(T378-MIN(MAX(T378,0),MAX(0,P341-IF($A379&gt;=('1-Input'!$C$12-1),'1-Input'!$B$12,0)))))*(1/(1-'P-Parametri'!$B$6*P379))))</f>
        <v>10083.615107172916</v>
      </c>
      <c r="R379" s="18">
        <f>IF($A379&gt;'1-Input'!$B$26,T378,(T378-MAX(0,P341-IF($A379&gt;=('1-Input'!$C$12-1),'1-Input'!$B$12,0))+Q379*(1-'P-Parametri'!$B$6*P379))*(1+'1-Input'!$B$27))</f>
        <v>1.8124410416930913E-12</v>
      </c>
      <c r="S379" s="18">
        <f>IF($A379&gt;'1-Input'!$B$26,U378,(U378-Q379)*(1+'5-Roberta'!$C$4))</f>
        <v>61544.932869158241</v>
      </c>
      <c r="T379" s="18">
        <f>IF($A379&gt;'1-Input'!$B$26,R379,R379-'P-Parametri'!$B$8*(S379+R379)+MIN(MAX(S379,0),'P-Parametri'!$B$8*(S379+R379)))</f>
        <v>1.8189894035458565E-12</v>
      </c>
      <c r="U379" s="18">
        <f>IF($A379&gt;'1-Input'!$B$26,S379,S379-MIN(MAX(S379,0),'P-Parametri'!$B$8*(S379+R379)))</f>
        <v>61421.843003419926</v>
      </c>
      <c r="V379" s="18">
        <f>IF($A379&gt;'1-Input'!$B$26,V378,V378-Q379*(1-P379))</f>
        <v>17848.502506351091</v>
      </c>
      <c r="W379" s="11">
        <f>IF($A379&gt;'1-Input'!$B$26,0,IF(AB378&lt;=0,0,MAX(0,(AB378-AC378)/AB378)))</f>
        <v>0.70129210116086915</v>
      </c>
      <c r="X379" s="18">
        <f>IF($A379&gt;'1-Input'!$B$26,0,(MAX(0,W341-IF($A379&gt;=('1-Input'!$C$12-1),'1-Input'!$B$12,0))-MIN(MAX(AA378,0),MAX(0,W341-IF($A379&gt;=('1-Input'!$C$12-1),'1-Input'!$B$12,0))))*(1/(1-'P-Parametri'!$B$6*W379))+MIN(MAX(0,AB378-(MAX(0,W341-IF($A379&gt;=('1-Input'!$C$12-1),'1-Input'!$B$12,0))-MIN(MAX(AA378,0),MAX(0,W341-IF($A379&gt;=('1-Input'!$C$12-1),'1-Input'!$B$12,0))))*(1/(1-'P-Parametri'!$B$6*W379))),MAX(0,0*W341-(AA378-MIN(MAX(AA378,0),MAX(0,W341-IF($A379&gt;=('1-Input'!$C$12-1),'1-Input'!$B$12,0)))))*(1/(1-'P-Parametri'!$B$6*W379))))</f>
        <v>9756.8386943963778</v>
      </c>
      <c r="Y379" s="18">
        <f>IF($A379&gt;'1-Input'!$B$26,AA378,(AA378-MAX(0,W341-IF($A379&gt;=('1-Input'!$C$12-1),'1-Input'!$B$12,0))+X379*(1-'P-Parametri'!$B$6*W379))*(1+'1-Input'!$B$27))</f>
        <v>9.0622052084654565E-13</v>
      </c>
      <c r="Z379" s="18">
        <f>IF($A379&gt;'1-Input'!$B$26,AB378,(AB378-X379)*(1+'5-Roberta'!$C$4))</f>
        <v>80537.395809310518</v>
      </c>
      <c r="AA379" s="18">
        <f>IF($A379&gt;'1-Input'!$B$26,Y379,Y379-'P-Parametri'!$B$8*(Z379+Y379)+MIN(MAX(Z379,0),'P-Parametri'!$B$8*(Z379+Y379)))</f>
        <v>9.0949470177292824E-13</v>
      </c>
      <c r="AB379" s="18">
        <f>IF($A379&gt;'1-Input'!$B$26,Z379,Z379-MIN(MAX(Z379,0),'P-Parametri'!$B$8*(Z379+Y379)))</f>
        <v>80376.321017691895</v>
      </c>
      <c r="AC379" s="18">
        <f>IF($A379&gt;'1-Input'!$B$26,AC378,AC378-X379*(1-W379))</f>
        <v>23356.462407936469</v>
      </c>
      <c r="AD379" s="11">
        <f>IF($A379&gt;'1-Input'!$B$26,0,IF(AI378&lt;=0,0,MAX(0,(AI378-AJ378)/AI378)))</f>
        <v>0.70129210116086882</v>
      </c>
      <c r="AE379" s="18">
        <f>IF($A379&gt;'1-Input'!$B$26,0,(MAX(0,AD341-IF($A379&gt;=('1-Input'!$C$12-1),'1-Input'!$B$12,0))-MIN(MAX(AH378,0),MAX(0,AD341-IF($A379&gt;=('1-Input'!$C$12-1),'1-Input'!$B$12,0))))*(1/(1-'P-Parametri'!$B$6*AD379))+MIN(MAX(0,AI378-(MAX(0,AD341-IF($A379&gt;=('1-Input'!$C$12-1),'1-Input'!$B$12,0))-MIN(MAX(AH378,0),MAX(0,AD341-IF($A379&gt;=('1-Input'!$C$12-1),'1-Input'!$B$12,0))))*(1/(1-'P-Parametri'!$B$6*AD379))),MAX(0,0*AD341-(AH378-MIN(MAX(AH378,0),MAX(0,AD341-IF($A379&gt;=('1-Input'!$C$12-1),'1-Input'!$B$12,0)))))*(1/(1-'P-Parametri'!$B$6*AD379))))</f>
        <v>9767.5948935372362</v>
      </c>
      <c r="AF379" s="18">
        <f>IF($A379&gt;'1-Input'!$B$26,AH378,(AH378-MAX(0,AD341-IF($A379&gt;=('1-Input'!$C$12-1),'1-Input'!$B$12,0))+AE379*(1-'P-Parametri'!$B$6*AD379))*(1+'1-Input'!$B$27))</f>
        <v>9.0622052084654565E-13</v>
      </c>
      <c r="AG379" s="18">
        <f>IF($A379&gt;'1-Input'!$B$26,AI378,(AI378-AE379)*(1+'5-Roberta'!$C$4))</f>
        <v>79912.238345147183</v>
      </c>
      <c r="AH379" s="18">
        <f>IF($A379&gt;'1-Input'!$B$26,AF379,AF379-'P-Parametri'!$B$8*(AG379+AF379)+MIN(MAX(AG379,0),'P-Parametri'!$B$8*(AG379+AF379)))</f>
        <v>9.0949470177292824E-13</v>
      </c>
      <c r="AI379" s="18">
        <f>IF($A379&gt;'1-Input'!$B$26,AG379,AG379-MIN(MAX(AG379,0),'P-Parametri'!$B$8*(AG379+AF379)))</f>
        <v>79752.41386845689</v>
      </c>
      <c r="AJ379" s="18">
        <f>IF($A379&gt;'1-Input'!$B$26,AJ378,AJ378-AE379*(1-AD379))</f>
        <v>23175.161949136665</v>
      </c>
      <c r="AK379" s="11">
        <f>IF($A379&gt;'1-Input'!$B$26,0,IF(AP378&lt;=0,0,MAX(0,(AP378-AQ378)/AP378)))</f>
        <v>0.70129210116086871</v>
      </c>
      <c r="AL379" s="18">
        <f>IF($A379&gt;'1-Input'!$B$26,0,(MAX(0,AK341-IF($A379&gt;=('1-Input'!$C$12-1),'1-Input'!$B$12,0))-MIN(MAX(AO378,0),MAX(0,AK341-IF($A379&gt;=('1-Input'!$C$12-1),'1-Input'!$B$12,0))))*(1/(1-'P-Parametri'!$B$6*AK379))+MIN(MAX(0,AP378-(MAX(0,AK341-IF($A379&gt;=('1-Input'!$C$12-1),'1-Input'!$B$12,0))-MIN(MAX(AO378,0),MAX(0,AK341-IF($A379&gt;=('1-Input'!$C$12-1),'1-Input'!$B$12,0))))*(1/(1-'P-Parametri'!$B$6*AK379))),MAX(0,0*AK341-(AO378-MIN(MAX(AO378,0),MAX(0,AK341-IF($A379&gt;=('1-Input'!$C$12-1),'1-Input'!$B$12,0)))))*(1/(1-'P-Parametri'!$B$6*AK379))))</f>
        <v>9765.9423978920695</v>
      </c>
      <c r="AM379" s="18">
        <f>IF($A379&gt;'1-Input'!$B$26,AO378,(AO378-MAX(0,AK341-IF($A379&gt;=('1-Input'!$C$12-1),'1-Input'!$B$12,0))+AL379*(1-'P-Parametri'!$B$6*AK379))*(1+'1-Input'!$B$27))</f>
        <v>9.0622052084654565E-13</v>
      </c>
      <c r="AN379" s="18">
        <f>IF($A379&gt;'1-Input'!$B$26,AP378,(AP378-AL379)*(1+'5-Roberta'!$C$4))</f>
        <v>80008.28249360004</v>
      </c>
      <c r="AO379" s="18">
        <f>IF($A379&gt;'1-Input'!$B$26,AM379,AM379-'P-Parametri'!$B$8*(AN379+AM379)+MIN(MAX(AN379,0),'P-Parametri'!$B$8*(AN379+AM379)))</f>
        <v>9.0949470177292824E-13</v>
      </c>
      <c r="AP379" s="18">
        <f>IF($A379&gt;'1-Input'!$B$26,AN379,AN379-MIN(MAX(AN379,0),'P-Parametri'!$B$8*(AN379+AM379)))</f>
        <v>79848.265928612833</v>
      </c>
      <c r="AQ379" s="18">
        <f>IF($A379&gt;'1-Input'!$B$26,AQ378,AQ378-AL379*(1-AK379))</f>
        <v>23203.015488729037</v>
      </c>
    </row>
    <row r="380" spans="1:43">
      <c r="A380" s="10">
        <f>37</f>
        <v>37</v>
      </c>
      <c r="B380" s="11">
        <f>IF($A380&gt;'1-Input'!$B$26,0,IF(G379&lt;=0,0,MAX(0,(G379-H379)/G379)))</f>
        <v>0.70941115353120676</v>
      </c>
      <c r="C380" s="18">
        <f>IF($A380&gt;'1-Input'!$B$26,0,(MAX(0,B341-IF($A380&gt;=('1-Input'!$C$12-1),'1-Input'!$B$12,0))-MIN(MAX(F379,0),MAX(0,B341-IF($A380&gt;=('1-Input'!$C$12-1),'1-Input'!$B$12,0))))*(1/(1-'P-Parametri'!$B$6*B380))+MIN(MAX(0,G379-(MAX(0,B341-IF($A380&gt;=('1-Input'!$C$12-1),'1-Input'!$B$12,0))-MIN(MAX(F379,0),MAX(0,B341-IF($A380&gt;=('1-Input'!$C$12-1),'1-Input'!$B$12,0))))*(1/(1-'P-Parametri'!$B$6*B380))),MAX(0,0*B341-(F379-MIN(MAX(F379,0),MAX(0,B341-IF($A380&gt;=('1-Input'!$C$12-1),'1-Input'!$B$12,0)))))*(1/(1-'P-Parametri'!$B$6*B380))))</f>
        <v>6840.8241156408239</v>
      </c>
      <c r="D380" s="18">
        <f>IF($A380&gt;'1-Input'!$B$26,F379,(F379-MAX(0,B341-IF($A380&gt;=('1-Input'!$C$12-1),'1-Input'!$B$12,0))+C380*(1-'P-Parametri'!$B$6*B380))*(1+'1-Input'!$B$27))</f>
        <v>0</v>
      </c>
      <c r="E380" s="18">
        <f>IF($A380&gt;'1-Input'!$B$26,G379,(G379-C380)*(1+'5-Roberta'!$C$4))</f>
        <v>251012.70516838916</v>
      </c>
      <c r="F380" s="18">
        <f>IF($A380&gt;'1-Input'!$B$26,D380,D380-'P-Parametri'!$B$8*(E380+D380)+MIN(MAX(E380,0),'P-Parametri'!$B$8*(E380+D380)))</f>
        <v>0</v>
      </c>
      <c r="G380" s="18">
        <f>IF($A380&gt;'1-Input'!$B$26,E380,E380-MIN(MAX(E380,0),'P-Parametri'!$B$8*(E380+D380)))</f>
        <v>250510.67975805237</v>
      </c>
      <c r="H380" s="18">
        <f>IF($A380&gt;'1-Input'!$B$26,H379,H379-C380*(1-B380))</f>
        <v>70816.98295523641</v>
      </c>
      <c r="I380" s="11">
        <f>IF($A380&gt;'1-Input'!$B$26,0,IF(N379&lt;=0,0,MAX(0,(N379-O379)/N379)))</f>
        <v>0</v>
      </c>
      <c r="J380" s="18">
        <f>IF($A380&gt;'1-Input'!$B$26,0,(MAX(0,I341-IF($A380&gt;=('1-Input'!$C$12-1),'1-Input'!$B$12,0))-MIN(MAX(M379,0),MAX(0,I341-IF($A380&gt;=('1-Input'!$C$12-1),'1-Input'!$B$12,0))))*(1/(1-'P-Parametri'!$B$6*I380))+MIN(MAX(0,N379-(MAX(0,I341-IF($A380&gt;=('1-Input'!$C$12-1),'1-Input'!$B$12,0))-MIN(MAX(M379,0),MAX(0,I341-IF($A380&gt;=('1-Input'!$C$12-1),'1-Input'!$B$12,0))))*(1/(1-'P-Parametri'!$B$6*I380))),MAX(0,0*I341-(M379-MIN(MAX(M379,0),MAX(0,I341-IF($A380&gt;=('1-Input'!$C$12-1),'1-Input'!$B$12,0)))))*(1/(1-'P-Parametri'!$B$6*I380))))</f>
        <v>10846.756992928691</v>
      </c>
      <c r="K380" s="18">
        <f>IF($A380&gt;'1-Input'!$B$26,M379,(M379-MAX(0,I341-IF($A380&gt;=('1-Input'!$C$12-1),'1-Input'!$B$12,0))+J380*(1-'P-Parametri'!$B$6*I380))*(1+'1-Input'!$B$27))</f>
        <v>-1.8124410416930913E-12</v>
      </c>
      <c r="L380" s="18">
        <f>IF($A380&gt;'1-Input'!$B$26,N379,(N379-J380)*(1+'5-Roberta'!$C$4))</f>
        <v>-116655.28759229231</v>
      </c>
      <c r="M380" s="18">
        <f>IF($A380&gt;'1-Input'!$B$26,K380,K380-'P-Parametri'!$B$8*(L380+K380)+MIN(MAX(L380,0),'P-Parametri'!$B$8*(L380+K380)))</f>
        <v>-1.8189894035458565E-12</v>
      </c>
      <c r="N380" s="18">
        <f>IF($A380&gt;'1-Input'!$B$26,L380,L380-MIN(MAX(L380,0),'P-Parametri'!$B$8*(L380+K380)))</f>
        <v>-116421.97701710773</v>
      </c>
      <c r="O380" s="18">
        <f>IF($A380&gt;'1-Input'!$B$26,O379,O379-J380*(1-I380))</f>
        <v>-98778.728745385393</v>
      </c>
      <c r="P380" s="11">
        <f>IF($A380&gt;'1-Input'!$B$26,0,IF(U379&lt;=0,0,MAX(0,(U379-V379)/U379)))</f>
        <v>0.70941115353120721</v>
      </c>
      <c r="Q380" s="18">
        <f>IF($A380&gt;'1-Input'!$B$26,0,(MAX(0,P341-IF($A380&gt;=('1-Input'!$C$12-1),'1-Input'!$B$12,0))-MIN(MAX(T379,0),MAX(0,P341-IF($A380&gt;=('1-Input'!$C$12-1),'1-Input'!$B$12,0))))*(1/(1-'P-Parametri'!$B$6*P380))+MIN(MAX(0,U379-(MAX(0,P341-IF($A380&gt;=('1-Input'!$C$12-1),'1-Input'!$B$12,0))-MIN(MAX(T379,0),MAX(0,P341-IF($A380&gt;=('1-Input'!$C$12-1),'1-Input'!$B$12,0))))*(1/(1-'P-Parametri'!$B$6*P380))),MAX(0,0*P341-(T379-MIN(MAX(T379,0),MAX(0,P341-IF($A380&gt;=('1-Input'!$C$12-1),'1-Input'!$B$12,0)))))*(1/(1-'P-Parametri'!$B$6*P380))))</f>
        <v>10109.715239431138</v>
      </c>
      <c r="R380" s="18">
        <f>IF($A380&gt;'1-Input'!$B$26,T379,(T379-MAX(0,P341-IF($A380&gt;=('1-Input'!$C$12-1),'1-Input'!$B$12,0))+Q380*(1-'P-Parametri'!$B$6*P380))*(1+'1-Input'!$B$27))</f>
        <v>0</v>
      </c>
      <c r="S380" s="18">
        <f>IF($A380&gt;'1-Input'!$B$26,U379,(U379-Q380)*(1+'5-Roberta'!$C$4))</f>
        <v>52851.491596908447</v>
      </c>
      <c r="T380" s="18">
        <f>IF($A380&gt;'1-Input'!$B$26,R380,R380-'P-Parametri'!$B$8*(S380+R380)+MIN(MAX(S380,0),'P-Parametri'!$B$8*(S380+R380)))</f>
        <v>0</v>
      </c>
      <c r="U380" s="18">
        <f>IF($A380&gt;'1-Input'!$B$26,S380,S380-MIN(MAX(S380,0),'P-Parametri'!$B$8*(S380+R380)))</f>
        <v>52745.788613714627</v>
      </c>
      <c r="V380" s="18">
        <f>IF($A380&gt;'1-Input'!$B$26,V379,V379-Q380*(1-P380))</f>
        <v>14910.732016796821</v>
      </c>
      <c r="W380" s="11">
        <f>IF($A380&gt;'1-Input'!$B$26,0,IF(AB379&lt;=0,0,MAX(0,(AB379-AC379)/AB379)))</f>
        <v>0.70941115353120721</v>
      </c>
      <c r="X380" s="18">
        <f>IF($A380&gt;'1-Input'!$B$26,0,(MAX(0,W341-IF($A380&gt;=('1-Input'!$C$12-1),'1-Input'!$B$12,0))-MIN(MAX(AA379,0),MAX(0,W341-IF($A380&gt;=('1-Input'!$C$12-1),'1-Input'!$B$12,0))))*(1/(1-'P-Parametri'!$B$6*W380))+MIN(MAX(0,AB379-(MAX(0,W341-IF($A380&gt;=('1-Input'!$C$12-1),'1-Input'!$B$12,0))-MIN(MAX(AA379,0),MAX(0,W341-IF($A380&gt;=('1-Input'!$C$12-1),'1-Input'!$B$12,0))))*(1/(1-'P-Parametri'!$B$6*W380))),MAX(0,0*W341-(AA379-MIN(MAX(AA379,0),MAX(0,W341-IF($A380&gt;=('1-Input'!$C$12-1),'1-Input'!$B$12,0)))))*(1/(1-'P-Parametri'!$B$6*W380))))</f>
        <v>9782.09300821531</v>
      </c>
      <c r="Y380" s="18">
        <f>IF($A380&gt;'1-Input'!$B$26,AA379,(AA379-MAX(0,W341-IF($A380&gt;=('1-Input'!$C$12-1),'1-Input'!$B$12,0))+X380*(1-'P-Parametri'!$B$6*W380))*(1+'1-Input'!$B$27))</f>
        <v>-9.0622052084654565E-13</v>
      </c>
      <c r="Z380" s="18">
        <f>IF($A380&gt;'1-Input'!$B$26,AB379,(AB379-X380)*(1+'5-Roberta'!$C$4))</f>
        <v>72712.054849760883</v>
      </c>
      <c r="AA380" s="18">
        <f>IF($A380&gt;'1-Input'!$B$26,Y380,Y380-'P-Parametri'!$B$8*(Z380+Y380)+MIN(MAX(Z380,0),'P-Parametri'!$B$8*(Z380+Y380)))</f>
        <v>-9.0949470177292824E-13</v>
      </c>
      <c r="AB380" s="18">
        <f>IF($A380&gt;'1-Input'!$B$26,Z380,Z380-MIN(MAX(Z380,0),'P-Parametri'!$B$8*(Z380+Y380)))</f>
        <v>72566.630740061359</v>
      </c>
      <c r="AC380" s="18">
        <f>IF($A380&gt;'1-Input'!$B$26,AC379,AC379-X380*(1-W380))</f>
        <v>20513.895284628739</v>
      </c>
      <c r="AD380" s="11">
        <f>IF($A380&gt;'1-Input'!$B$26,0,IF(AI379&lt;=0,0,MAX(0,(AI379-AJ379)/AI379)))</f>
        <v>0.70941115353120687</v>
      </c>
      <c r="AE380" s="18">
        <f>IF($A380&gt;'1-Input'!$B$26,0,(MAX(0,AD341-IF($A380&gt;=('1-Input'!$C$12-1),'1-Input'!$B$12,0))-MIN(MAX(AH379,0),MAX(0,AD341-IF($A380&gt;=('1-Input'!$C$12-1),'1-Input'!$B$12,0))))*(1/(1-'P-Parametri'!$B$6*AD380))+MIN(MAX(0,AI379-(MAX(0,AD341-IF($A380&gt;=('1-Input'!$C$12-1),'1-Input'!$B$12,0))-MIN(MAX(AH379,0),MAX(0,AD341-IF($A380&gt;=('1-Input'!$C$12-1),'1-Input'!$B$12,0))))*(1/(1-'P-Parametri'!$B$6*AD380))),MAX(0,0*AD341-(AH379-MIN(MAX(AH379,0),MAX(0,AD341-IF($A380&gt;=('1-Input'!$C$12-1),'1-Input'!$B$12,0)))))*(1/(1-'P-Parametri'!$B$6*AD380))))</f>
        <v>9792.8770483851222</v>
      </c>
      <c r="AF380" s="18">
        <f>IF($A380&gt;'1-Input'!$B$26,AH379,(AH379-MAX(0,AD341-IF($A380&gt;=('1-Input'!$C$12-1),'1-Input'!$B$12,0))+AE380*(1-'P-Parametri'!$B$6*AD380))*(1+'1-Input'!$B$27))</f>
        <v>-9.0622052084654565E-13</v>
      </c>
      <c r="AG380" s="18">
        <f>IF($A380&gt;'1-Input'!$B$26,AI379,(AI379-AE380)*(1+'5-Roberta'!$C$4))</f>
        <v>72058.322924673921</v>
      </c>
      <c r="AH380" s="18">
        <f>IF($A380&gt;'1-Input'!$B$26,AF380,AF380-'P-Parametri'!$B$8*(AG380+AF380)+MIN(MAX(AG380,0),'P-Parametri'!$B$8*(AG380+AF380)))</f>
        <v>-9.0949470177292824E-13</v>
      </c>
      <c r="AI380" s="18">
        <f>IF($A380&gt;'1-Input'!$B$26,AG380,AG380-MIN(MAX(AG380,0),'P-Parametri'!$B$8*(AG380+AF380)))</f>
        <v>71914.206278824568</v>
      </c>
      <c r="AJ380" s="18">
        <f>IF($A380&gt;'1-Input'!$B$26,AJ379,AJ379-AE380*(1-AD380))</f>
        <v>20329.461104035712</v>
      </c>
      <c r="AK380" s="11">
        <f>IF($A380&gt;'1-Input'!$B$26,0,IF(AP379&lt;=0,0,MAX(0,(AP379-AQ379)/AP379)))</f>
        <v>0.70941115353120687</v>
      </c>
      <c r="AL380" s="18">
        <f>IF($A380&gt;'1-Input'!$B$26,0,(MAX(0,AK341-IF($A380&gt;=('1-Input'!$C$12-1),'1-Input'!$B$12,0))-MIN(MAX(AO379,0),MAX(0,AK341-IF($A380&gt;=('1-Input'!$C$12-1),'1-Input'!$B$12,0))))*(1/(1-'P-Parametri'!$B$6*AK380))+MIN(MAX(0,AP379-(MAX(0,AK341-IF($A380&gt;=('1-Input'!$C$12-1),'1-Input'!$B$12,0))-MIN(MAX(AO379,0),MAX(0,AK341-IF($A380&gt;=('1-Input'!$C$12-1),'1-Input'!$B$12,0))))*(1/(1-'P-Parametri'!$B$6*AK380))),MAX(0,0*AK341-(AO379-MIN(MAX(AO379,0),MAX(0,AK341-IF($A380&gt;=('1-Input'!$C$12-1),'1-Input'!$B$12,0)))))*(1/(1-'P-Parametri'!$B$6*AK380))))</f>
        <v>9791.2202754689133</v>
      </c>
      <c r="AM380" s="18">
        <f>IF($A380&gt;'1-Input'!$B$26,AO379,(AO379-MAX(0,AK341-IF($A380&gt;=('1-Input'!$C$12-1),'1-Input'!$B$12,0))+AL380*(1-'P-Parametri'!$B$6*AK380))*(1+'1-Input'!$B$27))</f>
        <v>-9.0622052084654565E-13</v>
      </c>
      <c r="AN380" s="18">
        <f>IF($A380&gt;'1-Input'!$B$26,AP379,(AP379-AL380)*(1+'5-Roberta'!$C$4))</f>
        <v>72158.757022738253</v>
      </c>
      <c r="AO380" s="18">
        <f>IF($A380&gt;'1-Input'!$B$26,AM380,AM380-'P-Parametri'!$B$8*(AN380+AM380)+MIN(MAX(AN380,0),'P-Parametri'!$B$8*(AN380+AM380)))</f>
        <v>-9.0949470177292824E-13</v>
      </c>
      <c r="AP380" s="18">
        <f>IF($A380&gt;'1-Input'!$B$26,AN380,AN380-MIN(MAX(AN380,0),'P-Parametri'!$B$8*(AN380+AM380)))</f>
        <v>72014.439508692783</v>
      </c>
      <c r="AQ380" s="18">
        <f>IF($A380&gt;'1-Input'!$B$26,AQ379,AQ379-AL380*(1-AK380))</f>
        <v>20357.796083358666</v>
      </c>
    </row>
    <row r="381" spans="1:43">
      <c r="A381" s="10">
        <f>38</f>
        <v>38</v>
      </c>
      <c r="B381" s="11">
        <f>IF($A381&gt;'1-Input'!$B$26,0,IF(G380&lt;=0,0,MAX(0,(G380-H380)/G380)))</f>
        <v>0.71730952539176085</v>
      </c>
      <c r="C381" s="18">
        <f>IF($A381&gt;'1-Input'!$B$26,0,(MAX(0,B341-IF($A381&gt;=('1-Input'!$C$12-1),'1-Input'!$B$12,0))-MIN(MAX(F380,0),MAX(0,B341-IF($A381&gt;=('1-Input'!$C$12-1),'1-Input'!$B$12,0))))*(1/(1-'P-Parametri'!$B$6*B381))+MIN(MAX(0,G380-(MAX(0,B341-IF($A381&gt;=('1-Input'!$C$12-1),'1-Input'!$B$12,0))-MIN(MAX(F380,0),MAX(0,B341-IF($A381&gt;=('1-Input'!$C$12-1),'1-Input'!$B$12,0))))*(1/(1-'P-Parametri'!$B$6*B381))),MAX(0,0*B341-(F380-MIN(MAX(F380,0),MAX(0,B341-IF($A381&gt;=('1-Input'!$C$12-1),'1-Input'!$B$12,0)))))*(1/(1-'P-Parametri'!$B$6*B381))))</f>
        <v>6858.0929111316846</v>
      </c>
      <c r="D381" s="18">
        <f>IF($A381&gt;'1-Input'!$B$26,F380,(F380-MAX(0,B341-IF($A381&gt;=('1-Input'!$C$12-1),'1-Input'!$B$12,0))+C381*(1-'P-Parametri'!$B$6*B381))*(1+'1-Input'!$B$27))</f>
        <v>0</v>
      </c>
      <c r="E381" s="18">
        <f>IF($A381&gt;'1-Input'!$B$26,G380,(G380-C381)*(1+'5-Roberta'!$C$4))</f>
        <v>250962.16445232832</v>
      </c>
      <c r="F381" s="18">
        <f>IF($A381&gt;'1-Input'!$B$26,D381,D381-'P-Parametri'!$B$8*(E381+D381)+MIN(MAX(E381,0),'P-Parametri'!$B$8*(E381+D381)))</f>
        <v>0</v>
      </c>
      <c r="G381" s="18">
        <f>IF($A381&gt;'1-Input'!$B$26,E381,E381-MIN(MAX(E381,0),'P-Parametri'!$B$8*(E381+D381)))</f>
        <v>250460.24012342366</v>
      </c>
      <c r="H381" s="18">
        <f>IF($A381&gt;'1-Input'!$B$26,H380,H380-C381*(1-B381))</f>
        <v>68878.265415281188</v>
      </c>
      <c r="I381" s="11">
        <f>IF($A381&gt;'1-Input'!$B$26,0,IF(N380&lt;=0,0,MAX(0,(N380-O380)/N380)))</f>
        <v>0</v>
      </c>
      <c r="J381" s="18">
        <f>IF($A381&gt;'1-Input'!$B$26,0,(MAX(0,I341-IF($A381&gt;=('1-Input'!$C$12-1),'1-Input'!$B$12,0))-MIN(MAX(M380,0),MAX(0,I341-IF($A381&gt;=('1-Input'!$C$12-1),'1-Input'!$B$12,0))))*(1/(1-'P-Parametri'!$B$6*I381))+MIN(MAX(0,N380-(MAX(0,I341-IF($A381&gt;=('1-Input'!$C$12-1),'1-Input'!$B$12,0))-MIN(MAX(M380,0),MAX(0,I341-IF($A381&gt;=('1-Input'!$C$12-1),'1-Input'!$B$12,0))))*(1/(1-'P-Parametri'!$B$6*I381))),MAX(0,0*I341-(M380-MIN(MAX(M380,0),MAX(0,I341-IF($A381&gt;=('1-Input'!$C$12-1),'1-Input'!$B$12,0)))))*(1/(1-'P-Parametri'!$B$6*I381))))</f>
        <v>10846.756992928691</v>
      </c>
      <c r="K381" s="18">
        <f>IF($A381&gt;'1-Input'!$B$26,M380,(M380-MAX(0,I341-IF($A381&gt;=('1-Input'!$C$12-1),'1-Input'!$B$12,0))+J381*(1-'P-Parametri'!$B$6*I381))*(1+'1-Input'!$B$27))</f>
        <v>-1.8124410416930913E-12</v>
      </c>
      <c r="L381" s="18">
        <f>IF($A381&gt;'1-Input'!$B$26,N380,(N380-J381)*(1+'5-Roberta'!$C$4))</f>
        <v>-131086.79603033751</v>
      </c>
      <c r="M381" s="18">
        <f>IF($A381&gt;'1-Input'!$B$26,K381,K381-'P-Parametri'!$B$8*(L381+K381)+MIN(MAX(L381,0),'P-Parametri'!$B$8*(L381+K381)))</f>
        <v>-1.8189894035458565E-12</v>
      </c>
      <c r="N381" s="18">
        <f>IF($A381&gt;'1-Input'!$B$26,L381,L381-MIN(MAX(L381,0),'P-Parametri'!$B$8*(L381+K381)))</f>
        <v>-130824.62243827684</v>
      </c>
      <c r="O381" s="18">
        <f>IF($A381&gt;'1-Input'!$B$26,O380,O380-J381*(1-I381))</f>
        <v>-109625.48573831408</v>
      </c>
      <c r="P381" s="11">
        <f>IF($A381&gt;'1-Input'!$B$26,0,IF(U380&lt;=0,0,MAX(0,(U380-V380)/U380)))</f>
        <v>0.71730952539176129</v>
      </c>
      <c r="Q381" s="18">
        <f>IF($A381&gt;'1-Input'!$B$26,0,(MAX(0,P341-IF($A381&gt;=('1-Input'!$C$12-1),'1-Input'!$B$12,0))-MIN(MAX(T380,0),MAX(0,P341-IF($A381&gt;=('1-Input'!$C$12-1),'1-Input'!$B$12,0))))*(1/(1-'P-Parametri'!$B$6*P381))+MIN(MAX(0,U380-(MAX(0,P341-IF($A381&gt;=('1-Input'!$C$12-1),'1-Input'!$B$12,0))-MIN(MAX(T380,0),MAX(0,P341-IF($A381&gt;=('1-Input'!$C$12-1),'1-Input'!$B$12,0))))*(1/(1-'P-Parametri'!$B$6*P381))),MAX(0,0*P341-(T380-MIN(MAX(T380,0),MAX(0,P341-IF($A381&gt;=('1-Input'!$C$12-1),'1-Input'!$B$12,0)))))*(1/(1-'P-Parametri'!$B$6*P381))))</f>
        <v>10135.235937228559</v>
      </c>
      <c r="R381" s="18">
        <f>IF($A381&gt;'1-Input'!$B$26,T380,(T380-MAX(0,P341-IF($A381&gt;=('1-Input'!$C$12-1),'1-Input'!$B$12,0))+Q381*(1-'P-Parametri'!$B$6*P381))*(1+'1-Input'!$B$27))</f>
        <v>0</v>
      </c>
      <c r="S381" s="18">
        <f>IF($A381&gt;'1-Input'!$B$26,U380,(U380-Q381)*(1+'5-Roberta'!$C$4))</f>
        <v>43888.86925678065</v>
      </c>
      <c r="T381" s="18">
        <f>IF($A381&gt;'1-Input'!$B$26,R381,R381-'P-Parametri'!$B$8*(S381+R381)+MIN(MAX(S381,0),'P-Parametri'!$B$8*(S381+R381)))</f>
        <v>0</v>
      </c>
      <c r="U381" s="18">
        <f>IF($A381&gt;'1-Input'!$B$26,S381,S381-MIN(MAX(S381,0),'P-Parametri'!$B$8*(S381+R381)))</f>
        <v>43801.091518267087</v>
      </c>
      <c r="V381" s="18">
        <f>IF($A381&gt;'1-Input'!$B$26,V380,V380-Q381*(1-P381))</f>
        <v>12045.597359435204</v>
      </c>
      <c r="W381" s="11">
        <f>IF($A381&gt;'1-Input'!$B$26,0,IF(AB380&lt;=0,0,MAX(0,(AB380-AC380)/AB380)))</f>
        <v>0.7173095253917614</v>
      </c>
      <c r="X381" s="18">
        <f>IF($A381&gt;'1-Input'!$B$26,0,(MAX(0,W341-IF($A381&gt;=('1-Input'!$C$12-1),'1-Input'!$B$12,0))-MIN(MAX(AA380,0),MAX(0,W341-IF($A381&gt;=('1-Input'!$C$12-1),'1-Input'!$B$12,0))))*(1/(1-'P-Parametri'!$B$6*W381))+MIN(MAX(0,AB380-(MAX(0,W341-IF($A381&gt;=('1-Input'!$C$12-1),'1-Input'!$B$12,0))-MIN(MAX(AA380,0),MAX(0,W341-IF($A381&gt;=('1-Input'!$C$12-1),'1-Input'!$B$12,0))))*(1/(1-'P-Parametri'!$B$6*W381))),MAX(0,0*W341-(AA380-MIN(MAX(AA380,0),MAX(0,W341-IF($A381&gt;=('1-Input'!$C$12-1),'1-Input'!$B$12,0)))))*(1/(1-'P-Parametri'!$B$6*W381))))</f>
        <v>9806.7866651162731</v>
      </c>
      <c r="Y381" s="18">
        <f>IF($A381&gt;'1-Input'!$B$26,AA380,(AA380-MAX(0,W341-IF($A381&gt;=('1-Input'!$C$12-1),'1-Input'!$B$12,0))+X381*(1-'P-Parametri'!$B$6*W381))*(1+'1-Input'!$B$27))</f>
        <v>1.8124410416930913E-12</v>
      </c>
      <c r="Z381" s="18">
        <f>IF($A381&gt;'1-Input'!$B$26,AB380,(AB380-X381)*(1+'5-Roberta'!$C$4))</f>
        <v>64642.639397193438</v>
      </c>
      <c r="AA381" s="18">
        <f>IF($A381&gt;'1-Input'!$B$26,Y381,Y381-'P-Parametri'!$B$8*(Z381+Y381)+MIN(MAX(Z381,0),'P-Parametri'!$B$8*(Z381+Y381)))</f>
        <v>1.8189894035458565E-12</v>
      </c>
      <c r="AB381" s="18">
        <f>IF($A381&gt;'1-Input'!$B$26,Z381,Z381-MIN(MAX(Z381,0),'P-Parametri'!$B$8*(Z381+Y381)))</f>
        <v>64513.354118399053</v>
      </c>
      <c r="AC381" s="18">
        <f>IF($A381&gt;'1-Input'!$B$26,AC380,AC380-X381*(1-W381))</f>
        <v>17741.610107885273</v>
      </c>
      <c r="AD381" s="11">
        <f>IF($A381&gt;'1-Input'!$B$26,0,IF(AI380&lt;=0,0,MAX(0,(AI380-AJ380)/AI380)))</f>
        <v>0.71730952539176107</v>
      </c>
      <c r="AE381" s="18">
        <f>IF($A381&gt;'1-Input'!$B$26,0,(MAX(0,AD341-IF($A381&gt;=('1-Input'!$C$12-1),'1-Input'!$B$12,0))-MIN(MAX(AH380,0),MAX(0,AD341-IF($A381&gt;=('1-Input'!$C$12-1),'1-Input'!$B$12,0))))*(1/(1-'P-Parametri'!$B$6*AD381))+MIN(MAX(0,AI380-(MAX(0,AD341-IF($A381&gt;=('1-Input'!$C$12-1),'1-Input'!$B$12,0))-MIN(MAX(AH380,0),MAX(0,AD341-IF($A381&gt;=('1-Input'!$C$12-1),'1-Input'!$B$12,0))))*(1/(1-'P-Parametri'!$B$6*AD381))),MAX(0,0*AD341-(AH380-MIN(MAX(AH380,0),MAX(0,AD341-IF($A381&gt;=('1-Input'!$C$12-1),'1-Input'!$B$12,0)))))*(1/(1-'P-Parametri'!$B$6*AD381))))</f>
        <v>9817.597928231904</v>
      </c>
      <c r="AF381" s="18">
        <f>IF($A381&gt;'1-Input'!$B$26,AH380,(AH380-MAX(0,AD341-IF($A381&gt;=('1-Input'!$C$12-1),'1-Input'!$B$12,0))+AE381*(1-'P-Parametri'!$B$6*AD381))*(1+'1-Input'!$B$27))</f>
        <v>9.0622052084654565E-13</v>
      </c>
      <c r="AG381" s="18">
        <f>IF($A381&gt;'1-Input'!$B$26,AI380,(AI380-AE381)*(1+'5-Roberta'!$C$4))</f>
        <v>63959.50660111045</v>
      </c>
      <c r="AH381" s="18">
        <f>IF($A381&gt;'1-Input'!$B$26,AF381,AF381-'P-Parametri'!$B$8*(AG381+AF381)+MIN(MAX(AG381,0),'P-Parametri'!$B$8*(AG381+AF381)))</f>
        <v>9.0949470177292824E-13</v>
      </c>
      <c r="AI381" s="18">
        <f>IF($A381&gt;'1-Input'!$B$26,AG381,AG381-MIN(MAX(AG381,0),'P-Parametri'!$B$8*(AG381+AF381)))</f>
        <v>63831.58758790823</v>
      </c>
      <c r="AJ381" s="18">
        <f>IF($A381&gt;'1-Input'!$B$26,AJ380,AJ380-AE381*(1-AD381))</f>
        <v>17554.11968619097</v>
      </c>
      <c r="AK381" s="11">
        <f>IF($A381&gt;'1-Input'!$B$26,0,IF(AP380&lt;=0,0,MAX(0,(AP380-AQ380)/AP380)))</f>
        <v>0.71730952539176118</v>
      </c>
      <c r="AL381" s="18">
        <f>IF($A381&gt;'1-Input'!$B$26,0,(MAX(0,AK341-IF($A381&gt;=('1-Input'!$C$12-1),'1-Input'!$B$12,0))-MIN(MAX(AO380,0),MAX(0,AK341-IF($A381&gt;=('1-Input'!$C$12-1),'1-Input'!$B$12,0))))*(1/(1-'P-Parametri'!$B$6*AK381))+MIN(MAX(0,AP380-(MAX(0,AK341-IF($A381&gt;=('1-Input'!$C$12-1),'1-Input'!$B$12,0))-MIN(MAX(AO380,0),MAX(0,AK341-IF($A381&gt;=('1-Input'!$C$12-1),'1-Input'!$B$12,0))))*(1/(1-'P-Parametri'!$B$6*AK381))),MAX(0,0*AK341-(AO380-MIN(MAX(AO380,0),MAX(0,AK341-IF($A381&gt;=('1-Input'!$C$12-1),'1-Input'!$B$12,0)))))*(1/(1-'P-Parametri'!$B$6*AK381))))</f>
        <v>9815.9369730019589</v>
      </c>
      <c r="AM381" s="18">
        <f>IF($A381&gt;'1-Input'!$B$26,AO380,(AO380-MAX(0,AK341-IF($A381&gt;=('1-Input'!$C$12-1),'1-Input'!$B$12,0))+AL381*(1-'P-Parametri'!$B$6*AK381))*(1+'1-Input'!$B$27))</f>
        <v>9.0622052084654565E-13</v>
      </c>
      <c r="AN381" s="18">
        <f>IF($A381&gt;'1-Input'!$B$26,AP380,(AP380-AL381)*(1+'5-Roberta'!$C$4))</f>
        <v>64064.457611761551</v>
      </c>
      <c r="AO381" s="18">
        <f>IF($A381&gt;'1-Input'!$B$26,AM381,AM381-'P-Parametri'!$B$8*(AN381+AM381)+MIN(MAX(AN381,0),'P-Parametri'!$B$8*(AN381+AM381)))</f>
        <v>9.0949470177292824E-13</v>
      </c>
      <c r="AP381" s="18">
        <f>IF($A381&gt;'1-Input'!$B$26,AN381,AN381-MIN(MAX(AN381,0),'P-Parametri'!$B$8*(AN381+AM381)))</f>
        <v>63936.328696538025</v>
      </c>
      <c r="AQ381" s="18">
        <f>IF($A381&gt;'1-Input'!$B$26,AQ380,AQ380-AL381*(1-AK381))</f>
        <v>17582.924201736183</v>
      </c>
    </row>
    <row r="382" spans="1:43">
      <c r="A382" s="10">
        <f>39</f>
        <v>39</v>
      </c>
      <c r="B382" s="11">
        <f>IF($A382&gt;'1-Input'!$B$26,0,IF(G381&lt;=0,0,MAX(0,(G381-H381)/G381)))</f>
        <v>0.72499321496562141</v>
      </c>
      <c r="C382" s="18">
        <f>IF($A382&gt;'1-Input'!$B$26,0,(MAX(0,B341-IF($A382&gt;=('1-Input'!$C$12-1),'1-Input'!$B$12,0))-MIN(MAX(F381,0),MAX(0,B341-IF($A382&gt;=('1-Input'!$C$12-1),'1-Input'!$B$12,0))))*(1/(1-'P-Parametri'!$B$6*B382))+MIN(MAX(0,G381-(MAX(0,B341-IF($A382&gt;=('1-Input'!$C$12-1),'1-Input'!$B$12,0))-MIN(MAX(F381,0),MAX(0,B341-IF($A382&gt;=('1-Input'!$C$12-1),'1-Input'!$B$12,0))))*(1/(1-'P-Parametri'!$B$6*B382))),MAX(0,0*B341-(F381-MIN(MAX(F381,0),MAX(0,B341-IF($A382&gt;=('1-Input'!$C$12-1),'1-Input'!$B$12,0)))))*(1/(1-'P-Parametri'!$B$6*B382))))</f>
        <v>6874.9762001464405</v>
      </c>
      <c r="D382" s="18">
        <f>IF($A382&gt;'1-Input'!$B$26,F381,(F381-MAX(0,B341-IF($A382&gt;=('1-Input'!$C$12-1),'1-Input'!$B$12,0))+C382*(1-'P-Parametri'!$B$6*B382))*(1+'1-Input'!$B$27))</f>
        <v>0</v>
      </c>
      <c r="E382" s="18">
        <f>IF($A382&gt;'1-Input'!$B$26,G381,(G381-C382)*(1+'5-Roberta'!$C$4))</f>
        <v>250892.82184097552</v>
      </c>
      <c r="F382" s="18">
        <f>IF($A382&gt;'1-Input'!$B$26,D382,D382-'P-Parametri'!$B$8*(E382+D382)+MIN(MAX(E382,0),'P-Parametri'!$B$8*(E382+D382)))</f>
        <v>0</v>
      </c>
      <c r="G382" s="18">
        <f>IF($A382&gt;'1-Input'!$B$26,E382,E382-MIN(MAX(E382,0),'P-Parametri'!$B$8*(E382+D382)))</f>
        <v>250391.03619729358</v>
      </c>
      <c r="H382" s="18">
        <f>IF($A382&gt;'1-Input'!$B$26,H381,H381-C382*(1-B382))</f>
        <v>66987.600313291041</v>
      </c>
      <c r="I382" s="11">
        <f>IF($A382&gt;'1-Input'!$B$26,0,IF(N381&lt;=0,0,MAX(0,(N381-O381)/N381)))</f>
        <v>0</v>
      </c>
      <c r="J382" s="18">
        <f>IF($A382&gt;'1-Input'!$B$26,0,(MAX(0,I341-IF($A382&gt;=('1-Input'!$C$12-1),'1-Input'!$B$12,0))-MIN(MAX(M381,0),MAX(0,I341-IF($A382&gt;=('1-Input'!$C$12-1),'1-Input'!$B$12,0))))*(1/(1-'P-Parametri'!$B$6*I382))+MIN(MAX(0,N381-(MAX(0,I341-IF($A382&gt;=('1-Input'!$C$12-1),'1-Input'!$B$12,0))-MIN(MAX(M381,0),MAX(0,I341-IF($A382&gt;=('1-Input'!$C$12-1),'1-Input'!$B$12,0))))*(1/(1-'P-Parametri'!$B$6*I382))),MAX(0,0*I341-(M381-MIN(MAX(M381,0),MAX(0,I341-IF($A382&gt;=('1-Input'!$C$12-1),'1-Input'!$B$12,0)))))*(1/(1-'P-Parametri'!$B$6*I382))))</f>
        <v>10846.756992928691</v>
      </c>
      <c r="K382" s="18">
        <f>IF($A382&gt;'1-Input'!$B$26,M381,(M381-MAX(0,I341-IF($A382&gt;=('1-Input'!$C$12-1),'1-Input'!$B$12,0))+J382*(1-'P-Parametri'!$B$6*I382))*(1+'1-Input'!$B$27))</f>
        <v>-1.8124410416930913E-12</v>
      </c>
      <c r="L382" s="18">
        <f>IF($A382&gt;'1-Input'!$B$26,N381,(N381-J382)*(1+'5-Roberta'!$C$4))</f>
        <v>-145921.5208141417</v>
      </c>
      <c r="M382" s="18">
        <f>IF($A382&gt;'1-Input'!$B$26,K382,K382-'P-Parametri'!$B$8*(L382+K382)+MIN(MAX(L382,0),'P-Parametri'!$B$8*(L382+K382)))</f>
        <v>-1.8189894035458565E-12</v>
      </c>
      <c r="N382" s="18">
        <f>IF($A382&gt;'1-Input'!$B$26,L382,L382-MIN(MAX(L382,0),'P-Parametri'!$B$8*(L382+K382)))</f>
        <v>-145629.67777251342</v>
      </c>
      <c r="O382" s="18">
        <f>IF($A382&gt;'1-Input'!$B$26,O381,O381-J382*(1-I382))</f>
        <v>-120472.24273124276</v>
      </c>
      <c r="P382" s="11">
        <f>IF($A382&gt;'1-Input'!$B$26,0,IF(U381&lt;=0,0,MAX(0,(U381-V381)/U381)))</f>
        <v>0.72499321496562175</v>
      </c>
      <c r="Q382" s="18">
        <f>IF($A382&gt;'1-Input'!$B$26,0,(MAX(0,P341-IF($A382&gt;=('1-Input'!$C$12-1),'1-Input'!$B$12,0))-MIN(MAX(T381,0),MAX(0,P341-IF($A382&gt;=('1-Input'!$C$12-1),'1-Input'!$B$12,0))))*(1/(1-'P-Parametri'!$B$6*P382))+MIN(MAX(0,U381-(MAX(0,P341-IF($A382&gt;=('1-Input'!$C$12-1),'1-Input'!$B$12,0))-MIN(MAX(T381,0),MAX(0,P341-IF($A382&gt;=('1-Input'!$C$12-1),'1-Input'!$B$12,0))))*(1/(1-'P-Parametri'!$B$6*P382))),MAX(0,0*P341-(T381-MIN(MAX(T381,0),MAX(0,P341-IF($A382&gt;=('1-Input'!$C$12-1),'1-Input'!$B$12,0)))))*(1/(1-'P-Parametri'!$B$6*P382))))</f>
        <v>10160.186914093165</v>
      </c>
      <c r="R382" s="18">
        <f>IF($A382&gt;'1-Input'!$B$26,T381,(T381-MAX(0,P341-IF($A382&gt;=('1-Input'!$C$12-1),'1-Input'!$B$12,0))+Q382*(1-'P-Parametri'!$B$6*P382))*(1+'1-Input'!$B$27))</f>
        <v>0</v>
      </c>
      <c r="S382" s="18">
        <f>IF($A382&gt;'1-Input'!$B$26,U381,(U381-Q382)*(1+'5-Roberta'!$C$4))</f>
        <v>34650.131742299141</v>
      </c>
      <c r="T382" s="18">
        <f>IF($A382&gt;'1-Input'!$B$26,R382,R382-'P-Parametri'!$B$8*(S382+R382)+MIN(MAX(S382,0),'P-Parametri'!$B$8*(S382+R382)))</f>
        <v>0</v>
      </c>
      <c r="U382" s="18">
        <f>IF($A382&gt;'1-Input'!$B$26,S382,S382-MIN(MAX(S382,0),'P-Parametri'!$B$8*(S382+R382)))</f>
        <v>34580.831478814544</v>
      </c>
      <c r="V382" s="18">
        <f>IF($A382&gt;'1-Input'!$B$26,V381,V381-Q382*(1-P382))</f>
        <v>9251.4770208420814</v>
      </c>
      <c r="W382" s="11">
        <f>IF($A382&gt;'1-Input'!$B$26,0,IF(AB381&lt;=0,0,MAX(0,(AB381-AC381)/AB381)))</f>
        <v>0.72499321496562197</v>
      </c>
      <c r="X382" s="18">
        <f>IF($A382&gt;'1-Input'!$B$26,0,(MAX(0,W341-IF($A382&gt;=('1-Input'!$C$12-1),'1-Input'!$B$12,0))-MIN(MAX(AA381,0),MAX(0,W341-IF($A382&gt;=('1-Input'!$C$12-1),'1-Input'!$B$12,0))))*(1/(1-'P-Parametri'!$B$6*W382))+MIN(MAX(0,AB381-(MAX(0,W341-IF($A382&gt;=('1-Input'!$C$12-1),'1-Input'!$B$12,0))-MIN(MAX(AA381,0),MAX(0,W341-IF($A382&gt;=('1-Input'!$C$12-1),'1-Input'!$B$12,0))))*(1/(1-'P-Parametri'!$B$6*W382))),MAX(0,0*W341-(AA381-MIN(MAX(AA381,0),MAX(0,W341-IF($A382&gt;=('1-Input'!$C$12-1),'1-Input'!$B$12,0)))))*(1/(1-'P-Parametri'!$B$6*W382))))</f>
        <v>9830.9290638441234</v>
      </c>
      <c r="Y382" s="18">
        <f>IF($A382&gt;'1-Input'!$B$26,AA381,(AA381-MAX(0,W341-IF($A382&gt;=('1-Input'!$C$12-1),'1-Input'!$B$12,0))+X382*(1-'P-Parametri'!$B$6*W382))*(1+'1-Input'!$B$27))</f>
        <v>9.0622052084654565E-13</v>
      </c>
      <c r="Z382" s="18">
        <f>IF($A382&gt;'1-Input'!$B$26,AB381,(AB381-X382)*(1+'5-Roberta'!$C$4))</f>
        <v>56322.897806191577</v>
      </c>
      <c r="AA382" s="18">
        <f>IF($A382&gt;'1-Input'!$B$26,Y382,Y382-'P-Parametri'!$B$8*(Z382+Y382)+MIN(MAX(Z382,0),'P-Parametri'!$B$8*(Z382+Y382)))</f>
        <v>9.0949470177292824E-13</v>
      </c>
      <c r="AB382" s="18">
        <f>IF($A382&gt;'1-Input'!$B$26,Z382,Z382-MIN(MAX(Z382,0),'P-Parametri'!$B$8*(Z382+Y382)))</f>
        <v>56210.252010579192</v>
      </c>
      <c r="AC382" s="18">
        <f>IF($A382&gt;'1-Input'!$B$26,AC381,AC381-X382*(1-W382))</f>
        <v>15038.037912136473</v>
      </c>
      <c r="AD382" s="11">
        <f>IF($A382&gt;'1-Input'!$B$26,0,IF(AI381&lt;=0,0,MAX(0,(AI381-AJ381)/AI381)))</f>
        <v>0.72499321496562164</v>
      </c>
      <c r="AE382" s="18">
        <f>IF($A382&gt;'1-Input'!$B$26,0,(MAX(0,AD341-IF($A382&gt;=('1-Input'!$C$12-1),'1-Input'!$B$12,0))-MIN(MAX(AH381,0),MAX(0,AD341-IF($A382&gt;=('1-Input'!$C$12-1),'1-Input'!$B$12,0))))*(1/(1-'P-Parametri'!$B$6*AD382))+MIN(MAX(0,AI381-(MAX(0,AD341-IF($A382&gt;=('1-Input'!$C$12-1),'1-Input'!$B$12,0))-MIN(MAX(AH381,0),MAX(0,AD341-IF($A382&gt;=('1-Input'!$C$12-1),'1-Input'!$B$12,0))))*(1/(1-'P-Parametri'!$B$6*AD382))),MAX(0,0*AD341-(AH381-MIN(MAX(AH381,0),MAX(0,AD341-IF($A382&gt;=('1-Input'!$C$12-1),'1-Input'!$B$12,0)))))*(1/(1-'P-Parametri'!$B$6*AD382))))</f>
        <v>9841.7669421838655</v>
      </c>
      <c r="AF382" s="18">
        <f>IF($A382&gt;'1-Input'!$B$26,AH381,(AH381-MAX(0,AD341-IF($A382&gt;=('1-Input'!$C$12-1),'1-Input'!$B$12,0))+AE382*(1-'P-Parametri'!$B$6*AD382))*(1+'1-Input'!$B$27))</f>
        <v>0</v>
      </c>
      <c r="AG382" s="18">
        <f>IF($A382&gt;'1-Input'!$B$26,AI381,(AI381-AE382)*(1+'5-Roberta'!$C$4))</f>
        <v>55609.515265096095</v>
      </c>
      <c r="AH382" s="18">
        <f>IF($A382&gt;'1-Input'!$B$26,AF382,AF382-'P-Parametri'!$B$8*(AG382+AF382)+MIN(MAX(AG382,0),'P-Parametri'!$B$8*(AG382+AF382)))</f>
        <v>0</v>
      </c>
      <c r="AI382" s="18">
        <f>IF($A382&gt;'1-Input'!$B$26,AG382,AG382-MIN(MAX(AG382,0),'P-Parametri'!$B$8*(AG382+AF382)))</f>
        <v>55498.296234565903</v>
      </c>
      <c r="AJ382" s="18">
        <f>IF($A382&gt;'1-Input'!$B$26,AJ381,AJ381-AE382*(1-AD382))</f>
        <v>14847.56700036336</v>
      </c>
      <c r="AK382" s="11">
        <f>IF($A382&gt;'1-Input'!$B$26,0,IF(AP381&lt;=0,0,MAX(0,(AP381-AQ381)/AP381)))</f>
        <v>0.72499321496562175</v>
      </c>
      <c r="AL382" s="18">
        <f>IF($A382&gt;'1-Input'!$B$26,0,(MAX(0,AK341-IF($A382&gt;=('1-Input'!$C$12-1),'1-Input'!$B$12,0))-MIN(MAX(AO381,0),MAX(0,AK341-IF($A382&gt;=('1-Input'!$C$12-1),'1-Input'!$B$12,0))))*(1/(1-'P-Parametri'!$B$6*AK382))+MIN(MAX(0,AP381-(MAX(0,AK341-IF($A382&gt;=('1-Input'!$C$12-1),'1-Input'!$B$12,0))-MIN(MAX(AO381,0),MAX(0,AK341-IF($A382&gt;=('1-Input'!$C$12-1),'1-Input'!$B$12,0))))*(1/(1-'P-Parametri'!$B$6*AK382))),MAX(0,0*AK341-(AO381-MIN(MAX(AO381,0),MAX(0,AK341-IF($A382&gt;=('1-Input'!$C$12-1),'1-Input'!$B$12,0)))))*(1/(1-'P-Parametri'!$B$6*AK382))))</f>
        <v>9840.1018980056433</v>
      </c>
      <c r="AM382" s="18">
        <f>IF($A382&gt;'1-Input'!$B$26,AO381,(AO381-MAX(0,AK341-IF($A382&gt;=('1-Input'!$C$12-1),'1-Input'!$B$12,0))+AL382*(1-'P-Parametri'!$B$6*AK382))*(1+'1-Input'!$B$27))</f>
        <v>-9.0622052084654565E-13</v>
      </c>
      <c r="AN382" s="18">
        <f>IF($A382&gt;'1-Input'!$B$26,AP381,(AP381-AL382)*(1+'5-Roberta'!$C$4))</f>
        <v>55719.11360248836</v>
      </c>
      <c r="AO382" s="18">
        <f>IF($A382&gt;'1-Input'!$B$26,AM382,AM382-'P-Parametri'!$B$8*(AN382+AM382)+MIN(MAX(AN382,0),'P-Parametri'!$B$8*(AN382+AM382)))</f>
        <v>-9.0949470177292824E-13</v>
      </c>
      <c r="AP382" s="18">
        <f>IF($A382&gt;'1-Input'!$B$26,AN382,AN382-MIN(MAX(AN382,0),'P-Parametri'!$B$8*(AN382+AM382)))</f>
        <v>55607.675375283383</v>
      </c>
      <c r="AQ382" s="18">
        <f>IF($A382&gt;'1-Input'!$B$26,AQ381,AQ381-AL382*(1-AK382))</f>
        <v>14876.829414354968</v>
      </c>
    </row>
    <row r="383" spans="1:43">
      <c r="A383" s="10">
        <f>40</f>
        <v>40</v>
      </c>
      <c r="B383" s="11">
        <f>IF($A383&gt;'1-Input'!$B$26,0,IF(G382&lt;=0,0,MAX(0,(G382-H382)/G382)))</f>
        <v>0.73246805744072763</v>
      </c>
      <c r="C383" s="18">
        <f>IF($A383&gt;'1-Input'!$B$26,0,(MAX(0,B341-IF($A383&gt;=('1-Input'!$C$12-1),'1-Input'!$B$12,0))-MIN(MAX(F382,0),MAX(0,B341-IF($A383&gt;=('1-Input'!$C$12-1),'1-Input'!$B$12,0))))*(1/(1-'P-Parametri'!$B$6*B383))+MIN(MAX(0,G382-(MAX(0,B341-IF($A383&gt;=('1-Input'!$C$12-1),'1-Input'!$B$12,0))-MIN(MAX(F382,0),MAX(0,B341-IF($A383&gt;=('1-Input'!$C$12-1),'1-Input'!$B$12,0))))*(1/(1-'P-Parametri'!$B$6*B383))),MAX(0,0*B341-(F382-MIN(MAX(F382,0),MAX(0,B341-IF($A383&gt;=('1-Input'!$C$12-1),'1-Input'!$B$12,0)))))*(1/(1-'P-Parametri'!$B$6*B383))))</f>
        <v>6891.4805514533327</v>
      </c>
      <c r="D383" s="18">
        <f>IF($A383&gt;'1-Input'!$B$26,F382,(F382-MAX(0,B341-IF($A383&gt;=('1-Input'!$C$12-1),'1-Input'!$B$12,0))+C383*(1-'P-Parametri'!$B$6*B383))*(1+'1-Input'!$B$27))</f>
        <v>0</v>
      </c>
      <c r="E383" s="18">
        <f>IF($A383&gt;'1-Input'!$B$26,G382,(G382-C383)*(1+'5-Roberta'!$C$4))</f>
        <v>250804.54231521545</v>
      </c>
      <c r="F383" s="18">
        <f>IF($A383&gt;'1-Input'!$B$26,D383,D383-'P-Parametri'!$B$8*(E383+D383)+MIN(MAX(E383,0),'P-Parametri'!$B$8*(E383+D383)))</f>
        <v>0</v>
      </c>
      <c r="G383" s="18">
        <f>IF($A383&gt;'1-Input'!$B$26,E383,E383-MIN(MAX(E383,0),'P-Parametri'!$B$8*(E383+D383)))</f>
        <v>250302.93323058501</v>
      </c>
      <c r="H383" s="18">
        <f>IF($A383&gt;'1-Input'!$B$26,H382,H382-C383*(1-B383))</f>
        <v>65143.909134251284</v>
      </c>
      <c r="I383" s="11">
        <f>IF($A383&gt;'1-Input'!$B$26,0,IF(N382&lt;=0,0,MAX(0,(N382-O382)/N382)))</f>
        <v>0</v>
      </c>
      <c r="J383" s="18">
        <f>IF($A383&gt;'1-Input'!$B$26,0,(MAX(0,I341-IF($A383&gt;=('1-Input'!$C$12-1),'1-Input'!$B$12,0))-MIN(MAX(M382,0),MAX(0,I341-IF($A383&gt;=('1-Input'!$C$12-1),'1-Input'!$B$12,0))))*(1/(1-'P-Parametri'!$B$6*I383))+MIN(MAX(0,N382-(MAX(0,I341-IF($A383&gt;=('1-Input'!$C$12-1),'1-Input'!$B$12,0))-MIN(MAX(M382,0),MAX(0,I341-IF($A383&gt;=('1-Input'!$C$12-1),'1-Input'!$B$12,0))))*(1/(1-'P-Parametri'!$B$6*I383))),MAX(0,0*I341-(M382-MIN(MAX(M382,0),MAX(0,I341-IF($A383&gt;=('1-Input'!$C$12-1),'1-Input'!$B$12,0)))))*(1/(1-'P-Parametri'!$B$6*I383))))</f>
        <v>10846.756992928691</v>
      </c>
      <c r="K383" s="18">
        <f>IF($A383&gt;'1-Input'!$B$26,M382,(M382-MAX(0,I341-IF($A383&gt;=('1-Input'!$C$12-1),'1-Input'!$B$12,0))+J383*(1-'P-Parametri'!$B$6*I383))*(1+'1-Input'!$B$27))</f>
        <v>-1.8124410416930913E-12</v>
      </c>
      <c r="L383" s="18">
        <f>IF($A383&gt;'1-Input'!$B$26,N382,(N382-J383)*(1+'5-Roberta'!$C$4))</f>
        <v>-161170.72780840535</v>
      </c>
      <c r="M383" s="18">
        <f>IF($A383&gt;'1-Input'!$B$26,K383,K383-'P-Parametri'!$B$8*(L383+K383)+MIN(MAX(L383,0),'P-Parametri'!$B$8*(L383+K383)))</f>
        <v>-1.8189894035458565E-12</v>
      </c>
      <c r="N383" s="18">
        <f>IF($A383&gt;'1-Input'!$B$26,L383,L383-MIN(MAX(L383,0),'P-Parametri'!$B$8*(L383+K383)))</f>
        <v>-160848.38635278854</v>
      </c>
      <c r="O383" s="18">
        <f>IF($A383&gt;'1-Input'!$B$26,O382,O382-J383*(1-I383))</f>
        <v>-131318.99972417144</v>
      </c>
      <c r="P383" s="11">
        <f>IF($A383&gt;'1-Input'!$B$26,0,IF(U382&lt;=0,0,MAX(0,(U382-V382)/U382)))</f>
        <v>0.73246805744072785</v>
      </c>
      <c r="Q383" s="18">
        <f>IF($A383&gt;'1-Input'!$B$26,0,(MAX(0,P341-IF($A383&gt;=('1-Input'!$C$12-1),'1-Input'!$B$12,0))-MIN(MAX(T382,0),MAX(0,P341-IF($A383&gt;=('1-Input'!$C$12-1),'1-Input'!$B$12,0))))*(1/(1-'P-Parametri'!$B$6*P383))+MIN(MAX(0,U382-(MAX(0,P341-IF($A383&gt;=('1-Input'!$C$12-1),'1-Input'!$B$12,0))-MIN(MAX(T382,0),MAX(0,P341-IF($A383&gt;=('1-Input'!$C$12-1),'1-Input'!$B$12,0))))*(1/(1-'P-Parametri'!$B$6*P383))),MAX(0,0*P341-(T382-MIN(MAX(T382,0),MAX(0,P341-IF($A383&gt;=('1-Input'!$C$12-1),'1-Input'!$B$12,0)))))*(1/(1-'P-Parametri'!$B$6*P383))))</f>
        <v>10184.57787768229</v>
      </c>
      <c r="R383" s="18">
        <f>IF($A383&gt;'1-Input'!$B$26,T382,(T382-MAX(0,P341-IF($A383&gt;=('1-Input'!$C$12-1),'1-Input'!$B$12,0))+Q383*(1-'P-Parametri'!$B$6*P383))*(1+'1-Input'!$B$27))</f>
        <v>-1.8124410416930913E-12</v>
      </c>
      <c r="S383" s="18">
        <f>IF($A383&gt;'1-Input'!$B$26,U382,(U382-Q383)*(1+'5-Roberta'!$C$4))</f>
        <v>25128.141209166221</v>
      </c>
      <c r="T383" s="18">
        <f>IF($A383&gt;'1-Input'!$B$26,R383,R383-'P-Parametri'!$B$8*(S383+R383)+MIN(MAX(S383,0),'P-Parametri'!$B$8*(S383+R383)))</f>
        <v>-1.8118839761882555E-12</v>
      </c>
      <c r="U383" s="18">
        <f>IF($A383&gt;'1-Input'!$B$26,S383,S383-MIN(MAX(S383,0),'P-Parametri'!$B$8*(S383+R383)))</f>
        <v>25077.884926747887</v>
      </c>
      <c r="V383" s="18">
        <f>IF($A383&gt;'1-Input'!$B$26,V382,V382-Q383*(1-P383))</f>
        <v>6526.7771170795495</v>
      </c>
      <c r="W383" s="11">
        <f>IF($A383&gt;'1-Input'!$B$26,0,IF(AB382&lt;=0,0,MAX(0,(AB382-AC382)/AB382)))</f>
        <v>0.73246805744072807</v>
      </c>
      <c r="X383" s="18">
        <f>IF($A383&gt;'1-Input'!$B$26,0,(MAX(0,W341-IF($A383&gt;=('1-Input'!$C$12-1),'1-Input'!$B$12,0))-MIN(MAX(AA382,0),MAX(0,W341-IF($A383&gt;=('1-Input'!$C$12-1),'1-Input'!$B$12,0))))*(1/(1-'P-Parametri'!$B$6*W383))+MIN(MAX(0,AB382-(MAX(0,W341-IF($A383&gt;=('1-Input'!$C$12-1),'1-Input'!$B$12,0))-MIN(MAX(AA382,0),MAX(0,W341-IF($A383&gt;=('1-Input'!$C$12-1),'1-Input'!$B$12,0))))*(1/(1-'P-Parametri'!$B$6*W383))),MAX(0,0*W341-(AA382-MIN(MAX(AA382,0),MAX(0,W341-IF($A383&gt;=('1-Input'!$C$12-1),'1-Input'!$B$12,0)))))*(1/(1-'P-Parametri'!$B$6*W383))))</f>
        <v>9854.5295974633318</v>
      </c>
      <c r="Y383" s="18">
        <f>IF($A383&gt;'1-Input'!$B$26,AA382,(AA382-MAX(0,W341-IF($A383&gt;=('1-Input'!$C$12-1),'1-Input'!$B$12,0))+X383*(1-'P-Parametri'!$B$6*W383))*(1+'1-Input'!$B$27))</f>
        <v>0</v>
      </c>
      <c r="Z383" s="18">
        <f>IF($A383&gt;'1-Input'!$B$26,AB382,(AB382-X383)*(1+'5-Roberta'!$C$4))</f>
        <v>47746.394085509339</v>
      </c>
      <c r="AA383" s="18">
        <f>IF($A383&gt;'1-Input'!$B$26,Y383,Y383-'P-Parametri'!$B$8*(Z383+Y383)+MIN(MAX(Z383,0),'P-Parametri'!$B$8*(Z383+Y383)))</f>
        <v>0</v>
      </c>
      <c r="AB383" s="18">
        <f>IF($A383&gt;'1-Input'!$B$26,Z383,Z383-MIN(MAX(Z383,0),'P-Parametri'!$B$8*(Z383+Y383)))</f>
        <v>47650.901297338321</v>
      </c>
      <c r="AC383" s="18">
        <f>IF($A383&gt;'1-Input'!$B$26,AC382,AC382-X383*(1-W383))</f>
        <v>12401.636465919268</v>
      </c>
      <c r="AD383" s="11">
        <f>IF($A383&gt;'1-Input'!$B$26,0,IF(AI382&lt;=0,0,MAX(0,(AI382-AJ382)/AI382)))</f>
        <v>0.73246805744072785</v>
      </c>
      <c r="AE383" s="18">
        <f>IF($A383&gt;'1-Input'!$B$26,0,(MAX(0,AD341-IF($A383&gt;=('1-Input'!$C$12-1),'1-Input'!$B$12,0))-MIN(MAX(AH382,0),MAX(0,AD341-IF($A383&gt;=('1-Input'!$C$12-1),'1-Input'!$B$12,0))))*(1/(1-'P-Parametri'!$B$6*AD383))+MIN(MAX(0,AI382-(MAX(0,AD341-IF($A383&gt;=('1-Input'!$C$12-1),'1-Input'!$B$12,0))-MIN(MAX(AH382,0),MAX(0,AD341-IF($A383&gt;=('1-Input'!$C$12-1),'1-Input'!$B$12,0))))*(1/(1-'P-Parametri'!$B$6*AD383))),MAX(0,0*AD341-(AH382-MIN(MAX(AH382,0),MAX(0,AD341-IF($A383&gt;=('1-Input'!$C$12-1),'1-Input'!$B$12,0)))))*(1/(1-'P-Parametri'!$B$6*AD383))))</f>
        <v>9865.3934936606402</v>
      </c>
      <c r="AF383" s="18">
        <f>IF($A383&gt;'1-Input'!$B$26,AH382,(AH382-MAX(0,AD341-IF($A383&gt;=('1-Input'!$C$12-1),'1-Input'!$B$12,0))+AE383*(1-'P-Parametri'!$B$6*AD383))*(1+'1-Input'!$B$27))</f>
        <v>-9.0622052084654565E-13</v>
      </c>
      <c r="AG383" s="18">
        <f>IF($A383&gt;'1-Input'!$B$26,AI382,(AI382-AE383)*(1+'5-Roberta'!$C$4))</f>
        <v>47001.889823132427</v>
      </c>
      <c r="AH383" s="18">
        <f>IF($A383&gt;'1-Input'!$B$26,AF383,AF383-'P-Parametri'!$B$8*(AG383+AF383)+MIN(MAX(AG383,0),'P-Parametri'!$B$8*(AG383+AF383)))</f>
        <v>-9.0949470177292824E-13</v>
      </c>
      <c r="AI383" s="18">
        <f>IF($A383&gt;'1-Input'!$B$26,AG383,AG383-MIN(MAX(AG383,0),'P-Parametri'!$B$8*(AG383+AF383)))</f>
        <v>46907.886043486164</v>
      </c>
      <c r="AJ383" s="18">
        <f>IF($A383&gt;'1-Input'!$B$26,AJ382,AJ382-AE383*(1-AD383))</f>
        <v>12208.259114892724</v>
      </c>
      <c r="AK383" s="11">
        <f>IF($A383&gt;'1-Input'!$B$26,0,IF(AP382&lt;=0,0,MAX(0,(AP382-AQ382)/AP382)))</f>
        <v>0.73246805744072785</v>
      </c>
      <c r="AL383" s="18">
        <f>IF($A383&gt;'1-Input'!$B$26,0,(MAX(0,AK341-IF($A383&gt;=('1-Input'!$C$12-1),'1-Input'!$B$12,0))-MIN(MAX(AO382,0),MAX(0,AK341-IF($A383&gt;=('1-Input'!$C$12-1),'1-Input'!$B$12,0))))*(1/(1-'P-Parametri'!$B$6*AK383))+MIN(MAX(0,AP382-(MAX(0,AK341-IF($A383&gt;=('1-Input'!$C$12-1),'1-Input'!$B$12,0))-MIN(MAX(AO382,0),MAX(0,AK341-IF($A383&gt;=('1-Input'!$C$12-1),'1-Input'!$B$12,0))))*(1/(1-'P-Parametri'!$B$6*AK383))),MAX(0,0*AK341-(AO382-MIN(MAX(AO382,0),MAX(0,AK341-IF($A383&gt;=('1-Input'!$C$12-1),'1-Input'!$B$12,0)))))*(1/(1-'P-Parametri'!$B$6*AK383))))</f>
        <v>9863.7244523087211</v>
      </c>
      <c r="AM383" s="18">
        <f>IF($A383&gt;'1-Input'!$B$26,AO382,(AO382-MAX(0,AK341-IF($A383&gt;=('1-Input'!$C$12-1),'1-Input'!$B$12,0))+AL383*(1-'P-Parametri'!$B$6*AK383))*(1+'1-Input'!$B$27))</f>
        <v>0</v>
      </c>
      <c r="AN383" s="18">
        <f>IF($A383&gt;'1-Input'!$B$26,AP382,(AP382-AL383)*(1+'5-Roberta'!$C$4))</f>
        <v>47116.269450663902</v>
      </c>
      <c r="AO383" s="18">
        <f>IF($A383&gt;'1-Input'!$B$26,AM383,AM383-'P-Parametri'!$B$8*(AN383+AM383)+MIN(MAX(AN383,0),'P-Parametri'!$B$8*(AN383+AM383)))</f>
        <v>0</v>
      </c>
      <c r="AP383" s="18">
        <f>IF($A383&gt;'1-Input'!$B$26,AN383,AN383-MIN(MAX(AN383,0),'P-Parametri'!$B$8*(AN383+AM383)))</f>
        <v>47022.036911762574</v>
      </c>
      <c r="AQ383" s="18">
        <f>IF($A383&gt;'1-Input'!$B$26,AQ382,AQ382-AL383*(1-AK383))</f>
        <v>12237.968050759424</v>
      </c>
    </row>
    <row r="384" spans="1:43">
      <c r="A384" s="10">
        <f>41</f>
        <v>41</v>
      </c>
      <c r="B384" s="11">
        <f>IF($A384&gt;'1-Input'!$B$26,0,IF(G383&lt;=0,0,MAX(0,(G383-H383)/G383)))</f>
        <v>0.73973972940125643</v>
      </c>
      <c r="C384" s="18">
        <f>IF($A384&gt;'1-Input'!$B$26,0,(MAX(0,B341-IF($A384&gt;=('1-Input'!$C$12-1),'1-Input'!$B$12,0))-MIN(MAX(F383,0),MAX(0,B341-IF($A384&gt;=('1-Input'!$C$12-1),'1-Input'!$B$12,0))))*(1/(1-'P-Parametri'!$B$6*B384))+MIN(MAX(0,G383-(MAX(0,B341-IF($A384&gt;=('1-Input'!$C$12-1),'1-Input'!$B$12,0))-MIN(MAX(F383,0),MAX(0,B341-IF($A384&gt;=('1-Input'!$C$12-1),'1-Input'!$B$12,0))))*(1/(1-'P-Parametri'!$B$6*B384))),MAX(0,0*B341-(F383-MIN(MAX(F383,0),MAX(0,B341-IF($A384&gt;=('1-Input'!$C$12-1),'1-Input'!$B$12,0)))))*(1/(1-'P-Parametri'!$B$6*B384))))</f>
        <v>6907.6125235630007</v>
      </c>
      <c r="D384" s="18">
        <f>IF($A384&gt;'1-Input'!$B$26,F383,(F383-MAX(0,B341-IF($A384&gt;=('1-Input'!$C$12-1),'1-Input'!$B$12,0))+C384*(1-'P-Parametri'!$B$6*B384))*(1+'1-Input'!$B$27))</f>
        <v>0</v>
      </c>
      <c r="E384" s="18">
        <f>IF($A384&gt;'1-Input'!$B$26,G383,(G383-C384)*(1+'5-Roberta'!$C$4))</f>
        <v>250697.18032823267</v>
      </c>
      <c r="F384" s="18">
        <f>IF($A384&gt;'1-Input'!$B$26,D384,D384-'P-Parametri'!$B$8*(E384+D384)+MIN(MAX(E384,0),'P-Parametri'!$B$8*(E384+D384)))</f>
        <v>0</v>
      </c>
      <c r="G384" s="18">
        <f>IF($A384&gt;'1-Input'!$B$26,E384,E384-MIN(MAX(E384,0),'P-Parametri'!$B$8*(E384+D384)))</f>
        <v>250195.7859675762</v>
      </c>
      <c r="H384" s="18">
        <f>IF($A384&gt;'1-Input'!$B$26,H383,H383-C384*(1-B384))</f>
        <v>63346.132029677508</v>
      </c>
      <c r="I384" s="11">
        <f>IF($A384&gt;'1-Input'!$B$26,0,IF(N383&lt;=0,0,MAX(0,(N383-O383)/N383)))</f>
        <v>0</v>
      </c>
      <c r="J384" s="18">
        <f>IF($A384&gt;'1-Input'!$B$26,0,(MAX(0,I341-IF($A384&gt;=('1-Input'!$C$12-1),'1-Input'!$B$12,0))-MIN(MAX(M383,0),MAX(0,I341-IF($A384&gt;=('1-Input'!$C$12-1),'1-Input'!$B$12,0))))*(1/(1-'P-Parametri'!$B$6*I384))+MIN(MAX(0,N383-(MAX(0,I341-IF($A384&gt;=('1-Input'!$C$12-1),'1-Input'!$B$12,0))-MIN(MAX(M383,0),MAX(0,I341-IF($A384&gt;=('1-Input'!$C$12-1),'1-Input'!$B$12,0))))*(1/(1-'P-Parametri'!$B$6*I384))),MAX(0,0*I341-(M383-MIN(MAX(M383,0),MAX(0,I341-IF($A384&gt;=('1-Input'!$C$12-1),'1-Input'!$B$12,0)))))*(1/(1-'P-Parametri'!$B$6*I384))))</f>
        <v>10846.756992928691</v>
      </c>
      <c r="K384" s="18">
        <f>IF($A384&gt;'1-Input'!$B$26,M383,(M383-MAX(0,I341-IF($A384&gt;=('1-Input'!$C$12-1),'1-Input'!$B$12,0))+J384*(1-'P-Parametri'!$B$6*I384))*(1+'1-Input'!$B$27))</f>
        <v>-1.8124410416930913E-12</v>
      </c>
      <c r="L384" s="18">
        <f>IF($A384&gt;'1-Input'!$B$26,N383,(N383-J384)*(1+'5-Roberta'!$C$4))</f>
        <v>-176845.99764608874</v>
      </c>
      <c r="M384" s="18">
        <f>IF($A384&gt;'1-Input'!$B$26,K384,K384-'P-Parametri'!$B$8*(L384+K384)+MIN(MAX(L384,0),'P-Parametri'!$B$8*(L384+K384)))</f>
        <v>-1.8189894035458565E-12</v>
      </c>
      <c r="N384" s="18">
        <f>IF($A384&gt;'1-Input'!$B$26,L384,L384-MIN(MAX(L384,0),'P-Parametri'!$B$8*(L384+K384)))</f>
        <v>-176492.30565079657</v>
      </c>
      <c r="O384" s="18">
        <f>IF($A384&gt;'1-Input'!$B$26,O383,O383-J384*(1-I384))</f>
        <v>-142165.75671710013</v>
      </c>
      <c r="P384" s="11">
        <f>IF($A384&gt;'1-Input'!$B$26,0,IF(U383&lt;=0,0,MAX(0,(U383-V383)/U383)))</f>
        <v>0.73973972940125676</v>
      </c>
      <c r="Q384" s="18">
        <f>IF($A384&gt;'1-Input'!$B$26,0,(MAX(0,P341-IF($A384&gt;=('1-Input'!$C$12-1),'1-Input'!$B$12,0))-MIN(MAX(T383,0),MAX(0,P341-IF($A384&gt;=('1-Input'!$C$12-1),'1-Input'!$B$12,0))))*(1/(1-'P-Parametri'!$B$6*P384))+MIN(MAX(0,U383-(MAX(0,P341-IF($A384&gt;=('1-Input'!$C$12-1),'1-Input'!$B$12,0))-MIN(MAX(T383,0),MAX(0,P341-IF($A384&gt;=('1-Input'!$C$12-1),'1-Input'!$B$12,0))))*(1/(1-'P-Parametri'!$B$6*P384))),MAX(0,0*P341-(T383-MIN(MAX(T383,0),MAX(0,P341-IF($A384&gt;=('1-Input'!$C$12-1),'1-Input'!$B$12,0)))))*(1/(1-'P-Parametri'!$B$6*P384))))</f>
        <v>10208.418520494073</v>
      </c>
      <c r="R384" s="18">
        <f>IF($A384&gt;'1-Input'!$B$26,T383,(T383-MAX(0,P341-IF($A384&gt;=('1-Input'!$C$12-1),'1-Input'!$B$12,0))+Q384*(1-'P-Parametri'!$B$6*P384))*(1+'1-Input'!$B$27))</f>
        <v>0</v>
      </c>
      <c r="S384" s="18">
        <f>IF($A384&gt;'1-Input'!$B$26,U383,(U383-Q384)*(1+'5-Roberta'!$C$4))</f>
        <v>15315.550398441428</v>
      </c>
      <c r="T384" s="18">
        <f>IF($A384&gt;'1-Input'!$B$26,R384,R384-'P-Parametri'!$B$8*(S384+R384)+MIN(MAX(S384,0),'P-Parametri'!$B$8*(S384+R384)))</f>
        <v>0</v>
      </c>
      <c r="U384" s="18">
        <f>IF($A384&gt;'1-Input'!$B$26,S384,S384-MIN(MAX(S384,0),'P-Parametri'!$B$8*(S384+R384)))</f>
        <v>15284.919297644545</v>
      </c>
      <c r="V384" s="18">
        <f>IF($A384&gt;'1-Input'!$B$26,V383,V383-Q384*(1-P384))</f>
        <v>3869.9313505505397</v>
      </c>
      <c r="W384" s="11">
        <f>IF($A384&gt;'1-Input'!$B$26,0,IF(AB383&lt;=0,0,MAX(0,(AB383-AC383)/AB383)))</f>
        <v>0.73973972940125687</v>
      </c>
      <c r="X384" s="18">
        <f>IF($A384&gt;'1-Input'!$B$26,0,(MAX(0,W341-IF($A384&gt;=('1-Input'!$C$12-1),'1-Input'!$B$12,0))-MIN(MAX(AA383,0),MAX(0,W341-IF($A384&gt;=('1-Input'!$C$12-1),'1-Input'!$B$12,0))))*(1/(1-'P-Parametri'!$B$6*W384))+MIN(MAX(0,AB383-(MAX(0,W341-IF($A384&gt;=('1-Input'!$C$12-1),'1-Input'!$B$12,0))-MIN(MAX(AA383,0),MAX(0,W341-IF($A384&gt;=('1-Input'!$C$12-1),'1-Input'!$B$12,0))))*(1/(1-'P-Parametri'!$B$6*W384))),MAX(0,0*W341-(AA383-MIN(MAX(AA383,0),MAX(0,W341-IF($A384&gt;=('1-Input'!$C$12-1),'1-Input'!$B$12,0)))))*(1/(1-'P-Parametri'!$B$6*W384))))</f>
        <v>9877.5976443704185</v>
      </c>
      <c r="Y384" s="18">
        <f>IF($A384&gt;'1-Input'!$B$26,AA383,(AA383-MAX(0,W341-IF($A384&gt;=('1-Input'!$C$12-1),'1-Input'!$B$12,0))+X384*(1-'P-Parametri'!$B$6*W384))*(1+'1-Input'!$B$27))</f>
        <v>9.0622052084654565E-13</v>
      </c>
      <c r="Z384" s="18">
        <f>IF($A384&gt;'1-Input'!$B$26,AB383,(AB383-X384)*(1+'5-Roberta'!$C$4))</f>
        <v>38906.502762556942</v>
      </c>
      <c r="AA384" s="18">
        <f>IF($A384&gt;'1-Input'!$B$26,Y384,Y384-'P-Parametri'!$B$8*(Z384+Y384)+MIN(MAX(Z384,0),'P-Parametri'!$B$8*(Z384+Y384)))</f>
        <v>9.0949470177292824E-13</v>
      </c>
      <c r="AB384" s="18">
        <f>IF($A384&gt;'1-Input'!$B$26,Z384,Z384-MIN(MAX(Z384,0),'P-Parametri'!$B$8*(Z384+Y384)))</f>
        <v>38828.689757031825</v>
      </c>
      <c r="AC384" s="18">
        <f>IF($A384&gt;'1-Input'!$B$26,AC383,AC383-X384*(1-W384))</f>
        <v>9830.8902301299149</v>
      </c>
      <c r="AD384" s="11">
        <f>IF($A384&gt;'1-Input'!$B$26,0,IF(AI383&lt;=0,0,MAX(0,(AI383-AJ383)/AI383)))</f>
        <v>0.73973972940125665</v>
      </c>
      <c r="AE384" s="18">
        <f>IF($A384&gt;'1-Input'!$B$26,0,(MAX(0,AD341-IF($A384&gt;=('1-Input'!$C$12-1),'1-Input'!$B$12,0))-MIN(MAX(AH383,0),MAX(0,AD341-IF($A384&gt;=('1-Input'!$C$12-1),'1-Input'!$B$12,0))))*(1/(1-'P-Parametri'!$B$6*AD384))+MIN(MAX(0,AI383-(MAX(0,AD341-IF($A384&gt;=('1-Input'!$C$12-1),'1-Input'!$B$12,0))-MIN(MAX(AH383,0),MAX(0,AD341-IF($A384&gt;=('1-Input'!$C$12-1),'1-Input'!$B$12,0))))*(1/(1-'P-Parametri'!$B$6*AD384))),MAX(0,0*AD341-(AH383-MIN(MAX(AH383,0),MAX(0,AD341-IF($A384&gt;=('1-Input'!$C$12-1),'1-Input'!$B$12,0)))))*(1/(1-'P-Parametri'!$B$6*AD384))))</f>
        <v>9888.4869713977405</v>
      </c>
      <c r="AF384" s="18">
        <f>IF($A384&gt;'1-Input'!$B$26,AH383,(AH383-MAX(0,AD341-IF($A384&gt;=('1-Input'!$C$12-1),'1-Input'!$B$12,0))+AE384*(1-'P-Parametri'!$B$6*AD384))*(1+'1-Input'!$B$27))</f>
        <v>0</v>
      </c>
      <c r="AG384" s="18">
        <f>IF($A384&gt;'1-Input'!$B$26,AI383,(AI383-AE384)*(1+'5-Roberta'!$C$4))</f>
        <v>38129.981044251079</v>
      </c>
      <c r="AH384" s="18">
        <f>IF($A384&gt;'1-Input'!$B$26,AF384,AF384-'P-Parametri'!$B$8*(AG384+AF384)+MIN(MAX(AG384,0),'P-Parametri'!$B$8*(AG384+AF384)))</f>
        <v>0</v>
      </c>
      <c r="AI384" s="18">
        <f>IF($A384&gt;'1-Input'!$B$26,AG384,AG384-MIN(MAX(AG384,0),'P-Parametri'!$B$8*(AG384+AF384)))</f>
        <v>38053.721082162578</v>
      </c>
      <c r="AJ384" s="18">
        <f>IF($A384&gt;'1-Input'!$B$26,AJ383,AJ383-AE384*(1-AD384))</f>
        <v>9634.6788199046005</v>
      </c>
      <c r="AK384" s="11">
        <f>IF($A384&gt;'1-Input'!$B$26,0,IF(AP383&lt;=0,0,MAX(0,(AP383-AQ383)/AP383)))</f>
        <v>0.73973972940125665</v>
      </c>
      <c r="AL384" s="18">
        <f>IF($A384&gt;'1-Input'!$B$26,0,(MAX(0,AK341-IF($A384&gt;=('1-Input'!$C$12-1),'1-Input'!$B$12,0))-MIN(MAX(AO383,0),MAX(0,AK341-IF($A384&gt;=('1-Input'!$C$12-1),'1-Input'!$B$12,0))))*(1/(1-'P-Parametri'!$B$6*AK384))+MIN(MAX(0,AP383-(MAX(0,AK341-IF($A384&gt;=('1-Input'!$C$12-1),'1-Input'!$B$12,0))-MIN(MAX(AO383,0),MAX(0,AK341-IF($A384&gt;=('1-Input'!$C$12-1),'1-Input'!$B$12,0))))*(1/(1-'P-Parametri'!$B$6*AK384))),MAX(0,0*AK341-(AO383-MIN(MAX(AO383,0),MAX(0,AK341-IF($A384&gt;=('1-Input'!$C$12-1),'1-Input'!$B$12,0)))))*(1/(1-'P-Parametri'!$B$6*AK384))))</f>
        <v>9886.814023058294</v>
      </c>
      <c r="AM384" s="18">
        <f>IF($A384&gt;'1-Input'!$B$26,AO383,(AO383-MAX(0,AK341-IF($A384&gt;=('1-Input'!$C$12-1),'1-Input'!$B$12,0))+AL384*(1-'P-Parametri'!$B$6*AK384))*(1+'1-Input'!$B$27))</f>
        <v>9.0622052084654565E-13</v>
      </c>
      <c r="AN384" s="18">
        <f>IF($A384&gt;'1-Input'!$B$26,AP383,(AP383-AL384)*(1+'5-Roberta'!$C$4))</f>
        <v>38249.279575365406</v>
      </c>
      <c r="AO384" s="18">
        <f>IF($A384&gt;'1-Input'!$B$26,AM384,AM384-'P-Parametri'!$B$8*(AN384+AM384)+MIN(MAX(AN384,0),'P-Parametri'!$B$8*(AN384+AM384)))</f>
        <v>9.0949470177292824E-13</v>
      </c>
      <c r="AP384" s="18">
        <f>IF($A384&gt;'1-Input'!$B$26,AN384,AN384-MIN(MAX(AN384,0),'P-Parametri'!$B$8*(AN384+AM384)))</f>
        <v>38172.781016214678</v>
      </c>
      <c r="AQ384" s="18">
        <f>IF($A384&gt;'1-Input'!$B$26,AQ383,AQ383-AL384*(1-AK384))</f>
        <v>9664.8231577588231</v>
      </c>
    </row>
    <row r="385" spans="1:43">
      <c r="A385" s="10">
        <f>42</f>
        <v>42</v>
      </c>
      <c r="B385" s="11">
        <f>IF($A385&gt;'1-Input'!$B$26,0,IF(G384&lt;=0,0,MAX(0,(G384-H384)/G384)))</f>
        <v>0.74681375313856502</v>
      </c>
      <c r="C385" s="18">
        <f>IF($A385&gt;'1-Input'!$B$26,0,(MAX(0,B341-IF($A385&gt;=('1-Input'!$C$12-1),'1-Input'!$B$12,0))-MIN(MAX(F384,0),MAX(0,B341-IF($A385&gt;=('1-Input'!$C$12-1),'1-Input'!$B$12,0))))*(1/(1-'P-Parametri'!$B$6*B385))+MIN(MAX(0,G384-(MAX(0,B341-IF($A385&gt;=('1-Input'!$C$12-1),'1-Input'!$B$12,0))-MIN(MAX(F384,0),MAX(0,B341-IF($A385&gt;=('1-Input'!$C$12-1),'1-Input'!$B$12,0))))*(1/(1-'P-Parametri'!$B$6*B385))),MAX(0,0*B341-(F384-MIN(MAX(F384,0),MAX(0,B341-IF($A385&gt;=('1-Input'!$C$12-1),'1-Input'!$B$12,0)))))*(1/(1-'P-Parametri'!$B$6*B385))))</f>
        <v>6923.3786587702789</v>
      </c>
      <c r="D385" s="18">
        <f>IF($A385&gt;'1-Input'!$B$26,F384,(F384-MAX(0,B341-IF($A385&gt;=('1-Input'!$C$12-1),'1-Input'!$B$12,0))+C385*(1-'P-Parametri'!$B$6*B385))*(1+'1-Input'!$B$27))</f>
        <v>0</v>
      </c>
      <c r="E385" s="18">
        <f>IF($A385&gt;'1-Input'!$B$26,G384,(G384-C385)*(1+'5-Roberta'!$C$4))</f>
        <v>250570.57952807008</v>
      </c>
      <c r="F385" s="18">
        <f>IF($A385&gt;'1-Input'!$B$26,D385,D385-'P-Parametri'!$B$8*(E385+D385)+MIN(MAX(E385,0),'P-Parametri'!$B$8*(E385+D385)))</f>
        <v>0</v>
      </c>
      <c r="G385" s="18">
        <f>IF($A385&gt;'1-Input'!$B$26,E385,E385-MIN(MAX(E385,0),'P-Parametri'!$B$8*(E385+D385)))</f>
        <v>250069.43836901395</v>
      </c>
      <c r="H385" s="18">
        <f>IF($A385&gt;'1-Input'!$B$26,H384,H384-C385*(1-B385))</f>
        <v>61593.227771462909</v>
      </c>
      <c r="I385" s="11">
        <f>IF($A385&gt;'1-Input'!$B$26,0,IF(N384&lt;=0,0,MAX(0,(N384-O384)/N384)))</f>
        <v>0</v>
      </c>
      <c r="J385" s="18">
        <f>IF($A385&gt;'1-Input'!$B$26,0,(MAX(0,I341-IF($A385&gt;=('1-Input'!$C$12-1),'1-Input'!$B$12,0))-MIN(MAX(M384,0),MAX(0,I341-IF($A385&gt;=('1-Input'!$C$12-1),'1-Input'!$B$12,0))))*(1/(1-'P-Parametri'!$B$6*I385))+MIN(MAX(0,N384-(MAX(0,I341-IF($A385&gt;=('1-Input'!$C$12-1),'1-Input'!$B$12,0))-MIN(MAX(M384,0),MAX(0,I341-IF($A385&gt;=('1-Input'!$C$12-1),'1-Input'!$B$12,0))))*(1/(1-'P-Parametri'!$B$6*I385))),MAX(0,0*I341-(M384-MIN(MAX(M384,0),MAX(0,I341-IF($A385&gt;=('1-Input'!$C$12-1),'1-Input'!$B$12,0)))))*(1/(1-'P-Parametri'!$B$6*I385))))</f>
        <v>10846.756992928691</v>
      </c>
      <c r="K385" s="18">
        <f>IF($A385&gt;'1-Input'!$B$26,M384,(M384-MAX(0,I341-IF($A385&gt;=('1-Input'!$C$12-1),'1-Input'!$B$12,0))+J385*(1-'P-Parametri'!$B$6*I385))*(1+'1-Input'!$B$27))</f>
        <v>-1.8124410416930913E-12</v>
      </c>
      <c r="L385" s="18">
        <f>IF($A385&gt;'1-Input'!$B$26,N384,(N384-J385)*(1+'5-Roberta'!$C$4))</f>
        <v>-192959.23452303701</v>
      </c>
      <c r="M385" s="18">
        <f>IF($A385&gt;'1-Input'!$B$26,K385,K385-'P-Parametri'!$B$8*(L385+K385)+MIN(MAX(L385,0),'P-Parametri'!$B$8*(L385+K385)))</f>
        <v>-1.8189894035458565E-12</v>
      </c>
      <c r="N385" s="18">
        <f>IF($A385&gt;'1-Input'!$B$26,L385,L385-MIN(MAX(L385,0),'P-Parametri'!$B$8*(L385+K385)))</f>
        <v>-192573.31605399094</v>
      </c>
      <c r="O385" s="18">
        <f>IF($A385&gt;'1-Input'!$B$26,O384,O384-J385*(1-I385))</f>
        <v>-153012.51371002881</v>
      </c>
      <c r="P385" s="11">
        <f>IF($A385&gt;'1-Input'!$B$26,0,IF(U384&lt;=0,0,MAX(0,(U384-V384)/U384)))</f>
        <v>0.74681375313856524</v>
      </c>
      <c r="Q385" s="18">
        <f>IF($A385&gt;'1-Input'!$B$26,0,(MAX(0,P341-IF($A385&gt;=('1-Input'!$C$12-1),'1-Input'!$B$12,0))-MIN(MAX(T384,0),MAX(0,P341-IF($A385&gt;=('1-Input'!$C$12-1),'1-Input'!$B$12,0))))*(1/(1-'P-Parametri'!$B$6*P385))+MIN(MAX(0,U384-(MAX(0,P341-IF($A385&gt;=('1-Input'!$C$12-1),'1-Input'!$B$12,0))-MIN(MAX(T384,0),MAX(0,P341-IF($A385&gt;=('1-Input'!$C$12-1),'1-Input'!$B$12,0))))*(1/(1-'P-Parametri'!$B$6*P385))),MAX(0,0*P341-(T384-MIN(MAX(T384,0),MAX(0,P341-IF($A385&gt;=('1-Input'!$C$12-1),'1-Input'!$B$12,0)))))*(1/(1-'P-Parametri'!$B$6*P385))))</f>
        <v>10231.718511062094</v>
      </c>
      <c r="R385" s="18">
        <f>IF($A385&gt;'1-Input'!$B$26,T384,(T384-MAX(0,P341-IF($A385&gt;=('1-Input'!$C$12-1),'1-Input'!$B$12,0))+Q385*(1-'P-Parametri'!$B$6*P385))*(1+'1-Input'!$B$27))</f>
        <v>0</v>
      </c>
      <c r="S385" s="18">
        <f>IF($A385&gt;'1-Input'!$B$26,U384,(U384-Q385)*(1+'5-Roberta'!$C$4))</f>
        <v>5204.7968101799243</v>
      </c>
      <c r="T385" s="18">
        <f>IF($A385&gt;'1-Input'!$B$26,R385,R385-'P-Parametri'!$B$8*(S385+R385)+MIN(MAX(S385,0),'P-Parametri'!$B$8*(S385+R385)))</f>
        <v>0</v>
      </c>
      <c r="U385" s="18">
        <f>IF($A385&gt;'1-Input'!$B$26,S385,S385-MIN(MAX(S385,0),'P-Parametri'!$B$8*(S385+R385)))</f>
        <v>5194.387216559564</v>
      </c>
      <c r="V385" s="18">
        <f>IF($A385&gt;'1-Input'!$B$26,V384,V384-Q385*(1-P385))</f>
        <v>1279.4009417920606</v>
      </c>
      <c r="W385" s="11">
        <f>IF($A385&gt;'1-Input'!$B$26,0,IF(AB384&lt;=0,0,MAX(0,(AB384-AC384)/AB384)))</f>
        <v>0.74681375313856535</v>
      </c>
      <c r="X385" s="18">
        <f>IF($A385&gt;'1-Input'!$B$26,0,(MAX(0,W341-IF($A385&gt;=('1-Input'!$C$12-1),'1-Input'!$B$12,0))-MIN(MAX(AA384,0),MAX(0,W341-IF($A385&gt;=('1-Input'!$C$12-1),'1-Input'!$B$12,0))))*(1/(1-'P-Parametri'!$B$6*W385))+MIN(MAX(0,AB384-(MAX(0,W341-IF($A385&gt;=('1-Input'!$C$12-1),'1-Input'!$B$12,0))-MIN(MAX(AA384,0),MAX(0,W341-IF($A385&gt;=('1-Input'!$C$12-1),'1-Input'!$B$12,0))))*(1/(1-'P-Parametri'!$B$6*W385))),MAX(0,0*W341-(AA384-MIN(MAX(AA384,0),MAX(0,W341-IF($A385&gt;=('1-Input'!$C$12-1),'1-Input'!$B$12,0)))))*(1/(1-'P-Parametri'!$B$6*W385))))</f>
        <v>9900.1425597739653</v>
      </c>
      <c r="Y385" s="18">
        <f>IF($A385&gt;'1-Input'!$B$26,AA384,(AA384-MAX(0,W341-IF($A385&gt;=('1-Input'!$C$12-1),'1-Input'!$B$12,0))+X385*(1-'P-Parametri'!$B$6*W385))*(1+'1-Input'!$B$27))</f>
        <v>0</v>
      </c>
      <c r="Z385" s="18">
        <f>IF($A385&gt;'1-Input'!$B$26,AB384,(AB384-X385)*(1+'5-Roberta'!$C$4))</f>
        <v>29796.403613175597</v>
      </c>
      <c r="AA385" s="18">
        <f>IF($A385&gt;'1-Input'!$B$26,Y385,Y385-'P-Parametri'!$B$8*(Z385+Y385)+MIN(MAX(Z385,0),'P-Parametri'!$B$8*(Z385+Y385)))</f>
        <v>0</v>
      </c>
      <c r="AB385" s="18">
        <f>IF($A385&gt;'1-Input'!$B$26,Z385,Z385-MIN(MAX(Z385,0),'P-Parametri'!$B$8*(Z385+Y385)))</f>
        <v>29736.810805949244</v>
      </c>
      <c r="AC385" s="18">
        <f>IF($A385&gt;'1-Input'!$B$26,AC384,AC384-X385*(1-W385))</f>
        <v>7324.3102920275887</v>
      </c>
      <c r="AD385" s="11">
        <f>IF($A385&gt;'1-Input'!$B$26,0,IF(AI384&lt;=0,0,MAX(0,(AI384-AJ384)/AI384)))</f>
        <v>0.74681375313856524</v>
      </c>
      <c r="AE385" s="18">
        <f>IF($A385&gt;'1-Input'!$B$26,0,(MAX(0,AD341-IF($A385&gt;=('1-Input'!$C$12-1),'1-Input'!$B$12,0))-MIN(MAX(AH384,0),MAX(0,AD341-IF($A385&gt;=('1-Input'!$C$12-1),'1-Input'!$B$12,0))))*(1/(1-'P-Parametri'!$B$6*AD385))+MIN(MAX(0,AI384-(MAX(0,AD341-IF($A385&gt;=('1-Input'!$C$12-1),'1-Input'!$B$12,0))-MIN(MAX(AH384,0),MAX(0,AD341-IF($A385&gt;=('1-Input'!$C$12-1),'1-Input'!$B$12,0))))*(1/(1-'P-Parametri'!$B$6*AD385))),MAX(0,0*AD341-(AH384-MIN(MAX(AH384,0),MAX(0,AD341-IF($A385&gt;=('1-Input'!$C$12-1),'1-Input'!$B$12,0)))))*(1/(1-'P-Parametri'!$B$6*AD385))))</f>
        <v>9911.0567409171854</v>
      </c>
      <c r="AF385" s="18">
        <f>IF($A385&gt;'1-Input'!$B$26,AH384,(AH384-MAX(0,AD341-IF($A385&gt;=('1-Input'!$C$12-1),'1-Input'!$B$12,0))+AE385*(1-'P-Parametri'!$B$6*AD385))*(1+'1-Input'!$B$27))</f>
        <v>-9.0622052084654565E-13</v>
      </c>
      <c r="AG385" s="18">
        <f>IF($A385&gt;'1-Input'!$B$26,AI384,(AI384-AE385)*(1+'5-Roberta'!$C$4))</f>
        <v>28986.944271482756</v>
      </c>
      <c r="AH385" s="18">
        <f>IF($A385&gt;'1-Input'!$B$26,AF385,AF385-'P-Parametri'!$B$8*(AG385+AF385)+MIN(MAX(AG385,0),'P-Parametri'!$B$8*(AG385+AF385)))</f>
        <v>-9.0949470177292824E-13</v>
      </c>
      <c r="AI385" s="18">
        <f>IF($A385&gt;'1-Input'!$B$26,AG385,AG385-MIN(MAX(AG385,0),'P-Parametri'!$B$8*(AG385+AF385)))</f>
        <v>28928.970382939791</v>
      </c>
      <c r="AJ385" s="18">
        <f>IF($A385&gt;'1-Input'!$B$26,AJ384,AJ384-AE385*(1-AD385))</f>
        <v>7125.3355612410551</v>
      </c>
      <c r="AK385" s="11">
        <f>IF($A385&gt;'1-Input'!$B$26,0,IF(AP384&lt;=0,0,MAX(0,(AP384-AQ384)/AP384)))</f>
        <v>0.74681375313856513</v>
      </c>
      <c r="AL385" s="18">
        <f>IF($A385&gt;'1-Input'!$B$26,0,(MAX(0,AK341-IF($A385&gt;=('1-Input'!$C$12-1),'1-Input'!$B$12,0))-MIN(MAX(AO384,0),MAX(0,AK341-IF($A385&gt;=('1-Input'!$C$12-1),'1-Input'!$B$12,0))))*(1/(1-'P-Parametri'!$B$6*AK385))+MIN(MAX(0,AP384-(MAX(0,AK341-IF($A385&gt;=('1-Input'!$C$12-1),'1-Input'!$B$12,0))-MIN(MAX(AO384,0),MAX(0,AK341-IF($A385&gt;=('1-Input'!$C$12-1),'1-Input'!$B$12,0))))*(1/(1-'P-Parametri'!$B$6*AK385))),MAX(0,0*AK341-(AO384-MIN(MAX(AO384,0),MAX(0,AK341-IF($A385&gt;=('1-Input'!$C$12-1),'1-Input'!$B$12,0)))))*(1/(1-'P-Parametri'!$B$6*AK385))))</f>
        <v>9909.3799741919174</v>
      </c>
      <c r="AM385" s="18">
        <f>IF($A385&gt;'1-Input'!$B$26,AO384,(AO384-MAX(0,AK341-IF($A385&gt;=('1-Input'!$C$12-1),'1-Input'!$B$12,0))+AL385*(1-'P-Parametri'!$B$6*AK385))*(1+'1-Input'!$B$27))</f>
        <v>-9.0622052084654565E-13</v>
      </c>
      <c r="AN385" s="18">
        <f>IF($A385&gt;'1-Input'!$B$26,AP384,(AP384-AL385)*(1+'5-Roberta'!$C$4))</f>
        <v>29111.303073283445</v>
      </c>
      <c r="AO385" s="18">
        <f>IF($A385&gt;'1-Input'!$B$26,AM385,AM385-'P-Parametri'!$B$8*(AN385+AM385)+MIN(MAX(AN385,0),'P-Parametri'!$B$8*(AN385+AM385)))</f>
        <v>-9.0949470177292824E-13</v>
      </c>
      <c r="AP385" s="18">
        <f>IF($A385&gt;'1-Input'!$B$26,AN385,AN385-MIN(MAX(AN385,0),'P-Parametri'!$B$8*(AN385+AM385)))</f>
        <v>29053.080467136879</v>
      </c>
      <c r="AQ385" s="18">
        <f>IF($A385&gt;'1-Input'!$B$26,AQ384,AQ384-AL385*(1-AK385))</f>
        <v>7155.9044333693091</v>
      </c>
    </row>
    <row r="386" spans="1:43">
      <c r="A386" s="10">
        <f>43</f>
        <v>43</v>
      </c>
      <c r="B386" s="11">
        <f>IF($A386&gt;'1-Input'!$B$26,0,IF(G385&lt;=0,0,MAX(0,(G385-H385)/G385)))</f>
        <v>0.75369550084495684</v>
      </c>
      <c r="C386" s="18">
        <f>IF($A386&gt;'1-Input'!$B$26,0,(MAX(0,B341-IF($A386&gt;=('1-Input'!$C$12-1),'1-Input'!$B$12,0))-MIN(MAX(F385,0),MAX(0,B341-IF($A386&gt;=('1-Input'!$C$12-1),'1-Input'!$B$12,0))))*(1/(1-'P-Parametri'!$B$6*B386))+MIN(MAX(0,G385-(MAX(0,B341-IF($A386&gt;=('1-Input'!$C$12-1),'1-Input'!$B$12,0))-MIN(MAX(F385,0),MAX(0,B341-IF($A386&gt;=('1-Input'!$C$12-1),'1-Input'!$B$12,0))))*(1/(1-'P-Parametri'!$B$6*B386))),MAX(0,0*B341-(F385-MIN(MAX(F385,0),MAX(0,B341-IF($A386&gt;=('1-Input'!$C$12-1),'1-Input'!$B$12,0)))))*(1/(1-'P-Parametri'!$B$6*B386))))</f>
        <v>6938.7854775161959</v>
      </c>
      <c r="D386" s="18">
        <f>IF($A386&gt;'1-Input'!$B$26,F385,(F385-MAX(0,B341-IF($A386&gt;=('1-Input'!$C$12-1),'1-Input'!$B$12,0))+C386*(1-'P-Parametri'!$B$6*B386))*(1+'1-Input'!$B$27))</f>
        <v>0</v>
      </c>
      <c r="E386" s="18">
        <f>IF($A386&gt;'1-Input'!$B$26,G385,(G385-C386)*(1+'5-Roberta'!$C$4))</f>
        <v>250424.57247824271</v>
      </c>
      <c r="F386" s="18">
        <f>IF($A386&gt;'1-Input'!$B$26,D386,D386-'P-Parametri'!$B$8*(E386+D386)+MIN(MAX(E386,0),'P-Parametri'!$B$8*(E386+D386)))</f>
        <v>0</v>
      </c>
      <c r="G386" s="18">
        <f>IF($A386&gt;'1-Input'!$B$26,E386,E386-MIN(MAX(E386,0),'P-Parametri'!$B$8*(E386+D386)))</f>
        <v>249923.72333328624</v>
      </c>
      <c r="H386" s="18">
        <f>IF($A386&gt;'1-Input'!$B$26,H385,H385-C386*(1-B386))</f>
        <v>59884.173689678995</v>
      </c>
      <c r="I386" s="11">
        <f>IF($A386&gt;'1-Input'!$B$26,0,IF(N385&lt;=0,0,MAX(0,(N385-O385)/N385)))</f>
        <v>0</v>
      </c>
      <c r="J386" s="18">
        <f>IF($A386&gt;'1-Input'!$B$26,0,(MAX(0,I341-IF($A386&gt;=('1-Input'!$C$12-1),'1-Input'!$B$12,0))-MIN(MAX(M385,0),MAX(0,I341-IF($A386&gt;=('1-Input'!$C$12-1),'1-Input'!$B$12,0))))*(1/(1-'P-Parametri'!$B$6*I386))+MIN(MAX(0,N385-(MAX(0,I341-IF($A386&gt;=('1-Input'!$C$12-1),'1-Input'!$B$12,0))-MIN(MAX(M385,0),MAX(0,I341-IF($A386&gt;=('1-Input'!$C$12-1),'1-Input'!$B$12,0))))*(1/(1-'P-Parametri'!$B$6*I386))),MAX(0,0*I341-(M385-MIN(MAX(M385,0),MAX(0,I341-IF($A386&gt;=('1-Input'!$C$12-1),'1-Input'!$B$12,0)))))*(1/(1-'P-Parametri'!$B$6*I386))))</f>
        <v>10846.756992928691</v>
      </c>
      <c r="K386" s="18">
        <f>IF($A386&gt;'1-Input'!$B$26,M385,(M385-MAX(0,I341-IF($A386&gt;=('1-Input'!$C$12-1),'1-Input'!$B$12,0))+J386*(1-'P-Parametri'!$B$6*I386))*(1+'1-Input'!$B$27))</f>
        <v>-1.8124410416930913E-12</v>
      </c>
      <c r="L386" s="18">
        <f>IF($A386&gt;'1-Input'!$B$26,N385,(N385-J386)*(1+'5-Roberta'!$C$4))</f>
        <v>-209522.67523832721</v>
      </c>
      <c r="M386" s="18">
        <f>IF($A386&gt;'1-Input'!$B$26,K386,K386-'P-Parametri'!$B$8*(L386+K386)+MIN(MAX(L386,0),'P-Parametri'!$B$8*(L386+K386)))</f>
        <v>-1.8189894035458565E-12</v>
      </c>
      <c r="N386" s="18">
        <f>IF($A386&gt;'1-Input'!$B$26,L386,L386-MIN(MAX(L386,0),'P-Parametri'!$B$8*(L386+K386)))</f>
        <v>-209103.62988785055</v>
      </c>
      <c r="O386" s="18">
        <f>IF($A386&gt;'1-Input'!$B$26,O385,O385-J386*(1-I386))</f>
        <v>-163859.2707029575</v>
      </c>
      <c r="P386" s="11">
        <f>IF($A386&gt;'1-Input'!$B$26,0,IF(U385&lt;=0,0,MAX(0,(U385-V385)/U385)))</f>
        <v>0.75369550084495718</v>
      </c>
      <c r="Q386" s="18">
        <f>IF($A386&gt;'1-Input'!$B$26,0,(MAX(0,P341-IF($A386&gt;=('1-Input'!$C$12-1),'1-Input'!$B$12,0))-MIN(MAX(T385,0),MAX(0,P341-IF($A386&gt;=('1-Input'!$C$12-1),'1-Input'!$B$12,0))))*(1/(1-'P-Parametri'!$B$6*P386))+MIN(MAX(0,U385-(MAX(0,P341-IF($A386&gt;=('1-Input'!$C$12-1),'1-Input'!$B$12,0))-MIN(MAX(T385,0),MAX(0,P341-IF($A386&gt;=('1-Input'!$C$12-1),'1-Input'!$B$12,0))))*(1/(1-'P-Parametri'!$B$6*P386))),MAX(0,0*P341-(T385-MIN(MAX(T385,0),MAX(0,P341-IF($A386&gt;=('1-Input'!$C$12-1),'1-Input'!$B$12,0)))))*(1/(1-'P-Parametri'!$B$6*P386))))</f>
        <v>10254.487485623307</v>
      </c>
      <c r="R386" s="18">
        <f>IF($A386&gt;'1-Input'!$B$26,T385,(T385-MAX(0,P341-IF($A386&gt;=('1-Input'!$C$12-1),'1-Input'!$B$12,0))+Q386*(1-'P-Parametri'!$B$6*P386))*(1+'1-Input'!$B$27))</f>
        <v>0</v>
      </c>
      <c r="S386" s="18">
        <f>IF($A386&gt;'1-Input'!$B$26,U385,(U385-Q386)*(1+'5-Roberta'!$C$4))</f>
        <v>-5211.903277135656</v>
      </c>
      <c r="T386" s="18">
        <f>IF($A386&gt;'1-Input'!$B$26,R386,R386-'P-Parametri'!$B$8*(S386+R386)+MIN(MAX(S386,0),'P-Parametri'!$B$8*(S386+R386)))</f>
        <v>0</v>
      </c>
      <c r="U386" s="18">
        <f>IF($A386&gt;'1-Input'!$B$26,S386,S386-MIN(MAX(S386,0),'P-Parametri'!$B$8*(S386+R386)))</f>
        <v>-5201.4794705813847</v>
      </c>
      <c r="V386" s="18">
        <f>IF($A386&gt;'1-Input'!$B$26,V385,V385-Q386*(1-P386))</f>
        <v>-1246.3254624460424</v>
      </c>
      <c r="W386" s="11">
        <f>IF($A386&gt;'1-Input'!$B$26,0,IF(AB385&lt;=0,0,MAX(0,(AB385-AC385)/AB385)))</f>
        <v>0.7536955008449574</v>
      </c>
      <c r="X386" s="18">
        <f>IF($A386&gt;'1-Input'!$B$26,0,(MAX(0,W341-IF($A386&gt;=('1-Input'!$C$12-1),'1-Input'!$B$12,0))-MIN(MAX(AA385,0),MAX(0,W341-IF($A386&gt;=('1-Input'!$C$12-1),'1-Input'!$B$12,0))))*(1/(1-'P-Parametri'!$B$6*W386))+MIN(MAX(0,AB385-(MAX(0,W341-IF($A386&gt;=('1-Input'!$C$12-1),'1-Input'!$B$12,0))-MIN(MAX(AA385,0),MAX(0,W341-IF($A386&gt;=('1-Input'!$C$12-1),'1-Input'!$B$12,0))))*(1/(1-'P-Parametri'!$B$6*W386))),MAX(0,0*W341-(AA385-MIN(MAX(AA385,0),MAX(0,W341-IF($A386&gt;=('1-Input'!$C$12-1),'1-Input'!$B$12,0)))))*(1/(1-'P-Parametri'!$B$6*W386))))</f>
        <v>9922.1736676325509</v>
      </c>
      <c r="Y386" s="18">
        <f>IF($A386&gt;'1-Input'!$B$26,AA385,(AA385-MAX(0,W341-IF($A386&gt;=('1-Input'!$C$12-1),'1-Input'!$B$12,0))+X386*(1-'P-Parametri'!$B$6*W386))*(1+'1-Input'!$B$27))</f>
        <v>0</v>
      </c>
      <c r="Z386" s="18">
        <f>IF($A386&gt;'1-Input'!$B$26,AB385,(AB385-X386)*(1+'5-Roberta'!$C$4))</f>
        <v>20409.076252466191</v>
      </c>
      <c r="AA386" s="18">
        <f>IF($A386&gt;'1-Input'!$B$26,Y386,Y386-'P-Parametri'!$B$8*(Z386+Y386)+MIN(MAX(Z386,0),'P-Parametri'!$B$8*(Z386+Y386)))</f>
        <v>0</v>
      </c>
      <c r="AB386" s="18">
        <f>IF($A386&gt;'1-Input'!$B$26,Z386,Z386-MIN(MAX(Z386,0),'P-Parametri'!$B$8*(Z386+Y386)))</f>
        <v>20368.258099961258</v>
      </c>
      <c r="AC386" s="18">
        <f>IF($A386&gt;'1-Input'!$B$26,AC385,AC385-X386*(1-W386))</f>
        <v>4880.4342762920005</v>
      </c>
      <c r="AD386" s="11">
        <f>IF($A386&gt;'1-Input'!$B$26,0,IF(AI385&lt;=0,0,MAX(0,(AI385-AJ385)/AI385)))</f>
        <v>0.75369550084495707</v>
      </c>
      <c r="AE386" s="18">
        <f>IF($A386&gt;'1-Input'!$B$26,0,(MAX(0,AD341-IF($A386&gt;=('1-Input'!$C$12-1),'1-Input'!$B$12,0))-MIN(MAX(AH385,0),MAX(0,AD341-IF($A386&gt;=('1-Input'!$C$12-1),'1-Input'!$B$12,0))))*(1/(1-'P-Parametri'!$B$6*AD386))+MIN(MAX(0,AI385-(MAX(0,AD341-IF($A386&gt;=('1-Input'!$C$12-1),'1-Input'!$B$12,0))-MIN(MAX(AH385,0),MAX(0,AD341-IF($A386&gt;=('1-Input'!$C$12-1),'1-Input'!$B$12,0))))*(1/(1-'P-Parametri'!$B$6*AD386))),MAX(0,0*AD341-(AH385-MIN(MAX(AH385,0),MAX(0,AD341-IF($A386&gt;=('1-Input'!$C$12-1),'1-Input'!$B$12,0)))))*(1/(1-'P-Parametri'!$B$6*AD386))))</f>
        <v>9933.1121364565315</v>
      </c>
      <c r="AF386" s="18">
        <f>IF($A386&gt;'1-Input'!$B$26,AH385,(AH385-MAX(0,AD341-IF($A386&gt;=('1-Input'!$C$12-1),'1-Input'!$B$12,0))+AE386*(1-'P-Parametri'!$B$6*AD386))*(1+'1-Input'!$B$27))</f>
        <v>9.0622052084654565E-13</v>
      </c>
      <c r="AG386" s="18">
        <f>IF($A386&gt;'1-Input'!$B$26,AI385,(AI385-AE386)*(1+'5-Roberta'!$C$4))</f>
        <v>19565.733993877755</v>
      </c>
      <c r="AH386" s="18">
        <f>IF($A386&gt;'1-Input'!$B$26,AF386,AF386-'P-Parametri'!$B$8*(AG386+AF386)+MIN(MAX(AG386,0),'P-Parametri'!$B$8*(AG386+AF386)))</f>
        <v>9.0949470177292824E-13</v>
      </c>
      <c r="AI386" s="18">
        <f>IF($A386&gt;'1-Input'!$B$26,AG386,AG386-MIN(MAX(AG386,0),'P-Parametri'!$B$8*(AG386+AF386)))</f>
        <v>19526.602525890001</v>
      </c>
      <c r="AJ386" s="18">
        <f>IF($A386&gt;'1-Input'!$B$26,AJ385,AJ385-AE386*(1-AD386))</f>
        <v>4678.7653514202502</v>
      </c>
      <c r="AK386" s="11">
        <f>IF($A386&gt;'1-Input'!$B$26,0,IF(AP385&lt;=0,0,MAX(0,(AP385-AQ385)/AP385)))</f>
        <v>0.75369550084495707</v>
      </c>
      <c r="AL386" s="18">
        <f>IF($A386&gt;'1-Input'!$B$26,0,(MAX(0,AK341-IF($A386&gt;=('1-Input'!$C$12-1),'1-Input'!$B$12,0))-MIN(MAX(AO385,0),MAX(0,AK341-IF($A386&gt;=('1-Input'!$C$12-1),'1-Input'!$B$12,0))))*(1/(1-'P-Parametri'!$B$6*AK386))+MIN(MAX(0,AP385-(MAX(0,AK341-IF($A386&gt;=('1-Input'!$C$12-1),'1-Input'!$B$12,0))-MIN(MAX(AO385,0),MAX(0,AK341-IF($A386&gt;=('1-Input'!$C$12-1),'1-Input'!$B$12,0))))*(1/(1-'P-Parametri'!$B$6*AK386))),MAX(0,0*AK341-(AO385-MIN(MAX(AO385,0),MAX(0,AK341-IF($A386&gt;=('1-Input'!$C$12-1),'1-Input'!$B$12,0)))))*(1/(1-'P-Parametri'!$B$6*AK386))))</f>
        <v>9931.431638367967</v>
      </c>
      <c r="AM386" s="18">
        <f>IF($A386&gt;'1-Input'!$B$26,AO385,(AO385-MAX(0,AK341-IF($A386&gt;=('1-Input'!$C$12-1),'1-Input'!$B$12,0))+AL386*(1-'P-Parametri'!$B$6*AK386))*(1+'1-Input'!$B$27))</f>
        <v>0</v>
      </c>
      <c r="AN386" s="18">
        <f>IF($A386&gt;'1-Input'!$B$26,AP385,(AP385-AL386)*(1+'5-Roberta'!$C$4))</f>
        <v>19695.298293631982</v>
      </c>
      <c r="AO386" s="18">
        <f>IF($A386&gt;'1-Input'!$B$26,AM386,AM386-'P-Parametri'!$B$8*(AN386+AM386)+MIN(MAX(AN386,0),'P-Parametri'!$B$8*(AN386+AM386)))</f>
        <v>0</v>
      </c>
      <c r="AP386" s="18">
        <f>IF($A386&gt;'1-Input'!$B$26,AN386,AN386-MIN(MAX(AN386,0),'P-Parametri'!$B$8*(AN386+AM386)))</f>
        <v>19655.907697044717</v>
      </c>
      <c r="AQ386" s="18">
        <f>IF($A386&gt;'1-Input'!$B$26,AQ385,AQ385-AL386*(1-AK386))</f>
        <v>4709.7481377885397</v>
      </c>
    </row>
    <row r="387" spans="1:43">
      <c r="A387" s="10">
        <f>44</f>
        <v>44</v>
      </c>
      <c r="B387" s="11">
        <f>IF($A387&gt;'1-Input'!$B$26,0,IF(G386&lt;=0,0,MAX(0,(G386-H386)/G386)))</f>
        <v>0.76039019869346147</v>
      </c>
      <c r="C387" s="18">
        <f>IF($A387&gt;'1-Input'!$B$26,0,(MAX(0,B341-IF($A387&gt;=('1-Input'!$C$12-1),'1-Input'!$B$12,0))-MIN(MAX(F386,0),MAX(0,B341-IF($A387&gt;=('1-Input'!$C$12-1),'1-Input'!$B$12,0))))*(1/(1-'P-Parametri'!$B$6*B387))+MIN(MAX(0,G386-(MAX(0,B341-IF($A387&gt;=('1-Input'!$C$12-1),'1-Input'!$B$12,0))-MIN(MAX(F386,0),MAX(0,B341-IF($A387&gt;=('1-Input'!$C$12-1),'1-Input'!$B$12,0))))*(1/(1-'P-Parametri'!$B$6*B387))),MAX(0,0*B341-(F386-MIN(MAX(F386,0),MAX(0,B341-IF($A387&gt;=('1-Input'!$C$12-1),'1-Input'!$B$12,0)))))*(1/(1-'P-Parametri'!$B$6*B387))))</f>
        <v>6953.8394730630662</v>
      </c>
      <c r="D387" s="18">
        <f>IF($A387&gt;'1-Input'!$B$26,F386,(F386-MAX(0,B341-IF($A387&gt;=('1-Input'!$C$12-1),'1-Input'!$B$12,0))+C387*(1-'P-Parametri'!$B$6*B387))*(1+'1-Input'!$B$27))</f>
        <v>0</v>
      </c>
      <c r="E387" s="18">
        <f>IF($A387&gt;'1-Input'!$B$26,G386,(G386-C387)*(1+'5-Roberta'!$C$4))</f>
        <v>250258.98037602988</v>
      </c>
      <c r="F387" s="18">
        <f>IF($A387&gt;'1-Input'!$B$26,D387,D387-'P-Parametri'!$B$8*(E387+D387)+MIN(MAX(E387,0),'P-Parametri'!$B$8*(E387+D387)))</f>
        <v>0</v>
      </c>
      <c r="G387" s="18">
        <f>IF($A387&gt;'1-Input'!$B$26,E387,E387-MIN(MAX(E387,0),'P-Parametri'!$B$8*(E387+D387)))</f>
        <v>249758.46241527781</v>
      </c>
      <c r="H387" s="18">
        <f>IF($A387&gt;'1-Input'!$B$26,H386,H386-C387*(1-B387))</f>
        <v>58217.96559522079</v>
      </c>
      <c r="I387" s="11">
        <f>IF($A387&gt;'1-Input'!$B$26,0,IF(N386&lt;=0,0,MAX(0,(N386-O386)/N386)))</f>
        <v>0</v>
      </c>
      <c r="J387" s="18">
        <f>IF($A387&gt;'1-Input'!$B$26,0,(MAX(0,I341-IF($A387&gt;=('1-Input'!$C$12-1),'1-Input'!$B$12,0))-MIN(MAX(M386,0),MAX(0,I341-IF($A387&gt;=('1-Input'!$C$12-1),'1-Input'!$B$12,0))))*(1/(1-'P-Parametri'!$B$6*I387))+MIN(MAX(0,N386-(MAX(0,I341-IF($A387&gt;=('1-Input'!$C$12-1),'1-Input'!$B$12,0))-MIN(MAX(M386,0),MAX(0,I341-IF($A387&gt;=('1-Input'!$C$12-1),'1-Input'!$B$12,0))))*(1/(1-'P-Parametri'!$B$6*I387))),MAX(0,0*I341-(M386-MIN(MAX(M386,0),MAX(0,I341-IF($A387&gt;=('1-Input'!$C$12-1),'1-Input'!$B$12,0)))))*(1/(1-'P-Parametri'!$B$6*I387))))</f>
        <v>10846.756992928691</v>
      </c>
      <c r="K387" s="18">
        <f>IF($A387&gt;'1-Input'!$B$26,M386,(M386-MAX(0,I341-IF($A387&gt;=('1-Input'!$C$12-1),'1-Input'!$B$12,0))+J387*(1-'P-Parametri'!$B$6*I387))*(1+'1-Input'!$B$27))</f>
        <v>-1.8124410416930913E-12</v>
      </c>
      <c r="L387" s="18">
        <f>IF($A387&gt;'1-Input'!$B$26,N386,(N386-J387)*(1+'5-Roberta'!$C$4))</f>
        <v>-226548.89848720262</v>
      </c>
      <c r="M387" s="18">
        <f>IF($A387&gt;'1-Input'!$B$26,K387,K387-'P-Parametri'!$B$8*(L387+K387)+MIN(MAX(L387,0),'P-Parametri'!$B$8*(L387+K387)))</f>
        <v>-1.8189894035458565E-12</v>
      </c>
      <c r="N387" s="18">
        <f>IF($A387&gt;'1-Input'!$B$26,L387,L387-MIN(MAX(L387,0),'P-Parametri'!$B$8*(L387+K387)))</f>
        <v>-226095.80069022821</v>
      </c>
      <c r="O387" s="18">
        <f>IF($A387&gt;'1-Input'!$B$26,O386,O386-J387*(1-I387))</f>
        <v>-174706.02769588618</v>
      </c>
      <c r="P387" s="11">
        <f>IF($A387&gt;'1-Input'!$B$26,0,IF(U386&lt;=0,0,MAX(0,(U386-V386)/U386)))</f>
        <v>0</v>
      </c>
      <c r="Q387" s="18">
        <f>IF($A387&gt;'1-Input'!$B$26,0,(MAX(0,P341-IF($A387&gt;=('1-Input'!$C$12-1),'1-Input'!$B$12,0))-MIN(MAX(T386,0),MAX(0,P341-IF($A387&gt;=('1-Input'!$C$12-1),'1-Input'!$B$12,0))))*(1/(1-'P-Parametri'!$B$6*P387))+MIN(MAX(0,U386-(MAX(0,P341-IF($A387&gt;=('1-Input'!$C$12-1),'1-Input'!$B$12,0))-MIN(MAX(T386,0),MAX(0,P341-IF($A387&gt;=('1-Input'!$C$12-1),'1-Input'!$B$12,0))))*(1/(1-'P-Parametri'!$B$6*P387))),MAX(0,0*P341-(T386-MIN(MAX(T386,0),MAX(0,P341-IF($A387&gt;=('1-Input'!$C$12-1),'1-Input'!$B$12,0)))))*(1/(1-'P-Parametri'!$B$6*P387))))</f>
        <v>8245.0096044631537</v>
      </c>
      <c r="R387" s="18">
        <f>IF($A387&gt;'1-Input'!$B$26,T386,(T386-MAX(0,P341-IF($A387&gt;=('1-Input'!$C$12-1),'1-Input'!$B$12,0))+Q387*(1-'P-Parametri'!$B$6*P387))*(1+'1-Input'!$B$27))</f>
        <v>0</v>
      </c>
      <c r="S387" s="18">
        <f>IF($A387&gt;'1-Input'!$B$26,U386,(U386-Q387)*(1+'5-Roberta'!$C$4))</f>
        <v>-13849.883747295873</v>
      </c>
      <c r="T387" s="18">
        <f>IF($A387&gt;'1-Input'!$B$26,R387,R387-'P-Parametri'!$B$8*(S387+R387)+MIN(MAX(S387,0),'P-Parametri'!$B$8*(S387+R387)))</f>
        <v>0</v>
      </c>
      <c r="U387" s="18">
        <f>IF($A387&gt;'1-Input'!$B$26,S387,S387-MIN(MAX(S387,0),'P-Parametri'!$B$8*(S387+R387)))</f>
        <v>-13822.183979801281</v>
      </c>
      <c r="V387" s="18">
        <f>IF($A387&gt;'1-Input'!$B$26,V386,V386-Q387*(1-P387))</f>
        <v>-9491.335066909196</v>
      </c>
      <c r="W387" s="11">
        <f>IF($A387&gt;'1-Input'!$B$26,0,IF(AB386&lt;=0,0,MAX(0,(AB386-AC386)/AB386)))</f>
        <v>0.76039019869346203</v>
      </c>
      <c r="X387" s="18">
        <f>IF($A387&gt;'1-Input'!$B$26,0,(MAX(0,W341-IF($A387&gt;=('1-Input'!$C$12-1),'1-Input'!$B$12,0))-MIN(MAX(AA386,0),MAX(0,W341-IF($A387&gt;=('1-Input'!$C$12-1),'1-Input'!$B$12,0))))*(1/(1-'P-Parametri'!$B$6*W387))+MIN(MAX(0,AB386-(MAX(0,W341-IF($A387&gt;=('1-Input'!$C$12-1),'1-Input'!$B$12,0))-MIN(MAX(AA386,0),MAX(0,W341-IF($A387&gt;=('1-Input'!$C$12-1),'1-Input'!$B$12,0))))*(1/(1-'P-Parametri'!$B$6*W387))),MAX(0,0*W341-(AA386-MIN(MAX(AA386,0),MAX(0,W341-IF($A387&gt;=('1-Input'!$C$12-1),'1-Input'!$B$12,0)))))*(1/(1-'P-Parametri'!$B$6*W387))))</f>
        <v>9943.7002530403024</v>
      </c>
      <c r="Y387" s="18">
        <f>IF($A387&gt;'1-Input'!$B$26,AA386,(AA386-MAX(0,W341-IF($A387&gt;=('1-Input'!$C$12-1),'1-Input'!$B$12,0))+X387*(1-'P-Parametri'!$B$6*W387))*(1+'1-Input'!$B$27))</f>
        <v>0</v>
      </c>
      <c r="Z387" s="18">
        <f>IF($A387&gt;'1-Input'!$B$26,AB386,(AB386-X387)*(1+'5-Roberta'!$C$4))</f>
        <v>10737.294582328585</v>
      </c>
      <c r="AA387" s="18">
        <f>IF($A387&gt;'1-Input'!$B$26,Y387,Y387-'P-Parametri'!$B$8*(Z387+Y387)+MIN(MAX(Z387,0),'P-Parametri'!$B$8*(Z387+Y387)))</f>
        <v>0</v>
      </c>
      <c r="AB387" s="18">
        <f>IF($A387&gt;'1-Input'!$B$26,Z387,Z387-MIN(MAX(Z387,0),'P-Parametri'!$B$8*(Z387+Y387)))</f>
        <v>10715.819993163926</v>
      </c>
      <c r="AC387" s="18">
        <f>IF($A387&gt;'1-Input'!$B$26,AC386,AC386-X387*(1-W387))</f>
        <v>2497.8262344092423</v>
      </c>
      <c r="AD387" s="11">
        <f>IF($A387&gt;'1-Input'!$B$26,0,IF(AI386&lt;=0,0,MAX(0,(AI386-AJ386)/AI386)))</f>
        <v>0.76039019869346181</v>
      </c>
      <c r="AE387" s="18">
        <f>IF($A387&gt;'1-Input'!$B$26,0,(MAX(0,AD341-IF($A387&gt;=('1-Input'!$C$12-1),'1-Input'!$B$12,0))-MIN(MAX(AH386,0),MAX(0,AD341-IF($A387&gt;=('1-Input'!$C$12-1),'1-Input'!$B$12,0))))*(1/(1-'P-Parametri'!$B$6*AD387))+MIN(MAX(0,AI386-(MAX(0,AD341-IF($A387&gt;=('1-Input'!$C$12-1),'1-Input'!$B$12,0))-MIN(MAX(AH386,0),MAX(0,AD341-IF($A387&gt;=('1-Input'!$C$12-1),'1-Input'!$B$12,0))))*(1/(1-'P-Parametri'!$B$6*AD387))),MAX(0,0*AD341-(AH386-MIN(MAX(AH386,0),MAX(0,AD341-IF($A387&gt;=('1-Input'!$C$12-1),'1-Input'!$B$12,0)))))*(1/(1-'P-Parametri'!$B$6*AD387))))</f>
        <v>9954.6624533460345</v>
      </c>
      <c r="AF387" s="18">
        <f>IF($A387&gt;'1-Input'!$B$26,AH386,(AH386-MAX(0,AD341-IF($A387&gt;=('1-Input'!$C$12-1),'1-Input'!$B$12,0))+AE387*(1-'P-Parametri'!$B$6*AD387))*(1+'1-Input'!$B$27))</f>
        <v>9.0622052084654565E-13</v>
      </c>
      <c r="AG387" s="18">
        <f>IF($A387&gt;'1-Input'!$B$26,AI386,(AI386-AE387)*(1+'5-Roberta'!$C$4))</f>
        <v>9859.0982747202852</v>
      </c>
      <c r="AH387" s="18">
        <f>IF($A387&gt;'1-Input'!$B$26,AF387,AF387-'P-Parametri'!$B$8*(AG387+AF387)+MIN(MAX(AG387,0),'P-Parametri'!$B$8*(AG387+AF387)))</f>
        <v>9.0594198809412774E-13</v>
      </c>
      <c r="AI387" s="18">
        <f>IF($A387&gt;'1-Input'!$B$26,AG387,AG387-MIN(MAX(AG387,0),'P-Parametri'!$B$8*(AG387+AF387)))</f>
        <v>9839.3800781708451</v>
      </c>
      <c r="AJ387" s="18">
        <f>IF($A387&gt;'1-Input'!$B$26,AJ386,AJ386-AE387*(1-AD387))</f>
        <v>2293.5306589003508</v>
      </c>
      <c r="AK387" s="11">
        <f>IF($A387&gt;'1-Input'!$B$26,0,IF(AP386&lt;=0,0,MAX(0,(AP386-AQ386)/AP386)))</f>
        <v>0.76039019869346181</v>
      </c>
      <c r="AL387" s="18">
        <f>IF($A387&gt;'1-Input'!$B$26,0,(MAX(0,AK341-IF($A387&gt;=('1-Input'!$C$12-1),'1-Input'!$B$12,0))-MIN(MAX(AO386,0),MAX(0,AK341-IF($A387&gt;=('1-Input'!$C$12-1),'1-Input'!$B$12,0))))*(1/(1-'P-Parametri'!$B$6*AK387))+MIN(MAX(0,AP386-(MAX(0,AK341-IF($A387&gt;=('1-Input'!$C$12-1),'1-Input'!$B$12,0))-MIN(MAX(AO386,0),MAX(0,AK341-IF($A387&gt;=('1-Input'!$C$12-1),'1-Input'!$B$12,0))))*(1/(1-'P-Parametri'!$B$6*AK387))),MAX(0,0*AK341-(AO386-MIN(MAX(AO386,0),MAX(0,AK341-IF($A387&gt;=('1-Input'!$C$12-1),'1-Input'!$B$12,0)))))*(1/(1-'P-Parametri'!$B$6*AK387))))</f>
        <v>9952.9783093441019</v>
      </c>
      <c r="AM387" s="18">
        <f>IF($A387&gt;'1-Input'!$B$26,AO386,(AO386-MAX(0,AK341-IF($A387&gt;=('1-Input'!$C$12-1),'1-Input'!$B$12,0))+AL387*(1-'P-Parametri'!$B$6*AK387))*(1+'1-Input'!$B$27))</f>
        <v>0</v>
      </c>
      <c r="AN387" s="18">
        <f>IF($A387&gt;'1-Input'!$B$26,AP386,(AP386-AL387)*(1+'5-Roberta'!$C$4))</f>
        <v>9994.0172693316326</v>
      </c>
      <c r="AO387" s="18">
        <f>IF($A387&gt;'1-Input'!$B$26,AM387,AM387-'P-Parametri'!$B$8*(AN387+AM387)+MIN(MAX(AN387,0),'P-Parametri'!$B$8*(AN387+AM387)))</f>
        <v>0</v>
      </c>
      <c r="AP387" s="18">
        <f>IF($A387&gt;'1-Input'!$B$26,AN387,AN387-MIN(MAX(AN387,0),'P-Parametri'!$B$8*(AN387+AM387)))</f>
        <v>9974.0292347929699</v>
      </c>
      <c r="AQ387" s="18">
        <f>IF($A387&gt;'1-Input'!$B$26,AQ386,AQ386-AL387*(1-AK387))</f>
        <v>2324.916982678315</v>
      </c>
    </row>
    <row r="388" spans="1:43">
      <c r="A388" s="10">
        <f>45</f>
        <v>45</v>
      </c>
      <c r="B388" s="11">
        <f>IF($A388&gt;'1-Input'!$B$26,0,IF(G387&lt;=0,0,MAX(0,(G387-H387)/G387)))</f>
        <v>0.76690293080672178</v>
      </c>
      <c r="C388" s="18">
        <f>IF($A388&gt;'1-Input'!$B$26,0,(MAX(0,B341-IF($A388&gt;=('1-Input'!$C$12-1),'1-Input'!$B$12,0))-MIN(MAX(F387,0),MAX(0,B341-IF($A388&gt;=('1-Input'!$C$12-1),'1-Input'!$B$12,0))))*(1/(1-'P-Parametri'!$B$6*B388))+MIN(MAX(0,G387-(MAX(0,B341-IF($A388&gt;=('1-Input'!$C$12-1),'1-Input'!$B$12,0))-MIN(MAX(F387,0),MAX(0,B341-IF($A388&gt;=('1-Input'!$C$12-1),'1-Input'!$B$12,0))))*(1/(1-'P-Parametri'!$B$6*B388))),MAX(0,0*B341-(F387-MIN(MAX(F387,0),MAX(0,B341-IF($A388&gt;=('1-Input'!$C$12-1),'1-Input'!$B$12,0)))))*(1/(1-'P-Parametri'!$B$6*B388))))</f>
        <v>6968.5471064751255</v>
      </c>
      <c r="D388" s="18">
        <f>IF($A388&gt;'1-Input'!$B$26,F387,(F387-MAX(0,B341-IF($A388&gt;=('1-Input'!$C$12-1),'1-Input'!$B$12,0))+C388*(1-'P-Parametri'!$B$6*B388))*(1+'1-Input'!$B$27))</f>
        <v>-9.0622052084654565E-13</v>
      </c>
      <c r="E388" s="18">
        <f>IF($A388&gt;'1-Input'!$B$26,G387,(G387-C388)*(1+'5-Roberta'!$C$4))</f>
        <v>250073.61276806676</v>
      </c>
      <c r="F388" s="18">
        <f>IF($A388&gt;'1-Input'!$B$26,D388,D388-'P-Parametri'!$B$8*(E388+D388)+MIN(MAX(E388,0),'P-Parametri'!$B$8*(E388+D388)))</f>
        <v>-9.0949470177292824E-13</v>
      </c>
      <c r="G388" s="18">
        <f>IF($A388&gt;'1-Input'!$B$26,E388,E388-MIN(MAX(E388,0),'P-Parametri'!$B$8*(E388+D388)))</f>
        <v>249573.46554253061</v>
      </c>
      <c r="H388" s="18">
        <f>IF($A388&gt;'1-Input'!$B$26,H387,H387-C388*(1-B388))</f>
        <v>56593.617688166138</v>
      </c>
      <c r="I388" s="11">
        <f>IF($A388&gt;'1-Input'!$B$26,0,IF(N387&lt;=0,0,MAX(0,(N387-O387)/N387)))</f>
        <v>0</v>
      </c>
      <c r="J388" s="18">
        <f>IF($A388&gt;'1-Input'!$B$26,0,(MAX(0,I341-IF($A388&gt;=('1-Input'!$C$12-1),'1-Input'!$B$12,0))-MIN(MAX(M387,0),MAX(0,I341-IF($A388&gt;=('1-Input'!$C$12-1),'1-Input'!$B$12,0))))*(1/(1-'P-Parametri'!$B$6*I388))+MIN(MAX(0,N387-(MAX(0,I341-IF($A388&gt;=('1-Input'!$C$12-1),'1-Input'!$B$12,0))-MIN(MAX(M387,0),MAX(0,I341-IF($A388&gt;=('1-Input'!$C$12-1),'1-Input'!$B$12,0))))*(1/(1-'P-Parametri'!$B$6*I388))),MAX(0,0*I341-(M387-MIN(MAX(M387,0),MAX(0,I341-IF($A388&gt;=('1-Input'!$C$12-1),'1-Input'!$B$12,0)))))*(1/(1-'P-Parametri'!$B$6*I388))))</f>
        <v>10846.756992928691</v>
      </c>
      <c r="K388" s="18">
        <f>IF($A388&gt;'1-Input'!$B$26,M387,(M387-MAX(0,I341-IF($A388&gt;=('1-Input'!$C$12-1),'1-Input'!$B$12,0))+J388*(1-'P-Parametri'!$B$6*I388))*(1+'1-Input'!$B$27))</f>
        <v>-1.8124410416930913E-12</v>
      </c>
      <c r="L388" s="18">
        <f>IF($A388&gt;'1-Input'!$B$26,N387,(N387-J388)*(1+'5-Roberta'!$C$4))</f>
        <v>-244050.83441365161</v>
      </c>
      <c r="M388" s="18">
        <f>IF($A388&gt;'1-Input'!$B$26,K388,K388-'P-Parametri'!$B$8*(L388+K388)+MIN(MAX(L388,0),'P-Parametri'!$B$8*(L388+K388)))</f>
        <v>-1.8189894035458565E-12</v>
      </c>
      <c r="N388" s="18">
        <f>IF($A388&gt;'1-Input'!$B$26,L388,L388-MIN(MAX(L388,0),'P-Parametri'!$B$8*(L388+K388)))</f>
        <v>-243562.73274482432</v>
      </c>
      <c r="O388" s="18">
        <f>IF($A388&gt;'1-Input'!$B$26,O387,O387-J388*(1-I388))</f>
        <v>-185552.78468881486</v>
      </c>
      <c r="P388" s="11">
        <f>IF($A388&gt;'1-Input'!$B$26,0,IF(U387&lt;=0,0,MAX(0,(U387-V387)/U387)))</f>
        <v>0</v>
      </c>
      <c r="Q388" s="18">
        <f>IF($A388&gt;'1-Input'!$B$26,0,(MAX(0,P341-IF($A388&gt;=('1-Input'!$C$12-1),'1-Input'!$B$12,0))-MIN(MAX(T387,0),MAX(0,P341-IF($A388&gt;=('1-Input'!$C$12-1),'1-Input'!$B$12,0))))*(1/(1-'P-Parametri'!$B$6*P388))+MIN(MAX(0,U387-(MAX(0,P341-IF($A388&gt;=('1-Input'!$C$12-1),'1-Input'!$B$12,0))-MIN(MAX(T387,0),MAX(0,P341-IF($A388&gt;=('1-Input'!$C$12-1),'1-Input'!$B$12,0))))*(1/(1-'P-Parametri'!$B$6*P388))),MAX(0,0*P341-(T387-MIN(MAX(T387,0),MAX(0,P341-IF($A388&gt;=('1-Input'!$C$12-1),'1-Input'!$B$12,0)))))*(1/(1-'P-Parametri'!$B$6*P388))))</f>
        <v>8245.0096044631537</v>
      </c>
      <c r="R388" s="18">
        <f>IF($A388&gt;'1-Input'!$B$26,T387,(T387-MAX(0,P341-IF($A388&gt;=('1-Input'!$C$12-1),'1-Input'!$B$12,0))+Q388*(1-'P-Parametri'!$B$6*P388))*(1+'1-Input'!$B$27))</f>
        <v>0</v>
      </c>
      <c r="S388" s="18">
        <f>IF($A388&gt;'1-Input'!$B$26,U387,(U387-Q388)*(1+'5-Roberta'!$C$4))</f>
        <v>-22729.209391792367</v>
      </c>
      <c r="T388" s="18">
        <f>IF($A388&gt;'1-Input'!$B$26,R388,R388-'P-Parametri'!$B$8*(S388+R388)+MIN(MAX(S388,0),'P-Parametri'!$B$8*(S388+R388)))</f>
        <v>0</v>
      </c>
      <c r="U388" s="18">
        <f>IF($A388&gt;'1-Input'!$B$26,S388,S388-MIN(MAX(S388,0),'P-Parametri'!$B$8*(S388+R388)))</f>
        <v>-22683.75097300878</v>
      </c>
      <c r="V388" s="18">
        <f>IF($A388&gt;'1-Input'!$B$26,V387,V387-Q388*(1-P388))</f>
        <v>-17736.34467137235</v>
      </c>
      <c r="W388" s="11">
        <f>IF($A388&gt;'1-Input'!$B$26,0,IF(AB387&lt;=0,0,MAX(0,(AB387-AC387)/AB387)))</f>
        <v>0.76690293080672212</v>
      </c>
      <c r="X388" s="18">
        <f>IF($A388&gt;'1-Input'!$B$26,0,(MAX(0,W341-IF($A388&gt;=('1-Input'!$C$12-1),'1-Input'!$B$12,0))-MIN(MAX(AA387,0),MAX(0,W341-IF($A388&gt;=('1-Input'!$C$12-1),'1-Input'!$B$12,0))))*(1/(1-'P-Parametri'!$B$6*W388))+MIN(MAX(0,AB387-(MAX(0,W341-IF($A388&gt;=('1-Input'!$C$12-1),'1-Input'!$B$12,0))-MIN(MAX(AA387,0),MAX(0,W341-IF($A388&gt;=('1-Input'!$C$12-1),'1-Input'!$B$12,0))))*(1/(1-'P-Parametri'!$B$6*W388))),MAX(0,0*W341-(AA387-MIN(MAX(AA387,0),MAX(0,W341-IF($A388&gt;=('1-Input'!$C$12-1),'1-Input'!$B$12,0)))))*(1/(1-'P-Parametri'!$B$6*W388))))</f>
        <v>9964.7315550494495</v>
      </c>
      <c r="Y388" s="18">
        <f>IF($A388&gt;'1-Input'!$B$26,AA387,(AA387-MAX(0,W341-IF($A388&gt;=('1-Input'!$C$12-1),'1-Input'!$B$12,0))+X388*(1-'P-Parametri'!$B$6*W388))*(1+'1-Input'!$B$27))</f>
        <v>0</v>
      </c>
      <c r="Z388" s="18">
        <f>IF($A388&gt;'1-Input'!$B$26,AB387,(AB387-X388)*(1+'5-Roberta'!$C$4))</f>
        <v>773.6210912579113</v>
      </c>
      <c r="AA388" s="18">
        <f>IF($A388&gt;'1-Input'!$B$26,Y388,Y388-'P-Parametri'!$B$8*(Z388+Y388)+MIN(MAX(Z388,0),'P-Parametri'!$B$8*(Z388+Y388)))</f>
        <v>0</v>
      </c>
      <c r="AB388" s="18">
        <f>IF($A388&gt;'1-Input'!$B$26,Z388,Z388-MIN(MAX(Z388,0),'P-Parametri'!$B$8*(Z388+Y388)))</f>
        <v>772.07384907539551</v>
      </c>
      <c r="AC388" s="18">
        <f>IF($A388&gt;'1-Input'!$B$26,AC387,AC387-X388*(1-W388))</f>
        <v>175.07651362944125</v>
      </c>
      <c r="AD388" s="11">
        <f>IF($A388&gt;'1-Input'!$B$26,0,IF(AI387&lt;=0,0,MAX(0,(AI387-AJ387)/AI387)))</f>
        <v>0.76690293080672201</v>
      </c>
      <c r="AE388" s="18">
        <f>IF($A388&gt;'1-Input'!$B$26,0,(MAX(0,AD341-IF($A388&gt;=('1-Input'!$C$12-1),'1-Input'!$B$12,0))-MIN(MAX(AH387,0),MAX(0,AD341-IF($A388&gt;=('1-Input'!$C$12-1),'1-Input'!$B$12,0))))*(1/(1-'P-Parametri'!$B$6*AD388))+MIN(MAX(0,AI387-(MAX(0,AD341-IF($A388&gt;=('1-Input'!$C$12-1),'1-Input'!$B$12,0))-MIN(MAX(AH387,0),MAX(0,AD341-IF($A388&gt;=('1-Input'!$C$12-1),'1-Input'!$B$12,0))))*(1/(1-'P-Parametri'!$B$6*AD388))),MAX(0,0*AD341-(AH387-MIN(MAX(AH387,0),MAX(0,AD341-IF($A388&gt;=('1-Input'!$C$12-1),'1-Input'!$B$12,0)))))*(1/(1-'P-Parametri'!$B$6*AD388))))</f>
        <v>9975.7169408233112</v>
      </c>
      <c r="AF388" s="18">
        <f>IF($A388&gt;'1-Input'!$B$26,AH387,(AH387-MAX(0,AD341-IF($A388&gt;=('1-Input'!$C$12-1),'1-Input'!$B$12,0))+AE388*(1-'P-Parametri'!$B$6*AD388))*(1+'1-Input'!$B$27))</f>
        <v>0</v>
      </c>
      <c r="AG388" s="18">
        <f>IF($A388&gt;'1-Input'!$B$26,AI387,(AI387-AE388)*(1+'5-Roberta'!$C$4))</f>
        <v>-140.42696853204015</v>
      </c>
      <c r="AH388" s="18">
        <f>IF($A388&gt;'1-Input'!$B$26,AF388,AF388-'P-Parametri'!$B$8*(AG388+AF388)+MIN(MAX(AG388,0),'P-Parametri'!$B$8*(AG388+AF388)))</f>
        <v>0</v>
      </c>
      <c r="AI388" s="18">
        <f>IF($A388&gt;'1-Input'!$B$26,AG388,AG388-MIN(MAX(AG388,0),'P-Parametri'!$B$8*(AG388+AF388)))</f>
        <v>-140.14611459497607</v>
      </c>
      <c r="AJ388" s="18">
        <f>IF($A388&gt;'1-Input'!$B$26,AJ387,AJ387-AE388*(1-AD388))</f>
        <v>-31.779723107295922</v>
      </c>
      <c r="AK388" s="11">
        <f>IF($A388&gt;'1-Input'!$B$26,0,IF(AP387&lt;=0,0,MAX(0,(AP387-AQ387)/AP387)))</f>
        <v>0.76690293080672201</v>
      </c>
      <c r="AL388" s="18">
        <f>IF($A388&gt;'1-Input'!$B$26,0,(MAX(0,AK341-IF($A388&gt;=('1-Input'!$C$12-1),'1-Input'!$B$12,0))-MIN(MAX(AO387,0),MAX(0,AK341-IF($A388&gt;=('1-Input'!$C$12-1),'1-Input'!$B$12,0))))*(1/(1-'P-Parametri'!$B$6*AK388))+MIN(MAX(0,AP387-(MAX(0,AK341-IF($A388&gt;=('1-Input'!$C$12-1),'1-Input'!$B$12,0))-MIN(MAX(AO387,0),MAX(0,AK341-IF($A388&gt;=('1-Input'!$C$12-1),'1-Input'!$B$12,0))))*(1/(1-'P-Parametri'!$B$6*AK388))),MAX(0,0*AK341-(AO387-MIN(MAX(AO387,0),MAX(0,AK341-IF($A388&gt;=('1-Input'!$C$12-1),'1-Input'!$B$12,0)))))*(1/(1-'P-Parametri'!$B$6*AK388))))</f>
        <v>9974.0292347931372</v>
      </c>
      <c r="AM388" s="18">
        <f>IF($A388&gt;'1-Input'!$B$26,AO387,(AO387-MAX(0,AK341-IF($A388&gt;=('1-Input'!$C$12-1),'1-Input'!$B$12,0))+AL388*(1-'P-Parametri'!$B$6*AK388))*(1+'1-Input'!$B$27))</f>
        <v>0</v>
      </c>
      <c r="AN388" s="18">
        <f>IF($A388&gt;'1-Input'!$B$26,AP387,(AP387-AL388)*(1+'5-Roberta'!$C$4))</f>
        <v>-1.7236743588000537E-10</v>
      </c>
      <c r="AO388" s="18">
        <f>IF($A388&gt;'1-Input'!$B$26,AM388,AM388-'P-Parametri'!$B$8*(AN388+AM388)+MIN(MAX(AN388,0),'P-Parametri'!$B$8*(AN388+AM388)))</f>
        <v>0</v>
      </c>
      <c r="AP388" s="18">
        <f>IF($A388&gt;'1-Input'!$B$26,AN388,AN388-MIN(MAX(AN388,0),'P-Parametri'!$B$8*(AN388+AM388)))</f>
        <v>-1.7202270100824536E-10</v>
      </c>
      <c r="AQ388" s="18">
        <f>IF($A388&gt;'1-Input'!$B$26,AQ387,AQ387-AL388*(1-AK388))</f>
        <v>-3.865352482534945E-11</v>
      </c>
    </row>
    <row r="389" spans="1:43">
      <c r="A389" s="10">
        <f>46</f>
        <v>46</v>
      </c>
      <c r="B389" s="11">
        <f>IF($A389&gt;'1-Input'!$B$26,0,IF(G388&lt;=0,0,MAX(0,(G388-H388)/G388)))</f>
        <v>0</v>
      </c>
      <c r="C389" s="18">
        <f>IF($A389&gt;'1-Input'!$B$26,0,(MAX(0,B341-IF($A389&gt;=('1-Input'!$C$12-1),'1-Input'!$B$12,0))-MIN(MAX(F388,0),MAX(0,B341-IF($A389&gt;=('1-Input'!$C$12-1),'1-Input'!$B$12,0))))*(1/(1-'P-Parametri'!$B$6*B389))+MIN(MAX(0,G388-(MAX(0,B341-IF($A389&gt;=('1-Input'!$C$12-1),'1-Input'!$B$12,0))-MIN(MAX(F388,0),MAX(0,B341-IF($A389&gt;=('1-Input'!$C$12-1),'1-Input'!$B$12,0))))*(1/(1-'P-Parametri'!$B$6*B389))),MAX(0,0*B341-(F388-MIN(MAX(F388,0),MAX(0,B341-IF($A389&gt;=('1-Input'!$C$12-1),'1-Input'!$B$12,0)))))*(1/(1-'P-Parametri'!$B$6*B389))))</f>
        <v>0</v>
      </c>
      <c r="D389" s="18">
        <f>IF($A389&gt;'1-Input'!$B$26,F388,(F388-MAX(0,B341-IF($A389&gt;=('1-Input'!$C$12-1),'1-Input'!$B$12,0))+C389*(1-'P-Parametri'!$B$6*B389))*(1+'1-Input'!$B$27))</f>
        <v>-9.0949470177292824E-13</v>
      </c>
      <c r="E389" s="18">
        <f>IF($A389&gt;'1-Input'!$B$26,G388,(G388-C389)*(1+'5-Roberta'!$C$4))</f>
        <v>249573.46554253061</v>
      </c>
      <c r="F389" s="18">
        <f>IF($A389&gt;'1-Input'!$B$26,D389,D389-'P-Parametri'!$B$8*(E389+D389)+MIN(MAX(E389,0),'P-Parametri'!$B$8*(E389+D389)))</f>
        <v>-9.0949470177292824E-13</v>
      </c>
      <c r="G389" s="18">
        <f>IF($A389&gt;'1-Input'!$B$26,E389,E389-MIN(MAX(E389,0),'P-Parametri'!$B$8*(E389+D389)))</f>
        <v>249573.46554253061</v>
      </c>
      <c r="H389" s="18">
        <f>IF($A389&gt;'1-Input'!$B$26,H388,H388-C389*(1-B389))</f>
        <v>56593.617688166138</v>
      </c>
      <c r="I389" s="11">
        <f>IF($A389&gt;'1-Input'!$B$26,0,IF(N388&lt;=0,0,MAX(0,(N388-O388)/N388)))</f>
        <v>0</v>
      </c>
      <c r="J389" s="18">
        <f>IF($A389&gt;'1-Input'!$B$26,0,(MAX(0,I341-IF($A389&gt;=('1-Input'!$C$12-1),'1-Input'!$B$12,0))-MIN(MAX(M388,0),MAX(0,I341-IF($A389&gt;=('1-Input'!$C$12-1),'1-Input'!$B$12,0))))*(1/(1-'P-Parametri'!$B$6*I389))+MIN(MAX(0,N388-(MAX(0,I341-IF($A389&gt;=('1-Input'!$C$12-1),'1-Input'!$B$12,0))-MIN(MAX(M388,0),MAX(0,I341-IF($A389&gt;=('1-Input'!$C$12-1),'1-Input'!$B$12,0))))*(1/(1-'P-Parametri'!$B$6*I389))),MAX(0,0*I341-(M388-MIN(MAX(M388,0),MAX(0,I341-IF($A389&gt;=('1-Input'!$C$12-1),'1-Input'!$B$12,0)))))*(1/(1-'P-Parametri'!$B$6*I389))))</f>
        <v>0</v>
      </c>
      <c r="K389" s="18">
        <f>IF($A389&gt;'1-Input'!$B$26,M388,(M388-MAX(0,I341-IF($A389&gt;=('1-Input'!$C$12-1),'1-Input'!$B$12,0))+J389*(1-'P-Parametri'!$B$6*I389))*(1+'1-Input'!$B$27))</f>
        <v>-1.8189894035458565E-12</v>
      </c>
      <c r="L389" s="18">
        <f>IF($A389&gt;'1-Input'!$B$26,N388,(N388-J389)*(1+'5-Roberta'!$C$4))</f>
        <v>-243562.73274482432</v>
      </c>
      <c r="M389" s="18">
        <f>IF($A389&gt;'1-Input'!$B$26,K389,K389-'P-Parametri'!$B$8*(L389+K389)+MIN(MAX(L389,0),'P-Parametri'!$B$8*(L389+K389)))</f>
        <v>-1.8189894035458565E-12</v>
      </c>
      <c r="N389" s="18">
        <f>IF($A389&gt;'1-Input'!$B$26,L389,L389-MIN(MAX(L389,0),'P-Parametri'!$B$8*(L389+K389)))</f>
        <v>-243562.73274482432</v>
      </c>
      <c r="O389" s="18">
        <f>IF($A389&gt;'1-Input'!$B$26,O388,O388-J389*(1-I389))</f>
        <v>-185552.78468881486</v>
      </c>
      <c r="P389" s="11">
        <f>IF($A389&gt;'1-Input'!$B$26,0,IF(U388&lt;=0,0,MAX(0,(U388-V388)/U388)))</f>
        <v>0</v>
      </c>
      <c r="Q389" s="18">
        <f>IF($A389&gt;'1-Input'!$B$26,0,(MAX(0,P341-IF($A389&gt;=('1-Input'!$C$12-1),'1-Input'!$B$12,0))-MIN(MAX(T388,0),MAX(0,P341-IF($A389&gt;=('1-Input'!$C$12-1),'1-Input'!$B$12,0))))*(1/(1-'P-Parametri'!$B$6*P389))+MIN(MAX(0,U388-(MAX(0,P341-IF($A389&gt;=('1-Input'!$C$12-1),'1-Input'!$B$12,0))-MIN(MAX(T388,0),MAX(0,P341-IF($A389&gt;=('1-Input'!$C$12-1),'1-Input'!$B$12,0))))*(1/(1-'P-Parametri'!$B$6*P389))),MAX(0,0*P341-(T388-MIN(MAX(T388,0),MAX(0,P341-IF($A389&gt;=('1-Input'!$C$12-1),'1-Input'!$B$12,0)))))*(1/(1-'P-Parametri'!$B$6*P389))))</f>
        <v>0</v>
      </c>
      <c r="R389" s="18">
        <f>IF($A389&gt;'1-Input'!$B$26,T388,(T388-MAX(0,P341-IF($A389&gt;=('1-Input'!$C$12-1),'1-Input'!$B$12,0))+Q389*(1-'P-Parametri'!$B$6*P389))*(1+'1-Input'!$B$27))</f>
        <v>0</v>
      </c>
      <c r="S389" s="18">
        <f>IF($A389&gt;'1-Input'!$B$26,U388,(U388-Q389)*(1+'5-Roberta'!$C$4))</f>
        <v>-22683.75097300878</v>
      </c>
      <c r="T389" s="18">
        <f>IF($A389&gt;'1-Input'!$B$26,R389,R389-'P-Parametri'!$B$8*(S389+R389)+MIN(MAX(S389,0),'P-Parametri'!$B$8*(S389+R389)))</f>
        <v>0</v>
      </c>
      <c r="U389" s="18">
        <f>IF($A389&gt;'1-Input'!$B$26,S389,S389-MIN(MAX(S389,0),'P-Parametri'!$B$8*(S389+R389)))</f>
        <v>-22683.75097300878</v>
      </c>
      <c r="V389" s="18">
        <f>IF($A389&gt;'1-Input'!$B$26,V388,V388-Q389*(1-P389))</f>
        <v>-17736.34467137235</v>
      </c>
      <c r="W389" s="11">
        <f>IF($A389&gt;'1-Input'!$B$26,0,IF(AB388&lt;=0,0,MAX(0,(AB388-AC388)/AB388)))</f>
        <v>0</v>
      </c>
      <c r="X389" s="18">
        <f>IF($A389&gt;'1-Input'!$B$26,0,(MAX(0,W341-IF($A389&gt;=('1-Input'!$C$12-1),'1-Input'!$B$12,0))-MIN(MAX(AA388,0),MAX(0,W341-IF($A389&gt;=('1-Input'!$C$12-1),'1-Input'!$B$12,0))))*(1/(1-'P-Parametri'!$B$6*W389))+MIN(MAX(0,AB388-(MAX(0,W341-IF($A389&gt;=('1-Input'!$C$12-1),'1-Input'!$B$12,0))-MIN(MAX(AA388,0),MAX(0,W341-IF($A389&gt;=('1-Input'!$C$12-1),'1-Input'!$B$12,0))))*(1/(1-'P-Parametri'!$B$6*W389))),MAX(0,0*W341-(AA388-MIN(MAX(AA388,0),MAX(0,W341-IF($A389&gt;=('1-Input'!$C$12-1),'1-Input'!$B$12,0)))))*(1/(1-'P-Parametri'!$B$6*W389))))</f>
        <v>0</v>
      </c>
      <c r="Y389" s="18">
        <f>IF($A389&gt;'1-Input'!$B$26,AA388,(AA388-MAX(0,W341-IF($A389&gt;=('1-Input'!$C$12-1),'1-Input'!$B$12,0))+X389*(1-'P-Parametri'!$B$6*W389))*(1+'1-Input'!$B$27))</f>
        <v>0</v>
      </c>
      <c r="Z389" s="18">
        <f>IF($A389&gt;'1-Input'!$B$26,AB388,(AB388-X389)*(1+'5-Roberta'!$C$4))</f>
        <v>772.07384907539551</v>
      </c>
      <c r="AA389" s="18">
        <f>IF($A389&gt;'1-Input'!$B$26,Y389,Y389-'P-Parametri'!$B$8*(Z389+Y389)+MIN(MAX(Z389,0),'P-Parametri'!$B$8*(Z389+Y389)))</f>
        <v>0</v>
      </c>
      <c r="AB389" s="18">
        <f>IF($A389&gt;'1-Input'!$B$26,Z389,Z389-MIN(MAX(Z389,0),'P-Parametri'!$B$8*(Z389+Y389)))</f>
        <v>772.07384907539551</v>
      </c>
      <c r="AC389" s="18">
        <f>IF($A389&gt;'1-Input'!$B$26,AC388,AC388-X389*(1-W389))</f>
        <v>175.07651362944125</v>
      </c>
      <c r="AD389" s="11">
        <f>IF($A389&gt;'1-Input'!$B$26,0,IF(AI388&lt;=0,0,MAX(0,(AI388-AJ388)/AI388)))</f>
        <v>0</v>
      </c>
      <c r="AE389" s="18">
        <f>IF($A389&gt;'1-Input'!$B$26,0,(MAX(0,AD341-IF($A389&gt;=('1-Input'!$C$12-1),'1-Input'!$B$12,0))-MIN(MAX(AH388,0),MAX(0,AD341-IF($A389&gt;=('1-Input'!$C$12-1),'1-Input'!$B$12,0))))*(1/(1-'P-Parametri'!$B$6*AD389))+MIN(MAX(0,AI388-(MAX(0,AD341-IF($A389&gt;=('1-Input'!$C$12-1),'1-Input'!$B$12,0))-MIN(MAX(AH388,0),MAX(0,AD341-IF($A389&gt;=('1-Input'!$C$12-1),'1-Input'!$B$12,0))))*(1/(1-'P-Parametri'!$B$6*AD389))),MAX(0,0*AD341-(AH388-MIN(MAX(AH388,0),MAX(0,AD341-IF($A389&gt;=('1-Input'!$C$12-1),'1-Input'!$B$12,0)))))*(1/(1-'P-Parametri'!$B$6*AD389))))</f>
        <v>0</v>
      </c>
      <c r="AF389" s="18">
        <f>IF($A389&gt;'1-Input'!$B$26,AH388,(AH388-MAX(0,AD341-IF($A389&gt;=('1-Input'!$C$12-1),'1-Input'!$B$12,0))+AE389*(1-'P-Parametri'!$B$6*AD389))*(1+'1-Input'!$B$27))</f>
        <v>0</v>
      </c>
      <c r="AG389" s="18">
        <f>IF($A389&gt;'1-Input'!$B$26,AI388,(AI388-AE389)*(1+'5-Roberta'!$C$4))</f>
        <v>-140.14611459497607</v>
      </c>
      <c r="AH389" s="18">
        <f>IF($A389&gt;'1-Input'!$B$26,AF389,AF389-'P-Parametri'!$B$8*(AG389+AF389)+MIN(MAX(AG389,0),'P-Parametri'!$B$8*(AG389+AF389)))</f>
        <v>0</v>
      </c>
      <c r="AI389" s="18">
        <f>IF($A389&gt;'1-Input'!$B$26,AG389,AG389-MIN(MAX(AG389,0),'P-Parametri'!$B$8*(AG389+AF389)))</f>
        <v>-140.14611459497607</v>
      </c>
      <c r="AJ389" s="18">
        <f>IF($A389&gt;'1-Input'!$B$26,AJ388,AJ388-AE389*(1-AD389))</f>
        <v>-31.779723107295922</v>
      </c>
      <c r="AK389" s="11">
        <f>IF($A389&gt;'1-Input'!$B$26,0,IF(AP388&lt;=0,0,MAX(0,(AP388-AQ388)/AP388)))</f>
        <v>0</v>
      </c>
      <c r="AL389" s="18">
        <f>IF($A389&gt;'1-Input'!$B$26,0,(MAX(0,AK341-IF($A389&gt;=('1-Input'!$C$12-1),'1-Input'!$B$12,0))-MIN(MAX(AO388,0),MAX(0,AK341-IF($A389&gt;=('1-Input'!$C$12-1),'1-Input'!$B$12,0))))*(1/(1-'P-Parametri'!$B$6*AK389))+MIN(MAX(0,AP388-(MAX(0,AK341-IF($A389&gt;=('1-Input'!$C$12-1),'1-Input'!$B$12,0))-MIN(MAX(AO388,0),MAX(0,AK341-IF($A389&gt;=('1-Input'!$C$12-1),'1-Input'!$B$12,0))))*(1/(1-'P-Parametri'!$B$6*AK389))),MAX(0,0*AK341-(AO388-MIN(MAX(AO388,0),MAX(0,AK341-IF($A389&gt;=('1-Input'!$C$12-1),'1-Input'!$B$12,0)))))*(1/(1-'P-Parametri'!$B$6*AK389))))</f>
        <v>0</v>
      </c>
      <c r="AM389" s="18">
        <f>IF($A389&gt;'1-Input'!$B$26,AO388,(AO388-MAX(0,AK341-IF($A389&gt;=('1-Input'!$C$12-1),'1-Input'!$B$12,0))+AL389*(1-'P-Parametri'!$B$6*AK389))*(1+'1-Input'!$B$27))</f>
        <v>0</v>
      </c>
      <c r="AN389" s="18">
        <f>IF($A389&gt;'1-Input'!$B$26,AP388,(AP388-AL389)*(1+'5-Roberta'!$C$4))</f>
        <v>-1.7202270100824536E-10</v>
      </c>
      <c r="AO389" s="18">
        <f>IF($A389&gt;'1-Input'!$B$26,AM389,AM389-'P-Parametri'!$B$8*(AN389+AM389)+MIN(MAX(AN389,0),'P-Parametri'!$B$8*(AN389+AM389)))</f>
        <v>0</v>
      </c>
      <c r="AP389" s="18">
        <f>IF($A389&gt;'1-Input'!$B$26,AN389,AN389-MIN(MAX(AN389,0),'P-Parametri'!$B$8*(AN389+AM389)))</f>
        <v>-1.7202270100824536E-10</v>
      </c>
      <c r="AQ389" s="18">
        <f>IF($A389&gt;'1-Input'!$B$26,AQ388,AQ388-AL389*(1-AK389))</f>
        <v>-3.865352482534945E-11</v>
      </c>
    </row>
    <row r="390" spans="1:43">
      <c r="A390" s="10">
        <f>47</f>
        <v>47</v>
      </c>
      <c r="B390" s="11">
        <f>IF($A390&gt;'1-Input'!$B$26,0,IF(G389&lt;=0,0,MAX(0,(G389-H389)/G389)))</f>
        <v>0</v>
      </c>
      <c r="C390" s="18">
        <f>IF($A390&gt;'1-Input'!$B$26,0,(MAX(0,B341-IF($A390&gt;=('1-Input'!$C$12-1),'1-Input'!$B$12,0))-MIN(MAX(F389,0),MAX(0,B341-IF($A390&gt;=('1-Input'!$C$12-1),'1-Input'!$B$12,0))))*(1/(1-'P-Parametri'!$B$6*B390))+MIN(MAX(0,G389-(MAX(0,B341-IF($A390&gt;=('1-Input'!$C$12-1),'1-Input'!$B$12,0))-MIN(MAX(F389,0),MAX(0,B341-IF($A390&gt;=('1-Input'!$C$12-1),'1-Input'!$B$12,0))))*(1/(1-'P-Parametri'!$B$6*B390))),MAX(0,0*B341-(F389-MIN(MAX(F389,0),MAX(0,B341-IF($A390&gt;=('1-Input'!$C$12-1),'1-Input'!$B$12,0)))))*(1/(1-'P-Parametri'!$B$6*B390))))</f>
        <v>0</v>
      </c>
      <c r="D390" s="18">
        <f>IF($A390&gt;'1-Input'!$B$26,F389,(F389-MAX(0,B341-IF($A390&gt;=('1-Input'!$C$12-1),'1-Input'!$B$12,0))+C390*(1-'P-Parametri'!$B$6*B390))*(1+'1-Input'!$B$27))</f>
        <v>-9.0949470177292824E-13</v>
      </c>
      <c r="E390" s="18">
        <f>IF($A390&gt;'1-Input'!$B$26,G389,(G389-C390)*(1+'5-Roberta'!$C$4))</f>
        <v>249573.46554253061</v>
      </c>
      <c r="F390" s="18">
        <f>IF($A390&gt;'1-Input'!$B$26,D390,D390-'P-Parametri'!$B$8*(E390+D390)+MIN(MAX(E390,0),'P-Parametri'!$B$8*(E390+D390)))</f>
        <v>-9.0949470177292824E-13</v>
      </c>
      <c r="G390" s="18">
        <f>IF($A390&gt;'1-Input'!$B$26,E390,E390-MIN(MAX(E390,0),'P-Parametri'!$B$8*(E390+D390)))</f>
        <v>249573.46554253061</v>
      </c>
      <c r="H390" s="18">
        <f>IF($A390&gt;'1-Input'!$B$26,H389,H389-C390*(1-B390))</f>
        <v>56593.617688166138</v>
      </c>
      <c r="I390" s="11">
        <f>IF($A390&gt;'1-Input'!$B$26,0,IF(N389&lt;=0,0,MAX(0,(N389-O389)/N389)))</f>
        <v>0</v>
      </c>
      <c r="J390" s="18">
        <f>IF($A390&gt;'1-Input'!$B$26,0,(MAX(0,I341-IF($A390&gt;=('1-Input'!$C$12-1),'1-Input'!$B$12,0))-MIN(MAX(M389,0),MAX(0,I341-IF($A390&gt;=('1-Input'!$C$12-1),'1-Input'!$B$12,0))))*(1/(1-'P-Parametri'!$B$6*I390))+MIN(MAX(0,N389-(MAX(0,I341-IF($A390&gt;=('1-Input'!$C$12-1),'1-Input'!$B$12,0))-MIN(MAX(M389,0),MAX(0,I341-IF($A390&gt;=('1-Input'!$C$12-1),'1-Input'!$B$12,0))))*(1/(1-'P-Parametri'!$B$6*I390))),MAX(0,0*I341-(M389-MIN(MAX(M389,0),MAX(0,I341-IF($A390&gt;=('1-Input'!$C$12-1),'1-Input'!$B$12,0)))))*(1/(1-'P-Parametri'!$B$6*I390))))</f>
        <v>0</v>
      </c>
      <c r="K390" s="18">
        <f>IF($A390&gt;'1-Input'!$B$26,M389,(M389-MAX(0,I341-IF($A390&gt;=('1-Input'!$C$12-1),'1-Input'!$B$12,0))+J390*(1-'P-Parametri'!$B$6*I390))*(1+'1-Input'!$B$27))</f>
        <v>-1.8189894035458565E-12</v>
      </c>
      <c r="L390" s="18">
        <f>IF($A390&gt;'1-Input'!$B$26,N389,(N389-J390)*(1+'5-Roberta'!$C$4))</f>
        <v>-243562.73274482432</v>
      </c>
      <c r="M390" s="18">
        <f>IF($A390&gt;'1-Input'!$B$26,K390,K390-'P-Parametri'!$B$8*(L390+K390)+MIN(MAX(L390,0),'P-Parametri'!$B$8*(L390+K390)))</f>
        <v>-1.8189894035458565E-12</v>
      </c>
      <c r="N390" s="18">
        <f>IF($A390&gt;'1-Input'!$B$26,L390,L390-MIN(MAX(L390,0),'P-Parametri'!$B$8*(L390+K390)))</f>
        <v>-243562.73274482432</v>
      </c>
      <c r="O390" s="18">
        <f>IF($A390&gt;'1-Input'!$B$26,O389,O389-J390*(1-I390))</f>
        <v>-185552.78468881486</v>
      </c>
      <c r="P390" s="11">
        <f>IF($A390&gt;'1-Input'!$B$26,0,IF(U389&lt;=0,0,MAX(0,(U389-V389)/U389)))</f>
        <v>0</v>
      </c>
      <c r="Q390" s="18">
        <f>IF($A390&gt;'1-Input'!$B$26,0,(MAX(0,P341-IF($A390&gt;=('1-Input'!$C$12-1),'1-Input'!$B$12,0))-MIN(MAX(T389,0),MAX(0,P341-IF($A390&gt;=('1-Input'!$C$12-1),'1-Input'!$B$12,0))))*(1/(1-'P-Parametri'!$B$6*P390))+MIN(MAX(0,U389-(MAX(0,P341-IF($A390&gt;=('1-Input'!$C$12-1),'1-Input'!$B$12,0))-MIN(MAX(T389,0),MAX(0,P341-IF($A390&gt;=('1-Input'!$C$12-1),'1-Input'!$B$12,0))))*(1/(1-'P-Parametri'!$B$6*P390))),MAX(0,0*P341-(T389-MIN(MAX(T389,0),MAX(0,P341-IF($A390&gt;=('1-Input'!$C$12-1),'1-Input'!$B$12,0)))))*(1/(1-'P-Parametri'!$B$6*P390))))</f>
        <v>0</v>
      </c>
      <c r="R390" s="18">
        <f>IF($A390&gt;'1-Input'!$B$26,T389,(T389-MAX(0,P341-IF($A390&gt;=('1-Input'!$C$12-1),'1-Input'!$B$12,0))+Q390*(1-'P-Parametri'!$B$6*P390))*(1+'1-Input'!$B$27))</f>
        <v>0</v>
      </c>
      <c r="S390" s="18">
        <f>IF($A390&gt;'1-Input'!$B$26,U389,(U389-Q390)*(1+'5-Roberta'!$C$4))</f>
        <v>-22683.75097300878</v>
      </c>
      <c r="T390" s="18">
        <f>IF($A390&gt;'1-Input'!$B$26,R390,R390-'P-Parametri'!$B$8*(S390+R390)+MIN(MAX(S390,0),'P-Parametri'!$B$8*(S390+R390)))</f>
        <v>0</v>
      </c>
      <c r="U390" s="18">
        <f>IF($A390&gt;'1-Input'!$B$26,S390,S390-MIN(MAX(S390,0),'P-Parametri'!$B$8*(S390+R390)))</f>
        <v>-22683.75097300878</v>
      </c>
      <c r="V390" s="18">
        <f>IF($A390&gt;'1-Input'!$B$26,V389,V389-Q390*(1-P390))</f>
        <v>-17736.34467137235</v>
      </c>
      <c r="W390" s="11">
        <f>IF($A390&gt;'1-Input'!$B$26,0,IF(AB389&lt;=0,0,MAX(0,(AB389-AC389)/AB389)))</f>
        <v>0</v>
      </c>
      <c r="X390" s="18">
        <f>IF($A390&gt;'1-Input'!$B$26,0,(MAX(0,W341-IF($A390&gt;=('1-Input'!$C$12-1),'1-Input'!$B$12,0))-MIN(MAX(AA389,0),MAX(0,W341-IF($A390&gt;=('1-Input'!$C$12-1),'1-Input'!$B$12,0))))*(1/(1-'P-Parametri'!$B$6*W390))+MIN(MAX(0,AB389-(MAX(0,W341-IF($A390&gt;=('1-Input'!$C$12-1),'1-Input'!$B$12,0))-MIN(MAX(AA389,0),MAX(0,W341-IF($A390&gt;=('1-Input'!$C$12-1),'1-Input'!$B$12,0))))*(1/(1-'P-Parametri'!$B$6*W390))),MAX(0,0*W341-(AA389-MIN(MAX(AA389,0),MAX(0,W341-IF($A390&gt;=('1-Input'!$C$12-1),'1-Input'!$B$12,0)))))*(1/(1-'P-Parametri'!$B$6*W390))))</f>
        <v>0</v>
      </c>
      <c r="Y390" s="18">
        <f>IF($A390&gt;'1-Input'!$B$26,AA389,(AA389-MAX(0,W341-IF($A390&gt;=('1-Input'!$C$12-1),'1-Input'!$B$12,0))+X390*(1-'P-Parametri'!$B$6*W390))*(1+'1-Input'!$B$27))</f>
        <v>0</v>
      </c>
      <c r="Z390" s="18">
        <f>IF($A390&gt;'1-Input'!$B$26,AB389,(AB389-X390)*(1+'5-Roberta'!$C$4))</f>
        <v>772.07384907539551</v>
      </c>
      <c r="AA390" s="18">
        <f>IF($A390&gt;'1-Input'!$B$26,Y390,Y390-'P-Parametri'!$B$8*(Z390+Y390)+MIN(MAX(Z390,0),'P-Parametri'!$B$8*(Z390+Y390)))</f>
        <v>0</v>
      </c>
      <c r="AB390" s="18">
        <f>IF($A390&gt;'1-Input'!$B$26,Z390,Z390-MIN(MAX(Z390,0),'P-Parametri'!$B$8*(Z390+Y390)))</f>
        <v>772.07384907539551</v>
      </c>
      <c r="AC390" s="18">
        <f>IF($A390&gt;'1-Input'!$B$26,AC389,AC389-X390*(1-W390))</f>
        <v>175.07651362944125</v>
      </c>
      <c r="AD390" s="11">
        <f>IF($A390&gt;'1-Input'!$B$26,0,IF(AI389&lt;=0,0,MAX(0,(AI389-AJ389)/AI389)))</f>
        <v>0</v>
      </c>
      <c r="AE390" s="18">
        <f>IF($A390&gt;'1-Input'!$B$26,0,(MAX(0,AD341-IF($A390&gt;=('1-Input'!$C$12-1),'1-Input'!$B$12,0))-MIN(MAX(AH389,0),MAX(0,AD341-IF($A390&gt;=('1-Input'!$C$12-1),'1-Input'!$B$12,0))))*(1/(1-'P-Parametri'!$B$6*AD390))+MIN(MAX(0,AI389-(MAX(0,AD341-IF($A390&gt;=('1-Input'!$C$12-1),'1-Input'!$B$12,0))-MIN(MAX(AH389,0),MAX(0,AD341-IF($A390&gt;=('1-Input'!$C$12-1),'1-Input'!$B$12,0))))*(1/(1-'P-Parametri'!$B$6*AD390))),MAX(0,0*AD341-(AH389-MIN(MAX(AH389,0),MAX(0,AD341-IF($A390&gt;=('1-Input'!$C$12-1),'1-Input'!$B$12,0)))))*(1/(1-'P-Parametri'!$B$6*AD390))))</f>
        <v>0</v>
      </c>
      <c r="AF390" s="18">
        <f>IF($A390&gt;'1-Input'!$B$26,AH389,(AH389-MAX(0,AD341-IF($A390&gt;=('1-Input'!$C$12-1),'1-Input'!$B$12,0))+AE390*(1-'P-Parametri'!$B$6*AD390))*(1+'1-Input'!$B$27))</f>
        <v>0</v>
      </c>
      <c r="AG390" s="18">
        <f>IF($A390&gt;'1-Input'!$B$26,AI389,(AI389-AE390)*(1+'5-Roberta'!$C$4))</f>
        <v>-140.14611459497607</v>
      </c>
      <c r="AH390" s="18">
        <f>IF($A390&gt;'1-Input'!$B$26,AF390,AF390-'P-Parametri'!$B$8*(AG390+AF390)+MIN(MAX(AG390,0),'P-Parametri'!$B$8*(AG390+AF390)))</f>
        <v>0</v>
      </c>
      <c r="AI390" s="18">
        <f>IF($A390&gt;'1-Input'!$B$26,AG390,AG390-MIN(MAX(AG390,0),'P-Parametri'!$B$8*(AG390+AF390)))</f>
        <v>-140.14611459497607</v>
      </c>
      <c r="AJ390" s="18">
        <f>IF($A390&gt;'1-Input'!$B$26,AJ389,AJ389-AE390*(1-AD390))</f>
        <v>-31.779723107295922</v>
      </c>
      <c r="AK390" s="11">
        <f>IF($A390&gt;'1-Input'!$B$26,0,IF(AP389&lt;=0,0,MAX(0,(AP389-AQ389)/AP389)))</f>
        <v>0</v>
      </c>
      <c r="AL390" s="18">
        <f>IF($A390&gt;'1-Input'!$B$26,0,(MAX(0,AK341-IF($A390&gt;=('1-Input'!$C$12-1),'1-Input'!$B$12,0))-MIN(MAX(AO389,0),MAX(0,AK341-IF($A390&gt;=('1-Input'!$C$12-1),'1-Input'!$B$12,0))))*(1/(1-'P-Parametri'!$B$6*AK390))+MIN(MAX(0,AP389-(MAX(0,AK341-IF($A390&gt;=('1-Input'!$C$12-1),'1-Input'!$B$12,0))-MIN(MAX(AO389,0),MAX(0,AK341-IF($A390&gt;=('1-Input'!$C$12-1),'1-Input'!$B$12,0))))*(1/(1-'P-Parametri'!$B$6*AK390))),MAX(0,0*AK341-(AO389-MIN(MAX(AO389,0),MAX(0,AK341-IF($A390&gt;=('1-Input'!$C$12-1),'1-Input'!$B$12,0)))))*(1/(1-'P-Parametri'!$B$6*AK390))))</f>
        <v>0</v>
      </c>
      <c r="AM390" s="18">
        <f>IF($A390&gt;'1-Input'!$B$26,AO389,(AO389-MAX(0,AK341-IF($A390&gt;=('1-Input'!$C$12-1),'1-Input'!$B$12,0))+AL390*(1-'P-Parametri'!$B$6*AK390))*(1+'1-Input'!$B$27))</f>
        <v>0</v>
      </c>
      <c r="AN390" s="18">
        <f>IF($A390&gt;'1-Input'!$B$26,AP389,(AP389-AL390)*(1+'5-Roberta'!$C$4))</f>
        <v>-1.7202270100824536E-10</v>
      </c>
      <c r="AO390" s="18">
        <f>IF($A390&gt;'1-Input'!$B$26,AM390,AM390-'P-Parametri'!$B$8*(AN390+AM390)+MIN(MAX(AN390,0),'P-Parametri'!$B$8*(AN390+AM390)))</f>
        <v>0</v>
      </c>
      <c r="AP390" s="18">
        <f>IF($A390&gt;'1-Input'!$B$26,AN390,AN390-MIN(MAX(AN390,0),'P-Parametri'!$B$8*(AN390+AM390)))</f>
        <v>-1.7202270100824536E-10</v>
      </c>
      <c r="AQ390" s="18">
        <f>IF($A390&gt;'1-Input'!$B$26,AQ389,AQ389-AL390*(1-AK390))</f>
        <v>-3.865352482534945E-11</v>
      </c>
    </row>
    <row r="391" spans="1:43">
      <c r="A391" s="10">
        <f>48</f>
        <v>48</v>
      </c>
      <c r="B391" s="11">
        <f>IF($A391&gt;'1-Input'!$B$26,0,IF(G390&lt;=0,0,MAX(0,(G390-H390)/G390)))</f>
        <v>0</v>
      </c>
      <c r="C391" s="18">
        <f>IF($A391&gt;'1-Input'!$B$26,0,(MAX(0,B341-IF($A391&gt;=('1-Input'!$C$12-1),'1-Input'!$B$12,0))-MIN(MAX(F390,0),MAX(0,B341-IF($A391&gt;=('1-Input'!$C$12-1),'1-Input'!$B$12,0))))*(1/(1-'P-Parametri'!$B$6*B391))+MIN(MAX(0,G390-(MAX(0,B341-IF($A391&gt;=('1-Input'!$C$12-1),'1-Input'!$B$12,0))-MIN(MAX(F390,0),MAX(0,B341-IF($A391&gt;=('1-Input'!$C$12-1),'1-Input'!$B$12,0))))*(1/(1-'P-Parametri'!$B$6*B391))),MAX(0,0*B341-(F390-MIN(MAX(F390,0),MAX(0,B341-IF($A391&gt;=('1-Input'!$C$12-1),'1-Input'!$B$12,0)))))*(1/(1-'P-Parametri'!$B$6*B391))))</f>
        <v>0</v>
      </c>
      <c r="D391" s="18">
        <f>IF($A391&gt;'1-Input'!$B$26,F390,(F390-MAX(0,B341-IF($A391&gt;=('1-Input'!$C$12-1),'1-Input'!$B$12,0))+C391*(1-'P-Parametri'!$B$6*B391))*(1+'1-Input'!$B$27))</f>
        <v>-9.0949470177292824E-13</v>
      </c>
      <c r="E391" s="18">
        <f>IF($A391&gt;'1-Input'!$B$26,G390,(G390-C391)*(1+'5-Roberta'!$C$4))</f>
        <v>249573.46554253061</v>
      </c>
      <c r="F391" s="18">
        <f>IF($A391&gt;'1-Input'!$B$26,D391,D391-'P-Parametri'!$B$8*(E391+D391)+MIN(MAX(E391,0),'P-Parametri'!$B$8*(E391+D391)))</f>
        <v>-9.0949470177292824E-13</v>
      </c>
      <c r="G391" s="18">
        <f>IF($A391&gt;'1-Input'!$B$26,E391,E391-MIN(MAX(E391,0),'P-Parametri'!$B$8*(E391+D391)))</f>
        <v>249573.46554253061</v>
      </c>
      <c r="H391" s="18">
        <f>IF($A391&gt;'1-Input'!$B$26,H390,H390-C391*(1-B391))</f>
        <v>56593.617688166138</v>
      </c>
      <c r="I391" s="11">
        <f>IF($A391&gt;'1-Input'!$B$26,0,IF(N390&lt;=0,0,MAX(0,(N390-O390)/N390)))</f>
        <v>0</v>
      </c>
      <c r="J391" s="18">
        <f>IF($A391&gt;'1-Input'!$B$26,0,(MAX(0,I341-IF($A391&gt;=('1-Input'!$C$12-1),'1-Input'!$B$12,0))-MIN(MAX(M390,0),MAX(0,I341-IF($A391&gt;=('1-Input'!$C$12-1),'1-Input'!$B$12,0))))*(1/(1-'P-Parametri'!$B$6*I391))+MIN(MAX(0,N390-(MAX(0,I341-IF($A391&gt;=('1-Input'!$C$12-1),'1-Input'!$B$12,0))-MIN(MAX(M390,0),MAX(0,I341-IF($A391&gt;=('1-Input'!$C$12-1),'1-Input'!$B$12,0))))*(1/(1-'P-Parametri'!$B$6*I391))),MAX(0,0*I341-(M390-MIN(MAX(M390,0),MAX(0,I341-IF($A391&gt;=('1-Input'!$C$12-1),'1-Input'!$B$12,0)))))*(1/(1-'P-Parametri'!$B$6*I391))))</f>
        <v>0</v>
      </c>
      <c r="K391" s="18">
        <f>IF($A391&gt;'1-Input'!$B$26,M390,(M390-MAX(0,I341-IF($A391&gt;=('1-Input'!$C$12-1),'1-Input'!$B$12,0))+J391*(1-'P-Parametri'!$B$6*I391))*(1+'1-Input'!$B$27))</f>
        <v>-1.8189894035458565E-12</v>
      </c>
      <c r="L391" s="18">
        <f>IF($A391&gt;'1-Input'!$B$26,N390,(N390-J391)*(1+'5-Roberta'!$C$4))</f>
        <v>-243562.73274482432</v>
      </c>
      <c r="M391" s="18">
        <f>IF($A391&gt;'1-Input'!$B$26,K391,K391-'P-Parametri'!$B$8*(L391+K391)+MIN(MAX(L391,0),'P-Parametri'!$B$8*(L391+K391)))</f>
        <v>-1.8189894035458565E-12</v>
      </c>
      <c r="N391" s="18">
        <f>IF($A391&gt;'1-Input'!$B$26,L391,L391-MIN(MAX(L391,0),'P-Parametri'!$B$8*(L391+K391)))</f>
        <v>-243562.73274482432</v>
      </c>
      <c r="O391" s="18">
        <f>IF($A391&gt;'1-Input'!$B$26,O390,O390-J391*(1-I391))</f>
        <v>-185552.78468881486</v>
      </c>
      <c r="P391" s="11">
        <f>IF($A391&gt;'1-Input'!$B$26,0,IF(U390&lt;=0,0,MAX(0,(U390-V390)/U390)))</f>
        <v>0</v>
      </c>
      <c r="Q391" s="18">
        <f>IF($A391&gt;'1-Input'!$B$26,0,(MAX(0,P341-IF($A391&gt;=('1-Input'!$C$12-1),'1-Input'!$B$12,0))-MIN(MAX(T390,0),MAX(0,P341-IF($A391&gt;=('1-Input'!$C$12-1),'1-Input'!$B$12,0))))*(1/(1-'P-Parametri'!$B$6*P391))+MIN(MAX(0,U390-(MAX(0,P341-IF($A391&gt;=('1-Input'!$C$12-1),'1-Input'!$B$12,0))-MIN(MAX(T390,0),MAX(0,P341-IF($A391&gt;=('1-Input'!$C$12-1),'1-Input'!$B$12,0))))*(1/(1-'P-Parametri'!$B$6*P391))),MAX(0,0*P341-(T390-MIN(MAX(T390,0),MAX(0,P341-IF($A391&gt;=('1-Input'!$C$12-1),'1-Input'!$B$12,0)))))*(1/(1-'P-Parametri'!$B$6*P391))))</f>
        <v>0</v>
      </c>
      <c r="R391" s="18">
        <f>IF($A391&gt;'1-Input'!$B$26,T390,(T390-MAX(0,P341-IF($A391&gt;=('1-Input'!$C$12-1),'1-Input'!$B$12,0))+Q391*(1-'P-Parametri'!$B$6*P391))*(1+'1-Input'!$B$27))</f>
        <v>0</v>
      </c>
      <c r="S391" s="18">
        <f>IF($A391&gt;'1-Input'!$B$26,U390,(U390-Q391)*(1+'5-Roberta'!$C$4))</f>
        <v>-22683.75097300878</v>
      </c>
      <c r="T391" s="18">
        <f>IF($A391&gt;'1-Input'!$B$26,R391,R391-'P-Parametri'!$B$8*(S391+R391)+MIN(MAX(S391,0),'P-Parametri'!$B$8*(S391+R391)))</f>
        <v>0</v>
      </c>
      <c r="U391" s="18">
        <f>IF($A391&gt;'1-Input'!$B$26,S391,S391-MIN(MAX(S391,0),'P-Parametri'!$B$8*(S391+R391)))</f>
        <v>-22683.75097300878</v>
      </c>
      <c r="V391" s="18">
        <f>IF($A391&gt;'1-Input'!$B$26,V390,V390-Q391*(1-P391))</f>
        <v>-17736.34467137235</v>
      </c>
      <c r="W391" s="11">
        <f>IF($A391&gt;'1-Input'!$B$26,0,IF(AB390&lt;=0,0,MAX(0,(AB390-AC390)/AB390)))</f>
        <v>0</v>
      </c>
      <c r="X391" s="18">
        <f>IF($A391&gt;'1-Input'!$B$26,0,(MAX(0,W341-IF($A391&gt;=('1-Input'!$C$12-1),'1-Input'!$B$12,0))-MIN(MAX(AA390,0),MAX(0,W341-IF($A391&gt;=('1-Input'!$C$12-1),'1-Input'!$B$12,0))))*(1/(1-'P-Parametri'!$B$6*W391))+MIN(MAX(0,AB390-(MAX(0,W341-IF($A391&gt;=('1-Input'!$C$12-1),'1-Input'!$B$12,0))-MIN(MAX(AA390,0),MAX(0,W341-IF($A391&gt;=('1-Input'!$C$12-1),'1-Input'!$B$12,0))))*(1/(1-'P-Parametri'!$B$6*W391))),MAX(0,0*W341-(AA390-MIN(MAX(AA390,0),MAX(0,W341-IF($A391&gt;=('1-Input'!$C$12-1),'1-Input'!$B$12,0)))))*(1/(1-'P-Parametri'!$B$6*W391))))</f>
        <v>0</v>
      </c>
      <c r="Y391" s="18">
        <f>IF($A391&gt;'1-Input'!$B$26,AA390,(AA390-MAX(0,W341-IF($A391&gt;=('1-Input'!$C$12-1),'1-Input'!$B$12,0))+X391*(1-'P-Parametri'!$B$6*W391))*(1+'1-Input'!$B$27))</f>
        <v>0</v>
      </c>
      <c r="Z391" s="18">
        <f>IF($A391&gt;'1-Input'!$B$26,AB390,(AB390-X391)*(1+'5-Roberta'!$C$4))</f>
        <v>772.07384907539551</v>
      </c>
      <c r="AA391" s="18">
        <f>IF($A391&gt;'1-Input'!$B$26,Y391,Y391-'P-Parametri'!$B$8*(Z391+Y391)+MIN(MAX(Z391,0),'P-Parametri'!$B$8*(Z391+Y391)))</f>
        <v>0</v>
      </c>
      <c r="AB391" s="18">
        <f>IF($A391&gt;'1-Input'!$B$26,Z391,Z391-MIN(MAX(Z391,0),'P-Parametri'!$B$8*(Z391+Y391)))</f>
        <v>772.07384907539551</v>
      </c>
      <c r="AC391" s="18">
        <f>IF($A391&gt;'1-Input'!$B$26,AC390,AC390-X391*(1-W391))</f>
        <v>175.07651362944125</v>
      </c>
      <c r="AD391" s="11">
        <f>IF($A391&gt;'1-Input'!$B$26,0,IF(AI390&lt;=0,0,MAX(0,(AI390-AJ390)/AI390)))</f>
        <v>0</v>
      </c>
      <c r="AE391" s="18">
        <f>IF($A391&gt;'1-Input'!$B$26,0,(MAX(0,AD341-IF($A391&gt;=('1-Input'!$C$12-1),'1-Input'!$B$12,0))-MIN(MAX(AH390,0),MAX(0,AD341-IF($A391&gt;=('1-Input'!$C$12-1),'1-Input'!$B$12,0))))*(1/(1-'P-Parametri'!$B$6*AD391))+MIN(MAX(0,AI390-(MAX(0,AD341-IF($A391&gt;=('1-Input'!$C$12-1),'1-Input'!$B$12,0))-MIN(MAX(AH390,0),MAX(0,AD341-IF($A391&gt;=('1-Input'!$C$12-1),'1-Input'!$B$12,0))))*(1/(1-'P-Parametri'!$B$6*AD391))),MAX(0,0*AD341-(AH390-MIN(MAX(AH390,0),MAX(0,AD341-IF($A391&gt;=('1-Input'!$C$12-1),'1-Input'!$B$12,0)))))*(1/(1-'P-Parametri'!$B$6*AD391))))</f>
        <v>0</v>
      </c>
      <c r="AF391" s="18">
        <f>IF($A391&gt;'1-Input'!$B$26,AH390,(AH390-MAX(0,AD341-IF($A391&gt;=('1-Input'!$C$12-1),'1-Input'!$B$12,0))+AE391*(1-'P-Parametri'!$B$6*AD391))*(1+'1-Input'!$B$27))</f>
        <v>0</v>
      </c>
      <c r="AG391" s="18">
        <f>IF($A391&gt;'1-Input'!$B$26,AI390,(AI390-AE391)*(1+'5-Roberta'!$C$4))</f>
        <v>-140.14611459497607</v>
      </c>
      <c r="AH391" s="18">
        <f>IF($A391&gt;'1-Input'!$B$26,AF391,AF391-'P-Parametri'!$B$8*(AG391+AF391)+MIN(MAX(AG391,0),'P-Parametri'!$B$8*(AG391+AF391)))</f>
        <v>0</v>
      </c>
      <c r="AI391" s="18">
        <f>IF($A391&gt;'1-Input'!$B$26,AG391,AG391-MIN(MAX(AG391,0),'P-Parametri'!$B$8*(AG391+AF391)))</f>
        <v>-140.14611459497607</v>
      </c>
      <c r="AJ391" s="18">
        <f>IF($A391&gt;'1-Input'!$B$26,AJ390,AJ390-AE391*(1-AD391))</f>
        <v>-31.779723107295922</v>
      </c>
      <c r="AK391" s="11">
        <f>IF($A391&gt;'1-Input'!$B$26,0,IF(AP390&lt;=0,0,MAX(0,(AP390-AQ390)/AP390)))</f>
        <v>0</v>
      </c>
      <c r="AL391" s="18">
        <f>IF($A391&gt;'1-Input'!$B$26,0,(MAX(0,AK341-IF($A391&gt;=('1-Input'!$C$12-1),'1-Input'!$B$12,0))-MIN(MAX(AO390,0),MAX(0,AK341-IF($A391&gt;=('1-Input'!$C$12-1),'1-Input'!$B$12,0))))*(1/(1-'P-Parametri'!$B$6*AK391))+MIN(MAX(0,AP390-(MAX(0,AK341-IF($A391&gt;=('1-Input'!$C$12-1),'1-Input'!$B$12,0))-MIN(MAX(AO390,0),MAX(0,AK341-IF($A391&gt;=('1-Input'!$C$12-1),'1-Input'!$B$12,0))))*(1/(1-'P-Parametri'!$B$6*AK391))),MAX(0,0*AK341-(AO390-MIN(MAX(AO390,0),MAX(0,AK341-IF($A391&gt;=('1-Input'!$C$12-1),'1-Input'!$B$12,0)))))*(1/(1-'P-Parametri'!$B$6*AK391))))</f>
        <v>0</v>
      </c>
      <c r="AM391" s="18">
        <f>IF($A391&gt;'1-Input'!$B$26,AO390,(AO390-MAX(0,AK341-IF($A391&gt;=('1-Input'!$C$12-1),'1-Input'!$B$12,0))+AL391*(1-'P-Parametri'!$B$6*AK391))*(1+'1-Input'!$B$27))</f>
        <v>0</v>
      </c>
      <c r="AN391" s="18">
        <f>IF($A391&gt;'1-Input'!$B$26,AP390,(AP390-AL391)*(1+'5-Roberta'!$C$4))</f>
        <v>-1.7202270100824536E-10</v>
      </c>
      <c r="AO391" s="18">
        <f>IF($A391&gt;'1-Input'!$B$26,AM391,AM391-'P-Parametri'!$B$8*(AN391+AM391)+MIN(MAX(AN391,0),'P-Parametri'!$B$8*(AN391+AM391)))</f>
        <v>0</v>
      </c>
      <c r="AP391" s="18">
        <f>IF($A391&gt;'1-Input'!$B$26,AN391,AN391-MIN(MAX(AN391,0),'P-Parametri'!$B$8*(AN391+AM391)))</f>
        <v>-1.7202270100824536E-10</v>
      </c>
      <c r="AQ391" s="18">
        <f>IF($A391&gt;'1-Input'!$B$26,AQ390,AQ390-AL391*(1-AK391))</f>
        <v>-3.865352482534945E-11</v>
      </c>
    </row>
    <row r="392" spans="1:43">
      <c r="A392" s="4" t="s">
        <v>365</v>
      </c>
      <c r="B392" s="18">
        <f>F391+G391</f>
        <v>249573.46554253061</v>
      </c>
      <c r="I392" s="18">
        <f>M391+N391</f>
        <v>-243562.73274482432</v>
      </c>
      <c r="P392" s="18">
        <f>T391+U391</f>
        <v>-22683.75097300878</v>
      </c>
      <c r="W392" s="18">
        <f>AA391+AB391</f>
        <v>772.07384907539551</v>
      </c>
      <c r="AD392" s="18">
        <f>AH391+AI391</f>
        <v>-140.14611459497607</v>
      </c>
      <c r="AK392" s="18">
        <f>AO391+AP391</f>
        <v>-1.7202270100824536E-10</v>
      </c>
    </row>
    <row r="393" spans="1:43">
      <c r="A393" s="5" t="s">
        <v>266</v>
      </c>
      <c r="B393" s="18">
        <f>IFERROR(AK341-AK392*(AK341-AD341)/(AK392-AD392),AK341)</f>
        <v>19087.260049243294</v>
      </c>
    </row>
    <row r="395" spans="1:43">
      <c r="A395" s="2" t="s">
        <v>416</v>
      </c>
    </row>
    <row r="396" spans="1:43">
      <c r="A396" s="4" t="s">
        <v>360</v>
      </c>
      <c r="B396" s="9">
        <f>0.038*'2-Caso'!$B$12</f>
        <v>16681.055314625803</v>
      </c>
      <c r="I396" s="9">
        <f>0.05*'2-Caso'!$B$12</f>
        <v>21948.756992928691</v>
      </c>
      <c r="P396" s="18">
        <f>IFERROR(I396-I447*(I396-B396)/(I447-B447),I396)</f>
        <v>18435.571001943757</v>
      </c>
      <c r="W396" s="18">
        <f>IFERROR(P396-P447*(P396-I396)/(P447-I447),P396)</f>
        <v>18190.140202201099</v>
      </c>
      <c r="AD396" s="18">
        <f>IFERROR(W396-W447*(W396-P396)/(W447-P447),W396)</f>
        <v>18175.067777894295</v>
      </c>
      <c r="AK396" s="18">
        <f>IFERROR(AD396-AD447*(AD396-W396)/(AD447-W447),AD396)</f>
        <v>18174.982040761293</v>
      </c>
    </row>
    <row r="397" spans="1:43" ht="45">
      <c r="A397" s="25" t="s">
        <v>262</v>
      </c>
      <c r="B397" s="25" t="s">
        <v>361</v>
      </c>
      <c r="C397" s="25" t="s">
        <v>263</v>
      </c>
      <c r="D397" s="25" t="s">
        <v>362</v>
      </c>
      <c r="E397" s="25" t="s">
        <v>363</v>
      </c>
      <c r="F397" s="25" t="s">
        <v>264</v>
      </c>
      <c r="G397" s="25" t="s">
        <v>265</v>
      </c>
      <c r="H397" s="25" t="s">
        <v>364</v>
      </c>
      <c r="I397" s="25" t="s">
        <v>361</v>
      </c>
      <c r="J397" s="25" t="s">
        <v>263</v>
      </c>
      <c r="K397" s="25" t="s">
        <v>362</v>
      </c>
      <c r="L397" s="25" t="s">
        <v>363</v>
      </c>
      <c r="M397" s="25" t="s">
        <v>264</v>
      </c>
      <c r="N397" s="25" t="s">
        <v>265</v>
      </c>
      <c r="O397" s="25" t="s">
        <v>364</v>
      </c>
      <c r="P397" s="25" t="s">
        <v>361</v>
      </c>
      <c r="Q397" s="25" t="s">
        <v>263</v>
      </c>
      <c r="R397" s="25" t="s">
        <v>362</v>
      </c>
      <c r="S397" s="25" t="s">
        <v>363</v>
      </c>
      <c r="T397" s="25" t="s">
        <v>264</v>
      </c>
      <c r="U397" s="25" t="s">
        <v>265</v>
      </c>
      <c r="V397" s="25" t="s">
        <v>364</v>
      </c>
      <c r="W397" s="25" t="s">
        <v>361</v>
      </c>
      <c r="X397" s="25" t="s">
        <v>263</v>
      </c>
      <c r="Y397" s="25" t="s">
        <v>362</v>
      </c>
      <c r="Z397" s="25" t="s">
        <v>363</v>
      </c>
      <c r="AA397" s="25" t="s">
        <v>264</v>
      </c>
      <c r="AB397" s="25" t="s">
        <v>265</v>
      </c>
      <c r="AC397" s="25" t="s">
        <v>364</v>
      </c>
      <c r="AD397" s="25" t="s">
        <v>361</v>
      </c>
      <c r="AE397" s="25" t="s">
        <v>263</v>
      </c>
      <c r="AF397" s="25" t="s">
        <v>362</v>
      </c>
      <c r="AG397" s="25" t="s">
        <v>363</v>
      </c>
      <c r="AH397" s="25" t="s">
        <v>264</v>
      </c>
      <c r="AI397" s="25" t="s">
        <v>265</v>
      </c>
      <c r="AJ397" s="25" t="s">
        <v>364</v>
      </c>
      <c r="AK397" s="25" t="s">
        <v>361</v>
      </c>
      <c r="AL397" s="25" t="s">
        <v>263</v>
      </c>
      <c r="AM397" s="25" t="s">
        <v>362</v>
      </c>
      <c r="AN397" s="25" t="s">
        <v>363</v>
      </c>
      <c r="AO397" s="25" t="s">
        <v>264</v>
      </c>
      <c r="AP397" s="25" t="s">
        <v>265</v>
      </c>
      <c r="AQ397" s="25" t="s">
        <v>364</v>
      </c>
    </row>
    <row r="398" spans="1:43">
      <c r="A398" s="3">
        <v>0</v>
      </c>
      <c r="F398" s="18">
        <f>MIN(2*B396,'2-Caso'!$B$12)</f>
        <v>33362.110629251605</v>
      </c>
      <c r="G398" s="18">
        <f>'2-Caso'!$B$12-F398</f>
        <v>405613.02922932222</v>
      </c>
      <c r="H398" s="18">
        <f>'2-Caso'!$B$13*G398/'2-Caso'!$B$12</f>
        <v>317856</v>
      </c>
      <c r="M398" s="18">
        <f>MIN(2*I396,'2-Caso'!$B$12)</f>
        <v>43897.513985857382</v>
      </c>
      <c r="N398" s="18">
        <f>'2-Caso'!$B$12-M398</f>
        <v>395077.62587271642</v>
      </c>
      <c r="O398" s="18">
        <f>'2-Caso'!$B$13*N398/'2-Caso'!$B$12</f>
        <v>309600</v>
      </c>
      <c r="T398" s="18">
        <f>MIN(2*P396,'2-Caso'!$B$12)</f>
        <v>36871.142003887515</v>
      </c>
      <c r="U398" s="18">
        <f>'2-Caso'!$B$12-T398</f>
        <v>402103.99785468628</v>
      </c>
      <c r="V398" s="18">
        <f>'2-Caso'!$B$13*U398/'2-Caso'!$B$12</f>
        <v>315106.17049196991</v>
      </c>
      <c r="AA398" s="18">
        <f>MIN(2*W396,'2-Caso'!$B$12)</f>
        <v>36380.280404402198</v>
      </c>
      <c r="AB398" s="18">
        <f>'2-Caso'!$B$12-AA398</f>
        <v>402594.85945417162</v>
      </c>
      <c r="AC398" s="18">
        <f>'2-Caso'!$B$13*AB398/'2-Caso'!$B$12</f>
        <v>315490.83097702009</v>
      </c>
      <c r="AH398" s="18">
        <f>MIN(2*AD396,'2-Caso'!$B$12)</f>
        <v>36350.135555788591</v>
      </c>
      <c r="AI398" s="18">
        <f>'2-Caso'!$B$12-AH398</f>
        <v>402625.00430278521</v>
      </c>
      <c r="AJ398" s="18">
        <f>'2-Caso'!$B$13*AI398/'2-Caso'!$B$12</f>
        <v>315514.45379066368</v>
      </c>
      <c r="AO398" s="18">
        <f>MIN(2*AK396,'2-Caso'!$B$12)</f>
        <v>36349.964081522587</v>
      </c>
      <c r="AP398" s="18">
        <f>'2-Caso'!$B$12-AO398</f>
        <v>402625.17577705119</v>
      </c>
      <c r="AQ398" s="18">
        <f>'2-Caso'!$B$13*AP398/'2-Caso'!$B$12</f>
        <v>315514.58816535177</v>
      </c>
    </row>
    <row r="399" spans="1:43">
      <c r="A399" s="10">
        <f>1</f>
        <v>1</v>
      </c>
      <c r="B399" s="11">
        <f>IF($A399&gt;'1-Input'!$B$26,0,IF(G398&lt;=0,0,MAX(0,(G398-H398)/G398)))</f>
        <v>0.21635653419729486</v>
      </c>
      <c r="C399" s="18">
        <f>IF($A399&gt;'1-Input'!$B$26,0,(MAX(0,B396-IF($A399&gt;=('1-Input'!$C$12-1),'1-Input'!$B$12,0))-MIN(MAX(F398,0),MAX(0,B396-IF($A399&gt;=('1-Input'!$C$12-1),'1-Input'!$B$12,0))))*(1/(1-'P-Parametri'!$B$6*B399))+MIN(MAX(0,G398-(MAX(0,B396-IF($A399&gt;=('1-Input'!$C$12-1),'1-Input'!$B$12,0))-MIN(MAX(F398,0),MAX(0,B396-IF($A399&gt;=('1-Input'!$C$12-1),'1-Input'!$B$12,0))))*(1/(1-'P-Parametri'!$B$6*B399))),MAX(0,2*B396-(F398-MIN(MAX(F398,0),MAX(0,B396-IF($A399&gt;=('1-Input'!$C$12-1),'1-Input'!$B$12,0)))))*(1/(1-'P-Parametri'!$B$6*B399))))</f>
        <v>17675.340946701614</v>
      </c>
      <c r="D399" s="18">
        <f>IF($A399&gt;'1-Input'!$B$26,F398,(F398-MAX(0,B396-IF($A399&gt;=('1-Input'!$C$12-1),'1-Input'!$B$12,0))+C399*(1-'P-Parametri'!$B$6*B399))*(1+'1-Input'!$B$27))</f>
        <v>33242.0070309863</v>
      </c>
      <c r="E399" s="18">
        <f>IF($A399&gt;'1-Input'!$B$26,G398,(G398-C399)*(1+'5-Roberta'!$C$4))</f>
        <v>399575.81893109926</v>
      </c>
      <c r="F399" s="18">
        <f>IF($A399&gt;'1-Input'!$B$26,D399,D399-'P-Parametri'!$B$8*(E399+D399)+MIN(MAX(E399,0),'P-Parametri'!$B$8*(E399+D399)))</f>
        <v>33242.0070309863</v>
      </c>
      <c r="G399" s="18">
        <f>IF($A399&gt;'1-Input'!$B$26,E399,E399-MIN(MAX(E399,0),'P-Parametri'!$B$8*(E399+D399)))</f>
        <v>398710.18327917508</v>
      </c>
      <c r="H399" s="18">
        <f>IF($A399&gt;'1-Input'!$B$26,H398,H398-C399*(1-B399))</f>
        <v>304004.8345612823</v>
      </c>
      <c r="I399" s="11">
        <f>IF($A399&gt;'1-Input'!$B$26,0,IF(N398&lt;=0,0,MAX(0,(N398-O398)/N398)))</f>
        <v>0.21635653419729484</v>
      </c>
      <c r="J399" s="18">
        <f>IF($A399&gt;'1-Input'!$B$26,0,(MAX(0,I396-IF($A399&gt;=('1-Input'!$C$12-1),'1-Input'!$B$12,0))-MIN(MAX(M398,0),MAX(0,I396-IF($A399&gt;=('1-Input'!$C$12-1),'1-Input'!$B$12,0))))*(1/(1-'P-Parametri'!$B$6*I399))+MIN(MAX(0,N398-(MAX(0,I396-IF($A399&gt;=('1-Input'!$C$12-1),'1-Input'!$B$12,0))-MIN(MAX(M398,0),MAX(0,I396-IF($A399&gt;=('1-Input'!$C$12-1),'1-Input'!$B$12,0))))*(1/(1-'P-Parametri'!$B$6*I399))),MAX(0,2*I396-(M398-MIN(MAX(M398,0),MAX(0,I396-IF($A399&gt;=('1-Input'!$C$12-1),'1-Input'!$B$12,0)))))*(1/(1-'P-Parametri'!$B$6*I399))))</f>
        <v>23257.027561449497</v>
      </c>
      <c r="K399" s="18">
        <f>IF($A399&gt;'1-Input'!$B$26,M398,(M398-MAX(0,I396-IF($A399&gt;=('1-Input'!$C$12-1),'1-Input'!$B$12,0))+J399*(1-'P-Parametri'!$B$6*I399))*(1+'1-Input'!$B$27))</f>
        <v>43739.482935508291</v>
      </c>
      <c r="L399" s="18">
        <f>IF($A399&gt;'1-Input'!$B$26,N398,(N398-J399)*(1+'5-Roberta'!$C$4))</f>
        <v>382975.21626060491</v>
      </c>
      <c r="M399" s="18">
        <f>IF($A399&gt;'1-Input'!$B$26,K399,K399-'P-Parametri'!$B$8*(L399+K399)+MIN(MAX(L399,0),'P-Parametri'!$B$8*(L399+K399)))</f>
        <v>43739.482935508291</v>
      </c>
      <c r="N399" s="18">
        <f>IF($A399&gt;'1-Input'!$B$26,L399,L399-MIN(MAX(L399,0),'P-Parametri'!$B$8*(L399+K399)))</f>
        <v>382121.7868622127</v>
      </c>
      <c r="O399" s="18">
        <f>IF($A399&gt;'1-Input'!$B$26,O398,O398-J399*(1-I399))</f>
        <v>291374.7823174767</v>
      </c>
      <c r="P399" s="11">
        <f>IF($A399&gt;'1-Input'!$B$26,0,IF(U398&lt;=0,0,MAX(0,(U398-V398)/U398)))</f>
        <v>0.21635653419729475</v>
      </c>
      <c r="Q399" s="18">
        <f>IF($A399&gt;'1-Input'!$B$26,0,(MAX(0,P396-IF($A399&gt;=('1-Input'!$C$12-1),'1-Input'!$B$12,0))-MIN(MAX(T398,0),MAX(0,P396-IF($A399&gt;=('1-Input'!$C$12-1),'1-Input'!$B$12,0))))*(1/(1-'P-Parametri'!$B$6*P399))+MIN(MAX(0,U398-(MAX(0,P396-IF($A399&gt;=('1-Input'!$C$12-1),'1-Input'!$B$12,0))-MIN(MAX(T398,0),MAX(0,P396-IF($A399&gt;=('1-Input'!$C$12-1),'1-Input'!$B$12,0))))*(1/(1-'P-Parametri'!$B$6*P399))),MAX(0,2*P396-(T398-MIN(MAX(T398,0),MAX(0,P396-IF($A399&gt;=('1-Input'!$C$12-1),'1-Input'!$B$12,0)))))*(1/(1-'P-Parametri'!$B$6*P399))))</f>
        <v>19534.435733258113</v>
      </c>
      <c r="R399" s="18">
        <f>IF($A399&gt;'1-Input'!$B$26,T398,(T398-MAX(0,P396-IF($A399&gt;=('1-Input'!$C$12-1),'1-Input'!$B$12,0))+Q399*(1-'P-Parametri'!$B$6*P399))*(1+'1-Input'!$B$27))</f>
        <v>36738.405892673523</v>
      </c>
      <c r="S399" s="18">
        <f>IF($A399&gt;'1-Input'!$B$26,U398,(U398-Q399)*(1+'5-Roberta'!$C$4))</f>
        <v>394046.64898507105</v>
      </c>
      <c r="T399" s="18">
        <f>IF($A399&gt;'1-Input'!$B$26,R399,R399-'P-Parametri'!$B$8*(S399+R399)+MIN(MAX(S399,0),'P-Parametri'!$B$8*(S399+R399)))</f>
        <v>36738.405892673523</v>
      </c>
      <c r="U399" s="18">
        <f>IF($A399&gt;'1-Input'!$B$26,S399,S399-MIN(MAX(S399,0),'P-Parametri'!$B$8*(S399+R399)))</f>
        <v>393185.07887531555</v>
      </c>
      <c r="V399" s="18">
        <f>IF($A399&gt;'1-Input'!$B$26,V398,V398-Q399*(1-P399))</f>
        <v>299798.13757145929</v>
      </c>
      <c r="W399" s="11">
        <f>IF($A399&gt;'1-Input'!$B$26,0,IF(AB398&lt;=0,0,MAX(0,(AB398-AC398)/AB398)))</f>
        <v>0.2163565341972947</v>
      </c>
      <c r="X399" s="18">
        <f>IF($A399&gt;'1-Input'!$B$26,0,(MAX(0,W396-IF($A399&gt;=('1-Input'!$C$12-1),'1-Input'!$B$12,0))-MIN(MAX(AA398,0),MAX(0,W396-IF($A399&gt;=('1-Input'!$C$12-1),'1-Input'!$B$12,0))))*(1/(1-'P-Parametri'!$B$6*W399))+MIN(MAX(0,AB398-(MAX(0,W396-IF($A399&gt;=('1-Input'!$C$12-1),'1-Input'!$B$12,0))-MIN(MAX(AA398,0),MAX(0,W396-IF($A399&gt;=('1-Input'!$C$12-1),'1-Input'!$B$12,0))))*(1/(1-'P-Parametri'!$B$6*W399))),MAX(0,2*W396-(AA398-MIN(MAX(AA398,0),MAX(0,W396-IF($A399&gt;=('1-Input'!$C$12-1),'1-Input'!$B$12,0)))))*(1/(1-'P-Parametri'!$B$6*W399))))</f>
        <v>19274.375863996149</v>
      </c>
      <c r="Y399" s="18">
        <f>IF($A399&gt;'1-Input'!$B$26,AA398,(AA398-MAX(0,W396-IF($A399&gt;=('1-Input'!$C$12-1),'1-Input'!$B$12,0))+X399*(1-'P-Parametri'!$B$6*W399))*(1+'1-Input'!$B$27))</f>
        <v>36249.311394946351</v>
      </c>
      <c r="Z399" s="18">
        <f>IF($A399&gt;'1-Input'!$B$26,AB398,(AB398-X399)*(1+'5-Roberta'!$C$4))</f>
        <v>394820.09809788072</v>
      </c>
      <c r="AA399" s="18">
        <f>IF($A399&gt;'1-Input'!$B$26,Y399,Y399-'P-Parametri'!$B$8*(Z399+Y399)+MIN(MAX(Z399,0),'P-Parametri'!$B$8*(Z399+Y399)))</f>
        <v>36249.311394946351</v>
      </c>
      <c r="AB399" s="18">
        <f>IF($A399&gt;'1-Input'!$B$26,Z399,Z399-MIN(MAX(Z399,0),'P-Parametri'!$B$8*(Z399+Y399)))</f>
        <v>393957.95927889505</v>
      </c>
      <c r="AC399" s="18">
        <f>IF($A399&gt;'1-Input'!$B$26,AC398,AC398-X399*(1-W399))</f>
        <v>300386.59227377415</v>
      </c>
      <c r="AD399" s="11">
        <f>IF($A399&gt;'1-Input'!$B$26,0,IF(AI398&lt;=0,0,MAX(0,(AI398-AJ398)/AI398)))</f>
        <v>0.21635653419729484</v>
      </c>
      <c r="AE399" s="18">
        <f>IF($A399&gt;'1-Input'!$B$26,0,(MAX(0,AD396-IF($A399&gt;=('1-Input'!$C$12-1),'1-Input'!$B$12,0))-MIN(MAX(AH398,0),MAX(0,AD396-IF($A399&gt;=('1-Input'!$C$12-1),'1-Input'!$B$12,0))))*(1/(1-'P-Parametri'!$B$6*AD399))+MIN(MAX(0,AI398-(MAX(0,AD396-IF($A399&gt;=('1-Input'!$C$12-1),'1-Input'!$B$12,0))-MIN(MAX(AH398,0),MAX(0,AD396-IF($A399&gt;=('1-Input'!$C$12-1),'1-Input'!$B$12,0))))*(1/(1-'P-Parametri'!$B$6*AD399))),MAX(0,2*AD396-(AH398-MIN(MAX(AH398,0),MAX(0,AD396-IF($A399&gt;=('1-Input'!$C$12-1),'1-Input'!$B$12,0)))))*(1/(1-'P-Parametri'!$B$6*AD399))))</f>
        <v>19258.4050376011</v>
      </c>
      <c r="AF399" s="18">
        <f>IF($A399&gt;'1-Input'!$B$26,AH398,(AH398-MAX(0,AD396-IF($A399&gt;=('1-Input'!$C$12-1),'1-Input'!$B$12,0))+AE399*(1-'P-Parametri'!$B$6*AD399))*(1+'1-Input'!$B$27))</f>
        <v>36219.275067787748</v>
      </c>
      <c r="AG399" s="18">
        <f>IF($A399&gt;'1-Input'!$B$26,AI398,(AI398-AE399)*(1+'5-Roberta'!$C$4))</f>
        <v>394867.59724313969</v>
      </c>
      <c r="AH399" s="18">
        <f>IF($A399&gt;'1-Input'!$B$26,AF399,AF399-'P-Parametri'!$B$8*(AG399+AF399)+MIN(MAX(AG399,0),'P-Parametri'!$B$8*(AG399+AF399)))</f>
        <v>36219.275067787748</v>
      </c>
      <c r="AI399" s="18">
        <f>IF($A399&gt;'1-Input'!$B$26,AG399,AG399-MIN(MAX(AG399,0),'P-Parametri'!$B$8*(AG399+AF399)))</f>
        <v>394005.42349851783</v>
      </c>
      <c r="AJ399" s="18">
        <f>IF($A399&gt;'1-Input'!$B$26,AJ398,AJ398-AE399*(1-AD399))</f>
        <v>300422.73052116571</v>
      </c>
      <c r="AK399" s="11">
        <f>IF($A399&gt;'1-Input'!$B$26,0,IF(AP398&lt;=0,0,MAX(0,(AP398-AQ398)/AP398)))</f>
        <v>0.21635653419729484</v>
      </c>
      <c r="AL399" s="18">
        <f>IF($A399&gt;'1-Input'!$B$26,0,(MAX(0,AK396-IF($A399&gt;=('1-Input'!$C$12-1),'1-Input'!$B$12,0))-MIN(MAX(AO398,0),MAX(0,AK396-IF($A399&gt;=('1-Input'!$C$12-1),'1-Input'!$B$12,0))))*(1/(1-'P-Parametri'!$B$6*AK399))+MIN(MAX(0,AP398-(MAX(0,AK396-IF($A399&gt;=('1-Input'!$C$12-1),'1-Input'!$B$12,0))-MIN(MAX(AO398,0),MAX(0,AK396-IF($A399&gt;=('1-Input'!$C$12-1),'1-Input'!$B$12,0))))*(1/(1-'P-Parametri'!$B$6*AK399))),MAX(0,2*AK396-(AO398-MIN(MAX(AO398,0),MAX(0,AK396-IF($A399&gt;=('1-Input'!$C$12-1),'1-Input'!$B$12,0)))))*(1/(1-'P-Parametri'!$B$6*AK399))))</f>
        <v>19258.314190048051</v>
      </c>
      <c r="AM399" s="18">
        <f>IF($A399&gt;'1-Input'!$B$26,AO398,(AO398-MAX(0,AK396-IF($A399&gt;=('1-Input'!$C$12-1),'1-Input'!$B$12,0))+AL399*(1-'P-Parametri'!$B$6*AK399))*(1+'1-Input'!$B$27))</f>
        <v>36219.1042108291</v>
      </c>
      <c r="AN399" s="18">
        <f>IF($A399&gt;'1-Input'!$B$26,AP398,(AP398-AL399)*(1+'5-Roberta'!$C$4))</f>
        <v>394867.86743461329</v>
      </c>
      <c r="AO399" s="18">
        <f>IF($A399&gt;'1-Input'!$B$26,AM399,AM399-'P-Parametri'!$B$8*(AN399+AM399)+MIN(MAX(AN399,0),'P-Parametri'!$B$8*(AN399+AM399)))</f>
        <v>36219.1042108291</v>
      </c>
      <c r="AP399" s="18">
        <f>IF($A399&gt;'1-Input'!$B$26,AN399,AN399-MIN(MAX(AN399,0),'P-Parametri'!$B$8*(AN399+AM399)))</f>
        <v>394005.6934913224</v>
      </c>
      <c r="AQ399" s="18">
        <f>IF($A399&gt;'1-Input'!$B$26,AQ398,AQ398-AL399*(1-AK399))</f>
        <v>300422.93608794513</v>
      </c>
    </row>
    <row r="400" spans="1:43">
      <c r="A400" s="10">
        <f>2</f>
        <v>2</v>
      </c>
      <c r="B400" s="11">
        <f>IF($A400&gt;'1-Input'!$B$26,0,IF(G399&lt;=0,0,MAX(0,(G399-H399)/G399)))</f>
        <v>0.23752929493546573</v>
      </c>
      <c r="C400" s="18">
        <f>IF($A400&gt;'1-Input'!$B$26,0,(MAX(0,B396-IF($A400&gt;=('1-Input'!$C$12-1),'1-Input'!$B$12,0))-MIN(MAX(F399,0),MAX(0,B396-IF($A400&gt;=('1-Input'!$C$12-1),'1-Input'!$B$12,0))))*(1/(1-'P-Parametri'!$B$6*B400))+MIN(MAX(0,G399-(MAX(0,B396-IF($A400&gt;=('1-Input'!$C$12-1),'1-Input'!$B$12,0))-MIN(MAX(F399,0),MAX(0,B396-IF($A400&gt;=('1-Input'!$C$12-1),'1-Input'!$B$12,0))))*(1/(1-'P-Parametri'!$B$6*B400))),MAX(0,2*B396-(F399-MIN(MAX(F399,0),MAX(0,B396-IF($A400&gt;=('1-Input'!$C$12-1),'1-Input'!$B$12,0)))))*(1/(1-'P-Parametri'!$B$6*B400))))</f>
        <v>17907.056014137157</v>
      </c>
      <c r="D400" s="18">
        <f>IF($A400&gt;'1-Input'!$B$26,F399,(F399-MAX(0,B396-IF($A400&gt;=('1-Input'!$C$12-1),'1-Input'!$B$12,0))+C400*(1-'P-Parametri'!$B$6*B400))*(1+'1-Input'!$B$27))</f>
        <v>33242.0070309863</v>
      </c>
      <c r="E400" s="18">
        <f>IF($A400&gt;'1-Input'!$B$26,G399,(G399-C400)*(1+'5-Roberta'!$C$4))</f>
        <v>392227.22108298907</v>
      </c>
      <c r="F400" s="18">
        <f>IF($A400&gt;'1-Input'!$B$26,D400,D400-'P-Parametri'!$B$8*(E400+D400)+MIN(MAX(E400,0),'P-Parametri'!$B$8*(E400+D400)))</f>
        <v>33242.0070309863</v>
      </c>
      <c r="G400" s="18">
        <f>IF($A400&gt;'1-Input'!$B$26,E400,E400-MIN(MAX(E400,0),'P-Parametri'!$B$8*(E400+D400)))</f>
        <v>391376.28262676112</v>
      </c>
      <c r="H400" s="18">
        <f>IF($A400&gt;'1-Input'!$B$26,H399,H399-C400*(1-B400))</f>
        <v>290351.22893655306</v>
      </c>
      <c r="I400" s="11">
        <f>IF($A400&gt;'1-Input'!$B$26,0,IF(N399&lt;=0,0,MAX(0,(N399-O399)/N399)))</f>
        <v>0.23748189102197931</v>
      </c>
      <c r="J400" s="18">
        <f>IF($A400&gt;'1-Input'!$B$26,0,(MAX(0,I396-IF($A400&gt;=('1-Input'!$C$12-1),'1-Input'!$B$12,0))-MIN(MAX(M399,0),MAX(0,I396-IF($A400&gt;=('1-Input'!$C$12-1),'1-Input'!$B$12,0))))*(1/(1-'P-Parametri'!$B$6*I400))+MIN(MAX(0,N399-(MAX(0,I396-IF($A400&gt;=('1-Input'!$C$12-1),'1-Input'!$B$12,0))-MIN(MAX(M399,0),MAX(0,I396-IF($A400&gt;=('1-Input'!$C$12-1),'1-Input'!$B$12,0))))*(1/(1-'P-Parametri'!$B$6*I400))),MAX(0,2*I396-(M399-MIN(MAX(M399,0),MAX(0,I396-IF($A400&gt;=('1-Input'!$C$12-1),'1-Input'!$B$12,0)))))*(1/(1-'P-Parametri'!$B$6*I400))))</f>
        <v>23561.606296146056</v>
      </c>
      <c r="K400" s="18">
        <f>IF($A400&gt;'1-Input'!$B$26,M399,(M399-MAX(0,I396-IF($A400&gt;=('1-Input'!$C$12-1),'1-Input'!$B$12,0))+J400*(1-'P-Parametri'!$B$6*I400))*(1+'1-Input'!$B$27))</f>
        <v>43739.482935508291</v>
      </c>
      <c r="L400" s="18">
        <f>IF($A400&gt;'1-Input'!$B$26,N399,(N399-J400)*(1+'5-Roberta'!$C$4))</f>
        <v>369316.98598304862</v>
      </c>
      <c r="M400" s="18">
        <f>IF($A400&gt;'1-Input'!$B$26,K400,K400-'P-Parametri'!$B$8*(L400+K400)+MIN(MAX(L400,0),'P-Parametri'!$B$8*(L400+K400)))</f>
        <v>43739.482935508291</v>
      </c>
      <c r="N400" s="18">
        <f>IF($A400&gt;'1-Input'!$B$26,L400,L400-MIN(MAX(L400,0),'P-Parametri'!$B$8*(L400+K400)))</f>
        <v>368490.87304521148</v>
      </c>
      <c r="O400" s="18">
        <f>IF($A400&gt;'1-Input'!$B$26,O399,O399-J400*(1-I400))</f>
        <v>273408.63084005477</v>
      </c>
      <c r="P400" s="11">
        <f>IF($A400&gt;'1-Input'!$B$26,0,IF(U399&lt;=0,0,MAX(0,(U399-V399)/U399)))</f>
        <v>0.2375139503538245</v>
      </c>
      <c r="Q400" s="18">
        <f>IF($A400&gt;'1-Input'!$B$26,0,(MAX(0,P396-IF($A400&gt;=('1-Input'!$C$12-1),'1-Input'!$B$12,0))-MIN(MAX(T399,0),MAX(0,P396-IF($A400&gt;=('1-Input'!$C$12-1),'1-Input'!$B$12,0))))*(1/(1-'P-Parametri'!$B$6*P400))+MIN(MAX(0,U399-(MAX(0,P396-IF($A400&gt;=('1-Input'!$C$12-1),'1-Input'!$B$12,0))-MIN(MAX(T399,0),MAX(0,P396-IF($A400&gt;=('1-Input'!$C$12-1),'1-Input'!$B$12,0))))*(1/(1-'P-Parametri'!$B$6*P400))),MAX(0,2*P396-(T399-MIN(MAX(T399,0),MAX(0,P396-IF($A400&gt;=('1-Input'!$C$12-1),'1-Input'!$B$12,0)))))*(1/(1-'P-Parametri'!$B$6*P400))))</f>
        <v>19790.438470448913</v>
      </c>
      <c r="R400" s="18">
        <f>IF($A400&gt;'1-Input'!$B$26,T399,(T399-MAX(0,P396-IF($A400&gt;=('1-Input'!$C$12-1),'1-Input'!$B$12,0))+Q400*(1-'P-Parametri'!$B$6*P400))*(1+'1-Input'!$B$27))</f>
        <v>36738.405892673523</v>
      </c>
      <c r="S400" s="18">
        <f>IF($A400&gt;'1-Input'!$B$26,U399,(U399-Q400)*(1+'5-Roberta'!$C$4))</f>
        <v>384596.47961701266</v>
      </c>
      <c r="T400" s="18">
        <f>IF($A400&gt;'1-Input'!$B$26,R400,R400-'P-Parametri'!$B$8*(S400+R400)+MIN(MAX(S400,0),'P-Parametri'!$B$8*(S400+R400)))</f>
        <v>36738.405892673523</v>
      </c>
      <c r="U400" s="18">
        <f>IF($A400&gt;'1-Input'!$B$26,S400,S400-MIN(MAX(S400,0),'P-Parametri'!$B$8*(S400+R400)))</f>
        <v>383753.8098459933</v>
      </c>
      <c r="V400" s="18">
        <f>IF($A400&gt;'1-Input'!$B$26,V399,V399-Q400*(1-P400))</f>
        <v>284708.20432136097</v>
      </c>
      <c r="W400" s="11">
        <f>IF($A400&gt;'1-Input'!$B$26,0,IF(AB399&lt;=0,0,MAX(0,(AB399-AC399)/AB399)))</f>
        <v>0.23751612272638165</v>
      </c>
      <c r="X400" s="18">
        <f>IF($A400&gt;'1-Input'!$B$26,0,(MAX(0,W396-IF($A400&gt;=('1-Input'!$C$12-1),'1-Input'!$B$12,0))-MIN(MAX(AA399,0),MAX(0,W396-IF($A400&gt;=('1-Input'!$C$12-1),'1-Input'!$B$12,0))))*(1/(1-'P-Parametri'!$B$6*W400))+MIN(MAX(0,AB399-(MAX(0,W396-IF($A400&gt;=('1-Input'!$C$12-1),'1-Input'!$B$12,0))-MIN(MAX(AA399,0),MAX(0,W396-IF($A400&gt;=('1-Input'!$C$12-1),'1-Input'!$B$12,0))))*(1/(1-'P-Parametri'!$B$6*W400))),MAX(0,2*W396-(AA399-MIN(MAX(AA399,0),MAX(0,W396-IF($A400&gt;=('1-Input'!$C$12-1),'1-Input'!$B$12,0)))))*(1/(1-'P-Parametri'!$B$6*W400))))</f>
        <v>19526.982219010606</v>
      </c>
      <c r="Y400" s="18">
        <f>IF($A400&gt;'1-Input'!$B$26,AA399,(AA399-MAX(0,W396-IF($A400&gt;=('1-Input'!$C$12-1),'1-Input'!$B$12,0))+X400*(1-'P-Parametri'!$B$6*W400))*(1+'1-Input'!$B$27))</f>
        <v>36249.311394946344</v>
      </c>
      <c r="Z400" s="18">
        <f>IF($A400&gt;'1-Input'!$B$26,AB399,(AB399-X400)*(1+'5-Roberta'!$C$4))</f>
        <v>385663.90637168102</v>
      </c>
      <c r="AA400" s="18">
        <f>IF($A400&gt;'1-Input'!$B$26,Y400,Y400-'P-Parametri'!$B$8*(Z400+Y400)+MIN(MAX(Z400,0),'P-Parametri'!$B$8*(Z400+Y400)))</f>
        <v>36249.311394946344</v>
      </c>
      <c r="AB400" s="18">
        <f>IF($A400&gt;'1-Input'!$B$26,Z400,Z400-MIN(MAX(Z400,0),'P-Parametri'!$B$8*(Z400+Y400)))</f>
        <v>384820.07993614778</v>
      </c>
      <c r="AC400" s="18">
        <f>IF($A400&gt;'1-Input'!$B$26,AC399,AC399-X400*(1-W400))</f>
        <v>285497.58315996994</v>
      </c>
      <c r="AD400" s="11">
        <f>IF($A400&gt;'1-Input'!$B$26,0,IF(AI399&lt;=0,0,MAX(0,(AI399-AJ399)/AI399)))</f>
        <v>0.23751625585860536</v>
      </c>
      <c r="AE400" s="18">
        <f>IF($A400&gt;'1-Input'!$B$26,0,(MAX(0,AD396-IF($A400&gt;=('1-Input'!$C$12-1),'1-Input'!$B$12,0))-MIN(MAX(AH399,0),MAX(0,AD396-IF($A400&gt;=('1-Input'!$C$12-1),'1-Input'!$B$12,0))))*(1/(1-'P-Parametri'!$B$6*AD400))+MIN(MAX(0,AI399-(MAX(0,AD396-IF($A400&gt;=('1-Input'!$C$12-1),'1-Input'!$B$12,0))-MIN(MAX(AH399,0),MAX(0,AD396-IF($A400&gt;=('1-Input'!$C$12-1),'1-Input'!$B$12,0))))*(1/(1-'P-Parametri'!$B$6*AD400))),MAX(0,2*AD396-(AH399-MIN(MAX(AH399,0),MAX(0,AD396-IF($A400&gt;=('1-Input'!$C$12-1),'1-Input'!$B$12,0)))))*(1/(1-'P-Parametri'!$B$6*AD400))))</f>
        <v>19510.802801765585</v>
      </c>
      <c r="AF400" s="18">
        <f>IF($A400&gt;'1-Input'!$B$26,AH399,(AH399-MAX(0,AD396-IF($A400&gt;=('1-Input'!$C$12-1),'1-Input'!$B$12,0))+AE400*(1-'P-Parametri'!$B$6*AD400))*(1+'1-Input'!$B$27))</f>
        <v>36219.275067787748</v>
      </c>
      <c r="AG400" s="18">
        <f>IF($A400&gt;'1-Input'!$B$26,AI399,(AI399-AE400)*(1+'5-Roberta'!$C$4))</f>
        <v>385729.45931765484</v>
      </c>
      <c r="AH400" s="18">
        <f>IF($A400&gt;'1-Input'!$B$26,AF400,AF400-'P-Parametri'!$B$8*(AG400+AF400)+MIN(MAX(AG400,0),'P-Parametri'!$B$8*(AG400+AF400)))</f>
        <v>36219.275067787748</v>
      </c>
      <c r="AI400" s="18">
        <f>IF($A400&gt;'1-Input'!$B$26,AG400,AG400-MIN(MAX(AG400,0),'P-Parametri'!$B$8*(AG400+AF400)))</f>
        <v>384885.56184888392</v>
      </c>
      <c r="AJ400" s="18">
        <f>IF($A400&gt;'1-Input'!$B$26,AJ399,AJ399-AE400*(1-AD400))</f>
        <v>285546.06054967106</v>
      </c>
      <c r="AK400" s="11">
        <f>IF($A400&gt;'1-Input'!$B$26,0,IF(AP399&lt;=0,0,MAX(0,(AP399-AQ399)/AP399)))</f>
        <v>0.23751625661581549</v>
      </c>
      <c r="AL400" s="18">
        <f>IF($A400&gt;'1-Input'!$B$26,0,(MAX(0,AK396-IF($A400&gt;=('1-Input'!$C$12-1),'1-Input'!$B$12,0))-MIN(MAX(AO399,0),MAX(0,AK396-IF($A400&gt;=('1-Input'!$C$12-1),'1-Input'!$B$12,0))))*(1/(1-'P-Parametri'!$B$6*AK400))+MIN(MAX(0,AP399-(MAX(0,AK396-IF($A400&gt;=('1-Input'!$C$12-1),'1-Input'!$B$12,0))-MIN(MAX(AO399,0),MAX(0,AK396-IF($A400&gt;=('1-Input'!$C$12-1),'1-Input'!$B$12,0))))*(1/(1-'P-Parametri'!$B$6*AK400))),MAX(0,2*AK396-(AO399-MIN(MAX(AO399,0),MAX(0,AK396-IF($A400&gt;=('1-Input'!$C$12-1),'1-Input'!$B$12,0)))))*(1/(1-'P-Parametri'!$B$6*AK400))))</f>
        <v>19510.710767672135</v>
      </c>
      <c r="AM400" s="18">
        <f>IF($A400&gt;'1-Input'!$B$26,AO399,(AO399-MAX(0,AK396-IF($A400&gt;=('1-Input'!$C$12-1),'1-Input'!$B$12,0))+AL400*(1-'P-Parametri'!$B$6*AK400))*(1+'1-Input'!$B$27))</f>
        <v>36219.1042108291</v>
      </c>
      <c r="AN400" s="18">
        <f>IF($A400&gt;'1-Input'!$B$26,AP399,(AP399-AL400)*(1+'5-Roberta'!$C$4))</f>
        <v>385729.83220535982</v>
      </c>
      <c r="AO400" s="18">
        <f>IF($A400&gt;'1-Input'!$B$26,AM400,AM400-'P-Parametri'!$B$8*(AN400+AM400)+MIN(MAX(AN400,0),'P-Parametri'!$B$8*(AN400+AM400)))</f>
        <v>36219.1042108291</v>
      </c>
      <c r="AP400" s="18">
        <f>IF($A400&gt;'1-Input'!$B$26,AN400,AN400-MIN(MAX(AN400,0),'P-Parametri'!$B$8*(AN400+AM400)))</f>
        <v>384885.93433252745</v>
      </c>
      <c r="AQ400" s="18">
        <f>IF($A400&gt;'1-Input'!$B$26,AQ399,AQ399-AL400*(1-AK400))</f>
        <v>285546.33630572434</v>
      </c>
    </row>
    <row r="401" spans="1:43">
      <c r="A401" s="10">
        <f>3</f>
        <v>3</v>
      </c>
      <c r="B401" s="11">
        <f>IF($A401&gt;'1-Input'!$B$26,0,IF(G400&lt;=0,0,MAX(0,(G400-H400)/G400)))</f>
        <v>0.25812768472368408</v>
      </c>
      <c r="C401" s="18">
        <f>IF($A401&gt;'1-Input'!$B$26,0,(MAX(0,B396-IF($A401&gt;=('1-Input'!$C$12-1),'1-Input'!$B$12,0))-MIN(MAX(F400,0),MAX(0,B396-IF($A401&gt;=('1-Input'!$C$12-1),'1-Input'!$B$12,0))))*(1/(1-'P-Parametri'!$B$6*B401))+MIN(MAX(0,G400-(MAX(0,B396-IF($A401&gt;=('1-Input'!$C$12-1),'1-Input'!$B$12,0))-MIN(MAX(F400,0),MAX(0,B396-IF($A401&gt;=('1-Input'!$C$12-1),'1-Input'!$B$12,0))))*(1/(1-'P-Parametri'!$B$6*B401))),MAX(0,2*B396-(F400-MIN(MAX(F400,0),MAX(0,B396-IF($A401&gt;=('1-Input'!$C$12-1),'1-Input'!$B$12,0)))))*(1/(1-'P-Parametri'!$B$6*B401))))</f>
        <v>18009.85808500936</v>
      </c>
      <c r="D401" s="18">
        <f>IF($A401&gt;'1-Input'!$B$26,F400,(F400-MAX(0,B396-IF($A401&gt;=('1-Input'!$C$12-1),'1-Input'!$B$12,0))+C401*(1-'P-Parametri'!$B$6*B401))*(1+'1-Input'!$B$27))</f>
        <v>33242.0070309863</v>
      </c>
      <c r="E401" s="18">
        <f>IF($A401&gt;'1-Input'!$B$26,G400,(G400-C401)*(1+'5-Roberta'!$C$4))</f>
        <v>384567.41727800429</v>
      </c>
      <c r="F401" s="18">
        <f>IF($A401&gt;'1-Input'!$B$26,D401,D401-'P-Parametri'!$B$8*(E401+D401)+MIN(MAX(E401,0),'P-Parametri'!$B$8*(E401+D401)))</f>
        <v>33242.0070309863</v>
      </c>
      <c r="G401" s="18">
        <f>IF($A401&gt;'1-Input'!$B$26,E401,E401-MIN(MAX(E401,0),'P-Parametri'!$B$8*(E401+D401)))</f>
        <v>383731.79842938628</v>
      </c>
      <c r="H401" s="18">
        <f>IF($A401&gt;'1-Input'!$B$26,H400,H400-C401*(1-B401))</f>
        <v>276990.21382122929</v>
      </c>
      <c r="I401" s="11">
        <f>IF($A401&gt;'1-Input'!$B$26,0,IF(N400&lt;=0,0,MAX(0,(N400-O400)/N400)))</f>
        <v>0.25803147149723493</v>
      </c>
      <c r="J401" s="18">
        <f>IF($A401&gt;'1-Input'!$B$26,0,(MAX(0,I396-IF($A401&gt;=('1-Input'!$C$12-1),'1-Input'!$B$12,0))-MIN(MAX(M400,0),MAX(0,I396-IF($A401&gt;=('1-Input'!$C$12-1),'1-Input'!$B$12,0))))*(1/(1-'P-Parametri'!$B$6*I401))+MIN(MAX(0,N400-(MAX(0,I396-IF($A401&gt;=('1-Input'!$C$12-1),'1-Input'!$B$12,0))-MIN(MAX(M400,0),MAX(0,I396-IF($A401&gt;=('1-Input'!$C$12-1),'1-Input'!$B$12,0))))*(1/(1-'P-Parametri'!$B$6*I401))),MAX(0,2*I396-(M400-MIN(MAX(M400,0),MAX(0,I396-IF($A401&gt;=('1-Input'!$C$12-1),'1-Input'!$B$12,0)))))*(1/(1-'P-Parametri'!$B$6*I401))))</f>
        <v>23696.546265899819</v>
      </c>
      <c r="K401" s="18">
        <f>IF($A401&gt;'1-Input'!$B$26,M400,(M400-MAX(0,I396-IF($A401&gt;=('1-Input'!$C$12-1),'1-Input'!$B$12,0))+J401*(1-'P-Parametri'!$B$6*I401))*(1+'1-Input'!$B$27))</f>
        <v>43739.482935508291</v>
      </c>
      <c r="L401" s="18">
        <f>IF($A401&gt;'1-Input'!$B$26,N400,(N400-J401)*(1+'5-Roberta'!$C$4))</f>
        <v>355138.15658269101</v>
      </c>
      <c r="M401" s="18">
        <f>IF($A401&gt;'1-Input'!$B$26,K401,K401-'P-Parametri'!$B$8*(L401+K401)+MIN(MAX(L401,0),'P-Parametri'!$B$8*(L401+K401)))</f>
        <v>43739.482935508291</v>
      </c>
      <c r="N401" s="18">
        <f>IF($A401&gt;'1-Input'!$B$26,L401,L401-MIN(MAX(L401,0),'P-Parametri'!$B$8*(L401+K401)))</f>
        <v>354340.40130365459</v>
      </c>
      <c r="O401" s="18">
        <f>IF($A401&gt;'1-Input'!$B$26,O400,O400-J401*(1-I401))</f>
        <v>255826.53927654738</v>
      </c>
      <c r="P401" s="11">
        <f>IF($A401&gt;'1-Input'!$B$26,0,IF(U400&lt;=0,0,MAX(0,(U400-V400)/U400)))</f>
        <v>0.25809673541581502</v>
      </c>
      <c r="Q401" s="18">
        <f>IF($A401&gt;'1-Input'!$B$26,0,(MAX(0,P396-IF($A401&gt;=('1-Input'!$C$12-1),'1-Input'!$B$12,0))-MIN(MAX(T400,0),MAX(0,P396-IF($A401&gt;=('1-Input'!$C$12-1),'1-Input'!$B$12,0))))*(1/(1-'P-Parametri'!$B$6*P401))+MIN(MAX(0,U400-(MAX(0,P396-IF($A401&gt;=('1-Input'!$C$12-1),'1-Input'!$B$12,0))-MIN(MAX(T400,0),MAX(0,P396-IF($A401&gt;=('1-Input'!$C$12-1),'1-Input'!$B$12,0))))*(1/(1-'P-Parametri'!$B$6*P401))),MAX(0,2*P396-(T400-MIN(MAX(T400,0),MAX(0,P396-IF($A401&gt;=('1-Input'!$C$12-1),'1-Input'!$B$12,0)))))*(1/(1-'P-Parametri'!$B$6*P401))))</f>
        <v>19903.965744053545</v>
      </c>
      <c r="R401" s="18">
        <f>IF($A401&gt;'1-Input'!$B$26,T400,(T400-MAX(0,P396-IF($A401&gt;=('1-Input'!$C$12-1),'1-Input'!$B$12,0))+Q401*(1-'P-Parametri'!$B$6*P401))*(1+'1-Input'!$B$27))</f>
        <v>36738.405892673523</v>
      </c>
      <c r="S401" s="18">
        <f>IF($A401&gt;'1-Input'!$B$26,U400,(U400-Q401)*(1+'5-Roberta'!$C$4))</f>
        <v>374765.33942499798</v>
      </c>
      <c r="T401" s="18">
        <f>IF($A401&gt;'1-Input'!$B$26,R401,R401-'P-Parametri'!$B$8*(S401+R401)+MIN(MAX(S401,0),'P-Parametri'!$B$8*(S401+R401)))</f>
        <v>36738.405892673523</v>
      </c>
      <c r="U401" s="18">
        <f>IF($A401&gt;'1-Input'!$B$26,S401,S401-MIN(MAX(S401,0),'P-Parametri'!$B$8*(S401+R401)))</f>
        <v>373942.33193436265</v>
      </c>
      <c r="V401" s="18">
        <f>IF($A401&gt;'1-Input'!$B$26,V400,V400-Q401*(1-P401))</f>
        <v>269941.38715767587</v>
      </c>
      <c r="W401" s="11">
        <f>IF($A401&gt;'1-Input'!$B$26,0,IF(AB400&lt;=0,0,MAX(0,(AB400-AC400)/AB400)))</f>
        <v>0.25810112817568709</v>
      </c>
      <c r="X401" s="18">
        <f>IF($A401&gt;'1-Input'!$B$26,0,(MAX(0,W396-IF($A401&gt;=('1-Input'!$C$12-1),'1-Input'!$B$12,0))-MIN(MAX(AA400,0),MAX(0,W396-IF($A401&gt;=('1-Input'!$C$12-1),'1-Input'!$B$12,0))))*(1/(1-'P-Parametri'!$B$6*W401))+MIN(MAX(0,AB400-(MAX(0,W396-IF($A401&gt;=('1-Input'!$C$12-1),'1-Input'!$B$12,0))-MIN(MAX(AA400,0),MAX(0,W396-IF($A401&gt;=('1-Input'!$C$12-1),'1-Input'!$B$12,0))))*(1/(1-'P-Parametri'!$B$6*W401))),MAX(0,2*W396-(AA400-MIN(MAX(AA400,0),MAX(0,W396-IF($A401&gt;=('1-Input'!$C$12-1),'1-Input'!$B$12,0)))))*(1/(1-'P-Parametri'!$B$6*W401))))</f>
        <v>19639.010404486475</v>
      </c>
      <c r="Y401" s="18">
        <f>IF($A401&gt;'1-Input'!$B$26,AA400,(AA400-MAX(0,W396-IF($A401&gt;=('1-Input'!$C$12-1),'1-Input'!$B$12,0))+X401*(1-'P-Parametri'!$B$6*W401))*(1+'1-Input'!$B$27))</f>
        <v>36249.311394946351</v>
      </c>
      <c r="Z401" s="18">
        <f>IF($A401&gt;'1-Input'!$B$26,AB400,(AB400-X401)*(1+'5-Roberta'!$C$4))</f>
        <v>376136.50161761115</v>
      </c>
      <c r="AA401" s="18">
        <f>IF($A401&gt;'1-Input'!$B$26,Y401,Y401-'P-Parametri'!$B$8*(Z401+Y401)+MIN(MAX(Z401,0),'P-Parametri'!$B$8*(Z401+Y401)))</f>
        <v>36249.311394946351</v>
      </c>
      <c r="AB401" s="18">
        <f>IF($A401&gt;'1-Input'!$B$26,Z401,Z401-MIN(MAX(Z401,0),'P-Parametri'!$B$8*(Z401+Y401)))</f>
        <v>375311.72999158606</v>
      </c>
      <c r="AC401" s="18">
        <f>IF($A401&gt;'1-Input'!$B$26,AC400,AC400-X401*(1-W401))</f>
        <v>270927.42349713546</v>
      </c>
      <c r="AD401" s="11">
        <f>IF($A401&gt;'1-Input'!$B$26,0,IF(AI400&lt;=0,0,MAX(0,(AI400-AJ400)/AI400)))</f>
        <v>0.2581013972621195</v>
      </c>
      <c r="AE401" s="18">
        <f>IF($A401&gt;'1-Input'!$B$26,0,(MAX(0,AD396-IF($A401&gt;=('1-Input'!$C$12-1),'1-Input'!$B$12,0))-MIN(MAX(AH400,0),MAX(0,AD396-IF($A401&gt;=('1-Input'!$C$12-1),'1-Input'!$B$12,0))))*(1/(1-'P-Parametri'!$B$6*AD401))+MIN(MAX(0,AI400-(MAX(0,AD396-IF($A401&gt;=('1-Input'!$C$12-1),'1-Input'!$B$12,0))-MIN(MAX(AH400,0),MAX(0,AD396-IF($A401&gt;=('1-Input'!$C$12-1),'1-Input'!$B$12,0))))*(1/(1-'P-Parametri'!$B$6*AD401))),MAX(0,2*AD396-(AH400-MIN(MAX(AH400,0),MAX(0,AD396-IF($A401&gt;=('1-Input'!$C$12-1),'1-Input'!$B$12,0)))))*(1/(1-'P-Parametri'!$B$6*AD401))))</f>
        <v>19622.738912034678</v>
      </c>
      <c r="AF401" s="18">
        <f>IF($A401&gt;'1-Input'!$B$26,AH400,(AH400-MAX(0,AD396-IF($A401&gt;=('1-Input'!$C$12-1),'1-Input'!$B$12,0))+AE401*(1-'P-Parametri'!$B$6*AD401))*(1+'1-Input'!$B$27))</f>
        <v>36219.275067787748</v>
      </c>
      <c r="AG401" s="18">
        <f>IF($A401&gt;'1-Input'!$B$26,AI400,(AI400-AE401)*(1+'5-Roberta'!$C$4))</f>
        <v>376220.70762495475</v>
      </c>
      <c r="AH401" s="18">
        <f>IF($A401&gt;'1-Input'!$B$26,AF401,AF401-'P-Parametri'!$B$8*(AG401+AF401)+MIN(MAX(AG401,0),'P-Parametri'!$B$8*(AG401+AF401)))</f>
        <v>36219.275067787748</v>
      </c>
      <c r="AI401" s="18">
        <f>IF($A401&gt;'1-Input'!$B$26,AG401,AG401-MIN(MAX(AG401,0),'P-Parametri'!$B$8*(AG401+AF401)))</f>
        <v>375395.82765956927</v>
      </c>
      <c r="AJ401" s="18">
        <f>IF($A401&gt;'1-Input'!$B$26,AJ400,AJ400-AE401*(1-AD401))</f>
        <v>270987.97796894232</v>
      </c>
      <c r="AK401" s="11">
        <f>IF($A401&gt;'1-Input'!$B$26,0,IF(AP400&lt;=0,0,MAX(0,(AP400-AQ400)/AP400)))</f>
        <v>0.25810139879255062</v>
      </c>
      <c r="AL401" s="18">
        <f>IF($A401&gt;'1-Input'!$B$26,0,(MAX(0,AK396-IF($A401&gt;=('1-Input'!$C$12-1),'1-Input'!$B$12,0))-MIN(MAX(AO400,0),MAX(0,AK396-IF($A401&gt;=('1-Input'!$C$12-1),'1-Input'!$B$12,0))))*(1/(1-'P-Parametri'!$B$6*AK401))+MIN(MAX(0,AP400-(MAX(0,AK396-IF($A401&gt;=('1-Input'!$C$12-1),'1-Input'!$B$12,0))-MIN(MAX(AO400,0),MAX(0,AK396-IF($A401&gt;=('1-Input'!$C$12-1),'1-Input'!$B$12,0))))*(1/(1-'P-Parametri'!$B$6*AK401))),MAX(0,2*AK396-(AO400-MIN(MAX(AO400,0),MAX(0,AK396-IF($A401&gt;=('1-Input'!$C$12-1),'1-Input'!$B$12,0)))))*(1/(1-'P-Parametri'!$B$6*AK401))))</f>
        <v>19622.646354181485</v>
      </c>
      <c r="AM401" s="18">
        <f>IF($A401&gt;'1-Input'!$B$26,AO400,(AO400-MAX(0,AK396-IF($A401&gt;=('1-Input'!$C$12-1),'1-Input'!$B$12,0))+AL401*(1-'P-Parametri'!$B$6*AK401))*(1+'1-Input'!$B$27))</f>
        <v>36219.1042108291</v>
      </c>
      <c r="AN401" s="18">
        <f>IF($A401&gt;'1-Input'!$B$26,AP400,(AP400-AL401)*(1+'5-Roberta'!$C$4))</f>
        <v>376221.18661769637</v>
      </c>
      <c r="AO401" s="18">
        <f>IF($A401&gt;'1-Input'!$B$26,AM401,AM401-'P-Parametri'!$B$8*(AN401+AM401)+MIN(MAX(AN401,0),'P-Parametri'!$B$8*(AN401+AM401)))</f>
        <v>36219.1042108291</v>
      </c>
      <c r="AP401" s="18">
        <f>IF($A401&gt;'1-Input'!$B$26,AN401,AN401-MIN(MAX(AN401,0),'P-Parametri'!$B$8*(AN401+AM401)))</f>
        <v>375396.30603603931</v>
      </c>
      <c r="AQ401" s="18">
        <f>IF($A401&gt;'1-Input'!$B$26,AQ400,AQ400-AL401*(1-AK401))</f>
        <v>270988.32242356864</v>
      </c>
    </row>
    <row r="402" spans="1:43">
      <c r="A402" s="10">
        <f>4</f>
        <v>4</v>
      </c>
      <c r="B402" s="11">
        <f>IF($A402&gt;'1-Input'!$B$26,0,IF(G401&lt;=0,0,MAX(0,(G401-H401)/G401)))</f>
        <v>0.27816716009736525</v>
      </c>
      <c r="C402" s="18">
        <f>IF($A402&gt;'1-Input'!$B$26,0,(MAX(0,B396-IF($A402&gt;=('1-Input'!$C$12-1),'1-Input'!$B$12,0))-MIN(MAX(F401,0),MAX(0,B396-IF($A402&gt;=('1-Input'!$C$12-1),'1-Input'!$B$12,0))))*(1/(1-'P-Parametri'!$B$6*B402))+MIN(MAX(0,G401-(MAX(0,B396-IF($A402&gt;=('1-Input'!$C$12-1),'1-Input'!$B$12,0))-MIN(MAX(F401,0),MAX(0,B396-IF($A402&gt;=('1-Input'!$C$12-1),'1-Input'!$B$12,0))))*(1/(1-'P-Parametri'!$B$6*B402))),MAX(0,2*B396-(F401-MIN(MAX(F401,0),MAX(0,B396-IF($A402&gt;=('1-Input'!$C$12-1),'1-Input'!$B$12,0)))))*(1/(1-'P-Parametri'!$B$6*B402))))</f>
        <v>18111.009837898029</v>
      </c>
      <c r="D402" s="18">
        <f>IF($A402&gt;'1-Input'!$B$26,F401,(F401-MAX(0,B396-IF($A402&gt;=('1-Input'!$C$12-1),'1-Input'!$B$12,0))+C402*(1-'P-Parametri'!$B$6*B402))*(1+'1-Input'!$B$27))</f>
        <v>33242.0070309863</v>
      </c>
      <c r="E402" s="18">
        <f>IF($A402&gt;'1-Input'!$B$26,G401,(G401-C402)*(1+'5-Roberta'!$C$4))</f>
        <v>376589.41224923293</v>
      </c>
      <c r="F402" s="18">
        <f>IF($A402&gt;'1-Input'!$B$26,D402,D402-'P-Parametri'!$B$8*(E402+D402)+MIN(MAX(E402,0),'P-Parametri'!$B$8*(E402+D402)))</f>
        <v>33242.0070309863</v>
      </c>
      <c r="G402" s="18">
        <f>IF($A402&gt;'1-Input'!$B$26,E402,E402-MIN(MAX(E402,0),'P-Parametri'!$B$8*(E402+D402)))</f>
        <v>375769.74941067252</v>
      </c>
      <c r="H402" s="18">
        <f>IF($A402&gt;'1-Input'!$B$26,H401,H401-C402*(1-B402))</f>
        <v>263917.09215643478</v>
      </c>
      <c r="I402" s="11">
        <f>IF($A402&gt;'1-Input'!$B$26,0,IF(N401&lt;=0,0,MAX(0,(N401-O401)/N401)))</f>
        <v>0.27802040541994261</v>
      </c>
      <c r="J402" s="18">
        <f>IF($A402&gt;'1-Input'!$B$26,0,(MAX(0,I396-IF($A402&gt;=('1-Input'!$C$12-1),'1-Input'!$B$12,0))-MIN(MAX(M401,0),MAX(0,I396-IF($A402&gt;=('1-Input'!$C$12-1),'1-Input'!$B$12,0))))*(1/(1-'P-Parametri'!$B$6*I402))+MIN(MAX(0,N401-(MAX(0,I396-IF($A402&gt;=('1-Input'!$C$12-1),'1-Input'!$B$12,0))-MIN(MAX(M401,0),MAX(0,I396-IF($A402&gt;=('1-Input'!$C$12-1),'1-Input'!$B$12,0))))*(1/(1-'P-Parametri'!$B$6*I402))),MAX(0,2*I396-(M401-MIN(MAX(M401,0),MAX(0,I396-IF($A402&gt;=('1-Input'!$C$12-1),'1-Input'!$B$12,0)))))*(1/(1-'P-Parametri'!$B$6*I402))))</f>
        <v>23829.295980946357</v>
      </c>
      <c r="K402" s="18">
        <f>IF($A402&gt;'1-Input'!$B$26,M401,(M401-MAX(0,I396-IF($A402&gt;=('1-Input'!$C$12-1),'1-Input'!$B$12,0))+J402*(1-'P-Parametri'!$B$6*I402))*(1+'1-Input'!$B$27))</f>
        <v>43739.482935508291</v>
      </c>
      <c r="L402" s="18">
        <f>IF($A402&gt;'1-Input'!$B$26,N401,(N401-J402)*(1+'5-Roberta'!$C$4))</f>
        <v>340426.43848238949</v>
      </c>
      <c r="M402" s="18">
        <f>IF($A402&gt;'1-Input'!$B$26,K402,K402-'P-Parametri'!$B$8*(L402+K402)+MIN(MAX(L402,0),'P-Parametri'!$B$8*(L402+K402)))</f>
        <v>43739.482935508291</v>
      </c>
      <c r="N402" s="18">
        <f>IF($A402&gt;'1-Input'!$B$26,L402,L402-MIN(MAX(L402,0),'P-Parametri'!$B$8*(L402+K402)))</f>
        <v>339658.10663955368</v>
      </c>
      <c r="O402" s="18">
        <f>IF($A402&gt;'1-Input'!$B$26,O401,O401-J402*(1-I402))</f>
        <v>238622.27382509553</v>
      </c>
      <c r="P402" s="11">
        <f>IF($A402&gt;'1-Input'!$B$26,0,IF(U401&lt;=0,0,MAX(0,(U401-V401)/U401)))</f>
        <v>0.27812027656430688</v>
      </c>
      <c r="Q402" s="18">
        <f>IF($A402&gt;'1-Input'!$B$26,0,(MAX(0,P396-IF($A402&gt;=('1-Input'!$C$12-1),'1-Input'!$B$12,0))-MIN(MAX(T401,0),MAX(0,P396-IF($A402&gt;=('1-Input'!$C$12-1),'1-Input'!$B$12,0))))*(1/(1-'P-Parametri'!$B$6*P402))+MIN(MAX(0,U401-(MAX(0,P396-IF($A402&gt;=('1-Input'!$C$12-1),'1-Input'!$B$12,0))-MIN(MAX(T401,0),MAX(0,P396-IF($A402&gt;=('1-Input'!$C$12-1),'1-Input'!$B$12,0))))*(1/(1-'P-Parametri'!$B$6*P402))),MAX(0,2*P396-(T401-MIN(MAX(T401,0),MAX(0,P396-IF($A402&gt;=('1-Input'!$C$12-1),'1-Input'!$B$12,0)))))*(1/(1-'P-Parametri'!$B$6*P402))))</f>
        <v>20015.665331325101</v>
      </c>
      <c r="R402" s="18">
        <f>IF($A402&gt;'1-Input'!$B$26,T401,(T401-MAX(0,P396-IF($A402&gt;=('1-Input'!$C$12-1),'1-Input'!$B$12,0))+Q402*(1-'P-Parametri'!$B$6*P402))*(1+'1-Input'!$B$27))</f>
        <v>36738.405892673509</v>
      </c>
      <c r="S402" s="18">
        <f>IF($A402&gt;'1-Input'!$B$26,U401,(U401-Q402)*(1+'5-Roberta'!$C$4))</f>
        <v>364544.46660112869</v>
      </c>
      <c r="T402" s="18">
        <f>IF($A402&gt;'1-Input'!$B$26,R402,R402-'P-Parametri'!$B$8*(S402+R402)+MIN(MAX(S402,0),'P-Parametri'!$B$8*(S402+R402)))</f>
        <v>36738.405892673509</v>
      </c>
      <c r="U402" s="18">
        <f>IF($A402&gt;'1-Input'!$B$26,S402,S402-MIN(MAX(S402,0),'P-Parametri'!$B$8*(S402+R402)))</f>
        <v>363741.90085614106</v>
      </c>
      <c r="V402" s="18">
        <f>IF($A402&gt;'1-Input'!$B$26,V401,V401-Q402*(1-P402))</f>
        <v>255492.48420391753</v>
      </c>
      <c r="W402" s="11">
        <f>IF($A402&gt;'1-Input'!$B$26,0,IF(AB401&lt;=0,0,MAX(0,(AB401-AC401)/AB401)))</f>
        <v>0.27812694928770476</v>
      </c>
      <c r="X402" s="18">
        <f>IF($A402&gt;'1-Input'!$B$26,0,(MAX(0,W396-IF($A402&gt;=('1-Input'!$C$12-1),'1-Input'!$B$12,0))-MIN(MAX(AA401,0),MAX(0,W396-IF($A402&gt;=('1-Input'!$C$12-1),'1-Input'!$B$12,0))))*(1/(1-'P-Parametri'!$B$6*W402))+MIN(MAX(0,AB401-(MAX(0,W396-IF($A402&gt;=('1-Input'!$C$12-1),'1-Input'!$B$12,0))-MIN(MAX(AA401,0),MAX(0,W396-IF($A402&gt;=('1-Input'!$C$12-1),'1-Input'!$B$12,0))))*(1/(1-'P-Parametri'!$B$6*W402))),MAX(0,2*W396-(AA401-MIN(MAX(AA401,0),MAX(0,W396-IF($A402&gt;=('1-Input'!$C$12-1),'1-Input'!$B$12,0)))))*(1/(1-'P-Parametri'!$B$6*W402))))</f>
        <v>19749.235837350421</v>
      </c>
      <c r="Y402" s="18">
        <f>IF($A402&gt;'1-Input'!$B$26,AA401,(AA401-MAX(0,W396-IF($A402&gt;=('1-Input'!$C$12-1),'1-Input'!$B$12,0))+X402*(1-'P-Parametri'!$B$6*W402))*(1+'1-Input'!$B$27))</f>
        <v>36249.311394946351</v>
      </c>
      <c r="Z402" s="18">
        <f>IF($A402&gt;'1-Input'!$B$26,AB401,(AB401-X402)*(1+'5-Roberta'!$C$4))</f>
        <v>366229.36897886271</v>
      </c>
      <c r="AA402" s="18">
        <f>IF($A402&gt;'1-Input'!$B$26,Y402,Y402-'P-Parametri'!$B$8*(Z402+Y402)+MIN(MAX(Z402,0),'P-Parametri'!$B$8*(Z402+Y402)))</f>
        <v>36249.311394946351</v>
      </c>
      <c r="AB402" s="18">
        <f>IF($A402&gt;'1-Input'!$B$26,Z402,Z402-MIN(MAX(Z402,0),'P-Parametri'!$B$8*(Z402+Y402)))</f>
        <v>365424.41161811509</v>
      </c>
      <c r="AC402" s="18">
        <f>IF($A402&gt;'1-Input'!$B$26,AC401,AC401-X402*(1-W402))</f>
        <v>256670.98237399073</v>
      </c>
      <c r="AD402" s="11">
        <f>IF($A402&gt;'1-Input'!$B$26,0,IF(AI401&lt;=0,0,MAX(0,(AI401-AJ401)/AI401)))</f>
        <v>0.2781273578386973</v>
      </c>
      <c r="AE402" s="18">
        <f>IF($A402&gt;'1-Input'!$B$26,0,(MAX(0,AD396-IF($A402&gt;=('1-Input'!$C$12-1),'1-Input'!$B$12,0))-MIN(MAX(AH401,0),MAX(0,AD396-IF($A402&gt;=('1-Input'!$C$12-1),'1-Input'!$B$12,0))))*(1/(1-'P-Parametri'!$B$6*AD402))+MIN(MAX(0,AI401-(MAX(0,AD396-IF($A402&gt;=('1-Input'!$C$12-1),'1-Input'!$B$12,0))-MIN(MAX(AH401,0),MAX(0,AD396-IF($A402&gt;=('1-Input'!$C$12-1),'1-Input'!$B$12,0))))*(1/(1-'P-Parametri'!$B$6*AD402))),MAX(0,2*AD396-(AH401-MIN(MAX(AH401,0),MAX(0,AD396-IF($A402&gt;=('1-Input'!$C$12-1),'1-Input'!$B$12,0)))))*(1/(1-'P-Parametri'!$B$6*AD402))))</f>
        <v>19732.873799526064</v>
      </c>
      <c r="AF402" s="18">
        <f>IF($A402&gt;'1-Input'!$B$26,AH401,(AH401-MAX(0,AD396-IF($A402&gt;=('1-Input'!$C$12-1),'1-Input'!$B$12,0))+AE402*(1-'P-Parametri'!$B$6*AD402))*(1+'1-Input'!$B$27))</f>
        <v>36219.275067787748</v>
      </c>
      <c r="AG402" s="18">
        <f>IF($A402&gt;'1-Input'!$B$26,AI401,(AI401-AE402)*(1+'5-Roberta'!$C$4))</f>
        <v>366332.84247584449</v>
      </c>
      <c r="AH402" s="18">
        <f>IF($A402&gt;'1-Input'!$B$26,AF402,AF402-'P-Parametri'!$B$8*(AG402+AF402)+MIN(MAX(AG402,0),'P-Parametri'!$B$8*(AG402+AF402)))</f>
        <v>36219.275067787748</v>
      </c>
      <c r="AI402" s="18">
        <f>IF($A402&gt;'1-Input'!$B$26,AG402,AG402-MIN(MAX(AG402,0),'P-Parametri'!$B$8*(AG402+AF402)))</f>
        <v>365527.7382407572</v>
      </c>
      <c r="AJ402" s="18">
        <f>IF($A402&gt;'1-Input'!$B$26,AJ401,AJ401-AE402*(1-AD402))</f>
        <v>256743.3562218429</v>
      </c>
      <c r="AK402" s="11">
        <f>IF($A402&gt;'1-Input'!$B$26,0,IF(AP401&lt;=0,0,MAX(0,(AP401-AQ401)/AP401)))</f>
        <v>0.27812736016226852</v>
      </c>
      <c r="AL402" s="18">
        <f>IF($A402&gt;'1-Input'!$B$26,0,(MAX(0,AK396-IF($A402&gt;=('1-Input'!$C$12-1),'1-Input'!$B$12,0))-MIN(MAX(AO401,0),MAX(0,AK396-IF($A402&gt;=('1-Input'!$C$12-1),'1-Input'!$B$12,0))))*(1/(1-'P-Parametri'!$B$6*AK402))+MIN(MAX(0,AP401-(MAX(0,AK396-IF($A402&gt;=('1-Input'!$C$12-1),'1-Input'!$B$12,0))-MIN(MAX(AO401,0),MAX(0,AK396-IF($A402&gt;=('1-Input'!$C$12-1),'1-Input'!$B$12,0))))*(1/(1-'P-Parametri'!$B$6*AK402))),MAX(0,2*AK396-(AO401-MIN(MAX(AO401,0),MAX(0,AK396-IF($A402&gt;=('1-Input'!$C$12-1),'1-Input'!$B$12,0)))))*(1/(1-'P-Parametri'!$B$6*AK402))))</f>
        <v>19732.780726614896</v>
      </c>
      <c r="AM402" s="18">
        <f>IF($A402&gt;'1-Input'!$B$26,AO401,(AO401-MAX(0,AK396-IF($A402&gt;=('1-Input'!$C$12-1),'1-Input'!$B$12,0))+AL402*(1-'P-Parametri'!$B$6*AK402))*(1+'1-Input'!$B$27))</f>
        <v>36219.1042108291</v>
      </c>
      <c r="AN402" s="18">
        <f>IF($A402&gt;'1-Input'!$B$26,AP401,(AP401-AL402)*(1+'5-Roberta'!$C$4))</f>
        <v>366333.4310687072</v>
      </c>
      <c r="AO402" s="18">
        <f>IF($A402&gt;'1-Input'!$B$26,AM402,AM402-'P-Parametri'!$B$8*(AN402+AM402)+MIN(MAX(AN402,0),'P-Parametri'!$B$8*(AN402+AM402)))</f>
        <v>36219.1042108291</v>
      </c>
      <c r="AP402" s="18">
        <f>IF($A402&gt;'1-Input'!$B$26,AN402,AN402-MIN(MAX(AN402,0),'P-Parametri'!$B$8*(AN402+AM402)))</f>
        <v>365528.32599814812</v>
      </c>
      <c r="AQ402" s="18">
        <f>IF($A402&gt;'1-Input'!$B$26,AQ401,AQ401-AL402*(1-AK402))</f>
        <v>256743.76790910802</v>
      </c>
    </row>
    <row r="403" spans="1:43">
      <c r="A403" s="10">
        <f>5</f>
        <v>5</v>
      </c>
      <c r="B403" s="11">
        <f>IF($A403&gt;'1-Input'!$B$26,0,IF(G402&lt;=0,0,MAX(0,(G402-H402)/G402)))</f>
        <v>0.29766275073940512</v>
      </c>
      <c r="C403" s="18">
        <f>IF($A403&gt;'1-Input'!$B$26,0,(MAX(0,B396-IF($A403&gt;=('1-Input'!$C$12-1),'1-Input'!$B$12,0))-MIN(MAX(F402,0),MAX(0,B396-IF($A403&gt;=('1-Input'!$C$12-1),'1-Input'!$B$12,0))))*(1/(1-'P-Parametri'!$B$6*B403))+MIN(MAX(0,G402-(MAX(0,B396-IF($A403&gt;=('1-Input'!$C$12-1),'1-Input'!$B$12,0))-MIN(MAX(F402,0),MAX(0,B396-IF($A403&gt;=('1-Input'!$C$12-1),'1-Input'!$B$12,0))))*(1/(1-'P-Parametri'!$B$6*B403))),MAX(0,2*B396-(F402-MIN(MAX(F402,0),MAX(0,B396-IF($A403&gt;=('1-Input'!$C$12-1),'1-Input'!$B$12,0)))))*(1/(1-'P-Parametri'!$B$6*B403))))</f>
        <v>18210.512647520372</v>
      </c>
      <c r="D403" s="18">
        <f>IF($A403&gt;'1-Input'!$B$26,F402,(F402-MAX(0,B396-IF($A403&gt;=('1-Input'!$C$12-1),'1-Input'!$B$12,0))+C403*(1-'P-Parametri'!$B$6*B403))*(1+'1-Input'!$B$27))</f>
        <v>33242.0070309863</v>
      </c>
      <c r="E403" s="18">
        <f>IF($A403&gt;'1-Input'!$B$26,G402,(G402-C403)*(1+'5-Roberta'!$C$4))</f>
        <v>368286.01386604673</v>
      </c>
      <c r="F403" s="18">
        <f>IF($A403&gt;'1-Input'!$B$26,D403,D403-'P-Parametri'!$B$8*(E403+D403)+MIN(MAX(E403,0),'P-Parametri'!$B$8*(E403+D403)))</f>
        <v>33242.0070309863</v>
      </c>
      <c r="G403" s="18">
        <f>IF($A403&gt;'1-Input'!$B$26,E403,E403-MIN(MAX(E403,0),'P-Parametri'!$B$8*(E403+D403)))</f>
        <v>367482.95782425266</v>
      </c>
      <c r="H403" s="18">
        <f>IF($A403&gt;'1-Input'!$B$26,H402,H402-C403*(1-B403))</f>
        <v>251127.17079595005</v>
      </c>
      <c r="I403" s="11">
        <f>IF($A403&gt;'1-Input'!$B$26,0,IF(N402&lt;=0,0,MAX(0,(N402-O402)/N402)))</f>
        <v>0.29746333398035957</v>
      </c>
      <c r="J403" s="18">
        <f>IF($A403&gt;'1-Input'!$B$26,0,(MAX(0,I396-IF($A403&gt;=('1-Input'!$C$12-1),'1-Input'!$B$12,0))-MIN(MAX(M402,0),MAX(0,I396-IF($A403&gt;=('1-Input'!$C$12-1),'1-Input'!$B$12,0))))*(1/(1-'P-Parametri'!$B$6*I403))+MIN(MAX(0,N402-(MAX(0,I396-IF($A403&gt;=('1-Input'!$C$12-1),'1-Input'!$B$12,0))-MIN(MAX(M402,0),MAX(0,I396-IF($A403&gt;=('1-Input'!$C$12-1),'1-Input'!$B$12,0))))*(1/(1-'P-Parametri'!$B$6*I403))),MAX(0,2*I396-(M402-MIN(MAX(M402,0),MAX(0,I396-IF($A403&gt;=('1-Input'!$C$12-1),'1-Input'!$B$12,0)))))*(1/(1-'P-Parametri'!$B$6*I403))))</f>
        <v>23959.854365176598</v>
      </c>
      <c r="K403" s="18">
        <f>IF($A403&gt;'1-Input'!$B$26,M402,(M402-MAX(0,I396-IF($A403&gt;=('1-Input'!$C$12-1),'1-Input'!$B$12,0))+J403*(1-'P-Parametri'!$B$6*I403))*(1+'1-Input'!$B$27))</f>
        <v>43739.482935508291</v>
      </c>
      <c r="L403" s="18">
        <f>IF($A403&gt;'1-Input'!$B$26,N402,(N402-J403)*(1+'5-Roberta'!$C$4))</f>
        <v>325169.19984260842</v>
      </c>
      <c r="M403" s="18">
        <f>IF($A403&gt;'1-Input'!$B$26,K403,K403-'P-Parametri'!$B$8*(L403+K403)+MIN(MAX(L403,0),'P-Parametri'!$B$8*(L403+K403)))</f>
        <v>43739.482935508291</v>
      </c>
      <c r="N403" s="18">
        <f>IF($A403&gt;'1-Input'!$B$26,L403,L403-MIN(MAX(L403,0),'P-Parametri'!$B$8*(L403+K403)))</f>
        <v>324431.38247705216</v>
      </c>
      <c r="O403" s="18">
        <f>IF($A403&gt;'1-Input'!$B$26,O402,O402-J403*(1-I403))</f>
        <v>221789.59762106824</v>
      </c>
      <c r="P403" s="11">
        <f>IF($A403&gt;'1-Input'!$B$26,0,IF(U402&lt;=0,0,MAX(0,(U402-V402)/U402)))</f>
        <v>0.29759952427101843</v>
      </c>
      <c r="Q403" s="18">
        <f>IF($A403&gt;'1-Input'!$B$26,0,(MAX(0,P396-IF($A403&gt;=('1-Input'!$C$12-1),'1-Input'!$B$12,0))-MIN(MAX(T402,0),MAX(0,P396-IF($A403&gt;=('1-Input'!$C$12-1),'1-Input'!$B$12,0))))*(1/(1-'P-Parametri'!$B$6*P403))+MIN(MAX(0,U402-(MAX(0,P396-IF($A403&gt;=('1-Input'!$C$12-1),'1-Input'!$B$12,0))-MIN(MAX(T402,0),MAX(0,P396-IF($A403&gt;=('1-Input'!$C$12-1),'1-Input'!$B$12,0))))*(1/(1-'P-Parametri'!$B$6*P403))),MAX(0,2*P396-(T402-MIN(MAX(T402,0),MAX(0,P396-IF($A403&gt;=('1-Input'!$C$12-1),'1-Input'!$B$12,0)))))*(1/(1-'P-Parametri'!$B$6*P403))))</f>
        <v>20125.538273271985</v>
      </c>
      <c r="R403" s="18">
        <f>IF($A403&gt;'1-Input'!$B$26,T402,(T402-MAX(0,P396-IF($A403&gt;=('1-Input'!$C$12-1),'1-Input'!$B$12,0))+Q403*(1-'P-Parametri'!$B$6*P403))*(1+'1-Input'!$B$27))</f>
        <v>36738.405892673523</v>
      </c>
      <c r="S403" s="18">
        <f>IF($A403&gt;'1-Input'!$B$26,U402,(U402-Q403)*(1+'5-Roberta'!$C$4))</f>
        <v>353924.85346035514</v>
      </c>
      <c r="T403" s="18">
        <f>IF($A403&gt;'1-Input'!$B$26,R403,R403-'P-Parametri'!$B$8*(S403+R403)+MIN(MAX(S403,0),'P-Parametri'!$B$8*(S403+R403)))</f>
        <v>36738.405892673523</v>
      </c>
      <c r="U403" s="18">
        <f>IF($A403&gt;'1-Input'!$B$26,S403,S403-MIN(MAX(S403,0),'P-Parametri'!$B$8*(S403+R403)))</f>
        <v>353143.52694164909</v>
      </c>
      <c r="V403" s="18">
        <f>IF($A403&gt;'1-Input'!$B$26,V402,V402-Q403*(1-P403))</f>
        <v>241356.29654646947</v>
      </c>
      <c r="W403" s="11">
        <f>IF($A403&gt;'1-Input'!$B$26,0,IF(AB402&lt;=0,0,MAX(0,(AB402-AC402)/AB402)))</f>
        <v>0.29760854991203101</v>
      </c>
      <c r="X403" s="18">
        <f>IF($A403&gt;'1-Input'!$B$26,0,(MAX(0,W396-IF($A403&gt;=('1-Input'!$C$12-1),'1-Input'!$B$12,0))-MIN(MAX(AA402,0),MAX(0,W396-IF($A403&gt;=('1-Input'!$C$12-1),'1-Input'!$B$12,0))))*(1/(1-'P-Parametri'!$B$6*W403))+MIN(MAX(0,AB402-(MAX(0,W396-IF($A403&gt;=('1-Input'!$C$12-1),'1-Input'!$B$12,0))-MIN(MAX(AA402,0),MAX(0,W396-IF($A403&gt;=('1-Input'!$C$12-1),'1-Input'!$B$12,0))))*(1/(1-'P-Parametri'!$B$6*W403))),MAX(0,2*W396-(AA402-MIN(MAX(AA402,0),MAX(0,W396-IF($A403&gt;=('1-Input'!$C$12-1),'1-Input'!$B$12,0)))))*(1/(1-'P-Parametri'!$B$6*W403))))</f>
        <v>19857.659626001612</v>
      </c>
      <c r="Y403" s="18">
        <f>IF($A403&gt;'1-Input'!$B$26,AA402,(AA402-MAX(0,W396-IF($A403&gt;=('1-Input'!$C$12-1),'1-Input'!$B$12,0))+X403*(1-'P-Parametri'!$B$6*W403))*(1+'1-Input'!$B$27))</f>
        <v>36249.311394946351</v>
      </c>
      <c r="Z403" s="18">
        <f>IF($A403&gt;'1-Input'!$B$26,AB402,(AB402-X403)*(1+'5-Roberta'!$C$4))</f>
        <v>355933.75455187692</v>
      </c>
      <c r="AA403" s="18">
        <f>IF($A403&gt;'1-Input'!$B$26,Y403,Y403-'P-Parametri'!$B$8*(Z403+Y403)+MIN(MAX(Z403,0),'P-Parametri'!$B$8*(Z403+Y403)))</f>
        <v>36249.311394946359</v>
      </c>
      <c r="AB403" s="18">
        <f>IF($A403&gt;'1-Input'!$B$26,Z403,Z403-MIN(MAX(Z403,0),'P-Parametri'!$B$8*(Z403+Y403)))</f>
        <v>355149.38841998327</v>
      </c>
      <c r="AC403" s="18">
        <f>IF($A403&gt;'1-Input'!$B$26,AC402,AC402-X403*(1-W403))</f>
        <v>242723.13203393013</v>
      </c>
      <c r="AD403" s="11">
        <f>IF($A403&gt;'1-Input'!$B$26,0,IF(AI402&lt;=0,0,MAX(0,(AI402-AJ402)/AI402)))</f>
        <v>0.29760910223251719</v>
      </c>
      <c r="AE403" s="18">
        <f>IF($A403&gt;'1-Input'!$B$26,0,(MAX(0,AD396-IF($A403&gt;=('1-Input'!$C$12-1),'1-Input'!$B$12,0))-MIN(MAX(AH402,0),MAX(0,AD396-IF($A403&gt;=('1-Input'!$C$12-1),'1-Input'!$B$12,0))))*(1/(1-'P-Parametri'!$B$6*AD403))+MIN(MAX(0,AI402-(MAX(0,AD396-IF($A403&gt;=('1-Input'!$C$12-1),'1-Input'!$B$12,0))-MIN(MAX(AH402,0),MAX(0,AD396-IF($A403&gt;=('1-Input'!$C$12-1),'1-Input'!$B$12,0))))*(1/(1-'P-Parametri'!$B$6*AD403))),MAX(0,2*AD396-(AH402-MIN(MAX(AH402,0),MAX(0,AD396-IF($A403&gt;=('1-Input'!$C$12-1),'1-Input'!$B$12,0)))))*(1/(1-'P-Parametri'!$B$6*AD403))))</f>
        <v>19841.208576529061</v>
      </c>
      <c r="AF403" s="18">
        <f>IF($A403&gt;'1-Input'!$B$26,AH402,(AH402-MAX(0,AD396-IF($A403&gt;=('1-Input'!$C$12-1),'1-Input'!$B$12,0))+AE403*(1-'P-Parametri'!$B$6*AD403))*(1+'1-Input'!$B$27))</f>
        <v>36219.275067787748</v>
      </c>
      <c r="AG403" s="18">
        <f>IF($A403&gt;'1-Input'!$B$26,AI402,(AI402-AE403)*(1+'5-Roberta'!$C$4))</f>
        <v>356057.12555415498</v>
      </c>
      <c r="AH403" s="18">
        <f>IF($A403&gt;'1-Input'!$B$26,AF403,AF403-'P-Parametri'!$B$8*(AG403+AF403)+MIN(MAX(AG403,0),'P-Parametri'!$B$8*(AG403+AF403)))</f>
        <v>36219.275067787748</v>
      </c>
      <c r="AI403" s="18">
        <f>IF($A403&gt;'1-Input'!$B$26,AG403,AG403-MIN(MAX(AG403,0),'P-Parametri'!$B$8*(AG403+AF403)))</f>
        <v>355272.57275291107</v>
      </c>
      <c r="AJ403" s="18">
        <f>IF($A403&gt;'1-Input'!$B$26,AJ402,AJ402-AE403*(1-AD403))</f>
        <v>242807.07191698276</v>
      </c>
      <c r="AK403" s="11">
        <f>IF($A403&gt;'1-Input'!$B$26,0,IF(AP402&lt;=0,0,MAX(0,(AP402-AQ402)/AP402)))</f>
        <v>0.29760910537365914</v>
      </c>
      <c r="AL403" s="18">
        <f>IF($A403&gt;'1-Input'!$B$26,0,(MAX(0,AK396-IF($A403&gt;=('1-Input'!$C$12-1),'1-Input'!$B$12,0))-MIN(MAX(AO402,0),MAX(0,AK396-IF($A403&gt;=('1-Input'!$C$12-1),'1-Input'!$B$12,0))))*(1/(1-'P-Parametri'!$B$6*AK403))+MIN(MAX(0,AP402-(MAX(0,AK396-IF($A403&gt;=('1-Input'!$C$12-1),'1-Input'!$B$12,0))-MIN(MAX(AO402,0),MAX(0,AK396-IF($A403&gt;=('1-Input'!$C$12-1),'1-Input'!$B$12,0))))*(1/(1-'P-Parametri'!$B$6*AK403))),MAX(0,2*AK396-(AO402-MIN(MAX(AO402,0),MAX(0,AK396-IF($A403&gt;=('1-Input'!$C$12-1),'1-Input'!$B$12,0)))))*(1/(1-'P-Parametri'!$B$6*AK403))))</f>
        <v>19841.114997283734</v>
      </c>
      <c r="AM403" s="18">
        <f>IF($A403&gt;'1-Input'!$B$26,AO402,(AO402-MAX(0,AK396-IF($A403&gt;=('1-Input'!$C$12-1),'1-Input'!$B$12,0))+AL403*(1-'P-Parametri'!$B$6*AK403))*(1+'1-Input'!$B$27))</f>
        <v>36219.1042108291</v>
      </c>
      <c r="AN403" s="18">
        <f>IF($A403&gt;'1-Input'!$B$26,AP402,(AP402-AL403)*(1+'5-Roberta'!$C$4))</f>
        <v>356057.82733089034</v>
      </c>
      <c r="AO403" s="18">
        <f>IF($A403&gt;'1-Input'!$B$26,AM403,AM403-'P-Parametri'!$B$8*(AN403+AM403)+MIN(MAX(AN403,0),'P-Parametri'!$B$8*(AN403+AM403)))</f>
        <v>36219.1042108291</v>
      </c>
      <c r="AP403" s="18">
        <f>IF($A403&gt;'1-Input'!$B$26,AN403,AN403-MIN(MAX(AN403,0),'P-Parametri'!$B$8*(AN403+AM403)))</f>
        <v>355273.27346780692</v>
      </c>
      <c r="AQ403" s="18">
        <f>IF($A403&gt;'1-Input'!$B$26,AQ402,AQ402-AL403*(1-AK403))</f>
        <v>242807.5493957818</v>
      </c>
    </row>
    <row r="404" spans="1:43">
      <c r="A404" s="10">
        <f>6</f>
        <v>6</v>
      </c>
      <c r="B404" s="11">
        <f>IF($A404&gt;'1-Input'!$B$26,0,IF(G403&lt;=0,0,MAX(0,(G403-H403)/G403)))</f>
        <v>0.31662906959606363</v>
      </c>
      <c r="C404" s="18">
        <f>IF($A404&gt;'1-Input'!$B$26,0,(MAX(0,B396-IF($A404&gt;=('1-Input'!$C$12-1),'1-Input'!$B$12,0))-MIN(MAX(F403,0),MAX(0,B396-IF($A404&gt;=('1-Input'!$C$12-1),'1-Input'!$B$12,0))))*(1/(1-'P-Parametri'!$B$6*B404))+MIN(MAX(0,G403-(MAX(0,B396-IF($A404&gt;=('1-Input'!$C$12-1),'1-Input'!$B$12,0))-MIN(MAX(F403,0),MAX(0,B396-IF($A404&gt;=('1-Input'!$C$12-1),'1-Input'!$B$12,0))))*(1/(1-'P-Parametri'!$B$6*B404))),MAX(0,2*B396-(F403-MIN(MAX(F403,0),MAX(0,B396-IF($A404&gt;=('1-Input'!$C$12-1),'1-Input'!$B$12,0)))))*(1/(1-'P-Parametri'!$B$6*B404))))</f>
        <v>18308.368991159059</v>
      </c>
      <c r="D404" s="18">
        <f>IF($A404&gt;'1-Input'!$B$26,F403,(F403-MAX(0,B396-IF($A404&gt;=('1-Input'!$C$12-1),'1-Input'!$B$12,0))+C404*(1-'P-Parametri'!$B$6*B404))*(1+'1-Input'!$B$27))</f>
        <v>33242.0070309863</v>
      </c>
      <c r="E404" s="18">
        <f>IF($A404&gt;'1-Input'!$B$26,G403,(G403-C404)*(1+'5-Roberta'!$C$4))</f>
        <v>359649.82649808639</v>
      </c>
      <c r="F404" s="18">
        <f>IF($A404&gt;'1-Input'!$B$26,D404,D404-'P-Parametri'!$B$8*(E404+D404)+MIN(MAX(E404,0),'P-Parametri'!$B$8*(E404+D404)))</f>
        <v>33242.0070309863</v>
      </c>
      <c r="G404" s="18">
        <f>IF($A404&gt;'1-Input'!$B$26,E404,E404-MIN(MAX(E404,0),'P-Parametri'!$B$8*(E404+D404)))</f>
        <v>358864.04283102823</v>
      </c>
      <c r="H404" s="18">
        <f>IF($A404&gt;'1-Input'!$B$26,H403,H403-C404*(1-B404))</f>
        <v>238615.76364428311</v>
      </c>
      <c r="I404" s="11">
        <f>IF($A404&gt;'1-Input'!$B$26,0,IF(N403&lt;=0,0,MAX(0,(N403-O403)/N403)))</f>
        <v>0.31637440272364536</v>
      </c>
      <c r="J404" s="18">
        <f>IF($A404&gt;'1-Input'!$B$26,0,(MAX(0,I396-IF($A404&gt;=('1-Input'!$C$12-1),'1-Input'!$B$12,0))-MIN(MAX(M403,0),MAX(0,I396-IF($A404&gt;=('1-Input'!$C$12-1),'1-Input'!$B$12,0))))*(1/(1-'P-Parametri'!$B$6*I404))+MIN(MAX(0,N403-(MAX(0,I396-IF($A404&gt;=('1-Input'!$C$12-1),'1-Input'!$B$12,0))-MIN(MAX(M403,0),MAX(0,I396-IF($A404&gt;=('1-Input'!$C$12-1),'1-Input'!$B$12,0))))*(1/(1-'P-Parametri'!$B$6*I404))),MAX(0,2*I396-(M403-MIN(MAX(M403,0),MAX(0,I396-IF($A404&gt;=('1-Input'!$C$12-1),'1-Input'!$B$12,0)))))*(1/(1-'P-Parametri'!$B$6*I404))))</f>
        <v>24088.221154161765</v>
      </c>
      <c r="K404" s="18">
        <f>IF($A404&gt;'1-Input'!$B$26,M403,(M403-MAX(0,I396-IF($A404&gt;=('1-Input'!$C$12-1),'1-Input'!$B$12,0))+J404*(1-'P-Parametri'!$B$6*I404))*(1+'1-Input'!$B$27))</f>
        <v>43739.482935508291</v>
      </c>
      <c r="L404" s="18">
        <f>IF($A404&gt;'1-Input'!$B$26,N403,(N403-J404)*(1+'5-Roberta'!$C$4))</f>
        <v>309353.45616257709</v>
      </c>
      <c r="M404" s="18">
        <f>IF($A404&gt;'1-Input'!$B$26,K404,K404-'P-Parametri'!$B$8*(L404+K404)+MIN(MAX(L404,0),'P-Parametri'!$B$8*(L404+K404)))</f>
        <v>43739.482935508291</v>
      </c>
      <c r="N404" s="18">
        <f>IF($A404&gt;'1-Input'!$B$26,L404,L404-MIN(MAX(L404,0),'P-Parametri'!$B$8*(L404+K404)))</f>
        <v>308647.27028438094</v>
      </c>
      <c r="O404" s="18">
        <f>IF($A404&gt;'1-Input'!$B$26,O403,O403-J404*(1-I404))</f>
        <v>205322.27304722948</v>
      </c>
      <c r="P404" s="11">
        <f>IF($A404&gt;'1-Input'!$B$26,0,IF(U403&lt;=0,0,MAX(0,(U403-V403)/U403)))</f>
        <v>0.31654900024162286</v>
      </c>
      <c r="Q404" s="18">
        <f>IF($A404&gt;'1-Input'!$B$26,0,(MAX(0,P396-IF($A404&gt;=('1-Input'!$C$12-1),'1-Input'!$B$12,0))-MIN(MAX(T403,0),MAX(0,P396-IF($A404&gt;=('1-Input'!$C$12-1),'1-Input'!$B$12,0))))*(1/(1-'P-Parametri'!$B$6*P404))+MIN(MAX(0,U403-(MAX(0,P396-IF($A404&gt;=('1-Input'!$C$12-1),'1-Input'!$B$12,0))-MIN(MAX(T403,0),MAX(0,P396-IF($A404&gt;=('1-Input'!$C$12-1),'1-Input'!$B$12,0))))*(1/(1-'P-Parametri'!$B$6*P404))),MAX(0,2*P396-(T403-MIN(MAX(T403,0),MAX(0,P396-IF($A404&gt;=('1-Input'!$C$12-1),'1-Input'!$B$12,0)))))*(1/(1-'P-Parametri'!$B$6*P404))))</f>
        <v>20233.586743441796</v>
      </c>
      <c r="R404" s="18">
        <f>IF($A404&gt;'1-Input'!$B$26,T403,(T403-MAX(0,P396-IF($A404&gt;=('1-Input'!$C$12-1),'1-Input'!$B$12,0))+Q404*(1-'P-Parametri'!$B$6*P404))*(1+'1-Input'!$B$27))</f>
        <v>36738.405892673509</v>
      </c>
      <c r="S404" s="18">
        <f>IF($A404&gt;'1-Input'!$B$26,U403,(U403-Q404)*(1+'5-Roberta'!$C$4))</f>
        <v>342897.2384041535</v>
      </c>
      <c r="T404" s="18">
        <f>IF($A404&gt;'1-Input'!$B$26,R404,R404-'P-Parametri'!$B$8*(S404+R404)+MIN(MAX(S404,0),'P-Parametri'!$B$8*(S404+R404)))</f>
        <v>36738.405892673509</v>
      </c>
      <c r="U404" s="18">
        <f>IF($A404&gt;'1-Input'!$B$26,S404,S404-MIN(MAX(S404,0),'P-Parametri'!$B$8*(S404+R404)))</f>
        <v>342137.96711555985</v>
      </c>
      <c r="V404" s="18">
        <f>IF($A404&gt;'1-Input'!$B$26,V403,V403-Q404*(1-P404))</f>
        <v>227527.63145796634</v>
      </c>
      <c r="W404" s="11">
        <f>IF($A404&gt;'1-Input'!$B$26,0,IF(AB403&lt;=0,0,MAX(0,(AB403-AC403)/AB403)))</f>
        <v>0.31656046737465598</v>
      </c>
      <c r="X404" s="18">
        <f>IF($A404&gt;'1-Input'!$B$26,0,(MAX(0,W396-IF($A404&gt;=('1-Input'!$C$12-1),'1-Input'!$B$12,0))-MIN(MAX(AA403,0),MAX(0,W396-IF($A404&gt;=('1-Input'!$C$12-1),'1-Input'!$B$12,0))))*(1/(1-'P-Parametri'!$B$6*W404))+MIN(MAX(0,AB403-(MAX(0,W396-IF($A404&gt;=('1-Input'!$C$12-1),'1-Input'!$B$12,0))-MIN(MAX(AA403,0),MAX(0,W396-IF($A404&gt;=('1-Input'!$C$12-1),'1-Input'!$B$12,0))))*(1/(1-'P-Parametri'!$B$6*W404))),MAX(0,2*W396-(AA403-MIN(MAX(AA403,0),MAX(0,W396-IF($A404&gt;=('1-Input'!$C$12-1),'1-Input'!$B$12,0)))))*(1/(1-'P-Parametri'!$B$6*W404))))</f>
        <v>19964.28401182903</v>
      </c>
      <c r="Y404" s="18">
        <f>IF($A404&gt;'1-Input'!$B$26,AA403,(AA403-MAX(0,W396-IF($A404&gt;=('1-Input'!$C$12-1),'1-Input'!$B$12,0))+X404*(1-'P-Parametri'!$B$6*W404))*(1+'1-Input'!$B$27))</f>
        <v>36249.311394946351</v>
      </c>
      <c r="Z404" s="18">
        <f>IF($A404&gt;'1-Input'!$B$26,AB403,(AB403-X404)*(1+'5-Roberta'!$C$4))</f>
        <v>345240.65754039888</v>
      </c>
      <c r="AA404" s="18">
        <f>IF($A404&gt;'1-Input'!$B$26,Y404,Y404-'P-Parametri'!$B$8*(Z404+Y404)+MIN(MAX(Z404,0),'P-Parametri'!$B$8*(Z404+Y404)))</f>
        <v>36249.311394946351</v>
      </c>
      <c r="AB404" s="18">
        <f>IF($A404&gt;'1-Input'!$B$26,Z404,Z404-MIN(MAX(Z404,0),'P-Parametri'!$B$8*(Z404+Y404)))</f>
        <v>344477.67760252819</v>
      </c>
      <c r="AC404" s="18">
        <f>IF($A404&gt;'1-Input'!$B$26,AC403,AC403-X404*(1-W404))</f>
        <v>229078.75109968608</v>
      </c>
      <c r="AD404" s="11">
        <f>IF($A404&gt;'1-Input'!$B$26,0,IF(AI403&lt;=0,0,MAX(0,(AI403-AJ403)/AI403)))</f>
        <v>0.31656116869496442</v>
      </c>
      <c r="AE404" s="18">
        <f>IF($A404&gt;'1-Input'!$B$26,0,(MAX(0,AD396-IF($A404&gt;=('1-Input'!$C$12-1),'1-Input'!$B$12,0))-MIN(MAX(AH403,0),MAX(0,AD396-IF($A404&gt;=('1-Input'!$C$12-1),'1-Input'!$B$12,0))))*(1/(1-'P-Parametri'!$B$6*AD404))+MIN(MAX(0,AI403-(MAX(0,AD396-IF($A404&gt;=('1-Input'!$C$12-1),'1-Input'!$B$12,0))-MIN(MAX(AH403,0),MAX(0,AD396-IF($A404&gt;=('1-Input'!$C$12-1),'1-Input'!$B$12,0))))*(1/(1-'P-Parametri'!$B$6*AD404))),MAX(0,2*AD396-(AH403-MIN(MAX(AH403,0),MAX(0,AD396-IF($A404&gt;=('1-Input'!$C$12-1),'1-Input'!$B$12,0)))))*(1/(1-'P-Parametri'!$B$6*AD404))))</f>
        <v>19947.745488292032</v>
      </c>
      <c r="AF404" s="18">
        <f>IF($A404&gt;'1-Input'!$B$26,AH403,(AH403-MAX(0,AD396-IF($A404&gt;=('1-Input'!$C$12-1),'1-Input'!$B$12,0))+AE404*(1-'P-Parametri'!$B$6*AD404))*(1+'1-Input'!$B$27))</f>
        <v>36219.275067787748</v>
      </c>
      <c r="AG404" s="18">
        <f>IF($A404&gt;'1-Input'!$B$26,AI403,(AI403-AE404)*(1+'5-Roberta'!$C$4))</f>
        <v>345384.57208255766</v>
      </c>
      <c r="AH404" s="18">
        <f>IF($A404&gt;'1-Input'!$B$26,AF404,AF404-'P-Parametri'!$B$8*(AG404+AF404)+MIN(MAX(AG404,0),'P-Parametri'!$B$8*(AG404+AF404)))</f>
        <v>36219.275067787748</v>
      </c>
      <c r="AI404" s="18">
        <f>IF($A404&gt;'1-Input'!$B$26,AG404,AG404-MIN(MAX(AG404,0),'P-Parametri'!$B$8*(AG404+AF404)))</f>
        <v>344621.36438825697</v>
      </c>
      <c r="AJ404" s="18">
        <f>IF($A404&gt;'1-Input'!$B$26,AJ403,AJ403-AE404*(1-AD404))</f>
        <v>229174.00805329415</v>
      </c>
      <c r="AK404" s="11">
        <f>IF($A404&gt;'1-Input'!$B$26,0,IF(AP403&lt;=0,0,MAX(0,(AP403-AQ403)/AP403)))</f>
        <v>0.31656117268336031</v>
      </c>
      <c r="AL404" s="18">
        <f>IF($A404&gt;'1-Input'!$B$26,0,(MAX(0,AK396-IF($A404&gt;=('1-Input'!$C$12-1),'1-Input'!$B$12,0))-MIN(MAX(AO403,0),MAX(0,AK396-IF($A404&gt;=('1-Input'!$C$12-1),'1-Input'!$B$12,0))))*(1/(1-'P-Parametri'!$B$6*AK404))+MIN(MAX(0,AP403-(MAX(0,AK396-IF($A404&gt;=('1-Input'!$C$12-1),'1-Input'!$B$12,0))-MIN(MAX(AO403,0),MAX(0,AK396-IF($A404&gt;=('1-Input'!$C$12-1),'1-Input'!$B$12,0))))*(1/(1-'P-Parametri'!$B$6*AK404))),MAX(0,2*AK396-(AO403-MIN(MAX(AO403,0),MAX(0,AK396-IF($A404&gt;=('1-Input'!$C$12-1),'1-Input'!$B$12,0)))))*(1/(1-'P-Parametri'!$B$6*AK404))))</f>
        <v>19947.651411458202</v>
      </c>
      <c r="AM404" s="18">
        <f>IF($A404&gt;'1-Input'!$B$26,AO403,(AO403-MAX(0,AK396-IF($A404&gt;=('1-Input'!$C$12-1),'1-Input'!$B$12,0))+AL404*(1-'P-Parametri'!$B$6*AK404))*(1+'1-Input'!$B$27))</f>
        <v>36219.1042108291</v>
      </c>
      <c r="AN404" s="18">
        <f>IF($A404&gt;'1-Input'!$B$26,AP403,(AP403-AL404)*(1+'5-Roberta'!$C$4))</f>
        <v>345385.39071803918</v>
      </c>
      <c r="AO404" s="18">
        <f>IF($A404&gt;'1-Input'!$B$26,AM404,AM404-'P-Parametri'!$B$8*(AN404+AM404)+MIN(MAX(AN404,0),'P-Parametri'!$B$8*(AN404+AM404)))</f>
        <v>36219.1042108291</v>
      </c>
      <c r="AP404" s="18">
        <f>IF($A404&gt;'1-Input'!$B$26,AN404,AN404-MIN(MAX(AN404,0),'P-Parametri'!$B$8*(AN404+AM404)))</f>
        <v>344622.18172818143</v>
      </c>
      <c r="AQ404" s="18">
        <f>IF($A404&gt;'1-Input'!$B$26,AQ403,AQ403-AL404*(1-AK404))</f>
        <v>229174.54990741369</v>
      </c>
    </row>
    <row r="405" spans="1:43">
      <c r="A405" s="10">
        <f>7</f>
        <v>7</v>
      </c>
      <c r="B405" s="11">
        <f>IF($A405&gt;'1-Input'!$B$26,0,IF(G404&lt;=0,0,MAX(0,(G404-H404)/G404)))</f>
        <v>0.33508032244780855</v>
      </c>
      <c r="C405" s="18">
        <f>IF($A405&gt;'1-Input'!$B$26,0,(MAX(0,B396-IF($A405&gt;=('1-Input'!$C$12-1),'1-Input'!$B$12,0))-MIN(MAX(F404,0),MAX(0,B396-IF($A405&gt;=('1-Input'!$C$12-1),'1-Input'!$B$12,0))))*(1/(1-'P-Parametri'!$B$6*B405))+MIN(MAX(0,G404-(MAX(0,B396-IF($A405&gt;=('1-Input'!$C$12-1),'1-Input'!$B$12,0))-MIN(MAX(F404,0),MAX(0,B396-IF($A405&gt;=('1-Input'!$C$12-1),'1-Input'!$B$12,0))))*(1/(1-'P-Parametri'!$B$6*B405))),MAX(0,2*B396-(F404-MIN(MAX(F404,0),MAX(0,B396-IF($A405&gt;=('1-Input'!$C$12-1),'1-Input'!$B$12,0)))))*(1/(1-'P-Parametri'!$B$6*B405))))</f>
        <v>18404.582398049595</v>
      </c>
      <c r="D405" s="18">
        <f>IF($A405&gt;'1-Input'!$B$26,F404,(F404-MAX(0,B396-IF($A405&gt;=('1-Input'!$C$12-1),'1-Input'!$B$12,0))+C405*(1-'P-Parametri'!$B$6*B405))*(1+'1-Input'!$B$27))</f>
        <v>33242.0070309863</v>
      </c>
      <c r="E405" s="18">
        <f>IF($A405&gt;'1-Input'!$B$26,G404,(G404-C405)*(1+'5-Roberta'!$C$4))</f>
        <v>350673.244245968</v>
      </c>
      <c r="F405" s="18">
        <f>IF($A405&gt;'1-Input'!$B$26,D405,D405-'P-Parametri'!$B$8*(E405+D405)+MIN(MAX(E405,0),'P-Parametri'!$B$8*(E405+D405)))</f>
        <v>33242.0070309863</v>
      </c>
      <c r="G405" s="18">
        <f>IF($A405&gt;'1-Input'!$B$26,E405,E405-MIN(MAX(E405,0),'P-Parametri'!$B$8*(E405+D405)))</f>
        <v>349905.4137434141</v>
      </c>
      <c r="H405" s="18">
        <f>IF($A405&gt;'1-Input'!$B$26,H404,H404-C405*(1-B405))</f>
        <v>226378.19465068923</v>
      </c>
      <c r="I405" s="11">
        <f>IF($A405&gt;'1-Input'!$B$26,0,IF(N404&lt;=0,0,MAX(0,(N404-O404)/N404)))</f>
        <v>0.33476724787473428</v>
      </c>
      <c r="J405" s="18">
        <f>IF($A405&gt;'1-Input'!$B$26,0,(MAX(0,I396-IF($A405&gt;=('1-Input'!$C$12-1),'1-Input'!$B$12,0))-MIN(MAX(M404,0),MAX(0,I396-IF($A405&gt;=('1-Input'!$C$12-1),'1-Input'!$B$12,0))))*(1/(1-'P-Parametri'!$B$6*I405))+MIN(MAX(0,N404-(MAX(0,I396-IF($A405&gt;=('1-Input'!$C$12-1),'1-Input'!$B$12,0))-MIN(MAX(M404,0),MAX(0,I396-IF($A405&gt;=('1-Input'!$C$12-1),'1-Input'!$B$12,0))))*(1/(1-'P-Parametri'!$B$6*I405))),MAX(0,2*I396-(M404-MIN(MAX(M404,0),MAX(0,I396-IF($A405&gt;=('1-Input'!$C$12-1),'1-Input'!$B$12,0)))))*(1/(1-'P-Parametri'!$B$6*I405))))</f>
        <v>24214.396643317763</v>
      </c>
      <c r="K405" s="18">
        <f>IF($A405&gt;'1-Input'!$B$26,M404,(M404-MAX(0,I396-IF($A405&gt;=('1-Input'!$C$12-1),'1-Input'!$B$12,0))+J405*(1-'P-Parametri'!$B$6*I405))*(1+'1-Input'!$B$27))</f>
        <v>43739.482935508291</v>
      </c>
      <c r="L405" s="18">
        <f>IF($A405&gt;'1-Input'!$B$26,N404,(N404-J405)*(1+'5-Roberta'!$C$4))</f>
        <v>292965.85985029506</v>
      </c>
      <c r="M405" s="18">
        <f>IF($A405&gt;'1-Input'!$B$26,K405,K405-'P-Parametri'!$B$8*(L405+K405)+MIN(MAX(L405,0),'P-Parametri'!$B$8*(L405+K405)))</f>
        <v>43739.482935508291</v>
      </c>
      <c r="N405" s="18">
        <f>IF($A405&gt;'1-Input'!$B$26,L405,L405-MIN(MAX(L405,0),'P-Parametri'!$B$8*(L405+K405)))</f>
        <v>292292.44916472345</v>
      </c>
      <c r="O405" s="18">
        <f>IF($A405&gt;'1-Input'!$B$26,O404,O404-J405*(1-I405))</f>
        <v>189214.06332714242</v>
      </c>
      <c r="P405" s="11">
        <f>IF($A405&gt;'1-Input'!$B$26,0,IF(U404&lt;=0,0,MAX(0,(U404-V404)/U404)))</f>
        <v>0.33498280422904059</v>
      </c>
      <c r="Q405" s="18">
        <f>IF($A405&gt;'1-Input'!$B$26,0,(MAX(0,P396-IF($A405&gt;=('1-Input'!$C$12-1),'1-Input'!$B$12,0))-MIN(MAX(T404,0),MAX(0,P396-IF($A405&gt;=('1-Input'!$C$12-1),'1-Input'!$B$12,0))))*(1/(1-'P-Parametri'!$B$6*P405))+MIN(MAX(0,U404-(MAX(0,P396-IF($A405&gt;=('1-Input'!$C$12-1),'1-Input'!$B$12,0))-MIN(MAX(T404,0),MAX(0,P396-IF($A405&gt;=('1-Input'!$C$12-1),'1-Input'!$B$12,0))))*(1/(1-'P-Parametri'!$B$6*P405))),MAX(0,2*P396-(T404-MIN(MAX(T404,0),MAX(0,P396-IF($A405&gt;=('1-Input'!$C$12-1),'1-Input'!$B$12,0)))))*(1/(1-'P-Parametri'!$B$6*P405))))</f>
        <v>20339.81397291525</v>
      </c>
      <c r="R405" s="18">
        <f>IF($A405&gt;'1-Input'!$B$26,T404,(T404-MAX(0,P396-IF($A405&gt;=('1-Input'!$C$12-1),'1-Input'!$B$12,0))+Q405*(1-'P-Parametri'!$B$6*P405))*(1+'1-Input'!$B$27))</f>
        <v>36738.405892673516</v>
      </c>
      <c r="S405" s="18">
        <f>IF($A405&gt;'1-Input'!$B$26,U404,(U404-Q405)*(1+'5-Roberta'!$C$4))</f>
        <v>331452.09773692396</v>
      </c>
      <c r="T405" s="18">
        <f>IF($A405&gt;'1-Input'!$B$26,R405,R405-'P-Parametri'!$B$8*(S405+R405)+MIN(MAX(S405,0),'P-Parametri'!$B$8*(S405+R405)))</f>
        <v>36738.405892673516</v>
      </c>
      <c r="U405" s="18">
        <f>IF($A405&gt;'1-Input'!$B$26,S405,S405-MIN(MAX(S405,0),'P-Parametri'!$B$8*(S405+R405)))</f>
        <v>330715.71672966477</v>
      </c>
      <c r="V405" s="18">
        <f>IF($A405&gt;'1-Input'!$B$26,V404,V404-Q405*(1-P405))</f>
        <v>214001.30540719526</v>
      </c>
      <c r="W405" s="11">
        <f>IF($A405&gt;'1-Input'!$B$26,0,IF(AB404&lt;=0,0,MAX(0,(AB404-AC404)/AB404)))</f>
        <v>0.33499681984036683</v>
      </c>
      <c r="X405" s="18">
        <f>IF($A405&gt;'1-Input'!$B$26,0,(MAX(0,W396-IF($A405&gt;=('1-Input'!$C$12-1),'1-Input'!$B$12,0))-MIN(MAX(AA404,0),MAX(0,W396-IF($A405&gt;=('1-Input'!$C$12-1),'1-Input'!$B$12,0))))*(1/(1-'P-Parametri'!$B$6*W405))+MIN(MAX(0,AB404-(MAX(0,W396-IF($A405&gt;=('1-Input'!$C$12-1),'1-Input'!$B$12,0))-MIN(MAX(AA404,0),MAX(0,W396-IF($A405&gt;=('1-Input'!$C$12-1),'1-Input'!$B$12,0))))*(1/(1-'P-Parametri'!$B$6*W405))),MAX(0,2*W396-(AA404-MIN(MAX(AA404,0),MAX(0,W396-IF($A405&gt;=('1-Input'!$C$12-1),'1-Input'!$B$12,0)))))*(1/(1-'P-Parametri'!$B$6*W405))))</f>
        <v>20069.112298917666</v>
      </c>
      <c r="Y405" s="18">
        <f>IF($A405&gt;'1-Input'!$B$26,AA404,(AA404-MAX(0,W396-IF($A405&gt;=('1-Input'!$C$12-1),'1-Input'!$B$12,0))+X405*(1-'P-Parametri'!$B$6*W405))*(1+'1-Input'!$B$27))</f>
        <v>36249.311394946351</v>
      </c>
      <c r="Z405" s="18">
        <f>IF($A405&gt;'1-Input'!$B$26,AB404,(AB404-X405)*(1+'5-Roberta'!$C$4))</f>
        <v>334140.82226271887</v>
      </c>
      <c r="AA405" s="18">
        <f>IF($A405&gt;'1-Input'!$B$26,Y405,Y405-'P-Parametri'!$B$8*(Z405+Y405)+MIN(MAX(Z405,0),'P-Parametri'!$B$8*(Z405+Y405)))</f>
        <v>36249.311394946351</v>
      </c>
      <c r="AB405" s="18">
        <f>IF($A405&gt;'1-Input'!$B$26,Z405,Z405-MIN(MAX(Z405,0),'P-Parametri'!$B$8*(Z405+Y405)))</f>
        <v>333400.04199540353</v>
      </c>
      <c r="AC405" s="18">
        <f>IF($A405&gt;'1-Input'!$B$26,AC404,AC404-X405*(1-W405))</f>
        <v>215732.72759792503</v>
      </c>
      <c r="AD405" s="11">
        <f>IF($A405&gt;'1-Input'!$B$26,0,IF(AI404&lt;=0,0,MAX(0,(AI404-AJ404)/AI404)))</f>
        <v>0.33499767647863421</v>
      </c>
      <c r="AE405" s="18">
        <f>IF($A405&gt;'1-Input'!$B$26,0,(MAX(0,AD396-IF($A405&gt;=('1-Input'!$C$12-1),'1-Input'!$B$12,0))-MIN(MAX(AH404,0),MAX(0,AD396-IF($A405&gt;=('1-Input'!$C$12-1),'1-Input'!$B$12,0))))*(1/(1-'P-Parametri'!$B$6*AD405))+MIN(MAX(0,AI404-(MAX(0,AD396-IF($A405&gt;=('1-Input'!$C$12-1),'1-Input'!$B$12,0))-MIN(MAX(AH404,0),MAX(0,AD396-IF($A405&gt;=('1-Input'!$C$12-1),'1-Input'!$B$12,0))))*(1/(1-'P-Parametri'!$B$6*AD405))),MAX(0,2*AD396-(AH404-MIN(MAX(AH404,0),MAX(0,AD396-IF($A405&gt;=('1-Input'!$C$12-1),'1-Input'!$B$12,0)))))*(1/(1-'P-Parametri'!$B$6*AD405))))</f>
        <v>20052.487843000672</v>
      </c>
      <c r="AF405" s="18">
        <f>IF($A405&gt;'1-Input'!$B$26,AH404,(AH404-MAX(0,AD396-IF($A405&gt;=('1-Input'!$C$12-1),'1-Input'!$B$12,0))+AE405*(1-'P-Parametri'!$B$6*AD405))*(1+'1-Input'!$B$27))</f>
        <v>36219.275067787748</v>
      </c>
      <c r="AG405" s="18">
        <f>IF($A405&gt;'1-Input'!$B$26,AI404,(AI404-AE405)*(1+'5-Roberta'!$C$4))</f>
        <v>334305.94284161401</v>
      </c>
      <c r="AH405" s="18">
        <f>IF($A405&gt;'1-Input'!$B$26,AF405,AF405-'P-Parametri'!$B$8*(AG405+AF405)+MIN(MAX(AG405,0),'P-Parametri'!$B$8*(AG405+AF405)))</f>
        <v>36219.275067787748</v>
      </c>
      <c r="AI405" s="18">
        <f>IF($A405&gt;'1-Input'!$B$26,AG405,AG405-MIN(MAX(AG405,0),'P-Parametri'!$B$8*(AG405+AF405)))</f>
        <v>333564.89240579522</v>
      </c>
      <c r="AJ405" s="18">
        <f>IF($A405&gt;'1-Input'!$B$26,AJ404,AJ404-AE405*(1-AD405))</f>
        <v>215839.05704531475</v>
      </c>
      <c r="AK405" s="11">
        <f>IF($A405&gt;'1-Input'!$B$26,0,IF(AP404&lt;=0,0,MAX(0,(AP404-AQ404)/AP404)))</f>
        <v>0.33499768135014107</v>
      </c>
      <c r="AL405" s="18">
        <f>IF($A405&gt;'1-Input'!$B$26,0,(MAX(0,AK396-IF($A405&gt;=('1-Input'!$C$12-1),'1-Input'!$B$12,0))-MIN(MAX(AO404,0),MAX(0,AK396-IF($A405&gt;=('1-Input'!$C$12-1),'1-Input'!$B$12,0))))*(1/(1-'P-Parametri'!$B$6*AK405))+MIN(MAX(0,AP404-(MAX(0,AK396-IF($A405&gt;=('1-Input'!$C$12-1),'1-Input'!$B$12,0))-MIN(MAX(AO404,0),MAX(0,AK396-IF($A405&gt;=('1-Input'!$C$12-1),'1-Input'!$B$12,0))))*(1/(1-'P-Parametri'!$B$6*AK405))),MAX(0,2*AK396-(AO404-MIN(MAX(AO404,0),MAX(0,AK396-IF($A405&gt;=('1-Input'!$C$12-1),'1-Input'!$B$12,0)))))*(1/(1-'P-Parametri'!$B$6*AK405))))</f>
        <v>20052.393277347222</v>
      </c>
      <c r="AM405" s="18">
        <f>IF($A405&gt;'1-Input'!$B$26,AO404,(AO404-MAX(0,AK396-IF($A405&gt;=('1-Input'!$C$12-1),'1-Input'!$B$12,0))+AL405*(1-'P-Parametri'!$B$6*AK405))*(1+'1-Input'!$B$27))</f>
        <v>36219.1042108291</v>
      </c>
      <c r="AN405" s="18">
        <f>IF($A405&gt;'1-Input'!$B$26,AP404,(AP404-AL405)*(1+'5-Roberta'!$C$4))</f>
        <v>334306.88210435928</v>
      </c>
      <c r="AO405" s="18">
        <f>IF($A405&gt;'1-Input'!$B$26,AM405,AM405-'P-Parametri'!$B$8*(AN405+AM405)+MIN(MAX(AN405,0),'P-Parametri'!$B$8*(AN405+AM405)))</f>
        <v>36219.1042108291</v>
      </c>
      <c r="AP405" s="18">
        <f>IF($A405&gt;'1-Input'!$B$26,AN405,AN405-MIN(MAX(AN405,0),'P-Parametri'!$B$8*(AN405+AM405)))</f>
        <v>333565.8301317289</v>
      </c>
      <c r="AQ405" s="18">
        <f>IF($A405&gt;'1-Input'!$B$26,AQ404,AQ404-AL405*(1-AK405))</f>
        <v>215839.66188349895</v>
      </c>
    </row>
    <row r="406" spans="1:43">
      <c r="A406" s="10">
        <f>8</f>
        <v>8</v>
      </c>
      <c r="B406" s="11">
        <f>IF($A406&gt;'1-Input'!$B$26,0,IF(G405&lt;=0,0,MAX(0,(G405-H405)/G405)))</f>
        <v>0.35303031688245751</v>
      </c>
      <c r="C406" s="18">
        <f>IF($A406&gt;'1-Input'!$B$26,0,(MAX(0,B396-IF($A406&gt;=('1-Input'!$C$12-1),'1-Input'!$B$12,0))-MIN(MAX(F405,0),MAX(0,B396-IF($A406&gt;=('1-Input'!$C$12-1),'1-Input'!$B$12,0))))*(1/(1-'P-Parametri'!$B$6*B406))+MIN(MAX(0,G405-(MAX(0,B396-IF($A406&gt;=('1-Input'!$C$12-1),'1-Input'!$B$12,0))-MIN(MAX(F405,0),MAX(0,B396-IF($A406&gt;=('1-Input'!$C$12-1),'1-Input'!$B$12,0))))*(1/(1-'P-Parametri'!$B$6*B406))),MAX(0,2*B396-(F405-MIN(MAX(F405,0),MAX(0,B396-IF($A406&gt;=('1-Input'!$C$12-1),'1-Input'!$B$12,0)))))*(1/(1-'P-Parametri'!$B$6*B406))))</f>
        <v>18499.157396285038</v>
      </c>
      <c r="D406" s="18">
        <f>IF($A406&gt;'1-Input'!$B$26,F405,(F405-MAX(0,B396-IF($A406&gt;=('1-Input'!$C$12-1),'1-Input'!$B$12,0))+C406*(1-'P-Parametri'!$B$6*B406))*(1+'1-Input'!$B$27))</f>
        <v>33242.0070309863</v>
      </c>
      <c r="E406" s="18">
        <f>IF($A406&gt;'1-Input'!$B$26,G405,(G405-C406)*(1+'5-Roberta'!$C$4))</f>
        <v>341348.44403754297</v>
      </c>
      <c r="F406" s="18">
        <f>IF($A406&gt;'1-Input'!$B$26,D406,D406-'P-Parametri'!$B$8*(E406+D406)+MIN(MAX(E406,0),'P-Parametri'!$B$8*(E406+D406)))</f>
        <v>33242.0070309863</v>
      </c>
      <c r="G406" s="18">
        <f>IF($A406&gt;'1-Input'!$B$26,E406,E406-MIN(MAX(E406,0),'P-Parametri'!$B$8*(E406+D406)))</f>
        <v>340599.2631354059</v>
      </c>
      <c r="H406" s="18">
        <f>IF($A406&gt;'1-Input'!$B$26,H405,H405-C406*(1-B406))</f>
        <v>214409.80065207314</v>
      </c>
      <c r="I406" s="11">
        <f>IF($A406&gt;'1-Input'!$B$26,0,IF(N405&lt;=0,0,MAX(0,(N405-O405)/N405)))</f>
        <v>0.35265497323706263</v>
      </c>
      <c r="J406" s="18">
        <f>IF($A406&gt;'1-Input'!$B$26,0,(MAX(0,I396-IF($A406&gt;=('1-Input'!$C$12-1),'1-Input'!$B$12,0))-MIN(MAX(M405,0),MAX(0,I396-IF($A406&gt;=('1-Input'!$C$12-1),'1-Input'!$B$12,0))))*(1/(1-'P-Parametri'!$B$6*I406))+MIN(MAX(0,N405-(MAX(0,I396-IF($A406&gt;=('1-Input'!$C$12-1),'1-Input'!$B$12,0))-MIN(MAX(M405,0),MAX(0,I396-IF($A406&gt;=('1-Input'!$C$12-1),'1-Input'!$B$12,0))))*(1/(1-'P-Parametri'!$B$6*I406))),MAX(0,2*I396-(M405-MIN(MAX(M405,0),MAX(0,I396-IF($A406&gt;=('1-Input'!$C$12-1),'1-Input'!$B$12,0)))))*(1/(1-'P-Parametri'!$B$6*I406))))</f>
        <v>24338.381362571017</v>
      </c>
      <c r="K406" s="18">
        <f>IF($A406&gt;'1-Input'!$B$26,M405,(M405-MAX(0,I396-IF($A406&gt;=('1-Input'!$C$12-1),'1-Input'!$B$12,0))+J406*(1-'P-Parametri'!$B$6*I406))*(1+'1-Input'!$B$27))</f>
        <v>43739.482935508291</v>
      </c>
      <c r="L406" s="18">
        <f>IF($A406&gt;'1-Input'!$B$26,N405,(N405-J406)*(1+'5-Roberta'!$C$4))</f>
        <v>275992.68983621697</v>
      </c>
      <c r="M406" s="18">
        <f>IF($A406&gt;'1-Input'!$B$26,K406,K406-'P-Parametri'!$B$8*(L406+K406)+MIN(MAX(L406,0),'P-Parametri'!$B$8*(L406+K406)))</f>
        <v>43739.482935508291</v>
      </c>
      <c r="N406" s="18">
        <f>IF($A406&gt;'1-Input'!$B$26,L406,L406-MIN(MAX(L406,0),'P-Parametri'!$B$8*(L406+K406)))</f>
        <v>275353.2254906735</v>
      </c>
      <c r="O406" s="18">
        <f>IF($A406&gt;'1-Input'!$B$26,O405,O405-J406*(1-I406))</f>
        <v>173458.73319262231</v>
      </c>
      <c r="P406" s="11">
        <f>IF($A406&gt;'1-Input'!$B$26,0,IF(U405&lt;=0,0,MAX(0,(U405-V405)/U405)))</f>
        <v>0.35291461947021635</v>
      </c>
      <c r="Q406" s="18">
        <f>IF($A406&gt;'1-Input'!$B$26,0,(MAX(0,P396-IF($A406&gt;=('1-Input'!$C$12-1),'1-Input'!$B$12,0))-MIN(MAX(T405,0),MAX(0,P396-IF($A406&gt;=('1-Input'!$C$12-1),'1-Input'!$B$12,0))))*(1/(1-'P-Parametri'!$B$6*P406))+MIN(MAX(0,U405-(MAX(0,P396-IF($A406&gt;=('1-Input'!$C$12-1),'1-Input'!$B$12,0))-MIN(MAX(T405,0),MAX(0,P396-IF($A406&gt;=('1-Input'!$C$12-1),'1-Input'!$B$12,0))))*(1/(1-'P-Parametri'!$B$6*P406))),MAX(0,2*P396-(T405-MIN(MAX(T405,0),MAX(0,P396-IF($A406&gt;=('1-Input'!$C$12-1),'1-Input'!$B$12,0)))))*(1/(1-'P-Parametri'!$B$6*P406))))</f>
        <v>20444.224167160217</v>
      </c>
      <c r="R406" s="18">
        <f>IF($A406&gt;'1-Input'!$B$26,T405,(T405-MAX(0,P396-IF($A406&gt;=('1-Input'!$C$12-1),'1-Input'!$B$12,0))+Q406*(1-'P-Parametri'!$B$6*P406))*(1+'1-Input'!$B$27))</f>
        <v>36738.405892673516</v>
      </c>
      <c r="S406" s="18">
        <f>IF($A406&gt;'1-Input'!$B$26,U405,(U405-Q406)*(1+'5-Roberta'!$C$4))</f>
        <v>319579.6373393797</v>
      </c>
      <c r="T406" s="18">
        <f>IF($A406&gt;'1-Input'!$B$26,R406,R406-'P-Parametri'!$B$8*(S406+R406)+MIN(MAX(S406,0),'P-Parametri'!$B$8*(S406+R406)))</f>
        <v>36738.405892673516</v>
      </c>
      <c r="U406" s="18">
        <f>IF($A406&gt;'1-Input'!$B$26,S406,S406-MIN(MAX(S406,0),'P-Parametri'!$B$8*(S406+R406)))</f>
        <v>318867.00125291559</v>
      </c>
      <c r="V406" s="18">
        <f>IF($A406&gt;'1-Input'!$B$26,V405,V405-Q406*(1-P406))</f>
        <v>200772.14683235221</v>
      </c>
      <c r="W406" s="11">
        <f>IF($A406&gt;'1-Input'!$B$26,0,IF(AB405&lt;=0,0,MAX(0,(AB405-AC405)/AB405)))</f>
        <v>0.35293131246546378</v>
      </c>
      <c r="X406" s="18">
        <f>IF($A406&gt;'1-Input'!$B$26,0,(MAX(0,W396-IF($A406&gt;=('1-Input'!$C$12-1),'1-Input'!$B$12,0))-MIN(MAX(AA405,0),MAX(0,W396-IF($A406&gt;=('1-Input'!$C$12-1),'1-Input'!$B$12,0))))*(1/(1-'P-Parametri'!$B$6*W406))+MIN(MAX(0,AB405-(MAX(0,W396-IF($A406&gt;=('1-Input'!$C$12-1),'1-Input'!$B$12,0))-MIN(MAX(AA405,0),MAX(0,W396-IF($A406&gt;=('1-Input'!$C$12-1),'1-Input'!$B$12,0))))*(1/(1-'P-Parametri'!$B$6*W406))),MAX(0,2*W396-(AA405-MIN(MAX(AA405,0),MAX(0,W396-IF($A406&gt;=('1-Input'!$C$12-1),'1-Input'!$B$12,0)))))*(1/(1-'P-Parametri'!$B$6*W406))))</f>
        <v>20172.148776853453</v>
      </c>
      <c r="Y406" s="18">
        <f>IF($A406&gt;'1-Input'!$B$26,AA405,(AA405-MAX(0,W396-IF($A406&gt;=('1-Input'!$C$12-1),'1-Input'!$B$12,0))+X406*(1-'P-Parametri'!$B$6*W406))*(1+'1-Input'!$B$27))</f>
        <v>36249.311394946351</v>
      </c>
      <c r="Z406" s="18">
        <f>IF($A406&gt;'1-Input'!$B$26,AB405,(AB405-X406)*(1+'5-Roberta'!$C$4))</f>
        <v>322624.73001510656</v>
      </c>
      <c r="AA406" s="18">
        <f>IF($A406&gt;'1-Input'!$B$26,Y406,Y406-'P-Parametri'!$B$8*(Z406+Y406)+MIN(MAX(Z406,0),'P-Parametri'!$B$8*(Z406+Y406)))</f>
        <v>36249.311394946351</v>
      </c>
      <c r="AB406" s="18">
        <f>IF($A406&gt;'1-Input'!$B$26,Z406,Z406-MIN(MAX(Z406,0),'P-Parametri'!$B$8*(Z406+Y406)))</f>
        <v>321906.98193228646</v>
      </c>
      <c r="AC406" s="18">
        <f>IF($A406&gt;'1-Input'!$B$26,AC405,AC405-X406*(1-W406))</f>
        <v>202679.96176413505</v>
      </c>
      <c r="AD406" s="11">
        <f>IF($A406&gt;'1-Input'!$B$26,0,IF(AI405&lt;=0,0,MAX(0,(AI405-AJ405)/AI405)))</f>
        <v>0.35293233203110064</v>
      </c>
      <c r="AE406" s="18">
        <f>IF($A406&gt;'1-Input'!$B$26,0,(MAX(0,AD396-IF($A406&gt;=('1-Input'!$C$12-1),'1-Input'!$B$12,0))-MIN(MAX(AH405,0),MAX(0,AD396-IF($A406&gt;=('1-Input'!$C$12-1),'1-Input'!$B$12,0))))*(1/(1-'P-Parametri'!$B$6*AD406))+MIN(MAX(0,AI405-(MAX(0,AD396-IF($A406&gt;=('1-Input'!$C$12-1),'1-Input'!$B$12,0))-MIN(MAX(AH405,0),MAX(0,AD396-IF($A406&gt;=('1-Input'!$C$12-1),'1-Input'!$B$12,0))))*(1/(1-'P-Parametri'!$B$6*AD406))),MAX(0,2*AD396-(AH405-MIN(MAX(AH405,0),MAX(0,AD396-IF($A406&gt;=('1-Input'!$C$12-1),'1-Input'!$B$12,0)))))*(1/(1-'P-Parametri'!$B$6*AD406))))</f>
        <v>20155.439934925067</v>
      </c>
      <c r="AF406" s="18">
        <f>IF($A406&gt;'1-Input'!$B$26,AH405,(AH405-MAX(0,AD396-IF($A406&gt;=('1-Input'!$C$12-1),'1-Input'!$B$12,0))+AE406*(1-'P-Parametri'!$B$6*AD406))*(1+'1-Input'!$B$27))</f>
        <v>36219.275067787748</v>
      </c>
      <c r="AG406" s="18">
        <f>IF($A406&gt;'1-Input'!$B$26,AI405,(AI405-AE406)*(1+'5-Roberta'!$C$4))</f>
        <v>322811.7360449963</v>
      </c>
      <c r="AH406" s="18">
        <f>IF($A406&gt;'1-Input'!$B$26,AF406,AF406-'P-Parametri'!$B$8*(AG406+AF406)+MIN(MAX(AG406,0),'P-Parametri'!$B$8*(AG406+AF406)))</f>
        <v>36219.275067787748</v>
      </c>
      <c r="AI406" s="18">
        <f>IF($A406&gt;'1-Input'!$B$26,AG406,AG406-MIN(MAX(AG406,0),'P-Parametri'!$B$8*(AG406+AF406)))</f>
        <v>322093.67402277072</v>
      </c>
      <c r="AJ406" s="18">
        <f>IF($A406&gt;'1-Input'!$B$26,AJ405,AJ405-AE406*(1-AD406))</f>
        <v>202797.12352973557</v>
      </c>
      <c r="AK406" s="11">
        <f>IF($A406&gt;'1-Input'!$B$26,0,IF(AP405&lt;=0,0,MAX(0,(AP405-AQ405)/AP405)))</f>
        <v>0.35293233782890343</v>
      </c>
      <c r="AL406" s="18">
        <f>IF($A406&gt;'1-Input'!$B$26,0,(MAX(0,AK396-IF($A406&gt;=('1-Input'!$C$12-1),'1-Input'!$B$12,0))-MIN(MAX(AO405,0),MAX(0,AK396-IF($A406&gt;=('1-Input'!$C$12-1),'1-Input'!$B$12,0))))*(1/(1-'P-Parametri'!$B$6*AK406))+MIN(MAX(0,AP405-(MAX(0,AK396-IF($A406&gt;=('1-Input'!$C$12-1),'1-Input'!$B$12,0))-MIN(MAX(AO405,0),MAX(0,AK396-IF($A406&gt;=('1-Input'!$C$12-1),'1-Input'!$B$12,0))))*(1/(1-'P-Parametri'!$B$6*AK406))),MAX(0,2*AK396-(AO405-MIN(MAX(AO405,0),MAX(0,AK396-IF($A406&gt;=('1-Input'!$C$12-1),'1-Input'!$B$12,0)))))*(1/(1-'P-Parametri'!$B$6*AK406))))</f>
        <v>20155.344889247357</v>
      </c>
      <c r="AM406" s="18">
        <f>IF($A406&gt;'1-Input'!$B$26,AO405,(AO405-MAX(0,AK396-IF($A406&gt;=('1-Input'!$C$12-1),'1-Input'!$B$12,0))+AL406*(1-'P-Parametri'!$B$6*AK406))*(1+'1-Input'!$B$27))</f>
        <v>36219.1042108291</v>
      </c>
      <c r="AN406" s="18">
        <f>IF($A406&gt;'1-Input'!$B$26,AP405,(AP405-AL406)*(1+'5-Roberta'!$C$4))</f>
        <v>322812.79979975597</v>
      </c>
      <c r="AO406" s="18">
        <f>IF($A406&gt;'1-Input'!$B$26,AM406,AM406-'P-Parametri'!$B$8*(AN406+AM406)+MIN(MAX(AN406,0),'P-Parametri'!$B$8*(AN406+AM406)))</f>
        <v>36219.1042108291</v>
      </c>
      <c r="AP406" s="18">
        <f>IF($A406&gt;'1-Input'!$B$26,AN406,AN406-MIN(MAX(AN406,0),'P-Parametri'!$B$8*(AN406+AM406)))</f>
        <v>322094.73599173478</v>
      </c>
      <c r="AQ406" s="18">
        <f>IF($A406&gt;'1-Input'!$B$26,AQ405,AQ405-AL406*(1-AK406))</f>
        <v>202797.78998576151</v>
      </c>
    </row>
    <row r="407" spans="1:43">
      <c r="A407" s="10">
        <f>9</f>
        <v>9</v>
      </c>
      <c r="B407" s="11">
        <f>IF($A407&gt;'1-Input'!$B$26,0,IF(G406&lt;=0,0,MAX(0,(G406-H406)/G406)))</f>
        <v>0.37049247059928575</v>
      </c>
      <c r="C407" s="18">
        <f>IF($A407&gt;'1-Input'!$B$26,0,(MAX(0,B396-IF($A407&gt;=('1-Input'!$C$12-1),'1-Input'!$B$12,0))-MIN(MAX(F406,0),MAX(0,B396-IF($A407&gt;=('1-Input'!$C$12-1),'1-Input'!$B$12,0))))*(1/(1-'P-Parametri'!$B$6*B407))+MIN(MAX(0,G406-(MAX(0,B396-IF($A407&gt;=('1-Input'!$C$12-1),'1-Input'!$B$12,0))-MIN(MAX(F406,0),MAX(0,B396-IF($A407&gt;=('1-Input'!$C$12-1),'1-Input'!$B$12,0))))*(1/(1-'P-Parametri'!$B$6*B407))),MAX(0,2*B396-(F406-MIN(MAX(F406,0),MAX(0,B396-IF($A407&gt;=('1-Input'!$C$12-1),'1-Input'!$B$12,0)))))*(1/(1-'P-Parametri'!$B$6*B407))))</f>
        <v>18592.099456854499</v>
      </c>
      <c r="D407" s="18">
        <f>IF($A407&gt;'1-Input'!$B$26,F406,(F406-MAX(0,B396-IF($A407&gt;=('1-Input'!$C$12-1),'1-Input'!$B$12,0))+C407*(1-'P-Parametri'!$B$6*B407))*(1+'1-Input'!$B$27))</f>
        <v>33242.0070309863</v>
      </c>
      <c r="E407" s="18">
        <f>IF($A407&gt;'1-Input'!$B$26,G406,(G406-C407)*(1+'5-Roberta'!$C$4))</f>
        <v>331667.37858890794</v>
      </c>
      <c r="F407" s="18">
        <f>IF($A407&gt;'1-Input'!$B$26,D407,D407-'P-Parametri'!$B$8*(E407+D407)+MIN(MAX(E407,0),'P-Parametri'!$B$8*(E407+D407)))</f>
        <v>33242.0070309863</v>
      </c>
      <c r="G407" s="18">
        <f>IF($A407&gt;'1-Input'!$B$26,E407,E407-MIN(MAX(E407,0),'P-Parametri'!$B$8*(E407+D407)))</f>
        <v>330937.55981766817</v>
      </c>
      <c r="H407" s="18">
        <f>IF($A407&gt;'1-Input'!$B$26,H406,H406-C407*(1-B407))</f>
        <v>202705.9340566163</v>
      </c>
      <c r="I407" s="11">
        <f>IF($A407&gt;'1-Input'!$B$26,0,IF(N406&lt;=0,0,MAX(0,(N406-O406)/N406)))</f>
        <v>0.37005011332798954</v>
      </c>
      <c r="J407" s="18">
        <f>IF($A407&gt;'1-Input'!$B$26,0,(MAX(0,I396-IF($A407&gt;=('1-Input'!$C$12-1),'1-Input'!$B$12,0))-MIN(MAX(M406,0),MAX(0,I396-IF($A407&gt;=('1-Input'!$C$12-1),'1-Input'!$B$12,0))))*(1/(1-'P-Parametri'!$B$6*I407))+MIN(MAX(0,N406-(MAX(0,I396-IF($A407&gt;=('1-Input'!$C$12-1),'1-Input'!$B$12,0))-MIN(MAX(M406,0),MAX(0,I396-IF($A407&gt;=('1-Input'!$C$12-1),'1-Input'!$B$12,0))))*(1/(1-'P-Parametri'!$B$6*I407))),MAX(0,2*I396-(M406-MIN(MAX(M406,0),MAX(0,I396-IF($A407&gt;=('1-Input'!$C$12-1),'1-Input'!$B$12,0)))))*(1/(1-'P-Parametri'!$B$6*I407))))</f>
        <v>24460.175643158884</v>
      </c>
      <c r="K407" s="18">
        <f>IF($A407&gt;'1-Input'!$B$26,M406,(M406-MAX(0,I396-IF($A407&gt;=('1-Input'!$C$12-1),'1-Input'!$B$12,0))+J407*(1-'P-Parametri'!$B$6*I407))*(1+'1-Input'!$B$27))</f>
        <v>43739.482935508291</v>
      </c>
      <c r="L407" s="18">
        <f>IF($A407&gt;'1-Input'!$B$26,N406,(N406-J407)*(1+'5-Roberta'!$C$4))</f>
        <v>258419.84134294008</v>
      </c>
      <c r="M407" s="18">
        <f>IF($A407&gt;'1-Input'!$B$26,K407,K407-'P-Parametri'!$B$8*(L407+K407)+MIN(MAX(L407,0),'P-Parametri'!$B$8*(L407+K407)))</f>
        <v>43739.482935508291</v>
      </c>
      <c r="N407" s="18">
        <f>IF($A407&gt;'1-Input'!$B$26,L407,L407-MIN(MAX(L407,0),'P-Parametri'!$B$8*(L407+K407)))</f>
        <v>257815.52269438319</v>
      </c>
      <c r="O407" s="18">
        <f>IF($A407&gt;'1-Input'!$B$26,O406,O406-J407*(1-I407))</f>
        <v>158050.04831823689</v>
      </c>
      <c r="P407" s="11">
        <f>IF($A407&gt;'1-Input'!$B$26,0,IF(U406&lt;=0,0,MAX(0,(U406-V406)/U406)))</f>
        <v>0.37035771640381859</v>
      </c>
      <c r="Q407" s="18">
        <f>IF($A407&gt;'1-Input'!$B$26,0,(MAX(0,P396-IF($A407&gt;=('1-Input'!$C$12-1),'1-Input'!$B$12,0))-MIN(MAX(T406,0),MAX(0,P396-IF($A407&gt;=('1-Input'!$C$12-1),'1-Input'!$B$12,0))))*(1/(1-'P-Parametri'!$B$6*P407))+MIN(MAX(0,U406-(MAX(0,P396-IF($A407&gt;=('1-Input'!$C$12-1),'1-Input'!$B$12,0))-MIN(MAX(T406,0),MAX(0,P396-IF($A407&gt;=('1-Input'!$C$12-1),'1-Input'!$B$12,0))))*(1/(1-'P-Parametri'!$B$6*P407))),MAX(0,2*P396-(T406-MIN(MAX(T406,0),MAX(0,P396-IF($A407&gt;=('1-Input'!$C$12-1),'1-Input'!$B$12,0)))))*(1/(1-'P-Parametri'!$B$6*P407))))</f>
        <v>20546.822412445021</v>
      </c>
      <c r="R407" s="18">
        <f>IF($A407&gt;'1-Input'!$B$26,T406,(T406-MAX(0,P396-IF($A407&gt;=('1-Input'!$C$12-1),'1-Input'!$B$12,0))+Q407*(1-'P-Parametri'!$B$6*P407))*(1+'1-Input'!$B$27))</f>
        <v>36738.405892673516</v>
      </c>
      <c r="S407" s="18">
        <f>IF($A407&gt;'1-Input'!$B$26,U406,(U406-Q407)*(1+'5-Roberta'!$C$4))</f>
        <v>307269.78420568467</v>
      </c>
      <c r="T407" s="18">
        <f>IF($A407&gt;'1-Input'!$B$26,R407,R407-'P-Parametri'!$B$8*(S407+R407)+MIN(MAX(S407,0),'P-Parametri'!$B$8*(S407+R407)))</f>
        <v>36738.405892673516</v>
      </c>
      <c r="U407" s="18">
        <f>IF($A407&gt;'1-Input'!$B$26,S407,S407-MIN(MAX(S407,0),'P-Parametri'!$B$8*(S407+R407)))</f>
        <v>306581.76782548794</v>
      </c>
      <c r="V407" s="18">
        <f>IF($A407&gt;'1-Input'!$B$26,V406,V406-Q407*(1-P407))</f>
        <v>187834.99864793514</v>
      </c>
      <c r="W407" s="11">
        <f>IF($A407&gt;'1-Input'!$B$26,0,IF(AB406&lt;=0,0,MAX(0,(AB406-AC406)/AB406)))</f>
        <v>0.37037724206066136</v>
      </c>
      <c r="X407" s="18">
        <f>IF($A407&gt;'1-Input'!$B$26,0,(MAX(0,W396-IF($A407&gt;=('1-Input'!$C$12-1),'1-Input'!$B$12,0))-MIN(MAX(AA406,0),MAX(0,W396-IF($A407&gt;=('1-Input'!$C$12-1),'1-Input'!$B$12,0))))*(1/(1-'P-Parametri'!$B$6*W407))+MIN(MAX(0,AB406-(MAX(0,W396-IF($A407&gt;=('1-Input'!$C$12-1),'1-Input'!$B$12,0))-MIN(MAX(AA406,0),MAX(0,W396-IF($A407&gt;=('1-Input'!$C$12-1),'1-Input'!$B$12,0))))*(1/(1-'P-Parametri'!$B$6*W407))),MAX(0,2*W396-(AA406-MIN(MAX(AA406,0),MAX(0,W396-IF($A407&gt;=('1-Input'!$C$12-1),'1-Input'!$B$12,0)))))*(1/(1-'P-Parametri'!$B$6*W407))))</f>
        <v>20273.398634778845</v>
      </c>
      <c r="Y407" s="18">
        <f>IF($A407&gt;'1-Input'!$B$26,AA406,(AA406-MAX(0,W396-IF($A407&gt;=('1-Input'!$C$12-1),'1-Input'!$B$12,0))+X407*(1-'P-Parametri'!$B$6*W407))*(1+'1-Input'!$B$27))</f>
        <v>36249.311394946351</v>
      </c>
      <c r="Z407" s="18">
        <f>IF($A407&gt;'1-Input'!$B$26,AB406,(AB406-X407)*(1+'5-Roberta'!$C$4))</f>
        <v>310682.59079643287</v>
      </c>
      <c r="AA407" s="18">
        <f>IF($A407&gt;'1-Input'!$B$26,Y407,Y407-'P-Parametri'!$B$8*(Z407+Y407)+MIN(MAX(Z407,0),'P-Parametri'!$B$8*(Z407+Y407)))</f>
        <v>36249.311394946351</v>
      </c>
      <c r="AB407" s="18">
        <f>IF($A407&gt;'1-Input'!$B$26,Z407,Z407-MIN(MAX(Z407,0),'P-Parametri'!$B$8*(Z407+Y407)))</f>
        <v>309988.72699205013</v>
      </c>
      <c r="AC407" s="18">
        <f>IF($A407&gt;'1-Input'!$B$26,AC406,AC406-X407*(1-W407))</f>
        <v>189915.36860290196</v>
      </c>
      <c r="AD407" s="11">
        <f>IF($A407&gt;'1-Input'!$B$26,0,IF(AI406&lt;=0,0,MAX(0,(AI406-AJ406)/AI406)))</f>
        <v>0.37037843371180695</v>
      </c>
      <c r="AE407" s="18">
        <f>IF($A407&gt;'1-Input'!$B$26,0,(MAX(0,AD396-IF($A407&gt;=('1-Input'!$C$12-1),'1-Input'!$B$12,0))-MIN(MAX(AH406,0),MAX(0,AD396-IF($A407&gt;=('1-Input'!$C$12-1),'1-Input'!$B$12,0))))*(1/(1-'P-Parametri'!$B$6*AD407))+MIN(MAX(0,AI406-(MAX(0,AD396-IF($A407&gt;=('1-Input'!$C$12-1),'1-Input'!$B$12,0))-MIN(MAX(AH406,0),MAX(0,AD396-IF($A407&gt;=('1-Input'!$C$12-1),'1-Input'!$B$12,0))))*(1/(1-'P-Parametri'!$B$6*AD407))),MAX(0,2*AD396-(AH406-MIN(MAX(AH406,0),MAX(0,AD396-IF($A407&gt;=('1-Input'!$C$12-1),'1-Input'!$B$12,0)))))*(1/(1-'P-Parametri'!$B$6*AD407))))</f>
        <v>20256.6069589121</v>
      </c>
      <c r="AF407" s="18">
        <f>IF($A407&gt;'1-Input'!$B$26,AH406,(AH406-MAX(0,AD396-IF($A407&gt;=('1-Input'!$C$12-1),'1-Input'!$B$12,0))+AE407*(1-'P-Parametri'!$B$6*AD407))*(1+'1-Input'!$B$27))</f>
        <v>36219.275067787748</v>
      </c>
      <c r="AG407" s="18">
        <f>IF($A407&gt;'1-Input'!$B$26,AI406,(AI406-AE407)*(1+'5-Roberta'!$C$4))</f>
        <v>310892.17907577439</v>
      </c>
      <c r="AH407" s="18">
        <f>IF($A407&gt;'1-Input'!$B$26,AF407,AF407-'P-Parametri'!$B$8*(AG407+AF407)+MIN(MAX(AG407,0),'P-Parametri'!$B$8*(AG407+AF407)))</f>
        <v>36219.275067787748</v>
      </c>
      <c r="AI407" s="18">
        <f>IF($A407&gt;'1-Input'!$B$26,AG407,AG407-MIN(MAX(AG407,0),'P-Parametri'!$B$8*(AG407+AF407)))</f>
        <v>310197.95616748725</v>
      </c>
      <c r="AJ407" s="18">
        <f>IF($A407&gt;'1-Input'!$B$26,AJ406,AJ406-AE407*(1-AD407))</f>
        <v>190043.12692858104</v>
      </c>
      <c r="AK407" s="11">
        <f>IF($A407&gt;'1-Input'!$B$26,0,IF(AP406&lt;=0,0,MAX(0,(AP406-AQ406)/AP406)))</f>
        <v>0.37037844048787721</v>
      </c>
      <c r="AL407" s="18">
        <f>IF($A407&gt;'1-Input'!$B$26,0,(MAX(0,AK396-IF($A407&gt;=('1-Input'!$C$12-1),'1-Input'!$B$12,0))-MIN(MAX(AO406,0),MAX(0,AK396-IF($A407&gt;=('1-Input'!$C$12-1),'1-Input'!$B$12,0))))*(1/(1-'P-Parametri'!$B$6*AK407))+MIN(MAX(0,AP406-(MAX(0,AK396-IF($A407&gt;=('1-Input'!$C$12-1),'1-Input'!$B$12,0))-MIN(MAX(AO406,0),MAX(0,AK396-IF($A407&gt;=('1-Input'!$C$12-1),'1-Input'!$B$12,0))))*(1/(1-'P-Parametri'!$B$6*AK407))),MAX(0,2*AK396-(AO406-MIN(MAX(AO406,0),MAX(0,AK396-IF($A407&gt;=('1-Input'!$C$12-1),'1-Input'!$B$12,0)))))*(1/(1-'P-Parametri'!$B$6*AK407))))</f>
        <v>20256.511442037739</v>
      </c>
      <c r="AM407" s="18">
        <f>IF($A407&gt;'1-Input'!$B$26,AO406,(AO406-MAX(0,AK396-IF($A407&gt;=('1-Input'!$C$12-1),'1-Input'!$B$12,0))+AL407*(1-'P-Parametri'!$B$6*AK407))*(1+'1-Input'!$B$27))</f>
        <v>36219.1042108291</v>
      </c>
      <c r="AN407" s="18">
        <f>IF($A407&gt;'1-Input'!$B$26,AP406,(AP406-AL407)*(1+'5-Roberta'!$C$4))</f>
        <v>310893.3712861879</v>
      </c>
      <c r="AO407" s="18">
        <f>IF($A407&gt;'1-Input'!$B$26,AM407,AM407-'P-Parametri'!$B$8*(AN407+AM407)+MIN(MAX(AN407,0),'P-Parametri'!$B$8*(AN407+AM407)))</f>
        <v>36219.1042108291</v>
      </c>
      <c r="AP407" s="18">
        <f>IF($A407&gt;'1-Input'!$B$26,AN407,AN407-MIN(MAX(AN407,0),'P-Parametri'!$B$8*(AN407+AM407)))</f>
        <v>310199.14633519389</v>
      </c>
      <c r="AQ407" s="18">
        <f>IF($A407&gt;'1-Input'!$B$26,AQ406,AQ406-AL407*(1-AK407))</f>
        <v>190043.85366135056</v>
      </c>
    </row>
    <row r="408" spans="1:43">
      <c r="A408" s="10">
        <f>10</f>
        <v>10</v>
      </c>
      <c r="B408" s="11">
        <f>IF($A408&gt;'1-Input'!$B$26,0,IF(G407&lt;=0,0,MAX(0,(G407-H407)/G407)))</f>
        <v>0.38747981894742251</v>
      </c>
      <c r="C408" s="18">
        <f>IF($A408&gt;'1-Input'!$B$26,0,(MAX(0,B396-IF($A408&gt;=('1-Input'!$C$12-1),'1-Input'!$B$12,0))-MIN(MAX(F407,0),MAX(0,B396-IF($A408&gt;=('1-Input'!$C$12-1),'1-Input'!$B$12,0))))*(1/(1-'P-Parametri'!$B$6*B408))+MIN(MAX(0,G407-(MAX(0,B396-IF($A408&gt;=('1-Input'!$C$12-1),'1-Input'!$B$12,0))-MIN(MAX(F407,0),MAX(0,B396-IF($A408&gt;=('1-Input'!$C$12-1),'1-Input'!$B$12,0))))*(1/(1-'P-Parametri'!$B$6*B408))),MAX(0,2*B396-(F407-MIN(MAX(F407,0),MAX(0,B396-IF($A408&gt;=('1-Input'!$C$12-1),'1-Input'!$B$12,0)))))*(1/(1-'P-Parametri'!$B$6*B408))))</f>
        <v>18683.414934263597</v>
      </c>
      <c r="D408" s="18">
        <f>IF($A408&gt;'1-Input'!$B$26,F407,(F407-MAX(0,B396-IF($A408&gt;=('1-Input'!$C$12-1),'1-Input'!$B$12,0))+C408*(1-'P-Parametri'!$B$6*B408))*(1+'1-Input'!$B$27))</f>
        <v>33242.0070309863</v>
      </c>
      <c r="E408" s="18">
        <f>IF($A408&gt;'1-Input'!$B$26,G407,(G407-C408)*(1+'5-Roberta'!$C$4))</f>
        <v>321621.76922990667</v>
      </c>
      <c r="F408" s="18">
        <f>IF($A408&gt;'1-Input'!$B$26,D408,D408-'P-Parametri'!$B$8*(E408+D408)+MIN(MAX(E408,0),'P-Parametri'!$B$8*(E408+D408)))</f>
        <v>33242.0070309863</v>
      </c>
      <c r="G408" s="18">
        <f>IF($A408&gt;'1-Input'!$B$26,E408,E408-MIN(MAX(E408,0),'P-Parametri'!$B$8*(E408+D408)))</f>
        <v>320912.04167738487</v>
      </c>
      <c r="H408" s="18">
        <f>IF($A408&gt;'1-Input'!$B$26,H407,H407-C408*(1-B408))</f>
        <v>191261.96535840072</v>
      </c>
      <c r="I408" s="11">
        <f>IF($A408&gt;'1-Input'!$B$26,0,IF(N407&lt;=0,0,MAX(0,(N407-O407)/N407)))</f>
        <v>0.38696457580798649</v>
      </c>
      <c r="J408" s="18">
        <f>IF($A408&gt;'1-Input'!$B$26,0,(MAX(0,I396-IF($A408&gt;=('1-Input'!$C$12-1),'1-Input'!$B$12,0))-MIN(MAX(M407,0),MAX(0,I396-IF($A408&gt;=('1-Input'!$C$12-1),'1-Input'!$B$12,0))))*(1/(1-'P-Parametri'!$B$6*I408))+MIN(MAX(0,N407-(MAX(0,I396-IF($A408&gt;=('1-Input'!$C$12-1),'1-Input'!$B$12,0))-MIN(MAX(M407,0),MAX(0,I396-IF($A408&gt;=('1-Input'!$C$12-1),'1-Input'!$B$12,0))))*(1/(1-'P-Parametri'!$B$6*I408))),MAX(0,2*I396-(M407-MIN(MAX(M407,0),MAX(0,I396-IF($A408&gt;=('1-Input'!$C$12-1),'1-Input'!$B$12,0)))))*(1/(1-'P-Parametri'!$B$6*I408))))</f>
        <v>24579.779021533435</v>
      </c>
      <c r="K408" s="18">
        <f>IF($A408&gt;'1-Input'!$B$26,M407,(M407-MAX(0,I396-IF($A408&gt;=('1-Input'!$C$12-1),'1-Input'!$B$12,0))+J408*(1-'P-Parametri'!$B$6*I408))*(1+'1-Input'!$B$27))</f>
        <v>43739.482935508291</v>
      </c>
      <c r="L408" s="18">
        <f>IF($A408&gt;'1-Input'!$B$26,N407,(N407-J408)*(1+'5-Roberta'!$C$4))</f>
        <v>240232.81598303525</v>
      </c>
      <c r="M408" s="18">
        <f>IF($A408&gt;'1-Input'!$B$26,K408,K408-'P-Parametri'!$B$8*(L408+K408)+MIN(MAX(L408,0),'P-Parametri'!$B$8*(L408+K408)))</f>
        <v>43739.482935508291</v>
      </c>
      <c r="N408" s="18">
        <f>IF($A408&gt;'1-Input'!$B$26,L408,L408-MIN(MAX(L408,0),'P-Parametri'!$B$8*(L408+K408)))</f>
        <v>239664.87138519817</v>
      </c>
      <c r="O408" s="18">
        <f>IF($A408&gt;'1-Input'!$B$26,O407,O407-J408*(1-I408))</f>
        <v>142981.77305922518</v>
      </c>
      <c r="P408" s="11">
        <f>IF($A408&gt;'1-Input'!$B$26,0,IF(U407&lt;=0,0,MAX(0,(U407-V407)/U407)))</f>
        <v>0.38732495418692242</v>
      </c>
      <c r="Q408" s="18">
        <f>IF($A408&gt;'1-Input'!$B$26,0,(MAX(0,P396-IF($A408&gt;=('1-Input'!$C$12-1),'1-Input'!$B$12,0))-MIN(MAX(T407,0),MAX(0,P396-IF($A408&gt;=('1-Input'!$C$12-1),'1-Input'!$B$12,0))))*(1/(1-'P-Parametri'!$B$6*P408))+MIN(MAX(0,U407-(MAX(0,P396-IF($A408&gt;=('1-Input'!$C$12-1),'1-Input'!$B$12,0))-MIN(MAX(T407,0),MAX(0,P396-IF($A408&gt;=('1-Input'!$C$12-1),'1-Input'!$B$12,0))))*(1/(1-'P-Parametri'!$B$6*P408))),MAX(0,2*P396-(T407-MIN(MAX(T407,0),MAX(0,P396-IF($A408&gt;=('1-Input'!$C$12-1),'1-Input'!$B$12,0)))))*(1/(1-'P-Parametri'!$B$6*P408))))</f>
        <v>20647.614568532543</v>
      </c>
      <c r="R408" s="18">
        <f>IF($A408&gt;'1-Input'!$B$26,T407,(T407-MAX(0,P396-IF($A408&gt;=('1-Input'!$C$12-1),'1-Input'!$B$12,0))+Q408*(1-'P-Parametri'!$B$6*P408))*(1+'1-Input'!$B$27))</f>
        <v>36738.405892673516</v>
      </c>
      <c r="S408" s="18">
        <f>IF($A408&gt;'1-Input'!$B$26,U407,(U407-Q408)*(1+'5-Roberta'!$C$4))</f>
        <v>294512.17785466404</v>
      </c>
      <c r="T408" s="18">
        <f>IF($A408&gt;'1-Input'!$B$26,R408,R408-'P-Parametri'!$B$8*(S408+R408)+MIN(MAX(S408,0),'P-Parametri'!$B$8*(S408+R408)))</f>
        <v>36738.405892673516</v>
      </c>
      <c r="U408" s="18">
        <f>IF($A408&gt;'1-Input'!$B$26,S408,S408-MIN(MAX(S408,0),'P-Parametri'!$B$8*(S408+R408)))</f>
        <v>293849.67668716935</v>
      </c>
      <c r="V408" s="18">
        <f>IF($A408&gt;'1-Input'!$B$26,V407,V407-Q408*(1-P408))</f>
        <v>175184.72044622869</v>
      </c>
      <c r="W408" s="11">
        <f>IF($A408&gt;'1-Input'!$B$26,0,IF(AB407&lt;=0,0,MAX(0,(AB407-AC407)/AB407)))</f>
        <v>0.38734749987288258</v>
      </c>
      <c r="X408" s="18">
        <f>IF($A408&gt;'1-Input'!$B$26,0,(MAX(0,W396-IF($A408&gt;=('1-Input'!$C$12-1),'1-Input'!$B$12,0))-MIN(MAX(AA407,0),MAX(0,W396-IF($A408&gt;=('1-Input'!$C$12-1),'1-Input'!$B$12,0))))*(1/(1-'P-Parametri'!$B$6*W408))+MIN(MAX(0,AB407-(MAX(0,W396-IF($A408&gt;=('1-Input'!$C$12-1),'1-Input'!$B$12,0))-MIN(MAX(AA407,0),MAX(0,W396-IF($A408&gt;=('1-Input'!$C$12-1),'1-Input'!$B$12,0))))*(1/(1-'P-Parametri'!$B$6*W408))),MAX(0,2*W396-(AA407-MIN(MAX(AA407,0),MAX(0,W396-IF($A408&gt;=('1-Input'!$C$12-1),'1-Input'!$B$12,0)))))*(1/(1-'P-Parametri'!$B$6*W408))))</f>
        <v>20372.867864078733</v>
      </c>
      <c r="Y408" s="18">
        <f>IF($A408&gt;'1-Input'!$B$26,AA407,(AA407-MAX(0,W396-IF($A408&gt;=('1-Input'!$C$12-1),'1-Input'!$B$12,0))+X408*(1-'P-Parametri'!$B$6*W408))*(1+'1-Input'!$B$27))</f>
        <v>36249.311394946351</v>
      </c>
      <c r="Z408" s="18">
        <f>IF($A408&gt;'1-Input'!$B$26,AB407,(AB407-X408)*(1+'5-Roberta'!$C$4))</f>
        <v>298304.33490181057</v>
      </c>
      <c r="AA408" s="18">
        <f>IF($A408&gt;'1-Input'!$B$26,Y408,Y408-'P-Parametri'!$B$8*(Z408+Y408)+MIN(MAX(Z408,0),'P-Parametri'!$B$8*(Z408+Y408)))</f>
        <v>36249.311394946351</v>
      </c>
      <c r="AB408" s="18">
        <f>IF($A408&gt;'1-Input'!$B$26,Z408,Z408-MIN(MAX(Z408,0),'P-Parametri'!$B$8*(Z408+Y408)))</f>
        <v>297635.22760921705</v>
      </c>
      <c r="AC408" s="18">
        <f>IF($A408&gt;'1-Input'!$B$26,AC407,AC407-X408*(1-W408))</f>
        <v>177433.88017121473</v>
      </c>
      <c r="AD408" s="11">
        <f>IF($A408&gt;'1-Input'!$B$26,0,IF(AI407&lt;=0,0,MAX(0,(AI407-AJ407)/AI407)))</f>
        <v>0.38734887464580914</v>
      </c>
      <c r="AE408" s="18">
        <f>IF($A408&gt;'1-Input'!$B$26,0,(MAX(0,AD396-IF($A408&gt;=('1-Input'!$C$12-1),'1-Input'!$B$12,0))-MIN(MAX(AH407,0),MAX(0,AD396-IF($A408&gt;=('1-Input'!$C$12-1),'1-Input'!$B$12,0))))*(1/(1-'P-Parametri'!$B$6*AD408))+MIN(MAX(0,AI407-(MAX(0,AD396-IF($A408&gt;=('1-Input'!$C$12-1),'1-Input'!$B$12,0))-MIN(MAX(AH407,0),MAX(0,AD396-IF($A408&gt;=('1-Input'!$C$12-1),'1-Input'!$B$12,0))))*(1/(1-'P-Parametri'!$B$6*AD408))),MAX(0,2*AD396-(AH407-MIN(MAX(AH407,0),MAX(0,AD396-IF($A408&gt;=('1-Input'!$C$12-1),'1-Input'!$B$12,0)))))*(1/(1-'P-Parametri'!$B$6*AD408))))</f>
        <v>20355.994913639606</v>
      </c>
      <c r="AF408" s="18">
        <f>IF($A408&gt;'1-Input'!$B$26,AH407,(AH407-MAX(0,AD396-IF($A408&gt;=('1-Input'!$C$12-1),'1-Input'!$B$12,0))+AE408*(1-'P-Parametri'!$B$6*AD408))*(1+'1-Input'!$B$27))</f>
        <v>36219.275067787748</v>
      </c>
      <c r="AG408" s="18">
        <f>IF($A408&gt;'1-Input'!$B$26,AI407,(AI407-AE408)*(1+'5-Roberta'!$C$4))</f>
        <v>298537.22009146307</v>
      </c>
      <c r="AH408" s="18">
        <f>IF($A408&gt;'1-Input'!$B$26,AF408,AF408-'P-Parametri'!$B$8*(AG408+AF408)+MIN(MAX(AG408,0),'P-Parametri'!$B$8*(AG408+AF408)))</f>
        <v>36219.275067787748</v>
      </c>
      <c r="AI408" s="18">
        <f>IF($A408&gt;'1-Input'!$B$26,AG408,AG408-MIN(MAX(AG408,0),'P-Parametri'!$B$8*(AG408+AF408)))</f>
        <v>297867.70710114454</v>
      </c>
      <c r="AJ408" s="18">
        <f>IF($A408&gt;'1-Input'!$B$26,AJ407,AJ407-AE408*(1-AD408))</f>
        <v>177572.00373703556</v>
      </c>
      <c r="AK408" s="11">
        <f>IF($A408&gt;'1-Input'!$B$26,0,IF(AP407&lt;=0,0,MAX(0,(AP407-AQ407)/AP407)))</f>
        <v>0.38734888246277233</v>
      </c>
      <c r="AL408" s="18">
        <f>IF($A408&gt;'1-Input'!$B$26,0,(MAX(0,AK396-IF($A408&gt;=('1-Input'!$C$12-1),'1-Input'!$B$12,0))-MIN(MAX(AO407,0),MAX(0,AK396-IF($A408&gt;=('1-Input'!$C$12-1),'1-Input'!$B$12,0))))*(1/(1-'P-Parametri'!$B$6*AK408))+MIN(MAX(0,AP407-(MAX(0,AK396-IF($A408&gt;=('1-Input'!$C$12-1),'1-Input'!$B$12,0))-MIN(MAX(AO407,0),MAX(0,AK396-IF($A408&gt;=('1-Input'!$C$12-1),'1-Input'!$B$12,0))))*(1/(1-'P-Parametri'!$B$6*AK408))),MAX(0,2*AK396-(AO407-MIN(MAX(AO407,0),MAX(0,AK396-IF($A408&gt;=('1-Input'!$C$12-1),'1-Input'!$B$12,0)))))*(1/(1-'P-Parametri'!$B$6*AK408))))</f>
        <v>20355.898934437446</v>
      </c>
      <c r="AM408" s="18">
        <f>IF($A408&gt;'1-Input'!$B$26,AO407,(AO407-MAX(0,AK396-IF($A408&gt;=('1-Input'!$C$12-1),'1-Input'!$B$12,0))+AL408*(1-'P-Parametri'!$B$6*AK408))*(1+'1-Input'!$B$27))</f>
        <v>36219.1042108291</v>
      </c>
      <c r="AN408" s="18">
        <f>IF($A408&gt;'1-Input'!$B$26,AP407,(AP407-AL408)*(1+'5-Roberta'!$C$4))</f>
        <v>298538.54482277913</v>
      </c>
      <c r="AO408" s="18">
        <f>IF($A408&gt;'1-Input'!$B$26,AM408,AM408-'P-Parametri'!$B$8*(AN408+AM408)+MIN(MAX(AN408,0),'P-Parametri'!$B$8*(AN408+AM408)))</f>
        <v>36219.1042108291</v>
      </c>
      <c r="AP408" s="18">
        <f>IF($A408&gt;'1-Input'!$B$26,AN408,AN408-MIN(MAX(AN408,0),'P-Parametri'!$B$8*(AN408+AM408)))</f>
        <v>297869.02952471189</v>
      </c>
      <c r="AQ408" s="18">
        <f>IF($A408&gt;'1-Input'!$B$26,AQ407,AQ407-AL408*(1-AK408))</f>
        <v>177572.78943069259</v>
      </c>
    </row>
    <row r="409" spans="1:43">
      <c r="A409" s="10">
        <f>11</f>
        <v>11</v>
      </c>
      <c r="B409" s="11">
        <f>IF($A409&gt;'1-Input'!$B$26,0,IF(G408&lt;=0,0,MAX(0,(G408-H408)/G408)))</f>
        <v>0.40400502156700707</v>
      </c>
      <c r="C409" s="18">
        <f>IF($A409&gt;'1-Input'!$B$26,0,(MAX(0,B396-IF($A409&gt;=('1-Input'!$C$12-1),'1-Input'!$B$12,0))-MIN(MAX(F408,0),MAX(0,B396-IF($A409&gt;=('1-Input'!$C$12-1),'1-Input'!$B$12,0))))*(1/(1-'P-Parametri'!$B$6*B409))+MIN(MAX(0,G408-(MAX(0,B396-IF($A409&gt;=('1-Input'!$C$12-1),'1-Input'!$B$12,0))-MIN(MAX(F408,0),MAX(0,B396-IF($A409&gt;=('1-Input'!$C$12-1),'1-Input'!$B$12,0))))*(1/(1-'P-Parametri'!$B$6*B409))),MAX(0,2*B396-(F408-MIN(MAX(F408,0),MAX(0,B396-IF($A409&gt;=('1-Input'!$C$12-1),'1-Input'!$B$12,0)))))*(1/(1-'P-Parametri'!$B$6*B409))))</f>
        <v>18773.111002954505</v>
      </c>
      <c r="D409" s="18">
        <f>IF($A409&gt;'1-Input'!$B$26,F408,(F408-MAX(0,B396-IF($A409&gt;=('1-Input'!$C$12-1),'1-Input'!$B$12,0))+C409*(1-'P-Parametri'!$B$6*B409))*(1+'1-Input'!$B$27))</f>
        <v>33242.0070309863</v>
      </c>
      <c r="E409" s="18">
        <f>IF($A409&gt;'1-Input'!$B$26,G408,(G408-C409)*(1+'5-Roberta'!$C$4))</f>
        <v>311203.09859466332</v>
      </c>
      <c r="F409" s="18">
        <f>IF($A409&gt;'1-Input'!$B$26,D409,D409-'P-Parametri'!$B$8*(E409+D409)+MIN(MAX(E409,0),'P-Parametri'!$B$8*(E409+D409)))</f>
        <v>33242.0070309863</v>
      </c>
      <c r="G409" s="18">
        <f>IF($A409&gt;'1-Input'!$B$26,E409,E409-MIN(MAX(E409,0),'P-Parametri'!$B$8*(E409+D409)))</f>
        <v>310514.20838341204</v>
      </c>
      <c r="H409" s="18">
        <f>IF($A409&gt;'1-Input'!$B$26,H408,H408-C409*(1-B409))</f>
        <v>180073.28547107466</v>
      </c>
      <c r="I409" s="11">
        <f>IF($A409&gt;'1-Input'!$B$26,0,IF(N408&lt;=0,0,MAX(0,(N408-O408)/N408)))</f>
        <v>0.4034095517093132</v>
      </c>
      <c r="J409" s="18">
        <f>IF($A409&gt;'1-Input'!$B$26,0,(MAX(0,I396-IF($A409&gt;=('1-Input'!$C$12-1),'1-Input'!$B$12,0))-MIN(MAX(M408,0),MAX(0,I396-IF($A409&gt;=('1-Input'!$C$12-1),'1-Input'!$B$12,0))))*(1/(1-'P-Parametri'!$B$6*I409))+MIN(MAX(0,N408-(MAX(0,I396-IF($A409&gt;=('1-Input'!$C$12-1),'1-Input'!$B$12,0))-MIN(MAX(M408,0),MAX(0,I396-IF($A409&gt;=('1-Input'!$C$12-1),'1-Input'!$B$12,0))))*(1/(1-'P-Parametri'!$B$6*I409))),MAX(0,2*I396-(M408-MIN(MAX(M408,0),MAX(0,I396-IF($A409&gt;=('1-Input'!$C$12-1),'1-Input'!$B$12,0)))))*(1/(1-'P-Parametri'!$B$6*I409))))</f>
        <v>24697.189389280269</v>
      </c>
      <c r="K409" s="18">
        <f>IF($A409&gt;'1-Input'!$B$26,M408,(M408-MAX(0,I396-IF($A409&gt;=('1-Input'!$C$12-1),'1-Input'!$B$12,0))+J409*(1-'P-Parametri'!$B$6*I409))*(1+'1-Input'!$B$27))</f>
        <v>43739.482935508291</v>
      </c>
      <c r="L409" s="18">
        <f>IF($A409&gt;'1-Input'!$B$26,N408,(N408-J409)*(1+'5-Roberta'!$C$4))</f>
        <v>221416.71245579544</v>
      </c>
      <c r="M409" s="18">
        <f>IF($A409&gt;'1-Input'!$B$26,K409,K409-'P-Parametri'!$B$8*(L409+K409)+MIN(MAX(L409,0),'P-Parametri'!$B$8*(L409+K409)))</f>
        <v>43739.482935508291</v>
      </c>
      <c r="N409" s="18">
        <f>IF($A409&gt;'1-Input'!$B$26,L409,L409-MIN(MAX(L409,0),'P-Parametri'!$B$8*(L409+K409)))</f>
        <v>220886.40006501283</v>
      </c>
      <c r="O409" s="18">
        <f>IF($A409&gt;'1-Input'!$B$26,O408,O408-J409*(1-I409))</f>
        <v>128247.66576995447</v>
      </c>
      <c r="P409" s="11">
        <f>IF($A409&gt;'1-Input'!$B$26,0,IF(U408&lt;=0,0,MAX(0,(U408-V408)/U408)))</f>
        <v>0.40382877932266942</v>
      </c>
      <c r="Q409" s="18">
        <f>IF($A409&gt;'1-Input'!$B$26,0,(MAX(0,P396-IF($A409&gt;=('1-Input'!$C$12-1),'1-Input'!$B$12,0))-MIN(MAX(T408,0),MAX(0,P396-IF($A409&gt;=('1-Input'!$C$12-1),'1-Input'!$B$12,0))))*(1/(1-'P-Parametri'!$B$6*P409))+MIN(MAX(0,U408-(MAX(0,P396-IF($A409&gt;=('1-Input'!$C$12-1),'1-Input'!$B$12,0))-MIN(MAX(T408,0),MAX(0,P396-IF($A409&gt;=('1-Input'!$C$12-1),'1-Input'!$B$12,0))))*(1/(1-'P-Parametri'!$B$6*P409))),MAX(0,2*P396-(T408-MIN(MAX(T408,0),MAX(0,P396-IF($A409&gt;=('1-Input'!$C$12-1),'1-Input'!$B$12,0)))))*(1/(1-'P-Parametri'!$B$6*P409))))</f>
        <v>20746.607142938959</v>
      </c>
      <c r="R409" s="18">
        <f>IF($A409&gt;'1-Input'!$B$26,T408,(T408-MAX(0,P396-IF($A409&gt;=('1-Input'!$C$12-1),'1-Input'!$B$12,0))+Q409*(1-'P-Parametri'!$B$6*P409))*(1+'1-Input'!$B$27))</f>
        <v>36738.405892673516</v>
      </c>
      <c r="S409" s="18">
        <f>IF($A409&gt;'1-Input'!$B$26,U408,(U408-Q409)*(1+'5-Roberta'!$C$4))</f>
        <v>281296.16163055733</v>
      </c>
      <c r="T409" s="18">
        <f>IF($A409&gt;'1-Input'!$B$26,R409,R409-'P-Parametri'!$B$8*(S409+R409)+MIN(MAX(S409,0),'P-Parametri'!$B$8*(S409+R409)))</f>
        <v>36738.405892673516</v>
      </c>
      <c r="U409" s="18">
        <f>IF($A409&gt;'1-Input'!$B$26,S409,S409-MIN(MAX(S409,0),'P-Parametri'!$B$8*(S409+R409)))</f>
        <v>280660.09249551088</v>
      </c>
      <c r="V409" s="18">
        <f>IF($A409&gt;'1-Input'!$B$26,V408,V408-Q409*(1-P409))</f>
        <v>162816.19034090976</v>
      </c>
      <c r="W409" s="11">
        <f>IF($A409&gt;'1-Input'!$B$26,0,IF(AB408&lt;=0,0,MAX(0,(AB408-AC408)/AB408)))</f>
        <v>0.40385457193199525</v>
      </c>
      <c r="X409" s="18">
        <f>IF($A409&gt;'1-Input'!$B$26,0,(MAX(0,W396-IF($A409&gt;=('1-Input'!$C$12-1),'1-Input'!$B$12,0))-MIN(MAX(AA408,0),MAX(0,W396-IF($A409&gt;=('1-Input'!$C$12-1),'1-Input'!$B$12,0))))*(1/(1-'P-Parametri'!$B$6*W409))+MIN(MAX(0,AB408-(MAX(0,W396-IF($A409&gt;=('1-Input'!$C$12-1),'1-Input'!$B$12,0))-MIN(MAX(AA408,0),MAX(0,W396-IF($A409&gt;=('1-Input'!$C$12-1),'1-Input'!$B$12,0))))*(1/(1-'P-Parametri'!$B$6*W409))),MAX(0,2*W396-(AA408-MIN(MAX(AA408,0),MAX(0,W396-IF($A409&gt;=('1-Input'!$C$12-1),'1-Input'!$B$12,0)))))*(1/(1-'P-Parametri'!$B$6*W409))))</f>
        <v>20470.563145950804</v>
      </c>
      <c r="Y409" s="18">
        <f>IF($A409&gt;'1-Input'!$B$26,AA408,(AA408-MAX(0,W396-IF($A409&gt;=('1-Input'!$C$12-1),'1-Input'!$B$12,0))+X409*(1-'P-Parametri'!$B$6*W409))*(1+'1-Input'!$B$27))</f>
        <v>36249.311394946351</v>
      </c>
      <c r="Z409" s="18">
        <f>IF($A409&gt;'1-Input'!$B$26,AB408,(AB408-X409)*(1+'5-Roberta'!$C$4))</f>
        <v>285479.60439716425</v>
      </c>
      <c r="AA409" s="18">
        <f>IF($A409&gt;'1-Input'!$B$26,Y409,Y409-'P-Parametri'!$B$8*(Z409+Y409)+MIN(MAX(Z409,0),'P-Parametri'!$B$8*(Z409+Y409)))</f>
        <v>36249.311394946351</v>
      </c>
      <c r="AB409" s="18">
        <f>IF($A409&gt;'1-Input'!$B$26,Z409,Z409-MIN(MAX(Z409,0),'P-Parametri'!$B$8*(Z409+Y409)))</f>
        <v>284836.14656558004</v>
      </c>
      <c r="AC409" s="18">
        <f>IF($A409&gt;'1-Input'!$B$26,AC408,AC408-X409*(1-W409))</f>
        <v>165230.44754177876</v>
      </c>
      <c r="AD409" s="11">
        <f>IF($A409&gt;'1-Input'!$B$26,0,IF(AI408&lt;=0,0,MAX(0,(AI408-AJ408)/AI408)))</f>
        <v>0.40385614316781621</v>
      </c>
      <c r="AE409" s="18">
        <f>IF($A409&gt;'1-Input'!$B$26,0,(MAX(0,AD396-IF($A409&gt;=('1-Input'!$C$12-1),'1-Input'!$B$12,0))-MIN(MAX(AH408,0),MAX(0,AD396-IF($A409&gt;=('1-Input'!$C$12-1),'1-Input'!$B$12,0))))*(1/(1-'P-Parametri'!$B$6*AD409))+MIN(MAX(0,AI408-(MAX(0,AD396-IF($A409&gt;=('1-Input'!$C$12-1),'1-Input'!$B$12,0))-MIN(MAX(AH408,0),MAX(0,AD396-IF($A409&gt;=('1-Input'!$C$12-1),'1-Input'!$B$12,0))))*(1/(1-'P-Parametri'!$B$6*AD409))),MAX(0,2*AD396-(AH408-MIN(MAX(AH408,0),MAX(0,AD396-IF($A409&gt;=('1-Input'!$C$12-1),'1-Input'!$B$12,0)))))*(1/(1-'P-Parametri'!$B$6*AD409))))</f>
        <v>20453.610489939296</v>
      </c>
      <c r="AF409" s="18">
        <f>IF($A409&gt;'1-Input'!$B$26,AH408,(AH408-MAX(0,AD396-IF($A409&gt;=('1-Input'!$C$12-1),'1-Input'!$B$12,0))+AE409*(1-'P-Parametri'!$B$6*AD409))*(1+'1-Input'!$B$27))</f>
        <v>36219.275067787756</v>
      </c>
      <c r="AG409" s="18">
        <f>IF($A409&gt;'1-Input'!$B$26,AI408,(AI408-AE409)*(1+'5-Roberta'!$C$4))</f>
        <v>285736.51950954139</v>
      </c>
      <c r="AH409" s="18">
        <f>IF($A409&gt;'1-Input'!$B$26,AF409,AF409-'P-Parametri'!$B$8*(AG409+AF409)+MIN(MAX(AG409,0),'P-Parametri'!$B$8*(AG409+AF409)))</f>
        <v>36219.275067787756</v>
      </c>
      <c r="AI409" s="18">
        <f>IF($A409&gt;'1-Input'!$B$26,AG409,AG409-MIN(MAX(AG409,0),'P-Parametri'!$B$8*(AG409+AF409)))</f>
        <v>285092.60792038671</v>
      </c>
      <c r="AJ409" s="18">
        <f>IF($A409&gt;'1-Input'!$B$26,AJ408,AJ408-AE409*(1-AD409))</f>
        <v>165378.70949341994</v>
      </c>
      <c r="AK409" s="11">
        <f>IF($A409&gt;'1-Input'!$B$26,0,IF(AP408&lt;=0,0,MAX(0,(AP408-AQ408)/AP408)))</f>
        <v>0.40385615210136927</v>
      </c>
      <c r="AL409" s="18">
        <f>IF($A409&gt;'1-Input'!$B$26,0,(MAX(0,AK396-IF($A409&gt;=('1-Input'!$C$12-1),'1-Input'!$B$12,0))-MIN(MAX(AO408,0),MAX(0,AK396-IF($A409&gt;=('1-Input'!$C$12-1),'1-Input'!$B$12,0))))*(1/(1-'P-Parametri'!$B$6*AK409))+MIN(MAX(0,AP408-(MAX(0,AK396-IF($A409&gt;=('1-Input'!$C$12-1),'1-Input'!$B$12,0))-MIN(MAX(AO408,0),MAX(0,AK396-IF($A409&gt;=('1-Input'!$C$12-1),'1-Input'!$B$12,0))))*(1/(1-'P-Parametri'!$B$6*AK409))),MAX(0,2*AK396-(AO408-MIN(MAX(AO408,0),MAX(0,AK396-IF($A409&gt;=('1-Input'!$C$12-1),'1-Input'!$B$12,0)))))*(1/(1-'P-Parametri'!$B$6*AK409))))</f>
        <v>20453.514057332643</v>
      </c>
      <c r="AM409" s="18">
        <f>IF($A409&gt;'1-Input'!$B$26,AO408,(AO408-MAX(0,AK396-IF($A409&gt;=('1-Input'!$C$12-1),'1-Input'!$B$12,0))+AL409*(1-'P-Parametri'!$B$6*AK409))*(1+'1-Input'!$B$27))</f>
        <v>36219.1042108291</v>
      </c>
      <c r="AN409" s="18">
        <f>IF($A409&gt;'1-Input'!$B$26,AP408,(AP408-AL409)*(1+'5-Roberta'!$C$4))</f>
        <v>285737.98093140061</v>
      </c>
      <c r="AO409" s="18">
        <f>IF($A409&gt;'1-Input'!$B$26,AM409,AM409-'P-Parametri'!$B$8*(AN409+AM409)+MIN(MAX(AN409,0),'P-Parametri'!$B$8*(AN409+AM409)))</f>
        <v>36219.1042108291</v>
      </c>
      <c r="AP409" s="18">
        <f>IF($A409&gt;'1-Input'!$B$26,AN409,AN409-MIN(MAX(AN409,0),'P-Parametri'!$B$8*(AN409+AM409)))</f>
        <v>285094.06676111615</v>
      </c>
      <c r="AQ409" s="18">
        <f>IF($A409&gt;'1-Input'!$B$26,AQ408,AQ408-AL409*(1-AK409))</f>
        <v>165379.55285750557</v>
      </c>
    </row>
    <row r="410" spans="1:43">
      <c r="A410" s="10">
        <f>12</f>
        <v>12</v>
      </c>
      <c r="B410" s="11">
        <f>IF($A410&gt;'1-Input'!$B$26,0,IF(G409&lt;=0,0,MAX(0,(G409-H409)/G409)))</f>
        <v>0.42008036795299719</v>
      </c>
      <c r="C410" s="18">
        <f>IF($A410&gt;'1-Input'!$B$26,0,(MAX(0,B396-IF($A410&gt;=('1-Input'!$C$12-1),'1-Input'!$B$12,0))-MIN(MAX(F409,0),MAX(0,B396-IF($A410&gt;=('1-Input'!$C$12-1),'1-Input'!$B$12,0))))*(1/(1-'P-Parametri'!$B$6*B410))+MIN(MAX(0,G409-(MAX(0,B396-IF($A410&gt;=('1-Input'!$C$12-1),'1-Input'!$B$12,0))-MIN(MAX(F409,0),MAX(0,B396-IF($A410&gt;=('1-Input'!$C$12-1),'1-Input'!$B$12,0))))*(1/(1-'P-Parametri'!$B$6*B410))),MAX(0,2*B396-(F409-MIN(MAX(F409,0),MAX(0,B396-IF($A410&gt;=('1-Input'!$C$12-1),'1-Input'!$B$12,0)))))*(1/(1-'P-Parametri'!$B$6*B410))))</f>
        <v>18861.195588423936</v>
      </c>
      <c r="D410" s="18">
        <f>IF($A410&gt;'1-Input'!$B$26,F409,(F409-MAX(0,B396-IF($A410&gt;=('1-Input'!$C$12-1),'1-Input'!$B$12,0))+C410*(1-'P-Parametri'!$B$6*B410))*(1+'1-Input'!$B$27))</f>
        <v>33242.0070309863</v>
      </c>
      <c r="E410" s="18">
        <f>IF($A410&gt;'1-Input'!$B$26,G409,(G409-C410)*(1+'5-Roberta'!$C$4))</f>
        <v>300402.60317883774</v>
      </c>
      <c r="F410" s="18">
        <f>IF($A410&gt;'1-Input'!$B$26,D410,D410-'P-Parametri'!$B$8*(E410+D410)+MIN(MAX(E410,0),'P-Parametri'!$B$8*(E410+D410)))</f>
        <v>33242.0070309863</v>
      </c>
      <c r="G410" s="18">
        <f>IF($A410&gt;'1-Input'!$B$26,E410,E410-MIN(MAX(E410,0),'P-Parametri'!$B$8*(E410+D410)))</f>
        <v>299735.31395841809</v>
      </c>
      <c r="H410" s="18">
        <f>IF($A410&gt;'1-Input'!$B$26,H409,H409-C410*(1-B410))</f>
        <v>169135.30786546931</v>
      </c>
      <c r="I410" s="11">
        <f>IF($A410&gt;'1-Input'!$B$26,0,IF(N409&lt;=0,0,MAX(0,(N409-O409)/N409)))</f>
        <v>0.41939537367530222</v>
      </c>
      <c r="J410" s="18">
        <f>IF($A410&gt;'1-Input'!$B$26,0,(MAX(0,I396-IF($A410&gt;=('1-Input'!$C$12-1),'1-Input'!$B$12,0))-MIN(MAX(M409,0),MAX(0,I396-IF($A410&gt;=('1-Input'!$C$12-1),'1-Input'!$B$12,0))))*(1/(1-'P-Parametri'!$B$6*I410))+MIN(MAX(0,N409-(MAX(0,I396-IF($A410&gt;=('1-Input'!$C$12-1),'1-Input'!$B$12,0))-MIN(MAX(M409,0),MAX(0,I396-IF($A410&gt;=('1-Input'!$C$12-1),'1-Input'!$B$12,0))))*(1/(1-'P-Parametri'!$B$6*I410))),MAX(0,2*I396-(M409-MIN(MAX(M409,0),MAX(0,I396-IF($A410&gt;=('1-Input'!$C$12-1),'1-Input'!$B$12,0)))))*(1/(1-'P-Parametri'!$B$6*I410))))</f>
        <v>24812.401732317619</v>
      </c>
      <c r="K410" s="18">
        <f>IF($A410&gt;'1-Input'!$B$26,M409,(M409-MAX(0,I396-IF($A410&gt;=('1-Input'!$C$12-1),'1-Input'!$B$12,0))+J410*(1-'P-Parametri'!$B$6*I410))*(1+'1-Input'!$B$27))</f>
        <v>43739.482935508291</v>
      </c>
      <c r="L410" s="18">
        <f>IF($A410&gt;'1-Input'!$B$26,N409,(N409-J410)*(1+'5-Roberta'!$C$4))</f>
        <v>201956.21828267607</v>
      </c>
      <c r="M410" s="18">
        <f>IF($A410&gt;'1-Input'!$B$26,K410,K410-'P-Parametri'!$B$8*(L410+K410)+MIN(MAX(L410,0),'P-Parametri'!$B$8*(L410+K410)))</f>
        <v>43739.482935508291</v>
      </c>
      <c r="N410" s="18">
        <f>IF($A410&gt;'1-Input'!$B$26,L410,L410-MIN(MAX(L410,0),'P-Parametri'!$B$8*(L410+K410)))</f>
        <v>201464.82688023971</v>
      </c>
      <c r="O410" s="18">
        <f>IF($A410&gt;'1-Input'!$B$26,O409,O409-J410*(1-I410))</f>
        <v>113841.47053394392</v>
      </c>
      <c r="P410" s="11">
        <f>IF($A410&gt;'1-Input'!$B$26,0,IF(U409&lt;=0,0,MAX(0,(U409-V409)/U409)))</f>
        <v>0.41988122040003256</v>
      </c>
      <c r="Q410" s="18">
        <f>IF($A410&gt;'1-Input'!$B$26,0,(MAX(0,P396-IF($A410&gt;=('1-Input'!$C$12-1),'1-Input'!$B$12,0))-MIN(MAX(T409,0),MAX(0,P396-IF($A410&gt;=('1-Input'!$C$12-1),'1-Input'!$B$12,0))))*(1/(1-'P-Parametri'!$B$6*P410))+MIN(MAX(0,U409-(MAX(0,P396-IF($A410&gt;=('1-Input'!$C$12-1),'1-Input'!$B$12,0))-MIN(MAX(T409,0),MAX(0,P396-IF($A410&gt;=('1-Input'!$C$12-1),'1-Input'!$B$12,0))))*(1/(1-'P-Parametri'!$B$6*P410))),MAX(0,2*P396-(T409-MIN(MAX(T409,0),MAX(0,P396-IF($A410&gt;=('1-Input'!$C$12-1),'1-Input'!$B$12,0)))))*(1/(1-'P-Parametri'!$B$6*P410))))</f>
        <v>20843.807139872639</v>
      </c>
      <c r="R410" s="18">
        <f>IF($A410&gt;'1-Input'!$B$26,T409,(T409-MAX(0,P396-IF($A410&gt;=('1-Input'!$C$12-1),'1-Input'!$B$12,0))+Q410*(1-'P-Parametri'!$B$6*P410))*(1+'1-Input'!$B$27))</f>
        <v>36738.405892673509</v>
      </c>
      <c r="S410" s="18">
        <f>IF($A410&gt;'1-Input'!$B$26,U409,(U409-Q410)*(1+'5-Roberta'!$C$4))</f>
        <v>267610.77391630743</v>
      </c>
      <c r="T410" s="18">
        <f>IF($A410&gt;'1-Input'!$B$26,R410,R410-'P-Parametri'!$B$8*(S410+R410)+MIN(MAX(S410,0),'P-Parametri'!$B$8*(S410+R410)))</f>
        <v>36738.405892673509</v>
      </c>
      <c r="U410" s="18">
        <f>IF($A410&gt;'1-Input'!$B$26,S410,S410-MIN(MAX(S410,0),'P-Parametri'!$B$8*(S410+R410)))</f>
        <v>267002.07555668947</v>
      </c>
      <c r="V410" s="18">
        <f>IF($A410&gt;'1-Input'!$B$26,V409,V409-Q410*(1-P410))</f>
        <v>150724.30638070975</v>
      </c>
      <c r="W410" s="11">
        <f>IF($A410&gt;'1-Input'!$B$26,0,IF(AB409&lt;=0,0,MAX(0,(AB409-AC409)/AB409)))</f>
        <v>0.41991053616596913</v>
      </c>
      <c r="X410" s="18">
        <f>IF($A410&gt;'1-Input'!$B$26,0,(MAX(0,W396-IF($A410&gt;=('1-Input'!$C$12-1),'1-Input'!$B$12,0))-MIN(MAX(AA409,0),MAX(0,W396-IF($A410&gt;=('1-Input'!$C$12-1),'1-Input'!$B$12,0))))*(1/(1-'P-Parametri'!$B$6*W410))+MIN(MAX(0,AB409-(MAX(0,W396-IF($A410&gt;=('1-Input'!$C$12-1),'1-Input'!$B$12,0))-MIN(MAX(AA409,0),MAX(0,W396-IF($A410&gt;=('1-Input'!$C$12-1),'1-Input'!$B$12,0))))*(1/(1-'P-Parametri'!$B$6*W410))),MAX(0,2*W396-(AA409-MIN(MAX(AA409,0),MAX(0,W396-IF($A410&gt;=('1-Input'!$C$12-1),'1-Input'!$B$12,0)))))*(1/(1-'P-Parametri'!$B$6*W410))))</f>
        <v>20566.491718437926</v>
      </c>
      <c r="Y410" s="18">
        <f>IF($A410&gt;'1-Input'!$B$26,AA409,(AA409-MAX(0,W396-IF($A410&gt;=('1-Input'!$C$12-1),'1-Input'!$B$12,0))+X410*(1-'P-Parametri'!$B$6*W410))*(1+'1-Input'!$B$27))</f>
        <v>36249.311394946351</v>
      </c>
      <c r="Z410" s="18">
        <f>IF($A410&gt;'1-Input'!$B$26,AB409,(AB409-X410)*(1+'5-Roberta'!$C$4))</f>
        <v>272197.74449255638</v>
      </c>
      <c r="AA410" s="18">
        <f>IF($A410&gt;'1-Input'!$B$26,Y410,Y410-'P-Parametri'!$B$8*(Z410+Y410)+MIN(MAX(Z410,0),'P-Parametri'!$B$8*(Z410+Y410)))</f>
        <v>36249.311394946351</v>
      </c>
      <c r="AB410" s="18">
        <f>IF($A410&gt;'1-Input'!$B$26,Z410,Z410-MIN(MAX(Z410,0),'P-Parametri'!$B$8*(Z410+Y410)))</f>
        <v>271580.8503807814</v>
      </c>
      <c r="AC410" s="18">
        <f>IF($A410&gt;'1-Input'!$B$26,AC409,AC409-X410*(1-W410))</f>
        <v>153300.04238788306</v>
      </c>
      <c r="AD410" s="11">
        <f>IF($A410&gt;'1-Input'!$B$26,0,IF(AI409&lt;=0,0,MAX(0,(AI409-AJ409)/AI409)))</f>
        <v>0.41991232007108853</v>
      </c>
      <c r="AE410" s="18">
        <f>IF($A410&gt;'1-Input'!$B$26,0,(MAX(0,AD396-IF($A410&gt;=('1-Input'!$C$12-1),'1-Input'!$B$12,0))-MIN(MAX(AH409,0),MAX(0,AD396-IF($A410&gt;=('1-Input'!$C$12-1),'1-Input'!$B$12,0))))*(1/(1-'P-Parametri'!$B$6*AD410))+MIN(MAX(0,AI409-(MAX(0,AD396-IF($A410&gt;=('1-Input'!$C$12-1),'1-Input'!$B$12,0))-MIN(MAX(AH409,0),MAX(0,AD396-IF($A410&gt;=('1-Input'!$C$12-1),'1-Input'!$B$12,0))))*(1/(1-'P-Parametri'!$B$6*AD410))),MAX(0,2*AD396-(AH409-MIN(MAX(AH409,0),MAX(0,AD396-IF($A410&gt;=('1-Input'!$C$12-1),'1-Input'!$B$12,0)))))*(1/(1-'P-Parametri'!$B$6*AD410))))</f>
        <v>20549.460938845776</v>
      </c>
      <c r="AF410" s="18">
        <f>IF($A410&gt;'1-Input'!$B$26,AH409,(AH409-MAX(0,AD396-IF($A410&gt;=('1-Input'!$C$12-1),'1-Input'!$B$12,0))+AE410*(1-'P-Parametri'!$B$6*AD410))*(1+'1-Input'!$B$27))</f>
        <v>36219.275067787748</v>
      </c>
      <c r="AG410" s="18">
        <f>IF($A410&gt;'1-Input'!$B$26,AI409,(AI409-AE410)*(1+'5-Roberta'!$C$4))</f>
        <v>272479.44139098719</v>
      </c>
      <c r="AH410" s="18">
        <f>IF($A410&gt;'1-Input'!$B$26,AF410,AF410-'P-Parametri'!$B$8*(AG410+AF410)+MIN(MAX(AG410,0),'P-Parametri'!$B$8*(AG410+AF410)))</f>
        <v>36219.275067787748</v>
      </c>
      <c r="AI410" s="18">
        <f>IF($A410&gt;'1-Input'!$B$26,AG410,AG410-MIN(MAX(AG410,0),'P-Parametri'!$B$8*(AG410+AF410)))</f>
        <v>271862.04395806964</v>
      </c>
      <c r="AJ410" s="18">
        <f>IF($A410&gt;'1-Input'!$B$26,AJ409,AJ409-AE410*(1-AD410))</f>
        <v>153458.2203736151</v>
      </c>
      <c r="AK410" s="11">
        <f>IF($A410&gt;'1-Input'!$B$26,0,IF(AP409&lt;=0,0,MAX(0,(AP409-AQ409)/AP409)))</f>
        <v>0.41991233021317437</v>
      </c>
      <c r="AL410" s="18">
        <f>IF($A410&gt;'1-Input'!$B$26,0,(MAX(0,AK396-IF($A410&gt;=('1-Input'!$C$12-1),'1-Input'!$B$12,0))-MIN(MAX(AO409,0),MAX(0,AK396-IF($A410&gt;=('1-Input'!$C$12-1),'1-Input'!$B$12,0))))*(1/(1-'P-Parametri'!$B$6*AK410))+MIN(MAX(0,AP409-(MAX(0,AK396-IF($A410&gt;=('1-Input'!$C$12-1),'1-Input'!$B$12,0))-MIN(MAX(AO409,0),MAX(0,AK396-IF($A410&gt;=('1-Input'!$C$12-1),'1-Input'!$B$12,0))))*(1/(1-'P-Parametri'!$B$6*AK410))),MAX(0,2*AK396-(AO409-MIN(MAX(AO409,0),MAX(0,AK396-IF($A410&gt;=('1-Input'!$C$12-1),'1-Input'!$B$12,0)))))*(1/(1-'P-Parametri'!$B$6*AK410))))</f>
        <v>20549.364061831428</v>
      </c>
      <c r="AM410" s="18">
        <f>IF($A410&gt;'1-Input'!$B$26,AO409,(AO409-MAX(0,AK396-IF($A410&gt;=('1-Input'!$C$12-1),'1-Input'!$B$12,0))+AL410*(1-'P-Parametri'!$B$6*AK410))*(1+'1-Input'!$B$27))</f>
        <v>36219.1042108291</v>
      </c>
      <c r="AN410" s="18">
        <f>IF($A410&gt;'1-Input'!$B$26,AP409,(AP409-AL410)*(1+'5-Roberta'!$C$4))</f>
        <v>272481.04378026328</v>
      </c>
      <c r="AO410" s="18">
        <f>IF($A410&gt;'1-Input'!$B$26,AM410,AM410-'P-Parametri'!$B$8*(AN410+AM410)+MIN(MAX(AN410,0),'P-Parametri'!$B$8*(AN410+AM410)))</f>
        <v>36219.1042108291</v>
      </c>
      <c r="AP410" s="18">
        <f>IF($A410&gt;'1-Input'!$B$26,AN410,AN410-MIN(MAX(AN410,0),'P-Parametri'!$B$8*(AN410+AM410)))</f>
        <v>271863.64348428108</v>
      </c>
      <c r="AQ410" s="18">
        <f>IF($A410&gt;'1-Input'!$B$26,AQ409,AQ409-AL410*(1-AK410))</f>
        <v>153459.12014327664</v>
      </c>
    </row>
    <row r="411" spans="1:43">
      <c r="A411" s="10">
        <f>13</f>
        <v>13</v>
      </c>
      <c r="B411" s="11">
        <f>IF($A411&gt;'1-Input'!$B$26,0,IF(G410&lt;=0,0,MAX(0,(G410-H410)/G410)))</f>
        <v>0.43571778169277298</v>
      </c>
      <c r="C411" s="18">
        <f>IF($A411&gt;'1-Input'!$B$26,0,(MAX(0,B396-IF($A411&gt;=('1-Input'!$C$12-1),'1-Input'!$B$12,0))-MIN(MAX(F410,0),MAX(0,B396-IF($A411&gt;=('1-Input'!$C$12-1),'1-Input'!$B$12,0))))*(1/(1-'P-Parametri'!$B$6*B411))+MIN(MAX(0,G410-(MAX(0,B396-IF($A411&gt;=('1-Input'!$C$12-1),'1-Input'!$B$12,0))-MIN(MAX(F410,0),MAX(0,B396-IF($A411&gt;=('1-Input'!$C$12-1),'1-Input'!$B$12,0))))*(1/(1-'P-Parametri'!$B$6*B411))),MAX(0,2*B396-(F410-MIN(MAX(F410,0),MAX(0,B396-IF($A411&gt;=('1-Input'!$C$12-1),'1-Input'!$B$12,0)))))*(1/(1-'P-Parametri'!$B$6*B411))))</f>
        <v>18947.677291487216</v>
      </c>
      <c r="D411" s="18">
        <f>IF($A411&gt;'1-Input'!$B$26,F410,(F410-MAX(0,B396-IF($A411&gt;=('1-Input'!$C$12-1),'1-Input'!$B$12,0))+C411*(1-'P-Parametri'!$B$6*B411))*(1+'1-Input'!$B$27))</f>
        <v>33242.0070309863</v>
      </c>
      <c r="E411" s="18">
        <f>IF($A411&gt;'1-Input'!$B$26,G410,(G410-C411)*(1+'5-Roberta'!$C$4))</f>
        <v>289211.2657669388</v>
      </c>
      <c r="F411" s="18">
        <f>IF($A411&gt;'1-Input'!$B$26,D411,D411-'P-Parametri'!$B$8*(E411+D411)+MIN(MAX(E411,0),'P-Parametri'!$B$8*(E411+D411)))</f>
        <v>33242.0070309863</v>
      </c>
      <c r="G411" s="18">
        <f>IF($A411&gt;'1-Input'!$B$26,E411,E411-MIN(MAX(E411,0),'P-Parametri'!$B$8*(E411+D411)))</f>
        <v>288566.35922134295</v>
      </c>
      <c r="H411" s="18">
        <f>IF($A411&gt;'1-Input'!$B$26,H410,H410-C411*(1-B411))</f>
        <v>158443.47049165942</v>
      </c>
      <c r="I411" s="11">
        <f>IF($A411&gt;'1-Input'!$B$26,0,IF(N410&lt;=0,0,MAX(0,(N410-O410)/N410)))</f>
        <v>0.43493128653362051</v>
      </c>
      <c r="J411" s="18">
        <f>IF($A411&gt;'1-Input'!$B$26,0,(MAX(0,I396-IF($A411&gt;=('1-Input'!$C$12-1),'1-Input'!$B$12,0))-MIN(MAX(M410,0),MAX(0,I396-IF($A411&gt;=('1-Input'!$C$12-1),'1-Input'!$B$12,0))))*(1/(1-'P-Parametri'!$B$6*I411))+MIN(MAX(0,N410-(MAX(0,I396-IF($A411&gt;=('1-Input'!$C$12-1),'1-Input'!$B$12,0))-MIN(MAX(M410,0),MAX(0,I396-IF($A411&gt;=('1-Input'!$C$12-1),'1-Input'!$B$12,0))))*(1/(1-'P-Parametri'!$B$6*I411))),MAX(0,2*I396-(M410-MIN(MAX(M410,0),MAX(0,I396-IF($A411&gt;=('1-Input'!$C$12-1),'1-Input'!$B$12,0)))))*(1/(1-'P-Parametri'!$B$6*I411))))</f>
        <v>24925.406177023739</v>
      </c>
      <c r="K411" s="18">
        <f>IF($A411&gt;'1-Input'!$B$26,M410,(M410-MAX(0,I396-IF($A411&gt;=('1-Input'!$C$12-1),'1-Input'!$B$12,0))+J411*(1-'P-Parametri'!$B$6*I411))*(1+'1-Input'!$B$27))</f>
        <v>43739.482935508291</v>
      </c>
      <c r="L411" s="18">
        <f>IF($A411&gt;'1-Input'!$B$26,N410,(N410-J411)*(1+'5-Roberta'!$C$4))</f>
        <v>181835.60332431245</v>
      </c>
      <c r="M411" s="18">
        <f>IF($A411&gt;'1-Input'!$B$26,K411,K411-'P-Parametri'!$B$8*(L411+K411)+MIN(MAX(L411,0),'P-Parametri'!$B$8*(L411+K411)))</f>
        <v>43739.482935508291</v>
      </c>
      <c r="N411" s="18">
        <f>IF($A411&gt;'1-Input'!$B$26,L411,L411-MIN(MAX(L411,0),'P-Parametri'!$B$8*(L411+K411)))</f>
        <v>181384.45315179281</v>
      </c>
      <c r="O411" s="18">
        <f>IF($A411&gt;'1-Input'!$B$26,O410,O410-J411*(1-I411))</f>
        <v>99756.903332866175</v>
      </c>
      <c r="P411" s="11">
        <f>IF($A411&gt;'1-Input'!$B$26,0,IF(U410&lt;=0,0,MAX(0,(U410-V410)/U410)))</f>
        <v>0.43549387746722518</v>
      </c>
      <c r="Q411" s="18">
        <f>IF($A411&gt;'1-Input'!$B$26,0,(MAX(0,P396-IF($A411&gt;=('1-Input'!$C$12-1),'1-Input'!$B$12,0))-MIN(MAX(T410,0),MAX(0,P396-IF($A411&gt;=('1-Input'!$C$12-1),'1-Input'!$B$12,0))))*(1/(1-'P-Parametri'!$B$6*P411))+MIN(MAX(0,U410-(MAX(0,P396-IF($A411&gt;=('1-Input'!$C$12-1),'1-Input'!$B$12,0))-MIN(MAX(T410,0),MAX(0,P396-IF($A411&gt;=('1-Input'!$C$12-1),'1-Input'!$B$12,0))))*(1/(1-'P-Parametri'!$B$6*P411))),MAX(0,2*P396-(T410-MIN(MAX(T410,0),MAX(0,P396-IF($A411&gt;=('1-Input'!$C$12-1),'1-Input'!$B$12,0)))))*(1/(1-'P-Parametri'!$B$6*P411))))</f>
        <v>20939.221873630129</v>
      </c>
      <c r="R411" s="18">
        <f>IF($A411&gt;'1-Input'!$B$26,T410,(T410-MAX(0,P396-IF($A411&gt;=('1-Input'!$C$12-1),'1-Input'!$B$12,0))+Q411*(1-'P-Parametri'!$B$6*P411))*(1+'1-Input'!$B$27))</f>
        <v>36738.405892673516</v>
      </c>
      <c r="S411" s="18">
        <f>IF($A411&gt;'1-Input'!$B$26,U410,(U410-Q411)*(1+'5-Roberta'!$C$4))</f>
        <v>253444.73929355113</v>
      </c>
      <c r="T411" s="18">
        <f>IF($A411&gt;'1-Input'!$B$26,R411,R411-'P-Parametri'!$B$8*(S411+R411)+MIN(MAX(S411,0),'P-Parametri'!$B$8*(S411+R411)))</f>
        <v>36738.405892673516</v>
      </c>
      <c r="U411" s="18">
        <f>IF($A411&gt;'1-Input'!$B$26,S411,S411-MIN(MAX(S411,0),'P-Parametri'!$B$8*(S411+R411)))</f>
        <v>252864.37300317868</v>
      </c>
      <c r="V411" s="18">
        <f>IF($A411&gt;'1-Input'!$B$26,V410,V410-Q411*(1-P411))</f>
        <v>138903.98743197334</v>
      </c>
      <c r="W411" s="11">
        <f>IF($A411&gt;'1-Input'!$B$26,0,IF(AB410&lt;=0,0,MAX(0,(AB410-AC410)/AB410)))</f>
        <v>0.43552705511842138</v>
      </c>
      <c r="X411" s="18">
        <f>IF($A411&gt;'1-Input'!$B$26,0,(MAX(0,W396-IF($A411&gt;=('1-Input'!$C$12-1),'1-Input'!$B$12,0))-MIN(MAX(AA410,0),MAX(0,W396-IF($A411&gt;=('1-Input'!$C$12-1),'1-Input'!$B$12,0))))*(1/(1-'P-Parametri'!$B$6*W411))+MIN(MAX(0,AB410-(MAX(0,W396-IF($A411&gt;=('1-Input'!$C$12-1),'1-Input'!$B$12,0))-MIN(MAX(AA410,0),MAX(0,W396-IF($A411&gt;=('1-Input'!$C$12-1),'1-Input'!$B$12,0))))*(1/(1-'P-Parametri'!$B$6*W411))),MAX(0,2*W396-(AA410-MIN(MAX(AA410,0),MAX(0,W396-IF($A411&gt;=('1-Input'!$C$12-1),'1-Input'!$B$12,0)))))*(1/(1-'P-Parametri'!$B$6*W411))))</f>
        <v>20660.661214951182</v>
      </c>
      <c r="Y411" s="18">
        <f>IF($A411&gt;'1-Input'!$B$26,AA410,(AA410-MAX(0,W396-IF($A411&gt;=('1-Input'!$C$12-1),'1-Input'!$B$12,0))+X411*(1-'P-Parametri'!$B$6*W411))*(1+'1-Input'!$B$27))</f>
        <v>36249.311394946344</v>
      </c>
      <c r="Z411" s="18">
        <f>IF($A411&gt;'1-Input'!$B$26,AB410,(AB410-X411)*(1+'5-Roberta'!$C$4))</f>
        <v>258447.79484080512</v>
      </c>
      <c r="AA411" s="18">
        <f>IF($A411&gt;'1-Input'!$B$26,Y411,Y411-'P-Parametri'!$B$8*(Z411+Y411)+MIN(MAX(Z411,0),'P-Parametri'!$B$8*(Z411+Y411)))</f>
        <v>36249.311394946344</v>
      </c>
      <c r="AB411" s="18">
        <f>IF($A411&gt;'1-Input'!$B$26,Z411,Z411-MIN(MAX(Z411,0),'P-Parametri'!$B$8*(Z411+Y411)))</f>
        <v>257858.40062833362</v>
      </c>
      <c r="AC411" s="18">
        <f>IF($A411&gt;'1-Input'!$B$26,AC410,AC410-X411*(1-W411))</f>
        <v>141637.65810867897</v>
      </c>
      <c r="AD411" s="11">
        <f>IF($A411&gt;'1-Input'!$B$26,0,IF(AI410&lt;=0,0,MAX(0,(AI410-AJ410)/AI410)))</f>
        <v>0.43552907151215425</v>
      </c>
      <c r="AE411" s="18">
        <f>IF($A411&gt;'1-Input'!$B$26,0,(MAX(0,AD396-IF($A411&gt;=('1-Input'!$C$12-1),'1-Input'!$B$12,0))-MIN(MAX(AH410,0),MAX(0,AD396-IF($A411&gt;=('1-Input'!$C$12-1),'1-Input'!$B$12,0))))*(1/(1-'P-Parametri'!$B$6*AD411))+MIN(MAX(0,AI410-(MAX(0,AD396-IF($A411&gt;=('1-Input'!$C$12-1),'1-Input'!$B$12,0))-MIN(MAX(AH410,0),MAX(0,AD396-IF($A411&gt;=('1-Input'!$C$12-1),'1-Input'!$B$12,0))))*(1/(1-'P-Parametri'!$B$6*AD411))),MAX(0,2*AD396-(AH410-MIN(MAX(AH410,0),MAX(0,AD396-IF($A411&gt;=('1-Input'!$C$12-1),'1-Input'!$B$12,0)))))*(1/(1-'P-Parametri'!$B$6*AD411))))</f>
        <v>20643.553911522191</v>
      </c>
      <c r="AF411" s="18">
        <f>IF($A411&gt;'1-Input'!$B$26,AH410,(AH410-MAX(0,AD396-IF($A411&gt;=('1-Input'!$C$12-1),'1-Input'!$B$12,0))+AE411*(1-'P-Parametri'!$B$6*AD411))*(1+'1-Input'!$B$27))</f>
        <v>36219.275067787748</v>
      </c>
      <c r="AG411" s="18">
        <f>IF($A411&gt;'1-Input'!$B$26,AI410,(AI410-AE411)*(1+'5-Roberta'!$C$4))</f>
        <v>258755.04474794387</v>
      </c>
      <c r="AH411" s="18">
        <f>IF($A411&gt;'1-Input'!$B$26,AF411,AF411-'P-Parametri'!$B$8*(AG411+AF411)+MIN(MAX(AG411,0),'P-Parametri'!$B$8*(AG411+AF411)))</f>
        <v>36219.275067787748</v>
      </c>
      <c r="AI411" s="18">
        <f>IF($A411&gt;'1-Input'!$B$26,AG411,AG411-MIN(MAX(AG411,0),'P-Parametri'!$B$8*(AG411+AF411)))</f>
        <v>258165.0961083124</v>
      </c>
      <c r="AJ411" s="18">
        <f>IF($A411&gt;'1-Input'!$B$26,AJ410,AJ410-AE411*(1-AD411))</f>
        <v>141805.53432988925</v>
      </c>
      <c r="AK411" s="11">
        <f>IF($A411&gt;'1-Input'!$B$26,0,IF(AP410&lt;=0,0,MAX(0,(AP410-AQ410)/AP410)))</f>
        <v>0.4355290829751956</v>
      </c>
      <c r="AL411" s="18">
        <f>IF($A411&gt;'1-Input'!$B$26,0,(MAX(0,AK396-IF($A411&gt;=('1-Input'!$C$12-1),'1-Input'!$B$12,0))-MIN(MAX(AO410,0),MAX(0,AK396-IF($A411&gt;=('1-Input'!$C$12-1),'1-Input'!$B$12,0))))*(1/(1-'P-Parametri'!$B$6*AK411))+MIN(MAX(0,AP410-(MAX(0,AK396-IF($A411&gt;=('1-Input'!$C$12-1),'1-Input'!$B$12,0))-MIN(MAX(AO410,0),MAX(0,AK396-IF($A411&gt;=('1-Input'!$C$12-1),'1-Input'!$B$12,0))))*(1/(1-'P-Parametri'!$B$6*AK411))),MAX(0,2*AK396-(AO410-MIN(MAX(AO410,0),MAX(0,AK396-IF($A411&gt;=('1-Input'!$C$12-1),'1-Input'!$B$12,0)))))*(1/(1-'P-Parametri'!$B$6*AK411))))</f>
        <v>20643.45659919731</v>
      </c>
      <c r="AM411" s="18">
        <f>IF($A411&gt;'1-Input'!$B$26,AO410,(AO410-MAX(0,AK396-IF($A411&gt;=('1-Input'!$C$12-1),'1-Input'!$B$12,0))+AL411*(1-'P-Parametri'!$B$6*AK411))*(1+'1-Input'!$B$27))</f>
        <v>36219.1042108291</v>
      </c>
      <c r="AN411" s="18">
        <f>IF($A411&gt;'1-Input'!$B$26,AP410,(AP410-AL411)*(1+'5-Roberta'!$C$4))</f>
        <v>258756.7924916363</v>
      </c>
      <c r="AO411" s="18">
        <f>IF($A411&gt;'1-Input'!$B$26,AM411,AM411-'P-Parametri'!$B$8*(AN411+AM411)+MIN(MAX(AN411,0),'P-Parametri'!$B$8*(AN411+AM411)))</f>
        <v>36219.1042108291</v>
      </c>
      <c r="AP411" s="18">
        <f>IF($A411&gt;'1-Input'!$B$26,AN411,AN411-MIN(MAX(AN411,0),'P-Parametri'!$B$8*(AN411+AM411)))</f>
        <v>258166.84069823136</v>
      </c>
      <c r="AQ411" s="18">
        <f>IF($A411&gt;'1-Input'!$B$26,AQ410,AQ410-AL411*(1-AK411))</f>
        <v>141806.489266166</v>
      </c>
    </row>
    <row r="412" spans="1:43">
      <c r="A412" s="10">
        <f>14</f>
        <v>14</v>
      </c>
      <c r="B412" s="11">
        <f>IF($A412&gt;'1-Input'!$B$26,0,IF(G411&lt;=0,0,MAX(0,(G411-H411)/G411)))</f>
        <v>0.45092882302983078</v>
      </c>
      <c r="C412" s="18">
        <f>IF($A412&gt;'1-Input'!$B$26,0,(MAX(0,B396-IF($A412&gt;=('1-Input'!$C$12-1),'1-Input'!$B$12,0))-MIN(MAX(F411,0),MAX(0,B396-IF($A412&gt;=('1-Input'!$C$12-1),'1-Input'!$B$12,0))))*(1/(1-'P-Parametri'!$B$6*B412))+MIN(MAX(0,G411-(MAX(0,B396-IF($A412&gt;=('1-Input'!$C$12-1),'1-Input'!$B$12,0))-MIN(MAX(F411,0),MAX(0,B396-IF($A412&gt;=('1-Input'!$C$12-1),'1-Input'!$B$12,0))))*(1/(1-'P-Parametri'!$B$6*B412))),MAX(0,2*B396-(F411-MIN(MAX(F411,0),MAX(0,B396-IF($A412&gt;=('1-Input'!$C$12-1),'1-Input'!$B$12,0)))))*(1/(1-'P-Parametri'!$B$6*B412))))</f>
        <v>19032.565303492043</v>
      </c>
      <c r="D412" s="18">
        <f>IF($A412&gt;'1-Input'!$B$26,F411,(F411-MAX(0,B396-IF($A412&gt;=('1-Input'!$C$12-1),'1-Input'!$B$12,0))+C412*(1-'P-Parametri'!$B$6*B412))*(1+'1-Input'!$B$27))</f>
        <v>33242.0070309863</v>
      </c>
      <c r="E412" s="18">
        <f>IF($A412&gt;'1-Input'!$B$26,G411,(G411-C412)*(1+'5-Roberta'!$C$4))</f>
        <v>277619.80773538642</v>
      </c>
      <c r="F412" s="18">
        <f>IF($A412&gt;'1-Input'!$B$26,D412,D412-'P-Parametri'!$B$8*(E412+D412)+MIN(MAX(E412,0),'P-Parametri'!$B$8*(E412+D412)))</f>
        <v>33242.0070309863</v>
      </c>
      <c r="G412" s="18">
        <f>IF($A412&gt;'1-Input'!$B$26,E412,E412-MIN(MAX(E412,0),'P-Parametri'!$B$8*(E412+D412)))</f>
        <v>276998.08410585369</v>
      </c>
      <c r="H412" s="18">
        <f>IF($A412&gt;'1-Input'!$B$26,H411,H411-C412*(1-B412))</f>
        <v>147993.23745970943</v>
      </c>
      <c r="I412" s="11">
        <f>IF($A412&gt;'1-Input'!$B$26,0,IF(N411&lt;=0,0,MAX(0,(N411-O411)/N411)))</f>
        <v>0.45002506223957389</v>
      </c>
      <c r="J412" s="18">
        <f>IF($A412&gt;'1-Input'!$B$26,0,(MAX(0,I396-IF($A412&gt;=('1-Input'!$C$12-1),'1-Input'!$B$12,0))-MIN(MAX(M411,0),MAX(0,I396-IF($A412&gt;=('1-Input'!$C$12-1),'1-Input'!$B$12,0))))*(1/(1-'P-Parametri'!$B$6*I412))+MIN(MAX(0,N411-(MAX(0,I396-IF($A412&gt;=('1-Input'!$C$12-1),'1-Input'!$B$12,0))-MIN(MAX(M411,0),MAX(0,I396-IF($A412&gt;=('1-Input'!$C$12-1),'1-Input'!$B$12,0))))*(1/(1-'P-Parametri'!$B$6*I412))),MAX(0,2*I396-(M411-MIN(MAX(M411,0),MAX(0,I396-IF($A412&gt;=('1-Input'!$C$12-1),'1-Input'!$B$12,0)))))*(1/(1-'P-Parametri'!$B$6*I412))))</f>
        <v>25036.184805913705</v>
      </c>
      <c r="K412" s="18">
        <f>IF($A412&gt;'1-Input'!$B$26,M411,(M411-MAX(0,I396-IF($A412&gt;=('1-Input'!$C$12-1),'1-Input'!$B$12,0))+J412*(1-'P-Parametri'!$B$6*I412))*(1+'1-Input'!$B$27))</f>
        <v>43739.482935508291</v>
      </c>
      <c r="L412" s="18">
        <f>IF($A412&gt;'1-Input'!$B$26,N411,(N411-J412)*(1+'5-Roberta'!$C$4))</f>
        <v>161038.71639625548</v>
      </c>
      <c r="M412" s="18">
        <f>IF($A412&gt;'1-Input'!$B$26,K412,K412-'P-Parametri'!$B$8*(L412+K412)+MIN(MAX(L412,0),'P-Parametri'!$B$8*(L412+K412)))</f>
        <v>43739.482935508291</v>
      </c>
      <c r="N412" s="18">
        <f>IF($A412&gt;'1-Input'!$B$26,L412,L412-MIN(MAX(L412,0),'P-Parametri'!$B$8*(L412+K412)))</f>
        <v>160629.15999759195</v>
      </c>
      <c r="O412" s="18">
        <f>IF($A412&gt;'1-Input'!$B$26,O411,O411-J412*(1-I412))</f>
        <v>85987.62915247526</v>
      </c>
      <c r="P412" s="11">
        <f>IF($A412&gt;'1-Input'!$B$26,0,IF(U411&lt;=0,0,MAX(0,(U411-V411)/U411)))</f>
        <v>0.4506779038017063</v>
      </c>
      <c r="Q412" s="18">
        <f>IF($A412&gt;'1-Input'!$B$26,0,(MAX(0,P396-IF($A412&gt;=('1-Input'!$C$12-1),'1-Input'!$B$12,0))-MIN(MAX(T411,0),MAX(0,P396-IF($A412&gt;=('1-Input'!$C$12-1),'1-Input'!$B$12,0))))*(1/(1-'P-Parametri'!$B$6*P412))+MIN(MAX(0,U411-(MAX(0,P396-IF($A412&gt;=('1-Input'!$C$12-1),'1-Input'!$B$12,0))-MIN(MAX(T411,0),MAX(0,P396-IF($A412&gt;=('1-Input'!$C$12-1),'1-Input'!$B$12,0))))*(1/(1-'P-Parametri'!$B$6*P412))),MAX(0,2*P396-(T411-MIN(MAX(T411,0),MAX(0,P396-IF($A412&gt;=('1-Input'!$C$12-1),'1-Input'!$B$12,0)))))*(1/(1-'P-Parametri'!$B$6*P412))))</f>
        <v>21032.858730951659</v>
      </c>
      <c r="R412" s="18">
        <f>IF($A412&gt;'1-Input'!$B$26,T411,(T411-MAX(0,P396-IF($A412&gt;=('1-Input'!$C$12-1),'1-Input'!$B$12,0))+Q412*(1-'P-Parametri'!$B$6*P412))*(1+'1-Input'!$B$27))</f>
        <v>36738.405892673509</v>
      </c>
      <c r="S412" s="18">
        <f>IF($A412&gt;'1-Input'!$B$26,U411,(U411-Q412)*(1+'5-Roberta'!$C$4))</f>
        <v>238786.45970039384</v>
      </c>
      <c r="T412" s="18">
        <f>IF($A412&gt;'1-Input'!$B$26,R412,R412-'P-Parametri'!$B$8*(S412+R412)+MIN(MAX(S412,0),'P-Parametri'!$B$8*(S412+R412)))</f>
        <v>36738.405892673509</v>
      </c>
      <c r="U412" s="18">
        <f>IF($A412&gt;'1-Input'!$B$26,S412,S412-MIN(MAX(S412,0),'P-Parametri'!$B$8*(S412+R412)))</f>
        <v>238235.40996920771</v>
      </c>
      <c r="V412" s="18">
        <f>IF($A412&gt;'1-Input'!$B$26,V411,V411-Q412*(1-P412))</f>
        <v>127350.17338484438</v>
      </c>
      <c r="W412" s="11">
        <f>IF($A412&gt;'1-Input'!$B$26,0,IF(AB411&lt;=0,0,MAX(0,(AB411-AC411)/AB411)))</f>
        <v>0.45071536252631306</v>
      </c>
      <c r="X412" s="18">
        <f>IF($A412&gt;'1-Input'!$B$26,0,(MAX(0,W396-IF($A412&gt;=('1-Input'!$C$12-1),'1-Input'!$B$12,0))-MIN(MAX(AA411,0),MAX(0,W396-IF($A412&gt;=('1-Input'!$C$12-1),'1-Input'!$B$12,0))))*(1/(1-'P-Parametri'!$B$6*W412))+MIN(MAX(0,AB411-(MAX(0,W396-IF($A412&gt;=('1-Input'!$C$12-1),'1-Input'!$B$12,0))-MIN(MAX(AA411,0),MAX(0,W396-IF($A412&gt;=('1-Input'!$C$12-1),'1-Input'!$B$12,0))))*(1/(1-'P-Parametri'!$B$6*W412))),MAX(0,2*W396-(AA411-MIN(MAX(AA411,0),MAX(0,W396-IF($A412&gt;=('1-Input'!$C$12-1),'1-Input'!$B$12,0)))))*(1/(1-'P-Parametri'!$B$6*W412))))</f>
        <v>20753.07946234283</v>
      </c>
      <c r="Y412" s="18">
        <f>IF($A412&gt;'1-Input'!$B$26,AA411,(AA411-MAX(0,W396-IF($A412&gt;=('1-Input'!$C$12-1),'1-Input'!$B$12,0))+X412*(1-'P-Parametri'!$B$6*W412))*(1+'1-Input'!$B$27))</f>
        <v>36249.311394946344</v>
      </c>
      <c r="Z412" s="18">
        <f>IF($A412&gt;'1-Input'!$B$26,AB411,(AB411-X412)*(1+'5-Roberta'!$C$4))</f>
        <v>244218.48080097052</v>
      </c>
      <c r="AA412" s="18">
        <f>IF($A412&gt;'1-Input'!$B$26,Y412,Y412-'P-Parametri'!$B$8*(Z412+Y412)+MIN(MAX(Z412,0),'P-Parametri'!$B$8*(Z412+Y412)))</f>
        <v>36249.311394946344</v>
      </c>
      <c r="AB412" s="18">
        <f>IF($A412&gt;'1-Input'!$B$26,Z412,Z412-MIN(MAX(Z412,0),'P-Parametri'!$B$8*(Z412+Y412)))</f>
        <v>243657.54521657867</v>
      </c>
      <c r="AC412" s="18">
        <f>IF($A412&gt;'1-Input'!$B$26,AC411,AC411-X412*(1-W412))</f>
        <v>130238.31037974337</v>
      </c>
      <c r="AD412" s="11">
        <f>IF($A412&gt;'1-Input'!$B$26,0,IF(AI411&lt;=0,0,MAX(0,(AI411-AJ411)/AI411)))</f>
        <v>0.45071763585579683</v>
      </c>
      <c r="AE412" s="18">
        <f>IF($A412&gt;'1-Input'!$B$26,0,(MAX(0,AD396-IF($A412&gt;=('1-Input'!$C$12-1),'1-Input'!$B$12,0))-MIN(MAX(AH411,0),MAX(0,AD396-IF($A412&gt;=('1-Input'!$C$12-1),'1-Input'!$B$12,0))))*(1/(1-'P-Parametri'!$B$6*AD412))+MIN(MAX(0,AI411-(MAX(0,AD396-IF($A412&gt;=('1-Input'!$C$12-1),'1-Input'!$B$12,0))-MIN(MAX(AH411,0),MAX(0,AD396-IF($A412&gt;=('1-Input'!$C$12-1),'1-Input'!$B$12,0))))*(1/(1-'P-Parametri'!$B$6*AD412))),MAX(0,2*AD396-(AH411-MIN(MAX(AH411,0),MAX(0,AD396-IF($A412&gt;=('1-Input'!$C$12-1),'1-Input'!$B$12,0)))))*(1/(1-'P-Parametri'!$B$6*AD412))))</f>
        <v>20735.897259312278</v>
      </c>
      <c r="AF412" s="18">
        <f>IF($A412&gt;'1-Input'!$B$26,AH411,(AH411-MAX(0,AD396-IF($A412&gt;=('1-Input'!$C$12-1),'1-Input'!$B$12,0))+AE412*(1-'P-Parametri'!$B$6*AD412))*(1+'1-Input'!$B$27))</f>
        <v>36219.275067787748</v>
      </c>
      <c r="AG412" s="18">
        <f>IF($A412&gt;'1-Input'!$B$26,AI411,(AI411-AE412)*(1+'5-Roberta'!$C$4))</f>
        <v>244552.07481447014</v>
      </c>
      <c r="AH412" s="18">
        <f>IF($A412&gt;'1-Input'!$B$26,AF412,AF412-'P-Parametri'!$B$8*(AG412+AF412)+MIN(MAX(AG412,0),'P-Parametri'!$B$8*(AG412+AF412)))</f>
        <v>36219.275067787748</v>
      </c>
      <c r="AI412" s="18">
        <f>IF($A412&gt;'1-Input'!$B$26,AG412,AG412-MIN(MAX(AG412,0),'P-Parametri'!$B$8*(AG412+AF412)))</f>
        <v>243990.53211470562</v>
      </c>
      <c r="AJ412" s="18">
        <f>IF($A412&gt;'1-Input'!$B$26,AJ411,AJ411-AE412*(1-AD412))</f>
        <v>130415.6716606429</v>
      </c>
      <c r="AK412" s="11">
        <f>IF($A412&gt;'1-Input'!$B$26,0,IF(AP411&lt;=0,0,MAX(0,(AP411-AQ411)/AP411)))</f>
        <v>0.45071764877844173</v>
      </c>
      <c r="AL412" s="18">
        <f>IF($A412&gt;'1-Input'!$B$26,0,(MAX(0,AK396-IF($A412&gt;=('1-Input'!$C$12-1),'1-Input'!$B$12,0))-MIN(MAX(AO411,0),MAX(0,AK396-IF($A412&gt;=('1-Input'!$C$12-1),'1-Input'!$B$12,0))))*(1/(1-'P-Parametri'!$B$6*AK412))+MIN(MAX(0,AP411-(MAX(0,AK396-IF($A412&gt;=('1-Input'!$C$12-1),'1-Input'!$B$12,0))-MIN(MAX(AO411,0),MAX(0,AK396-IF($A412&gt;=('1-Input'!$C$12-1),'1-Input'!$B$12,0))))*(1/(1-'P-Parametri'!$B$6*AK412))),MAX(0,2*AK396-(AO411-MIN(MAX(AO411,0),MAX(0,AK396-IF($A412&gt;=('1-Input'!$C$12-1),'1-Input'!$B$12,0)))))*(1/(1-'P-Parametri'!$B$6*AK412))))</f>
        <v>20735.799520912558</v>
      </c>
      <c r="AM412" s="18">
        <f>IF($A412&gt;'1-Input'!$B$26,AO411,(AO411-MAX(0,AK396-IF($A412&gt;=('1-Input'!$C$12-1),'1-Input'!$B$12,0))+AL412*(1-'P-Parametri'!$B$6*AK412))*(1+'1-Input'!$B$27))</f>
        <v>36219.1042108291</v>
      </c>
      <c r="AN412" s="18">
        <f>IF($A412&gt;'1-Input'!$B$26,AP411,(AP411-AL412)*(1+'5-Roberta'!$C$4))</f>
        <v>244553.97241263837</v>
      </c>
      <c r="AO412" s="18">
        <f>IF($A412&gt;'1-Input'!$B$26,AM412,AM412-'P-Parametri'!$B$8*(AN412+AM412)+MIN(MAX(AN412,0),'P-Parametri'!$B$8*(AN412+AM412)))</f>
        <v>36219.1042108291</v>
      </c>
      <c r="AP412" s="18">
        <f>IF($A412&gt;'1-Input'!$B$26,AN412,AN412-MIN(MAX(AN412,0),'P-Parametri'!$B$8*(AN412+AM412)))</f>
        <v>243992.42625939142</v>
      </c>
      <c r="AQ412" s="18">
        <f>IF($A412&gt;'1-Input'!$B$26,AQ411,AQ411-AL412*(1-AK412))</f>
        <v>130416.68055086028</v>
      </c>
    </row>
    <row r="413" spans="1:43">
      <c r="A413" s="10">
        <f>15</f>
        <v>15</v>
      </c>
      <c r="B413" s="11">
        <f>IF($A413&gt;'1-Input'!$B$26,0,IF(G412&lt;=0,0,MAX(0,(G412-H412)/G412)))</f>
        <v>0.46572468926119209</v>
      </c>
      <c r="C413" s="18">
        <f>IF($A413&gt;'1-Input'!$B$26,0,(MAX(0,B396-IF($A413&gt;=('1-Input'!$C$12-1),'1-Input'!$B$12,0))-MIN(MAX(F412,0),MAX(0,B396-IF($A413&gt;=('1-Input'!$C$12-1),'1-Input'!$B$12,0))))*(1/(1-'P-Parametri'!$B$6*B413))+MIN(MAX(0,G412-(MAX(0,B396-IF($A413&gt;=('1-Input'!$C$12-1),'1-Input'!$B$12,0))-MIN(MAX(F412,0),MAX(0,B396-IF($A413&gt;=('1-Input'!$C$12-1),'1-Input'!$B$12,0))))*(1/(1-'P-Parametri'!$B$6*B413))),MAX(0,2*B396-(F412-MIN(MAX(F412,0),MAX(0,B396-IF($A413&gt;=('1-Input'!$C$12-1),'1-Input'!$B$12,0)))))*(1/(1-'P-Parametri'!$B$6*B413))))</f>
        <v>19115.869309344653</v>
      </c>
      <c r="D413" s="18">
        <f>IF($A413&gt;'1-Input'!$B$26,F412,(F412-MAX(0,B396-IF($A413&gt;=('1-Input'!$C$12-1),'1-Input'!$B$12,0))+C413*(1-'P-Parametri'!$B$6*B413))*(1+'1-Input'!$B$27))</f>
        <v>33242.0070309863</v>
      </c>
      <c r="E413" s="18">
        <f>IF($A413&gt;'1-Input'!$B$26,G412,(G412-C413)*(1+'5-Roberta'!$C$4))</f>
        <v>265618.68124040432</v>
      </c>
      <c r="F413" s="18">
        <f>IF($A413&gt;'1-Input'!$B$26,D413,D413-'P-Parametri'!$B$8*(E413+D413)+MIN(MAX(E413,0),'P-Parametri'!$B$8*(E413+D413)))</f>
        <v>33242.0070309863</v>
      </c>
      <c r="G413" s="18">
        <f>IF($A413&gt;'1-Input'!$B$26,E413,E413-MIN(MAX(E413,0),'P-Parametri'!$B$8*(E413+D413)))</f>
        <v>265020.95986386156</v>
      </c>
      <c r="H413" s="18">
        <f>IF($A413&gt;'1-Input'!$B$26,H412,H412-C413*(1-B413))</f>
        <v>137780.10044441686</v>
      </c>
      <c r="I413" s="11">
        <f>IF($A413&gt;'1-Input'!$B$26,0,IF(N412&lt;=0,0,MAX(0,(N412-O412)/N412)))</f>
        <v>0.46468232073326954</v>
      </c>
      <c r="J413" s="18">
        <f>IF($A413&gt;'1-Input'!$B$26,0,(MAX(0,I396-IF($A413&gt;=('1-Input'!$C$12-1),'1-Input'!$B$12,0))-MIN(MAX(M412,0),MAX(0,I396-IF($A413&gt;=('1-Input'!$C$12-1),'1-Input'!$B$12,0))))*(1/(1-'P-Parametri'!$B$6*I413))+MIN(MAX(0,N412-(MAX(0,I396-IF($A413&gt;=('1-Input'!$C$12-1),'1-Input'!$B$12,0))-MIN(MAX(M412,0),MAX(0,I396-IF($A413&gt;=('1-Input'!$C$12-1),'1-Input'!$B$12,0))))*(1/(1-'P-Parametri'!$B$6*I413))),MAX(0,2*I396-(M412-MIN(MAX(M412,0),MAX(0,I396-IF($A413&gt;=('1-Input'!$C$12-1),'1-Input'!$B$12,0)))))*(1/(1-'P-Parametri'!$B$6*I413))))</f>
        <v>25144.706149251226</v>
      </c>
      <c r="K413" s="18">
        <f>IF($A413&gt;'1-Input'!$B$26,M412,(M412-MAX(0,I396-IF($A413&gt;=('1-Input'!$C$12-1),'1-Input'!$B$12,0))+J413*(1-'P-Parametri'!$B$6*I413))*(1+'1-Input'!$B$27))</f>
        <v>43739.482935508291</v>
      </c>
      <c r="L413" s="18">
        <f>IF($A413&gt;'1-Input'!$B$26,N412,(N412-J413)*(1+'5-Roberta'!$C$4))</f>
        <v>139548.98746379095</v>
      </c>
      <c r="M413" s="18">
        <f>IF($A413&gt;'1-Input'!$B$26,K413,K413-'P-Parametri'!$B$8*(L413+K413)+MIN(MAX(L413,0),'P-Parametri'!$B$8*(L413+K413)))</f>
        <v>43739.482935508291</v>
      </c>
      <c r="N413" s="18">
        <f>IF($A413&gt;'1-Input'!$B$26,L413,L413-MIN(MAX(L413,0),'P-Parametri'!$B$8*(L413+K413)))</f>
        <v>139182.41052299234</v>
      </c>
      <c r="O413" s="18">
        <f>IF($A413&gt;'1-Input'!$B$26,O412,O412-J413*(1-I413))</f>
        <v>72527.223410814215</v>
      </c>
      <c r="P413" s="11">
        <f>IF($A413&gt;'1-Input'!$B$26,0,IF(U412&lt;=0,0,MAX(0,(U412-V412)/U412)))</f>
        <v>0.46544397660572545</v>
      </c>
      <c r="Q413" s="18">
        <f>IF($A413&gt;'1-Input'!$B$26,0,(MAX(0,P396-IF($A413&gt;=('1-Input'!$C$12-1),'1-Input'!$B$12,0))-MIN(MAX(T412,0),MAX(0,P396-IF($A413&gt;=('1-Input'!$C$12-1),'1-Input'!$B$12,0))))*(1/(1-'P-Parametri'!$B$6*P413))+MIN(MAX(0,U412-(MAX(0,P396-IF($A413&gt;=('1-Input'!$C$12-1),'1-Input'!$B$12,0))-MIN(MAX(T412,0),MAX(0,P396-IF($A413&gt;=('1-Input'!$C$12-1),'1-Input'!$B$12,0))))*(1/(1-'P-Parametri'!$B$6*P413))),MAX(0,2*P396-(T412-MIN(MAX(T412,0),MAX(0,P396-IF($A413&gt;=('1-Input'!$C$12-1),'1-Input'!$B$12,0)))))*(1/(1-'P-Parametri'!$B$6*P413))))</f>
        <v>21124.72485826871</v>
      </c>
      <c r="R413" s="18">
        <f>IF($A413&gt;'1-Input'!$B$26,T412,(T412-MAX(0,P396-IF($A413&gt;=('1-Input'!$C$12-1),'1-Input'!$B$12,0))+Q413*(1-'P-Parametri'!$B$6*P413))*(1+'1-Input'!$B$27))</f>
        <v>36738.405892673516</v>
      </c>
      <c r="S413" s="18">
        <f>IF($A413&gt;'1-Input'!$B$26,U412,(U412-Q413)*(1+'5-Roberta'!$C$4))</f>
        <v>223624.00566426717</v>
      </c>
      <c r="T413" s="18">
        <f>IF($A413&gt;'1-Input'!$B$26,R413,R413-'P-Parametri'!$B$8*(S413+R413)+MIN(MAX(S413,0),'P-Parametri'!$B$8*(S413+R413)))</f>
        <v>36738.405892673516</v>
      </c>
      <c r="U413" s="18">
        <f>IF($A413&gt;'1-Input'!$B$26,S413,S413-MIN(MAX(S413,0),'P-Parametri'!$B$8*(S413+R413)))</f>
        <v>223103.28084115329</v>
      </c>
      <c r="V413" s="18">
        <f>IF($A413&gt;'1-Input'!$B$26,V412,V412-Q413*(1-P413))</f>
        <v>116057.82446931009</v>
      </c>
      <c r="W413" s="11">
        <f>IF($A413&gt;'1-Input'!$B$26,0,IF(AB412&lt;=0,0,MAX(0,(AB412-AC412)/AB412)))</f>
        <v>0.46548624109309195</v>
      </c>
      <c r="X413" s="18">
        <f>IF($A413&gt;'1-Input'!$B$26,0,(MAX(0,W396-IF($A413&gt;=('1-Input'!$C$12-1),'1-Input'!$B$12,0))-MIN(MAX(AA412,0),MAX(0,W396-IF($A413&gt;=('1-Input'!$C$12-1),'1-Input'!$B$12,0))))*(1/(1-'P-Parametri'!$B$6*W413))+MIN(MAX(0,AB412-(MAX(0,W396-IF($A413&gt;=('1-Input'!$C$12-1),'1-Input'!$B$12,0))-MIN(MAX(AA412,0),MAX(0,W396-IF($A413&gt;=('1-Input'!$C$12-1),'1-Input'!$B$12,0))))*(1/(1-'P-Parametri'!$B$6*W413))),MAX(0,2*W396-(AA412-MIN(MAX(AA412,0),MAX(0,W396-IF($A413&gt;=('1-Input'!$C$12-1),'1-Input'!$B$12,0)))))*(1/(1-'P-Parametri'!$B$6*W413))))</f>
        <v>20843.754220241568</v>
      </c>
      <c r="Y413" s="18">
        <f>IF($A413&gt;'1-Input'!$B$26,AA412,(AA412-MAX(0,W396-IF($A413&gt;=('1-Input'!$C$12-1),'1-Input'!$B$12,0))+X413*(1-'P-Parametri'!$B$6*W413))*(1+'1-Input'!$B$27))</f>
        <v>36249.311394946351</v>
      </c>
      <c r="Z413" s="18">
        <f>IF($A413&gt;'1-Input'!$B$26,AB412,(AB412-X413)*(1+'5-Roberta'!$C$4))</f>
        <v>229498.20472622724</v>
      </c>
      <c r="AA413" s="18">
        <f>IF($A413&gt;'1-Input'!$B$26,Y413,Y413-'P-Parametri'!$B$8*(Z413+Y413)+MIN(MAX(Z413,0),'P-Parametri'!$B$8*(Z413+Y413)))</f>
        <v>36249.311394946351</v>
      </c>
      <c r="AB413" s="18">
        <f>IF($A413&gt;'1-Input'!$B$26,Z413,Z413-MIN(MAX(Z413,0),'P-Parametri'!$B$8*(Z413+Y413)))</f>
        <v>228966.70969398489</v>
      </c>
      <c r="AC413" s="18">
        <f>IF($A413&gt;'1-Input'!$B$26,AC412,AC412-X413*(1-W413))</f>
        <v>119097.03696175033</v>
      </c>
      <c r="AD413" s="11">
        <f>IF($A413&gt;'1-Input'!$B$26,0,IF(AI412&lt;=0,0,MAX(0,(AI412-AJ412)/AI412)))</f>
        <v>0.46548880183870639</v>
      </c>
      <c r="AE413" s="18">
        <f>IF($A413&gt;'1-Input'!$B$26,0,(MAX(0,AD396-IF($A413&gt;=('1-Input'!$C$12-1),'1-Input'!$B$12,0))-MIN(MAX(AH412,0),MAX(0,AD396-IF($A413&gt;=('1-Input'!$C$12-1),'1-Input'!$B$12,0))))*(1/(1-'P-Parametri'!$B$6*AD413))+MIN(MAX(0,AI412-(MAX(0,AD396-IF($A413&gt;=('1-Input'!$C$12-1),'1-Input'!$B$12,0))-MIN(MAX(AH412,0),MAX(0,AD396-IF($A413&gt;=('1-Input'!$C$12-1),'1-Input'!$B$12,0))))*(1/(1-'P-Parametri'!$B$6*AD413))),MAX(0,2*AD396-(AH412-MIN(MAX(AH412,0),MAX(0,AD396-IF($A413&gt;=('1-Input'!$C$12-1),'1-Input'!$B$12,0)))))*(1/(1-'P-Parametri'!$B$6*AD413))))</f>
        <v>20826.498775938991</v>
      </c>
      <c r="AF413" s="18">
        <f>IF($A413&gt;'1-Input'!$B$26,AH412,(AH412-MAX(0,AD396-IF($A413&gt;=('1-Input'!$C$12-1),'1-Input'!$B$12,0))+AE413*(1-'P-Parametri'!$B$6*AD413))*(1+'1-Input'!$B$27))</f>
        <v>36219.275067787748</v>
      </c>
      <c r="AG413" s="18">
        <f>IF($A413&gt;'1-Input'!$B$26,AI412,(AI412-AE413)*(1+'5-Roberta'!$C$4))</f>
        <v>229858.95433892965</v>
      </c>
      <c r="AH413" s="18">
        <f>IF($A413&gt;'1-Input'!$B$26,AF413,AF413-'P-Parametri'!$B$8*(AG413+AF413)+MIN(MAX(AG413,0),'P-Parametri'!$B$8*(AG413+AF413)))</f>
        <v>36219.275067787748</v>
      </c>
      <c r="AI413" s="18">
        <f>IF($A413&gt;'1-Input'!$B$26,AG413,AG413-MIN(MAX(AG413,0),'P-Parametri'!$B$8*(AG413+AF413)))</f>
        <v>229326.79788011621</v>
      </c>
      <c r="AJ413" s="18">
        <f>IF($A413&gt;'1-Input'!$B$26,AJ412,AJ412-AE413*(1-AD413))</f>
        <v>119283.67484641103</v>
      </c>
      <c r="AK413" s="11">
        <f>IF($A413&gt;'1-Input'!$B$26,0,IF(AP412&lt;=0,0,MAX(0,(AP412-AQ412)/AP412)))</f>
        <v>0.46548881639378153</v>
      </c>
      <c r="AL413" s="18">
        <f>IF($A413&gt;'1-Input'!$B$26,0,(MAX(0,AK396-IF($A413&gt;=('1-Input'!$C$12-1),'1-Input'!$B$12,0))-MIN(MAX(AO412,0),MAX(0,AK396-IF($A413&gt;=('1-Input'!$C$12-1),'1-Input'!$B$12,0))))*(1/(1-'P-Parametri'!$B$6*AK413))+MIN(MAX(0,AP412-(MAX(0,AK396-IF($A413&gt;=('1-Input'!$C$12-1),'1-Input'!$B$12,0))-MIN(MAX(AO412,0),MAX(0,AK396-IF($A413&gt;=('1-Input'!$C$12-1),'1-Input'!$B$12,0))))*(1/(1-'P-Parametri'!$B$6*AK413))),MAX(0,2*AK396-(AO412-MIN(MAX(AO412,0),MAX(0,AK396-IF($A413&gt;=('1-Input'!$C$12-1),'1-Input'!$B$12,0)))))*(1/(1-'P-Parametri'!$B$6*AK413))))</f>
        <v>20826.400620892942</v>
      </c>
      <c r="AM413" s="18">
        <f>IF($A413&gt;'1-Input'!$B$26,AO412,(AO412-MAX(0,AK396-IF($A413&gt;=('1-Input'!$C$12-1),'1-Input'!$B$12,0))+AL413*(1-'P-Parametri'!$B$6*AK413))*(1+'1-Input'!$B$27))</f>
        <v>36219.1042108291</v>
      </c>
      <c r="AN413" s="18">
        <f>IF($A413&gt;'1-Input'!$B$26,AP412,(AP412-AL413)*(1+'5-Roberta'!$C$4))</f>
        <v>229861.00640765345</v>
      </c>
      <c r="AO413" s="18">
        <f>IF($A413&gt;'1-Input'!$B$26,AM413,AM413-'P-Parametri'!$B$8*(AN413+AM413)+MIN(MAX(AN413,0),'P-Parametri'!$B$8*(AN413+AM413)))</f>
        <v>36219.1042108291</v>
      </c>
      <c r="AP413" s="18">
        <f>IF($A413&gt;'1-Input'!$B$26,AN413,AN413-MIN(MAX(AN413,0),'P-Parametri'!$B$8*(AN413+AM413)))</f>
        <v>229328.84618641649</v>
      </c>
      <c r="AQ413" s="18">
        <f>IF($A413&gt;'1-Input'!$B$26,AQ412,AQ412-AL413*(1-AK413))</f>
        <v>119284.73650472952</v>
      </c>
    </row>
    <row r="414" spans="1:43">
      <c r="A414" s="10">
        <f>16</f>
        <v>16</v>
      </c>
      <c r="B414" s="11">
        <f>IF($A414&gt;'1-Input'!$B$26,0,IF(G413&lt;=0,0,MAX(0,(G413-H413)/G413)))</f>
        <v>0.48011621226036977</v>
      </c>
      <c r="C414" s="18">
        <f>IF($A414&gt;'1-Input'!$B$26,0,(MAX(0,B396-IF($A414&gt;=('1-Input'!$C$12-1),'1-Input'!$B$12,0))-MIN(MAX(F413,0),MAX(0,B396-IF($A414&gt;=('1-Input'!$C$12-1),'1-Input'!$B$12,0))))*(1/(1-'P-Parametri'!$B$6*B414))+MIN(MAX(0,G413-(MAX(0,B396-IF($A414&gt;=('1-Input'!$C$12-1),'1-Input'!$B$12,0))-MIN(MAX(F413,0),MAX(0,B396-IF($A414&gt;=('1-Input'!$C$12-1),'1-Input'!$B$12,0))))*(1/(1-'P-Parametri'!$B$6*B414))),MAX(0,2*B396-(F413-MIN(MAX(F413,0),MAX(0,B396-IF($A414&gt;=('1-Input'!$C$12-1),'1-Input'!$B$12,0)))))*(1/(1-'P-Parametri'!$B$6*B414))))</f>
        <v>19197.599373811132</v>
      </c>
      <c r="D414" s="18">
        <f>IF($A414&gt;'1-Input'!$B$26,F413,(F413-MAX(0,B396-IF($A414&gt;=('1-Input'!$C$12-1),'1-Input'!$B$12,0))+C414*(1-'P-Parametri'!$B$6*B414))*(1+'1-Input'!$B$27))</f>
        <v>33242.0070309863</v>
      </c>
      <c r="E414" s="18">
        <f>IF($A414&gt;'1-Input'!$B$26,G413,(G413-C414)*(1+'5-Roberta'!$C$4))</f>
        <v>253198.06130475196</v>
      </c>
      <c r="F414" s="18">
        <f>IF($A414&gt;'1-Input'!$B$26,D414,D414-'P-Parametri'!$B$8*(E414+D414)+MIN(MAX(E414,0),'P-Parametri'!$B$8*(E414+D414)))</f>
        <v>33242.0070309863</v>
      </c>
      <c r="G414" s="18">
        <f>IF($A414&gt;'1-Input'!$B$26,E414,E414-MIN(MAX(E414,0),'P-Parametri'!$B$8*(E414+D414)))</f>
        <v>252625.18116808048</v>
      </c>
      <c r="H414" s="18">
        <f>IF($A414&gt;'1-Input'!$B$26,H413,H413-C414*(1-B414))</f>
        <v>127799.57976645198</v>
      </c>
      <c r="I414" s="11">
        <f>IF($A414&gt;'1-Input'!$B$26,0,IF(N413&lt;=0,0,MAX(0,(N413-O413)/N413)))</f>
        <v>0.47890525003636847</v>
      </c>
      <c r="J414" s="18">
        <f>IF($A414&gt;'1-Input'!$B$26,0,(MAX(0,I396-IF($A414&gt;=('1-Input'!$C$12-1),'1-Input'!$B$12,0))-MIN(MAX(M413,0),MAX(0,I396-IF($A414&gt;=('1-Input'!$C$12-1),'1-Input'!$B$12,0))))*(1/(1-'P-Parametri'!$B$6*I414))+MIN(MAX(0,N413-(MAX(0,I396-IF($A414&gt;=('1-Input'!$C$12-1),'1-Input'!$B$12,0))-MIN(MAX(M413,0),MAX(0,I396-IF($A414&gt;=('1-Input'!$C$12-1),'1-Input'!$B$12,0))))*(1/(1-'P-Parametri'!$B$6*I414))),MAX(0,2*I396-(M413-MIN(MAX(M413,0),MAX(0,I396-IF($A414&gt;=('1-Input'!$C$12-1),'1-Input'!$B$12,0)))))*(1/(1-'P-Parametri'!$B$6*I414))))</f>
        <v>25250.914932980577</v>
      </c>
      <c r="K414" s="18">
        <f>IF($A414&gt;'1-Input'!$B$26,M413,(M413-MAX(0,I396-IF($A414&gt;=('1-Input'!$C$12-1),'1-Input'!$B$12,0))+J414*(1-'P-Parametri'!$B$6*I414))*(1+'1-Input'!$B$27))</f>
        <v>43739.482935508291</v>
      </c>
      <c r="L414" s="18">
        <f>IF($A414&gt;'1-Input'!$B$26,N413,(N413-J414)*(1+'5-Roberta'!$C$4))</f>
        <v>117349.44045771212</v>
      </c>
      <c r="M414" s="18">
        <f>IF($A414&gt;'1-Input'!$B$26,K414,K414-'P-Parametri'!$B$8*(L414+K414)+MIN(MAX(L414,0),'P-Parametri'!$B$8*(L414+K414)))</f>
        <v>43739.482935508291</v>
      </c>
      <c r="N414" s="18">
        <f>IF($A414&gt;'1-Input'!$B$26,L414,L414-MIN(MAX(L414,0),'P-Parametri'!$B$8*(L414+K414)))</f>
        <v>117027.26261092568</v>
      </c>
      <c r="O414" s="18">
        <f>IF($A414&gt;'1-Input'!$B$26,O413,O413-J414*(1-I414))</f>
        <v>59369.104207459772</v>
      </c>
      <c r="P414" s="11">
        <f>IF($A414&gt;'1-Input'!$B$26,0,IF(U413&lt;=0,0,MAX(0,(U413-V413)/U413)))</f>
        <v>0.47980225108414348</v>
      </c>
      <c r="Q414" s="18">
        <f>IF($A414&gt;'1-Input'!$B$26,0,(MAX(0,P396-IF($A414&gt;=('1-Input'!$C$12-1),'1-Input'!$B$12,0))-MIN(MAX(T413,0),MAX(0,P396-IF($A414&gt;=('1-Input'!$C$12-1),'1-Input'!$B$12,0))))*(1/(1-'P-Parametri'!$B$6*P414))+MIN(MAX(0,U413-(MAX(0,P396-IF($A414&gt;=('1-Input'!$C$12-1),'1-Input'!$B$12,0))-MIN(MAX(T413,0),MAX(0,P396-IF($A414&gt;=('1-Input'!$C$12-1),'1-Input'!$B$12,0))))*(1/(1-'P-Parametri'!$B$6*P414))),MAX(0,2*P396-(T413-MIN(MAX(T413,0),MAX(0,P396-IF($A414&gt;=('1-Input'!$C$12-1),'1-Input'!$B$12,0)))))*(1/(1-'P-Parametri'!$B$6*P414))))</f>
        <v>21214.826735398918</v>
      </c>
      <c r="R414" s="18">
        <f>IF($A414&gt;'1-Input'!$B$26,T413,(T413-MAX(0,P396-IF($A414&gt;=('1-Input'!$C$12-1),'1-Input'!$B$12,0))+Q414*(1-'P-Parametri'!$B$6*P414))*(1+'1-Input'!$B$27))</f>
        <v>36738.405892673516</v>
      </c>
      <c r="S414" s="18">
        <f>IF($A414&gt;'1-Input'!$B$26,U413,(U413-Q414)*(1+'5-Roberta'!$C$4))</f>
        <v>207945.10772892702</v>
      </c>
      <c r="T414" s="18">
        <f>IF($A414&gt;'1-Input'!$B$26,R414,R414-'P-Parametri'!$B$8*(S414+R414)+MIN(MAX(S414,0),'P-Parametri'!$B$8*(S414+R414)))</f>
        <v>36738.405892673516</v>
      </c>
      <c r="U414" s="18">
        <f>IF($A414&gt;'1-Input'!$B$26,S414,S414-MIN(MAX(S414,0),'P-Parametri'!$B$8*(S414+R414)))</f>
        <v>207455.74070168383</v>
      </c>
      <c r="V414" s="18">
        <f>IF($A414&gt;'1-Input'!$B$26,V413,V413-Q414*(1-P414))</f>
        <v>105021.91935791564</v>
      </c>
      <c r="W414" s="11">
        <f>IF($A414&gt;'1-Input'!$B$26,0,IF(AB413&lt;=0,0,MAX(0,(AB413-AC413)/AB413)))</f>
        <v>0.47984998727140687</v>
      </c>
      <c r="X414" s="18">
        <f>IF($A414&gt;'1-Input'!$B$26,0,(MAX(0,W396-IF($A414&gt;=('1-Input'!$C$12-1),'1-Input'!$B$12,0))-MIN(MAX(AA413,0),MAX(0,W396-IF($A414&gt;=('1-Input'!$C$12-1),'1-Input'!$B$12,0))))*(1/(1-'P-Parametri'!$B$6*W414))+MIN(MAX(0,AB413-(MAX(0,W396-IF($A414&gt;=('1-Input'!$C$12-1),'1-Input'!$B$12,0))-MIN(MAX(AA413,0),MAX(0,W396-IF($A414&gt;=('1-Input'!$C$12-1),'1-Input'!$B$12,0))))*(1/(1-'P-Parametri'!$B$6*W414))),MAX(0,2*W396-(AA413-MIN(MAX(AA413,0),MAX(0,W396-IF($A414&gt;=('1-Input'!$C$12-1),'1-Input'!$B$12,0)))))*(1/(1-'P-Parametri'!$B$6*W414))))</f>
        <v>20932.692832908015</v>
      </c>
      <c r="Y414" s="18">
        <f>IF($A414&gt;'1-Input'!$B$26,AA413,(AA413-MAX(0,W396-IF($A414&gt;=('1-Input'!$C$12-1),'1-Input'!$B$12,0))+X414*(1-'P-Parametri'!$B$6*W414))*(1+'1-Input'!$B$27))</f>
        <v>36249.311394946351</v>
      </c>
      <c r="Z414" s="18">
        <f>IF($A414&gt;'1-Input'!$B$26,AB413,(AB413-X414)*(1+'5-Roberta'!$C$4))</f>
        <v>214275.03736690918</v>
      </c>
      <c r="AA414" s="18">
        <f>IF($A414&gt;'1-Input'!$B$26,Y414,Y414-'P-Parametri'!$B$8*(Z414+Y414)+MIN(MAX(Z414,0),'P-Parametri'!$B$8*(Z414+Y414)))</f>
        <v>36249.311394946351</v>
      </c>
      <c r="AB414" s="18">
        <f>IF($A414&gt;'1-Input'!$B$26,Z414,Z414-MIN(MAX(Z414,0),'P-Parametri'!$B$8*(Z414+Y414)))</f>
        <v>213773.98866938546</v>
      </c>
      <c r="AC414" s="18">
        <f>IF($A414&gt;'1-Input'!$B$26,AC413,AC413-X414*(1-W414))</f>
        <v>108208.8965182695</v>
      </c>
      <c r="AD414" s="11">
        <f>IF($A414&gt;'1-Input'!$B$26,0,IF(AI413&lt;=0,0,MAX(0,(AI413-AJ413)/AI413)))</f>
        <v>0.47985287393770598</v>
      </c>
      <c r="AE414" s="18">
        <f>IF($A414&gt;'1-Input'!$B$26,0,(MAX(0,AD396-IF($A414&gt;=('1-Input'!$C$12-1),'1-Input'!$B$12,0))-MIN(MAX(AH413,0),MAX(0,AD396-IF($A414&gt;=('1-Input'!$C$12-1),'1-Input'!$B$12,0))))*(1/(1-'P-Parametri'!$B$6*AD414))+MIN(MAX(0,AI413-(MAX(0,AD396-IF($A414&gt;=('1-Input'!$C$12-1),'1-Input'!$B$12,0))-MIN(MAX(AH413,0),MAX(0,AD396-IF($A414&gt;=('1-Input'!$C$12-1),'1-Input'!$B$12,0))))*(1/(1-'P-Parametri'!$B$6*AD414))),MAX(0,2*AD396-(AH413-MIN(MAX(AH413,0),MAX(0,AD396-IF($A414&gt;=('1-Input'!$C$12-1),'1-Input'!$B$12,0)))))*(1/(1-'P-Parametri'!$B$6*AD414))))</f>
        <v>20915.365853617543</v>
      </c>
      <c r="AF414" s="18">
        <f>IF($A414&gt;'1-Input'!$B$26,AH413,(AH413-MAX(0,AD396-IF($A414&gt;=('1-Input'!$C$12-1),'1-Input'!$B$12,0))+AE414*(1-'P-Parametri'!$B$6*AD414))*(1+'1-Input'!$B$27))</f>
        <v>36219.275067787748</v>
      </c>
      <c r="AG414" s="18">
        <f>IF($A414&gt;'1-Input'!$B$26,AI413,(AI413-AE414)*(1+'5-Roberta'!$C$4))</f>
        <v>214663.77498729361</v>
      </c>
      <c r="AH414" s="18">
        <f>IF($A414&gt;'1-Input'!$B$26,AF414,AF414-'P-Parametri'!$B$8*(AG414+AF414)+MIN(MAX(AG414,0),'P-Parametri'!$B$8*(AG414+AF414)))</f>
        <v>36219.275067787748</v>
      </c>
      <c r="AI414" s="18">
        <f>IF($A414&gt;'1-Input'!$B$26,AG414,AG414-MIN(MAX(AG414,0),'P-Parametri'!$B$8*(AG414+AF414)))</f>
        <v>214162.00888718345</v>
      </c>
      <c r="AJ414" s="18">
        <f>IF($A414&gt;'1-Input'!$B$26,AJ413,AJ413-AE414*(1-AD414))</f>
        <v>108404.60740711042</v>
      </c>
      <c r="AK414" s="11">
        <f>IF($A414&gt;'1-Input'!$B$26,0,IF(AP413&lt;=0,0,MAX(0,(AP413-AQ413)/AP413)))</f>
        <v>0.47985289034347856</v>
      </c>
      <c r="AL414" s="18">
        <f>IF($A414&gt;'1-Input'!$B$26,0,(MAX(0,AK396-IF($A414&gt;=('1-Input'!$C$12-1),'1-Input'!$B$12,0))-MIN(MAX(AO413,0),MAX(0,AK396-IF($A414&gt;=('1-Input'!$C$12-1),'1-Input'!$B$12,0))))*(1/(1-'P-Parametri'!$B$6*AK414))+MIN(MAX(0,AP413-(MAX(0,AK396-IF($A414&gt;=('1-Input'!$C$12-1),'1-Input'!$B$12,0))-MIN(MAX(AO413,0),MAX(0,AK396-IF($A414&gt;=('1-Input'!$C$12-1),'1-Input'!$B$12,0))))*(1/(1-'P-Parametri'!$B$6*AK414))),MAX(0,2*AK396-(AO413-MIN(MAX(AO413,0),MAX(0,AK396-IF($A414&gt;=('1-Input'!$C$12-1),'1-Input'!$B$12,0)))))*(1/(1-'P-Parametri'!$B$6*AK414))))</f>
        <v>20915.267291624859</v>
      </c>
      <c r="AM414" s="18">
        <f>IF($A414&gt;'1-Input'!$B$26,AO413,(AO413-MAX(0,AK396-IF($A414&gt;=('1-Input'!$C$12-1),'1-Input'!$B$12,0))+AL414*(1-'P-Parametri'!$B$6*AK414))*(1+'1-Input'!$B$27))</f>
        <v>36219.1042108291</v>
      </c>
      <c r="AN414" s="18">
        <f>IF($A414&gt;'1-Input'!$B$26,AP413,(AP413-AL414)*(1+'5-Roberta'!$C$4))</f>
        <v>214665.98626163538</v>
      </c>
      <c r="AO414" s="18">
        <f>IF($A414&gt;'1-Input'!$B$26,AM414,AM414-'P-Parametri'!$B$8*(AN414+AM414)+MIN(MAX(AN414,0),'P-Parametri'!$B$8*(AN414+AM414)))</f>
        <v>36219.1042108291</v>
      </c>
      <c r="AP414" s="18">
        <f>IF($A414&gt;'1-Input'!$B$26,AN414,AN414-MIN(MAX(AN414,0),'P-Parametri'!$B$8*(AN414+AM414)))</f>
        <v>214164.21608069044</v>
      </c>
      <c r="AQ414" s="18">
        <f>IF($A414&gt;'1-Input'!$B$26,AQ413,AQ413-AL414*(1-AK414))</f>
        <v>108405.72067529727</v>
      </c>
    </row>
    <row r="415" spans="1:43">
      <c r="A415" s="10">
        <f>17</f>
        <v>17</v>
      </c>
      <c r="B415" s="11">
        <f>IF($A415&gt;'1-Input'!$B$26,0,IF(G414&lt;=0,0,MAX(0,(G414-H414)/G414)))</f>
        <v>0.49411385208894759</v>
      </c>
      <c r="C415" s="18">
        <f>IF($A415&gt;'1-Input'!$B$26,0,(MAX(0,B396-IF($A415&gt;=('1-Input'!$C$12-1),'1-Input'!$B$12,0))-MIN(MAX(F414,0),MAX(0,B396-IF($A415&gt;=('1-Input'!$C$12-1),'1-Input'!$B$12,0))))*(1/(1-'P-Parametri'!$B$6*B415))+MIN(MAX(0,G414-(MAX(0,B396-IF($A415&gt;=('1-Input'!$C$12-1),'1-Input'!$B$12,0))-MIN(MAX(F414,0),MAX(0,B396-IF($A415&gt;=('1-Input'!$C$12-1),'1-Input'!$B$12,0))))*(1/(1-'P-Parametri'!$B$6*B415))),MAX(0,2*B396-(F414-MIN(MAX(F414,0),MAX(0,B396-IF($A415&gt;=('1-Input'!$C$12-1),'1-Input'!$B$12,0)))))*(1/(1-'P-Parametri'!$B$6*B415))))</f>
        <v>19277.765804427632</v>
      </c>
      <c r="D415" s="18">
        <f>IF($A415&gt;'1-Input'!$B$26,F414,(F414-MAX(0,B396-IF($A415&gt;=('1-Input'!$C$12-1),'1-Input'!$B$12,0))+C415*(1-'P-Parametri'!$B$6*B415))*(1+'1-Input'!$B$27))</f>
        <v>33242.0070309863</v>
      </c>
      <c r="E415" s="18">
        <f>IF($A415&gt;'1-Input'!$B$26,G414,(G414-C415)*(1+'5-Roberta'!$C$4))</f>
        <v>240347.83782456245</v>
      </c>
      <c r="F415" s="18">
        <f>IF($A415&gt;'1-Input'!$B$26,D415,D415-'P-Parametri'!$B$8*(E415+D415)+MIN(MAX(E415,0),'P-Parametri'!$B$8*(E415+D415)))</f>
        <v>33242.0070309863</v>
      </c>
      <c r="G415" s="18">
        <f>IF($A415&gt;'1-Input'!$B$26,E415,E415-MIN(MAX(E415,0),'P-Parametri'!$B$8*(E415+D415)))</f>
        <v>239800.65813485134</v>
      </c>
      <c r="H415" s="18">
        <f>IF($A415&gt;'1-Input'!$B$26,H414,H414-C415*(1-B415))</f>
        <v>118047.22508331867</v>
      </c>
      <c r="I415" s="11">
        <f>IF($A415&gt;'1-Input'!$B$26,0,IF(N414&lt;=0,0,MAX(0,(N414-O414)/N414)))</f>
        <v>0.49268996913273894</v>
      </c>
      <c r="J415" s="18">
        <f>IF($A415&gt;'1-Input'!$B$26,0,(MAX(0,I396-IF($A415&gt;=('1-Input'!$C$12-1),'1-Input'!$B$12,0))-MIN(MAX(M414,0),MAX(0,I396-IF($A415&gt;=('1-Input'!$C$12-1),'1-Input'!$B$12,0))))*(1/(1-'P-Parametri'!$B$6*I415))+MIN(MAX(0,N414-(MAX(0,I396-IF($A415&gt;=('1-Input'!$C$12-1),'1-Input'!$B$12,0))-MIN(MAX(M414,0),MAX(0,I396-IF($A415&gt;=('1-Input'!$C$12-1),'1-Input'!$B$12,0))))*(1/(1-'P-Parametri'!$B$6*I415))),MAX(0,2*I396-(M414-MIN(MAX(M414,0),MAX(0,I396-IF($A415&gt;=('1-Input'!$C$12-1),'1-Input'!$B$12,0)))))*(1/(1-'P-Parametri'!$B$6*I415))))</f>
        <v>25354.711121650627</v>
      </c>
      <c r="K415" s="18">
        <f>IF($A415&gt;'1-Input'!$B$26,M414,(M414-MAX(0,I396-IF($A415&gt;=('1-Input'!$C$12-1),'1-Input'!$B$12,0))+J415*(1-'P-Parametri'!$B$6*I415))*(1+'1-Input'!$B$27))</f>
        <v>43739.482935508291</v>
      </c>
      <c r="L415" s="18">
        <f>IF($A415&gt;'1-Input'!$B$26,N414,(N414-J415)*(1+'5-Roberta'!$C$4))</f>
        <v>94422.728033953303</v>
      </c>
      <c r="M415" s="18">
        <f>IF($A415&gt;'1-Input'!$B$26,K415,K415-'P-Parametri'!$B$8*(L415+K415)+MIN(MAX(L415,0),'P-Parametri'!$B$8*(L415+K415)))</f>
        <v>43739.482935508291</v>
      </c>
      <c r="N415" s="18">
        <f>IF($A415&gt;'1-Input'!$B$26,L415,L415-MIN(MAX(L415,0),'P-Parametri'!$B$8*(L415+K415)))</f>
        <v>94146.403612014386</v>
      </c>
      <c r="O415" s="18">
        <f>IF($A415&gt;'1-Input'!$B$26,O414,O414-J415*(1-I415))</f>
        <v>46506.404925704701</v>
      </c>
      <c r="P415" s="11">
        <f>IF($A415&gt;'1-Input'!$B$26,0,IF(U414&lt;=0,0,MAX(0,(U414-V414)/U414)))</f>
        <v>0.49376228875278733</v>
      </c>
      <c r="Q415" s="18">
        <f>IF($A415&gt;'1-Input'!$B$26,0,(MAX(0,P396-IF($A415&gt;=('1-Input'!$C$12-1),'1-Input'!$B$12,0))-MIN(MAX(T414,0),MAX(0,P396-IF($A415&gt;=('1-Input'!$C$12-1),'1-Input'!$B$12,0))))*(1/(1-'P-Parametri'!$B$6*P415))+MIN(MAX(0,U414-(MAX(0,P396-IF($A415&gt;=('1-Input'!$C$12-1),'1-Input'!$B$12,0))-MIN(MAX(T414,0),MAX(0,P396-IF($A415&gt;=('1-Input'!$C$12-1),'1-Input'!$B$12,0))))*(1/(1-'P-Parametri'!$B$6*P415))),MAX(0,2*P396-(T414-MIN(MAX(T414,0),MAX(0,P396-IF($A415&gt;=('1-Input'!$C$12-1),'1-Input'!$B$12,0)))))*(1/(1-'P-Parametri'!$B$6*P415))))</f>
        <v>21303.169572233146</v>
      </c>
      <c r="R415" s="18">
        <f>IF($A415&gt;'1-Input'!$B$26,T414,(T414-MAX(0,P396-IF($A415&gt;=('1-Input'!$C$12-1),'1-Input'!$B$12,0))+Q415*(1-'P-Parametri'!$B$6*P415))*(1+'1-Input'!$B$27))</f>
        <v>36738.405892673516</v>
      </c>
      <c r="S415" s="18">
        <f>IF($A415&gt;'1-Input'!$B$26,U414,(U414-Q415)*(1+'5-Roberta'!$C$4))</f>
        <v>191737.14826333421</v>
      </c>
      <c r="T415" s="18">
        <f>IF($A415&gt;'1-Input'!$B$26,R415,R415-'P-Parametri'!$B$8*(S415+R415)+MIN(MAX(S415,0),'P-Parametri'!$B$8*(S415+R415)))</f>
        <v>36738.405892673516</v>
      </c>
      <c r="U415" s="18">
        <f>IF($A415&gt;'1-Input'!$B$26,S415,S415-MIN(MAX(S415,0),'P-Parametri'!$B$8*(S415+R415)))</f>
        <v>191280.19715502221</v>
      </c>
      <c r="V415" s="18">
        <f>IF($A415&gt;'1-Input'!$B$26,V414,V414-Q415*(1-P415))</f>
        <v>94237.451551357066</v>
      </c>
      <c r="W415" s="11">
        <f>IF($A415&gt;'1-Input'!$B$26,0,IF(AB414&lt;=0,0,MAX(0,(AB414-AC414)/AB414)))</f>
        <v>0.49381635627512582</v>
      </c>
      <c r="X415" s="18">
        <f>IF($A415&gt;'1-Input'!$B$26,0,(MAX(0,W396-IF($A415&gt;=('1-Input'!$C$12-1),'1-Input'!$B$12,0))-MIN(MAX(AA414,0),MAX(0,W396-IF($A415&gt;=('1-Input'!$C$12-1),'1-Input'!$B$12,0))))*(1/(1-'P-Parametri'!$B$6*W415))+MIN(MAX(0,AB414-(MAX(0,W396-IF($A415&gt;=('1-Input'!$C$12-1),'1-Input'!$B$12,0))-MIN(MAX(AA414,0),MAX(0,W396-IF($A415&gt;=('1-Input'!$C$12-1),'1-Input'!$B$12,0))))*(1/(1-'P-Parametri'!$B$6*W415))),MAX(0,2*W396-(AA414-MIN(MAX(AA414,0),MAX(0,W396-IF($A415&gt;=('1-Input'!$C$12-1),'1-Input'!$B$12,0)))))*(1/(1-'P-Parametri'!$B$6*W415))))</f>
        <v>21019.901747054799</v>
      </c>
      <c r="Y415" s="18">
        <f>IF($A415&gt;'1-Input'!$B$26,AA414,(AA414-MAX(0,W396-IF($A415&gt;=('1-Input'!$C$12-1),'1-Input'!$B$12,0))+X415*(1-'P-Parametri'!$B$6*W415))*(1+'1-Input'!$B$27))</f>
        <v>36249.311394946344</v>
      </c>
      <c r="Z415" s="18">
        <f>IF($A415&gt;'1-Input'!$B$26,AB414,(AB414-X415)*(1+'5-Roberta'!$C$4))</f>
        <v>198536.7095300006</v>
      </c>
      <c r="AA415" s="18">
        <f>IF($A415&gt;'1-Input'!$B$26,Y415,Y415-'P-Parametri'!$B$8*(Z415+Y415)+MIN(MAX(Z415,0),'P-Parametri'!$B$8*(Z415+Y415)))</f>
        <v>36249.311394946344</v>
      </c>
      <c r="AB415" s="18">
        <f>IF($A415&gt;'1-Input'!$B$26,Z415,Z415-MIN(MAX(Z415,0),'P-Parametri'!$B$8*(Z415+Y415)))</f>
        <v>198067.13748815071</v>
      </c>
      <c r="AC415" s="18">
        <f>IF($A415&gt;'1-Input'!$B$26,AC414,AC414-X415*(1-W415))</f>
        <v>97568.966061206447</v>
      </c>
      <c r="AD415" s="11">
        <f>IF($A415&gt;'1-Input'!$B$26,0,IF(AI414&lt;=0,0,MAX(0,(AI414-AJ414)/AI414)))</f>
        <v>0.49381961828619214</v>
      </c>
      <c r="AE415" s="18">
        <f>IF($A415&gt;'1-Input'!$B$26,0,(MAX(0,AD396-IF($A415&gt;=('1-Input'!$C$12-1),'1-Input'!$B$12,0))-MIN(MAX(AH414,0),MAX(0,AD396-IF($A415&gt;=('1-Input'!$C$12-1),'1-Input'!$B$12,0))))*(1/(1-'P-Parametri'!$B$6*AD415))+MIN(MAX(0,AI414-(MAX(0,AD396-IF($A415&gt;=('1-Input'!$C$12-1),'1-Input'!$B$12,0))-MIN(MAX(AH414,0),MAX(0,AD396-IF($A415&gt;=('1-Input'!$C$12-1),'1-Input'!$B$12,0))))*(1/(1-'P-Parametri'!$B$6*AD415))),MAX(0,2*AD396-(AH414-MIN(MAX(AH414,0),MAX(0,AD396-IF($A415&gt;=('1-Input'!$C$12-1),'1-Input'!$B$12,0)))))*(1/(1-'P-Parametri'!$B$6*AD415))))</f>
        <v>21002.505007406016</v>
      </c>
      <c r="AF415" s="18">
        <f>IF($A415&gt;'1-Input'!$B$26,AH414,(AH414-MAX(0,AD396-IF($A415&gt;=('1-Input'!$C$12-1),'1-Input'!$B$12,0))+AE415*(1-'P-Parametri'!$B$6*AD415))*(1+'1-Input'!$B$27))</f>
        <v>36219.275067787748</v>
      </c>
      <c r="AG415" s="18">
        <f>IF($A415&gt;'1-Input'!$B$26,AI414,(AI414-AE415)*(1+'5-Roberta'!$C$4))</f>
        <v>198954.28899617074</v>
      </c>
      <c r="AH415" s="18">
        <f>IF($A415&gt;'1-Input'!$B$26,AF415,AF415-'P-Parametri'!$B$8*(AG415+AF415)+MIN(MAX(AG415,0),'P-Parametri'!$B$8*(AG415+AF415)))</f>
        <v>36219.275067787748</v>
      </c>
      <c r="AI415" s="18">
        <f>IF($A415&gt;'1-Input'!$B$26,AG415,AG415-MIN(MAX(AG415,0),'P-Parametri'!$B$8*(AG415+AF415)))</f>
        <v>198483.94186804284</v>
      </c>
      <c r="AJ415" s="18">
        <f>IF($A415&gt;'1-Input'!$B$26,AJ414,AJ414-AE415*(1-AD415))</f>
        <v>97773.551405515493</v>
      </c>
      <c r="AK415" s="11">
        <f>IF($A415&gt;'1-Input'!$B$26,0,IF(AP414&lt;=0,0,MAX(0,(AP414-AQ414)/AP414)))</f>
        <v>0.49381963682273911</v>
      </c>
      <c r="AL415" s="18">
        <f>IF($A415&gt;'1-Input'!$B$26,0,(MAX(0,AK396-IF($A415&gt;=('1-Input'!$C$12-1),'1-Input'!$B$12,0))-MIN(MAX(AO414,0),MAX(0,AK396-IF($A415&gt;=('1-Input'!$C$12-1),'1-Input'!$B$12,0))))*(1/(1-'P-Parametri'!$B$6*AK415))+MIN(MAX(0,AP414-(MAX(0,AK396-IF($A415&gt;=('1-Input'!$C$12-1),'1-Input'!$B$12,0))-MIN(MAX(AO414,0),MAX(0,AK396-IF($A415&gt;=('1-Input'!$C$12-1),'1-Input'!$B$12,0))))*(1/(1-'P-Parametri'!$B$6*AK415))),MAX(0,2*AK396-(AO414-MIN(MAX(AO414,0),MAX(0,AK396-IF($A415&gt;=('1-Input'!$C$12-1),'1-Input'!$B$12,0)))))*(1/(1-'P-Parametri'!$B$6*AK415))))</f>
        <v>21002.406048552788</v>
      </c>
      <c r="AM415" s="18">
        <f>IF($A415&gt;'1-Input'!$B$26,AO414,(AO414-MAX(0,AK396-IF($A415&gt;=('1-Input'!$C$12-1),'1-Input'!$B$12,0))+AL415*(1-'P-Parametri'!$B$6*AK415))*(1+'1-Input'!$B$27))</f>
        <v>36219.1042108291</v>
      </c>
      <c r="AN415" s="18">
        <f>IF($A415&gt;'1-Input'!$B$26,AP414,(AP414-AL415)*(1+'5-Roberta'!$C$4))</f>
        <v>198956.6643331018</v>
      </c>
      <c r="AO415" s="18">
        <f>IF($A415&gt;'1-Input'!$B$26,AM415,AM415-'P-Parametri'!$B$8*(AN415+AM415)+MIN(MAX(AN415,0),'P-Parametri'!$B$8*(AN415+AM415)))</f>
        <v>36219.1042108291</v>
      </c>
      <c r="AP415" s="18">
        <f>IF($A415&gt;'1-Input'!$B$26,AN415,AN415-MIN(MAX(AN415,0),'P-Parametri'!$B$8*(AN415+AM415)))</f>
        <v>198486.31279601392</v>
      </c>
      <c r="AQ415" s="18">
        <f>IF($A415&gt;'1-Input'!$B$26,AQ414,AQ414-AL415*(1-AK415))</f>
        <v>97774.715154044519</v>
      </c>
    </row>
    <row r="416" spans="1:43">
      <c r="A416" s="10">
        <f>18</f>
        <v>18</v>
      </c>
      <c r="B416" s="11">
        <f>IF($A416&gt;'1-Input'!$B$26,0,IF(G415&lt;=0,0,MAX(0,(G415-H415)/G415)))</f>
        <v>0.50772768514698952</v>
      </c>
      <c r="C416" s="18">
        <f>IF($A416&gt;'1-Input'!$B$26,0,(MAX(0,B396-IF($A416&gt;=('1-Input'!$C$12-1),'1-Input'!$B$12,0))-MIN(MAX(F415,0),MAX(0,B396-IF($A416&gt;=('1-Input'!$C$12-1),'1-Input'!$B$12,0))))*(1/(1-'P-Parametri'!$B$6*B416))+MIN(MAX(0,G415-(MAX(0,B396-IF($A416&gt;=('1-Input'!$C$12-1),'1-Input'!$B$12,0))-MIN(MAX(F415,0),MAX(0,B396-IF($A416&gt;=('1-Input'!$C$12-1),'1-Input'!$B$12,0))))*(1/(1-'P-Parametri'!$B$6*B416))),MAX(0,2*B396-(F415-MIN(MAX(F415,0),MAX(0,B396-IF($A416&gt;=('1-Input'!$C$12-1),'1-Input'!$B$12,0)))))*(1/(1-'P-Parametri'!$B$6*B416))))</f>
        <v>19356.37898103728</v>
      </c>
      <c r="D416" s="18">
        <f>IF($A416&gt;'1-Input'!$B$26,F415,(F415-MAX(0,B396-IF($A416&gt;=('1-Input'!$C$12-1),'1-Input'!$B$12,0))+C416*(1-'P-Parametri'!$B$6*B416))*(1+'1-Input'!$B$27))</f>
        <v>33242.0070309863</v>
      </c>
      <c r="E416" s="18">
        <f>IF($A416&gt;'1-Input'!$B$26,G415,(G415-C416)*(1+'5-Roberta'!$C$4))</f>
        <v>227057.60752842849</v>
      </c>
      <c r="F416" s="18">
        <f>IF($A416&gt;'1-Input'!$B$26,D416,D416-'P-Parametri'!$B$8*(E416+D416)+MIN(MAX(E416,0),'P-Parametri'!$B$8*(E416+D416)))</f>
        <v>33242.0070309863</v>
      </c>
      <c r="G416" s="18">
        <f>IF($A416&gt;'1-Input'!$B$26,E416,E416-MIN(MAX(E416,0),'P-Parametri'!$B$8*(E416+D416)))</f>
        <v>226537.00829930967</v>
      </c>
      <c r="H416" s="18">
        <f>IF($A416&gt;'1-Input'!$B$26,H415,H415-C416*(1-B416))</f>
        <v>108518.61559515129</v>
      </c>
      <c r="I416" s="11">
        <f>IF($A416&gt;'1-Input'!$B$26,0,IF(N415&lt;=0,0,MAX(0,(N415-O415)/N415)))</f>
        <v>0.50602037739687133</v>
      </c>
      <c r="J416" s="18">
        <f>IF($A416&gt;'1-Input'!$B$26,0,(MAX(0,I396-IF($A416&gt;=('1-Input'!$C$12-1),'1-Input'!$B$12,0))-MIN(MAX(M415,0),MAX(0,I396-IF($A416&gt;=('1-Input'!$C$12-1),'1-Input'!$B$12,0))))*(1/(1-'P-Parametri'!$B$6*I416))+MIN(MAX(0,N415-(MAX(0,I396-IF($A416&gt;=('1-Input'!$C$12-1),'1-Input'!$B$12,0))-MIN(MAX(M415,0),MAX(0,I396-IF($A416&gt;=('1-Input'!$C$12-1),'1-Input'!$B$12,0))))*(1/(1-'P-Parametri'!$B$6*I416))),MAX(0,2*I396-(M415-MIN(MAX(M415,0),MAX(0,I396-IF($A416&gt;=('1-Input'!$C$12-1),'1-Input'!$B$12,0)))))*(1/(1-'P-Parametri'!$B$6*I416))))</f>
        <v>25455.901284807944</v>
      </c>
      <c r="K416" s="18">
        <f>IF($A416&gt;'1-Input'!$B$26,M415,(M415-MAX(0,I396-IF($A416&gt;=('1-Input'!$C$12-1),'1-Input'!$B$12,0))+J416*(1-'P-Parametri'!$B$6*I416))*(1+'1-Input'!$B$27))</f>
        <v>43739.482935508291</v>
      </c>
      <c r="L416" s="18">
        <f>IF($A416&gt;'1-Input'!$B$26,N415,(N415-J416)*(1+'5-Roberta'!$C$4))</f>
        <v>70751.217397022643</v>
      </c>
      <c r="M416" s="18">
        <f>IF($A416&gt;'1-Input'!$B$26,K416,K416-'P-Parametri'!$B$8*(L416+K416)+MIN(MAX(L416,0),'P-Parametri'!$B$8*(L416+K416)))</f>
        <v>43739.482935508291</v>
      </c>
      <c r="N416" s="18">
        <f>IF($A416&gt;'1-Input'!$B$26,L416,L416-MIN(MAX(L416,0),'P-Parametri'!$B$8*(L416+K416)))</f>
        <v>70522.235996357587</v>
      </c>
      <c r="O416" s="18">
        <f>IF($A416&gt;'1-Input'!$B$26,O415,O415-J416*(1-I416))</f>
        <v>33931.708416012771</v>
      </c>
      <c r="P416" s="11">
        <f>IF($A416&gt;'1-Input'!$B$26,0,IF(U415&lt;=0,0,MAX(0,(U415-V415)/U415)))</f>
        <v>0.50733294427241349</v>
      </c>
      <c r="Q416" s="18">
        <f>IF($A416&gt;'1-Input'!$B$26,0,(MAX(0,P396-IF($A416&gt;=('1-Input'!$C$12-1),'1-Input'!$B$12,0))-MIN(MAX(T415,0),MAX(0,P396-IF($A416&gt;=('1-Input'!$C$12-1),'1-Input'!$B$12,0))))*(1/(1-'P-Parametri'!$B$6*P416))+MIN(MAX(0,U415-(MAX(0,P396-IF($A416&gt;=('1-Input'!$C$12-1),'1-Input'!$B$12,0))-MIN(MAX(T415,0),MAX(0,P396-IF($A416&gt;=('1-Input'!$C$12-1),'1-Input'!$B$12,0))))*(1/(1-'P-Parametri'!$B$6*P416))),MAX(0,2*P396-(T415-MIN(MAX(T415,0),MAX(0,P396-IF($A416&gt;=('1-Input'!$C$12-1),'1-Input'!$B$12,0)))))*(1/(1-'P-Parametri'!$B$6*P416))))</f>
        <v>21389.756419577385</v>
      </c>
      <c r="R416" s="18">
        <f>IF($A416&gt;'1-Input'!$B$26,T415,(T415-MAX(0,P396-IF($A416&gt;=('1-Input'!$C$12-1),'1-Input'!$B$12,0))+Q416*(1-'P-Parametri'!$B$6*P416))*(1+'1-Input'!$B$27))</f>
        <v>36738.405892673516</v>
      </c>
      <c r="S416" s="18">
        <f>IF($A416&gt;'1-Input'!$B$26,U415,(U415-Q416)*(1+'5-Roberta'!$C$4))</f>
        <v>174987.15395750818</v>
      </c>
      <c r="T416" s="18">
        <f>IF($A416&gt;'1-Input'!$B$26,R416,R416-'P-Parametri'!$B$8*(S416+R416)+MIN(MAX(S416,0),'P-Parametri'!$B$8*(S416+R416)))</f>
        <v>36738.405892673516</v>
      </c>
      <c r="U416" s="18">
        <f>IF($A416&gt;'1-Input'!$B$26,S416,S416-MIN(MAX(S416,0),'P-Parametri'!$B$8*(S416+R416)))</f>
        <v>174563.70283780782</v>
      </c>
      <c r="V416" s="18">
        <f>IF($A416&gt;'1-Input'!$B$26,V415,V415-Q416*(1-P416))</f>
        <v>83699.423233393638</v>
      </c>
      <c r="W416" s="11">
        <f>IF($A416&gt;'1-Input'!$B$26,0,IF(AB415&lt;=0,0,MAX(0,(AB415-AC415)/AB415)))</f>
        <v>0.50739447594105069</v>
      </c>
      <c r="X416" s="18">
        <f>IF($A416&gt;'1-Input'!$B$26,0,(MAX(0,W396-IF($A416&gt;=('1-Input'!$C$12-1),'1-Input'!$B$12,0))-MIN(MAX(AA415,0),MAX(0,W396-IF($A416&gt;=('1-Input'!$C$12-1),'1-Input'!$B$12,0))))*(1/(1-'P-Parametri'!$B$6*W416))+MIN(MAX(0,AB415-(MAX(0,W396-IF($A416&gt;=('1-Input'!$C$12-1),'1-Input'!$B$12,0))-MIN(MAX(AA415,0),MAX(0,W396-IF($A416&gt;=('1-Input'!$C$12-1),'1-Input'!$B$12,0))))*(1/(1-'P-Parametri'!$B$6*W416))),MAX(0,2*W396-(AA415-MIN(MAX(AA415,0),MAX(0,W396-IF($A416&gt;=('1-Input'!$C$12-1),'1-Input'!$B$12,0)))))*(1/(1-'P-Parametri'!$B$6*W416))))</f>
        <v>21105.385817525363</v>
      </c>
      <c r="Y416" s="18">
        <f>IF($A416&gt;'1-Input'!$B$26,AA415,(AA415-MAX(0,W396-IF($A416&gt;=('1-Input'!$C$12-1),'1-Input'!$B$12,0))+X416*(1-'P-Parametri'!$B$6*W416))*(1+'1-Input'!$B$27))</f>
        <v>36249.311394946351</v>
      </c>
      <c r="Z416" s="18">
        <f>IF($A416&gt;'1-Input'!$B$26,AB415,(AB415-X416)*(1+'5-Roberta'!$C$4))</f>
        <v>182270.60422074411</v>
      </c>
      <c r="AA416" s="18">
        <f>IF($A416&gt;'1-Input'!$B$26,Y416,Y416-'P-Parametri'!$B$8*(Z416+Y416)+MIN(MAX(Z416,0),'P-Parametri'!$B$8*(Z416+Y416)))</f>
        <v>36249.311394946344</v>
      </c>
      <c r="AB416" s="18">
        <f>IF($A416&gt;'1-Input'!$B$26,Z416,Z416-MIN(MAX(Z416,0),'P-Parametri'!$B$8*(Z416+Y416)))</f>
        <v>181833.56438951273</v>
      </c>
      <c r="AC416" s="18">
        <f>IF($A416&gt;'1-Input'!$B$26,AC415,AC415-X416*(1-W416))</f>
        <v>87172.336420098058</v>
      </c>
      <c r="AD416" s="11">
        <f>IF($A416&gt;'1-Input'!$B$26,0,IF(AI415&lt;=0,0,MAX(0,(AI415-AJ415)/AI415)))</f>
        <v>0.50739817798198594</v>
      </c>
      <c r="AE416" s="18">
        <f>IF($A416&gt;'1-Input'!$B$26,0,(MAX(0,AD396-IF($A416&gt;=('1-Input'!$C$12-1),'1-Input'!$B$12,0))-MIN(MAX(AH415,0),MAX(0,AD396-IF($A416&gt;=('1-Input'!$C$12-1),'1-Input'!$B$12,0))))*(1/(1-'P-Parametri'!$B$6*AD416))+MIN(MAX(0,AI415-(MAX(0,AD396-IF($A416&gt;=('1-Input'!$C$12-1),'1-Input'!$B$12,0))-MIN(MAX(AH415,0),MAX(0,AD396-IF($A416&gt;=('1-Input'!$C$12-1),'1-Input'!$B$12,0))))*(1/(1-'P-Parametri'!$B$6*AD416))),MAX(0,2*AD396-(AH415-MIN(MAX(AH415,0),MAX(0,AD396-IF($A416&gt;=('1-Input'!$C$12-1),'1-Input'!$B$12,0)))))*(1/(1-'P-Parametri'!$B$6*AD416))))</f>
        <v>21087.921191262449</v>
      </c>
      <c r="AF416" s="18">
        <f>IF($A416&gt;'1-Input'!$B$26,AH415,(AH415-MAX(0,AD396-IF($A416&gt;=('1-Input'!$C$12-1),'1-Input'!$B$12,0))+AE416*(1-'P-Parametri'!$B$6*AD416))*(1+'1-Input'!$B$27))</f>
        <v>36219.275067787748</v>
      </c>
      <c r="AG416" s="18">
        <f>IF($A416&gt;'1-Input'!$B$26,AI415,(AI415-AE416)*(1+'5-Roberta'!$C$4))</f>
        <v>182717.90129708379</v>
      </c>
      <c r="AH416" s="18">
        <f>IF($A416&gt;'1-Input'!$B$26,AF416,AF416-'P-Parametri'!$B$8*(AG416+AF416)+MIN(MAX(AG416,0),'P-Parametri'!$B$8*(AG416+AF416)))</f>
        <v>36219.275067787748</v>
      </c>
      <c r="AI416" s="18">
        <f>IF($A416&gt;'1-Input'!$B$26,AG416,AG416-MIN(MAX(AG416,0),'P-Parametri'!$B$8*(AG416+AF416)))</f>
        <v>182280.02694435406</v>
      </c>
      <c r="AJ416" s="18">
        <f>IF($A416&gt;'1-Input'!$B$26,AJ415,AJ415-AE416*(1-AD416))</f>
        <v>87385.603004127319</v>
      </c>
      <c r="AK416" s="11">
        <f>IF($A416&gt;'1-Input'!$B$26,0,IF(AP415&lt;=0,0,MAX(0,(AP415-AQ415)/AP415)))</f>
        <v>0.50739819901572547</v>
      </c>
      <c r="AL416" s="18">
        <f>IF($A416&gt;'1-Input'!$B$26,0,(MAX(0,AK396-IF($A416&gt;=('1-Input'!$C$12-1),'1-Input'!$B$12,0))-MIN(MAX(AO415,0),MAX(0,AK396-IF($A416&gt;=('1-Input'!$C$12-1),'1-Input'!$B$12,0))))*(1/(1-'P-Parametri'!$B$6*AK416))+MIN(MAX(0,AP415-(MAX(0,AK396-IF($A416&gt;=('1-Input'!$C$12-1),'1-Input'!$B$12,0))-MIN(MAX(AO415,0),MAX(0,AK396-IF($A416&gt;=('1-Input'!$C$12-1),'1-Input'!$B$12,0))))*(1/(1-'P-Parametri'!$B$6*AK416))),MAX(0,2*AK396-(AO415-MIN(MAX(AO415,0),MAX(0,AK396-IF($A416&gt;=('1-Input'!$C$12-1),'1-Input'!$B$12,0)))))*(1/(1-'P-Parametri'!$B$6*AK416))))</f>
        <v>21087.821846194965</v>
      </c>
      <c r="AM416" s="18">
        <f>IF($A416&gt;'1-Input'!$B$26,AO415,(AO415-MAX(0,AK396-IF($A416&gt;=('1-Input'!$C$12-1),'1-Input'!$B$12,0))+AL416*(1-'P-Parametri'!$B$6*AK416))*(1+'1-Input'!$B$27))</f>
        <v>36219.1042108291</v>
      </c>
      <c r="AN416" s="18">
        <f>IF($A416&gt;'1-Input'!$B$26,AP415,(AP415-AL416)*(1+'5-Roberta'!$C$4))</f>
        <v>182720.44567831352</v>
      </c>
      <c r="AO416" s="18">
        <f>IF($A416&gt;'1-Input'!$B$26,AM416,AM416-'P-Parametri'!$B$8*(AN416+AM416)+MIN(MAX(AN416,0),'P-Parametri'!$B$8*(AN416+AM416)))</f>
        <v>36219.1042108291</v>
      </c>
      <c r="AP416" s="18">
        <f>IF($A416&gt;'1-Input'!$B$26,AN416,AN416-MIN(MAX(AN416,0),'P-Parametri'!$B$8*(AN416+AM416)))</f>
        <v>182282.56657853525</v>
      </c>
      <c r="AQ416" s="18">
        <f>IF($A416&gt;'1-Input'!$B$26,AQ415,AQ415-AL416*(1-AK416))</f>
        <v>87386.816133773347</v>
      </c>
    </row>
    <row r="417" spans="1:43">
      <c r="A417" s="10">
        <f>19</f>
        <v>19</v>
      </c>
      <c r="B417" s="11">
        <f>IF($A417&gt;'1-Input'!$B$26,0,IF(G416&lt;=0,0,MAX(0,(G416-H416)/G416)))</f>
        <v>0.52096738449122537</v>
      </c>
      <c r="C417" s="18">
        <f>IF($A417&gt;'1-Input'!$B$26,0,(MAX(0,B396-IF($A417&gt;=('1-Input'!$C$12-1),'1-Input'!$B$12,0))-MIN(MAX(F416,0),MAX(0,B396-IF($A417&gt;=('1-Input'!$C$12-1),'1-Input'!$B$12,0))))*(1/(1-'P-Parametri'!$B$6*B417))+MIN(MAX(0,G416-(MAX(0,B396-IF($A417&gt;=('1-Input'!$C$12-1),'1-Input'!$B$12,0))-MIN(MAX(F416,0),MAX(0,B396-IF($A417&gt;=('1-Input'!$C$12-1),'1-Input'!$B$12,0))))*(1/(1-'P-Parametri'!$B$6*B417))),MAX(0,2*B396-(F416-MIN(MAX(F416,0),MAX(0,B396-IF($A417&gt;=('1-Input'!$C$12-1),'1-Input'!$B$12,0)))))*(1/(1-'P-Parametri'!$B$6*B417))))</f>
        <v>19433.449136668161</v>
      </c>
      <c r="D417" s="18">
        <f>IF($A417&gt;'1-Input'!$B$26,F416,(F416-MAX(0,B396-IF($A417&gt;=('1-Input'!$C$12-1),'1-Input'!$B$12,0))+C417*(1-'P-Parametri'!$B$6*B417))*(1+'1-Input'!$B$27))</f>
        <v>33242.0070309863</v>
      </c>
      <c r="E417" s="18">
        <f>IF($A417&gt;'1-Input'!$B$26,G416,(G416-C417)*(1+'5-Roberta'!$C$4))</f>
        <v>213316.66593752077</v>
      </c>
      <c r="F417" s="18">
        <f>IF($A417&gt;'1-Input'!$B$26,D417,D417-'P-Parametri'!$B$8*(E417+D417)+MIN(MAX(E417,0),'P-Parametri'!$B$8*(E417+D417)))</f>
        <v>33242.0070309863</v>
      </c>
      <c r="G417" s="18">
        <f>IF($A417&gt;'1-Input'!$B$26,E417,E417-MIN(MAX(E417,0),'P-Parametri'!$B$8*(E417+D417)))</f>
        <v>212823.54859158376</v>
      </c>
      <c r="H417" s="18">
        <f>IF($A417&gt;'1-Input'!$B$26,H416,H416-C417*(1-B417))</f>
        <v>99209.3596268564</v>
      </c>
      <c r="I417" s="11">
        <f>IF($A417&gt;'1-Input'!$B$26,0,IF(N416&lt;=0,0,MAX(0,(N416-O416)/N416)))</f>
        <v>0.51885092784401621</v>
      </c>
      <c r="J417" s="18">
        <f>IF($A417&gt;'1-Input'!$B$26,0,(MAX(0,I396-IF($A417&gt;=('1-Input'!$C$12-1),'1-Input'!$B$12,0))-MIN(MAX(M416,0),MAX(0,I396-IF($A417&gt;=('1-Input'!$C$12-1),'1-Input'!$B$12,0))))*(1/(1-'P-Parametri'!$B$6*I417))+MIN(MAX(0,N416-(MAX(0,I396-IF($A417&gt;=('1-Input'!$C$12-1),'1-Input'!$B$12,0))-MIN(MAX(M416,0),MAX(0,I396-IF($A417&gt;=('1-Input'!$C$12-1),'1-Input'!$B$12,0))))*(1/(1-'P-Parametri'!$B$6*I417))),MAX(0,2*I396-(M416-MIN(MAX(M416,0),MAX(0,I396-IF($A417&gt;=('1-Input'!$C$12-1),'1-Input'!$B$12,0)))))*(1/(1-'P-Parametri'!$B$6*I417))))</f>
        <v>25554.062838964903</v>
      </c>
      <c r="K417" s="18">
        <f>IF($A417&gt;'1-Input'!$B$26,M416,(M416-MAX(0,I396-IF($A417&gt;=('1-Input'!$C$12-1),'1-Input'!$B$12,0))+J417*(1-'P-Parametri'!$B$6*I417))*(1+'1-Input'!$B$27))</f>
        <v>43739.482935508291</v>
      </c>
      <c r="L417" s="18">
        <f>IF($A417&gt;'1-Input'!$B$26,N416,(N416-J417)*(1+'5-Roberta'!$C$4))</f>
        <v>46317.218352114462</v>
      </c>
      <c r="M417" s="18">
        <f>IF($A417&gt;'1-Input'!$B$26,K417,K417-'P-Parametri'!$B$8*(L417+K417)+MIN(MAX(L417,0),'P-Parametri'!$B$8*(L417+K417)))</f>
        <v>43739.482935508291</v>
      </c>
      <c r="N417" s="18">
        <f>IF($A417&gt;'1-Input'!$B$26,L417,L417-MIN(MAX(L417,0),'P-Parametri'!$B$8*(L417+K417)))</f>
        <v>46137.104949539214</v>
      </c>
      <c r="O417" s="18">
        <f>IF($A417&gt;'1-Input'!$B$26,O416,O416-J417*(1-I417))</f>
        <v>21636.394791229104</v>
      </c>
      <c r="P417" s="11">
        <f>IF($A417&gt;'1-Input'!$B$26,0,IF(U416&lt;=0,0,MAX(0,(U416-V416)/U416)))</f>
        <v>0.52052218260309713</v>
      </c>
      <c r="Q417" s="18">
        <f>IF($A417&gt;'1-Input'!$B$26,0,(MAX(0,P396-IF($A417&gt;=('1-Input'!$C$12-1),'1-Input'!$B$12,0))-MIN(MAX(T416,0),MAX(0,P396-IF($A417&gt;=('1-Input'!$C$12-1),'1-Input'!$B$12,0))))*(1/(1-'P-Parametri'!$B$6*P417))+MIN(MAX(0,U416-(MAX(0,P396-IF($A417&gt;=('1-Input'!$C$12-1),'1-Input'!$B$12,0))-MIN(MAX(T416,0),MAX(0,P396-IF($A417&gt;=('1-Input'!$C$12-1),'1-Input'!$B$12,0))))*(1/(1-'P-Parametri'!$B$6*P417))),MAX(0,2*P396-(T416-MIN(MAX(T416,0),MAX(0,P396-IF($A417&gt;=('1-Input'!$C$12-1),'1-Input'!$B$12,0)))))*(1/(1-'P-Parametri'!$B$6*P417))))</f>
        <v>21474.586798823853</v>
      </c>
      <c r="R417" s="18">
        <f>IF($A417&gt;'1-Input'!$B$26,T416,(T416-MAX(0,P396-IF($A417&gt;=('1-Input'!$C$12-1),'1-Input'!$B$12,0))+Q417*(1-'P-Parametri'!$B$6*P417))*(1+'1-Input'!$B$27))</f>
        <v>36738.405892673516</v>
      </c>
      <c r="S417" s="18">
        <f>IF($A417&gt;'1-Input'!$B$26,U416,(U416-Q417)*(1+'5-Roberta'!$C$4))</f>
        <v>157681.78952015351</v>
      </c>
      <c r="T417" s="18">
        <f>IF($A417&gt;'1-Input'!$B$26,R417,R417-'P-Parametri'!$B$8*(S417+R417)+MIN(MAX(S417,0),'P-Parametri'!$B$8*(S417+R417)))</f>
        <v>36738.405892673516</v>
      </c>
      <c r="U417" s="18">
        <f>IF($A417&gt;'1-Input'!$B$26,S417,S417-MIN(MAX(S417,0),'P-Parametri'!$B$8*(S417+R417)))</f>
        <v>157292.94912932787</v>
      </c>
      <c r="V417" s="18">
        <f>IF($A417&gt;'1-Input'!$B$26,V416,V416-Q417*(1-P417))</f>
        <v>73402.83522559324</v>
      </c>
      <c r="W417" s="11">
        <f>IF($A417&gt;'1-Input'!$B$26,0,IF(AB416&lt;=0,0,MAX(0,(AB416-AC416)/AB416)))</f>
        <v>0.52059270953209269</v>
      </c>
      <c r="X417" s="18">
        <f>IF($A417&gt;'1-Input'!$B$26,0,(MAX(0,W396-IF($A417&gt;=('1-Input'!$C$12-1),'1-Input'!$B$12,0))-MIN(MAX(AA416,0),MAX(0,W396-IF($A417&gt;=('1-Input'!$C$12-1),'1-Input'!$B$12,0))))*(1/(1-'P-Parametri'!$B$6*W417))+MIN(MAX(0,AB416-(MAX(0,W396-IF($A417&gt;=('1-Input'!$C$12-1),'1-Input'!$B$12,0))-MIN(MAX(AA416,0),MAX(0,W396-IF($A417&gt;=('1-Input'!$C$12-1),'1-Input'!$B$12,0))))*(1/(1-'P-Parametri'!$B$6*W417))),MAX(0,2*W396-(AA416-MIN(MAX(AA416,0),MAX(0,W396-IF($A417&gt;=('1-Input'!$C$12-1),'1-Input'!$B$12,0)))))*(1/(1-'P-Parametri'!$B$6*W417))))</f>
        <v>21189.147264272284</v>
      </c>
      <c r="Y417" s="18">
        <f>IF($A417&gt;'1-Input'!$B$26,AA416,(AA416-MAX(0,W396-IF($A417&gt;=('1-Input'!$C$12-1),'1-Input'!$B$12,0))+X417*(1-'P-Parametri'!$B$6*W417))*(1+'1-Input'!$B$27))</f>
        <v>36249.311394946351</v>
      </c>
      <c r="Z417" s="18">
        <f>IF($A417&gt;'1-Input'!$B$26,AB416,(AB416-X417)*(1+'5-Roberta'!$C$4))</f>
        <v>165463.74963899766</v>
      </c>
      <c r="AA417" s="18">
        <f>IF($A417&gt;'1-Input'!$B$26,Y417,Y417-'P-Parametri'!$B$8*(Z417+Y417)+MIN(MAX(Z417,0),'P-Parametri'!$B$8*(Z417+Y417)))</f>
        <v>36249.311394946351</v>
      </c>
      <c r="AB417" s="18">
        <f>IF($A417&gt;'1-Input'!$B$26,Z417,Z417-MIN(MAX(Z417,0),'P-Parametri'!$B$8*(Z417+Y417)))</f>
        <v>165060.32351692978</v>
      </c>
      <c r="AC417" s="18">
        <f>IF($A417&gt;'1-Input'!$B$26,AC416,AC416-X417*(1-W417))</f>
        <v>77014.104742807816</v>
      </c>
      <c r="AD417" s="11">
        <f>IF($A417&gt;'1-Input'!$B$26,0,IF(AI416&lt;=0,0,MAX(0,(AI416-AJ416)/AI416)))</f>
        <v>0.52059693829865328</v>
      </c>
      <c r="AE417" s="18">
        <f>IF($A417&gt;'1-Input'!$B$26,0,(MAX(0,AD396-IF($A417&gt;=('1-Input'!$C$12-1),'1-Input'!$B$12,0))-MIN(MAX(AH416,0),MAX(0,AD396-IF($A417&gt;=('1-Input'!$C$12-1),'1-Input'!$B$12,0))))*(1/(1-'P-Parametri'!$B$6*AD417))+MIN(MAX(0,AI416-(MAX(0,AD396-IF($A417&gt;=('1-Input'!$C$12-1),'1-Input'!$B$12,0))-MIN(MAX(AH416,0),MAX(0,AD396-IF($A417&gt;=('1-Input'!$C$12-1),'1-Input'!$B$12,0))))*(1/(1-'P-Parametri'!$B$6*AD417))),MAX(0,2*AD396-(AH416-MIN(MAX(AH416,0),MAX(0,AD396-IF($A417&gt;=('1-Input'!$C$12-1),'1-Input'!$B$12,0)))))*(1/(1-'P-Parametri'!$B$6*AD417))))</f>
        <v>21171.616772210953</v>
      </c>
      <c r="AF417" s="18">
        <f>IF($A417&gt;'1-Input'!$B$26,AH416,(AH416-MAX(0,AD396-IF($A417&gt;=('1-Input'!$C$12-1),'1-Input'!$B$12,0))+AE417*(1-'P-Parametri'!$B$6*AD417))*(1+'1-Input'!$B$27))</f>
        <v>36219.275067787748</v>
      </c>
      <c r="AG417" s="18">
        <f>IF($A417&gt;'1-Input'!$B$26,AI416,(AI416-AE417)*(1+'5-Roberta'!$C$4))</f>
        <v>165941.6624773074</v>
      </c>
      <c r="AH417" s="18">
        <f>IF($A417&gt;'1-Input'!$B$26,AF417,AF417-'P-Parametri'!$B$8*(AG417+AF417)+MIN(MAX(AG417,0),'P-Parametri'!$B$8*(AG417+AF417)))</f>
        <v>36219.275067787748</v>
      </c>
      <c r="AI417" s="18">
        <f>IF($A417&gt;'1-Input'!$B$26,AG417,AG417-MIN(MAX(AG417,0),'P-Parametri'!$B$8*(AG417+AF417)))</f>
        <v>165537.34060221721</v>
      </c>
      <c r="AJ417" s="18">
        <f>IF($A417&gt;'1-Input'!$B$26,AJ416,AJ416-AE417*(1-AD417))</f>
        <v>77235.8651023618</v>
      </c>
      <c r="AK417" s="11">
        <f>IF($A417&gt;'1-Input'!$B$26,0,IF(AP416&lt;=0,0,MAX(0,(AP416-AQ416)/AP416)))</f>
        <v>0.52059696232045694</v>
      </c>
      <c r="AL417" s="18">
        <f>IF($A417&gt;'1-Input'!$B$26,0,(MAX(0,AK396-IF($A417&gt;=('1-Input'!$C$12-1),'1-Input'!$B$12,0))-MIN(MAX(AO416,0),MAX(0,AK396-IF($A417&gt;=('1-Input'!$C$12-1),'1-Input'!$B$12,0))))*(1/(1-'P-Parametri'!$B$6*AK417))+MIN(MAX(0,AP416-(MAX(0,AK396-IF($A417&gt;=('1-Input'!$C$12-1),'1-Input'!$B$12,0))-MIN(MAX(AO416,0),MAX(0,AK396-IF($A417&gt;=('1-Input'!$C$12-1),'1-Input'!$B$12,0))))*(1/(1-'P-Parametri'!$B$6*AK417))),MAX(0,2*AK396-(AO416-MIN(MAX(AO416,0),MAX(0,AK396-IF($A417&gt;=('1-Input'!$C$12-1),'1-Input'!$B$12,0)))))*(1/(1-'P-Parametri'!$B$6*AK417))))</f>
        <v>21171.517052406398</v>
      </c>
      <c r="AM417" s="18">
        <f>IF($A417&gt;'1-Input'!$B$26,AO416,(AO416-MAX(0,AK396-IF($A417&gt;=('1-Input'!$C$12-1),'1-Input'!$B$12,0))+AL417*(1-'P-Parametri'!$B$6*AK417))*(1+'1-Input'!$B$27))</f>
        <v>36219.1042108291</v>
      </c>
      <c r="AN417" s="18">
        <f>IF($A417&gt;'1-Input'!$B$26,AP416,(AP416-AL417)*(1+'5-Roberta'!$C$4))</f>
        <v>165944.38101191272</v>
      </c>
      <c r="AO417" s="18">
        <f>IF($A417&gt;'1-Input'!$B$26,AM417,AM417-'P-Parametri'!$B$8*(AN417+AM417)+MIN(MAX(AN417,0),'P-Parametri'!$B$8*(AN417+AM417)))</f>
        <v>36219.1042108291</v>
      </c>
      <c r="AP417" s="18">
        <f>IF($A417&gt;'1-Input'!$B$26,AN417,AN417-MIN(MAX(AN417,0),'P-Parametri'!$B$8*(AN417+AM417)))</f>
        <v>165540.05404146723</v>
      </c>
      <c r="AQ417" s="18">
        <f>IF($A417&gt;'1-Input'!$B$26,AQ416,AQ416-AL417*(1-AK417))</f>
        <v>77237.126546565472</v>
      </c>
    </row>
    <row r="418" spans="1:43">
      <c r="A418" s="10">
        <f>20</f>
        <v>20</v>
      </c>
      <c r="B418" s="11">
        <f>IF($A418&gt;'1-Input'!$B$26,0,IF(G417&lt;=0,0,MAX(0,(G417-H417)/G417)))</f>
        <v>0.53384218859519716</v>
      </c>
      <c r="C418" s="18">
        <f>IF($A418&gt;'1-Input'!$B$26,0,(MAX(0,B396-IF($A418&gt;=('1-Input'!$C$12-1),'1-Input'!$B$12,0))-MIN(MAX(F417,0),MAX(0,B396-IF($A418&gt;=('1-Input'!$C$12-1),'1-Input'!$B$12,0))))*(1/(1-'P-Parametri'!$B$6*B418))+MIN(MAX(0,G417-(MAX(0,B396-IF($A418&gt;=('1-Input'!$C$12-1),'1-Input'!$B$12,0))-MIN(MAX(F417,0),MAX(0,B396-IF($A418&gt;=('1-Input'!$C$12-1),'1-Input'!$B$12,0))))*(1/(1-'P-Parametri'!$B$6*B418))),MAX(0,2*B396-(F417-MIN(MAX(F417,0),MAX(0,B396-IF($A418&gt;=('1-Input'!$C$12-1),'1-Input'!$B$12,0)))))*(1/(1-'P-Parametri'!$B$6*B418))))</f>
        <v>19508.9860657274</v>
      </c>
      <c r="D418" s="18">
        <f>IF($A418&gt;'1-Input'!$B$26,F417,(F417-MAX(0,B396-IF($A418&gt;=('1-Input'!$C$12-1),'1-Input'!$B$12,0))+C418*(1-'P-Parametri'!$B$6*B418))*(1+'1-Input'!$B$27))</f>
        <v>33242.0070309863</v>
      </c>
      <c r="E418" s="18">
        <f>IF($A418&gt;'1-Input'!$B$26,G417,(G417-C418)*(1+'5-Roberta'!$C$4))</f>
        <v>199113.99940163206</v>
      </c>
      <c r="F418" s="18">
        <f>IF($A418&gt;'1-Input'!$B$26,D418,D418-'P-Parametri'!$B$8*(E418+D418)+MIN(MAX(E418,0),'P-Parametri'!$B$8*(E418+D418)))</f>
        <v>33242.0070309863</v>
      </c>
      <c r="G418" s="18">
        <f>IF($A418&gt;'1-Input'!$B$26,E418,E418-MIN(MAX(E418,0),'P-Parametri'!$B$8*(E418+D418)))</f>
        <v>198649.28738876682</v>
      </c>
      <c r="H418" s="18">
        <f>IF($A418&gt;'1-Input'!$B$26,H417,H417-C418*(1-B418))</f>
        <v>90115.093379730126</v>
      </c>
      <c r="I418" s="11">
        <f>IF($A418&gt;'1-Input'!$B$26,0,IF(N417&lt;=0,0,MAX(0,(N417-O417)/N417)))</f>
        <v>0.5310413426483277</v>
      </c>
      <c r="J418" s="18">
        <f>IF($A418&gt;'1-Input'!$B$26,0,(MAX(0,I396-IF($A418&gt;=('1-Input'!$C$12-1),'1-Input'!$B$12,0))-MIN(MAX(M417,0),MAX(0,I396-IF($A418&gt;=('1-Input'!$C$12-1),'1-Input'!$B$12,0))))*(1/(1-'P-Parametri'!$B$6*I418))+MIN(MAX(0,N417-(MAX(0,I396-IF($A418&gt;=('1-Input'!$C$12-1),'1-Input'!$B$12,0))-MIN(MAX(M417,0),MAX(0,I396-IF($A418&gt;=('1-Input'!$C$12-1),'1-Input'!$B$12,0))))*(1/(1-'P-Parametri'!$B$6*I418))),MAX(0,2*I396-(M417-MIN(MAX(M417,0),MAX(0,I396-IF($A418&gt;=('1-Input'!$C$12-1),'1-Input'!$B$12,0)))))*(1/(1-'P-Parametri'!$B$6*I418))))</f>
        <v>25648.030879450111</v>
      </c>
      <c r="K418" s="18">
        <f>IF($A418&gt;'1-Input'!$B$26,M417,(M417-MAX(0,I396-IF($A418&gt;=('1-Input'!$C$12-1),'1-Input'!$B$12,0))+J418*(1-'P-Parametri'!$B$6*I418))*(1+'1-Input'!$B$27))</f>
        <v>43739.482935508291</v>
      </c>
      <c r="L418" s="18">
        <f>IF($A418&gt;'1-Input'!$B$26,N417,(N417-J418)*(1+'5-Roberta'!$C$4))</f>
        <v>21103.746292191776</v>
      </c>
      <c r="M418" s="18">
        <f>IF($A418&gt;'1-Input'!$B$26,K418,K418-'P-Parametri'!$B$8*(L418+K418)+MIN(MAX(L418,0),'P-Parametri'!$B$8*(L418+K418)))</f>
        <v>43739.482935508291</v>
      </c>
      <c r="N418" s="18">
        <f>IF($A418&gt;'1-Input'!$B$26,L418,L418-MIN(MAX(L418,0),'P-Parametri'!$B$8*(L418+K418)))</f>
        <v>20974.059833736377</v>
      </c>
      <c r="O418" s="18">
        <f>IF($A418&gt;'1-Input'!$B$26,O417,O417-J418*(1-I418))</f>
        <v>9608.5286662879498</v>
      </c>
      <c r="P418" s="11">
        <f>IF($A418&gt;'1-Input'!$B$26,0,IF(U417&lt;=0,0,MAX(0,(U417-V417)/U417)))</f>
        <v>0.5333367729964763</v>
      </c>
      <c r="Q418" s="18">
        <f>IF($A418&gt;'1-Input'!$B$26,0,(MAX(0,P396-IF($A418&gt;=('1-Input'!$C$12-1),'1-Input'!$B$12,0))-MIN(MAX(T417,0),MAX(0,P396-IF($A418&gt;=('1-Input'!$C$12-1),'1-Input'!$B$12,0))))*(1/(1-'P-Parametri'!$B$6*P418))+MIN(MAX(0,U417-(MAX(0,P396-IF($A418&gt;=('1-Input'!$C$12-1),'1-Input'!$B$12,0))-MIN(MAX(T417,0),MAX(0,P396-IF($A418&gt;=('1-Input'!$C$12-1),'1-Input'!$B$12,0))))*(1/(1-'P-Parametri'!$B$6*P418))),MAX(0,2*P396-(T417-MIN(MAX(T417,0),MAX(0,P396-IF($A418&gt;=('1-Input'!$C$12-1),'1-Input'!$B$12,0)))))*(1/(1-'P-Parametri'!$B$6*P418))))</f>
        <v>21557.654480382171</v>
      </c>
      <c r="R418" s="18">
        <f>IF($A418&gt;'1-Input'!$B$26,T417,(T417-MAX(0,P396-IF($A418&gt;=('1-Input'!$C$12-1),'1-Input'!$B$12,0))+Q418*(1-'P-Parametri'!$B$6*P418))*(1+'1-Input'!$B$27))</f>
        <v>36738.405892673516</v>
      </c>
      <c r="S418" s="18">
        <f>IF($A418&gt;'1-Input'!$B$26,U417,(U417-Q418)*(1+'5-Roberta'!$C$4))</f>
        <v>139807.35348841408</v>
      </c>
      <c r="T418" s="18">
        <f>IF($A418&gt;'1-Input'!$B$26,R418,R418-'P-Parametri'!$B$8*(S418+R418)+MIN(MAX(S418,0),'P-Parametri'!$B$8*(S418+R418)))</f>
        <v>36738.405892673516</v>
      </c>
      <c r="U418" s="18">
        <f>IF($A418&gt;'1-Input'!$B$26,S418,S418-MIN(MAX(S418,0),'P-Parametri'!$B$8*(S418+R418)))</f>
        <v>139454.26196965191</v>
      </c>
      <c r="V418" s="18">
        <f>IF($A418&gt;'1-Input'!$B$26,V417,V417-Q418*(1-P418))</f>
        <v>63342.670619151126</v>
      </c>
      <c r="W418" s="11">
        <f>IF($A418&gt;'1-Input'!$B$26,0,IF(AB417&lt;=0,0,MAX(0,(AB417-AC417)/AB417)))</f>
        <v>0.53341843089924212</v>
      </c>
      <c r="X418" s="18">
        <f>IF($A418&gt;'1-Input'!$B$26,0,(MAX(0,W396-IF($A418&gt;=('1-Input'!$C$12-1),'1-Input'!$B$12,0))-MIN(MAX(AA417,0),MAX(0,W396-IF($A418&gt;=('1-Input'!$C$12-1),'1-Input'!$B$12,0))))*(1/(1-'P-Parametri'!$B$6*W418))+MIN(MAX(0,AB417-(MAX(0,W396-IF($A418&gt;=('1-Input'!$C$12-1),'1-Input'!$B$12,0))-MIN(MAX(AA417,0),MAX(0,W396-IF($A418&gt;=('1-Input'!$C$12-1),'1-Input'!$B$12,0))))*(1/(1-'P-Parametri'!$B$6*W418))),MAX(0,2*W396-(AA417-MIN(MAX(AA417,0),MAX(0,W396-IF($A418&gt;=('1-Input'!$C$12-1),'1-Input'!$B$12,0)))))*(1/(1-'P-Parametri'!$B$6*W418))))</f>
        <v>21271.184029891287</v>
      </c>
      <c r="Y418" s="18">
        <f>IF($A418&gt;'1-Input'!$B$26,AA417,(AA417-MAX(0,W396-IF($A418&gt;=('1-Input'!$C$12-1),'1-Input'!$B$12,0))+X418*(1-'P-Parametri'!$B$6*W418))*(1+'1-Input'!$B$27))</f>
        <v>36249.311394946351</v>
      </c>
      <c r="Z418" s="18">
        <f>IF($A418&gt;'1-Input'!$B$26,AB417,(AB417-X418)*(1+'5-Roberta'!$C$4))</f>
        <v>148102.81367164964</v>
      </c>
      <c r="AA418" s="18">
        <f>IF($A418&gt;'1-Input'!$B$26,Y418,Y418-'P-Parametri'!$B$8*(Z418+Y418)+MIN(MAX(Z418,0),'P-Parametri'!$B$8*(Z418+Y418)))</f>
        <v>36249.311394946351</v>
      </c>
      <c r="AB418" s="18">
        <f>IF($A418&gt;'1-Input'!$B$26,Z418,Z418-MIN(MAX(Z418,0),'P-Parametri'!$B$8*(Z418+Y418)))</f>
        <v>147734.10942151645</v>
      </c>
      <c r="AC418" s="18">
        <f>IF($A418&gt;'1-Input'!$B$26,AC417,AC417-X418*(1-W418))</f>
        <v>67089.362321510154</v>
      </c>
      <c r="AD418" s="11">
        <f>IF($A418&gt;'1-Input'!$B$26,0,IF(AI417&lt;=0,0,MAX(0,(AI417-AJ417)/AI417)))</f>
        <v>0.53342330605661969</v>
      </c>
      <c r="AE418" s="18">
        <f>IF($A418&gt;'1-Input'!$B$26,0,(MAX(0,AD396-IF($A418&gt;=('1-Input'!$C$12-1),'1-Input'!$B$12,0))-MIN(MAX(AH417,0),MAX(0,AD396-IF($A418&gt;=('1-Input'!$C$12-1),'1-Input'!$B$12,0))))*(1/(1-'P-Parametri'!$B$6*AD418))+MIN(MAX(0,AI417-(MAX(0,AD396-IF($A418&gt;=('1-Input'!$C$12-1),'1-Input'!$B$12,0))-MIN(MAX(AH417,0),MAX(0,AD396-IF($A418&gt;=('1-Input'!$C$12-1),'1-Input'!$B$12,0))))*(1/(1-'P-Parametri'!$B$6*AD418))),MAX(0,2*AD396-(AH417-MIN(MAX(AH417,0),MAX(0,AD396-IF($A418&gt;=('1-Input'!$C$12-1),'1-Input'!$B$12,0)))))*(1/(1-'P-Parametri'!$B$6*AD418))))</f>
        <v>21253.589917766923</v>
      </c>
      <c r="AF418" s="18">
        <f>IF($A418&gt;'1-Input'!$B$26,AH417,(AH417-MAX(0,AD396-IF($A418&gt;=('1-Input'!$C$12-1),'1-Input'!$B$12,0))+AE418*(1-'P-Parametri'!$B$6*AD418))*(1+'1-Input'!$B$27))</f>
        <v>36219.275067787748</v>
      </c>
      <c r="AG418" s="18">
        <f>IF($A418&gt;'1-Input'!$B$26,AI417,(AI417-AE418)*(1+'5-Roberta'!$C$4))</f>
        <v>148612.26320498381</v>
      </c>
      <c r="AH418" s="18">
        <f>IF($A418&gt;'1-Input'!$B$26,AF418,AF418-'P-Parametri'!$B$8*(AG418+AF418)+MIN(MAX(AG418,0),'P-Parametri'!$B$8*(AG418+AF418)))</f>
        <v>36219.275067787748</v>
      </c>
      <c r="AI418" s="18">
        <f>IF($A418&gt;'1-Input'!$B$26,AG418,AG418-MIN(MAX(AG418,0),'P-Parametri'!$B$8*(AG418+AF418)))</f>
        <v>148242.60012843827</v>
      </c>
      <c r="AJ418" s="18">
        <f>IF($A418&gt;'1-Input'!$B$26,AJ417,AJ417-AE418*(1-AD418))</f>
        <v>67319.435384101744</v>
      </c>
      <c r="AK418" s="11">
        <f>IF($A418&gt;'1-Input'!$B$26,0,IF(AP417&lt;=0,0,MAX(0,(AP417-AQ417)/AP417)))</f>
        <v>0.53342333374363993</v>
      </c>
      <c r="AL418" s="18">
        <f>IF($A418&gt;'1-Input'!$B$26,0,(MAX(0,AK396-IF($A418&gt;=('1-Input'!$C$12-1),'1-Input'!$B$12,0))-MIN(MAX(AO417,0),MAX(0,AK396-IF($A418&gt;=('1-Input'!$C$12-1),'1-Input'!$B$12,0))))*(1/(1-'P-Parametri'!$B$6*AK418))+MIN(MAX(0,AP417-(MAX(0,AK396-IF($A418&gt;=('1-Input'!$C$12-1),'1-Input'!$B$12,0))-MIN(MAX(AO417,0),MAX(0,AK396-IF($A418&gt;=('1-Input'!$C$12-1),'1-Input'!$B$12,0))))*(1/(1-'P-Parametri'!$B$6*AK418))),MAX(0,2*AK396-(AO417-MIN(MAX(AO417,0),MAX(0,AK396-IF($A418&gt;=('1-Input'!$C$12-1),'1-Input'!$B$12,0)))))*(1/(1-'P-Parametri'!$B$6*AK418))))</f>
        <v>21253.489835972436</v>
      </c>
      <c r="AM418" s="18">
        <f>IF($A418&gt;'1-Input'!$B$26,AO417,(AO417-MAX(0,AK396-IF($A418&gt;=('1-Input'!$C$12-1),'1-Input'!$B$12,0))+AL418*(1-'P-Parametri'!$B$6*AK418))*(1+'1-Input'!$B$27))</f>
        <v>36219.1042108291</v>
      </c>
      <c r="AN418" s="18">
        <f>IF($A418&gt;'1-Input'!$B$26,AP417,(AP417-AL418)*(1+'5-Roberta'!$C$4))</f>
        <v>148615.16113165964</v>
      </c>
      <c r="AO418" s="18">
        <f>IF($A418&gt;'1-Input'!$B$26,AM418,AM418-'P-Parametri'!$B$8*(AN418+AM418)+MIN(MAX(AN418,0),'P-Parametri'!$B$8*(AN418+AM418)))</f>
        <v>36219.1042108291</v>
      </c>
      <c r="AP418" s="18">
        <f>IF($A418&gt;'1-Input'!$B$26,AN418,AN418-MIN(MAX(AN418,0),'P-Parametri'!$B$8*(AN418+AM418)))</f>
        <v>148245.49260097466</v>
      </c>
      <c r="AQ418" s="18">
        <f>IF($A418&gt;'1-Input'!$B$26,AQ417,AQ417-AL418*(1-AK418))</f>
        <v>67320.744112584012</v>
      </c>
    </row>
    <row r="419" spans="1:43">
      <c r="A419" s="10">
        <f>21</f>
        <v>21</v>
      </c>
      <c r="B419" s="11">
        <f>IF($A419&gt;'1-Input'!$B$26,0,IF(G418&lt;=0,0,MAX(0,(G418-H418)/G418)))</f>
        <v>0.54636085251405775</v>
      </c>
      <c r="C419" s="18">
        <f>IF($A419&gt;'1-Input'!$B$26,0,(MAX(0,B396-IF($A419&gt;=('1-Input'!$C$12-1),'1-Input'!$B$12,0))-MIN(MAX(F418,0),MAX(0,B396-IF($A419&gt;=('1-Input'!$C$12-1),'1-Input'!$B$12,0))))*(1/(1-'P-Parametri'!$B$6*B419))+MIN(MAX(0,G418-(MAX(0,B396-IF($A419&gt;=('1-Input'!$C$12-1),'1-Input'!$B$12,0))-MIN(MAX(F418,0),MAX(0,B396-IF($A419&gt;=('1-Input'!$C$12-1),'1-Input'!$B$12,0))))*(1/(1-'P-Parametri'!$B$6*B419))),MAX(0,2*B396-(F418-MIN(MAX(F418,0),MAX(0,B396-IF($A419&gt;=('1-Input'!$C$12-1),'1-Input'!$B$12,0)))))*(1/(1-'P-Parametri'!$B$6*B419))))</f>
        <v>19582.998720589479</v>
      </c>
      <c r="D419" s="18">
        <f>IF($A419&gt;'1-Input'!$B$26,F418,(F418-MAX(0,B396-IF($A419&gt;=('1-Input'!$C$12-1),'1-Input'!$B$12,0))+C419*(1-'P-Parametri'!$B$6*B419))*(1+'1-Input'!$B$27))</f>
        <v>33242.0070309863</v>
      </c>
      <c r="E419" s="18">
        <f>IF($A419&gt;'1-Input'!$B$26,G418,(G418-C419)*(1+'5-Roberta'!$C$4))</f>
        <v>184438.27732822267</v>
      </c>
      <c r="F419" s="18">
        <f>IF($A419&gt;'1-Input'!$B$26,D419,D419-'P-Parametri'!$B$8*(E419+D419)+MIN(MAX(E419,0),'P-Parametri'!$B$8*(E419+D419)))</f>
        <v>33242.0070309863</v>
      </c>
      <c r="G419" s="18">
        <f>IF($A419&gt;'1-Input'!$B$26,E419,E419-MIN(MAX(E419,0),'P-Parametri'!$B$8*(E419+D419)))</f>
        <v>184002.91675950424</v>
      </c>
      <c r="H419" s="18">
        <f>IF($A419&gt;'1-Input'!$B$26,H418,H418-C419*(1-B419))</f>
        <v>81231.47853490361</v>
      </c>
      <c r="I419" s="11">
        <f>IF($A419&gt;'1-Input'!$B$26,0,IF(N418&lt;=0,0,MAX(0,(N418-O418)/N418)))</f>
        <v>0.54188513132622929</v>
      </c>
      <c r="J419" s="18">
        <f>IF($A419&gt;'1-Input'!$B$26,0,(MAX(0,I396-IF($A419&gt;=('1-Input'!$C$12-1),'1-Input'!$B$12,0))-MIN(MAX(M418,0),MAX(0,I396-IF($A419&gt;=('1-Input'!$C$12-1),'1-Input'!$B$12,0))))*(1/(1-'P-Parametri'!$B$6*I419))+MIN(MAX(0,N418-(MAX(0,I396-IF($A419&gt;=('1-Input'!$C$12-1),'1-Input'!$B$12,0))-MIN(MAX(M418,0),MAX(0,I396-IF($A419&gt;=('1-Input'!$C$12-1),'1-Input'!$B$12,0))))*(1/(1-'P-Parametri'!$B$6*I419))),MAX(0,2*I396-(M418-MIN(MAX(M418,0),MAX(0,I396-IF($A419&gt;=('1-Input'!$C$12-1),'1-Input'!$B$12,0)))))*(1/(1-'P-Parametri'!$B$6*I419))))</f>
        <v>20974.059833736377</v>
      </c>
      <c r="K419" s="18">
        <f>IF($A419&gt;'1-Input'!$B$26,M418,(M418-MAX(0,I396-IF($A419&gt;=('1-Input'!$C$12-1),'1-Input'!$B$12,0))+J419*(1-'P-Parametri'!$B$6*I419))*(1+'1-Input'!$B$27))</f>
        <v>39666.432581157373</v>
      </c>
      <c r="L419" s="18">
        <f>IF($A419&gt;'1-Input'!$B$26,N418,(N418-J419)*(1+'5-Roberta'!$C$4))</f>
        <v>0</v>
      </c>
      <c r="M419" s="18">
        <f>IF($A419&gt;'1-Input'!$B$26,K419,K419-'P-Parametri'!$B$8*(L419+K419)+MIN(MAX(L419,0),'P-Parametri'!$B$8*(L419+K419)))</f>
        <v>39587.099715995057</v>
      </c>
      <c r="N419" s="18">
        <f>IF($A419&gt;'1-Input'!$B$26,L419,L419-MIN(MAX(L419,0),'P-Parametri'!$B$8*(L419+K419)))</f>
        <v>0</v>
      </c>
      <c r="O419" s="18">
        <f>IF($A419&gt;'1-Input'!$B$26,O418,O418-J419*(1-I419))</f>
        <v>0</v>
      </c>
      <c r="P419" s="11">
        <f>IF($A419&gt;'1-Input'!$B$26,0,IF(U418&lt;=0,0,MAX(0,(U418-V418)/U418)))</f>
        <v>0.54578175148970509</v>
      </c>
      <c r="Q419" s="18">
        <f>IF($A419&gt;'1-Input'!$B$26,0,(MAX(0,P396-IF($A419&gt;=('1-Input'!$C$12-1),'1-Input'!$B$12,0))-MIN(MAX(T418,0),MAX(0,P396-IF($A419&gt;=('1-Input'!$C$12-1),'1-Input'!$B$12,0))))*(1/(1-'P-Parametri'!$B$6*P419))+MIN(MAX(0,U418-(MAX(0,P396-IF($A419&gt;=('1-Input'!$C$12-1),'1-Input'!$B$12,0))-MIN(MAX(T418,0),MAX(0,P396-IF($A419&gt;=('1-Input'!$C$12-1),'1-Input'!$B$12,0))))*(1/(1-'P-Parametri'!$B$6*P419))),MAX(0,2*P396-(T418-MIN(MAX(T418,0),MAX(0,P396-IF($A419&gt;=('1-Input'!$C$12-1),'1-Input'!$B$12,0)))))*(1/(1-'P-Parametri'!$B$6*P419))))</f>
        <v>21638.943661928264</v>
      </c>
      <c r="R419" s="18">
        <f>IF($A419&gt;'1-Input'!$B$26,T418,(T418-MAX(0,P396-IF($A419&gt;=('1-Input'!$C$12-1),'1-Input'!$B$12,0))+Q419*(1-'P-Parametri'!$B$6*P419))*(1+'1-Input'!$B$27))</f>
        <v>36738.405892673516</v>
      </c>
      <c r="S419" s="18">
        <f>IF($A419&gt;'1-Input'!$B$26,U418,(U418-Q419)*(1+'5-Roberta'!$C$4))</f>
        <v>121349.77785695536</v>
      </c>
      <c r="T419" s="18">
        <f>IF($A419&gt;'1-Input'!$B$26,R419,R419-'P-Parametri'!$B$8*(S419+R419)+MIN(MAX(S419,0),'P-Parametri'!$B$8*(S419+R419)))</f>
        <v>36738.405892673516</v>
      </c>
      <c r="U419" s="18">
        <f>IF($A419&gt;'1-Input'!$B$26,S419,S419-MIN(MAX(S419,0),'P-Parametri'!$B$8*(S419+R419)))</f>
        <v>121033.60148945611</v>
      </c>
      <c r="V419" s="18">
        <f>IF($A419&gt;'1-Input'!$B$26,V418,V418-Q419*(1-P419))</f>
        <v>53513.867529417126</v>
      </c>
      <c r="W419" s="11">
        <f>IF($A419&gt;'1-Input'!$B$26,0,IF(AB418&lt;=0,0,MAX(0,(AB418-AC418)/AB418)))</f>
        <v>0.54587764068695799</v>
      </c>
      <c r="X419" s="18">
        <f>IF($A419&gt;'1-Input'!$B$26,0,(MAX(0,W396-IF($A419&gt;=('1-Input'!$C$12-1),'1-Input'!$B$12,0))-MIN(MAX(AA418,0),MAX(0,W396-IF($A419&gt;=('1-Input'!$C$12-1),'1-Input'!$B$12,0))))*(1/(1-'P-Parametri'!$B$6*W419))+MIN(MAX(0,AB418-(MAX(0,W396-IF($A419&gt;=('1-Input'!$C$12-1),'1-Input'!$B$12,0))-MIN(MAX(AA418,0),MAX(0,W396-IF($A419&gt;=('1-Input'!$C$12-1),'1-Input'!$B$12,0))))*(1/(1-'P-Parametri'!$B$6*W419))),MAX(0,2*W396-(AA418-MIN(MAX(AA418,0),MAX(0,W396-IF($A419&gt;=('1-Input'!$C$12-1),'1-Input'!$B$12,0)))))*(1/(1-'P-Parametri'!$B$6*W419))))</f>
        <v>21351.487049324183</v>
      </c>
      <c r="Y419" s="18">
        <f>IF($A419&gt;'1-Input'!$B$26,AA418,(AA418-MAX(0,W396-IF($A419&gt;=('1-Input'!$C$12-1),'1-Input'!$B$12,0))+X419*(1-'P-Parametri'!$B$6*W419))*(1+'1-Input'!$B$27))</f>
        <v>36249.311394946351</v>
      </c>
      <c r="Z419" s="18">
        <f>IF($A419&gt;'1-Input'!$B$26,AB418,(AB418-X419)*(1+'5-Roberta'!$C$4))</f>
        <v>130174.10104335804</v>
      </c>
      <c r="AA419" s="18">
        <f>IF($A419&gt;'1-Input'!$B$26,Y419,Y419-'P-Parametri'!$B$8*(Z419+Y419)+MIN(MAX(Z419,0),'P-Parametri'!$B$8*(Z419+Y419)))</f>
        <v>36249.311394946351</v>
      </c>
      <c r="AB419" s="18">
        <f>IF($A419&gt;'1-Input'!$B$26,Z419,Z419-MIN(MAX(Z419,0),'P-Parametri'!$B$8*(Z419+Y419)))</f>
        <v>129841.25421848142</v>
      </c>
      <c r="AC419" s="18">
        <f>IF($A419&gt;'1-Input'!$B$26,AC418,AC418-X419*(1-W419))</f>
        <v>57393.174647829197</v>
      </c>
      <c r="AD419" s="11">
        <f>IF($A419&gt;'1-Input'!$B$26,0,IF(AI418&lt;=0,0,MAX(0,(AI418-AJ418)/AI418)))</f>
        <v>0.54588333363165653</v>
      </c>
      <c r="AE419" s="18">
        <f>IF($A419&gt;'1-Input'!$B$26,0,(MAX(0,AD396-IF($A419&gt;=('1-Input'!$C$12-1),'1-Input'!$B$12,0))-MIN(MAX(AH418,0),MAX(0,AD396-IF($A419&gt;=('1-Input'!$C$12-1),'1-Input'!$B$12,0))))*(1/(1-'P-Parametri'!$B$6*AD419))+MIN(MAX(0,AI418-(MAX(0,AD396-IF($A419&gt;=('1-Input'!$C$12-1),'1-Input'!$B$12,0))-MIN(MAX(AH418,0),MAX(0,AD396-IF($A419&gt;=('1-Input'!$C$12-1),'1-Input'!$B$12,0))))*(1/(1-'P-Parametri'!$B$6*AD419))),MAX(0,2*AD396-(AH418-MIN(MAX(AH418,0),MAX(0,AD396-IF($A419&gt;=('1-Input'!$C$12-1),'1-Input'!$B$12,0)))))*(1/(1-'P-Parametri'!$B$6*AD419))))</f>
        <v>21333.831920790344</v>
      </c>
      <c r="AF419" s="18">
        <f>IF($A419&gt;'1-Input'!$B$26,AH418,(AH418-MAX(0,AD396-IF($A419&gt;=('1-Input'!$C$12-1),'1-Input'!$B$12,0))+AE419*(1-'P-Parametri'!$B$6*AD419))*(1+'1-Input'!$B$27))</f>
        <v>36219.275067787756</v>
      </c>
      <c r="AG419" s="18">
        <f>IF($A419&gt;'1-Input'!$B$26,AI418,(AI418-AE419)*(1+'5-Roberta'!$C$4))</f>
        <v>130716.03125387737</v>
      </c>
      <c r="AH419" s="18">
        <f>IF($A419&gt;'1-Input'!$B$26,AF419,AF419-'P-Parametri'!$B$8*(AG419+AF419)+MIN(MAX(AG419,0),'P-Parametri'!$B$8*(AG419+AF419)))</f>
        <v>36219.275067787756</v>
      </c>
      <c r="AI419" s="18">
        <f>IF($A419&gt;'1-Input'!$B$26,AG419,AG419-MIN(MAX(AG419,0),'P-Parametri'!$B$8*(AG419+AF419)))</f>
        <v>130382.16064123405</v>
      </c>
      <c r="AJ419" s="18">
        <f>IF($A419&gt;'1-Input'!$B$26,AJ418,AJ418-AE419*(1-AD419))</f>
        <v>57631.386751369879</v>
      </c>
      <c r="AK419" s="11">
        <f>IF($A419&gt;'1-Input'!$B$26,0,IF(AP418&lt;=0,0,MAX(0,(AP418-AQ418)/AP418)))</f>
        <v>0.54588336595306775</v>
      </c>
      <c r="AL419" s="18">
        <f>IF($A419&gt;'1-Input'!$B$26,0,(MAX(0,AK396-IF($A419&gt;=('1-Input'!$C$12-1),'1-Input'!$B$12,0))-MIN(MAX(AO418,0),MAX(0,AK396-IF($A419&gt;=('1-Input'!$C$12-1),'1-Input'!$B$12,0))))*(1/(1-'P-Parametri'!$B$6*AK419))+MIN(MAX(0,AP418-(MAX(0,AK396-IF($A419&gt;=('1-Input'!$C$12-1),'1-Input'!$B$12,0))-MIN(MAX(AO418,0),MAX(0,AK396-IF($A419&gt;=('1-Input'!$C$12-1),'1-Input'!$B$12,0))))*(1/(1-'P-Parametri'!$B$6*AK419))),MAX(0,2*AK396-(AO418-MIN(MAX(AO418,0),MAX(0,AK396-IF($A419&gt;=('1-Input'!$C$12-1),'1-Input'!$B$12,0)))))*(1/(1-'P-Parametri'!$B$6*AK419))))</f>
        <v>21333.731491772374</v>
      </c>
      <c r="AM419" s="18">
        <f>IF($A419&gt;'1-Input'!$B$26,AO418,(AO418-MAX(0,AK396-IF($A419&gt;=('1-Input'!$C$12-1),'1-Input'!$B$12,0))+AL419*(1-'P-Parametri'!$B$6*AK419))*(1+'1-Input'!$B$27))</f>
        <v>36219.1042108291</v>
      </c>
      <c r="AN419" s="18">
        <f>IF($A419&gt;'1-Input'!$B$26,AP418,(AP418-AL419)*(1+'5-Roberta'!$C$4))</f>
        <v>130719.11394247836</v>
      </c>
      <c r="AO419" s="18">
        <f>IF($A419&gt;'1-Input'!$B$26,AM419,AM419-'P-Parametri'!$B$8*(AN419+AM419)+MIN(MAX(AN419,0),'P-Parametri'!$B$8*(AN419+AM419)))</f>
        <v>36219.1042108291</v>
      </c>
      <c r="AP419" s="18">
        <f>IF($A419&gt;'1-Input'!$B$26,AN419,AN419-MIN(MAX(AN419,0),'P-Parametri'!$B$8*(AN419+AM419)))</f>
        <v>130385.23750617175</v>
      </c>
      <c r="AQ419" s="18">
        <f>IF($A419&gt;'1-Input'!$B$26,AQ418,AQ418-AL419*(1-AK419))</f>
        <v>57632.741775879302</v>
      </c>
    </row>
    <row r="420" spans="1:43">
      <c r="A420" s="10">
        <f>22</f>
        <v>22</v>
      </c>
      <c r="B420" s="11">
        <f>IF($A420&gt;'1-Input'!$B$26,0,IF(G419&lt;=0,0,MAX(0,(G419-H419)/G419)))</f>
        <v>0.55853157131701936</v>
      </c>
      <c r="C420" s="18">
        <f>IF($A420&gt;'1-Input'!$B$26,0,(MAX(0,B396-IF($A420&gt;=('1-Input'!$C$12-1),'1-Input'!$B$12,0))-MIN(MAX(F419,0),MAX(0,B396-IF($A420&gt;=('1-Input'!$C$12-1),'1-Input'!$B$12,0))))*(1/(1-'P-Parametri'!$B$6*B420))+MIN(MAX(0,G419-(MAX(0,B396-IF($A420&gt;=('1-Input'!$C$12-1),'1-Input'!$B$12,0))-MIN(MAX(F419,0),MAX(0,B396-IF($A420&gt;=('1-Input'!$C$12-1),'1-Input'!$B$12,0))))*(1/(1-'P-Parametri'!$B$6*B420))),MAX(0,2*B396-(F419-MIN(MAX(F419,0),MAX(0,B396-IF($A420&gt;=('1-Input'!$C$12-1),'1-Input'!$B$12,0)))))*(1/(1-'P-Parametri'!$B$6*B420))))</f>
        <v>6667.3845533991716</v>
      </c>
      <c r="D420" s="18">
        <f>IF($A420&gt;'1-Input'!$B$26,F419,(F419-MAX(0,B396-IF($A420&gt;=('1-Input'!$C$12-1),'1-Input'!$B$12,0))+C420*(1-'P-Parametri'!$B$6*B420))*(1+'1-Input'!$B$27))</f>
        <v>33242.0070309863</v>
      </c>
      <c r="E420" s="18">
        <f>IF($A420&gt;'1-Input'!$B$26,G419,(G419-C420)*(1+'5-Roberta'!$C$4))</f>
        <v>182655.59817228821</v>
      </c>
      <c r="F420" s="18">
        <f>IF($A420&gt;'1-Input'!$B$26,D420,D420-'P-Parametri'!$B$8*(E420+D420)+MIN(MAX(E420,0),'P-Parametri'!$B$8*(E420+D420)))</f>
        <v>33242.0070309863</v>
      </c>
      <c r="G420" s="18">
        <f>IF($A420&gt;'1-Input'!$B$26,E420,E420-MIN(MAX(E420,0),'P-Parametri'!$B$8*(E420+D420)))</f>
        <v>182223.80296188165</v>
      </c>
      <c r="H420" s="18">
        <f>IF($A420&gt;'1-Input'!$B$26,H419,H419-C420*(1-B420))</f>
        <v>78288.038752689303</v>
      </c>
      <c r="I420" s="11">
        <f>IF($A420&gt;'1-Input'!$B$26,0,IF(N419&lt;=0,0,MAX(0,(N419-O419)/N419)))</f>
        <v>0</v>
      </c>
      <c r="J420" s="18">
        <f>IF($A420&gt;'1-Input'!$B$26,0,(MAX(0,I396-IF($A420&gt;=('1-Input'!$C$12-1),'1-Input'!$B$12,0))-MIN(MAX(M419,0),MAX(0,I396-IF($A420&gt;=('1-Input'!$C$12-1),'1-Input'!$B$12,0))))*(1/(1-'P-Parametri'!$B$6*I420))+MIN(MAX(0,N419-(MAX(0,I396-IF($A420&gt;=('1-Input'!$C$12-1),'1-Input'!$B$12,0))-MIN(MAX(M419,0),MAX(0,I396-IF($A420&gt;=('1-Input'!$C$12-1),'1-Input'!$B$12,0))))*(1/(1-'P-Parametri'!$B$6*I420))),MAX(0,2*I396-(M419-MIN(MAX(M419,0),MAX(0,I396-IF($A420&gt;=('1-Input'!$C$12-1),'1-Input'!$B$12,0)))))*(1/(1-'P-Parametri'!$B$6*I420))))</f>
        <v>0</v>
      </c>
      <c r="K420" s="18">
        <f>IF($A420&gt;'1-Input'!$B$26,M419,(M419-MAX(0,I396-IF($A420&gt;=('1-Input'!$C$12-1),'1-Input'!$B$12,0))+J420*(1-'P-Parametri'!$B$6*I420))*(1+'1-Input'!$B$27))</f>
        <v>28636.877489263326</v>
      </c>
      <c r="L420" s="18">
        <f>IF($A420&gt;'1-Input'!$B$26,N419,(N419-J420)*(1+'5-Roberta'!$C$4))</f>
        <v>0</v>
      </c>
      <c r="M420" s="18">
        <f>IF($A420&gt;'1-Input'!$B$26,K420,K420-'P-Parametri'!$B$8*(L420+K420)+MIN(MAX(L420,0),'P-Parametri'!$B$8*(L420+K420)))</f>
        <v>28579.603734284799</v>
      </c>
      <c r="N420" s="18">
        <f>IF($A420&gt;'1-Input'!$B$26,L420,L420-MIN(MAX(L420,0),'P-Parametri'!$B$8*(L420+K420)))</f>
        <v>0</v>
      </c>
      <c r="O420" s="18">
        <f>IF($A420&gt;'1-Input'!$B$26,O419,O419-J420*(1-I420))</f>
        <v>0</v>
      </c>
      <c r="P420" s="11">
        <f>IF($A420&gt;'1-Input'!$B$26,0,IF(U419&lt;=0,0,MAX(0,(U419-V419)/U419)))</f>
        <v>0.55785941365977609</v>
      </c>
      <c r="Q420" s="18">
        <f>IF($A420&gt;'1-Input'!$B$26,0,(MAX(0,P396-IF($A420&gt;=('1-Input'!$C$12-1),'1-Input'!$B$12,0))-MIN(MAX(T419,0),MAX(0,P396-IF($A420&gt;=('1-Input'!$C$12-1),'1-Input'!$B$12,0))))*(1/(1-'P-Parametri'!$B$6*P420))+MIN(MAX(0,U419-(MAX(0,P396-IF($A420&gt;=('1-Input'!$C$12-1),'1-Input'!$B$12,0))-MIN(MAX(T419,0),MAX(0,P396-IF($A420&gt;=('1-Input'!$C$12-1),'1-Input'!$B$12,0))))*(1/(1-'P-Parametri'!$B$6*P420))),MAX(0,2*P396-(T419-MIN(MAX(T419,0),MAX(0,P396-IF($A420&gt;=('1-Input'!$C$12-1),'1-Input'!$B$12,0)))))*(1/(1-'P-Parametri'!$B$6*P420))))</f>
        <v>8732.9667124901862</v>
      </c>
      <c r="R420" s="18">
        <f>IF($A420&gt;'1-Input'!$B$26,T419,(T419-MAX(0,P396-IF($A420&gt;=('1-Input'!$C$12-1),'1-Input'!$B$12,0))+Q420*(1-'P-Parametri'!$B$6*P420))*(1+'1-Input'!$B$27))</f>
        <v>36738.405892673516</v>
      </c>
      <c r="S420" s="18">
        <f>IF($A420&gt;'1-Input'!$B$26,U419,(U419-Q420)*(1+'5-Roberta'!$C$4))</f>
        <v>115669.65382027489</v>
      </c>
      <c r="T420" s="18">
        <f>IF($A420&gt;'1-Input'!$B$26,R420,R420-'P-Parametri'!$B$8*(S420+R420)+MIN(MAX(S420,0),'P-Parametri'!$B$8*(S420+R420)))</f>
        <v>36738.405892673516</v>
      </c>
      <c r="U420" s="18">
        <f>IF($A420&gt;'1-Input'!$B$26,S420,S420-MIN(MAX(S420,0),'P-Parametri'!$B$8*(S420+R420)))</f>
        <v>115364.83770084899</v>
      </c>
      <c r="V420" s="18">
        <f>IF($A420&gt;'1-Input'!$B$26,V419,V419-Q420*(1-P420))</f>
        <v>49652.668506667054</v>
      </c>
      <c r="W420" s="11">
        <f>IF($A420&gt;'1-Input'!$B$26,0,IF(AB419&lt;=0,0,MAX(0,(AB419-AC419)/AB419)))</f>
        <v>0.55797427409893319</v>
      </c>
      <c r="X420" s="18">
        <f>IF($A420&gt;'1-Input'!$B$26,0,(MAX(0,W396-IF($A420&gt;=('1-Input'!$C$12-1),'1-Input'!$B$12,0))-MIN(MAX(AA419,0),MAX(0,W396-IF($A420&gt;=('1-Input'!$C$12-1),'1-Input'!$B$12,0))))*(1/(1-'P-Parametri'!$B$6*W420))+MIN(MAX(0,AB419-(MAX(0,W396-IF($A420&gt;=('1-Input'!$C$12-1),'1-Input'!$B$12,0))-MIN(MAX(AA419,0),MAX(0,W396-IF($A420&gt;=('1-Input'!$C$12-1),'1-Input'!$B$12,0))))*(1/(1-'P-Parametri'!$B$6*W420))),MAX(0,2*W396-(AA419-MIN(MAX(AA419,0),MAX(0,W396-IF($A420&gt;=('1-Input'!$C$12-1),'1-Input'!$B$12,0)))))*(1/(1-'P-Parametri'!$B$6*W420))))</f>
        <v>8444.1266213654744</v>
      </c>
      <c r="Y420" s="18">
        <f>IF($A420&gt;'1-Input'!$B$26,AA419,(AA419-MAX(0,W396-IF($A420&gt;=('1-Input'!$C$12-1),'1-Input'!$B$12,0))+X420*(1-'P-Parametri'!$B$6*W420))*(1+'1-Input'!$B$27))</f>
        <v>36249.311394946351</v>
      </c>
      <c r="Z420" s="18">
        <f>IF($A420&gt;'1-Input'!$B$26,AB419,(AB419-X420)*(1+'5-Roberta'!$C$4))</f>
        <v>125039.04142502943</v>
      </c>
      <c r="AA420" s="18">
        <f>IF($A420&gt;'1-Input'!$B$26,Y420,Y420-'P-Parametri'!$B$8*(Z420+Y420)+MIN(MAX(Z420,0),'P-Parametri'!$B$8*(Z420+Y420)))</f>
        <v>36249.311394946351</v>
      </c>
      <c r="AB420" s="18">
        <f>IF($A420&gt;'1-Input'!$B$26,Z420,Z420-MIN(MAX(Z420,0),'P-Parametri'!$B$8*(Z420+Y420)))</f>
        <v>124716.46471938948</v>
      </c>
      <c r="AC420" s="18">
        <f>IF($A420&gt;'1-Input'!$B$26,AC419,AC419-X420*(1-W420))</f>
        <v>53660.653448419602</v>
      </c>
      <c r="AD420" s="11">
        <f>IF($A420&gt;'1-Input'!$B$26,0,IF(AI419&lt;=0,0,MAX(0,(AI419-AJ419)/AI419)))</f>
        <v>0.55798104228421841</v>
      </c>
      <c r="AE420" s="18">
        <f>IF($A420&gt;'1-Input'!$B$26,0,(MAX(0,AD396-IF($A420&gt;=('1-Input'!$C$12-1),'1-Input'!$B$12,0))-MIN(MAX(AH419,0),MAX(0,AD396-IF($A420&gt;=('1-Input'!$C$12-1),'1-Input'!$B$12,0))))*(1/(1-'P-Parametri'!$B$6*AD420))+MIN(MAX(0,AI419-(MAX(0,AD396-IF($A420&gt;=('1-Input'!$C$12-1),'1-Input'!$B$12,0))-MIN(MAX(AH419,0),MAX(0,AD396-IF($A420&gt;=('1-Input'!$C$12-1),'1-Input'!$B$12,0))))*(1/(1-'P-Parametri'!$B$6*AD420))),MAX(0,2*AD396-(AH419-MIN(MAX(AH419,0),MAX(0,AD396-IF($A420&gt;=('1-Input'!$C$12-1),'1-Input'!$B$12,0)))))*(1/(1-'P-Parametri'!$B$6*AD420))))</f>
        <v>8426.3869510391869</v>
      </c>
      <c r="AF420" s="18">
        <f>IF($A420&gt;'1-Input'!$B$26,AH419,(AH419-MAX(0,AD396-IF($A420&gt;=('1-Input'!$C$12-1),'1-Input'!$B$12,0))+AE420*(1-'P-Parametri'!$B$6*AD420))*(1+'1-Input'!$B$27))</f>
        <v>36219.275067787748</v>
      </c>
      <c r="AG420" s="18">
        <f>IF($A420&gt;'1-Input'!$B$26,AI419,(AI419-AE420)*(1+'5-Roberta'!$C$4))</f>
        <v>125614.44690090072</v>
      </c>
      <c r="AH420" s="18">
        <f>IF($A420&gt;'1-Input'!$B$26,AF420,AF420-'P-Parametri'!$B$8*(AG420+AF420)+MIN(MAX(AG420,0),'P-Parametri'!$B$8*(AG420+AF420)))</f>
        <v>36219.275067787748</v>
      </c>
      <c r="AI420" s="18">
        <f>IF($A420&gt;'1-Input'!$B$26,AG420,AG420-MIN(MAX(AG420,0),'P-Parametri'!$B$8*(AG420+AF420)))</f>
        <v>125290.77945696334</v>
      </c>
      <c r="AJ420" s="18">
        <f>IF($A420&gt;'1-Input'!$B$26,AJ419,AJ419-AE420*(1-AD420))</f>
        <v>53906.763973961672</v>
      </c>
      <c r="AK420" s="11">
        <f>IF($A420&gt;'1-Input'!$B$26,0,IF(AP419&lt;=0,0,MAX(0,(AP419-AQ419)/AP419)))</f>
        <v>0.55798108069442087</v>
      </c>
      <c r="AL420" s="18">
        <f>IF($A420&gt;'1-Input'!$B$26,0,(MAX(0,AK396-IF($A420&gt;=('1-Input'!$C$12-1),'1-Input'!$B$12,0))-MIN(MAX(AO419,0),MAX(0,AK396-IF($A420&gt;=('1-Input'!$C$12-1),'1-Input'!$B$12,0))))*(1/(1-'P-Parametri'!$B$6*AK420))+MIN(MAX(0,AP419-(MAX(0,AK396-IF($A420&gt;=('1-Input'!$C$12-1),'1-Input'!$B$12,0))-MIN(MAX(AO419,0),MAX(0,AK396-IF($A420&gt;=('1-Input'!$C$12-1),'1-Input'!$B$12,0))))*(1/(1-'P-Parametri'!$B$6*AK420))),MAX(0,2*AK396-(AO419-MIN(MAX(AO419,0),MAX(0,AK396-IF($A420&gt;=('1-Input'!$C$12-1),'1-Input'!$B$12,0)))))*(1/(1-'P-Parametri'!$B$6*AK420))))</f>
        <v>8426.2860412551436</v>
      </c>
      <c r="AM420" s="18">
        <f>IF($A420&gt;'1-Input'!$B$26,AO419,(AO419-MAX(0,AK396-IF($A420&gt;=('1-Input'!$C$12-1),'1-Input'!$B$12,0))+AL420*(1-'P-Parametri'!$B$6*AK420))*(1+'1-Input'!$B$27))</f>
        <v>36219.1042108291</v>
      </c>
      <c r="AN420" s="18">
        <f>IF($A420&gt;'1-Input'!$B$26,AP419,(AP419-AL420)*(1+'5-Roberta'!$C$4))</f>
        <v>125617.72000886411</v>
      </c>
      <c r="AO420" s="18">
        <f>IF($A420&gt;'1-Input'!$B$26,AM420,AM420-'P-Parametri'!$B$8*(AN420+AM420)+MIN(MAX(AN420,0),'P-Parametri'!$B$8*(AN420+AM420)))</f>
        <v>36219.1042108291</v>
      </c>
      <c r="AP420" s="18">
        <f>IF($A420&gt;'1-Input'!$B$26,AN420,AN420-MIN(MAX(AN420,0),'P-Parametri'!$B$8*(AN420+AM420)))</f>
        <v>125294.04636042472</v>
      </c>
      <c r="AQ420" s="18">
        <f>IF($A420&gt;'1-Input'!$B$26,AQ419,AQ419-AL420*(1-AK420))</f>
        <v>53908.163926164016</v>
      </c>
    </row>
    <row r="421" spans="1:43">
      <c r="A421" s="10">
        <f>23</f>
        <v>23</v>
      </c>
      <c r="B421" s="11">
        <f>IF($A421&gt;'1-Input'!$B$26,0,IF(G420&lt;=0,0,MAX(0,(G420-H420)/G420)))</f>
        <v>0.57037424595366426</v>
      </c>
      <c r="C421" s="18">
        <f>IF($A421&gt;'1-Input'!$B$26,0,(MAX(0,B396-IF($A421&gt;=('1-Input'!$C$12-1),'1-Input'!$B$12,0))-MIN(MAX(F420,0),MAX(0,B396-IF($A421&gt;=('1-Input'!$C$12-1),'1-Input'!$B$12,0))))*(1/(1-'P-Parametri'!$B$6*B421))+MIN(MAX(0,G420-(MAX(0,B396-IF($A421&gt;=('1-Input'!$C$12-1),'1-Input'!$B$12,0))-MIN(MAX(F420,0),MAX(0,B396-IF($A421&gt;=('1-Input'!$C$12-1),'1-Input'!$B$12,0))))*(1/(1-'P-Parametri'!$B$6*B421))),MAX(0,2*B396-(F420-MIN(MAX(F420,0),MAX(0,B396-IF($A421&gt;=('1-Input'!$C$12-1),'1-Input'!$B$12,0)))))*(1/(1-'P-Parametri'!$B$6*B421))))</f>
        <v>6691.4886371838302</v>
      </c>
      <c r="D421" s="18">
        <f>IF($A421&gt;'1-Input'!$B$26,F420,(F420-MAX(0,B396-IF($A421&gt;=('1-Input'!$C$12-1),'1-Input'!$B$12,0))+C421*(1-'P-Parametri'!$B$6*B421))*(1+'1-Input'!$B$27))</f>
        <v>33242.0070309863</v>
      </c>
      <c r="E421" s="18">
        <f>IF($A421&gt;'1-Input'!$B$26,G420,(G420-C421)*(1+'5-Roberta'!$C$4))</f>
        <v>180798.28375443877</v>
      </c>
      <c r="F421" s="18">
        <f>IF($A421&gt;'1-Input'!$B$26,D421,D421-'P-Parametri'!$B$8*(E421+D421)+MIN(MAX(E421,0),'P-Parametri'!$B$8*(E421+D421)))</f>
        <v>33242.0070309863</v>
      </c>
      <c r="G421" s="18">
        <f>IF($A421&gt;'1-Input'!$B$26,E421,E421-MIN(MAX(E421,0),'P-Parametri'!$B$8*(E421+D421)))</f>
        <v>180370.20317286791</v>
      </c>
      <c r="H421" s="18">
        <f>IF($A421&gt;'1-Input'!$B$26,H420,H420-C421*(1-B421))</f>
        <v>75413.20290124671</v>
      </c>
      <c r="I421" s="11">
        <f>IF($A421&gt;'1-Input'!$B$26,0,IF(N420&lt;=0,0,MAX(0,(N420-O420)/N420)))</f>
        <v>0</v>
      </c>
      <c r="J421" s="18">
        <f>IF($A421&gt;'1-Input'!$B$26,0,(MAX(0,I396-IF($A421&gt;=('1-Input'!$C$12-1),'1-Input'!$B$12,0))-MIN(MAX(M420,0),MAX(0,I396-IF($A421&gt;=('1-Input'!$C$12-1),'1-Input'!$B$12,0))))*(1/(1-'P-Parametri'!$B$6*I421))+MIN(MAX(0,N420-(MAX(0,I396-IF($A421&gt;=('1-Input'!$C$12-1),'1-Input'!$B$12,0))-MIN(MAX(M420,0),MAX(0,I396-IF($A421&gt;=('1-Input'!$C$12-1),'1-Input'!$B$12,0))))*(1/(1-'P-Parametri'!$B$6*I421))),MAX(0,2*I396-(M420-MIN(MAX(M420,0),MAX(0,I396-IF($A421&gt;=('1-Input'!$C$12-1),'1-Input'!$B$12,0)))))*(1/(1-'P-Parametri'!$B$6*I421))))</f>
        <v>0</v>
      </c>
      <c r="K421" s="18">
        <f>IF($A421&gt;'1-Input'!$B$26,M420,(M420-MAX(0,I396-IF($A421&gt;=('1-Input'!$C$12-1),'1-Input'!$B$12,0))+J421*(1-'P-Parametri'!$B$6*I421))*(1+'1-Input'!$B$27))</f>
        <v>17669.008493087225</v>
      </c>
      <c r="L421" s="18">
        <f>IF($A421&gt;'1-Input'!$B$26,N420,(N420-J421)*(1+'5-Roberta'!$C$4))</f>
        <v>0</v>
      </c>
      <c r="M421" s="18">
        <f>IF($A421&gt;'1-Input'!$B$26,K421,K421-'P-Parametri'!$B$8*(L421+K421)+MIN(MAX(L421,0),'P-Parametri'!$B$8*(L421+K421)))</f>
        <v>17633.670476101051</v>
      </c>
      <c r="N421" s="18">
        <f>IF($A421&gt;'1-Input'!$B$26,L421,L421-MIN(MAX(L421,0),'P-Parametri'!$B$8*(L421+K421)))</f>
        <v>0</v>
      </c>
      <c r="O421" s="18">
        <f>IF($A421&gt;'1-Input'!$B$26,O420,O420-J421*(1-I421))</f>
        <v>0</v>
      </c>
      <c r="P421" s="11">
        <f>IF($A421&gt;'1-Input'!$B$26,0,IF(U420&lt;=0,0,MAX(0,(U420-V420)/U420)))</f>
        <v>0.56960310007611925</v>
      </c>
      <c r="Q421" s="18">
        <f>IF($A421&gt;'1-Input'!$B$26,0,(MAX(0,P396-IF($A421&gt;=('1-Input'!$C$12-1),'1-Input'!$B$12,0))-MIN(MAX(T420,0),MAX(0,P396-IF($A421&gt;=('1-Input'!$C$12-1),'1-Input'!$B$12,0))))*(1/(1-'P-Parametri'!$B$6*P421))+MIN(MAX(0,U420-(MAX(0,P396-IF($A421&gt;=('1-Input'!$C$12-1),'1-Input'!$B$12,0))-MIN(MAX(T420,0),MAX(0,P396-IF($A421&gt;=('1-Input'!$C$12-1),'1-Input'!$B$12,0))))*(1/(1-'P-Parametri'!$B$6*P421))),MAX(0,2*P396-(T420-MIN(MAX(T420,0),MAX(0,P396-IF($A421&gt;=('1-Input'!$C$12-1),'1-Input'!$B$12,0)))))*(1/(1-'P-Parametri'!$B$6*P421))))</f>
        <v>8764.267073907944</v>
      </c>
      <c r="R421" s="18">
        <f>IF($A421&gt;'1-Input'!$B$26,T420,(T420-MAX(0,P396-IF($A421&gt;=('1-Input'!$C$12-1),'1-Input'!$B$12,0))+Q421*(1-'P-Parametri'!$B$6*P421))*(1+'1-Input'!$B$27))</f>
        <v>36738.405892673516</v>
      </c>
      <c r="S421" s="18">
        <f>IF($A421&gt;'1-Input'!$B$26,U420,(U420-Q421)*(1+'5-Roberta'!$C$4))</f>
        <v>109798.58774574928</v>
      </c>
      <c r="T421" s="18">
        <f>IF($A421&gt;'1-Input'!$B$26,R421,R421-'P-Parametri'!$B$8*(S421+R421)+MIN(MAX(S421,0),'P-Parametri'!$B$8*(S421+R421)))</f>
        <v>36738.405892673516</v>
      </c>
      <c r="U421" s="18">
        <f>IF($A421&gt;'1-Input'!$B$26,S421,S421-MIN(MAX(S421,0),'P-Parametri'!$B$8*(S421+R421)))</f>
        <v>109505.51375847243</v>
      </c>
      <c r="V421" s="18">
        <f>IF($A421&gt;'1-Input'!$B$26,V420,V420-Q421*(1-P421))</f>
        <v>45880.555127952131</v>
      </c>
      <c r="W421" s="11">
        <f>IF($A421&gt;'1-Input'!$B$26,0,IF(AB420&lt;=0,0,MAX(0,(AB420-AC420)/AB420)))</f>
        <v>0.56973881861424303</v>
      </c>
      <c r="X421" s="18">
        <f>IF($A421&gt;'1-Input'!$B$26,0,(MAX(0,W396-IF($A421&gt;=('1-Input'!$C$12-1),'1-Input'!$B$12,0))-MIN(MAX(AA420,0),MAX(0,W396-IF($A421&gt;=('1-Input'!$C$12-1),'1-Input'!$B$12,0))))*(1/(1-'P-Parametri'!$B$6*W421))+MIN(MAX(0,AB420-(MAX(0,W396-IF($A421&gt;=('1-Input'!$C$12-1),'1-Input'!$B$12,0))-MIN(MAX(AA420,0),MAX(0,W396-IF($A421&gt;=('1-Input'!$C$12-1),'1-Input'!$B$12,0))))*(1/(1-'P-Parametri'!$B$6*W421))),MAX(0,2*W396-(AA420-MIN(MAX(AA420,0),MAX(0,W396-IF($A421&gt;=('1-Input'!$C$12-1),'1-Input'!$B$12,0)))))*(1/(1-'P-Parametri'!$B$6*W421))))</f>
        <v>8474.4467434180715</v>
      </c>
      <c r="Y421" s="18">
        <f>IF($A421&gt;'1-Input'!$B$26,AA420,(AA420-MAX(0,W396-IF($A421&gt;=('1-Input'!$C$12-1),'1-Input'!$B$12,0))+X421*(1-'P-Parametri'!$B$6*W421))*(1+'1-Input'!$B$27))</f>
        <v>36249.311394946351</v>
      </c>
      <c r="Z421" s="18">
        <f>IF($A421&gt;'1-Input'!$B$26,AB420,(AB420-X421)*(1+'5-Roberta'!$C$4))</f>
        <v>119729.27851525055</v>
      </c>
      <c r="AA421" s="18">
        <f>IF($A421&gt;'1-Input'!$B$26,Y421,Y421-'P-Parametri'!$B$8*(Z421+Y421)+MIN(MAX(Z421,0),'P-Parametri'!$B$8*(Z421+Y421)))</f>
        <v>36249.311394946351</v>
      </c>
      <c r="AB421" s="18">
        <f>IF($A421&gt;'1-Input'!$B$26,Z421,Z421-MIN(MAX(Z421,0),'P-Parametri'!$B$8*(Z421+Y421)))</f>
        <v>119417.32133543016</v>
      </c>
      <c r="AC421" s="18">
        <f>IF($A421&gt;'1-Input'!$B$26,AC420,AC420-X421*(1-W421))</f>
        <v>50014.427981005865</v>
      </c>
      <c r="AD421" s="11">
        <f>IF($A421&gt;'1-Input'!$B$26,0,IF(AI420&lt;=0,0,MAX(0,(AI420-AJ420)/AI420)))</f>
        <v>0.56974675863934321</v>
      </c>
      <c r="AE421" s="18">
        <f>IF($A421&gt;'1-Input'!$B$26,0,(MAX(0,AD396-IF($A421&gt;=('1-Input'!$C$12-1),'1-Input'!$B$12,0))-MIN(MAX(AH420,0),MAX(0,AD396-IF($A421&gt;=('1-Input'!$C$12-1),'1-Input'!$B$12,0))))*(1/(1-'P-Parametri'!$B$6*AD421))+MIN(MAX(0,AI420-(MAX(0,AD396-IF($A421&gt;=('1-Input'!$C$12-1),'1-Input'!$B$12,0))-MIN(MAX(AH420,0),MAX(0,AD396-IF($A421&gt;=('1-Input'!$C$12-1),'1-Input'!$B$12,0))))*(1/(1-'P-Parametri'!$B$6*AD421))),MAX(0,2*AD396-(AH420-MIN(MAX(AH420,0),MAX(0,AD396-IF($A421&gt;=('1-Input'!$C$12-1),'1-Input'!$B$12,0)))))*(1/(1-'P-Parametri'!$B$6*AD421))))</f>
        <v>8456.6464627898131</v>
      </c>
      <c r="AF421" s="18">
        <f>IF($A421&gt;'1-Input'!$B$26,AH420,(AH420-MAX(0,AD396-IF($A421&gt;=('1-Input'!$C$12-1),'1-Input'!$B$12,0))+AE421*(1-'P-Parametri'!$B$6*AD421))*(1+'1-Input'!$B$27))</f>
        <v>36219.275067787748</v>
      </c>
      <c r="AG421" s="18">
        <f>IF($A421&gt;'1-Input'!$B$26,AI420,(AI420-AE421)*(1+'5-Roberta'!$C$4))</f>
        <v>120339.15698399874</v>
      </c>
      <c r="AH421" s="18">
        <f>IF($A421&gt;'1-Input'!$B$26,AF421,AF421-'P-Parametri'!$B$8*(AG421+AF421)+MIN(MAX(AG421,0),'P-Parametri'!$B$8*(AG421+AF421)))</f>
        <v>36219.275067787748</v>
      </c>
      <c r="AI421" s="18">
        <f>IF($A421&gt;'1-Input'!$B$26,AG421,AG421-MIN(MAX(AG421,0),'P-Parametri'!$B$8*(AG421+AF421)))</f>
        <v>120026.04011989516</v>
      </c>
      <c r="AJ421" s="18">
        <f>IF($A421&gt;'1-Input'!$B$26,AJ420,AJ420-AE421*(1-AD421))</f>
        <v>50268.264422305219</v>
      </c>
      <c r="AK421" s="11">
        <f>IF($A421&gt;'1-Input'!$B$26,0,IF(AP420&lt;=0,0,MAX(0,(AP420-AQ420)/AP420)))</f>
        <v>0.56974680368219477</v>
      </c>
      <c r="AL421" s="18">
        <f>IF($A421&gt;'1-Input'!$B$26,0,(MAX(0,AK396-IF($A421&gt;=('1-Input'!$C$12-1),'1-Input'!$B$12,0))-MIN(MAX(AO420,0),MAX(0,AK396-IF($A421&gt;=('1-Input'!$C$12-1),'1-Input'!$B$12,0))))*(1/(1-'P-Parametri'!$B$6*AK421))+MIN(MAX(0,AP420-(MAX(0,AK396-IF($A421&gt;=('1-Input'!$C$12-1),'1-Input'!$B$12,0))-MIN(MAX(AO420,0),MAX(0,AK396-IF($A421&gt;=('1-Input'!$C$12-1),'1-Input'!$B$12,0))))*(1/(1-'P-Parametri'!$B$6*AK421))),MAX(0,2*AK396-(AO420-MIN(MAX(AO420,0),MAX(0,AK396-IF($A421&gt;=('1-Input'!$C$12-1),'1-Input'!$B$12,0)))))*(1/(1-'P-Parametri'!$B$6*AK421))))</f>
        <v>8456.545208108344</v>
      </c>
      <c r="AM421" s="18">
        <f>IF($A421&gt;'1-Input'!$B$26,AO420,(AO420-MAX(0,AK396-IF($A421&gt;=('1-Input'!$C$12-1),'1-Input'!$B$12,0))+AL421*(1-'P-Parametri'!$B$6*AK421))*(1+'1-Input'!$B$27))</f>
        <v>36219.1042108291</v>
      </c>
      <c r="AN421" s="18">
        <f>IF($A421&gt;'1-Input'!$B$26,AP420,(AP420-AL421)*(1+'5-Roberta'!$C$4))</f>
        <v>120342.62618688587</v>
      </c>
      <c r="AO421" s="18">
        <f>IF($A421&gt;'1-Input'!$B$26,AM421,AM421-'P-Parametri'!$B$8*(AN421+AM421)+MIN(MAX(AN421,0),'P-Parametri'!$B$8*(AN421+AM421)))</f>
        <v>36219.1042108291</v>
      </c>
      <c r="AP421" s="18">
        <f>IF($A421&gt;'1-Input'!$B$26,AN421,AN421-MIN(MAX(AN421,0),'P-Parametri'!$B$8*(AN421+AM421)))</f>
        <v>120029.50272609045</v>
      </c>
      <c r="AQ421" s="18">
        <f>IF($A421&gt;'1-Input'!$B$26,AQ420,AQ420-AL421*(1-AK421))</f>
        <v>50269.708320569378</v>
      </c>
    </row>
    <row r="422" spans="1:43">
      <c r="A422" s="10">
        <f>24</f>
        <v>24</v>
      </c>
      <c r="B422" s="11">
        <f>IF($A422&gt;'1-Input'!$B$26,0,IF(G421&lt;=0,0,MAX(0,(G421-H421)/G421)))</f>
        <v>0.58189766616290706</v>
      </c>
      <c r="C422" s="18">
        <f>IF($A422&gt;'1-Input'!$B$26,0,(MAX(0,B396-IF($A422&gt;=('1-Input'!$C$12-1),'1-Input'!$B$12,0))-MIN(MAX(F421,0),MAX(0,B396-IF($A422&gt;=('1-Input'!$C$12-1),'1-Input'!$B$12,0))))*(1/(1-'P-Parametri'!$B$6*B422))+MIN(MAX(0,G421-(MAX(0,B396-IF($A422&gt;=('1-Input'!$C$12-1),'1-Input'!$B$12,0))-MIN(MAX(F421,0),MAX(0,B396-IF($A422&gt;=('1-Input'!$C$12-1),'1-Input'!$B$12,0))))*(1/(1-'P-Parametri'!$B$6*B422))),MAX(0,2*B396-(F421-MIN(MAX(F421,0),MAX(0,B396-IF($A422&gt;=('1-Input'!$C$12-1),'1-Input'!$B$12,0)))))*(1/(1-'P-Parametri'!$B$6*B422))))</f>
        <v>6715.110813612353</v>
      </c>
      <c r="D422" s="18">
        <f>IF($A422&gt;'1-Input'!$B$26,F421,(F421-MAX(0,B396-IF($A422&gt;=('1-Input'!$C$12-1),'1-Input'!$B$12,0))+C422*(1-'P-Parametri'!$B$6*B422))*(1+'1-Input'!$B$27))</f>
        <v>33242.0070309863</v>
      </c>
      <c r="E422" s="18">
        <f>IF($A422&gt;'1-Input'!$B$26,G421,(G421-C422)*(1+'5-Roberta'!$C$4))</f>
        <v>178864.74513003323</v>
      </c>
      <c r="F422" s="18">
        <f>IF($A422&gt;'1-Input'!$B$26,D422,D422-'P-Parametri'!$B$8*(E422+D422)+MIN(MAX(E422,0),'P-Parametri'!$B$8*(E422+D422)))</f>
        <v>33242.0070309863</v>
      </c>
      <c r="G422" s="18">
        <f>IF($A422&gt;'1-Input'!$B$26,E422,E422-MIN(MAX(E422,0),'P-Parametri'!$B$8*(E422+D422)))</f>
        <v>178440.53162571118</v>
      </c>
      <c r="H422" s="18">
        <f>IF($A422&gt;'1-Input'!$B$26,H421,H421-C422*(1-B422))</f>
        <v>72605.59939810069</v>
      </c>
      <c r="I422" s="11">
        <f>IF($A422&gt;'1-Input'!$B$26,0,IF(N421&lt;=0,0,MAX(0,(N421-O421)/N421)))</f>
        <v>0</v>
      </c>
      <c r="J422" s="18">
        <f>IF($A422&gt;'1-Input'!$B$26,0,(MAX(0,I396-IF($A422&gt;=('1-Input'!$C$12-1),'1-Input'!$B$12,0))-MIN(MAX(M421,0),MAX(0,I396-IF($A422&gt;=('1-Input'!$C$12-1),'1-Input'!$B$12,0))))*(1/(1-'P-Parametri'!$B$6*I422))+MIN(MAX(0,N421-(MAX(0,I396-IF($A422&gt;=('1-Input'!$C$12-1),'1-Input'!$B$12,0))-MIN(MAX(M421,0),MAX(0,I396-IF($A422&gt;=('1-Input'!$C$12-1),'1-Input'!$B$12,0))))*(1/(1-'P-Parametri'!$B$6*I422))),MAX(0,2*I396-(M421-MIN(MAX(M421,0),MAX(0,I396-IF($A422&gt;=('1-Input'!$C$12-1),'1-Input'!$B$12,0)))))*(1/(1-'P-Parametri'!$B$6*I422))))</f>
        <v>0</v>
      </c>
      <c r="K422" s="18">
        <f>IF($A422&gt;'1-Input'!$B$26,M421,(M421-MAX(0,I396-IF($A422&gt;=('1-Input'!$C$12-1),'1-Input'!$B$12,0))+J422*(1-'P-Parametri'!$B$6*I422))*(1+'1-Input'!$B$27))</f>
        <v>6762.4805946329398</v>
      </c>
      <c r="L422" s="18">
        <f>IF($A422&gt;'1-Input'!$B$26,N421,(N421-J422)*(1+'5-Roberta'!$C$4))</f>
        <v>0</v>
      </c>
      <c r="M422" s="18">
        <f>IF($A422&gt;'1-Input'!$B$26,K422,K422-'P-Parametri'!$B$8*(L422+K422)+MIN(MAX(L422,0),'P-Parametri'!$B$8*(L422+K422)))</f>
        <v>6748.9556334436738</v>
      </c>
      <c r="N422" s="18">
        <f>IF($A422&gt;'1-Input'!$B$26,L422,L422-MIN(MAX(L422,0),'P-Parametri'!$B$8*(L422+K422)))</f>
        <v>0</v>
      </c>
      <c r="O422" s="18">
        <f>IF($A422&gt;'1-Input'!$B$26,O421,O421-J422*(1-I422))</f>
        <v>0</v>
      </c>
      <c r="P422" s="11">
        <f>IF($A422&gt;'1-Input'!$B$26,0,IF(U421&lt;=0,0,MAX(0,(U421-V421)/U421)))</f>
        <v>0.58102059382007731</v>
      </c>
      <c r="Q422" s="18">
        <f>IF($A422&gt;'1-Input'!$B$26,0,(MAX(0,P396-IF($A422&gt;=('1-Input'!$C$12-1),'1-Input'!$B$12,0))-MIN(MAX(T421,0),MAX(0,P396-IF($A422&gt;=('1-Input'!$C$12-1),'1-Input'!$B$12,0))))*(1/(1-'P-Parametri'!$B$6*P422))+MIN(MAX(0,U421-(MAX(0,P396-IF($A422&gt;=('1-Input'!$C$12-1),'1-Input'!$B$12,0))-MIN(MAX(T421,0),MAX(0,P396-IF($A422&gt;=('1-Input'!$C$12-1),'1-Input'!$B$12,0))))*(1/(1-'P-Parametri'!$B$6*P422))),MAX(0,2*P396-(T421-MIN(MAX(T421,0),MAX(0,P396-IF($A422&gt;=('1-Input'!$C$12-1),'1-Input'!$B$12,0)))))*(1/(1-'P-Parametri'!$B$6*P422))))</f>
        <v>8794.9138980200041</v>
      </c>
      <c r="R422" s="18">
        <f>IF($A422&gt;'1-Input'!$B$26,T421,(T421-MAX(0,P396-IF($A422&gt;=('1-Input'!$C$12-1),'1-Input'!$B$12,0))+Q422*(1-'P-Parametri'!$B$6*P422))*(1+'1-Input'!$B$27))</f>
        <v>36738.405892673516</v>
      </c>
      <c r="S422" s="18">
        <f>IF($A422&gt;'1-Input'!$B$26,U421,(U421-Q422)*(1+'5-Roberta'!$C$4))</f>
        <v>103731.91785626599</v>
      </c>
      <c r="T422" s="18">
        <f>IF($A422&gt;'1-Input'!$B$26,R422,R422-'P-Parametri'!$B$8*(S422+R422)+MIN(MAX(S422,0),'P-Parametri'!$B$8*(S422+R422)))</f>
        <v>36738.405892673516</v>
      </c>
      <c r="U422" s="18">
        <f>IF($A422&gt;'1-Input'!$B$26,S422,S422-MIN(MAX(S422,0),'P-Parametri'!$B$8*(S422+R422)))</f>
        <v>103450.97720876812</v>
      </c>
      <c r="V422" s="18">
        <f>IF($A422&gt;'1-Input'!$B$26,V421,V421-Q422*(1-P422))</f>
        <v>42195.667325556162</v>
      </c>
      <c r="W422" s="11">
        <f>IF($A422&gt;'1-Input'!$B$26,0,IF(AB421&lt;=0,0,MAX(0,(AB421-AC421)/AB421)))</f>
        <v>0.58117945184416908</v>
      </c>
      <c r="X422" s="18">
        <f>IF($A422&gt;'1-Input'!$B$26,0,(MAX(0,W396-IF($A422&gt;=('1-Input'!$C$12-1),'1-Input'!$B$12,0))-MIN(MAX(AA421,0),MAX(0,W396-IF($A422&gt;=('1-Input'!$C$12-1),'1-Input'!$B$12,0))))*(1/(1-'P-Parametri'!$B$6*W422))+MIN(MAX(0,AB421-(MAX(0,W396-IF($A422&gt;=('1-Input'!$C$12-1),'1-Input'!$B$12,0))-MIN(MAX(AA421,0),MAX(0,W396-IF($A422&gt;=('1-Input'!$C$12-1),'1-Input'!$B$12,0))))*(1/(1-'P-Parametri'!$B$6*W422))),MAX(0,2*W396-(AA421-MIN(MAX(AA421,0),MAX(0,W396-IF($A422&gt;=('1-Input'!$C$12-1),'1-Input'!$B$12,0)))))*(1/(1-'P-Parametri'!$B$6*W422))))</f>
        <v>8504.1416277598782</v>
      </c>
      <c r="Y422" s="18">
        <f>IF($A422&gt;'1-Input'!$B$26,AA421,(AA421-MAX(0,W396-IF($A422&gt;=('1-Input'!$C$12-1),'1-Input'!$B$12,0))+X422*(1-'P-Parametri'!$B$6*W422))*(1+'1-Input'!$B$27))</f>
        <v>36249.311394946351</v>
      </c>
      <c r="Z422" s="18">
        <f>IF($A422&gt;'1-Input'!$B$26,AB421,(AB421-X422)*(1+'5-Roberta'!$C$4))</f>
        <v>114240.57509890039</v>
      </c>
      <c r="AA422" s="18">
        <f>IF($A422&gt;'1-Input'!$B$26,Y422,Y422-'P-Parametri'!$B$8*(Z422+Y422)+MIN(MAX(Z422,0),'P-Parametri'!$B$8*(Z422+Y422)))</f>
        <v>36249.311394946351</v>
      </c>
      <c r="AB422" s="18">
        <f>IF($A422&gt;'1-Input'!$B$26,Z422,Z422-MIN(MAX(Z422,0),'P-Parametri'!$B$8*(Z422+Y422)))</f>
        <v>113939.5953259127</v>
      </c>
      <c r="AC422" s="18">
        <f>IF($A422&gt;'1-Input'!$B$26,AC421,AC421-X422*(1-W422))</f>
        <v>46452.718722872654</v>
      </c>
      <c r="AD422" s="11">
        <f>IF($A422&gt;'1-Input'!$B$26,0,IF(AI421&lt;=0,0,MAX(0,(AI421-AJ421)/AI421)))</f>
        <v>0.58118867895590187</v>
      </c>
      <c r="AE422" s="18">
        <f>IF($A422&gt;'1-Input'!$B$26,0,(MAX(0,AD396-IF($A422&gt;=('1-Input'!$C$12-1),'1-Input'!$B$12,0))-MIN(MAX(AH421,0),MAX(0,AD396-IF($A422&gt;=('1-Input'!$C$12-1),'1-Input'!$B$12,0))))*(1/(1-'P-Parametri'!$B$6*AD422))+MIN(MAX(0,AI421-(MAX(0,AD396-IF($A422&gt;=('1-Input'!$C$12-1),'1-Input'!$B$12,0))-MIN(MAX(AH421,0),MAX(0,AD396-IF($A422&gt;=('1-Input'!$C$12-1),'1-Input'!$B$12,0))))*(1/(1-'P-Parametri'!$B$6*AD422))),MAX(0,2*AD396-(AH421-MIN(MAX(AH421,0),MAX(0,AD396-IF($A422&gt;=('1-Input'!$C$12-1),'1-Input'!$B$12,0)))))*(1/(1-'P-Parametri'!$B$6*AD422))))</f>
        <v>8486.282391511093</v>
      </c>
      <c r="AF422" s="18">
        <f>IF($A422&gt;'1-Input'!$B$26,AH421,(AH421-MAX(0,AD396-IF($A422&gt;=('1-Input'!$C$12-1),'1-Input'!$B$12,0))+AE422*(1-'P-Parametri'!$B$6*AD422))*(1+'1-Input'!$B$27))</f>
        <v>36219.275067787748</v>
      </c>
      <c r="AG422" s="18">
        <f>IF($A422&gt;'1-Input'!$B$26,AI421,(AI421-AE422)*(1+'5-Roberta'!$C$4))</f>
        <v>114885.95046023559</v>
      </c>
      <c r="AH422" s="18">
        <f>IF($A422&gt;'1-Input'!$B$26,AF422,AF422-'P-Parametri'!$B$8*(AG422+AF422)+MIN(MAX(AG422,0),'P-Parametri'!$B$8*(AG422+AF422)))</f>
        <v>36219.275067787748</v>
      </c>
      <c r="AI422" s="18">
        <f>IF($A422&gt;'1-Input'!$B$26,AG422,AG422-MIN(MAX(AG422,0),'P-Parametri'!$B$8*(AG422+AF422)))</f>
        <v>114583.74000917954</v>
      </c>
      <c r="AJ422" s="18">
        <f>IF($A422&gt;'1-Input'!$B$26,AJ421,AJ421-AE422*(1-AD422))</f>
        <v>46714.113283163191</v>
      </c>
      <c r="AK422" s="11">
        <f>IF($A422&gt;'1-Input'!$B$26,0,IF(AP421&lt;=0,0,MAX(0,(AP421-AQ421)/AP421)))</f>
        <v>0.58118873127979387</v>
      </c>
      <c r="AL422" s="18">
        <f>IF($A422&gt;'1-Input'!$B$26,0,(MAX(0,AK396-IF($A422&gt;=('1-Input'!$C$12-1),'1-Input'!$B$12,0))-MIN(MAX(AO421,0),MAX(0,AK396-IF($A422&gt;=('1-Input'!$C$12-1),'1-Input'!$B$12,0))))*(1/(1-'P-Parametri'!$B$6*AK422))+MIN(MAX(0,AP421-(MAX(0,AK396-IF($A422&gt;=('1-Input'!$C$12-1),'1-Input'!$B$12,0))-MIN(MAX(AO421,0),MAX(0,AK396-IF($A422&gt;=('1-Input'!$C$12-1),'1-Input'!$B$12,0))))*(1/(1-'P-Parametri'!$B$6*AK422))),MAX(0,2*AK396-(AO421-MIN(MAX(AO421,0),MAX(0,AK396-IF($A422&gt;=('1-Input'!$C$12-1),'1-Input'!$B$12,0)))))*(1/(1-'P-Parametri'!$B$6*AK422))))</f>
        <v>8486.1808013207192</v>
      </c>
      <c r="AM422" s="18">
        <f>IF($A422&gt;'1-Input'!$B$26,AO421,(AO421-MAX(0,AK396-IF($A422&gt;=('1-Input'!$C$12-1),'1-Input'!$B$12,0))+AL422*(1-'P-Parametri'!$B$6*AK422))*(1+'1-Input'!$B$27))</f>
        <v>36219.1042108291</v>
      </c>
      <c r="AN422" s="18">
        <f>IF($A422&gt;'1-Input'!$B$26,AP421,(AP421-AL422)*(1+'5-Roberta'!$C$4))</f>
        <v>114889.62158251282</v>
      </c>
      <c r="AO422" s="18">
        <f>IF($A422&gt;'1-Input'!$B$26,AM422,AM422-'P-Parametri'!$B$8*(AN422+AM422)+MIN(MAX(AN422,0),'P-Parametri'!$B$8*(AN422+AM422)))</f>
        <v>36219.1042108291</v>
      </c>
      <c r="AP422" s="18">
        <f>IF($A422&gt;'1-Input'!$B$26,AN422,AN422-MIN(MAX(AN422,0),'P-Parametri'!$B$8*(AN422+AM422)))</f>
        <v>114587.40413092614</v>
      </c>
      <c r="AQ422" s="18">
        <f>IF($A422&gt;'1-Input'!$B$26,AQ421,AQ421-AL422*(1-AK422))</f>
        <v>46715.600172579194</v>
      </c>
    </row>
    <row r="423" spans="1:43">
      <c r="A423" s="10">
        <f>25</f>
        <v>25</v>
      </c>
      <c r="B423" s="11">
        <f>IF($A423&gt;'1-Input'!$B$26,0,IF(G422&lt;=0,0,MAX(0,(G422-H422)/G422)))</f>
        <v>0.59311038396593141</v>
      </c>
      <c r="C423" s="18">
        <f>IF($A423&gt;'1-Input'!$B$26,0,(MAX(0,B396-IF($A423&gt;=('1-Input'!$C$12-1),'1-Input'!$B$12,0))-MIN(MAX(F422,0),MAX(0,B396-IF($A423&gt;=('1-Input'!$C$12-1),'1-Input'!$B$12,0))))*(1/(1-'P-Parametri'!$B$6*B423))+MIN(MAX(0,G422-(MAX(0,B396-IF($A423&gt;=('1-Input'!$C$12-1),'1-Input'!$B$12,0))-MIN(MAX(F422,0),MAX(0,B396-IF($A423&gt;=('1-Input'!$C$12-1),'1-Input'!$B$12,0))))*(1/(1-'P-Parametri'!$B$6*B423))),MAX(0,2*B396-(F422-MIN(MAX(F422,0),MAX(0,B396-IF($A423&gt;=('1-Input'!$C$12-1),'1-Input'!$B$12,0)))))*(1/(1-'P-Parametri'!$B$6*B423))))</f>
        <v>6738.2567209585859</v>
      </c>
      <c r="D423" s="18">
        <f>IF($A423&gt;'1-Input'!$B$26,F422,(F422-MAX(0,B396-IF($A423&gt;=('1-Input'!$C$12-1),'1-Input'!$B$12,0))+C423*(1-'P-Parametri'!$B$6*B423))*(1+'1-Input'!$B$27))</f>
        <v>33242.0070309863</v>
      </c>
      <c r="E423" s="18">
        <f>IF($A423&gt;'1-Input'!$B$26,G422,(G422-C423)*(1+'5-Roberta'!$C$4))</f>
        <v>176853.34315189515</v>
      </c>
      <c r="F423" s="18">
        <f>IF($A423&gt;'1-Input'!$B$26,D423,D423-'P-Parametri'!$B$8*(E423+D423)+MIN(MAX(E423,0),'P-Parametri'!$B$8*(E423+D423)))</f>
        <v>33242.0070309863</v>
      </c>
      <c r="G423" s="18">
        <f>IF($A423&gt;'1-Input'!$B$26,E423,E423-MIN(MAX(E423,0),'P-Parametri'!$B$8*(E423+D423)))</f>
        <v>176433.1524515294</v>
      </c>
      <c r="H423" s="18">
        <f>IF($A423&gt;'1-Input'!$B$26,H422,H422-C423*(1-B423))</f>
        <v>69863.872708170864</v>
      </c>
      <c r="I423" s="11">
        <f>IF($A423&gt;'1-Input'!$B$26,0,IF(N422&lt;=0,0,MAX(0,(N422-O422)/N422)))</f>
        <v>0</v>
      </c>
      <c r="J423" s="18">
        <f>IF($A423&gt;'1-Input'!$B$26,0,(MAX(0,I396-IF($A423&gt;=('1-Input'!$C$12-1),'1-Input'!$B$12,0))-MIN(MAX(M422,0),MAX(0,I396-IF($A423&gt;=('1-Input'!$C$12-1),'1-Input'!$B$12,0))))*(1/(1-'P-Parametri'!$B$6*I423))+MIN(MAX(0,N422-(MAX(0,I396-IF($A423&gt;=('1-Input'!$C$12-1),'1-Input'!$B$12,0))-MIN(MAX(M422,0),MAX(0,I396-IF($A423&gt;=('1-Input'!$C$12-1),'1-Input'!$B$12,0))))*(1/(1-'P-Parametri'!$B$6*I423))),MAX(0,2*I396-(M422-MIN(MAX(M422,0),MAX(0,I396-IF($A423&gt;=('1-Input'!$C$12-1),'1-Input'!$B$12,0)))))*(1/(1-'P-Parametri'!$B$6*I423))))</f>
        <v>4097.8013594850172</v>
      </c>
      <c r="K423" s="18">
        <f>IF($A423&gt;'1-Input'!$B$26,M422,(M422-MAX(0,I396-IF($A423&gt;=('1-Input'!$C$12-1),'1-Input'!$B$12,0))+J423*(1-'P-Parametri'!$B$6*I423))*(1+'1-Input'!$B$27))</f>
        <v>0</v>
      </c>
      <c r="L423" s="18">
        <f>IF($A423&gt;'1-Input'!$B$26,N422,(N422-J423)*(1+'5-Roberta'!$C$4))</f>
        <v>-4220.7354002695674</v>
      </c>
      <c r="M423" s="18">
        <f>IF($A423&gt;'1-Input'!$B$26,K423,K423-'P-Parametri'!$B$8*(L423+K423)+MIN(MAX(L423,0),'P-Parametri'!$B$8*(L423+K423)))</f>
        <v>0</v>
      </c>
      <c r="N423" s="18">
        <f>IF($A423&gt;'1-Input'!$B$26,L423,L423-MIN(MAX(L423,0),'P-Parametri'!$B$8*(L423+K423)))</f>
        <v>-4212.2939294690286</v>
      </c>
      <c r="O423" s="18">
        <f>IF($A423&gt;'1-Input'!$B$26,O422,O422-J423*(1-I423))</f>
        <v>-4097.8013594850172</v>
      </c>
      <c r="P423" s="11">
        <f>IF($A423&gt;'1-Input'!$B$26,0,IF(U422&lt;=0,0,MAX(0,(U422-V422)/U422)))</f>
        <v>0.59211920018499531</v>
      </c>
      <c r="Q423" s="18">
        <f>IF($A423&gt;'1-Input'!$B$26,0,(MAX(0,P396-IF($A423&gt;=('1-Input'!$C$12-1),'1-Input'!$B$12,0))-MIN(MAX(T422,0),MAX(0,P396-IF($A423&gt;=('1-Input'!$C$12-1),'1-Input'!$B$12,0))))*(1/(1-'P-Parametri'!$B$6*P423))+MIN(MAX(0,U422-(MAX(0,P396-IF($A423&gt;=('1-Input'!$C$12-1),'1-Input'!$B$12,0))-MIN(MAX(T422,0),MAX(0,P396-IF($A423&gt;=('1-Input'!$C$12-1),'1-Input'!$B$12,0))))*(1/(1-'P-Parametri'!$B$6*P423))),MAX(0,2*P396-(T422-MIN(MAX(T422,0),MAX(0,P396-IF($A423&gt;=('1-Input'!$C$12-1),'1-Input'!$B$12,0)))))*(1/(1-'P-Parametri'!$B$6*P423))))</f>
        <v>8824.9109011214914</v>
      </c>
      <c r="R423" s="18">
        <f>IF($A423&gt;'1-Input'!$B$26,T422,(T422-MAX(0,P396-IF($A423&gt;=('1-Input'!$C$12-1),'1-Input'!$B$12,0))+Q423*(1-'P-Parametri'!$B$6*P423))*(1+'1-Input'!$B$27))</f>
        <v>36738.405892673516</v>
      </c>
      <c r="S423" s="18">
        <f>IF($A423&gt;'1-Input'!$B$26,U422,(U422-Q423)*(1+'5-Roberta'!$C$4))</f>
        <v>97464.848296876036</v>
      </c>
      <c r="T423" s="18">
        <f>IF($A423&gt;'1-Input'!$B$26,R423,R423-'P-Parametri'!$B$8*(S423+R423)+MIN(MAX(S423,0),'P-Parametri'!$B$8*(S423+R423)))</f>
        <v>36738.405892673516</v>
      </c>
      <c r="U423" s="18">
        <f>IF($A423&gt;'1-Input'!$B$26,S423,S423-MIN(MAX(S423,0),'P-Parametri'!$B$8*(S423+R423)))</f>
        <v>97196.441788496944</v>
      </c>
      <c r="V423" s="18">
        <f>IF($A423&gt;'1-Input'!$B$26,V422,V422-Q423*(1-P423))</f>
        <v>38596.155608910572</v>
      </c>
      <c r="W423" s="11">
        <f>IF($A423&gt;'1-Input'!$B$26,0,IF(AB422&lt;=0,0,MAX(0,(AB422-AC422)/AB422)))</f>
        <v>0.59230398712581567</v>
      </c>
      <c r="X423" s="18">
        <f>IF($A423&gt;'1-Input'!$B$26,0,(MAX(0,W396-IF($A423&gt;=('1-Input'!$C$12-1),'1-Input'!$B$12,0))-MIN(MAX(AA422,0),MAX(0,W396-IF($A423&gt;=('1-Input'!$C$12-1),'1-Input'!$B$12,0))))*(1/(1-'P-Parametri'!$B$6*W423))+MIN(MAX(0,AB422-(MAX(0,W396-IF($A423&gt;=('1-Input'!$C$12-1),'1-Input'!$B$12,0))-MIN(MAX(AA422,0),MAX(0,W396-IF($A423&gt;=('1-Input'!$C$12-1),'1-Input'!$B$12,0))))*(1/(1-'P-Parametri'!$B$6*W423))),MAX(0,2*W396-(AA422-MIN(MAX(AA422,0),MAX(0,W396-IF($A423&gt;=('1-Input'!$C$12-1),'1-Input'!$B$12,0)))))*(1/(1-'P-Parametri'!$B$6*W423))))</f>
        <v>8533.2163016621325</v>
      </c>
      <c r="Y423" s="18">
        <f>IF($A423&gt;'1-Input'!$B$26,AA422,(AA422-MAX(0,W396-IF($A423&gt;=('1-Input'!$C$12-1),'1-Input'!$B$12,0))+X423*(1-'P-Parametri'!$B$6*W423))*(1+'1-Input'!$B$27))</f>
        <v>36249.311394946351</v>
      </c>
      <c r="Z423" s="18">
        <f>IF($A423&gt;'1-Input'!$B$26,AB422,(AB422-X423)*(1+'5-Roberta'!$C$4))</f>
        <v>108568.57039497809</v>
      </c>
      <c r="AA423" s="18">
        <f>IF($A423&gt;'1-Input'!$B$26,Y423,Y423-'P-Parametri'!$B$8*(Z423+Y423)+MIN(MAX(Z423,0),'P-Parametri'!$B$8*(Z423+Y423)))</f>
        <v>36249.311394946351</v>
      </c>
      <c r="AB423" s="18">
        <f>IF($A423&gt;'1-Input'!$B$26,Z423,Z423-MIN(MAX(Z423,0),'P-Parametri'!$B$8*(Z423+Y423)))</f>
        <v>108278.93463139824</v>
      </c>
      <c r="AC423" s="18">
        <f>IF($A423&gt;'1-Input'!$B$26,AC422,AC422-X423*(1-W423))</f>
        <v>42973.760459692014</v>
      </c>
      <c r="AD423" s="11">
        <f>IF($A423&gt;'1-Input'!$B$26,0,IF(AI422&lt;=0,0,MAX(0,(AI422-AJ422)/AI422)))</f>
        <v>0.59231464011018642</v>
      </c>
      <c r="AE423" s="18">
        <f>IF($A423&gt;'1-Input'!$B$26,0,(MAX(0,AD396-IF($A423&gt;=('1-Input'!$C$12-1),'1-Input'!$B$12,0))-MIN(MAX(AH422,0),MAX(0,AD396-IF($A423&gt;=('1-Input'!$C$12-1),'1-Input'!$B$12,0))))*(1/(1-'P-Parametri'!$B$6*AD423))+MIN(MAX(0,AI422-(MAX(0,AD396-IF($A423&gt;=('1-Input'!$C$12-1),'1-Input'!$B$12,0))-MIN(MAX(AH422,0),MAX(0,AD396-IF($A423&gt;=('1-Input'!$C$12-1),'1-Input'!$B$12,0))))*(1/(1-'P-Parametri'!$B$6*AD423))),MAX(0,2*AD396-(AH422-MIN(MAX(AH422,0),MAX(0,AD396-IF($A423&gt;=('1-Input'!$C$12-1),'1-Input'!$B$12,0)))))*(1/(1-'P-Parametri'!$B$6*AD423))))</f>
        <v>8515.2998205398162</v>
      </c>
      <c r="AF423" s="18">
        <f>IF($A423&gt;'1-Input'!$B$26,AH422,(AH422-MAX(0,AD396-IF($A423&gt;=('1-Input'!$C$12-1),'1-Input'!$B$12,0))+AE423*(1-'P-Parametri'!$B$6*AD423))*(1+'1-Input'!$B$27))</f>
        <v>36219.275067787748</v>
      </c>
      <c r="AG423" s="18">
        <f>IF($A423&gt;'1-Input'!$B$26,AI422,(AI422-AE423)*(1+'5-Roberta'!$C$4))</f>
        <v>109250.49339429892</v>
      </c>
      <c r="AH423" s="18">
        <f>IF($A423&gt;'1-Input'!$B$26,AF423,AF423-'P-Parametri'!$B$8*(AG423+AF423)+MIN(MAX(AG423,0),'P-Parametri'!$B$8*(AG423+AF423)))</f>
        <v>36219.275067787748</v>
      </c>
      <c r="AI423" s="18">
        <f>IF($A423&gt;'1-Input'!$B$26,AG423,AG423-MIN(MAX(AG423,0),'P-Parametri'!$B$8*(AG423+AF423)))</f>
        <v>108959.55385737475</v>
      </c>
      <c r="AJ423" s="18">
        <f>IF($A423&gt;'1-Input'!$B$26,AJ422,AJ422-AE423*(1-AD423))</f>
        <v>43242.550211256748</v>
      </c>
      <c r="AK423" s="11">
        <f>IF($A423&gt;'1-Input'!$B$26,0,IF(AP422&lt;=0,0,MAX(0,(AP422-AQ422)/AP422)))</f>
        <v>0.59231470049533086</v>
      </c>
      <c r="AL423" s="18">
        <f>IF($A423&gt;'1-Input'!$B$26,0,(MAX(0,AK396-IF($A423&gt;=('1-Input'!$C$12-1),'1-Input'!$B$12,0))-MIN(MAX(AO422,0),MAX(0,AK396-IF($A423&gt;=('1-Input'!$C$12-1),'1-Input'!$B$12,0))))*(1/(1-'P-Parametri'!$B$6*AK423))+MIN(MAX(0,AP422-(MAX(0,AK396-IF($A423&gt;=('1-Input'!$C$12-1),'1-Input'!$B$12,0))-MIN(MAX(AO422,0),MAX(0,AK396-IF($A423&gt;=('1-Input'!$C$12-1),'1-Input'!$B$12,0))))*(1/(1-'P-Parametri'!$B$6*AK423))),MAX(0,2*AK396-(AO422-MIN(MAX(AO422,0),MAX(0,AK396-IF($A423&gt;=('1-Input'!$C$12-1),'1-Input'!$B$12,0)))))*(1/(1-'P-Parametri'!$B$6*AK423))))</f>
        <v>8515.1979045413718</v>
      </c>
      <c r="AM423" s="18">
        <f>IF($A423&gt;'1-Input'!$B$26,AO422,(AO422-MAX(0,AK396-IF($A423&gt;=('1-Input'!$C$12-1),'1-Input'!$B$12,0))+AL423*(1-'P-Parametri'!$B$6*AK423))*(1+'1-Input'!$B$27))</f>
        <v>36219.1042108291</v>
      </c>
      <c r="AN423" s="18">
        <f>IF($A423&gt;'1-Input'!$B$26,AP422,(AP422-AL423)*(1+'5-Roberta'!$C$4))</f>
        <v>109254.3724131763</v>
      </c>
      <c r="AO423" s="18">
        <f>IF($A423&gt;'1-Input'!$B$26,AM423,AM423-'P-Parametri'!$B$8*(AN423+AM423)+MIN(MAX(AN423,0),'P-Parametri'!$B$8*(AN423+AM423)))</f>
        <v>36219.1042108291</v>
      </c>
      <c r="AP423" s="18">
        <f>IF($A423&gt;'1-Input'!$B$26,AN423,AN423-MIN(MAX(AN423,0),'P-Parametri'!$B$8*(AN423+AM423)))</f>
        <v>108963.42545992829</v>
      </c>
      <c r="AQ423" s="18">
        <f>IF($A423&gt;'1-Input'!$B$26,AQ422,AQ422-AL423*(1-AK423))</f>
        <v>43244.079164524715</v>
      </c>
    </row>
    <row r="424" spans="1:43">
      <c r="A424" s="10">
        <f>26</f>
        <v>26</v>
      </c>
      <c r="B424" s="11">
        <f>IF($A424&gt;'1-Input'!$B$26,0,IF(G423&lt;=0,0,MAX(0,(G423-H423)/G423)))</f>
        <v>0.60402071981701844</v>
      </c>
      <c r="C424" s="18">
        <f>IF($A424&gt;'1-Input'!$B$26,0,(MAX(0,B396-IF($A424&gt;=('1-Input'!$C$12-1),'1-Input'!$B$12,0))-MIN(MAX(F423,0),MAX(0,B396-IF($A424&gt;=('1-Input'!$C$12-1),'1-Input'!$B$12,0))))*(1/(1-'P-Parametri'!$B$6*B424))+MIN(MAX(0,G423-(MAX(0,B396-IF($A424&gt;=('1-Input'!$C$12-1),'1-Input'!$B$12,0))-MIN(MAX(F423,0),MAX(0,B396-IF($A424&gt;=('1-Input'!$C$12-1),'1-Input'!$B$12,0))))*(1/(1-'P-Parametri'!$B$6*B424))),MAX(0,2*B396-(F423-MIN(MAX(F423,0),MAX(0,B396-IF($A424&gt;=('1-Input'!$C$12-1),'1-Input'!$B$12,0)))))*(1/(1-'P-Parametri'!$B$6*B424))))</f>
        <v>6760.9321142912358</v>
      </c>
      <c r="D424" s="18">
        <f>IF($A424&gt;'1-Input'!$B$26,F423,(F423-MAX(0,B396-IF($A424&gt;=('1-Input'!$C$12-1),'1-Input'!$B$12,0))+C424*(1-'P-Parametri'!$B$6*B424))*(1+'1-Input'!$B$27))</f>
        <v>33242.0070309863</v>
      </c>
      <c r="E424" s="18">
        <f>IF($A424&gt;'1-Input'!$B$26,G423,(G423-C424)*(1+'5-Roberta'!$C$4))</f>
        <v>174762.38694735532</v>
      </c>
      <c r="F424" s="18">
        <f>IF($A424&gt;'1-Input'!$B$26,D424,D424-'P-Parametri'!$B$8*(E424+D424)+MIN(MAX(E424,0),'P-Parametri'!$B$8*(E424+D424)))</f>
        <v>33242.0070309863</v>
      </c>
      <c r="G424" s="18">
        <f>IF($A424&gt;'1-Input'!$B$26,E424,E424-MIN(MAX(E424,0),'P-Parametri'!$B$8*(E424+D424)))</f>
        <v>174346.37815939865</v>
      </c>
      <c r="H424" s="18">
        <f>IF($A424&gt;'1-Input'!$B$26,H423,H423-C424*(1-B424))</f>
        <v>67186.683676187822</v>
      </c>
      <c r="I424" s="11">
        <f>IF($A424&gt;'1-Input'!$B$26,0,IF(N423&lt;=0,0,MAX(0,(N423-O423)/N423)))</f>
        <v>0</v>
      </c>
      <c r="J424" s="18">
        <f>IF($A424&gt;'1-Input'!$B$26,0,(MAX(0,I396-IF($A424&gt;=('1-Input'!$C$12-1),'1-Input'!$B$12,0))-MIN(MAX(M423,0),MAX(0,I396-IF($A424&gt;=('1-Input'!$C$12-1),'1-Input'!$B$12,0))))*(1/(1-'P-Parametri'!$B$6*I424))+MIN(MAX(0,N423-(MAX(0,I396-IF($A424&gt;=('1-Input'!$C$12-1),'1-Input'!$B$12,0))-MIN(MAX(M423,0),MAX(0,I396-IF($A424&gt;=('1-Input'!$C$12-1),'1-Input'!$B$12,0))))*(1/(1-'P-Parametri'!$B$6*I424))),MAX(0,2*I396-(M423-MIN(MAX(M423,0),MAX(0,I396-IF($A424&gt;=('1-Input'!$C$12-1),'1-Input'!$B$12,0)))))*(1/(1-'P-Parametri'!$B$6*I424))))</f>
        <v>10846.756992928691</v>
      </c>
      <c r="K424" s="18">
        <f>IF($A424&gt;'1-Input'!$B$26,M423,(M423-MAX(0,I396-IF($A424&gt;=('1-Input'!$C$12-1),'1-Input'!$B$12,0))+J424*(1-'P-Parametri'!$B$6*I424))*(1+'1-Input'!$B$27))</f>
        <v>0</v>
      </c>
      <c r="L424" s="18">
        <f>IF($A424&gt;'1-Input'!$B$26,N423,(N423-J424)*(1+'5-Roberta'!$C$4))</f>
        <v>-15510.822450069652</v>
      </c>
      <c r="M424" s="18">
        <f>IF($A424&gt;'1-Input'!$B$26,K424,K424-'P-Parametri'!$B$8*(L424+K424)+MIN(MAX(L424,0),'P-Parametri'!$B$8*(L424+K424)))</f>
        <v>0</v>
      </c>
      <c r="N424" s="18">
        <f>IF($A424&gt;'1-Input'!$B$26,L424,L424-MIN(MAX(L424,0),'P-Parametri'!$B$8*(L424+K424)))</f>
        <v>-15479.800805169512</v>
      </c>
      <c r="O424" s="18">
        <f>IF($A424&gt;'1-Input'!$B$26,O423,O423-J424*(1-I424))</f>
        <v>-14944.558352413707</v>
      </c>
      <c r="P424" s="11">
        <f>IF($A424&gt;'1-Input'!$B$26,0,IF(U423&lt;=0,0,MAX(0,(U423-V423)/U423)))</f>
        <v>0.60290567330749378</v>
      </c>
      <c r="Q424" s="18">
        <f>IF($A424&gt;'1-Input'!$B$26,0,(MAX(0,P396-IF($A424&gt;=('1-Input'!$C$12-1),'1-Input'!$B$12,0))-MIN(MAX(T423,0),MAX(0,P396-IF($A424&gt;=('1-Input'!$C$12-1),'1-Input'!$B$12,0))))*(1/(1-'P-Parametri'!$B$6*P424))+MIN(MAX(0,U423-(MAX(0,P396-IF($A424&gt;=('1-Input'!$C$12-1),'1-Input'!$B$12,0))-MIN(MAX(T423,0),MAX(0,P396-IF($A424&gt;=('1-Input'!$C$12-1),'1-Input'!$B$12,0))))*(1/(1-'P-Parametri'!$B$6*P424))),MAX(0,2*P396-(T423-MIN(MAX(T423,0),MAX(0,P396-IF($A424&gt;=('1-Input'!$C$12-1),'1-Input'!$B$12,0)))))*(1/(1-'P-Parametri'!$B$6*P424))))</f>
        <v>8854.2610029855277</v>
      </c>
      <c r="R424" s="18">
        <f>IF($A424&gt;'1-Input'!$B$26,T423,(T423-MAX(0,P396-IF($A424&gt;=('1-Input'!$C$12-1),'1-Input'!$B$12,0))+Q424*(1-'P-Parametri'!$B$6*P424))*(1+'1-Input'!$B$27))</f>
        <v>36738.405892673516</v>
      </c>
      <c r="S424" s="18">
        <f>IF($A424&gt;'1-Input'!$B$26,U423,(U423-Q424)*(1+'5-Roberta'!$C$4))</f>
        <v>90992.446209076763</v>
      </c>
      <c r="T424" s="18">
        <f>IF($A424&gt;'1-Input'!$B$26,R424,R424-'P-Parametri'!$B$8*(S424+R424)+MIN(MAX(S424,0),'P-Parametri'!$B$8*(S424+R424)))</f>
        <v>36738.405892673516</v>
      </c>
      <c r="U424" s="18">
        <f>IF($A424&gt;'1-Input'!$B$26,S424,S424-MIN(MAX(S424,0),'P-Parametri'!$B$8*(S424+R424)))</f>
        <v>90736.984504873268</v>
      </c>
      <c r="V424" s="18">
        <f>IF($A424&gt;'1-Input'!$B$26,V423,V423-Q424*(1-P424))</f>
        <v>35080.178797570319</v>
      </c>
      <c r="W424" s="11">
        <f>IF($A424&gt;'1-Input'!$B$26,0,IF(AB423&lt;=0,0,MAX(0,(AB423-AC423)/AB423)))</f>
        <v>0.6031198440769413</v>
      </c>
      <c r="X424" s="18">
        <f>IF($A424&gt;'1-Input'!$B$26,0,(MAX(0,W396-IF($A424&gt;=('1-Input'!$C$12-1),'1-Input'!$B$12,0))-MIN(MAX(AA423,0),MAX(0,W396-IF($A424&gt;=('1-Input'!$C$12-1),'1-Input'!$B$12,0))))*(1/(1-'P-Parametri'!$B$6*W424))+MIN(MAX(0,AB423-(MAX(0,W396-IF($A424&gt;=('1-Input'!$C$12-1),'1-Input'!$B$12,0))-MIN(MAX(AA423,0),MAX(0,W396-IF($A424&gt;=('1-Input'!$C$12-1),'1-Input'!$B$12,0))))*(1/(1-'P-Parametri'!$B$6*W424))),MAX(0,2*W396-(AA423-MIN(MAX(AA423,0),MAX(0,W396-IF($A424&gt;=('1-Input'!$C$12-1),'1-Input'!$B$12,0)))))*(1/(1-'P-Parametri'!$B$6*W424))))</f>
        <v>8561.6754688471465</v>
      </c>
      <c r="Y424" s="18">
        <f>IF($A424&gt;'1-Input'!$B$26,AA423,(AA423-MAX(0,W396-IF($A424&gt;=('1-Input'!$C$12-1),'1-Input'!$B$12,0))+X424*(1-'P-Parametri'!$B$6*W424))*(1+'1-Input'!$B$27))</f>
        <v>36249.311394946351</v>
      </c>
      <c r="Z424" s="18">
        <f>IF($A424&gt;'1-Input'!$B$26,AB423,(AB423-X424)*(1+'5-Roberta'!$C$4))</f>
        <v>102708.77693742764</v>
      </c>
      <c r="AA424" s="18">
        <f>IF($A424&gt;'1-Input'!$B$26,Y424,Y424-'P-Parametri'!$B$8*(Z424+Y424)+MIN(MAX(Z424,0),'P-Parametri'!$B$8*(Z424+Y424)))</f>
        <v>36249.311394946351</v>
      </c>
      <c r="AB424" s="18">
        <f>IF($A424&gt;'1-Input'!$B$26,Z424,Z424-MIN(MAX(Z424,0),'P-Parametri'!$B$8*(Z424+Y424)))</f>
        <v>102430.86076076289</v>
      </c>
      <c r="AC424" s="18">
        <f>IF($A424&gt;'1-Input'!$B$26,AC423,AC423-X424*(1-W424))</f>
        <v>39575.801364653329</v>
      </c>
      <c r="AD424" s="11">
        <f>IF($A424&gt;'1-Input'!$B$26,0,IF(AI423&lt;=0,0,MAX(0,(AI423-AJ423)/AI423)))</f>
        <v>0.60313209185988281</v>
      </c>
      <c r="AE424" s="18">
        <f>IF($A424&gt;'1-Input'!$B$26,0,(MAX(0,AD396-IF($A424&gt;=('1-Input'!$C$12-1),'1-Input'!$B$12,0))-MIN(MAX(AH423,0),MAX(0,AD396-IF($A424&gt;=('1-Input'!$C$12-1),'1-Input'!$B$12,0))))*(1/(1-'P-Parametri'!$B$6*AD424))+MIN(MAX(0,AI423-(MAX(0,AD396-IF($A424&gt;=('1-Input'!$C$12-1),'1-Input'!$B$12,0))-MIN(MAX(AH423,0),MAX(0,AD396-IF($A424&gt;=('1-Input'!$C$12-1),'1-Input'!$B$12,0))))*(1/(1-'P-Parametri'!$B$6*AD424))),MAX(0,2*AD396-(AH423-MIN(MAX(AH423,0),MAX(0,AD396-IF($A424&gt;=('1-Input'!$C$12-1),'1-Input'!$B$12,0)))))*(1/(1-'P-Parametri'!$B$6*AD424))))</f>
        <v>8543.7035291553748</v>
      </c>
      <c r="AF424" s="18">
        <f>IF($A424&gt;'1-Input'!$B$26,AH423,(AH423-MAX(0,AD396-IF($A424&gt;=('1-Input'!$C$12-1),'1-Input'!$B$12,0))+AE424*(1-'P-Parametri'!$B$6*AD424))*(1+'1-Input'!$B$27))</f>
        <v>36219.275067787748</v>
      </c>
      <c r="AG424" s="18">
        <f>IF($A424&gt;'1-Input'!$B$26,AI423,(AI423-AE424)*(1+'5-Roberta'!$C$4))</f>
        <v>103428.32583806595</v>
      </c>
      <c r="AH424" s="18">
        <f>IF($A424&gt;'1-Input'!$B$26,AF424,AF424-'P-Parametri'!$B$8*(AG424+AF424)+MIN(MAX(AG424,0),'P-Parametri'!$B$8*(AG424+AF424)))</f>
        <v>36219.275067787748</v>
      </c>
      <c r="AI424" s="18">
        <f>IF($A424&gt;'1-Input'!$B$26,AG424,AG424-MIN(MAX(AG424,0),'P-Parametri'!$B$8*(AG424+AF424)))</f>
        <v>103149.03063625425</v>
      </c>
      <c r="AJ424" s="18">
        <f>IF($A424&gt;'1-Input'!$B$26,AJ423,AJ423-AE424*(1-AD424))</f>
        <v>39851.828463871519</v>
      </c>
      <c r="AK424" s="11">
        <f>IF($A424&gt;'1-Input'!$B$26,0,IF(AP423&lt;=0,0,MAX(0,(AP423-AQ423)/AP423)))</f>
        <v>0.60313216125508207</v>
      </c>
      <c r="AL424" s="18">
        <f>IF($A424&gt;'1-Input'!$B$26,0,(MAX(0,AK396-IF($A424&gt;=('1-Input'!$C$12-1),'1-Input'!$B$12,0))-MIN(MAX(AO423,0),MAX(0,AK396-IF($A424&gt;=('1-Input'!$C$12-1),'1-Input'!$B$12,0))))*(1/(1-'P-Parametri'!$B$6*AK424))+MIN(MAX(0,AP423-(MAX(0,AK396-IF($A424&gt;=('1-Input'!$C$12-1),'1-Input'!$B$12,0))-MIN(MAX(AO423,0),MAX(0,AK396-IF($A424&gt;=('1-Input'!$C$12-1),'1-Input'!$B$12,0))))*(1/(1-'P-Parametri'!$B$6*AK424))),MAX(0,2*AK396-(AO423-MIN(MAX(AO423,0),MAX(0,AK396-IF($A424&gt;=('1-Input'!$C$12-1),'1-Input'!$B$12,0)))))*(1/(1-'P-Parametri'!$B$6*AK424))))</f>
        <v>8543.6012974705081</v>
      </c>
      <c r="AM424" s="18">
        <f>IF($A424&gt;'1-Input'!$B$26,AO423,(AO423-MAX(0,AK396-IF($A424&gt;=('1-Input'!$C$12-1),'1-Input'!$B$12,0))+AL424*(1-'P-Parametri'!$B$6*AK424))*(1+'1-Input'!$B$27))</f>
        <v>36219.1042108291</v>
      </c>
      <c r="AN424" s="18">
        <f>IF($A424&gt;'1-Input'!$B$26,AP423,(AP423-AL424)*(1+'5-Roberta'!$C$4))</f>
        <v>103432.41888733151</v>
      </c>
      <c r="AO424" s="18">
        <f>IF($A424&gt;'1-Input'!$B$26,AM424,AM424-'P-Parametri'!$B$8*(AN424+AM424)+MIN(MAX(AN424,0),'P-Parametri'!$B$8*(AN424+AM424)))</f>
        <v>36219.1042108291</v>
      </c>
      <c r="AP424" s="18">
        <f>IF($A424&gt;'1-Input'!$B$26,AN424,AN424-MIN(MAX(AN424,0),'P-Parametri'!$B$8*(AN424+AM424)))</f>
        <v>103153.11584113519</v>
      </c>
      <c r="AQ424" s="18">
        <f>IF($A424&gt;'1-Input'!$B$26,AQ423,AQ423-AL424*(1-AK424))</f>
        <v>39853.398582499321</v>
      </c>
    </row>
    <row r="425" spans="1:43">
      <c r="A425" s="10">
        <f>27</f>
        <v>27</v>
      </c>
      <c r="B425" s="11">
        <f>IF($A425&gt;'1-Input'!$B$26,0,IF(G424&lt;=0,0,MAX(0,(G424-H424)/G424)))</f>
        <v>0.61463676856675831</v>
      </c>
      <c r="C425" s="18">
        <f>IF($A425&gt;'1-Input'!$B$26,0,(MAX(0,B396-IF($A425&gt;=('1-Input'!$C$12-1),'1-Input'!$B$12,0))-MIN(MAX(F424,0),MAX(0,B396-IF($A425&gt;=('1-Input'!$C$12-1),'1-Input'!$B$12,0))))*(1/(1-'P-Parametri'!$B$6*B425))+MIN(MAX(0,G424-(MAX(0,B396-IF($A425&gt;=('1-Input'!$C$12-1),'1-Input'!$B$12,0))-MIN(MAX(F424,0),MAX(0,B396-IF($A425&gt;=('1-Input'!$C$12-1),'1-Input'!$B$12,0))))*(1/(1-'P-Parametri'!$B$6*B425))),MAX(0,2*B396-(F424-MIN(MAX(F424,0),MAX(0,B396-IF($A425&gt;=('1-Input'!$C$12-1),'1-Input'!$B$12,0)))))*(1/(1-'P-Parametri'!$B$6*B425))))</f>
        <v>6783.1428540755942</v>
      </c>
      <c r="D425" s="18">
        <f>IF($A425&gt;'1-Input'!$B$26,F424,(F424-MAX(0,B396-IF($A425&gt;=('1-Input'!$C$12-1),'1-Input'!$B$12,0))+C425*(1-'P-Parametri'!$B$6*B425))*(1+'1-Input'!$B$27))</f>
        <v>33242.0070309863</v>
      </c>
      <c r="E425" s="18">
        <f>IF($A425&gt;'1-Input'!$B$26,G424,(G424-C425)*(1+'5-Roberta'!$C$4))</f>
        <v>172590.13236448276</v>
      </c>
      <c r="F425" s="18">
        <f>IF($A425&gt;'1-Input'!$B$26,D425,D425-'P-Parametri'!$B$8*(E425+D425)+MIN(MAX(E425,0),'P-Parametri'!$B$8*(E425+D425)))</f>
        <v>33242.0070309863</v>
      </c>
      <c r="G425" s="18">
        <f>IF($A425&gt;'1-Input'!$B$26,E425,E425-MIN(MAX(E425,0),'P-Parametri'!$B$8*(E425+D425)))</f>
        <v>172178.46808569183</v>
      </c>
      <c r="H425" s="18">
        <f>IF($A425&gt;'1-Input'!$B$26,H424,H424-C425*(1-B425))</f>
        <v>64572.709826667953</v>
      </c>
      <c r="I425" s="11">
        <f>IF($A425&gt;'1-Input'!$B$26,0,IF(N424&lt;=0,0,MAX(0,(N424-O424)/N424)))</f>
        <v>0</v>
      </c>
      <c r="J425" s="18">
        <f>IF($A425&gt;'1-Input'!$B$26,0,(MAX(0,I396-IF($A425&gt;=('1-Input'!$C$12-1),'1-Input'!$B$12,0))-MIN(MAX(M424,0),MAX(0,I396-IF($A425&gt;=('1-Input'!$C$12-1),'1-Input'!$B$12,0))))*(1/(1-'P-Parametri'!$B$6*I425))+MIN(MAX(0,N424-(MAX(0,I396-IF($A425&gt;=('1-Input'!$C$12-1),'1-Input'!$B$12,0))-MIN(MAX(M424,0),MAX(0,I396-IF($A425&gt;=('1-Input'!$C$12-1),'1-Input'!$B$12,0))))*(1/(1-'P-Parametri'!$B$6*I425))),MAX(0,2*I396-(M424-MIN(MAX(M424,0),MAX(0,I396-IF($A425&gt;=('1-Input'!$C$12-1),'1-Input'!$B$12,0)))))*(1/(1-'P-Parametri'!$B$6*I425))))</f>
        <v>10846.756992928691</v>
      </c>
      <c r="K425" s="18">
        <f>IF($A425&gt;'1-Input'!$B$26,M424,(M424-MAX(0,I396-IF($A425&gt;=('1-Input'!$C$12-1),'1-Input'!$B$12,0))+J425*(1-'P-Parametri'!$B$6*I425))*(1+'1-Input'!$B$27))</f>
        <v>0</v>
      </c>
      <c r="L425" s="18">
        <f>IF($A425&gt;'1-Input'!$B$26,N424,(N424-J425)*(1+'5-Roberta'!$C$4))</f>
        <v>-27116.35453204115</v>
      </c>
      <c r="M425" s="18">
        <f>IF($A425&gt;'1-Input'!$B$26,K425,K425-'P-Parametri'!$B$8*(L425+K425)+MIN(MAX(L425,0),'P-Parametri'!$B$8*(L425+K425)))</f>
        <v>0</v>
      </c>
      <c r="N425" s="18">
        <f>IF($A425&gt;'1-Input'!$B$26,L425,L425-MIN(MAX(L425,0),'P-Parametri'!$B$8*(L425+K425)))</f>
        <v>-27062.121822977067</v>
      </c>
      <c r="O425" s="18">
        <f>IF($A425&gt;'1-Input'!$B$26,O424,O424-J425*(1-I425))</f>
        <v>-25791.315345342398</v>
      </c>
      <c r="P425" s="11">
        <f>IF($A425&gt;'1-Input'!$B$26,0,IF(U424&lt;=0,0,MAX(0,(U424-V424)/U424)))</f>
        <v>0.61338610723077047</v>
      </c>
      <c r="Q425" s="18">
        <f>IF($A425&gt;'1-Input'!$B$26,0,(MAX(0,P396-IF($A425&gt;=('1-Input'!$C$12-1),'1-Input'!$B$12,0))-MIN(MAX(T424,0),MAX(0,P396-IF($A425&gt;=('1-Input'!$C$12-1),'1-Input'!$B$12,0))))*(1/(1-'P-Parametri'!$B$6*P425))+MIN(MAX(0,U424-(MAX(0,P396-IF($A425&gt;=('1-Input'!$C$12-1),'1-Input'!$B$12,0))-MIN(MAX(T424,0),MAX(0,P396-IF($A425&gt;=('1-Input'!$C$12-1),'1-Input'!$B$12,0))))*(1/(1-'P-Parametri'!$B$6*P425))),MAX(0,2*P396-(T424-MIN(MAX(T424,0),MAX(0,P396-IF($A425&gt;=('1-Input'!$C$12-1),'1-Input'!$B$12,0)))))*(1/(1-'P-Parametri'!$B$6*P425))))</f>
        <v>8882.9659718776475</v>
      </c>
      <c r="R425" s="18">
        <f>IF($A425&gt;'1-Input'!$B$26,T424,(T424-MAX(0,P396-IF($A425&gt;=('1-Input'!$C$12-1),'1-Input'!$B$12,0))+Q425*(1-'P-Parametri'!$B$6*P425))*(1+'1-Input'!$B$27))</f>
        <v>36738.405892673516</v>
      </c>
      <c r="S425" s="18">
        <f>IF($A425&gt;'1-Input'!$B$26,U424,(U424-Q425)*(1+'5-Roberta'!$C$4))</f>
        <v>84309.639088985481</v>
      </c>
      <c r="T425" s="18">
        <f>IF($A425&gt;'1-Input'!$B$26,R425,R425-'P-Parametri'!$B$8*(S425+R425)+MIN(MAX(S425,0),'P-Parametri'!$B$8*(S425+R425)))</f>
        <v>36738.405892673516</v>
      </c>
      <c r="U425" s="18">
        <f>IF($A425&gt;'1-Input'!$B$26,S425,S425-MIN(MAX(S425,0),'P-Parametri'!$B$8*(S425+R425)))</f>
        <v>84067.54299902216</v>
      </c>
      <c r="V425" s="18">
        <f>IF($A425&gt;'1-Input'!$B$26,V424,V424-Q425*(1-P425))</f>
        <v>31645.900743846098</v>
      </c>
      <c r="W425" s="11">
        <f>IF($A425&gt;'1-Input'!$B$26,0,IF(AB424&lt;=0,0,MAX(0,(AB424-AC424)/AB424)))</f>
        <v>0.61363400570179327</v>
      </c>
      <c r="X425" s="18">
        <f>IF($A425&gt;'1-Input'!$B$26,0,(MAX(0,W396-IF($A425&gt;=('1-Input'!$C$12-1),'1-Input'!$B$12,0))-MIN(MAX(AA424,0),MAX(0,W396-IF($A425&gt;=('1-Input'!$C$12-1),'1-Input'!$B$12,0))))*(1/(1-'P-Parametri'!$B$6*W425))+MIN(MAX(0,AB424-(MAX(0,W396-IF($A425&gt;=('1-Input'!$C$12-1),'1-Input'!$B$12,0))-MIN(MAX(AA424,0),MAX(0,W396-IF($A425&gt;=('1-Input'!$C$12-1),'1-Input'!$B$12,0))))*(1/(1-'P-Parametri'!$B$6*W425))),MAX(0,2*W396-(AA424-MIN(MAX(AA424,0),MAX(0,W396-IF($A425&gt;=('1-Input'!$C$12-1),'1-Input'!$B$12,0)))))*(1/(1-'P-Parametri'!$B$6*W425))))</f>
        <v>8589.523353501243</v>
      </c>
      <c r="Y425" s="18">
        <f>IF($A425&gt;'1-Input'!$B$26,AA424,(AA424-MAX(0,W396-IF($A425&gt;=('1-Input'!$C$12-1),'1-Input'!$B$12,0))+X425*(1-'P-Parametri'!$B$6*W425))*(1+'1-Input'!$B$27))</f>
        <v>36249.311394946351</v>
      </c>
      <c r="Z425" s="18">
        <f>IF($A425&gt;'1-Input'!$B$26,AB424,(AB424-X425)*(1+'5-Roberta'!$C$4))</f>
        <v>96656.577529479502</v>
      </c>
      <c r="AA425" s="18">
        <f>IF($A425&gt;'1-Input'!$B$26,Y425,Y425-'P-Parametri'!$B$8*(Z425+Y425)+MIN(MAX(Z425,0),'P-Parametri'!$B$8*(Z425+Y425)))</f>
        <v>36249.311394946351</v>
      </c>
      <c r="AB425" s="18">
        <f>IF($A425&gt;'1-Input'!$B$26,Z425,Z425-MIN(MAX(Z425,0),'P-Parametri'!$B$8*(Z425+Y425)))</f>
        <v>96390.76575163065</v>
      </c>
      <c r="AC425" s="18">
        <f>IF($A425&gt;'1-Input'!$B$26,AC424,AC424-X425*(1-W425))</f>
        <v>36257.101633630155</v>
      </c>
      <c r="AD425" s="11">
        <f>IF($A425&gt;'1-Input'!$B$26,0,IF(AI424&lt;=0,0,MAX(0,(AI424-AJ424)/AI424)))</f>
        <v>0.61364805642812681</v>
      </c>
      <c r="AE425" s="18">
        <f>IF($A425&gt;'1-Input'!$B$26,0,(MAX(0,AD396-IF($A425&gt;=('1-Input'!$C$12-1),'1-Input'!$B$12,0))-MIN(MAX(AH424,0),MAX(0,AD396-IF($A425&gt;=('1-Input'!$C$12-1),'1-Input'!$B$12,0))))*(1/(1-'P-Parametri'!$B$6*AD425))+MIN(MAX(0,AI424-(MAX(0,AD396-IF($A425&gt;=('1-Input'!$C$12-1),'1-Input'!$B$12,0))-MIN(MAX(AH424,0),MAX(0,AD396-IF($A425&gt;=('1-Input'!$C$12-1),'1-Input'!$B$12,0))))*(1/(1-'P-Parametri'!$B$6*AD425))),MAX(0,2*AD396-(AH424-MIN(MAX(AH424,0),MAX(0,AD396-IF($A425&gt;=('1-Input'!$C$12-1),'1-Input'!$B$12,0)))))*(1/(1-'P-Parametri'!$B$6*AD425))))</f>
        <v>8571.4978439806564</v>
      </c>
      <c r="AF425" s="18">
        <f>IF($A425&gt;'1-Input'!$B$26,AH424,(AH424-MAX(0,AD396-IF($A425&gt;=('1-Input'!$C$12-1),'1-Input'!$B$12,0))+AE425*(1-'P-Parametri'!$B$6*AD425))*(1+'1-Input'!$B$27))</f>
        <v>36219.275067787748</v>
      </c>
      <c r="AG425" s="18">
        <f>IF($A425&gt;'1-Input'!$B$26,AI424,(AI424-AE425)*(1+'5-Roberta'!$C$4))</f>
        <v>97414.858776041801</v>
      </c>
      <c r="AH425" s="18">
        <f>IF($A425&gt;'1-Input'!$B$26,AF425,AF425-'P-Parametri'!$B$8*(AG425+AF425)+MIN(MAX(AG425,0),'P-Parametri'!$B$8*(AG425+AF425)))</f>
        <v>36219.275067787748</v>
      </c>
      <c r="AI425" s="18">
        <f>IF($A425&gt;'1-Input'!$B$26,AG425,AG425-MIN(MAX(AG425,0),'P-Parametri'!$B$8*(AG425+AF425)))</f>
        <v>97147.590508354144</v>
      </c>
      <c r="AJ425" s="18">
        <f>IF($A425&gt;'1-Input'!$B$26,AJ424,AJ424-AE425*(1-AD425))</f>
        <v>36540.21361252747</v>
      </c>
      <c r="AK425" s="11">
        <f>IF($A425&gt;'1-Input'!$B$26,0,IF(AP424&lt;=0,0,MAX(0,(AP424-AQ424)/AP424)))</f>
        <v>0.61364813600127177</v>
      </c>
      <c r="AL425" s="18">
        <f>IF($A425&gt;'1-Input'!$B$26,0,(MAX(0,AK396-IF($A425&gt;=('1-Input'!$C$12-1),'1-Input'!$B$12,0))-MIN(MAX(AO424,0),MAX(0,AK396-IF($A425&gt;=('1-Input'!$C$12-1),'1-Input'!$B$12,0))))*(1/(1-'P-Parametri'!$B$6*AK425))+MIN(MAX(0,AP424-(MAX(0,AK396-IF($A425&gt;=('1-Input'!$C$12-1),'1-Input'!$B$12,0))-MIN(MAX(AO424,0),MAX(0,AK396-IF($A425&gt;=('1-Input'!$C$12-1),'1-Input'!$B$12,0))))*(1/(1-'P-Parametri'!$B$6*AK425))),MAX(0,2*AK396-(AO424-MIN(MAX(AO424,0),MAX(0,AK396-IF($A425&gt;=('1-Input'!$C$12-1),'1-Input'!$B$12,0)))))*(1/(1-'P-Parametri'!$B$6*AK425))))</f>
        <v>8571.3953073011908</v>
      </c>
      <c r="AM425" s="18">
        <f>IF($A425&gt;'1-Input'!$B$26,AO424,(AO424-MAX(0,AK396-IF($A425&gt;=('1-Input'!$C$12-1),'1-Input'!$B$12,0))+AL425*(1-'P-Parametri'!$B$6*AK425))*(1+'1-Input'!$B$27))</f>
        <v>36219.1042108291</v>
      </c>
      <c r="AN425" s="18">
        <f>IF($A425&gt;'1-Input'!$B$26,AP424,(AP424-AL425)*(1+'5-Roberta'!$C$4))</f>
        <v>97419.172149849022</v>
      </c>
      <c r="AO425" s="18">
        <f>IF($A425&gt;'1-Input'!$B$26,AM425,AM425-'P-Parametri'!$B$8*(AN425+AM425)+MIN(MAX(AN425,0),'P-Parametri'!$B$8*(AN425+AM425)))</f>
        <v>36219.1042108291</v>
      </c>
      <c r="AP425" s="18">
        <f>IF($A425&gt;'1-Input'!$B$26,AN425,AN425-MIN(MAX(AN425,0),'P-Parametri'!$B$8*(AN425+AM425)))</f>
        <v>97151.895597127659</v>
      </c>
      <c r="AQ425" s="18">
        <f>IF($A425&gt;'1-Input'!$B$26,AQ424,AQ424-AL425*(1-AK425))</f>
        <v>36541.824028453557</v>
      </c>
    </row>
    <row r="426" spans="1:43">
      <c r="A426" s="10">
        <f>28</f>
        <v>28</v>
      </c>
      <c r="B426" s="11">
        <f>IF($A426&gt;'1-Input'!$B$26,0,IF(G425&lt;=0,0,MAX(0,(G425-H425)/G425)))</f>
        <v>0.62496640523871638</v>
      </c>
      <c r="C426" s="18">
        <f>IF($A426&gt;'1-Input'!$B$26,0,(MAX(0,B396-IF($A426&gt;=('1-Input'!$C$12-1),'1-Input'!$B$12,0))-MIN(MAX(F425,0),MAX(0,B396-IF($A426&gt;=('1-Input'!$C$12-1),'1-Input'!$B$12,0))))*(1/(1-'P-Parametri'!$B$6*B426))+MIN(MAX(0,G425-(MAX(0,B396-IF($A426&gt;=('1-Input'!$C$12-1),'1-Input'!$B$12,0))-MIN(MAX(F425,0),MAX(0,B396-IF($A426&gt;=('1-Input'!$C$12-1),'1-Input'!$B$12,0))))*(1/(1-'P-Parametri'!$B$6*B426))),MAX(0,2*B396-(F425-MIN(MAX(F425,0),MAX(0,B396-IF($A426&gt;=('1-Input'!$C$12-1),'1-Input'!$B$12,0)))))*(1/(1-'P-Parametri'!$B$6*B426))))</f>
        <v>6804.8948950424146</v>
      </c>
      <c r="D426" s="18">
        <f>IF($A426&gt;'1-Input'!$B$26,F425,(F425-MAX(0,B396-IF($A426&gt;=('1-Input'!$C$12-1),'1-Input'!$B$12,0))+C426*(1-'P-Parametri'!$B$6*B426))*(1+'1-Input'!$B$27))</f>
        <v>33242.0070309863</v>
      </c>
      <c r="E426" s="18">
        <f>IF($A426&gt;'1-Input'!$B$26,G425,(G425-C426)*(1+'5-Roberta'!$C$4))</f>
        <v>170334.78038636892</v>
      </c>
      <c r="F426" s="18">
        <f>IF($A426&gt;'1-Input'!$B$26,D426,D426-'P-Parametri'!$B$8*(E426+D426)+MIN(MAX(E426,0),'P-Parametri'!$B$8*(E426+D426)))</f>
        <v>33242.0070309863</v>
      </c>
      <c r="G426" s="18">
        <f>IF($A426&gt;'1-Input'!$B$26,E426,E426-MIN(MAX(E426,0),'P-Parametri'!$B$8*(E426+D426)))</f>
        <v>169927.6268115342</v>
      </c>
      <c r="H426" s="18">
        <f>IF($A426&gt;'1-Input'!$B$26,H425,H425-C426*(1-B426))</f>
        <v>62020.645632207488</v>
      </c>
      <c r="I426" s="11">
        <f>IF($A426&gt;'1-Input'!$B$26,0,IF(N425&lt;=0,0,MAX(0,(N425-O425)/N425)))</f>
        <v>0</v>
      </c>
      <c r="J426" s="18">
        <f>IF($A426&gt;'1-Input'!$B$26,0,(MAX(0,I396-IF($A426&gt;=('1-Input'!$C$12-1),'1-Input'!$B$12,0))-MIN(MAX(M425,0),MAX(0,I396-IF($A426&gt;=('1-Input'!$C$12-1),'1-Input'!$B$12,0))))*(1/(1-'P-Parametri'!$B$6*I426))+MIN(MAX(0,N425-(MAX(0,I396-IF($A426&gt;=('1-Input'!$C$12-1),'1-Input'!$B$12,0))-MIN(MAX(M425,0),MAX(0,I396-IF($A426&gt;=('1-Input'!$C$12-1),'1-Input'!$B$12,0))))*(1/(1-'P-Parametri'!$B$6*I426))),MAX(0,2*I396-(M425-MIN(MAX(M425,0),MAX(0,I396-IF($A426&gt;=('1-Input'!$C$12-1),'1-Input'!$B$12,0)))))*(1/(1-'P-Parametri'!$B$6*I426))))</f>
        <v>10846.756992928691</v>
      </c>
      <c r="K426" s="18">
        <f>IF($A426&gt;'1-Input'!$B$26,M425,(M425-MAX(0,I396-IF($A426&gt;=('1-Input'!$C$12-1),'1-Input'!$B$12,0))+J426*(1-'P-Parametri'!$B$6*I426))*(1+'1-Input'!$B$27))</f>
        <v>0</v>
      </c>
      <c r="L426" s="18">
        <f>IF($A426&gt;'1-Input'!$B$26,N425,(N425-J426)*(1+'5-Roberta'!$C$4))</f>
        <v>-39046.145180382933</v>
      </c>
      <c r="M426" s="18">
        <f>IF($A426&gt;'1-Input'!$B$26,K426,K426-'P-Parametri'!$B$8*(L426+K426)+MIN(MAX(L426,0),'P-Parametri'!$B$8*(L426+K426)))</f>
        <v>0</v>
      </c>
      <c r="N426" s="18">
        <f>IF($A426&gt;'1-Input'!$B$26,L426,L426-MIN(MAX(L426,0),'P-Parametri'!$B$8*(L426+K426)))</f>
        <v>-38968.052890022169</v>
      </c>
      <c r="O426" s="18">
        <f>IF($A426&gt;'1-Input'!$B$26,O425,O425-J426*(1-I426))</f>
        <v>-36638.072338271086</v>
      </c>
      <c r="P426" s="11">
        <f>IF($A426&gt;'1-Input'!$B$26,0,IF(U425&lt;=0,0,MAX(0,(U425-V425)/U425)))</f>
        <v>0.62356577086814358</v>
      </c>
      <c r="Q426" s="18">
        <f>IF($A426&gt;'1-Input'!$B$26,0,(MAX(0,P396-IF($A426&gt;=('1-Input'!$C$12-1),'1-Input'!$B$12,0))-MIN(MAX(T425,0),MAX(0,P396-IF($A426&gt;=('1-Input'!$C$12-1),'1-Input'!$B$12,0))))*(1/(1-'P-Parametri'!$B$6*P426))+MIN(MAX(0,U425-(MAX(0,P396-IF($A426&gt;=('1-Input'!$C$12-1),'1-Input'!$B$12,0))-MIN(MAX(T425,0),MAX(0,P396-IF($A426&gt;=('1-Input'!$C$12-1),'1-Input'!$B$12,0))))*(1/(1-'P-Parametri'!$B$6*P426))),MAX(0,2*P396-(T425-MIN(MAX(T425,0),MAX(0,P396-IF($A426&gt;=('1-Input'!$C$12-1),'1-Input'!$B$12,0)))))*(1/(1-'P-Parametri'!$B$6*P426))))</f>
        <v>8911.0259049449323</v>
      </c>
      <c r="R426" s="18">
        <f>IF($A426&gt;'1-Input'!$B$26,T425,(T425-MAX(0,P396-IF($A426&gt;=('1-Input'!$C$12-1),'1-Input'!$B$12,0))+Q426*(1-'P-Parametri'!$B$6*P426))*(1+'1-Input'!$B$27))</f>
        <v>36738.405892673516</v>
      </c>
      <c r="S426" s="18">
        <f>IF($A426&gt;'1-Input'!$B$26,U425,(U425-Q426)*(1+'5-Roberta'!$C$4))</f>
        <v>77411.212606899542</v>
      </c>
      <c r="T426" s="18">
        <f>IF($A426&gt;'1-Input'!$B$26,R426,R426-'P-Parametri'!$B$8*(S426+R426)+MIN(MAX(S426,0),'P-Parametri'!$B$8*(S426+R426)))</f>
        <v>36738.405892673516</v>
      </c>
      <c r="U426" s="18">
        <f>IF($A426&gt;'1-Input'!$B$26,S426,S426-MIN(MAX(S426,0),'P-Parametri'!$B$8*(S426+R426)))</f>
        <v>77182.913369900401</v>
      </c>
      <c r="V426" s="18">
        <f>IF($A426&gt;'1-Input'!$B$26,V425,V425-Q426*(1-P426))</f>
        <v>28291.48557654415</v>
      </c>
      <c r="W426" s="11">
        <f>IF($A426&gt;'1-Input'!$B$26,0,IF(AB425&lt;=0,0,MAX(0,(AB425-AC425)/AB425)))</f>
        <v>0.62385295571721511</v>
      </c>
      <c r="X426" s="18">
        <f>IF($A426&gt;'1-Input'!$B$26,0,(MAX(0,W396-IF($A426&gt;=('1-Input'!$C$12-1),'1-Input'!$B$12,0))-MIN(MAX(AA425,0),MAX(0,W396-IF($A426&gt;=('1-Input'!$C$12-1),'1-Input'!$B$12,0))))*(1/(1-'P-Parametri'!$B$6*W426))+MIN(MAX(0,AB425-(MAX(0,W396-IF($A426&gt;=('1-Input'!$C$12-1),'1-Input'!$B$12,0))-MIN(MAX(AA425,0),MAX(0,W396-IF($A426&gt;=('1-Input'!$C$12-1),'1-Input'!$B$12,0))))*(1/(1-'P-Parametri'!$B$6*W426))),MAX(0,2*W396-(AA425-MIN(MAX(AA425,0),MAX(0,W396-IF($A426&gt;=('1-Input'!$C$12-1),'1-Input'!$B$12,0)))))*(1/(1-'P-Parametri'!$B$6*W426))))</f>
        <v>8616.7634880480309</v>
      </c>
      <c r="Y426" s="18">
        <f>IF($A426&gt;'1-Input'!$B$26,AA425,(AA425-MAX(0,W396-IF($A426&gt;=('1-Input'!$C$12-1),'1-Input'!$B$12,0))+X426*(1-'P-Parametri'!$B$6*W426))*(1+'1-Input'!$B$27))</f>
        <v>36249.311394946351</v>
      </c>
      <c r="Z426" s="18">
        <f>IF($A426&gt;'1-Input'!$B$26,AB425,(AB425-X426)*(1+'5-Roberta'!$C$4))</f>
        <v>90407.222331490091</v>
      </c>
      <c r="AA426" s="18">
        <f>IF($A426&gt;'1-Input'!$B$26,Y426,Y426-'P-Parametri'!$B$8*(Z426+Y426)+MIN(MAX(Z426,0),'P-Parametri'!$B$8*(Z426+Y426)))</f>
        <v>36249.311394946351</v>
      </c>
      <c r="AB426" s="18">
        <f>IF($A426&gt;'1-Input'!$B$26,Z426,Z426-MIN(MAX(Z426,0),'P-Parametri'!$B$8*(Z426+Y426)))</f>
        <v>90153.909264037226</v>
      </c>
      <c r="AC426" s="18">
        <f>IF($A426&gt;'1-Input'!$B$26,AC425,AC425-X426*(1-W426))</f>
        <v>33015.931516317069</v>
      </c>
      <c r="AD426" s="11">
        <f>IF($A426&gt;'1-Input'!$B$26,0,IF(AI425&lt;=0,0,MAX(0,(AI425-AJ425)/AI425)))</f>
        <v>0.62386906951248355</v>
      </c>
      <c r="AE426" s="18">
        <f>IF($A426&gt;'1-Input'!$B$26,0,(MAX(0,AD396-IF($A426&gt;=('1-Input'!$C$12-1),'1-Input'!$B$12,0))-MIN(MAX(AH425,0),MAX(0,AD396-IF($A426&gt;=('1-Input'!$C$12-1),'1-Input'!$B$12,0))))*(1/(1-'P-Parametri'!$B$6*AD426))+MIN(MAX(0,AI425-(MAX(0,AD396-IF($A426&gt;=('1-Input'!$C$12-1),'1-Input'!$B$12,0))-MIN(MAX(AH425,0),MAX(0,AD396-IF($A426&gt;=('1-Input'!$C$12-1),'1-Input'!$B$12,0))))*(1/(1-'P-Parametri'!$B$6*AD426))),MAX(0,2*AD396-(AH425-MIN(MAX(AH425,0),MAX(0,AD396-IF($A426&gt;=('1-Input'!$C$12-1),'1-Input'!$B$12,0)))))*(1/(1-'P-Parametri'!$B$6*AD426))))</f>
        <v>8598.6864376924696</v>
      </c>
      <c r="AF426" s="18">
        <f>IF($A426&gt;'1-Input'!$B$26,AH425,(AH425-MAX(0,AD396-IF($A426&gt;=('1-Input'!$C$12-1),'1-Input'!$B$12,0))+AE426*(1-'P-Parametri'!$B$6*AD426))*(1+'1-Input'!$B$27))</f>
        <v>36219.275067787748</v>
      </c>
      <c r="AG426" s="18">
        <f>IF($A426&gt;'1-Input'!$B$26,AI425,(AI425-AE426)*(1+'5-Roberta'!$C$4))</f>
        <v>91205.371192781531</v>
      </c>
      <c r="AH426" s="18">
        <f>IF($A426&gt;'1-Input'!$B$26,AF426,AF426-'P-Parametri'!$B$8*(AG426+AF426)+MIN(MAX(AG426,0),'P-Parametri'!$B$8*(AG426+AF426)))</f>
        <v>36219.275067787748</v>
      </c>
      <c r="AI426" s="18">
        <f>IF($A426&gt;'1-Input'!$B$26,AG426,AG426-MIN(MAX(AG426,0),'P-Parametri'!$B$8*(AG426+AF426)))</f>
        <v>90950.521900260399</v>
      </c>
      <c r="AJ426" s="18">
        <f>IF($A426&gt;'1-Input'!$B$26,AJ425,AJ425-AE426*(1-AD426))</f>
        <v>33305.981681747813</v>
      </c>
      <c r="AK426" s="11">
        <f>IF($A426&gt;'1-Input'!$B$26,0,IF(AP425&lt;=0,0,MAX(0,(AP425-AQ425)/AP425)))</f>
        <v>0.62386916072141019</v>
      </c>
      <c r="AL426" s="18">
        <f>IF($A426&gt;'1-Input'!$B$26,0,(MAX(0,AK396-IF($A426&gt;=('1-Input'!$C$12-1),'1-Input'!$B$12,0))-MIN(MAX(AO425,0),MAX(0,AK396-IF($A426&gt;=('1-Input'!$C$12-1),'1-Input'!$B$12,0))))*(1/(1-'P-Parametri'!$B$6*AK426))+MIN(MAX(0,AP425-(MAX(0,AK396-IF($A426&gt;=('1-Input'!$C$12-1),'1-Input'!$B$12,0))-MIN(MAX(AO425,0),MAX(0,AK396-IF($A426&gt;=('1-Input'!$C$12-1),'1-Input'!$B$12,0))))*(1/(1-'P-Parametri'!$B$6*AK426))),MAX(0,2*AK396-(AO425-MIN(MAX(AO425,0),MAX(0,AK396-IF($A426&gt;=('1-Input'!$C$12-1),'1-Input'!$B$12,0)))))*(1/(1-'P-Parametri'!$B$6*AK426))))</f>
        <v>8598.5836074902036</v>
      </c>
      <c r="AM426" s="18">
        <f>IF($A426&gt;'1-Input'!$B$26,AO425,(AO425-MAX(0,AK396-IF($A426&gt;=('1-Input'!$C$12-1),'1-Input'!$B$12,0))+AL426*(1-'P-Parametri'!$B$6*AK426))*(1+'1-Input'!$B$27))</f>
        <v>36219.1042108291</v>
      </c>
      <c r="AN426" s="18">
        <f>IF($A426&gt;'1-Input'!$B$26,AP425,(AP425-AL426)*(1+'5-Roberta'!$C$4))</f>
        <v>91209.911349326576</v>
      </c>
      <c r="AO426" s="18">
        <f>IF($A426&gt;'1-Input'!$B$26,AM426,AM426-'P-Parametri'!$B$8*(AN426+AM426)+MIN(MAX(AN426,0),'P-Parametri'!$B$8*(AN426+AM426)))</f>
        <v>36219.1042108291</v>
      </c>
      <c r="AP426" s="18">
        <f>IF($A426&gt;'1-Input'!$B$26,AN426,AN426-MIN(MAX(AN426,0),'P-Parametri'!$B$8*(AN426+AM426)))</f>
        <v>90955.053318206265</v>
      </c>
      <c r="AQ426" s="18">
        <f>IF($A426&gt;'1-Input'!$B$26,AQ425,AQ425-AL426*(1-AK426))</f>
        <v>33307.631559561145</v>
      </c>
    </row>
    <row r="427" spans="1:43">
      <c r="A427" s="10">
        <f>29</f>
        <v>29</v>
      </c>
      <c r="B427" s="11">
        <f>IF($A427&gt;'1-Input'!$B$26,0,IF(G426&lt;=0,0,MAX(0,(G426-H426)/G426)))</f>
        <v>0.6350172906198811</v>
      </c>
      <c r="C427" s="18">
        <f>IF($A427&gt;'1-Input'!$B$26,0,(MAX(0,B396-IF($A427&gt;=('1-Input'!$C$12-1),'1-Input'!$B$12,0))-MIN(MAX(F426,0),MAX(0,B396-IF($A427&gt;=('1-Input'!$C$12-1),'1-Input'!$B$12,0))))*(1/(1-'P-Parametri'!$B$6*B427))+MIN(MAX(0,G426-(MAX(0,B396-IF($A427&gt;=('1-Input'!$C$12-1),'1-Input'!$B$12,0))-MIN(MAX(F426,0),MAX(0,B396-IF($A427&gt;=('1-Input'!$C$12-1),'1-Input'!$B$12,0))))*(1/(1-'P-Parametri'!$B$6*B427))),MAX(0,2*B396-(F426-MIN(MAX(F426,0),MAX(0,B396-IF($A427&gt;=('1-Input'!$C$12-1),'1-Input'!$B$12,0)))))*(1/(1-'P-Parametri'!$B$6*B427))))</f>
        <v>6826.1942753204266</v>
      </c>
      <c r="D427" s="18">
        <f>IF($A427&gt;'1-Input'!$B$26,F426,(F426-MAX(0,B396-IF($A427&gt;=('1-Input'!$C$12-1),'1-Input'!$B$12,0))+C427*(1-'P-Parametri'!$B$6*B427))*(1+'1-Input'!$B$27))</f>
        <v>33242.0070309863</v>
      </c>
      <c r="E427" s="18">
        <f>IF($A427&gt;'1-Input'!$B$26,G426,(G426-C427)*(1+'5-Roberta'!$C$4))</f>
        <v>167994.47551230018</v>
      </c>
      <c r="F427" s="18">
        <f>IF($A427&gt;'1-Input'!$B$26,D427,D427-'P-Parametri'!$B$8*(E427+D427)+MIN(MAX(E427,0),'P-Parametri'!$B$8*(E427+D427)))</f>
        <v>33242.0070309863</v>
      </c>
      <c r="G427" s="18">
        <f>IF($A427&gt;'1-Input'!$B$26,E427,E427-MIN(MAX(E427,0),'P-Parametri'!$B$8*(E427+D427)))</f>
        <v>167592.0025472136</v>
      </c>
      <c r="H427" s="18">
        <f>IF($A427&gt;'1-Input'!$B$26,H426,H426-C427*(1-B427))</f>
        <v>59529.20275084598</v>
      </c>
      <c r="I427" s="11">
        <f>IF($A427&gt;'1-Input'!$B$26,0,IF(N426&lt;=0,0,MAX(0,(N426-O426)/N426)))</f>
        <v>0</v>
      </c>
      <c r="J427" s="18">
        <f>IF($A427&gt;'1-Input'!$B$26,0,(MAX(0,I396-IF($A427&gt;=('1-Input'!$C$12-1),'1-Input'!$B$12,0))-MIN(MAX(M426,0),MAX(0,I396-IF($A427&gt;=('1-Input'!$C$12-1),'1-Input'!$B$12,0))))*(1/(1-'P-Parametri'!$B$6*I427))+MIN(MAX(0,N426-(MAX(0,I396-IF($A427&gt;=('1-Input'!$C$12-1),'1-Input'!$B$12,0))-MIN(MAX(M426,0),MAX(0,I396-IF($A427&gt;=('1-Input'!$C$12-1),'1-Input'!$B$12,0))))*(1/(1-'P-Parametri'!$B$6*I427))),MAX(0,2*I396-(M426-MIN(MAX(M426,0),MAX(0,I396-IF($A427&gt;=('1-Input'!$C$12-1),'1-Input'!$B$12,0)))))*(1/(1-'P-Parametri'!$B$6*I427))))</f>
        <v>10846.756992928691</v>
      </c>
      <c r="K427" s="18">
        <f>IF($A427&gt;'1-Input'!$B$26,M426,(M426-MAX(0,I396-IF($A427&gt;=('1-Input'!$C$12-1),'1-Input'!$B$12,0))+J427*(1-'P-Parametri'!$B$6*I427))*(1+'1-Input'!$B$27))</f>
        <v>0</v>
      </c>
      <c r="L427" s="18">
        <f>IF($A427&gt;'1-Input'!$B$26,N426,(N426-J427)*(1+'5-Roberta'!$C$4))</f>
        <v>-51309.254179439384</v>
      </c>
      <c r="M427" s="18">
        <f>IF($A427&gt;'1-Input'!$B$26,K427,K427-'P-Parametri'!$B$8*(L427+K427)+MIN(MAX(L427,0),'P-Parametri'!$B$8*(L427+K427)))</f>
        <v>0</v>
      </c>
      <c r="N427" s="18">
        <f>IF($A427&gt;'1-Input'!$B$26,L427,L427-MIN(MAX(L427,0),'P-Parametri'!$B$8*(L427+K427)))</f>
        <v>-51206.635671080505</v>
      </c>
      <c r="O427" s="18">
        <f>IF($A427&gt;'1-Input'!$B$26,O426,O426-J427*(1-I427))</f>
        <v>-47484.829331199777</v>
      </c>
      <c r="P427" s="11">
        <f>IF($A427&gt;'1-Input'!$B$26,0,IF(U426&lt;=0,0,MAX(0,(U426-V426)/U426)))</f>
        <v>0.63344885103058068</v>
      </c>
      <c r="Q427" s="18">
        <f>IF($A427&gt;'1-Input'!$B$26,0,(MAX(0,P396-IF($A427&gt;=('1-Input'!$C$12-1),'1-Input'!$B$12,0))-MIN(MAX(T426,0),MAX(0,P396-IF($A427&gt;=('1-Input'!$C$12-1),'1-Input'!$B$12,0))))*(1/(1-'P-Parametri'!$B$6*P427))+MIN(MAX(0,U426-(MAX(0,P396-IF($A427&gt;=('1-Input'!$C$12-1),'1-Input'!$B$12,0))-MIN(MAX(T426,0),MAX(0,P396-IF($A427&gt;=('1-Input'!$C$12-1),'1-Input'!$B$12,0))))*(1/(1-'P-Parametri'!$B$6*P427))),MAX(0,2*P396-(T426-MIN(MAX(T426,0),MAX(0,P396-IF($A427&gt;=('1-Input'!$C$12-1),'1-Input'!$B$12,0)))))*(1/(1-'P-Parametri'!$B$6*P427))))</f>
        <v>8938.4384384585319</v>
      </c>
      <c r="R427" s="18">
        <f>IF($A427&gt;'1-Input'!$B$26,T426,(T426-MAX(0,P396-IF($A427&gt;=('1-Input'!$C$12-1),'1-Input'!$B$12,0))+Q427*(1-'P-Parametri'!$B$6*P427))*(1+'1-Input'!$B$27))</f>
        <v>36738.405892673516</v>
      </c>
      <c r="S427" s="18">
        <f>IF($A427&gt;'1-Input'!$B$26,U426,(U426-Q427)*(1+'5-Roberta'!$C$4))</f>
        <v>70291.809179385134</v>
      </c>
      <c r="T427" s="18">
        <f>IF($A427&gt;'1-Input'!$B$26,R427,R427-'P-Parametri'!$B$8*(S427+R427)+MIN(MAX(S427,0),'P-Parametri'!$B$8*(S427+R427)))</f>
        <v>36738.405892673516</v>
      </c>
      <c r="U427" s="18">
        <f>IF($A427&gt;'1-Input'!$B$26,S427,S427-MIN(MAX(S427,0),'P-Parametri'!$B$8*(S427+R427)))</f>
        <v>70077.748749241015</v>
      </c>
      <c r="V427" s="18">
        <f>IF($A427&gt;'1-Input'!$B$26,V426,V426-Q427*(1-P427))</f>
        <v>25015.090696934752</v>
      </c>
      <c r="W427" s="11">
        <f>IF($A427&gt;'1-Input'!$B$26,0,IF(AB426&lt;=0,0,MAX(0,(AB426-AC426)/AB426)))</f>
        <v>0.63378258595950576</v>
      </c>
      <c r="X427" s="18">
        <f>IF($A427&gt;'1-Input'!$B$26,0,(MAX(0,W396-IF($A427&gt;=('1-Input'!$C$12-1),'1-Input'!$B$12,0))-MIN(MAX(AA426,0),MAX(0,W396-IF($A427&gt;=('1-Input'!$C$12-1),'1-Input'!$B$12,0))))*(1/(1-'P-Parametri'!$B$6*W427))+MIN(MAX(0,AB426-(MAX(0,W396-IF($A427&gt;=('1-Input'!$C$12-1),'1-Input'!$B$12,0))-MIN(MAX(AA426,0),MAX(0,W396-IF($A427&gt;=('1-Input'!$C$12-1),'1-Input'!$B$12,0))))*(1/(1-'P-Parametri'!$B$6*W427))),MAX(0,2*W396-(AA426-MIN(MAX(AA426,0),MAX(0,W396-IF($A427&gt;=('1-Input'!$C$12-1),'1-Input'!$B$12,0)))))*(1/(1-'P-Parametri'!$B$6*W427))))</f>
        <v>8643.3984154556456</v>
      </c>
      <c r="Y427" s="18">
        <f>IF($A427&gt;'1-Input'!$B$26,AA426,(AA426-MAX(0,W396-IF($A427&gt;=('1-Input'!$C$12-1),'1-Input'!$B$12,0))+X427*(1-'P-Parametri'!$B$6*W427))*(1+'1-Input'!$B$27))</f>
        <v>36249.311394946351</v>
      </c>
      <c r="Z427" s="18">
        <f>IF($A427&gt;'1-Input'!$B$26,AB426,(AB426-X427)*(1+'5-Roberta'!$C$4))</f>
        <v>83955.82617403903</v>
      </c>
      <c r="AA427" s="18">
        <f>IF($A427&gt;'1-Input'!$B$26,Y427,Y427-'P-Parametri'!$B$8*(Z427+Y427)+MIN(MAX(Z427,0),'P-Parametri'!$B$8*(Z427+Y427)))</f>
        <v>36249.311394946351</v>
      </c>
      <c r="AB427" s="18">
        <f>IF($A427&gt;'1-Input'!$B$26,Z427,Z427-MIN(MAX(Z427,0),'P-Parametri'!$B$8*(Z427+Y427)))</f>
        <v>83715.415898901061</v>
      </c>
      <c r="AC427" s="18">
        <f>IF($A427&gt;'1-Input'!$B$26,AC426,AC426-X427*(1-W427))</f>
        <v>29850.568500087196</v>
      </c>
      <c r="AD427" s="11">
        <f>IF($A427&gt;'1-Input'!$B$26,0,IF(AI426&lt;=0,0,MAX(0,(AI426-AJ426)/AI426)))</f>
        <v>0.63380109332113188</v>
      </c>
      <c r="AE427" s="18">
        <f>IF($A427&gt;'1-Input'!$B$26,0,(MAX(0,AD396-IF($A427&gt;=('1-Input'!$C$12-1),'1-Input'!$B$12,0))-MIN(MAX(AH426,0),MAX(0,AD396-IF($A427&gt;=('1-Input'!$C$12-1),'1-Input'!$B$12,0))))*(1/(1-'P-Parametri'!$B$6*AD427))+MIN(MAX(0,AI426-(MAX(0,AD396-IF($A427&gt;=('1-Input'!$C$12-1),'1-Input'!$B$12,0))-MIN(MAX(AH426,0),MAX(0,AD396-IF($A427&gt;=('1-Input'!$C$12-1),'1-Input'!$B$12,0))))*(1/(1-'P-Parametri'!$B$6*AD427))),MAX(0,2*AD396-(AH426-MIN(MAX(AH426,0),MAX(0,AD396-IF($A427&gt;=('1-Input'!$C$12-1),'1-Input'!$B$12,0)))))*(1/(1-'P-Parametri'!$B$6*AD427))))</f>
        <v>8625.2720479891432</v>
      </c>
      <c r="AF427" s="18">
        <f>IF($A427&gt;'1-Input'!$B$26,AH426,(AH426-MAX(0,AD396-IF($A427&gt;=('1-Input'!$C$12-1),'1-Input'!$B$12,0))+AE427*(1-'P-Parametri'!$B$6*AD427))*(1+'1-Input'!$B$27))</f>
        <v>36219.275067787748</v>
      </c>
      <c r="AG427" s="18">
        <f>IF($A427&gt;'1-Input'!$B$26,AI426,(AI426-AE427)*(1+'5-Roberta'!$C$4))</f>
        <v>84795.00734783939</v>
      </c>
      <c r="AH427" s="18">
        <f>IF($A427&gt;'1-Input'!$B$26,AF427,AF427-'P-Parametri'!$B$8*(AG427+AF427)+MIN(MAX(AG427,0),'P-Parametri'!$B$8*(AG427+AF427)))</f>
        <v>36219.275067787748</v>
      </c>
      <c r="AI427" s="18">
        <f>IF($A427&gt;'1-Input'!$B$26,AG427,AG427-MIN(MAX(AG427,0),'P-Parametri'!$B$8*(AG427+AF427)))</f>
        <v>84552.978783008133</v>
      </c>
      <c r="AJ427" s="18">
        <f>IF($A427&gt;'1-Input'!$B$26,AJ426,AJ426-AE427*(1-AD427))</f>
        <v>30147.416487966388</v>
      </c>
      <c r="AK427" s="11">
        <f>IF($A427&gt;'1-Input'!$B$26,0,IF(AP426&lt;=0,0,MAX(0,(AP426-AQ426)/AP426)))</f>
        <v>0.63380119801552537</v>
      </c>
      <c r="AL427" s="18">
        <f>IF($A427&gt;'1-Input'!$B$26,0,(MAX(0,AK396-IF($A427&gt;=('1-Input'!$C$12-1),'1-Input'!$B$12,0))-MIN(MAX(AO426,0),MAX(0,AK396-IF($A427&gt;=('1-Input'!$C$12-1),'1-Input'!$B$12,0))))*(1/(1-'P-Parametri'!$B$6*AK427))+MIN(MAX(0,AP426-(MAX(0,AK396-IF($A427&gt;=('1-Input'!$C$12-1),'1-Input'!$B$12,0))-MIN(MAX(AO426,0),MAX(0,AK396-IF($A427&gt;=('1-Input'!$C$12-1),'1-Input'!$B$12,0))))*(1/(1-'P-Parametri'!$B$6*AK427))),MAX(0,2*AK396-(AO426-MIN(MAX(AO426,0),MAX(0,AK396-IF($A427&gt;=('1-Input'!$C$12-1),'1-Input'!$B$12,0)))))*(1/(1-'P-Parametri'!$B$6*AK427))))</f>
        <v>8625.1689368174975</v>
      </c>
      <c r="AM427" s="18">
        <f>IF($A427&gt;'1-Input'!$B$26,AO426,(AO426-MAX(0,AK396-IF($A427&gt;=('1-Input'!$C$12-1),'1-Input'!$B$12,0))+AL427*(1-'P-Parametri'!$B$6*AK427))*(1+'1-Input'!$B$27))</f>
        <v>36219.1042108291</v>
      </c>
      <c r="AN427" s="18">
        <f>IF($A427&gt;'1-Input'!$B$26,AP426,(AP426-AL427)*(1+'5-Roberta'!$C$4))</f>
        <v>84799.780912830436</v>
      </c>
      <c r="AO427" s="18">
        <f>IF($A427&gt;'1-Input'!$B$26,AM427,AM427-'P-Parametri'!$B$8*(AN427+AM427)+MIN(MAX(AN427,0),'P-Parametri'!$B$8*(AN427+AM427)))</f>
        <v>36219.1042108291</v>
      </c>
      <c r="AP427" s="18">
        <f>IF($A427&gt;'1-Input'!$B$26,AN427,AN427-MIN(MAX(AN427,0),'P-Parametri'!$B$8*(AN427+AM427)))</f>
        <v>84557.743142583116</v>
      </c>
      <c r="AQ427" s="18">
        <f>IF($A427&gt;'1-Input'!$B$26,AQ426,AQ426-AL427*(1-AK427))</f>
        <v>30149.105027984871</v>
      </c>
    </row>
    <row r="428" spans="1:43">
      <c r="A428" s="10">
        <f>30</f>
        <v>30</v>
      </c>
      <c r="B428" s="11">
        <f>IF($A428&gt;'1-Input'!$B$26,0,IF(G427&lt;=0,0,MAX(0,(G427-H427)/G427)))</f>
        <v>0.64479687666435292</v>
      </c>
      <c r="C428" s="18">
        <f>IF($A428&gt;'1-Input'!$B$26,0,(MAX(0,B396-IF($A428&gt;=('1-Input'!$C$12-1),'1-Input'!$B$12,0))-MIN(MAX(F427,0),MAX(0,B396-IF($A428&gt;=('1-Input'!$C$12-1),'1-Input'!$B$12,0))))*(1/(1-'P-Parametri'!$B$6*B428))+MIN(MAX(0,G427-(MAX(0,B396-IF($A428&gt;=('1-Input'!$C$12-1),'1-Input'!$B$12,0))-MIN(MAX(F427,0),MAX(0,B396-IF($A428&gt;=('1-Input'!$C$12-1),'1-Input'!$B$12,0))))*(1/(1-'P-Parametri'!$B$6*B428))),MAX(0,2*B396-(F427-MIN(MAX(F427,0),MAX(0,B396-IF($A428&gt;=('1-Input'!$C$12-1),'1-Input'!$B$12,0)))))*(1/(1-'P-Parametri'!$B$6*B428))))</f>
        <v>6847.0471058257426</v>
      </c>
      <c r="D428" s="18">
        <f>IF($A428&gt;'1-Input'!$B$26,F427,(F427-MAX(0,B396-IF($A428&gt;=('1-Input'!$C$12-1),'1-Input'!$B$12,0))+C428*(1-'P-Parametri'!$B$6*B428))*(1+'1-Input'!$B$27))</f>
        <v>33242.0070309863</v>
      </c>
      <c r="E428" s="18">
        <f>IF($A428&gt;'1-Input'!$B$26,G427,(G427-C428)*(1+'5-Roberta'!$C$4))</f>
        <v>165567.3041046295</v>
      </c>
      <c r="F428" s="18">
        <f>IF($A428&gt;'1-Input'!$B$26,D428,D428-'P-Parametri'!$B$8*(E428+D428)+MIN(MAX(E428,0),'P-Parametri'!$B$8*(E428+D428)))</f>
        <v>33242.0070309863</v>
      </c>
      <c r="G428" s="18">
        <f>IF($A428&gt;'1-Input'!$B$26,E428,E428-MIN(MAX(E428,0),'P-Parametri'!$B$8*(E428+D428)))</f>
        <v>165169.68548235827</v>
      </c>
      <c r="H428" s="18">
        <f>IF($A428&gt;'1-Input'!$B$26,H427,H427-C428*(1-B428))</f>
        <v>57097.110233230371</v>
      </c>
      <c r="I428" s="11">
        <f>IF($A428&gt;'1-Input'!$B$26,0,IF(N427&lt;=0,0,MAX(0,(N427-O427)/N427)))</f>
        <v>0</v>
      </c>
      <c r="J428" s="18">
        <f>IF($A428&gt;'1-Input'!$B$26,0,(MAX(0,I396-IF($A428&gt;=('1-Input'!$C$12-1),'1-Input'!$B$12,0))-MIN(MAX(M427,0),MAX(0,I396-IF($A428&gt;=('1-Input'!$C$12-1),'1-Input'!$B$12,0))))*(1/(1-'P-Parametri'!$B$6*I428))+MIN(MAX(0,N427-(MAX(0,I396-IF($A428&gt;=('1-Input'!$C$12-1),'1-Input'!$B$12,0))-MIN(MAX(M427,0),MAX(0,I396-IF($A428&gt;=('1-Input'!$C$12-1),'1-Input'!$B$12,0))))*(1/(1-'P-Parametri'!$B$6*I428))),MAX(0,2*I396-(M427-MIN(MAX(M427,0),MAX(0,I396-IF($A428&gt;=('1-Input'!$C$12-1),'1-Input'!$B$12,0)))))*(1/(1-'P-Parametri'!$B$6*I428))))</f>
        <v>10846.756992928691</v>
      </c>
      <c r="K428" s="18">
        <f>IF($A428&gt;'1-Input'!$B$26,M427,(M427-MAX(0,I396-IF($A428&gt;=('1-Input'!$C$12-1),'1-Input'!$B$12,0))+J428*(1-'P-Parametri'!$B$6*I428))*(1+'1-Input'!$B$27))</f>
        <v>0</v>
      </c>
      <c r="L428" s="18">
        <f>IF($A428&gt;'1-Input'!$B$26,N427,(N427-J428)*(1+'5-Roberta'!$C$4))</f>
        <v>-63914.99444392947</v>
      </c>
      <c r="M428" s="18">
        <f>IF($A428&gt;'1-Input'!$B$26,K428,K428-'P-Parametri'!$B$8*(L428+K428)+MIN(MAX(L428,0),'P-Parametri'!$B$8*(L428+K428)))</f>
        <v>0</v>
      </c>
      <c r="N428" s="18">
        <f>IF($A428&gt;'1-Input'!$B$26,L428,L428-MIN(MAX(L428,0),'P-Parametri'!$B$8*(L428+K428)))</f>
        <v>-63787.164455041609</v>
      </c>
      <c r="O428" s="18">
        <f>IF($A428&gt;'1-Input'!$B$26,O427,O427-J428*(1-I428))</f>
        <v>-58331.586324128468</v>
      </c>
      <c r="P428" s="11">
        <f>IF($A428&gt;'1-Input'!$B$26,0,IF(U427&lt;=0,0,MAX(0,(U427-V427)/U427)))</f>
        <v>0.64303803784499158</v>
      </c>
      <c r="Q428" s="18">
        <f>IF($A428&gt;'1-Input'!$B$26,0,(MAX(0,P396-IF($A428&gt;=('1-Input'!$C$12-1),'1-Input'!$B$12,0))-MIN(MAX(T427,0),MAX(0,P396-IF($A428&gt;=('1-Input'!$C$12-1),'1-Input'!$B$12,0))))*(1/(1-'P-Parametri'!$B$6*P428))+MIN(MAX(0,U427-(MAX(0,P396-IF($A428&gt;=('1-Input'!$C$12-1),'1-Input'!$B$12,0))-MIN(MAX(T427,0),MAX(0,P396-IF($A428&gt;=('1-Input'!$C$12-1),'1-Input'!$B$12,0))))*(1/(1-'P-Parametri'!$B$6*P428))),MAX(0,2*P396-(T427-MIN(MAX(T427,0),MAX(0,P396-IF($A428&gt;=('1-Input'!$C$12-1),'1-Input'!$B$12,0)))))*(1/(1-'P-Parametri'!$B$6*P428))))</f>
        <v>8965.1974946853315</v>
      </c>
      <c r="R428" s="18">
        <f>IF($A428&gt;'1-Input'!$B$26,T427,(T427-MAX(0,P396-IF($A428&gt;=('1-Input'!$C$12-1),'1-Input'!$B$12,0))+Q428*(1-'P-Parametri'!$B$6*P428))*(1+'1-Input'!$B$27))</f>
        <v>36738.405892673516</v>
      </c>
      <c r="S428" s="18">
        <f>IF($A428&gt;'1-Input'!$B$26,U427,(U427-Q428)*(1+'5-Roberta'!$C$4))</f>
        <v>62945.927792192357</v>
      </c>
      <c r="T428" s="18">
        <f>IF($A428&gt;'1-Input'!$B$26,R428,R428-'P-Parametri'!$B$8*(S428+R428)+MIN(MAX(S428,0),'P-Parametri'!$B$8*(S428+R428)))</f>
        <v>36738.405892673516</v>
      </c>
      <c r="U428" s="18">
        <f>IF($A428&gt;'1-Input'!$B$26,S428,S428-MIN(MAX(S428,0),'P-Parametri'!$B$8*(S428+R428)))</f>
        <v>62746.559124822626</v>
      </c>
      <c r="V428" s="18">
        <f>IF($A428&gt;'1-Input'!$B$26,V427,V427-Q428*(1-P428))</f>
        <v>21814.856208124711</v>
      </c>
      <c r="W428" s="11">
        <f>IF($A428&gt;'1-Input'!$B$26,0,IF(AB427&lt;=0,0,MAX(0,(AB427-AC427)/AB427)))</f>
        <v>0.64342805707211392</v>
      </c>
      <c r="X428" s="18">
        <f>IF($A428&gt;'1-Input'!$B$26,0,(MAX(0,W396-IF($A428&gt;=('1-Input'!$C$12-1),'1-Input'!$B$12,0))-MIN(MAX(AA427,0),MAX(0,W396-IF($A428&gt;=('1-Input'!$C$12-1),'1-Input'!$B$12,0))))*(1/(1-'P-Parametri'!$B$6*W428))+MIN(MAX(0,AB427-(MAX(0,W396-IF($A428&gt;=('1-Input'!$C$12-1),'1-Input'!$B$12,0))-MIN(MAX(AA427,0),MAX(0,W396-IF($A428&gt;=('1-Input'!$C$12-1),'1-Input'!$B$12,0))))*(1/(1-'P-Parametri'!$B$6*W428))),MAX(0,2*W396-(AA427-MIN(MAX(AA427,0),MAX(0,W396-IF($A428&gt;=('1-Input'!$C$12-1),'1-Input'!$B$12,0)))))*(1/(1-'P-Parametri'!$B$6*W428))))</f>
        <v>8669.4292576886128</v>
      </c>
      <c r="Y428" s="18">
        <f>IF($A428&gt;'1-Input'!$B$26,AA427,(AA427-MAX(0,W396-IF($A428&gt;=('1-Input'!$C$12-1),'1-Input'!$B$12,0))+X428*(1-'P-Parametri'!$B$6*W428))*(1+'1-Input'!$B$27))</f>
        <v>36249.311394946351</v>
      </c>
      <c r="Z428" s="18">
        <f>IF($A428&gt;'1-Input'!$B$26,AB427,(AB427-X428)*(1+'5-Roberta'!$C$4))</f>
        <v>77297.366240448828</v>
      </c>
      <c r="AA428" s="18">
        <f>IF($A428&gt;'1-Input'!$B$26,Y428,Y428-'P-Parametri'!$B$8*(Z428+Y428)+MIN(MAX(Z428,0),'P-Parametri'!$B$8*(Z428+Y428)))</f>
        <v>36249.311394946351</v>
      </c>
      <c r="AB428" s="18">
        <f>IF($A428&gt;'1-Input'!$B$26,Z428,Z428-MIN(MAX(Z428,0),'P-Parametri'!$B$8*(Z428+Y428)))</f>
        <v>77070.272885178041</v>
      </c>
      <c r="AC428" s="18">
        <f>IF($A428&gt;'1-Input'!$B$26,AC427,AC427-X428*(1-W428))</f>
        <v>26759.293265597305</v>
      </c>
      <c r="AD428" s="11">
        <f>IF($A428&gt;'1-Input'!$B$26,0,IF(AI427&lt;=0,0,MAX(0,(AI427-AJ427)/AI427)))</f>
        <v>0.64344938614954095</v>
      </c>
      <c r="AE428" s="18">
        <f>IF($A428&gt;'1-Input'!$B$26,0,(MAX(0,AD396-IF($A428&gt;=('1-Input'!$C$12-1),'1-Input'!$B$12,0))-MIN(MAX(AH427,0),MAX(0,AD396-IF($A428&gt;=('1-Input'!$C$12-1),'1-Input'!$B$12,0))))*(1/(1-'P-Parametri'!$B$6*AD428))+MIN(MAX(0,AI427-(MAX(0,AD396-IF($A428&gt;=('1-Input'!$C$12-1),'1-Input'!$B$12,0))-MIN(MAX(AH427,0),MAX(0,AD396-IF($A428&gt;=('1-Input'!$C$12-1),'1-Input'!$B$12,0))))*(1/(1-'P-Parametri'!$B$6*AD428))),MAX(0,2*AD396-(AH427-MIN(MAX(AH427,0),MAX(0,AD396-IF($A428&gt;=('1-Input'!$C$12-1),'1-Input'!$B$12,0)))))*(1/(1-'P-Parametri'!$B$6*AD428))))</f>
        <v>8651.2560722670441</v>
      </c>
      <c r="AF428" s="18">
        <f>IF($A428&gt;'1-Input'!$B$26,AH427,(AH427-MAX(0,AD396-IF($A428&gt;=('1-Input'!$C$12-1),'1-Input'!$B$12,0))+AE428*(1-'P-Parametri'!$B$6*AD428))*(1+'1-Input'!$B$27))</f>
        <v>36219.275067787748</v>
      </c>
      <c r="AG428" s="18">
        <f>IF($A428&gt;'1-Input'!$B$26,AI427,(AI427-AE428)*(1+'5-Roberta'!$C$4))</f>
        <v>78178.774392063322</v>
      </c>
      <c r="AH428" s="18">
        <f>IF($A428&gt;'1-Input'!$B$26,AF428,AF428-'P-Parametri'!$B$8*(AG428+AF428)+MIN(MAX(AG428,0),'P-Parametri'!$B$8*(AG428+AF428)))</f>
        <v>36219.275067787748</v>
      </c>
      <c r="AI428" s="18">
        <f>IF($A428&gt;'1-Input'!$B$26,AG428,AG428-MIN(MAX(AG428,0),'P-Parametri'!$B$8*(AG428+AF428)))</f>
        <v>77949.97829314362</v>
      </c>
      <c r="AJ428" s="18">
        <f>IF($A428&gt;'1-Input'!$B$26,AJ427,AJ427-AE428*(1-AD428))</f>
        <v>27062.805824822062</v>
      </c>
      <c r="AK428" s="11">
        <f>IF($A428&gt;'1-Input'!$B$26,0,IF(AP427&lt;=0,0,MAX(0,(AP427-AQ427)/AP427)))</f>
        <v>0.64344950672173462</v>
      </c>
      <c r="AL428" s="18">
        <f>IF($A428&gt;'1-Input'!$B$26,0,(MAX(0,AK396-IF($A428&gt;=('1-Input'!$C$12-1),'1-Input'!$B$12,0))-MIN(MAX(AO427,0),MAX(0,AK396-IF($A428&gt;=('1-Input'!$C$12-1),'1-Input'!$B$12,0))))*(1/(1-'P-Parametri'!$B$6*AK428))+MIN(MAX(0,AP427-(MAX(0,AK396-IF($A428&gt;=('1-Input'!$C$12-1),'1-Input'!$B$12,0))-MIN(MAX(AO427,0),MAX(0,AK396-IF($A428&gt;=('1-Input'!$C$12-1),'1-Input'!$B$12,0))))*(1/(1-'P-Parametri'!$B$6*AK428))),MAX(0,2*AK396-(AO427-MIN(MAX(AO427,0),MAX(0,AK396-IF($A428&gt;=('1-Input'!$C$12-1),'1-Input'!$B$12,0)))))*(1/(1-'P-Parametri'!$B$6*AK428))))</f>
        <v>8651.1526942068485</v>
      </c>
      <c r="AM428" s="18">
        <f>IF($A428&gt;'1-Input'!$B$26,AO427,(AO427-MAX(0,AK396-IF($A428&gt;=('1-Input'!$C$12-1),'1-Input'!$B$12,0))+AL428*(1-'P-Parametri'!$B$6*AK428))*(1+'1-Input'!$B$27))</f>
        <v>36219.1042108291</v>
      </c>
      <c r="AN428" s="18">
        <f>IF($A428&gt;'1-Input'!$B$26,AP427,(AP427-AL428)*(1+'5-Roberta'!$C$4))</f>
        <v>78183.788161827557</v>
      </c>
      <c r="AO428" s="18">
        <f>IF($A428&gt;'1-Input'!$B$26,AM428,AM428-'P-Parametri'!$B$8*(AN428+AM428)+MIN(MAX(AN428,0),'P-Parametri'!$B$8*(AN428+AM428)))</f>
        <v>36219.1042108291</v>
      </c>
      <c r="AP428" s="18">
        <f>IF($A428&gt;'1-Input'!$B$26,AN428,AN428-MIN(MAX(AN428,0),'P-Parametri'!$B$8*(AN428+AM428)))</f>
        <v>77954.98237708224</v>
      </c>
      <c r="AQ428" s="18">
        <f>IF($A428&gt;'1-Input'!$B$26,AQ427,AQ427-AL428*(1-AK428))</f>
        <v>27064.532267439827</v>
      </c>
    </row>
    <row r="429" spans="1:43">
      <c r="A429" s="10">
        <f>31</f>
        <v>31</v>
      </c>
      <c r="B429" s="11">
        <f>IF($A429&gt;'1-Input'!$B$26,0,IF(G428&lt;=0,0,MAX(0,(G428-H428)/G428)))</f>
        <v>0.65431241170869159</v>
      </c>
      <c r="C429" s="18">
        <f>IF($A429&gt;'1-Input'!$B$26,0,(MAX(0,B396-IF($A429&gt;=('1-Input'!$C$12-1),'1-Input'!$B$12,0))-MIN(MAX(F428,0),MAX(0,B396-IF($A429&gt;=('1-Input'!$C$12-1),'1-Input'!$B$12,0))))*(1/(1-'P-Parametri'!$B$6*B429))+MIN(MAX(0,G428-(MAX(0,B396-IF($A429&gt;=('1-Input'!$C$12-1),'1-Input'!$B$12,0))-MIN(MAX(F428,0),MAX(0,B396-IF($A429&gt;=('1-Input'!$C$12-1),'1-Input'!$B$12,0))))*(1/(1-'P-Parametri'!$B$6*B429))),MAX(0,2*B396-(F428-MIN(MAX(F428,0),MAX(0,B396-IF($A429&gt;=('1-Input'!$C$12-1),'1-Input'!$B$12,0)))))*(1/(1-'P-Parametri'!$B$6*B429))))</f>
        <v>6867.459559897743</v>
      </c>
      <c r="D429" s="18">
        <f>IF($A429&gt;'1-Input'!$B$26,F428,(F428-MAX(0,B396-IF($A429&gt;=('1-Input'!$C$12-1),'1-Input'!$B$12,0))+C429*(1-'P-Parametri'!$B$6*B429))*(1+'1-Input'!$B$27))</f>
        <v>33242.0070309863</v>
      </c>
      <c r="E429" s="18">
        <f>IF($A429&gt;'1-Input'!$B$26,G428,(G428-C429)*(1+'5-Roberta'!$C$4))</f>
        <v>163051.29270013433</v>
      </c>
      <c r="F429" s="18">
        <f>IF($A429&gt;'1-Input'!$B$26,D429,D429-'P-Parametri'!$B$8*(E429+D429)+MIN(MAX(E429,0),'P-Parametri'!$B$8*(E429+D429)))</f>
        <v>33242.0070309863</v>
      </c>
      <c r="G429" s="18">
        <f>IF($A429&gt;'1-Input'!$B$26,E429,E429-MIN(MAX(E429,0),'P-Parametri'!$B$8*(E429+D429)))</f>
        <v>162658.70610067211</v>
      </c>
      <c r="H429" s="18">
        <f>IF($A429&gt;'1-Input'!$B$26,H428,H428-C429*(1-B429))</f>
        <v>54723.114700281229</v>
      </c>
      <c r="I429" s="11">
        <f>IF($A429&gt;'1-Input'!$B$26,0,IF(N428&lt;=0,0,MAX(0,(N428-O428)/N428)))</f>
        <v>0</v>
      </c>
      <c r="J429" s="18">
        <f>IF($A429&gt;'1-Input'!$B$26,0,(MAX(0,I396-IF($A429&gt;=('1-Input'!$C$12-1),'1-Input'!$B$12,0))-MIN(MAX(M428,0),MAX(0,I396-IF($A429&gt;=('1-Input'!$C$12-1),'1-Input'!$B$12,0))))*(1/(1-'P-Parametri'!$B$6*I429))+MIN(MAX(0,N428-(MAX(0,I396-IF($A429&gt;=('1-Input'!$C$12-1),'1-Input'!$B$12,0))-MIN(MAX(M428,0),MAX(0,I396-IF($A429&gt;=('1-Input'!$C$12-1),'1-Input'!$B$12,0))))*(1/(1-'P-Parametri'!$B$6*I429))),MAX(0,2*I396-(M428-MIN(MAX(M428,0),MAX(0,I396-IF($A429&gt;=('1-Input'!$C$12-1),'1-Input'!$B$12,0)))))*(1/(1-'P-Parametri'!$B$6*I429))))</f>
        <v>10846.756992928691</v>
      </c>
      <c r="K429" s="18">
        <f>IF($A429&gt;'1-Input'!$B$26,M428,(M428-MAX(0,I396-IF($A429&gt;=('1-Input'!$C$12-1),'1-Input'!$B$12,0))+J429*(1-'P-Parametri'!$B$6*I429))*(1+'1-Input'!$B$27))</f>
        <v>0</v>
      </c>
      <c r="L429" s="18">
        <f>IF($A429&gt;'1-Input'!$B$26,N428,(N428-J429)*(1+'5-Roberta'!$C$4))</f>
        <v>-76872.939091409411</v>
      </c>
      <c r="M429" s="18">
        <f>IF($A429&gt;'1-Input'!$B$26,K429,K429-'P-Parametri'!$B$8*(L429+K429)+MIN(MAX(L429,0),'P-Parametri'!$B$8*(L429+K429)))</f>
        <v>0</v>
      </c>
      <c r="N429" s="18">
        <f>IF($A429&gt;'1-Input'!$B$26,L429,L429-MIN(MAX(L429,0),'P-Parametri'!$B$8*(L429+K429)))</f>
        <v>-76719.193213226594</v>
      </c>
      <c r="O429" s="18">
        <f>IF($A429&gt;'1-Input'!$B$26,O428,O428-J429*(1-I429))</f>
        <v>-69178.343317057152</v>
      </c>
      <c r="P429" s="11">
        <f>IF($A429&gt;'1-Input'!$B$26,0,IF(U428&lt;=0,0,MAX(0,(U428-V428)/U428)))</f>
        <v>0.65233382495559478</v>
      </c>
      <c r="Q429" s="18">
        <f>IF($A429&gt;'1-Input'!$B$26,0,(MAX(0,P396-IF($A429&gt;=('1-Input'!$C$12-1),'1-Input'!$B$12,0))-MIN(MAX(T428,0),MAX(0,P396-IF($A429&gt;=('1-Input'!$C$12-1),'1-Input'!$B$12,0))))*(1/(1-'P-Parametri'!$B$6*P429))+MIN(MAX(0,U428-(MAX(0,P396-IF($A429&gt;=('1-Input'!$C$12-1),'1-Input'!$B$12,0))-MIN(MAX(T428,0),MAX(0,P396-IF($A429&gt;=('1-Input'!$C$12-1),'1-Input'!$B$12,0))))*(1/(1-'P-Parametri'!$B$6*P429))),MAX(0,2*P396-(T428-MIN(MAX(T428,0),MAX(0,P396-IF($A429&gt;=('1-Input'!$C$12-1),'1-Input'!$B$12,0)))))*(1/(1-'P-Parametri'!$B$6*P429))))</f>
        <v>8991.2911902480009</v>
      </c>
      <c r="R429" s="18">
        <f>IF($A429&gt;'1-Input'!$B$26,T428,(T428-MAX(0,P396-IF($A429&gt;=('1-Input'!$C$12-1),'1-Input'!$B$12,0))+Q429*(1-'P-Parametri'!$B$6*P429))*(1+'1-Input'!$B$27))</f>
        <v>36738.405892673516</v>
      </c>
      <c r="S429" s="18">
        <f>IF($A429&gt;'1-Input'!$B$26,U428,(U428-Q429)*(1+'5-Roberta'!$C$4))</f>
        <v>55367.925972611869</v>
      </c>
      <c r="T429" s="18">
        <f>IF($A429&gt;'1-Input'!$B$26,R429,R429-'P-Parametri'!$B$8*(S429+R429)+MIN(MAX(S429,0),'P-Parametri'!$B$8*(S429+R429)))</f>
        <v>36738.405892673516</v>
      </c>
      <c r="U429" s="18">
        <f>IF($A429&gt;'1-Input'!$B$26,S429,S429-MIN(MAX(S429,0),'P-Parametri'!$B$8*(S429+R429)))</f>
        <v>55183.713308881299</v>
      </c>
      <c r="V429" s="18">
        <f>IF($A429&gt;'1-Input'!$B$26,V428,V428-Q429*(1-P429))</f>
        <v>18688.88839130073</v>
      </c>
      <c r="W429" s="11">
        <f>IF($A429&gt;'1-Input'!$B$26,0,IF(AB428&lt;=0,0,MAX(0,(AB428-AC428)/AB428)))</f>
        <v>0.65279358352001393</v>
      </c>
      <c r="X429" s="18">
        <f>IF($A429&gt;'1-Input'!$B$26,0,(MAX(0,W396-IF($A429&gt;=('1-Input'!$C$12-1),'1-Input'!$B$12,0))-MIN(MAX(AA428,0),MAX(0,W396-IF($A429&gt;=('1-Input'!$C$12-1),'1-Input'!$B$12,0))))*(1/(1-'P-Parametri'!$B$6*W429))+MIN(MAX(0,AB428-(MAX(0,W396-IF($A429&gt;=('1-Input'!$C$12-1),'1-Input'!$B$12,0))-MIN(MAX(AA428,0),MAX(0,W396-IF($A429&gt;=('1-Input'!$C$12-1),'1-Input'!$B$12,0))))*(1/(1-'P-Parametri'!$B$6*W429))),MAX(0,2*W396-(AA428-MIN(MAX(AA428,0),MAX(0,W396-IF($A429&gt;=('1-Input'!$C$12-1),'1-Input'!$B$12,0)))))*(1/(1-'P-Parametri'!$B$6*W429))))</f>
        <v>8694.8550669689339</v>
      </c>
      <c r="Y429" s="18">
        <f>IF($A429&gt;'1-Input'!$B$26,AA428,(AA428-MAX(0,W396-IF($A429&gt;=('1-Input'!$C$12-1),'1-Input'!$B$12,0))+X429*(1-'P-Parametri'!$B$6*W429))*(1+'1-Input'!$B$27))</f>
        <v>36249.311394946351</v>
      </c>
      <c r="Z429" s="18">
        <f>IF($A429&gt;'1-Input'!$B$26,AB428,(AB428-X429)*(1+'5-Roberta'!$C$4))</f>
        <v>70426.680352755386</v>
      </c>
      <c r="AA429" s="18">
        <f>IF($A429&gt;'1-Input'!$B$26,Y429,Y429-'P-Parametri'!$B$8*(Z429+Y429)+MIN(MAX(Z429,0),'P-Parametri'!$B$8*(Z429+Y429)))</f>
        <v>36249.311394946351</v>
      </c>
      <c r="AB429" s="18">
        <f>IF($A429&gt;'1-Input'!$B$26,Z429,Z429-MIN(MAX(Z429,0),'P-Parametri'!$B$8*(Z429+Y429)))</f>
        <v>70213.32836925998</v>
      </c>
      <c r="AC429" s="18">
        <f>IF($A429&gt;'1-Input'!$B$26,AC428,AC428-X429*(1-W429))</f>
        <v>23740.383795982172</v>
      </c>
      <c r="AD429" s="11">
        <f>IF($A429&gt;'1-Input'!$B$26,0,IF(AI428&lt;=0,0,MAX(0,(AI428-AJ428)/AI428)))</f>
        <v>0.65281830197504398</v>
      </c>
      <c r="AE429" s="18">
        <f>IF($A429&gt;'1-Input'!$B$26,0,(MAX(0,AD396-IF($A429&gt;=('1-Input'!$C$12-1),'1-Input'!$B$12,0))-MIN(MAX(AH428,0),MAX(0,AD396-IF($A429&gt;=('1-Input'!$C$12-1),'1-Input'!$B$12,0))))*(1/(1-'P-Parametri'!$B$6*AD429))+MIN(MAX(0,AI428-(MAX(0,AD396-IF($A429&gt;=('1-Input'!$C$12-1),'1-Input'!$B$12,0))-MIN(MAX(AH428,0),MAX(0,AD396-IF($A429&gt;=('1-Input'!$C$12-1),'1-Input'!$B$12,0))))*(1/(1-'P-Parametri'!$B$6*AD429))),MAX(0,2*AD396-(AH428-MIN(MAX(AH428,0),MAX(0,AD396-IF($A429&gt;=('1-Input'!$C$12-1),'1-Input'!$B$12,0)))))*(1/(1-'P-Parametri'!$B$6*AD429))))</f>
        <v>8676.637961769291</v>
      </c>
      <c r="AF429" s="18">
        <f>IF($A429&gt;'1-Input'!$B$26,AH428,(AH428-MAX(0,AD396-IF($A429&gt;=('1-Input'!$C$12-1),'1-Input'!$B$12,0))+AE429*(1-'P-Parametri'!$B$6*AD429))*(1+'1-Input'!$B$27))</f>
        <v>36219.275067787748</v>
      </c>
      <c r="AG429" s="18">
        <f>IF($A429&gt;'1-Input'!$B$26,AI428,(AI428-AE429)*(1+'5-Roberta'!$C$4))</f>
        <v>71351.540541315568</v>
      </c>
      <c r="AH429" s="18">
        <f>IF($A429&gt;'1-Input'!$B$26,AF429,AF429-'P-Parametri'!$B$8*(AG429+AF429)+MIN(MAX(AG429,0),'P-Parametri'!$B$8*(AG429+AF429)))</f>
        <v>36219.275067787748</v>
      </c>
      <c r="AI429" s="18">
        <f>IF($A429&gt;'1-Input'!$B$26,AG429,AG429-MIN(MAX(AG429,0),'P-Parametri'!$B$8*(AG429+AF429)))</f>
        <v>71136.398910097356</v>
      </c>
      <c r="AJ429" s="18">
        <f>IF($A429&gt;'1-Input'!$B$26,AJ428,AJ428-AE429*(1-AD429))</f>
        <v>24050.435924107205</v>
      </c>
      <c r="AK429" s="11">
        <f>IF($A429&gt;'1-Input'!$B$26,0,IF(AP428&lt;=0,0,MAX(0,(AP428-AQ428)/AP428)))</f>
        <v>0.65281844159076552</v>
      </c>
      <c r="AL429" s="18">
        <f>IF($A429&gt;'1-Input'!$B$26,0,(MAX(0,AK396-IF($A429&gt;=('1-Input'!$C$12-1),'1-Input'!$B$12,0))-MIN(MAX(AO428,0),MAX(0,AK396-IF($A429&gt;=('1-Input'!$C$12-1),'1-Input'!$B$12,0))))*(1/(1-'P-Parametri'!$B$6*AK429))+MIN(MAX(0,AP428-(MAX(0,AK396-IF($A429&gt;=('1-Input'!$C$12-1),'1-Input'!$B$12,0))-MIN(MAX(AO428,0),MAX(0,AK396-IF($A429&gt;=('1-Input'!$C$12-1),'1-Input'!$B$12,0))))*(1/(1-'P-Parametri'!$B$6*AK429))),MAX(0,2*AK396-(AO428-MIN(MAX(AO428,0),MAX(0,AK396-IF($A429&gt;=('1-Input'!$C$12-1),'1-Input'!$B$12,0)))))*(1/(1-'P-Parametri'!$B$6*AK429))))</f>
        <v>8676.5343331096228</v>
      </c>
      <c r="AM429" s="18">
        <f>IF($A429&gt;'1-Input'!$B$26,AO428,(AO428-MAX(0,AK396-IF($A429&gt;=('1-Input'!$C$12-1),'1-Input'!$B$12,0))+AL429*(1-'P-Parametri'!$B$6*AK429))*(1+'1-Input'!$B$27))</f>
        <v>36219.1042108291</v>
      </c>
      <c r="AN429" s="18">
        <f>IF($A429&gt;'1-Input'!$B$26,AP428,(AP428-AL429)*(1+'5-Roberta'!$C$4))</f>
        <v>71356.801485291799</v>
      </c>
      <c r="AO429" s="18">
        <f>IF($A429&gt;'1-Input'!$B$26,AM429,AM429-'P-Parametri'!$B$8*(AN429+AM429)+MIN(MAX(AN429,0),'P-Parametri'!$B$8*(AN429+AM429)))</f>
        <v>36219.1042108291</v>
      </c>
      <c r="AP429" s="18">
        <f>IF($A429&gt;'1-Input'!$B$26,AN429,AN429-MIN(MAX(AN429,0),'P-Parametri'!$B$8*(AN429+AM429)))</f>
        <v>71141.649673899563</v>
      </c>
      <c r="AQ429" s="18">
        <f>IF($A429&gt;'1-Input'!$B$26,AQ428,AQ428-AL429*(1-AK429))</f>
        <v>24052.199556079599</v>
      </c>
    </row>
    <row r="430" spans="1:43">
      <c r="A430" s="10">
        <f>32</f>
        <v>32</v>
      </c>
      <c r="B430" s="11">
        <f>IF($A430&gt;'1-Input'!$B$26,0,IF(G429&lt;=0,0,MAX(0,(G429-H429)/G429)))</f>
        <v>0.66357094549607309</v>
      </c>
      <c r="C430" s="18">
        <f>IF($A430&gt;'1-Input'!$B$26,0,(MAX(0,B396-IF($A430&gt;=('1-Input'!$C$12-1),'1-Input'!$B$12,0))-MIN(MAX(F429,0),MAX(0,B396-IF($A430&gt;=('1-Input'!$C$12-1),'1-Input'!$B$12,0))))*(1/(1-'P-Parametri'!$B$6*B430))+MIN(MAX(0,G429-(MAX(0,B396-IF($A430&gt;=('1-Input'!$C$12-1),'1-Input'!$B$12,0))-MIN(MAX(F429,0),MAX(0,B396-IF($A430&gt;=('1-Input'!$C$12-1),'1-Input'!$B$12,0))))*(1/(1-'P-Parametri'!$B$6*B430))),MAX(0,2*B396-(F429-MIN(MAX(F429,0),MAX(0,B396-IF($A430&gt;=('1-Input'!$C$12-1),'1-Input'!$B$12,0)))))*(1/(1-'P-Parametri'!$B$6*B430))))</f>
        <v>6887.4378631669679</v>
      </c>
      <c r="D430" s="18">
        <f>IF($A430&gt;'1-Input'!$B$26,F429,(F429-MAX(0,B396-IF($A430&gt;=('1-Input'!$C$12-1),'1-Input'!$B$12,0))+C430*(1-'P-Parametri'!$B$6*B430))*(1+'1-Input'!$B$27))</f>
        <v>33242.0070309863</v>
      </c>
      <c r="E430" s="18">
        <f>IF($A430&gt;'1-Input'!$B$26,G429,(G429-C430)*(1+'5-Roberta'!$C$4))</f>
        <v>160444.4062846303</v>
      </c>
      <c r="F430" s="18">
        <f>IF($A430&gt;'1-Input'!$B$26,D430,D430-'P-Parametri'!$B$8*(E430+D430)+MIN(MAX(E430,0),'P-Parametri'!$B$8*(E430+D430)))</f>
        <v>33242.0070309863</v>
      </c>
      <c r="G430" s="18">
        <f>IF($A430&gt;'1-Input'!$B$26,E430,E430-MIN(MAX(E430,0),'P-Parametri'!$B$8*(E430+D430)))</f>
        <v>160057.03345799906</v>
      </c>
      <c r="H430" s="18">
        <f>IF($A430&gt;'1-Input'!$B$26,H429,H429-C430*(1-B430))</f>
        <v>52405.980492021416</v>
      </c>
      <c r="I430" s="11">
        <f>IF($A430&gt;'1-Input'!$B$26,0,IF(N429&lt;=0,0,MAX(0,(N429-O429)/N429)))</f>
        <v>0</v>
      </c>
      <c r="J430" s="18">
        <f>IF($A430&gt;'1-Input'!$B$26,0,(MAX(0,I396-IF($A430&gt;=('1-Input'!$C$12-1),'1-Input'!$B$12,0))-MIN(MAX(M429,0),MAX(0,I396-IF($A430&gt;=('1-Input'!$C$12-1),'1-Input'!$B$12,0))))*(1/(1-'P-Parametri'!$B$6*I430))+MIN(MAX(0,N429-(MAX(0,I396-IF($A430&gt;=('1-Input'!$C$12-1),'1-Input'!$B$12,0))-MIN(MAX(M429,0),MAX(0,I396-IF($A430&gt;=('1-Input'!$C$12-1),'1-Input'!$B$12,0))))*(1/(1-'P-Parametri'!$B$6*I430))),MAX(0,2*I396-(M429-MIN(MAX(M429,0),MAX(0,I396-IF($A430&gt;=('1-Input'!$C$12-1),'1-Input'!$B$12,0)))))*(1/(1-'P-Parametri'!$B$6*I430))))</f>
        <v>10846.756992928691</v>
      </c>
      <c r="K430" s="18">
        <f>IF($A430&gt;'1-Input'!$B$26,M429,(M429-MAX(0,I396-IF($A430&gt;=('1-Input'!$C$12-1),'1-Input'!$B$12,0))+J430*(1-'P-Parametri'!$B$6*I430))*(1+'1-Input'!$B$27))</f>
        <v>0</v>
      </c>
      <c r="L430" s="18">
        <f>IF($A430&gt;'1-Input'!$B$26,N429,(N429-J430)*(1+'5-Roberta'!$C$4))</f>
        <v>-90192.928712339941</v>
      </c>
      <c r="M430" s="18">
        <f>IF($A430&gt;'1-Input'!$B$26,K430,K430-'P-Parametri'!$B$8*(L430+K430)+MIN(MAX(L430,0),'P-Parametri'!$B$8*(L430+K430)))</f>
        <v>0</v>
      </c>
      <c r="N430" s="18">
        <f>IF($A430&gt;'1-Input'!$B$26,L430,L430-MIN(MAX(L430,0),'P-Parametri'!$B$8*(L430+K430)))</f>
        <v>-90012.542854915257</v>
      </c>
      <c r="O430" s="18">
        <f>IF($A430&gt;'1-Input'!$B$26,O429,O429-J430*(1-I430))</f>
        <v>-80025.100309985835</v>
      </c>
      <c r="P430" s="11">
        <f>IF($A430&gt;'1-Input'!$B$26,0,IF(U429&lt;=0,0,MAX(0,(U429-V429)/U429)))</f>
        <v>0.66133325811742849</v>
      </c>
      <c r="Q430" s="18">
        <f>IF($A430&gt;'1-Input'!$B$26,0,(MAX(0,P396-IF($A430&gt;=('1-Input'!$C$12-1),'1-Input'!$B$12,0))-MIN(MAX(T429,0),MAX(0,P396-IF($A430&gt;=('1-Input'!$C$12-1),'1-Input'!$B$12,0))))*(1/(1-'P-Parametri'!$B$6*P430))+MIN(MAX(0,U429-(MAX(0,P396-IF($A430&gt;=('1-Input'!$C$12-1),'1-Input'!$B$12,0))-MIN(MAX(T429,0),MAX(0,P396-IF($A430&gt;=('1-Input'!$C$12-1),'1-Input'!$B$12,0))))*(1/(1-'P-Parametri'!$B$6*P430))),MAX(0,2*P396-(T429-MIN(MAX(T429,0),MAX(0,P396-IF($A430&gt;=('1-Input'!$C$12-1),'1-Input'!$B$12,0)))))*(1/(1-'P-Parametri'!$B$6*P430))))</f>
        <v>9016.698123501692</v>
      </c>
      <c r="R430" s="18">
        <f>IF($A430&gt;'1-Input'!$B$26,T429,(T429-MAX(0,P396-IF($A430&gt;=('1-Input'!$C$12-1),'1-Input'!$B$12,0))+Q430*(1-'P-Parametri'!$B$6*P430))*(1+'1-Input'!$B$27))</f>
        <v>36738.405892673516</v>
      </c>
      <c r="S430" s="18">
        <f>IF($A430&gt;'1-Input'!$B$26,U429,(U429-Q430)*(1+'5-Roberta'!$C$4))</f>
        <v>47552.025640940992</v>
      </c>
      <c r="T430" s="18">
        <f>IF($A430&gt;'1-Input'!$B$26,R430,R430-'P-Parametri'!$B$8*(S430+R430)+MIN(MAX(S430,0),'P-Parametri'!$B$8*(S430+R430)))</f>
        <v>36738.405892673516</v>
      </c>
      <c r="U430" s="18">
        <f>IF($A430&gt;'1-Input'!$B$26,S430,S430-MIN(MAX(S430,0),'P-Parametri'!$B$8*(S430+R430)))</f>
        <v>47383.444777873767</v>
      </c>
      <c r="V430" s="18">
        <f>IF($A430&gt;'1-Input'!$B$26,V429,V429-Q430*(1-P430))</f>
        <v>15635.232615275716</v>
      </c>
      <c r="W430" s="11">
        <f>IF($A430&gt;'1-Input'!$B$26,0,IF(AB429&lt;=0,0,MAX(0,(AB429-AC429)/AB429)))</f>
        <v>0.66188209066049741</v>
      </c>
      <c r="X430" s="18">
        <f>IF($A430&gt;'1-Input'!$B$26,0,(MAX(0,W396-IF($A430&gt;=('1-Input'!$C$12-1),'1-Input'!$B$12,0))-MIN(MAX(AA429,0),MAX(0,W396-IF($A430&gt;=('1-Input'!$C$12-1),'1-Input'!$B$12,0))))*(1/(1-'P-Parametri'!$B$6*W430))+MIN(MAX(0,AB429-(MAX(0,W396-IF($A430&gt;=('1-Input'!$C$12-1),'1-Input'!$B$12,0))-MIN(MAX(AA429,0),MAX(0,W396-IF($A430&gt;=('1-Input'!$C$12-1),'1-Input'!$B$12,0))))*(1/(1-'P-Parametri'!$B$6*W430))),MAX(0,2*W396-(AA429-MIN(MAX(AA429,0),MAX(0,W396-IF($A430&gt;=('1-Input'!$C$12-1),'1-Input'!$B$12,0)))))*(1/(1-'P-Parametri'!$B$6*W430))))</f>
        <v>8719.671809517773</v>
      </c>
      <c r="Y430" s="18">
        <f>IF($A430&gt;'1-Input'!$B$26,AA429,(AA429-MAX(0,W396-IF($A430&gt;=('1-Input'!$C$12-1),'1-Input'!$B$12,0))+X430*(1-'P-Parametri'!$B$6*W430))*(1+'1-Input'!$B$27))</f>
        <v>36249.311394946351</v>
      </c>
      <c r="Z430" s="18">
        <f>IF($A430&gt;'1-Input'!$B$26,AB429,(AB429-X430)*(1+'5-Roberta'!$C$4))</f>
        <v>63338.466256534477</v>
      </c>
      <c r="AA430" s="18">
        <f>IF($A430&gt;'1-Input'!$B$26,Y430,Y430-'P-Parametri'!$B$8*(Z430+Y430)+MIN(MAX(Z430,0),'P-Parametri'!$B$8*(Z430+Y430)))</f>
        <v>36249.311394946351</v>
      </c>
      <c r="AB430" s="18">
        <f>IF($A430&gt;'1-Input'!$B$26,Z430,Z430-MIN(MAX(Z430,0),'P-Parametri'!$B$8*(Z430+Y430)))</f>
        <v>63139.290701231512</v>
      </c>
      <c r="AC430" s="18">
        <f>IF($A430&gt;'1-Input'!$B$26,AC429,AC429-X430*(1-W430))</f>
        <v>20792.106593621425</v>
      </c>
      <c r="AD430" s="11">
        <f>IF($A430&gt;'1-Input'!$B$26,0,IF(AI429&lt;=0,0,MAX(0,(AI429-AJ429)/AI429)))</f>
        <v>0.66191097254582276</v>
      </c>
      <c r="AE430" s="18">
        <f>IF($A430&gt;'1-Input'!$B$26,0,(MAX(0,AD396-IF($A430&gt;=('1-Input'!$C$12-1),'1-Input'!$B$12,0))-MIN(MAX(AH429,0),MAX(0,AD396-IF($A430&gt;=('1-Input'!$C$12-1),'1-Input'!$B$12,0))))*(1/(1-'P-Parametri'!$B$6*AD430))+MIN(MAX(0,AI429-(MAX(0,AD396-IF($A430&gt;=('1-Input'!$C$12-1),'1-Input'!$B$12,0))-MIN(MAX(AH429,0),MAX(0,AD396-IF($A430&gt;=('1-Input'!$C$12-1),'1-Input'!$B$12,0))))*(1/(1-'P-Parametri'!$B$6*AD430))),MAX(0,2*AD396-(AH429-MIN(MAX(AH429,0),MAX(0,AD396-IF($A430&gt;=('1-Input'!$C$12-1),'1-Input'!$B$12,0)))))*(1/(1-'P-Parametri'!$B$6*AD430))))</f>
        <v>8701.4142787086093</v>
      </c>
      <c r="AF430" s="18">
        <f>IF($A430&gt;'1-Input'!$B$26,AH429,(AH429-MAX(0,AD396-IF($A430&gt;=('1-Input'!$C$12-1),'1-Input'!$B$12,0))+AE430*(1-'P-Parametri'!$B$6*AD430))*(1+'1-Input'!$B$27))</f>
        <v>36219.275067787748</v>
      </c>
      <c r="AG430" s="18">
        <f>IF($A430&gt;'1-Input'!$B$26,AI429,(AI429-AE430)*(1+'5-Roberta'!$C$4))</f>
        <v>64308.034170330408</v>
      </c>
      <c r="AH430" s="18">
        <f>IF($A430&gt;'1-Input'!$B$26,AF430,AF430-'P-Parametri'!$B$8*(AG430+AF430)+MIN(MAX(AG430,0),'P-Parametri'!$B$8*(AG430+AF430)))</f>
        <v>36219.275067787748</v>
      </c>
      <c r="AI430" s="18">
        <f>IF($A430&gt;'1-Input'!$B$26,AG430,AG430-MIN(MAX(AG430,0),'P-Parametri'!$B$8*(AG430+AF430)))</f>
        <v>64106.979551854172</v>
      </c>
      <c r="AJ430" s="18">
        <f>IF($A430&gt;'1-Input'!$B$26,AJ429,AJ429-AE430*(1-AD430))</f>
        <v>21108.583233142719</v>
      </c>
      <c r="AK430" s="11">
        <f>IF($A430&gt;'1-Input'!$B$26,0,IF(AP429&lt;=0,0,MAX(0,(AP429-AQ429)/AP429)))</f>
        <v>0.66191113551160918</v>
      </c>
      <c r="AL430" s="18">
        <f>IF($A430&gt;'1-Input'!$B$26,0,(MAX(0,AK396-IF($A430&gt;=('1-Input'!$C$12-1),'1-Input'!$B$12,0))-MIN(MAX(AO429,0),MAX(0,AK396-IF($A430&gt;=('1-Input'!$C$12-1),'1-Input'!$B$12,0))))*(1/(1-'P-Parametri'!$B$6*AK430))+MIN(MAX(0,AP429-(MAX(0,AK396-IF($A430&gt;=('1-Input'!$C$12-1),'1-Input'!$B$12,0))-MIN(MAX(AO429,0),MAX(0,AK396-IF($A430&gt;=('1-Input'!$C$12-1),'1-Input'!$B$12,0))))*(1/(1-'P-Parametri'!$B$6*AK430))),MAX(0,2*AK396-(AO429-MIN(MAX(AO429,0),MAX(0,AK396-IF($A430&gt;=('1-Input'!$C$12-1),'1-Input'!$B$12,0)))))*(1/(1-'P-Parametri'!$B$6*AK430))))</f>
        <v>8701.3104190282575</v>
      </c>
      <c r="AM430" s="18">
        <f>IF($A430&gt;'1-Input'!$B$26,AO429,(AO429-MAX(0,AK396-IF($A430&gt;=('1-Input'!$C$12-1),'1-Input'!$B$12,0))+AL430*(1-'P-Parametri'!$B$6*AK430))*(1+'1-Input'!$B$27))</f>
        <v>36219.1042108291</v>
      </c>
      <c r="AN430" s="18">
        <f>IF($A430&gt;'1-Input'!$B$26,AP429,(AP429-AL430)*(1+'5-Roberta'!$C$4))</f>
        <v>64313.549432517444</v>
      </c>
      <c r="AO430" s="18">
        <f>IF($A430&gt;'1-Input'!$B$26,AM430,AM430-'P-Parametri'!$B$8*(AN430+AM430)+MIN(MAX(AN430,0),'P-Parametri'!$B$8*(AN430+AM430)))</f>
        <v>36219.1042108291</v>
      </c>
      <c r="AP430" s="18">
        <f>IF($A430&gt;'1-Input'!$B$26,AN430,AN430-MIN(MAX(AN430,0),'P-Parametri'!$B$8*(AN430+AM430)))</f>
        <v>64112.484125230752</v>
      </c>
      <c r="AQ430" s="18">
        <f>IF($A430&gt;'1-Input'!$B$26,AQ429,AQ429-AL430*(1-AK430))</f>
        <v>21110.383396949332</v>
      </c>
    </row>
    <row r="431" spans="1:43">
      <c r="A431" s="10">
        <f>33</f>
        <v>33</v>
      </c>
      <c r="B431" s="11">
        <f>IF($A431&gt;'1-Input'!$B$26,0,IF(G430&lt;=0,0,MAX(0,(G430-H430)/G430)))</f>
        <v>0.67257933400487901</v>
      </c>
      <c r="C431" s="18">
        <f>IF($A431&gt;'1-Input'!$B$26,0,(MAX(0,B396-IF($A431&gt;=('1-Input'!$C$12-1),'1-Input'!$B$12,0))-MIN(MAX(F430,0),MAX(0,B396-IF($A431&gt;=('1-Input'!$C$12-1),'1-Input'!$B$12,0))))*(1/(1-'P-Parametri'!$B$6*B431))+MIN(MAX(0,G430-(MAX(0,B396-IF($A431&gt;=('1-Input'!$C$12-1),'1-Input'!$B$12,0))-MIN(MAX(F430,0),MAX(0,B396-IF($A431&gt;=('1-Input'!$C$12-1),'1-Input'!$B$12,0))))*(1/(1-'P-Parametri'!$B$6*B431))),MAX(0,2*B396-(F430-MIN(MAX(F430,0),MAX(0,B396-IF($A431&gt;=('1-Input'!$C$12-1),'1-Input'!$B$12,0)))))*(1/(1-'P-Parametri'!$B$6*B431))))</f>
        <v>6906.9882836357965</v>
      </c>
      <c r="D431" s="18">
        <f>IF($A431&gt;'1-Input'!$B$26,F430,(F430-MAX(0,B396-IF($A431&gt;=('1-Input'!$C$12-1),'1-Input'!$B$12,0))+C431*(1-'P-Parametri'!$B$6*B431))*(1+'1-Input'!$B$27))</f>
        <v>33242.0070309863</v>
      </c>
      <c r="E431" s="18">
        <f>IF($A431&gt;'1-Input'!$B$26,G430,(G430-C431)*(1+'5-Roberta'!$C$4))</f>
        <v>157744.54652959417</v>
      </c>
      <c r="F431" s="18">
        <f>IF($A431&gt;'1-Input'!$B$26,D431,D431-'P-Parametri'!$B$8*(E431+D431)+MIN(MAX(E431,0),'P-Parametri'!$B$8*(E431+D431)))</f>
        <v>33242.0070309863</v>
      </c>
      <c r="G431" s="18">
        <f>IF($A431&gt;'1-Input'!$B$26,E431,E431-MIN(MAX(E431,0),'P-Parametri'!$B$8*(E431+D431)))</f>
        <v>157362.57342247301</v>
      </c>
      <c r="H431" s="18">
        <f>IF($A431&gt;'1-Input'!$B$26,H430,H430-C431*(1-B431))</f>
        <v>50144.489788172883</v>
      </c>
      <c r="I431" s="11">
        <f>IF($A431&gt;'1-Input'!$B$26,0,IF(N430&lt;=0,0,MAX(0,(N430-O430)/N430)))</f>
        <v>0</v>
      </c>
      <c r="J431" s="18">
        <f>IF($A431&gt;'1-Input'!$B$26,0,(MAX(0,I396-IF($A431&gt;=('1-Input'!$C$12-1),'1-Input'!$B$12,0))-MIN(MAX(M430,0),MAX(0,I396-IF($A431&gt;=('1-Input'!$C$12-1),'1-Input'!$B$12,0))))*(1/(1-'P-Parametri'!$B$6*I431))+MIN(MAX(0,N430-(MAX(0,I396-IF($A431&gt;=('1-Input'!$C$12-1),'1-Input'!$B$12,0))-MIN(MAX(M430,0),MAX(0,I396-IF($A431&gt;=('1-Input'!$C$12-1),'1-Input'!$B$12,0))))*(1/(1-'P-Parametri'!$B$6*I431))),MAX(0,2*I396-(M430-MIN(MAX(M430,0),MAX(0,I396-IF($A431&gt;=('1-Input'!$C$12-1),'1-Input'!$B$12,0)))))*(1/(1-'P-Parametri'!$B$6*I431))))</f>
        <v>10846.756992928691</v>
      </c>
      <c r="K431" s="18">
        <f>IF($A431&gt;'1-Input'!$B$26,M430,(M430-MAX(0,I396-IF($A431&gt;=('1-Input'!$C$12-1),'1-Input'!$B$12,0))+J431*(1-'P-Parametri'!$B$6*I431))*(1+'1-Input'!$B$27))</f>
        <v>0</v>
      </c>
      <c r="L431" s="18">
        <f>IF($A431&gt;'1-Input'!$B$26,N430,(N430-J431)*(1+'5-Roberta'!$C$4))</f>
        <v>-103885.07884327926</v>
      </c>
      <c r="M431" s="18">
        <f>IF($A431&gt;'1-Input'!$B$26,K431,K431-'P-Parametri'!$B$8*(L431+K431)+MIN(MAX(L431,0),'P-Parametri'!$B$8*(L431+K431)))</f>
        <v>0</v>
      </c>
      <c r="N431" s="18">
        <f>IF($A431&gt;'1-Input'!$B$26,L431,L431-MIN(MAX(L431,0),'P-Parametri'!$B$8*(L431+K431)))</f>
        <v>-103677.3086855927</v>
      </c>
      <c r="O431" s="18">
        <f>IF($A431&gt;'1-Input'!$B$26,O430,O430-J431*(1-I431))</f>
        <v>-90871.857302914519</v>
      </c>
      <c r="P431" s="11">
        <f>IF($A431&gt;'1-Input'!$B$26,0,IF(U430&lt;=0,0,MAX(0,(U430-V430)/U430)))</f>
        <v>0.67002752356711803</v>
      </c>
      <c r="Q431" s="18">
        <f>IF($A431&gt;'1-Input'!$B$26,0,(MAX(0,P396-IF($A431&gt;=('1-Input'!$C$12-1),'1-Input'!$B$12,0))-MIN(MAX(T430,0),MAX(0,P396-IF($A431&gt;=('1-Input'!$C$12-1),'1-Input'!$B$12,0))))*(1/(1-'P-Parametri'!$B$6*P431))+MIN(MAX(0,U430-(MAX(0,P396-IF($A431&gt;=('1-Input'!$C$12-1),'1-Input'!$B$12,0))-MIN(MAX(T430,0),MAX(0,P396-IF($A431&gt;=('1-Input'!$C$12-1),'1-Input'!$B$12,0))))*(1/(1-'P-Parametri'!$B$6*P431))),MAX(0,2*P396-(T430-MIN(MAX(T430,0),MAX(0,P396-IF($A431&gt;=('1-Input'!$C$12-1),'1-Input'!$B$12,0)))))*(1/(1-'P-Parametri'!$B$6*P431))))</f>
        <v>9041.3802548161675</v>
      </c>
      <c r="R431" s="18">
        <f>IF($A431&gt;'1-Input'!$B$26,T430,(T430-MAX(0,P396-IF($A431&gt;=('1-Input'!$C$12-1),'1-Input'!$B$12,0))+Q431*(1-'P-Parametri'!$B$6*P431))*(1+'1-Input'!$B$27))</f>
        <v>36738.405892673516</v>
      </c>
      <c r="S431" s="18">
        <f>IF($A431&gt;'1-Input'!$B$26,U430,(U430-Q431)*(1+'5-Roberta'!$C$4))</f>
        <v>39492.326458749325</v>
      </c>
      <c r="T431" s="18">
        <f>IF($A431&gt;'1-Input'!$B$26,R431,R431-'P-Parametri'!$B$8*(S431+R431)+MIN(MAX(S431,0),'P-Parametri'!$B$8*(S431+R431)))</f>
        <v>36738.405892673516</v>
      </c>
      <c r="U431" s="18">
        <f>IF($A431&gt;'1-Input'!$B$26,S431,S431-MIN(MAX(S431,0),'P-Parametri'!$B$8*(S431+R431)))</f>
        <v>39339.864994046482</v>
      </c>
      <c r="V431" s="18">
        <f>IF($A431&gt;'1-Input'!$B$26,V430,V430-Q431*(1-P431))</f>
        <v>12651.825982222665</v>
      </c>
      <c r="W431" s="11">
        <f>IF($A431&gt;'1-Input'!$B$26,0,IF(AB430&lt;=0,0,MAX(0,(AB430-AC430)/AB430)))</f>
        <v>0.67069464413201141</v>
      </c>
      <c r="X431" s="18">
        <f>IF($A431&gt;'1-Input'!$B$26,0,(MAX(0,W396-IF($A431&gt;=('1-Input'!$C$12-1),'1-Input'!$B$12,0))-MIN(MAX(AA430,0),MAX(0,W396-IF($A431&gt;=('1-Input'!$C$12-1),'1-Input'!$B$12,0))))*(1/(1-'P-Parametri'!$B$6*W431))+MIN(MAX(0,AB430-(MAX(0,W396-IF($A431&gt;=('1-Input'!$C$12-1),'1-Input'!$B$12,0))-MIN(MAX(AA430,0),MAX(0,W396-IF($A431&gt;=('1-Input'!$C$12-1),'1-Input'!$B$12,0))))*(1/(1-'P-Parametri'!$B$6*W431))),MAX(0,2*W396-(AA430-MIN(MAX(AA430,0),MAX(0,W396-IF($A431&gt;=('1-Input'!$C$12-1),'1-Input'!$B$12,0)))))*(1/(1-'P-Parametri'!$B$6*W431))))</f>
        <v>8743.8706951550066</v>
      </c>
      <c r="Y431" s="18">
        <f>IF($A431&gt;'1-Input'!$B$26,AA430,(AA430-MAX(0,W396-IF($A431&gt;=('1-Input'!$C$12-1),'1-Input'!$B$12,0))+X431*(1-'P-Parametri'!$B$6*W431))*(1+'1-Input'!$B$27))</f>
        <v>36249.311394946351</v>
      </c>
      <c r="Z431" s="18">
        <f>IF($A431&gt;'1-Input'!$B$26,AB430,(AB430-X431)*(1+'5-Roberta'!$C$4))</f>
        <v>56027.282606258806</v>
      </c>
      <c r="AA431" s="18">
        <f>IF($A431&gt;'1-Input'!$B$26,Y431,Y431-'P-Parametri'!$B$8*(Z431+Y431)+MIN(MAX(Z431,0),'P-Parametri'!$B$8*(Z431+Y431)))</f>
        <v>36249.311394946351</v>
      </c>
      <c r="AB431" s="18">
        <f>IF($A431&gt;'1-Input'!$B$26,Z431,Z431-MIN(MAX(Z431,0),'P-Parametri'!$B$8*(Z431+Y431)))</f>
        <v>55842.729418256393</v>
      </c>
      <c r="AC431" s="18">
        <f>IF($A431&gt;'1-Input'!$B$26,AC430,AC430-X431*(1-W431))</f>
        <v>17912.70314268973</v>
      </c>
      <c r="AD431" s="11">
        <f>IF($A431&gt;'1-Input'!$B$26,0,IF(AI430&lt;=0,0,MAX(0,(AI430-AJ430)/AI430)))</f>
        <v>0.67072878209667286</v>
      </c>
      <c r="AE431" s="18">
        <f>IF($A431&gt;'1-Input'!$B$26,0,(MAX(0,AD396-IF($A431&gt;=('1-Input'!$C$12-1),'1-Input'!$B$12,0))-MIN(MAX(AH430,0),MAX(0,AD396-IF($A431&gt;=('1-Input'!$C$12-1),'1-Input'!$B$12,0))))*(1/(1-'P-Parametri'!$B$6*AD431))+MIN(MAX(0,AI430-(MAX(0,AD396-IF($A431&gt;=('1-Input'!$C$12-1),'1-Input'!$B$12,0))-MIN(MAX(AH430,0),MAX(0,AD396-IF($A431&gt;=('1-Input'!$C$12-1),'1-Input'!$B$12,0))))*(1/(1-'P-Parametri'!$B$6*AD431))),MAX(0,2*AD396-(AH430-MIN(MAX(AH430,0),MAX(0,AD396-IF($A431&gt;=('1-Input'!$C$12-1),'1-Input'!$B$12,0)))))*(1/(1-'P-Parametri'!$B$6*AD431))))</f>
        <v>8725.577158444361</v>
      </c>
      <c r="AF431" s="18">
        <f>IF($A431&gt;'1-Input'!$B$26,AH430,(AH430-MAX(0,AD396-IF($A431&gt;=('1-Input'!$C$12-1),'1-Input'!$B$12,0))+AE431*(1-'P-Parametri'!$B$6*AD431))*(1+'1-Input'!$B$27))</f>
        <v>36219.275067787748</v>
      </c>
      <c r="AG431" s="18">
        <f>IF($A431&gt;'1-Input'!$B$26,AI430,(AI430-AE431)*(1+'5-Roberta'!$C$4))</f>
        <v>57042.844465212103</v>
      </c>
      <c r="AH431" s="18">
        <f>IF($A431&gt;'1-Input'!$B$26,AF431,AF431-'P-Parametri'!$B$8*(AG431+AF431)+MIN(MAX(AG431,0),'P-Parametri'!$B$8*(AG431+AF431)))</f>
        <v>36219.275067787748</v>
      </c>
      <c r="AI431" s="18">
        <f>IF($A431&gt;'1-Input'!$B$26,AG431,AG431-MIN(MAX(AG431,0),'P-Parametri'!$B$8*(AG431+AF431)))</f>
        <v>56856.320226146105</v>
      </c>
      <c r="AJ431" s="18">
        <f>IF($A431&gt;'1-Input'!$B$26,AJ430,AJ430-AE431*(1-AD431))</f>
        <v>18235.501815272291</v>
      </c>
      <c r="AK431" s="11">
        <f>IF($A431&gt;'1-Input'!$B$26,0,IF(AP430&lt;=0,0,MAX(0,(AP430-AQ430)/AP430)))</f>
        <v>0.6707289744737629</v>
      </c>
      <c r="AL431" s="18">
        <f>IF($A431&gt;'1-Input'!$B$26,0,(MAX(0,AK396-IF($A431&gt;=('1-Input'!$C$12-1),'1-Input'!$B$12,0))-MIN(MAX(AO430,0),MAX(0,AK396-IF($A431&gt;=('1-Input'!$C$12-1),'1-Input'!$B$12,0))))*(1/(1-'P-Parametri'!$B$6*AK431))+MIN(MAX(0,AP430-(MAX(0,AK396-IF($A431&gt;=('1-Input'!$C$12-1),'1-Input'!$B$12,0))-MIN(MAX(AO430,0),MAX(0,AK396-IF($A431&gt;=('1-Input'!$C$12-1),'1-Input'!$B$12,0))))*(1/(1-'P-Parametri'!$B$6*AK431))),MAX(0,2*AK396-(AO430-MIN(MAX(AO430,0),MAX(0,AK396-IF($A431&gt;=('1-Input'!$C$12-1),'1-Input'!$B$12,0)))))*(1/(1-'P-Parametri'!$B$6*AK431))))</f>
        <v>8725.4730924137893</v>
      </c>
      <c r="AM431" s="18">
        <f>IF($A431&gt;'1-Input'!$B$26,AO430,(AO430-MAX(0,AK396-IF($A431&gt;=('1-Input'!$C$12-1),'1-Input'!$B$12,0))+AL431*(1-'P-Parametri'!$B$6*AK431))*(1+'1-Input'!$B$27))</f>
        <v>36219.1042108291</v>
      </c>
      <c r="AN431" s="18">
        <f>IF($A431&gt;'1-Input'!$B$26,AP430,(AP430-AL431)*(1+'5-Roberta'!$C$4))</f>
        <v>57048.621363801474</v>
      </c>
      <c r="AO431" s="18">
        <f>IF($A431&gt;'1-Input'!$B$26,AM431,AM431-'P-Parametri'!$B$8*(AN431+AM431)+MIN(MAX(AN431,0),'P-Parametri'!$B$8*(AN431+AM431)))</f>
        <v>36219.1042108291</v>
      </c>
      <c r="AP431" s="18">
        <f>IF($A431&gt;'1-Input'!$B$26,AN431,AN431-MIN(MAX(AN431,0),'P-Parametri'!$B$8*(AN431+AM431)))</f>
        <v>56862.085912652212</v>
      </c>
      <c r="AQ431" s="18">
        <f>IF($A431&gt;'1-Input'!$B$26,AQ430,AQ430-AL431*(1-AK431))</f>
        <v>18237.337923608655</v>
      </c>
    </row>
    <row r="432" spans="1:43">
      <c r="A432" s="10">
        <f>34</f>
        <v>34</v>
      </c>
      <c r="B432" s="11">
        <f>IF($A432&gt;'1-Input'!$B$26,0,IF(G431&lt;=0,0,MAX(0,(G431-H431)/G431)))</f>
        <v>0.6813442440754357</v>
      </c>
      <c r="C432" s="18">
        <f>IF($A432&gt;'1-Input'!$B$26,0,(MAX(0,B396-IF($A432&gt;=('1-Input'!$C$12-1),'1-Input'!$B$12,0))-MIN(MAX(F431,0),MAX(0,B396-IF($A432&gt;=('1-Input'!$C$12-1),'1-Input'!$B$12,0))))*(1/(1-'P-Parametri'!$B$6*B432))+MIN(MAX(0,G431-(MAX(0,B396-IF($A432&gt;=('1-Input'!$C$12-1),'1-Input'!$B$12,0))-MIN(MAX(F431,0),MAX(0,B396-IF($A432&gt;=('1-Input'!$C$12-1),'1-Input'!$B$12,0))))*(1/(1-'P-Parametri'!$B$6*B432))),MAX(0,2*B396-(F431-MIN(MAX(F431,0),MAX(0,B396-IF($A432&gt;=('1-Input'!$C$12-1),'1-Input'!$B$12,0)))))*(1/(1-'P-Parametri'!$B$6*B432))))</f>
        <v>6926.1171219471753</v>
      </c>
      <c r="D432" s="18">
        <f>IF($A432&gt;'1-Input'!$B$26,F431,(F431-MAX(0,B396-IF($A432&gt;=('1-Input'!$C$12-1),'1-Input'!$B$12,0))+C432*(1-'P-Parametri'!$B$6*B432))*(1+'1-Input'!$B$27))</f>
        <v>33242.0070309863</v>
      </c>
      <c r="E432" s="18">
        <f>IF($A432&gt;'1-Input'!$B$26,G431,(G431-C432)*(1+'5-Roberta'!$C$4))</f>
        <v>154949.54998954161</v>
      </c>
      <c r="F432" s="18">
        <f>IF($A432&gt;'1-Input'!$B$26,D432,D432-'P-Parametri'!$B$8*(E432+D432)+MIN(MAX(E432,0),'P-Parametri'!$B$8*(E432+D432)))</f>
        <v>33242.0070309863</v>
      </c>
      <c r="G432" s="18">
        <f>IF($A432&gt;'1-Input'!$B$26,E432,E432-MIN(MAX(E432,0),'P-Parametri'!$B$8*(E432+D432)))</f>
        <v>154573.16687550055</v>
      </c>
      <c r="H432" s="18">
        <f>IF($A432&gt;'1-Input'!$B$26,H431,H431-C432*(1-B432))</f>
        <v>47937.442701056738</v>
      </c>
      <c r="I432" s="11">
        <f>IF($A432&gt;'1-Input'!$B$26,0,IF(N431&lt;=0,0,MAX(0,(N431-O431)/N431)))</f>
        <v>0</v>
      </c>
      <c r="J432" s="18">
        <f>IF($A432&gt;'1-Input'!$B$26,0,(MAX(0,I396-IF($A432&gt;=('1-Input'!$C$12-1),'1-Input'!$B$12,0))-MIN(MAX(M431,0),MAX(0,I396-IF($A432&gt;=('1-Input'!$C$12-1),'1-Input'!$B$12,0))))*(1/(1-'P-Parametri'!$B$6*I432))+MIN(MAX(0,N431-(MAX(0,I396-IF($A432&gt;=('1-Input'!$C$12-1),'1-Input'!$B$12,0))-MIN(MAX(M431,0),MAX(0,I396-IF($A432&gt;=('1-Input'!$C$12-1),'1-Input'!$B$12,0))))*(1/(1-'P-Parametri'!$B$6*I432))),MAX(0,2*I396-(M431-MIN(MAX(M431,0),MAX(0,I396-IF($A432&gt;=('1-Input'!$C$12-1),'1-Input'!$B$12,0)))))*(1/(1-'P-Parametri'!$B$6*I432))))</f>
        <v>10846.756992928691</v>
      </c>
      <c r="K432" s="18">
        <f>IF($A432&gt;'1-Input'!$B$26,M431,(M431-MAX(0,I396-IF($A432&gt;=('1-Input'!$C$12-1),'1-Input'!$B$12,0))+J432*(1-'P-Parametri'!$B$6*I432))*(1+'1-Input'!$B$27))</f>
        <v>0</v>
      </c>
      <c r="L432" s="18">
        <f>IF($A432&gt;'1-Input'!$B$26,N431,(N431-J432)*(1+'5-Roberta'!$C$4))</f>
        <v>-117959.78764887703</v>
      </c>
      <c r="M432" s="18">
        <f>IF($A432&gt;'1-Input'!$B$26,K432,K432-'P-Parametri'!$B$8*(L432+K432)+MIN(MAX(L432,0),'P-Parametri'!$B$8*(L432+K432)))</f>
        <v>0</v>
      </c>
      <c r="N432" s="18">
        <f>IF($A432&gt;'1-Input'!$B$26,L432,L432-MIN(MAX(L432,0),'P-Parametri'!$B$8*(L432+K432)))</f>
        <v>-117723.86807357927</v>
      </c>
      <c r="O432" s="18">
        <f>IF($A432&gt;'1-Input'!$B$26,O431,O431-J432*(1-I432))</f>
        <v>-101718.6142958432</v>
      </c>
      <c r="P432" s="11">
        <f>IF($A432&gt;'1-Input'!$B$26,0,IF(U431&lt;=0,0,MAX(0,(U431-V431)/U431)))</f>
        <v>0.67839681239024752</v>
      </c>
      <c r="Q432" s="18">
        <f>IF($A432&gt;'1-Input'!$B$26,0,(MAX(0,P396-IF($A432&gt;=('1-Input'!$C$12-1),'1-Input'!$B$12,0))-MIN(MAX(T431,0),MAX(0,P396-IF($A432&gt;=('1-Input'!$C$12-1),'1-Input'!$B$12,0))))*(1/(1-'P-Parametri'!$B$6*P432))+MIN(MAX(0,U431-(MAX(0,P396-IF($A432&gt;=('1-Input'!$C$12-1),'1-Input'!$B$12,0))-MIN(MAX(T431,0),MAX(0,P396-IF($A432&gt;=('1-Input'!$C$12-1),'1-Input'!$B$12,0))))*(1/(1-'P-Parametri'!$B$6*P432))),MAX(0,2*P396-(T431-MIN(MAX(T431,0),MAX(0,P396-IF($A432&gt;=('1-Input'!$C$12-1),'1-Input'!$B$12,0)))))*(1/(1-'P-Parametri'!$B$6*P432))))</f>
        <v>9065.2677947713346</v>
      </c>
      <c r="R432" s="18">
        <f>IF($A432&gt;'1-Input'!$B$26,T431,(T431-MAX(0,P396-IF($A432&gt;=('1-Input'!$C$12-1),'1-Input'!$B$12,0))+Q432*(1-'P-Parametri'!$B$6*P432))*(1+'1-Input'!$B$27))</f>
        <v>36738.405892673516</v>
      </c>
      <c r="S432" s="18">
        <f>IF($A432&gt;'1-Input'!$B$26,U431,(U431-Q432)*(1+'5-Roberta'!$C$4))</f>
        <v>31182.835115253401</v>
      </c>
      <c r="T432" s="18">
        <f>IF($A432&gt;'1-Input'!$B$26,R432,R432-'P-Parametri'!$B$8*(S432+R432)+MIN(MAX(S432,0),'P-Parametri'!$B$8*(S432+R432)))</f>
        <v>36738.405892673516</v>
      </c>
      <c r="U432" s="18">
        <f>IF($A432&gt;'1-Input'!$B$26,S432,S432-MIN(MAX(S432,0),'P-Parametri'!$B$8*(S432+R432)))</f>
        <v>31046.992633237547</v>
      </c>
      <c r="V432" s="18">
        <f>IF($A432&gt;'1-Input'!$B$26,V431,V431-Q432*(1-P432))</f>
        <v>9736.4069628881716</v>
      </c>
      <c r="W432" s="11">
        <f>IF($A432&gt;'1-Input'!$B$26,0,IF(AB431&lt;=0,0,MAX(0,(AB431-AC431)/AB431)))</f>
        <v>0.67922944796402418</v>
      </c>
      <c r="X432" s="18">
        <f>IF($A432&gt;'1-Input'!$B$26,0,(MAX(0,W396-IF($A432&gt;=('1-Input'!$C$12-1),'1-Input'!$B$12,0))-MIN(MAX(AA431,0),MAX(0,W396-IF($A432&gt;=('1-Input'!$C$12-1),'1-Input'!$B$12,0))))*(1/(1-'P-Parametri'!$B$6*W432))+MIN(MAX(0,AB431-(MAX(0,W396-IF($A432&gt;=('1-Input'!$C$12-1),'1-Input'!$B$12,0))-MIN(MAX(AA431,0),MAX(0,W396-IF($A432&gt;=('1-Input'!$C$12-1),'1-Input'!$B$12,0))))*(1/(1-'P-Parametri'!$B$6*W432))),MAX(0,2*W396-(AA431-MIN(MAX(AA431,0),MAX(0,W396-IF($A432&gt;=('1-Input'!$C$12-1),'1-Input'!$B$12,0)))))*(1/(1-'P-Parametri'!$B$6*W432))))</f>
        <v>8767.4352681389046</v>
      </c>
      <c r="Y432" s="18">
        <f>IF($A432&gt;'1-Input'!$B$26,AA431,(AA431-MAX(0,W396-IF($A432&gt;=('1-Input'!$C$12-1),'1-Input'!$B$12,0))+X432*(1-'P-Parametri'!$B$6*W432))*(1+'1-Input'!$B$27))</f>
        <v>36249.311394946351</v>
      </c>
      <c r="Z432" s="18">
        <f>IF($A432&gt;'1-Input'!$B$26,AB431,(AB431-X432)*(1+'5-Roberta'!$C$4))</f>
        <v>48487.552974621016</v>
      </c>
      <c r="AA432" s="18">
        <f>IF($A432&gt;'1-Input'!$B$26,Y432,Y432-'P-Parametri'!$B$8*(Z432+Y432)+MIN(MAX(Z432,0),'P-Parametri'!$B$8*(Z432+Y432)))</f>
        <v>36249.311394946351</v>
      </c>
      <c r="AB432" s="18">
        <f>IF($A432&gt;'1-Input'!$B$26,Z432,Z432-MIN(MAX(Z432,0),'P-Parametri'!$B$8*(Z432+Y432)))</f>
        <v>48318.079245881883</v>
      </c>
      <c r="AC432" s="18">
        <f>IF($A432&gt;'1-Input'!$B$26,AC431,AC431-X432*(1-W432))</f>
        <v>15100.368091789131</v>
      </c>
      <c r="AD432" s="11">
        <f>IF($A432&gt;'1-Input'!$B$26,0,IF(AI431&lt;=0,0,MAX(0,(AI431-AJ431)/AI431)))</f>
        <v>0.67927045326288171</v>
      </c>
      <c r="AE432" s="18">
        <f>IF($A432&gt;'1-Input'!$B$26,0,(MAX(0,AD396-IF($A432&gt;=('1-Input'!$C$12-1),'1-Input'!$B$12,0))-MIN(MAX(AH431,0),MAX(0,AD396-IF($A432&gt;=('1-Input'!$C$12-1),'1-Input'!$B$12,0))))*(1/(1-'P-Parametri'!$B$6*AD432))+MIN(MAX(0,AI431-(MAX(0,AD396-IF($A432&gt;=('1-Input'!$C$12-1),'1-Input'!$B$12,0))-MIN(MAX(AH431,0),MAX(0,AD396-IF($A432&gt;=('1-Input'!$C$12-1),'1-Input'!$B$12,0))))*(1/(1-'P-Parametri'!$B$6*AD432))),MAX(0,2*AD396-(AH431-MIN(MAX(AH431,0),MAX(0,AD396-IF($A432&gt;=('1-Input'!$C$12-1),'1-Input'!$B$12,0)))))*(1/(1-'P-Parametri'!$B$6*AD432))))</f>
        <v>8749.1116564274944</v>
      </c>
      <c r="AF432" s="18">
        <f>IF($A432&gt;'1-Input'!$B$26,AH431,(AH431-MAX(0,AD396-IF($A432&gt;=('1-Input'!$C$12-1),'1-Input'!$B$12,0))+AE432*(1-'P-Parametri'!$B$6*AD432))*(1+'1-Input'!$B$27))</f>
        <v>36219.275067787748</v>
      </c>
      <c r="AG432" s="18">
        <f>IF($A432&gt;'1-Input'!$B$26,AI431,(AI431-AE432)*(1+'5-Roberta'!$C$4))</f>
        <v>49550.424826810173</v>
      </c>
      <c r="AH432" s="18">
        <f>IF($A432&gt;'1-Input'!$B$26,AF432,AF432-'P-Parametri'!$B$8*(AG432+AF432)+MIN(MAX(AG432,0),'P-Parametri'!$B$8*(AG432+AF432)))</f>
        <v>36219.275067787748</v>
      </c>
      <c r="AI432" s="18">
        <f>IF($A432&gt;'1-Input'!$B$26,AG432,AG432-MIN(MAX(AG432,0),'P-Parametri'!$B$8*(AG432+AF432)))</f>
        <v>49378.885427020978</v>
      </c>
      <c r="AJ432" s="18">
        <f>IF($A432&gt;'1-Input'!$B$26,AJ431,AJ431-AE432*(1-AD432))</f>
        <v>15429.403199353863</v>
      </c>
      <c r="AK432" s="11">
        <f>IF($A432&gt;'1-Input'!$B$26,0,IF(AP431&lt;=0,0,MAX(0,(AP431-AQ431)/AP431)))</f>
        <v>0.67927068395584977</v>
      </c>
      <c r="AL432" s="18">
        <f>IF($A432&gt;'1-Input'!$B$26,0,(MAX(0,AK396-IF($A432&gt;=('1-Input'!$C$12-1),'1-Input'!$B$12,0))-MIN(MAX(AO431,0),MAX(0,AK396-IF($A432&gt;=('1-Input'!$C$12-1),'1-Input'!$B$12,0))))*(1/(1-'P-Parametri'!$B$6*AK432))+MIN(MAX(0,AP431-(MAX(0,AK396-IF($A432&gt;=('1-Input'!$C$12-1),'1-Input'!$B$12,0))-MIN(MAX(AO431,0),MAX(0,AK396-IF($A432&gt;=('1-Input'!$C$12-1),'1-Input'!$B$12,0))))*(1/(1-'P-Parametri'!$B$6*AK432))),MAX(0,2*AK396-(AO431-MIN(MAX(AO431,0),MAX(0,AK396-IF($A432&gt;=('1-Input'!$C$12-1),'1-Input'!$B$12,0)))))*(1/(1-'P-Parametri'!$B$6*AK432))))</f>
        <v>8749.0074169947547</v>
      </c>
      <c r="AM432" s="18">
        <f>IF($A432&gt;'1-Input'!$B$26,AO431,(AO431-MAX(0,AK396-IF($A432&gt;=('1-Input'!$C$12-1),'1-Input'!$B$12,0))+AL432*(1-'P-Parametri'!$B$6*AK432))*(1+'1-Input'!$B$27))</f>
        <v>36219.1042108291</v>
      </c>
      <c r="AN432" s="18">
        <f>IF($A432&gt;'1-Input'!$B$26,AP431,(AP431-AL432)*(1+'5-Roberta'!$C$4))</f>
        <v>49556.470850527185</v>
      </c>
      <c r="AO432" s="18">
        <f>IF($A432&gt;'1-Input'!$B$26,AM432,AM432-'P-Parametri'!$B$8*(AN432+AM432)+MIN(MAX(AN432,0),'P-Parametri'!$B$8*(AN432+AM432)))</f>
        <v>36219.1042108291</v>
      </c>
      <c r="AP432" s="18">
        <f>IF($A432&gt;'1-Input'!$B$26,AN432,AN432-MIN(MAX(AN432,0),'P-Parametri'!$B$8*(AN432+AM432)))</f>
        <v>49384.919700404469</v>
      </c>
      <c r="AQ432" s="18">
        <f>IF($A432&gt;'1-Input'!$B$26,AQ431,AQ431-AL432*(1-AK432))</f>
        <v>15431.27475869073</v>
      </c>
    </row>
    <row r="433" spans="1:43">
      <c r="A433" s="10">
        <f>35</f>
        <v>35</v>
      </c>
      <c r="B433" s="11">
        <f>IF($A433&gt;'1-Input'!$B$26,0,IF(G432&lt;=0,0,MAX(0,(G432-H432)/G432)))</f>
        <v>0.68987215782628375</v>
      </c>
      <c r="C433" s="18">
        <f>IF($A433&gt;'1-Input'!$B$26,0,(MAX(0,B396-IF($A433&gt;=('1-Input'!$C$12-1),'1-Input'!$B$12,0))-MIN(MAX(F432,0),MAX(0,B396-IF($A433&gt;=('1-Input'!$C$12-1),'1-Input'!$B$12,0))))*(1/(1-'P-Parametri'!$B$6*B433))+MIN(MAX(0,G432-(MAX(0,B396-IF($A433&gt;=('1-Input'!$C$12-1),'1-Input'!$B$12,0))-MIN(MAX(F432,0),MAX(0,B396-IF($A433&gt;=('1-Input'!$C$12-1),'1-Input'!$B$12,0))))*(1/(1-'P-Parametri'!$B$6*B433))),MAX(0,2*B396-(F432-MIN(MAX(F432,0),MAX(0,B396-IF($A433&gt;=('1-Input'!$C$12-1),'1-Input'!$B$12,0)))))*(1/(1-'P-Parametri'!$B$6*B433))))</f>
        <v>6944.8307018100468</v>
      </c>
      <c r="D433" s="18">
        <f>IF($A433&gt;'1-Input'!$B$26,F432,(F432-MAX(0,B396-IF($A433&gt;=('1-Input'!$C$12-1),'1-Input'!$B$12,0))+C433*(1-'P-Parametri'!$B$6*B433))*(1+'1-Input'!$B$27))</f>
        <v>33242.0070309863</v>
      </c>
      <c r="E433" s="18">
        <f>IF($A433&gt;'1-Input'!$B$26,G432,(G432-C433)*(1+'5-Roberta'!$C$4))</f>
        <v>152057.18625890123</v>
      </c>
      <c r="F433" s="18">
        <f>IF($A433&gt;'1-Input'!$B$26,D433,D433-'P-Parametri'!$B$8*(E433+D433)+MIN(MAX(E433,0),'P-Parametri'!$B$8*(E433+D433)))</f>
        <v>33242.0070309863</v>
      </c>
      <c r="G433" s="18">
        <f>IF($A433&gt;'1-Input'!$B$26,E433,E433-MIN(MAX(E433,0),'P-Parametri'!$B$8*(E433+D433)))</f>
        <v>151686.58787232146</v>
      </c>
      <c r="H433" s="18">
        <f>IF($A433&gt;'1-Input'!$B$26,H432,H432-C433*(1-B433))</f>
        <v>45783.657341242615</v>
      </c>
      <c r="I433" s="11">
        <f>IF($A433&gt;'1-Input'!$B$26,0,IF(N432&lt;=0,0,MAX(0,(N432-O432)/N432)))</f>
        <v>0</v>
      </c>
      <c r="J433" s="18">
        <f>IF($A433&gt;'1-Input'!$B$26,0,(MAX(0,I396-IF($A433&gt;=('1-Input'!$C$12-1),'1-Input'!$B$12,0))-MIN(MAX(M432,0),MAX(0,I396-IF($A433&gt;=('1-Input'!$C$12-1),'1-Input'!$B$12,0))))*(1/(1-'P-Parametri'!$B$6*I433))+MIN(MAX(0,N432-(MAX(0,I396-IF($A433&gt;=('1-Input'!$C$12-1),'1-Input'!$B$12,0))-MIN(MAX(M432,0),MAX(0,I396-IF($A433&gt;=('1-Input'!$C$12-1),'1-Input'!$B$12,0))))*(1/(1-'P-Parametri'!$B$6*I433))),MAX(0,2*I396-(M432-MIN(MAX(M432,0),MAX(0,I396-IF($A433&gt;=('1-Input'!$C$12-1),'1-Input'!$B$12,0)))))*(1/(1-'P-Parametri'!$B$6*I433))))</f>
        <v>10846.756992928691</v>
      </c>
      <c r="K433" s="18">
        <f>IF($A433&gt;'1-Input'!$B$26,M432,(M432-MAX(0,I396-IF($A433&gt;=('1-Input'!$C$12-1),'1-Input'!$B$12,0))+J433*(1-'P-Parametri'!$B$6*I433))*(1+'1-Input'!$B$27))</f>
        <v>0</v>
      </c>
      <c r="L433" s="18">
        <f>IF($A433&gt;'1-Input'!$B$26,N432,(N432-J433)*(1+'5-Roberta'!$C$4))</f>
        <v>-132427.74381850319</v>
      </c>
      <c r="M433" s="18">
        <f>IF($A433&gt;'1-Input'!$B$26,K433,K433-'P-Parametri'!$B$8*(L433+K433)+MIN(MAX(L433,0),'P-Parametri'!$B$8*(L433+K433)))</f>
        <v>0</v>
      </c>
      <c r="N433" s="18">
        <f>IF($A433&gt;'1-Input'!$B$26,L433,L433-MIN(MAX(L433,0),'P-Parametri'!$B$8*(L433+K433)))</f>
        <v>-132162.88833086618</v>
      </c>
      <c r="O433" s="18">
        <f>IF($A433&gt;'1-Input'!$B$26,O432,O432-J433*(1-I433))</f>
        <v>-112565.37128877189</v>
      </c>
      <c r="P433" s="11">
        <f>IF($A433&gt;'1-Input'!$B$26,0,IF(U432&lt;=0,0,MAX(0,(U432-V432)/U432)))</f>
        <v>0.6863977429986311</v>
      </c>
      <c r="Q433" s="18">
        <f>IF($A433&gt;'1-Input'!$B$26,0,(MAX(0,P396-IF($A433&gt;=('1-Input'!$C$12-1),'1-Input'!$B$12,0))-MIN(MAX(T432,0),MAX(0,P396-IF($A433&gt;=('1-Input'!$C$12-1),'1-Input'!$B$12,0))))*(1/(1-'P-Parametri'!$B$6*P433))+MIN(MAX(0,U432-(MAX(0,P396-IF($A433&gt;=('1-Input'!$C$12-1),'1-Input'!$B$12,0))-MIN(MAX(T432,0),MAX(0,P396-IF($A433&gt;=('1-Input'!$C$12-1),'1-Input'!$B$12,0))))*(1/(1-'P-Parametri'!$B$6*P433))),MAX(0,2*P396-(T432-MIN(MAX(T432,0),MAX(0,P396-IF($A433&gt;=('1-Input'!$C$12-1),'1-Input'!$B$12,0)))))*(1/(1-'P-Parametri'!$B$6*P433))))</f>
        <v>9088.2222811951306</v>
      </c>
      <c r="R433" s="18">
        <f>IF($A433&gt;'1-Input'!$B$26,T432,(T432-MAX(0,P396-IF($A433&gt;=('1-Input'!$C$12-1),'1-Input'!$B$12,0))+Q433*(1-'P-Parametri'!$B$6*P433))*(1+'1-Input'!$B$27))</f>
        <v>36738.405892673516</v>
      </c>
      <c r="S433" s="18">
        <f>IF($A433&gt;'1-Input'!$B$26,U432,(U432-Q433)*(1+'5-Roberta'!$C$4))</f>
        <v>22617.533462603693</v>
      </c>
      <c r="T433" s="18">
        <f>IF($A433&gt;'1-Input'!$B$26,R433,R433-'P-Parametri'!$B$8*(S433+R433)+MIN(MAX(S433,0),'P-Parametri'!$B$8*(S433+R433)))</f>
        <v>36738.405892673516</v>
      </c>
      <c r="U433" s="18">
        <f>IF($A433&gt;'1-Input'!$B$26,S433,S433-MIN(MAX(S433,0),'P-Parametri'!$B$8*(S433+R433)))</f>
        <v>22498.821583893139</v>
      </c>
      <c r="V433" s="18">
        <f>IF($A433&gt;'1-Input'!$B$26,V432,V432-Q433*(1-P433))</f>
        <v>6886.3199433752488</v>
      </c>
      <c r="W433" s="11">
        <f>IF($A433&gt;'1-Input'!$B$26,0,IF(AB432&lt;=0,0,MAX(0,(AB432-AC432)/AB432)))</f>
        <v>0.68747995931406713</v>
      </c>
      <c r="X433" s="18">
        <f>IF($A433&gt;'1-Input'!$B$26,0,(MAX(0,W396-IF($A433&gt;=('1-Input'!$C$12-1),'1-Input'!$B$12,0))-MIN(MAX(AA432,0),MAX(0,W396-IF($A433&gt;=('1-Input'!$C$12-1),'1-Input'!$B$12,0))))*(1/(1-'P-Parametri'!$B$6*W433))+MIN(MAX(0,AB432-(MAX(0,W396-IF($A433&gt;=('1-Input'!$C$12-1),'1-Input'!$B$12,0))-MIN(MAX(AA432,0),MAX(0,W396-IF($A433&gt;=('1-Input'!$C$12-1),'1-Input'!$B$12,0))))*(1/(1-'P-Parametri'!$B$6*W433))),MAX(0,2*W396-(AA432-MIN(MAX(AA432,0),MAX(0,W396-IF($A433&gt;=('1-Input'!$C$12-1),'1-Input'!$B$12,0)))))*(1/(1-'P-Parametri'!$B$6*W433))))</f>
        <v>8790.3359621586096</v>
      </c>
      <c r="Y433" s="18">
        <f>IF($A433&gt;'1-Input'!$B$26,AA432,(AA432-MAX(0,W396-IF($A433&gt;=('1-Input'!$C$12-1),'1-Input'!$B$12,0))+X433*(1-'P-Parametri'!$B$6*W433))*(1+'1-Input'!$B$27))</f>
        <v>36249.311394946351</v>
      </c>
      <c r="Z433" s="18">
        <f>IF($A433&gt;'1-Input'!$B$26,AB432,(AB432-X433)*(1+'5-Roberta'!$C$4))</f>
        <v>40713.575582234975</v>
      </c>
      <c r="AA433" s="18">
        <f>IF($A433&gt;'1-Input'!$B$26,Y433,Y433-'P-Parametri'!$B$8*(Z433+Y433)+MIN(MAX(Z433,0),'P-Parametri'!$B$8*(Z433+Y433)))</f>
        <v>36249.311394946351</v>
      </c>
      <c r="AB433" s="18">
        <f>IF($A433&gt;'1-Input'!$B$26,Z433,Z433-MIN(MAX(Z433,0),'P-Parametri'!$B$8*(Z433+Y433)))</f>
        <v>40559.649808280614</v>
      </c>
      <c r="AC433" s="18">
        <f>IF($A433&gt;'1-Input'!$B$26,AC432,AC432-X433*(1-W433))</f>
        <v>12353.211939252304</v>
      </c>
      <c r="AD433" s="11">
        <f>IF($A433&gt;'1-Input'!$B$26,0,IF(AI432&lt;=0,0,MAX(0,(AI432-AJ432)/AI432)))</f>
        <v>0.6875303469099644</v>
      </c>
      <c r="AE433" s="18">
        <f>IF($A433&gt;'1-Input'!$B$26,0,(MAX(0,AD396-IF($A433&gt;=('1-Input'!$C$12-1),'1-Input'!$B$12,0))-MIN(MAX(AH432,0),MAX(0,AD396-IF($A433&gt;=('1-Input'!$C$12-1),'1-Input'!$B$12,0))))*(1/(1-'P-Parametri'!$B$6*AD433))+MIN(MAX(0,AI432-(MAX(0,AD396-IF($A433&gt;=('1-Input'!$C$12-1),'1-Input'!$B$12,0))-MIN(MAX(AH432,0),MAX(0,AD396-IF($A433&gt;=('1-Input'!$C$12-1),'1-Input'!$B$12,0))))*(1/(1-'P-Parametri'!$B$6*AD433))),MAX(0,2*AD396-(AH432-MIN(MAX(AH432,0),MAX(0,AD396-IF($A433&gt;=('1-Input'!$C$12-1),'1-Input'!$B$12,0)))))*(1/(1-'P-Parametri'!$B$6*AD433))))</f>
        <v>8771.9908415553964</v>
      </c>
      <c r="AF433" s="18">
        <f>IF($A433&gt;'1-Input'!$B$26,AH432,(AH432-MAX(0,AD396-IF($A433&gt;=('1-Input'!$C$12-1),'1-Input'!$B$12,0))+AE433*(1-'P-Parametri'!$B$6*AD433))*(1+'1-Input'!$B$27))</f>
        <v>36219.275067787748</v>
      </c>
      <c r="AG433" s="18">
        <f>IF($A433&gt;'1-Input'!$B$26,AI432,(AI432-AE433)*(1+'5-Roberta'!$C$4))</f>
        <v>41825.101423029555</v>
      </c>
      <c r="AH433" s="18">
        <f>IF($A433&gt;'1-Input'!$B$26,AF433,AF433-'P-Parametri'!$B$8*(AG433+AF433)+MIN(MAX(AG433,0),'P-Parametri'!$B$8*(AG433+AF433)))</f>
        <v>36219.275067787748</v>
      </c>
      <c r="AI433" s="18">
        <f>IF($A433&gt;'1-Input'!$B$26,AG433,AG433-MIN(MAX(AG433,0),'P-Parametri'!$B$8*(AG433+AF433)))</f>
        <v>41669.012670047923</v>
      </c>
      <c r="AJ433" s="18">
        <f>IF($A433&gt;'1-Input'!$B$26,AJ432,AJ432-AE433*(1-AD433))</f>
        <v>12688.422264184079</v>
      </c>
      <c r="AK433" s="11">
        <f>IF($A433&gt;'1-Input'!$B$26,0,IF(AP432&lt;=0,0,MAX(0,(AP432-AQ432)/AP432)))</f>
        <v>0.68753062974881496</v>
      </c>
      <c r="AL433" s="18">
        <f>IF($A433&gt;'1-Input'!$B$26,0,(MAX(0,AK396-IF($A433&gt;=('1-Input'!$C$12-1),'1-Input'!$B$12,0))-MIN(MAX(AO432,0),MAX(0,AK396-IF($A433&gt;=('1-Input'!$C$12-1),'1-Input'!$B$12,0))))*(1/(1-'P-Parametri'!$B$6*AK433))+MIN(MAX(0,AP432-(MAX(0,AK396-IF($A433&gt;=('1-Input'!$C$12-1),'1-Input'!$B$12,0))-MIN(MAX(AO432,0),MAX(0,AK396-IF($A433&gt;=('1-Input'!$C$12-1),'1-Input'!$B$12,0))))*(1/(1-'P-Parametri'!$B$6*AK433))),MAX(0,2*AK396-(AO432-MIN(MAX(AO432,0),MAX(0,AK396-IF($A433&gt;=('1-Input'!$C$12-1),'1-Input'!$B$12,0)))))*(1/(1-'P-Parametri'!$B$6*AK433))))</f>
        <v>8771.8864760199958</v>
      </c>
      <c r="AM433" s="18">
        <f>IF($A433&gt;'1-Input'!$B$26,AO432,(AO432-MAX(0,AK396-IF($A433&gt;=('1-Input'!$C$12-1),'1-Input'!$B$12,0))+AL433*(1-'P-Parametri'!$B$6*AK433))*(1+'1-Input'!$B$27))</f>
        <v>36219.1042108291</v>
      </c>
      <c r="AN433" s="18">
        <f>IF($A433&gt;'1-Input'!$B$26,AP432,(AP432-AL433)*(1+'5-Roberta'!$C$4))</f>
        <v>41831.424221116009</v>
      </c>
      <c r="AO433" s="18">
        <f>IF($A433&gt;'1-Input'!$B$26,AM433,AM433-'P-Parametri'!$B$8*(AN433+AM433)+MIN(MAX(AN433,0),'P-Parametri'!$B$8*(AN433+AM433)))</f>
        <v>36219.1042108291</v>
      </c>
      <c r="AP433" s="18">
        <f>IF($A433&gt;'1-Input'!$B$26,AN433,AN433-MIN(MAX(AN433,0),'P-Parametri'!$B$8*(AN433+AM433)))</f>
        <v>41675.32316425212</v>
      </c>
      <c r="AQ433" s="18">
        <f>IF($A433&gt;'1-Input'!$B$26,AQ432,AQ432-AL433*(1-AK433))</f>
        <v>12690.328915613874</v>
      </c>
    </row>
    <row r="434" spans="1:43">
      <c r="A434" s="10">
        <f>36</f>
        <v>36</v>
      </c>
      <c r="B434" s="11">
        <f>IF($A434&gt;'1-Input'!$B$26,0,IF(G433&lt;=0,0,MAX(0,(G433-H433)/G433)))</f>
        <v>0.69816937684840064</v>
      </c>
      <c r="C434" s="18">
        <f>IF($A434&gt;'1-Input'!$B$26,0,(MAX(0,B396-IF($A434&gt;=('1-Input'!$C$12-1),'1-Input'!$B$12,0))-MIN(MAX(F433,0),MAX(0,B396-IF($A434&gt;=('1-Input'!$C$12-1),'1-Input'!$B$12,0))))*(1/(1-'P-Parametri'!$B$6*B434))+MIN(MAX(0,G433-(MAX(0,B396-IF($A434&gt;=('1-Input'!$C$12-1),'1-Input'!$B$12,0))-MIN(MAX(F433,0),MAX(0,B396-IF($A434&gt;=('1-Input'!$C$12-1),'1-Input'!$B$12,0))))*(1/(1-'P-Parametri'!$B$6*B434))),MAX(0,2*B396-(F433-MIN(MAX(F433,0),MAX(0,B396-IF($A434&gt;=('1-Input'!$C$12-1),'1-Input'!$B$12,0)))))*(1/(1-'P-Parametri'!$B$6*B434))))</f>
        <v>6963.1353605421</v>
      </c>
      <c r="D434" s="18">
        <f>IF($A434&gt;'1-Input'!$B$26,F433,(F433-MAX(0,B396-IF($A434&gt;=('1-Input'!$C$12-1),'1-Input'!$B$12,0))+C434*(1-'P-Parametri'!$B$6*B434))*(1+'1-Input'!$B$27))</f>
        <v>33242.0070309863</v>
      </c>
      <c r="E434" s="18">
        <f>IF($A434&gt;'1-Input'!$B$26,G433,(G433-C434)*(1+'5-Roberta'!$C$4))</f>
        <v>149065.15608713272</v>
      </c>
      <c r="F434" s="18">
        <f>IF($A434&gt;'1-Input'!$B$26,D434,D434-'P-Parametri'!$B$8*(E434+D434)+MIN(MAX(E434,0),'P-Parametri'!$B$8*(E434+D434)))</f>
        <v>33242.0070309863</v>
      </c>
      <c r="G434" s="18">
        <f>IF($A434&gt;'1-Input'!$B$26,E434,E434-MIN(MAX(E434,0),'P-Parametri'!$B$8*(E434+D434)))</f>
        <v>148700.54176089648</v>
      </c>
      <c r="H434" s="18">
        <f>IF($A434&gt;'1-Input'!$B$26,H433,H433-C434*(1-B434))</f>
        <v>43681.969856281255</v>
      </c>
      <c r="I434" s="11">
        <f>IF($A434&gt;'1-Input'!$B$26,0,IF(N433&lt;=0,0,MAX(0,(N433-O433)/N433)))</f>
        <v>0</v>
      </c>
      <c r="J434" s="18">
        <f>IF($A434&gt;'1-Input'!$B$26,0,(MAX(0,I396-IF($A434&gt;=('1-Input'!$C$12-1),'1-Input'!$B$12,0))-MIN(MAX(M433,0),MAX(0,I396-IF($A434&gt;=('1-Input'!$C$12-1),'1-Input'!$B$12,0))))*(1/(1-'P-Parametri'!$B$6*I434))+MIN(MAX(0,N433-(MAX(0,I396-IF($A434&gt;=('1-Input'!$C$12-1),'1-Input'!$B$12,0))-MIN(MAX(M433,0),MAX(0,I396-IF($A434&gt;=('1-Input'!$C$12-1),'1-Input'!$B$12,0))))*(1/(1-'P-Parametri'!$B$6*I434))),MAX(0,2*I396-(M433-MIN(MAX(M433,0),MAX(0,I396-IF($A434&gt;=('1-Input'!$C$12-1),'1-Input'!$B$12,0)))))*(1/(1-'P-Parametri'!$B$6*I434))))</f>
        <v>10846.756992928691</v>
      </c>
      <c r="K434" s="18">
        <f>IF($A434&gt;'1-Input'!$B$26,M433,(M433-MAX(0,I396-IF($A434&gt;=('1-Input'!$C$12-1),'1-Input'!$B$12,0))+J434*(1-'P-Parametri'!$B$6*I434))*(1+'1-Input'!$B$27))</f>
        <v>0</v>
      </c>
      <c r="L434" s="18">
        <f>IF($A434&gt;'1-Input'!$B$26,N433,(N433-J434)*(1+'5-Roberta'!$C$4))</f>
        <v>-147299.93468350871</v>
      </c>
      <c r="M434" s="18">
        <f>IF($A434&gt;'1-Input'!$B$26,K434,K434-'P-Parametri'!$B$8*(L434+K434)+MIN(MAX(L434,0),'P-Parametri'!$B$8*(L434+K434)))</f>
        <v>0</v>
      </c>
      <c r="N434" s="18">
        <f>IF($A434&gt;'1-Input'!$B$26,L434,L434-MIN(MAX(L434,0),'P-Parametri'!$B$8*(L434+K434)))</f>
        <v>-147005.33481414168</v>
      </c>
      <c r="O434" s="18">
        <f>IF($A434&gt;'1-Input'!$B$26,O433,O433-J434*(1-I434))</f>
        <v>-123412.12828170057</v>
      </c>
      <c r="P434" s="11">
        <f>IF($A434&gt;'1-Input'!$B$26,0,IF(U433&lt;=0,0,MAX(0,(U433-V433)/U433)))</f>
        <v>0.69392530547888109</v>
      </c>
      <c r="Q434" s="18">
        <f>IF($A434&gt;'1-Input'!$B$26,0,(MAX(0,P396-IF($A434&gt;=('1-Input'!$C$12-1),'1-Input'!$B$12,0))-MIN(MAX(T433,0),MAX(0,P396-IF($A434&gt;=('1-Input'!$C$12-1),'1-Input'!$B$12,0))))*(1/(1-'P-Parametri'!$B$6*P434))+MIN(MAX(0,U433-(MAX(0,P396-IF($A434&gt;=('1-Input'!$C$12-1),'1-Input'!$B$12,0))-MIN(MAX(T433,0),MAX(0,P396-IF($A434&gt;=('1-Input'!$C$12-1),'1-Input'!$B$12,0))))*(1/(1-'P-Parametri'!$B$6*P434))),MAX(0,2*P396-(T433-MIN(MAX(T433,0),MAX(0,P396-IF($A434&gt;=('1-Input'!$C$12-1),'1-Input'!$B$12,0)))))*(1/(1-'P-Parametri'!$B$6*P434))))</f>
        <v>9109.9250734176276</v>
      </c>
      <c r="R434" s="18">
        <f>IF($A434&gt;'1-Input'!$B$26,T433,(T433-MAX(0,P396-IF($A434&gt;=('1-Input'!$C$12-1),'1-Input'!$B$12,0))+Q434*(1-'P-Parametri'!$B$6*P434))*(1+'1-Input'!$B$27))</f>
        <v>36738.405892673516</v>
      </c>
      <c r="S434" s="18">
        <f>IF($A434&gt;'1-Input'!$B$26,U433,(U433-Q434)*(1+'5-Roberta'!$C$4))</f>
        <v>13790.563405789777</v>
      </c>
      <c r="T434" s="18">
        <f>IF($A434&gt;'1-Input'!$B$26,R434,R434-'P-Parametri'!$B$8*(S434+R434)+MIN(MAX(S434,0),'P-Parametri'!$B$8*(S434+R434)))</f>
        <v>36738.405892673516</v>
      </c>
      <c r="U434" s="18">
        <f>IF($A434&gt;'1-Input'!$B$26,S434,S434-MIN(MAX(S434,0),'P-Parametri'!$B$8*(S434+R434)))</f>
        <v>13689.50546719285</v>
      </c>
      <c r="V434" s="18">
        <f>IF($A434&gt;'1-Input'!$B$26,V433,V433-Q434*(1-P434))</f>
        <v>4098.0024094186665</v>
      </c>
      <c r="W434" s="11">
        <f>IF($A434&gt;'1-Input'!$B$26,0,IF(AB433&lt;=0,0,MAX(0,(AB433-AC433)/AB433)))</f>
        <v>0.6954310010652438</v>
      </c>
      <c r="X434" s="18">
        <f>IF($A434&gt;'1-Input'!$B$26,0,(MAX(0,W396-IF($A434&gt;=('1-Input'!$C$12-1),'1-Input'!$B$12,0))-MIN(MAX(AA433,0),MAX(0,W396-IF($A434&gt;=('1-Input'!$C$12-1),'1-Input'!$B$12,0))))*(1/(1-'P-Parametri'!$B$6*W434))+MIN(MAX(0,AB433-(MAX(0,W396-IF($A434&gt;=('1-Input'!$C$12-1),'1-Input'!$B$12,0))-MIN(MAX(AA433,0),MAX(0,W396-IF($A434&gt;=('1-Input'!$C$12-1),'1-Input'!$B$12,0))))*(1/(1-'P-Parametri'!$B$6*W434))),MAX(0,2*W396-(AA433-MIN(MAX(AA433,0),MAX(0,W396-IF($A434&gt;=('1-Input'!$C$12-1),'1-Input'!$B$12,0)))))*(1/(1-'P-Parametri'!$B$6*W434))))</f>
        <v>8812.5189124460139</v>
      </c>
      <c r="Y434" s="18">
        <f>IF($A434&gt;'1-Input'!$B$26,AA433,(AA433-MAX(0,W396-IF($A434&gt;=('1-Input'!$C$12-1),'1-Input'!$B$12,0))+X434*(1-'P-Parametri'!$B$6*W434))*(1+'1-Input'!$B$27))</f>
        <v>36249.311394946351</v>
      </c>
      <c r="Z434" s="18">
        <f>IF($A434&gt;'1-Input'!$B$26,AB433,(AB433-X434)*(1+'5-Roberta'!$C$4))</f>
        <v>32699.544822709639</v>
      </c>
      <c r="AA434" s="18">
        <f>IF($A434&gt;'1-Input'!$B$26,Y434,Y434-'P-Parametri'!$B$8*(Z434+Y434)+MIN(MAX(Z434,0),'P-Parametri'!$B$8*(Z434+Y434)))</f>
        <v>36249.311394946351</v>
      </c>
      <c r="AB434" s="18">
        <f>IF($A434&gt;'1-Input'!$B$26,Z434,Z434-MIN(MAX(Z434,0),'P-Parametri'!$B$8*(Z434+Y434)))</f>
        <v>32561.647110274327</v>
      </c>
      <c r="AC434" s="18">
        <f>IF($A434&gt;'1-Input'!$B$26,AC433,AC433-X434*(1-W434))</f>
        <v>9669.1918759950149</v>
      </c>
      <c r="AD434" s="11">
        <f>IF($A434&gt;'1-Input'!$B$26,0,IF(AI433&lt;=0,0,MAX(0,(AI433-AJ433)/AI433)))</f>
        <v>0.69549501053321972</v>
      </c>
      <c r="AE434" s="18">
        <f>IF($A434&gt;'1-Input'!$B$26,0,(MAX(0,AD396-IF($A434&gt;=('1-Input'!$C$12-1),'1-Input'!$B$12,0))-MIN(MAX(AH433,0),MAX(0,AD396-IF($A434&gt;=('1-Input'!$C$12-1),'1-Input'!$B$12,0))))*(1/(1-'P-Parametri'!$B$6*AD434))+MIN(MAX(0,AI433-(MAX(0,AD396-IF($A434&gt;=('1-Input'!$C$12-1),'1-Input'!$B$12,0))-MIN(MAX(AH433,0),MAX(0,AD396-IF($A434&gt;=('1-Input'!$C$12-1),'1-Input'!$B$12,0))))*(1/(1-'P-Parametri'!$B$6*AD434))),MAX(0,2*AD396-(AH433-MIN(MAX(AH433,0),MAX(0,AD396-IF($A434&gt;=('1-Input'!$C$12-1),'1-Input'!$B$12,0)))))*(1/(1-'P-Parametri'!$B$6*AD434))))</f>
        <v>8794.1658722408465</v>
      </c>
      <c r="AF434" s="18">
        <f>IF($A434&gt;'1-Input'!$B$26,AH433,(AH433-MAX(0,AD396-IF($A434&gt;=('1-Input'!$C$12-1),'1-Input'!$B$12,0))+AE434*(1-'P-Parametri'!$B$6*AD434))*(1+'1-Input'!$B$27))</f>
        <v>36219.275067787748</v>
      </c>
      <c r="AG434" s="18">
        <f>IF($A434&gt;'1-Input'!$B$26,AI433,(AI433-AE434)*(1+'5-Roberta'!$C$4))</f>
        <v>33861.092201741289</v>
      </c>
      <c r="AH434" s="18">
        <f>IF($A434&gt;'1-Input'!$B$26,AF434,AF434-'P-Parametri'!$B$8*(AG434+AF434)+MIN(MAX(AG434,0),'P-Parametri'!$B$8*(AG434+AF434)))</f>
        <v>36219.275067787748</v>
      </c>
      <c r="AI434" s="18">
        <f>IF($A434&gt;'1-Input'!$B$26,AG434,AG434-MIN(MAX(AG434,0),'P-Parametri'!$B$8*(AG434+AF434)))</f>
        <v>33720.93146720223</v>
      </c>
      <c r="AJ434" s="18">
        <f>IF($A434&gt;'1-Input'!$B$26,AJ433,AJ433-AE434*(1-AD434))</f>
        <v>10010.554877888262</v>
      </c>
      <c r="AK434" s="11">
        <f>IF($A434&gt;'1-Input'!$B$26,0,IF(AP433&lt;=0,0,MAX(0,(AP433-AQ433)/AP433)))</f>
        <v>0.6954953686718075</v>
      </c>
      <c r="AL434" s="18">
        <f>IF($A434&gt;'1-Input'!$B$26,0,(MAX(0,AK396-IF($A434&gt;=('1-Input'!$C$12-1),'1-Input'!$B$12,0))-MIN(MAX(AO433,0),MAX(0,AK396-IF($A434&gt;=('1-Input'!$C$12-1),'1-Input'!$B$12,0))))*(1/(1-'P-Parametri'!$B$6*AK434))+MIN(MAX(0,AP433-(MAX(0,AK396-IF($A434&gt;=('1-Input'!$C$12-1),'1-Input'!$B$12,0))-MIN(MAX(AO433,0),MAX(0,AK396-IF($A434&gt;=('1-Input'!$C$12-1),'1-Input'!$B$12,0))))*(1/(1-'P-Parametri'!$B$6*AK434))),MAX(0,2*AK396-(AO433-MIN(MAX(AO433,0),MAX(0,AK396-IF($A434&gt;=('1-Input'!$C$12-1),'1-Input'!$B$12,0)))))*(1/(1-'P-Parametri'!$B$6*AK434))))</f>
        <v>8794.0614550419887</v>
      </c>
      <c r="AM434" s="18">
        <f>IF($A434&gt;'1-Input'!$B$26,AO433,(AO433-MAX(0,AK396-IF($A434&gt;=('1-Input'!$C$12-1),'1-Input'!$B$12,0))+AL434*(1-'P-Parametri'!$B$6*AK434))*(1+'1-Input'!$B$27))</f>
        <v>36219.1042108291</v>
      </c>
      <c r="AN434" s="18">
        <f>IF($A434&gt;'1-Input'!$B$26,AP433,(AP433-AL434)*(1+'5-Roberta'!$C$4))</f>
        <v>33867.699560486435</v>
      </c>
      <c r="AO434" s="18">
        <f>IF($A434&gt;'1-Input'!$B$26,AM434,AM434-'P-Parametri'!$B$8*(AN434+AM434)+MIN(MAX(AN434,0),'P-Parametri'!$B$8*(AN434+AM434)))</f>
        <v>36219.1042108291</v>
      </c>
      <c r="AP434" s="18">
        <f>IF($A434&gt;'1-Input'!$B$26,AN434,AN434-MIN(MAX(AN434,0),'P-Parametri'!$B$8*(AN434+AM434)))</f>
        <v>33727.525952943804</v>
      </c>
      <c r="AQ434" s="18">
        <f>IF($A434&gt;'1-Input'!$B$26,AQ433,AQ433-AL434*(1-AK434))</f>
        <v>10012.496474368845</v>
      </c>
    </row>
    <row r="435" spans="1:43">
      <c r="A435" s="10">
        <f>37</f>
        <v>37</v>
      </c>
      <c r="B435" s="11">
        <f>IF($A435&gt;'1-Input'!$B$26,0,IF(G434&lt;=0,0,MAX(0,(G434-H434)/G434)))</f>
        <v>0.70624202616208476</v>
      </c>
      <c r="C435" s="18">
        <f>IF($A435&gt;'1-Input'!$B$26,0,(MAX(0,B396-IF($A435&gt;=('1-Input'!$C$12-1),'1-Input'!$B$12,0))-MIN(MAX(F434,0),MAX(0,B396-IF($A435&gt;=('1-Input'!$C$12-1),'1-Input'!$B$12,0))))*(1/(1-'P-Parametri'!$B$6*B435))+MIN(MAX(0,G434-(MAX(0,B396-IF($A435&gt;=('1-Input'!$C$12-1),'1-Input'!$B$12,0))-MIN(MAX(F434,0),MAX(0,B396-IF($A435&gt;=('1-Input'!$C$12-1),'1-Input'!$B$12,0))))*(1/(1-'P-Parametri'!$B$6*B435))),MAX(0,2*B396-(F434-MIN(MAX(F434,0),MAX(0,B396-IF($A435&gt;=('1-Input'!$C$12-1),'1-Input'!$B$12,0)))))*(1/(1-'P-Parametri'!$B$6*B435))))</f>
        <v>6981.0374396805892</v>
      </c>
      <c r="D435" s="18">
        <f>IF($A435&gt;'1-Input'!$B$26,F434,(F434-MAX(0,B396-IF($A435&gt;=('1-Input'!$C$12-1),'1-Input'!$B$12,0))+C435*(1-'P-Parametri'!$B$6*B435))*(1+'1-Input'!$B$27))</f>
        <v>33242.0070309863</v>
      </c>
      <c r="E435" s="18">
        <f>IF($A435&gt;'1-Input'!$B$26,G434,(G434-C435)*(1+'5-Roberta'!$C$4))</f>
        <v>145971.08945085236</v>
      </c>
      <c r="F435" s="18">
        <f>IF($A435&gt;'1-Input'!$B$26,D435,D435-'P-Parametri'!$B$8*(E435+D435)+MIN(MAX(E435,0),'P-Parametri'!$B$8*(E435+D435)))</f>
        <v>33242.0070309863</v>
      </c>
      <c r="G435" s="18">
        <f>IF($A435&gt;'1-Input'!$B$26,E435,E435-MIN(MAX(E435,0),'P-Parametri'!$B$8*(E435+D435)))</f>
        <v>145612.66325788869</v>
      </c>
      <c r="H435" s="18">
        <f>IF($A435&gt;'1-Input'!$B$26,H434,H434-C435*(1-B435))</f>
        <v>41631.234442714056</v>
      </c>
      <c r="I435" s="11">
        <f>IF($A435&gt;'1-Input'!$B$26,0,IF(N434&lt;=0,0,MAX(0,(N434-O434)/N434)))</f>
        <v>0</v>
      </c>
      <c r="J435" s="18">
        <f>IF($A435&gt;'1-Input'!$B$26,0,(MAX(0,I396-IF($A435&gt;=('1-Input'!$C$12-1),'1-Input'!$B$12,0))-MIN(MAX(M434,0),MAX(0,I396-IF($A435&gt;=('1-Input'!$C$12-1),'1-Input'!$B$12,0))))*(1/(1-'P-Parametri'!$B$6*I435))+MIN(MAX(0,N434-(MAX(0,I396-IF($A435&gt;=('1-Input'!$C$12-1),'1-Input'!$B$12,0))-MIN(MAX(M434,0),MAX(0,I396-IF($A435&gt;=('1-Input'!$C$12-1),'1-Input'!$B$12,0))))*(1/(1-'P-Parametri'!$B$6*I435))),MAX(0,2*I396-(M434-MIN(MAX(M434,0),MAX(0,I396-IF($A435&gt;=('1-Input'!$C$12-1),'1-Input'!$B$12,0)))))*(1/(1-'P-Parametri'!$B$6*I435))))</f>
        <v>10846.756992928691</v>
      </c>
      <c r="K435" s="18">
        <f>IF($A435&gt;'1-Input'!$B$26,M434,(M434-MAX(0,I396-IF($A435&gt;=('1-Input'!$C$12-1),'1-Input'!$B$12,0))+J435*(1-'P-Parametri'!$B$6*I435))*(1+'1-Input'!$B$27))</f>
        <v>0</v>
      </c>
      <c r="L435" s="18">
        <f>IF($A435&gt;'1-Input'!$B$26,N434,(N434-J435)*(1+'5-Roberta'!$C$4))</f>
        <v>-162587.65456128248</v>
      </c>
      <c r="M435" s="18">
        <f>IF($A435&gt;'1-Input'!$B$26,K435,K435-'P-Parametri'!$B$8*(L435+K435)+MIN(MAX(L435,0),'P-Parametri'!$B$8*(L435+K435)))</f>
        <v>0</v>
      </c>
      <c r="N435" s="18">
        <f>IF($A435&gt;'1-Input'!$B$26,L435,L435-MIN(MAX(L435,0),'P-Parametri'!$B$8*(L435+K435)))</f>
        <v>-162262.47925215992</v>
      </c>
      <c r="O435" s="18">
        <f>IF($A435&gt;'1-Input'!$B$26,O434,O434-J435*(1-I435))</f>
        <v>-134258.88527462925</v>
      </c>
      <c r="P435" s="11">
        <f>IF($A435&gt;'1-Input'!$B$26,0,IF(U434&lt;=0,0,MAX(0,(U434-V434)/U434)))</f>
        <v>0.70064642442785063</v>
      </c>
      <c r="Q435" s="18">
        <f>IF($A435&gt;'1-Input'!$B$26,0,(MAX(0,P396-IF($A435&gt;=('1-Input'!$C$12-1),'1-Input'!$B$12,0))-MIN(MAX(T434,0),MAX(0,P396-IF($A435&gt;=('1-Input'!$C$12-1),'1-Input'!$B$12,0))))*(1/(1-'P-Parametri'!$B$6*P435))+MIN(MAX(0,U434-(MAX(0,P396-IF($A435&gt;=('1-Input'!$C$12-1),'1-Input'!$B$12,0))-MIN(MAX(T434,0),MAX(0,P396-IF($A435&gt;=('1-Input'!$C$12-1),'1-Input'!$B$12,0))))*(1/(1-'P-Parametri'!$B$6*P435))),MAX(0,2*P396-(T434-MIN(MAX(T434,0),MAX(0,P396-IF($A435&gt;=('1-Input'!$C$12-1),'1-Input'!$B$12,0)))))*(1/(1-'P-Parametri'!$B$6*P435))))</f>
        <v>9129.3905782871243</v>
      </c>
      <c r="R435" s="18">
        <f>IF($A435&gt;'1-Input'!$B$26,T434,(T434-MAX(0,P396-IF($A435&gt;=('1-Input'!$C$12-1),'1-Input'!$B$12,0))+Q435*(1-'P-Parametri'!$B$6*P435))*(1+'1-Input'!$B$27))</f>
        <v>36738.405892673516</v>
      </c>
      <c r="S435" s="18">
        <f>IF($A435&gt;'1-Input'!$B$26,U434,(U434-Q435)*(1+'5-Roberta'!$C$4))</f>
        <v>4696.9183355728974</v>
      </c>
      <c r="T435" s="18">
        <f>IF($A435&gt;'1-Input'!$B$26,R435,R435-'P-Parametri'!$B$8*(S435+R435)+MIN(MAX(S435,0),'P-Parametri'!$B$8*(S435+R435)))</f>
        <v>36738.405892673516</v>
      </c>
      <c r="U435" s="18">
        <f>IF($A435&gt;'1-Input'!$B$26,S435,S435-MIN(MAX(S435,0),'P-Parametri'!$B$8*(S435+R435)))</f>
        <v>4614.0476871164046</v>
      </c>
      <c r="V435" s="18">
        <f>IF($A435&gt;'1-Input'!$B$26,V434,V434-Q435*(1-P435))</f>
        <v>1365.0866970137236</v>
      </c>
      <c r="W435" s="11">
        <f>IF($A435&gt;'1-Input'!$B$26,0,IF(AB434&lt;=0,0,MAX(0,(AB434-AC434)/AB434)))</f>
        <v>0.70304966934722257</v>
      </c>
      <c r="X435" s="18">
        <f>IF($A435&gt;'1-Input'!$B$26,0,(MAX(0,W396-IF($A435&gt;=('1-Input'!$C$12-1),'1-Input'!$B$12,0))-MIN(MAX(AA434,0),MAX(0,W396-IF($A435&gt;=('1-Input'!$C$12-1),'1-Input'!$B$12,0))))*(1/(1-'P-Parametri'!$B$6*W435))+MIN(MAX(0,AB434-(MAX(0,W396-IF($A435&gt;=('1-Input'!$C$12-1),'1-Input'!$B$12,0))-MIN(MAX(AA434,0),MAX(0,W396-IF($A435&gt;=('1-Input'!$C$12-1),'1-Input'!$B$12,0))))*(1/(1-'P-Parametri'!$B$6*W435))),MAX(0,2*W396-(AA434-MIN(MAX(AA434,0),MAX(0,W396-IF($A435&gt;=('1-Input'!$C$12-1),'1-Input'!$B$12,0)))))*(1/(1-'P-Parametri'!$B$6*W435))))</f>
        <v>8833.8798519968004</v>
      </c>
      <c r="Y435" s="18">
        <f>IF($A435&gt;'1-Input'!$B$26,AA434,(AA434-MAX(0,W396-IF($A435&gt;=('1-Input'!$C$12-1),'1-Input'!$B$12,0))+X435*(1-'P-Parametri'!$B$6*W435))*(1+'1-Input'!$B$27))</f>
        <v>36249.311394946351</v>
      </c>
      <c r="Z435" s="18">
        <f>IF($A435&gt;'1-Input'!$B$26,AB434,(AB434-X435)*(1+'5-Roberta'!$C$4))</f>
        <v>24439.600276025853</v>
      </c>
      <c r="AA435" s="18">
        <f>IF($A435&gt;'1-Input'!$B$26,Y435,Y435-'P-Parametri'!$B$8*(Z435+Y435)+MIN(MAX(Z435,0),'P-Parametri'!$B$8*(Z435+Y435)))</f>
        <v>36249.311394946351</v>
      </c>
      <c r="AB435" s="18">
        <f>IF($A435&gt;'1-Input'!$B$26,Z435,Z435-MIN(MAX(Z435,0),'P-Parametri'!$B$8*(Z435+Y435)))</f>
        <v>24318.222452683909</v>
      </c>
      <c r="AC435" s="18">
        <f>IF($A435&gt;'1-Input'!$B$26,AC434,AC434-X435*(1-W435))</f>
        <v>7045.968332997656</v>
      </c>
      <c r="AD435" s="11">
        <f>IF($A435&gt;'1-Input'!$B$26,0,IF(AI434&lt;=0,0,MAX(0,(AI434-AJ434)/AI434)))</f>
        <v>0.70313528000776715</v>
      </c>
      <c r="AE435" s="18">
        <f>IF($A435&gt;'1-Input'!$B$26,0,(MAX(0,AD396-IF($A435&gt;=('1-Input'!$C$12-1),'1-Input'!$B$12,0))-MIN(MAX(AH434,0),MAX(0,AD396-IF($A435&gt;=('1-Input'!$C$12-1),'1-Input'!$B$12,0))))*(1/(1-'P-Parametri'!$B$6*AD435))+MIN(MAX(0,AI434-(MAX(0,AD396-IF($A435&gt;=('1-Input'!$C$12-1),'1-Input'!$B$12,0))-MIN(MAX(AH434,0),MAX(0,AD396-IF($A435&gt;=('1-Input'!$C$12-1),'1-Input'!$B$12,0))))*(1/(1-'P-Parametri'!$B$6*AD435))),MAX(0,2*AD396-(AH434-MIN(MAX(AH434,0),MAX(0,AD396-IF($A435&gt;=('1-Input'!$C$12-1),'1-Input'!$B$12,0)))))*(1/(1-'P-Parametri'!$B$6*AD435))))</f>
        <v>8815.5433460462827</v>
      </c>
      <c r="AF435" s="18">
        <f>IF($A435&gt;'1-Input'!$B$26,AH434,(AH434-MAX(0,AD396-IF($A435&gt;=('1-Input'!$C$12-1),'1-Input'!$B$12,0))+AE435*(1-'P-Parametri'!$B$6*AD435))*(1+'1-Input'!$B$27))</f>
        <v>36219.275067787748</v>
      </c>
      <c r="AG435" s="18">
        <f>IF($A435&gt;'1-Input'!$B$26,AI434,(AI434-AE435)*(1+'5-Roberta'!$C$4))</f>
        <v>25652.549764790627</v>
      </c>
      <c r="AH435" s="18">
        <f>IF($A435&gt;'1-Input'!$B$26,AF435,AF435-'P-Parametri'!$B$8*(AG435+AF435)+MIN(MAX(AG435,0),'P-Parametri'!$B$8*(AG435+AF435)))</f>
        <v>36219.275067787748</v>
      </c>
      <c r="AI435" s="18">
        <f>IF($A435&gt;'1-Input'!$B$26,AG435,AG435-MIN(MAX(AG435,0),'P-Parametri'!$B$8*(AG435+AF435)))</f>
        <v>25528.80611512547</v>
      </c>
      <c r="AJ435" s="18">
        <f>IF($A435&gt;'1-Input'!$B$26,AJ434,AJ434-AE435*(1-AD435))</f>
        <v>7393.531070884841</v>
      </c>
      <c r="AK435" s="11">
        <f>IF($A435&gt;'1-Input'!$B$26,0,IF(AP434&lt;=0,0,MAX(0,(AP434-AQ434)/AP434)))</f>
        <v>0.70313575658237881</v>
      </c>
      <c r="AL435" s="18">
        <f>IF($A435&gt;'1-Input'!$B$26,0,(MAX(0,AK396-IF($A435&gt;=('1-Input'!$C$12-1),'1-Input'!$B$12,0))-MIN(MAX(AO434,0),MAX(0,AK396-IF($A435&gt;=('1-Input'!$C$12-1),'1-Input'!$B$12,0))))*(1/(1-'P-Parametri'!$B$6*AK435))+MIN(MAX(0,AP434-(MAX(0,AK396-IF($A435&gt;=('1-Input'!$C$12-1),'1-Input'!$B$12,0))-MIN(MAX(AO434,0),MAX(0,AK396-IF($A435&gt;=('1-Input'!$C$12-1),'1-Input'!$B$12,0))))*(1/(1-'P-Parametri'!$B$6*AK435))),MAX(0,2*AK396-(AO434-MIN(MAX(AO434,0),MAX(0,AK396-IF($A435&gt;=('1-Input'!$C$12-1),'1-Input'!$B$12,0)))))*(1/(1-'P-Parametri'!$B$6*AK435))))</f>
        <v>8815.4390096443203</v>
      </c>
      <c r="AM435" s="18">
        <f>IF($A435&gt;'1-Input'!$B$26,AO434,(AO434-MAX(0,AK396-IF($A435&gt;=('1-Input'!$C$12-1),'1-Input'!$B$12,0))+AL435*(1-'P-Parametri'!$B$6*AK435))*(1+'1-Input'!$B$27))</f>
        <v>36219.1042108291</v>
      </c>
      <c r="AN435" s="18">
        <f>IF($A435&gt;'1-Input'!$B$26,AP434,(AP434-AL435)*(1+'5-Roberta'!$C$4))</f>
        <v>25659.449551598471</v>
      </c>
      <c r="AO435" s="18">
        <f>IF($A435&gt;'1-Input'!$B$26,AM435,AM435-'P-Parametri'!$B$8*(AN435+AM435)+MIN(MAX(AN435,0),'P-Parametri'!$B$8*(AN435+AM435)))</f>
        <v>36219.1042108291</v>
      </c>
      <c r="AP435" s="18">
        <f>IF($A435&gt;'1-Input'!$B$26,AN435,AN435-MIN(MAX(AN435,0),'P-Parametri'!$B$8*(AN435+AM435)))</f>
        <v>25535.692444073615</v>
      </c>
      <c r="AQ435" s="18">
        <f>IF($A435&gt;'1-Input'!$B$26,AQ434,AQ434-AL435*(1-AK435))</f>
        <v>7395.5078423766008</v>
      </c>
    </row>
    <row r="436" spans="1:43">
      <c r="A436" s="10">
        <f>38</f>
        <v>38</v>
      </c>
      <c r="B436" s="11">
        <f>IF($A436&gt;'1-Input'!$B$26,0,IF(G435&lt;=0,0,MAX(0,(G435-H435)/G435)))</f>
        <v>0.7140960579164557</v>
      </c>
      <c r="C436" s="18">
        <f>IF($A436&gt;'1-Input'!$B$26,0,(MAX(0,B396-IF($A436&gt;=('1-Input'!$C$12-1),'1-Input'!$B$12,0))-MIN(MAX(F435,0),MAX(0,B396-IF($A436&gt;=('1-Input'!$C$12-1),'1-Input'!$B$12,0))))*(1/(1-'P-Parametri'!$B$6*B436))+MIN(MAX(0,G435-(MAX(0,B396-IF($A436&gt;=('1-Input'!$C$12-1),'1-Input'!$B$12,0))-MIN(MAX(F435,0),MAX(0,B396-IF($A436&gt;=('1-Input'!$C$12-1),'1-Input'!$B$12,0))))*(1/(1-'P-Parametri'!$B$6*B436))),MAX(0,2*B396-(F435-MIN(MAX(F435,0),MAX(0,B396-IF($A436&gt;=('1-Input'!$C$12-1),'1-Input'!$B$12,0)))))*(1/(1-'P-Parametri'!$B$6*B436))))</f>
        <v>6998.5432755995871</v>
      </c>
      <c r="D436" s="18">
        <f>IF($A436&gt;'1-Input'!$B$26,F435,(F435-MAX(0,B396-IF($A436&gt;=('1-Input'!$C$12-1),'1-Input'!$B$12,0))+C436*(1-'P-Parametri'!$B$6*B436))*(1+'1-Input'!$B$27))</f>
        <v>33242.0070309863</v>
      </c>
      <c r="E436" s="18">
        <f>IF($A436&gt;'1-Input'!$B$26,G435,(G435-C436)*(1+'5-Roberta'!$C$4))</f>
        <v>142772.54358175778</v>
      </c>
      <c r="F436" s="18">
        <f>IF($A436&gt;'1-Input'!$B$26,D436,D436-'P-Parametri'!$B$8*(E436+D436)+MIN(MAX(E436,0),'P-Parametri'!$B$8*(E436+D436)))</f>
        <v>33242.0070309863</v>
      </c>
      <c r="G436" s="18">
        <f>IF($A436&gt;'1-Input'!$B$26,E436,E436-MIN(MAX(E436,0),'P-Parametri'!$B$8*(E436+D436)))</f>
        <v>142420.51448053229</v>
      </c>
      <c r="H436" s="18">
        <f>IF($A436&gt;'1-Input'!$B$26,H435,H435-C436*(1-B436))</f>
        <v>39630.323331377855</v>
      </c>
      <c r="I436" s="11">
        <f>IF($A436&gt;'1-Input'!$B$26,0,IF(N435&lt;=0,0,MAX(0,(N435-O435)/N435)))</f>
        <v>0</v>
      </c>
      <c r="J436" s="18">
        <f>IF($A436&gt;'1-Input'!$B$26,0,(MAX(0,I396-IF($A436&gt;=('1-Input'!$C$12-1),'1-Input'!$B$12,0))-MIN(MAX(M435,0),MAX(0,I396-IF($A436&gt;=('1-Input'!$C$12-1),'1-Input'!$B$12,0))))*(1/(1-'P-Parametri'!$B$6*I436))+MIN(MAX(0,N435-(MAX(0,I396-IF($A436&gt;=('1-Input'!$C$12-1),'1-Input'!$B$12,0))-MIN(MAX(M435,0),MAX(0,I396-IF($A436&gt;=('1-Input'!$C$12-1),'1-Input'!$B$12,0))))*(1/(1-'P-Parametri'!$B$6*I436))),MAX(0,2*I396-(M435-MIN(MAX(M435,0),MAX(0,I396-IF($A436&gt;=('1-Input'!$C$12-1),'1-Input'!$B$12,0)))))*(1/(1-'P-Parametri'!$B$6*I436))))</f>
        <v>10846.756992928691</v>
      </c>
      <c r="K436" s="18">
        <f>IF($A436&gt;'1-Input'!$B$26,M435,(M435-MAX(0,I396-IF($A436&gt;=('1-Input'!$C$12-1),'1-Input'!$B$12,0))+J436*(1-'P-Parametri'!$B$6*I436))*(1+'1-Input'!$B$27))</f>
        <v>0</v>
      </c>
      <c r="L436" s="18">
        <f>IF($A436&gt;'1-Input'!$B$26,N435,(N435-J436)*(1+'5-Roberta'!$C$4))</f>
        <v>-178302.51333244127</v>
      </c>
      <c r="M436" s="18">
        <f>IF($A436&gt;'1-Input'!$B$26,K436,K436-'P-Parametri'!$B$8*(L436+K436)+MIN(MAX(L436,0),'P-Parametri'!$B$8*(L436+K436)))</f>
        <v>0</v>
      </c>
      <c r="N436" s="18">
        <f>IF($A436&gt;'1-Input'!$B$26,L436,L436-MIN(MAX(L436,0),'P-Parametri'!$B$8*(L436+K436)))</f>
        <v>-177945.90830577639</v>
      </c>
      <c r="O436" s="18">
        <f>IF($A436&gt;'1-Input'!$B$26,O435,O435-J436*(1-I436))</f>
        <v>-145105.64226755794</v>
      </c>
      <c r="P436" s="11">
        <f>IF($A436&gt;'1-Input'!$B$26,0,IF(U435&lt;=0,0,MAX(0,(U435-V435)/U435)))</f>
        <v>0.70414551613209531</v>
      </c>
      <c r="Q436" s="18">
        <f>IF($A436&gt;'1-Input'!$B$26,0,(MAX(0,P396-IF($A436&gt;=('1-Input'!$C$12-1),'1-Input'!$B$12,0))-MIN(MAX(T435,0),MAX(0,P396-IF($A436&gt;=('1-Input'!$C$12-1),'1-Input'!$B$12,0))))*(1/(1-'P-Parametri'!$B$6*P436))+MIN(MAX(0,U435-(MAX(0,P396-IF($A436&gt;=('1-Input'!$C$12-1),'1-Input'!$B$12,0))-MIN(MAX(T435,0),MAX(0,P396-IF($A436&gt;=('1-Input'!$C$12-1),'1-Input'!$B$12,0))))*(1/(1-'P-Parametri'!$B$6*P436))),MAX(0,2*P396-(T435-MIN(MAX(T435,0),MAX(0,P396-IF($A436&gt;=('1-Input'!$C$12-1),'1-Input'!$B$12,0)))))*(1/(1-'P-Parametri'!$B$6*P436))))</f>
        <v>4614.0476871164046</v>
      </c>
      <c r="R436" s="18">
        <f>IF($A436&gt;'1-Input'!$B$26,T435,(T435-MAX(0,P396-IF($A436&gt;=('1-Input'!$C$12-1),'1-Input'!$B$12,0))+Q436*(1-'P-Parametri'!$B$6*P436))*(1+'1-Input'!$B$27))</f>
        <v>33054.725770625955</v>
      </c>
      <c r="S436" s="18">
        <f>IF($A436&gt;'1-Input'!$B$26,U435,(U435-Q436)*(1+'5-Roberta'!$C$4))</f>
        <v>0</v>
      </c>
      <c r="T436" s="18">
        <f>IF($A436&gt;'1-Input'!$B$26,R436,R436-'P-Parametri'!$B$8*(S436+R436)+MIN(MAX(S436,0),'P-Parametri'!$B$8*(S436+R436)))</f>
        <v>32988.6163190847</v>
      </c>
      <c r="U436" s="18">
        <f>IF($A436&gt;'1-Input'!$B$26,S436,S436-MIN(MAX(S436,0),'P-Parametri'!$B$8*(S436+R436)))</f>
        <v>0</v>
      </c>
      <c r="V436" s="18">
        <f>IF($A436&gt;'1-Input'!$B$26,V435,V435-Q436*(1-P436))</f>
        <v>2.2737367544323206E-13</v>
      </c>
      <c r="W436" s="11">
        <f>IF($A436&gt;'1-Input'!$B$26,0,IF(AB435&lt;=0,0,MAX(0,(AB435-AC435)/AB435)))</f>
        <v>0.71025973026165734</v>
      </c>
      <c r="X436" s="18">
        <f>IF($A436&gt;'1-Input'!$B$26,0,(MAX(0,W396-IF($A436&gt;=('1-Input'!$C$12-1),'1-Input'!$B$12,0))-MIN(MAX(AA435,0),MAX(0,W396-IF($A436&gt;=('1-Input'!$C$12-1),'1-Input'!$B$12,0))))*(1/(1-'P-Parametri'!$B$6*W436))+MIN(MAX(0,AB435-(MAX(0,W396-IF($A436&gt;=('1-Input'!$C$12-1),'1-Input'!$B$12,0))-MIN(MAX(AA435,0),MAX(0,W396-IF($A436&gt;=('1-Input'!$C$12-1),'1-Input'!$B$12,0))))*(1/(1-'P-Parametri'!$B$6*W436))),MAX(0,2*W396-(AA435-MIN(MAX(AA435,0),MAX(0,W396-IF($A436&gt;=('1-Input'!$C$12-1),'1-Input'!$B$12,0)))))*(1/(1-'P-Parametri'!$B$6*W436))))</f>
        <v>8854.1907456334538</v>
      </c>
      <c r="Y436" s="18">
        <f>IF($A436&gt;'1-Input'!$B$26,AA435,(AA435-MAX(0,W396-IF($A436&gt;=('1-Input'!$C$12-1),'1-Input'!$B$12,0))+X436*(1-'P-Parametri'!$B$6*W436))*(1+'1-Input'!$B$27))</f>
        <v>36249.311394946351</v>
      </c>
      <c r="Z436" s="18">
        <f>IF($A436&gt;'1-Input'!$B$26,AB435,(AB435-X436)*(1+'5-Roberta'!$C$4))</f>
        <v>15927.952658261969</v>
      </c>
      <c r="AA436" s="18">
        <f>IF($A436&gt;'1-Input'!$B$26,Y436,Y436-'P-Parametri'!$B$8*(Z436+Y436)+MIN(MAX(Z436,0),'P-Parametri'!$B$8*(Z436+Y436)))</f>
        <v>36249.311394946351</v>
      </c>
      <c r="AB436" s="18">
        <f>IF($A436&gt;'1-Input'!$B$26,Z436,Z436-MIN(MAX(Z436,0),'P-Parametri'!$B$8*(Z436+Y436)))</f>
        <v>15823.598130155553</v>
      </c>
      <c r="AC436" s="18">
        <f>IF($A436&gt;'1-Input'!$B$26,AC435,AC435-X436*(1-W436))</f>
        <v>4480.5527180430818</v>
      </c>
      <c r="AD436" s="11">
        <f>IF($A436&gt;'1-Input'!$B$26,0,IF(AI435&lt;=0,0,MAX(0,(AI435-AJ435)/AI435)))</f>
        <v>0.71038476936435058</v>
      </c>
      <c r="AE436" s="18">
        <f>IF($A436&gt;'1-Input'!$B$26,0,(MAX(0,AD396-IF($A436&gt;=('1-Input'!$C$12-1),'1-Input'!$B$12,0))-MIN(MAX(AH435,0),MAX(0,AD396-IF($A436&gt;=('1-Input'!$C$12-1),'1-Input'!$B$12,0))))*(1/(1-'P-Parametri'!$B$6*AD436))+MIN(MAX(0,AI435-(MAX(0,AD396-IF($A436&gt;=('1-Input'!$C$12-1),'1-Input'!$B$12,0))-MIN(MAX(AH435,0),MAX(0,AD396-IF($A436&gt;=('1-Input'!$C$12-1),'1-Input'!$B$12,0))))*(1/(1-'P-Parametri'!$B$6*AD436))),MAX(0,2*AD396-(AH435-MIN(MAX(AH435,0),MAX(0,AD396-IF($A436&gt;=('1-Input'!$C$12-1),'1-Input'!$B$12,0)))))*(1/(1-'P-Parametri'!$B$6*AD436))))</f>
        <v>8835.9237331521763</v>
      </c>
      <c r="AF436" s="18">
        <f>IF($A436&gt;'1-Input'!$B$26,AH435,(AH435-MAX(0,AD396-IF($A436&gt;=('1-Input'!$C$12-1),'1-Input'!$B$12,0))+AE436*(1-'P-Parametri'!$B$6*AD436))*(1+'1-Input'!$B$27))</f>
        <v>36219.275067787748</v>
      </c>
      <c r="AG436" s="18">
        <f>IF($A436&gt;'1-Input'!$B$26,AI435,(AI435-AE436)*(1+'5-Roberta'!$C$4))</f>
        <v>17193.668853432493</v>
      </c>
      <c r="AH436" s="18">
        <f>IF($A436&gt;'1-Input'!$B$26,AF436,AF436-'P-Parametri'!$B$8*(AG436+AF436)+MIN(MAX(AG436,0),'P-Parametri'!$B$8*(AG436+AF436)))</f>
        <v>36219.275067787748</v>
      </c>
      <c r="AI436" s="18">
        <f>IF($A436&gt;'1-Input'!$B$26,AG436,AG436-MIN(MAX(AG436,0),'P-Parametri'!$B$8*(AG436+AF436)))</f>
        <v>17086.842965590051</v>
      </c>
      <c r="AJ436" s="18">
        <f>IF($A436&gt;'1-Input'!$B$26,AJ435,AJ435-AE436*(1-AD436))</f>
        <v>4834.5129810289654</v>
      </c>
      <c r="AK436" s="11">
        <f>IF($A436&gt;'1-Input'!$B$26,0,IF(AP435&lt;=0,0,MAX(0,(AP435-AQ435)/AP435)))</f>
        <v>0.71038545915393936</v>
      </c>
      <c r="AL436" s="18">
        <f>IF($A436&gt;'1-Input'!$B$26,0,(MAX(0,AK396-IF($A436&gt;=('1-Input'!$C$12-1),'1-Input'!$B$12,0))-MIN(MAX(AO435,0),MAX(0,AK396-IF($A436&gt;=('1-Input'!$C$12-1),'1-Input'!$B$12,0))))*(1/(1-'P-Parametri'!$B$6*AK436))+MIN(MAX(0,AP435-(MAX(0,AK396-IF($A436&gt;=('1-Input'!$C$12-1),'1-Input'!$B$12,0))-MIN(MAX(AO435,0),MAX(0,AK396-IF($A436&gt;=('1-Input'!$C$12-1),'1-Input'!$B$12,0))))*(1/(1-'P-Parametri'!$B$6*AK436))),MAX(0,2*AK396-(AO435-MIN(MAX(AO435,0),MAX(0,AK396-IF($A436&gt;=('1-Input'!$C$12-1),'1-Input'!$B$12,0)))))*(1/(1-'P-Parametri'!$B$6*AK436))))</f>
        <v>8835.8197594224621</v>
      </c>
      <c r="AM436" s="18">
        <f>IF($A436&gt;'1-Input'!$B$26,AO435,(AO435-MAX(0,AK396-IF($A436&gt;=('1-Input'!$C$12-1),'1-Input'!$B$12,0))+AL436*(1-'P-Parametri'!$B$6*AK436))*(1+'1-Input'!$B$27))</f>
        <v>36219.1042108291</v>
      </c>
      <c r="AN436" s="18">
        <f>IF($A436&gt;'1-Input'!$B$26,AP435,(AP435-AL436)*(1+'5-Roberta'!$C$4))</f>
        <v>17200.868865190689</v>
      </c>
      <c r="AO436" s="18">
        <f>IF($A436&gt;'1-Input'!$B$26,AM436,AM436-'P-Parametri'!$B$8*(AN436+AM436)+MIN(MAX(AN436,0),'P-Parametri'!$B$8*(AN436+AM436)))</f>
        <v>36219.1042108291</v>
      </c>
      <c r="AP436" s="18">
        <f>IF($A436&gt;'1-Input'!$B$26,AN436,AN436-MIN(MAX(AN436,0),'P-Parametri'!$B$8*(AN436+AM436)))</f>
        <v>17094.02891903865</v>
      </c>
      <c r="AQ436" s="18">
        <f>IF($A436&gt;'1-Input'!$B$26,AQ435,AQ435-AL436*(1-AK436))</f>
        <v>4836.5259597529148</v>
      </c>
    </row>
    <row r="437" spans="1:43">
      <c r="A437" s="10">
        <f>39</f>
        <v>39</v>
      </c>
      <c r="B437" s="11">
        <f>IF($A437&gt;'1-Input'!$B$26,0,IF(G436&lt;=0,0,MAX(0,(G436-H436)/G436)))</f>
        <v>0.72173725480541651</v>
      </c>
      <c r="C437" s="18">
        <f>IF($A437&gt;'1-Input'!$B$26,0,(MAX(0,B396-IF($A437&gt;=('1-Input'!$C$12-1),'1-Input'!$B$12,0))-MIN(MAX(F436,0),MAX(0,B396-IF($A437&gt;=('1-Input'!$C$12-1),'1-Input'!$B$12,0))))*(1/(1-'P-Parametri'!$B$6*B437))+MIN(MAX(0,G436-(MAX(0,B396-IF($A437&gt;=('1-Input'!$C$12-1),'1-Input'!$B$12,0))-MIN(MAX(F436,0),MAX(0,B396-IF($A437&gt;=('1-Input'!$C$12-1),'1-Input'!$B$12,0))))*(1/(1-'P-Parametri'!$B$6*B437))),MAX(0,2*B396-(F436-MIN(MAX(F436,0),MAX(0,B396-IF($A437&gt;=('1-Input'!$C$12-1),'1-Input'!$B$12,0)))))*(1/(1-'P-Parametri'!$B$6*B437))))</f>
        <v>7015.6591900563371</v>
      </c>
      <c r="D437" s="18">
        <f>IF($A437&gt;'1-Input'!$B$26,F436,(F436-MAX(0,B396-IF($A437&gt;=('1-Input'!$C$12-1),'1-Input'!$B$12,0))+C437*(1-'P-Parametri'!$B$6*B437))*(1+'1-Input'!$B$27))</f>
        <v>33242.0070309863</v>
      </c>
      <c r="E437" s="18">
        <f>IF($A437&gt;'1-Input'!$B$26,G436,(G436-C437)*(1+'5-Roberta'!$C$4))</f>
        <v>139467.00094919023</v>
      </c>
      <c r="F437" s="18">
        <f>IF($A437&gt;'1-Input'!$B$26,D437,D437-'P-Parametri'!$B$8*(E437+D437)+MIN(MAX(E437,0),'P-Parametri'!$B$8*(E437+D437)))</f>
        <v>33242.0070309863</v>
      </c>
      <c r="G437" s="18">
        <f>IF($A437&gt;'1-Input'!$B$26,E437,E437-MIN(MAX(E437,0),'P-Parametri'!$B$8*(E437+D437)))</f>
        <v>139121.58293322989</v>
      </c>
      <c r="H437" s="18">
        <f>IF($A437&gt;'1-Input'!$B$26,H436,H436-C437*(1-B437))</f>
        <v>37678.126745803173</v>
      </c>
      <c r="I437" s="11">
        <f>IF($A437&gt;'1-Input'!$B$26,0,IF(N436&lt;=0,0,MAX(0,(N436-O436)/N436)))</f>
        <v>0</v>
      </c>
      <c r="J437" s="18">
        <f>IF($A437&gt;'1-Input'!$B$26,0,(MAX(0,I396-IF($A437&gt;=('1-Input'!$C$12-1),'1-Input'!$B$12,0))-MIN(MAX(M436,0),MAX(0,I396-IF($A437&gt;=('1-Input'!$C$12-1),'1-Input'!$B$12,0))))*(1/(1-'P-Parametri'!$B$6*I437))+MIN(MAX(0,N436-(MAX(0,I396-IF($A437&gt;=('1-Input'!$C$12-1),'1-Input'!$B$12,0))-MIN(MAX(M436,0),MAX(0,I396-IF($A437&gt;=('1-Input'!$C$12-1),'1-Input'!$B$12,0))))*(1/(1-'P-Parametri'!$B$6*I437))),MAX(0,2*I396-(M436-MIN(MAX(M436,0),MAX(0,I396-IF($A437&gt;=('1-Input'!$C$12-1),'1-Input'!$B$12,0)))))*(1/(1-'P-Parametri'!$B$6*I437))))</f>
        <v>10846.756992928691</v>
      </c>
      <c r="K437" s="18">
        <f>IF($A437&gt;'1-Input'!$B$26,M436,(M436-MAX(0,I396-IF($A437&gt;=('1-Input'!$C$12-1),'1-Input'!$B$12,0))+J437*(1-'P-Parametri'!$B$6*I437))*(1+'1-Input'!$B$27))</f>
        <v>0</v>
      </c>
      <c r="L437" s="18">
        <f>IF($A437&gt;'1-Input'!$B$26,N436,(N436-J437)*(1+'5-Roberta'!$C$4))</f>
        <v>-194456.44525766623</v>
      </c>
      <c r="M437" s="18">
        <f>IF($A437&gt;'1-Input'!$B$26,K437,K437-'P-Parametri'!$B$8*(L437+K437)+MIN(MAX(L437,0),'P-Parametri'!$B$8*(L437+K437)))</f>
        <v>0</v>
      </c>
      <c r="N437" s="18">
        <f>IF($A437&gt;'1-Input'!$B$26,L437,L437-MIN(MAX(L437,0),'P-Parametri'!$B$8*(L437+K437)))</f>
        <v>-194067.53236715091</v>
      </c>
      <c r="O437" s="18">
        <f>IF($A437&gt;'1-Input'!$B$26,O436,O436-J437*(1-I437))</f>
        <v>-155952.39926048662</v>
      </c>
      <c r="P437" s="11">
        <f>IF($A437&gt;'1-Input'!$B$26,0,IF(U436&lt;=0,0,MAX(0,(U436-V436)/U436)))</f>
        <v>0</v>
      </c>
      <c r="Q437" s="18">
        <f>IF($A437&gt;'1-Input'!$B$26,0,(MAX(0,P396-IF($A437&gt;=('1-Input'!$C$12-1),'1-Input'!$B$12,0))-MIN(MAX(T436,0),MAX(0,P396-IF($A437&gt;=('1-Input'!$C$12-1),'1-Input'!$B$12,0))))*(1/(1-'P-Parametri'!$B$6*P437))+MIN(MAX(0,U436-(MAX(0,P396-IF($A437&gt;=('1-Input'!$C$12-1),'1-Input'!$B$12,0))-MIN(MAX(T436,0),MAX(0,P396-IF($A437&gt;=('1-Input'!$C$12-1),'1-Input'!$B$12,0))))*(1/(1-'P-Parametri'!$B$6*P437))),MAX(0,2*P396-(T436-MIN(MAX(T436,0),MAX(0,P396-IF($A437&gt;=('1-Input'!$C$12-1),'1-Input'!$B$12,0)))))*(1/(1-'P-Parametri'!$B$6*P437))))</f>
        <v>0</v>
      </c>
      <c r="R437" s="18">
        <f>IF($A437&gt;'1-Input'!$B$26,T436,(T436-MAX(0,P396-IF($A437&gt;=('1-Input'!$C$12-1),'1-Input'!$B$12,0))+Q437*(1-'P-Parametri'!$B$6*P437))*(1+'1-Input'!$B$27))</f>
        <v>25562.687153999235</v>
      </c>
      <c r="S437" s="18">
        <f>IF($A437&gt;'1-Input'!$B$26,U436,(U436-Q437)*(1+'5-Roberta'!$C$4))</f>
        <v>0</v>
      </c>
      <c r="T437" s="18">
        <f>IF($A437&gt;'1-Input'!$B$26,R437,R437-'P-Parametri'!$B$8*(S437+R437)+MIN(MAX(S437,0),'P-Parametri'!$B$8*(S437+R437)))</f>
        <v>25511.561779691237</v>
      </c>
      <c r="U437" s="18">
        <f>IF($A437&gt;'1-Input'!$B$26,S437,S437-MIN(MAX(S437,0),'P-Parametri'!$B$8*(S437+R437)))</f>
        <v>0</v>
      </c>
      <c r="V437" s="18">
        <f>IF($A437&gt;'1-Input'!$B$26,V436,V436-Q437*(1-P437))</f>
        <v>2.2737367544323206E-13</v>
      </c>
      <c r="W437" s="11">
        <f>IF($A437&gt;'1-Input'!$B$26,0,IF(AB436&lt;=0,0,MAX(0,(AB436-AC436)/AB436)))</f>
        <v>0.71684362297445203</v>
      </c>
      <c r="X437" s="18">
        <f>IF($A437&gt;'1-Input'!$B$26,0,(MAX(0,W396-IF($A437&gt;=('1-Input'!$C$12-1),'1-Input'!$B$12,0))-MIN(MAX(AA436,0),MAX(0,W396-IF($A437&gt;=('1-Input'!$C$12-1),'1-Input'!$B$12,0))))*(1/(1-'P-Parametri'!$B$6*W437))+MIN(MAX(0,AB436-(MAX(0,W396-IF($A437&gt;=('1-Input'!$C$12-1),'1-Input'!$B$12,0))-MIN(MAX(AA436,0),MAX(0,W396-IF($A437&gt;=('1-Input'!$C$12-1),'1-Input'!$B$12,0))))*(1/(1-'P-Parametri'!$B$6*W437))),MAX(0,2*W396-(AA436-MIN(MAX(AA436,0),MAX(0,W396-IF($A437&gt;=('1-Input'!$C$12-1),'1-Input'!$B$12,0)))))*(1/(1-'P-Parametri'!$B$6*W437))))</f>
        <v>8872.8194649902198</v>
      </c>
      <c r="Y437" s="18">
        <f>IF($A437&gt;'1-Input'!$B$26,AA436,(AA436-MAX(0,W396-IF($A437&gt;=('1-Input'!$C$12-1),'1-Input'!$B$12,0))+X437*(1-'P-Parametri'!$B$6*W437))*(1+'1-Input'!$B$27))</f>
        <v>36249.311394946351</v>
      </c>
      <c r="Z437" s="18">
        <f>IF($A437&gt;'1-Input'!$B$26,AB436,(AB436-X437)*(1+'5-Roberta'!$C$4))</f>
        <v>7159.3020251202934</v>
      </c>
      <c r="AA437" s="18">
        <f>IF($A437&gt;'1-Input'!$B$26,Y437,Y437-'P-Parametri'!$B$8*(Z437+Y437)+MIN(MAX(Z437,0),'P-Parametri'!$B$8*(Z437+Y437)))</f>
        <v>36249.311394946351</v>
      </c>
      <c r="AB437" s="18">
        <f>IF($A437&gt;'1-Input'!$B$26,Z437,Z437-MIN(MAX(Z437,0),'P-Parametri'!$B$8*(Z437+Y437)))</f>
        <v>7072.4847982801602</v>
      </c>
      <c r="AC437" s="18">
        <f>IF($A437&gt;'1-Input'!$B$26,AC436,AC436-X437*(1-W437))</f>
        <v>1968.1573043346903</v>
      </c>
      <c r="AD437" s="11">
        <f>IF($A437&gt;'1-Input'!$B$26,0,IF(AI436&lt;=0,0,MAX(0,(AI436-AJ436)/AI436)))</f>
        <v>0.71706224545020758</v>
      </c>
      <c r="AE437" s="18">
        <f>IF($A437&gt;'1-Input'!$B$26,0,(MAX(0,AD396-IF($A437&gt;=('1-Input'!$C$12-1),'1-Input'!$B$12,0))-MIN(MAX(AH436,0),MAX(0,AD396-IF($A437&gt;=('1-Input'!$C$12-1),'1-Input'!$B$12,0))))*(1/(1-'P-Parametri'!$B$6*AD437))+MIN(MAX(0,AI436-(MAX(0,AD396-IF($A437&gt;=('1-Input'!$C$12-1),'1-Input'!$B$12,0))-MIN(MAX(AH436,0),MAX(0,AD396-IF($A437&gt;=('1-Input'!$C$12-1),'1-Input'!$B$12,0))))*(1/(1-'P-Parametri'!$B$6*AD437))),MAX(0,2*AD396-(AH436-MIN(MAX(AH436,0),MAX(0,AD396-IF($A437&gt;=('1-Input'!$C$12-1),'1-Input'!$B$12,0)))))*(1/(1-'P-Parametri'!$B$6*AD437))))</f>
        <v>8854.7795791783228</v>
      </c>
      <c r="AF437" s="18">
        <f>IF($A437&gt;'1-Input'!$B$26,AH436,(AH436-MAX(0,AD396-IF($A437&gt;=('1-Input'!$C$12-1),'1-Input'!$B$12,0))+AE437*(1-'P-Parametri'!$B$6*AD437))*(1+'1-Input'!$B$27))</f>
        <v>36219.275067787748</v>
      </c>
      <c r="AG437" s="18">
        <f>IF($A437&gt;'1-Input'!$B$26,AI436,(AI436-AE437)*(1+'5-Roberta'!$C$4))</f>
        <v>8479.0252880040807</v>
      </c>
      <c r="AH437" s="18">
        <f>IF($A437&gt;'1-Input'!$B$26,AF437,AF437-'P-Parametri'!$B$8*(AG437+AF437)+MIN(MAX(AG437,0),'P-Parametri'!$B$8*(AG437+AF437)))</f>
        <v>36219.275067787748</v>
      </c>
      <c r="AI437" s="18">
        <f>IF($A437&gt;'1-Input'!$B$26,AG437,AG437-MIN(MAX(AG437,0),'P-Parametri'!$B$8*(AG437+AF437)))</f>
        <v>8389.6286872924975</v>
      </c>
      <c r="AJ437" s="18">
        <f>IF($A437&gt;'1-Input'!$B$26,AJ436,AJ436-AE437*(1-AD437))</f>
        <v>2329.1615298628949</v>
      </c>
      <c r="AK437" s="11">
        <f>IF($A437&gt;'1-Input'!$B$26,0,IF(AP436&lt;=0,0,MAX(0,(AP436-AQ436)/AP436)))</f>
        <v>0.71706342707972226</v>
      </c>
      <c r="AL437" s="18">
        <f>IF($A437&gt;'1-Input'!$B$26,0,(MAX(0,AK396-IF($A437&gt;=('1-Input'!$C$12-1),'1-Input'!$B$12,0))-MIN(MAX(AO436,0),MAX(0,AK396-IF($A437&gt;=('1-Input'!$C$12-1),'1-Input'!$B$12,0))))*(1/(1-'P-Parametri'!$B$6*AK437))+MIN(MAX(0,AP436-(MAX(0,AK396-IF($A437&gt;=('1-Input'!$C$12-1),'1-Input'!$B$12,0))-MIN(MAX(AO436,0),MAX(0,AK396-IF($A437&gt;=('1-Input'!$C$12-1),'1-Input'!$B$12,0))))*(1/(1-'P-Parametri'!$B$6*AK437))),MAX(0,2*AK396-(AO436-MIN(MAX(AO436,0),MAX(0,AK396-IF($A437&gt;=('1-Input'!$C$12-1),'1-Input'!$B$12,0)))))*(1/(1-'P-Parametri'!$B$6*AK437))))</f>
        <v>8854.6767795302021</v>
      </c>
      <c r="AM437" s="18">
        <f>IF($A437&gt;'1-Input'!$B$26,AO436,(AO436-MAX(0,AK396-IF($A437&gt;=('1-Input'!$C$12-1),'1-Input'!$B$12,0))+AL437*(1-'P-Parametri'!$B$6*AK437))*(1+'1-Input'!$B$27))</f>
        <v>36219.1042108291</v>
      </c>
      <c r="AN437" s="18">
        <f>IF($A437&gt;'1-Input'!$B$26,AP436,(AP436-AL437)*(1+'5-Roberta'!$C$4))</f>
        <v>8486.5327036937015</v>
      </c>
      <c r="AO437" s="18">
        <f>IF($A437&gt;'1-Input'!$B$26,AM437,AM437-'P-Parametri'!$B$8*(AN437+AM437)+MIN(MAX(AN437,0),'P-Parametri'!$B$8*(AN437+AM437)))</f>
        <v>36219.1042108291</v>
      </c>
      <c r="AP437" s="18">
        <f>IF($A437&gt;'1-Input'!$B$26,AN437,AN437-MIN(MAX(AN437,0),'P-Parametri'!$B$8*(AN437+AM437)))</f>
        <v>8397.1214298646555</v>
      </c>
      <c r="AQ437" s="18">
        <f>IF($A437&gt;'1-Input'!$B$26,AQ436,AQ436-AL437*(1-AK437))</f>
        <v>2331.2140574358777</v>
      </c>
    </row>
    <row r="438" spans="1:43">
      <c r="A438" s="10">
        <f>40</f>
        <v>40</v>
      </c>
      <c r="B438" s="11">
        <f>IF($A438&gt;'1-Input'!$B$26,0,IF(G437&lt;=0,0,MAX(0,(G437-H437)/G437)))</f>
        <v>0.72917123316598231</v>
      </c>
      <c r="C438" s="18">
        <f>IF($A438&gt;'1-Input'!$B$26,0,(MAX(0,B396-IF($A438&gt;=('1-Input'!$C$12-1),'1-Input'!$B$12,0))-MIN(MAX(F437,0),MAX(0,B396-IF($A438&gt;=('1-Input'!$C$12-1),'1-Input'!$B$12,0))))*(1/(1-'P-Parametri'!$B$6*B438))+MIN(MAX(0,G437-(MAX(0,B396-IF($A438&gt;=('1-Input'!$C$12-1),'1-Input'!$B$12,0))-MIN(MAX(F437,0),MAX(0,B396-IF($A438&gt;=('1-Input'!$C$12-1),'1-Input'!$B$12,0))))*(1/(1-'P-Parametri'!$B$6*B438))),MAX(0,2*B396-(F437-MIN(MAX(F437,0),MAX(0,B396-IF($A438&gt;=('1-Input'!$C$12-1),'1-Input'!$B$12,0)))))*(1/(1-'P-Parametri'!$B$6*B438))))</f>
        <v>7032.3914805691775</v>
      </c>
      <c r="D438" s="18">
        <f>IF($A438&gt;'1-Input'!$B$26,F437,(F437-MAX(0,B396-IF($A438&gt;=('1-Input'!$C$12-1),'1-Input'!$B$12,0))+C438*(1-'P-Parametri'!$B$6*B438))*(1+'1-Input'!$B$27))</f>
        <v>33242.0070309863</v>
      </c>
      <c r="E438" s="18">
        <f>IF($A438&gt;'1-Input'!$B$26,G437,(G437-C438)*(1+'5-Roberta'!$C$4))</f>
        <v>136051.86719624055</v>
      </c>
      <c r="F438" s="18">
        <f>IF($A438&gt;'1-Input'!$B$26,D438,D438-'P-Parametri'!$B$8*(E438+D438)+MIN(MAX(E438,0),'P-Parametri'!$B$8*(E438+D438)))</f>
        <v>33242.0070309863</v>
      </c>
      <c r="G438" s="18">
        <f>IF($A438&gt;'1-Input'!$B$26,E438,E438-MIN(MAX(E438,0),'P-Parametri'!$B$8*(E438+D438)))</f>
        <v>135713.2794477861</v>
      </c>
      <c r="H438" s="18">
        <f>IF($A438&gt;'1-Input'!$B$26,H437,H437-C438*(1-B438))</f>
        <v>35773.552833226568</v>
      </c>
      <c r="I438" s="11">
        <f>IF($A438&gt;'1-Input'!$B$26,0,IF(N437&lt;=0,0,MAX(0,(N437-O437)/N437)))</f>
        <v>0</v>
      </c>
      <c r="J438" s="18">
        <f>IF($A438&gt;'1-Input'!$B$26,0,(MAX(0,I396-IF($A438&gt;=('1-Input'!$C$12-1),'1-Input'!$B$12,0))-MIN(MAX(M437,0),MAX(0,I396-IF($A438&gt;=('1-Input'!$C$12-1),'1-Input'!$B$12,0))))*(1/(1-'P-Parametri'!$B$6*I438))+MIN(MAX(0,N437-(MAX(0,I396-IF($A438&gt;=('1-Input'!$C$12-1),'1-Input'!$B$12,0))-MIN(MAX(M437,0),MAX(0,I396-IF($A438&gt;=('1-Input'!$C$12-1),'1-Input'!$B$12,0))))*(1/(1-'P-Parametri'!$B$6*I438))),MAX(0,2*I396-(M437-MIN(MAX(M437,0),MAX(0,I396-IF($A438&gt;=('1-Input'!$C$12-1),'1-Input'!$B$12,0)))))*(1/(1-'P-Parametri'!$B$6*I438))))</f>
        <v>10846.756992928691</v>
      </c>
      <c r="K438" s="18">
        <f>IF($A438&gt;'1-Input'!$B$26,M437,(M437-MAX(0,I396-IF($A438&gt;=('1-Input'!$C$12-1),'1-Input'!$B$12,0))+J438*(1-'P-Parametri'!$B$6*I438))*(1+'1-Input'!$B$27))</f>
        <v>0</v>
      </c>
      <c r="L438" s="18">
        <f>IF($A438&gt;'1-Input'!$B$26,N437,(N437-J438)*(1+'5-Roberta'!$C$4))</f>
        <v>-211061.718040882</v>
      </c>
      <c r="M438" s="18">
        <f>IF($A438&gt;'1-Input'!$B$26,K438,K438-'P-Parametri'!$B$8*(L438+K438)+MIN(MAX(L438,0),'P-Parametri'!$B$8*(L438+K438)))</f>
        <v>0</v>
      </c>
      <c r="N438" s="18">
        <f>IF($A438&gt;'1-Input'!$B$26,L438,L438-MIN(MAX(L438,0),'P-Parametri'!$B$8*(L438+K438)))</f>
        <v>-210639.59460480022</v>
      </c>
      <c r="O438" s="18">
        <f>IF($A438&gt;'1-Input'!$B$26,O437,O437-J438*(1-I438))</f>
        <v>-166799.15625341531</v>
      </c>
      <c r="P438" s="11">
        <f>IF($A438&gt;'1-Input'!$B$26,0,IF(U437&lt;=0,0,MAX(0,(U437-V437)/U437)))</f>
        <v>0</v>
      </c>
      <c r="Q438" s="18">
        <f>IF($A438&gt;'1-Input'!$B$26,0,(MAX(0,P396-IF($A438&gt;=('1-Input'!$C$12-1),'1-Input'!$B$12,0))-MIN(MAX(T437,0),MAX(0,P396-IF($A438&gt;=('1-Input'!$C$12-1),'1-Input'!$B$12,0))))*(1/(1-'P-Parametri'!$B$6*P438))+MIN(MAX(0,U437-(MAX(0,P396-IF($A438&gt;=('1-Input'!$C$12-1),'1-Input'!$B$12,0))-MIN(MAX(T437,0),MAX(0,P396-IF($A438&gt;=('1-Input'!$C$12-1),'1-Input'!$B$12,0))))*(1/(1-'P-Parametri'!$B$6*P438))),MAX(0,2*P396-(T437-MIN(MAX(T437,0),MAX(0,P396-IF($A438&gt;=('1-Input'!$C$12-1),'1-Input'!$B$12,0)))))*(1/(1-'P-Parametri'!$B$6*P438))))</f>
        <v>0</v>
      </c>
      <c r="R438" s="18">
        <f>IF($A438&gt;'1-Input'!$B$26,T437,(T437-MAX(0,P396-IF($A438&gt;=('1-Input'!$C$12-1),'1-Input'!$B$12,0))+Q438*(1-'P-Parametri'!$B$6*P438))*(1+'1-Input'!$B$27))</f>
        <v>18112.550010947587</v>
      </c>
      <c r="S438" s="18">
        <f>IF($A438&gt;'1-Input'!$B$26,U437,(U437-Q438)*(1+'5-Roberta'!$C$4))</f>
        <v>0</v>
      </c>
      <c r="T438" s="18">
        <f>IF($A438&gt;'1-Input'!$B$26,R438,R438-'P-Parametri'!$B$8*(S438+R438)+MIN(MAX(S438,0),'P-Parametri'!$B$8*(S438+R438)))</f>
        <v>18076.32491092569</v>
      </c>
      <c r="U438" s="18">
        <f>IF($A438&gt;'1-Input'!$B$26,S438,S438-MIN(MAX(S438,0),'P-Parametri'!$B$8*(S438+R438)))</f>
        <v>0</v>
      </c>
      <c r="V438" s="18">
        <f>IF($A438&gt;'1-Input'!$B$26,V437,V437-Q438*(1-P438))</f>
        <v>2.2737367544323206E-13</v>
      </c>
      <c r="W438" s="11">
        <f>IF($A438&gt;'1-Input'!$B$26,0,IF(AB437&lt;=0,0,MAX(0,(AB437-AC437)/AB437)))</f>
        <v>0.72171629060082332</v>
      </c>
      <c r="X438" s="18">
        <f>IF($A438&gt;'1-Input'!$B$26,0,(MAX(0,W396-IF($A438&gt;=('1-Input'!$C$12-1),'1-Input'!$B$12,0))-MIN(MAX(AA437,0),MAX(0,W396-IF($A438&gt;=('1-Input'!$C$12-1),'1-Input'!$B$12,0))))*(1/(1-'P-Parametri'!$B$6*W438))+MIN(MAX(0,AB437-(MAX(0,W396-IF($A438&gt;=('1-Input'!$C$12-1),'1-Input'!$B$12,0))-MIN(MAX(AA437,0),MAX(0,W396-IF($A438&gt;=('1-Input'!$C$12-1),'1-Input'!$B$12,0))))*(1/(1-'P-Parametri'!$B$6*W438))),MAX(0,2*W396-(AA437-MIN(MAX(AA437,0),MAX(0,W396-IF($A438&gt;=('1-Input'!$C$12-1),'1-Input'!$B$12,0)))))*(1/(1-'P-Parametri'!$B$6*W438))))</f>
        <v>7072.4847982801602</v>
      </c>
      <c r="Y438" s="18">
        <f>IF($A438&gt;'1-Input'!$B$26,AA437,(AA437-MAX(0,W396-IF($A438&gt;=('1-Input'!$C$12-1),'1-Input'!$B$12,0))+X438*(1-'P-Parametri'!$B$6*W438))*(1+'1-Input'!$B$27))</f>
        <v>34780.867331566231</v>
      </c>
      <c r="Z438" s="18">
        <f>IF($A438&gt;'1-Input'!$B$26,AB437,(AB437-X438)*(1+'5-Roberta'!$C$4))</f>
        <v>0</v>
      </c>
      <c r="AA438" s="18">
        <f>IF($A438&gt;'1-Input'!$B$26,Y438,Y438-'P-Parametri'!$B$8*(Z438+Y438)+MIN(MAX(Z438,0),'P-Parametri'!$B$8*(Z438+Y438)))</f>
        <v>34711.305596903097</v>
      </c>
      <c r="AB438" s="18">
        <f>IF($A438&gt;'1-Input'!$B$26,Z438,Z438-MIN(MAX(Z438,0),'P-Parametri'!$B$8*(Z438+Y438)))</f>
        <v>0</v>
      </c>
      <c r="AC438" s="18">
        <f>IF($A438&gt;'1-Input'!$B$26,AC437,AC437-X438*(1-W438))</f>
        <v>-6.8212102632969618E-13</v>
      </c>
      <c r="AD438" s="11">
        <f>IF($A438&gt;'1-Input'!$B$26,0,IF(AI437&lt;=0,0,MAX(0,(AI437-AJ437)/AI437)))</f>
        <v>0.72237608877842219</v>
      </c>
      <c r="AE438" s="18">
        <f>IF($A438&gt;'1-Input'!$B$26,0,(MAX(0,AD396-IF($A438&gt;=('1-Input'!$C$12-1),'1-Input'!$B$12,0))-MIN(MAX(AH437,0),MAX(0,AD396-IF($A438&gt;=('1-Input'!$C$12-1),'1-Input'!$B$12,0))))*(1/(1-'P-Parametri'!$B$6*AD438))+MIN(MAX(0,AI437-(MAX(0,AD396-IF($A438&gt;=('1-Input'!$C$12-1),'1-Input'!$B$12,0))-MIN(MAX(AH437,0),MAX(0,AD396-IF($A438&gt;=('1-Input'!$C$12-1),'1-Input'!$B$12,0))))*(1/(1-'P-Parametri'!$B$6*AD438))),MAX(0,2*AD396-(AH437-MIN(MAX(AH437,0),MAX(0,AD396-IF($A438&gt;=('1-Input'!$C$12-1),'1-Input'!$B$12,0)))))*(1/(1-'P-Parametri'!$B$6*AD438))))</f>
        <v>8389.6286872924975</v>
      </c>
      <c r="AF438" s="18">
        <f>IF($A438&gt;'1-Input'!$B$26,AH437,(AH437-MAX(0,AD396-IF($A438&gt;=('1-Input'!$C$12-1),'1-Input'!$B$12,0))+AE438*(1-'P-Parametri'!$B$6*AD438))*(1+'1-Input'!$B$27))</f>
        <v>35830.658103995738</v>
      </c>
      <c r="AG438" s="18">
        <f>IF($A438&gt;'1-Input'!$B$26,AI437,(AI437-AE438)*(1+'5-Roberta'!$C$4))</f>
        <v>0</v>
      </c>
      <c r="AH438" s="18">
        <f>IF($A438&gt;'1-Input'!$B$26,AF438,AF438-'P-Parametri'!$B$8*(AG438+AF438)+MIN(MAX(AG438,0),'P-Parametri'!$B$8*(AG438+AF438)))</f>
        <v>35758.99678778775</v>
      </c>
      <c r="AI438" s="18">
        <f>IF($A438&gt;'1-Input'!$B$26,AG438,AG438-MIN(MAX(AG438,0),'P-Parametri'!$B$8*(AG438+AF438)))</f>
        <v>0</v>
      </c>
      <c r="AJ438" s="18">
        <f>IF($A438&gt;'1-Input'!$B$26,AJ437,AJ437-AE438*(1-AD438))</f>
        <v>0</v>
      </c>
      <c r="AK438" s="11">
        <f>IF($A438&gt;'1-Input'!$B$26,0,IF(AP437&lt;=0,0,MAX(0,(AP437-AQ437)/AP437)))</f>
        <v>0.72237938001648594</v>
      </c>
      <c r="AL438" s="18">
        <f>IF($A438&gt;'1-Input'!$B$26,0,(MAX(0,AK396-IF($A438&gt;=('1-Input'!$C$12-1),'1-Input'!$B$12,0))-MIN(MAX(AO437,0),MAX(0,AK396-IF($A438&gt;=('1-Input'!$C$12-1),'1-Input'!$B$12,0))))*(1/(1-'P-Parametri'!$B$6*AK438))+MIN(MAX(0,AP437-(MAX(0,AK396-IF($A438&gt;=('1-Input'!$C$12-1),'1-Input'!$B$12,0))-MIN(MAX(AO437,0),MAX(0,AK396-IF($A438&gt;=('1-Input'!$C$12-1),'1-Input'!$B$12,0))))*(1/(1-'P-Parametri'!$B$6*AK438))),MAX(0,2*AK396-(AO437-MIN(MAX(AO437,0),MAX(0,AK396-IF($A438&gt;=('1-Input'!$C$12-1),'1-Input'!$B$12,0)))))*(1/(1-'P-Parametri'!$B$6*AK438))))</f>
        <v>8397.1214298646555</v>
      </c>
      <c r="AM438" s="18">
        <f>IF($A438&gt;'1-Input'!$B$26,AO437,(AO437-MAX(0,AK396-IF($A438&gt;=('1-Input'!$C$12-1),'1-Input'!$B$12,0))+AL438*(1-'P-Parametri'!$B$6*AK438))*(1+'1-Input'!$B$27))</f>
        <v>35836.629695441814</v>
      </c>
      <c r="AN438" s="18">
        <f>IF($A438&gt;'1-Input'!$B$26,AP437,(AP437-AL438)*(1+'5-Roberta'!$C$4))</f>
        <v>0</v>
      </c>
      <c r="AO438" s="18">
        <f>IF($A438&gt;'1-Input'!$B$26,AM438,AM438-'P-Parametri'!$B$8*(AN438+AM438)+MIN(MAX(AN438,0),'P-Parametri'!$B$8*(AN438+AM438)))</f>
        <v>35764.956436050932</v>
      </c>
      <c r="AP438" s="18">
        <f>IF($A438&gt;'1-Input'!$B$26,AN438,AN438-MIN(MAX(AN438,0),'P-Parametri'!$B$8*(AN438+AM438)))</f>
        <v>0</v>
      </c>
      <c r="AQ438" s="18">
        <f>IF($A438&gt;'1-Input'!$B$26,AQ437,AQ437-AL438*(1-AK438))</f>
        <v>0</v>
      </c>
    </row>
    <row r="439" spans="1:43">
      <c r="A439" s="10">
        <f>41</f>
        <v>41</v>
      </c>
      <c r="B439" s="11">
        <f>IF($A439&gt;'1-Input'!$B$26,0,IF(G438&lt;=0,0,MAX(0,(G438-H438)/G438)))</f>
        <v>0.73640344571446326</v>
      </c>
      <c r="C439" s="18">
        <f>IF($A439&gt;'1-Input'!$B$26,0,(MAX(0,B396-IF($A439&gt;=('1-Input'!$C$12-1),'1-Input'!$B$12,0))-MIN(MAX(F438,0),MAX(0,B396-IF($A439&gt;=('1-Input'!$C$12-1),'1-Input'!$B$12,0))))*(1/(1-'P-Parametri'!$B$6*B439))+MIN(MAX(0,G438-(MAX(0,B396-IF($A439&gt;=('1-Input'!$C$12-1),'1-Input'!$B$12,0))-MIN(MAX(F438,0),MAX(0,B396-IF($A439&gt;=('1-Input'!$C$12-1),'1-Input'!$B$12,0))))*(1/(1-'P-Parametri'!$B$6*B439))),MAX(0,2*B396-(F438-MIN(MAX(F438,0),MAX(0,B396-IF($A439&gt;=('1-Input'!$C$12-1),'1-Input'!$B$12,0)))))*(1/(1-'P-Parametri'!$B$6*B439))))</f>
        <v>7048.7464105032377</v>
      </c>
      <c r="D439" s="18">
        <f>IF($A439&gt;'1-Input'!$B$26,F438,(F438-MAX(0,B396-IF($A439&gt;=('1-Input'!$C$12-1),'1-Input'!$B$12,0))+C439*(1-'P-Parametri'!$B$6*B439))*(1+'1-Input'!$B$27))</f>
        <v>33242.0070309863</v>
      </c>
      <c r="E439" s="18">
        <f>IF($A439&gt;'1-Input'!$B$26,G438,(G438-C439)*(1+'5-Roberta'!$C$4))</f>
        <v>132524.46902840136</v>
      </c>
      <c r="F439" s="18">
        <f>IF($A439&gt;'1-Input'!$B$26,D439,D439-'P-Parametri'!$B$8*(E439+D439)+MIN(MAX(E439,0),'P-Parametri'!$B$8*(E439+D439)))</f>
        <v>33242.0070309863</v>
      </c>
      <c r="G439" s="18">
        <f>IF($A439&gt;'1-Input'!$B$26,E439,E439-MIN(MAX(E439,0),'P-Parametri'!$B$8*(E439+D439)))</f>
        <v>132192.93607628258</v>
      </c>
      <c r="H439" s="18">
        <f>IF($A439&gt;'1-Input'!$B$26,H438,H438-C439*(1-B439))</f>
        <v>33915.527567385368</v>
      </c>
      <c r="I439" s="11">
        <f>IF($A439&gt;'1-Input'!$B$26,0,IF(N438&lt;=0,0,MAX(0,(N438-O438)/N438)))</f>
        <v>0</v>
      </c>
      <c r="J439" s="18">
        <f>IF($A439&gt;'1-Input'!$B$26,0,(MAX(0,I396-IF($A439&gt;=('1-Input'!$C$12-1),'1-Input'!$B$12,0))-MIN(MAX(M438,0),MAX(0,I396-IF($A439&gt;=('1-Input'!$C$12-1),'1-Input'!$B$12,0))))*(1/(1-'P-Parametri'!$B$6*I439))+MIN(MAX(0,N438-(MAX(0,I396-IF($A439&gt;=('1-Input'!$C$12-1),'1-Input'!$B$12,0))-MIN(MAX(M438,0),MAX(0,I396-IF($A439&gt;=('1-Input'!$C$12-1),'1-Input'!$B$12,0))))*(1/(1-'P-Parametri'!$B$6*I439))),MAX(0,2*I396-(M438-MIN(MAX(M438,0),MAX(0,I396-IF($A439&gt;=('1-Input'!$C$12-1),'1-Input'!$B$12,0)))))*(1/(1-'P-Parametri'!$B$6*I439))))</f>
        <v>10846.756992928691</v>
      </c>
      <c r="K439" s="18">
        <f>IF($A439&gt;'1-Input'!$B$26,M438,(M438-MAX(0,I396-IF($A439&gt;=('1-Input'!$C$12-1),'1-Input'!$B$12,0))+J439*(1-'P-Parametri'!$B$6*I439))*(1+'1-Input'!$B$27))</f>
        <v>0</v>
      </c>
      <c r="L439" s="18">
        <f>IF($A439&gt;'1-Input'!$B$26,N438,(N438-J439)*(1+'5-Roberta'!$C$4))</f>
        <v>-228130.94214566078</v>
      </c>
      <c r="M439" s="18">
        <f>IF($A439&gt;'1-Input'!$B$26,K439,K439-'P-Parametri'!$B$8*(L439+K439)+MIN(MAX(L439,0),'P-Parametri'!$B$8*(L439+K439)))</f>
        <v>0</v>
      </c>
      <c r="N439" s="18">
        <f>IF($A439&gt;'1-Input'!$B$26,L439,L439-MIN(MAX(L439,0),'P-Parametri'!$B$8*(L439+K439)))</f>
        <v>-227674.68026136947</v>
      </c>
      <c r="O439" s="18">
        <f>IF($A439&gt;'1-Input'!$B$26,O438,O438-J439*(1-I439))</f>
        <v>-177645.91324634399</v>
      </c>
      <c r="P439" s="11">
        <f>IF($A439&gt;'1-Input'!$B$26,0,IF(U438&lt;=0,0,MAX(0,(U438-V438)/U438)))</f>
        <v>0</v>
      </c>
      <c r="Q439" s="18">
        <f>IF($A439&gt;'1-Input'!$B$26,0,(MAX(0,P396-IF($A439&gt;=('1-Input'!$C$12-1),'1-Input'!$B$12,0))-MIN(MAX(T438,0),MAX(0,P396-IF($A439&gt;=('1-Input'!$C$12-1),'1-Input'!$B$12,0))))*(1/(1-'P-Parametri'!$B$6*P439))+MIN(MAX(0,U438-(MAX(0,P396-IF($A439&gt;=('1-Input'!$C$12-1),'1-Input'!$B$12,0))-MIN(MAX(T438,0),MAX(0,P396-IF($A439&gt;=('1-Input'!$C$12-1),'1-Input'!$B$12,0))))*(1/(1-'P-Parametri'!$B$6*P439))),MAX(0,2*P396-(T438-MIN(MAX(T438,0),MAX(0,P396-IF($A439&gt;=('1-Input'!$C$12-1),'1-Input'!$B$12,0)))))*(1/(1-'P-Parametri'!$B$6*P439))))</f>
        <v>0</v>
      </c>
      <c r="R439" s="18">
        <f>IF($A439&gt;'1-Input'!$B$26,T438,(T438-MAX(0,P396-IF($A439&gt;=('1-Input'!$C$12-1),'1-Input'!$B$12,0))+Q439*(1-'P-Parametri'!$B$6*P439))*(1+'1-Input'!$B$27))</f>
        <v>10704.079994909598</v>
      </c>
      <c r="S439" s="18">
        <f>IF($A439&gt;'1-Input'!$B$26,U438,(U438-Q439)*(1+'5-Roberta'!$C$4))</f>
        <v>0</v>
      </c>
      <c r="T439" s="18">
        <f>IF($A439&gt;'1-Input'!$B$26,R439,R439-'P-Parametri'!$B$8*(S439+R439)+MIN(MAX(S439,0),'P-Parametri'!$B$8*(S439+R439)))</f>
        <v>10682.671834919778</v>
      </c>
      <c r="U439" s="18">
        <f>IF($A439&gt;'1-Input'!$B$26,S439,S439-MIN(MAX(S439,0),'P-Parametri'!$B$8*(S439+R439)))</f>
        <v>0</v>
      </c>
      <c r="V439" s="18">
        <f>IF($A439&gt;'1-Input'!$B$26,V438,V438-Q439*(1-P439))</f>
        <v>2.2737367544323206E-13</v>
      </c>
      <c r="W439" s="11">
        <f>IF($A439&gt;'1-Input'!$B$26,0,IF(AB438&lt;=0,0,MAX(0,(AB438-AC438)/AB438)))</f>
        <v>0</v>
      </c>
      <c r="X439" s="18">
        <f>IF($A439&gt;'1-Input'!$B$26,0,(MAX(0,W396-IF($A439&gt;=('1-Input'!$C$12-1),'1-Input'!$B$12,0))-MIN(MAX(AA438,0),MAX(0,W396-IF($A439&gt;=('1-Input'!$C$12-1),'1-Input'!$B$12,0))))*(1/(1-'P-Parametri'!$B$6*W439))+MIN(MAX(0,AB438-(MAX(0,W396-IF($A439&gt;=('1-Input'!$C$12-1),'1-Input'!$B$12,0))-MIN(MAX(AA438,0),MAX(0,W396-IF($A439&gt;=('1-Input'!$C$12-1),'1-Input'!$B$12,0))))*(1/(1-'P-Parametri'!$B$6*W439))),MAX(0,2*W396-(AA438-MIN(MAX(AA438,0),MAX(0,W396-IF($A439&gt;=('1-Input'!$C$12-1),'1-Input'!$B$12,0)))))*(1/(1-'P-Parametri'!$B$6*W439))))</f>
        <v>0</v>
      </c>
      <c r="Y439" s="18">
        <f>IF($A439&gt;'1-Input'!$B$26,AA438,(AA438-MAX(0,W396-IF($A439&gt;=('1-Input'!$C$12-1),'1-Input'!$B$12,0))+X439*(1-'P-Parametri'!$B$6*W439))*(1+'1-Input'!$B$27))</f>
        <v>27523.721999281071</v>
      </c>
      <c r="Z439" s="18">
        <f>IF($A439&gt;'1-Input'!$B$26,AB438,(AB438-X439)*(1+'5-Roberta'!$C$4))</f>
        <v>0</v>
      </c>
      <c r="AA439" s="18">
        <f>IF($A439&gt;'1-Input'!$B$26,Y439,Y439-'P-Parametri'!$B$8*(Z439+Y439)+MIN(MAX(Z439,0),'P-Parametri'!$B$8*(Z439+Y439)))</f>
        <v>27468.674555282509</v>
      </c>
      <c r="AB439" s="18">
        <f>IF($A439&gt;'1-Input'!$B$26,Z439,Z439-MIN(MAX(Z439,0),'P-Parametri'!$B$8*(Z439+Y439)))</f>
        <v>0</v>
      </c>
      <c r="AC439" s="18">
        <f>IF($A439&gt;'1-Input'!$B$26,AC438,AC438-X439*(1-W439))</f>
        <v>-6.8212102632969618E-13</v>
      </c>
      <c r="AD439" s="11">
        <f>IF($A439&gt;'1-Input'!$B$26,0,IF(AI438&lt;=0,0,MAX(0,(AI438-AJ438)/AI438)))</f>
        <v>0</v>
      </c>
      <c r="AE439" s="18">
        <f>IF($A439&gt;'1-Input'!$B$26,0,(MAX(0,AD396-IF($A439&gt;=('1-Input'!$C$12-1),'1-Input'!$B$12,0))-MIN(MAX(AH438,0),MAX(0,AD396-IF($A439&gt;=('1-Input'!$C$12-1),'1-Input'!$B$12,0))))*(1/(1-'P-Parametri'!$B$6*AD439))+MIN(MAX(0,AI438-(MAX(0,AD396-IF($A439&gt;=('1-Input'!$C$12-1),'1-Input'!$B$12,0))-MIN(MAX(AH438,0),MAX(0,AD396-IF($A439&gt;=('1-Input'!$C$12-1),'1-Input'!$B$12,0))))*(1/(1-'P-Parametri'!$B$6*AD439))),MAX(0,2*AD396-(AH438-MIN(MAX(AH438,0),MAX(0,AD396-IF($A439&gt;=('1-Input'!$C$12-1),'1-Input'!$B$12,0)))))*(1/(1-'P-Parametri'!$B$6*AD439))))</f>
        <v>0</v>
      </c>
      <c r="AF439" s="18">
        <f>IF($A439&gt;'1-Input'!$B$26,AH438,(AH438-MAX(0,AD396-IF($A439&gt;=('1-Input'!$C$12-1),'1-Input'!$B$12,0))+AE439*(1-'P-Parametri'!$B$6*AD439))*(1+'1-Input'!$B$27))</f>
        <v>28582.659665457835</v>
      </c>
      <c r="AG439" s="18">
        <f>IF($A439&gt;'1-Input'!$B$26,AI438,(AI438-AE439)*(1+'5-Roberta'!$C$4))</f>
        <v>0</v>
      </c>
      <c r="AH439" s="18">
        <f>IF($A439&gt;'1-Input'!$B$26,AF439,AF439-'P-Parametri'!$B$8*(AG439+AF439)+MIN(MAX(AG439,0),'P-Parametri'!$B$8*(AG439+AF439)))</f>
        <v>28525.494346126921</v>
      </c>
      <c r="AI439" s="18">
        <f>IF($A439&gt;'1-Input'!$B$26,AG439,AG439-MIN(MAX(AG439,0),'P-Parametri'!$B$8*(AG439+AF439)))</f>
        <v>0</v>
      </c>
      <c r="AJ439" s="18">
        <f>IF($A439&gt;'1-Input'!$B$26,AJ438,AJ438-AE439*(1-AD439))</f>
        <v>0</v>
      </c>
      <c r="AK439" s="11">
        <f>IF($A439&gt;'1-Input'!$B$26,0,IF(AP438&lt;=0,0,MAX(0,(AP438-AQ438)/AP438)))</f>
        <v>0</v>
      </c>
      <c r="AL439" s="18">
        <f>IF($A439&gt;'1-Input'!$B$26,0,(MAX(0,AK396-IF($A439&gt;=('1-Input'!$C$12-1),'1-Input'!$B$12,0))-MIN(MAX(AO438,0),MAX(0,AK396-IF($A439&gt;=('1-Input'!$C$12-1),'1-Input'!$B$12,0))))*(1/(1-'P-Parametri'!$B$6*AK439))+MIN(MAX(0,AP438-(MAX(0,AK396-IF($A439&gt;=('1-Input'!$C$12-1),'1-Input'!$B$12,0))-MIN(MAX(AO438,0),MAX(0,AK396-IF($A439&gt;=('1-Input'!$C$12-1),'1-Input'!$B$12,0))))*(1/(1-'P-Parametri'!$B$6*AK439))),MAX(0,2*AK396-(AO438-MIN(MAX(AO438,0),MAX(0,AK396-IF($A439&gt;=('1-Input'!$C$12-1),'1-Input'!$B$12,0)))))*(1/(1-'P-Parametri'!$B$6*AK439))))</f>
        <v>0</v>
      </c>
      <c r="AM439" s="18">
        <f>IF($A439&gt;'1-Input'!$B$26,AO438,(AO438-MAX(0,AK396-IF($A439&gt;=('1-Input'!$C$12-1),'1-Input'!$B$12,0))+AL439*(1-'P-Parametri'!$B$6*AK439))*(1+'1-Input'!$B$27))</f>
        <v>28588.683287466596</v>
      </c>
      <c r="AN439" s="18">
        <f>IF($A439&gt;'1-Input'!$B$26,AP438,(AP438-AL439)*(1+'5-Roberta'!$C$4))</f>
        <v>0</v>
      </c>
      <c r="AO439" s="18">
        <f>IF($A439&gt;'1-Input'!$B$26,AM439,AM439-'P-Parametri'!$B$8*(AN439+AM439)+MIN(MAX(AN439,0),'P-Parametri'!$B$8*(AN439+AM439)))</f>
        <v>28531.505920891665</v>
      </c>
      <c r="AP439" s="18">
        <f>IF($A439&gt;'1-Input'!$B$26,AN439,AN439-MIN(MAX(AN439,0),'P-Parametri'!$B$8*(AN439+AM439)))</f>
        <v>0</v>
      </c>
      <c r="AQ439" s="18">
        <f>IF($A439&gt;'1-Input'!$B$26,AQ438,AQ438-AL439*(1-AK439))</f>
        <v>0</v>
      </c>
    </row>
    <row r="440" spans="1:43">
      <c r="A440" s="10">
        <f>42</f>
        <v>42</v>
      </c>
      <c r="B440" s="11">
        <f>IF($A440&gt;'1-Input'!$B$26,0,IF(G439&lt;=0,0,MAX(0,(G439-H439)/G439)))</f>
        <v>0.74343918386218266</v>
      </c>
      <c r="C440" s="18">
        <f>IF($A440&gt;'1-Input'!$B$26,0,(MAX(0,B396-IF($A440&gt;=('1-Input'!$C$12-1),'1-Input'!$B$12,0))-MIN(MAX(F439,0),MAX(0,B396-IF($A440&gt;=('1-Input'!$C$12-1),'1-Input'!$B$12,0))))*(1/(1-'P-Parametri'!$B$6*B440))+MIN(MAX(0,G439-(MAX(0,B396-IF($A440&gt;=('1-Input'!$C$12-1),'1-Input'!$B$12,0))-MIN(MAX(F439,0),MAX(0,B396-IF($A440&gt;=('1-Input'!$C$12-1),'1-Input'!$B$12,0))))*(1/(1-'P-Parametri'!$B$6*B440))),MAX(0,2*B396-(F439-MIN(MAX(F439,0),MAX(0,B396-IF($A440&gt;=('1-Input'!$C$12-1),'1-Input'!$B$12,0)))))*(1/(1-'P-Parametri'!$B$6*B440))))</f>
        <v>7064.7301987054534</v>
      </c>
      <c r="D440" s="18">
        <f>IF($A440&gt;'1-Input'!$B$26,F439,(F439-MAX(0,B396-IF($A440&gt;=('1-Input'!$C$12-1),'1-Input'!$B$12,0))+C440*(1-'P-Parametri'!$B$6*B440))*(1+'1-Input'!$B$27))</f>
        <v>33242.0070309863</v>
      </c>
      <c r="E440" s="18">
        <f>IF($A440&gt;'1-Input'!$B$26,G439,(G439-C440)*(1+'5-Roberta'!$C$4))</f>
        <v>128882.05205390445</v>
      </c>
      <c r="F440" s="18">
        <f>IF($A440&gt;'1-Input'!$B$26,D440,D440-'P-Parametri'!$B$8*(E440+D440)+MIN(MAX(E440,0),'P-Parametri'!$B$8*(E440+D440)))</f>
        <v>33242.0070309863</v>
      </c>
      <c r="G440" s="18">
        <f>IF($A440&gt;'1-Input'!$B$26,E440,E440-MIN(MAX(E440,0),'P-Parametri'!$B$8*(E440+D440)))</f>
        <v>128557.80393573467</v>
      </c>
      <c r="H440" s="18">
        <f>IF($A440&gt;'1-Input'!$B$26,H439,H439-C440*(1-B440))</f>
        <v>32102.994621812013</v>
      </c>
      <c r="I440" s="11">
        <f>IF($A440&gt;'1-Input'!$B$26,0,IF(N439&lt;=0,0,MAX(0,(N439-O439)/N439)))</f>
        <v>0</v>
      </c>
      <c r="J440" s="18">
        <f>IF($A440&gt;'1-Input'!$B$26,0,(MAX(0,I396-IF($A440&gt;=('1-Input'!$C$12-1),'1-Input'!$B$12,0))-MIN(MAX(M439,0),MAX(0,I396-IF($A440&gt;=('1-Input'!$C$12-1),'1-Input'!$B$12,0))))*(1/(1-'P-Parametri'!$B$6*I440))+MIN(MAX(0,N439-(MAX(0,I396-IF($A440&gt;=('1-Input'!$C$12-1),'1-Input'!$B$12,0))-MIN(MAX(M439,0),MAX(0,I396-IF($A440&gt;=('1-Input'!$C$12-1),'1-Input'!$B$12,0))))*(1/(1-'P-Parametri'!$B$6*I440))),MAX(0,2*I396-(M439-MIN(MAX(M439,0),MAX(0,I396-IF($A440&gt;=('1-Input'!$C$12-1),'1-Input'!$B$12,0)))))*(1/(1-'P-Parametri'!$B$6*I440))))</f>
        <v>10846.756992928691</v>
      </c>
      <c r="K440" s="18">
        <f>IF($A440&gt;'1-Input'!$B$26,M439,(M439-MAX(0,I396-IF($A440&gt;=('1-Input'!$C$12-1),'1-Input'!$B$12,0))+J440*(1-'P-Parametri'!$B$6*I440))*(1+'1-Input'!$B$27))</f>
        <v>0</v>
      </c>
      <c r="L440" s="18">
        <f>IF($A440&gt;'1-Input'!$B$26,N439,(N439-J440)*(1+'5-Roberta'!$C$4))</f>
        <v>-245677.08037192712</v>
      </c>
      <c r="M440" s="18">
        <f>IF($A440&gt;'1-Input'!$B$26,K440,K440-'P-Parametri'!$B$8*(L440+K440)+MIN(MAX(L440,0),'P-Parametri'!$B$8*(L440+K440)))</f>
        <v>0</v>
      </c>
      <c r="N440" s="18">
        <f>IF($A440&gt;'1-Input'!$B$26,L440,L440-MIN(MAX(L440,0),'P-Parametri'!$B$8*(L440+K440)))</f>
        <v>-245185.72621118327</v>
      </c>
      <c r="O440" s="18">
        <f>IF($A440&gt;'1-Input'!$B$26,O439,O439-J440*(1-I440))</f>
        <v>-188492.67023927267</v>
      </c>
      <c r="P440" s="11">
        <f>IF($A440&gt;'1-Input'!$B$26,0,IF(U439&lt;=0,0,MAX(0,(U439-V439)/U439)))</f>
        <v>0</v>
      </c>
      <c r="Q440" s="18">
        <f>IF($A440&gt;'1-Input'!$B$26,0,(MAX(0,P396-IF($A440&gt;=('1-Input'!$C$12-1),'1-Input'!$B$12,0))-MIN(MAX(T439,0),MAX(0,P396-IF($A440&gt;=('1-Input'!$C$12-1),'1-Input'!$B$12,0))))*(1/(1-'P-Parametri'!$B$6*P440))+MIN(MAX(0,U439-(MAX(0,P396-IF($A440&gt;=('1-Input'!$C$12-1),'1-Input'!$B$12,0))-MIN(MAX(T439,0),MAX(0,P396-IF($A440&gt;=('1-Input'!$C$12-1),'1-Input'!$B$12,0))))*(1/(1-'P-Parametri'!$B$6*P440))),MAX(0,2*P396-(T439-MIN(MAX(T439,0),MAX(0,P396-IF($A440&gt;=('1-Input'!$C$12-1),'1-Input'!$B$12,0)))))*(1/(1-'P-Parametri'!$B$6*P440))))</f>
        <v>0</v>
      </c>
      <c r="R440" s="18">
        <f>IF($A440&gt;'1-Input'!$B$26,T439,(T439-MAX(0,P396-IF($A440&gt;=('1-Input'!$C$12-1),'1-Input'!$B$12,0))+Q440*(1-'P-Parametri'!$B$6*P440))*(1+'1-Input'!$B$27))</f>
        <v>3337.0440699773067</v>
      </c>
      <c r="S440" s="18">
        <f>IF($A440&gt;'1-Input'!$B$26,U439,(U439-Q440)*(1+'5-Roberta'!$C$4))</f>
        <v>0</v>
      </c>
      <c r="T440" s="18">
        <f>IF($A440&gt;'1-Input'!$B$26,R440,R440-'P-Parametri'!$B$8*(S440+R440)+MIN(MAX(S440,0),'P-Parametri'!$B$8*(S440+R440)))</f>
        <v>3330.369981837352</v>
      </c>
      <c r="U440" s="18">
        <f>IF($A440&gt;'1-Input'!$B$26,S440,S440-MIN(MAX(S440,0),'P-Parametri'!$B$8*(S440+R440)))</f>
        <v>0</v>
      </c>
      <c r="V440" s="18">
        <f>IF($A440&gt;'1-Input'!$B$26,V439,V439-Q440*(1-P440))</f>
        <v>2.2737367544323206E-13</v>
      </c>
      <c r="W440" s="11">
        <f>IF($A440&gt;'1-Input'!$B$26,0,IF(AB439&lt;=0,0,MAX(0,(AB439-AC439)/AB439)))</f>
        <v>0</v>
      </c>
      <c r="X440" s="18">
        <f>IF($A440&gt;'1-Input'!$B$26,0,(MAX(0,W396-IF($A440&gt;=('1-Input'!$C$12-1),'1-Input'!$B$12,0))-MIN(MAX(AA439,0),MAX(0,W396-IF($A440&gt;=('1-Input'!$C$12-1),'1-Input'!$B$12,0))))*(1/(1-'P-Parametri'!$B$6*W440))+MIN(MAX(0,AB439-(MAX(0,W396-IF($A440&gt;=('1-Input'!$C$12-1),'1-Input'!$B$12,0))-MIN(MAX(AA439,0),MAX(0,W396-IF($A440&gt;=('1-Input'!$C$12-1),'1-Input'!$B$12,0))))*(1/(1-'P-Parametri'!$B$6*W440))),MAX(0,2*W396-(AA439-MIN(MAX(AA439,0),MAX(0,W396-IF($A440&gt;=('1-Input'!$C$12-1),'1-Input'!$B$12,0)))))*(1/(1-'P-Parametri'!$B$6*W440))))</f>
        <v>0</v>
      </c>
      <c r="Y440" s="18">
        <f>IF($A440&gt;'1-Input'!$B$26,AA439,(AA439-MAX(0,W396-IF($A440&gt;=('1-Input'!$C$12-1),'1-Input'!$B$12,0))+X440*(1-'P-Parametri'!$B$6*W440))*(1+'1-Input'!$B$27))</f>
        <v>20307.164429410317</v>
      </c>
      <c r="Z440" s="18">
        <f>IF($A440&gt;'1-Input'!$B$26,AB439,(AB439-X440)*(1+'5-Roberta'!$C$4))</f>
        <v>0</v>
      </c>
      <c r="AA440" s="18">
        <f>IF($A440&gt;'1-Input'!$B$26,Y440,Y440-'P-Parametri'!$B$8*(Z440+Y440)+MIN(MAX(Z440,0),'P-Parametri'!$B$8*(Z440+Y440)))</f>
        <v>20266.550100551496</v>
      </c>
      <c r="AB440" s="18">
        <f>IF($A440&gt;'1-Input'!$B$26,Z440,Z440-MIN(MAX(Z440,0),'P-Parametri'!$B$8*(Z440+Y440)))</f>
        <v>0</v>
      </c>
      <c r="AC440" s="18">
        <f>IF($A440&gt;'1-Input'!$B$26,AC439,AC439-X440*(1-W440))</f>
        <v>-6.8212102632969618E-13</v>
      </c>
      <c r="AD440" s="11">
        <f>IF($A440&gt;'1-Input'!$B$26,0,IF(AI439&lt;=0,0,MAX(0,(AI439-AJ439)/AI439)))</f>
        <v>0</v>
      </c>
      <c r="AE440" s="18">
        <f>IF($A440&gt;'1-Input'!$B$26,0,(MAX(0,AD396-IF($A440&gt;=('1-Input'!$C$12-1),'1-Input'!$B$12,0))-MIN(MAX(AH439,0),MAX(0,AD396-IF($A440&gt;=('1-Input'!$C$12-1),'1-Input'!$B$12,0))))*(1/(1-'P-Parametri'!$B$6*AD440))+MIN(MAX(0,AI439-(MAX(0,AD396-IF($A440&gt;=('1-Input'!$C$12-1),'1-Input'!$B$12,0))-MIN(MAX(AH439,0),MAX(0,AD396-IF($A440&gt;=('1-Input'!$C$12-1),'1-Input'!$B$12,0))))*(1/(1-'P-Parametri'!$B$6*AD440))),MAX(0,2*AD396-(AH439-MIN(MAX(AH439,0),MAX(0,AD396-IF($A440&gt;=('1-Input'!$C$12-1),'1-Input'!$B$12,0)))))*(1/(1-'P-Parametri'!$B$6*AD440))))</f>
        <v>0</v>
      </c>
      <c r="AF440" s="18">
        <f>IF($A440&gt;'1-Input'!$B$26,AH439,(AH439-MAX(0,AD396-IF($A440&gt;=('1-Input'!$C$12-1),'1-Input'!$B$12,0))+AE440*(1-'P-Parametri'!$B$6*AD440))*(1+'1-Input'!$B$27))</f>
        <v>21375.197832586986</v>
      </c>
      <c r="AG440" s="18">
        <f>IF($A440&gt;'1-Input'!$B$26,AI439,(AI439-AE440)*(1+'5-Roberta'!$C$4))</f>
        <v>0</v>
      </c>
      <c r="AH440" s="18">
        <f>IF($A440&gt;'1-Input'!$B$26,AF440,AF440-'P-Parametri'!$B$8*(AG440+AF440)+MIN(MAX(AG440,0),'P-Parametri'!$B$8*(AG440+AF440)))</f>
        <v>21332.447436921811</v>
      </c>
      <c r="AI440" s="18">
        <f>IF($A440&gt;'1-Input'!$B$26,AG440,AG440-MIN(MAX(AG440,0),'P-Parametri'!$B$8*(AG440+AF440)))</f>
        <v>0</v>
      </c>
      <c r="AJ440" s="18">
        <f>IF($A440&gt;'1-Input'!$B$26,AJ439,AJ439-AE440*(1-AD440))</f>
        <v>0</v>
      </c>
      <c r="AK440" s="11">
        <f>IF($A440&gt;'1-Input'!$B$26,0,IF(AP439&lt;=0,0,MAX(0,(AP439-AQ439)/AP439)))</f>
        <v>0</v>
      </c>
      <c r="AL440" s="18">
        <f>IF($A440&gt;'1-Input'!$B$26,0,(MAX(0,AK396-IF($A440&gt;=('1-Input'!$C$12-1),'1-Input'!$B$12,0))-MIN(MAX(AO439,0),MAX(0,AK396-IF($A440&gt;=('1-Input'!$C$12-1),'1-Input'!$B$12,0))))*(1/(1-'P-Parametri'!$B$6*AK440))+MIN(MAX(0,AP439-(MAX(0,AK396-IF($A440&gt;=('1-Input'!$C$12-1),'1-Input'!$B$12,0))-MIN(MAX(AO439,0),MAX(0,AK396-IF($A440&gt;=('1-Input'!$C$12-1),'1-Input'!$B$12,0))))*(1/(1-'P-Parametri'!$B$6*AK440))),MAX(0,2*AK396-(AO439-MIN(MAX(AO439,0),MAX(0,AK396-IF($A440&gt;=('1-Input'!$C$12-1),'1-Input'!$B$12,0)))))*(1/(1-'P-Parametri'!$B$6*AK440))))</f>
        <v>0</v>
      </c>
      <c r="AM440" s="18">
        <f>IF($A440&gt;'1-Input'!$B$26,AO439,(AO439-MAX(0,AK396-IF($A440&gt;=('1-Input'!$C$12-1),'1-Input'!$B$12,0))+AL440*(1-'P-Parametri'!$B$6*AK440))*(1+'1-Input'!$B$27))</f>
        <v>21381.273194161902</v>
      </c>
      <c r="AN440" s="18">
        <f>IF($A440&gt;'1-Input'!$B$26,AP439,(AP439-AL440)*(1+'5-Roberta'!$C$4))</f>
        <v>0</v>
      </c>
      <c r="AO440" s="18">
        <f>IF($A440&gt;'1-Input'!$B$26,AM440,AM440-'P-Parametri'!$B$8*(AN440+AM440)+MIN(MAX(AN440,0),'P-Parametri'!$B$8*(AN440+AM440)))</f>
        <v>21338.510647773579</v>
      </c>
      <c r="AP440" s="18">
        <f>IF($A440&gt;'1-Input'!$B$26,AN440,AN440-MIN(MAX(AN440,0),'P-Parametri'!$B$8*(AN440+AM440)))</f>
        <v>0</v>
      </c>
      <c r="AQ440" s="18">
        <f>IF($A440&gt;'1-Input'!$B$26,AQ439,AQ439-AL440*(1-AK440))</f>
        <v>0</v>
      </c>
    </row>
    <row r="441" spans="1:43">
      <c r="A441" s="10">
        <f>43</f>
        <v>43</v>
      </c>
      <c r="B441" s="11">
        <f>IF($A441&gt;'1-Input'!$B$26,0,IF(G440&lt;=0,0,MAX(0,(G440-H440)/G440)))</f>
        <v>0.75028357953391822</v>
      </c>
      <c r="C441" s="18">
        <f>IF($A441&gt;'1-Input'!$B$26,0,(MAX(0,B396-IF($A441&gt;=('1-Input'!$C$12-1),'1-Input'!$B$12,0))-MIN(MAX(F440,0),MAX(0,B396-IF($A441&gt;=('1-Input'!$C$12-1),'1-Input'!$B$12,0))))*(1/(1-'P-Parametri'!$B$6*B441))+MIN(MAX(0,G440-(MAX(0,B396-IF($A441&gt;=('1-Input'!$C$12-1),'1-Input'!$B$12,0))-MIN(MAX(F440,0),MAX(0,B396-IF($A441&gt;=('1-Input'!$C$12-1),'1-Input'!$B$12,0))))*(1/(1-'P-Parametri'!$B$6*B441))),MAX(0,2*B396-(F440-MIN(MAX(F440,0),MAX(0,B396-IF($A441&gt;=('1-Input'!$C$12-1),'1-Input'!$B$12,0)))))*(1/(1-'P-Parametri'!$B$6*B441))))</f>
        <v>7080.3490084841942</v>
      </c>
      <c r="D441" s="18">
        <f>IF($A441&gt;'1-Input'!$B$26,F440,(F440-MAX(0,B396-IF($A441&gt;=('1-Input'!$C$12-1),'1-Input'!$B$12,0))+C441*(1-'P-Parametri'!$B$6*B441))*(1+'1-Input'!$B$27))</f>
        <v>33242.0070309863</v>
      </c>
      <c r="E441" s="18">
        <f>IF($A441&gt;'1-Input'!$B$26,G440,(G440-C441)*(1+'5-Roberta'!$C$4))</f>
        <v>125121.77857506801</v>
      </c>
      <c r="F441" s="18">
        <f>IF($A441&gt;'1-Input'!$B$26,D441,D441-'P-Parametri'!$B$8*(E441+D441)+MIN(MAX(E441,0),'P-Parametri'!$B$8*(E441+D441)))</f>
        <v>33242.0070309863</v>
      </c>
      <c r="G441" s="18">
        <f>IF($A441&gt;'1-Input'!$B$26,E441,E441-MIN(MAX(E441,0),'P-Parametri'!$B$8*(E441+D441)))</f>
        <v>124805.0510038559</v>
      </c>
      <c r="H441" s="18">
        <f>IF($A441&gt;'1-Input'!$B$26,H440,H440-C441*(1-B441))</f>
        <v>30334.915211762767</v>
      </c>
      <c r="I441" s="11">
        <f>IF($A441&gt;'1-Input'!$B$26,0,IF(N440&lt;=0,0,MAX(0,(N440-O440)/N440)))</f>
        <v>0</v>
      </c>
      <c r="J441" s="18">
        <f>IF($A441&gt;'1-Input'!$B$26,0,(MAX(0,I396-IF($A441&gt;=('1-Input'!$C$12-1),'1-Input'!$B$12,0))-MIN(MAX(M440,0),MAX(0,I396-IF($A441&gt;=('1-Input'!$C$12-1),'1-Input'!$B$12,0))))*(1/(1-'P-Parametri'!$B$6*I441))+MIN(MAX(0,N440-(MAX(0,I396-IF($A441&gt;=('1-Input'!$C$12-1),'1-Input'!$B$12,0))-MIN(MAX(M440,0),MAX(0,I396-IF($A441&gt;=('1-Input'!$C$12-1),'1-Input'!$B$12,0))))*(1/(1-'P-Parametri'!$B$6*I441))),MAX(0,2*I396-(M440-MIN(MAX(M440,0),MAX(0,I396-IF($A441&gt;=('1-Input'!$C$12-1),'1-Input'!$B$12,0)))))*(1/(1-'P-Parametri'!$B$6*I441))))</f>
        <v>10846.756992928691</v>
      </c>
      <c r="K441" s="18">
        <f>IF($A441&gt;'1-Input'!$B$26,M440,(M440-MAX(0,I396-IF($A441&gt;=('1-Input'!$C$12-1),'1-Input'!$B$12,0))+J441*(1-'P-Parametri'!$B$6*I441))*(1+'1-Input'!$B$27))</f>
        <v>0</v>
      </c>
      <c r="L441" s="18">
        <f>IF($A441&gt;'1-Input'!$B$26,N440,(N440-J441)*(1+'5-Roberta'!$C$4))</f>
        <v>-263713.4577002353</v>
      </c>
      <c r="M441" s="18">
        <f>IF($A441&gt;'1-Input'!$B$26,K441,K441-'P-Parametri'!$B$8*(L441+K441)+MIN(MAX(L441,0),'P-Parametri'!$B$8*(L441+K441)))</f>
        <v>0</v>
      </c>
      <c r="N441" s="18">
        <f>IF($A441&gt;'1-Input'!$B$26,L441,L441-MIN(MAX(L441,0),'P-Parametri'!$B$8*(L441+K441)))</f>
        <v>-263186.03078483482</v>
      </c>
      <c r="O441" s="18">
        <f>IF($A441&gt;'1-Input'!$B$26,O440,O440-J441*(1-I441))</f>
        <v>-199339.42723220136</v>
      </c>
      <c r="P441" s="11">
        <f>IF($A441&gt;'1-Input'!$B$26,0,IF(U440&lt;=0,0,MAX(0,(U440-V440)/U440)))</f>
        <v>0</v>
      </c>
      <c r="Q441" s="18">
        <f>IF($A441&gt;'1-Input'!$B$26,0,(MAX(0,P396-IF($A441&gt;=('1-Input'!$C$12-1),'1-Input'!$B$12,0))-MIN(MAX(T440,0),MAX(0,P396-IF($A441&gt;=('1-Input'!$C$12-1),'1-Input'!$B$12,0))))*(1/(1-'P-Parametri'!$B$6*P441))+MIN(MAX(0,U440-(MAX(0,P396-IF($A441&gt;=('1-Input'!$C$12-1),'1-Input'!$B$12,0))-MIN(MAX(T440,0),MAX(0,P396-IF($A441&gt;=('1-Input'!$C$12-1),'1-Input'!$B$12,0))))*(1/(1-'P-Parametri'!$B$6*P441))),MAX(0,2*P396-(T440-MIN(MAX(T440,0),MAX(0,P396-IF($A441&gt;=('1-Input'!$C$12-1),'1-Input'!$B$12,0)))))*(1/(1-'P-Parametri'!$B$6*P441))))</f>
        <v>4003.2010201064054</v>
      </c>
      <c r="R441" s="18">
        <f>IF($A441&gt;'1-Input'!$B$26,T440,(T440-MAX(0,P396-IF($A441&gt;=('1-Input'!$C$12-1),'1-Input'!$B$12,0))+Q441*(1-'P-Parametri'!$B$6*P441))*(1+'1-Input'!$B$27))</f>
        <v>0</v>
      </c>
      <c r="S441" s="18">
        <f>IF($A441&gt;'1-Input'!$B$26,U440,(U440-Q441)*(1+'5-Roberta'!$C$4))</f>
        <v>-4123.2970507095979</v>
      </c>
      <c r="T441" s="18">
        <f>IF($A441&gt;'1-Input'!$B$26,R441,R441-'P-Parametri'!$B$8*(S441+R441)+MIN(MAX(S441,0),'P-Parametri'!$B$8*(S441+R441)))</f>
        <v>0</v>
      </c>
      <c r="U441" s="18">
        <f>IF($A441&gt;'1-Input'!$B$26,S441,S441-MIN(MAX(S441,0),'P-Parametri'!$B$8*(S441+R441)))</f>
        <v>-4115.050456608179</v>
      </c>
      <c r="V441" s="18">
        <f>IF($A441&gt;'1-Input'!$B$26,V440,V440-Q441*(1-P441))</f>
        <v>-4003.2010201064049</v>
      </c>
      <c r="W441" s="11">
        <f>IF($A441&gt;'1-Input'!$B$26,0,IF(AB440&lt;=0,0,MAX(0,(AB440-AC440)/AB440)))</f>
        <v>0</v>
      </c>
      <c r="X441" s="18">
        <f>IF($A441&gt;'1-Input'!$B$26,0,(MAX(0,W396-IF($A441&gt;=('1-Input'!$C$12-1),'1-Input'!$B$12,0))-MIN(MAX(AA440,0),MAX(0,W396-IF($A441&gt;=('1-Input'!$C$12-1),'1-Input'!$B$12,0))))*(1/(1-'P-Parametri'!$B$6*W441))+MIN(MAX(0,AB440-(MAX(0,W396-IF($A441&gt;=('1-Input'!$C$12-1),'1-Input'!$B$12,0))-MIN(MAX(AA440,0),MAX(0,W396-IF($A441&gt;=('1-Input'!$C$12-1),'1-Input'!$B$12,0))))*(1/(1-'P-Parametri'!$B$6*W441))),MAX(0,2*W396-(AA440-MIN(MAX(AA440,0),MAX(0,W396-IF($A441&gt;=('1-Input'!$C$12-1),'1-Input'!$B$12,0)))))*(1/(1-'P-Parametri'!$B$6*W441))))</f>
        <v>0</v>
      </c>
      <c r="Y441" s="18">
        <f>IF($A441&gt;'1-Input'!$B$26,AA440,(AA440-MAX(0,W396-IF($A441&gt;=('1-Input'!$C$12-1),'1-Input'!$B$12,0))+X441*(1-'P-Parametri'!$B$6*W441))*(1+'1-Input'!$B$27))</f>
        <v>13130.967622716335</v>
      </c>
      <c r="Z441" s="18">
        <f>IF($A441&gt;'1-Input'!$B$26,AB440,(AB440-X441)*(1+'5-Roberta'!$C$4))</f>
        <v>0</v>
      </c>
      <c r="AA441" s="18">
        <f>IF($A441&gt;'1-Input'!$B$26,Y441,Y441-'P-Parametri'!$B$8*(Z441+Y441)+MIN(MAX(Z441,0),'P-Parametri'!$B$8*(Z441+Y441)))</f>
        <v>13104.705687470901</v>
      </c>
      <c r="AB441" s="18">
        <f>IF($A441&gt;'1-Input'!$B$26,Z441,Z441-MIN(MAX(Z441,0),'P-Parametri'!$B$8*(Z441+Y441)))</f>
        <v>0</v>
      </c>
      <c r="AC441" s="18">
        <f>IF($A441&gt;'1-Input'!$B$26,AC440,AC440-X441*(1-W441))</f>
        <v>-6.8212102632969618E-13</v>
      </c>
      <c r="AD441" s="11">
        <f>IF($A441&gt;'1-Input'!$B$26,0,IF(AI440&lt;=0,0,MAX(0,(AI440-AJ440)/AI440)))</f>
        <v>0</v>
      </c>
      <c r="AE441" s="18">
        <f>IF($A441&gt;'1-Input'!$B$26,0,(MAX(0,AD396-IF($A441&gt;=('1-Input'!$C$12-1),'1-Input'!$B$12,0))-MIN(MAX(AH440,0),MAX(0,AD396-IF($A441&gt;=('1-Input'!$C$12-1),'1-Input'!$B$12,0))))*(1/(1-'P-Parametri'!$B$6*AD441))+MIN(MAX(0,AI440-(MAX(0,AD396-IF($A441&gt;=('1-Input'!$C$12-1),'1-Input'!$B$12,0))-MIN(MAX(AH440,0),MAX(0,AD396-IF($A441&gt;=('1-Input'!$C$12-1),'1-Input'!$B$12,0))))*(1/(1-'P-Parametri'!$B$6*AD441))),MAX(0,2*AD396-(AH440-MIN(MAX(AH440,0),MAX(0,AD396-IF($A441&gt;=('1-Input'!$C$12-1),'1-Input'!$B$12,0)))))*(1/(1-'P-Parametri'!$B$6*AD441))))</f>
        <v>0</v>
      </c>
      <c r="AF441" s="18">
        <f>IF($A441&gt;'1-Input'!$B$26,AH440,(AH440-MAX(0,AD396-IF($A441&gt;=('1-Input'!$C$12-1),'1-Input'!$B$12,0))+AE441*(1-'P-Parametri'!$B$6*AD441))*(1+'1-Input'!$B$27))</f>
        <v>14208.045892255017</v>
      </c>
      <c r="AG441" s="18">
        <f>IF($A441&gt;'1-Input'!$B$26,AI440,(AI440-AE441)*(1+'5-Roberta'!$C$4))</f>
        <v>0</v>
      </c>
      <c r="AH441" s="18">
        <f>IF($A441&gt;'1-Input'!$B$26,AF441,AF441-'P-Parametri'!$B$8*(AG441+AF441)+MIN(MAX(AG441,0),'P-Parametri'!$B$8*(AG441+AF441)))</f>
        <v>14179.629800470508</v>
      </c>
      <c r="AI441" s="18">
        <f>IF($A441&gt;'1-Input'!$B$26,AG441,AG441-MIN(MAX(AG441,0),'P-Parametri'!$B$8*(AG441+AF441)))</f>
        <v>0</v>
      </c>
      <c r="AJ441" s="18">
        <f>IF($A441&gt;'1-Input'!$B$26,AJ440,AJ440-AE441*(1-AD441))</f>
        <v>0</v>
      </c>
      <c r="AK441" s="11">
        <f>IF($A441&gt;'1-Input'!$B$26,0,IF(AP440&lt;=0,0,MAX(0,(AP440-AQ440)/AP440)))</f>
        <v>0</v>
      </c>
      <c r="AL441" s="18">
        <f>IF($A441&gt;'1-Input'!$B$26,0,(MAX(0,AK396-IF($A441&gt;=('1-Input'!$C$12-1),'1-Input'!$B$12,0))-MIN(MAX(AO440,0),MAX(0,AK396-IF($A441&gt;=('1-Input'!$C$12-1),'1-Input'!$B$12,0))))*(1/(1-'P-Parametri'!$B$6*AK441))+MIN(MAX(0,AP440-(MAX(0,AK396-IF($A441&gt;=('1-Input'!$C$12-1),'1-Input'!$B$12,0))-MIN(MAX(AO440,0),MAX(0,AK396-IF($A441&gt;=('1-Input'!$C$12-1),'1-Input'!$B$12,0))))*(1/(1-'P-Parametri'!$B$6*AK441))),MAX(0,2*AK396-(AO440-MIN(MAX(AO440,0),MAX(0,AK396-IF($A441&gt;=('1-Input'!$C$12-1),'1-Input'!$B$12,0)))))*(1/(1-'P-Parametri'!$B$6*AK441))))</f>
        <v>0</v>
      </c>
      <c r="AM441" s="18">
        <f>IF($A441&gt;'1-Input'!$B$26,AO440,(AO440-MAX(0,AK396-IF($A441&gt;=('1-Input'!$C$12-1),'1-Input'!$B$12,0))+AL441*(1-'P-Parametri'!$B$6*AK441))*(1+'1-Input'!$B$27))</f>
        <v>14214.172704027042</v>
      </c>
      <c r="AN441" s="18">
        <f>IF($A441&gt;'1-Input'!$B$26,AP440,(AP440-AL441)*(1+'5-Roberta'!$C$4))</f>
        <v>0</v>
      </c>
      <c r="AO441" s="18">
        <f>IF($A441&gt;'1-Input'!$B$26,AM441,AM441-'P-Parametri'!$B$8*(AN441+AM441)+MIN(MAX(AN441,0),'P-Parametri'!$B$8*(AN441+AM441)))</f>
        <v>14185.744358618987</v>
      </c>
      <c r="AP441" s="18">
        <f>IF($A441&gt;'1-Input'!$B$26,AN441,AN441-MIN(MAX(AN441,0),'P-Parametri'!$B$8*(AN441+AM441)))</f>
        <v>0</v>
      </c>
      <c r="AQ441" s="18">
        <f>IF($A441&gt;'1-Input'!$B$26,AQ440,AQ440-AL441*(1-AK441))</f>
        <v>0</v>
      </c>
    </row>
    <row r="442" spans="1:43">
      <c r="A442" s="10">
        <f>44</f>
        <v>44</v>
      </c>
      <c r="B442" s="11">
        <f>IF($A442&gt;'1-Input'!$B$26,0,IF(G441&lt;=0,0,MAX(0,(G441-H441)/G441)))</f>
        <v>0.75694160638718411</v>
      </c>
      <c r="C442" s="18">
        <f>IF($A442&gt;'1-Input'!$B$26,0,(MAX(0,B396-IF($A442&gt;=('1-Input'!$C$12-1),'1-Input'!$B$12,0))-MIN(MAX(F441,0),MAX(0,B396-IF($A442&gt;=('1-Input'!$C$12-1),'1-Input'!$B$12,0))))*(1/(1-'P-Parametri'!$B$6*B442))+MIN(MAX(0,G441-(MAX(0,B396-IF($A442&gt;=('1-Input'!$C$12-1),'1-Input'!$B$12,0))-MIN(MAX(F441,0),MAX(0,B396-IF($A442&gt;=('1-Input'!$C$12-1),'1-Input'!$B$12,0))))*(1/(1-'P-Parametri'!$B$6*B442))),MAX(0,2*B396-(F441-MIN(MAX(F441,0),MAX(0,B396-IF($A442&gt;=('1-Input'!$C$12-1),'1-Input'!$B$12,0)))))*(1/(1-'P-Parametri'!$B$6*B442))))</f>
        <v>7095.6089356663224</v>
      </c>
      <c r="D442" s="18">
        <f>IF($A442&gt;'1-Input'!$B$26,F441,(F441-MAX(0,B396-IF($A442&gt;=('1-Input'!$C$12-1),'1-Input'!$B$12,0))+C442*(1-'P-Parametri'!$B$6*B442))*(1+'1-Input'!$B$27))</f>
        <v>33242.0070309863</v>
      </c>
      <c r="E442" s="18">
        <f>IF($A442&gt;'1-Input'!$B$26,G441,(G441-C442)*(1+'5-Roberta'!$C$4))</f>
        <v>121240.72533023526</v>
      </c>
      <c r="F442" s="18">
        <f>IF($A442&gt;'1-Input'!$B$26,D442,D442-'P-Parametri'!$B$8*(E442+D442)+MIN(MAX(E442,0),'P-Parametri'!$B$8*(E442+D442)))</f>
        <v>33242.0070309863</v>
      </c>
      <c r="G442" s="18">
        <f>IF($A442&gt;'1-Input'!$B$26,E442,E442-MIN(MAX(E442,0),'P-Parametri'!$B$8*(E442+D442)))</f>
        <v>120931.75986551282</v>
      </c>
      <c r="H442" s="18">
        <f>IF($A442&gt;'1-Input'!$B$26,H441,H441-C442*(1-B442))</f>
        <v>28610.26790215497</v>
      </c>
      <c r="I442" s="11">
        <f>IF($A442&gt;'1-Input'!$B$26,0,IF(N441&lt;=0,0,MAX(0,(N441-O441)/N441)))</f>
        <v>0</v>
      </c>
      <c r="J442" s="18">
        <f>IF($A442&gt;'1-Input'!$B$26,0,(MAX(0,I396-IF($A442&gt;=('1-Input'!$C$12-1),'1-Input'!$B$12,0))-MIN(MAX(M441,0),MAX(0,I396-IF($A442&gt;=('1-Input'!$C$12-1),'1-Input'!$B$12,0))))*(1/(1-'P-Parametri'!$B$6*I442))+MIN(MAX(0,N441-(MAX(0,I396-IF($A442&gt;=('1-Input'!$C$12-1),'1-Input'!$B$12,0))-MIN(MAX(M441,0),MAX(0,I396-IF($A442&gt;=('1-Input'!$C$12-1),'1-Input'!$B$12,0))))*(1/(1-'P-Parametri'!$B$6*I442))),MAX(0,2*I396-(M441-MIN(MAX(M441,0),MAX(0,I396-IF($A442&gt;=('1-Input'!$C$12-1),'1-Input'!$B$12,0)))))*(1/(1-'P-Parametri'!$B$6*I442))))</f>
        <v>10846.756992928691</v>
      </c>
      <c r="K442" s="18">
        <f>IF($A442&gt;'1-Input'!$B$26,M441,(M441-MAX(0,I396-IF($A442&gt;=('1-Input'!$C$12-1),'1-Input'!$B$12,0))+J442*(1-'P-Parametri'!$B$6*I442))*(1+'1-Input'!$B$27))</f>
        <v>0</v>
      </c>
      <c r="L442" s="18">
        <f>IF($A442&gt;'1-Input'!$B$26,N441,(N441-J442)*(1+'5-Roberta'!$C$4))</f>
        <v>-282253.77141109639</v>
      </c>
      <c r="M442" s="18">
        <f>IF($A442&gt;'1-Input'!$B$26,K442,K442-'P-Parametri'!$B$8*(L442+K442)+MIN(MAX(L442,0),'P-Parametri'!$B$8*(L442+K442)))</f>
        <v>0</v>
      </c>
      <c r="N442" s="18">
        <f>IF($A442&gt;'1-Input'!$B$26,L442,L442-MIN(MAX(L442,0),'P-Parametri'!$B$8*(L442+K442)))</f>
        <v>-281689.26386827417</v>
      </c>
      <c r="O442" s="18">
        <f>IF($A442&gt;'1-Input'!$B$26,O441,O441-J442*(1-I442))</f>
        <v>-210186.18422513004</v>
      </c>
      <c r="P442" s="11">
        <f>IF($A442&gt;'1-Input'!$B$26,0,IF(U441&lt;=0,0,MAX(0,(U441-V441)/U441)))</f>
        <v>0</v>
      </c>
      <c r="Q442" s="18">
        <f>IF($A442&gt;'1-Input'!$B$26,0,(MAX(0,P396-IF($A442&gt;=('1-Input'!$C$12-1),'1-Input'!$B$12,0))-MIN(MAX(T441,0),MAX(0,P396-IF($A442&gt;=('1-Input'!$C$12-1),'1-Input'!$B$12,0))))*(1/(1-'P-Parametri'!$B$6*P442))+MIN(MAX(0,U441-(MAX(0,P396-IF($A442&gt;=('1-Input'!$C$12-1),'1-Input'!$B$12,0))-MIN(MAX(T441,0),MAX(0,P396-IF($A442&gt;=('1-Input'!$C$12-1),'1-Input'!$B$12,0))))*(1/(1-'P-Parametri'!$B$6*P442))),MAX(0,2*P396-(T441-MIN(MAX(T441,0),MAX(0,P396-IF($A442&gt;=('1-Input'!$C$12-1),'1-Input'!$B$12,0)))))*(1/(1-'P-Parametri'!$B$6*P442))))</f>
        <v>7333.5710019437574</v>
      </c>
      <c r="R442" s="18">
        <f>IF($A442&gt;'1-Input'!$B$26,T441,(T441-MAX(0,P396-IF($A442&gt;=('1-Input'!$C$12-1),'1-Input'!$B$12,0))+Q442*(1-'P-Parametri'!$B$6*P442))*(1+'1-Input'!$B$27))</f>
        <v>0</v>
      </c>
      <c r="S442" s="18">
        <f>IF($A442&gt;'1-Input'!$B$26,U441,(U441-Q442)*(1+'5-Roberta'!$C$4))</f>
        <v>-11792.080102308495</v>
      </c>
      <c r="T442" s="18">
        <f>IF($A442&gt;'1-Input'!$B$26,R442,R442-'P-Parametri'!$B$8*(S442+R442)+MIN(MAX(S442,0),'P-Parametri'!$B$8*(S442+R442)))</f>
        <v>0</v>
      </c>
      <c r="U442" s="18">
        <f>IF($A442&gt;'1-Input'!$B$26,S442,S442-MIN(MAX(S442,0),'P-Parametri'!$B$8*(S442+R442)))</f>
        <v>-11768.495942103878</v>
      </c>
      <c r="V442" s="18">
        <f>IF($A442&gt;'1-Input'!$B$26,V441,V441-Q442*(1-P442))</f>
        <v>-11336.772022050161</v>
      </c>
      <c r="W442" s="11">
        <f>IF($A442&gt;'1-Input'!$B$26,0,IF(AB441&lt;=0,0,MAX(0,(AB441-AC441)/AB441)))</f>
        <v>0</v>
      </c>
      <c r="X442" s="18">
        <f>IF($A442&gt;'1-Input'!$B$26,0,(MAX(0,W396-IF($A442&gt;=('1-Input'!$C$12-1),'1-Input'!$B$12,0))-MIN(MAX(AA441,0),MAX(0,W396-IF($A442&gt;=('1-Input'!$C$12-1),'1-Input'!$B$12,0))))*(1/(1-'P-Parametri'!$B$6*W442))+MIN(MAX(0,AB441-(MAX(0,W396-IF($A442&gt;=('1-Input'!$C$12-1),'1-Input'!$B$12,0))-MIN(MAX(AA441,0),MAX(0,W396-IF($A442&gt;=('1-Input'!$C$12-1),'1-Input'!$B$12,0))))*(1/(1-'P-Parametri'!$B$6*W442))),MAX(0,2*W396-(AA441-MIN(MAX(AA441,0),MAX(0,W396-IF($A442&gt;=('1-Input'!$C$12-1),'1-Input'!$B$12,0)))))*(1/(1-'P-Parametri'!$B$6*W442))))</f>
        <v>0</v>
      </c>
      <c r="Y442" s="18">
        <f>IF($A442&gt;'1-Input'!$B$26,AA441,(AA441-MAX(0,W396-IF($A442&gt;=('1-Input'!$C$12-1),'1-Input'!$B$12,0))+X442*(1-'P-Parametri'!$B$6*W442))*(1+'1-Input'!$B$27))</f>
        <v>5994.905849522831</v>
      </c>
      <c r="Z442" s="18">
        <f>IF($A442&gt;'1-Input'!$B$26,AB441,(AB441-X442)*(1+'5-Roberta'!$C$4))</f>
        <v>0</v>
      </c>
      <c r="AA442" s="18">
        <f>IF($A442&gt;'1-Input'!$B$26,Y442,Y442-'P-Parametri'!$B$8*(Z442+Y442)+MIN(MAX(Z442,0),'P-Parametri'!$B$8*(Z442+Y442)))</f>
        <v>5982.9160378237857</v>
      </c>
      <c r="AB442" s="18">
        <f>IF($A442&gt;'1-Input'!$B$26,Z442,Z442-MIN(MAX(Z442,0),'P-Parametri'!$B$8*(Z442+Y442)))</f>
        <v>0</v>
      </c>
      <c r="AC442" s="18">
        <f>IF($A442&gt;'1-Input'!$B$26,AC441,AC441-X442*(1-W442))</f>
        <v>-6.8212102632969618E-13</v>
      </c>
      <c r="AD442" s="11">
        <f>IF($A442&gt;'1-Input'!$B$26,0,IF(AI441&lt;=0,0,MAX(0,(AI441-AJ441)/AI441)))</f>
        <v>0</v>
      </c>
      <c r="AE442" s="18">
        <f>IF($A442&gt;'1-Input'!$B$26,0,(MAX(0,AD396-IF($A442&gt;=('1-Input'!$C$12-1),'1-Input'!$B$12,0))-MIN(MAX(AH441,0),MAX(0,AD396-IF($A442&gt;=('1-Input'!$C$12-1),'1-Input'!$B$12,0))))*(1/(1-'P-Parametri'!$B$6*AD442))+MIN(MAX(0,AI441-(MAX(0,AD396-IF($A442&gt;=('1-Input'!$C$12-1),'1-Input'!$B$12,0))-MIN(MAX(AH441,0),MAX(0,AD396-IF($A442&gt;=('1-Input'!$C$12-1),'1-Input'!$B$12,0))))*(1/(1-'P-Parametri'!$B$6*AD442))),MAX(0,2*AD396-(AH441-MIN(MAX(AH441,0),MAX(0,AD396-IF($A442&gt;=('1-Input'!$C$12-1),'1-Input'!$B$12,0)))))*(1/(1-'P-Parametri'!$B$6*AD442))))</f>
        <v>0</v>
      </c>
      <c r="AF442" s="18">
        <f>IF($A442&gt;'1-Input'!$B$26,AH441,(AH441-MAX(0,AD396-IF($A442&gt;=('1-Input'!$C$12-1),'1-Input'!$B$12,0))+AE442*(1-'P-Parametri'!$B$6*AD442))*(1+'1-Input'!$B$27))</f>
        <v>7080.9783992949378</v>
      </c>
      <c r="AG442" s="18">
        <f>IF($A442&gt;'1-Input'!$B$26,AI441,(AI441-AE442)*(1+'5-Roberta'!$C$4))</f>
        <v>0</v>
      </c>
      <c r="AH442" s="18">
        <f>IF($A442&gt;'1-Input'!$B$26,AF442,AF442-'P-Parametri'!$B$8*(AG442+AF442)+MIN(MAX(AG442,0),'P-Parametri'!$B$8*(AG442+AF442)))</f>
        <v>7066.8164424963479</v>
      </c>
      <c r="AI442" s="18">
        <f>IF($A442&gt;'1-Input'!$B$26,AG442,AG442-MIN(MAX(AG442,0),'P-Parametri'!$B$8*(AG442+AF442)))</f>
        <v>0</v>
      </c>
      <c r="AJ442" s="18">
        <f>IF($A442&gt;'1-Input'!$B$26,AJ441,AJ441-AE442*(1-AD442))</f>
        <v>0</v>
      </c>
      <c r="AK442" s="11">
        <f>IF($A442&gt;'1-Input'!$B$26,0,IF(AP441&lt;=0,0,MAX(0,(AP441-AQ441)/AP441)))</f>
        <v>0</v>
      </c>
      <c r="AL442" s="18">
        <f>IF($A442&gt;'1-Input'!$B$26,0,(MAX(0,AK396-IF($A442&gt;=('1-Input'!$C$12-1),'1-Input'!$B$12,0))-MIN(MAX(AO441,0),MAX(0,AK396-IF($A442&gt;=('1-Input'!$C$12-1),'1-Input'!$B$12,0))))*(1/(1-'P-Parametri'!$B$6*AK442))+MIN(MAX(0,AP441-(MAX(0,AK396-IF($A442&gt;=('1-Input'!$C$12-1),'1-Input'!$B$12,0))-MIN(MAX(AO441,0),MAX(0,AK396-IF($A442&gt;=('1-Input'!$C$12-1),'1-Input'!$B$12,0))))*(1/(1-'P-Parametri'!$B$6*AK442))),MAX(0,2*AK396-(AO441-MIN(MAX(AO441,0),MAX(0,AK396-IF($A442&gt;=('1-Input'!$C$12-1),'1-Input'!$B$12,0)))))*(1/(1-'P-Parametri'!$B$6*AK442))))</f>
        <v>0</v>
      </c>
      <c r="AM442" s="18">
        <f>IF($A442&gt;'1-Input'!$B$26,AO441,(AO441-MAX(0,AK396-IF($A442&gt;=('1-Input'!$C$12-1),'1-Input'!$B$12,0))+AL442*(1-'P-Parametri'!$B$6*AK442))*(1+'1-Input'!$B$27))</f>
        <v>7087.1563735134059</v>
      </c>
      <c r="AN442" s="18">
        <f>IF($A442&gt;'1-Input'!$B$26,AP441,(AP441-AL442)*(1+'5-Roberta'!$C$4))</f>
        <v>0</v>
      </c>
      <c r="AO442" s="18">
        <f>IF($A442&gt;'1-Input'!$B$26,AM442,AM442-'P-Parametri'!$B$8*(AN442+AM442)+MIN(MAX(AN442,0),'P-Parametri'!$B$8*(AN442+AM442)))</f>
        <v>7072.9820607663787</v>
      </c>
      <c r="AP442" s="18">
        <f>IF($A442&gt;'1-Input'!$B$26,AN442,AN442-MIN(MAX(AN442,0),'P-Parametri'!$B$8*(AN442+AM442)))</f>
        <v>0</v>
      </c>
      <c r="AQ442" s="18">
        <f>IF($A442&gt;'1-Input'!$B$26,AQ441,AQ441-AL442*(1-AK442))</f>
        <v>0</v>
      </c>
    </row>
    <row r="443" spans="1:43">
      <c r="A443" s="10">
        <f>45</f>
        <v>45</v>
      </c>
      <c r="B443" s="11">
        <f>IF($A443&gt;'1-Input'!$B$26,0,IF(G442&lt;=0,0,MAX(0,(G442-H442)/G442)))</f>
        <v>0.76341808029609259</v>
      </c>
      <c r="C443" s="18">
        <f>IF($A443&gt;'1-Input'!$B$26,0,(MAX(0,B396-IF($A443&gt;=('1-Input'!$C$12-1),'1-Input'!$B$12,0))-MIN(MAX(F442,0),MAX(0,B396-IF($A443&gt;=('1-Input'!$C$12-1),'1-Input'!$B$12,0))))*(1/(1-'P-Parametri'!$B$6*B443))+MIN(MAX(0,G442-(MAX(0,B396-IF($A443&gt;=('1-Input'!$C$12-1),'1-Input'!$B$12,0))-MIN(MAX(F442,0),MAX(0,B396-IF($A443&gt;=('1-Input'!$C$12-1),'1-Input'!$B$12,0))))*(1/(1-'P-Parametri'!$B$6*B443))),MAX(0,2*B396-(F442-MIN(MAX(F442,0),MAX(0,B396-IF($A443&gt;=('1-Input'!$C$12-1),'1-Input'!$B$12,0)))))*(1/(1-'P-Parametri'!$B$6*B443))))</f>
        <v>7110.5159953788761</v>
      </c>
      <c r="D443" s="18">
        <f>IF($A443&gt;'1-Input'!$B$26,F442,(F442-MAX(0,B396-IF($A443&gt;=('1-Input'!$C$12-1),'1-Input'!$B$12,0))+C443*(1-'P-Parametri'!$B$6*B443))*(1+'1-Input'!$B$27))</f>
        <v>33242.0070309863</v>
      </c>
      <c r="E443" s="18">
        <f>IF($A443&gt;'1-Input'!$B$26,G442,(G442-C443)*(1+'5-Roberta'!$C$4))</f>
        <v>117235.88118623797</v>
      </c>
      <c r="F443" s="18">
        <f>IF($A443&gt;'1-Input'!$B$26,D443,D443-'P-Parametri'!$B$8*(E443+D443)+MIN(MAX(E443,0),'P-Parametri'!$B$8*(E443+D443)))</f>
        <v>33242.0070309863</v>
      </c>
      <c r="G443" s="18">
        <f>IF($A443&gt;'1-Input'!$B$26,E443,E443-MIN(MAX(E443,0),'P-Parametri'!$B$8*(E443+D443)))</f>
        <v>116934.92540980352</v>
      </c>
      <c r="H443" s="18">
        <f>IF($A443&gt;'1-Input'!$B$26,H442,H442-C443*(1-B443))</f>
        <v>26928.048377882897</v>
      </c>
      <c r="I443" s="11">
        <f>IF($A443&gt;'1-Input'!$B$26,0,IF(N442&lt;=0,0,MAX(0,(N442-O442)/N442)))</f>
        <v>0</v>
      </c>
      <c r="J443" s="18">
        <f>IF($A443&gt;'1-Input'!$B$26,0,(MAX(0,I396-IF($A443&gt;=('1-Input'!$C$12-1),'1-Input'!$B$12,0))-MIN(MAX(M442,0),MAX(0,I396-IF($A443&gt;=('1-Input'!$C$12-1),'1-Input'!$B$12,0))))*(1/(1-'P-Parametri'!$B$6*I443))+MIN(MAX(0,N442-(MAX(0,I396-IF($A443&gt;=('1-Input'!$C$12-1),'1-Input'!$B$12,0))-MIN(MAX(M442,0),MAX(0,I396-IF($A443&gt;=('1-Input'!$C$12-1),'1-Input'!$B$12,0))))*(1/(1-'P-Parametri'!$B$6*I443))),MAX(0,2*I396-(M442-MIN(MAX(M442,0),MAX(0,I396-IF($A443&gt;=('1-Input'!$C$12-1),'1-Input'!$B$12,0)))))*(1/(1-'P-Parametri'!$B$6*I443))))</f>
        <v>10846.756992928691</v>
      </c>
      <c r="K443" s="18">
        <f>IF($A443&gt;'1-Input'!$B$26,M442,(M442-MAX(0,I396-IF($A443&gt;=('1-Input'!$C$12-1),'1-Input'!$B$12,0))+J443*(1-'P-Parametri'!$B$6*I443))*(1+'1-Input'!$B$27))</f>
        <v>0</v>
      </c>
      <c r="L443" s="18">
        <f>IF($A443&gt;'1-Input'!$B$26,N442,(N442-J443)*(1+'5-Roberta'!$C$4))</f>
        <v>-301312.10148703895</v>
      </c>
      <c r="M443" s="18">
        <f>IF($A443&gt;'1-Input'!$B$26,K443,K443-'P-Parametri'!$B$8*(L443+K443)+MIN(MAX(L443,0),'P-Parametri'!$B$8*(L443+K443)))</f>
        <v>0</v>
      </c>
      <c r="N443" s="18">
        <f>IF($A443&gt;'1-Input'!$B$26,L443,L443-MIN(MAX(L443,0),'P-Parametri'!$B$8*(L443+K443)))</f>
        <v>-300709.47728406487</v>
      </c>
      <c r="O443" s="18">
        <f>IF($A443&gt;'1-Input'!$B$26,O442,O442-J443*(1-I443))</f>
        <v>-221032.94121805872</v>
      </c>
      <c r="P443" s="11">
        <f>IF($A443&gt;'1-Input'!$B$26,0,IF(U442&lt;=0,0,MAX(0,(U442-V442)/U442)))</f>
        <v>0</v>
      </c>
      <c r="Q443" s="18">
        <f>IF($A443&gt;'1-Input'!$B$26,0,(MAX(0,P396-IF($A443&gt;=('1-Input'!$C$12-1),'1-Input'!$B$12,0))-MIN(MAX(T442,0),MAX(0,P396-IF($A443&gt;=('1-Input'!$C$12-1),'1-Input'!$B$12,0))))*(1/(1-'P-Parametri'!$B$6*P443))+MIN(MAX(0,U442-(MAX(0,P396-IF($A443&gt;=('1-Input'!$C$12-1),'1-Input'!$B$12,0))-MIN(MAX(T442,0),MAX(0,P396-IF($A443&gt;=('1-Input'!$C$12-1),'1-Input'!$B$12,0))))*(1/(1-'P-Parametri'!$B$6*P443))),MAX(0,2*P396-(T442-MIN(MAX(T442,0),MAX(0,P396-IF($A443&gt;=('1-Input'!$C$12-1),'1-Input'!$B$12,0)))))*(1/(1-'P-Parametri'!$B$6*P443))))</f>
        <v>7333.5710019437574</v>
      </c>
      <c r="R443" s="18">
        <f>IF($A443&gt;'1-Input'!$B$26,T442,(T442-MAX(0,P396-IF($A443&gt;=('1-Input'!$C$12-1),'1-Input'!$B$12,0))+Q443*(1-'P-Parametri'!$B$6*P443))*(1+'1-Input'!$B$27))</f>
        <v>0</v>
      </c>
      <c r="S443" s="18">
        <f>IF($A443&gt;'1-Input'!$B$26,U442,(U442-Q443)*(1+'5-Roberta'!$C$4))</f>
        <v>-19675.128952369065</v>
      </c>
      <c r="T443" s="18">
        <f>IF($A443&gt;'1-Input'!$B$26,R443,R443-'P-Parametri'!$B$8*(S443+R443)+MIN(MAX(S443,0),'P-Parametri'!$B$8*(S443+R443)))</f>
        <v>0</v>
      </c>
      <c r="U443" s="18">
        <f>IF($A443&gt;'1-Input'!$B$26,S443,S443-MIN(MAX(S443,0),'P-Parametri'!$B$8*(S443+R443)))</f>
        <v>-19635.778694464327</v>
      </c>
      <c r="V443" s="18">
        <f>IF($A443&gt;'1-Input'!$B$26,V442,V442-Q443*(1-P443))</f>
        <v>-18670.343023993919</v>
      </c>
      <c r="W443" s="11">
        <f>IF($A443&gt;'1-Input'!$B$26,0,IF(AB442&lt;=0,0,MAX(0,(AB442-AC442)/AB442)))</f>
        <v>0</v>
      </c>
      <c r="X443" s="18">
        <f>IF($A443&gt;'1-Input'!$B$26,0,(MAX(0,W396-IF($A443&gt;=('1-Input'!$C$12-1),'1-Input'!$B$12,0))-MIN(MAX(AA442,0),MAX(0,W396-IF($A443&gt;=('1-Input'!$C$12-1),'1-Input'!$B$12,0))))*(1/(1-'P-Parametri'!$B$6*W443))+MIN(MAX(0,AB442-(MAX(0,W396-IF($A443&gt;=('1-Input'!$C$12-1),'1-Input'!$B$12,0))-MIN(MAX(AA442,0),MAX(0,W396-IF($A443&gt;=('1-Input'!$C$12-1),'1-Input'!$B$12,0))))*(1/(1-'P-Parametri'!$B$6*W443))),MAX(0,2*W396-(AA442-MIN(MAX(AA442,0),MAX(0,W396-IF($A443&gt;=('1-Input'!$C$12-1),'1-Input'!$B$12,0)))))*(1/(1-'P-Parametri'!$B$6*W443))))</f>
        <v>1105.2241643773132</v>
      </c>
      <c r="Y443" s="18">
        <f>IF($A443&gt;'1-Input'!$B$26,AA442,(AA442-MAX(0,W396-IF($A443&gt;=('1-Input'!$C$12-1),'1-Input'!$B$12,0))+X443*(1-'P-Parametri'!$B$6*W443))*(1+'1-Input'!$B$27))</f>
        <v>0</v>
      </c>
      <c r="Z443" s="18">
        <f>IF($A443&gt;'1-Input'!$B$26,AB442,(AB442-X443)*(1+'5-Roberta'!$C$4))</f>
        <v>-1138.3808893086325</v>
      </c>
      <c r="AA443" s="18">
        <f>IF($A443&gt;'1-Input'!$B$26,Y443,Y443-'P-Parametri'!$B$8*(Z443+Y443)+MIN(MAX(Z443,0),'P-Parametri'!$B$8*(Z443+Y443)))</f>
        <v>0</v>
      </c>
      <c r="AB443" s="18">
        <f>IF($A443&gt;'1-Input'!$B$26,Z443,Z443-MIN(MAX(Z443,0),'P-Parametri'!$B$8*(Z443+Y443)))</f>
        <v>-1136.1041275300151</v>
      </c>
      <c r="AC443" s="18">
        <f>IF($A443&gt;'1-Input'!$B$26,AC442,AC442-X443*(1-W443))</f>
        <v>-1105.2241643773139</v>
      </c>
      <c r="AD443" s="11">
        <f>IF($A443&gt;'1-Input'!$B$26,0,IF(AI442&lt;=0,0,MAX(0,(AI442-AJ442)/AI442)))</f>
        <v>0</v>
      </c>
      <c r="AE443" s="18">
        <f>IF($A443&gt;'1-Input'!$B$26,0,(MAX(0,AD396-IF($A443&gt;=('1-Input'!$C$12-1),'1-Input'!$B$12,0))-MIN(MAX(AH442,0),MAX(0,AD396-IF($A443&gt;=('1-Input'!$C$12-1),'1-Input'!$B$12,0))))*(1/(1-'P-Parametri'!$B$6*AD443))+MIN(MAX(0,AI442-(MAX(0,AD396-IF($A443&gt;=('1-Input'!$C$12-1),'1-Input'!$B$12,0))-MIN(MAX(AH442,0),MAX(0,AD396-IF($A443&gt;=('1-Input'!$C$12-1),'1-Input'!$B$12,0))))*(1/(1-'P-Parametri'!$B$6*AD443))),MAX(0,2*AD396-(AH442-MIN(MAX(AH442,0),MAX(0,AD396-IF($A443&gt;=('1-Input'!$C$12-1),'1-Input'!$B$12,0)))))*(1/(1-'P-Parametri'!$B$6*AD443))))</f>
        <v>6.2513353979475141</v>
      </c>
      <c r="AF443" s="18">
        <f>IF($A443&gt;'1-Input'!$B$26,AH442,(AH442-MAX(0,AD396-IF($A443&gt;=('1-Input'!$C$12-1),'1-Input'!$B$12,0))+AE443*(1-'P-Parametri'!$B$6*AD443))*(1+'1-Input'!$B$27))</f>
        <v>0</v>
      </c>
      <c r="AG443" s="18">
        <f>IF($A443&gt;'1-Input'!$B$26,AI442,(AI442-AE443)*(1+'5-Roberta'!$C$4))</f>
        <v>-6.4388754598859395</v>
      </c>
      <c r="AH443" s="18">
        <f>IF($A443&gt;'1-Input'!$B$26,AF443,AF443-'P-Parametri'!$B$8*(AG443+AF443)+MIN(MAX(AG443,0),'P-Parametri'!$B$8*(AG443+AF443)))</f>
        <v>0</v>
      </c>
      <c r="AI443" s="18">
        <f>IF($A443&gt;'1-Input'!$B$26,AG443,AG443-MIN(MAX(AG443,0),'P-Parametri'!$B$8*(AG443+AF443)))</f>
        <v>-6.4259977089661673</v>
      </c>
      <c r="AJ443" s="18">
        <f>IF($A443&gt;'1-Input'!$B$26,AJ442,AJ442-AE443*(1-AD443))</f>
        <v>-6.2513353979475141</v>
      </c>
      <c r="AK443" s="11">
        <f>IF($A443&gt;'1-Input'!$B$26,0,IF(AP442&lt;=0,0,MAX(0,(AP442-AQ442)/AP442)))</f>
        <v>0</v>
      </c>
      <c r="AL443" s="18">
        <f>IF($A443&gt;'1-Input'!$B$26,0,(MAX(0,AK396-IF($A443&gt;=('1-Input'!$C$12-1),'1-Input'!$B$12,0))-MIN(MAX(AO442,0),MAX(0,AK396-IF($A443&gt;=('1-Input'!$C$12-1),'1-Input'!$B$12,0))))*(1/(1-'P-Parametri'!$B$6*AK443))+MIN(MAX(0,AP442-(MAX(0,AK396-IF($A443&gt;=('1-Input'!$C$12-1),'1-Input'!$B$12,0))-MIN(MAX(AO442,0),MAX(0,AK396-IF($A443&gt;=('1-Input'!$C$12-1),'1-Input'!$B$12,0))))*(1/(1-'P-Parametri'!$B$6*AK443))),MAX(0,2*AK396-(AO442-MIN(MAX(AO442,0),MAX(0,AK396-IF($A443&gt;=('1-Input'!$C$12-1),'1-Input'!$B$12,0)))))*(1/(1-'P-Parametri'!$B$6*AK443))))</f>
        <v>0</v>
      </c>
      <c r="AM443" s="18">
        <f>IF($A443&gt;'1-Input'!$B$26,AO442,(AO442-MAX(0,AK396-IF($A443&gt;=('1-Input'!$C$12-1),'1-Input'!$B$12,0))+AL443*(1-'P-Parametri'!$B$6*AK443))*(1+'1-Input'!$B$27))</f>
        <v>1.9933067081728949E-5</v>
      </c>
      <c r="AN443" s="18">
        <f>IF($A443&gt;'1-Input'!$B$26,AP442,(AP442-AL443)*(1+'5-Roberta'!$C$4))</f>
        <v>0</v>
      </c>
      <c r="AO443" s="18">
        <f>IF($A443&gt;'1-Input'!$B$26,AM443,AM443-'P-Parametri'!$B$8*(AN443+AM443)+MIN(MAX(AN443,0),'P-Parametri'!$B$8*(AN443+AM443)))</f>
        <v>1.989320094756549E-5</v>
      </c>
      <c r="AP443" s="18">
        <f>IF($A443&gt;'1-Input'!$B$26,AN443,AN443-MIN(MAX(AN443,0),'P-Parametri'!$B$8*(AN443+AM443)))</f>
        <v>0</v>
      </c>
      <c r="AQ443" s="18">
        <f>IF($A443&gt;'1-Input'!$B$26,AQ442,AQ442-AL443*(1-AK443))</f>
        <v>0</v>
      </c>
    </row>
    <row r="444" spans="1:43">
      <c r="A444" s="10">
        <f>46</f>
        <v>46</v>
      </c>
      <c r="B444" s="11">
        <f>IF($A444&gt;'1-Input'!$B$26,0,IF(G443&lt;=0,0,MAX(0,(G443-H443)/G443)))</f>
        <v>0</v>
      </c>
      <c r="C444" s="18">
        <f>IF($A444&gt;'1-Input'!$B$26,0,(MAX(0,B396-IF($A444&gt;=('1-Input'!$C$12-1),'1-Input'!$B$12,0))-MIN(MAX(F443,0),MAX(0,B396-IF($A444&gt;=('1-Input'!$C$12-1),'1-Input'!$B$12,0))))*(1/(1-'P-Parametri'!$B$6*B444))+MIN(MAX(0,G443-(MAX(0,B396-IF($A444&gt;=('1-Input'!$C$12-1),'1-Input'!$B$12,0))-MIN(MAX(F443,0),MAX(0,B396-IF($A444&gt;=('1-Input'!$C$12-1),'1-Input'!$B$12,0))))*(1/(1-'P-Parametri'!$B$6*B444))),MAX(0,2*B396-(F443-MIN(MAX(F443,0),MAX(0,B396-IF($A444&gt;=('1-Input'!$C$12-1),'1-Input'!$B$12,0)))))*(1/(1-'P-Parametri'!$B$6*B444))))</f>
        <v>0</v>
      </c>
      <c r="D444" s="18">
        <f>IF($A444&gt;'1-Input'!$B$26,F443,(F443-MAX(0,B396-IF($A444&gt;=('1-Input'!$C$12-1),'1-Input'!$B$12,0))+C444*(1-'P-Parametri'!$B$6*B444))*(1+'1-Input'!$B$27))</f>
        <v>33242.0070309863</v>
      </c>
      <c r="E444" s="18">
        <f>IF($A444&gt;'1-Input'!$B$26,G443,(G443-C444)*(1+'5-Roberta'!$C$4))</f>
        <v>116934.92540980352</v>
      </c>
      <c r="F444" s="18">
        <f>IF($A444&gt;'1-Input'!$B$26,D444,D444-'P-Parametri'!$B$8*(E444+D444)+MIN(MAX(E444,0),'P-Parametri'!$B$8*(E444+D444)))</f>
        <v>33242.0070309863</v>
      </c>
      <c r="G444" s="18">
        <f>IF($A444&gt;'1-Input'!$B$26,E444,E444-MIN(MAX(E444,0),'P-Parametri'!$B$8*(E444+D444)))</f>
        <v>116934.92540980352</v>
      </c>
      <c r="H444" s="18">
        <f>IF($A444&gt;'1-Input'!$B$26,H443,H443-C444*(1-B444))</f>
        <v>26928.048377882897</v>
      </c>
      <c r="I444" s="11">
        <f>IF($A444&gt;'1-Input'!$B$26,0,IF(N443&lt;=0,0,MAX(0,(N443-O443)/N443)))</f>
        <v>0</v>
      </c>
      <c r="J444" s="18">
        <f>IF($A444&gt;'1-Input'!$B$26,0,(MAX(0,I396-IF($A444&gt;=('1-Input'!$C$12-1),'1-Input'!$B$12,0))-MIN(MAX(M443,0),MAX(0,I396-IF($A444&gt;=('1-Input'!$C$12-1),'1-Input'!$B$12,0))))*(1/(1-'P-Parametri'!$B$6*I444))+MIN(MAX(0,N443-(MAX(0,I396-IF($A444&gt;=('1-Input'!$C$12-1),'1-Input'!$B$12,0))-MIN(MAX(M443,0),MAX(0,I396-IF($A444&gt;=('1-Input'!$C$12-1),'1-Input'!$B$12,0))))*(1/(1-'P-Parametri'!$B$6*I444))),MAX(0,2*I396-(M443-MIN(MAX(M443,0),MAX(0,I396-IF($A444&gt;=('1-Input'!$C$12-1),'1-Input'!$B$12,0)))))*(1/(1-'P-Parametri'!$B$6*I444))))</f>
        <v>0</v>
      </c>
      <c r="K444" s="18">
        <f>IF($A444&gt;'1-Input'!$B$26,M443,(M443-MAX(0,I396-IF($A444&gt;=('1-Input'!$C$12-1),'1-Input'!$B$12,0))+J444*(1-'P-Parametri'!$B$6*I444))*(1+'1-Input'!$B$27))</f>
        <v>0</v>
      </c>
      <c r="L444" s="18">
        <f>IF($A444&gt;'1-Input'!$B$26,N443,(N443-J444)*(1+'5-Roberta'!$C$4))</f>
        <v>-300709.47728406487</v>
      </c>
      <c r="M444" s="18">
        <f>IF($A444&gt;'1-Input'!$B$26,K444,K444-'P-Parametri'!$B$8*(L444+K444)+MIN(MAX(L444,0),'P-Parametri'!$B$8*(L444+K444)))</f>
        <v>0</v>
      </c>
      <c r="N444" s="18">
        <f>IF($A444&gt;'1-Input'!$B$26,L444,L444-MIN(MAX(L444,0),'P-Parametri'!$B$8*(L444+K444)))</f>
        <v>-300709.47728406487</v>
      </c>
      <c r="O444" s="18">
        <f>IF($A444&gt;'1-Input'!$B$26,O443,O443-J444*(1-I444))</f>
        <v>-221032.94121805872</v>
      </c>
      <c r="P444" s="11">
        <f>IF($A444&gt;'1-Input'!$B$26,0,IF(U443&lt;=0,0,MAX(0,(U443-V443)/U443)))</f>
        <v>0</v>
      </c>
      <c r="Q444" s="18">
        <f>IF($A444&gt;'1-Input'!$B$26,0,(MAX(0,P396-IF($A444&gt;=('1-Input'!$C$12-1),'1-Input'!$B$12,0))-MIN(MAX(T443,0),MAX(0,P396-IF($A444&gt;=('1-Input'!$C$12-1),'1-Input'!$B$12,0))))*(1/(1-'P-Parametri'!$B$6*P444))+MIN(MAX(0,U443-(MAX(0,P396-IF($A444&gt;=('1-Input'!$C$12-1),'1-Input'!$B$12,0))-MIN(MAX(T443,0),MAX(0,P396-IF($A444&gt;=('1-Input'!$C$12-1),'1-Input'!$B$12,0))))*(1/(1-'P-Parametri'!$B$6*P444))),MAX(0,2*P396-(T443-MIN(MAX(T443,0),MAX(0,P396-IF($A444&gt;=('1-Input'!$C$12-1),'1-Input'!$B$12,0)))))*(1/(1-'P-Parametri'!$B$6*P444))))</f>
        <v>0</v>
      </c>
      <c r="R444" s="18">
        <f>IF($A444&gt;'1-Input'!$B$26,T443,(T443-MAX(0,P396-IF($A444&gt;=('1-Input'!$C$12-1),'1-Input'!$B$12,0))+Q444*(1-'P-Parametri'!$B$6*P444))*(1+'1-Input'!$B$27))</f>
        <v>0</v>
      </c>
      <c r="S444" s="18">
        <f>IF($A444&gt;'1-Input'!$B$26,U443,(U443-Q444)*(1+'5-Roberta'!$C$4))</f>
        <v>-19635.778694464327</v>
      </c>
      <c r="T444" s="18">
        <f>IF($A444&gt;'1-Input'!$B$26,R444,R444-'P-Parametri'!$B$8*(S444+R444)+MIN(MAX(S444,0),'P-Parametri'!$B$8*(S444+R444)))</f>
        <v>0</v>
      </c>
      <c r="U444" s="18">
        <f>IF($A444&gt;'1-Input'!$B$26,S444,S444-MIN(MAX(S444,0),'P-Parametri'!$B$8*(S444+R444)))</f>
        <v>-19635.778694464327</v>
      </c>
      <c r="V444" s="18">
        <f>IF($A444&gt;'1-Input'!$B$26,V443,V443-Q444*(1-P444))</f>
        <v>-18670.343023993919</v>
      </c>
      <c r="W444" s="11">
        <f>IF($A444&gt;'1-Input'!$B$26,0,IF(AB443&lt;=0,0,MAX(0,(AB443-AC443)/AB443)))</f>
        <v>0</v>
      </c>
      <c r="X444" s="18">
        <f>IF($A444&gt;'1-Input'!$B$26,0,(MAX(0,W396-IF($A444&gt;=('1-Input'!$C$12-1),'1-Input'!$B$12,0))-MIN(MAX(AA443,0),MAX(0,W396-IF($A444&gt;=('1-Input'!$C$12-1),'1-Input'!$B$12,0))))*(1/(1-'P-Parametri'!$B$6*W444))+MIN(MAX(0,AB443-(MAX(0,W396-IF($A444&gt;=('1-Input'!$C$12-1),'1-Input'!$B$12,0))-MIN(MAX(AA443,0),MAX(0,W396-IF($A444&gt;=('1-Input'!$C$12-1),'1-Input'!$B$12,0))))*(1/(1-'P-Parametri'!$B$6*W444))),MAX(0,2*W396-(AA443-MIN(MAX(AA443,0),MAX(0,W396-IF($A444&gt;=('1-Input'!$C$12-1),'1-Input'!$B$12,0)))))*(1/(1-'P-Parametri'!$B$6*W444))))</f>
        <v>0</v>
      </c>
      <c r="Y444" s="18">
        <f>IF($A444&gt;'1-Input'!$B$26,AA443,(AA443-MAX(0,W396-IF($A444&gt;=('1-Input'!$C$12-1),'1-Input'!$B$12,0))+X444*(1-'P-Parametri'!$B$6*W444))*(1+'1-Input'!$B$27))</f>
        <v>0</v>
      </c>
      <c r="Z444" s="18">
        <f>IF($A444&gt;'1-Input'!$B$26,AB443,(AB443-X444)*(1+'5-Roberta'!$C$4))</f>
        <v>-1136.1041275300151</v>
      </c>
      <c r="AA444" s="18">
        <f>IF($A444&gt;'1-Input'!$B$26,Y444,Y444-'P-Parametri'!$B$8*(Z444+Y444)+MIN(MAX(Z444,0),'P-Parametri'!$B$8*(Z444+Y444)))</f>
        <v>0</v>
      </c>
      <c r="AB444" s="18">
        <f>IF($A444&gt;'1-Input'!$B$26,Z444,Z444-MIN(MAX(Z444,0),'P-Parametri'!$B$8*(Z444+Y444)))</f>
        <v>-1136.1041275300151</v>
      </c>
      <c r="AC444" s="18">
        <f>IF($A444&gt;'1-Input'!$B$26,AC443,AC443-X444*(1-W444))</f>
        <v>-1105.2241643773139</v>
      </c>
      <c r="AD444" s="11">
        <f>IF($A444&gt;'1-Input'!$B$26,0,IF(AI443&lt;=0,0,MAX(0,(AI443-AJ443)/AI443)))</f>
        <v>0</v>
      </c>
      <c r="AE444" s="18">
        <f>IF($A444&gt;'1-Input'!$B$26,0,(MAX(0,AD396-IF($A444&gt;=('1-Input'!$C$12-1),'1-Input'!$B$12,0))-MIN(MAX(AH443,0),MAX(0,AD396-IF($A444&gt;=('1-Input'!$C$12-1),'1-Input'!$B$12,0))))*(1/(1-'P-Parametri'!$B$6*AD444))+MIN(MAX(0,AI443-(MAX(0,AD396-IF($A444&gt;=('1-Input'!$C$12-1),'1-Input'!$B$12,0))-MIN(MAX(AH443,0),MAX(0,AD396-IF($A444&gt;=('1-Input'!$C$12-1),'1-Input'!$B$12,0))))*(1/(1-'P-Parametri'!$B$6*AD444))),MAX(0,2*AD396-(AH443-MIN(MAX(AH443,0),MAX(0,AD396-IF($A444&gt;=('1-Input'!$C$12-1),'1-Input'!$B$12,0)))))*(1/(1-'P-Parametri'!$B$6*AD444))))</f>
        <v>0</v>
      </c>
      <c r="AF444" s="18">
        <f>IF($A444&gt;'1-Input'!$B$26,AH443,(AH443-MAX(0,AD396-IF($A444&gt;=('1-Input'!$C$12-1),'1-Input'!$B$12,0))+AE444*(1-'P-Parametri'!$B$6*AD444))*(1+'1-Input'!$B$27))</f>
        <v>0</v>
      </c>
      <c r="AG444" s="18">
        <f>IF($A444&gt;'1-Input'!$B$26,AI443,(AI443-AE444)*(1+'5-Roberta'!$C$4))</f>
        <v>-6.4259977089661673</v>
      </c>
      <c r="AH444" s="18">
        <f>IF($A444&gt;'1-Input'!$B$26,AF444,AF444-'P-Parametri'!$B$8*(AG444+AF444)+MIN(MAX(AG444,0),'P-Parametri'!$B$8*(AG444+AF444)))</f>
        <v>0</v>
      </c>
      <c r="AI444" s="18">
        <f>IF($A444&gt;'1-Input'!$B$26,AG444,AG444-MIN(MAX(AG444,0),'P-Parametri'!$B$8*(AG444+AF444)))</f>
        <v>-6.4259977089661673</v>
      </c>
      <c r="AJ444" s="18">
        <f>IF($A444&gt;'1-Input'!$B$26,AJ443,AJ443-AE444*(1-AD444))</f>
        <v>-6.2513353979475141</v>
      </c>
      <c r="AK444" s="11">
        <f>IF($A444&gt;'1-Input'!$B$26,0,IF(AP443&lt;=0,0,MAX(0,(AP443-AQ443)/AP443)))</f>
        <v>0</v>
      </c>
      <c r="AL444" s="18">
        <f>IF($A444&gt;'1-Input'!$B$26,0,(MAX(0,AK396-IF($A444&gt;=('1-Input'!$C$12-1),'1-Input'!$B$12,0))-MIN(MAX(AO443,0),MAX(0,AK396-IF($A444&gt;=('1-Input'!$C$12-1),'1-Input'!$B$12,0))))*(1/(1-'P-Parametri'!$B$6*AK444))+MIN(MAX(0,AP443-(MAX(0,AK396-IF($A444&gt;=('1-Input'!$C$12-1),'1-Input'!$B$12,0))-MIN(MAX(AO443,0),MAX(0,AK396-IF($A444&gt;=('1-Input'!$C$12-1),'1-Input'!$B$12,0))))*(1/(1-'P-Parametri'!$B$6*AK444))),MAX(0,2*AK396-(AO443-MIN(MAX(AO443,0),MAX(0,AK396-IF($A444&gt;=('1-Input'!$C$12-1),'1-Input'!$B$12,0)))))*(1/(1-'P-Parametri'!$B$6*AK444))))</f>
        <v>0</v>
      </c>
      <c r="AM444" s="18">
        <f>IF($A444&gt;'1-Input'!$B$26,AO443,(AO443-MAX(0,AK396-IF($A444&gt;=('1-Input'!$C$12-1),'1-Input'!$B$12,0))+AL444*(1-'P-Parametri'!$B$6*AK444))*(1+'1-Input'!$B$27))</f>
        <v>1.989320094756549E-5</v>
      </c>
      <c r="AN444" s="18">
        <f>IF($A444&gt;'1-Input'!$B$26,AP443,(AP443-AL444)*(1+'5-Roberta'!$C$4))</f>
        <v>0</v>
      </c>
      <c r="AO444" s="18">
        <f>IF($A444&gt;'1-Input'!$B$26,AM444,AM444-'P-Parametri'!$B$8*(AN444+AM444)+MIN(MAX(AN444,0),'P-Parametri'!$B$8*(AN444+AM444)))</f>
        <v>1.989320094756549E-5</v>
      </c>
      <c r="AP444" s="18">
        <f>IF($A444&gt;'1-Input'!$B$26,AN444,AN444-MIN(MAX(AN444,0),'P-Parametri'!$B$8*(AN444+AM444)))</f>
        <v>0</v>
      </c>
      <c r="AQ444" s="18">
        <f>IF($A444&gt;'1-Input'!$B$26,AQ443,AQ443-AL444*(1-AK444))</f>
        <v>0</v>
      </c>
    </row>
    <row r="445" spans="1:43">
      <c r="A445" s="10">
        <f>47</f>
        <v>47</v>
      </c>
      <c r="B445" s="11">
        <f>IF($A445&gt;'1-Input'!$B$26,0,IF(G444&lt;=0,0,MAX(0,(G444-H444)/G444)))</f>
        <v>0</v>
      </c>
      <c r="C445" s="18">
        <f>IF($A445&gt;'1-Input'!$B$26,0,(MAX(0,B396-IF($A445&gt;=('1-Input'!$C$12-1),'1-Input'!$B$12,0))-MIN(MAX(F444,0),MAX(0,B396-IF($A445&gt;=('1-Input'!$C$12-1),'1-Input'!$B$12,0))))*(1/(1-'P-Parametri'!$B$6*B445))+MIN(MAX(0,G444-(MAX(0,B396-IF($A445&gt;=('1-Input'!$C$12-1),'1-Input'!$B$12,0))-MIN(MAX(F444,0),MAX(0,B396-IF($A445&gt;=('1-Input'!$C$12-1),'1-Input'!$B$12,0))))*(1/(1-'P-Parametri'!$B$6*B445))),MAX(0,2*B396-(F444-MIN(MAX(F444,0),MAX(0,B396-IF($A445&gt;=('1-Input'!$C$12-1),'1-Input'!$B$12,0)))))*(1/(1-'P-Parametri'!$B$6*B445))))</f>
        <v>0</v>
      </c>
      <c r="D445" s="18">
        <f>IF($A445&gt;'1-Input'!$B$26,F444,(F444-MAX(0,B396-IF($A445&gt;=('1-Input'!$C$12-1),'1-Input'!$B$12,0))+C445*(1-'P-Parametri'!$B$6*B445))*(1+'1-Input'!$B$27))</f>
        <v>33242.0070309863</v>
      </c>
      <c r="E445" s="18">
        <f>IF($A445&gt;'1-Input'!$B$26,G444,(G444-C445)*(1+'5-Roberta'!$C$4))</f>
        <v>116934.92540980352</v>
      </c>
      <c r="F445" s="18">
        <f>IF($A445&gt;'1-Input'!$B$26,D445,D445-'P-Parametri'!$B$8*(E445+D445)+MIN(MAX(E445,0),'P-Parametri'!$B$8*(E445+D445)))</f>
        <v>33242.0070309863</v>
      </c>
      <c r="G445" s="18">
        <f>IF($A445&gt;'1-Input'!$B$26,E445,E445-MIN(MAX(E445,0),'P-Parametri'!$B$8*(E445+D445)))</f>
        <v>116934.92540980352</v>
      </c>
      <c r="H445" s="18">
        <f>IF($A445&gt;'1-Input'!$B$26,H444,H444-C445*(1-B445))</f>
        <v>26928.048377882897</v>
      </c>
      <c r="I445" s="11">
        <f>IF($A445&gt;'1-Input'!$B$26,0,IF(N444&lt;=0,0,MAX(0,(N444-O444)/N444)))</f>
        <v>0</v>
      </c>
      <c r="J445" s="18">
        <f>IF($A445&gt;'1-Input'!$B$26,0,(MAX(0,I396-IF($A445&gt;=('1-Input'!$C$12-1),'1-Input'!$B$12,0))-MIN(MAX(M444,0),MAX(0,I396-IF($A445&gt;=('1-Input'!$C$12-1),'1-Input'!$B$12,0))))*(1/(1-'P-Parametri'!$B$6*I445))+MIN(MAX(0,N444-(MAX(0,I396-IF($A445&gt;=('1-Input'!$C$12-1),'1-Input'!$B$12,0))-MIN(MAX(M444,0),MAX(0,I396-IF($A445&gt;=('1-Input'!$C$12-1),'1-Input'!$B$12,0))))*(1/(1-'P-Parametri'!$B$6*I445))),MAX(0,2*I396-(M444-MIN(MAX(M444,0),MAX(0,I396-IF($A445&gt;=('1-Input'!$C$12-1),'1-Input'!$B$12,0)))))*(1/(1-'P-Parametri'!$B$6*I445))))</f>
        <v>0</v>
      </c>
      <c r="K445" s="18">
        <f>IF($A445&gt;'1-Input'!$B$26,M444,(M444-MAX(0,I396-IF($A445&gt;=('1-Input'!$C$12-1),'1-Input'!$B$12,0))+J445*(1-'P-Parametri'!$B$6*I445))*(1+'1-Input'!$B$27))</f>
        <v>0</v>
      </c>
      <c r="L445" s="18">
        <f>IF($A445&gt;'1-Input'!$B$26,N444,(N444-J445)*(1+'5-Roberta'!$C$4))</f>
        <v>-300709.47728406487</v>
      </c>
      <c r="M445" s="18">
        <f>IF($A445&gt;'1-Input'!$B$26,K445,K445-'P-Parametri'!$B$8*(L445+K445)+MIN(MAX(L445,0),'P-Parametri'!$B$8*(L445+K445)))</f>
        <v>0</v>
      </c>
      <c r="N445" s="18">
        <f>IF($A445&gt;'1-Input'!$B$26,L445,L445-MIN(MAX(L445,0),'P-Parametri'!$B$8*(L445+K445)))</f>
        <v>-300709.47728406487</v>
      </c>
      <c r="O445" s="18">
        <f>IF($A445&gt;'1-Input'!$B$26,O444,O444-J445*(1-I445))</f>
        <v>-221032.94121805872</v>
      </c>
      <c r="P445" s="11">
        <f>IF($A445&gt;'1-Input'!$B$26,0,IF(U444&lt;=0,0,MAX(0,(U444-V444)/U444)))</f>
        <v>0</v>
      </c>
      <c r="Q445" s="18">
        <f>IF($A445&gt;'1-Input'!$B$26,0,(MAX(0,P396-IF($A445&gt;=('1-Input'!$C$12-1),'1-Input'!$B$12,0))-MIN(MAX(T444,0),MAX(0,P396-IF($A445&gt;=('1-Input'!$C$12-1),'1-Input'!$B$12,0))))*(1/(1-'P-Parametri'!$B$6*P445))+MIN(MAX(0,U444-(MAX(0,P396-IF($A445&gt;=('1-Input'!$C$12-1),'1-Input'!$B$12,0))-MIN(MAX(T444,0),MAX(0,P396-IF($A445&gt;=('1-Input'!$C$12-1),'1-Input'!$B$12,0))))*(1/(1-'P-Parametri'!$B$6*P445))),MAX(0,2*P396-(T444-MIN(MAX(T444,0),MAX(0,P396-IF($A445&gt;=('1-Input'!$C$12-1),'1-Input'!$B$12,0)))))*(1/(1-'P-Parametri'!$B$6*P445))))</f>
        <v>0</v>
      </c>
      <c r="R445" s="18">
        <f>IF($A445&gt;'1-Input'!$B$26,T444,(T444-MAX(0,P396-IF($A445&gt;=('1-Input'!$C$12-1),'1-Input'!$B$12,0))+Q445*(1-'P-Parametri'!$B$6*P445))*(1+'1-Input'!$B$27))</f>
        <v>0</v>
      </c>
      <c r="S445" s="18">
        <f>IF($A445&gt;'1-Input'!$B$26,U444,(U444-Q445)*(1+'5-Roberta'!$C$4))</f>
        <v>-19635.778694464327</v>
      </c>
      <c r="T445" s="18">
        <f>IF($A445&gt;'1-Input'!$B$26,R445,R445-'P-Parametri'!$B$8*(S445+R445)+MIN(MAX(S445,0),'P-Parametri'!$B$8*(S445+R445)))</f>
        <v>0</v>
      </c>
      <c r="U445" s="18">
        <f>IF($A445&gt;'1-Input'!$B$26,S445,S445-MIN(MAX(S445,0),'P-Parametri'!$B$8*(S445+R445)))</f>
        <v>-19635.778694464327</v>
      </c>
      <c r="V445" s="18">
        <f>IF($A445&gt;'1-Input'!$B$26,V444,V444-Q445*(1-P445))</f>
        <v>-18670.343023993919</v>
      </c>
      <c r="W445" s="11">
        <f>IF($A445&gt;'1-Input'!$B$26,0,IF(AB444&lt;=0,0,MAX(0,(AB444-AC444)/AB444)))</f>
        <v>0</v>
      </c>
      <c r="X445" s="18">
        <f>IF($A445&gt;'1-Input'!$B$26,0,(MAX(0,W396-IF($A445&gt;=('1-Input'!$C$12-1),'1-Input'!$B$12,0))-MIN(MAX(AA444,0),MAX(0,W396-IF($A445&gt;=('1-Input'!$C$12-1),'1-Input'!$B$12,0))))*(1/(1-'P-Parametri'!$B$6*W445))+MIN(MAX(0,AB444-(MAX(0,W396-IF($A445&gt;=('1-Input'!$C$12-1),'1-Input'!$B$12,0))-MIN(MAX(AA444,0),MAX(0,W396-IF($A445&gt;=('1-Input'!$C$12-1),'1-Input'!$B$12,0))))*(1/(1-'P-Parametri'!$B$6*W445))),MAX(0,2*W396-(AA444-MIN(MAX(AA444,0),MAX(0,W396-IF($A445&gt;=('1-Input'!$C$12-1),'1-Input'!$B$12,0)))))*(1/(1-'P-Parametri'!$B$6*W445))))</f>
        <v>0</v>
      </c>
      <c r="Y445" s="18">
        <f>IF($A445&gt;'1-Input'!$B$26,AA444,(AA444-MAX(0,W396-IF($A445&gt;=('1-Input'!$C$12-1),'1-Input'!$B$12,0))+X445*(1-'P-Parametri'!$B$6*W445))*(1+'1-Input'!$B$27))</f>
        <v>0</v>
      </c>
      <c r="Z445" s="18">
        <f>IF($A445&gt;'1-Input'!$B$26,AB444,(AB444-X445)*(1+'5-Roberta'!$C$4))</f>
        <v>-1136.1041275300151</v>
      </c>
      <c r="AA445" s="18">
        <f>IF($A445&gt;'1-Input'!$B$26,Y445,Y445-'P-Parametri'!$B$8*(Z445+Y445)+MIN(MAX(Z445,0),'P-Parametri'!$B$8*(Z445+Y445)))</f>
        <v>0</v>
      </c>
      <c r="AB445" s="18">
        <f>IF($A445&gt;'1-Input'!$B$26,Z445,Z445-MIN(MAX(Z445,0),'P-Parametri'!$B$8*(Z445+Y445)))</f>
        <v>-1136.1041275300151</v>
      </c>
      <c r="AC445" s="18">
        <f>IF($A445&gt;'1-Input'!$B$26,AC444,AC444-X445*(1-W445))</f>
        <v>-1105.2241643773139</v>
      </c>
      <c r="AD445" s="11">
        <f>IF($A445&gt;'1-Input'!$B$26,0,IF(AI444&lt;=0,0,MAX(0,(AI444-AJ444)/AI444)))</f>
        <v>0</v>
      </c>
      <c r="AE445" s="18">
        <f>IF($A445&gt;'1-Input'!$B$26,0,(MAX(0,AD396-IF($A445&gt;=('1-Input'!$C$12-1),'1-Input'!$B$12,0))-MIN(MAX(AH444,0),MAX(0,AD396-IF($A445&gt;=('1-Input'!$C$12-1),'1-Input'!$B$12,0))))*(1/(1-'P-Parametri'!$B$6*AD445))+MIN(MAX(0,AI444-(MAX(0,AD396-IF($A445&gt;=('1-Input'!$C$12-1),'1-Input'!$B$12,0))-MIN(MAX(AH444,0),MAX(0,AD396-IF($A445&gt;=('1-Input'!$C$12-1),'1-Input'!$B$12,0))))*(1/(1-'P-Parametri'!$B$6*AD445))),MAX(0,2*AD396-(AH444-MIN(MAX(AH444,0),MAX(0,AD396-IF($A445&gt;=('1-Input'!$C$12-1),'1-Input'!$B$12,0)))))*(1/(1-'P-Parametri'!$B$6*AD445))))</f>
        <v>0</v>
      </c>
      <c r="AF445" s="18">
        <f>IF($A445&gt;'1-Input'!$B$26,AH444,(AH444-MAX(0,AD396-IF($A445&gt;=('1-Input'!$C$12-1),'1-Input'!$B$12,0))+AE445*(1-'P-Parametri'!$B$6*AD445))*(1+'1-Input'!$B$27))</f>
        <v>0</v>
      </c>
      <c r="AG445" s="18">
        <f>IF($A445&gt;'1-Input'!$B$26,AI444,(AI444-AE445)*(1+'5-Roberta'!$C$4))</f>
        <v>-6.4259977089661673</v>
      </c>
      <c r="AH445" s="18">
        <f>IF($A445&gt;'1-Input'!$B$26,AF445,AF445-'P-Parametri'!$B$8*(AG445+AF445)+MIN(MAX(AG445,0),'P-Parametri'!$B$8*(AG445+AF445)))</f>
        <v>0</v>
      </c>
      <c r="AI445" s="18">
        <f>IF($A445&gt;'1-Input'!$B$26,AG445,AG445-MIN(MAX(AG445,0),'P-Parametri'!$B$8*(AG445+AF445)))</f>
        <v>-6.4259977089661673</v>
      </c>
      <c r="AJ445" s="18">
        <f>IF($A445&gt;'1-Input'!$B$26,AJ444,AJ444-AE445*(1-AD445))</f>
        <v>-6.2513353979475141</v>
      </c>
      <c r="AK445" s="11">
        <f>IF($A445&gt;'1-Input'!$B$26,0,IF(AP444&lt;=0,0,MAX(0,(AP444-AQ444)/AP444)))</f>
        <v>0</v>
      </c>
      <c r="AL445" s="18">
        <f>IF($A445&gt;'1-Input'!$B$26,0,(MAX(0,AK396-IF($A445&gt;=('1-Input'!$C$12-1),'1-Input'!$B$12,0))-MIN(MAX(AO444,0),MAX(0,AK396-IF($A445&gt;=('1-Input'!$C$12-1),'1-Input'!$B$12,0))))*(1/(1-'P-Parametri'!$B$6*AK445))+MIN(MAX(0,AP444-(MAX(0,AK396-IF($A445&gt;=('1-Input'!$C$12-1),'1-Input'!$B$12,0))-MIN(MAX(AO444,0),MAX(0,AK396-IF($A445&gt;=('1-Input'!$C$12-1),'1-Input'!$B$12,0))))*(1/(1-'P-Parametri'!$B$6*AK445))),MAX(0,2*AK396-(AO444-MIN(MAX(AO444,0),MAX(0,AK396-IF($A445&gt;=('1-Input'!$C$12-1),'1-Input'!$B$12,0)))))*(1/(1-'P-Parametri'!$B$6*AK445))))</f>
        <v>0</v>
      </c>
      <c r="AM445" s="18">
        <f>IF($A445&gt;'1-Input'!$B$26,AO444,(AO444-MAX(0,AK396-IF($A445&gt;=('1-Input'!$C$12-1),'1-Input'!$B$12,0))+AL445*(1-'P-Parametri'!$B$6*AK445))*(1+'1-Input'!$B$27))</f>
        <v>1.989320094756549E-5</v>
      </c>
      <c r="AN445" s="18">
        <f>IF($A445&gt;'1-Input'!$B$26,AP444,(AP444-AL445)*(1+'5-Roberta'!$C$4))</f>
        <v>0</v>
      </c>
      <c r="AO445" s="18">
        <f>IF($A445&gt;'1-Input'!$B$26,AM445,AM445-'P-Parametri'!$B$8*(AN445+AM445)+MIN(MAX(AN445,0),'P-Parametri'!$B$8*(AN445+AM445)))</f>
        <v>1.989320094756549E-5</v>
      </c>
      <c r="AP445" s="18">
        <f>IF($A445&gt;'1-Input'!$B$26,AN445,AN445-MIN(MAX(AN445,0),'P-Parametri'!$B$8*(AN445+AM445)))</f>
        <v>0</v>
      </c>
      <c r="AQ445" s="18">
        <f>IF($A445&gt;'1-Input'!$B$26,AQ444,AQ444-AL445*(1-AK445))</f>
        <v>0</v>
      </c>
    </row>
    <row r="446" spans="1:43">
      <c r="A446" s="10">
        <f>48</f>
        <v>48</v>
      </c>
      <c r="B446" s="11">
        <f>IF($A446&gt;'1-Input'!$B$26,0,IF(G445&lt;=0,0,MAX(0,(G445-H445)/G445)))</f>
        <v>0</v>
      </c>
      <c r="C446" s="18">
        <f>IF($A446&gt;'1-Input'!$B$26,0,(MAX(0,B396-IF($A446&gt;=('1-Input'!$C$12-1),'1-Input'!$B$12,0))-MIN(MAX(F445,0),MAX(0,B396-IF($A446&gt;=('1-Input'!$C$12-1),'1-Input'!$B$12,0))))*(1/(1-'P-Parametri'!$B$6*B446))+MIN(MAX(0,G445-(MAX(0,B396-IF($A446&gt;=('1-Input'!$C$12-1),'1-Input'!$B$12,0))-MIN(MAX(F445,0),MAX(0,B396-IF($A446&gt;=('1-Input'!$C$12-1),'1-Input'!$B$12,0))))*(1/(1-'P-Parametri'!$B$6*B446))),MAX(0,2*B396-(F445-MIN(MAX(F445,0),MAX(0,B396-IF($A446&gt;=('1-Input'!$C$12-1),'1-Input'!$B$12,0)))))*(1/(1-'P-Parametri'!$B$6*B446))))</f>
        <v>0</v>
      </c>
      <c r="D446" s="18">
        <f>IF($A446&gt;'1-Input'!$B$26,F445,(F445-MAX(0,B396-IF($A446&gt;=('1-Input'!$C$12-1),'1-Input'!$B$12,0))+C446*(1-'P-Parametri'!$B$6*B446))*(1+'1-Input'!$B$27))</f>
        <v>33242.0070309863</v>
      </c>
      <c r="E446" s="18">
        <f>IF($A446&gt;'1-Input'!$B$26,G445,(G445-C446)*(1+'5-Roberta'!$C$4))</f>
        <v>116934.92540980352</v>
      </c>
      <c r="F446" s="18">
        <f>IF($A446&gt;'1-Input'!$B$26,D446,D446-'P-Parametri'!$B$8*(E446+D446)+MIN(MAX(E446,0),'P-Parametri'!$B$8*(E446+D446)))</f>
        <v>33242.0070309863</v>
      </c>
      <c r="G446" s="18">
        <f>IF($A446&gt;'1-Input'!$B$26,E446,E446-MIN(MAX(E446,0),'P-Parametri'!$B$8*(E446+D446)))</f>
        <v>116934.92540980352</v>
      </c>
      <c r="H446" s="18">
        <f>IF($A446&gt;'1-Input'!$B$26,H445,H445-C446*(1-B446))</f>
        <v>26928.048377882897</v>
      </c>
      <c r="I446" s="11">
        <f>IF($A446&gt;'1-Input'!$B$26,0,IF(N445&lt;=0,0,MAX(0,(N445-O445)/N445)))</f>
        <v>0</v>
      </c>
      <c r="J446" s="18">
        <f>IF($A446&gt;'1-Input'!$B$26,0,(MAX(0,I396-IF($A446&gt;=('1-Input'!$C$12-1),'1-Input'!$B$12,0))-MIN(MAX(M445,0),MAX(0,I396-IF($A446&gt;=('1-Input'!$C$12-1),'1-Input'!$B$12,0))))*(1/(1-'P-Parametri'!$B$6*I446))+MIN(MAX(0,N445-(MAX(0,I396-IF($A446&gt;=('1-Input'!$C$12-1),'1-Input'!$B$12,0))-MIN(MAX(M445,0),MAX(0,I396-IF($A446&gt;=('1-Input'!$C$12-1),'1-Input'!$B$12,0))))*(1/(1-'P-Parametri'!$B$6*I446))),MAX(0,2*I396-(M445-MIN(MAX(M445,0),MAX(0,I396-IF($A446&gt;=('1-Input'!$C$12-1),'1-Input'!$B$12,0)))))*(1/(1-'P-Parametri'!$B$6*I446))))</f>
        <v>0</v>
      </c>
      <c r="K446" s="18">
        <f>IF($A446&gt;'1-Input'!$B$26,M445,(M445-MAX(0,I396-IF($A446&gt;=('1-Input'!$C$12-1),'1-Input'!$B$12,0))+J446*(1-'P-Parametri'!$B$6*I446))*(1+'1-Input'!$B$27))</f>
        <v>0</v>
      </c>
      <c r="L446" s="18">
        <f>IF($A446&gt;'1-Input'!$B$26,N445,(N445-J446)*(1+'5-Roberta'!$C$4))</f>
        <v>-300709.47728406487</v>
      </c>
      <c r="M446" s="18">
        <f>IF($A446&gt;'1-Input'!$B$26,K446,K446-'P-Parametri'!$B$8*(L446+K446)+MIN(MAX(L446,0),'P-Parametri'!$B$8*(L446+K446)))</f>
        <v>0</v>
      </c>
      <c r="N446" s="18">
        <f>IF($A446&gt;'1-Input'!$B$26,L446,L446-MIN(MAX(L446,0),'P-Parametri'!$B$8*(L446+K446)))</f>
        <v>-300709.47728406487</v>
      </c>
      <c r="O446" s="18">
        <f>IF($A446&gt;'1-Input'!$B$26,O445,O445-J446*(1-I446))</f>
        <v>-221032.94121805872</v>
      </c>
      <c r="P446" s="11">
        <f>IF($A446&gt;'1-Input'!$B$26,0,IF(U445&lt;=0,0,MAX(0,(U445-V445)/U445)))</f>
        <v>0</v>
      </c>
      <c r="Q446" s="18">
        <f>IF($A446&gt;'1-Input'!$B$26,0,(MAX(0,P396-IF($A446&gt;=('1-Input'!$C$12-1),'1-Input'!$B$12,0))-MIN(MAX(T445,0),MAX(0,P396-IF($A446&gt;=('1-Input'!$C$12-1),'1-Input'!$B$12,0))))*(1/(1-'P-Parametri'!$B$6*P446))+MIN(MAX(0,U445-(MAX(0,P396-IF($A446&gt;=('1-Input'!$C$12-1),'1-Input'!$B$12,0))-MIN(MAX(T445,0),MAX(0,P396-IF($A446&gt;=('1-Input'!$C$12-1),'1-Input'!$B$12,0))))*(1/(1-'P-Parametri'!$B$6*P446))),MAX(0,2*P396-(T445-MIN(MAX(T445,0),MAX(0,P396-IF($A446&gt;=('1-Input'!$C$12-1),'1-Input'!$B$12,0)))))*(1/(1-'P-Parametri'!$B$6*P446))))</f>
        <v>0</v>
      </c>
      <c r="R446" s="18">
        <f>IF($A446&gt;'1-Input'!$B$26,T445,(T445-MAX(0,P396-IF($A446&gt;=('1-Input'!$C$12-1),'1-Input'!$B$12,0))+Q446*(1-'P-Parametri'!$B$6*P446))*(1+'1-Input'!$B$27))</f>
        <v>0</v>
      </c>
      <c r="S446" s="18">
        <f>IF($A446&gt;'1-Input'!$B$26,U445,(U445-Q446)*(1+'5-Roberta'!$C$4))</f>
        <v>-19635.778694464327</v>
      </c>
      <c r="T446" s="18">
        <f>IF($A446&gt;'1-Input'!$B$26,R446,R446-'P-Parametri'!$B$8*(S446+R446)+MIN(MAX(S446,0),'P-Parametri'!$B$8*(S446+R446)))</f>
        <v>0</v>
      </c>
      <c r="U446" s="18">
        <f>IF($A446&gt;'1-Input'!$B$26,S446,S446-MIN(MAX(S446,0),'P-Parametri'!$B$8*(S446+R446)))</f>
        <v>-19635.778694464327</v>
      </c>
      <c r="V446" s="18">
        <f>IF($A446&gt;'1-Input'!$B$26,V445,V445-Q446*(1-P446))</f>
        <v>-18670.343023993919</v>
      </c>
      <c r="W446" s="11">
        <f>IF($A446&gt;'1-Input'!$B$26,0,IF(AB445&lt;=0,0,MAX(0,(AB445-AC445)/AB445)))</f>
        <v>0</v>
      </c>
      <c r="X446" s="18">
        <f>IF($A446&gt;'1-Input'!$B$26,0,(MAX(0,W396-IF($A446&gt;=('1-Input'!$C$12-1),'1-Input'!$B$12,0))-MIN(MAX(AA445,0),MAX(0,W396-IF($A446&gt;=('1-Input'!$C$12-1),'1-Input'!$B$12,0))))*(1/(1-'P-Parametri'!$B$6*W446))+MIN(MAX(0,AB445-(MAX(0,W396-IF($A446&gt;=('1-Input'!$C$12-1),'1-Input'!$B$12,0))-MIN(MAX(AA445,0),MAX(0,W396-IF($A446&gt;=('1-Input'!$C$12-1),'1-Input'!$B$12,0))))*(1/(1-'P-Parametri'!$B$6*W446))),MAX(0,2*W396-(AA445-MIN(MAX(AA445,0),MAX(0,W396-IF($A446&gt;=('1-Input'!$C$12-1),'1-Input'!$B$12,0)))))*(1/(1-'P-Parametri'!$B$6*W446))))</f>
        <v>0</v>
      </c>
      <c r="Y446" s="18">
        <f>IF($A446&gt;'1-Input'!$B$26,AA445,(AA445-MAX(0,W396-IF($A446&gt;=('1-Input'!$C$12-1),'1-Input'!$B$12,0))+X446*(1-'P-Parametri'!$B$6*W446))*(1+'1-Input'!$B$27))</f>
        <v>0</v>
      </c>
      <c r="Z446" s="18">
        <f>IF($A446&gt;'1-Input'!$B$26,AB445,(AB445-X446)*(1+'5-Roberta'!$C$4))</f>
        <v>-1136.1041275300151</v>
      </c>
      <c r="AA446" s="18">
        <f>IF($A446&gt;'1-Input'!$B$26,Y446,Y446-'P-Parametri'!$B$8*(Z446+Y446)+MIN(MAX(Z446,0),'P-Parametri'!$B$8*(Z446+Y446)))</f>
        <v>0</v>
      </c>
      <c r="AB446" s="18">
        <f>IF($A446&gt;'1-Input'!$B$26,Z446,Z446-MIN(MAX(Z446,0),'P-Parametri'!$B$8*(Z446+Y446)))</f>
        <v>-1136.1041275300151</v>
      </c>
      <c r="AC446" s="18">
        <f>IF($A446&gt;'1-Input'!$B$26,AC445,AC445-X446*(1-W446))</f>
        <v>-1105.2241643773139</v>
      </c>
      <c r="AD446" s="11">
        <f>IF($A446&gt;'1-Input'!$B$26,0,IF(AI445&lt;=0,0,MAX(0,(AI445-AJ445)/AI445)))</f>
        <v>0</v>
      </c>
      <c r="AE446" s="18">
        <f>IF($A446&gt;'1-Input'!$B$26,0,(MAX(0,AD396-IF($A446&gt;=('1-Input'!$C$12-1),'1-Input'!$B$12,0))-MIN(MAX(AH445,0),MAX(0,AD396-IF($A446&gt;=('1-Input'!$C$12-1),'1-Input'!$B$12,0))))*(1/(1-'P-Parametri'!$B$6*AD446))+MIN(MAX(0,AI445-(MAX(0,AD396-IF($A446&gt;=('1-Input'!$C$12-1),'1-Input'!$B$12,0))-MIN(MAX(AH445,0),MAX(0,AD396-IF($A446&gt;=('1-Input'!$C$12-1),'1-Input'!$B$12,0))))*(1/(1-'P-Parametri'!$B$6*AD446))),MAX(0,2*AD396-(AH445-MIN(MAX(AH445,0),MAX(0,AD396-IF($A446&gt;=('1-Input'!$C$12-1),'1-Input'!$B$12,0)))))*(1/(1-'P-Parametri'!$B$6*AD446))))</f>
        <v>0</v>
      </c>
      <c r="AF446" s="18">
        <f>IF($A446&gt;'1-Input'!$B$26,AH445,(AH445-MAX(0,AD396-IF($A446&gt;=('1-Input'!$C$12-1),'1-Input'!$B$12,0))+AE446*(1-'P-Parametri'!$B$6*AD446))*(1+'1-Input'!$B$27))</f>
        <v>0</v>
      </c>
      <c r="AG446" s="18">
        <f>IF($A446&gt;'1-Input'!$B$26,AI445,(AI445-AE446)*(1+'5-Roberta'!$C$4))</f>
        <v>-6.4259977089661673</v>
      </c>
      <c r="AH446" s="18">
        <f>IF($A446&gt;'1-Input'!$B$26,AF446,AF446-'P-Parametri'!$B$8*(AG446+AF446)+MIN(MAX(AG446,0),'P-Parametri'!$B$8*(AG446+AF446)))</f>
        <v>0</v>
      </c>
      <c r="AI446" s="18">
        <f>IF($A446&gt;'1-Input'!$B$26,AG446,AG446-MIN(MAX(AG446,0),'P-Parametri'!$B$8*(AG446+AF446)))</f>
        <v>-6.4259977089661673</v>
      </c>
      <c r="AJ446" s="18">
        <f>IF($A446&gt;'1-Input'!$B$26,AJ445,AJ445-AE446*(1-AD446))</f>
        <v>-6.2513353979475141</v>
      </c>
      <c r="AK446" s="11">
        <f>IF($A446&gt;'1-Input'!$B$26,0,IF(AP445&lt;=0,0,MAX(0,(AP445-AQ445)/AP445)))</f>
        <v>0</v>
      </c>
      <c r="AL446" s="18">
        <f>IF($A446&gt;'1-Input'!$B$26,0,(MAX(0,AK396-IF($A446&gt;=('1-Input'!$C$12-1),'1-Input'!$B$12,0))-MIN(MAX(AO445,0),MAX(0,AK396-IF($A446&gt;=('1-Input'!$C$12-1),'1-Input'!$B$12,0))))*(1/(1-'P-Parametri'!$B$6*AK446))+MIN(MAX(0,AP445-(MAX(0,AK396-IF($A446&gt;=('1-Input'!$C$12-1),'1-Input'!$B$12,0))-MIN(MAX(AO445,0),MAX(0,AK396-IF($A446&gt;=('1-Input'!$C$12-1),'1-Input'!$B$12,0))))*(1/(1-'P-Parametri'!$B$6*AK446))),MAX(0,2*AK396-(AO445-MIN(MAX(AO445,0),MAX(0,AK396-IF($A446&gt;=('1-Input'!$C$12-1),'1-Input'!$B$12,0)))))*(1/(1-'P-Parametri'!$B$6*AK446))))</f>
        <v>0</v>
      </c>
      <c r="AM446" s="18">
        <f>IF($A446&gt;'1-Input'!$B$26,AO445,(AO445-MAX(0,AK396-IF($A446&gt;=('1-Input'!$C$12-1),'1-Input'!$B$12,0))+AL446*(1-'P-Parametri'!$B$6*AK446))*(1+'1-Input'!$B$27))</f>
        <v>1.989320094756549E-5</v>
      </c>
      <c r="AN446" s="18">
        <f>IF($A446&gt;'1-Input'!$B$26,AP445,(AP445-AL446)*(1+'5-Roberta'!$C$4))</f>
        <v>0</v>
      </c>
      <c r="AO446" s="18">
        <f>IF($A446&gt;'1-Input'!$B$26,AM446,AM446-'P-Parametri'!$B$8*(AN446+AM446)+MIN(MAX(AN446,0),'P-Parametri'!$B$8*(AN446+AM446)))</f>
        <v>1.989320094756549E-5</v>
      </c>
      <c r="AP446" s="18">
        <f>IF($A446&gt;'1-Input'!$B$26,AN446,AN446-MIN(MAX(AN446,0),'P-Parametri'!$B$8*(AN446+AM446)))</f>
        <v>0</v>
      </c>
      <c r="AQ446" s="18">
        <f>IF($A446&gt;'1-Input'!$B$26,AQ445,AQ445-AL446*(1-AK446))</f>
        <v>0</v>
      </c>
    </row>
    <row r="447" spans="1:43">
      <c r="A447" s="4" t="s">
        <v>365</v>
      </c>
      <c r="B447" s="18">
        <f>F446+G446</f>
        <v>150176.93244078982</v>
      </c>
      <c r="I447" s="18">
        <f>M446+N446</f>
        <v>-300709.47728406487</v>
      </c>
      <c r="P447" s="18">
        <f>T446+U446</f>
        <v>-19635.778694464327</v>
      </c>
      <c r="W447" s="18">
        <f>AA446+AB446</f>
        <v>-1136.1041275300151</v>
      </c>
      <c r="AD447" s="18">
        <f>AH446+AI446</f>
        <v>-6.4259977089661673</v>
      </c>
      <c r="AK447" s="18">
        <f>AO446+AP446</f>
        <v>1.989320094756549E-5</v>
      </c>
    </row>
    <row r="448" spans="1:43">
      <c r="A448" s="5" t="s">
        <v>266</v>
      </c>
      <c r="B448" s="18">
        <f>IFERROR(AK396-AK447*(AK396-AD396)/(AK447-AD447),AK396)</f>
        <v>18174.982041026713</v>
      </c>
    </row>
    <row r="450" spans="1:43">
      <c r="A450" s="2" t="s">
        <v>417</v>
      </c>
    </row>
    <row r="451" spans="1:43">
      <c r="A451" s="4" t="s">
        <v>360</v>
      </c>
      <c r="B451" s="9">
        <f>0.038*'2-Caso'!$B$12</f>
        <v>16681.055314625803</v>
      </c>
      <c r="I451" s="9">
        <f>0.05*'2-Caso'!$B$12</f>
        <v>21948.756992928691</v>
      </c>
      <c r="P451" s="18">
        <f>IFERROR(I451-I502*(I451-B451)/(I502-B502),I451)</f>
        <v>18846.034733706216</v>
      </c>
      <c r="W451" s="18">
        <f>IFERROR(P451-P502*(P451-I451)/(P502-I502),P451)</f>
        <v>18603.692151840925</v>
      </c>
      <c r="AD451" s="18">
        <f>IFERROR(W451-W502*(W451-P451)/(W502-P502),W451)</f>
        <v>18608.17806930334</v>
      </c>
      <c r="AK451" s="18">
        <f>IFERROR(AD451-AD502*(AD451-W451)/(AD502-W502),AD451)</f>
        <v>18607.464387258737</v>
      </c>
    </row>
    <row r="452" spans="1:43" ht="45">
      <c r="A452" s="25" t="s">
        <v>262</v>
      </c>
      <c r="B452" s="25" t="s">
        <v>361</v>
      </c>
      <c r="C452" s="25" t="s">
        <v>263</v>
      </c>
      <c r="D452" s="25" t="s">
        <v>362</v>
      </c>
      <c r="E452" s="25" t="s">
        <v>363</v>
      </c>
      <c r="F452" s="25" t="s">
        <v>264</v>
      </c>
      <c r="G452" s="25" t="s">
        <v>265</v>
      </c>
      <c r="H452" s="25" t="s">
        <v>364</v>
      </c>
      <c r="I452" s="25" t="s">
        <v>361</v>
      </c>
      <c r="J452" s="25" t="s">
        <v>263</v>
      </c>
      <c r="K452" s="25" t="s">
        <v>362</v>
      </c>
      <c r="L452" s="25" t="s">
        <v>363</v>
      </c>
      <c r="M452" s="25" t="s">
        <v>264</v>
      </c>
      <c r="N452" s="25" t="s">
        <v>265</v>
      </c>
      <c r="O452" s="25" t="s">
        <v>364</v>
      </c>
      <c r="P452" s="25" t="s">
        <v>361</v>
      </c>
      <c r="Q452" s="25" t="s">
        <v>263</v>
      </c>
      <c r="R452" s="25" t="s">
        <v>362</v>
      </c>
      <c r="S452" s="25" t="s">
        <v>363</v>
      </c>
      <c r="T452" s="25" t="s">
        <v>264</v>
      </c>
      <c r="U452" s="25" t="s">
        <v>265</v>
      </c>
      <c r="V452" s="25" t="s">
        <v>364</v>
      </c>
      <c r="W452" s="25" t="s">
        <v>361</v>
      </c>
      <c r="X452" s="25" t="s">
        <v>263</v>
      </c>
      <c r="Y452" s="25" t="s">
        <v>362</v>
      </c>
      <c r="Z452" s="25" t="s">
        <v>363</v>
      </c>
      <c r="AA452" s="25" t="s">
        <v>264</v>
      </c>
      <c r="AB452" s="25" t="s">
        <v>265</v>
      </c>
      <c r="AC452" s="25" t="s">
        <v>364</v>
      </c>
      <c r="AD452" s="25" t="s">
        <v>361</v>
      </c>
      <c r="AE452" s="25" t="s">
        <v>263</v>
      </c>
      <c r="AF452" s="25" t="s">
        <v>362</v>
      </c>
      <c r="AG452" s="25" t="s">
        <v>363</v>
      </c>
      <c r="AH452" s="25" t="s">
        <v>264</v>
      </c>
      <c r="AI452" s="25" t="s">
        <v>265</v>
      </c>
      <c r="AJ452" s="25" t="s">
        <v>364</v>
      </c>
      <c r="AK452" s="25" t="s">
        <v>361</v>
      </c>
      <c r="AL452" s="25" t="s">
        <v>263</v>
      </c>
      <c r="AM452" s="25" t="s">
        <v>362</v>
      </c>
      <c r="AN452" s="25" t="s">
        <v>363</v>
      </c>
      <c r="AO452" s="25" t="s">
        <v>264</v>
      </c>
      <c r="AP452" s="25" t="s">
        <v>265</v>
      </c>
      <c r="AQ452" s="25" t="s">
        <v>364</v>
      </c>
    </row>
    <row r="453" spans="1:43">
      <c r="A453" s="3">
        <v>0</v>
      </c>
      <c r="F453" s="18">
        <f>MIN(0*B451,'2-Caso'!$B$12)</f>
        <v>0</v>
      </c>
      <c r="G453" s="18">
        <f>'2-Caso'!$B$12-F453</f>
        <v>438975.13985857379</v>
      </c>
      <c r="H453" s="18">
        <f>'2-Caso'!$B$13*G453/'2-Caso'!$B$12</f>
        <v>344000</v>
      </c>
      <c r="M453" s="18">
        <f>MIN(0*I451,'2-Caso'!$B$12)</f>
        <v>0</v>
      </c>
      <c r="N453" s="18">
        <f>'2-Caso'!$B$12-M453</f>
        <v>438975.13985857379</v>
      </c>
      <c r="O453" s="18">
        <f>'2-Caso'!$B$13*N453/'2-Caso'!$B$12</f>
        <v>344000</v>
      </c>
      <c r="T453" s="18">
        <f>MIN(0*P451,'2-Caso'!$B$12)</f>
        <v>0</v>
      </c>
      <c r="U453" s="18">
        <f>'2-Caso'!$B$12-T453</f>
        <v>438975.13985857379</v>
      </c>
      <c r="V453" s="18">
        <f>'2-Caso'!$B$13*U453/'2-Caso'!$B$12</f>
        <v>344000</v>
      </c>
      <c r="AA453" s="18">
        <f>MIN(0*W451,'2-Caso'!$B$12)</f>
        <v>0</v>
      </c>
      <c r="AB453" s="18">
        <f>'2-Caso'!$B$12-AA453</f>
        <v>438975.13985857379</v>
      </c>
      <c r="AC453" s="18">
        <f>'2-Caso'!$B$13*AB453/'2-Caso'!$B$12</f>
        <v>344000</v>
      </c>
      <c r="AH453" s="18">
        <f>MIN(0*AD451,'2-Caso'!$B$12)</f>
        <v>0</v>
      </c>
      <c r="AI453" s="18">
        <f>'2-Caso'!$B$12-AH453</f>
        <v>438975.13985857379</v>
      </c>
      <c r="AJ453" s="18">
        <f>'2-Caso'!$B$13*AI453/'2-Caso'!$B$12</f>
        <v>344000</v>
      </c>
      <c r="AO453" s="18">
        <f>MIN(0*AK451,'2-Caso'!$B$12)</f>
        <v>0</v>
      </c>
      <c r="AP453" s="18">
        <f>'2-Caso'!$B$12-AO453</f>
        <v>438975.13985857379</v>
      </c>
      <c r="AQ453" s="18">
        <f>'2-Caso'!$B$13*AP453/'2-Caso'!$B$12</f>
        <v>344000</v>
      </c>
    </row>
    <row r="454" spans="1:43">
      <c r="A454" s="10">
        <f>1</f>
        <v>1</v>
      </c>
      <c r="B454" s="11">
        <f>IF($A454&gt;'1-Input'!$B$26,0,IF(G453&lt;=0,0,MAX(0,(G453-H453)/G453)))</f>
        <v>0.21635653419729481</v>
      </c>
      <c r="C454" s="18">
        <f>IF($A454&gt;'1-Input'!$B$26,0,(MAX(0,B451-IF($A454&gt;=('1-Input'!$C$12+1),'1-Input'!$B$12,0))-MIN(MAX(F453,0),MAX(0,B451-IF($A454&gt;=('1-Input'!$C$12+1),'1-Input'!$B$12,0))))*(1/(1-'P-Parametri'!$B$6*B454))+MIN(MAX(0,G453-(MAX(0,B451-IF($A454&gt;=('1-Input'!$C$12+1),'1-Input'!$B$12,0))-MIN(MAX(F453,0),MAX(0,B451-IF($A454&gt;=('1-Input'!$C$12+1),'1-Input'!$B$12,0))))*(1/(1-'P-Parametri'!$B$6*B454))),MAX(0,0*B451-(F453-MIN(MAX(F453,0),MAX(0,B451-IF($A454&gt;=('1-Input'!$C$12+1),'1-Input'!$B$12,0)))))*(1/(1-'P-Parametri'!$B$6*B454))))</f>
        <v>17675.340946701614</v>
      </c>
      <c r="D454" s="18">
        <f>IF($A454&gt;'1-Input'!$B$26,F453,(F453-MAX(0,B451-IF($A454&gt;=('1-Input'!$C$12+1),'1-Input'!$B$12,0))+C454*(1-'P-Parametri'!$B$6*B454))*(1+'1-Input'!$B$27))</f>
        <v>-3.6248820833861826E-12</v>
      </c>
      <c r="E454" s="18">
        <f>IF($A454&gt;'1-Input'!$B$26,G453,(G453-C454)*(1+'5-Roberta'!$C$4))</f>
        <v>433938.79287922836</v>
      </c>
      <c r="F454" s="18">
        <f>IF($A454&gt;'1-Input'!$B$26,D454,D454-'P-Parametri'!$B$8*(E454+D454)+MIN(MAX(E454,0),'P-Parametri'!$B$8*(E454+D454)))</f>
        <v>-3.637978807091713E-12</v>
      </c>
      <c r="G454" s="18">
        <f>IF($A454&gt;'1-Input'!$B$26,E454,E454-MIN(MAX(E454,0),'P-Parametri'!$B$8*(E454+D454)))</f>
        <v>433070.91529346991</v>
      </c>
      <c r="H454" s="18">
        <f>IF($A454&gt;'1-Input'!$B$26,H453,H453-C454*(1-B454))</f>
        <v>330148.8345612823</v>
      </c>
      <c r="I454" s="11">
        <f>IF($A454&gt;'1-Input'!$B$26,0,IF(N453&lt;=0,0,MAX(0,(N453-O453)/N453)))</f>
        <v>0.21635653419729481</v>
      </c>
      <c r="J454" s="18">
        <f>IF($A454&gt;'1-Input'!$B$26,0,(MAX(0,I451-IF($A454&gt;=('1-Input'!$C$12+1),'1-Input'!$B$12,0))-MIN(MAX(M453,0),MAX(0,I451-IF($A454&gt;=('1-Input'!$C$12+1),'1-Input'!$B$12,0))))*(1/(1-'P-Parametri'!$B$6*I454))+MIN(MAX(0,N453-(MAX(0,I451-IF($A454&gt;=('1-Input'!$C$12+1),'1-Input'!$B$12,0))-MIN(MAX(M453,0),MAX(0,I451-IF($A454&gt;=('1-Input'!$C$12+1),'1-Input'!$B$12,0))))*(1/(1-'P-Parametri'!$B$6*I454))),MAX(0,0*I451-(M453-MIN(MAX(M453,0),MAX(0,I451-IF($A454&gt;=('1-Input'!$C$12+1),'1-Input'!$B$12,0)))))*(1/(1-'P-Parametri'!$B$6*I454))))</f>
        <v>23257.027561449497</v>
      </c>
      <c r="K454" s="18">
        <f>IF($A454&gt;'1-Input'!$B$26,M453,(M453-MAX(0,I451-IF($A454&gt;=('1-Input'!$C$12+1),'1-Input'!$B$12,0))+J454*(1-'P-Parametri'!$B$6*I454))*(1+'1-Input'!$B$27))</f>
        <v>0</v>
      </c>
      <c r="L454" s="18">
        <f>IF($A454&gt;'1-Input'!$B$26,N453,(N453-J454)*(1+'5-Roberta'!$C$4))</f>
        <v>428189.65566603804</v>
      </c>
      <c r="M454" s="18">
        <f>IF($A454&gt;'1-Input'!$B$26,K454,K454-'P-Parametri'!$B$8*(L454+K454)+MIN(MAX(L454,0),'P-Parametri'!$B$8*(L454+K454)))</f>
        <v>0</v>
      </c>
      <c r="N454" s="18">
        <f>IF($A454&gt;'1-Input'!$B$26,L454,L454-MIN(MAX(L454,0),'P-Parametri'!$B$8*(L454+K454)))</f>
        <v>427333.27635470597</v>
      </c>
      <c r="O454" s="18">
        <f>IF($A454&gt;'1-Input'!$B$26,O453,O453-J454*(1-I454))</f>
        <v>325774.7823174767</v>
      </c>
      <c r="P454" s="11">
        <f>IF($A454&gt;'1-Input'!$B$26,0,IF(U453&lt;=0,0,MAX(0,(U453-V453)/U453)))</f>
        <v>0.21635653419729481</v>
      </c>
      <c r="Q454" s="18">
        <f>IF($A454&gt;'1-Input'!$B$26,0,(MAX(0,P451-IF($A454&gt;=('1-Input'!$C$12+1),'1-Input'!$B$12,0))-MIN(MAX(T453,0),MAX(0,P451-IF($A454&gt;=('1-Input'!$C$12+1),'1-Input'!$B$12,0))))*(1/(1-'P-Parametri'!$B$6*P454))+MIN(MAX(0,U453-(MAX(0,P451-IF($A454&gt;=('1-Input'!$C$12+1),'1-Input'!$B$12,0))-MIN(MAX(T453,0),MAX(0,P451-IF($A454&gt;=('1-Input'!$C$12+1),'1-Input'!$B$12,0))))*(1/(1-'P-Parametri'!$B$6*P454))),MAX(0,0*P451-(T453-MIN(MAX(T453,0),MAX(0,P451-IF($A454&gt;=('1-Input'!$C$12+1),'1-Input'!$B$12,0)))))*(1/(1-'P-Parametri'!$B$6*P454))))</f>
        <v>19969.365434545998</v>
      </c>
      <c r="R454" s="18">
        <f>IF($A454&gt;'1-Input'!$B$26,T453,(T453-MAX(0,P451-IF($A454&gt;=('1-Input'!$C$12+1),'1-Input'!$B$12,0))+Q454*(1-'P-Parametri'!$B$6*P454))*(1+'1-Input'!$B$27))</f>
        <v>0</v>
      </c>
      <c r="S454" s="18">
        <f>IF($A454&gt;'1-Input'!$B$26,U453,(U453-Q454)*(1+'5-Roberta'!$C$4))</f>
        <v>431575.94765674858</v>
      </c>
      <c r="T454" s="18">
        <f>IF($A454&gt;'1-Input'!$B$26,R454,R454-'P-Parametri'!$B$8*(S454+R454)+MIN(MAX(S454,0),'P-Parametri'!$B$8*(S454+R454)))</f>
        <v>0</v>
      </c>
      <c r="U454" s="18">
        <f>IF($A454&gt;'1-Input'!$B$26,S454,S454-MIN(MAX(S454,0),'P-Parametri'!$B$8*(S454+R454)))</f>
        <v>430712.79576143506</v>
      </c>
      <c r="V454" s="18">
        <f>IF($A454&gt;'1-Input'!$B$26,V453,V453-Q454*(1-P454))</f>
        <v>328351.13726099161</v>
      </c>
      <c r="W454" s="11">
        <f>IF($A454&gt;'1-Input'!$B$26,0,IF(AB453&lt;=0,0,MAX(0,(AB453-AC453)/AB453)))</f>
        <v>0.21635653419729481</v>
      </c>
      <c r="X454" s="18">
        <f>IF($A454&gt;'1-Input'!$B$26,0,(MAX(0,W451-IF($A454&gt;=('1-Input'!$C$12+1),'1-Input'!$B$12,0))-MIN(MAX(AA453,0),MAX(0,W451-IF($A454&gt;=('1-Input'!$C$12+1),'1-Input'!$B$12,0))))*(1/(1-'P-Parametri'!$B$6*W454))+MIN(MAX(0,AB453-(MAX(0,W451-IF($A454&gt;=('1-Input'!$C$12+1),'1-Input'!$B$12,0))-MIN(MAX(AA453,0),MAX(0,W451-IF($A454&gt;=('1-Input'!$C$12+1),'1-Input'!$B$12,0))))*(1/(1-'P-Parametri'!$B$6*W454))),MAX(0,0*W451-(AA453-MIN(MAX(AA453,0),MAX(0,W451-IF($A454&gt;=('1-Input'!$C$12+1),'1-Input'!$B$12,0)))))*(1/(1-'P-Parametri'!$B$6*W454))))</f>
        <v>19712.577858485554</v>
      </c>
      <c r="Y454" s="18">
        <f>IF($A454&gt;'1-Input'!$B$26,AA453,(AA453-MAX(0,W451-IF($A454&gt;=('1-Input'!$C$12+1),'1-Input'!$B$12,0))+X454*(1-'P-Parametri'!$B$6*W454))*(1+'1-Input'!$B$27))</f>
        <v>0</v>
      </c>
      <c r="Z454" s="18">
        <f>IF($A454&gt;'1-Input'!$B$26,AB453,(AB453-X454)*(1+'5-Roberta'!$C$4))</f>
        <v>431840.43886009086</v>
      </c>
      <c r="AA454" s="18">
        <f>IF($A454&gt;'1-Input'!$B$26,Y454,Y454-'P-Parametri'!$B$8*(Z454+Y454)+MIN(MAX(Z454,0),'P-Parametri'!$B$8*(Z454+Y454)))</f>
        <v>0</v>
      </c>
      <c r="AB454" s="18">
        <f>IF($A454&gt;'1-Input'!$B$26,Z454,Z454-MIN(MAX(Z454,0),'P-Parametri'!$B$8*(Z454+Y454)))</f>
        <v>430976.75798237068</v>
      </c>
      <c r="AC454" s="18">
        <f>IF($A454&gt;'1-Input'!$B$26,AC453,AC453-X454*(1-W454))</f>
        <v>328552.36716707074</v>
      </c>
      <c r="AD454" s="11">
        <f>IF($A454&gt;'1-Input'!$B$26,0,IF(AI453&lt;=0,0,MAX(0,(AI453-AJ453)/AI453)))</f>
        <v>0.21635653419729481</v>
      </c>
      <c r="AE454" s="18">
        <f>IF($A454&gt;'1-Input'!$B$26,0,(MAX(0,AD451-IF($A454&gt;=('1-Input'!$C$12+1),'1-Input'!$B$12,0))-MIN(MAX(AH453,0),MAX(0,AD451-IF($A454&gt;=('1-Input'!$C$12+1),'1-Input'!$B$12,0))))*(1/(1-'P-Parametri'!$B$6*AD454))+MIN(MAX(0,AI453-(MAX(0,AD451-IF($A454&gt;=('1-Input'!$C$12+1),'1-Input'!$B$12,0))-MIN(MAX(AH453,0),MAX(0,AD451-IF($A454&gt;=('1-Input'!$C$12+1),'1-Input'!$B$12,0))))*(1/(1-'P-Parametri'!$B$6*AD454))),MAX(0,0*AD451-(AH453-MIN(MAX(AH453,0),MAX(0,AD451-IF($A454&gt;=('1-Input'!$C$12+1),'1-Input'!$B$12,0)))))*(1/(1-'P-Parametri'!$B$6*AD454))))</f>
        <v>19717.331162105227</v>
      </c>
      <c r="AF454" s="18">
        <f>IF($A454&gt;'1-Input'!$B$26,AH453,(AH453-MAX(0,AD451-IF($A454&gt;=('1-Input'!$C$12+1),'1-Input'!$B$12,0))+AE454*(1-'P-Parametri'!$B$6*AD454))*(1+'1-Input'!$B$27))</f>
        <v>0</v>
      </c>
      <c r="AG454" s="18">
        <f>IF($A454&gt;'1-Input'!$B$26,AI453,(AI453-AE454)*(1+'5-Roberta'!$C$4))</f>
        <v>431835.54295736266</v>
      </c>
      <c r="AH454" s="18">
        <f>IF($A454&gt;'1-Input'!$B$26,AF454,AF454-'P-Parametri'!$B$8*(AG454+AF454)+MIN(MAX(AG454,0),'P-Parametri'!$B$8*(AG454+AF454)))</f>
        <v>0</v>
      </c>
      <c r="AI454" s="18">
        <f>IF($A454&gt;'1-Input'!$B$26,AG454,AG454-MIN(MAX(AG454,0),'P-Parametri'!$B$8*(AG454+AF454)))</f>
        <v>430971.87187144795</v>
      </c>
      <c r="AJ454" s="18">
        <f>IF($A454&gt;'1-Input'!$B$26,AJ453,AJ453-AE454*(1-AD454))</f>
        <v>328548.64227174816</v>
      </c>
      <c r="AK454" s="11">
        <f>IF($A454&gt;'1-Input'!$B$26,0,IF(AP453&lt;=0,0,MAX(0,(AP453-AQ453)/AP453)))</f>
        <v>0.21635653419729481</v>
      </c>
      <c r="AL454" s="18">
        <f>IF($A454&gt;'1-Input'!$B$26,0,(MAX(0,AK451-IF($A454&gt;=('1-Input'!$C$12+1),'1-Input'!$B$12,0))-MIN(MAX(AO453,0),MAX(0,AK451-IF($A454&gt;=('1-Input'!$C$12+1),'1-Input'!$B$12,0))))*(1/(1-'P-Parametri'!$B$6*AK454))+MIN(MAX(0,AP453-(MAX(0,AK451-IF($A454&gt;=('1-Input'!$C$12+1),'1-Input'!$B$12,0))-MIN(MAX(AO453,0),MAX(0,AK451-IF($A454&gt;=('1-Input'!$C$12+1),'1-Input'!$B$12,0))))*(1/(1-'P-Parametri'!$B$6*AK454))),MAX(0,0*AK451-(AO453-MIN(MAX(AO453,0),MAX(0,AK451-IF($A454&gt;=('1-Input'!$C$12+1),'1-Input'!$B$12,0)))))*(1/(1-'P-Parametri'!$B$6*AK454))))</f>
        <v>19716.57494055761</v>
      </c>
      <c r="AM454" s="18">
        <f>IF($A454&gt;'1-Input'!$B$26,AO453,(AO453-MAX(0,AK451-IF($A454&gt;=('1-Input'!$C$12+1),'1-Input'!$B$12,0))+AL454*(1-'P-Parametri'!$B$6*AK454))*(1+'1-Input'!$B$27))</f>
        <v>0</v>
      </c>
      <c r="AN454" s="18">
        <f>IF($A454&gt;'1-Input'!$B$26,AP453,(AP453-AL454)*(1+'5-Roberta'!$C$4))</f>
        <v>431836.3218655567</v>
      </c>
      <c r="AO454" s="18">
        <f>IF($A454&gt;'1-Input'!$B$26,AM454,AM454-'P-Parametri'!$B$8*(AN454+AM454)+MIN(MAX(AN454,0),'P-Parametri'!$B$8*(AN454+AM454)))</f>
        <v>0</v>
      </c>
      <c r="AP454" s="18">
        <f>IF($A454&gt;'1-Input'!$B$26,AN454,AN454-MIN(MAX(AN454,0),'P-Parametri'!$B$8*(AN454+AM454)))</f>
        <v>430972.64922182559</v>
      </c>
      <c r="AQ454" s="18">
        <f>IF($A454&gt;'1-Input'!$B$26,AQ453,AQ453-AL454*(1-AK454))</f>
        <v>328549.23487982264</v>
      </c>
    </row>
    <row r="455" spans="1:43">
      <c r="A455" s="10">
        <f>2</f>
        <v>2</v>
      </c>
      <c r="B455" s="11">
        <f>IF($A455&gt;'1-Input'!$B$26,0,IF(G454&lt;=0,0,MAX(0,(G454-H454)/G454)))</f>
        <v>0.23765641399040294</v>
      </c>
      <c r="C455" s="18">
        <f>IF($A455&gt;'1-Input'!$B$26,0,(MAX(0,B451-IF($A455&gt;=('1-Input'!$C$12+1),'1-Input'!$B$12,0))-MIN(MAX(F454,0),MAX(0,B451-IF($A455&gt;=('1-Input'!$C$12+1),'1-Input'!$B$12,0))))*(1/(1-'P-Parametri'!$B$6*B455))+MIN(MAX(0,G454-(MAX(0,B451-IF($A455&gt;=('1-Input'!$C$12+1),'1-Input'!$B$12,0))-MIN(MAX(F454,0),MAX(0,B451-IF($A455&gt;=('1-Input'!$C$12+1),'1-Input'!$B$12,0))))*(1/(1-'P-Parametri'!$B$6*B455))),MAX(0,0*B451-(F454-MIN(MAX(F454,0),MAX(0,B451-IF($A455&gt;=('1-Input'!$C$12+1),'1-Input'!$B$12,0)))))*(1/(1-'P-Parametri'!$B$6*B455))))</f>
        <v>17779.673191505583</v>
      </c>
      <c r="D455" s="18">
        <f>IF($A455&gt;'1-Input'!$B$26,F454,(F454-MAX(0,B451-IF($A455&gt;=('1-Input'!$C$12+1),'1-Input'!$B$12,0))+C455*(1-'P-Parametri'!$B$6*B455))*(1+'1-Input'!$B$27))</f>
        <v>0</v>
      </c>
      <c r="E455" s="18">
        <f>IF($A455&gt;'1-Input'!$B$26,G454,(G454-C455)*(1+'5-Roberta'!$C$4))</f>
        <v>427749.97936502326</v>
      </c>
      <c r="F455" s="18">
        <f>IF($A455&gt;'1-Input'!$B$26,D455,D455-'P-Parametri'!$B$8*(E455+D455)+MIN(MAX(E455,0),'P-Parametri'!$B$8*(E455+D455)))</f>
        <v>0</v>
      </c>
      <c r="G455" s="18">
        <f>IF($A455&gt;'1-Input'!$B$26,E455,E455-MIN(MAX(E455,0),'P-Parametri'!$B$8*(E455+D455)))</f>
        <v>426894.47940629319</v>
      </c>
      <c r="H455" s="18">
        <f>IF($A455&gt;'1-Input'!$B$26,H454,H454-C455*(1-B455))</f>
        <v>316594.61474239122</v>
      </c>
      <c r="I455" s="11">
        <f>IF($A455&gt;'1-Input'!$B$26,0,IF(N454&lt;=0,0,MAX(0,(N454-O454)/N454)))</f>
        <v>0.23765641399040296</v>
      </c>
      <c r="J455" s="18">
        <f>IF($A455&gt;'1-Input'!$B$26,0,(MAX(0,I451-IF($A455&gt;=('1-Input'!$C$12+1),'1-Input'!$B$12,0))-MIN(MAX(M454,0),MAX(0,I451-IF($A455&gt;=('1-Input'!$C$12+1),'1-Input'!$B$12,0))))*(1/(1-'P-Parametri'!$B$6*I455))+MIN(MAX(0,N454-(MAX(0,I451-IF($A455&gt;=('1-Input'!$C$12+1),'1-Input'!$B$12,0))-MIN(MAX(M454,0),MAX(0,I451-IF($A455&gt;=('1-Input'!$C$12+1),'1-Input'!$B$12,0))))*(1/(1-'P-Parametri'!$B$6*I455))),MAX(0,0*I451-(M454-MIN(MAX(M454,0),MAX(0,I451-IF($A455&gt;=('1-Input'!$C$12+1),'1-Input'!$B$12,0)))))*(1/(1-'P-Parametri'!$B$6*I455))))</f>
        <v>23394.306830928395</v>
      </c>
      <c r="K455" s="18">
        <f>IF($A455&gt;'1-Input'!$B$26,M454,(M454-MAX(0,I451-IF($A455&gt;=('1-Input'!$C$12+1),'1-Input'!$B$12,0))+J455*(1-'P-Parametri'!$B$6*I455))*(1+'1-Input'!$B$27))</f>
        <v>0</v>
      </c>
      <c r="L455" s="18">
        <f>IF($A455&gt;'1-Input'!$B$26,N454,(N454-J455)*(1+'5-Roberta'!$C$4))</f>
        <v>416057.13860949094</v>
      </c>
      <c r="M455" s="18">
        <f>IF($A455&gt;'1-Input'!$B$26,K455,K455-'P-Parametri'!$B$8*(L455+K455)+MIN(MAX(L455,0),'P-Parametri'!$B$8*(L455+K455)))</f>
        <v>0</v>
      </c>
      <c r="N455" s="18">
        <f>IF($A455&gt;'1-Input'!$B$26,L455,L455-MIN(MAX(L455,0),'P-Parametri'!$B$8*(L455+K455)))</f>
        <v>415225.02433227195</v>
      </c>
      <c r="O455" s="18">
        <f>IF($A455&gt;'1-Input'!$B$26,O454,O454-J455*(1-I455))</f>
        <v>307940.28255577793</v>
      </c>
      <c r="P455" s="11">
        <f>IF($A455&gt;'1-Input'!$B$26,0,IF(U454&lt;=0,0,MAX(0,(U454-V454)/U454)))</f>
        <v>0.23765641399040285</v>
      </c>
      <c r="Q455" s="18">
        <f>IF($A455&gt;'1-Input'!$B$26,0,(MAX(0,P451-IF($A455&gt;=('1-Input'!$C$12+1),'1-Input'!$B$12,0))-MIN(MAX(T454,0),MAX(0,P451-IF($A455&gt;=('1-Input'!$C$12+1),'1-Input'!$B$12,0))))*(1/(1-'P-Parametri'!$B$6*P455))+MIN(MAX(0,U454-(MAX(0,P451-IF($A455&gt;=('1-Input'!$C$12+1),'1-Input'!$B$12,0))-MIN(MAX(T454,0),MAX(0,P451-IF($A455&gt;=('1-Input'!$C$12+1),'1-Input'!$B$12,0))))*(1/(1-'P-Parametri'!$B$6*P455))),MAX(0,0*P451-(T454-MIN(MAX(T454,0),MAX(0,P451-IF($A455&gt;=('1-Input'!$C$12+1),'1-Input'!$B$12,0)))))*(1/(1-'P-Parametri'!$B$6*P455))))</f>
        <v>20087.238618965996</v>
      </c>
      <c r="R455" s="18">
        <f>IF($A455&gt;'1-Input'!$B$26,T454,(T454-MAX(0,P451-IF($A455&gt;=('1-Input'!$C$12+1),'1-Input'!$B$12,0))+Q455*(1-'P-Parametri'!$B$6*P455))*(1+'1-Input'!$B$27))</f>
        <v>3.6248820833861826E-12</v>
      </c>
      <c r="S455" s="18">
        <f>IF($A455&gt;'1-Input'!$B$26,U454,(U454-Q455)*(1+'5-Roberta'!$C$4))</f>
        <v>422944.32385674311</v>
      </c>
      <c r="T455" s="18">
        <f>IF($A455&gt;'1-Input'!$B$26,R455,R455-'P-Parametri'!$B$8*(S455+R455)+MIN(MAX(S455,0),'P-Parametri'!$B$8*(S455+R455)))</f>
        <v>3.637978807091713E-12</v>
      </c>
      <c r="U455" s="18">
        <f>IF($A455&gt;'1-Input'!$B$26,S455,S455-MIN(MAX(S455,0),'P-Parametri'!$B$8*(S455+R455)))</f>
        <v>422098.43520902965</v>
      </c>
      <c r="V455" s="18">
        <f>IF($A455&gt;'1-Input'!$B$26,V454,V454-Q455*(1-P455))</f>
        <v>313037.75973917858</v>
      </c>
      <c r="W455" s="11">
        <f>IF($A455&gt;'1-Input'!$B$26,0,IF(AB454&lt;=0,0,MAX(0,(AB454-AC454)/AB454)))</f>
        <v>0.23765641399040283</v>
      </c>
      <c r="X455" s="18">
        <f>IF($A455&gt;'1-Input'!$B$26,0,(MAX(0,W451-IF($A455&gt;=('1-Input'!$C$12+1),'1-Input'!$B$12,0))-MIN(MAX(AA454,0),MAX(0,W451-IF($A455&gt;=('1-Input'!$C$12+1),'1-Input'!$B$12,0))))*(1/(1-'P-Parametri'!$B$6*W455))+MIN(MAX(0,AB454-(MAX(0,W451-IF($A455&gt;=('1-Input'!$C$12+1),'1-Input'!$B$12,0))-MIN(MAX(AA454,0),MAX(0,W451-IF($A455&gt;=('1-Input'!$C$12+1),'1-Input'!$B$12,0))))*(1/(1-'P-Parametri'!$B$6*W455))),MAX(0,0*W451-(AA454-MIN(MAX(AA454,0),MAX(0,W451-IF($A455&gt;=('1-Input'!$C$12+1),'1-Input'!$B$12,0)))))*(1/(1-'P-Parametri'!$B$6*W455))))</f>
        <v>19828.935302737995</v>
      </c>
      <c r="Y455" s="18">
        <f>IF($A455&gt;'1-Input'!$B$26,AA454,(AA454-MAX(0,W451-IF($A455&gt;=('1-Input'!$C$12+1),'1-Input'!$B$12,0))+X455*(1-'P-Parametri'!$B$6*W455))*(1+'1-Input'!$B$27))</f>
        <v>0</v>
      </c>
      <c r="Z455" s="18">
        <f>IF($A455&gt;'1-Input'!$B$26,AB454,(AB454-X455)*(1+'5-Roberta'!$C$4))</f>
        <v>423482.2573600217</v>
      </c>
      <c r="AA455" s="18">
        <f>IF($A455&gt;'1-Input'!$B$26,Y455,Y455-'P-Parametri'!$B$8*(Z455+Y455)+MIN(MAX(Z455,0),'P-Parametri'!$B$8*(Z455+Y455)))</f>
        <v>0</v>
      </c>
      <c r="AB455" s="18">
        <f>IF($A455&gt;'1-Input'!$B$26,Z455,Z455-MIN(MAX(Z455,0),'P-Parametri'!$B$8*(Z455+Y455)))</f>
        <v>422635.29284530168</v>
      </c>
      <c r="AC455" s="18">
        <f>IF($A455&gt;'1-Input'!$B$26,AC454,AC454-X455*(1-W455))</f>
        <v>313435.90552162915</v>
      </c>
      <c r="AD455" s="11">
        <f>IF($A455&gt;'1-Input'!$B$26,0,IF(AI454&lt;=0,0,MAX(0,(AI454-AJ454)/AI454)))</f>
        <v>0.23765641399040308</v>
      </c>
      <c r="AE455" s="18">
        <f>IF($A455&gt;'1-Input'!$B$26,0,(MAX(0,AD451-IF($A455&gt;=('1-Input'!$C$12+1),'1-Input'!$B$12,0))-MIN(MAX(AH454,0),MAX(0,AD451-IF($A455&gt;=('1-Input'!$C$12+1),'1-Input'!$B$12,0))))*(1/(1-'P-Parametri'!$B$6*AD455))+MIN(MAX(0,AI454-(MAX(0,AD451-IF($A455&gt;=('1-Input'!$C$12+1),'1-Input'!$B$12,0))-MIN(MAX(AH454,0),MAX(0,AD451-IF($A455&gt;=('1-Input'!$C$12+1),'1-Input'!$B$12,0))))*(1/(1-'P-Parametri'!$B$6*AD455))),MAX(0,0*AD451-(AH454-MIN(MAX(AH454,0),MAX(0,AD451-IF($A455&gt;=('1-Input'!$C$12+1),'1-Input'!$B$12,0)))))*(1/(1-'P-Parametri'!$B$6*AD455))))</f>
        <v>19833.716663685576</v>
      </c>
      <c r="AF455" s="18">
        <f>IF($A455&gt;'1-Input'!$B$26,AH454,(AH454-MAX(0,AD451-IF($A455&gt;=('1-Input'!$C$12+1),'1-Input'!$B$12,0))+AE455*(1-'P-Parametri'!$B$6*AD455))*(1+'1-Input'!$B$27))</f>
        <v>0</v>
      </c>
      <c r="AG455" s="18">
        <f>IF($A455&gt;'1-Input'!$B$26,AI454,(AI454-AE455)*(1+'5-Roberta'!$C$4))</f>
        <v>423472.29986399529</v>
      </c>
      <c r="AH455" s="18">
        <f>IF($A455&gt;'1-Input'!$B$26,AF455,AF455-'P-Parametri'!$B$8*(AG455+AF455)+MIN(MAX(AG455,0),'P-Parametri'!$B$8*(AG455+AF455)))</f>
        <v>0</v>
      </c>
      <c r="AI455" s="18">
        <f>IF($A455&gt;'1-Input'!$B$26,AG455,AG455-MIN(MAX(AG455,0),'P-Parametri'!$B$8*(AG455+AF455)))</f>
        <v>422625.3552642673</v>
      </c>
      <c r="AJ455" s="18">
        <f>IF($A455&gt;'1-Input'!$B$26,AJ454,AJ454-AE455*(1-AD455))</f>
        <v>313428.53558645578</v>
      </c>
      <c r="AK455" s="11">
        <f>IF($A455&gt;'1-Input'!$B$26,0,IF(AP454&lt;=0,0,MAX(0,(AP454-AQ454)/AP454)))</f>
        <v>0.23765641399040308</v>
      </c>
      <c r="AL455" s="18">
        <f>IF($A455&gt;'1-Input'!$B$26,0,(MAX(0,AK451-IF($A455&gt;=('1-Input'!$C$12+1),'1-Input'!$B$12,0))-MIN(MAX(AO454,0),MAX(0,AK451-IF($A455&gt;=('1-Input'!$C$12+1),'1-Input'!$B$12,0))))*(1/(1-'P-Parametri'!$B$6*AK455))+MIN(MAX(0,AP454-(MAX(0,AK451-IF($A455&gt;=('1-Input'!$C$12+1),'1-Input'!$B$12,0))-MIN(MAX(AO454,0),MAX(0,AK451-IF($A455&gt;=('1-Input'!$C$12+1),'1-Input'!$B$12,0))))*(1/(1-'P-Parametri'!$B$6*AK455))),MAX(0,0*AK451-(AO454-MIN(MAX(AO454,0),MAX(0,AK451-IF($A455&gt;=('1-Input'!$C$12+1),'1-Input'!$B$12,0)))))*(1/(1-'P-Parametri'!$B$6*AK455))))</f>
        <v>19832.955978388611</v>
      </c>
      <c r="AM455" s="18">
        <f>IF($A455&gt;'1-Input'!$B$26,AO454,(AO454-MAX(0,AK451-IF($A455&gt;=('1-Input'!$C$12+1),'1-Input'!$B$12,0))+AL455*(1-'P-Parametri'!$B$6*AK455))*(1+'1-Input'!$B$27))</f>
        <v>0</v>
      </c>
      <c r="AN455" s="18">
        <f>IF($A455&gt;'1-Input'!$B$26,AP454,(AP454-AL455)*(1+'5-Roberta'!$C$4))</f>
        <v>423473.88404074009</v>
      </c>
      <c r="AO455" s="18">
        <f>IF($A455&gt;'1-Input'!$B$26,AM455,AM455-'P-Parametri'!$B$8*(AN455+AM455)+MIN(MAX(AN455,0),'P-Parametri'!$B$8*(AN455+AM455)))</f>
        <v>0</v>
      </c>
      <c r="AP455" s="18">
        <f>IF($A455&gt;'1-Input'!$B$26,AN455,AN455-MIN(MAX(AN455,0),'P-Parametri'!$B$8*(AN455+AM455)))</f>
        <v>422626.93627265858</v>
      </c>
      <c r="AQ455" s="18">
        <f>IF($A455&gt;'1-Input'!$B$26,AQ454,AQ454-AL455*(1-AK455))</f>
        <v>313429.7080980874</v>
      </c>
    </row>
    <row r="456" spans="1:43">
      <c r="A456" s="10">
        <f>3</f>
        <v>3</v>
      </c>
      <c r="B456" s="11">
        <f>IF($A456&gt;'1-Input'!$B$26,0,IF(G455&lt;=0,0,MAX(0,(G455-H455)/G455)))</f>
        <v>0.25837735080880492</v>
      </c>
      <c r="C456" s="18">
        <f>IF($A456&gt;'1-Input'!$B$26,0,(MAX(0,B451-IF($A456&gt;=('1-Input'!$C$12+1),'1-Input'!$B$12,0))-MIN(MAX(F455,0),MAX(0,B451-IF($A456&gt;=('1-Input'!$C$12+1),'1-Input'!$B$12,0))))*(1/(1-'P-Parametri'!$B$6*B456))+MIN(MAX(0,G455-(MAX(0,B451-IF($A456&gt;=('1-Input'!$C$12+1),'1-Input'!$B$12,0))-MIN(MAX(F455,0),MAX(0,B451-IF($A456&gt;=('1-Input'!$C$12+1),'1-Input'!$B$12,0))))*(1/(1-'P-Parametri'!$B$6*B456))),MAX(0,0*B451-(F455-MIN(MAX(F455,0),MAX(0,B451-IF($A456&gt;=('1-Input'!$C$12+1),'1-Input'!$B$12,0)))))*(1/(1-'P-Parametri'!$B$6*B456))))</f>
        <v>17882.358374189342</v>
      </c>
      <c r="D456" s="18">
        <f>IF($A456&gt;'1-Input'!$B$26,F455,(F455-MAX(0,B451-IF($A456&gt;=('1-Input'!$C$12+1),'1-Input'!$B$12,0))+C456*(1-'P-Parametri'!$B$6*B456))*(1+'1-Input'!$B$27))</f>
        <v>0</v>
      </c>
      <c r="E456" s="18">
        <f>IF($A456&gt;'1-Input'!$B$26,G455,(G455-C456)*(1+'5-Roberta'!$C$4))</f>
        <v>421282.48466306698</v>
      </c>
      <c r="F456" s="18">
        <f>IF($A456&gt;'1-Input'!$B$26,D456,D456-'P-Parametri'!$B$8*(E456+D456)+MIN(MAX(E456,0),'P-Parametri'!$B$8*(E456+D456)))</f>
        <v>0</v>
      </c>
      <c r="G456" s="18">
        <f>IF($A456&gt;'1-Input'!$B$26,E456,E456-MIN(MAX(E456,0),'P-Parametri'!$B$8*(E456+D456)))</f>
        <v>420439.91969374084</v>
      </c>
      <c r="H456" s="18">
        <f>IF($A456&gt;'1-Input'!$B$26,H455,H455-C456*(1-B456))</f>
        <v>303332.65275113855</v>
      </c>
      <c r="I456" s="11">
        <f>IF($A456&gt;'1-Input'!$B$26,0,IF(N455&lt;=0,0,MAX(0,(N455-O455)/N455)))</f>
        <v>0.25837735080880497</v>
      </c>
      <c r="J456" s="18">
        <f>IF($A456&gt;'1-Input'!$B$26,0,(MAX(0,I451-IF($A456&gt;=('1-Input'!$C$12+1),'1-Input'!$B$12,0))-MIN(MAX(M455,0),MAX(0,I451-IF($A456&gt;=('1-Input'!$C$12+1),'1-Input'!$B$12,0))))*(1/(1-'P-Parametri'!$B$6*I456))+MIN(MAX(0,N455-(MAX(0,I451-IF($A456&gt;=('1-Input'!$C$12+1),'1-Input'!$B$12,0))-MIN(MAX(M455,0),MAX(0,I451-IF($A456&gt;=('1-Input'!$C$12+1),'1-Input'!$B$12,0))))*(1/(1-'P-Parametri'!$B$6*I456))),MAX(0,0*I451-(M455-MIN(MAX(M455,0),MAX(0,I451-IF($A456&gt;=('1-Input'!$C$12+1),'1-Input'!$B$12,0)))))*(1/(1-'P-Parametri'!$B$6*I456))))</f>
        <v>23529.418913407029</v>
      </c>
      <c r="K456" s="18">
        <f>IF($A456&gt;'1-Input'!$B$26,M455,(M455-MAX(0,I451-IF($A456&gt;=('1-Input'!$C$12+1),'1-Input'!$B$12,0))+J456*(1-'P-Parametri'!$B$6*I456))*(1+'1-Input'!$B$27))</f>
        <v>-3.6248820833861826E-12</v>
      </c>
      <c r="L456" s="18">
        <f>IF($A456&gt;'1-Input'!$B$26,N455,(N455-J456)*(1+'5-Roberta'!$C$4))</f>
        <v>403446.47358143091</v>
      </c>
      <c r="M456" s="18">
        <f>IF($A456&gt;'1-Input'!$B$26,K456,K456-'P-Parametri'!$B$8*(L456+K456)+MIN(MAX(L456,0),'P-Parametri'!$B$8*(L456+K456)))</f>
        <v>-3.637978807091713E-12</v>
      </c>
      <c r="N456" s="18">
        <f>IF($A456&gt;'1-Input'!$B$26,L456,L456-MIN(MAX(L456,0),'P-Parametri'!$B$8*(L456+K456)))</f>
        <v>402639.58063426806</v>
      </c>
      <c r="O456" s="18">
        <f>IF($A456&gt;'1-Input'!$B$26,O455,O455-J456*(1-I456))</f>
        <v>290490.33256728761</v>
      </c>
      <c r="P456" s="11">
        <f>IF($A456&gt;'1-Input'!$B$26,0,IF(U455&lt;=0,0,MAX(0,(U455-V455)/U455)))</f>
        <v>0.25837735080880492</v>
      </c>
      <c r="Q456" s="18">
        <f>IF($A456&gt;'1-Input'!$B$26,0,(MAX(0,P451-IF($A456&gt;=('1-Input'!$C$12+1),'1-Input'!$B$12,0))-MIN(MAX(T455,0),MAX(0,P451-IF($A456&gt;=('1-Input'!$C$12+1),'1-Input'!$B$12,0))))*(1/(1-'P-Parametri'!$B$6*P456))+MIN(MAX(0,U455-(MAX(0,P451-IF($A456&gt;=('1-Input'!$C$12+1),'1-Input'!$B$12,0))-MIN(MAX(T455,0),MAX(0,P451-IF($A456&gt;=('1-Input'!$C$12+1),'1-Input'!$B$12,0))))*(1/(1-'P-Parametri'!$B$6*P456))),MAX(0,0*P451-(T455-MIN(MAX(T455,0),MAX(0,P451-IF($A456&gt;=('1-Input'!$C$12+1),'1-Input'!$B$12,0)))))*(1/(1-'P-Parametri'!$B$6*P456))))</f>
        <v>20203.250974479157</v>
      </c>
      <c r="R456" s="18">
        <f>IF($A456&gt;'1-Input'!$B$26,T455,(T455-MAX(0,P451-IF($A456&gt;=('1-Input'!$C$12+1),'1-Input'!$B$12,0))+Q456*(1-'P-Parametri'!$B$6*P456))*(1+'1-Input'!$B$27))</f>
        <v>0</v>
      </c>
      <c r="S456" s="18">
        <f>IF($A456&gt;'1-Input'!$B$26,U455,(U455-Q456)*(1+'5-Roberta'!$C$4))</f>
        <v>413952.03976158705</v>
      </c>
      <c r="T456" s="18">
        <f>IF($A456&gt;'1-Input'!$B$26,R456,R456-'P-Parametri'!$B$8*(S456+R456)+MIN(MAX(S456,0),'P-Parametri'!$B$8*(S456+R456)))</f>
        <v>0</v>
      </c>
      <c r="U456" s="18">
        <f>IF($A456&gt;'1-Input'!$B$26,S456,S456-MIN(MAX(S456,0),'P-Parametri'!$B$8*(S456+R456)))</f>
        <v>413124.13568206388</v>
      </c>
      <c r="V456" s="18">
        <f>IF($A456&gt;'1-Input'!$B$26,V455,V455-Q456*(1-P456))</f>
        <v>298054.57122921076</v>
      </c>
      <c r="W456" s="11">
        <f>IF($A456&gt;'1-Input'!$B$26,0,IF(AB455&lt;=0,0,MAX(0,(AB455-AC455)/AB455)))</f>
        <v>0.25837735080880497</v>
      </c>
      <c r="X456" s="18">
        <f>IF($A456&gt;'1-Input'!$B$26,0,(MAX(0,W451-IF($A456&gt;=('1-Input'!$C$12+1),'1-Input'!$B$12,0))-MIN(MAX(AA455,0),MAX(0,W451-IF($A456&gt;=('1-Input'!$C$12+1),'1-Input'!$B$12,0))))*(1/(1-'P-Parametri'!$B$6*W456))+MIN(MAX(0,AB455-(MAX(0,W451-IF($A456&gt;=('1-Input'!$C$12+1),'1-Input'!$B$12,0))-MIN(MAX(AA455,0),MAX(0,W451-IF($A456&gt;=('1-Input'!$C$12+1),'1-Input'!$B$12,0))))*(1/(1-'P-Parametri'!$B$6*W456))),MAX(0,0*W451-(AA455-MIN(MAX(AA455,0),MAX(0,W451-IF($A456&gt;=('1-Input'!$C$12+1),'1-Input'!$B$12,0)))))*(1/(1-'P-Parametri'!$B$6*W456))))</f>
        <v>19943.455846622848</v>
      </c>
      <c r="Y456" s="18">
        <f>IF($A456&gt;'1-Input'!$B$26,AA455,(AA455-MAX(0,W451-IF($A456&gt;=('1-Input'!$C$12+1),'1-Input'!$B$12,0))+X456*(1-'P-Parametri'!$B$6*W456))*(1+'1-Input'!$B$27))</f>
        <v>0</v>
      </c>
      <c r="Z456" s="18">
        <f>IF($A456&gt;'1-Input'!$B$26,AB455,(AB455-X456)*(1+'5-Roberta'!$C$4))</f>
        <v>414772.59210863925</v>
      </c>
      <c r="AA456" s="18">
        <f>IF($A456&gt;'1-Input'!$B$26,Y456,Y456-'P-Parametri'!$B$8*(Z456+Y456)+MIN(MAX(Z456,0),'P-Parametri'!$B$8*(Z456+Y456)))</f>
        <v>0</v>
      </c>
      <c r="AB456" s="18">
        <f>IF($A456&gt;'1-Input'!$B$26,Z456,Z456-MIN(MAX(Z456,0),'P-Parametri'!$B$8*(Z456+Y456)))</f>
        <v>413943.04692442197</v>
      </c>
      <c r="AC456" s="18">
        <f>IF($A456&gt;'1-Input'!$B$26,AC455,AC455-X456*(1-W456))</f>
        <v>298645.3869626291</v>
      </c>
      <c r="AD456" s="11">
        <f>IF($A456&gt;'1-Input'!$B$26,0,IF(AI455&lt;=0,0,MAX(0,(AI455-AJ455)/AI455)))</f>
        <v>0.2583773508088052</v>
      </c>
      <c r="AE456" s="18">
        <f>IF($A456&gt;'1-Input'!$B$26,0,(MAX(0,AD451-IF($A456&gt;=('1-Input'!$C$12+1),'1-Input'!$B$12,0))-MIN(MAX(AH455,0),MAX(0,AD451-IF($A456&gt;=('1-Input'!$C$12+1),'1-Input'!$B$12,0))))*(1/(1-'P-Parametri'!$B$6*AD456))+MIN(MAX(0,AI455-(MAX(0,AD451-IF($A456&gt;=('1-Input'!$C$12+1),'1-Input'!$B$12,0))-MIN(MAX(AH455,0),MAX(0,AD451-IF($A456&gt;=('1-Input'!$C$12+1),'1-Input'!$B$12,0))))*(1/(1-'P-Parametri'!$B$6*AD456))),MAX(0,0*AD451-(AH455-MIN(MAX(AH455,0),MAX(0,AD451-IF($A456&gt;=('1-Input'!$C$12+1),'1-Input'!$B$12,0)))))*(1/(1-'P-Parametri'!$B$6*AD456))))</f>
        <v>19948.264821965651</v>
      </c>
      <c r="AF456" s="18">
        <f>IF($A456&gt;'1-Input'!$B$26,AH455,(AH455-MAX(0,AD451-IF($A456&gt;=('1-Input'!$C$12+1),'1-Input'!$B$12,0))+AE456*(1-'P-Parametri'!$B$6*AD456))*(1+'1-Input'!$B$27))</f>
        <v>0</v>
      </c>
      <c r="AG456" s="18">
        <f>IF($A456&gt;'1-Input'!$B$26,AI455,(AI455-AE456)*(1+'5-Roberta'!$C$4))</f>
        <v>414757.40315557073</v>
      </c>
      <c r="AH456" s="18">
        <f>IF($A456&gt;'1-Input'!$B$26,AF456,AF456-'P-Parametri'!$B$8*(AG456+AF456)+MIN(MAX(AG456,0),'P-Parametri'!$B$8*(AG456+AF456)))</f>
        <v>0</v>
      </c>
      <c r="AI456" s="18">
        <f>IF($A456&gt;'1-Input'!$B$26,AG456,AG456-MIN(MAX(AG456,0),'P-Parametri'!$B$8*(AG456+AF456)))</f>
        <v>413927.88834925956</v>
      </c>
      <c r="AJ456" s="18">
        <f>IF($A456&gt;'1-Input'!$B$26,AJ455,AJ455-AE456*(1-AD456))</f>
        <v>298634.45058242208</v>
      </c>
      <c r="AK456" s="11">
        <f>IF($A456&gt;'1-Input'!$B$26,0,IF(AP455&lt;=0,0,MAX(0,(AP455-AQ455)/AP455)))</f>
        <v>0.25837735080880497</v>
      </c>
      <c r="AL456" s="18">
        <f>IF($A456&gt;'1-Input'!$B$26,0,(MAX(0,AK451-IF($A456&gt;=('1-Input'!$C$12+1),'1-Input'!$B$12,0))-MIN(MAX(AO455,0),MAX(0,AK451-IF($A456&gt;=('1-Input'!$C$12+1),'1-Input'!$B$12,0))))*(1/(1-'P-Parametri'!$B$6*AK456))+MIN(MAX(0,AP455-(MAX(0,AK451-IF($A456&gt;=('1-Input'!$C$12+1),'1-Input'!$B$12,0))-MIN(MAX(AO455,0),MAX(0,AK451-IF($A456&gt;=('1-Input'!$C$12+1),'1-Input'!$B$12,0))))*(1/(1-'P-Parametri'!$B$6*AK456))),MAX(0,0*AK451-(AO455-MIN(MAX(AO455,0),MAX(0,AK451-IF($A456&gt;=('1-Input'!$C$12+1),'1-Input'!$B$12,0)))))*(1/(1-'P-Parametri'!$B$6*AK456))))</f>
        <v>19947.499743387219</v>
      </c>
      <c r="AM456" s="18">
        <f>IF($A456&gt;'1-Input'!$B$26,AO455,(AO455-MAX(0,AK451-IF($A456&gt;=('1-Input'!$C$12+1),'1-Input'!$B$12,0))+AL456*(1-'P-Parametri'!$B$6*AK456))*(1+'1-Input'!$B$27))</f>
        <v>0</v>
      </c>
      <c r="AN456" s="18">
        <f>IF($A456&gt;'1-Input'!$B$26,AP455,(AP455-AL456)*(1+'5-Roberta'!$C$4))</f>
        <v>414759.81962514954</v>
      </c>
      <c r="AO456" s="18">
        <f>IF($A456&gt;'1-Input'!$B$26,AM456,AM456-'P-Parametri'!$B$8*(AN456+AM456)+MIN(MAX(AN456,0),'P-Parametri'!$B$8*(AN456+AM456)))</f>
        <v>0</v>
      </c>
      <c r="AP456" s="18">
        <f>IF($A456&gt;'1-Input'!$B$26,AN456,AN456-MIN(MAX(AN456,0),'P-Parametri'!$B$8*(AN456+AM456)))</f>
        <v>413930.29998589924</v>
      </c>
      <c r="AQ456" s="18">
        <f>IF($A456&gt;'1-Input'!$B$26,AQ455,AQ455-AL456*(1-AK456))</f>
        <v>298636.19049365591</v>
      </c>
    </row>
    <row r="457" spans="1:43">
      <c r="A457" s="10">
        <f>4</f>
        <v>4</v>
      </c>
      <c r="B457" s="11">
        <f>IF($A457&gt;'1-Input'!$B$26,0,IF(G456&lt;=0,0,MAX(0,(G456-H456)/G456)))</f>
        <v>0.27853508065529603</v>
      </c>
      <c r="C457" s="18">
        <f>IF($A457&gt;'1-Input'!$B$26,0,(MAX(0,B451-IF($A457&gt;=('1-Input'!$C$12+1),'1-Input'!$B$12,0))-MIN(MAX(F456,0),MAX(0,B451-IF($A457&gt;=('1-Input'!$C$12+1),'1-Input'!$B$12,0))))*(1/(1-'P-Parametri'!$B$6*B457))+MIN(MAX(0,G456-(MAX(0,B451-IF($A457&gt;=('1-Input'!$C$12+1),'1-Input'!$B$12,0))-MIN(MAX(F456,0),MAX(0,B451-IF($A457&gt;=('1-Input'!$C$12+1),'1-Input'!$B$12,0))))*(1/(1-'P-Parametri'!$B$6*B457))),MAX(0,0*B451-(F456-MIN(MAX(F456,0),MAX(0,B451-IF($A457&gt;=('1-Input'!$C$12+1),'1-Input'!$B$12,0)))))*(1/(1-'P-Parametri'!$B$6*B457))))</f>
        <v>17983.397126595017</v>
      </c>
      <c r="D457" s="18">
        <f>IF($A457&gt;'1-Input'!$B$26,F456,(F456-MAX(0,B451-IF($A457&gt;=('1-Input'!$C$12+1),'1-Input'!$B$12,0))+C457*(1-'P-Parametri'!$B$6*B457))*(1+'1-Input'!$B$27))</f>
        <v>0</v>
      </c>
      <c r="E457" s="18">
        <f>IF($A457&gt;'1-Input'!$B$26,G456,(G456-C457)*(1+'5-Roberta'!$C$4))</f>
        <v>414530.21824416018</v>
      </c>
      <c r="F457" s="18">
        <f>IF($A457&gt;'1-Input'!$B$26,D457,D457-'P-Parametri'!$B$8*(E457+D457)+MIN(MAX(E457,0),'P-Parametri'!$B$8*(E457+D457)))</f>
        <v>0</v>
      </c>
      <c r="G457" s="18">
        <f>IF($A457&gt;'1-Input'!$B$26,E457,E457-MIN(MAX(E457,0),'P-Parametri'!$B$8*(E457+D457)))</f>
        <v>413701.15780767187</v>
      </c>
      <c r="H457" s="18">
        <f>IF($A457&gt;'1-Input'!$B$26,H456,H456-C457*(1-B457))</f>
        <v>290358.26259365591</v>
      </c>
      <c r="I457" s="11">
        <f>IF($A457&gt;'1-Input'!$B$26,0,IF(N456&lt;=0,0,MAX(0,(N456-O456)/N456)))</f>
        <v>0.27853508065529609</v>
      </c>
      <c r="J457" s="18">
        <f>IF($A457&gt;'1-Input'!$B$26,0,(MAX(0,I451-IF($A457&gt;=('1-Input'!$C$12+1),'1-Input'!$B$12,0))-MIN(MAX(M456,0),MAX(0,I451-IF($A457&gt;=('1-Input'!$C$12+1),'1-Input'!$B$12,0))))*(1/(1-'P-Parametri'!$B$6*I457))+MIN(MAX(0,N456-(MAX(0,I451-IF($A457&gt;=('1-Input'!$C$12+1),'1-Input'!$B$12,0))-MIN(MAX(M456,0),MAX(0,I451-IF($A457&gt;=('1-Input'!$C$12+1),'1-Input'!$B$12,0))))*(1/(1-'P-Parametri'!$B$6*I457))),MAX(0,0*I451-(M456-MIN(MAX(M456,0),MAX(0,I451-IF($A457&gt;=('1-Input'!$C$12+1),'1-Input'!$B$12,0)))))*(1/(1-'P-Parametri'!$B$6*I457))))</f>
        <v>23662.364640256612</v>
      </c>
      <c r="K457" s="18">
        <f>IF($A457&gt;'1-Input'!$B$26,M456,(M456-MAX(0,I451-IF($A457&gt;=('1-Input'!$C$12+1),'1-Input'!$B$12,0))+J457*(1-'P-Parametri'!$B$6*I457))*(1+'1-Input'!$B$27))</f>
        <v>3.6248820833861826E-12</v>
      </c>
      <c r="L457" s="18">
        <f>IF($A457&gt;'1-Input'!$B$26,N456,(N456-J457)*(1+'5-Roberta'!$C$4))</f>
        <v>390346.53247383179</v>
      </c>
      <c r="M457" s="18">
        <f>IF($A457&gt;'1-Input'!$B$26,K457,K457-'P-Parametri'!$B$8*(L457+K457)+MIN(MAX(L457,0),'P-Parametri'!$B$8*(L457+K457)))</f>
        <v>3.637978807091713E-12</v>
      </c>
      <c r="N457" s="18">
        <f>IF($A457&gt;'1-Input'!$B$26,L457,L457-MIN(MAX(L457,0),'P-Parametri'!$B$8*(L457+K457)))</f>
        <v>389565.83940888412</v>
      </c>
      <c r="O457" s="18">
        <f>IF($A457&gt;'1-Input'!$B$26,O456,O456-J457*(1-I457))</f>
        <v>273418.76657059992</v>
      </c>
      <c r="P457" s="11">
        <f>IF($A457&gt;'1-Input'!$B$26,0,IF(U456&lt;=0,0,MAX(0,(U456-V456)/U456)))</f>
        <v>0.27853508065529603</v>
      </c>
      <c r="Q457" s="18">
        <f>IF($A457&gt;'1-Input'!$B$26,0,(MAX(0,P451-IF($A457&gt;=('1-Input'!$C$12+1),'1-Input'!$B$12,0))-MIN(MAX(T456,0),MAX(0,P451-IF($A457&gt;=('1-Input'!$C$12+1),'1-Input'!$B$12,0))))*(1/(1-'P-Parametri'!$B$6*P457))+MIN(MAX(0,U456-(MAX(0,P451-IF($A457&gt;=('1-Input'!$C$12+1),'1-Input'!$B$12,0))-MIN(MAX(T456,0),MAX(0,P451-IF($A457&gt;=('1-Input'!$C$12+1),'1-Input'!$B$12,0))))*(1/(1-'P-Parametri'!$B$6*P457))),MAX(0,0*P451-(T456-MIN(MAX(T456,0),MAX(0,P451-IF($A457&gt;=('1-Input'!$C$12+1),'1-Input'!$B$12,0)))))*(1/(1-'P-Parametri'!$B$6*P457))))</f>
        <v>20317.403214932328</v>
      </c>
      <c r="R457" s="18">
        <f>IF($A457&gt;'1-Input'!$B$26,T456,(T456-MAX(0,P451-IF($A457&gt;=('1-Input'!$C$12+1),'1-Input'!$B$12,0))+Q457*(1-'P-Parametri'!$B$6*P457))*(1+'1-Input'!$B$27))</f>
        <v>3.6248820833861826E-12</v>
      </c>
      <c r="S457" s="18">
        <f>IF($A457&gt;'1-Input'!$B$26,U456,(U456-Q457)*(1+'5-Roberta'!$C$4))</f>
        <v>404590.93444114551</v>
      </c>
      <c r="T457" s="18">
        <f>IF($A457&gt;'1-Input'!$B$26,R457,R457-'P-Parametri'!$B$8*(S457+R457)+MIN(MAX(S457,0),'P-Parametri'!$B$8*(S457+R457)))</f>
        <v>3.637978807091713E-12</v>
      </c>
      <c r="U457" s="18">
        <f>IF($A457&gt;'1-Input'!$B$26,S457,S457-MIN(MAX(S457,0),'P-Parametri'!$B$8*(S457+R457)))</f>
        <v>403781.75257226324</v>
      </c>
      <c r="V457" s="18">
        <f>IF($A457&gt;'1-Input'!$B$26,V456,V456-Q457*(1-P457))</f>
        <v>283396.27755745576</v>
      </c>
      <c r="W457" s="11">
        <f>IF($A457&gt;'1-Input'!$B$26,0,IF(AB456&lt;=0,0,MAX(0,(AB456-AC456)/AB456)))</f>
        <v>0.27853508065529603</v>
      </c>
      <c r="X457" s="18">
        <f>IF($A457&gt;'1-Input'!$B$26,0,(MAX(0,W451-IF($A457&gt;=('1-Input'!$C$12+1),'1-Input'!$B$12,0))-MIN(MAX(AA456,0),MAX(0,W451-IF($A457&gt;=('1-Input'!$C$12+1),'1-Input'!$B$12,0))))*(1/(1-'P-Parametri'!$B$6*W457))+MIN(MAX(0,AB456-(MAX(0,W451-IF($A457&gt;=('1-Input'!$C$12+1),'1-Input'!$B$12,0))-MIN(MAX(AA456,0),MAX(0,W451-IF($A457&gt;=('1-Input'!$C$12+1),'1-Input'!$B$12,0))))*(1/(1-'P-Parametri'!$B$6*W457))),MAX(0,0*W451-(AA456-MIN(MAX(AA456,0),MAX(0,W451-IF($A457&gt;=('1-Input'!$C$12+1),'1-Input'!$B$12,0)))))*(1/(1-'P-Parametri'!$B$6*W457))))</f>
        <v>20056.140194807533</v>
      </c>
      <c r="Y457" s="18">
        <f>IF($A457&gt;'1-Input'!$B$26,AA456,(AA456-MAX(0,W451-IF($A457&gt;=('1-Input'!$C$12+1),'1-Input'!$B$12,0))+X457*(1-'P-Parametri'!$B$6*W457))*(1+'1-Input'!$B$27))</f>
        <v>0</v>
      </c>
      <c r="Z457" s="18">
        <f>IF($A457&gt;'1-Input'!$B$26,AB456,(AB456-X457)*(1+'5-Roberta'!$C$4))</f>
        <v>405703.51393150288</v>
      </c>
      <c r="AA457" s="18">
        <f>IF($A457&gt;'1-Input'!$B$26,Y457,Y457-'P-Parametri'!$B$8*(Z457+Y457)+MIN(MAX(Z457,0),'P-Parametri'!$B$8*(Z457+Y457)))</f>
        <v>0</v>
      </c>
      <c r="AB457" s="18">
        <f>IF($A457&gt;'1-Input'!$B$26,Z457,Z457-MIN(MAX(Z457,0),'P-Parametri'!$B$8*(Z457+Y457)))</f>
        <v>404892.10690363985</v>
      </c>
      <c r="AC457" s="18">
        <f>IF($A457&gt;'1-Input'!$B$26,AC456,AC456-X457*(1-W457))</f>
        <v>284175.58539461618</v>
      </c>
      <c r="AD457" s="11">
        <f>IF($A457&gt;'1-Input'!$B$26,0,IF(AI456&lt;=0,0,MAX(0,(AI456-AJ456)/AI456)))</f>
        <v>0.27853508065529625</v>
      </c>
      <c r="AE457" s="18">
        <f>IF($A457&gt;'1-Input'!$B$26,0,(MAX(0,AD451-IF($A457&gt;=('1-Input'!$C$12+1),'1-Input'!$B$12,0))-MIN(MAX(AH456,0),MAX(0,AD451-IF($A457&gt;=('1-Input'!$C$12+1),'1-Input'!$B$12,0))))*(1/(1-'P-Parametri'!$B$6*AD457))+MIN(MAX(0,AI456-(MAX(0,AD451-IF($A457&gt;=('1-Input'!$C$12+1),'1-Input'!$B$12,0))-MIN(MAX(AH456,0),MAX(0,AD451-IF($A457&gt;=('1-Input'!$C$12+1),'1-Input'!$B$12,0))))*(1/(1-'P-Parametri'!$B$6*AD457))),MAX(0,0*AD451-(AH456-MIN(MAX(AH456,0),MAX(0,AD451-IF($A457&gt;=('1-Input'!$C$12+1),'1-Input'!$B$12,0)))))*(1/(1-'P-Parametri'!$B$6*AD457))))</f>
        <v>20060.976341782778</v>
      </c>
      <c r="AF457" s="18">
        <f>IF($A457&gt;'1-Input'!$B$26,AH456,(AH456-MAX(0,AD451-IF($A457&gt;=('1-Input'!$C$12+1),'1-Input'!$B$12,0))+AE457*(1-'P-Parametri'!$B$6*AD457))*(1+'1-Input'!$B$27))</f>
        <v>0</v>
      </c>
      <c r="AG457" s="18">
        <f>IF($A457&gt;'1-Input'!$B$26,AI456,(AI456-AE457)*(1+'5-Roberta'!$C$4))</f>
        <v>405682.91936770111</v>
      </c>
      <c r="AH457" s="18">
        <f>IF($A457&gt;'1-Input'!$B$26,AF457,AF457-'P-Parametri'!$B$8*(AG457+AF457)+MIN(MAX(AG457,0),'P-Parametri'!$B$8*(AG457+AF457)))</f>
        <v>0</v>
      </c>
      <c r="AI457" s="18">
        <f>IF($A457&gt;'1-Input'!$B$26,AG457,AG457-MIN(MAX(AG457,0),'P-Parametri'!$B$8*(AG457+AF457)))</f>
        <v>404871.55352896568</v>
      </c>
      <c r="AJ457" s="18">
        <f>IF($A457&gt;'1-Input'!$B$26,AJ456,AJ456-AE457*(1-AD457))</f>
        <v>284161.15990402177</v>
      </c>
      <c r="AK457" s="11">
        <f>IF($A457&gt;'1-Input'!$B$26,0,IF(AP456&lt;=0,0,MAX(0,(AP456-AQ456)/AP456)))</f>
        <v>0.27853508065529603</v>
      </c>
      <c r="AL457" s="18">
        <f>IF($A457&gt;'1-Input'!$B$26,0,(MAX(0,AK451-IF($A457&gt;=('1-Input'!$C$12+1),'1-Input'!$B$12,0))-MIN(MAX(AO456,0),MAX(0,AK451-IF($A457&gt;=('1-Input'!$C$12+1),'1-Input'!$B$12,0))))*(1/(1-'P-Parametri'!$B$6*AK457))+MIN(MAX(0,AP456-(MAX(0,AK451-IF($A457&gt;=('1-Input'!$C$12+1),'1-Input'!$B$12,0))-MIN(MAX(AO456,0),MAX(0,AK451-IF($A457&gt;=('1-Input'!$C$12+1),'1-Input'!$B$12,0))))*(1/(1-'P-Parametri'!$B$6*AK457))),MAX(0,0*AK451-(AO456-MIN(MAX(AO456,0),MAX(0,AK451-IF($A457&gt;=('1-Input'!$C$12+1),'1-Input'!$B$12,0)))))*(1/(1-'P-Parametri'!$B$6*AK457))))</f>
        <v>20060.206940363736</v>
      </c>
      <c r="AM457" s="18">
        <f>IF($A457&gt;'1-Input'!$B$26,AO456,(AO456-MAX(0,AK451-IF($A457&gt;=('1-Input'!$C$12+1),'1-Input'!$B$12,0))+AL457*(1-'P-Parametri'!$B$6*AK457))*(1+'1-Input'!$B$27))</f>
        <v>3.6248820833861826E-12</v>
      </c>
      <c r="AN457" s="18">
        <f>IF($A457&gt;'1-Input'!$B$26,AP456,(AP456-AL457)*(1+'5-Roberta'!$C$4))</f>
        <v>405686.19583690155</v>
      </c>
      <c r="AO457" s="18">
        <f>IF($A457&gt;'1-Input'!$B$26,AM457,AM457-'P-Parametri'!$B$8*(AN457+AM457)+MIN(MAX(AN457,0),'P-Parametri'!$B$8*(AN457+AM457)))</f>
        <v>3.637978807091713E-12</v>
      </c>
      <c r="AP457" s="18">
        <f>IF($A457&gt;'1-Input'!$B$26,AN457,AN457-MIN(MAX(AN457,0),'P-Parametri'!$B$8*(AN457+AM457)))</f>
        <v>404874.82344522775</v>
      </c>
      <c r="AQ457" s="18">
        <f>IF($A457&gt;'1-Input'!$B$26,AQ456,AQ456-AL457*(1-AK457))</f>
        <v>284163.45491138834</v>
      </c>
    </row>
    <row r="458" spans="1:43">
      <c r="A458" s="10">
        <f>5</f>
        <v>5</v>
      </c>
      <c r="B458" s="11">
        <f>IF($A458&gt;'1-Input'!$B$26,0,IF(G457&lt;=0,0,MAX(0,(G457-H457)/G457)))</f>
        <v>0.29814491181907116</v>
      </c>
      <c r="C458" s="18">
        <f>IF($A458&gt;'1-Input'!$B$26,0,(MAX(0,B451-IF($A458&gt;=('1-Input'!$C$12+1),'1-Input'!$B$12,0))-MIN(MAX(F457,0),MAX(0,B451-IF($A458&gt;=('1-Input'!$C$12+1),'1-Input'!$B$12,0))))*(1/(1-'P-Parametri'!$B$6*B458))+MIN(MAX(0,G457-(MAX(0,B451-IF($A458&gt;=('1-Input'!$C$12+1),'1-Input'!$B$12,0))-MIN(MAX(F457,0),MAX(0,B451-IF($A458&gt;=('1-Input'!$C$12+1),'1-Input'!$B$12,0))))*(1/(1-'P-Parametri'!$B$6*B458))),MAX(0,0*B451-(F457-MIN(MAX(F457,0),MAX(0,B451-IF($A458&gt;=('1-Input'!$C$12+1),'1-Input'!$B$12,0)))))*(1/(1-'P-Parametri'!$B$6*B458))))</f>
        <v>18082.791290457168</v>
      </c>
      <c r="D458" s="18">
        <f>IF($A458&gt;'1-Input'!$B$26,F457,(F457-MAX(0,B451-IF($A458&gt;=('1-Input'!$C$12+1),'1-Input'!$B$12,0))+C458*(1-'P-Parametri'!$B$6*B458))*(1+'1-Input'!$B$27))</f>
        <v>0</v>
      </c>
      <c r="E458" s="18">
        <f>IF($A458&gt;'1-Input'!$B$26,G457,(G457-C458)*(1+'5-Roberta'!$C$4))</f>
        <v>407486.91751273116</v>
      </c>
      <c r="F458" s="18">
        <f>IF($A458&gt;'1-Input'!$B$26,D458,D458-'P-Parametri'!$B$8*(E458+D458)+MIN(MAX(E458,0),'P-Parametri'!$B$8*(E458+D458)))</f>
        <v>0</v>
      </c>
      <c r="G458" s="18">
        <f>IF($A458&gt;'1-Input'!$B$26,E458,E458-MIN(MAX(E458,0),'P-Parametri'!$B$8*(E458+D458)))</f>
        <v>406671.94367770571</v>
      </c>
      <c r="H458" s="18">
        <f>IF($A458&gt;'1-Input'!$B$26,H457,H457-C458*(1-B458))</f>
        <v>277666.76351793477</v>
      </c>
      <c r="I458" s="11">
        <f>IF($A458&gt;'1-Input'!$B$26,0,IF(N457&lt;=0,0,MAX(0,(N457-O457)/N457)))</f>
        <v>0.29814491181907116</v>
      </c>
      <c r="J458" s="18">
        <f>IF($A458&gt;'1-Input'!$B$26,0,(MAX(0,I451-IF($A458&gt;=('1-Input'!$C$12+1),'1-Input'!$B$12,0))-MIN(MAX(M457,0),MAX(0,I451-IF($A458&gt;=('1-Input'!$C$12+1),'1-Input'!$B$12,0))))*(1/(1-'P-Parametri'!$B$6*I458))+MIN(MAX(0,N457-(MAX(0,I451-IF($A458&gt;=('1-Input'!$C$12+1),'1-Input'!$B$12,0))-MIN(MAX(M457,0),MAX(0,I451-IF($A458&gt;=('1-Input'!$C$12+1),'1-Input'!$B$12,0))))*(1/(1-'P-Parametri'!$B$6*I458))),MAX(0,0*I451-(M457-MIN(MAX(M457,0),MAX(0,I451-IF($A458&gt;=('1-Input'!$C$12+1),'1-Input'!$B$12,0)))))*(1/(1-'P-Parametri'!$B$6*I458))))</f>
        <v>23793.146434812061</v>
      </c>
      <c r="K458" s="18">
        <f>IF($A458&gt;'1-Input'!$B$26,M457,(M457-MAX(0,I451-IF($A458&gt;=('1-Input'!$C$12+1),'1-Input'!$B$12,0))+J458*(1-'P-Parametri'!$B$6*I458))*(1+'1-Input'!$B$27))</f>
        <v>-3.6248820833861826E-12</v>
      </c>
      <c r="L458" s="18">
        <f>IF($A458&gt;'1-Input'!$B$26,N457,(N457-J458)*(1+'5-Roberta'!$C$4))</f>
        <v>376745.87376329425</v>
      </c>
      <c r="M458" s="18">
        <f>IF($A458&gt;'1-Input'!$B$26,K458,K458-'P-Parametri'!$B$8*(L458+K458)+MIN(MAX(L458,0),'P-Parametri'!$B$8*(L458+K458)))</f>
        <v>-3.637978807091713E-12</v>
      </c>
      <c r="N458" s="18">
        <f>IF($A458&gt;'1-Input'!$B$26,L458,L458-MIN(MAX(L458,0),'P-Parametri'!$B$8*(L458+K458)))</f>
        <v>375992.38201576768</v>
      </c>
      <c r="O458" s="18">
        <f>IF($A458&gt;'1-Input'!$B$26,O457,O457-J458*(1-I458))</f>
        <v>256719.42568149316</v>
      </c>
      <c r="P458" s="11">
        <f>IF($A458&gt;'1-Input'!$B$26,0,IF(U457&lt;=0,0,MAX(0,(U457-V457)/U457)))</f>
        <v>0.29814491181907127</v>
      </c>
      <c r="Q458" s="18">
        <f>IF($A458&gt;'1-Input'!$B$26,0,(MAX(0,P451-IF($A458&gt;=('1-Input'!$C$12+1),'1-Input'!$B$12,0))-MIN(MAX(T457,0),MAX(0,P451-IF($A458&gt;=('1-Input'!$C$12+1),'1-Input'!$B$12,0))))*(1/(1-'P-Parametri'!$B$6*P458))+MIN(MAX(0,U457-(MAX(0,P451-IF($A458&gt;=('1-Input'!$C$12+1),'1-Input'!$B$12,0))-MIN(MAX(T457,0),MAX(0,P451-IF($A458&gt;=('1-Input'!$C$12+1),'1-Input'!$B$12,0))))*(1/(1-'P-Parametri'!$B$6*P458))),MAX(0,0*P451-(T457-MIN(MAX(T457,0),MAX(0,P451-IF($A458&gt;=('1-Input'!$C$12+1),'1-Input'!$B$12,0)))))*(1/(1-'P-Parametri'!$B$6*P458))))</f>
        <v>20429.697421092733</v>
      </c>
      <c r="R458" s="18">
        <f>IF($A458&gt;'1-Input'!$B$26,T457,(T457-MAX(0,P451-IF($A458&gt;=('1-Input'!$C$12+1),'1-Input'!$B$12,0))+Q458*(1-'P-Parametri'!$B$6*P458))*(1+'1-Input'!$B$27))</f>
        <v>0</v>
      </c>
      <c r="S458" s="18">
        <f>IF($A458&gt;'1-Input'!$B$26,U457,(U457-Q458)*(1+'5-Roberta'!$C$4))</f>
        <v>394852.61680570565</v>
      </c>
      <c r="T458" s="18">
        <f>IF($A458&gt;'1-Input'!$B$26,R458,R458-'P-Parametri'!$B$8*(S458+R458)+MIN(MAX(S458,0),'P-Parametri'!$B$8*(S458+R458)))</f>
        <v>0</v>
      </c>
      <c r="U458" s="18">
        <f>IF($A458&gt;'1-Input'!$B$26,S458,S458-MIN(MAX(S458,0),'P-Parametri'!$B$8*(S458+R458)))</f>
        <v>394062.91157209425</v>
      </c>
      <c r="V458" s="18">
        <f>IF($A458&gt;'1-Input'!$B$26,V457,V457-Q458*(1-P458))</f>
        <v>269057.59047246503</v>
      </c>
      <c r="W458" s="11">
        <f>IF($A458&gt;'1-Input'!$B$26,0,IF(AB457&lt;=0,0,MAX(0,(AB457-AC457)/AB457)))</f>
        <v>0.29814491181907127</v>
      </c>
      <c r="X458" s="18">
        <f>IF($A458&gt;'1-Input'!$B$26,0,(MAX(0,W451-IF($A458&gt;=('1-Input'!$C$12+1),'1-Input'!$B$12,0))-MIN(MAX(AA457,0),MAX(0,W451-IF($A458&gt;=('1-Input'!$C$12+1),'1-Input'!$B$12,0))))*(1/(1-'P-Parametri'!$B$6*W458))+MIN(MAX(0,AB457-(MAX(0,W451-IF($A458&gt;=('1-Input'!$C$12+1),'1-Input'!$B$12,0))-MIN(MAX(AA457,0),MAX(0,W451-IF($A458&gt;=('1-Input'!$C$12+1),'1-Input'!$B$12,0))))*(1/(1-'P-Parametri'!$B$6*W458))),MAX(0,0*W451-(AA457-MIN(MAX(AA457,0),MAX(0,W451-IF($A458&gt;=('1-Input'!$C$12+1),'1-Input'!$B$12,0)))))*(1/(1-'P-Parametri'!$B$6*W458))))</f>
        <v>20166.990401302552</v>
      </c>
      <c r="Y458" s="18">
        <f>IF($A458&gt;'1-Input'!$B$26,AA457,(AA457-MAX(0,W451-IF($A458&gt;=('1-Input'!$C$12+1),'1-Input'!$B$12,0))+X458*(1-'P-Parametri'!$B$6*W458))*(1+'1-Input'!$B$27))</f>
        <v>0</v>
      </c>
      <c r="Z458" s="18">
        <f>IF($A458&gt;'1-Input'!$B$26,AB457,(AB457-X458)*(1+'5-Roberta'!$C$4))</f>
        <v>396266.86999740743</v>
      </c>
      <c r="AA458" s="18">
        <f>IF($A458&gt;'1-Input'!$B$26,Y458,Y458-'P-Parametri'!$B$8*(Z458+Y458)+MIN(MAX(Z458,0),'P-Parametri'!$B$8*(Z458+Y458)))</f>
        <v>0</v>
      </c>
      <c r="AB458" s="18">
        <f>IF($A458&gt;'1-Input'!$B$26,Z458,Z458-MIN(MAX(Z458,0),'P-Parametri'!$B$8*(Z458+Y458)))</f>
        <v>395474.33625741262</v>
      </c>
      <c r="AC458" s="18">
        <f>IF($A458&gt;'1-Input'!$B$26,AC457,AC457-X458*(1-W458))</f>
        <v>270021.28056816605</v>
      </c>
      <c r="AD458" s="11">
        <f>IF($A458&gt;'1-Input'!$B$26,0,IF(AI457&lt;=0,0,MAX(0,(AI457-AJ457)/AI457)))</f>
        <v>0.29814491181907138</v>
      </c>
      <c r="AE458" s="18">
        <f>IF($A458&gt;'1-Input'!$B$26,0,(MAX(0,AD451-IF($A458&gt;=('1-Input'!$C$12+1),'1-Input'!$B$12,0))-MIN(MAX(AH457,0),MAX(0,AD451-IF($A458&gt;=('1-Input'!$C$12+1),'1-Input'!$B$12,0))))*(1/(1-'P-Parametri'!$B$6*AD458))+MIN(MAX(0,AI457-(MAX(0,AD451-IF($A458&gt;=('1-Input'!$C$12+1),'1-Input'!$B$12,0))-MIN(MAX(AH457,0),MAX(0,AD451-IF($A458&gt;=('1-Input'!$C$12+1),'1-Input'!$B$12,0))))*(1/(1-'P-Parametri'!$B$6*AD458))),MAX(0,0*AD451-(AH457-MIN(MAX(AH457,0),MAX(0,AD451-IF($A458&gt;=('1-Input'!$C$12+1),'1-Input'!$B$12,0)))))*(1/(1-'P-Parametri'!$B$6*AD458))))</f>
        <v>20171.853277642749</v>
      </c>
      <c r="AF458" s="18">
        <f>IF($A458&gt;'1-Input'!$B$26,AH457,(AH457-MAX(0,AD451-IF($A458&gt;=('1-Input'!$C$12+1),'1-Input'!$B$12,0))+AE458*(1-'P-Parametri'!$B$6*AD458))*(1+'1-Input'!$B$27))</f>
        <v>0</v>
      </c>
      <c r="AG458" s="18">
        <f>IF($A458&gt;'1-Input'!$B$26,AI457,(AI457-AE458)*(1+'5-Roberta'!$C$4))</f>
        <v>396240.69125886261</v>
      </c>
      <c r="AH458" s="18">
        <f>IF($A458&gt;'1-Input'!$B$26,AF458,AF458-'P-Parametri'!$B$8*(AG458+AF458)+MIN(MAX(AG458,0),'P-Parametri'!$B$8*(AG458+AF458)))</f>
        <v>0</v>
      </c>
      <c r="AI458" s="18">
        <f>IF($A458&gt;'1-Input'!$B$26,AG458,AG458-MIN(MAX(AG458,0),'P-Parametri'!$B$8*(AG458+AF458)))</f>
        <v>395448.20987634489</v>
      </c>
      <c r="AJ458" s="18">
        <f>IF($A458&gt;'1-Input'!$B$26,AJ457,AJ457-AE458*(1-AD458))</f>
        <v>270003.44204306905</v>
      </c>
      <c r="AK458" s="11">
        <f>IF($A458&gt;'1-Input'!$B$26,0,IF(AP457&lt;=0,0,MAX(0,(AP457-AQ457)/AP457)))</f>
        <v>0.2981449118190711</v>
      </c>
      <c r="AL458" s="18">
        <f>IF($A458&gt;'1-Input'!$B$26,0,(MAX(0,AK451-IF($A458&gt;=('1-Input'!$C$12+1),'1-Input'!$B$12,0))-MIN(MAX(AO457,0),MAX(0,AK451-IF($A458&gt;=('1-Input'!$C$12+1),'1-Input'!$B$12,0))))*(1/(1-'P-Parametri'!$B$6*AK458))+MIN(MAX(0,AP457-(MAX(0,AK451-IF($A458&gt;=('1-Input'!$C$12+1),'1-Input'!$B$12,0))-MIN(MAX(AO457,0),MAX(0,AK451-IF($A458&gt;=('1-Input'!$C$12+1),'1-Input'!$B$12,0))))*(1/(1-'P-Parametri'!$B$6*AK458))),MAX(0,0*AK451-(AO457-MIN(MAX(AO457,0),MAX(0,AK451-IF($A458&gt;=('1-Input'!$C$12+1),'1-Input'!$B$12,0)))))*(1/(1-'P-Parametri'!$B$6*AK458))))</f>
        <v>20171.079623745143</v>
      </c>
      <c r="AM458" s="18">
        <f>IF($A458&gt;'1-Input'!$B$26,AO457,(AO457-MAX(0,AK451-IF($A458&gt;=('1-Input'!$C$12+1),'1-Input'!$B$12,0))+AL458*(1-'P-Parametri'!$B$6*AK458))*(1+'1-Input'!$B$27))</f>
        <v>0</v>
      </c>
      <c r="AN458" s="18">
        <f>IF($A458&gt;'1-Input'!$B$26,AP457,(AP457-AL458)*(1+'5-Roberta'!$C$4))</f>
        <v>396244.85613612714</v>
      </c>
      <c r="AO458" s="18">
        <f>IF($A458&gt;'1-Input'!$B$26,AM458,AM458-'P-Parametri'!$B$8*(AN458+AM458)+MIN(MAX(AN458,0),'P-Parametri'!$B$8*(AN458+AM458)))</f>
        <v>0</v>
      </c>
      <c r="AP458" s="18">
        <f>IF($A458&gt;'1-Input'!$B$26,AN458,AN458-MIN(MAX(AN458,0),'P-Parametri'!$B$8*(AN458+AM458)))</f>
        <v>395452.3664238549</v>
      </c>
      <c r="AQ458" s="18">
        <f>IF($A458&gt;'1-Input'!$B$26,AQ457,AQ457-AL458*(1-AK458))</f>
        <v>270006.28004336014</v>
      </c>
    </row>
    <row r="459" spans="1:43">
      <c r="A459" s="10">
        <f>6</f>
        <v>6</v>
      </c>
      <c r="B459" s="11">
        <f>IF($A459&gt;'1-Input'!$B$26,0,IF(G458&lt;=0,0,MAX(0,(G458-H458)/G458)))</f>
        <v>0.31722173650122687</v>
      </c>
      <c r="C459" s="18">
        <f>IF($A459&gt;'1-Input'!$B$26,0,(MAX(0,B451-IF($A459&gt;=('1-Input'!$C$12+1),'1-Input'!$B$12,0))-MIN(MAX(F458,0),MAX(0,B451-IF($A459&gt;=('1-Input'!$C$12+1),'1-Input'!$B$12,0))))*(1/(1-'P-Parametri'!$B$6*B459))+MIN(MAX(0,G458-(MAX(0,B451-IF($A459&gt;=('1-Input'!$C$12+1),'1-Input'!$B$12,0))-MIN(MAX(F458,0),MAX(0,B451-IF($A459&gt;=('1-Input'!$C$12+1),'1-Input'!$B$12,0))))*(1/(1-'P-Parametri'!$B$6*B459))),MAX(0,0*B451-(F458-MIN(MAX(F458,0),MAX(0,B451-IF($A459&gt;=('1-Input'!$C$12+1),'1-Input'!$B$12,0)))))*(1/(1-'P-Parametri'!$B$6*B459))))</f>
        <v>18180.543876365096</v>
      </c>
      <c r="D459" s="18">
        <f>IF($A459&gt;'1-Input'!$B$26,F458,(F458-MAX(0,B451-IF($A459&gt;=('1-Input'!$C$12+1),'1-Input'!$B$12,0))+C459*(1-'P-Parametri'!$B$6*B459))*(1+'1-Input'!$B$27))</f>
        <v>0</v>
      </c>
      <c r="E459" s="18">
        <f>IF($A459&gt;'1-Input'!$B$26,G458,(G458-C459)*(1+'5-Roberta'!$C$4))</f>
        <v>400146.1417953808</v>
      </c>
      <c r="F459" s="18">
        <f>IF($A459&gt;'1-Input'!$B$26,D459,D459-'P-Parametri'!$B$8*(E459+D459)+MIN(MAX(E459,0),'P-Parametri'!$B$8*(E459+D459)))</f>
        <v>0</v>
      </c>
      <c r="G459" s="18">
        <f>IF($A459&gt;'1-Input'!$B$26,E459,E459-MIN(MAX(E459,0),'P-Parametri'!$B$8*(E459+D459)))</f>
        <v>399345.84951179003</v>
      </c>
      <c r="H459" s="18">
        <f>IF($A459&gt;'1-Input'!$B$26,H458,H458-C459*(1-B459))</f>
        <v>265253.48334056698</v>
      </c>
      <c r="I459" s="11">
        <f>IF($A459&gt;'1-Input'!$B$26,0,IF(N458&lt;=0,0,MAX(0,(N458-O458)/N458)))</f>
        <v>0.31722173650122698</v>
      </c>
      <c r="J459" s="18">
        <f>IF($A459&gt;'1-Input'!$B$26,0,(MAX(0,I451-IF($A459&gt;=('1-Input'!$C$12+1),'1-Input'!$B$12,0))-MIN(MAX(M458,0),MAX(0,I451-IF($A459&gt;=('1-Input'!$C$12+1),'1-Input'!$B$12,0))))*(1/(1-'P-Parametri'!$B$6*I459))+MIN(MAX(0,N458-(MAX(0,I451-IF($A459&gt;=('1-Input'!$C$12+1),'1-Input'!$B$12,0))-MIN(MAX(M458,0),MAX(0,I451-IF($A459&gt;=('1-Input'!$C$12+1),'1-Input'!$B$12,0))))*(1/(1-'P-Parametri'!$B$6*I459))),MAX(0,0*I451-(M458-MIN(MAX(M458,0),MAX(0,I451-IF($A459&gt;=('1-Input'!$C$12+1),'1-Input'!$B$12,0)))))*(1/(1-'P-Parametri'!$B$6*I459))))</f>
        <v>23921.768258375134</v>
      </c>
      <c r="K459" s="18">
        <f>IF($A459&gt;'1-Input'!$B$26,M458,(M458-MAX(0,I451-IF($A459&gt;=('1-Input'!$C$12+1),'1-Input'!$B$12,0))+J459*(1-'P-Parametri'!$B$6*I459))*(1+'1-Input'!$B$27))</f>
        <v>0</v>
      </c>
      <c r="L459" s="18">
        <f>IF($A459&gt;'1-Input'!$B$26,N458,(N458-J459)*(1+'5-Roberta'!$C$4))</f>
        <v>362632.73217011435</v>
      </c>
      <c r="M459" s="18">
        <f>IF($A459&gt;'1-Input'!$B$26,K459,K459-'P-Parametri'!$B$8*(L459+K459)+MIN(MAX(L459,0),'P-Parametri'!$B$8*(L459+K459)))</f>
        <v>0</v>
      </c>
      <c r="N459" s="18">
        <f>IF($A459&gt;'1-Input'!$B$26,L459,L459-MIN(MAX(L459,0),'P-Parametri'!$B$8*(L459+K459)))</f>
        <v>361907.46670577413</v>
      </c>
      <c r="O459" s="18">
        <f>IF($A459&gt;'1-Input'!$B$26,O458,O458-J459*(1-I459))</f>
        <v>240386.16229021971</v>
      </c>
      <c r="P459" s="11">
        <f>IF($A459&gt;'1-Input'!$B$26,0,IF(U458&lt;=0,0,MAX(0,(U458-V458)/U458)))</f>
        <v>0.31722173650122704</v>
      </c>
      <c r="Q459" s="18">
        <f>IF($A459&gt;'1-Input'!$B$26,0,(MAX(0,P451-IF($A459&gt;=('1-Input'!$C$12+1),'1-Input'!$B$12,0))-MIN(MAX(T458,0),MAX(0,P451-IF($A459&gt;=('1-Input'!$C$12+1),'1-Input'!$B$12,0))))*(1/(1-'P-Parametri'!$B$6*P459))+MIN(MAX(0,U458-(MAX(0,P451-IF($A459&gt;=('1-Input'!$C$12+1),'1-Input'!$B$12,0))-MIN(MAX(T458,0),MAX(0,P451-IF($A459&gt;=('1-Input'!$C$12+1),'1-Input'!$B$12,0))))*(1/(1-'P-Parametri'!$B$6*P459))),MAX(0,0*P451-(T458-MIN(MAX(T458,0),MAX(0,P451-IF($A459&gt;=('1-Input'!$C$12+1),'1-Input'!$B$12,0)))))*(1/(1-'P-Parametri'!$B$6*P459))))</f>
        <v>20540.136994284196</v>
      </c>
      <c r="R459" s="18">
        <f>IF($A459&gt;'1-Input'!$B$26,T458,(T458-MAX(0,P451-IF($A459&gt;=('1-Input'!$C$12+1),'1-Input'!$B$12,0))+Q459*(1-'P-Parametri'!$B$6*P459))*(1+'1-Input'!$B$27))</f>
        <v>0</v>
      </c>
      <c r="S459" s="18">
        <f>IF($A459&gt;'1-Input'!$B$26,U458,(U458-Q459)*(1+'5-Roberta'!$C$4))</f>
        <v>384728.45781514439</v>
      </c>
      <c r="T459" s="18">
        <f>IF($A459&gt;'1-Input'!$B$26,R459,R459-'P-Parametri'!$B$8*(S459+R459)+MIN(MAX(S459,0),'P-Parametri'!$B$8*(S459+R459)))</f>
        <v>0</v>
      </c>
      <c r="U459" s="18">
        <f>IF($A459&gt;'1-Input'!$B$26,S459,S459-MIN(MAX(S459,0),'P-Parametri'!$B$8*(S459+R459)))</f>
        <v>383959.00089951413</v>
      </c>
      <c r="V459" s="18">
        <f>IF($A459&gt;'1-Input'!$B$26,V458,V458-Q459*(1-P459))</f>
        <v>255033.23140348075</v>
      </c>
      <c r="W459" s="11">
        <f>IF($A459&gt;'1-Input'!$B$26,0,IF(AB458&lt;=0,0,MAX(0,(AB458-AC458)/AB458)))</f>
        <v>0.31722173650122693</v>
      </c>
      <c r="X459" s="18">
        <f>IF($A459&gt;'1-Input'!$B$26,0,(MAX(0,W451-IF($A459&gt;=('1-Input'!$C$12+1),'1-Input'!$B$12,0))-MIN(MAX(AA458,0),MAX(0,W451-IF($A459&gt;=('1-Input'!$C$12+1),'1-Input'!$B$12,0))))*(1/(1-'P-Parametri'!$B$6*W459))+MIN(MAX(0,AB458-(MAX(0,W451-IF($A459&gt;=('1-Input'!$C$12+1),'1-Input'!$B$12,0))-MIN(MAX(AA458,0),MAX(0,W451-IF($A459&gt;=('1-Input'!$C$12+1),'1-Input'!$B$12,0))))*(1/(1-'P-Parametri'!$B$6*W459))),MAX(0,0*W451-(AA458-MIN(MAX(AA458,0),MAX(0,W451-IF($A459&gt;=('1-Input'!$C$12+1),'1-Input'!$B$12,0)))))*(1/(1-'P-Parametri'!$B$6*W459))))</f>
        <v>20276.009823693828</v>
      </c>
      <c r="Y459" s="18">
        <f>IF($A459&gt;'1-Input'!$B$26,AA458,(AA458-MAX(0,W451-IF($A459&gt;=('1-Input'!$C$12+1),'1-Input'!$B$12,0))+X459*(1-'P-Parametri'!$B$6*W459))*(1+'1-Input'!$B$27))</f>
        <v>-3.6248820833861826E-12</v>
      </c>
      <c r="Z459" s="18">
        <f>IF($A459&gt;'1-Input'!$B$26,AB458,(AB458-X459)*(1+'5-Roberta'!$C$4))</f>
        <v>386454.27622673038</v>
      </c>
      <c r="AA459" s="18">
        <f>IF($A459&gt;'1-Input'!$B$26,Y459,Y459-'P-Parametri'!$B$8*(Z459+Y459)+MIN(MAX(Z459,0),'P-Parametri'!$B$8*(Z459+Y459)))</f>
        <v>-3.637978807091713E-12</v>
      </c>
      <c r="AB459" s="18">
        <f>IF($A459&gt;'1-Input'!$B$26,Z459,Z459-MIN(MAX(Z459,0),'P-Parametri'!$B$8*(Z459+Y459)))</f>
        <v>385681.36767427693</v>
      </c>
      <c r="AC459" s="18">
        <f>IF($A459&gt;'1-Input'!$B$26,AC458,AC458-X459*(1-W459))</f>
        <v>256177.26179006032</v>
      </c>
      <c r="AD459" s="11">
        <f>IF($A459&gt;'1-Input'!$B$26,0,IF(AI458&lt;=0,0,MAX(0,(AI458-AJ458)/AI458)))</f>
        <v>0.31722173650122709</v>
      </c>
      <c r="AE459" s="18">
        <f>IF($A459&gt;'1-Input'!$B$26,0,(MAX(0,AD451-IF($A459&gt;=('1-Input'!$C$12+1),'1-Input'!$B$12,0))-MIN(MAX(AH458,0),MAX(0,AD451-IF($A459&gt;=('1-Input'!$C$12+1),'1-Input'!$B$12,0))))*(1/(1-'P-Parametri'!$B$6*AD459))+MIN(MAX(0,AI458-(MAX(0,AD451-IF($A459&gt;=('1-Input'!$C$12+1),'1-Input'!$B$12,0))-MIN(MAX(AH458,0),MAX(0,AD451-IF($A459&gt;=('1-Input'!$C$12+1),'1-Input'!$B$12,0))))*(1/(1-'P-Parametri'!$B$6*AD459))),MAX(0,0*AD451-(AH458-MIN(MAX(AH458,0),MAX(0,AD451-IF($A459&gt;=('1-Input'!$C$12+1),'1-Input'!$B$12,0)))))*(1/(1-'P-Parametri'!$B$6*AD459))))</f>
        <v>20280.898987941109</v>
      </c>
      <c r="AF459" s="18">
        <f>IF($A459&gt;'1-Input'!$B$26,AH458,(AH458-MAX(0,AD451-IF($A459&gt;=('1-Input'!$C$12+1),'1-Input'!$B$12,0))+AE459*(1-'P-Parametri'!$B$6*AD459))*(1+'1-Input'!$B$27))</f>
        <v>0</v>
      </c>
      <c r="AG459" s="18">
        <f>IF($A459&gt;'1-Input'!$B$26,AI458,(AI458-AE459)*(1+'5-Roberta'!$C$4))</f>
        <v>386422.3302150559</v>
      </c>
      <c r="AH459" s="18">
        <f>IF($A459&gt;'1-Input'!$B$26,AF459,AF459-'P-Parametri'!$B$8*(AG459+AF459)+MIN(MAX(AG459,0),'P-Parametri'!$B$8*(AG459+AF459)))</f>
        <v>0</v>
      </c>
      <c r="AI459" s="18">
        <f>IF($A459&gt;'1-Input'!$B$26,AG459,AG459-MIN(MAX(AG459,0),'P-Parametri'!$B$8*(AG459+AF459)))</f>
        <v>385649.4855546258</v>
      </c>
      <c r="AJ459" s="18">
        <f>IF($A459&gt;'1-Input'!$B$26,AJ458,AJ458-AE459*(1-AD459))</f>
        <v>256156.08504988858</v>
      </c>
      <c r="AK459" s="11">
        <f>IF($A459&gt;'1-Input'!$B$26,0,IF(AP458&lt;=0,0,MAX(0,(AP458-AQ458)/AP458)))</f>
        <v>0.31722173650122698</v>
      </c>
      <c r="AL459" s="18">
        <f>IF($A459&gt;'1-Input'!$B$26,0,(MAX(0,AK451-IF($A459&gt;=('1-Input'!$C$12+1),'1-Input'!$B$12,0))-MIN(MAX(AO458,0),MAX(0,AK451-IF($A459&gt;=('1-Input'!$C$12+1),'1-Input'!$B$12,0))))*(1/(1-'P-Parametri'!$B$6*AK459))+MIN(MAX(0,AP458-(MAX(0,AK451-IF($A459&gt;=('1-Input'!$C$12+1),'1-Input'!$B$12,0))-MIN(MAX(AO458,0),MAX(0,AK451-IF($A459&gt;=('1-Input'!$C$12+1),'1-Input'!$B$12,0))))*(1/(1-'P-Parametri'!$B$6*AK459))),MAX(0,0*AK451-(AO458-MIN(MAX(AO458,0),MAX(0,AK451-IF($A459&gt;=('1-Input'!$C$12+1),'1-Input'!$B$12,0)))))*(1/(1-'P-Parametri'!$B$6*AK459))))</f>
        <v>20280.121151798197</v>
      </c>
      <c r="AM459" s="18">
        <f>IF($A459&gt;'1-Input'!$B$26,AO458,(AO458-MAX(0,AK451-IF($A459&gt;=('1-Input'!$C$12+1),'1-Input'!$B$12,0))+AL459*(1-'P-Parametri'!$B$6*AK459))*(1+'1-Input'!$B$27))</f>
        <v>0</v>
      </c>
      <c r="AN459" s="18">
        <f>IF($A459&gt;'1-Input'!$B$26,AP458,(AP458-AL459)*(1+'5-Roberta'!$C$4))</f>
        <v>386427.41263021843</v>
      </c>
      <c r="AO459" s="18">
        <f>IF($A459&gt;'1-Input'!$B$26,AM459,AM459-'P-Parametri'!$B$8*(AN459+AM459)+MIN(MAX(AN459,0),'P-Parametri'!$B$8*(AN459+AM459)))</f>
        <v>0</v>
      </c>
      <c r="AP459" s="18">
        <f>IF($A459&gt;'1-Input'!$B$26,AN459,AN459-MIN(MAX(AN459,0),'P-Parametri'!$B$8*(AN459+AM459)))</f>
        <v>385654.55780495802</v>
      </c>
      <c r="AQ459" s="18">
        <f>IF($A459&gt;'1-Input'!$B$26,AQ458,AQ458-AL459*(1-AK459))</f>
        <v>256159.45413979061</v>
      </c>
    </row>
    <row r="460" spans="1:43">
      <c r="A460" s="10">
        <f>7</f>
        <v>7</v>
      </c>
      <c r="B460" s="11">
        <f>IF($A460&gt;'1-Input'!$B$26,0,IF(G459&lt;=0,0,MAX(0,(G459-H459)/G459)))</f>
        <v>0.33578004212427454</v>
      </c>
      <c r="C460" s="18">
        <f>IF($A460&gt;'1-Input'!$B$26,0,(MAX(0,B451-IF($A460&gt;=('1-Input'!$C$12+1),'1-Input'!$B$12,0))-MIN(MAX(F459,0),MAX(0,B451-IF($A460&gt;=('1-Input'!$C$12+1),'1-Input'!$B$12,0))))*(1/(1-'P-Parametri'!$B$6*B460))+MIN(MAX(0,G459-(MAX(0,B451-IF($A460&gt;=('1-Input'!$C$12+1),'1-Input'!$B$12,0))-MIN(MAX(F459,0),MAX(0,B451-IF($A460&gt;=('1-Input'!$C$12+1),'1-Input'!$B$12,0))))*(1/(1-'P-Parametri'!$B$6*B460))),MAX(0,0*B451-(F459-MIN(MAX(F459,0),MAX(0,B451-IF($A460&gt;=('1-Input'!$C$12+1),'1-Input'!$B$12,0)))))*(1/(1-'P-Parametri'!$B$6*B460))))</f>
        <v>18276.659022069383</v>
      </c>
      <c r="D460" s="18">
        <f>IF($A460&gt;'1-Input'!$B$26,F459,(F459-MAX(0,B451-IF($A460&gt;=('1-Input'!$C$12+1),'1-Input'!$B$12,0))+C460*(1-'P-Parametri'!$B$6*B460))*(1+'1-Input'!$B$27))</f>
        <v>0</v>
      </c>
      <c r="E460" s="18">
        <f>IF($A460&gt;'1-Input'!$B$26,G459,(G459-C460)*(1+'5-Roberta'!$C$4))</f>
        <v>392501.26620441233</v>
      </c>
      <c r="F460" s="18">
        <f>IF($A460&gt;'1-Input'!$B$26,D460,D460-'P-Parametri'!$B$8*(E460+D460)+MIN(MAX(E460,0),'P-Parametri'!$B$8*(E460+D460)))</f>
        <v>0</v>
      </c>
      <c r="G460" s="18">
        <f>IF($A460&gt;'1-Input'!$B$26,E460,E460-MIN(MAX(E460,0),'P-Parametri'!$B$8*(E460+D460)))</f>
        <v>391716.26367200352</v>
      </c>
      <c r="H460" s="18">
        <f>IF($A460&gt;'1-Input'!$B$26,H459,H459-C460*(1-B460))</f>
        <v>253113.76165481904</v>
      </c>
      <c r="I460" s="11">
        <f>IF($A460&gt;'1-Input'!$B$26,0,IF(N459&lt;=0,0,MAX(0,(N459-O459)/N459)))</f>
        <v>0.33578004212427481</v>
      </c>
      <c r="J460" s="18">
        <f>IF($A460&gt;'1-Input'!$B$26,0,(MAX(0,I451-IF($A460&gt;=('1-Input'!$C$12+1),'1-Input'!$B$12,0))-MIN(MAX(M459,0),MAX(0,I451-IF($A460&gt;=('1-Input'!$C$12+1),'1-Input'!$B$12,0))))*(1/(1-'P-Parametri'!$B$6*I460))+MIN(MAX(0,N459-(MAX(0,I451-IF($A460&gt;=('1-Input'!$C$12+1),'1-Input'!$B$12,0))-MIN(MAX(M459,0),MAX(0,I451-IF($A460&gt;=('1-Input'!$C$12+1),'1-Input'!$B$12,0))))*(1/(1-'P-Parametri'!$B$6*I460))),MAX(0,0*I451-(M459-MIN(MAX(M459,0),MAX(0,I451-IF($A460&gt;=('1-Input'!$C$12+1),'1-Input'!$B$12,0)))))*(1/(1-'P-Parametri'!$B$6*I460))))</f>
        <v>24048.235555354455</v>
      </c>
      <c r="K460" s="18">
        <f>IF($A460&gt;'1-Input'!$B$26,M459,(M459-MAX(0,I451-IF($A460&gt;=('1-Input'!$C$12+1),'1-Input'!$B$12,0))+J460*(1-'P-Parametri'!$B$6*I460))*(1+'1-Input'!$B$27))</f>
        <v>-3.6248820833861826E-12</v>
      </c>
      <c r="L460" s="18">
        <f>IF($A460&gt;'1-Input'!$B$26,N459,(N459-J460)*(1+'5-Roberta'!$C$4))</f>
        <v>347995.00808493228</v>
      </c>
      <c r="M460" s="18">
        <f>IF($A460&gt;'1-Input'!$B$26,K460,K460-'P-Parametri'!$B$8*(L460+K460)+MIN(MAX(L460,0),'P-Parametri'!$B$8*(L460+K460)))</f>
        <v>-3.637978807091713E-12</v>
      </c>
      <c r="N460" s="18">
        <f>IF($A460&gt;'1-Input'!$B$26,L460,L460-MIN(MAX(L460,0),'P-Parametri'!$B$8*(L460+K460)))</f>
        <v>347299.01806876244</v>
      </c>
      <c r="O460" s="18">
        <f>IF($A460&gt;'1-Input'!$B$26,O459,O459-J460*(1-I460))</f>
        <v>224412.84428265665</v>
      </c>
      <c r="P460" s="11">
        <f>IF($A460&gt;'1-Input'!$B$26,0,IF(U459&lt;=0,0,MAX(0,(U459-V459)/U459)))</f>
        <v>0.33578004212427492</v>
      </c>
      <c r="Q460" s="18">
        <f>IF($A460&gt;'1-Input'!$B$26,0,(MAX(0,P451-IF($A460&gt;=('1-Input'!$C$12+1),'1-Input'!$B$12,0))-MIN(MAX(T459,0),MAX(0,P451-IF($A460&gt;=('1-Input'!$C$12+1),'1-Input'!$B$12,0))))*(1/(1-'P-Parametri'!$B$6*P460))+MIN(MAX(0,U459-(MAX(0,P451-IF($A460&gt;=('1-Input'!$C$12+1),'1-Input'!$B$12,0))-MIN(MAX(T459,0),MAX(0,P451-IF($A460&gt;=('1-Input'!$C$12+1),'1-Input'!$B$12,0))))*(1/(1-'P-Parametri'!$B$6*P460))),MAX(0,0*P451-(T459-MIN(MAX(T459,0),MAX(0,P451-IF($A460&gt;=('1-Input'!$C$12+1),'1-Input'!$B$12,0)))))*(1/(1-'P-Parametri'!$B$6*P460))))</f>
        <v>20648.726609282356</v>
      </c>
      <c r="R460" s="18">
        <f>IF($A460&gt;'1-Input'!$B$26,T459,(T459-MAX(0,P451-IF($A460&gt;=('1-Input'!$C$12+1),'1-Input'!$B$12,0))+Q460*(1-'P-Parametri'!$B$6*P460))*(1+'1-Input'!$B$27))</f>
        <v>-3.6248820833861826E-12</v>
      </c>
      <c r="S460" s="18">
        <f>IF($A460&gt;'1-Input'!$B$26,U459,(U459-Q460)*(1+'5-Roberta'!$C$4))</f>
        <v>374209.5825189387</v>
      </c>
      <c r="T460" s="18">
        <f>IF($A460&gt;'1-Input'!$B$26,R460,R460-'P-Parametri'!$B$8*(S460+R460)+MIN(MAX(S460,0),'P-Parametri'!$B$8*(S460+R460)))</f>
        <v>-3.637978807091713E-12</v>
      </c>
      <c r="U460" s="18">
        <f>IF($A460&gt;'1-Input'!$B$26,S460,S460-MIN(MAX(S460,0),'P-Parametri'!$B$8*(S460+R460)))</f>
        <v>373461.16335390083</v>
      </c>
      <c r="V460" s="18">
        <f>IF($A460&gt;'1-Input'!$B$26,V459,V459-Q460*(1-P460))</f>
        <v>241317.93508487585</v>
      </c>
      <c r="W460" s="11">
        <f>IF($A460&gt;'1-Input'!$B$26,0,IF(AB459&lt;=0,0,MAX(0,(AB459-AC459)/AB459)))</f>
        <v>0.33578004212427476</v>
      </c>
      <c r="X460" s="18">
        <f>IF($A460&gt;'1-Input'!$B$26,0,(MAX(0,W451-IF($A460&gt;=('1-Input'!$C$12+1),'1-Input'!$B$12,0))-MIN(MAX(AA459,0),MAX(0,W451-IF($A460&gt;=('1-Input'!$C$12+1),'1-Input'!$B$12,0))))*(1/(1-'P-Parametri'!$B$6*W460))+MIN(MAX(0,AB459-(MAX(0,W451-IF($A460&gt;=('1-Input'!$C$12+1),'1-Input'!$B$12,0))-MIN(MAX(AA459,0),MAX(0,W451-IF($A460&gt;=('1-Input'!$C$12+1),'1-Input'!$B$12,0))))*(1/(1-'P-Parametri'!$B$6*W460))),MAX(0,0*W451-(AA459-MIN(MAX(AA459,0),MAX(0,W451-IF($A460&gt;=('1-Input'!$C$12+1),'1-Input'!$B$12,0)))))*(1/(1-'P-Parametri'!$B$6*W460))))</f>
        <v>20383.203076643727</v>
      </c>
      <c r="Y460" s="18">
        <f>IF($A460&gt;'1-Input'!$B$26,AA459,(AA459-MAX(0,W451-IF($A460&gt;=('1-Input'!$C$12+1),'1-Input'!$B$12,0))+X460*(1-'P-Parametri'!$B$6*W460))*(1+'1-Input'!$B$27))</f>
        <v>0</v>
      </c>
      <c r="Z460" s="18">
        <f>IF($A460&gt;'1-Input'!$B$26,AB459,(AB459-X460)*(1+'5-Roberta'!$C$4))</f>
        <v>376257.10953556217</v>
      </c>
      <c r="AA460" s="18">
        <f>IF($A460&gt;'1-Input'!$B$26,Y460,Y460-'P-Parametri'!$B$8*(Z460+Y460)+MIN(MAX(Z460,0),'P-Parametri'!$B$8*(Z460+Y460)))</f>
        <v>0</v>
      </c>
      <c r="AB460" s="18">
        <f>IF($A460&gt;'1-Input'!$B$26,Z460,Z460-MIN(MAX(Z460,0),'P-Parametri'!$B$8*(Z460+Y460)))</f>
        <v>375504.59531649103</v>
      </c>
      <c r="AC460" s="18">
        <f>IF($A460&gt;'1-Input'!$B$26,AC459,AC459-X460*(1-W460))</f>
        <v>242638.33150111968</v>
      </c>
      <c r="AD460" s="11">
        <f>IF($A460&gt;'1-Input'!$B$26,0,IF(AI459&lt;=0,0,MAX(0,(AI459-AJ459)/AI459)))</f>
        <v>0.33578004212427498</v>
      </c>
      <c r="AE460" s="18">
        <f>IF($A460&gt;'1-Input'!$B$26,0,(MAX(0,AD451-IF($A460&gt;=('1-Input'!$C$12+1),'1-Input'!$B$12,0))-MIN(MAX(AH459,0),MAX(0,AD451-IF($A460&gt;=('1-Input'!$C$12+1),'1-Input'!$B$12,0))))*(1/(1-'P-Parametri'!$B$6*AD460))+MIN(MAX(0,AI459-(MAX(0,AD451-IF($A460&gt;=('1-Input'!$C$12+1),'1-Input'!$B$12,0))-MIN(MAX(AH459,0),MAX(0,AD451-IF($A460&gt;=('1-Input'!$C$12+1),'1-Input'!$B$12,0))))*(1/(1-'P-Parametri'!$B$6*AD460))),MAX(0,0*AD451-(AH459-MIN(MAX(AH459,0),MAX(0,AD451-IF($A460&gt;=('1-Input'!$C$12+1),'1-Input'!$B$12,0)))))*(1/(1-'P-Parametri'!$B$6*AD460))))</f>
        <v>20388.118088452949</v>
      </c>
      <c r="AF460" s="18">
        <f>IF($A460&gt;'1-Input'!$B$26,AH459,(AH459-MAX(0,AD451-IF($A460&gt;=('1-Input'!$C$12+1),'1-Input'!$B$12,0))+AE460*(1-'P-Parametri'!$B$6*AD460))*(1+'1-Input'!$B$27))</f>
        <v>0</v>
      </c>
      <c r="AG460" s="18">
        <f>IF($A460&gt;'1-Input'!$B$26,AI459,(AI459-AE460)*(1+'5-Roberta'!$C$4))</f>
        <v>376219.20849015802</v>
      </c>
      <c r="AH460" s="18">
        <f>IF($A460&gt;'1-Input'!$B$26,AF460,AF460-'P-Parametri'!$B$8*(AG460+AF460)+MIN(MAX(AG460,0),'P-Parametri'!$B$8*(AG460+AF460)))</f>
        <v>0</v>
      </c>
      <c r="AI460" s="18">
        <f>IF($A460&gt;'1-Input'!$B$26,AG460,AG460-MIN(MAX(AG460,0),'P-Parametri'!$B$8*(AG460+AF460)))</f>
        <v>375466.7700731777</v>
      </c>
      <c r="AJ460" s="18">
        <f>IF($A460&gt;'1-Input'!$B$26,AJ459,AJ459-AE460*(1-AD460))</f>
        <v>242613.89011201105</v>
      </c>
      <c r="AK460" s="11">
        <f>IF($A460&gt;'1-Input'!$B$26,0,IF(AP459&lt;=0,0,MAX(0,(AP459-AQ459)/AP459)))</f>
        <v>0.33578004212427487</v>
      </c>
      <c r="AL460" s="18">
        <f>IF($A460&gt;'1-Input'!$B$26,0,(MAX(0,AK451-IF($A460&gt;=('1-Input'!$C$12+1),'1-Input'!$B$12,0))-MIN(MAX(AO459,0),MAX(0,AK451-IF($A460&gt;=('1-Input'!$C$12+1),'1-Input'!$B$12,0))))*(1/(1-'P-Parametri'!$B$6*AK460))+MIN(MAX(0,AP459-(MAX(0,AK451-IF($A460&gt;=('1-Input'!$C$12+1),'1-Input'!$B$12,0))-MIN(MAX(AO459,0),MAX(0,AK451-IF($A460&gt;=('1-Input'!$C$12+1),'1-Input'!$B$12,0))))*(1/(1-'P-Parametri'!$B$6*AK460))),MAX(0,0*AK451-(AO459-MIN(MAX(AO459,0),MAX(0,AK451-IF($A460&gt;=('1-Input'!$C$12+1),'1-Input'!$B$12,0)))))*(1/(1-'P-Parametri'!$B$6*AK460))))</f>
        <v>20387.33614012094</v>
      </c>
      <c r="AM460" s="18">
        <f>IF($A460&gt;'1-Input'!$B$26,AO459,(AO459-MAX(0,AK451-IF($A460&gt;=('1-Input'!$C$12+1),'1-Input'!$B$12,0))+AL460*(1-'P-Parametri'!$B$6*AK460))*(1+'1-Input'!$B$27))</f>
        <v>-3.6248820833861826E-12</v>
      </c>
      <c r="AN460" s="18">
        <f>IF($A460&gt;'1-Input'!$B$26,AP459,(AP459-AL460)*(1+'5-Roberta'!$C$4))</f>
        <v>376225.23831478221</v>
      </c>
      <c r="AO460" s="18">
        <f>IF($A460&gt;'1-Input'!$B$26,AM460,AM460-'P-Parametri'!$B$8*(AN460+AM460)+MIN(MAX(AN460,0),'P-Parametri'!$B$8*(AN460+AM460)))</f>
        <v>-3.637978807091713E-12</v>
      </c>
      <c r="AP460" s="18">
        <f>IF($A460&gt;'1-Input'!$B$26,AN460,AN460-MIN(MAX(AN460,0),'P-Parametri'!$B$8*(AN460+AM460)))</f>
        <v>375472.78783815267</v>
      </c>
      <c r="AQ460" s="18">
        <f>IF($A460&gt;'1-Input'!$B$26,AQ459,AQ459-AL460*(1-AK460))</f>
        <v>242617.77858760123</v>
      </c>
    </row>
    <row r="461" spans="1:43">
      <c r="A461" s="10">
        <f>8</f>
        <v>8</v>
      </c>
      <c r="B461" s="11">
        <f>IF($A461&gt;'1-Input'!$B$26,0,IF(G460&lt;=0,0,MAX(0,(G460-H460)/G460)))</f>
        <v>0.35383392233425559</v>
      </c>
      <c r="C461" s="18">
        <f>IF($A461&gt;'1-Input'!$B$26,0,(MAX(0,B451-IF($A461&gt;=('1-Input'!$C$12+1),'1-Input'!$B$12,0))-MIN(MAX(F460,0),MAX(0,B451-IF($A461&gt;=('1-Input'!$C$12+1),'1-Input'!$B$12,0))))*(1/(1-'P-Parametri'!$B$6*B461))+MIN(MAX(0,G460-(MAX(0,B451-IF($A461&gt;=('1-Input'!$C$12+1),'1-Input'!$B$12,0))-MIN(MAX(F460,0),MAX(0,B451-IF($A461&gt;=('1-Input'!$C$12+1),'1-Input'!$B$12,0))))*(1/(1-'P-Parametri'!$B$6*B461))),MAX(0,0*B451-(F460-MIN(MAX(F460,0),MAX(0,B451-IF($A461&gt;=('1-Input'!$C$12+1),'1-Input'!$B$12,0)))))*(1/(1-'P-Parametri'!$B$6*B461))))</f>
        <v>18371.141950272082</v>
      </c>
      <c r="D461" s="18">
        <f>IF($A461&gt;'1-Input'!$B$26,F460,(F460-MAX(0,B451-IF($A461&gt;=('1-Input'!$C$12+1),'1-Input'!$B$12,0))+C461*(1-'P-Parametri'!$B$6*B461))*(1+'1-Input'!$B$27))</f>
        <v>0</v>
      </c>
      <c r="E461" s="18">
        <f>IF($A461&gt;'1-Input'!$B$26,G460,(G460-C461)*(1+'5-Roberta'!$C$4))</f>
        <v>384545.47537338338</v>
      </c>
      <c r="F461" s="18">
        <f>IF($A461&gt;'1-Input'!$B$26,D461,D461-'P-Parametri'!$B$8*(E461+D461)+MIN(MAX(E461,0),'P-Parametri'!$B$8*(E461+D461)))</f>
        <v>0</v>
      </c>
      <c r="G461" s="18">
        <f>IF($A461&gt;'1-Input'!$B$26,E461,E461-MIN(MAX(E461,0),'P-Parametri'!$B$8*(E461+D461)))</f>
        <v>383776.38442263659</v>
      </c>
      <c r="H461" s="18">
        <f>IF($A461&gt;'1-Input'!$B$26,H460,H460-C461*(1-B461))</f>
        <v>241242.95291857113</v>
      </c>
      <c r="I461" s="11">
        <f>IF($A461&gt;'1-Input'!$B$26,0,IF(N460&lt;=0,0,MAX(0,(N460-O460)/N460)))</f>
        <v>0.35383392233425581</v>
      </c>
      <c r="J461" s="18">
        <f>IF($A461&gt;'1-Input'!$B$26,0,(MAX(0,I451-IF($A461&gt;=('1-Input'!$C$12+1),'1-Input'!$B$12,0))-MIN(MAX(M460,0),MAX(0,I451-IF($A461&gt;=('1-Input'!$C$12+1),'1-Input'!$B$12,0))))*(1/(1-'P-Parametri'!$B$6*I461))+MIN(MAX(0,N460-(MAX(0,I451-IF($A461&gt;=('1-Input'!$C$12+1),'1-Input'!$B$12,0))-MIN(MAX(M460,0),MAX(0,I451-IF($A461&gt;=('1-Input'!$C$12+1),'1-Input'!$B$12,0))))*(1/(1-'P-Parametri'!$B$6*I461))),MAX(0,0*I451-(M460-MIN(MAX(M460,0),MAX(0,I451-IF($A461&gt;=('1-Input'!$C$12+1),'1-Input'!$B$12,0)))))*(1/(1-'P-Parametri'!$B$6*I461))))</f>
        <v>24172.555197726433</v>
      </c>
      <c r="K461" s="18">
        <f>IF($A461&gt;'1-Input'!$B$26,M460,(M460-MAX(0,I451-IF($A461&gt;=('1-Input'!$C$12+1),'1-Input'!$B$12,0))+J461*(1-'P-Parametri'!$B$6*I461))*(1+'1-Input'!$B$27))</f>
        <v>-3.6248820833861826E-12</v>
      </c>
      <c r="L461" s="18">
        <f>IF($A461&gt;'1-Input'!$B$26,N460,(N460-J461)*(1+'5-Roberta'!$C$4))</f>
        <v>332820.25675716711</v>
      </c>
      <c r="M461" s="18">
        <f>IF($A461&gt;'1-Input'!$B$26,K461,K461-'P-Parametri'!$B$8*(L461+K461)+MIN(MAX(L461,0),'P-Parametri'!$B$8*(L461+K461)))</f>
        <v>-3.637978807091713E-12</v>
      </c>
      <c r="N461" s="18">
        <f>IF($A461&gt;'1-Input'!$B$26,L461,L461-MIN(MAX(L461,0),'P-Parametri'!$B$8*(L461+K461)))</f>
        <v>332154.61624365277</v>
      </c>
      <c r="O461" s="18">
        <f>IF($A461&gt;'1-Input'!$B$26,O460,O460-J461*(1-I461))</f>
        <v>208793.35910338306</v>
      </c>
      <c r="P461" s="11">
        <f>IF($A461&gt;'1-Input'!$B$26,0,IF(U460&lt;=0,0,MAX(0,(U460-V460)/U460)))</f>
        <v>0.35383392233425587</v>
      </c>
      <c r="Q461" s="18">
        <f>IF($A461&gt;'1-Input'!$B$26,0,(MAX(0,P451-IF($A461&gt;=('1-Input'!$C$12+1),'1-Input'!$B$12,0))-MIN(MAX(T460,0),MAX(0,P451-IF($A461&gt;=('1-Input'!$C$12+1),'1-Input'!$B$12,0))))*(1/(1-'P-Parametri'!$B$6*P461))+MIN(MAX(0,U460-(MAX(0,P451-IF($A461&gt;=('1-Input'!$C$12+1),'1-Input'!$B$12,0))-MIN(MAX(T460,0),MAX(0,P451-IF($A461&gt;=('1-Input'!$C$12+1),'1-Input'!$B$12,0))))*(1/(1-'P-Parametri'!$B$6*P461))),MAX(0,0*P451-(T460-MIN(MAX(T460,0),MAX(0,P451-IF($A461&gt;=('1-Input'!$C$12+1),'1-Input'!$B$12,0)))))*(1/(1-'P-Parametri'!$B$6*P461))))</f>
        <v>20755.47216662663</v>
      </c>
      <c r="R461" s="18">
        <f>IF($A461&gt;'1-Input'!$B$26,T460,(T460-MAX(0,P451-IF($A461&gt;=('1-Input'!$C$12+1),'1-Input'!$B$12,0))+Q461*(1-'P-Parametri'!$B$6*P461))*(1+'1-Input'!$B$27))</f>
        <v>-3.6248820833861826E-12</v>
      </c>
      <c r="S461" s="18">
        <f>IF($A461&gt;'1-Input'!$B$26,U460,(U460-Q461)*(1+'5-Roberta'!$C$4))</f>
        <v>363286.86192289239</v>
      </c>
      <c r="T461" s="18">
        <f>IF($A461&gt;'1-Input'!$B$26,R461,R461-'P-Parametri'!$B$8*(S461+R461)+MIN(MAX(S461,0),'P-Parametri'!$B$8*(S461+R461)))</f>
        <v>-3.637978807091713E-12</v>
      </c>
      <c r="U461" s="18">
        <f>IF($A461&gt;'1-Input'!$B$26,S461,S461-MIN(MAX(S461,0),'P-Parametri'!$B$8*(S461+R461)))</f>
        <v>362560.28819904663</v>
      </c>
      <c r="V461" s="18">
        <f>IF($A461&gt;'1-Input'!$B$26,V460,V460-Q461*(1-P461))</f>
        <v>227906.45304486618</v>
      </c>
      <c r="W461" s="11">
        <f>IF($A461&gt;'1-Input'!$B$26,0,IF(AB460&lt;=0,0,MAX(0,(AB460-AC460)/AB460)))</f>
        <v>0.35383392233425554</v>
      </c>
      <c r="X461" s="18">
        <f>IF($A461&gt;'1-Input'!$B$26,0,(MAX(0,W451-IF($A461&gt;=('1-Input'!$C$12+1),'1-Input'!$B$12,0))-MIN(MAX(AA460,0),MAX(0,W451-IF($A461&gt;=('1-Input'!$C$12+1),'1-Input'!$B$12,0))))*(1/(1-'P-Parametri'!$B$6*W461))+MIN(MAX(0,AB460-(MAX(0,W451-IF($A461&gt;=('1-Input'!$C$12+1),'1-Input'!$B$12,0))-MIN(MAX(AA460,0),MAX(0,W451-IF($A461&gt;=('1-Input'!$C$12+1),'1-Input'!$B$12,0))))*(1/(1-'P-Parametri'!$B$6*W461))),MAX(0,0*W451-(AA460-MIN(MAX(AA460,0),MAX(0,W451-IF($A461&gt;=('1-Input'!$C$12+1),'1-Input'!$B$12,0)))))*(1/(1-'P-Parametri'!$B$6*W461))))</f>
        <v>20488.575984816169</v>
      </c>
      <c r="Y461" s="18">
        <f>IF($A461&gt;'1-Input'!$B$26,AA460,(AA460-MAX(0,W451-IF($A461&gt;=('1-Input'!$C$12+1),'1-Input'!$B$12,0))+X461*(1-'P-Parametri'!$B$6*W461))*(1+'1-Input'!$B$27))</f>
        <v>0</v>
      </c>
      <c r="Z461" s="18">
        <f>IF($A461&gt;'1-Input'!$B$26,AB460,(AB460-X461)*(1+'5-Roberta'!$C$4))</f>
        <v>365666.49991162511</v>
      </c>
      <c r="AA461" s="18">
        <f>IF($A461&gt;'1-Input'!$B$26,Y461,Y461-'P-Parametri'!$B$8*(Z461+Y461)+MIN(MAX(Z461,0),'P-Parametri'!$B$8*(Z461+Y461)))</f>
        <v>0</v>
      </c>
      <c r="AB461" s="18">
        <f>IF($A461&gt;'1-Input'!$B$26,Z461,Z461-MIN(MAX(Z461,0),'P-Parametri'!$B$8*(Z461+Y461)))</f>
        <v>364935.16691180185</v>
      </c>
      <c r="AC461" s="18">
        <f>IF($A461&gt;'1-Input'!$B$26,AC460,AC460-X461*(1-W461))</f>
        <v>229399.30872005445</v>
      </c>
      <c r="AD461" s="11">
        <f>IF($A461&gt;'1-Input'!$B$26,0,IF(AI460&lt;=0,0,MAX(0,(AI460-AJ460)/AI460)))</f>
        <v>0.35383392233425581</v>
      </c>
      <c r="AE461" s="18">
        <f>IF($A461&gt;'1-Input'!$B$26,0,(MAX(0,AD451-IF($A461&gt;=('1-Input'!$C$12+1),'1-Input'!$B$12,0))-MIN(MAX(AH460,0),MAX(0,AD451-IF($A461&gt;=('1-Input'!$C$12+1),'1-Input'!$B$12,0))))*(1/(1-'P-Parametri'!$B$6*AD461))+MIN(MAX(0,AI460-(MAX(0,AD451-IF($A461&gt;=('1-Input'!$C$12+1),'1-Input'!$B$12,0))-MIN(MAX(AH460,0),MAX(0,AD451-IF($A461&gt;=('1-Input'!$C$12+1),'1-Input'!$B$12,0))))*(1/(1-'P-Parametri'!$B$6*AD461))),MAX(0,0*AD451-(AH460-MIN(MAX(AH460,0),MAX(0,AD451-IF($A461&gt;=('1-Input'!$C$12+1),'1-Input'!$B$12,0)))))*(1/(1-'P-Parametri'!$B$6*AD461))))</f>
        <v>20493.516405246701</v>
      </c>
      <c r="AF461" s="18">
        <f>IF($A461&gt;'1-Input'!$B$26,AH460,(AH460-MAX(0,AD451-IF($A461&gt;=('1-Input'!$C$12+1),'1-Input'!$B$12,0))+AE461*(1-'P-Parametri'!$B$6*AD461))*(1+'1-Input'!$B$27))</f>
        <v>-3.6248820833861826E-12</v>
      </c>
      <c r="AG461" s="18">
        <f>IF($A461&gt;'1-Input'!$B$26,AI460,(AI460-AE461)*(1+'5-Roberta'!$C$4))</f>
        <v>365622.45127796894</v>
      </c>
      <c r="AH461" s="18">
        <f>IF($A461&gt;'1-Input'!$B$26,AF461,AF461-'P-Parametri'!$B$8*(AG461+AF461)+MIN(MAX(AG461,0),'P-Parametri'!$B$8*(AG461+AF461)))</f>
        <v>-3.637978807091713E-12</v>
      </c>
      <c r="AI461" s="18">
        <f>IF($A461&gt;'1-Input'!$B$26,AG461,AG461-MIN(MAX(AG461,0),'P-Parametri'!$B$8*(AG461+AF461)))</f>
        <v>364891.20637541299</v>
      </c>
      <c r="AJ461" s="18">
        <f>IF($A461&gt;'1-Input'!$B$26,AJ460,AJ460-AE461*(1-AD461))</f>
        <v>229371.6749988542</v>
      </c>
      <c r="AK461" s="11">
        <f>IF($A461&gt;'1-Input'!$B$26,0,IF(AP460&lt;=0,0,MAX(0,(AP460-AQ460)/AP460)))</f>
        <v>0.35383392233425587</v>
      </c>
      <c r="AL461" s="18">
        <f>IF($A461&gt;'1-Input'!$B$26,0,(MAX(0,AK451-IF($A461&gt;=('1-Input'!$C$12+1),'1-Input'!$B$12,0))-MIN(MAX(AO460,0),MAX(0,AK451-IF($A461&gt;=('1-Input'!$C$12+1),'1-Input'!$B$12,0))))*(1/(1-'P-Parametri'!$B$6*AK461))+MIN(MAX(0,AP460-(MAX(0,AK451-IF($A461&gt;=('1-Input'!$C$12+1),'1-Input'!$B$12,0))-MIN(MAX(AO460,0),MAX(0,AK451-IF($A461&gt;=('1-Input'!$C$12+1),'1-Input'!$B$12,0))))*(1/(1-'P-Parametri'!$B$6*AK461))),MAX(0,0*AK451-(AO460-MIN(MAX(AO460,0),MAX(0,AK451-IF($A461&gt;=('1-Input'!$C$12+1),'1-Input'!$B$12,0)))))*(1/(1-'P-Parametri'!$B$6*AK461))))</f>
        <v>20492.73041455838</v>
      </c>
      <c r="AM461" s="18">
        <f>IF($A461&gt;'1-Input'!$B$26,AO460,(AO460-MAX(0,AK451-IF($A461&gt;=('1-Input'!$C$12+1),'1-Input'!$B$12,0))+AL461*(1-'P-Parametri'!$B$6*AK461))*(1+'1-Input'!$B$27))</f>
        <v>0</v>
      </c>
      <c r="AN461" s="18">
        <f>IF($A461&gt;'1-Input'!$B$26,AP460,(AP460-AL461)*(1+'5-Roberta'!$C$4))</f>
        <v>365629.45914630214</v>
      </c>
      <c r="AO461" s="18">
        <f>IF($A461&gt;'1-Input'!$B$26,AM461,AM461-'P-Parametri'!$B$8*(AN461+AM461)+MIN(MAX(AN461,0),'P-Parametri'!$B$8*(AN461+AM461)))</f>
        <v>0</v>
      </c>
      <c r="AP461" s="18">
        <f>IF($A461&gt;'1-Input'!$B$26,AN461,AN461-MIN(MAX(AN461,0),'P-Parametri'!$B$8*(AN461+AM461)))</f>
        <v>364898.20022800955</v>
      </c>
      <c r="AQ461" s="18">
        <f>IF($A461&gt;'1-Input'!$B$26,AQ460,AQ460-AL461*(1-AK461))</f>
        <v>229376.07135496454</v>
      </c>
    </row>
    <row r="462" spans="1:43">
      <c r="A462" s="10">
        <f>9</f>
        <v>9</v>
      </c>
      <c r="B462" s="11">
        <f>IF($A462&gt;'1-Input'!$B$26,0,IF(G461&lt;=0,0,MAX(0,(G461-H461)/G461)))</f>
        <v>0.37139708770381102</v>
      </c>
      <c r="C462" s="18">
        <f>IF($A462&gt;'1-Input'!$B$26,0,(MAX(0,B451-IF($A462&gt;=('1-Input'!$C$12+1),'1-Input'!$B$12,0))-MIN(MAX(F461,0),MAX(0,B451-IF($A462&gt;=('1-Input'!$C$12+1),'1-Input'!$B$12,0))))*(1/(1-'P-Parametri'!$B$6*B462))+MIN(MAX(0,G461-(MAX(0,B451-IF($A462&gt;=('1-Input'!$C$12+1),'1-Input'!$B$12,0))-MIN(MAX(F461,0),MAX(0,B451-IF($A462&gt;=('1-Input'!$C$12+1),'1-Input'!$B$12,0))))*(1/(1-'P-Parametri'!$B$6*B462))),MAX(0,0*B451-(F461-MIN(MAX(F461,0),MAX(0,B451-IF($A462&gt;=('1-Input'!$C$12+1),'1-Input'!$B$12,0)))))*(1/(1-'P-Parametri'!$B$6*B462))))</f>
        <v>18463.998926034648</v>
      </c>
      <c r="D462" s="18">
        <f>IF($A462&gt;'1-Input'!$B$26,F461,(F461-MAX(0,B451-IF($A462&gt;=('1-Input'!$C$12+1),'1-Input'!$B$12,0))+C462*(1-'P-Parametri'!$B$6*B462))*(1+'1-Input'!$B$27))</f>
        <v>0</v>
      </c>
      <c r="E462" s="18">
        <f>IF($A462&gt;'1-Input'!$B$26,G461,(G461-C462)*(1+'5-Roberta'!$C$4))</f>
        <v>376271.75706149999</v>
      </c>
      <c r="F462" s="18">
        <f>IF($A462&gt;'1-Input'!$B$26,D462,D462-'P-Parametri'!$B$8*(E462+D462)+MIN(MAX(E462,0),'P-Parametri'!$B$8*(E462+D462)))</f>
        <v>0</v>
      </c>
      <c r="G462" s="18">
        <f>IF($A462&gt;'1-Input'!$B$26,E462,E462-MIN(MAX(E462,0),'P-Parametri'!$B$8*(E462+D462)))</f>
        <v>375519.21354737697</v>
      </c>
      <c r="H462" s="18">
        <f>IF($A462&gt;'1-Input'!$B$26,H461,H461-C462*(1-B462))</f>
        <v>229636.42942103205</v>
      </c>
      <c r="I462" s="11">
        <f>IF($A462&gt;'1-Input'!$B$26,0,IF(N461&lt;=0,0,MAX(0,(N461-O461)/N461)))</f>
        <v>0.37139708770381136</v>
      </c>
      <c r="J462" s="18">
        <f>IF($A462&gt;'1-Input'!$B$26,0,(MAX(0,I451-IF($A462&gt;=('1-Input'!$C$12+1),'1-Input'!$B$12,0))-MIN(MAX(M461,0),MAX(0,I451-IF($A462&gt;=('1-Input'!$C$12+1),'1-Input'!$B$12,0))))*(1/(1-'P-Parametri'!$B$6*I462))+MIN(MAX(0,N461-(MAX(0,I451-IF($A462&gt;=('1-Input'!$C$12+1),'1-Input'!$B$12,0))-MIN(MAX(M461,0),MAX(0,I451-IF($A462&gt;=('1-Input'!$C$12+1),'1-Input'!$B$12,0))))*(1/(1-'P-Parametri'!$B$6*I462))),MAX(0,0*I451-(M461-MIN(MAX(M461,0),MAX(0,I451-IF($A462&gt;=('1-Input'!$C$12+1),'1-Input'!$B$12,0)))))*(1/(1-'P-Parametri'!$B$6*I462))))</f>
        <v>24294.735428992972</v>
      </c>
      <c r="K462" s="18">
        <f>IF($A462&gt;'1-Input'!$B$26,M461,(M461-MAX(0,I451-IF($A462&gt;=('1-Input'!$C$12+1),'1-Input'!$B$12,0))+J462*(1-'P-Parametri'!$B$6*I462))*(1+'1-Input'!$B$27))</f>
        <v>0</v>
      </c>
      <c r="L462" s="18">
        <f>IF($A462&gt;'1-Input'!$B$26,N461,(N461-J462)*(1+'5-Roberta'!$C$4))</f>
        <v>317095.67723909963</v>
      </c>
      <c r="M462" s="18">
        <f>IF($A462&gt;'1-Input'!$B$26,K462,K462-'P-Parametri'!$B$8*(L462+K462)+MIN(MAX(L462,0),'P-Parametri'!$B$8*(L462+K462)))</f>
        <v>0</v>
      </c>
      <c r="N462" s="18">
        <f>IF($A462&gt;'1-Input'!$B$26,L462,L462-MIN(MAX(L462,0),'P-Parametri'!$B$8*(L462+K462)))</f>
        <v>316461.48588462145</v>
      </c>
      <c r="O462" s="18">
        <f>IF($A462&gt;'1-Input'!$B$26,O461,O461-J462*(1-I462))</f>
        <v>193521.61765925269</v>
      </c>
      <c r="P462" s="11">
        <f>IF($A462&gt;'1-Input'!$B$26,0,IF(U461&lt;=0,0,MAX(0,(U461-V461)/U461)))</f>
        <v>0.37139708770381136</v>
      </c>
      <c r="Q462" s="18">
        <f>IF($A462&gt;'1-Input'!$B$26,0,(MAX(0,P451-IF($A462&gt;=('1-Input'!$C$12+1),'1-Input'!$B$12,0))-MIN(MAX(T461,0),MAX(0,P451-IF($A462&gt;=('1-Input'!$C$12+1),'1-Input'!$B$12,0))))*(1/(1-'P-Parametri'!$B$6*P462))+MIN(MAX(0,U461-(MAX(0,P451-IF($A462&gt;=('1-Input'!$C$12+1),'1-Input'!$B$12,0))-MIN(MAX(T461,0),MAX(0,P451-IF($A462&gt;=('1-Input'!$C$12+1),'1-Input'!$B$12,0))))*(1/(1-'P-Parametri'!$B$6*P462))),MAX(0,0*P451-(T461-MIN(MAX(T461,0),MAX(0,P451-IF($A462&gt;=('1-Input'!$C$12+1),'1-Input'!$B$12,0)))))*(1/(1-'P-Parametri'!$B$6*P462))))</f>
        <v>20860.380744500235</v>
      </c>
      <c r="R462" s="18">
        <f>IF($A462&gt;'1-Input'!$B$26,T461,(T461-MAX(0,P451-IF($A462&gt;=('1-Input'!$C$12+1),'1-Input'!$B$12,0))+Q462*(1-'P-Parametri'!$B$6*P462))*(1+'1-Input'!$B$27))</f>
        <v>0</v>
      </c>
      <c r="S462" s="18">
        <f>IF($A462&gt;'1-Input'!$B$26,U461,(U461-Q462)*(1+'5-Roberta'!$C$4))</f>
        <v>351950.90467818279</v>
      </c>
      <c r="T462" s="18">
        <f>IF($A462&gt;'1-Input'!$B$26,R462,R462-'P-Parametri'!$B$8*(S462+R462)+MIN(MAX(S462,0),'P-Parametri'!$B$8*(S462+R462)))</f>
        <v>0</v>
      </c>
      <c r="U462" s="18">
        <f>IF($A462&gt;'1-Input'!$B$26,S462,S462-MIN(MAX(S462,0),'P-Parametri'!$B$8*(S462+R462)))</f>
        <v>351247.00286882644</v>
      </c>
      <c r="V462" s="18">
        <f>IF($A462&gt;'1-Input'!$B$26,V461,V461-Q462*(1-P462))</f>
        <v>214793.556957266</v>
      </c>
      <c r="W462" s="11">
        <f>IF($A462&gt;'1-Input'!$B$26,0,IF(AB461&lt;=0,0,MAX(0,(AB461-AC461)/AB461)))</f>
        <v>0.37139708770381102</v>
      </c>
      <c r="X462" s="18">
        <f>IF($A462&gt;'1-Input'!$B$26,0,(MAX(0,W451-IF($A462&gt;=('1-Input'!$C$12+1),'1-Input'!$B$12,0))-MIN(MAX(AA461,0),MAX(0,W451-IF($A462&gt;=('1-Input'!$C$12+1),'1-Input'!$B$12,0))))*(1/(1-'P-Parametri'!$B$6*W462))+MIN(MAX(0,AB461-(MAX(0,W451-IF($A462&gt;=('1-Input'!$C$12+1),'1-Input'!$B$12,0))-MIN(MAX(AA461,0),MAX(0,W451-IF($A462&gt;=('1-Input'!$C$12+1),'1-Input'!$B$12,0))))*(1/(1-'P-Parametri'!$B$6*W462))),MAX(0,0*W451-(AA461-MIN(MAX(AA461,0),MAX(0,W451-IF($A462&gt;=('1-Input'!$C$12+1),'1-Input'!$B$12,0)))))*(1/(1-'P-Parametri'!$B$6*W462))))</f>
        <v>20592.135535375484</v>
      </c>
      <c r="Y462" s="18">
        <f>IF($A462&gt;'1-Input'!$B$26,AA461,(AA461-MAX(0,W451-IF($A462&gt;=('1-Input'!$C$12+1),'1-Input'!$B$12,0))+X462*(1-'P-Parametri'!$B$6*W462))*(1+'1-Input'!$B$27))</f>
        <v>0</v>
      </c>
      <c r="Z462" s="18">
        <f>IF($A462&gt;'1-Input'!$B$26,AB461,(AB461-X462)*(1+'5-Roberta'!$C$4))</f>
        <v>354673.32231771917</v>
      </c>
      <c r="AA462" s="18">
        <f>IF($A462&gt;'1-Input'!$B$26,Y462,Y462-'P-Parametri'!$B$8*(Z462+Y462)+MIN(MAX(Z462,0),'P-Parametri'!$B$8*(Z462+Y462)))</f>
        <v>0</v>
      </c>
      <c r="AB462" s="18">
        <f>IF($A462&gt;'1-Input'!$B$26,Z462,Z462-MIN(MAX(Z462,0),'P-Parametri'!$B$8*(Z462+Y462)))</f>
        <v>353963.97567308374</v>
      </c>
      <c r="AC462" s="18">
        <f>IF($A462&gt;'1-Input'!$B$26,AC461,AC461-X462*(1-W462))</f>
        <v>216455.0323521196</v>
      </c>
      <c r="AD462" s="11">
        <f>IF($A462&gt;'1-Input'!$B$26,0,IF(AI461&lt;=0,0,MAX(0,(AI461-AJ461)/AI461)))</f>
        <v>0.37139708770381136</v>
      </c>
      <c r="AE462" s="18">
        <f>IF($A462&gt;'1-Input'!$B$26,0,(MAX(0,AD451-IF($A462&gt;=('1-Input'!$C$12+1),'1-Input'!$B$12,0))-MIN(MAX(AH461,0),MAX(0,AD451-IF($A462&gt;=('1-Input'!$C$12+1),'1-Input'!$B$12,0))))*(1/(1-'P-Parametri'!$B$6*AD462))+MIN(MAX(0,AI461-(MAX(0,AD451-IF($A462&gt;=('1-Input'!$C$12+1),'1-Input'!$B$12,0))-MIN(MAX(AH461,0),MAX(0,AD451-IF($A462&gt;=('1-Input'!$C$12+1),'1-Input'!$B$12,0))))*(1/(1-'P-Parametri'!$B$6*AD462))),MAX(0,0*AD451-(AH461-MIN(MAX(AH461,0),MAX(0,AD451-IF($A462&gt;=('1-Input'!$C$12+1),'1-Input'!$B$12,0)))))*(1/(1-'P-Parametri'!$B$6*AD462))))</f>
        <v>20597.100927171519</v>
      </c>
      <c r="AF462" s="18">
        <f>IF($A462&gt;'1-Input'!$B$26,AH461,(AH461-MAX(0,AD451-IF($A462&gt;=('1-Input'!$C$12+1),'1-Input'!$B$12,0))+AE462*(1-'P-Parametri'!$B$6*AD462))*(1+'1-Input'!$B$27))</f>
        <v>0</v>
      </c>
      <c r="AG462" s="18">
        <f>IF($A462&gt;'1-Input'!$B$26,AI461,(AI461-AE462)*(1+'5-Roberta'!$C$4))</f>
        <v>354622.92861168872</v>
      </c>
      <c r="AH462" s="18">
        <f>IF($A462&gt;'1-Input'!$B$26,AF462,AF462-'P-Parametri'!$B$8*(AG462+AF462)+MIN(MAX(AG462,0),'P-Parametri'!$B$8*(AG462+AF462)))</f>
        <v>0</v>
      </c>
      <c r="AI462" s="18">
        <f>IF($A462&gt;'1-Input'!$B$26,AG462,AG462-MIN(MAX(AG462,0),'P-Parametri'!$B$8*(AG462+AF462)))</f>
        <v>353913.68275446532</v>
      </c>
      <c r="AJ462" s="18">
        <f>IF($A462&gt;'1-Input'!$B$26,AJ461,AJ461-AE462*(1-AD462))</f>
        <v>216424.27737117565</v>
      </c>
      <c r="AK462" s="11">
        <f>IF($A462&gt;'1-Input'!$B$26,0,IF(AP461&lt;=0,0,MAX(0,(AP461-AQ461)/AP461)))</f>
        <v>0.37139708770381141</v>
      </c>
      <c r="AL462" s="18">
        <f>IF($A462&gt;'1-Input'!$B$26,0,(MAX(0,AK451-IF($A462&gt;=('1-Input'!$C$12+1),'1-Input'!$B$12,0))-MIN(MAX(AO461,0),MAX(0,AK451-IF($A462&gt;=('1-Input'!$C$12+1),'1-Input'!$B$12,0))))*(1/(1-'P-Parametri'!$B$6*AK462))+MIN(MAX(0,AP461-(MAX(0,AK451-IF($A462&gt;=('1-Input'!$C$12+1),'1-Input'!$B$12,0))-MIN(MAX(AO461,0),MAX(0,AK451-IF($A462&gt;=('1-Input'!$C$12+1),'1-Input'!$B$12,0))))*(1/(1-'P-Parametri'!$B$6*AK462))),MAX(0,0*AK451-(AO461-MIN(MAX(AO461,0),MAX(0,AK451-IF($A462&gt;=('1-Input'!$C$12+1),'1-Input'!$B$12,0)))))*(1/(1-'P-Parametri'!$B$6*AK462))))</f>
        <v>20596.310963691594</v>
      </c>
      <c r="AM462" s="18">
        <f>IF($A462&gt;'1-Input'!$B$26,AO461,(AO461-MAX(0,AK451-IF($A462&gt;=('1-Input'!$C$12+1),'1-Input'!$B$12,0))+AL462*(1-'P-Parametri'!$B$6*AK462))*(1+'1-Input'!$B$27))</f>
        <v>0</v>
      </c>
      <c r="AN462" s="18">
        <f>IF($A462&gt;'1-Input'!$B$26,AP461,(AP461-AL462)*(1+'5-Roberta'!$C$4))</f>
        <v>354630.94594224746</v>
      </c>
      <c r="AO462" s="18">
        <f>IF($A462&gt;'1-Input'!$B$26,AM462,AM462-'P-Parametri'!$B$8*(AN462+AM462)+MIN(MAX(AN462,0),'P-Parametri'!$B$8*(AN462+AM462)))</f>
        <v>0</v>
      </c>
      <c r="AP462" s="18">
        <f>IF($A462&gt;'1-Input'!$B$26,AN462,AN462-MIN(MAX(AN462,0),'P-Parametri'!$B$8*(AN462+AM462)))</f>
        <v>353921.68405036296</v>
      </c>
      <c r="AQ462" s="18">
        <f>IF($A462&gt;'1-Input'!$B$26,AQ461,AQ461-AL462*(1-AK462))</f>
        <v>216429.1703006301</v>
      </c>
    </row>
    <row r="463" spans="1:43">
      <c r="A463" s="10">
        <f>10</f>
        <v>10</v>
      </c>
      <c r="B463" s="11">
        <f>IF($A463&gt;'1-Input'!$B$26,0,IF(G462&lt;=0,0,MAX(0,(G462-H462)/G462)))</f>
        <v>0.38848287614433819</v>
      </c>
      <c r="C463" s="18">
        <f>IF($A463&gt;'1-Input'!$B$26,0,(MAX(0,B451-IF($A463&gt;=('1-Input'!$C$12+1),'1-Input'!$B$12,0))-MIN(MAX(F462,0),MAX(0,B451-IF($A463&gt;=('1-Input'!$C$12+1),'1-Input'!$B$12,0))))*(1/(1-'P-Parametri'!$B$6*B463))+MIN(MAX(0,G462-(MAX(0,B451-IF($A463&gt;=('1-Input'!$C$12+1),'1-Input'!$B$12,0))-MIN(MAX(F462,0),MAX(0,B451-IF($A463&gt;=('1-Input'!$C$12+1),'1-Input'!$B$12,0))))*(1/(1-'P-Parametri'!$B$6*B463))),MAX(0,0*B451-(F462-MIN(MAX(F462,0),MAX(0,B451-IF($A463&gt;=('1-Input'!$C$12+1),'1-Input'!$B$12,0)))))*(1/(1-'P-Parametri'!$B$6*B463))))</f>
        <v>18555.237213932091</v>
      </c>
      <c r="D463" s="18">
        <f>IF($A463&gt;'1-Input'!$B$26,F462,(F462-MAX(0,B451-IF($A463&gt;=('1-Input'!$C$12+1),'1-Input'!$B$12,0))+C463*(1-'P-Parametri'!$B$6*B463))*(1+'1-Input'!$B$27))</f>
        <v>0</v>
      </c>
      <c r="E463" s="18">
        <f>IF($A463&gt;'1-Input'!$B$26,G462,(G462-C463)*(1+'5-Roberta'!$C$4))</f>
        <v>367672.89562344825</v>
      </c>
      <c r="F463" s="18">
        <f>IF($A463&gt;'1-Input'!$B$26,D463,D463-'P-Parametri'!$B$8*(E463+D463)+MIN(MAX(E463,0),'P-Parametri'!$B$8*(E463+D463)))</f>
        <v>0</v>
      </c>
      <c r="G463" s="18">
        <f>IF($A463&gt;'1-Input'!$B$26,E463,E463-MIN(MAX(E463,0),'P-Parametri'!$B$8*(E463+D463)))</f>
        <v>366937.54983220133</v>
      </c>
      <c r="H463" s="18">
        <f>IF($A463&gt;'1-Input'!$B$26,H462,H462-C463*(1-B463))</f>
        <v>218289.58412750874</v>
      </c>
      <c r="I463" s="11">
        <f>IF($A463&gt;'1-Input'!$B$26,0,IF(N462&lt;=0,0,MAX(0,(N462-O462)/N462)))</f>
        <v>0.38848287614433863</v>
      </c>
      <c r="J463" s="18">
        <f>IF($A463&gt;'1-Input'!$B$26,0,(MAX(0,I451-IF($A463&gt;=('1-Input'!$C$12+1),'1-Input'!$B$12,0))-MIN(MAX(M462,0),MAX(0,I451-IF($A463&gt;=('1-Input'!$C$12+1),'1-Input'!$B$12,0))))*(1/(1-'P-Parametri'!$B$6*I463))+MIN(MAX(0,N462-(MAX(0,I451-IF($A463&gt;=('1-Input'!$C$12+1),'1-Input'!$B$12,0))-MIN(MAX(M462,0),MAX(0,I451-IF($A463&gt;=('1-Input'!$C$12+1),'1-Input'!$B$12,0))))*(1/(1-'P-Parametri'!$B$6*I463))),MAX(0,0*I451-(M462-MIN(MAX(M462,0),MAX(0,I451-IF($A463&gt;=('1-Input'!$C$12+1),'1-Input'!$B$12,0)))))*(1/(1-'P-Parametri'!$B$6*I463))))</f>
        <v>24414.785807805387</v>
      </c>
      <c r="K463" s="18">
        <f>IF($A463&gt;'1-Input'!$B$26,M462,(M462-MAX(0,I451-IF($A463&gt;=('1-Input'!$C$12+1),'1-Input'!$B$12,0))+J463*(1-'P-Parametri'!$B$6*I463))*(1+'1-Input'!$B$27))</f>
        <v>0</v>
      </c>
      <c r="L463" s="18">
        <f>IF($A463&gt;'1-Input'!$B$26,N462,(N462-J463)*(1+'5-Roberta'!$C$4))</f>
        <v>300808.10107912059</v>
      </c>
      <c r="M463" s="18">
        <f>IF($A463&gt;'1-Input'!$B$26,K463,K463-'P-Parametri'!$B$8*(L463+K463)+MIN(MAX(L463,0),'P-Parametri'!$B$8*(L463+K463)))</f>
        <v>0</v>
      </c>
      <c r="N463" s="18">
        <f>IF($A463&gt;'1-Input'!$B$26,L463,L463-MIN(MAX(L463,0),'P-Parametri'!$B$8*(L463+K463)))</f>
        <v>300206.48487696238</v>
      </c>
      <c r="O463" s="18">
        <f>IF($A463&gt;'1-Input'!$B$26,O462,O462-J463*(1-I463))</f>
        <v>178591.55806251153</v>
      </c>
      <c r="P463" s="11">
        <f>IF($A463&gt;'1-Input'!$B$26,0,IF(U462&lt;=0,0,MAX(0,(U462-V462)/U462)))</f>
        <v>0.38848287614433857</v>
      </c>
      <c r="Q463" s="18">
        <f>IF($A463&gt;'1-Input'!$B$26,0,(MAX(0,P451-IF($A463&gt;=('1-Input'!$C$12+1),'1-Input'!$B$12,0))-MIN(MAX(T462,0),MAX(0,P451-IF($A463&gt;=('1-Input'!$C$12+1),'1-Input'!$B$12,0))))*(1/(1-'P-Parametri'!$B$6*P463))+MIN(MAX(0,U462-(MAX(0,P451-IF($A463&gt;=('1-Input'!$C$12+1),'1-Input'!$B$12,0))-MIN(MAX(T462,0),MAX(0,P451-IF($A463&gt;=('1-Input'!$C$12+1),'1-Input'!$B$12,0))))*(1/(1-'P-Parametri'!$B$6*P463))),MAX(0,0*P451-(T462-MIN(MAX(T462,0),MAX(0,P451-IF($A463&gt;=('1-Input'!$C$12+1),'1-Input'!$B$12,0)))))*(1/(1-'P-Parametri'!$B$6*P463))))</f>
        <v>20963.460550323511</v>
      </c>
      <c r="R463" s="18">
        <f>IF($A463&gt;'1-Input'!$B$26,T462,(T462-MAX(0,P451-IF($A463&gt;=('1-Input'!$C$12+1),'1-Input'!$B$12,0))+Q463*(1-'P-Parametri'!$B$6*P463))*(1+'1-Input'!$B$27))</f>
        <v>0</v>
      </c>
      <c r="S463" s="18">
        <f>IF($A463&gt;'1-Input'!$B$26,U462,(U462-Q463)*(1+'5-Roberta'!$C$4))</f>
        <v>340192.04858805798</v>
      </c>
      <c r="T463" s="18">
        <f>IF($A463&gt;'1-Input'!$B$26,R463,R463-'P-Parametri'!$B$8*(S463+R463)+MIN(MAX(S463,0),'P-Parametri'!$B$8*(S463+R463)))</f>
        <v>0</v>
      </c>
      <c r="U463" s="18">
        <f>IF($A463&gt;'1-Input'!$B$26,S463,S463-MIN(MAX(S463,0),'P-Parametri'!$B$8*(S463+R463)))</f>
        <v>339511.66449088184</v>
      </c>
      <c r="V463" s="18">
        <f>IF($A463&gt;'1-Input'!$B$26,V462,V462-Q463*(1-P463))</f>
        <v>201974.04185547054</v>
      </c>
      <c r="W463" s="11">
        <f>IF($A463&gt;'1-Input'!$B$26,0,IF(AB462&lt;=0,0,MAX(0,(AB462-AC462)/AB462)))</f>
        <v>0.38848287614433824</v>
      </c>
      <c r="X463" s="18">
        <f>IF($A463&gt;'1-Input'!$B$26,0,(MAX(0,W451-IF($A463&gt;=('1-Input'!$C$12+1),'1-Input'!$B$12,0))-MIN(MAX(AA462,0),MAX(0,W451-IF($A463&gt;=('1-Input'!$C$12+1),'1-Input'!$B$12,0))))*(1/(1-'P-Parametri'!$B$6*W463))+MIN(MAX(0,AB462-(MAX(0,W451-IF($A463&gt;=('1-Input'!$C$12+1),'1-Input'!$B$12,0))-MIN(MAX(AA462,0),MAX(0,W451-IF($A463&gt;=('1-Input'!$C$12+1),'1-Input'!$B$12,0))))*(1/(1-'P-Parametri'!$B$6*W463))),MAX(0,0*W451-(AA462-MIN(MAX(AA462,0),MAX(0,W451-IF($A463&gt;=('1-Input'!$C$12+1),'1-Input'!$B$12,0)))))*(1/(1-'P-Parametri'!$B$6*W463))))</f>
        <v>20693.889830202192</v>
      </c>
      <c r="Y463" s="18">
        <f>IF($A463&gt;'1-Input'!$B$26,AA462,(AA462-MAX(0,W451-IF($A463&gt;=('1-Input'!$C$12+1),'1-Input'!$B$12,0))+X463*(1-'P-Parametri'!$B$6*W463))*(1+'1-Input'!$B$27))</f>
        <v>3.6248820833861826E-12</v>
      </c>
      <c r="Z463" s="18">
        <f>IF($A463&gt;'1-Input'!$B$26,AB462,(AB462-X463)*(1+'5-Roberta'!$C$4))</f>
        <v>343268.18841816799</v>
      </c>
      <c r="AA463" s="18">
        <f>IF($A463&gt;'1-Input'!$B$26,Y463,Y463-'P-Parametri'!$B$8*(Z463+Y463)+MIN(MAX(Z463,0),'P-Parametri'!$B$8*(Z463+Y463)))</f>
        <v>3.637978807091713E-12</v>
      </c>
      <c r="AB463" s="18">
        <f>IF($A463&gt;'1-Input'!$B$26,Z463,Z463-MIN(MAX(Z463,0),'P-Parametri'!$B$8*(Z463+Y463)))</f>
        <v>342581.65204133163</v>
      </c>
      <c r="AC463" s="18">
        <f>IF($A463&gt;'1-Input'!$B$26,AC462,AC462-X463*(1-W463))</f>
        <v>203800.36436176841</v>
      </c>
      <c r="AD463" s="11">
        <f>IF($A463&gt;'1-Input'!$B$26,0,IF(AI462&lt;=0,0,MAX(0,(AI462-AJ462)/AI462)))</f>
        <v>0.38848287614433852</v>
      </c>
      <c r="AE463" s="18">
        <f>IF($A463&gt;'1-Input'!$B$26,0,(MAX(0,AD451-IF($A463&gt;=('1-Input'!$C$12+1),'1-Input'!$B$12,0))-MIN(MAX(AH462,0),MAX(0,AD451-IF($A463&gt;=('1-Input'!$C$12+1),'1-Input'!$B$12,0))))*(1/(1-'P-Parametri'!$B$6*AD463))+MIN(MAX(0,AI462-(MAX(0,AD451-IF($A463&gt;=('1-Input'!$C$12+1),'1-Input'!$B$12,0))-MIN(MAX(AH462,0),MAX(0,AD451-IF($A463&gt;=('1-Input'!$C$12+1),'1-Input'!$B$12,0))))*(1/(1-'P-Parametri'!$B$6*AD463))),MAX(0,0*AD451-(AH462-MIN(MAX(AH462,0),MAX(0,AD451-IF($A463&gt;=('1-Input'!$C$12+1),'1-Input'!$B$12,0)))))*(1/(1-'P-Parametri'!$B$6*AD463))))</f>
        <v>20698.879758061506</v>
      </c>
      <c r="AF463" s="18">
        <f>IF($A463&gt;'1-Input'!$B$26,AH462,(AH462-MAX(0,AD451-IF($A463&gt;=('1-Input'!$C$12+1),'1-Input'!$B$12,0))+AE463*(1-'P-Parametri'!$B$6*AD463))*(1+'1-Input'!$B$27))</f>
        <v>0</v>
      </c>
      <c r="AG463" s="18">
        <f>IF($A463&gt;'1-Input'!$B$26,AI462,(AI462-AE463)*(1+'5-Roberta'!$C$4))</f>
        <v>343211.24708629597</v>
      </c>
      <c r="AH463" s="18">
        <f>IF($A463&gt;'1-Input'!$B$26,AF463,AF463-'P-Parametri'!$B$8*(AG463+AF463)+MIN(MAX(AG463,0),'P-Parametri'!$B$8*(AG463+AF463)))</f>
        <v>0</v>
      </c>
      <c r="AI463" s="18">
        <f>IF($A463&gt;'1-Input'!$B$26,AG463,AG463-MIN(MAX(AG463,0),'P-Parametri'!$B$8*(AG463+AF463)))</f>
        <v>342524.82459212339</v>
      </c>
      <c r="AJ463" s="18">
        <f>IF($A463&gt;'1-Input'!$B$26,AJ462,AJ462-AE463*(1-AD463))</f>
        <v>203766.5579544917</v>
      </c>
      <c r="AK463" s="11">
        <f>IF($A463&gt;'1-Input'!$B$26,0,IF(AP462&lt;=0,0,MAX(0,(AP462-AQ462)/AP462)))</f>
        <v>0.38848287614433852</v>
      </c>
      <c r="AL463" s="18">
        <f>IF($A463&gt;'1-Input'!$B$26,0,(MAX(0,AK451-IF($A463&gt;=('1-Input'!$C$12+1),'1-Input'!$B$12,0))-MIN(MAX(AO462,0),MAX(0,AK451-IF($A463&gt;=('1-Input'!$C$12+1),'1-Input'!$B$12,0))))*(1/(1-'P-Parametri'!$B$6*AK463))+MIN(MAX(0,AP462-(MAX(0,AK451-IF($A463&gt;=('1-Input'!$C$12+1),'1-Input'!$B$12,0))-MIN(MAX(AO462,0),MAX(0,AK451-IF($A463&gt;=('1-Input'!$C$12+1),'1-Input'!$B$12,0))))*(1/(1-'P-Parametri'!$B$6*AK463))),MAX(0,0*AK451-(AO462-MIN(MAX(AO462,0),MAX(0,AK451-IF($A463&gt;=('1-Input'!$C$12+1),'1-Input'!$B$12,0)))))*(1/(1-'P-Parametri'!$B$6*AK463))))</f>
        <v>20698.085891043913</v>
      </c>
      <c r="AM463" s="18">
        <f>IF($A463&gt;'1-Input'!$B$26,AO462,(AO462-MAX(0,AK451-IF($A463&gt;=('1-Input'!$C$12+1),'1-Input'!$B$12,0))+AL463*(1-'P-Parametri'!$B$6*AK463))*(1+'1-Input'!$B$27))</f>
        <v>0</v>
      </c>
      <c r="AN463" s="18">
        <f>IF($A463&gt;'1-Input'!$B$26,AP462,(AP462-AL463)*(1+'5-Roberta'!$C$4))</f>
        <v>343220.30610409862</v>
      </c>
      <c r="AO463" s="18">
        <f>IF($A463&gt;'1-Input'!$B$26,AM463,AM463-'P-Parametri'!$B$8*(AN463+AM463)+MIN(MAX(AN463,0),'P-Parametri'!$B$8*(AN463+AM463)))</f>
        <v>0</v>
      </c>
      <c r="AP463" s="18">
        <f>IF($A463&gt;'1-Input'!$B$26,AN463,AN463-MIN(MAX(AN463,0),'P-Parametri'!$B$8*(AN463+AM463)))</f>
        <v>342533.86549189041</v>
      </c>
      <c r="AQ463" s="18">
        <f>IF($A463&gt;'1-Input'!$B$26,AQ462,AQ462-AL463*(1-AK463))</f>
        <v>203771.93634722149</v>
      </c>
    </row>
    <row r="464" spans="1:43">
      <c r="A464" s="10">
        <f>11</f>
        <v>11</v>
      </c>
      <c r="B464" s="11">
        <f>IF($A464&gt;'1-Input'!$B$26,0,IF(G463&lt;=0,0,MAX(0,(G463-H463)/G463)))</f>
        <v>0.40510426303513647</v>
      </c>
      <c r="C464" s="18">
        <f>IF($A464&gt;'1-Input'!$B$26,0,(MAX(0,B451-IF($A464&gt;=('1-Input'!$C$12+1),'1-Input'!$B$12,0))-MIN(MAX(F463,0),MAX(0,B451-IF($A464&gt;=('1-Input'!$C$12+1),'1-Input'!$B$12,0))))*(1/(1-'P-Parametri'!$B$6*B464))+MIN(MAX(0,G463-(MAX(0,B451-IF($A464&gt;=('1-Input'!$C$12+1),'1-Input'!$B$12,0))-MIN(MAX(F463,0),MAX(0,B451-IF($A464&gt;=('1-Input'!$C$12+1),'1-Input'!$B$12,0))))*(1/(1-'P-Parametri'!$B$6*B464))),MAX(0,0*B451-(F463-MIN(MAX(F463,0),MAX(0,B451-IF($A464&gt;=('1-Input'!$C$12+1),'1-Input'!$B$12,0)))))*(1/(1-'P-Parametri'!$B$6*B464))))</f>
        <v>18644.865035076062</v>
      </c>
      <c r="D464" s="18">
        <f>IF($A464&gt;'1-Input'!$B$26,F463,(F463-MAX(0,B451-IF($A464&gt;=('1-Input'!$C$12+1),'1-Input'!$B$12,0))+C464*(1-'P-Parametri'!$B$6*B464))*(1+'1-Input'!$B$27))</f>
        <v>0</v>
      </c>
      <c r="E464" s="18">
        <f>IF($A464&gt;'1-Input'!$B$26,G463,(G463-C464)*(1+'5-Roberta'!$C$4))</f>
        <v>358741.46534103906</v>
      </c>
      <c r="F464" s="18">
        <f>IF($A464&gt;'1-Input'!$B$26,D464,D464-'P-Parametri'!$B$8*(E464+D464)+MIN(MAX(E464,0),'P-Parametri'!$B$8*(E464+D464)))</f>
        <v>0</v>
      </c>
      <c r="G464" s="18">
        <f>IF($A464&gt;'1-Input'!$B$26,E464,E464-MIN(MAX(E464,0),'P-Parametri'!$B$8*(E464+D464)))</f>
        <v>358023.98241035698</v>
      </c>
      <c r="H464" s="18">
        <f>IF($A464&gt;'1-Input'!$B$26,H463,H463-C464*(1-B464))</f>
        <v>207197.83340185677</v>
      </c>
      <c r="I464" s="11">
        <f>IF($A464&gt;'1-Input'!$B$26,0,IF(N463&lt;=0,0,MAX(0,(N463-O463)/N463)))</f>
        <v>0.40510426303513702</v>
      </c>
      <c r="J464" s="18">
        <f>IF($A464&gt;'1-Input'!$B$26,0,(MAX(0,I451-IF($A464&gt;=('1-Input'!$C$12+1),'1-Input'!$B$12,0))-MIN(MAX(M463,0),MAX(0,I451-IF($A464&gt;=('1-Input'!$C$12+1),'1-Input'!$B$12,0))))*(1/(1-'P-Parametri'!$B$6*I464))+MIN(MAX(0,N463-(MAX(0,I451-IF($A464&gt;=('1-Input'!$C$12+1),'1-Input'!$B$12,0))-MIN(MAX(M463,0),MAX(0,I451-IF($A464&gt;=('1-Input'!$C$12+1),'1-Input'!$B$12,0))))*(1/(1-'P-Parametri'!$B$6*I464))),MAX(0,0*I451-(M463-MIN(MAX(M463,0),MAX(0,I451-IF($A464&gt;=('1-Input'!$C$12+1),'1-Input'!$B$12,0)))))*(1/(1-'P-Parametri'!$B$6*I464))))</f>
        <v>24532.71715141588</v>
      </c>
      <c r="K464" s="18">
        <f>IF($A464&gt;'1-Input'!$B$26,M463,(M463-MAX(0,I451-IF($A464&gt;=('1-Input'!$C$12+1),'1-Input'!$B$12,0))+J464*(1-'P-Parametri'!$B$6*I464))*(1+'1-Input'!$B$27))</f>
        <v>3.6248820833861826E-12</v>
      </c>
      <c r="L464" s="18">
        <f>IF($A464&gt;'1-Input'!$B$26,N463,(N463-J464)*(1+'5-Roberta'!$C$4))</f>
        <v>283943.98075731291</v>
      </c>
      <c r="M464" s="18">
        <f>IF($A464&gt;'1-Input'!$B$26,K464,K464-'P-Parametri'!$B$8*(L464+K464)+MIN(MAX(L464,0),'P-Parametri'!$B$8*(L464+K464)))</f>
        <v>3.637978807091713E-12</v>
      </c>
      <c r="N464" s="18">
        <f>IF($A464&gt;'1-Input'!$B$26,L464,L464-MIN(MAX(L464,0),'P-Parametri'!$B$8*(L464+K464)))</f>
        <v>283376.09279579826</v>
      </c>
      <c r="O464" s="18">
        <f>IF($A464&gt;'1-Input'!$B$26,O463,O463-J464*(1-I464))</f>
        <v>163997.14921296944</v>
      </c>
      <c r="P464" s="11">
        <f>IF($A464&gt;'1-Input'!$B$26,0,IF(U463&lt;=0,0,MAX(0,(U463-V463)/U463)))</f>
        <v>0.40510426303513675</v>
      </c>
      <c r="Q464" s="18">
        <f>IF($A464&gt;'1-Input'!$B$26,0,(MAX(0,P451-IF($A464&gt;=('1-Input'!$C$12+1),'1-Input'!$B$12,0))-MIN(MAX(T463,0),MAX(0,P451-IF($A464&gt;=('1-Input'!$C$12+1),'1-Input'!$B$12,0))))*(1/(1-'P-Parametri'!$B$6*P464))+MIN(MAX(0,U463-(MAX(0,P451-IF($A464&gt;=('1-Input'!$C$12+1),'1-Input'!$B$12,0))-MIN(MAX(T463,0),MAX(0,P451-IF($A464&gt;=('1-Input'!$C$12+1),'1-Input'!$B$12,0))))*(1/(1-'P-Parametri'!$B$6*P464))),MAX(0,0*P451-(T463-MIN(MAX(T463,0),MAX(0,P451-IF($A464&gt;=('1-Input'!$C$12+1),'1-Input'!$B$12,0)))))*(1/(1-'P-Parametri'!$B$6*P464))))</f>
        <v>21064.720872199232</v>
      </c>
      <c r="R464" s="18">
        <f>IF($A464&gt;'1-Input'!$B$26,T463,(T463-MAX(0,P451-IF($A464&gt;=('1-Input'!$C$12+1),'1-Input'!$B$12,0))+Q464*(1-'P-Parametri'!$B$6*P464))*(1+'1-Input'!$B$27))</f>
        <v>0</v>
      </c>
      <c r="S464" s="18">
        <f>IF($A464&gt;'1-Input'!$B$26,U463,(U463-Q464)*(1+'5-Roberta'!$C$4))</f>
        <v>328000.35192724311</v>
      </c>
      <c r="T464" s="18">
        <f>IF($A464&gt;'1-Input'!$B$26,R464,R464-'P-Parametri'!$B$8*(S464+R464)+MIN(MAX(S464,0),'P-Parametri'!$B$8*(S464+R464)))</f>
        <v>0</v>
      </c>
      <c r="U464" s="18">
        <f>IF($A464&gt;'1-Input'!$B$26,S464,S464-MIN(MAX(S464,0),'P-Parametri'!$B$8*(S464+R464)))</f>
        <v>327344.35122338863</v>
      </c>
      <c r="V464" s="18">
        <f>IF($A464&gt;'1-Input'!$B$26,V463,V463-Q464*(1-P464))</f>
        <v>189442.72920824445</v>
      </c>
      <c r="W464" s="11">
        <f>IF($A464&gt;'1-Input'!$B$26,0,IF(AB463&lt;=0,0,MAX(0,(AB463-AC463)/AB463)))</f>
        <v>0.40510426303513652</v>
      </c>
      <c r="X464" s="18">
        <f>IF($A464&gt;'1-Input'!$B$26,0,(MAX(0,W451-IF($A464&gt;=('1-Input'!$C$12+1),'1-Input'!$B$12,0))-MIN(MAX(AA463,0),MAX(0,W451-IF($A464&gt;=('1-Input'!$C$12+1),'1-Input'!$B$12,0))))*(1/(1-'P-Parametri'!$B$6*W464))+MIN(MAX(0,AB463-(MAX(0,W451-IF($A464&gt;=('1-Input'!$C$12+1),'1-Input'!$B$12,0))-MIN(MAX(AA463,0),MAX(0,W451-IF($A464&gt;=('1-Input'!$C$12+1),'1-Input'!$B$12,0))))*(1/(1-'P-Parametri'!$B$6*W464))),MAX(0,0*W451-(AA463-MIN(MAX(AA463,0),MAX(0,W451-IF($A464&gt;=('1-Input'!$C$12+1),'1-Input'!$B$12,0)))))*(1/(1-'P-Parametri'!$B$6*W464))))</f>
        <v>20793.848037962623</v>
      </c>
      <c r="Y464" s="18">
        <f>IF($A464&gt;'1-Input'!$B$26,AA463,(AA463-MAX(0,W451-IF($A464&gt;=('1-Input'!$C$12+1),'1-Input'!$B$12,0))+X464*(1-'P-Parametri'!$B$6*W464))*(1+'1-Input'!$B$27))</f>
        <v>0</v>
      </c>
      <c r="Z464" s="18">
        <f>IF($A464&gt;'1-Input'!$B$26,AB463,(AB463-X464)*(1+'5-Roberta'!$C$4))</f>
        <v>331441.43812347006</v>
      </c>
      <c r="AA464" s="18">
        <f>IF($A464&gt;'1-Input'!$B$26,Y464,Y464-'P-Parametri'!$B$8*(Z464+Y464)+MIN(MAX(Z464,0),'P-Parametri'!$B$8*(Z464+Y464)))</f>
        <v>0</v>
      </c>
      <c r="AB464" s="18">
        <f>IF($A464&gt;'1-Input'!$B$26,Z464,Z464-MIN(MAX(Z464,0),'P-Parametri'!$B$8*(Z464+Y464)))</f>
        <v>330778.55524722312</v>
      </c>
      <c r="AC464" s="18">
        <f>IF($A464&gt;'1-Input'!$B$26,AC463,AC463-X464*(1-W464))</f>
        <v>191430.19280888926</v>
      </c>
      <c r="AD464" s="11">
        <f>IF($A464&gt;'1-Input'!$B$26,0,IF(AI463&lt;=0,0,MAX(0,(AI463-AJ463)/AI463)))</f>
        <v>0.40510426303513691</v>
      </c>
      <c r="AE464" s="18">
        <f>IF($A464&gt;'1-Input'!$B$26,0,(MAX(0,AD451-IF($A464&gt;=('1-Input'!$C$12+1),'1-Input'!$B$12,0))-MIN(MAX(AH463,0),MAX(0,AD451-IF($A464&gt;=('1-Input'!$C$12+1),'1-Input'!$B$12,0))))*(1/(1-'P-Parametri'!$B$6*AD464))+MIN(MAX(0,AI463-(MAX(0,AD451-IF($A464&gt;=('1-Input'!$C$12+1),'1-Input'!$B$12,0))-MIN(MAX(AH463,0),MAX(0,AD451-IF($A464&gt;=('1-Input'!$C$12+1),'1-Input'!$B$12,0))))*(1/(1-'P-Parametri'!$B$6*AD464))),MAX(0,0*AD451-(AH463-MIN(MAX(AH463,0),MAX(0,AD451-IF($A464&gt;=('1-Input'!$C$12+1),'1-Input'!$B$12,0)))))*(1/(1-'P-Parametri'!$B$6*AD464))))</f>
        <v>20798.862068793875</v>
      </c>
      <c r="AF464" s="18">
        <f>IF($A464&gt;'1-Input'!$B$26,AH463,(AH463-MAX(0,AD451-IF($A464&gt;=('1-Input'!$C$12+1),'1-Input'!$B$12,0))+AE464*(1-'P-Parametri'!$B$6*AD464))*(1+'1-Input'!$B$27))</f>
        <v>0</v>
      </c>
      <c r="AG464" s="18">
        <f>IF($A464&gt;'1-Input'!$B$26,AI463,(AI463-AE464)*(1+'5-Roberta'!$C$4))</f>
        <v>331377.74139902944</v>
      </c>
      <c r="AH464" s="18">
        <f>IF($A464&gt;'1-Input'!$B$26,AF464,AF464-'P-Parametri'!$B$8*(AG464+AF464)+MIN(MAX(AG464,0),'P-Parametri'!$B$8*(AG464+AF464)))</f>
        <v>0</v>
      </c>
      <c r="AI464" s="18">
        <f>IF($A464&gt;'1-Input'!$B$26,AG464,AG464-MIN(MAX(AG464,0),'P-Parametri'!$B$8*(AG464+AF464)))</f>
        <v>330714.98591623141</v>
      </c>
      <c r="AJ464" s="18">
        <f>IF($A464&gt;'1-Input'!$B$26,AJ463,AJ463-AE464*(1-AD464))</f>
        <v>191393.40357604602</v>
      </c>
      <c r="AK464" s="11">
        <f>IF($A464&gt;'1-Input'!$B$26,0,IF(AP463&lt;=0,0,MAX(0,(AP463-AQ463)/AP463)))</f>
        <v>0.40510426303513675</v>
      </c>
      <c r="AL464" s="18">
        <f>IF($A464&gt;'1-Input'!$B$26,0,(MAX(0,AK451-IF($A464&gt;=('1-Input'!$C$12+1),'1-Input'!$B$12,0))-MIN(MAX(AO463,0),MAX(0,AK451-IF($A464&gt;=('1-Input'!$C$12+1),'1-Input'!$B$12,0))))*(1/(1-'P-Parametri'!$B$6*AK464))+MIN(MAX(0,AP463-(MAX(0,AK451-IF($A464&gt;=('1-Input'!$C$12+1),'1-Input'!$B$12,0))-MIN(MAX(AO463,0),MAX(0,AK451-IF($A464&gt;=('1-Input'!$C$12+1),'1-Input'!$B$12,0))))*(1/(1-'P-Parametri'!$B$6*AK464))),MAX(0,0*AK451-(AO463-MIN(MAX(AO463,0),MAX(0,AK451-IF($A464&gt;=('1-Input'!$C$12+1),'1-Input'!$B$12,0)))))*(1/(1-'P-Parametri'!$B$6*AK464))))</f>
        <v>20798.064367140796</v>
      </c>
      <c r="AM464" s="18">
        <f>IF($A464&gt;'1-Input'!$B$26,AO463,(AO463-MAX(0,AK451-IF($A464&gt;=('1-Input'!$C$12+1),'1-Input'!$B$12,0))+AL464*(1-'P-Parametri'!$B$6*AK464))*(1+'1-Input'!$B$27))</f>
        <v>0</v>
      </c>
      <c r="AN464" s="18">
        <f>IF($A464&gt;'1-Input'!$B$26,AP463,(AP463-AL464)*(1+'5-Roberta'!$C$4))</f>
        <v>331387.87515849207</v>
      </c>
      <c r="AO464" s="18">
        <f>IF($A464&gt;'1-Input'!$B$26,AM464,AM464-'P-Parametri'!$B$8*(AN464+AM464)+MIN(MAX(AN464,0),'P-Parametri'!$B$8*(AN464+AM464)))</f>
        <v>0</v>
      </c>
      <c r="AP464" s="18">
        <f>IF($A464&gt;'1-Input'!$B$26,AN464,AN464-MIN(MAX(AN464,0),'P-Parametri'!$B$8*(AN464+AM464)))</f>
        <v>330725.0994081751</v>
      </c>
      <c r="AQ464" s="18">
        <f>IF($A464&gt;'1-Input'!$B$26,AQ463,AQ463-AL464*(1-AK464))</f>
        <v>191399.2565180886</v>
      </c>
    </row>
    <row r="465" spans="1:43">
      <c r="A465" s="10">
        <f>12</f>
        <v>12</v>
      </c>
      <c r="B465" s="11">
        <f>IF($A465&gt;'1-Input'!$B$26,0,IF(G464&lt;=0,0,MAX(0,(G464-H464)/G464)))</f>
        <v>0.42127387107723846</v>
      </c>
      <c r="C465" s="18">
        <f>IF($A465&gt;'1-Input'!$B$26,0,(MAX(0,B451-IF($A465&gt;=('1-Input'!$C$12+1),'1-Input'!$B$12,0))-MIN(MAX(F464,0),MAX(0,B451-IF($A465&gt;=('1-Input'!$C$12+1),'1-Input'!$B$12,0))))*(1/(1-'P-Parametri'!$B$6*B465))+MIN(MAX(0,G464-(MAX(0,B451-IF($A465&gt;=('1-Input'!$C$12+1),'1-Input'!$B$12,0))-MIN(MAX(F464,0),MAX(0,B451-IF($A465&gt;=('1-Input'!$C$12+1),'1-Input'!$B$12,0))))*(1/(1-'P-Parametri'!$B$6*B465))),MAX(0,0*B451-(F464-MIN(MAX(F464,0),MAX(0,B451-IF($A465&gt;=('1-Input'!$C$12+1),'1-Input'!$B$12,0)))))*(1/(1-'P-Parametri'!$B$6*B465))))</f>
        <v>18732.891524123559</v>
      </c>
      <c r="D465" s="18">
        <f>IF($A465&gt;'1-Input'!$B$26,F464,(F464-MAX(0,B451-IF($A465&gt;=('1-Input'!$C$12+1),'1-Input'!$B$12,0))+C465*(1-'P-Parametri'!$B$6*B465))*(1+'1-Input'!$B$27))</f>
        <v>0</v>
      </c>
      <c r="E465" s="18">
        <f>IF($A465&gt;'1-Input'!$B$26,G464,(G464-C465)*(1+'5-Roberta'!$C$4))</f>
        <v>349469.82361282047</v>
      </c>
      <c r="F465" s="18">
        <f>IF($A465&gt;'1-Input'!$B$26,D465,D465-'P-Parametri'!$B$8*(E465+D465)+MIN(MAX(E465,0),'P-Parametri'!$B$8*(E465+D465)))</f>
        <v>0</v>
      </c>
      <c r="G465" s="18">
        <f>IF($A465&gt;'1-Input'!$B$26,E465,E465-MIN(MAX(E465,0),'P-Parametri'!$B$8*(E465+D465)))</f>
        <v>348770.88396559481</v>
      </c>
      <c r="H465" s="18">
        <f>IF($A465&gt;'1-Input'!$B$26,H464,H464-C465*(1-B465))</f>
        <v>196356.61960657072</v>
      </c>
      <c r="I465" s="11">
        <f>IF($A465&gt;'1-Input'!$B$26,0,IF(N464&lt;=0,0,MAX(0,(N464-O464)/N464)))</f>
        <v>0.42127387107723896</v>
      </c>
      <c r="J465" s="18">
        <f>IF($A465&gt;'1-Input'!$B$26,0,(MAX(0,I451-IF($A465&gt;=('1-Input'!$C$12+1),'1-Input'!$B$12,0))-MIN(MAX(M464,0),MAX(0,I451-IF($A465&gt;=('1-Input'!$C$12+1),'1-Input'!$B$12,0))))*(1/(1-'P-Parametri'!$B$6*I465))+MIN(MAX(0,N464-(MAX(0,I451-IF($A465&gt;=('1-Input'!$C$12+1),'1-Input'!$B$12,0))-MIN(MAX(M464,0),MAX(0,I451-IF($A465&gt;=('1-Input'!$C$12+1),'1-Input'!$B$12,0))))*(1/(1-'P-Parametri'!$B$6*I465))),MAX(0,0*I451-(M464-MIN(MAX(M464,0),MAX(0,I451-IF($A465&gt;=('1-Input'!$C$12+1),'1-Input'!$B$12,0)))))*(1/(1-'P-Parametri'!$B$6*I465))))</f>
        <v>24648.54147910995</v>
      </c>
      <c r="K465" s="18">
        <f>IF($A465&gt;'1-Input'!$B$26,M464,(M464-MAX(0,I451-IF($A465&gt;=('1-Input'!$C$12+1),'1-Input'!$B$12,0))+J465*(1-'P-Parametri'!$B$6*I465))*(1+'1-Input'!$B$27))</f>
        <v>0</v>
      </c>
      <c r="L465" s="18">
        <f>IF($A465&gt;'1-Input'!$B$26,N464,(N464-J465)*(1+'5-Roberta'!$C$4))</f>
        <v>266489.37785618898</v>
      </c>
      <c r="M465" s="18">
        <f>IF($A465&gt;'1-Input'!$B$26,K465,K465-'P-Parametri'!$B$8*(L465+K465)+MIN(MAX(L465,0),'P-Parametri'!$B$8*(L465+K465)))</f>
        <v>0</v>
      </c>
      <c r="N465" s="18">
        <f>IF($A465&gt;'1-Input'!$B$26,L465,L465-MIN(MAX(L465,0),'P-Parametri'!$B$8*(L465+K465)))</f>
        <v>265956.39910047658</v>
      </c>
      <c r="O465" s="18">
        <f>IF($A465&gt;'1-Input'!$B$26,O464,O464-J465*(1-I465))</f>
        <v>149732.39421917204</v>
      </c>
      <c r="P465" s="11">
        <f>IF($A465&gt;'1-Input'!$B$26,0,IF(U464&lt;=0,0,MAX(0,(U464-V464)/U464)))</f>
        <v>0.42127387107723874</v>
      </c>
      <c r="Q465" s="18">
        <f>IF($A465&gt;'1-Input'!$B$26,0,(MAX(0,P451-IF($A465&gt;=('1-Input'!$C$12+1),'1-Input'!$B$12,0))-MIN(MAX(T464,0),MAX(0,P451-IF($A465&gt;=('1-Input'!$C$12+1),'1-Input'!$B$12,0))))*(1/(1-'P-Parametri'!$B$6*P465))+MIN(MAX(0,U464-(MAX(0,P451-IF($A465&gt;=('1-Input'!$C$12+1),'1-Input'!$B$12,0))-MIN(MAX(T464,0),MAX(0,P451-IF($A465&gt;=('1-Input'!$C$12+1),'1-Input'!$B$12,0))))*(1/(1-'P-Parametri'!$B$6*P465))),MAX(0,0*P451-(T464-MIN(MAX(T464,0),MAX(0,P451-IF($A465&gt;=('1-Input'!$C$12+1),'1-Input'!$B$12,0)))))*(1/(1-'P-Parametri'!$B$6*P465))))</f>
        <v>21164.172030341531</v>
      </c>
      <c r="R465" s="18">
        <f>IF($A465&gt;'1-Input'!$B$26,T464,(T464-MAX(0,P451-IF($A465&gt;=('1-Input'!$C$12+1),'1-Input'!$B$12,0))+Q465*(1-'P-Parametri'!$B$6*P465))*(1+'1-Input'!$B$27))</f>
        <v>0</v>
      </c>
      <c r="S465" s="18">
        <f>IF($A465&gt;'1-Input'!$B$26,U464,(U464-Q465)*(1+'5-Roberta'!$C$4))</f>
        <v>315365.58456883853</v>
      </c>
      <c r="T465" s="18">
        <f>IF($A465&gt;'1-Input'!$B$26,R465,R465-'P-Parametri'!$B$8*(S465+R465)+MIN(MAX(S465,0),'P-Parametri'!$B$8*(S465+R465)))</f>
        <v>0</v>
      </c>
      <c r="U465" s="18">
        <f>IF($A465&gt;'1-Input'!$B$26,S465,S465-MIN(MAX(S465,0),'P-Parametri'!$B$8*(S465+R465)))</f>
        <v>314734.85339970083</v>
      </c>
      <c r="V465" s="18">
        <f>IF($A465&gt;'1-Input'!$B$26,V464,V464-Q465*(1-P465))</f>
        <v>177194.46985726952</v>
      </c>
      <c r="W465" s="11">
        <f>IF($A465&gt;'1-Input'!$B$26,0,IF(AB464&lt;=0,0,MAX(0,(AB464-AC464)/AB464)))</f>
        <v>0.4212738710772384</v>
      </c>
      <c r="X465" s="18">
        <f>IF($A465&gt;'1-Input'!$B$26,0,(MAX(0,W451-IF($A465&gt;=('1-Input'!$C$12+1),'1-Input'!$B$12,0))-MIN(MAX(AA464,0),MAX(0,W451-IF($A465&gt;=('1-Input'!$C$12+1),'1-Input'!$B$12,0))))*(1/(1-'P-Parametri'!$B$6*W465))+MIN(MAX(0,AB464-(MAX(0,W451-IF($A465&gt;=('1-Input'!$C$12+1),'1-Input'!$B$12,0))-MIN(MAX(AA464,0),MAX(0,W451-IF($A465&gt;=('1-Input'!$C$12+1),'1-Input'!$B$12,0))))*(1/(1-'P-Parametri'!$B$6*W465))),MAX(0,0*W451-(AA464-MIN(MAX(AA464,0),MAX(0,W451-IF($A465&gt;=('1-Input'!$C$12+1),'1-Input'!$B$12,0)))))*(1/(1-'P-Parametri'!$B$6*W465))))</f>
        <v>20892.020346162528</v>
      </c>
      <c r="Y465" s="18">
        <f>IF($A465&gt;'1-Input'!$B$26,AA464,(AA464-MAX(0,W451-IF($A465&gt;=('1-Input'!$C$12+1),'1-Input'!$B$12,0))+X465*(1-'P-Parametri'!$B$6*W465))*(1+'1-Input'!$B$27))</f>
        <v>0</v>
      </c>
      <c r="Z465" s="18">
        <f>IF($A465&gt;'1-Input'!$B$26,AB464,(AB464-X465)*(1+'5-Roberta'!$C$4))</f>
        <v>319183.13094809238</v>
      </c>
      <c r="AA465" s="18">
        <f>IF($A465&gt;'1-Input'!$B$26,Y465,Y465-'P-Parametri'!$B$8*(Z465+Y465)+MIN(MAX(Z465,0),'P-Parametri'!$B$8*(Z465+Y465)))</f>
        <v>0</v>
      </c>
      <c r="AB465" s="18">
        <f>IF($A465&gt;'1-Input'!$B$26,Z465,Z465-MIN(MAX(Z465,0),'P-Parametri'!$B$8*(Z465+Y465)))</f>
        <v>318544.76468619617</v>
      </c>
      <c r="AC465" s="18">
        <f>IF($A465&gt;'1-Input'!$B$26,AC464,AC464-X465*(1-W465))</f>
        <v>179339.43474857905</v>
      </c>
      <c r="AD465" s="11">
        <f>IF($A465&gt;'1-Input'!$B$26,0,IF(AI464&lt;=0,0,MAX(0,(AI464-AJ464)/AI464)))</f>
        <v>0.42127387107723901</v>
      </c>
      <c r="AE465" s="18">
        <f>IF($A465&gt;'1-Input'!$B$26,0,(MAX(0,AD451-IF($A465&gt;=('1-Input'!$C$12+1),'1-Input'!$B$12,0))-MIN(MAX(AH464,0),MAX(0,AD451-IF($A465&gt;=('1-Input'!$C$12+1),'1-Input'!$B$12,0))))*(1/(1-'P-Parametri'!$B$6*AD465))+MIN(MAX(0,AI464-(MAX(0,AD451-IF($A465&gt;=('1-Input'!$C$12+1),'1-Input'!$B$12,0))-MIN(MAX(AH464,0),MAX(0,AD451-IF($A465&gt;=('1-Input'!$C$12+1),'1-Input'!$B$12,0))))*(1/(1-'P-Parametri'!$B$6*AD465))),MAX(0,0*AD451-(AH464-MIN(MAX(AH464,0),MAX(0,AD451-IF($A465&gt;=('1-Input'!$C$12+1),'1-Input'!$B$12,0)))))*(1/(1-'P-Parametri'!$B$6*AD465))))</f>
        <v>20897.058049330863</v>
      </c>
      <c r="AF465" s="18">
        <f>IF($A465&gt;'1-Input'!$B$26,AH464,(AH464-MAX(0,AD451-IF($A465&gt;=('1-Input'!$C$12+1),'1-Input'!$B$12,0))+AE465*(1-'P-Parametri'!$B$6*AD465))*(1+'1-Input'!$B$27))</f>
        <v>0</v>
      </c>
      <c r="AG465" s="18">
        <f>IF($A465&gt;'1-Input'!$B$26,AI464,(AI464-AE465)*(1+'5-Roberta'!$C$4))</f>
        <v>319112.46570290759</v>
      </c>
      <c r="AH465" s="18">
        <f>IF($A465&gt;'1-Input'!$B$26,AF465,AF465-'P-Parametri'!$B$8*(AG465+AF465)+MIN(MAX(AG465,0),'P-Parametri'!$B$8*(AG465+AF465)))</f>
        <v>0</v>
      </c>
      <c r="AI465" s="18">
        <f>IF($A465&gt;'1-Input'!$B$26,AG465,AG465-MIN(MAX(AG465,0),'P-Parametri'!$B$8*(AG465+AF465)))</f>
        <v>318474.24077150179</v>
      </c>
      <c r="AJ465" s="18">
        <f>IF($A465&gt;'1-Input'!$B$26,AJ464,AJ464-AE465*(1-AD465))</f>
        <v>179299.73006528255</v>
      </c>
      <c r="AK465" s="11">
        <f>IF($A465&gt;'1-Input'!$B$26,0,IF(AP464&lt;=0,0,MAX(0,(AP464-AQ464)/AP464)))</f>
        <v>0.42127387107723868</v>
      </c>
      <c r="AL465" s="18">
        <f>IF($A465&gt;'1-Input'!$B$26,0,(MAX(0,AK451-IF($A465&gt;=('1-Input'!$C$12+1),'1-Input'!$B$12,0))-MIN(MAX(AO464,0),MAX(0,AK451-IF($A465&gt;=('1-Input'!$C$12+1),'1-Input'!$B$12,0))))*(1/(1-'P-Parametri'!$B$6*AK465))+MIN(MAX(0,AP464-(MAX(0,AK451-IF($A465&gt;=('1-Input'!$C$12+1),'1-Input'!$B$12,0))-MIN(MAX(AO464,0),MAX(0,AK451-IF($A465&gt;=('1-Input'!$C$12+1),'1-Input'!$B$12,0))))*(1/(1-'P-Parametri'!$B$6*AK465))),MAX(0,0*AK451-(AO464-MIN(MAX(AO464,0),MAX(0,AK451-IF($A465&gt;=('1-Input'!$C$12+1),'1-Input'!$B$12,0)))))*(1/(1-'P-Parametri'!$B$6*AK465))))</f>
        <v>20896.256581553662</v>
      </c>
      <c r="AM465" s="18">
        <f>IF($A465&gt;'1-Input'!$B$26,AO464,(AO464-MAX(0,AK451-IF($A465&gt;=('1-Input'!$C$12+1),'1-Input'!$B$12,0))+AL465*(1-'P-Parametri'!$B$6*AK465))*(1+'1-Input'!$B$27))</f>
        <v>-3.6248820833861826E-12</v>
      </c>
      <c r="AN465" s="18">
        <f>IF($A465&gt;'1-Input'!$B$26,AP464,(AP464-AL465)*(1+'5-Roberta'!$C$4))</f>
        <v>319123.7081114201</v>
      </c>
      <c r="AO465" s="18">
        <f>IF($A465&gt;'1-Input'!$B$26,AM465,AM465-'P-Parametri'!$B$8*(AN465+AM465)+MIN(MAX(AN465,0),'P-Parametri'!$B$8*(AN465+AM465)))</f>
        <v>-3.637978807091713E-12</v>
      </c>
      <c r="AP465" s="18">
        <f>IF($A465&gt;'1-Input'!$B$26,AN465,AN465-MIN(MAX(AN465,0),'P-Parametri'!$B$8*(AN465+AM465)))</f>
        <v>318485.46069519728</v>
      </c>
      <c r="AQ465" s="18">
        <f>IF($A465&gt;'1-Input'!$B$26,AQ464,AQ464-AL465*(1-AK465))</f>
        <v>179306.04683766927</v>
      </c>
    </row>
    <row r="466" spans="1:43">
      <c r="A466" s="10">
        <f>13</f>
        <v>13</v>
      </c>
      <c r="B466" s="11">
        <f>IF($A466&gt;'1-Input'!$B$26,0,IF(G465&lt;=0,0,MAX(0,(G465-H465)/G465)))</f>
        <v>0.43700397987940787</v>
      </c>
      <c r="C466" s="18">
        <f>IF($A466&gt;'1-Input'!$B$26,0,(MAX(0,B451-IF($A466&gt;=('1-Input'!$C$12+1),'1-Input'!$B$12,0))-MIN(MAX(F465,0),MAX(0,B451-IF($A466&gt;=('1-Input'!$C$12+1),'1-Input'!$B$12,0))))*(1/(1-'P-Parametri'!$B$6*B466))+MIN(MAX(0,G465-(MAX(0,B451-IF($A466&gt;=('1-Input'!$C$12+1),'1-Input'!$B$12,0))-MIN(MAX(F465,0),MAX(0,B451-IF($A466&gt;=('1-Input'!$C$12+1),'1-Input'!$B$12,0))))*(1/(1-'P-Parametri'!$B$6*B466))),MAX(0,0*B451-(F465-MIN(MAX(F465,0),MAX(0,B451-IF($A466&gt;=('1-Input'!$C$12+1),'1-Input'!$B$12,0)))))*(1/(1-'P-Parametri'!$B$6*B466))))</f>
        <v>18819.326686381686</v>
      </c>
      <c r="D466" s="18">
        <f>IF($A466&gt;'1-Input'!$B$26,F465,(F465-MAX(0,B451-IF($A466&gt;=('1-Input'!$C$12+1),'1-Input'!$B$12,0))+C466*(1-'P-Parametri'!$B$6*B466))*(1+'1-Input'!$B$27))</f>
        <v>0</v>
      </c>
      <c r="E466" s="18">
        <f>IF($A466&gt;'1-Input'!$B$26,G465,(G465-C466)*(1+'5-Roberta'!$C$4))</f>
        <v>339850.1039975895</v>
      </c>
      <c r="F466" s="18">
        <f>IF($A466&gt;'1-Input'!$B$26,D466,D466-'P-Parametri'!$B$8*(E466+D466)+MIN(MAX(E466,0),'P-Parametri'!$B$8*(E466+D466)))</f>
        <v>0</v>
      </c>
      <c r="G466" s="18">
        <f>IF($A466&gt;'1-Input'!$B$26,E466,E466-MIN(MAX(E466,0),'P-Parametri'!$B$8*(E466+D466)))</f>
        <v>339170.4037895943</v>
      </c>
      <c r="H466" s="18">
        <f>IF($A466&gt;'1-Input'!$B$26,H465,H465-C466*(1-B466))</f>
        <v>185761.41358078859</v>
      </c>
      <c r="I466" s="11">
        <f>IF($A466&gt;'1-Input'!$B$26,0,IF(N465&lt;=0,0,MAX(0,(N465-O465)/N465)))</f>
        <v>0.43700397987940826</v>
      </c>
      <c r="J466" s="18">
        <f>IF($A466&gt;'1-Input'!$B$26,0,(MAX(0,I451-IF($A466&gt;=('1-Input'!$C$12+1),'1-Input'!$B$12,0))-MIN(MAX(M465,0),MAX(0,I451-IF($A466&gt;=('1-Input'!$C$12+1),'1-Input'!$B$12,0))))*(1/(1-'P-Parametri'!$B$6*I466))+MIN(MAX(0,N465-(MAX(0,I451-IF($A466&gt;=('1-Input'!$C$12+1),'1-Input'!$B$12,0))-MIN(MAX(M465,0),MAX(0,I451-IF($A466&gt;=('1-Input'!$C$12+1),'1-Input'!$B$12,0))))*(1/(1-'P-Parametri'!$B$6*I466))),MAX(0,0*I451-(M465-MIN(MAX(M465,0),MAX(0,I451-IF($A466&gt;=('1-Input'!$C$12+1),'1-Input'!$B$12,0)))))*(1/(1-'P-Parametri'!$B$6*I466))))</f>
        <v>24762.271955765384</v>
      </c>
      <c r="K466" s="18">
        <f>IF($A466&gt;'1-Input'!$B$26,M465,(M465-MAX(0,I451-IF($A466&gt;=('1-Input'!$C$12+1),'1-Input'!$B$12,0))+J466*(1-'P-Parametri'!$B$6*I466))*(1+'1-Input'!$B$27))</f>
        <v>3.6248820833861826E-12</v>
      </c>
      <c r="L466" s="18">
        <f>IF($A466&gt;'1-Input'!$B$26,N465,(N465-J466)*(1+'5-Roberta'!$C$4))</f>
        <v>248429.95095905254</v>
      </c>
      <c r="M466" s="18">
        <f>IF($A466&gt;'1-Input'!$B$26,K466,K466-'P-Parametri'!$B$8*(L466+K466)+MIN(MAX(L466,0),'P-Parametri'!$B$8*(L466+K466)))</f>
        <v>3.637978807091713E-12</v>
      </c>
      <c r="N466" s="18">
        <f>IF($A466&gt;'1-Input'!$B$26,L466,L466-MIN(MAX(L466,0),'P-Parametri'!$B$8*(L466+K466)))</f>
        <v>247933.09105713444</v>
      </c>
      <c r="O466" s="18">
        <f>IF($A466&gt;'1-Input'!$B$26,O465,O465-J466*(1-I466))</f>
        <v>135791.33365893239</v>
      </c>
      <c r="P466" s="11">
        <f>IF($A466&gt;'1-Input'!$B$26,0,IF(U465&lt;=0,0,MAX(0,(U465-V465)/U465)))</f>
        <v>0.43700397987940809</v>
      </c>
      <c r="Q466" s="18">
        <f>IF($A466&gt;'1-Input'!$B$26,0,(MAX(0,P451-IF($A466&gt;=('1-Input'!$C$12+1),'1-Input'!$B$12,0))-MIN(MAX(T465,0),MAX(0,P451-IF($A466&gt;=('1-Input'!$C$12+1),'1-Input'!$B$12,0))))*(1/(1-'P-Parametri'!$B$6*P466))+MIN(MAX(0,U465-(MAX(0,P451-IF($A466&gt;=('1-Input'!$C$12+1),'1-Input'!$B$12,0))-MIN(MAX(T465,0),MAX(0,P451-IF($A466&gt;=('1-Input'!$C$12+1),'1-Input'!$B$12,0))))*(1/(1-'P-Parametri'!$B$6*P466))),MAX(0,0*P451-(T465-MIN(MAX(T465,0),MAX(0,P451-IF($A466&gt;=('1-Input'!$C$12+1),'1-Input'!$B$12,0)))))*(1/(1-'P-Parametri'!$B$6*P466))))</f>
        <v>21261.825328613493</v>
      </c>
      <c r="R466" s="18">
        <f>IF($A466&gt;'1-Input'!$B$26,T465,(T465-MAX(0,P451-IF($A466&gt;=('1-Input'!$C$12+1),'1-Input'!$B$12,0))+Q466*(1-'P-Parametri'!$B$6*P466))*(1+'1-Input'!$B$27))</f>
        <v>3.6248820833861826E-12</v>
      </c>
      <c r="S466" s="18">
        <f>IF($A466&gt;'1-Input'!$B$26,U465,(U465-Q466)*(1+'5-Roberta'!$C$4))</f>
        <v>302277.21891321993</v>
      </c>
      <c r="T466" s="18">
        <f>IF($A466&gt;'1-Input'!$B$26,R466,R466-'P-Parametri'!$B$8*(S466+R466)+MIN(MAX(S466,0),'P-Parametri'!$B$8*(S466+R466)))</f>
        <v>3.637978807091713E-12</v>
      </c>
      <c r="U466" s="18">
        <f>IF($A466&gt;'1-Input'!$B$26,S466,S466-MIN(MAX(S466,0),'P-Parametri'!$B$8*(S466+R466)))</f>
        <v>301672.66447539348</v>
      </c>
      <c r="V466" s="18">
        <f>IF($A466&gt;'1-Input'!$B$26,V465,V465-Q466*(1-P466))</f>
        <v>165224.14681676094</v>
      </c>
      <c r="W466" s="11">
        <f>IF($A466&gt;'1-Input'!$B$26,0,IF(AB465&lt;=0,0,MAX(0,(AB465-AC465)/AB465)))</f>
        <v>0.43700397987940764</v>
      </c>
      <c r="X466" s="18">
        <f>IF($A466&gt;'1-Input'!$B$26,0,(MAX(0,W451-IF($A466&gt;=('1-Input'!$C$12+1),'1-Input'!$B$12,0))-MIN(MAX(AA465,0),MAX(0,W451-IF($A466&gt;=('1-Input'!$C$12+1),'1-Input'!$B$12,0))))*(1/(1-'P-Parametri'!$B$6*W466))+MIN(MAX(0,AB465-(MAX(0,W451-IF($A466&gt;=('1-Input'!$C$12+1),'1-Input'!$B$12,0))-MIN(MAX(AA465,0),MAX(0,W451-IF($A466&gt;=('1-Input'!$C$12+1),'1-Input'!$B$12,0))))*(1/(1-'P-Parametri'!$B$6*W466))),MAX(0,0*W451-(AA465-MIN(MAX(AA465,0),MAX(0,W451-IF($A466&gt;=('1-Input'!$C$12+1),'1-Input'!$B$12,0)))))*(1/(1-'P-Parametri'!$B$6*W466))))</f>
        <v>20988.417913307734</v>
      </c>
      <c r="Y466" s="18">
        <f>IF($A466&gt;'1-Input'!$B$26,AA465,(AA465-MAX(0,W451-IF($A466&gt;=('1-Input'!$C$12+1),'1-Input'!$B$12,0))+X466*(1-'P-Parametri'!$B$6*W466))*(1+'1-Input'!$B$27))</f>
        <v>0</v>
      </c>
      <c r="Z466" s="18">
        <f>IF($A466&gt;'1-Input'!$B$26,AB465,(AB465-X466)*(1+'5-Roberta'!$C$4))</f>
        <v>306483.0371760751</v>
      </c>
      <c r="AA466" s="18">
        <f>IF($A466&gt;'1-Input'!$B$26,Y466,Y466-'P-Parametri'!$B$8*(Z466+Y466)+MIN(MAX(Z466,0),'P-Parametri'!$B$8*(Z466+Y466)))</f>
        <v>0</v>
      </c>
      <c r="AB466" s="18">
        <f>IF($A466&gt;'1-Input'!$B$26,Z466,Z466-MIN(MAX(Z466,0),'P-Parametri'!$B$8*(Z466+Y466)))</f>
        <v>305870.07110172295</v>
      </c>
      <c r="AC466" s="18">
        <f>IF($A466&gt;'1-Input'!$B$26,AC465,AC465-X466*(1-W466))</f>
        <v>167523.03899475906</v>
      </c>
      <c r="AD466" s="11">
        <f>IF($A466&gt;'1-Input'!$B$26,0,IF(AI465&lt;=0,0,MAX(0,(AI465-AJ465)/AI465)))</f>
        <v>0.43700397987940842</v>
      </c>
      <c r="AE466" s="18">
        <f>IF($A466&gt;'1-Input'!$B$26,0,(MAX(0,AD451-IF($A466&gt;=('1-Input'!$C$12+1),'1-Input'!$B$12,0))-MIN(MAX(AH465,0),MAX(0,AD451-IF($A466&gt;=('1-Input'!$C$12+1),'1-Input'!$B$12,0))))*(1/(1-'P-Parametri'!$B$6*AD466))+MIN(MAX(0,AI465-(MAX(0,AD451-IF($A466&gt;=('1-Input'!$C$12+1),'1-Input'!$B$12,0))-MIN(MAX(AH465,0),MAX(0,AD451-IF($A466&gt;=('1-Input'!$C$12+1),'1-Input'!$B$12,0))))*(1/(1-'P-Parametri'!$B$6*AD466))),MAX(0,0*AD451-(AH465-MIN(MAX(AH465,0),MAX(0,AD451-IF($A466&gt;=('1-Input'!$C$12+1),'1-Input'!$B$12,0)))))*(1/(1-'P-Parametri'!$B$6*AD466))))</f>
        <v>20993.478860868974</v>
      </c>
      <c r="AF466" s="18">
        <f>IF($A466&gt;'1-Input'!$B$26,AH465,(AH465-MAX(0,AD451-IF($A466&gt;=('1-Input'!$C$12+1),'1-Input'!$B$12,0))+AE466*(1-'P-Parametri'!$B$6*AD466))*(1+'1-Input'!$B$27))</f>
        <v>3.6248820833861826E-12</v>
      </c>
      <c r="AG466" s="18">
        <f>IF($A466&gt;'1-Input'!$B$26,AI465,(AI465-AE466)*(1+'5-Roberta'!$C$4))</f>
        <v>306405.18476795184</v>
      </c>
      <c r="AH466" s="18">
        <f>IF($A466&gt;'1-Input'!$B$26,AF466,AF466-'P-Parametri'!$B$8*(AG466+AF466)+MIN(MAX(AG466,0),'P-Parametri'!$B$8*(AG466+AF466)))</f>
        <v>3.637978807091713E-12</v>
      </c>
      <c r="AI466" s="18">
        <f>IF($A466&gt;'1-Input'!$B$26,AG466,AG466-MIN(MAX(AG466,0),'P-Parametri'!$B$8*(AG466+AF466)))</f>
        <v>305792.37439841591</v>
      </c>
      <c r="AJ466" s="18">
        <f>IF($A466&gt;'1-Input'!$B$26,AJ465,AJ465-AE466*(1-AD466))</f>
        <v>167480.48501812754</v>
      </c>
      <c r="AK466" s="11">
        <f>IF($A466&gt;'1-Input'!$B$26,0,IF(AP465&lt;=0,0,MAX(0,(AP465-AQ465)/AP465)))</f>
        <v>0.43700397987940809</v>
      </c>
      <c r="AL466" s="18">
        <f>IF($A466&gt;'1-Input'!$B$26,0,(MAX(0,AK451-IF($A466&gt;=('1-Input'!$C$12+1),'1-Input'!$B$12,0))-MIN(MAX(AO465,0),MAX(0,AK451-IF($A466&gt;=('1-Input'!$C$12+1),'1-Input'!$B$12,0))))*(1/(1-'P-Parametri'!$B$6*AK466))+MIN(MAX(0,AP465-(MAX(0,AK451-IF($A466&gt;=('1-Input'!$C$12+1),'1-Input'!$B$12,0))-MIN(MAX(AO465,0),MAX(0,AK451-IF($A466&gt;=('1-Input'!$C$12+1),'1-Input'!$B$12,0))))*(1/(1-'P-Parametri'!$B$6*AK466))),MAX(0,0*AK451-(AO465-MIN(MAX(AO465,0),MAX(0,AK451-IF($A466&gt;=('1-Input'!$C$12+1),'1-Input'!$B$12,0)))))*(1/(1-'P-Parametri'!$B$6*AK466))))</f>
        <v>20992.673695050973</v>
      </c>
      <c r="AM466" s="18">
        <f>IF($A466&gt;'1-Input'!$B$26,AO465,(AO465-MAX(0,AK451-IF($A466&gt;=('1-Input'!$C$12+1),'1-Input'!$B$12,0))+AL466*(1-'P-Parametri'!$B$6*AK466))*(1+'1-Input'!$B$27))</f>
        <v>3.6248820833861826E-12</v>
      </c>
      <c r="AN466" s="18">
        <f>IF($A466&gt;'1-Input'!$B$26,AP465,(AP465-AL466)*(1+'5-Roberta'!$C$4))</f>
        <v>306417.57061015069</v>
      </c>
      <c r="AO466" s="18">
        <f>IF($A466&gt;'1-Input'!$B$26,AM466,AM466-'P-Parametri'!$B$8*(AN466+AM466)+MIN(MAX(AN466,0),'P-Parametri'!$B$8*(AN466+AM466)))</f>
        <v>3.637978807091713E-12</v>
      </c>
      <c r="AP466" s="18">
        <f>IF($A466&gt;'1-Input'!$B$26,AN466,AN466-MIN(MAX(AN466,0),'P-Parametri'!$B$8*(AN466+AM466)))</f>
        <v>305804.73546893039</v>
      </c>
      <c r="AQ466" s="18">
        <f>IF($A466&gt;'1-Input'!$B$26,AQ465,AQ465-AL466*(1-AK466))</f>
        <v>167487.25509566534</v>
      </c>
    </row>
    <row r="467" spans="1:43">
      <c r="A467" s="10">
        <f>14</f>
        <v>14</v>
      </c>
      <c r="B467" s="11">
        <f>IF($A467&gt;'1-Input'!$B$26,0,IF(G466&lt;=0,0,MAX(0,(G466-H466)/G466)))</f>
        <v>0.45230653528358444</v>
      </c>
      <c r="C467" s="18">
        <f>IF($A467&gt;'1-Input'!$B$26,0,(MAX(0,B451-IF($A467&gt;=('1-Input'!$C$12+1),'1-Input'!$B$12,0))-MIN(MAX(F466,0),MAX(0,B451-IF($A467&gt;=('1-Input'!$C$12+1),'1-Input'!$B$12,0))))*(1/(1-'P-Parametri'!$B$6*B467))+MIN(MAX(0,G466-(MAX(0,B451-IF($A467&gt;=('1-Input'!$C$12+1),'1-Input'!$B$12,0))-MIN(MAX(F466,0),MAX(0,B451-IF($A467&gt;=('1-Input'!$C$12+1),'1-Input'!$B$12,0))))*(1/(1-'P-Parametri'!$B$6*B467))),MAX(0,0*B451-(F466-MIN(MAX(F466,0),MAX(0,B451-IF($A467&gt;=('1-Input'!$C$12+1),'1-Input'!$B$12,0)))))*(1/(1-'P-Parametri'!$B$6*B467))))</f>
        <v>18904.181355112731</v>
      </c>
      <c r="D467" s="18">
        <f>IF($A467&gt;'1-Input'!$B$26,F466,(F466-MAX(0,B451-IF($A467&gt;=('1-Input'!$C$12+1),'1-Input'!$B$12,0))+C467*(1-'P-Parametri'!$B$6*B467))*(1+'1-Input'!$B$27))</f>
        <v>0</v>
      </c>
      <c r="E467" s="18">
        <f>IF($A467&gt;'1-Input'!$B$26,G466,(G466-C467)*(1+'5-Roberta'!$C$4))</f>
        <v>329874.20910751598</v>
      </c>
      <c r="F467" s="18">
        <f>IF($A467&gt;'1-Input'!$B$26,D467,D467-'P-Parametri'!$B$8*(E467+D467)+MIN(MAX(E467,0),'P-Parametri'!$B$8*(E467+D467)))</f>
        <v>0</v>
      </c>
      <c r="G467" s="18">
        <f>IF($A467&gt;'1-Input'!$B$26,E467,E467-MIN(MAX(E467,0),'P-Parametri'!$B$8*(E467+D467)))</f>
        <v>329214.46068930096</v>
      </c>
      <c r="H467" s="18">
        <f>IF($A467&gt;'1-Input'!$B$26,H466,H466-C467*(1-B467))</f>
        <v>175407.71699677943</v>
      </c>
      <c r="I467" s="11">
        <f>IF($A467&gt;'1-Input'!$B$26,0,IF(N466&lt;=0,0,MAX(0,(N466-O466)/N466)))</f>
        <v>0.45230653528358494</v>
      </c>
      <c r="J467" s="18">
        <f>IF($A467&gt;'1-Input'!$B$26,0,(MAX(0,I451-IF($A467&gt;=('1-Input'!$C$12+1),'1-Input'!$B$12,0))-MIN(MAX(M466,0),MAX(0,I451-IF($A467&gt;=('1-Input'!$C$12+1),'1-Input'!$B$12,0))))*(1/(1-'P-Parametri'!$B$6*I467))+MIN(MAX(0,N466-(MAX(0,I451-IF($A467&gt;=('1-Input'!$C$12+1),'1-Input'!$B$12,0))-MIN(MAX(M466,0),MAX(0,I451-IF($A467&gt;=('1-Input'!$C$12+1),'1-Input'!$B$12,0))))*(1/(1-'P-Parametri'!$B$6*I467))),MAX(0,0*I451-(M466-MIN(MAX(M466,0),MAX(0,I451-IF($A467&gt;=('1-Input'!$C$12+1),'1-Input'!$B$12,0)))))*(1/(1-'P-Parametri'!$B$6*I467))))</f>
        <v>24873.92283567465</v>
      </c>
      <c r="K467" s="18">
        <f>IF($A467&gt;'1-Input'!$B$26,M466,(M466-MAX(0,I451-IF($A467&gt;=('1-Input'!$C$12+1),'1-Input'!$B$12,0))+J467*(1-'P-Parametri'!$B$6*I467))*(1+'1-Input'!$B$27))</f>
        <v>0</v>
      </c>
      <c r="L467" s="18">
        <f>IF($A467&gt;'1-Input'!$B$26,N466,(N466-J467)*(1+'5-Roberta'!$C$4))</f>
        <v>229750.94326810358</v>
      </c>
      <c r="M467" s="18">
        <f>IF($A467&gt;'1-Input'!$B$26,K467,K467-'P-Parametri'!$B$8*(L467+K467)+MIN(MAX(L467,0),'P-Parametri'!$B$8*(L467+K467)))</f>
        <v>0</v>
      </c>
      <c r="N467" s="18">
        <f>IF($A467&gt;'1-Input'!$B$26,L467,L467-MIN(MAX(L467,0),'P-Parametri'!$B$8*(L467+K467)))</f>
        <v>229291.44138156739</v>
      </c>
      <c r="O467" s="18">
        <f>IF($A467&gt;'1-Input'!$B$26,O466,O466-J467*(1-I467))</f>
        <v>122168.04867997298</v>
      </c>
      <c r="P467" s="11">
        <f>IF($A467&gt;'1-Input'!$B$26,0,IF(U466&lt;=0,0,MAX(0,(U466-V466)/U466)))</f>
        <v>0.45230653528358461</v>
      </c>
      <c r="Q467" s="18">
        <f>IF($A467&gt;'1-Input'!$B$26,0,(MAX(0,P451-IF($A467&gt;=('1-Input'!$C$12+1),'1-Input'!$B$12,0))-MIN(MAX(T466,0),MAX(0,P451-IF($A467&gt;=('1-Input'!$C$12+1),'1-Input'!$B$12,0))))*(1/(1-'P-Parametri'!$B$6*P467))+MIN(MAX(0,U466-(MAX(0,P451-IF($A467&gt;=('1-Input'!$C$12+1),'1-Input'!$B$12,0))-MIN(MAX(T466,0),MAX(0,P451-IF($A467&gt;=('1-Input'!$C$12+1),'1-Input'!$B$12,0))))*(1/(1-'P-Parametri'!$B$6*P467))),MAX(0,0*P451-(T466-MIN(MAX(T466,0),MAX(0,P451-IF($A467&gt;=('1-Input'!$C$12+1),'1-Input'!$B$12,0)))))*(1/(1-'P-Parametri'!$B$6*P467))))</f>
        <v>21357.693006290949</v>
      </c>
      <c r="R467" s="18">
        <f>IF($A467&gt;'1-Input'!$B$26,T466,(T466-MAX(0,P451-IF($A467&gt;=('1-Input'!$C$12+1),'1-Input'!$B$12,0))+Q467*(1-'P-Parametri'!$B$6*P467))*(1+'1-Input'!$B$27))</f>
        <v>0</v>
      </c>
      <c r="S467" s="18">
        <f>IF($A467&gt;'1-Input'!$B$26,U466,(U466-Q467)*(1+'5-Roberta'!$C$4))</f>
        <v>288724.42061317561</v>
      </c>
      <c r="T467" s="18">
        <f>IF($A467&gt;'1-Input'!$B$26,R467,R467-'P-Parametri'!$B$8*(S467+R467)+MIN(MAX(S467,0),'P-Parametri'!$B$8*(S467+R467)))</f>
        <v>0</v>
      </c>
      <c r="U467" s="18">
        <f>IF($A467&gt;'1-Input'!$B$26,S467,S467-MIN(MAX(S467,0),'P-Parametri'!$B$8*(S467+R467)))</f>
        <v>288146.97177194926</v>
      </c>
      <c r="V467" s="18">
        <f>IF($A467&gt;'1-Input'!$B$26,V466,V466-Q467*(1-P467))</f>
        <v>153526.67793579589</v>
      </c>
      <c r="W467" s="11">
        <f>IF($A467&gt;'1-Input'!$B$26,0,IF(AB466&lt;=0,0,MAX(0,(AB466-AC466)/AB466)))</f>
        <v>0.45230653528358428</v>
      </c>
      <c r="X467" s="18">
        <f>IF($A467&gt;'1-Input'!$B$26,0,(MAX(0,W451-IF($A467&gt;=('1-Input'!$C$12+1),'1-Input'!$B$12,0))-MIN(MAX(AA466,0),MAX(0,W451-IF($A467&gt;=('1-Input'!$C$12+1),'1-Input'!$B$12,0))))*(1/(1-'P-Parametri'!$B$6*W467))+MIN(MAX(0,AB466-(MAX(0,W451-IF($A467&gt;=('1-Input'!$C$12+1),'1-Input'!$B$12,0))-MIN(MAX(AA466,0),MAX(0,W451-IF($A467&gt;=('1-Input'!$C$12+1),'1-Input'!$B$12,0))))*(1/(1-'P-Parametri'!$B$6*W467))),MAX(0,0*W451-(AA466-MIN(MAX(AA466,0),MAX(0,W451-IF($A467&gt;=('1-Input'!$C$12+1),'1-Input'!$B$12,0)))))*(1/(1-'P-Parametri'!$B$6*W467))))</f>
        <v>21083.052821288333</v>
      </c>
      <c r="Y467" s="18">
        <f>IF($A467&gt;'1-Input'!$B$26,AA466,(AA466-MAX(0,W451-IF($A467&gt;=('1-Input'!$C$12+1),'1-Input'!$B$12,0))+X467*(1-'P-Parametri'!$B$6*W467))*(1+'1-Input'!$B$27))</f>
        <v>0</v>
      </c>
      <c r="Z467" s="18">
        <f>IF($A467&gt;'1-Input'!$B$26,AB466,(AB466-X467)*(1+'5-Roberta'!$C$4))</f>
        <v>293330.62882884766</v>
      </c>
      <c r="AA467" s="18">
        <f>IF($A467&gt;'1-Input'!$B$26,Y467,Y467-'P-Parametri'!$B$8*(Z467+Y467)+MIN(MAX(Z467,0),'P-Parametri'!$B$8*(Z467+Y467)))</f>
        <v>0</v>
      </c>
      <c r="AB467" s="18">
        <f>IF($A467&gt;'1-Input'!$B$26,Z467,Z467-MIN(MAX(Z467,0),'P-Parametri'!$B$8*(Z467+Y467)))</f>
        <v>292743.96757118998</v>
      </c>
      <c r="AC467" s="18">
        <f>IF($A467&gt;'1-Input'!$B$26,AC466,AC466-X467*(1-W467))</f>
        <v>155975.98874826846</v>
      </c>
      <c r="AD467" s="11">
        <f>IF($A467&gt;'1-Input'!$B$26,0,IF(AI466&lt;=0,0,MAX(0,(AI466-AJ466)/AI466)))</f>
        <v>0.45230653528358511</v>
      </c>
      <c r="AE467" s="18">
        <f>IF($A467&gt;'1-Input'!$B$26,0,(MAX(0,AD451-IF($A467&gt;=('1-Input'!$C$12+1),'1-Input'!$B$12,0))-MIN(MAX(AH466,0),MAX(0,AD451-IF($A467&gt;=('1-Input'!$C$12+1),'1-Input'!$B$12,0))))*(1/(1-'P-Parametri'!$B$6*AD467))+MIN(MAX(0,AI466-(MAX(0,AD451-IF($A467&gt;=('1-Input'!$C$12+1),'1-Input'!$B$12,0))-MIN(MAX(AH466,0),MAX(0,AD451-IF($A467&gt;=('1-Input'!$C$12+1),'1-Input'!$B$12,0))))*(1/(1-'P-Parametri'!$B$6*AD467))),MAX(0,0*AD451-(AH466-MIN(MAX(AH466,0),MAX(0,AD451-IF($A467&gt;=('1-Input'!$C$12+1),'1-Input'!$B$12,0)))))*(1/(1-'P-Parametri'!$B$6*AD467))))</f>
        <v>21088.136588211593</v>
      </c>
      <c r="AF467" s="18">
        <f>IF($A467&gt;'1-Input'!$B$26,AH466,(AH466-MAX(0,AD451-IF($A467&gt;=('1-Input'!$C$12+1),'1-Input'!$B$12,0))+AE467*(1-'P-Parametri'!$B$6*AD467))*(1+'1-Input'!$B$27))</f>
        <v>0</v>
      </c>
      <c r="AG467" s="18">
        <f>IF($A467&gt;'1-Input'!$B$26,AI466,(AI466-AE467)*(1+'5-Roberta'!$C$4))</f>
        <v>293245.36494451045</v>
      </c>
      <c r="AH467" s="18">
        <f>IF($A467&gt;'1-Input'!$B$26,AF467,AF467-'P-Parametri'!$B$8*(AG467+AF467)+MIN(MAX(AG467,0),'P-Parametri'!$B$8*(AG467+AF467)))</f>
        <v>0</v>
      </c>
      <c r="AI467" s="18">
        <f>IF($A467&gt;'1-Input'!$B$26,AG467,AG467-MIN(MAX(AG467,0),'P-Parametri'!$B$8*(AG467+AF467)))</f>
        <v>292658.87421462144</v>
      </c>
      <c r="AJ467" s="18">
        <f>IF($A467&gt;'1-Input'!$B$26,AJ466,AJ466-AE467*(1-AD467))</f>
        <v>155930.65042571694</v>
      </c>
      <c r="AK467" s="11">
        <f>IF($A467&gt;'1-Input'!$B$26,0,IF(AP466&lt;=0,0,MAX(0,(AP466-AQ466)/AP466)))</f>
        <v>0.45230653528358472</v>
      </c>
      <c r="AL467" s="18">
        <f>IF($A467&gt;'1-Input'!$B$26,0,(MAX(0,AK451-IF($A467&gt;=('1-Input'!$C$12+1),'1-Input'!$B$12,0))-MIN(MAX(AO466,0),MAX(0,AK451-IF($A467&gt;=('1-Input'!$C$12+1),'1-Input'!$B$12,0))))*(1/(1-'P-Parametri'!$B$6*AK467))+MIN(MAX(0,AP466-(MAX(0,AK451-IF($A467&gt;=('1-Input'!$C$12+1),'1-Input'!$B$12,0))-MIN(MAX(AO466,0),MAX(0,AK451-IF($A467&gt;=('1-Input'!$C$12+1),'1-Input'!$B$12,0))))*(1/(1-'P-Parametri'!$B$6*AK467))),MAX(0,0*AK451-(AO466-MIN(MAX(AO466,0),MAX(0,AK451-IF($A467&gt;=('1-Input'!$C$12+1),'1-Input'!$B$12,0)))))*(1/(1-'P-Parametri'!$B$6*AK467))))</f>
        <v>21087.327791972592</v>
      </c>
      <c r="AM467" s="18">
        <f>IF($A467&gt;'1-Input'!$B$26,AO466,(AO466-MAX(0,AK451-IF($A467&gt;=('1-Input'!$C$12+1),'1-Input'!$B$12,0))+AL467*(1-'P-Parametri'!$B$6*AK467))*(1+'1-Input'!$B$27))</f>
        <v>3.6248820833861826E-12</v>
      </c>
      <c r="AN467" s="18">
        <f>IF($A467&gt;'1-Input'!$B$26,AP466,(AP466-AL467)*(1+'5-Roberta'!$C$4))</f>
        <v>293258.92990726652</v>
      </c>
      <c r="AO467" s="18">
        <f>IF($A467&gt;'1-Input'!$B$26,AM467,AM467-'P-Parametri'!$B$8*(AN467+AM467)+MIN(MAX(AN467,0),'P-Parametri'!$B$8*(AN467+AM467)))</f>
        <v>3.637978807091713E-12</v>
      </c>
      <c r="AP467" s="18">
        <f>IF($A467&gt;'1-Input'!$B$26,AN467,AN467-MIN(MAX(AN467,0),'P-Parametri'!$B$8*(AN467+AM467)))</f>
        <v>292672.412047452</v>
      </c>
      <c r="AQ467" s="18">
        <f>IF($A467&gt;'1-Input'!$B$26,AQ466,AQ466-AL467*(1-AK467))</f>
        <v>155937.86347566912</v>
      </c>
    </row>
    <row r="468" spans="1:43">
      <c r="A468" s="10">
        <f>15</f>
        <v>15</v>
      </c>
      <c r="B468" s="11">
        <f>IF($A468&gt;'1-Input'!$B$26,0,IF(G467&lt;=0,0,MAX(0,(G467-H467)/G467)))</f>
        <v>0.46719315843685855</v>
      </c>
      <c r="C468" s="18">
        <f>IF($A468&gt;'1-Input'!$B$26,0,(MAX(0,B451-IF($A468&gt;=('1-Input'!$C$12+1),'1-Input'!$B$12,0))-MIN(MAX(F467,0),MAX(0,B451-IF($A468&gt;=('1-Input'!$C$12+1),'1-Input'!$B$12,0))))*(1/(1-'P-Parametri'!$B$6*B468))+MIN(MAX(0,G467-(MAX(0,B451-IF($A468&gt;=('1-Input'!$C$12+1),'1-Input'!$B$12,0))-MIN(MAX(F467,0),MAX(0,B451-IF($A468&gt;=('1-Input'!$C$12+1),'1-Input'!$B$12,0))))*(1/(1-'P-Parametri'!$B$6*B468))),MAX(0,0*B451-(F467-MIN(MAX(F467,0),MAX(0,B451-IF($A468&gt;=('1-Input'!$C$12+1),'1-Input'!$B$12,0)))))*(1/(1-'P-Parametri'!$B$6*B468))))</f>
        <v>18987.467149137421</v>
      </c>
      <c r="D468" s="18">
        <f>IF($A468&gt;'1-Input'!$B$26,F467,(F467-MAX(0,B451-IF($A468&gt;=('1-Input'!$C$12+1),'1-Input'!$B$12,0))+C468*(1-'P-Parametri'!$B$6*B468))*(1+'1-Input'!$B$27))</f>
        <v>0</v>
      </c>
      <c r="E468" s="18">
        <f>IF($A468&gt;'1-Input'!$B$26,G467,(G467-C468)*(1+'5-Roberta'!$C$4))</f>
        <v>319533.80334636848</v>
      </c>
      <c r="F468" s="18">
        <f>IF($A468&gt;'1-Input'!$B$26,D468,D468-'P-Parametri'!$B$8*(E468+D468)+MIN(MAX(E468,0),'P-Parametri'!$B$8*(E468+D468)))</f>
        <v>0</v>
      </c>
      <c r="G468" s="18">
        <f>IF($A468&gt;'1-Input'!$B$26,E468,E468-MIN(MAX(E468,0),'P-Parametri'!$B$8*(E468+D468)))</f>
        <v>318894.73573967576</v>
      </c>
      <c r="H468" s="18">
        <f>IF($A468&gt;'1-Input'!$B$26,H467,H467-C468*(1-B468))</f>
        <v>165291.06459576363</v>
      </c>
      <c r="I468" s="11">
        <f>IF($A468&gt;'1-Input'!$B$26,0,IF(N467&lt;=0,0,MAX(0,(N467-O467)/N467)))</f>
        <v>0.4671931584368591</v>
      </c>
      <c r="J468" s="18">
        <f>IF($A468&gt;'1-Input'!$B$26,0,(MAX(0,I451-IF($A468&gt;=('1-Input'!$C$12+1),'1-Input'!$B$12,0))-MIN(MAX(M467,0),MAX(0,I451-IF($A468&gt;=('1-Input'!$C$12+1),'1-Input'!$B$12,0))))*(1/(1-'P-Parametri'!$B$6*I468))+MIN(MAX(0,N467-(MAX(0,I451-IF($A468&gt;=('1-Input'!$C$12+1),'1-Input'!$B$12,0))-MIN(MAX(M467,0),MAX(0,I451-IF($A468&gt;=('1-Input'!$C$12+1),'1-Input'!$B$12,0))))*(1/(1-'P-Parametri'!$B$6*I468))),MAX(0,0*I451-(M467-MIN(MAX(M467,0),MAX(0,I451-IF($A468&gt;=('1-Input'!$C$12+1),'1-Input'!$B$12,0)))))*(1/(1-'P-Parametri'!$B$6*I468))))</f>
        <v>24983.509406759771</v>
      </c>
      <c r="K468" s="18">
        <f>IF($A468&gt;'1-Input'!$B$26,M467,(M467-MAX(0,I451-IF($A468&gt;=('1-Input'!$C$12+1),'1-Input'!$B$12,0))+J468*(1-'P-Parametri'!$B$6*I468))*(1+'1-Input'!$B$27))</f>
        <v>0</v>
      </c>
      <c r="L468" s="18">
        <f>IF($A468&gt;'1-Input'!$B$26,N467,(N467-J468)*(1+'5-Roberta'!$C$4))</f>
        <v>210437.16993405184</v>
      </c>
      <c r="M468" s="18">
        <f>IF($A468&gt;'1-Input'!$B$26,K468,K468-'P-Parametri'!$B$8*(L468+K468)+MIN(MAX(L468,0),'P-Parametri'!$B$8*(L468+K468)))</f>
        <v>0</v>
      </c>
      <c r="N468" s="18">
        <f>IF($A468&gt;'1-Input'!$B$26,L468,L468-MIN(MAX(L468,0),'P-Parametri'!$B$8*(L468+K468)))</f>
        <v>210016.29559418373</v>
      </c>
      <c r="O468" s="18">
        <f>IF($A468&gt;'1-Input'!$B$26,O467,O467-J468*(1-I468))</f>
        <v>108856.66394179429</v>
      </c>
      <c r="P468" s="11">
        <f>IF($A468&gt;'1-Input'!$B$26,0,IF(U467&lt;=0,0,MAX(0,(U467-V467)/U467)))</f>
        <v>0.46719315843685882</v>
      </c>
      <c r="Q468" s="18">
        <f>IF($A468&gt;'1-Input'!$B$26,0,(MAX(0,P451-IF($A468&gt;=('1-Input'!$C$12+1),'1-Input'!$B$12,0))-MIN(MAX(T467,0),MAX(0,P451-IF($A468&gt;=('1-Input'!$C$12+1),'1-Input'!$B$12,0))))*(1/(1-'P-Parametri'!$B$6*P468))+MIN(MAX(0,U467-(MAX(0,P451-IF($A468&gt;=('1-Input'!$C$12+1),'1-Input'!$B$12,0))-MIN(MAX(T467,0),MAX(0,P451-IF($A468&gt;=('1-Input'!$C$12+1),'1-Input'!$B$12,0))))*(1/(1-'P-Parametri'!$B$6*P468))),MAX(0,0*P451-(T467-MIN(MAX(T467,0),MAX(0,P451-IF($A468&gt;=('1-Input'!$C$12+1),'1-Input'!$B$12,0)))))*(1/(1-'P-Parametri'!$B$6*P468))))</f>
        <v>21451.788190163243</v>
      </c>
      <c r="R468" s="18">
        <f>IF($A468&gt;'1-Input'!$B$26,T467,(T467-MAX(0,P451-IF($A468&gt;=('1-Input'!$C$12+1),'1-Input'!$B$12,0))+Q468*(1-'P-Parametri'!$B$6*P468))*(1+'1-Input'!$B$27))</f>
        <v>0</v>
      </c>
      <c r="S468" s="18">
        <f>IF($A468&gt;'1-Input'!$B$26,U467,(U467-Q468)*(1+'5-Roberta'!$C$4))</f>
        <v>274696.03908923961</v>
      </c>
      <c r="T468" s="18">
        <f>IF($A468&gt;'1-Input'!$B$26,R468,R468-'P-Parametri'!$B$8*(S468+R468)+MIN(MAX(S468,0),'P-Parametri'!$B$8*(S468+R468)))</f>
        <v>0</v>
      </c>
      <c r="U468" s="18">
        <f>IF($A468&gt;'1-Input'!$B$26,S468,S468-MIN(MAX(S468,0),'P-Parametri'!$B$8*(S468+R468)))</f>
        <v>274146.64701106114</v>
      </c>
      <c r="V468" s="18">
        <f>IF($A468&gt;'1-Input'!$B$26,V467,V467-Q468*(1-P468))</f>
        <v>142097.01842431352</v>
      </c>
      <c r="W468" s="11">
        <f>IF($A468&gt;'1-Input'!$B$26,0,IF(AB467&lt;=0,0,MAX(0,(AB467-AC467)/AB467)))</f>
        <v>0.46719315843685849</v>
      </c>
      <c r="X468" s="18">
        <f>IF($A468&gt;'1-Input'!$B$26,0,(MAX(0,W451-IF($A468&gt;=('1-Input'!$C$12+1),'1-Input'!$B$12,0))-MIN(MAX(AA467,0),MAX(0,W451-IF($A468&gt;=('1-Input'!$C$12+1),'1-Input'!$B$12,0))))*(1/(1-'P-Parametri'!$B$6*W468))+MIN(MAX(0,AB467-(MAX(0,W451-IF($A468&gt;=('1-Input'!$C$12+1),'1-Input'!$B$12,0))-MIN(MAX(AA467,0),MAX(0,W451-IF($A468&gt;=('1-Input'!$C$12+1),'1-Input'!$B$12,0))))*(1/(1-'P-Parametri'!$B$6*W468))),MAX(0,0*W451-(AA467-MIN(MAX(AA467,0),MAX(0,W451-IF($A468&gt;=('1-Input'!$C$12+1),'1-Input'!$B$12,0)))))*(1/(1-'P-Parametri'!$B$6*W468))))</f>
        <v>21175.938028095268</v>
      </c>
      <c r="Y468" s="18">
        <f>IF($A468&gt;'1-Input'!$B$26,AA467,(AA467-MAX(0,W451-IF($A468&gt;=('1-Input'!$C$12+1),'1-Input'!$B$12,0))+X468*(1-'P-Parametri'!$B$6*W468))*(1+'1-Input'!$B$27))</f>
        <v>0</v>
      </c>
      <c r="Z468" s="18">
        <f>IF($A468&gt;'1-Input'!$B$26,AB467,(AB467-X468)*(1+'5-Roberta'!$C$4))</f>
        <v>279715.07042938756</v>
      </c>
      <c r="AA468" s="18">
        <f>IF($A468&gt;'1-Input'!$B$26,Y468,Y468-'P-Parametri'!$B$8*(Z468+Y468)+MIN(MAX(Z468,0),'P-Parametri'!$B$8*(Z468+Y468)))</f>
        <v>0</v>
      </c>
      <c r="AB468" s="18">
        <f>IF($A468&gt;'1-Input'!$B$26,Z468,Z468-MIN(MAX(Z468,0),'P-Parametri'!$B$8*(Z468+Y468)))</f>
        <v>279155.64028852881</v>
      </c>
      <c r="AC468" s="18">
        <f>IF($A468&gt;'1-Input'!$B$26,AC467,AC467-X468*(1-W468))</f>
        <v>144693.30409038221</v>
      </c>
      <c r="AD468" s="11">
        <f>IF($A468&gt;'1-Input'!$B$26,0,IF(AI467&lt;=0,0,MAX(0,(AI467-AJ467)/AI467)))</f>
        <v>0.46719315843685927</v>
      </c>
      <c r="AE468" s="18">
        <f>IF($A468&gt;'1-Input'!$B$26,0,(MAX(0,AD451-IF($A468&gt;=('1-Input'!$C$12+1),'1-Input'!$B$12,0))-MIN(MAX(AH467,0),MAX(0,AD451-IF($A468&gt;=('1-Input'!$C$12+1),'1-Input'!$B$12,0))))*(1/(1-'P-Parametri'!$B$6*AD468))+MIN(MAX(0,AI467-(MAX(0,AD451-IF($A468&gt;=('1-Input'!$C$12+1),'1-Input'!$B$12,0))-MIN(MAX(AH467,0),MAX(0,AD451-IF($A468&gt;=('1-Input'!$C$12+1),'1-Input'!$B$12,0))))*(1/(1-'P-Parametri'!$B$6*AD468))),MAX(0,0*AD451-(AH467-MIN(MAX(AH467,0),MAX(0,AD451-IF($A468&gt;=('1-Input'!$C$12+1),'1-Input'!$B$12,0)))))*(1/(1-'P-Parametri'!$B$6*AD468))))</f>
        <v>21181.044192474252</v>
      </c>
      <c r="AF468" s="18">
        <f>IF($A468&gt;'1-Input'!$B$26,AH467,(AH467-MAX(0,AD451-IF($A468&gt;=('1-Input'!$C$12+1),'1-Input'!$B$12,0))+AE468*(1-'P-Parametri'!$B$6*AD468))*(1+'1-Input'!$B$27))</f>
        <v>0</v>
      </c>
      <c r="AG468" s="18">
        <f>IF($A468&gt;'1-Input'!$B$26,AI467,(AI467-AE468)*(1+'5-Roberta'!$C$4))</f>
        <v>279622.16492281156</v>
      </c>
      <c r="AH468" s="18">
        <f>IF($A468&gt;'1-Input'!$B$26,AF468,AF468-'P-Parametri'!$B$8*(AG468+AF468)+MIN(MAX(AG468,0),'P-Parametri'!$B$8*(AG468+AF468)))</f>
        <v>0</v>
      </c>
      <c r="AI468" s="18">
        <f>IF($A468&gt;'1-Input'!$B$26,AG468,AG468-MIN(MAX(AG468,0),'P-Parametri'!$B$8*(AG468+AF468)))</f>
        <v>279062.92059296591</v>
      </c>
      <c r="AJ468" s="18">
        <f>IF($A468&gt;'1-Input'!$B$26,AJ467,AJ467-AE468*(1-AD468))</f>
        <v>144645.24516851542</v>
      </c>
      <c r="AK468" s="11">
        <f>IF($A468&gt;'1-Input'!$B$26,0,IF(AP467&lt;=0,0,MAX(0,(AP467-AQ467)/AP467)))</f>
        <v>0.46719315843685888</v>
      </c>
      <c r="AL468" s="18">
        <f>IF($A468&gt;'1-Input'!$B$26,0,(MAX(0,AK451-IF($A468&gt;=('1-Input'!$C$12+1),'1-Input'!$B$12,0))-MIN(MAX(AO467,0),MAX(0,AK451-IF($A468&gt;=('1-Input'!$C$12+1),'1-Input'!$B$12,0))))*(1/(1-'P-Parametri'!$B$6*AK468))+MIN(MAX(0,AP467-(MAX(0,AK451-IF($A468&gt;=('1-Input'!$C$12+1),'1-Input'!$B$12,0))-MIN(MAX(AO467,0),MAX(0,AK451-IF($A468&gt;=('1-Input'!$C$12+1),'1-Input'!$B$12,0))))*(1/(1-'P-Parametri'!$B$6*AK468))),MAX(0,0*AK451-(AO467-MIN(MAX(AO467,0),MAX(0,AK451-IF($A468&gt;=('1-Input'!$C$12+1),'1-Input'!$B$12,0)))))*(1/(1-'P-Parametri'!$B$6*AK468))))</f>
        <v>21180.231832936959</v>
      </c>
      <c r="AM468" s="18">
        <f>IF($A468&gt;'1-Input'!$B$26,AO467,(AO467-MAX(0,AK451-IF($A468&gt;=('1-Input'!$C$12+1),'1-Input'!$B$12,0))+AL468*(1-'P-Parametri'!$B$6*AK468))*(1+'1-Input'!$B$27))</f>
        <v>0</v>
      </c>
      <c r="AN468" s="18">
        <f>IF($A468&gt;'1-Input'!$B$26,AP467,(AP467-AL468)*(1+'5-Roberta'!$C$4))</f>
        <v>279636.94562095054</v>
      </c>
      <c r="AO468" s="18">
        <f>IF($A468&gt;'1-Input'!$B$26,AM468,AM468-'P-Parametri'!$B$8*(AN468+AM468)+MIN(MAX(AN468,0),'P-Parametri'!$B$8*(AN468+AM468)))</f>
        <v>0</v>
      </c>
      <c r="AP468" s="18">
        <f>IF($A468&gt;'1-Input'!$B$26,AN468,AN468-MIN(MAX(AN468,0),'P-Parametri'!$B$8*(AN468+AM468)))</f>
        <v>279077.67172970861</v>
      </c>
      <c r="AQ468" s="18">
        <f>IF($A468&gt;'1-Input'!$B$26,AQ467,AQ467-AL468*(1-AK468))</f>
        <v>144652.89104918687</v>
      </c>
    </row>
    <row r="469" spans="1:43">
      <c r="A469" s="10">
        <f>16</f>
        <v>16</v>
      </c>
      <c r="B469" s="11">
        <f>IF($A469&gt;'1-Input'!$B$26,0,IF(G468&lt;=0,0,MAX(0,(G468-H468)/G468)))</f>
        <v>0.48167515461686344</v>
      </c>
      <c r="C469" s="18">
        <f>IF($A469&gt;'1-Input'!$B$26,0,(MAX(0,B451-IF($A469&gt;=('1-Input'!$C$12+1),'1-Input'!$B$12,0))-MIN(MAX(F468,0),MAX(0,B451-IF($A469&gt;=('1-Input'!$C$12+1),'1-Input'!$B$12,0))))*(1/(1-'P-Parametri'!$B$6*B469))+MIN(MAX(0,G468-(MAX(0,B451-IF($A469&gt;=('1-Input'!$C$12+1),'1-Input'!$B$12,0))-MIN(MAX(F468,0),MAX(0,B451-IF($A469&gt;=('1-Input'!$C$12+1),'1-Input'!$B$12,0))))*(1/(1-'P-Parametri'!$B$6*B469))),MAX(0,0*B451-(F468-MIN(MAX(F468,0),MAX(0,B451-IF($A469&gt;=('1-Input'!$C$12+1),'1-Input'!$B$12,0)))))*(1/(1-'P-Parametri'!$B$6*B469))))</f>
        <v>19069.196430827764</v>
      </c>
      <c r="D469" s="18">
        <f>IF($A469&gt;'1-Input'!$B$26,F468,(F468-MAX(0,B451-IF($A469&gt;=('1-Input'!$C$12+1),'1-Input'!$B$12,0))+C469*(1-'P-Parametri'!$B$6*B469))*(1+'1-Input'!$B$27))</f>
        <v>3.6248820833861826E-12</v>
      </c>
      <c r="E469" s="18">
        <f>IF($A469&gt;'1-Input'!$B$26,G468,(G468-C469)*(1+'5-Roberta'!$C$4))</f>
        <v>308820.30548811343</v>
      </c>
      <c r="F469" s="18">
        <f>IF($A469&gt;'1-Input'!$B$26,D469,D469-'P-Parametri'!$B$8*(E469+D469)+MIN(MAX(E469,0),'P-Parametri'!$B$8*(E469+D469)))</f>
        <v>3.637978807091713E-12</v>
      </c>
      <c r="G469" s="18">
        <f>IF($A469&gt;'1-Input'!$B$26,E469,E469-MIN(MAX(E469,0),'P-Parametri'!$B$8*(E469+D469)))</f>
        <v>308202.66487713723</v>
      </c>
      <c r="H469" s="18">
        <f>IF($A469&gt;'1-Input'!$B$26,H468,H468-C469*(1-B469))</f>
        <v>155407.02630417416</v>
      </c>
      <c r="I469" s="11">
        <f>IF($A469&gt;'1-Input'!$B$26,0,IF(N468&lt;=0,0,MAX(0,(N468-O468)/N468)))</f>
        <v>0.48167515461686389</v>
      </c>
      <c r="J469" s="18">
        <f>IF($A469&gt;'1-Input'!$B$26,0,(MAX(0,I451-IF($A469&gt;=('1-Input'!$C$12+1),'1-Input'!$B$12,0))-MIN(MAX(M468,0),MAX(0,I451-IF($A469&gt;=('1-Input'!$C$12+1),'1-Input'!$B$12,0))))*(1/(1-'P-Parametri'!$B$6*I469))+MIN(MAX(0,N468-(MAX(0,I451-IF($A469&gt;=('1-Input'!$C$12+1),'1-Input'!$B$12,0))-MIN(MAX(M468,0),MAX(0,I451-IF($A469&gt;=('1-Input'!$C$12+1),'1-Input'!$B$12,0))))*(1/(1-'P-Parametri'!$B$6*I469))),MAX(0,0*I451-(M468-MIN(MAX(M468,0),MAX(0,I451-IF($A469&gt;=('1-Input'!$C$12+1),'1-Input'!$B$12,0)))))*(1/(1-'P-Parametri'!$B$6*I469))))</f>
        <v>25091.047935299692</v>
      </c>
      <c r="K469" s="18">
        <f>IF($A469&gt;'1-Input'!$B$26,M468,(M468-MAX(0,I451-IF($A469&gt;=('1-Input'!$C$12+1),'1-Input'!$B$12,0))+J469*(1-'P-Parametri'!$B$6*I469))*(1+'1-Input'!$B$27))</f>
        <v>0</v>
      </c>
      <c r="L469" s="18">
        <f>IF($A469&gt;'1-Input'!$B$26,N468,(N468-J469)*(1+'5-Roberta'!$C$4))</f>
        <v>190473.00508865056</v>
      </c>
      <c r="M469" s="18">
        <f>IF($A469&gt;'1-Input'!$B$26,K469,K469-'P-Parametri'!$B$8*(L469+K469)+MIN(MAX(L469,0),'P-Parametri'!$B$8*(L469+K469)))</f>
        <v>0</v>
      </c>
      <c r="N469" s="18">
        <f>IF($A469&gt;'1-Input'!$B$26,L469,L469-MIN(MAX(L469,0),'P-Parametri'!$B$8*(L469+K469)))</f>
        <v>190092.05907847325</v>
      </c>
      <c r="O469" s="18">
        <f>IF($A469&gt;'1-Input'!$B$26,O468,O468-J469*(1-I469))</f>
        <v>95851.350400229217</v>
      </c>
      <c r="P469" s="11">
        <f>IF($A469&gt;'1-Input'!$B$26,0,IF(U468&lt;=0,0,MAX(0,(U468-V468)/U468)))</f>
        <v>0.48167515461686367</v>
      </c>
      <c r="Q469" s="18">
        <f>IF($A469&gt;'1-Input'!$B$26,0,(MAX(0,P451-IF($A469&gt;=('1-Input'!$C$12+1),'1-Input'!$B$12,0))-MIN(MAX(T468,0),MAX(0,P451-IF($A469&gt;=('1-Input'!$C$12+1),'1-Input'!$B$12,0))))*(1/(1-'P-Parametri'!$B$6*P469))+MIN(MAX(0,U468-(MAX(0,P451-IF($A469&gt;=('1-Input'!$C$12+1),'1-Input'!$B$12,0))-MIN(MAX(T468,0),MAX(0,P451-IF($A469&gt;=('1-Input'!$C$12+1),'1-Input'!$B$12,0))))*(1/(1-'P-Parametri'!$B$6*P469))),MAX(0,0*P451-(T468-MIN(MAX(T468,0),MAX(0,P451-IF($A469&gt;=('1-Input'!$C$12+1),'1-Input'!$B$12,0)))))*(1/(1-'P-Parametri'!$B$6*P469))))</f>
        <v>21544.124847074065</v>
      </c>
      <c r="R469" s="18">
        <f>IF($A469&gt;'1-Input'!$B$26,T468,(T468-MAX(0,P451-IF($A469&gt;=('1-Input'!$C$12+1),'1-Input'!$B$12,0))+Q469*(1-'P-Parametri'!$B$6*P469))*(1+'1-Input'!$B$27))</f>
        <v>3.6248820833861826E-12</v>
      </c>
      <c r="S469" s="18">
        <f>IF($A469&gt;'1-Input'!$B$26,U468,(U468-Q469)*(1+'5-Roberta'!$C$4))</f>
        <v>260180.5978289067</v>
      </c>
      <c r="T469" s="18">
        <f>IF($A469&gt;'1-Input'!$B$26,R469,R469-'P-Parametri'!$B$8*(S469+R469)+MIN(MAX(S469,0),'P-Parametri'!$B$8*(S469+R469)))</f>
        <v>3.637978807091713E-12</v>
      </c>
      <c r="U469" s="18">
        <f>IF($A469&gt;'1-Input'!$B$26,S469,S469-MIN(MAX(S469,0),'P-Parametri'!$B$8*(S469+R469)))</f>
        <v>259660.23663324889</v>
      </c>
      <c r="V469" s="18">
        <f>IF($A469&gt;'1-Input'!$B$26,V468,V468-Q469*(1-P469))</f>
        <v>130930.16324403886</v>
      </c>
      <c r="W469" s="11">
        <f>IF($A469&gt;'1-Input'!$B$26,0,IF(AB468&lt;=0,0,MAX(0,(AB468-AC468)/AB468)))</f>
        <v>0.48167515461686333</v>
      </c>
      <c r="X469" s="18">
        <f>IF($A469&gt;'1-Input'!$B$26,0,(MAX(0,W451-IF($A469&gt;=('1-Input'!$C$12+1),'1-Input'!$B$12,0))-MIN(MAX(AA468,0),MAX(0,W451-IF($A469&gt;=('1-Input'!$C$12+1),'1-Input'!$B$12,0))))*(1/(1-'P-Parametri'!$B$6*W469))+MIN(MAX(0,AB468-(MAX(0,W451-IF($A469&gt;=('1-Input'!$C$12+1),'1-Input'!$B$12,0))-MIN(MAX(AA468,0),MAX(0,W451-IF($A469&gt;=('1-Input'!$C$12+1),'1-Input'!$B$12,0))))*(1/(1-'P-Parametri'!$B$6*W469))),MAX(0,0*W451-(AA468-MIN(MAX(AA468,0),MAX(0,W451-IF($A469&gt;=('1-Input'!$C$12+1),'1-Input'!$B$12,0)))))*(1/(1-'P-Parametri'!$B$6*W469))))</f>
        <v>21267.087320971543</v>
      </c>
      <c r="Y469" s="18">
        <f>IF($A469&gt;'1-Input'!$B$26,AA468,(AA468-MAX(0,W451-IF($A469&gt;=('1-Input'!$C$12+1),'1-Input'!$B$12,0))+X469*(1-'P-Parametri'!$B$6*W469))*(1+'1-Input'!$B$27))</f>
        <v>0</v>
      </c>
      <c r="Z469" s="18">
        <f>IF($A469&gt;'1-Input'!$B$26,AB468,(AB468-X469)*(1+'5-Roberta'!$C$4))</f>
        <v>265625.20955658401</v>
      </c>
      <c r="AA469" s="18">
        <f>IF($A469&gt;'1-Input'!$B$26,Y469,Y469-'P-Parametri'!$B$8*(Z469+Y469)+MIN(MAX(Z469,0),'P-Parametri'!$B$8*(Z469+Y469)))</f>
        <v>0</v>
      </c>
      <c r="AB469" s="18">
        <f>IF($A469&gt;'1-Input'!$B$26,Z469,Z469-MIN(MAX(Z469,0),'P-Parametri'!$B$8*(Z469+Y469)))</f>
        <v>265093.95913747087</v>
      </c>
      <c r="AC469" s="18">
        <f>IF($A469&gt;'1-Input'!$B$26,AC468,AC468-X469*(1-W469))</f>
        <v>133670.04434298998</v>
      </c>
      <c r="AD469" s="11">
        <f>IF($A469&gt;'1-Input'!$B$26,0,IF(AI468&lt;=0,0,MAX(0,(AI468-AJ468)/AI468)))</f>
        <v>0.48167515461686394</v>
      </c>
      <c r="AE469" s="18">
        <f>IF($A469&gt;'1-Input'!$B$26,0,(MAX(0,AD451-IF($A469&gt;=('1-Input'!$C$12+1),'1-Input'!$B$12,0))-MIN(MAX(AH468,0),MAX(0,AD451-IF($A469&gt;=('1-Input'!$C$12+1),'1-Input'!$B$12,0))))*(1/(1-'P-Parametri'!$B$6*AD469))+MIN(MAX(0,AI468-(MAX(0,AD451-IF($A469&gt;=('1-Input'!$C$12+1),'1-Input'!$B$12,0))-MIN(MAX(AH468,0),MAX(0,AD451-IF($A469&gt;=('1-Input'!$C$12+1),'1-Input'!$B$12,0))))*(1/(1-'P-Parametri'!$B$6*AD469))),MAX(0,0*AD451-(AH468-MIN(MAX(AH468,0),MAX(0,AD451-IF($A469&gt;=('1-Input'!$C$12+1),'1-Input'!$B$12,0)))))*(1/(1-'P-Parametri'!$B$6*AD469))))</f>
        <v>21272.215464224464</v>
      </c>
      <c r="AF469" s="18">
        <f>IF($A469&gt;'1-Input'!$B$26,AH468,(AH468-MAX(0,AD451-IF($A469&gt;=('1-Input'!$C$12+1),'1-Input'!$B$12,0))+AE469*(1-'P-Parametri'!$B$6*AD469))*(1+'1-Input'!$B$27))</f>
        <v>-3.6248820833861826E-12</v>
      </c>
      <c r="AG469" s="18">
        <f>IF($A469&gt;'1-Input'!$B$26,AI468,(AI468-AE469)*(1+'5-Roberta'!$C$4))</f>
        <v>265524.4262826037</v>
      </c>
      <c r="AH469" s="18">
        <f>IF($A469&gt;'1-Input'!$B$26,AF469,AF469-'P-Parametri'!$B$8*(AG469+AF469)+MIN(MAX(AG469,0),'P-Parametri'!$B$8*(AG469+AF469)))</f>
        <v>-3.637978807091713E-12</v>
      </c>
      <c r="AI469" s="18">
        <f>IF($A469&gt;'1-Input'!$B$26,AG469,AG469-MIN(MAX(AG469,0),'P-Parametri'!$B$8*(AG469+AF469)))</f>
        <v>264993.37743003847</v>
      </c>
      <c r="AJ469" s="18">
        <f>IF($A469&gt;'1-Input'!$B$26,AJ468,AJ468-AE469*(1-AD469))</f>
        <v>133619.32737706453</v>
      </c>
      <c r="AK469" s="11">
        <f>IF($A469&gt;'1-Input'!$B$26,0,IF(AP468&lt;=0,0,MAX(0,(AP468-AQ468)/AP468)))</f>
        <v>0.48167515461686372</v>
      </c>
      <c r="AL469" s="18">
        <f>IF($A469&gt;'1-Input'!$B$26,0,(MAX(0,AK451-IF($A469&gt;=('1-Input'!$C$12+1),'1-Input'!$B$12,0))-MIN(MAX(AO468,0),MAX(0,AK451-IF($A469&gt;=('1-Input'!$C$12+1),'1-Input'!$B$12,0))))*(1/(1-'P-Parametri'!$B$6*AK469))+MIN(MAX(0,AP468-(MAX(0,AK451-IF($A469&gt;=('1-Input'!$C$12+1),'1-Input'!$B$12,0))-MIN(MAX(AO468,0),MAX(0,AK451-IF($A469&gt;=('1-Input'!$C$12+1),'1-Input'!$B$12,0))))*(1/(1-'P-Parametri'!$B$6*AK469))),MAX(0,0*AK451-(AO468-MIN(MAX(AO468,0),MAX(0,AK451-IF($A469&gt;=('1-Input'!$C$12+1),'1-Input'!$B$12,0)))))*(1/(1-'P-Parametri'!$B$6*AK469))))</f>
        <v>21271.399607982697</v>
      </c>
      <c r="AM469" s="18">
        <f>IF($A469&gt;'1-Input'!$B$26,AO468,(AO468-MAX(0,AK451-IF($A469&gt;=('1-Input'!$C$12+1),'1-Input'!$B$12,0))+AL469*(1-'P-Parametri'!$B$6*AK469))*(1+'1-Input'!$B$27))</f>
        <v>-3.6248820833861826E-12</v>
      </c>
      <c r="AN469" s="18">
        <f>IF($A469&gt;'1-Input'!$B$26,AP468,(AP468-AL469)*(1+'5-Roberta'!$C$4))</f>
        <v>265540.46028537769</v>
      </c>
      <c r="AO469" s="18">
        <f>IF($A469&gt;'1-Input'!$B$26,AM469,AM469-'P-Parametri'!$B$8*(AN469+AM469)+MIN(MAX(AN469,0),'P-Parametri'!$B$8*(AN469+AM469)))</f>
        <v>-3.637978807091713E-12</v>
      </c>
      <c r="AP469" s="18">
        <f>IF($A469&gt;'1-Input'!$B$26,AN469,AN469-MIN(MAX(AN469,0),'P-Parametri'!$B$8*(AN469+AM469)))</f>
        <v>265009.37936480693</v>
      </c>
      <c r="AQ469" s="18">
        <f>IF($A469&gt;'1-Input'!$B$26,AQ468,AQ468-AL469*(1-AK469))</f>
        <v>133627.39613629633</v>
      </c>
    </row>
    <row r="470" spans="1:43">
      <c r="A470" s="10">
        <f>17</f>
        <v>17</v>
      </c>
      <c r="B470" s="11">
        <f>IF($A470&gt;'1-Input'!$B$26,0,IF(G469&lt;=0,0,MAX(0,(G469-H469)/G469)))</f>
        <v>0.4957635218172885</v>
      </c>
      <c r="C470" s="18">
        <f>IF($A470&gt;'1-Input'!$B$26,0,(MAX(0,B451-IF($A470&gt;=('1-Input'!$C$12+1),'1-Input'!$B$12,0))-MIN(MAX(F469,0),MAX(0,B451-IF($A470&gt;=('1-Input'!$C$12+1),'1-Input'!$B$12,0))))*(1/(1-'P-Parametri'!$B$6*B470))+MIN(MAX(0,G469-(MAX(0,B451-IF($A470&gt;=('1-Input'!$C$12+1),'1-Input'!$B$12,0))-MIN(MAX(F469,0),MAX(0,B451-IF($A470&gt;=('1-Input'!$C$12+1),'1-Input'!$B$12,0))))*(1/(1-'P-Parametri'!$B$6*B470))),MAX(0,0*B451-(F469-MIN(MAX(F469,0),MAX(0,B451-IF($A470&gt;=('1-Input'!$C$12+1),'1-Input'!$B$12,0)))))*(1/(1-'P-Parametri'!$B$6*B470))))</f>
        <v>19149.382264574673</v>
      </c>
      <c r="D470" s="18">
        <f>IF($A470&gt;'1-Input'!$B$26,F469,(F469-MAX(0,B451-IF($A470&gt;=('1-Input'!$C$12+1),'1-Input'!$B$12,0))+C470*(1-'P-Parametri'!$B$6*B470))*(1+'1-Input'!$B$27))</f>
        <v>-3.6248820833861826E-12</v>
      </c>
      <c r="E470" s="18">
        <f>IF($A470&gt;'1-Input'!$B$26,G469,(G469-C470)*(1+'5-Roberta'!$C$4))</f>
        <v>297724.88109093939</v>
      </c>
      <c r="F470" s="18">
        <f>IF($A470&gt;'1-Input'!$B$26,D470,D470-'P-Parametri'!$B$8*(E470+D470)+MIN(MAX(E470,0),'P-Parametri'!$B$8*(E470+D470)))</f>
        <v>-3.637978807091713E-12</v>
      </c>
      <c r="G470" s="18">
        <f>IF($A470&gt;'1-Input'!$B$26,E470,E470-MIN(MAX(E470,0),'P-Parametri'!$B$8*(E470+D470)))</f>
        <v>297129.43132875749</v>
      </c>
      <c r="H470" s="18">
        <f>IF($A470&gt;'1-Input'!$B$26,H469,H469-C470*(1-B470))</f>
        <v>145751.20923171056</v>
      </c>
      <c r="I470" s="11">
        <f>IF($A470&gt;'1-Input'!$B$26,0,IF(N469&lt;=0,0,MAX(0,(N469-O469)/N469)))</f>
        <v>0.49576352181728883</v>
      </c>
      <c r="J470" s="18">
        <f>IF($A470&gt;'1-Input'!$B$26,0,(MAX(0,I451-IF($A470&gt;=('1-Input'!$C$12+1),'1-Input'!$B$12,0))-MIN(MAX(M469,0),MAX(0,I451-IF($A470&gt;=('1-Input'!$C$12+1),'1-Input'!$B$12,0))))*(1/(1-'P-Parametri'!$B$6*I470))+MIN(MAX(0,N469-(MAX(0,I451-IF($A470&gt;=('1-Input'!$C$12+1),'1-Input'!$B$12,0))-MIN(MAX(M469,0),MAX(0,I451-IF($A470&gt;=('1-Input'!$C$12+1),'1-Input'!$B$12,0))))*(1/(1-'P-Parametri'!$B$6*I470))),MAX(0,0*I451-(M469-MIN(MAX(M469,0),MAX(0,I451-IF($A470&gt;=('1-Input'!$C$12+1),'1-Input'!$B$12,0)))))*(1/(1-'P-Parametri'!$B$6*I470))))</f>
        <v>25196.555611282482</v>
      </c>
      <c r="K470" s="18">
        <f>IF($A470&gt;'1-Input'!$B$26,M469,(M469-MAX(0,I451-IF($A470&gt;=('1-Input'!$C$12+1),'1-Input'!$B$12,0))+J470*(1-'P-Parametri'!$B$6*I470))*(1+'1-Input'!$B$27))</f>
        <v>0</v>
      </c>
      <c r="L470" s="18">
        <f>IF($A470&gt;'1-Input'!$B$26,N469,(N469-J470)*(1+'5-Roberta'!$C$4))</f>
        <v>169842.36857120652</v>
      </c>
      <c r="M470" s="18">
        <f>IF($A470&gt;'1-Input'!$B$26,K470,K470-'P-Parametri'!$B$8*(L470+K470)+MIN(MAX(L470,0),'P-Parametri'!$B$8*(L470+K470)))</f>
        <v>0</v>
      </c>
      <c r="N470" s="18">
        <f>IF($A470&gt;'1-Input'!$B$26,L470,L470-MIN(MAX(L470,0),'P-Parametri'!$B$8*(L470+K470)))</f>
        <v>169502.68383406411</v>
      </c>
      <c r="O470" s="18">
        <f>IF($A470&gt;'1-Input'!$B$26,O469,O469-J470*(1-I470))</f>
        <v>83146.327936461312</v>
      </c>
      <c r="P470" s="11">
        <f>IF($A470&gt;'1-Input'!$B$26,0,IF(U469&lt;=0,0,MAX(0,(U469-V469)/U469)))</f>
        <v>0.49576352181728867</v>
      </c>
      <c r="Q470" s="18">
        <f>IF($A470&gt;'1-Input'!$B$26,0,(MAX(0,P451-IF($A470&gt;=('1-Input'!$C$12+1),'1-Input'!$B$12,0))-MIN(MAX(T469,0),MAX(0,P451-IF($A470&gt;=('1-Input'!$C$12+1),'1-Input'!$B$12,0))))*(1/(1-'P-Parametri'!$B$6*P470))+MIN(MAX(0,U469-(MAX(0,P451-IF($A470&gt;=('1-Input'!$C$12+1),'1-Input'!$B$12,0))-MIN(MAX(T469,0),MAX(0,P451-IF($A470&gt;=('1-Input'!$C$12+1),'1-Input'!$B$12,0))))*(1/(1-'P-Parametri'!$B$6*P470))),MAX(0,0*P451-(T469-MIN(MAX(T469,0),MAX(0,P451-IF($A470&gt;=('1-Input'!$C$12+1),'1-Input'!$B$12,0)))))*(1/(1-'P-Parametri'!$B$6*P470))))</f>
        <v>21634.717736998755</v>
      </c>
      <c r="R470" s="18">
        <f>IF($A470&gt;'1-Input'!$B$26,T469,(T469-MAX(0,P451-IF($A470&gt;=('1-Input'!$C$12+1),'1-Input'!$B$12,0))+Q470*(1-'P-Parametri'!$B$6*P470))*(1+'1-Input'!$B$27))</f>
        <v>0</v>
      </c>
      <c r="S470" s="18">
        <f>IF($A470&gt;'1-Input'!$B$26,U469,(U469-Q470)*(1+'5-Roberta'!$C$4))</f>
        <v>245166.28446313765</v>
      </c>
      <c r="T470" s="18">
        <f>IF($A470&gt;'1-Input'!$B$26,R470,R470-'P-Parametri'!$B$8*(S470+R470)+MIN(MAX(S470,0),'P-Parametri'!$B$8*(S470+R470)))</f>
        <v>0</v>
      </c>
      <c r="U470" s="18">
        <f>IF($A470&gt;'1-Input'!$B$26,S470,S470-MIN(MAX(S470,0),'P-Parametri'!$B$8*(S470+R470)))</f>
        <v>244675.95189421138</v>
      </c>
      <c r="V470" s="18">
        <f>IF($A470&gt;'1-Input'!$B$26,V469,V469-Q470*(1-P470))</f>
        <v>120021.14936585758</v>
      </c>
      <c r="W470" s="11">
        <f>IF($A470&gt;'1-Input'!$B$26,0,IF(AB469&lt;=0,0,MAX(0,(AB469-AC469)/AB469)))</f>
        <v>0.49576352181728839</v>
      </c>
      <c r="X470" s="18">
        <f>IF($A470&gt;'1-Input'!$B$26,0,(MAX(0,W451-IF($A470&gt;=('1-Input'!$C$12+1),'1-Input'!$B$12,0))-MIN(MAX(AA469,0),MAX(0,W451-IF($A470&gt;=('1-Input'!$C$12+1),'1-Input'!$B$12,0))))*(1/(1-'P-Parametri'!$B$6*W470))+MIN(MAX(0,AB469-(MAX(0,W451-IF($A470&gt;=('1-Input'!$C$12+1),'1-Input'!$B$12,0))-MIN(MAX(AA469,0),MAX(0,W451-IF($A470&gt;=('1-Input'!$C$12+1),'1-Input'!$B$12,0))))*(1/(1-'P-Parametri'!$B$6*W470))),MAX(0,0*W451-(AA469-MIN(MAX(AA469,0),MAX(0,W451-IF($A470&gt;=('1-Input'!$C$12+1),'1-Input'!$B$12,0)))))*(1/(1-'P-Parametri'!$B$6*W470))))</f>
        <v>21356.51527009287</v>
      </c>
      <c r="Y470" s="18">
        <f>IF($A470&gt;'1-Input'!$B$26,AA469,(AA469-MAX(0,W451-IF($A470&gt;=('1-Input'!$C$12+1),'1-Input'!$B$12,0))+X470*(1-'P-Parametri'!$B$6*W470))*(1+'1-Input'!$B$27))</f>
        <v>0</v>
      </c>
      <c r="Z470" s="18">
        <f>IF($A470&gt;'1-Input'!$B$26,AB469,(AB469-X470)*(1+'5-Roberta'!$C$4))</f>
        <v>251049.56718339934</v>
      </c>
      <c r="AA470" s="18">
        <f>IF($A470&gt;'1-Input'!$B$26,Y470,Y470-'P-Parametri'!$B$8*(Z470+Y470)+MIN(MAX(Z470,0),'P-Parametri'!$B$8*(Z470+Y470)))</f>
        <v>0</v>
      </c>
      <c r="AB470" s="18">
        <f>IF($A470&gt;'1-Input'!$B$26,Z470,Z470-MIN(MAX(Z470,0),'P-Parametri'!$B$8*(Z470+Y470)))</f>
        <v>250547.46804903256</v>
      </c>
      <c r="AC470" s="18">
        <f>IF($A470&gt;'1-Input'!$B$26,AC469,AC469-X470*(1-W470))</f>
        <v>122901.31029694305</v>
      </c>
      <c r="AD470" s="11">
        <f>IF($A470&gt;'1-Input'!$B$26,0,IF(AI469&lt;=0,0,MAX(0,(AI469-AJ469)/AI469)))</f>
        <v>0.49576352181728883</v>
      </c>
      <c r="AE470" s="18">
        <f>IF($A470&gt;'1-Input'!$B$26,0,(MAX(0,AD451-IF($A470&gt;=('1-Input'!$C$12+1),'1-Input'!$B$12,0))-MIN(MAX(AH469,0),MAX(0,AD451-IF($A470&gt;=('1-Input'!$C$12+1),'1-Input'!$B$12,0))))*(1/(1-'P-Parametri'!$B$6*AD470))+MIN(MAX(0,AI469-(MAX(0,AD451-IF($A470&gt;=('1-Input'!$C$12+1),'1-Input'!$B$12,0))-MIN(MAX(AH469,0),MAX(0,AD451-IF($A470&gt;=('1-Input'!$C$12+1),'1-Input'!$B$12,0))))*(1/(1-'P-Parametri'!$B$6*AD470))),MAX(0,0*AD451-(AH469-MIN(MAX(AH469,0),MAX(0,AD451-IF($A470&gt;=('1-Input'!$C$12+1),'1-Input'!$B$12,0)))))*(1/(1-'P-Parametri'!$B$6*AD470))))</f>
        <v>21361.664977151268</v>
      </c>
      <c r="AF470" s="18">
        <f>IF($A470&gt;'1-Input'!$B$26,AH469,(AH469-MAX(0,AD451-IF($A470&gt;=('1-Input'!$C$12+1),'1-Input'!$B$12,0))+AE470*(1-'P-Parametri'!$B$6*AD470))*(1+'1-Input'!$B$27))</f>
        <v>0</v>
      </c>
      <c r="AG470" s="18">
        <f>IF($A470&gt;'1-Input'!$B$26,AI469,(AI469-AE470)*(1+'5-Roberta'!$C$4))</f>
        <v>250940.66382647384</v>
      </c>
      <c r="AH470" s="18">
        <f>IF($A470&gt;'1-Input'!$B$26,AF470,AF470-'P-Parametri'!$B$8*(AG470+AF470)+MIN(MAX(AG470,0),'P-Parametri'!$B$8*(AG470+AF470)))</f>
        <v>0</v>
      </c>
      <c r="AI470" s="18">
        <f>IF($A470&gt;'1-Input'!$B$26,AG470,AG470-MIN(MAX(AG470,0),'P-Parametri'!$B$8*(AG470+AF470)))</f>
        <v>250438.78249882089</v>
      </c>
      <c r="AJ470" s="18">
        <f>IF($A470&gt;'1-Input'!$B$26,AJ469,AJ469-AE470*(1-AD470))</f>
        <v>122847.99666086682</v>
      </c>
      <c r="AK470" s="11">
        <f>IF($A470&gt;'1-Input'!$B$26,0,IF(AP469&lt;=0,0,MAX(0,(AP469-AQ469)/AP469)))</f>
        <v>0.49576352181728872</v>
      </c>
      <c r="AL470" s="18">
        <f>IF($A470&gt;'1-Input'!$B$26,0,(MAX(0,AK451-IF($A470&gt;=('1-Input'!$C$12+1),'1-Input'!$B$12,0))-MIN(MAX(AO469,0),MAX(0,AK451-IF($A470&gt;=('1-Input'!$C$12+1),'1-Input'!$B$12,0))))*(1/(1-'P-Parametri'!$B$6*AK470))+MIN(MAX(0,AP469-(MAX(0,AK451-IF($A470&gt;=('1-Input'!$C$12+1),'1-Input'!$B$12,0))-MIN(MAX(AO469,0),MAX(0,AK451-IF($A470&gt;=('1-Input'!$C$12+1),'1-Input'!$B$12,0))))*(1/(1-'P-Parametri'!$B$6*AK470))),MAX(0,0*AK451-(AO469-MIN(MAX(AO469,0),MAX(0,AK451-IF($A470&gt;=('1-Input'!$C$12+1),'1-Input'!$B$12,0)))))*(1/(1-'P-Parametri'!$B$6*AK470))))</f>
        <v>21360.845690239876</v>
      </c>
      <c r="AM470" s="18">
        <f>IF($A470&gt;'1-Input'!$B$26,AO469,(AO469-MAX(0,AK451-IF($A470&gt;=('1-Input'!$C$12+1),'1-Input'!$B$12,0))+AL470*(1-'P-Parametri'!$B$6*AK470))*(1+'1-Input'!$B$27))</f>
        <v>0</v>
      </c>
      <c r="AN470" s="18">
        <f>IF($A470&gt;'1-Input'!$B$26,AP469,(AP469-AL470)*(1+'5-Roberta'!$C$4))</f>
        <v>250957.98968480408</v>
      </c>
      <c r="AO470" s="18">
        <f>IF($A470&gt;'1-Input'!$B$26,AM470,AM470-'P-Parametri'!$B$8*(AN470+AM470)+MIN(MAX(AN470,0),'P-Parametri'!$B$8*(AN470+AM470)))</f>
        <v>0</v>
      </c>
      <c r="AP470" s="18">
        <f>IF($A470&gt;'1-Input'!$B$26,AN470,AN470-MIN(MAX(AN470,0),'P-Parametri'!$B$8*(AN470+AM470)))</f>
        <v>250456.07370543448</v>
      </c>
      <c r="AQ470" s="18">
        <f>IF($A470&gt;'1-Input'!$B$26,AQ469,AQ469-AL470*(1-AK470))</f>
        <v>122856.47853444543</v>
      </c>
    </row>
    <row r="471" spans="1:43">
      <c r="A471" s="10">
        <f>18</f>
        <v>18</v>
      </c>
      <c r="B471" s="11">
        <f>IF($A471&gt;'1-Input'!$B$26,0,IF(G470&lt;=0,0,MAX(0,(G470-H470)/G470)))</f>
        <v>0.50946895910003343</v>
      </c>
      <c r="C471" s="18">
        <f>IF($A471&gt;'1-Input'!$B$26,0,(MAX(0,B451-IF($A471&gt;=('1-Input'!$C$12+1),'1-Input'!$B$12,0))-MIN(MAX(F470,0),MAX(0,B451-IF($A471&gt;=('1-Input'!$C$12+1),'1-Input'!$B$12,0))))*(1/(1-'P-Parametri'!$B$6*B471))+MIN(MAX(0,G470-(MAX(0,B451-IF($A471&gt;=('1-Input'!$C$12+1),'1-Input'!$B$12,0))-MIN(MAX(F470,0),MAX(0,B451-IF($A471&gt;=('1-Input'!$C$12+1),'1-Input'!$B$12,0))))*(1/(1-'P-Parametri'!$B$6*B471))),MAX(0,0*B451-(F470-MIN(MAX(F470,0),MAX(0,B451-IF($A471&gt;=('1-Input'!$C$12+1),'1-Input'!$B$12,0)))))*(1/(1-'P-Parametri'!$B$6*B471))))</f>
        <v>19228.038375809145</v>
      </c>
      <c r="D471" s="18">
        <f>IF($A471&gt;'1-Input'!$B$26,F470,(F470-MAX(0,B451-IF($A471&gt;=('1-Input'!$C$12+1),'1-Input'!$B$12,0))+C471*(1-'P-Parametri'!$B$6*B471))*(1+'1-Input'!$B$27))</f>
        <v>3.6248820833861826E-12</v>
      </c>
      <c r="E471" s="18">
        <f>IF($A471&gt;'1-Input'!$B$26,G470,(G470-C471)*(1+'5-Roberta'!$C$4))</f>
        <v>286238.4347415368</v>
      </c>
      <c r="F471" s="18">
        <f>IF($A471&gt;'1-Input'!$B$26,D471,D471-'P-Parametri'!$B$8*(E471+D471)+MIN(MAX(E471,0),'P-Parametri'!$B$8*(E471+D471)))</f>
        <v>3.637978807091713E-12</v>
      </c>
      <c r="G471" s="18">
        <f>IF($A471&gt;'1-Input'!$B$26,E471,E471-MIN(MAX(E471,0),'P-Parametri'!$B$8*(E471+D471)))</f>
        <v>285665.95787205372</v>
      </c>
      <c r="H471" s="18">
        <f>IF($A471&gt;'1-Input'!$B$26,H470,H470-C471*(1-B471))</f>
        <v>136319.2595527604</v>
      </c>
      <c r="I471" s="11">
        <f>IF($A471&gt;'1-Input'!$B$26,0,IF(N470&lt;=0,0,MAX(0,(N470-O470)/N470)))</f>
        <v>0.50946895910003398</v>
      </c>
      <c r="J471" s="18">
        <f>IF($A471&gt;'1-Input'!$B$26,0,(MAX(0,I451-IF($A471&gt;=('1-Input'!$C$12+1),'1-Input'!$B$12,0))-MIN(MAX(M470,0),MAX(0,I451-IF($A471&gt;=('1-Input'!$C$12+1),'1-Input'!$B$12,0))))*(1/(1-'P-Parametri'!$B$6*I471))+MIN(MAX(0,N470-(MAX(0,I451-IF($A471&gt;=('1-Input'!$C$12+1),'1-Input'!$B$12,0))-MIN(MAX(M470,0),MAX(0,I451-IF($A471&gt;=('1-Input'!$C$12+1),'1-Input'!$B$12,0))))*(1/(1-'P-Parametri'!$B$6*I471))),MAX(0,0*I451-(M470-MIN(MAX(M470,0),MAX(0,I451-IF($A471&gt;=('1-Input'!$C$12+1),'1-Input'!$B$12,0)))))*(1/(1-'P-Parametri'!$B$6*I471))))</f>
        <v>25300.050494485713</v>
      </c>
      <c r="K471" s="18">
        <f>IF($A471&gt;'1-Input'!$B$26,M470,(M470-MAX(0,I451-IF($A471&gt;=('1-Input'!$C$12+1),'1-Input'!$B$12,0))+J471*(1-'P-Parametri'!$B$6*I471))*(1+'1-Input'!$B$27))</f>
        <v>-3.6248820833861826E-12</v>
      </c>
      <c r="L471" s="18">
        <f>IF($A471&gt;'1-Input'!$B$26,N470,(N470-J471)*(1+'5-Roberta'!$C$4))</f>
        <v>148528.71233976577</v>
      </c>
      <c r="M471" s="18">
        <f>IF($A471&gt;'1-Input'!$B$26,K471,K471-'P-Parametri'!$B$8*(L471+K471)+MIN(MAX(L471,0),'P-Parametri'!$B$8*(L471+K471)))</f>
        <v>-3.637978807091713E-12</v>
      </c>
      <c r="N471" s="18">
        <f>IF($A471&gt;'1-Input'!$B$26,L471,L471-MIN(MAX(L471,0),'P-Parametri'!$B$8*(L471+K471)))</f>
        <v>148231.65491508623</v>
      </c>
      <c r="O471" s="18">
        <f>IF($A471&gt;'1-Input'!$B$26,O470,O470-J471*(1-I471))</f>
        <v>70735.867832579534</v>
      </c>
      <c r="P471" s="11">
        <f>IF($A471&gt;'1-Input'!$B$26,0,IF(U470&lt;=0,0,MAX(0,(U470-V470)/U470)))</f>
        <v>0.50946895910003376</v>
      </c>
      <c r="Q471" s="18">
        <f>IF($A471&gt;'1-Input'!$B$26,0,(MAX(0,P451-IF($A471&gt;=('1-Input'!$C$12+1),'1-Input'!$B$12,0))-MIN(MAX(T470,0),MAX(0,P451-IF($A471&gt;=('1-Input'!$C$12+1),'1-Input'!$B$12,0))))*(1/(1-'P-Parametri'!$B$6*P471))+MIN(MAX(0,U470-(MAX(0,P451-IF($A471&gt;=('1-Input'!$C$12+1),'1-Input'!$B$12,0))-MIN(MAX(T470,0),MAX(0,P451-IF($A471&gt;=('1-Input'!$C$12+1),'1-Input'!$B$12,0))))*(1/(1-'P-Parametri'!$B$6*P471))),MAX(0,0*P451-(T470-MIN(MAX(T470,0),MAX(0,P451-IF($A471&gt;=('1-Input'!$C$12+1),'1-Input'!$B$12,0)))))*(1/(1-'P-Parametri'!$B$6*P471))))</f>
        <v>21723.582366746923</v>
      </c>
      <c r="R471" s="18">
        <f>IF($A471&gt;'1-Input'!$B$26,T470,(T470-MAX(0,P451-IF($A471&gt;=('1-Input'!$C$12+1),'1-Input'!$B$12,0))+Q471*(1-'P-Parametri'!$B$6*P471))*(1+'1-Input'!$B$27))</f>
        <v>3.6248820833861826E-12</v>
      </c>
      <c r="S471" s="18">
        <f>IF($A471&gt;'1-Input'!$B$26,U470,(U470-Q471)*(1+'5-Roberta'!$C$4))</f>
        <v>229640.94061328837</v>
      </c>
      <c r="T471" s="18">
        <f>IF($A471&gt;'1-Input'!$B$26,R471,R471-'P-Parametri'!$B$8*(S471+R471)+MIN(MAX(S471,0),'P-Parametri'!$B$8*(S471+R471)))</f>
        <v>3.637978807091713E-12</v>
      </c>
      <c r="U471" s="18">
        <f>IF($A471&gt;'1-Input'!$B$26,S471,S471-MIN(MAX(S471,0),'P-Parametri'!$B$8*(S471+R471)))</f>
        <v>229181.6587320618</v>
      </c>
      <c r="V471" s="18">
        <f>IF($A471&gt;'1-Input'!$B$26,V470,V470-Q471*(1-P471))</f>
        <v>109365.05789542105</v>
      </c>
      <c r="W471" s="11">
        <f>IF($A471&gt;'1-Input'!$B$26,0,IF(AB470&lt;=0,0,MAX(0,(AB470-AC470)/AB470)))</f>
        <v>0.50946895910003343</v>
      </c>
      <c r="X471" s="18">
        <f>IF($A471&gt;'1-Input'!$B$26,0,(MAX(0,W451-IF($A471&gt;=('1-Input'!$C$12+1),'1-Input'!$B$12,0))-MIN(MAX(AA470,0),MAX(0,W451-IF($A471&gt;=('1-Input'!$C$12+1),'1-Input'!$B$12,0))))*(1/(1-'P-Parametri'!$B$6*W471))+MIN(MAX(0,AB470-(MAX(0,W451-IF($A471&gt;=('1-Input'!$C$12+1),'1-Input'!$B$12,0))-MIN(MAX(AA470,0),MAX(0,W451-IF($A471&gt;=('1-Input'!$C$12+1),'1-Input'!$B$12,0))))*(1/(1-'P-Parametri'!$B$6*W471))),MAX(0,0*W451-(AA470-MIN(MAX(AA470,0),MAX(0,W451-IF($A471&gt;=('1-Input'!$C$12+1),'1-Input'!$B$12,0)))))*(1/(1-'P-Parametri'!$B$6*W471))))</f>
        <v>21444.237182865611</v>
      </c>
      <c r="Y471" s="18">
        <f>IF($A471&gt;'1-Input'!$B$26,AA470,(AA470-MAX(0,W451-IF($A471&gt;=('1-Input'!$C$12+1),'1-Input'!$B$12,0))+X471*(1-'P-Parametri'!$B$6*W471))*(1+'1-Input'!$B$27))</f>
        <v>3.6248820833861826E-12</v>
      </c>
      <c r="Z471" s="18">
        <f>IF($A471&gt;'1-Input'!$B$26,AB470,(AB470-X471)*(1+'5-Roberta'!$C$4))</f>
        <v>235976.32779215195</v>
      </c>
      <c r="AA471" s="18">
        <f>IF($A471&gt;'1-Input'!$B$26,Y471,Y471-'P-Parametri'!$B$8*(Z471+Y471)+MIN(MAX(Z471,0),'P-Parametri'!$B$8*(Z471+Y471)))</f>
        <v>3.637978807091713E-12</v>
      </c>
      <c r="AB471" s="18">
        <f>IF($A471&gt;'1-Input'!$B$26,Z471,Z471-MIN(MAX(Z471,0),'P-Parametri'!$B$8*(Z471+Y471)))</f>
        <v>235504.37513656766</v>
      </c>
      <c r="AC471" s="18">
        <f>IF($A471&gt;'1-Input'!$B$26,AC470,AC470-X471*(1-W471))</f>
        <v>112382.24631032621</v>
      </c>
      <c r="AD471" s="11">
        <f>IF($A471&gt;'1-Input'!$B$26,0,IF(AI470&lt;=0,0,MAX(0,(AI470-AJ470)/AI470)))</f>
        <v>0.50946895910003387</v>
      </c>
      <c r="AE471" s="18">
        <f>IF($A471&gt;'1-Input'!$B$26,0,(MAX(0,AD451-IF($A471&gt;=('1-Input'!$C$12+1),'1-Input'!$B$12,0))-MIN(MAX(AH470,0),MAX(0,AD451-IF($A471&gt;=('1-Input'!$C$12+1),'1-Input'!$B$12,0))))*(1/(1-'P-Parametri'!$B$6*AD471))+MIN(MAX(0,AI470-(MAX(0,AD451-IF($A471&gt;=('1-Input'!$C$12+1),'1-Input'!$B$12,0))-MIN(MAX(AH470,0),MAX(0,AD451-IF($A471&gt;=('1-Input'!$C$12+1),'1-Input'!$B$12,0))))*(1/(1-'P-Parametri'!$B$6*AD471))),MAX(0,0*AD451-(AH470-MIN(MAX(AH470,0),MAX(0,AD451-IF($A471&gt;=('1-Input'!$C$12+1),'1-Input'!$B$12,0)))))*(1/(1-'P-Parametri'!$B$6*AD471))))</f>
        <v>21449.408042352083</v>
      </c>
      <c r="AF471" s="18">
        <f>IF($A471&gt;'1-Input'!$B$26,AH470,(AH470-MAX(0,AD451-IF($A471&gt;=('1-Input'!$C$12+1),'1-Input'!$B$12,0))+AE471*(1-'P-Parametri'!$B$6*AD471))*(1+'1-Input'!$B$27))</f>
        <v>0</v>
      </c>
      <c r="AG471" s="18">
        <f>IF($A471&gt;'1-Input'!$B$26,AI470,(AI470-AE471)*(1+'5-Roberta'!$C$4))</f>
        <v>235859.05569016287</v>
      </c>
      <c r="AH471" s="18">
        <f>IF($A471&gt;'1-Input'!$B$26,AF471,AF471-'P-Parametri'!$B$8*(AG471+AF471)+MIN(MAX(AG471,0),'P-Parametri'!$B$8*(AG471+AF471)))</f>
        <v>0</v>
      </c>
      <c r="AI471" s="18">
        <f>IF($A471&gt;'1-Input'!$B$26,AG471,AG471-MIN(MAX(AG471,0),'P-Parametri'!$B$8*(AG471+AF471)))</f>
        <v>235387.33757878255</v>
      </c>
      <c r="AJ471" s="18">
        <f>IF($A471&gt;'1-Input'!$B$26,AJ470,AJ470-AE471*(1-AD471))</f>
        <v>112326.39620716375</v>
      </c>
      <c r="AK471" s="11">
        <f>IF($A471&gt;'1-Input'!$B$26,0,IF(AP470&lt;=0,0,MAX(0,(AP470-AQ470)/AP470)))</f>
        <v>0.50946895910003376</v>
      </c>
      <c r="AL471" s="18">
        <f>IF($A471&gt;'1-Input'!$B$26,0,(MAX(0,AK451-IF($A471&gt;=('1-Input'!$C$12+1),'1-Input'!$B$12,0))-MIN(MAX(AO470,0),MAX(0,AK451-IF($A471&gt;=('1-Input'!$C$12+1),'1-Input'!$B$12,0))))*(1/(1-'P-Parametri'!$B$6*AK471))+MIN(MAX(0,AP470-(MAX(0,AK451-IF($A471&gt;=('1-Input'!$C$12+1),'1-Input'!$B$12,0))-MIN(MAX(AO470,0),MAX(0,AK451-IF($A471&gt;=('1-Input'!$C$12+1),'1-Input'!$B$12,0))))*(1/(1-'P-Parametri'!$B$6*AK471))),MAX(0,0*AK451-(AO470-MIN(MAX(AO470,0),MAX(0,AK451-IF($A471&gt;=('1-Input'!$C$12+1),'1-Input'!$B$12,0)))))*(1/(1-'P-Parametri'!$B$6*AK471))))</f>
        <v>21448.585390218694</v>
      </c>
      <c r="AM471" s="18">
        <f>IF($A471&gt;'1-Input'!$B$26,AO470,(AO470-MAX(0,AK451-IF($A471&gt;=('1-Input'!$C$12+1),'1-Input'!$B$12,0))+AL471*(1-'P-Parametri'!$B$6*AK471))*(1+'1-Input'!$B$27))</f>
        <v>0</v>
      </c>
      <c r="AN471" s="18">
        <f>IF($A471&gt;'1-Input'!$B$26,AP470,(AP470-AL471)*(1+'5-Roberta'!$C$4))</f>
        <v>235877.71296467228</v>
      </c>
      <c r="AO471" s="18">
        <f>IF($A471&gt;'1-Input'!$B$26,AM471,AM471-'P-Parametri'!$B$8*(AN471+AM471)+MIN(MAX(AN471,0),'P-Parametri'!$B$8*(AN471+AM471)))</f>
        <v>0</v>
      </c>
      <c r="AP471" s="18">
        <f>IF($A471&gt;'1-Input'!$B$26,AN471,AN471-MIN(MAX(AN471,0),'P-Parametri'!$B$8*(AN471+AM471)))</f>
        <v>235405.95753874292</v>
      </c>
      <c r="AQ471" s="18">
        <f>IF($A471&gt;'1-Input'!$B$26,AQ470,AQ470-AL471*(1-AK471))</f>
        <v>112335.28161714964</v>
      </c>
    </row>
    <row r="472" spans="1:43">
      <c r="A472" s="10">
        <f>19</f>
        <v>19</v>
      </c>
      <c r="B472" s="11">
        <f>IF($A472&gt;'1-Input'!$B$26,0,IF(G471&lt;=0,0,MAX(0,(G471-H471)/G471)))</f>
        <v>0.52280187472034689</v>
      </c>
      <c r="C472" s="18">
        <f>IF($A472&gt;'1-Input'!$B$26,0,(MAX(0,B451-IF($A472&gt;=('1-Input'!$C$12+1),'1-Input'!$B$12,0))-MIN(MAX(F471,0),MAX(0,B451-IF($A472&gt;=('1-Input'!$C$12+1),'1-Input'!$B$12,0))))*(1/(1-'P-Parametri'!$B$6*B472))+MIN(MAX(0,G471-(MAX(0,B451-IF($A472&gt;=('1-Input'!$C$12+1),'1-Input'!$B$12,0))-MIN(MAX(F471,0),MAX(0,B451-IF($A472&gt;=('1-Input'!$C$12+1),'1-Input'!$B$12,0))))*(1/(1-'P-Parametri'!$B$6*B472))),MAX(0,0*B451-(F471-MIN(MAX(F471,0),MAX(0,B451-IF($A472&gt;=('1-Input'!$C$12+1),'1-Input'!$B$12,0)))))*(1/(1-'P-Parametri'!$B$6*B472))))</f>
        <v>19305.179110649275</v>
      </c>
      <c r="D472" s="18">
        <f>IF($A472&gt;'1-Input'!$B$26,F471,(F471-MAX(0,B451-IF($A472&gt;=('1-Input'!$C$12+1),'1-Input'!$B$12,0))+C472*(1-'P-Parametri'!$B$6*B472))*(1+'1-Input'!$B$27))</f>
        <v>0</v>
      </c>
      <c r="E472" s="18">
        <f>IF($A472&gt;'1-Input'!$B$26,G471,(G471-C472)*(1+'5-Roberta'!$C$4))</f>
        <v>274351.60212424659</v>
      </c>
      <c r="F472" s="18">
        <f>IF($A472&gt;'1-Input'!$B$26,D472,D472-'P-Parametri'!$B$8*(E472+D472)+MIN(MAX(E472,0),'P-Parametri'!$B$8*(E472+D472)))</f>
        <v>0</v>
      </c>
      <c r="G472" s="18">
        <f>IF($A472&gt;'1-Input'!$B$26,E472,E472-MIN(MAX(E472,0),'P-Parametri'!$B$8*(E472+D472)))</f>
        <v>273802.89891999809</v>
      </c>
      <c r="H472" s="18">
        <f>IF($A472&gt;'1-Input'!$B$26,H471,H471-C472*(1-B472))</f>
        <v>127106.86427297065</v>
      </c>
      <c r="I472" s="11">
        <f>IF($A472&gt;'1-Input'!$B$26,0,IF(N471&lt;=0,0,MAX(0,(N471-O471)/N471)))</f>
        <v>0.52280187472034756</v>
      </c>
      <c r="J472" s="18">
        <f>IF($A472&gt;'1-Input'!$B$26,0,(MAX(0,I451-IF($A472&gt;=('1-Input'!$C$12+1),'1-Input'!$B$12,0))-MIN(MAX(M471,0),MAX(0,I451-IF($A472&gt;=('1-Input'!$C$12+1),'1-Input'!$B$12,0))))*(1/(1-'P-Parametri'!$B$6*I472))+MIN(MAX(0,N471-(MAX(0,I451-IF($A472&gt;=('1-Input'!$C$12+1),'1-Input'!$B$12,0))-MIN(MAX(M471,0),MAX(0,I451-IF($A472&gt;=('1-Input'!$C$12+1),'1-Input'!$B$12,0))))*(1/(1-'P-Parametri'!$B$6*I472))),MAX(0,0*I451-(M471-MIN(MAX(M471,0),MAX(0,I451-IF($A472&gt;=('1-Input'!$C$12+1),'1-Input'!$B$12,0)))))*(1/(1-'P-Parametri'!$B$6*I472))))</f>
        <v>25401.551461380641</v>
      </c>
      <c r="K472" s="18">
        <f>IF($A472&gt;'1-Input'!$B$26,M471,(M471-MAX(0,I451-IF($A472&gt;=('1-Input'!$C$12+1),'1-Input'!$B$12,0))+J472*(1-'P-Parametri'!$B$6*I472))*(1+'1-Input'!$B$27))</f>
        <v>0</v>
      </c>
      <c r="L472" s="18">
        <f>IF($A472&gt;'1-Input'!$B$26,N471,(N471-J472)*(1+'5-Roberta'!$C$4))</f>
        <v>126515.00655731675</v>
      </c>
      <c r="M472" s="18">
        <f>IF($A472&gt;'1-Input'!$B$26,K472,K472-'P-Parametri'!$B$8*(L472+K472)+MIN(MAX(L472,0),'P-Parametri'!$B$8*(L472+K472)))</f>
        <v>0</v>
      </c>
      <c r="N472" s="18">
        <f>IF($A472&gt;'1-Input'!$B$26,L472,L472-MIN(MAX(L472,0),'P-Parametri'!$B$8*(L472+K472)))</f>
        <v>126261.97654420212</v>
      </c>
      <c r="O472" s="18">
        <f>IF($A472&gt;'1-Input'!$B$26,O471,O471-J472*(1-I472))</f>
        <v>58614.295096014073</v>
      </c>
      <c r="P472" s="11">
        <f>IF($A472&gt;'1-Input'!$B$26,0,IF(U471&lt;=0,0,MAX(0,(U471-V471)/U471)))</f>
        <v>0.52280187472034723</v>
      </c>
      <c r="Q472" s="18">
        <f>IF($A472&gt;'1-Input'!$B$26,0,(MAX(0,P451-IF($A472&gt;=('1-Input'!$C$12+1),'1-Input'!$B$12,0))-MIN(MAX(T471,0),MAX(0,P451-IF($A472&gt;=('1-Input'!$C$12+1),'1-Input'!$B$12,0))))*(1/(1-'P-Parametri'!$B$6*P472))+MIN(MAX(0,U471-(MAX(0,P451-IF($A472&gt;=('1-Input'!$C$12+1),'1-Input'!$B$12,0))-MIN(MAX(T471,0),MAX(0,P451-IF($A472&gt;=('1-Input'!$C$12+1),'1-Input'!$B$12,0))))*(1/(1-'P-Parametri'!$B$6*P472))),MAX(0,0*P451-(T471-MIN(MAX(T471,0),MAX(0,P451-IF($A472&gt;=('1-Input'!$C$12+1),'1-Input'!$B$12,0)))))*(1/(1-'P-Parametri'!$B$6*P472))))</f>
        <v>21810.734944372278</v>
      </c>
      <c r="R472" s="18">
        <f>IF($A472&gt;'1-Input'!$B$26,T471,(T471-MAX(0,P451-IF($A472&gt;=('1-Input'!$C$12+1),'1-Input'!$B$12,0))+Q472*(1-'P-Parametri'!$B$6*P472))*(1+'1-Input'!$B$27))</f>
        <v>0</v>
      </c>
      <c r="S472" s="18">
        <f>IF($A472&gt;'1-Input'!$B$26,U471,(U471-Q472)*(1+'5-Roberta'!$C$4))</f>
        <v>213592.05150132024</v>
      </c>
      <c r="T472" s="18">
        <f>IF($A472&gt;'1-Input'!$B$26,R472,R472-'P-Parametri'!$B$8*(S472+R472)+MIN(MAX(S472,0),'P-Parametri'!$B$8*(S472+R472)))</f>
        <v>0</v>
      </c>
      <c r="U472" s="18">
        <f>IF($A472&gt;'1-Input'!$B$26,S472,S472-MIN(MAX(S472,0),'P-Parametri'!$B$8*(S472+R472)))</f>
        <v>213164.86739831761</v>
      </c>
      <c r="V472" s="18">
        <f>IF($A472&gt;'1-Input'!$B$26,V471,V471-Q472*(1-P472))</f>
        <v>98957.016068995188</v>
      </c>
      <c r="W472" s="11">
        <f>IF($A472&gt;'1-Input'!$B$26,0,IF(AB471&lt;=0,0,MAX(0,(AB471-AC471)/AB471)))</f>
        <v>0.522801874720347</v>
      </c>
      <c r="X472" s="18">
        <f>IF($A472&gt;'1-Input'!$B$26,0,(MAX(0,W451-IF($A472&gt;=('1-Input'!$C$12+1),'1-Input'!$B$12,0))-MIN(MAX(AA471,0),MAX(0,W451-IF($A472&gt;=('1-Input'!$C$12+1),'1-Input'!$B$12,0))))*(1/(1-'P-Parametri'!$B$6*W472))+MIN(MAX(0,AB471-(MAX(0,W451-IF($A472&gt;=('1-Input'!$C$12+1),'1-Input'!$B$12,0))-MIN(MAX(AA471,0),MAX(0,W451-IF($A472&gt;=('1-Input'!$C$12+1),'1-Input'!$B$12,0))))*(1/(1-'P-Parametri'!$B$6*W472))),MAX(0,0*W451-(AA471-MIN(MAX(AA471,0),MAX(0,W451-IF($A472&gt;=('1-Input'!$C$12+1),'1-Input'!$B$12,0)))))*(1/(1-'P-Parametri'!$B$6*W472))))</f>
        <v>21530.269058922899</v>
      </c>
      <c r="Y472" s="18">
        <f>IF($A472&gt;'1-Input'!$B$26,AA471,(AA471-MAX(0,W451-IF($A472&gt;=('1-Input'!$C$12+1),'1-Input'!$B$12,0))+X472*(1-'P-Parametri'!$B$6*W472))*(1+'1-Input'!$B$27))</f>
        <v>0</v>
      </c>
      <c r="Z472" s="18">
        <f>IF($A472&gt;'1-Input'!$B$26,AB471,(AB471-X472)*(1+'5-Roberta'!$C$4))</f>
        <v>220393.32925997413</v>
      </c>
      <c r="AA472" s="18">
        <f>IF($A472&gt;'1-Input'!$B$26,Y472,Y472-'P-Parametri'!$B$8*(Z472+Y472)+MIN(MAX(Z472,0),'P-Parametri'!$B$8*(Z472+Y472)))</f>
        <v>0</v>
      </c>
      <c r="AB472" s="18">
        <f>IF($A472&gt;'1-Input'!$B$26,Z472,Z472-MIN(MAX(Z472,0),'P-Parametri'!$B$8*(Z472+Y472)))</f>
        <v>219952.54260145419</v>
      </c>
      <c r="AC472" s="18">
        <f>IF($A472&gt;'1-Input'!$B$26,AC471,AC471-X472*(1-W472))</f>
        <v>102108.04227864169</v>
      </c>
      <c r="AD472" s="11">
        <f>IF($A472&gt;'1-Input'!$B$26,0,IF(AI471&lt;=0,0,MAX(0,(AI471-AJ471)/AI471)))</f>
        <v>0.52280187472034745</v>
      </c>
      <c r="AE472" s="18">
        <f>IF($A472&gt;'1-Input'!$B$26,0,(MAX(0,AD451-IF($A472&gt;=('1-Input'!$C$12+1),'1-Input'!$B$12,0))-MIN(MAX(AH471,0),MAX(0,AD451-IF($A472&gt;=('1-Input'!$C$12+1),'1-Input'!$B$12,0))))*(1/(1-'P-Parametri'!$B$6*AD472))+MIN(MAX(0,AI471-(MAX(0,AD451-IF($A472&gt;=('1-Input'!$C$12+1),'1-Input'!$B$12,0))-MIN(MAX(AH471,0),MAX(0,AD451-IF($A472&gt;=('1-Input'!$C$12+1),'1-Input'!$B$12,0))))*(1/(1-'P-Parametri'!$B$6*AD472))),MAX(0,0*AD451-(AH471-MIN(MAX(AH471,0),MAX(0,AD451-IF($A472&gt;=('1-Input'!$C$12+1),'1-Input'!$B$12,0)))))*(1/(1-'P-Parametri'!$B$6*AD472))))</f>
        <v>21535.460663318077</v>
      </c>
      <c r="AF472" s="18">
        <f>IF($A472&gt;'1-Input'!$B$26,AH471,(AH471-MAX(0,AD451-IF($A472&gt;=('1-Input'!$C$12+1),'1-Input'!$B$12,0))+AE472*(1-'P-Parametri'!$B$6*AD472))*(1+'1-Input'!$B$27))</f>
        <v>0</v>
      </c>
      <c r="AG472" s="18">
        <f>IF($A472&gt;'1-Input'!$B$26,AI471,(AI471-AE472)*(1+'5-Roberta'!$C$4))</f>
        <v>220267.4332229284</v>
      </c>
      <c r="AH472" s="18">
        <f>IF($A472&gt;'1-Input'!$B$26,AF472,AF472-'P-Parametri'!$B$8*(AG472+AF472)+MIN(MAX(AG472,0),'P-Parametri'!$B$8*(AG472+AF472)))</f>
        <v>0</v>
      </c>
      <c r="AI472" s="18">
        <f>IF($A472&gt;'1-Input'!$B$26,AG472,AG472-MIN(MAX(AG472,0),'P-Parametri'!$B$8*(AG472+AF472)))</f>
        <v>219826.89835648256</v>
      </c>
      <c r="AJ472" s="18">
        <f>IF($A472&gt;'1-Input'!$B$26,AJ471,AJ471-AE472*(1-AD472))</f>
        <v>102049.71475159466</v>
      </c>
      <c r="AK472" s="11">
        <f>IF($A472&gt;'1-Input'!$B$26,0,IF(AP471&lt;=0,0,MAX(0,(AP471-AQ471)/AP471)))</f>
        <v>0.52280187472034734</v>
      </c>
      <c r="AL472" s="18">
        <f>IF($A472&gt;'1-Input'!$B$26,0,(MAX(0,AK451-IF($A472&gt;=('1-Input'!$C$12+1),'1-Input'!$B$12,0))-MIN(MAX(AO471,0),MAX(0,AK451-IF($A472&gt;=('1-Input'!$C$12+1),'1-Input'!$B$12,0))))*(1/(1-'P-Parametri'!$B$6*AK472))+MIN(MAX(0,AP471-(MAX(0,AK451-IF($A472&gt;=('1-Input'!$C$12+1),'1-Input'!$B$12,0))-MIN(MAX(AO471,0),MAX(0,AK451-IF($A472&gt;=('1-Input'!$C$12+1),'1-Input'!$B$12,0))))*(1/(1-'P-Parametri'!$B$6*AK472))),MAX(0,0*AK451-(AO471-MIN(MAX(AO471,0),MAX(0,AK451-IF($A472&gt;=('1-Input'!$C$12+1),'1-Input'!$B$12,0)))))*(1/(1-'P-Parametri'!$B$6*AK472))))</f>
        <v>21534.634710796534</v>
      </c>
      <c r="AM472" s="18">
        <f>IF($A472&gt;'1-Input'!$B$26,AO471,(AO471-MAX(0,AK451-IF($A472&gt;=('1-Input'!$C$12+1),'1-Input'!$B$12,0))+AL472*(1-'P-Parametri'!$B$6*AK472))*(1+'1-Input'!$B$27))</f>
        <v>0</v>
      </c>
      <c r="AN472" s="18">
        <f>IF($A472&gt;'1-Input'!$B$26,AP471,(AP471-AL472)*(1+'5-Roberta'!$C$4))</f>
        <v>220287.46251278478</v>
      </c>
      <c r="AO472" s="18">
        <f>IF($A472&gt;'1-Input'!$B$26,AM472,AM472-'P-Parametri'!$B$8*(AN472+AM472)+MIN(MAX(AN472,0),'P-Parametri'!$B$8*(AN472+AM472)))</f>
        <v>0</v>
      </c>
      <c r="AP472" s="18">
        <f>IF($A472&gt;'1-Input'!$B$26,AN472,AN472-MIN(MAX(AN472,0),'P-Parametri'!$B$8*(AN472+AM472)))</f>
        <v>219846.88758775921</v>
      </c>
      <c r="AQ472" s="18">
        <f>IF($A472&gt;'1-Input'!$B$26,AQ471,AQ471-AL472*(1-AK472))</f>
        <v>102058.9943045754</v>
      </c>
    </row>
    <row r="473" spans="1:43">
      <c r="A473" s="10">
        <f>20</f>
        <v>20</v>
      </c>
      <c r="B473" s="11">
        <f>IF($A473&gt;'1-Input'!$B$26,0,IF(G472&lt;=0,0,MAX(0,(G472-H472)/G472)))</f>
        <v>0.53577239403111743</v>
      </c>
      <c r="C473" s="18">
        <f>IF($A473&gt;'1-Input'!$B$26,0,(MAX(0,B451-IF($A473&gt;=('1-Input'!$C$12+1),'1-Input'!$B$12,0))-MIN(MAX(F472,0),MAX(0,B451-IF($A473&gt;=('1-Input'!$C$12+1),'1-Input'!$B$12,0))))*(1/(1-'P-Parametri'!$B$6*B473))+MIN(MAX(0,G472-(MAX(0,B451-IF($A473&gt;=('1-Input'!$C$12+1),'1-Input'!$B$12,0))-MIN(MAX(F472,0),MAX(0,B451-IF($A473&gt;=('1-Input'!$C$12+1),'1-Input'!$B$12,0))))*(1/(1-'P-Parametri'!$B$6*B473))),MAX(0,0*B451-(F472-MIN(MAX(F472,0),MAX(0,B451-IF($A473&gt;=('1-Input'!$C$12+1),'1-Input'!$B$12,0)))))*(1/(1-'P-Parametri'!$B$6*B473))))</f>
        <v>19380.819396239931</v>
      </c>
      <c r="D473" s="18">
        <f>IF($A473&gt;'1-Input'!$B$26,F472,(F472-MAX(0,B451-IF($A473&gt;=('1-Input'!$C$12+1),'1-Input'!$B$12,0))+C473*(1-'P-Parametri'!$B$6*B473))*(1+'1-Input'!$B$27))</f>
        <v>0</v>
      </c>
      <c r="E473" s="18">
        <f>IF($A473&gt;'1-Input'!$B$26,G472,(G472-C473)*(1+'5-Roberta'!$C$4))</f>
        <v>262054.7419094709</v>
      </c>
      <c r="F473" s="18">
        <f>IF($A473&gt;'1-Input'!$B$26,D473,D473-'P-Parametri'!$B$8*(E473+D473)+MIN(MAX(E473,0),'P-Parametri'!$B$8*(E473+D473)))</f>
        <v>0</v>
      </c>
      <c r="G473" s="18">
        <f>IF($A473&gt;'1-Input'!$B$26,E473,E473-MIN(MAX(E473,0),'P-Parametri'!$B$8*(E473+D473)))</f>
        <v>261530.63242565197</v>
      </c>
      <c r="H473" s="18">
        <f>IF($A473&gt;'1-Input'!$B$26,H472,H472-C473*(1-B473))</f>
        <v>118109.7528829389</v>
      </c>
      <c r="I473" s="11">
        <f>IF($A473&gt;'1-Input'!$B$26,0,IF(N472&lt;=0,0,MAX(0,(N472-O472)/N472)))</f>
        <v>0.53577239403111809</v>
      </c>
      <c r="J473" s="18">
        <f>IF($A473&gt;'1-Input'!$B$26,0,(MAX(0,I451-IF($A473&gt;=('1-Input'!$C$12+1),'1-Input'!$B$12,0))-MIN(MAX(M472,0),MAX(0,I451-IF($A473&gt;=('1-Input'!$C$12+1),'1-Input'!$B$12,0))))*(1/(1-'P-Parametri'!$B$6*I473))+MIN(MAX(0,N472-(MAX(0,I451-IF($A473&gt;=('1-Input'!$C$12+1),'1-Input'!$B$12,0))-MIN(MAX(M472,0),MAX(0,I451-IF($A473&gt;=('1-Input'!$C$12+1),'1-Input'!$B$12,0))))*(1/(1-'P-Parametri'!$B$6*I473))),MAX(0,0*I451-(M472-MIN(MAX(M472,0),MAX(0,I451-IF($A473&gt;=('1-Input'!$C$12+1),'1-Input'!$B$12,0)))))*(1/(1-'P-Parametri'!$B$6*I473))))</f>
        <v>25501.078152947288</v>
      </c>
      <c r="K473" s="18">
        <f>IF($A473&gt;'1-Input'!$B$26,M472,(M472-MAX(0,I451-IF($A473&gt;=('1-Input'!$C$12+1),'1-Input'!$B$12,0))+J473*(1-'P-Parametri'!$B$6*I473))*(1+'1-Input'!$B$27))</f>
        <v>0</v>
      </c>
      <c r="L473" s="18">
        <f>IF($A473&gt;'1-Input'!$B$26,N472,(N472-J473)*(1+'5-Roberta'!$C$4))</f>
        <v>103783.72534299247</v>
      </c>
      <c r="M473" s="18">
        <f>IF($A473&gt;'1-Input'!$B$26,K473,K473-'P-Parametri'!$B$8*(L473+K473)+MIN(MAX(L473,0),'P-Parametri'!$B$8*(L473+K473)))</f>
        <v>0</v>
      </c>
      <c r="N473" s="18">
        <f>IF($A473&gt;'1-Input'!$B$26,L473,L473-MIN(MAX(L473,0),'P-Parametri'!$B$8*(L473+K473)))</f>
        <v>103576.1578923065</v>
      </c>
      <c r="O473" s="18">
        <f>IF($A473&gt;'1-Input'!$B$26,O472,O472-J473*(1-I473))</f>
        <v>46775.990635445996</v>
      </c>
      <c r="P473" s="11">
        <f>IF($A473&gt;'1-Input'!$B$26,0,IF(U472&lt;=0,0,MAX(0,(U472-V472)/U472)))</f>
        <v>0.53577239403111787</v>
      </c>
      <c r="Q473" s="18">
        <f>IF($A473&gt;'1-Input'!$B$26,0,(MAX(0,P451-IF($A473&gt;=('1-Input'!$C$12+1),'1-Input'!$B$12,0))-MIN(MAX(T472,0),MAX(0,P451-IF($A473&gt;=('1-Input'!$C$12+1),'1-Input'!$B$12,0))))*(1/(1-'P-Parametri'!$B$6*P473))+MIN(MAX(0,U472-(MAX(0,P451-IF($A473&gt;=('1-Input'!$C$12+1),'1-Input'!$B$12,0))-MIN(MAX(T472,0),MAX(0,P451-IF($A473&gt;=('1-Input'!$C$12+1),'1-Input'!$B$12,0))))*(1/(1-'P-Parametri'!$B$6*P473))),MAX(0,0*P451-(T472-MIN(MAX(T472,0),MAX(0,P451-IF($A473&gt;=('1-Input'!$C$12+1),'1-Input'!$B$12,0)))))*(1/(1-'P-Parametri'!$B$6*P473))))</f>
        <v>21896.192334364809</v>
      </c>
      <c r="R473" s="18">
        <f>IF($A473&gt;'1-Input'!$B$26,T472,(T472-MAX(0,P451-IF($A473&gt;=('1-Input'!$C$12+1),'1-Input'!$B$12,0))+Q473*(1-'P-Parametri'!$B$6*P473))*(1+'1-Input'!$B$27))</f>
        <v>-3.6248820833861826E-12</v>
      </c>
      <c r="S473" s="18">
        <f>IF($A473&gt;'1-Input'!$B$26,U472,(U472-Q473)*(1+'5-Roberta'!$C$4))</f>
        <v>197006.7353158714</v>
      </c>
      <c r="T473" s="18">
        <f>IF($A473&gt;'1-Input'!$B$26,R473,R473-'P-Parametri'!$B$8*(S473+R473)+MIN(MAX(S473,0),'P-Parametri'!$B$8*(S473+R473)))</f>
        <v>-3.637978807091713E-12</v>
      </c>
      <c r="U473" s="18">
        <f>IF($A473&gt;'1-Input'!$B$26,S473,S473-MIN(MAX(S473,0),'P-Parametri'!$B$8*(S473+R473)))</f>
        <v>196612.72184523966</v>
      </c>
      <c r="V473" s="18">
        <f>IF($A473&gt;'1-Input'!$B$26,V472,V472-Q473*(1-P473))</f>
        <v>88792.199121778831</v>
      </c>
      <c r="W473" s="11">
        <f>IF($A473&gt;'1-Input'!$B$26,0,IF(AB472&lt;=0,0,MAX(0,(AB472-AC472)/AB472)))</f>
        <v>0.53577239403111765</v>
      </c>
      <c r="X473" s="18">
        <f>IF($A473&gt;'1-Input'!$B$26,0,(MAX(0,W451-IF($A473&gt;=('1-Input'!$C$12+1),'1-Input'!$B$12,0))-MIN(MAX(AA472,0),MAX(0,W451-IF($A473&gt;=('1-Input'!$C$12+1),'1-Input'!$B$12,0))))*(1/(1-'P-Parametri'!$B$6*W473))+MIN(MAX(0,AB472-(MAX(0,W451-IF($A473&gt;=('1-Input'!$C$12+1),'1-Input'!$B$12,0))-MIN(MAX(AA472,0),MAX(0,W451-IF($A473&gt;=('1-Input'!$C$12+1),'1-Input'!$B$12,0))))*(1/(1-'P-Parametri'!$B$6*W473))),MAX(0,0*W451-(AA472-MIN(MAX(AA472,0),MAX(0,W451-IF($A473&gt;=('1-Input'!$C$12+1),'1-Input'!$B$12,0)))))*(1/(1-'P-Parametri'!$B$6*W473))))</f>
        <v>21614.62754589297</v>
      </c>
      <c r="Y473" s="18">
        <f>IF($A473&gt;'1-Input'!$B$26,AA472,(AA472-MAX(0,W451-IF($A473&gt;=('1-Input'!$C$12+1),'1-Input'!$B$12,0))+X473*(1-'P-Parametri'!$B$6*W473))*(1+'1-Input'!$B$27))</f>
        <v>0</v>
      </c>
      <c r="Z473" s="18">
        <f>IF($A473&gt;'1-Input'!$B$26,AB472,(AB472-X473)*(1+'5-Roberta'!$C$4))</f>
        <v>204288.05250722807</v>
      </c>
      <c r="AA473" s="18">
        <f>IF($A473&gt;'1-Input'!$B$26,Y473,Y473-'P-Parametri'!$B$8*(Z473+Y473)+MIN(MAX(Z473,0),'P-Parametri'!$B$8*(Z473+Y473)))</f>
        <v>0</v>
      </c>
      <c r="AB473" s="18">
        <f>IF($A473&gt;'1-Input'!$B$26,Z473,Z473-MIN(MAX(Z473,0),'P-Parametri'!$B$8*(Z473+Y473)))</f>
        <v>203879.47640221362</v>
      </c>
      <c r="AC473" s="18">
        <f>IF($A473&gt;'1-Input'!$B$26,AC472,AC472-X473*(1-W473))</f>
        <v>92073.935479102744</v>
      </c>
      <c r="AD473" s="11">
        <f>IF($A473&gt;'1-Input'!$B$26,0,IF(AI472&lt;=0,0,MAX(0,(AI472-AJ472)/AI472)))</f>
        <v>0.53577239403111798</v>
      </c>
      <c r="AE473" s="18">
        <f>IF($A473&gt;'1-Input'!$B$26,0,(MAX(0,AD451-IF($A473&gt;=('1-Input'!$C$12+1),'1-Input'!$B$12,0))-MIN(MAX(AH472,0),MAX(0,AD451-IF($A473&gt;=('1-Input'!$C$12+1),'1-Input'!$B$12,0))))*(1/(1-'P-Parametri'!$B$6*AD473))+MIN(MAX(0,AI472-(MAX(0,AD451-IF($A473&gt;=('1-Input'!$C$12+1),'1-Input'!$B$12,0))-MIN(MAX(AH472,0),MAX(0,AD451-IF($A473&gt;=('1-Input'!$C$12+1),'1-Input'!$B$12,0))))*(1/(1-'P-Parametri'!$B$6*AD473))),MAX(0,0*AD451-(AH472-MIN(MAX(AH472,0),MAX(0,AD451-IF($A473&gt;=('1-Input'!$C$12+1),'1-Input'!$B$12,0)))))*(1/(1-'P-Parametri'!$B$6*AD473))))</f>
        <v>21619.839491691706</v>
      </c>
      <c r="AF473" s="18">
        <f>IF($A473&gt;'1-Input'!$B$26,AH472,(AH472-MAX(0,AD451-IF($A473&gt;=('1-Input'!$C$12+1),'1-Input'!$B$12,0))+AE473*(1-'P-Parametri'!$B$6*AD473))*(1+'1-Input'!$B$27))</f>
        <v>0</v>
      </c>
      <c r="AG473" s="18">
        <f>IF($A473&gt;'1-Input'!$B$26,AI472,(AI472-AE473)*(1+'5-Roberta'!$C$4))</f>
        <v>204153.27063073459</v>
      </c>
      <c r="AH473" s="18">
        <f>IF($A473&gt;'1-Input'!$B$26,AF473,AF473-'P-Parametri'!$B$8*(AG473+AF473)+MIN(MAX(AG473,0),'P-Parametri'!$B$8*(AG473+AF473)))</f>
        <v>0</v>
      </c>
      <c r="AI473" s="18">
        <f>IF($A473&gt;'1-Input'!$B$26,AG473,AG473-MIN(MAX(AG473,0),'P-Parametri'!$B$8*(AG473+AF473)))</f>
        <v>203744.96408947313</v>
      </c>
      <c r="AJ473" s="18">
        <f>IF($A473&gt;'1-Input'!$B$26,AJ472,AJ472-AE473*(1-AD473))</f>
        <v>92013.188422935127</v>
      </c>
      <c r="AK473" s="11">
        <f>IF($A473&gt;'1-Input'!$B$26,0,IF(AP472&lt;=0,0,MAX(0,(AP472-AQ472)/AP472)))</f>
        <v>0.53577239403111787</v>
      </c>
      <c r="AL473" s="18">
        <f>IF($A473&gt;'1-Input'!$B$26,0,(MAX(0,AK451-IF($A473&gt;=('1-Input'!$C$12+1),'1-Input'!$B$12,0))-MIN(MAX(AO472,0),MAX(0,AK451-IF($A473&gt;=('1-Input'!$C$12+1),'1-Input'!$B$12,0))))*(1/(1-'P-Parametri'!$B$6*AK473))+MIN(MAX(0,AP472-(MAX(0,AK451-IF($A473&gt;=('1-Input'!$C$12+1),'1-Input'!$B$12,0))-MIN(MAX(AO472,0),MAX(0,AK451-IF($A473&gt;=('1-Input'!$C$12+1),'1-Input'!$B$12,0))))*(1/(1-'P-Parametri'!$B$6*AK473))),MAX(0,0*AK451-(AO472-MIN(MAX(AO472,0),MAX(0,AK451-IF($A473&gt;=('1-Input'!$C$12+1),'1-Input'!$B$12,0)))))*(1/(1-'P-Parametri'!$B$6*AK473))))</f>
        <v>21619.010302977204</v>
      </c>
      <c r="AM473" s="18">
        <f>IF($A473&gt;'1-Input'!$B$26,AO472,(AO472-MAX(0,AK451-IF($A473&gt;=('1-Input'!$C$12+1),'1-Input'!$B$12,0))+AL473*(1-'P-Parametri'!$B$6*AK473))*(1+'1-Input'!$B$27))</f>
        <v>-3.6248820833861826E-12</v>
      </c>
      <c r="AN473" s="18">
        <f>IF($A473&gt;'1-Input'!$B$26,AP472,(AP472-AL473)*(1+'5-Roberta'!$C$4))</f>
        <v>204174.71360332548</v>
      </c>
      <c r="AO473" s="18">
        <f>IF($A473&gt;'1-Input'!$B$26,AM473,AM473-'P-Parametri'!$B$8*(AN473+AM473)+MIN(MAX(AN473,0),'P-Parametri'!$B$8*(AN473+AM473)))</f>
        <v>-3.637978807091713E-12</v>
      </c>
      <c r="AP473" s="18">
        <f>IF($A473&gt;'1-Input'!$B$26,AN473,AN473-MIN(MAX(AN473,0),'P-Parametri'!$B$8*(AN473+AM473)))</f>
        <v>203766.36417611883</v>
      </c>
      <c r="AQ473" s="18">
        <f>IF($A473&gt;'1-Input'!$B$26,AQ472,AQ472-AL473*(1-AK473))</f>
        <v>92022.8529082077</v>
      </c>
    </row>
    <row r="474" spans="1:43">
      <c r="A474" s="10">
        <f>21</f>
        <v>21</v>
      </c>
      <c r="B474" s="11">
        <f>IF($A474&gt;'1-Input'!$B$26,0,IF(G473&lt;=0,0,MAX(0,(G473-H473)/G473)))</f>
        <v>0.5483903671723227</v>
      </c>
      <c r="C474" s="18">
        <f>IF($A474&gt;'1-Input'!$B$26,0,(MAX(0,B451-IF($A474&gt;=('1-Input'!$C$12+1),'1-Input'!$B$12,0))-MIN(MAX(F473,0),MAX(0,B451-IF($A474&gt;=('1-Input'!$C$12+1),'1-Input'!$B$12,0))))*(1/(1-'P-Parametri'!$B$6*B474))+MIN(MAX(0,G473-(MAX(0,B451-IF($A474&gt;=('1-Input'!$C$12+1),'1-Input'!$B$12,0))-MIN(MAX(F473,0),MAX(0,B451-IF($A474&gt;=('1-Input'!$C$12+1),'1-Input'!$B$12,0))))*(1/(1-'P-Parametri'!$B$6*B474))),MAX(0,0*B451-(F473-MIN(MAX(F473,0),MAX(0,B451-IF($A474&gt;=('1-Input'!$C$12+1),'1-Input'!$B$12,0)))))*(1/(1-'P-Parametri'!$B$6*B474))))</f>
        <v>19454.974701844756</v>
      </c>
      <c r="D474" s="18">
        <f>IF($A474&gt;'1-Input'!$B$26,F473,(F473-MAX(0,B451-IF($A474&gt;=('1-Input'!$C$12+1),'1-Input'!$B$12,0))+C474*(1-'P-Parametri'!$B$6*B474))*(1+'1-Input'!$B$27))</f>
        <v>0</v>
      </c>
      <c r="E474" s="18">
        <f>IF($A474&gt;'1-Input'!$B$26,G473,(G473-C474)*(1+'5-Roberta'!$C$4))</f>
        <v>249337.92745552142</v>
      </c>
      <c r="F474" s="18">
        <f>IF($A474&gt;'1-Input'!$B$26,D474,D474-'P-Parametri'!$B$8*(E474+D474)+MIN(MAX(E474,0),'P-Parametri'!$B$8*(E474+D474)))</f>
        <v>0</v>
      </c>
      <c r="G474" s="18">
        <f>IF($A474&gt;'1-Input'!$B$26,E474,E474-MIN(MAX(E474,0),'P-Parametri'!$B$8*(E474+D474)))</f>
        <v>248839.25160061038</v>
      </c>
      <c r="H474" s="18">
        <f>IF($A474&gt;'1-Input'!$B$26,H473,H473-C474*(1-B474))</f>
        <v>109323.69890116704</v>
      </c>
      <c r="I474" s="11">
        <f>IF($A474&gt;'1-Input'!$B$26,0,IF(N473&lt;=0,0,MAX(0,(N473-O473)/N473)))</f>
        <v>0.54839036717232337</v>
      </c>
      <c r="J474" s="18">
        <f>IF($A474&gt;'1-Input'!$B$26,0,(MAX(0,I451-IF($A474&gt;=('1-Input'!$C$12+1),'1-Input'!$B$12,0))-MIN(MAX(M473,0),MAX(0,I451-IF($A474&gt;=('1-Input'!$C$12+1),'1-Input'!$B$12,0))))*(1/(1-'P-Parametri'!$B$6*I474))+MIN(MAX(0,N473-(MAX(0,I451-IF($A474&gt;=('1-Input'!$C$12+1),'1-Input'!$B$12,0))-MIN(MAX(M473,0),MAX(0,I451-IF($A474&gt;=('1-Input'!$C$12+1),'1-Input'!$B$12,0))))*(1/(1-'P-Parametri'!$B$6*I474))),MAX(0,0*I451-(M473-MIN(MAX(M473,0),MAX(0,I451-IF($A474&gt;=('1-Input'!$C$12+1),'1-Input'!$B$12,0)))))*(1/(1-'P-Parametri'!$B$6*I474))))</f>
        <v>25598.650923479952</v>
      </c>
      <c r="K474" s="18">
        <f>IF($A474&gt;'1-Input'!$B$26,M473,(M473-MAX(0,I451-IF($A474&gt;=('1-Input'!$C$12+1),'1-Input'!$B$12,0))+J474*(1-'P-Parametri'!$B$6*I474))*(1+'1-Input'!$B$27))</f>
        <v>0</v>
      </c>
      <c r="L474" s="18">
        <f>IF($A474&gt;'1-Input'!$B$26,N473,(N473-J474)*(1+'5-Roberta'!$C$4))</f>
        <v>80316.832177891352</v>
      </c>
      <c r="M474" s="18">
        <f>IF($A474&gt;'1-Input'!$B$26,K474,K474-'P-Parametri'!$B$8*(L474+K474)+MIN(MAX(L474,0),'P-Parametri'!$B$8*(L474+K474)))</f>
        <v>0</v>
      </c>
      <c r="N474" s="18">
        <f>IF($A474&gt;'1-Input'!$B$26,L474,L474-MIN(MAX(L474,0),'P-Parametri'!$B$8*(L474+K474)))</f>
        <v>80156.198513535564</v>
      </c>
      <c r="O474" s="18">
        <f>IF($A474&gt;'1-Input'!$B$26,O473,O473-J474*(1-I474))</f>
        <v>35215.39329100935</v>
      </c>
      <c r="P474" s="11">
        <f>IF($A474&gt;'1-Input'!$B$26,0,IF(U473&lt;=0,0,MAX(0,(U473-V473)/U473)))</f>
        <v>0.54839036717232326</v>
      </c>
      <c r="Q474" s="18">
        <f>IF($A474&gt;'1-Input'!$B$26,0,(MAX(0,P451-IF($A474&gt;=('1-Input'!$C$12+1),'1-Input'!$B$12,0))-MIN(MAX(T473,0),MAX(0,P451-IF($A474&gt;=('1-Input'!$C$12+1),'1-Input'!$B$12,0))))*(1/(1-'P-Parametri'!$B$6*P474))+MIN(MAX(0,U473-(MAX(0,P451-IF($A474&gt;=('1-Input'!$C$12+1),'1-Input'!$B$12,0))-MIN(MAX(T473,0),MAX(0,P451-IF($A474&gt;=('1-Input'!$C$12+1),'1-Input'!$B$12,0))))*(1/(1-'P-Parametri'!$B$6*P474))),MAX(0,0*P451-(T473-MIN(MAX(T473,0),MAX(0,P451-IF($A474&gt;=('1-Input'!$C$12+1),'1-Input'!$B$12,0)))))*(1/(1-'P-Parametri'!$B$6*P474))))</f>
        <v>21979.972013693128</v>
      </c>
      <c r="R474" s="18">
        <f>IF($A474&gt;'1-Input'!$B$26,T473,(T473-MAX(0,P451-IF($A474&gt;=('1-Input'!$C$12+1),'1-Input'!$B$12,0))+Q474*(1-'P-Parametri'!$B$6*P474))*(1+'1-Input'!$B$27))</f>
        <v>3.6248820833861826E-12</v>
      </c>
      <c r="S474" s="18">
        <f>IF($A474&gt;'1-Input'!$B$26,U473,(U473-Q474)*(1+'5-Roberta'!$C$4))</f>
        <v>179871.73232649293</v>
      </c>
      <c r="T474" s="18">
        <f>IF($A474&gt;'1-Input'!$B$26,R474,R474-'P-Parametri'!$B$8*(S474+R474)+MIN(MAX(S474,0),'P-Parametri'!$B$8*(S474+R474)))</f>
        <v>3.637978807091713E-12</v>
      </c>
      <c r="U474" s="18">
        <f>IF($A474&gt;'1-Input'!$B$26,S474,S474-MIN(MAX(S474,0),'P-Parametri'!$B$8*(S474+R474)))</f>
        <v>179511.98886183996</v>
      </c>
      <c r="V474" s="18">
        <f>IF($A474&gt;'1-Input'!$B$26,V473,V473-Q474*(1-P474))</f>
        <v>78865.832031112266</v>
      </c>
      <c r="W474" s="11">
        <f>IF($A474&gt;'1-Input'!$B$26,0,IF(AB473&lt;=0,0,MAX(0,(AB473-AC473)/AB473)))</f>
        <v>0.54839036717232292</v>
      </c>
      <c r="X474" s="18">
        <f>IF($A474&gt;'1-Input'!$B$26,0,(MAX(0,W451-IF($A474&gt;=('1-Input'!$C$12+1),'1-Input'!$B$12,0))-MIN(MAX(AA473,0),MAX(0,W451-IF($A474&gt;=('1-Input'!$C$12+1),'1-Input'!$B$12,0))))*(1/(1-'P-Parametri'!$B$6*W474))+MIN(MAX(0,AB473-(MAX(0,W451-IF($A474&gt;=('1-Input'!$C$12+1),'1-Input'!$B$12,0))-MIN(MAX(AA473,0),MAX(0,W451-IF($A474&gt;=('1-Input'!$C$12+1),'1-Input'!$B$12,0))))*(1/(1-'P-Parametri'!$B$6*W474))),MAX(0,0*W451-(AA473-MIN(MAX(AA473,0),MAX(0,W451-IF($A474&gt;=('1-Input'!$C$12+1),'1-Input'!$B$12,0)))))*(1/(1-'P-Parametri'!$B$6*W474))))</f>
        <v>21697.32989600677</v>
      </c>
      <c r="Y474" s="18">
        <f>IF($A474&gt;'1-Input'!$B$26,AA473,(AA473-MAX(0,W451-IF($A474&gt;=('1-Input'!$C$12+1),'1-Input'!$B$12,0))+X474*(1-'P-Parametri'!$B$6*W474))*(1+'1-Input'!$B$27))</f>
        <v>0</v>
      </c>
      <c r="Z474" s="18">
        <f>IF($A474&gt;'1-Input'!$B$26,AB473,(AB473-X474)*(1+'5-Roberta'!$C$4))</f>
        <v>187647.61090139308</v>
      </c>
      <c r="AA474" s="18">
        <f>IF($A474&gt;'1-Input'!$B$26,Y474,Y474-'P-Parametri'!$B$8*(Z474+Y474)+MIN(MAX(Z474,0),'P-Parametri'!$B$8*(Z474+Y474)))</f>
        <v>0</v>
      </c>
      <c r="AB474" s="18">
        <f>IF($A474&gt;'1-Input'!$B$26,Z474,Z474-MIN(MAX(Z474,0),'P-Parametri'!$B$8*(Z474+Y474)))</f>
        <v>187272.31567959031</v>
      </c>
      <c r="AC474" s="18">
        <f>IF($A474&gt;'1-Input'!$B$26,AC473,AC473-X474*(1-W474))</f>
        <v>82275.212291426142</v>
      </c>
      <c r="AD474" s="11">
        <f>IF($A474&gt;'1-Input'!$B$26,0,IF(AI473&lt;=0,0,MAX(0,(AI473-AJ473)/AI473)))</f>
        <v>0.54839036717232337</v>
      </c>
      <c r="AE474" s="18">
        <f>IF($A474&gt;'1-Input'!$B$26,0,(MAX(0,AD451-IF($A474&gt;=('1-Input'!$C$12+1),'1-Input'!$B$12,0))-MIN(MAX(AH473,0),MAX(0,AD451-IF($A474&gt;=('1-Input'!$C$12+1),'1-Input'!$B$12,0))))*(1/(1-'P-Parametri'!$B$6*AD474))+MIN(MAX(0,AI473-(MAX(0,AD451-IF($A474&gt;=('1-Input'!$C$12+1),'1-Input'!$B$12,0))-MIN(MAX(AH473,0),MAX(0,AD451-IF($A474&gt;=('1-Input'!$C$12+1),'1-Input'!$B$12,0))))*(1/(1-'P-Parametri'!$B$6*AD474))),MAX(0,0*AD451-(AH473-MIN(MAX(AH473,0),MAX(0,AD451-IF($A474&gt;=('1-Input'!$C$12+1),'1-Input'!$B$12,0)))))*(1/(1-'P-Parametri'!$B$6*AD474))))</f>
        <v>21702.56178386397</v>
      </c>
      <c r="AF474" s="18">
        <f>IF($A474&gt;'1-Input'!$B$26,AH473,(AH473-MAX(0,AD451-IF($A474&gt;=('1-Input'!$C$12+1),'1-Input'!$B$12,0))+AE474*(1-'P-Parametri'!$B$6*AD474))*(1+'1-Input'!$B$27))</f>
        <v>-3.6248820833861826E-12</v>
      </c>
      <c r="AG474" s="18">
        <f>IF($A474&gt;'1-Input'!$B$26,AI473,(AI473-AE474)*(1+'5-Roberta'!$C$4))</f>
        <v>187503.67437477745</v>
      </c>
      <c r="AH474" s="18">
        <f>IF($A474&gt;'1-Input'!$B$26,AF474,AF474-'P-Parametri'!$B$8*(AG474+AF474)+MIN(MAX(AG474,0),'P-Parametri'!$B$8*(AG474+AF474)))</f>
        <v>-3.637978807091713E-12</v>
      </c>
      <c r="AI474" s="18">
        <f>IF($A474&gt;'1-Input'!$B$26,AG474,AG474-MIN(MAX(AG474,0),'P-Parametri'!$B$8*(AG474+AF474)))</f>
        <v>187128.66702602789</v>
      </c>
      <c r="AJ474" s="18">
        <f>IF($A474&gt;'1-Input'!$B$26,AJ473,AJ473-AE474*(1-AD474))</f>
        <v>82212.102464304349</v>
      </c>
      <c r="AK474" s="11">
        <f>IF($A474&gt;'1-Input'!$B$26,0,IF(AP473&lt;=0,0,MAX(0,(AP473-AQ473)/AP473)))</f>
        <v>0.54839036717232326</v>
      </c>
      <c r="AL474" s="18">
        <f>IF($A474&gt;'1-Input'!$B$26,0,(MAX(0,AK451-IF($A474&gt;=('1-Input'!$C$12+1),'1-Input'!$B$12,0))-MIN(MAX(AO473,0),MAX(0,AK451-IF($A474&gt;=('1-Input'!$C$12+1),'1-Input'!$B$12,0))))*(1/(1-'P-Parametri'!$B$6*AK474))+MIN(MAX(0,AP473-(MAX(0,AK451-IF($A474&gt;=('1-Input'!$C$12+1),'1-Input'!$B$12,0))-MIN(MAX(AO473,0),MAX(0,AK451-IF($A474&gt;=('1-Input'!$C$12+1),'1-Input'!$B$12,0))))*(1/(1-'P-Parametri'!$B$6*AK474))),MAX(0,0*AK451-(AO473-MIN(MAX(AO473,0),MAX(0,AK451-IF($A474&gt;=('1-Input'!$C$12+1),'1-Input'!$B$12,0)))))*(1/(1-'P-Parametri'!$B$6*AK474))))</f>
        <v>21701.729422489887</v>
      </c>
      <c r="AM474" s="18">
        <f>IF($A474&gt;'1-Input'!$B$26,AO473,(AO473-MAX(0,AK451-IF($A474&gt;=('1-Input'!$C$12+1),'1-Input'!$B$12,0))+AL474*(1-'P-Parametri'!$B$6*AK474))*(1+'1-Input'!$B$27))</f>
        <v>0</v>
      </c>
      <c r="AN474" s="18">
        <f>IF($A474&gt;'1-Input'!$B$26,AP473,(AP473-AL474)*(1+'5-Roberta'!$C$4))</f>
        <v>187526.57379623782</v>
      </c>
      <c r="AO474" s="18">
        <f>IF($A474&gt;'1-Input'!$B$26,AM474,AM474-'P-Parametri'!$B$8*(AN474+AM474)+MIN(MAX(AN474,0),'P-Parametri'!$B$8*(AN474+AM474)))</f>
        <v>0</v>
      </c>
      <c r="AP474" s="18">
        <f>IF($A474&gt;'1-Input'!$B$26,AN474,AN474-MIN(MAX(AN474,0),'P-Parametri'!$B$8*(AN474+AM474)))</f>
        <v>187151.52064864535</v>
      </c>
      <c r="AQ474" s="18">
        <f>IF($A474&gt;'1-Input'!$B$26,AQ473,AQ473-AL474*(1-AK474))</f>
        <v>82222.142851991448</v>
      </c>
    </row>
    <row r="475" spans="1:43">
      <c r="A475" s="10">
        <f>22</f>
        <v>22</v>
      </c>
      <c r="B475" s="11">
        <f>IF($A475&gt;'1-Input'!$B$26,0,IF(G474&lt;=0,0,MAX(0,(G474-H474)/G474)))</f>
        <v>0.56066537655147464</v>
      </c>
      <c r="C475" s="18">
        <f>IF($A475&gt;'1-Input'!$B$26,0,(MAX(0,B451-IF($A475&gt;=('1-Input'!$C$12+1),'1-Input'!$B$12,0))-MIN(MAX(F474,0),MAX(0,B451-IF($A475&gt;=('1-Input'!$C$12+1),'1-Input'!$B$12,0))))*(1/(1-'P-Parametri'!$B$6*B475))+MIN(MAX(0,G474-(MAX(0,B451-IF($A475&gt;=('1-Input'!$C$12+1),'1-Input'!$B$12,0))-MIN(MAX(F474,0),MAX(0,B451-IF($A475&gt;=('1-Input'!$C$12+1),'1-Input'!$B$12,0))))*(1/(1-'P-Parametri'!$B$6*B475))),MAX(0,0*B451-(F474-MIN(MAX(F474,0),MAX(0,B451-IF($A475&gt;=('1-Input'!$C$12+1),'1-Input'!$B$12,0)))))*(1/(1-'P-Parametri'!$B$6*B475))))</f>
        <v>19527.661000745451</v>
      </c>
      <c r="D475" s="18">
        <f>IF($A475&gt;'1-Input'!$B$26,F474,(F474-MAX(0,B451-IF($A475&gt;=('1-Input'!$C$12+1),'1-Input'!$B$12,0))+C475*(1-'P-Parametri'!$B$6*B475))*(1+'1-Input'!$B$27))</f>
        <v>0</v>
      </c>
      <c r="E475" s="18">
        <f>IF($A475&gt;'1-Input'!$B$26,G474,(G474-C475)*(1+'5-Roberta'!$C$4))</f>
        <v>236190.93831786088</v>
      </c>
      <c r="F475" s="18">
        <f>IF($A475&gt;'1-Input'!$B$26,D475,D475-'P-Parametri'!$B$8*(E475+D475)+MIN(MAX(E475,0),'P-Parametri'!$B$8*(E475+D475)))</f>
        <v>0</v>
      </c>
      <c r="G475" s="18">
        <f>IF($A475&gt;'1-Input'!$B$26,E475,E475-MIN(MAX(E475,0),'P-Parametri'!$B$8*(E475+D475)))</f>
        <v>235718.55644122517</v>
      </c>
      <c r="H475" s="18">
        <f>IF($A475&gt;'1-Input'!$B$26,H474,H474-C475*(1-B475))</f>
        <v>100744.52130857408</v>
      </c>
      <c r="I475" s="11">
        <f>IF($A475&gt;'1-Input'!$B$26,0,IF(N474&lt;=0,0,MAX(0,(N474-O474)/N474)))</f>
        <v>0.56066537655147519</v>
      </c>
      <c r="J475" s="18">
        <f>IF($A475&gt;'1-Input'!$B$26,0,(MAX(0,I451-IF($A475&gt;=('1-Input'!$C$12+1),'1-Input'!$B$12,0))-MIN(MAX(M474,0),MAX(0,I451-IF($A475&gt;=('1-Input'!$C$12+1),'1-Input'!$B$12,0))))*(1/(1-'P-Parametri'!$B$6*I475))+MIN(MAX(0,N474-(MAX(0,I451-IF($A475&gt;=('1-Input'!$C$12+1),'1-Input'!$B$12,0))-MIN(MAX(M474,0),MAX(0,I451-IF($A475&gt;=('1-Input'!$C$12+1),'1-Input'!$B$12,0))))*(1/(1-'P-Parametri'!$B$6*I475))),MAX(0,0*I451-(M474-MIN(MAX(M474,0),MAX(0,I451-IF($A475&gt;=('1-Input'!$C$12+1),'1-Input'!$B$12,0)))))*(1/(1-'P-Parametri'!$B$6*I475))))</f>
        <v>25694.290790454546</v>
      </c>
      <c r="K475" s="18">
        <f>IF($A475&gt;'1-Input'!$B$26,M474,(M474-MAX(0,I451-IF($A475&gt;=('1-Input'!$C$12+1),'1-Input'!$B$12,0))+J475*(1-'P-Parametri'!$B$6*I475))*(1+'1-Input'!$B$27))</f>
        <v>0</v>
      </c>
      <c r="L475" s="18">
        <f>IF($A475&gt;'1-Input'!$B$26,N474,(N474-J475)*(1+'5-Roberta'!$C$4))</f>
        <v>56095.764954773455</v>
      </c>
      <c r="M475" s="18">
        <f>IF($A475&gt;'1-Input'!$B$26,K475,K475-'P-Parametri'!$B$8*(L475+K475)+MIN(MAX(L475,0),'P-Parametri'!$B$8*(L475+K475)))</f>
        <v>0</v>
      </c>
      <c r="N475" s="18">
        <f>IF($A475&gt;'1-Input'!$B$26,L475,L475-MIN(MAX(L475,0),'P-Parametri'!$B$8*(L475+K475)))</f>
        <v>55983.573424863906</v>
      </c>
      <c r="O475" s="18">
        <f>IF($A475&gt;'1-Input'!$B$26,O474,O474-J475*(1-I475))</f>
        <v>23927.001721808105</v>
      </c>
      <c r="P475" s="11">
        <f>IF($A475&gt;'1-Input'!$B$26,0,IF(U474&lt;=0,0,MAX(0,(U474-V474)/U474)))</f>
        <v>0.56066537655147508</v>
      </c>
      <c r="Q475" s="18">
        <f>IF($A475&gt;'1-Input'!$B$26,0,(MAX(0,P451-IF($A475&gt;=('1-Input'!$C$12+1),'1-Input'!$B$12,0))-MIN(MAX(T474,0),MAX(0,P451-IF($A475&gt;=('1-Input'!$C$12+1),'1-Input'!$B$12,0))))*(1/(1-'P-Parametri'!$B$6*P475))+MIN(MAX(0,U474-(MAX(0,P451-IF($A475&gt;=('1-Input'!$C$12+1),'1-Input'!$B$12,0))-MIN(MAX(T474,0),MAX(0,P451-IF($A475&gt;=('1-Input'!$C$12+1),'1-Input'!$B$12,0))))*(1/(1-'P-Parametri'!$B$6*P475))),MAX(0,0*P451-(T474-MIN(MAX(T474,0),MAX(0,P451-IF($A475&gt;=('1-Input'!$C$12+1),'1-Input'!$B$12,0)))))*(1/(1-'P-Parametri'!$B$6*P475))))</f>
        <v>22062.092028758711</v>
      </c>
      <c r="R475" s="18">
        <f>IF($A475&gt;'1-Input'!$B$26,T474,(T474-MAX(0,P451-IF($A475&gt;=('1-Input'!$C$12+1),'1-Input'!$B$12,0))+Q475*(1-'P-Parametri'!$B$6*P475))*(1+'1-Input'!$B$27))</f>
        <v>0</v>
      </c>
      <c r="S475" s="18">
        <f>IF($A475&gt;'1-Input'!$B$26,U474,(U474-Q475)*(1+'5-Roberta'!$C$4))</f>
        <v>162173.39373807368</v>
      </c>
      <c r="T475" s="18">
        <f>IF($A475&gt;'1-Input'!$B$26,R475,R475-'P-Parametri'!$B$8*(S475+R475)+MIN(MAX(S475,0),'P-Parametri'!$B$8*(S475+R475)))</f>
        <v>0</v>
      </c>
      <c r="U475" s="18">
        <f>IF($A475&gt;'1-Input'!$B$26,S475,S475-MIN(MAX(S475,0),'P-Parametri'!$B$8*(S475+R475)))</f>
        <v>161849.04695059752</v>
      </c>
      <c r="V475" s="18">
        <f>IF($A475&gt;'1-Input'!$B$26,V474,V474-Q475*(1-P475))</f>
        <v>69173.191137170856</v>
      </c>
      <c r="W475" s="11">
        <f>IF($A475&gt;'1-Input'!$B$26,0,IF(AB474&lt;=0,0,MAX(0,(AB474-AC474)/AB474)))</f>
        <v>0.56066537655147486</v>
      </c>
      <c r="X475" s="18">
        <f>IF($A475&gt;'1-Input'!$B$26,0,(MAX(0,W451-IF($A475&gt;=('1-Input'!$C$12+1),'1-Input'!$B$12,0))-MIN(MAX(AA474,0),MAX(0,W451-IF($A475&gt;=('1-Input'!$C$12+1),'1-Input'!$B$12,0))))*(1/(1-'P-Parametri'!$B$6*W475))+MIN(MAX(0,AB474-(MAX(0,W451-IF($A475&gt;=('1-Input'!$C$12+1),'1-Input'!$B$12,0))-MIN(MAX(AA474,0),MAX(0,W451-IF($A475&gt;=('1-Input'!$C$12+1),'1-Input'!$B$12,0))))*(1/(1-'P-Parametri'!$B$6*W475))),MAX(0,0*W451-(AA474-MIN(MAX(AA474,0),MAX(0,W451-IF($A475&gt;=('1-Input'!$C$12+1),'1-Input'!$B$12,0)))))*(1/(1-'P-Parametri'!$B$6*W475))))</f>
        <v>21778.39392360577</v>
      </c>
      <c r="Y475" s="18">
        <f>IF($A475&gt;'1-Input'!$B$26,AA474,(AA474-MAX(0,W451-IF($A475&gt;=('1-Input'!$C$12+1),'1-Input'!$B$12,0))+X475*(1-'P-Parametri'!$B$6*W475))*(1+'1-Input'!$B$27))</f>
        <v>0</v>
      </c>
      <c r="Z475" s="18">
        <f>IF($A475&gt;'1-Input'!$B$26,AB474,(AB474-X475)*(1+'5-Roberta'!$C$4))</f>
        <v>170458.73940866409</v>
      </c>
      <c r="AA475" s="18">
        <f>IF($A475&gt;'1-Input'!$B$26,Y475,Y475-'P-Parametri'!$B$8*(Z475+Y475)+MIN(MAX(Z475,0),'P-Parametri'!$B$8*(Z475+Y475)))</f>
        <v>0</v>
      </c>
      <c r="AB475" s="18">
        <f>IF($A475&gt;'1-Input'!$B$26,Z475,Z475-MIN(MAX(Z475,0),'P-Parametri'!$B$8*(Z475+Y475)))</f>
        <v>170117.82192984674</v>
      </c>
      <c r="AC475" s="18">
        <f>IF($A475&gt;'1-Input'!$B$26,AC474,AC474-X475*(1-W475))</f>
        <v>72707.209797685151</v>
      </c>
      <c r="AD475" s="11">
        <f>IF($A475&gt;'1-Input'!$B$26,0,IF(AI474&lt;=0,0,MAX(0,(AI474-AJ474)/AI474)))</f>
        <v>0.56066537655147519</v>
      </c>
      <c r="AE475" s="18">
        <f>IF($A475&gt;'1-Input'!$B$26,0,(MAX(0,AD451-IF($A475&gt;=('1-Input'!$C$12+1),'1-Input'!$B$12,0))-MIN(MAX(AH474,0),MAX(0,AD451-IF($A475&gt;=('1-Input'!$C$12+1),'1-Input'!$B$12,0))))*(1/(1-'P-Parametri'!$B$6*AD475))+MIN(MAX(0,AI474-(MAX(0,AD451-IF($A475&gt;=('1-Input'!$C$12+1),'1-Input'!$B$12,0))-MIN(MAX(AH474,0),MAX(0,AD451-IF($A475&gt;=('1-Input'!$C$12+1),'1-Input'!$B$12,0))))*(1/(1-'P-Parametri'!$B$6*AD475))),MAX(0,0*AD451-(AH474-MIN(MAX(AH474,0),MAX(0,AD451-IF($A475&gt;=('1-Input'!$C$12+1),'1-Input'!$B$12,0)))))*(1/(1-'P-Parametri'!$B$6*AD475))))</f>
        <v>21783.64535847192</v>
      </c>
      <c r="AF475" s="18">
        <f>IF($A475&gt;'1-Input'!$B$26,AH474,(AH474-MAX(0,AD451-IF($A475&gt;=('1-Input'!$C$12+1),'1-Input'!$B$12,0))+AE475*(1-'P-Parametri'!$B$6*AD475))*(1+'1-Input'!$B$27))</f>
        <v>0</v>
      </c>
      <c r="AG475" s="18">
        <f>IF($A475&gt;'1-Input'!$B$26,AI474,(AI474-AE475)*(1+'5-Roberta'!$C$4))</f>
        <v>170305.37231758266</v>
      </c>
      <c r="AH475" s="18">
        <f>IF($A475&gt;'1-Input'!$B$26,AF475,AF475-'P-Parametri'!$B$8*(AG475+AF475)+MIN(MAX(AG475,0),'P-Parametri'!$B$8*(AG475+AF475)))</f>
        <v>0</v>
      </c>
      <c r="AI475" s="18">
        <f>IF($A475&gt;'1-Input'!$B$26,AG475,AG475-MIN(MAX(AG475,0),'P-Parametri'!$B$8*(AG475+AF475)))</f>
        <v>169964.76157294749</v>
      </c>
      <c r="AJ475" s="18">
        <f>IF($A475&gt;'1-Input'!$B$26,AJ474,AJ474-AE475*(1-AD475))</f>
        <v>72641.792833403888</v>
      </c>
      <c r="AK475" s="11">
        <f>IF($A475&gt;'1-Input'!$B$26,0,IF(AP474&lt;=0,0,MAX(0,(AP474-AQ474)/AP474)))</f>
        <v>0.56066537655147508</v>
      </c>
      <c r="AL475" s="18">
        <f>IF($A475&gt;'1-Input'!$B$26,0,(MAX(0,AK451-IF($A475&gt;=('1-Input'!$C$12+1),'1-Input'!$B$12,0))-MIN(MAX(AO474,0),MAX(0,AK451-IF($A475&gt;=('1-Input'!$C$12+1),'1-Input'!$B$12,0))))*(1/(1-'P-Parametri'!$B$6*AK475))+MIN(MAX(0,AP474-(MAX(0,AK451-IF($A475&gt;=('1-Input'!$C$12+1),'1-Input'!$B$12,0))-MIN(MAX(AO474,0),MAX(0,AK451-IF($A475&gt;=('1-Input'!$C$12+1),'1-Input'!$B$12,0))))*(1/(1-'P-Parametri'!$B$6*AK475))),MAX(0,0*AK451-(AO474-MIN(MAX(AO474,0),MAX(0,AK451-IF($A475&gt;=('1-Input'!$C$12+1),'1-Input'!$B$12,0)))))*(1/(1-'P-Parametri'!$B$6*AK475))))</f>
        <v>21782.8098872882</v>
      </c>
      <c r="AM475" s="18">
        <f>IF($A475&gt;'1-Input'!$B$26,AO474,(AO474-MAX(0,AK451-IF($A475&gt;=('1-Input'!$C$12+1),'1-Input'!$B$12,0))+AL475*(1-'P-Parametri'!$B$6*AK475))*(1+'1-Input'!$B$27))</f>
        <v>0</v>
      </c>
      <c r="AN475" s="18">
        <f>IF($A475&gt;'1-Input'!$B$26,AP474,(AP474-AL475)*(1+'5-Roberta'!$C$4))</f>
        <v>170329.77208419787</v>
      </c>
      <c r="AO475" s="18">
        <f>IF($A475&gt;'1-Input'!$B$26,AM475,AM475-'P-Parametri'!$B$8*(AN475+AM475)+MIN(MAX(AN475,0),'P-Parametri'!$B$8*(AN475+AM475)))</f>
        <v>0</v>
      </c>
      <c r="AP475" s="18">
        <f>IF($A475&gt;'1-Input'!$B$26,AN475,AN475-MIN(MAX(AN475,0),'P-Parametri'!$B$8*(AN475+AM475)))</f>
        <v>169989.11254002948</v>
      </c>
      <c r="AQ475" s="18">
        <f>IF($A475&gt;'1-Input'!$B$26,AQ474,AQ474-AL475*(1-AK475))</f>
        <v>72652.200272508882</v>
      </c>
    </row>
    <row r="476" spans="1:43">
      <c r="A476" s="10">
        <f>23</f>
        <v>23</v>
      </c>
      <c r="B476" s="11">
        <f>IF($A476&gt;'1-Input'!$B$26,0,IF(G475&lt;=0,0,MAX(0,(G475-H475)/G475)))</f>
        <v>0.5726067441207412</v>
      </c>
      <c r="C476" s="18">
        <f>IF($A476&gt;'1-Input'!$B$26,0,(MAX(0,B451-IF($A476&gt;=('1-Input'!$C$12+1),'1-Input'!$B$12,0))-MIN(MAX(F475,0),MAX(0,B451-IF($A476&gt;=('1-Input'!$C$12+1),'1-Input'!$B$12,0))))*(1/(1-'P-Parametri'!$B$6*B476))+MIN(MAX(0,G475-(MAX(0,B451-IF($A476&gt;=('1-Input'!$C$12+1),'1-Input'!$B$12,0))-MIN(MAX(F475,0),MAX(0,B451-IF($A476&gt;=('1-Input'!$C$12+1),'1-Input'!$B$12,0))))*(1/(1-'P-Parametri'!$B$6*B476))),MAX(0,0*B451-(F475-MIN(MAX(F475,0),MAX(0,B451-IF($A476&gt;=('1-Input'!$C$12+1),'1-Input'!$B$12,0)))))*(1/(1-'P-Parametri'!$B$6*B476))))</f>
        <v>19598.894732996658</v>
      </c>
      <c r="D476" s="18">
        <f>IF($A476&gt;'1-Input'!$B$26,F475,(F475-MAX(0,B451-IF($A476&gt;=('1-Input'!$C$12+1),'1-Input'!$B$12,0))+C476*(1-'P-Parametri'!$B$6*B476))*(1+'1-Input'!$B$27))</f>
        <v>0</v>
      </c>
      <c r="E476" s="18">
        <f>IF($A476&gt;'1-Input'!$B$26,G475,(G475-C476)*(1+'5-Roberta'!$C$4))</f>
        <v>222603.25155947538</v>
      </c>
      <c r="F476" s="18">
        <f>IF($A476&gt;'1-Input'!$B$26,D476,D476-'P-Parametri'!$B$8*(E476+D476)+MIN(MAX(E476,0),'P-Parametri'!$B$8*(E476+D476)))</f>
        <v>0</v>
      </c>
      <c r="G476" s="18">
        <f>IF($A476&gt;'1-Input'!$B$26,E476,E476-MIN(MAX(E476,0),'P-Parametri'!$B$8*(E476+D476)))</f>
        <v>222158.04505635644</v>
      </c>
      <c r="H476" s="18">
        <f>IF($A476&gt;'1-Input'!$B$26,H475,H475-C476*(1-B476))</f>
        <v>92368.085877003788</v>
      </c>
      <c r="I476" s="11">
        <f>IF($A476&gt;'1-Input'!$B$26,0,IF(N475&lt;=0,0,MAX(0,(N475-O475)/N475)))</f>
        <v>0.57260674412074164</v>
      </c>
      <c r="J476" s="18">
        <f>IF($A476&gt;'1-Input'!$B$26,0,(MAX(0,I451-IF($A476&gt;=('1-Input'!$C$12+1),'1-Input'!$B$12,0))-MIN(MAX(M475,0),MAX(0,I451-IF($A476&gt;=('1-Input'!$C$12+1),'1-Input'!$B$12,0))))*(1/(1-'P-Parametri'!$B$6*I476))+MIN(MAX(0,N475-(MAX(0,I451-IF($A476&gt;=('1-Input'!$C$12+1),'1-Input'!$B$12,0))-MIN(MAX(M475,0),MAX(0,I451-IF($A476&gt;=('1-Input'!$C$12+1),'1-Input'!$B$12,0))))*(1/(1-'P-Parametri'!$B$6*I476))),MAX(0,0*I451-(M475-MIN(MAX(M475,0),MAX(0,I451-IF($A476&gt;=('1-Input'!$C$12+1),'1-Input'!$B$12,0)))))*(1/(1-'P-Parametri'!$B$6*I476))))</f>
        <v>25788.019385521922</v>
      </c>
      <c r="K476" s="18">
        <f>IF($A476&gt;'1-Input'!$B$26,M475,(M475-MAX(0,I451-IF($A476&gt;=('1-Input'!$C$12+1),'1-Input'!$B$12,0))+J476*(1-'P-Parametri'!$B$6*I476))*(1+'1-Input'!$B$27))</f>
        <v>0</v>
      </c>
      <c r="L476" s="18">
        <f>IF($A476&gt;'1-Input'!$B$26,N475,(N475-J476)*(1+'5-Roberta'!$C$4))</f>
        <v>31101.420660522243</v>
      </c>
      <c r="M476" s="18">
        <f>IF($A476&gt;'1-Input'!$B$26,K476,K476-'P-Parametri'!$B$8*(L476+K476)+MIN(MAX(L476,0),'P-Parametri'!$B$8*(L476+K476)))</f>
        <v>0</v>
      </c>
      <c r="N476" s="18">
        <f>IF($A476&gt;'1-Input'!$B$26,L476,L476-MIN(MAX(L476,0),'P-Parametri'!$B$8*(L476+K476)))</f>
        <v>31039.2178192012</v>
      </c>
      <c r="O476" s="18">
        <f>IF($A476&gt;'1-Input'!$B$26,O475,O475-J476*(1-I476))</f>
        <v>12905.376153952458</v>
      </c>
      <c r="P476" s="11">
        <f>IF($A476&gt;'1-Input'!$B$26,0,IF(U475&lt;=0,0,MAX(0,(U475-V475)/U475)))</f>
        <v>0.57260674412074142</v>
      </c>
      <c r="Q476" s="18">
        <f>IF($A476&gt;'1-Input'!$B$26,0,(MAX(0,P451-IF($A476&gt;=('1-Input'!$C$12+1),'1-Input'!$B$12,0))-MIN(MAX(T475,0),MAX(0,P451-IF($A476&gt;=('1-Input'!$C$12+1),'1-Input'!$B$12,0))))*(1/(1-'P-Parametri'!$B$6*P476))+MIN(MAX(0,U475-(MAX(0,P451-IF($A476&gt;=('1-Input'!$C$12+1),'1-Input'!$B$12,0))-MIN(MAX(T475,0),MAX(0,P451-IF($A476&gt;=('1-Input'!$C$12+1),'1-Input'!$B$12,0))))*(1/(1-'P-Parametri'!$B$6*P476))),MAX(0,0*P451-(T475-MIN(MAX(T475,0),MAX(0,P451-IF($A476&gt;=('1-Input'!$C$12+1),'1-Input'!$B$12,0)))))*(1/(1-'P-Parametri'!$B$6*P476))))</f>
        <v>22142.570953316961</v>
      </c>
      <c r="R476" s="18">
        <f>IF($A476&gt;'1-Input'!$B$26,T475,(T475-MAX(0,P451-IF($A476&gt;=('1-Input'!$C$12+1),'1-Input'!$B$12,0))+Q476*(1-'P-Parametri'!$B$6*P476))*(1+'1-Input'!$B$27))</f>
        <v>0</v>
      </c>
      <c r="S476" s="18">
        <f>IF($A476&gt;'1-Input'!$B$26,U475,(U475-Q476)*(1+'5-Roberta'!$C$4))</f>
        <v>143897.67027719898</v>
      </c>
      <c r="T476" s="18">
        <f>IF($A476&gt;'1-Input'!$B$26,R476,R476-'P-Parametri'!$B$8*(S476+R476)+MIN(MAX(S476,0),'P-Parametri'!$B$8*(S476+R476)))</f>
        <v>0</v>
      </c>
      <c r="U476" s="18">
        <f>IF($A476&gt;'1-Input'!$B$26,S476,S476-MIN(MAX(S476,0),'P-Parametri'!$B$8*(S476+R476)))</f>
        <v>143609.87493664457</v>
      </c>
      <c r="V476" s="18">
        <f>IF($A476&gt;'1-Input'!$B$26,V475,V475-Q476*(1-P476))</f>
        <v>59709.605643895222</v>
      </c>
      <c r="W476" s="11">
        <f>IF($A476&gt;'1-Input'!$B$26,0,IF(AB475&lt;=0,0,MAX(0,(AB475-AC475)/AB475)))</f>
        <v>0.57260674412074131</v>
      </c>
      <c r="X476" s="18">
        <f>IF($A476&gt;'1-Input'!$B$26,0,(MAX(0,W451-IF($A476&gt;=('1-Input'!$C$12+1),'1-Input'!$B$12,0))-MIN(MAX(AA475,0),MAX(0,W451-IF($A476&gt;=('1-Input'!$C$12+1),'1-Input'!$B$12,0))))*(1/(1-'P-Parametri'!$B$6*W476))+MIN(MAX(0,AB475-(MAX(0,W451-IF($A476&gt;=('1-Input'!$C$12+1),'1-Input'!$B$12,0))-MIN(MAX(AA475,0),MAX(0,W451-IF($A476&gt;=('1-Input'!$C$12+1),'1-Input'!$B$12,0))))*(1/(1-'P-Parametri'!$B$6*W476))),MAX(0,0*W451-(AA475-MIN(MAX(AA475,0),MAX(0,W451-IF($A476&gt;=('1-Input'!$C$12+1),'1-Input'!$B$12,0)))))*(1/(1-'P-Parametri'!$B$6*W476))))</f>
        <v>21857.837963604015</v>
      </c>
      <c r="Y476" s="18">
        <f>IF($A476&gt;'1-Input'!$B$26,AA475,(AA475-MAX(0,W451-IF($A476&gt;=('1-Input'!$C$12+1),'1-Input'!$B$12,0))+X476*(1-'P-Parametri'!$B$6*W476))*(1+'1-Input'!$B$27))</f>
        <v>3.6248820833861826E-12</v>
      </c>
      <c r="Z476" s="18">
        <f>IF($A476&gt;'1-Input'!$B$26,AB475,(AB475-X476)*(1+'5-Roberta'!$C$4))</f>
        <v>152707.78348523</v>
      </c>
      <c r="AA476" s="18">
        <f>IF($A476&gt;'1-Input'!$B$26,Y476,Y476-'P-Parametri'!$B$8*(Z476+Y476)+MIN(MAX(Z476,0),'P-Parametri'!$B$8*(Z476+Y476)))</f>
        <v>3.637978807091713E-12</v>
      </c>
      <c r="AB476" s="18">
        <f>IF($A476&gt;'1-Input'!$B$26,Z476,Z476-MIN(MAX(Z476,0),'P-Parametri'!$B$8*(Z476+Y476)))</f>
        <v>152402.36791825955</v>
      </c>
      <c r="AC476" s="18">
        <f>IF($A476&gt;'1-Input'!$B$26,AC475,AC475-X476*(1-W476))</f>
        <v>63365.317263939163</v>
      </c>
      <c r="AD476" s="11">
        <f>IF($A476&gt;'1-Input'!$B$26,0,IF(AI475&lt;=0,0,MAX(0,(AI475-AJ475)/AI475)))</f>
        <v>0.57260674412074164</v>
      </c>
      <c r="AE476" s="18">
        <f>IF($A476&gt;'1-Input'!$B$26,0,(MAX(0,AD451-IF($A476&gt;=('1-Input'!$C$12+1),'1-Input'!$B$12,0))-MIN(MAX(AH475,0),MAX(0,AD451-IF($A476&gt;=('1-Input'!$C$12+1),'1-Input'!$B$12,0))))*(1/(1-'P-Parametri'!$B$6*AD476))+MIN(MAX(0,AI475-(MAX(0,AD451-IF($A476&gt;=('1-Input'!$C$12+1),'1-Input'!$B$12,0))-MIN(MAX(AH475,0),MAX(0,AD451-IF($A476&gt;=('1-Input'!$C$12+1),'1-Input'!$B$12,0))))*(1/(1-'P-Parametri'!$B$6*AD476))),MAX(0,0*AD451-(AH475-MIN(MAX(AH475,0),MAX(0,AD451-IF($A476&gt;=('1-Input'!$C$12+1),'1-Input'!$B$12,0)))))*(1/(1-'P-Parametri'!$B$6*AD476))))</f>
        <v>21863.108554850704</v>
      </c>
      <c r="AF476" s="18">
        <f>IF($A476&gt;'1-Input'!$B$26,AH475,(AH475-MAX(0,AD451-IF($A476&gt;=('1-Input'!$C$12+1),'1-Input'!$B$12,0))+AE476*(1-'P-Parametri'!$B$6*AD476))*(1+'1-Input'!$B$27))</f>
        <v>0</v>
      </c>
      <c r="AG476" s="18">
        <f>IF($A476&gt;'1-Input'!$B$26,AI475,(AI475-AE476)*(1+'5-Roberta'!$C$4))</f>
        <v>152544.70260863969</v>
      </c>
      <c r="AH476" s="18">
        <f>IF($A476&gt;'1-Input'!$B$26,AF476,AF476-'P-Parametri'!$B$8*(AG476+AF476)+MIN(MAX(AG476,0),'P-Parametri'!$B$8*(AG476+AF476)))</f>
        <v>0</v>
      </c>
      <c r="AI476" s="18">
        <f>IF($A476&gt;'1-Input'!$B$26,AG476,AG476-MIN(MAX(AG476,0),'P-Parametri'!$B$8*(AG476+AF476)))</f>
        <v>152239.61320342243</v>
      </c>
      <c r="AJ476" s="18">
        <f>IF($A476&gt;'1-Input'!$B$26,AJ475,AJ475-AE476*(1-AD476))</f>
        <v>63297.647684504576</v>
      </c>
      <c r="AK476" s="11">
        <f>IF($A476&gt;'1-Input'!$B$26,0,IF(AP475&lt;=0,0,MAX(0,(AP475-AQ475)/AP475)))</f>
        <v>0.57260674412074153</v>
      </c>
      <c r="AL476" s="18">
        <f>IF($A476&gt;'1-Input'!$B$26,0,(MAX(0,AK451-IF($A476&gt;=('1-Input'!$C$12+1),'1-Input'!$B$12,0))-MIN(MAX(AO475,0),MAX(0,AK451-IF($A476&gt;=('1-Input'!$C$12+1),'1-Input'!$B$12,0))))*(1/(1-'P-Parametri'!$B$6*AK476))+MIN(MAX(0,AP475-(MAX(0,AK451-IF($A476&gt;=('1-Input'!$C$12+1),'1-Input'!$B$12,0))-MIN(MAX(AO475,0),MAX(0,AK451-IF($A476&gt;=('1-Input'!$C$12+1),'1-Input'!$B$12,0))))*(1/(1-'P-Parametri'!$B$6*AK476))),MAX(0,0*AK451-(AO475-MIN(MAX(AO475,0),MAX(0,AK451-IF($A476&gt;=('1-Input'!$C$12+1),'1-Input'!$B$12,0)))))*(1/(1-'P-Parametri'!$B$6*AK476))))</f>
        <v>21862.270036003953</v>
      </c>
      <c r="AM476" s="18">
        <f>IF($A476&gt;'1-Input'!$B$26,AO475,(AO475-MAX(0,AK451-IF($A476&gt;=('1-Input'!$C$12+1),'1-Input'!$B$12,0))+AL476*(1-'P-Parametri'!$B$6*AK476))*(1+'1-Input'!$B$27))</f>
        <v>3.6248820833861826E-12</v>
      </c>
      <c r="AN476" s="18">
        <f>IF($A476&gt;'1-Input'!$B$26,AP475,(AP475-AL476)*(1+'5-Roberta'!$C$4))</f>
        <v>152570.6477791463</v>
      </c>
      <c r="AO476" s="18">
        <f>IF($A476&gt;'1-Input'!$B$26,AM476,AM476-'P-Parametri'!$B$8*(AN476+AM476)+MIN(MAX(AN476,0),'P-Parametri'!$B$8*(AN476+AM476)))</f>
        <v>3.637978807091713E-12</v>
      </c>
      <c r="AP476" s="18">
        <f>IF($A476&gt;'1-Input'!$B$26,AN476,AN476-MIN(MAX(AN476,0),'P-Parametri'!$B$8*(AN476+AM476)))</f>
        <v>152265.50648358802</v>
      </c>
      <c r="AQ476" s="18">
        <f>IF($A476&gt;'1-Input'!$B$26,AQ475,AQ475-AL476*(1-AK476))</f>
        <v>63308.413500909599</v>
      </c>
    </row>
    <row r="477" spans="1:43">
      <c r="A477" s="10">
        <f>24</f>
        <v>24</v>
      </c>
      <c r="B477" s="11">
        <f>IF($A477&gt;'1-Input'!$B$26,0,IF(G476&lt;=0,0,MAX(0,(G476-H476)/G476)))</f>
        <v>0.58422353845627284</v>
      </c>
      <c r="C477" s="18">
        <f>IF($A477&gt;'1-Input'!$B$26,0,(MAX(0,B451-IF($A477&gt;=('1-Input'!$C$12+1),'1-Input'!$B$12,0))-MIN(MAX(F476,0),MAX(0,B451-IF($A477&gt;=('1-Input'!$C$12+1),'1-Input'!$B$12,0))))*(1/(1-'P-Parametri'!$B$6*B477))+MIN(MAX(0,G476-(MAX(0,B451-IF($A477&gt;=('1-Input'!$C$12+1),'1-Input'!$B$12,0))-MIN(MAX(F476,0),MAX(0,B451-IF($A477&gt;=('1-Input'!$C$12+1),'1-Input'!$B$12,0))))*(1/(1-'P-Parametri'!$B$6*B477))),MAX(0,0*B451-(F476-MIN(MAX(F476,0),MAX(0,B451-IF($A477&gt;=('1-Input'!$C$12+1),'1-Input'!$B$12,0)))))*(1/(1-'P-Parametri'!$B$6*B477))))</f>
        <v>6578.2843384532953</v>
      </c>
      <c r="D477" s="18">
        <f>IF($A477&gt;'1-Input'!$B$26,F476,(F476-MAX(0,B451-IF($A477&gt;=('1-Input'!$C$12+1),'1-Input'!$B$12,0))+C477*(1-'P-Parametri'!$B$6*B477))*(1+'1-Input'!$B$27))</f>
        <v>0</v>
      </c>
      <c r="E477" s="18">
        <f>IF($A477&gt;'1-Input'!$B$26,G476,(G476-C477)*(1+'5-Roberta'!$C$4))</f>
        <v>222047.15353944025</v>
      </c>
      <c r="F477" s="18">
        <f>IF($A477&gt;'1-Input'!$B$26,D477,D477-'P-Parametri'!$B$8*(E477+D477)+MIN(MAX(E477,0),'P-Parametri'!$B$8*(E477+D477)))</f>
        <v>0</v>
      </c>
      <c r="G477" s="18">
        <f>IF($A477&gt;'1-Input'!$B$26,E477,E477-MIN(MAX(E477,0),'P-Parametri'!$B$8*(E477+D477)))</f>
        <v>221603.05923236135</v>
      </c>
      <c r="H477" s="18">
        <f>IF($A477&gt;'1-Input'!$B$26,H476,H476-C477*(1-B477))</f>
        <v>89632.990091733154</v>
      </c>
      <c r="I477" s="11">
        <f>IF($A477&gt;'1-Input'!$B$26,0,IF(N476&lt;=0,0,MAX(0,(N476-O476)/N476)))</f>
        <v>0.58422353845627351</v>
      </c>
      <c r="J477" s="18">
        <f>IF($A477&gt;'1-Input'!$B$26,0,(MAX(0,I451-IF($A477&gt;=('1-Input'!$C$12+1),'1-Input'!$B$12,0))-MIN(MAX(M476,0),MAX(0,I451-IF($A477&gt;=('1-Input'!$C$12+1),'1-Input'!$B$12,0))))*(1/(1-'P-Parametri'!$B$6*I477))+MIN(MAX(0,N476-(MAX(0,I451-IF($A477&gt;=('1-Input'!$C$12+1),'1-Input'!$B$12,0))-MIN(MAX(M476,0),MAX(0,I451-IF($A477&gt;=('1-Input'!$C$12+1),'1-Input'!$B$12,0))))*(1/(1-'P-Parametri'!$B$6*I477))),MAX(0,0*I451-(M476-MIN(MAX(M476,0),MAX(0,I451-IF($A477&gt;=('1-Input'!$C$12+1),'1-Input'!$B$12,0)))))*(1/(1-'P-Parametri'!$B$6*I477))))</f>
        <v>12789.450476057411</v>
      </c>
      <c r="K477" s="18">
        <f>IF($A477&gt;'1-Input'!$B$26,M476,(M476-MAX(0,I451-IF($A477&gt;=('1-Input'!$C$12+1),'1-Input'!$B$12,0))+J477*(1-'P-Parametri'!$B$6*I477))*(1+'1-Input'!$B$27))</f>
        <v>1.8124410416930913E-12</v>
      </c>
      <c r="L477" s="18">
        <f>IF($A477&gt;'1-Input'!$B$26,N476,(N476-J477)*(1+'5-Roberta'!$C$4))</f>
        <v>18797.260363438101</v>
      </c>
      <c r="M477" s="18">
        <f>IF($A477&gt;'1-Input'!$B$26,K477,K477-'P-Parametri'!$B$8*(L477+K477)+MIN(MAX(L477,0),'P-Parametri'!$B$8*(L477+K477)))</f>
        <v>1.8118839761882555E-12</v>
      </c>
      <c r="N477" s="18">
        <f>IF($A477&gt;'1-Input'!$B$26,L477,L477-MIN(MAX(L477,0),'P-Parametri'!$B$8*(L477+K477)))</f>
        <v>18759.665842711223</v>
      </c>
      <c r="O477" s="18">
        <f>IF($A477&gt;'1-Input'!$B$26,O476,O476-J477*(1-I477))</f>
        <v>7587.8236899285803</v>
      </c>
      <c r="P477" s="11">
        <f>IF($A477&gt;'1-Input'!$B$26,0,IF(U476&lt;=0,0,MAX(0,(U476-V476)/U476)))</f>
        <v>0.58422353845627317</v>
      </c>
      <c r="Q477" s="18">
        <f>IF($A477&gt;'1-Input'!$B$26,0,(MAX(0,P451-IF($A477&gt;=('1-Input'!$C$12+1),'1-Input'!$B$12,0))-MIN(MAX(T476,0),MAX(0,P451-IF($A477&gt;=('1-Input'!$C$12+1),'1-Input'!$B$12,0))))*(1/(1-'P-Parametri'!$B$6*P477))+MIN(MAX(0,U476-(MAX(0,P451-IF($A477&gt;=('1-Input'!$C$12+1),'1-Input'!$B$12,0))-MIN(MAX(T476,0),MAX(0,P451-IF($A477&gt;=('1-Input'!$C$12+1),'1-Input'!$B$12,0))))*(1/(1-'P-Parametri'!$B$6*P477))),MAX(0,0*P451-(T476-MIN(MAX(T476,0),MAX(0,P451-IF($A477&gt;=('1-Input'!$C$12+1),'1-Input'!$B$12,0)))))*(1/(1-'P-Parametri'!$B$6*P477))))</f>
        <v>9131.019416787185</v>
      </c>
      <c r="R477" s="18">
        <f>IF($A477&gt;'1-Input'!$B$26,T476,(T476-MAX(0,P451-IF($A477&gt;=('1-Input'!$C$12+1),'1-Input'!$B$12,0))+Q477*(1-'P-Parametri'!$B$6*P477))*(1+'1-Input'!$B$27))</f>
        <v>0</v>
      </c>
      <c r="S477" s="18">
        <f>IF($A477&gt;'1-Input'!$B$26,U476,(U476-Q477)*(1+'5-Roberta'!$C$4))</f>
        <v>138513.22118545309</v>
      </c>
      <c r="T477" s="18">
        <f>IF($A477&gt;'1-Input'!$B$26,R477,R477-'P-Parametri'!$B$8*(S477+R477)+MIN(MAX(S477,0),'P-Parametri'!$B$8*(S477+R477)))</f>
        <v>0</v>
      </c>
      <c r="U477" s="18">
        <f>IF($A477&gt;'1-Input'!$B$26,S477,S477-MIN(MAX(S477,0),'P-Parametri'!$B$8*(S477+R477)))</f>
        <v>138236.19474308219</v>
      </c>
      <c r="V477" s="18">
        <f>IF($A477&gt;'1-Input'!$B$26,V476,V476-Q477*(1-P477))</f>
        <v>55913.142700496384</v>
      </c>
      <c r="W477" s="11">
        <f>IF($A477&gt;'1-Input'!$B$26,0,IF(AB476&lt;=0,0,MAX(0,(AB476-AC476)/AB476)))</f>
        <v>0.58422353845627317</v>
      </c>
      <c r="X477" s="18">
        <f>IF($A477&gt;'1-Input'!$B$26,0,(MAX(0,W451-IF($A477&gt;=('1-Input'!$C$12+1),'1-Input'!$B$12,0))-MIN(MAX(AA476,0),MAX(0,W451-IF($A477&gt;=('1-Input'!$C$12+1),'1-Input'!$B$12,0))))*(1/(1-'P-Parametri'!$B$6*W477))+MIN(MAX(0,AB476-(MAX(0,W451-IF($A477&gt;=('1-Input'!$C$12+1),'1-Input'!$B$12,0))-MIN(MAX(AA476,0),MAX(0,W451-IF($A477&gt;=('1-Input'!$C$12+1),'1-Input'!$B$12,0))))*(1/(1-'P-Parametri'!$B$6*W477))),MAX(0,0*W451-(AA476-MIN(MAX(AA476,0),MAX(0,W451-IF($A477&gt;=('1-Input'!$C$12+1),'1-Input'!$B$12,0)))))*(1/(1-'P-Parametri'!$B$6*W477))))</f>
        <v>8845.2724003262592</v>
      </c>
      <c r="Y477" s="18">
        <f>IF($A477&gt;'1-Input'!$B$26,AA476,(AA476-MAX(0,W451-IF($A477&gt;=('1-Input'!$C$12+1),'1-Input'!$B$12,0))+X477*(1-'P-Parametri'!$B$6*W477))*(1+'1-Input'!$B$27))</f>
        <v>0</v>
      </c>
      <c r="Z477" s="18">
        <f>IF($A477&gt;'1-Input'!$B$26,AB476,(AB476-X477)*(1+'5-Roberta'!$C$4))</f>
        <v>147863.80838347127</v>
      </c>
      <c r="AA477" s="18">
        <f>IF($A477&gt;'1-Input'!$B$26,Y477,Y477-'P-Parametri'!$B$8*(Z477+Y477)+MIN(MAX(Z477,0),'P-Parametri'!$B$8*(Z477+Y477)))</f>
        <v>0</v>
      </c>
      <c r="AB477" s="18">
        <f>IF($A477&gt;'1-Input'!$B$26,Z477,Z477-MIN(MAX(Z477,0),'P-Parametri'!$B$8*(Z477+Y477)))</f>
        <v>147568.08076670434</v>
      </c>
      <c r="AC477" s="18">
        <f>IF($A477&gt;'1-Input'!$B$26,AC476,AC476-X477*(1-W477))</f>
        <v>59687.661203941127</v>
      </c>
      <c r="AD477" s="11">
        <f>IF($A477&gt;'1-Input'!$B$26,0,IF(AI476&lt;=0,0,MAX(0,(AI476-AJ476)/AI476)))</f>
        <v>0.58422353845627351</v>
      </c>
      <c r="AE477" s="18">
        <f>IF($A477&gt;'1-Input'!$B$26,0,(MAX(0,AD451-IF($A477&gt;=('1-Input'!$C$12+1),'1-Input'!$B$12,0))-MIN(MAX(AH476,0),MAX(0,AD451-IF($A477&gt;=('1-Input'!$C$12+1),'1-Input'!$B$12,0))))*(1/(1-'P-Parametri'!$B$6*AD477))+MIN(MAX(0,AI476-(MAX(0,AD451-IF($A477&gt;=('1-Input'!$C$12+1),'1-Input'!$B$12,0))-MIN(MAX(AH476,0),MAX(0,AD451-IF($A477&gt;=('1-Input'!$C$12+1),'1-Input'!$B$12,0))))*(1/(1-'P-Parametri'!$B$6*AD477))),MAX(0,0*AD451-(AH476-MIN(MAX(AH476,0),MAX(0,AD451-IF($A477&gt;=('1-Input'!$C$12+1),'1-Input'!$B$12,0)))))*(1/(1-'P-Parametri'!$B$6*AD477))))</f>
        <v>8850.5617618619417</v>
      </c>
      <c r="AF477" s="18">
        <f>IF($A477&gt;'1-Input'!$B$26,AH476,(AH476-MAX(0,AD451-IF($A477&gt;=('1-Input'!$C$12+1),'1-Input'!$B$12,0))+AE477*(1-'P-Parametri'!$B$6*AD477))*(1+'1-Input'!$B$27))</f>
        <v>9.0622052084654565E-13</v>
      </c>
      <c r="AG477" s="18">
        <f>IF($A477&gt;'1-Input'!$B$26,AI476,(AI476-AE477)*(1+'5-Roberta'!$C$4))</f>
        <v>147690.7229848073</v>
      </c>
      <c r="AH477" s="18">
        <f>IF($A477&gt;'1-Input'!$B$26,AF477,AF477-'P-Parametri'!$B$8*(AG477+AF477)+MIN(MAX(AG477,0),'P-Parametri'!$B$8*(AG477+AF477)))</f>
        <v>9.0949470177292824E-13</v>
      </c>
      <c r="AI477" s="18">
        <f>IF($A477&gt;'1-Input'!$B$26,AG477,AG477-MIN(MAX(AG477,0),'P-Parametri'!$B$8*(AG477+AF477)))</f>
        <v>147395.3415388377</v>
      </c>
      <c r="AJ477" s="18">
        <f>IF($A477&gt;'1-Input'!$B$26,AJ476,AJ476-AE477*(1-AD477))</f>
        <v>59617.792432483409</v>
      </c>
      <c r="AK477" s="11">
        <f>IF($A477&gt;'1-Input'!$B$26,0,IF(AP476&lt;=0,0,MAX(0,(AP476-AQ476)/AP476)))</f>
        <v>0.58422353845627328</v>
      </c>
      <c r="AL477" s="18">
        <f>IF($A477&gt;'1-Input'!$B$26,0,(MAX(0,AK451-IF($A477&gt;=('1-Input'!$C$12+1),'1-Input'!$B$12,0))-MIN(MAX(AO476,0),MAX(0,AK451-IF($A477&gt;=('1-Input'!$C$12+1),'1-Input'!$B$12,0))))*(1/(1-'P-Parametri'!$B$6*AK477))+MIN(MAX(0,AP476-(MAX(0,AK451-IF($A477&gt;=('1-Input'!$C$12+1),'1-Input'!$B$12,0))-MIN(MAX(AO476,0),MAX(0,AK451-IF($A477&gt;=('1-Input'!$C$12+1),'1-Input'!$B$12,0))))*(1/(1-'P-Parametri'!$B$6*AK477))),MAX(0,0*AK451-(AO476-MIN(MAX(AO476,0),MAX(0,AK451-IF($A477&gt;=('1-Input'!$C$12+1),'1-Input'!$B$12,0)))))*(1/(1-'P-Parametri'!$B$6*AK477))))</f>
        <v>8849.7202567769564</v>
      </c>
      <c r="AM477" s="18">
        <f>IF($A477&gt;'1-Input'!$B$26,AO476,(AO476-MAX(0,AK451-IF($A477&gt;=('1-Input'!$C$12+1),'1-Input'!$B$12,0))+AL477*(1-'P-Parametri'!$B$6*AK477))*(1+'1-Input'!$B$27))</f>
        <v>9.0622052084654565E-13</v>
      </c>
      <c r="AN477" s="18">
        <f>IF($A477&gt;'1-Input'!$B$26,AP476,(AP476-AL477)*(1+'5-Roberta'!$C$4))</f>
        <v>147718.25981361541</v>
      </c>
      <c r="AO477" s="18">
        <f>IF($A477&gt;'1-Input'!$B$26,AM477,AM477-'P-Parametri'!$B$8*(AN477+AM477)+MIN(MAX(AN477,0),'P-Parametri'!$B$8*(AN477+AM477)))</f>
        <v>9.0949470177292824E-13</v>
      </c>
      <c r="AP477" s="18">
        <f>IF($A477&gt;'1-Input'!$B$26,AN477,AN477-MIN(MAX(AN477,0),'P-Parametri'!$B$8*(AN477+AM477)))</f>
        <v>147422.82329398819</v>
      </c>
      <c r="AQ477" s="18">
        <f>IF($A477&gt;'1-Input'!$B$26,AQ476,AQ476-AL477*(1-AK477))</f>
        <v>59628.908126895032</v>
      </c>
    </row>
    <row r="478" spans="1:43">
      <c r="A478" s="10">
        <f>25</f>
        <v>25</v>
      </c>
      <c r="B478" s="11">
        <f>IF($A478&gt;'1-Input'!$B$26,0,IF(G477&lt;=0,0,MAX(0,(G477-H477)/G477)))</f>
        <v>0.59552458164510857</v>
      </c>
      <c r="C478" s="18">
        <f>IF($A478&gt;'1-Input'!$B$26,0,(MAX(0,B451-IF($A478&gt;=('1-Input'!$C$12+1),'1-Input'!$B$12,0))-MIN(MAX(F477,0),MAX(0,B451-IF($A478&gt;=('1-Input'!$C$12+1),'1-Input'!$B$12,0))))*(1/(1-'P-Parametri'!$B$6*B478))+MIN(MAX(0,G477-(MAX(0,B451-IF($A478&gt;=('1-Input'!$C$12+1),'1-Input'!$B$12,0))-MIN(MAX(F477,0),MAX(0,B451-IF($A478&gt;=('1-Input'!$C$12+1),'1-Input'!$B$12,0))))*(1/(1-'P-Parametri'!$B$6*B478))),MAX(0,0*B451-(F477-MIN(MAX(F477,0),MAX(0,B451-IF($A478&gt;=('1-Input'!$C$12+1),'1-Input'!$B$12,0)))))*(1/(1-'P-Parametri'!$B$6*B478))))</f>
        <v>6601.1542105205235</v>
      </c>
      <c r="D478" s="18">
        <f>IF($A478&gt;'1-Input'!$B$26,F477,(F477-MAX(0,B451-IF($A478&gt;=('1-Input'!$C$12+1),'1-Input'!$B$12,0))+C478*(1-'P-Parametri'!$B$6*B478))*(1+'1-Input'!$B$27))</f>
        <v>0</v>
      </c>
      <c r="E478" s="18">
        <f>IF($A478&gt;'1-Input'!$B$26,G477,(G477-C478)*(1+'5-Roberta'!$C$4))</f>
        <v>221451.96217249605</v>
      </c>
      <c r="F478" s="18">
        <f>IF($A478&gt;'1-Input'!$B$26,D478,D478-'P-Parametri'!$B$8*(E478+D478)+MIN(MAX(E478,0),'P-Parametri'!$B$8*(E478+D478)))</f>
        <v>0</v>
      </c>
      <c r="G478" s="18">
        <f>IF($A478&gt;'1-Input'!$B$26,E478,E478-MIN(MAX(E478,0),'P-Parametri'!$B$8*(E478+D478)))</f>
        <v>221009.05824815106</v>
      </c>
      <c r="H478" s="18">
        <f>IF($A478&gt;'1-Input'!$B$26,H477,H477-C478*(1-B478))</f>
        <v>86962.985480807707</v>
      </c>
      <c r="I478" s="11">
        <f>IF($A478&gt;'1-Input'!$B$26,0,IF(N477&lt;=0,0,MAX(0,(N477-O477)/N477)))</f>
        <v>0.59552458164510902</v>
      </c>
      <c r="J478" s="18">
        <f>IF($A478&gt;'1-Input'!$B$26,0,(MAX(0,I451-IF($A478&gt;=('1-Input'!$C$12+1),'1-Input'!$B$12,0))-MIN(MAX(M477,0),MAX(0,I451-IF($A478&gt;=('1-Input'!$C$12+1),'1-Input'!$B$12,0))))*(1/(1-'P-Parametri'!$B$6*I478))+MIN(MAX(0,N477-(MAX(0,I451-IF($A478&gt;=('1-Input'!$C$12+1),'1-Input'!$B$12,0))-MIN(MAX(M477,0),MAX(0,I451-IF($A478&gt;=('1-Input'!$C$12+1),'1-Input'!$B$12,0))))*(1/(1-'P-Parametri'!$B$6*I478))),MAX(0,0*I451-(M477-MIN(MAX(M477,0),MAX(0,I451-IF($A478&gt;=('1-Input'!$C$12+1),'1-Input'!$B$12,0)))))*(1/(1-'P-Parametri'!$B$6*I478))))</f>
        <v>12833.913907728764</v>
      </c>
      <c r="K478" s="18">
        <f>IF($A478&gt;'1-Input'!$B$26,M477,(M477-MAX(0,I451-IF($A478&gt;=('1-Input'!$C$12+1),'1-Input'!$B$12,0))+J478*(1-'P-Parametri'!$B$6*I478))*(1+'1-Input'!$B$27))</f>
        <v>-1.8124410416930913E-12</v>
      </c>
      <c r="L478" s="18">
        <f>IF($A478&gt;'1-Input'!$B$26,N477,(N477-J478)*(1+'5-Roberta'!$C$4))</f>
        <v>6103.5244930319341</v>
      </c>
      <c r="M478" s="18">
        <f>IF($A478&gt;'1-Input'!$B$26,K478,K478-'P-Parametri'!$B$8*(L478+K478)+MIN(MAX(L478,0),'P-Parametri'!$B$8*(L478+K478)))</f>
        <v>-1.8118839761882555E-12</v>
      </c>
      <c r="N478" s="18">
        <f>IF($A478&gt;'1-Input'!$B$26,L478,L478-MIN(MAX(L478,0),'P-Parametri'!$B$8*(L478+K478)))</f>
        <v>6091.3174440458706</v>
      </c>
      <c r="O478" s="18">
        <f>IF($A478&gt;'1-Input'!$B$26,O477,O477-J478*(1-I478))</f>
        <v>2396.8209929693348</v>
      </c>
      <c r="P478" s="11">
        <f>IF($A478&gt;'1-Input'!$B$26,0,IF(U477&lt;=0,0,MAX(0,(U477-V477)/U477)))</f>
        <v>0.59552458164510869</v>
      </c>
      <c r="Q478" s="18">
        <f>IF($A478&gt;'1-Input'!$B$26,0,(MAX(0,P451-IF($A478&gt;=('1-Input'!$C$12+1),'1-Input'!$B$12,0))-MIN(MAX(T477,0),MAX(0,P451-IF($A478&gt;=('1-Input'!$C$12+1),'1-Input'!$B$12,0))))*(1/(1-'P-Parametri'!$B$6*P478))+MIN(MAX(0,U477-(MAX(0,P451-IF($A478&gt;=('1-Input'!$C$12+1),'1-Input'!$B$12,0))-MIN(MAX(T477,0),MAX(0,P451-IF($A478&gt;=('1-Input'!$C$12+1),'1-Input'!$B$12,0))))*(1/(1-'P-Parametri'!$B$6*P478))),MAX(0,0*P451-(T477-MIN(MAX(T477,0),MAX(0,P451-IF($A478&gt;=('1-Input'!$C$12+1),'1-Input'!$B$12,0)))))*(1/(1-'P-Parametri'!$B$6*P478))))</f>
        <v>9162.7640534068905</v>
      </c>
      <c r="R478" s="18">
        <f>IF($A478&gt;'1-Input'!$B$26,T477,(T477-MAX(0,P451-IF($A478&gt;=('1-Input'!$C$12+1),'1-Input'!$B$12,0))+Q478*(1-'P-Parametri'!$B$6*P478))*(1+'1-Input'!$B$27))</f>
        <v>0</v>
      </c>
      <c r="S478" s="18">
        <f>IF($A478&gt;'1-Input'!$B$26,U477,(U477-Q478)*(1+'5-Roberta'!$C$4))</f>
        <v>132945.63361036556</v>
      </c>
      <c r="T478" s="18">
        <f>IF($A478&gt;'1-Input'!$B$26,R478,R478-'P-Parametri'!$B$8*(S478+R478)+MIN(MAX(S478,0),'P-Parametri'!$B$8*(S478+R478)))</f>
        <v>0</v>
      </c>
      <c r="U478" s="18">
        <f>IF($A478&gt;'1-Input'!$B$26,S478,S478-MIN(MAX(S478,0),'P-Parametri'!$B$8*(S478+R478)))</f>
        <v>132679.74234314484</v>
      </c>
      <c r="V478" s="18">
        <f>IF($A478&gt;'1-Input'!$B$26,V477,V477-Q478*(1-P478))</f>
        <v>52207.029876707471</v>
      </c>
      <c r="W478" s="11">
        <f>IF($A478&gt;'1-Input'!$B$26,0,IF(AB477&lt;=0,0,MAX(0,(AB477-AC477)/AB477)))</f>
        <v>0.59552458164510869</v>
      </c>
      <c r="X478" s="18">
        <f>IF($A478&gt;'1-Input'!$B$26,0,(MAX(0,W451-IF($A478&gt;=('1-Input'!$C$12+1),'1-Input'!$B$12,0))-MIN(MAX(AA477,0),MAX(0,W451-IF($A478&gt;=('1-Input'!$C$12+1),'1-Input'!$B$12,0))))*(1/(1-'P-Parametri'!$B$6*W478))+MIN(MAX(0,AB477-(MAX(0,W451-IF($A478&gt;=('1-Input'!$C$12+1),'1-Input'!$B$12,0))-MIN(MAX(AA477,0),MAX(0,W451-IF($A478&gt;=('1-Input'!$C$12+1),'1-Input'!$B$12,0))))*(1/(1-'P-Parametri'!$B$6*W478))),MAX(0,0*W451-(AA477-MIN(MAX(AA477,0),MAX(0,W451-IF($A478&gt;=('1-Input'!$C$12+1),'1-Input'!$B$12,0)))))*(1/(1-'P-Parametri'!$B$6*W478))))</f>
        <v>8876.0236171766446</v>
      </c>
      <c r="Y478" s="18">
        <f>IF($A478&gt;'1-Input'!$B$26,AA477,(AA477-MAX(0,W451-IF($A478&gt;=('1-Input'!$C$12+1),'1-Input'!$B$12,0))+X478*(1-'P-Parametri'!$B$6*W478))*(1+'1-Input'!$B$27))</f>
        <v>0</v>
      </c>
      <c r="Z478" s="18">
        <f>IF($A478&gt;'1-Input'!$B$26,AB477,(AB477-X478)*(1+'5-Roberta'!$C$4))</f>
        <v>142852.81886401353</v>
      </c>
      <c r="AA478" s="18">
        <f>IF($A478&gt;'1-Input'!$B$26,Y478,Y478-'P-Parametri'!$B$8*(Z478+Y478)+MIN(MAX(Z478,0),'P-Parametri'!$B$8*(Z478+Y478)))</f>
        <v>0</v>
      </c>
      <c r="AB478" s="18">
        <f>IF($A478&gt;'1-Input'!$B$26,Z478,Z478-MIN(MAX(Z478,0),'P-Parametri'!$B$8*(Z478+Y478)))</f>
        <v>142567.1132262855</v>
      </c>
      <c r="AC478" s="18">
        <f>IF($A478&gt;'1-Input'!$B$26,AC477,AC477-X478*(1-W478))</f>
        <v>56097.527838055707</v>
      </c>
      <c r="AD478" s="11">
        <f>IF($A478&gt;'1-Input'!$B$26,0,IF(AI477&lt;=0,0,MAX(0,(AI477-AJ477)/AI477)))</f>
        <v>0.59552458164510913</v>
      </c>
      <c r="AE478" s="18">
        <f>IF($A478&gt;'1-Input'!$B$26,0,(MAX(0,AD451-IF($A478&gt;=('1-Input'!$C$12+1),'1-Input'!$B$12,0))-MIN(MAX(AH477,0),MAX(0,AD451-IF($A478&gt;=('1-Input'!$C$12+1),'1-Input'!$B$12,0))))*(1/(1-'P-Parametri'!$B$6*AD478))+MIN(MAX(0,AI477-(MAX(0,AD451-IF($A478&gt;=('1-Input'!$C$12+1),'1-Input'!$B$12,0))-MIN(MAX(AH477,0),MAX(0,AD451-IF($A478&gt;=('1-Input'!$C$12+1),'1-Input'!$B$12,0))))*(1/(1-'P-Parametri'!$B$6*AD478))),MAX(0,0*AD451-(AH477-MIN(MAX(AH477,0),MAX(0,AD451-IF($A478&gt;=('1-Input'!$C$12+1),'1-Input'!$B$12,0)))))*(1/(1-'P-Parametri'!$B$6*AD478))))</f>
        <v>8881.331367552848</v>
      </c>
      <c r="AF478" s="18">
        <f>IF($A478&gt;'1-Input'!$B$26,AH477,(AH477-MAX(0,AD451-IF($A478&gt;=('1-Input'!$C$12+1),'1-Input'!$B$12,0))+AE478*(1-'P-Parametri'!$B$6*AD478))*(1+'1-Input'!$B$27))</f>
        <v>0</v>
      </c>
      <c r="AG478" s="18">
        <f>IF($A478&gt;'1-Input'!$B$26,AI477,(AI477-AE478)*(1+'5-Roberta'!$C$4))</f>
        <v>142669.43047642338</v>
      </c>
      <c r="AH478" s="18">
        <f>IF($A478&gt;'1-Input'!$B$26,AF478,AF478-'P-Parametri'!$B$8*(AG478+AF478)+MIN(MAX(AG478,0),'P-Parametri'!$B$8*(AG478+AF478)))</f>
        <v>0</v>
      </c>
      <c r="AI478" s="18">
        <f>IF($A478&gt;'1-Input'!$B$26,AG478,AG478-MIN(MAX(AG478,0),'P-Parametri'!$B$8*(AG478+AF478)))</f>
        <v>142384.09161547053</v>
      </c>
      <c r="AJ478" s="18">
        <f>IF($A478&gt;'1-Input'!$B$26,AJ477,AJ477-AE478*(1-AD478))</f>
        <v>56025.512212044057</v>
      </c>
      <c r="AK478" s="11">
        <f>IF($A478&gt;'1-Input'!$B$26,0,IF(AP477&lt;=0,0,MAX(0,(AP477-AQ477)/AP477)))</f>
        <v>0.59552458164510913</v>
      </c>
      <c r="AL478" s="18">
        <f>IF($A478&gt;'1-Input'!$B$26,0,(MAX(0,AK451-IF($A478&gt;=('1-Input'!$C$12+1),'1-Input'!$B$12,0))-MIN(MAX(AO477,0),MAX(0,AK451-IF($A478&gt;=('1-Input'!$C$12+1),'1-Input'!$B$12,0))))*(1/(1-'P-Parametri'!$B$6*AK478))+MIN(MAX(0,AP477-(MAX(0,AK451-IF($A478&gt;=('1-Input'!$C$12+1),'1-Input'!$B$12,0))-MIN(MAX(AO477,0),MAX(0,AK451-IF($A478&gt;=('1-Input'!$C$12+1),'1-Input'!$B$12,0))))*(1/(1-'P-Parametri'!$B$6*AK478))),MAX(0,0*AK451-(AO477-MIN(MAX(AO477,0),MAX(0,AK451-IF($A478&gt;=('1-Input'!$C$12+1),'1-Input'!$B$12,0)))))*(1/(1-'P-Parametri'!$B$6*AK478))))</f>
        <v>8880.486936915755</v>
      </c>
      <c r="AM478" s="18">
        <f>IF($A478&gt;'1-Input'!$B$26,AO477,(AO477-MAX(0,AK451-IF($A478&gt;=('1-Input'!$C$12+1),'1-Input'!$B$12,0))+AL478*(1-'P-Parametri'!$B$6*AK478))*(1+'1-Input'!$B$27))</f>
        <v>0</v>
      </c>
      <c r="AN478" s="18">
        <f>IF($A478&gt;'1-Input'!$B$26,AP477,(AP477-AL478)*(1+'5-Roberta'!$C$4))</f>
        <v>142698.60644778461</v>
      </c>
      <c r="AO478" s="18">
        <f>IF($A478&gt;'1-Input'!$B$26,AM478,AM478-'P-Parametri'!$B$8*(AN478+AM478)+MIN(MAX(AN478,0),'P-Parametri'!$B$8*(AN478+AM478)))</f>
        <v>0</v>
      </c>
      <c r="AP478" s="18">
        <f>IF($A478&gt;'1-Input'!$B$26,AN478,AN478-MIN(MAX(AN478,0),'P-Parametri'!$B$8*(AN478+AM478)))</f>
        <v>142413.20923488904</v>
      </c>
      <c r="AQ478" s="18">
        <f>IF($A478&gt;'1-Input'!$B$26,AQ477,AQ477-AL478*(1-AK478))</f>
        <v>56036.969457890889</v>
      </c>
    </row>
    <row r="479" spans="1:43">
      <c r="A479" s="10">
        <f>26</f>
        <v>26</v>
      </c>
      <c r="B479" s="11">
        <f>IF($A479&gt;'1-Input'!$B$26,0,IF(G478&lt;=0,0,MAX(0,(G478-H478)/G478)))</f>
        <v>0.60651845598489074</v>
      </c>
      <c r="C479" s="18">
        <f>IF($A479&gt;'1-Input'!$B$26,0,(MAX(0,B451-IF($A479&gt;=('1-Input'!$C$12+1),'1-Input'!$B$12,0))-MIN(MAX(F478,0),MAX(0,B451-IF($A479&gt;=('1-Input'!$C$12+1),'1-Input'!$B$12,0))))*(1/(1-'P-Parametri'!$B$6*B479))+MIN(MAX(0,G478-(MAX(0,B451-IF($A479&gt;=('1-Input'!$C$12+1),'1-Input'!$B$12,0))-MIN(MAX(F478,0),MAX(0,B451-IF($A479&gt;=('1-Input'!$C$12+1),'1-Input'!$B$12,0))))*(1/(1-'P-Parametri'!$B$6*B479))),MAX(0,0*B451-(F478-MIN(MAX(F478,0),MAX(0,B451-IF($A479&gt;=('1-Input'!$C$12+1),'1-Input'!$B$12,0)))))*(1/(1-'P-Parametri'!$B$6*B479))))</f>
        <v>6623.5555770780738</v>
      </c>
      <c r="D479" s="18">
        <f>IF($A479&gt;'1-Input'!$B$26,F478,(F478-MAX(0,B451-IF($A479&gt;=('1-Input'!$C$12+1),'1-Input'!$B$12,0))+C479*(1-'P-Parametri'!$B$6*B479))*(1+'1-Input'!$B$27))</f>
        <v>0</v>
      </c>
      <c r="E479" s="18">
        <f>IF($A479&gt;'1-Input'!$B$26,G478,(G478-C479)*(1+'5-Roberta'!$C$4))</f>
        <v>220817.06775120518</v>
      </c>
      <c r="F479" s="18">
        <f>IF($A479&gt;'1-Input'!$B$26,D479,D479-'P-Parametri'!$B$8*(E479+D479)+MIN(MAX(E479,0),'P-Parametri'!$B$8*(E479+D479)))</f>
        <v>0</v>
      </c>
      <c r="G479" s="18">
        <f>IF($A479&gt;'1-Input'!$B$26,E479,E479-MIN(MAX(E479,0),'P-Parametri'!$B$8*(E479+D479)))</f>
        <v>220375.43361570276</v>
      </c>
      <c r="H479" s="18">
        <f>IF($A479&gt;'1-Input'!$B$26,H478,H478-C479*(1-B479))</f>
        <v>84356.738605469145</v>
      </c>
      <c r="I479" s="11">
        <f>IF($A479&gt;'1-Input'!$B$26,0,IF(N478&lt;=0,0,MAX(0,(N478-O478)/N478)))</f>
        <v>0.60651845598489129</v>
      </c>
      <c r="J479" s="18">
        <f>IF($A479&gt;'1-Input'!$B$26,0,(MAX(0,I451-IF($A479&gt;=('1-Input'!$C$12+1),'1-Input'!$B$12,0))-MIN(MAX(M478,0),MAX(0,I451-IF($A479&gt;=('1-Input'!$C$12+1),'1-Input'!$B$12,0))))*(1/(1-'P-Parametri'!$B$6*I479))+MIN(MAX(0,N478-(MAX(0,I451-IF($A479&gt;=('1-Input'!$C$12+1),'1-Input'!$B$12,0))-MIN(MAX(M478,0),MAX(0,I451-IF($A479&gt;=('1-Input'!$C$12+1),'1-Input'!$B$12,0))))*(1/(1-'P-Parametri'!$B$6*I479))),MAX(0,0*I451-(M478-MIN(MAX(M478,0),MAX(0,I451-IF($A479&gt;=('1-Input'!$C$12+1),'1-Input'!$B$12,0)))))*(1/(1-'P-Parametri'!$B$6*I479))))</f>
        <v>12877.466474544563</v>
      </c>
      <c r="K479" s="18">
        <f>IF($A479&gt;'1-Input'!$B$26,M478,(M478-MAX(0,I451-IF($A479&gt;=('1-Input'!$C$12+1),'1-Input'!$B$12,0))+J479*(1-'P-Parametri'!$B$6*I479))*(1+'1-Input'!$B$27))</f>
        <v>-1.8124410416930913E-12</v>
      </c>
      <c r="L479" s="18">
        <f>IF($A479&gt;'1-Input'!$B$26,N478,(N478-J479)*(1+'5-Roberta'!$C$4))</f>
        <v>-6989.7335014136524</v>
      </c>
      <c r="M479" s="18">
        <f>IF($A479&gt;'1-Input'!$B$26,K479,K479-'P-Parametri'!$B$8*(L479+K479)+MIN(MAX(L479,0),'P-Parametri'!$B$8*(L479+K479)))</f>
        <v>-1.8118839761882555E-12</v>
      </c>
      <c r="N479" s="18">
        <f>IF($A479&gt;'1-Input'!$B$26,L479,L479-MIN(MAX(L479,0),'P-Parametri'!$B$8*(L479+K479)))</f>
        <v>-6975.7540344108247</v>
      </c>
      <c r="O479" s="18">
        <f>IF($A479&gt;'1-Input'!$B$26,O478,O478-J479*(1-I479))</f>
        <v>-2670.2243984372581</v>
      </c>
      <c r="P479" s="11">
        <f>IF($A479&gt;'1-Input'!$B$26,0,IF(U478&lt;=0,0,MAX(0,(U478-V478)/U478)))</f>
        <v>0.60651845598489096</v>
      </c>
      <c r="Q479" s="18">
        <f>IF($A479&gt;'1-Input'!$B$26,0,(MAX(0,P451-IF($A479&gt;=('1-Input'!$C$12+1),'1-Input'!$B$12,0))-MIN(MAX(T478,0),MAX(0,P451-IF($A479&gt;=('1-Input'!$C$12+1),'1-Input'!$B$12,0))))*(1/(1-'P-Parametri'!$B$6*P479))+MIN(MAX(0,U478-(MAX(0,P451-IF($A479&gt;=('1-Input'!$C$12+1),'1-Input'!$B$12,0))-MIN(MAX(T478,0),MAX(0,P451-IF($A479&gt;=('1-Input'!$C$12+1),'1-Input'!$B$12,0))))*(1/(1-'P-Parametri'!$B$6*P479))),MAX(0,0*P451-(T478-MIN(MAX(T478,0),MAX(0,P451-IF($A479&gt;=('1-Input'!$C$12+1),'1-Input'!$B$12,0)))))*(1/(1-'P-Parametri'!$B$6*P479))))</f>
        <v>9193.8583786861855</v>
      </c>
      <c r="R479" s="18">
        <f>IF($A479&gt;'1-Input'!$B$26,T478,(T478-MAX(0,P451-IF($A479&gt;=('1-Input'!$C$12+1),'1-Input'!$B$12,0))+Q479*(1-'P-Parametri'!$B$6*P479))*(1+'1-Input'!$B$27))</f>
        <v>0</v>
      </c>
      <c r="S479" s="18">
        <f>IF($A479&gt;'1-Input'!$B$26,U478,(U478-Q479)*(1+'5-Roberta'!$C$4))</f>
        <v>127190.46048339242</v>
      </c>
      <c r="T479" s="18">
        <f>IF($A479&gt;'1-Input'!$B$26,R479,R479-'P-Parametri'!$B$8*(S479+R479)+MIN(MAX(S479,0),'P-Parametri'!$B$8*(S479+R479)))</f>
        <v>0</v>
      </c>
      <c r="U479" s="18">
        <f>IF($A479&gt;'1-Input'!$B$26,S479,S479-MIN(MAX(S479,0),'P-Parametri'!$B$8*(S479+R479)))</f>
        <v>126936.07956242564</v>
      </c>
      <c r="V479" s="18">
        <f>IF($A479&gt;'1-Input'!$B$26,V478,V478-Q479*(1-P479))</f>
        <v>48589.416286405787</v>
      </c>
      <c r="W479" s="11">
        <f>IF($A479&gt;'1-Input'!$B$26,0,IF(AB478&lt;=0,0,MAX(0,(AB478-AC478)/AB478)))</f>
        <v>0.60651845598489085</v>
      </c>
      <c r="X479" s="18">
        <f>IF($A479&gt;'1-Input'!$B$26,0,(MAX(0,W451-IF($A479&gt;=('1-Input'!$C$12+1),'1-Input'!$B$12,0))-MIN(MAX(AA478,0),MAX(0,W451-IF($A479&gt;=('1-Input'!$C$12+1),'1-Input'!$B$12,0))))*(1/(1-'P-Parametri'!$B$6*W479))+MIN(MAX(0,AB478-(MAX(0,W451-IF($A479&gt;=('1-Input'!$C$12+1),'1-Input'!$B$12,0))-MIN(MAX(AA478,0),MAX(0,W451-IF($A479&gt;=('1-Input'!$C$12+1),'1-Input'!$B$12,0))))*(1/(1-'P-Parametri'!$B$6*W479))),MAX(0,0*W451-(AA478-MIN(MAX(AA478,0),MAX(0,W451-IF($A479&gt;=('1-Input'!$C$12+1),'1-Input'!$B$12,0)))))*(1/(1-'P-Parametri'!$B$6*W479))))</f>
        <v>8906.14487359343</v>
      </c>
      <c r="Y479" s="18">
        <f>IF($A479&gt;'1-Input'!$B$26,AA478,(AA478-MAX(0,W451-IF($A479&gt;=('1-Input'!$C$12+1),'1-Input'!$B$12,0))+X479*(1-'P-Parametri'!$B$6*W479))*(1+'1-Input'!$B$27))</f>
        <v>-9.0622052084654565E-13</v>
      </c>
      <c r="Z479" s="18">
        <f>IF($A479&gt;'1-Input'!$B$26,AB478,(AB478-X479)*(1+'5-Roberta'!$C$4))</f>
        <v>137670.79740327282</v>
      </c>
      <c r="AA479" s="18">
        <f>IF($A479&gt;'1-Input'!$B$26,Y479,Y479-'P-Parametri'!$B$8*(Z479+Y479)+MIN(MAX(Z479,0),'P-Parametri'!$B$8*(Z479+Y479)))</f>
        <v>-9.0949470177292824E-13</v>
      </c>
      <c r="AB479" s="18">
        <f>IF($A479&gt;'1-Input'!$B$26,Z479,Z479-MIN(MAX(Z479,0),'P-Parametri'!$B$8*(Z479+Y479)))</f>
        <v>137395.45580846627</v>
      </c>
      <c r="AC479" s="18">
        <f>IF($A479&gt;'1-Input'!$B$26,AC478,AC478-X479*(1-W479))</f>
        <v>52593.124201971914</v>
      </c>
      <c r="AD479" s="11">
        <f>IF($A479&gt;'1-Input'!$B$26,0,IF(AI478&lt;=0,0,MAX(0,(AI478-AJ478)/AI478)))</f>
        <v>0.60651845598489107</v>
      </c>
      <c r="AE479" s="18">
        <f>IF($A479&gt;'1-Input'!$B$26,0,(MAX(0,AD451-IF($A479&gt;=('1-Input'!$C$12+1),'1-Input'!$B$12,0))-MIN(MAX(AH478,0),MAX(0,AD451-IF($A479&gt;=('1-Input'!$C$12+1),'1-Input'!$B$12,0))))*(1/(1-'P-Parametri'!$B$6*AD479))+MIN(MAX(0,AI478-(MAX(0,AD451-IF($A479&gt;=('1-Input'!$C$12+1),'1-Input'!$B$12,0))-MIN(MAX(AH478,0),MAX(0,AD451-IF($A479&gt;=('1-Input'!$C$12+1),'1-Input'!$B$12,0))))*(1/(1-'P-Parametri'!$B$6*AD479))),MAX(0,0*AD451-(AH478-MIN(MAX(AH478,0),MAX(0,AD451-IF($A479&gt;=('1-Input'!$C$12+1),'1-Input'!$B$12,0)))))*(1/(1-'P-Parametri'!$B$6*AD479))))</f>
        <v>8911.4706361017543</v>
      </c>
      <c r="AF479" s="18">
        <f>IF($A479&gt;'1-Input'!$B$26,AH478,(AH478-MAX(0,AD451-IF($A479&gt;=('1-Input'!$C$12+1),'1-Input'!$B$12,0))+AE479*(1-'P-Parametri'!$B$6*AD479))*(1+'1-Input'!$B$27))</f>
        <v>0</v>
      </c>
      <c r="AG479" s="18">
        <f>IF($A479&gt;'1-Input'!$B$26,AI478,(AI478-AE479)*(1+'5-Roberta'!$C$4))</f>
        <v>137476.79960874983</v>
      </c>
      <c r="AH479" s="18">
        <f>IF($A479&gt;'1-Input'!$B$26,AF479,AF479-'P-Parametri'!$B$8*(AG479+AF479)+MIN(MAX(AG479,0),'P-Parametri'!$B$8*(AG479+AF479)))</f>
        <v>0</v>
      </c>
      <c r="AI479" s="18">
        <f>IF($A479&gt;'1-Input'!$B$26,AG479,AG479-MIN(MAX(AG479,0),'P-Parametri'!$B$8*(AG479+AF479)))</f>
        <v>137201.84600953234</v>
      </c>
      <c r="AJ479" s="18">
        <f>IF($A479&gt;'1-Input'!$B$26,AJ478,AJ478-AE479*(1-AD479))</f>
        <v>52519.012986705435</v>
      </c>
      <c r="AK479" s="11">
        <f>IF($A479&gt;'1-Input'!$B$26,0,IF(AP478&lt;=0,0,MAX(0,(AP478-AQ478)/AP478)))</f>
        <v>0.60651845598489118</v>
      </c>
      <c r="AL479" s="18">
        <f>IF($A479&gt;'1-Input'!$B$26,0,(MAX(0,AK451-IF($A479&gt;=('1-Input'!$C$12+1),'1-Input'!$B$12,0))-MIN(MAX(AO478,0),MAX(0,AK451-IF($A479&gt;=('1-Input'!$C$12+1),'1-Input'!$B$12,0))))*(1/(1-'P-Parametri'!$B$6*AK479))+MIN(MAX(0,AP478-(MAX(0,AK451-IF($A479&gt;=('1-Input'!$C$12+1),'1-Input'!$B$12,0))-MIN(MAX(AO478,0),MAX(0,AK451-IF($A479&gt;=('1-Input'!$C$12+1),'1-Input'!$B$12,0))))*(1/(1-'P-Parametri'!$B$6*AK479))),MAX(0,0*AK451-(AO478-MIN(MAX(AO478,0),MAX(0,AK451-IF($A479&gt;=('1-Input'!$C$12+1),'1-Input'!$B$12,0)))))*(1/(1-'P-Parametri'!$B$6*AK479))))</f>
        <v>8910.6233398445547</v>
      </c>
      <c r="AM479" s="18">
        <f>IF($A479&gt;'1-Input'!$B$26,AO478,(AO478-MAX(0,AK451-IF($A479&gt;=('1-Input'!$C$12+1),'1-Input'!$B$12,0))+AL479*(1-'P-Parametri'!$B$6*AK479))*(1+'1-Input'!$B$27))</f>
        <v>0</v>
      </c>
      <c r="AN479" s="18">
        <f>IF($A479&gt;'1-Input'!$B$26,AP478,(AP478-AL479)*(1+'5-Roberta'!$C$4))</f>
        <v>137507.66347189582</v>
      </c>
      <c r="AO479" s="18">
        <f>IF($A479&gt;'1-Input'!$B$26,AM479,AM479-'P-Parametri'!$B$8*(AN479+AM479)+MIN(MAX(AN479,0),'P-Parametri'!$B$8*(AN479+AM479)))</f>
        <v>0</v>
      </c>
      <c r="AP479" s="18">
        <f>IF($A479&gt;'1-Input'!$B$26,AN479,AN479-MIN(MAX(AN479,0),'P-Parametri'!$B$8*(AN479+AM479)))</f>
        <v>137232.64814495202</v>
      </c>
      <c r="AQ479" s="18">
        <f>IF($A479&gt;'1-Input'!$B$26,AQ478,AQ478-AL479*(1-AK479))</f>
        <v>52530.803627991787</v>
      </c>
    </row>
    <row r="480" spans="1:43">
      <c r="A480" s="10">
        <f>27</f>
        <v>27</v>
      </c>
      <c r="B480" s="11">
        <f>IF($A480&gt;'1-Input'!$B$26,0,IF(G479&lt;=0,0,MAX(0,(G479-H479)/G479)))</f>
        <v>0.61721351050147932</v>
      </c>
      <c r="C480" s="18">
        <f>IF($A480&gt;'1-Input'!$B$26,0,(MAX(0,B451-IF($A480&gt;=('1-Input'!$C$12+1),'1-Input'!$B$12,0))-MIN(MAX(F479,0),MAX(0,B451-IF($A480&gt;=('1-Input'!$C$12+1),'1-Input'!$B$12,0))))*(1/(1-'P-Parametri'!$B$6*B480))+MIN(MAX(0,G479-(MAX(0,B451-IF($A480&gt;=('1-Input'!$C$12+1),'1-Input'!$B$12,0))-MIN(MAX(F479,0),MAX(0,B451-IF($A480&gt;=('1-Input'!$C$12+1),'1-Input'!$B$12,0))))*(1/(1-'P-Parametri'!$B$6*B480))),MAX(0,0*B451-(F479-MIN(MAX(F479,0),MAX(0,B451-IF($A480&gt;=('1-Input'!$C$12+1),'1-Input'!$B$12,0)))))*(1/(1-'P-Parametri'!$B$6*B480))))</f>
        <v>6645.4944426583179</v>
      </c>
      <c r="D480" s="18">
        <f>IF($A480&gt;'1-Input'!$B$26,F479,(F479-MAX(0,B451-IF($A480&gt;=('1-Input'!$C$12+1),'1-Input'!$B$12,0))+C480*(1-'P-Parametri'!$B$6*B480))*(1+'1-Input'!$B$27))</f>
        <v>0</v>
      </c>
      <c r="E480" s="18">
        <f>IF($A480&gt;'1-Input'!$B$26,G479,(G479-C480)*(1+'5-Roberta'!$C$4))</f>
        <v>220141.83734823577</v>
      </c>
      <c r="F480" s="18">
        <f>IF($A480&gt;'1-Input'!$B$26,D480,D480-'P-Parametri'!$B$8*(E480+D480)+MIN(MAX(E480,0),'P-Parametri'!$B$8*(E480+D480)))</f>
        <v>0</v>
      </c>
      <c r="G480" s="18">
        <f>IF($A480&gt;'1-Input'!$B$26,E480,E480-MIN(MAX(E480,0),'P-Parametri'!$B$8*(E480+D480)))</f>
        <v>219701.55367353931</v>
      </c>
      <c r="H480" s="18">
        <f>IF($A480&gt;'1-Input'!$B$26,H479,H479-C480*(1-B480))</f>
        <v>81812.933116782035</v>
      </c>
      <c r="I480" s="11">
        <f>IF($A480&gt;'1-Input'!$B$26,0,IF(N479&lt;=0,0,MAX(0,(N479-O479)/N479)))</f>
        <v>0</v>
      </c>
      <c r="J480" s="18">
        <f>IF($A480&gt;'1-Input'!$B$26,0,(MAX(0,I451-IF($A480&gt;=('1-Input'!$C$12+1),'1-Input'!$B$12,0))-MIN(MAX(M479,0),MAX(0,I451-IF($A480&gt;=('1-Input'!$C$12+1),'1-Input'!$B$12,0))))*(1/(1-'P-Parametri'!$B$6*I480))+MIN(MAX(0,N479-(MAX(0,I451-IF($A480&gt;=('1-Input'!$C$12+1),'1-Input'!$B$12,0))-MIN(MAX(M479,0),MAX(0,I451-IF($A480&gt;=('1-Input'!$C$12+1),'1-Input'!$B$12,0))))*(1/(1-'P-Parametri'!$B$6*I480))),MAX(0,0*I451-(M479-MIN(MAX(M479,0),MAX(0,I451-IF($A480&gt;=('1-Input'!$C$12+1),'1-Input'!$B$12,0)))))*(1/(1-'P-Parametri'!$B$6*I480))))</f>
        <v>10846.756992928691</v>
      </c>
      <c r="K480" s="18">
        <f>IF($A480&gt;'1-Input'!$B$26,M479,(M479-MAX(0,I451-IF($A480&gt;=('1-Input'!$C$12+1),'1-Input'!$B$12,0))+J480*(1-'P-Parametri'!$B$6*I480))*(1+'1-Input'!$B$27))</f>
        <v>-1.8124410416930913E-12</v>
      </c>
      <c r="L480" s="18">
        <f>IF($A480&gt;'1-Input'!$B$26,N479,(N479-J480)*(1+'5-Roberta'!$C$4))</f>
        <v>-18357.186358159699</v>
      </c>
      <c r="M480" s="18">
        <f>IF($A480&gt;'1-Input'!$B$26,K480,K480-'P-Parametri'!$B$8*(L480+K480)+MIN(MAX(L480,0),'P-Parametri'!$B$8*(L480+K480)))</f>
        <v>-1.8118839761882555E-12</v>
      </c>
      <c r="N480" s="18">
        <f>IF($A480&gt;'1-Input'!$B$26,L480,L480-MIN(MAX(L480,0),'P-Parametri'!$B$8*(L480+K480)))</f>
        <v>-18320.471985443379</v>
      </c>
      <c r="O480" s="18">
        <f>IF($A480&gt;'1-Input'!$B$26,O479,O479-J480*(1-I480))</f>
        <v>-13516.981391365949</v>
      </c>
      <c r="P480" s="11">
        <f>IF($A480&gt;'1-Input'!$B$26,0,IF(U479&lt;=0,0,MAX(0,(U479-V479)/U479)))</f>
        <v>0.61721351050147966</v>
      </c>
      <c r="Q480" s="18">
        <f>IF($A480&gt;'1-Input'!$B$26,0,(MAX(0,P451-IF($A480&gt;=('1-Input'!$C$12+1),'1-Input'!$B$12,0))-MIN(MAX(T479,0),MAX(0,P451-IF($A480&gt;=('1-Input'!$C$12+1),'1-Input'!$B$12,0))))*(1/(1-'P-Parametri'!$B$6*P480))+MIN(MAX(0,U479-(MAX(0,P451-IF($A480&gt;=('1-Input'!$C$12+1),'1-Input'!$B$12,0))-MIN(MAX(T479,0),MAX(0,P451-IF($A480&gt;=('1-Input'!$C$12+1),'1-Input'!$B$12,0))))*(1/(1-'P-Parametri'!$B$6*P480))),MAX(0,0*P451-(T479-MIN(MAX(T479,0),MAX(0,P451-IF($A480&gt;=('1-Input'!$C$12+1),'1-Input'!$B$12,0)))))*(1/(1-'P-Parametri'!$B$6*P480))))</f>
        <v>9224.3107272452908</v>
      </c>
      <c r="R480" s="18">
        <f>IF($A480&gt;'1-Input'!$B$26,T479,(T479-MAX(0,P451-IF($A480&gt;=('1-Input'!$C$12+1),'1-Input'!$B$12,0))+Q480*(1-'P-Parametri'!$B$6*P480))*(1+'1-Input'!$B$27))</f>
        <v>-9.0622052084654565E-13</v>
      </c>
      <c r="S480" s="18">
        <f>IF($A480&gt;'1-Input'!$B$26,U479,(U479-Q480)*(1+'5-Roberta'!$C$4))</f>
        <v>121243.12190023577</v>
      </c>
      <c r="T480" s="18">
        <f>IF($A480&gt;'1-Input'!$B$26,R480,R480-'P-Parametri'!$B$8*(S480+R480)+MIN(MAX(S480,0),'P-Parametri'!$B$8*(S480+R480)))</f>
        <v>-9.0949470177292824E-13</v>
      </c>
      <c r="U480" s="18">
        <f>IF($A480&gt;'1-Input'!$B$26,S480,S480-MIN(MAX(S480,0),'P-Parametri'!$B$8*(S480+R480)))</f>
        <v>121000.63565643529</v>
      </c>
      <c r="V480" s="18">
        <f>IF($A480&gt;'1-Input'!$B$26,V479,V479-Q480*(1-P480))</f>
        <v>45058.47476508002</v>
      </c>
      <c r="W480" s="11">
        <f>IF($A480&gt;'1-Input'!$B$26,0,IF(AB479&lt;=0,0,MAX(0,(AB479-AC479)/AB479)))</f>
        <v>0.61721351050147943</v>
      </c>
      <c r="X480" s="18">
        <f>IF($A480&gt;'1-Input'!$B$26,0,(MAX(0,W451-IF($A480&gt;=('1-Input'!$C$12+1),'1-Input'!$B$12,0))-MIN(MAX(AA479,0),MAX(0,W451-IF($A480&gt;=('1-Input'!$C$12+1),'1-Input'!$B$12,0))))*(1/(1-'P-Parametri'!$B$6*W480))+MIN(MAX(0,AB479-(MAX(0,W451-IF($A480&gt;=('1-Input'!$C$12+1),'1-Input'!$B$12,0))-MIN(MAX(AA479,0),MAX(0,W451-IF($A480&gt;=('1-Input'!$C$12+1),'1-Input'!$B$12,0))))*(1/(1-'P-Parametri'!$B$6*W480))),MAX(0,0*W451-(AA479-MIN(MAX(AA479,0),MAX(0,W451-IF($A480&gt;=('1-Input'!$C$12+1),'1-Input'!$B$12,0)))))*(1/(1-'P-Parametri'!$B$6*W480))))</f>
        <v>8935.6442433724278</v>
      </c>
      <c r="Y480" s="18">
        <f>IF($A480&gt;'1-Input'!$B$26,AA479,(AA479-MAX(0,W451-IF($A480&gt;=('1-Input'!$C$12+1),'1-Input'!$B$12,0))+X480*(1-'P-Parametri'!$B$6*W480))*(1+'1-Input'!$B$27))</f>
        <v>1.8124410416930913E-12</v>
      </c>
      <c r="Z480" s="18">
        <f>IF($A480&gt;'1-Input'!$B$26,AB479,(AB479-X480)*(1+'5-Roberta'!$C$4))</f>
        <v>132313.60591204665</v>
      </c>
      <c r="AA480" s="18">
        <f>IF($A480&gt;'1-Input'!$B$26,Y480,Y480-'P-Parametri'!$B$8*(Z480+Y480)+MIN(MAX(Z480,0),'P-Parametri'!$B$8*(Z480+Y480)))</f>
        <v>1.8189894035458565E-12</v>
      </c>
      <c r="AB480" s="18">
        <f>IF($A480&gt;'1-Input'!$B$26,Z480,Z480-MIN(MAX(Z480,0),'P-Parametri'!$B$8*(Z480+Y480)))</f>
        <v>132048.97870022256</v>
      </c>
      <c r="AC480" s="18">
        <f>IF($A480&gt;'1-Input'!$B$26,AC479,AC479-X480*(1-W480))</f>
        <v>49172.680310643715</v>
      </c>
      <c r="AD480" s="11">
        <f>IF($A480&gt;'1-Input'!$B$26,0,IF(AI479&lt;=0,0,MAX(0,(AI479-AJ479)/AI479)))</f>
        <v>0.61721351050147977</v>
      </c>
      <c r="AE480" s="18">
        <f>IF($A480&gt;'1-Input'!$B$26,0,(MAX(0,AD451-IF($A480&gt;=('1-Input'!$C$12+1),'1-Input'!$B$12,0))-MIN(MAX(AH479,0),MAX(0,AD451-IF($A480&gt;=('1-Input'!$C$12+1),'1-Input'!$B$12,0))))*(1/(1-'P-Parametri'!$B$6*AD480))+MIN(MAX(0,AI479-(MAX(0,AD451-IF($A480&gt;=('1-Input'!$C$12+1),'1-Input'!$B$12,0))-MIN(MAX(AH479,0),MAX(0,AD451-IF($A480&gt;=('1-Input'!$C$12+1),'1-Input'!$B$12,0))))*(1/(1-'P-Parametri'!$B$6*AD480))),MAX(0,0*AD451-(AH479-MIN(MAX(AH479,0),MAX(0,AD451-IF($A480&gt;=('1-Input'!$C$12+1),'1-Input'!$B$12,0)))))*(1/(1-'P-Parametri'!$B$6*AD480))))</f>
        <v>8940.9876461324857</v>
      </c>
      <c r="AF480" s="18">
        <f>IF($A480&gt;'1-Input'!$B$26,AH479,(AH479-MAX(0,AD451-IF($A480&gt;=('1-Input'!$C$12+1),'1-Input'!$B$12,0))+AE480*(1-'P-Parametri'!$B$6*AD480))*(1+'1-Input'!$B$27))</f>
        <v>0</v>
      </c>
      <c r="AG480" s="18">
        <f>IF($A480&gt;'1-Input'!$B$26,AI479,(AI479-AE480)*(1+'5-Roberta'!$C$4))</f>
        <v>132108.68411430184</v>
      </c>
      <c r="AH480" s="18">
        <f>IF($A480&gt;'1-Input'!$B$26,AF480,AF480-'P-Parametri'!$B$8*(AG480+AF480)+MIN(MAX(AG480,0),'P-Parametri'!$B$8*(AG480+AF480)))</f>
        <v>0</v>
      </c>
      <c r="AI480" s="18">
        <f>IF($A480&gt;'1-Input'!$B$26,AG480,AG480-MIN(MAX(AG480,0),'P-Parametri'!$B$8*(AG480+AF480)))</f>
        <v>131844.46674607325</v>
      </c>
      <c r="AJ480" s="18">
        <f>IF($A480&gt;'1-Input'!$B$26,AJ479,AJ479-AE480*(1-AD480))</f>
        <v>49096.523712992741</v>
      </c>
      <c r="AK480" s="11">
        <f>IF($A480&gt;'1-Input'!$B$26,0,IF(AP479&lt;=0,0,MAX(0,(AP479-AQ479)/AP479)))</f>
        <v>0.61721351050147988</v>
      </c>
      <c r="AL480" s="18">
        <f>IF($A480&gt;'1-Input'!$B$26,0,(MAX(0,AK451-IF($A480&gt;=('1-Input'!$C$12+1),'1-Input'!$B$12,0))-MIN(MAX(AO479,0),MAX(0,AK451-IF($A480&gt;=('1-Input'!$C$12+1),'1-Input'!$B$12,0))))*(1/(1-'P-Parametri'!$B$6*AK480))+MIN(MAX(0,AP479-(MAX(0,AK451-IF($A480&gt;=('1-Input'!$C$12+1),'1-Input'!$B$12,0))-MIN(MAX(AO479,0),MAX(0,AK451-IF($A480&gt;=('1-Input'!$C$12+1),'1-Input'!$B$12,0))))*(1/(1-'P-Parametri'!$B$6*AK480))),MAX(0,0*AK451-(AO479-MIN(MAX(AO479,0),MAX(0,AK451-IF($A480&gt;=('1-Input'!$C$12+1),'1-Input'!$B$12,0)))))*(1/(1-'P-Parametri'!$B$6*AK480))))</f>
        <v>8940.1375434190741</v>
      </c>
      <c r="AM480" s="18">
        <f>IF($A480&gt;'1-Input'!$B$26,AO479,(AO479-MAX(0,AK451-IF($A480&gt;=('1-Input'!$C$12+1),'1-Input'!$B$12,0))+AL480*(1-'P-Parametri'!$B$6*AK480))*(1+'1-Input'!$B$27))</f>
        <v>-9.0622052084654565E-13</v>
      </c>
      <c r="AN480" s="18">
        <f>IF($A480&gt;'1-Input'!$B$26,AP479,(AP479-AL480)*(1+'5-Roberta'!$C$4))</f>
        <v>132141.28591957895</v>
      </c>
      <c r="AO480" s="18">
        <f>IF($A480&gt;'1-Input'!$B$26,AM480,AM480-'P-Parametri'!$B$8*(AN480+AM480)+MIN(MAX(AN480,0),'P-Parametri'!$B$8*(AN480+AM480)))</f>
        <v>-9.0949470177292824E-13</v>
      </c>
      <c r="AP480" s="18">
        <f>IF($A480&gt;'1-Input'!$B$26,AN480,AN480-MIN(MAX(AN480,0),'P-Parametri'!$B$8*(AN480+AM480)))</f>
        <v>131877.00334773978</v>
      </c>
      <c r="AQ480" s="18">
        <f>IF($A480&gt;'1-Input'!$B$26,AQ479,AQ479-AL480*(1-AK480))</f>
        <v>49108.639762112478</v>
      </c>
    </row>
    <row r="481" spans="1:43">
      <c r="A481" s="10">
        <f>28</f>
        <v>28</v>
      </c>
      <c r="B481" s="11">
        <f>IF($A481&gt;'1-Input'!$B$26,0,IF(G480&lt;=0,0,MAX(0,(G480-H480)/G480)))</f>
        <v>0.62761786728941305</v>
      </c>
      <c r="C481" s="18">
        <f>IF($A481&gt;'1-Input'!$B$26,0,(MAX(0,B451-IF($A481&gt;=('1-Input'!$C$12+1),'1-Input'!$B$12,0))-MIN(MAX(F480,0),MAX(0,B451-IF($A481&gt;=('1-Input'!$C$12+1),'1-Input'!$B$12,0))))*(1/(1-'P-Parametri'!$B$6*B481))+MIN(MAX(0,G480-(MAX(0,B451-IF($A481&gt;=('1-Input'!$C$12+1),'1-Input'!$B$12,0))-MIN(MAX(F480,0),MAX(0,B451-IF($A481&gt;=('1-Input'!$C$12+1),'1-Input'!$B$12,0))))*(1/(1-'P-Parametri'!$B$6*B481))),MAX(0,0*B451-(F480-MIN(MAX(F480,0),MAX(0,B451-IF($A481&gt;=('1-Input'!$C$12+1),'1-Input'!$B$12,0)))))*(1/(1-'P-Parametri'!$B$6*B481))))</f>
        <v>6666.9769103603076</v>
      </c>
      <c r="D481" s="18">
        <f>IF($A481&gt;'1-Input'!$B$26,F480,(F480-MAX(0,B451-IF($A481&gt;=('1-Input'!$C$12+1),'1-Input'!$B$12,0))+C481*(1-'P-Parametri'!$B$6*B481))*(1+'1-Input'!$B$27))</f>
        <v>0</v>
      </c>
      <c r="E481" s="18">
        <f>IF($A481&gt;'1-Input'!$B$26,G480,(G480-C481)*(1+'5-Roberta'!$C$4))</f>
        <v>219425.61406607437</v>
      </c>
      <c r="F481" s="18">
        <f>IF($A481&gt;'1-Input'!$B$26,D481,D481-'P-Parametri'!$B$8*(E481+D481)+MIN(MAX(E481,0),'P-Parametri'!$B$8*(E481+D481)))</f>
        <v>0</v>
      </c>
      <c r="G481" s="18">
        <f>IF($A481&gt;'1-Input'!$B$26,E481,E481-MIN(MAX(E481,0),'P-Parametri'!$B$8*(E481+D481)))</f>
        <v>218986.76283794222</v>
      </c>
      <c r="H481" s="18">
        <f>IF($A481&gt;'1-Input'!$B$26,H480,H480-C481*(1-B481))</f>
        <v>79330.270036169823</v>
      </c>
      <c r="I481" s="11">
        <f>IF($A481&gt;'1-Input'!$B$26,0,IF(N480&lt;=0,0,MAX(0,(N480-O480)/N480)))</f>
        <v>0</v>
      </c>
      <c r="J481" s="18">
        <f>IF($A481&gt;'1-Input'!$B$26,0,(MAX(0,I451-IF($A481&gt;=('1-Input'!$C$12+1),'1-Input'!$B$12,0))-MIN(MAX(M480,0),MAX(0,I451-IF($A481&gt;=('1-Input'!$C$12+1),'1-Input'!$B$12,0))))*(1/(1-'P-Parametri'!$B$6*I481))+MIN(MAX(0,N480-(MAX(0,I451-IF($A481&gt;=('1-Input'!$C$12+1),'1-Input'!$B$12,0))-MIN(MAX(M480,0),MAX(0,I451-IF($A481&gt;=('1-Input'!$C$12+1),'1-Input'!$B$12,0))))*(1/(1-'P-Parametri'!$B$6*I481))),MAX(0,0*I451-(M480-MIN(MAX(M480,0),MAX(0,I451-IF($A481&gt;=('1-Input'!$C$12+1),'1-Input'!$B$12,0)))))*(1/(1-'P-Parametri'!$B$6*I481))))</f>
        <v>10846.756992928691</v>
      </c>
      <c r="K481" s="18">
        <f>IF($A481&gt;'1-Input'!$B$26,M480,(M480-MAX(0,I451-IF($A481&gt;=('1-Input'!$C$12+1),'1-Input'!$B$12,0))+J481*(1-'P-Parametri'!$B$6*I481))*(1+'1-Input'!$B$27))</f>
        <v>-1.8124410416930913E-12</v>
      </c>
      <c r="L481" s="18">
        <f>IF($A481&gt;'1-Input'!$B$26,N480,(N480-J481)*(1+'5-Roberta'!$C$4))</f>
        <v>-30042.245847723232</v>
      </c>
      <c r="M481" s="18">
        <f>IF($A481&gt;'1-Input'!$B$26,K481,K481-'P-Parametri'!$B$8*(L481+K481)+MIN(MAX(L481,0),'P-Parametri'!$B$8*(L481+K481)))</f>
        <v>-1.8118839761882555E-12</v>
      </c>
      <c r="N481" s="18">
        <f>IF($A481&gt;'1-Input'!$B$26,L481,L481-MIN(MAX(L481,0),'P-Parametri'!$B$8*(L481+K481)))</f>
        <v>-29982.161356027787</v>
      </c>
      <c r="O481" s="18">
        <f>IF($A481&gt;'1-Input'!$B$26,O480,O480-J481*(1-I481))</f>
        <v>-24363.73838429464</v>
      </c>
      <c r="P481" s="11">
        <f>IF($A481&gt;'1-Input'!$B$26,0,IF(U480&lt;=0,0,MAX(0,(U480-V480)/U480)))</f>
        <v>0.62761786728941349</v>
      </c>
      <c r="Q481" s="18">
        <f>IF($A481&gt;'1-Input'!$B$26,0,(MAX(0,P451-IF($A481&gt;=('1-Input'!$C$12+1),'1-Input'!$B$12,0))-MIN(MAX(T480,0),MAX(0,P451-IF($A481&gt;=('1-Input'!$C$12+1),'1-Input'!$B$12,0))))*(1/(1-'P-Parametri'!$B$6*P481))+MIN(MAX(0,U480-(MAX(0,P451-IF($A481&gt;=('1-Input'!$C$12+1),'1-Input'!$B$12,0))-MIN(MAX(T480,0),MAX(0,P451-IF($A481&gt;=('1-Input'!$C$12+1),'1-Input'!$B$12,0))))*(1/(1-'P-Parametri'!$B$6*P481))),MAX(0,0*P451-(T480-MIN(MAX(T480,0),MAX(0,P451-IF($A481&gt;=('1-Input'!$C$12+1),'1-Input'!$B$12,0)))))*(1/(1-'P-Parametri'!$B$6*P481))))</f>
        <v>9254.1295705203938</v>
      </c>
      <c r="R481" s="18">
        <f>IF($A481&gt;'1-Input'!$B$26,T480,(T480-MAX(0,P451-IF($A481&gt;=('1-Input'!$C$12+1),'1-Input'!$B$12,0))+Q481*(1-'P-Parametri'!$B$6*P481))*(1+'1-Input'!$B$27))</f>
        <v>9.0622052084654565E-13</v>
      </c>
      <c r="S481" s="18">
        <f>IF($A481&gt;'1-Input'!$B$26,U480,(U480-Q481)*(1+'5-Roberta'!$C$4))</f>
        <v>115098.90126849235</v>
      </c>
      <c r="T481" s="18">
        <f>IF($A481&gt;'1-Input'!$B$26,R481,R481-'P-Parametri'!$B$8*(S481+R481)+MIN(MAX(S481,0),'P-Parametri'!$B$8*(S481+R481)))</f>
        <v>9.0949470177292824E-13</v>
      </c>
      <c r="U481" s="18">
        <f>IF($A481&gt;'1-Input'!$B$26,S481,S481-MIN(MAX(S481,0),'P-Parametri'!$B$8*(S481+R481)))</f>
        <v>114868.70346595536</v>
      </c>
      <c r="V481" s="18">
        <f>IF($A481&gt;'1-Input'!$B$26,V480,V480-Q481*(1-P481))</f>
        <v>41612.40225922953</v>
      </c>
      <c r="W481" s="11">
        <f>IF($A481&gt;'1-Input'!$B$26,0,IF(AB480&lt;=0,0,MAX(0,(AB480-AC480)/AB480)))</f>
        <v>0.62761786728941327</v>
      </c>
      <c r="X481" s="18">
        <f>IF($A481&gt;'1-Input'!$B$26,0,(MAX(0,W451-IF($A481&gt;=('1-Input'!$C$12+1),'1-Input'!$B$12,0))-MIN(MAX(AA480,0),MAX(0,W451-IF($A481&gt;=('1-Input'!$C$12+1),'1-Input'!$B$12,0))))*(1/(1-'P-Parametri'!$B$6*W481))+MIN(MAX(0,AB480-(MAX(0,W451-IF($A481&gt;=('1-Input'!$C$12+1),'1-Input'!$B$12,0))-MIN(MAX(AA480,0),MAX(0,W451-IF($A481&gt;=('1-Input'!$C$12+1),'1-Input'!$B$12,0))))*(1/(1-'P-Parametri'!$B$6*W481))),MAX(0,0*W451-(AA480-MIN(MAX(AA480,0),MAX(0,W451-IF($A481&gt;=('1-Input'!$C$12+1),'1-Input'!$B$12,0)))))*(1/(1-'P-Parametri'!$B$6*W481))))</f>
        <v>8964.5299328438505</v>
      </c>
      <c r="Y481" s="18">
        <f>IF($A481&gt;'1-Input'!$B$26,AA480,(AA480-MAX(0,W451-IF($A481&gt;=('1-Input'!$C$12+1),'1-Input'!$B$12,0))+X481*(1-'P-Parametri'!$B$6*W481))*(1+'1-Input'!$B$27))</f>
        <v>0</v>
      </c>
      <c r="Z481" s="18">
        <f>IF($A481&gt;'1-Input'!$B$26,AB480,(AB480-X481)*(1+'5-Roberta'!$C$4))</f>
        <v>126776.98223040007</v>
      </c>
      <c r="AA481" s="18">
        <f>IF($A481&gt;'1-Input'!$B$26,Y481,Y481-'P-Parametri'!$B$8*(Z481+Y481)+MIN(MAX(Z481,0),'P-Parametri'!$B$8*(Z481+Y481)))</f>
        <v>0</v>
      </c>
      <c r="AB481" s="18">
        <f>IF($A481&gt;'1-Input'!$B$26,Z481,Z481-MIN(MAX(Z481,0),'P-Parametri'!$B$8*(Z481+Y481)))</f>
        <v>126523.42826593926</v>
      </c>
      <c r="AC481" s="18">
        <f>IF($A481&gt;'1-Input'!$B$26,AC480,AC480-X481*(1-W481))</f>
        <v>45834.449535503431</v>
      </c>
      <c r="AD481" s="11">
        <f>IF($A481&gt;'1-Input'!$B$26,0,IF(AI480&lt;=0,0,MAX(0,(AI480-AJ480)/AI480)))</f>
        <v>0.6276178672894136</v>
      </c>
      <c r="AE481" s="18">
        <f>IF($A481&gt;'1-Input'!$B$26,0,(MAX(0,AD451-IF($A481&gt;=('1-Input'!$C$12+1),'1-Input'!$B$12,0))-MIN(MAX(AH480,0),MAX(0,AD451-IF($A481&gt;=('1-Input'!$C$12+1),'1-Input'!$B$12,0))))*(1/(1-'P-Parametri'!$B$6*AD481))+MIN(MAX(0,AI480-(MAX(0,AD451-IF($A481&gt;=('1-Input'!$C$12+1),'1-Input'!$B$12,0))-MIN(MAX(AH480,0),MAX(0,AD451-IF($A481&gt;=('1-Input'!$C$12+1),'1-Input'!$B$12,0))))*(1/(1-'P-Parametri'!$B$6*AD481))),MAX(0,0*AD451-(AH480-MIN(MAX(AH480,0),MAX(0,AD451-IF($A481&gt;=('1-Input'!$C$12+1),'1-Input'!$B$12,0)))))*(1/(1-'P-Parametri'!$B$6*AD481))))</f>
        <v>8969.8906088825534</v>
      </c>
      <c r="AF481" s="18">
        <f>IF($A481&gt;'1-Input'!$B$26,AH480,(AH480-MAX(0,AD451-IF($A481&gt;=('1-Input'!$C$12+1),'1-Input'!$B$12,0))+AE481*(1-'P-Parametri'!$B$6*AD481))*(1+'1-Input'!$B$27))</f>
        <v>-9.0622052084654565E-13</v>
      </c>
      <c r="AG481" s="18">
        <f>IF($A481&gt;'1-Input'!$B$26,AI480,(AI480-AE481)*(1+'5-Roberta'!$C$4))</f>
        <v>126560.8134213064</v>
      </c>
      <c r="AH481" s="18">
        <f>IF($A481&gt;'1-Input'!$B$26,AF481,AF481-'P-Parametri'!$B$8*(AG481+AF481)+MIN(MAX(AG481,0),'P-Parametri'!$B$8*(AG481+AF481)))</f>
        <v>-9.0949470177292824E-13</v>
      </c>
      <c r="AI481" s="18">
        <f>IF($A481&gt;'1-Input'!$B$26,AG481,AG481-MIN(MAX(AG481,0),'P-Parametri'!$B$8*(AG481+AF481)))</f>
        <v>126307.6917944638</v>
      </c>
      <c r="AJ481" s="18">
        <f>IF($A481&gt;'1-Input'!$B$26,AJ480,AJ480-AE481*(1-AD481))</f>
        <v>45756.296717876394</v>
      </c>
      <c r="AK481" s="11">
        <f>IF($A481&gt;'1-Input'!$B$26,0,IF(AP480&lt;=0,0,MAX(0,(AP480-AQ480)/AP480)))</f>
        <v>0.6276178672894136</v>
      </c>
      <c r="AL481" s="18">
        <f>IF($A481&gt;'1-Input'!$B$26,0,(MAX(0,AK451-IF($A481&gt;=('1-Input'!$C$12+1),'1-Input'!$B$12,0))-MIN(MAX(AO480,0),MAX(0,AK451-IF($A481&gt;=('1-Input'!$C$12+1),'1-Input'!$B$12,0))))*(1/(1-'P-Parametri'!$B$6*AK481))+MIN(MAX(0,AP480-(MAX(0,AK451-IF($A481&gt;=('1-Input'!$C$12+1),'1-Input'!$B$12,0))-MIN(MAX(AO480,0),MAX(0,AK451-IF($A481&gt;=('1-Input'!$C$12+1),'1-Input'!$B$12,0))))*(1/(1-'P-Parametri'!$B$6*AK481))),MAX(0,0*AK451-(AO480-MIN(MAX(AO480,0),MAX(0,AK451-IF($A481&gt;=('1-Input'!$C$12+1),'1-Input'!$B$12,0)))))*(1/(1-'P-Parametri'!$B$6*AK481))))</f>
        <v>8969.0377580961085</v>
      </c>
      <c r="AM481" s="18">
        <f>IF($A481&gt;'1-Input'!$B$26,AO480,(AO480-MAX(0,AK451-IF($A481&gt;=('1-Input'!$C$12+1),'1-Input'!$B$12,0))+AL481*(1-'P-Parametri'!$B$6*AK481))*(1+'1-Input'!$B$27))</f>
        <v>0</v>
      </c>
      <c r="AN481" s="18">
        <f>IF($A481&gt;'1-Input'!$B$26,AP480,(AP480-AL481)*(1+'5-Roberta'!$C$4))</f>
        <v>126595.20455733298</v>
      </c>
      <c r="AO481" s="18">
        <f>IF($A481&gt;'1-Input'!$B$26,AM481,AM481-'P-Parametri'!$B$8*(AN481+AM481)+MIN(MAX(AN481,0),'P-Parametri'!$B$8*(AN481+AM481)))</f>
        <v>0</v>
      </c>
      <c r="AP481" s="18">
        <f>IF($A481&gt;'1-Input'!$B$26,AN481,AN481-MIN(MAX(AN481,0),'P-Parametri'!$B$8*(AN481+AM481)))</f>
        <v>126342.01414821831</v>
      </c>
      <c r="AQ481" s="18">
        <f>IF($A481&gt;'1-Input'!$B$26,AQ480,AQ480-AL481*(1-AK481))</f>
        <v>45768.730353390871</v>
      </c>
    </row>
    <row r="482" spans="1:43">
      <c r="A482" s="10">
        <f>29</f>
        <v>29</v>
      </c>
      <c r="B482" s="11">
        <f>IF($A482&gt;'1-Input'!$B$26,0,IF(G481&lt;=0,0,MAX(0,(G481-H481)/G481)))</f>
        <v>0.637739427680033</v>
      </c>
      <c r="C482" s="18">
        <f>IF($A482&gt;'1-Input'!$B$26,0,(MAX(0,B451-IF($A482&gt;=('1-Input'!$C$12+1),'1-Input'!$B$12,0))-MIN(MAX(F481,0),MAX(0,B451-IF($A482&gt;=('1-Input'!$C$12+1),'1-Input'!$B$12,0))))*(1/(1-'P-Parametri'!$B$6*B482))+MIN(MAX(0,G481-(MAX(0,B451-IF($A482&gt;=('1-Input'!$C$12+1),'1-Input'!$B$12,0))-MIN(MAX(F481,0),MAX(0,B451-IF($A482&gt;=('1-Input'!$C$12+1),'1-Input'!$B$12,0))))*(1/(1-'P-Parametri'!$B$6*B482))),MAX(0,0*B451-(F481-MIN(MAX(F481,0),MAX(0,B451-IF($A482&gt;=('1-Input'!$C$12+1),'1-Input'!$B$12,0)))))*(1/(1-'P-Parametri'!$B$6*B482))))</f>
        <v>6688.0091713526954</v>
      </c>
      <c r="D482" s="18">
        <f>IF($A482&gt;'1-Input'!$B$26,F481,(F481-MAX(0,B451-IF($A482&gt;=('1-Input'!$C$12+1),'1-Input'!$B$12,0))+C482*(1-'P-Parametri'!$B$6*B482))*(1+'1-Input'!$B$27))</f>
        <v>0</v>
      </c>
      <c r="E482" s="18">
        <f>IF($A482&gt;'1-Input'!$B$26,G481,(G481-C482)*(1+'5-Roberta'!$C$4))</f>
        <v>218667.71627658722</v>
      </c>
      <c r="F482" s="18">
        <f>IF($A482&gt;'1-Input'!$B$26,D482,D482-'P-Parametri'!$B$8*(E482+D482)+MIN(MAX(E482,0),'P-Parametri'!$B$8*(E482+D482)))</f>
        <v>0</v>
      </c>
      <c r="G482" s="18">
        <f>IF($A482&gt;'1-Input'!$B$26,E482,E482-MIN(MAX(E482,0),'P-Parametri'!$B$8*(E482+D482)))</f>
        <v>218230.38084403405</v>
      </c>
      <c r="H482" s="18">
        <f>IF($A482&gt;'1-Input'!$B$26,H481,H481-C482*(1-B482))</f>
        <v>76907.468006074399</v>
      </c>
      <c r="I482" s="11">
        <f>IF($A482&gt;'1-Input'!$B$26,0,IF(N481&lt;=0,0,MAX(0,(N481-O481)/N481)))</f>
        <v>0</v>
      </c>
      <c r="J482" s="18">
        <f>IF($A482&gt;'1-Input'!$B$26,0,(MAX(0,I451-IF($A482&gt;=('1-Input'!$C$12+1),'1-Input'!$B$12,0))-MIN(MAX(M481,0),MAX(0,I451-IF($A482&gt;=('1-Input'!$C$12+1),'1-Input'!$B$12,0))))*(1/(1-'P-Parametri'!$B$6*I482))+MIN(MAX(0,N481-(MAX(0,I451-IF($A482&gt;=('1-Input'!$C$12+1),'1-Input'!$B$12,0))-MIN(MAX(M481,0),MAX(0,I451-IF($A482&gt;=('1-Input'!$C$12+1),'1-Input'!$B$12,0))))*(1/(1-'P-Parametri'!$B$6*I482))),MAX(0,0*I451-(M481-MIN(MAX(M481,0),MAX(0,I451-IF($A482&gt;=('1-Input'!$C$12+1),'1-Input'!$B$12,0)))))*(1/(1-'P-Parametri'!$B$6*I482))))</f>
        <v>10846.756992928691</v>
      </c>
      <c r="K482" s="18">
        <f>IF($A482&gt;'1-Input'!$B$26,M481,(M481-MAX(0,I451-IF($A482&gt;=('1-Input'!$C$12+1),'1-Input'!$B$12,0))+J482*(1-'P-Parametri'!$B$6*I482))*(1+'1-Input'!$B$27))</f>
        <v>-1.8124410416930913E-12</v>
      </c>
      <c r="L482" s="18">
        <f>IF($A482&gt;'1-Input'!$B$26,N481,(N481-J482)*(1+'5-Roberta'!$C$4))</f>
        <v>-42053.785899425173</v>
      </c>
      <c r="M482" s="18">
        <f>IF($A482&gt;'1-Input'!$B$26,K482,K482-'P-Parametri'!$B$8*(L482+K482)+MIN(MAX(L482,0),'P-Parametri'!$B$8*(L482+K482)))</f>
        <v>-1.8189894035458565E-12</v>
      </c>
      <c r="N482" s="18">
        <f>IF($A482&gt;'1-Input'!$B$26,L482,L482-MIN(MAX(L482,0),'P-Parametri'!$B$8*(L482+K482)))</f>
        <v>-41969.678327626323</v>
      </c>
      <c r="O482" s="18">
        <f>IF($A482&gt;'1-Input'!$B$26,O481,O481-J482*(1-I482))</f>
        <v>-35210.495377223328</v>
      </c>
      <c r="P482" s="11">
        <f>IF($A482&gt;'1-Input'!$B$26,0,IF(U481&lt;=0,0,MAX(0,(U481-V481)/U481)))</f>
        <v>0.63773942768003322</v>
      </c>
      <c r="Q482" s="18">
        <f>IF($A482&gt;'1-Input'!$B$26,0,(MAX(0,P451-IF($A482&gt;=('1-Input'!$C$12+1),'1-Input'!$B$12,0))-MIN(MAX(T481,0),MAX(0,P451-IF($A482&gt;=('1-Input'!$C$12+1),'1-Input'!$B$12,0))))*(1/(1-'P-Parametri'!$B$6*P482))+MIN(MAX(0,U481-(MAX(0,P451-IF($A482&gt;=('1-Input'!$C$12+1),'1-Input'!$B$12,0))-MIN(MAX(T481,0),MAX(0,P451-IF($A482&gt;=('1-Input'!$C$12+1),'1-Input'!$B$12,0))))*(1/(1-'P-Parametri'!$B$6*P482))),MAX(0,0*P451-(T481-MIN(MAX(T481,0),MAX(0,P451-IF($A482&gt;=('1-Input'!$C$12+1),'1-Input'!$B$12,0)))))*(1/(1-'P-Parametri'!$B$6*P482))))</f>
        <v>9283.3235021930941</v>
      </c>
      <c r="R482" s="18">
        <f>IF($A482&gt;'1-Input'!$B$26,T481,(T481-MAX(0,P451-IF($A482&gt;=('1-Input'!$C$12+1),'1-Input'!$B$12,0))+Q482*(1-'P-Parametri'!$B$6*P482))*(1+'1-Input'!$B$27))</f>
        <v>9.0622052084654565E-13</v>
      </c>
      <c r="S482" s="18">
        <f>IF($A482&gt;'1-Input'!$B$26,U481,(U481-Q482)*(1+'5-Roberta'!$C$4))</f>
        <v>108752.94136267515</v>
      </c>
      <c r="T482" s="18">
        <f>IF($A482&gt;'1-Input'!$B$26,R482,R482-'P-Parametri'!$B$8*(S482+R482)+MIN(MAX(S482,0),'P-Parametri'!$B$8*(S482+R482)))</f>
        <v>9.0949470177292824E-13</v>
      </c>
      <c r="U482" s="18">
        <f>IF($A482&gt;'1-Input'!$B$26,S482,S482-MIN(MAX(S482,0),'P-Parametri'!$B$8*(S482+R482)))</f>
        <v>108535.4354799498</v>
      </c>
      <c r="V482" s="18">
        <f>IF($A482&gt;'1-Input'!$B$26,V481,V481-Q482*(1-P482))</f>
        <v>38249.420174293664</v>
      </c>
      <c r="W482" s="11">
        <f>IF($A482&gt;'1-Input'!$B$26,0,IF(AB481&lt;=0,0,MAX(0,(AB481-AC481)/AB481)))</f>
        <v>0.63773942768003311</v>
      </c>
      <c r="X482" s="18">
        <f>IF($A482&gt;'1-Input'!$B$26,0,(MAX(0,W451-IF($A482&gt;=('1-Input'!$C$12+1),'1-Input'!$B$12,0))-MIN(MAX(AA481,0),MAX(0,W451-IF($A482&gt;=('1-Input'!$C$12+1),'1-Input'!$B$12,0))))*(1/(1-'P-Parametri'!$B$6*W482))+MIN(MAX(0,AB481-(MAX(0,W451-IF($A482&gt;=('1-Input'!$C$12+1),'1-Input'!$B$12,0))-MIN(MAX(AA481,0),MAX(0,W451-IF($A482&gt;=('1-Input'!$C$12+1),'1-Input'!$B$12,0))))*(1/(1-'P-Parametri'!$B$6*W482))),MAX(0,0*W451-(AA481-MIN(MAX(AA481,0),MAX(0,W451-IF($A482&gt;=('1-Input'!$C$12+1),'1-Input'!$B$12,0)))))*(1/(1-'P-Parametri'!$B$6*W482))))</f>
        <v>8992.8102667578114</v>
      </c>
      <c r="Y482" s="18">
        <f>IF($A482&gt;'1-Input'!$B$26,AA481,(AA481-MAX(0,W451-IF($A482&gt;=('1-Input'!$C$12+1),'1-Input'!$B$12,0))+X482*(1-'P-Parametri'!$B$6*W482))*(1+'1-Input'!$B$27))</f>
        <v>0</v>
      </c>
      <c r="Z482" s="18">
        <f>IF($A482&gt;'1-Input'!$B$26,AB481,(AB481-X482)*(1+'5-Roberta'!$C$4))</f>
        <v>121056.53653915691</v>
      </c>
      <c r="AA482" s="18">
        <f>IF($A482&gt;'1-Input'!$B$26,Y482,Y482-'P-Parametri'!$B$8*(Z482+Y482)+MIN(MAX(Z482,0),'P-Parametri'!$B$8*(Z482+Y482)))</f>
        <v>0</v>
      </c>
      <c r="AB482" s="18">
        <f>IF($A482&gt;'1-Input'!$B$26,Z482,Z482-MIN(MAX(Z482,0),'P-Parametri'!$B$8*(Z482+Y482)))</f>
        <v>120814.42346607859</v>
      </c>
      <c r="AC482" s="18">
        <f>IF($A482&gt;'1-Input'!$B$26,AC481,AC481-X482*(1-W482))</f>
        <v>42576.708941502875</v>
      </c>
      <c r="AD482" s="11">
        <f>IF($A482&gt;'1-Input'!$B$26,0,IF(AI481&lt;=0,0,MAX(0,(AI481-AJ481)/AI481)))</f>
        <v>0.63773942768003344</v>
      </c>
      <c r="AE482" s="18">
        <f>IF($A482&gt;'1-Input'!$B$26,0,(MAX(0,AD451-IF($A482&gt;=('1-Input'!$C$12+1),'1-Input'!$B$12,0))-MIN(MAX(AH481,0),MAX(0,AD451-IF($A482&gt;=('1-Input'!$C$12+1),'1-Input'!$B$12,0))))*(1/(1-'P-Parametri'!$B$6*AD482))+MIN(MAX(0,AI481-(MAX(0,AD451-IF($A482&gt;=('1-Input'!$C$12+1),'1-Input'!$B$12,0))-MIN(MAX(AH481,0),MAX(0,AD451-IF($A482&gt;=('1-Input'!$C$12+1),'1-Input'!$B$12,0))))*(1/(1-'P-Parametri'!$B$6*AD482))),MAX(0,0*AD451-(AH481-MIN(MAX(AH481,0),MAX(0,AD451-IF($A482&gt;=('1-Input'!$C$12+1),'1-Input'!$B$12,0)))))*(1/(1-'P-Parametri'!$B$6*AD482))))</f>
        <v>8998.1878540801517</v>
      </c>
      <c r="AF482" s="18">
        <f>IF($A482&gt;'1-Input'!$B$26,AH481,(AH481-MAX(0,AD451-IF($A482&gt;=('1-Input'!$C$12+1),'1-Input'!$B$12,0))+AE482*(1-'P-Parametri'!$B$6*AD482))*(1+'1-Input'!$B$27))</f>
        <v>-9.0622052084654565E-13</v>
      </c>
      <c r="AG482" s="18">
        <f>IF($A482&gt;'1-Input'!$B$26,AI481,(AI481-AE482)*(1+'5-Roberta'!$C$4))</f>
        <v>120828.78905859515</v>
      </c>
      <c r="AH482" s="18">
        <f>IF($A482&gt;'1-Input'!$B$26,AF482,AF482-'P-Parametri'!$B$8*(AG482+AF482)+MIN(MAX(AG482,0),'P-Parametri'!$B$8*(AG482+AF482)))</f>
        <v>-9.0949470177292824E-13</v>
      </c>
      <c r="AI482" s="18">
        <f>IF($A482&gt;'1-Input'!$B$26,AG482,AG482-MIN(MAX(AG482,0),'P-Parametri'!$B$8*(AG482+AF482)))</f>
        <v>120587.13148047797</v>
      </c>
      <c r="AJ482" s="18">
        <f>IF($A482&gt;'1-Input'!$B$26,AJ481,AJ481-AE482*(1-AD482))</f>
        <v>42496.608036014746</v>
      </c>
      <c r="AK482" s="11">
        <f>IF($A482&gt;'1-Input'!$B$26,0,IF(AP481&lt;=0,0,MAX(0,(AP481-AQ481)/AP481)))</f>
        <v>0.63773942768003344</v>
      </c>
      <c r="AL482" s="18">
        <f>IF($A482&gt;'1-Input'!$B$26,0,(MAX(0,AK451-IF($A482&gt;=('1-Input'!$C$12+1),'1-Input'!$B$12,0))-MIN(MAX(AO481,0),MAX(0,AK451-IF($A482&gt;=('1-Input'!$C$12+1),'1-Input'!$B$12,0))))*(1/(1-'P-Parametri'!$B$6*AK482))+MIN(MAX(0,AP481-(MAX(0,AK451-IF($A482&gt;=('1-Input'!$C$12+1),'1-Input'!$B$12,0))-MIN(MAX(AO481,0),MAX(0,AK451-IF($A482&gt;=('1-Input'!$C$12+1),'1-Input'!$B$12,0))))*(1/(1-'P-Parametri'!$B$6*AK482))),MAX(0,0*AK451-(AO481-MIN(MAX(AO481,0),MAX(0,AK451-IF($A482&gt;=('1-Input'!$C$12+1),'1-Input'!$B$12,0)))))*(1/(1-'P-Parametri'!$B$6*AK482))))</f>
        <v>8997.3323128118609</v>
      </c>
      <c r="AM482" s="18">
        <f>IF($A482&gt;'1-Input'!$B$26,AO481,(AO481-MAX(0,AK451-IF($A482&gt;=('1-Input'!$C$12+1),'1-Input'!$B$12,0))+AL482*(1-'P-Parametri'!$B$6*AK482))*(1+'1-Input'!$B$27))</f>
        <v>0</v>
      </c>
      <c r="AN482" s="18">
        <f>IF($A482&gt;'1-Input'!$B$26,AP481,(AP481-AL482)*(1+'5-Roberta'!$C$4))</f>
        <v>120865.02229046864</v>
      </c>
      <c r="AO482" s="18">
        <f>IF($A482&gt;'1-Input'!$B$26,AM482,AM482-'P-Parametri'!$B$8*(AN482+AM482)+MIN(MAX(AN482,0),'P-Parametri'!$B$8*(AN482+AM482)))</f>
        <v>0</v>
      </c>
      <c r="AP482" s="18">
        <f>IF($A482&gt;'1-Input'!$B$26,AN482,AN482-MIN(MAX(AN482,0),'P-Parametri'!$B$8*(AN482+AM482)))</f>
        <v>120623.2922458877</v>
      </c>
      <c r="AQ482" s="18">
        <f>IF($A482&gt;'1-Input'!$B$26,AQ481,AQ481-AL482*(1-AK482))</f>
        <v>42509.351600398717</v>
      </c>
    </row>
    <row r="483" spans="1:43">
      <c r="A483" s="10">
        <f>30</f>
        <v>30</v>
      </c>
      <c r="B483" s="11">
        <f>IF($A483&gt;'1-Input'!$B$26,0,IF(G482&lt;=0,0,MAX(0,(G482-H482)/G482)))</f>
        <v>0.64758587824195291</v>
      </c>
      <c r="C483" s="18">
        <f>IF($A483&gt;'1-Input'!$B$26,0,(MAX(0,B451-IF($A483&gt;=('1-Input'!$C$12+1),'1-Input'!$B$12,0))-MIN(MAX(F482,0),MAX(0,B451-IF($A483&gt;=('1-Input'!$C$12+1),'1-Input'!$B$12,0))))*(1/(1-'P-Parametri'!$B$6*B483))+MIN(MAX(0,G482-(MAX(0,B451-IF($A483&gt;=('1-Input'!$C$12+1),'1-Input'!$B$12,0))-MIN(MAX(F482,0),MAX(0,B451-IF($A483&gt;=('1-Input'!$C$12+1),'1-Input'!$B$12,0))))*(1/(1-'P-Parametri'!$B$6*B483))),MAX(0,0*B451-(F482-MIN(MAX(F482,0),MAX(0,B451-IF($A483&gt;=('1-Input'!$C$12+1),'1-Input'!$B$12,0)))))*(1/(1-'P-Parametri'!$B$6*B483))))</f>
        <v>6708.5974947286659</v>
      </c>
      <c r="D483" s="18">
        <f>IF($A483&gt;'1-Input'!$B$26,F482,(F482-MAX(0,B451-IF($A483&gt;=('1-Input'!$C$12+1),'1-Input'!$B$12,0))+C483*(1-'P-Parametri'!$B$6*B483))*(1+'1-Input'!$B$27))</f>
        <v>0</v>
      </c>
      <c r="E483" s="18">
        <f>IF($A483&gt;'1-Input'!$B$26,G482,(G482-C483)*(1+'5-Roberta'!$C$4))</f>
        <v>217867.43684978457</v>
      </c>
      <c r="F483" s="18">
        <f>IF($A483&gt;'1-Input'!$B$26,D483,D483-'P-Parametri'!$B$8*(E483+D483)+MIN(MAX(E483,0),'P-Parametri'!$B$8*(E483+D483)))</f>
        <v>0</v>
      </c>
      <c r="G483" s="18">
        <f>IF($A483&gt;'1-Input'!$B$26,E483,E483-MIN(MAX(E483,0),'P-Parametri'!$B$8*(E483+D483)))</f>
        <v>217431.70197608499</v>
      </c>
      <c r="H483" s="18">
        <f>IF($A483&gt;'1-Input'!$B$26,H482,H482-C483*(1-B483))</f>
        <v>74543.263511741359</v>
      </c>
      <c r="I483" s="11">
        <f>IF($A483&gt;'1-Input'!$B$26,0,IF(N482&lt;=0,0,MAX(0,(N482-O482)/N482)))</f>
        <v>0</v>
      </c>
      <c r="J483" s="18">
        <f>IF($A483&gt;'1-Input'!$B$26,0,(MAX(0,I451-IF($A483&gt;=('1-Input'!$C$12+1),'1-Input'!$B$12,0))-MIN(MAX(M482,0),MAX(0,I451-IF($A483&gt;=('1-Input'!$C$12+1),'1-Input'!$B$12,0))))*(1/(1-'P-Parametri'!$B$6*I483))+MIN(MAX(0,N482-(MAX(0,I451-IF($A483&gt;=('1-Input'!$C$12+1),'1-Input'!$B$12,0))-MIN(MAX(M482,0),MAX(0,I451-IF($A483&gt;=('1-Input'!$C$12+1),'1-Input'!$B$12,0))))*(1/(1-'P-Parametri'!$B$6*I483))),MAX(0,0*I451-(M482-MIN(MAX(M482,0),MAX(0,I451-IF($A483&gt;=('1-Input'!$C$12+1),'1-Input'!$B$12,0)))))*(1/(1-'P-Parametri'!$B$6*I483))))</f>
        <v>10846.756992928691</v>
      </c>
      <c r="K483" s="18">
        <f>IF($A483&gt;'1-Input'!$B$26,M482,(M482-MAX(0,I451-IF($A483&gt;=('1-Input'!$C$12+1),'1-Input'!$B$12,0))+J483*(1-'P-Parametri'!$B$6*I483))*(1+'1-Input'!$B$27))</f>
        <v>-1.8124410416930913E-12</v>
      </c>
      <c r="L483" s="18">
        <f>IF($A483&gt;'1-Input'!$B$26,N482,(N482-J483)*(1+'5-Roberta'!$C$4))</f>
        <v>-54400.928380171667</v>
      </c>
      <c r="M483" s="18">
        <f>IF($A483&gt;'1-Input'!$B$26,K483,K483-'P-Parametri'!$B$8*(L483+K483)+MIN(MAX(L483,0),'P-Parametri'!$B$8*(L483+K483)))</f>
        <v>-1.8189894035458565E-12</v>
      </c>
      <c r="N483" s="18">
        <f>IF($A483&gt;'1-Input'!$B$26,L483,L483-MIN(MAX(L483,0),'P-Parametri'!$B$8*(L483+K483)))</f>
        <v>-54292.126523411323</v>
      </c>
      <c r="O483" s="18">
        <f>IF($A483&gt;'1-Input'!$B$26,O482,O482-J483*(1-I483))</f>
        <v>-46057.252370152019</v>
      </c>
      <c r="P483" s="11">
        <f>IF($A483&gt;'1-Input'!$B$26,0,IF(U482&lt;=0,0,MAX(0,(U482-V482)/U482)))</f>
        <v>0.64758587824195313</v>
      </c>
      <c r="Q483" s="18">
        <f>IF($A483&gt;'1-Input'!$B$26,0,(MAX(0,P451-IF($A483&gt;=('1-Input'!$C$12+1),'1-Input'!$B$12,0))-MIN(MAX(T482,0),MAX(0,P451-IF($A483&gt;=('1-Input'!$C$12+1),'1-Input'!$B$12,0))))*(1/(1-'P-Parametri'!$B$6*P483))+MIN(MAX(0,U482-(MAX(0,P451-IF($A483&gt;=('1-Input'!$C$12+1),'1-Input'!$B$12,0))-MIN(MAX(T482,0),MAX(0,P451-IF($A483&gt;=('1-Input'!$C$12+1),'1-Input'!$B$12,0))))*(1/(1-'P-Parametri'!$B$6*P483))),MAX(0,0*P451-(T482-MIN(MAX(T482,0),MAX(0,P451-IF($A483&gt;=('1-Input'!$C$12+1),'1-Input'!$B$12,0)))))*(1/(1-'P-Parametri'!$B$6*P483))))</f>
        <v>9311.9012241085438</v>
      </c>
      <c r="R483" s="18">
        <f>IF($A483&gt;'1-Input'!$B$26,T482,(T482-MAX(0,P451-IF($A483&gt;=('1-Input'!$C$12+1),'1-Input'!$B$12,0))+Q483*(1-'P-Parametri'!$B$6*P483))*(1+'1-Input'!$B$27))</f>
        <v>0</v>
      </c>
      <c r="S483" s="18">
        <f>IF($A483&gt;'1-Input'!$B$26,U482,(U482-Q483)*(1+'5-Roberta'!$C$4))</f>
        <v>102200.2402835165</v>
      </c>
      <c r="T483" s="18">
        <f>IF($A483&gt;'1-Input'!$B$26,R483,R483-'P-Parametri'!$B$8*(S483+R483)+MIN(MAX(S483,0),'P-Parametri'!$B$8*(S483+R483)))</f>
        <v>0</v>
      </c>
      <c r="U483" s="18">
        <f>IF($A483&gt;'1-Input'!$B$26,S483,S483-MIN(MAX(S483,0),'P-Parametri'!$B$8*(S483+R483)))</f>
        <v>101995.83980294947</v>
      </c>
      <c r="V483" s="18">
        <f>IF($A483&gt;'1-Input'!$B$26,V482,V482-Q483*(1-P483))</f>
        <v>34967.774682501768</v>
      </c>
      <c r="W483" s="11">
        <f>IF($A483&gt;'1-Input'!$B$26,0,IF(AB482&lt;=0,0,MAX(0,(AB482-AC482)/AB482)))</f>
        <v>0.64758587824195291</v>
      </c>
      <c r="X483" s="18">
        <f>IF($A483&gt;'1-Input'!$B$26,0,(MAX(0,W451-IF($A483&gt;=('1-Input'!$C$12+1),'1-Input'!$B$12,0))-MIN(MAX(AA482,0),MAX(0,W451-IF($A483&gt;=('1-Input'!$C$12+1),'1-Input'!$B$12,0))))*(1/(1-'P-Parametri'!$B$6*W483))+MIN(MAX(0,AB482-(MAX(0,W451-IF($A483&gt;=('1-Input'!$C$12+1),'1-Input'!$B$12,0))-MIN(MAX(AA482,0),MAX(0,W451-IF($A483&gt;=('1-Input'!$C$12+1),'1-Input'!$B$12,0))))*(1/(1-'P-Parametri'!$B$6*W483))),MAX(0,0*W451-(AA482-MIN(MAX(AA482,0),MAX(0,W451-IF($A483&gt;=('1-Input'!$C$12+1),'1-Input'!$B$12,0)))))*(1/(1-'P-Parametri'!$B$6*W483))))</f>
        <v>9020.4936746430467</v>
      </c>
      <c r="Y483" s="18">
        <f>IF($A483&gt;'1-Input'!$B$26,AA482,(AA482-MAX(0,W451-IF($A483&gt;=('1-Input'!$C$12+1),'1-Input'!$B$12,0))+X483*(1-'P-Parametri'!$B$6*W483))*(1+'1-Input'!$B$27))</f>
        <v>0</v>
      </c>
      <c r="Z483" s="18">
        <f>IF($A483&gt;'1-Input'!$B$26,AB482,(AB482-X483)*(1+'5-Roberta'!$C$4))</f>
        <v>115147.74768517861</v>
      </c>
      <c r="AA483" s="18">
        <f>IF($A483&gt;'1-Input'!$B$26,Y483,Y483-'P-Parametri'!$B$8*(Z483+Y483)+MIN(MAX(Z483,0),'P-Parametri'!$B$8*(Z483+Y483)))</f>
        <v>0</v>
      </c>
      <c r="AB483" s="18">
        <f>IF($A483&gt;'1-Input'!$B$26,Z483,Z483-MIN(MAX(Z483,0),'P-Parametri'!$B$8*(Z483+Y483)))</f>
        <v>114917.45218980825</v>
      </c>
      <c r="AC483" s="18">
        <f>IF($A483&gt;'1-Input'!$B$26,AC482,AC482-X483*(1-W483))</f>
        <v>39397.759585329528</v>
      </c>
      <c r="AD483" s="11">
        <f>IF($A483&gt;'1-Input'!$B$26,0,IF(AI482&lt;=0,0,MAX(0,(AI482-AJ482)/AI482)))</f>
        <v>0.64758587824195335</v>
      </c>
      <c r="AE483" s="18">
        <f>IF($A483&gt;'1-Input'!$B$26,0,(MAX(0,AD451-IF($A483&gt;=('1-Input'!$C$12+1),'1-Input'!$B$12,0))-MIN(MAX(AH482,0),MAX(0,AD451-IF($A483&gt;=('1-Input'!$C$12+1),'1-Input'!$B$12,0))))*(1/(1-'P-Parametri'!$B$6*AD483))+MIN(MAX(0,AI482-(MAX(0,AD451-IF($A483&gt;=('1-Input'!$C$12+1),'1-Input'!$B$12,0))-MIN(MAX(AH482,0),MAX(0,AD451-IF($A483&gt;=('1-Input'!$C$12+1),'1-Input'!$B$12,0))))*(1/(1-'P-Parametri'!$B$6*AD483))),MAX(0,0*AD451-(AH482-MIN(MAX(AH482,0),MAX(0,AD451-IF($A483&gt;=('1-Input'!$C$12+1),'1-Input'!$B$12,0)))))*(1/(1-'P-Parametri'!$B$6*AD483))))</f>
        <v>9025.8878162947785</v>
      </c>
      <c r="AF483" s="18">
        <f>IF($A483&gt;'1-Input'!$B$26,AH482,(AH482-MAX(0,AD451-IF($A483&gt;=('1-Input'!$C$12+1),'1-Input'!$B$12,0))+AE483*(1-'P-Parametri'!$B$6*AD483))*(1+'1-Input'!$B$27))</f>
        <v>9.0622052084654565E-13</v>
      </c>
      <c r="AG483" s="18">
        <f>IF($A483&gt;'1-Input'!$B$26,AI482,(AI482-AE483)*(1+'5-Roberta'!$C$4))</f>
        <v>114908.08097410869</v>
      </c>
      <c r="AH483" s="18">
        <f>IF($A483&gt;'1-Input'!$B$26,AF483,AF483-'P-Parametri'!$B$8*(AG483+AF483)+MIN(MAX(AG483,0),'P-Parametri'!$B$8*(AG483+AF483)))</f>
        <v>9.0949470177292824E-13</v>
      </c>
      <c r="AI483" s="18">
        <f>IF($A483&gt;'1-Input'!$B$26,AG483,AG483-MIN(MAX(AG483,0),'P-Parametri'!$B$8*(AG483+AF483)))</f>
        <v>114678.26481216047</v>
      </c>
      <c r="AJ483" s="18">
        <f>IF($A483&gt;'1-Input'!$B$26,AJ482,AJ482-AE483*(1-AD483))</f>
        <v>39315.757708148565</v>
      </c>
      <c r="AK483" s="11">
        <f>IF($A483&gt;'1-Input'!$B$26,0,IF(AP482&lt;=0,0,MAX(0,(AP482-AQ482)/AP482)))</f>
        <v>0.64758587824195335</v>
      </c>
      <c r="AL483" s="18">
        <f>IF($A483&gt;'1-Input'!$B$26,0,(MAX(0,AK451-IF($A483&gt;=('1-Input'!$C$12+1),'1-Input'!$B$12,0))-MIN(MAX(AO482,0),MAX(0,AK451-IF($A483&gt;=('1-Input'!$C$12+1),'1-Input'!$B$12,0))))*(1/(1-'P-Parametri'!$B$6*AK483))+MIN(MAX(0,AP482-(MAX(0,AK451-IF($A483&gt;=('1-Input'!$C$12+1),'1-Input'!$B$12,0))-MIN(MAX(AO482,0),MAX(0,AK451-IF($A483&gt;=('1-Input'!$C$12+1),'1-Input'!$B$12,0))))*(1/(1-'P-Parametri'!$B$6*AK483))),MAX(0,0*AK451-(AO482-MIN(MAX(AO482,0),MAX(0,AK451-IF($A483&gt;=('1-Input'!$C$12+1),'1-Input'!$B$12,0)))))*(1/(1-'P-Parametri'!$B$6*AK483))))</f>
        <v>9025.029641333882</v>
      </c>
      <c r="AM483" s="18">
        <f>IF($A483&gt;'1-Input'!$B$26,AO482,(AO482-MAX(0,AK451-IF($A483&gt;=('1-Input'!$C$12+1),'1-Input'!$B$12,0))+AL483*(1-'P-Parametri'!$B$6*AK483))*(1+'1-Input'!$B$27))</f>
        <v>0</v>
      </c>
      <c r="AN483" s="18">
        <f>IF($A483&gt;'1-Input'!$B$26,AP482,(AP482-AL483)*(1+'5-Roberta'!$C$4))</f>
        <v>114946.21048269044</v>
      </c>
      <c r="AO483" s="18">
        <f>IF($A483&gt;'1-Input'!$B$26,AM483,AM483-'P-Parametri'!$B$8*(AN483+AM483)+MIN(MAX(AN483,0),'P-Parametri'!$B$8*(AN483+AM483)))</f>
        <v>0</v>
      </c>
      <c r="AP483" s="18">
        <f>IF($A483&gt;'1-Input'!$B$26,AN483,AN483-MIN(MAX(AN483,0),'P-Parametri'!$B$8*(AN483+AM483)))</f>
        <v>114716.31806172506</v>
      </c>
      <c r="AQ483" s="18">
        <f>IF($A483&gt;'1-Input'!$B$26,AQ482,AQ482-AL483*(1-AK483))</f>
        <v>39328.8037055077</v>
      </c>
    </row>
    <row r="484" spans="1:43">
      <c r="A484" s="10">
        <f>31</f>
        <v>31</v>
      </c>
      <c r="B484" s="11">
        <f>IF($A484&gt;'1-Input'!$B$26,0,IF(G483&lt;=0,0,MAX(0,(G483-H483)/G483)))</f>
        <v>0.65716469661843391</v>
      </c>
      <c r="C484" s="18">
        <f>IF($A484&gt;'1-Input'!$B$26,0,(MAX(0,B451-IF($A484&gt;=('1-Input'!$C$12+1),'1-Input'!$B$12,0))-MIN(MAX(F483,0),MAX(0,B451-IF($A484&gt;=('1-Input'!$C$12+1),'1-Input'!$B$12,0))))*(1/(1-'P-Parametri'!$B$6*B484))+MIN(MAX(0,G483-(MAX(0,B451-IF($A484&gt;=('1-Input'!$C$12+1),'1-Input'!$B$12,0))-MIN(MAX(F483,0),MAX(0,B451-IF($A484&gt;=('1-Input'!$C$12+1),'1-Input'!$B$12,0))))*(1/(1-'P-Parametri'!$B$6*B484))),MAX(0,0*B451-(F483-MIN(MAX(F483,0),MAX(0,B451-IF($A484&gt;=('1-Input'!$C$12+1),'1-Input'!$B$12,0)))))*(1/(1-'P-Parametri'!$B$6*B484))))</f>
        <v>6728.7482177163183</v>
      </c>
      <c r="D484" s="18">
        <f>IF($A484&gt;'1-Input'!$B$26,F483,(F483-MAX(0,B451-IF($A484&gt;=('1-Input'!$C$12+1),'1-Input'!$B$12,0))+C484*(1-'P-Parametri'!$B$6*B484))*(1+'1-Input'!$B$27))</f>
        <v>-9.0622052084654565E-13</v>
      </c>
      <c r="E484" s="18">
        <f>IF($A484&gt;'1-Input'!$B$26,G483,(G483-C484)*(1+'5-Roberta'!$C$4))</f>
        <v>217024.04237111975</v>
      </c>
      <c r="F484" s="18">
        <f>IF($A484&gt;'1-Input'!$B$26,D484,D484-'P-Parametri'!$B$8*(E484+D484)+MIN(MAX(E484,0),'P-Parametri'!$B$8*(E484+D484)))</f>
        <v>-9.0949470177292824E-13</v>
      </c>
      <c r="G484" s="18">
        <f>IF($A484&gt;'1-Input'!$B$26,E484,E484-MIN(MAX(E484,0),'P-Parametri'!$B$8*(E484+D484)))</f>
        <v>216589.99428637751</v>
      </c>
      <c r="H484" s="18">
        <f>IF($A484&gt;'1-Input'!$B$26,H483,H483-C484*(1-B484))</f>
        <v>72236.411075142416</v>
      </c>
      <c r="I484" s="11">
        <f>IF($A484&gt;'1-Input'!$B$26,0,IF(N483&lt;=0,0,MAX(0,(N483-O483)/N483)))</f>
        <v>0</v>
      </c>
      <c r="J484" s="18">
        <f>IF($A484&gt;'1-Input'!$B$26,0,(MAX(0,I451-IF($A484&gt;=('1-Input'!$C$12+1),'1-Input'!$B$12,0))-MIN(MAX(M483,0),MAX(0,I451-IF($A484&gt;=('1-Input'!$C$12+1),'1-Input'!$B$12,0))))*(1/(1-'P-Parametri'!$B$6*I484))+MIN(MAX(0,N483-(MAX(0,I451-IF($A484&gt;=('1-Input'!$C$12+1),'1-Input'!$B$12,0))-MIN(MAX(M483,0),MAX(0,I451-IF($A484&gt;=('1-Input'!$C$12+1),'1-Input'!$B$12,0))))*(1/(1-'P-Parametri'!$B$6*I484))),MAX(0,0*I451-(M483-MIN(MAX(M483,0),MAX(0,I451-IF($A484&gt;=('1-Input'!$C$12+1),'1-Input'!$B$12,0)))))*(1/(1-'P-Parametri'!$B$6*I484))))</f>
        <v>10846.756992928691</v>
      </c>
      <c r="K484" s="18">
        <f>IF($A484&gt;'1-Input'!$B$26,M483,(M483-MAX(0,I451-IF($A484&gt;=('1-Input'!$C$12+1),'1-Input'!$B$12,0))+J484*(1-'P-Parametri'!$B$6*I484))*(1+'1-Input'!$B$27))</f>
        <v>-1.8124410416930913E-12</v>
      </c>
      <c r="L484" s="18">
        <f>IF($A484&gt;'1-Input'!$B$26,N483,(N483-J484)*(1+'5-Roberta'!$C$4))</f>
        <v>-67093.050021830219</v>
      </c>
      <c r="M484" s="18">
        <f>IF($A484&gt;'1-Input'!$B$26,K484,K484-'P-Parametri'!$B$8*(L484+K484)+MIN(MAX(L484,0),'P-Parametri'!$B$8*(L484+K484)))</f>
        <v>-1.8189894035458565E-12</v>
      </c>
      <c r="N484" s="18">
        <f>IF($A484&gt;'1-Input'!$B$26,L484,L484-MIN(MAX(L484,0),'P-Parametri'!$B$8*(L484+K484)))</f>
        <v>-66958.863921786557</v>
      </c>
      <c r="O484" s="18">
        <f>IF($A484&gt;'1-Input'!$B$26,O483,O483-J484*(1-I484))</f>
        <v>-56904.00936308071</v>
      </c>
      <c r="P484" s="11">
        <f>IF($A484&gt;'1-Input'!$B$26,0,IF(U483&lt;=0,0,MAX(0,(U483-V483)/U483)))</f>
        <v>0.65716469661843424</v>
      </c>
      <c r="Q484" s="18">
        <f>IF($A484&gt;'1-Input'!$B$26,0,(MAX(0,P451-IF($A484&gt;=('1-Input'!$C$12+1),'1-Input'!$B$12,0))-MIN(MAX(T483,0),MAX(0,P451-IF($A484&gt;=('1-Input'!$C$12+1),'1-Input'!$B$12,0))))*(1/(1-'P-Parametri'!$B$6*P484))+MIN(MAX(0,U483-(MAX(0,P451-IF($A484&gt;=('1-Input'!$C$12+1),'1-Input'!$B$12,0))-MIN(MAX(T483,0),MAX(0,P451-IF($A484&gt;=('1-Input'!$C$12+1),'1-Input'!$B$12,0))))*(1/(1-'P-Parametri'!$B$6*P484))),MAX(0,0*P451-(T483-MIN(MAX(T483,0),MAX(0,P451-IF($A484&gt;=('1-Input'!$C$12+1),'1-Input'!$B$12,0)))))*(1/(1-'P-Parametri'!$B$6*P484))))</f>
        <v>9339.8715326868805</v>
      </c>
      <c r="R484" s="18">
        <f>IF($A484&gt;'1-Input'!$B$26,T483,(T483-MAX(0,P451-IF($A484&gt;=('1-Input'!$C$12+1),'1-Input'!$B$12,0))+Q484*(1-'P-Parametri'!$B$6*P484))*(1+'1-Input'!$B$27))</f>
        <v>9.0622052084654565E-13</v>
      </c>
      <c r="S484" s="18">
        <f>IF($A484&gt;'1-Input'!$B$26,U483,(U483-Q484)*(1+'5-Roberta'!$C$4))</f>
        <v>95435.647318370466</v>
      </c>
      <c r="T484" s="18">
        <f>IF($A484&gt;'1-Input'!$B$26,R484,R484-'P-Parametri'!$B$8*(S484+R484)+MIN(MAX(S484,0),'P-Parametri'!$B$8*(S484+R484)))</f>
        <v>9.0949470177292824E-13</v>
      </c>
      <c r="U484" s="18">
        <f>IF($A484&gt;'1-Input'!$B$26,S484,S484-MIN(MAX(S484,0),'P-Parametri'!$B$8*(S484+R484)))</f>
        <v>95244.776023733721</v>
      </c>
      <c r="V484" s="18">
        <f>IF($A484&gt;'1-Input'!$B$26,V483,V483-Q484*(1-P484))</f>
        <v>31765.736992048212</v>
      </c>
      <c r="W484" s="11">
        <f>IF($A484&gt;'1-Input'!$B$26,0,IF(AB483&lt;=0,0,MAX(0,(AB483-AC483)/AB483)))</f>
        <v>0.6571646966184338</v>
      </c>
      <c r="X484" s="18">
        <f>IF($A484&gt;'1-Input'!$B$26,0,(MAX(0,W451-IF($A484&gt;=('1-Input'!$C$12+1),'1-Input'!$B$12,0))-MIN(MAX(AA483,0),MAX(0,W451-IF($A484&gt;=('1-Input'!$C$12+1),'1-Input'!$B$12,0))))*(1/(1-'P-Parametri'!$B$6*W484))+MIN(MAX(0,AB483-(MAX(0,W451-IF($A484&gt;=('1-Input'!$C$12+1),'1-Input'!$B$12,0))-MIN(MAX(AA483,0),MAX(0,W451-IF($A484&gt;=('1-Input'!$C$12+1),'1-Input'!$B$12,0))))*(1/(1-'P-Parametri'!$B$6*W484))),MAX(0,0*W451-(AA483-MIN(MAX(AA483,0),MAX(0,W451-IF($A484&gt;=('1-Input'!$C$12+1),'1-Input'!$B$12,0)))))*(1/(1-'P-Parametri'!$B$6*W484))))</f>
        <v>9047.5886776436637</v>
      </c>
      <c r="Y484" s="18">
        <f>IF($A484&gt;'1-Input'!$B$26,AA483,(AA483-MAX(0,W451-IF($A484&gt;=('1-Input'!$C$12+1),'1-Input'!$B$12,0))+X484*(1-'P-Parametri'!$B$6*W484))*(1+'1-Input'!$B$27))</f>
        <v>-9.0622052084654565E-13</v>
      </c>
      <c r="Z484" s="18">
        <f>IF($A484&gt;'1-Input'!$B$26,AB483,(AB483-X484)*(1+'5-Roberta'!$C$4))</f>
        <v>109045.95941752952</v>
      </c>
      <c r="AA484" s="18">
        <f>IF($A484&gt;'1-Input'!$B$26,Y484,Y484-'P-Parametri'!$B$8*(Z484+Y484)+MIN(MAX(Z484,0),'P-Parametri'!$B$8*(Z484+Y484)))</f>
        <v>-9.0949470177292824E-13</v>
      </c>
      <c r="AB484" s="18">
        <f>IF($A484&gt;'1-Input'!$B$26,Z484,Z484-MIN(MAX(Z484,0),'P-Parametri'!$B$8*(Z484+Y484)))</f>
        <v>108827.86749869447</v>
      </c>
      <c r="AC484" s="18">
        <f>IF($A484&gt;'1-Input'!$B$26,AC483,AC483-X484*(1-W484))</f>
        <v>36295.926776157939</v>
      </c>
      <c r="AD484" s="11">
        <f>IF($A484&gt;'1-Input'!$B$26,0,IF(AI483&lt;=0,0,MAX(0,(AI483-AJ483)/AI483)))</f>
        <v>0.65716469661843435</v>
      </c>
      <c r="AE484" s="18">
        <f>IF($A484&gt;'1-Input'!$B$26,0,(MAX(0,AD451-IF($A484&gt;=('1-Input'!$C$12+1),'1-Input'!$B$12,0))-MIN(MAX(AH483,0),MAX(0,AD451-IF($A484&gt;=('1-Input'!$C$12+1),'1-Input'!$B$12,0))))*(1/(1-'P-Parametri'!$B$6*AD484))+MIN(MAX(0,AI483-(MAX(0,AD451-IF($A484&gt;=('1-Input'!$C$12+1),'1-Input'!$B$12,0))-MIN(MAX(AH483,0),MAX(0,AD451-IF($A484&gt;=('1-Input'!$C$12+1),'1-Input'!$B$12,0))))*(1/(1-'P-Parametri'!$B$6*AD484))),MAX(0,0*AD451-(AH483-MIN(MAX(AH483,0),MAX(0,AD451-IF($A484&gt;=('1-Input'!$C$12+1),'1-Input'!$B$12,0)))))*(1/(1-'P-Parametri'!$B$6*AD484))))</f>
        <v>9052.9990217660688</v>
      </c>
      <c r="AF484" s="18">
        <f>IF($A484&gt;'1-Input'!$B$26,AH483,(AH483-MAX(0,AD451-IF($A484&gt;=('1-Input'!$C$12+1),'1-Input'!$B$12,0))+AE484*(1-'P-Parametri'!$B$6*AD484))*(1+'1-Input'!$B$27))</f>
        <v>0</v>
      </c>
      <c r="AG484" s="18">
        <f>IF($A484&gt;'1-Input'!$B$26,AI483,(AI483-AE484)*(1+'5-Roberta'!$C$4))</f>
        <v>108794.02376410624</v>
      </c>
      <c r="AH484" s="18">
        <f>IF($A484&gt;'1-Input'!$B$26,AF484,AF484-'P-Parametri'!$B$8*(AG484+AF484)+MIN(MAX(AG484,0),'P-Parametri'!$B$8*(AG484+AF484)))</f>
        <v>0</v>
      </c>
      <c r="AI484" s="18">
        <f>IF($A484&gt;'1-Input'!$B$26,AG484,AG484-MIN(MAX(AG484,0),'P-Parametri'!$B$8*(AG484+AF484)))</f>
        <v>108576.43571657802</v>
      </c>
      <c r="AJ484" s="18">
        <f>IF($A484&gt;'1-Input'!$B$26,AJ483,AJ483-AE484*(1-AD484))</f>
        <v>36212.070042008381</v>
      </c>
      <c r="AK484" s="11">
        <f>IF($A484&gt;'1-Input'!$B$26,0,IF(AP483&lt;=0,0,MAX(0,(AP483-AQ483)/AP483)))</f>
        <v>0.65716469661843424</v>
      </c>
      <c r="AL484" s="18">
        <f>IF($A484&gt;'1-Input'!$B$26,0,(MAX(0,AK451-IF($A484&gt;=('1-Input'!$C$12+1),'1-Input'!$B$12,0))-MIN(MAX(AO483,0),MAX(0,AK451-IF($A484&gt;=('1-Input'!$C$12+1),'1-Input'!$B$12,0))))*(1/(1-'P-Parametri'!$B$6*AK484))+MIN(MAX(0,AP483-(MAX(0,AK451-IF($A484&gt;=('1-Input'!$C$12+1),'1-Input'!$B$12,0))-MIN(MAX(AO483,0),MAX(0,AK451-IF($A484&gt;=('1-Input'!$C$12+1),'1-Input'!$B$12,0))))*(1/(1-'P-Parametri'!$B$6*AK484))),MAX(0,0*AK451-(AO483-MIN(MAX(AO483,0),MAX(0,AK451-IF($A484&gt;=('1-Input'!$C$12+1),'1-Input'!$B$12,0)))))*(1/(1-'P-Parametri'!$B$6*AK484))))</f>
        <v>9052.1382690911396</v>
      </c>
      <c r="AM484" s="18">
        <f>IF($A484&gt;'1-Input'!$B$26,AO483,(AO483-MAX(0,AK451-IF($A484&gt;=('1-Input'!$C$12+1),'1-Input'!$B$12,0))+AL484*(1-'P-Parametri'!$B$6*AK484))*(1+'1-Input'!$B$27))</f>
        <v>0</v>
      </c>
      <c r="AN484" s="18">
        <f>IF($A484&gt;'1-Input'!$B$26,AP483,(AP483-AL484)*(1+'5-Roberta'!$C$4))</f>
        <v>108834.10518641294</v>
      </c>
      <c r="AO484" s="18">
        <f>IF($A484&gt;'1-Input'!$B$26,AM484,AM484-'P-Parametri'!$B$8*(AN484+AM484)+MIN(MAX(AN484,0),'P-Parametri'!$B$8*(AN484+AM484)))</f>
        <v>0</v>
      </c>
      <c r="AP484" s="18">
        <f>IF($A484&gt;'1-Input'!$B$26,AN484,AN484-MIN(MAX(AN484,0),'P-Parametri'!$B$8*(AN484+AM484)))</f>
        <v>108616.43697604012</v>
      </c>
      <c r="AQ484" s="18">
        <f>IF($A484&gt;'1-Input'!$B$26,AQ483,AQ483-AL484*(1-AK484))</f>
        <v>36225.411135771959</v>
      </c>
    </row>
    <row r="485" spans="1:43">
      <c r="A485" s="10">
        <f>32</f>
        <v>32</v>
      </c>
      <c r="B485" s="11">
        <f>IF($A485&gt;'1-Input'!$B$26,0,IF(G484&lt;=0,0,MAX(0,(G484-H484)/G484)))</f>
        <v>0.66648315720609563</v>
      </c>
      <c r="C485" s="18">
        <f>IF($A485&gt;'1-Input'!$B$26,0,(MAX(0,B451-IF($A485&gt;=('1-Input'!$C$12+1),'1-Input'!$B$12,0))-MIN(MAX(F484,0),MAX(0,B451-IF($A485&gt;=('1-Input'!$C$12+1),'1-Input'!$B$12,0))))*(1/(1-'P-Parametri'!$B$6*B485))+MIN(MAX(0,G484-(MAX(0,B451-IF($A485&gt;=('1-Input'!$C$12+1),'1-Input'!$B$12,0))-MIN(MAX(F484,0),MAX(0,B451-IF($A485&gt;=('1-Input'!$C$12+1),'1-Input'!$B$12,0))))*(1/(1-'P-Parametri'!$B$6*B485))),MAX(0,0*B451-(F484-MIN(MAX(F484,0),MAX(0,B451-IF($A485&gt;=('1-Input'!$C$12+1),'1-Input'!$B$12,0)))))*(1/(1-'P-Parametri'!$B$6*B485))))</f>
        <v>6748.4677362466628</v>
      </c>
      <c r="D485" s="18">
        <f>IF($A485&gt;'1-Input'!$B$26,F484,(F484-MAX(0,B451-IF($A485&gt;=('1-Input'!$C$12+1),'1-Input'!$B$12,0))+C485*(1-'P-Parametri'!$B$6*B485))*(1+'1-Input'!$B$27))</f>
        <v>0</v>
      </c>
      <c r="E485" s="18">
        <f>IF($A485&gt;'1-Input'!$B$26,G484,(G484-C485)*(1+'5-Roberta'!$C$4))</f>
        <v>216136.77234663477</v>
      </c>
      <c r="F485" s="18">
        <f>IF($A485&gt;'1-Input'!$B$26,D485,D485-'P-Parametri'!$B$8*(E485+D485)+MIN(MAX(E485,0),'P-Parametri'!$B$8*(E485+D485)))</f>
        <v>0</v>
      </c>
      <c r="G485" s="18">
        <f>IF($A485&gt;'1-Input'!$B$26,E485,E485-MIN(MAX(E485,0),'P-Parametri'!$B$8*(E485+D485)))</f>
        <v>215704.49880194149</v>
      </c>
      <c r="H485" s="18">
        <f>IF($A485&gt;'1-Input'!$B$26,H484,H484-C485*(1-B485))</f>
        <v>69985.683422052898</v>
      </c>
      <c r="I485" s="11">
        <f>IF($A485&gt;'1-Input'!$B$26,0,IF(N484&lt;=0,0,MAX(0,(N484-O484)/N484)))</f>
        <v>0</v>
      </c>
      <c r="J485" s="18">
        <f>IF($A485&gt;'1-Input'!$B$26,0,(MAX(0,I451-IF($A485&gt;=('1-Input'!$C$12+1),'1-Input'!$B$12,0))-MIN(MAX(M484,0),MAX(0,I451-IF($A485&gt;=('1-Input'!$C$12+1),'1-Input'!$B$12,0))))*(1/(1-'P-Parametri'!$B$6*I485))+MIN(MAX(0,N484-(MAX(0,I451-IF($A485&gt;=('1-Input'!$C$12+1),'1-Input'!$B$12,0))-MIN(MAX(M484,0),MAX(0,I451-IF($A485&gt;=('1-Input'!$C$12+1),'1-Input'!$B$12,0))))*(1/(1-'P-Parametri'!$B$6*I485))),MAX(0,0*I451-(M484-MIN(MAX(M484,0),MAX(0,I451-IF($A485&gt;=('1-Input'!$C$12+1),'1-Input'!$B$12,0)))))*(1/(1-'P-Parametri'!$B$6*I485))))</f>
        <v>10846.756992928691</v>
      </c>
      <c r="K485" s="18">
        <f>IF($A485&gt;'1-Input'!$B$26,M484,(M484-MAX(0,I451-IF($A485&gt;=('1-Input'!$C$12+1),'1-Input'!$B$12,0))+J485*(1-'P-Parametri'!$B$6*I485))*(1+'1-Input'!$B$27))</f>
        <v>-1.8124410416930913E-12</v>
      </c>
      <c r="L485" s="18">
        <f>IF($A485&gt;'1-Input'!$B$26,N484,(N484-J485)*(1+'5-Roberta'!$C$4))</f>
        <v>-80139.789542156708</v>
      </c>
      <c r="M485" s="18">
        <f>IF($A485&gt;'1-Input'!$B$26,K485,K485-'P-Parametri'!$B$8*(L485+K485)+MIN(MAX(L485,0),'P-Parametri'!$B$8*(L485+K485)))</f>
        <v>-1.8189894035458565E-12</v>
      </c>
      <c r="N485" s="18">
        <f>IF($A485&gt;'1-Input'!$B$26,L485,L485-MIN(MAX(L485,0),'P-Parametri'!$B$8*(L485+K485)))</f>
        <v>-79979.5099630724</v>
      </c>
      <c r="O485" s="18">
        <f>IF($A485&gt;'1-Input'!$B$26,O484,O484-J485*(1-I485))</f>
        <v>-67750.766356009408</v>
      </c>
      <c r="P485" s="11">
        <f>IF($A485&gt;'1-Input'!$B$26,0,IF(U484&lt;=0,0,MAX(0,(U484-V484)/U484)))</f>
        <v>0.66648315720609574</v>
      </c>
      <c r="Q485" s="18">
        <f>IF($A485&gt;'1-Input'!$B$26,0,(MAX(0,P451-IF($A485&gt;=('1-Input'!$C$12+1),'1-Input'!$B$12,0))-MIN(MAX(T484,0),MAX(0,P451-IF($A485&gt;=('1-Input'!$C$12+1),'1-Input'!$B$12,0))))*(1/(1-'P-Parametri'!$B$6*P485))+MIN(MAX(0,U484-(MAX(0,P451-IF($A485&gt;=('1-Input'!$C$12+1),'1-Input'!$B$12,0))-MIN(MAX(T484,0),MAX(0,P451-IF($A485&gt;=('1-Input'!$C$12+1),'1-Input'!$B$12,0))))*(1/(1-'P-Parametri'!$B$6*P485))),MAX(0,0*P451-(T484-MIN(MAX(T484,0),MAX(0,P451-IF($A485&gt;=('1-Input'!$C$12+1),'1-Input'!$B$12,0)))))*(1/(1-'P-Parametri'!$B$6*P485))))</f>
        <v>9367.2433058310871</v>
      </c>
      <c r="R485" s="18">
        <f>IF($A485&gt;'1-Input'!$B$26,T484,(T484-MAX(0,P451-IF($A485&gt;=('1-Input'!$C$12+1),'1-Input'!$B$12,0))+Q485*(1-'P-Parametri'!$B$6*P485))*(1+'1-Input'!$B$27))</f>
        <v>0</v>
      </c>
      <c r="S485" s="18">
        <f>IF($A485&gt;'1-Input'!$B$26,U484,(U484-Q485)*(1+'5-Roberta'!$C$4))</f>
        <v>88453.858699439719</v>
      </c>
      <c r="T485" s="18">
        <f>IF($A485&gt;'1-Input'!$B$26,R485,R485-'P-Parametri'!$B$8*(S485+R485)+MIN(MAX(S485,0),'P-Parametri'!$B$8*(S485+R485)))</f>
        <v>0</v>
      </c>
      <c r="U485" s="18">
        <f>IF($A485&gt;'1-Input'!$B$26,S485,S485-MIN(MAX(S485,0),'P-Parametri'!$B$8*(S485+R485)))</f>
        <v>88276.950982040842</v>
      </c>
      <c r="V485" s="18">
        <f>IF($A485&gt;'1-Input'!$B$26,V484,V484-Q485*(1-P485))</f>
        <v>28641.603579005096</v>
      </c>
      <c r="W485" s="11">
        <f>IF($A485&gt;'1-Input'!$B$26,0,IF(AB484&lt;=0,0,MAX(0,(AB484-AC484)/AB484)))</f>
        <v>0.66648315720609563</v>
      </c>
      <c r="X485" s="18">
        <f>IF($A485&gt;'1-Input'!$B$26,0,(MAX(0,W451-IF($A485&gt;=('1-Input'!$C$12+1),'1-Input'!$B$12,0))-MIN(MAX(AA484,0),MAX(0,W451-IF($A485&gt;=('1-Input'!$C$12+1),'1-Input'!$B$12,0))))*(1/(1-'P-Parametri'!$B$6*W485))+MIN(MAX(0,AB484-(MAX(0,W451-IF($A485&gt;=('1-Input'!$C$12+1),'1-Input'!$B$12,0))-MIN(MAX(AA484,0),MAX(0,W451-IF($A485&gt;=('1-Input'!$C$12+1),'1-Input'!$B$12,0))))*(1/(1-'P-Parametri'!$B$6*W485))),MAX(0,0*W451-(AA484-MIN(MAX(AA484,0),MAX(0,W451-IF($A485&gt;=('1-Input'!$C$12+1),'1-Input'!$B$12,0)))))*(1/(1-'P-Parametri'!$B$6*W485))))</f>
        <v>9074.1038758366903</v>
      </c>
      <c r="Y485" s="18">
        <f>IF($A485&gt;'1-Input'!$B$26,AA484,(AA484-MAX(0,W451-IF($A485&gt;=('1-Input'!$C$12+1),'1-Input'!$B$12,0))+X485*(1-'P-Parametri'!$B$6*W485))*(1+'1-Input'!$B$27))</f>
        <v>0</v>
      </c>
      <c r="Z485" s="18">
        <f>IF($A485&gt;'1-Input'!$B$26,AB484,(AB484-X485)*(1+'5-Roberta'!$C$4))</f>
        <v>102746.37653154352</v>
      </c>
      <c r="AA485" s="18">
        <f>IF($A485&gt;'1-Input'!$B$26,Y485,Y485-'P-Parametri'!$B$8*(Z485+Y485)+MIN(MAX(Z485,0),'P-Parametri'!$B$8*(Z485+Y485)))</f>
        <v>0</v>
      </c>
      <c r="AB485" s="18">
        <f>IF($A485&gt;'1-Input'!$B$26,Z485,Z485-MIN(MAX(Z485,0),'P-Parametri'!$B$8*(Z485+Y485)))</f>
        <v>102540.88377848043</v>
      </c>
      <c r="AC485" s="18">
        <f>IF($A485&gt;'1-Input'!$B$26,AC484,AC484-X485*(1-W485))</f>
        <v>33269.560300304955</v>
      </c>
      <c r="AD485" s="11">
        <f>IF($A485&gt;'1-Input'!$B$26,0,IF(AI484&lt;=0,0,MAX(0,(AI484-AJ484)/AI484)))</f>
        <v>0.66648315720609597</v>
      </c>
      <c r="AE485" s="18">
        <f>IF($A485&gt;'1-Input'!$B$26,0,(MAX(0,AD451-IF($A485&gt;=('1-Input'!$C$12+1),'1-Input'!$B$12,0))-MIN(MAX(AH484,0),MAX(0,AD451-IF($A485&gt;=('1-Input'!$C$12+1),'1-Input'!$B$12,0))))*(1/(1-'P-Parametri'!$B$6*AD485))+MIN(MAX(0,AI484-(MAX(0,AD451-IF($A485&gt;=('1-Input'!$C$12+1),'1-Input'!$B$12,0))-MIN(MAX(AH484,0),MAX(0,AD451-IF($A485&gt;=('1-Input'!$C$12+1),'1-Input'!$B$12,0))))*(1/(1-'P-Parametri'!$B$6*AD485))),MAX(0,0*AD451-(AH484-MIN(MAX(AH484,0),MAX(0,AD451-IF($A485&gt;=('1-Input'!$C$12+1),'1-Input'!$B$12,0)))))*(1/(1-'P-Parametri'!$B$6*AD485))))</f>
        <v>9079.530075713792</v>
      </c>
      <c r="AF485" s="18">
        <f>IF($A485&gt;'1-Input'!$B$26,AH484,(AH484-MAX(0,AD451-IF($A485&gt;=('1-Input'!$C$12+1),'1-Input'!$B$12,0))+AE485*(1-'P-Parametri'!$B$6*AD485))*(1+'1-Input'!$B$27))</f>
        <v>9.0622052084654565E-13</v>
      </c>
      <c r="AG485" s="18">
        <f>IF($A485&gt;'1-Input'!$B$26,AI484,(AI484-AE485)*(1+'5-Roberta'!$C$4))</f>
        <v>102481.81281009017</v>
      </c>
      <c r="AH485" s="18">
        <f>IF($A485&gt;'1-Input'!$B$26,AF485,AF485-'P-Parametri'!$B$8*(AG485+AF485)+MIN(MAX(AG485,0),'P-Parametri'!$B$8*(AG485+AF485)))</f>
        <v>9.0949470177292824E-13</v>
      </c>
      <c r="AI485" s="18">
        <f>IF($A485&gt;'1-Input'!$B$26,AG485,AG485-MIN(MAX(AG485,0),'P-Parametri'!$B$8*(AG485+AF485)))</f>
        <v>102276.84918446999</v>
      </c>
      <c r="AJ485" s="18">
        <f>IF($A485&gt;'1-Input'!$B$26,AJ484,AJ484-AE485*(1-AD485))</f>
        <v>33183.89383710402</v>
      </c>
      <c r="AK485" s="11">
        <f>IF($A485&gt;'1-Input'!$B$26,0,IF(AP484&lt;=0,0,MAX(0,(AP484-AQ484)/AP484)))</f>
        <v>0.66648315720609586</v>
      </c>
      <c r="AL485" s="18">
        <f>IF($A485&gt;'1-Input'!$B$26,0,(MAX(0,AK451-IF($A485&gt;=('1-Input'!$C$12+1),'1-Input'!$B$12,0))-MIN(MAX(AO484,0),MAX(0,AK451-IF($A485&gt;=('1-Input'!$C$12+1),'1-Input'!$B$12,0))))*(1/(1-'P-Parametri'!$B$6*AK485))+MIN(MAX(0,AP484-(MAX(0,AK451-IF($A485&gt;=('1-Input'!$C$12+1),'1-Input'!$B$12,0))-MIN(MAX(AO484,0),MAX(0,AK451-IF($A485&gt;=('1-Input'!$C$12+1),'1-Input'!$B$12,0))))*(1/(1-'P-Parametri'!$B$6*AK485))),MAX(0,0*AK451-(AO484-MIN(MAX(AO484,0),MAX(0,AK451-IF($A485&gt;=('1-Input'!$C$12+1),'1-Input'!$B$12,0)))))*(1/(1-'P-Parametri'!$B$6*AK485))))</f>
        <v>9078.6668004852218</v>
      </c>
      <c r="AM485" s="18">
        <f>IF($A485&gt;'1-Input'!$B$26,AO484,(AO484-MAX(0,AK451-IF($A485&gt;=('1-Input'!$C$12+1),'1-Input'!$B$12,0))+AL485*(1-'P-Parametri'!$B$6*AK485))*(1+'1-Input'!$B$27))</f>
        <v>9.0622052084654565E-13</v>
      </c>
      <c r="AN485" s="18">
        <f>IF($A485&gt;'1-Input'!$B$26,AP484,(AP484-AL485)*(1+'5-Roberta'!$C$4))</f>
        <v>102523.90328082154</v>
      </c>
      <c r="AO485" s="18">
        <f>IF($A485&gt;'1-Input'!$B$26,AM485,AM485-'P-Parametri'!$B$8*(AN485+AM485)+MIN(MAX(AN485,0),'P-Parametri'!$B$8*(AN485+AM485)))</f>
        <v>9.0949470177292824E-13</v>
      </c>
      <c r="AP485" s="18">
        <f>IF($A485&gt;'1-Input'!$B$26,AN485,AN485-MIN(MAX(AN485,0),'P-Parametri'!$B$8*(AN485+AM485)))</f>
        <v>102318.85547425989</v>
      </c>
      <c r="AQ485" s="18">
        <f>IF($A485&gt;'1-Input'!$B$26,AQ484,AQ484-AL485*(1-AK485))</f>
        <v>33197.522847696295</v>
      </c>
    </row>
    <row r="486" spans="1:43">
      <c r="A486" s="10">
        <f>33</f>
        <v>33</v>
      </c>
      <c r="B486" s="11">
        <f>IF($A486&gt;'1-Input'!$B$26,0,IF(G485&lt;=0,0,MAX(0,(G485-H485)/G485)))</f>
        <v>0.67554833667927661</v>
      </c>
      <c r="C486" s="18">
        <f>IF($A486&gt;'1-Input'!$B$26,0,(MAX(0,B451-IF($A486&gt;=('1-Input'!$C$12+1),'1-Input'!$B$12,0))-MIN(MAX(F485,0),MAX(0,B451-IF($A486&gt;=('1-Input'!$C$12+1),'1-Input'!$B$12,0))))*(1/(1-'P-Parametri'!$B$6*B486))+MIN(MAX(0,G485-(MAX(0,B451-IF($A486&gt;=('1-Input'!$C$12+1),'1-Input'!$B$12,0))-MIN(MAX(F485,0),MAX(0,B451-IF($A486&gt;=('1-Input'!$C$12+1),'1-Input'!$B$12,0))))*(1/(1-'P-Parametri'!$B$6*B486))),MAX(0,0*B451-(F485-MIN(MAX(F485,0),MAX(0,B451-IF($A486&gt;=('1-Input'!$C$12+1),'1-Input'!$B$12,0)))))*(1/(1-'P-Parametri'!$B$6*B486))))</f>
        <v>6767.762495880188</v>
      </c>
      <c r="D486" s="18">
        <f>IF($A486&gt;'1-Input'!$B$26,F485,(F485-MAX(0,B451-IF($A486&gt;=('1-Input'!$C$12+1),'1-Input'!$B$12,0))+C486*(1-'P-Parametri'!$B$6*B486))*(1+'1-Input'!$B$27))</f>
        <v>0</v>
      </c>
      <c r="E486" s="18">
        <f>IF($A486&gt;'1-Input'!$B$26,G485,(G485-C486)*(1+'5-Roberta'!$C$4))</f>
        <v>215204.83839524313</v>
      </c>
      <c r="F486" s="18">
        <f>IF($A486&gt;'1-Input'!$B$26,D486,D486-'P-Parametri'!$B$8*(E486+D486)+MIN(MAX(E486,0),'P-Parametri'!$B$8*(E486+D486)))</f>
        <v>0</v>
      </c>
      <c r="G486" s="18">
        <f>IF($A486&gt;'1-Input'!$B$26,E486,E486-MIN(MAX(E486,0),'P-Parametri'!$B$8*(E486+D486)))</f>
        <v>214774.42871845263</v>
      </c>
      <c r="H486" s="18">
        <f>IF($A486&gt;'1-Input'!$B$26,H485,H485-C486*(1-B486))</f>
        <v>67789.871623304964</v>
      </c>
      <c r="I486" s="11">
        <f>IF($A486&gt;'1-Input'!$B$26,0,IF(N485&lt;=0,0,MAX(0,(N485-O485)/N485)))</f>
        <v>0</v>
      </c>
      <c r="J486" s="18">
        <f>IF($A486&gt;'1-Input'!$B$26,0,(MAX(0,I451-IF($A486&gt;=('1-Input'!$C$12+1),'1-Input'!$B$12,0))-MIN(MAX(M485,0),MAX(0,I451-IF($A486&gt;=('1-Input'!$C$12+1),'1-Input'!$B$12,0))))*(1/(1-'P-Parametri'!$B$6*I486))+MIN(MAX(0,N485-(MAX(0,I451-IF($A486&gt;=('1-Input'!$C$12+1),'1-Input'!$B$12,0))-MIN(MAX(M485,0),MAX(0,I451-IF($A486&gt;=('1-Input'!$C$12+1),'1-Input'!$B$12,0))))*(1/(1-'P-Parametri'!$B$6*I486))),MAX(0,0*I451-(M485-MIN(MAX(M485,0),MAX(0,I451-IF($A486&gt;=('1-Input'!$C$12+1),'1-Input'!$B$12,0)))))*(1/(1-'P-Parametri'!$B$6*I486))))</f>
        <v>10846.756992928691</v>
      </c>
      <c r="K486" s="18">
        <f>IF($A486&gt;'1-Input'!$B$26,M485,(M485-MAX(0,I451-IF($A486&gt;=('1-Input'!$C$12+1),'1-Input'!$B$12,0))+J486*(1-'P-Parametri'!$B$6*I486))*(1+'1-Input'!$B$27))</f>
        <v>-1.8124410416930913E-12</v>
      </c>
      <c r="L486" s="18">
        <f>IF($A486&gt;'1-Input'!$B$26,N485,(N485-J486)*(1+'5-Roberta'!$C$4))</f>
        <v>-93551.054964681112</v>
      </c>
      <c r="M486" s="18">
        <f>IF($A486&gt;'1-Input'!$B$26,K486,K486-'P-Parametri'!$B$8*(L486+K486)+MIN(MAX(L486,0),'P-Parametri'!$B$8*(L486+K486)))</f>
        <v>-1.8189894035458565E-12</v>
      </c>
      <c r="N486" s="18">
        <f>IF($A486&gt;'1-Input'!$B$26,L486,L486-MIN(MAX(L486,0),'P-Parametri'!$B$8*(L486+K486)))</f>
        <v>-93363.952854751755</v>
      </c>
      <c r="O486" s="18">
        <f>IF($A486&gt;'1-Input'!$B$26,O485,O485-J486*(1-I486))</f>
        <v>-78597.523348938092</v>
      </c>
      <c r="P486" s="11">
        <f>IF($A486&gt;'1-Input'!$B$26,0,IF(U485&lt;=0,0,MAX(0,(U485-V485)/U485)))</f>
        <v>0.67554833667927683</v>
      </c>
      <c r="Q486" s="18">
        <f>IF($A486&gt;'1-Input'!$B$26,0,(MAX(0,P451-IF($A486&gt;=('1-Input'!$C$12+1),'1-Input'!$B$12,0))-MIN(MAX(T485,0),MAX(0,P451-IF($A486&gt;=('1-Input'!$C$12+1),'1-Input'!$B$12,0))))*(1/(1-'P-Parametri'!$B$6*P486))+MIN(MAX(0,U485-(MAX(0,P451-IF($A486&gt;=('1-Input'!$C$12+1),'1-Input'!$B$12,0))-MIN(MAX(T485,0),MAX(0,P451-IF($A486&gt;=('1-Input'!$C$12+1),'1-Input'!$B$12,0))))*(1/(1-'P-Parametri'!$B$6*P486))),MAX(0,0*P451-(T485-MIN(MAX(T485,0),MAX(0,P451-IF($A486&gt;=('1-Input'!$C$12+1),'1-Input'!$B$12,0)))))*(1/(1-'P-Parametri'!$B$6*P486))))</f>
        <v>9394.0254903326168</v>
      </c>
      <c r="R486" s="18">
        <f>IF($A486&gt;'1-Input'!$B$26,T485,(T485-MAX(0,P451-IF($A486&gt;=('1-Input'!$C$12+1),'1-Input'!$B$12,0))+Q486*(1-'P-Parametri'!$B$6*P486))*(1+'1-Input'!$B$27))</f>
        <v>0</v>
      </c>
      <c r="S486" s="18">
        <f>IF($A486&gt;'1-Input'!$B$26,U485,(U485-Q486)*(1+'5-Roberta'!$C$4))</f>
        <v>81249.413256459477</v>
      </c>
      <c r="T486" s="18">
        <f>IF($A486&gt;'1-Input'!$B$26,R486,R486-'P-Parametri'!$B$8*(S486+R486)+MIN(MAX(S486,0),'P-Parametri'!$B$8*(S486+R486)))</f>
        <v>0</v>
      </c>
      <c r="U486" s="18">
        <f>IF($A486&gt;'1-Input'!$B$26,S486,S486-MIN(MAX(S486,0),'P-Parametri'!$B$8*(S486+R486)))</f>
        <v>81086.914429946555</v>
      </c>
      <c r="V486" s="18">
        <f>IF($A486&gt;'1-Input'!$B$26,V485,V485-Q486*(1-P486))</f>
        <v>25593.696383389404</v>
      </c>
      <c r="W486" s="11">
        <f>IF($A486&gt;'1-Input'!$B$26,0,IF(AB485&lt;=0,0,MAX(0,(AB485-AC485)/AB485)))</f>
        <v>0.67554833667927661</v>
      </c>
      <c r="X486" s="18">
        <f>IF($A486&gt;'1-Input'!$B$26,0,(MAX(0,W451-IF($A486&gt;=('1-Input'!$C$12+1),'1-Input'!$B$12,0))-MIN(MAX(AA485,0),MAX(0,W451-IF($A486&gt;=('1-Input'!$C$12+1),'1-Input'!$B$12,0))))*(1/(1-'P-Parametri'!$B$6*W486))+MIN(MAX(0,AB485-(MAX(0,W451-IF($A486&gt;=('1-Input'!$C$12+1),'1-Input'!$B$12,0))-MIN(MAX(AA485,0),MAX(0,W451-IF($A486&gt;=('1-Input'!$C$12+1),'1-Input'!$B$12,0))))*(1/(1-'P-Parametri'!$B$6*W486))),MAX(0,0*W451-(AA485-MIN(MAX(AA485,0),MAX(0,W451-IF($A486&gt;=('1-Input'!$C$12+1),'1-Input'!$B$12,0)))))*(1/(1-'P-Parametri'!$B$6*W486))))</f>
        <v>9100.0479360317968</v>
      </c>
      <c r="Y486" s="18">
        <f>IF($A486&gt;'1-Input'!$B$26,AA485,(AA485-MAX(0,W451-IF($A486&gt;=('1-Input'!$C$12+1),'1-Input'!$B$12,0))+X486*(1-'P-Parametri'!$B$6*W486))*(1+'1-Input'!$B$27))</f>
        <v>9.0622052084654565E-13</v>
      </c>
      <c r="Z486" s="18">
        <f>IF($A486&gt;'1-Input'!$B$26,AB485,(AB485-X486)*(1+'5-Roberta'!$C$4))</f>
        <v>96244.06091772209</v>
      </c>
      <c r="AA486" s="18">
        <f>IF($A486&gt;'1-Input'!$B$26,Y486,Y486-'P-Parametri'!$B$8*(Z486+Y486)+MIN(MAX(Z486,0),'P-Parametri'!$B$8*(Z486+Y486)))</f>
        <v>9.0949470177292824E-13</v>
      </c>
      <c r="AB486" s="18">
        <f>IF($A486&gt;'1-Input'!$B$26,Z486,Z486-MIN(MAX(Z486,0),'P-Parametri'!$B$8*(Z486+Y486)))</f>
        <v>96051.572795886648</v>
      </c>
      <c r="AC486" s="18">
        <f>IF($A486&gt;'1-Input'!$B$26,AC485,AC485-X486*(1-W486))</f>
        <v>30317.034611161122</v>
      </c>
      <c r="AD486" s="11">
        <f>IF($A486&gt;'1-Input'!$B$26,0,IF(AI485&lt;=0,0,MAX(0,(AI485-AJ485)/AI485)))</f>
        <v>0.67554833667927694</v>
      </c>
      <c r="AE486" s="18">
        <f>IF($A486&gt;'1-Input'!$B$26,0,(MAX(0,AD451-IF($A486&gt;=('1-Input'!$C$12+1),'1-Input'!$B$12,0))-MIN(MAX(AH485,0),MAX(0,AD451-IF($A486&gt;=('1-Input'!$C$12+1),'1-Input'!$B$12,0))))*(1/(1-'P-Parametri'!$B$6*AD486))+MIN(MAX(0,AI485-(MAX(0,AD451-IF($A486&gt;=('1-Input'!$C$12+1),'1-Input'!$B$12,0))-MIN(MAX(AH485,0),MAX(0,AD451-IF($A486&gt;=('1-Input'!$C$12+1),'1-Input'!$B$12,0))))*(1/(1-'P-Parametri'!$B$6*AD486))),MAX(0,0*AD451-(AH485-MIN(MAX(AH485,0),MAX(0,AD451-IF($A486&gt;=('1-Input'!$C$12+1),'1-Input'!$B$12,0)))))*(1/(1-'P-Parametri'!$B$6*AD486))))</f>
        <v>9105.4896501302646</v>
      </c>
      <c r="AF486" s="18">
        <f>IF($A486&gt;'1-Input'!$B$26,AH485,(AH485-MAX(0,AD451-IF($A486&gt;=('1-Input'!$C$12+1),'1-Input'!$B$12,0))+AE486*(1-'P-Parametri'!$B$6*AD486))*(1+'1-Input'!$B$27))</f>
        <v>-9.0622052084654565E-13</v>
      </c>
      <c r="AG486" s="18">
        <f>IF($A486&gt;'1-Input'!$B$26,AI485,(AI485-AE486)*(1+'5-Roberta'!$C$4))</f>
        <v>95966.500320369916</v>
      </c>
      <c r="AH486" s="18">
        <f>IF($A486&gt;'1-Input'!$B$26,AF486,AF486-'P-Parametri'!$B$8*(AG486+AF486)+MIN(MAX(AG486,0),'P-Parametri'!$B$8*(AG486+AF486)))</f>
        <v>-9.0949470177292824E-13</v>
      </c>
      <c r="AI486" s="18">
        <f>IF($A486&gt;'1-Input'!$B$26,AG486,AG486-MIN(MAX(AG486,0),'P-Parametri'!$B$8*(AG486+AF486)))</f>
        <v>95774.567319729176</v>
      </c>
      <c r="AJ486" s="18">
        <f>IF($A486&gt;'1-Input'!$B$26,AJ485,AJ485-AE486*(1-AD486))</f>
        <v>30229.602574769626</v>
      </c>
      <c r="AK486" s="11">
        <f>IF($A486&gt;'1-Input'!$B$26,0,IF(AP485&lt;=0,0,MAX(0,(AP485-AQ485)/AP485)))</f>
        <v>0.67554833667927694</v>
      </c>
      <c r="AL486" s="18">
        <f>IF($A486&gt;'1-Input'!$B$26,0,(MAX(0,AK451-IF($A486&gt;=('1-Input'!$C$12+1),'1-Input'!$B$12,0))-MIN(MAX(AO485,0),MAX(0,AK451-IF($A486&gt;=('1-Input'!$C$12+1),'1-Input'!$B$12,0))))*(1/(1-'P-Parametri'!$B$6*AK486))+MIN(MAX(0,AP485-(MAX(0,AK451-IF($A486&gt;=('1-Input'!$C$12+1),'1-Input'!$B$12,0))-MIN(MAX(AO485,0),MAX(0,AK451-IF($A486&gt;=('1-Input'!$C$12+1),'1-Input'!$B$12,0))))*(1/(1-'P-Parametri'!$B$6*AK486))),MAX(0,0*AK451-(AO485-MIN(MAX(AO485,0),MAX(0,AK451-IF($A486&gt;=('1-Input'!$C$12+1),'1-Input'!$B$12,0)))))*(1/(1-'P-Parametri'!$B$6*AK486))))</f>
        <v>9104.6239066839171</v>
      </c>
      <c r="AM486" s="18">
        <f>IF($A486&gt;'1-Input'!$B$26,AO485,(AO485-MAX(0,AK451-IF($A486&gt;=('1-Input'!$C$12+1),'1-Input'!$B$12,0))+AL486*(1-'P-Parametri'!$B$6*AK486))*(1+'1-Input'!$B$27))</f>
        <v>-9.0622052084654565E-13</v>
      </c>
      <c r="AN486" s="18">
        <f>IF($A486&gt;'1-Input'!$B$26,AP485,(AP485-AL486)*(1+'5-Roberta'!$C$4))</f>
        <v>96010.658514603259</v>
      </c>
      <c r="AO486" s="18">
        <f>IF($A486&gt;'1-Input'!$B$26,AM486,AM486-'P-Parametri'!$B$8*(AN486+AM486)+MIN(MAX(AN486,0),'P-Parametri'!$B$8*(AN486+AM486)))</f>
        <v>-9.0949470177292824E-13</v>
      </c>
      <c r="AP486" s="18">
        <f>IF($A486&gt;'1-Input'!$B$26,AN486,AN486-MIN(MAX(AN486,0),'P-Parametri'!$B$8*(AN486+AM486)))</f>
        <v>95818.637197574048</v>
      </c>
      <c r="AQ486" s="18">
        <f>IF($A486&gt;'1-Input'!$B$26,AQ485,AQ485-AL486*(1-AK486))</f>
        <v>30243.512477263077</v>
      </c>
    </row>
    <row r="487" spans="1:43">
      <c r="A487" s="10">
        <f>34</f>
        <v>34</v>
      </c>
      <c r="B487" s="11">
        <f>IF($A487&gt;'1-Input'!$B$26,0,IF(G486&lt;=0,0,MAX(0,(G486-H486)/G486)))</f>
        <v>0.68436711936423977</v>
      </c>
      <c r="C487" s="18">
        <f>IF($A487&gt;'1-Input'!$B$26,0,(MAX(0,B451-IF($A487&gt;=('1-Input'!$C$12+1),'1-Input'!$B$12,0))-MIN(MAX(F486,0),MAX(0,B451-IF($A487&gt;=('1-Input'!$C$12+1),'1-Input'!$B$12,0))))*(1/(1-'P-Parametri'!$B$6*B487))+MIN(MAX(0,G486-(MAX(0,B451-IF($A487&gt;=('1-Input'!$C$12+1),'1-Input'!$B$12,0))-MIN(MAX(F486,0),MAX(0,B451-IF($A487&gt;=('1-Input'!$C$12+1),'1-Input'!$B$12,0))))*(1/(1-'P-Parametri'!$B$6*B487))),MAX(0,0*B451-(F486-MIN(MAX(F486,0),MAX(0,B451-IF($A487&gt;=('1-Input'!$C$12+1),'1-Input'!$B$12,0)))))*(1/(1-'P-Parametri'!$B$6*B487))))</f>
        <v>6786.6389830919652</v>
      </c>
      <c r="D487" s="18">
        <f>IF($A487&gt;'1-Input'!$B$26,F486,(F486-MAX(0,B451-IF($A487&gt;=('1-Input'!$C$12+1),'1-Input'!$B$12,0))+C487*(1-'P-Parametri'!$B$6*B487))*(1+'1-Input'!$B$27))</f>
        <v>0</v>
      </c>
      <c r="E487" s="18">
        <f>IF($A487&gt;'1-Input'!$B$26,G486,(G486-C487)*(1+'5-Roberta'!$C$4))</f>
        <v>214227.42342742148</v>
      </c>
      <c r="F487" s="18">
        <f>IF($A487&gt;'1-Input'!$B$26,D487,D487-'P-Parametri'!$B$8*(E487+D487)+MIN(MAX(E487,0),'P-Parametri'!$B$8*(E487+D487)))</f>
        <v>0</v>
      </c>
      <c r="G487" s="18">
        <f>IF($A487&gt;'1-Input'!$B$26,E487,E487-MIN(MAX(E487,0),'P-Parametri'!$B$8*(E487+D487)))</f>
        <v>213798.96858056664</v>
      </c>
      <c r="H487" s="18">
        <f>IF($A487&gt;'1-Input'!$B$26,H486,H486-C487*(1-B487))</f>
        <v>65647.785211236696</v>
      </c>
      <c r="I487" s="11">
        <f>IF($A487&gt;'1-Input'!$B$26,0,IF(N486&lt;=0,0,MAX(0,(N486-O486)/N486)))</f>
        <v>0</v>
      </c>
      <c r="J487" s="18">
        <f>IF($A487&gt;'1-Input'!$B$26,0,(MAX(0,I451-IF($A487&gt;=('1-Input'!$C$12+1),'1-Input'!$B$12,0))-MIN(MAX(M486,0),MAX(0,I451-IF($A487&gt;=('1-Input'!$C$12+1),'1-Input'!$B$12,0))))*(1/(1-'P-Parametri'!$B$6*I487))+MIN(MAX(0,N486-(MAX(0,I451-IF($A487&gt;=('1-Input'!$C$12+1),'1-Input'!$B$12,0))-MIN(MAX(M486,0),MAX(0,I451-IF($A487&gt;=('1-Input'!$C$12+1),'1-Input'!$B$12,0))))*(1/(1-'P-Parametri'!$B$6*I487))),MAX(0,0*I451-(M486-MIN(MAX(M486,0),MAX(0,I451-IF($A487&gt;=('1-Input'!$C$12+1),'1-Input'!$B$12,0)))))*(1/(1-'P-Parametri'!$B$6*I487))))</f>
        <v>10846.756992928691</v>
      </c>
      <c r="K487" s="18">
        <f>IF($A487&gt;'1-Input'!$B$26,M486,(M486-MAX(0,I451-IF($A487&gt;=('1-Input'!$C$12+1),'1-Input'!$B$12,0))+J487*(1-'P-Parametri'!$B$6*I487))*(1+'1-Input'!$B$27))</f>
        <v>-1.8124410416930913E-12</v>
      </c>
      <c r="L487" s="18">
        <f>IF($A487&gt;'1-Input'!$B$26,N486,(N486-J487)*(1+'5-Roberta'!$C$4))</f>
        <v>-107337.03114311086</v>
      </c>
      <c r="M487" s="18">
        <f>IF($A487&gt;'1-Input'!$B$26,K487,K487-'P-Parametri'!$B$8*(L487+K487)+MIN(MAX(L487,0),'P-Parametri'!$B$8*(L487+K487)))</f>
        <v>-1.8189894035458565E-12</v>
      </c>
      <c r="N487" s="18">
        <f>IF($A487&gt;'1-Input'!$B$26,L487,L487-MIN(MAX(L487,0),'P-Parametri'!$B$8*(L487+K487)))</f>
        <v>-107122.35708082463</v>
      </c>
      <c r="O487" s="18">
        <f>IF($A487&gt;'1-Input'!$B$26,O486,O486-J487*(1-I487))</f>
        <v>-89444.280341866775</v>
      </c>
      <c r="P487" s="11">
        <f>IF($A487&gt;'1-Input'!$B$26,0,IF(U486&lt;=0,0,MAX(0,(U486-V486)/U486)))</f>
        <v>0.68436711936424</v>
      </c>
      <c r="Q487" s="18">
        <f>IF($A487&gt;'1-Input'!$B$26,0,(MAX(0,P451-IF($A487&gt;=('1-Input'!$C$12+1),'1-Input'!$B$12,0))-MIN(MAX(T486,0),MAX(0,P451-IF($A487&gt;=('1-Input'!$C$12+1),'1-Input'!$B$12,0))))*(1/(1-'P-Parametri'!$B$6*P487))+MIN(MAX(0,U486-(MAX(0,P451-IF($A487&gt;=('1-Input'!$C$12+1),'1-Input'!$B$12,0))-MIN(MAX(T486,0),MAX(0,P451-IF($A487&gt;=('1-Input'!$C$12+1),'1-Input'!$B$12,0))))*(1/(1-'P-Parametri'!$B$6*P487))),MAX(0,0*P451-(T486-MIN(MAX(T486,0),MAX(0,P451-IF($A487&gt;=('1-Input'!$C$12+1),'1-Input'!$B$12,0)))))*(1/(1-'P-Parametri'!$B$6*P487))))</f>
        <v>9420.2270897745766</v>
      </c>
      <c r="R487" s="18">
        <f>IF($A487&gt;'1-Input'!$B$26,T486,(T486-MAX(0,P451-IF($A487&gt;=('1-Input'!$C$12+1),'1-Input'!$B$12,0))+Q487*(1-'P-Parametri'!$B$6*P487))*(1+'1-Input'!$B$27))</f>
        <v>-9.0622052084654565E-13</v>
      </c>
      <c r="S487" s="18">
        <f>IF($A487&gt;'1-Input'!$B$26,U486,(U486-Q487)*(1+'5-Roberta'!$C$4))</f>
        <v>73816.687960377138</v>
      </c>
      <c r="T487" s="18">
        <f>IF($A487&gt;'1-Input'!$B$26,R487,R487-'P-Parametri'!$B$8*(S487+R487)+MIN(MAX(S487,0),'P-Parametri'!$B$8*(S487+R487)))</f>
        <v>-9.0949470177292824E-13</v>
      </c>
      <c r="U487" s="18">
        <f>IF($A487&gt;'1-Input'!$B$26,S487,S487-MIN(MAX(S487,0),'P-Parametri'!$B$8*(S487+R487)))</f>
        <v>73669.054584456389</v>
      </c>
      <c r="V487" s="18">
        <f>IF($A487&gt;'1-Input'!$B$26,V486,V486-Q487*(1-P487))</f>
        <v>22620.362970800834</v>
      </c>
      <c r="W487" s="11">
        <f>IF($A487&gt;'1-Input'!$B$26,0,IF(AB486&lt;=0,0,MAX(0,(AB486-AC486)/AB486)))</f>
        <v>0.68436711936423988</v>
      </c>
      <c r="X487" s="18">
        <f>IF($A487&gt;'1-Input'!$B$26,0,(MAX(0,W451-IF($A487&gt;=('1-Input'!$C$12+1),'1-Input'!$B$12,0))-MIN(MAX(AA486,0),MAX(0,W451-IF($A487&gt;=('1-Input'!$C$12+1),'1-Input'!$B$12,0))))*(1/(1-'P-Parametri'!$B$6*W487))+MIN(MAX(0,AB486-(MAX(0,W451-IF($A487&gt;=('1-Input'!$C$12+1),'1-Input'!$B$12,0))-MIN(MAX(AA486,0),MAX(0,W451-IF($A487&gt;=('1-Input'!$C$12+1),'1-Input'!$B$12,0))))*(1/(1-'P-Parametri'!$B$6*W487))),MAX(0,0*W451-(AA486-MIN(MAX(AA486,0),MAX(0,W451-IF($A487&gt;=('1-Input'!$C$12+1),'1-Input'!$B$12,0)))))*(1/(1-'P-Parametri'!$B$6*W487))))</f>
        <v>9125.4295800530854</v>
      </c>
      <c r="Y487" s="18">
        <f>IF($A487&gt;'1-Input'!$B$26,AA486,(AA486-MAX(0,W451-IF($A487&gt;=('1-Input'!$C$12+1),'1-Input'!$B$12,0))+X487*(1-'P-Parametri'!$B$6*W487))*(1+'1-Input'!$B$27))</f>
        <v>0</v>
      </c>
      <c r="Z487" s="18">
        <f>IF($A487&gt;'1-Input'!$B$26,AB486,(AB486-X487)*(1+'5-Roberta'!$C$4))</f>
        <v>89533.927512308583</v>
      </c>
      <c r="AA487" s="18">
        <f>IF($A487&gt;'1-Input'!$B$26,Y487,Y487-'P-Parametri'!$B$8*(Z487+Y487)+MIN(MAX(Z487,0),'P-Parametri'!$B$8*(Z487+Y487)))</f>
        <v>0</v>
      </c>
      <c r="AB487" s="18">
        <f>IF($A487&gt;'1-Input'!$B$26,Z487,Z487-MIN(MAX(Z487,0),'P-Parametri'!$B$8*(Z487+Y487)))</f>
        <v>89354.85965728396</v>
      </c>
      <c r="AC487" s="18">
        <f>IF($A487&gt;'1-Input'!$B$26,AC486,AC486-X487*(1-W487))</f>
        <v>27436.748985770191</v>
      </c>
      <c r="AD487" s="11">
        <f>IF($A487&gt;'1-Input'!$B$26,0,IF(AI486&lt;=0,0,MAX(0,(AI486-AJ486)/AI486)))</f>
        <v>0.68436711936424011</v>
      </c>
      <c r="AE487" s="18">
        <f>IF($A487&gt;'1-Input'!$B$26,0,(MAX(0,AD451-IF($A487&gt;=('1-Input'!$C$12+1),'1-Input'!$B$12,0))-MIN(MAX(AH486,0),MAX(0,AD451-IF($A487&gt;=('1-Input'!$C$12+1),'1-Input'!$B$12,0))))*(1/(1-'P-Parametri'!$B$6*AD487))+MIN(MAX(0,AI486-(MAX(0,AD451-IF($A487&gt;=('1-Input'!$C$12+1),'1-Input'!$B$12,0))-MIN(MAX(AH486,0),MAX(0,AD451-IF($A487&gt;=('1-Input'!$C$12+1),'1-Input'!$B$12,0))))*(1/(1-'P-Parametri'!$B$6*AD487))),MAX(0,0*AD451-(AH486-MIN(MAX(AH486,0),MAX(0,AD451-IF($A487&gt;=('1-Input'!$C$12+1),'1-Input'!$B$12,0)))))*(1/(1-'P-Parametri'!$B$6*AD487))))</f>
        <v>9130.8864720551337</v>
      </c>
      <c r="AF487" s="18">
        <f>IF($A487&gt;'1-Input'!$B$26,AH486,(AH486-MAX(0,AD451-IF($A487&gt;=('1-Input'!$C$12+1),'1-Input'!$B$12,0))+AE487*(1-'P-Parametri'!$B$6*AD487))*(1+'1-Input'!$B$27))</f>
        <v>0</v>
      </c>
      <c r="AG487" s="18">
        <f>IF($A487&gt;'1-Input'!$B$26,AI486,(AI486-AE487)*(1+'5-Roberta'!$C$4))</f>
        <v>89242.991273104271</v>
      </c>
      <c r="AH487" s="18">
        <f>IF($A487&gt;'1-Input'!$B$26,AF487,AF487-'P-Parametri'!$B$8*(AG487+AF487)+MIN(MAX(AG487,0),'P-Parametri'!$B$8*(AG487+AF487)))</f>
        <v>0</v>
      </c>
      <c r="AI487" s="18">
        <f>IF($A487&gt;'1-Input'!$B$26,AG487,AG487-MIN(MAX(AG487,0),'P-Parametri'!$B$8*(AG487+AF487)))</f>
        <v>89064.505290558067</v>
      </c>
      <c r="AJ487" s="18">
        <f>IF($A487&gt;'1-Input'!$B$26,AJ486,AJ486-AE487*(1-AD487))</f>
        <v>27347.594574836774</v>
      </c>
      <c r="AK487" s="11">
        <f>IF($A487&gt;'1-Input'!$B$26,0,IF(AP486&lt;=0,0,MAX(0,(AP486-AQ486)/AP486)))</f>
        <v>0.68436711936424</v>
      </c>
      <c r="AL487" s="18">
        <f>IF($A487&gt;'1-Input'!$B$26,0,(MAX(0,AK451-IF($A487&gt;=('1-Input'!$C$12+1),'1-Input'!$B$12,0))-MIN(MAX(AO486,0),MAX(0,AK451-IF($A487&gt;=('1-Input'!$C$12+1),'1-Input'!$B$12,0))))*(1/(1-'P-Parametri'!$B$6*AK487))+MIN(MAX(0,AP486-(MAX(0,AK451-IF($A487&gt;=('1-Input'!$C$12+1),'1-Input'!$B$12,0))-MIN(MAX(AO486,0),MAX(0,AK451-IF($A487&gt;=('1-Input'!$C$12+1),'1-Input'!$B$12,0))))*(1/(1-'P-Parametri'!$B$6*AK487))),MAX(0,0*AK451-(AO486-MIN(MAX(AO486,0),MAX(0,AK451-IF($A487&gt;=('1-Input'!$C$12+1),'1-Input'!$B$12,0)))))*(1/(1-'P-Parametri'!$B$6*AK487))))</f>
        <v>9130.0183138971133</v>
      </c>
      <c r="AM487" s="18">
        <f>IF($A487&gt;'1-Input'!$B$26,AO486,(AO486-MAX(0,AK451-IF($A487&gt;=('1-Input'!$C$12+1),'1-Input'!$B$12,0))+AL487*(1-'P-Parametri'!$B$6*AK487))*(1+'1-Input'!$B$27))</f>
        <v>-9.0622052084654565E-13</v>
      </c>
      <c r="AN487" s="18">
        <f>IF($A487&gt;'1-Input'!$B$26,AP486,(AP486-AL487)*(1+'5-Roberta'!$C$4))</f>
        <v>89289.277450187234</v>
      </c>
      <c r="AO487" s="18">
        <f>IF($A487&gt;'1-Input'!$B$26,AM487,AM487-'P-Parametri'!$B$8*(AN487+AM487)+MIN(MAX(AN487,0),'P-Parametri'!$B$8*(AN487+AM487)))</f>
        <v>-9.0949470177292824E-13</v>
      </c>
      <c r="AP487" s="18">
        <f>IF($A487&gt;'1-Input'!$B$26,AN487,AN487-MIN(MAX(AN487,0),'P-Parametri'!$B$8*(AN487+AM487)))</f>
        <v>89110.698895286856</v>
      </c>
      <c r="AQ487" s="18">
        <f>IF($A487&gt;'1-Input'!$B$26,AQ486,AQ486-AL487*(1-AK487))</f>
        <v>27361.778496590487</v>
      </c>
    </row>
    <row r="488" spans="1:43">
      <c r="A488" s="10">
        <f>35</f>
        <v>35</v>
      </c>
      <c r="B488" s="11">
        <f>IF($A488&gt;'1-Input'!$B$26,0,IF(G487&lt;=0,0,MAX(0,(G487-H487)/G487)))</f>
        <v>0.69294620246730332</v>
      </c>
      <c r="C488" s="18">
        <f>IF($A488&gt;'1-Input'!$B$26,0,(MAX(0,B451-IF($A488&gt;=('1-Input'!$C$12+1),'1-Input'!$B$12,0))-MIN(MAX(F487,0),MAX(0,B451-IF($A488&gt;=('1-Input'!$C$12+1),'1-Input'!$B$12,0))))*(1/(1-'P-Parametri'!$B$6*B488))+MIN(MAX(0,G487-(MAX(0,B451-IF($A488&gt;=('1-Input'!$C$12+1),'1-Input'!$B$12,0))-MIN(MAX(F487,0),MAX(0,B451-IF($A488&gt;=('1-Input'!$C$12+1),'1-Input'!$B$12,0))))*(1/(1-'P-Parametri'!$B$6*B488))),MAX(0,0*B451-(F487-MIN(MAX(F487,0),MAX(0,B451-IF($A488&gt;=('1-Input'!$C$12+1),'1-Input'!$B$12,0)))))*(1/(1-'P-Parametri'!$B$6*B488))))</f>
        <v>6805.10371691405</v>
      </c>
      <c r="D488" s="18">
        <f>IF($A488&gt;'1-Input'!$B$26,F487,(F487-MAX(0,B451-IF($A488&gt;=('1-Input'!$C$12+1),'1-Input'!$B$12,0))+C488*(1-'P-Parametri'!$B$6*B488))*(1+'1-Input'!$B$27))</f>
        <v>0</v>
      </c>
      <c r="E488" s="18">
        <f>IF($A488&gt;'1-Input'!$B$26,G487,(G487-C488)*(1+'5-Roberta'!$C$4))</f>
        <v>213203.68080956218</v>
      </c>
      <c r="F488" s="18">
        <f>IF($A488&gt;'1-Input'!$B$26,D488,D488-'P-Parametri'!$B$8*(E488+D488)+MIN(MAX(E488,0),'P-Parametri'!$B$8*(E488+D488)))</f>
        <v>0</v>
      </c>
      <c r="G488" s="18">
        <f>IF($A488&gt;'1-Input'!$B$26,E488,E488-MIN(MAX(E488,0),'P-Parametri'!$B$8*(E488+D488)))</f>
        <v>212777.27344794307</v>
      </c>
      <c r="H488" s="18">
        <f>IF($A488&gt;'1-Input'!$B$26,H487,H487-C488*(1-B488))</f>
        <v>63558.252272354366</v>
      </c>
      <c r="I488" s="11">
        <f>IF($A488&gt;'1-Input'!$B$26,0,IF(N487&lt;=0,0,MAX(0,(N487-O487)/N487)))</f>
        <v>0</v>
      </c>
      <c r="J488" s="18">
        <f>IF($A488&gt;'1-Input'!$B$26,0,(MAX(0,I451-IF($A488&gt;=('1-Input'!$C$12+1),'1-Input'!$B$12,0))-MIN(MAX(M487,0),MAX(0,I451-IF($A488&gt;=('1-Input'!$C$12+1),'1-Input'!$B$12,0))))*(1/(1-'P-Parametri'!$B$6*I488))+MIN(MAX(0,N487-(MAX(0,I451-IF($A488&gt;=('1-Input'!$C$12+1),'1-Input'!$B$12,0))-MIN(MAX(M487,0),MAX(0,I451-IF($A488&gt;=('1-Input'!$C$12+1),'1-Input'!$B$12,0))))*(1/(1-'P-Parametri'!$B$6*I488))),MAX(0,0*I451-(M487-MIN(MAX(M487,0),MAX(0,I451-IF($A488&gt;=('1-Input'!$C$12+1),'1-Input'!$B$12,0)))))*(1/(1-'P-Parametri'!$B$6*I488))))</f>
        <v>10846.756992928691</v>
      </c>
      <c r="K488" s="18">
        <f>IF($A488&gt;'1-Input'!$B$26,M487,(M487-MAX(0,I451-IF($A488&gt;=('1-Input'!$C$12+1),'1-Input'!$B$12,0))+J488*(1-'P-Parametri'!$B$6*I488))*(1+'1-Input'!$B$27))</f>
        <v>-1.8124410416930913E-12</v>
      </c>
      <c r="L488" s="18">
        <f>IF($A488&gt;'1-Input'!$B$26,N487,(N487-J488)*(1+'5-Roberta'!$C$4))</f>
        <v>-121508.18749596593</v>
      </c>
      <c r="M488" s="18">
        <f>IF($A488&gt;'1-Input'!$B$26,K488,K488-'P-Parametri'!$B$8*(L488+K488)+MIN(MAX(L488,0),'P-Parametri'!$B$8*(L488+K488)))</f>
        <v>-1.8189894035458565E-12</v>
      </c>
      <c r="N488" s="18">
        <f>IF($A488&gt;'1-Input'!$B$26,L488,L488-MIN(MAX(L488,0),'P-Parametri'!$B$8*(L488+K488)))</f>
        <v>-121265.171120974</v>
      </c>
      <c r="O488" s="18">
        <f>IF($A488&gt;'1-Input'!$B$26,O487,O487-J488*(1-I488))</f>
        <v>-100291.03733479546</v>
      </c>
      <c r="P488" s="11">
        <f>IF($A488&gt;'1-Input'!$B$26,0,IF(U487&lt;=0,0,MAX(0,(U487-V487)/U487)))</f>
        <v>0.69294620246730354</v>
      </c>
      <c r="Q488" s="18">
        <f>IF($A488&gt;'1-Input'!$B$26,0,(MAX(0,P451-IF($A488&gt;=('1-Input'!$C$12+1),'1-Input'!$B$12,0))-MIN(MAX(T487,0),MAX(0,P451-IF($A488&gt;=('1-Input'!$C$12+1),'1-Input'!$B$12,0))))*(1/(1-'P-Parametri'!$B$6*P488))+MIN(MAX(0,U487-(MAX(0,P451-IF($A488&gt;=('1-Input'!$C$12+1),'1-Input'!$B$12,0))-MIN(MAX(T487,0),MAX(0,P451-IF($A488&gt;=('1-Input'!$C$12+1),'1-Input'!$B$12,0))))*(1/(1-'P-Parametri'!$B$6*P488))),MAX(0,0*P451-(T487-MIN(MAX(T487,0),MAX(0,P451-IF($A488&gt;=('1-Input'!$C$12+1),'1-Input'!$B$12,0)))))*(1/(1-'P-Parametri'!$B$6*P488))))</f>
        <v>9445.8571529309702</v>
      </c>
      <c r="R488" s="18">
        <f>IF($A488&gt;'1-Input'!$B$26,T487,(T487-MAX(0,P451-IF($A488&gt;=('1-Input'!$C$12+1),'1-Input'!$B$12,0))+Q488*(1-'P-Parametri'!$B$6*P488))*(1+'1-Input'!$B$27))</f>
        <v>0</v>
      </c>
      <c r="S488" s="18">
        <f>IF($A488&gt;'1-Input'!$B$26,U487,(U487-Q488)*(1+'5-Roberta'!$C$4))</f>
        <v>66149.893354471176</v>
      </c>
      <c r="T488" s="18">
        <f>IF($A488&gt;'1-Input'!$B$26,R488,R488-'P-Parametri'!$B$8*(S488+R488)+MIN(MAX(S488,0),'P-Parametri'!$B$8*(S488+R488)))</f>
        <v>0</v>
      </c>
      <c r="U488" s="18">
        <f>IF($A488&gt;'1-Input'!$B$26,S488,S488-MIN(MAX(S488,0),'P-Parametri'!$B$8*(S488+R488)))</f>
        <v>66017.593567762233</v>
      </c>
      <c r="V488" s="18">
        <f>IF($A488&gt;'1-Input'!$B$26,V487,V487-Q488*(1-P488))</f>
        <v>19719.976661041994</v>
      </c>
      <c r="W488" s="11">
        <f>IF($A488&gt;'1-Input'!$B$26,0,IF(AB487&lt;=0,0,MAX(0,(AB487-AC487)/AB487)))</f>
        <v>0.69294620246730343</v>
      </c>
      <c r="X488" s="18">
        <f>IF($A488&gt;'1-Input'!$B$26,0,(MAX(0,W451-IF($A488&gt;=('1-Input'!$C$12+1),'1-Input'!$B$12,0))-MIN(MAX(AA487,0),MAX(0,W451-IF($A488&gt;=('1-Input'!$C$12+1),'1-Input'!$B$12,0))))*(1/(1-'P-Parametri'!$B$6*W488))+MIN(MAX(0,AB487-(MAX(0,W451-IF($A488&gt;=('1-Input'!$C$12+1),'1-Input'!$B$12,0))-MIN(MAX(AA487,0),MAX(0,W451-IF($A488&gt;=('1-Input'!$C$12+1),'1-Input'!$B$12,0))))*(1/(1-'P-Parametri'!$B$6*W488))),MAX(0,0*W451-(AA487-MIN(MAX(AA487,0),MAX(0,W451-IF($A488&gt;=('1-Input'!$C$12+1),'1-Input'!$B$12,0)))))*(1/(1-'P-Parametri'!$B$6*W488))))</f>
        <v>9150.2575735013379</v>
      </c>
      <c r="Y488" s="18">
        <f>IF($A488&gt;'1-Input'!$B$26,AA487,(AA487-MAX(0,W451-IF($A488&gt;=('1-Input'!$C$12+1),'1-Input'!$B$12,0))+X488*(1-'P-Parametri'!$B$6*W488))*(1+'1-Input'!$B$27))</f>
        <v>-9.0622052084654565E-13</v>
      </c>
      <c r="Z488" s="18">
        <f>IF($A488&gt;'1-Input'!$B$26,AB487,(AB487-X488)*(1+'5-Roberta'!$C$4))</f>
        <v>82610.740146296099</v>
      </c>
      <c r="AA488" s="18">
        <f>IF($A488&gt;'1-Input'!$B$26,Y488,Y488-'P-Parametri'!$B$8*(Z488+Y488)+MIN(MAX(Z488,0),'P-Parametri'!$B$8*(Z488+Y488)))</f>
        <v>-9.0949470177292824E-13</v>
      </c>
      <c r="AB488" s="18">
        <f>IF($A488&gt;'1-Input'!$B$26,Z488,Z488-MIN(MAX(Z488,0),'P-Parametri'!$B$8*(Z488+Y488)))</f>
        <v>82445.518666003511</v>
      </c>
      <c r="AC488" s="18">
        <f>IF($A488&gt;'1-Input'!$B$26,AC487,AC487-X488*(1-W488))</f>
        <v>24627.127649424288</v>
      </c>
      <c r="AD488" s="11">
        <f>IF($A488&gt;'1-Input'!$B$26,0,IF(AI487&lt;=0,0,MAX(0,(AI487-AJ487)/AI487)))</f>
        <v>0.69294620246730376</v>
      </c>
      <c r="AE488" s="18">
        <f>IF($A488&gt;'1-Input'!$B$26,0,(MAX(0,AD451-IF($A488&gt;=('1-Input'!$C$12+1),'1-Input'!$B$12,0))-MIN(MAX(AH487,0),MAX(0,AD451-IF($A488&gt;=('1-Input'!$C$12+1),'1-Input'!$B$12,0))))*(1/(1-'P-Parametri'!$B$6*AD488))+MIN(MAX(0,AI487-(MAX(0,AD451-IF($A488&gt;=('1-Input'!$C$12+1),'1-Input'!$B$12,0))-MIN(MAX(AH487,0),MAX(0,AD451-IF($A488&gt;=('1-Input'!$C$12+1),'1-Input'!$B$12,0))))*(1/(1-'P-Parametri'!$B$6*AD488))),MAX(0,0*AD451-(AH487-MIN(MAX(AH487,0),MAX(0,AD451-IF($A488&gt;=('1-Input'!$C$12+1),'1-Input'!$B$12,0)))))*(1/(1-'P-Parametri'!$B$6*AD488))))</f>
        <v>9155.72931233089</v>
      </c>
      <c r="AF488" s="18">
        <f>IF($A488&gt;'1-Input'!$B$26,AH487,(AH487-MAX(0,AD451-IF($A488&gt;=('1-Input'!$C$12+1),'1-Input'!$B$12,0))+AE488*(1-'P-Parametri'!$B$6*AD488))*(1+'1-Input'!$B$27))</f>
        <v>0</v>
      </c>
      <c r="AG488" s="18">
        <f>IF($A488&gt;'1-Input'!$B$26,AI487,(AI487-AE488)*(1+'5-Roberta'!$C$4))</f>
        <v>82306.039257573997</v>
      </c>
      <c r="AH488" s="18">
        <f>IF($A488&gt;'1-Input'!$B$26,AF488,AF488-'P-Parametri'!$B$8*(AG488+AF488)+MIN(MAX(AG488,0),'P-Parametri'!$B$8*(AG488+AF488)))</f>
        <v>0</v>
      </c>
      <c r="AI488" s="18">
        <f>IF($A488&gt;'1-Input'!$B$26,AG488,AG488-MIN(MAX(AG488,0),'P-Parametri'!$B$8*(AG488+AF488)))</f>
        <v>82141.427179058854</v>
      </c>
      <c r="AJ488" s="18">
        <f>IF($A488&gt;'1-Input'!$B$26,AJ487,AJ487-AE488*(1-AD488))</f>
        <v>24536.293120304152</v>
      </c>
      <c r="AK488" s="11">
        <f>IF($A488&gt;'1-Input'!$B$26,0,IF(AP487&lt;=0,0,MAX(0,(AP487-AQ487)/AP487)))</f>
        <v>0.69294620246730354</v>
      </c>
      <c r="AL488" s="18">
        <f>IF($A488&gt;'1-Input'!$B$26,0,(MAX(0,AK451-IF($A488&gt;=('1-Input'!$C$12+1),'1-Input'!$B$12,0))-MIN(MAX(AO487,0),MAX(0,AK451-IF($A488&gt;=('1-Input'!$C$12+1),'1-Input'!$B$12,0))))*(1/(1-'P-Parametri'!$B$6*AK488))+MIN(MAX(0,AP487-(MAX(0,AK451-IF($A488&gt;=('1-Input'!$C$12+1),'1-Input'!$B$12,0))-MIN(MAX(AO487,0),MAX(0,AK451-IF($A488&gt;=('1-Input'!$C$12+1),'1-Input'!$B$12,0))))*(1/(1-'P-Parametri'!$B$6*AK488))),MAX(0,0*AK451-(AO487-MIN(MAX(AO487,0),MAX(0,AK451-IF($A488&gt;=('1-Input'!$C$12+1),'1-Input'!$B$12,0)))))*(1/(1-'P-Parametri'!$B$6*AK488))))</f>
        <v>9154.8587921333765</v>
      </c>
      <c r="AM488" s="18">
        <f>IF($A488&gt;'1-Input'!$B$26,AO487,(AO487-MAX(0,AK451-IF($A488&gt;=('1-Input'!$C$12+1),'1-Input'!$B$12,0))+AL488*(1-'P-Parametri'!$B$6*AK488))*(1+'1-Input'!$B$27))</f>
        <v>0</v>
      </c>
      <c r="AN488" s="18">
        <f>IF($A488&gt;'1-Input'!$B$26,AP487,(AP487-AL488)*(1+'5-Roberta'!$C$4))</f>
        <v>82354.515306248082</v>
      </c>
      <c r="AO488" s="18">
        <f>IF($A488&gt;'1-Input'!$B$26,AM488,AM488-'P-Parametri'!$B$8*(AN488+AM488)+MIN(MAX(AN488,0),'P-Parametri'!$B$8*(AN488+AM488)))</f>
        <v>0</v>
      </c>
      <c r="AP488" s="18">
        <f>IF($A488&gt;'1-Input'!$B$26,AN488,AN488-MIN(MAX(AN488,0),'P-Parametri'!$B$8*(AN488+AM488)))</f>
        <v>82189.806275635579</v>
      </c>
      <c r="AQ488" s="18">
        <f>IF($A488&gt;'1-Input'!$B$26,AQ487,AQ487-AL488*(1-AK488))</f>
        <v>24550.744338590339</v>
      </c>
    </row>
    <row r="489" spans="1:43">
      <c r="A489" s="10">
        <f>36</f>
        <v>36</v>
      </c>
      <c r="B489" s="11">
        <f>IF($A489&gt;'1-Input'!$B$26,0,IF(G488&lt;=0,0,MAX(0,(G488-H488)/G488)))</f>
        <v>0.70129210116086871</v>
      </c>
      <c r="C489" s="18">
        <f>IF($A489&gt;'1-Input'!$B$26,0,(MAX(0,B451-IF($A489&gt;=('1-Input'!$C$12+1),'1-Input'!$B$12,0))-MIN(MAX(F488,0),MAX(0,B451-IF($A489&gt;=('1-Input'!$C$12+1),'1-Input'!$B$12,0))))*(1/(1-'P-Parametri'!$B$6*B489))+MIN(MAX(0,G488-(MAX(0,B451-IF($A489&gt;=('1-Input'!$C$12+1),'1-Input'!$B$12,0))-MIN(MAX(F488,0),MAX(0,B451-IF($A489&gt;=('1-Input'!$C$12+1),'1-Input'!$B$12,0))))*(1/(1-'P-Parametri'!$B$6*B489))),MAX(0,0*B451-(F488-MIN(MAX(F488,0),MAX(0,B451-IF($A489&gt;=('1-Input'!$C$12+1),'1-Input'!$B$12,0)))))*(1/(1-'P-Parametri'!$B$6*B489))))</f>
        <v>6823.1632409331896</v>
      </c>
      <c r="D489" s="18">
        <f>IF($A489&gt;'1-Input'!$B$26,F488,(F488-MAX(0,B451-IF($A489&gt;=('1-Input'!$C$12+1),'1-Input'!$B$12,0))+C489*(1-'P-Parametri'!$B$6*B489))*(1+'1-Input'!$B$27))</f>
        <v>9.0622052084654565E-13</v>
      </c>
      <c r="E489" s="18">
        <f>IF($A489&gt;'1-Input'!$B$26,G488,(G488-C489)*(1+'5-Roberta'!$C$4))</f>
        <v>212132.73351322018</v>
      </c>
      <c r="F489" s="18">
        <f>IF($A489&gt;'1-Input'!$B$26,D489,D489-'P-Parametri'!$B$8*(E489+D489)+MIN(MAX(E489,0),'P-Parametri'!$B$8*(E489+D489)))</f>
        <v>9.0949470177292824E-13</v>
      </c>
      <c r="G489" s="18">
        <f>IF($A489&gt;'1-Input'!$B$26,E489,E489-MIN(MAX(E489,0),'P-Parametri'!$B$8*(E489+D489)))</f>
        <v>211708.46804619374</v>
      </c>
      <c r="H489" s="18">
        <f>IF($A489&gt;'1-Input'!$B$26,H488,H488-C489*(1-B489))</f>
        <v>61520.119517218816</v>
      </c>
      <c r="I489" s="11">
        <f>IF($A489&gt;'1-Input'!$B$26,0,IF(N488&lt;=0,0,MAX(0,(N488-O488)/N488)))</f>
        <v>0</v>
      </c>
      <c r="J489" s="18">
        <f>IF($A489&gt;'1-Input'!$B$26,0,(MAX(0,I451-IF($A489&gt;=('1-Input'!$C$12+1),'1-Input'!$B$12,0))-MIN(MAX(M488,0),MAX(0,I451-IF($A489&gt;=('1-Input'!$C$12+1),'1-Input'!$B$12,0))))*(1/(1-'P-Parametri'!$B$6*I489))+MIN(MAX(0,N488-(MAX(0,I451-IF($A489&gt;=('1-Input'!$C$12+1),'1-Input'!$B$12,0))-MIN(MAX(M488,0),MAX(0,I451-IF($A489&gt;=('1-Input'!$C$12+1),'1-Input'!$B$12,0))))*(1/(1-'P-Parametri'!$B$6*I489))),MAX(0,0*I451-(M488-MIN(MAX(M488,0),MAX(0,I451-IF($A489&gt;=('1-Input'!$C$12+1),'1-Input'!$B$12,0)))))*(1/(1-'P-Parametri'!$B$6*I489))))</f>
        <v>10846.756992928691</v>
      </c>
      <c r="K489" s="18">
        <f>IF($A489&gt;'1-Input'!$B$26,M488,(M488-MAX(0,I451-IF($A489&gt;=('1-Input'!$C$12+1),'1-Input'!$B$12,0))+J489*(1-'P-Parametri'!$B$6*I489))*(1+'1-Input'!$B$27))</f>
        <v>-1.8124410416930913E-12</v>
      </c>
      <c r="L489" s="18">
        <f>IF($A489&gt;'1-Input'!$B$26,N488,(N488-J489)*(1+'5-Roberta'!$C$4))</f>
        <v>-136075.28595731978</v>
      </c>
      <c r="M489" s="18">
        <f>IF($A489&gt;'1-Input'!$B$26,K489,K489-'P-Parametri'!$B$8*(L489+K489)+MIN(MAX(L489,0),'P-Parametri'!$B$8*(L489+K489)))</f>
        <v>-1.8189894035458565E-12</v>
      </c>
      <c r="N489" s="18">
        <f>IF($A489&gt;'1-Input'!$B$26,L489,L489-MIN(MAX(L489,0),'P-Parametri'!$B$8*(L489+K489)))</f>
        <v>-135803.13538540513</v>
      </c>
      <c r="O489" s="18">
        <f>IF($A489&gt;'1-Input'!$B$26,O488,O488-J489*(1-I489))</f>
        <v>-111137.79432772414</v>
      </c>
      <c r="P489" s="11">
        <f>IF($A489&gt;'1-Input'!$B$26,0,IF(U488&lt;=0,0,MAX(0,(U488-V488)/U488)))</f>
        <v>0.70129210116086893</v>
      </c>
      <c r="Q489" s="18">
        <f>IF($A489&gt;'1-Input'!$B$26,0,(MAX(0,P451-IF($A489&gt;=('1-Input'!$C$12+1),'1-Input'!$B$12,0))-MIN(MAX(T488,0),MAX(0,P451-IF($A489&gt;=('1-Input'!$C$12+1),'1-Input'!$B$12,0))))*(1/(1-'P-Parametri'!$B$6*P489))+MIN(MAX(0,U488-(MAX(0,P451-IF($A489&gt;=('1-Input'!$C$12+1),'1-Input'!$B$12,0))-MIN(MAX(T488,0),MAX(0,P451-IF($A489&gt;=('1-Input'!$C$12+1),'1-Input'!$B$12,0))))*(1/(1-'P-Parametri'!$B$6*P489))),MAX(0,0*P451-(T488-MIN(MAX(T488,0),MAX(0,P451-IF($A489&gt;=('1-Input'!$C$12+1),'1-Input'!$B$12,0)))))*(1/(1-'P-Parametri'!$B$6*P489))))</f>
        <v>9470.9247626590513</v>
      </c>
      <c r="R489" s="18">
        <f>IF($A489&gt;'1-Input'!$B$26,T488,(T488-MAX(0,P451-IF($A489&gt;=('1-Input'!$C$12+1),'1-Input'!$B$12,0))+Q489*(1-'P-Parametri'!$B$6*P489))*(1+'1-Input'!$B$27))</f>
        <v>9.0622052084654565E-13</v>
      </c>
      <c r="S489" s="18">
        <f>IF($A489&gt;'1-Input'!$B$26,U488,(U488-Q489)*(1+'5-Roberta'!$C$4))</f>
        <v>58243.068869256276</v>
      </c>
      <c r="T489" s="18">
        <f>IF($A489&gt;'1-Input'!$B$26,R489,R489-'P-Parametri'!$B$8*(S489+R489)+MIN(MAX(S489,0),'P-Parametri'!$B$8*(S489+R489)))</f>
        <v>9.0949470177292824E-13</v>
      </c>
      <c r="U489" s="18">
        <f>IF($A489&gt;'1-Input'!$B$26,S489,S489-MIN(MAX(S489,0),'P-Parametri'!$B$8*(S489+R489)))</f>
        <v>58126.582731517767</v>
      </c>
      <c r="V489" s="18">
        <f>IF($A489&gt;'1-Input'!$B$26,V488,V488-Q489*(1-P489))</f>
        <v>16890.936625124614</v>
      </c>
      <c r="W489" s="11">
        <f>IF($A489&gt;'1-Input'!$B$26,0,IF(AB488&lt;=0,0,MAX(0,(AB488-AC488)/AB488)))</f>
        <v>0.7012921011608686</v>
      </c>
      <c r="X489" s="18">
        <f>IF($A489&gt;'1-Input'!$B$26,0,(MAX(0,W451-IF($A489&gt;=('1-Input'!$C$12+1),'1-Input'!$B$12,0))-MIN(MAX(AA488,0),MAX(0,W451-IF($A489&gt;=('1-Input'!$C$12+1),'1-Input'!$B$12,0))))*(1/(1-'P-Parametri'!$B$6*W489))+MIN(MAX(0,AB488-(MAX(0,W451-IF($A489&gt;=('1-Input'!$C$12+1),'1-Input'!$B$12,0))-MIN(MAX(AA488,0),MAX(0,W451-IF($A489&gt;=('1-Input'!$C$12+1),'1-Input'!$B$12,0))))*(1/(1-'P-Parametri'!$B$6*W489))),MAX(0,0*W451-(AA488-MIN(MAX(AA488,0),MAX(0,W451-IF($A489&gt;=('1-Input'!$C$12+1),'1-Input'!$B$12,0)))))*(1/(1-'P-Parametri'!$B$6*W489))))</f>
        <v>9174.5407149939856</v>
      </c>
      <c r="Y489" s="18">
        <f>IF($A489&gt;'1-Input'!$B$26,AA488,(AA488-MAX(0,W451-IF($A489&gt;=('1-Input'!$C$12+1),'1-Input'!$B$12,0))+X489*(1-'P-Parametri'!$B$6*W489))*(1+'1-Input'!$B$27))</f>
        <v>1.8124410416930913E-12</v>
      </c>
      <c r="Z489" s="18">
        <f>IF($A489&gt;'1-Input'!$B$26,AB488,(AB488-X489)*(1+'5-Roberta'!$C$4))</f>
        <v>75469.10728953981</v>
      </c>
      <c r="AA489" s="18">
        <f>IF($A489&gt;'1-Input'!$B$26,Y489,Y489-'P-Parametri'!$B$8*(Z489+Y489)+MIN(MAX(Z489,0),'P-Parametri'!$B$8*(Z489+Y489)))</f>
        <v>1.8189894035458565E-12</v>
      </c>
      <c r="AB489" s="18">
        <f>IF($A489&gt;'1-Input'!$B$26,Z489,Z489-MIN(MAX(Z489,0),'P-Parametri'!$B$8*(Z489+Y489)))</f>
        <v>75318.169074960737</v>
      </c>
      <c r="AC489" s="18">
        <f>IF($A489&gt;'1-Input'!$B$26,AC488,AC488-X489*(1-W489))</f>
        <v>21886.619869634371</v>
      </c>
      <c r="AD489" s="11">
        <f>IF($A489&gt;'1-Input'!$B$26,0,IF(AI488&lt;=0,0,MAX(0,(AI488-AJ488)/AI488)))</f>
        <v>0.70129210116086904</v>
      </c>
      <c r="AE489" s="18">
        <f>IF($A489&gt;'1-Input'!$B$26,0,(MAX(0,AD451-IF($A489&gt;=('1-Input'!$C$12+1),'1-Input'!$B$12,0))-MIN(MAX(AH488,0),MAX(0,AD451-IF($A489&gt;=('1-Input'!$C$12+1),'1-Input'!$B$12,0))))*(1/(1-'P-Parametri'!$B$6*AD489))+MIN(MAX(0,AI488-(MAX(0,AD451-IF($A489&gt;=('1-Input'!$C$12+1),'1-Input'!$B$12,0))-MIN(MAX(AH488,0),MAX(0,AD451-IF($A489&gt;=('1-Input'!$C$12+1),'1-Input'!$B$12,0))))*(1/(1-'P-Parametri'!$B$6*AD489))),MAX(0,0*AD451-(AH488-MIN(MAX(AH488,0),MAX(0,AD451-IF($A489&gt;=('1-Input'!$C$12+1),'1-Input'!$B$12,0)))))*(1/(1-'P-Parametri'!$B$6*AD489))))</f>
        <v>9180.0269748364281</v>
      </c>
      <c r="AF489" s="18">
        <f>IF($A489&gt;'1-Input'!$B$26,AH488,(AH488-MAX(0,AD451-IF($A489&gt;=('1-Input'!$C$12+1),'1-Input'!$B$12,0))+AE489*(1-'P-Parametri'!$B$6*AD489))*(1+'1-Input'!$B$27))</f>
        <v>0</v>
      </c>
      <c r="AG489" s="18">
        <f>IF($A489&gt;'1-Input'!$B$26,AI488,(AI488-AE489)*(1+'5-Roberta'!$C$4))</f>
        <v>75150.242210349112</v>
      </c>
      <c r="AH489" s="18">
        <f>IF($A489&gt;'1-Input'!$B$26,AF489,AF489-'P-Parametri'!$B$8*(AG489+AF489)+MIN(MAX(AG489,0),'P-Parametri'!$B$8*(AG489+AF489)))</f>
        <v>0</v>
      </c>
      <c r="AI489" s="18">
        <f>IF($A489&gt;'1-Input'!$B$26,AG489,AG489-MIN(MAX(AG489,0),'P-Parametri'!$B$8*(AG489+AF489)))</f>
        <v>74999.941725928409</v>
      </c>
      <c r="AJ489" s="18">
        <f>IF($A489&gt;'1-Input'!$B$26,AJ488,AJ488-AE489*(1-AD489))</f>
        <v>21794.146551364218</v>
      </c>
      <c r="AK489" s="11">
        <f>IF($A489&gt;'1-Input'!$B$26,0,IF(AP488&lt;=0,0,MAX(0,(AP488-AQ488)/AP488)))</f>
        <v>0.70129210116086882</v>
      </c>
      <c r="AL489" s="18">
        <f>IF($A489&gt;'1-Input'!$B$26,0,(MAX(0,AK451-IF($A489&gt;=('1-Input'!$C$12+1),'1-Input'!$B$12,0))-MIN(MAX(AO488,0),MAX(0,AK451-IF($A489&gt;=('1-Input'!$C$12+1),'1-Input'!$B$12,0))))*(1/(1-'P-Parametri'!$B$6*AK489))+MIN(MAX(0,AP488-(MAX(0,AK451-IF($A489&gt;=('1-Input'!$C$12+1),'1-Input'!$B$12,0))-MIN(MAX(AO488,0),MAX(0,AK451-IF($A489&gt;=('1-Input'!$C$12+1),'1-Input'!$B$12,0))))*(1/(1-'P-Parametri'!$B$6*AK489))),MAX(0,0*AK451-(AO488-MIN(MAX(AO488,0),MAX(0,AK451-IF($A489&gt;=('1-Input'!$C$12+1),'1-Input'!$B$12,0)))))*(1/(1-'P-Parametri'!$B$6*AK489))))</f>
        <v>9179.1541444345348</v>
      </c>
      <c r="AM489" s="18">
        <f>IF($A489&gt;'1-Input'!$B$26,AO488,(AO488-MAX(0,AK451-IF($A489&gt;=('1-Input'!$C$12+1),'1-Input'!$B$12,0))+AL489*(1-'P-Parametri'!$B$6*AK489))*(1+'1-Input'!$B$27))</f>
        <v>0</v>
      </c>
      <c r="AN489" s="18">
        <f>IF($A489&gt;'1-Input'!$B$26,AP488,(AP488-AL489)*(1+'5-Roberta'!$C$4))</f>
        <v>75200.971695137079</v>
      </c>
      <c r="AO489" s="18">
        <f>IF($A489&gt;'1-Input'!$B$26,AM489,AM489-'P-Parametri'!$B$8*(AN489+AM489)+MIN(MAX(AN489,0),'P-Parametri'!$B$8*(AN489+AM489)))</f>
        <v>0</v>
      </c>
      <c r="AP489" s="18">
        <f>IF($A489&gt;'1-Input'!$B$26,AN489,AN489-MIN(MAX(AN489,0),'P-Parametri'!$B$8*(AN489+AM489)))</f>
        <v>75050.569751746807</v>
      </c>
      <c r="AQ489" s="18">
        <f>IF($A489&gt;'1-Input'!$B$26,AQ488,AQ488-AL489*(1-AK489))</f>
        <v>21808.858490985796</v>
      </c>
    </row>
    <row r="490" spans="1:43">
      <c r="A490" s="10">
        <f>37</f>
        <v>37</v>
      </c>
      <c r="B490" s="11">
        <f>IF($A490&gt;'1-Input'!$B$26,0,IF(G489&lt;=0,0,MAX(0,(G489-H489)/G489)))</f>
        <v>0.70941115353120676</v>
      </c>
      <c r="C490" s="18">
        <f>IF($A490&gt;'1-Input'!$B$26,0,(MAX(0,B451-IF($A490&gt;=('1-Input'!$C$12+1),'1-Input'!$B$12,0))-MIN(MAX(F489,0),MAX(0,B451-IF($A490&gt;=('1-Input'!$C$12+1),'1-Input'!$B$12,0))))*(1/(1-'P-Parametri'!$B$6*B490))+MIN(MAX(0,G489-(MAX(0,B451-IF($A490&gt;=('1-Input'!$C$12+1),'1-Input'!$B$12,0))-MIN(MAX(F489,0),MAX(0,B451-IF($A490&gt;=('1-Input'!$C$12+1),'1-Input'!$B$12,0))))*(1/(1-'P-Parametri'!$B$6*B490))),MAX(0,0*B451-(F489-MIN(MAX(F489,0),MAX(0,B451-IF($A490&gt;=('1-Input'!$C$12+1),'1-Input'!$B$12,0)))))*(1/(1-'P-Parametri'!$B$6*B490))))</f>
        <v>6840.8241156408239</v>
      </c>
      <c r="D490" s="18">
        <f>IF($A490&gt;'1-Input'!$B$26,F489,(F489-MAX(0,B451-IF($A490&gt;=('1-Input'!$C$12+1),'1-Input'!$B$12,0))+C490*(1-'P-Parametri'!$B$6*B490))*(1+'1-Input'!$B$27))</f>
        <v>0</v>
      </c>
      <c r="E490" s="18">
        <f>IF($A490&gt;'1-Input'!$B$26,G489,(G489-C490)*(1+'5-Roberta'!$C$4))</f>
        <v>211013.67324846951</v>
      </c>
      <c r="F490" s="18">
        <f>IF($A490&gt;'1-Input'!$B$26,D490,D490-'P-Parametri'!$B$8*(E490+D490)+MIN(MAX(E490,0),'P-Parametri'!$B$8*(E490+D490)))</f>
        <v>0</v>
      </c>
      <c r="G490" s="18">
        <f>IF($A490&gt;'1-Input'!$B$26,E490,E490-MIN(MAX(E490,0),'P-Parametri'!$B$8*(E490+D490)))</f>
        <v>210591.64590197257</v>
      </c>
      <c r="H490" s="18">
        <f>IF($A490&gt;'1-Input'!$B$26,H489,H489-C490*(1-B490))</f>
        <v>59532.252328558847</v>
      </c>
      <c r="I490" s="11">
        <f>IF($A490&gt;'1-Input'!$B$26,0,IF(N489&lt;=0,0,MAX(0,(N489-O489)/N489)))</f>
        <v>0</v>
      </c>
      <c r="J490" s="18">
        <f>IF($A490&gt;'1-Input'!$B$26,0,(MAX(0,I451-IF($A490&gt;=('1-Input'!$C$12+1),'1-Input'!$B$12,0))-MIN(MAX(M489,0),MAX(0,I451-IF($A490&gt;=('1-Input'!$C$12+1),'1-Input'!$B$12,0))))*(1/(1-'P-Parametri'!$B$6*I490))+MIN(MAX(0,N489-(MAX(0,I451-IF($A490&gt;=('1-Input'!$C$12+1),'1-Input'!$B$12,0))-MIN(MAX(M489,0),MAX(0,I451-IF($A490&gt;=('1-Input'!$C$12+1),'1-Input'!$B$12,0))))*(1/(1-'P-Parametri'!$B$6*I490))),MAX(0,0*I451-(M489-MIN(MAX(M489,0),MAX(0,I451-IF($A490&gt;=('1-Input'!$C$12+1),'1-Input'!$B$12,0)))))*(1/(1-'P-Parametri'!$B$6*I490))))</f>
        <v>10846.756992928691</v>
      </c>
      <c r="K490" s="18">
        <f>IF($A490&gt;'1-Input'!$B$26,M489,(M489-MAX(0,I451-IF($A490&gt;=('1-Input'!$C$12+1),'1-Input'!$B$12,0))+J490*(1-'P-Parametri'!$B$6*I490))*(1+'1-Input'!$B$27))</f>
        <v>-1.8124410416930913E-12</v>
      </c>
      <c r="L490" s="18">
        <f>IF($A490&gt;'1-Input'!$B$26,N489,(N489-J490)*(1+'5-Roberta'!$C$4))</f>
        <v>-151049.38914968382</v>
      </c>
      <c r="M490" s="18">
        <f>IF($A490&gt;'1-Input'!$B$26,K490,K490-'P-Parametri'!$B$8*(L490+K490)+MIN(MAX(L490,0),'P-Parametri'!$B$8*(L490+K490)))</f>
        <v>-1.8189894035458565E-12</v>
      </c>
      <c r="N490" s="18">
        <f>IF($A490&gt;'1-Input'!$B$26,L490,L490-MIN(MAX(L490,0),'P-Parametri'!$B$8*(L490+K490)))</f>
        <v>-150747.29037138444</v>
      </c>
      <c r="O490" s="18">
        <f>IF($A490&gt;'1-Input'!$B$26,O489,O489-J490*(1-I490))</f>
        <v>-121984.55132065283</v>
      </c>
      <c r="P490" s="11">
        <f>IF($A490&gt;'1-Input'!$B$26,0,IF(U489&lt;=0,0,MAX(0,(U489-V489)/U489)))</f>
        <v>0.70941115353120687</v>
      </c>
      <c r="Q490" s="18">
        <f>IF($A490&gt;'1-Input'!$B$26,0,(MAX(0,P451-IF($A490&gt;=('1-Input'!$C$12+1),'1-Input'!$B$12,0))-MIN(MAX(T489,0),MAX(0,P451-IF($A490&gt;=('1-Input'!$C$12+1),'1-Input'!$B$12,0))))*(1/(1-'P-Parametri'!$B$6*P490))+MIN(MAX(0,U489-(MAX(0,P451-IF($A490&gt;=('1-Input'!$C$12+1),'1-Input'!$B$12,0))-MIN(MAX(T489,0),MAX(0,P451-IF($A490&gt;=('1-Input'!$C$12+1),'1-Input'!$B$12,0))))*(1/(1-'P-Parametri'!$B$6*P490))),MAX(0,0*P451-(T489-MIN(MAX(T489,0),MAX(0,P451-IF($A490&gt;=('1-Input'!$C$12+1),'1-Input'!$B$12,0)))))*(1/(1-'P-Parametri'!$B$6*P490))))</f>
        <v>9495.4390252807189</v>
      </c>
      <c r="R490" s="18">
        <f>IF($A490&gt;'1-Input'!$B$26,T489,(T489-MAX(0,P451-IF($A490&gt;=('1-Input'!$C$12+1),'1-Input'!$B$12,0))+Q490*(1-'P-Parametri'!$B$6*P490))*(1+'1-Input'!$B$27))</f>
        <v>-9.0622052084654565E-13</v>
      </c>
      <c r="S490" s="18">
        <f>IF($A490&gt;'1-Input'!$B$26,U489,(U489-Q490)*(1+'5-Roberta'!$C$4))</f>
        <v>50090.078017424159</v>
      </c>
      <c r="T490" s="18">
        <f>IF($A490&gt;'1-Input'!$B$26,R490,R490-'P-Parametri'!$B$8*(S490+R490)+MIN(MAX(S490,0),'P-Parametri'!$B$8*(S490+R490)))</f>
        <v>-9.0949470177292824E-13</v>
      </c>
      <c r="U490" s="18">
        <f>IF($A490&gt;'1-Input'!$B$26,S490,S490-MIN(MAX(S490,0),'P-Parametri'!$B$8*(S490+R490)))</f>
        <v>49989.897861389312</v>
      </c>
      <c r="V490" s="18">
        <f>IF($A490&gt;'1-Input'!$B$26,V489,V489-Q490*(1-P490))</f>
        <v>14131.667952053529</v>
      </c>
      <c r="W490" s="11">
        <f>IF($A490&gt;'1-Input'!$B$26,0,IF(AB489&lt;=0,0,MAX(0,(AB489-AC489)/AB489)))</f>
        <v>0.70941115353120687</v>
      </c>
      <c r="X490" s="18">
        <f>IF($A490&gt;'1-Input'!$B$26,0,(MAX(0,W451-IF($A490&gt;=('1-Input'!$C$12+1),'1-Input'!$B$12,0))-MIN(MAX(AA489,0),MAX(0,W451-IF($A490&gt;=('1-Input'!$C$12+1),'1-Input'!$B$12,0))))*(1/(1-'P-Parametri'!$B$6*W490))+MIN(MAX(0,AB489-(MAX(0,W451-IF($A490&gt;=('1-Input'!$C$12+1),'1-Input'!$B$12,0))-MIN(MAX(AA489,0),MAX(0,W451-IF($A490&gt;=('1-Input'!$C$12+1),'1-Input'!$B$12,0))))*(1/(1-'P-Parametri'!$B$6*W490))),MAX(0,0*W451-(AA489-MIN(MAX(AA489,0),MAX(0,W451-IF($A490&gt;=('1-Input'!$C$12+1),'1-Input'!$B$12,0)))))*(1/(1-'P-Parametri'!$B$6*W490))))</f>
        <v>9198.2878258787932</v>
      </c>
      <c r="Y490" s="18">
        <f>IF($A490&gt;'1-Input'!$B$26,AA489,(AA489-MAX(0,W451-IF($A490&gt;=('1-Input'!$C$12+1),'1-Input'!$B$12,0))+X490*(1-'P-Parametri'!$B$6*W490))*(1+'1-Input'!$B$27))</f>
        <v>-9.0622052084654565E-13</v>
      </c>
      <c r="Z490" s="18">
        <f>IF($A490&gt;'1-Input'!$B$26,AB489,(AB489-X490)*(1+'5-Roberta'!$C$4))</f>
        <v>68103.477686554397</v>
      </c>
      <c r="AA490" s="18">
        <f>IF($A490&gt;'1-Input'!$B$26,Y490,Y490-'P-Parametri'!$B$8*(Z490+Y490)+MIN(MAX(Z490,0),'P-Parametri'!$B$8*(Z490+Y490)))</f>
        <v>-9.0949470177292824E-13</v>
      </c>
      <c r="AB490" s="18">
        <f>IF($A490&gt;'1-Input'!$B$26,Z490,Z490-MIN(MAX(Z490,0),'P-Parametri'!$B$8*(Z490+Y490)))</f>
        <v>67967.270731181285</v>
      </c>
      <c r="AC490" s="18">
        <f>IF($A490&gt;'1-Input'!$B$26,AC489,AC489-X490*(1-W490))</f>
        <v>19213.700020824308</v>
      </c>
      <c r="AD490" s="11">
        <f>IF($A490&gt;'1-Input'!$B$26,0,IF(AI489&lt;=0,0,MAX(0,(AI489-AJ489)/AI489)))</f>
        <v>0.70941115353120721</v>
      </c>
      <c r="AE490" s="18">
        <f>IF($A490&gt;'1-Input'!$B$26,0,(MAX(0,AD451-IF($A490&gt;=('1-Input'!$C$12+1),'1-Input'!$B$12,0))-MIN(MAX(AH489,0),MAX(0,AD451-IF($A490&gt;=('1-Input'!$C$12+1),'1-Input'!$B$12,0))))*(1/(1-'P-Parametri'!$B$6*AD490))+MIN(MAX(0,AI489-(MAX(0,AD451-IF($A490&gt;=('1-Input'!$C$12+1),'1-Input'!$B$12,0))-MIN(MAX(AH489,0),MAX(0,AD451-IF($A490&gt;=('1-Input'!$C$12+1),'1-Input'!$B$12,0))))*(1/(1-'P-Parametri'!$B$6*AD490))),MAX(0,0*AD451-(AH489-MIN(MAX(AH489,0),MAX(0,AD451-IF($A490&gt;=('1-Input'!$C$12+1),'1-Input'!$B$12,0)))))*(1/(1-'P-Parametri'!$B$6*AD490))))</f>
        <v>9203.78828619458</v>
      </c>
      <c r="AF490" s="18">
        <f>IF($A490&gt;'1-Input'!$B$26,AH489,(AH489-MAX(0,AD451-IF($A490&gt;=('1-Input'!$C$12+1),'1-Input'!$B$12,0))+AE490*(1-'P-Parametri'!$B$6*AD490))*(1+'1-Input'!$B$27))</f>
        <v>-9.0622052084654565E-13</v>
      </c>
      <c r="AG490" s="18">
        <f>IF($A490&gt;'1-Input'!$B$26,AI489,(AI489-AE490)*(1+'5-Roberta'!$C$4))</f>
        <v>67770.038042925837</v>
      </c>
      <c r="AH490" s="18">
        <f>IF($A490&gt;'1-Input'!$B$26,AF490,AF490-'P-Parametri'!$B$8*(AG490+AF490)+MIN(MAX(AG490,0),'P-Parametri'!$B$8*(AG490+AF490)))</f>
        <v>-9.0949470177292824E-13</v>
      </c>
      <c r="AI490" s="18">
        <f>IF($A490&gt;'1-Input'!$B$26,AG490,AG490-MIN(MAX(AG490,0),'P-Parametri'!$B$8*(AG490+AF490)))</f>
        <v>67634.49796683999</v>
      </c>
      <c r="AJ490" s="18">
        <f>IF($A490&gt;'1-Input'!$B$26,AJ489,AJ489-AE490*(1-AD490))</f>
        <v>19119.628330135947</v>
      </c>
      <c r="AK490" s="11">
        <f>IF($A490&gt;'1-Input'!$B$26,0,IF(AP489&lt;=0,0,MAX(0,(AP489-AQ489)/AP489)))</f>
        <v>0.70941115353120698</v>
      </c>
      <c r="AL490" s="18">
        <f>IF($A490&gt;'1-Input'!$B$26,0,(MAX(0,AK451-IF($A490&gt;=('1-Input'!$C$12+1),'1-Input'!$B$12,0))-MIN(MAX(AO489,0),MAX(0,AK451-IF($A490&gt;=('1-Input'!$C$12+1),'1-Input'!$B$12,0))))*(1/(1-'P-Parametri'!$B$6*AK490))+MIN(MAX(0,AP489-(MAX(0,AK451-IF($A490&gt;=('1-Input'!$C$12+1),'1-Input'!$B$12,0))-MIN(MAX(AO489,0),MAX(0,AK451-IF($A490&gt;=('1-Input'!$C$12+1),'1-Input'!$B$12,0))))*(1/(1-'P-Parametri'!$B$6*AK490))),MAX(0,0*AK451-(AO489-MIN(MAX(AO489,0),MAX(0,AK451-IF($A490&gt;=('1-Input'!$C$12+1),'1-Input'!$B$12,0)))))*(1/(1-'P-Parametri'!$B$6*AK490))))</f>
        <v>9202.9131965841898</v>
      </c>
      <c r="AM490" s="18">
        <f>IF($A490&gt;'1-Input'!$B$26,AO489,(AO489-MAX(0,AK451-IF($A490&gt;=('1-Input'!$C$12+1),'1-Input'!$B$12,0))+AL490*(1-'P-Parametri'!$B$6*AK490))*(1+'1-Input'!$B$27))</f>
        <v>0</v>
      </c>
      <c r="AN490" s="18">
        <f>IF($A490&gt;'1-Input'!$B$26,AP489,(AP489-AL490)*(1+'5-Roberta'!$C$4))</f>
        <v>67823.086251817498</v>
      </c>
      <c r="AO490" s="18">
        <f>IF($A490&gt;'1-Input'!$B$26,AM490,AM490-'P-Parametri'!$B$8*(AN490+AM490)+MIN(MAX(AN490,0),'P-Parametri'!$B$8*(AN490+AM490)))</f>
        <v>0</v>
      </c>
      <c r="AP490" s="18">
        <f>IF($A490&gt;'1-Input'!$B$26,AN490,AN490-MIN(MAX(AN490,0),'P-Parametri'!$B$8*(AN490+AM490)))</f>
        <v>67687.440079313863</v>
      </c>
      <c r="AQ490" s="18">
        <f>IF($A490&gt;'1-Input'!$B$26,AQ489,AQ489-AL490*(1-AK490))</f>
        <v>19134.594561037964</v>
      </c>
    </row>
    <row r="491" spans="1:43">
      <c r="A491" s="10">
        <f>38</f>
        <v>38</v>
      </c>
      <c r="B491" s="11">
        <f>IF($A491&gt;'1-Input'!$B$26,0,IF(G490&lt;=0,0,MAX(0,(G490-H490)/G490)))</f>
        <v>0.71730952539176096</v>
      </c>
      <c r="C491" s="18">
        <f>IF($A491&gt;'1-Input'!$B$26,0,(MAX(0,B451-IF($A491&gt;=('1-Input'!$C$12+1),'1-Input'!$B$12,0))-MIN(MAX(F490,0),MAX(0,B451-IF($A491&gt;=('1-Input'!$C$12+1),'1-Input'!$B$12,0))))*(1/(1-'P-Parametri'!$B$6*B491))+MIN(MAX(0,G490-(MAX(0,B451-IF($A491&gt;=('1-Input'!$C$12+1),'1-Input'!$B$12,0))-MIN(MAX(F490,0),MAX(0,B451-IF($A491&gt;=('1-Input'!$C$12+1),'1-Input'!$B$12,0))))*(1/(1-'P-Parametri'!$B$6*B491))),MAX(0,0*B451-(F490-MIN(MAX(F490,0),MAX(0,B451-IF($A491&gt;=('1-Input'!$C$12+1),'1-Input'!$B$12,0)))))*(1/(1-'P-Parametri'!$B$6*B491))))</f>
        <v>6858.0929111316846</v>
      </c>
      <c r="D491" s="18">
        <f>IF($A491&gt;'1-Input'!$B$26,F490,(F490-MAX(0,B451-IF($A491&gt;=('1-Input'!$C$12+1),'1-Input'!$B$12,0))+C491*(1-'P-Parametri'!$B$6*B491))*(1+'1-Input'!$B$27))</f>
        <v>0</v>
      </c>
      <c r="E491" s="18">
        <f>IF($A491&gt;'1-Input'!$B$26,G490,(G490-C491)*(1+'5-Roberta'!$C$4))</f>
        <v>209845.55958056613</v>
      </c>
      <c r="F491" s="18">
        <f>IF($A491&gt;'1-Input'!$B$26,D491,D491-'P-Parametri'!$B$8*(E491+D491)+MIN(MAX(E491,0),'P-Parametri'!$B$8*(E491+D491)))</f>
        <v>0</v>
      </c>
      <c r="G491" s="18">
        <f>IF($A491&gt;'1-Input'!$B$26,E491,E491-MIN(MAX(E491,0),'P-Parametri'!$B$8*(E491+D491)))</f>
        <v>209425.86846140499</v>
      </c>
      <c r="H491" s="18">
        <f>IF($A491&gt;'1-Input'!$B$26,H490,H490-C491*(1-B491))</f>
        <v>57593.534788603632</v>
      </c>
      <c r="I491" s="11">
        <f>IF($A491&gt;'1-Input'!$B$26,0,IF(N490&lt;=0,0,MAX(0,(N490-O490)/N490)))</f>
        <v>0</v>
      </c>
      <c r="J491" s="18">
        <f>IF($A491&gt;'1-Input'!$B$26,0,(MAX(0,I451-IF($A491&gt;=('1-Input'!$C$12+1),'1-Input'!$B$12,0))-MIN(MAX(M490,0),MAX(0,I451-IF($A491&gt;=('1-Input'!$C$12+1),'1-Input'!$B$12,0))))*(1/(1-'P-Parametri'!$B$6*I491))+MIN(MAX(0,N490-(MAX(0,I451-IF($A491&gt;=('1-Input'!$C$12+1),'1-Input'!$B$12,0))-MIN(MAX(M490,0),MAX(0,I451-IF($A491&gt;=('1-Input'!$C$12+1),'1-Input'!$B$12,0))))*(1/(1-'P-Parametri'!$B$6*I491))),MAX(0,0*I451-(M490-MIN(MAX(M490,0),MAX(0,I451-IF($A491&gt;=('1-Input'!$C$12+1),'1-Input'!$B$12,0)))))*(1/(1-'P-Parametri'!$B$6*I491))))</f>
        <v>10846.756992928691</v>
      </c>
      <c r="K491" s="18">
        <f>IF($A491&gt;'1-Input'!$B$26,M490,(M490-MAX(0,I451-IF($A491&gt;=('1-Input'!$C$12+1),'1-Input'!$B$12,0))+J491*(1-'P-Parametri'!$B$6*I491))*(1+'1-Input'!$B$27))</f>
        <v>-1.8124410416930913E-12</v>
      </c>
      <c r="L491" s="18">
        <f>IF($A491&gt;'1-Input'!$B$26,N490,(N490-J491)*(1+'5-Roberta'!$C$4))</f>
        <v>-166441.86878524252</v>
      </c>
      <c r="M491" s="18">
        <f>IF($A491&gt;'1-Input'!$B$26,K491,K491-'P-Parametri'!$B$8*(L491+K491)+MIN(MAX(L491,0),'P-Parametri'!$B$8*(L491+K491)))</f>
        <v>-1.8189894035458565E-12</v>
      </c>
      <c r="N491" s="18">
        <f>IF($A491&gt;'1-Input'!$B$26,L491,L491-MIN(MAX(L491,0),'P-Parametri'!$B$8*(L491+K491)))</f>
        <v>-166108.98504767203</v>
      </c>
      <c r="O491" s="18">
        <f>IF($A491&gt;'1-Input'!$B$26,O490,O490-J491*(1-I491))</f>
        <v>-132831.30831358151</v>
      </c>
      <c r="P491" s="11">
        <f>IF($A491&gt;'1-Input'!$B$26,0,IF(U490&lt;=0,0,MAX(0,(U490-V490)/U490)))</f>
        <v>0.71730952539176118</v>
      </c>
      <c r="Q491" s="18">
        <f>IF($A491&gt;'1-Input'!$B$26,0,(MAX(0,P451-IF($A491&gt;=('1-Input'!$C$12+1),'1-Input'!$B$12,0))-MIN(MAX(T490,0),MAX(0,P451-IF($A491&gt;=('1-Input'!$C$12+1),'1-Input'!$B$12,0))))*(1/(1-'P-Parametri'!$B$6*P491))+MIN(MAX(0,U490-(MAX(0,P451-IF($A491&gt;=('1-Input'!$C$12+1),'1-Input'!$B$12,0))-MIN(MAX(T490,0),MAX(0,P451-IF($A491&gt;=('1-Input'!$C$12+1),'1-Input'!$B$12,0))))*(1/(1-'P-Parametri'!$B$6*P491))),MAX(0,0*P451-(T490-MIN(MAX(T490,0),MAX(0,P451-IF($A491&gt;=('1-Input'!$C$12+1),'1-Input'!$B$12,0)))))*(1/(1-'P-Parametri'!$B$6*P491))))</f>
        <v>9519.4090604477697</v>
      </c>
      <c r="R491" s="18">
        <f>IF($A491&gt;'1-Input'!$B$26,T490,(T490-MAX(0,P451-IF($A491&gt;=('1-Input'!$C$12+1),'1-Input'!$B$12,0))+Q491*(1-'P-Parametri'!$B$6*P491))*(1+'1-Input'!$B$27))</f>
        <v>0</v>
      </c>
      <c r="S491" s="18">
        <f>IF($A491&gt;'1-Input'!$B$26,U490,(U490-Q491)*(1+'5-Roberta'!$C$4))</f>
        <v>41684.60346496979</v>
      </c>
      <c r="T491" s="18">
        <f>IF($A491&gt;'1-Input'!$B$26,R491,R491-'P-Parametri'!$B$8*(S491+R491)+MIN(MAX(S491,0),'P-Parametri'!$B$8*(S491+R491)))</f>
        <v>0</v>
      </c>
      <c r="U491" s="18">
        <f>IF($A491&gt;'1-Input'!$B$26,S491,S491-MIN(MAX(S491,0),'P-Parametri'!$B$8*(S491+R491)))</f>
        <v>41601.234258039847</v>
      </c>
      <c r="V491" s="18">
        <f>IF($A491&gt;'1-Input'!$B$26,V490,V490-Q491*(1-P491))</f>
        <v>11440.62168676558</v>
      </c>
      <c r="W491" s="11">
        <f>IF($A491&gt;'1-Input'!$B$26,0,IF(AB490&lt;=0,0,MAX(0,(AB490-AC490)/AB490)))</f>
        <v>0.71730952539176096</v>
      </c>
      <c r="X491" s="18">
        <f>IF($A491&gt;'1-Input'!$B$26,0,(MAX(0,W451-IF($A491&gt;=('1-Input'!$C$12+1),'1-Input'!$B$12,0))-MIN(MAX(AA490,0),MAX(0,W451-IF($A491&gt;=('1-Input'!$C$12+1),'1-Input'!$B$12,0))))*(1/(1-'P-Parametri'!$B$6*W491))+MIN(MAX(0,AB490-(MAX(0,W451-IF($A491&gt;=('1-Input'!$C$12+1),'1-Input'!$B$12,0))-MIN(MAX(AA490,0),MAX(0,W451-IF($A491&gt;=('1-Input'!$C$12+1),'1-Input'!$B$12,0))))*(1/(1-'P-Parametri'!$B$6*W491))),MAX(0,0*W451-(AA490-MIN(MAX(AA490,0),MAX(0,W451-IF($A491&gt;=('1-Input'!$C$12+1),'1-Input'!$B$12,0)))))*(1/(1-'P-Parametri'!$B$6*W491))))</f>
        <v>9221.5077404162857</v>
      </c>
      <c r="Y491" s="18">
        <f>IF($A491&gt;'1-Input'!$B$26,AA490,(AA490-MAX(0,W451-IF($A491&gt;=('1-Input'!$C$12+1),'1-Input'!$B$12,0))+X491*(1-'P-Parametri'!$B$6*W491))*(1+'1-Input'!$B$27))</f>
        <v>9.0622052084654565E-13</v>
      </c>
      <c r="Z491" s="18">
        <f>IF($A491&gt;'1-Input'!$B$26,AB490,(AB490-X491)*(1+'5-Roberta'!$C$4))</f>
        <v>60508.135880487949</v>
      </c>
      <c r="AA491" s="18">
        <f>IF($A491&gt;'1-Input'!$B$26,Y491,Y491-'P-Parametri'!$B$8*(Z491+Y491)+MIN(MAX(Z491,0),'P-Parametri'!$B$8*(Z491+Y491)))</f>
        <v>9.0949470177292824E-13</v>
      </c>
      <c r="AB491" s="18">
        <f>IF($A491&gt;'1-Input'!$B$26,Z491,Z491-MIN(MAX(Z491,0),'P-Parametri'!$B$8*(Z491+Y491)))</f>
        <v>60387.119608726971</v>
      </c>
      <c r="AC491" s="18">
        <f>IF($A491&gt;'1-Input'!$B$26,AC490,AC490-X491*(1-W491))</f>
        <v>16606.867621082478</v>
      </c>
      <c r="AD491" s="11">
        <f>IF($A491&gt;'1-Input'!$B$26,0,IF(AI490&lt;=0,0,MAX(0,(AI490-AJ490)/AI490)))</f>
        <v>0.71730952539176129</v>
      </c>
      <c r="AE491" s="18">
        <f>IF($A491&gt;'1-Input'!$B$26,0,(MAX(0,AD451-IF($A491&gt;=('1-Input'!$C$12+1),'1-Input'!$B$12,0))-MIN(MAX(AH490,0),MAX(0,AD451-IF($A491&gt;=('1-Input'!$C$12+1),'1-Input'!$B$12,0))))*(1/(1-'P-Parametri'!$B$6*AD491))+MIN(MAX(0,AI490-(MAX(0,AD451-IF($A491&gt;=('1-Input'!$C$12+1),'1-Input'!$B$12,0))-MIN(MAX(AH490,0),MAX(0,AD451-IF($A491&gt;=('1-Input'!$C$12+1),'1-Input'!$B$12,0))))*(1/(1-'P-Parametri'!$B$6*AD491))),MAX(0,0*AD451-(AH490-MIN(MAX(AH490,0),MAX(0,AD451-IF($A491&gt;=('1-Input'!$C$12+1),'1-Input'!$B$12,0)))))*(1/(1-'P-Parametri'!$B$6*AD491))))</f>
        <v>9227.0220859486308</v>
      </c>
      <c r="AF491" s="18">
        <f>IF($A491&gt;'1-Input'!$B$26,AH490,(AH490-MAX(0,AD451-IF($A491&gt;=('1-Input'!$C$12+1),'1-Input'!$B$12,0))+AE491*(1-'P-Parametri'!$B$6*AD491))*(1+'1-Input'!$B$27))</f>
        <v>9.0622052084654565E-13</v>
      </c>
      <c r="AG491" s="18">
        <f>IF($A491&gt;'1-Input'!$B$26,AI490,(AI490-AE491)*(1+'5-Roberta'!$C$4))</f>
        <v>60159.700157318104</v>
      </c>
      <c r="AH491" s="18">
        <f>IF($A491&gt;'1-Input'!$B$26,AF491,AF491-'P-Parametri'!$B$8*(AG491+AF491)+MIN(MAX(AG491,0),'P-Parametri'!$B$8*(AG491+AF491)))</f>
        <v>9.0949470177292824E-13</v>
      </c>
      <c r="AI491" s="18">
        <f>IF($A491&gt;'1-Input'!$B$26,AG491,AG491-MIN(MAX(AG491,0),'P-Parametri'!$B$8*(AG491+AF491)))</f>
        <v>60039.38075700347</v>
      </c>
      <c r="AJ491" s="18">
        <f>IF($A491&gt;'1-Input'!$B$26,AJ490,AJ490-AE491*(1-AD491))</f>
        <v>16511.237077438429</v>
      </c>
      <c r="AK491" s="11">
        <f>IF($A491&gt;'1-Input'!$B$26,0,IF(AP490&lt;=0,0,MAX(0,(AP490-AQ490)/AP490)))</f>
        <v>0.71730952539176118</v>
      </c>
      <c r="AL491" s="18">
        <f>IF($A491&gt;'1-Input'!$B$26,0,(MAX(0,AK451-IF($A491&gt;=('1-Input'!$C$12+1),'1-Input'!$B$12,0))-MIN(MAX(AO490,0),MAX(0,AK451-IF($A491&gt;=('1-Input'!$C$12+1),'1-Input'!$B$12,0))))*(1/(1-'P-Parametri'!$B$6*AK491))+MIN(MAX(0,AP490-(MAX(0,AK451-IF($A491&gt;=('1-Input'!$C$12+1),'1-Input'!$B$12,0))-MIN(MAX(AO490,0),MAX(0,AK451-IF($A491&gt;=('1-Input'!$C$12+1),'1-Input'!$B$12,0))))*(1/(1-'P-Parametri'!$B$6*AK491))),MAX(0,0*AK451-(AO490-MIN(MAX(AO490,0),MAX(0,AK451-IF($A491&gt;=('1-Input'!$C$12+1),'1-Input'!$B$12,0)))))*(1/(1-'P-Parametri'!$B$6*AK491))))</f>
        <v>9226.1447872851677</v>
      </c>
      <c r="AM491" s="18">
        <f>IF($A491&gt;'1-Input'!$B$26,AO490,(AO490-MAX(0,AK451-IF($A491&gt;=('1-Input'!$C$12+1),'1-Input'!$B$12,0))+AL491*(1-'P-Parametri'!$B$6*AK491))*(1+'1-Input'!$B$27))</f>
        <v>9.0622052084654565E-13</v>
      </c>
      <c r="AN491" s="18">
        <f>IF($A491&gt;'1-Input'!$B$26,AP490,(AP490-AL491)*(1+'5-Roberta'!$C$4))</f>
        <v>60215.134150789556</v>
      </c>
      <c r="AO491" s="18">
        <f>IF($A491&gt;'1-Input'!$B$26,AM491,AM491-'P-Parametri'!$B$8*(AN491+AM491)+MIN(MAX(AN491,0),'P-Parametri'!$B$8*(AN491+AM491)))</f>
        <v>9.0949470177292824E-13</v>
      </c>
      <c r="AP491" s="18">
        <f>IF($A491&gt;'1-Input'!$B$26,AN491,AN491-MIN(MAX(AN491,0),'P-Parametri'!$B$8*(AN491+AM491)))</f>
        <v>60094.703882487978</v>
      </c>
      <c r="AQ491" s="18">
        <f>IF($A491&gt;'1-Input'!$B$26,AQ490,AQ490-AL491*(1-AK491))</f>
        <v>16526.451312315992</v>
      </c>
    </row>
    <row r="492" spans="1:43">
      <c r="A492" s="10">
        <f>39</f>
        <v>39</v>
      </c>
      <c r="B492" s="11">
        <f>IF($A492&gt;'1-Input'!$B$26,0,IF(G491&lt;=0,0,MAX(0,(G491-H491)/G491)))</f>
        <v>0.72499321496562152</v>
      </c>
      <c r="C492" s="18">
        <f>IF($A492&gt;'1-Input'!$B$26,0,(MAX(0,B451-IF($A492&gt;=('1-Input'!$C$12+1),'1-Input'!$B$12,0))-MIN(MAX(F491,0),MAX(0,B451-IF($A492&gt;=('1-Input'!$C$12+1),'1-Input'!$B$12,0))))*(1/(1-'P-Parametri'!$B$6*B492))+MIN(MAX(0,G491-(MAX(0,B451-IF($A492&gt;=('1-Input'!$C$12+1),'1-Input'!$B$12,0))-MIN(MAX(F491,0),MAX(0,B451-IF($A492&gt;=('1-Input'!$C$12+1),'1-Input'!$B$12,0))))*(1/(1-'P-Parametri'!$B$6*B492))),MAX(0,0*B451-(F491-MIN(MAX(F491,0),MAX(0,B451-IF($A492&gt;=('1-Input'!$C$12+1),'1-Input'!$B$12,0)))))*(1/(1-'P-Parametri'!$B$6*B492))))</f>
        <v>6874.9762001464405</v>
      </c>
      <c r="D492" s="18">
        <f>IF($A492&gt;'1-Input'!$B$26,F491,(F491-MAX(0,B451-IF($A492&gt;=('1-Input'!$C$12+1),'1-Input'!$B$12,0))+C492*(1-'P-Parametri'!$B$6*B492))*(1+'1-Input'!$B$27))</f>
        <v>0</v>
      </c>
      <c r="E492" s="18">
        <f>IF($A492&gt;'1-Input'!$B$26,G491,(G491-C492)*(1+'5-Roberta'!$C$4))</f>
        <v>208627.41902909632</v>
      </c>
      <c r="F492" s="18">
        <f>IF($A492&gt;'1-Input'!$B$26,D492,D492-'P-Parametri'!$B$8*(E492+D492)+MIN(MAX(E492,0),'P-Parametri'!$B$8*(E492+D492)))</f>
        <v>0</v>
      </c>
      <c r="G492" s="18">
        <f>IF($A492&gt;'1-Input'!$B$26,E492,E492-MIN(MAX(E492,0),'P-Parametri'!$B$8*(E492+D492)))</f>
        <v>208210.16419103811</v>
      </c>
      <c r="H492" s="18">
        <f>IF($A492&gt;'1-Input'!$B$26,H491,H491-C492*(1-B492))</f>
        <v>55702.869686613492</v>
      </c>
      <c r="I492" s="11">
        <f>IF($A492&gt;'1-Input'!$B$26,0,IF(N491&lt;=0,0,MAX(0,(N491-O491)/N491)))</f>
        <v>0</v>
      </c>
      <c r="J492" s="18">
        <f>IF($A492&gt;'1-Input'!$B$26,0,(MAX(0,I451-IF($A492&gt;=('1-Input'!$C$12+1),'1-Input'!$B$12,0))-MIN(MAX(M491,0),MAX(0,I451-IF($A492&gt;=('1-Input'!$C$12+1),'1-Input'!$B$12,0))))*(1/(1-'P-Parametri'!$B$6*I492))+MIN(MAX(0,N491-(MAX(0,I451-IF($A492&gt;=('1-Input'!$C$12+1),'1-Input'!$B$12,0))-MIN(MAX(M491,0),MAX(0,I451-IF($A492&gt;=('1-Input'!$C$12+1),'1-Input'!$B$12,0))))*(1/(1-'P-Parametri'!$B$6*I492))),MAX(0,0*I451-(M491-MIN(MAX(M491,0),MAX(0,I451-IF($A492&gt;=('1-Input'!$C$12+1),'1-Input'!$B$12,0)))))*(1/(1-'P-Parametri'!$B$6*I492))))</f>
        <v>10846.756992928691</v>
      </c>
      <c r="K492" s="18">
        <f>IF($A492&gt;'1-Input'!$B$26,M491,(M491-MAX(0,I451-IF($A492&gt;=('1-Input'!$C$12+1),'1-Input'!$B$12,0))+J492*(1-'P-Parametri'!$B$6*I492))*(1+'1-Input'!$B$27))</f>
        <v>-1.8124410416930913E-12</v>
      </c>
      <c r="L492" s="18">
        <f>IF($A492&gt;'1-Input'!$B$26,N491,(N491-J492)*(1+'5-Roberta'!$C$4))</f>
        <v>-182264.41430181873</v>
      </c>
      <c r="M492" s="18">
        <f>IF($A492&gt;'1-Input'!$B$26,K492,K492-'P-Parametri'!$B$8*(L492+K492)+MIN(MAX(L492,0),'P-Parametri'!$B$8*(L492+K492)))</f>
        <v>-1.8189894035458565E-12</v>
      </c>
      <c r="N492" s="18">
        <f>IF($A492&gt;'1-Input'!$B$26,L492,L492-MIN(MAX(L492,0),'P-Parametri'!$B$8*(L492+K492)))</f>
        <v>-181899.88547321511</v>
      </c>
      <c r="O492" s="18">
        <f>IF($A492&gt;'1-Input'!$B$26,O491,O491-J492*(1-I492))</f>
        <v>-143678.06530651019</v>
      </c>
      <c r="P492" s="11">
        <f>IF($A492&gt;'1-Input'!$B$26,0,IF(U491&lt;=0,0,MAX(0,(U491-V491)/U491)))</f>
        <v>0.72499321496562164</v>
      </c>
      <c r="Q492" s="18">
        <f>IF($A492&gt;'1-Input'!$B$26,0,(MAX(0,P451-IF($A492&gt;=('1-Input'!$C$12+1),'1-Input'!$B$12,0))-MIN(MAX(T491,0),MAX(0,P451-IF($A492&gt;=('1-Input'!$C$12+1),'1-Input'!$B$12,0))))*(1/(1-'P-Parametri'!$B$6*P492))+MIN(MAX(0,U491-(MAX(0,P451-IF($A492&gt;=('1-Input'!$C$12+1),'1-Input'!$B$12,0))-MIN(MAX(T491,0),MAX(0,P451-IF($A492&gt;=('1-Input'!$C$12+1),'1-Input'!$B$12,0))))*(1/(1-'P-Parametri'!$B$6*P492))),MAX(0,0*P451-(T491-MIN(MAX(T491,0),MAX(0,P451-IF($A492&gt;=('1-Input'!$C$12+1),'1-Input'!$B$12,0)))))*(1/(1-'P-Parametri'!$B$6*P492))))</f>
        <v>9542.8439914846986</v>
      </c>
      <c r="R492" s="18">
        <f>IF($A492&gt;'1-Input'!$B$26,T491,(T491-MAX(0,P451-IF($A492&gt;=('1-Input'!$C$12+1),'1-Input'!$B$12,0))+Q492*(1-'P-Parametri'!$B$6*P492))*(1+'1-Input'!$B$27))</f>
        <v>0</v>
      </c>
      <c r="S492" s="18">
        <f>IF($A492&gt;'1-Input'!$B$26,U491,(U491-Q492)*(1+'5-Roberta'!$C$4))</f>
        <v>33020.141974551807</v>
      </c>
      <c r="T492" s="18">
        <f>IF($A492&gt;'1-Input'!$B$26,R492,R492-'P-Parametri'!$B$8*(S492+R492)+MIN(MAX(S492,0),'P-Parametri'!$B$8*(S492+R492)))</f>
        <v>0</v>
      </c>
      <c r="U492" s="18">
        <f>IF($A492&gt;'1-Input'!$B$26,S492,S492-MIN(MAX(S492,0),'P-Parametri'!$B$8*(S492+R492)))</f>
        <v>32954.1016906027</v>
      </c>
      <c r="V492" s="18">
        <f>IF($A492&gt;'1-Input'!$B$26,V491,V491-Q492*(1-P492))</f>
        <v>8816.2748405827388</v>
      </c>
      <c r="W492" s="11">
        <f>IF($A492&gt;'1-Input'!$B$26,0,IF(AB491&lt;=0,0,MAX(0,(AB491-AC491)/AB491)))</f>
        <v>0.72499321496562152</v>
      </c>
      <c r="X492" s="18">
        <f>IF($A492&gt;'1-Input'!$B$26,0,(MAX(0,W451-IF($A492&gt;=('1-Input'!$C$12+1),'1-Input'!$B$12,0))-MIN(MAX(AA491,0),MAX(0,W451-IF($A492&gt;=('1-Input'!$C$12+1),'1-Input'!$B$12,0))))*(1/(1-'P-Parametri'!$B$6*W492))+MIN(MAX(0,AB491-(MAX(0,W451-IF($A492&gt;=('1-Input'!$C$12+1),'1-Input'!$B$12,0))-MIN(MAX(AA491,0),MAX(0,W451-IF($A492&gt;=('1-Input'!$C$12+1),'1-Input'!$B$12,0))))*(1/(1-'P-Parametri'!$B$6*W492))),MAX(0,0*W451-(AA491-MIN(MAX(AA491,0),MAX(0,W451-IF($A492&gt;=('1-Input'!$C$12+1),'1-Input'!$B$12,0)))))*(1/(1-'P-Parametri'!$B$6*W492))))</f>
        <v>9244.2092964247404</v>
      </c>
      <c r="Y492" s="18">
        <f>IF($A492&gt;'1-Input'!$B$26,AA491,(AA491-MAX(0,W451-IF($A492&gt;=('1-Input'!$C$12+1),'1-Input'!$B$12,0))+X492*(1-'P-Parametri'!$B$6*W492))*(1+'1-Input'!$B$27))</f>
        <v>0</v>
      </c>
      <c r="Z492" s="18">
        <f>IF($A492&gt;'1-Input'!$B$26,AB491,(AB491-X492)*(1+'5-Roberta'!$C$4))</f>
        <v>52677.197621671294</v>
      </c>
      <c r="AA492" s="18">
        <f>IF($A492&gt;'1-Input'!$B$26,Y492,Y492-'P-Parametri'!$B$8*(Z492+Y492)+MIN(MAX(Z492,0),'P-Parametri'!$B$8*(Z492+Y492)))</f>
        <v>0</v>
      </c>
      <c r="AB492" s="18">
        <f>IF($A492&gt;'1-Input'!$B$26,Z492,Z492-MIN(MAX(Z492,0),'P-Parametri'!$B$8*(Z492+Y492)))</f>
        <v>52571.843226427955</v>
      </c>
      <c r="AC492" s="18">
        <f>IF($A492&gt;'1-Input'!$B$26,AC491,AC491-X492*(1-W492))</f>
        <v>14064.647342287797</v>
      </c>
      <c r="AD492" s="11">
        <f>IF($A492&gt;'1-Input'!$B$26,0,IF(AI491&lt;=0,0,MAX(0,(AI491-AJ491)/AI491)))</f>
        <v>0.72499321496562186</v>
      </c>
      <c r="AE492" s="18">
        <f>IF($A492&gt;'1-Input'!$B$26,0,(MAX(0,AD451-IF($A492&gt;=('1-Input'!$C$12+1),'1-Input'!$B$12,0))-MIN(MAX(AH491,0),MAX(0,AD451-IF($A492&gt;=('1-Input'!$C$12+1),'1-Input'!$B$12,0))))*(1/(1-'P-Parametri'!$B$6*AD492))+MIN(MAX(0,AI491-(MAX(0,AD451-IF($A492&gt;=('1-Input'!$C$12+1),'1-Input'!$B$12,0))-MIN(MAX(AH491,0),MAX(0,AD451-IF($A492&gt;=('1-Input'!$C$12+1),'1-Input'!$B$12,0))))*(1/(1-'P-Parametri'!$B$6*AD492))),MAX(0,0*AD451-(AH491-MIN(MAX(AH491,0),MAX(0,AD451-IF($A492&gt;=('1-Input'!$C$12+1),'1-Input'!$B$12,0)))))*(1/(1-'P-Parametri'!$B$6*AD492))))</f>
        <v>9249.7372172017695</v>
      </c>
      <c r="AF492" s="18">
        <f>IF($A492&gt;'1-Input'!$B$26,AH491,(AH491-MAX(0,AD451-IF($A492&gt;=('1-Input'!$C$12+1),'1-Input'!$B$12,0))+AE492*(1-'P-Parametri'!$B$6*AD492))*(1+'1-Input'!$B$27))</f>
        <v>0</v>
      </c>
      <c r="AG492" s="18">
        <f>IF($A492&gt;'1-Input'!$B$26,AI491,(AI491-AE492)*(1+'5-Roberta'!$C$4))</f>
        <v>52313.332845995748</v>
      </c>
      <c r="AH492" s="18">
        <f>IF($A492&gt;'1-Input'!$B$26,AF492,AF492-'P-Parametri'!$B$8*(AG492+AF492)+MIN(MAX(AG492,0),'P-Parametri'!$B$8*(AG492+AF492)))</f>
        <v>0</v>
      </c>
      <c r="AI492" s="18">
        <f>IF($A492&gt;'1-Input'!$B$26,AG492,AG492-MIN(MAX(AG492,0),'P-Parametri'!$B$8*(AG492+AF492)))</f>
        <v>52208.706180303758</v>
      </c>
      <c r="AJ492" s="18">
        <f>IF($A492&gt;'1-Input'!$B$26,AJ491,AJ491-AE492*(1-AD492))</f>
        <v>13967.496582922935</v>
      </c>
      <c r="AK492" s="11">
        <f>IF($A492&gt;'1-Input'!$B$26,0,IF(AP491&lt;=0,0,MAX(0,(AP491-AQ491)/AP491)))</f>
        <v>0.72499321496562164</v>
      </c>
      <c r="AL492" s="18">
        <f>IF($A492&gt;'1-Input'!$B$26,0,(MAX(0,AK451-IF($A492&gt;=('1-Input'!$C$12+1),'1-Input'!$B$12,0))-MIN(MAX(AO491,0),MAX(0,AK451-IF($A492&gt;=('1-Input'!$C$12+1),'1-Input'!$B$12,0))))*(1/(1-'P-Parametri'!$B$6*AK492))+MIN(MAX(0,AP491-(MAX(0,AK451-IF($A492&gt;=('1-Input'!$C$12+1),'1-Input'!$B$12,0))-MIN(MAX(AO491,0),MAX(0,AK451-IF($A492&gt;=('1-Input'!$C$12+1),'1-Input'!$B$12,0))))*(1/(1-'P-Parametri'!$B$6*AK492))),MAX(0,0*AK451-(AO491-MIN(MAX(AO491,0),MAX(0,AK451-IF($A492&gt;=('1-Input'!$C$12+1),'1-Input'!$B$12,0)))))*(1/(1-'P-Parametri'!$B$6*AK492))))</f>
        <v>9248.857758799868</v>
      </c>
      <c r="AM492" s="18">
        <f>IF($A492&gt;'1-Input'!$B$26,AO491,(AO491-MAX(0,AK451-IF($A492&gt;=('1-Input'!$C$12+1),'1-Input'!$B$12,0))+AL492*(1-'P-Parametri'!$B$6*AK492))*(1+'1-Input'!$B$27))</f>
        <v>-9.0622052084654565E-13</v>
      </c>
      <c r="AN492" s="18">
        <f>IF($A492&gt;'1-Input'!$B$26,AP491,(AP491-AL492)*(1+'5-Roberta'!$C$4))</f>
        <v>52371.221507398754</v>
      </c>
      <c r="AO492" s="18">
        <f>IF($A492&gt;'1-Input'!$B$26,AM492,AM492-'P-Parametri'!$B$8*(AN492+AM492)+MIN(MAX(AN492,0),'P-Parametri'!$B$8*(AN492+AM492)))</f>
        <v>-9.0949470177292824E-13</v>
      </c>
      <c r="AP492" s="18">
        <f>IF($A492&gt;'1-Input'!$B$26,AN492,AN492-MIN(MAX(AN492,0),'P-Parametri'!$B$8*(AN492+AM492)))</f>
        <v>52266.479064383959</v>
      </c>
      <c r="AQ492" s="18">
        <f>IF($A492&gt;'1-Input'!$B$26,AQ491,AQ491-AL492*(1-AK492))</f>
        <v>13982.952674828175</v>
      </c>
    </row>
    <row r="493" spans="1:43">
      <c r="A493" s="10">
        <f>40</f>
        <v>40</v>
      </c>
      <c r="B493" s="11">
        <f>IF($A493&gt;'1-Input'!$B$26,0,IF(G492&lt;=0,0,MAX(0,(G492-H492)/G492)))</f>
        <v>0.73246805744072752</v>
      </c>
      <c r="C493" s="18">
        <f>IF($A493&gt;'1-Input'!$B$26,0,(MAX(0,B451-IF($A493&gt;=('1-Input'!$C$12+1),'1-Input'!$B$12,0))-MIN(MAX(F492,0),MAX(0,B451-IF($A493&gt;=('1-Input'!$C$12+1),'1-Input'!$B$12,0))))*(1/(1-'P-Parametri'!$B$6*B493))+MIN(MAX(0,G492-(MAX(0,B451-IF($A493&gt;=('1-Input'!$C$12+1),'1-Input'!$B$12,0))-MIN(MAX(F492,0),MAX(0,B451-IF($A493&gt;=('1-Input'!$C$12+1),'1-Input'!$B$12,0))))*(1/(1-'P-Parametri'!$B$6*B493))),MAX(0,0*B451-(F492-MIN(MAX(F492,0),MAX(0,B451-IF($A493&gt;=('1-Input'!$C$12+1),'1-Input'!$B$12,0)))))*(1/(1-'P-Parametri'!$B$6*B493))))</f>
        <v>6891.4805514533327</v>
      </c>
      <c r="D493" s="18">
        <f>IF($A493&gt;'1-Input'!$B$26,F492,(F492-MAX(0,B451-IF($A493&gt;=('1-Input'!$C$12+1),'1-Input'!$B$12,0))+C493*(1-'P-Parametri'!$B$6*B493))*(1+'1-Input'!$B$27))</f>
        <v>0</v>
      </c>
      <c r="E493" s="18">
        <f>IF($A493&gt;'1-Input'!$B$26,G492,(G492-C493)*(1+'5-Roberta'!$C$4))</f>
        <v>207358.24414877233</v>
      </c>
      <c r="F493" s="18">
        <f>IF($A493&gt;'1-Input'!$B$26,D493,D493-'P-Parametri'!$B$8*(E493+D493)+MIN(MAX(E493,0),'P-Parametri'!$B$8*(E493+D493)))</f>
        <v>0</v>
      </c>
      <c r="G493" s="18">
        <f>IF($A493&gt;'1-Input'!$B$26,E493,E493-MIN(MAX(E493,0),'P-Parametri'!$B$8*(E493+D493)))</f>
        <v>206943.52766047479</v>
      </c>
      <c r="H493" s="18">
        <f>IF($A493&gt;'1-Input'!$B$26,H492,H492-C493*(1-B493))</f>
        <v>53859.178507573735</v>
      </c>
      <c r="I493" s="11">
        <f>IF($A493&gt;'1-Input'!$B$26,0,IF(N492&lt;=0,0,MAX(0,(N492-O492)/N492)))</f>
        <v>0</v>
      </c>
      <c r="J493" s="18">
        <f>IF($A493&gt;'1-Input'!$B$26,0,(MAX(0,I451-IF($A493&gt;=('1-Input'!$C$12+1),'1-Input'!$B$12,0))-MIN(MAX(M492,0),MAX(0,I451-IF($A493&gt;=('1-Input'!$C$12+1),'1-Input'!$B$12,0))))*(1/(1-'P-Parametri'!$B$6*I493))+MIN(MAX(0,N492-(MAX(0,I451-IF($A493&gt;=('1-Input'!$C$12+1),'1-Input'!$B$12,0))-MIN(MAX(M492,0),MAX(0,I451-IF($A493&gt;=('1-Input'!$C$12+1),'1-Input'!$B$12,0))))*(1/(1-'P-Parametri'!$B$6*I493))),MAX(0,0*I451-(M492-MIN(MAX(M492,0),MAX(0,I451-IF($A493&gt;=('1-Input'!$C$12+1),'1-Input'!$B$12,0)))))*(1/(1-'P-Parametri'!$B$6*I493))))</f>
        <v>10846.756992928691</v>
      </c>
      <c r="K493" s="18">
        <f>IF($A493&gt;'1-Input'!$B$26,M492,(M492-MAX(0,I451-IF($A493&gt;=('1-Input'!$C$12+1),'1-Input'!$B$12,0))+J493*(1-'P-Parametri'!$B$6*I493))*(1+'1-Input'!$B$27))</f>
        <v>-1.8124410416930913E-12</v>
      </c>
      <c r="L493" s="18">
        <f>IF($A493&gt;'1-Input'!$B$26,N492,(N492-J493)*(1+'5-Roberta'!$C$4))</f>
        <v>-198529.0417401281</v>
      </c>
      <c r="M493" s="18">
        <f>IF($A493&gt;'1-Input'!$B$26,K493,K493-'P-Parametri'!$B$8*(L493+K493)+MIN(MAX(L493,0),'P-Parametri'!$B$8*(L493+K493)))</f>
        <v>-1.8189894035458565E-12</v>
      </c>
      <c r="N493" s="18">
        <f>IF($A493&gt;'1-Input'!$B$26,L493,L493-MIN(MAX(L493,0),'P-Parametri'!$B$8*(L493+K493)))</f>
        <v>-198131.98365664785</v>
      </c>
      <c r="O493" s="18">
        <f>IF($A493&gt;'1-Input'!$B$26,O492,O492-J493*(1-I493))</f>
        <v>-154524.82229943888</v>
      </c>
      <c r="P493" s="11">
        <f>IF($A493&gt;'1-Input'!$B$26,0,IF(U492&lt;=0,0,MAX(0,(U492-V492)/U492)))</f>
        <v>0.73246805744072774</v>
      </c>
      <c r="Q493" s="18">
        <f>IF($A493&gt;'1-Input'!$B$26,0,(MAX(0,P451-IF($A493&gt;=('1-Input'!$C$12+1),'1-Input'!$B$12,0))-MIN(MAX(T492,0),MAX(0,P451-IF($A493&gt;=('1-Input'!$C$12+1),'1-Input'!$B$12,0))))*(1/(1-'P-Parametri'!$B$6*P493))+MIN(MAX(0,U492-(MAX(0,P451-IF($A493&gt;=('1-Input'!$C$12+1),'1-Input'!$B$12,0))-MIN(MAX(T492,0),MAX(0,P451-IF($A493&gt;=('1-Input'!$C$12+1),'1-Input'!$B$12,0))))*(1/(1-'P-Parametri'!$B$6*P493))),MAX(0,0*P451-(T492-MIN(MAX(T492,0),MAX(0,P451-IF($A493&gt;=('1-Input'!$C$12+1),'1-Input'!$B$12,0)))))*(1/(1-'P-Parametri'!$B$6*P493))))</f>
        <v>9565.7529362020596</v>
      </c>
      <c r="R493" s="18">
        <f>IF($A493&gt;'1-Input'!$B$26,T492,(T492-MAX(0,P451-IF($A493&gt;=('1-Input'!$C$12+1),'1-Input'!$B$12,0))+Q493*(1-'P-Parametri'!$B$6*P493))*(1+'1-Input'!$B$27))</f>
        <v>9.0622052084654565E-13</v>
      </c>
      <c r="S493" s="18">
        <f>IF($A493&gt;'1-Input'!$B$26,U492,(U492-Q493)*(1+'5-Roberta'!$C$4))</f>
        <v>24089.999217032662</v>
      </c>
      <c r="T493" s="18">
        <f>IF($A493&gt;'1-Input'!$B$26,R493,R493-'P-Parametri'!$B$8*(S493+R493)+MIN(MAX(S493,0),'P-Parametri'!$B$8*(S493+R493)))</f>
        <v>9.0949470177292824E-13</v>
      </c>
      <c r="U493" s="18">
        <f>IF($A493&gt;'1-Input'!$B$26,S493,S493-MIN(MAX(S493,0),'P-Parametri'!$B$8*(S493+R493)))</f>
        <v>24041.819218598597</v>
      </c>
      <c r="V493" s="18">
        <f>IF($A493&gt;'1-Input'!$B$26,V492,V492-Q493*(1-P493))</f>
        <v>6257.1303755185399</v>
      </c>
      <c r="W493" s="11">
        <f>IF($A493&gt;'1-Input'!$B$26,0,IF(AB492&lt;=0,0,MAX(0,(AB492-AC492)/AB492)))</f>
        <v>0.73246805744072763</v>
      </c>
      <c r="X493" s="18">
        <f>IF($A493&gt;'1-Input'!$B$26,0,(MAX(0,W451-IF($A493&gt;=('1-Input'!$C$12+1),'1-Input'!$B$12,0))-MIN(MAX(AA492,0),MAX(0,W451-IF($A493&gt;=('1-Input'!$C$12+1),'1-Input'!$B$12,0))))*(1/(1-'P-Parametri'!$B$6*W493))+MIN(MAX(0,AB492-(MAX(0,W451-IF($A493&gt;=('1-Input'!$C$12+1),'1-Input'!$B$12,0))-MIN(MAX(AA492,0),MAX(0,W451-IF($A493&gt;=('1-Input'!$C$12+1),'1-Input'!$B$12,0))))*(1/(1-'P-Parametri'!$B$6*W493))),MAX(0,0*W451-(AA492-MIN(MAX(AA492,0),MAX(0,W451-IF($A493&gt;=('1-Input'!$C$12+1),'1-Input'!$B$12,0)))))*(1/(1-'P-Parametri'!$B$6*W493))))</f>
        <v>9266.4013263810593</v>
      </c>
      <c r="Y493" s="18">
        <f>IF($A493&gt;'1-Input'!$B$26,AA492,(AA492-MAX(0,W451-IF($A493&gt;=('1-Input'!$C$12+1),'1-Input'!$B$12,0))+X493*(1-'P-Parametri'!$B$6*W493))*(1+'1-Input'!$B$27))</f>
        <v>0</v>
      </c>
      <c r="Z493" s="18">
        <f>IF($A493&gt;'1-Input'!$B$26,AB492,(AB492-X493)*(1+'5-Roberta'!$C$4))</f>
        <v>44604.605157048296</v>
      </c>
      <c r="AA493" s="18">
        <f>IF($A493&gt;'1-Input'!$B$26,Y493,Y493-'P-Parametri'!$B$8*(Z493+Y493)+MIN(MAX(Z493,0),'P-Parametri'!$B$8*(Z493+Y493)))</f>
        <v>0</v>
      </c>
      <c r="AB493" s="18">
        <f>IF($A493&gt;'1-Input'!$B$26,Z493,Z493-MIN(MAX(Z493,0),'P-Parametri'!$B$8*(Z493+Y493)))</f>
        <v>44515.395946734199</v>
      </c>
      <c r="AC493" s="18">
        <f>IF($A493&gt;'1-Input'!$B$26,AC492,AC492-X493*(1-W493))</f>
        <v>11585.588994907255</v>
      </c>
      <c r="AD493" s="11">
        <f>IF($A493&gt;'1-Input'!$B$26,0,IF(AI492&lt;=0,0,MAX(0,(AI492-AJ492)/AI492)))</f>
        <v>0.73246805744072807</v>
      </c>
      <c r="AE493" s="18">
        <f>IF($A493&gt;'1-Input'!$B$26,0,(MAX(0,AD451-IF($A493&gt;=('1-Input'!$C$12+1),'1-Input'!$B$12,0))-MIN(MAX(AH492,0),MAX(0,AD451-IF($A493&gt;=('1-Input'!$C$12+1),'1-Input'!$B$12,0))))*(1/(1-'P-Parametri'!$B$6*AD493))+MIN(MAX(0,AI492-(MAX(0,AD451-IF($A493&gt;=('1-Input'!$C$12+1),'1-Input'!$B$12,0))-MIN(MAX(AH492,0),MAX(0,AD451-IF($A493&gt;=('1-Input'!$C$12+1),'1-Input'!$B$12,0))))*(1/(1-'P-Parametri'!$B$6*AD493))),MAX(0,0*AD451-(AH492-MIN(MAX(AH492,0),MAX(0,AD451-IF($A493&gt;=('1-Input'!$C$12+1),'1-Input'!$B$12,0)))))*(1/(1-'P-Parametri'!$B$6*AD493))))</f>
        <v>9271.9425177126122</v>
      </c>
      <c r="AF493" s="18">
        <f>IF($A493&gt;'1-Input'!$B$26,AH492,(AH492-MAX(0,AD451-IF($A493&gt;=('1-Input'!$C$12+1),'1-Input'!$B$12,0))+AE493*(1-'P-Parametri'!$B$6*AD493))*(1+'1-Input'!$B$27))</f>
        <v>-9.0622052084654565E-13</v>
      </c>
      <c r="AG493" s="18">
        <f>IF($A493&gt;'1-Input'!$B$26,AI492,(AI492-AE493)*(1+'5-Roberta'!$C$4))</f>
        <v>44224.866572468884</v>
      </c>
      <c r="AH493" s="18">
        <f>IF($A493&gt;'1-Input'!$B$26,AF493,AF493-'P-Parametri'!$B$8*(AG493+AF493)+MIN(MAX(AG493,0),'P-Parametri'!$B$8*(AG493+AF493)))</f>
        <v>-9.0949470177292824E-13</v>
      </c>
      <c r="AI493" s="18">
        <f>IF($A493&gt;'1-Input'!$B$26,AG493,AG493-MIN(MAX(AG493,0),'P-Parametri'!$B$8*(AG493+AF493)))</f>
        <v>44136.416839323945</v>
      </c>
      <c r="AJ493" s="18">
        <f>IF($A493&gt;'1-Input'!$B$26,AJ492,AJ492-AE493*(1-AD493))</f>
        <v>11486.955789861373</v>
      </c>
      <c r="AK493" s="11">
        <f>IF($A493&gt;'1-Input'!$B$26,0,IF(AP492&lt;=0,0,MAX(0,(AP492-AQ492)/AP492)))</f>
        <v>0.73246805744072785</v>
      </c>
      <c r="AL493" s="18">
        <f>IF($A493&gt;'1-Input'!$B$26,0,(MAX(0,AK451-IF($A493&gt;=('1-Input'!$C$12+1),'1-Input'!$B$12,0))-MIN(MAX(AO492,0),MAX(0,AK451-IF($A493&gt;=('1-Input'!$C$12+1),'1-Input'!$B$12,0))))*(1/(1-'P-Parametri'!$B$6*AK493))+MIN(MAX(0,AP492-(MAX(0,AK451-IF($A493&gt;=('1-Input'!$C$12+1),'1-Input'!$B$12,0))-MIN(MAX(AO492,0),MAX(0,AK451-IF($A493&gt;=('1-Input'!$C$12+1),'1-Input'!$B$12,0))))*(1/(1-'P-Parametri'!$B$6*AK493))),MAX(0,0*AK451-(AO492-MIN(MAX(AO492,0),MAX(0,AK451-IF($A493&gt;=('1-Input'!$C$12+1),'1-Input'!$B$12,0)))))*(1/(1-'P-Parametri'!$B$6*AK493))))</f>
        <v>9271.0609480466155</v>
      </c>
      <c r="AM493" s="18">
        <f>IF($A493&gt;'1-Input'!$B$26,AO492,(AO492-MAX(0,AK451-IF($A493&gt;=('1-Input'!$C$12+1),'1-Input'!$B$12,0))+AL493*(1-'P-Parametri'!$B$6*AK493))*(1+'1-Input'!$B$27))</f>
        <v>0</v>
      </c>
      <c r="AN493" s="18">
        <f>IF($A493&gt;'1-Input'!$B$26,AP492,(AP492-AL493)*(1+'5-Roberta'!$C$4))</f>
        <v>44285.280659827462</v>
      </c>
      <c r="AO493" s="18">
        <f>IF($A493&gt;'1-Input'!$B$26,AM493,AM493-'P-Parametri'!$B$8*(AN493+AM493)+MIN(MAX(AN493,0),'P-Parametri'!$B$8*(AN493+AM493)))</f>
        <v>0</v>
      </c>
      <c r="AP493" s="18">
        <f>IF($A493&gt;'1-Input'!$B$26,AN493,AN493-MIN(MAX(AN493,0),'P-Parametri'!$B$8*(AN493+AM493)))</f>
        <v>44196.710098507807</v>
      </c>
      <c r="AQ493" s="18">
        <f>IF($A493&gt;'1-Input'!$B$26,AQ492,AQ492-AL493*(1-AK493))</f>
        <v>11502.647729811857</v>
      </c>
    </row>
    <row r="494" spans="1:43">
      <c r="A494" s="10">
        <f>41</f>
        <v>41</v>
      </c>
      <c r="B494" s="11">
        <f>IF($A494&gt;'1-Input'!$B$26,0,IF(G493&lt;=0,0,MAX(0,(G493-H493)/G493)))</f>
        <v>0.73973972940125654</v>
      </c>
      <c r="C494" s="18">
        <f>IF($A494&gt;'1-Input'!$B$26,0,(MAX(0,B451-IF($A494&gt;=('1-Input'!$C$12+1),'1-Input'!$B$12,0))-MIN(MAX(F493,0),MAX(0,B451-IF($A494&gt;=('1-Input'!$C$12+1),'1-Input'!$B$12,0))))*(1/(1-'P-Parametri'!$B$6*B494))+MIN(MAX(0,G493-(MAX(0,B451-IF($A494&gt;=('1-Input'!$C$12+1),'1-Input'!$B$12,0))-MIN(MAX(F493,0),MAX(0,B451-IF($A494&gt;=('1-Input'!$C$12+1),'1-Input'!$B$12,0))))*(1/(1-'P-Parametri'!$B$6*B494))),MAX(0,0*B451-(F493-MIN(MAX(F493,0),MAX(0,B451-IF($A494&gt;=('1-Input'!$C$12+1),'1-Input'!$B$12,0)))))*(1/(1-'P-Parametri'!$B$6*B494))))</f>
        <v>6907.6125235630007</v>
      </c>
      <c r="D494" s="18">
        <f>IF($A494&gt;'1-Input'!$B$26,F493,(F493-MAX(0,B451-IF($A494&gt;=('1-Input'!$C$12+1),'1-Input'!$B$12,0))+C494*(1-'P-Parametri'!$B$6*B494))*(1+'1-Input'!$B$27))</f>
        <v>0</v>
      </c>
      <c r="E494" s="18">
        <f>IF($A494&gt;'1-Input'!$B$26,G493,(G493-C494)*(1+'5-Roberta'!$C$4))</f>
        <v>206036.99259101914</v>
      </c>
      <c r="F494" s="18">
        <f>IF($A494&gt;'1-Input'!$B$26,D494,D494-'P-Parametri'!$B$8*(E494+D494)+MIN(MAX(E494,0),'P-Parametri'!$B$8*(E494+D494)))</f>
        <v>0</v>
      </c>
      <c r="G494" s="18">
        <f>IF($A494&gt;'1-Input'!$B$26,E494,E494-MIN(MAX(E494,0),'P-Parametri'!$B$8*(E494+D494)))</f>
        <v>205624.9186058371</v>
      </c>
      <c r="H494" s="18">
        <f>IF($A494&gt;'1-Input'!$B$26,H493,H493-C494*(1-B494))</f>
        <v>52061.40140299996</v>
      </c>
      <c r="I494" s="11">
        <f>IF($A494&gt;'1-Input'!$B$26,0,IF(N493&lt;=0,0,MAX(0,(N493-O493)/N493)))</f>
        <v>0</v>
      </c>
      <c r="J494" s="18">
        <f>IF($A494&gt;'1-Input'!$B$26,0,(MAX(0,I451-IF($A494&gt;=('1-Input'!$C$12+1),'1-Input'!$B$12,0))-MIN(MAX(M493,0),MAX(0,I451-IF($A494&gt;=('1-Input'!$C$12+1),'1-Input'!$B$12,0))))*(1/(1-'P-Parametri'!$B$6*I494))+MIN(MAX(0,N493-(MAX(0,I451-IF($A494&gt;=('1-Input'!$C$12+1),'1-Input'!$B$12,0))-MIN(MAX(M493,0),MAX(0,I451-IF($A494&gt;=('1-Input'!$C$12+1),'1-Input'!$B$12,0))))*(1/(1-'P-Parametri'!$B$6*I494))),MAX(0,0*I451-(M493-MIN(MAX(M493,0),MAX(0,I451-IF($A494&gt;=('1-Input'!$C$12+1),'1-Input'!$B$12,0)))))*(1/(1-'P-Parametri'!$B$6*I494))))</f>
        <v>10846.756992928691</v>
      </c>
      <c r="K494" s="18">
        <f>IF($A494&gt;'1-Input'!$B$26,M493,(M493-MAX(0,I451-IF($A494&gt;=('1-Input'!$C$12+1),'1-Input'!$B$12,0))+J494*(1-'P-Parametri'!$B$6*I494))*(1+'1-Input'!$B$27))</f>
        <v>-1.8124410416930913E-12</v>
      </c>
      <c r="L494" s="18">
        <f>IF($A494&gt;'1-Input'!$B$26,N493,(N493-J494)*(1+'5-Roberta'!$C$4))</f>
        <v>-215248.10286906382</v>
      </c>
      <c r="M494" s="18">
        <f>IF($A494&gt;'1-Input'!$B$26,K494,K494-'P-Parametri'!$B$8*(L494+K494)+MIN(MAX(L494,0),'P-Parametri'!$B$8*(L494+K494)))</f>
        <v>-1.8189894035458565E-12</v>
      </c>
      <c r="N494" s="18">
        <f>IF($A494&gt;'1-Input'!$B$26,L494,L494-MIN(MAX(L494,0),'P-Parametri'!$B$8*(L494+K494)))</f>
        <v>-214817.60666332569</v>
      </c>
      <c r="O494" s="18">
        <f>IF($A494&gt;'1-Input'!$B$26,O493,O493-J494*(1-I494))</f>
        <v>-165371.57929236756</v>
      </c>
      <c r="P494" s="11">
        <f>IF($A494&gt;'1-Input'!$B$26,0,IF(U493&lt;=0,0,MAX(0,(U493-V493)/U493)))</f>
        <v>0.73973972940125665</v>
      </c>
      <c r="Q494" s="18">
        <f>IF($A494&gt;'1-Input'!$B$26,0,(MAX(0,P451-IF($A494&gt;=('1-Input'!$C$12+1),'1-Input'!$B$12,0))-MIN(MAX(T493,0),MAX(0,P451-IF($A494&gt;=('1-Input'!$C$12+1),'1-Input'!$B$12,0))))*(1/(1-'P-Parametri'!$B$6*P494))+MIN(MAX(0,U493-(MAX(0,P451-IF($A494&gt;=('1-Input'!$C$12+1),'1-Input'!$B$12,0))-MIN(MAX(T493,0),MAX(0,P451-IF($A494&gt;=('1-Input'!$C$12+1),'1-Input'!$B$12,0))))*(1/(1-'P-Parametri'!$B$6*P494))),MAX(0,0*P451-(T493-MIN(MAX(T493,0),MAX(0,P451-IF($A494&gt;=('1-Input'!$C$12+1),'1-Input'!$B$12,0)))))*(1/(1-'P-Parametri'!$B$6*P494))))</f>
        <v>9588.144998172289</v>
      </c>
      <c r="R494" s="18">
        <f>IF($A494&gt;'1-Input'!$B$26,T493,(T493-MAX(0,P451-IF($A494&gt;=('1-Input'!$C$12+1),'1-Input'!$B$12,0))+Q494*(1-'P-Parametri'!$B$6*P494))*(1+'1-Input'!$B$27))</f>
        <v>-9.0622052084654565E-13</v>
      </c>
      <c r="S494" s="18">
        <f>IF($A494&gt;'1-Input'!$B$26,U493,(U493-Q494)*(1+'5-Roberta'!$C$4))</f>
        <v>14887.284447039097</v>
      </c>
      <c r="T494" s="18">
        <f>IF($A494&gt;'1-Input'!$B$26,R494,R494-'P-Parametri'!$B$8*(S494+R494)+MIN(MAX(S494,0),'P-Parametri'!$B$8*(S494+R494)))</f>
        <v>-9.0594198809412774E-13</v>
      </c>
      <c r="U494" s="18">
        <f>IF($A494&gt;'1-Input'!$B$26,S494,S494-MIN(MAX(S494,0),'P-Parametri'!$B$8*(S494+R494)))</f>
        <v>14857.50987814502</v>
      </c>
      <c r="V494" s="18">
        <f>IF($A494&gt;'1-Input'!$B$26,V493,V493-Q494*(1-P494))</f>
        <v>3761.7171637542324</v>
      </c>
      <c r="W494" s="11">
        <f>IF($A494&gt;'1-Input'!$B$26,0,IF(AB493&lt;=0,0,MAX(0,(AB493-AC493)/AB493)))</f>
        <v>0.73973972940125654</v>
      </c>
      <c r="X494" s="18">
        <f>IF($A494&gt;'1-Input'!$B$26,0,(MAX(0,W451-IF($A494&gt;=('1-Input'!$C$12+1),'1-Input'!$B$12,0))-MIN(MAX(AA493,0),MAX(0,W451-IF($A494&gt;=('1-Input'!$C$12+1),'1-Input'!$B$12,0))))*(1/(1-'P-Parametri'!$B$6*W494))+MIN(MAX(0,AB493-(MAX(0,W451-IF($A494&gt;=('1-Input'!$C$12+1),'1-Input'!$B$12,0))-MIN(MAX(AA493,0),MAX(0,W451-IF($A494&gt;=('1-Input'!$C$12+1),'1-Input'!$B$12,0))))*(1/(1-'P-Parametri'!$B$6*W494))),MAX(0,0*W451-(AA493-MIN(MAX(AA493,0),MAX(0,W451-IF($A494&gt;=('1-Input'!$C$12+1),'1-Input'!$B$12,0)))))*(1/(1-'P-Parametri'!$B$6*W494))))</f>
        <v>9288.0926489695921</v>
      </c>
      <c r="Y494" s="18">
        <f>IF($A494&gt;'1-Input'!$B$26,AA493,(AA493-MAX(0,W451-IF($A494&gt;=('1-Input'!$C$12+1),'1-Input'!$B$12,0))+X494*(1-'P-Parametri'!$B$6*W494))*(1+'1-Input'!$B$27))</f>
        <v>0</v>
      </c>
      <c r="Z494" s="18">
        <f>IF($A494&gt;'1-Input'!$B$26,AB493,(AB493-X494)*(1+'5-Roberta'!$C$4))</f>
        <v>36284.122396697545</v>
      </c>
      <c r="AA494" s="18">
        <f>IF($A494&gt;'1-Input'!$B$26,Y494,Y494-'P-Parametri'!$B$8*(Z494+Y494)+MIN(MAX(Z494,0),'P-Parametri'!$B$8*(Z494+Y494)))</f>
        <v>0</v>
      </c>
      <c r="AB494" s="18">
        <f>IF($A494&gt;'1-Input'!$B$26,Z494,Z494-MIN(MAX(Z494,0),'P-Parametri'!$B$8*(Z494+Y494)))</f>
        <v>36211.554151904151</v>
      </c>
      <c r="AC494" s="18">
        <f>IF($A494&gt;'1-Input'!$B$26,AC493,AC493-X494*(1-W494))</f>
        <v>9168.2674887402281</v>
      </c>
      <c r="AD494" s="11">
        <f>IF($A494&gt;'1-Input'!$B$26,0,IF(AI493&lt;=0,0,MAX(0,(AI493-AJ493)/AI493)))</f>
        <v>0.73973972940125687</v>
      </c>
      <c r="AE494" s="18">
        <f>IF($A494&gt;'1-Input'!$B$26,0,(MAX(0,AD451-IF($A494&gt;=('1-Input'!$C$12+1),'1-Input'!$B$12,0))-MIN(MAX(AH493,0),MAX(0,AD451-IF($A494&gt;=('1-Input'!$C$12+1),'1-Input'!$B$12,0))))*(1/(1-'P-Parametri'!$B$6*AD494))+MIN(MAX(0,AI493-(MAX(0,AD451-IF($A494&gt;=('1-Input'!$C$12+1),'1-Input'!$B$12,0))-MIN(MAX(AH493,0),MAX(0,AD451-IF($A494&gt;=('1-Input'!$C$12+1),'1-Input'!$B$12,0))))*(1/(1-'P-Parametri'!$B$6*AD494))),MAX(0,0*AD451-(AH493-MIN(MAX(AH493,0),MAX(0,AD451-IF($A494&gt;=('1-Input'!$C$12+1),'1-Input'!$B$12,0)))))*(1/(1-'P-Parametri'!$B$6*AD494))))</f>
        <v>9293.6468114389681</v>
      </c>
      <c r="AF494" s="18">
        <f>IF($A494&gt;'1-Input'!$B$26,AH493,(AH493-MAX(0,AD451-IF($A494&gt;=('1-Input'!$C$12+1),'1-Input'!$B$12,0))+AE494*(1-'P-Parametri'!$B$6*AD494))*(1+'1-Input'!$B$27))</f>
        <v>1.8124410416930913E-12</v>
      </c>
      <c r="AG494" s="18">
        <f>IF($A494&gt;'1-Input'!$B$26,AI493,(AI493-AE494)*(1+'5-Roberta'!$C$4))</f>
        <v>35888.053128721534</v>
      </c>
      <c r="AH494" s="18">
        <f>IF($A494&gt;'1-Input'!$B$26,AF494,AF494-'P-Parametri'!$B$8*(AG494+AF494)+MIN(MAX(AG494,0),'P-Parametri'!$B$8*(AG494+AF494)))</f>
        <v>1.8189894035458565E-12</v>
      </c>
      <c r="AI494" s="18">
        <f>IF($A494&gt;'1-Input'!$B$26,AG494,AG494-MIN(MAX(AG494,0),'P-Parametri'!$B$8*(AG494+AF494)))</f>
        <v>35816.277022464092</v>
      </c>
      <c r="AJ494" s="18">
        <f>IF($A494&gt;'1-Input'!$B$26,AJ493,AJ493-AE494*(1-AD494))</f>
        <v>9068.1887558671206</v>
      </c>
      <c r="AK494" s="11">
        <f>IF($A494&gt;'1-Input'!$B$26,0,IF(AP493&lt;=0,0,MAX(0,(AP493-AQ493)/AP493)))</f>
        <v>0.73973972940125665</v>
      </c>
      <c r="AL494" s="18">
        <f>IF($A494&gt;'1-Input'!$B$26,0,(MAX(0,AK451-IF($A494&gt;=('1-Input'!$C$12+1),'1-Input'!$B$12,0))-MIN(MAX(AO493,0),MAX(0,AK451-IF($A494&gt;=('1-Input'!$C$12+1),'1-Input'!$B$12,0))))*(1/(1-'P-Parametri'!$B$6*AK494))+MIN(MAX(0,AP493-(MAX(0,AK451-IF($A494&gt;=('1-Input'!$C$12+1),'1-Input'!$B$12,0))-MIN(MAX(AO493,0),MAX(0,AK451-IF($A494&gt;=('1-Input'!$C$12+1),'1-Input'!$B$12,0))))*(1/(1-'P-Parametri'!$B$6*AK494))),MAX(0,0*AK451-(AO493-MIN(MAX(AO493,0),MAX(0,AK451-IF($A494&gt;=('1-Input'!$C$12+1),'1-Input'!$B$12,0)))))*(1/(1-'P-Parametri'!$B$6*AK494))))</f>
        <v>9292.7631781442342</v>
      </c>
      <c r="AM494" s="18">
        <f>IF($A494&gt;'1-Input'!$B$26,AO493,(AO493-MAX(0,AK451-IF($A494&gt;=('1-Input'!$C$12+1),'1-Input'!$B$12,0))+AL494*(1-'P-Parametri'!$B$6*AK494))*(1+'1-Input'!$B$27))</f>
        <v>0</v>
      </c>
      <c r="AN494" s="18">
        <f>IF($A494&gt;'1-Input'!$B$26,AP493,(AP493-AL494)*(1+'5-Roberta'!$C$4))</f>
        <v>35951.06532797448</v>
      </c>
      <c r="AO494" s="18">
        <f>IF($A494&gt;'1-Input'!$B$26,AM494,AM494-'P-Parametri'!$B$8*(AN494+AM494)+MIN(MAX(AN494,0),'P-Parametri'!$B$8*(AN494+AM494)))</f>
        <v>0</v>
      </c>
      <c r="AP494" s="18">
        <f>IF($A494&gt;'1-Input'!$B$26,AN494,AN494-MIN(MAX(AN494,0),'P-Parametri'!$B$8*(AN494+AM494)))</f>
        <v>35879.163197318529</v>
      </c>
      <c r="AQ494" s="18">
        <f>IF($A494&gt;'1-Input'!$B$26,AQ493,AQ493-AL494*(1-AK494))</f>
        <v>9084.1106704580016</v>
      </c>
    </row>
    <row r="495" spans="1:43">
      <c r="A495" s="10">
        <f>42</f>
        <v>42</v>
      </c>
      <c r="B495" s="11">
        <f>IF($A495&gt;'1-Input'!$B$26,0,IF(G494&lt;=0,0,MAX(0,(G494-H494)/G494)))</f>
        <v>0.74681375313856491</v>
      </c>
      <c r="C495" s="18">
        <f>IF($A495&gt;'1-Input'!$B$26,0,(MAX(0,B451-IF($A495&gt;=('1-Input'!$C$12+1),'1-Input'!$B$12,0))-MIN(MAX(F494,0),MAX(0,B451-IF($A495&gt;=('1-Input'!$C$12+1),'1-Input'!$B$12,0))))*(1/(1-'P-Parametri'!$B$6*B495))+MIN(MAX(0,G494-(MAX(0,B451-IF($A495&gt;=('1-Input'!$C$12+1),'1-Input'!$B$12,0))-MIN(MAX(F494,0),MAX(0,B451-IF($A495&gt;=('1-Input'!$C$12+1),'1-Input'!$B$12,0))))*(1/(1-'P-Parametri'!$B$6*B495))),MAX(0,0*B451-(F494-MIN(MAX(F494,0),MAX(0,B451-IF($A495&gt;=('1-Input'!$C$12+1),'1-Input'!$B$12,0)))))*(1/(1-'P-Parametri'!$B$6*B495))))</f>
        <v>6923.3786587702771</v>
      </c>
      <c r="D495" s="18">
        <f>IF($A495&gt;'1-Input'!$B$26,F494,(F494-MAX(0,B451-IF($A495&gt;=('1-Input'!$C$12+1),'1-Input'!$B$12,0))+C495*(1-'P-Parametri'!$B$6*B495))*(1+'1-Input'!$B$27))</f>
        <v>-9.0622052084654565E-13</v>
      </c>
      <c r="E495" s="18">
        <f>IF($A495&gt;'1-Input'!$B$26,G494,(G494-C495)*(1+'5-Roberta'!$C$4))</f>
        <v>204662.58614547885</v>
      </c>
      <c r="F495" s="18">
        <f>IF($A495&gt;'1-Input'!$B$26,D495,D495-'P-Parametri'!$B$8*(E495+D495)+MIN(MAX(E495,0),'P-Parametri'!$B$8*(E495+D495)))</f>
        <v>-9.0949470177292824E-13</v>
      </c>
      <c r="G495" s="18">
        <f>IF($A495&gt;'1-Input'!$B$26,E495,E495-MIN(MAX(E495,0),'P-Parametri'!$B$8*(E495+D495)))</f>
        <v>204253.26097318789</v>
      </c>
      <c r="H495" s="18">
        <f>IF($A495&gt;'1-Input'!$B$26,H494,H494-C495*(1-B495))</f>
        <v>50308.49714478536</v>
      </c>
      <c r="I495" s="11">
        <f>IF($A495&gt;'1-Input'!$B$26,0,IF(N494&lt;=0,0,MAX(0,(N494-O494)/N494)))</f>
        <v>0</v>
      </c>
      <c r="J495" s="18">
        <f>IF($A495&gt;'1-Input'!$B$26,0,(MAX(0,I451-IF($A495&gt;=('1-Input'!$C$12+1),'1-Input'!$B$12,0))-MIN(MAX(M494,0),MAX(0,I451-IF($A495&gt;=('1-Input'!$C$12+1),'1-Input'!$B$12,0))))*(1/(1-'P-Parametri'!$B$6*I495))+MIN(MAX(0,N494-(MAX(0,I451-IF($A495&gt;=('1-Input'!$C$12+1),'1-Input'!$B$12,0))-MIN(MAX(M494,0),MAX(0,I451-IF($A495&gt;=('1-Input'!$C$12+1),'1-Input'!$B$12,0))))*(1/(1-'P-Parametri'!$B$6*I495))),MAX(0,0*I451-(M494-MIN(MAX(M494,0),MAX(0,I451-IF($A495&gt;=('1-Input'!$C$12+1),'1-Input'!$B$12,0)))))*(1/(1-'P-Parametri'!$B$6*I495))))</f>
        <v>10846.756992928691</v>
      </c>
      <c r="K495" s="18">
        <f>IF($A495&gt;'1-Input'!$B$26,M494,(M494-MAX(0,I451-IF($A495&gt;=('1-Input'!$C$12+1),'1-Input'!$B$12,0))+J495*(1-'P-Parametri'!$B$6*I495))*(1+'1-Input'!$B$27))</f>
        <v>-1.8124410416930913E-12</v>
      </c>
      <c r="L495" s="18">
        <f>IF($A495&gt;'1-Input'!$B$26,N494,(N494-J495)*(1+'5-Roberta'!$C$4))</f>
        <v>-232434.29456594199</v>
      </c>
      <c r="M495" s="18">
        <f>IF($A495&gt;'1-Input'!$B$26,K495,K495-'P-Parametri'!$B$8*(L495+K495)+MIN(MAX(L495,0),'P-Parametri'!$B$8*(L495+K495)))</f>
        <v>-1.8189894035458565E-12</v>
      </c>
      <c r="N495" s="18">
        <f>IF($A495&gt;'1-Input'!$B$26,L495,L495-MIN(MAX(L495,0),'P-Parametri'!$B$8*(L495+K495)))</f>
        <v>-231969.4259768101</v>
      </c>
      <c r="O495" s="18">
        <f>IF($A495&gt;'1-Input'!$B$26,O494,O494-J495*(1-I495))</f>
        <v>-176218.33628529625</v>
      </c>
      <c r="P495" s="11">
        <f>IF($A495&gt;'1-Input'!$B$26,0,IF(U494&lt;=0,0,MAX(0,(U494-V494)/U494)))</f>
        <v>0.74681375313856513</v>
      </c>
      <c r="Q495" s="18">
        <f>IF($A495&gt;'1-Input'!$B$26,0,(MAX(0,P451-IF($A495&gt;=('1-Input'!$C$12+1),'1-Input'!$B$12,0))-MIN(MAX(T494,0),MAX(0,P451-IF($A495&gt;=('1-Input'!$C$12+1),'1-Input'!$B$12,0))))*(1/(1-'P-Parametri'!$B$6*P495))+MIN(MAX(0,U494-(MAX(0,P451-IF($A495&gt;=('1-Input'!$C$12+1),'1-Input'!$B$12,0))-MIN(MAX(T494,0),MAX(0,P451-IF($A495&gt;=('1-Input'!$C$12+1),'1-Input'!$B$12,0))))*(1/(1-'P-Parametri'!$B$6*P495))),MAX(0,0*P451-(T494-MIN(MAX(T494,0),MAX(0,P451-IF($A495&gt;=('1-Input'!$C$12+1),'1-Input'!$B$12,0)))))*(1/(1-'P-Parametri'!$B$6*P495))))</f>
        <v>9610.0292584594044</v>
      </c>
      <c r="R495" s="18">
        <f>IF($A495&gt;'1-Input'!$B$26,T494,(T494-MAX(0,P451-IF($A495&gt;=('1-Input'!$C$12+1),'1-Input'!$B$12,0))+Q495*(1-'P-Parametri'!$B$6*P495))*(1+'1-Input'!$B$27))</f>
        <v>0</v>
      </c>
      <c r="S495" s="18">
        <f>IF($A495&gt;'1-Input'!$B$26,U494,(U494-Q495)*(1+'5-Roberta'!$C$4))</f>
        <v>5404.9050382761834</v>
      </c>
      <c r="T495" s="18">
        <f>IF($A495&gt;'1-Input'!$B$26,R495,R495-'P-Parametri'!$B$8*(S495+R495)+MIN(MAX(S495,0),'P-Parametri'!$B$8*(S495+R495)))</f>
        <v>0</v>
      </c>
      <c r="U495" s="18">
        <f>IF($A495&gt;'1-Input'!$B$26,S495,S495-MIN(MAX(S495,0),'P-Parametri'!$B$8*(S495+R495)))</f>
        <v>5394.0952281996306</v>
      </c>
      <c r="V495" s="18">
        <f>IF($A495&gt;'1-Input'!$B$26,V494,V494-Q495*(1-P495))</f>
        <v>1328.5899235763177</v>
      </c>
      <c r="W495" s="11">
        <f>IF($A495&gt;'1-Input'!$B$26,0,IF(AB494&lt;=0,0,MAX(0,(AB494-AC494)/AB494)))</f>
        <v>0.74681375313856491</v>
      </c>
      <c r="X495" s="18">
        <f>IF($A495&gt;'1-Input'!$B$26,0,(MAX(0,W451-IF($A495&gt;=('1-Input'!$C$12+1),'1-Input'!$B$12,0))-MIN(MAX(AA494,0),MAX(0,W451-IF($A495&gt;=('1-Input'!$C$12+1),'1-Input'!$B$12,0))))*(1/(1-'P-Parametri'!$B$6*W495))+MIN(MAX(0,AB494-(MAX(0,W451-IF($A495&gt;=('1-Input'!$C$12+1),'1-Input'!$B$12,0))-MIN(MAX(AA494,0),MAX(0,W451-IF($A495&gt;=('1-Input'!$C$12+1),'1-Input'!$B$12,0))))*(1/(1-'P-Parametri'!$B$6*W495))),MAX(0,0*W451-(AA494-MIN(MAX(AA494,0),MAX(0,W451-IF($A495&gt;=('1-Input'!$C$12+1),'1-Input'!$B$12,0)))))*(1/(1-'P-Parametri'!$B$6*W495))))</f>
        <v>9309.2920610706387</v>
      </c>
      <c r="Y495" s="18">
        <f>IF($A495&gt;'1-Input'!$B$26,AA494,(AA494-MAX(0,W451-IF($A495&gt;=('1-Input'!$C$12+1),'1-Input'!$B$12,0))+X495*(1-'P-Parametri'!$B$6*W495))*(1+'1-Input'!$B$27))</f>
        <v>-9.0622052084654565E-13</v>
      </c>
      <c r="Z495" s="18">
        <f>IF($A495&gt;'1-Input'!$B$26,AB494,(AB494-X495)*(1+'5-Roberta'!$C$4))</f>
        <v>27709.329953558517</v>
      </c>
      <c r="AA495" s="18">
        <f>IF($A495&gt;'1-Input'!$B$26,Y495,Y495-'P-Parametri'!$B$8*(Z495+Y495)+MIN(MAX(Z495,0),'P-Parametri'!$B$8*(Z495+Y495)))</f>
        <v>-9.0949470177292824E-13</v>
      </c>
      <c r="AB495" s="18">
        <f>IF($A495&gt;'1-Input'!$B$26,Z495,Z495-MIN(MAX(Z495,0),'P-Parametri'!$B$8*(Z495+Y495)))</f>
        <v>27653.911293651399</v>
      </c>
      <c r="AC495" s="18">
        <f>IF($A495&gt;'1-Input'!$B$26,AC494,AC494-X495*(1-W495))</f>
        <v>6811.2827708608002</v>
      </c>
      <c r="AD495" s="11">
        <f>IF($A495&gt;'1-Input'!$B$26,0,IF(AI494&lt;=0,0,MAX(0,(AI494-AJ494)/AI494)))</f>
        <v>0.74681375313856535</v>
      </c>
      <c r="AE495" s="18">
        <f>IF($A495&gt;'1-Input'!$B$26,0,(MAX(0,AD451-IF($A495&gt;=('1-Input'!$C$12+1),'1-Input'!$B$12,0))-MIN(MAX(AH494,0),MAX(0,AD451-IF($A495&gt;=('1-Input'!$C$12+1),'1-Input'!$B$12,0))))*(1/(1-'P-Parametri'!$B$6*AD495))+MIN(MAX(0,AI494-(MAX(0,AD451-IF($A495&gt;=('1-Input'!$C$12+1),'1-Input'!$B$12,0))-MIN(MAX(AH494,0),MAX(0,AD451-IF($A495&gt;=('1-Input'!$C$12+1),'1-Input'!$B$12,0))))*(1/(1-'P-Parametri'!$B$6*AD495))),MAX(0,0*AD451-(AH494-MIN(MAX(AH494,0),MAX(0,AD451-IF($A495&gt;=('1-Input'!$C$12+1),'1-Input'!$B$12,0)))))*(1/(1-'P-Parametri'!$B$6*AD495))))</f>
        <v>9314.8589005215526</v>
      </c>
      <c r="AF495" s="18">
        <f>IF($A495&gt;'1-Input'!$B$26,AH494,(AH494-MAX(0,AD451-IF($A495&gt;=('1-Input'!$C$12+1),'1-Input'!$B$12,0))+AE495*(1-'P-Parametri'!$B$6*AD495))*(1+'1-Input'!$B$27))</f>
        <v>9.0622052084654565E-13</v>
      </c>
      <c r="AG495" s="18">
        <f>IF($A495&gt;'1-Input'!$B$26,AI494,(AI494-AE495)*(1+'5-Roberta'!$C$4))</f>
        <v>27296.460665600815</v>
      </c>
      <c r="AH495" s="18">
        <f>IF($A495&gt;'1-Input'!$B$26,AF495,AF495-'P-Parametri'!$B$8*(AG495+AF495)+MIN(MAX(AG495,0),'P-Parametri'!$B$8*(AG495+AF495)))</f>
        <v>9.0949470177292824E-13</v>
      </c>
      <c r="AI495" s="18">
        <f>IF($A495&gt;'1-Input'!$B$26,AG495,AG495-MIN(MAX(AG495,0),'P-Parametri'!$B$8*(AG495+AF495)))</f>
        <v>27241.867744269613</v>
      </c>
      <c r="AJ495" s="18">
        <f>IF($A495&gt;'1-Input'!$B$26,AJ494,AJ494-AE495*(1-AD495))</f>
        <v>6709.7945908002384</v>
      </c>
      <c r="AK495" s="11">
        <f>IF($A495&gt;'1-Input'!$B$26,0,IF(AP494&lt;=0,0,MAX(0,(AP494-AQ494)/AP494)))</f>
        <v>0.74681375313856502</v>
      </c>
      <c r="AL495" s="18">
        <f>IF($A495&gt;'1-Input'!$B$26,0,(MAX(0,AK451-IF($A495&gt;=('1-Input'!$C$12+1),'1-Input'!$B$12,0))-MIN(MAX(AO494,0),MAX(0,AK451-IF($A495&gt;=('1-Input'!$C$12+1),'1-Input'!$B$12,0))))*(1/(1-'P-Parametri'!$B$6*AK495))+MIN(MAX(0,AP494-(MAX(0,AK451-IF($A495&gt;=('1-Input'!$C$12+1),'1-Input'!$B$12,0))-MIN(MAX(AO494,0),MAX(0,AK451-IF($A495&gt;=('1-Input'!$C$12+1),'1-Input'!$B$12,0))))*(1/(1-'P-Parametri'!$B$6*AK495))),MAX(0,0*AK451-(AO494-MIN(MAX(AO494,0),MAX(0,AK451-IF($A495&gt;=('1-Input'!$C$12+1),'1-Input'!$B$12,0)))))*(1/(1-'P-Parametri'!$B$6*AK495))))</f>
        <v>9313.9732503965588</v>
      </c>
      <c r="AM495" s="18">
        <f>IF($A495&gt;'1-Input'!$B$26,AO494,(AO494-MAX(0,AK451-IF($A495&gt;=('1-Input'!$C$12+1),'1-Input'!$B$12,0))+AL495*(1-'P-Parametri'!$B$6*AK495))*(1+'1-Input'!$B$27))</f>
        <v>0</v>
      </c>
      <c r="AN495" s="18">
        <f>IF($A495&gt;'1-Input'!$B$26,AP494,(AP494-AL495)*(1+'5-Roberta'!$C$4))</f>
        <v>27362.14564532963</v>
      </c>
      <c r="AO495" s="18">
        <f>IF($A495&gt;'1-Input'!$B$26,AM495,AM495-'P-Parametri'!$B$8*(AN495+AM495)+MIN(MAX(AN495,0),'P-Parametri'!$B$8*(AN495+AM495)))</f>
        <v>0</v>
      </c>
      <c r="AP495" s="18">
        <f>IF($A495&gt;'1-Input'!$B$26,AN495,AN495-MIN(MAX(AN495,0),'P-Parametri'!$B$8*(AN495+AM495)))</f>
        <v>27307.421354038972</v>
      </c>
      <c r="AQ495" s="18">
        <f>IF($A495&gt;'1-Input'!$B$26,AQ494,AQ494-AL495*(1-AK495))</f>
        <v>6725.9407398222966</v>
      </c>
    </row>
    <row r="496" spans="1:43">
      <c r="A496" s="10">
        <f>43</f>
        <v>43</v>
      </c>
      <c r="B496" s="11">
        <f>IF($A496&gt;'1-Input'!$B$26,0,IF(G495&lt;=0,0,MAX(0,(G495-H495)/G495)))</f>
        <v>0.75369550084495684</v>
      </c>
      <c r="C496" s="18">
        <f>IF($A496&gt;'1-Input'!$B$26,0,(MAX(0,B451-IF($A496&gt;=('1-Input'!$C$12+1),'1-Input'!$B$12,0))-MIN(MAX(F495,0),MAX(0,B451-IF($A496&gt;=('1-Input'!$C$12+1),'1-Input'!$B$12,0))))*(1/(1-'P-Parametri'!$B$6*B496))+MIN(MAX(0,G495-(MAX(0,B451-IF($A496&gt;=('1-Input'!$C$12+1),'1-Input'!$B$12,0))-MIN(MAX(F495,0),MAX(0,B451-IF($A496&gt;=('1-Input'!$C$12+1),'1-Input'!$B$12,0))))*(1/(1-'P-Parametri'!$B$6*B496))),MAX(0,0*B451-(F495-MIN(MAX(F495,0),MAX(0,B451-IF($A496&gt;=('1-Input'!$C$12+1),'1-Input'!$B$12,0)))))*(1/(1-'P-Parametri'!$B$6*B496))))</f>
        <v>6938.7854775161968</v>
      </c>
      <c r="D496" s="18">
        <f>IF($A496&gt;'1-Input'!$B$26,F495,(F495-MAX(0,B451-IF($A496&gt;=('1-Input'!$C$12+1),'1-Input'!$B$12,0))+C496*(1-'P-Parametri'!$B$6*B496))*(1+'1-Input'!$B$27))</f>
        <v>0</v>
      </c>
      <c r="E496" s="18">
        <f>IF($A496&gt;'1-Input'!$B$26,G495,(G495-C496)*(1+'5-Roberta'!$C$4))</f>
        <v>203233.90976054186</v>
      </c>
      <c r="F496" s="18">
        <f>IF($A496&gt;'1-Input'!$B$26,D496,D496-'P-Parametri'!$B$8*(E496+D496)+MIN(MAX(E496,0),'P-Parametri'!$B$8*(E496+D496)))</f>
        <v>0</v>
      </c>
      <c r="G496" s="18">
        <f>IF($A496&gt;'1-Input'!$B$26,E496,E496-MIN(MAX(E496,0),'P-Parametri'!$B$8*(E496+D496)))</f>
        <v>202827.44194102078</v>
      </c>
      <c r="H496" s="18">
        <f>IF($A496&gt;'1-Input'!$B$26,H495,H495-C496*(1-B496))</f>
        <v>48599.443063001447</v>
      </c>
      <c r="I496" s="11">
        <f>IF($A496&gt;'1-Input'!$B$26,0,IF(N495&lt;=0,0,MAX(0,(N495-O495)/N495)))</f>
        <v>0</v>
      </c>
      <c r="J496" s="18">
        <f>IF($A496&gt;'1-Input'!$B$26,0,(MAX(0,I451-IF($A496&gt;=('1-Input'!$C$12+1),'1-Input'!$B$12,0))-MIN(MAX(M495,0),MAX(0,I451-IF($A496&gt;=('1-Input'!$C$12+1),'1-Input'!$B$12,0))))*(1/(1-'P-Parametri'!$B$6*I496))+MIN(MAX(0,N495-(MAX(0,I451-IF($A496&gt;=('1-Input'!$C$12+1),'1-Input'!$B$12,0))-MIN(MAX(M495,0),MAX(0,I451-IF($A496&gt;=('1-Input'!$C$12+1),'1-Input'!$B$12,0))))*(1/(1-'P-Parametri'!$B$6*I496))),MAX(0,0*I451-(M495-MIN(MAX(M495,0),MAX(0,I451-IF($A496&gt;=('1-Input'!$C$12+1),'1-Input'!$B$12,0)))))*(1/(1-'P-Parametri'!$B$6*I496))))</f>
        <v>10846.756992928691</v>
      </c>
      <c r="K496" s="18">
        <f>IF($A496&gt;'1-Input'!$B$26,M495,(M495-MAX(0,I451-IF($A496&gt;=('1-Input'!$C$12+1),'1-Input'!$B$12,0))+J496*(1-'P-Parametri'!$B$6*I496))*(1+'1-Input'!$B$27))</f>
        <v>-1.8124410416930913E-12</v>
      </c>
      <c r="L496" s="18">
        <f>IF($A496&gt;'1-Input'!$B$26,N495,(N495-J496)*(1+'5-Roberta'!$C$4))</f>
        <v>-250100.66845883094</v>
      </c>
      <c r="M496" s="18">
        <f>IF($A496&gt;'1-Input'!$B$26,K496,K496-'P-Parametri'!$B$8*(L496+K496)+MIN(MAX(L496,0),'P-Parametri'!$B$8*(L496+K496)))</f>
        <v>-1.8189894035458565E-12</v>
      </c>
      <c r="N496" s="18">
        <f>IF($A496&gt;'1-Input'!$B$26,L496,L496-MIN(MAX(L496,0),'P-Parametri'!$B$8*(L496+K496)))</f>
        <v>-249600.46712191327</v>
      </c>
      <c r="O496" s="18">
        <f>IF($A496&gt;'1-Input'!$B$26,O495,O495-J496*(1-I496))</f>
        <v>-187065.09327822493</v>
      </c>
      <c r="P496" s="11">
        <f>IF($A496&gt;'1-Input'!$B$26,0,IF(U495&lt;=0,0,MAX(0,(U495-V495)/U495)))</f>
        <v>0.75369550084495696</v>
      </c>
      <c r="Q496" s="18">
        <f>IF($A496&gt;'1-Input'!$B$26,0,(MAX(0,P451-IF($A496&gt;=('1-Input'!$C$12+1),'1-Input'!$B$12,0))-MIN(MAX(T495,0),MAX(0,P451-IF($A496&gt;=('1-Input'!$C$12+1),'1-Input'!$B$12,0))))*(1/(1-'P-Parametri'!$B$6*P496))+MIN(MAX(0,U495-(MAX(0,P451-IF($A496&gt;=('1-Input'!$C$12+1),'1-Input'!$B$12,0))-MIN(MAX(T495,0),MAX(0,P451-IF($A496&gt;=('1-Input'!$C$12+1),'1-Input'!$B$12,0))))*(1/(1-'P-Parametri'!$B$6*P496))),MAX(0,0*P451-(T495-MIN(MAX(T495,0),MAX(0,P451-IF($A496&gt;=('1-Input'!$C$12+1),'1-Input'!$B$12,0)))))*(1/(1-'P-Parametri'!$B$6*P496))))</f>
        <v>9631.4147677931287</v>
      </c>
      <c r="R496" s="18">
        <f>IF($A496&gt;'1-Input'!$B$26,T495,(T495-MAX(0,P451-IF($A496&gt;=('1-Input'!$C$12+1),'1-Input'!$B$12,0))+Q496*(1-'P-Parametri'!$B$6*P496))*(1+'1-Input'!$B$27))</f>
        <v>0</v>
      </c>
      <c r="S496" s="18">
        <f>IF($A496&gt;'1-Input'!$B$26,U495,(U495-Q496)*(1+'5-Roberta'!$C$4))</f>
        <v>-4364.4391257813031</v>
      </c>
      <c r="T496" s="18">
        <f>IF($A496&gt;'1-Input'!$B$26,R496,R496-'P-Parametri'!$B$8*(S496+R496)+MIN(MAX(S496,0),'P-Parametri'!$B$8*(S496+R496)))</f>
        <v>0</v>
      </c>
      <c r="U496" s="18">
        <f>IF($A496&gt;'1-Input'!$B$26,S496,S496-MIN(MAX(S496,0),'P-Parametri'!$B$8*(S496+R496)))</f>
        <v>-4355.7102475297406</v>
      </c>
      <c r="V496" s="18">
        <f>IF($A496&gt;'1-Input'!$B$26,V495,V495-Q496*(1-P496))</f>
        <v>-1043.6708669594541</v>
      </c>
      <c r="W496" s="11">
        <f>IF($A496&gt;'1-Input'!$B$26,0,IF(AB495&lt;=0,0,MAX(0,(AB495-AC495)/AB495)))</f>
        <v>0.75369550084495673</v>
      </c>
      <c r="X496" s="18">
        <f>IF($A496&gt;'1-Input'!$B$26,0,(MAX(0,W451-IF($A496&gt;=('1-Input'!$C$12+1),'1-Input'!$B$12,0))-MIN(MAX(AA495,0),MAX(0,W451-IF($A496&gt;=('1-Input'!$C$12+1),'1-Input'!$B$12,0))))*(1/(1-'P-Parametri'!$B$6*W496))+MIN(MAX(0,AB495-(MAX(0,W451-IF($A496&gt;=('1-Input'!$C$12+1),'1-Input'!$B$12,0))-MIN(MAX(AA495,0),MAX(0,W451-IF($A496&gt;=('1-Input'!$C$12+1),'1-Input'!$B$12,0))))*(1/(1-'P-Parametri'!$B$6*W496))),MAX(0,0*W451-(AA495-MIN(MAX(AA495,0),MAX(0,W451-IF($A496&gt;=('1-Input'!$C$12+1),'1-Input'!$B$12,0)))))*(1/(1-'P-Parametri'!$B$6*W496))))</f>
        <v>9330.0083301795166</v>
      </c>
      <c r="Y496" s="18">
        <f>IF($A496&gt;'1-Input'!$B$26,AA495,(AA495-MAX(0,W451-IF($A496&gt;=('1-Input'!$C$12+1),'1-Input'!$B$12,0))+X496*(1-'P-Parametri'!$B$6*W496))*(1+'1-Input'!$B$27))</f>
        <v>0</v>
      </c>
      <c r="Z496" s="18">
        <f>IF($A496&gt;'1-Input'!$B$26,AB495,(AB495-X496)*(1+'5-Roberta'!$C$4))</f>
        <v>18873.620052376038</v>
      </c>
      <c r="AA496" s="18">
        <f>IF($A496&gt;'1-Input'!$B$26,Y496,Y496-'P-Parametri'!$B$8*(Z496+Y496)+MIN(MAX(Z496,0),'P-Parametri'!$B$8*(Z496+Y496)))</f>
        <v>0</v>
      </c>
      <c r="AB496" s="18">
        <f>IF($A496&gt;'1-Input'!$B$26,Z496,Z496-MIN(MAX(Z496,0),'P-Parametri'!$B$8*(Z496+Y496)))</f>
        <v>18835.872812271286</v>
      </c>
      <c r="AC496" s="18">
        <f>IF($A496&gt;'1-Input'!$B$26,AC495,AC495-X496*(1-W496))</f>
        <v>4513.2597419835529</v>
      </c>
      <c r="AD496" s="11">
        <f>IF($A496&gt;'1-Input'!$B$26,0,IF(AI495&lt;=0,0,MAX(0,(AI495-AJ495)/AI495)))</f>
        <v>0.7536955008449574</v>
      </c>
      <c r="AE496" s="18">
        <f>IF($A496&gt;'1-Input'!$B$26,0,(MAX(0,AD451-IF($A496&gt;=('1-Input'!$C$12+1),'1-Input'!$B$12,0))-MIN(MAX(AH495,0),MAX(0,AD451-IF($A496&gt;=('1-Input'!$C$12+1),'1-Input'!$B$12,0))))*(1/(1-'P-Parametri'!$B$6*AD496))+MIN(MAX(0,AI495-(MAX(0,AD451-IF($A496&gt;=('1-Input'!$C$12+1),'1-Input'!$B$12,0))-MIN(MAX(AH495,0),MAX(0,AD451-IF($A496&gt;=('1-Input'!$C$12+1),'1-Input'!$B$12,0))))*(1/(1-'P-Parametri'!$B$6*AD496))),MAX(0,0*AD451-(AH495-MIN(MAX(AH495,0),MAX(0,AD451-IF($A496&gt;=('1-Input'!$C$12+1),'1-Input'!$B$12,0)))))*(1/(1-'P-Parametri'!$B$6*AD496))))</f>
        <v>9335.5875576985436</v>
      </c>
      <c r="AF496" s="18">
        <f>IF($A496&gt;'1-Input'!$B$26,AH495,(AH495-MAX(0,AD451-IF($A496&gt;=('1-Input'!$C$12+1),'1-Input'!$B$12,0))+AE496*(1-'P-Parametri'!$B$6*AD496))*(1+'1-Input'!$B$27))</f>
        <v>0</v>
      </c>
      <c r="AG496" s="18">
        <f>IF($A496&gt;'1-Input'!$B$26,AI495,(AI495-AE496)*(1+'5-Roberta'!$C$4))</f>
        <v>18443.468592168203</v>
      </c>
      <c r="AH496" s="18">
        <f>IF($A496&gt;'1-Input'!$B$26,AF496,AF496-'P-Parametri'!$B$8*(AG496+AF496)+MIN(MAX(AG496,0),'P-Parametri'!$B$8*(AG496+AF496)))</f>
        <v>0</v>
      </c>
      <c r="AI496" s="18">
        <f>IF($A496&gt;'1-Input'!$B$26,AG496,AG496-MIN(MAX(AG496,0),'P-Parametri'!$B$8*(AG496+AF496)))</f>
        <v>18406.581654983867</v>
      </c>
      <c r="AJ496" s="18">
        <f>IF($A496&gt;'1-Input'!$B$26,AJ495,AJ495-AE496*(1-AD496))</f>
        <v>4410.3973730832513</v>
      </c>
      <c r="AK496" s="11">
        <f>IF($A496&gt;'1-Input'!$B$26,0,IF(AP495&lt;=0,0,MAX(0,(AP495-AQ495)/AP495)))</f>
        <v>0.75369550084495696</v>
      </c>
      <c r="AL496" s="18">
        <f>IF($A496&gt;'1-Input'!$B$26,0,(MAX(0,AK451-IF($A496&gt;=('1-Input'!$C$12+1),'1-Input'!$B$12,0))-MIN(MAX(AO495,0),MAX(0,AK451-IF($A496&gt;=('1-Input'!$C$12+1),'1-Input'!$B$12,0))))*(1/(1-'P-Parametri'!$B$6*AK496))+MIN(MAX(0,AP495-(MAX(0,AK451-IF($A496&gt;=('1-Input'!$C$12+1),'1-Input'!$B$12,0))-MIN(MAX(AO495,0),MAX(0,AK451-IF($A496&gt;=('1-Input'!$C$12+1),'1-Input'!$B$12,0))))*(1/(1-'P-Parametri'!$B$6*AK496))),MAX(0,0*AK451-(AO495-MIN(MAX(AO495,0),MAX(0,AK451-IF($A496&gt;=('1-Input'!$C$12+1),'1-Input'!$B$12,0)))))*(1/(1-'P-Parametri'!$B$6*AK496))))</f>
        <v>9334.6999367076423</v>
      </c>
      <c r="AM496" s="18">
        <f>IF($A496&gt;'1-Input'!$B$26,AO495,(AO495-MAX(0,AK451-IF($A496&gt;=('1-Input'!$C$12+1),'1-Input'!$B$12,0))+AL496*(1-'P-Parametri'!$B$6*AK496))*(1+'1-Input'!$B$27))</f>
        <v>0</v>
      </c>
      <c r="AN496" s="18">
        <f>IF($A496&gt;'1-Input'!$B$26,AP495,(AP495-AL496)*(1+'5-Roberta'!$C$4))</f>
        <v>18511.903059851269</v>
      </c>
      <c r="AO496" s="18">
        <f>IF($A496&gt;'1-Input'!$B$26,AM496,AM496-'P-Parametri'!$B$8*(AN496+AM496)+MIN(MAX(AN496,0),'P-Parametri'!$B$8*(AN496+AM496)))</f>
        <v>0</v>
      </c>
      <c r="AP496" s="18">
        <f>IF($A496&gt;'1-Input'!$B$26,AN496,AN496-MIN(MAX(AN496,0),'P-Parametri'!$B$8*(AN496+AM496)))</f>
        <v>18474.879253731568</v>
      </c>
      <c r="AQ496" s="18">
        <f>IF($A496&gt;'1-Input'!$B$26,AQ495,AQ495-AL496*(1-AK496))</f>
        <v>4426.7621471489092</v>
      </c>
    </row>
    <row r="497" spans="1:43">
      <c r="A497" s="10">
        <f>44</f>
        <v>44</v>
      </c>
      <c r="B497" s="11">
        <f>IF($A497&gt;'1-Input'!$B$26,0,IF(G496&lt;=0,0,MAX(0,(G496-H496)/G496)))</f>
        <v>0.76039019869346158</v>
      </c>
      <c r="C497" s="18">
        <f>IF($A497&gt;'1-Input'!$B$26,0,(MAX(0,B451-IF($A497&gt;=('1-Input'!$C$12+1),'1-Input'!$B$12,0))-MIN(MAX(F496,0),MAX(0,B451-IF($A497&gt;=('1-Input'!$C$12+1),'1-Input'!$B$12,0))))*(1/(1-'P-Parametri'!$B$6*B497))+MIN(MAX(0,G496-(MAX(0,B451-IF($A497&gt;=('1-Input'!$C$12+1),'1-Input'!$B$12,0))-MIN(MAX(F496,0),MAX(0,B451-IF($A497&gt;=('1-Input'!$C$12+1),'1-Input'!$B$12,0))))*(1/(1-'P-Parametri'!$B$6*B497))),MAX(0,0*B451-(F496-MIN(MAX(F496,0),MAX(0,B451-IF($A497&gt;=('1-Input'!$C$12+1),'1-Input'!$B$12,0)))))*(1/(1-'P-Parametri'!$B$6*B497))))</f>
        <v>6953.8394730630662</v>
      </c>
      <c r="D497" s="18">
        <f>IF($A497&gt;'1-Input'!$B$26,F496,(F496-MAX(0,B451-IF($A497&gt;=('1-Input'!$C$12+1),'1-Input'!$B$12,0))+C497*(1-'P-Parametri'!$B$6*B497))*(1+'1-Input'!$B$27))</f>
        <v>0</v>
      </c>
      <c r="E497" s="18">
        <f>IF($A497&gt;'1-Input'!$B$26,G496,(G496-C497)*(1+'5-Roberta'!$C$4))</f>
        <v>201749.81054199644</v>
      </c>
      <c r="F497" s="18">
        <f>IF($A497&gt;'1-Input'!$B$26,D497,D497-'P-Parametri'!$B$8*(E497+D497)+MIN(MAX(E497,0),'P-Parametri'!$B$8*(E497+D497)))</f>
        <v>0</v>
      </c>
      <c r="G497" s="18">
        <f>IF($A497&gt;'1-Input'!$B$26,E497,E497-MIN(MAX(E497,0),'P-Parametri'!$B$8*(E497+D497)))</f>
        <v>201346.31092091245</v>
      </c>
      <c r="H497" s="18">
        <f>IF($A497&gt;'1-Input'!$B$26,H496,H496-C497*(1-B497))</f>
        <v>46933.234968543242</v>
      </c>
      <c r="I497" s="11">
        <f>IF($A497&gt;'1-Input'!$B$26,0,IF(N496&lt;=0,0,MAX(0,(N496-O496)/N496)))</f>
        <v>0</v>
      </c>
      <c r="J497" s="18">
        <f>IF($A497&gt;'1-Input'!$B$26,0,(MAX(0,I451-IF($A497&gt;=('1-Input'!$C$12+1),'1-Input'!$B$12,0))-MIN(MAX(M496,0),MAX(0,I451-IF($A497&gt;=('1-Input'!$C$12+1),'1-Input'!$B$12,0))))*(1/(1-'P-Parametri'!$B$6*I497))+MIN(MAX(0,N496-(MAX(0,I451-IF($A497&gt;=('1-Input'!$C$12+1),'1-Input'!$B$12,0))-MIN(MAX(M496,0),MAX(0,I451-IF($A497&gt;=('1-Input'!$C$12+1),'1-Input'!$B$12,0))))*(1/(1-'P-Parametri'!$B$6*I497))),MAX(0,0*I451-(M496-MIN(MAX(M496,0),MAX(0,I451-IF($A497&gt;=('1-Input'!$C$12+1),'1-Input'!$B$12,0)))))*(1/(1-'P-Parametri'!$B$6*I497))))</f>
        <v>10846.756992928691</v>
      </c>
      <c r="K497" s="18">
        <f>IF($A497&gt;'1-Input'!$B$26,M496,(M496-MAX(0,I451-IF($A497&gt;=('1-Input'!$C$12+1),'1-Input'!$B$12,0))+J497*(1-'P-Parametri'!$B$6*I497))*(1+'1-Input'!$B$27))</f>
        <v>-1.8124410416930913E-12</v>
      </c>
      <c r="L497" s="18">
        <f>IF($A497&gt;'1-Input'!$B$26,N496,(N496-J497)*(1+'5-Roberta'!$C$4))</f>
        <v>-268260.64083828725</v>
      </c>
      <c r="M497" s="18">
        <f>IF($A497&gt;'1-Input'!$B$26,K497,K497-'P-Parametri'!$B$8*(L497+K497)+MIN(MAX(L497,0),'P-Parametri'!$B$8*(L497+K497)))</f>
        <v>-1.8189894035458565E-12</v>
      </c>
      <c r="N497" s="18">
        <f>IF($A497&gt;'1-Input'!$B$26,L497,L497-MIN(MAX(L497,0),'P-Parametri'!$B$8*(L497+K497)))</f>
        <v>-267724.11955661065</v>
      </c>
      <c r="O497" s="18">
        <f>IF($A497&gt;'1-Input'!$B$26,O496,O496-J497*(1-I497))</f>
        <v>-197911.85027115361</v>
      </c>
      <c r="P497" s="11">
        <f>IF($A497&gt;'1-Input'!$B$26,0,IF(U496&lt;=0,0,MAX(0,(U496-V496)/U496)))</f>
        <v>0</v>
      </c>
      <c r="Q497" s="18">
        <f>IF($A497&gt;'1-Input'!$B$26,0,(MAX(0,P451-IF($A497&gt;=('1-Input'!$C$12+1),'1-Input'!$B$12,0))-MIN(MAX(T496,0),MAX(0,P451-IF($A497&gt;=('1-Input'!$C$12+1),'1-Input'!$B$12,0))))*(1/(1-'P-Parametri'!$B$6*P497))+MIN(MAX(0,U496-(MAX(0,P451-IF($A497&gt;=('1-Input'!$C$12+1),'1-Input'!$B$12,0))-MIN(MAX(T496,0),MAX(0,P451-IF($A497&gt;=('1-Input'!$C$12+1),'1-Input'!$B$12,0))))*(1/(1-'P-Parametri'!$B$6*P497))),MAX(0,0*P451-(T496-MIN(MAX(T496,0),MAX(0,P451-IF($A497&gt;=('1-Input'!$C$12+1),'1-Input'!$B$12,0)))))*(1/(1-'P-Parametri'!$B$6*P497))))</f>
        <v>7744.0347337062158</v>
      </c>
      <c r="R497" s="18">
        <f>IF($A497&gt;'1-Input'!$B$26,T496,(T496-MAX(0,P451-IF($A497&gt;=('1-Input'!$C$12+1),'1-Input'!$B$12,0))+Q497*(1-'P-Parametri'!$B$6*P497))*(1+'1-Input'!$B$27))</f>
        <v>0</v>
      </c>
      <c r="S497" s="18">
        <f>IF($A497&gt;'1-Input'!$B$26,U496,(U496-Q497)*(1+'5-Roberta'!$C$4))</f>
        <v>-12462.737330673035</v>
      </c>
      <c r="T497" s="18">
        <f>IF($A497&gt;'1-Input'!$B$26,R497,R497-'P-Parametri'!$B$8*(S497+R497)+MIN(MAX(S497,0),'P-Parametri'!$B$8*(S497+R497)))</f>
        <v>0</v>
      </c>
      <c r="U497" s="18">
        <f>IF($A497&gt;'1-Input'!$B$26,S497,S497-MIN(MAX(S497,0),'P-Parametri'!$B$8*(S497+R497)))</f>
        <v>-12437.811856011689</v>
      </c>
      <c r="V497" s="18">
        <f>IF($A497&gt;'1-Input'!$B$26,V496,V496-Q497*(1-P497))</f>
        <v>-8787.7056006656694</v>
      </c>
      <c r="W497" s="11">
        <f>IF($A497&gt;'1-Input'!$B$26,0,IF(AB496&lt;=0,0,MAX(0,(AB496-AC496)/AB496)))</f>
        <v>0.76039019869346147</v>
      </c>
      <c r="X497" s="18">
        <f>IF($A497&gt;'1-Input'!$B$26,0,(MAX(0,W451-IF($A497&gt;=('1-Input'!$C$12+1),'1-Input'!$B$12,0))-MIN(MAX(AA496,0),MAX(0,W451-IF($A497&gt;=('1-Input'!$C$12+1),'1-Input'!$B$12,0))))*(1/(1-'P-Parametri'!$B$6*W497))+MIN(MAX(0,AB496-(MAX(0,W451-IF($A497&gt;=('1-Input'!$C$12+1),'1-Input'!$B$12,0))-MIN(MAX(AA496,0),MAX(0,W451-IF($A497&gt;=('1-Input'!$C$12+1),'1-Input'!$B$12,0))))*(1/(1-'P-Parametri'!$B$6*W497))),MAX(0,0*W451-(AA496-MIN(MAX(AA496,0),MAX(0,W451-IF($A497&gt;=('1-Input'!$C$12+1),'1-Input'!$B$12,0)))))*(1/(1-'P-Parametri'!$B$6*W497))))</f>
        <v>9350.2501872465618</v>
      </c>
      <c r="Y497" s="18">
        <f>IF($A497&gt;'1-Input'!$B$26,AA496,(AA496-MAX(0,W451-IF($A497&gt;=('1-Input'!$C$12+1),'1-Input'!$B$12,0))+X497*(1-'P-Parametri'!$B$6*W497))*(1+'1-Input'!$B$27))</f>
        <v>0</v>
      </c>
      <c r="Z497" s="18">
        <f>IF($A497&gt;'1-Input'!$B$26,AB496,(AB496-X497)*(1+'5-Roberta'!$C$4))</f>
        <v>9770.1913037754657</v>
      </c>
      <c r="AA497" s="18">
        <f>IF($A497&gt;'1-Input'!$B$26,Y497,Y497-'P-Parametri'!$B$8*(Z497+Y497)+MIN(MAX(Z497,0),'P-Parametri'!$B$8*(Z497+Y497)))</f>
        <v>0</v>
      </c>
      <c r="AB497" s="18">
        <f>IF($A497&gt;'1-Input'!$B$26,Z497,Z497-MIN(MAX(Z497,0),'P-Parametri'!$B$8*(Z497+Y497)))</f>
        <v>9750.6509211679149</v>
      </c>
      <c r="AC497" s="18">
        <f>IF($A497&gt;'1-Input'!$B$26,AC496,AC496-X497*(1-W497))</f>
        <v>2272.8481524509793</v>
      </c>
      <c r="AD497" s="11">
        <f>IF($A497&gt;'1-Input'!$B$26,0,IF(AI496&lt;=0,0,MAX(0,(AI496-AJ496)/AI496)))</f>
        <v>0.76039019869346203</v>
      </c>
      <c r="AE497" s="18">
        <f>IF($A497&gt;'1-Input'!$B$26,0,(MAX(0,AD451-IF($A497&gt;=('1-Input'!$C$12+1),'1-Input'!$B$12,0))-MIN(MAX(AH496,0),MAX(0,AD451-IF($A497&gt;=('1-Input'!$C$12+1),'1-Input'!$B$12,0))))*(1/(1-'P-Parametri'!$B$6*AD497))+MIN(MAX(0,AI496-(MAX(0,AD451-IF($A497&gt;=('1-Input'!$C$12+1),'1-Input'!$B$12,0))-MIN(MAX(AH496,0),MAX(0,AD451-IF($A497&gt;=('1-Input'!$C$12+1),'1-Input'!$B$12,0))))*(1/(1-'P-Parametri'!$B$6*AD497))),MAX(0,0*AD451-(AH496-MIN(MAX(AH496,0),MAX(0,AD451-IF($A497&gt;=('1-Input'!$C$12+1),'1-Input'!$B$12,0)))))*(1/(1-'P-Parametri'!$B$6*AD497))))</f>
        <v>9355.8415191412787</v>
      </c>
      <c r="AF497" s="18">
        <f>IF($A497&gt;'1-Input'!$B$26,AH496,(AH496-MAX(0,AD451-IF($A497&gt;=('1-Input'!$C$12+1),'1-Input'!$B$12,0))+AE497*(1-'P-Parametri'!$B$6*AD497))*(1+'1-Input'!$B$27))</f>
        <v>0</v>
      </c>
      <c r="AG497" s="18">
        <f>IF($A497&gt;'1-Input'!$B$26,AI496,(AI496-AE497)*(1+'5-Roberta'!$C$4))</f>
        <v>9322.2623399178665</v>
      </c>
      <c r="AH497" s="18">
        <f>IF($A497&gt;'1-Input'!$B$26,AF497,AF497-'P-Parametri'!$B$8*(AG497+AF497)+MIN(MAX(AG497,0),'P-Parametri'!$B$8*(AG497+AF497)))</f>
        <v>0</v>
      </c>
      <c r="AI497" s="18">
        <f>IF($A497&gt;'1-Input'!$B$26,AG497,AG497-MIN(MAX(AG497,0),'P-Parametri'!$B$8*(AG497+AF497)))</f>
        <v>9303.6178152380307</v>
      </c>
      <c r="AJ497" s="18">
        <f>IF($A497&gt;'1-Input'!$B$26,AJ496,AJ496-AE497*(1-AD497))</f>
        <v>2168.6460456263512</v>
      </c>
      <c r="AK497" s="11">
        <f>IF($A497&gt;'1-Input'!$B$26,0,IF(AP496&lt;=0,0,MAX(0,(AP496-AQ496)/AP496)))</f>
        <v>0.76039019869346158</v>
      </c>
      <c r="AL497" s="18">
        <f>IF($A497&gt;'1-Input'!$B$26,0,(MAX(0,AK451-IF($A497&gt;=('1-Input'!$C$12+1),'1-Input'!$B$12,0))-MIN(MAX(AO496,0),MAX(0,AK451-IF($A497&gt;=('1-Input'!$C$12+1),'1-Input'!$B$12,0))))*(1/(1-'P-Parametri'!$B$6*AK497))+MIN(MAX(0,AP496-(MAX(0,AK451-IF($A497&gt;=('1-Input'!$C$12+1),'1-Input'!$B$12,0))-MIN(MAX(AO496,0),MAX(0,AK451-IF($A497&gt;=('1-Input'!$C$12+1),'1-Input'!$B$12,0))))*(1/(1-'P-Parametri'!$B$6*AK497))),MAX(0,0*AK451-(AO496-MIN(MAX(AO496,0),MAX(0,AK451-IF($A497&gt;=('1-Input'!$C$12+1),'1-Input'!$B$12,0)))))*(1/(1-'P-Parametri'!$B$6*AK497))))</f>
        <v>9354.951972418201</v>
      </c>
      <c r="AM497" s="18">
        <f>IF($A497&gt;'1-Input'!$B$26,AO496,(AO496-MAX(0,AK451-IF($A497&gt;=('1-Input'!$C$12+1),'1-Input'!$B$12,0))+AL497*(1-'P-Parametri'!$B$6*AK497))*(1+'1-Input'!$B$27))</f>
        <v>0</v>
      </c>
      <c r="AN497" s="18">
        <f>IF($A497&gt;'1-Input'!$B$26,AP496,(AP496-AL497)*(1+'5-Roberta'!$C$4))</f>
        <v>9393.5250997527673</v>
      </c>
      <c r="AO497" s="18">
        <f>IF($A497&gt;'1-Input'!$B$26,AM497,AM497-'P-Parametri'!$B$8*(AN497+AM497)+MIN(MAX(AN497,0),'P-Parametri'!$B$8*(AN497+AM497)))</f>
        <v>0</v>
      </c>
      <c r="AP497" s="18">
        <f>IF($A497&gt;'1-Input'!$B$26,AN497,AN497-MIN(MAX(AN497,0),'P-Parametri'!$B$8*(AN497+AM497)))</f>
        <v>9374.7380495532616</v>
      </c>
      <c r="AQ497" s="18">
        <f>IF($A497&gt;'1-Input'!$B$26,AQ496,AQ496-AL497*(1-AK497))</f>
        <v>2185.2239638055744</v>
      </c>
    </row>
    <row r="498" spans="1:43">
      <c r="A498" s="10">
        <f>45</f>
        <v>45</v>
      </c>
      <c r="B498" s="11">
        <f>IF($A498&gt;'1-Input'!$B$26,0,IF(G497&lt;=0,0,MAX(0,(G497-H497)/G497)))</f>
        <v>0.76690293080672167</v>
      </c>
      <c r="C498" s="18">
        <f>IF($A498&gt;'1-Input'!$B$26,0,(MAX(0,B451-IF($A498&gt;=('1-Input'!$C$12+1),'1-Input'!$B$12,0))-MIN(MAX(F497,0),MAX(0,B451-IF($A498&gt;=('1-Input'!$C$12+1),'1-Input'!$B$12,0))))*(1/(1-'P-Parametri'!$B$6*B498))+MIN(MAX(0,G497-(MAX(0,B451-IF($A498&gt;=('1-Input'!$C$12+1),'1-Input'!$B$12,0))-MIN(MAX(F497,0),MAX(0,B451-IF($A498&gt;=('1-Input'!$C$12+1),'1-Input'!$B$12,0))))*(1/(1-'P-Parametri'!$B$6*B498))),MAX(0,0*B451-(F497-MIN(MAX(F497,0),MAX(0,B451-IF($A498&gt;=('1-Input'!$C$12+1),'1-Input'!$B$12,0)))))*(1/(1-'P-Parametri'!$B$6*B498))))</f>
        <v>6968.5471064751255</v>
      </c>
      <c r="D498" s="18">
        <f>IF($A498&gt;'1-Input'!$B$26,F497,(F497-MAX(0,B451-IF($A498&gt;=('1-Input'!$C$12+1),'1-Input'!$B$12,0))+C498*(1-'P-Parametri'!$B$6*B498))*(1+'1-Input'!$B$27))</f>
        <v>0</v>
      </c>
      <c r="E498" s="18">
        <f>IF($A498&gt;'1-Input'!$B$26,G497,(G497-C498)*(1+'5-Roberta'!$C$4))</f>
        <v>200209.09672887044</v>
      </c>
      <c r="F498" s="18">
        <f>IF($A498&gt;'1-Input'!$B$26,D498,D498-'P-Parametri'!$B$8*(E498+D498)+MIN(MAX(E498,0),'P-Parametri'!$B$8*(E498+D498)))</f>
        <v>0</v>
      </c>
      <c r="G498" s="18">
        <f>IF($A498&gt;'1-Input'!$B$26,E498,E498-MIN(MAX(E498,0),'P-Parametri'!$B$8*(E498+D498)))</f>
        <v>199808.67853541271</v>
      </c>
      <c r="H498" s="18">
        <f>IF($A498&gt;'1-Input'!$B$26,H497,H497-C498*(1-B498))</f>
        <v>45308.887061488589</v>
      </c>
      <c r="I498" s="11">
        <f>IF($A498&gt;'1-Input'!$B$26,0,IF(N497&lt;=0,0,MAX(0,(N497-O497)/N497)))</f>
        <v>0</v>
      </c>
      <c r="J498" s="18">
        <f>IF($A498&gt;'1-Input'!$B$26,0,(MAX(0,I451-IF($A498&gt;=('1-Input'!$C$12+1),'1-Input'!$B$12,0))-MIN(MAX(M497,0),MAX(0,I451-IF($A498&gt;=('1-Input'!$C$12+1),'1-Input'!$B$12,0))))*(1/(1-'P-Parametri'!$B$6*I498))+MIN(MAX(0,N497-(MAX(0,I451-IF($A498&gt;=('1-Input'!$C$12+1),'1-Input'!$B$12,0))-MIN(MAX(M497,0),MAX(0,I451-IF($A498&gt;=('1-Input'!$C$12+1),'1-Input'!$B$12,0))))*(1/(1-'P-Parametri'!$B$6*I498))),MAX(0,0*I451-(M497-MIN(MAX(M497,0),MAX(0,I451-IF($A498&gt;=('1-Input'!$C$12+1),'1-Input'!$B$12,0)))))*(1/(1-'P-Parametri'!$B$6*I498))))</f>
        <v>10846.756992928691</v>
      </c>
      <c r="K498" s="18">
        <f>IF($A498&gt;'1-Input'!$B$26,M497,(M497-MAX(0,I451-IF($A498&gt;=('1-Input'!$C$12+1),'1-Input'!$B$12,0))+J498*(1-'P-Parametri'!$B$6*I498))*(1+'1-Input'!$B$27))</f>
        <v>-1.8124410416930913E-12</v>
      </c>
      <c r="L498" s="18">
        <f>IF($A498&gt;'1-Input'!$B$26,N497,(N497-J498)*(1+'5-Roberta'!$C$4))</f>
        <v>-286928.00284602551</v>
      </c>
      <c r="M498" s="18">
        <f>IF($A498&gt;'1-Input'!$B$26,K498,K498-'P-Parametri'!$B$8*(L498+K498)+MIN(MAX(L498,0),'P-Parametri'!$B$8*(L498+K498)))</f>
        <v>-1.8189894035458565E-12</v>
      </c>
      <c r="N498" s="18">
        <f>IF($A498&gt;'1-Input'!$B$26,L498,L498-MIN(MAX(L498,0),'P-Parametri'!$B$8*(L498+K498)))</f>
        <v>-286354.14684033347</v>
      </c>
      <c r="O498" s="18">
        <f>IF($A498&gt;'1-Input'!$B$26,O497,O497-J498*(1-I498))</f>
        <v>-208758.6072640823</v>
      </c>
      <c r="P498" s="11">
        <f>IF($A498&gt;'1-Input'!$B$26,0,IF(U497&lt;=0,0,MAX(0,(U497-V497)/U497)))</f>
        <v>0</v>
      </c>
      <c r="Q498" s="18">
        <f>IF($A498&gt;'1-Input'!$B$26,0,(MAX(0,P451-IF($A498&gt;=('1-Input'!$C$12+1),'1-Input'!$B$12,0))-MIN(MAX(T497,0),MAX(0,P451-IF($A498&gt;=('1-Input'!$C$12+1),'1-Input'!$B$12,0))))*(1/(1-'P-Parametri'!$B$6*P498))+MIN(MAX(0,U497-(MAX(0,P451-IF($A498&gt;=('1-Input'!$C$12+1),'1-Input'!$B$12,0))-MIN(MAX(T497,0),MAX(0,P451-IF($A498&gt;=('1-Input'!$C$12+1),'1-Input'!$B$12,0))))*(1/(1-'P-Parametri'!$B$6*P498))),MAX(0,0*P451-(T497-MIN(MAX(T497,0),MAX(0,P451-IF($A498&gt;=('1-Input'!$C$12+1),'1-Input'!$B$12,0)))))*(1/(1-'P-Parametri'!$B$6*P498))))</f>
        <v>7744.0347337062158</v>
      </c>
      <c r="R498" s="18">
        <f>IF($A498&gt;'1-Input'!$B$26,T497,(T497-MAX(0,P451-IF($A498&gt;=('1-Input'!$C$12+1),'1-Input'!$B$12,0))+Q498*(1-'P-Parametri'!$B$6*P498))*(1+'1-Input'!$B$27))</f>
        <v>0</v>
      </c>
      <c r="S498" s="18">
        <f>IF($A498&gt;'1-Input'!$B$26,U497,(U497-Q498)*(1+'5-Roberta'!$C$4))</f>
        <v>-20787.301987409443</v>
      </c>
      <c r="T498" s="18">
        <f>IF($A498&gt;'1-Input'!$B$26,R498,R498-'P-Parametri'!$B$8*(S498+R498)+MIN(MAX(S498,0),'P-Parametri'!$B$8*(S498+R498)))</f>
        <v>0</v>
      </c>
      <c r="U498" s="18">
        <f>IF($A498&gt;'1-Input'!$B$26,S498,S498-MIN(MAX(S498,0),'P-Parametri'!$B$8*(S498+R498)))</f>
        <v>-20745.727383434623</v>
      </c>
      <c r="V498" s="18">
        <f>IF($A498&gt;'1-Input'!$B$26,V497,V497-Q498*(1-P498))</f>
        <v>-16531.740334371883</v>
      </c>
      <c r="W498" s="11">
        <f>IF($A498&gt;'1-Input'!$B$26,0,IF(AB497&lt;=0,0,MAX(0,(AB497-AC497)/AB497)))</f>
        <v>0.76690293080672189</v>
      </c>
      <c r="X498" s="18">
        <f>IF($A498&gt;'1-Input'!$B$26,0,(MAX(0,W451-IF($A498&gt;=('1-Input'!$C$12+1),'1-Input'!$B$12,0))-MIN(MAX(AA497,0),MAX(0,W451-IF($A498&gt;=('1-Input'!$C$12+1),'1-Input'!$B$12,0))))*(1/(1-'P-Parametri'!$B$6*W498))+MIN(MAX(0,AB497-(MAX(0,W451-IF($A498&gt;=('1-Input'!$C$12+1),'1-Input'!$B$12,0))-MIN(MAX(AA497,0),MAX(0,W451-IF($A498&gt;=('1-Input'!$C$12+1),'1-Input'!$B$12,0))))*(1/(1-'P-Parametri'!$B$6*W498))),MAX(0,0*W451-(AA497-MIN(MAX(AA497,0),MAX(0,W451-IF($A498&gt;=('1-Input'!$C$12+1),'1-Input'!$B$12,0)))))*(1/(1-'P-Parametri'!$B$6*W498))))</f>
        <v>9370.0263199280507</v>
      </c>
      <c r="Y498" s="18">
        <f>IF($A498&gt;'1-Input'!$B$26,AA497,(AA497-MAX(0,W451-IF($A498&gt;=('1-Input'!$C$12+1),'1-Input'!$B$12,0))+X498*(1-'P-Parametri'!$B$6*W498))*(1+'1-Input'!$B$27))</f>
        <v>0</v>
      </c>
      <c r="Z498" s="18">
        <f>IF($A498&gt;'1-Input'!$B$26,AB497,(AB497-X498)*(1+'5-Roberta'!$C$4))</f>
        <v>392.04333927706011</v>
      </c>
      <c r="AA498" s="18">
        <f>IF($A498&gt;'1-Input'!$B$26,Y498,Y498-'P-Parametri'!$B$8*(Z498+Y498)+MIN(MAX(Z498,0),'P-Parametri'!$B$8*(Z498+Y498)))</f>
        <v>0</v>
      </c>
      <c r="AB498" s="18">
        <f>IF($A498&gt;'1-Input'!$B$26,Z498,Z498-MIN(MAX(Z498,0),'P-Parametri'!$B$8*(Z498+Y498)))</f>
        <v>391.25925259850601</v>
      </c>
      <c r="AC498" s="18">
        <f>IF($A498&gt;'1-Input'!$B$26,AC497,AC497-X498*(1-W498))</f>
        <v>88.722479011873475</v>
      </c>
      <c r="AD498" s="11">
        <f>IF($A498&gt;'1-Input'!$B$26,0,IF(AI497&lt;=0,0,MAX(0,(AI497-AJ497)/AI497)))</f>
        <v>0.76690293080672223</v>
      </c>
      <c r="AE498" s="18">
        <f>IF($A498&gt;'1-Input'!$B$26,0,(MAX(0,AD451-IF($A498&gt;=('1-Input'!$C$12+1),'1-Input'!$B$12,0))-MIN(MAX(AH497,0),MAX(0,AD451-IF($A498&gt;=('1-Input'!$C$12+1),'1-Input'!$B$12,0))))*(1/(1-'P-Parametri'!$B$6*AD498))+MIN(MAX(0,AI497-(MAX(0,AD451-IF($A498&gt;=('1-Input'!$C$12+1),'1-Input'!$B$12,0))-MIN(MAX(AH497,0),MAX(0,AD451-IF($A498&gt;=('1-Input'!$C$12+1),'1-Input'!$B$12,0))))*(1/(1-'P-Parametri'!$B$6*AD498))),MAX(0,0*AD451-(AH497-MIN(MAX(AH497,0),MAX(0,AD451-IF($A498&gt;=('1-Input'!$C$12+1),'1-Input'!$B$12,0)))))*(1/(1-'P-Parametri'!$B$6*AD498))))</f>
        <v>9375.6294777011335</v>
      </c>
      <c r="AF498" s="18">
        <f>IF($A498&gt;'1-Input'!$B$26,AH497,(AH497-MAX(0,AD451-IF($A498&gt;=('1-Input'!$C$12+1),'1-Input'!$B$12,0))+AE498*(1-'P-Parametri'!$B$6*AD498))*(1+'1-Input'!$B$27))</f>
        <v>0</v>
      </c>
      <c r="AG498" s="18">
        <f>IF($A498&gt;'1-Input'!$B$26,AI497,(AI497-AE498)*(1+'5-Roberta'!$C$4))</f>
        <v>-74.172012336995849</v>
      </c>
      <c r="AH498" s="18">
        <f>IF($A498&gt;'1-Input'!$B$26,AF498,AF498-'P-Parametri'!$B$8*(AG498+AF498)+MIN(MAX(AG498,0),'P-Parametri'!$B$8*(AG498+AF498)))</f>
        <v>0</v>
      </c>
      <c r="AI498" s="18">
        <f>IF($A498&gt;'1-Input'!$B$26,AG498,AG498-MIN(MAX(AG498,0),'P-Parametri'!$B$8*(AG498+AF498)))</f>
        <v>-74.02366831232186</v>
      </c>
      <c r="AJ498" s="18">
        <f>IF($A498&gt;'1-Input'!$B$26,AJ497,AJ497-AE498*(1-AD498))</f>
        <v>-16.785707467884549</v>
      </c>
      <c r="AK498" s="11">
        <f>IF($A498&gt;'1-Input'!$B$26,0,IF(AP497&lt;=0,0,MAX(0,(AP497-AQ497)/AP497)))</f>
        <v>0.76690293080672178</v>
      </c>
      <c r="AL498" s="18">
        <f>IF($A498&gt;'1-Input'!$B$26,0,(MAX(0,AK451-IF($A498&gt;=('1-Input'!$C$12+1),'1-Input'!$B$12,0))-MIN(MAX(AO497,0),MAX(0,AK451-IF($A498&gt;=('1-Input'!$C$12+1),'1-Input'!$B$12,0))))*(1/(1-'P-Parametri'!$B$6*AK498))+MIN(MAX(0,AP497-(MAX(0,AK451-IF($A498&gt;=('1-Input'!$C$12+1),'1-Input'!$B$12,0))-MIN(MAX(AO497,0),MAX(0,AK451-IF($A498&gt;=('1-Input'!$C$12+1),'1-Input'!$B$12,0))))*(1/(1-'P-Parametri'!$B$6*AK498))),MAX(0,0*AK451-(AO497-MIN(MAX(AO497,0),MAX(0,AK451-IF($A498&gt;=('1-Input'!$C$12+1),'1-Input'!$B$12,0)))))*(1/(1-'P-Parametri'!$B$6*AK498))))</f>
        <v>9374.7380495531033</v>
      </c>
      <c r="AM498" s="18">
        <f>IF($A498&gt;'1-Input'!$B$26,AO497,(AO497-MAX(0,AK451-IF($A498&gt;=('1-Input'!$C$12+1),'1-Input'!$B$12,0))+AL498*(1-'P-Parametri'!$B$6*AK498))*(1+'1-Input'!$B$27))</f>
        <v>-9.0622052084654565E-13</v>
      </c>
      <c r="AN498" s="18">
        <f>IF($A498&gt;'1-Input'!$B$26,AP497,(AP497-AL498)*(1+'5-Roberta'!$C$4))</f>
        <v>1.629996404517442E-10</v>
      </c>
      <c r="AO498" s="18">
        <f>IF($A498&gt;'1-Input'!$B$26,AM498,AM498-'P-Parametri'!$B$8*(AN498+AM498)+MIN(MAX(AN498,0),'P-Parametri'!$B$8*(AN498+AM498)))</f>
        <v>-9.0622052084654565E-13</v>
      </c>
      <c r="AP498" s="18">
        <f>IF($A498&gt;'1-Input'!$B$26,AN498,AN498-MIN(MAX(AN498,0),'P-Parametri'!$B$8*(AN498+AM498)))</f>
        <v>1.6267545361188241E-10</v>
      </c>
      <c r="AQ498" s="18">
        <f>IF($A498&gt;'1-Input'!$B$26,AQ497,AQ497-AL498*(1-AK498))</f>
        <v>3.637978807091713E-11</v>
      </c>
    </row>
    <row r="499" spans="1:43">
      <c r="A499" s="10">
        <f>46</f>
        <v>46</v>
      </c>
      <c r="B499" s="11">
        <f>IF($A499&gt;'1-Input'!$B$26,0,IF(G498&lt;=0,0,MAX(0,(G498-H498)/G498)))</f>
        <v>0</v>
      </c>
      <c r="C499" s="18">
        <f>IF($A499&gt;'1-Input'!$B$26,0,(MAX(0,B451-IF($A499&gt;=('1-Input'!$C$12+1),'1-Input'!$B$12,0))-MIN(MAX(F498,0),MAX(0,B451-IF($A499&gt;=('1-Input'!$C$12+1),'1-Input'!$B$12,0))))*(1/(1-'P-Parametri'!$B$6*B499))+MIN(MAX(0,G498-(MAX(0,B451-IF($A499&gt;=('1-Input'!$C$12+1),'1-Input'!$B$12,0))-MIN(MAX(F498,0),MAX(0,B451-IF($A499&gt;=('1-Input'!$C$12+1),'1-Input'!$B$12,0))))*(1/(1-'P-Parametri'!$B$6*B499))),MAX(0,0*B451-(F498-MIN(MAX(F498,0),MAX(0,B451-IF($A499&gt;=('1-Input'!$C$12+1),'1-Input'!$B$12,0)))))*(1/(1-'P-Parametri'!$B$6*B499))))</f>
        <v>0</v>
      </c>
      <c r="D499" s="18">
        <f>IF($A499&gt;'1-Input'!$B$26,F498,(F498-MAX(0,B451-IF($A499&gt;=('1-Input'!$C$12+1),'1-Input'!$B$12,0))+C499*(1-'P-Parametri'!$B$6*B499))*(1+'1-Input'!$B$27))</f>
        <v>0</v>
      </c>
      <c r="E499" s="18">
        <f>IF($A499&gt;'1-Input'!$B$26,G498,(G498-C499)*(1+'5-Roberta'!$C$4))</f>
        <v>199808.67853541271</v>
      </c>
      <c r="F499" s="18">
        <f>IF($A499&gt;'1-Input'!$B$26,D499,D499-'P-Parametri'!$B$8*(E499+D499)+MIN(MAX(E499,0),'P-Parametri'!$B$8*(E499+D499)))</f>
        <v>0</v>
      </c>
      <c r="G499" s="18">
        <f>IF($A499&gt;'1-Input'!$B$26,E499,E499-MIN(MAX(E499,0),'P-Parametri'!$B$8*(E499+D499)))</f>
        <v>199808.67853541271</v>
      </c>
      <c r="H499" s="18">
        <f>IF($A499&gt;'1-Input'!$B$26,H498,H498-C499*(1-B499))</f>
        <v>45308.887061488589</v>
      </c>
      <c r="I499" s="11">
        <f>IF($A499&gt;'1-Input'!$B$26,0,IF(N498&lt;=0,0,MAX(0,(N498-O498)/N498)))</f>
        <v>0</v>
      </c>
      <c r="J499" s="18">
        <f>IF($A499&gt;'1-Input'!$B$26,0,(MAX(0,I451-IF($A499&gt;=('1-Input'!$C$12+1),'1-Input'!$B$12,0))-MIN(MAX(M498,0),MAX(0,I451-IF($A499&gt;=('1-Input'!$C$12+1),'1-Input'!$B$12,0))))*(1/(1-'P-Parametri'!$B$6*I499))+MIN(MAX(0,N498-(MAX(0,I451-IF($A499&gt;=('1-Input'!$C$12+1),'1-Input'!$B$12,0))-MIN(MAX(M498,0),MAX(0,I451-IF($A499&gt;=('1-Input'!$C$12+1),'1-Input'!$B$12,0))))*(1/(1-'P-Parametri'!$B$6*I499))),MAX(0,0*I451-(M498-MIN(MAX(M498,0),MAX(0,I451-IF($A499&gt;=('1-Input'!$C$12+1),'1-Input'!$B$12,0)))))*(1/(1-'P-Parametri'!$B$6*I499))))</f>
        <v>0</v>
      </c>
      <c r="K499" s="18">
        <f>IF($A499&gt;'1-Input'!$B$26,M498,(M498-MAX(0,I451-IF($A499&gt;=('1-Input'!$C$12+1),'1-Input'!$B$12,0))+J499*(1-'P-Parametri'!$B$6*I499))*(1+'1-Input'!$B$27))</f>
        <v>-1.8189894035458565E-12</v>
      </c>
      <c r="L499" s="18">
        <f>IF($A499&gt;'1-Input'!$B$26,N498,(N498-J499)*(1+'5-Roberta'!$C$4))</f>
        <v>-286354.14684033347</v>
      </c>
      <c r="M499" s="18">
        <f>IF($A499&gt;'1-Input'!$B$26,K499,K499-'P-Parametri'!$B$8*(L499+K499)+MIN(MAX(L499,0),'P-Parametri'!$B$8*(L499+K499)))</f>
        <v>-1.8189894035458565E-12</v>
      </c>
      <c r="N499" s="18">
        <f>IF($A499&gt;'1-Input'!$B$26,L499,L499-MIN(MAX(L499,0),'P-Parametri'!$B$8*(L499+K499)))</f>
        <v>-286354.14684033347</v>
      </c>
      <c r="O499" s="18">
        <f>IF($A499&gt;'1-Input'!$B$26,O498,O498-J499*(1-I499))</f>
        <v>-208758.6072640823</v>
      </c>
      <c r="P499" s="11">
        <f>IF($A499&gt;'1-Input'!$B$26,0,IF(U498&lt;=0,0,MAX(0,(U498-V498)/U498)))</f>
        <v>0</v>
      </c>
      <c r="Q499" s="18">
        <f>IF($A499&gt;'1-Input'!$B$26,0,(MAX(0,P451-IF($A499&gt;=('1-Input'!$C$12+1),'1-Input'!$B$12,0))-MIN(MAX(T498,0),MAX(0,P451-IF($A499&gt;=('1-Input'!$C$12+1),'1-Input'!$B$12,0))))*(1/(1-'P-Parametri'!$B$6*P499))+MIN(MAX(0,U498-(MAX(0,P451-IF($A499&gt;=('1-Input'!$C$12+1),'1-Input'!$B$12,0))-MIN(MAX(T498,0),MAX(0,P451-IF($A499&gt;=('1-Input'!$C$12+1),'1-Input'!$B$12,0))))*(1/(1-'P-Parametri'!$B$6*P499))),MAX(0,0*P451-(T498-MIN(MAX(T498,0),MAX(0,P451-IF($A499&gt;=('1-Input'!$C$12+1),'1-Input'!$B$12,0)))))*(1/(1-'P-Parametri'!$B$6*P499))))</f>
        <v>0</v>
      </c>
      <c r="R499" s="18">
        <f>IF($A499&gt;'1-Input'!$B$26,T498,(T498-MAX(0,P451-IF($A499&gt;=('1-Input'!$C$12+1),'1-Input'!$B$12,0))+Q499*(1-'P-Parametri'!$B$6*P499))*(1+'1-Input'!$B$27))</f>
        <v>0</v>
      </c>
      <c r="S499" s="18">
        <f>IF($A499&gt;'1-Input'!$B$26,U498,(U498-Q499)*(1+'5-Roberta'!$C$4))</f>
        <v>-20745.727383434623</v>
      </c>
      <c r="T499" s="18">
        <f>IF($A499&gt;'1-Input'!$B$26,R499,R499-'P-Parametri'!$B$8*(S499+R499)+MIN(MAX(S499,0),'P-Parametri'!$B$8*(S499+R499)))</f>
        <v>0</v>
      </c>
      <c r="U499" s="18">
        <f>IF($A499&gt;'1-Input'!$B$26,S499,S499-MIN(MAX(S499,0),'P-Parametri'!$B$8*(S499+R499)))</f>
        <v>-20745.727383434623</v>
      </c>
      <c r="V499" s="18">
        <f>IF($A499&gt;'1-Input'!$B$26,V498,V498-Q499*(1-P499))</f>
        <v>-16531.740334371883</v>
      </c>
      <c r="W499" s="11">
        <f>IF($A499&gt;'1-Input'!$B$26,0,IF(AB498&lt;=0,0,MAX(0,(AB498-AC498)/AB498)))</f>
        <v>0</v>
      </c>
      <c r="X499" s="18">
        <f>IF($A499&gt;'1-Input'!$B$26,0,(MAX(0,W451-IF($A499&gt;=('1-Input'!$C$12+1),'1-Input'!$B$12,0))-MIN(MAX(AA498,0),MAX(0,W451-IF($A499&gt;=('1-Input'!$C$12+1),'1-Input'!$B$12,0))))*(1/(1-'P-Parametri'!$B$6*W499))+MIN(MAX(0,AB498-(MAX(0,W451-IF($A499&gt;=('1-Input'!$C$12+1),'1-Input'!$B$12,0))-MIN(MAX(AA498,0),MAX(0,W451-IF($A499&gt;=('1-Input'!$C$12+1),'1-Input'!$B$12,0))))*(1/(1-'P-Parametri'!$B$6*W499))),MAX(0,0*W451-(AA498-MIN(MAX(AA498,0),MAX(0,W451-IF($A499&gt;=('1-Input'!$C$12+1),'1-Input'!$B$12,0)))))*(1/(1-'P-Parametri'!$B$6*W499))))</f>
        <v>0</v>
      </c>
      <c r="Y499" s="18">
        <f>IF($A499&gt;'1-Input'!$B$26,AA498,(AA498-MAX(0,W451-IF($A499&gt;=('1-Input'!$C$12+1),'1-Input'!$B$12,0))+X499*(1-'P-Parametri'!$B$6*W499))*(1+'1-Input'!$B$27))</f>
        <v>0</v>
      </c>
      <c r="Z499" s="18">
        <f>IF($A499&gt;'1-Input'!$B$26,AB498,(AB498-X499)*(1+'5-Roberta'!$C$4))</f>
        <v>391.25925259850601</v>
      </c>
      <c r="AA499" s="18">
        <f>IF($A499&gt;'1-Input'!$B$26,Y499,Y499-'P-Parametri'!$B$8*(Z499+Y499)+MIN(MAX(Z499,0),'P-Parametri'!$B$8*(Z499+Y499)))</f>
        <v>0</v>
      </c>
      <c r="AB499" s="18">
        <f>IF($A499&gt;'1-Input'!$B$26,Z499,Z499-MIN(MAX(Z499,0),'P-Parametri'!$B$8*(Z499+Y499)))</f>
        <v>391.25925259850601</v>
      </c>
      <c r="AC499" s="18">
        <f>IF($A499&gt;'1-Input'!$B$26,AC498,AC498-X499*(1-W499))</f>
        <v>88.722479011873475</v>
      </c>
      <c r="AD499" s="11">
        <f>IF($A499&gt;'1-Input'!$B$26,0,IF(AI498&lt;=0,0,MAX(0,(AI498-AJ498)/AI498)))</f>
        <v>0</v>
      </c>
      <c r="AE499" s="18">
        <f>IF($A499&gt;'1-Input'!$B$26,0,(MAX(0,AD451-IF($A499&gt;=('1-Input'!$C$12+1),'1-Input'!$B$12,0))-MIN(MAX(AH498,0),MAX(0,AD451-IF($A499&gt;=('1-Input'!$C$12+1),'1-Input'!$B$12,0))))*(1/(1-'P-Parametri'!$B$6*AD499))+MIN(MAX(0,AI498-(MAX(0,AD451-IF($A499&gt;=('1-Input'!$C$12+1),'1-Input'!$B$12,0))-MIN(MAX(AH498,0),MAX(0,AD451-IF($A499&gt;=('1-Input'!$C$12+1),'1-Input'!$B$12,0))))*(1/(1-'P-Parametri'!$B$6*AD499))),MAX(0,0*AD451-(AH498-MIN(MAX(AH498,0),MAX(0,AD451-IF($A499&gt;=('1-Input'!$C$12+1),'1-Input'!$B$12,0)))))*(1/(1-'P-Parametri'!$B$6*AD499))))</f>
        <v>0</v>
      </c>
      <c r="AF499" s="18">
        <f>IF($A499&gt;'1-Input'!$B$26,AH498,(AH498-MAX(0,AD451-IF($A499&gt;=('1-Input'!$C$12+1),'1-Input'!$B$12,0))+AE499*(1-'P-Parametri'!$B$6*AD499))*(1+'1-Input'!$B$27))</f>
        <v>0</v>
      </c>
      <c r="AG499" s="18">
        <f>IF($A499&gt;'1-Input'!$B$26,AI498,(AI498-AE499)*(1+'5-Roberta'!$C$4))</f>
        <v>-74.02366831232186</v>
      </c>
      <c r="AH499" s="18">
        <f>IF($A499&gt;'1-Input'!$B$26,AF499,AF499-'P-Parametri'!$B$8*(AG499+AF499)+MIN(MAX(AG499,0),'P-Parametri'!$B$8*(AG499+AF499)))</f>
        <v>0</v>
      </c>
      <c r="AI499" s="18">
        <f>IF($A499&gt;'1-Input'!$B$26,AG499,AG499-MIN(MAX(AG499,0),'P-Parametri'!$B$8*(AG499+AF499)))</f>
        <v>-74.02366831232186</v>
      </c>
      <c r="AJ499" s="18">
        <f>IF($A499&gt;'1-Input'!$B$26,AJ498,AJ498-AE499*(1-AD499))</f>
        <v>-16.785707467884549</v>
      </c>
      <c r="AK499" s="11">
        <f>IF($A499&gt;'1-Input'!$B$26,0,IF(AP498&lt;=0,0,MAX(0,(AP498-AQ498)/AP498)))</f>
        <v>0</v>
      </c>
      <c r="AL499" s="18">
        <f>IF($A499&gt;'1-Input'!$B$26,0,(MAX(0,AK451-IF($A499&gt;=('1-Input'!$C$12+1),'1-Input'!$B$12,0))-MIN(MAX(AO498,0),MAX(0,AK451-IF($A499&gt;=('1-Input'!$C$12+1),'1-Input'!$B$12,0))))*(1/(1-'P-Parametri'!$B$6*AK499))+MIN(MAX(0,AP498-(MAX(0,AK451-IF($A499&gt;=('1-Input'!$C$12+1),'1-Input'!$B$12,0))-MIN(MAX(AO498,0),MAX(0,AK451-IF($A499&gt;=('1-Input'!$C$12+1),'1-Input'!$B$12,0))))*(1/(1-'P-Parametri'!$B$6*AK499))),MAX(0,0*AK451-(AO498-MIN(MAX(AO498,0),MAX(0,AK451-IF($A499&gt;=('1-Input'!$C$12+1),'1-Input'!$B$12,0)))))*(1/(1-'P-Parametri'!$B$6*AK499))))</f>
        <v>0</v>
      </c>
      <c r="AM499" s="18">
        <f>IF($A499&gt;'1-Input'!$B$26,AO498,(AO498-MAX(0,AK451-IF($A499&gt;=('1-Input'!$C$12+1),'1-Input'!$B$12,0))+AL499*(1-'P-Parametri'!$B$6*AK499))*(1+'1-Input'!$B$27))</f>
        <v>-9.0622052084654565E-13</v>
      </c>
      <c r="AN499" s="18">
        <f>IF($A499&gt;'1-Input'!$B$26,AP498,(AP498-AL499)*(1+'5-Roberta'!$C$4))</f>
        <v>1.6267545361188241E-10</v>
      </c>
      <c r="AO499" s="18">
        <f>IF($A499&gt;'1-Input'!$B$26,AM499,AM499-'P-Parametri'!$B$8*(AN499+AM499)+MIN(MAX(AN499,0),'P-Parametri'!$B$8*(AN499+AM499)))</f>
        <v>-9.0622052084654565E-13</v>
      </c>
      <c r="AP499" s="18">
        <f>IF($A499&gt;'1-Input'!$B$26,AN499,AN499-MIN(MAX(AN499,0),'P-Parametri'!$B$8*(AN499+AM499)))</f>
        <v>1.6267545361188241E-10</v>
      </c>
      <c r="AQ499" s="18">
        <f>IF($A499&gt;'1-Input'!$B$26,AQ498,AQ498-AL499*(1-AK499))</f>
        <v>3.637978807091713E-11</v>
      </c>
    </row>
    <row r="500" spans="1:43">
      <c r="A500" s="10">
        <f>47</f>
        <v>47</v>
      </c>
      <c r="B500" s="11">
        <f>IF($A500&gt;'1-Input'!$B$26,0,IF(G499&lt;=0,0,MAX(0,(G499-H499)/G499)))</f>
        <v>0</v>
      </c>
      <c r="C500" s="18">
        <f>IF($A500&gt;'1-Input'!$B$26,0,(MAX(0,B451-IF($A500&gt;=('1-Input'!$C$12+1),'1-Input'!$B$12,0))-MIN(MAX(F499,0),MAX(0,B451-IF($A500&gt;=('1-Input'!$C$12+1),'1-Input'!$B$12,0))))*(1/(1-'P-Parametri'!$B$6*B500))+MIN(MAX(0,G499-(MAX(0,B451-IF($A500&gt;=('1-Input'!$C$12+1),'1-Input'!$B$12,0))-MIN(MAX(F499,0),MAX(0,B451-IF($A500&gt;=('1-Input'!$C$12+1),'1-Input'!$B$12,0))))*(1/(1-'P-Parametri'!$B$6*B500))),MAX(0,0*B451-(F499-MIN(MAX(F499,0),MAX(0,B451-IF($A500&gt;=('1-Input'!$C$12+1),'1-Input'!$B$12,0)))))*(1/(1-'P-Parametri'!$B$6*B500))))</f>
        <v>0</v>
      </c>
      <c r="D500" s="18">
        <f>IF($A500&gt;'1-Input'!$B$26,F499,(F499-MAX(0,B451-IF($A500&gt;=('1-Input'!$C$12+1),'1-Input'!$B$12,0))+C500*(1-'P-Parametri'!$B$6*B500))*(1+'1-Input'!$B$27))</f>
        <v>0</v>
      </c>
      <c r="E500" s="18">
        <f>IF($A500&gt;'1-Input'!$B$26,G499,(G499-C500)*(1+'5-Roberta'!$C$4))</f>
        <v>199808.67853541271</v>
      </c>
      <c r="F500" s="18">
        <f>IF($A500&gt;'1-Input'!$B$26,D500,D500-'P-Parametri'!$B$8*(E500+D500)+MIN(MAX(E500,0),'P-Parametri'!$B$8*(E500+D500)))</f>
        <v>0</v>
      </c>
      <c r="G500" s="18">
        <f>IF($A500&gt;'1-Input'!$B$26,E500,E500-MIN(MAX(E500,0),'P-Parametri'!$B$8*(E500+D500)))</f>
        <v>199808.67853541271</v>
      </c>
      <c r="H500" s="18">
        <f>IF($A500&gt;'1-Input'!$B$26,H499,H499-C500*(1-B500))</f>
        <v>45308.887061488589</v>
      </c>
      <c r="I500" s="11">
        <f>IF($A500&gt;'1-Input'!$B$26,0,IF(N499&lt;=0,0,MAX(0,(N499-O499)/N499)))</f>
        <v>0</v>
      </c>
      <c r="J500" s="18">
        <f>IF($A500&gt;'1-Input'!$B$26,0,(MAX(0,I451-IF($A500&gt;=('1-Input'!$C$12+1),'1-Input'!$B$12,0))-MIN(MAX(M499,0),MAX(0,I451-IF($A500&gt;=('1-Input'!$C$12+1),'1-Input'!$B$12,0))))*(1/(1-'P-Parametri'!$B$6*I500))+MIN(MAX(0,N499-(MAX(0,I451-IF($A500&gt;=('1-Input'!$C$12+1),'1-Input'!$B$12,0))-MIN(MAX(M499,0),MAX(0,I451-IF($A500&gt;=('1-Input'!$C$12+1),'1-Input'!$B$12,0))))*(1/(1-'P-Parametri'!$B$6*I500))),MAX(0,0*I451-(M499-MIN(MAX(M499,0),MAX(0,I451-IF($A500&gt;=('1-Input'!$C$12+1),'1-Input'!$B$12,0)))))*(1/(1-'P-Parametri'!$B$6*I500))))</f>
        <v>0</v>
      </c>
      <c r="K500" s="18">
        <f>IF($A500&gt;'1-Input'!$B$26,M499,(M499-MAX(0,I451-IF($A500&gt;=('1-Input'!$C$12+1),'1-Input'!$B$12,0))+J500*(1-'P-Parametri'!$B$6*I500))*(1+'1-Input'!$B$27))</f>
        <v>-1.8189894035458565E-12</v>
      </c>
      <c r="L500" s="18">
        <f>IF($A500&gt;'1-Input'!$B$26,N499,(N499-J500)*(1+'5-Roberta'!$C$4))</f>
        <v>-286354.14684033347</v>
      </c>
      <c r="M500" s="18">
        <f>IF($A500&gt;'1-Input'!$B$26,K500,K500-'P-Parametri'!$B$8*(L500+K500)+MIN(MAX(L500,0),'P-Parametri'!$B$8*(L500+K500)))</f>
        <v>-1.8189894035458565E-12</v>
      </c>
      <c r="N500" s="18">
        <f>IF($A500&gt;'1-Input'!$B$26,L500,L500-MIN(MAX(L500,0),'P-Parametri'!$B$8*(L500+K500)))</f>
        <v>-286354.14684033347</v>
      </c>
      <c r="O500" s="18">
        <f>IF($A500&gt;'1-Input'!$B$26,O499,O499-J500*(1-I500))</f>
        <v>-208758.6072640823</v>
      </c>
      <c r="P500" s="11">
        <f>IF($A500&gt;'1-Input'!$B$26,0,IF(U499&lt;=0,0,MAX(0,(U499-V499)/U499)))</f>
        <v>0</v>
      </c>
      <c r="Q500" s="18">
        <f>IF($A500&gt;'1-Input'!$B$26,0,(MAX(0,P451-IF($A500&gt;=('1-Input'!$C$12+1),'1-Input'!$B$12,0))-MIN(MAX(T499,0),MAX(0,P451-IF($A500&gt;=('1-Input'!$C$12+1),'1-Input'!$B$12,0))))*(1/(1-'P-Parametri'!$B$6*P500))+MIN(MAX(0,U499-(MAX(0,P451-IF($A500&gt;=('1-Input'!$C$12+1),'1-Input'!$B$12,0))-MIN(MAX(T499,0),MAX(0,P451-IF($A500&gt;=('1-Input'!$C$12+1),'1-Input'!$B$12,0))))*(1/(1-'P-Parametri'!$B$6*P500))),MAX(0,0*P451-(T499-MIN(MAX(T499,0),MAX(0,P451-IF($A500&gt;=('1-Input'!$C$12+1),'1-Input'!$B$12,0)))))*(1/(1-'P-Parametri'!$B$6*P500))))</f>
        <v>0</v>
      </c>
      <c r="R500" s="18">
        <f>IF($A500&gt;'1-Input'!$B$26,T499,(T499-MAX(0,P451-IF($A500&gt;=('1-Input'!$C$12+1),'1-Input'!$B$12,0))+Q500*(1-'P-Parametri'!$B$6*P500))*(1+'1-Input'!$B$27))</f>
        <v>0</v>
      </c>
      <c r="S500" s="18">
        <f>IF($A500&gt;'1-Input'!$B$26,U499,(U499-Q500)*(1+'5-Roberta'!$C$4))</f>
        <v>-20745.727383434623</v>
      </c>
      <c r="T500" s="18">
        <f>IF($A500&gt;'1-Input'!$B$26,R500,R500-'P-Parametri'!$B$8*(S500+R500)+MIN(MAX(S500,0),'P-Parametri'!$B$8*(S500+R500)))</f>
        <v>0</v>
      </c>
      <c r="U500" s="18">
        <f>IF($A500&gt;'1-Input'!$B$26,S500,S500-MIN(MAX(S500,0),'P-Parametri'!$B$8*(S500+R500)))</f>
        <v>-20745.727383434623</v>
      </c>
      <c r="V500" s="18">
        <f>IF($A500&gt;'1-Input'!$B$26,V499,V499-Q500*(1-P500))</f>
        <v>-16531.740334371883</v>
      </c>
      <c r="W500" s="11">
        <f>IF($A500&gt;'1-Input'!$B$26,0,IF(AB499&lt;=0,0,MAX(0,(AB499-AC499)/AB499)))</f>
        <v>0</v>
      </c>
      <c r="X500" s="18">
        <f>IF($A500&gt;'1-Input'!$B$26,0,(MAX(0,W451-IF($A500&gt;=('1-Input'!$C$12+1),'1-Input'!$B$12,0))-MIN(MAX(AA499,0),MAX(0,W451-IF($A500&gt;=('1-Input'!$C$12+1),'1-Input'!$B$12,0))))*(1/(1-'P-Parametri'!$B$6*W500))+MIN(MAX(0,AB499-(MAX(0,W451-IF($A500&gt;=('1-Input'!$C$12+1),'1-Input'!$B$12,0))-MIN(MAX(AA499,0),MAX(0,W451-IF($A500&gt;=('1-Input'!$C$12+1),'1-Input'!$B$12,0))))*(1/(1-'P-Parametri'!$B$6*W500))),MAX(0,0*W451-(AA499-MIN(MAX(AA499,0),MAX(0,W451-IF($A500&gt;=('1-Input'!$C$12+1),'1-Input'!$B$12,0)))))*(1/(1-'P-Parametri'!$B$6*W500))))</f>
        <v>0</v>
      </c>
      <c r="Y500" s="18">
        <f>IF($A500&gt;'1-Input'!$B$26,AA499,(AA499-MAX(0,W451-IF($A500&gt;=('1-Input'!$C$12+1),'1-Input'!$B$12,0))+X500*(1-'P-Parametri'!$B$6*W500))*(1+'1-Input'!$B$27))</f>
        <v>0</v>
      </c>
      <c r="Z500" s="18">
        <f>IF($A500&gt;'1-Input'!$B$26,AB499,(AB499-X500)*(1+'5-Roberta'!$C$4))</f>
        <v>391.25925259850601</v>
      </c>
      <c r="AA500" s="18">
        <f>IF($A500&gt;'1-Input'!$B$26,Y500,Y500-'P-Parametri'!$B$8*(Z500+Y500)+MIN(MAX(Z500,0),'P-Parametri'!$B$8*(Z500+Y500)))</f>
        <v>0</v>
      </c>
      <c r="AB500" s="18">
        <f>IF($A500&gt;'1-Input'!$B$26,Z500,Z500-MIN(MAX(Z500,0),'P-Parametri'!$B$8*(Z500+Y500)))</f>
        <v>391.25925259850601</v>
      </c>
      <c r="AC500" s="18">
        <f>IF($A500&gt;'1-Input'!$B$26,AC499,AC499-X500*(1-W500))</f>
        <v>88.722479011873475</v>
      </c>
      <c r="AD500" s="11">
        <f>IF($A500&gt;'1-Input'!$B$26,0,IF(AI499&lt;=0,0,MAX(0,(AI499-AJ499)/AI499)))</f>
        <v>0</v>
      </c>
      <c r="AE500" s="18">
        <f>IF($A500&gt;'1-Input'!$B$26,0,(MAX(0,AD451-IF($A500&gt;=('1-Input'!$C$12+1),'1-Input'!$B$12,0))-MIN(MAX(AH499,0),MAX(0,AD451-IF($A500&gt;=('1-Input'!$C$12+1),'1-Input'!$B$12,0))))*(1/(1-'P-Parametri'!$B$6*AD500))+MIN(MAX(0,AI499-(MAX(0,AD451-IF($A500&gt;=('1-Input'!$C$12+1),'1-Input'!$B$12,0))-MIN(MAX(AH499,0),MAX(0,AD451-IF($A500&gt;=('1-Input'!$C$12+1),'1-Input'!$B$12,0))))*(1/(1-'P-Parametri'!$B$6*AD500))),MAX(0,0*AD451-(AH499-MIN(MAX(AH499,0),MAX(0,AD451-IF($A500&gt;=('1-Input'!$C$12+1),'1-Input'!$B$12,0)))))*(1/(1-'P-Parametri'!$B$6*AD500))))</f>
        <v>0</v>
      </c>
      <c r="AF500" s="18">
        <f>IF($A500&gt;'1-Input'!$B$26,AH499,(AH499-MAX(0,AD451-IF($A500&gt;=('1-Input'!$C$12+1),'1-Input'!$B$12,0))+AE500*(1-'P-Parametri'!$B$6*AD500))*(1+'1-Input'!$B$27))</f>
        <v>0</v>
      </c>
      <c r="AG500" s="18">
        <f>IF($A500&gt;'1-Input'!$B$26,AI499,(AI499-AE500)*(1+'5-Roberta'!$C$4))</f>
        <v>-74.02366831232186</v>
      </c>
      <c r="AH500" s="18">
        <f>IF($A500&gt;'1-Input'!$B$26,AF500,AF500-'P-Parametri'!$B$8*(AG500+AF500)+MIN(MAX(AG500,0),'P-Parametri'!$B$8*(AG500+AF500)))</f>
        <v>0</v>
      </c>
      <c r="AI500" s="18">
        <f>IF($A500&gt;'1-Input'!$B$26,AG500,AG500-MIN(MAX(AG500,0),'P-Parametri'!$B$8*(AG500+AF500)))</f>
        <v>-74.02366831232186</v>
      </c>
      <c r="AJ500" s="18">
        <f>IF($A500&gt;'1-Input'!$B$26,AJ499,AJ499-AE500*(1-AD500))</f>
        <v>-16.785707467884549</v>
      </c>
      <c r="AK500" s="11">
        <f>IF($A500&gt;'1-Input'!$B$26,0,IF(AP499&lt;=0,0,MAX(0,(AP499-AQ499)/AP499)))</f>
        <v>0</v>
      </c>
      <c r="AL500" s="18">
        <f>IF($A500&gt;'1-Input'!$B$26,0,(MAX(0,AK451-IF($A500&gt;=('1-Input'!$C$12+1),'1-Input'!$B$12,0))-MIN(MAX(AO499,0),MAX(0,AK451-IF($A500&gt;=('1-Input'!$C$12+1),'1-Input'!$B$12,0))))*(1/(1-'P-Parametri'!$B$6*AK500))+MIN(MAX(0,AP499-(MAX(0,AK451-IF($A500&gt;=('1-Input'!$C$12+1),'1-Input'!$B$12,0))-MIN(MAX(AO499,0),MAX(0,AK451-IF($A500&gt;=('1-Input'!$C$12+1),'1-Input'!$B$12,0))))*(1/(1-'P-Parametri'!$B$6*AK500))),MAX(0,0*AK451-(AO499-MIN(MAX(AO499,0),MAX(0,AK451-IF($A500&gt;=('1-Input'!$C$12+1),'1-Input'!$B$12,0)))))*(1/(1-'P-Parametri'!$B$6*AK500))))</f>
        <v>0</v>
      </c>
      <c r="AM500" s="18">
        <f>IF($A500&gt;'1-Input'!$B$26,AO499,(AO499-MAX(0,AK451-IF($A500&gt;=('1-Input'!$C$12+1),'1-Input'!$B$12,0))+AL500*(1-'P-Parametri'!$B$6*AK500))*(1+'1-Input'!$B$27))</f>
        <v>-9.0622052084654565E-13</v>
      </c>
      <c r="AN500" s="18">
        <f>IF($A500&gt;'1-Input'!$B$26,AP499,(AP499-AL500)*(1+'5-Roberta'!$C$4))</f>
        <v>1.6267545361188241E-10</v>
      </c>
      <c r="AO500" s="18">
        <f>IF($A500&gt;'1-Input'!$B$26,AM500,AM500-'P-Parametri'!$B$8*(AN500+AM500)+MIN(MAX(AN500,0),'P-Parametri'!$B$8*(AN500+AM500)))</f>
        <v>-9.0622052084654565E-13</v>
      </c>
      <c r="AP500" s="18">
        <f>IF($A500&gt;'1-Input'!$B$26,AN500,AN500-MIN(MAX(AN500,0),'P-Parametri'!$B$8*(AN500+AM500)))</f>
        <v>1.6267545361188241E-10</v>
      </c>
      <c r="AQ500" s="18">
        <f>IF($A500&gt;'1-Input'!$B$26,AQ499,AQ499-AL500*(1-AK500))</f>
        <v>3.637978807091713E-11</v>
      </c>
    </row>
    <row r="501" spans="1:43">
      <c r="A501" s="10">
        <f>48</f>
        <v>48</v>
      </c>
      <c r="B501" s="11">
        <f>IF($A501&gt;'1-Input'!$B$26,0,IF(G500&lt;=0,0,MAX(0,(G500-H500)/G500)))</f>
        <v>0</v>
      </c>
      <c r="C501" s="18">
        <f>IF($A501&gt;'1-Input'!$B$26,0,(MAX(0,B451-IF($A501&gt;=('1-Input'!$C$12+1),'1-Input'!$B$12,0))-MIN(MAX(F500,0),MAX(0,B451-IF($A501&gt;=('1-Input'!$C$12+1),'1-Input'!$B$12,0))))*(1/(1-'P-Parametri'!$B$6*B501))+MIN(MAX(0,G500-(MAX(0,B451-IF($A501&gt;=('1-Input'!$C$12+1),'1-Input'!$B$12,0))-MIN(MAX(F500,0),MAX(0,B451-IF($A501&gt;=('1-Input'!$C$12+1),'1-Input'!$B$12,0))))*(1/(1-'P-Parametri'!$B$6*B501))),MAX(0,0*B451-(F500-MIN(MAX(F500,0),MAX(0,B451-IF($A501&gt;=('1-Input'!$C$12+1),'1-Input'!$B$12,0)))))*(1/(1-'P-Parametri'!$B$6*B501))))</f>
        <v>0</v>
      </c>
      <c r="D501" s="18">
        <f>IF($A501&gt;'1-Input'!$B$26,F500,(F500-MAX(0,B451-IF($A501&gt;=('1-Input'!$C$12+1),'1-Input'!$B$12,0))+C501*(1-'P-Parametri'!$B$6*B501))*(1+'1-Input'!$B$27))</f>
        <v>0</v>
      </c>
      <c r="E501" s="18">
        <f>IF($A501&gt;'1-Input'!$B$26,G500,(G500-C501)*(1+'5-Roberta'!$C$4))</f>
        <v>199808.67853541271</v>
      </c>
      <c r="F501" s="18">
        <f>IF($A501&gt;'1-Input'!$B$26,D501,D501-'P-Parametri'!$B$8*(E501+D501)+MIN(MAX(E501,0),'P-Parametri'!$B$8*(E501+D501)))</f>
        <v>0</v>
      </c>
      <c r="G501" s="18">
        <f>IF($A501&gt;'1-Input'!$B$26,E501,E501-MIN(MAX(E501,0),'P-Parametri'!$B$8*(E501+D501)))</f>
        <v>199808.67853541271</v>
      </c>
      <c r="H501" s="18">
        <f>IF($A501&gt;'1-Input'!$B$26,H500,H500-C501*(1-B501))</f>
        <v>45308.887061488589</v>
      </c>
      <c r="I501" s="11">
        <f>IF($A501&gt;'1-Input'!$B$26,0,IF(N500&lt;=0,0,MAX(0,(N500-O500)/N500)))</f>
        <v>0</v>
      </c>
      <c r="J501" s="18">
        <f>IF($A501&gt;'1-Input'!$B$26,0,(MAX(0,I451-IF($A501&gt;=('1-Input'!$C$12+1),'1-Input'!$B$12,0))-MIN(MAX(M500,0),MAX(0,I451-IF($A501&gt;=('1-Input'!$C$12+1),'1-Input'!$B$12,0))))*(1/(1-'P-Parametri'!$B$6*I501))+MIN(MAX(0,N500-(MAX(0,I451-IF($A501&gt;=('1-Input'!$C$12+1),'1-Input'!$B$12,0))-MIN(MAX(M500,0),MAX(0,I451-IF($A501&gt;=('1-Input'!$C$12+1),'1-Input'!$B$12,0))))*(1/(1-'P-Parametri'!$B$6*I501))),MAX(0,0*I451-(M500-MIN(MAX(M500,0),MAX(0,I451-IF($A501&gt;=('1-Input'!$C$12+1),'1-Input'!$B$12,0)))))*(1/(1-'P-Parametri'!$B$6*I501))))</f>
        <v>0</v>
      </c>
      <c r="K501" s="18">
        <f>IF($A501&gt;'1-Input'!$B$26,M500,(M500-MAX(0,I451-IF($A501&gt;=('1-Input'!$C$12+1),'1-Input'!$B$12,0))+J501*(1-'P-Parametri'!$B$6*I501))*(1+'1-Input'!$B$27))</f>
        <v>-1.8189894035458565E-12</v>
      </c>
      <c r="L501" s="18">
        <f>IF($A501&gt;'1-Input'!$B$26,N500,(N500-J501)*(1+'5-Roberta'!$C$4))</f>
        <v>-286354.14684033347</v>
      </c>
      <c r="M501" s="18">
        <f>IF($A501&gt;'1-Input'!$B$26,K501,K501-'P-Parametri'!$B$8*(L501+K501)+MIN(MAX(L501,0),'P-Parametri'!$B$8*(L501+K501)))</f>
        <v>-1.8189894035458565E-12</v>
      </c>
      <c r="N501" s="18">
        <f>IF($A501&gt;'1-Input'!$B$26,L501,L501-MIN(MAX(L501,0),'P-Parametri'!$B$8*(L501+K501)))</f>
        <v>-286354.14684033347</v>
      </c>
      <c r="O501" s="18">
        <f>IF($A501&gt;'1-Input'!$B$26,O500,O500-J501*(1-I501))</f>
        <v>-208758.6072640823</v>
      </c>
      <c r="P501" s="11">
        <f>IF($A501&gt;'1-Input'!$B$26,0,IF(U500&lt;=0,0,MAX(0,(U500-V500)/U500)))</f>
        <v>0</v>
      </c>
      <c r="Q501" s="18">
        <f>IF($A501&gt;'1-Input'!$B$26,0,(MAX(0,P451-IF($A501&gt;=('1-Input'!$C$12+1),'1-Input'!$B$12,0))-MIN(MAX(T500,0),MAX(0,P451-IF($A501&gt;=('1-Input'!$C$12+1),'1-Input'!$B$12,0))))*(1/(1-'P-Parametri'!$B$6*P501))+MIN(MAX(0,U500-(MAX(0,P451-IF($A501&gt;=('1-Input'!$C$12+1),'1-Input'!$B$12,0))-MIN(MAX(T500,0),MAX(0,P451-IF($A501&gt;=('1-Input'!$C$12+1),'1-Input'!$B$12,0))))*(1/(1-'P-Parametri'!$B$6*P501))),MAX(0,0*P451-(T500-MIN(MAX(T500,0),MAX(0,P451-IF($A501&gt;=('1-Input'!$C$12+1),'1-Input'!$B$12,0)))))*(1/(1-'P-Parametri'!$B$6*P501))))</f>
        <v>0</v>
      </c>
      <c r="R501" s="18">
        <f>IF($A501&gt;'1-Input'!$B$26,T500,(T500-MAX(0,P451-IF($A501&gt;=('1-Input'!$C$12+1),'1-Input'!$B$12,0))+Q501*(1-'P-Parametri'!$B$6*P501))*(1+'1-Input'!$B$27))</f>
        <v>0</v>
      </c>
      <c r="S501" s="18">
        <f>IF($A501&gt;'1-Input'!$B$26,U500,(U500-Q501)*(1+'5-Roberta'!$C$4))</f>
        <v>-20745.727383434623</v>
      </c>
      <c r="T501" s="18">
        <f>IF($A501&gt;'1-Input'!$B$26,R501,R501-'P-Parametri'!$B$8*(S501+R501)+MIN(MAX(S501,0),'P-Parametri'!$B$8*(S501+R501)))</f>
        <v>0</v>
      </c>
      <c r="U501" s="18">
        <f>IF($A501&gt;'1-Input'!$B$26,S501,S501-MIN(MAX(S501,0),'P-Parametri'!$B$8*(S501+R501)))</f>
        <v>-20745.727383434623</v>
      </c>
      <c r="V501" s="18">
        <f>IF($A501&gt;'1-Input'!$B$26,V500,V500-Q501*(1-P501))</f>
        <v>-16531.740334371883</v>
      </c>
      <c r="W501" s="11">
        <f>IF($A501&gt;'1-Input'!$B$26,0,IF(AB500&lt;=0,0,MAX(0,(AB500-AC500)/AB500)))</f>
        <v>0</v>
      </c>
      <c r="X501" s="18">
        <f>IF($A501&gt;'1-Input'!$B$26,0,(MAX(0,W451-IF($A501&gt;=('1-Input'!$C$12+1),'1-Input'!$B$12,0))-MIN(MAX(AA500,0),MAX(0,W451-IF($A501&gt;=('1-Input'!$C$12+1),'1-Input'!$B$12,0))))*(1/(1-'P-Parametri'!$B$6*W501))+MIN(MAX(0,AB500-(MAX(0,W451-IF($A501&gt;=('1-Input'!$C$12+1),'1-Input'!$B$12,0))-MIN(MAX(AA500,0),MAX(0,W451-IF($A501&gt;=('1-Input'!$C$12+1),'1-Input'!$B$12,0))))*(1/(1-'P-Parametri'!$B$6*W501))),MAX(0,0*W451-(AA500-MIN(MAX(AA500,0),MAX(0,W451-IF($A501&gt;=('1-Input'!$C$12+1),'1-Input'!$B$12,0)))))*(1/(1-'P-Parametri'!$B$6*W501))))</f>
        <v>0</v>
      </c>
      <c r="Y501" s="18">
        <f>IF($A501&gt;'1-Input'!$B$26,AA500,(AA500-MAX(0,W451-IF($A501&gt;=('1-Input'!$C$12+1),'1-Input'!$B$12,0))+X501*(1-'P-Parametri'!$B$6*W501))*(1+'1-Input'!$B$27))</f>
        <v>0</v>
      </c>
      <c r="Z501" s="18">
        <f>IF($A501&gt;'1-Input'!$B$26,AB500,(AB500-X501)*(1+'5-Roberta'!$C$4))</f>
        <v>391.25925259850601</v>
      </c>
      <c r="AA501" s="18">
        <f>IF($A501&gt;'1-Input'!$B$26,Y501,Y501-'P-Parametri'!$B$8*(Z501+Y501)+MIN(MAX(Z501,0),'P-Parametri'!$B$8*(Z501+Y501)))</f>
        <v>0</v>
      </c>
      <c r="AB501" s="18">
        <f>IF($A501&gt;'1-Input'!$B$26,Z501,Z501-MIN(MAX(Z501,0),'P-Parametri'!$B$8*(Z501+Y501)))</f>
        <v>391.25925259850601</v>
      </c>
      <c r="AC501" s="18">
        <f>IF($A501&gt;'1-Input'!$B$26,AC500,AC500-X501*(1-W501))</f>
        <v>88.722479011873475</v>
      </c>
      <c r="AD501" s="11">
        <f>IF($A501&gt;'1-Input'!$B$26,0,IF(AI500&lt;=0,0,MAX(0,(AI500-AJ500)/AI500)))</f>
        <v>0</v>
      </c>
      <c r="AE501" s="18">
        <f>IF($A501&gt;'1-Input'!$B$26,0,(MAX(0,AD451-IF($A501&gt;=('1-Input'!$C$12+1),'1-Input'!$B$12,0))-MIN(MAX(AH500,0),MAX(0,AD451-IF($A501&gt;=('1-Input'!$C$12+1),'1-Input'!$B$12,0))))*(1/(1-'P-Parametri'!$B$6*AD501))+MIN(MAX(0,AI500-(MAX(0,AD451-IF($A501&gt;=('1-Input'!$C$12+1),'1-Input'!$B$12,0))-MIN(MAX(AH500,0),MAX(0,AD451-IF($A501&gt;=('1-Input'!$C$12+1),'1-Input'!$B$12,0))))*(1/(1-'P-Parametri'!$B$6*AD501))),MAX(0,0*AD451-(AH500-MIN(MAX(AH500,0),MAX(0,AD451-IF($A501&gt;=('1-Input'!$C$12+1),'1-Input'!$B$12,0)))))*(1/(1-'P-Parametri'!$B$6*AD501))))</f>
        <v>0</v>
      </c>
      <c r="AF501" s="18">
        <f>IF($A501&gt;'1-Input'!$B$26,AH500,(AH500-MAX(0,AD451-IF($A501&gt;=('1-Input'!$C$12+1),'1-Input'!$B$12,0))+AE501*(1-'P-Parametri'!$B$6*AD501))*(1+'1-Input'!$B$27))</f>
        <v>0</v>
      </c>
      <c r="AG501" s="18">
        <f>IF($A501&gt;'1-Input'!$B$26,AI500,(AI500-AE501)*(1+'5-Roberta'!$C$4))</f>
        <v>-74.02366831232186</v>
      </c>
      <c r="AH501" s="18">
        <f>IF($A501&gt;'1-Input'!$B$26,AF501,AF501-'P-Parametri'!$B$8*(AG501+AF501)+MIN(MAX(AG501,0),'P-Parametri'!$B$8*(AG501+AF501)))</f>
        <v>0</v>
      </c>
      <c r="AI501" s="18">
        <f>IF($A501&gt;'1-Input'!$B$26,AG501,AG501-MIN(MAX(AG501,0),'P-Parametri'!$B$8*(AG501+AF501)))</f>
        <v>-74.02366831232186</v>
      </c>
      <c r="AJ501" s="18">
        <f>IF($A501&gt;'1-Input'!$B$26,AJ500,AJ500-AE501*(1-AD501))</f>
        <v>-16.785707467884549</v>
      </c>
      <c r="AK501" s="11">
        <f>IF($A501&gt;'1-Input'!$B$26,0,IF(AP500&lt;=0,0,MAX(0,(AP500-AQ500)/AP500)))</f>
        <v>0</v>
      </c>
      <c r="AL501" s="18">
        <f>IF($A501&gt;'1-Input'!$B$26,0,(MAX(0,AK451-IF($A501&gt;=('1-Input'!$C$12+1),'1-Input'!$B$12,0))-MIN(MAX(AO500,0),MAX(0,AK451-IF($A501&gt;=('1-Input'!$C$12+1),'1-Input'!$B$12,0))))*(1/(1-'P-Parametri'!$B$6*AK501))+MIN(MAX(0,AP500-(MAX(0,AK451-IF($A501&gt;=('1-Input'!$C$12+1),'1-Input'!$B$12,0))-MIN(MAX(AO500,0),MAX(0,AK451-IF($A501&gt;=('1-Input'!$C$12+1),'1-Input'!$B$12,0))))*(1/(1-'P-Parametri'!$B$6*AK501))),MAX(0,0*AK451-(AO500-MIN(MAX(AO500,0),MAX(0,AK451-IF($A501&gt;=('1-Input'!$C$12+1),'1-Input'!$B$12,0)))))*(1/(1-'P-Parametri'!$B$6*AK501))))</f>
        <v>0</v>
      </c>
      <c r="AM501" s="18">
        <f>IF($A501&gt;'1-Input'!$B$26,AO500,(AO500-MAX(0,AK451-IF($A501&gt;=('1-Input'!$C$12+1),'1-Input'!$B$12,0))+AL501*(1-'P-Parametri'!$B$6*AK501))*(1+'1-Input'!$B$27))</f>
        <v>-9.0622052084654565E-13</v>
      </c>
      <c r="AN501" s="18">
        <f>IF($A501&gt;'1-Input'!$B$26,AP500,(AP500-AL501)*(1+'5-Roberta'!$C$4))</f>
        <v>1.6267545361188241E-10</v>
      </c>
      <c r="AO501" s="18">
        <f>IF($A501&gt;'1-Input'!$B$26,AM501,AM501-'P-Parametri'!$B$8*(AN501+AM501)+MIN(MAX(AN501,0),'P-Parametri'!$B$8*(AN501+AM501)))</f>
        <v>-9.0622052084654565E-13</v>
      </c>
      <c r="AP501" s="18">
        <f>IF($A501&gt;'1-Input'!$B$26,AN501,AN501-MIN(MAX(AN501,0),'P-Parametri'!$B$8*(AN501+AM501)))</f>
        <v>1.6267545361188241E-10</v>
      </c>
      <c r="AQ501" s="18">
        <f>IF($A501&gt;'1-Input'!$B$26,AQ500,AQ500-AL501*(1-AK501))</f>
        <v>3.637978807091713E-11</v>
      </c>
    </row>
    <row r="502" spans="1:43">
      <c r="A502" s="4" t="s">
        <v>365</v>
      </c>
      <c r="B502" s="18">
        <f>F501+G501</f>
        <v>199808.67853541271</v>
      </c>
      <c r="I502" s="18">
        <f>M501+N501</f>
        <v>-286354.14684033347</v>
      </c>
      <c r="P502" s="18">
        <f>T501+U501</f>
        <v>-20745.727383434623</v>
      </c>
      <c r="W502" s="18">
        <f>AA501+AB501</f>
        <v>391.25925259850601</v>
      </c>
      <c r="AD502" s="18">
        <f>AH501+AI501</f>
        <v>-74.02366831232186</v>
      </c>
      <c r="AK502" s="18">
        <f>AO501+AP501</f>
        <v>1.6176923309103587E-10</v>
      </c>
    </row>
    <row r="503" spans="1:43">
      <c r="A503" s="5" t="s">
        <v>266</v>
      </c>
      <c r="B503" s="18">
        <f>IFERROR(AK451-AK502*(AK451-AD451)/(AK502-AD502),AK451)</f>
        <v>18607.464387258737</v>
      </c>
    </row>
    <row r="505" spans="1:43">
      <c r="A505" s="2" t="s">
        <v>418</v>
      </c>
    </row>
    <row r="506" spans="1:43">
      <c r="A506" s="4" t="s">
        <v>360</v>
      </c>
      <c r="B506" s="9">
        <f>0.038*'2-Caso'!$B$12</f>
        <v>16681.055314625803</v>
      </c>
      <c r="I506" s="9">
        <f>0.05*'2-Caso'!$B$12</f>
        <v>21948.756992928691</v>
      </c>
      <c r="P506" s="18">
        <f>IFERROR(I506-I557*(I506-B506)/(I557-B557),I506)</f>
        <v>17880.012610173715</v>
      </c>
      <c r="W506" s="18">
        <f>IFERROR(P506-P557*(P506-I506)/(P557-I557),P506)</f>
        <v>17731.608984656265</v>
      </c>
      <c r="AD506" s="18">
        <f>IFERROR(W506-W557*(W506-P506)/(W557-P557),W506)</f>
        <v>17719.792392939602</v>
      </c>
      <c r="AK506" s="18">
        <f>IFERROR(AD506-AD557*(AD506-W506)/(AD557-W557),AD506)</f>
        <v>17719.80230118184</v>
      </c>
    </row>
    <row r="507" spans="1:43" ht="45">
      <c r="A507" s="25" t="s">
        <v>262</v>
      </c>
      <c r="B507" s="25" t="s">
        <v>361</v>
      </c>
      <c r="C507" s="25" t="s">
        <v>263</v>
      </c>
      <c r="D507" s="25" t="s">
        <v>362</v>
      </c>
      <c r="E507" s="25" t="s">
        <v>363</v>
      </c>
      <c r="F507" s="25" t="s">
        <v>264</v>
      </c>
      <c r="G507" s="25" t="s">
        <v>265</v>
      </c>
      <c r="H507" s="25" t="s">
        <v>364</v>
      </c>
      <c r="I507" s="25" t="s">
        <v>361</v>
      </c>
      <c r="J507" s="25" t="s">
        <v>263</v>
      </c>
      <c r="K507" s="25" t="s">
        <v>362</v>
      </c>
      <c r="L507" s="25" t="s">
        <v>363</v>
      </c>
      <c r="M507" s="25" t="s">
        <v>264</v>
      </c>
      <c r="N507" s="25" t="s">
        <v>265</v>
      </c>
      <c r="O507" s="25" t="s">
        <v>364</v>
      </c>
      <c r="P507" s="25" t="s">
        <v>361</v>
      </c>
      <c r="Q507" s="25" t="s">
        <v>263</v>
      </c>
      <c r="R507" s="25" t="s">
        <v>362</v>
      </c>
      <c r="S507" s="25" t="s">
        <v>363</v>
      </c>
      <c r="T507" s="25" t="s">
        <v>264</v>
      </c>
      <c r="U507" s="25" t="s">
        <v>265</v>
      </c>
      <c r="V507" s="25" t="s">
        <v>364</v>
      </c>
      <c r="W507" s="25" t="s">
        <v>361</v>
      </c>
      <c r="X507" s="25" t="s">
        <v>263</v>
      </c>
      <c r="Y507" s="25" t="s">
        <v>362</v>
      </c>
      <c r="Z507" s="25" t="s">
        <v>363</v>
      </c>
      <c r="AA507" s="25" t="s">
        <v>264</v>
      </c>
      <c r="AB507" s="25" t="s">
        <v>265</v>
      </c>
      <c r="AC507" s="25" t="s">
        <v>364</v>
      </c>
      <c r="AD507" s="25" t="s">
        <v>361</v>
      </c>
      <c r="AE507" s="25" t="s">
        <v>263</v>
      </c>
      <c r="AF507" s="25" t="s">
        <v>362</v>
      </c>
      <c r="AG507" s="25" t="s">
        <v>363</v>
      </c>
      <c r="AH507" s="25" t="s">
        <v>264</v>
      </c>
      <c r="AI507" s="25" t="s">
        <v>265</v>
      </c>
      <c r="AJ507" s="25" t="s">
        <v>364</v>
      </c>
      <c r="AK507" s="25" t="s">
        <v>361</v>
      </c>
      <c r="AL507" s="25" t="s">
        <v>263</v>
      </c>
      <c r="AM507" s="25" t="s">
        <v>362</v>
      </c>
      <c r="AN507" s="25" t="s">
        <v>363</v>
      </c>
      <c r="AO507" s="25" t="s">
        <v>264</v>
      </c>
      <c r="AP507" s="25" t="s">
        <v>265</v>
      </c>
      <c r="AQ507" s="25" t="s">
        <v>364</v>
      </c>
    </row>
    <row r="508" spans="1:43">
      <c r="A508" s="3">
        <v>0</v>
      </c>
      <c r="F508" s="18">
        <f>MIN(2*B506,'2-Caso'!$B$12)</f>
        <v>33362.110629251605</v>
      </c>
      <c r="G508" s="18">
        <f>'2-Caso'!$B$12-F508</f>
        <v>405613.02922932222</v>
      </c>
      <c r="H508" s="18">
        <f>'2-Caso'!$B$13*G508/'2-Caso'!$B$12</f>
        <v>317856</v>
      </c>
      <c r="M508" s="18">
        <f>MIN(2*I506,'2-Caso'!$B$12)</f>
        <v>43897.513985857382</v>
      </c>
      <c r="N508" s="18">
        <f>'2-Caso'!$B$12-M508</f>
        <v>395077.62587271642</v>
      </c>
      <c r="O508" s="18">
        <f>'2-Caso'!$B$13*N508/'2-Caso'!$B$12</f>
        <v>309600</v>
      </c>
      <c r="T508" s="18">
        <f>MIN(2*P506,'2-Caso'!$B$12)</f>
        <v>35760.02522034743</v>
      </c>
      <c r="U508" s="18">
        <f>'2-Caso'!$B$12-T508</f>
        <v>403215.11463822634</v>
      </c>
      <c r="V508" s="18">
        <f>'2-Caso'!$B$13*U508/'2-Caso'!$B$12</f>
        <v>315976.88989913481</v>
      </c>
      <c r="AA508" s="18">
        <f>MIN(2*W506,'2-Caso'!$B$12)</f>
        <v>35463.217969312529</v>
      </c>
      <c r="AB508" s="18">
        <f>'2-Caso'!$B$12-AA508</f>
        <v>403511.92188926128</v>
      </c>
      <c r="AC508" s="18">
        <f>'2-Caso'!$B$13*AB508/'2-Caso'!$B$12</f>
        <v>316209.48096201121</v>
      </c>
      <c r="AH508" s="18">
        <f>MIN(2*AD506,'2-Caso'!$B$12)</f>
        <v>35439.584785879204</v>
      </c>
      <c r="AI508" s="18">
        <f>'2-Caso'!$B$12-AH508</f>
        <v>403535.55507269461</v>
      </c>
      <c r="AJ508" s="18">
        <f>'2-Caso'!$B$13*AI508/'2-Caso'!$B$12</f>
        <v>316228.00095178484</v>
      </c>
      <c r="AO508" s="18">
        <f>MIN(2*AK506,'2-Caso'!$B$12)</f>
        <v>35439.604602363681</v>
      </c>
      <c r="AP508" s="18">
        <f>'2-Caso'!$B$12-AO508</f>
        <v>403535.53525621013</v>
      </c>
      <c r="AQ508" s="18">
        <f>'2-Caso'!$B$13*AP508/'2-Caso'!$B$12</f>
        <v>316227.98542272625</v>
      </c>
    </row>
    <row r="509" spans="1:43">
      <c r="A509" s="10">
        <f>1</f>
        <v>1</v>
      </c>
      <c r="B509" s="11">
        <f>IF($A509&gt;'1-Input'!$B$26,0,IF(G508&lt;=0,0,MAX(0,(G508-H508)/G508)))</f>
        <v>0.21635653419729486</v>
      </c>
      <c r="C509" s="18">
        <f>IF($A509&gt;'1-Input'!$B$26,0,(MAX(0,B506-IF($A509&gt;=('1-Input'!$C$12+1),'1-Input'!$B$12,0))-MIN(MAX(F508,0),MAX(0,B506-IF($A509&gt;=('1-Input'!$C$12+1),'1-Input'!$B$12,0))))*(1/(1-'P-Parametri'!$B$6*B509))+MIN(MAX(0,G508-(MAX(0,B506-IF($A509&gt;=('1-Input'!$C$12+1),'1-Input'!$B$12,0))-MIN(MAX(F508,0),MAX(0,B506-IF($A509&gt;=('1-Input'!$C$12+1),'1-Input'!$B$12,0))))*(1/(1-'P-Parametri'!$B$6*B509))),MAX(0,2*B506-(F508-MIN(MAX(F508,0),MAX(0,B506-IF($A509&gt;=('1-Input'!$C$12+1),'1-Input'!$B$12,0)))))*(1/(1-'P-Parametri'!$B$6*B509))))</f>
        <v>17675.340946701614</v>
      </c>
      <c r="D509" s="18">
        <f>IF($A509&gt;'1-Input'!$B$26,F508,(F508-MAX(0,B506-IF($A509&gt;=('1-Input'!$C$12+1),'1-Input'!$B$12,0))+C509*(1-'P-Parametri'!$B$6*B509))*(1+'1-Input'!$B$27))</f>
        <v>33242.0070309863</v>
      </c>
      <c r="E509" s="18">
        <f>IF($A509&gt;'1-Input'!$B$26,G508,(G508-C509)*(1+'5-Roberta'!$C$4))</f>
        <v>399575.81893109926</v>
      </c>
      <c r="F509" s="18">
        <f>IF($A509&gt;'1-Input'!$B$26,D509,D509-'P-Parametri'!$B$8*(E509+D509)+MIN(MAX(E509,0),'P-Parametri'!$B$8*(E509+D509)))</f>
        <v>33242.0070309863</v>
      </c>
      <c r="G509" s="18">
        <f>IF($A509&gt;'1-Input'!$B$26,E509,E509-MIN(MAX(E509,0),'P-Parametri'!$B$8*(E509+D509)))</f>
        <v>398710.18327917508</v>
      </c>
      <c r="H509" s="18">
        <f>IF($A509&gt;'1-Input'!$B$26,H508,H508-C509*(1-B509))</f>
        <v>304004.8345612823</v>
      </c>
      <c r="I509" s="11">
        <f>IF($A509&gt;'1-Input'!$B$26,0,IF(N508&lt;=0,0,MAX(0,(N508-O508)/N508)))</f>
        <v>0.21635653419729484</v>
      </c>
      <c r="J509" s="18">
        <f>IF($A509&gt;'1-Input'!$B$26,0,(MAX(0,I506-IF($A509&gt;=('1-Input'!$C$12+1),'1-Input'!$B$12,0))-MIN(MAX(M508,0),MAX(0,I506-IF($A509&gt;=('1-Input'!$C$12+1),'1-Input'!$B$12,0))))*(1/(1-'P-Parametri'!$B$6*I509))+MIN(MAX(0,N508-(MAX(0,I506-IF($A509&gt;=('1-Input'!$C$12+1),'1-Input'!$B$12,0))-MIN(MAX(M508,0),MAX(0,I506-IF($A509&gt;=('1-Input'!$C$12+1),'1-Input'!$B$12,0))))*(1/(1-'P-Parametri'!$B$6*I509))),MAX(0,2*I506-(M508-MIN(MAX(M508,0),MAX(0,I506-IF($A509&gt;=('1-Input'!$C$12+1),'1-Input'!$B$12,0)))))*(1/(1-'P-Parametri'!$B$6*I509))))</f>
        <v>23257.027561449497</v>
      </c>
      <c r="K509" s="18">
        <f>IF($A509&gt;'1-Input'!$B$26,M508,(M508-MAX(0,I506-IF($A509&gt;=('1-Input'!$C$12+1),'1-Input'!$B$12,0))+J509*(1-'P-Parametri'!$B$6*I509))*(1+'1-Input'!$B$27))</f>
        <v>43739.482935508291</v>
      </c>
      <c r="L509" s="18">
        <f>IF($A509&gt;'1-Input'!$B$26,N508,(N508-J509)*(1+'5-Roberta'!$C$4))</f>
        <v>382975.21626060491</v>
      </c>
      <c r="M509" s="18">
        <f>IF($A509&gt;'1-Input'!$B$26,K509,K509-'P-Parametri'!$B$8*(L509+K509)+MIN(MAX(L509,0),'P-Parametri'!$B$8*(L509+K509)))</f>
        <v>43739.482935508291</v>
      </c>
      <c r="N509" s="18">
        <f>IF($A509&gt;'1-Input'!$B$26,L509,L509-MIN(MAX(L509,0),'P-Parametri'!$B$8*(L509+K509)))</f>
        <v>382121.7868622127</v>
      </c>
      <c r="O509" s="18">
        <f>IF($A509&gt;'1-Input'!$B$26,O508,O508-J509*(1-I509))</f>
        <v>291374.7823174767</v>
      </c>
      <c r="P509" s="11">
        <f>IF($A509&gt;'1-Input'!$B$26,0,IF(U508&lt;=0,0,MAX(0,(U508-V508)/U508)))</f>
        <v>0.21635653419729473</v>
      </c>
      <c r="Q509" s="18">
        <f>IF($A509&gt;'1-Input'!$B$26,0,(MAX(0,P506-IF($A509&gt;=('1-Input'!$C$12+1),'1-Input'!$B$12,0))-MIN(MAX(T508,0),MAX(0,P506-IF($A509&gt;=('1-Input'!$C$12+1),'1-Input'!$B$12,0))))*(1/(1-'P-Parametri'!$B$6*P509))+MIN(MAX(0,U508-(MAX(0,P506-IF($A509&gt;=('1-Input'!$C$12+1),'1-Input'!$B$12,0))-MIN(MAX(T508,0),MAX(0,P506-IF($A509&gt;=('1-Input'!$C$12+1),'1-Input'!$B$12,0))))*(1/(1-'P-Parametri'!$B$6*P509))),MAX(0,2*P506-(T508-MIN(MAX(T508,0),MAX(0,P506-IF($A509&gt;=('1-Input'!$C$12+1),'1-Input'!$B$12,0)))))*(1/(1-'P-Parametri'!$B$6*P509))))</f>
        <v>18945.762906202206</v>
      </c>
      <c r="R509" s="18">
        <f>IF($A509&gt;'1-Input'!$B$26,T508,(T508-MAX(0,P506-IF($A509&gt;=('1-Input'!$C$12+1),'1-Input'!$B$12,0))+Q509*(1-'P-Parametri'!$B$6*P509))*(1+'1-Input'!$B$27))</f>
        <v>35631.289129554185</v>
      </c>
      <c r="S509" s="18">
        <f>IF($A509&gt;'1-Input'!$B$26,U508,(U508-Q509)*(1+'5-Roberta'!$C$4))</f>
        <v>395797.43228398485</v>
      </c>
      <c r="T509" s="18">
        <f>IF($A509&gt;'1-Input'!$B$26,R509,R509-'P-Parametri'!$B$8*(S509+R509)+MIN(MAX(S509,0),'P-Parametri'!$B$8*(S509+R509)))</f>
        <v>35631.289129554185</v>
      </c>
      <c r="U509" s="18">
        <f>IF($A509&gt;'1-Input'!$B$26,S509,S509-MIN(MAX(S509,0),'P-Parametri'!$B$8*(S509+R509)))</f>
        <v>394934.57484115777</v>
      </c>
      <c r="V509" s="18">
        <f>IF($A509&gt;'1-Input'!$B$26,V508,V508-Q509*(1-P509))</f>
        <v>301130.1665930422</v>
      </c>
      <c r="W509" s="11">
        <f>IF($A509&gt;'1-Input'!$B$26,0,IF(AB508&lt;=0,0,MAX(0,(AB508-AC508)/AB508)))</f>
        <v>0.21635653419729473</v>
      </c>
      <c r="X509" s="18">
        <f>IF($A509&gt;'1-Input'!$B$26,0,(MAX(0,W506-IF($A509&gt;=('1-Input'!$C$12+1),'1-Input'!$B$12,0))-MIN(MAX(AA508,0),MAX(0,W506-IF($A509&gt;=('1-Input'!$C$12+1),'1-Input'!$B$12,0))))*(1/(1-'P-Parametri'!$B$6*W509))+MIN(MAX(0,AB508-(MAX(0,W506-IF($A509&gt;=('1-Input'!$C$12+1),'1-Input'!$B$12,0))-MIN(MAX(AA508,0),MAX(0,W506-IF($A509&gt;=('1-Input'!$C$12+1),'1-Input'!$B$12,0))))*(1/(1-'P-Parametri'!$B$6*W509))),MAX(0,2*W506-(AA508-MIN(MAX(AA508,0),MAX(0,W506-IF($A509&gt;=('1-Input'!$C$12+1),'1-Input'!$B$12,0)))))*(1/(1-'P-Parametri'!$B$6*W509))))</f>
        <v>18788.5135817876</v>
      </c>
      <c r="Y509" s="18">
        <f>IF($A509&gt;'1-Input'!$B$26,AA508,(AA508-MAX(0,W506-IF($A509&gt;=('1-Input'!$C$12+1),'1-Input'!$B$12,0))+X509*(1-'P-Parametri'!$B$6*W509))*(1+'1-Input'!$B$27))</f>
        <v>35335.550384623006</v>
      </c>
      <c r="Z509" s="18">
        <f>IF($A509&gt;'1-Input'!$B$26,AB508,(AB508-X509)*(1+'5-Roberta'!$C$4))</f>
        <v>396265.11055669794</v>
      </c>
      <c r="AA509" s="18">
        <f>IF($A509&gt;'1-Input'!$B$26,Y509,Y509-'P-Parametri'!$B$8*(Z509+Y509)+MIN(MAX(Z509,0),'P-Parametri'!$B$8*(Z509+Y509)))</f>
        <v>35335.550384623006</v>
      </c>
      <c r="AB509" s="18">
        <f>IF($A509&gt;'1-Input'!$B$26,Z509,Z509-MIN(MAX(Z509,0),'P-Parametri'!$B$8*(Z509+Y509)))</f>
        <v>395401.90923481528</v>
      </c>
      <c r="AC509" s="18">
        <f>IF($A509&gt;'1-Input'!$B$26,AC508,AC508-X509*(1-W509))</f>
        <v>301485.98506149795</v>
      </c>
      <c r="AD509" s="11">
        <f>IF($A509&gt;'1-Input'!$B$26,0,IF(AI508&lt;=0,0,MAX(0,(AI508-AJ508)/AI508)))</f>
        <v>0.21635653419729475</v>
      </c>
      <c r="AE509" s="18">
        <f>IF($A509&gt;'1-Input'!$B$26,0,(MAX(0,AD506-IF($A509&gt;=('1-Input'!$C$12+1),'1-Input'!$B$12,0))-MIN(MAX(AH508,0),MAX(0,AD506-IF($A509&gt;=('1-Input'!$C$12+1),'1-Input'!$B$12,0))))*(1/(1-'P-Parametri'!$B$6*AD509))+MIN(MAX(0,AI508-(MAX(0,AD506-IF($A509&gt;=('1-Input'!$C$12+1),'1-Input'!$B$12,0))-MIN(MAX(AH508,0),MAX(0,AD506-IF($A509&gt;=('1-Input'!$C$12+1),'1-Input'!$B$12,0))))*(1/(1-'P-Parametri'!$B$6*AD509))),MAX(0,2*AD506-(AH508-MIN(MAX(AH508,0),MAX(0,AD506-IF($A509&gt;=('1-Input'!$C$12+1),'1-Input'!$B$12,0)))))*(1/(1-'P-Parametri'!$B$6*AD509))))</f>
        <v>18775.992654095644</v>
      </c>
      <c r="AF509" s="18">
        <f>IF($A509&gt;'1-Input'!$B$26,AH508,(AH508-MAX(0,AD506-IF($A509&gt;=('1-Input'!$C$12+1),'1-Input'!$B$12,0))+AE509*(1-'P-Parametri'!$B$6*AD509))*(1+'1-Input'!$B$27))</f>
        <v>35312.002280650042</v>
      </c>
      <c r="AG509" s="18">
        <f>IF($A509&gt;'1-Input'!$B$26,AI508,(AI508-AE509)*(1+'5-Roberta'!$C$4))</f>
        <v>396302.34929115698</v>
      </c>
      <c r="AH509" s="18">
        <f>IF($A509&gt;'1-Input'!$B$26,AF509,AF509-'P-Parametri'!$B$8*(AG509+AF509)+MIN(MAX(AG509,0),'P-Parametri'!$B$8*(AG509+AF509)))</f>
        <v>35312.002280650042</v>
      </c>
      <c r="AI509" s="18">
        <f>IF($A509&gt;'1-Input'!$B$26,AG509,AG509-MIN(MAX(AG509,0),'P-Parametri'!$B$8*(AG509+AF509)))</f>
        <v>395439.12058801338</v>
      </c>
      <c r="AJ509" s="18">
        <f>IF($A509&gt;'1-Input'!$B$26,AJ508,AJ508-AE509*(1-AD509))</f>
        <v>301514.31699444319</v>
      </c>
      <c r="AK509" s="11">
        <f>IF($A509&gt;'1-Input'!$B$26,0,IF(AP508&lt;=0,0,MAX(0,(AP508-AQ508)/AP508)))</f>
        <v>0.21635653419729478</v>
      </c>
      <c r="AL509" s="18">
        <f>IF($A509&gt;'1-Input'!$B$26,0,(MAX(0,AK506-IF($A509&gt;=('1-Input'!$C$12+1),'1-Input'!$B$12,0))-MIN(MAX(AO508,0),MAX(0,AK506-IF($A509&gt;=('1-Input'!$C$12+1),'1-Input'!$B$12,0))))*(1/(1-'P-Parametri'!$B$6*AK509))+MIN(MAX(0,AP508-(MAX(0,AK506-IF($A509&gt;=('1-Input'!$C$12+1),'1-Input'!$B$12,0))-MIN(MAX(AO508,0),MAX(0,AK506-IF($A509&gt;=('1-Input'!$C$12+1),'1-Input'!$B$12,0))))*(1/(1-'P-Parametri'!$B$6*AK509))),MAX(0,2*AK506-(AO508-MIN(MAX(AO508,0),MAX(0,AK506-IF($A509&gt;=('1-Input'!$C$12+1),'1-Input'!$B$12,0)))))*(1/(1-'P-Parametri'!$B$6*AK509))))</f>
        <v>18776.00315292539</v>
      </c>
      <c r="AM509" s="18">
        <f>IF($A509&gt;'1-Input'!$B$26,AO508,(AO508-MAX(0,AK506-IF($A509&gt;=('1-Input'!$C$12+1),'1-Input'!$B$12,0))+AL509*(1-'P-Parametri'!$B$6*AK509))*(1+'1-Input'!$B$27))</f>
        <v>35312.022025795173</v>
      </c>
      <c r="AN509" s="18">
        <f>IF($A509&gt;'1-Input'!$B$26,AP508,(AP508-AL509)*(1+'5-Roberta'!$C$4))</f>
        <v>396302.3180663833</v>
      </c>
      <c r="AO509" s="18">
        <f>IF($A509&gt;'1-Input'!$B$26,AM509,AM509-'P-Parametri'!$B$8*(AN509+AM509)+MIN(MAX(AN509,0),'P-Parametri'!$B$8*(AN509+AM509)))</f>
        <v>35312.022025795173</v>
      </c>
      <c r="AP509" s="18">
        <f>IF($A509&gt;'1-Input'!$B$26,AN509,AN509-MIN(MAX(AN509,0),'P-Parametri'!$B$8*(AN509+AM509)))</f>
        <v>395439.08938619896</v>
      </c>
      <c r="AQ509" s="18">
        <f>IF($A509&gt;'1-Input'!$B$26,AQ508,AQ508-AL509*(1-AK509))</f>
        <v>301514.2932380453</v>
      </c>
    </row>
    <row r="510" spans="1:43">
      <c r="A510" s="10">
        <f>2</f>
        <v>2</v>
      </c>
      <c r="B510" s="11">
        <f>IF($A510&gt;'1-Input'!$B$26,0,IF(G509&lt;=0,0,MAX(0,(G509-H509)/G509)))</f>
        <v>0.23752929493546573</v>
      </c>
      <c r="C510" s="18">
        <f>IF($A510&gt;'1-Input'!$B$26,0,(MAX(0,B506-IF($A510&gt;=('1-Input'!$C$12+1),'1-Input'!$B$12,0))-MIN(MAX(F509,0),MAX(0,B506-IF($A510&gt;=('1-Input'!$C$12+1),'1-Input'!$B$12,0))))*(1/(1-'P-Parametri'!$B$6*B510))+MIN(MAX(0,G509-(MAX(0,B506-IF($A510&gt;=('1-Input'!$C$12+1),'1-Input'!$B$12,0))-MIN(MAX(F509,0),MAX(0,B506-IF($A510&gt;=('1-Input'!$C$12+1),'1-Input'!$B$12,0))))*(1/(1-'P-Parametri'!$B$6*B510))),MAX(0,2*B506-(F509-MIN(MAX(F509,0),MAX(0,B506-IF($A510&gt;=('1-Input'!$C$12+1),'1-Input'!$B$12,0)))))*(1/(1-'P-Parametri'!$B$6*B510))))</f>
        <v>17907.056014137157</v>
      </c>
      <c r="D510" s="18">
        <f>IF($A510&gt;'1-Input'!$B$26,F509,(F509-MAX(0,B506-IF($A510&gt;=('1-Input'!$C$12+1),'1-Input'!$B$12,0))+C510*(1-'P-Parametri'!$B$6*B510))*(1+'1-Input'!$B$27))</f>
        <v>33242.0070309863</v>
      </c>
      <c r="E510" s="18">
        <f>IF($A510&gt;'1-Input'!$B$26,G509,(G509-C510)*(1+'5-Roberta'!$C$4))</f>
        <v>392227.22108298907</v>
      </c>
      <c r="F510" s="18">
        <f>IF($A510&gt;'1-Input'!$B$26,D510,D510-'P-Parametri'!$B$8*(E510+D510)+MIN(MAX(E510,0),'P-Parametri'!$B$8*(E510+D510)))</f>
        <v>33242.0070309863</v>
      </c>
      <c r="G510" s="18">
        <f>IF($A510&gt;'1-Input'!$B$26,E510,E510-MIN(MAX(E510,0),'P-Parametri'!$B$8*(E510+D510)))</f>
        <v>391376.28262676112</v>
      </c>
      <c r="H510" s="18">
        <f>IF($A510&gt;'1-Input'!$B$26,H509,H509-C510*(1-B510))</f>
        <v>290351.22893655306</v>
      </c>
      <c r="I510" s="11">
        <f>IF($A510&gt;'1-Input'!$B$26,0,IF(N509&lt;=0,0,MAX(0,(N509-O509)/N509)))</f>
        <v>0.23748189102197931</v>
      </c>
      <c r="J510" s="18">
        <f>IF($A510&gt;'1-Input'!$B$26,0,(MAX(0,I506-IF($A510&gt;=('1-Input'!$C$12+1),'1-Input'!$B$12,0))-MIN(MAX(M509,0),MAX(0,I506-IF($A510&gt;=('1-Input'!$C$12+1),'1-Input'!$B$12,0))))*(1/(1-'P-Parametri'!$B$6*I510))+MIN(MAX(0,N509-(MAX(0,I506-IF($A510&gt;=('1-Input'!$C$12+1),'1-Input'!$B$12,0))-MIN(MAX(M509,0),MAX(0,I506-IF($A510&gt;=('1-Input'!$C$12+1),'1-Input'!$B$12,0))))*(1/(1-'P-Parametri'!$B$6*I510))),MAX(0,2*I506-(M509-MIN(MAX(M509,0),MAX(0,I506-IF($A510&gt;=('1-Input'!$C$12+1),'1-Input'!$B$12,0)))))*(1/(1-'P-Parametri'!$B$6*I510))))</f>
        <v>23561.606296146056</v>
      </c>
      <c r="K510" s="18">
        <f>IF($A510&gt;'1-Input'!$B$26,M509,(M509-MAX(0,I506-IF($A510&gt;=('1-Input'!$C$12+1),'1-Input'!$B$12,0))+J510*(1-'P-Parametri'!$B$6*I510))*(1+'1-Input'!$B$27))</f>
        <v>43739.482935508291</v>
      </c>
      <c r="L510" s="18">
        <f>IF($A510&gt;'1-Input'!$B$26,N509,(N509-J510)*(1+'5-Roberta'!$C$4))</f>
        <v>369316.98598304862</v>
      </c>
      <c r="M510" s="18">
        <f>IF($A510&gt;'1-Input'!$B$26,K510,K510-'P-Parametri'!$B$8*(L510+K510)+MIN(MAX(L510,0),'P-Parametri'!$B$8*(L510+K510)))</f>
        <v>43739.482935508291</v>
      </c>
      <c r="N510" s="18">
        <f>IF($A510&gt;'1-Input'!$B$26,L510,L510-MIN(MAX(L510,0),'P-Parametri'!$B$8*(L510+K510)))</f>
        <v>368490.87304521148</v>
      </c>
      <c r="O510" s="18">
        <f>IF($A510&gt;'1-Input'!$B$26,O509,O509-J510*(1-I510))</f>
        <v>273408.63084005477</v>
      </c>
      <c r="P510" s="11">
        <f>IF($A510&gt;'1-Input'!$B$26,0,IF(U509&lt;=0,0,MAX(0,(U509-V509)/U509)))</f>
        <v>0.23751885558726679</v>
      </c>
      <c r="Q510" s="18">
        <f>IF($A510&gt;'1-Input'!$B$26,0,(MAX(0,P506-IF($A510&gt;=('1-Input'!$C$12+1),'1-Input'!$B$12,0))-MIN(MAX(T509,0),MAX(0,P506-IF($A510&gt;=('1-Input'!$C$12+1),'1-Input'!$B$12,0))))*(1/(1-'P-Parametri'!$B$6*P510))+MIN(MAX(0,U509-(MAX(0,P506-IF($A510&gt;=('1-Input'!$C$12+1),'1-Input'!$B$12,0))-MIN(MAX(T509,0),MAX(0,P506-IF($A510&gt;=('1-Input'!$C$12+1),'1-Input'!$B$12,0))))*(1/(1-'P-Parametri'!$B$6*P510))),MAX(0,2*P506-(T509-MIN(MAX(T509,0),MAX(0,P506-IF($A510&gt;=('1-Input'!$C$12+1),'1-Input'!$B$12,0)))))*(1/(1-'P-Parametri'!$B$6*P510))))</f>
        <v>19194.077057310576</v>
      </c>
      <c r="R510" s="18">
        <f>IF($A510&gt;'1-Input'!$B$26,T509,(T509-MAX(0,P506-IF($A510&gt;=('1-Input'!$C$12+1),'1-Input'!$B$12,0))+Q510*(1-'P-Parametri'!$B$6*P510))*(1+'1-Input'!$B$27))</f>
        <v>35631.289129554178</v>
      </c>
      <c r="S510" s="18">
        <f>IF($A510&gt;'1-Input'!$B$26,U509,(U509-Q510)*(1+'5-Roberta'!$C$4))</f>
        <v>387012.71271736262</v>
      </c>
      <c r="T510" s="18">
        <f>IF($A510&gt;'1-Input'!$B$26,R510,R510-'P-Parametri'!$B$8*(S510+R510)+MIN(MAX(S510,0),'P-Parametri'!$B$8*(S510+R510)))</f>
        <v>35631.289129554178</v>
      </c>
      <c r="U510" s="18">
        <f>IF($A510&gt;'1-Input'!$B$26,S510,S510-MIN(MAX(S510,0),'P-Parametri'!$B$8*(S510+R510)))</f>
        <v>386167.42471366876</v>
      </c>
      <c r="V510" s="18">
        <f>IF($A510&gt;'1-Input'!$B$26,V509,V509-Q510*(1-P510))</f>
        <v>286495.04475243785</v>
      </c>
      <c r="W510" s="11">
        <f>IF($A510&gt;'1-Input'!$B$26,0,IF(AB509&lt;=0,0,MAX(0,(AB509-AC509)/AB509)))</f>
        <v>0.23752015855225414</v>
      </c>
      <c r="X510" s="18">
        <f>IF($A510&gt;'1-Input'!$B$26,0,(MAX(0,W506-IF($A510&gt;=('1-Input'!$C$12+1),'1-Input'!$B$12,0))-MIN(MAX(AA509,0),MAX(0,W506-IF($A510&gt;=('1-Input'!$C$12+1),'1-Input'!$B$12,0))))*(1/(1-'P-Parametri'!$B$6*W510))+MIN(MAX(0,AB509-(MAX(0,W506-IF($A510&gt;=('1-Input'!$C$12+1),'1-Input'!$B$12,0))-MIN(MAX(AA509,0),MAX(0,W506-IF($A510&gt;=('1-Input'!$C$12+1),'1-Input'!$B$12,0))))*(1/(1-'P-Parametri'!$B$6*W510))),MAX(0,2*W506-(AA509-MIN(MAX(AA509,0),MAX(0,W506-IF($A510&gt;=('1-Input'!$C$12+1),'1-Input'!$B$12,0)))))*(1/(1-'P-Parametri'!$B$6*W510))))</f>
        <v>19034.773604956212</v>
      </c>
      <c r="Y510" s="18">
        <f>IF($A510&gt;'1-Input'!$B$26,AA509,(AA509-MAX(0,W506-IF($A510&gt;=('1-Input'!$C$12+1),'1-Input'!$B$12,0))+X510*(1-'P-Parametri'!$B$6*W510))*(1+'1-Input'!$B$27))</f>
        <v>35335.550384623013</v>
      </c>
      <c r="Z510" s="18">
        <f>IF($A510&gt;'1-Input'!$B$26,AB509,(AB509-X510)*(1+'5-Roberta'!$C$4))</f>
        <v>387658.14969875483</v>
      </c>
      <c r="AA510" s="18">
        <f>IF($A510&gt;'1-Input'!$B$26,Y510,Y510-'P-Parametri'!$B$8*(Z510+Y510)+MIN(MAX(Z510,0),'P-Parametri'!$B$8*(Z510+Y510)))</f>
        <v>35335.550384623013</v>
      </c>
      <c r="AB510" s="18">
        <f>IF($A510&gt;'1-Input'!$B$26,Z510,Z510-MIN(MAX(Z510,0),'P-Parametri'!$B$8*(Z510+Y510)))</f>
        <v>386812.16229858808</v>
      </c>
      <c r="AC510" s="18">
        <f>IF($A510&gt;'1-Input'!$B$26,AC509,AC509-X510*(1-W510))</f>
        <v>286972.3539011972</v>
      </c>
      <c r="AD510" s="11">
        <f>IF($A510&gt;'1-Input'!$B$26,0,IF(AI509&lt;=0,0,MAX(0,(AI509-AJ509)/AI509)))</f>
        <v>0.23752026216805536</v>
      </c>
      <c r="AE510" s="18">
        <f>IF($A510&gt;'1-Input'!$B$26,0,(MAX(0,AD506-IF($A510&gt;=('1-Input'!$C$12+1),'1-Input'!$B$12,0))-MIN(MAX(AH509,0),MAX(0,AD506-IF($A510&gt;=('1-Input'!$C$12+1),'1-Input'!$B$12,0))))*(1/(1-'P-Parametri'!$B$6*AD510))+MIN(MAX(0,AI509-(MAX(0,AD506-IF($A510&gt;=('1-Input'!$C$12+1),'1-Input'!$B$12,0))-MIN(MAX(AH509,0),MAX(0,AD506-IF($A510&gt;=('1-Input'!$C$12+1),'1-Input'!$B$12,0))))*(1/(1-'P-Parametri'!$B$6*AD510))),MAX(0,2*AD506-(AH509-MIN(MAX(AH509,0),MAX(0,AD506-IF($A510&gt;=('1-Input'!$C$12+1),'1-Input'!$B$12,0)))))*(1/(1-'P-Parametri'!$B$6*AD510))))</f>
        <v>19022.089112334685</v>
      </c>
      <c r="AF510" s="18">
        <f>IF($A510&gt;'1-Input'!$B$26,AH509,(AH509-MAX(0,AD506-IF($A510&gt;=('1-Input'!$C$12+1),'1-Input'!$B$12,0))+AE510*(1-'P-Parametri'!$B$6*AD510))*(1+'1-Input'!$B$27))</f>
        <v>35312.002280650035</v>
      </c>
      <c r="AG510" s="18">
        <f>IF($A510&gt;'1-Input'!$B$26,AI509,(AI509-AE510)*(1+'5-Roberta'!$C$4))</f>
        <v>387709.54241994902</v>
      </c>
      <c r="AH510" s="18">
        <f>IF($A510&gt;'1-Input'!$B$26,AF510,AF510-'P-Parametri'!$B$8*(AG510+AF510)+MIN(MAX(AG510,0),'P-Parametri'!$B$8*(AG510+AF510)))</f>
        <v>35312.002280650035</v>
      </c>
      <c r="AI510" s="18">
        <f>IF($A510&gt;'1-Input'!$B$26,AG510,AG510-MIN(MAX(AG510,0),'P-Parametri'!$B$8*(AG510+AF510)))</f>
        <v>386863.49933054781</v>
      </c>
      <c r="AJ510" s="18">
        <f>IF($A510&gt;'1-Input'!$B$26,AJ509,AJ509-AE510*(1-AD510))</f>
        <v>287010.35947505437</v>
      </c>
      <c r="AK510" s="11">
        <f>IF($A510&gt;'1-Input'!$B$26,0,IF(AP509&lt;=0,0,MAX(0,(AP509-AQ509)/AP509)))</f>
        <v>0.23752026208118132</v>
      </c>
      <c r="AL510" s="18">
        <f>IF($A510&gt;'1-Input'!$B$26,0,(MAX(0,AK506-IF($A510&gt;=('1-Input'!$C$12+1),'1-Input'!$B$12,0))-MIN(MAX(AO509,0),MAX(0,AK506-IF($A510&gt;=('1-Input'!$C$12+1),'1-Input'!$B$12,0))))*(1/(1-'P-Parametri'!$B$6*AK510))+MIN(MAX(0,AP509-(MAX(0,AK506-IF($A510&gt;=('1-Input'!$C$12+1),'1-Input'!$B$12,0))-MIN(MAX(AO509,0),MAX(0,AK506-IF($A510&gt;=('1-Input'!$C$12+1),'1-Input'!$B$12,0))))*(1/(1-'P-Parametri'!$B$6*AK510))),MAX(0,2*AK506-(AO509-MIN(MAX(AO509,0),MAX(0,AK506-IF($A510&gt;=('1-Input'!$C$12+1),'1-Input'!$B$12,0)))))*(1/(1-'P-Parametri'!$B$6*AK510))))</f>
        <v>19022.099748314387</v>
      </c>
      <c r="AM510" s="18">
        <f>IF($A510&gt;'1-Input'!$B$26,AO509,(AO509-MAX(0,AK506-IF($A510&gt;=('1-Input'!$C$12+1),'1-Input'!$B$12,0))+AL510*(1-'P-Parametri'!$B$6*AK510))*(1+'1-Input'!$B$27))</f>
        <v>35312.022025795173</v>
      </c>
      <c r="AN510" s="18">
        <f>IF($A510&gt;'1-Input'!$B$26,AP509,(AP509-AL510)*(1+'5-Roberta'!$C$4))</f>
        <v>387709.49932702107</v>
      </c>
      <c r="AO510" s="18">
        <f>IF($A510&gt;'1-Input'!$B$26,AM510,AM510-'P-Parametri'!$B$8*(AN510+AM510)+MIN(MAX(AN510,0),'P-Parametri'!$B$8*(AN510+AM510)))</f>
        <v>35312.022025795173</v>
      </c>
      <c r="AP510" s="18">
        <f>IF($A510&gt;'1-Input'!$B$26,AN510,AN510-MIN(MAX(AN510,0),'P-Parametri'!$B$8*(AN510+AM510)))</f>
        <v>386863.45628431544</v>
      </c>
      <c r="AQ510" s="18">
        <f>IF($A510&gt;'1-Input'!$B$26,AQ509,AQ509-AL510*(1-AK510))</f>
        <v>287010.32760728494</v>
      </c>
    </row>
    <row r="511" spans="1:43">
      <c r="A511" s="10">
        <f>3</f>
        <v>3</v>
      </c>
      <c r="B511" s="11">
        <f>IF($A511&gt;'1-Input'!$B$26,0,IF(G510&lt;=0,0,MAX(0,(G510-H510)/G510)))</f>
        <v>0.25812768472368408</v>
      </c>
      <c r="C511" s="18">
        <f>IF($A511&gt;'1-Input'!$B$26,0,(MAX(0,B506-IF($A511&gt;=('1-Input'!$C$12+1),'1-Input'!$B$12,0))-MIN(MAX(F510,0),MAX(0,B506-IF($A511&gt;=('1-Input'!$C$12+1),'1-Input'!$B$12,0))))*(1/(1-'P-Parametri'!$B$6*B511))+MIN(MAX(0,G510-(MAX(0,B506-IF($A511&gt;=('1-Input'!$C$12+1),'1-Input'!$B$12,0))-MIN(MAX(F510,0),MAX(0,B506-IF($A511&gt;=('1-Input'!$C$12+1),'1-Input'!$B$12,0))))*(1/(1-'P-Parametri'!$B$6*B511))),MAX(0,2*B506-(F510-MIN(MAX(F510,0),MAX(0,B506-IF($A511&gt;=('1-Input'!$C$12+1),'1-Input'!$B$12,0)))))*(1/(1-'P-Parametri'!$B$6*B511))))</f>
        <v>18009.85808500936</v>
      </c>
      <c r="D511" s="18">
        <f>IF($A511&gt;'1-Input'!$B$26,F510,(F510-MAX(0,B506-IF($A511&gt;=('1-Input'!$C$12+1),'1-Input'!$B$12,0))+C511*(1-'P-Parametri'!$B$6*B511))*(1+'1-Input'!$B$27))</f>
        <v>33242.0070309863</v>
      </c>
      <c r="E511" s="18">
        <f>IF($A511&gt;'1-Input'!$B$26,G510,(G510-C511)*(1+'5-Roberta'!$C$4))</f>
        <v>384567.41727800429</v>
      </c>
      <c r="F511" s="18">
        <f>IF($A511&gt;'1-Input'!$B$26,D511,D511-'P-Parametri'!$B$8*(E511+D511)+MIN(MAX(E511,0),'P-Parametri'!$B$8*(E511+D511)))</f>
        <v>33242.0070309863</v>
      </c>
      <c r="G511" s="18">
        <f>IF($A511&gt;'1-Input'!$B$26,E511,E511-MIN(MAX(E511,0),'P-Parametri'!$B$8*(E511+D511)))</f>
        <v>383731.79842938628</v>
      </c>
      <c r="H511" s="18">
        <f>IF($A511&gt;'1-Input'!$B$26,H510,H510-C511*(1-B511))</f>
        <v>276990.21382122929</v>
      </c>
      <c r="I511" s="11">
        <f>IF($A511&gt;'1-Input'!$B$26,0,IF(N510&lt;=0,0,MAX(0,(N510-O510)/N510)))</f>
        <v>0.25803147149723493</v>
      </c>
      <c r="J511" s="18">
        <f>IF($A511&gt;'1-Input'!$B$26,0,(MAX(0,I506-IF($A511&gt;=('1-Input'!$C$12+1),'1-Input'!$B$12,0))-MIN(MAX(M510,0),MAX(0,I506-IF($A511&gt;=('1-Input'!$C$12+1),'1-Input'!$B$12,0))))*(1/(1-'P-Parametri'!$B$6*I511))+MIN(MAX(0,N510-(MAX(0,I506-IF($A511&gt;=('1-Input'!$C$12+1),'1-Input'!$B$12,0))-MIN(MAX(M510,0),MAX(0,I506-IF($A511&gt;=('1-Input'!$C$12+1),'1-Input'!$B$12,0))))*(1/(1-'P-Parametri'!$B$6*I511))),MAX(0,2*I506-(M510-MIN(MAX(M510,0),MAX(0,I506-IF($A511&gt;=('1-Input'!$C$12+1),'1-Input'!$B$12,0)))))*(1/(1-'P-Parametri'!$B$6*I511))))</f>
        <v>23696.546265899819</v>
      </c>
      <c r="K511" s="18">
        <f>IF($A511&gt;'1-Input'!$B$26,M510,(M510-MAX(0,I506-IF($A511&gt;=('1-Input'!$C$12+1),'1-Input'!$B$12,0))+J511*(1-'P-Parametri'!$B$6*I511))*(1+'1-Input'!$B$27))</f>
        <v>43739.482935508291</v>
      </c>
      <c r="L511" s="18">
        <f>IF($A511&gt;'1-Input'!$B$26,N510,(N510-J511)*(1+'5-Roberta'!$C$4))</f>
        <v>355138.15658269101</v>
      </c>
      <c r="M511" s="18">
        <f>IF($A511&gt;'1-Input'!$B$26,K511,K511-'P-Parametri'!$B$8*(L511+K511)+MIN(MAX(L511,0),'P-Parametri'!$B$8*(L511+K511)))</f>
        <v>43739.482935508291</v>
      </c>
      <c r="N511" s="18">
        <f>IF($A511&gt;'1-Input'!$B$26,L511,L511-MIN(MAX(L511,0),'P-Parametri'!$B$8*(L511+K511)))</f>
        <v>354340.40130365459</v>
      </c>
      <c r="O511" s="18">
        <f>IF($A511&gt;'1-Input'!$B$26,O510,O510-J511*(1-I511))</f>
        <v>255826.53927654738</v>
      </c>
      <c r="P511" s="11">
        <f>IF($A511&gt;'1-Input'!$B$26,0,IF(U510&lt;=0,0,MAX(0,(U510-V510)/U510)))</f>
        <v>0.25810664903994662</v>
      </c>
      <c r="Q511" s="18">
        <f>IF($A511&gt;'1-Input'!$B$26,0,(MAX(0,P506-IF($A511&gt;=('1-Input'!$C$12+1),'1-Input'!$B$12,0))-MIN(MAX(T510,0),MAX(0,P506-IF($A511&gt;=('1-Input'!$C$12+1),'1-Input'!$B$12,0))))*(1/(1-'P-Parametri'!$B$6*P511))+MIN(MAX(0,U510-(MAX(0,P506-IF($A511&gt;=('1-Input'!$C$12+1),'1-Input'!$B$12,0))-MIN(MAX(T510,0),MAX(0,P506-IF($A511&gt;=('1-Input'!$C$12+1),'1-Input'!$B$12,0))))*(1/(1-'P-Parametri'!$B$6*P511))),MAX(0,2*P506-(T510-MIN(MAX(T510,0),MAX(0,P506-IF($A511&gt;=('1-Input'!$C$12+1),'1-Input'!$B$12,0)))))*(1/(1-'P-Parametri'!$B$6*P511))))</f>
        <v>19304.210417398095</v>
      </c>
      <c r="R511" s="18">
        <f>IF($A511&gt;'1-Input'!$B$26,T510,(T510-MAX(0,P506-IF($A511&gt;=('1-Input'!$C$12+1),'1-Input'!$B$12,0))+Q511*(1-'P-Parametri'!$B$6*P511))*(1+'1-Input'!$B$27))</f>
        <v>35631.289129554178</v>
      </c>
      <c r="S511" s="18">
        <f>IF($A511&gt;'1-Input'!$B$26,U510,(U510-Q511)*(1+'5-Roberta'!$C$4))</f>
        <v>377869.11072515883</v>
      </c>
      <c r="T511" s="18">
        <f>IF($A511&gt;'1-Input'!$B$26,R511,R511-'P-Parametri'!$B$8*(S511+R511)+MIN(MAX(S511,0),'P-Parametri'!$B$8*(S511+R511)))</f>
        <v>35631.289129554178</v>
      </c>
      <c r="U511" s="18">
        <f>IF($A511&gt;'1-Input'!$B$26,S511,S511-MIN(MAX(S511,0),'P-Parametri'!$B$8*(S511+R511)))</f>
        <v>377042.10992544942</v>
      </c>
      <c r="V511" s="18">
        <f>IF($A511&gt;'1-Input'!$B$26,V510,V510-Q511*(1-P511))</f>
        <v>272173.3793982364</v>
      </c>
      <c r="W511" s="11">
        <f>IF($A511&gt;'1-Input'!$B$26,0,IF(AB510&lt;=0,0,MAX(0,(AB510-AC510)/AB510)))</f>
        <v>0.25810927920183263</v>
      </c>
      <c r="X511" s="18">
        <f>IF($A511&gt;'1-Input'!$B$26,0,(MAX(0,W506-IF($A511&gt;=('1-Input'!$C$12+1),'1-Input'!$B$12,0))-MIN(MAX(AA510,0),MAX(0,W506-IF($A511&gt;=('1-Input'!$C$12+1),'1-Input'!$B$12,0))))*(1/(1-'P-Parametri'!$B$6*W511))+MIN(MAX(0,AB510-(MAX(0,W506-IF($A511&gt;=('1-Input'!$C$12+1),'1-Input'!$B$12,0))-MIN(MAX(AA510,0),MAX(0,W506-IF($A511&gt;=('1-Input'!$C$12+1),'1-Input'!$B$12,0))))*(1/(1-'P-Parametri'!$B$6*W511))),MAX(0,2*W506-(AA510-MIN(MAX(AA510,0),MAX(0,W506-IF($A511&gt;=('1-Input'!$C$12+1),'1-Input'!$B$12,0)))))*(1/(1-'P-Parametri'!$B$6*W511))))</f>
        <v>19144.000021456028</v>
      </c>
      <c r="Y511" s="18">
        <f>IF($A511&gt;'1-Input'!$B$26,AA510,(AA510-MAX(0,W506-IF($A511&gt;=('1-Input'!$C$12+1),'1-Input'!$B$12,0))+X511*(1-'P-Parametri'!$B$6*W511))*(1+'1-Input'!$B$27))</f>
        <v>35335.550384622999</v>
      </c>
      <c r="Z511" s="18">
        <f>IF($A511&gt;'1-Input'!$B$26,AB510,(AB510-X511)*(1+'5-Roberta'!$C$4))</f>
        <v>378698.20714544604</v>
      </c>
      <c r="AA511" s="18">
        <f>IF($A511&gt;'1-Input'!$B$26,Y511,Y511-'P-Parametri'!$B$8*(Z511+Y511)+MIN(MAX(Z511,0),'P-Parametri'!$B$8*(Z511+Y511)))</f>
        <v>35335.550384622999</v>
      </c>
      <c r="AB511" s="18">
        <f>IF($A511&gt;'1-Input'!$B$26,Z511,Z511-MIN(MAX(Z511,0),'P-Parametri'!$B$8*(Z511+Y511)))</f>
        <v>377870.13963038591</v>
      </c>
      <c r="AC511" s="18">
        <f>IF($A511&gt;'1-Input'!$B$26,AC510,AC510-X511*(1-W511))</f>
        <v>272769.59792631905</v>
      </c>
      <c r="AD511" s="11">
        <f>IF($A511&gt;'1-Input'!$B$26,0,IF(AI510&lt;=0,0,MAX(0,(AI510-AJ510)/AI510)))</f>
        <v>0.25810948830345948</v>
      </c>
      <c r="AE511" s="18">
        <f>IF($A511&gt;'1-Input'!$B$26,0,(MAX(0,AD506-IF($A511&gt;=('1-Input'!$C$12+1),'1-Input'!$B$12,0))-MIN(MAX(AH510,0),MAX(0,AD506-IF($A511&gt;=('1-Input'!$C$12+1),'1-Input'!$B$12,0))))*(1/(1-'P-Parametri'!$B$6*AD511))+MIN(MAX(0,AI510-(MAX(0,AD506-IF($A511&gt;=('1-Input'!$C$12+1),'1-Input'!$B$12,0))-MIN(MAX(AH510,0),MAX(0,AD506-IF($A511&gt;=('1-Input'!$C$12+1),'1-Input'!$B$12,0))))*(1/(1-'P-Parametri'!$B$6*AD511))),MAX(0,2*AD506-(AH510-MIN(MAX(AH510,0),MAX(0,AD506-IF($A511&gt;=('1-Input'!$C$12+1),'1-Input'!$B$12,0)))))*(1/(1-'P-Parametri'!$B$6*AD511))))</f>
        <v>19131.2433075566</v>
      </c>
      <c r="AF511" s="18">
        <f>IF($A511&gt;'1-Input'!$B$26,AH510,(AH510-MAX(0,AD506-IF($A511&gt;=('1-Input'!$C$12+1),'1-Input'!$B$12,0))+AE511*(1-'P-Parametri'!$B$6*AD511))*(1+'1-Input'!$B$27))</f>
        <v>35312.002280650035</v>
      </c>
      <c r="AG511" s="18">
        <f>IF($A511&gt;'1-Input'!$B$26,AI510,(AI510-AE511)*(1+'5-Roberta'!$C$4))</f>
        <v>378764.22370368097</v>
      </c>
      <c r="AH511" s="18">
        <f>IF($A511&gt;'1-Input'!$B$26,AF511,AF511-'P-Parametri'!$B$8*(AG511+AF511)+MIN(MAX(AG511,0),'P-Parametri'!$B$8*(AG511+AF511)))</f>
        <v>35312.002280650035</v>
      </c>
      <c r="AI511" s="18">
        <f>IF($A511&gt;'1-Input'!$B$26,AG511,AG511-MIN(MAX(AG511,0),'P-Parametri'!$B$8*(AG511+AF511)))</f>
        <v>377936.07125171233</v>
      </c>
      <c r="AJ511" s="18">
        <f>IF($A511&gt;'1-Input'!$B$26,AJ510,AJ510-AE511*(1-AD511))</f>
        <v>272817.07158822019</v>
      </c>
      <c r="AK511" s="11">
        <f>IF($A511&gt;'1-Input'!$B$26,0,IF(AP510&lt;=0,0,MAX(0,(AP510-AQ510)/AP510)))</f>
        <v>0.25810948812814716</v>
      </c>
      <c r="AL511" s="18">
        <f>IF($A511&gt;'1-Input'!$B$26,0,(MAX(0,AK506-IF($A511&gt;=('1-Input'!$C$12+1),'1-Input'!$B$12,0))-MIN(MAX(AO510,0),MAX(0,AK506-IF($A511&gt;=('1-Input'!$C$12+1),'1-Input'!$B$12,0))))*(1/(1-'P-Parametri'!$B$6*AK511))+MIN(MAX(0,AP510-(MAX(0,AK506-IF($A511&gt;=('1-Input'!$C$12+1),'1-Input'!$B$12,0))-MIN(MAX(AO510,0),MAX(0,AK506-IF($A511&gt;=('1-Input'!$C$12+1),'1-Input'!$B$12,0))))*(1/(1-'P-Parametri'!$B$6*AK511))),MAX(0,2*AK506-(AO510-MIN(MAX(AO510,0),MAX(0,AK506-IF($A511&gt;=('1-Input'!$C$12+1),'1-Input'!$B$12,0)))))*(1/(1-'P-Parametri'!$B$6*AK511))))</f>
        <v>19131.254004094404</v>
      </c>
      <c r="AM511" s="18">
        <f>IF($A511&gt;'1-Input'!$B$26,AO510,(AO510-MAX(0,AK506-IF($A511&gt;=('1-Input'!$C$12+1),'1-Input'!$B$12,0))+AL511*(1-'P-Parametri'!$B$6*AK511))*(1+'1-Input'!$B$27))</f>
        <v>35312.022025795173</v>
      </c>
      <c r="AN511" s="18">
        <f>IF($A511&gt;'1-Input'!$B$26,AP510,(AP510-AL511)*(1+'5-Roberta'!$C$4))</f>
        <v>378764.16834862769</v>
      </c>
      <c r="AO511" s="18">
        <f>IF($A511&gt;'1-Input'!$B$26,AM511,AM511-'P-Parametri'!$B$8*(AN511+AM511)+MIN(MAX(AN511,0),'P-Parametri'!$B$8*(AN511+AM511)))</f>
        <v>35312.022025795173</v>
      </c>
      <c r="AP511" s="18">
        <f>IF($A511&gt;'1-Input'!$B$26,AN511,AN511-MIN(MAX(AN511,0),'P-Parametri'!$B$8*(AN511+AM511)))</f>
        <v>377936.01596787886</v>
      </c>
      <c r="AQ511" s="18">
        <f>IF($A511&gt;'1-Input'!$B$26,AQ510,AQ510-AL511*(1-AK511))</f>
        <v>272817.03178143693</v>
      </c>
    </row>
    <row r="512" spans="1:43">
      <c r="A512" s="10">
        <f>4</f>
        <v>4</v>
      </c>
      <c r="B512" s="11">
        <f>IF($A512&gt;'1-Input'!$B$26,0,IF(G511&lt;=0,0,MAX(0,(G511-H511)/G511)))</f>
        <v>0.27816716009736525</v>
      </c>
      <c r="C512" s="18">
        <f>IF($A512&gt;'1-Input'!$B$26,0,(MAX(0,B506-IF($A512&gt;=('1-Input'!$C$12+1),'1-Input'!$B$12,0))-MIN(MAX(F511,0),MAX(0,B506-IF($A512&gt;=('1-Input'!$C$12+1),'1-Input'!$B$12,0))))*(1/(1-'P-Parametri'!$B$6*B512))+MIN(MAX(0,G511-(MAX(0,B506-IF($A512&gt;=('1-Input'!$C$12+1),'1-Input'!$B$12,0))-MIN(MAX(F511,0),MAX(0,B506-IF($A512&gt;=('1-Input'!$C$12+1),'1-Input'!$B$12,0))))*(1/(1-'P-Parametri'!$B$6*B512))),MAX(0,2*B506-(F511-MIN(MAX(F511,0),MAX(0,B506-IF($A512&gt;=('1-Input'!$C$12+1),'1-Input'!$B$12,0)))))*(1/(1-'P-Parametri'!$B$6*B512))))</f>
        <v>18111.009837898029</v>
      </c>
      <c r="D512" s="18">
        <f>IF($A512&gt;'1-Input'!$B$26,F511,(F511-MAX(0,B506-IF($A512&gt;=('1-Input'!$C$12+1),'1-Input'!$B$12,0))+C512*(1-'P-Parametri'!$B$6*B512))*(1+'1-Input'!$B$27))</f>
        <v>33242.0070309863</v>
      </c>
      <c r="E512" s="18">
        <f>IF($A512&gt;'1-Input'!$B$26,G511,(G511-C512)*(1+'5-Roberta'!$C$4))</f>
        <v>376589.41224923293</v>
      </c>
      <c r="F512" s="18">
        <f>IF($A512&gt;'1-Input'!$B$26,D512,D512-'P-Parametri'!$B$8*(E512+D512)+MIN(MAX(E512,0),'P-Parametri'!$B$8*(E512+D512)))</f>
        <v>33242.0070309863</v>
      </c>
      <c r="G512" s="18">
        <f>IF($A512&gt;'1-Input'!$B$26,E512,E512-MIN(MAX(E512,0),'P-Parametri'!$B$8*(E512+D512)))</f>
        <v>375769.74941067252</v>
      </c>
      <c r="H512" s="18">
        <f>IF($A512&gt;'1-Input'!$B$26,H511,H511-C512*(1-B512))</f>
        <v>263917.09215643478</v>
      </c>
      <c r="I512" s="11">
        <f>IF($A512&gt;'1-Input'!$B$26,0,IF(N511&lt;=0,0,MAX(0,(N511-O511)/N511)))</f>
        <v>0.27802040541994261</v>
      </c>
      <c r="J512" s="18">
        <f>IF($A512&gt;'1-Input'!$B$26,0,(MAX(0,I506-IF($A512&gt;=('1-Input'!$C$12+1),'1-Input'!$B$12,0))-MIN(MAX(M511,0),MAX(0,I506-IF($A512&gt;=('1-Input'!$C$12+1),'1-Input'!$B$12,0))))*(1/(1-'P-Parametri'!$B$6*I512))+MIN(MAX(0,N511-(MAX(0,I506-IF($A512&gt;=('1-Input'!$C$12+1),'1-Input'!$B$12,0))-MIN(MAX(M511,0),MAX(0,I506-IF($A512&gt;=('1-Input'!$C$12+1),'1-Input'!$B$12,0))))*(1/(1-'P-Parametri'!$B$6*I512))),MAX(0,2*I506-(M511-MIN(MAX(M511,0),MAX(0,I506-IF($A512&gt;=('1-Input'!$C$12+1),'1-Input'!$B$12,0)))))*(1/(1-'P-Parametri'!$B$6*I512))))</f>
        <v>23829.295980946357</v>
      </c>
      <c r="K512" s="18">
        <f>IF($A512&gt;'1-Input'!$B$26,M511,(M511-MAX(0,I506-IF($A512&gt;=('1-Input'!$C$12+1),'1-Input'!$B$12,0))+J512*(1-'P-Parametri'!$B$6*I512))*(1+'1-Input'!$B$27))</f>
        <v>43739.482935508291</v>
      </c>
      <c r="L512" s="18">
        <f>IF($A512&gt;'1-Input'!$B$26,N511,(N511-J512)*(1+'5-Roberta'!$C$4))</f>
        <v>340426.43848238949</v>
      </c>
      <c r="M512" s="18">
        <f>IF($A512&gt;'1-Input'!$B$26,K512,K512-'P-Parametri'!$B$8*(L512+K512)+MIN(MAX(L512,0),'P-Parametri'!$B$8*(L512+K512)))</f>
        <v>43739.482935508291</v>
      </c>
      <c r="N512" s="18">
        <f>IF($A512&gt;'1-Input'!$B$26,L512,L512-MIN(MAX(L512,0),'P-Parametri'!$B$8*(L512+K512)))</f>
        <v>339658.10663955368</v>
      </c>
      <c r="O512" s="18">
        <f>IF($A512&gt;'1-Input'!$B$26,O511,O511-J512*(1-I512))</f>
        <v>238622.27382509553</v>
      </c>
      <c r="P512" s="11">
        <f>IF($A512&gt;'1-Input'!$B$26,0,IF(U511&lt;=0,0,MAX(0,(U511-V511)/U511)))</f>
        <v>0.27813532697434823</v>
      </c>
      <c r="Q512" s="18">
        <f>IF($A512&gt;'1-Input'!$B$26,0,(MAX(0,P506-IF($A512&gt;=('1-Input'!$C$12+1),'1-Input'!$B$12,0))-MIN(MAX(T511,0),MAX(0,P506-IF($A512&gt;=('1-Input'!$C$12+1),'1-Input'!$B$12,0))))*(1/(1-'P-Parametri'!$B$6*P512))+MIN(MAX(0,U511-(MAX(0,P506-IF($A512&gt;=('1-Input'!$C$12+1),'1-Input'!$B$12,0))-MIN(MAX(T511,0),MAX(0,P506-IF($A512&gt;=('1-Input'!$C$12+1),'1-Input'!$B$12,0))))*(1/(1-'P-Parametri'!$B$6*P512))),MAX(0,2*P506-(T511-MIN(MAX(T511,0),MAX(0,P506-IF($A512&gt;=('1-Input'!$C$12+1),'1-Input'!$B$12,0)))))*(1/(1-'P-Parametri'!$B$6*P512))))</f>
        <v>19412.572470775809</v>
      </c>
      <c r="R512" s="18">
        <f>IF($A512&gt;'1-Input'!$B$26,T511,(T511-MAX(0,P506-IF($A512&gt;=('1-Input'!$C$12+1),'1-Input'!$B$12,0))+Q512*(1-'P-Parametri'!$B$6*P512))*(1+'1-Input'!$B$27))</f>
        <v>35631.289129554178</v>
      </c>
      <c r="S512" s="18">
        <f>IF($A512&gt;'1-Input'!$B$26,U511,(U511-Q512)*(1+'5-Roberta'!$C$4))</f>
        <v>368358.42357831384</v>
      </c>
      <c r="T512" s="18">
        <f>IF($A512&gt;'1-Input'!$B$26,R512,R512-'P-Parametri'!$B$8*(S512+R512)+MIN(MAX(S512,0),'P-Parametri'!$B$8*(S512+R512)))</f>
        <v>35631.289129554178</v>
      </c>
      <c r="U512" s="18">
        <f>IF($A512&gt;'1-Input'!$B$26,S512,S512-MIN(MAX(S512,0),'P-Parametri'!$B$8*(S512+R512)))</f>
        <v>367550.4441528981</v>
      </c>
      <c r="V512" s="18">
        <f>IF($A512&gt;'1-Input'!$B$26,V511,V511-Q512*(1-P512))</f>
        <v>258160.12911903305</v>
      </c>
      <c r="W512" s="11">
        <f>IF($A512&gt;'1-Input'!$B$26,0,IF(AB511&lt;=0,0,MAX(0,(AB511-AC511)/AB511)))</f>
        <v>0.27813931475736892</v>
      </c>
      <c r="X512" s="18">
        <f>IF($A512&gt;'1-Input'!$B$26,0,(MAX(0,W506-IF($A512&gt;=('1-Input'!$C$12+1),'1-Input'!$B$12,0))-MIN(MAX(AA511,0),MAX(0,W506-IF($A512&gt;=('1-Input'!$C$12+1),'1-Input'!$B$12,0))))*(1/(1-'P-Parametri'!$B$6*W512))+MIN(MAX(0,AB511-(MAX(0,W506-IF($A512&gt;=('1-Input'!$C$12+1),'1-Input'!$B$12,0))-MIN(MAX(AA511,0),MAX(0,W506-IF($A512&gt;=('1-Input'!$C$12+1),'1-Input'!$B$12,0))))*(1/(1-'P-Parametri'!$B$6*W512))),MAX(0,2*W506-(AA511-MIN(MAX(AA511,0),MAX(0,W506-IF($A512&gt;=('1-Input'!$C$12+1),'1-Input'!$B$12,0)))))*(1/(1-'P-Parametri'!$B$6*W512))))</f>
        <v>19251.470155820905</v>
      </c>
      <c r="Y512" s="18">
        <f>IF($A512&gt;'1-Input'!$B$26,AA511,(AA511-MAX(0,W506-IF($A512&gt;=('1-Input'!$C$12+1),'1-Input'!$B$12,0))+X512*(1-'P-Parametri'!$B$6*W512))*(1+'1-Input'!$B$27))</f>
        <v>35335.550384623006</v>
      </c>
      <c r="Z512" s="18">
        <f>IF($A512&gt;'1-Input'!$B$26,AB511,(AB511-X512)*(1+'5-Roberta'!$C$4))</f>
        <v>369377.22955880198</v>
      </c>
      <c r="AA512" s="18">
        <f>IF($A512&gt;'1-Input'!$B$26,Y512,Y512-'P-Parametri'!$B$8*(Z512+Y512)+MIN(MAX(Z512,0),'P-Parametri'!$B$8*(Z512+Y512)))</f>
        <v>35335.550384623006</v>
      </c>
      <c r="AB512" s="18">
        <f>IF($A512&gt;'1-Input'!$B$26,Z512,Z512-MIN(MAX(Z512,0),'P-Parametri'!$B$8*(Z512+Y512)))</f>
        <v>368567.80399891513</v>
      </c>
      <c r="AC512" s="18">
        <f>IF($A512&gt;'1-Input'!$B$26,AC511,AC511-X512*(1-W512))</f>
        <v>258872.71848771011</v>
      </c>
      <c r="AD512" s="11">
        <f>IF($A512&gt;'1-Input'!$B$26,0,IF(AI511&lt;=0,0,MAX(0,(AI511-AJ511)/AI511)))</f>
        <v>0.27813963169840161</v>
      </c>
      <c r="AE512" s="18">
        <f>IF($A512&gt;'1-Input'!$B$26,0,(MAX(0,AD506-IF($A512&gt;=('1-Input'!$C$12+1),'1-Input'!$B$12,0))-MIN(MAX(AH511,0),MAX(0,AD506-IF($A512&gt;=('1-Input'!$C$12+1),'1-Input'!$B$12,0))))*(1/(1-'P-Parametri'!$B$6*AD512))+MIN(MAX(0,AI511-(MAX(0,AD506-IF($A512&gt;=('1-Input'!$C$12+1),'1-Input'!$B$12,0))-MIN(MAX(AH511,0),MAX(0,AD506-IF($A512&gt;=('1-Input'!$C$12+1),'1-Input'!$B$12,0))))*(1/(1-'P-Parametri'!$B$6*AD512))),MAX(0,2*AD506-(AH511-MIN(MAX(AH511,0),MAX(0,AD506-IF($A512&gt;=('1-Input'!$C$12+1),'1-Input'!$B$12,0)))))*(1/(1-'P-Parametri'!$B$6*AD512))))</f>
        <v>19238.642416344166</v>
      </c>
      <c r="AF512" s="18">
        <f>IF($A512&gt;'1-Input'!$B$26,AH511,(AH511-MAX(0,AD506-IF($A512&gt;=('1-Input'!$C$12+1),'1-Input'!$B$12,0))+AE512*(1-'P-Parametri'!$B$6*AD512))*(1+'1-Input'!$B$27))</f>
        <v>35312.002280650035</v>
      </c>
      <c r="AG512" s="18">
        <f>IF($A512&gt;'1-Input'!$B$26,AI511,(AI511-AE512)*(1+'5-Roberta'!$C$4))</f>
        <v>369458.35170042922</v>
      </c>
      <c r="AH512" s="18">
        <f>IF($A512&gt;'1-Input'!$B$26,AF512,AF512-'P-Parametri'!$B$8*(AG512+AF512)+MIN(MAX(AG512,0),'P-Parametri'!$B$8*(AG512+AF512)))</f>
        <v>35312.002280650035</v>
      </c>
      <c r="AI512" s="18">
        <f>IF($A512&gt;'1-Input'!$B$26,AG512,AG512-MIN(MAX(AG512,0),'P-Parametri'!$B$8*(AG512+AF512)))</f>
        <v>368648.81099246704</v>
      </c>
      <c r="AJ512" s="18">
        <f>IF($A512&gt;'1-Input'!$B$26,AJ511,AJ511-AE512*(1-AD512))</f>
        <v>258929.45808793523</v>
      </c>
      <c r="AK512" s="11">
        <f>IF($A512&gt;'1-Input'!$B$26,0,IF(AP511&lt;=0,0,MAX(0,(AP511-AQ511)/AP511)))</f>
        <v>0.27813963143268167</v>
      </c>
      <c r="AL512" s="18">
        <f>IF($A512&gt;'1-Input'!$B$26,0,(MAX(0,AK506-IF($A512&gt;=('1-Input'!$C$12+1),'1-Input'!$B$12,0))-MIN(MAX(AO511,0),MAX(0,AK506-IF($A512&gt;=('1-Input'!$C$12+1),'1-Input'!$B$12,0))))*(1/(1-'P-Parametri'!$B$6*AK512))+MIN(MAX(0,AP511-(MAX(0,AK506-IF($A512&gt;=('1-Input'!$C$12+1),'1-Input'!$B$12,0))-MIN(MAX(AO511,0),MAX(0,AK506-IF($A512&gt;=('1-Input'!$C$12+1),'1-Input'!$B$12,0))))*(1/(1-'P-Parametri'!$B$6*AK512))),MAX(0,2*AK506-(AO511-MIN(MAX(AO511,0),MAX(0,AK506-IF($A512&gt;=('1-Input'!$C$12+1),'1-Input'!$B$12,0)))))*(1/(1-'P-Parametri'!$B$6*AK512))))</f>
        <v>19238.653172437516</v>
      </c>
      <c r="AM512" s="18">
        <f>IF($A512&gt;'1-Input'!$B$26,AO511,(AO511-MAX(0,AK506-IF($A512&gt;=('1-Input'!$C$12+1),'1-Input'!$B$12,0))+AL512*(1-'P-Parametri'!$B$6*AK512))*(1+'1-Input'!$B$27))</f>
        <v>35312.022025795166</v>
      </c>
      <c r="AN512" s="18">
        <f>IF($A512&gt;'1-Input'!$B$26,AP511,(AP511-AL512)*(1+'5-Roberta'!$C$4))</f>
        <v>369458.28367930459</v>
      </c>
      <c r="AO512" s="18">
        <f>IF($A512&gt;'1-Input'!$B$26,AM512,AM512-'P-Parametri'!$B$8*(AN512+AM512)+MIN(MAX(AN512,0),'P-Parametri'!$B$8*(AN512+AM512)))</f>
        <v>35312.022025795166</v>
      </c>
      <c r="AP512" s="18">
        <f>IF($A512&gt;'1-Input'!$B$26,AN512,AN512-MIN(MAX(AN512,0),'P-Parametri'!$B$8*(AN512+AM512)))</f>
        <v>368648.74306789436</v>
      </c>
      <c r="AQ512" s="18">
        <f>IF($A512&gt;'1-Input'!$B$26,AQ511,AQ511-AL512*(1-AK512))</f>
        <v>258929.41051164237</v>
      </c>
    </row>
    <row r="513" spans="1:43">
      <c r="A513" s="10">
        <f>5</f>
        <v>5</v>
      </c>
      <c r="B513" s="11">
        <f>IF($A513&gt;'1-Input'!$B$26,0,IF(G512&lt;=0,0,MAX(0,(G512-H512)/G512)))</f>
        <v>0.29766275073940512</v>
      </c>
      <c r="C513" s="18">
        <f>IF($A513&gt;'1-Input'!$B$26,0,(MAX(0,B506-IF($A513&gt;=('1-Input'!$C$12+1),'1-Input'!$B$12,0))-MIN(MAX(F512,0),MAX(0,B506-IF($A513&gt;=('1-Input'!$C$12+1),'1-Input'!$B$12,0))))*(1/(1-'P-Parametri'!$B$6*B513))+MIN(MAX(0,G512-(MAX(0,B506-IF($A513&gt;=('1-Input'!$C$12+1),'1-Input'!$B$12,0))-MIN(MAX(F512,0),MAX(0,B506-IF($A513&gt;=('1-Input'!$C$12+1),'1-Input'!$B$12,0))))*(1/(1-'P-Parametri'!$B$6*B513))),MAX(0,2*B506-(F512-MIN(MAX(F512,0),MAX(0,B506-IF($A513&gt;=('1-Input'!$C$12+1),'1-Input'!$B$12,0)))))*(1/(1-'P-Parametri'!$B$6*B513))))</f>
        <v>18210.512647520372</v>
      </c>
      <c r="D513" s="18">
        <f>IF($A513&gt;'1-Input'!$B$26,F512,(F512-MAX(0,B506-IF($A513&gt;=('1-Input'!$C$12+1),'1-Input'!$B$12,0))+C513*(1-'P-Parametri'!$B$6*B513))*(1+'1-Input'!$B$27))</f>
        <v>33242.0070309863</v>
      </c>
      <c r="E513" s="18">
        <f>IF($A513&gt;'1-Input'!$B$26,G512,(G512-C513)*(1+'5-Roberta'!$C$4))</f>
        <v>368286.01386604673</v>
      </c>
      <c r="F513" s="18">
        <f>IF($A513&gt;'1-Input'!$B$26,D513,D513-'P-Parametri'!$B$8*(E513+D513)+MIN(MAX(E513,0),'P-Parametri'!$B$8*(E513+D513)))</f>
        <v>33242.0070309863</v>
      </c>
      <c r="G513" s="18">
        <f>IF($A513&gt;'1-Input'!$B$26,E513,E513-MIN(MAX(E513,0),'P-Parametri'!$B$8*(E513+D513)))</f>
        <v>367482.95782425266</v>
      </c>
      <c r="H513" s="18">
        <f>IF($A513&gt;'1-Input'!$B$26,H512,H512-C513*(1-B513))</f>
        <v>251127.17079595005</v>
      </c>
      <c r="I513" s="11">
        <f>IF($A513&gt;'1-Input'!$B$26,0,IF(N512&lt;=0,0,MAX(0,(N512-O512)/N512)))</f>
        <v>0.29746333398035957</v>
      </c>
      <c r="J513" s="18">
        <f>IF($A513&gt;'1-Input'!$B$26,0,(MAX(0,I506-IF($A513&gt;=('1-Input'!$C$12+1),'1-Input'!$B$12,0))-MIN(MAX(M512,0),MAX(0,I506-IF($A513&gt;=('1-Input'!$C$12+1),'1-Input'!$B$12,0))))*(1/(1-'P-Parametri'!$B$6*I513))+MIN(MAX(0,N512-(MAX(0,I506-IF($A513&gt;=('1-Input'!$C$12+1),'1-Input'!$B$12,0))-MIN(MAX(M512,0),MAX(0,I506-IF($A513&gt;=('1-Input'!$C$12+1),'1-Input'!$B$12,0))))*(1/(1-'P-Parametri'!$B$6*I513))),MAX(0,2*I506-(M512-MIN(MAX(M512,0),MAX(0,I506-IF($A513&gt;=('1-Input'!$C$12+1),'1-Input'!$B$12,0)))))*(1/(1-'P-Parametri'!$B$6*I513))))</f>
        <v>23959.854365176598</v>
      </c>
      <c r="K513" s="18">
        <f>IF($A513&gt;'1-Input'!$B$26,M512,(M512-MAX(0,I506-IF($A513&gt;=('1-Input'!$C$12+1),'1-Input'!$B$12,0))+J513*(1-'P-Parametri'!$B$6*I513))*(1+'1-Input'!$B$27))</f>
        <v>43739.482935508291</v>
      </c>
      <c r="L513" s="18">
        <f>IF($A513&gt;'1-Input'!$B$26,N512,(N512-J513)*(1+'5-Roberta'!$C$4))</f>
        <v>325169.19984260842</v>
      </c>
      <c r="M513" s="18">
        <f>IF($A513&gt;'1-Input'!$B$26,K513,K513-'P-Parametri'!$B$8*(L513+K513)+MIN(MAX(L513,0),'P-Parametri'!$B$8*(L513+K513)))</f>
        <v>43739.482935508291</v>
      </c>
      <c r="N513" s="18">
        <f>IF($A513&gt;'1-Input'!$B$26,L513,L513-MIN(MAX(L513,0),'P-Parametri'!$B$8*(L513+K513)))</f>
        <v>324431.38247705216</v>
      </c>
      <c r="O513" s="18">
        <f>IF($A513&gt;'1-Input'!$B$26,O512,O512-J513*(1-I513))</f>
        <v>221789.59762106824</v>
      </c>
      <c r="P513" s="11">
        <f>IF($A513&gt;'1-Input'!$B$26,0,IF(U512&lt;=0,0,MAX(0,(U512-V512)/U512)))</f>
        <v>0.29761986898418635</v>
      </c>
      <c r="Q513" s="18">
        <f>IF($A513&gt;'1-Input'!$B$26,0,(MAX(0,P506-IF($A513&gt;=('1-Input'!$C$12+1),'1-Input'!$B$12,0))-MIN(MAX(T512,0),MAX(0,P506-IF($A513&gt;=('1-Input'!$C$12+1),'1-Input'!$B$12,0))))*(1/(1-'P-Parametri'!$B$6*P513))+MIN(MAX(0,U512-(MAX(0,P506-IF($A513&gt;=('1-Input'!$C$12+1),'1-Input'!$B$12,0))-MIN(MAX(T512,0),MAX(0,P506-IF($A513&gt;=('1-Input'!$C$12+1),'1-Input'!$B$12,0))))*(1/(1-'P-Parametri'!$B$6*P513))),MAX(0,2*P506-(T512-MIN(MAX(T512,0),MAX(0,P506-IF($A513&gt;=('1-Input'!$C$12+1),'1-Input'!$B$12,0)))))*(1/(1-'P-Parametri'!$B$6*P513))))</f>
        <v>19519.164400361205</v>
      </c>
      <c r="R513" s="18">
        <f>IF($A513&gt;'1-Input'!$B$26,T512,(T512-MAX(0,P506-IF($A513&gt;=('1-Input'!$C$12+1),'1-Input'!$B$12,0))+Q513*(1-'P-Parametri'!$B$6*P513))*(1+'1-Input'!$B$27))</f>
        <v>35631.289129554178</v>
      </c>
      <c r="S513" s="18">
        <f>IF($A513&gt;'1-Input'!$B$26,U512,(U512-Q513)*(1+'5-Roberta'!$C$4))</f>
        <v>358472.21814511303</v>
      </c>
      <c r="T513" s="18">
        <f>IF($A513&gt;'1-Input'!$B$26,R513,R513-'P-Parametri'!$B$8*(S513+R513)+MIN(MAX(S513,0),'P-Parametri'!$B$8*(S513+R513)))</f>
        <v>35631.289129554178</v>
      </c>
      <c r="U513" s="18">
        <f>IF($A513&gt;'1-Input'!$B$26,S513,S513-MIN(MAX(S513,0),'P-Parametri'!$B$8*(S513+R513)))</f>
        <v>357684.01113056368</v>
      </c>
      <c r="V513" s="18">
        <f>IF($A513&gt;'1-Input'!$B$26,V512,V512-Q513*(1-P513))</f>
        <v>244450.25587018815</v>
      </c>
      <c r="W513" s="11">
        <f>IF($A513&gt;'1-Input'!$B$26,0,IF(AB512&lt;=0,0,MAX(0,(AB512-AC512)/AB512)))</f>
        <v>0.29762525191030498</v>
      </c>
      <c r="X513" s="18">
        <f>IF($A513&gt;'1-Input'!$B$26,0,(MAX(0,W506-IF($A513&gt;=('1-Input'!$C$12+1),'1-Input'!$B$12,0))-MIN(MAX(AA512,0),MAX(0,W506-IF($A513&gt;=('1-Input'!$C$12+1),'1-Input'!$B$12,0))))*(1/(1-'P-Parametri'!$B$6*W513))+MIN(MAX(0,AB512-(MAX(0,W506-IF($A513&gt;=('1-Input'!$C$12+1),'1-Input'!$B$12,0))-MIN(MAX(AA512,0),MAX(0,W506-IF($A513&gt;=('1-Input'!$C$12+1),'1-Input'!$B$12,0))))*(1/(1-'P-Parametri'!$B$6*W513))),MAX(0,2*W506-(AA512-MIN(MAX(AA512,0),MAX(0,W506-IF($A513&gt;=('1-Input'!$C$12+1),'1-Input'!$B$12,0)))))*(1/(1-'P-Parametri'!$B$6*W513))))</f>
        <v>19357.185222670436</v>
      </c>
      <c r="Y513" s="18">
        <f>IF($A513&gt;'1-Input'!$B$26,AA512,(AA512-MAX(0,W506-IF($A513&gt;=('1-Input'!$C$12+1),'1-Input'!$B$12,0))+X513*(1-'P-Parametri'!$B$6*W513))*(1+'1-Input'!$B$27))</f>
        <v>35335.550384623006</v>
      </c>
      <c r="Z513" s="18">
        <f>IF($A513&gt;'1-Input'!$B$26,AB512,(AB512-X513)*(1+'5-Roberta'!$C$4))</f>
        <v>359686.93733953207</v>
      </c>
      <c r="AA513" s="18">
        <f>IF($A513&gt;'1-Input'!$B$26,Y513,Y513-'P-Parametri'!$B$8*(Z513+Y513)+MIN(MAX(Z513,0),'P-Parametri'!$B$8*(Z513+Y513)))</f>
        <v>35335.550384623006</v>
      </c>
      <c r="AB513" s="18">
        <f>IF($A513&gt;'1-Input'!$B$26,Z513,Z513-MIN(MAX(Z513,0),'P-Parametri'!$B$8*(Z513+Y513)))</f>
        <v>358896.89236408379</v>
      </c>
      <c r="AC513" s="18">
        <f>IF($A513&gt;'1-Input'!$B$26,AC512,AC512-X513*(1-W513))</f>
        <v>245276.72039321141</v>
      </c>
      <c r="AD513" s="11">
        <f>IF($A513&gt;'1-Input'!$B$26,0,IF(AI512&lt;=0,0,MAX(0,(AI512-AJ512)/AI512)))</f>
        <v>0.29762567959774</v>
      </c>
      <c r="AE513" s="18">
        <f>IF($A513&gt;'1-Input'!$B$26,0,(MAX(0,AD506-IF($A513&gt;=('1-Input'!$C$12+1),'1-Input'!$B$12,0))-MIN(MAX(AH512,0),MAX(0,AD506-IF($A513&gt;=('1-Input'!$C$12+1),'1-Input'!$B$12,0))))*(1/(1-'P-Parametri'!$B$6*AD513))+MIN(MAX(0,AI512-(MAX(0,AD506-IF($A513&gt;=('1-Input'!$C$12+1),'1-Input'!$B$12,0))-MIN(MAX(AH512,0),MAX(0,AD506-IF($A513&gt;=('1-Input'!$C$12+1),'1-Input'!$B$12,0))))*(1/(1-'P-Parametri'!$B$6*AD513))),MAX(0,2*AD506-(AH512-MIN(MAX(AH512,0),MAX(0,AD506-IF($A513&gt;=('1-Input'!$C$12+1),'1-Input'!$B$12,0)))))*(1/(1-'P-Parametri'!$B$6*AD513))))</f>
        <v>19344.287655735618</v>
      </c>
      <c r="AF513" s="18">
        <f>IF($A513&gt;'1-Input'!$B$26,AH512,(AH512-MAX(0,AD506-IF($A513&gt;=('1-Input'!$C$12+1),'1-Input'!$B$12,0))+AE513*(1-'P-Parametri'!$B$6*AD513))*(1+'1-Input'!$B$27))</f>
        <v>35312.002280650035</v>
      </c>
      <c r="AG513" s="18">
        <f>IF($A513&gt;'1-Input'!$B$26,AI512,(AI512-AE513)*(1+'5-Roberta'!$C$4))</f>
        <v>359783.65903683339</v>
      </c>
      <c r="AH513" s="18">
        <f>IF($A513&gt;'1-Input'!$B$26,AF513,AF513-'P-Parametri'!$B$8*(AG513+AF513)+MIN(MAX(AG513,0),'P-Parametri'!$B$8*(AG513+AF513)))</f>
        <v>35312.002280650035</v>
      </c>
      <c r="AI513" s="18">
        <f>IF($A513&gt;'1-Input'!$B$26,AG513,AG513-MIN(MAX(AG513,0),'P-Parametri'!$B$8*(AG513+AF513)))</f>
        <v>358993.4677141984</v>
      </c>
      <c r="AJ513" s="18">
        <f>IF($A513&gt;'1-Input'!$B$26,AJ512,AJ512-AE513*(1-AD513))</f>
        <v>245342.5271920721</v>
      </c>
      <c r="AK513" s="11">
        <f>IF($A513&gt;'1-Input'!$B$26,0,IF(AP512&lt;=0,0,MAX(0,(AP512-AQ512)/AP512)))</f>
        <v>0.29762567923917993</v>
      </c>
      <c r="AL513" s="18">
        <f>IF($A513&gt;'1-Input'!$B$26,0,(MAX(0,AK506-IF($A513&gt;=('1-Input'!$C$12+1),'1-Input'!$B$12,0))-MIN(MAX(AO512,0),MAX(0,AK506-IF($A513&gt;=('1-Input'!$C$12+1),'1-Input'!$B$12,0))))*(1/(1-'P-Parametri'!$B$6*AK513))+MIN(MAX(0,AP512-(MAX(0,AK506-IF($A513&gt;=('1-Input'!$C$12+1),'1-Input'!$B$12,0))-MIN(MAX(AO512,0),MAX(0,AK506-IF($A513&gt;=('1-Input'!$C$12+1),'1-Input'!$B$12,0))))*(1/(1-'P-Parametri'!$B$6*AK513))),MAX(0,2*AK506-(AO512-MIN(MAX(AO512,0),MAX(0,AK506-IF($A513&gt;=('1-Input'!$C$12+1),'1-Input'!$B$12,0)))))*(1/(1-'P-Parametri'!$B$6*AK513))))</f>
        <v>19344.298470379941</v>
      </c>
      <c r="AM513" s="18">
        <f>IF($A513&gt;'1-Input'!$B$26,AO512,(AO512-MAX(0,AK506-IF($A513&gt;=('1-Input'!$C$12+1),'1-Input'!$B$12,0))+AL513*(1-'P-Parametri'!$B$6*AK513))*(1+'1-Input'!$B$27))</f>
        <v>35312.022025795173</v>
      </c>
      <c r="AN513" s="18">
        <f>IF($A513&gt;'1-Input'!$B$26,AP512,(AP512-AL513)*(1+'5-Roberta'!$C$4))</f>
        <v>359783.57793543983</v>
      </c>
      <c r="AO513" s="18">
        <f>IF($A513&gt;'1-Input'!$B$26,AM513,AM513-'P-Parametri'!$B$8*(AN513+AM513)+MIN(MAX(AN513,0),'P-Parametri'!$B$8*(AN513+AM513)))</f>
        <v>35312.022025795173</v>
      </c>
      <c r="AP513" s="18">
        <f>IF($A513&gt;'1-Input'!$B$26,AN513,AN513-MIN(MAX(AN513,0),'P-Parametri'!$B$8*(AN513+AM513)))</f>
        <v>358993.38673551736</v>
      </c>
      <c r="AQ513" s="18">
        <f>IF($A513&gt;'1-Input'!$B$26,AQ512,AQ512-AL513*(1-AK513))</f>
        <v>245342.47201291469</v>
      </c>
    </row>
    <row r="514" spans="1:43">
      <c r="A514" s="10">
        <f>6</f>
        <v>6</v>
      </c>
      <c r="B514" s="11">
        <f>IF($A514&gt;'1-Input'!$B$26,0,IF(G513&lt;=0,0,MAX(0,(G513-H513)/G513)))</f>
        <v>0.31662906959606363</v>
      </c>
      <c r="C514" s="18">
        <f>IF($A514&gt;'1-Input'!$B$26,0,(MAX(0,B506-IF($A514&gt;=('1-Input'!$C$12+1),'1-Input'!$B$12,0))-MIN(MAX(F513,0),MAX(0,B506-IF($A514&gt;=('1-Input'!$C$12+1),'1-Input'!$B$12,0))))*(1/(1-'P-Parametri'!$B$6*B514))+MIN(MAX(0,G513-(MAX(0,B506-IF($A514&gt;=('1-Input'!$C$12+1),'1-Input'!$B$12,0))-MIN(MAX(F513,0),MAX(0,B506-IF($A514&gt;=('1-Input'!$C$12+1),'1-Input'!$B$12,0))))*(1/(1-'P-Parametri'!$B$6*B514))),MAX(0,2*B506-(F513-MIN(MAX(F513,0),MAX(0,B506-IF($A514&gt;=('1-Input'!$C$12+1),'1-Input'!$B$12,0)))))*(1/(1-'P-Parametri'!$B$6*B514))))</f>
        <v>18308.368991159059</v>
      </c>
      <c r="D514" s="18">
        <f>IF($A514&gt;'1-Input'!$B$26,F513,(F513-MAX(0,B506-IF($A514&gt;=('1-Input'!$C$12+1),'1-Input'!$B$12,0))+C514*(1-'P-Parametri'!$B$6*B514))*(1+'1-Input'!$B$27))</f>
        <v>33242.0070309863</v>
      </c>
      <c r="E514" s="18">
        <f>IF($A514&gt;'1-Input'!$B$26,G513,(G513-C514)*(1+'5-Roberta'!$C$4))</f>
        <v>359649.82649808639</v>
      </c>
      <c r="F514" s="18">
        <f>IF($A514&gt;'1-Input'!$B$26,D514,D514-'P-Parametri'!$B$8*(E514+D514)+MIN(MAX(E514,0),'P-Parametri'!$B$8*(E514+D514)))</f>
        <v>33242.0070309863</v>
      </c>
      <c r="G514" s="18">
        <f>IF($A514&gt;'1-Input'!$B$26,E514,E514-MIN(MAX(E514,0),'P-Parametri'!$B$8*(E514+D514)))</f>
        <v>358864.04283102823</v>
      </c>
      <c r="H514" s="18">
        <f>IF($A514&gt;'1-Input'!$B$26,H513,H513-C514*(1-B514))</f>
        <v>238615.76364428311</v>
      </c>
      <c r="I514" s="11">
        <f>IF($A514&gt;'1-Input'!$B$26,0,IF(N513&lt;=0,0,MAX(0,(N513-O513)/N513)))</f>
        <v>0.31637440272364536</v>
      </c>
      <c r="J514" s="18">
        <f>IF($A514&gt;'1-Input'!$B$26,0,(MAX(0,I506-IF($A514&gt;=('1-Input'!$C$12+1),'1-Input'!$B$12,0))-MIN(MAX(M513,0),MAX(0,I506-IF($A514&gt;=('1-Input'!$C$12+1),'1-Input'!$B$12,0))))*(1/(1-'P-Parametri'!$B$6*I514))+MIN(MAX(0,N513-(MAX(0,I506-IF($A514&gt;=('1-Input'!$C$12+1),'1-Input'!$B$12,0))-MIN(MAX(M513,0),MAX(0,I506-IF($A514&gt;=('1-Input'!$C$12+1),'1-Input'!$B$12,0))))*(1/(1-'P-Parametri'!$B$6*I514))),MAX(0,2*I506-(M513-MIN(MAX(M513,0),MAX(0,I506-IF($A514&gt;=('1-Input'!$C$12+1),'1-Input'!$B$12,0)))))*(1/(1-'P-Parametri'!$B$6*I514))))</f>
        <v>24088.221154161765</v>
      </c>
      <c r="K514" s="18">
        <f>IF($A514&gt;'1-Input'!$B$26,M513,(M513-MAX(0,I506-IF($A514&gt;=('1-Input'!$C$12+1),'1-Input'!$B$12,0))+J514*(1-'P-Parametri'!$B$6*I514))*(1+'1-Input'!$B$27))</f>
        <v>43739.482935508291</v>
      </c>
      <c r="L514" s="18">
        <f>IF($A514&gt;'1-Input'!$B$26,N513,(N513-J514)*(1+'5-Roberta'!$C$4))</f>
        <v>309353.45616257709</v>
      </c>
      <c r="M514" s="18">
        <f>IF($A514&gt;'1-Input'!$B$26,K514,K514-'P-Parametri'!$B$8*(L514+K514)+MIN(MAX(L514,0),'P-Parametri'!$B$8*(L514+K514)))</f>
        <v>43739.482935508291</v>
      </c>
      <c r="N514" s="18">
        <f>IF($A514&gt;'1-Input'!$B$26,L514,L514-MIN(MAX(L514,0),'P-Parametri'!$B$8*(L514+K514)))</f>
        <v>308647.27028438094</v>
      </c>
      <c r="O514" s="18">
        <f>IF($A514&gt;'1-Input'!$B$26,O513,O513-J514*(1-I514))</f>
        <v>205322.27304722948</v>
      </c>
      <c r="P514" s="11">
        <f>IF($A514&gt;'1-Input'!$B$26,0,IF(U513&lt;=0,0,MAX(0,(U513-V513)/U513)))</f>
        <v>0.31657483067936842</v>
      </c>
      <c r="Q514" s="18">
        <f>IF($A514&gt;'1-Input'!$B$26,0,(MAX(0,P506-IF($A514&gt;=('1-Input'!$C$12+1),'1-Input'!$B$12,0))-MIN(MAX(T513,0),MAX(0,P506-IF($A514&gt;=('1-Input'!$C$12+1),'1-Input'!$B$12,0))))*(1/(1-'P-Parametri'!$B$6*P514))+MIN(MAX(0,U513-(MAX(0,P506-IF($A514&gt;=('1-Input'!$C$12+1),'1-Input'!$B$12,0))-MIN(MAX(T513,0),MAX(0,P506-IF($A514&gt;=('1-Input'!$C$12+1),'1-Input'!$B$12,0))))*(1/(1-'P-Parametri'!$B$6*P514))),MAX(0,2*P506-(T513-MIN(MAX(T513,0),MAX(0,P506-IF($A514&gt;=('1-Input'!$C$12+1),'1-Input'!$B$12,0)))))*(1/(1-'P-Parametri'!$B$6*P514))))</f>
        <v>19623.988520152459</v>
      </c>
      <c r="R514" s="18">
        <f>IF($A514&gt;'1-Input'!$B$26,T513,(T513-MAX(0,P506-IF($A514&gt;=('1-Input'!$C$12+1),'1-Input'!$B$12,0))+Q514*(1-'P-Parametri'!$B$6*P514))*(1+'1-Input'!$B$27))</f>
        <v>35631.28912955417</v>
      </c>
      <c r="S514" s="18">
        <f>IF($A514&gt;'1-Input'!$B$26,U513,(U513-Q514)*(1+'5-Roberta'!$C$4))</f>
        <v>348201.82328872359</v>
      </c>
      <c r="T514" s="18">
        <f>IF($A514&gt;'1-Input'!$B$26,R514,R514-'P-Parametri'!$B$8*(S514+R514)+MIN(MAX(S514,0),'P-Parametri'!$B$8*(S514+R514)))</f>
        <v>35631.28912955417</v>
      </c>
      <c r="U514" s="18">
        <f>IF($A514&gt;'1-Input'!$B$26,S514,S514-MIN(MAX(S514,0),'P-Parametri'!$B$8*(S514+R514)))</f>
        <v>347434.15706388705</v>
      </c>
      <c r="V514" s="18">
        <f>IF($A514&gt;'1-Input'!$B$26,V513,V513-Q514*(1-P514))</f>
        <v>231038.72819305683</v>
      </c>
      <c r="W514" s="11">
        <f>IF($A514&gt;'1-Input'!$B$26,0,IF(AB513&lt;=0,0,MAX(0,(AB513-AC513)/AB513)))</f>
        <v>0.31658165447587699</v>
      </c>
      <c r="X514" s="18">
        <f>IF($A514&gt;'1-Input'!$B$26,0,(MAX(0,W506-IF($A514&gt;=('1-Input'!$C$12+1),'1-Input'!$B$12,0))-MIN(MAX(AA513,0),MAX(0,W506-IF($A514&gt;=('1-Input'!$C$12+1),'1-Input'!$B$12,0))))*(1/(1-'P-Parametri'!$B$6*W514))+MIN(MAX(0,AB513-(MAX(0,W506-IF($A514&gt;=('1-Input'!$C$12+1),'1-Input'!$B$12,0))-MIN(MAX(AA513,0),MAX(0,W506-IF($A514&gt;=('1-Input'!$C$12+1),'1-Input'!$B$12,0))))*(1/(1-'P-Parametri'!$B$6*W514))),MAX(0,2*W506-(AA513-MIN(MAX(AA513,0),MAX(0,W506-IF($A514&gt;=('1-Input'!$C$12+1),'1-Input'!$B$12,0)))))*(1/(1-'P-Parametri'!$B$6*W514))))</f>
        <v>19461.147565892217</v>
      </c>
      <c r="Y514" s="18">
        <f>IF($A514&gt;'1-Input'!$B$26,AA513,(AA513-MAX(0,W506-IF($A514&gt;=('1-Input'!$C$12+1),'1-Input'!$B$12,0))+X514*(1-'P-Parametri'!$B$6*W514))*(1+'1-Input'!$B$27))</f>
        <v>35335.550384623006</v>
      </c>
      <c r="Z514" s="18">
        <f>IF($A514&gt;'1-Input'!$B$26,AB513,(AB513-X514)*(1+'5-Roberta'!$C$4))</f>
        <v>349618.81714213733</v>
      </c>
      <c r="AA514" s="18">
        <f>IF($A514&gt;'1-Input'!$B$26,Y514,Y514-'P-Parametri'!$B$8*(Z514+Y514)+MIN(MAX(Z514,0),'P-Parametri'!$B$8*(Z514+Y514)))</f>
        <v>35335.550384623006</v>
      </c>
      <c r="AB514" s="18">
        <f>IF($A514&gt;'1-Input'!$B$26,Z514,Z514-MIN(MAX(Z514,0),'P-Parametri'!$B$8*(Z514+Y514)))</f>
        <v>348848.90840708383</v>
      </c>
      <c r="AC514" s="18">
        <f>IF($A514&gt;'1-Input'!$B$26,AC513,AC513-X514*(1-W514))</f>
        <v>231976.61512172854</v>
      </c>
      <c r="AD514" s="11">
        <f>IF($A514&gt;'1-Input'!$B$26,0,IF(AI513&lt;=0,0,MAX(0,(AI513-AJ513)/AI513)))</f>
        <v>0.31658219645546865</v>
      </c>
      <c r="AE514" s="18">
        <f>IF($A514&gt;'1-Input'!$B$26,0,(MAX(0,AD506-IF($A514&gt;=('1-Input'!$C$12+1),'1-Input'!$B$12,0))-MIN(MAX(AH513,0),MAX(0,AD506-IF($A514&gt;=('1-Input'!$C$12+1),'1-Input'!$B$12,0))))*(1/(1-'P-Parametri'!$B$6*AD514))+MIN(MAX(0,AI513-(MAX(0,AD506-IF($A514&gt;=('1-Input'!$C$12+1),'1-Input'!$B$12,0))-MIN(MAX(AH513,0),MAX(0,AD506-IF($A514&gt;=('1-Input'!$C$12+1),'1-Input'!$B$12,0))))*(1/(1-'P-Parametri'!$B$6*AD514))),MAX(0,2*AD506-(AH513-MIN(MAX(AH513,0),MAX(0,AD506-IF($A514&gt;=('1-Input'!$C$12+1),'1-Input'!$B$12,0)))))*(1/(1-'P-Parametri'!$B$6*AD514))))</f>
        <v>19448.181371869141</v>
      </c>
      <c r="AF514" s="18">
        <f>IF($A514&gt;'1-Input'!$B$26,AH513,(AH513-MAX(0,AD506-IF($A514&gt;=('1-Input'!$C$12+1),'1-Input'!$B$12,0))+AE514*(1-'P-Parametri'!$B$6*AD514))*(1+'1-Input'!$B$27))</f>
        <v>35312.002280650035</v>
      </c>
      <c r="AG514" s="18">
        <f>IF($A514&gt;'1-Input'!$B$26,AI513,(AI513-AE514)*(1+'5-Roberta'!$C$4))</f>
        <v>349731.6449325991</v>
      </c>
      <c r="AH514" s="18">
        <f>IF($A514&gt;'1-Input'!$B$26,AF514,AF514-'P-Parametri'!$B$8*(AG514+AF514)+MIN(MAX(AG514,0),'P-Parametri'!$B$8*(AG514+AF514)))</f>
        <v>35312.002280650035</v>
      </c>
      <c r="AI514" s="18">
        <f>IF($A514&gt;'1-Input'!$B$26,AG514,AG514-MIN(MAX(AG514,0),'P-Parametri'!$B$8*(AG514+AF514)))</f>
        <v>348961.55763817258</v>
      </c>
      <c r="AJ514" s="18">
        <f>IF($A514&gt;'1-Input'!$B$26,AJ513,AJ513-AE514*(1-AD514))</f>
        <v>232051.29379597362</v>
      </c>
      <c r="AK514" s="11">
        <f>IF($A514&gt;'1-Input'!$B$26,0,IF(AP513&lt;=0,0,MAX(0,(AP513-AQ513)/AP513)))</f>
        <v>0.31658219600110116</v>
      </c>
      <c r="AL514" s="18">
        <f>IF($A514&gt;'1-Input'!$B$26,0,(MAX(0,AK506-IF($A514&gt;=('1-Input'!$C$12+1),'1-Input'!$B$12,0))-MIN(MAX(AO513,0),MAX(0,AK506-IF($A514&gt;=('1-Input'!$C$12+1),'1-Input'!$B$12,0))))*(1/(1-'P-Parametri'!$B$6*AK514))+MIN(MAX(0,AP513-(MAX(0,AK506-IF($A514&gt;=('1-Input'!$C$12+1),'1-Input'!$B$12,0))-MIN(MAX(AO513,0),MAX(0,AK506-IF($A514&gt;=('1-Input'!$C$12+1),'1-Input'!$B$12,0))))*(1/(1-'P-Parametri'!$B$6*AK514))),MAX(0,2*AK506-(AO513-MIN(MAX(AO513,0),MAX(0,AK506-IF($A514&gt;=('1-Input'!$C$12+1),'1-Input'!$B$12,0)))))*(1/(1-'P-Parametri'!$B$6*AK514))))</f>
        <v>19448.192244057966</v>
      </c>
      <c r="AM514" s="18">
        <f>IF($A514&gt;'1-Input'!$B$26,AO513,(AO513-MAX(0,AK506-IF($A514&gt;=('1-Input'!$C$12+1),'1-Input'!$B$12,0))+AL514*(1-'P-Parametri'!$B$6*AK514))*(1+'1-Input'!$B$27))</f>
        <v>35312.022025795173</v>
      </c>
      <c r="AN514" s="18">
        <f>IF($A514&gt;'1-Input'!$B$26,AP513,(AP513-AL514)*(1+'5-Roberta'!$C$4))</f>
        <v>349731.55032620317</v>
      </c>
      <c r="AO514" s="18">
        <f>IF($A514&gt;'1-Input'!$B$26,AM514,AM514-'P-Parametri'!$B$8*(AN514+AM514)+MIN(MAX(AN514,0),'P-Parametri'!$B$8*(AN514+AM514)))</f>
        <v>35312.022025795173</v>
      </c>
      <c r="AP514" s="18">
        <f>IF($A514&gt;'1-Input'!$B$26,AN514,AN514-MIN(MAX(AN514,0),'P-Parametri'!$B$8*(AN514+AM514)))</f>
        <v>348961.46318149916</v>
      </c>
      <c r="AQ514" s="18">
        <f>IF($A514&gt;'1-Input'!$B$26,AQ513,AQ513-AL514*(1-AK514))</f>
        <v>232051.23117773217</v>
      </c>
    </row>
    <row r="515" spans="1:43">
      <c r="A515" s="10">
        <f>7</f>
        <v>7</v>
      </c>
      <c r="B515" s="11">
        <f>IF($A515&gt;'1-Input'!$B$26,0,IF(G514&lt;=0,0,MAX(0,(G514-H514)/G514)))</f>
        <v>0.33508032244780855</v>
      </c>
      <c r="C515" s="18">
        <f>IF($A515&gt;'1-Input'!$B$26,0,(MAX(0,B506-IF($A515&gt;=('1-Input'!$C$12+1),'1-Input'!$B$12,0))-MIN(MAX(F514,0),MAX(0,B506-IF($A515&gt;=('1-Input'!$C$12+1),'1-Input'!$B$12,0))))*(1/(1-'P-Parametri'!$B$6*B515))+MIN(MAX(0,G514-(MAX(0,B506-IF($A515&gt;=('1-Input'!$C$12+1),'1-Input'!$B$12,0))-MIN(MAX(F514,0),MAX(0,B506-IF($A515&gt;=('1-Input'!$C$12+1),'1-Input'!$B$12,0))))*(1/(1-'P-Parametri'!$B$6*B515))),MAX(0,2*B506-(F514-MIN(MAX(F514,0),MAX(0,B506-IF($A515&gt;=('1-Input'!$C$12+1),'1-Input'!$B$12,0)))))*(1/(1-'P-Parametri'!$B$6*B515))))</f>
        <v>18404.582398049595</v>
      </c>
      <c r="D515" s="18">
        <f>IF($A515&gt;'1-Input'!$B$26,F514,(F514-MAX(0,B506-IF($A515&gt;=('1-Input'!$C$12+1),'1-Input'!$B$12,0))+C515*(1-'P-Parametri'!$B$6*B515))*(1+'1-Input'!$B$27))</f>
        <v>33242.0070309863</v>
      </c>
      <c r="E515" s="18">
        <f>IF($A515&gt;'1-Input'!$B$26,G514,(G514-C515)*(1+'5-Roberta'!$C$4))</f>
        <v>350673.244245968</v>
      </c>
      <c r="F515" s="18">
        <f>IF($A515&gt;'1-Input'!$B$26,D515,D515-'P-Parametri'!$B$8*(E515+D515)+MIN(MAX(E515,0),'P-Parametri'!$B$8*(E515+D515)))</f>
        <v>33242.0070309863</v>
      </c>
      <c r="G515" s="18">
        <f>IF($A515&gt;'1-Input'!$B$26,E515,E515-MIN(MAX(E515,0),'P-Parametri'!$B$8*(E515+D515)))</f>
        <v>349905.4137434141</v>
      </c>
      <c r="H515" s="18">
        <f>IF($A515&gt;'1-Input'!$B$26,H514,H514-C515*(1-B515))</f>
        <v>226378.19465068923</v>
      </c>
      <c r="I515" s="11">
        <f>IF($A515&gt;'1-Input'!$B$26,0,IF(N514&lt;=0,0,MAX(0,(N514-O514)/N514)))</f>
        <v>0.33476724787473428</v>
      </c>
      <c r="J515" s="18">
        <f>IF($A515&gt;'1-Input'!$B$26,0,(MAX(0,I506-IF($A515&gt;=('1-Input'!$C$12+1),'1-Input'!$B$12,0))-MIN(MAX(M514,0),MAX(0,I506-IF($A515&gt;=('1-Input'!$C$12+1),'1-Input'!$B$12,0))))*(1/(1-'P-Parametri'!$B$6*I515))+MIN(MAX(0,N514-(MAX(0,I506-IF($A515&gt;=('1-Input'!$C$12+1),'1-Input'!$B$12,0))-MIN(MAX(M514,0),MAX(0,I506-IF($A515&gt;=('1-Input'!$C$12+1),'1-Input'!$B$12,0))))*(1/(1-'P-Parametri'!$B$6*I515))),MAX(0,2*I506-(M514-MIN(MAX(M514,0),MAX(0,I506-IF($A515&gt;=('1-Input'!$C$12+1),'1-Input'!$B$12,0)))))*(1/(1-'P-Parametri'!$B$6*I515))))</f>
        <v>24214.396643317763</v>
      </c>
      <c r="K515" s="18">
        <f>IF($A515&gt;'1-Input'!$B$26,M514,(M514-MAX(0,I506-IF($A515&gt;=('1-Input'!$C$12+1),'1-Input'!$B$12,0))+J515*(1-'P-Parametri'!$B$6*I515))*(1+'1-Input'!$B$27))</f>
        <v>43739.482935508291</v>
      </c>
      <c r="L515" s="18">
        <f>IF($A515&gt;'1-Input'!$B$26,N514,(N514-J515)*(1+'5-Roberta'!$C$4))</f>
        <v>292965.85985029506</v>
      </c>
      <c r="M515" s="18">
        <f>IF($A515&gt;'1-Input'!$B$26,K515,K515-'P-Parametri'!$B$8*(L515+K515)+MIN(MAX(L515,0),'P-Parametri'!$B$8*(L515+K515)))</f>
        <v>43739.482935508291</v>
      </c>
      <c r="N515" s="18">
        <f>IF($A515&gt;'1-Input'!$B$26,L515,L515-MIN(MAX(L515,0),'P-Parametri'!$B$8*(L515+K515)))</f>
        <v>292292.44916472345</v>
      </c>
      <c r="O515" s="18">
        <f>IF($A515&gt;'1-Input'!$B$26,O514,O514-J515*(1-I515))</f>
        <v>189214.06332714242</v>
      </c>
      <c r="P515" s="11">
        <f>IF($A515&gt;'1-Input'!$B$26,0,IF(U514&lt;=0,0,MAX(0,(U514-V514)/U514)))</f>
        <v>0.33501435165290078</v>
      </c>
      <c r="Q515" s="18">
        <f>IF($A515&gt;'1-Input'!$B$26,0,(MAX(0,P506-IF($A515&gt;=('1-Input'!$C$12+1),'1-Input'!$B$12,0))-MIN(MAX(T514,0),MAX(0,P506-IF($A515&gt;=('1-Input'!$C$12+1),'1-Input'!$B$12,0))))*(1/(1-'P-Parametri'!$B$6*P515))+MIN(MAX(0,U514-(MAX(0,P506-IF($A515&gt;=('1-Input'!$C$12+1),'1-Input'!$B$12,0))-MIN(MAX(T514,0),MAX(0,P506-IF($A515&gt;=('1-Input'!$C$12+1),'1-Input'!$B$12,0))))*(1/(1-'P-Parametri'!$B$6*P515))),MAX(0,2*P506-(T514-MIN(MAX(T514,0),MAX(0,P506-IF($A515&gt;=('1-Input'!$C$12+1),'1-Input'!$B$12,0)))))*(1/(1-'P-Parametri'!$B$6*P515))))</f>
        <v>19727.048210167191</v>
      </c>
      <c r="R515" s="18">
        <f>IF($A515&gt;'1-Input'!$B$26,T514,(T514-MAX(0,P506-IF($A515&gt;=('1-Input'!$C$12+1),'1-Input'!$B$12,0))+Q515*(1-'P-Parametri'!$B$6*P515))*(1+'1-Input'!$B$27))</f>
        <v>35631.289129554178</v>
      </c>
      <c r="S515" s="18">
        <f>IF($A515&gt;'1-Input'!$B$26,U514,(U514-Q515)*(1+'5-Roberta'!$C$4))</f>
        <v>337538.32211933145</v>
      </c>
      <c r="T515" s="18">
        <f>IF($A515&gt;'1-Input'!$B$26,R515,R515-'P-Parametri'!$B$8*(S515+R515)+MIN(MAX(S515,0),'P-Parametri'!$B$8*(S515+R515)))</f>
        <v>35631.289129554178</v>
      </c>
      <c r="U515" s="18">
        <f>IF($A515&gt;'1-Input'!$B$26,S515,S515-MIN(MAX(S515,0),'P-Parametri'!$B$8*(S515+R515)))</f>
        <v>336791.98289683368</v>
      </c>
      <c r="V515" s="18">
        <f>IF($A515&gt;'1-Input'!$B$26,V514,V514-Q515*(1-P515))</f>
        <v>217920.52424904431</v>
      </c>
      <c r="W515" s="11">
        <f>IF($A515&gt;'1-Input'!$B$26,0,IF(AB514&lt;=0,0,MAX(0,(AB514-AC514)/AB514)))</f>
        <v>0.33502267161740112</v>
      </c>
      <c r="X515" s="18">
        <f>IF($A515&gt;'1-Input'!$B$26,0,(MAX(0,W506-IF($A515&gt;=('1-Input'!$C$12+1),'1-Input'!$B$12,0))-MIN(MAX(AA514,0),MAX(0,W506-IF($A515&gt;=('1-Input'!$C$12+1),'1-Input'!$B$12,0))))*(1/(1-'P-Parametri'!$B$6*W515))+MIN(MAX(0,AB514-(MAX(0,W506-IF($A515&gt;=('1-Input'!$C$12+1),'1-Input'!$B$12,0))-MIN(MAX(AA514,0),MAX(0,W506-IF($A515&gt;=('1-Input'!$C$12+1),'1-Input'!$B$12,0))))*(1/(1-'P-Parametri'!$B$6*W515))),MAX(0,2*W506-(AA514-MIN(MAX(AA514,0),MAX(0,W506-IF($A515&gt;=('1-Input'!$C$12+1),'1-Input'!$B$12,0)))))*(1/(1-'P-Parametri'!$B$6*W515))))</f>
        <v>19563.360595829425</v>
      </c>
      <c r="Y515" s="18">
        <f>IF($A515&gt;'1-Input'!$B$26,AA514,(AA514-MAX(0,W506-IF($A515&gt;=('1-Input'!$C$12+1),'1-Input'!$B$12,0))+X515*(1-'P-Parametri'!$B$6*W515))*(1+'1-Input'!$B$27))</f>
        <v>35335.550384623006</v>
      </c>
      <c r="Z515" s="18">
        <f>IF($A515&gt;'1-Input'!$B$26,AB514,(AB514-X515)*(1+'5-Roberta'!$C$4))</f>
        <v>339164.11424559203</v>
      </c>
      <c r="AA515" s="18">
        <f>IF($A515&gt;'1-Input'!$B$26,Y515,Y515-'P-Parametri'!$B$8*(Z515+Y515)+MIN(MAX(Z515,0),'P-Parametri'!$B$8*(Z515+Y515)))</f>
        <v>35335.550384623006</v>
      </c>
      <c r="AB515" s="18">
        <f>IF($A515&gt;'1-Input'!$B$26,Z515,Z515-MIN(MAX(Z515,0),'P-Parametri'!$B$8*(Z515+Y515)))</f>
        <v>338415.1149163316</v>
      </c>
      <c r="AC515" s="18">
        <f>IF($A515&gt;'1-Input'!$B$26,AC514,AC514-X515*(1-W515))</f>
        <v>218967.42385852849</v>
      </c>
      <c r="AD515" s="11">
        <f>IF($A515&gt;'1-Input'!$B$26,0,IF(AI514&lt;=0,0,MAX(0,(AI514-AJ514)/AI514)))</f>
        <v>0.3350233321786682</v>
      </c>
      <c r="AE515" s="18">
        <f>IF($A515&gt;'1-Input'!$B$26,0,(MAX(0,AD506-IF($A515&gt;=('1-Input'!$C$12+1),'1-Input'!$B$12,0))-MIN(MAX(AH514,0),MAX(0,AD506-IF($A515&gt;=('1-Input'!$C$12+1),'1-Input'!$B$12,0))))*(1/(1-'P-Parametri'!$B$6*AD515))+MIN(MAX(0,AI514-(MAX(0,AD506-IF($A515&gt;=('1-Input'!$C$12+1),'1-Input'!$B$12,0))-MIN(MAX(AH514,0),MAX(0,AD506-IF($A515&gt;=('1-Input'!$C$12+1),'1-Input'!$B$12,0))))*(1/(1-'P-Parametri'!$B$6*AD515))),MAX(0,2*AD506-(AH514-MIN(MAX(AH514,0),MAX(0,AD506-IF($A515&gt;=('1-Input'!$C$12+1),'1-Input'!$B$12,0)))))*(1/(1-'P-Parametri'!$B$6*AD515))))</f>
        <v>19550.326977343091</v>
      </c>
      <c r="AF515" s="18">
        <f>IF($A515&gt;'1-Input'!$B$26,AH514,(AH514-MAX(0,AD506-IF($A515&gt;=('1-Input'!$C$12+1),'1-Input'!$B$12,0))+AE515*(1-'P-Parametri'!$B$6*AD515))*(1+'1-Input'!$B$27))</f>
        <v>35312.002280650035</v>
      </c>
      <c r="AG515" s="18">
        <f>IF($A515&gt;'1-Input'!$B$26,AI514,(AI514-AE515)*(1+'5-Roberta'!$C$4))</f>
        <v>339293.5675806544</v>
      </c>
      <c r="AH515" s="18">
        <f>IF($A515&gt;'1-Input'!$B$26,AF515,AF515-'P-Parametri'!$B$8*(AG515+AF515)+MIN(MAX(AG515,0),'P-Parametri'!$B$8*(AG515+AF515)))</f>
        <v>35312.002280650035</v>
      </c>
      <c r="AI515" s="18">
        <f>IF($A515&gt;'1-Input'!$B$26,AG515,AG515-MIN(MAX(AG515,0),'P-Parametri'!$B$8*(AG515+AF515)))</f>
        <v>338544.35644093179</v>
      </c>
      <c r="AJ515" s="18">
        <f>IF($A515&gt;'1-Input'!$B$26,AJ514,AJ514-AE515*(1-AD515))</f>
        <v>219050.78250776252</v>
      </c>
      <c r="AK515" s="11">
        <f>IF($A515&gt;'1-Input'!$B$26,0,IF(AP514&lt;=0,0,MAX(0,(AP514-AQ514)/AP514)))</f>
        <v>0.33502333162490361</v>
      </c>
      <c r="AL515" s="18">
        <f>IF($A515&gt;'1-Input'!$B$26,0,(MAX(0,AK506-IF($A515&gt;=('1-Input'!$C$12+1),'1-Input'!$B$12,0))-MIN(MAX(AO514,0),MAX(0,AK506-IF($A515&gt;=('1-Input'!$C$12+1),'1-Input'!$B$12,0))))*(1/(1-'P-Parametri'!$B$6*AK515))+MIN(MAX(0,AP514-(MAX(0,AK506-IF($A515&gt;=('1-Input'!$C$12+1),'1-Input'!$B$12,0))-MIN(MAX(AO514,0),MAX(0,AK506-IF($A515&gt;=('1-Input'!$C$12+1),'1-Input'!$B$12,0))))*(1/(1-'P-Parametri'!$B$6*AK515))),MAX(0,2*AK506-(AO514-MIN(MAX(AO514,0),MAX(0,AK506-IF($A515&gt;=('1-Input'!$C$12+1),'1-Input'!$B$12,0)))))*(1/(1-'P-Parametri'!$B$6*AK515))))</f>
        <v>19550.337906068075</v>
      </c>
      <c r="AM515" s="18">
        <f>IF($A515&gt;'1-Input'!$B$26,AO514,(AO514-MAX(0,AK506-IF($A515&gt;=('1-Input'!$C$12+1),'1-Input'!$B$12,0))+AL515*(1-'P-Parametri'!$B$6*AK515))*(1+'1-Input'!$B$27))</f>
        <v>35312.022025795173</v>
      </c>
      <c r="AN515" s="18">
        <f>IF($A515&gt;'1-Input'!$B$26,AP514,(AP514-AL515)*(1+'5-Roberta'!$C$4))</f>
        <v>339293.459033694</v>
      </c>
      <c r="AO515" s="18">
        <f>IF($A515&gt;'1-Input'!$B$26,AM515,AM515-'P-Parametri'!$B$8*(AN515+AM515)+MIN(MAX(AN515,0),'P-Parametri'!$B$8*(AN515+AM515)))</f>
        <v>35312.022025795173</v>
      </c>
      <c r="AP515" s="18">
        <f>IF($A515&gt;'1-Input'!$B$26,AN515,AN515-MIN(MAX(AN515,0),'P-Parametri'!$B$8*(AN515+AM515)))</f>
        <v>338544.24807157501</v>
      </c>
      <c r="AQ515" s="18">
        <f>IF($A515&gt;'1-Input'!$B$26,AQ514,AQ514-AL515*(1-AK515))</f>
        <v>219050.71261134767</v>
      </c>
    </row>
    <row r="516" spans="1:43">
      <c r="A516" s="10">
        <f>8</f>
        <v>8</v>
      </c>
      <c r="B516" s="11">
        <f>IF($A516&gt;'1-Input'!$B$26,0,IF(G515&lt;=0,0,MAX(0,(G515-H515)/G515)))</f>
        <v>0.35303031688245751</v>
      </c>
      <c r="C516" s="18">
        <f>IF($A516&gt;'1-Input'!$B$26,0,(MAX(0,B506-IF($A516&gt;=('1-Input'!$C$12+1),'1-Input'!$B$12,0))-MIN(MAX(F515,0),MAX(0,B506-IF($A516&gt;=('1-Input'!$C$12+1),'1-Input'!$B$12,0))))*(1/(1-'P-Parametri'!$B$6*B516))+MIN(MAX(0,G515-(MAX(0,B506-IF($A516&gt;=('1-Input'!$C$12+1),'1-Input'!$B$12,0))-MIN(MAX(F515,0),MAX(0,B506-IF($A516&gt;=('1-Input'!$C$12+1),'1-Input'!$B$12,0))))*(1/(1-'P-Parametri'!$B$6*B516))),MAX(0,2*B506-(F515-MIN(MAX(F515,0),MAX(0,B506-IF($A516&gt;=('1-Input'!$C$12+1),'1-Input'!$B$12,0)))))*(1/(1-'P-Parametri'!$B$6*B516))))</f>
        <v>18499.157396285038</v>
      </c>
      <c r="D516" s="18">
        <f>IF($A516&gt;'1-Input'!$B$26,F515,(F515-MAX(0,B506-IF($A516&gt;=('1-Input'!$C$12+1),'1-Input'!$B$12,0))+C516*(1-'P-Parametri'!$B$6*B516))*(1+'1-Input'!$B$27))</f>
        <v>33242.0070309863</v>
      </c>
      <c r="E516" s="18">
        <f>IF($A516&gt;'1-Input'!$B$26,G515,(G515-C516)*(1+'5-Roberta'!$C$4))</f>
        <v>341348.44403754297</v>
      </c>
      <c r="F516" s="18">
        <f>IF($A516&gt;'1-Input'!$B$26,D516,D516-'P-Parametri'!$B$8*(E516+D516)+MIN(MAX(E516,0),'P-Parametri'!$B$8*(E516+D516)))</f>
        <v>33242.0070309863</v>
      </c>
      <c r="G516" s="18">
        <f>IF($A516&gt;'1-Input'!$B$26,E516,E516-MIN(MAX(E516,0),'P-Parametri'!$B$8*(E516+D516)))</f>
        <v>340599.2631354059</v>
      </c>
      <c r="H516" s="18">
        <f>IF($A516&gt;'1-Input'!$B$26,H515,H515-C516*(1-B516))</f>
        <v>214409.80065207314</v>
      </c>
      <c r="I516" s="11">
        <f>IF($A516&gt;'1-Input'!$B$26,0,IF(N515&lt;=0,0,MAX(0,(N515-O515)/N515)))</f>
        <v>0.35265497323706263</v>
      </c>
      <c r="J516" s="18">
        <f>IF($A516&gt;'1-Input'!$B$26,0,(MAX(0,I506-IF($A516&gt;=('1-Input'!$C$12+1),'1-Input'!$B$12,0))-MIN(MAX(M515,0),MAX(0,I506-IF($A516&gt;=('1-Input'!$C$12+1),'1-Input'!$B$12,0))))*(1/(1-'P-Parametri'!$B$6*I516))+MIN(MAX(0,N515-(MAX(0,I506-IF($A516&gt;=('1-Input'!$C$12+1),'1-Input'!$B$12,0))-MIN(MAX(M515,0),MAX(0,I506-IF($A516&gt;=('1-Input'!$C$12+1),'1-Input'!$B$12,0))))*(1/(1-'P-Parametri'!$B$6*I516))),MAX(0,2*I506-(M515-MIN(MAX(M515,0),MAX(0,I506-IF($A516&gt;=('1-Input'!$C$12+1),'1-Input'!$B$12,0)))))*(1/(1-'P-Parametri'!$B$6*I516))))</f>
        <v>24338.381362571017</v>
      </c>
      <c r="K516" s="18">
        <f>IF($A516&gt;'1-Input'!$B$26,M515,(M515-MAX(0,I506-IF($A516&gt;=('1-Input'!$C$12+1),'1-Input'!$B$12,0))+J516*(1-'P-Parametri'!$B$6*I516))*(1+'1-Input'!$B$27))</f>
        <v>43739.482935508291</v>
      </c>
      <c r="L516" s="18">
        <f>IF($A516&gt;'1-Input'!$B$26,N515,(N515-J516)*(1+'5-Roberta'!$C$4))</f>
        <v>275992.68983621697</v>
      </c>
      <c r="M516" s="18">
        <f>IF($A516&gt;'1-Input'!$B$26,K516,K516-'P-Parametri'!$B$8*(L516+K516)+MIN(MAX(L516,0),'P-Parametri'!$B$8*(L516+K516)))</f>
        <v>43739.482935508291</v>
      </c>
      <c r="N516" s="18">
        <f>IF($A516&gt;'1-Input'!$B$26,L516,L516-MIN(MAX(L516,0),'P-Parametri'!$B$8*(L516+K516)))</f>
        <v>275353.2254906735</v>
      </c>
      <c r="O516" s="18">
        <f>IF($A516&gt;'1-Input'!$B$26,O515,O515-J516*(1-I516))</f>
        <v>173458.73319262231</v>
      </c>
      <c r="P516" s="11">
        <f>IF($A516&gt;'1-Input'!$B$26,0,IF(U515&lt;=0,0,MAX(0,(U515-V515)/U515)))</f>
        <v>0.35295216241593896</v>
      </c>
      <c r="Q516" s="18">
        <f>IF($A516&gt;'1-Input'!$B$26,0,(MAX(0,P506-IF($A516&gt;=('1-Input'!$C$12+1),'1-Input'!$B$12,0))-MIN(MAX(T515,0),MAX(0,P506-IF($A516&gt;=('1-Input'!$C$12+1),'1-Input'!$B$12,0))))*(1/(1-'P-Parametri'!$B$6*P516))+MIN(MAX(0,U515-(MAX(0,P506-IF($A516&gt;=('1-Input'!$C$12+1),'1-Input'!$B$12,0))-MIN(MAX(T515,0),MAX(0,P506-IF($A516&gt;=('1-Input'!$C$12+1),'1-Input'!$B$12,0))))*(1/(1-'P-Parametri'!$B$6*P516))),MAX(0,2*P506-(T515-MIN(MAX(T515,0),MAX(0,P506-IF($A516&gt;=('1-Input'!$C$12+1),'1-Input'!$B$12,0)))))*(1/(1-'P-Parametri'!$B$6*P516))))</f>
        <v>19828.347845786466</v>
      </c>
      <c r="R516" s="18">
        <f>IF($A516&gt;'1-Input'!$B$26,T515,(T515-MAX(0,P506-IF($A516&gt;=('1-Input'!$C$12+1),'1-Input'!$B$12,0))+Q516*(1-'P-Parametri'!$B$6*P516))*(1+'1-Input'!$B$27))</f>
        <v>35631.289129554178</v>
      </c>
      <c r="S516" s="18">
        <f>IF($A516&gt;'1-Input'!$B$26,U515,(U515-Q516)*(1+'5-Roberta'!$C$4))</f>
        <v>326472.5441025786</v>
      </c>
      <c r="T516" s="18">
        <f>IF($A516&gt;'1-Input'!$B$26,R516,R516-'P-Parametri'!$B$8*(S516+R516)+MIN(MAX(S516,0),'P-Parametri'!$B$8*(S516+R516)))</f>
        <v>35631.289129554178</v>
      </c>
      <c r="U516" s="18">
        <f>IF($A516&gt;'1-Input'!$B$26,S516,S516-MIN(MAX(S516,0),'P-Parametri'!$B$8*(S516+R516)))</f>
        <v>325748.33643611433</v>
      </c>
      <c r="V516" s="18">
        <f>IF($A516&gt;'1-Input'!$B$26,V515,V515-Q516*(1-P516))</f>
        <v>205090.6346525636</v>
      </c>
      <c r="W516" s="11">
        <f>IF($A516&gt;'1-Input'!$B$26,0,IF(AB515&lt;=0,0,MAX(0,(AB515-AC515)/AB515)))</f>
        <v>0.35296204511236112</v>
      </c>
      <c r="X516" s="18">
        <f>IF($A516&gt;'1-Input'!$B$26,0,(MAX(0,W506-IF($A516&gt;=('1-Input'!$C$12+1),'1-Input'!$B$12,0))-MIN(MAX(AA515,0),MAX(0,W506-IF($A516&gt;=('1-Input'!$C$12+1),'1-Input'!$B$12,0))))*(1/(1-'P-Parametri'!$B$6*W516))+MIN(MAX(0,AB515-(MAX(0,W506-IF($A516&gt;=('1-Input'!$C$12+1),'1-Input'!$B$12,0))-MIN(MAX(AA515,0),MAX(0,W506-IF($A516&gt;=('1-Input'!$C$12+1),'1-Input'!$B$12,0))))*(1/(1-'P-Parametri'!$B$6*W516))),MAX(0,2*W506-(AA515-MIN(MAX(AA515,0),MAX(0,W506-IF($A516&gt;=('1-Input'!$C$12+1),'1-Input'!$B$12,0)))))*(1/(1-'P-Parametri'!$B$6*W516))))</f>
        <v>19663.828721410311</v>
      </c>
      <c r="Y516" s="18">
        <f>IF($A516&gt;'1-Input'!$B$26,AA515,(AA515-MAX(0,W506-IF($A516&gt;=('1-Input'!$C$12+1),'1-Input'!$B$12,0))+X516*(1-'P-Parametri'!$B$6*W516))*(1+'1-Input'!$B$27))</f>
        <v>35335.550384623006</v>
      </c>
      <c r="Z516" s="18">
        <f>IF($A516&gt;'1-Input'!$B$26,AB515,(AB515-X516)*(1+'5-Roberta'!$C$4))</f>
        <v>328313.82478076895</v>
      </c>
      <c r="AA516" s="18">
        <f>IF($A516&gt;'1-Input'!$B$26,Y516,Y516-'P-Parametri'!$B$8*(Z516+Y516)+MIN(MAX(Z516,0),'P-Parametri'!$B$8*(Z516+Y516)))</f>
        <v>35335.550384623006</v>
      </c>
      <c r="AB516" s="18">
        <f>IF($A516&gt;'1-Input'!$B$26,Z516,Z516-MIN(MAX(Z516,0),'P-Parametri'!$B$8*(Z516+Y516)))</f>
        <v>327586.52603043814</v>
      </c>
      <c r="AC516" s="18">
        <f>IF($A516&gt;'1-Input'!$B$26,AC515,AC515-X516*(1-W516))</f>
        <v>206244.18033736636</v>
      </c>
      <c r="AD516" s="11">
        <f>IF($A516&gt;'1-Input'!$B$26,0,IF(AI515&lt;=0,0,MAX(0,(AI515-AJ515)/AI515)))</f>
        <v>0.35296282941883322</v>
      </c>
      <c r="AE516" s="18">
        <f>IF($A516&gt;'1-Input'!$B$26,0,(MAX(0,AD506-IF($A516&gt;=('1-Input'!$C$12+1),'1-Input'!$B$12,0))-MIN(MAX(AH515,0),MAX(0,AD506-IF($A516&gt;=('1-Input'!$C$12+1),'1-Input'!$B$12,0))))*(1/(1-'P-Parametri'!$B$6*AD516))+MIN(MAX(0,AI515-(MAX(0,AD506-IF($A516&gt;=('1-Input'!$C$12+1),'1-Input'!$B$12,0))-MIN(MAX(AH515,0),MAX(0,AD506-IF($A516&gt;=('1-Input'!$C$12+1),'1-Input'!$B$12,0))))*(1/(1-'P-Parametri'!$B$6*AD516))),MAX(0,2*AD506-(AH515-MIN(MAX(AH515,0),MAX(0,AD506-IF($A516&gt;=('1-Input'!$C$12+1),'1-Input'!$B$12,0)))))*(1/(1-'P-Parametri'!$B$6*AD516))))</f>
        <v>19650.728883558393</v>
      </c>
      <c r="AF516" s="18">
        <f>IF($A516&gt;'1-Input'!$B$26,AH515,(AH515-MAX(0,AD506-IF($A516&gt;=('1-Input'!$C$12+1),'1-Input'!$B$12,0))+AE516*(1-'P-Parametri'!$B$6*AD516))*(1+'1-Input'!$B$27))</f>
        <v>35312.002280650035</v>
      </c>
      <c r="AG516" s="18">
        <f>IF($A516&gt;'1-Input'!$B$26,AI515,(AI515-AE516)*(1+'5-Roberta'!$C$4))</f>
        <v>328460.43638409459</v>
      </c>
      <c r="AH516" s="18">
        <f>IF($A516&gt;'1-Input'!$B$26,AF516,AF516-'P-Parametri'!$B$8*(AG516+AF516)+MIN(MAX(AG516,0),'P-Parametri'!$B$8*(AG516+AF516)))</f>
        <v>35312.002280650035</v>
      </c>
      <c r="AI516" s="18">
        <f>IF($A516&gt;'1-Input'!$B$26,AG516,AG516-MIN(MAX(AG516,0),'P-Parametri'!$B$8*(AG516+AF516)))</f>
        <v>327732.8915067651</v>
      </c>
      <c r="AJ516" s="18">
        <f>IF($A516&gt;'1-Input'!$B$26,AJ515,AJ515-AE516*(1-AD516))</f>
        <v>206336.03049108729</v>
      </c>
      <c r="AK516" s="11">
        <f>IF($A516&gt;'1-Input'!$B$26,0,IF(AP515&lt;=0,0,MAX(0,(AP515-AQ515)/AP515)))</f>
        <v>0.35296282876135004</v>
      </c>
      <c r="AL516" s="18">
        <f>IF($A516&gt;'1-Input'!$B$26,0,(MAX(0,AK506-IF($A516&gt;=('1-Input'!$C$12+1),'1-Input'!$B$12,0))-MIN(MAX(AO515,0),MAX(0,AK506-IF($A516&gt;=('1-Input'!$C$12+1),'1-Input'!$B$12,0))))*(1/(1-'P-Parametri'!$B$6*AK516))+MIN(MAX(0,AP515-(MAX(0,AK506-IF($A516&gt;=('1-Input'!$C$12+1),'1-Input'!$B$12,0))-MIN(MAX(AO515,0),MAX(0,AK506-IF($A516&gt;=('1-Input'!$C$12+1),'1-Input'!$B$12,0))))*(1/(1-'P-Parametri'!$B$6*AK516))),MAX(0,2*AK506-(AO515-MIN(MAX(AO515,0),MAX(0,AK506-IF($A516&gt;=('1-Input'!$C$12+1),'1-Input'!$B$12,0)))))*(1/(1-'P-Parametri'!$B$6*AK516))))</f>
        <v>19650.739867809141</v>
      </c>
      <c r="AM516" s="18">
        <f>IF($A516&gt;'1-Input'!$B$26,AO515,(AO515-MAX(0,AK506-IF($A516&gt;=('1-Input'!$C$12+1),'1-Input'!$B$12,0))+AL516*(1-'P-Parametri'!$B$6*AK516))*(1+'1-Input'!$B$27))</f>
        <v>35312.022025795181</v>
      </c>
      <c r="AN516" s="18">
        <f>IF($A516&gt;'1-Input'!$B$26,AP515,(AP515-AL516)*(1+'5-Roberta'!$C$4))</f>
        <v>328460.31344987883</v>
      </c>
      <c r="AO516" s="18">
        <f>IF($A516&gt;'1-Input'!$B$26,AM516,AM516-'P-Parametri'!$B$8*(AN516+AM516)+MIN(MAX(AN516,0),'P-Parametri'!$B$8*(AN516+AM516)))</f>
        <v>35312.022025795181</v>
      </c>
      <c r="AP516" s="18">
        <f>IF($A516&gt;'1-Input'!$B$26,AN516,AN516-MIN(MAX(AN516,0),'P-Parametri'!$B$8*(AN516+AM516)))</f>
        <v>327732.76877892751</v>
      </c>
      <c r="AQ516" s="18">
        <f>IF($A516&gt;'1-Input'!$B$26,AQ515,AQ515-AL516*(1-AK516))</f>
        <v>206335.95347453389</v>
      </c>
    </row>
    <row r="517" spans="1:43">
      <c r="A517" s="10">
        <f>9</f>
        <v>9</v>
      </c>
      <c r="B517" s="11">
        <f>IF($A517&gt;'1-Input'!$B$26,0,IF(G516&lt;=0,0,MAX(0,(G516-H516)/G516)))</f>
        <v>0.37049247059928575</v>
      </c>
      <c r="C517" s="18">
        <f>IF($A517&gt;'1-Input'!$B$26,0,(MAX(0,B506-IF($A517&gt;=('1-Input'!$C$12+1),'1-Input'!$B$12,0))-MIN(MAX(F516,0),MAX(0,B506-IF($A517&gt;=('1-Input'!$C$12+1),'1-Input'!$B$12,0))))*(1/(1-'P-Parametri'!$B$6*B517))+MIN(MAX(0,G516-(MAX(0,B506-IF($A517&gt;=('1-Input'!$C$12+1),'1-Input'!$B$12,0))-MIN(MAX(F516,0),MAX(0,B506-IF($A517&gt;=('1-Input'!$C$12+1),'1-Input'!$B$12,0))))*(1/(1-'P-Parametri'!$B$6*B517))),MAX(0,2*B506-(F516-MIN(MAX(F516,0),MAX(0,B506-IF($A517&gt;=('1-Input'!$C$12+1),'1-Input'!$B$12,0)))))*(1/(1-'P-Parametri'!$B$6*B517))))</f>
        <v>18592.099456854499</v>
      </c>
      <c r="D517" s="18">
        <f>IF($A517&gt;'1-Input'!$B$26,F516,(F516-MAX(0,B506-IF($A517&gt;=('1-Input'!$C$12+1),'1-Input'!$B$12,0))+C517*(1-'P-Parametri'!$B$6*B517))*(1+'1-Input'!$B$27))</f>
        <v>33242.0070309863</v>
      </c>
      <c r="E517" s="18">
        <f>IF($A517&gt;'1-Input'!$B$26,G516,(G516-C517)*(1+'5-Roberta'!$C$4))</f>
        <v>331667.37858890794</v>
      </c>
      <c r="F517" s="18">
        <f>IF($A517&gt;'1-Input'!$B$26,D517,D517-'P-Parametri'!$B$8*(E517+D517)+MIN(MAX(E517,0),'P-Parametri'!$B$8*(E517+D517)))</f>
        <v>33242.0070309863</v>
      </c>
      <c r="G517" s="18">
        <f>IF($A517&gt;'1-Input'!$B$26,E517,E517-MIN(MAX(E517,0),'P-Parametri'!$B$8*(E517+D517)))</f>
        <v>330937.55981766817</v>
      </c>
      <c r="H517" s="18">
        <f>IF($A517&gt;'1-Input'!$B$26,H516,H516-C517*(1-B517))</f>
        <v>202705.9340566163</v>
      </c>
      <c r="I517" s="11">
        <f>IF($A517&gt;'1-Input'!$B$26,0,IF(N516&lt;=0,0,MAX(0,(N516-O516)/N516)))</f>
        <v>0.37005011332798954</v>
      </c>
      <c r="J517" s="18">
        <f>IF($A517&gt;'1-Input'!$B$26,0,(MAX(0,I506-IF($A517&gt;=('1-Input'!$C$12+1),'1-Input'!$B$12,0))-MIN(MAX(M516,0),MAX(0,I506-IF($A517&gt;=('1-Input'!$C$12+1),'1-Input'!$B$12,0))))*(1/(1-'P-Parametri'!$B$6*I517))+MIN(MAX(0,N516-(MAX(0,I506-IF($A517&gt;=('1-Input'!$C$12+1),'1-Input'!$B$12,0))-MIN(MAX(M516,0),MAX(0,I506-IF($A517&gt;=('1-Input'!$C$12+1),'1-Input'!$B$12,0))))*(1/(1-'P-Parametri'!$B$6*I517))),MAX(0,2*I506-(M516-MIN(MAX(M516,0),MAX(0,I506-IF($A517&gt;=('1-Input'!$C$12+1),'1-Input'!$B$12,0)))))*(1/(1-'P-Parametri'!$B$6*I517))))</f>
        <v>24460.175643158884</v>
      </c>
      <c r="K517" s="18">
        <f>IF($A517&gt;'1-Input'!$B$26,M516,(M516-MAX(0,I506-IF($A517&gt;=('1-Input'!$C$12+1),'1-Input'!$B$12,0))+J517*(1-'P-Parametri'!$B$6*I517))*(1+'1-Input'!$B$27))</f>
        <v>43739.482935508291</v>
      </c>
      <c r="L517" s="18">
        <f>IF($A517&gt;'1-Input'!$B$26,N516,(N516-J517)*(1+'5-Roberta'!$C$4))</f>
        <v>258419.84134294008</v>
      </c>
      <c r="M517" s="18">
        <f>IF($A517&gt;'1-Input'!$B$26,K517,K517-'P-Parametri'!$B$8*(L517+K517)+MIN(MAX(L517,0),'P-Parametri'!$B$8*(L517+K517)))</f>
        <v>43739.482935508291</v>
      </c>
      <c r="N517" s="18">
        <f>IF($A517&gt;'1-Input'!$B$26,L517,L517-MIN(MAX(L517,0),'P-Parametri'!$B$8*(L517+K517)))</f>
        <v>257815.52269438319</v>
      </c>
      <c r="O517" s="18">
        <f>IF($A517&gt;'1-Input'!$B$26,O516,O516-J517*(1-I517))</f>
        <v>158050.04831823689</v>
      </c>
      <c r="P517" s="11">
        <f>IF($A517&gt;'1-Input'!$B$26,0,IF(U516&lt;=0,0,MAX(0,(U516-V516)/U516)))</f>
        <v>0.37040159008521623</v>
      </c>
      <c r="Q517" s="18">
        <f>IF($A517&gt;'1-Input'!$B$26,0,(MAX(0,P506-IF($A517&gt;=('1-Input'!$C$12+1),'1-Input'!$B$12,0))-MIN(MAX(T516,0),MAX(0,P506-IF($A517&gt;=('1-Input'!$C$12+1),'1-Input'!$B$12,0))))*(1/(1-'P-Parametri'!$B$6*P517))+MIN(MAX(0,U516-(MAX(0,P506-IF($A517&gt;=('1-Input'!$C$12+1),'1-Input'!$B$12,0))-MIN(MAX(T516,0),MAX(0,P506-IF($A517&gt;=('1-Input'!$C$12+1),'1-Input'!$B$12,0))))*(1/(1-'P-Parametri'!$B$6*P517))),MAX(0,2*P506-(T516-MIN(MAX(T516,0),MAX(0,P506-IF($A517&gt;=('1-Input'!$C$12+1),'1-Input'!$B$12,0)))))*(1/(1-'P-Parametri'!$B$6*P517))))</f>
        <v>19927.892720117547</v>
      </c>
      <c r="R517" s="18">
        <f>IF($A517&gt;'1-Input'!$B$26,T516,(T516-MAX(0,P506-IF($A517&gt;=('1-Input'!$C$12+1),'1-Input'!$B$12,0))+Q517*(1-'P-Parametri'!$B$6*P517))*(1+'1-Input'!$B$27))</f>
        <v>35631.289129554178</v>
      </c>
      <c r="S517" s="18">
        <f>IF($A517&gt;'1-Input'!$B$26,U516,(U516-Q517)*(1+'5-Roberta'!$C$4))</f>
        <v>314995.05702747672</v>
      </c>
      <c r="T517" s="18">
        <f>IF($A517&gt;'1-Input'!$B$26,R517,R517-'P-Parametri'!$B$8*(S517+R517)+MIN(MAX(S517,0),'P-Parametri'!$B$8*(S517+R517)))</f>
        <v>35631.289129554178</v>
      </c>
      <c r="U517" s="18">
        <f>IF($A517&gt;'1-Input'!$B$26,S517,S517-MIN(MAX(S517,0),'P-Parametri'!$B$8*(S517+R517)))</f>
        <v>314293.80433516268</v>
      </c>
      <c r="V517" s="18">
        <f>IF($A517&gt;'1-Input'!$B$26,V516,V516-Q517*(1-P517))</f>
        <v>192544.0650830252</v>
      </c>
      <c r="W517" s="11">
        <f>IF($A517&gt;'1-Input'!$B$26,0,IF(AB516&lt;=0,0,MAX(0,(AB516-AC516)/AB516)))</f>
        <v>0.37041311547043632</v>
      </c>
      <c r="X517" s="18">
        <f>IF($A517&gt;'1-Input'!$B$26,0,(MAX(0,W506-IF($A517&gt;=('1-Input'!$C$12+1),'1-Input'!$B$12,0))-MIN(MAX(AA516,0),MAX(0,W506-IF($A517&gt;=('1-Input'!$C$12+1),'1-Input'!$B$12,0))))*(1/(1-'P-Parametri'!$B$6*W517))+MIN(MAX(0,AB516-(MAX(0,W506-IF($A517&gt;=('1-Input'!$C$12+1),'1-Input'!$B$12,0))-MIN(MAX(AA516,0),MAX(0,W506-IF($A517&gt;=('1-Input'!$C$12+1),'1-Input'!$B$12,0))))*(1/(1-'P-Parametri'!$B$6*W517))),MAX(0,2*W506-(AA516-MIN(MAX(AA516,0),MAX(0,W506-IF($A517&gt;=('1-Input'!$C$12+1),'1-Input'!$B$12,0)))))*(1/(1-'P-Parametri'!$B$6*W517))))</f>
        <v>19762.557276016571</v>
      </c>
      <c r="Y517" s="18">
        <f>IF($A517&gt;'1-Input'!$B$26,AA516,(AA516-MAX(0,W506-IF($A517&gt;=('1-Input'!$C$12+1),'1-Input'!$B$12,0))+X517*(1-'P-Parametri'!$B$6*W517))*(1+'1-Input'!$B$27))</f>
        <v>35335.550384623006</v>
      </c>
      <c r="Z517" s="18">
        <f>IF($A517&gt;'1-Input'!$B$26,AB516,(AB516-X517)*(1+'5-Roberta'!$C$4))</f>
        <v>317058.68781705422</v>
      </c>
      <c r="AA517" s="18">
        <f>IF($A517&gt;'1-Input'!$B$26,Y517,Y517-'P-Parametri'!$B$8*(Z517+Y517)+MIN(MAX(Z517,0),'P-Parametri'!$B$8*(Z517+Y517)))</f>
        <v>35335.550384623006</v>
      </c>
      <c r="AB517" s="18">
        <f>IF($A517&gt;'1-Input'!$B$26,Z517,Z517-MIN(MAX(Z517,0),'P-Parametri'!$B$8*(Z517+Y517)))</f>
        <v>316353.89934065088</v>
      </c>
      <c r="AC517" s="18">
        <f>IF($A517&gt;'1-Input'!$B$26,AC516,AC516-X517*(1-W517))</f>
        <v>193801.93347162203</v>
      </c>
      <c r="AD517" s="11">
        <f>IF($A517&gt;'1-Input'!$B$26,0,IF(AI516&lt;=0,0,MAX(0,(AI516-AJ516)/AI516)))</f>
        <v>0.37041402972265269</v>
      </c>
      <c r="AE517" s="18">
        <f>IF($A517&gt;'1-Input'!$B$26,0,(MAX(0,AD506-IF($A517&gt;=('1-Input'!$C$12+1),'1-Input'!$B$12,0))-MIN(MAX(AH516,0),MAX(0,AD506-IF($A517&gt;=('1-Input'!$C$12+1),'1-Input'!$B$12,0))))*(1/(1-'P-Parametri'!$B$6*AD517))+MIN(MAX(0,AI516-(MAX(0,AD506-IF($A517&gt;=('1-Input'!$C$12+1),'1-Input'!$B$12,0))-MIN(MAX(AH516,0),MAX(0,AD506-IF($A517&gt;=('1-Input'!$C$12+1),'1-Input'!$B$12,0))))*(1/(1-'P-Parametri'!$B$6*AD517))),MAX(0,2*AD506-(AH516-MIN(MAX(AH516,0),MAX(0,AD506-IF($A517&gt;=('1-Input'!$C$12+1),'1-Input'!$B$12,0)))))*(1/(1-'P-Parametri'!$B$6*AD517))))</f>
        <v>19749.392426854087</v>
      </c>
      <c r="AF517" s="18">
        <f>IF($A517&gt;'1-Input'!$B$26,AH516,(AH516-MAX(0,AD506-IF($A517&gt;=('1-Input'!$C$12+1),'1-Input'!$B$12,0))+AE517*(1-'P-Parametri'!$B$6*AD517))*(1+'1-Input'!$B$27))</f>
        <v>35312.002280650035</v>
      </c>
      <c r="AG517" s="18">
        <f>IF($A517&gt;'1-Input'!$B$26,AI516,(AI516-AE517)*(1+'5-Roberta'!$C$4))</f>
        <v>317223.00405230839</v>
      </c>
      <c r="AH517" s="18">
        <f>IF($A517&gt;'1-Input'!$B$26,AF517,AF517-'P-Parametri'!$B$8*(AG517+AF517)+MIN(MAX(AG517,0),'P-Parametri'!$B$8*(AG517+AF517)))</f>
        <v>35312.002280650035</v>
      </c>
      <c r="AI517" s="18">
        <f>IF($A517&gt;'1-Input'!$B$26,AG517,AG517-MIN(MAX(AG517,0),'P-Parametri'!$B$8*(AG517+AF517)))</f>
        <v>316517.93403964245</v>
      </c>
      <c r="AJ517" s="18">
        <f>IF($A517&gt;'1-Input'!$B$26,AJ516,AJ516-AE517*(1-AD517))</f>
        <v>193902.09009763825</v>
      </c>
      <c r="AK517" s="11">
        <f>IF($A517&gt;'1-Input'!$B$26,0,IF(AP516&lt;=0,0,MAX(0,(AP516-AQ516)/AP516)))</f>
        <v>0.37041402895626213</v>
      </c>
      <c r="AL517" s="18">
        <f>IF($A517&gt;'1-Input'!$B$26,0,(MAX(0,AK506-IF($A517&gt;=('1-Input'!$C$12+1),'1-Input'!$B$12,0))-MIN(MAX(AO516,0),MAX(0,AK506-IF($A517&gt;=('1-Input'!$C$12+1),'1-Input'!$B$12,0))))*(1/(1-'P-Parametri'!$B$6*AK517))+MIN(MAX(0,AP516-(MAX(0,AK506-IF($A517&gt;=('1-Input'!$C$12+1),'1-Input'!$B$12,0))-MIN(MAX(AO516,0),MAX(0,AK506-IF($A517&gt;=('1-Input'!$C$12+1),'1-Input'!$B$12,0))))*(1/(1-'P-Parametri'!$B$6*AK517))),MAX(0,2*AK506-(AO516-MIN(MAX(AO516,0),MAX(0,AK506-IF($A517&gt;=('1-Input'!$C$12+1),'1-Input'!$B$12,0)))))*(1/(1-'P-Parametri'!$B$6*AK517))))</f>
        <v>19749.403465617721</v>
      </c>
      <c r="AM517" s="18">
        <f>IF($A517&gt;'1-Input'!$B$26,AO516,(AO516-MAX(0,AK506-IF($A517&gt;=('1-Input'!$C$12+1),'1-Input'!$B$12,0))+AL517*(1-'P-Parametri'!$B$6*AK517))*(1+'1-Input'!$B$27))</f>
        <v>35312.022025795173</v>
      </c>
      <c r="AN517" s="18">
        <f>IF($A517&gt;'1-Input'!$B$26,AP516,(AP516-AL517)*(1+'5-Roberta'!$C$4))</f>
        <v>317222.86627270904</v>
      </c>
      <c r="AO517" s="18">
        <f>IF($A517&gt;'1-Input'!$B$26,AM517,AM517-'P-Parametri'!$B$8*(AN517+AM517)+MIN(MAX(AN517,0),'P-Parametri'!$B$8*(AN517+AM517)))</f>
        <v>35312.022025795173</v>
      </c>
      <c r="AP517" s="18">
        <f>IF($A517&gt;'1-Input'!$B$26,AN517,AN517-MIN(MAX(AN517,0),'P-Parametri'!$B$8*(AN517+AM517)))</f>
        <v>316517.79649611202</v>
      </c>
      <c r="AQ517" s="18">
        <f>IF($A517&gt;'1-Input'!$B$26,AQ516,AQ516-AL517*(1-AK517))</f>
        <v>193902.0061160984</v>
      </c>
    </row>
    <row r="518" spans="1:43">
      <c r="A518" s="10">
        <f>10</f>
        <v>10</v>
      </c>
      <c r="B518" s="11">
        <f>IF($A518&gt;'1-Input'!$B$26,0,IF(G517&lt;=0,0,MAX(0,(G517-H517)/G517)))</f>
        <v>0.38747981894742251</v>
      </c>
      <c r="C518" s="18">
        <f>IF($A518&gt;'1-Input'!$B$26,0,(MAX(0,B506-IF($A518&gt;=('1-Input'!$C$12+1),'1-Input'!$B$12,0))-MIN(MAX(F517,0),MAX(0,B506-IF($A518&gt;=('1-Input'!$C$12+1),'1-Input'!$B$12,0))))*(1/(1-'P-Parametri'!$B$6*B518))+MIN(MAX(0,G517-(MAX(0,B506-IF($A518&gt;=('1-Input'!$C$12+1),'1-Input'!$B$12,0))-MIN(MAX(F517,0),MAX(0,B506-IF($A518&gt;=('1-Input'!$C$12+1),'1-Input'!$B$12,0))))*(1/(1-'P-Parametri'!$B$6*B518))),MAX(0,2*B506-(F517-MIN(MAX(F517,0),MAX(0,B506-IF($A518&gt;=('1-Input'!$C$12+1),'1-Input'!$B$12,0)))))*(1/(1-'P-Parametri'!$B$6*B518))))</f>
        <v>18683.414934263597</v>
      </c>
      <c r="D518" s="18">
        <f>IF($A518&gt;'1-Input'!$B$26,F517,(F517-MAX(0,B506-IF($A518&gt;=('1-Input'!$C$12+1),'1-Input'!$B$12,0))+C518*(1-'P-Parametri'!$B$6*B518))*(1+'1-Input'!$B$27))</f>
        <v>33242.0070309863</v>
      </c>
      <c r="E518" s="18">
        <f>IF($A518&gt;'1-Input'!$B$26,G517,(G517-C518)*(1+'5-Roberta'!$C$4))</f>
        <v>321621.76922990667</v>
      </c>
      <c r="F518" s="18">
        <f>IF($A518&gt;'1-Input'!$B$26,D518,D518-'P-Parametri'!$B$8*(E518+D518)+MIN(MAX(E518,0),'P-Parametri'!$B$8*(E518+D518)))</f>
        <v>33242.0070309863</v>
      </c>
      <c r="G518" s="18">
        <f>IF($A518&gt;'1-Input'!$B$26,E518,E518-MIN(MAX(E518,0),'P-Parametri'!$B$8*(E518+D518)))</f>
        <v>320912.04167738487</v>
      </c>
      <c r="H518" s="18">
        <f>IF($A518&gt;'1-Input'!$B$26,H517,H517-C518*(1-B518))</f>
        <v>191261.96535840072</v>
      </c>
      <c r="I518" s="11">
        <f>IF($A518&gt;'1-Input'!$B$26,0,IF(N517&lt;=0,0,MAX(0,(N517-O517)/N517)))</f>
        <v>0.38696457580798649</v>
      </c>
      <c r="J518" s="18">
        <f>IF($A518&gt;'1-Input'!$B$26,0,(MAX(0,I506-IF($A518&gt;=('1-Input'!$C$12+1),'1-Input'!$B$12,0))-MIN(MAX(M517,0),MAX(0,I506-IF($A518&gt;=('1-Input'!$C$12+1),'1-Input'!$B$12,0))))*(1/(1-'P-Parametri'!$B$6*I518))+MIN(MAX(0,N517-(MAX(0,I506-IF($A518&gt;=('1-Input'!$C$12+1),'1-Input'!$B$12,0))-MIN(MAX(M517,0),MAX(0,I506-IF($A518&gt;=('1-Input'!$C$12+1),'1-Input'!$B$12,0))))*(1/(1-'P-Parametri'!$B$6*I518))),MAX(0,2*I506-(M517-MIN(MAX(M517,0),MAX(0,I506-IF($A518&gt;=('1-Input'!$C$12+1),'1-Input'!$B$12,0)))))*(1/(1-'P-Parametri'!$B$6*I518))))</f>
        <v>24579.779021533435</v>
      </c>
      <c r="K518" s="18">
        <f>IF($A518&gt;'1-Input'!$B$26,M517,(M517-MAX(0,I506-IF($A518&gt;=('1-Input'!$C$12+1),'1-Input'!$B$12,0))+J518*(1-'P-Parametri'!$B$6*I518))*(1+'1-Input'!$B$27))</f>
        <v>43739.482935508291</v>
      </c>
      <c r="L518" s="18">
        <f>IF($A518&gt;'1-Input'!$B$26,N517,(N517-J518)*(1+'5-Roberta'!$C$4))</f>
        <v>240232.81598303525</v>
      </c>
      <c r="M518" s="18">
        <f>IF($A518&gt;'1-Input'!$B$26,K518,K518-'P-Parametri'!$B$8*(L518+K518)+MIN(MAX(L518,0),'P-Parametri'!$B$8*(L518+K518)))</f>
        <v>43739.482935508291</v>
      </c>
      <c r="N518" s="18">
        <f>IF($A518&gt;'1-Input'!$B$26,L518,L518-MIN(MAX(L518,0),'P-Parametri'!$B$8*(L518+K518)))</f>
        <v>239664.87138519817</v>
      </c>
      <c r="O518" s="18">
        <f>IF($A518&gt;'1-Input'!$B$26,O517,O517-J518*(1-I518))</f>
        <v>142981.77305922518</v>
      </c>
      <c r="P518" s="11">
        <f>IF($A518&gt;'1-Input'!$B$26,0,IF(U517&lt;=0,0,MAX(0,(U517-V517)/U517)))</f>
        <v>0.38737556252398681</v>
      </c>
      <c r="Q518" s="18">
        <f>IF($A518&gt;'1-Input'!$B$26,0,(MAX(0,P506-IF($A518&gt;=('1-Input'!$C$12+1),'1-Input'!$B$12,0))-MIN(MAX(T517,0),MAX(0,P506-IF($A518&gt;=('1-Input'!$C$12+1),'1-Input'!$B$12,0))))*(1/(1-'P-Parametri'!$B$6*P518))+MIN(MAX(0,U517-(MAX(0,P506-IF($A518&gt;=('1-Input'!$C$12+1),'1-Input'!$B$12,0))-MIN(MAX(T517,0),MAX(0,P506-IF($A518&gt;=('1-Input'!$C$12+1),'1-Input'!$B$12,0))))*(1/(1-'P-Parametri'!$B$6*P518))),MAX(0,2*P506-(T517-MIN(MAX(T517,0),MAX(0,P506-IF($A518&gt;=('1-Input'!$C$12+1),'1-Input'!$B$12,0)))))*(1/(1-'P-Parametri'!$B$6*P518))))</f>
        <v>20025.688957417573</v>
      </c>
      <c r="R518" s="18">
        <f>IF($A518&gt;'1-Input'!$B$26,T517,(T517-MAX(0,P506-IF($A518&gt;=('1-Input'!$C$12+1),'1-Input'!$B$12,0))+Q518*(1-'P-Parametri'!$B$6*P518))*(1+'1-Input'!$B$27))</f>
        <v>35631.289129554178</v>
      </c>
      <c r="S518" s="18">
        <f>IF($A518&gt;'1-Input'!$B$26,U517,(U517-Q518)*(1+'5-Roberta'!$C$4))</f>
        <v>303096.15883907751</v>
      </c>
      <c r="T518" s="18">
        <f>IF($A518&gt;'1-Input'!$B$26,R518,R518-'P-Parametri'!$B$8*(S518+R518)+MIN(MAX(S518,0),'P-Parametri'!$B$8*(S518+R518)))</f>
        <v>35631.289129554178</v>
      </c>
      <c r="U518" s="18">
        <f>IF($A518&gt;'1-Input'!$B$26,S518,S518-MIN(MAX(S518,0),'P-Parametri'!$B$8*(S518+R518)))</f>
        <v>302418.70394314022</v>
      </c>
      <c r="V518" s="18">
        <f>IF($A518&gt;'1-Input'!$B$26,V517,V517-Q518*(1-P518))</f>
        <v>180275.83865041766</v>
      </c>
      <c r="W518" s="11">
        <f>IF($A518&gt;'1-Input'!$B$26,0,IF(AB517&lt;=0,0,MAX(0,(AB517-AC517)/AB517)))</f>
        <v>0.38738882664147123</v>
      </c>
      <c r="X518" s="18">
        <f>IF($A518&gt;'1-Input'!$B$26,0,(MAX(0,W506-IF($A518&gt;=('1-Input'!$C$12+1),'1-Input'!$B$12,0))-MIN(MAX(AA517,0),MAX(0,W506-IF($A518&gt;=('1-Input'!$C$12+1),'1-Input'!$B$12,0))))*(1/(1-'P-Parametri'!$B$6*W518))+MIN(MAX(0,AB517-(MAX(0,W506-IF($A518&gt;=('1-Input'!$C$12+1),'1-Input'!$B$12,0))-MIN(MAX(AA517,0),MAX(0,W506-IF($A518&gt;=('1-Input'!$C$12+1),'1-Input'!$B$12,0))))*(1/(1-'P-Parametri'!$B$6*W518))),MAX(0,2*W506-(AA517-MIN(MAX(AA517,0),MAX(0,W506-IF($A518&gt;=('1-Input'!$C$12+1),'1-Input'!$B$12,0)))))*(1/(1-'P-Parametri'!$B$6*W518))))</f>
        <v>19859.55243539458</v>
      </c>
      <c r="Y518" s="18">
        <f>IF($A518&gt;'1-Input'!$B$26,AA517,(AA517-MAX(0,W506-IF($A518&gt;=('1-Input'!$C$12+1),'1-Input'!$B$12,0))+X518*(1-'P-Parametri'!$B$6*W518))*(1+'1-Input'!$B$27))</f>
        <v>35335.550384623006</v>
      </c>
      <c r="Z518" s="18">
        <f>IF($A518&gt;'1-Input'!$B$26,AB517,(AB517-X518)*(1+'5-Roberta'!$C$4))</f>
        <v>305389.17731241399</v>
      </c>
      <c r="AA518" s="18">
        <f>IF($A518&gt;'1-Input'!$B$26,Y518,Y518-'P-Parametri'!$B$8*(Z518+Y518)+MIN(MAX(Z518,0),'P-Parametri'!$B$8*(Z518+Y518)))</f>
        <v>35335.550384623006</v>
      </c>
      <c r="AB518" s="18">
        <f>IF($A518&gt;'1-Input'!$B$26,Z518,Z518-MIN(MAX(Z518,0),'P-Parametri'!$B$8*(Z518+Y518)))</f>
        <v>304707.72785701993</v>
      </c>
      <c r="AC518" s="18">
        <f>IF($A518&gt;'1-Input'!$B$26,AC517,AC517-X518*(1-W518))</f>
        <v>181635.74975179974</v>
      </c>
      <c r="AD518" s="11">
        <f>IF($A518&gt;'1-Input'!$B$26,0,IF(AI517&lt;=0,0,MAX(0,(AI517-AJ517)/AI517)))</f>
        <v>0.38738987828300153</v>
      </c>
      <c r="AE518" s="18">
        <f>IF($A518&gt;'1-Input'!$B$26,0,(MAX(0,AD506-IF($A518&gt;=('1-Input'!$C$12+1),'1-Input'!$B$12,0))-MIN(MAX(AH517,0),MAX(0,AD506-IF($A518&gt;=('1-Input'!$C$12+1),'1-Input'!$B$12,0))))*(1/(1-'P-Parametri'!$B$6*AD518))+MIN(MAX(0,AI517-(MAX(0,AD506-IF($A518&gt;=('1-Input'!$C$12+1),'1-Input'!$B$12,0))-MIN(MAX(AH517,0),MAX(0,AD506-IF($A518&gt;=('1-Input'!$C$12+1),'1-Input'!$B$12,0))))*(1/(1-'P-Parametri'!$B$6*AD518))),MAX(0,2*AD506-(AH517-MIN(MAX(AH517,0),MAX(0,AD506-IF($A518&gt;=('1-Input'!$C$12+1),'1-Input'!$B$12,0)))))*(1/(1-'P-Parametri'!$B$6*AD518))))</f>
        <v>19846.323786759389</v>
      </c>
      <c r="AF518" s="18">
        <f>IF($A518&gt;'1-Input'!$B$26,AH517,(AH517-MAX(0,AD506-IF($A518&gt;=('1-Input'!$C$12+1),'1-Input'!$B$12,0))+AE518*(1-'P-Parametri'!$B$6*AD518))*(1+'1-Input'!$B$27))</f>
        <v>35312.002280650035</v>
      </c>
      <c r="AG518" s="18">
        <f>IF($A518&gt;'1-Input'!$B$26,AI517,(AI517-AE518)*(1+'5-Roberta'!$C$4))</f>
        <v>305571.75856046955</v>
      </c>
      <c r="AH518" s="18">
        <f>IF($A518&gt;'1-Input'!$B$26,AF518,AF518-'P-Parametri'!$B$8*(AG518+AF518)+MIN(MAX(AG518,0),'P-Parametri'!$B$8*(AG518+AF518)))</f>
        <v>35312.002280650035</v>
      </c>
      <c r="AI518" s="18">
        <f>IF($A518&gt;'1-Input'!$B$26,AG518,AG518-MIN(MAX(AG518,0),'P-Parametri'!$B$8*(AG518+AF518)))</f>
        <v>304889.9910387873</v>
      </c>
      <c r="AJ518" s="18">
        <f>IF($A518&gt;'1-Input'!$B$26,AJ517,AJ517-AE518*(1-AD518))</f>
        <v>181744.03126699664</v>
      </c>
      <c r="AK518" s="11">
        <f>IF($A518&gt;'1-Input'!$B$26,0,IF(AP517&lt;=0,0,MAX(0,(AP517-AQ517)/AP517)))</f>
        <v>0.38738987740147424</v>
      </c>
      <c r="AL518" s="18">
        <f>IF($A518&gt;'1-Input'!$B$26,0,(MAX(0,AK506-IF($A518&gt;=('1-Input'!$C$12+1),'1-Input'!$B$12,0))-MIN(MAX(AO517,0),MAX(0,AK506-IF($A518&gt;=('1-Input'!$C$12+1),'1-Input'!$B$12,0))))*(1/(1-'P-Parametri'!$B$6*AK518))+MIN(MAX(0,AP517-(MAX(0,AK506-IF($A518&gt;=('1-Input'!$C$12+1),'1-Input'!$B$12,0))-MIN(MAX(AO517,0),MAX(0,AK506-IF($A518&gt;=('1-Input'!$C$12+1),'1-Input'!$B$12,0))))*(1/(1-'P-Parametri'!$B$6*AK518))),MAX(0,2*AK506-(AO517-MIN(MAX(AO517,0),MAX(0,AK506-IF($A518&gt;=('1-Input'!$C$12+1),'1-Input'!$B$12,0)))))*(1/(1-'P-Parametri'!$B$6*AK518))))</f>
        <v>19846.334879019898</v>
      </c>
      <c r="AM518" s="18">
        <f>IF($A518&gt;'1-Input'!$B$26,AO517,(AO517-MAX(0,AK506-IF($A518&gt;=('1-Input'!$C$12+1),'1-Input'!$B$12,0))+AL518*(1-'P-Parametri'!$B$6*AK518))*(1+'1-Input'!$B$27))</f>
        <v>35312.022025795173</v>
      </c>
      <c r="AN518" s="18">
        <f>IF($A518&gt;'1-Input'!$B$26,AP517,(AP517-AL518)*(1+'5-Roberta'!$C$4))</f>
        <v>305571.60546560492</v>
      </c>
      <c r="AO518" s="18">
        <f>IF($A518&gt;'1-Input'!$B$26,AM518,AM518-'P-Parametri'!$B$8*(AN518+AM518)+MIN(MAX(AN518,0),'P-Parametri'!$B$8*(AN518+AM518)))</f>
        <v>35312.022025795173</v>
      </c>
      <c r="AP518" s="18">
        <f>IF($A518&gt;'1-Input'!$B$26,AN518,AN518-MIN(MAX(AN518,0),'P-Parametri'!$B$8*(AN518+AM518)))</f>
        <v>304889.83821062214</v>
      </c>
      <c r="AQ518" s="18">
        <f>IF($A518&gt;'1-Input'!$B$26,AQ517,AQ517-AL518*(1-AK518))</f>
        <v>181743.94047273064</v>
      </c>
    </row>
    <row r="519" spans="1:43">
      <c r="A519" s="10">
        <f>11</f>
        <v>11</v>
      </c>
      <c r="B519" s="11">
        <f>IF($A519&gt;'1-Input'!$B$26,0,IF(G518&lt;=0,0,MAX(0,(G518-H518)/G518)))</f>
        <v>0.40400502156700707</v>
      </c>
      <c r="C519" s="18">
        <f>IF($A519&gt;'1-Input'!$B$26,0,(MAX(0,B506-IF($A519&gt;=('1-Input'!$C$12+1),'1-Input'!$B$12,0))-MIN(MAX(F518,0),MAX(0,B506-IF($A519&gt;=('1-Input'!$C$12+1),'1-Input'!$B$12,0))))*(1/(1-'P-Parametri'!$B$6*B519))+MIN(MAX(0,G518-(MAX(0,B506-IF($A519&gt;=('1-Input'!$C$12+1),'1-Input'!$B$12,0))-MIN(MAX(F518,0),MAX(0,B506-IF($A519&gt;=('1-Input'!$C$12+1),'1-Input'!$B$12,0))))*(1/(1-'P-Parametri'!$B$6*B519))),MAX(0,2*B506-(F518-MIN(MAX(F518,0),MAX(0,B506-IF($A519&gt;=('1-Input'!$C$12+1),'1-Input'!$B$12,0)))))*(1/(1-'P-Parametri'!$B$6*B519))))</f>
        <v>18773.111002954505</v>
      </c>
      <c r="D519" s="18">
        <f>IF($A519&gt;'1-Input'!$B$26,F518,(F518-MAX(0,B506-IF($A519&gt;=('1-Input'!$C$12+1),'1-Input'!$B$12,0))+C519*(1-'P-Parametri'!$B$6*B519))*(1+'1-Input'!$B$27))</f>
        <v>33242.0070309863</v>
      </c>
      <c r="E519" s="18">
        <f>IF($A519&gt;'1-Input'!$B$26,G518,(G518-C519)*(1+'5-Roberta'!$C$4))</f>
        <v>311203.09859466332</v>
      </c>
      <c r="F519" s="18">
        <f>IF($A519&gt;'1-Input'!$B$26,D519,D519-'P-Parametri'!$B$8*(E519+D519)+MIN(MAX(E519,0),'P-Parametri'!$B$8*(E519+D519)))</f>
        <v>33242.0070309863</v>
      </c>
      <c r="G519" s="18">
        <f>IF($A519&gt;'1-Input'!$B$26,E519,E519-MIN(MAX(E519,0),'P-Parametri'!$B$8*(E519+D519)))</f>
        <v>310514.20838341204</v>
      </c>
      <c r="H519" s="18">
        <f>IF($A519&gt;'1-Input'!$B$26,H518,H518-C519*(1-B519))</f>
        <v>180073.28547107466</v>
      </c>
      <c r="I519" s="11">
        <f>IF($A519&gt;'1-Input'!$B$26,0,IF(N518&lt;=0,0,MAX(0,(N518-O518)/N518)))</f>
        <v>0.4034095517093132</v>
      </c>
      <c r="J519" s="18">
        <f>IF($A519&gt;'1-Input'!$B$26,0,(MAX(0,I506-IF($A519&gt;=('1-Input'!$C$12+1),'1-Input'!$B$12,0))-MIN(MAX(M518,0),MAX(0,I506-IF($A519&gt;=('1-Input'!$C$12+1),'1-Input'!$B$12,0))))*(1/(1-'P-Parametri'!$B$6*I519))+MIN(MAX(0,N518-(MAX(0,I506-IF($A519&gt;=('1-Input'!$C$12+1),'1-Input'!$B$12,0))-MIN(MAX(M518,0),MAX(0,I506-IF($A519&gt;=('1-Input'!$C$12+1),'1-Input'!$B$12,0))))*(1/(1-'P-Parametri'!$B$6*I519))),MAX(0,2*I506-(M518-MIN(MAX(M518,0),MAX(0,I506-IF($A519&gt;=('1-Input'!$C$12+1),'1-Input'!$B$12,0)))))*(1/(1-'P-Parametri'!$B$6*I519))))</f>
        <v>24697.189389280269</v>
      </c>
      <c r="K519" s="18">
        <f>IF($A519&gt;'1-Input'!$B$26,M518,(M518-MAX(0,I506-IF($A519&gt;=('1-Input'!$C$12+1),'1-Input'!$B$12,0))+J519*(1-'P-Parametri'!$B$6*I519))*(1+'1-Input'!$B$27))</f>
        <v>43739.482935508291</v>
      </c>
      <c r="L519" s="18">
        <f>IF($A519&gt;'1-Input'!$B$26,N518,(N518-J519)*(1+'5-Roberta'!$C$4))</f>
        <v>221416.71245579544</v>
      </c>
      <c r="M519" s="18">
        <f>IF($A519&gt;'1-Input'!$B$26,K519,K519-'P-Parametri'!$B$8*(L519+K519)+MIN(MAX(L519,0),'P-Parametri'!$B$8*(L519+K519)))</f>
        <v>43739.482935508291</v>
      </c>
      <c r="N519" s="18">
        <f>IF($A519&gt;'1-Input'!$B$26,L519,L519-MIN(MAX(L519,0),'P-Parametri'!$B$8*(L519+K519)))</f>
        <v>220886.40006501283</v>
      </c>
      <c r="O519" s="18">
        <f>IF($A519&gt;'1-Input'!$B$26,O518,O518-J519*(1-I519))</f>
        <v>128247.66576995447</v>
      </c>
      <c r="P519" s="11">
        <f>IF($A519&gt;'1-Input'!$B$26,0,IF(U518&lt;=0,0,MAX(0,(U518-V518)/U518)))</f>
        <v>0.40388661051760694</v>
      </c>
      <c r="Q519" s="18">
        <f>IF($A519&gt;'1-Input'!$B$26,0,(MAX(0,P506-IF($A519&gt;=('1-Input'!$C$12+1),'1-Input'!$B$12,0))-MIN(MAX(T518,0),MAX(0,P506-IF($A519&gt;=('1-Input'!$C$12+1),'1-Input'!$B$12,0))))*(1/(1-'P-Parametri'!$B$6*P519))+MIN(MAX(0,U518-(MAX(0,P506-IF($A519&gt;=('1-Input'!$C$12+1),'1-Input'!$B$12,0))-MIN(MAX(T518,0),MAX(0,P506-IF($A519&gt;=('1-Input'!$C$12+1),'1-Input'!$B$12,0))))*(1/(1-'P-Parametri'!$B$6*P519))),MAX(0,2*P506-(T518-MIN(MAX(T518,0),MAX(0,P506-IF($A519&gt;=('1-Input'!$C$12+1),'1-Input'!$B$12,0)))))*(1/(1-'P-Parametri'!$B$6*P519))))</f>
        <v>20121.743414799093</v>
      </c>
      <c r="R519" s="18">
        <f>IF($A519&gt;'1-Input'!$B$26,T518,(T518-MAX(0,P506-IF($A519&gt;=('1-Input'!$C$12+1),'1-Input'!$B$12,0))+Q519*(1-'P-Parametri'!$B$6*P519))*(1+'1-Input'!$B$27))</f>
        <v>35631.289129554178</v>
      </c>
      <c r="S519" s="18">
        <f>IF($A519&gt;'1-Input'!$B$26,U518,(U518-Q519)*(1+'5-Roberta'!$C$4))</f>
        <v>290765.86934419133</v>
      </c>
      <c r="T519" s="18">
        <f>IF($A519&gt;'1-Input'!$B$26,R519,R519-'P-Parametri'!$B$8*(S519+R519)+MIN(MAX(S519,0),'P-Parametri'!$B$8*(S519+R519)))</f>
        <v>35631.289129554178</v>
      </c>
      <c r="U519" s="18">
        <f>IF($A519&gt;'1-Input'!$B$26,S519,S519-MIN(MAX(S519,0),'P-Parametri'!$B$8*(S519+R519)))</f>
        <v>290113.07502724382</v>
      </c>
      <c r="V519" s="18">
        <f>IF($A519&gt;'1-Input'!$B$26,V518,V518-Q519*(1-P519))</f>
        <v>168280.99798112674</v>
      </c>
      <c r="W519" s="11">
        <f>IF($A519&gt;'1-Input'!$B$26,0,IF(AB518&lt;=0,0,MAX(0,(AB518-AC518)/AB518)))</f>
        <v>0.40390172894784632</v>
      </c>
      <c r="X519" s="18">
        <f>IF($A519&gt;'1-Input'!$B$26,0,(MAX(0,W506-IF($A519&gt;=('1-Input'!$C$12+1),'1-Input'!$B$12,0))-MIN(MAX(AA518,0),MAX(0,W506-IF($A519&gt;=('1-Input'!$C$12+1),'1-Input'!$B$12,0))))*(1/(1-'P-Parametri'!$B$6*W519))+MIN(MAX(0,AB518-(MAX(0,W506-IF($A519&gt;=('1-Input'!$C$12+1),'1-Input'!$B$12,0))-MIN(MAX(AA518,0),MAX(0,W506-IF($A519&gt;=('1-Input'!$C$12+1),'1-Input'!$B$12,0))))*(1/(1-'P-Parametri'!$B$6*W519))),MAX(0,2*W506-(AA518-MIN(MAX(AA518,0),MAX(0,W506-IF($A519&gt;=('1-Input'!$C$12+1),'1-Input'!$B$12,0)))))*(1/(1-'P-Parametri'!$B$6*W519))))</f>
        <v>19954.821125208091</v>
      </c>
      <c r="Y519" s="18">
        <f>IF($A519&gt;'1-Input'!$B$26,AA518,(AA518-MAX(0,W506-IF($A519&gt;=('1-Input'!$C$12+1),'1-Input'!$B$12,0))+X519*(1-'P-Parametri'!$B$6*W519))*(1+'1-Input'!$B$27))</f>
        <v>35335.550384623006</v>
      </c>
      <c r="Z519" s="18">
        <f>IF($A519&gt;'1-Input'!$B$26,AB518,(AB518-X519)*(1+'5-Roberta'!$C$4))</f>
        <v>293295.49393376621</v>
      </c>
      <c r="AA519" s="18">
        <f>IF($A519&gt;'1-Input'!$B$26,Y519,Y519-'P-Parametri'!$B$8*(Z519+Y519)+MIN(MAX(Z519,0),'P-Parametri'!$B$8*(Z519+Y519)))</f>
        <v>35335.550384623006</v>
      </c>
      <c r="AB519" s="18">
        <f>IF($A519&gt;'1-Input'!$B$26,Z519,Z519-MIN(MAX(Z519,0),'P-Parametri'!$B$8*(Z519+Y519)))</f>
        <v>292638.23184512946</v>
      </c>
      <c r="AC519" s="18">
        <f>IF($A519&gt;'1-Input'!$B$26,AC518,AC518-X519*(1-W519))</f>
        <v>169740.71537990822</v>
      </c>
      <c r="AD519" s="11">
        <f>IF($A519&gt;'1-Input'!$B$26,0,IF(AI518&lt;=0,0,MAX(0,(AI518-AJ518)/AI518)))</f>
        <v>0.40390292692856666</v>
      </c>
      <c r="AE519" s="18">
        <f>IF($A519&gt;'1-Input'!$B$26,0,(MAX(0,AD506-IF($A519&gt;=('1-Input'!$C$12+1),'1-Input'!$B$12,0))-MIN(MAX(AH518,0),MAX(0,AD506-IF($A519&gt;=('1-Input'!$C$12+1),'1-Input'!$B$12,0))))*(1/(1-'P-Parametri'!$B$6*AD519))+MIN(MAX(0,AI518-(MAX(0,AD506-IF($A519&gt;=('1-Input'!$C$12+1),'1-Input'!$B$12,0))-MIN(MAX(AH518,0),MAX(0,AD506-IF($A519&gt;=('1-Input'!$C$12+1),'1-Input'!$B$12,0))))*(1/(1-'P-Parametri'!$B$6*AD519))),MAX(0,2*AD506-(AH518-MIN(MAX(AH518,0),MAX(0,AD506-IF($A519&gt;=('1-Input'!$C$12+1),'1-Input'!$B$12,0)))))*(1/(1-'P-Parametri'!$B$6*AD519))))</f>
        <v>19941.529893988831</v>
      </c>
      <c r="AF519" s="18">
        <f>IF($A519&gt;'1-Input'!$B$26,AH518,(AH518-MAX(0,AD506-IF($A519&gt;=('1-Input'!$C$12+1),'1-Input'!$B$12,0))+AE519*(1-'P-Parametri'!$B$6*AD519))*(1+'1-Input'!$B$27))</f>
        <v>35312.002280650042</v>
      </c>
      <c r="AG519" s="18">
        <f>IF($A519&gt;'1-Input'!$B$26,AI518,(AI518-AE519)*(1+'5-Roberta'!$C$4))</f>
        <v>293496.91497914237</v>
      </c>
      <c r="AH519" s="18">
        <f>IF($A519&gt;'1-Input'!$B$26,AF519,AF519-'P-Parametri'!$B$8*(AG519+AF519)+MIN(MAX(AG519,0),'P-Parametri'!$B$8*(AG519+AF519)))</f>
        <v>35312.002280650042</v>
      </c>
      <c r="AI519" s="18">
        <f>IF($A519&gt;'1-Input'!$B$26,AG519,AG519-MIN(MAX(AG519,0),'P-Parametri'!$B$8*(AG519+AF519)))</f>
        <v>292839.29714462277</v>
      </c>
      <c r="AJ519" s="18">
        <f>IF($A519&gt;'1-Input'!$B$26,AJ518,AJ518-AE519*(1-AD519))</f>
        <v>169856.9436646234</v>
      </c>
      <c r="AK519" s="11">
        <f>IF($A519&gt;'1-Input'!$B$26,0,IF(AP518&lt;=0,0,MAX(0,(AP518-AQ518)/AP518)))</f>
        <v>0.40390292592441407</v>
      </c>
      <c r="AL519" s="18">
        <f>IF($A519&gt;'1-Input'!$B$26,0,(MAX(0,AK506-IF($A519&gt;=('1-Input'!$C$12+1),'1-Input'!$B$12,0))-MIN(MAX(AO518,0),MAX(0,AK506-IF($A519&gt;=('1-Input'!$C$12+1),'1-Input'!$B$12,0))))*(1/(1-'P-Parametri'!$B$6*AK519))+MIN(MAX(0,AP518-(MAX(0,AK506-IF($A519&gt;=('1-Input'!$C$12+1),'1-Input'!$B$12,0))-MIN(MAX(AO518,0),MAX(0,AK506-IF($A519&gt;=('1-Input'!$C$12+1),'1-Input'!$B$12,0))))*(1/(1-'P-Parametri'!$B$6*AK519))),MAX(0,2*AK506-(AO518-MIN(MAX(AO518,0),MAX(0,AK506-IF($A519&gt;=('1-Input'!$C$12+1),'1-Input'!$B$12,0)))))*(1/(1-'P-Parametri'!$B$6*AK519))))</f>
        <v>19941.541038725984</v>
      </c>
      <c r="AM519" s="18">
        <f>IF($A519&gt;'1-Input'!$B$26,AO518,(AO518-MAX(0,AK506-IF($A519&gt;=('1-Input'!$C$12+1),'1-Input'!$B$12,0))+AL519*(1-'P-Parametri'!$B$6*AK519))*(1+'1-Input'!$B$27))</f>
        <v>35312.022025795181</v>
      </c>
      <c r="AN519" s="18">
        <f>IF($A519&gt;'1-Input'!$B$26,AP518,(AP518-AL519)*(1+'5-Roberta'!$C$4))</f>
        <v>293496.74608705303</v>
      </c>
      <c r="AO519" s="18">
        <f>IF($A519&gt;'1-Input'!$B$26,AM519,AM519-'P-Parametri'!$B$8*(AN519+AM519)+MIN(MAX(AN519,0),'P-Parametri'!$B$8*(AN519+AM519)))</f>
        <v>35312.022025795181</v>
      </c>
      <c r="AP519" s="18">
        <f>IF($A519&gt;'1-Input'!$B$26,AN519,AN519-MIN(MAX(AN519,0),'P-Parametri'!$B$8*(AN519+AM519)))</f>
        <v>292839.12855082733</v>
      </c>
      <c r="AQ519" s="18">
        <f>IF($A519&gt;'1-Input'!$B$26,AQ518,AQ518-AL519*(1-AK519))</f>
        <v>169856.84620698786</v>
      </c>
    </row>
    <row r="520" spans="1:43">
      <c r="A520" s="10">
        <f>12</f>
        <v>12</v>
      </c>
      <c r="B520" s="11">
        <f>IF($A520&gt;'1-Input'!$B$26,0,IF(G519&lt;=0,0,MAX(0,(G519-H519)/G519)))</f>
        <v>0.42008036795299719</v>
      </c>
      <c r="C520" s="18">
        <f>IF($A520&gt;'1-Input'!$B$26,0,(MAX(0,B506-IF($A520&gt;=('1-Input'!$C$12+1),'1-Input'!$B$12,0))-MIN(MAX(F519,0),MAX(0,B506-IF($A520&gt;=('1-Input'!$C$12+1),'1-Input'!$B$12,0))))*(1/(1-'P-Parametri'!$B$6*B520))+MIN(MAX(0,G519-(MAX(0,B506-IF($A520&gt;=('1-Input'!$C$12+1),'1-Input'!$B$12,0))-MIN(MAX(F519,0),MAX(0,B506-IF($A520&gt;=('1-Input'!$C$12+1),'1-Input'!$B$12,0))))*(1/(1-'P-Parametri'!$B$6*B520))),MAX(0,2*B506-(F519-MIN(MAX(F519,0),MAX(0,B506-IF($A520&gt;=('1-Input'!$C$12+1),'1-Input'!$B$12,0)))))*(1/(1-'P-Parametri'!$B$6*B520))))</f>
        <v>18861.195588423936</v>
      </c>
      <c r="D520" s="18">
        <f>IF($A520&gt;'1-Input'!$B$26,F519,(F519-MAX(0,B506-IF($A520&gt;=('1-Input'!$C$12+1),'1-Input'!$B$12,0))+C520*(1-'P-Parametri'!$B$6*B520))*(1+'1-Input'!$B$27))</f>
        <v>33242.0070309863</v>
      </c>
      <c r="E520" s="18">
        <f>IF($A520&gt;'1-Input'!$B$26,G519,(G519-C520)*(1+'5-Roberta'!$C$4))</f>
        <v>300402.60317883774</v>
      </c>
      <c r="F520" s="18">
        <f>IF($A520&gt;'1-Input'!$B$26,D520,D520-'P-Parametri'!$B$8*(E520+D520)+MIN(MAX(E520,0),'P-Parametri'!$B$8*(E520+D520)))</f>
        <v>33242.0070309863</v>
      </c>
      <c r="G520" s="18">
        <f>IF($A520&gt;'1-Input'!$B$26,E520,E520-MIN(MAX(E520,0),'P-Parametri'!$B$8*(E520+D520)))</f>
        <v>299735.31395841809</v>
      </c>
      <c r="H520" s="18">
        <f>IF($A520&gt;'1-Input'!$B$26,H519,H519-C520*(1-B520))</f>
        <v>169135.30786546931</v>
      </c>
      <c r="I520" s="11">
        <f>IF($A520&gt;'1-Input'!$B$26,0,IF(N519&lt;=0,0,MAX(0,(N519-O519)/N519)))</f>
        <v>0.41939537367530222</v>
      </c>
      <c r="J520" s="18">
        <f>IF($A520&gt;'1-Input'!$B$26,0,(MAX(0,I506-IF($A520&gt;=('1-Input'!$C$12+1),'1-Input'!$B$12,0))-MIN(MAX(M519,0),MAX(0,I506-IF($A520&gt;=('1-Input'!$C$12+1),'1-Input'!$B$12,0))))*(1/(1-'P-Parametri'!$B$6*I520))+MIN(MAX(0,N519-(MAX(0,I506-IF($A520&gt;=('1-Input'!$C$12+1),'1-Input'!$B$12,0))-MIN(MAX(M519,0),MAX(0,I506-IF($A520&gt;=('1-Input'!$C$12+1),'1-Input'!$B$12,0))))*(1/(1-'P-Parametri'!$B$6*I520))),MAX(0,2*I506-(M519-MIN(MAX(M519,0),MAX(0,I506-IF($A520&gt;=('1-Input'!$C$12+1),'1-Input'!$B$12,0)))))*(1/(1-'P-Parametri'!$B$6*I520))))</f>
        <v>24812.401732317619</v>
      </c>
      <c r="K520" s="18">
        <f>IF($A520&gt;'1-Input'!$B$26,M519,(M519-MAX(0,I506-IF($A520&gt;=('1-Input'!$C$12+1),'1-Input'!$B$12,0))+J520*(1-'P-Parametri'!$B$6*I520))*(1+'1-Input'!$B$27))</f>
        <v>43739.482935508291</v>
      </c>
      <c r="L520" s="18">
        <f>IF($A520&gt;'1-Input'!$B$26,N519,(N519-J520)*(1+'5-Roberta'!$C$4))</f>
        <v>201956.21828267607</v>
      </c>
      <c r="M520" s="18">
        <f>IF($A520&gt;'1-Input'!$B$26,K520,K520-'P-Parametri'!$B$8*(L520+K520)+MIN(MAX(L520,0),'P-Parametri'!$B$8*(L520+K520)))</f>
        <v>43739.482935508291</v>
      </c>
      <c r="N520" s="18">
        <f>IF($A520&gt;'1-Input'!$B$26,L520,L520-MIN(MAX(L520,0),'P-Parametri'!$B$8*(L520+K520)))</f>
        <v>201464.82688023971</v>
      </c>
      <c r="O520" s="18">
        <f>IF($A520&gt;'1-Input'!$B$26,O519,O519-J520*(1-I520))</f>
        <v>113841.47053394392</v>
      </c>
      <c r="P520" s="11">
        <f>IF($A520&gt;'1-Input'!$B$26,0,IF(U519&lt;=0,0,MAX(0,(U519-V519)/U519)))</f>
        <v>0.41994686738843506</v>
      </c>
      <c r="Q520" s="18">
        <f>IF($A520&gt;'1-Input'!$B$26,0,(MAX(0,P506-IF($A520&gt;=('1-Input'!$C$12+1),'1-Input'!$B$12,0))-MIN(MAX(T519,0),MAX(0,P506-IF($A520&gt;=('1-Input'!$C$12+1),'1-Input'!$B$12,0))))*(1/(1-'P-Parametri'!$B$6*P520))+MIN(MAX(0,U519-(MAX(0,P506-IF($A520&gt;=('1-Input'!$C$12+1),'1-Input'!$B$12,0))-MIN(MAX(T519,0),MAX(0,P506-IF($A520&gt;=('1-Input'!$C$12+1),'1-Input'!$B$12,0))))*(1/(1-'P-Parametri'!$B$6*P520))),MAX(0,2*P506-(T519-MIN(MAX(T519,0),MAX(0,P506-IF($A520&gt;=('1-Input'!$C$12+1),'1-Input'!$B$12,0)))))*(1/(1-'P-Parametri'!$B$6*P520))))</f>
        <v>20216.063568232155</v>
      </c>
      <c r="R520" s="18">
        <f>IF($A520&gt;'1-Input'!$B$26,T519,(T519-MAX(0,P506-IF($A520&gt;=('1-Input'!$C$12+1),'1-Input'!$B$12,0))+Q520*(1-'P-Parametri'!$B$6*P520))*(1+'1-Input'!$B$27))</f>
        <v>35631.289129554178</v>
      </c>
      <c r="S520" s="18">
        <f>IF($A520&gt;'1-Input'!$B$26,U519,(U519-Q520)*(1+'5-Roberta'!$C$4))</f>
        <v>277993.92180278199</v>
      </c>
      <c r="T520" s="18">
        <f>IF($A520&gt;'1-Input'!$B$26,R520,R520-'P-Parametri'!$B$8*(S520+R520)+MIN(MAX(S520,0),'P-Parametri'!$B$8*(S520+R520)))</f>
        <v>35631.289129554178</v>
      </c>
      <c r="U520" s="18">
        <f>IF($A520&gt;'1-Input'!$B$26,S520,S520-MIN(MAX(S520,0),'P-Parametri'!$B$8*(S520+R520)))</f>
        <v>277366.67138091731</v>
      </c>
      <c r="V520" s="18">
        <f>IF($A520&gt;'1-Input'!$B$26,V519,V519-Q520*(1-P520))</f>
        <v>156554.60697929913</v>
      </c>
      <c r="W520" s="11">
        <f>IF($A520&gt;'1-Input'!$B$26,0,IF(AB519&lt;=0,0,MAX(0,(AB519-AC519)/AB519)))</f>
        <v>0.41996397972449917</v>
      </c>
      <c r="X520" s="18">
        <f>IF($A520&gt;'1-Input'!$B$26,0,(MAX(0,W506-IF($A520&gt;=('1-Input'!$C$12+1),'1-Input'!$B$12,0))-MIN(MAX(AA519,0),MAX(0,W506-IF($A520&gt;=('1-Input'!$C$12+1),'1-Input'!$B$12,0))))*(1/(1-'P-Parametri'!$B$6*W520))+MIN(MAX(0,AB519-(MAX(0,W506-IF($A520&gt;=('1-Input'!$C$12+1),'1-Input'!$B$12,0))-MIN(MAX(AA519,0),MAX(0,W506-IF($A520&gt;=('1-Input'!$C$12+1),'1-Input'!$B$12,0))))*(1/(1-'P-Parametri'!$B$6*W520))),MAX(0,2*W506-(AA519-MIN(MAX(AA519,0),MAX(0,W506-IF($A520&gt;=('1-Input'!$C$12+1),'1-Input'!$B$12,0)))))*(1/(1-'P-Parametri'!$B$6*W520))))</f>
        <v>20048.370914802901</v>
      </c>
      <c r="Y520" s="18">
        <f>IF($A520&gt;'1-Input'!$B$26,AA519,(AA519-MAX(0,W506-IF($A520&gt;=('1-Input'!$C$12+1),'1-Input'!$B$12,0))+X520*(1-'P-Parametri'!$B$6*W520))*(1+'1-Input'!$B$27))</f>
        <v>35335.550384622999</v>
      </c>
      <c r="Z520" s="18">
        <f>IF($A520&gt;'1-Input'!$B$26,AB519,(AB519-X520)*(1+'5-Roberta'!$C$4))</f>
        <v>280767.55675823637</v>
      </c>
      <c r="AA520" s="18">
        <f>IF($A520&gt;'1-Input'!$B$26,Y520,Y520-'P-Parametri'!$B$8*(Z520+Y520)+MIN(MAX(Z520,0),'P-Parametri'!$B$8*(Z520+Y520)))</f>
        <v>35335.550384622999</v>
      </c>
      <c r="AB520" s="18">
        <f>IF($A520&gt;'1-Input'!$B$26,Z520,Z520-MIN(MAX(Z520,0),'P-Parametri'!$B$8*(Z520+Y520)))</f>
        <v>280135.35054395063</v>
      </c>
      <c r="AC520" s="18">
        <f>IF($A520&gt;'1-Input'!$B$26,AC519,AC519-X520*(1-W520))</f>
        <v>158111.93810147885</v>
      </c>
      <c r="AD520" s="11">
        <f>IF($A520&gt;'1-Input'!$B$26,0,IF(AI519&lt;=0,0,MAX(0,(AI519-AJ519)/AI519)))</f>
        <v>0.41996533484118709</v>
      </c>
      <c r="AE520" s="18">
        <f>IF($A520&gt;'1-Input'!$B$26,0,(MAX(0,AD506-IF($A520&gt;=('1-Input'!$C$12+1),'1-Input'!$B$12,0))-MIN(MAX(AH519,0),MAX(0,AD506-IF($A520&gt;=('1-Input'!$C$12+1),'1-Input'!$B$12,0))))*(1/(1-'P-Parametri'!$B$6*AD520))+MIN(MAX(0,AI519-(MAX(0,AD506-IF($A520&gt;=('1-Input'!$C$12+1),'1-Input'!$B$12,0))-MIN(MAX(AH519,0),MAX(0,AD506-IF($A520&gt;=('1-Input'!$C$12+1),'1-Input'!$B$12,0))))*(1/(1-'P-Parametri'!$B$6*AD520))),MAX(0,2*AD506-(AH519-MIN(MAX(AH519,0),MAX(0,AD506-IF($A520&gt;=('1-Input'!$C$12+1),'1-Input'!$B$12,0)))))*(1/(1-'P-Parametri'!$B$6*AD520))))</f>
        <v>20035.01832479213</v>
      </c>
      <c r="AF520" s="18">
        <f>IF($A520&gt;'1-Input'!$B$26,AH519,(AH519-MAX(0,AD506-IF($A520&gt;=('1-Input'!$C$12+1),'1-Input'!$B$12,0))+AE520*(1-'P-Parametri'!$B$6*AD520))*(1+'1-Input'!$B$27))</f>
        <v>35312.002280650027</v>
      </c>
      <c r="AG520" s="18">
        <f>IF($A520&gt;'1-Input'!$B$26,AI519,(AI519-AE520)*(1+'5-Roberta'!$C$4))</f>
        <v>280988.40718442557</v>
      </c>
      <c r="AH520" s="18">
        <f>IF($A520&gt;'1-Input'!$B$26,AF520,AF520-'P-Parametri'!$B$8*(AG520+AF520)+MIN(MAX(AG520,0),'P-Parametri'!$B$8*(AG520+AF520)))</f>
        <v>35312.002280650027</v>
      </c>
      <c r="AI520" s="18">
        <f>IF($A520&gt;'1-Input'!$B$26,AG520,AG520-MIN(MAX(AG520,0),'P-Parametri'!$B$8*(AG520+AF520)))</f>
        <v>280355.80636549543</v>
      </c>
      <c r="AJ520" s="18">
        <f>IF($A520&gt;'1-Input'!$B$26,AJ519,AJ519-AE520*(1-AD520))</f>
        <v>158235.93851915191</v>
      </c>
      <c r="AK520" s="11">
        <f>IF($A520&gt;'1-Input'!$B$26,0,IF(AP519&lt;=0,0,MAX(0,(AP519-AQ519)/AP519)))</f>
        <v>0.4199653337053752</v>
      </c>
      <c r="AL520" s="18">
        <f>IF($A520&gt;'1-Input'!$B$26,0,(MAX(0,AK506-IF($A520&gt;=('1-Input'!$C$12+1),'1-Input'!$B$12,0))-MIN(MAX(AO519,0),MAX(0,AK506-IF($A520&gt;=('1-Input'!$C$12+1),'1-Input'!$B$12,0))))*(1/(1-'P-Parametri'!$B$6*AK520))+MIN(MAX(0,AP519-(MAX(0,AK506-IF($A520&gt;=('1-Input'!$C$12+1),'1-Input'!$B$12,0))-MIN(MAX(AO519,0),MAX(0,AK506-IF($A520&gt;=('1-Input'!$C$12+1),'1-Input'!$B$12,0))))*(1/(1-'P-Parametri'!$B$6*AK520))),MAX(0,2*AK506-(AO519-MIN(MAX(AO519,0),MAX(0,AK506-IF($A520&gt;=('1-Input'!$C$12+1),'1-Input'!$B$12,0)))))*(1/(1-'P-Parametri'!$B$6*AK520))))</f>
        <v>20035.029520979941</v>
      </c>
      <c r="AM520" s="18">
        <f>IF($A520&gt;'1-Input'!$B$26,AO519,(AO519-MAX(0,AK506-IF($A520&gt;=('1-Input'!$C$12+1),'1-Input'!$B$12,0))+AL520*(1-'P-Parametri'!$B$6*AK520))*(1+'1-Input'!$B$27))</f>
        <v>35312.022025795173</v>
      </c>
      <c r="AN520" s="18">
        <f>IF($A520&gt;'1-Input'!$B$26,AP519,(AP519-AL520)*(1+'5-Roberta'!$C$4))</f>
        <v>280988.2220007428</v>
      </c>
      <c r="AO520" s="18">
        <f>IF($A520&gt;'1-Input'!$B$26,AM520,AM520-'P-Parametri'!$B$8*(AN520+AM520)+MIN(MAX(AN520,0),'P-Parametri'!$B$8*(AN520+AM520)))</f>
        <v>35312.022025795173</v>
      </c>
      <c r="AP520" s="18">
        <f>IF($A520&gt;'1-Input'!$B$26,AN520,AN520-MIN(MAX(AN520,0),'P-Parametri'!$B$8*(AN520+AM520)))</f>
        <v>280355.62151268974</v>
      </c>
      <c r="AQ520" s="18">
        <f>IF($A520&gt;'1-Input'!$B$26,AQ519,AQ519-AL520*(1-AK520))</f>
        <v>158235.83454458331</v>
      </c>
    </row>
    <row r="521" spans="1:43">
      <c r="A521" s="10">
        <f>13</f>
        <v>13</v>
      </c>
      <c r="B521" s="11">
        <f>IF($A521&gt;'1-Input'!$B$26,0,IF(G520&lt;=0,0,MAX(0,(G520-H520)/G520)))</f>
        <v>0.43571778169277298</v>
      </c>
      <c r="C521" s="18">
        <f>IF($A521&gt;'1-Input'!$B$26,0,(MAX(0,B506-IF($A521&gt;=('1-Input'!$C$12+1),'1-Input'!$B$12,0))-MIN(MAX(F520,0),MAX(0,B506-IF($A521&gt;=('1-Input'!$C$12+1),'1-Input'!$B$12,0))))*(1/(1-'P-Parametri'!$B$6*B521))+MIN(MAX(0,G520-(MAX(0,B506-IF($A521&gt;=('1-Input'!$C$12+1),'1-Input'!$B$12,0))-MIN(MAX(F520,0),MAX(0,B506-IF($A521&gt;=('1-Input'!$C$12+1),'1-Input'!$B$12,0))))*(1/(1-'P-Parametri'!$B$6*B521))),MAX(0,2*B506-(F520-MIN(MAX(F520,0),MAX(0,B506-IF($A521&gt;=('1-Input'!$C$12+1),'1-Input'!$B$12,0)))))*(1/(1-'P-Parametri'!$B$6*B521))))</f>
        <v>18947.677291487216</v>
      </c>
      <c r="D521" s="18">
        <f>IF($A521&gt;'1-Input'!$B$26,F520,(F520-MAX(0,B506-IF($A521&gt;=('1-Input'!$C$12+1),'1-Input'!$B$12,0))+C521*(1-'P-Parametri'!$B$6*B521))*(1+'1-Input'!$B$27))</f>
        <v>33242.0070309863</v>
      </c>
      <c r="E521" s="18">
        <f>IF($A521&gt;'1-Input'!$B$26,G520,(G520-C521)*(1+'5-Roberta'!$C$4))</f>
        <v>289211.2657669388</v>
      </c>
      <c r="F521" s="18">
        <f>IF($A521&gt;'1-Input'!$B$26,D521,D521-'P-Parametri'!$B$8*(E521+D521)+MIN(MAX(E521,0),'P-Parametri'!$B$8*(E521+D521)))</f>
        <v>33242.0070309863</v>
      </c>
      <c r="G521" s="18">
        <f>IF($A521&gt;'1-Input'!$B$26,E521,E521-MIN(MAX(E521,0),'P-Parametri'!$B$8*(E521+D521)))</f>
        <v>288566.35922134295</v>
      </c>
      <c r="H521" s="18">
        <f>IF($A521&gt;'1-Input'!$B$26,H520,H520-C521*(1-B521))</f>
        <v>158443.47049165942</v>
      </c>
      <c r="I521" s="11">
        <f>IF($A521&gt;'1-Input'!$B$26,0,IF(N520&lt;=0,0,MAX(0,(N520-O520)/N520)))</f>
        <v>0.43493128653362051</v>
      </c>
      <c r="J521" s="18">
        <f>IF($A521&gt;'1-Input'!$B$26,0,(MAX(0,I506-IF($A521&gt;=('1-Input'!$C$12+1),'1-Input'!$B$12,0))-MIN(MAX(M520,0),MAX(0,I506-IF($A521&gt;=('1-Input'!$C$12+1),'1-Input'!$B$12,0))))*(1/(1-'P-Parametri'!$B$6*I521))+MIN(MAX(0,N520-(MAX(0,I506-IF($A521&gt;=('1-Input'!$C$12+1),'1-Input'!$B$12,0))-MIN(MAX(M520,0),MAX(0,I506-IF($A521&gt;=('1-Input'!$C$12+1),'1-Input'!$B$12,0))))*(1/(1-'P-Parametri'!$B$6*I521))),MAX(0,2*I506-(M520-MIN(MAX(M520,0),MAX(0,I506-IF($A521&gt;=('1-Input'!$C$12+1),'1-Input'!$B$12,0)))))*(1/(1-'P-Parametri'!$B$6*I521))))</f>
        <v>24925.406177023739</v>
      </c>
      <c r="K521" s="18">
        <f>IF($A521&gt;'1-Input'!$B$26,M520,(M520-MAX(0,I506-IF($A521&gt;=('1-Input'!$C$12+1),'1-Input'!$B$12,0))+J521*(1-'P-Parametri'!$B$6*I521))*(1+'1-Input'!$B$27))</f>
        <v>43739.482935508291</v>
      </c>
      <c r="L521" s="18">
        <f>IF($A521&gt;'1-Input'!$B$26,N520,(N520-J521)*(1+'5-Roberta'!$C$4))</f>
        <v>181835.60332431245</v>
      </c>
      <c r="M521" s="18">
        <f>IF($A521&gt;'1-Input'!$B$26,K521,K521-'P-Parametri'!$B$8*(L521+K521)+MIN(MAX(L521,0),'P-Parametri'!$B$8*(L521+K521)))</f>
        <v>43739.482935508291</v>
      </c>
      <c r="N521" s="18">
        <f>IF($A521&gt;'1-Input'!$B$26,L521,L521-MIN(MAX(L521,0),'P-Parametri'!$B$8*(L521+K521)))</f>
        <v>181384.45315179281</v>
      </c>
      <c r="O521" s="18">
        <f>IF($A521&gt;'1-Input'!$B$26,O520,O520-J521*(1-I521))</f>
        <v>99756.903332866175</v>
      </c>
      <c r="P521" s="11">
        <f>IF($A521&gt;'1-Input'!$B$26,0,IF(U520&lt;=0,0,MAX(0,(U520-V520)/U520)))</f>
        <v>0.43556806519014957</v>
      </c>
      <c r="Q521" s="18">
        <f>IF($A521&gt;'1-Input'!$B$26,0,(MAX(0,P506-IF($A521&gt;=('1-Input'!$C$12+1),'1-Input'!$B$12,0))-MIN(MAX(T520,0),MAX(0,P506-IF($A521&gt;=('1-Input'!$C$12+1),'1-Input'!$B$12,0))))*(1/(1-'P-Parametri'!$B$6*P521))+MIN(MAX(0,U520-(MAX(0,P506-IF($A521&gt;=('1-Input'!$C$12+1),'1-Input'!$B$12,0))-MIN(MAX(T520,0),MAX(0,P506-IF($A521&gt;=('1-Input'!$C$12+1),'1-Input'!$B$12,0))))*(1/(1-'P-Parametri'!$B$6*P521))),MAX(0,2*P506-(T520-MIN(MAX(T520,0),MAX(0,P506-IF($A521&gt;=('1-Input'!$C$12+1),'1-Input'!$B$12,0)))))*(1/(1-'P-Parametri'!$B$6*P521))))</f>
        <v>20308.657377053511</v>
      </c>
      <c r="R521" s="18">
        <f>IF($A521&gt;'1-Input'!$B$26,T520,(T520-MAX(0,P506-IF($A521&gt;=('1-Input'!$C$12+1),'1-Input'!$B$12,0))+Q521*(1-'P-Parametri'!$B$6*P521))*(1+'1-Input'!$B$27))</f>
        <v>35631.289129554178</v>
      </c>
      <c r="S521" s="18">
        <f>IF($A521&gt;'1-Input'!$B$26,U520,(U520-Q521)*(1+'5-Roberta'!$C$4))</f>
        <v>264769.75442397973</v>
      </c>
      <c r="T521" s="18">
        <f>IF($A521&gt;'1-Input'!$B$26,R521,R521-'P-Parametri'!$B$8*(S521+R521)+MIN(MAX(S521,0),'P-Parametri'!$B$8*(S521+R521)))</f>
        <v>35631.289129554178</v>
      </c>
      <c r="U521" s="18">
        <f>IF($A521&gt;'1-Input'!$B$26,S521,S521-MIN(MAX(S521,0),'P-Parametri'!$B$8*(S521+R521)))</f>
        <v>264168.95233687264</v>
      </c>
      <c r="V521" s="18">
        <f>IF($A521&gt;'1-Input'!$B$26,V520,V520-Q521*(1-P521))</f>
        <v>145091.75220257847</v>
      </c>
      <c r="W521" s="11">
        <f>IF($A521&gt;'1-Input'!$B$26,0,IF(AB520&lt;=0,0,MAX(0,(AB520-AC520)/AB520)))</f>
        <v>0.43558734092478429</v>
      </c>
      <c r="X521" s="18">
        <f>IF($A521&gt;'1-Input'!$B$26,0,(MAX(0,W506-IF($A521&gt;=('1-Input'!$C$12+1),'1-Input'!$B$12,0))-MIN(MAX(AA520,0),MAX(0,W506-IF($A521&gt;=('1-Input'!$C$12+1),'1-Input'!$B$12,0))))*(1/(1-'P-Parametri'!$B$6*W521))+MIN(MAX(0,AB520-(MAX(0,W506-IF($A521&gt;=('1-Input'!$C$12+1),'1-Input'!$B$12,0))-MIN(MAX(AA520,0),MAX(0,W506-IF($A521&gt;=('1-Input'!$C$12+1),'1-Input'!$B$12,0))))*(1/(1-'P-Parametri'!$B$6*W521))),MAX(0,2*W506-(AA520-MIN(MAX(AA520,0),MAX(0,W506-IF($A521&gt;=('1-Input'!$C$12+1),'1-Input'!$B$12,0)))))*(1/(1-'P-Parametri'!$B$6*W521))))</f>
        <v>20140.209892227638</v>
      </c>
      <c r="Y521" s="18">
        <f>IF($A521&gt;'1-Input'!$B$26,AA520,(AA520-MAX(0,W506-IF($A521&gt;=('1-Input'!$C$12+1),'1-Input'!$B$12,0))+X521*(1-'P-Parametri'!$B$6*W521))*(1+'1-Input'!$B$27))</f>
        <v>35335.550384623006</v>
      </c>
      <c r="Z521" s="18">
        <f>IF($A521&gt;'1-Input'!$B$26,AB520,(AB520-X521)*(1+'5-Roberta'!$C$4))</f>
        <v>267794.99487127468</v>
      </c>
      <c r="AA521" s="18">
        <f>IF($A521&gt;'1-Input'!$B$26,Y521,Y521-'P-Parametri'!$B$8*(Z521+Y521)+MIN(MAX(Z521,0),'P-Parametri'!$B$8*(Z521+Y521)))</f>
        <v>35335.550384623006</v>
      </c>
      <c r="AB521" s="18">
        <f>IF($A521&gt;'1-Input'!$B$26,Z521,Z521-MIN(MAX(Z521,0),'P-Parametri'!$B$8*(Z521+Y521)))</f>
        <v>267188.73378076288</v>
      </c>
      <c r="AC521" s="18">
        <f>IF($A521&gt;'1-Input'!$B$26,AC520,AC520-X521*(1-W521))</f>
        <v>146744.54868187368</v>
      </c>
      <c r="AD521" s="11">
        <f>IF($A521&gt;'1-Input'!$B$26,0,IF(AI520&lt;=0,0,MAX(0,(AI520-AJ520)/AI520)))</f>
        <v>0.43558886626780891</v>
      </c>
      <c r="AE521" s="18">
        <f>IF($A521&gt;'1-Input'!$B$26,0,(MAX(0,AD506-IF($A521&gt;=('1-Input'!$C$12+1),'1-Input'!$B$12,0))-MIN(MAX(AH520,0),MAX(0,AD506-IF($A521&gt;=('1-Input'!$C$12+1),'1-Input'!$B$12,0))))*(1/(1-'P-Parametri'!$B$6*AD521))+MIN(MAX(0,AI520-(MAX(0,AD506-IF($A521&gt;=('1-Input'!$C$12+1),'1-Input'!$B$12,0))-MIN(MAX(AH520,0),MAX(0,AD506-IF($A521&gt;=('1-Input'!$C$12+1),'1-Input'!$B$12,0))))*(1/(1-'P-Parametri'!$B$6*AD521))),MAX(0,2*AD506-(AH520-MIN(MAX(AH520,0),MAX(0,AD506-IF($A521&gt;=('1-Input'!$C$12+1),'1-Input'!$B$12,0)))))*(1/(1-'P-Parametri'!$B$6*AD521))))</f>
        <v>20126.797176764292</v>
      </c>
      <c r="AF521" s="18">
        <f>IF($A521&gt;'1-Input'!$B$26,AH520,(AH520-MAX(0,AD506-IF($A521&gt;=('1-Input'!$C$12+1),'1-Input'!$B$12,0))+AE521*(1-'P-Parametri'!$B$6*AD521))*(1+'1-Input'!$B$27))</f>
        <v>35312.002280650035</v>
      </c>
      <c r="AG521" s="18">
        <f>IF($A521&gt;'1-Input'!$B$26,AI520,(AI520-AE521)*(1+'5-Roberta'!$C$4))</f>
        <v>268035.87946439307</v>
      </c>
      <c r="AH521" s="18">
        <f>IF($A521&gt;'1-Input'!$B$26,AF521,AF521-'P-Parametri'!$B$8*(AG521+AF521)+MIN(MAX(AG521,0),'P-Parametri'!$B$8*(AG521+AF521)))</f>
        <v>35312.002280650035</v>
      </c>
      <c r="AI521" s="18">
        <f>IF($A521&gt;'1-Input'!$B$26,AG521,AG521-MIN(MAX(AG521,0),'P-Parametri'!$B$8*(AG521+AF521)))</f>
        <v>267429.18370090297</v>
      </c>
      <c r="AJ521" s="18">
        <f>IF($A521&gt;'1-Input'!$B$26,AJ520,AJ520-AE521*(1-AD521))</f>
        <v>146876.15010621652</v>
      </c>
      <c r="AK521" s="11">
        <f>IF($A521&gt;'1-Input'!$B$26,0,IF(AP520&lt;=0,0,MAX(0,(AP520-AQ520)/AP520)))</f>
        <v>0.43558886498938609</v>
      </c>
      <c r="AL521" s="18">
        <f>IF($A521&gt;'1-Input'!$B$26,0,(MAX(0,AK506-IF($A521&gt;=('1-Input'!$C$12+1),'1-Input'!$B$12,0))-MIN(MAX(AO520,0),MAX(0,AK506-IF($A521&gt;=('1-Input'!$C$12+1),'1-Input'!$B$12,0))))*(1/(1-'P-Parametri'!$B$6*AK521))+MIN(MAX(0,AP520-(MAX(0,AK506-IF($A521&gt;=('1-Input'!$C$12+1),'1-Input'!$B$12,0))-MIN(MAX(AO520,0),MAX(0,AK506-IF($A521&gt;=('1-Input'!$C$12+1),'1-Input'!$B$12,0))))*(1/(1-'P-Parametri'!$B$6*AK521))),MAX(0,2*AK506-(AO520-MIN(MAX(AO520,0),MAX(0,AK506-IF($A521&gt;=('1-Input'!$C$12+1),'1-Input'!$B$12,0)))))*(1/(1-'P-Parametri'!$B$6*AK521))))</f>
        <v>20126.808423368795</v>
      </c>
      <c r="AM521" s="18">
        <f>IF($A521&gt;'1-Input'!$B$26,AO520,(AO520-MAX(0,AK506-IF($A521&gt;=('1-Input'!$C$12+1),'1-Input'!$B$12,0))+AL521*(1-'P-Parametri'!$B$6*AK521))*(1+'1-Input'!$B$27))</f>
        <v>35312.022025795173</v>
      </c>
      <c r="AN521" s="18">
        <f>IF($A521&gt;'1-Input'!$B$26,AP520,(AP520-AL521)*(1+'5-Roberta'!$C$4))</f>
        <v>268035.67748200061</v>
      </c>
      <c r="AO521" s="18">
        <f>IF($A521&gt;'1-Input'!$B$26,AM521,AM521-'P-Parametri'!$B$8*(AN521+AM521)+MIN(MAX(AN521,0),'P-Parametri'!$B$8*(AN521+AM521)))</f>
        <v>35312.022025795173</v>
      </c>
      <c r="AP521" s="18">
        <f>IF($A521&gt;'1-Input'!$B$26,AN521,AN521-MIN(MAX(AN521,0),'P-Parametri'!$B$8*(AN521+AM521)))</f>
        <v>267428.98208298499</v>
      </c>
      <c r="AQ521" s="18">
        <f>IF($A521&gt;'1-Input'!$B$26,AQ520,AQ520-AL521*(1-AK521))</f>
        <v>146876.03975820856</v>
      </c>
    </row>
    <row r="522" spans="1:43">
      <c r="A522" s="10">
        <f>14</f>
        <v>14</v>
      </c>
      <c r="B522" s="11">
        <f>IF($A522&gt;'1-Input'!$B$26,0,IF(G521&lt;=0,0,MAX(0,(G521-H521)/G521)))</f>
        <v>0.45092882302983078</v>
      </c>
      <c r="C522" s="18">
        <f>IF($A522&gt;'1-Input'!$B$26,0,(MAX(0,B506-IF($A522&gt;=('1-Input'!$C$12+1),'1-Input'!$B$12,0))-MIN(MAX(F521,0),MAX(0,B506-IF($A522&gt;=('1-Input'!$C$12+1),'1-Input'!$B$12,0))))*(1/(1-'P-Parametri'!$B$6*B522))+MIN(MAX(0,G521-(MAX(0,B506-IF($A522&gt;=('1-Input'!$C$12+1),'1-Input'!$B$12,0))-MIN(MAX(F521,0),MAX(0,B506-IF($A522&gt;=('1-Input'!$C$12+1),'1-Input'!$B$12,0))))*(1/(1-'P-Parametri'!$B$6*B522))),MAX(0,2*B506-(F521-MIN(MAX(F521,0),MAX(0,B506-IF($A522&gt;=('1-Input'!$C$12+1),'1-Input'!$B$12,0)))))*(1/(1-'P-Parametri'!$B$6*B522))))</f>
        <v>19032.565303492043</v>
      </c>
      <c r="D522" s="18">
        <f>IF($A522&gt;'1-Input'!$B$26,F521,(F521-MAX(0,B506-IF($A522&gt;=('1-Input'!$C$12+1),'1-Input'!$B$12,0))+C522*(1-'P-Parametri'!$B$6*B522))*(1+'1-Input'!$B$27))</f>
        <v>33242.0070309863</v>
      </c>
      <c r="E522" s="18">
        <f>IF($A522&gt;'1-Input'!$B$26,G521,(G521-C522)*(1+'5-Roberta'!$C$4))</f>
        <v>277619.80773538642</v>
      </c>
      <c r="F522" s="18">
        <f>IF($A522&gt;'1-Input'!$B$26,D522,D522-'P-Parametri'!$B$8*(E522+D522)+MIN(MAX(E522,0),'P-Parametri'!$B$8*(E522+D522)))</f>
        <v>33242.0070309863</v>
      </c>
      <c r="G522" s="18">
        <f>IF($A522&gt;'1-Input'!$B$26,E522,E522-MIN(MAX(E522,0),'P-Parametri'!$B$8*(E522+D522)))</f>
        <v>276998.08410585369</v>
      </c>
      <c r="H522" s="18">
        <f>IF($A522&gt;'1-Input'!$B$26,H521,H521-C522*(1-B522))</f>
        <v>147993.23745970943</v>
      </c>
      <c r="I522" s="11">
        <f>IF($A522&gt;'1-Input'!$B$26,0,IF(N521&lt;=0,0,MAX(0,(N521-O521)/N521)))</f>
        <v>0.45002506223957389</v>
      </c>
      <c r="J522" s="18">
        <f>IF($A522&gt;'1-Input'!$B$26,0,(MAX(0,I506-IF($A522&gt;=('1-Input'!$C$12+1),'1-Input'!$B$12,0))-MIN(MAX(M521,0),MAX(0,I506-IF($A522&gt;=('1-Input'!$C$12+1),'1-Input'!$B$12,0))))*(1/(1-'P-Parametri'!$B$6*I522))+MIN(MAX(0,N521-(MAX(0,I506-IF($A522&gt;=('1-Input'!$C$12+1),'1-Input'!$B$12,0))-MIN(MAX(M521,0),MAX(0,I506-IF($A522&gt;=('1-Input'!$C$12+1),'1-Input'!$B$12,0))))*(1/(1-'P-Parametri'!$B$6*I522))),MAX(0,2*I506-(M521-MIN(MAX(M521,0),MAX(0,I506-IF($A522&gt;=('1-Input'!$C$12+1),'1-Input'!$B$12,0)))))*(1/(1-'P-Parametri'!$B$6*I522))))</f>
        <v>25036.184805913705</v>
      </c>
      <c r="K522" s="18">
        <f>IF($A522&gt;'1-Input'!$B$26,M521,(M521-MAX(0,I506-IF($A522&gt;=('1-Input'!$C$12+1),'1-Input'!$B$12,0))+J522*(1-'P-Parametri'!$B$6*I522))*(1+'1-Input'!$B$27))</f>
        <v>43739.482935508291</v>
      </c>
      <c r="L522" s="18">
        <f>IF($A522&gt;'1-Input'!$B$26,N521,(N521-J522)*(1+'5-Roberta'!$C$4))</f>
        <v>161038.71639625548</v>
      </c>
      <c r="M522" s="18">
        <f>IF($A522&gt;'1-Input'!$B$26,K522,K522-'P-Parametri'!$B$8*(L522+K522)+MIN(MAX(L522,0),'P-Parametri'!$B$8*(L522+K522)))</f>
        <v>43739.482935508291</v>
      </c>
      <c r="N522" s="18">
        <f>IF($A522&gt;'1-Input'!$B$26,L522,L522-MIN(MAX(L522,0),'P-Parametri'!$B$8*(L522+K522)))</f>
        <v>160629.15999759195</v>
      </c>
      <c r="O522" s="18">
        <f>IF($A522&gt;'1-Input'!$B$26,O521,O521-J522*(1-I522))</f>
        <v>85987.62915247526</v>
      </c>
      <c r="P522" s="11">
        <f>IF($A522&gt;'1-Input'!$B$26,0,IF(U521&lt;=0,0,MAX(0,(U521-V521)/U521)))</f>
        <v>0.45076152621616539</v>
      </c>
      <c r="Q522" s="18">
        <f>IF($A522&gt;'1-Input'!$B$26,0,(MAX(0,P506-IF($A522&gt;=('1-Input'!$C$12+1),'1-Input'!$B$12,0))-MIN(MAX(T521,0),MAX(0,P506-IF($A522&gt;=('1-Input'!$C$12+1),'1-Input'!$B$12,0))))*(1/(1-'P-Parametri'!$B$6*P522))+MIN(MAX(0,U521-(MAX(0,P506-IF($A522&gt;=('1-Input'!$C$12+1),'1-Input'!$B$12,0))-MIN(MAX(T521,0),MAX(0,P506-IF($A522&gt;=('1-Input'!$C$12+1),'1-Input'!$B$12,0))))*(1/(1-'P-Parametri'!$B$6*P522))),MAX(0,2*P506-(T521-MIN(MAX(T521,0),MAX(0,P506-IF($A522&gt;=('1-Input'!$C$12+1),'1-Input'!$B$12,0)))))*(1/(1-'P-Parametri'!$B$6*P522))))</f>
        <v>20399.533118433123</v>
      </c>
      <c r="R522" s="18">
        <f>IF($A522&gt;'1-Input'!$B$26,T521,(T521-MAX(0,P506-IF($A522&gt;=('1-Input'!$C$12+1),'1-Input'!$B$12,0))+Q522*(1-'P-Parametri'!$B$6*P522))*(1+'1-Input'!$B$27))</f>
        <v>35631.289129554178</v>
      </c>
      <c r="S522" s="18">
        <f>IF($A522&gt;'1-Input'!$B$26,U521,(U521-Q522)*(1+'5-Roberta'!$C$4))</f>
        <v>251082.50179499271</v>
      </c>
      <c r="T522" s="18">
        <f>IF($A522&gt;'1-Input'!$B$26,R522,R522-'P-Parametri'!$B$8*(S522+R522)+MIN(MAX(S522,0),'P-Parametri'!$B$8*(S522+R522)))</f>
        <v>35631.289129554178</v>
      </c>
      <c r="U522" s="18">
        <f>IF($A522&gt;'1-Input'!$B$26,S522,S522-MIN(MAX(S522,0),'P-Parametri'!$B$8*(S522+R522)))</f>
        <v>250509.07421314361</v>
      </c>
      <c r="V522" s="18">
        <f>IF($A522&gt;'1-Input'!$B$26,V521,V521-Q522*(1-P522))</f>
        <v>133887.54376670747</v>
      </c>
      <c r="W522" s="11">
        <f>IF($A522&gt;'1-Input'!$B$26,0,IF(AB521&lt;=0,0,MAX(0,(AB521-AC521)/AB521)))</f>
        <v>0.45078317260830914</v>
      </c>
      <c r="X522" s="18">
        <f>IF($A522&gt;'1-Input'!$B$26,0,(MAX(0,W506-IF($A522&gt;=('1-Input'!$C$12+1),'1-Input'!$B$12,0))-MIN(MAX(AA521,0),MAX(0,W506-IF($A522&gt;=('1-Input'!$C$12+1),'1-Input'!$B$12,0))))*(1/(1-'P-Parametri'!$B$6*W522))+MIN(MAX(0,AB521-(MAX(0,W506-IF($A522&gt;=('1-Input'!$C$12+1),'1-Input'!$B$12,0))-MIN(MAX(AA521,0),MAX(0,W506-IF($A522&gt;=('1-Input'!$C$12+1),'1-Input'!$B$12,0))))*(1/(1-'P-Parametri'!$B$6*W522))),MAX(0,2*W506-(AA521-MIN(MAX(AA521,0),MAX(0,W506-IF($A522&gt;=('1-Input'!$C$12+1),'1-Input'!$B$12,0)))))*(1/(1-'P-Parametri'!$B$6*W522))))</f>
        <v>20230.346513238608</v>
      </c>
      <c r="Y522" s="18">
        <f>IF($A522&gt;'1-Input'!$B$26,AA521,(AA521-MAX(0,W506-IF($A522&gt;=('1-Input'!$C$12+1),'1-Input'!$B$12,0))+X522*(1-'P-Parametri'!$B$6*W522))*(1+'1-Input'!$B$27))</f>
        <v>35335.550384623013</v>
      </c>
      <c r="Z522" s="18">
        <f>IF($A522&gt;'1-Input'!$B$26,AB521,(AB521-X522)*(1+'5-Roberta'!$C$4))</f>
        <v>254367.13888555</v>
      </c>
      <c r="AA522" s="18">
        <f>IF($A522&gt;'1-Input'!$B$26,Y522,Y522-'P-Parametri'!$B$8*(Z522+Y522)+MIN(MAX(Z522,0),'P-Parametri'!$B$8*(Z522+Y522)))</f>
        <v>35335.550384623013</v>
      </c>
      <c r="AB522" s="18">
        <f>IF($A522&gt;'1-Input'!$B$26,Z522,Z522-MIN(MAX(Z522,0),'P-Parametri'!$B$8*(Z522+Y522)))</f>
        <v>253787.73350700966</v>
      </c>
      <c r="AC522" s="18">
        <f>IF($A522&gt;'1-Input'!$B$26,AC521,AC521-X522*(1-W522))</f>
        <v>135633.70195283822</v>
      </c>
      <c r="AD522" s="11">
        <f>IF($A522&gt;'1-Input'!$B$26,0,IF(AI521&lt;=0,0,MAX(0,(AI521-AJ521)/AI521)))</f>
        <v>0.45078488415652823</v>
      </c>
      <c r="AE522" s="18">
        <f>IF($A522&gt;'1-Input'!$B$26,0,(MAX(0,AD506-IF($A522&gt;=('1-Input'!$C$12+1),'1-Input'!$B$12,0))-MIN(MAX(AH521,0),MAX(0,AD506-IF($A522&gt;=('1-Input'!$C$12+1),'1-Input'!$B$12,0))))*(1/(1-'P-Parametri'!$B$6*AD522))+MIN(MAX(0,AI521-(MAX(0,AD506-IF($A522&gt;=('1-Input'!$C$12+1),'1-Input'!$B$12,0))-MIN(MAX(AH521,0),MAX(0,AD506-IF($A522&gt;=('1-Input'!$C$12+1),'1-Input'!$B$12,0))))*(1/(1-'P-Parametri'!$B$6*AD522))),MAX(0,2*AD506-(AH521-MIN(MAX(AH521,0),MAX(0,AD506-IF($A522&gt;=('1-Input'!$C$12+1),'1-Input'!$B$12,0)))))*(1/(1-'P-Parametri'!$B$6*AD522))))</f>
        <v>20216.874918937203</v>
      </c>
      <c r="AF522" s="18">
        <f>IF($A522&gt;'1-Input'!$B$26,AH521,(AH521-MAX(0,AD506-IF($A522&gt;=('1-Input'!$C$12+1),'1-Input'!$B$12,0))+AE522*(1-'P-Parametri'!$B$6*AD522))*(1+'1-Input'!$B$27))</f>
        <v>35312.002280650035</v>
      </c>
      <c r="AG522" s="18">
        <f>IF($A522&gt;'1-Input'!$B$26,AI521,(AI521-AE522)*(1+'5-Roberta'!$C$4))</f>
        <v>254628.67804542472</v>
      </c>
      <c r="AH522" s="18">
        <f>IF($A522&gt;'1-Input'!$B$26,AF522,AF522-'P-Parametri'!$B$8*(AG522+AF522)+MIN(MAX(AG522,0),'P-Parametri'!$B$8*(AG522+AF522)))</f>
        <v>35312.002280650035</v>
      </c>
      <c r="AI522" s="18">
        <f>IF($A522&gt;'1-Input'!$B$26,AG522,AG522-MIN(MAX(AG522,0),'P-Parametri'!$B$8*(AG522+AF522)))</f>
        <v>254048.79668477256</v>
      </c>
      <c r="AJ522" s="18">
        <f>IF($A522&gt;'1-Input'!$B$26,AJ521,AJ521-AE522*(1-AD522))</f>
        <v>135772.73680561944</v>
      </c>
      <c r="AK522" s="11">
        <f>IF($A522&gt;'1-Input'!$B$26,0,IF(AP521&lt;=0,0,MAX(0,(AP521-AQ521)/AP521)))</f>
        <v>0.45078488272212791</v>
      </c>
      <c r="AL522" s="18">
        <f>IF($A522&gt;'1-Input'!$B$26,0,(MAX(0,AK506-IF($A522&gt;=('1-Input'!$C$12+1),'1-Input'!$B$12,0))-MIN(MAX(AO521,0),MAX(0,AK506-IF($A522&gt;=('1-Input'!$C$12+1),'1-Input'!$B$12,0))))*(1/(1-'P-Parametri'!$B$6*AK522))+MIN(MAX(0,AP521-(MAX(0,AK506-IF($A522&gt;=('1-Input'!$C$12+1),'1-Input'!$B$12,0))-MIN(MAX(AO521,0),MAX(0,AK506-IF($A522&gt;=('1-Input'!$C$12+1),'1-Input'!$B$12,0))))*(1/(1-'P-Parametri'!$B$6*AK522))),MAX(0,2*AK506-(AO521-MIN(MAX(AO521,0),MAX(0,AK506-IF($A522&gt;=('1-Input'!$C$12+1),'1-Input'!$B$12,0)))))*(1/(1-'P-Parametri'!$B$6*AK522))))</f>
        <v>20216.886214913397</v>
      </c>
      <c r="AM522" s="18">
        <f>IF($A522&gt;'1-Input'!$B$26,AO521,(AO521-MAX(0,AK506-IF($A522&gt;=('1-Input'!$C$12+1),'1-Input'!$B$12,0))+AL522*(1-'P-Parametri'!$B$6*AK522))*(1+'1-Input'!$B$27))</f>
        <v>35312.022025795173</v>
      </c>
      <c r="AN522" s="18">
        <f>IF($A522&gt;'1-Input'!$B$26,AP521,(AP521-AL522)*(1+'5-Roberta'!$C$4))</f>
        <v>254628.45874411374</v>
      </c>
      <c r="AO522" s="18">
        <f>IF($A522&gt;'1-Input'!$B$26,AM522,AM522-'P-Parametri'!$B$8*(AN522+AM522)+MIN(MAX(AN522,0),'P-Parametri'!$B$8*(AN522+AM522)))</f>
        <v>35312.022025795173</v>
      </c>
      <c r="AP522" s="18">
        <f>IF($A522&gt;'1-Input'!$B$26,AN522,AN522-MIN(MAX(AN522,0),'P-Parametri'!$B$8*(AN522+AM522)))</f>
        <v>254048.57778257394</v>
      </c>
      <c r="AQ522" s="18">
        <f>IF($A522&gt;'1-Input'!$B$26,AQ521,AQ521-AL522*(1-AK522))</f>
        <v>135772.62022469149</v>
      </c>
    </row>
    <row r="523" spans="1:43">
      <c r="A523" s="10">
        <f>15</f>
        <v>15</v>
      </c>
      <c r="B523" s="11">
        <f>IF($A523&gt;'1-Input'!$B$26,0,IF(G522&lt;=0,0,MAX(0,(G522-H522)/G522)))</f>
        <v>0.46572468926119209</v>
      </c>
      <c r="C523" s="18">
        <f>IF($A523&gt;'1-Input'!$B$26,0,(MAX(0,B506-IF($A523&gt;=('1-Input'!$C$12+1),'1-Input'!$B$12,0))-MIN(MAX(F522,0),MAX(0,B506-IF($A523&gt;=('1-Input'!$C$12+1),'1-Input'!$B$12,0))))*(1/(1-'P-Parametri'!$B$6*B523))+MIN(MAX(0,G522-(MAX(0,B506-IF($A523&gt;=('1-Input'!$C$12+1),'1-Input'!$B$12,0))-MIN(MAX(F522,0),MAX(0,B506-IF($A523&gt;=('1-Input'!$C$12+1),'1-Input'!$B$12,0))))*(1/(1-'P-Parametri'!$B$6*B523))),MAX(0,2*B506-(F522-MIN(MAX(F522,0),MAX(0,B506-IF($A523&gt;=('1-Input'!$C$12+1),'1-Input'!$B$12,0)))))*(1/(1-'P-Parametri'!$B$6*B523))))</f>
        <v>19115.869309344653</v>
      </c>
      <c r="D523" s="18">
        <f>IF($A523&gt;'1-Input'!$B$26,F522,(F522-MAX(0,B506-IF($A523&gt;=('1-Input'!$C$12+1),'1-Input'!$B$12,0))+C523*(1-'P-Parametri'!$B$6*B523))*(1+'1-Input'!$B$27))</f>
        <v>33242.0070309863</v>
      </c>
      <c r="E523" s="18">
        <f>IF($A523&gt;'1-Input'!$B$26,G522,(G522-C523)*(1+'5-Roberta'!$C$4))</f>
        <v>265618.68124040432</v>
      </c>
      <c r="F523" s="18">
        <f>IF($A523&gt;'1-Input'!$B$26,D523,D523-'P-Parametri'!$B$8*(E523+D523)+MIN(MAX(E523,0),'P-Parametri'!$B$8*(E523+D523)))</f>
        <v>33242.0070309863</v>
      </c>
      <c r="G523" s="18">
        <f>IF($A523&gt;'1-Input'!$B$26,E523,E523-MIN(MAX(E523,0),'P-Parametri'!$B$8*(E523+D523)))</f>
        <v>265020.95986386156</v>
      </c>
      <c r="H523" s="18">
        <f>IF($A523&gt;'1-Input'!$B$26,H522,H522-C523*(1-B523))</f>
        <v>137780.10044441686</v>
      </c>
      <c r="I523" s="11">
        <f>IF($A523&gt;'1-Input'!$B$26,0,IF(N522&lt;=0,0,MAX(0,(N522-O522)/N522)))</f>
        <v>0.46468232073326954</v>
      </c>
      <c r="J523" s="18">
        <f>IF($A523&gt;'1-Input'!$B$26,0,(MAX(0,I506-IF($A523&gt;=('1-Input'!$C$12+1),'1-Input'!$B$12,0))-MIN(MAX(M522,0),MAX(0,I506-IF($A523&gt;=('1-Input'!$C$12+1),'1-Input'!$B$12,0))))*(1/(1-'P-Parametri'!$B$6*I523))+MIN(MAX(0,N522-(MAX(0,I506-IF($A523&gt;=('1-Input'!$C$12+1),'1-Input'!$B$12,0))-MIN(MAX(M522,0),MAX(0,I506-IF($A523&gt;=('1-Input'!$C$12+1),'1-Input'!$B$12,0))))*(1/(1-'P-Parametri'!$B$6*I523))),MAX(0,2*I506-(M522-MIN(MAX(M522,0),MAX(0,I506-IF($A523&gt;=('1-Input'!$C$12+1),'1-Input'!$B$12,0)))))*(1/(1-'P-Parametri'!$B$6*I523))))</f>
        <v>25144.706149251226</v>
      </c>
      <c r="K523" s="18">
        <f>IF($A523&gt;'1-Input'!$B$26,M522,(M522-MAX(0,I506-IF($A523&gt;=('1-Input'!$C$12+1),'1-Input'!$B$12,0))+J523*(1-'P-Parametri'!$B$6*I523))*(1+'1-Input'!$B$27))</f>
        <v>43739.482935508291</v>
      </c>
      <c r="L523" s="18">
        <f>IF($A523&gt;'1-Input'!$B$26,N522,(N522-J523)*(1+'5-Roberta'!$C$4))</f>
        <v>139548.98746379095</v>
      </c>
      <c r="M523" s="18">
        <f>IF($A523&gt;'1-Input'!$B$26,K523,K523-'P-Parametri'!$B$8*(L523+K523)+MIN(MAX(L523,0),'P-Parametri'!$B$8*(L523+K523)))</f>
        <v>43739.482935508291</v>
      </c>
      <c r="N523" s="18">
        <f>IF($A523&gt;'1-Input'!$B$26,L523,L523-MIN(MAX(L523,0),'P-Parametri'!$B$8*(L523+K523)))</f>
        <v>139182.41052299234</v>
      </c>
      <c r="O523" s="18">
        <f>IF($A523&gt;'1-Input'!$B$26,O522,O522-J523*(1-I523))</f>
        <v>72527.223410814215</v>
      </c>
      <c r="P523" s="11">
        <f>IF($A523&gt;'1-Input'!$B$26,0,IF(U522&lt;=0,0,MAX(0,(U522-V522)/U522)))</f>
        <v>0.46553814792038095</v>
      </c>
      <c r="Q523" s="18">
        <f>IF($A523&gt;'1-Input'!$B$26,0,(MAX(0,P506-IF($A523&gt;=('1-Input'!$C$12+1),'1-Input'!$B$12,0))-MIN(MAX(T522,0),MAX(0,P506-IF($A523&gt;=('1-Input'!$C$12+1),'1-Input'!$B$12,0))))*(1/(1-'P-Parametri'!$B$6*P523))+MIN(MAX(0,U522-(MAX(0,P506-IF($A523&gt;=('1-Input'!$C$12+1),'1-Input'!$B$12,0))-MIN(MAX(T522,0),MAX(0,P506-IF($A523&gt;=('1-Input'!$C$12+1),'1-Input'!$B$12,0))))*(1/(1-'P-Parametri'!$B$6*P523))),MAX(0,2*P506-(T522-MIN(MAX(T522,0),MAX(0,P506-IF($A523&gt;=('1-Input'!$C$12+1),'1-Input'!$B$12,0)))))*(1/(1-'P-Parametri'!$B$6*P523))))</f>
        <v>20488.699178920629</v>
      </c>
      <c r="R523" s="18">
        <f>IF($A523&gt;'1-Input'!$B$26,T522,(T522-MAX(0,P506-IF($A523&gt;=('1-Input'!$C$12+1),'1-Input'!$B$12,0))+Q523*(1-'P-Parametri'!$B$6*P523))*(1+'1-Input'!$B$27))</f>
        <v>35631.289129554178</v>
      </c>
      <c r="S523" s="18">
        <f>IF($A523&gt;'1-Input'!$B$26,U522,(U522-Q523)*(1+'5-Roberta'!$C$4))</f>
        <v>236920.98628524967</v>
      </c>
      <c r="T523" s="18">
        <f>IF($A523&gt;'1-Input'!$B$26,R523,R523-'P-Parametri'!$B$8*(S523+R523)+MIN(MAX(S523,0),'P-Parametri'!$B$8*(S523+R523)))</f>
        <v>35631.289129554178</v>
      </c>
      <c r="U523" s="18">
        <f>IF($A523&gt;'1-Input'!$B$26,S523,S523-MIN(MAX(S523,0),'P-Parametri'!$B$8*(S523+R523)))</f>
        <v>236375.88173442008</v>
      </c>
      <c r="V523" s="18">
        <f>IF($A523&gt;'1-Input'!$B$26,V522,V522-Q523*(1-P523))</f>
        <v>122937.11565683938</v>
      </c>
      <c r="W523" s="11">
        <f>IF($A523&gt;'1-Input'!$B$26,0,IF(AB522&lt;=0,0,MAX(0,(AB522-AC522)/AB522)))</f>
        <v>0.4655624206948048</v>
      </c>
      <c r="X523" s="18">
        <f>IF($A523&gt;'1-Input'!$B$26,0,(MAX(0,W506-IF($A523&gt;=('1-Input'!$C$12+1),'1-Input'!$B$12,0))-MIN(MAX(AA522,0),MAX(0,W506-IF($A523&gt;=('1-Input'!$C$12+1),'1-Input'!$B$12,0))))*(1/(1-'P-Parametri'!$B$6*W523))+MIN(MAX(0,AB522-(MAX(0,W506-IF($A523&gt;=('1-Input'!$C$12+1),'1-Input'!$B$12,0))-MIN(MAX(AA522,0),MAX(0,W506-IF($A523&gt;=('1-Input'!$C$12+1),'1-Input'!$B$12,0))))*(1/(1-'P-Parametri'!$B$6*W523))),MAX(0,2*W506-(AA522-MIN(MAX(AA522,0),MAX(0,W506-IF($A523&gt;=('1-Input'!$C$12+1),'1-Input'!$B$12,0)))))*(1/(1-'P-Parametri'!$B$6*W523))))</f>
        <v>20318.789413419687</v>
      </c>
      <c r="Y523" s="18">
        <f>IF($A523&gt;'1-Input'!$B$26,AA522,(AA522-MAX(0,W506-IF($A523&gt;=('1-Input'!$C$12+1),'1-Input'!$B$12,0))+X523*(1-'P-Parametri'!$B$6*W523))*(1+'1-Input'!$B$27))</f>
        <v>35335.550384623006</v>
      </c>
      <c r="Z523" s="18">
        <f>IF($A523&gt;'1-Input'!$B$26,AB522,(AB522-X523)*(1+'5-Roberta'!$C$4))</f>
        <v>240473.01241639766</v>
      </c>
      <c r="AA523" s="18">
        <f>IF($A523&gt;'1-Input'!$B$26,Y523,Y523-'P-Parametri'!$B$8*(Z523+Y523)+MIN(MAX(Z523,0),'P-Parametri'!$B$8*(Z523+Y523)))</f>
        <v>35335.550384623006</v>
      </c>
      <c r="AB523" s="18">
        <f>IF($A523&gt;'1-Input'!$B$26,Z523,Z523-MIN(MAX(Z523,0),'P-Parametri'!$B$8*(Z523+Y523)))</f>
        <v>239921.39529079563</v>
      </c>
      <c r="AC523" s="18">
        <f>IF($A523&gt;'1-Input'!$B$26,AC522,AC522-X523*(1-W523))</f>
        <v>124774.57732431818</v>
      </c>
      <c r="AD523" s="11">
        <f>IF($A523&gt;'1-Input'!$B$26,0,IF(AI522&lt;=0,0,MAX(0,(AI522-AJ522)/AI522)))</f>
        <v>0.46556433812167108</v>
      </c>
      <c r="AE523" s="18">
        <f>IF($A523&gt;'1-Input'!$B$26,0,(MAX(0,AD506-IF($A523&gt;=('1-Input'!$C$12+1),'1-Input'!$B$12,0))-MIN(MAX(AH522,0),MAX(0,AD506-IF($A523&gt;=('1-Input'!$C$12+1),'1-Input'!$B$12,0))))*(1/(1-'P-Parametri'!$B$6*AD523))+MIN(MAX(0,AI522-(MAX(0,AD506-IF($A523&gt;=('1-Input'!$C$12+1),'1-Input'!$B$12,0))-MIN(MAX(AH522,0),MAX(0,AD506-IF($A523&gt;=('1-Input'!$C$12+1),'1-Input'!$B$12,0))))*(1/(1-'P-Parametri'!$B$6*AD523))),MAX(0,2*AD506-(AH522-MIN(MAX(AH522,0),MAX(0,AD506-IF($A523&gt;=('1-Input'!$C$12+1),'1-Input'!$B$12,0)))))*(1/(1-'P-Parametri'!$B$6*AD523))))</f>
        <v>20305.260205430452</v>
      </c>
      <c r="AF523" s="18">
        <f>IF($A523&gt;'1-Input'!$B$26,AH522,(AH522-MAX(0,AD506-IF($A523&gt;=('1-Input'!$C$12+1),'1-Input'!$B$12,0))+AE523*(1-'P-Parametri'!$B$6*AD523))*(1+'1-Input'!$B$27))</f>
        <v>35312.002280650035</v>
      </c>
      <c r="AG523" s="18">
        <f>IF($A523&gt;'1-Input'!$B$26,AI522,(AI522-AE523)*(1+'5-Roberta'!$C$4))</f>
        <v>240755.84257372239</v>
      </c>
      <c r="AH523" s="18">
        <f>IF($A523&gt;'1-Input'!$B$26,AF523,AF523-'P-Parametri'!$B$8*(AG523+AF523)+MIN(MAX(AG523,0),'P-Parametri'!$B$8*(AG523+AF523)))</f>
        <v>35312.002280650035</v>
      </c>
      <c r="AI523" s="18">
        <f>IF($A523&gt;'1-Input'!$B$26,AG523,AG523-MIN(MAX(AG523,0),'P-Parametri'!$B$8*(AG523+AF523)))</f>
        <v>240203.70688401363</v>
      </c>
      <c r="AJ523" s="18">
        <f>IF($A523&gt;'1-Input'!$B$26,AJ522,AJ522-AE523*(1-AD523))</f>
        <v>124920.88162811853</v>
      </c>
      <c r="AK523" s="11">
        <f>IF($A523&gt;'1-Input'!$B$26,0,IF(AP522&lt;=0,0,MAX(0,(AP522-AQ522)/AP522)))</f>
        <v>0.46556433651483875</v>
      </c>
      <c r="AL523" s="18">
        <f>IF($A523&gt;'1-Input'!$B$26,0,(MAX(0,AK506-IF($A523&gt;=('1-Input'!$C$12+1),'1-Input'!$B$12,0))-MIN(MAX(AO522,0),MAX(0,AK506-IF($A523&gt;=('1-Input'!$C$12+1),'1-Input'!$B$12,0))))*(1/(1-'P-Parametri'!$B$6*AK523))+MIN(MAX(0,AP522-(MAX(0,AK506-IF($A523&gt;=('1-Input'!$C$12+1),'1-Input'!$B$12,0))-MIN(MAX(AO522,0),MAX(0,AK506-IF($A523&gt;=('1-Input'!$C$12+1),'1-Input'!$B$12,0))))*(1/(1-'P-Parametri'!$B$6*AK523))),MAX(0,2*AK506-(AO522-MIN(MAX(AO522,0),MAX(0,AK506-IF($A523&gt;=('1-Input'!$C$12+1),'1-Input'!$B$12,0)))))*(1/(1-'P-Parametri'!$B$6*AK523))))</f>
        <v>20305.271549717829</v>
      </c>
      <c r="AM523" s="18">
        <f>IF($A523&gt;'1-Input'!$B$26,AO522,(AO522-MAX(0,AK506-IF($A523&gt;=('1-Input'!$C$12+1),'1-Input'!$B$12,0))+AL523*(1-'P-Parametri'!$B$6*AK523))*(1+'1-Input'!$B$27))</f>
        <v>35312.022025795173</v>
      </c>
      <c r="AN523" s="18">
        <f>IF($A523&gt;'1-Input'!$B$26,AP522,(AP522-AL523)*(1+'5-Roberta'!$C$4))</f>
        <v>240755.6054198418</v>
      </c>
      <c r="AO523" s="18">
        <f>IF($A523&gt;'1-Input'!$B$26,AM523,AM523-'P-Parametri'!$B$8*(AN523+AM523)+MIN(MAX(AN523,0),'P-Parametri'!$B$8*(AN523+AM523)))</f>
        <v>35312.022025795173</v>
      </c>
      <c r="AP523" s="18">
        <f>IF($A523&gt;'1-Input'!$B$26,AN523,AN523-MIN(MAX(AN523,0),'P-Parametri'!$B$8*(AN523+AM523)))</f>
        <v>240203.47016495053</v>
      </c>
      <c r="AQ523" s="18">
        <f>IF($A523&gt;'1-Input'!$B$26,AQ522,AQ522-AL523*(1-AK523))</f>
        <v>124920.75895177167</v>
      </c>
    </row>
    <row r="524" spans="1:43">
      <c r="A524" s="10">
        <f>16</f>
        <v>16</v>
      </c>
      <c r="B524" s="11">
        <f>IF($A524&gt;'1-Input'!$B$26,0,IF(G523&lt;=0,0,MAX(0,(G523-H523)/G523)))</f>
        <v>0.48011621226036977</v>
      </c>
      <c r="C524" s="18">
        <f>IF($A524&gt;'1-Input'!$B$26,0,(MAX(0,B506-IF($A524&gt;=('1-Input'!$C$12+1),'1-Input'!$B$12,0))-MIN(MAX(F523,0),MAX(0,B506-IF($A524&gt;=('1-Input'!$C$12+1),'1-Input'!$B$12,0))))*(1/(1-'P-Parametri'!$B$6*B524))+MIN(MAX(0,G523-(MAX(0,B506-IF($A524&gt;=('1-Input'!$C$12+1),'1-Input'!$B$12,0))-MIN(MAX(F523,0),MAX(0,B506-IF($A524&gt;=('1-Input'!$C$12+1),'1-Input'!$B$12,0))))*(1/(1-'P-Parametri'!$B$6*B524))),MAX(0,2*B506-(F523-MIN(MAX(F523,0),MAX(0,B506-IF($A524&gt;=('1-Input'!$C$12+1),'1-Input'!$B$12,0)))))*(1/(1-'P-Parametri'!$B$6*B524))))</f>
        <v>19197.599373811132</v>
      </c>
      <c r="D524" s="18">
        <f>IF($A524&gt;'1-Input'!$B$26,F523,(F523-MAX(0,B506-IF($A524&gt;=('1-Input'!$C$12+1),'1-Input'!$B$12,0))+C524*(1-'P-Parametri'!$B$6*B524))*(1+'1-Input'!$B$27))</f>
        <v>33242.0070309863</v>
      </c>
      <c r="E524" s="18">
        <f>IF($A524&gt;'1-Input'!$B$26,G523,(G523-C524)*(1+'5-Roberta'!$C$4))</f>
        <v>253198.06130475196</v>
      </c>
      <c r="F524" s="18">
        <f>IF($A524&gt;'1-Input'!$B$26,D524,D524-'P-Parametri'!$B$8*(E524+D524)+MIN(MAX(E524,0),'P-Parametri'!$B$8*(E524+D524)))</f>
        <v>33242.0070309863</v>
      </c>
      <c r="G524" s="18">
        <f>IF($A524&gt;'1-Input'!$B$26,E524,E524-MIN(MAX(E524,0),'P-Parametri'!$B$8*(E524+D524)))</f>
        <v>252625.18116808048</v>
      </c>
      <c r="H524" s="18">
        <f>IF($A524&gt;'1-Input'!$B$26,H523,H523-C524*(1-B524))</f>
        <v>127799.57976645198</v>
      </c>
      <c r="I524" s="11">
        <f>IF($A524&gt;'1-Input'!$B$26,0,IF(N523&lt;=0,0,MAX(0,(N523-O523)/N523)))</f>
        <v>0.47890525003636847</v>
      </c>
      <c r="J524" s="18">
        <f>IF($A524&gt;'1-Input'!$B$26,0,(MAX(0,I506-IF($A524&gt;=('1-Input'!$C$12+1),'1-Input'!$B$12,0))-MIN(MAX(M523,0),MAX(0,I506-IF($A524&gt;=('1-Input'!$C$12+1),'1-Input'!$B$12,0))))*(1/(1-'P-Parametri'!$B$6*I524))+MIN(MAX(0,N523-(MAX(0,I506-IF($A524&gt;=('1-Input'!$C$12+1),'1-Input'!$B$12,0))-MIN(MAX(M523,0),MAX(0,I506-IF($A524&gt;=('1-Input'!$C$12+1),'1-Input'!$B$12,0))))*(1/(1-'P-Parametri'!$B$6*I524))),MAX(0,2*I506-(M523-MIN(MAX(M523,0),MAX(0,I506-IF($A524&gt;=('1-Input'!$C$12+1),'1-Input'!$B$12,0)))))*(1/(1-'P-Parametri'!$B$6*I524))))</f>
        <v>25250.914932980577</v>
      </c>
      <c r="K524" s="18">
        <f>IF($A524&gt;'1-Input'!$B$26,M523,(M523-MAX(0,I506-IF($A524&gt;=('1-Input'!$C$12+1),'1-Input'!$B$12,0))+J524*(1-'P-Parametri'!$B$6*I524))*(1+'1-Input'!$B$27))</f>
        <v>43739.482935508291</v>
      </c>
      <c r="L524" s="18">
        <f>IF($A524&gt;'1-Input'!$B$26,N523,(N523-J524)*(1+'5-Roberta'!$C$4))</f>
        <v>117349.44045771212</v>
      </c>
      <c r="M524" s="18">
        <f>IF($A524&gt;'1-Input'!$B$26,K524,K524-'P-Parametri'!$B$8*(L524+K524)+MIN(MAX(L524,0),'P-Parametri'!$B$8*(L524+K524)))</f>
        <v>43739.482935508291</v>
      </c>
      <c r="N524" s="18">
        <f>IF($A524&gt;'1-Input'!$B$26,L524,L524-MIN(MAX(L524,0),'P-Parametri'!$B$8*(L524+K524)))</f>
        <v>117027.26261092568</v>
      </c>
      <c r="O524" s="18">
        <f>IF($A524&gt;'1-Input'!$B$26,O523,O523-J524*(1-I524))</f>
        <v>59369.104207459772</v>
      </c>
      <c r="P524" s="11">
        <f>IF($A524&gt;'1-Input'!$B$26,0,IF(U523&lt;=0,0,MAX(0,(U523-V523)/U523)))</f>
        <v>0.47990837832192512</v>
      </c>
      <c r="Q524" s="18">
        <f>IF($A524&gt;'1-Input'!$B$26,0,(MAX(0,P506-IF($A524&gt;=('1-Input'!$C$12+1),'1-Input'!$B$12,0))-MIN(MAX(T523,0),MAX(0,P506-IF($A524&gt;=('1-Input'!$C$12+1),'1-Input'!$B$12,0))))*(1/(1-'P-Parametri'!$B$6*P524))+MIN(MAX(0,U523-(MAX(0,P506-IF($A524&gt;=('1-Input'!$C$12+1),'1-Input'!$B$12,0))-MIN(MAX(T523,0),MAX(0,P506-IF($A524&gt;=('1-Input'!$C$12+1),'1-Input'!$B$12,0))))*(1/(1-'P-Parametri'!$B$6*P524))),MAX(0,2*P506-(T523-MIN(MAX(T523,0),MAX(0,P506-IF($A524&gt;=('1-Input'!$C$12+1),'1-Input'!$B$12,0)))))*(1/(1-'P-Parametri'!$B$6*P524))))</f>
        <v>20576.163783223132</v>
      </c>
      <c r="R524" s="18">
        <f>IF($A524&gt;'1-Input'!$B$26,T523,(T523-MAX(0,P506-IF($A524&gt;=('1-Input'!$C$12+1),'1-Input'!$B$12,0))+Q524*(1-'P-Parametri'!$B$6*P524))*(1+'1-Input'!$B$27))</f>
        <v>35631.289129554178</v>
      </c>
      <c r="S524" s="18">
        <f>IF($A524&gt;'1-Input'!$B$26,U523,(U523-Q524)*(1+'5-Roberta'!$C$4))</f>
        <v>222273.70948973286</v>
      </c>
      <c r="T524" s="18">
        <f>IF($A524&gt;'1-Input'!$B$26,R524,R524-'P-Parametri'!$B$8*(S524+R524)+MIN(MAX(S524,0),'P-Parametri'!$B$8*(S524+R524)))</f>
        <v>35631.289129554178</v>
      </c>
      <c r="U524" s="18">
        <f>IF($A524&gt;'1-Input'!$B$26,S524,S524-MIN(MAX(S524,0),'P-Parametri'!$B$8*(S524+R524)))</f>
        <v>221757.8994924943</v>
      </c>
      <c r="V524" s="18">
        <f>IF($A524&gt;'1-Input'!$B$26,V523,V523-Q524*(1-P524))</f>
        <v>112235.62526690919</v>
      </c>
      <c r="W524" s="11">
        <f>IF($A524&gt;'1-Input'!$B$26,0,IF(AB523&lt;=0,0,MAX(0,(AB523-AC523)/AB523)))</f>
        <v>0.47993559651866097</v>
      </c>
      <c r="X524" s="18">
        <f>IF($A524&gt;'1-Input'!$B$26,0,(MAX(0,W506-IF($A524&gt;=('1-Input'!$C$12+1),'1-Input'!$B$12,0))-MIN(MAX(AA523,0),MAX(0,W506-IF($A524&gt;=('1-Input'!$C$12+1),'1-Input'!$B$12,0))))*(1/(1-'P-Parametri'!$B$6*W524))+MIN(MAX(0,AB523-(MAX(0,W506-IF($A524&gt;=('1-Input'!$C$12+1),'1-Input'!$B$12,0))-MIN(MAX(AA523,0),MAX(0,W506-IF($A524&gt;=('1-Input'!$C$12+1),'1-Input'!$B$12,0))))*(1/(1-'P-Parametri'!$B$6*W524))),MAX(0,2*W506-(AA523-MIN(MAX(AA523,0),MAX(0,W506-IF($A524&gt;=('1-Input'!$C$12+1),'1-Input'!$B$12,0)))))*(1/(1-'P-Parametri'!$B$6*W524))))</f>
        <v>20405.547166812139</v>
      </c>
      <c r="Y524" s="18">
        <f>IF($A524&gt;'1-Input'!$B$26,AA523,(AA523-MAX(0,W506-IF($A524&gt;=('1-Input'!$C$12+1),'1-Input'!$B$12,0))+X524*(1-'P-Parametri'!$B$6*W524))*(1+'1-Input'!$B$27))</f>
        <v>35335.550384623006</v>
      </c>
      <c r="Z524" s="18">
        <f>IF($A524&gt;'1-Input'!$B$26,AB523,(AB523-X524)*(1+'5-Roberta'!$C$4))</f>
        <v>226101.32356770299</v>
      </c>
      <c r="AA524" s="18">
        <f>IF($A524&gt;'1-Input'!$B$26,Y524,Y524-'P-Parametri'!$B$8*(Z524+Y524)+MIN(MAX(Z524,0),'P-Parametri'!$B$8*(Z524+Y524)))</f>
        <v>35335.550384623006</v>
      </c>
      <c r="AB524" s="18">
        <f>IF($A524&gt;'1-Input'!$B$26,Z524,Z524-MIN(MAX(Z524,0),'P-Parametri'!$B$8*(Z524+Y524)))</f>
        <v>225578.44981979835</v>
      </c>
      <c r="AC524" s="18">
        <f>IF($A524&gt;'1-Input'!$B$26,AC523,AC523-X524*(1-W524))</f>
        <v>114162.37860929969</v>
      </c>
      <c r="AD524" s="11">
        <f>IF($A524&gt;'1-Input'!$B$26,0,IF(AI523&lt;=0,0,MAX(0,(AI523-AJ523)/AI523)))</f>
        <v>0.47993774430617486</v>
      </c>
      <c r="AE524" s="18">
        <f>IF($A524&gt;'1-Input'!$B$26,0,(MAX(0,AD506-IF($A524&gt;=('1-Input'!$C$12+1),'1-Input'!$B$12,0))-MIN(MAX(AH523,0),MAX(0,AD506-IF($A524&gt;=('1-Input'!$C$12+1),'1-Input'!$B$12,0))))*(1/(1-'P-Parametri'!$B$6*AD524))+MIN(MAX(0,AI523-(MAX(0,AD506-IF($A524&gt;=('1-Input'!$C$12+1),'1-Input'!$B$12,0))-MIN(MAX(AH523,0),MAX(0,AD506-IF($A524&gt;=('1-Input'!$C$12+1),'1-Input'!$B$12,0))))*(1/(1-'P-Parametri'!$B$6*AD524))),MAX(0,2*AD506-(AH523-MIN(MAX(AH523,0),MAX(0,AD506-IF($A524&gt;=('1-Input'!$C$12+1),'1-Input'!$B$12,0)))))*(1/(1-'P-Parametri'!$B$6*AD524))))</f>
        <v>20391.961636290605</v>
      </c>
      <c r="AF524" s="18">
        <f>IF($A524&gt;'1-Input'!$B$26,AH523,(AH523-MAX(0,AD506-IF($A524&gt;=('1-Input'!$C$12+1),'1-Input'!$B$12,0))+AE524*(1-'P-Parametri'!$B$6*AD524))*(1+'1-Input'!$B$27))</f>
        <v>35312.002280650035</v>
      </c>
      <c r="AG524" s="18">
        <f>IF($A524&gt;'1-Input'!$B$26,AI523,(AI523-AE524)*(1+'5-Roberta'!$C$4))</f>
        <v>226406.09760515473</v>
      </c>
      <c r="AH524" s="18">
        <f>IF($A524&gt;'1-Input'!$B$26,AF524,AF524-'P-Parametri'!$B$8*(AG524+AF524)+MIN(MAX(AG524,0),'P-Parametri'!$B$8*(AG524+AF524)))</f>
        <v>35312.002280650035</v>
      </c>
      <c r="AI524" s="18">
        <f>IF($A524&gt;'1-Input'!$B$26,AG524,AG524-MIN(MAX(AG524,0),'P-Parametri'!$B$8*(AG524+AF524)))</f>
        <v>225882.66140538311</v>
      </c>
      <c r="AJ524" s="18">
        <f>IF($A524&gt;'1-Input'!$B$26,AJ523,AJ523-AE524*(1-AD524))</f>
        <v>114315.79206152729</v>
      </c>
      <c r="AK524" s="11">
        <f>IF($A524&gt;'1-Input'!$B$26,0,IF(AP523&lt;=0,0,MAX(0,(AP523-AQ523)/AP523)))</f>
        <v>0.47993774250643789</v>
      </c>
      <c r="AL524" s="18">
        <f>IF($A524&gt;'1-Input'!$B$26,0,(MAX(0,AK506-IF($A524&gt;=('1-Input'!$C$12+1),'1-Input'!$B$12,0))-MIN(MAX(AO523,0),MAX(0,AK506-IF($A524&gt;=('1-Input'!$C$12+1),'1-Input'!$B$12,0))))*(1/(1-'P-Parametri'!$B$6*AK524))+MIN(MAX(0,AP523-(MAX(0,AK506-IF($A524&gt;=('1-Input'!$C$12+1),'1-Input'!$B$12,0))-MIN(MAX(AO523,0),MAX(0,AK506-IF($A524&gt;=('1-Input'!$C$12+1),'1-Input'!$B$12,0))))*(1/(1-'P-Parametri'!$B$6*AK524))),MAX(0,2*AK506-(AO523-MIN(MAX(AO523,0),MAX(0,AK506-IF($A524&gt;=('1-Input'!$C$12+1),'1-Input'!$B$12,0)))))*(1/(1-'P-Parametri'!$B$6*AK524))))</f>
        <v>20391.973027806991</v>
      </c>
      <c r="AM524" s="18">
        <f>IF($A524&gt;'1-Input'!$B$26,AO523,(AO523-MAX(0,AK506-IF($A524&gt;=('1-Input'!$C$12+1),'1-Input'!$B$12,0))+AL524*(1-'P-Parametri'!$B$6*AK524))*(1+'1-Input'!$B$27))</f>
        <v>35312.022025795173</v>
      </c>
      <c r="AN524" s="18">
        <f>IF($A524&gt;'1-Input'!$B$26,AP523,(AP523-AL524)*(1+'5-Roberta'!$C$4))</f>
        <v>226405.84205125785</v>
      </c>
      <c r="AO524" s="18">
        <f>IF($A524&gt;'1-Input'!$B$26,AM524,AM524-'P-Parametri'!$B$8*(AN524+AM524)+MIN(MAX(AN524,0),'P-Parametri'!$B$8*(AN524+AM524)))</f>
        <v>35312.022025795173</v>
      </c>
      <c r="AP524" s="18">
        <f>IF($A524&gt;'1-Input'!$B$26,AN524,AN524-MIN(MAX(AN524,0),'P-Parametri'!$B$8*(AN524+AM524)))</f>
        <v>225882.40632310373</v>
      </c>
      <c r="AQ524" s="18">
        <f>IF($A524&gt;'1-Input'!$B$26,AQ523,AQ523-AL524*(1-AK524))</f>
        <v>114315.66342418254</v>
      </c>
    </row>
    <row r="525" spans="1:43">
      <c r="A525" s="10">
        <f>17</f>
        <v>17</v>
      </c>
      <c r="B525" s="11">
        <f>IF($A525&gt;'1-Input'!$B$26,0,IF(G524&lt;=0,0,MAX(0,(G524-H524)/G524)))</f>
        <v>0.49411385208894759</v>
      </c>
      <c r="C525" s="18">
        <f>IF($A525&gt;'1-Input'!$B$26,0,(MAX(0,B506-IF($A525&gt;=('1-Input'!$C$12+1),'1-Input'!$B$12,0))-MIN(MAX(F524,0),MAX(0,B506-IF($A525&gt;=('1-Input'!$C$12+1),'1-Input'!$B$12,0))))*(1/(1-'P-Parametri'!$B$6*B525))+MIN(MAX(0,G524-(MAX(0,B506-IF($A525&gt;=('1-Input'!$C$12+1),'1-Input'!$B$12,0))-MIN(MAX(F524,0),MAX(0,B506-IF($A525&gt;=('1-Input'!$C$12+1),'1-Input'!$B$12,0))))*(1/(1-'P-Parametri'!$B$6*B525))),MAX(0,2*B506-(F524-MIN(MAX(F524,0),MAX(0,B506-IF($A525&gt;=('1-Input'!$C$12+1),'1-Input'!$B$12,0)))))*(1/(1-'P-Parametri'!$B$6*B525))))</f>
        <v>19277.765804427632</v>
      </c>
      <c r="D525" s="18">
        <f>IF($A525&gt;'1-Input'!$B$26,F524,(F524-MAX(0,B506-IF($A525&gt;=('1-Input'!$C$12+1),'1-Input'!$B$12,0))+C525*(1-'P-Parametri'!$B$6*B525))*(1+'1-Input'!$B$27))</f>
        <v>33242.0070309863</v>
      </c>
      <c r="E525" s="18">
        <f>IF($A525&gt;'1-Input'!$B$26,G524,(G524-C525)*(1+'5-Roberta'!$C$4))</f>
        <v>240347.83782456245</v>
      </c>
      <c r="F525" s="18">
        <f>IF($A525&gt;'1-Input'!$B$26,D525,D525-'P-Parametri'!$B$8*(E525+D525)+MIN(MAX(E525,0),'P-Parametri'!$B$8*(E525+D525)))</f>
        <v>33242.0070309863</v>
      </c>
      <c r="G525" s="18">
        <f>IF($A525&gt;'1-Input'!$B$26,E525,E525-MIN(MAX(E525,0),'P-Parametri'!$B$8*(E525+D525)))</f>
        <v>239800.65813485134</v>
      </c>
      <c r="H525" s="18">
        <f>IF($A525&gt;'1-Input'!$B$26,H524,H524-C525*(1-B525))</f>
        <v>118047.22508331867</v>
      </c>
      <c r="I525" s="11">
        <f>IF($A525&gt;'1-Input'!$B$26,0,IF(N524&lt;=0,0,MAX(0,(N524-O524)/N524)))</f>
        <v>0.49268996913273894</v>
      </c>
      <c r="J525" s="18">
        <f>IF($A525&gt;'1-Input'!$B$26,0,(MAX(0,I506-IF($A525&gt;=('1-Input'!$C$12+1),'1-Input'!$B$12,0))-MIN(MAX(M524,0),MAX(0,I506-IF($A525&gt;=('1-Input'!$C$12+1),'1-Input'!$B$12,0))))*(1/(1-'P-Parametri'!$B$6*I525))+MIN(MAX(0,N524-(MAX(0,I506-IF($A525&gt;=('1-Input'!$C$12+1),'1-Input'!$B$12,0))-MIN(MAX(M524,0),MAX(0,I506-IF($A525&gt;=('1-Input'!$C$12+1),'1-Input'!$B$12,0))))*(1/(1-'P-Parametri'!$B$6*I525))),MAX(0,2*I506-(M524-MIN(MAX(M524,0),MAX(0,I506-IF($A525&gt;=('1-Input'!$C$12+1),'1-Input'!$B$12,0)))))*(1/(1-'P-Parametri'!$B$6*I525))))</f>
        <v>25354.711121650627</v>
      </c>
      <c r="K525" s="18">
        <f>IF($A525&gt;'1-Input'!$B$26,M524,(M524-MAX(0,I506-IF($A525&gt;=('1-Input'!$C$12+1),'1-Input'!$B$12,0))+J525*(1-'P-Parametri'!$B$6*I525))*(1+'1-Input'!$B$27))</f>
        <v>43739.482935508291</v>
      </c>
      <c r="L525" s="18">
        <f>IF($A525&gt;'1-Input'!$B$26,N524,(N524-J525)*(1+'5-Roberta'!$C$4))</f>
        <v>94422.728033953303</v>
      </c>
      <c r="M525" s="18">
        <f>IF($A525&gt;'1-Input'!$B$26,K525,K525-'P-Parametri'!$B$8*(L525+K525)+MIN(MAX(L525,0),'P-Parametri'!$B$8*(L525+K525)))</f>
        <v>43739.482935508291</v>
      </c>
      <c r="N525" s="18">
        <f>IF($A525&gt;'1-Input'!$B$26,L525,L525-MIN(MAX(L525,0),'P-Parametri'!$B$8*(L525+K525)))</f>
        <v>94146.403612014386</v>
      </c>
      <c r="O525" s="18">
        <f>IF($A525&gt;'1-Input'!$B$26,O524,O524-J525*(1-I525))</f>
        <v>46506.404925704701</v>
      </c>
      <c r="P525" s="11">
        <f>IF($A525&gt;'1-Input'!$B$26,0,IF(U524&lt;=0,0,MAX(0,(U524-V524)/U524)))</f>
        <v>0.49388217725832145</v>
      </c>
      <c r="Q525" s="18">
        <f>IF($A525&gt;'1-Input'!$B$26,0,(MAX(0,P506-IF($A525&gt;=('1-Input'!$C$12+1),'1-Input'!$B$12,0))-MIN(MAX(T524,0),MAX(0,P506-IF($A525&gt;=('1-Input'!$C$12+1),'1-Input'!$B$12,0))))*(1/(1-'P-Parametri'!$B$6*P525))+MIN(MAX(0,U524-(MAX(0,P506-IF($A525&gt;=('1-Input'!$C$12+1),'1-Input'!$B$12,0))-MIN(MAX(T524,0),MAX(0,P506-IF($A525&gt;=('1-Input'!$C$12+1),'1-Input'!$B$12,0))))*(1/(1-'P-Parametri'!$B$6*P525))),MAX(0,2*P506-(T524-MIN(MAX(T524,0),MAX(0,P506-IF($A525&gt;=('1-Input'!$C$12+1),'1-Input'!$B$12,0)))))*(1/(1-'P-Parametri'!$B$6*P525))))</f>
        <v>20661.934628783467</v>
      </c>
      <c r="R525" s="18">
        <f>IF($A525&gt;'1-Input'!$B$26,T524,(T524-MAX(0,P506-IF($A525&gt;=('1-Input'!$C$12+1),'1-Input'!$B$12,0))+Q525*(1-'P-Parametri'!$B$6*P525))*(1+'1-Input'!$B$27))</f>
        <v>35631.289129554178</v>
      </c>
      <c r="S525" s="18">
        <f>IF($A525&gt;'1-Input'!$B$26,U524,(U524-Q525)*(1+'5-Roberta'!$C$4))</f>
        <v>207128.84380962217</v>
      </c>
      <c r="T525" s="18">
        <f>IF($A525&gt;'1-Input'!$B$26,R525,R525-'P-Parametri'!$B$8*(S525+R525)+MIN(MAX(S525,0),'P-Parametri'!$B$8*(S525+R525)))</f>
        <v>35631.289129554178</v>
      </c>
      <c r="U525" s="18">
        <f>IF($A525&gt;'1-Input'!$B$26,S525,S525-MIN(MAX(S525,0),'P-Parametri'!$B$8*(S525+R525)))</f>
        <v>206643.32354374381</v>
      </c>
      <c r="V525" s="18">
        <f>IF($A525&gt;'1-Input'!$B$26,V524,V524-Q525*(1-P525))</f>
        <v>101778.25189895841</v>
      </c>
      <c r="W525" s="11">
        <f>IF($A525&gt;'1-Input'!$B$26,0,IF(AB524&lt;=0,0,MAX(0,(AB524-AC524)/AB524)))</f>
        <v>0.49391274432244103</v>
      </c>
      <c r="X525" s="18">
        <f>IF($A525&gt;'1-Input'!$B$26,0,(MAX(0,W506-IF($A525&gt;=('1-Input'!$C$12+1),'1-Input'!$B$12,0))-MIN(MAX(AA524,0),MAX(0,W506-IF($A525&gt;=('1-Input'!$C$12+1),'1-Input'!$B$12,0))))*(1/(1-'P-Parametri'!$B$6*W525))+MIN(MAX(0,AB524-(MAX(0,W506-IF($A525&gt;=('1-Input'!$C$12+1),'1-Input'!$B$12,0))-MIN(MAX(AA524,0),MAX(0,W506-IF($A525&gt;=('1-Input'!$C$12+1),'1-Input'!$B$12,0))))*(1/(1-'P-Parametri'!$B$6*W525))),MAX(0,2*W506-(AA524-MIN(MAX(AA524,0),MAX(0,W506-IF($A525&gt;=('1-Input'!$C$12+1),'1-Input'!$B$12,0)))))*(1/(1-'P-Parametri'!$B$6*W525))))</f>
        <v>20490.62796503149</v>
      </c>
      <c r="Y525" s="18">
        <f>IF($A525&gt;'1-Input'!$B$26,AA524,(AA524-MAX(0,W506-IF($A525&gt;=('1-Input'!$C$12+1),'1-Input'!$B$12,0))+X525*(1-'P-Parametri'!$B$6*W525))*(1+'1-Input'!$B$27))</f>
        <v>35335.550384623006</v>
      </c>
      <c r="Z525" s="18">
        <f>IF($A525&gt;'1-Input'!$B$26,AB524,(AB524-X525)*(1+'5-Roberta'!$C$4))</f>
        <v>211240.45651040989</v>
      </c>
      <c r="AA525" s="18">
        <f>IF($A525&gt;'1-Input'!$B$26,Y525,Y525-'P-Parametri'!$B$8*(Z525+Y525)+MIN(MAX(Z525,0),'P-Parametri'!$B$8*(Z525+Y525)))</f>
        <v>35335.550384623006</v>
      </c>
      <c r="AB525" s="18">
        <f>IF($A525&gt;'1-Input'!$B$26,Z525,Z525-MIN(MAX(Z525,0),'P-Parametri'!$B$8*(Z525+Y525)))</f>
        <v>210747.30449661982</v>
      </c>
      <c r="AC525" s="18">
        <f>IF($A525&gt;'1-Input'!$B$26,AC524,AC524-X525*(1-W525))</f>
        <v>103792.33293536706</v>
      </c>
      <c r="AD525" s="11">
        <f>IF($A525&gt;'1-Input'!$B$26,0,IF(AI524&lt;=0,0,MAX(0,(AI524-AJ524)/AI524)))</f>
        <v>0.49391515333543445</v>
      </c>
      <c r="AE525" s="18">
        <f>IF($A525&gt;'1-Input'!$B$26,0,(MAX(0,AD506-IF($A525&gt;=('1-Input'!$C$12+1),'1-Input'!$B$12,0))-MIN(MAX(AH524,0),MAX(0,AD506-IF($A525&gt;=('1-Input'!$C$12+1),'1-Input'!$B$12,0))))*(1/(1-'P-Parametri'!$B$6*AD525))+MIN(MAX(0,AI524-(MAX(0,AD506-IF($A525&gt;=('1-Input'!$C$12+1),'1-Input'!$B$12,0))-MIN(MAX(AH524,0),MAX(0,AD506-IF($A525&gt;=('1-Input'!$C$12+1),'1-Input'!$B$12,0))))*(1/(1-'P-Parametri'!$B$6*AD525))),MAX(0,2*AD506-(AH524-MIN(MAX(AH524,0),MAX(0,AD506-IF($A525&gt;=('1-Input'!$C$12+1),'1-Input'!$B$12,0)))))*(1/(1-'P-Parametri'!$B$6*AD525))))</f>
        <v>20476.987439885685</v>
      </c>
      <c r="AF525" s="18">
        <f>IF($A525&gt;'1-Input'!$B$26,AH524,(AH524-MAX(0,AD506-IF($A525&gt;=('1-Input'!$C$12+1),'1-Input'!$B$12,0))+AE525*(1-'P-Parametri'!$B$6*AD525))*(1+'1-Input'!$B$27))</f>
        <v>35312.002280650035</v>
      </c>
      <c r="AG525" s="18">
        <f>IF($A525&gt;'1-Input'!$B$26,AI524,(AI524-AE525)*(1+'5-Roberta'!$C$4))</f>
        <v>211567.84418446236</v>
      </c>
      <c r="AH525" s="18">
        <f>IF($A525&gt;'1-Input'!$B$26,AF525,AF525-'P-Parametri'!$B$8*(AG525+AF525)+MIN(MAX(AG525,0),'P-Parametri'!$B$8*(AG525+AF525)))</f>
        <v>35312.002280650035</v>
      </c>
      <c r="AI525" s="18">
        <f>IF($A525&gt;'1-Input'!$B$26,AG525,AG525-MIN(MAX(AG525,0),'P-Parametri'!$B$8*(AG525+AF525)))</f>
        <v>211074.08449153212</v>
      </c>
      <c r="AJ525" s="18">
        <f>IF($A525&gt;'1-Input'!$B$26,AJ524,AJ524-AE525*(1-AD525))</f>
        <v>103952.69901286051</v>
      </c>
      <c r="AK525" s="11">
        <f>IF($A525&gt;'1-Input'!$B$26,0,IF(AP524&lt;=0,0,MAX(0,(AP524-AQ524)/AP524)))</f>
        <v>0.49391515131698821</v>
      </c>
      <c r="AL525" s="18">
        <f>IF($A525&gt;'1-Input'!$B$26,0,(MAX(0,AK506-IF($A525&gt;=('1-Input'!$C$12+1),'1-Input'!$B$12,0))-MIN(MAX(AO524,0),MAX(0,AK506-IF($A525&gt;=('1-Input'!$C$12+1),'1-Input'!$B$12,0))))*(1/(1-'P-Parametri'!$B$6*AK525))+MIN(MAX(0,AP524-(MAX(0,AK506-IF($A525&gt;=('1-Input'!$C$12+1),'1-Input'!$B$12,0))-MIN(MAX(AO524,0),MAX(0,AK506-IF($A525&gt;=('1-Input'!$C$12+1),'1-Input'!$B$12,0))))*(1/(1-'P-Parametri'!$B$6*AK525))),MAX(0,2*AK506-(AO524-MIN(MAX(AO524,0),MAX(0,AK506-IF($A525&gt;=('1-Input'!$C$12+1),'1-Input'!$B$12,0)))))*(1/(1-'P-Parametri'!$B$6*AK525))))</f>
        <v>20476.998877518225</v>
      </c>
      <c r="AM525" s="18">
        <f>IF($A525&gt;'1-Input'!$B$26,AO524,(AO524-MAX(0,AK506-IF($A525&gt;=('1-Input'!$C$12+1),'1-Input'!$B$12,0))+AL525*(1-'P-Parametri'!$B$6*AK525))*(1+'1-Input'!$B$27))</f>
        <v>35312.022025795173</v>
      </c>
      <c r="AN525" s="18">
        <f>IF($A525&gt;'1-Input'!$B$26,AP524,(AP524-AL525)*(1+'5-Roberta'!$C$4))</f>
        <v>211567.56966895307</v>
      </c>
      <c r="AO525" s="18">
        <f>IF($A525&gt;'1-Input'!$B$26,AM525,AM525-'P-Parametri'!$B$8*(AN525+AM525)+MIN(MAX(AN525,0),'P-Parametri'!$B$8*(AN525+AM525)))</f>
        <v>35312.022025795173</v>
      </c>
      <c r="AP525" s="18">
        <f>IF($A525&gt;'1-Input'!$B$26,AN525,AN525-MIN(MAX(AN525,0),'P-Parametri'!$B$8*(AN525+AM525)))</f>
        <v>211073.81048556359</v>
      </c>
      <c r="AQ525" s="18">
        <f>IF($A525&gt;'1-Input'!$B$26,AQ524,AQ524-AL525*(1-AK525))</f>
        <v>103952.56454577153</v>
      </c>
    </row>
    <row r="526" spans="1:43">
      <c r="A526" s="10">
        <f>18</f>
        <v>18</v>
      </c>
      <c r="B526" s="11">
        <f>IF($A526&gt;'1-Input'!$B$26,0,IF(G525&lt;=0,0,MAX(0,(G525-H525)/G525)))</f>
        <v>0.50772768514698952</v>
      </c>
      <c r="C526" s="18">
        <f>IF($A526&gt;'1-Input'!$B$26,0,(MAX(0,B506-IF($A526&gt;=('1-Input'!$C$12+1),'1-Input'!$B$12,0))-MIN(MAX(F525,0),MAX(0,B506-IF($A526&gt;=('1-Input'!$C$12+1),'1-Input'!$B$12,0))))*(1/(1-'P-Parametri'!$B$6*B526))+MIN(MAX(0,G525-(MAX(0,B506-IF($A526&gt;=('1-Input'!$C$12+1),'1-Input'!$B$12,0))-MIN(MAX(F525,0),MAX(0,B506-IF($A526&gt;=('1-Input'!$C$12+1),'1-Input'!$B$12,0))))*(1/(1-'P-Parametri'!$B$6*B526))),MAX(0,2*B506-(F525-MIN(MAX(F525,0),MAX(0,B506-IF($A526&gt;=('1-Input'!$C$12+1),'1-Input'!$B$12,0)))))*(1/(1-'P-Parametri'!$B$6*B526))))</f>
        <v>19356.37898103728</v>
      </c>
      <c r="D526" s="18">
        <f>IF($A526&gt;'1-Input'!$B$26,F525,(F525-MAX(0,B506-IF($A526&gt;=('1-Input'!$C$12+1),'1-Input'!$B$12,0))+C526*(1-'P-Parametri'!$B$6*B526))*(1+'1-Input'!$B$27))</f>
        <v>33242.0070309863</v>
      </c>
      <c r="E526" s="18">
        <f>IF($A526&gt;'1-Input'!$B$26,G525,(G525-C526)*(1+'5-Roberta'!$C$4))</f>
        <v>227057.60752842849</v>
      </c>
      <c r="F526" s="18">
        <f>IF($A526&gt;'1-Input'!$B$26,D526,D526-'P-Parametri'!$B$8*(E526+D526)+MIN(MAX(E526,0),'P-Parametri'!$B$8*(E526+D526)))</f>
        <v>33242.0070309863</v>
      </c>
      <c r="G526" s="18">
        <f>IF($A526&gt;'1-Input'!$B$26,E526,E526-MIN(MAX(E526,0),'P-Parametri'!$B$8*(E526+D526)))</f>
        <v>226537.00829930967</v>
      </c>
      <c r="H526" s="18">
        <f>IF($A526&gt;'1-Input'!$B$26,H525,H525-C526*(1-B526))</f>
        <v>108518.61559515129</v>
      </c>
      <c r="I526" s="11">
        <f>IF($A526&gt;'1-Input'!$B$26,0,IF(N525&lt;=0,0,MAX(0,(N525-O525)/N525)))</f>
        <v>0.50602037739687133</v>
      </c>
      <c r="J526" s="18">
        <f>IF($A526&gt;'1-Input'!$B$26,0,(MAX(0,I506-IF($A526&gt;=('1-Input'!$C$12+1),'1-Input'!$B$12,0))-MIN(MAX(M525,0),MAX(0,I506-IF($A526&gt;=('1-Input'!$C$12+1),'1-Input'!$B$12,0))))*(1/(1-'P-Parametri'!$B$6*I526))+MIN(MAX(0,N525-(MAX(0,I506-IF($A526&gt;=('1-Input'!$C$12+1),'1-Input'!$B$12,0))-MIN(MAX(M525,0),MAX(0,I506-IF($A526&gt;=('1-Input'!$C$12+1),'1-Input'!$B$12,0))))*(1/(1-'P-Parametri'!$B$6*I526))),MAX(0,2*I506-(M525-MIN(MAX(M525,0),MAX(0,I506-IF($A526&gt;=('1-Input'!$C$12+1),'1-Input'!$B$12,0)))))*(1/(1-'P-Parametri'!$B$6*I526))))</f>
        <v>25455.901284807944</v>
      </c>
      <c r="K526" s="18">
        <f>IF($A526&gt;'1-Input'!$B$26,M525,(M525-MAX(0,I506-IF($A526&gt;=('1-Input'!$C$12+1),'1-Input'!$B$12,0))+J526*(1-'P-Parametri'!$B$6*I526))*(1+'1-Input'!$B$27))</f>
        <v>43739.482935508291</v>
      </c>
      <c r="L526" s="18">
        <f>IF($A526&gt;'1-Input'!$B$26,N525,(N525-J526)*(1+'5-Roberta'!$C$4))</f>
        <v>70751.217397022643</v>
      </c>
      <c r="M526" s="18">
        <f>IF($A526&gt;'1-Input'!$B$26,K526,K526-'P-Parametri'!$B$8*(L526+K526)+MIN(MAX(L526,0),'P-Parametri'!$B$8*(L526+K526)))</f>
        <v>43739.482935508291</v>
      </c>
      <c r="N526" s="18">
        <f>IF($A526&gt;'1-Input'!$B$26,L526,L526-MIN(MAX(L526,0),'P-Parametri'!$B$8*(L526+K526)))</f>
        <v>70522.235996357587</v>
      </c>
      <c r="O526" s="18">
        <f>IF($A526&gt;'1-Input'!$B$26,O525,O525-J526*(1-I526))</f>
        <v>33931.708416012771</v>
      </c>
      <c r="P526" s="11">
        <f>IF($A526&gt;'1-Input'!$B$26,0,IF(U525&lt;=0,0,MAX(0,(U525-V525)/U525)))</f>
        <v>0.50746895591130381</v>
      </c>
      <c r="Q526" s="18">
        <f>IF($A526&gt;'1-Input'!$B$26,0,(MAX(0,P506-IF($A526&gt;=('1-Input'!$C$12+1),'1-Input'!$B$12,0))-MIN(MAX(T525,0),MAX(0,P506-IF($A526&gt;=('1-Input'!$C$12+1),'1-Input'!$B$12,0))))*(1/(1-'P-Parametri'!$B$6*P526))+MIN(MAX(0,U525-(MAX(0,P506-IF($A526&gt;=('1-Input'!$C$12+1),'1-Input'!$B$12,0))-MIN(MAX(T525,0),MAX(0,P506-IF($A526&gt;=('1-Input'!$C$12+1),'1-Input'!$B$12,0))))*(1/(1-'P-Parametri'!$B$6*P526))),MAX(0,2*P506-(T525-MIN(MAX(T525,0),MAX(0,P506-IF($A526&gt;=('1-Input'!$C$12+1),'1-Input'!$B$12,0)))))*(1/(1-'P-Parametri'!$B$6*P526))))</f>
        <v>20746.01837480098</v>
      </c>
      <c r="R526" s="18">
        <f>IF($A526&gt;'1-Input'!$B$26,T525,(T525-MAX(0,P506-IF($A526&gt;=('1-Input'!$C$12+1),'1-Input'!$B$12,0))+Q526*(1-'P-Parametri'!$B$6*P526))*(1+'1-Input'!$B$27))</f>
        <v>35631.289129554178</v>
      </c>
      <c r="S526" s="18">
        <f>IF($A526&gt;'1-Input'!$B$26,U525,(U525-Q526)*(1+'5-Roberta'!$C$4))</f>
        <v>191474.22432401113</v>
      </c>
      <c r="T526" s="18">
        <f>IF($A526&gt;'1-Input'!$B$26,R526,R526-'P-Parametri'!$B$8*(S526+R526)+MIN(MAX(S526,0),'P-Parametri'!$B$8*(S526+R526)))</f>
        <v>35631.289129554178</v>
      </c>
      <c r="U526" s="18">
        <f>IF($A526&gt;'1-Input'!$B$26,S526,S526-MIN(MAX(S526,0),'P-Parametri'!$B$8*(S526+R526)))</f>
        <v>191020.01329710399</v>
      </c>
      <c r="V526" s="18">
        <f>IF($A526&gt;'1-Input'!$B$26,V525,V525-Q526*(1-P526))</f>
        <v>91560.193808134398</v>
      </c>
      <c r="W526" s="11">
        <f>IF($A526&gt;'1-Input'!$B$26,0,IF(AB525&lt;=0,0,MAX(0,(AB525-AC525)/AB525)))</f>
        <v>0.50750339045483839</v>
      </c>
      <c r="X526" s="18">
        <f>IF($A526&gt;'1-Input'!$B$26,0,(MAX(0,W506-IF($A526&gt;=('1-Input'!$C$12+1),'1-Input'!$B$12,0))-MIN(MAX(AA525,0),MAX(0,W506-IF($A526&gt;=('1-Input'!$C$12+1),'1-Input'!$B$12,0))))*(1/(1-'P-Parametri'!$B$6*W526))+MIN(MAX(0,AB525-(MAX(0,W506-IF($A526&gt;=('1-Input'!$C$12+1),'1-Input'!$B$12,0))-MIN(MAX(AA525,0),MAX(0,W506-IF($A526&gt;=('1-Input'!$C$12+1),'1-Input'!$B$12,0))))*(1/(1-'P-Parametri'!$B$6*W526))),MAX(0,2*W506-(AA525-MIN(MAX(AA525,0),MAX(0,W506-IF($A526&gt;=('1-Input'!$C$12+1),'1-Input'!$B$12,0)))))*(1/(1-'P-Parametri'!$B$6*W526))))</f>
        <v>20574.039174859696</v>
      </c>
      <c r="Y526" s="18">
        <f>IF($A526&gt;'1-Input'!$B$26,AA525,(AA525-MAX(0,W506-IF($A526&gt;=('1-Input'!$C$12+1),'1-Input'!$B$12,0))+X526*(1-'P-Parametri'!$B$6*W526))*(1+'1-Input'!$B$27))</f>
        <v>35335.550384623006</v>
      </c>
      <c r="Z526" s="18">
        <f>IF($A526&gt;'1-Input'!$B$26,AB525,(AB525-X526)*(1+'5-Roberta'!$C$4))</f>
        <v>195878.46328141293</v>
      </c>
      <c r="AA526" s="18">
        <f>IF($A526&gt;'1-Input'!$B$26,Y526,Y526-'P-Parametri'!$B$8*(Z526+Y526)+MIN(MAX(Z526,0),'P-Parametri'!$B$8*(Z526+Y526)))</f>
        <v>35335.550384623006</v>
      </c>
      <c r="AB526" s="18">
        <f>IF($A526&gt;'1-Input'!$B$26,Z526,Z526-MIN(MAX(Z526,0),'P-Parametri'!$B$8*(Z526+Y526)))</f>
        <v>195416.03525408087</v>
      </c>
      <c r="AC526" s="18">
        <f>IF($A526&gt;'1-Input'!$B$26,AC525,AC525-X526*(1-W526))</f>
        <v>93659.688397099322</v>
      </c>
      <c r="AD526" s="11">
        <f>IF($A526&gt;'1-Input'!$B$26,0,IF(AI525&lt;=0,0,MAX(0,(AI525-AJ525)/AI525)))</f>
        <v>0.50750610022410925</v>
      </c>
      <c r="AE526" s="18">
        <f>IF($A526&gt;'1-Input'!$B$26,0,(MAX(0,AD506-IF($A526&gt;=('1-Input'!$C$12+1),'1-Input'!$B$12,0))-MIN(MAX(AH525,0),MAX(0,AD506-IF($A526&gt;=('1-Input'!$C$12+1),'1-Input'!$B$12,0))))*(1/(1-'P-Parametri'!$B$6*AD526))+MIN(MAX(0,AI525-(MAX(0,AD506-IF($A526&gt;=('1-Input'!$C$12+1),'1-Input'!$B$12,0))-MIN(MAX(AH525,0),MAX(0,AD506-IF($A526&gt;=('1-Input'!$C$12+1),'1-Input'!$B$12,0))))*(1/(1-'P-Parametri'!$B$6*AD526))),MAX(0,2*AD506-(AH525-MIN(MAX(AH525,0),MAX(0,AD506-IF($A526&gt;=('1-Input'!$C$12+1),'1-Input'!$B$12,0)))))*(1/(1-'P-Parametri'!$B$6*AD526))))</f>
        <v>20560.345035509494</v>
      </c>
      <c r="AF526" s="18">
        <f>IF($A526&gt;'1-Input'!$B$26,AH525,(AH525-MAX(0,AD506-IF($A526&gt;=('1-Input'!$C$12+1),'1-Input'!$B$12,0))+AE526*(1-'P-Parametri'!$B$6*AD526))*(1+'1-Input'!$B$27))</f>
        <v>35312.002280650035</v>
      </c>
      <c r="AG526" s="18">
        <f>IF($A526&gt;'1-Input'!$B$26,AI525,(AI525-AE526)*(1+'5-Roberta'!$C$4))</f>
        <v>196229.15163970331</v>
      </c>
      <c r="AH526" s="18">
        <f>IF($A526&gt;'1-Input'!$B$26,AF526,AF526-'P-Parametri'!$B$8*(AG526+AF526)+MIN(MAX(AG526,0),'P-Parametri'!$B$8*(AG526+AF526)))</f>
        <v>35312.002280650035</v>
      </c>
      <c r="AI526" s="18">
        <f>IF($A526&gt;'1-Input'!$B$26,AG526,AG526-MIN(MAX(AG526,0),'P-Parametri'!$B$8*(AG526+AF526)))</f>
        <v>195766.06933186261</v>
      </c>
      <c r="AJ526" s="18">
        <f>IF($A526&gt;'1-Input'!$B$26,AJ525,AJ525-AE526*(1-AD526))</f>
        <v>93826.854505584561</v>
      </c>
      <c r="AK526" s="11">
        <f>IF($A526&gt;'1-Input'!$B$26,0,IF(AP525&lt;=0,0,MAX(0,(AP525-AQ525)/AP525)))</f>
        <v>0.50750609795391277</v>
      </c>
      <c r="AL526" s="18">
        <f>IF($A526&gt;'1-Input'!$B$26,0,(MAX(0,AK506-IF($A526&gt;=('1-Input'!$C$12+1),'1-Input'!$B$12,0))-MIN(MAX(AO525,0),MAX(0,AK506-IF($A526&gt;=('1-Input'!$C$12+1),'1-Input'!$B$12,0))))*(1/(1-'P-Parametri'!$B$6*AK526))+MIN(MAX(0,AP525-(MAX(0,AK506-IF($A526&gt;=('1-Input'!$C$12+1),'1-Input'!$B$12,0))-MIN(MAX(AO525,0),MAX(0,AK506-IF($A526&gt;=('1-Input'!$C$12+1),'1-Input'!$B$12,0))))*(1/(1-'P-Parametri'!$B$6*AK526))),MAX(0,2*AK506-(AO525-MIN(MAX(AO525,0),MAX(0,AK506-IF($A526&gt;=('1-Input'!$C$12+1),'1-Input'!$B$12,0)))))*(1/(1-'P-Parametri'!$B$6*AK526))))</f>
        <v>20560.356518101529</v>
      </c>
      <c r="AM526" s="18">
        <f>IF($A526&gt;'1-Input'!$B$26,AO525,(AO525-MAX(0,AK506-IF($A526&gt;=('1-Input'!$C$12+1),'1-Input'!$B$12,0))+AL526*(1-'P-Parametri'!$B$6*AK526))*(1+'1-Input'!$B$27))</f>
        <v>35312.022025795173</v>
      </c>
      <c r="AN526" s="18">
        <f>IF($A526&gt;'1-Input'!$B$26,AP525,(AP525-AL526)*(1+'5-Roberta'!$C$4))</f>
        <v>196228.85758648592</v>
      </c>
      <c r="AO526" s="18">
        <f>IF($A526&gt;'1-Input'!$B$26,AM526,AM526-'P-Parametri'!$B$8*(AN526+AM526)+MIN(MAX(AN526,0),'P-Parametri'!$B$8*(AN526+AM526)))</f>
        <v>35312.022025795173</v>
      </c>
      <c r="AP526" s="18">
        <f>IF($A526&gt;'1-Input'!$B$26,AN526,AN526-MIN(MAX(AN526,0),'P-Parametri'!$B$8*(AN526+AM526)))</f>
        <v>195765.77582726136</v>
      </c>
      <c r="AQ526" s="18">
        <f>IF($A526&gt;'1-Input'!$B$26,AQ525,AQ525-AL526*(1-AK526))</f>
        <v>93826.714336713005</v>
      </c>
    </row>
    <row r="527" spans="1:43">
      <c r="A527" s="10">
        <f>19</f>
        <v>19</v>
      </c>
      <c r="B527" s="11">
        <f>IF($A527&gt;'1-Input'!$B$26,0,IF(G526&lt;=0,0,MAX(0,(G526-H526)/G526)))</f>
        <v>0.52096738449122537</v>
      </c>
      <c r="C527" s="18">
        <f>IF($A527&gt;'1-Input'!$B$26,0,(MAX(0,B506-IF($A527&gt;=('1-Input'!$C$12+1),'1-Input'!$B$12,0))-MIN(MAX(F526,0),MAX(0,B506-IF($A527&gt;=('1-Input'!$C$12+1),'1-Input'!$B$12,0))))*(1/(1-'P-Parametri'!$B$6*B527))+MIN(MAX(0,G526-(MAX(0,B506-IF($A527&gt;=('1-Input'!$C$12+1),'1-Input'!$B$12,0))-MIN(MAX(F526,0),MAX(0,B506-IF($A527&gt;=('1-Input'!$C$12+1),'1-Input'!$B$12,0))))*(1/(1-'P-Parametri'!$B$6*B527))),MAX(0,2*B506-(F526-MIN(MAX(F526,0),MAX(0,B506-IF($A527&gt;=('1-Input'!$C$12+1),'1-Input'!$B$12,0)))))*(1/(1-'P-Parametri'!$B$6*B527))))</f>
        <v>19433.449136668161</v>
      </c>
      <c r="D527" s="18">
        <f>IF($A527&gt;'1-Input'!$B$26,F526,(F526-MAX(0,B506-IF($A527&gt;=('1-Input'!$C$12+1),'1-Input'!$B$12,0))+C527*(1-'P-Parametri'!$B$6*B527))*(1+'1-Input'!$B$27))</f>
        <v>33242.0070309863</v>
      </c>
      <c r="E527" s="18">
        <f>IF($A527&gt;'1-Input'!$B$26,G526,(G526-C527)*(1+'5-Roberta'!$C$4))</f>
        <v>213316.66593752077</v>
      </c>
      <c r="F527" s="18">
        <f>IF($A527&gt;'1-Input'!$B$26,D527,D527-'P-Parametri'!$B$8*(E527+D527)+MIN(MAX(E527,0),'P-Parametri'!$B$8*(E527+D527)))</f>
        <v>33242.0070309863</v>
      </c>
      <c r="G527" s="18">
        <f>IF($A527&gt;'1-Input'!$B$26,E527,E527-MIN(MAX(E527,0),'P-Parametri'!$B$8*(E527+D527)))</f>
        <v>212823.54859158376</v>
      </c>
      <c r="H527" s="18">
        <f>IF($A527&gt;'1-Input'!$B$26,H526,H526-C527*(1-B527))</f>
        <v>99209.3596268564</v>
      </c>
      <c r="I527" s="11">
        <f>IF($A527&gt;'1-Input'!$B$26,0,IF(N526&lt;=0,0,MAX(0,(N526-O526)/N526)))</f>
        <v>0.51885092784401621</v>
      </c>
      <c r="J527" s="18">
        <f>IF($A527&gt;'1-Input'!$B$26,0,(MAX(0,I506-IF($A527&gt;=('1-Input'!$C$12+1),'1-Input'!$B$12,0))-MIN(MAX(M526,0),MAX(0,I506-IF($A527&gt;=('1-Input'!$C$12+1),'1-Input'!$B$12,0))))*(1/(1-'P-Parametri'!$B$6*I527))+MIN(MAX(0,N526-(MAX(0,I506-IF($A527&gt;=('1-Input'!$C$12+1),'1-Input'!$B$12,0))-MIN(MAX(M526,0),MAX(0,I506-IF($A527&gt;=('1-Input'!$C$12+1),'1-Input'!$B$12,0))))*(1/(1-'P-Parametri'!$B$6*I527))),MAX(0,2*I506-(M526-MIN(MAX(M526,0),MAX(0,I506-IF($A527&gt;=('1-Input'!$C$12+1),'1-Input'!$B$12,0)))))*(1/(1-'P-Parametri'!$B$6*I527))))</f>
        <v>25554.062838964903</v>
      </c>
      <c r="K527" s="18">
        <f>IF($A527&gt;'1-Input'!$B$26,M526,(M526-MAX(0,I506-IF($A527&gt;=('1-Input'!$C$12+1),'1-Input'!$B$12,0))+J527*(1-'P-Parametri'!$B$6*I527))*(1+'1-Input'!$B$27))</f>
        <v>43739.482935508291</v>
      </c>
      <c r="L527" s="18">
        <f>IF($A527&gt;'1-Input'!$B$26,N526,(N526-J527)*(1+'5-Roberta'!$C$4))</f>
        <v>46317.218352114462</v>
      </c>
      <c r="M527" s="18">
        <f>IF($A527&gt;'1-Input'!$B$26,K527,K527-'P-Parametri'!$B$8*(L527+K527)+MIN(MAX(L527,0),'P-Parametri'!$B$8*(L527+K527)))</f>
        <v>43739.482935508291</v>
      </c>
      <c r="N527" s="18">
        <f>IF($A527&gt;'1-Input'!$B$26,L527,L527-MIN(MAX(L527,0),'P-Parametri'!$B$8*(L527+K527)))</f>
        <v>46137.104949539214</v>
      </c>
      <c r="O527" s="18">
        <f>IF($A527&gt;'1-Input'!$B$26,O526,O526-J527*(1-I527))</f>
        <v>21636.394791229104</v>
      </c>
      <c r="P527" s="11">
        <f>IF($A527&gt;'1-Input'!$B$26,0,IF(U526&lt;=0,0,MAX(0,(U526-V526)/U526)))</f>
        <v>0.52067748175828166</v>
      </c>
      <c r="Q527" s="18">
        <f>IF($A527&gt;'1-Input'!$B$26,0,(MAX(0,P506-IF($A527&gt;=('1-Input'!$C$12+1),'1-Input'!$B$12,0))-MIN(MAX(T526,0),MAX(0,P506-IF($A527&gt;=('1-Input'!$C$12+1),'1-Input'!$B$12,0))))*(1/(1-'P-Parametri'!$B$6*P527))+MIN(MAX(0,U526-(MAX(0,P506-IF($A527&gt;=('1-Input'!$C$12+1),'1-Input'!$B$12,0))-MIN(MAX(T526,0),MAX(0,P506-IF($A527&gt;=('1-Input'!$C$12+1),'1-Input'!$B$12,0))))*(1/(1-'P-Parametri'!$B$6*P527))),MAX(0,2*P506-(T526-MIN(MAX(T526,0),MAX(0,P506-IF($A527&gt;=('1-Input'!$C$12+1),'1-Input'!$B$12,0)))))*(1/(1-'P-Parametri'!$B$6*P527))))</f>
        <v>20828.419898642587</v>
      </c>
      <c r="R527" s="18">
        <f>IF($A527&gt;'1-Input'!$B$26,T526,(T526-MAX(0,P506-IF($A527&gt;=('1-Input'!$C$12+1),'1-Input'!$B$12,0))+Q527*(1-'P-Parametri'!$B$6*P527))*(1+'1-Input'!$B$27))</f>
        <v>35631.289129554178</v>
      </c>
      <c r="S527" s="18">
        <f>IF($A527&gt;'1-Input'!$B$26,U526,(U526-Q527)*(1+'5-Roberta'!$C$4))</f>
        <v>175297.34120041525</v>
      </c>
      <c r="T527" s="18">
        <f>IF($A527&gt;'1-Input'!$B$26,R527,R527-'P-Parametri'!$B$8*(S527+R527)+MIN(MAX(S527,0),'P-Parametri'!$B$8*(S527+R527)))</f>
        <v>35631.289129554178</v>
      </c>
      <c r="U527" s="18">
        <f>IF($A527&gt;'1-Input'!$B$26,S527,S527-MIN(MAX(S527,0),'P-Parametri'!$B$8*(S527+R527)))</f>
        <v>174875.4839397553</v>
      </c>
      <c r="V527" s="18">
        <f>IF($A527&gt;'1-Input'!$B$26,V526,V526-Q527*(1-P527))</f>
        <v>81576.663131321111</v>
      </c>
      <c r="W527" s="11">
        <f>IF($A527&gt;'1-Input'!$B$26,0,IF(AB526&lt;=0,0,MAX(0,(AB526-AC526)/AB526)))</f>
        <v>0.52071646384943515</v>
      </c>
      <c r="X527" s="18">
        <f>IF($A527&gt;'1-Input'!$B$26,0,(MAX(0,W506-IF($A527&gt;=('1-Input'!$C$12+1),'1-Input'!$B$12,0))-MIN(MAX(AA526,0),MAX(0,W506-IF($A527&gt;=('1-Input'!$C$12+1),'1-Input'!$B$12,0))))*(1/(1-'P-Parametri'!$B$6*W527))+MIN(MAX(0,AB526-(MAX(0,W506-IF($A527&gt;=('1-Input'!$C$12+1),'1-Input'!$B$12,0))-MIN(MAX(AA526,0),MAX(0,W506-IF($A527&gt;=('1-Input'!$C$12+1),'1-Input'!$B$12,0))))*(1/(1-'P-Parametri'!$B$6*W527))),MAX(0,2*W506-(AA526-MIN(MAX(AA526,0),MAX(0,W506-IF($A527&gt;=('1-Input'!$C$12+1),'1-Input'!$B$12,0)))))*(1/(1-'P-Parametri'!$B$6*W527))))</f>
        <v>20655.786704098198</v>
      </c>
      <c r="Y527" s="18">
        <f>IF($A527&gt;'1-Input'!$B$26,AA526,(AA526-MAX(0,W506-IF($A527&gt;=('1-Input'!$C$12+1),'1-Input'!$B$12,0))+X527*(1-'P-Parametri'!$B$6*W527))*(1+'1-Input'!$B$27))</f>
        <v>35335.550384623006</v>
      </c>
      <c r="Z527" s="18">
        <f>IF($A527&gt;'1-Input'!$B$26,AB526,(AB526-X527)*(1+'5-Roberta'!$C$4))</f>
        <v>180003.05600648216</v>
      </c>
      <c r="AA527" s="18">
        <f>IF($A527&gt;'1-Input'!$B$26,Y527,Y527-'P-Parametri'!$B$8*(Z527+Y527)+MIN(MAX(Z527,0),'P-Parametri'!$B$8*(Z527+Y527)))</f>
        <v>35335.550384623006</v>
      </c>
      <c r="AB527" s="18">
        <f>IF($A527&gt;'1-Input'!$B$26,Z527,Z527-MIN(MAX(Z527,0),'P-Parametri'!$B$8*(Z527+Y527)))</f>
        <v>179572.37879369996</v>
      </c>
      <c r="AC527" s="18">
        <f>IF($A527&gt;'1-Input'!$B$26,AC526,AC526-X527*(1-W527))</f>
        <v>83759.709903587311</v>
      </c>
      <c r="AD527" s="11">
        <f>IF($A527&gt;'1-Input'!$B$26,0,IF(AI526&lt;=0,0,MAX(0,(AI526-AJ526)/AI526)))</f>
        <v>0.52071952598420268</v>
      </c>
      <c r="AE527" s="18">
        <f>IF($A527&gt;'1-Input'!$B$26,0,(MAX(0,AD506-IF($A527&gt;=('1-Input'!$C$12+1),'1-Input'!$B$12,0))-MIN(MAX(AH526,0),MAX(0,AD506-IF($A527&gt;=('1-Input'!$C$12+1),'1-Input'!$B$12,0))))*(1/(1-'P-Parametri'!$B$6*AD527))+MIN(MAX(0,AI526-(MAX(0,AD506-IF($A527&gt;=('1-Input'!$C$12+1),'1-Input'!$B$12,0))-MIN(MAX(AH526,0),MAX(0,AD506-IF($A527&gt;=('1-Input'!$C$12+1),'1-Input'!$B$12,0))))*(1/(1-'P-Parametri'!$B$6*AD527))),MAX(0,2*AD506-(AH526-MIN(MAX(AH526,0),MAX(0,AD506-IF($A527&gt;=('1-Input'!$C$12+1),'1-Input'!$B$12,0)))))*(1/(1-'P-Parametri'!$B$6*AD527))))</f>
        <v>20642.040407172928</v>
      </c>
      <c r="AF527" s="18">
        <f>IF($A527&gt;'1-Input'!$B$26,AH526,(AH526-MAX(0,AD506-IF($A527&gt;=('1-Input'!$C$12+1),'1-Input'!$B$12,0))+AE527*(1-'P-Parametri'!$B$6*AD527))*(1+'1-Input'!$B$27))</f>
        <v>35312.002280650027</v>
      </c>
      <c r="AG527" s="18">
        <f>IF($A527&gt;'1-Input'!$B$26,AI526,(AI526-AE527)*(1+'5-Roberta'!$C$4))</f>
        <v>180377.74979243038</v>
      </c>
      <c r="AH527" s="18">
        <f>IF($A527&gt;'1-Input'!$B$26,AF527,AF527-'P-Parametri'!$B$8*(AG527+AF527)+MIN(MAX(AG527,0),'P-Parametri'!$B$8*(AG527+AF527)))</f>
        <v>35312.002280650027</v>
      </c>
      <c r="AI527" s="18">
        <f>IF($A527&gt;'1-Input'!$B$26,AG527,AG527-MIN(MAX(AG527,0),'P-Parametri'!$B$8*(AG527+AF527)))</f>
        <v>179946.3702882842</v>
      </c>
      <c r="AJ527" s="18">
        <f>IF($A527&gt;'1-Input'!$B$26,AJ526,AJ526-AE527*(1-AD527))</f>
        <v>83933.527594581479</v>
      </c>
      <c r="AK527" s="11">
        <f>IF($A527&gt;'1-Input'!$B$26,0,IF(AP526&lt;=0,0,MAX(0,(AP526-AQ526)/AP526)))</f>
        <v>0.52071952341913297</v>
      </c>
      <c r="AL527" s="18">
        <f>IF($A527&gt;'1-Input'!$B$26,0,(MAX(0,AK506-IF($A527&gt;=('1-Input'!$C$12+1),'1-Input'!$B$12,0))-MIN(MAX(AO526,0),MAX(0,AK506-IF($A527&gt;=('1-Input'!$C$12+1),'1-Input'!$B$12,0))))*(1/(1-'P-Parametri'!$B$6*AK527))+MIN(MAX(0,AP526-(MAX(0,AK506-IF($A527&gt;=('1-Input'!$C$12+1),'1-Input'!$B$12,0))-MIN(MAX(AO526,0),MAX(0,AK506-IF($A527&gt;=('1-Input'!$C$12+1),'1-Input'!$B$12,0))))*(1/(1-'P-Parametri'!$B$6*AK527))),MAX(0,2*AK506-(AO526-MIN(MAX(AO526,0),MAX(0,AK506-IF($A527&gt;=('1-Input'!$C$12+1),'1-Input'!$B$12,0)))))*(1/(1-'P-Parametri'!$B$6*AK527))))</f>
        <v>20642.051933504255</v>
      </c>
      <c r="AM527" s="18">
        <f>IF($A527&gt;'1-Input'!$B$26,AO526,(AO526-MAX(0,AK506-IF($A527&gt;=('1-Input'!$C$12+1),'1-Input'!$B$12,0))+AL527*(1-'P-Parametri'!$B$6*AK527))*(1+'1-Input'!$B$27))</f>
        <v>35312.022025795173</v>
      </c>
      <c r="AN527" s="18">
        <f>IF($A527&gt;'1-Input'!$B$26,AP526,(AP526-AL527)*(1+'5-Roberta'!$C$4))</f>
        <v>180377.43561056981</v>
      </c>
      <c r="AO527" s="18">
        <f>IF($A527&gt;'1-Input'!$B$26,AM527,AM527-'P-Parametri'!$B$8*(AN527+AM527)+MIN(MAX(AN527,0),'P-Parametri'!$B$8*(AN527+AM527)))</f>
        <v>35312.022025795173</v>
      </c>
      <c r="AP527" s="18">
        <f>IF($A527&gt;'1-Input'!$B$26,AN527,AN527-MIN(MAX(AN527,0),'P-Parametri'!$B$8*(AN527+AM527)))</f>
        <v>179946.05669529707</v>
      </c>
      <c r="AQ527" s="18">
        <f>IF($A527&gt;'1-Input'!$B$26,AQ526,AQ526-AL527*(1-AK527))</f>
        <v>83933.381848416073</v>
      </c>
    </row>
    <row r="528" spans="1:43">
      <c r="A528" s="10">
        <f>20</f>
        <v>20</v>
      </c>
      <c r="B528" s="11">
        <f>IF($A528&gt;'1-Input'!$B$26,0,IF(G527&lt;=0,0,MAX(0,(G527-H527)/G527)))</f>
        <v>0.53384218859519716</v>
      </c>
      <c r="C528" s="18">
        <f>IF($A528&gt;'1-Input'!$B$26,0,(MAX(0,B506-IF($A528&gt;=('1-Input'!$C$12+1),'1-Input'!$B$12,0))-MIN(MAX(F527,0),MAX(0,B506-IF($A528&gt;=('1-Input'!$C$12+1),'1-Input'!$B$12,0))))*(1/(1-'P-Parametri'!$B$6*B528))+MIN(MAX(0,G527-(MAX(0,B506-IF($A528&gt;=('1-Input'!$C$12+1),'1-Input'!$B$12,0))-MIN(MAX(F527,0),MAX(0,B506-IF($A528&gt;=('1-Input'!$C$12+1),'1-Input'!$B$12,0))))*(1/(1-'P-Parametri'!$B$6*B528))),MAX(0,2*B506-(F527-MIN(MAX(F527,0),MAX(0,B506-IF($A528&gt;=('1-Input'!$C$12+1),'1-Input'!$B$12,0)))))*(1/(1-'P-Parametri'!$B$6*B528))))</f>
        <v>19508.9860657274</v>
      </c>
      <c r="D528" s="18">
        <f>IF($A528&gt;'1-Input'!$B$26,F527,(F527-MAX(0,B506-IF($A528&gt;=('1-Input'!$C$12+1),'1-Input'!$B$12,0))+C528*(1-'P-Parametri'!$B$6*B528))*(1+'1-Input'!$B$27))</f>
        <v>33242.0070309863</v>
      </c>
      <c r="E528" s="18">
        <f>IF($A528&gt;'1-Input'!$B$26,G527,(G527-C528)*(1+'5-Roberta'!$C$4))</f>
        <v>199113.99940163206</v>
      </c>
      <c r="F528" s="18">
        <f>IF($A528&gt;'1-Input'!$B$26,D528,D528-'P-Parametri'!$B$8*(E528+D528)+MIN(MAX(E528,0),'P-Parametri'!$B$8*(E528+D528)))</f>
        <v>33242.0070309863</v>
      </c>
      <c r="G528" s="18">
        <f>IF($A528&gt;'1-Input'!$B$26,E528,E528-MIN(MAX(E528,0),'P-Parametri'!$B$8*(E528+D528)))</f>
        <v>198649.28738876682</v>
      </c>
      <c r="H528" s="18">
        <f>IF($A528&gt;'1-Input'!$B$26,H527,H527-C528*(1-B528))</f>
        <v>90115.093379730126</v>
      </c>
      <c r="I528" s="11">
        <f>IF($A528&gt;'1-Input'!$B$26,0,IF(N527&lt;=0,0,MAX(0,(N527-O527)/N527)))</f>
        <v>0.5310413426483277</v>
      </c>
      <c r="J528" s="18">
        <f>IF($A528&gt;'1-Input'!$B$26,0,(MAX(0,I506-IF($A528&gt;=('1-Input'!$C$12+1),'1-Input'!$B$12,0))-MIN(MAX(M527,0),MAX(0,I506-IF($A528&gt;=('1-Input'!$C$12+1),'1-Input'!$B$12,0))))*(1/(1-'P-Parametri'!$B$6*I528))+MIN(MAX(0,N527-(MAX(0,I506-IF($A528&gt;=('1-Input'!$C$12+1),'1-Input'!$B$12,0))-MIN(MAX(M527,0),MAX(0,I506-IF($A528&gt;=('1-Input'!$C$12+1),'1-Input'!$B$12,0))))*(1/(1-'P-Parametri'!$B$6*I528))),MAX(0,2*I506-(M527-MIN(MAX(M527,0),MAX(0,I506-IF($A528&gt;=('1-Input'!$C$12+1),'1-Input'!$B$12,0)))))*(1/(1-'P-Parametri'!$B$6*I528))))</f>
        <v>25648.030879450111</v>
      </c>
      <c r="K528" s="18">
        <f>IF($A528&gt;'1-Input'!$B$26,M527,(M527-MAX(0,I506-IF($A528&gt;=('1-Input'!$C$12+1),'1-Input'!$B$12,0))+J528*(1-'P-Parametri'!$B$6*I528))*(1+'1-Input'!$B$27))</f>
        <v>43739.482935508291</v>
      </c>
      <c r="L528" s="18">
        <f>IF($A528&gt;'1-Input'!$B$26,N527,(N527-J528)*(1+'5-Roberta'!$C$4))</f>
        <v>21103.746292191776</v>
      </c>
      <c r="M528" s="18">
        <f>IF($A528&gt;'1-Input'!$B$26,K528,K528-'P-Parametri'!$B$8*(L528+K528)+MIN(MAX(L528,0),'P-Parametri'!$B$8*(L528+K528)))</f>
        <v>43739.482935508291</v>
      </c>
      <c r="N528" s="18">
        <f>IF($A528&gt;'1-Input'!$B$26,L528,L528-MIN(MAX(L528,0),'P-Parametri'!$B$8*(L528+K528)))</f>
        <v>20974.059833736377</v>
      </c>
      <c r="O528" s="18">
        <f>IF($A528&gt;'1-Input'!$B$26,O527,O527-J528*(1-I528))</f>
        <v>9608.5286662879498</v>
      </c>
      <c r="P528" s="11">
        <f>IF($A528&gt;'1-Input'!$B$26,0,IF(U527&lt;=0,0,MAX(0,(U527-V527)/U527)))</f>
        <v>0.53351572619850862</v>
      </c>
      <c r="Q528" s="18">
        <f>IF($A528&gt;'1-Input'!$B$26,0,(MAX(0,P506-IF($A528&gt;=('1-Input'!$C$12+1),'1-Input'!$B$12,0))-MIN(MAX(T527,0),MAX(0,P506-IF($A528&gt;=('1-Input'!$C$12+1),'1-Input'!$B$12,0))))*(1/(1-'P-Parametri'!$B$6*P528))+MIN(MAX(0,U527-(MAX(0,P506-IF($A528&gt;=('1-Input'!$C$12+1),'1-Input'!$B$12,0))-MIN(MAX(T527,0),MAX(0,P506-IF($A528&gt;=('1-Input'!$C$12+1),'1-Input'!$B$12,0))))*(1/(1-'P-Parametri'!$B$6*P528))),MAX(0,2*P506-(T527-MIN(MAX(T527,0),MAX(0,P506-IF($A528&gt;=('1-Input'!$C$12+1),'1-Input'!$B$12,0)))))*(1/(1-'P-Parametri'!$B$6*P528))))</f>
        <v>20909.141165584377</v>
      </c>
      <c r="R528" s="18">
        <f>IF($A528&gt;'1-Input'!$B$26,T527,(T527-MAX(0,P506-IF($A528&gt;=('1-Input'!$C$12+1),'1-Input'!$B$12,0))+Q528*(1-'P-Parametri'!$B$6*P528))*(1+'1-Input'!$B$27))</f>
        <v>35631.289129554178</v>
      </c>
      <c r="S528" s="18">
        <f>IF($A528&gt;'1-Input'!$B$26,U527,(U527-Q528)*(1+'5-Roberta'!$C$4))</f>
        <v>158585.33305739606</v>
      </c>
      <c r="T528" s="18">
        <f>IF($A528&gt;'1-Input'!$B$26,R528,R528-'P-Parametri'!$B$8*(S528+R528)+MIN(MAX(S528,0),'P-Parametri'!$B$8*(S528+R528)))</f>
        <v>35631.289129554178</v>
      </c>
      <c r="U528" s="18">
        <f>IF($A528&gt;'1-Input'!$B$26,S528,S528-MIN(MAX(S528,0),'P-Parametri'!$B$8*(S528+R528)))</f>
        <v>158196.89981302214</v>
      </c>
      <c r="V528" s="18">
        <f>IF($A528&gt;'1-Input'!$B$26,V527,V527-Q528*(1-P528))</f>
        <v>71822.877598880616</v>
      </c>
      <c r="W528" s="11">
        <f>IF($A528&gt;'1-Input'!$B$26,0,IF(AB527&lt;=0,0,MAX(0,(AB527-AC527)/AB527)))</f>
        <v>0.53356016963046493</v>
      </c>
      <c r="X528" s="18">
        <f>IF($A528&gt;'1-Input'!$B$26,0,(MAX(0,W506-IF($A528&gt;=('1-Input'!$C$12+1),'1-Input'!$B$12,0))-MIN(MAX(AA527,0),MAX(0,W506-IF($A528&gt;=('1-Input'!$C$12+1),'1-Input'!$B$12,0))))*(1/(1-'P-Parametri'!$B$6*W528))+MIN(MAX(0,AB527-(MAX(0,W506-IF($A528&gt;=('1-Input'!$C$12+1),'1-Input'!$B$12,0))-MIN(MAX(AA527,0),MAX(0,W506-IF($A528&gt;=('1-Input'!$C$12+1),'1-Input'!$B$12,0))))*(1/(1-'P-Parametri'!$B$6*W528))),MAX(0,2*W506-(AA527-MIN(MAX(AA527,0),MAX(0,W506-IF($A528&gt;=('1-Input'!$C$12+1),'1-Input'!$B$12,0)))))*(1/(1-'P-Parametri'!$B$6*W528))))</f>
        <v>20735.874053471387</v>
      </c>
      <c r="Y528" s="18">
        <f>IF($A528&gt;'1-Input'!$B$26,AA527,(AA527-MAX(0,W506-IF($A528&gt;=('1-Input'!$C$12+1),'1-Input'!$B$12,0))+X528*(1-'P-Parametri'!$B$6*W528))*(1+'1-Input'!$B$27))</f>
        <v>35335.550384623006</v>
      </c>
      <c r="Z528" s="18">
        <f>IF($A528&gt;'1-Input'!$B$26,AB527,(AB527-X528)*(1+'5-Roberta'!$C$4))</f>
        <v>163601.59988243546</v>
      </c>
      <c r="AA528" s="18">
        <f>IF($A528&gt;'1-Input'!$B$26,Y528,Y528-'P-Parametri'!$B$8*(Z528+Y528)+MIN(MAX(Z528,0),'P-Parametri'!$B$8*(Z528+Y528)))</f>
        <v>35335.550384623006</v>
      </c>
      <c r="AB528" s="18">
        <f>IF($A528&gt;'1-Input'!$B$26,Z528,Z528-MIN(MAX(Z528,0),'P-Parametri'!$B$8*(Z528+Y528)))</f>
        <v>163203.72558190135</v>
      </c>
      <c r="AC528" s="18">
        <f>IF($A528&gt;'1-Input'!$B$26,AC527,AC527-X528*(1-W528))</f>
        <v>74087.672327522072</v>
      </c>
      <c r="AD528" s="11">
        <f>IF($A528&gt;'1-Input'!$B$26,0,IF(AI527&lt;=0,0,MAX(0,(AI527-AJ527)/AI527)))</f>
        <v>0.53356365310333709</v>
      </c>
      <c r="AE528" s="18">
        <f>IF($A528&gt;'1-Input'!$B$26,0,(MAX(0,AD506-IF($A528&gt;=('1-Input'!$C$12+1),'1-Input'!$B$12,0))-MIN(MAX(AH527,0),MAX(0,AD506-IF($A528&gt;=('1-Input'!$C$12+1),'1-Input'!$B$12,0))))*(1/(1-'P-Parametri'!$B$6*AD528))+MIN(MAX(0,AI527-(MAX(0,AD506-IF($A528&gt;=('1-Input'!$C$12+1),'1-Input'!$B$12,0))-MIN(MAX(AH527,0),MAX(0,AD506-IF($A528&gt;=('1-Input'!$C$12+1),'1-Input'!$B$12,0))))*(1/(1-'P-Parametri'!$B$6*AD528))),MAX(0,2*AD506-(AH527-MIN(MAX(AH527,0),MAX(0,AD506-IF($A528&gt;=('1-Input'!$C$12+1),'1-Input'!$B$12,0)))))*(1/(1-'P-Parametri'!$B$6*AD528))))</f>
        <v>20722.077168600372</v>
      </c>
      <c r="AF528" s="18">
        <f>IF($A528&gt;'1-Input'!$B$26,AH527,(AH527-MAX(0,AD506-IF($A528&gt;=('1-Input'!$C$12+1),'1-Input'!$B$12,0))+AE528*(1-'P-Parametri'!$B$6*AD528))*(1+'1-Input'!$B$27))</f>
        <v>35312.002280650027</v>
      </c>
      <c r="AG528" s="18">
        <f>IF($A528&gt;'1-Input'!$B$26,AI527,(AI527-AE528)*(1+'5-Roberta'!$C$4))</f>
        <v>164001.02191327437</v>
      </c>
      <c r="AH528" s="18">
        <f>IF($A528&gt;'1-Input'!$B$26,AF528,AF528-'P-Parametri'!$B$8*(AG528+AF528)+MIN(MAX(AG528,0),'P-Parametri'!$B$8*(AG528+AF528)))</f>
        <v>35312.002280650027</v>
      </c>
      <c r="AI528" s="18">
        <f>IF($A528&gt;'1-Input'!$B$26,AG528,AG528-MIN(MAX(AG528,0),'P-Parametri'!$B$8*(AG528+AF528)))</f>
        <v>163602.39586488652</v>
      </c>
      <c r="AJ528" s="18">
        <f>IF($A528&gt;'1-Input'!$B$26,AJ527,AJ527-AE528*(1-AD528))</f>
        <v>74267.997619948772</v>
      </c>
      <c r="AK528" s="11">
        <f>IF($A528&gt;'1-Input'!$B$26,0,IF(AP527&lt;=0,0,MAX(0,(AP527-AQ527)/AP527)))</f>
        <v>0.53356365018578544</v>
      </c>
      <c r="AL528" s="18">
        <f>IF($A528&gt;'1-Input'!$B$26,0,(MAX(0,AK506-IF($A528&gt;=('1-Input'!$C$12+1),'1-Input'!$B$12,0))-MIN(MAX(AO527,0),MAX(0,AK506-IF($A528&gt;=('1-Input'!$C$12+1),'1-Input'!$B$12,0))))*(1/(1-'P-Parametri'!$B$6*AK528))+MIN(MAX(0,AP527-(MAX(0,AK506-IF($A528&gt;=('1-Input'!$C$12+1),'1-Input'!$B$12,0))-MIN(MAX(AO527,0),MAX(0,AK506-IF($A528&gt;=('1-Input'!$C$12+1),'1-Input'!$B$12,0))))*(1/(1-'P-Parametri'!$B$6*AK528))),MAX(0,2*AK506-(AO527-MIN(MAX(AO527,0),MAX(0,AK506-IF($A528&gt;=('1-Input'!$C$12+1),'1-Input'!$B$12,0)))))*(1/(1-'P-Parametri'!$B$6*AK528))))</f>
        <v>20722.088737356557</v>
      </c>
      <c r="AM528" s="18">
        <f>IF($A528&gt;'1-Input'!$B$26,AO527,(AO527-MAX(0,AK506-IF($A528&gt;=('1-Input'!$C$12+1),'1-Input'!$B$12,0))+AL528*(1-'P-Parametri'!$B$6*AK528))*(1+'1-Input'!$B$27))</f>
        <v>35312.022025795173</v>
      </c>
      <c r="AN528" s="18">
        <f>IF($A528&gt;'1-Input'!$B$26,AP527,(AP527-AL528)*(1+'5-Roberta'!$C$4))</f>
        <v>164000.68699667873</v>
      </c>
      <c r="AO528" s="18">
        <f>IF($A528&gt;'1-Input'!$B$26,AM528,AM528-'P-Parametri'!$B$8*(AN528+AM528)+MIN(MAX(AN528,0),'P-Parametri'!$B$8*(AN528+AM528)))</f>
        <v>35312.022025795173</v>
      </c>
      <c r="AP528" s="18">
        <f>IF($A528&gt;'1-Input'!$B$26,AN528,AN528-MIN(MAX(AN528,0),'P-Parametri'!$B$8*(AN528+AM528)))</f>
        <v>163602.06157863379</v>
      </c>
      <c r="AQ528" s="18">
        <f>IF($A528&gt;'1-Input'!$B$26,AQ527,AQ527-AL528*(1-AK528))</f>
        <v>74267.846417237233</v>
      </c>
    </row>
    <row r="529" spans="1:43">
      <c r="A529" s="10">
        <f>21</f>
        <v>21</v>
      </c>
      <c r="B529" s="11">
        <f>IF($A529&gt;'1-Input'!$B$26,0,IF(G528&lt;=0,0,MAX(0,(G528-H528)/G528)))</f>
        <v>0.54636085251405775</v>
      </c>
      <c r="C529" s="18">
        <f>IF($A529&gt;'1-Input'!$B$26,0,(MAX(0,B506-IF($A529&gt;=('1-Input'!$C$12+1),'1-Input'!$B$12,0))-MIN(MAX(F528,0),MAX(0,B506-IF($A529&gt;=('1-Input'!$C$12+1),'1-Input'!$B$12,0))))*(1/(1-'P-Parametri'!$B$6*B529))+MIN(MAX(0,G528-(MAX(0,B506-IF($A529&gt;=('1-Input'!$C$12+1),'1-Input'!$B$12,0))-MIN(MAX(F528,0),MAX(0,B506-IF($A529&gt;=('1-Input'!$C$12+1),'1-Input'!$B$12,0))))*(1/(1-'P-Parametri'!$B$6*B529))),MAX(0,2*B506-(F528-MIN(MAX(F528,0),MAX(0,B506-IF($A529&gt;=('1-Input'!$C$12+1),'1-Input'!$B$12,0)))))*(1/(1-'P-Parametri'!$B$6*B529))))</f>
        <v>19582.998720589479</v>
      </c>
      <c r="D529" s="18">
        <f>IF($A529&gt;'1-Input'!$B$26,F528,(F528-MAX(0,B506-IF($A529&gt;=('1-Input'!$C$12+1),'1-Input'!$B$12,0))+C529*(1-'P-Parametri'!$B$6*B529))*(1+'1-Input'!$B$27))</f>
        <v>33242.0070309863</v>
      </c>
      <c r="E529" s="18">
        <f>IF($A529&gt;'1-Input'!$B$26,G528,(G528-C529)*(1+'5-Roberta'!$C$4))</f>
        <v>184438.27732822267</v>
      </c>
      <c r="F529" s="18">
        <f>IF($A529&gt;'1-Input'!$B$26,D529,D529-'P-Parametri'!$B$8*(E529+D529)+MIN(MAX(E529,0),'P-Parametri'!$B$8*(E529+D529)))</f>
        <v>33242.0070309863</v>
      </c>
      <c r="G529" s="18">
        <f>IF($A529&gt;'1-Input'!$B$26,E529,E529-MIN(MAX(E529,0),'P-Parametri'!$B$8*(E529+D529)))</f>
        <v>184002.91675950424</v>
      </c>
      <c r="H529" s="18">
        <f>IF($A529&gt;'1-Input'!$B$26,H528,H528-C529*(1-B529))</f>
        <v>81231.47853490361</v>
      </c>
      <c r="I529" s="11">
        <f>IF($A529&gt;'1-Input'!$B$26,0,IF(N528&lt;=0,0,MAX(0,(N528-O528)/N528)))</f>
        <v>0.54188513132622929</v>
      </c>
      <c r="J529" s="18">
        <f>IF($A529&gt;'1-Input'!$B$26,0,(MAX(0,I506-IF($A529&gt;=('1-Input'!$C$12+1),'1-Input'!$B$12,0))-MIN(MAX(M528,0),MAX(0,I506-IF($A529&gt;=('1-Input'!$C$12+1),'1-Input'!$B$12,0))))*(1/(1-'P-Parametri'!$B$6*I529))+MIN(MAX(0,N528-(MAX(0,I506-IF($A529&gt;=('1-Input'!$C$12+1),'1-Input'!$B$12,0))-MIN(MAX(M528,0),MAX(0,I506-IF($A529&gt;=('1-Input'!$C$12+1),'1-Input'!$B$12,0))))*(1/(1-'P-Parametri'!$B$6*I529))),MAX(0,2*I506-(M528-MIN(MAX(M528,0),MAX(0,I506-IF($A529&gt;=('1-Input'!$C$12+1),'1-Input'!$B$12,0)))))*(1/(1-'P-Parametri'!$B$6*I529))))</f>
        <v>20974.059833736377</v>
      </c>
      <c r="K529" s="18">
        <f>IF($A529&gt;'1-Input'!$B$26,M528,(M528-MAX(0,I506-IF($A529&gt;=('1-Input'!$C$12+1),'1-Input'!$B$12,0))+J529*(1-'P-Parametri'!$B$6*I529))*(1+'1-Input'!$B$27))</f>
        <v>39666.432581157373</v>
      </c>
      <c r="L529" s="18">
        <f>IF($A529&gt;'1-Input'!$B$26,N528,(N528-J529)*(1+'5-Roberta'!$C$4))</f>
        <v>0</v>
      </c>
      <c r="M529" s="18">
        <f>IF($A529&gt;'1-Input'!$B$26,K529,K529-'P-Parametri'!$B$8*(L529+K529)+MIN(MAX(L529,0),'P-Parametri'!$B$8*(L529+K529)))</f>
        <v>39587.099715995057</v>
      </c>
      <c r="N529" s="18">
        <f>IF($A529&gt;'1-Input'!$B$26,L529,L529-MIN(MAX(L529,0),'P-Parametri'!$B$8*(L529+K529)))</f>
        <v>0</v>
      </c>
      <c r="O529" s="18">
        <f>IF($A529&gt;'1-Input'!$B$26,O528,O528-J529*(1-I529))</f>
        <v>0</v>
      </c>
      <c r="P529" s="11">
        <f>IF($A529&gt;'1-Input'!$B$26,0,IF(U528&lt;=0,0,MAX(0,(U528-V528)/U528)))</f>
        <v>0.54599061243443892</v>
      </c>
      <c r="Q529" s="18">
        <f>IF($A529&gt;'1-Input'!$B$26,0,(MAX(0,P506-IF($A529&gt;=('1-Input'!$C$12+1),'1-Input'!$B$12,0))-MIN(MAX(T528,0),MAX(0,P506-IF($A529&gt;=('1-Input'!$C$12+1),'1-Input'!$B$12,0))))*(1/(1-'P-Parametri'!$B$6*P529))+MIN(MAX(0,U528-(MAX(0,P506-IF($A529&gt;=('1-Input'!$C$12+1),'1-Input'!$B$12,0))-MIN(MAX(T528,0),MAX(0,P506-IF($A529&gt;=('1-Input'!$C$12+1),'1-Input'!$B$12,0))))*(1/(1-'P-Parametri'!$B$6*P529))),MAX(0,2*P506-(T528-MIN(MAX(T528,0),MAX(0,P506-IF($A529&gt;=('1-Input'!$C$12+1),'1-Input'!$B$12,0)))))*(1/(1-'P-Parametri'!$B$6*P529))))</f>
        <v>20988.179424863964</v>
      </c>
      <c r="R529" s="18">
        <f>IF($A529&gt;'1-Input'!$B$26,T528,(T528-MAX(0,P506-IF($A529&gt;=('1-Input'!$C$12+1),'1-Input'!$B$12,0))+Q529*(1-'P-Parametri'!$B$6*P529))*(1+'1-Input'!$B$27))</f>
        <v>35631.289129554185</v>
      </c>
      <c r="S529" s="18">
        <f>IF($A529&gt;'1-Input'!$B$26,U528,(U528-Q529)*(1+'5-Roberta'!$C$4))</f>
        <v>141324.98199980293</v>
      </c>
      <c r="T529" s="18">
        <f>IF($A529&gt;'1-Input'!$B$26,R529,R529-'P-Parametri'!$B$8*(S529+R529)+MIN(MAX(S529,0),'P-Parametri'!$B$8*(S529+R529)))</f>
        <v>35631.289129554185</v>
      </c>
      <c r="U529" s="18">
        <f>IF($A529&gt;'1-Input'!$B$26,S529,S529-MIN(MAX(S529,0),'P-Parametri'!$B$8*(S529+R529)))</f>
        <v>140971.06945754422</v>
      </c>
      <c r="V529" s="18">
        <f>IF($A529&gt;'1-Input'!$B$26,V528,V528-Q529*(1-P529))</f>
        <v>62294.047112082015</v>
      </c>
      <c r="W529" s="11">
        <f>IF($A529&gt;'1-Input'!$B$26,0,IF(AB528&lt;=0,0,MAX(0,(AB528-AC528)/AB528)))</f>
        <v>0.54604178266541914</v>
      </c>
      <c r="X529" s="18">
        <f>IF($A529&gt;'1-Input'!$B$26,0,(MAX(0,W506-IF($A529&gt;=('1-Input'!$C$12+1),'1-Input'!$B$12,0))-MIN(MAX(AA528,0),MAX(0,W506-IF($A529&gt;=('1-Input'!$C$12+1),'1-Input'!$B$12,0))))*(1/(1-'P-Parametri'!$B$6*W529))+MIN(MAX(0,AB528-(MAX(0,W506-IF($A529&gt;=('1-Input'!$C$12+1),'1-Input'!$B$12,0))-MIN(MAX(AA528,0),MAX(0,W506-IF($A529&gt;=('1-Input'!$C$12+1),'1-Input'!$B$12,0))))*(1/(1-'P-Parametri'!$B$6*W529))),MAX(0,2*W506-(AA528-MIN(MAX(AA528,0),MAX(0,W506-IF($A529&gt;=('1-Input'!$C$12+1),'1-Input'!$B$12,0)))))*(1/(1-'P-Parametri'!$B$6*W529))))</f>
        <v>20814.300831380075</v>
      </c>
      <c r="Y529" s="18">
        <f>IF($A529&gt;'1-Input'!$B$26,AA528,(AA528-MAX(0,W506-IF($A529&gt;=('1-Input'!$C$12+1),'1-Input'!$B$12,0))+X529*(1-'P-Parametri'!$B$6*W529))*(1+'1-Input'!$B$27))</f>
        <v>35335.550384623013</v>
      </c>
      <c r="Z529" s="18">
        <f>IF($A529&gt;'1-Input'!$B$26,AB528,(AB528-X529)*(1+'5-Roberta'!$C$4))</f>
        <v>146661.10749303692</v>
      </c>
      <c r="AA529" s="18">
        <f>IF($A529&gt;'1-Input'!$B$26,Y529,Y529-'P-Parametri'!$B$8*(Z529+Y529)+MIN(MAX(Z529,0),'P-Parametri'!$B$8*(Z529+Y529)))</f>
        <v>35335.550384623013</v>
      </c>
      <c r="AB529" s="18">
        <f>IF($A529&gt;'1-Input'!$B$26,Z529,Z529-MIN(MAX(Z529,0),'P-Parametri'!$B$8*(Z529+Y529)))</f>
        <v>146297.11417728159</v>
      </c>
      <c r="AC529" s="18">
        <f>IF($A529&gt;'1-Input'!$B$26,AC528,AC528-X529*(1-W529))</f>
        <v>64638.849427043089</v>
      </c>
      <c r="AD529" s="11">
        <f>IF($A529&gt;'1-Input'!$B$26,0,IF(AI528&lt;=0,0,MAX(0,(AI528-AJ528)/AI528)))</f>
        <v>0.54604578235343137</v>
      </c>
      <c r="AE529" s="18">
        <f>IF($A529&gt;'1-Input'!$B$26,0,(MAX(0,AD506-IF($A529&gt;=('1-Input'!$C$12+1),'1-Input'!$B$12,0))-MIN(MAX(AH528,0),MAX(0,AD506-IF($A529&gt;=('1-Input'!$C$12+1),'1-Input'!$B$12,0))))*(1/(1-'P-Parametri'!$B$6*AD529))+MIN(MAX(0,AI528-(MAX(0,AD506-IF($A529&gt;=('1-Input'!$C$12+1),'1-Input'!$B$12,0))-MIN(MAX(AH528,0),MAX(0,AD506-IF($A529&gt;=('1-Input'!$C$12+1),'1-Input'!$B$12,0))))*(1/(1-'P-Parametri'!$B$6*AD529))),MAX(0,2*AD506-(AH528-MIN(MAX(AH528,0),MAX(0,AD506-IF($A529&gt;=('1-Input'!$C$12+1),'1-Input'!$B$12,0)))))*(1/(1-'P-Parametri'!$B$6*AD529))))</f>
        <v>20800.45510064028</v>
      </c>
      <c r="AF529" s="18">
        <f>IF($A529&gt;'1-Input'!$B$26,AH528,(AH528-MAX(0,AD506-IF($A529&gt;=('1-Input'!$C$12+1),'1-Input'!$B$12,0))+AE529*(1-'P-Parametri'!$B$6*AD529))*(1+'1-Input'!$B$27))</f>
        <v>35312.002280650035</v>
      </c>
      <c r="AG529" s="18">
        <f>IF($A529&gt;'1-Input'!$B$26,AI528,(AI528-AE529)*(1+'5-Roberta'!$C$4))</f>
        <v>147085.99898717363</v>
      </c>
      <c r="AH529" s="18">
        <f>IF($A529&gt;'1-Input'!$B$26,AF529,AF529-'P-Parametri'!$B$8*(AG529+AF529)+MIN(MAX(AG529,0),'P-Parametri'!$B$8*(AG529+AF529)))</f>
        <v>35312.002280650035</v>
      </c>
      <c r="AI529" s="18">
        <f>IF($A529&gt;'1-Input'!$B$26,AG529,AG529-MIN(MAX(AG529,0),'P-Parametri'!$B$8*(AG529+AF529)))</f>
        <v>146721.20298463799</v>
      </c>
      <c r="AJ529" s="18">
        <f>IF($A529&gt;'1-Input'!$B$26,AJ528,AJ528-AE529*(1-AD529))</f>
        <v>64825.543298045035</v>
      </c>
      <c r="AK529" s="11">
        <f>IF($A529&gt;'1-Input'!$B$26,0,IF(AP528&lt;=0,0,MAX(0,(AP528-AQ528)/AP528)))</f>
        <v>0.54604577900419005</v>
      </c>
      <c r="AL529" s="18">
        <f>IF($A529&gt;'1-Input'!$B$26,0,(MAX(0,AK506-IF($A529&gt;=('1-Input'!$C$12+1),'1-Input'!$B$12,0))-MIN(MAX(AO528,0),MAX(0,AK506-IF($A529&gt;=('1-Input'!$C$12+1),'1-Input'!$B$12,0))))*(1/(1-'P-Parametri'!$B$6*AK529))+MIN(MAX(0,AP528-(MAX(0,AK506-IF($A529&gt;=('1-Input'!$C$12+1),'1-Input'!$B$12,0))-MIN(MAX(AO528,0),MAX(0,AK506-IF($A529&gt;=('1-Input'!$C$12+1),'1-Input'!$B$12,0))))*(1/(1-'P-Parametri'!$B$6*AK529))),MAX(0,2*AK506-(AO528-MIN(MAX(AO528,0),MAX(0,AK506-IF($A529&gt;=('1-Input'!$C$12+1),'1-Input'!$B$12,0)))))*(1/(1-'P-Parametri'!$B$6*AK529))))</f>
        <v>20800.466710363205</v>
      </c>
      <c r="AM529" s="18">
        <f>IF($A529&gt;'1-Input'!$B$26,AO528,(AO528-MAX(0,AK506-IF($A529&gt;=('1-Input'!$C$12+1),'1-Input'!$B$12,0))+AL529*(1-'P-Parametri'!$B$6*AK529))*(1+'1-Input'!$B$27))</f>
        <v>35312.022025795173</v>
      </c>
      <c r="AN529" s="18">
        <f>IF($A529&gt;'1-Input'!$B$26,AP528,(AP528-AL529)*(1+'5-Roberta'!$C$4))</f>
        <v>147085.6427143187</v>
      </c>
      <c r="AO529" s="18">
        <f>IF($A529&gt;'1-Input'!$B$26,AM529,AM529-'P-Parametri'!$B$8*(AN529+AM529)+MIN(MAX(AN529,0),'P-Parametri'!$B$8*(AN529+AM529)))</f>
        <v>35312.022025795173</v>
      </c>
      <c r="AP529" s="18">
        <f>IF($A529&gt;'1-Input'!$B$26,AN529,AN529-MIN(MAX(AN529,0),'P-Parametri'!$B$8*(AN529+AM529)))</f>
        <v>146720.84738483847</v>
      </c>
      <c r="AQ529" s="18">
        <f>IF($A529&gt;'1-Input'!$B$26,AQ528,AQ528-AL529*(1-AK529))</f>
        <v>64825.386755385029</v>
      </c>
    </row>
    <row r="530" spans="1:43">
      <c r="A530" s="10">
        <f>22</f>
        <v>22</v>
      </c>
      <c r="B530" s="11">
        <f>IF($A530&gt;'1-Input'!$B$26,0,IF(G529&lt;=0,0,MAX(0,(G529-H529)/G529)))</f>
        <v>0.55853157131701936</v>
      </c>
      <c r="C530" s="18">
        <f>IF($A530&gt;'1-Input'!$B$26,0,(MAX(0,B506-IF($A530&gt;=('1-Input'!$C$12+1),'1-Input'!$B$12,0))-MIN(MAX(F529,0),MAX(0,B506-IF($A530&gt;=('1-Input'!$C$12+1),'1-Input'!$B$12,0))))*(1/(1-'P-Parametri'!$B$6*B530))+MIN(MAX(0,G529-(MAX(0,B506-IF($A530&gt;=('1-Input'!$C$12+1),'1-Input'!$B$12,0))-MIN(MAX(F529,0),MAX(0,B506-IF($A530&gt;=('1-Input'!$C$12+1),'1-Input'!$B$12,0))))*(1/(1-'P-Parametri'!$B$6*B530))),MAX(0,2*B506-(F529-MIN(MAX(F529,0),MAX(0,B506-IF($A530&gt;=('1-Input'!$C$12+1),'1-Input'!$B$12,0)))))*(1/(1-'P-Parametri'!$B$6*B530))))</f>
        <v>19655.494631257585</v>
      </c>
      <c r="D530" s="18">
        <f>IF($A530&gt;'1-Input'!$B$26,F529,(F529-MAX(0,B506-IF($A530&gt;=('1-Input'!$C$12+1),'1-Input'!$B$12,0))+C530*(1-'P-Parametri'!$B$6*B530))*(1+'1-Input'!$B$27))</f>
        <v>33242.0070309863</v>
      </c>
      <c r="E530" s="18">
        <f>IF($A530&gt;'1-Input'!$B$26,G529,(G529-C530)*(1+'5-Roberta'!$C$4))</f>
        <v>169277.84479209405</v>
      </c>
      <c r="F530" s="18">
        <f>IF($A530&gt;'1-Input'!$B$26,D530,D530-'P-Parametri'!$B$8*(E530+D530)+MIN(MAX(E530,0),'P-Parametri'!$B$8*(E530+D530)))</f>
        <v>33242.0070309863</v>
      </c>
      <c r="G530" s="18">
        <f>IF($A530&gt;'1-Input'!$B$26,E530,E530-MIN(MAX(E530,0),'P-Parametri'!$B$8*(E530+D530)))</f>
        <v>168872.8050884479</v>
      </c>
      <c r="H530" s="18">
        <f>IF($A530&gt;'1-Input'!$B$26,H529,H529-C530*(1-B530))</f>
        <v>72554.198205055567</v>
      </c>
      <c r="I530" s="11">
        <f>IF($A530&gt;'1-Input'!$B$26,0,IF(N529&lt;=0,0,MAX(0,(N529-O529)/N529)))</f>
        <v>0</v>
      </c>
      <c r="J530" s="18">
        <f>IF($A530&gt;'1-Input'!$B$26,0,(MAX(0,I506-IF($A530&gt;=('1-Input'!$C$12+1),'1-Input'!$B$12,0))-MIN(MAX(M529,0),MAX(0,I506-IF($A530&gt;=('1-Input'!$C$12+1),'1-Input'!$B$12,0))))*(1/(1-'P-Parametri'!$B$6*I530))+MIN(MAX(0,N529-(MAX(0,I506-IF($A530&gt;=('1-Input'!$C$12+1),'1-Input'!$B$12,0))-MIN(MAX(M529,0),MAX(0,I506-IF($A530&gt;=('1-Input'!$C$12+1),'1-Input'!$B$12,0))))*(1/(1-'P-Parametri'!$B$6*I530))),MAX(0,2*I506-(M529-MIN(MAX(M529,0),MAX(0,I506-IF($A530&gt;=('1-Input'!$C$12+1),'1-Input'!$B$12,0)))))*(1/(1-'P-Parametri'!$B$6*I530))))</f>
        <v>0</v>
      </c>
      <c r="K530" s="18">
        <f>IF($A530&gt;'1-Input'!$B$26,M529,(M529-MAX(0,I506-IF($A530&gt;=('1-Input'!$C$12+1),'1-Input'!$B$12,0))+J530*(1-'P-Parametri'!$B$6*I530))*(1+'1-Input'!$B$27))</f>
        <v>17574.844689263326</v>
      </c>
      <c r="L530" s="18">
        <f>IF($A530&gt;'1-Input'!$B$26,N529,(N529-J530)*(1+'5-Roberta'!$C$4))</f>
        <v>0</v>
      </c>
      <c r="M530" s="18">
        <f>IF($A530&gt;'1-Input'!$B$26,K530,K530-'P-Parametri'!$B$8*(L530+K530)+MIN(MAX(L530,0),'P-Parametri'!$B$8*(L530+K530)))</f>
        <v>17539.694999884799</v>
      </c>
      <c r="N530" s="18">
        <f>IF($A530&gt;'1-Input'!$B$26,L530,L530-MIN(MAX(L530,0),'P-Parametri'!$B$8*(L530+K530)))</f>
        <v>0</v>
      </c>
      <c r="O530" s="18">
        <f>IF($A530&gt;'1-Input'!$B$26,O529,O529-J530*(1-I530))</f>
        <v>0</v>
      </c>
      <c r="P530" s="11">
        <f>IF($A530&gt;'1-Input'!$B$26,0,IF(U529&lt;=0,0,MAX(0,(U529-V529)/U529)))</f>
        <v>0.55810757943605649</v>
      </c>
      <c r="Q530" s="18">
        <f>IF($A530&gt;'1-Input'!$B$26,0,(MAX(0,P506-IF($A530&gt;=('1-Input'!$C$12+1),'1-Input'!$B$12,0))-MIN(MAX(T529,0),MAX(0,P506-IF($A530&gt;=('1-Input'!$C$12+1),'1-Input'!$B$12,0))))*(1/(1-'P-Parametri'!$B$6*P530))+MIN(MAX(0,U529-(MAX(0,P506-IF($A530&gt;=('1-Input'!$C$12+1),'1-Input'!$B$12,0))-MIN(MAX(T529,0),MAX(0,P506-IF($A530&gt;=('1-Input'!$C$12+1),'1-Input'!$B$12,0))))*(1/(1-'P-Parametri'!$B$6*P530))),MAX(0,2*P506-(T529-MIN(MAX(T529,0),MAX(0,P506-IF($A530&gt;=('1-Input'!$C$12+1),'1-Input'!$B$12,0)))))*(1/(1-'P-Parametri'!$B$6*P530))))</f>
        <v>21065.524163011134</v>
      </c>
      <c r="R530" s="18">
        <f>IF($A530&gt;'1-Input'!$B$26,T529,(T529-MAX(0,P506-IF($A530&gt;=('1-Input'!$C$12+1),'1-Input'!$B$12,0))+Q530*(1-'P-Parametri'!$B$6*P530))*(1+'1-Input'!$B$27))</f>
        <v>35631.289129554178</v>
      </c>
      <c r="S530" s="18">
        <f>IF($A530&gt;'1-Input'!$B$26,U529,(U529-Q530)*(1+'5-Roberta'!$C$4))</f>
        <v>123502.71165336907</v>
      </c>
      <c r="T530" s="18">
        <f>IF($A530&gt;'1-Input'!$B$26,R530,R530-'P-Parametri'!$B$8*(S530+R530)+MIN(MAX(S530,0),'P-Parametri'!$B$8*(S530+R530)))</f>
        <v>35631.289129554178</v>
      </c>
      <c r="U530" s="18">
        <f>IF($A530&gt;'1-Input'!$B$26,S530,S530-MIN(MAX(S530,0),'P-Parametri'!$B$8*(S530+R530)))</f>
        <v>123184.44365180323</v>
      </c>
      <c r="V530" s="18">
        <f>IF($A530&gt;'1-Input'!$B$26,V529,V529-Q530*(1-P530))</f>
        <v>52985.351649240787</v>
      </c>
      <c r="W530" s="11">
        <f>IF($A530&gt;'1-Input'!$B$26,0,IF(AB529&lt;=0,0,MAX(0,(AB529-AC529)/AB529)))</f>
        <v>0.55816729680180655</v>
      </c>
      <c r="X530" s="18">
        <f>IF($A530&gt;'1-Input'!$B$26,0,(MAX(0,W506-IF($A530&gt;=('1-Input'!$C$12+1),'1-Input'!$B$12,0))-MIN(MAX(AA529,0),MAX(0,W506-IF($A530&gt;=('1-Input'!$C$12+1),'1-Input'!$B$12,0))))*(1/(1-'P-Parametri'!$B$6*W530))+MIN(MAX(0,AB529-(MAX(0,W506-IF($A530&gt;=('1-Input'!$C$12+1),'1-Input'!$B$12,0))-MIN(MAX(AA529,0),MAX(0,W506-IF($A530&gt;=('1-Input'!$C$12+1),'1-Input'!$B$12,0))))*(1/(1-'P-Parametri'!$B$6*W530))),MAX(0,2*W506-(AA529-MIN(MAX(AA529,0),MAX(0,W506-IF($A530&gt;=('1-Input'!$C$12+1),'1-Input'!$B$12,0)))))*(1/(1-'P-Parametri'!$B$6*W530))))</f>
        <v>20891.060299577905</v>
      </c>
      <c r="Y530" s="18">
        <f>IF($A530&gt;'1-Input'!$B$26,AA529,(AA529-MAX(0,W506-IF($A530&gt;=('1-Input'!$C$12+1),'1-Input'!$B$12,0))+X530*(1-'P-Parametri'!$B$6*W530))*(1+'1-Input'!$B$27))</f>
        <v>35335.550384623006</v>
      </c>
      <c r="Z530" s="18">
        <f>IF($A530&gt;'1-Input'!$B$26,AB529,(AB529-X530)*(1+'5-Roberta'!$C$4))</f>
        <v>129168.2354940348</v>
      </c>
      <c r="AA530" s="18">
        <f>IF($A530&gt;'1-Input'!$B$26,Y530,Y530-'P-Parametri'!$B$8*(Z530+Y530)+MIN(MAX(Z530,0),'P-Parametri'!$B$8*(Z530+Y530)))</f>
        <v>35335.550384623006</v>
      </c>
      <c r="AB530" s="18">
        <f>IF($A530&gt;'1-Input'!$B$26,Z530,Z530-MIN(MAX(Z530,0),'P-Parametri'!$B$8*(Z530+Y530)))</f>
        <v>128839.22792227748</v>
      </c>
      <c r="AC530" s="18">
        <f>IF($A530&gt;'1-Input'!$B$26,AC529,AC529-X530*(1-W530))</f>
        <v>55408.495782204125</v>
      </c>
      <c r="AD530" s="11">
        <f>IF($A530&gt;'1-Input'!$B$26,0,IF(AI529&lt;=0,0,MAX(0,(AI529-AJ529)/AI529)))</f>
        <v>0.55817194802558701</v>
      </c>
      <c r="AE530" s="18">
        <f>IF($A530&gt;'1-Input'!$B$26,0,(MAX(0,AD506-IF($A530&gt;=('1-Input'!$C$12+1),'1-Input'!$B$12,0))-MIN(MAX(AH529,0),MAX(0,AD506-IF($A530&gt;=('1-Input'!$C$12+1),'1-Input'!$B$12,0))))*(1/(1-'P-Parametri'!$B$6*AD530))+MIN(MAX(0,AI529-(MAX(0,AD506-IF($A530&gt;=('1-Input'!$C$12+1),'1-Input'!$B$12,0))-MIN(MAX(AH529,0),MAX(0,AD506-IF($A530&gt;=('1-Input'!$C$12+1),'1-Input'!$B$12,0))))*(1/(1-'P-Parametri'!$B$6*AD530))),MAX(0,2*AD506-(AH529-MIN(MAX(AH529,0),MAX(0,AD506-IF($A530&gt;=('1-Input'!$C$12+1),'1-Input'!$B$12,0)))))*(1/(1-'P-Parametri'!$B$6*AD530))))</f>
        <v>20877.167738489701</v>
      </c>
      <c r="AF530" s="18">
        <f>IF($A530&gt;'1-Input'!$B$26,AH529,(AH529-MAX(0,AD506-IF($A530&gt;=('1-Input'!$C$12+1),'1-Input'!$B$12,0))+AE530*(1-'P-Parametri'!$B$6*AD530))*(1+'1-Input'!$B$27))</f>
        <v>35312.002280650027</v>
      </c>
      <c r="AG530" s="18">
        <f>IF($A530&gt;'1-Input'!$B$26,AI529,(AI529-AE530)*(1+'5-Roberta'!$C$4))</f>
        <v>129619.35630353274</v>
      </c>
      <c r="AH530" s="18">
        <f>IF($A530&gt;'1-Input'!$B$26,AF530,AF530-'P-Parametri'!$B$8*(AG530+AF530)+MIN(MAX(AG530,0),'P-Parametri'!$B$8*(AG530+AF530)))</f>
        <v>35312.002280650027</v>
      </c>
      <c r="AI530" s="18">
        <f>IF($A530&gt;'1-Input'!$B$26,AG530,AG530-MIN(MAX(AG530,0),'P-Parametri'!$B$8*(AG530+AF530)))</f>
        <v>129289.49358636438</v>
      </c>
      <c r="AJ530" s="18">
        <f>IF($A530&gt;'1-Input'!$B$26,AJ529,AJ529-AE530*(1-AD530))</f>
        <v>55601.424945405073</v>
      </c>
      <c r="AK530" s="11">
        <f>IF($A530&gt;'1-Input'!$B$26,0,IF(AP529&lt;=0,0,MAX(0,(AP529-AQ529)/AP529)))</f>
        <v>0.55817194413175253</v>
      </c>
      <c r="AL530" s="18">
        <f>IF($A530&gt;'1-Input'!$B$26,0,(MAX(0,AK506-IF($A530&gt;=('1-Input'!$C$12+1),'1-Input'!$B$12,0))-MIN(MAX(AO529,0),MAX(0,AK506-IF($A530&gt;=('1-Input'!$C$12+1),'1-Input'!$B$12,0))))*(1/(1-'P-Parametri'!$B$6*AK530))+MIN(MAX(0,AP529-(MAX(0,AK506-IF($A530&gt;=('1-Input'!$C$12+1),'1-Input'!$B$12,0))-MIN(MAX(AO529,0),MAX(0,AK506-IF($A530&gt;=('1-Input'!$C$12+1),'1-Input'!$B$12,0))))*(1/(1-'P-Parametri'!$B$6*AK530))),MAX(0,2*AK506-(AO529-MIN(MAX(AO529,0),MAX(0,AK506-IF($A530&gt;=('1-Input'!$C$12+1),'1-Input'!$B$12,0)))))*(1/(1-'P-Parametri'!$B$6*AK530))))</f>
        <v>20877.179387493554</v>
      </c>
      <c r="AM530" s="18">
        <f>IF($A530&gt;'1-Input'!$B$26,AO529,(AO529-MAX(0,AK506-IF($A530&gt;=('1-Input'!$C$12+1),'1-Input'!$B$12,0))+AL530*(1-'P-Parametri'!$B$6*AK530))*(1+'1-Input'!$B$27))</f>
        <v>35312.022025795173</v>
      </c>
      <c r="AN530" s="18">
        <f>IF($A530&gt;'1-Input'!$B$26,AP529,(AP529-AL530)*(1+'5-Roberta'!$C$4))</f>
        <v>129618.97803726527</v>
      </c>
      <c r="AO530" s="18">
        <f>IF($A530&gt;'1-Input'!$B$26,AM530,AM530-'P-Parametri'!$B$8*(AN530+AM530)+MIN(MAX(AN530,0),'P-Parametri'!$B$8*(AN530+AM530)))</f>
        <v>35312.022025795173</v>
      </c>
      <c r="AP530" s="18">
        <f>IF($A530&gt;'1-Input'!$B$26,AN530,AN530-MIN(MAX(AN530,0),'P-Parametri'!$B$8*(AN530+AM530)))</f>
        <v>129289.11603713916</v>
      </c>
      <c r="AQ530" s="18">
        <f>IF($A530&gt;'1-Input'!$B$26,AQ529,AQ529-AL530*(1-AK530))</f>
        <v>55601.263174596104</v>
      </c>
    </row>
    <row r="531" spans="1:43">
      <c r="A531" s="10">
        <f>23</f>
        <v>23</v>
      </c>
      <c r="B531" s="11">
        <f>IF($A531&gt;'1-Input'!$B$26,0,IF(G530&lt;=0,0,MAX(0,(G530-H530)/G530)))</f>
        <v>0.57036185804425421</v>
      </c>
      <c r="C531" s="18">
        <f>IF($A531&gt;'1-Input'!$B$26,0,(MAX(0,B506-IF($A531&gt;=('1-Input'!$C$12+1),'1-Input'!$B$12,0))-MIN(MAX(F530,0),MAX(0,B506-IF($A531&gt;=('1-Input'!$C$12+1),'1-Input'!$B$12,0))))*(1/(1-'P-Parametri'!$B$6*B531))+MIN(MAX(0,G530-(MAX(0,B506-IF($A531&gt;=('1-Input'!$C$12+1),'1-Input'!$B$12,0))-MIN(MAX(F530,0),MAX(0,B506-IF($A531&gt;=('1-Input'!$C$12+1),'1-Input'!$B$12,0))))*(1/(1-'P-Parametri'!$B$6*B531))),MAX(0,2*B506-(F530-MIN(MAX(F530,0),MAX(0,B506-IF($A531&gt;=('1-Input'!$C$12+1),'1-Input'!$B$12,0)))))*(1/(1-'P-Parametri'!$B$6*B531))))</f>
        <v>19726.479033837921</v>
      </c>
      <c r="D531" s="18">
        <f>IF($A531&gt;'1-Input'!$B$26,F530,(F530-MAX(0,B506-IF($A531&gt;=('1-Input'!$C$12+1),'1-Input'!$B$12,0))+C531*(1-'P-Parametri'!$B$6*B531))*(1+'1-Input'!$B$27))</f>
        <v>33242.0070309863</v>
      </c>
      <c r="E531" s="18">
        <f>IF($A531&gt;'1-Input'!$B$26,G530,(G530-C531)*(1+'5-Roberta'!$C$4))</f>
        <v>153620.7158362483</v>
      </c>
      <c r="F531" s="18">
        <f>IF($A531&gt;'1-Input'!$B$26,D531,D531-'P-Parametri'!$B$8*(E531+D531)+MIN(MAX(E531,0),'P-Parametri'!$B$8*(E531+D531)))</f>
        <v>33242.0070309863</v>
      </c>
      <c r="G531" s="18">
        <f>IF($A531&gt;'1-Input'!$B$26,E531,E531-MIN(MAX(E531,0),'P-Parametri'!$B$8*(E531+D531)))</f>
        <v>153246.99039051382</v>
      </c>
      <c r="H531" s="18">
        <f>IF($A531&gt;'1-Input'!$B$26,H530,H530-C531*(1-B531))</f>
        <v>64078.950405628464</v>
      </c>
      <c r="I531" s="11">
        <f>IF($A531&gt;'1-Input'!$B$26,0,IF(N530&lt;=0,0,MAX(0,(N530-O530)/N530)))</f>
        <v>0</v>
      </c>
      <c r="J531" s="18">
        <f>IF($A531&gt;'1-Input'!$B$26,0,(MAX(0,I506-IF($A531&gt;=('1-Input'!$C$12+1),'1-Input'!$B$12,0))-MIN(MAX(M530,0),MAX(0,I506-IF($A531&gt;=('1-Input'!$C$12+1),'1-Input'!$B$12,0))))*(1/(1-'P-Parametri'!$B$6*I531))+MIN(MAX(0,N530-(MAX(0,I506-IF($A531&gt;=('1-Input'!$C$12+1),'1-Input'!$B$12,0))-MIN(MAX(M530,0),MAX(0,I506-IF($A531&gt;=('1-Input'!$C$12+1),'1-Input'!$B$12,0))))*(1/(1-'P-Parametri'!$B$6*I531))),MAX(0,2*I506-(M530-MIN(MAX(M530,0),MAX(0,I506-IF($A531&gt;=('1-Input'!$C$12+1),'1-Input'!$B$12,0)))))*(1/(1-'P-Parametri'!$B$6*I531))))</f>
        <v>4409.0619930438916</v>
      </c>
      <c r="K531" s="18">
        <f>IF($A531&gt;'1-Input'!$B$26,M530,(M530-MAX(0,I506-IF($A531&gt;=('1-Input'!$C$12+1),'1-Input'!$B$12,0))+J531*(1-'P-Parametri'!$B$6*I531))*(1+'1-Input'!$B$27))</f>
        <v>0</v>
      </c>
      <c r="L531" s="18">
        <f>IF($A531&gt;'1-Input'!$B$26,N530,(N530-J531)*(1+'5-Roberta'!$C$4))</f>
        <v>-4541.3338528352087</v>
      </c>
      <c r="M531" s="18">
        <f>IF($A531&gt;'1-Input'!$B$26,K531,K531-'P-Parametri'!$B$8*(L531+K531)+MIN(MAX(L531,0),'P-Parametri'!$B$8*(L531+K531)))</f>
        <v>0</v>
      </c>
      <c r="N531" s="18">
        <f>IF($A531&gt;'1-Input'!$B$26,L531,L531-MIN(MAX(L531,0),'P-Parametri'!$B$8*(L531+K531)))</f>
        <v>-4532.2511851295385</v>
      </c>
      <c r="O531" s="18">
        <f>IF($A531&gt;'1-Input'!$B$26,O530,O530-J531*(1-I531))</f>
        <v>-4409.0619930438916</v>
      </c>
      <c r="P531" s="11">
        <f>IF($A531&gt;'1-Input'!$B$26,0,IF(U530&lt;=0,0,MAX(0,(U530-V530)/U530)))</f>
        <v>0.56986978161779311</v>
      </c>
      <c r="Q531" s="18">
        <f>IF($A531&gt;'1-Input'!$B$26,0,(MAX(0,P506-IF($A531&gt;=('1-Input'!$C$12+1),'1-Input'!$B$12,0))-MIN(MAX(T530,0),MAX(0,P506-IF($A531&gt;=('1-Input'!$C$12+1),'1-Input'!$B$12,0))))*(1/(1-'P-Parametri'!$B$6*P531))+MIN(MAX(0,U530-(MAX(0,P506-IF($A531&gt;=('1-Input'!$C$12+1),'1-Input'!$B$12,0))-MIN(MAX(T530,0),MAX(0,P506-IF($A531&gt;=('1-Input'!$C$12+1),'1-Input'!$B$12,0))))*(1/(1-'P-Parametri'!$B$6*P531))),MAX(0,2*P506-(T530-MIN(MAX(T530,0),MAX(0,P506-IF($A531&gt;=('1-Input'!$C$12+1),'1-Input'!$B$12,0)))))*(1/(1-'P-Parametri'!$B$6*P531))))</f>
        <v>21141.151596221731</v>
      </c>
      <c r="R531" s="18">
        <f>IF($A531&gt;'1-Input'!$B$26,T530,(T530-MAX(0,P506-IF($A531&gt;=('1-Input'!$C$12+1),'1-Input'!$B$12,0))+Q531*(1-'P-Parametri'!$B$6*P531))*(1+'1-Input'!$B$27))</f>
        <v>35631.289129554185</v>
      </c>
      <c r="S531" s="18">
        <f>IF($A531&gt;'1-Input'!$B$26,U530,(U530-Q531)*(1+'5-Roberta'!$C$4))</f>
        <v>105104.59081724894</v>
      </c>
      <c r="T531" s="18">
        <f>IF($A531&gt;'1-Input'!$B$26,R531,R531-'P-Parametri'!$B$8*(S531+R531)+MIN(MAX(S531,0),'P-Parametri'!$B$8*(S531+R531)))</f>
        <v>35631.289129554185</v>
      </c>
      <c r="U531" s="18">
        <f>IF($A531&gt;'1-Input'!$B$26,S531,S531-MIN(MAX(S531,0),'P-Parametri'!$B$8*(S531+R531)))</f>
        <v>104823.11905735533</v>
      </c>
      <c r="V531" s="18">
        <f>IF($A531&gt;'1-Input'!$B$26,V530,V530-Q531*(1-P531))</f>
        <v>43891.903496306593</v>
      </c>
      <c r="W531" s="11">
        <f>IF($A531&gt;'1-Input'!$B$26,0,IF(AB530&lt;=0,0,MAX(0,(AB530-AC530)/AB530)))</f>
        <v>0.56994079617095028</v>
      </c>
      <c r="X531" s="18">
        <f>IF($A531&gt;'1-Input'!$B$26,0,(MAX(0,W506-IF($A531&gt;=('1-Input'!$C$12+1),'1-Input'!$B$12,0))-MIN(MAX(AA530,0),MAX(0,W506-IF($A531&gt;=('1-Input'!$C$12+1),'1-Input'!$B$12,0))))*(1/(1-'P-Parametri'!$B$6*W531))+MIN(MAX(0,AB530-(MAX(0,W506-IF($A531&gt;=('1-Input'!$C$12+1),'1-Input'!$B$12,0))-MIN(MAX(AA530,0),MAX(0,W506-IF($A531&gt;=('1-Input'!$C$12+1),'1-Input'!$B$12,0))))*(1/(1-'P-Parametri'!$B$6*W531))),MAX(0,2*W506-(AA530-MIN(MAX(AA530,0),MAX(0,W506-IF($A531&gt;=('1-Input'!$C$12+1),'1-Input'!$B$12,0)))))*(1/(1-'P-Parametri'!$B$6*W531))))</f>
        <v>20966.135052503127</v>
      </c>
      <c r="Y531" s="18">
        <f>IF($A531&gt;'1-Input'!$B$26,AA530,(AA530-MAX(0,W506-IF($A531&gt;=('1-Input'!$C$12+1),'1-Input'!$B$12,0))+X531*(1-'P-Parametri'!$B$6*W531))*(1+'1-Input'!$B$27))</f>
        <v>35335.550384623013</v>
      </c>
      <c r="Z531" s="18">
        <f>IF($A531&gt;'1-Input'!$B$26,AB530,(AB530-X531)*(1+'5-Roberta'!$C$4))</f>
        <v>111109.28565586758</v>
      </c>
      <c r="AA531" s="18">
        <f>IF($A531&gt;'1-Input'!$B$26,Y531,Y531-'P-Parametri'!$B$8*(Z531+Y531)+MIN(MAX(Z531,0),'P-Parametri'!$B$8*(Z531+Y531)))</f>
        <v>35335.550384623013</v>
      </c>
      <c r="AB531" s="18">
        <f>IF($A531&gt;'1-Input'!$B$26,Z531,Z531-MIN(MAX(Z531,0),'P-Parametri'!$B$8*(Z531+Y531)))</f>
        <v>110816.3959837866</v>
      </c>
      <c r="AC531" s="18">
        <f>IF($A531&gt;'1-Input'!$B$26,AC530,AC530-X531*(1-W531))</f>
        <v>46391.816434152301</v>
      </c>
      <c r="AD531" s="11">
        <f>IF($A531&gt;'1-Input'!$B$26,0,IF(AI530&lt;=0,0,MAX(0,(AI530-AJ530)/AI530)))</f>
        <v>0.56994630110246547</v>
      </c>
      <c r="AE531" s="18">
        <f>IF($A531&gt;'1-Input'!$B$26,0,(MAX(0,AD506-IF($A531&gt;=('1-Input'!$C$12+1),'1-Input'!$B$12,0))-MIN(MAX(AH530,0),MAX(0,AD506-IF($A531&gt;=('1-Input'!$C$12+1),'1-Input'!$B$12,0))))*(1/(1-'P-Parametri'!$B$6*AD531))+MIN(MAX(0,AI530-(MAX(0,AD506-IF($A531&gt;=('1-Input'!$C$12+1),'1-Input'!$B$12,0))-MIN(MAX(AH530,0),MAX(0,AD506-IF($A531&gt;=('1-Input'!$C$12+1),'1-Input'!$B$12,0))))*(1/(1-'P-Parametri'!$B$6*AD531))),MAX(0,2*AD506-(AH530-MIN(MAX(AH530,0),MAX(0,AD506-IF($A531&gt;=('1-Input'!$C$12+1),'1-Input'!$B$12,0)))))*(1/(1-'P-Parametri'!$B$6*AD531))))</f>
        <v>20952.198132876507</v>
      </c>
      <c r="AF531" s="18">
        <f>IF($A531&gt;'1-Input'!$B$26,AH530,(AH530-MAX(0,AD506-IF($A531&gt;=('1-Input'!$C$12+1),'1-Input'!$B$12,0))+AE531*(1-'P-Parametri'!$B$6*AD531))*(1+'1-Input'!$B$27))</f>
        <v>35312.002280650042</v>
      </c>
      <c r="AG531" s="18">
        <f>IF($A531&gt;'1-Input'!$B$26,AI530,(AI530-AE531)*(1+'5-Roberta'!$C$4))</f>
        <v>111587.41431709251</v>
      </c>
      <c r="AH531" s="18">
        <f>IF($A531&gt;'1-Input'!$B$26,AF531,AF531-'P-Parametri'!$B$8*(AG531+AF531)+MIN(MAX(AG531,0),'P-Parametri'!$B$8*(AG531+AF531)))</f>
        <v>35312.002280650042</v>
      </c>
      <c r="AI531" s="18">
        <f>IF($A531&gt;'1-Input'!$B$26,AG531,AG531-MIN(MAX(AG531,0),'P-Parametri'!$B$8*(AG531+AF531)))</f>
        <v>111293.61548389703</v>
      </c>
      <c r="AJ531" s="18">
        <f>IF($A531&gt;'1-Input'!$B$26,AJ530,AJ530-AE531*(1-AD531))</f>
        <v>46590.854638327517</v>
      </c>
      <c r="AK531" s="11">
        <f>IF($A531&gt;'1-Input'!$B$26,0,IF(AP530&lt;=0,0,MAX(0,(AP530-AQ530)/AP530)))</f>
        <v>0.56994629649548945</v>
      </c>
      <c r="AL531" s="18">
        <f>IF($A531&gt;'1-Input'!$B$26,0,(MAX(0,AK506-IF($A531&gt;=('1-Input'!$C$12+1),'1-Input'!$B$12,0))-MIN(MAX(AO530,0),MAX(0,AK506-IF($A531&gt;=('1-Input'!$C$12+1),'1-Input'!$B$12,0))))*(1/(1-'P-Parametri'!$B$6*AK531))+MIN(MAX(0,AP530-(MAX(0,AK506-IF($A531&gt;=('1-Input'!$C$12+1),'1-Input'!$B$12,0))-MIN(MAX(AO530,0),MAX(0,AK506-IF($A531&gt;=('1-Input'!$C$12+1),'1-Input'!$B$12,0))))*(1/(1-'P-Parametri'!$B$6*AK531))),MAX(0,2*AK506-(AO530-MIN(MAX(AO530,0),MAX(0,AK506-IF($A531&gt;=('1-Input'!$C$12+1),'1-Input'!$B$12,0)))))*(1/(1-'P-Parametri'!$B$6*AK531))))</f>
        <v>20952.209819095762</v>
      </c>
      <c r="AM531" s="18">
        <f>IF($A531&gt;'1-Input'!$B$26,AO530,(AO530-MAX(0,AK506-IF($A531&gt;=('1-Input'!$C$12+1),'1-Input'!$B$12,0))+AL531*(1-'P-Parametri'!$B$6*AK531))*(1+'1-Input'!$B$27))</f>
        <v>35312.022025795173</v>
      </c>
      <c r="AN531" s="18">
        <f>IF($A531&gt;'1-Input'!$B$26,AP530,(AP530-AL531)*(1+'5-Roberta'!$C$4))</f>
        <v>111587.01340458471</v>
      </c>
      <c r="AO531" s="18">
        <f>IF($A531&gt;'1-Input'!$B$26,AM531,AM531-'P-Parametri'!$B$8*(AN531+AM531)+MIN(MAX(AN531,0),'P-Parametri'!$B$8*(AN531+AM531)))</f>
        <v>35312.022025795173</v>
      </c>
      <c r="AP531" s="18">
        <f>IF($A531&gt;'1-Input'!$B$26,AN531,AN531-MIN(MAX(AN531,0),'P-Parametri'!$B$8*(AN531+AM531)))</f>
        <v>111293.21533372394</v>
      </c>
      <c r="AQ531" s="18">
        <f>IF($A531&gt;'1-Input'!$B$26,AQ530,AQ530-AL531*(1-AK531))</f>
        <v>46590.687745290401</v>
      </c>
    </row>
    <row r="532" spans="1:43">
      <c r="A532" s="10">
        <f>24</f>
        <v>24</v>
      </c>
      <c r="B532" s="11">
        <f>IF($A532&gt;'1-Input'!$B$26,0,IF(G531&lt;=0,0,MAX(0,(G531-H531)/G531)))</f>
        <v>0.58185834356460531</v>
      </c>
      <c r="C532" s="18">
        <f>IF($A532&gt;'1-Input'!$B$26,0,(MAX(0,B506-IF($A532&gt;=('1-Input'!$C$12+1),'1-Input'!$B$12,0))-MIN(MAX(F531,0),MAX(0,B506-IF($A532&gt;=('1-Input'!$C$12+1),'1-Input'!$B$12,0))))*(1/(1-'P-Parametri'!$B$6*B532))+MIN(MAX(0,G531-(MAX(0,B506-IF($A532&gt;=('1-Input'!$C$12+1),'1-Input'!$B$12,0))-MIN(MAX(F531,0),MAX(0,B506-IF($A532&gt;=('1-Input'!$C$12+1),'1-Input'!$B$12,0))))*(1/(1-'P-Parametri'!$B$6*B532))),MAX(0,2*B506-(F531-MIN(MAX(F531,0),MAX(0,B506-IF($A532&gt;=('1-Input'!$C$12+1),'1-Input'!$B$12,0)))))*(1/(1-'P-Parametri'!$B$6*B532))))</f>
        <v>6715.0299215470159</v>
      </c>
      <c r="D532" s="18">
        <f>IF($A532&gt;'1-Input'!$B$26,F531,(F531-MAX(0,B506-IF($A532&gt;=('1-Input'!$C$12+1),'1-Input'!$B$12,0))+C532*(1-'P-Parametri'!$B$6*B532))*(1+'1-Input'!$B$27))</f>
        <v>33242.0070309863</v>
      </c>
      <c r="E532" s="18">
        <f>IF($A532&gt;'1-Input'!$B$26,G531,(G531-C532)*(1+'5-Roberta'!$C$4))</f>
        <v>150927.91928303582</v>
      </c>
      <c r="F532" s="18">
        <f>IF($A532&gt;'1-Input'!$B$26,D532,D532-'P-Parametri'!$B$8*(E532+D532)+MIN(MAX(E532,0),'P-Parametri'!$B$8*(E532+D532)))</f>
        <v>33242.0070309863</v>
      </c>
      <c r="G532" s="18">
        <f>IF($A532&gt;'1-Input'!$B$26,E532,E532-MIN(MAX(E532,0),'P-Parametri'!$B$8*(E532+D532)))</f>
        <v>150559.57943040779</v>
      </c>
      <c r="H532" s="18">
        <f>IF($A532&gt;'1-Input'!$B$26,H531,H531-C532*(1-B532))</f>
        <v>61271.116671219555</v>
      </c>
      <c r="I532" s="11">
        <f>IF($A532&gt;'1-Input'!$B$26,0,IF(N531&lt;=0,0,MAX(0,(N531-O531)/N531)))</f>
        <v>0</v>
      </c>
      <c r="J532" s="18">
        <f>IF($A532&gt;'1-Input'!$B$26,0,(MAX(0,I506-IF($A532&gt;=('1-Input'!$C$12+1),'1-Input'!$B$12,0))-MIN(MAX(M531,0),MAX(0,I506-IF($A532&gt;=('1-Input'!$C$12+1),'1-Input'!$B$12,0))))*(1/(1-'P-Parametri'!$B$6*I532))+MIN(MAX(0,N531-(MAX(0,I506-IF($A532&gt;=('1-Input'!$C$12+1),'1-Input'!$B$12,0))-MIN(MAX(M531,0),MAX(0,I506-IF($A532&gt;=('1-Input'!$C$12+1),'1-Input'!$B$12,0))))*(1/(1-'P-Parametri'!$B$6*I532))),MAX(0,2*I506-(M531-MIN(MAX(M531,0),MAX(0,I506-IF($A532&gt;=('1-Input'!$C$12+1),'1-Input'!$B$12,0)))))*(1/(1-'P-Parametri'!$B$6*I532))))</f>
        <v>10846.756992928691</v>
      </c>
      <c r="K532" s="18">
        <f>IF($A532&gt;'1-Input'!$B$26,M531,(M531-MAX(0,I506-IF($A532&gt;=('1-Input'!$C$12+1),'1-Input'!$B$12,0))+J532*(1-'P-Parametri'!$B$6*I532))*(1+'1-Input'!$B$27))</f>
        <v>0</v>
      </c>
      <c r="L532" s="18">
        <f>IF($A532&gt;'1-Input'!$B$26,N531,(N531-J532)*(1+'5-Roberta'!$C$4))</f>
        <v>-15840.378423399978</v>
      </c>
      <c r="M532" s="18">
        <f>IF($A532&gt;'1-Input'!$B$26,K532,K532-'P-Parametri'!$B$8*(L532+K532)+MIN(MAX(L532,0),'P-Parametri'!$B$8*(L532+K532)))</f>
        <v>0</v>
      </c>
      <c r="N532" s="18">
        <f>IF($A532&gt;'1-Input'!$B$26,L532,L532-MIN(MAX(L532,0),'P-Parametri'!$B$8*(L532+K532)))</f>
        <v>-15808.697666553178</v>
      </c>
      <c r="O532" s="18">
        <f>IF($A532&gt;'1-Input'!$B$26,O531,O531-J532*(1-I532))</f>
        <v>-15255.818985972583</v>
      </c>
      <c r="P532" s="11">
        <f>IF($A532&gt;'1-Input'!$B$26,0,IF(U531&lt;=0,0,MAX(0,(U531-V531)/U531)))</f>
        <v>0.58127649805678294</v>
      </c>
      <c r="Q532" s="18">
        <f>IF($A532&gt;'1-Input'!$B$26,0,(MAX(0,P506-IF($A532&gt;=('1-Input'!$C$12+1),'1-Input'!$B$12,0))-MIN(MAX(T531,0),MAX(0,P506-IF($A532&gt;=('1-Input'!$C$12+1),'1-Input'!$B$12,0))))*(1/(1-'P-Parametri'!$B$6*P532))+MIN(MAX(0,U531-(MAX(0,P506-IF($A532&gt;=('1-Input'!$C$12+1),'1-Input'!$B$12,0))-MIN(MAX(T531,0),MAX(0,P506-IF($A532&gt;=('1-Input'!$C$12+1),'1-Input'!$B$12,0))))*(1/(1-'P-Parametri'!$B$6*P532))),MAX(0,2*P506-(T531-MIN(MAX(T531,0),MAX(0,P506-IF($A532&gt;=('1-Input'!$C$12+1),'1-Input'!$B$12,0)))))*(1/(1-'P-Parametri'!$B$6*P532))))</f>
        <v>8136.421448151872</v>
      </c>
      <c r="R532" s="18">
        <f>IF($A532&gt;'1-Input'!$B$26,T531,(T531-MAX(0,P506-IF($A532&gt;=('1-Input'!$C$12+1),'1-Input'!$B$12,0))+Q532*(1-'P-Parametri'!$B$6*P532))*(1+'1-Input'!$B$27))</f>
        <v>35631.289129554178</v>
      </c>
      <c r="S532" s="18">
        <f>IF($A532&gt;'1-Input'!$B$26,U531,(U531-Q532)*(1+'5-Roberta'!$C$4))</f>
        <v>99587.298537479568</v>
      </c>
      <c r="T532" s="18">
        <f>IF($A532&gt;'1-Input'!$B$26,R532,R532-'P-Parametri'!$B$8*(S532+R532)+MIN(MAX(S532,0),'P-Parametri'!$B$8*(S532+R532)))</f>
        <v>35631.289129554178</v>
      </c>
      <c r="U532" s="18">
        <f>IF($A532&gt;'1-Input'!$B$26,S532,S532-MIN(MAX(S532,0),'P-Parametri'!$B$8*(S532+R532)))</f>
        <v>99316.861362145501</v>
      </c>
      <c r="V532" s="18">
        <f>IF($A532&gt;'1-Input'!$B$26,V531,V531-Q532*(1-P532))</f>
        <v>40484.992614250543</v>
      </c>
      <c r="W532" s="11">
        <f>IF($A532&gt;'1-Input'!$B$26,0,IF(AB531&lt;=0,0,MAX(0,(AB531-AC531)/AB531)))</f>
        <v>0.58136324483120871</v>
      </c>
      <c r="X532" s="18">
        <f>IF($A532&gt;'1-Input'!$B$26,0,(MAX(0,W506-IF($A532&gt;=('1-Input'!$C$12+1),'1-Input'!$B$12,0))-MIN(MAX(AA531,0),MAX(0,W506-IF($A532&gt;=('1-Input'!$C$12+1),'1-Input'!$B$12,0))))*(1/(1-'P-Parametri'!$B$6*W532))+MIN(MAX(0,AB531-(MAX(0,W506-IF($A532&gt;=('1-Input'!$C$12+1),'1-Input'!$B$12,0))-MIN(MAX(AA531,0),MAX(0,W506-IF($A532&gt;=('1-Input'!$C$12+1),'1-Input'!$B$12,0))))*(1/(1-'P-Parametri'!$B$6*W532))),MAX(0,2*W506-(AA531-MIN(MAX(AA531,0),MAX(0,W506-IF($A532&gt;=('1-Input'!$C$12+1),'1-Input'!$B$12,0)))))*(1/(1-'P-Parametri'!$B$6*W532))))</f>
        <v>7960.5489112182631</v>
      </c>
      <c r="Y532" s="18">
        <f>IF($A532&gt;'1-Input'!$B$26,AA531,(AA531-MAX(0,W506-IF($A532&gt;=('1-Input'!$C$12+1),'1-Input'!$B$12,0))+X532*(1-'P-Parametri'!$B$6*W532))*(1+'1-Input'!$B$27))</f>
        <v>35335.550384623006</v>
      </c>
      <c r="Z532" s="18">
        <f>IF($A532&gt;'1-Input'!$B$26,AB531,(AB531-X532)*(1+'5-Roberta'!$C$4))</f>
        <v>105941.52248474538</v>
      </c>
      <c r="AA532" s="18">
        <f>IF($A532&gt;'1-Input'!$B$26,Y532,Y532-'P-Parametri'!$B$8*(Z532+Y532)+MIN(MAX(Z532,0),'P-Parametri'!$B$8*(Z532+Y532)))</f>
        <v>35335.550384623006</v>
      </c>
      <c r="AB532" s="18">
        <f>IF($A532&gt;'1-Input'!$B$26,Z532,Z532-MIN(MAX(Z532,0),'P-Parametri'!$B$8*(Z532+Y532)))</f>
        <v>105658.96833900665</v>
      </c>
      <c r="AC532" s="18">
        <f>IF($A532&gt;'1-Input'!$B$26,AC531,AC531-X532*(1-W532))</f>
        <v>43059.238068597435</v>
      </c>
      <c r="AD532" s="11">
        <f>IF($A532&gt;'1-Input'!$B$26,0,IF(AI531&lt;=0,0,MAX(0,(AI531-AJ531)/AI531)))</f>
        <v>0.58136992462906634</v>
      </c>
      <c r="AE532" s="18">
        <f>IF($A532&gt;'1-Input'!$B$26,0,(MAX(0,AD506-IF($A532&gt;=('1-Input'!$C$12+1),'1-Input'!$B$12,0))-MIN(MAX(AH531,0),MAX(0,AD506-IF($A532&gt;=('1-Input'!$C$12+1),'1-Input'!$B$12,0))))*(1/(1-'P-Parametri'!$B$6*AD532))+MIN(MAX(0,AI531-(MAX(0,AD506-IF($A532&gt;=('1-Input'!$C$12+1),'1-Input'!$B$12,0))-MIN(MAX(AH531,0),MAX(0,AD506-IF($A532&gt;=('1-Input'!$C$12+1),'1-Input'!$B$12,0))))*(1/(1-'P-Parametri'!$B$6*AD532))),MAX(0,2*AD506-(AH531-MIN(MAX(AH531,0),MAX(0,AD506-IF($A532&gt;=('1-Input'!$C$12+1),'1-Input'!$B$12,0)))))*(1/(1-'P-Parametri'!$B$6*AD532))))</f>
        <v>7946.544160945472</v>
      </c>
      <c r="AF532" s="18">
        <f>IF($A532&gt;'1-Input'!$B$26,AH531,(AH531-MAX(0,AD506-IF($A532&gt;=('1-Input'!$C$12+1),'1-Input'!$B$12,0))+AE532*(1-'P-Parametri'!$B$6*AD532))*(1+'1-Input'!$B$27))</f>
        <v>35312.002280650035</v>
      </c>
      <c r="AG532" s="18">
        <f>IF($A532&gt;'1-Input'!$B$26,AI531,(AI531-AE532)*(1+'5-Roberta'!$C$4))</f>
        <v>106447.4834626401</v>
      </c>
      <c r="AH532" s="18">
        <f>IF($A532&gt;'1-Input'!$B$26,AF532,AF532-'P-Parametri'!$B$8*(AG532+AF532)+MIN(MAX(AG532,0),'P-Parametri'!$B$8*(AG532+AF532)))</f>
        <v>35312.002280650035</v>
      </c>
      <c r="AI532" s="18">
        <f>IF($A532&gt;'1-Input'!$B$26,AG532,AG532-MIN(MAX(AG532,0),'P-Parametri'!$B$8*(AG532+AF532)))</f>
        <v>106163.96449115351</v>
      </c>
      <c r="AJ532" s="18">
        <f>IF($A532&gt;'1-Input'!$B$26,AJ531,AJ531-AE532*(1-AD532))</f>
        <v>43264.19225729246</v>
      </c>
      <c r="AK532" s="11">
        <f>IF($A532&gt;'1-Input'!$B$26,0,IF(AP531&lt;=0,0,MAX(0,(AP531-AQ531)/AP531)))</f>
        <v>0.58136991904148405</v>
      </c>
      <c r="AL532" s="18">
        <f>IF($A532&gt;'1-Input'!$B$26,0,(MAX(0,AK506-IF($A532&gt;=('1-Input'!$C$12+1),'1-Input'!$B$12,0))-MIN(MAX(AO531,0),MAX(0,AK506-IF($A532&gt;=('1-Input'!$C$12+1),'1-Input'!$B$12,0))))*(1/(1-'P-Parametri'!$B$6*AK532))+MIN(MAX(0,AP531-(MAX(0,AK506-IF($A532&gt;=('1-Input'!$C$12+1),'1-Input'!$B$12,0))-MIN(MAX(AO531,0),MAX(0,AK506-IF($A532&gt;=('1-Input'!$C$12+1),'1-Input'!$B$12,0))))*(1/(1-'P-Parametri'!$B$6*AK532))),MAX(0,2*AK506-(AO531-MIN(MAX(AO531,0),MAX(0,AK506-IF($A532&gt;=('1-Input'!$C$12+1),'1-Input'!$B$12,0)))))*(1/(1-'P-Parametri'!$B$6*AK532))))</f>
        <v>7946.5559040209646</v>
      </c>
      <c r="AM532" s="18">
        <f>IF($A532&gt;'1-Input'!$B$26,AO531,(AO531-MAX(0,AK506-IF($A532&gt;=('1-Input'!$C$12+1),'1-Input'!$B$12,0))+AL532*(1-'P-Parametri'!$B$6*AK532))*(1+'1-Input'!$B$27))</f>
        <v>35312.022025795173</v>
      </c>
      <c r="AN532" s="18">
        <f>IF($A532&gt;'1-Input'!$B$26,AP531,(AP531-AL532)*(1+'5-Roberta'!$C$4))</f>
        <v>106447.05921259407</v>
      </c>
      <c r="AO532" s="18">
        <f>IF($A532&gt;'1-Input'!$B$26,AM532,AM532-'P-Parametri'!$B$8*(AN532+AM532)+MIN(MAX(AN532,0),'P-Parametri'!$B$8*(AN532+AM532)))</f>
        <v>35312.022025795173</v>
      </c>
      <c r="AP532" s="18">
        <f>IF($A532&gt;'1-Input'!$B$26,AN532,AN532-MIN(MAX(AN532,0),'P-Parametri'!$B$8*(AN532+AM532)))</f>
        <v>106163.5410501173</v>
      </c>
      <c r="AQ532" s="18">
        <f>IF($A532&gt;'1-Input'!$B$26,AQ531,AQ531-AL532*(1-AK532))</f>
        <v>43264.020403848728</v>
      </c>
    </row>
    <row r="533" spans="1:43">
      <c r="A533" s="10">
        <f>25</f>
        <v>25</v>
      </c>
      <c r="B533" s="11">
        <f>IF($A533&gt;'1-Input'!$B$26,0,IF(G532&lt;=0,0,MAX(0,(G532-H532)/G532)))</f>
        <v>0.59304405004969796</v>
      </c>
      <c r="C533" s="18">
        <f>IF($A533&gt;'1-Input'!$B$26,0,(MAX(0,B506-IF($A533&gt;=('1-Input'!$C$12+1),'1-Input'!$B$12,0))-MIN(MAX(F532,0),MAX(0,B506-IF($A533&gt;=('1-Input'!$C$12+1),'1-Input'!$B$12,0))))*(1/(1-'P-Parametri'!$B$6*B533))+MIN(MAX(0,G532-(MAX(0,B506-IF($A533&gt;=('1-Input'!$C$12+1),'1-Input'!$B$12,0))-MIN(MAX(F532,0),MAX(0,B506-IF($A533&gt;=('1-Input'!$C$12+1),'1-Input'!$B$12,0))))*(1/(1-'P-Parametri'!$B$6*B533))),MAX(0,2*B506-(F532-MIN(MAX(F532,0),MAX(0,B506-IF($A533&gt;=('1-Input'!$C$12+1),'1-Input'!$B$12,0)))))*(1/(1-'P-Parametri'!$B$6*B533))))</f>
        <v>6738.119321674546</v>
      </c>
      <c r="D533" s="18">
        <f>IF($A533&gt;'1-Input'!$B$26,F532,(F532-MAX(0,B506-IF($A533&gt;=('1-Input'!$C$12+1),'1-Input'!$B$12,0))+C533*(1-'P-Parametri'!$B$6*B533))*(1+'1-Input'!$B$27))</f>
        <v>33242.0070309863</v>
      </c>
      <c r="E533" s="18">
        <f>IF($A533&gt;'1-Input'!$B$26,G532,(G532-C533)*(1+'5-Roberta'!$C$4))</f>
        <v>148136.10391199525</v>
      </c>
      <c r="F533" s="18">
        <f>IF($A533&gt;'1-Input'!$B$26,D533,D533-'P-Parametri'!$B$8*(E533+D533)+MIN(MAX(E533,0),'P-Parametri'!$B$8*(E533+D533)))</f>
        <v>33242.0070309863</v>
      </c>
      <c r="G533" s="18">
        <f>IF($A533&gt;'1-Input'!$B$26,E533,E533-MIN(MAX(E533,0),'P-Parametri'!$B$8*(E533+D533)))</f>
        <v>147773.34769010928</v>
      </c>
      <c r="H533" s="18">
        <f>IF($A533&gt;'1-Input'!$B$26,H532,H532-C533*(1-B533))</f>
        <v>58528.998921789003</v>
      </c>
      <c r="I533" s="11">
        <f>IF($A533&gt;'1-Input'!$B$26,0,IF(N532&lt;=0,0,MAX(0,(N532-O532)/N532)))</f>
        <v>0</v>
      </c>
      <c r="J533" s="18">
        <f>IF($A533&gt;'1-Input'!$B$26,0,(MAX(0,I506-IF($A533&gt;=('1-Input'!$C$12+1),'1-Input'!$B$12,0))-MIN(MAX(M532,0),MAX(0,I506-IF($A533&gt;=('1-Input'!$C$12+1),'1-Input'!$B$12,0))))*(1/(1-'P-Parametri'!$B$6*I533))+MIN(MAX(0,N532-(MAX(0,I506-IF($A533&gt;=('1-Input'!$C$12+1),'1-Input'!$B$12,0))-MIN(MAX(M532,0),MAX(0,I506-IF($A533&gt;=('1-Input'!$C$12+1),'1-Input'!$B$12,0))))*(1/(1-'P-Parametri'!$B$6*I533))),MAX(0,2*I506-(M532-MIN(MAX(M532,0),MAX(0,I506-IF($A533&gt;=('1-Input'!$C$12+1),'1-Input'!$B$12,0)))))*(1/(1-'P-Parametri'!$B$6*I533))))</f>
        <v>10846.756992928691</v>
      </c>
      <c r="K533" s="18">
        <f>IF($A533&gt;'1-Input'!$B$26,M532,(M532-MAX(0,I506-IF($A533&gt;=('1-Input'!$C$12+1),'1-Input'!$B$12,0))+J533*(1-'P-Parametri'!$B$6*I533))*(1+'1-Input'!$B$27))</f>
        <v>0</v>
      </c>
      <c r="L533" s="18">
        <f>IF($A533&gt;'1-Input'!$B$26,N532,(N532-J533)*(1+'5-Roberta'!$C$4))</f>
        <v>-27455.118299266323</v>
      </c>
      <c r="M533" s="18">
        <f>IF($A533&gt;'1-Input'!$B$26,K533,K533-'P-Parametri'!$B$8*(L533+K533)+MIN(MAX(L533,0),'P-Parametri'!$B$8*(L533+K533)))</f>
        <v>0</v>
      </c>
      <c r="N533" s="18">
        <f>IF($A533&gt;'1-Input'!$B$26,L533,L533-MIN(MAX(L533,0),'P-Parametri'!$B$8*(L533+K533)))</f>
        <v>-27400.208062667793</v>
      </c>
      <c r="O533" s="18">
        <f>IF($A533&gt;'1-Input'!$B$26,O532,O532-J533*(1-I533))</f>
        <v>-26102.575978901274</v>
      </c>
      <c r="P533" s="11">
        <f>IF($A533&gt;'1-Input'!$B$26,0,IF(U532&lt;=0,0,MAX(0,(U532-V532)/U532)))</f>
        <v>0.59236536415878571</v>
      </c>
      <c r="Q533" s="18">
        <f>IF($A533&gt;'1-Input'!$B$26,0,(MAX(0,P506-IF($A533&gt;=('1-Input'!$C$12+1),'1-Input'!$B$12,0))-MIN(MAX(T532,0),MAX(0,P506-IF($A533&gt;=('1-Input'!$C$12+1),'1-Input'!$B$12,0))))*(1/(1-'P-Parametri'!$B$6*P533))+MIN(MAX(0,U532-(MAX(0,P506-IF($A533&gt;=('1-Input'!$C$12+1),'1-Input'!$B$12,0))-MIN(MAX(T532,0),MAX(0,P506-IF($A533&gt;=('1-Input'!$C$12+1),'1-Input'!$B$12,0))))*(1/(1-'P-Parametri'!$B$6*P533))),MAX(0,2*P506-(T532-MIN(MAX(T532,0),MAX(0,P506-IF($A533&gt;=('1-Input'!$C$12+1),'1-Input'!$B$12,0)))))*(1/(1-'P-Parametri'!$B$6*P533))))</f>
        <v>8164.1502598085945</v>
      </c>
      <c r="R533" s="18">
        <f>IF($A533&gt;'1-Input'!$B$26,T532,(T532-MAX(0,P506-IF($A533&gt;=('1-Input'!$C$12+1),'1-Input'!$B$12,0))+Q533*(1-'P-Parametri'!$B$6*P533))*(1+'1-Input'!$B$27))</f>
        <v>35631.289129554178</v>
      </c>
      <c r="S533" s="18">
        <f>IF($A533&gt;'1-Input'!$B$26,U532,(U532-Q533)*(1+'5-Roberta'!$C$4))</f>
        <v>93887.292435407013</v>
      </c>
      <c r="T533" s="18">
        <f>IF($A533&gt;'1-Input'!$B$26,R533,R533-'P-Parametri'!$B$8*(S533+R533)+MIN(MAX(S533,0),'P-Parametri'!$B$8*(S533+R533)))</f>
        <v>35631.289129554178</v>
      </c>
      <c r="U533" s="18">
        <f>IF($A533&gt;'1-Input'!$B$26,S533,S533-MIN(MAX(S533,0),'P-Parametri'!$B$8*(S533+R533)))</f>
        <v>93628.255272277092</v>
      </c>
      <c r="V533" s="18">
        <f>IF($A533&gt;'1-Input'!$B$26,V532,V532-Q533*(1-P533))</f>
        <v>37157.002196140515</v>
      </c>
      <c r="W533" s="11">
        <f>IF($A533&gt;'1-Input'!$B$26,0,IF(AB532&lt;=0,0,MAX(0,(AB532-AC532)/AB532)))</f>
        <v>0.59246963371398886</v>
      </c>
      <c r="X533" s="18">
        <f>IF($A533&gt;'1-Input'!$B$26,0,(MAX(0,W506-IF($A533&gt;=('1-Input'!$C$12+1),'1-Input'!$B$12,0))-MIN(MAX(AA532,0),MAX(0,W506-IF($A533&gt;=('1-Input'!$C$12+1),'1-Input'!$B$12,0))))*(1/(1-'P-Parametri'!$B$6*W533))+MIN(MAX(0,AB532-(MAX(0,W506-IF($A533&gt;=('1-Input'!$C$12+1),'1-Input'!$B$12,0))-MIN(MAX(AA532,0),MAX(0,W506-IF($A533&gt;=('1-Input'!$C$12+1),'1-Input'!$B$12,0))))*(1/(1-'P-Parametri'!$B$6*W533))),MAX(0,2*W506-(AA532-MIN(MAX(AA532,0),MAX(0,W506-IF($A533&gt;=('1-Input'!$C$12+1),'1-Input'!$B$12,0)))))*(1/(1-'P-Parametri'!$B$6*W533))))</f>
        <v>7987.7220928043489</v>
      </c>
      <c r="Y533" s="18">
        <f>IF($A533&gt;'1-Input'!$B$26,AA532,(AA532-MAX(0,W506-IF($A533&gt;=('1-Input'!$C$12+1),'1-Input'!$B$12,0))+X533*(1-'P-Parametri'!$B$6*W533))*(1+'1-Input'!$B$27))</f>
        <v>35335.550384623006</v>
      </c>
      <c r="Z533" s="18">
        <f>IF($A533&gt;'1-Input'!$B$26,AB532,(AB532-X533)*(1+'5-Roberta'!$C$4))</f>
        <v>100601.38363358837</v>
      </c>
      <c r="AA533" s="18">
        <f>IF($A533&gt;'1-Input'!$B$26,Y533,Y533-'P-Parametri'!$B$8*(Z533+Y533)+MIN(MAX(Z533,0),'P-Parametri'!$B$8*(Z533+Y533)))</f>
        <v>35335.550384623006</v>
      </c>
      <c r="AB533" s="18">
        <f>IF($A533&gt;'1-Input'!$B$26,Z533,Z533-MIN(MAX(Z533,0),'P-Parametri'!$B$8*(Z533+Y533)))</f>
        <v>100329.50976555195</v>
      </c>
      <c r="AC533" s="18">
        <f>IF($A533&gt;'1-Input'!$B$26,AC532,AC532-X533*(1-W533))</f>
        <v>39803.998758326015</v>
      </c>
      <c r="AD533" s="11">
        <f>IF($A533&gt;'1-Input'!$B$26,0,IF(AI532&lt;=0,0,MAX(0,(AI532-AJ532)/AI532)))</f>
        <v>0.59247761267527266</v>
      </c>
      <c r="AE533" s="18">
        <f>IF($A533&gt;'1-Input'!$B$26,0,(MAX(0,AD506-IF($A533&gt;=('1-Input'!$C$12+1),'1-Input'!$B$12,0))-MIN(MAX(AH532,0),MAX(0,AD506-IF($A533&gt;=('1-Input'!$C$12+1),'1-Input'!$B$12,0))))*(1/(1-'P-Parametri'!$B$6*AD533))+MIN(MAX(0,AI532-(MAX(0,AD506-IF($A533&gt;=('1-Input'!$C$12+1),'1-Input'!$B$12,0))-MIN(MAX(AH532,0),MAX(0,AD506-IF($A533&gt;=('1-Input'!$C$12+1),'1-Input'!$B$12,0))))*(1/(1-'P-Parametri'!$B$6*AD533))),MAX(0,2*AD506-(AH532-MIN(MAX(AH532,0),MAX(0,AD506-IF($A533&gt;=('1-Input'!$C$12+1),'1-Input'!$B$12,0)))))*(1/(1-'P-Parametri'!$B$6*AD533))))</f>
        <v>7973.6727770864964</v>
      </c>
      <c r="AF533" s="18">
        <f>IF($A533&gt;'1-Input'!$B$26,AH532,(AH532-MAX(0,AD506-IF($A533&gt;=('1-Input'!$C$12+1),'1-Input'!$B$12,0))+AE533*(1-'P-Parametri'!$B$6*AD533))*(1+'1-Input'!$B$27))</f>
        <v>35312.002280650035</v>
      </c>
      <c r="AG533" s="18">
        <f>IF($A533&gt;'1-Input'!$B$26,AI532,(AI532-AE533)*(1+'5-Roberta'!$C$4))</f>
        <v>101136.00046548904</v>
      </c>
      <c r="AH533" s="18">
        <f>IF($A533&gt;'1-Input'!$B$26,AF533,AF533-'P-Parametri'!$B$8*(AG533+AF533)+MIN(MAX(AG533,0),'P-Parametri'!$B$8*(AG533+AF533)))</f>
        <v>35312.002280650035</v>
      </c>
      <c r="AI533" s="18">
        <f>IF($A533&gt;'1-Input'!$B$26,AG533,AG533-MIN(MAX(AG533,0),'P-Parametri'!$B$8*(AG533+AF533)))</f>
        <v>100863.10445999676</v>
      </c>
      <c r="AJ533" s="18">
        <f>IF($A533&gt;'1-Input'!$B$26,AJ532,AJ532-AE533*(1-AD533))</f>
        <v>40014.742091427979</v>
      </c>
      <c r="AK533" s="11">
        <f>IF($A533&gt;'1-Input'!$B$26,0,IF(AP532&lt;=0,0,MAX(0,(AP532-AQ532)/AP532)))</f>
        <v>0.59247760600388411</v>
      </c>
      <c r="AL533" s="18">
        <f>IF($A533&gt;'1-Input'!$B$26,0,(MAX(0,AK506-IF($A533&gt;=('1-Input'!$C$12+1),'1-Input'!$B$12,0))-MIN(MAX(AO532,0),MAX(0,AK506-IF($A533&gt;=('1-Input'!$C$12+1),'1-Input'!$B$12,0))))*(1/(1-'P-Parametri'!$B$6*AK533))+MIN(MAX(0,AP532-(MAX(0,AK506-IF($A533&gt;=('1-Input'!$C$12+1),'1-Input'!$B$12,0))-MIN(MAX(AO532,0),MAX(0,AK506-IF($A533&gt;=('1-Input'!$C$12+1),'1-Input'!$B$12,0))))*(1/(1-'P-Parametri'!$B$6*AK533))),MAX(0,2*AK506-(AO532-MIN(MAX(AO532,0),MAX(0,AK506-IF($A533&gt;=('1-Input'!$C$12+1),'1-Input'!$B$12,0)))))*(1/(1-'P-Parametri'!$B$6*AK533))))</f>
        <v>7973.6845575488915</v>
      </c>
      <c r="AM533" s="18">
        <f>IF($A533&gt;'1-Input'!$B$26,AO532,(AO532-MAX(0,AK506-IF($A533&gt;=('1-Input'!$C$12+1),'1-Input'!$B$12,0))+AL533*(1-'P-Parametri'!$B$6*AK533))*(1+'1-Input'!$B$27))</f>
        <v>35312.022025795173</v>
      </c>
      <c r="AN533" s="18">
        <f>IF($A533&gt;'1-Input'!$B$26,AP532,(AP532-AL533)*(1+'5-Roberta'!$C$4))</f>
        <v>101135.55218734547</v>
      </c>
      <c r="AO533" s="18">
        <f>IF($A533&gt;'1-Input'!$B$26,AM533,AM533-'P-Parametri'!$B$8*(AN533+AM533)+MIN(MAX(AN533,0),'P-Parametri'!$B$8*(AN533+AM533)))</f>
        <v>35312.022025795173</v>
      </c>
      <c r="AP533" s="18">
        <f>IF($A533&gt;'1-Input'!$B$26,AN533,AN533-MIN(MAX(AN533,0),'P-Parametri'!$B$8*(AN533+AM533)))</f>
        <v>100862.65703891919</v>
      </c>
      <c r="AQ533" s="18">
        <f>IF($A533&gt;'1-Input'!$B$26,AQ532,AQ532-AL533*(1-AK533))</f>
        <v>40014.565383986541</v>
      </c>
    </row>
    <row r="534" spans="1:43">
      <c r="A534" s="10">
        <f>26</f>
        <v>26</v>
      </c>
      <c r="B534" s="11">
        <f>IF($A534&gt;'1-Input'!$B$26,0,IF(G533&lt;=0,0,MAX(0,(G533-H533)/G533)))</f>
        <v>0.6039272315564761</v>
      </c>
      <c r="C534" s="18">
        <f>IF($A534&gt;'1-Input'!$B$26,0,(MAX(0,B506-IF($A534&gt;=('1-Input'!$C$12+1),'1-Input'!$B$12,0))-MIN(MAX(F533,0),MAX(0,B506-IF($A534&gt;=('1-Input'!$C$12+1),'1-Input'!$B$12,0))))*(1/(1-'P-Parametri'!$B$6*B534))+MIN(MAX(0,G533-(MAX(0,B506-IF($A534&gt;=('1-Input'!$C$12+1),'1-Input'!$B$12,0))-MIN(MAX(F533,0),MAX(0,B506-IF($A534&gt;=('1-Input'!$C$12+1),'1-Input'!$B$12,0))))*(1/(1-'P-Parametri'!$B$6*B534))),MAX(0,2*B506-(F533-MIN(MAX(F533,0),MAX(0,B506-IF($A534&gt;=('1-Input'!$C$12+1),'1-Input'!$B$12,0)))))*(1/(1-'P-Parametri'!$B$6*B534))))</f>
        <v>6760.7371656160994</v>
      </c>
      <c r="D534" s="18">
        <f>IF($A534&gt;'1-Input'!$B$26,F533,(F533-MAX(0,B506-IF($A534&gt;=('1-Input'!$C$12+1),'1-Input'!$B$12,0))+C534*(1-'P-Parametri'!$B$6*B534))*(1+'1-Input'!$B$27))</f>
        <v>33242.0070309863</v>
      </c>
      <c r="E534" s="18">
        <f>IF($A534&gt;'1-Input'!$B$26,G533,(G533-C534)*(1+'5-Roberta'!$C$4))</f>
        <v>145242.98884022798</v>
      </c>
      <c r="F534" s="18">
        <f>IF($A534&gt;'1-Input'!$B$26,D534,D534-'P-Parametri'!$B$8*(E534+D534)+MIN(MAX(E534,0),'P-Parametri'!$B$8*(E534+D534)))</f>
        <v>33242.0070309863</v>
      </c>
      <c r="G534" s="18">
        <f>IF($A534&gt;'1-Input'!$B$26,E534,E534-MIN(MAX(E534,0),'P-Parametri'!$B$8*(E534+D534)))</f>
        <v>144886.01884848555</v>
      </c>
      <c r="H534" s="18">
        <f>IF($A534&gt;'1-Input'!$B$26,H533,H533-C534*(1-B534))</f>
        <v>55851.255035884409</v>
      </c>
      <c r="I534" s="11">
        <f>IF($A534&gt;'1-Input'!$B$26,0,IF(N533&lt;=0,0,MAX(0,(N533-O533)/N533)))</f>
        <v>0</v>
      </c>
      <c r="J534" s="18">
        <f>IF($A534&gt;'1-Input'!$B$26,0,(MAX(0,I506-IF($A534&gt;=('1-Input'!$C$12+1),'1-Input'!$B$12,0))-MIN(MAX(M533,0),MAX(0,I506-IF($A534&gt;=('1-Input'!$C$12+1),'1-Input'!$B$12,0))))*(1/(1-'P-Parametri'!$B$6*I534))+MIN(MAX(0,N533-(MAX(0,I506-IF($A534&gt;=('1-Input'!$C$12+1),'1-Input'!$B$12,0))-MIN(MAX(M533,0),MAX(0,I506-IF($A534&gt;=('1-Input'!$C$12+1),'1-Input'!$B$12,0))))*(1/(1-'P-Parametri'!$B$6*I534))),MAX(0,2*I506-(M533-MIN(MAX(M533,0),MAX(0,I506-IF($A534&gt;=('1-Input'!$C$12+1),'1-Input'!$B$12,0)))))*(1/(1-'P-Parametri'!$B$6*I534))))</f>
        <v>10846.756992928691</v>
      </c>
      <c r="K534" s="18">
        <f>IF($A534&gt;'1-Input'!$B$26,M533,(M533-MAX(0,I506-IF($A534&gt;=('1-Input'!$C$12+1),'1-Input'!$B$12,0))+J534*(1-'P-Parametri'!$B$6*I534))*(1+'1-Input'!$B$27))</f>
        <v>0</v>
      </c>
      <c r="L534" s="18">
        <f>IF($A534&gt;'1-Input'!$B$26,N533,(N533-J534)*(1+'5-Roberta'!$C$4))</f>
        <v>-39394.374007264378</v>
      </c>
      <c r="M534" s="18">
        <f>IF($A534&gt;'1-Input'!$B$26,K534,K534-'P-Parametri'!$B$8*(L534+K534)+MIN(MAX(L534,0),'P-Parametri'!$B$8*(L534+K534)))</f>
        <v>0</v>
      </c>
      <c r="N534" s="18">
        <f>IF($A534&gt;'1-Input'!$B$26,L534,L534-MIN(MAX(L534,0),'P-Parametri'!$B$8*(L534+K534)))</f>
        <v>-39315.585259249849</v>
      </c>
      <c r="O534" s="18">
        <f>IF($A534&gt;'1-Input'!$B$26,O533,O533-J534*(1-I534))</f>
        <v>-36949.332971829965</v>
      </c>
      <c r="P534" s="11">
        <f>IF($A534&gt;'1-Input'!$B$26,0,IF(U533&lt;=0,0,MAX(0,(U533-V533)/U533)))</f>
        <v>0.60314328096699521</v>
      </c>
      <c r="Q534" s="18">
        <f>IF($A534&gt;'1-Input'!$B$26,0,(MAX(0,P506-IF($A534&gt;=('1-Input'!$C$12+1),'1-Input'!$B$12,0))-MIN(MAX(T533,0),MAX(0,P506-IF($A534&gt;=('1-Input'!$C$12+1),'1-Input'!$B$12,0))))*(1/(1-'P-Parametri'!$B$6*P534))+MIN(MAX(0,U533-(MAX(0,P506-IF($A534&gt;=('1-Input'!$C$12+1),'1-Input'!$B$12,0))-MIN(MAX(T533,0),MAX(0,P506-IF($A534&gt;=('1-Input'!$C$12+1),'1-Input'!$B$12,0))))*(1/(1-'P-Parametri'!$B$6*P534))),MAX(0,2*P506-(T533-MIN(MAX(T533,0),MAX(0,P506-IF($A534&gt;=('1-Input'!$C$12+1),'1-Input'!$B$12,0)))))*(1/(1-'P-Parametri'!$B$6*P534))))</f>
        <v>8191.2832371890945</v>
      </c>
      <c r="R534" s="18">
        <f>IF($A534&gt;'1-Input'!$B$26,T533,(T533-MAX(0,P506-IF($A534&gt;=('1-Input'!$C$12+1),'1-Input'!$B$12,0))+Q534*(1-'P-Parametri'!$B$6*P534))*(1+'1-Input'!$B$27))</f>
        <v>35631.289129554178</v>
      </c>
      <c r="S534" s="18">
        <f>IF($A534&gt;'1-Input'!$B$26,U533,(U533-Q534)*(1+'5-Roberta'!$C$4))</f>
        <v>88000.081196140643</v>
      </c>
      <c r="T534" s="18">
        <f>IF($A534&gt;'1-Input'!$B$26,R534,R534-'P-Parametri'!$B$8*(S534+R534)+MIN(MAX(S534,0),'P-Parametri'!$B$8*(S534+R534)))</f>
        <v>35631.289129554178</v>
      </c>
      <c r="U534" s="18">
        <f>IF($A534&gt;'1-Input'!$B$26,S534,S534-MIN(MAX(S534,0),'P-Parametri'!$B$8*(S534+R534)))</f>
        <v>87752.81845548925</v>
      </c>
      <c r="V534" s="18">
        <f>IF($A534&gt;'1-Input'!$B$26,V533,V533-Q534*(1-P534))</f>
        <v>33906.2364059596</v>
      </c>
      <c r="W534" s="11">
        <f>IF($A534&gt;'1-Input'!$B$26,0,IF(AB533&lt;=0,0,MAX(0,(AB533-AC533)/AB533)))</f>
        <v>0.60326728545430719</v>
      </c>
      <c r="X534" s="18">
        <f>IF($A534&gt;'1-Input'!$B$26,0,(MAX(0,W506-IF($A534&gt;=('1-Input'!$C$12+1),'1-Input'!$B$12,0))-MIN(MAX(AA533,0),MAX(0,W506-IF($A534&gt;=('1-Input'!$C$12+1),'1-Input'!$B$12,0))))*(1/(1-'P-Parametri'!$B$6*W534))+MIN(MAX(0,AB533-(MAX(0,W506-IF($A534&gt;=('1-Input'!$C$12+1),'1-Input'!$B$12,0))-MIN(MAX(AA533,0),MAX(0,W506-IF($A534&gt;=('1-Input'!$C$12+1),'1-Input'!$B$12,0))))*(1/(1-'P-Parametri'!$B$6*W534))),MAX(0,2*W506-(AA533-MIN(MAX(AA533,0),MAX(0,W506-IF($A534&gt;=('1-Input'!$C$12+1),'1-Input'!$B$12,0)))))*(1/(1-'P-Parametri'!$B$6*W534))))</f>
        <v>8014.3183488688665</v>
      </c>
      <c r="Y534" s="18">
        <f>IF($A534&gt;'1-Input'!$B$26,AA533,(AA533-MAX(0,W506-IF($A534&gt;=('1-Input'!$C$12+1),'1-Input'!$B$12,0))+X534*(1-'P-Parametri'!$B$6*W534))*(1+'1-Input'!$B$27))</f>
        <v>35335.550384623006</v>
      </c>
      <c r="Z534" s="18">
        <f>IF($A534&gt;'1-Input'!$B$26,AB533,(AB533-X534)*(1+'5-Roberta'!$C$4))</f>
        <v>95084.647159183573</v>
      </c>
      <c r="AA534" s="18">
        <f>IF($A534&gt;'1-Input'!$B$26,Y534,Y534-'P-Parametri'!$B$8*(Z534+Y534)+MIN(MAX(Z534,0),'P-Parametri'!$B$8*(Z534+Y534)))</f>
        <v>35335.550384623006</v>
      </c>
      <c r="AB534" s="18">
        <f>IF($A534&gt;'1-Input'!$B$26,Z534,Z534-MIN(MAX(Z534,0),'P-Parametri'!$B$8*(Z534+Y534)))</f>
        <v>94823.806764095963</v>
      </c>
      <c r="AC534" s="18">
        <f>IF($A534&gt;'1-Input'!$B$26,AC533,AC533-X534*(1-W534))</f>
        <v>36624.456484545917</v>
      </c>
      <c r="AD534" s="11">
        <f>IF($A534&gt;'1-Input'!$B$26,0,IF(AI533&lt;=0,0,MAX(0,(AI533-AJ533)/AI533)))</f>
        <v>0.60327671544852957</v>
      </c>
      <c r="AE534" s="18">
        <f>IF($A534&gt;'1-Input'!$B$26,0,(MAX(0,AD506-IF($A534&gt;=('1-Input'!$C$12+1),'1-Input'!$B$12,0))-MIN(MAX(AH533,0),MAX(0,AD506-IF($A534&gt;=('1-Input'!$C$12+1),'1-Input'!$B$12,0))))*(1/(1-'P-Parametri'!$B$6*AD534))+MIN(MAX(0,AI533-(MAX(0,AD506-IF($A534&gt;=('1-Input'!$C$12+1),'1-Input'!$B$12,0))-MIN(MAX(AH533,0),MAX(0,AD506-IF($A534&gt;=('1-Input'!$C$12+1),'1-Input'!$B$12,0))))*(1/(1-'P-Parametri'!$B$6*AD534))),MAX(0,2*AD506-(AH533-MIN(MAX(AH533,0),MAX(0,AD506-IF($A534&gt;=('1-Input'!$C$12+1),'1-Input'!$B$12,0)))))*(1/(1-'P-Parametri'!$B$6*AD534))))</f>
        <v>8000.2258989993661</v>
      </c>
      <c r="AF534" s="18">
        <f>IF($A534&gt;'1-Input'!$B$26,AH533,(AH533-MAX(0,AD506-IF($A534&gt;=('1-Input'!$C$12+1),'1-Input'!$B$12,0))+AE534*(1-'P-Parametri'!$B$6*AD534))*(1+'1-Input'!$B$27))</f>
        <v>35312.002280650035</v>
      </c>
      <c r="AG534" s="18">
        <f>IF($A534&gt;'1-Input'!$B$26,AI533,(AI533-AE534)*(1+'5-Roberta'!$C$4))</f>
        <v>95648.764917827313</v>
      </c>
      <c r="AH534" s="18">
        <f>IF($A534&gt;'1-Input'!$B$26,AF534,AF534-'P-Parametri'!$B$8*(AG534+AF534)+MIN(MAX(AG534,0),'P-Parametri'!$B$8*(AG534+AF534)))</f>
        <v>35312.002280650035</v>
      </c>
      <c r="AI534" s="18">
        <f>IF($A534&gt;'1-Input'!$B$26,AG534,AG534-MIN(MAX(AG534,0),'P-Parametri'!$B$8*(AG534+AF534)))</f>
        <v>95386.843383430358</v>
      </c>
      <c r="AJ534" s="18">
        <f>IF($A534&gt;'1-Input'!$B$26,AJ533,AJ533-AE534*(1-AD534))</f>
        <v>36840.86619562321</v>
      </c>
      <c r="AK534" s="11">
        <f>IF($A534&gt;'1-Input'!$B$26,0,IF(AP533&lt;=0,0,MAX(0,(AP533-AQ533)/AP533)))</f>
        <v>0.60327670756733698</v>
      </c>
      <c r="AL534" s="18">
        <f>IF($A534&gt;'1-Input'!$B$26,0,(MAX(0,AK506-IF($A534&gt;=('1-Input'!$C$12+1),'1-Input'!$B$12,0))-MIN(MAX(AO533,0),MAX(0,AK506-IF($A534&gt;=('1-Input'!$C$12+1),'1-Input'!$B$12,0))))*(1/(1-'P-Parametri'!$B$6*AK534))+MIN(MAX(0,AP533-(MAX(0,AK506-IF($A534&gt;=('1-Input'!$C$12+1),'1-Input'!$B$12,0))-MIN(MAX(AO533,0),MAX(0,AK506-IF($A534&gt;=('1-Input'!$C$12+1),'1-Input'!$B$12,0))))*(1/(1-'P-Parametri'!$B$6*AK534))),MAX(0,2*AK506-(AO533-MIN(MAX(AO533,0),MAX(0,AK506-IF($A534&gt;=('1-Input'!$C$12+1),'1-Input'!$B$12,0)))))*(1/(1-'P-Parametri'!$B$6*AK534))))</f>
        <v>8000.2377156526363</v>
      </c>
      <c r="AM534" s="18">
        <f>IF($A534&gt;'1-Input'!$B$26,AO533,(AO533-MAX(0,AK506-IF($A534&gt;=('1-Input'!$C$12+1),'1-Input'!$B$12,0))+AL534*(1-'P-Parametri'!$B$6*AK534))*(1+'1-Input'!$B$27))</f>
        <v>35312.022025795173</v>
      </c>
      <c r="AN534" s="18">
        <f>IF($A534&gt;'1-Input'!$B$26,AP533,(AP533-AL534)*(1+'5-Roberta'!$C$4))</f>
        <v>95648.291902964556</v>
      </c>
      <c r="AO534" s="18">
        <f>IF($A534&gt;'1-Input'!$B$26,AM534,AM534-'P-Parametri'!$B$8*(AN534+AM534)+MIN(MAX(AN534,0),'P-Parametri'!$B$8*(AN534+AM534)))</f>
        <v>35312.022025795173</v>
      </c>
      <c r="AP534" s="18">
        <f>IF($A534&gt;'1-Input'!$B$26,AN534,AN534-MIN(MAX(AN534,0),'P-Parametri'!$B$8*(AN534+AM534)))</f>
        <v>95386.371275107042</v>
      </c>
      <c r="AQ534" s="18">
        <f>IF($A534&gt;'1-Input'!$B$26,AQ533,AQ533-AL534*(1-AK534))</f>
        <v>36840.684737188858</v>
      </c>
    </row>
    <row r="535" spans="1:43">
      <c r="A535" s="10">
        <f>27</f>
        <v>27</v>
      </c>
      <c r="B535" s="11">
        <f>IF($A535&gt;'1-Input'!$B$26,0,IF(G534&lt;=0,0,MAX(0,(G534-H534)/G534)))</f>
        <v>0.6145159106463487</v>
      </c>
      <c r="C535" s="18">
        <f>IF($A535&gt;'1-Input'!$B$26,0,(MAX(0,B506-IF($A535&gt;=('1-Input'!$C$12+1),'1-Input'!$B$12,0))-MIN(MAX(F534,0),MAX(0,B506-IF($A535&gt;=('1-Input'!$C$12+1),'1-Input'!$B$12,0))))*(1/(1-'P-Parametri'!$B$6*B535))+MIN(MAX(0,G534-(MAX(0,B506-IF($A535&gt;=('1-Input'!$C$12+1),'1-Input'!$B$12,0))-MIN(MAX(F534,0),MAX(0,B506-IF($A535&gt;=('1-Input'!$C$12+1),'1-Input'!$B$12,0))))*(1/(1-'P-Parametri'!$B$6*B535))),MAX(0,2*B506-(F534-MIN(MAX(F534,0),MAX(0,B506-IF($A535&gt;=('1-Input'!$C$12+1),'1-Input'!$B$12,0)))))*(1/(1-'P-Parametri'!$B$6*B535))))</f>
        <v>6782.8891757380006</v>
      </c>
      <c r="D535" s="18">
        <f>IF($A535&gt;'1-Input'!$B$26,F534,(F534-MAX(0,B506-IF($A535&gt;=('1-Input'!$C$12+1),'1-Input'!$B$12,0))+C535*(1-'P-Parametri'!$B$6*B535))*(1+'1-Input'!$B$27))</f>
        <v>33242.0070309863</v>
      </c>
      <c r="E535" s="18">
        <f>IF($A535&gt;'1-Input'!$B$26,G534,(G534-C535)*(1+'5-Roberta'!$C$4))</f>
        <v>142246.22356292998</v>
      </c>
      <c r="F535" s="18">
        <f>IF($A535&gt;'1-Input'!$B$26,D535,D535-'P-Parametri'!$B$8*(E535+D535)+MIN(MAX(E535,0),'P-Parametri'!$B$8*(E535+D535)))</f>
        <v>33242.0070309863</v>
      </c>
      <c r="G535" s="18">
        <f>IF($A535&gt;'1-Input'!$B$26,E535,E535-MIN(MAX(E535,0),'P-Parametri'!$B$8*(E535+D535)))</f>
        <v>141895.24710174216</v>
      </c>
      <c r="H535" s="18">
        <f>IF($A535&gt;'1-Input'!$B$26,H534,H534-C535*(1-B535))</f>
        <v>53236.55917878831</v>
      </c>
      <c r="I535" s="11">
        <f>IF($A535&gt;'1-Input'!$B$26,0,IF(N534&lt;=0,0,MAX(0,(N534-O534)/N534)))</f>
        <v>0</v>
      </c>
      <c r="J535" s="18">
        <f>IF($A535&gt;'1-Input'!$B$26,0,(MAX(0,I506-IF($A535&gt;=('1-Input'!$C$12+1),'1-Input'!$B$12,0))-MIN(MAX(M534,0),MAX(0,I506-IF($A535&gt;=('1-Input'!$C$12+1),'1-Input'!$B$12,0))))*(1/(1-'P-Parametri'!$B$6*I535))+MIN(MAX(0,N534-(MAX(0,I506-IF($A535&gt;=('1-Input'!$C$12+1),'1-Input'!$B$12,0))-MIN(MAX(M534,0),MAX(0,I506-IF($A535&gt;=('1-Input'!$C$12+1),'1-Input'!$B$12,0))))*(1/(1-'P-Parametri'!$B$6*I535))),MAX(0,2*I506-(M534-MIN(MAX(M534,0),MAX(0,I506-IF($A535&gt;=('1-Input'!$C$12+1),'1-Input'!$B$12,0)))))*(1/(1-'P-Parametri'!$B$6*I535))))</f>
        <v>10846.756992928691</v>
      </c>
      <c r="K535" s="18">
        <f>IF($A535&gt;'1-Input'!$B$26,M534,(M534-MAX(0,I506-IF($A535&gt;=('1-Input'!$C$12+1),'1-Input'!$B$12,0))+J535*(1-'P-Parametri'!$B$6*I535))*(1+'1-Input'!$B$27))</f>
        <v>0</v>
      </c>
      <c r="L535" s="18">
        <f>IF($A535&gt;'1-Input'!$B$26,N534,(N534-J535)*(1+'5-Roberta'!$C$4))</f>
        <v>-51667.212519743895</v>
      </c>
      <c r="M535" s="18">
        <f>IF($A535&gt;'1-Input'!$B$26,K535,K535-'P-Parametri'!$B$8*(L535+K535)+MIN(MAX(L535,0),'P-Parametri'!$B$8*(L535+K535)))</f>
        <v>0</v>
      </c>
      <c r="N535" s="18">
        <f>IF($A535&gt;'1-Input'!$B$26,L535,L535-MIN(MAX(L535,0),'P-Parametri'!$B$8*(L535+K535)))</f>
        <v>-51563.878094704407</v>
      </c>
      <c r="O535" s="18">
        <f>IF($A535&gt;'1-Input'!$B$26,O534,O534-J535*(1-I535))</f>
        <v>-47796.089964758656</v>
      </c>
      <c r="P535" s="11">
        <f>IF($A535&gt;'1-Input'!$B$26,0,IF(U534&lt;=0,0,MAX(0,(U534-V534)/U534)))</f>
        <v>0.61361655383003089</v>
      </c>
      <c r="Q535" s="18">
        <f>IF($A535&gt;'1-Input'!$B$26,0,(MAX(0,P506-IF($A535&gt;=('1-Input'!$C$12+1),'1-Input'!$B$12,0))-MIN(MAX(T534,0),MAX(0,P506-IF($A535&gt;=('1-Input'!$C$12+1),'1-Input'!$B$12,0))))*(1/(1-'P-Parametri'!$B$6*P535))+MIN(MAX(0,U534-(MAX(0,P506-IF($A535&gt;=('1-Input'!$C$12+1),'1-Input'!$B$12,0))-MIN(MAX(T534,0),MAX(0,P506-IF($A535&gt;=('1-Input'!$C$12+1),'1-Input'!$B$12,0))))*(1/(1-'P-Parametri'!$B$6*P535))),MAX(0,2*P506-(T534-MIN(MAX(T534,0),MAX(0,P506-IF($A535&gt;=('1-Input'!$C$12+1),'1-Input'!$B$12,0)))))*(1/(1-'P-Parametri'!$B$6*P535))))</f>
        <v>8217.822619935032</v>
      </c>
      <c r="R535" s="18">
        <f>IF($A535&gt;'1-Input'!$B$26,T534,(T534-MAX(0,P506-IF($A535&gt;=('1-Input'!$C$12+1),'1-Input'!$B$12,0))+Q535*(1-'P-Parametri'!$B$6*P535))*(1+'1-Input'!$B$27))</f>
        <v>35631.289129554178</v>
      </c>
      <c r="S535" s="18">
        <f>IF($A535&gt;'1-Input'!$B$26,U534,(U534-Q535)*(1+'5-Roberta'!$C$4))</f>
        <v>81921.045710620849</v>
      </c>
      <c r="T535" s="18">
        <f>IF($A535&gt;'1-Input'!$B$26,R535,R535-'P-Parametri'!$B$8*(S535+R535)+MIN(MAX(S535,0),'P-Parametri'!$B$8*(S535+R535)))</f>
        <v>35631.289129554178</v>
      </c>
      <c r="U535" s="18">
        <f>IF($A535&gt;'1-Input'!$B$26,S535,S535-MIN(MAX(S535,0),'P-Parametri'!$B$8*(S535+R535)))</f>
        <v>81685.941040940495</v>
      </c>
      <c r="V535" s="18">
        <f>IF($A535&gt;'1-Input'!$B$26,V534,V534-Q535*(1-P535))</f>
        <v>30731.005782055578</v>
      </c>
      <c r="W535" s="11">
        <f>IF($A535&gt;'1-Input'!$B$26,0,IF(AB534&lt;=0,0,MAX(0,(AB534-AC534)/AB534)))</f>
        <v>0.61376306505326483</v>
      </c>
      <c r="X535" s="18">
        <f>IF($A535&gt;'1-Input'!$B$26,0,(MAX(0,W506-IF($A535&gt;=('1-Input'!$C$12+1),'1-Input'!$B$12,0))-MIN(MAX(AA534,0),MAX(0,W506-IF($A535&gt;=('1-Input'!$C$12+1),'1-Input'!$B$12,0))))*(1/(1-'P-Parametri'!$B$6*W535))+MIN(MAX(0,AB534-(MAX(0,W506-IF($A535&gt;=('1-Input'!$C$12+1),'1-Input'!$B$12,0))-MIN(MAX(AA534,0),MAX(0,W506-IF($A535&gt;=('1-Input'!$C$12+1),'1-Input'!$B$12,0))))*(1/(1-'P-Parametri'!$B$6*W535))),MAX(0,2*W506-(AA534-MIN(MAX(AA534,0),MAX(0,W506-IF($A535&gt;=('1-Input'!$C$12+1),'1-Input'!$B$12,0)))))*(1/(1-'P-Parametri'!$B$6*W535))))</f>
        <v>8040.3413531161968</v>
      </c>
      <c r="Y535" s="18">
        <f>IF($A535&gt;'1-Input'!$B$26,AA534,(AA534-MAX(0,W506-IF($A535&gt;=('1-Input'!$C$12+1),'1-Input'!$B$12,0))+X535*(1-'P-Parametri'!$B$6*W535))*(1+'1-Input'!$B$27))</f>
        <v>35335.550384623006</v>
      </c>
      <c r="Z535" s="18">
        <f>IF($A535&gt;'1-Input'!$B$26,AB534,(AB534-X535)*(1+'5-Roberta'!$C$4))</f>
        <v>89386.96937330917</v>
      </c>
      <c r="AA535" s="18">
        <f>IF($A535&gt;'1-Input'!$B$26,Y535,Y535-'P-Parametri'!$B$8*(Z535+Y535)+MIN(MAX(Z535,0),'P-Parametri'!$B$8*(Z535+Y535)))</f>
        <v>35335.550384623006</v>
      </c>
      <c r="AB535" s="18">
        <f>IF($A535&gt;'1-Input'!$B$26,Z535,Z535-MIN(MAX(Z535,0),'P-Parametri'!$B$8*(Z535+Y535)))</f>
        <v>89137.524333793306</v>
      </c>
      <c r="AC535" s="18">
        <f>IF($A535&gt;'1-Input'!$B$26,AC534,AC534-X535*(1-W535))</f>
        <v>33518.979684392834</v>
      </c>
      <c r="AD535" s="11">
        <f>IF($A535&gt;'1-Input'!$B$26,0,IF(AI534&lt;=0,0,MAX(0,(AI534-AJ534)/AI534)))</f>
        <v>0.61377413394913927</v>
      </c>
      <c r="AE535" s="18">
        <f>IF($A535&gt;'1-Input'!$B$26,0,(MAX(0,AD506-IF($A535&gt;=('1-Input'!$C$12+1),'1-Input'!$B$12,0))-MIN(MAX(AH534,0),MAX(0,AD506-IF($A535&gt;=('1-Input'!$C$12+1),'1-Input'!$B$12,0))))*(1/(1-'P-Parametri'!$B$6*AD535))+MIN(MAX(0,AI534-(MAX(0,AD506-IF($A535&gt;=('1-Input'!$C$12+1),'1-Input'!$B$12,0))-MIN(MAX(AH534,0),MAX(0,AD506-IF($A535&gt;=('1-Input'!$C$12+1),'1-Input'!$B$12,0))))*(1/(1-'P-Parametri'!$B$6*AD535))),MAX(0,2*AD506-(AH534-MIN(MAX(AH534,0),MAX(0,AD506-IF($A535&gt;=('1-Input'!$C$12+1),'1-Input'!$B$12,0)))))*(1/(1-'P-Parametri'!$B$6*AD535))))</f>
        <v>8026.2072894418679</v>
      </c>
      <c r="AF535" s="18">
        <f>IF($A535&gt;'1-Input'!$B$26,AH534,(AH534-MAX(0,AD506-IF($A535&gt;=('1-Input'!$C$12+1),'1-Input'!$B$12,0))+AE535*(1-'P-Parametri'!$B$6*AD535))*(1+'1-Input'!$B$27))</f>
        <v>35312.002280650035</v>
      </c>
      <c r="AG535" s="18">
        <f>IF($A535&gt;'1-Input'!$B$26,AI534,(AI534-AE535)*(1+'5-Roberta'!$C$4))</f>
        <v>89981.455176808144</v>
      </c>
      <c r="AH535" s="18">
        <f>IF($A535&gt;'1-Input'!$B$26,AF535,AF535-'P-Parametri'!$B$8*(AG535+AF535)+MIN(MAX(AG535,0),'P-Parametri'!$B$8*(AG535+AF535)))</f>
        <v>35312.002280650035</v>
      </c>
      <c r="AI535" s="18">
        <f>IF($A535&gt;'1-Input'!$B$26,AG535,AG535-MIN(MAX(AG535,0),'P-Parametri'!$B$8*(AG535+AF535)))</f>
        <v>89730.868261893222</v>
      </c>
      <c r="AJ535" s="18">
        <f>IF($A535&gt;'1-Input'!$B$26,AJ534,AJ534-AE535*(1-AD535))</f>
        <v>33740.937334154791</v>
      </c>
      <c r="AK535" s="11">
        <f>IF($A535&gt;'1-Input'!$B$26,0,IF(AP534&lt;=0,0,MAX(0,(AP534-AQ534)/AP534)))</f>
        <v>0.61377412470241266</v>
      </c>
      <c r="AL535" s="18">
        <f>IF($A535&gt;'1-Input'!$B$26,0,(MAX(0,AK506-IF($A535&gt;=('1-Input'!$C$12+1),'1-Input'!$B$12,0))-MIN(MAX(AO534,0),MAX(0,AK506-IF($A535&gt;=('1-Input'!$C$12+1),'1-Input'!$B$12,0))))*(1/(1-'P-Parametri'!$B$6*AK535))+MIN(MAX(0,AP534-(MAX(0,AK506-IF($A535&gt;=('1-Input'!$C$12+1),'1-Input'!$B$12,0))-MIN(MAX(AO534,0),MAX(0,AK506-IF($A535&gt;=('1-Input'!$C$12+1),'1-Input'!$B$12,0))))*(1/(1-'P-Parametri'!$B$6*AK535))),MAX(0,2*AK506-(AO534-MIN(MAX(AO534,0),MAX(0,AK506-IF($A535&gt;=('1-Input'!$C$12+1),'1-Input'!$B$12,0)))))*(1/(1-'P-Parametri'!$B$6*AK535))))</f>
        <v>8026.2191410166279</v>
      </c>
      <c r="AM535" s="18">
        <f>IF($A535&gt;'1-Input'!$B$26,AO534,(AO534-MAX(0,AK506-IF($A535&gt;=('1-Input'!$C$12+1),'1-Input'!$B$12,0))+AL535*(1-'P-Parametri'!$B$6*AK535))*(1+'1-Input'!$B$27))</f>
        <v>35312.022025795173</v>
      </c>
      <c r="AN535" s="18">
        <f>IF($A535&gt;'1-Input'!$B$26,AP534,(AP534-AL535)*(1+'5-Roberta'!$C$4))</f>
        <v>89980.956698113136</v>
      </c>
      <c r="AO535" s="18">
        <f>IF($A535&gt;'1-Input'!$B$26,AM535,AM535-'P-Parametri'!$B$8*(AN535+AM535)+MIN(MAX(AN535,0),'P-Parametri'!$B$8*(AN535+AM535)))</f>
        <v>35312.022025795173</v>
      </c>
      <c r="AP535" s="18">
        <f>IF($A535&gt;'1-Input'!$B$26,AN535,AN535-MIN(MAX(AN535,0),'P-Parametri'!$B$8*(AN535+AM535)))</f>
        <v>89730.370740665312</v>
      </c>
      <c r="AQ535" s="18">
        <f>IF($A535&gt;'1-Input'!$B$26,AQ534,AQ534-AL535*(1-AK535))</f>
        <v>33740.751224119464</v>
      </c>
    </row>
    <row r="536" spans="1:43">
      <c r="A536" s="10">
        <f>28</f>
        <v>28</v>
      </c>
      <c r="B536" s="11">
        <f>IF($A536&gt;'1-Input'!$B$26,0,IF(G535&lt;=0,0,MAX(0,(G535-H535)/G535)))</f>
        <v>0.62481788314857045</v>
      </c>
      <c r="C536" s="18">
        <f>IF($A536&gt;'1-Input'!$B$26,0,(MAX(0,B506-IF($A536&gt;=('1-Input'!$C$12+1),'1-Input'!$B$12,0))-MIN(MAX(F535,0),MAX(0,B506-IF($A536&gt;=('1-Input'!$C$12+1),'1-Input'!$B$12,0))))*(1/(1-'P-Parametri'!$B$6*B536))+MIN(MAX(0,G535-(MAX(0,B506-IF($A536&gt;=('1-Input'!$C$12+1),'1-Input'!$B$12,0))-MIN(MAX(F535,0),MAX(0,B506-IF($A536&gt;=('1-Input'!$C$12+1),'1-Input'!$B$12,0))))*(1/(1-'P-Parametri'!$B$6*B536))),MAX(0,2*B506-(F535-MIN(MAX(F535,0),MAX(0,B506-IF($A536&gt;=('1-Input'!$C$12+1),'1-Input'!$B$12,0)))))*(1/(1-'P-Parametri'!$B$6*B536))))</f>
        <v>6804.5811503027644</v>
      </c>
      <c r="D536" s="18">
        <f>IF($A536&gt;'1-Input'!$B$26,F535,(F535-MAX(0,B506-IF($A536&gt;=('1-Input'!$C$12+1),'1-Input'!$B$12,0))+C536*(1-'P-Parametri'!$B$6*B536))*(1+'1-Input'!$B$27))</f>
        <v>33242.0070309863</v>
      </c>
      <c r="E536" s="18">
        <f>IF($A536&gt;'1-Input'!$B$26,G535,(G535-C536)*(1+'5-Roberta'!$C$4))</f>
        <v>139143.38592998259</v>
      </c>
      <c r="F536" s="18">
        <f>IF($A536&gt;'1-Input'!$B$26,D536,D536-'P-Parametri'!$B$8*(E536+D536)+MIN(MAX(E536,0),'P-Parametri'!$B$8*(E536+D536)))</f>
        <v>33242.0070309863</v>
      </c>
      <c r="G536" s="18">
        <f>IF($A536&gt;'1-Input'!$B$26,E536,E536-MIN(MAX(E536,0),'P-Parametri'!$B$8*(E536+D536)))</f>
        <v>138798.61514406063</v>
      </c>
      <c r="H536" s="18">
        <f>IF($A536&gt;'1-Input'!$B$26,H535,H535-C536*(1-B536))</f>
        <v>50683.602018530386</v>
      </c>
      <c r="I536" s="11">
        <f>IF($A536&gt;'1-Input'!$B$26,0,IF(N535&lt;=0,0,MAX(0,(N535-O535)/N535)))</f>
        <v>0</v>
      </c>
      <c r="J536" s="18">
        <f>IF($A536&gt;'1-Input'!$B$26,0,(MAX(0,I506-IF($A536&gt;=('1-Input'!$C$12+1),'1-Input'!$B$12,0))-MIN(MAX(M535,0),MAX(0,I506-IF($A536&gt;=('1-Input'!$C$12+1),'1-Input'!$B$12,0))))*(1/(1-'P-Parametri'!$B$6*I536))+MIN(MAX(0,N535-(MAX(0,I506-IF($A536&gt;=('1-Input'!$C$12+1),'1-Input'!$B$12,0))-MIN(MAX(M535,0),MAX(0,I506-IF($A536&gt;=('1-Input'!$C$12+1),'1-Input'!$B$12,0))))*(1/(1-'P-Parametri'!$B$6*I536))),MAX(0,2*I506-(M535-MIN(MAX(M535,0),MAX(0,I506-IF($A536&gt;=('1-Input'!$C$12+1),'1-Input'!$B$12,0)))))*(1/(1-'P-Parametri'!$B$6*I536))))</f>
        <v>10846.756992928691</v>
      </c>
      <c r="K536" s="18">
        <f>IF($A536&gt;'1-Input'!$B$26,M535,(M535-MAX(0,I506-IF($A536&gt;=('1-Input'!$C$12+1),'1-Input'!$B$12,0))+J536*(1-'P-Parametri'!$B$6*I536))*(1+'1-Input'!$B$27))</f>
        <v>0</v>
      </c>
      <c r="L536" s="18">
        <f>IF($A536&gt;'1-Input'!$B$26,N535,(N535-J536)*(1+'5-Roberta'!$C$4))</f>
        <v>-64282.954140262096</v>
      </c>
      <c r="M536" s="18">
        <f>IF($A536&gt;'1-Input'!$B$26,K536,K536-'P-Parametri'!$B$8*(L536+K536)+MIN(MAX(L536,0),'P-Parametri'!$B$8*(L536+K536)))</f>
        <v>0</v>
      </c>
      <c r="N536" s="18">
        <f>IF($A536&gt;'1-Input'!$B$26,L536,L536-MIN(MAX(L536,0),'P-Parametri'!$B$8*(L536+K536)))</f>
        <v>-64154.388231981575</v>
      </c>
      <c r="O536" s="18">
        <f>IF($A536&gt;'1-Input'!$B$26,O535,O535-J536*(1-I536))</f>
        <v>-58642.846957687347</v>
      </c>
      <c r="P536" s="11">
        <f>IF($A536&gt;'1-Input'!$B$26,0,IF(U535&lt;=0,0,MAX(0,(U535-V535)/U535)))</f>
        <v>0.62379076019148283</v>
      </c>
      <c r="Q536" s="18">
        <f>IF($A536&gt;'1-Input'!$B$26,0,(MAX(0,P506-IF($A536&gt;=('1-Input'!$C$12+1),'1-Input'!$B$12,0))-MIN(MAX(T535,0),MAX(0,P506-IF($A536&gt;=('1-Input'!$C$12+1),'1-Input'!$B$12,0))))*(1/(1-'P-Parametri'!$B$6*P536))+MIN(MAX(0,U535-(MAX(0,P506-IF($A536&gt;=('1-Input'!$C$12+1),'1-Input'!$B$12,0))-MIN(MAX(T535,0),MAX(0,P506-IF($A536&gt;=('1-Input'!$C$12+1),'1-Input'!$B$12,0))))*(1/(1-'P-Parametri'!$B$6*P536))),MAX(0,2*P506-(T535-MIN(MAX(T535,0),MAX(0,P506-IF($A536&gt;=('1-Input'!$C$12+1),'1-Input'!$B$12,0)))))*(1/(1-'P-Parametri'!$B$6*P536))))</f>
        <v>8243.7693617970053</v>
      </c>
      <c r="R536" s="18">
        <f>IF($A536&gt;'1-Input'!$B$26,T535,(T535-MAX(0,P506-IF($A536&gt;=('1-Input'!$C$12+1),'1-Input'!$B$12,0))+Q536*(1-'P-Parametri'!$B$6*P536))*(1+'1-Input'!$B$27))</f>
        <v>35631.289129554178</v>
      </c>
      <c r="S536" s="18">
        <f>IF($A536&gt;'1-Input'!$B$26,U535,(U535-Q536)*(1+'5-Roberta'!$C$4))</f>
        <v>75645.436829517799</v>
      </c>
      <c r="T536" s="18">
        <f>IF($A536&gt;'1-Input'!$B$26,R536,R536-'P-Parametri'!$B$8*(S536+R536)+MIN(MAX(S536,0),'P-Parametri'!$B$8*(S536+R536)))</f>
        <v>35631.289129554178</v>
      </c>
      <c r="U536" s="18">
        <f>IF($A536&gt;'1-Input'!$B$26,S536,S536-MIN(MAX(S536,0),'P-Parametri'!$B$8*(S536+R536)))</f>
        <v>75422.883377599661</v>
      </c>
      <c r="V536" s="18">
        <f>IF($A536&gt;'1-Input'!$B$26,V535,V535-Q536*(1-P536))</f>
        <v>27629.623577297181</v>
      </c>
      <c r="W536" s="11">
        <f>IF($A536&gt;'1-Input'!$B$26,0,IF(AB535&lt;=0,0,MAX(0,(AB535-AC535)/AB535)))</f>
        <v>0.62396330911239684</v>
      </c>
      <c r="X536" s="18">
        <f>IF($A536&gt;'1-Input'!$B$26,0,(MAX(0,W506-IF($A536&gt;=('1-Input'!$C$12+1),'1-Input'!$B$12,0))-MIN(MAX(AA535,0),MAX(0,W506-IF($A536&gt;=('1-Input'!$C$12+1),'1-Input'!$B$12,0))))*(1/(1-'P-Parametri'!$B$6*W536))+MIN(MAX(0,AB535-(MAX(0,W506-IF($A536&gt;=('1-Input'!$C$12+1),'1-Input'!$B$12,0))-MIN(MAX(AA535,0),MAX(0,W506-IF($A536&gt;=('1-Input'!$C$12+1),'1-Input'!$B$12,0))))*(1/(1-'P-Parametri'!$B$6*W536))),MAX(0,2*W506-(AA535-MIN(MAX(AA535,0),MAX(0,W506-IF($A536&gt;=('1-Input'!$C$12+1),'1-Input'!$B$12,0)))))*(1/(1-'P-Parametri'!$B$6*W536))))</f>
        <v>8065.7940515763639</v>
      </c>
      <c r="Y536" s="18">
        <f>IF($A536&gt;'1-Input'!$B$26,AA535,(AA535-MAX(0,W506-IF($A536&gt;=('1-Input'!$C$12+1),'1-Input'!$B$12,0))+X536*(1-'P-Parametri'!$B$6*W536))*(1+'1-Input'!$B$27))</f>
        <v>35335.550384623006</v>
      </c>
      <c r="Z536" s="18">
        <f>IF($A536&gt;'1-Input'!$B$26,AB535,(AB535-X536)*(1+'5-Roberta'!$C$4))</f>
        <v>83503.882190683449</v>
      </c>
      <c r="AA536" s="18">
        <f>IF($A536&gt;'1-Input'!$B$26,Y536,Y536-'P-Parametri'!$B$8*(Z536+Y536)+MIN(MAX(Z536,0),'P-Parametri'!$B$8*(Z536+Y536)))</f>
        <v>35335.550384623006</v>
      </c>
      <c r="AB536" s="18">
        <f>IF($A536&gt;'1-Input'!$B$26,Z536,Z536-MIN(MAX(Z536,0),'P-Parametri'!$B$8*(Z536+Y536)))</f>
        <v>83266.203325532842</v>
      </c>
      <c r="AC536" s="18">
        <f>IF($A536&gt;'1-Input'!$B$26,AC535,AC535-X536*(1-W536))</f>
        <v>30485.945179857146</v>
      </c>
      <c r="AD536" s="11">
        <f>IF($A536&gt;'1-Input'!$B$26,0,IF(AI535&lt;=0,0,MAX(0,(AI535-AJ535)/AI535)))</f>
        <v>0.62397625267954926</v>
      </c>
      <c r="AE536" s="18">
        <f>IF($A536&gt;'1-Input'!$B$26,0,(MAX(0,AD506-IF($A536&gt;=('1-Input'!$C$12+1),'1-Input'!$B$12,0))-MIN(MAX(AH535,0),MAX(0,AD506-IF($A536&gt;=('1-Input'!$C$12+1),'1-Input'!$B$12,0))))*(1/(1-'P-Parametri'!$B$6*AD536))+MIN(MAX(0,AI535-(MAX(0,AD506-IF($A536&gt;=('1-Input'!$C$12+1),'1-Input'!$B$12,0))-MIN(MAX(AH535,0),MAX(0,AD506-IF($A536&gt;=('1-Input'!$C$12+1),'1-Input'!$B$12,0))))*(1/(1-'P-Parametri'!$B$6*AD536))),MAX(0,2*AD506-(AH535-MIN(MAX(AH535,0),MAX(0,AD506-IF($A536&gt;=('1-Input'!$C$12+1),'1-Input'!$B$12,0)))))*(1/(1-'P-Parametri'!$B$6*AD536))))</f>
        <v>8051.6200165018572</v>
      </c>
      <c r="AF536" s="18">
        <f>IF($A536&gt;'1-Input'!$B$26,AH535,(AH535-MAX(0,AD506-IF($A536&gt;=('1-Input'!$C$12+1),'1-Input'!$B$12,0))+AE536*(1-'P-Parametri'!$B$6*AD536))*(1+'1-Input'!$B$27))</f>
        <v>35312.002280650035</v>
      </c>
      <c r="AG536" s="18">
        <f>IF($A536&gt;'1-Input'!$B$26,AI535,(AI535-AE536)*(1+'5-Roberta'!$C$4))</f>
        <v>84129.625692753107</v>
      </c>
      <c r="AH536" s="18">
        <f>IF($A536&gt;'1-Input'!$B$26,AF536,AF536-'P-Parametri'!$B$8*(AG536+AF536)+MIN(MAX(AG536,0),'P-Parametri'!$B$8*(AG536+AF536)))</f>
        <v>35312.002280650035</v>
      </c>
      <c r="AI536" s="18">
        <f>IF($A536&gt;'1-Input'!$B$26,AG536,AG536-MIN(MAX(AG536,0),'P-Parametri'!$B$8*(AG536+AF536)))</f>
        <v>83890.742436806308</v>
      </c>
      <c r="AJ536" s="18">
        <f>IF($A536&gt;'1-Input'!$B$26,AJ535,AJ535-AE536*(1-AD536))</f>
        <v>30713.337003549412</v>
      </c>
      <c r="AK536" s="11">
        <f>IF($A536&gt;'1-Input'!$B$26,0,IF(AP535&lt;=0,0,MAX(0,(AP535-AQ535)/AP535)))</f>
        <v>0.62397624187204725</v>
      </c>
      <c r="AL536" s="18">
        <f>IF($A536&gt;'1-Input'!$B$26,0,(MAX(0,AK506-IF($A536&gt;=('1-Input'!$C$12+1),'1-Input'!$B$12,0))-MIN(MAX(AO535,0),MAX(0,AK506-IF($A536&gt;=('1-Input'!$C$12+1),'1-Input'!$B$12,0))))*(1/(1-'P-Parametri'!$B$6*AK536))+MIN(MAX(0,AP535-(MAX(0,AK506-IF($A536&gt;=('1-Input'!$C$12+1),'1-Input'!$B$12,0))-MIN(MAX(AO535,0),MAX(0,AK506-IF($A536&gt;=('1-Input'!$C$12+1),'1-Input'!$B$12,0))))*(1/(1-'P-Parametri'!$B$6*AK536))),MAX(0,2*AK506-(AO535-MIN(MAX(AO535,0),MAX(0,AK506-IF($A536&gt;=('1-Input'!$C$12+1),'1-Input'!$B$12,0)))))*(1/(1-'P-Parametri'!$B$6*AK536))))</f>
        <v>8051.6319016282723</v>
      </c>
      <c r="AM536" s="18">
        <f>IF($A536&gt;'1-Input'!$B$26,AO535,(AO535-MAX(0,AK506-IF($A536&gt;=('1-Input'!$C$12+1),'1-Input'!$B$12,0))+AL536*(1-'P-Parametri'!$B$6*AK536))*(1+'1-Input'!$B$27))</f>
        <v>35312.022025795173</v>
      </c>
      <c r="AN536" s="18">
        <f>IF($A536&gt;'1-Input'!$B$26,AP535,(AP535-AL536)*(1+'5-Roberta'!$C$4))</f>
        <v>84129.101004208162</v>
      </c>
      <c r="AO536" s="18">
        <f>IF($A536&gt;'1-Input'!$B$26,AM536,AM536-'P-Parametri'!$B$8*(AN536+AM536)+MIN(MAX(AN536,0),'P-Parametri'!$B$8*(AN536+AM536)))</f>
        <v>35312.022025795173</v>
      </c>
      <c r="AP536" s="18">
        <f>IF($A536&gt;'1-Input'!$B$26,AN536,AN536-MIN(MAX(AN536,0),'P-Parametri'!$B$8*(AN536+AM536)))</f>
        <v>83890.218758148156</v>
      </c>
      <c r="AQ536" s="18">
        <f>IF($A536&gt;'1-Input'!$B$26,AQ535,AQ535-AL536*(1-AK536))</f>
        <v>30713.146337406288</v>
      </c>
    </row>
    <row r="537" spans="1:43">
      <c r="A537" s="10">
        <f>29</f>
        <v>29</v>
      </c>
      <c r="B537" s="11">
        <f>IF($A537&gt;'1-Input'!$B$26,0,IF(G536&lt;=0,0,MAX(0,(G536-H536)/G536)))</f>
        <v>0.63484072253944812</v>
      </c>
      <c r="C537" s="18">
        <f>IF($A537&gt;'1-Input'!$B$26,0,(MAX(0,B506-IF($A537&gt;=('1-Input'!$C$12+1),'1-Input'!$B$12,0))-MIN(MAX(F536,0),MAX(0,B506-IF($A537&gt;=('1-Input'!$C$12+1),'1-Input'!$B$12,0))))*(1/(1-'P-Parametri'!$B$6*B537))+MIN(MAX(0,G536-(MAX(0,B506-IF($A537&gt;=('1-Input'!$C$12+1),'1-Input'!$B$12,0))-MIN(MAX(F536,0),MAX(0,B506-IF($A537&gt;=('1-Input'!$C$12+1),'1-Input'!$B$12,0))))*(1/(1-'P-Parametri'!$B$6*B537))),MAX(0,2*B506-(F536-MIN(MAX(F536,0),MAX(0,B506-IF($A537&gt;=('1-Input'!$C$12+1),'1-Input'!$B$12,0)))))*(1/(1-'P-Parametri'!$B$6*B537))))</f>
        <v>6825.8189497220001</v>
      </c>
      <c r="D537" s="18">
        <f>IF($A537&gt;'1-Input'!$B$26,F536,(F536-MAX(0,B506-IF($A537&gt;=('1-Input'!$C$12+1),'1-Input'!$B$12,0))+C537*(1-'P-Parametri'!$B$6*B537))*(1+'1-Input'!$B$27))</f>
        <v>33242.0070309863</v>
      </c>
      <c r="E537" s="18">
        <f>IF($A537&gt;'1-Input'!$B$26,G536,(G536-C537)*(1+'5-Roberta'!$C$4))</f>
        <v>135931.98008016881</v>
      </c>
      <c r="F537" s="18">
        <f>IF($A537&gt;'1-Input'!$B$26,D537,D537-'P-Parametri'!$B$8*(E537+D537)+MIN(MAX(E537,0),'P-Parametri'!$B$8*(E537+D537)))</f>
        <v>33242.0070309863</v>
      </c>
      <c r="G537" s="18">
        <f>IF($A537&gt;'1-Input'!$B$26,E537,E537-MIN(MAX(E537,0),'P-Parametri'!$B$8*(E537+D537)))</f>
        <v>135593.63210594651</v>
      </c>
      <c r="H537" s="18">
        <f>IF($A537&gt;'1-Input'!$B$26,H536,H536-C537*(1-B537))</f>
        <v>48191.090902773358</v>
      </c>
      <c r="I537" s="11">
        <f>IF($A537&gt;'1-Input'!$B$26,0,IF(N536&lt;=0,0,MAX(0,(N536-O536)/N536)))</f>
        <v>0</v>
      </c>
      <c r="J537" s="18">
        <f>IF($A537&gt;'1-Input'!$B$26,0,(MAX(0,I506-IF($A537&gt;=('1-Input'!$C$12+1),'1-Input'!$B$12,0))-MIN(MAX(M536,0),MAX(0,I506-IF($A537&gt;=('1-Input'!$C$12+1),'1-Input'!$B$12,0))))*(1/(1-'P-Parametri'!$B$6*I537))+MIN(MAX(0,N536-(MAX(0,I506-IF($A537&gt;=('1-Input'!$C$12+1),'1-Input'!$B$12,0))-MIN(MAX(M536,0),MAX(0,I506-IF($A537&gt;=('1-Input'!$C$12+1),'1-Input'!$B$12,0))))*(1/(1-'P-Parametri'!$B$6*I537))),MAX(0,2*I506-(M536-MIN(MAX(M536,0),MAX(0,I506-IF($A537&gt;=('1-Input'!$C$12+1),'1-Input'!$B$12,0)))))*(1/(1-'P-Parametri'!$B$6*I537))))</f>
        <v>10846.756992928691</v>
      </c>
      <c r="K537" s="18">
        <f>IF($A537&gt;'1-Input'!$B$26,M536,(M536-MAX(0,I506-IF($A537&gt;=('1-Input'!$C$12+1),'1-Input'!$B$12,0))+J537*(1-'P-Parametri'!$B$6*I537))*(1+'1-Input'!$B$27))</f>
        <v>0</v>
      </c>
      <c r="L537" s="18">
        <f>IF($A537&gt;'1-Input'!$B$26,N536,(N536-J537)*(1+'5-Roberta'!$C$4))</f>
        <v>-77251.179581657561</v>
      </c>
      <c r="M537" s="18">
        <f>IF($A537&gt;'1-Input'!$B$26,K537,K537-'P-Parametri'!$B$8*(L537+K537)+MIN(MAX(L537,0),'P-Parametri'!$B$8*(L537+K537)))</f>
        <v>0</v>
      </c>
      <c r="N537" s="18">
        <f>IF($A537&gt;'1-Input'!$B$26,L537,L537-MIN(MAX(L537,0),'P-Parametri'!$B$8*(L537+K537)))</f>
        <v>-77096.67722249424</v>
      </c>
      <c r="O537" s="18">
        <f>IF($A537&gt;'1-Input'!$B$26,O536,O536-J537*(1-I537))</f>
        <v>-69489.60395061603</v>
      </c>
      <c r="P537" s="11">
        <f>IF($A537&gt;'1-Input'!$B$26,0,IF(U536&lt;=0,0,MAX(0,(U536-V536)/U536)))</f>
        <v>0.6336705474521398</v>
      </c>
      <c r="Q537" s="18">
        <f>IF($A537&gt;'1-Input'!$B$26,0,(MAX(0,P506-IF($A537&gt;=('1-Input'!$C$12+1),'1-Input'!$B$12,0))-MIN(MAX(T536,0),MAX(0,P506-IF($A537&gt;=('1-Input'!$C$12+1),'1-Input'!$B$12,0))))*(1/(1-'P-Parametri'!$B$6*P537))+MIN(MAX(0,U536-(MAX(0,P506-IF($A537&gt;=('1-Input'!$C$12+1),'1-Input'!$B$12,0))-MIN(MAX(T536,0),MAX(0,P506-IF($A537&gt;=('1-Input'!$C$12+1),'1-Input'!$B$12,0))))*(1/(1-'P-Parametri'!$B$6*P537))),MAX(0,2*P506-(T536-MIN(MAX(T536,0),MAX(0,P506-IF($A537&gt;=('1-Input'!$C$12+1),'1-Input'!$B$12,0)))))*(1/(1-'P-Parametri'!$B$6*P537))))</f>
        <v>8269.1225480854428</v>
      </c>
      <c r="R537" s="18">
        <f>IF($A537&gt;'1-Input'!$B$26,T536,(T536-MAX(0,P506-IF($A537&gt;=('1-Input'!$C$12+1),'1-Input'!$B$12,0))+Q537*(1-'P-Parametri'!$B$6*P537))*(1+'1-Input'!$B$27))</f>
        <v>35631.289129554178</v>
      </c>
      <c r="S537" s="18">
        <f>IF($A537&gt;'1-Input'!$B$26,U536,(U536-Q537)*(1+'5-Roberta'!$C$4))</f>
        <v>69168.373654399635</v>
      </c>
      <c r="T537" s="18">
        <f>IF($A537&gt;'1-Input'!$B$26,R537,R537-'P-Parametri'!$B$8*(S537+R537)+MIN(MAX(S537,0),'P-Parametri'!$B$8*(S537+R537)))</f>
        <v>35631.289129554178</v>
      </c>
      <c r="U537" s="18">
        <f>IF($A537&gt;'1-Input'!$B$26,S537,S537-MIN(MAX(S537,0),'P-Parametri'!$B$8*(S537+R537)))</f>
        <v>68958.774328831729</v>
      </c>
      <c r="V537" s="18">
        <f>IF($A537&gt;'1-Input'!$B$26,V536,V536-Q537*(1-P537))</f>
        <v>24600.400441205875</v>
      </c>
      <c r="W537" s="11">
        <f>IF($A537&gt;'1-Input'!$B$26,0,IF(AB536&lt;=0,0,MAX(0,(AB536-AC536)/AB536)))</f>
        <v>0.63387372112222984</v>
      </c>
      <c r="X537" s="18">
        <f>IF($A537&gt;'1-Input'!$B$26,0,(MAX(0,W506-IF($A537&gt;=('1-Input'!$C$12+1),'1-Input'!$B$12,0))-MIN(MAX(AA536,0),MAX(0,W506-IF($A537&gt;=('1-Input'!$C$12+1),'1-Input'!$B$12,0))))*(1/(1-'P-Parametri'!$B$6*W537))+MIN(MAX(0,AB536-(MAX(0,W506-IF($A537&gt;=('1-Input'!$C$12+1),'1-Input'!$B$12,0))-MIN(MAX(AA536,0),MAX(0,W506-IF($A537&gt;=('1-Input'!$C$12+1),'1-Input'!$B$12,0))))*(1/(1-'P-Parametri'!$B$6*W537))),MAX(0,2*W506-(AA536-MIN(MAX(AA536,0),MAX(0,W506-IF($A537&gt;=('1-Input'!$C$12+1),'1-Input'!$B$12,0)))))*(1/(1-'P-Parametri'!$B$6*W537))))</f>
        <v>8090.6783515521602</v>
      </c>
      <c r="Y537" s="18">
        <f>IF($A537&gt;'1-Input'!$B$26,AA536,(AA536-MAX(0,W506-IF($A537&gt;=('1-Input'!$C$12+1),'1-Input'!$B$12,0))+X537*(1-'P-Parametri'!$B$6*W537))*(1+'1-Input'!$B$27))</f>
        <v>35335.550384623006</v>
      </c>
      <c r="Z537" s="18">
        <f>IF($A537&gt;'1-Input'!$B$26,AB536,(AB536-X537)*(1+'5-Roberta'!$C$4))</f>
        <v>77430.790723200102</v>
      </c>
      <c r="AA537" s="18">
        <f>IF($A537&gt;'1-Input'!$B$26,Y537,Y537-'P-Parametri'!$B$8*(Z537+Y537)+MIN(MAX(Z537,0),'P-Parametri'!$B$8*(Z537+Y537)))</f>
        <v>35335.550384623006</v>
      </c>
      <c r="AB537" s="18">
        <f>IF($A537&gt;'1-Input'!$B$26,Z537,Z537-MIN(MAX(Z537,0),'P-Parametri'!$B$8*(Z537+Y537)))</f>
        <v>77205.258040984452</v>
      </c>
      <c r="AC537" s="18">
        <f>IF($A537&gt;'1-Input'!$B$26,AC536,AC536-X537*(1-W537))</f>
        <v>27523.735221406423</v>
      </c>
      <c r="AD537" s="11">
        <f>IF($A537&gt;'1-Input'!$B$26,0,IF(AI536&lt;=0,0,MAX(0,(AI536-AJ536)/AI536)))</f>
        <v>0.63388884027715775</v>
      </c>
      <c r="AE537" s="18">
        <f>IF($A537&gt;'1-Input'!$B$26,0,(MAX(0,AD506-IF($A537&gt;=('1-Input'!$C$12+1),'1-Input'!$B$12,0))-MIN(MAX(AH536,0),MAX(0,AD506-IF($A537&gt;=('1-Input'!$C$12+1),'1-Input'!$B$12,0))))*(1/(1-'P-Parametri'!$B$6*AD537))+MIN(MAX(0,AI536-(MAX(0,AD506-IF($A537&gt;=('1-Input'!$C$12+1),'1-Input'!$B$12,0))-MIN(MAX(AH536,0),MAX(0,AD506-IF($A537&gt;=('1-Input'!$C$12+1),'1-Input'!$B$12,0))))*(1/(1-'P-Parametri'!$B$6*AD537))),MAX(0,2*AD506-(AH536-MIN(MAX(AH536,0),MAX(0,AD506-IF($A537&gt;=('1-Input'!$C$12+1),'1-Input'!$B$12,0)))))*(1/(1-'P-Parametri'!$B$6*AD537))))</f>
        <v>8076.4661573309031</v>
      </c>
      <c r="AF537" s="18">
        <f>IF($A537&gt;'1-Input'!$B$26,AH536,(AH536-MAX(0,AD506-IF($A537&gt;=('1-Input'!$C$12+1),'1-Input'!$B$12,0))+AE537*(1-'P-Parametri'!$B$6*AD537))*(1+'1-Input'!$B$27))</f>
        <v>35312.002280650035</v>
      </c>
      <c r="AG537" s="18">
        <f>IF($A537&gt;'1-Input'!$B$26,AI536,(AI536-AE537)*(1+'5-Roberta'!$C$4))</f>
        <v>78088.704567859677</v>
      </c>
      <c r="AH537" s="18">
        <f>IF($A537&gt;'1-Input'!$B$26,AF537,AF537-'P-Parametri'!$B$8*(AG537+AF537)+MIN(MAX(AG537,0),'P-Parametri'!$B$8*(AG537+AF537)))</f>
        <v>35312.002280650035</v>
      </c>
      <c r="AI537" s="18">
        <f>IF($A537&gt;'1-Input'!$B$26,AG537,AG537-MIN(MAX(AG537,0),'P-Parametri'!$B$8*(AG537+AF537)))</f>
        <v>77861.903154162661</v>
      </c>
      <c r="AJ537" s="18">
        <f>IF($A537&gt;'1-Input'!$B$26,AJ536,AJ536-AE537*(1-AD537))</f>
        <v>27756.452612226709</v>
      </c>
      <c r="AK537" s="11">
        <f>IF($A537&gt;'1-Input'!$B$26,0,IF(AP536&lt;=0,0,MAX(0,(AP536-AQ536)/AP536)))</f>
        <v>0.63388882765998089</v>
      </c>
      <c r="AL537" s="18">
        <f>IF($A537&gt;'1-Input'!$B$26,0,(MAX(0,AK506-IF($A537&gt;=('1-Input'!$C$12+1),'1-Input'!$B$12,0))-MIN(MAX(AO536,0),MAX(0,AK506-IF($A537&gt;=('1-Input'!$C$12+1),'1-Input'!$B$12,0))))*(1/(1-'P-Parametri'!$B$6*AK537))+MIN(MAX(0,AP536-(MAX(0,AK506-IF($A537&gt;=('1-Input'!$C$12+1),'1-Input'!$B$12,0))-MIN(MAX(AO536,0),MAX(0,AK506-IF($A537&gt;=('1-Input'!$C$12+1),'1-Input'!$B$12,0))))*(1/(1-'P-Parametri'!$B$6*AK537))),MAX(0,2*AK506-(AO536-MIN(MAX(AO536,0),MAX(0,AK506-IF($A537&gt;=('1-Input'!$C$12+1),'1-Input'!$B$12,0)))))*(1/(1-'P-Parametri'!$B$6*AK537))))</f>
        <v>8076.4780744995196</v>
      </c>
      <c r="AM537" s="18">
        <f>IF($A537&gt;'1-Input'!$B$26,AO536,(AO536-MAX(0,AK506-IF($A537&gt;=('1-Input'!$C$12+1),'1-Input'!$B$12,0))+AL537*(1-'P-Parametri'!$B$6*AK537))*(1+'1-Input'!$B$27))</f>
        <v>35312.022025795173</v>
      </c>
      <c r="AN537" s="18">
        <f>IF($A537&gt;'1-Input'!$B$26,AP536,(AP536-AL537)*(1+'5-Roberta'!$C$4))</f>
        <v>78088.152904158094</v>
      </c>
      <c r="AO537" s="18">
        <f>IF($A537&gt;'1-Input'!$B$26,AM537,AM537-'P-Parametri'!$B$8*(AN537+AM537)+MIN(MAX(AN537,0),'P-Parametri'!$B$8*(AN537+AM537)))</f>
        <v>35312.022025795173</v>
      </c>
      <c r="AP537" s="18">
        <f>IF($A537&gt;'1-Input'!$B$26,AN537,AN537-MIN(MAX(AN537,0),'P-Parametri'!$B$8*(AN537+AM537)))</f>
        <v>77861.352554298181</v>
      </c>
      <c r="AQ537" s="18">
        <f>IF($A537&gt;'1-Input'!$B$26,AQ536,AQ536-AL537*(1-AK537))</f>
        <v>27756.257481172808</v>
      </c>
    </row>
    <row r="538" spans="1:43">
      <c r="A538" s="10">
        <f>30</f>
        <v>30</v>
      </c>
      <c r="B538" s="11">
        <f>IF($A538&gt;'1-Input'!$B$26,0,IF(G537&lt;=0,0,MAX(0,(G537-H537)/G537)))</f>
        <v>0.64459178388909077</v>
      </c>
      <c r="C538" s="18">
        <f>IF($A538&gt;'1-Input'!$B$26,0,(MAX(0,B506-IF($A538&gt;=('1-Input'!$C$12+1),'1-Input'!$B$12,0))-MIN(MAX(F537,0),MAX(0,B506-IF($A538&gt;=('1-Input'!$C$12+1),'1-Input'!$B$12,0))))*(1/(1-'P-Parametri'!$B$6*B538))+MIN(MAX(0,G537-(MAX(0,B506-IF($A538&gt;=('1-Input'!$C$12+1),'1-Input'!$B$12,0))-MIN(MAX(F537,0),MAX(0,B506-IF($A538&gt;=('1-Input'!$C$12+1),'1-Input'!$B$12,0))))*(1/(1-'P-Parametri'!$B$6*B538))),MAX(0,2*B506-(F537-MIN(MAX(F537,0),MAX(0,B506-IF($A538&gt;=('1-Input'!$C$12+1),'1-Input'!$B$12,0)))))*(1/(1-'P-Parametri'!$B$6*B538))))</f>
        <v>6846.6084824706513</v>
      </c>
      <c r="D538" s="18">
        <f>IF($A538&gt;'1-Input'!$B$26,F537,(F537-MAX(0,B506-IF($A538&gt;=('1-Input'!$C$12+1),'1-Input'!$B$12,0))+C538*(1-'P-Parametri'!$B$6*B538))*(1+'1-Input'!$B$27))</f>
        <v>33242.0070309863</v>
      </c>
      <c r="E538" s="18">
        <f>IF($A538&gt;'1-Input'!$B$26,G537,(G537-C538)*(1+'5-Roberta'!$C$4))</f>
        <v>132609.43433218013</v>
      </c>
      <c r="F538" s="18">
        <f>IF($A538&gt;'1-Input'!$B$26,D538,D538-'P-Parametri'!$B$8*(E538+D538)+MIN(MAX(E538,0),'P-Parametri'!$B$8*(E538+D538)))</f>
        <v>33242.0070309863</v>
      </c>
      <c r="G538" s="18">
        <f>IF($A538&gt;'1-Input'!$B$26,E538,E538-MIN(MAX(E538,0),'P-Parametri'!$B$8*(E538+D538)))</f>
        <v>132277.7314494538</v>
      </c>
      <c r="H538" s="18">
        <f>IF($A538&gt;'1-Input'!$B$26,H537,H537-C538*(1-B538))</f>
        <v>45757.749995608647</v>
      </c>
      <c r="I538" s="11">
        <f>IF($A538&gt;'1-Input'!$B$26,0,IF(N537&lt;=0,0,MAX(0,(N537-O537)/N537)))</f>
        <v>0</v>
      </c>
      <c r="J538" s="18">
        <f>IF($A538&gt;'1-Input'!$B$26,0,(MAX(0,I506-IF($A538&gt;=('1-Input'!$C$12+1),'1-Input'!$B$12,0))-MIN(MAX(M537,0),MAX(0,I506-IF($A538&gt;=('1-Input'!$C$12+1),'1-Input'!$B$12,0))))*(1/(1-'P-Parametri'!$B$6*I538))+MIN(MAX(0,N537-(MAX(0,I506-IF($A538&gt;=('1-Input'!$C$12+1),'1-Input'!$B$12,0))-MIN(MAX(M537,0),MAX(0,I506-IF($A538&gt;=('1-Input'!$C$12+1),'1-Input'!$B$12,0))))*(1/(1-'P-Parametri'!$B$6*I538))),MAX(0,2*I506-(M537-MIN(MAX(M537,0),MAX(0,I506-IF($A538&gt;=('1-Input'!$C$12+1),'1-Input'!$B$12,0)))))*(1/(1-'P-Parametri'!$B$6*I538))))</f>
        <v>10846.756992928691</v>
      </c>
      <c r="K538" s="18">
        <f>IF($A538&gt;'1-Input'!$B$26,M537,(M537-MAX(0,I506-IF($A538&gt;=('1-Input'!$C$12+1),'1-Input'!$B$12,0))+J538*(1-'P-Parametri'!$B$6*I538))*(1+'1-Input'!$B$27))</f>
        <v>0</v>
      </c>
      <c r="L538" s="18">
        <f>IF($A538&gt;'1-Input'!$B$26,N537,(N537-J538)*(1+'5-Roberta'!$C$4))</f>
        <v>-90581.73724188561</v>
      </c>
      <c r="M538" s="18">
        <f>IF($A538&gt;'1-Input'!$B$26,K538,K538-'P-Parametri'!$B$8*(L538+K538)+MIN(MAX(L538,0),'P-Parametri'!$B$8*(L538+K538)))</f>
        <v>0</v>
      </c>
      <c r="N538" s="18">
        <f>IF($A538&gt;'1-Input'!$B$26,L538,L538-MIN(MAX(L538,0),'P-Parametri'!$B$8*(L538+K538)))</f>
        <v>-90400.573767401846</v>
      </c>
      <c r="O538" s="18">
        <f>IF($A538&gt;'1-Input'!$B$26,O537,O537-J538*(1-I538))</f>
        <v>-80336.360943544714</v>
      </c>
      <c r="P538" s="11">
        <f>IF($A538&gt;'1-Input'!$B$26,0,IF(U537&lt;=0,0,MAX(0,(U537-V537)/U537)))</f>
        <v>0.64325931426944716</v>
      </c>
      <c r="Q538" s="18">
        <f>IF($A538&gt;'1-Input'!$B$26,0,(MAX(0,P506-IF($A538&gt;=('1-Input'!$C$12+1),'1-Input'!$B$12,0))-MIN(MAX(T537,0),MAX(0,P506-IF($A538&gt;=('1-Input'!$C$12+1),'1-Input'!$B$12,0))))*(1/(1-'P-Parametri'!$B$6*P538))+MIN(MAX(0,U537-(MAX(0,P506-IF($A538&gt;=('1-Input'!$C$12+1),'1-Input'!$B$12,0))-MIN(MAX(T537,0),MAX(0,P506-IF($A538&gt;=('1-Input'!$C$12+1),'1-Input'!$B$12,0))))*(1/(1-'P-Parametri'!$B$6*P538))),MAX(0,2*P506-(T537-MIN(MAX(T537,0),MAX(0,P506-IF($A538&gt;=('1-Input'!$C$12+1),'1-Input'!$B$12,0)))))*(1/(1-'P-Parametri'!$B$6*P538))))</f>
        <v>8293.8784952788337</v>
      </c>
      <c r="R538" s="18">
        <f>IF($A538&gt;'1-Input'!$B$26,T537,(T537-MAX(0,P506-IF($A538&gt;=('1-Input'!$C$12+1),'1-Input'!$B$12,0))+Q538*(1-'P-Parametri'!$B$6*P538))*(1+'1-Input'!$B$27))</f>
        <v>35631.289129554178</v>
      </c>
      <c r="S538" s="18">
        <f>IF($A538&gt;'1-Input'!$B$26,U537,(U537-Q538)*(1+'5-Roberta'!$C$4))</f>
        <v>62484.842708559481</v>
      </c>
      <c r="T538" s="18">
        <f>IF($A538&gt;'1-Input'!$B$26,R538,R538-'P-Parametri'!$B$8*(S538+R538)+MIN(MAX(S538,0),'P-Parametri'!$B$8*(S538+R538)))</f>
        <v>35631.289129554178</v>
      </c>
      <c r="U538" s="18">
        <f>IF($A538&gt;'1-Input'!$B$26,S538,S538-MIN(MAX(S538,0),'P-Parametri'!$B$8*(S538+R538)))</f>
        <v>62288.610444883256</v>
      </c>
      <c r="V538" s="18">
        <f>IF($A538&gt;'1-Input'!$B$26,V537,V537-Q538*(1-P538))</f>
        <v>21641.636539434217</v>
      </c>
      <c r="W538" s="11">
        <f>IF($A538&gt;'1-Input'!$B$26,0,IF(AB537&lt;=0,0,MAX(0,(AB537-AC537)/AB537)))</f>
        <v>0.64349921339819327</v>
      </c>
      <c r="X538" s="18">
        <f>IF($A538&gt;'1-Input'!$B$26,0,(MAX(0,W506-IF($A538&gt;=('1-Input'!$C$12+1),'1-Input'!$B$12,0))-MIN(MAX(AA537,0),MAX(0,W506-IF($A538&gt;=('1-Input'!$C$12+1),'1-Input'!$B$12,0))))*(1/(1-'P-Parametri'!$B$6*W538))+MIN(MAX(0,AB537-(MAX(0,W506-IF($A538&gt;=('1-Input'!$C$12+1),'1-Input'!$B$12,0))-MIN(MAX(AA537,0),MAX(0,W506-IF($A538&gt;=('1-Input'!$C$12+1),'1-Input'!$B$12,0))))*(1/(1-'P-Parametri'!$B$6*W538))),MAX(0,2*W506-(AA537-MIN(MAX(AA537,0),MAX(0,W506-IF($A538&gt;=('1-Input'!$C$12+1),'1-Input'!$B$12,0)))))*(1/(1-'P-Parametri'!$B$6*W538))))</f>
        <v>8114.9946675181964</v>
      </c>
      <c r="Y538" s="18">
        <f>IF($A538&gt;'1-Input'!$B$26,AA537,(AA537-MAX(0,W506-IF($A538&gt;=('1-Input'!$C$12+1),'1-Input'!$B$12,0))+X538*(1-'P-Parametri'!$B$6*W538))*(1+'1-Input'!$B$27))</f>
        <v>35335.550384623006</v>
      </c>
      <c r="Z538" s="18">
        <f>IF($A538&gt;'1-Input'!$B$26,AB537,(AB537-X538)*(1+'5-Roberta'!$C$4))</f>
        <v>71162.971274670243</v>
      </c>
      <c r="AA538" s="18">
        <f>IF($A538&gt;'1-Input'!$B$26,Y538,Y538-'P-Parametri'!$B$8*(Z538+Y538)+MIN(MAX(Z538,0),'P-Parametri'!$B$8*(Z538+Y538)))</f>
        <v>35335.550384623006</v>
      </c>
      <c r="AB538" s="18">
        <f>IF($A538&gt;'1-Input'!$B$26,Z538,Z538-MIN(MAX(Z538,0),'P-Parametri'!$B$8*(Z538+Y538)))</f>
        <v>70949.974231351662</v>
      </c>
      <c r="AC538" s="18">
        <f>IF($A538&gt;'1-Input'!$B$26,AC537,AC537-X538*(1-W538))</f>
        <v>24630.733239166719</v>
      </c>
      <c r="AD538" s="11">
        <f>IF($A538&gt;'1-Input'!$B$26,0,IF(AI537&lt;=0,0,MAX(0,(AI537-AJ537)/AI537)))</f>
        <v>0.64351689994951278</v>
      </c>
      <c r="AE538" s="18">
        <f>IF($A538&gt;'1-Input'!$B$26,0,(MAX(0,AD506-IF($A538&gt;=('1-Input'!$C$12+1),'1-Input'!$B$12,0))-MIN(MAX(AH537,0),MAX(0,AD506-IF($A538&gt;=('1-Input'!$C$12+1),'1-Input'!$B$12,0))))*(1/(1-'P-Parametri'!$B$6*AD538))+MIN(MAX(0,AI537-(MAX(0,AD506-IF($A538&gt;=('1-Input'!$C$12+1),'1-Input'!$B$12,0))-MIN(MAX(AH537,0),MAX(0,AD506-IF($A538&gt;=('1-Input'!$C$12+1),'1-Input'!$B$12,0))))*(1/(1-'P-Parametri'!$B$6*AD538))),MAX(0,2*AD506-(AH537-MIN(MAX(AH537,0),MAX(0,AD506-IF($A538&gt;=('1-Input'!$C$12+1),'1-Input'!$B$12,0)))))*(1/(1-'P-Parametri'!$B$6*AD538))))</f>
        <v>8100.7463674860683</v>
      </c>
      <c r="AF538" s="18">
        <f>IF($A538&gt;'1-Input'!$B$26,AH537,(AH537-MAX(0,AD506-IF($A538&gt;=('1-Input'!$C$12+1),'1-Input'!$B$12,0))+AE538*(1-'P-Parametri'!$B$6*AD538))*(1+'1-Input'!$B$27))</f>
        <v>35312.002280650035</v>
      </c>
      <c r="AG538" s="18">
        <f>IF($A538&gt;'1-Input'!$B$26,AI537,(AI537-AE538)*(1+'5-Roberta'!$C$4))</f>
        <v>71853.991490276894</v>
      </c>
      <c r="AH538" s="18">
        <f>IF($A538&gt;'1-Input'!$B$26,AF538,AF538-'P-Parametri'!$B$8*(AG538+AF538)+MIN(MAX(AG538,0),'P-Parametri'!$B$8*(AG538+AF538)))</f>
        <v>35312.002280650035</v>
      </c>
      <c r="AI538" s="18">
        <f>IF($A538&gt;'1-Input'!$B$26,AG538,AG538-MIN(MAX(AG538,0),'P-Parametri'!$B$8*(AG538+AF538)))</f>
        <v>71639.659502735041</v>
      </c>
      <c r="AJ538" s="18">
        <f>IF($A538&gt;'1-Input'!$B$26,AJ537,AJ537-AE538*(1-AD538))</f>
        <v>24868.673434422552</v>
      </c>
      <c r="AK538" s="11">
        <f>IF($A538&gt;'1-Input'!$B$26,0,IF(AP537&lt;=0,0,MAX(0,(AP537-AQ537)/AP537)))</f>
        <v>0.64351688519902828</v>
      </c>
      <c r="AL538" s="18">
        <f>IF($A538&gt;'1-Input'!$B$26,0,(MAX(0,AK506-IF($A538&gt;=('1-Input'!$C$12+1),'1-Input'!$B$12,0))-MIN(MAX(AO537,0),MAX(0,AK506-IF($A538&gt;=('1-Input'!$C$12+1),'1-Input'!$B$12,0))))*(1/(1-'P-Parametri'!$B$6*AK538))+MIN(MAX(0,AP537-(MAX(0,AK506-IF($A538&gt;=('1-Input'!$C$12+1),'1-Input'!$B$12,0))-MIN(MAX(AO537,0),MAX(0,AK506-IF($A538&gt;=('1-Input'!$C$12+1),'1-Input'!$B$12,0))))*(1/(1-'P-Parametri'!$B$6*AK538))),MAX(0,2*AK506-(AO537-MIN(MAX(AO537,0),MAX(0,AK506-IF($A538&gt;=('1-Input'!$C$12+1),'1-Input'!$B$12,0)))))*(1/(1-'P-Parametri'!$B$6*AK538))))</f>
        <v>8100.7583149895145</v>
      </c>
      <c r="AM538" s="18">
        <f>IF($A538&gt;'1-Input'!$B$26,AO537,(AO537-MAX(0,AK506-IF($A538&gt;=('1-Input'!$C$12+1),'1-Input'!$B$12,0))+AL538*(1-'P-Parametri'!$B$6*AK538))*(1+'1-Input'!$B$27))</f>
        <v>35312.022025795173</v>
      </c>
      <c r="AN538" s="18">
        <f>IF($A538&gt;'1-Input'!$B$26,AP537,(AP537-AL538)*(1+'5-Roberta'!$C$4))</f>
        <v>71853.41206648793</v>
      </c>
      <c r="AO538" s="18">
        <f>IF($A538&gt;'1-Input'!$B$26,AM538,AM538-'P-Parametri'!$B$8*(AN538+AM538)+MIN(MAX(AN538,0),'P-Parametri'!$B$8*(AN538+AM538)))</f>
        <v>35312.022025795173</v>
      </c>
      <c r="AP538" s="18">
        <f>IF($A538&gt;'1-Input'!$B$26,AN538,AN538-MIN(MAX(AN538,0),'P-Parametri'!$B$8*(AN538+AM538)))</f>
        <v>71639.081198303364</v>
      </c>
      <c r="AQ538" s="18">
        <f>IF($A538&gt;'1-Input'!$B$26,AQ537,AQ537-AL538*(1-AK538))</f>
        <v>24868.473924795475</v>
      </c>
    </row>
    <row r="539" spans="1:43">
      <c r="A539" s="10">
        <f>31</f>
        <v>31</v>
      </c>
      <c r="B539" s="11">
        <f>IF($A539&gt;'1-Input'!$B$26,0,IF(G538&lt;=0,0,MAX(0,(G538-H538)/G538)))</f>
        <v>0.65407820731266719</v>
      </c>
      <c r="C539" s="18">
        <f>IF($A539&gt;'1-Input'!$B$26,0,(MAX(0,B506-IF($A539&gt;=('1-Input'!$C$12+1),'1-Input'!$B$12,0))-MIN(MAX(F538,0),MAX(0,B506-IF($A539&gt;=('1-Input'!$C$12+1),'1-Input'!$B$12,0))))*(1/(1-'P-Parametri'!$B$6*B539))+MIN(MAX(0,G538-(MAX(0,B506-IF($A539&gt;=('1-Input'!$C$12+1),'1-Input'!$B$12,0))-MIN(MAX(F538,0),MAX(0,B506-IF($A539&gt;=('1-Input'!$C$12+1),'1-Input'!$B$12,0))))*(1/(1-'P-Parametri'!$B$6*B539))),MAX(0,2*B506-(F538-MIN(MAX(F538,0),MAX(0,B506-IF($A539&gt;=('1-Input'!$C$12+1),'1-Input'!$B$12,0)))))*(1/(1-'P-Parametri'!$B$6*B539))))</f>
        <v>6866.9556905035242</v>
      </c>
      <c r="D539" s="18">
        <f>IF($A539&gt;'1-Input'!$B$26,F538,(F538-MAX(0,B506-IF($A539&gt;=('1-Input'!$C$12+1),'1-Input'!$B$12,0))+C539*(1-'P-Parametri'!$B$6*B539))*(1+'1-Input'!$B$27))</f>
        <v>33242.0070309863</v>
      </c>
      <c r="E539" s="18">
        <f>IF($A539&gt;'1-Input'!$B$26,G538,(G538-C539)*(1+'5-Roberta'!$C$4))</f>
        <v>129173.09903171878</v>
      </c>
      <c r="F539" s="18">
        <f>IF($A539&gt;'1-Input'!$B$26,D539,D539-'P-Parametri'!$B$8*(E539+D539)+MIN(MAX(E539,0),'P-Parametri'!$B$8*(E539+D539)))</f>
        <v>33242.0070309863</v>
      </c>
      <c r="G539" s="18">
        <f>IF($A539&gt;'1-Input'!$B$26,E539,E539-MIN(MAX(E539,0),'P-Parametri'!$B$8*(E539+D539)))</f>
        <v>128848.26881959337</v>
      </c>
      <c r="H539" s="18">
        <f>IF($A539&gt;'1-Input'!$B$26,H538,H538-C539*(1-B539))</f>
        <v>43382.320372845184</v>
      </c>
      <c r="I539" s="11">
        <f>IF($A539&gt;'1-Input'!$B$26,0,IF(N538&lt;=0,0,MAX(0,(N538-O538)/N538)))</f>
        <v>0</v>
      </c>
      <c r="J539" s="18">
        <f>IF($A539&gt;'1-Input'!$B$26,0,(MAX(0,I506-IF($A539&gt;=('1-Input'!$C$12+1),'1-Input'!$B$12,0))-MIN(MAX(M538,0),MAX(0,I506-IF($A539&gt;=('1-Input'!$C$12+1),'1-Input'!$B$12,0))))*(1/(1-'P-Parametri'!$B$6*I539))+MIN(MAX(0,N538-(MAX(0,I506-IF($A539&gt;=('1-Input'!$C$12+1),'1-Input'!$B$12,0))-MIN(MAX(M538,0),MAX(0,I506-IF($A539&gt;=('1-Input'!$C$12+1),'1-Input'!$B$12,0))))*(1/(1-'P-Parametri'!$B$6*I539))),MAX(0,2*I506-(M538-MIN(MAX(M538,0),MAX(0,I506-IF($A539&gt;=('1-Input'!$C$12+1),'1-Input'!$B$12,0)))))*(1/(1-'P-Parametri'!$B$6*I539))))</f>
        <v>10846.756992928691</v>
      </c>
      <c r="K539" s="18">
        <f>IF($A539&gt;'1-Input'!$B$26,M538,(M538-MAX(0,I506-IF($A539&gt;=('1-Input'!$C$12+1),'1-Input'!$B$12,0))+J539*(1-'P-Parametri'!$B$6*I539))*(1+'1-Input'!$B$27))</f>
        <v>0</v>
      </c>
      <c r="L539" s="18">
        <f>IF($A539&gt;'1-Input'!$B$26,N538,(N538-J539)*(1+'5-Roberta'!$C$4))</f>
        <v>-104284.75068314046</v>
      </c>
      <c r="M539" s="18">
        <f>IF($A539&gt;'1-Input'!$B$26,K539,K539-'P-Parametri'!$B$8*(L539+K539)+MIN(MAX(L539,0),'P-Parametri'!$B$8*(L539+K539)))</f>
        <v>0</v>
      </c>
      <c r="N539" s="18">
        <f>IF($A539&gt;'1-Input'!$B$26,L539,L539-MIN(MAX(L539,0),'P-Parametri'!$B$8*(L539+K539)))</f>
        <v>-104076.18118177418</v>
      </c>
      <c r="O539" s="18">
        <f>IF($A539&gt;'1-Input'!$B$26,O538,O538-J539*(1-I539))</f>
        <v>-91183.117936473398</v>
      </c>
      <c r="P539" s="11">
        <f>IF($A539&gt;'1-Input'!$B$26,0,IF(U538&lt;=0,0,MAX(0,(U538-V538)/U538)))</f>
        <v>0.65255868793888006</v>
      </c>
      <c r="Q539" s="18">
        <f>IF($A539&gt;'1-Input'!$B$26,0,(MAX(0,P506-IF($A539&gt;=('1-Input'!$C$12+1),'1-Input'!$B$12,0))-MIN(MAX(T538,0),MAX(0,P506-IF($A539&gt;=('1-Input'!$C$12+1),'1-Input'!$B$12,0))))*(1/(1-'P-Parametri'!$B$6*P539))+MIN(MAX(0,U538-(MAX(0,P506-IF($A539&gt;=('1-Input'!$C$12+1),'1-Input'!$B$12,0))-MIN(MAX(T538,0),MAX(0,P506-IF($A539&gt;=('1-Input'!$C$12+1),'1-Input'!$B$12,0))))*(1/(1-'P-Parametri'!$B$6*P539))),MAX(0,2*P506-(T538-MIN(MAX(T538,0),MAX(0,P506-IF($A539&gt;=('1-Input'!$C$12+1),'1-Input'!$B$12,0)))))*(1/(1-'P-Parametri'!$B$6*P539))))</f>
        <v>8318.0292944488774</v>
      </c>
      <c r="R539" s="18">
        <f>IF($A539&gt;'1-Input'!$B$26,T538,(T538-MAX(0,P506-IF($A539&gt;=('1-Input'!$C$12+1),'1-Input'!$B$12,0))+Q539*(1-'P-Parametri'!$B$6*P539))*(1+'1-Input'!$B$27))</f>
        <v>35631.289129554178</v>
      </c>
      <c r="S539" s="18">
        <f>IF($A539&gt;'1-Input'!$B$26,U538,(U538-Q539)*(1+'5-Roberta'!$C$4))</f>
        <v>55589.698584947415</v>
      </c>
      <c r="T539" s="18">
        <f>IF($A539&gt;'1-Input'!$B$26,R539,R539-'P-Parametri'!$B$8*(S539+R539)+MIN(MAX(S539,0),'P-Parametri'!$B$8*(S539+R539)))</f>
        <v>35631.289129554178</v>
      </c>
      <c r="U539" s="18">
        <f>IF($A539&gt;'1-Input'!$B$26,S539,S539-MIN(MAX(S539,0),'P-Parametri'!$B$8*(S539+R539)))</f>
        <v>55407.256609518408</v>
      </c>
      <c r="V539" s="18">
        <f>IF($A539&gt;'1-Input'!$B$26,V538,V538-Q539*(1-P539))</f>
        <v>18751.609527608067</v>
      </c>
      <c r="W539" s="11">
        <f>IF($A539&gt;'1-Input'!$B$26,0,IF(AB538&lt;=0,0,MAX(0,(AB538-AC538)/AB538)))</f>
        <v>0.65284366194621124</v>
      </c>
      <c r="X539" s="18">
        <f>IF($A539&gt;'1-Input'!$B$26,0,(MAX(0,W506-IF($A539&gt;=('1-Input'!$C$12+1),'1-Input'!$B$12,0))-MIN(MAX(AA538,0),MAX(0,W506-IF($A539&gt;=('1-Input'!$C$12+1),'1-Input'!$B$12,0))))*(1/(1-'P-Parametri'!$B$6*W539))+MIN(MAX(0,AB538-(MAX(0,W506-IF($A539&gt;=('1-Input'!$C$12+1),'1-Input'!$B$12,0))-MIN(MAX(AA538,0),MAX(0,W506-IF($A539&gt;=('1-Input'!$C$12+1),'1-Input'!$B$12,0))))*(1/(1-'P-Parametri'!$B$6*W539))),MAX(0,2*W506-(AA538-MIN(MAX(AA538,0),MAX(0,W506-IF($A539&gt;=('1-Input'!$C$12+1),'1-Input'!$B$12,0)))))*(1/(1-'P-Parametri'!$B$6*W539))))</f>
        <v>8138.7412332333197</v>
      </c>
      <c r="Y539" s="18">
        <f>IF($A539&gt;'1-Input'!$B$26,AA538,(AA538-MAX(0,W506-IF($A539&gt;=('1-Input'!$C$12+1),'1-Input'!$B$12,0))+X539*(1-'P-Parametri'!$B$6*W539))*(1+'1-Input'!$B$27))</f>
        <v>35335.550384623006</v>
      </c>
      <c r="Z539" s="18">
        <f>IF($A539&gt;'1-Input'!$B$26,AB538,(AB538-X539)*(1+'5-Roberta'!$C$4))</f>
        <v>64695.569988061892</v>
      </c>
      <c r="AA539" s="18">
        <f>IF($A539&gt;'1-Input'!$B$26,Y539,Y539-'P-Parametri'!$B$8*(Z539+Y539)+MIN(MAX(Z539,0),'P-Parametri'!$B$8*(Z539+Y539)))</f>
        <v>35335.550384623006</v>
      </c>
      <c r="AB539" s="18">
        <f>IF($A539&gt;'1-Input'!$B$26,Z539,Z539-MIN(MAX(Z539,0),'P-Parametri'!$B$8*(Z539+Y539)))</f>
        <v>64495.507747316522</v>
      </c>
      <c r="AC539" s="18">
        <f>IF($A539&gt;'1-Input'!$B$26,AC538,AC538-X539*(1-W539))</f>
        <v>21805.317636270061</v>
      </c>
      <c r="AD539" s="11">
        <f>IF($A539&gt;'1-Input'!$B$26,0,IF(AI538&lt;=0,0,MAX(0,(AI538-AJ538)/AI538)))</f>
        <v>0.65286443839849451</v>
      </c>
      <c r="AE539" s="18">
        <f>IF($A539&gt;'1-Input'!$B$26,0,(MAX(0,AD506-IF($A539&gt;=('1-Input'!$C$12+1),'1-Input'!$B$12,0))-MIN(MAX(AH538,0),MAX(0,AD506-IF($A539&gt;=('1-Input'!$C$12+1),'1-Input'!$B$12,0))))*(1/(1-'P-Parametri'!$B$6*AD539))+MIN(MAX(0,AI538-(MAX(0,AD506-IF($A539&gt;=('1-Input'!$C$12+1),'1-Input'!$B$12,0))-MIN(MAX(AH538,0),MAX(0,AD506-IF($A539&gt;=('1-Input'!$C$12+1),'1-Input'!$B$12,0))))*(1/(1-'P-Parametri'!$B$6*AD539))),MAX(0,2*AD506-(AH538-MIN(MAX(AH538,0),MAX(0,AD506-IF($A539&gt;=('1-Input'!$C$12+1),'1-Input'!$B$12,0)))))*(1/(1-'P-Parametri'!$B$6*AD539))))</f>
        <v>8124.4592317042698</v>
      </c>
      <c r="AF539" s="18">
        <f>IF($A539&gt;'1-Input'!$B$26,AH538,(AH538-MAX(0,AD506-IF($A539&gt;=('1-Input'!$C$12+1),'1-Input'!$B$12,0))+AE539*(1-'P-Parametri'!$B$6*AD539))*(1+'1-Input'!$B$27))</f>
        <v>35312.002280650035</v>
      </c>
      <c r="AG539" s="18">
        <f>IF($A539&gt;'1-Input'!$B$26,AI538,(AI538-AE539)*(1+'5-Roberta'!$C$4))</f>
        <v>65420.656279161696</v>
      </c>
      <c r="AH539" s="18">
        <f>IF($A539&gt;'1-Input'!$B$26,AF539,AF539-'P-Parametri'!$B$8*(AG539+AF539)+MIN(MAX(AG539,0),'P-Parametri'!$B$8*(AG539+AF539)))</f>
        <v>35312.002280650035</v>
      </c>
      <c r="AI539" s="18">
        <f>IF($A539&gt;'1-Input'!$B$26,AG539,AG539-MIN(MAX(AG539,0),'P-Parametri'!$B$8*(AG539+AF539)))</f>
        <v>65219.19096204207</v>
      </c>
      <c r="AJ539" s="18">
        <f>IF($A539&gt;'1-Input'!$B$26,AJ538,AJ538-AE539*(1-AD539))</f>
        <v>22048.384716316355</v>
      </c>
      <c r="AK539" s="11">
        <f>IF($A539&gt;'1-Input'!$B$26,0,IF(AP538&lt;=0,0,MAX(0,(AP538-AQ538)/AP538)))</f>
        <v>0.65286442108383103</v>
      </c>
      <c r="AL539" s="18">
        <f>IF($A539&gt;'1-Input'!$B$26,0,(MAX(0,AK506-IF($A539&gt;=('1-Input'!$C$12+1),'1-Input'!$B$12,0))-MIN(MAX(AO538,0),MAX(0,AK506-IF($A539&gt;=('1-Input'!$C$12+1),'1-Input'!$B$12,0))))*(1/(1-'P-Parametri'!$B$6*AK539))+MIN(MAX(0,AP538-(MAX(0,AK506-IF($A539&gt;=('1-Input'!$C$12+1),'1-Input'!$B$12,0))-MIN(MAX(AO538,0),MAX(0,AK506-IF($A539&gt;=('1-Input'!$C$12+1),'1-Input'!$B$12,0))))*(1/(1-'P-Parametri'!$B$6*AK539))),MAX(0,2*AK506-(AO538-MIN(MAX(AO538,0),MAX(0,AK506-IF($A539&gt;=('1-Input'!$C$12+1),'1-Input'!$B$12,0)))))*(1/(1-'P-Parametri'!$B$6*AK539))))</f>
        <v>8124.4712075475773</v>
      </c>
      <c r="AM539" s="18">
        <f>IF($A539&gt;'1-Input'!$B$26,AO538,(AO538-MAX(0,AK506-IF($A539&gt;=('1-Input'!$C$12+1),'1-Input'!$B$12,0))+AL539*(1-'P-Parametri'!$B$6*AK539))*(1+'1-Input'!$B$27))</f>
        <v>35312.022025795173</v>
      </c>
      <c r="AN539" s="18">
        <f>IF($A539&gt;'1-Input'!$B$26,AP538,(AP538-AL539)*(1+'5-Roberta'!$C$4))</f>
        <v>65420.048290478466</v>
      </c>
      <c r="AO539" s="18">
        <f>IF($A539&gt;'1-Input'!$B$26,AM539,AM539-'P-Parametri'!$B$8*(AN539+AM539)+MIN(MAX(AN539,0),'P-Parametri'!$B$8*(AN539+AM539)))</f>
        <v>35312.022025795173</v>
      </c>
      <c r="AP539" s="18">
        <f>IF($A539&gt;'1-Input'!$B$26,AN539,AN539-MIN(MAX(AN539,0),'P-Parametri'!$B$8*(AN539+AM539)))</f>
        <v>65218.584149845919</v>
      </c>
      <c r="AQ539" s="18">
        <f>IF($A539&gt;'1-Input'!$B$26,AQ538,AQ538-AL539*(1-AK539))</f>
        <v>22048.180908775699</v>
      </c>
    </row>
    <row r="540" spans="1:43">
      <c r="A540" s="10">
        <f>32</f>
        <v>32</v>
      </c>
      <c r="B540" s="11">
        <f>IF($A540&gt;'1-Input'!$B$26,0,IF(G539&lt;=0,0,MAX(0,(G539-H539)/G539)))</f>
        <v>0.66330692084356335</v>
      </c>
      <c r="C540" s="18">
        <f>IF($A540&gt;'1-Input'!$B$26,0,(MAX(0,B506-IF($A540&gt;=('1-Input'!$C$12+1),'1-Input'!$B$12,0))-MIN(MAX(F539,0),MAX(0,B506-IF($A540&gt;=('1-Input'!$C$12+1),'1-Input'!$B$12,0))))*(1/(1-'P-Parametri'!$B$6*B540))+MIN(MAX(0,G539-(MAX(0,B506-IF($A540&gt;=('1-Input'!$C$12+1),'1-Input'!$B$12,0))-MIN(MAX(F539,0),MAX(0,B506-IF($A540&gt;=('1-Input'!$C$12+1),'1-Input'!$B$12,0))))*(1/(1-'P-Parametri'!$B$6*B540))),MAX(0,2*B506-(F539-MIN(MAX(F539,0),MAX(0,B506-IF($A540&gt;=('1-Input'!$C$12+1),'1-Input'!$B$12,0)))))*(1/(1-'P-Parametri'!$B$6*B540))))</f>
        <v>6886.8665339666713</v>
      </c>
      <c r="D540" s="18">
        <f>IF($A540&gt;'1-Input'!$B$26,F539,(F539-MAX(0,B506-IF($A540&gt;=('1-Input'!$C$12+1),'1-Input'!$B$12,0))+C540*(1-'P-Parametri'!$B$6*B540))*(1+'1-Input'!$B$27))</f>
        <v>33242.0070309863</v>
      </c>
      <c r="E540" s="18">
        <f>IF($A540&gt;'1-Input'!$B$26,G539,(G539-C540)*(1+'5-Roberta'!$C$4))</f>
        <v>125620.2443541955</v>
      </c>
      <c r="F540" s="18">
        <f>IF($A540&gt;'1-Input'!$B$26,D540,D540-'P-Parametri'!$B$8*(E540+D540)+MIN(MAX(E540,0),'P-Parametri'!$B$8*(E540+D540)))</f>
        <v>33242.0070309863</v>
      </c>
      <c r="G540" s="18">
        <f>IF($A540&gt;'1-Input'!$B$26,E540,E540-MIN(MAX(E540,0),'P-Parametri'!$B$8*(E540+D540)))</f>
        <v>125302.51985142514</v>
      </c>
      <c r="H540" s="18">
        <f>IF($A540&gt;'1-Input'!$B$26,H539,H539-C540*(1-B540))</f>
        <v>41063.560073784531</v>
      </c>
      <c r="I540" s="11">
        <f>IF($A540&gt;'1-Input'!$B$26,0,IF(N539&lt;=0,0,MAX(0,(N539-O539)/N539)))</f>
        <v>0</v>
      </c>
      <c r="J540" s="18">
        <f>IF($A540&gt;'1-Input'!$B$26,0,(MAX(0,I506-IF($A540&gt;=('1-Input'!$C$12+1),'1-Input'!$B$12,0))-MIN(MAX(M539,0),MAX(0,I506-IF($A540&gt;=('1-Input'!$C$12+1),'1-Input'!$B$12,0))))*(1/(1-'P-Parametri'!$B$6*I540))+MIN(MAX(0,N539-(MAX(0,I506-IF($A540&gt;=('1-Input'!$C$12+1),'1-Input'!$B$12,0))-MIN(MAX(M539,0),MAX(0,I506-IF($A540&gt;=('1-Input'!$C$12+1),'1-Input'!$B$12,0))))*(1/(1-'P-Parametri'!$B$6*I540))),MAX(0,2*I506-(M539-MIN(MAX(M539,0),MAX(0,I506-IF($A540&gt;=('1-Input'!$C$12+1),'1-Input'!$B$12,0)))))*(1/(1-'P-Parametri'!$B$6*I540))))</f>
        <v>10846.756992928691</v>
      </c>
      <c r="K540" s="18">
        <f>IF($A540&gt;'1-Input'!$B$26,M539,(M539-MAX(0,I506-IF($A540&gt;=('1-Input'!$C$12+1),'1-Input'!$B$12,0))+J540*(1-'P-Parametri'!$B$6*I540))*(1+'1-Input'!$B$27))</f>
        <v>0</v>
      </c>
      <c r="L540" s="18">
        <f>IF($A540&gt;'1-Input'!$B$26,N539,(N539-J540)*(1+'5-Roberta'!$C$4))</f>
        <v>-118370.62631994396</v>
      </c>
      <c r="M540" s="18">
        <f>IF($A540&gt;'1-Input'!$B$26,K540,K540-'P-Parametri'!$B$8*(L540+K540)+MIN(MAX(L540,0),'P-Parametri'!$B$8*(L540+K540)))</f>
        <v>0</v>
      </c>
      <c r="N540" s="18">
        <f>IF($A540&gt;'1-Input'!$B$26,L540,L540-MIN(MAX(L540,0),'P-Parametri'!$B$8*(L540+K540)))</f>
        <v>-118133.88506730407</v>
      </c>
      <c r="O540" s="18">
        <f>IF($A540&gt;'1-Input'!$B$26,O539,O539-J540*(1-I540))</f>
        <v>-102029.87492940208</v>
      </c>
      <c r="P540" s="11">
        <f>IF($A540&gt;'1-Input'!$B$26,0,IF(U539&lt;=0,0,MAX(0,(U539-V539)/U539)))</f>
        <v>0.66156762353783949</v>
      </c>
      <c r="Q540" s="18">
        <f>IF($A540&gt;'1-Input'!$B$26,0,(MAX(0,P506-IF($A540&gt;=('1-Input'!$C$12+1),'1-Input'!$B$12,0))-MIN(MAX(T539,0),MAX(0,P506-IF($A540&gt;=('1-Input'!$C$12+1),'1-Input'!$B$12,0))))*(1/(1-'P-Parametri'!$B$6*P540))+MIN(MAX(0,U539-(MAX(0,P506-IF($A540&gt;=('1-Input'!$C$12+1),'1-Input'!$B$12,0))-MIN(MAX(T539,0),MAX(0,P506-IF($A540&gt;=('1-Input'!$C$12+1),'1-Input'!$B$12,0))))*(1/(1-'P-Parametri'!$B$6*P540))),MAX(0,2*P506-(T539-MIN(MAX(T539,0),MAX(0,P506-IF($A540&gt;=('1-Input'!$C$12+1),'1-Input'!$B$12,0)))))*(1/(1-'P-Parametri'!$B$6*P540))))</f>
        <v>8341.5603232813737</v>
      </c>
      <c r="R540" s="18">
        <f>IF($A540&gt;'1-Input'!$B$26,T539,(T539-MAX(0,P506-IF($A540&gt;=('1-Input'!$C$12+1),'1-Input'!$B$12,0))+Q540*(1-'P-Parametri'!$B$6*P540))*(1+'1-Input'!$B$27))</f>
        <v>35631.289129554178</v>
      </c>
      <c r="S540" s="18">
        <f>IF($A540&gt;'1-Input'!$B$26,U539,(U539-Q540)*(1+'5-Roberta'!$C$4))</f>
        <v>48477.66717482415</v>
      </c>
      <c r="T540" s="18">
        <f>IF($A540&gt;'1-Input'!$B$26,R540,R540-'P-Parametri'!$B$8*(S540+R540)+MIN(MAX(S540,0),'P-Parametri'!$B$8*(S540+R540)))</f>
        <v>35631.289129554178</v>
      </c>
      <c r="U540" s="18">
        <f>IF($A540&gt;'1-Input'!$B$26,S540,S540-MIN(MAX(S540,0),'P-Parametri'!$B$8*(S540+R540)))</f>
        <v>48309.449262215392</v>
      </c>
      <c r="V540" s="18">
        <f>IF($A540&gt;'1-Input'!$B$26,V539,V539-Q540*(1-P540))</f>
        <v>15928.555443997484</v>
      </c>
      <c r="W540" s="11">
        <f>IF($A540&gt;'1-Input'!$B$26,0,IF(AB539&lt;=0,0,MAX(0,(AB539-AC539)/AB539)))</f>
        <v>0.66190951280359023</v>
      </c>
      <c r="X540" s="18">
        <f>IF($A540&gt;'1-Input'!$B$26,0,(MAX(0,W506-IF($A540&gt;=('1-Input'!$C$12+1),'1-Input'!$B$12,0))-MIN(MAX(AA539,0),MAX(0,W506-IF($A540&gt;=('1-Input'!$C$12+1),'1-Input'!$B$12,0))))*(1/(1-'P-Parametri'!$B$6*W540))+MIN(MAX(0,AB539-(MAX(0,W506-IF($A540&gt;=('1-Input'!$C$12+1),'1-Input'!$B$12,0))-MIN(MAX(AA539,0),MAX(0,W506-IF($A540&gt;=('1-Input'!$C$12+1),'1-Input'!$B$12,0))))*(1/(1-'P-Parametri'!$B$6*W540))),MAX(0,2*W506-(AA539-MIN(MAX(AA539,0),MAX(0,W506-IF($A540&gt;=('1-Input'!$C$12+1),'1-Input'!$B$12,0)))))*(1/(1-'P-Parametri'!$B$6*W540))))</f>
        <v>8161.9130148125505</v>
      </c>
      <c r="Y540" s="18">
        <f>IF($A540&gt;'1-Input'!$B$26,AA539,(AA539-MAX(0,W506-IF($A540&gt;=('1-Input'!$C$12+1),'1-Input'!$B$12,0))+X540*(1-'P-Parametri'!$B$6*W540))*(1+'1-Input'!$B$27))</f>
        <v>35335.550384623006</v>
      </c>
      <c r="Z540" s="18">
        <f>IF($A540&gt;'1-Input'!$B$26,AB539,(AB539-X540)*(1+'5-Roberta'!$C$4))</f>
        <v>58023.602574479097</v>
      </c>
      <c r="AA540" s="18">
        <f>IF($A540&gt;'1-Input'!$B$26,Y540,Y540-'P-Parametri'!$B$8*(Z540+Y540)+MIN(MAX(Z540,0),'P-Parametri'!$B$8*(Z540+Y540)))</f>
        <v>35335.550384623006</v>
      </c>
      <c r="AB540" s="18">
        <f>IF($A540&gt;'1-Input'!$B$26,Z540,Z540-MIN(MAX(Z540,0),'P-Parametri'!$B$8*(Z540+Y540)))</f>
        <v>57836.884268560891</v>
      </c>
      <c r="AC540" s="18">
        <f>IF($A540&gt;'1-Input'!$B$26,AC539,AC539-X540*(1-W540))</f>
        <v>19045.852488637367</v>
      </c>
      <c r="AD540" s="11">
        <f>IF($A540&gt;'1-Input'!$B$26,0,IF(AI539&lt;=0,0,MAX(0,(AI539-AJ539)/AI539)))</f>
        <v>0.66193409652768254</v>
      </c>
      <c r="AE540" s="18">
        <f>IF($A540&gt;'1-Input'!$B$26,0,(MAX(0,AD506-IF($A540&gt;=('1-Input'!$C$12+1),'1-Input'!$B$12,0))-MIN(MAX(AH539,0),MAX(0,AD506-IF($A540&gt;=('1-Input'!$C$12+1),'1-Input'!$B$12,0))))*(1/(1-'P-Parametri'!$B$6*AD540))+MIN(MAX(0,AI539-(MAX(0,AD506-IF($A540&gt;=('1-Input'!$C$12+1),'1-Input'!$B$12,0))-MIN(MAX(AH539,0),MAX(0,AD506-IF($A540&gt;=('1-Input'!$C$12+1),'1-Input'!$B$12,0))))*(1/(1-'P-Parametri'!$B$6*AD540))),MAX(0,2*AD506-(AH539-MIN(MAX(AH539,0),MAX(0,AD506-IF($A540&gt;=('1-Input'!$C$12+1),'1-Input'!$B$12,0)))))*(1/(1-'P-Parametri'!$B$6*AD540))))</f>
        <v>8147.6002437919988</v>
      </c>
      <c r="AF540" s="18">
        <f>IF($A540&gt;'1-Input'!$B$26,AH539,(AH539-MAX(0,AD506-IF($A540&gt;=('1-Input'!$C$12+1),'1-Input'!$B$12,0))+AE540*(1-'P-Parametri'!$B$6*AD540))*(1+'1-Input'!$B$27))</f>
        <v>35312.002280650035</v>
      </c>
      <c r="AG540" s="18">
        <f>IF($A540&gt;'1-Input'!$B$26,AI539,(AI539-AE540)*(1+'5-Roberta'!$C$4))</f>
        <v>58783.738439797577</v>
      </c>
      <c r="AH540" s="18">
        <f>IF($A540&gt;'1-Input'!$B$26,AF540,AF540-'P-Parametri'!$B$8*(AG540+AF540)+MIN(MAX(AG540,0),'P-Parametri'!$B$8*(AG540+AF540)))</f>
        <v>35312.002280650035</v>
      </c>
      <c r="AI540" s="18">
        <f>IF($A540&gt;'1-Input'!$B$26,AG540,AG540-MIN(MAX(AG540,0),'P-Parametri'!$B$8*(AG540+AF540)))</f>
        <v>58595.546958356681</v>
      </c>
      <c r="AJ540" s="18">
        <f>IF($A540&gt;'1-Input'!$B$26,AJ539,AJ539-AE540*(1-AD540))</f>
        <v>19293.958878767538</v>
      </c>
      <c r="AK540" s="11">
        <f>IF($A540&gt;'1-Input'!$B$26,0,IF(AP539&lt;=0,0,MAX(0,(AP539-AQ539)/AP539)))</f>
        <v>0.66193407605847587</v>
      </c>
      <c r="AL540" s="18">
        <f>IF($A540&gt;'1-Input'!$B$26,0,(MAX(0,AK506-IF($A540&gt;=('1-Input'!$C$12+1),'1-Input'!$B$12,0))-MIN(MAX(AO539,0),MAX(0,AK506-IF($A540&gt;=('1-Input'!$C$12+1),'1-Input'!$B$12,0))))*(1/(1-'P-Parametri'!$B$6*AK540))+MIN(MAX(0,AP539-(MAX(0,AK506-IF($A540&gt;=('1-Input'!$C$12+1),'1-Input'!$B$12,0))-MIN(MAX(AO539,0),MAX(0,AK506-IF($A540&gt;=('1-Input'!$C$12+1),'1-Input'!$B$12,0))))*(1/(1-'P-Parametri'!$B$6*AK540))),MAX(0,2*AK506-(AO539-MIN(MAX(AO539,0),MAX(0,AK506-IF($A540&gt;=('1-Input'!$C$12+1),'1-Input'!$B$12,0)))))*(1/(1-'P-Parametri'!$B$6*AK540))))</f>
        <v>8147.6122455487584</v>
      </c>
      <c r="AM540" s="18">
        <f>IF($A540&gt;'1-Input'!$B$26,AO539,(AO539-MAX(0,AK506-IF($A540&gt;=('1-Input'!$C$12+1),'1-Input'!$B$12,0))+AL540*(1-'P-Parametri'!$B$6*AK540))*(1+'1-Input'!$B$27))</f>
        <v>35312.022025795173</v>
      </c>
      <c r="AN540" s="18">
        <f>IF($A540&gt;'1-Input'!$B$26,AP539,(AP539-AL540)*(1+'5-Roberta'!$C$4))</f>
        <v>58783.101061426081</v>
      </c>
      <c r="AO540" s="18">
        <f>IF($A540&gt;'1-Input'!$B$26,AM540,AM540-'P-Parametri'!$B$8*(AN540+AM540)+MIN(MAX(AN540,0),'P-Parametri'!$B$8*(AN540+AM540)))</f>
        <v>35312.022025795173</v>
      </c>
      <c r="AP540" s="18">
        <f>IF($A540&gt;'1-Input'!$B$26,AN540,AN540-MIN(MAX(AN540,0),'P-Parametri'!$B$8*(AN540+AM540)))</f>
        <v>58594.910815251642</v>
      </c>
      <c r="AQ540" s="18">
        <f>IF($A540&gt;'1-Input'!$B$26,AQ539,AQ539-AL540*(1-AK540))</f>
        <v>19293.750847066982</v>
      </c>
    </row>
    <row r="541" spans="1:43">
      <c r="A541" s="10">
        <f>33</f>
        <v>33</v>
      </c>
      <c r="B541" s="11">
        <f>IF($A541&gt;'1-Input'!$B$26,0,IF(G540&lt;=0,0,MAX(0,(G540-H540)/G540)))</f>
        <v>0.6722846426195197</v>
      </c>
      <c r="C541" s="18">
        <f>IF($A541&gt;'1-Input'!$B$26,0,(MAX(0,B506-IF($A541&gt;=('1-Input'!$C$12+1),'1-Input'!$B$12,0))-MIN(MAX(F540,0),MAX(0,B506-IF($A541&gt;=('1-Input'!$C$12+1),'1-Input'!$B$12,0))))*(1/(1-'P-Parametri'!$B$6*B541))+MIN(MAX(0,G540-(MAX(0,B506-IF($A541&gt;=('1-Input'!$C$12+1),'1-Input'!$B$12,0))-MIN(MAX(F540,0),MAX(0,B506-IF($A541&gt;=('1-Input'!$C$12+1),'1-Input'!$B$12,0))))*(1/(1-'P-Parametri'!$B$6*B541))),MAX(0,2*B506-(F540-MIN(MAX(F540,0),MAX(0,B506-IF($A541&gt;=('1-Input'!$C$12+1),'1-Input'!$B$12,0)))))*(1/(1-'P-Parametri'!$B$6*B541))))</f>
        <v>6906.3469749316764</v>
      </c>
      <c r="D541" s="18">
        <f>IF($A541&gt;'1-Input'!$B$26,F540,(F540-MAX(0,B506-IF($A541&gt;=('1-Input'!$C$12+1),'1-Input'!$B$12,0))+C541*(1-'P-Parametri'!$B$6*B541))*(1+'1-Input'!$B$27))</f>
        <v>33242.0070309863</v>
      </c>
      <c r="E541" s="18">
        <f>IF($A541&gt;'1-Input'!$B$26,G540,(G540-C541)*(1+'5-Roberta'!$C$4))</f>
        <v>121948.05806278827</v>
      </c>
      <c r="F541" s="18">
        <f>IF($A541&gt;'1-Input'!$B$26,D541,D541-'P-Parametri'!$B$8*(E541+D541)+MIN(MAX(E541,0),'P-Parametri'!$B$8*(E541+D541)))</f>
        <v>33242.0070309863</v>
      </c>
      <c r="G541" s="18">
        <f>IF($A541&gt;'1-Input'!$B$26,E541,E541-MIN(MAX(E541,0),'P-Parametri'!$B$8*(E541+D541)))</f>
        <v>121637.67793260072</v>
      </c>
      <c r="H541" s="18">
        <f>IF($A541&gt;'1-Input'!$B$26,H540,H540-C541*(1-B541))</f>
        <v>38800.244106701197</v>
      </c>
      <c r="I541" s="11">
        <f>IF($A541&gt;'1-Input'!$B$26,0,IF(N540&lt;=0,0,MAX(0,(N540-O540)/N540)))</f>
        <v>0</v>
      </c>
      <c r="J541" s="18">
        <f>IF($A541&gt;'1-Input'!$B$26,0,(MAX(0,I506-IF($A541&gt;=('1-Input'!$C$12+1),'1-Input'!$B$12,0))-MIN(MAX(M540,0),MAX(0,I506-IF($A541&gt;=('1-Input'!$C$12+1),'1-Input'!$B$12,0))))*(1/(1-'P-Parametri'!$B$6*I541))+MIN(MAX(0,N540-(MAX(0,I506-IF($A541&gt;=('1-Input'!$C$12+1),'1-Input'!$B$12,0))-MIN(MAX(M540,0),MAX(0,I506-IF($A541&gt;=('1-Input'!$C$12+1),'1-Input'!$B$12,0))))*(1/(1-'P-Parametri'!$B$6*I541))),MAX(0,2*I506-(M540-MIN(MAX(M540,0),MAX(0,I506-IF($A541&gt;=('1-Input'!$C$12+1),'1-Input'!$B$12,0)))))*(1/(1-'P-Parametri'!$B$6*I541))))</f>
        <v>10846.756992928691</v>
      </c>
      <c r="K541" s="18">
        <f>IF($A541&gt;'1-Input'!$B$26,M540,(M540-MAX(0,I506-IF($A541&gt;=('1-Input'!$C$12+1),'1-Input'!$B$12,0))+J541*(1-'P-Parametri'!$B$6*I541))*(1+'1-Input'!$B$27))</f>
        <v>0</v>
      </c>
      <c r="L541" s="18">
        <f>IF($A541&gt;'1-Input'!$B$26,N540,(N540-J541)*(1+'5-Roberta'!$C$4))</f>
        <v>-132850.06132203975</v>
      </c>
      <c r="M541" s="18">
        <f>IF($A541&gt;'1-Input'!$B$26,K541,K541-'P-Parametri'!$B$8*(L541+K541)+MIN(MAX(L541,0),'P-Parametri'!$B$8*(L541+K541)))</f>
        <v>0</v>
      </c>
      <c r="N541" s="18">
        <f>IF($A541&gt;'1-Input'!$B$26,L541,L541-MIN(MAX(L541,0),'P-Parametri'!$B$8*(L541+K541)))</f>
        <v>-132584.36119939567</v>
      </c>
      <c r="O541" s="18">
        <f>IF($A541&gt;'1-Input'!$B$26,O540,O540-J541*(1-I541))</f>
        <v>-112876.63192233077</v>
      </c>
      <c r="P541" s="11">
        <f>IF($A541&gt;'1-Input'!$B$26,0,IF(U540&lt;=0,0,MAX(0,(U540-V540)/U540)))</f>
        <v>0.67028074864732945</v>
      </c>
      <c r="Q541" s="18">
        <f>IF($A541&gt;'1-Input'!$B$26,0,(MAX(0,P506-IF($A541&gt;=('1-Input'!$C$12+1),'1-Input'!$B$12,0))-MIN(MAX(T540,0),MAX(0,P506-IF($A541&gt;=('1-Input'!$C$12+1),'1-Input'!$B$12,0))))*(1/(1-'P-Parametri'!$B$6*P541))+MIN(MAX(0,U540-(MAX(0,P506-IF($A541&gt;=('1-Input'!$C$12+1),'1-Input'!$B$12,0))-MIN(MAX(T540,0),MAX(0,P506-IF($A541&gt;=('1-Input'!$C$12+1),'1-Input'!$B$12,0))))*(1/(1-'P-Parametri'!$B$6*P541))),MAX(0,2*P506-(T540-MIN(MAX(T540,0),MAX(0,P506-IF($A541&gt;=('1-Input'!$C$12+1),'1-Input'!$B$12,0)))))*(1/(1-'P-Parametri'!$B$6*P541))))</f>
        <v>8364.4457020334939</v>
      </c>
      <c r="R541" s="18">
        <f>IF($A541&gt;'1-Input'!$B$26,T540,(T540-MAX(0,P506-IF($A541&gt;=('1-Input'!$C$12+1),'1-Input'!$B$12,0))+Q541*(1-'P-Parametri'!$B$6*P541))*(1+'1-Input'!$B$27))</f>
        <v>35631.289129554178</v>
      </c>
      <c r="S541" s="18">
        <f>IF($A541&gt;'1-Input'!$B$26,U540,(U540-Q541)*(1+'5-Roberta'!$C$4))</f>
        <v>41143.353666987357</v>
      </c>
      <c r="T541" s="18">
        <f>IF($A541&gt;'1-Input'!$B$26,R541,R541-'P-Parametri'!$B$8*(S541+R541)+MIN(MAX(S541,0),'P-Parametri'!$B$8*(S541+R541)))</f>
        <v>35631.289129554178</v>
      </c>
      <c r="U541" s="18">
        <f>IF($A541&gt;'1-Input'!$B$26,S541,S541-MIN(MAX(S541,0),'P-Parametri'!$B$8*(S541+R541)))</f>
        <v>40989.804381394271</v>
      </c>
      <c r="V541" s="18">
        <f>IF($A541&gt;'1-Input'!$B$26,V540,V540-Q541*(1-P541))</f>
        <v>13170.636669142938</v>
      </c>
      <c r="W541" s="11">
        <f>IF($A541&gt;'1-Input'!$B$26,0,IF(AB540&lt;=0,0,MAX(0,(AB540-AC540)/AB540)))</f>
        <v>0.67069712123150516</v>
      </c>
      <c r="X541" s="18">
        <f>IF($A541&gt;'1-Input'!$B$26,0,(MAX(0,W506-IF($A541&gt;=('1-Input'!$C$12+1),'1-Input'!$B$12,0))-MIN(MAX(AA540,0),MAX(0,W506-IF($A541&gt;=('1-Input'!$C$12+1),'1-Input'!$B$12,0))))*(1/(1-'P-Parametri'!$B$6*W541))+MIN(MAX(0,AB540-(MAX(0,W506-IF($A541&gt;=('1-Input'!$C$12+1),'1-Input'!$B$12,0))-MIN(MAX(AA540,0),MAX(0,W506-IF($A541&gt;=('1-Input'!$C$12+1),'1-Input'!$B$12,0))))*(1/(1-'P-Parametri'!$B$6*W541))),MAX(0,2*W506-(AA540-MIN(MAX(AA540,0),MAX(0,W506-IF($A541&gt;=('1-Input'!$C$12+1),'1-Input'!$B$12,0)))))*(1/(1-'P-Parametri'!$B$6*W541))))</f>
        <v>8184.4999060253822</v>
      </c>
      <c r="Y541" s="18">
        <f>IF($A541&gt;'1-Input'!$B$26,AA540,(AA540-MAX(0,W506-IF($A541&gt;=('1-Input'!$C$12+1),'1-Input'!$B$12,0))+X541*(1-'P-Parametri'!$B$6*W541))*(1+'1-Input'!$B$27))</f>
        <v>35335.550384623006</v>
      </c>
      <c r="Z541" s="18">
        <f>IF($A541&gt;'1-Input'!$B$26,AB540,(AB540-X541)*(1+'5-Roberta'!$C$4))</f>
        <v>51141.955893411578</v>
      </c>
      <c r="AA541" s="18">
        <f>IF($A541&gt;'1-Input'!$B$26,Y541,Y541-'P-Parametri'!$B$8*(Z541+Y541)+MIN(MAX(Z541,0),'P-Parametri'!$B$8*(Z541+Y541)))</f>
        <v>35335.550384623006</v>
      </c>
      <c r="AB541" s="18">
        <f>IF($A541&gt;'1-Input'!$B$26,Z541,Z541-MIN(MAX(Z541,0),'P-Parametri'!$B$8*(Z541+Y541)))</f>
        <v>50969.000880855507</v>
      </c>
      <c r="AC541" s="18">
        <f>IF($A541&gt;'1-Input'!$B$26,AC540,AC540-X541*(1-W541))</f>
        <v>16350.673108302733</v>
      </c>
      <c r="AD541" s="11">
        <f>IF($A541&gt;'1-Input'!$B$26,0,IF(AI540&lt;=0,0,MAX(0,(AI540-AJ540)/AI540)))</f>
        <v>0.67072653332377663</v>
      </c>
      <c r="AE541" s="18">
        <f>IF($A541&gt;'1-Input'!$B$26,0,(MAX(0,AD506-IF($A541&gt;=('1-Input'!$C$12+1),'1-Input'!$B$12,0))-MIN(MAX(AH540,0),MAX(0,AD506-IF($A541&gt;=('1-Input'!$C$12+1),'1-Input'!$B$12,0))))*(1/(1-'P-Parametri'!$B$6*AD541))+MIN(MAX(0,AI540-(MAX(0,AD506-IF($A541&gt;=('1-Input'!$C$12+1),'1-Input'!$B$12,0))-MIN(MAX(AH540,0),MAX(0,AD506-IF($A541&gt;=('1-Input'!$C$12+1),'1-Input'!$B$12,0))))*(1/(1-'P-Parametri'!$B$6*AD541))),MAX(0,2*AD506-(AH540-MIN(MAX(AH540,0),MAX(0,AD506-IF($A541&gt;=('1-Input'!$C$12+1),'1-Input'!$B$12,0)))))*(1/(1-'P-Parametri'!$B$6*AD541))))</f>
        <v>8170.1601241249355</v>
      </c>
      <c r="AF541" s="18">
        <f>IF($A541&gt;'1-Input'!$B$26,AH540,(AH540-MAX(0,AD506-IF($A541&gt;=('1-Input'!$C$12+1),'1-Input'!$B$12,0))+AE541*(1-'P-Parametri'!$B$6*AD541))*(1+'1-Input'!$B$27))</f>
        <v>35312.002280650035</v>
      </c>
      <c r="AG541" s="18">
        <f>IF($A541&gt;'1-Input'!$B$26,AI540,(AI540-AE541)*(1+'5-Roberta'!$C$4))</f>
        <v>51938.148439258701</v>
      </c>
      <c r="AH541" s="18">
        <f>IF($A541&gt;'1-Input'!$B$26,AF541,AF541-'P-Parametri'!$B$8*(AG541+AF541)+MIN(MAX(AG541,0),'P-Parametri'!$B$8*(AG541+AF541)))</f>
        <v>35312.002280650035</v>
      </c>
      <c r="AI541" s="18">
        <f>IF($A541&gt;'1-Input'!$B$26,AG541,AG541-MIN(MAX(AG541,0),'P-Parametri'!$B$8*(AG541+AF541)))</f>
        <v>51763.648137818884</v>
      </c>
      <c r="AJ541" s="18">
        <f>IF($A541&gt;'1-Input'!$B$26,AJ540,AJ540-AE541*(1-AD541))</f>
        <v>16603.741931397079</v>
      </c>
      <c r="AK541" s="11">
        <f>IF($A541&gt;'1-Input'!$B$26,0,IF(AP540&lt;=0,0,MAX(0,(AP540-AQ540)/AP540)))</f>
        <v>0.67072650886184093</v>
      </c>
      <c r="AL541" s="18">
        <f>IF($A541&gt;'1-Input'!$B$26,0,(MAX(0,AK506-IF($A541&gt;=('1-Input'!$C$12+1),'1-Input'!$B$12,0))-MIN(MAX(AO540,0),MAX(0,AK506-IF($A541&gt;=('1-Input'!$C$12+1),'1-Input'!$B$12,0))))*(1/(1-'P-Parametri'!$B$6*AK541))+MIN(MAX(0,AP540-(MAX(0,AK506-IF($A541&gt;=('1-Input'!$C$12+1),'1-Input'!$B$12,0))-MIN(MAX(AO540,0),MAX(0,AK506-IF($A541&gt;=('1-Input'!$C$12+1),'1-Input'!$B$12,0))))*(1/(1-'P-Parametri'!$B$6*AK541))),MAX(0,2*AK506-(AO540-MIN(MAX(AO540,0),MAX(0,AK506-IF($A541&gt;=('1-Input'!$C$12+1),'1-Input'!$B$12,0)))))*(1/(1-'P-Parametri'!$B$6*AK541))))</f>
        <v>8170.1721486948836</v>
      </c>
      <c r="AM541" s="18">
        <f>IF($A541&gt;'1-Input'!$B$26,AO540,(AO540-MAX(0,AK506-IF($A541&gt;=('1-Input'!$C$12+1),'1-Input'!$B$12,0))+AL541*(1-'P-Parametri'!$B$6*AK541))*(1+'1-Input'!$B$27))</f>
        <v>35312.022025795173</v>
      </c>
      <c r="AN541" s="18">
        <f>IF($A541&gt;'1-Input'!$B$26,AP540,(AP540-AL541)*(1+'5-Roberta'!$C$4))</f>
        <v>51937.480826553467</v>
      </c>
      <c r="AO541" s="18">
        <f>IF($A541&gt;'1-Input'!$B$26,AM541,AM541-'P-Parametri'!$B$8*(AN541+AM541)+MIN(MAX(AN541,0),'P-Parametri'!$B$8*(AN541+AM541)))</f>
        <v>35312.022025795173</v>
      </c>
      <c r="AP541" s="18">
        <f>IF($A541&gt;'1-Input'!$B$26,AN541,AN541-MIN(MAX(AN541,0),'P-Parametri'!$B$8*(AN541+AM541)))</f>
        <v>51762.98182084877</v>
      </c>
      <c r="AQ541" s="18">
        <f>IF($A541&gt;'1-Input'!$B$26,AQ540,AQ540-AL541*(1-AK541))</f>
        <v>16603.529740466463</v>
      </c>
    </row>
    <row r="542" spans="1:43">
      <c r="A542" s="10">
        <f>34</f>
        <v>34</v>
      </c>
      <c r="B542" s="11">
        <f>IF($A542&gt;'1-Input'!$B$26,0,IF(G541&lt;=0,0,MAX(0,(G541-H541)/G541)))</f>
        <v>0.68101788223711113</v>
      </c>
      <c r="C542" s="18">
        <f>IF($A542&gt;'1-Input'!$B$26,0,(MAX(0,B506-IF($A542&gt;=('1-Input'!$C$12+1),'1-Input'!$B$12,0))-MIN(MAX(F541,0),MAX(0,B506-IF($A542&gt;=('1-Input'!$C$12+1),'1-Input'!$B$12,0))))*(1/(1-'P-Parametri'!$B$6*B542))+MIN(MAX(0,G541-(MAX(0,B506-IF($A542&gt;=('1-Input'!$C$12+1),'1-Input'!$B$12,0))-MIN(MAX(F541,0),MAX(0,B506-IF($A542&gt;=('1-Input'!$C$12+1),'1-Input'!$B$12,0))))*(1/(1-'P-Parametri'!$B$6*B542))),MAX(0,2*B506-(F541-MIN(MAX(F541,0),MAX(0,B506-IF($A542&gt;=('1-Input'!$C$12+1),'1-Input'!$B$12,0)))))*(1/(1-'P-Parametri'!$B$6*B542))))</f>
        <v>6925.4029597935933</v>
      </c>
      <c r="D542" s="18">
        <f>IF($A542&gt;'1-Input'!$B$26,F541,(F541-MAX(0,B506-IF($A542&gt;=('1-Input'!$C$12+1),'1-Input'!$B$12,0))+C542*(1-'P-Parametri'!$B$6*B542))*(1+'1-Input'!$B$27))</f>
        <v>33242.0070309863</v>
      </c>
      <c r="E542" s="18">
        <f>IF($A542&gt;'1-Input'!$B$26,G541,(G541-C542)*(1+'5-Roberta'!$C$4))</f>
        <v>118153.64322199135</v>
      </c>
      <c r="F542" s="18">
        <f>IF($A542&gt;'1-Input'!$B$26,D542,D542-'P-Parametri'!$B$8*(E542+D542)+MIN(MAX(E542,0),'P-Parametri'!$B$8*(E542+D542)))</f>
        <v>33242.0070309863</v>
      </c>
      <c r="G542" s="18">
        <f>IF($A542&gt;'1-Input'!$B$26,E542,E542-MIN(MAX(E542,0),'P-Parametri'!$B$8*(E542+D542)))</f>
        <v>117850.8519214854</v>
      </c>
      <c r="H542" s="18">
        <f>IF($A542&gt;'1-Input'!$B$26,H541,H541-C542*(1-B542))</f>
        <v>36591.164404224859</v>
      </c>
      <c r="I542" s="11">
        <f>IF($A542&gt;'1-Input'!$B$26,0,IF(N541&lt;=0,0,MAX(0,(N541-O541)/N541)))</f>
        <v>0</v>
      </c>
      <c r="J542" s="18">
        <f>IF($A542&gt;'1-Input'!$B$26,0,(MAX(0,I506-IF($A542&gt;=('1-Input'!$C$12+1),'1-Input'!$B$12,0))-MIN(MAX(M541,0),MAX(0,I506-IF($A542&gt;=('1-Input'!$C$12+1),'1-Input'!$B$12,0))))*(1/(1-'P-Parametri'!$B$6*I542))+MIN(MAX(0,N541-(MAX(0,I506-IF($A542&gt;=('1-Input'!$C$12+1),'1-Input'!$B$12,0))-MIN(MAX(M541,0),MAX(0,I506-IF($A542&gt;=('1-Input'!$C$12+1),'1-Input'!$B$12,0))))*(1/(1-'P-Parametri'!$B$6*I542))),MAX(0,2*I506-(M541-MIN(MAX(M541,0),MAX(0,I506-IF($A542&gt;=('1-Input'!$C$12+1),'1-Input'!$B$12,0)))))*(1/(1-'P-Parametri'!$B$6*I542))))</f>
        <v>10846.756992928691</v>
      </c>
      <c r="K542" s="18">
        <f>IF($A542&gt;'1-Input'!$B$26,M541,(M541-MAX(0,I506-IF($A542&gt;=('1-Input'!$C$12+1),'1-Input'!$B$12,0))+J542*(1-'P-Parametri'!$B$6*I542))*(1+'1-Input'!$B$27))</f>
        <v>0</v>
      </c>
      <c r="L542" s="18">
        <f>IF($A542&gt;'1-Input'!$B$26,N541,(N541-J542)*(1+'5-Roberta'!$C$4))</f>
        <v>-147734.0517380941</v>
      </c>
      <c r="M542" s="18">
        <f>IF($A542&gt;'1-Input'!$B$26,K542,K542-'P-Parametri'!$B$8*(L542+K542)+MIN(MAX(L542,0),'P-Parametri'!$B$8*(L542+K542)))</f>
        <v>0</v>
      </c>
      <c r="N542" s="18">
        <f>IF($A542&gt;'1-Input'!$B$26,L542,L542-MIN(MAX(L542,0),'P-Parametri'!$B$8*(L542+K542)))</f>
        <v>-147438.58363461791</v>
      </c>
      <c r="O542" s="18">
        <f>IF($A542&gt;'1-Input'!$B$26,O541,O541-J542*(1-I542))</f>
        <v>-123723.38891525945</v>
      </c>
      <c r="P542" s="11">
        <f>IF($A542&gt;'1-Input'!$B$26,0,IF(U541&lt;=0,0,MAX(0,(U541-V541)/U541)))</f>
        <v>0.67868505673764001</v>
      </c>
      <c r="Q542" s="18">
        <f>IF($A542&gt;'1-Input'!$B$26,0,(MAX(0,P506-IF($A542&gt;=('1-Input'!$C$12+1),'1-Input'!$B$12,0))-MIN(MAX(T541,0),MAX(0,P506-IF($A542&gt;=('1-Input'!$C$12+1),'1-Input'!$B$12,0))))*(1/(1-'P-Parametri'!$B$6*P542))+MIN(MAX(0,U541-(MAX(0,P506-IF($A542&gt;=('1-Input'!$C$12+1),'1-Input'!$B$12,0))-MIN(MAX(T541,0),MAX(0,P506-IF($A542&gt;=('1-Input'!$C$12+1),'1-Input'!$B$12,0))))*(1/(1-'P-Parametri'!$B$6*P542))),MAX(0,2*P506-(T541-MIN(MAX(T541,0),MAX(0,P506-IF($A542&gt;=('1-Input'!$C$12+1),'1-Input'!$B$12,0)))))*(1/(1-'P-Parametri'!$B$6*P542))))</f>
        <v>8386.6392525806859</v>
      </c>
      <c r="R542" s="18">
        <f>IF($A542&gt;'1-Input'!$B$26,T541,(T541-MAX(0,P506-IF($A542&gt;=('1-Input'!$C$12+1),'1-Input'!$B$12,0))+Q542*(1-'P-Parametri'!$B$6*P542))*(1+'1-Input'!$B$27))</f>
        <v>35631.289129554178</v>
      </c>
      <c r="S542" s="18">
        <f>IF($A542&gt;'1-Input'!$B$26,U541,(U541-Q542)*(1+'5-Roberta'!$C$4))</f>
        <v>33581.260082677989</v>
      </c>
      <c r="T542" s="18">
        <f>IF($A542&gt;'1-Input'!$B$26,R542,R542-'P-Parametri'!$B$8*(S542+R542)+MIN(MAX(S542,0),'P-Parametri'!$B$8*(S542+R542)))</f>
        <v>35631.289129554178</v>
      </c>
      <c r="U542" s="18">
        <f>IF($A542&gt;'1-Input'!$B$26,S542,S542-MIN(MAX(S542,0),'P-Parametri'!$B$8*(S542+R542)))</f>
        <v>33442.834984253524</v>
      </c>
      <c r="V542" s="18">
        <f>IF($A542&gt;'1-Input'!$B$26,V541,V541-Q542*(1-P542))</f>
        <v>10475.884153538093</v>
      </c>
      <c r="W542" s="11">
        <f>IF($A542&gt;'1-Input'!$B$26,0,IF(AB541&lt;=0,0,MAX(0,(AB541-AC541)/AB541)))</f>
        <v>0.67920357814107712</v>
      </c>
      <c r="X542" s="18">
        <f>IF($A542&gt;'1-Input'!$B$26,0,(MAX(0,W506-IF($A542&gt;=('1-Input'!$C$12+1),'1-Input'!$B$12,0))-MIN(MAX(AA541,0),MAX(0,W506-IF($A542&gt;=('1-Input'!$C$12+1),'1-Input'!$B$12,0))))*(1/(1-'P-Parametri'!$B$6*W542))+MIN(MAX(0,AB541-(MAX(0,W506-IF($A542&gt;=('1-Input'!$C$12+1),'1-Input'!$B$12,0))-MIN(MAX(AA541,0),MAX(0,W506-IF($A542&gt;=('1-Input'!$C$12+1),'1-Input'!$B$12,0))))*(1/(1-'P-Parametri'!$B$6*W542))),MAX(0,2*W506-(AA541-MIN(MAX(AA541,0),MAX(0,W506-IF($A542&gt;=('1-Input'!$C$12+1),'1-Input'!$B$12,0)))))*(1/(1-'P-Parametri'!$B$6*W542))))</f>
        <v>8206.4835464002226</v>
      </c>
      <c r="Y542" s="18">
        <f>IF($A542&gt;'1-Input'!$B$26,AA541,(AA541-MAX(0,W506-IF($A542&gt;=('1-Input'!$C$12+1),'1-Input'!$B$12,0))+X542*(1-'P-Parametri'!$B$6*W542))*(1+'1-Input'!$B$27))</f>
        <v>35335.550384623006</v>
      </c>
      <c r="Z542" s="18">
        <f>IF($A542&gt;'1-Input'!$B$26,AB541,(AB541-X542)*(1+'5-Roberta'!$C$4))</f>
        <v>44045.392854488942</v>
      </c>
      <c r="AA542" s="18">
        <f>IF($A542&gt;'1-Input'!$B$26,Y542,Y542-'P-Parametri'!$B$8*(Z542+Y542)+MIN(MAX(Z542,0),'P-Parametri'!$B$8*(Z542+Y542)))</f>
        <v>35335.550384623006</v>
      </c>
      <c r="AB542" s="18">
        <f>IF($A542&gt;'1-Input'!$B$26,Z542,Z542-MIN(MAX(Z542,0),'P-Parametri'!$B$8*(Z542+Y542)))</f>
        <v>43886.630968010715</v>
      </c>
      <c r="AC542" s="18">
        <f>IF($A542&gt;'1-Input'!$B$26,AC541,AC541-X542*(1-W542))</f>
        <v>13718.062550573419</v>
      </c>
      <c r="AD542" s="11">
        <f>IF($A542&gt;'1-Input'!$B$26,0,IF(AI541&lt;=0,0,MAX(0,(AI541-AJ541)/AI541)))</f>
        <v>0.67923934017961396</v>
      </c>
      <c r="AE542" s="18">
        <f>IF($A542&gt;'1-Input'!$B$26,0,(MAX(0,AD506-IF($A542&gt;=('1-Input'!$C$12+1),'1-Input'!$B$12,0))-MIN(MAX(AH541,0),MAX(0,AD506-IF($A542&gt;=('1-Input'!$C$12+1),'1-Input'!$B$12,0))))*(1/(1-'P-Parametri'!$B$6*AD542))+MIN(MAX(0,AI541-(MAX(0,AD506-IF($A542&gt;=('1-Input'!$C$12+1),'1-Input'!$B$12,0))-MIN(MAX(AH541,0),MAX(0,AD506-IF($A542&gt;=('1-Input'!$C$12+1),'1-Input'!$B$12,0))))*(1/(1-'P-Parametri'!$B$6*AD542))),MAX(0,2*AD506-(AH541-MIN(MAX(AH541,0),MAX(0,AD506-IF($A542&gt;=('1-Input'!$C$12+1),'1-Input'!$B$12,0)))))*(1/(1-'P-Parametri'!$B$6*AD542))))</f>
        <v>8192.1218774298413</v>
      </c>
      <c r="AF542" s="18">
        <f>IF($A542&gt;'1-Input'!$B$26,AH541,(AH541-MAX(0,AD506-IF($A542&gt;=('1-Input'!$C$12+1),'1-Input'!$B$12,0))+AE542*(1-'P-Parametri'!$B$6*AD542))*(1+'1-Input'!$B$27))</f>
        <v>35312.002280650035</v>
      </c>
      <c r="AG542" s="18">
        <f>IF($A542&gt;'1-Input'!$B$26,AI541,(AI541-AE542)*(1+'5-Roberta'!$C$4))</f>
        <v>44878.672048200715</v>
      </c>
      <c r="AH542" s="18">
        <f>IF($A542&gt;'1-Input'!$B$26,AF542,AF542-'P-Parametri'!$B$8*(AG542+AF542)+MIN(MAX(AG542,0),'P-Parametri'!$B$8*(AG542+AF542)))</f>
        <v>35312.002280650035</v>
      </c>
      <c r="AI542" s="18">
        <f>IF($A542&gt;'1-Input'!$B$26,AG542,AG542-MIN(MAX(AG542,0),'P-Parametri'!$B$8*(AG542+AF542)))</f>
        <v>44718.290699543017</v>
      </c>
      <c r="AJ542" s="18">
        <f>IF($A542&gt;'1-Input'!$B$26,AJ541,AJ541-AE542*(1-AD542))</f>
        <v>13976.031512663663</v>
      </c>
      <c r="AK542" s="11">
        <f>IF($A542&gt;'1-Input'!$B$26,0,IF(AP541&lt;=0,0,MAX(0,(AP541-AQ541)/AP541)))</f>
        <v>0.67923931048000419</v>
      </c>
      <c r="AL542" s="18">
        <f>IF($A542&gt;'1-Input'!$B$26,0,(MAX(0,AK506-IF($A542&gt;=('1-Input'!$C$12+1),'1-Input'!$B$12,0))-MIN(MAX(AO541,0),MAX(0,AK506-IF($A542&gt;=('1-Input'!$C$12+1),'1-Input'!$B$12,0))))*(1/(1-'P-Parametri'!$B$6*AK542))+MIN(MAX(0,AP541-(MAX(0,AK506-IF($A542&gt;=('1-Input'!$C$12+1),'1-Input'!$B$12,0))-MIN(MAX(AO541,0),MAX(0,AK506-IF($A542&gt;=('1-Input'!$C$12+1),'1-Input'!$B$12,0))))*(1/(1-'P-Parametri'!$B$6*AK542))),MAX(0,2*AK506-(AO541-MIN(MAX(AO541,0),MAX(0,AK506-IF($A542&gt;=('1-Input'!$C$12+1),'1-Input'!$B$12,0)))))*(1/(1-'P-Parametri'!$B$6*AK542))))</f>
        <v>8192.1339206039829</v>
      </c>
      <c r="AM542" s="18">
        <f>IF($A542&gt;'1-Input'!$B$26,AO541,(AO541-MAX(0,AK506-IF($A542&gt;=('1-Input'!$C$12+1),'1-Input'!$B$12,0))+AL542*(1-'P-Parametri'!$B$6*AK542))*(1+'1-Input'!$B$27))</f>
        <v>35312.022025795173</v>
      </c>
      <c r="AN542" s="18">
        <f>IF($A542&gt;'1-Input'!$B$26,AP541,(AP541-AL542)*(1+'5-Roberta'!$C$4))</f>
        <v>44877.97333725213</v>
      </c>
      <c r="AO542" s="18">
        <f>IF($A542&gt;'1-Input'!$B$26,AM542,AM542-'P-Parametri'!$B$8*(AN542+AM542)+MIN(MAX(AN542,0),'P-Parametri'!$B$8*(AN542+AM542)))</f>
        <v>35312.022025795173</v>
      </c>
      <c r="AP542" s="18">
        <f>IF($A542&gt;'1-Input'!$B$26,AN542,AN542-MIN(MAX(AN542,0),'P-Parametri'!$B$8*(AN542+AM542)))</f>
        <v>44717.593346526031</v>
      </c>
      <c r="AQ542" s="18">
        <f>IF($A542&gt;'1-Input'!$B$26,AQ541,AQ541-AL542*(1-AK542))</f>
        <v>13975.815215453384</v>
      </c>
    </row>
    <row r="543" spans="1:43">
      <c r="A543" s="10">
        <f>35</f>
        <v>35</v>
      </c>
      <c r="B543" s="11">
        <f>IF($A543&gt;'1-Input'!$B$26,0,IF(G542&lt;=0,0,MAX(0,(G542-H542)/G542)))</f>
        <v>0.68951294108079408</v>
      </c>
      <c r="C543" s="18">
        <f>IF($A543&gt;'1-Input'!$B$26,0,(MAX(0,B506-IF($A543&gt;=('1-Input'!$C$12+1),'1-Input'!$B$12,0))-MIN(MAX(F542,0),MAX(0,B506-IF($A543&gt;=('1-Input'!$C$12+1),'1-Input'!$B$12,0))))*(1/(1-'P-Parametri'!$B$6*B543))+MIN(MAX(0,G542-(MAX(0,B506-IF($A543&gt;=('1-Input'!$C$12+1),'1-Input'!$B$12,0))-MIN(MAX(F542,0),MAX(0,B506-IF($A543&gt;=('1-Input'!$C$12+1),'1-Input'!$B$12,0))))*(1/(1-'P-Parametri'!$B$6*B543))),MAX(0,2*B506-(F542-MIN(MAX(F542,0),MAX(0,B506-IF($A543&gt;=('1-Input'!$C$12+1),'1-Input'!$B$12,0)))))*(1/(1-'P-Parametri'!$B$6*B543))))</f>
        <v>6944.0403998537258</v>
      </c>
      <c r="D543" s="18">
        <f>IF($A543&gt;'1-Input'!$B$26,F542,(F542-MAX(0,B506-IF($A543&gt;=('1-Input'!$C$12+1),'1-Input'!$B$12,0))+C543*(1-'P-Parametri'!$B$6*B543))*(1+'1-Input'!$B$27))</f>
        <v>33242.0070309863</v>
      </c>
      <c r="E543" s="18">
        <f>IF($A543&gt;'1-Input'!$B$26,G542,(G542-C543)*(1+'5-Roberta'!$C$4))</f>
        <v>114234.01586728063</v>
      </c>
      <c r="F543" s="18">
        <f>IF($A543&gt;'1-Input'!$B$26,D543,D543-'P-Parametri'!$B$8*(E543+D543)+MIN(MAX(E543,0),'P-Parametri'!$B$8*(E543+D543)))</f>
        <v>33242.0070309863</v>
      </c>
      <c r="G543" s="18">
        <f>IF($A543&gt;'1-Input'!$B$26,E543,E543-MIN(MAX(E543,0),'P-Parametri'!$B$8*(E543+D543)))</f>
        <v>113939.06382148409</v>
      </c>
      <c r="H543" s="18">
        <f>IF($A543&gt;'1-Input'!$B$26,H542,H542-C543*(1-B543))</f>
        <v>34435.129723458129</v>
      </c>
      <c r="I543" s="11">
        <f>IF($A543&gt;'1-Input'!$B$26,0,IF(N542&lt;=0,0,MAX(0,(N542-O542)/N542)))</f>
        <v>0</v>
      </c>
      <c r="J543" s="18">
        <f>IF($A543&gt;'1-Input'!$B$26,0,(MAX(0,I506-IF($A543&gt;=('1-Input'!$C$12+1),'1-Input'!$B$12,0))-MIN(MAX(M542,0),MAX(0,I506-IF($A543&gt;=('1-Input'!$C$12+1),'1-Input'!$B$12,0))))*(1/(1-'P-Parametri'!$B$6*I543))+MIN(MAX(0,N542-(MAX(0,I506-IF($A543&gt;=('1-Input'!$C$12+1),'1-Input'!$B$12,0))-MIN(MAX(M542,0),MAX(0,I506-IF($A543&gt;=('1-Input'!$C$12+1),'1-Input'!$B$12,0))))*(1/(1-'P-Parametri'!$B$6*I543))),MAX(0,2*I506-(M542-MIN(MAX(M542,0),MAX(0,I506-IF($A543&gt;=('1-Input'!$C$12+1),'1-Input'!$B$12,0)))))*(1/(1-'P-Parametri'!$B$6*I543))))</f>
        <v>10846.756992928691</v>
      </c>
      <c r="K543" s="18">
        <f>IF($A543&gt;'1-Input'!$B$26,M542,(M542-MAX(0,I506-IF($A543&gt;=('1-Input'!$C$12+1),'1-Input'!$B$12,0))+J543*(1-'P-Parametri'!$B$6*I543))*(1+'1-Input'!$B$27))</f>
        <v>0</v>
      </c>
      <c r="L543" s="18">
        <f>IF($A543&gt;'1-Input'!$B$26,N542,(N542-J543)*(1+'5-Roberta'!$C$4))</f>
        <v>-163033.900846373</v>
      </c>
      <c r="M543" s="18">
        <f>IF($A543&gt;'1-Input'!$B$26,K543,K543-'P-Parametri'!$B$8*(L543+K543)+MIN(MAX(L543,0),'P-Parametri'!$B$8*(L543+K543)))</f>
        <v>0</v>
      </c>
      <c r="N543" s="18">
        <f>IF($A543&gt;'1-Input'!$B$26,L543,L543-MIN(MAX(L543,0),'P-Parametri'!$B$8*(L543+K543)))</f>
        <v>-162707.83304468024</v>
      </c>
      <c r="O543" s="18">
        <f>IF($A543&gt;'1-Input'!$B$26,O542,O542-J543*(1-I543))</f>
        <v>-134570.14590818813</v>
      </c>
      <c r="P543" s="11">
        <f>IF($A543&gt;'1-Input'!$B$26,0,IF(U542&lt;=0,0,MAX(0,(U542-V542)/U542)))</f>
        <v>0.68675250891646489</v>
      </c>
      <c r="Q543" s="18">
        <f>IF($A543&gt;'1-Input'!$B$26,0,(MAX(0,P506-IF($A543&gt;=('1-Input'!$C$12+1),'1-Input'!$B$12,0))-MIN(MAX(T542,0),MAX(0,P506-IF($A543&gt;=('1-Input'!$C$12+1),'1-Input'!$B$12,0))))*(1/(1-'P-Parametri'!$B$6*P543))+MIN(MAX(0,U542-(MAX(0,P506-IF($A543&gt;=('1-Input'!$C$12+1),'1-Input'!$B$12,0))-MIN(MAX(T542,0),MAX(0,P506-IF($A543&gt;=('1-Input'!$C$12+1),'1-Input'!$B$12,0))))*(1/(1-'P-Parametri'!$B$6*P543))),MAX(0,2*P506-(T542-MIN(MAX(T542,0),MAX(0,P506-IF($A543&gt;=('1-Input'!$C$12+1),'1-Input'!$B$12,0)))))*(1/(1-'P-Parametri'!$B$6*P543))))</f>
        <v>8408.0543258459311</v>
      </c>
      <c r="R543" s="18">
        <f>IF($A543&gt;'1-Input'!$B$26,T542,(T542-MAX(0,P506-IF($A543&gt;=('1-Input'!$C$12+1),'1-Input'!$B$12,0))+Q543*(1-'P-Parametri'!$B$6*P543))*(1+'1-Input'!$B$27))</f>
        <v>35631.289129554178</v>
      </c>
      <c r="S543" s="18">
        <f>IF($A543&gt;'1-Input'!$B$26,U542,(U542-Q543)*(1+'5-Roberta'!$C$4))</f>
        <v>25785.824078159825</v>
      </c>
      <c r="T543" s="18">
        <f>IF($A543&gt;'1-Input'!$B$26,R543,R543-'P-Parametri'!$B$8*(S543+R543)+MIN(MAX(S543,0),'P-Parametri'!$B$8*(S543+R543)))</f>
        <v>35631.289129554178</v>
      </c>
      <c r="U543" s="18">
        <f>IF($A543&gt;'1-Input'!$B$26,S543,S543-MIN(MAX(S543,0),'P-Parametri'!$B$8*(S543+R543)))</f>
        <v>25662.989851744398</v>
      </c>
      <c r="V543" s="18">
        <f>IF($A543&gt;'1-Input'!$B$26,V542,V542-Q543*(1-P543))</f>
        <v>7842.0822310727908</v>
      </c>
      <c r="W543" s="11">
        <f>IF($A543&gt;'1-Input'!$B$26,0,IF(AB542&lt;=0,0,MAX(0,(AB542-AC542)/AB542)))</f>
        <v>0.68742046842072213</v>
      </c>
      <c r="X543" s="18">
        <f>IF($A543&gt;'1-Input'!$B$26,0,(MAX(0,W506-IF($A543&gt;=('1-Input'!$C$12+1),'1-Input'!$B$12,0))-MIN(MAX(AA542,0),MAX(0,W506-IF($A543&gt;=('1-Input'!$C$12+1),'1-Input'!$B$12,0))))*(1/(1-'P-Parametri'!$B$6*W543))+MIN(MAX(0,AB542-(MAX(0,W506-IF($A543&gt;=('1-Input'!$C$12+1),'1-Input'!$B$12,0))-MIN(MAX(AA542,0),MAX(0,W506-IF($A543&gt;=('1-Input'!$C$12+1),'1-Input'!$B$12,0))))*(1/(1-'P-Parametri'!$B$6*W543))),MAX(0,2*W506-(AA542-MIN(MAX(AA542,0),MAX(0,W506-IF($A543&gt;=('1-Input'!$C$12+1),'1-Input'!$B$12,0)))))*(1/(1-'P-Parametri'!$B$6*W543))))</f>
        <v>8227.8312724722709</v>
      </c>
      <c r="Y543" s="18">
        <f>IF($A543&gt;'1-Input'!$B$26,AA542,(AA542-MAX(0,W506-IF($A543&gt;=('1-Input'!$C$12+1),'1-Input'!$B$12,0))+X543*(1-'P-Parametri'!$B$6*W543))*(1+'1-Input'!$B$27))</f>
        <v>35335.550384623006</v>
      </c>
      <c r="Z543" s="18">
        <f>IF($A543&gt;'1-Input'!$B$26,AB542,(AB542-X543)*(1+'5-Roberta'!$C$4))</f>
        <v>36728.563686404596</v>
      </c>
      <c r="AA543" s="18">
        <f>IF($A543&gt;'1-Input'!$B$26,Y543,Y543-'P-Parametri'!$B$8*(Z543+Y543)+MIN(MAX(Z543,0),'P-Parametri'!$B$8*(Z543+Y543)))</f>
        <v>35335.550384623006</v>
      </c>
      <c r="AB543" s="18">
        <f>IF($A543&gt;'1-Input'!$B$26,Z543,Z543-MIN(MAX(Z543,0),'P-Parametri'!$B$8*(Z543+Y543)))</f>
        <v>36584.435458262538</v>
      </c>
      <c r="AC543" s="18">
        <f>IF($A543&gt;'1-Input'!$B$26,AC542,AC542-X543*(1-W543))</f>
        <v>11146.210905510703</v>
      </c>
      <c r="AD543" s="11">
        <f>IF($A543&gt;'1-Input'!$B$26,0,IF(AI542&lt;=0,0,MAX(0,(AI542-AJ542)/AI542)))</f>
        <v>0.6874649881730277</v>
      </c>
      <c r="AE543" s="18">
        <f>IF($A543&gt;'1-Input'!$B$26,0,(MAX(0,AD506-IF($A543&gt;=('1-Input'!$C$12+1),'1-Input'!$B$12,0))-MIN(MAX(AH542,0),MAX(0,AD506-IF($A543&gt;=('1-Input'!$C$12+1),'1-Input'!$B$12,0))))*(1/(1-'P-Parametri'!$B$6*AD543))+MIN(MAX(0,AI542-(MAX(0,AD506-IF($A543&gt;=('1-Input'!$C$12+1),'1-Input'!$B$12,0))-MIN(MAX(AH542,0),MAX(0,AD506-IF($A543&gt;=('1-Input'!$C$12+1),'1-Input'!$B$12,0))))*(1/(1-'P-Parametri'!$B$6*AD543))),MAX(0,2*AD506-(AH542-MIN(MAX(AH542,0),MAX(0,AD506-IF($A543&gt;=('1-Input'!$C$12+1),'1-Input'!$B$12,0)))))*(1/(1-'P-Parametri'!$B$6*AD543))))</f>
        <v>8213.4552578014554</v>
      </c>
      <c r="AF543" s="18">
        <f>IF($A543&gt;'1-Input'!$B$26,AH542,(AH542-MAX(0,AD506-IF($A543&gt;=('1-Input'!$C$12+1),'1-Input'!$B$12,0))+AE543*(1-'P-Parametri'!$B$6*AD543))*(1+'1-Input'!$B$27))</f>
        <v>35312.002280650035</v>
      </c>
      <c r="AG543" s="18">
        <f>IF($A543&gt;'1-Input'!$B$26,AI542,(AI542-AE543)*(1+'5-Roberta'!$C$4))</f>
        <v>37599.980504993808</v>
      </c>
      <c r="AH543" s="18">
        <f>IF($A543&gt;'1-Input'!$B$26,AF543,AF543-'P-Parametri'!$B$8*(AG543+AF543)+MIN(MAX(AG543,0),'P-Parametri'!$B$8*(AG543+AF543)))</f>
        <v>35312.002280650035</v>
      </c>
      <c r="AI543" s="18">
        <f>IF($A543&gt;'1-Input'!$B$26,AG543,AG543-MIN(MAX(AG543,0),'P-Parametri'!$B$8*(AG543+AF543)))</f>
        <v>37454.156539422518</v>
      </c>
      <c r="AJ543" s="18">
        <f>IF($A543&gt;'1-Input'!$B$26,AJ542,AJ542-AE543*(1-AD543))</f>
        <v>11409.039176526378</v>
      </c>
      <c r="AK543" s="11">
        <f>IF($A543&gt;'1-Input'!$B$26,0,IF(AP542&lt;=0,0,MAX(0,(AP542-AQ542)/AP542)))</f>
        <v>0.68746495127428142</v>
      </c>
      <c r="AL543" s="18">
        <f>IF($A543&gt;'1-Input'!$B$26,0,(MAX(0,AK506-IF($A543&gt;=('1-Input'!$C$12+1),'1-Input'!$B$12,0))-MIN(MAX(AO542,0),MAX(0,AK506-IF($A543&gt;=('1-Input'!$C$12+1),'1-Input'!$B$12,0))))*(1/(1-'P-Parametri'!$B$6*AK543))+MIN(MAX(0,AP542-(MAX(0,AK506-IF($A543&gt;=('1-Input'!$C$12+1),'1-Input'!$B$12,0))-MIN(MAX(AO542,0),MAX(0,AK506-IF($A543&gt;=('1-Input'!$C$12+1),'1-Input'!$B$12,0))))*(1/(1-'P-Parametri'!$B$6*AK543))),MAX(0,2*AK506-(AO542-MIN(MAX(AO542,0),MAX(0,AK506-IF($A543&gt;=('1-Input'!$C$12+1),'1-Input'!$B$12,0)))))*(1/(1-'P-Parametri'!$B$6*AK543))))</f>
        <v>8213.4673134172917</v>
      </c>
      <c r="AM543" s="18">
        <f>IF($A543&gt;'1-Input'!$B$26,AO542,(AO542-MAX(0,AK506-IF($A543&gt;=('1-Input'!$C$12+1),'1-Input'!$B$12,0))+AL543*(1-'P-Parametri'!$B$6*AK543))*(1+'1-Input'!$B$27))</f>
        <v>35312.022025795173</v>
      </c>
      <c r="AN543" s="18">
        <f>IF($A543&gt;'1-Input'!$B$26,AP542,(AP542-AL543)*(1+'5-Roberta'!$C$4))</f>
        <v>37599.249814102004</v>
      </c>
      <c r="AO543" s="18">
        <f>IF($A543&gt;'1-Input'!$B$26,AM543,AM543-'P-Parametri'!$B$8*(AN543+AM543)+MIN(MAX(AN543,0),'P-Parametri'!$B$8*(AN543+AM543)))</f>
        <v>35312.022025795173</v>
      </c>
      <c r="AP543" s="18">
        <f>IF($A543&gt;'1-Input'!$B$26,AN543,AN543-MIN(MAX(AN543,0),'P-Parametri'!$B$8*(AN543+AM543)))</f>
        <v>37453.427270422209</v>
      </c>
      <c r="AQ543" s="18">
        <f>IF($A543&gt;'1-Input'!$B$26,AQ542,AQ542-AL543*(1-AK543))</f>
        <v>11408.818808447413</v>
      </c>
    </row>
    <row r="544" spans="1:43">
      <c r="A544" s="10">
        <f>36</f>
        <v>36</v>
      </c>
      <c r="B544" s="11">
        <f>IF($A544&gt;'1-Input'!$B$26,0,IF(G543&lt;=0,0,MAX(0,(G543-H543)/G543)))</f>
        <v>0.69777591136425399</v>
      </c>
      <c r="C544" s="18">
        <f>IF($A544&gt;'1-Input'!$B$26,0,(MAX(0,B506-IF($A544&gt;=('1-Input'!$C$12+1),'1-Input'!$B$12,0))-MIN(MAX(F543,0),MAX(0,B506-IF($A544&gt;=('1-Input'!$C$12+1),'1-Input'!$B$12,0))))*(1/(1-'P-Parametri'!$B$6*B544))+MIN(MAX(0,G543-(MAX(0,B506-IF($A544&gt;=('1-Input'!$C$12+1),'1-Input'!$B$12,0))-MIN(MAX(F543,0),MAX(0,B506-IF($A544&gt;=('1-Input'!$C$12+1),'1-Input'!$B$12,0))))*(1/(1-'P-Parametri'!$B$6*B544))),MAX(0,2*B506-(F543-MIN(MAX(F543,0),MAX(0,B506-IF($A544&gt;=('1-Input'!$C$12+1),'1-Input'!$B$12,0)))))*(1/(1-'P-Parametri'!$B$6*B544))))</f>
        <v>6962.2651494421107</v>
      </c>
      <c r="D544" s="18">
        <f>IF($A544&gt;'1-Input'!$B$26,F543,(F543-MAX(0,B506-IF($A544&gt;=('1-Input'!$C$12+1),'1-Input'!$B$12,0))+C544*(1-'P-Parametri'!$B$6*B544))*(1+'1-Input'!$B$27))</f>
        <v>33242.0070309863</v>
      </c>
      <c r="E544" s="18">
        <f>IF($A544&gt;'1-Input'!$B$26,G543,(G543-C544)*(1+'5-Roberta'!$C$4))</f>
        <v>110186.10263220324</v>
      </c>
      <c r="F544" s="18">
        <f>IF($A544&gt;'1-Input'!$B$26,D544,D544-'P-Parametri'!$B$8*(E544+D544)+MIN(MAX(E544,0),'P-Parametri'!$B$8*(E544+D544)))</f>
        <v>33242.0070309863</v>
      </c>
      <c r="G544" s="18">
        <f>IF($A544&gt;'1-Input'!$B$26,E544,E544-MIN(MAX(E544,0),'P-Parametri'!$B$8*(E544+D544)))</f>
        <v>109899.24641287686</v>
      </c>
      <c r="H544" s="18">
        <f>IF($A544&gt;'1-Input'!$B$26,H543,H543-C544*(1-B544))</f>
        <v>32330.965483827571</v>
      </c>
      <c r="I544" s="11">
        <f>IF($A544&gt;'1-Input'!$B$26,0,IF(N543&lt;=0,0,MAX(0,(N543-O543)/N543)))</f>
        <v>0</v>
      </c>
      <c r="J544" s="18">
        <f>IF($A544&gt;'1-Input'!$B$26,0,(MAX(0,I506-IF($A544&gt;=('1-Input'!$C$12+1),'1-Input'!$B$12,0))-MIN(MAX(M543,0),MAX(0,I506-IF($A544&gt;=('1-Input'!$C$12+1),'1-Input'!$B$12,0))))*(1/(1-'P-Parametri'!$B$6*I544))+MIN(MAX(0,N543-(MAX(0,I506-IF($A544&gt;=('1-Input'!$C$12+1),'1-Input'!$B$12,0))-MIN(MAX(M543,0),MAX(0,I506-IF($A544&gt;=('1-Input'!$C$12+1),'1-Input'!$B$12,0))))*(1/(1-'P-Parametri'!$B$6*I544))),MAX(0,2*I506-(M543-MIN(MAX(M543,0),MAX(0,I506-IF($A544&gt;=('1-Input'!$C$12+1),'1-Input'!$B$12,0)))))*(1/(1-'P-Parametri'!$B$6*I544))))</f>
        <v>10846.756992928691</v>
      </c>
      <c r="K544" s="18">
        <f>IF($A544&gt;'1-Input'!$B$26,M543,(M543-MAX(0,I506-IF($A544&gt;=('1-Input'!$C$12+1),'1-Input'!$B$12,0))+J544*(1-'P-Parametri'!$B$6*I544))*(1+'1-Input'!$B$27))</f>
        <v>0</v>
      </c>
      <c r="L544" s="18">
        <f>IF($A544&gt;'1-Input'!$B$26,N543,(N543-J544)*(1+'5-Roberta'!$C$4))</f>
        <v>-178761.22773873719</v>
      </c>
      <c r="M544" s="18">
        <f>IF($A544&gt;'1-Input'!$B$26,K544,K544-'P-Parametri'!$B$8*(L544+K544)+MIN(MAX(L544,0),'P-Parametri'!$B$8*(L544+K544)))</f>
        <v>0</v>
      </c>
      <c r="N544" s="18">
        <f>IF($A544&gt;'1-Input'!$B$26,L544,L544-MIN(MAX(L544,0),'P-Parametri'!$B$8*(L544+K544)))</f>
        <v>-178403.70528325971</v>
      </c>
      <c r="O544" s="18">
        <f>IF($A544&gt;'1-Input'!$B$26,O543,O543-J544*(1-I544))</f>
        <v>-145416.90290111682</v>
      </c>
      <c r="P544" s="11">
        <f>IF($A544&gt;'1-Input'!$B$26,0,IF(U543&lt;=0,0,MAX(0,(U543-V543)/U543)))</f>
        <v>0.69442055363086463</v>
      </c>
      <c r="Q544" s="18">
        <f>IF($A544&gt;'1-Input'!$B$26,0,(MAX(0,P506-IF($A544&gt;=('1-Input'!$C$12+1),'1-Input'!$B$12,0))-MIN(MAX(T543,0),MAX(0,P506-IF($A544&gt;=('1-Input'!$C$12+1),'1-Input'!$B$12,0))))*(1/(1-'P-Parametri'!$B$6*P544))+MIN(MAX(0,U543-(MAX(0,P506-IF($A544&gt;=('1-Input'!$C$12+1),'1-Input'!$B$12,0))-MIN(MAX(T543,0),MAX(0,P506-IF($A544&gt;=('1-Input'!$C$12+1),'1-Input'!$B$12,0))))*(1/(1-'P-Parametri'!$B$6*P544))),MAX(0,2*P506-(T543-MIN(MAX(T543,0),MAX(0,P506-IF($A544&gt;=('1-Input'!$C$12+1),'1-Input'!$B$12,0)))))*(1/(1-'P-Parametri'!$B$6*P544))))</f>
        <v>8428.5107955239455</v>
      </c>
      <c r="R544" s="18">
        <f>IF($A544&gt;'1-Input'!$B$26,T543,(T543-MAX(0,P506-IF($A544&gt;=('1-Input'!$C$12+1),'1-Input'!$B$12,0))+Q544*(1-'P-Parametri'!$B$6*P544))*(1+'1-Input'!$B$27))</f>
        <v>35631.289129554178</v>
      </c>
      <c r="S544" s="18">
        <f>IF($A544&gt;'1-Input'!$B$26,U543,(U543-Q544)*(1+'5-Roberta'!$C$4))</f>
        <v>17751.513427907066</v>
      </c>
      <c r="T544" s="18">
        <f>IF($A544&gt;'1-Input'!$B$26,R544,R544-'P-Parametri'!$B$8*(S544+R544)+MIN(MAX(S544,0),'P-Parametri'!$B$8*(S544+R544)))</f>
        <v>35631.289129554178</v>
      </c>
      <c r="U544" s="18">
        <f>IF($A544&gt;'1-Input'!$B$26,S544,S544-MIN(MAX(S544,0),'P-Parametri'!$B$8*(S544+R544)))</f>
        <v>17644.747822792142</v>
      </c>
      <c r="V544" s="18">
        <f>IF($A544&gt;'1-Input'!$B$26,V543,V543-Q544*(1-P544))</f>
        <v>5266.5025684603024</v>
      </c>
      <c r="W544" s="11">
        <f>IF($A544&gt;'1-Input'!$B$26,0,IF(AB543&lt;=0,0,MAX(0,(AB543-AC543)/AB543)))</f>
        <v>0.69532915389040539</v>
      </c>
      <c r="X544" s="18">
        <f>IF($A544&gt;'1-Input'!$B$26,0,(MAX(0,W506-IF($A544&gt;=('1-Input'!$C$12+1),'1-Input'!$B$12,0))-MIN(MAX(AA543,0),MAX(0,W506-IF($A544&gt;=('1-Input'!$C$12+1),'1-Input'!$B$12,0))))*(1/(1-'P-Parametri'!$B$6*W544))+MIN(MAX(0,AB543-(MAX(0,W506-IF($A544&gt;=('1-Input'!$C$12+1),'1-Input'!$B$12,0))-MIN(MAX(AA543,0),MAX(0,W506-IF($A544&gt;=('1-Input'!$C$12+1),'1-Input'!$B$12,0))))*(1/(1-'P-Parametri'!$B$6*W544))),MAX(0,2*W506-(AA543-MIN(MAX(AA543,0),MAX(0,W506-IF($A544&gt;=('1-Input'!$C$12+1),'1-Input'!$B$12,0)))))*(1/(1-'P-Parametri'!$B$6*W544))))</f>
        <v>8248.483430553737</v>
      </c>
      <c r="Y544" s="18">
        <f>IF($A544&gt;'1-Input'!$B$26,AA543,(AA543-MAX(0,W506-IF($A544&gt;=('1-Input'!$C$12+1),'1-Input'!$B$12,0))+X544*(1-'P-Parametri'!$B$6*W544))*(1+'1-Input'!$B$27))</f>
        <v>35335.550384623006</v>
      </c>
      <c r="Z544" s="18">
        <f>IF($A544&gt;'1-Input'!$B$26,AB543,(AB543-X544)*(1+'5-Roberta'!$C$4))</f>
        <v>29186.030588540067</v>
      </c>
      <c r="AA544" s="18">
        <f>IF($A544&gt;'1-Input'!$B$26,Y544,Y544-'P-Parametri'!$B$8*(Z544+Y544)+MIN(MAX(Z544,0),'P-Parametri'!$B$8*(Z544+Y544)))</f>
        <v>35335.550384623006</v>
      </c>
      <c r="AB544" s="18">
        <f>IF($A544&gt;'1-Input'!$B$26,Z544,Z544-MIN(MAX(Z544,0),'P-Parametri'!$B$8*(Z544+Y544)))</f>
        <v>29056.98742659374</v>
      </c>
      <c r="AC544" s="18">
        <f>IF($A544&gt;'1-Input'!$B$26,AC543,AC543-X544*(1-W544))</f>
        <v>8633.1384796029233</v>
      </c>
      <c r="AD544" s="11">
        <f>IF($A544&gt;'1-Input'!$B$26,0,IF(AI543&lt;=0,0,MAX(0,(AI543-AJ543)/AI543)))</f>
        <v>0.69538656772265717</v>
      </c>
      <c r="AE544" s="18">
        <f>IF($A544&gt;'1-Input'!$B$26,0,(MAX(0,AD506-IF($A544&gt;=('1-Input'!$C$12+1),'1-Input'!$B$12,0))-MIN(MAX(AH543,0),MAX(0,AD506-IF($A544&gt;=('1-Input'!$C$12+1),'1-Input'!$B$12,0))))*(1/(1-'P-Parametri'!$B$6*AD544))+MIN(MAX(0,AI543-(MAX(0,AD506-IF($A544&gt;=('1-Input'!$C$12+1),'1-Input'!$B$12,0))-MIN(MAX(AH543,0),MAX(0,AD506-IF($A544&gt;=('1-Input'!$C$12+1),'1-Input'!$B$12,0))))*(1/(1-'P-Parametri'!$B$6*AD544))),MAX(0,2*AD506-(AH543-MIN(MAX(AH543,0),MAX(0,AD506-IF($A544&gt;=('1-Input'!$C$12+1),'1-Input'!$B$12,0)))))*(1/(1-'P-Parametri'!$B$6*AD544))))</f>
        <v>8234.1053196601624</v>
      </c>
      <c r="AF544" s="18">
        <f>IF($A544&gt;'1-Input'!$B$26,AH543,(AH543-MAX(0,AD506-IF($A544&gt;=('1-Input'!$C$12+1),'1-Input'!$B$12,0))+AE544*(1-'P-Parametri'!$B$6*AD544))*(1+'1-Input'!$B$27))</f>
        <v>35312.002280650035</v>
      </c>
      <c r="AG544" s="18">
        <f>IF($A544&gt;'1-Input'!$B$26,AI543,(AI543-AE544)*(1+'5-Roberta'!$C$4))</f>
        <v>30096.652756355226</v>
      </c>
      <c r="AH544" s="18">
        <f>IF($A544&gt;'1-Input'!$B$26,AF544,AF544-'P-Parametri'!$B$8*(AG544+AF544)+MIN(MAX(AG544,0),'P-Parametri'!$B$8*(AG544+AF544)))</f>
        <v>35312.002280650035</v>
      </c>
      <c r="AI544" s="18">
        <f>IF($A544&gt;'1-Input'!$B$26,AG544,AG544-MIN(MAX(AG544,0),'P-Parametri'!$B$8*(AG544+AF544)))</f>
        <v>29965.835446281217</v>
      </c>
      <c r="AJ544" s="18">
        <f>IF($A544&gt;'1-Input'!$B$26,AJ543,AJ543-AE544*(1-AD544))</f>
        <v>8900.8200933715689</v>
      </c>
      <c r="AK544" s="11">
        <f>IF($A544&gt;'1-Input'!$B$26,0,IF(AP543&lt;=0,0,MAX(0,(AP543-AQ543)/AP543)))</f>
        <v>0.69538652027561687</v>
      </c>
      <c r="AL544" s="18">
        <f>IF($A544&gt;'1-Input'!$B$26,0,(MAX(0,AK506-IF($A544&gt;=('1-Input'!$C$12+1),'1-Input'!$B$12,0))-MIN(MAX(AO543,0),MAX(0,AK506-IF($A544&gt;=('1-Input'!$C$12+1),'1-Input'!$B$12,0))))*(1/(1-'P-Parametri'!$B$6*AK544))+MIN(MAX(0,AP543-(MAX(0,AK506-IF($A544&gt;=('1-Input'!$C$12+1),'1-Input'!$B$12,0))-MIN(MAX(AO543,0),MAX(0,AK506-IF($A544&gt;=('1-Input'!$C$12+1),'1-Input'!$B$12,0))))*(1/(1-'P-Parametri'!$B$6*AK544))),MAX(0,2*AK506-(AO543-MIN(MAX(AO543,0),MAX(0,AK506-IF($A544&gt;=('1-Input'!$C$12+1),'1-Input'!$B$12,0)))))*(1/(1-'P-Parametri'!$B$6*AK544))))</f>
        <v>8234.1173777775075</v>
      </c>
      <c r="AM544" s="18">
        <f>IF($A544&gt;'1-Input'!$B$26,AO543,(AO543-MAX(0,AK506-IF($A544&gt;=('1-Input'!$C$12+1),'1-Input'!$B$12,0))+AL544*(1-'P-Parametri'!$B$6*AK544))*(1+'1-Input'!$B$27))</f>
        <v>35312.022025795173</v>
      </c>
      <c r="AN544" s="18">
        <f>IF($A544&gt;'1-Input'!$B$26,AP543,(AP543-AL544)*(1+'5-Roberta'!$C$4))</f>
        <v>30095.889189424044</v>
      </c>
      <c r="AO544" s="18">
        <f>IF($A544&gt;'1-Input'!$B$26,AM544,AM544-'P-Parametri'!$B$8*(AN544+AM544)+MIN(MAX(AN544,0),'P-Parametri'!$B$8*(AN544+AM544)))</f>
        <v>35312.022025795173</v>
      </c>
      <c r="AP544" s="18">
        <f>IF($A544&gt;'1-Input'!$B$26,AN544,AN544-MIN(MAX(AN544,0),'P-Parametri'!$B$8*(AN544+AM544)))</f>
        <v>29965.073366993605</v>
      </c>
      <c r="AQ544" s="18">
        <f>IF($A544&gt;'1-Input'!$B$26,AQ543,AQ543-AL544*(1-AK544))</f>
        <v>8900.5956615435935</v>
      </c>
    </row>
    <row r="545" spans="1:43">
      <c r="A545" s="10">
        <f>37</f>
        <v>37</v>
      </c>
      <c r="B545" s="11">
        <f>IF($A545&gt;'1-Input'!$B$26,0,IF(G544&lt;=0,0,MAX(0,(G544-H544)/G544)))</f>
        <v>0.70581267352494448</v>
      </c>
      <c r="C545" s="18">
        <f>IF($A545&gt;'1-Input'!$B$26,0,(MAX(0,B506-IF($A545&gt;=('1-Input'!$C$12+1),'1-Input'!$B$12,0))-MIN(MAX(F544,0),MAX(0,B506-IF($A545&gt;=('1-Input'!$C$12+1),'1-Input'!$B$12,0))))*(1/(1-'P-Parametri'!$B$6*B545))+MIN(MAX(0,G544-(MAX(0,B506-IF($A545&gt;=('1-Input'!$C$12+1),'1-Input'!$B$12,0))-MIN(MAX(F544,0),MAX(0,B506-IF($A545&gt;=('1-Input'!$C$12+1),'1-Input'!$B$12,0))))*(1/(1-'P-Parametri'!$B$6*B545))),MAX(0,2*B506-(F544-MIN(MAX(F544,0),MAX(0,B506-IF($A545&gt;=('1-Input'!$C$12+1),'1-Input'!$B$12,0)))))*(1/(1-'P-Parametri'!$B$6*B545))))</f>
        <v>6980.0829806998809</v>
      </c>
      <c r="D545" s="18">
        <f>IF($A545&gt;'1-Input'!$B$26,F544,(F544-MAX(0,B506-IF($A545&gt;=('1-Input'!$C$12+1),'1-Input'!$B$12,0))+C545*(1-'P-Parametri'!$B$6*B545))*(1+'1-Input'!$B$27))</f>
        <v>33242.0070309863</v>
      </c>
      <c r="E545" s="18">
        <f>IF($A545&gt;'1-Input'!$B$26,G544,(G544-C545)*(1+'5-Roberta'!$C$4))</f>
        <v>106006.73833514229</v>
      </c>
      <c r="F545" s="18">
        <f>IF($A545&gt;'1-Input'!$B$26,D545,D545-'P-Parametri'!$B$8*(E545+D545)+MIN(MAX(E545,0),'P-Parametri'!$B$8*(E545+D545)))</f>
        <v>33242.0070309863</v>
      </c>
      <c r="G545" s="18">
        <f>IF($A545&gt;'1-Input'!$B$26,E545,E545-MIN(MAX(E545,0),'P-Parametri'!$B$8*(E545+D545)))</f>
        <v>105728.24084441003</v>
      </c>
      <c r="H545" s="18">
        <f>IF($A545&gt;'1-Input'!$B$26,H544,H544-C545*(1-B545))</f>
        <v>30277.513533161436</v>
      </c>
      <c r="I545" s="11">
        <f>IF($A545&gt;'1-Input'!$B$26,0,IF(N544&lt;=0,0,MAX(0,(N544-O544)/N544)))</f>
        <v>0</v>
      </c>
      <c r="J545" s="18">
        <f>IF($A545&gt;'1-Input'!$B$26,0,(MAX(0,I506-IF($A545&gt;=('1-Input'!$C$12+1),'1-Input'!$B$12,0))-MIN(MAX(M544,0),MAX(0,I506-IF($A545&gt;=('1-Input'!$C$12+1),'1-Input'!$B$12,0))))*(1/(1-'P-Parametri'!$B$6*I545))+MIN(MAX(0,N544-(MAX(0,I506-IF($A545&gt;=('1-Input'!$C$12+1),'1-Input'!$B$12,0))-MIN(MAX(M544,0),MAX(0,I506-IF($A545&gt;=('1-Input'!$C$12+1),'1-Input'!$B$12,0))))*(1/(1-'P-Parametri'!$B$6*I545))),MAX(0,2*I506-(M544-MIN(MAX(M544,0),MAX(0,I506-IF($A545&gt;=('1-Input'!$C$12+1),'1-Input'!$B$12,0)))))*(1/(1-'P-Parametri'!$B$6*I545))))</f>
        <v>10846.756992928691</v>
      </c>
      <c r="K545" s="18">
        <f>IF($A545&gt;'1-Input'!$B$26,M544,(M544-MAX(0,I506-IF($A545&gt;=('1-Input'!$C$12+1),'1-Input'!$B$12,0))+J545*(1-'P-Parametri'!$B$6*I545))*(1+'1-Input'!$B$27))</f>
        <v>0</v>
      </c>
      <c r="L545" s="18">
        <f>IF($A545&gt;'1-Input'!$B$26,N544,(N544-J545)*(1+'5-Roberta'!$C$4))</f>
        <v>-194927.97614447406</v>
      </c>
      <c r="M545" s="18">
        <f>IF($A545&gt;'1-Input'!$B$26,K545,K545-'P-Parametri'!$B$8*(L545+K545)+MIN(MAX(L545,0),'P-Parametri'!$B$8*(L545+K545)))</f>
        <v>0</v>
      </c>
      <c r="N545" s="18">
        <f>IF($A545&gt;'1-Input'!$B$26,L545,L545-MIN(MAX(L545,0),'P-Parametri'!$B$8*(L545+K545)))</f>
        <v>-194538.1201921851</v>
      </c>
      <c r="O545" s="18">
        <f>IF($A545&gt;'1-Input'!$B$26,O544,O544-J545*(1-I545))</f>
        <v>-156263.6598940455</v>
      </c>
      <c r="P545" s="11">
        <f>IF($A545&gt;'1-Input'!$B$26,0,IF(U544&lt;=0,0,MAX(0,(U544-V544)/U544)))</f>
        <v>0.70152576725083959</v>
      </c>
      <c r="Q545" s="18">
        <f>IF($A545&gt;'1-Input'!$B$26,0,(MAX(0,P506-IF($A545&gt;=('1-Input'!$C$12+1),'1-Input'!$B$12,0))-MIN(MAX(T544,0),MAX(0,P506-IF($A545&gt;=('1-Input'!$C$12+1),'1-Input'!$B$12,0))))*(1/(1-'P-Parametri'!$B$6*P545))+MIN(MAX(0,U544-(MAX(0,P506-IF($A545&gt;=('1-Input'!$C$12+1),'1-Input'!$B$12,0))-MIN(MAX(T544,0),MAX(0,P506-IF($A545&gt;=('1-Input'!$C$12+1),'1-Input'!$B$12,0))))*(1/(1-'P-Parametri'!$B$6*P545))),MAX(0,2*P506-(T544-MIN(MAX(T544,0),MAX(0,P506-IF($A545&gt;=('1-Input'!$C$12+1),'1-Input'!$B$12,0)))))*(1/(1-'P-Parametri'!$B$6*P545))))</f>
        <v>8447.5548186000724</v>
      </c>
      <c r="R545" s="18">
        <f>IF($A545&gt;'1-Input'!$B$26,T544,(T544-MAX(0,P506-IF($A545&gt;=('1-Input'!$C$12+1),'1-Input'!$B$12,0))+Q545*(1-'P-Parametri'!$B$6*P545))*(1+'1-Input'!$B$27))</f>
        <v>35631.289129554178</v>
      </c>
      <c r="S545" s="18">
        <f>IF($A545&gt;'1-Input'!$B$26,U544,(U544-Q545)*(1+'5-Roberta'!$C$4))</f>
        <v>9473.1087943178318</v>
      </c>
      <c r="T545" s="18">
        <f>IF($A545&gt;'1-Input'!$B$26,R545,R545-'P-Parametri'!$B$8*(S545+R545)+MIN(MAX(S545,0),'P-Parametri'!$B$8*(S545+R545)))</f>
        <v>35631.289129554178</v>
      </c>
      <c r="U545" s="18">
        <f>IF($A545&gt;'1-Input'!$B$26,S545,S545-MIN(MAX(S545,0),'P-Parametri'!$B$8*(S545+R545)))</f>
        <v>9382.8999984700877</v>
      </c>
      <c r="V545" s="18">
        <f>IF($A545&gt;'1-Input'!$B$26,V544,V544-Q545*(1-P545))</f>
        <v>2745.125125372173</v>
      </c>
      <c r="W545" s="11">
        <f>IF($A545&gt;'1-Input'!$B$26,0,IF(AB544&lt;=0,0,MAX(0,(AB544-AC544)/AB544)))</f>
        <v>0.70288941682572226</v>
      </c>
      <c r="X545" s="18">
        <f>IF($A545&gt;'1-Input'!$B$26,0,(MAX(0,W506-IF($A545&gt;=('1-Input'!$C$12+1),'1-Input'!$B$12,0))-MIN(MAX(AA544,0),MAX(0,W506-IF($A545&gt;=('1-Input'!$C$12+1),'1-Input'!$B$12,0))))*(1/(1-'P-Parametri'!$B$6*W545))+MIN(MAX(0,AB544-(MAX(0,W506-IF($A545&gt;=('1-Input'!$C$12+1),'1-Input'!$B$12,0))-MIN(MAX(AA544,0),MAX(0,W506-IF($A545&gt;=('1-Input'!$C$12+1),'1-Input'!$B$12,0))))*(1/(1-'P-Parametri'!$B$6*W545))),MAX(0,2*W506-(AA544-MIN(MAX(AA544,0),MAX(0,W506-IF($A545&gt;=('1-Input'!$C$12+1),'1-Input'!$B$12,0)))))*(1/(1-'P-Parametri'!$B$6*W545))))</f>
        <v>8268.3229015733359</v>
      </c>
      <c r="Y545" s="18">
        <f>IF($A545&gt;'1-Input'!$B$26,AA544,(AA544-MAX(0,W506-IF($A545&gt;=('1-Input'!$C$12+1),'1-Input'!$B$12,0))+X545*(1-'P-Parametri'!$B$6*W545))*(1+'1-Input'!$B$27))</f>
        <v>35335.550384623006</v>
      </c>
      <c r="Z545" s="18">
        <f>IF($A545&gt;'1-Input'!$B$26,AB544,(AB544-X545)*(1+'5-Roberta'!$C$4))</f>
        <v>21412.324460771015</v>
      </c>
      <c r="AA545" s="18">
        <f>IF($A545&gt;'1-Input'!$B$26,Y545,Y545-'P-Parametri'!$B$8*(Z545+Y545)+MIN(MAX(Z545,0),'P-Parametri'!$B$8*(Z545+Y545)))</f>
        <v>35335.550384623006</v>
      </c>
      <c r="AB545" s="18">
        <f>IF($A545&gt;'1-Input'!$B$26,Z545,Z545-MIN(MAX(Z545,0),'P-Parametri'!$B$8*(Z545+Y545)))</f>
        <v>21298.828711080227</v>
      </c>
      <c r="AC545" s="18">
        <f>IF($A545&gt;'1-Input'!$B$26,AC544,AC544-X545*(1-W545))</f>
        <v>6176.5322404432336</v>
      </c>
      <c r="AD545" s="11">
        <f>IF($A545&gt;'1-Input'!$B$26,0,IF(AI544&lt;=0,0,MAX(0,(AI544-AJ544)/AI544)))</f>
        <v>0.70296773105733101</v>
      </c>
      <c r="AE545" s="18">
        <f>IF($A545&gt;'1-Input'!$B$26,0,(MAX(0,AD506-IF($A545&gt;=('1-Input'!$C$12+1),'1-Input'!$B$12,0))-MIN(MAX(AH544,0),MAX(0,AD506-IF($A545&gt;=('1-Input'!$C$12+1),'1-Input'!$B$12,0))))*(1/(1-'P-Parametri'!$B$6*AD545))+MIN(MAX(0,AI544-(MAX(0,AD506-IF($A545&gt;=('1-Input'!$C$12+1),'1-Input'!$B$12,0))-MIN(MAX(AH544,0),MAX(0,AD506-IF($A545&gt;=('1-Input'!$C$12+1),'1-Input'!$B$12,0))))*(1/(1-'P-Parametri'!$B$6*AD545))),MAX(0,2*AD506-(AH544-MIN(MAX(AH544,0),MAX(0,AD506-IF($A545&gt;=('1-Input'!$C$12+1),'1-Input'!$B$12,0)))))*(1/(1-'P-Parametri'!$B$6*AD545))))</f>
        <v>8253.9654536316866</v>
      </c>
      <c r="AF545" s="18">
        <f>IF($A545&gt;'1-Input'!$B$26,AH544,(AH544-MAX(0,AD506-IF($A545&gt;=('1-Input'!$C$12+1),'1-Input'!$B$12,0))+AE545*(1-'P-Parametri'!$B$6*AD545))*(1+'1-Input'!$B$27))</f>
        <v>35312.002280650035</v>
      </c>
      <c r="AG545" s="18">
        <f>IF($A545&gt;'1-Input'!$B$26,AI544,(AI544-AE545)*(1+'5-Roberta'!$C$4))</f>
        <v>22363.226092429017</v>
      </c>
      <c r="AH545" s="18">
        <f>IF($A545&gt;'1-Input'!$B$26,AF545,AF545-'P-Parametri'!$B$8*(AG545+AF545)+MIN(MAX(AG545,0),'P-Parametri'!$B$8*(AG545+AF545)))</f>
        <v>35312.002280650035</v>
      </c>
      <c r="AI545" s="18">
        <f>IF($A545&gt;'1-Input'!$B$26,AG545,AG545-MIN(MAX(AG545,0),'P-Parametri'!$B$8*(AG545+AF545)))</f>
        <v>22247.87563568286</v>
      </c>
      <c r="AJ545" s="18">
        <f>IF($A545&gt;'1-Input'!$B$26,AJ544,AJ544-AE545*(1-AD545))</f>
        <v>6449.1260069049431</v>
      </c>
      <c r="AK545" s="11">
        <f>IF($A545&gt;'1-Input'!$B$26,0,IF(AP544&lt;=0,0,MAX(0,(AP544-AQ544)/AP544)))</f>
        <v>0.702967666638602</v>
      </c>
      <c r="AL545" s="18">
        <f>IF($A545&gt;'1-Input'!$B$26,0,(MAX(0,AK506-IF($A545&gt;=('1-Input'!$C$12+1),'1-Input'!$B$12,0))-MIN(MAX(AO544,0),MAX(0,AK506-IF($A545&gt;=('1-Input'!$C$12+1),'1-Input'!$B$12,0))))*(1/(1-'P-Parametri'!$B$6*AK545))+MIN(MAX(0,AP544-(MAX(0,AK506-IF($A545&gt;=('1-Input'!$C$12+1),'1-Input'!$B$12,0))-MIN(MAX(AO544,0),MAX(0,AK506-IF($A545&gt;=('1-Input'!$C$12+1),'1-Input'!$B$12,0))))*(1/(1-'P-Parametri'!$B$6*AK545))),MAX(0,2*AK506-(AO544-MIN(MAX(AO544,0),MAX(0,AK506-IF($A545&gt;=('1-Input'!$C$12+1),'1-Input'!$B$12,0)))))*(1/(1-'P-Parametri'!$B$6*AK545))))</f>
        <v>8253.9774959651477</v>
      </c>
      <c r="AM545" s="18">
        <f>IF($A545&gt;'1-Input'!$B$26,AO544,(AO544-MAX(0,AK506-IF($A545&gt;=('1-Input'!$C$12+1),'1-Input'!$B$12,0))+AL545*(1-'P-Parametri'!$B$6*AK545))*(1+'1-Input'!$B$27))</f>
        <v>35312.022025795173</v>
      </c>
      <c r="AN545" s="18">
        <f>IF($A545&gt;'1-Input'!$B$26,AP544,(AP544-AL545)*(1+'5-Roberta'!$C$4))</f>
        <v>22362.428747159312</v>
      </c>
      <c r="AO545" s="18">
        <f>IF($A545&gt;'1-Input'!$B$26,AM545,AM545-'P-Parametri'!$B$8*(AN545+AM545)+MIN(MAX(AN545,0),'P-Parametri'!$B$8*(AN545+AM545)))</f>
        <v>35312.022025795173</v>
      </c>
      <c r="AP545" s="18">
        <f>IF($A545&gt;'1-Input'!$B$26,AN545,AN545-MIN(MAX(AN545,0),'P-Parametri'!$B$8*(AN545+AM545)))</f>
        <v>22247.079845613403</v>
      </c>
      <c r="AQ545" s="18">
        <f>IF($A545&gt;'1-Input'!$B$26,AQ544,AQ544-AL545*(1-AK545))</f>
        <v>6448.8974664045963</v>
      </c>
    </row>
    <row r="546" spans="1:43">
      <c r="A546" s="10">
        <f>38</f>
        <v>38</v>
      </c>
      <c r="B546" s="11">
        <f>IF($A546&gt;'1-Input'!$B$26,0,IF(G545&lt;=0,0,MAX(0,(G545-H545)/G545)))</f>
        <v>0.71362889147358555</v>
      </c>
      <c r="C546" s="18">
        <f>IF($A546&gt;'1-Input'!$B$26,0,(MAX(0,B506-IF($A546&gt;=('1-Input'!$C$12+1),'1-Input'!$B$12,0))-MIN(MAX(F545,0),MAX(0,B506-IF($A546&gt;=('1-Input'!$C$12+1),'1-Input'!$B$12,0))))*(1/(1-'P-Parametri'!$B$6*B546))+MIN(MAX(0,G545-(MAX(0,B506-IF($A546&gt;=('1-Input'!$C$12+1),'1-Input'!$B$12,0))-MIN(MAX(F545,0),MAX(0,B506-IF($A546&gt;=('1-Input'!$C$12+1),'1-Input'!$B$12,0))))*(1/(1-'P-Parametri'!$B$6*B546))),MAX(0,2*B506-(F545-MIN(MAX(F545,0),MAX(0,B506-IF($A546&gt;=('1-Input'!$C$12+1),'1-Input'!$B$12,0)))))*(1/(1-'P-Parametri'!$B$6*B546))))</f>
        <v>6997.4995538049852</v>
      </c>
      <c r="D546" s="18">
        <f>IF($A546&gt;'1-Input'!$B$26,F545,(F545-MAX(0,B506-IF($A546&gt;=('1-Input'!$C$12+1),'1-Input'!$B$12,0))+C546*(1-'P-Parametri'!$B$6*B546))*(1+'1-Input'!$B$27))</f>
        <v>33242.0070309863</v>
      </c>
      <c r="E546" s="18">
        <f>IF($A546&gt;'1-Input'!$B$26,G545,(G545-C546)*(1+'5-Roberta'!$C$4))</f>
        <v>101692.6635293232</v>
      </c>
      <c r="F546" s="18">
        <f>IF($A546&gt;'1-Input'!$B$26,D546,D546-'P-Parametri'!$B$8*(E546+D546)+MIN(MAX(E546,0),'P-Parametri'!$B$8*(E546+D546)))</f>
        <v>33242.0070309863</v>
      </c>
      <c r="G546" s="18">
        <f>IF($A546&gt;'1-Input'!$B$26,E546,E546-MIN(MAX(E546,0),'P-Parametri'!$B$8*(E546+D546)))</f>
        <v>101422.79418820258</v>
      </c>
      <c r="H546" s="18">
        <f>IF($A546&gt;'1-Input'!$B$26,H545,H545-C546*(1-B546))</f>
        <v>28273.631829025213</v>
      </c>
      <c r="I546" s="11">
        <f>IF($A546&gt;'1-Input'!$B$26,0,IF(N545&lt;=0,0,MAX(0,(N545-O545)/N545)))</f>
        <v>0</v>
      </c>
      <c r="J546" s="18">
        <f>IF($A546&gt;'1-Input'!$B$26,0,(MAX(0,I506-IF($A546&gt;=('1-Input'!$C$12+1),'1-Input'!$B$12,0))-MIN(MAX(M545,0),MAX(0,I506-IF($A546&gt;=('1-Input'!$C$12+1),'1-Input'!$B$12,0))))*(1/(1-'P-Parametri'!$B$6*I546))+MIN(MAX(0,N545-(MAX(0,I506-IF($A546&gt;=('1-Input'!$C$12+1),'1-Input'!$B$12,0))-MIN(MAX(M545,0),MAX(0,I506-IF($A546&gt;=('1-Input'!$C$12+1),'1-Input'!$B$12,0))))*(1/(1-'P-Parametri'!$B$6*I546))),MAX(0,2*I506-(M545-MIN(MAX(M545,0),MAX(0,I506-IF($A546&gt;=('1-Input'!$C$12+1),'1-Input'!$B$12,0)))))*(1/(1-'P-Parametri'!$B$6*I546))))</f>
        <v>10846.756992928691</v>
      </c>
      <c r="K546" s="18">
        <f>IF($A546&gt;'1-Input'!$B$26,M545,(M545-MAX(0,I506-IF($A546&gt;=('1-Input'!$C$12+1),'1-Input'!$B$12,0))+J546*(1-'P-Parametri'!$B$6*I546))*(1+'1-Input'!$B$27))</f>
        <v>0</v>
      </c>
      <c r="L546" s="18">
        <f>IF($A546&gt;'1-Input'!$B$26,N545,(N545-J546)*(1+'5-Roberta'!$C$4))</f>
        <v>-211546.42350066721</v>
      </c>
      <c r="M546" s="18">
        <f>IF($A546&gt;'1-Input'!$B$26,K546,K546-'P-Parametri'!$B$8*(L546+K546)+MIN(MAX(L546,0),'P-Parametri'!$B$8*(L546+K546)))</f>
        <v>0</v>
      </c>
      <c r="N546" s="18">
        <f>IF($A546&gt;'1-Input'!$B$26,L546,L546-MIN(MAX(L546,0),'P-Parametri'!$B$8*(L546+K546)))</f>
        <v>-211123.33065366588</v>
      </c>
      <c r="O546" s="18">
        <f>IF($A546&gt;'1-Input'!$B$26,O545,O545-J546*(1-I546))</f>
        <v>-167110.41688697418</v>
      </c>
      <c r="P546" s="11">
        <f>IF($A546&gt;'1-Input'!$B$26,0,IF(U545&lt;=0,0,MAX(0,(U545-V545)/U545)))</f>
        <v>0.70743318954483425</v>
      </c>
      <c r="Q546" s="18">
        <f>IF($A546&gt;'1-Input'!$B$26,0,(MAX(0,P506-IF($A546&gt;=('1-Input'!$C$12+1),'1-Input'!$B$12,0))-MIN(MAX(T545,0),MAX(0,P506-IF($A546&gt;=('1-Input'!$C$12+1),'1-Input'!$B$12,0))))*(1/(1-'P-Parametri'!$B$6*P546))+MIN(MAX(0,U545-(MAX(0,P506-IF($A546&gt;=('1-Input'!$C$12+1),'1-Input'!$B$12,0))-MIN(MAX(T545,0),MAX(0,P506-IF($A546&gt;=('1-Input'!$C$12+1),'1-Input'!$B$12,0))))*(1/(1-'P-Parametri'!$B$6*P546))),MAX(0,2*P506-(T545-MIN(MAX(T545,0),MAX(0,P506-IF($A546&gt;=('1-Input'!$C$12+1),'1-Input'!$B$12,0)))))*(1/(1-'P-Parametri'!$B$6*P546))))</f>
        <v>8463.4540588080399</v>
      </c>
      <c r="R546" s="18">
        <f>IF($A546&gt;'1-Input'!$B$26,T545,(T545-MAX(0,P506-IF($A546&gt;=('1-Input'!$C$12+1),'1-Input'!$B$12,0))+Q546*(1-'P-Parametri'!$B$6*P546))*(1+'1-Input'!$B$27))</f>
        <v>35631.289129554178</v>
      </c>
      <c r="S546" s="18">
        <f>IF($A546&gt;'1-Input'!$B$26,U545,(U545-Q546)*(1+'5-Roberta'!$C$4))</f>
        <v>947.02931785190924</v>
      </c>
      <c r="T546" s="18">
        <f>IF($A546&gt;'1-Input'!$B$26,R546,R546-'P-Parametri'!$B$8*(S546+R546)+MIN(MAX(S546,0),'P-Parametri'!$B$8*(S546+R546)))</f>
        <v>35631.289129554178</v>
      </c>
      <c r="U546" s="18">
        <f>IF($A546&gt;'1-Input'!$B$26,S546,S546-MIN(MAX(S546,0),'P-Parametri'!$B$8*(S546+R546)))</f>
        <v>873.87268095709703</v>
      </c>
      <c r="V546" s="18">
        <f>IF($A546&gt;'1-Input'!$B$26,V545,V545-Q546*(1-P546))</f>
        <v>268.99936595287772</v>
      </c>
      <c r="W546" s="11">
        <f>IF($A546&gt;'1-Input'!$B$26,0,IF(AB545&lt;=0,0,MAX(0,(AB545-AC545)/AB545)))</f>
        <v>0.7100060137471299</v>
      </c>
      <c r="X546" s="18">
        <f>IF($A546&gt;'1-Input'!$B$26,0,(MAX(0,W506-IF($A546&gt;=('1-Input'!$C$12+1),'1-Input'!$B$12,0))-MIN(MAX(AA545,0),MAX(0,W506-IF($A546&gt;=('1-Input'!$C$12+1),'1-Input'!$B$12,0))))*(1/(1-'P-Parametri'!$B$6*W546))+MIN(MAX(0,AB545-(MAX(0,W506-IF($A546&gt;=('1-Input'!$C$12+1),'1-Input'!$B$12,0))-MIN(MAX(AA545,0),MAX(0,W506-IF($A546&gt;=('1-Input'!$C$12+1),'1-Input'!$B$12,0))))*(1/(1-'P-Parametri'!$B$6*W546))),MAX(0,2*W506-(AA545-MIN(MAX(AA545,0),MAX(0,W506-IF($A546&gt;=('1-Input'!$C$12+1),'1-Input'!$B$12,0)))))*(1/(1-'P-Parametri'!$B$6*W546))))</f>
        <v>8287.0855124102691</v>
      </c>
      <c r="Y546" s="18">
        <f>IF($A546&gt;'1-Input'!$B$26,AA545,(AA545-MAX(0,W506-IF($A546&gt;=('1-Input'!$C$12+1),'1-Input'!$B$12,0))+X546*(1-'P-Parametri'!$B$6*W546))*(1+'1-Input'!$B$27))</f>
        <v>35335.550384623006</v>
      </c>
      <c r="Z546" s="18">
        <f>IF($A546&gt;'1-Input'!$B$26,AB545,(AB545-X546)*(1+'5-Roberta'!$C$4))</f>
        <v>13402.095494630057</v>
      </c>
      <c r="AA546" s="18">
        <f>IF($A546&gt;'1-Input'!$B$26,Y546,Y546-'P-Parametri'!$B$8*(Z546+Y546)+MIN(MAX(Z546,0),'P-Parametri'!$B$8*(Z546+Y546)))</f>
        <v>35335.550384623006</v>
      </c>
      <c r="AB546" s="18">
        <f>IF($A546&gt;'1-Input'!$B$26,Z546,Z546-MIN(MAX(Z546,0),'P-Parametri'!$B$8*(Z546+Y546)))</f>
        <v>13304.620202871551</v>
      </c>
      <c r="AC546" s="18">
        <f>IF($A546&gt;'1-Input'!$B$26,AC545,AC545-X546*(1-W546))</f>
        <v>3773.3272782809713</v>
      </c>
      <c r="AD546" s="11">
        <f>IF($A546&gt;'1-Input'!$B$26,0,IF(AI545&lt;=0,0,MAX(0,(AI545-AJ545)/AI545)))</f>
        <v>0.71012396363087649</v>
      </c>
      <c r="AE546" s="18">
        <f>IF($A546&gt;'1-Input'!$B$26,0,(MAX(0,AD506-IF($A546&gt;=('1-Input'!$C$12+1),'1-Input'!$B$12,0))-MIN(MAX(AH545,0),MAX(0,AD506-IF($A546&gt;=('1-Input'!$C$12+1),'1-Input'!$B$12,0))))*(1/(1-'P-Parametri'!$B$6*AD546))+MIN(MAX(0,AI545-(MAX(0,AD506-IF($A546&gt;=('1-Input'!$C$12+1),'1-Input'!$B$12,0))-MIN(MAX(AH545,0),MAX(0,AD506-IF($A546&gt;=('1-Input'!$C$12+1),'1-Input'!$B$12,0))))*(1/(1-'P-Parametri'!$B$6*AD546))),MAX(0,2*AD506-(AH545-MIN(MAX(AH545,0),MAX(0,AD506-IF($A546&gt;=('1-Input'!$C$12+1),'1-Input'!$B$12,0)))))*(1/(1-'P-Parametri'!$B$6*AD546))))</f>
        <v>8272.8005089892213</v>
      </c>
      <c r="AF546" s="18">
        <f>IF($A546&gt;'1-Input'!$B$26,AH545,(AH545-MAX(0,AD506-IF($A546&gt;=('1-Input'!$C$12+1),'1-Input'!$B$12,0))+AE546*(1-'P-Parametri'!$B$6*AD546))*(1+'1-Input'!$B$27))</f>
        <v>35312.002280650035</v>
      </c>
      <c r="AG546" s="18">
        <f>IF($A546&gt;'1-Input'!$B$26,AI545,(AI545-AE546)*(1+'5-Roberta'!$C$4))</f>
        <v>14394.327380494447</v>
      </c>
      <c r="AH546" s="18">
        <f>IF($A546&gt;'1-Input'!$B$26,AF546,AF546-'P-Parametri'!$B$8*(AG546+AF546)+MIN(MAX(AG546,0),'P-Parametri'!$B$8*(AG546+AF546)))</f>
        <v>35312.002280650035</v>
      </c>
      <c r="AI546" s="18">
        <f>IF($A546&gt;'1-Input'!$B$26,AG546,AG546-MIN(MAX(AG546,0),'P-Parametri'!$B$8*(AG546+AF546)))</f>
        <v>14294.914721172159</v>
      </c>
      <c r="AJ546" s="18">
        <f>IF($A546&gt;'1-Input'!$B$26,AJ545,AJ545-AE546*(1-AD546))</f>
        <v>4051.0393856866799</v>
      </c>
      <c r="AK546" s="11">
        <f>IF($A546&gt;'1-Input'!$B$26,0,IF(AP545&lt;=0,0,MAX(0,(AP545-AQ545)/AP545)))</f>
        <v>0.7101238674397905</v>
      </c>
      <c r="AL546" s="18">
        <f>IF($A546&gt;'1-Input'!$B$26,0,(MAX(0,AK506-IF($A546&gt;=('1-Input'!$C$12+1),'1-Input'!$B$12,0))-MIN(MAX(AO545,0),MAX(0,AK506-IF($A546&gt;=('1-Input'!$C$12+1),'1-Input'!$B$12,0))))*(1/(1-'P-Parametri'!$B$6*AK546))+MIN(MAX(0,AP545-(MAX(0,AK506-IF($A546&gt;=('1-Input'!$C$12+1),'1-Input'!$B$12,0))-MIN(MAX(AO545,0),MAX(0,AK506-IF($A546&gt;=('1-Input'!$C$12+1),'1-Input'!$B$12,0))))*(1/(1-'P-Parametri'!$B$6*AK546))),MAX(0,2*AK506-(AO545-MIN(MAX(AO545,0),MAX(0,AK506-IF($A546&gt;=('1-Input'!$C$12+1),'1-Input'!$B$12,0)))))*(1/(1-'P-Parametri'!$B$6*AK546))))</f>
        <v>8272.8124946005373</v>
      </c>
      <c r="AM546" s="18">
        <f>IF($A546&gt;'1-Input'!$B$26,AO545,(AO545-MAX(0,AK506-IF($A546&gt;=('1-Input'!$C$12+1),'1-Input'!$B$12,0))+AL546*(1-'P-Parametri'!$B$6*AK546))*(1+'1-Input'!$B$27))</f>
        <v>35312.022025795173</v>
      </c>
      <c r="AN546" s="18">
        <f>IF($A546&gt;'1-Input'!$B$26,AP545,(AP545-AL546)*(1+'5-Roberta'!$C$4))</f>
        <v>14393.495371543253</v>
      </c>
      <c r="AO546" s="18">
        <f>IF($A546&gt;'1-Input'!$B$26,AM546,AM546-'P-Parametri'!$B$8*(AN546+AM546)+MIN(MAX(AN546,0),'P-Parametri'!$B$8*(AN546+AM546)))</f>
        <v>35312.022025795173</v>
      </c>
      <c r="AP546" s="18">
        <f>IF($A546&gt;'1-Input'!$B$26,AN546,AN546-MIN(MAX(AN546,0),'P-Parametri'!$B$8*(AN546+AM546)))</f>
        <v>14294.084336748576</v>
      </c>
      <c r="AQ546" s="18">
        <f>IF($A546&gt;'1-Input'!$B$26,AQ545,AQ545-AL546*(1-AK546))</f>
        <v>4050.8065750740134</v>
      </c>
    </row>
    <row r="547" spans="1:43">
      <c r="A547" s="10">
        <f>39</f>
        <v>39</v>
      </c>
      <c r="B547" s="11">
        <f>IF($A547&gt;'1-Input'!$B$26,0,IF(G546&lt;=0,0,MAX(0,(G546-H546)/G546)))</f>
        <v>0.72123000499710177</v>
      </c>
      <c r="C547" s="18">
        <f>IF($A547&gt;'1-Input'!$B$26,0,(MAX(0,B506-IF($A547&gt;=('1-Input'!$C$12+1),'1-Input'!$B$12,0))-MIN(MAX(F546,0),MAX(0,B506-IF($A547&gt;=('1-Input'!$C$12+1),'1-Input'!$B$12,0))))*(1/(1-'P-Parametri'!$B$6*B547))+MIN(MAX(0,G546-(MAX(0,B506-IF($A547&gt;=('1-Input'!$C$12+1),'1-Input'!$B$12,0))-MIN(MAX(F546,0),MAX(0,B506-IF($A547&gt;=('1-Input'!$C$12+1),'1-Input'!$B$12,0))))*(1/(1-'P-Parametri'!$B$6*B547))),MAX(0,2*B506-(F546-MIN(MAX(F546,0),MAX(0,B506-IF($A547&gt;=('1-Input'!$C$12+1),'1-Input'!$B$12,0)))))*(1/(1-'P-Parametri'!$B$6*B547))))</f>
        <v>7014.5203809332197</v>
      </c>
      <c r="D547" s="18">
        <f>IF($A547&gt;'1-Input'!$B$26,F546,(F546-MAX(0,B506-IF($A547&gt;=('1-Input'!$C$12+1),'1-Input'!$B$12,0))+C547*(1-'P-Parametri'!$B$6*B547))*(1+'1-Input'!$B$27))</f>
        <v>33242.0070309863</v>
      </c>
      <c r="E547" s="18">
        <f>IF($A547&gt;'1-Input'!$B$26,G546,(G546-C547)*(1+'5-Roberta'!$C$4))</f>
        <v>97240.522021487443</v>
      </c>
      <c r="F547" s="18">
        <f>IF($A547&gt;'1-Input'!$B$26,D547,D547-'P-Parametri'!$B$8*(E547+D547)+MIN(MAX(E547,0),'P-Parametri'!$B$8*(E547+D547)))</f>
        <v>33242.0070309863</v>
      </c>
      <c r="G547" s="18">
        <f>IF($A547&gt;'1-Input'!$B$26,E547,E547-MIN(MAX(E547,0),'P-Parametri'!$B$8*(E547+D547)))</f>
        <v>96979.556963382493</v>
      </c>
      <c r="H547" s="18">
        <f>IF($A547&gt;'1-Input'!$B$26,H546,H546-C547*(1-B547))</f>
        <v>26318.194017484733</v>
      </c>
      <c r="I547" s="11">
        <f>IF($A547&gt;'1-Input'!$B$26,0,IF(N546&lt;=0,0,MAX(0,(N546-O546)/N546)))</f>
        <v>0</v>
      </c>
      <c r="J547" s="18">
        <f>IF($A547&gt;'1-Input'!$B$26,0,(MAX(0,I506-IF($A547&gt;=('1-Input'!$C$12+1),'1-Input'!$B$12,0))-MIN(MAX(M546,0),MAX(0,I506-IF($A547&gt;=('1-Input'!$C$12+1),'1-Input'!$B$12,0))))*(1/(1-'P-Parametri'!$B$6*I547))+MIN(MAX(0,N546-(MAX(0,I506-IF($A547&gt;=('1-Input'!$C$12+1),'1-Input'!$B$12,0))-MIN(MAX(M546,0),MAX(0,I506-IF($A547&gt;=('1-Input'!$C$12+1),'1-Input'!$B$12,0))))*(1/(1-'P-Parametri'!$B$6*I547))),MAX(0,2*I506-(M546-MIN(MAX(M546,0),MAX(0,I506-IF($A547&gt;=('1-Input'!$C$12+1),'1-Input'!$B$12,0)))))*(1/(1-'P-Parametri'!$B$6*I547))))</f>
        <v>10846.756992928691</v>
      </c>
      <c r="K547" s="18">
        <f>IF($A547&gt;'1-Input'!$B$26,M546,(M546-MAX(0,I506-IF($A547&gt;=('1-Input'!$C$12+1),'1-Input'!$B$12,0))+J547*(1-'P-Parametri'!$B$6*I547))*(1+'1-Input'!$B$27))</f>
        <v>0</v>
      </c>
      <c r="L547" s="18">
        <f>IF($A547&gt;'1-Input'!$B$26,N546,(N546-J547)*(1+'5-Roberta'!$C$4))</f>
        <v>-228629.19027599241</v>
      </c>
      <c r="M547" s="18">
        <f>IF($A547&gt;'1-Input'!$B$26,K547,K547-'P-Parametri'!$B$8*(L547+K547)+MIN(MAX(L547,0),'P-Parametri'!$B$8*(L547+K547)))</f>
        <v>0</v>
      </c>
      <c r="N547" s="18">
        <f>IF($A547&gt;'1-Input'!$B$26,L547,L547-MIN(MAX(L547,0),'P-Parametri'!$B$8*(L547+K547)))</f>
        <v>-228171.93189544042</v>
      </c>
      <c r="O547" s="18">
        <f>IF($A547&gt;'1-Input'!$B$26,O546,O546-J547*(1-I547))</f>
        <v>-177957.17387990287</v>
      </c>
      <c r="P547" s="11">
        <f>IF($A547&gt;'1-Input'!$B$26,0,IF(U546&lt;=0,0,MAX(0,(U546-V546)/U546)))</f>
        <v>0.69217556308287398</v>
      </c>
      <c r="Q547" s="18">
        <f>IF($A547&gt;'1-Input'!$B$26,0,(MAX(0,P506-IF($A547&gt;=('1-Input'!$C$12+1),'1-Input'!$B$12,0))-MIN(MAX(T546,0),MAX(0,P506-IF($A547&gt;=('1-Input'!$C$12+1),'1-Input'!$B$12,0))))*(1/(1-'P-Parametri'!$B$6*P547))+MIN(MAX(0,U546-(MAX(0,P506-IF($A547&gt;=('1-Input'!$C$12+1),'1-Input'!$B$12,0))-MIN(MAX(T546,0),MAX(0,P506-IF($A547&gt;=('1-Input'!$C$12+1),'1-Input'!$B$12,0))))*(1/(1-'P-Parametri'!$B$6*P547))),MAX(0,2*P506-(T546-MIN(MAX(T546,0),MAX(0,P506-IF($A547&gt;=('1-Input'!$C$12+1),'1-Input'!$B$12,0)))))*(1/(1-'P-Parametri'!$B$6*P547))))</f>
        <v>873.87268095709703</v>
      </c>
      <c r="R547" s="18">
        <f>IF($A547&gt;'1-Input'!$B$26,T546,(T546-MAX(0,P506-IF($A547&gt;=('1-Input'!$C$12+1),'1-Input'!$B$12,0))+Q547*(1-'P-Parametri'!$B$6*P547))*(1+'1-Input'!$B$27))</f>
        <v>29463.430562738093</v>
      </c>
      <c r="S547" s="18">
        <f>IF($A547&gt;'1-Input'!$B$26,U546,(U546-Q547)*(1+'5-Roberta'!$C$4))</f>
        <v>0</v>
      </c>
      <c r="T547" s="18">
        <f>IF($A547&gt;'1-Input'!$B$26,R547,R547-'P-Parametri'!$B$8*(S547+R547)+MIN(MAX(S547,0),'P-Parametri'!$B$8*(S547+R547)))</f>
        <v>29404.503701612615</v>
      </c>
      <c r="U547" s="18">
        <f>IF($A547&gt;'1-Input'!$B$26,S547,S547-MIN(MAX(S547,0),'P-Parametri'!$B$8*(S547+R547)))</f>
        <v>0</v>
      </c>
      <c r="V547" s="18">
        <f>IF($A547&gt;'1-Input'!$B$26,V546,V546-Q547*(1-P547))</f>
        <v>0</v>
      </c>
      <c r="W547" s="11">
        <f>IF($A547&gt;'1-Input'!$B$26,0,IF(AB546&lt;=0,0,MAX(0,(AB546-AC546)/AB546)))</f>
        <v>0.71638970367101729</v>
      </c>
      <c r="X547" s="18">
        <f>IF($A547&gt;'1-Input'!$B$26,0,(MAX(0,W506-IF($A547&gt;=('1-Input'!$C$12+1),'1-Input'!$B$12,0))-MIN(MAX(AA546,0),MAX(0,W506-IF($A547&gt;=('1-Input'!$C$12+1),'1-Input'!$B$12,0))))*(1/(1-'P-Parametri'!$B$6*W547))+MIN(MAX(0,AB546-(MAX(0,W506-IF($A547&gt;=('1-Input'!$C$12+1),'1-Input'!$B$12,0))-MIN(MAX(AA546,0),MAX(0,W506-IF($A547&gt;=('1-Input'!$C$12+1),'1-Input'!$B$12,0))))*(1/(1-'P-Parametri'!$B$6*W547))),MAX(0,2*W506-(AA546-MIN(MAX(AA546,0),MAX(0,W506-IF($A547&gt;=('1-Input'!$C$12+1),'1-Input'!$B$12,0)))))*(1/(1-'P-Parametri'!$B$6*W547))))</f>
        <v>8303.9884424317006</v>
      </c>
      <c r="Y547" s="18">
        <f>IF($A547&gt;'1-Input'!$B$26,AA546,(AA546-MAX(0,W506-IF($A547&gt;=('1-Input'!$C$12+1),'1-Input'!$B$12,0))+X547*(1-'P-Parametri'!$B$6*W547))*(1+'1-Input'!$B$27))</f>
        <v>35335.550384623006</v>
      </c>
      <c r="Z547" s="18">
        <f>IF($A547&gt;'1-Input'!$B$26,AB546,(AB546-X547)*(1+'5-Roberta'!$C$4))</f>
        <v>5150.650713253046</v>
      </c>
      <c r="AA547" s="18">
        <f>IF($A547&gt;'1-Input'!$B$26,Y547,Y547-'P-Parametri'!$B$8*(Z547+Y547)+MIN(MAX(Z547,0),'P-Parametri'!$B$8*(Z547+Y547)))</f>
        <v>35335.550384623006</v>
      </c>
      <c r="AB547" s="18">
        <f>IF($A547&gt;'1-Input'!$B$26,Z547,Z547-MIN(MAX(Z547,0),'P-Parametri'!$B$8*(Z547+Y547)))</f>
        <v>5069.6783110572942</v>
      </c>
      <c r="AC547" s="18">
        <f>IF($A547&gt;'1-Input'!$B$26,AC546,AC546-X547*(1-W547))</f>
        <v>1418.2306554104689</v>
      </c>
      <c r="AD547" s="11">
        <f>IF($A547&gt;'1-Input'!$B$26,0,IF(AI546&lt;=0,0,MAX(0,(AI546-AJ546)/AI546)))</f>
        <v>0.71660975495805534</v>
      </c>
      <c r="AE547" s="18">
        <f>IF($A547&gt;'1-Input'!$B$26,0,(MAX(0,AD506-IF($A547&gt;=('1-Input'!$C$12+1),'1-Input'!$B$12,0))-MIN(MAX(AH546,0),MAX(0,AD506-IF($A547&gt;=('1-Input'!$C$12+1),'1-Input'!$B$12,0))))*(1/(1-'P-Parametri'!$B$6*AD547))+MIN(MAX(0,AI546-(MAX(0,AD506-IF($A547&gt;=('1-Input'!$C$12+1),'1-Input'!$B$12,0))-MIN(MAX(AH546,0),MAX(0,AD506-IF($A547&gt;=('1-Input'!$C$12+1),'1-Input'!$B$12,0))))*(1/(1-'P-Parametri'!$B$6*AD547))),MAX(0,2*AD506-(AH546-MIN(MAX(AH546,0),MAX(0,AD506-IF($A547&gt;=('1-Input'!$C$12+1),'1-Input'!$B$12,0)))))*(1/(1-'P-Parametri'!$B$6*AD547))))</f>
        <v>8289.9453889554861</v>
      </c>
      <c r="AF547" s="18">
        <f>IF($A547&gt;'1-Input'!$B$26,AH546,(AH546-MAX(0,AD506-IF($A547&gt;=('1-Input'!$C$12+1),'1-Input'!$B$12,0))+AE547*(1-'P-Parametri'!$B$6*AD547))*(1+'1-Input'!$B$27))</f>
        <v>35312.002280650035</v>
      </c>
      <c r="AG547" s="18">
        <f>IF($A547&gt;'1-Input'!$B$26,AI546,(AI546-AE547)*(1+'5-Roberta'!$C$4))</f>
        <v>6185.1184121831739</v>
      </c>
      <c r="AH547" s="18">
        <f>IF($A547&gt;'1-Input'!$B$26,AF547,AF547-'P-Parametri'!$B$8*(AG547+AF547)+MIN(MAX(AG547,0),'P-Parametri'!$B$8*(AG547+AF547)))</f>
        <v>35312.002280650035</v>
      </c>
      <c r="AI547" s="18">
        <f>IF($A547&gt;'1-Input'!$B$26,AG547,AG547-MIN(MAX(AG547,0),'P-Parametri'!$B$8*(AG547+AF547)))</f>
        <v>6102.1241707975078</v>
      </c>
      <c r="AJ547" s="18">
        <f>IF($A547&gt;'1-Input'!$B$26,AJ546,AJ546-AE547*(1-AD547))</f>
        <v>1701.7497305262455</v>
      </c>
      <c r="AK547" s="11">
        <f>IF($A547&gt;'1-Input'!$B$26,0,IF(AP546&lt;=0,0,MAX(0,(AP546-AQ546)/AP546)))</f>
        <v>0.71660957920474699</v>
      </c>
      <c r="AL547" s="18">
        <f>IF($A547&gt;'1-Input'!$B$26,0,(MAX(0,AK506-IF($A547&gt;=('1-Input'!$C$12+1),'1-Input'!$B$12,0))-MIN(MAX(AO546,0),MAX(0,AK506-IF($A547&gt;=('1-Input'!$C$12+1),'1-Input'!$B$12,0))))*(1/(1-'P-Parametri'!$B$6*AK547))+MIN(MAX(0,AP546-(MAX(0,AK506-IF($A547&gt;=('1-Input'!$C$12+1),'1-Input'!$B$12,0))-MIN(MAX(AO546,0),MAX(0,AK506-IF($A547&gt;=('1-Input'!$C$12+1),'1-Input'!$B$12,0))))*(1/(1-'P-Parametri'!$B$6*AK547))),MAX(0,2*AK506-(AO546-MIN(MAX(AO546,0),MAX(0,AK506-IF($A547&gt;=('1-Input'!$C$12+1),'1-Input'!$B$12,0)))))*(1/(1-'P-Parametri'!$B$6*AK547))))</f>
        <v>8289.9571881241773</v>
      </c>
      <c r="AM547" s="18">
        <f>IF($A547&gt;'1-Input'!$B$26,AO546,(AO546-MAX(0,AK506-IF($A547&gt;=('1-Input'!$C$12+1),'1-Input'!$B$12,0))+AL547*(1-'P-Parametri'!$B$6*AK547))*(1+'1-Input'!$B$27))</f>
        <v>35312.022025795173</v>
      </c>
      <c r="AN547" s="18">
        <f>IF($A547&gt;'1-Input'!$B$26,AP546,(AP546-AL547)*(1+'5-Roberta'!$C$4))</f>
        <v>6184.250963083131</v>
      </c>
      <c r="AO547" s="18">
        <f>IF($A547&gt;'1-Input'!$B$26,AM547,AM547-'P-Parametri'!$B$8*(AN547+AM547)+MIN(MAX(AN547,0),'P-Parametri'!$B$8*(AN547+AM547)))</f>
        <v>35312.022025795173</v>
      </c>
      <c r="AP547" s="18">
        <f>IF($A547&gt;'1-Input'!$B$26,AN547,AN547-MIN(MAX(AN547,0),'P-Parametri'!$B$8*(AN547+AM547)))</f>
        <v>6101.2584171053741</v>
      </c>
      <c r="AQ547" s="18">
        <f>IF($A547&gt;'1-Input'!$B$26,AQ546,AQ546-AL547*(1-AK547))</f>
        <v>1701.5121191568705</v>
      </c>
    </row>
    <row r="548" spans="1:43">
      <c r="A548" s="10">
        <f>40</f>
        <v>40</v>
      </c>
      <c r="B548" s="11">
        <f>IF($A548&gt;'1-Input'!$B$26,0,IF(G547&lt;=0,0,MAX(0,(G547-H547)/G547)))</f>
        <v>0.72862121831076276</v>
      </c>
      <c r="C548" s="18">
        <f>IF($A548&gt;'1-Input'!$B$26,0,(MAX(0,B506-IF($A548&gt;=('1-Input'!$C$12+1),'1-Input'!$B$12,0))-MIN(MAX(F547,0),MAX(0,B506-IF($A548&gt;=('1-Input'!$C$12+1),'1-Input'!$B$12,0))))*(1/(1-'P-Parametri'!$B$6*B548))+MIN(MAX(0,G547-(MAX(0,B506-IF($A548&gt;=('1-Input'!$C$12+1),'1-Input'!$B$12,0))-MIN(MAX(F547,0),MAX(0,B506-IF($A548&gt;=('1-Input'!$C$12+1),'1-Input'!$B$12,0))))*(1/(1-'P-Parametri'!$B$6*B548))),MAX(0,2*B506-(F547-MIN(MAX(F547,0),MAX(0,B506-IF($A548&gt;=('1-Input'!$C$12+1),'1-Input'!$B$12,0)))))*(1/(1-'P-Parametri'!$B$6*B548))))</f>
        <v>7031.1507815152236</v>
      </c>
      <c r="D548" s="18">
        <f>IF($A548&gt;'1-Input'!$B$26,F547,(F547-MAX(0,B506-IF($A548&gt;=('1-Input'!$C$12+1),'1-Input'!$B$12,0))+C548*(1-'P-Parametri'!$B$6*B548))*(1+'1-Input'!$B$27))</f>
        <v>33242.0070309863</v>
      </c>
      <c r="E548" s="18">
        <f>IF($A548&gt;'1-Input'!$B$26,G547,(G547-C548)*(1+'5-Roberta'!$C$4))</f>
        <v>92646.858367323279</v>
      </c>
      <c r="F548" s="18">
        <f>IF($A548&gt;'1-Input'!$B$26,D548,D548-'P-Parametri'!$B$8*(E548+D548)+MIN(MAX(E548,0),'P-Parametri'!$B$8*(E548+D548)))</f>
        <v>33242.0070309863</v>
      </c>
      <c r="G548" s="18">
        <f>IF($A548&gt;'1-Input'!$B$26,E548,E548-MIN(MAX(E548,0),'P-Parametri'!$B$8*(E548+D548)))</f>
        <v>92395.080636526662</v>
      </c>
      <c r="H548" s="18">
        <f>IF($A548&gt;'1-Input'!$B$26,H547,H547-C548*(1-B548))</f>
        <v>24410.088884523804</v>
      </c>
      <c r="I548" s="11">
        <f>IF($A548&gt;'1-Input'!$B$26,0,IF(N547&lt;=0,0,MAX(0,(N547-O547)/N547)))</f>
        <v>0</v>
      </c>
      <c r="J548" s="18">
        <f>IF($A548&gt;'1-Input'!$B$26,0,(MAX(0,I506-IF($A548&gt;=('1-Input'!$C$12+1),'1-Input'!$B$12,0))-MIN(MAX(M547,0),MAX(0,I506-IF($A548&gt;=('1-Input'!$C$12+1),'1-Input'!$B$12,0))))*(1/(1-'P-Parametri'!$B$6*I548))+MIN(MAX(0,N547-(MAX(0,I506-IF($A548&gt;=('1-Input'!$C$12+1),'1-Input'!$B$12,0))-MIN(MAX(M547,0),MAX(0,I506-IF($A548&gt;=('1-Input'!$C$12+1),'1-Input'!$B$12,0))))*(1/(1-'P-Parametri'!$B$6*I548))),MAX(0,2*I506-(M547-MIN(MAX(M547,0),MAX(0,I506-IF($A548&gt;=('1-Input'!$C$12+1),'1-Input'!$B$12,0)))))*(1/(1-'P-Parametri'!$B$6*I548))))</f>
        <v>10846.756992928691</v>
      </c>
      <c r="K548" s="18">
        <f>IF($A548&gt;'1-Input'!$B$26,M547,(M547-MAX(0,I506-IF($A548&gt;=('1-Input'!$C$12+1),'1-Input'!$B$12,0))+J548*(1-'P-Parametri'!$B$6*I548))*(1+'1-Input'!$B$27))</f>
        <v>0</v>
      </c>
      <c r="L548" s="18">
        <f>IF($A548&gt;'1-Input'!$B$26,N547,(N547-J548)*(1+'5-Roberta'!$C$4))</f>
        <v>-246189.24955502019</v>
      </c>
      <c r="M548" s="18">
        <f>IF($A548&gt;'1-Input'!$B$26,K548,K548-'P-Parametri'!$B$8*(L548+K548)+MIN(MAX(L548,0),'P-Parametri'!$B$8*(L548+K548)))</f>
        <v>0</v>
      </c>
      <c r="N548" s="18">
        <f>IF($A548&gt;'1-Input'!$B$26,L548,L548-MIN(MAX(L548,0),'P-Parametri'!$B$8*(L548+K548)))</f>
        <v>-245696.87105591013</v>
      </c>
      <c r="O548" s="18">
        <f>IF($A548&gt;'1-Input'!$B$26,O547,O547-J548*(1-I548))</f>
        <v>-188803.93087283155</v>
      </c>
      <c r="P548" s="11">
        <f>IF($A548&gt;'1-Input'!$B$26,0,IF(U547&lt;=0,0,MAX(0,(U547-V547)/U547)))</f>
        <v>0</v>
      </c>
      <c r="Q548" s="18">
        <f>IF($A548&gt;'1-Input'!$B$26,0,(MAX(0,P506-IF($A548&gt;=('1-Input'!$C$12+1),'1-Input'!$B$12,0))-MIN(MAX(T547,0),MAX(0,P506-IF($A548&gt;=('1-Input'!$C$12+1),'1-Input'!$B$12,0))))*(1/(1-'P-Parametri'!$B$6*P548))+MIN(MAX(0,U547-(MAX(0,P506-IF($A548&gt;=('1-Input'!$C$12+1),'1-Input'!$B$12,0))-MIN(MAX(T547,0),MAX(0,P506-IF($A548&gt;=('1-Input'!$C$12+1),'1-Input'!$B$12,0))))*(1/(1-'P-Parametri'!$B$6*P548))),MAX(0,2*P506-(T547-MIN(MAX(T547,0),MAX(0,P506-IF($A548&gt;=('1-Input'!$C$12+1),'1-Input'!$B$12,0)))))*(1/(1-'P-Parametri'!$B$6*P548))))</f>
        <v>0</v>
      </c>
      <c r="R548" s="18">
        <f>IF($A548&gt;'1-Input'!$B$26,T547,(T547-MAX(0,P506-IF($A548&gt;=('1-Input'!$C$12+1),'1-Input'!$B$12,0))+Q548*(1-'P-Parametri'!$B$6*P548))*(1+'1-Input'!$B$27))</f>
        <v>22545.035723509718</v>
      </c>
      <c r="S548" s="18">
        <f>IF($A548&gt;'1-Input'!$B$26,U547,(U547-Q548)*(1+'5-Roberta'!$C$4))</f>
        <v>0</v>
      </c>
      <c r="T548" s="18">
        <f>IF($A548&gt;'1-Input'!$B$26,R548,R548-'P-Parametri'!$B$8*(S548+R548)+MIN(MAX(S548,0),'P-Parametri'!$B$8*(S548+R548)))</f>
        <v>22499.945652062699</v>
      </c>
      <c r="U548" s="18">
        <f>IF($A548&gt;'1-Input'!$B$26,S548,S548-MIN(MAX(S548,0),'P-Parametri'!$B$8*(S548+R548)))</f>
        <v>0</v>
      </c>
      <c r="V548" s="18">
        <f>IF($A548&gt;'1-Input'!$B$26,V547,V547-Q548*(1-P548))</f>
        <v>0</v>
      </c>
      <c r="W548" s="11">
        <f>IF($A548&gt;'1-Input'!$B$26,0,IF(AB547&lt;=0,0,MAX(0,(AB547-AC547)/AB547)))</f>
        <v>0.7202523378421829</v>
      </c>
      <c r="X548" s="18">
        <f>IF($A548&gt;'1-Input'!$B$26,0,(MAX(0,W506-IF($A548&gt;=('1-Input'!$C$12+1),'1-Input'!$B$12,0))-MIN(MAX(AA547,0),MAX(0,W506-IF($A548&gt;=('1-Input'!$C$12+1),'1-Input'!$B$12,0))))*(1/(1-'P-Parametri'!$B$6*W548))+MIN(MAX(0,AB547-(MAX(0,W506-IF($A548&gt;=('1-Input'!$C$12+1),'1-Input'!$B$12,0))-MIN(MAX(AA547,0),MAX(0,W506-IF($A548&gt;=('1-Input'!$C$12+1),'1-Input'!$B$12,0))))*(1/(1-'P-Parametri'!$B$6*W548))),MAX(0,2*W506-(AA547-MIN(MAX(AA547,0),MAX(0,W506-IF($A548&gt;=('1-Input'!$C$12+1),'1-Input'!$B$12,0)))))*(1/(1-'P-Parametri'!$B$6*W548))))</f>
        <v>5069.6783110572942</v>
      </c>
      <c r="Y548" s="18">
        <f>IF($A548&gt;'1-Input'!$B$26,AA547,(AA547-MAX(0,W506-IF($A548&gt;=('1-Input'!$C$12+1),'1-Input'!$B$12,0))+X548*(1-'P-Parametri'!$B$6*W548))*(1+'1-Input'!$B$27))</f>
        <v>32708.068844601861</v>
      </c>
      <c r="Z548" s="18">
        <f>IF($A548&gt;'1-Input'!$B$26,AB547,(AB547-X548)*(1+'5-Roberta'!$C$4))</f>
        <v>0</v>
      </c>
      <c r="AA548" s="18">
        <f>IF($A548&gt;'1-Input'!$B$26,Y548,Y548-'P-Parametri'!$B$8*(Z548+Y548)+MIN(MAX(Z548,0),'P-Parametri'!$B$8*(Z548+Y548)))</f>
        <v>32642.652706912657</v>
      </c>
      <c r="AB548" s="18">
        <f>IF($A548&gt;'1-Input'!$B$26,Z548,Z548-MIN(MAX(Z548,0),'P-Parametri'!$B$8*(Z548+Y548)))</f>
        <v>0</v>
      </c>
      <c r="AC548" s="18">
        <f>IF($A548&gt;'1-Input'!$B$26,AC547,AC547-X548*(1-W548))</f>
        <v>2.2737367544323206E-13</v>
      </c>
      <c r="AD548" s="11">
        <f>IF($A548&gt;'1-Input'!$B$26,0,IF(AI547&lt;=0,0,MAX(0,(AI547-AJ547)/AI547)))</f>
        <v>0.72112174664190121</v>
      </c>
      <c r="AE548" s="18">
        <f>IF($A548&gt;'1-Input'!$B$26,0,(MAX(0,AD506-IF($A548&gt;=('1-Input'!$C$12+1),'1-Input'!$B$12,0))-MIN(MAX(AH547,0),MAX(0,AD506-IF($A548&gt;=('1-Input'!$C$12+1),'1-Input'!$B$12,0))))*(1/(1-'P-Parametri'!$B$6*AD548))+MIN(MAX(0,AI547-(MAX(0,AD506-IF($A548&gt;=('1-Input'!$C$12+1),'1-Input'!$B$12,0))-MIN(MAX(AH547,0),MAX(0,AD506-IF($A548&gt;=('1-Input'!$C$12+1),'1-Input'!$B$12,0))))*(1/(1-'P-Parametri'!$B$6*AD548))),MAX(0,2*AD506-(AH547-MIN(MAX(AH547,0),MAX(0,AD506-IF($A548&gt;=('1-Input'!$C$12+1),'1-Input'!$B$12,0)))))*(1/(1-'P-Parametri'!$B$6*AD548))))</f>
        <v>6102.1241707975078</v>
      </c>
      <c r="AF548" s="18">
        <f>IF($A548&gt;'1-Input'!$B$26,AH547,(AH547-MAX(0,AD506-IF($A548&gt;=('1-Input'!$C$12+1),'1-Input'!$B$12,0))+AE548*(1-'P-Parametri'!$B$6*AD548))*(1+'1-Input'!$B$27))</f>
        <v>33531.088651902879</v>
      </c>
      <c r="AG548" s="18">
        <f>IF($A548&gt;'1-Input'!$B$26,AI547,(AI547-AE548)*(1+'5-Roberta'!$C$4))</f>
        <v>0</v>
      </c>
      <c r="AH548" s="18">
        <f>IF($A548&gt;'1-Input'!$B$26,AF548,AF548-'P-Parametri'!$B$8*(AG548+AF548)+MIN(MAX(AG548,0),'P-Parametri'!$B$8*(AG548+AF548)))</f>
        <v>33464.026474599072</v>
      </c>
      <c r="AI548" s="18">
        <f>IF($A548&gt;'1-Input'!$B$26,AG548,AG548-MIN(MAX(AG548,0),'P-Parametri'!$B$8*(AG548+AF548)))</f>
        <v>0</v>
      </c>
      <c r="AJ548" s="18">
        <f>IF($A548&gt;'1-Input'!$B$26,AJ547,AJ547-AE548*(1-AD548))</f>
        <v>-4.5474735088646412E-13</v>
      </c>
      <c r="AK548" s="11">
        <f>IF($A548&gt;'1-Input'!$B$26,0,IF(AP547&lt;=0,0,MAX(0,(AP547-AQ547)/AP547)))</f>
        <v>0.72112111914706922</v>
      </c>
      <c r="AL548" s="18">
        <f>IF($A548&gt;'1-Input'!$B$26,0,(MAX(0,AK506-IF($A548&gt;=('1-Input'!$C$12+1),'1-Input'!$B$12,0))-MIN(MAX(AO547,0),MAX(0,AK506-IF($A548&gt;=('1-Input'!$C$12+1),'1-Input'!$B$12,0))))*(1/(1-'P-Parametri'!$B$6*AK548))+MIN(MAX(0,AP547-(MAX(0,AK506-IF($A548&gt;=('1-Input'!$C$12+1),'1-Input'!$B$12,0))-MIN(MAX(AO547,0),MAX(0,AK506-IF($A548&gt;=('1-Input'!$C$12+1),'1-Input'!$B$12,0))))*(1/(1-'P-Parametri'!$B$6*AK548))),MAX(0,2*AK506-(AO547-MIN(MAX(AO547,0),MAX(0,AK506-IF($A548&gt;=('1-Input'!$C$12+1),'1-Input'!$B$12,0)))))*(1/(1-'P-Parametri'!$B$6*AK548))))</f>
        <v>6101.2584171053741</v>
      </c>
      <c r="AM548" s="18">
        <f>IF($A548&gt;'1-Input'!$B$26,AO547,(AO547-MAX(0,AK506-IF($A548&gt;=('1-Input'!$C$12+1),'1-Input'!$B$12,0))+AL548*(1-'P-Parametri'!$B$6*AK548))*(1+'1-Input'!$B$27))</f>
        <v>33530.39854547679</v>
      </c>
      <c r="AN548" s="18">
        <f>IF($A548&gt;'1-Input'!$B$26,AP547,(AP547-AL548)*(1+'5-Roberta'!$C$4))</f>
        <v>0</v>
      </c>
      <c r="AO548" s="18">
        <f>IF($A548&gt;'1-Input'!$B$26,AM548,AM548-'P-Parametri'!$B$8*(AN548+AM548)+MIN(MAX(AN548,0),'P-Parametri'!$B$8*(AN548+AM548)))</f>
        <v>33463.337748385835</v>
      </c>
      <c r="AP548" s="18">
        <f>IF($A548&gt;'1-Input'!$B$26,AN548,AN548-MIN(MAX(AN548,0),'P-Parametri'!$B$8*(AN548+AM548)))</f>
        <v>0</v>
      </c>
      <c r="AQ548" s="18">
        <f>IF($A548&gt;'1-Input'!$B$26,AQ547,AQ547-AL548*(1-AK548))</f>
        <v>0</v>
      </c>
    </row>
    <row r="549" spans="1:43">
      <c r="A549" s="10">
        <f>41</f>
        <v>41</v>
      </c>
      <c r="B549" s="11">
        <f>IF($A549&gt;'1-Input'!$B$26,0,IF(G548&lt;=0,0,MAX(0,(G548-H548)/G548)))</f>
        <v>0.73580748329501711</v>
      </c>
      <c r="C549" s="18">
        <f>IF($A549&gt;'1-Input'!$B$26,0,(MAX(0,B506-IF($A549&gt;=('1-Input'!$C$12+1),'1-Input'!$B$12,0))-MIN(MAX(F548,0),MAX(0,B506-IF($A549&gt;=('1-Input'!$C$12+1),'1-Input'!$B$12,0))))*(1/(1-'P-Parametri'!$B$6*B549))+MIN(MAX(0,G548-(MAX(0,B506-IF($A549&gt;=('1-Input'!$C$12+1),'1-Input'!$B$12,0))-MIN(MAX(F548,0),MAX(0,B506-IF($A549&gt;=('1-Input'!$C$12+1),'1-Input'!$B$12,0))))*(1/(1-'P-Parametri'!$B$6*B549))),MAX(0,2*B506-(F548-MIN(MAX(F548,0),MAX(0,B506-IF($A549&gt;=('1-Input'!$C$12+1),'1-Input'!$B$12,0)))))*(1/(1-'P-Parametri'!$B$6*B549))))</f>
        <v>7047.3958252388347</v>
      </c>
      <c r="D549" s="18">
        <f>IF($A549&gt;'1-Input'!$B$26,F548,(F548-MAX(0,B506-IF($A549&gt;=('1-Input'!$C$12+1),'1-Input'!$B$12,0))+C549*(1-'P-Parametri'!$B$6*B549))*(1+'1-Input'!$B$27))</f>
        <v>33242.0070309863</v>
      </c>
      <c r="E549" s="18">
        <f>IF($A549&gt;'1-Input'!$B$26,G548,(G548-C549)*(1+'5-Roberta'!$C$4))</f>
        <v>87908.115355626462</v>
      </c>
      <c r="F549" s="18">
        <f>IF($A549&gt;'1-Input'!$B$26,D549,D549-'P-Parametri'!$B$8*(E549+D549)+MIN(MAX(E549,0),'P-Parametri'!$B$8*(E549+D549)))</f>
        <v>33242.0070309863</v>
      </c>
      <c r="G549" s="18">
        <f>IF($A549&gt;'1-Input'!$B$26,E549,E549-MIN(MAX(E549,0),'P-Parametri'!$B$8*(E549+D549)))</f>
        <v>87665.815110853233</v>
      </c>
      <c r="H549" s="18">
        <f>IF($A549&gt;'1-Input'!$B$26,H548,H548-C549*(1-B549))</f>
        <v>22548.219645237768</v>
      </c>
      <c r="I549" s="11">
        <f>IF($A549&gt;'1-Input'!$B$26,0,IF(N548&lt;=0,0,MAX(0,(N548-O548)/N548)))</f>
        <v>0</v>
      </c>
      <c r="J549" s="18">
        <f>IF($A549&gt;'1-Input'!$B$26,0,(MAX(0,I506-IF($A549&gt;=('1-Input'!$C$12+1),'1-Input'!$B$12,0))-MIN(MAX(M548,0),MAX(0,I506-IF($A549&gt;=('1-Input'!$C$12+1),'1-Input'!$B$12,0))))*(1/(1-'P-Parametri'!$B$6*I549))+MIN(MAX(0,N548-(MAX(0,I506-IF($A549&gt;=('1-Input'!$C$12+1),'1-Input'!$B$12,0))-MIN(MAX(M548,0),MAX(0,I506-IF($A549&gt;=('1-Input'!$C$12+1),'1-Input'!$B$12,0))))*(1/(1-'P-Parametri'!$B$6*I549))),MAX(0,2*I506-(M548-MIN(MAX(M548,0),MAX(0,I506-IF($A549&gt;=('1-Input'!$C$12+1),'1-Input'!$B$12,0)))))*(1/(1-'P-Parametri'!$B$6*I549))))</f>
        <v>10846.756992928691</v>
      </c>
      <c r="K549" s="18">
        <f>IF($A549&gt;'1-Input'!$B$26,M548,(M548-MAX(0,I506-IF($A549&gt;=('1-Input'!$C$12+1),'1-Input'!$B$12,0))+J549*(1-'P-Parametri'!$B$6*I549))*(1+'1-Input'!$B$27))</f>
        <v>0</v>
      </c>
      <c r="L549" s="18">
        <f>IF($A549&gt;'1-Input'!$B$26,N548,(N548-J549)*(1+'5-Roberta'!$C$4))</f>
        <v>-264239.93689030397</v>
      </c>
      <c r="M549" s="18">
        <f>IF($A549&gt;'1-Input'!$B$26,K549,K549-'P-Parametri'!$B$8*(L549+K549)+MIN(MAX(L549,0),'P-Parametri'!$B$8*(L549+K549)))</f>
        <v>0</v>
      </c>
      <c r="N549" s="18">
        <f>IF($A549&gt;'1-Input'!$B$26,L549,L549-MIN(MAX(L549,0),'P-Parametri'!$B$8*(L549+K549)))</f>
        <v>-263711.45701652335</v>
      </c>
      <c r="O549" s="18">
        <f>IF($A549&gt;'1-Input'!$B$26,O548,O548-J549*(1-I549))</f>
        <v>-199650.68786576024</v>
      </c>
      <c r="P549" s="11">
        <f>IF($A549&gt;'1-Input'!$B$26,0,IF(U548&lt;=0,0,MAX(0,(U548-V548)/U548)))</f>
        <v>0</v>
      </c>
      <c r="Q549" s="18">
        <f>IF($A549&gt;'1-Input'!$B$26,0,(MAX(0,P506-IF($A549&gt;=('1-Input'!$C$12+1),'1-Input'!$B$12,0))-MIN(MAX(T548,0),MAX(0,P506-IF($A549&gt;=('1-Input'!$C$12+1),'1-Input'!$B$12,0))))*(1/(1-'P-Parametri'!$B$6*P549))+MIN(MAX(0,U548-(MAX(0,P506-IF($A549&gt;=('1-Input'!$C$12+1),'1-Input'!$B$12,0))-MIN(MAX(T548,0),MAX(0,P506-IF($A549&gt;=('1-Input'!$C$12+1),'1-Input'!$B$12,0))))*(1/(1-'P-Parametri'!$B$6*P549))),MAX(0,2*P506-(T548-MIN(MAX(T548,0),MAX(0,P506-IF($A549&gt;=('1-Input'!$C$12+1),'1-Input'!$B$12,0)))))*(1/(1-'P-Parametri'!$B$6*P549))))</f>
        <v>0</v>
      </c>
      <c r="R549" s="18">
        <f>IF($A549&gt;'1-Input'!$B$26,T548,(T548-MAX(0,P506-IF($A549&gt;=('1-Input'!$C$12+1),'1-Input'!$B$12,0))+Q549*(1-'P-Parametri'!$B$6*P549))*(1+'1-Input'!$B$27))</f>
        <v>15665.334082938183</v>
      </c>
      <c r="S549" s="18">
        <f>IF($A549&gt;'1-Input'!$B$26,U548,(U548-Q549)*(1+'5-Roberta'!$C$4))</f>
        <v>0</v>
      </c>
      <c r="T549" s="18">
        <f>IF($A549&gt;'1-Input'!$B$26,R549,R549-'P-Parametri'!$B$8*(S549+R549)+MIN(MAX(S549,0),'P-Parametri'!$B$8*(S549+R549)))</f>
        <v>15634.003414772307</v>
      </c>
      <c r="U549" s="18">
        <f>IF($A549&gt;'1-Input'!$B$26,S549,S549-MIN(MAX(S549,0),'P-Parametri'!$B$8*(S549+R549)))</f>
        <v>0</v>
      </c>
      <c r="V549" s="18">
        <f>IF($A549&gt;'1-Input'!$B$26,V548,V548-Q549*(1-P549))</f>
        <v>0</v>
      </c>
      <c r="W549" s="11">
        <f>IF($A549&gt;'1-Input'!$B$26,0,IF(AB548&lt;=0,0,MAX(0,(AB548-AC548)/AB548)))</f>
        <v>0</v>
      </c>
      <c r="X549" s="18">
        <f>IF($A549&gt;'1-Input'!$B$26,0,(MAX(0,W506-IF($A549&gt;=('1-Input'!$C$12+1),'1-Input'!$B$12,0))-MIN(MAX(AA548,0),MAX(0,W506-IF($A549&gt;=('1-Input'!$C$12+1),'1-Input'!$B$12,0))))*(1/(1-'P-Parametri'!$B$6*W549))+MIN(MAX(0,AB548-(MAX(0,W506-IF($A549&gt;=('1-Input'!$C$12+1),'1-Input'!$B$12,0))-MIN(MAX(AA548,0),MAX(0,W506-IF($A549&gt;=('1-Input'!$C$12+1),'1-Input'!$B$12,0))))*(1/(1-'P-Parametri'!$B$6*W549))),MAX(0,2*W506-(AA548-MIN(MAX(AA548,0),MAX(0,W506-IF($A549&gt;=('1-Input'!$C$12+1),'1-Input'!$B$12,0)))))*(1/(1-'P-Parametri'!$B$6*W549))))</f>
        <v>0</v>
      </c>
      <c r="Y549" s="18">
        <f>IF($A549&gt;'1-Input'!$B$26,AA548,(AA548-MAX(0,W506-IF($A549&gt;=('1-Input'!$C$12+1),'1-Input'!$B$12,0))+X549*(1-'P-Parametri'!$B$6*W549))*(1+'1-Input'!$B$27))</f>
        <v>25919.396764856268</v>
      </c>
      <c r="Z549" s="18">
        <f>IF($A549&gt;'1-Input'!$B$26,AB548,(AB548-X549)*(1+'5-Roberta'!$C$4))</f>
        <v>0</v>
      </c>
      <c r="AA549" s="18">
        <f>IF($A549&gt;'1-Input'!$B$26,Y549,Y549-'P-Parametri'!$B$8*(Z549+Y549)+MIN(MAX(Z549,0),'P-Parametri'!$B$8*(Z549+Y549)))</f>
        <v>25867.557971326554</v>
      </c>
      <c r="AB549" s="18">
        <f>IF($A549&gt;'1-Input'!$B$26,Z549,Z549-MIN(MAX(Z549,0),'P-Parametri'!$B$8*(Z549+Y549)))</f>
        <v>0</v>
      </c>
      <c r="AC549" s="18">
        <f>IF($A549&gt;'1-Input'!$B$26,AC548,AC548-X549*(1-W549))</f>
        <v>2.2737367544323206E-13</v>
      </c>
      <c r="AD549" s="11">
        <f>IF($A549&gt;'1-Input'!$B$26,0,IF(AI548&lt;=0,0,MAX(0,(AI548-AJ548)/AI548)))</f>
        <v>0</v>
      </c>
      <c r="AE549" s="18">
        <f>IF($A549&gt;'1-Input'!$B$26,0,(MAX(0,AD506-IF($A549&gt;=('1-Input'!$C$12+1),'1-Input'!$B$12,0))-MIN(MAX(AH548,0),MAX(0,AD506-IF($A549&gt;=('1-Input'!$C$12+1),'1-Input'!$B$12,0))))*(1/(1-'P-Parametri'!$B$6*AD549))+MIN(MAX(0,AI548-(MAX(0,AD506-IF($A549&gt;=('1-Input'!$C$12+1),'1-Input'!$B$12,0))-MIN(MAX(AH548,0),MAX(0,AD506-IF($A549&gt;=('1-Input'!$C$12+1),'1-Input'!$B$12,0))))*(1/(1-'P-Parametri'!$B$6*AD549))),MAX(0,2*AD506-(AH548-MIN(MAX(AH548,0),MAX(0,AD506-IF($A549&gt;=('1-Input'!$C$12+1),'1-Input'!$B$12,0)))))*(1/(1-'P-Parametri'!$B$6*AD549))))</f>
        <v>0</v>
      </c>
      <c r="AF549" s="18">
        <f>IF($A549&gt;'1-Input'!$B$26,AH548,(AH548-MAX(0,AD506-IF($A549&gt;=('1-Input'!$C$12+1),'1-Input'!$B$12,0))+AE549*(1-'P-Parametri'!$B$6*AD549))*(1+'1-Input'!$B$27))</f>
        <v>26749.587638965495</v>
      </c>
      <c r="AG549" s="18">
        <f>IF($A549&gt;'1-Input'!$B$26,AI548,(AI548-AE549)*(1+'5-Roberta'!$C$4))</f>
        <v>0</v>
      </c>
      <c r="AH549" s="18">
        <f>IF($A549&gt;'1-Input'!$B$26,AF549,AF549-'P-Parametri'!$B$8*(AG549+AF549)+MIN(MAX(AG549,0),'P-Parametri'!$B$8*(AG549+AF549)))</f>
        <v>26696.088463687563</v>
      </c>
      <c r="AI549" s="18">
        <f>IF($A549&gt;'1-Input'!$B$26,AG549,AG549-MIN(MAX(AG549,0),'P-Parametri'!$B$8*(AG549+AF549)))</f>
        <v>0</v>
      </c>
      <c r="AJ549" s="18">
        <f>IF($A549&gt;'1-Input'!$B$26,AJ548,AJ548-AE549*(1-AD549))</f>
        <v>-4.5474735088646412E-13</v>
      </c>
      <c r="AK549" s="11">
        <f>IF($A549&gt;'1-Input'!$B$26,0,IF(AP548&lt;=0,0,MAX(0,(AP548-AQ548)/AP548)))</f>
        <v>0</v>
      </c>
      <c r="AL549" s="18">
        <f>IF($A549&gt;'1-Input'!$B$26,0,(MAX(0,AK506-IF($A549&gt;=('1-Input'!$C$12+1),'1-Input'!$B$12,0))-MIN(MAX(AO548,0),MAX(0,AK506-IF($A549&gt;=('1-Input'!$C$12+1),'1-Input'!$B$12,0))))*(1/(1-'P-Parametri'!$B$6*AK549))+MIN(MAX(0,AP548-(MAX(0,AK506-IF($A549&gt;=('1-Input'!$C$12+1),'1-Input'!$B$12,0))-MIN(MAX(AO548,0),MAX(0,AK506-IF($A549&gt;=('1-Input'!$C$12+1),'1-Input'!$B$12,0))))*(1/(1-'P-Parametri'!$B$6*AK549))),MAX(0,2*AK506-(AO548-MIN(MAX(AO548,0),MAX(0,AK506-IF($A549&gt;=('1-Input'!$C$12+1),'1-Input'!$B$12,0)))))*(1/(1-'P-Parametri'!$B$6*AK549))))</f>
        <v>0</v>
      </c>
      <c r="AM549" s="18">
        <f>IF($A549&gt;'1-Input'!$B$26,AO548,(AO548-MAX(0,AK506-IF($A549&gt;=('1-Input'!$C$12+1),'1-Input'!$B$12,0))+AL549*(1-'P-Parametri'!$B$6*AK549))*(1+'1-Input'!$B$27))</f>
        <v>26748.891519594057</v>
      </c>
      <c r="AN549" s="18">
        <f>IF($A549&gt;'1-Input'!$B$26,AP548,(AP548-AL549)*(1+'5-Roberta'!$C$4))</f>
        <v>0</v>
      </c>
      <c r="AO549" s="18">
        <f>IF($A549&gt;'1-Input'!$B$26,AM549,AM549-'P-Parametri'!$B$8*(AN549+AM549)+MIN(MAX(AN549,0),'P-Parametri'!$B$8*(AN549+AM549)))</f>
        <v>26695.39373655487</v>
      </c>
      <c r="AP549" s="18">
        <f>IF($A549&gt;'1-Input'!$B$26,AN549,AN549-MIN(MAX(AN549,0),'P-Parametri'!$B$8*(AN549+AM549)))</f>
        <v>0</v>
      </c>
      <c r="AQ549" s="18">
        <f>IF($A549&gt;'1-Input'!$B$26,AQ548,AQ548-AL549*(1-AK549))</f>
        <v>0</v>
      </c>
    </row>
    <row r="550" spans="1:43">
      <c r="A550" s="10">
        <f>42</f>
        <v>42</v>
      </c>
      <c r="B550" s="11">
        <f>IF($A550&gt;'1-Input'!$B$26,0,IF(G549&lt;=0,0,MAX(0,(G549-H549)/G549)))</f>
        <v>0.74279347523632111</v>
      </c>
      <c r="C550" s="18">
        <f>IF($A550&gt;'1-Input'!$B$26,0,(MAX(0,B506-IF($A550&gt;=('1-Input'!$C$12+1),'1-Input'!$B$12,0))-MIN(MAX(F549,0),MAX(0,B506-IF($A550&gt;=('1-Input'!$C$12+1),'1-Input'!$B$12,0))))*(1/(1-'P-Parametri'!$B$6*B550))+MIN(MAX(0,G549-(MAX(0,B506-IF($A550&gt;=('1-Input'!$C$12+1),'1-Input'!$B$12,0))-MIN(MAX(F549,0),MAX(0,B506-IF($A550&gt;=('1-Input'!$C$12+1),'1-Input'!$B$12,0))))*(1/(1-'P-Parametri'!$B$6*B550))),MAX(0,2*B506-(F549-MIN(MAX(F549,0),MAX(0,B506-IF($A550&gt;=('1-Input'!$C$12+1),'1-Input'!$B$12,0)))))*(1/(1-'P-Parametri'!$B$6*B550))))</f>
        <v>7063.2602575180099</v>
      </c>
      <c r="D550" s="18">
        <f>IF($A550&gt;'1-Input'!$B$26,F549,(F549-MAX(0,B506-IF($A550&gt;=('1-Input'!$C$12+1),'1-Input'!$B$12,0))+C550*(1-'P-Parametri'!$B$6*B550))*(1+'1-Input'!$B$27))</f>
        <v>33242.0070309863</v>
      </c>
      <c r="E550" s="18">
        <f>IF($A550&gt;'1-Input'!$B$26,G549,(G549-C550)*(1+'5-Roberta'!$C$4))</f>
        <v>83020.631498935283</v>
      </c>
      <c r="F550" s="18">
        <f>IF($A550&gt;'1-Input'!$B$26,D550,D550-'P-Parametri'!$B$8*(E550+D550)+MIN(MAX(E550,0),'P-Parametri'!$B$8*(E550+D550)))</f>
        <v>33242.0070309863</v>
      </c>
      <c r="G550" s="18">
        <f>IF($A550&gt;'1-Input'!$B$26,E550,E550-MIN(MAX(E550,0),'P-Parametri'!$B$8*(E550+D550)))</f>
        <v>82788.106221875438</v>
      </c>
      <c r="H550" s="18">
        <f>IF($A550&gt;'1-Input'!$B$26,H549,H549-C550*(1-B550))</f>
        <v>20731.503020900152</v>
      </c>
      <c r="I550" s="11">
        <f>IF($A550&gt;'1-Input'!$B$26,0,IF(N549&lt;=0,0,MAX(0,(N549-O549)/N549)))</f>
        <v>0</v>
      </c>
      <c r="J550" s="18">
        <f>IF($A550&gt;'1-Input'!$B$26,0,(MAX(0,I506-IF($A550&gt;=('1-Input'!$C$12+1),'1-Input'!$B$12,0))-MIN(MAX(M549,0),MAX(0,I506-IF($A550&gt;=('1-Input'!$C$12+1),'1-Input'!$B$12,0))))*(1/(1-'P-Parametri'!$B$6*I550))+MIN(MAX(0,N549-(MAX(0,I506-IF($A550&gt;=('1-Input'!$C$12+1),'1-Input'!$B$12,0))-MIN(MAX(M549,0),MAX(0,I506-IF($A550&gt;=('1-Input'!$C$12+1),'1-Input'!$B$12,0))))*(1/(1-'P-Parametri'!$B$6*I550))),MAX(0,2*I506-(M549-MIN(MAX(M549,0),MAX(0,I506-IF($A550&gt;=('1-Input'!$C$12+1),'1-Input'!$B$12,0)))))*(1/(1-'P-Parametri'!$B$6*I550))))</f>
        <v>10846.756992928691</v>
      </c>
      <c r="K550" s="18">
        <f>IF($A550&gt;'1-Input'!$B$26,M549,(M549-MAX(0,I506-IF($A550&gt;=('1-Input'!$C$12+1),'1-Input'!$B$12,0))+J550*(1-'P-Parametri'!$B$6*I550))*(1+'1-Input'!$B$27))</f>
        <v>0</v>
      </c>
      <c r="L550" s="18">
        <f>IF($A550&gt;'1-Input'!$B$26,N549,(N549-J550)*(1+'5-Roberta'!$C$4))</f>
        <v>-282794.9604297356</v>
      </c>
      <c r="M550" s="18">
        <f>IF($A550&gt;'1-Input'!$B$26,K550,K550-'P-Parametri'!$B$8*(L550+K550)+MIN(MAX(L550,0),'P-Parametri'!$B$8*(L550+K550)))</f>
        <v>0</v>
      </c>
      <c r="N550" s="18">
        <f>IF($A550&gt;'1-Input'!$B$26,L550,L550-MIN(MAX(L550,0),'P-Parametri'!$B$8*(L550+K550)))</f>
        <v>-282229.37050887611</v>
      </c>
      <c r="O550" s="18">
        <f>IF($A550&gt;'1-Input'!$B$26,O549,O549-J550*(1-I550))</f>
        <v>-210497.44485868892</v>
      </c>
      <c r="P550" s="11">
        <f>IF($A550&gt;'1-Input'!$B$26,0,IF(U549&lt;=0,0,MAX(0,(U549-V549)/U549)))</f>
        <v>0</v>
      </c>
      <c r="Q550" s="18">
        <f>IF($A550&gt;'1-Input'!$B$26,0,(MAX(0,P506-IF($A550&gt;=('1-Input'!$C$12+1),'1-Input'!$B$12,0))-MIN(MAX(T549,0),MAX(0,P506-IF($A550&gt;=('1-Input'!$C$12+1),'1-Input'!$B$12,0))))*(1/(1-'P-Parametri'!$B$6*P550))+MIN(MAX(0,U549-(MAX(0,P506-IF($A550&gt;=('1-Input'!$C$12+1),'1-Input'!$B$12,0))-MIN(MAX(T549,0),MAX(0,P506-IF($A550&gt;=('1-Input'!$C$12+1),'1-Input'!$B$12,0))))*(1/(1-'P-Parametri'!$B$6*P550))),MAX(0,2*P506-(T549-MIN(MAX(T549,0),MAX(0,P506-IF($A550&gt;=('1-Input'!$C$12+1),'1-Input'!$B$12,0)))))*(1/(1-'P-Parametri'!$B$6*P550))))</f>
        <v>0</v>
      </c>
      <c r="R550" s="18">
        <f>IF($A550&gt;'1-Input'!$B$26,T549,(T549-MAX(0,P506-IF($A550&gt;=('1-Input'!$C$12+1),'1-Input'!$B$12,0))+Q550*(1-'P-Parametri'!$B$6*P550))*(1+'1-Input'!$B$27))</f>
        <v>8824.1092377020359</v>
      </c>
      <c r="S550" s="18">
        <f>IF($A550&gt;'1-Input'!$B$26,U549,(U549-Q550)*(1+'5-Roberta'!$C$4))</f>
        <v>0</v>
      </c>
      <c r="T550" s="18">
        <f>IF($A550&gt;'1-Input'!$B$26,R550,R550-'P-Parametri'!$B$8*(S550+R550)+MIN(MAX(S550,0),'P-Parametri'!$B$8*(S550+R550)))</f>
        <v>8806.4610192266318</v>
      </c>
      <c r="U550" s="18">
        <f>IF($A550&gt;'1-Input'!$B$26,S550,S550-MIN(MAX(S550,0),'P-Parametri'!$B$8*(S550+R550)))</f>
        <v>0</v>
      </c>
      <c r="V550" s="18">
        <f>IF($A550&gt;'1-Input'!$B$26,V549,V549-Q550*(1-P550))</f>
        <v>0</v>
      </c>
      <c r="W550" s="11">
        <f>IF($A550&gt;'1-Input'!$B$26,0,IF(AB549&lt;=0,0,MAX(0,(AB549-AC549)/AB549)))</f>
        <v>0</v>
      </c>
      <c r="X550" s="18">
        <f>IF($A550&gt;'1-Input'!$B$26,0,(MAX(0,W506-IF($A550&gt;=('1-Input'!$C$12+1),'1-Input'!$B$12,0))-MIN(MAX(AA549,0),MAX(0,W506-IF($A550&gt;=('1-Input'!$C$12+1),'1-Input'!$B$12,0))))*(1/(1-'P-Parametri'!$B$6*W550))+MIN(MAX(0,AB549-(MAX(0,W506-IF($A550&gt;=('1-Input'!$C$12+1),'1-Input'!$B$12,0))-MIN(MAX(AA549,0),MAX(0,W506-IF($A550&gt;=('1-Input'!$C$12+1),'1-Input'!$B$12,0))))*(1/(1-'P-Parametri'!$B$6*W550))),MAX(0,2*W506-(AA549-MIN(MAX(AA549,0),MAX(0,W506-IF($A550&gt;=('1-Input'!$C$12+1),'1-Input'!$B$12,0)))))*(1/(1-'P-Parametri'!$B$6*W550))))</f>
        <v>0</v>
      </c>
      <c r="Y550" s="18">
        <f>IF($A550&gt;'1-Input'!$B$26,AA549,(AA549-MAX(0,W506-IF($A550&gt;=('1-Input'!$C$12+1),'1-Input'!$B$12,0))+X550*(1-'P-Parametri'!$B$6*W550))*(1+'1-Input'!$B$27))</f>
        <v>19168.692370318277</v>
      </c>
      <c r="Z550" s="18">
        <f>IF($A550&gt;'1-Input'!$B$26,AB549,(AB549-X550)*(1+'5-Roberta'!$C$4))</f>
        <v>0</v>
      </c>
      <c r="AA550" s="18">
        <f>IF($A550&gt;'1-Input'!$B$26,Y550,Y550-'P-Parametri'!$B$8*(Z550+Y550)+MIN(MAX(Z550,0),'P-Parametri'!$B$8*(Z550+Y550)))</f>
        <v>19130.35498557764</v>
      </c>
      <c r="AB550" s="18">
        <f>IF($A550&gt;'1-Input'!$B$26,Z550,Z550-MIN(MAX(Z550,0),'P-Parametri'!$B$8*(Z550+Y550)))</f>
        <v>0</v>
      </c>
      <c r="AC550" s="18">
        <f>IF($A550&gt;'1-Input'!$B$26,AC549,AC549-X550*(1-W550))</f>
        <v>2.2737367544323206E-13</v>
      </c>
      <c r="AD550" s="11">
        <f>IF($A550&gt;'1-Input'!$B$26,0,IF(AI549&lt;=0,0,MAX(0,(AI549-AJ549)/AI549)))</f>
        <v>0</v>
      </c>
      <c r="AE550" s="18">
        <f>IF($A550&gt;'1-Input'!$B$26,0,(MAX(0,AD506-IF($A550&gt;=('1-Input'!$C$12+1),'1-Input'!$B$12,0))-MIN(MAX(AH549,0),MAX(0,AD506-IF($A550&gt;=('1-Input'!$C$12+1),'1-Input'!$B$12,0))))*(1/(1-'P-Parametri'!$B$6*AD550))+MIN(MAX(0,AI549-(MAX(0,AD506-IF($A550&gt;=('1-Input'!$C$12+1),'1-Input'!$B$12,0))-MIN(MAX(AH549,0),MAX(0,AD506-IF($A550&gt;=('1-Input'!$C$12+1),'1-Input'!$B$12,0))))*(1/(1-'P-Parametri'!$B$6*AD550))),MAX(0,2*AD506-(AH549-MIN(MAX(AH549,0),MAX(0,AD506-IF($A550&gt;=('1-Input'!$C$12+1),'1-Input'!$B$12,0)))))*(1/(1-'P-Parametri'!$B$6*AD550))))</f>
        <v>0</v>
      </c>
      <c r="AF550" s="18">
        <f>IF($A550&gt;'1-Input'!$B$26,AH549,(AH549-MAX(0,AD506-IF($A550&gt;=('1-Input'!$C$12+1),'1-Input'!$B$12,0))+AE550*(1-'P-Parametri'!$B$6*AD550))*(1+'1-Input'!$B$27))</f>
        <v>20006.014204893268</v>
      </c>
      <c r="AG550" s="18">
        <f>IF($A550&gt;'1-Input'!$B$26,AI549,(AI549-AE550)*(1+'5-Roberta'!$C$4))</f>
        <v>0</v>
      </c>
      <c r="AH550" s="18">
        <f>IF($A550&gt;'1-Input'!$B$26,AF550,AF550-'P-Parametri'!$B$8*(AG550+AF550)+MIN(MAX(AG550,0),'P-Parametri'!$B$8*(AG550+AF550)))</f>
        <v>19966.002176483482</v>
      </c>
      <c r="AI550" s="18">
        <f>IF($A550&gt;'1-Input'!$B$26,AG550,AG550-MIN(MAX(AG550,0),'P-Parametri'!$B$8*(AG550+AF550)))</f>
        <v>0</v>
      </c>
      <c r="AJ550" s="18">
        <f>IF($A550&gt;'1-Input'!$B$26,AJ549,AJ549-AE550*(1-AD550))</f>
        <v>-4.5474735088646412E-13</v>
      </c>
      <c r="AK550" s="11">
        <f>IF($A550&gt;'1-Input'!$B$26,0,IF(AP549&lt;=0,0,MAX(0,(AP549-AQ549)/AP549)))</f>
        <v>0</v>
      </c>
      <c r="AL550" s="18">
        <f>IF($A550&gt;'1-Input'!$B$26,0,(MAX(0,AK506-IF($A550&gt;=('1-Input'!$C$12+1),'1-Input'!$B$12,0))-MIN(MAX(AO549,0),MAX(0,AK506-IF($A550&gt;=('1-Input'!$C$12+1),'1-Input'!$B$12,0))))*(1/(1-'P-Parametri'!$B$6*AK550))+MIN(MAX(0,AP549-(MAX(0,AK506-IF($A550&gt;=('1-Input'!$C$12+1),'1-Input'!$B$12,0))-MIN(MAX(AO549,0),MAX(0,AK506-IF($A550&gt;=('1-Input'!$C$12+1),'1-Input'!$B$12,0))))*(1/(1-'P-Parametri'!$B$6*AK550))),MAX(0,2*AK506-(AO549-MIN(MAX(AO549,0),MAX(0,AK506-IF($A550&gt;=('1-Input'!$C$12+1),'1-Input'!$B$12,0)))))*(1/(1-'P-Parametri'!$B$6*AK550))))</f>
        <v>0</v>
      </c>
      <c r="AM550" s="18">
        <f>IF($A550&gt;'1-Input'!$B$26,AO549,(AO549-MAX(0,AK506-IF($A550&gt;=('1-Input'!$C$12+1),'1-Input'!$B$12,0))+AL550*(1-'P-Parametri'!$B$6*AK550))*(1+'1-Input'!$B$27))</f>
        <v>20005.312106205685</v>
      </c>
      <c r="AN550" s="18">
        <f>IF($A550&gt;'1-Input'!$B$26,AP549,(AP549-AL550)*(1+'5-Roberta'!$C$4))</f>
        <v>0</v>
      </c>
      <c r="AO550" s="18">
        <f>IF($A550&gt;'1-Input'!$B$26,AM550,AM550-'P-Parametri'!$B$8*(AN550+AM550)+MIN(MAX(AN550,0),'P-Parametri'!$B$8*(AN550+AM550)))</f>
        <v>19965.301481993272</v>
      </c>
      <c r="AP550" s="18">
        <f>IF($A550&gt;'1-Input'!$B$26,AN550,AN550-MIN(MAX(AN550,0),'P-Parametri'!$B$8*(AN550+AM550)))</f>
        <v>0</v>
      </c>
      <c r="AQ550" s="18">
        <f>IF($A550&gt;'1-Input'!$B$26,AQ549,AQ549-AL550*(1-AK550))</f>
        <v>0</v>
      </c>
    </row>
    <row r="551" spans="1:43">
      <c r="A551" s="10">
        <f>43</f>
        <v>43</v>
      </c>
      <c r="B551" s="11">
        <f>IF($A551&gt;'1-Input'!$B$26,0,IF(G550&lt;=0,0,MAX(0,(G550-H550)/G550)))</f>
        <v>0.7495835577475477</v>
      </c>
      <c r="C551" s="18">
        <f>IF($A551&gt;'1-Input'!$B$26,0,(MAX(0,B506-IF($A551&gt;=('1-Input'!$C$12+1),'1-Input'!$B$12,0))-MIN(MAX(F550,0),MAX(0,B506-IF($A551&gt;=('1-Input'!$C$12+1),'1-Input'!$B$12,0))))*(1/(1-'P-Parametri'!$B$6*B551))+MIN(MAX(0,G550-(MAX(0,B506-IF($A551&gt;=('1-Input'!$C$12+1),'1-Input'!$B$12,0))-MIN(MAX(F550,0),MAX(0,B506-IF($A551&gt;=('1-Input'!$C$12+1),'1-Input'!$B$12,0))))*(1/(1-'P-Parametri'!$B$6*B551))),MAX(0,2*B506-(F550-MIN(MAX(F550,0),MAX(0,B506-IF($A551&gt;=('1-Input'!$C$12+1),'1-Input'!$B$12,0)))))*(1/(1-'P-Parametri'!$B$6*B551))))</f>
        <v>7078.7483993910955</v>
      </c>
      <c r="D551" s="18">
        <f>IF($A551&gt;'1-Input'!$B$26,F550,(F550-MAX(0,B506-IF($A551&gt;=('1-Input'!$C$12+1),'1-Input'!$B$12,0))+C551*(1-'P-Parametri'!$B$6*B551))*(1+'1-Input'!$B$27))</f>
        <v>33242.0070309863</v>
      </c>
      <c r="E551" s="18">
        <f>IF($A551&gt;'1-Input'!$B$26,G550,(G550-C551)*(1+'5-Roberta'!$C$4))</f>
        <v>77980.638557158862</v>
      </c>
      <c r="F551" s="18">
        <f>IF($A551&gt;'1-Input'!$B$26,D551,D551-'P-Parametri'!$B$8*(E551+D551)+MIN(MAX(E551,0),'P-Parametri'!$B$8*(E551+D551)))</f>
        <v>33242.0070309863</v>
      </c>
      <c r="G551" s="18">
        <f>IF($A551&gt;'1-Input'!$B$26,E551,E551-MIN(MAX(E551,0),'P-Parametri'!$B$8*(E551+D551)))</f>
        <v>77758.193265982569</v>
      </c>
      <c r="H551" s="18">
        <f>IF($A551&gt;'1-Input'!$B$26,H550,H550-C551*(1-B551))</f>
        <v>18958.868031124392</v>
      </c>
      <c r="I551" s="11">
        <f>IF($A551&gt;'1-Input'!$B$26,0,IF(N550&lt;=0,0,MAX(0,(N550-O550)/N550)))</f>
        <v>0</v>
      </c>
      <c r="J551" s="18">
        <f>IF($A551&gt;'1-Input'!$B$26,0,(MAX(0,I506-IF($A551&gt;=('1-Input'!$C$12+1),'1-Input'!$B$12,0))-MIN(MAX(M550,0),MAX(0,I506-IF($A551&gt;=('1-Input'!$C$12+1),'1-Input'!$B$12,0))))*(1/(1-'P-Parametri'!$B$6*I551))+MIN(MAX(0,N550-(MAX(0,I506-IF($A551&gt;=('1-Input'!$C$12+1),'1-Input'!$B$12,0))-MIN(MAX(M550,0),MAX(0,I506-IF($A551&gt;=('1-Input'!$C$12+1),'1-Input'!$B$12,0))))*(1/(1-'P-Parametri'!$B$6*I551))),MAX(0,2*I506-(M550-MIN(MAX(M550,0),MAX(0,I506-IF($A551&gt;=('1-Input'!$C$12+1),'1-Input'!$B$12,0)))))*(1/(1-'P-Parametri'!$B$6*I551))))</f>
        <v>10846.756992928691</v>
      </c>
      <c r="K551" s="18">
        <f>IF($A551&gt;'1-Input'!$B$26,M550,(M550-MAX(0,I506-IF($A551&gt;=('1-Input'!$C$12+1),'1-Input'!$B$12,0))+J551*(1-'P-Parametri'!$B$6*I551))*(1+'1-Input'!$B$27))</f>
        <v>0</v>
      </c>
      <c r="L551" s="18">
        <f>IF($A551&gt;'1-Input'!$B$26,N550,(N550-J551)*(1+'5-Roberta'!$C$4))</f>
        <v>-301868.41132685891</v>
      </c>
      <c r="M551" s="18">
        <f>IF($A551&gt;'1-Input'!$B$26,K551,K551-'P-Parametri'!$B$8*(L551+K551)+MIN(MAX(L551,0),'P-Parametri'!$B$8*(L551+K551)))</f>
        <v>0</v>
      </c>
      <c r="N551" s="18">
        <f>IF($A551&gt;'1-Input'!$B$26,L551,L551-MIN(MAX(L551,0),'P-Parametri'!$B$8*(L551+K551)))</f>
        <v>-301264.67450420518</v>
      </c>
      <c r="O551" s="18">
        <f>IF($A551&gt;'1-Input'!$B$26,O550,O550-J551*(1-I551))</f>
        <v>-221344.2018516176</v>
      </c>
      <c r="P551" s="11">
        <f>IF($A551&gt;'1-Input'!$B$26,0,IF(U550&lt;=0,0,MAX(0,(U550-V550)/U550)))</f>
        <v>0</v>
      </c>
      <c r="Q551" s="18">
        <f>IF($A551&gt;'1-Input'!$B$26,0,(MAX(0,P506-IF($A551&gt;=('1-Input'!$C$12+1),'1-Input'!$B$12,0))-MIN(MAX(T550,0),MAX(0,P506-IF($A551&gt;=('1-Input'!$C$12+1),'1-Input'!$B$12,0))))*(1/(1-'P-Parametri'!$B$6*P551))+MIN(MAX(0,U550-(MAX(0,P506-IF($A551&gt;=('1-Input'!$C$12+1),'1-Input'!$B$12,0))-MIN(MAX(T550,0),MAX(0,P506-IF($A551&gt;=('1-Input'!$C$12+1),'1-Input'!$B$12,0))))*(1/(1-'P-Parametri'!$B$6*P551))),MAX(0,2*P506-(T550-MIN(MAX(T550,0),MAX(0,P506-IF($A551&gt;=('1-Input'!$C$12+1),'1-Input'!$B$12,0)))))*(1/(1-'P-Parametri'!$B$6*P551))))</f>
        <v>0</v>
      </c>
      <c r="R551" s="18">
        <f>IF($A551&gt;'1-Input'!$B$26,T550,(T550-MAX(0,P506-IF($A551&gt;=('1-Input'!$C$12+1),'1-Input'!$B$12,0))+Q551*(1-'P-Parametri'!$B$6*P551))*(1+'1-Input'!$B$27))</f>
        <v>2021.1459947803262</v>
      </c>
      <c r="S551" s="18">
        <f>IF($A551&gt;'1-Input'!$B$26,U550,(U550-Q551)*(1+'5-Roberta'!$C$4))</f>
        <v>0</v>
      </c>
      <c r="T551" s="18">
        <f>IF($A551&gt;'1-Input'!$B$26,R551,R551-'P-Parametri'!$B$8*(S551+R551)+MIN(MAX(S551,0),'P-Parametri'!$B$8*(S551+R551)))</f>
        <v>2017.1037027907655</v>
      </c>
      <c r="U551" s="18">
        <f>IF($A551&gt;'1-Input'!$B$26,S551,S551-MIN(MAX(S551,0),'P-Parametri'!$B$8*(S551+R551)))</f>
        <v>0</v>
      </c>
      <c r="V551" s="18">
        <f>IF($A551&gt;'1-Input'!$B$26,V550,V550-Q551*(1-P551))</f>
        <v>0</v>
      </c>
      <c r="W551" s="11">
        <f>IF($A551&gt;'1-Input'!$B$26,0,IF(AB550&lt;=0,0,MAX(0,(AB550-AC550)/AB550)))</f>
        <v>0</v>
      </c>
      <c r="X551" s="18">
        <f>IF($A551&gt;'1-Input'!$B$26,0,(MAX(0,W506-IF($A551&gt;=('1-Input'!$C$12+1),'1-Input'!$B$12,0))-MIN(MAX(AA550,0),MAX(0,W506-IF($A551&gt;=('1-Input'!$C$12+1),'1-Input'!$B$12,0))))*(1/(1-'P-Parametri'!$B$6*W551))+MIN(MAX(0,AB550-(MAX(0,W506-IF($A551&gt;=('1-Input'!$C$12+1),'1-Input'!$B$12,0))-MIN(MAX(AA550,0),MAX(0,W506-IF($A551&gt;=('1-Input'!$C$12+1),'1-Input'!$B$12,0))))*(1/(1-'P-Parametri'!$B$6*W551))),MAX(0,2*W506-(AA550-MIN(MAX(AA550,0),MAX(0,W506-IF($A551&gt;=('1-Input'!$C$12+1),'1-Input'!$B$12,0)))))*(1/(1-'P-Parametri'!$B$6*W551))))</f>
        <v>0</v>
      </c>
      <c r="Y551" s="18">
        <f>IF($A551&gt;'1-Input'!$B$26,AA550,(AA550-MAX(0,W506-IF($A551&gt;=('1-Input'!$C$12+1),'1-Input'!$B$12,0))+X551*(1-'P-Parametri'!$B$6*W551))*(1+'1-Input'!$B$27))</f>
        <v>12455.743315318057</v>
      </c>
      <c r="Z551" s="18">
        <f>IF($A551&gt;'1-Input'!$B$26,AB550,(AB550-X551)*(1+'5-Roberta'!$C$4))</f>
        <v>0</v>
      </c>
      <c r="AA551" s="18">
        <f>IF($A551&gt;'1-Input'!$B$26,Y551,Y551-'P-Parametri'!$B$8*(Z551+Y551)+MIN(MAX(Z551,0),'P-Parametri'!$B$8*(Z551+Y551)))</f>
        <v>12430.831828687422</v>
      </c>
      <c r="AB551" s="18">
        <f>IF($A551&gt;'1-Input'!$B$26,Z551,Z551-MIN(MAX(Z551,0),'P-Parametri'!$B$8*(Z551+Y551)))</f>
        <v>0</v>
      </c>
      <c r="AC551" s="18">
        <f>IF($A551&gt;'1-Input'!$B$26,AC550,AC550-X551*(1-W551))</f>
        <v>2.2737367544323206E-13</v>
      </c>
      <c r="AD551" s="11">
        <f>IF($A551&gt;'1-Input'!$B$26,0,IF(AI550&lt;=0,0,MAX(0,(AI550-AJ550)/AI550)))</f>
        <v>0</v>
      </c>
      <c r="AE551" s="18">
        <f>IF($A551&gt;'1-Input'!$B$26,0,(MAX(0,AD506-IF($A551&gt;=('1-Input'!$C$12+1),'1-Input'!$B$12,0))-MIN(MAX(AH550,0),MAX(0,AD506-IF($A551&gt;=('1-Input'!$C$12+1),'1-Input'!$B$12,0))))*(1/(1-'P-Parametri'!$B$6*AD551))+MIN(MAX(0,AI550-(MAX(0,AD506-IF($A551&gt;=('1-Input'!$C$12+1),'1-Input'!$B$12,0))-MIN(MAX(AH550,0),MAX(0,AD506-IF($A551&gt;=('1-Input'!$C$12+1),'1-Input'!$B$12,0))))*(1/(1-'P-Parametri'!$B$6*AD551))),MAX(0,2*AD506-(AH550-MIN(MAX(AH550,0),MAX(0,AD506-IF($A551&gt;=('1-Input'!$C$12+1),'1-Input'!$B$12,0)))))*(1/(1-'P-Parametri'!$B$6*AD551))))</f>
        <v>0</v>
      </c>
      <c r="AF551" s="18">
        <f>IF($A551&gt;'1-Input'!$B$26,AH550,(AH550-MAX(0,AD506-IF($A551&gt;=('1-Input'!$C$12+1),'1-Input'!$B$12,0))+AE551*(1-'P-Parametri'!$B$6*AD551))*(1+'1-Input'!$B$27))</f>
        <v>13300.156228323121</v>
      </c>
      <c r="AG551" s="18">
        <f>IF($A551&gt;'1-Input'!$B$26,AI550,(AI550-AE551)*(1+'5-Roberta'!$C$4))</f>
        <v>0</v>
      </c>
      <c r="AH551" s="18">
        <f>IF($A551&gt;'1-Input'!$B$26,AF551,AF551-'P-Parametri'!$B$8*(AG551+AF551)+MIN(MAX(AG551,0),'P-Parametri'!$B$8*(AG551+AF551)))</f>
        <v>13273.555915866475</v>
      </c>
      <c r="AI551" s="18">
        <f>IF($A551&gt;'1-Input'!$B$26,AG551,AG551-MIN(MAX(AG551,0),'P-Parametri'!$B$8*(AG551+AF551)))</f>
        <v>0</v>
      </c>
      <c r="AJ551" s="18">
        <f>IF($A551&gt;'1-Input'!$B$26,AJ550,AJ550-AE551*(1-AD551))</f>
        <v>-4.5474735088646412E-13</v>
      </c>
      <c r="AK551" s="11">
        <f>IF($A551&gt;'1-Input'!$B$26,0,IF(AP550&lt;=0,0,MAX(0,(AP550-AQ550)/AP550)))</f>
        <v>0</v>
      </c>
      <c r="AL551" s="18">
        <f>IF($A551&gt;'1-Input'!$B$26,0,(MAX(0,AK506-IF($A551&gt;=('1-Input'!$C$12+1),'1-Input'!$B$12,0))-MIN(MAX(AO550,0),MAX(0,AK506-IF($A551&gt;=('1-Input'!$C$12+1),'1-Input'!$B$12,0))))*(1/(1-'P-Parametri'!$B$6*AK551))+MIN(MAX(0,AP550-(MAX(0,AK506-IF($A551&gt;=('1-Input'!$C$12+1),'1-Input'!$B$12,0))-MIN(MAX(AO550,0),MAX(0,AK506-IF($A551&gt;=('1-Input'!$C$12+1),'1-Input'!$B$12,0))))*(1/(1-'P-Parametri'!$B$6*AK551))),MAX(0,2*AK506-(AO550-MIN(MAX(AO550,0),MAX(0,AK506-IF($A551&gt;=('1-Input'!$C$12+1),'1-Input'!$B$12,0)))))*(1/(1-'P-Parametri'!$B$6*AK551))))</f>
        <v>0</v>
      </c>
      <c r="AM551" s="18">
        <f>IF($A551&gt;'1-Input'!$B$26,AO550,(AO550-MAX(0,AK506-IF($A551&gt;=('1-Input'!$C$12+1),'1-Input'!$B$12,0))+AL551*(1-'P-Parametri'!$B$6*AK551))*(1+'1-Input'!$B$27))</f>
        <v>13299.448183760511</v>
      </c>
      <c r="AN551" s="18">
        <f>IF($A551&gt;'1-Input'!$B$26,AP550,(AP550-AL551)*(1+'5-Roberta'!$C$4))</f>
        <v>0</v>
      </c>
      <c r="AO551" s="18">
        <f>IF($A551&gt;'1-Input'!$B$26,AM551,AM551-'P-Parametri'!$B$8*(AN551+AM551)+MIN(MAX(AN551,0),'P-Parametri'!$B$8*(AN551+AM551)))</f>
        <v>13272.84928739299</v>
      </c>
      <c r="AP551" s="18">
        <f>IF($A551&gt;'1-Input'!$B$26,AN551,AN551-MIN(MAX(AN551,0),'P-Parametri'!$B$8*(AN551+AM551)))</f>
        <v>0</v>
      </c>
      <c r="AQ551" s="18">
        <f>IF($A551&gt;'1-Input'!$B$26,AQ550,AQ550-AL551*(1-AK551))</f>
        <v>0</v>
      </c>
    </row>
    <row r="552" spans="1:43">
      <c r="A552" s="10">
        <f>44</f>
        <v>44</v>
      </c>
      <c r="B552" s="11">
        <f>IF($A552&gt;'1-Input'!$B$26,0,IF(G551&lt;=0,0,MAX(0,(G551-H551)/G551)))</f>
        <v>0.75618173166301605</v>
      </c>
      <c r="C552" s="18">
        <f>IF($A552&gt;'1-Input'!$B$26,0,(MAX(0,B506-IF($A552&gt;=('1-Input'!$C$12+1),'1-Input'!$B$12,0))-MIN(MAX(F551,0),MAX(0,B506-IF($A552&gt;=('1-Input'!$C$12+1),'1-Input'!$B$12,0))))*(1/(1-'P-Parametri'!$B$6*B552))+MIN(MAX(0,G551-(MAX(0,B506-IF($A552&gt;=('1-Input'!$C$12+1),'1-Input'!$B$12,0))-MIN(MAX(F551,0),MAX(0,B506-IF($A552&gt;=('1-Input'!$C$12+1),'1-Input'!$B$12,0))))*(1/(1-'P-Parametri'!$B$6*B552))),MAX(0,2*B506-(F551-MIN(MAX(F551,0),MAX(0,B506-IF($A552&gt;=('1-Input'!$C$12+1),'1-Input'!$B$12,0)))))*(1/(1-'P-Parametri'!$B$6*B552))))</f>
        <v>7093.864009277665</v>
      </c>
      <c r="D552" s="18">
        <f>IF($A552&gt;'1-Input'!$B$26,F551,(F551-MAX(0,B506-IF($A552&gt;=('1-Input'!$C$12+1),'1-Input'!$B$12,0))+C552*(1-'P-Parametri'!$B$6*B552))*(1+'1-Input'!$B$27))</f>
        <v>33242.0070309863</v>
      </c>
      <c r="E552" s="18">
        <f>IF($A552&gt;'1-Input'!$B$26,G551,(G551-C552)*(1+'5-Roberta'!$C$4))</f>
        <v>72784.259134406049</v>
      </c>
      <c r="F552" s="18">
        <f>IF($A552&gt;'1-Input'!$B$26,D552,D552-'P-Parametri'!$B$8*(E552+D552)+MIN(MAX(E552,0),'P-Parametri'!$B$8*(E552+D552)))</f>
        <v>33242.0070309863</v>
      </c>
      <c r="G552" s="18">
        <f>IF($A552&gt;'1-Input'!$B$26,E552,E552-MIN(MAX(E552,0),'P-Parametri'!$B$8*(E552+D552)))</f>
        <v>72572.206602075268</v>
      </c>
      <c r="H552" s="18">
        <f>IF($A552&gt;'1-Input'!$B$26,H551,H551-C552*(1-B552))</f>
        <v>17229.254392564257</v>
      </c>
      <c r="I552" s="11">
        <f>IF($A552&gt;'1-Input'!$B$26,0,IF(N551&lt;=0,0,MAX(0,(N551-O551)/N551)))</f>
        <v>0</v>
      </c>
      <c r="J552" s="18">
        <f>IF($A552&gt;'1-Input'!$B$26,0,(MAX(0,I506-IF($A552&gt;=('1-Input'!$C$12+1),'1-Input'!$B$12,0))-MIN(MAX(M551,0),MAX(0,I506-IF($A552&gt;=('1-Input'!$C$12+1),'1-Input'!$B$12,0))))*(1/(1-'P-Parametri'!$B$6*I552))+MIN(MAX(0,N551-(MAX(0,I506-IF($A552&gt;=('1-Input'!$C$12+1),'1-Input'!$B$12,0))-MIN(MAX(M551,0),MAX(0,I506-IF($A552&gt;=('1-Input'!$C$12+1),'1-Input'!$B$12,0))))*(1/(1-'P-Parametri'!$B$6*I552))),MAX(0,2*I506-(M551-MIN(MAX(M551,0),MAX(0,I506-IF($A552&gt;=('1-Input'!$C$12+1),'1-Input'!$B$12,0)))))*(1/(1-'P-Parametri'!$B$6*I552))))</f>
        <v>10846.756992928691</v>
      </c>
      <c r="K552" s="18">
        <f>IF($A552&gt;'1-Input'!$B$26,M551,(M551-MAX(0,I506-IF($A552&gt;=('1-Input'!$C$12+1),'1-Input'!$B$12,0))+J552*(1-'P-Parametri'!$B$6*I552))*(1+'1-Input'!$B$27))</f>
        <v>0</v>
      </c>
      <c r="L552" s="18">
        <f>IF($A552&gt;'1-Input'!$B$26,N551,(N551-J552)*(1+'5-Roberta'!$C$4))</f>
        <v>-321474.77444204787</v>
      </c>
      <c r="M552" s="18">
        <f>IF($A552&gt;'1-Input'!$B$26,K552,K552-'P-Parametri'!$B$8*(L552+K552)+MIN(MAX(L552,0),'P-Parametri'!$B$8*(L552+K552)))</f>
        <v>0</v>
      </c>
      <c r="N552" s="18">
        <f>IF($A552&gt;'1-Input'!$B$26,L552,L552-MIN(MAX(L552,0),'P-Parametri'!$B$8*(L552+K552)))</f>
        <v>-320831.82489316375</v>
      </c>
      <c r="O552" s="18">
        <f>IF($A552&gt;'1-Input'!$B$26,O551,O551-J552*(1-I552))</f>
        <v>-232190.95884454629</v>
      </c>
      <c r="P552" s="11">
        <f>IF($A552&gt;'1-Input'!$B$26,0,IF(U551&lt;=0,0,MAX(0,(U551-V551)/U551)))</f>
        <v>0</v>
      </c>
      <c r="Q552" s="18">
        <f>IF($A552&gt;'1-Input'!$B$26,0,(MAX(0,P506-IF($A552&gt;=('1-Input'!$C$12+1),'1-Input'!$B$12,0))-MIN(MAX(T551,0),MAX(0,P506-IF($A552&gt;=('1-Input'!$C$12+1),'1-Input'!$B$12,0))))*(1/(1-'P-Parametri'!$B$6*P552))+MIN(MAX(0,U551-(MAX(0,P506-IF($A552&gt;=('1-Input'!$C$12+1),'1-Input'!$B$12,0))-MIN(MAX(T551,0),MAX(0,P506-IF($A552&gt;=('1-Input'!$C$12+1),'1-Input'!$B$12,0))))*(1/(1-'P-Parametri'!$B$6*P552))),MAX(0,2*P506-(T551-MIN(MAX(T551,0),MAX(0,P506-IF($A552&gt;=('1-Input'!$C$12+1),'1-Input'!$B$12,0)))))*(1/(1-'P-Parametri'!$B$6*P552))))</f>
        <v>4760.9089073829491</v>
      </c>
      <c r="R552" s="18">
        <f>IF($A552&gt;'1-Input'!$B$26,T551,(T551-MAX(0,P506-IF($A552&gt;=('1-Input'!$C$12+1),'1-Input'!$B$12,0))+Q552*(1-'P-Parametri'!$B$6*P552))*(1+'1-Input'!$B$27))</f>
        <v>0</v>
      </c>
      <c r="S552" s="18">
        <f>IF($A552&gt;'1-Input'!$B$26,U551,(U551-Q552)*(1+'5-Roberta'!$C$4))</f>
        <v>-4903.736174604438</v>
      </c>
      <c r="T552" s="18">
        <f>IF($A552&gt;'1-Input'!$B$26,R552,R552-'P-Parametri'!$B$8*(S552+R552)+MIN(MAX(S552,0),'P-Parametri'!$B$8*(S552+R552)))</f>
        <v>0</v>
      </c>
      <c r="U552" s="18">
        <f>IF($A552&gt;'1-Input'!$B$26,S552,S552-MIN(MAX(S552,0),'P-Parametri'!$B$8*(S552+R552)))</f>
        <v>-4893.9287022552289</v>
      </c>
      <c r="V552" s="18">
        <f>IF($A552&gt;'1-Input'!$B$26,V551,V551-Q552*(1-P552))</f>
        <v>-4760.9089073829491</v>
      </c>
      <c r="W552" s="11">
        <f>IF($A552&gt;'1-Input'!$B$26,0,IF(AB551&lt;=0,0,MAX(0,(AB551-AC551)/AB551)))</f>
        <v>0</v>
      </c>
      <c r="X552" s="18">
        <f>IF($A552&gt;'1-Input'!$B$26,0,(MAX(0,W506-IF($A552&gt;=('1-Input'!$C$12+1),'1-Input'!$B$12,0))-MIN(MAX(AA551,0),MAX(0,W506-IF($A552&gt;=('1-Input'!$C$12+1),'1-Input'!$B$12,0))))*(1/(1-'P-Parametri'!$B$6*W552))+MIN(MAX(0,AB551-(MAX(0,W506-IF($A552&gt;=('1-Input'!$C$12+1),'1-Input'!$B$12,0))-MIN(MAX(AA551,0),MAX(0,W506-IF($A552&gt;=('1-Input'!$C$12+1),'1-Input'!$B$12,0))))*(1/(1-'P-Parametri'!$B$6*W552))),MAX(0,2*W506-(AA551-MIN(MAX(AA551,0),MAX(0,W506-IF($A552&gt;=('1-Input'!$C$12+1),'1-Input'!$B$12,0)))))*(1/(1-'P-Parametri'!$B$6*W552))))</f>
        <v>0</v>
      </c>
      <c r="Y552" s="18">
        <f>IF($A552&gt;'1-Input'!$B$26,AA551,(AA551-MAX(0,W506-IF($A552&gt;=('1-Input'!$C$12+1),'1-Input'!$B$12,0))+X552*(1-'P-Parametri'!$B$6*W552))*(1+'1-Input'!$B$27))</f>
        <v>5780.3384417926445</v>
      </c>
      <c r="Z552" s="18">
        <f>IF($A552&gt;'1-Input'!$B$26,AB551,(AB551-X552)*(1+'5-Roberta'!$C$4))</f>
        <v>0</v>
      </c>
      <c r="AA552" s="18">
        <f>IF($A552&gt;'1-Input'!$B$26,Y552,Y552-'P-Parametri'!$B$8*(Z552+Y552)+MIN(MAX(Z552,0),'P-Parametri'!$B$8*(Z552+Y552)))</f>
        <v>5768.7777649090594</v>
      </c>
      <c r="AB552" s="18">
        <f>IF($A552&gt;'1-Input'!$B$26,Z552,Z552-MIN(MAX(Z552,0),'P-Parametri'!$B$8*(Z552+Y552)))</f>
        <v>0</v>
      </c>
      <c r="AC552" s="18">
        <f>IF($A552&gt;'1-Input'!$B$26,AC551,AC551-X552*(1-W552))</f>
        <v>2.2737367544323206E-13</v>
      </c>
      <c r="AD552" s="11">
        <f>IF($A552&gt;'1-Input'!$B$26,0,IF(AI551&lt;=0,0,MAX(0,(AI551-AJ551)/AI551)))</f>
        <v>0</v>
      </c>
      <c r="AE552" s="18">
        <f>IF($A552&gt;'1-Input'!$B$26,0,(MAX(0,AD506-IF($A552&gt;=('1-Input'!$C$12+1),'1-Input'!$B$12,0))-MIN(MAX(AH551,0),MAX(0,AD506-IF($A552&gt;=('1-Input'!$C$12+1),'1-Input'!$B$12,0))))*(1/(1-'P-Parametri'!$B$6*AD552))+MIN(MAX(0,AI551-(MAX(0,AD506-IF($A552&gt;=('1-Input'!$C$12+1),'1-Input'!$B$12,0))-MIN(MAX(AH551,0),MAX(0,AD506-IF($A552&gt;=('1-Input'!$C$12+1),'1-Input'!$B$12,0))))*(1/(1-'P-Parametri'!$B$6*AD552))),MAX(0,2*AD506-(AH551-MIN(MAX(AH551,0),MAX(0,AD506-IF($A552&gt;=('1-Input'!$C$12+1),'1-Input'!$B$12,0)))))*(1/(1-'P-Parametri'!$B$6*AD552))))</f>
        <v>0</v>
      </c>
      <c r="AF552" s="18">
        <f>IF($A552&gt;'1-Input'!$B$26,AH551,(AH551-MAX(0,AD506-IF($A552&gt;=('1-Input'!$C$12+1),'1-Input'!$B$12,0))+AE552*(1-'P-Parametri'!$B$6*AD552))*(1+'1-Input'!$B$27))</f>
        <v>6631.8027742443355</v>
      </c>
      <c r="AG552" s="18">
        <f>IF($A552&gt;'1-Input'!$B$26,AI551,(AI551-AE552)*(1+'5-Roberta'!$C$4))</f>
        <v>0</v>
      </c>
      <c r="AH552" s="18">
        <f>IF($A552&gt;'1-Input'!$B$26,AF552,AF552-'P-Parametri'!$B$8*(AG552+AF552)+MIN(MAX(AG552,0),'P-Parametri'!$B$8*(AG552+AF552)))</f>
        <v>6618.5391686958465</v>
      </c>
      <c r="AI552" s="18">
        <f>IF($A552&gt;'1-Input'!$B$26,AG552,AG552-MIN(MAX(AG552,0),'P-Parametri'!$B$8*(AG552+AF552)))</f>
        <v>0</v>
      </c>
      <c r="AJ552" s="18">
        <f>IF($A552&gt;'1-Input'!$B$26,AJ551,AJ551-AE552*(1-AD552))</f>
        <v>-4.5474735088646412E-13</v>
      </c>
      <c r="AK552" s="11">
        <f>IF($A552&gt;'1-Input'!$B$26,0,IF(AP551&lt;=0,0,MAX(0,(AP551-AQ551)/AP551)))</f>
        <v>0</v>
      </c>
      <c r="AL552" s="18">
        <f>IF($A552&gt;'1-Input'!$B$26,0,(MAX(0,AK506-IF($A552&gt;=('1-Input'!$C$12+1),'1-Input'!$B$12,0))-MIN(MAX(AO551,0),MAX(0,AK506-IF($A552&gt;=('1-Input'!$C$12+1),'1-Input'!$B$12,0))))*(1/(1-'P-Parametri'!$B$6*AK552))+MIN(MAX(0,AP551-(MAX(0,AK506-IF($A552&gt;=('1-Input'!$C$12+1),'1-Input'!$B$12,0))-MIN(MAX(AO551,0),MAX(0,AK506-IF($A552&gt;=('1-Input'!$C$12+1),'1-Input'!$B$12,0))))*(1/(1-'P-Parametri'!$B$6*AK552))),MAX(0,2*AK506-(AO551-MIN(MAX(AO551,0),MAX(0,AK506-IF($A552&gt;=('1-Input'!$C$12+1),'1-Input'!$B$12,0)))))*(1/(1-'P-Parametri'!$B$6*AK552))))</f>
        <v>0</v>
      </c>
      <c r="AM552" s="18">
        <f>IF($A552&gt;'1-Input'!$B$26,AO551,(AO551-MAX(0,AK506-IF($A552&gt;=('1-Input'!$C$12+1),'1-Input'!$B$12,0))+AL552*(1-'P-Parametri'!$B$6*AK552))*(1+'1-Input'!$B$27))</f>
        <v>6631.0888170607886</v>
      </c>
      <c r="AN552" s="18">
        <f>IF($A552&gt;'1-Input'!$B$26,AP551,(AP551-AL552)*(1+'5-Roberta'!$C$4))</f>
        <v>0</v>
      </c>
      <c r="AO552" s="18">
        <f>IF($A552&gt;'1-Input'!$B$26,AM552,AM552-'P-Parametri'!$B$8*(AN552+AM552)+MIN(MAX(AN552,0),'P-Parametri'!$B$8*(AN552+AM552)))</f>
        <v>6617.8266394266675</v>
      </c>
      <c r="AP552" s="18">
        <f>IF($A552&gt;'1-Input'!$B$26,AN552,AN552-MIN(MAX(AN552,0),'P-Parametri'!$B$8*(AN552+AM552)))</f>
        <v>0</v>
      </c>
      <c r="AQ552" s="18">
        <f>IF($A552&gt;'1-Input'!$B$26,AQ551,AQ551-AL552*(1-AK552))</f>
        <v>0</v>
      </c>
    </row>
    <row r="553" spans="1:43">
      <c r="A553" s="10">
        <f>45</f>
        <v>45</v>
      </c>
      <c r="B553" s="11">
        <f>IF($A553&gt;'1-Input'!$B$26,0,IF(G552&lt;=0,0,MAX(0,(G552-H552)/G552)))</f>
        <v>0.76259155950658986</v>
      </c>
      <c r="C553" s="18">
        <f>IF($A553&gt;'1-Input'!$B$26,0,(MAX(0,B506-IF($A553&gt;=('1-Input'!$C$12+1),'1-Input'!$B$12,0))-MIN(MAX(F552,0),MAX(0,B506-IF($A553&gt;=('1-Input'!$C$12+1),'1-Input'!$B$12,0))))*(1/(1-'P-Parametri'!$B$6*B553))+MIN(MAX(0,G552-(MAX(0,B506-IF($A553&gt;=('1-Input'!$C$12+1),'1-Input'!$B$12,0))-MIN(MAX(F552,0),MAX(0,B506-IF($A553&gt;=('1-Input'!$C$12+1),'1-Input'!$B$12,0))))*(1/(1-'P-Parametri'!$B$6*B553))),MAX(0,2*B506-(F552-MIN(MAX(F552,0),MAX(0,B506-IF($A553&gt;=('1-Input'!$C$12+1),'1-Input'!$B$12,0)))))*(1/(1-'P-Parametri'!$B$6*B553))))</f>
        <v>7108.610086320472</v>
      </c>
      <c r="D553" s="18">
        <f>IF($A553&gt;'1-Input'!$B$26,F552,(F552-MAX(0,B506-IF($A553&gt;=('1-Input'!$C$12+1),'1-Input'!$B$12,0))+C553*(1-'P-Parametri'!$B$6*B553))*(1+'1-Input'!$B$27))</f>
        <v>33242.0070309863</v>
      </c>
      <c r="E553" s="18">
        <f>IF($A553&gt;'1-Input'!$B$26,G552,(G552-C553)*(1+'5-Roberta'!$C$4))</f>
        <v>67427.504411227448</v>
      </c>
      <c r="F553" s="18">
        <f>IF($A553&gt;'1-Input'!$B$26,D553,D553-'P-Parametri'!$B$8*(E553+D553)+MIN(MAX(E553,0),'P-Parametri'!$B$8*(E553+D553)))</f>
        <v>33242.0070309863</v>
      </c>
      <c r="G553" s="18">
        <f>IF($A553&gt;'1-Input'!$B$26,E553,E553-MIN(MAX(E553,0),'P-Parametri'!$B$8*(E553+D553)))</f>
        <v>67226.165388343026</v>
      </c>
      <c r="H553" s="18">
        <f>IF($A553&gt;'1-Input'!$B$26,H552,H552-C553*(1-B553))</f>
        <v>15541.610357895188</v>
      </c>
      <c r="I553" s="11">
        <f>IF($A553&gt;'1-Input'!$B$26,0,IF(N552&lt;=0,0,MAX(0,(N552-O552)/N552)))</f>
        <v>0</v>
      </c>
      <c r="J553" s="18">
        <f>IF($A553&gt;'1-Input'!$B$26,0,(MAX(0,I506-IF($A553&gt;=('1-Input'!$C$12+1),'1-Input'!$B$12,0))-MIN(MAX(M552,0),MAX(0,I506-IF($A553&gt;=('1-Input'!$C$12+1),'1-Input'!$B$12,0))))*(1/(1-'P-Parametri'!$B$6*I553))+MIN(MAX(0,N552-(MAX(0,I506-IF($A553&gt;=('1-Input'!$C$12+1),'1-Input'!$B$12,0))-MIN(MAX(M552,0),MAX(0,I506-IF($A553&gt;=('1-Input'!$C$12+1),'1-Input'!$B$12,0))))*(1/(1-'P-Parametri'!$B$6*I553))),MAX(0,2*I506-(M552-MIN(MAX(M552,0),MAX(0,I506-IF($A553&gt;=('1-Input'!$C$12+1),'1-Input'!$B$12,0)))))*(1/(1-'P-Parametri'!$B$6*I553))))</f>
        <v>10846.756992928691</v>
      </c>
      <c r="K553" s="18">
        <f>IF($A553&gt;'1-Input'!$B$26,M552,(M552-MAX(0,I506-IF($A553&gt;=('1-Input'!$C$12+1),'1-Input'!$B$12,0))+J553*(1-'P-Parametri'!$B$6*I553))*(1+'1-Input'!$B$27))</f>
        <v>0</v>
      </c>
      <c r="L553" s="18">
        <f>IF($A553&gt;'1-Input'!$B$26,N552,(N552-J553)*(1+'5-Roberta'!$C$4))</f>
        <v>-341628.93934267521</v>
      </c>
      <c r="M553" s="18">
        <f>IF($A553&gt;'1-Input'!$B$26,K553,K553-'P-Parametri'!$B$8*(L553+K553)+MIN(MAX(L553,0),'P-Parametri'!$B$8*(L553+K553)))</f>
        <v>0</v>
      </c>
      <c r="N553" s="18">
        <f>IF($A553&gt;'1-Input'!$B$26,L553,L553-MIN(MAX(L553,0),'P-Parametri'!$B$8*(L553+K553)))</f>
        <v>-340945.68146398984</v>
      </c>
      <c r="O553" s="18">
        <f>IF($A553&gt;'1-Input'!$B$26,O552,O552-J553*(1-I553))</f>
        <v>-243037.71583747497</v>
      </c>
      <c r="P553" s="11">
        <f>IF($A553&gt;'1-Input'!$B$26,0,IF(U552&lt;=0,0,MAX(0,(U552-V552)/U552)))</f>
        <v>0</v>
      </c>
      <c r="Q553" s="18">
        <f>IF($A553&gt;'1-Input'!$B$26,0,(MAX(0,P506-IF($A553&gt;=('1-Input'!$C$12+1),'1-Input'!$B$12,0))-MIN(MAX(T552,0),MAX(0,P506-IF($A553&gt;=('1-Input'!$C$12+1),'1-Input'!$B$12,0))))*(1/(1-'P-Parametri'!$B$6*P553))+MIN(MAX(0,U552-(MAX(0,P506-IF($A553&gt;=('1-Input'!$C$12+1),'1-Input'!$B$12,0))-MIN(MAX(T552,0),MAX(0,P506-IF($A553&gt;=('1-Input'!$C$12+1),'1-Input'!$B$12,0))))*(1/(1-'P-Parametri'!$B$6*P553))),MAX(0,2*P506-(T552-MIN(MAX(T552,0),MAX(0,P506-IF($A553&gt;=('1-Input'!$C$12+1),'1-Input'!$B$12,0)))))*(1/(1-'P-Parametri'!$B$6*P553))))</f>
        <v>6778.0126101737151</v>
      </c>
      <c r="R553" s="18">
        <f>IF($A553&gt;'1-Input'!$B$26,T552,(T552-MAX(0,P506-IF($A553&gt;=('1-Input'!$C$12+1),'1-Input'!$B$12,0))+Q553*(1-'P-Parametri'!$B$6*P553))*(1+'1-Input'!$B$27))</f>
        <v>0</v>
      </c>
      <c r="S553" s="18">
        <f>IF($A553&gt;'1-Input'!$B$26,U552,(U552-Q553)*(1+'5-Roberta'!$C$4))</f>
        <v>-12022.099551801814</v>
      </c>
      <c r="T553" s="18">
        <f>IF($A553&gt;'1-Input'!$B$26,R553,R553-'P-Parametri'!$B$8*(S553+R553)+MIN(MAX(S553,0),'P-Parametri'!$B$8*(S553+R553)))</f>
        <v>0</v>
      </c>
      <c r="U553" s="18">
        <f>IF($A553&gt;'1-Input'!$B$26,S553,S553-MIN(MAX(S553,0),'P-Parametri'!$B$8*(S553+R553)))</f>
        <v>-11998.055352698209</v>
      </c>
      <c r="V553" s="18">
        <f>IF($A553&gt;'1-Input'!$B$26,V552,V552-Q553*(1-P553))</f>
        <v>-11538.921517556664</v>
      </c>
      <c r="W553" s="11">
        <f>IF($A553&gt;'1-Input'!$B$26,0,IF(AB552&lt;=0,0,MAX(0,(AB552-AC552)/AB552)))</f>
        <v>0</v>
      </c>
      <c r="X553" s="18">
        <f>IF($A553&gt;'1-Input'!$B$26,0,(MAX(0,W506-IF($A553&gt;=('1-Input'!$C$12+1),'1-Input'!$B$12,0))-MIN(MAX(AA552,0),MAX(0,W506-IF($A553&gt;=('1-Input'!$C$12+1),'1-Input'!$B$12,0))))*(1/(1-'P-Parametri'!$B$6*W553))+MIN(MAX(0,AB552-(MAX(0,W506-IF($A553&gt;=('1-Input'!$C$12+1),'1-Input'!$B$12,0))-MIN(MAX(AA552,0),MAX(0,W506-IF($A553&gt;=('1-Input'!$C$12+1),'1-Input'!$B$12,0))))*(1/(1-'P-Parametri'!$B$6*W553))),MAX(0,2*W506-(AA552-MIN(MAX(AA552,0),MAX(0,W506-IF($A553&gt;=('1-Input'!$C$12+1),'1-Input'!$B$12,0)))))*(1/(1-'P-Parametri'!$B$6*W553))))</f>
        <v>860.83121974720507</v>
      </c>
      <c r="Y553" s="18">
        <f>IF($A553&gt;'1-Input'!$B$26,AA552,(AA552-MAX(0,W506-IF($A553&gt;=('1-Input'!$C$12+1),'1-Input'!$B$12,0))+X553*(1-'P-Parametri'!$B$6*W553))*(1+'1-Input'!$B$27))</f>
        <v>0</v>
      </c>
      <c r="Z553" s="18">
        <f>IF($A553&gt;'1-Input'!$B$26,AB552,(AB552-X553)*(1+'5-Roberta'!$C$4))</f>
        <v>-886.65615633962125</v>
      </c>
      <c r="AA553" s="18">
        <f>IF($A553&gt;'1-Input'!$B$26,Y553,Y553-'P-Parametri'!$B$8*(Z553+Y553)+MIN(MAX(Z553,0),'P-Parametri'!$B$8*(Z553+Y553)))</f>
        <v>0</v>
      </c>
      <c r="AB553" s="18">
        <f>IF($A553&gt;'1-Input'!$B$26,Z553,Z553-MIN(MAX(Z553,0),'P-Parametri'!$B$8*(Z553+Y553)))</f>
        <v>-884.88284402694205</v>
      </c>
      <c r="AC553" s="18">
        <f>IF($A553&gt;'1-Input'!$B$26,AC552,AC552-X553*(1-W553))</f>
        <v>-860.83121974720484</v>
      </c>
      <c r="AD553" s="11">
        <f>IF($A553&gt;'1-Input'!$B$26,0,IF(AI552&lt;=0,0,MAX(0,(AI552-AJ552)/AI552)))</f>
        <v>0</v>
      </c>
      <c r="AE553" s="18">
        <f>IF($A553&gt;'1-Input'!$B$26,0,(MAX(0,AD506-IF($A553&gt;=('1-Input'!$C$12+1),'1-Input'!$B$12,0))-MIN(MAX(AH552,0),MAX(0,AD506-IF($A553&gt;=('1-Input'!$C$12+1),'1-Input'!$B$12,0))))*(1/(1-'P-Parametri'!$B$6*AD553))+MIN(MAX(0,AI552-(MAX(0,AD506-IF($A553&gt;=('1-Input'!$C$12+1),'1-Input'!$B$12,0))-MIN(MAX(AH552,0),MAX(0,AD506-IF($A553&gt;=('1-Input'!$C$12+1),'1-Input'!$B$12,0))))*(1/(1-'P-Parametri'!$B$6*AD553))),MAX(0,2*AD506-(AH552-MIN(MAX(AH552,0),MAX(0,AD506-IF($A553&gt;=('1-Input'!$C$12+1),'1-Input'!$B$12,0)))))*(1/(1-'P-Parametri'!$B$6*AD553))))</f>
        <v>0</v>
      </c>
      <c r="AF553" s="18">
        <f>IF($A553&gt;'1-Input'!$B$26,AH552,(AH552-MAX(0,AD506-IF($A553&gt;=('1-Input'!$C$12+1),'1-Input'!$B$12,0))+AE553*(1-'P-Parametri'!$B$6*AD553))*(1+'1-Input'!$B$27))</f>
        <v>0.74408736352198024</v>
      </c>
      <c r="AG553" s="18">
        <f>IF($A553&gt;'1-Input'!$B$26,AI552,(AI552-AE553)*(1+'5-Roberta'!$C$4))</f>
        <v>0</v>
      </c>
      <c r="AH553" s="18">
        <f>IF($A553&gt;'1-Input'!$B$26,AF553,AF553-'P-Parametri'!$B$8*(AG553+AF553)+MIN(MAX(AG553,0),'P-Parametri'!$B$8*(AG553+AF553)))</f>
        <v>0.74259918879493625</v>
      </c>
      <c r="AI553" s="18">
        <f>IF($A553&gt;'1-Input'!$B$26,AG553,AG553-MIN(MAX(AG553,0),'P-Parametri'!$B$8*(AG553+AF553)))</f>
        <v>0</v>
      </c>
      <c r="AJ553" s="18">
        <f>IF($A553&gt;'1-Input'!$B$26,AJ552,AJ552-AE553*(1-AD553))</f>
        <v>-4.5474735088646412E-13</v>
      </c>
      <c r="AK553" s="11">
        <f>IF($A553&gt;'1-Input'!$B$26,0,IF(AP552&lt;=0,0,MAX(0,(AP552-AQ552)/AP552)))</f>
        <v>0</v>
      </c>
      <c r="AL553" s="18">
        <f>IF($A553&gt;'1-Input'!$B$26,0,(MAX(0,AK506-IF($A553&gt;=('1-Input'!$C$12+1),'1-Input'!$B$12,0))-MIN(MAX(AO552,0),MAX(0,AK506-IF($A553&gt;=('1-Input'!$C$12+1),'1-Input'!$B$12,0))))*(1/(1-'P-Parametri'!$B$6*AK553))+MIN(MAX(0,AP552-(MAX(0,AK506-IF($A553&gt;=('1-Input'!$C$12+1),'1-Input'!$B$12,0))-MIN(MAX(AO552,0),MAX(0,AK506-IF($A553&gt;=('1-Input'!$C$12+1),'1-Input'!$B$12,0))))*(1/(1-'P-Parametri'!$B$6*AK553))),MAX(0,2*AK506-(AO552-MIN(MAX(AO552,0),MAX(0,AK506-IF($A553&gt;=('1-Input'!$C$12+1),'1-Input'!$B$12,0)))))*(1/(1-'P-Parametri'!$B$6*AK553))))</f>
        <v>0</v>
      </c>
      <c r="AM553" s="18">
        <f>IF($A553&gt;'1-Input'!$B$26,AO552,(AO552-MAX(0,AK506-IF($A553&gt;=('1-Input'!$C$12+1),'1-Input'!$B$12,0))+AL553*(1-'P-Parametri'!$B$6*AK553))*(1+'1-Input'!$B$27))</f>
        <v>2.4250627145672114E-2</v>
      </c>
      <c r="AN553" s="18">
        <f>IF($A553&gt;'1-Input'!$B$26,AP552,(AP552-AL553)*(1+'5-Roberta'!$C$4))</f>
        <v>0</v>
      </c>
      <c r="AO553" s="18">
        <f>IF($A553&gt;'1-Input'!$B$26,AM553,AM553-'P-Parametri'!$B$8*(AN553+AM553)+MIN(MAX(AN553,0),'P-Parametri'!$B$8*(AN553+AM553)))</f>
        <v>2.4202125891380769E-2</v>
      </c>
      <c r="AP553" s="18">
        <f>IF($A553&gt;'1-Input'!$B$26,AN553,AN553-MIN(MAX(AN553,0),'P-Parametri'!$B$8*(AN553+AM553)))</f>
        <v>0</v>
      </c>
      <c r="AQ553" s="18">
        <f>IF($A553&gt;'1-Input'!$B$26,AQ552,AQ552-AL553*(1-AK553))</f>
        <v>0</v>
      </c>
    </row>
    <row r="554" spans="1:43">
      <c r="A554" s="10">
        <f>46</f>
        <v>46</v>
      </c>
      <c r="B554" s="11">
        <f>IF($A554&gt;'1-Input'!$B$26,0,IF(G553&lt;=0,0,MAX(0,(G553-H553)/G553)))</f>
        <v>0</v>
      </c>
      <c r="C554" s="18">
        <f>IF($A554&gt;'1-Input'!$B$26,0,(MAX(0,B506-IF($A554&gt;=('1-Input'!$C$12+1),'1-Input'!$B$12,0))-MIN(MAX(F553,0),MAX(0,B506-IF($A554&gt;=('1-Input'!$C$12+1),'1-Input'!$B$12,0))))*(1/(1-'P-Parametri'!$B$6*B554))+MIN(MAX(0,G553-(MAX(0,B506-IF($A554&gt;=('1-Input'!$C$12+1),'1-Input'!$B$12,0))-MIN(MAX(F553,0),MAX(0,B506-IF($A554&gt;=('1-Input'!$C$12+1),'1-Input'!$B$12,0))))*(1/(1-'P-Parametri'!$B$6*B554))),MAX(0,2*B506-(F553-MIN(MAX(F553,0),MAX(0,B506-IF($A554&gt;=('1-Input'!$C$12+1),'1-Input'!$B$12,0)))))*(1/(1-'P-Parametri'!$B$6*B554))))</f>
        <v>0</v>
      </c>
      <c r="D554" s="18">
        <f>IF($A554&gt;'1-Input'!$B$26,F553,(F553-MAX(0,B506-IF($A554&gt;=('1-Input'!$C$12+1),'1-Input'!$B$12,0))+C554*(1-'P-Parametri'!$B$6*B554))*(1+'1-Input'!$B$27))</f>
        <v>33242.0070309863</v>
      </c>
      <c r="E554" s="18">
        <f>IF($A554&gt;'1-Input'!$B$26,G553,(G553-C554)*(1+'5-Roberta'!$C$4))</f>
        <v>67226.165388343026</v>
      </c>
      <c r="F554" s="18">
        <f>IF($A554&gt;'1-Input'!$B$26,D554,D554-'P-Parametri'!$B$8*(E554+D554)+MIN(MAX(E554,0),'P-Parametri'!$B$8*(E554+D554)))</f>
        <v>33242.0070309863</v>
      </c>
      <c r="G554" s="18">
        <f>IF($A554&gt;'1-Input'!$B$26,E554,E554-MIN(MAX(E554,0),'P-Parametri'!$B$8*(E554+D554)))</f>
        <v>67226.165388343026</v>
      </c>
      <c r="H554" s="18">
        <f>IF($A554&gt;'1-Input'!$B$26,H553,H553-C554*(1-B554))</f>
        <v>15541.610357895188</v>
      </c>
      <c r="I554" s="11">
        <f>IF($A554&gt;'1-Input'!$B$26,0,IF(N553&lt;=0,0,MAX(0,(N553-O553)/N553)))</f>
        <v>0</v>
      </c>
      <c r="J554" s="18">
        <f>IF($A554&gt;'1-Input'!$B$26,0,(MAX(0,I506-IF($A554&gt;=('1-Input'!$C$12+1),'1-Input'!$B$12,0))-MIN(MAX(M553,0),MAX(0,I506-IF($A554&gt;=('1-Input'!$C$12+1),'1-Input'!$B$12,0))))*(1/(1-'P-Parametri'!$B$6*I554))+MIN(MAX(0,N553-(MAX(0,I506-IF($A554&gt;=('1-Input'!$C$12+1),'1-Input'!$B$12,0))-MIN(MAX(M553,0),MAX(0,I506-IF($A554&gt;=('1-Input'!$C$12+1),'1-Input'!$B$12,0))))*(1/(1-'P-Parametri'!$B$6*I554))),MAX(0,2*I506-(M553-MIN(MAX(M553,0),MAX(0,I506-IF($A554&gt;=('1-Input'!$C$12+1),'1-Input'!$B$12,0)))))*(1/(1-'P-Parametri'!$B$6*I554))))</f>
        <v>0</v>
      </c>
      <c r="K554" s="18">
        <f>IF($A554&gt;'1-Input'!$B$26,M553,(M553-MAX(0,I506-IF($A554&gt;=('1-Input'!$C$12+1),'1-Input'!$B$12,0))+J554*(1-'P-Parametri'!$B$6*I554))*(1+'1-Input'!$B$27))</f>
        <v>0</v>
      </c>
      <c r="L554" s="18">
        <f>IF($A554&gt;'1-Input'!$B$26,N553,(N553-J554)*(1+'5-Roberta'!$C$4))</f>
        <v>-340945.68146398984</v>
      </c>
      <c r="M554" s="18">
        <f>IF($A554&gt;'1-Input'!$B$26,K554,K554-'P-Parametri'!$B$8*(L554+K554)+MIN(MAX(L554,0),'P-Parametri'!$B$8*(L554+K554)))</f>
        <v>0</v>
      </c>
      <c r="N554" s="18">
        <f>IF($A554&gt;'1-Input'!$B$26,L554,L554-MIN(MAX(L554,0),'P-Parametri'!$B$8*(L554+K554)))</f>
        <v>-340945.68146398984</v>
      </c>
      <c r="O554" s="18">
        <f>IF($A554&gt;'1-Input'!$B$26,O553,O553-J554*(1-I554))</f>
        <v>-243037.71583747497</v>
      </c>
      <c r="P554" s="11">
        <f>IF($A554&gt;'1-Input'!$B$26,0,IF(U553&lt;=0,0,MAX(0,(U553-V553)/U553)))</f>
        <v>0</v>
      </c>
      <c r="Q554" s="18">
        <f>IF($A554&gt;'1-Input'!$B$26,0,(MAX(0,P506-IF($A554&gt;=('1-Input'!$C$12+1),'1-Input'!$B$12,0))-MIN(MAX(T553,0),MAX(0,P506-IF($A554&gt;=('1-Input'!$C$12+1),'1-Input'!$B$12,0))))*(1/(1-'P-Parametri'!$B$6*P554))+MIN(MAX(0,U553-(MAX(0,P506-IF($A554&gt;=('1-Input'!$C$12+1),'1-Input'!$B$12,0))-MIN(MAX(T553,0),MAX(0,P506-IF($A554&gt;=('1-Input'!$C$12+1),'1-Input'!$B$12,0))))*(1/(1-'P-Parametri'!$B$6*P554))),MAX(0,2*P506-(T553-MIN(MAX(T553,0),MAX(0,P506-IF($A554&gt;=('1-Input'!$C$12+1),'1-Input'!$B$12,0)))))*(1/(1-'P-Parametri'!$B$6*P554))))</f>
        <v>0</v>
      </c>
      <c r="R554" s="18">
        <f>IF($A554&gt;'1-Input'!$B$26,T553,(T553-MAX(0,P506-IF($A554&gt;=('1-Input'!$C$12+1),'1-Input'!$B$12,0))+Q554*(1-'P-Parametri'!$B$6*P554))*(1+'1-Input'!$B$27))</f>
        <v>0</v>
      </c>
      <c r="S554" s="18">
        <f>IF($A554&gt;'1-Input'!$B$26,U553,(U553-Q554)*(1+'5-Roberta'!$C$4))</f>
        <v>-11998.055352698209</v>
      </c>
      <c r="T554" s="18">
        <f>IF($A554&gt;'1-Input'!$B$26,R554,R554-'P-Parametri'!$B$8*(S554+R554)+MIN(MAX(S554,0),'P-Parametri'!$B$8*(S554+R554)))</f>
        <v>0</v>
      </c>
      <c r="U554" s="18">
        <f>IF($A554&gt;'1-Input'!$B$26,S554,S554-MIN(MAX(S554,0),'P-Parametri'!$B$8*(S554+R554)))</f>
        <v>-11998.055352698209</v>
      </c>
      <c r="V554" s="18">
        <f>IF($A554&gt;'1-Input'!$B$26,V553,V553-Q554*(1-P554))</f>
        <v>-11538.921517556664</v>
      </c>
      <c r="W554" s="11">
        <f>IF($A554&gt;'1-Input'!$B$26,0,IF(AB553&lt;=0,0,MAX(0,(AB553-AC553)/AB553)))</f>
        <v>0</v>
      </c>
      <c r="X554" s="18">
        <f>IF($A554&gt;'1-Input'!$B$26,0,(MAX(0,W506-IF($A554&gt;=('1-Input'!$C$12+1),'1-Input'!$B$12,0))-MIN(MAX(AA553,0),MAX(0,W506-IF($A554&gt;=('1-Input'!$C$12+1),'1-Input'!$B$12,0))))*(1/(1-'P-Parametri'!$B$6*W554))+MIN(MAX(0,AB553-(MAX(0,W506-IF($A554&gt;=('1-Input'!$C$12+1),'1-Input'!$B$12,0))-MIN(MAX(AA553,0),MAX(0,W506-IF($A554&gt;=('1-Input'!$C$12+1),'1-Input'!$B$12,0))))*(1/(1-'P-Parametri'!$B$6*W554))),MAX(0,2*W506-(AA553-MIN(MAX(AA553,0),MAX(0,W506-IF($A554&gt;=('1-Input'!$C$12+1),'1-Input'!$B$12,0)))))*(1/(1-'P-Parametri'!$B$6*W554))))</f>
        <v>0</v>
      </c>
      <c r="Y554" s="18">
        <f>IF($A554&gt;'1-Input'!$B$26,AA553,(AA553-MAX(0,W506-IF($A554&gt;=('1-Input'!$C$12+1),'1-Input'!$B$12,0))+X554*(1-'P-Parametri'!$B$6*W554))*(1+'1-Input'!$B$27))</f>
        <v>0</v>
      </c>
      <c r="Z554" s="18">
        <f>IF($A554&gt;'1-Input'!$B$26,AB553,(AB553-X554)*(1+'5-Roberta'!$C$4))</f>
        <v>-884.88284402694205</v>
      </c>
      <c r="AA554" s="18">
        <f>IF($A554&gt;'1-Input'!$B$26,Y554,Y554-'P-Parametri'!$B$8*(Z554+Y554)+MIN(MAX(Z554,0),'P-Parametri'!$B$8*(Z554+Y554)))</f>
        <v>0</v>
      </c>
      <c r="AB554" s="18">
        <f>IF($A554&gt;'1-Input'!$B$26,Z554,Z554-MIN(MAX(Z554,0),'P-Parametri'!$B$8*(Z554+Y554)))</f>
        <v>-884.88284402694205</v>
      </c>
      <c r="AC554" s="18">
        <f>IF($A554&gt;'1-Input'!$B$26,AC553,AC553-X554*(1-W554))</f>
        <v>-860.83121974720484</v>
      </c>
      <c r="AD554" s="11">
        <f>IF($A554&gt;'1-Input'!$B$26,0,IF(AI553&lt;=0,0,MAX(0,(AI553-AJ553)/AI553)))</f>
        <v>0</v>
      </c>
      <c r="AE554" s="18">
        <f>IF($A554&gt;'1-Input'!$B$26,0,(MAX(0,AD506-IF($A554&gt;=('1-Input'!$C$12+1),'1-Input'!$B$12,0))-MIN(MAX(AH553,0),MAX(0,AD506-IF($A554&gt;=('1-Input'!$C$12+1),'1-Input'!$B$12,0))))*(1/(1-'P-Parametri'!$B$6*AD554))+MIN(MAX(0,AI553-(MAX(0,AD506-IF($A554&gt;=('1-Input'!$C$12+1),'1-Input'!$B$12,0))-MIN(MAX(AH553,0),MAX(0,AD506-IF($A554&gt;=('1-Input'!$C$12+1),'1-Input'!$B$12,0))))*(1/(1-'P-Parametri'!$B$6*AD554))),MAX(0,2*AD506-(AH553-MIN(MAX(AH553,0),MAX(0,AD506-IF($A554&gt;=('1-Input'!$C$12+1),'1-Input'!$B$12,0)))))*(1/(1-'P-Parametri'!$B$6*AD554))))</f>
        <v>0</v>
      </c>
      <c r="AF554" s="18">
        <f>IF($A554&gt;'1-Input'!$B$26,AH553,(AH553-MAX(0,AD506-IF($A554&gt;=('1-Input'!$C$12+1),'1-Input'!$B$12,0))+AE554*(1-'P-Parametri'!$B$6*AD554))*(1+'1-Input'!$B$27))</f>
        <v>0.74259918879493625</v>
      </c>
      <c r="AG554" s="18">
        <f>IF($A554&gt;'1-Input'!$B$26,AI553,(AI553-AE554)*(1+'5-Roberta'!$C$4))</f>
        <v>0</v>
      </c>
      <c r="AH554" s="18">
        <f>IF($A554&gt;'1-Input'!$B$26,AF554,AF554-'P-Parametri'!$B$8*(AG554+AF554)+MIN(MAX(AG554,0),'P-Parametri'!$B$8*(AG554+AF554)))</f>
        <v>0.74259918879493625</v>
      </c>
      <c r="AI554" s="18">
        <f>IF($A554&gt;'1-Input'!$B$26,AG554,AG554-MIN(MAX(AG554,0),'P-Parametri'!$B$8*(AG554+AF554)))</f>
        <v>0</v>
      </c>
      <c r="AJ554" s="18">
        <f>IF($A554&gt;'1-Input'!$B$26,AJ553,AJ553-AE554*(1-AD554))</f>
        <v>-4.5474735088646412E-13</v>
      </c>
      <c r="AK554" s="11">
        <f>IF($A554&gt;'1-Input'!$B$26,0,IF(AP553&lt;=0,0,MAX(0,(AP553-AQ553)/AP553)))</f>
        <v>0</v>
      </c>
      <c r="AL554" s="18">
        <f>IF($A554&gt;'1-Input'!$B$26,0,(MAX(0,AK506-IF($A554&gt;=('1-Input'!$C$12+1),'1-Input'!$B$12,0))-MIN(MAX(AO553,0),MAX(0,AK506-IF($A554&gt;=('1-Input'!$C$12+1),'1-Input'!$B$12,0))))*(1/(1-'P-Parametri'!$B$6*AK554))+MIN(MAX(0,AP553-(MAX(0,AK506-IF($A554&gt;=('1-Input'!$C$12+1),'1-Input'!$B$12,0))-MIN(MAX(AO553,0),MAX(0,AK506-IF($A554&gt;=('1-Input'!$C$12+1),'1-Input'!$B$12,0))))*(1/(1-'P-Parametri'!$B$6*AK554))),MAX(0,2*AK506-(AO553-MIN(MAX(AO553,0),MAX(0,AK506-IF($A554&gt;=('1-Input'!$C$12+1),'1-Input'!$B$12,0)))))*(1/(1-'P-Parametri'!$B$6*AK554))))</f>
        <v>0</v>
      </c>
      <c r="AM554" s="18">
        <f>IF($A554&gt;'1-Input'!$B$26,AO553,(AO553-MAX(0,AK506-IF($A554&gt;=('1-Input'!$C$12+1),'1-Input'!$B$12,0))+AL554*(1-'P-Parametri'!$B$6*AK554))*(1+'1-Input'!$B$27))</f>
        <v>2.4202125891380769E-2</v>
      </c>
      <c r="AN554" s="18">
        <f>IF($A554&gt;'1-Input'!$B$26,AP553,(AP553-AL554)*(1+'5-Roberta'!$C$4))</f>
        <v>0</v>
      </c>
      <c r="AO554" s="18">
        <f>IF($A554&gt;'1-Input'!$B$26,AM554,AM554-'P-Parametri'!$B$8*(AN554+AM554)+MIN(MAX(AN554,0),'P-Parametri'!$B$8*(AN554+AM554)))</f>
        <v>2.4202125891380769E-2</v>
      </c>
      <c r="AP554" s="18">
        <f>IF($A554&gt;'1-Input'!$B$26,AN554,AN554-MIN(MAX(AN554,0),'P-Parametri'!$B$8*(AN554+AM554)))</f>
        <v>0</v>
      </c>
      <c r="AQ554" s="18">
        <f>IF($A554&gt;'1-Input'!$B$26,AQ553,AQ553-AL554*(1-AK554))</f>
        <v>0</v>
      </c>
    </row>
    <row r="555" spans="1:43">
      <c r="A555" s="10">
        <f>47</f>
        <v>47</v>
      </c>
      <c r="B555" s="11">
        <f>IF($A555&gt;'1-Input'!$B$26,0,IF(G554&lt;=0,0,MAX(0,(G554-H554)/G554)))</f>
        <v>0</v>
      </c>
      <c r="C555" s="18">
        <f>IF($A555&gt;'1-Input'!$B$26,0,(MAX(0,B506-IF($A555&gt;=('1-Input'!$C$12+1),'1-Input'!$B$12,0))-MIN(MAX(F554,0),MAX(0,B506-IF($A555&gt;=('1-Input'!$C$12+1),'1-Input'!$B$12,0))))*(1/(1-'P-Parametri'!$B$6*B555))+MIN(MAX(0,G554-(MAX(0,B506-IF($A555&gt;=('1-Input'!$C$12+1),'1-Input'!$B$12,0))-MIN(MAX(F554,0),MAX(0,B506-IF($A555&gt;=('1-Input'!$C$12+1),'1-Input'!$B$12,0))))*(1/(1-'P-Parametri'!$B$6*B555))),MAX(0,2*B506-(F554-MIN(MAX(F554,0),MAX(0,B506-IF($A555&gt;=('1-Input'!$C$12+1),'1-Input'!$B$12,0)))))*(1/(1-'P-Parametri'!$B$6*B555))))</f>
        <v>0</v>
      </c>
      <c r="D555" s="18">
        <f>IF($A555&gt;'1-Input'!$B$26,F554,(F554-MAX(0,B506-IF($A555&gt;=('1-Input'!$C$12+1),'1-Input'!$B$12,0))+C555*(1-'P-Parametri'!$B$6*B555))*(1+'1-Input'!$B$27))</f>
        <v>33242.0070309863</v>
      </c>
      <c r="E555" s="18">
        <f>IF($A555&gt;'1-Input'!$B$26,G554,(G554-C555)*(1+'5-Roberta'!$C$4))</f>
        <v>67226.165388343026</v>
      </c>
      <c r="F555" s="18">
        <f>IF($A555&gt;'1-Input'!$B$26,D555,D555-'P-Parametri'!$B$8*(E555+D555)+MIN(MAX(E555,0),'P-Parametri'!$B$8*(E555+D555)))</f>
        <v>33242.0070309863</v>
      </c>
      <c r="G555" s="18">
        <f>IF($A555&gt;'1-Input'!$B$26,E555,E555-MIN(MAX(E555,0),'P-Parametri'!$B$8*(E555+D555)))</f>
        <v>67226.165388343026</v>
      </c>
      <c r="H555" s="18">
        <f>IF($A555&gt;'1-Input'!$B$26,H554,H554-C555*(1-B555))</f>
        <v>15541.610357895188</v>
      </c>
      <c r="I555" s="11">
        <f>IF($A555&gt;'1-Input'!$B$26,0,IF(N554&lt;=0,0,MAX(0,(N554-O554)/N554)))</f>
        <v>0</v>
      </c>
      <c r="J555" s="18">
        <f>IF($A555&gt;'1-Input'!$B$26,0,(MAX(0,I506-IF($A555&gt;=('1-Input'!$C$12+1),'1-Input'!$B$12,0))-MIN(MAX(M554,0),MAX(0,I506-IF($A555&gt;=('1-Input'!$C$12+1),'1-Input'!$B$12,0))))*(1/(1-'P-Parametri'!$B$6*I555))+MIN(MAX(0,N554-(MAX(0,I506-IF($A555&gt;=('1-Input'!$C$12+1),'1-Input'!$B$12,0))-MIN(MAX(M554,0),MAX(0,I506-IF($A555&gt;=('1-Input'!$C$12+1),'1-Input'!$B$12,0))))*(1/(1-'P-Parametri'!$B$6*I555))),MAX(0,2*I506-(M554-MIN(MAX(M554,0),MAX(0,I506-IF($A555&gt;=('1-Input'!$C$12+1),'1-Input'!$B$12,0)))))*(1/(1-'P-Parametri'!$B$6*I555))))</f>
        <v>0</v>
      </c>
      <c r="K555" s="18">
        <f>IF($A555&gt;'1-Input'!$B$26,M554,(M554-MAX(0,I506-IF($A555&gt;=('1-Input'!$C$12+1),'1-Input'!$B$12,0))+J555*(1-'P-Parametri'!$B$6*I555))*(1+'1-Input'!$B$27))</f>
        <v>0</v>
      </c>
      <c r="L555" s="18">
        <f>IF($A555&gt;'1-Input'!$B$26,N554,(N554-J555)*(1+'5-Roberta'!$C$4))</f>
        <v>-340945.68146398984</v>
      </c>
      <c r="M555" s="18">
        <f>IF($A555&gt;'1-Input'!$B$26,K555,K555-'P-Parametri'!$B$8*(L555+K555)+MIN(MAX(L555,0),'P-Parametri'!$B$8*(L555+K555)))</f>
        <v>0</v>
      </c>
      <c r="N555" s="18">
        <f>IF($A555&gt;'1-Input'!$B$26,L555,L555-MIN(MAX(L555,0),'P-Parametri'!$B$8*(L555+K555)))</f>
        <v>-340945.68146398984</v>
      </c>
      <c r="O555" s="18">
        <f>IF($A555&gt;'1-Input'!$B$26,O554,O554-J555*(1-I555))</f>
        <v>-243037.71583747497</v>
      </c>
      <c r="P555" s="11">
        <f>IF($A555&gt;'1-Input'!$B$26,0,IF(U554&lt;=0,0,MAX(0,(U554-V554)/U554)))</f>
        <v>0</v>
      </c>
      <c r="Q555" s="18">
        <f>IF($A555&gt;'1-Input'!$B$26,0,(MAX(0,P506-IF($A555&gt;=('1-Input'!$C$12+1),'1-Input'!$B$12,0))-MIN(MAX(T554,0),MAX(0,P506-IF($A555&gt;=('1-Input'!$C$12+1),'1-Input'!$B$12,0))))*(1/(1-'P-Parametri'!$B$6*P555))+MIN(MAX(0,U554-(MAX(0,P506-IF($A555&gt;=('1-Input'!$C$12+1),'1-Input'!$B$12,0))-MIN(MAX(T554,0),MAX(0,P506-IF($A555&gt;=('1-Input'!$C$12+1),'1-Input'!$B$12,0))))*(1/(1-'P-Parametri'!$B$6*P555))),MAX(0,2*P506-(T554-MIN(MAX(T554,0),MAX(0,P506-IF($A555&gt;=('1-Input'!$C$12+1),'1-Input'!$B$12,0)))))*(1/(1-'P-Parametri'!$B$6*P555))))</f>
        <v>0</v>
      </c>
      <c r="R555" s="18">
        <f>IF($A555&gt;'1-Input'!$B$26,T554,(T554-MAX(0,P506-IF($A555&gt;=('1-Input'!$C$12+1),'1-Input'!$B$12,0))+Q555*(1-'P-Parametri'!$B$6*P555))*(1+'1-Input'!$B$27))</f>
        <v>0</v>
      </c>
      <c r="S555" s="18">
        <f>IF($A555&gt;'1-Input'!$B$26,U554,(U554-Q555)*(1+'5-Roberta'!$C$4))</f>
        <v>-11998.055352698209</v>
      </c>
      <c r="T555" s="18">
        <f>IF($A555&gt;'1-Input'!$B$26,R555,R555-'P-Parametri'!$B$8*(S555+R555)+MIN(MAX(S555,0),'P-Parametri'!$B$8*(S555+R555)))</f>
        <v>0</v>
      </c>
      <c r="U555" s="18">
        <f>IF($A555&gt;'1-Input'!$B$26,S555,S555-MIN(MAX(S555,0),'P-Parametri'!$B$8*(S555+R555)))</f>
        <v>-11998.055352698209</v>
      </c>
      <c r="V555" s="18">
        <f>IF($A555&gt;'1-Input'!$B$26,V554,V554-Q555*(1-P555))</f>
        <v>-11538.921517556664</v>
      </c>
      <c r="W555" s="11">
        <f>IF($A555&gt;'1-Input'!$B$26,0,IF(AB554&lt;=0,0,MAX(0,(AB554-AC554)/AB554)))</f>
        <v>0</v>
      </c>
      <c r="X555" s="18">
        <f>IF($A555&gt;'1-Input'!$B$26,0,(MAX(0,W506-IF($A555&gt;=('1-Input'!$C$12+1),'1-Input'!$B$12,0))-MIN(MAX(AA554,0),MAX(0,W506-IF($A555&gt;=('1-Input'!$C$12+1),'1-Input'!$B$12,0))))*(1/(1-'P-Parametri'!$B$6*W555))+MIN(MAX(0,AB554-(MAX(0,W506-IF($A555&gt;=('1-Input'!$C$12+1),'1-Input'!$B$12,0))-MIN(MAX(AA554,0),MAX(0,W506-IF($A555&gt;=('1-Input'!$C$12+1),'1-Input'!$B$12,0))))*(1/(1-'P-Parametri'!$B$6*W555))),MAX(0,2*W506-(AA554-MIN(MAX(AA554,0),MAX(0,W506-IF($A555&gt;=('1-Input'!$C$12+1),'1-Input'!$B$12,0)))))*(1/(1-'P-Parametri'!$B$6*W555))))</f>
        <v>0</v>
      </c>
      <c r="Y555" s="18">
        <f>IF($A555&gt;'1-Input'!$B$26,AA554,(AA554-MAX(0,W506-IF($A555&gt;=('1-Input'!$C$12+1),'1-Input'!$B$12,0))+X555*(1-'P-Parametri'!$B$6*W555))*(1+'1-Input'!$B$27))</f>
        <v>0</v>
      </c>
      <c r="Z555" s="18">
        <f>IF($A555&gt;'1-Input'!$B$26,AB554,(AB554-X555)*(1+'5-Roberta'!$C$4))</f>
        <v>-884.88284402694205</v>
      </c>
      <c r="AA555" s="18">
        <f>IF($A555&gt;'1-Input'!$B$26,Y555,Y555-'P-Parametri'!$B$8*(Z555+Y555)+MIN(MAX(Z555,0),'P-Parametri'!$B$8*(Z555+Y555)))</f>
        <v>0</v>
      </c>
      <c r="AB555" s="18">
        <f>IF($A555&gt;'1-Input'!$B$26,Z555,Z555-MIN(MAX(Z555,0),'P-Parametri'!$B$8*(Z555+Y555)))</f>
        <v>-884.88284402694205</v>
      </c>
      <c r="AC555" s="18">
        <f>IF($A555&gt;'1-Input'!$B$26,AC554,AC554-X555*(1-W555))</f>
        <v>-860.83121974720484</v>
      </c>
      <c r="AD555" s="11">
        <f>IF($A555&gt;'1-Input'!$B$26,0,IF(AI554&lt;=0,0,MAX(0,(AI554-AJ554)/AI554)))</f>
        <v>0</v>
      </c>
      <c r="AE555" s="18">
        <f>IF($A555&gt;'1-Input'!$B$26,0,(MAX(0,AD506-IF($A555&gt;=('1-Input'!$C$12+1),'1-Input'!$B$12,0))-MIN(MAX(AH554,0),MAX(0,AD506-IF($A555&gt;=('1-Input'!$C$12+1),'1-Input'!$B$12,0))))*(1/(1-'P-Parametri'!$B$6*AD555))+MIN(MAX(0,AI554-(MAX(0,AD506-IF($A555&gt;=('1-Input'!$C$12+1),'1-Input'!$B$12,0))-MIN(MAX(AH554,0),MAX(0,AD506-IF($A555&gt;=('1-Input'!$C$12+1),'1-Input'!$B$12,0))))*(1/(1-'P-Parametri'!$B$6*AD555))),MAX(0,2*AD506-(AH554-MIN(MAX(AH554,0),MAX(0,AD506-IF($A555&gt;=('1-Input'!$C$12+1),'1-Input'!$B$12,0)))))*(1/(1-'P-Parametri'!$B$6*AD555))))</f>
        <v>0</v>
      </c>
      <c r="AF555" s="18">
        <f>IF($A555&gt;'1-Input'!$B$26,AH554,(AH554-MAX(0,AD506-IF($A555&gt;=('1-Input'!$C$12+1),'1-Input'!$B$12,0))+AE555*(1-'P-Parametri'!$B$6*AD555))*(1+'1-Input'!$B$27))</f>
        <v>0.74259918879493625</v>
      </c>
      <c r="AG555" s="18">
        <f>IF($A555&gt;'1-Input'!$B$26,AI554,(AI554-AE555)*(1+'5-Roberta'!$C$4))</f>
        <v>0</v>
      </c>
      <c r="AH555" s="18">
        <f>IF($A555&gt;'1-Input'!$B$26,AF555,AF555-'P-Parametri'!$B$8*(AG555+AF555)+MIN(MAX(AG555,0),'P-Parametri'!$B$8*(AG555+AF555)))</f>
        <v>0.74259918879493625</v>
      </c>
      <c r="AI555" s="18">
        <f>IF($A555&gt;'1-Input'!$B$26,AG555,AG555-MIN(MAX(AG555,0),'P-Parametri'!$B$8*(AG555+AF555)))</f>
        <v>0</v>
      </c>
      <c r="AJ555" s="18">
        <f>IF($A555&gt;'1-Input'!$B$26,AJ554,AJ554-AE555*(1-AD555))</f>
        <v>-4.5474735088646412E-13</v>
      </c>
      <c r="AK555" s="11">
        <f>IF($A555&gt;'1-Input'!$B$26,0,IF(AP554&lt;=0,0,MAX(0,(AP554-AQ554)/AP554)))</f>
        <v>0</v>
      </c>
      <c r="AL555" s="18">
        <f>IF($A555&gt;'1-Input'!$B$26,0,(MAX(0,AK506-IF($A555&gt;=('1-Input'!$C$12+1),'1-Input'!$B$12,0))-MIN(MAX(AO554,0),MAX(0,AK506-IF($A555&gt;=('1-Input'!$C$12+1),'1-Input'!$B$12,0))))*(1/(1-'P-Parametri'!$B$6*AK555))+MIN(MAX(0,AP554-(MAX(0,AK506-IF($A555&gt;=('1-Input'!$C$12+1),'1-Input'!$B$12,0))-MIN(MAX(AO554,0),MAX(0,AK506-IF($A555&gt;=('1-Input'!$C$12+1),'1-Input'!$B$12,0))))*(1/(1-'P-Parametri'!$B$6*AK555))),MAX(0,2*AK506-(AO554-MIN(MAX(AO554,0),MAX(0,AK506-IF($A555&gt;=('1-Input'!$C$12+1),'1-Input'!$B$12,0)))))*(1/(1-'P-Parametri'!$B$6*AK555))))</f>
        <v>0</v>
      </c>
      <c r="AM555" s="18">
        <f>IF($A555&gt;'1-Input'!$B$26,AO554,(AO554-MAX(0,AK506-IF($A555&gt;=('1-Input'!$C$12+1),'1-Input'!$B$12,0))+AL555*(1-'P-Parametri'!$B$6*AK555))*(1+'1-Input'!$B$27))</f>
        <v>2.4202125891380769E-2</v>
      </c>
      <c r="AN555" s="18">
        <f>IF($A555&gt;'1-Input'!$B$26,AP554,(AP554-AL555)*(1+'5-Roberta'!$C$4))</f>
        <v>0</v>
      </c>
      <c r="AO555" s="18">
        <f>IF($A555&gt;'1-Input'!$B$26,AM555,AM555-'P-Parametri'!$B$8*(AN555+AM555)+MIN(MAX(AN555,0),'P-Parametri'!$B$8*(AN555+AM555)))</f>
        <v>2.4202125891380769E-2</v>
      </c>
      <c r="AP555" s="18">
        <f>IF($A555&gt;'1-Input'!$B$26,AN555,AN555-MIN(MAX(AN555,0),'P-Parametri'!$B$8*(AN555+AM555)))</f>
        <v>0</v>
      </c>
      <c r="AQ555" s="18">
        <f>IF($A555&gt;'1-Input'!$B$26,AQ554,AQ554-AL555*(1-AK555))</f>
        <v>0</v>
      </c>
    </row>
    <row r="556" spans="1:43">
      <c r="A556" s="10">
        <f>48</f>
        <v>48</v>
      </c>
      <c r="B556" s="11">
        <f>IF($A556&gt;'1-Input'!$B$26,0,IF(G555&lt;=0,0,MAX(0,(G555-H555)/G555)))</f>
        <v>0</v>
      </c>
      <c r="C556" s="18">
        <f>IF($A556&gt;'1-Input'!$B$26,0,(MAX(0,B506-IF($A556&gt;=('1-Input'!$C$12+1),'1-Input'!$B$12,0))-MIN(MAX(F555,0),MAX(0,B506-IF($A556&gt;=('1-Input'!$C$12+1),'1-Input'!$B$12,0))))*(1/(1-'P-Parametri'!$B$6*B556))+MIN(MAX(0,G555-(MAX(0,B506-IF($A556&gt;=('1-Input'!$C$12+1),'1-Input'!$B$12,0))-MIN(MAX(F555,0),MAX(0,B506-IF($A556&gt;=('1-Input'!$C$12+1),'1-Input'!$B$12,0))))*(1/(1-'P-Parametri'!$B$6*B556))),MAX(0,2*B506-(F555-MIN(MAX(F555,0),MAX(0,B506-IF($A556&gt;=('1-Input'!$C$12+1),'1-Input'!$B$12,0)))))*(1/(1-'P-Parametri'!$B$6*B556))))</f>
        <v>0</v>
      </c>
      <c r="D556" s="18">
        <f>IF($A556&gt;'1-Input'!$B$26,F555,(F555-MAX(0,B506-IF($A556&gt;=('1-Input'!$C$12+1),'1-Input'!$B$12,0))+C556*(1-'P-Parametri'!$B$6*B556))*(1+'1-Input'!$B$27))</f>
        <v>33242.0070309863</v>
      </c>
      <c r="E556" s="18">
        <f>IF($A556&gt;'1-Input'!$B$26,G555,(G555-C556)*(1+'5-Roberta'!$C$4))</f>
        <v>67226.165388343026</v>
      </c>
      <c r="F556" s="18">
        <f>IF($A556&gt;'1-Input'!$B$26,D556,D556-'P-Parametri'!$B$8*(E556+D556)+MIN(MAX(E556,0),'P-Parametri'!$B$8*(E556+D556)))</f>
        <v>33242.0070309863</v>
      </c>
      <c r="G556" s="18">
        <f>IF($A556&gt;'1-Input'!$B$26,E556,E556-MIN(MAX(E556,0),'P-Parametri'!$B$8*(E556+D556)))</f>
        <v>67226.165388343026</v>
      </c>
      <c r="H556" s="18">
        <f>IF($A556&gt;'1-Input'!$B$26,H555,H555-C556*(1-B556))</f>
        <v>15541.610357895188</v>
      </c>
      <c r="I556" s="11">
        <f>IF($A556&gt;'1-Input'!$B$26,0,IF(N555&lt;=0,0,MAX(0,(N555-O555)/N555)))</f>
        <v>0</v>
      </c>
      <c r="J556" s="18">
        <f>IF($A556&gt;'1-Input'!$B$26,0,(MAX(0,I506-IF($A556&gt;=('1-Input'!$C$12+1),'1-Input'!$B$12,0))-MIN(MAX(M555,0),MAX(0,I506-IF($A556&gt;=('1-Input'!$C$12+1),'1-Input'!$B$12,0))))*(1/(1-'P-Parametri'!$B$6*I556))+MIN(MAX(0,N555-(MAX(0,I506-IF($A556&gt;=('1-Input'!$C$12+1),'1-Input'!$B$12,0))-MIN(MAX(M555,0),MAX(0,I506-IF($A556&gt;=('1-Input'!$C$12+1),'1-Input'!$B$12,0))))*(1/(1-'P-Parametri'!$B$6*I556))),MAX(0,2*I506-(M555-MIN(MAX(M555,0),MAX(0,I506-IF($A556&gt;=('1-Input'!$C$12+1),'1-Input'!$B$12,0)))))*(1/(1-'P-Parametri'!$B$6*I556))))</f>
        <v>0</v>
      </c>
      <c r="K556" s="18">
        <f>IF($A556&gt;'1-Input'!$B$26,M555,(M555-MAX(0,I506-IF($A556&gt;=('1-Input'!$C$12+1),'1-Input'!$B$12,0))+J556*(1-'P-Parametri'!$B$6*I556))*(1+'1-Input'!$B$27))</f>
        <v>0</v>
      </c>
      <c r="L556" s="18">
        <f>IF($A556&gt;'1-Input'!$B$26,N555,(N555-J556)*(1+'5-Roberta'!$C$4))</f>
        <v>-340945.68146398984</v>
      </c>
      <c r="M556" s="18">
        <f>IF($A556&gt;'1-Input'!$B$26,K556,K556-'P-Parametri'!$B$8*(L556+K556)+MIN(MAX(L556,0),'P-Parametri'!$B$8*(L556+K556)))</f>
        <v>0</v>
      </c>
      <c r="N556" s="18">
        <f>IF($A556&gt;'1-Input'!$B$26,L556,L556-MIN(MAX(L556,0),'P-Parametri'!$B$8*(L556+K556)))</f>
        <v>-340945.68146398984</v>
      </c>
      <c r="O556" s="18">
        <f>IF($A556&gt;'1-Input'!$B$26,O555,O555-J556*(1-I556))</f>
        <v>-243037.71583747497</v>
      </c>
      <c r="P556" s="11">
        <f>IF($A556&gt;'1-Input'!$B$26,0,IF(U555&lt;=0,0,MAX(0,(U555-V555)/U555)))</f>
        <v>0</v>
      </c>
      <c r="Q556" s="18">
        <f>IF($A556&gt;'1-Input'!$B$26,0,(MAX(0,P506-IF($A556&gt;=('1-Input'!$C$12+1),'1-Input'!$B$12,0))-MIN(MAX(T555,0),MAX(0,P506-IF($A556&gt;=('1-Input'!$C$12+1),'1-Input'!$B$12,0))))*(1/(1-'P-Parametri'!$B$6*P556))+MIN(MAX(0,U555-(MAX(0,P506-IF($A556&gt;=('1-Input'!$C$12+1),'1-Input'!$B$12,0))-MIN(MAX(T555,0),MAX(0,P506-IF($A556&gt;=('1-Input'!$C$12+1),'1-Input'!$B$12,0))))*(1/(1-'P-Parametri'!$B$6*P556))),MAX(0,2*P506-(T555-MIN(MAX(T555,0),MAX(0,P506-IF($A556&gt;=('1-Input'!$C$12+1),'1-Input'!$B$12,0)))))*(1/(1-'P-Parametri'!$B$6*P556))))</f>
        <v>0</v>
      </c>
      <c r="R556" s="18">
        <f>IF($A556&gt;'1-Input'!$B$26,T555,(T555-MAX(0,P506-IF($A556&gt;=('1-Input'!$C$12+1),'1-Input'!$B$12,0))+Q556*(1-'P-Parametri'!$B$6*P556))*(1+'1-Input'!$B$27))</f>
        <v>0</v>
      </c>
      <c r="S556" s="18">
        <f>IF($A556&gt;'1-Input'!$B$26,U555,(U555-Q556)*(1+'5-Roberta'!$C$4))</f>
        <v>-11998.055352698209</v>
      </c>
      <c r="T556" s="18">
        <f>IF($A556&gt;'1-Input'!$B$26,R556,R556-'P-Parametri'!$B$8*(S556+R556)+MIN(MAX(S556,0),'P-Parametri'!$B$8*(S556+R556)))</f>
        <v>0</v>
      </c>
      <c r="U556" s="18">
        <f>IF($A556&gt;'1-Input'!$B$26,S556,S556-MIN(MAX(S556,0),'P-Parametri'!$B$8*(S556+R556)))</f>
        <v>-11998.055352698209</v>
      </c>
      <c r="V556" s="18">
        <f>IF($A556&gt;'1-Input'!$B$26,V555,V555-Q556*(1-P556))</f>
        <v>-11538.921517556664</v>
      </c>
      <c r="W556" s="11">
        <f>IF($A556&gt;'1-Input'!$B$26,0,IF(AB555&lt;=0,0,MAX(0,(AB555-AC555)/AB555)))</f>
        <v>0</v>
      </c>
      <c r="X556" s="18">
        <f>IF($A556&gt;'1-Input'!$B$26,0,(MAX(0,W506-IF($A556&gt;=('1-Input'!$C$12+1),'1-Input'!$B$12,0))-MIN(MAX(AA555,0),MAX(0,W506-IF($A556&gt;=('1-Input'!$C$12+1),'1-Input'!$B$12,0))))*(1/(1-'P-Parametri'!$B$6*W556))+MIN(MAX(0,AB555-(MAX(0,W506-IF($A556&gt;=('1-Input'!$C$12+1),'1-Input'!$B$12,0))-MIN(MAX(AA555,0),MAX(0,W506-IF($A556&gt;=('1-Input'!$C$12+1),'1-Input'!$B$12,0))))*(1/(1-'P-Parametri'!$B$6*W556))),MAX(0,2*W506-(AA555-MIN(MAX(AA555,0),MAX(0,W506-IF($A556&gt;=('1-Input'!$C$12+1),'1-Input'!$B$12,0)))))*(1/(1-'P-Parametri'!$B$6*W556))))</f>
        <v>0</v>
      </c>
      <c r="Y556" s="18">
        <f>IF($A556&gt;'1-Input'!$B$26,AA555,(AA555-MAX(0,W506-IF($A556&gt;=('1-Input'!$C$12+1),'1-Input'!$B$12,0))+X556*(1-'P-Parametri'!$B$6*W556))*(1+'1-Input'!$B$27))</f>
        <v>0</v>
      </c>
      <c r="Z556" s="18">
        <f>IF($A556&gt;'1-Input'!$B$26,AB555,(AB555-X556)*(1+'5-Roberta'!$C$4))</f>
        <v>-884.88284402694205</v>
      </c>
      <c r="AA556" s="18">
        <f>IF($A556&gt;'1-Input'!$B$26,Y556,Y556-'P-Parametri'!$B$8*(Z556+Y556)+MIN(MAX(Z556,0),'P-Parametri'!$B$8*(Z556+Y556)))</f>
        <v>0</v>
      </c>
      <c r="AB556" s="18">
        <f>IF($A556&gt;'1-Input'!$B$26,Z556,Z556-MIN(MAX(Z556,0),'P-Parametri'!$B$8*(Z556+Y556)))</f>
        <v>-884.88284402694205</v>
      </c>
      <c r="AC556" s="18">
        <f>IF($A556&gt;'1-Input'!$B$26,AC555,AC555-X556*(1-W556))</f>
        <v>-860.83121974720484</v>
      </c>
      <c r="AD556" s="11">
        <f>IF($A556&gt;'1-Input'!$B$26,0,IF(AI555&lt;=0,0,MAX(0,(AI555-AJ555)/AI555)))</f>
        <v>0</v>
      </c>
      <c r="AE556" s="18">
        <f>IF($A556&gt;'1-Input'!$B$26,0,(MAX(0,AD506-IF($A556&gt;=('1-Input'!$C$12+1),'1-Input'!$B$12,0))-MIN(MAX(AH555,0),MAX(0,AD506-IF($A556&gt;=('1-Input'!$C$12+1),'1-Input'!$B$12,0))))*(1/(1-'P-Parametri'!$B$6*AD556))+MIN(MAX(0,AI555-(MAX(0,AD506-IF($A556&gt;=('1-Input'!$C$12+1),'1-Input'!$B$12,0))-MIN(MAX(AH555,0),MAX(0,AD506-IF($A556&gt;=('1-Input'!$C$12+1),'1-Input'!$B$12,0))))*(1/(1-'P-Parametri'!$B$6*AD556))),MAX(0,2*AD506-(AH555-MIN(MAX(AH555,0),MAX(0,AD506-IF($A556&gt;=('1-Input'!$C$12+1),'1-Input'!$B$12,0)))))*(1/(1-'P-Parametri'!$B$6*AD556))))</f>
        <v>0</v>
      </c>
      <c r="AF556" s="18">
        <f>IF($A556&gt;'1-Input'!$B$26,AH555,(AH555-MAX(0,AD506-IF($A556&gt;=('1-Input'!$C$12+1),'1-Input'!$B$12,0))+AE556*(1-'P-Parametri'!$B$6*AD556))*(1+'1-Input'!$B$27))</f>
        <v>0.74259918879493625</v>
      </c>
      <c r="AG556" s="18">
        <f>IF($A556&gt;'1-Input'!$B$26,AI555,(AI555-AE556)*(1+'5-Roberta'!$C$4))</f>
        <v>0</v>
      </c>
      <c r="AH556" s="18">
        <f>IF($A556&gt;'1-Input'!$B$26,AF556,AF556-'P-Parametri'!$B$8*(AG556+AF556)+MIN(MAX(AG556,0),'P-Parametri'!$B$8*(AG556+AF556)))</f>
        <v>0.74259918879493625</v>
      </c>
      <c r="AI556" s="18">
        <f>IF($A556&gt;'1-Input'!$B$26,AG556,AG556-MIN(MAX(AG556,0),'P-Parametri'!$B$8*(AG556+AF556)))</f>
        <v>0</v>
      </c>
      <c r="AJ556" s="18">
        <f>IF($A556&gt;'1-Input'!$B$26,AJ555,AJ555-AE556*(1-AD556))</f>
        <v>-4.5474735088646412E-13</v>
      </c>
      <c r="AK556" s="11">
        <f>IF($A556&gt;'1-Input'!$B$26,0,IF(AP555&lt;=0,0,MAX(0,(AP555-AQ555)/AP555)))</f>
        <v>0</v>
      </c>
      <c r="AL556" s="18">
        <f>IF($A556&gt;'1-Input'!$B$26,0,(MAX(0,AK506-IF($A556&gt;=('1-Input'!$C$12+1),'1-Input'!$B$12,0))-MIN(MAX(AO555,0),MAX(0,AK506-IF($A556&gt;=('1-Input'!$C$12+1),'1-Input'!$B$12,0))))*(1/(1-'P-Parametri'!$B$6*AK556))+MIN(MAX(0,AP555-(MAX(0,AK506-IF($A556&gt;=('1-Input'!$C$12+1),'1-Input'!$B$12,0))-MIN(MAX(AO555,0),MAX(0,AK506-IF($A556&gt;=('1-Input'!$C$12+1),'1-Input'!$B$12,0))))*(1/(1-'P-Parametri'!$B$6*AK556))),MAX(0,2*AK506-(AO555-MIN(MAX(AO555,0),MAX(0,AK506-IF($A556&gt;=('1-Input'!$C$12+1),'1-Input'!$B$12,0)))))*(1/(1-'P-Parametri'!$B$6*AK556))))</f>
        <v>0</v>
      </c>
      <c r="AM556" s="18">
        <f>IF($A556&gt;'1-Input'!$B$26,AO555,(AO555-MAX(0,AK506-IF($A556&gt;=('1-Input'!$C$12+1),'1-Input'!$B$12,0))+AL556*(1-'P-Parametri'!$B$6*AK556))*(1+'1-Input'!$B$27))</f>
        <v>2.4202125891380769E-2</v>
      </c>
      <c r="AN556" s="18">
        <f>IF($A556&gt;'1-Input'!$B$26,AP555,(AP555-AL556)*(1+'5-Roberta'!$C$4))</f>
        <v>0</v>
      </c>
      <c r="AO556" s="18">
        <f>IF($A556&gt;'1-Input'!$B$26,AM556,AM556-'P-Parametri'!$B$8*(AN556+AM556)+MIN(MAX(AN556,0),'P-Parametri'!$B$8*(AN556+AM556)))</f>
        <v>2.4202125891380769E-2</v>
      </c>
      <c r="AP556" s="18">
        <f>IF($A556&gt;'1-Input'!$B$26,AN556,AN556-MIN(MAX(AN556,0),'P-Parametri'!$B$8*(AN556+AM556)))</f>
        <v>0</v>
      </c>
      <c r="AQ556" s="18">
        <f>IF($A556&gt;'1-Input'!$B$26,AQ555,AQ555-AL556*(1-AK556))</f>
        <v>0</v>
      </c>
    </row>
    <row r="557" spans="1:43">
      <c r="A557" s="4" t="s">
        <v>365</v>
      </c>
      <c r="B557" s="18">
        <f>F556+G556</f>
        <v>100468.17241932932</v>
      </c>
      <c r="I557" s="18">
        <f>M556+N556</f>
        <v>-340945.68146398984</v>
      </c>
      <c r="P557" s="18">
        <f>T556+U556</f>
        <v>-11998.055352698209</v>
      </c>
      <c r="W557" s="18">
        <f>AA556+AB556</f>
        <v>-884.88284402694205</v>
      </c>
      <c r="AD557" s="18">
        <f>AH556+AI556</f>
        <v>0.74259918879493625</v>
      </c>
      <c r="AK557" s="18">
        <f>AO556+AP556</f>
        <v>2.4202125891380769E-2</v>
      </c>
    </row>
    <row r="558" spans="1:43">
      <c r="A558" s="5" t="s">
        <v>266</v>
      </c>
      <c r="B558" s="18">
        <f>IFERROR(AK506-AK557*(AK506-AD506)/(AK557-AD557),AK506)</f>
        <v>17719.802634981264</v>
      </c>
    </row>
    <row r="560" spans="1:43">
      <c r="A560" s="2" t="s">
        <v>419</v>
      </c>
    </row>
    <row r="561" spans="1:43">
      <c r="A561" s="4" t="s">
        <v>360</v>
      </c>
      <c r="B561" s="9">
        <f>0.038*'2-Caso'!$B$12</f>
        <v>16681.055314625803</v>
      </c>
      <c r="I561" s="9">
        <f>0.05*'2-Caso'!$B$12</f>
        <v>21948.756992928691</v>
      </c>
      <c r="P561" s="18">
        <f>IFERROR(I561-I612*(I561-B561)/(I612-B612),I561)</f>
        <v>19792.962698492509</v>
      </c>
      <c r="W561" s="18">
        <f>IFERROR(P561-P612*(P561-I561)/(P612-I612),P561)</f>
        <v>19526.679673312392</v>
      </c>
      <c r="AD561" s="18">
        <f>IFERROR(W561-W612*(W561-P561)/(W612-P612),W561)</f>
        <v>19543.107300447497</v>
      </c>
      <c r="AK561" s="18">
        <f>IFERROR(AD561-AD612*(AD561-W561)/(AD612-W612),AD561)</f>
        <v>19541.000892893957</v>
      </c>
    </row>
    <row r="562" spans="1:43" ht="45">
      <c r="A562" s="25" t="s">
        <v>262</v>
      </c>
      <c r="B562" s="25" t="s">
        <v>361</v>
      </c>
      <c r="C562" s="25" t="s">
        <v>263</v>
      </c>
      <c r="D562" s="25" t="s">
        <v>362</v>
      </c>
      <c r="E562" s="25" t="s">
        <v>363</v>
      </c>
      <c r="F562" s="25" t="s">
        <v>264</v>
      </c>
      <c r="G562" s="25" t="s">
        <v>265</v>
      </c>
      <c r="H562" s="25" t="s">
        <v>364</v>
      </c>
      <c r="I562" s="25" t="s">
        <v>361</v>
      </c>
      <c r="J562" s="25" t="s">
        <v>263</v>
      </c>
      <c r="K562" s="25" t="s">
        <v>362</v>
      </c>
      <c r="L562" s="25" t="s">
        <v>363</v>
      </c>
      <c r="M562" s="25" t="s">
        <v>264</v>
      </c>
      <c r="N562" s="25" t="s">
        <v>265</v>
      </c>
      <c r="O562" s="25" t="s">
        <v>364</v>
      </c>
      <c r="P562" s="25" t="s">
        <v>361</v>
      </c>
      <c r="Q562" s="25" t="s">
        <v>263</v>
      </c>
      <c r="R562" s="25" t="s">
        <v>362</v>
      </c>
      <c r="S562" s="25" t="s">
        <v>363</v>
      </c>
      <c r="T562" s="25" t="s">
        <v>264</v>
      </c>
      <c r="U562" s="25" t="s">
        <v>265</v>
      </c>
      <c r="V562" s="25" t="s">
        <v>364</v>
      </c>
      <c r="W562" s="25" t="s">
        <v>361</v>
      </c>
      <c r="X562" s="25" t="s">
        <v>263</v>
      </c>
      <c r="Y562" s="25" t="s">
        <v>362</v>
      </c>
      <c r="Z562" s="25" t="s">
        <v>363</v>
      </c>
      <c r="AA562" s="25" t="s">
        <v>264</v>
      </c>
      <c r="AB562" s="25" t="s">
        <v>265</v>
      </c>
      <c r="AC562" s="25" t="s">
        <v>364</v>
      </c>
      <c r="AD562" s="25" t="s">
        <v>361</v>
      </c>
      <c r="AE562" s="25" t="s">
        <v>263</v>
      </c>
      <c r="AF562" s="25" t="s">
        <v>362</v>
      </c>
      <c r="AG562" s="25" t="s">
        <v>363</v>
      </c>
      <c r="AH562" s="25" t="s">
        <v>264</v>
      </c>
      <c r="AI562" s="25" t="s">
        <v>265</v>
      </c>
      <c r="AJ562" s="25" t="s">
        <v>364</v>
      </c>
      <c r="AK562" s="25" t="s">
        <v>361</v>
      </c>
      <c r="AL562" s="25" t="s">
        <v>263</v>
      </c>
      <c r="AM562" s="25" t="s">
        <v>362</v>
      </c>
      <c r="AN562" s="25" t="s">
        <v>363</v>
      </c>
      <c r="AO562" s="25" t="s">
        <v>264</v>
      </c>
      <c r="AP562" s="25" t="s">
        <v>265</v>
      </c>
      <c r="AQ562" s="25" t="s">
        <v>364</v>
      </c>
    </row>
    <row r="563" spans="1:43">
      <c r="A563" s="3">
        <v>0</v>
      </c>
      <c r="F563" s="18">
        <f>MIN(0*B561,'2-Caso'!$B$12)</f>
        <v>0</v>
      </c>
      <c r="G563" s="18">
        <f>'2-Caso'!$B$12-F563</f>
        <v>438975.13985857379</v>
      </c>
      <c r="H563" s="18">
        <f>'2-Caso'!$B$13*G563/'2-Caso'!$B$12</f>
        <v>344000</v>
      </c>
      <c r="M563" s="18">
        <f>MIN(0*I561,'2-Caso'!$B$12)</f>
        <v>0</v>
      </c>
      <c r="N563" s="18">
        <f>'2-Caso'!$B$12-M563</f>
        <v>438975.13985857379</v>
      </c>
      <c r="O563" s="18">
        <f>'2-Caso'!$B$13*N563/'2-Caso'!$B$12</f>
        <v>344000</v>
      </c>
      <c r="T563" s="18">
        <f>MIN(0*P561,'2-Caso'!$B$12)</f>
        <v>0</v>
      </c>
      <c r="U563" s="18">
        <f>'2-Caso'!$B$12-T563</f>
        <v>438975.13985857379</v>
      </c>
      <c r="V563" s="18">
        <f>'2-Caso'!$B$13*U563/'2-Caso'!$B$12</f>
        <v>344000</v>
      </c>
      <c r="AA563" s="18">
        <f>MIN(0*W561,'2-Caso'!$B$12)</f>
        <v>0</v>
      </c>
      <c r="AB563" s="18">
        <f>'2-Caso'!$B$12-AA563</f>
        <v>438975.13985857379</v>
      </c>
      <c r="AC563" s="18">
        <f>'2-Caso'!$B$13*AB563/'2-Caso'!$B$12</f>
        <v>344000</v>
      </c>
      <c r="AH563" s="18">
        <f>MIN(0*AD561,'2-Caso'!$B$12)</f>
        <v>0</v>
      </c>
      <c r="AI563" s="18">
        <f>'2-Caso'!$B$12-AH563</f>
        <v>438975.13985857379</v>
      </c>
      <c r="AJ563" s="18">
        <f>'2-Caso'!$B$13*AI563/'2-Caso'!$B$12</f>
        <v>344000</v>
      </c>
      <c r="AO563" s="18">
        <f>MIN(0*AK561,'2-Caso'!$B$12)</f>
        <v>0</v>
      </c>
      <c r="AP563" s="18">
        <f>'2-Caso'!$B$12-AO563</f>
        <v>438975.13985857379</v>
      </c>
      <c r="AQ563" s="18">
        <f>'2-Caso'!$B$13*AP563/'2-Caso'!$B$12</f>
        <v>344000</v>
      </c>
    </row>
    <row r="564" spans="1:43">
      <c r="A564" s="10">
        <f>1</f>
        <v>1</v>
      </c>
      <c r="B564" s="11">
        <f>IF($A564&gt;'1-Input'!$B$26,0,IF(G563&lt;=0,0,MAX(0,(G563-H563)/G563)))</f>
        <v>0.21635653419729481</v>
      </c>
      <c r="C564" s="18">
        <f>IF($A564&gt;'1-Input'!$B$26,0,(MAX(0,B561-IF($A564&gt;='1-Input'!$C$12,'1-Input'!$B$13,0))-MIN(MAX(F563,0),MAX(0,B561-IF($A564&gt;='1-Input'!$C$12,'1-Input'!$B$13,0))))*(1/(1-'P-Parametri'!$B$6*B564))+MIN(MAX(0,G563-(MAX(0,B561-IF($A564&gt;='1-Input'!$C$12,'1-Input'!$B$13,0))-MIN(MAX(F563,0),MAX(0,B561-IF($A564&gt;='1-Input'!$C$12,'1-Input'!$B$13,0))))*(1/(1-'P-Parametri'!$B$6*B564))),MAX(0,0*B561-(F563-MIN(MAX(F563,0),MAX(0,B561-IF($A564&gt;='1-Input'!$C$12,'1-Input'!$B$13,0)))))*(1/(1-'P-Parametri'!$B$6*B564))))</f>
        <v>17675.340946701614</v>
      </c>
      <c r="D564" s="18">
        <f>IF($A564&gt;'1-Input'!$B$26,F563,(F563-MAX(0,B561-IF($A564&gt;='1-Input'!$C$12,'1-Input'!$B$13,0))+C564*(1-'P-Parametri'!$B$6*B564))*(1+'1-Input'!$B$27))</f>
        <v>-3.6248820833861826E-12</v>
      </c>
      <c r="E564" s="18">
        <f>IF($A564&gt;'1-Input'!$B$26,G563,(G563-C564)*(1+'5-Roberta'!$C$4))</f>
        <v>433938.79287922836</v>
      </c>
      <c r="F564" s="18">
        <f>IF($A564&gt;'1-Input'!$B$26,D564,D564-'P-Parametri'!$B$8*(E564+D564)+MIN(MAX(E564,0),'P-Parametri'!$B$8*(E564+D564)))</f>
        <v>-3.637978807091713E-12</v>
      </c>
      <c r="G564" s="18">
        <f>IF($A564&gt;'1-Input'!$B$26,E564,E564-MIN(MAX(E564,0),'P-Parametri'!$B$8*(E564+D564)))</f>
        <v>433070.91529346991</v>
      </c>
      <c r="H564" s="18">
        <f>IF($A564&gt;'1-Input'!$B$26,H563,H563-C564*(1-B564))</f>
        <v>330148.8345612823</v>
      </c>
      <c r="I564" s="11">
        <f>IF($A564&gt;'1-Input'!$B$26,0,IF(N563&lt;=0,0,MAX(0,(N563-O563)/N563)))</f>
        <v>0.21635653419729481</v>
      </c>
      <c r="J564" s="18">
        <f>IF($A564&gt;'1-Input'!$B$26,0,(MAX(0,I561-IF($A564&gt;='1-Input'!$C$12,'1-Input'!$B$13,0))-MIN(MAX(M563,0),MAX(0,I561-IF($A564&gt;='1-Input'!$C$12,'1-Input'!$B$13,0))))*(1/(1-'P-Parametri'!$B$6*I564))+MIN(MAX(0,N563-(MAX(0,I561-IF($A564&gt;='1-Input'!$C$12,'1-Input'!$B$13,0))-MIN(MAX(M563,0),MAX(0,I561-IF($A564&gt;='1-Input'!$C$12,'1-Input'!$B$13,0))))*(1/(1-'P-Parametri'!$B$6*I564))),MAX(0,0*I561-(M563-MIN(MAX(M563,0),MAX(0,I561-IF($A564&gt;='1-Input'!$C$12,'1-Input'!$B$13,0)))))*(1/(1-'P-Parametri'!$B$6*I564))))</f>
        <v>23257.027561449497</v>
      </c>
      <c r="K564" s="18">
        <f>IF($A564&gt;'1-Input'!$B$26,M563,(M563-MAX(0,I561-IF($A564&gt;='1-Input'!$C$12,'1-Input'!$B$13,0))+J564*(1-'P-Parametri'!$B$6*I564))*(1+'1-Input'!$B$27))</f>
        <v>0</v>
      </c>
      <c r="L564" s="18">
        <f>IF($A564&gt;'1-Input'!$B$26,N563,(N563-J564)*(1+'5-Roberta'!$C$4))</f>
        <v>428189.65566603804</v>
      </c>
      <c r="M564" s="18">
        <f>IF($A564&gt;'1-Input'!$B$26,K564,K564-'P-Parametri'!$B$8*(L564+K564)+MIN(MAX(L564,0),'P-Parametri'!$B$8*(L564+K564)))</f>
        <v>0</v>
      </c>
      <c r="N564" s="18">
        <f>IF($A564&gt;'1-Input'!$B$26,L564,L564-MIN(MAX(L564,0),'P-Parametri'!$B$8*(L564+K564)))</f>
        <v>427333.27635470597</v>
      </c>
      <c r="O564" s="18">
        <f>IF($A564&gt;'1-Input'!$B$26,O563,O563-J564*(1-I564))</f>
        <v>325774.7823174767</v>
      </c>
      <c r="P564" s="11">
        <f>IF($A564&gt;'1-Input'!$B$26,0,IF(U563&lt;=0,0,MAX(0,(U563-V563)/U563)))</f>
        <v>0.21635653419729481</v>
      </c>
      <c r="Q564" s="18">
        <f>IF($A564&gt;'1-Input'!$B$26,0,(MAX(0,P561-IF($A564&gt;='1-Input'!$C$12,'1-Input'!$B$13,0))-MIN(MAX(T563,0),MAX(0,P561-IF($A564&gt;='1-Input'!$C$12,'1-Input'!$B$13,0))))*(1/(1-'P-Parametri'!$B$6*P564))+MIN(MAX(0,U563-(MAX(0,P561-IF($A564&gt;='1-Input'!$C$12,'1-Input'!$B$13,0))-MIN(MAX(T563,0),MAX(0,P561-IF($A564&gt;='1-Input'!$C$12,'1-Input'!$B$13,0))))*(1/(1-'P-Parametri'!$B$6*P564))),MAX(0,0*P561-(T563-MIN(MAX(T563,0),MAX(0,P561-IF($A564&gt;='1-Input'!$C$12,'1-Input'!$B$13,0)))))*(1/(1-'P-Parametri'!$B$6*P564))))</f>
        <v>20972.735683842449</v>
      </c>
      <c r="R564" s="18">
        <f>IF($A564&gt;'1-Input'!$B$26,T563,(T563-MAX(0,P561-IF($A564&gt;='1-Input'!$C$12,'1-Input'!$B$13,0))+Q564*(1-'P-Parametri'!$B$6*P564))*(1+'1-Input'!$B$27))</f>
        <v>-3.6248820833861826E-12</v>
      </c>
      <c r="S564" s="18">
        <f>IF($A564&gt;'1-Input'!$B$26,U563,(U563-Q564)*(1+'5-Roberta'!$C$4))</f>
        <v>430542.47629997332</v>
      </c>
      <c r="T564" s="18">
        <f>IF($A564&gt;'1-Input'!$B$26,R564,R564-'P-Parametri'!$B$8*(S564+R564)+MIN(MAX(S564,0),'P-Parametri'!$B$8*(S564+R564)))</f>
        <v>-3.637978807091713E-12</v>
      </c>
      <c r="U564" s="18">
        <f>IF($A564&gt;'1-Input'!$B$26,S564,S564-MIN(MAX(S564,0),'P-Parametri'!$B$8*(S564+R564)))</f>
        <v>429681.39134737337</v>
      </c>
      <c r="V564" s="18">
        <f>IF($A564&gt;'1-Input'!$B$26,V563,V563-Q564*(1-P564))</f>
        <v>327564.85272134963</v>
      </c>
      <c r="W564" s="11">
        <f>IF($A564&gt;'1-Input'!$B$26,0,IF(AB563&lt;=0,0,MAX(0,(AB563-AC563)/AB563)))</f>
        <v>0.21635653419729481</v>
      </c>
      <c r="X564" s="18">
        <f>IF($A564&gt;'1-Input'!$B$26,0,(MAX(0,W561-IF($A564&gt;='1-Input'!$C$12,'1-Input'!$B$13,0))-MIN(MAX(AA563,0),MAX(0,W561-IF($A564&gt;='1-Input'!$C$12,'1-Input'!$B$13,0))))*(1/(1-'P-Parametri'!$B$6*W564))+MIN(MAX(0,AB563-(MAX(0,W561-IF($A564&gt;='1-Input'!$C$12,'1-Input'!$B$13,0))-MIN(MAX(AA563,0),MAX(0,W561-IF($A564&gt;='1-Input'!$C$12,'1-Input'!$B$13,0))))*(1/(1-'P-Parametri'!$B$6*W564))),MAX(0,0*W561-(AA563-MIN(MAX(AA563,0),MAX(0,W561-IF($A564&gt;='1-Input'!$C$12,'1-Input'!$B$13,0)))))*(1/(1-'P-Parametri'!$B$6*W564))))</f>
        <v>20690.580678082657</v>
      </c>
      <c r="Y564" s="18">
        <f>IF($A564&gt;'1-Input'!$B$26,AA563,(AA563-MAX(0,W561-IF($A564&gt;='1-Input'!$C$12,'1-Input'!$B$13,0))+X564*(1-'P-Parametri'!$B$6*W564))*(1+'1-Input'!$B$27))</f>
        <v>0</v>
      </c>
      <c r="Z564" s="18">
        <f>IF($A564&gt;'1-Input'!$B$26,AB563,(AB563-X564)*(1+'5-Roberta'!$C$4))</f>
        <v>430833.09595590591</v>
      </c>
      <c r="AA564" s="18">
        <f>IF($A564&gt;'1-Input'!$B$26,Y564,Y564-'P-Parametri'!$B$8*(Z564+Y564)+MIN(MAX(Z564,0),'P-Parametri'!$B$8*(Z564+Y564)))</f>
        <v>0</v>
      </c>
      <c r="AB564" s="18">
        <f>IF($A564&gt;'1-Input'!$B$26,Z564,Z564-MIN(MAX(Z564,0),'P-Parametri'!$B$8*(Z564+Y564)))</f>
        <v>429971.42976399412</v>
      </c>
      <c r="AC564" s="18">
        <f>IF($A564&gt;'1-Input'!$B$26,AC563,AC563-X564*(1-W564))</f>
        <v>327785.96164795681</v>
      </c>
      <c r="AD564" s="11">
        <f>IF($A564&gt;'1-Input'!$B$26,0,IF(AI563&lt;=0,0,MAX(0,(AI563-AJ563)/AI563)))</f>
        <v>0.21635653419729481</v>
      </c>
      <c r="AE564" s="18">
        <f>IF($A564&gt;'1-Input'!$B$26,0,(MAX(0,AD561-IF($A564&gt;='1-Input'!$C$12,'1-Input'!$B$13,0))-MIN(MAX(AH563,0),MAX(0,AD561-IF($A564&gt;='1-Input'!$C$12,'1-Input'!$B$13,0))))*(1/(1-'P-Parametri'!$B$6*AD564))+MIN(MAX(0,AI563-(MAX(0,AD561-IF($A564&gt;='1-Input'!$C$12,'1-Input'!$B$13,0))-MIN(MAX(AH563,0),MAX(0,AD561-IF($A564&gt;='1-Input'!$C$12,'1-Input'!$B$13,0))))*(1/(1-'P-Parametri'!$B$6*AD564))),MAX(0,0*AD561-(AH563-MIN(MAX(AH563,0),MAX(0,AD561-IF($A564&gt;='1-Input'!$C$12,'1-Input'!$B$13,0)))))*(1/(1-'P-Parametri'!$B$6*AD564))))</f>
        <v>20707.987485091064</v>
      </c>
      <c r="AF564" s="18">
        <f>IF($A564&gt;'1-Input'!$B$26,AH563,(AH563-MAX(0,AD561-IF($A564&gt;='1-Input'!$C$12,'1-Input'!$B$13,0))+AE564*(1-'P-Parametri'!$B$6*AD564))*(1+'1-Input'!$B$27))</f>
        <v>0</v>
      </c>
      <c r="AG564" s="18">
        <f>IF($A564&gt;'1-Input'!$B$26,AI563,(AI563-AE564)*(1+'5-Roberta'!$C$4))</f>
        <v>430815.1669446872</v>
      </c>
      <c r="AH564" s="18">
        <f>IF($A564&gt;'1-Input'!$B$26,AF564,AF564-'P-Parametri'!$B$8*(AG564+AF564)+MIN(MAX(AG564,0),'P-Parametri'!$B$8*(AG564+AF564)))</f>
        <v>0</v>
      </c>
      <c r="AI564" s="18">
        <f>IF($A564&gt;'1-Input'!$B$26,AG564,AG564-MIN(MAX(AG564,0),'P-Parametri'!$B$8*(AG564+AF564)))</f>
        <v>429953.5366107978</v>
      </c>
      <c r="AJ564" s="18">
        <f>IF($A564&gt;'1-Input'!$B$26,AJ563,AJ563-AE564*(1-AD564))</f>
        <v>327772.32091738418</v>
      </c>
      <c r="AK564" s="11">
        <f>IF($A564&gt;'1-Input'!$B$26,0,IF(AP563&lt;=0,0,MAX(0,(AP563-AQ563)/AP563)))</f>
        <v>0.21635653419729481</v>
      </c>
      <c r="AL564" s="18">
        <f>IF($A564&gt;'1-Input'!$B$26,0,(MAX(0,AK561-IF($A564&gt;='1-Input'!$C$12,'1-Input'!$B$13,0))-MIN(MAX(AO563,0),MAX(0,AK561-IF($A564&gt;='1-Input'!$C$12,'1-Input'!$B$13,0))))*(1/(1-'P-Parametri'!$B$6*AK564))+MIN(MAX(0,AP563-(MAX(0,AK561-IF($A564&gt;='1-Input'!$C$12,'1-Input'!$B$13,0))-MIN(MAX(AO563,0),MAX(0,AK561-IF($A564&gt;='1-Input'!$C$12,'1-Input'!$B$13,0))))*(1/(1-'P-Parametri'!$B$6*AK564))),MAX(0,0*AK561-(AO563-MIN(MAX(AO563,0),MAX(0,AK561-IF($A564&gt;='1-Input'!$C$12,'1-Input'!$B$13,0)))))*(1/(1-'P-Parametri'!$B$6*AK564))))</f>
        <v>20705.755523684587</v>
      </c>
      <c r="AM564" s="18">
        <f>IF($A564&gt;'1-Input'!$B$26,AO563,(AO563-MAX(0,AK561-IF($A564&gt;='1-Input'!$C$12,'1-Input'!$B$13,0))+AL564*(1-'P-Parametri'!$B$6*AK564))*(1+'1-Input'!$B$27))</f>
        <v>-3.6248820833861826E-12</v>
      </c>
      <c r="AN564" s="18">
        <f>IF($A564&gt;'1-Input'!$B$26,AP563,(AP563-AL564)*(1+'5-Roberta'!$C$4))</f>
        <v>430817.46586493589</v>
      </c>
      <c r="AO564" s="18">
        <f>IF($A564&gt;'1-Input'!$B$26,AM564,AM564-'P-Parametri'!$B$8*(AN564+AM564)+MIN(MAX(AN564,0),'P-Parametri'!$B$8*(AN564+AM564)))</f>
        <v>-3.637978807091713E-12</v>
      </c>
      <c r="AP564" s="18">
        <f>IF($A564&gt;'1-Input'!$B$26,AN564,AN564-MIN(MAX(AN564,0),'P-Parametri'!$B$8*(AN564+AM564)))</f>
        <v>429955.83093320602</v>
      </c>
      <c r="AQ564" s="18">
        <f>IF($A564&gt;'1-Input'!$B$26,AQ563,AQ563-AL564*(1-AK564))</f>
        <v>327774.06997935631</v>
      </c>
    </row>
    <row r="565" spans="1:43">
      <c r="A565" s="10">
        <f>2</f>
        <v>2</v>
      </c>
      <c r="B565" s="11">
        <f>IF($A565&gt;'1-Input'!$B$26,0,IF(G564&lt;=0,0,MAX(0,(G564-H564)/G564)))</f>
        <v>0.23765641399040294</v>
      </c>
      <c r="C565" s="18">
        <f>IF($A565&gt;'1-Input'!$B$26,0,(MAX(0,B561-IF($A565&gt;='1-Input'!$C$12,'1-Input'!$B$13,0))-MIN(MAX(F564,0),MAX(0,B561-IF($A565&gt;='1-Input'!$C$12,'1-Input'!$B$13,0))))*(1/(1-'P-Parametri'!$B$6*B565))+MIN(MAX(0,G564-(MAX(0,B561-IF($A565&gt;='1-Input'!$C$12,'1-Input'!$B$13,0))-MIN(MAX(F564,0),MAX(0,B561-IF($A565&gt;='1-Input'!$C$12,'1-Input'!$B$13,0))))*(1/(1-'P-Parametri'!$B$6*B565))),MAX(0,0*B561-(F564-MIN(MAX(F564,0),MAX(0,B561-IF($A565&gt;='1-Input'!$C$12,'1-Input'!$B$13,0)))))*(1/(1-'P-Parametri'!$B$6*B565))))</f>
        <v>17779.673191505583</v>
      </c>
      <c r="D565" s="18">
        <f>IF($A565&gt;'1-Input'!$B$26,F564,(F564-MAX(0,B561-IF($A565&gt;='1-Input'!$C$12,'1-Input'!$B$13,0))+C565*(1-'P-Parametri'!$B$6*B565))*(1+'1-Input'!$B$27))</f>
        <v>0</v>
      </c>
      <c r="E565" s="18">
        <f>IF($A565&gt;'1-Input'!$B$26,G564,(G564-C565)*(1+'5-Roberta'!$C$4))</f>
        <v>427749.97936502326</v>
      </c>
      <c r="F565" s="18">
        <f>IF($A565&gt;'1-Input'!$B$26,D565,D565-'P-Parametri'!$B$8*(E565+D565)+MIN(MAX(E565,0),'P-Parametri'!$B$8*(E565+D565)))</f>
        <v>0</v>
      </c>
      <c r="G565" s="18">
        <f>IF($A565&gt;'1-Input'!$B$26,E565,E565-MIN(MAX(E565,0),'P-Parametri'!$B$8*(E565+D565)))</f>
        <v>426894.47940629319</v>
      </c>
      <c r="H565" s="18">
        <f>IF($A565&gt;'1-Input'!$B$26,H564,H564-C565*(1-B565))</f>
        <v>316594.61474239122</v>
      </c>
      <c r="I565" s="11">
        <f>IF($A565&gt;'1-Input'!$B$26,0,IF(N564&lt;=0,0,MAX(0,(N564-O564)/N564)))</f>
        <v>0.23765641399040296</v>
      </c>
      <c r="J565" s="18">
        <f>IF($A565&gt;'1-Input'!$B$26,0,(MAX(0,I561-IF($A565&gt;='1-Input'!$C$12,'1-Input'!$B$13,0))-MIN(MAX(M564,0),MAX(0,I561-IF($A565&gt;='1-Input'!$C$12,'1-Input'!$B$13,0))))*(1/(1-'P-Parametri'!$B$6*I565))+MIN(MAX(0,N564-(MAX(0,I561-IF($A565&gt;='1-Input'!$C$12,'1-Input'!$B$13,0))-MIN(MAX(M564,0),MAX(0,I561-IF($A565&gt;='1-Input'!$C$12,'1-Input'!$B$13,0))))*(1/(1-'P-Parametri'!$B$6*I565))),MAX(0,0*I561-(M564-MIN(MAX(M564,0),MAX(0,I561-IF($A565&gt;='1-Input'!$C$12,'1-Input'!$B$13,0)))))*(1/(1-'P-Parametri'!$B$6*I565))))</f>
        <v>23394.306830928395</v>
      </c>
      <c r="K565" s="18">
        <f>IF($A565&gt;'1-Input'!$B$26,M564,(M564-MAX(0,I561-IF($A565&gt;='1-Input'!$C$12,'1-Input'!$B$13,0))+J565*(1-'P-Parametri'!$B$6*I565))*(1+'1-Input'!$B$27))</f>
        <v>0</v>
      </c>
      <c r="L565" s="18">
        <f>IF($A565&gt;'1-Input'!$B$26,N564,(N564-J565)*(1+'5-Roberta'!$C$4))</f>
        <v>416057.13860949094</v>
      </c>
      <c r="M565" s="18">
        <f>IF($A565&gt;'1-Input'!$B$26,K565,K565-'P-Parametri'!$B$8*(L565+K565)+MIN(MAX(L565,0),'P-Parametri'!$B$8*(L565+K565)))</f>
        <v>0</v>
      </c>
      <c r="N565" s="18">
        <f>IF($A565&gt;'1-Input'!$B$26,L565,L565-MIN(MAX(L565,0),'P-Parametri'!$B$8*(L565+K565)))</f>
        <v>415225.02433227195</v>
      </c>
      <c r="O565" s="18">
        <f>IF($A565&gt;'1-Input'!$B$26,O564,O564-J565*(1-I565))</f>
        <v>307940.28255577793</v>
      </c>
      <c r="P565" s="11">
        <f>IF($A565&gt;'1-Input'!$B$26,0,IF(U564&lt;=0,0,MAX(0,(U564-V564)/U564)))</f>
        <v>0.23765641399040302</v>
      </c>
      <c r="Q565" s="18">
        <f>IF($A565&gt;'1-Input'!$B$26,0,(MAX(0,P561-IF($A565&gt;='1-Input'!$C$12,'1-Input'!$B$13,0))-MIN(MAX(T564,0),MAX(0,P561-IF($A565&gt;='1-Input'!$C$12,'1-Input'!$B$13,0))))*(1/(1-'P-Parametri'!$B$6*P565))+MIN(MAX(0,U564-(MAX(0,P561-IF($A565&gt;='1-Input'!$C$12,'1-Input'!$B$13,0))-MIN(MAX(T564,0),MAX(0,P561-IF($A565&gt;='1-Input'!$C$12,'1-Input'!$B$13,0))))*(1/(1-'P-Parametri'!$B$6*P565))),MAX(0,0*P561-(T564-MIN(MAX(T564,0),MAX(0,P561-IF($A565&gt;='1-Input'!$C$12,'1-Input'!$B$13,0)))))*(1/(1-'P-Parametri'!$B$6*P565))))</f>
        <v>21096.531462389165</v>
      </c>
      <c r="R565" s="18">
        <f>IF($A565&gt;'1-Input'!$B$26,T564,(T564-MAX(0,P561-IF($A565&gt;='1-Input'!$C$12,'1-Input'!$B$13,0))+Q565*(1-'P-Parametri'!$B$6*P565))*(1+'1-Input'!$B$27))</f>
        <v>0</v>
      </c>
      <c r="S565" s="18">
        <f>IF($A565&gt;'1-Input'!$B$26,U564,(U564-Q565)*(1+'5-Roberta'!$C$4))</f>
        <v>420842.40568153374</v>
      </c>
      <c r="T565" s="18">
        <f>IF($A565&gt;'1-Input'!$B$26,R565,R565-'P-Parametri'!$B$8*(S565+R565)+MIN(MAX(S565,0),'P-Parametri'!$B$8*(S565+R565)))</f>
        <v>0</v>
      </c>
      <c r="U565" s="18">
        <f>IF($A565&gt;'1-Input'!$B$26,S565,S565-MIN(MAX(S565,0),'P-Parametri'!$B$8*(S565+R565)))</f>
        <v>420000.72087017068</v>
      </c>
      <c r="V565" s="18">
        <f>IF($A565&gt;'1-Input'!$B$26,V564,V564-Q565*(1-P565))</f>
        <v>311482.04727394757</v>
      </c>
      <c r="W565" s="11">
        <f>IF($A565&gt;'1-Input'!$B$26,0,IF(AB564&lt;=0,0,MAX(0,(AB564-AC564)/AB564)))</f>
        <v>0.2376564139904031</v>
      </c>
      <c r="X565" s="18">
        <f>IF($A565&gt;'1-Input'!$B$26,0,(MAX(0,W561-IF($A565&gt;='1-Input'!$C$12,'1-Input'!$B$13,0))-MIN(MAX(AA564,0),MAX(0,W561-IF($A565&gt;='1-Input'!$C$12,'1-Input'!$B$13,0))))*(1/(1-'P-Parametri'!$B$6*W565))+MIN(MAX(0,AB564-(MAX(0,W561-IF($A565&gt;='1-Input'!$C$12,'1-Input'!$B$13,0))-MIN(MAX(AA564,0),MAX(0,W561-IF($A565&gt;='1-Input'!$C$12,'1-Input'!$B$13,0))))*(1/(1-'P-Parametri'!$B$6*W565))),MAX(0,0*W561-(AA564-MIN(MAX(AA564,0),MAX(0,W561-IF($A565&gt;='1-Input'!$C$12,'1-Input'!$B$13,0)))))*(1/(1-'P-Parametri'!$B$6*W565))))</f>
        <v>20812.710980120461</v>
      </c>
      <c r="Y565" s="18">
        <f>IF($A565&gt;'1-Input'!$B$26,AA564,(AA564-MAX(0,W561-IF($A565&gt;='1-Input'!$C$12,'1-Input'!$B$13,0))+X565*(1-'P-Parametri'!$B$6*W565))*(1+'1-Input'!$B$27))</f>
        <v>-3.6248820833861826E-12</v>
      </c>
      <c r="Z565" s="18">
        <f>IF($A565&gt;'1-Input'!$B$26,AB564,(AB564-X565)*(1+'5-Roberta'!$C$4))</f>
        <v>421433.48034738988</v>
      </c>
      <c r="AA565" s="18">
        <f>IF($A565&gt;'1-Input'!$B$26,Y565,Y565-'P-Parametri'!$B$8*(Z565+Y565)+MIN(MAX(Z565,0),'P-Parametri'!$B$8*(Z565+Y565)))</f>
        <v>-3.637978807091713E-12</v>
      </c>
      <c r="AB565" s="18">
        <f>IF($A565&gt;'1-Input'!$B$26,Z565,Z565-MIN(MAX(Z565,0),'P-Parametri'!$B$8*(Z565+Y565)))</f>
        <v>420590.6133866951</v>
      </c>
      <c r="AC565" s="18">
        <f>IF($A565&gt;'1-Input'!$B$26,AC564,AC564-X565*(1-W565))</f>
        <v>311919.52492479049</v>
      </c>
      <c r="AD565" s="11">
        <f>IF($A565&gt;'1-Input'!$B$26,0,IF(AI564&lt;=0,0,MAX(0,(AI564-AJ564)/AI564)))</f>
        <v>0.23765641399040294</v>
      </c>
      <c r="AE565" s="18">
        <f>IF($A565&gt;'1-Input'!$B$26,0,(MAX(0,AD561-IF($A565&gt;='1-Input'!$C$12,'1-Input'!$B$13,0))-MIN(MAX(AH564,0),MAX(0,AD561-IF($A565&gt;='1-Input'!$C$12,'1-Input'!$B$13,0))))*(1/(1-'P-Parametri'!$B$6*AD565))+MIN(MAX(0,AI564-(MAX(0,AD561-IF($A565&gt;='1-Input'!$C$12,'1-Input'!$B$13,0))-MIN(MAX(AH564,0),MAX(0,AD561-IF($A565&gt;='1-Input'!$C$12,'1-Input'!$B$13,0))))*(1/(1-'P-Parametri'!$B$6*AD565))),MAX(0,0*AD561-(AH564-MIN(MAX(AH564,0),MAX(0,AD561-IF($A565&gt;='1-Input'!$C$12,'1-Input'!$B$13,0)))))*(1/(1-'P-Parametri'!$B$6*AD565))))</f>
        <v>20830.220534298245</v>
      </c>
      <c r="AF565" s="18">
        <f>IF($A565&gt;'1-Input'!$B$26,AH564,(AH564-MAX(0,AD561-IF($A565&gt;='1-Input'!$C$12,'1-Input'!$B$13,0))+AE565*(1-'P-Parametri'!$B$6*AD565))*(1+'1-Input'!$B$27))</f>
        <v>0</v>
      </c>
      <c r="AG565" s="18">
        <f>IF($A565&gt;'1-Input'!$B$26,AI564,(AI564-AE565)*(1+'5-Roberta'!$C$4))</f>
        <v>421397.01555879461</v>
      </c>
      <c r="AH565" s="18">
        <f>IF($A565&gt;'1-Input'!$B$26,AF565,AF565-'P-Parametri'!$B$8*(AG565+AF565)+MIN(MAX(AG565,0),'P-Parametri'!$B$8*(AG565+AF565)))</f>
        <v>0</v>
      </c>
      <c r="AI565" s="18">
        <f>IF($A565&gt;'1-Input'!$B$26,AG565,AG565-MIN(MAX(AG565,0),'P-Parametri'!$B$8*(AG565+AF565)))</f>
        <v>420554.22152767703</v>
      </c>
      <c r="AJ565" s="18">
        <f>IF($A565&gt;'1-Input'!$B$26,AJ564,AJ564-AE565*(1-AD565))</f>
        <v>311892.53589789651</v>
      </c>
      <c r="AK565" s="11">
        <f>IF($A565&gt;'1-Input'!$B$26,0,IF(AP564&lt;=0,0,MAX(0,(AP564-AQ564)/AP564)))</f>
        <v>0.23765641399040294</v>
      </c>
      <c r="AL565" s="18">
        <f>IF($A565&gt;'1-Input'!$B$26,0,(MAX(0,AK561-IF($A565&gt;='1-Input'!$C$12,'1-Input'!$B$13,0))-MIN(MAX(AO564,0),MAX(0,AK561-IF($A565&gt;='1-Input'!$C$12,'1-Input'!$B$13,0))))*(1/(1-'P-Parametri'!$B$6*AK565))+MIN(MAX(0,AP564-(MAX(0,AK561-IF($A565&gt;='1-Input'!$C$12,'1-Input'!$B$13,0))-MIN(MAX(AO564,0),MAX(0,AK561-IF($A565&gt;='1-Input'!$C$12,'1-Input'!$B$13,0))))*(1/(1-'P-Parametri'!$B$6*AK565))),MAX(0,0*AK561-(AO564-MIN(MAX(AO564,0),MAX(0,AK561-IF($A565&gt;='1-Input'!$C$12,'1-Input'!$B$13,0)))))*(1/(1-'P-Parametri'!$B$6*AK565))))</f>
        <v>20827.975398291943</v>
      </c>
      <c r="AM565" s="18">
        <f>IF($A565&gt;'1-Input'!$B$26,AO564,(AO564-MAX(0,AK561-IF($A565&gt;='1-Input'!$C$12,'1-Input'!$B$13,0))+AL565*(1-'P-Parametri'!$B$6*AK565))*(1+'1-Input'!$B$27))</f>
        <v>0</v>
      </c>
      <c r="AN565" s="18">
        <f>IF($A565&gt;'1-Input'!$B$26,AP564,(AP564-AL565)*(1+'5-Roberta'!$C$4))</f>
        <v>421401.69120096148</v>
      </c>
      <c r="AO565" s="18">
        <f>IF($A565&gt;'1-Input'!$B$26,AM565,AM565-'P-Parametri'!$B$8*(AN565+AM565)+MIN(MAX(AN565,0),'P-Parametri'!$B$8*(AN565+AM565)))</f>
        <v>0</v>
      </c>
      <c r="AP565" s="18">
        <f>IF($A565&gt;'1-Input'!$B$26,AN565,AN565-MIN(MAX(AN565,0),'P-Parametri'!$B$8*(AN565+AM565)))</f>
        <v>420558.88781855954</v>
      </c>
      <c r="AQ565" s="18">
        <f>IF($A565&gt;'1-Input'!$B$26,AQ564,AQ564-AL565*(1-AK565))</f>
        <v>311895.99652490276</v>
      </c>
    </row>
    <row r="566" spans="1:43">
      <c r="A566" s="10">
        <f>3</f>
        <v>3</v>
      </c>
      <c r="B566" s="11">
        <f>IF($A566&gt;'1-Input'!$B$26,0,IF(G565&lt;=0,0,MAX(0,(G565-H565)/G565)))</f>
        <v>0.25837735080880492</v>
      </c>
      <c r="C566" s="18">
        <f>IF($A566&gt;'1-Input'!$B$26,0,(MAX(0,B561-IF($A566&gt;='1-Input'!$C$12,'1-Input'!$B$13,0))-MIN(MAX(F565,0),MAX(0,B561-IF($A566&gt;='1-Input'!$C$12,'1-Input'!$B$13,0))))*(1/(1-'P-Parametri'!$B$6*B566))+MIN(MAX(0,G565-(MAX(0,B561-IF($A566&gt;='1-Input'!$C$12,'1-Input'!$B$13,0))-MIN(MAX(F565,0),MAX(0,B561-IF($A566&gt;='1-Input'!$C$12,'1-Input'!$B$13,0))))*(1/(1-'P-Parametri'!$B$6*B566))),MAX(0,0*B561-(F565-MIN(MAX(F565,0),MAX(0,B561-IF($A566&gt;='1-Input'!$C$12,'1-Input'!$B$13,0)))))*(1/(1-'P-Parametri'!$B$6*B566))))</f>
        <v>17882.358374189342</v>
      </c>
      <c r="D566" s="18">
        <f>IF($A566&gt;'1-Input'!$B$26,F565,(F565-MAX(0,B561-IF($A566&gt;='1-Input'!$C$12,'1-Input'!$B$13,0))+C566*(1-'P-Parametri'!$B$6*B566))*(1+'1-Input'!$B$27))</f>
        <v>0</v>
      </c>
      <c r="E566" s="18">
        <f>IF($A566&gt;'1-Input'!$B$26,G565,(G565-C566)*(1+'5-Roberta'!$C$4))</f>
        <v>421282.48466306698</v>
      </c>
      <c r="F566" s="18">
        <f>IF($A566&gt;'1-Input'!$B$26,D566,D566-'P-Parametri'!$B$8*(E566+D566)+MIN(MAX(E566,0),'P-Parametri'!$B$8*(E566+D566)))</f>
        <v>0</v>
      </c>
      <c r="G566" s="18">
        <f>IF($A566&gt;'1-Input'!$B$26,E566,E566-MIN(MAX(E566,0),'P-Parametri'!$B$8*(E566+D566)))</f>
        <v>420439.91969374084</v>
      </c>
      <c r="H566" s="18">
        <f>IF($A566&gt;'1-Input'!$B$26,H565,H565-C566*(1-B566))</f>
        <v>303332.65275113855</v>
      </c>
      <c r="I566" s="11">
        <f>IF($A566&gt;'1-Input'!$B$26,0,IF(N565&lt;=0,0,MAX(0,(N565-O565)/N565)))</f>
        <v>0.25837735080880497</v>
      </c>
      <c r="J566" s="18">
        <f>IF($A566&gt;'1-Input'!$B$26,0,(MAX(0,I561-IF($A566&gt;='1-Input'!$C$12,'1-Input'!$B$13,0))-MIN(MAX(M565,0),MAX(0,I561-IF($A566&gt;='1-Input'!$C$12,'1-Input'!$B$13,0))))*(1/(1-'P-Parametri'!$B$6*I566))+MIN(MAX(0,N565-(MAX(0,I561-IF($A566&gt;='1-Input'!$C$12,'1-Input'!$B$13,0))-MIN(MAX(M565,0),MAX(0,I561-IF($A566&gt;='1-Input'!$C$12,'1-Input'!$B$13,0))))*(1/(1-'P-Parametri'!$B$6*I566))),MAX(0,0*I561-(M565-MIN(MAX(M565,0),MAX(0,I561-IF($A566&gt;='1-Input'!$C$12,'1-Input'!$B$13,0)))))*(1/(1-'P-Parametri'!$B$6*I566))))</f>
        <v>23529.418913407029</v>
      </c>
      <c r="K566" s="18">
        <f>IF($A566&gt;'1-Input'!$B$26,M565,(M565-MAX(0,I561-IF($A566&gt;='1-Input'!$C$12,'1-Input'!$B$13,0))+J566*(1-'P-Parametri'!$B$6*I566))*(1+'1-Input'!$B$27))</f>
        <v>-3.6248820833861826E-12</v>
      </c>
      <c r="L566" s="18">
        <f>IF($A566&gt;'1-Input'!$B$26,N565,(N565-J566)*(1+'5-Roberta'!$C$4))</f>
        <v>403446.47358143091</v>
      </c>
      <c r="M566" s="18">
        <f>IF($A566&gt;'1-Input'!$B$26,K566,K566-'P-Parametri'!$B$8*(L566+K566)+MIN(MAX(L566,0),'P-Parametri'!$B$8*(L566+K566)))</f>
        <v>-3.637978807091713E-12</v>
      </c>
      <c r="N566" s="18">
        <f>IF($A566&gt;'1-Input'!$B$26,L566,L566-MIN(MAX(L566,0),'P-Parametri'!$B$8*(L566+K566)))</f>
        <v>402639.58063426806</v>
      </c>
      <c r="O566" s="18">
        <f>IF($A566&gt;'1-Input'!$B$26,O565,O565-J566*(1-I566))</f>
        <v>290490.33256728761</v>
      </c>
      <c r="P566" s="11">
        <f>IF($A566&gt;'1-Input'!$B$26,0,IF(U565&lt;=0,0,MAX(0,(U565-V565)/U565)))</f>
        <v>0.25837735080880508</v>
      </c>
      <c r="Q566" s="18">
        <f>IF($A566&gt;'1-Input'!$B$26,0,(MAX(0,P561-IF($A566&gt;='1-Input'!$C$12,'1-Input'!$B$13,0))-MIN(MAX(T565,0),MAX(0,P561-IF($A566&gt;='1-Input'!$C$12,'1-Input'!$B$13,0))))*(1/(1-'P-Parametri'!$B$6*P566))+MIN(MAX(0,U565-(MAX(0,P561-IF($A566&gt;='1-Input'!$C$12,'1-Input'!$B$13,0))-MIN(MAX(T565,0),MAX(0,P561-IF($A566&gt;='1-Input'!$C$12,'1-Input'!$B$13,0))))*(1/(1-'P-Parametri'!$B$6*P566))),MAX(0,0*P561-(T565-MIN(MAX(T565,0),MAX(0,P561-IF($A566&gt;='1-Input'!$C$12,'1-Input'!$B$13,0)))))*(1/(1-'P-Parametri'!$B$6*P566))))</f>
        <v>21218.372913796953</v>
      </c>
      <c r="R566" s="18">
        <f>IF($A566&gt;'1-Input'!$B$26,T565,(T565-MAX(0,P561-IF($A566&gt;='1-Input'!$C$12,'1-Input'!$B$13,0))+Q566*(1-'P-Parametri'!$B$6*P566))*(1+'1-Input'!$B$27))</f>
        <v>0</v>
      </c>
      <c r="S566" s="18">
        <f>IF($A566&gt;'1-Input'!$B$26,U565,(U565-Q566)*(1+'5-Roberta'!$C$4))</f>
        <v>410745.81839506491</v>
      </c>
      <c r="T566" s="18">
        <f>IF($A566&gt;'1-Input'!$B$26,R566,R566-'P-Parametri'!$B$8*(S566+R566)+MIN(MAX(S566,0),'P-Parametri'!$B$8*(S566+R566)))</f>
        <v>0</v>
      </c>
      <c r="U566" s="18">
        <f>IF($A566&gt;'1-Input'!$B$26,S566,S566-MIN(MAX(S566,0),'P-Parametri'!$B$8*(S566+R566)))</f>
        <v>409924.32675827481</v>
      </c>
      <c r="V566" s="18">
        <f>IF($A566&gt;'1-Input'!$B$26,V565,V565-Q566*(1-P566))</f>
        <v>295746.0213420908</v>
      </c>
      <c r="W566" s="11">
        <f>IF($A566&gt;'1-Input'!$B$26,0,IF(AB565&lt;=0,0,MAX(0,(AB565-AC565)/AB565)))</f>
        <v>0.25837735080880503</v>
      </c>
      <c r="X566" s="18">
        <f>IF($A566&gt;'1-Input'!$B$26,0,(MAX(0,W561-IF($A566&gt;='1-Input'!$C$12,'1-Input'!$B$13,0))-MIN(MAX(AA565,0),MAX(0,W561-IF($A566&gt;='1-Input'!$C$12,'1-Input'!$B$13,0))))*(1/(1-'P-Parametri'!$B$6*W566))+MIN(MAX(0,AB565-(MAX(0,W561-IF($A566&gt;='1-Input'!$C$12,'1-Input'!$B$13,0))-MIN(MAX(AA565,0),MAX(0,W561-IF($A566&gt;='1-Input'!$C$12,'1-Input'!$B$13,0))))*(1/(1-'P-Parametri'!$B$6*W566))),MAX(0,0*W561-(AA565-MIN(MAX(AA565,0),MAX(0,W561-IF($A566&gt;='1-Input'!$C$12,'1-Input'!$B$13,0)))))*(1/(1-'P-Parametri'!$B$6*W566))))</f>
        <v>20932.913247401681</v>
      </c>
      <c r="Y566" s="18">
        <f>IF($A566&gt;'1-Input'!$B$26,AA565,(AA565-MAX(0,W561-IF($A566&gt;='1-Input'!$C$12,'1-Input'!$B$13,0))+X566*(1-'P-Parametri'!$B$6*W566))*(1+'1-Input'!$B$27))</f>
        <v>-3.6248820833861826E-12</v>
      </c>
      <c r="Z566" s="18">
        <f>IF($A566&gt;'1-Input'!$B$26,AB565,(AB565-X566)*(1+'5-Roberta'!$C$4))</f>
        <v>411647.43114347226</v>
      </c>
      <c r="AA566" s="18">
        <f>IF($A566&gt;'1-Input'!$B$26,Y566,Y566-'P-Parametri'!$B$8*(Z566+Y566)+MIN(MAX(Z566,0),'P-Parametri'!$B$8*(Z566+Y566)))</f>
        <v>-3.637978807091713E-12</v>
      </c>
      <c r="AB566" s="18">
        <f>IF($A566&gt;'1-Input'!$B$26,Z566,Z566-MIN(MAX(Z566,0),'P-Parametri'!$B$8*(Z566+Y566)))</f>
        <v>410824.13628118532</v>
      </c>
      <c r="AC566" s="18">
        <f>IF($A566&gt;'1-Input'!$B$26,AC565,AC565-X566*(1-W566))</f>
        <v>296395.20234696299</v>
      </c>
      <c r="AD566" s="11">
        <f>IF($A566&gt;'1-Input'!$B$26,0,IF(AI565&lt;=0,0,MAX(0,(AI565-AJ565)/AI565)))</f>
        <v>0.25837735080880503</v>
      </c>
      <c r="AE566" s="18">
        <f>IF($A566&gt;'1-Input'!$B$26,0,(MAX(0,AD561-IF($A566&gt;='1-Input'!$C$12,'1-Input'!$B$13,0))-MIN(MAX(AH565,0),MAX(0,AD561-IF($A566&gt;='1-Input'!$C$12,'1-Input'!$B$13,0))))*(1/(1-'P-Parametri'!$B$6*AD566))+MIN(MAX(0,AI565-(MAX(0,AD561-IF($A566&gt;='1-Input'!$C$12,'1-Input'!$B$13,0))-MIN(MAX(AH565,0),MAX(0,AD561-IF($A566&gt;='1-Input'!$C$12,'1-Input'!$B$13,0))))*(1/(1-'P-Parametri'!$B$6*AD566))),MAX(0,0*AD561-(AH565-MIN(MAX(AH565,0),MAX(0,AD561-IF($A566&gt;='1-Input'!$C$12,'1-Input'!$B$13,0)))))*(1/(1-'P-Parametri'!$B$6*AD566))))</f>
        <v>20950.523926709833</v>
      </c>
      <c r="AF566" s="18">
        <f>IF($A566&gt;'1-Input'!$B$26,AH565,(AH565-MAX(0,AD561-IF($A566&gt;='1-Input'!$C$12,'1-Input'!$B$13,0))+AE566*(1-'P-Parametri'!$B$6*AD566))*(1+'1-Input'!$B$27))</f>
        <v>-3.6248820833861826E-12</v>
      </c>
      <c r="AG566" s="18">
        <f>IF($A566&gt;'1-Input'!$B$26,AI565,(AI565-AE566)*(1+'5-Roberta'!$C$4))</f>
        <v>411591.80852899625</v>
      </c>
      <c r="AH566" s="18">
        <f>IF($A566&gt;'1-Input'!$B$26,AF566,AF566-'P-Parametri'!$B$8*(AG566+AF566)+MIN(MAX(AG566,0),'P-Parametri'!$B$8*(AG566+AF566)))</f>
        <v>-3.637978807091713E-12</v>
      </c>
      <c r="AI566" s="18">
        <f>IF($A566&gt;'1-Input'!$B$26,AG566,AG566-MIN(MAX(AG566,0),'P-Parametri'!$B$8*(AG566+AF566)))</f>
        <v>410768.62491193827</v>
      </c>
      <c r="AJ566" s="18">
        <f>IF($A566&gt;'1-Input'!$B$26,AJ565,AJ565-AE566*(1-AD566))</f>
        <v>296355.15284142643</v>
      </c>
      <c r="AK566" s="11">
        <f>IF($A566&gt;'1-Input'!$B$26,0,IF(AP565&lt;=0,0,MAX(0,(AP565-AQ565)/AP565)))</f>
        <v>0.25837735080880492</v>
      </c>
      <c r="AL566" s="18">
        <f>IF($A566&gt;'1-Input'!$B$26,0,(MAX(0,AK561-IF($A566&gt;='1-Input'!$C$12,'1-Input'!$B$13,0))-MIN(MAX(AO565,0),MAX(0,AK561-IF($A566&gt;='1-Input'!$C$12,'1-Input'!$B$13,0))))*(1/(1-'P-Parametri'!$B$6*AK566))+MIN(MAX(0,AP565-(MAX(0,AK561-IF($A566&gt;='1-Input'!$C$12,'1-Input'!$B$13,0))-MIN(MAX(AO565,0),MAX(0,AK561-IF($A566&gt;='1-Input'!$C$12,'1-Input'!$B$13,0))))*(1/(1-'P-Parametri'!$B$6*AK566))),MAX(0,0*AK561-(AO565-MIN(MAX(AO565,0),MAX(0,AK561-IF($A566&gt;='1-Input'!$C$12,'1-Input'!$B$13,0)))))*(1/(1-'P-Parametri'!$B$6*AK566))))</f>
        <v>20948.265824087186</v>
      </c>
      <c r="AM566" s="18">
        <f>IF($A566&gt;'1-Input'!$B$26,AO565,(AO565-MAX(0,AK561-IF($A566&gt;='1-Input'!$C$12,'1-Input'!$B$13,0))+AL566*(1-'P-Parametri'!$B$6*AK566))*(1+'1-Input'!$B$27))</f>
        <v>-3.6248820833861826E-12</v>
      </c>
      <c r="AN566" s="18">
        <f>IF($A566&gt;'1-Input'!$B$26,AP565,(AP565-AL566)*(1+'5-Roberta'!$C$4))</f>
        <v>411598.9406543065</v>
      </c>
      <c r="AO566" s="18">
        <f>IF($A566&gt;'1-Input'!$B$26,AM566,AM566-'P-Parametri'!$B$8*(AN566+AM566)+MIN(MAX(AN566,0),'P-Parametri'!$B$8*(AN566+AM566)))</f>
        <v>-3.637978807091713E-12</v>
      </c>
      <c r="AP566" s="18">
        <f>IF($A566&gt;'1-Input'!$B$26,AN566,AN566-MIN(MAX(AN566,0),'P-Parametri'!$B$8*(AN566+AM566)))</f>
        <v>410775.74277299788</v>
      </c>
      <c r="AQ566" s="18">
        <f>IF($A566&gt;'1-Input'!$B$26,AQ565,AQ565-AL566*(1-AK566))</f>
        <v>296360.28812848183</v>
      </c>
    </row>
    <row r="567" spans="1:43">
      <c r="A567" s="10">
        <f>4</f>
        <v>4</v>
      </c>
      <c r="B567" s="11">
        <f>IF($A567&gt;'1-Input'!$B$26,0,IF(G566&lt;=0,0,MAX(0,(G566-H566)/G566)))</f>
        <v>0.27853508065529603</v>
      </c>
      <c r="C567" s="18">
        <f>IF($A567&gt;'1-Input'!$B$26,0,(MAX(0,B561-IF($A567&gt;='1-Input'!$C$12,'1-Input'!$B$13,0))-MIN(MAX(F566,0),MAX(0,B561-IF($A567&gt;='1-Input'!$C$12,'1-Input'!$B$13,0))))*(1/(1-'P-Parametri'!$B$6*B567))+MIN(MAX(0,G566-(MAX(0,B561-IF($A567&gt;='1-Input'!$C$12,'1-Input'!$B$13,0))-MIN(MAX(F566,0),MAX(0,B561-IF($A567&gt;='1-Input'!$C$12,'1-Input'!$B$13,0))))*(1/(1-'P-Parametri'!$B$6*B567))),MAX(0,0*B561-(F566-MIN(MAX(F566,0),MAX(0,B561-IF($A567&gt;='1-Input'!$C$12,'1-Input'!$B$13,0)))))*(1/(1-'P-Parametri'!$B$6*B567))))</f>
        <v>17983.397126595017</v>
      </c>
      <c r="D567" s="18">
        <f>IF($A567&gt;'1-Input'!$B$26,F566,(F566-MAX(0,B561-IF($A567&gt;='1-Input'!$C$12,'1-Input'!$B$13,0))+C567*(1-'P-Parametri'!$B$6*B567))*(1+'1-Input'!$B$27))</f>
        <v>0</v>
      </c>
      <c r="E567" s="18">
        <f>IF($A567&gt;'1-Input'!$B$26,G566,(G566-C567)*(1+'5-Roberta'!$C$4))</f>
        <v>414530.21824416018</v>
      </c>
      <c r="F567" s="18">
        <f>IF($A567&gt;'1-Input'!$B$26,D567,D567-'P-Parametri'!$B$8*(E567+D567)+MIN(MAX(E567,0),'P-Parametri'!$B$8*(E567+D567)))</f>
        <v>0</v>
      </c>
      <c r="G567" s="18">
        <f>IF($A567&gt;'1-Input'!$B$26,E567,E567-MIN(MAX(E567,0),'P-Parametri'!$B$8*(E567+D567)))</f>
        <v>413701.15780767187</v>
      </c>
      <c r="H567" s="18">
        <f>IF($A567&gt;'1-Input'!$B$26,H566,H566-C567*(1-B567))</f>
        <v>290358.26259365591</v>
      </c>
      <c r="I567" s="11">
        <f>IF($A567&gt;'1-Input'!$B$26,0,IF(N566&lt;=0,0,MAX(0,(N566-O566)/N566)))</f>
        <v>0.27853508065529609</v>
      </c>
      <c r="J567" s="18">
        <f>IF($A567&gt;'1-Input'!$B$26,0,(MAX(0,I561-IF($A567&gt;='1-Input'!$C$12,'1-Input'!$B$13,0))-MIN(MAX(M566,0),MAX(0,I561-IF($A567&gt;='1-Input'!$C$12,'1-Input'!$B$13,0))))*(1/(1-'P-Parametri'!$B$6*I567))+MIN(MAX(0,N566-(MAX(0,I561-IF($A567&gt;='1-Input'!$C$12,'1-Input'!$B$13,0))-MIN(MAX(M566,0),MAX(0,I561-IF($A567&gt;='1-Input'!$C$12,'1-Input'!$B$13,0))))*(1/(1-'P-Parametri'!$B$6*I567))),MAX(0,0*I561-(M566-MIN(MAX(M566,0),MAX(0,I561-IF($A567&gt;='1-Input'!$C$12,'1-Input'!$B$13,0)))))*(1/(1-'P-Parametri'!$B$6*I567))))</f>
        <v>23662.364640256612</v>
      </c>
      <c r="K567" s="18">
        <f>IF($A567&gt;'1-Input'!$B$26,M566,(M566-MAX(0,I561-IF($A567&gt;='1-Input'!$C$12,'1-Input'!$B$13,0))+J567*(1-'P-Parametri'!$B$6*I567))*(1+'1-Input'!$B$27))</f>
        <v>3.6248820833861826E-12</v>
      </c>
      <c r="L567" s="18">
        <f>IF($A567&gt;'1-Input'!$B$26,N566,(N566-J567)*(1+'5-Roberta'!$C$4))</f>
        <v>390346.53247383179</v>
      </c>
      <c r="M567" s="18">
        <f>IF($A567&gt;'1-Input'!$B$26,K567,K567-'P-Parametri'!$B$8*(L567+K567)+MIN(MAX(L567,0),'P-Parametri'!$B$8*(L567+K567)))</f>
        <v>3.637978807091713E-12</v>
      </c>
      <c r="N567" s="18">
        <f>IF($A567&gt;'1-Input'!$B$26,L567,L567-MIN(MAX(L567,0),'P-Parametri'!$B$8*(L567+K567)))</f>
        <v>389565.83940888412</v>
      </c>
      <c r="O567" s="18">
        <f>IF($A567&gt;'1-Input'!$B$26,O566,O566-J567*(1-I567))</f>
        <v>273418.76657059992</v>
      </c>
      <c r="P567" s="11">
        <f>IF($A567&gt;'1-Input'!$B$26,0,IF(U566&lt;=0,0,MAX(0,(U566-V566)/U566)))</f>
        <v>0.27853508065529609</v>
      </c>
      <c r="Q567" s="18">
        <f>IF($A567&gt;'1-Input'!$B$26,0,(MAX(0,P561-IF($A567&gt;='1-Input'!$C$12,'1-Input'!$B$13,0))-MIN(MAX(T566,0),MAX(0,P561-IF($A567&gt;='1-Input'!$C$12,'1-Input'!$B$13,0))))*(1/(1-'P-Parametri'!$B$6*P567))+MIN(MAX(0,U566-(MAX(0,P561-IF($A567&gt;='1-Input'!$C$12,'1-Input'!$B$13,0))-MIN(MAX(T566,0),MAX(0,P561-IF($A567&gt;='1-Input'!$C$12,'1-Input'!$B$13,0))))*(1/(1-'P-Parametri'!$B$6*P567))),MAX(0,0*P561-(T566-MIN(MAX(T566,0),MAX(0,P561-IF($A567&gt;='1-Input'!$C$12,'1-Input'!$B$13,0)))))*(1/(1-'P-Parametri'!$B$6*P567))))</f>
        <v>21338.260787780218</v>
      </c>
      <c r="R567" s="18">
        <f>IF($A567&gt;'1-Input'!$B$26,T566,(T566-MAX(0,P561-IF($A567&gt;='1-Input'!$C$12,'1-Input'!$B$13,0))+Q567*(1-'P-Parametri'!$B$6*P567))*(1+'1-Input'!$B$27))</f>
        <v>3.6248820833861826E-12</v>
      </c>
      <c r="S567" s="18">
        <f>IF($A567&gt;'1-Input'!$B$26,U566,(U566-Q567)*(1+'5-Roberta'!$C$4))</f>
        <v>400243.64794960944</v>
      </c>
      <c r="T567" s="18">
        <f>IF($A567&gt;'1-Input'!$B$26,R567,R567-'P-Parametri'!$B$8*(S567+R567)+MIN(MAX(S567,0),'P-Parametri'!$B$8*(S567+R567)))</f>
        <v>3.637978807091713E-12</v>
      </c>
      <c r="U567" s="18">
        <f>IF($A567&gt;'1-Input'!$B$26,S567,S567-MIN(MAX(S567,0),'P-Parametri'!$B$8*(S567+R567)))</f>
        <v>399443.16065371025</v>
      </c>
      <c r="V567" s="18">
        <f>IF($A567&gt;'1-Input'!$B$26,V566,V566-Q567*(1-P567))</f>
        <v>280351.21474387869</v>
      </c>
      <c r="W567" s="11">
        <f>IF($A567&gt;'1-Input'!$B$26,0,IF(AB566&lt;=0,0,MAX(0,(AB566-AC566)/AB566)))</f>
        <v>0.27853508065529614</v>
      </c>
      <c r="X567" s="18">
        <f>IF($A567&gt;'1-Input'!$B$26,0,(MAX(0,W561-IF($A567&gt;='1-Input'!$C$12,'1-Input'!$B$13,0))-MIN(MAX(AA566,0),MAX(0,W561-IF($A567&gt;='1-Input'!$C$12,'1-Input'!$B$13,0))))*(1/(1-'P-Parametri'!$B$6*W567))+MIN(MAX(0,AB566-(MAX(0,W561-IF($A567&gt;='1-Input'!$C$12,'1-Input'!$B$13,0))-MIN(MAX(AA566,0),MAX(0,W561-IF($A567&gt;='1-Input'!$C$12,'1-Input'!$B$13,0))))*(1/(1-'P-Parametri'!$B$6*W567))),MAX(0,0*W561-(AA566-MIN(MAX(AA566,0),MAX(0,W561-IF($A567&gt;='1-Input'!$C$12,'1-Input'!$B$13,0)))))*(1/(1-'P-Parametri'!$B$6*W567))))</f>
        <v>21051.188219554489</v>
      </c>
      <c r="Y567" s="18">
        <f>IF($A567&gt;'1-Input'!$B$26,AA566,(AA566-MAX(0,W561-IF($A567&gt;='1-Input'!$C$12,'1-Input'!$B$13,0))+X567*(1-'P-Parametri'!$B$6*W567))*(1+'1-Input'!$B$27))</f>
        <v>0</v>
      </c>
      <c r="Z567" s="18">
        <f>IF($A567&gt;'1-Input'!$B$26,AB566,(AB566-X567)*(1+'5-Roberta'!$C$4))</f>
        <v>401466.13650347973</v>
      </c>
      <c r="AA567" s="18">
        <f>IF($A567&gt;'1-Input'!$B$26,Y567,Y567-'P-Parametri'!$B$8*(Z567+Y567)+MIN(MAX(Z567,0),'P-Parametri'!$B$8*(Z567+Y567)))</f>
        <v>0</v>
      </c>
      <c r="AB567" s="18">
        <f>IF($A567&gt;'1-Input'!$B$26,Z567,Z567-MIN(MAX(Z567,0),'P-Parametri'!$B$8*(Z567+Y567)))</f>
        <v>400663.20423047279</v>
      </c>
      <c r="AC567" s="18">
        <f>IF($A567&gt;'1-Input'!$B$26,AC566,AC566-X567*(1-W567))</f>
        <v>281207.50853603194</v>
      </c>
      <c r="AD567" s="11">
        <f>IF($A567&gt;'1-Input'!$B$26,0,IF(AI566&lt;=0,0,MAX(0,(AI566-AJ566)/AI566)))</f>
        <v>0.2785350806552962</v>
      </c>
      <c r="AE567" s="18">
        <f>IF($A567&gt;'1-Input'!$B$26,0,(MAX(0,AD561-IF($A567&gt;='1-Input'!$C$12,'1-Input'!$B$13,0))-MIN(MAX(AH566,0),MAX(0,AD561-IF($A567&gt;='1-Input'!$C$12,'1-Input'!$B$13,0))))*(1/(1-'P-Parametri'!$B$6*AD567))+MIN(MAX(0,AI566-(MAX(0,AD561-IF($A567&gt;='1-Input'!$C$12,'1-Input'!$B$13,0))-MIN(MAX(AH566,0),MAX(0,AD561-IF($A567&gt;='1-Input'!$C$12,'1-Input'!$B$13,0))))*(1/(1-'P-Parametri'!$B$6*AD567))),MAX(0,0*AD561-(AH566-MIN(MAX(AH566,0),MAX(0,AD561-IF($A567&gt;='1-Input'!$C$12,'1-Input'!$B$13,0)))))*(1/(1-'P-Parametri'!$B$6*AD567))))</f>
        <v>21068.898402576255</v>
      </c>
      <c r="AF567" s="18">
        <f>IF($A567&gt;'1-Input'!$B$26,AH566,(AH566-MAX(0,AD561-IF($A567&gt;='1-Input'!$C$12,'1-Input'!$B$13,0))+AE567*(1-'P-Parametri'!$B$6*AD567))*(1+'1-Input'!$B$27))</f>
        <v>0</v>
      </c>
      <c r="AG567" s="18">
        <f>IF($A567&gt;'1-Input'!$B$26,AI566,(AI566-AE567)*(1+'5-Roberta'!$C$4))</f>
        <v>401390.71830464288</v>
      </c>
      <c r="AH567" s="18">
        <f>IF($A567&gt;'1-Input'!$B$26,AF567,AF567-'P-Parametri'!$B$8*(AG567+AF567)+MIN(MAX(AG567,0),'P-Parametri'!$B$8*(AG567+AF567)))</f>
        <v>0</v>
      </c>
      <c r="AI567" s="18">
        <f>IF($A567&gt;'1-Input'!$B$26,AG567,AG567-MIN(MAX(AG567,0),'P-Parametri'!$B$8*(AG567+AF567)))</f>
        <v>400587.9368680336</v>
      </c>
      <c r="AJ567" s="18">
        <f>IF($A567&gt;'1-Input'!$B$26,AJ566,AJ566-AE567*(1-AD567))</f>
        <v>281154.68175473</v>
      </c>
      <c r="AK567" s="11">
        <f>IF($A567&gt;'1-Input'!$B$26,0,IF(AP566&lt;=0,0,MAX(0,(AP566-AQ566)/AP566)))</f>
        <v>0.27853508065529592</v>
      </c>
      <c r="AL567" s="18">
        <f>IF($A567&gt;'1-Input'!$B$26,0,(MAX(0,AK561-IF($A567&gt;='1-Input'!$C$12,'1-Input'!$B$13,0))-MIN(MAX(AO566,0),MAX(0,AK561-IF($A567&gt;='1-Input'!$C$12,'1-Input'!$B$13,0))))*(1/(1-'P-Parametri'!$B$6*AK567))+MIN(MAX(0,AP566-(MAX(0,AK561-IF($A567&gt;='1-Input'!$C$12,'1-Input'!$B$13,0))-MIN(MAX(AO566,0),MAX(0,AK561-IF($A567&gt;='1-Input'!$C$12,'1-Input'!$B$13,0))))*(1/(1-'P-Parametri'!$B$6*AK567))),MAX(0,0*AK561-(AO566-MIN(MAX(AO566,0),MAX(0,AK561-IF($A567&gt;='1-Input'!$C$12,'1-Input'!$B$13,0)))))*(1/(1-'P-Parametri'!$B$6*AK567))))</f>
        <v>21066.627541240967</v>
      </c>
      <c r="AM567" s="18">
        <f>IF($A567&gt;'1-Input'!$B$26,AO566,(AO566-MAX(0,AK561-IF($A567&gt;='1-Input'!$C$12,'1-Input'!$B$13,0))+AL567*(1-'P-Parametri'!$B$6*AK567))*(1+'1-Input'!$B$27))</f>
        <v>3.6248820833861826E-12</v>
      </c>
      <c r="AN567" s="18">
        <f>IF($A567&gt;'1-Input'!$B$26,AP566,(AP566-AL567)*(1+'5-Roberta'!$C$4))</f>
        <v>401400.38868870965</v>
      </c>
      <c r="AO567" s="18">
        <f>IF($A567&gt;'1-Input'!$B$26,AM567,AM567-'P-Parametri'!$B$8*(AN567+AM567)+MIN(MAX(AN567,0),'P-Parametri'!$B$8*(AN567+AM567)))</f>
        <v>3.637978807091713E-12</v>
      </c>
      <c r="AP567" s="18">
        <f>IF($A567&gt;'1-Input'!$B$26,AN567,AN567-MIN(MAX(AN567,0),'P-Parametri'!$B$8*(AN567+AM567)))</f>
        <v>400597.5879113322</v>
      </c>
      <c r="AQ567" s="18">
        <f>IF($A567&gt;'1-Input'!$B$26,AQ566,AQ566-AL567*(1-AK567))</f>
        <v>281161.4553885755</v>
      </c>
    </row>
    <row r="568" spans="1:43">
      <c r="A568" s="10">
        <f>5</f>
        <v>5</v>
      </c>
      <c r="B568" s="11">
        <f>IF($A568&gt;'1-Input'!$B$26,0,IF(G567&lt;=0,0,MAX(0,(G567-H567)/G567)))</f>
        <v>0.29814491181907116</v>
      </c>
      <c r="C568" s="18">
        <f>IF($A568&gt;'1-Input'!$B$26,0,(MAX(0,B561-IF($A568&gt;='1-Input'!$C$12,'1-Input'!$B$13,0))-MIN(MAX(F567,0),MAX(0,B561-IF($A568&gt;='1-Input'!$C$12,'1-Input'!$B$13,0))))*(1/(1-'P-Parametri'!$B$6*B568))+MIN(MAX(0,G567-(MAX(0,B561-IF($A568&gt;='1-Input'!$C$12,'1-Input'!$B$13,0))-MIN(MAX(F567,0),MAX(0,B561-IF($A568&gt;='1-Input'!$C$12,'1-Input'!$B$13,0))))*(1/(1-'P-Parametri'!$B$6*B568))),MAX(0,0*B561-(F567-MIN(MAX(F567,0),MAX(0,B561-IF($A568&gt;='1-Input'!$C$12,'1-Input'!$B$13,0)))))*(1/(1-'P-Parametri'!$B$6*B568))))</f>
        <v>18082.791290457168</v>
      </c>
      <c r="D568" s="18">
        <f>IF($A568&gt;'1-Input'!$B$26,F567,(F567-MAX(0,B561-IF($A568&gt;='1-Input'!$C$12,'1-Input'!$B$13,0))+C568*(1-'P-Parametri'!$B$6*B568))*(1+'1-Input'!$B$27))</f>
        <v>0</v>
      </c>
      <c r="E568" s="18">
        <f>IF($A568&gt;'1-Input'!$B$26,G567,(G567-C568)*(1+'5-Roberta'!$C$4))</f>
        <v>407486.91751273116</v>
      </c>
      <c r="F568" s="18">
        <f>IF($A568&gt;'1-Input'!$B$26,D568,D568-'P-Parametri'!$B$8*(E568+D568)+MIN(MAX(E568,0),'P-Parametri'!$B$8*(E568+D568)))</f>
        <v>0</v>
      </c>
      <c r="G568" s="18">
        <f>IF($A568&gt;'1-Input'!$B$26,E568,E568-MIN(MAX(E568,0),'P-Parametri'!$B$8*(E568+D568)))</f>
        <v>406671.94367770571</v>
      </c>
      <c r="H568" s="18">
        <f>IF($A568&gt;'1-Input'!$B$26,H567,H567-C568*(1-B568))</f>
        <v>277666.76351793477</v>
      </c>
      <c r="I568" s="11">
        <f>IF($A568&gt;'1-Input'!$B$26,0,IF(N567&lt;=0,0,MAX(0,(N567-O567)/N567)))</f>
        <v>0.29814491181907116</v>
      </c>
      <c r="J568" s="18">
        <f>IF($A568&gt;'1-Input'!$B$26,0,(MAX(0,I561-IF($A568&gt;='1-Input'!$C$12,'1-Input'!$B$13,0))-MIN(MAX(M567,0),MAX(0,I561-IF($A568&gt;='1-Input'!$C$12,'1-Input'!$B$13,0))))*(1/(1-'P-Parametri'!$B$6*I568))+MIN(MAX(0,N567-(MAX(0,I561-IF($A568&gt;='1-Input'!$C$12,'1-Input'!$B$13,0))-MIN(MAX(M567,0),MAX(0,I561-IF($A568&gt;='1-Input'!$C$12,'1-Input'!$B$13,0))))*(1/(1-'P-Parametri'!$B$6*I568))),MAX(0,0*I561-(M567-MIN(MAX(M567,0),MAX(0,I561-IF($A568&gt;='1-Input'!$C$12,'1-Input'!$B$13,0)))))*(1/(1-'P-Parametri'!$B$6*I568))))</f>
        <v>23793.146434812061</v>
      </c>
      <c r="K568" s="18">
        <f>IF($A568&gt;'1-Input'!$B$26,M567,(M567-MAX(0,I561-IF($A568&gt;='1-Input'!$C$12,'1-Input'!$B$13,0))+J568*(1-'P-Parametri'!$B$6*I568))*(1+'1-Input'!$B$27))</f>
        <v>-3.6248820833861826E-12</v>
      </c>
      <c r="L568" s="18">
        <f>IF($A568&gt;'1-Input'!$B$26,N567,(N567-J568)*(1+'5-Roberta'!$C$4))</f>
        <v>376745.87376329425</v>
      </c>
      <c r="M568" s="18">
        <f>IF($A568&gt;'1-Input'!$B$26,K568,K568-'P-Parametri'!$B$8*(L568+K568)+MIN(MAX(L568,0),'P-Parametri'!$B$8*(L568+K568)))</f>
        <v>-3.637978807091713E-12</v>
      </c>
      <c r="N568" s="18">
        <f>IF($A568&gt;'1-Input'!$B$26,L568,L568-MIN(MAX(L568,0),'P-Parametri'!$B$8*(L568+K568)))</f>
        <v>375992.38201576768</v>
      </c>
      <c r="O568" s="18">
        <f>IF($A568&gt;'1-Input'!$B$26,O567,O567-J568*(1-I568))</f>
        <v>256719.42568149316</v>
      </c>
      <c r="P568" s="11">
        <f>IF($A568&gt;'1-Input'!$B$26,0,IF(U567&lt;=0,0,MAX(0,(U567-V567)/U567)))</f>
        <v>0.29814491181907127</v>
      </c>
      <c r="Q568" s="18">
        <f>IF($A568&gt;'1-Input'!$B$26,0,(MAX(0,P561-IF($A568&gt;='1-Input'!$C$12,'1-Input'!$B$13,0))-MIN(MAX(T567,0),MAX(0,P561-IF($A568&gt;='1-Input'!$C$12,'1-Input'!$B$13,0))))*(1/(1-'P-Parametri'!$B$6*P568))+MIN(MAX(0,U567-(MAX(0,P561-IF($A568&gt;='1-Input'!$C$12,'1-Input'!$B$13,0))-MIN(MAX(T567,0),MAX(0,P561-IF($A568&gt;='1-Input'!$C$12,'1-Input'!$B$13,0))))*(1/(1-'P-Parametri'!$B$6*P568))),MAX(0,0*P561-(T567-MIN(MAX(T567,0),MAX(0,P561-IF($A568&gt;='1-Input'!$C$12,'1-Input'!$B$13,0)))))*(1/(1-'P-Parametri'!$B$6*P568))))</f>
        <v>21456.197269655342</v>
      </c>
      <c r="R568" s="18">
        <f>IF($A568&gt;'1-Input'!$B$26,T567,(T567-MAX(0,P561-IF($A568&gt;='1-Input'!$C$12,'1-Input'!$B$13,0))+Q568*(1-'P-Parametri'!$B$6*P568))*(1+'1-Input'!$B$27))</f>
        <v>0</v>
      </c>
      <c r="S568" s="18">
        <f>IF($A568&gt;'1-Input'!$B$26,U567,(U567-Q568)*(1+'5-Roberta'!$C$4))</f>
        <v>389326.57228557655</v>
      </c>
      <c r="T568" s="18">
        <f>IF($A568&gt;'1-Input'!$B$26,R568,R568-'P-Parametri'!$B$8*(S568+R568)+MIN(MAX(S568,0),'P-Parametri'!$B$8*(S568+R568)))</f>
        <v>0</v>
      </c>
      <c r="U568" s="18">
        <f>IF($A568&gt;'1-Input'!$B$26,S568,S568-MIN(MAX(S568,0),'P-Parametri'!$B$8*(S568+R568)))</f>
        <v>388547.91914100538</v>
      </c>
      <c r="V568" s="18">
        <f>IF($A568&gt;'1-Input'!$B$26,V567,V567-Q568*(1-P568))</f>
        <v>265292.07351715735</v>
      </c>
      <c r="W568" s="11">
        <f>IF($A568&gt;'1-Input'!$B$26,0,IF(AB567&lt;=0,0,MAX(0,(AB567-AC567)/AB567)))</f>
        <v>0.29814491181907127</v>
      </c>
      <c r="X568" s="18">
        <f>IF($A568&gt;'1-Input'!$B$26,0,(MAX(0,W561-IF($A568&gt;='1-Input'!$C$12,'1-Input'!$B$13,0))-MIN(MAX(AA567,0),MAX(0,W561-IF($A568&gt;='1-Input'!$C$12,'1-Input'!$B$13,0))))*(1/(1-'P-Parametri'!$B$6*W568))+MIN(MAX(0,AB567-(MAX(0,W561-IF($A568&gt;='1-Input'!$C$12,'1-Input'!$B$13,0))-MIN(MAX(AA567,0),MAX(0,W561-IF($A568&gt;='1-Input'!$C$12,'1-Input'!$B$13,0))))*(1/(1-'P-Parametri'!$B$6*W568))),MAX(0,0*W561-(AA567-MIN(MAX(AA567,0),MAX(0,W561-IF($A568&gt;='1-Input'!$C$12,'1-Input'!$B$13,0)))))*(1/(1-'P-Parametri'!$B$6*W568))))</f>
        <v>21167.538052495282</v>
      </c>
      <c r="Y568" s="18">
        <f>IF($A568&gt;'1-Input'!$B$26,AA567,(AA567-MAX(0,W561-IF($A568&gt;='1-Input'!$C$12,'1-Input'!$B$13,0))+X568*(1-'P-Parametri'!$B$6*W568))*(1+'1-Input'!$B$27))</f>
        <v>0</v>
      </c>
      <c r="Z568" s="18">
        <f>IF($A568&gt;'1-Input'!$B$26,AB567,(AB567-X568)*(1+'5-Roberta'!$C$4))</f>
        <v>390880.53616331686</v>
      </c>
      <c r="AA568" s="18">
        <f>IF($A568&gt;'1-Input'!$B$26,Y568,Y568-'P-Parametri'!$B$8*(Z568+Y568)+MIN(MAX(Z568,0),'P-Parametri'!$B$8*(Z568+Y568)))</f>
        <v>0</v>
      </c>
      <c r="AB568" s="18">
        <f>IF($A568&gt;'1-Input'!$B$26,Z568,Z568-MIN(MAX(Z568,0),'P-Parametri'!$B$8*(Z568+Y568)))</f>
        <v>390098.77509099024</v>
      </c>
      <c r="AC568" s="18">
        <f>IF($A568&gt;'1-Input'!$B$26,AC567,AC567-X568*(1-W568))</f>
        <v>266350.9642496247</v>
      </c>
      <c r="AD568" s="11">
        <f>IF($A568&gt;'1-Input'!$B$26,0,IF(AI567&lt;=0,0,MAX(0,(AI567-AJ567)/AI567)))</f>
        <v>0.29814491181907138</v>
      </c>
      <c r="AE568" s="18">
        <f>IF($A568&gt;'1-Input'!$B$26,0,(MAX(0,AD561-IF($A568&gt;='1-Input'!$C$12,'1-Input'!$B$13,0))-MIN(MAX(AH567,0),MAX(0,AD561-IF($A568&gt;='1-Input'!$C$12,'1-Input'!$B$13,0))))*(1/(1-'P-Parametri'!$B$6*AD568))+MIN(MAX(0,AI567-(MAX(0,AD561-IF($A568&gt;='1-Input'!$C$12,'1-Input'!$B$13,0))-MIN(MAX(AH567,0),MAX(0,AD561-IF($A568&gt;='1-Input'!$C$12,'1-Input'!$B$13,0))))*(1/(1-'P-Parametri'!$B$6*AD568))),MAX(0,0*AD561-(AH567-MIN(MAX(AH567,0),MAX(0,AD561-IF($A568&gt;='1-Input'!$C$12,'1-Input'!$B$13,0)))))*(1/(1-'P-Parametri'!$B$6*AD568))))</f>
        <v>21185.346119627648</v>
      </c>
      <c r="AF568" s="18">
        <f>IF($A568&gt;'1-Input'!$B$26,AH567,(AH567-MAX(0,AD561-IF($A568&gt;='1-Input'!$C$12,'1-Input'!$B$13,0))+AE568*(1-'P-Parametri'!$B$6*AD568))*(1+'1-Input'!$B$27))</f>
        <v>0</v>
      </c>
      <c r="AG568" s="18">
        <f>IF($A568&gt;'1-Input'!$B$26,AI567,(AI567-AE568)*(1+'5-Roberta'!$C$4))</f>
        <v>390784.66847085813</v>
      </c>
      <c r="AH568" s="18">
        <f>IF($A568&gt;'1-Input'!$B$26,AF568,AF568-'P-Parametri'!$B$8*(AG568+AF568)+MIN(MAX(AG568,0),'P-Parametri'!$B$8*(AG568+AF568)))</f>
        <v>0</v>
      </c>
      <c r="AI568" s="18">
        <f>IF($A568&gt;'1-Input'!$B$26,AG568,AG568-MIN(MAX(AG568,0),'P-Parametri'!$B$8*(AG568+AF568)))</f>
        <v>390003.09913391643</v>
      </c>
      <c r="AJ568" s="18">
        <f>IF($A568&gt;'1-Input'!$B$26,AJ567,AJ567-AE568*(1-AD568))</f>
        <v>266285.63878579525</v>
      </c>
      <c r="AK568" s="11">
        <f>IF($A568&gt;'1-Input'!$B$26,0,IF(AP567&lt;=0,0,MAX(0,(AP567-AQ567)/AP567)))</f>
        <v>0.29814491181907105</v>
      </c>
      <c r="AL568" s="18">
        <f>IF($A568&gt;'1-Input'!$B$26,0,(MAX(0,AK561-IF($A568&gt;='1-Input'!$C$12,'1-Input'!$B$13,0))-MIN(MAX(AO567,0),MAX(0,AK561-IF($A568&gt;='1-Input'!$C$12,'1-Input'!$B$13,0))))*(1/(1-'P-Parametri'!$B$6*AK568))+MIN(MAX(0,AP567-(MAX(0,AK561-IF($A568&gt;='1-Input'!$C$12,'1-Input'!$B$13,0))-MIN(MAX(AO567,0),MAX(0,AK561-IF($A568&gt;='1-Input'!$C$12,'1-Input'!$B$13,0))))*(1/(1-'P-Parametri'!$B$6*AK568))),MAX(0,0*AK561-(AO567-MIN(MAX(AO567,0),MAX(0,AK561-IF($A568&gt;='1-Input'!$C$12,'1-Input'!$B$13,0)))))*(1/(1-'P-Parametri'!$B$6*AK568))))</f>
        <v>21183.062707250854</v>
      </c>
      <c r="AM568" s="18">
        <f>IF($A568&gt;'1-Input'!$B$26,AO567,(AO567-MAX(0,AK561-IF($A568&gt;='1-Input'!$C$12,'1-Input'!$B$13,0))+AL568*(1-'P-Parametri'!$B$6*AK568))*(1+'1-Input'!$B$27))</f>
        <v>0</v>
      </c>
      <c r="AN568" s="18">
        <f>IF($A568&gt;'1-Input'!$B$26,AP567,(AP567-AL568)*(1+'5-Roberta'!$C$4))</f>
        <v>390796.96096020378</v>
      </c>
      <c r="AO568" s="18">
        <f>IF($A568&gt;'1-Input'!$B$26,AM568,AM568-'P-Parametri'!$B$8*(AN568+AM568)+MIN(MAX(AN568,0),'P-Parametri'!$B$8*(AN568+AM568)))</f>
        <v>0</v>
      </c>
      <c r="AP568" s="18">
        <f>IF($A568&gt;'1-Input'!$B$26,AN568,AN568-MIN(MAX(AN568,0),'P-Parametri'!$B$8*(AN568+AM568)))</f>
        <v>390015.36703828338</v>
      </c>
      <c r="AQ568" s="18">
        <f>IF($A568&gt;'1-Input'!$B$26,AQ567,AQ567-AL568*(1-AK568))</f>
        <v>266294.0150442358</v>
      </c>
    </row>
    <row r="569" spans="1:43">
      <c r="A569" s="10">
        <f>6</f>
        <v>6</v>
      </c>
      <c r="B569" s="11">
        <f>IF($A569&gt;'1-Input'!$B$26,0,IF(G568&lt;=0,0,MAX(0,(G568-H568)/G568)))</f>
        <v>0.31722173650122687</v>
      </c>
      <c r="C569" s="18">
        <f>IF($A569&gt;'1-Input'!$B$26,0,(MAX(0,B561-IF($A569&gt;='1-Input'!$C$12,'1-Input'!$B$13,0))-MIN(MAX(F568,0),MAX(0,B561-IF($A569&gt;='1-Input'!$C$12,'1-Input'!$B$13,0))))*(1/(1-'P-Parametri'!$B$6*B569))+MIN(MAX(0,G568-(MAX(0,B561-IF($A569&gt;='1-Input'!$C$12,'1-Input'!$B$13,0))-MIN(MAX(F568,0),MAX(0,B561-IF($A569&gt;='1-Input'!$C$12,'1-Input'!$B$13,0))))*(1/(1-'P-Parametri'!$B$6*B569))),MAX(0,0*B561-(F568-MIN(MAX(F568,0),MAX(0,B561-IF($A569&gt;='1-Input'!$C$12,'1-Input'!$B$13,0)))))*(1/(1-'P-Parametri'!$B$6*B569))))</f>
        <v>18180.543876365096</v>
      </c>
      <c r="D569" s="18">
        <f>IF($A569&gt;'1-Input'!$B$26,F568,(F568-MAX(0,B561-IF($A569&gt;='1-Input'!$C$12,'1-Input'!$B$13,0))+C569*(1-'P-Parametri'!$B$6*B569))*(1+'1-Input'!$B$27))</f>
        <v>0</v>
      </c>
      <c r="E569" s="18">
        <f>IF($A569&gt;'1-Input'!$B$26,G568,(G568-C569)*(1+'5-Roberta'!$C$4))</f>
        <v>400146.1417953808</v>
      </c>
      <c r="F569" s="18">
        <f>IF($A569&gt;'1-Input'!$B$26,D569,D569-'P-Parametri'!$B$8*(E569+D569)+MIN(MAX(E569,0),'P-Parametri'!$B$8*(E569+D569)))</f>
        <v>0</v>
      </c>
      <c r="G569" s="18">
        <f>IF($A569&gt;'1-Input'!$B$26,E569,E569-MIN(MAX(E569,0),'P-Parametri'!$B$8*(E569+D569)))</f>
        <v>399345.84951179003</v>
      </c>
      <c r="H569" s="18">
        <f>IF($A569&gt;'1-Input'!$B$26,H568,H568-C569*(1-B569))</f>
        <v>265253.48334056698</v>
      </c>
      <c r="I569" s="11">
        <f>IF($A569&gt;'1-Input'!$B$26,0,IF(N568&lt;=0,0,MAX(0,(N568-O568)/N568)))</f>
        <v>0.31722173650122698</v>
      </c>
      <c r="J569" s="18">
        <f>IF($A569&gt;'1-Input'!$B$26,0,(MAX(0,I561-IF($A569&gt;='1-Input'!$C$12,'1-Input'!$B$13,0))-MIN(MAX(M568,0),MAX(0,I561-IF($A569&gt;='1-Input'!$C$12,'1-Input'!$B$13,0))))*(1/(1-'P-Parametri'!$B$6*I569))+MIN(MAX(0,N568-(MAX(0,I561-IF($A569&gt;='1-Input'!$C$12,'1-Input'!$B$13,0))-MIN(MAX(M568,0),MAX(0,I561-IF($A569&gt;='1-Input'!$C$12,'1-Input'!$B$13,0))))*(1/(1-'P-Parametri'!$B$6*I569))),MAX(0,0*I561-(M568-MIN(MAX(M568,0),MAX(0,I561-IF($A569&gt;='1-Input'!$C$12,'1-Input'!$B$13,0)))))*(1/(1-'P-Parametri'!$B$6*I569))))</f>
        <v>23921.768258375134</v>
      </c>
      <c r="K569" s="18">
        <f>IF($A569&gt;'1-Input'!$B$26,M568,(M568-MAX(0,I561-IF($A569&gt;='1-Input'!$C$12,'1-Input'!$B$13,0))+J569*(1-'P-Parametri'!$B$6*I569))*(1+'1-Input'!$B$27))</f>
        <v>0</v>
      </c>
      <c r="L569" s="18">
        <f>IF($A569&gt;'1-Input'!$B$26,N568,(N568-J569)*(1+'5-Roberta'!$C$4))</f>
        <v>362632.73217011435</v>
      </c>
      <c r="M569" s="18">
        <f>IF($A569&gt;'1-Input'!$B$26,K569,K569-'P-Parametri'!$B$8*(L569+K569)+MIN(MAX(L569,0),'P-Parametri'!$B$8*(L569+K569)))</f>
        <v>0</v>
      </c>
      <c r="N569" s="18">
        <f>IF($A569&gt;'1-Input'!$B$26,L569,L569-MIN(MAX(L569,0),'P-Parametri'!$B$8*(L569+K569)))</f>
        <v>361907.46670577413</v>
      </c>
      <c r="O569" s="18">
        <f>IF($A569&gt;'1-Input'!$B$26,O568,O568-J569*(1-I569))</f>
        <v>240386.16229021971</v>
      </c>
      <c r="P569" s="11">
        <f>IF($A569&gt;'1-Input'!$B$26,0,IF(U568&lt;=0,0,MAX(0,(U568-V568)/U568)))</f>
        <v>0.31722173650122693</v>
      </c>
      <c r="Q569" s="18">
        <f>IF($A569&gt;'1-Input'!$B$26,0,(MAX(0,P561-IF($A569&gt;='1-Input'!$C$12,'1-Input'!$B$13,0))-MIN(MAX(T568,0),MAX(0,P561-IF($A569&gt;='1-Input'!$C$12,'1-Input'!$B$13,0))))*(1/(1-'P-Parametri'!$B$6*P569))+MIN(MAX(0,U568-(MAX(0,P561-IF($A569&gt;='1-Input'!$C$12,'1-Input'!$B$13,0))-MIN(MAX(T568,0),MAX(0,P561-IF($A569&gt;='1-Input'!$C$12,'1-Input'!$B$13,0))))*(1/(1-'P-Parametri'!$B$6*P569))),MAX(0,0*P561-(T568-MIN(MAX(T568,0),MAX(0,P561-IF($A569&gt;='1-Input'!$C$12,'1-Input'!$B$13,0)))))*(1/(1-'P-Parametri'!$B$6*P569))))</f>
        <v>21572.185931647276</v>
      </c>
      <c r="R569" s="18">
        <f>IF($A569&gt;'1-Input'!$B$26,T568,(T568-MAX(0,P561-IF($A569&gt;='1-Input'!$C$12,'1-Input'!$B$13,0))+Q569*(1-'P-Parametri'!$B$6*P569))*(1+'1-Input'!$B$27))</f>
        <v>0</v>
      </c>
      <c r="S569" s="18">
        <f>IF($A569&gt;'1-Input'!$B$26,U568,(U568-Q569)*(1+'5-Roberta'!$C$4))</f>
        <v>377985.00520563888</v>
      </c>
      <c r="T569" s="18">
        <f>IF($A569&gt;'1-Input'!$B$26,R569,R569-'P-Parametri'!$B$8*(S569+R569)+MIN(MAX(S569,0),'P-Parametri'!$B$8*(S569+R569)))</f>
        <v>0</v>
      </c>
      <c r="U569" s="18">
        <f>IF($A569&gt;'1-Input'!$B$26,S569,S569-MIN(MAX(S569,0),'P-Parametri'!$B$8*(S569+R569)))</f>
        <v>377229.0351952276</v>
      </c>
      <c r="V569" s="18">
        <f>IF($A569&gt;'1-Input'!$B$26,V568,V568-Q569*(1-P569))</f>
        <v>250563.05386687454</v>
      </c>
      <c r="W569" s="11">
        <f>IF($A569&gt;'1-Input'!$B$26,0,IF(AB568&lt;=0,0,MAX(0,(AB568-AC568)/AB568)))</f>
        <v>0.31722173650122704</v>
      </c>
      <c r="X569" s="18">
        <f>IF($A569&gt;'1-Input'!$B$26,0,(MAX(0,W561-IF($A569&gt;='1-Input'!$C$12,'1-Input'!$B$13,0))-MIN(MAX(AA568,0),MAX(0,W561-IF($A569&gt;='1-Input'!$C$12,'1-Input'!$B$13,0))))*(1/(1-'P-Parametri'!$B$6*W569))+MIN(MAX(0,AB568-(MAX(0,W561-IF($A569&gt;='1-Input'!$C$12,'1-Input'!$B$13,0))-MIN(MAX(AA568,0),MAX(0,W561-IF($A569&gt;='1-Input'!$C$12,'1-Input'!$B$13,0))))*(1/(1-'P-Parametri'!$B$6*W569))),MAX(0,0*W561-(AA568-MIN(MAX(AA568,0),MAX(0,W561-IF($A569&gt;='1-Input'!$C$12,'1-Input'!$B$13,0)))))*(1/(1-'P-Parametri'!$B$6*W569))))</f>
        <v>21281.966270390374</v>
      </c>
      <c r="Y569" s="18">
        <f>IF($A569&gt;'1-Input'!$B$26,AA568,(AA568-MAX(0,W561-IF($A569&gt;='1-Input'!$C$12,'1-Input'!$B$13,0))+X569*(1-'P-Parametri'!$B$6*W569))*(1+'1-Input'!$B$27))</f>
        <v>0</v>
      </c>
      <c r="Z569" s="18">
        <f>IF($A569&gt;'1-Input'!$B$26,AB568,(AB568-X569)*(1+'5-Roberta'!$C$4))</f>
        <v>379881.31308521784</v>
      </c>
      <c r="AA569" s="18">
        <f>IF($A569&gt;'1-Input'!$B$26,Y569,Y569-'P-Parametri'!$B$8*(Z569+Y569)+MIN(MAX(Z569,0),'P-Parametri'!$B$8*(Z569+Y569)))</f>
        <v>0</v>
      </c>
      <c r="AB569" s="18">
        <f>IF($A569&gt;'1-Input'!$B$26,Z569,Z569-MIN(MAX(Z569,0),'P-Parametri'!$B$8*(Z569+Y569)))</f>
        <v>379121.55045904743</v>
      </c>
      <c r="AC569" s="18">
        <f>IF($A569&gt;'1-Input'!$B$26,AC568,AC568-X569*(1-W569))</f>
        <v>251820.10027568811</v>
      </c>
      <c r="AD569" s="11">
        <f>IF($A569&gt;'1-Input'!$B$26,0,IF(AI568&lt;=0,0,MAX(0,(AI568-AJ568)/AI568)))</f>
        <v>0.31722173650122709</v>
      </c>
      <c r="AE569" s="18">
        <f>IF($A569&gt;'1-Input'!$B$26,0,(MAX(0,AD561-IF($A569&gt;='1-Input'!$C$12,'1-Input'!$B$13,0))-MIN(MAX(AH568,0),MAX(0,AD561-IF($A569&gt;='1-Input'!$C$12,'1-Input'!$B$13,0))))*(1/(1-'P-Parametri'!$B$6*AD569))+MIN(MAX(0,AI568-(MAX(0,AD561-IF($A569&gt;='1-Input'!$C$12,'1-Input'!$B$13,0))-MIN(MAX(AH568,0),MAX(0,AD561-IF($A569&gt;='1-Input'!$C$12,'1-Input'!$B$13,0))))*(1/(1-'P-Parametri'!$B$6*AD569))),MAX(0,0*AD561-(AH568-MIN(MAX(AH568,0),MAX(0,AD561-IF($A569&gt;='1-Input'!$C$12,'1-Input'!$B$13,0)))))*(1/(1-'P-Parametri'!$B$6*AD569))))</f>
        <v>21299.87060499518</v>
      </c>
      <c r="AF569" s="18">
        <f>IF($A569&gt;'1-Input'!$B$26,AH568,(AH568-MAX(0,AD561-IF($A569&gt;='1-Input'!$C$12,'1-Input'!$B$13,0))+AE569*(1-'P-Parametri'!$B$6*AD569))*(1+'1-Input'!$B$27))</f>
        <v>0</v>
      </c>
      <c r="AG569" s="18">
        <f>IF($A569&gt;'1-Input'!$B$26,AI568,(AI568-AE569)*(1+'5-Roberta'!$C$4))</f>
        <v>379764.32538478891</v>
      </c>
      <c r="AH569" s="18">
        <f>IF($A569&gt;'1-Input'!$B$26,AF569,AF569-'P-Parametri'!$B$8*(AG569+AF569)+MIN(MAX(AG569,0),'P-Parametri'!$B$8*(AG569+AF569)))</f>
        <v>0</v>
      </c>
      <c r="AI569" s="18">
        <f>IF($A569&gt;'1-Input'!$B$26,AG569,AG569-MIN(MAX(AG569,0),'P-Parametri'!$B$8*(AG569+AF569)))</f>
        <v>379004.79673401936</v>
      </c>
      <c r="AJ569" s="18">
        <f>IF($A569&gt;'1-Input'!$B$26,AJ568,AJ568-AE569*(1-AD569))</f>
        <v>251742.55012136808</v>
      </c>
      <c r="AK569" s="11">
        <f>IF($A569&gt;'1-Input'!$B$26,0,IF(AP568&lt;=0,0,MAX(0,(AP568-AQ568)/AP568)))</f>
        <v>0.31722173650122681</v>
      </c>
      <c r="AL569" s="18">
        <f>IF($A569&gt;'1-Input'!$B$26,0,(MAX(0,AK561-IF($A569&gt;='1-Input'!$C$12,'1-Input'!$B$13,0))-MIN(MAX(AO568,0),MAX(0,AK561-IF($A569&gt;='1-Input'!$C$12,'1-Input'!$B$13,0))))*(1/(1-'P-Parametri'!$B$6*AK569))+MIN(MAX(0,AP568-(MAX(0,AK561-IF($A569&gt;='1-Input'!$C$12,'1-Input'!$B$13,0))-MIN(MAX(AO568,0),MAX(0,AK561-IF($A569&gt;='1-Input'!$C$12,'1-Input'!$B$13,0))))*(1/(1-'P-Parametri'!$B$6*AK569))),MAX(0,0*AK561-(AO568-MIN(MAX(AO568,0),MAX(0,AK561-IF($A569&gt;='1-Input'!$C$12,'1-Input'!$B$13,0)))))*(1/(1-'P-Parametri'!$B$6*AK569))))</f>
        <v>21297.574848867866</v>
      </c>
      <c r="AM569" s="18">
        <f>IF($A569&gt;'1-Input'!$B$26,AO568,(AO568-MAX(0,AK561-IF($A569&gt;='1-Input'!$C$12,'1-Input'!$B$13,0))+AL569*(1-'P-Parametri'!$B$6*AK569))*(1+'1-Input'!$B$27))</f>
        <v>3.6248820833861826E-12</v>
      </c>
      <c r="AN569" s="18">
        <f>IF($A569&gt;'1-Input'!$B$26,AP568,(AP568-AL569)*(1+'5-Roberta'!$C$4))</f>
        <v>379779.32595509803</v>
      </c>
      <c r="AO569" s="18">
        <f>IF($A569&gt;'1-Input'!$B$26,AM569,AM569-'P-Parametri'!$B$8*(AN569+AM569)+MIN(MAX(AN569,0),'P-Parametri'!$B$8*(AN569+AM569)))</f>
        <v>3.637978807091713E-12</v>
      </c>
      <c r="AP569" s="18">
        <f>IF($A569&gt;'1-Input'!$B$26,AN569,AN569-MIN(MAX(AN569,0),'P-Parametri'!$B$8*(AN569+AM569)))</f>
        <v>379019.76730318781</v>
      </c>
      <c r="AQ569" s="18">
        <f>IF($A569&gt;'1-Input'!$B$26,AQ568,AQ568-AL569*(1-AK569))</f>
        <v>251752.49387219065</v>
      </c>
    </row>
    <row r="570" spans="1:43">
      <c r="A570" s="10">
        <f>7</f>
        <v>7</v>
      </c>
      <c r="B570" s="11">
        <f>IF($A570&gt;'1-Input'!$B$26,0,IF(G569&lt;=0,0,MAX(0,(G569-H569)/G569)))</f>
        <v>0.33578004212427454</v>
      </c>
      <c r="C570" s="18">
        <f>IF($A570&gt;'1-Input'!$B$26,0,(MAX(0,B561-IF($A570&gt;='1-Input'!$C$12,'1-Input'!$B$13,0))-MIN(MAX(F569,0),MAX(0,B561-IF($A570&gt;='1-Input'!$C$12,'1-Input'!$B$13,0))))*(1/(1-'P-Parametri'!$B$6*B570))+MIN(MAX(0,G569-(MAX(0,B561-IF($A570&gt;='1-Input'!$C$12,'1-Input'!$B$13,0))-MIN(MAX(F569,0),MAX(0,B561-IF($A570&gt;='1-Input'!$C$12,'1-Input'!$B$13,0))))*(1/(1-'P-Parametri'!$B$6*B570))),MAX(0,0*B561-(F569-MIN(MAX(F569,0),MAX(0,B561-IF($A570&gt;='1-Input'!$C$12,'1-Input'!$B$13,0)))))*(1/(1-'P-Parametri'!$B$6*B570))))</f>
        <v>18276.659022069383</v>
      </c>
      <c r="D570" s="18">
        <f>IF($A570&gt;'1-Input'!$B$26,F569,(F569-MAX(0,B561-IF($A570&gt;='1-Input'!$C$12,'1-Input'!$B$13,0))+C570*(1-'P-Parametri'!$B$6*B570))*(1+'1-Input'!$B$27))</f>
        <v>0</v>
      </c>
      <c r="E570" s="18">
        <f>IF($A570&gt;'1-Input'!$B$26,G569,(G569-C570)*(1+'5-Roberta'!$C$4))</f>
        <v>392501.26620441233</v>
      </c>
      <c r="F570" s="18">
        <f>IF($A570&gt;'1-Input'!$B$26,D570,D570-'P-Parametri'!$B$8*(E570+D570)+MIN(MAX(E570,0),'P-Parametri'!$B$8*(E570+D570)))</f>
        <v>0</v>
      </c>
      <c r="G570" s="18">
        <f>IF($A570&gt;'1-Input'!$B$26,E570,E570-MIN(MAX(E570,0),'P-Parametri'!$B$8*(E570+D570)))</f>
        <v>391716.26367200352</v>
      </c>
      <c r="H570" s="18">
        <f>IF($A570&gt;'1-Input'!$B$26,H569,H569-C570*(1-B570))</f>
        <v>253113.76165481904</v>
      </c>
      <c r="I570" s="11">
        <f>IF($A570&gt;'1-Input'!$B$26,0,IF(N569&lt;=0,0,MAX(0,(N569-O569)/N569)))</f>
        <v>0.33578004212427481</v>
      </c>
      <c r="J570" s="18">
        <f>IF($A570&gt;'1-Input'!$B$26,0,(MAX(0,I561-IF($A570&gt;='1-Input'!$C$12,'1-Input'!$B$13,0))-MIN(MAX(M569,0),MAX(0,I561-IF($A570&gt;='1-Input'!$C$12,'1-Input'!$B$13,0))))*(1/(1-'P-Parametri'!$B$6*I570))+MIN(MAX(0,N569-(MAX(0,I561-IF($A570&gt;='1-Input'!$C$12,'1-Input'!$B$13,0))-MIN(MAX(M569,0),MAX(0,I561-IF($A570&gt;='1-Input'!$C$12,'1-Input'!$B$13,0))))*(1/(1-'P-Parametri'!$B$6*I570))),MAX(0,0*I561-(M569-MIN(MAX(M569,0),MAX(0,I561-IF($A570&gt;='1-Input'!$C$12,'1-Input'!$B$13,0)))))*(1/(1-'P-Parametri'!$B$6*I570))))</f>
        <v>24048.235555354455</v>
      </c>
      <c r="K570" s="18">
        <f>IF($A570&gt;'1-Input'!$B$26,M569,(M569-MAX(0,I561-IF($A570&gt;='1-Input'!$C$12,'1-Input'!$B$13,0))+J570*(1-'P-Parametri'!$B$6*I570))*(1+'1-Input'!$B$27))</f>
        <v>-3.6248820833861826E-12</v>
      </c>
      <c r="L570" s="18">
        <f>IF($A570&gt;'1-Input'!$B$26,N569,(N569-J570)*(1+'5-Roberta'!$C$4))</f>
        <v>347995.00808493228</v>
      </c>
      <c r="M570" s="18">
        <f>IF($A570&gt;'1-Input'!$B$26,K570,K570-'P-Parametri'!$B$8*(L570+K570)+MIN(MAX(L570,0),'P-Parametri'!$B$8*(L570+K570)))</f>
        <v>-3.637978807091713E-12</v>
      </c>
      <c r="N570" s="18">
        <f>IF($A570&gt;'1-Input'!$B$26,L570,L570-MIN(MAX(L570,0),'P-Parametri'!$B$8*(L570+K570)))</f>
        <v>347299.01806876244</v>
      </c>
      <c r="O570" s="18">
        <f>IF($A570&gt;'1-Input'!$B$26,O569,O569-J570*(1-I570))</f>
        <v>224412.84428265665</v>
      </c>
      <c r="P570" s="11">
        <f>IF($A570&gt;'1-Input'!$B$26,0,IF(U569&lt;=0,0,MAX(0,(U569-V569)/U569)))</f>
        <v>0.33578004212427476</v>
      </c>
      <c r="Q570" s="18">
        <f>IF($A570&gt;'1-Input'!$B$26,0,(MAX(0,P561-IF($A570&gt;='1-Input'!$C$12,'1-Input'!$B$13,0))-MIN(MAX(T569,0),MAX(0,P561-IF($A570&gt;='1-Input'!$C$12,'1-Input'!$B$13,0))))*(1/(1-'P-Parametri'!$B$6*P570))+MIN(MAX(0,U569-(MAX(0,P561-IF($A570&gt;='1-Input'!$C$12,'1-Input'!$B$13,0))-MIN(MAX(T569,0),MAX(0,P561-IF($A570&gt;='1-Input'!$C$12,'1-Input'!$B$13,0))))*(1/(1-'P-Parametri'!$B$6*P570))),MAX(0,0*P561-(T569-MIN(MAX(T569,0),MAX(0,P561-IF($A570&gt;='1-Input'!$C$12,'1-Input'!$B$13,0)))))*(1/(1-'P-Parametri'!$B$6*P570))))</f>
        <v>21686.231683417976</v>
      </c>
      <c r="R570" s="18">
        <f>IF($A570&gt;'1-Input'!$B$26,T569,(T569-MAX(0,P561-IF($A570&gt;='1-Input'!$C$12,'1-Input'!$B$13,0))+Q570*(1-'P-Parametri'!$B$6*P570))*(1+'1-Input'!$B$27))</f>
        <v>3.6248820833861826E-12</v>
      </c>
      <c r="S570" s="18">
        <f>IF($A570&gt;'1-Input'!$B$26,U569,(U569-Q570)*(1+'5-Roberta'!$C$4))</f>
        <v>366209.0876171639</v>
      </c>
      <c r="T570" s="18">
        <f>IF($A570&gt;'1-Input'!$B$26,R570,R570-'P-Parametri'!$B$8*(S570+R570)+MIN(MAX(S570,0),'P-Parametri'!$B$8*(S570+R570)))</f>
        <v>3.637978807091713E-12</v>
      </c>
      <c r="U570" s="18">
        <f>IF($A570&gt;'1-Input'!$B$26,S570,S570-MIN(MAX(S570,0),'P-Parametri'!$B$8*(S570+R570)))</f>
        <v>365476.66944192955</v>
      </c>
      <c r="V570" s="18">
        <f>IF($A570&gt;'1-Input'!$B$26,V569,V569-Q570*(1-P570))</f>
        <v>236158.62597163144</v>
      </c>
      <c r="W570" s="11">
        <f>IF($A570&gt;'1-Input'!$B$26,0,IF(AB569&lt;=0,0,MAX(0,(AB569-AC569)/AB569)))</f>
        <v>0.33578004212427481</v>
      </c>
      <c r="X570" s="18">
        <f>IF($A570&gt;'1-Input'!$B$26,0,(MAX(0,W561-IF($A570&gt;='1-Input'!$C$12,'1-Input'!$B$13,0))-MIN(MAX(AA569,0),MAX(0,W561-IF($A570&gt;='1-Input'!$C$12,'1-Input'!$B$13,0))))*(1/(1-'P-Parametri'!$B$6*W570))+MIN(MAX(0,AB569-(MAX(0,W561-IF($A570&gt;='1-Input'!$C$12,'1-Input'!$B$13,0))-MIN(MAX(AA569,0),MAX(0,W561-IF($A570&gt;='1-Input'!$C$12,'1-Input'!$B$13,0))))*(1/(1-'P-Parametri'!$B$6*W570))),MAX(0,0*W561-(AA569-MIN(MAX(AA569,0),MAX(0,W561-IF($A570&gt;='1-Input'!$C$12,'1-Input'!$B$13,0)))))*(1/(1-'P-Parametri'!$B$6*W570))))</f>
        <v>21394.477716849986</v>
      </c>
      <c r="Y570" s="18">
        <f>IF($A570&gt;'1-Input'!$B$26,AA569,(AA569-MAX(0,W561-IF($A570&gt;='1-Input'!$C$12,'1-Input'!$B$13,0))+X570*(1-'P-Parametri'!$B$6*W570))*(1+'1-Input'!$B$27))</f>
        <v>0</v>
      </c>
      <c r="Z570" s="18">
        <f>IF($A570&gt;'1-Input'!$B$26,AB569,(AB569-X570)*(1+'5-Roberta'!$C$4))</f>
        <v>368458.88492446335</v>
      </c>
      <c r="AA570" s="18">
        <f>IF($A570&gt;'1-Input'!$B$26,Y570,Y570-'P-Parametri'!$B$8*(Z570+Y570)+MIN(MAX(Z570,0),'P-Parametri'!$B$8*(Z570+Y570)))</f>
        <v>0</v>
      </c>
      <c r="AB570" s="18">
        <f>IF($A570&gt;'1-Input'!$B$26,Z570,Z570-MIN(MAX(Z570,0),'P-Parametri'!$B$8*(Z570+Y570)))</f>
        <v>367721.96715461439</v>
      </c>
      <c r="AC570" s="18">
        <f>IF($A570&gt;'1-Input'!$B$26,AC569,AC569-X570*(1-W570))</f>
        <v>237609.46118782886</v>
      </c>
      <c r="AD570" s="11">
        <f>IF($A570&gt;'1-Input'!$B$26,0,IF(AI569&lt;=0,0,MAX(0,(AI569-AJ569)/AI569)))</f>
        <v>0.33578004212427492</v>
      </c>
      <c r="AE570" s="18">
        <f>IF($A570&gt;'1-Input'!$B$26,0,(MAX(0,AD561-IF($A570&gt;='1-Input'!$C$12,'1-Input'!$B$13,0))-MIN(MAX(AH569,0),MAX(0,AD561-IF($A570&gt;='1-Input'!$C$12,'1-Input'!$B$13,0))))*(1/(1-'P-Parametri'!$B$6*AD570))+MIN(MAX(0,AI569-(MAX(0,AD561-IF($A570&gt;='1-Input'!$C$12,'1-Input'!$B$13,0))-MIN(MAX(AH569,0),MAX(0,AD561-IF($A570&gt;='1-Input'!$C$12,'1-Input'!$B$13,0))))*(1/(1-'P-Parametri'!$B$6*AD570))),MAX(0,0*AD561-(AH569-MIN(MAX(AH569,0),MAX(0,AD561-IF($A570&gt;='1-Input'!$C$12,'1-Input'!$B$13,0)))))*(1/(1-'P-Parametri'!$B$6*AD570))))</f>
        <v>21412.476706363963</v>
      </c>
      <c r="AF570" s="18">
        <f>IF($A570&gt;'1-Input'!$B$26,AH569,(AH569-MAX(0,AD561-IF($A570&gt;='1-Input'!$C$12,'1-Input'!$B$13,0))+AE570*(1-'P-Parametri'!$B$6*AD570))*(1+'1-Input'!$B$27))</f>
        <v>0</v>
      </c>
      <c r="AG570" s="18">
        <f>IF($A570&gt;'1-Input'!$B$26,AI569,(AI569-AE570)*(1+'5-Roberta'!$C$4))</f>
        <v>368320.08962848509</v>
      </c>
      <c r="AH570" s="18">
        <f>IF($A570&gt;'1-Input'!$B$26,AF570,AF570-'P-Parametri'!$B$8*(AG570+AF570)+MIN(MAX(AG570,0),'P-Parametri'!$B$8*(AG570+AF570)))</f>
        <v>0</v>
      </c>
      <c r="AI570" s="18">
        <f>IF($A570&gt;'1-Input'!$B$26,AG570,AG570-MIN(MAX(AG570,0),'P-Parametri'!$B$8*(AG570+AF570)))</f>
        <v>367583.44944922812</v>
      </c>
      <c r="AJ570" s="18">
        <f>IF($A570&gt;'1-Input'!$B$26,AJ569,AJ569-AE570*(1-AD570))</f>
        <v>237519.95574545205</v>
      </c>
      <c r="AK570" s="11">
        <f>IF($A570&gt;'1-Input'!$B$26,0,IF(AP569&lt;=0,0,MAX(0,(AP569-AQ569)/AP569)))</f>
        <v>0.33578004212427459</v>
      </c>
      <c r="AL570" s="18">
        <f>IF($A570&gt;'1-Input'!$B$26,0,(MAX(0,AK561-IF($A570&gt;='1-Input'!$C$12,'1-Input'!$B$13,0))-MIN(MAX(AO569,0),MAX(0,AK561-IF($A570&gt;='1-Input'!$C$12,'1-Input'!$B$13,0))))*(1/(1-'P-Parametri'!$B$6*AK570))+MIN(MAX(0,AP569-(MAX(0,AK561-IF($A570&gt;='1-Input'!$C$12,'1-Input'!$B$13,0))-MIN(MAX(AO569,0),MAX(0,AK561-IF($A570&gt;='1-Input'!$C$12,'1-Input'!$B$13,0))))*(1/(1-'P-Parametri'!$B$6*AK570))),MAX(0,0*AK561-(AO569-MIN(MAX(AO569,0),MAX(0,AK561-IF($A570&gt;='1-Input'!$C$12,'1-Input'!$B$13,0)))))*(1/(1-'P-Parametri'!$B$6*AK570))))</f>
        <v>21410.168813254593</v>
      </c>
      <c r="AM570" s="18">
        <f>IF($A570&gt;'1-Input'!$B$26,AO569,(AO569-MAX(0,AK561-IF($A570&gt;='1-Input'!$C$12,'1-Input'!$B$13,0))+AL570*(1-'P-Parametri'!$B$6*AK570))*(1+'1-Input'!$B$27))</f>
        <v>0</v>
      </c>
      <c r="AN570" s="18">
        <f>IF($A570&gt;'1-Input'!$B$26,AP569,(AP569-AL570)*(1+'5-Roberta'!$C$4))</f>
        <v>368337.88644463127</v>
      </c>
      <c r="AO570" s="18">
        <f>IF($A570&gt;'1-Input'!$B$26,AM570,AM570-'P-Parametri'!$B$8*(AN570+AM570)+MIN(MAX(AN570,0),'P-Parametri'!$B$8*(AN570+AM570)))</f>
        <v>0</v>
      </c>
      <c r="AP570" s="18">
        <f>IF($A570&gt;'1-Input'!$B$26,AN570,AN570-MIN(MAX(AN570,0),'P-Parametri'!$B$8*(AN570+AM570)))</f>
        <v>367601.21067174198</v>
      </c>
      <c r="AQ570" s="18">
        <f>IF($A570&gt;'1-Input'!$B$26,AQ569,AQ569-AL570*(1-AK570))</f>
        <v>237531.43244493852</v>
      </c>
    </row>
    <row r="571" spans="1:43">
      <c r="A571" s="10">
        <f>8</f>
        <v>8</v>
      </c>
      <c r="B571" s="11">
        <f>IF($A571&gt;'1-Input'!$B$26,0,IF(G570&lt;=0,0,MAX(0,(G570-H570)/G570)))</f>
        <v>0.35383392233425559</v>
      </c>
      <c r="C571" s="18">
        <f>IF($A571&gt;'1-Input'!$B$26,0,(MAX(0,B561-IF($A571&gt;='1-Input'!$C$12,'1-Input'!$B$13,0))-MIN(MAX(F570,0),MAX(0,B561-IF($A571&gt;='1-Input'!$C$12,'1-Input'!$B$13,0))))*(1/(1-'P-Parametri'!$B$6*B571))+MIN(MAX(0,G570-(MAX(0,B561-IF($A571&gt;='1-Input'!$C$12,'1-Input'!$B$13,0))-MIN(MAX(F570,0),MAX(0,B561-IF($A571&gt;='1-Input'!$C$12,'1-Input'!$B$13,0))))*(1/(1-'P-Parametri'!$B$6*B571))),MAX(0,0*B561-(F570-MIN(MAX(F570,0),MAX(0,B561-IF($A571&gt;='1-Input'!$C$12,'1-Input'!$B$13,0)))))*(1/(1-'P-Parametri'!$B$6*B571))))</f>
        <v>18371.141950272082</v>
      </c>
      <c r="D571" s="18">
        <f>IF($A571&gt;'1-Input'!$B$26,F570,(F570-MAX(0,B561-IF($A571&gt;='1-Input'!$C$12,'1-Input'!$B$13,0))+C571*(1-'P-Parametri'!$B$6*B571))*(1+'1-Input'!$B$27))</f>
        <v>0</v>
      </c>
      <c r="E571" s="18">
        <f>IF($A571&gt;'1-Input'!$B$26,G570,(G570-C571)*(1+'5-Roberta'!$C$4))</f>
        <v>384545.47537338338</v>
      </c>
      <c r="F571" s="18">
        <f>IF($A571&gt;'1-Input'!$B$26,D571,D571-'P-Parametri'!$B$8*(E571+D571)+MIN(MAX(E571,0),'P-Parametri'!$B$8*(E571+D571)))</f>
        <v>0</v>
      </c>
      <c r="G571" s="18">
        <f>IF($A571&gt;'1-Input'!$B$26,E571,E571-MIN(MAX(E571,0),'P-Parametri'!$B$8*(E571+D571)))</f>
        <v>383776.38442263659</v>
      </c>
      <c r="H571" s="18">
        <f>IF($A571&gt;'1-Input'!$B$26,H570,H570-C571*(1-B571))</f>
        <v>241242.95291857113</v>
      </c>
      <c r="I571" s="11">
        <f>IF($A571&gt;'1-Input'!$B$26,0,IF(N570&lt;=0,0,MAX(0,(N570-O570)/N570)))</f>
        <v>0.35383392233425581</v>
      </c>
      <c r="J571" s="18">
        <f>IF($A571&gt;'1-Input'!$B$26,0,(MAX(0,I561-IF($A571&gt;='1-Input'!$C$12,'1-Input'!$B$13,0))-MIN(MAX(M570,0),MAX(0,I561-IF($A571&gt;='1-Input'!$C$12,'1-Input'!$B$13,0))))*(1/(1-'P-Parametri'!$B$6*I571))+MIN(MAX(0,N570-(MAX(0,I561-IF($A571&gt;='1-Input'!$C$12,'1-Input'!$B$13,0))-MIN(MAX(M570,0),MAX(0,I561-IF($A571&gt;='1-Input'!$C$12,'1-Input'!$B$13,0))))*(1/(1-'P-Parametri'!$B$6*I571))),MAX(0,0*I561-(M570-MIN(MAX(M570,0),MAX(0,I561-IF($A571&gt;='1-Input'!$C$12,'1-Input'!$B$13,0)))))*(1/(1-'P-Parametri'!$B$6*I571))))</f>
        <v>24172.555197726433</v>
      </c>
      <c r="K571" s="18">
        <f>IF($A571&gt;'1-Input'!$B$26,M570,(M570-MAX(0,I561-IF($A571&gt;='1-Input'!$C$12,'1-Input'!$B$13,0))+J571*(1-'P-Parametri'!$B$6*I571))*(1+'1-Input'!$B$27))</f>
        <v>-3.6248820833861826E-12</v>
      </c>
      <c r="L571" s="18">
        <f>IF($A571&gt;'1-Input'!$B$26,N570,(N570-J571)*(1+'5-Roberta'!$C$4))</f>
        <v>332820.25675716711</v>
      </c>
      <c r="M571" s="18">
        <f>IF($A571&gt;'1-Input'!$B$26,K571,K571-'P-Parametri'!$B$8*(L571+K571)+MIN(MAX(L571,0),'P-Parametri'!$B$8*(L571+K571)))</f>
        <v>-3.637978807091713E-12</v>
      </c>
      <c r="N571" s="18">
        <f>IF($A571&gt;'1-Input'!$B$26,L571,L571-MIN(MAX(L571,0),'P-Parametri'!$B$8*(L571+K571)))</f>
        <v>332154.61624365277</v>
      </c>
      <c r="O571" s="18">
        <f>IF($A571&gt;'1-Input'!$B$26,O570,O570-J571*(1-I571))</f>
        <v>208793.35910338306</v>
      </c>
      <c r="P571" s="11">
        <f>IF($A571&gt;'1-Input'!$B$26,0,IF(U570&lt;=0,0,MAX(0,(U570-V570)/U570)))</f>
        <v>0.35383392233425559</v>
      </c>
      <c r="Q571" s="18">
        <f>IF($A571&gt;'1-Input'!$B$26,0,(MAX(0,P561-IF($A571&gt;='1-Input'!$C$12,'1-Input'!$B$13,0))-MIN(MAX(T570,0),MAX(0,P561-IF($A571&gt;='1-Input'!$C$12,'1-Input'!$B$13,0))))*(1/(1-'P-Parametri'!$B$6*P571))+MIN(MAX(0,U570-(MAX(0,P561-IF($A571&gt;='1-Input'!$C$12,'1-Input'!$B$13,0))-MIN(MAX(T570,0),MAX(0,P561-IF($A571&gt;='1-Input'!$C$12,'1-Input'!$B$13,0))))*(1/(1-'P-Parametri'!$B$6*P571))),MAX(0,0*P561-(T570-MIN(MAX(T570,0),MAX(0,P561-IF($A571&gt;='1-Input'!$C$12,'1-Input'!$B$13,0)))))*(1/(1-'P-Parametri'!$B$6*P571))))</f>
        <v>21798.340721982258</v>
      </c>
      <c r="R571" s="18">
        <f>IF($A571&gt;'1-Input'!$B$26,T570,(T570-MAX(0,P561-IF($A571&gt;='1-Input'!$C$12,'1-Input'!$B$13,0))+Q571*(1-'P-Parametri'!$B$6*P571))*(1+'1-Input'!$B$27))</f>
        <v>0</v>
      </c>
      <c r="S571" s="18">
        <f>IF($A571&gt;'1-Input'!$B$26,U570,(U570-Q571)*(1+'5-Roberta'!$C$4))</f>
        <v>353988.67858154577</v>
      </c>
      <c r="T571" s="18">
        <f>IF($A571&gt;'1-Input'!$B$26,R571,R571-'P-Parametri'!$B$8*(S571+R571)+MIN(MAX(S571,0),'P-Parametri'!$B$8*(S571+R571)))</f>
        <v>0</v>
      </c>
      <c r="U571" s="18">
        <f>IF($A571&gt;'1-Input'!$B$26,S571,S571-MIN(MAX(S571,0),'P-Parametri'!$B$8*(S571+R571)))</f>
        <v>353280.70122438268</v>
      </c>
      <c r="V571" s="18">
        <f>IF($A571&gt;'1-Input'!$B$26,V570,V570-Q571*(1-P571))</f>
        <v>222073.27764768669</v>
      </c>
      <c r="W571" s="11">
        <f>IF($A571&gt;'1-Input'!$B$26,0,IF(AB570&lt;=0,0,MAX(0,(AB570-AC570)/AB570)))</f>
        <v>0.35383392233425565</v>
      </c>
      <c r="X571" s="18">
        <f>IF($A571&gt;'1-Input'!$B$26,0,(MAX(0,W561-IF($A571&gt;='1-Input'!$C$12,'1-Input'!$B$13,0))-MIN(MAX(AA570,0),MAX(0,W561-IF($A571&gt;='1-Input'!$C$12,'1-Input'!$B$13,0))))*(1/(1-'P-Parametri'!$B$6*W571))+MIN(MAX(0,AB570-(MAX(0,W561-IF($A571&gt;='1-Input'!$C$12,'1-Input'!$B$13,0))-MIN(MAX(AA570,0),MAX(0,W561-IF($A571&gt;='1-Input'!$C$12,'1-Input'!$B$13,0))))*(1/(1-'P-Parametri'!$B$6*W571))),MAX(0,0*W561-(AA570-MIN(MAX(AA570,0),MAX(0,W561-IF($A571&gt;='1-Input'!$C$12,'1-Input'!$B$13,0)))))*(1/(1-'P-Parametri'!$B$6*W571))))</f>
        <v>21505.0785055179</v>
      </c>
      <c r="Y571" s="18">
        <f>IF($A571&gt;'1-Input'!$B$26,AA570,(AA570-MAX(0,W561-IF($A571&gt;='1-Input'!$C$12,'1-Input'!$B$13,0))+X571*(1-'P-Parametri'!$B$6*W571))*(1+'1-Input'!$B$27))</f>
        <v>0</v>
      </c>
      <c r="Z571" s="18">
        <f>IF($A571&gt;'1-Input'!$B$26,AB570,(AB570-X571)*(1+'5-Roberta'!$C$4))</f>
        <v>356603.39530856936</v>
      </c>
      <c r="AA571" s="18">
        <f>IF($A571&gt;'1-Input'!$B$26,Y571,Y571-'P-Parametri'!$B$8*(Z571+Y571)+MIN(MAX(Z571,0),'P-Parametri'!$B$8*(Z571+Y571)))</f>
        <v>0</v>
      </c>
      <c r="AB571" s="18">
        <f>IF($A571&gt;'1-Input'!$B$26,Z571,Z571-MIN(MAX(Z571,0),'P-Parametri'!$B$8*(Z571+Y571)))</f>
        <v>355890.18851795222</v>
      </c>
      <c r="AC571" s="18">
        <f>IF($A571&gt;'1-Input'!$B$26,AC570,AC570-X571*(1-W571))</f>
        <v>223713.60896002446</v>
      </c>
      <c r="AD571" s="11">
        <f>IF($A571&gt;'1-Input'!$B$26,0,IF(AI570&lt;=0,0,MAX(0,(AI570-AJ570)/AI570)))</f>
        <v>0.35383392233425592</v>
      </c>
      <c r="AE571" s="18">
        <f>IF($A571&gt;'1-Input'!$B$26,0,(MAX(0,AD561-IF($A571&gt;='1-Input'!$C$12,'1-Input'!$B$13,0))-MIN(MAX(AH570,0),MAX(0,AD561-IF($A571&gt;='1-Input'!$C$12,'1-Input'!$B$13,0))))*(1/(1-'P-Parametri'!$B$6*AD571))+MIN(MAX(0,AI570-(MAX(0,AD561-IF($A571&gt;='1-Input'!$C$12,'1-Input'!$B$13,0))-MIN(MAX(AH570,0),MAX(0,AD561-IF($A571&gt;='1-Input'!$C$12,'1-Input'!$B$13,0))))*(1/(1-'P-Parametri'!$B$6*AD571))),MAX(0,0*AD561-(AH570-MIN(MAX(AH570,0),MAX(0,AD561-IF($A571&gt;='1-Input'!$C$12,'1-Input'!$B$13,0)))))*(1/(1-'P-Parametri'!$B$6*AD571))))</f>
        <v>21523.170542521129</v>
      </c>
      <c r="AF571" s="18">
        <f>IF($A571&gt;'1-Input'!$B$26,AH570,(AH570-MAX(0,AD561-IF($A571&gt;='1-Input'!$C$12,'1-Input'!$B$13,0))+AE571*(1-'P-Parametri'!$B$6*AD571))*(1+'1-Input'!$B$27))</f>
        <v>-3.6248820833861826E-12</v>
      </c>
      <c r="AG571" s="18">
        <f>IF($A571&gt;'1-Input'!$B$26,AI570,(AI570-AE571)*(1+'5-Roberta'!$C$4))</f>
        <v>356442.08727390826</v>
      </c>
      <c r="AH571" s="18">
        <f>IF($A571&gt;'1-Input'!$B$26,AF571,AF571-'P-Parametri'!$B$8*(AG571+AF571)+MIN(MAX(AG571,0),'P-Parametri'!$B$8*(AG571+AF571)))</f>
        <v>-3.637978807091713E-12</v>
      </c>
      <c r="AI571" s="18">
        <f>IF($A571&gt;'1-Input'!$B$26,AG571,AG571-MIN(MAX(AG571,0),'P-Parametri'!$B$8*(AG571+AF571)))</f>
        <v>355729.20309936046</v>
      </c>
      <c r="AJ571" s="18">
        <f>IF($A571&gt;'1-Input'!$B$26,AJ570,AJ570-AE571*(1-AD571))</f>
        <v>223612.4130570603</v>
      </c>
      <c r="AK571" s="11">
        <f>IF($A571&gt;'1-Input'!$B$26,0,IF(AP570&lt;=0,0,MAX(0,(AP570-AQ570)/AP570)))</f>
        <v>0.35383392233425554</v>
      </c>
      <c r="AL571" s="18">
        <f>IF($A571&gt;'1-Input'!$B$26,0,(MAX(0,AK561-IF($A571&gt;='1-Input'!$C$12,'1-Input'!$B$13,0))-MIN(MAX(AO570,0),MAX(0,AK561-IF($A571&gt;='1-Input'!$C$12,'1-Input'!$B$13,0))))*(1/(1-'P-Parametri'!$B$6*AK571))+MIN(MAX(0,AP570-(MAX(0,AK561-IF($A571&gt;='1-Input'!$C$12,'1-Input'!$B$13,0))-MIN(MAX(AO570,0),MAX(0,AK561-IF($A571&gt;='1-Input'!$C$12,'1-Input'!$B$13,0))))*(1/(1-'P-Parametri'!$B$6*AK571))),MAX(0,0*AK561-(AO570-MIN(MAX(AO570,0),MAX(0,AK561-IF($A571&gt;='1-Input'!$C$12,'1-Input'!$B$13,0)))))*(1/(1-'P-Parametri'!$B$6*AK571))))</f>
        <v>21520.850718538695</v>
      </c>
      <c r="AM571" s="18">
        <f>IF($A571&gt;'1-Input'!$B$26,AO570,(AO570-MAX(0,AK561-IF($A571&gt;='1-Input'!$C$12,'1-Input'!$B$13,0))+AL571*(1-'P-Parametri'!$B$6*AK571))*(1+'1-Input'!$B$27))</f>
        <v>0</v>
      </c>
      <c r="AN571" s="18">
        <f>IF($A571&gt;'1-Input'!$B$26,AP570,(AP570-AL571)*(1+'5-Roberta'!$C$4))</f>
        <v>356462.7707517994</v>
      </c>
      <c r="AO571" s="18">
        <f>IF($A571&gt;'1-Input'!$B$26,AM571,AM571-'P-Parametri'!$B$8*(AN571+AM571)+MIN(MAX(AN571,0),'P-Parametri'!$B$8*(AN571+AM571)))</f>
        <v>0</v>
      </c>
      <c r="AP571" s="18">
        <f>IF($A571&gt;'1-Input'!$B$26,AN571,AN571-MIN(MAX(AN571,0),'P-Parametri'!$B$8*(AN571+AM571)))</f>
        <v>355749.84521029581</v>
      </c>
      <c r="AQ571" s="18">
        <f>IF($A571&gt;'1-Input'!$B$26,AQ570,AQ570-AL571*(1-AK571))</f>
        <v>223625.38874811036</v>
      </c>
    </row>
    <row r="572" spans="1:43">
      <c r="A572" s="10">
        <f>9</f>
        <v>9</v>
      </c>
      <c r="B572" s="11">
        <f>IF($A572&gt;'1-Input'!$B$26,0,IF(G571&lt;=0,0,MAX(0,(G571-H571)/G571)))</f>
        <v>0.37139708770381102</v>
      </c>
      <c r="C572" s="18">
        <f>IF($A572&gt;'1-Input'!$B$26,0,(MAX(0,B561-IF($A572&gt;='1-Input'!$C$12,'1-Input'!$B$13,0))-MIN(MAX(F571,0),MAX(0,B561-IF($A572&gt;='1-Input'!$C$12,'1-Input'!$B$13,0))))*(1/(1-'P-Parametri'!$B$6*B572))+MIN(MAX(0,G571-(MAX(0,B561-IF($A572&gt;='1-Input'!$C$12,'1-Input'!$B$13,0))-MIN(MAX(F571,0),MAX(0,B561-IF($A572&gt;='1-Input'!$C$12,'1-Input'!$B$13,0))))*(1/(1-'P-Parametri'!$B$6*B572))),MAX(0,0*B561-(F571-MIN(MAX(F571,0),MAX(0,B561-IF($A572&gt;='1-Input'!$C$12,'1-Input'!$B$13,0)))))*(1/(1-'P-Parametri'!$B$6*B572))))</f>
        <v>18463.998926034648</v>
      </c>
      <c r="D572" s="18">
        <f>IF($A572&gt;'1-Input'!$B$26,F571,(F571-MAX(0,B561-IF($A572&gt;='1-Input'!$C$12,'1-Input'!$B$13,0))+C572*(1-'P-Parametri'!$B$6*B572))*(1+'1-Input'!$B$27))</f>
        <v>0</v>
      </c>
      <c r="E572" s="18">
        <f>IF($A572&gt;'1-Input'!$B$26,G571,(G571-C572)*(1+'5-Roberta'!$C$4))</f>
        <v>376271.75706149999</v>
      </c>
      <c r="F572" s="18">
        <f>IF($A572&gt;'1-Input'!$B$26,D572,D572-'P-Parametri'!$B$8*(E572+D572)+MIN(MAX(E572,0),'P-Parametri'!$B$8*(E572+D572)))</f>
        <v>0</v>
      </c>
      <c r="G572" s="18">
        <f>IF($A572&gt;'1-Input'!$B$26,E572,E572-MIN(MAX(E572,0),'P-Parametri'!$B$8*(E572+D572)))</f>
        <v>375519.21354737697</v>
      </c>
      <c r="H572" s="18">
        <f>IF($A572&gt;'1-Input'!$B$26,H571,H571-C572*(1-B572))</f>
        <v>229636.42942103205</v>
      </c>
      <c r="I572" s="11">
        <f>IF($A572&gt;'1-Input'!$B$26,0,IF(N571&lt;=0,0,MAX(0,(N571-O571)/N571)))</f>
        <v>0.37139708770381136</v>
      </c>
      <c r="J572" s="18">
        <f>IF($A572&gt;'1-Input'!$B$26,0,(MAX(0,I561-IF($A572&gt;='1-Input'!$C$12,'1-Input'!$B$13,0))-MIN(MAX(M571,0),MAX(0,I561-IF($A572&gt;='1-Input'!$C$12,'1-Input'!$B$13,0))))*(1/(1-'P-Parametri'!$B$6*I572))+MIN(MAX(0,N571-(MAX(0,I561-IF($A572&gt;='1-Input'!$C$12,'1-Input'!$B$13,0))-MIN(MAX(M571,0),MAX(0,I561-IF($A572&gt;='1-Input'!$C$12,'1-Input'!$B$13,0))))*(1/(1-'P-Parametri'!$B$6*I572))),MAX(0,0*I561-(M571-MIN(MAX(M571,0),MAX(0,I561-IF($A572&gt;='1-Input'!$C$12,'1-Input'!$B$13,0)))))*(1/(1-'P-Parametri'!$B$6*I572))))</f>
        <v>24294.735428992972</v>
      </c>
      <c r="K572" s="18">
        <f>IF($A572&gt;'1-Input'!$B$26,M571,(M571-MAX(0,I561-IF($A572&gt;='1-Input'!$C$12,'1-Input'!$B$13,0))+J572*(1-'P-Parametri'!$B$6*I572))*(1+'1-Input'!$B$27))</f>
        <v>0</v>
      </c>
      <c r="L572" s="18">
        <f>IF($A572&gt;'1-Input'!$B$26,N571,(N571-J572)*(1+'5-Roberta'!$C$4))</f>
        <v>317095.67723909963</v>
      </c>
      <c r="M572" s="18">
        <f>IF($A572&gt;'1-Input'!$B$26,K572,K572-'P-Parametri'!$B$8*(L572+K572)+MIN(MAX(L572,0),'P-Parametri'!$B$8*(L572+K572)))</f>
        <v>0</v>
      </c>
      <c r="N572" s="18">
        <f>IF($A572&gt;'1-Input'!$B$26,L572,L572-MIN(MAX(L572,0),'P-Parametri'!$B$8*(L572+K572)))</f>
        <v>316461.48588462145</v>
      </c>
      <c r="O572" s="18">
        <f>IF($A572&gt;'1-Input'!$B$26,O571,O571-J572*(1-I572))</f>
        <v>193521.61765925269</v>
      </c>
      <c r="P572" s="11">
        <f>IF($A572&gt;'1-Input'!$B$26,0,IF(U571&lt;=0,0,MAX(0,(U571-V571)/U571)))</f>
        <v>0.37139708770381125</v>
      </c>
      <c r="Q572" s="18">
        <f>IF($A572&gt;'1-Input'!$B$26,0,(MAX(0,P561-IF($A572&gt;='1-Input'!$C$12,'1-Input'!$B$13,0))-MIN(MAX(T571,0),MAX(0,P561-IF($A572&gt;='1-Input'!$C$12,'1-Input'!$B$13,0))))*(1/(1-'P-Parametri'!$B$6*P572))+MIN(MAX(0,U571-(MAX(0,P561-IF($A572&gt;='1-Input'!$C$12,'1-Input'!$B$13,0))-MIN(MAX(T571,0),MAX(0,P561-IF($A572&gt;='1-Input'!$C$12,'1-Input'!$B$13,0))))*(1/(1-'P-Parametri'!$B$6*P572))),MAX(0,0*P561-(T571-MIN(MAX(T571,0),MAX(0,P561-IF($A572&gt;='1-Input'!$C$12,'1-Input'!$B$13,0)))))*(1/(1-'P-Parametri'!$B$6*P572))))</f>
        <v>21908.520481170028</v>
      </c>
      <c r="R572" s="18">
        <f>IF($A572&gt;'1-Input'!$B$26,T571,(T571-MAX(0,P561-IF($A572&gt;='1-Input'!$C$12,'1-Input'!$B$13,0))+Q572*(1-'P-Parametri'!$B$6*P572))*(1+'1-Input'!$B$27))</f>
        <v>0</v>
      </c>
      <c r="S572" s="18">
        <f>IF($A572&gt;'1-Input'!$B$26,U571,(U571-Q572)*(1+'5-Roberta'!$C$4))</f>
        <v>341313.34616550902</v>
      </c>
      <c r="T572" s="18">
        <f>IF($A572&gt;'1-Input'!$B$26,R572,R572-'P-Parametri'!$B$8*(S572+R572)+MIN(MAX(S572,0),'P-Parametri'!$B$8*(S572+R572)))</f>
        <v>0</v>
      </c>
      <c r="U572" s="18">
        <f>IF($A572&gt;'1-Input'!$B$26,S572,S572-MIN(MAX(S572,0),'P-Parametri'!$B$8*(S572+R572)))</f>
        <v>340630.71947317797</v>
      </c>
      <c r="V572" s="18">
        <f>IF($A572&gt;'1-Input'!$B$26,V571,V571-Q572*(1-P572))</f>
        <v>208301.5178691225</v>
      </c>
      <c r="W572" s="11">
        <f>IF($A572&gt;'1-Input'!$B$26,0,IF(AB571&lt;=0,0,MAX(0,(AB571-AC571)/AB571)))</f>
        <v>0.37139708770381108</v>
      </c>
      <c r="X572" s="18">
        <f>IF($A572&gt;'1-Input'!$B$26,0,(MAX(0,W561-IF($A572&gt;='1-Input'!$C$12,'1-Input'!$B$13,0))-MIN(MAX(AA571,0),MAX(0,W561-IF($A572&gt;='1-Input'!$C$12,'1-Input'!$B$13,0))))*(1/(1-'P-Parametri'!$B$6*W572))+MIN(MAX(0,AB571-(MAX(0,W561-IF($A572&gt;='1-Input'!$C$12,'1-Input'!$B$13,0))-MIN(MAX(AA571,0),MAX(0,W561-IF($A572&gt;='1-Input'!$C$12,'1-Input'!$B$13,0))))*(1/(1-'P-Parametri'!$B$6*W572))),MAX(0,0*W561-(AA571-MIN(MAX(AA571,0),MAX(0,W561-IF($A572&gt;='1-Input'!$C$12,'1-Input'!$B$13,0)))))*(1/(1-'P-Parametri'!$B$6*W572))))</f>
        <v>21613.775970213574</v>
      </c>
      <c r="Y572" s="18">
        <f>IF($A572&gt;'1-Input'!$B$26,AA571,(AA571-MAX(0,W561-IF($A572&gt;='1-Input'!$C$12,'1-Input'!$B$13,0))+X572*(1-'P-Parametri'!$B$6*W572))*(1+'1-Input'!$B$27))</f>
        <v>0</v>
      </c>
      <c r="Z572" s="18">
        <f>IF($A572&gt;'1-Input'!$B$26,AB571,(AB571-X572)*(1+'5-Roberta'!$C$4))</f>
        <v>344304.7049241708</v>
      </c>
      <c r="AA572" s="18">
        <f>IF($A572&gt;'1-Input'!$B$26,Y572,Y572-'P-Parametri'!$B$8*(Z572+Y572)+MIN(MAX(Z572,0),'P-Parametri'!$B$8*(Z572+Y572)))</f>
        <v>0</v>
      </c>
      <c r="AB572" s="18">
        <f>IF($A572&gt;'1-Input'!$B$26,Z572,Z572-MIN(MAX(Z572,0),'P-Parametri'!$B$8*(Z572+Y572)))</f>
        <v>343616.09551432246</v>
      </c>
      <c r="AC572" s="18">
        <f>IF($A572&gt;'1-Input'!$B$26,AC571,AC571-X572*(1-W572))</f>
        <v>210127.12643943081</v>
      </c>
      <c r="AD572" s="11">
        <f>IF($A572&gt;'1-Input'!$B$26,0,IF(AI571&lt;=0,0,MAX(0,(AI571-AJ571)/AI571)))</f>
        <v>0.37139708770381152</v>
      </c>
      <c r="AE572" s="18">
        <f>IF($A572&gt;'1-Input'!$B$26,0,(MAX(0,AD561-IF($A572&gt;='1-Input'!$C$12,'1-Input'!$B$13,0))-MIN(MAX(AH571,0),MAX(0,AD561-IF($A572&gt;='1-Input'!$C$12,'1-Input'!$B$13,0))))*(1/(1-'P-Parametri'!$B$6*AD572))+MIN(MAX(0,AI571-(MAX(0,AD561-IF($A572&gt;='1-Input'!$C$12,'1-Input'!$B$13,0))-MIN(MAX(AH571,0),MAX(0,AD561-IF($A572&gt;='1-Input'!$C$12,'1-Input'!$B$13,0))))*(1/(1-'P-Parametri'!$B$6*AD572))),MAX(0,0*AD561-(AH571-MIN(MAX(AH571,0),MAX(0,AD561-IF($A572&gt;='1-Input'!$C$12,'1-Input'!$B$13,0)))))*(1/(1-'P-Parametri'!$B$6*AD572))))</f>
        <v>21631.959453456031</v>
      </c>
      <c r="AF572" s="18">
        <f>IF($A572&gt;'1-Input'!$B$26,AH571,(AH571-MAX(0,AD561-IF($A572&gt;='1-Input'!$C$12,'1-Input'!$B$13,0))+AE572*(1-'P-Parametri'!$B$6*AD572))*(1+'1-Input'!$B$27))</f>
        <v>0</v>
      </c>
      <c r="AG572" s="18">
        <f>IF($A572&gt;'1-Input'!$B$26,AI571,(AI571-AE572)*(1+'5-Roberta'!$C$4))</f>
        <v>344120.16095528158</v>
      </c>
      <c r="AH572" s="18">
        <f>IF($A572&gt;'1-Input'!$B$26,AF572,AF572-'P-Parametri'!$B$8*(AG572+AF572)+MIN(MAX(AG572,0),'P-Parametri'!$B$8*(AG572+AF572)))</f>
        <v>0</v>
      </c>
      <c r="AI572" s="18">
        <f>IF($A572&gt;'1-Input'!$B$26,AG572,AG572-MIN(MAX(AG572,0),'P-Parametri'!$B$8*(AG572+AF572)))</f>
        <v>343431.92063337099</v>
      </c>
      <c r="AJ572" s="18">
        <f>IF($A572&gt;'1-Input'!$B$26,AJ571,AJ571-AE572*(1-AD572))</f>
        <v>210014.50034594478</v>
      </c>
      <c r="AK572" s="11">
        <f>IF($A572&gt;'1-Input'!$B$26,0,IF(AP571&lt;=0,0,MAX(0,(AP571-AQ571)/AP571)))</f>
        <v>0.37139708770381108</v>
      </c>
      <c r="AL572" s="18">
        <f>IF($A572&gt;'1-Input'!$B$26,0,(MAX(0,AK561-IF($A572&gt;='1-Input'!$C$12,'1-Input'!$B$13,0))-MIN(MAX(AO571,0),MAX(0,AK561-IF($A572&gt;='1-Input'!$C$12,'1-Input'!$B$13,0))))*(1/(1-'P-Parametri'!$B$6*AK572))+MIN(MAX(0,AP571-(MAX(0,AK561-IF($A572&gt;='1-Input'!$C$12,'1-Input'!$B$13,0))-MIN(MAX(AO571,0),MAX(0,AK561-IF($A572&gt;='1-Input'!$C$12,'1-Input'!$B$13,0))))*(1/(1-'P-Parametri'!$B$6*AK572))),MAX(0,0*AK561-(AO571-MIN(MAX(AO571,0),MAX(0,AK561-IF($A572&gt;='1-Input'!$C$12,'1-Input'!$B$13,0)))))*(1/(1-'P-Parametri'!$B$6*AK572))))</f>
        <v>21629.627903918372</v>
      </c>
      <c r="AM572" s="18">
        <f>IF($A572&gt;'1-Input'!$B$26,AO571,(AO571-MAX(0,AK561-IF($A572&gt;='1-Input'!$C$12,'1-Input'!$B$13,0))+AL572*(1-'P-Parametri'!$B$6*AK572))*(1+'1-Input'!$B$27))</f>
        <v>0</v>
      </c>
      <c r="AN572" s="18">
        <f>IF($A572&gt;'1-Input'!$B$26,AP571,(AP571-AL572)*(1+'5-Roberta'!$C$4))</f>
        <v>344143.82382556878</v>
      </c>
      <c r="AO572" s="18">
        <f>IF($A572&gt;'1-Input'!$B$26,AM572,AM572-'P-Parametri'!$B$8*(AN572+AM572)+MIN(MAX(AN572,0),'P-Parametri'!$B$8*(AN572+AM572)))</f>
        <v>0</v>
      </c>
      <c r="AP572" s="18">
        <f>IF($A572&gt;'1-Input'!$B$26,AN572,AN572-MIN(MAX(AN572,0),'P-Parametri'!$B$8*(AN572+AM572)))</f>
        <v>343455.53617791762</v>
      </c>
      <c r="AQ572" s="18">
        <f>IF($A572&gt;'1-Input'!$B$26,AQ571,AQ571-AL572*(1-AK572))</f>
        <v>210028.94165582437</v>
      </c>
    </row>
    <row r="573" spans="1:43">
      <c r="A573" s="10">
        <f>10</f>
        <v>10</v>
      </c>
      <c r="B573" s="11">
        <f>IF($A573&gt;'1-Input'!$B$26,0,IF(G572&lt;=0,0,MAX(0,(G572-H572)/G572)))</f>
        <v>0.38848287614433819</v>
      </c>
      <c r="C573" s="18">
        <f>IF($A573&gt;'1-Input'!$B$26,0,(MAX(0,B561-IF($A573&gt;='1-Input'!$C$12,'1-Input'!$B$13,0))-MIN(MAX(F572,0),MAX(0,B561-IF($A573&gt;='1-Input'!$C$12,'1-Input'!$B$13,0))))*(1/(1-'P-Parametri'!$B$6*B573))+MIN(MAX(0,G572-(MAX(0,B561-IF($A573&gt;='1-Input'!$C$12,'1-Input'!$B$13,0))-MIN(MAX(F572,0),MAX(0,B561-IF($A573&gt;='1-Input'!$C$12,'1-Input'!$B$13,0))))*(1/(1-'P-Parametri'!$B$6*B573))),MAX(0,0*B561-(F572-MIN(MAX(F572,0),MAX(0,B561-IF($A573&gt;='1-Input'!$C$12,'1-Input'!$B$13,0)))))*(1/(1-'P-Parametri'!$B$6*B573))))</f>
        <v>18555.237213932091</v>
      </c>
      <c r="D573" s="18">
        <f>IF($A573&gt;'1-Input'!$B$26,F572,(F572-MAX(0,B561-IF($A573&gt;='1-Input'!$C$12,'1-Input'!$B$13,0))+C573*(1-'P-Parametri'!$B$6*B573))*(1+'1-Input'!$B$27))</f>
        <v>0</v>
      </c>
      <c r="E573" s="18">
        <f>IF($A573&gt;'1-Input'!$B$26,G572,(G572-C573)*(1+'5-Roberta'!$C$4))</f>
        <v>367672.89562344825</v>
      </c>
      <c r="F573" s="18">
        <f>IF($A573&gt;'1-Input'!$B$26,D573,D573-'P-Parametri'!$B$8*(E573+D573)+MIN(MAX(E573,0),'P-Parametri'!$B$8*(E573+D573)))</f>
        <v>0</v>
      </c>
      <c r="G573" s="18">
        <f>IF($A573&gt;'1-Input'!$B$26,E573,E573-MIN(MAX(E573,0),'P-Parametri'!$B$8*(E573+D573)))</f>
        <v>366937.54983220133</v>
      </c>
      <c r="H573" s="18">
        <f>IF($A573&gt;'1-Input'!$B$26,H572,H572-C573*(1-B573))</f>
        <v>218289.58412750874</v>
      </c>
      <c r="I573" s="11">
        <f>IF($A573&gt;'1-Input'!$B$26,0,IF(N572&lt;=0,0,MAX(0,(N572-O572)/N572)))</f>
        <v>0.38848287614433863</v>
      </c>
      <c r="J573" s="18">
        <f>IF($A573&gt;'1-Input'!$B$26,0,(MAX(0,I561-IF($A573&gt;='1-Input'!$C$12,'1-Input'!$B$13,0))-MIN(MAX(M572,0),MAX(0,I561-IF($A573&gt;='1-Input'!$C$12,'1-Input'!$B$13,0))))*(1/(1-'P-Parametri'!$B$6*I573))+MIN(MAX(0,N572-(MAX(0,I561-IF($A573&gt;='1-Input'!$C$12,'1-Input'!$B$13,0))-MIN(MAX(M572,0),MAX(0,I561-IF($A573&gt;='1-Input'!$C$12,'1-Input'!$B$13,0))))*(1/(1-'P-Parametri'!$B$6*I573))),MAX(0,0*I561-(M572-MIN(MAX(M572,0),MAX(0,I561-IF($A573&gt;='1-Input'!$C$12,'1-Input'!$B$13,0)))))*(1/(1-'P-Parametri'!$B$6*I573))))</f>
        <v>24414.785807805387</v>
      </c>
      <c r="K573" s="18">
        <f>IF($A573&gt;'1-Input'!$B$26,M572,(M572-MAX(0,I561-IF($A573&gt;='1-Input'!$C$12,'1-Input'!$B$13,0))+J573*(1-'P-Parametri'!$B$6*I573))*(1+'1-Input'!$B$27))</f>
        <v>0</v>
      </c>
      <c r="L573" s="18">
        <f>IF($A573&gt;'1-Input'!$B$26,N572,(N572-J573)*(1+'5-Roberta'!$C$4))</f>
        <v>300808.10107912059</v>
      </c>
      <c r="M573" s="18">
        <f>IF($A573&gt;'1-Input'!$B$26,K573,K573-'P-Parametri'!$B$8*(L573+K573)+MIN(MAX(L573,0),'P-Parametri'!$B$8*(L573+K573)))</f>
        <v>0</v>
      </c>
      <c r="N573" s="18">
        <f>IF($A573&gt;'1-Input'!$B$26,L573,L573-MIN(MAX(L573,0),'P-Parametri'!$B$8*(L573+K573)))</f>
        <v>300206.48487696238</v>
      </c>
      <c r="O573" s="18">
        <f>IF($A573&gt;'1-Input'!$B$26,O572,O572-J573*(1-I573))</f>
        <v>178591.55806251153</v>
      </c>
      <c r="P573" s="11">
        <f>IF($A573&gt;'1-Input'!$B$26,0,IF(U572&lt;=0,0,MAX(0,(U572-V572)/U572)))</f>
        <v>0.38848287614433841</v>
      </c>
      <c r="Q573" s="18">
        <f>IF($A573&gt;'1-Input'!$B$26,0,(MAX(0,P561-IF($A573&gt;='1-Input'!$C$12,'1-Input'!$B$13,0))-MIN(MAX(T572,0),MAX(0,P561-IF($A573&gt;='1-Input'!$C$12,'1-Input'!$B$13,0))))*(1/(1-'P-Parametri'!$B$6*P573))+MIN(MAX(0,U572-(MAX(0,P561-IF($A573&gt;='1-Input'!$C$12,'1-Input'!$B$13,0))-MIN(MAX(T572,0),MAX(0,P561-IF($A573&gt;='1-Input'!$C$12,'1-Input'!$B$13,0))))*(1/(1-'P-Parametri'!$B$6*P573))),MAX(0,0*P561-(T572-MIN(MAX(T572,0),MAX(0,P561-IF($A573&gt;='1-Input'!$C$12,'1-Input'!$B$13,0)))))*(1/(1-'P-Parametri'!$B$6*P573))))</f>
        <v>22016.779580787366</v>
      </c>
      <c r="R573" s="18">
        <f>IF($A573&gt;'1-Input'!$B$26,T572,(T572-MAX(0,P561-IF($A573&gt;='1-Input'!$C$12,'1-Input'!$B$13,0))+Q573*(1-'P-Parametri'!$B$6*P573))*(1+'1-Input'!$B$27))</f>
        <v>0</v>
      </c>
      <c r="S573" s="18">
        <f>IF($A573&gt;'1-Input'!$B$26,U572,(U572-Q573)*(1+'5-Roberta'!$C$4))</f>
        <v>328172.35808916233</v>
      </c>
      <c r="T573" s="18">
        <f>IF($A573&gt;'1-Input'!$B$26,R573,R573-'P-Parametri'!$B$8*(S573+R573)+MIN(MAX(S573,0),'P-Parametri'!$B$8*(S573+R573)))</f>
        <v>0</v>
      </c>
      <c r="U573" s="18">
        <f>IF($A573&gt;'1-Input'!$B$26,S573,S573-MIN(MAX(S573,0),'P-Parametri'!$B$8*(S573+R573)))</f>
        <v>327516.01337298402</v>
      </c>
      <c r="V573" s="18">
        <f>IF($A573&gt;'1-Input'!$B$26,V572,V572-Q573*(1-P573))</f>
        <v>194837.88014331536</v>
      </c>
      <c r="W573" s="11">
        <f>IF($A573&gt;'1-Input'!$B$26,0,IF(AB572&lt;=0,0,MAX(0,(AB572-AC572)/AB572)))</f>
        <v>0.3884828761443383</v>
      </c>
      <c r="X573" s="18">
        <f>IF($A573&gt;'1-Input'!$B$26,0,(MAX(0,W561-IF($A573&gt;='1-Input'!$C$12,'1-Input'!$B$13,0))-MIN(MAX(AA572,0),MAX(0,W561-IF($A573&gt;='1-Input'!$C$12,'1-Input'!$B$13,0))))*(1/(1-'P-Parametri'!$B$6*W573))+MIN(MAX(0,AB572-(MAX(0,W561-IF($A573&gt;='1-Input'!$C$12,'1-Input'!$B$13,0))-MIN(MAX(AA572,0),MAX(0,W561-IF($A573&gt;='1-Input'!$C$12,'1-Input'!$B$13,0))))*(1/(1-'P-Parametri'!$B$6*W573))),MAX(0,0*W561-(AA572-MIN(MAX(AA572,0),MAX(0,W561-IF($A573&gt;='1-Input'!$C$12,'1-Input'!$B$13,0)))))*(1/(1-'P-Parametri'!$B$6*W573))))</f>
        <v>21720.578614777238</v>
      </c>
      <c r="Y573" s="18">
        <f>IF($A573&gt;'1-Input'!$B$26,AA572,(AA572-MAX(0,W561-IF($A573&gt;='1-Input'!$C$12,'1-Input'!$B$13,0))+X573*(1-'P-Parametri'!$B$6*W573))*(1+'1-Input'!$B$27))</f>
        <v>0</v>
      </c>
      <c r="Z573" s="18">
        <f>IF($A573&gt;'1-Input'!$B$26,AB572,(AB572-X573)*(1+'5-Roberta'!$C$4))</f>
        <v>331552.3824065316</v>
      </c>
      <c r="AA573" s="18">
        <f>IF($A573&gt;'1-Input'!$B$26,Y573,Y573-'P-Parametri'!$B$8*(Z573+Y573)+MIN(MAX(Z573,0),'P-Parametri'!$B$8*(Z573+Y573)))</f>
        <v>0</v>
      </c>
      <c r="AB573" s="18">
        <f>IF($A573&gt;'1-Input'!$B$26,Z573,Z573-MIN(MAX(Z573,0),'P-Parametri'!$B$8*(Z573+Y573)))</f>
        <v>330889.27764171851</v>
      </c>
      <c r="AC573" s="18">
        <f>IF($A573&gt;'1-Input'!$B$26,AC572,AC572-X573*(1-W573))</f>
        <v>196844.62067644144</v>
      </c>
      <c r="AD573" s="11">
        <f>IF($A573&gt;'1-Input'!$B$26,0,IF(AI572&lt;=0,0,MAX(0,(AI572-AJ572)/AI572)))</f>
        <v>0.38848287614433868</v>
      </c>
      <c r="AE573" s="18">
        <f>IF($A573&gt;'1-Input'!$B$26,0,(MAX(0,AD561-IF($A573&gt;='1-Input'!$C$12,'1-Input'!$B$13,0))-MIN(MAX(AH572,0),MAX(0,AD561-IF($A573&gt;='1-Input'!$C$12,'1-Input'!$B$13,0))))*(1/(1-'P-Parametri'!$B$6*AD573))+MIN(MAX(0,AI572-(MAX(0,AD561-IF($A573&gt;='1-Input'!$C$12,'1-Input'!$B$13,0))-MIN(MAX(AH572,0),MAX(0,AD561-IF($A573&gt;='1-Input'!$C$12,'1-Input'!$B$13,0))))*(1/(1-'P-Parametri'!$B$6*AD573))),MAX(0,0*AD561-(AH572-MIN(MAX(AH572,0),MAX(0,AD561-IF($A573&gt;='1-Input'!$C$12,'1-Input'!$B$13,0)))))*(1/(1-'P-Parametri'!$B$6*AD573))))</f>
        <v>21738.851950163076</v>
      </c>
      <c r="AF573" s="18">
        <f>IF($A573&gt;'1-Input'!$B$26,AH572,(AH572-MAX(0,AD561-IF($A573&gt;='1-Input'!$C$12,'1-Input'!$B$13,0))+AE573*(1-'P-Parametri'!$B$6*AD573))*(1+'1-Input'!$B$27))</f>
        <v>-3.6248820833861826E-12</v>
      </c>
      <c r="AG573" s="18">
        <f>IF($A573&gt;'1-Input'!$B$26,AI572,(AI572-AE573)*(1+'5-Roberta'!$C$4))</f>
        <v>331343.86074370414</v>
      </c>
      <c r="AH573" s="18">
        <f>IF($A573&gt;'1-Input'!$B$26,AF573,AF573-'P-Parametri'!$B$8*(AG573+AF573)+MIN(MAX(AG573,0),'P-Parametri'!$B$8*(AG573+AF573)))</f>
        <v>-3.637978807091713E-12</v>
      </c>
      <c r="AI573" s="18">
        <f>IF($A573&gt;'1-Input'!$B$26,AG573,AG573-MIN(MAX(AG573,0),'P-Parametri'!$B$8*(AG573+AF573)))</f>
        <v>330681.17302221671</v>
      </c>
      <c r="AJ573" s="18">
        <f>IF($A573&gt;'1-Input'!$B$26,AJ572,AJ572-AE573*(1-AD573))</f>
        <v>196720.82012545702</v>
      </c>
      <c r="AK573" s="11">
        <f>IF($A573&gt;'1-Input'!$B$26,0,IF(AP572&lt;=0,0,MAX(0,(AP572-AQ572)/AP572)))</f>
        <v>0.38848287614433824</v>
      </c>
      <c r="AL573" s="18">
        <f>IF($A573&gt;'1-Input'!$B$26,0,(MAX(0,AK561-IF($A573&gt;='1-Input'!$C$12,'1-Input'!$B$13,0))-MIN(MAX(AO572,0),MAX(0,AK561-IF($A573&gt;='1-Input'!$C$12,'1-Input'!$B$13,0))))*(1/(1-'P-Parametri'!$B$6*AK573))+MIN(MAX(0,AP572-(MAX(0,AK561-IF($A573&gt;='1-Input'!$C$12,'1-Input'!$B$13,0))-MIN(MAX(AO572,0),MAX(0,AK561-IF($A573&gt;='1-Input'!$C$12,'1-Input'!$B$13,0))))*(1/(1-'P-Parametri'!$B$6*AK573))),MAX(0,0*AK561-(AO572-MIN(MAX(AO572,0),MAX(0,AK561-IF($A573&gt;='1-Input'!$C$12,'1-Input'!$B$13,0)))))*(1/(1-'P-Parametri'!$B$6*AK573))))</f>
        <v>21736.50887947073</v>
      </c>
      <c r="AM573" s="18">
        <f>IF($A573&gt;'1-Input'!$B$26,AO572,(AO572-MAX(0,AK561-IF($A573&gt;='1-Input'!$C$12,'1-Input'!$B$13,0))+AL573*(1-'P-Parametri'!$B$6*AK573))*(1+'1-Input'!$B$27))</f>
        <v>3.6248820833861826E-12</v>
      </c>
      <c r="AN573" s="18">
        <f>IF($A573&gt;'1-Input'!$B$26,AP572,(AP572-AL573)*(1+'5-Roberta'!$C$4))</f>
        <v>331370.59811740025</v>
      </c>
      <c r="AO573" s="18">
        <f>IF($A573&gt;'1-Input'!$B$26,AM573,AM573-'P-Parametri'!$B$8*(AN573+AM573)+MIN(MAX(AN573,0),'P-Parametri'!$B$8*(AN573+AM573)))</f>
        <v>3.637978807091713E-12</v>
      </c>
      <c r="AP573" s="18">
        <f>IF($A573&gt;'1-Input'!$B$26,AN573,AN573-MIN(MAX(AN573,0),'P-Parametri'!$B$8*(AN573+AM573)))</f>
        <v>330707.85692116542</v>
      </c>
      <c r="AQ573" s="18">
        <f>IF($A573&gt;'1-Input'!$B$26,AQ572,AQ572-AL573*(1-AK573))</f>
        <v>196736.69426318738</v>
      </c>
    </row>
    <row r="574" spans="1:43">
      <c r="A574" s="10">
        <f>11</f>
        <v>11</v>
      </c>
      <c r="B574" s="11">
        <f>IF($A574&gt;'1-Input'!$B$26,0,IF(G573&lt;=0,0,MAX(0,(G573-H573)/G573)))</f>
        <v>0.40510426303513647</v>
      </c>
      <c r="C574" s="18">
        <f>IF($A574&gt;'1-Input'!$B$26,0,(MAX(0,B561-IF($A574&gt;='1-Input'!$C$12,'1-Input'!$B$13,0))-MIN(MAX(F573,0),MAX(0,B561-IF($A574&gt;='1-Input'!$C$12,'1-Input'!$B$13,0))))*(1/(1-'P-Parametri'!$B$6*B574))+MIN(MAX(0,G573-(MAX(0,B561-IF($A574&gt;='1-Input'!$C$12,'1-Input'!$B$13,0))-MIN(MAX(F573,0),MAX(0,B561-IF($A574&gt;='1-Input'!$C$12,'1-Input'!$B$13,0))))*(1/(1-'P-Parametri'!$B$6*B574))),MAX(0,0*B561-(F573-MIN(MAX(F573,0),MAX(0,B561-IF($A574&gt;='1-Input'!$C$12,'1-Input'!$B$13,0)))))*(1/(1-'P-Parametri'!$B$6*B574))))</f>
        <v>18644.865035076062</v>
      </c>
      <c r="D574" s="18">
        <f>IF($A574&gt;'1-Input'!$B$26,F573,(F573-MAX(0,B561-IF($A574&gt;='1-Input'!$C$12,'1-Input'!$B$13,0))+C574*(1-'P-Parametri'!$B$6*B574))*(1+'1-Input'!$B$27))</f>
        <v>0</v>
      </c>
      <c r="E574" s="18">
        <f>IF($A574&gt;'1-Input'!$B$26,G573,(G573-C574)*(1+'5-Roberta'!$C$4))</f>
        <v>358741.46534103906</v>
      </c>
      <c r="F574" s="18">
        <f>IF($A574&gt;'1-Input'!$B$26,D574,D574-'P-Parametri'!$B$8*(E574+D574)+MIN(MAX(E574,0),'P-Parametri'!$B$8*(E574+D574)))</f>
        <v>0</v>
      </c>
      <c r="G574" s="18">
        <f>IF($A574&gt;'1-Input'!$B$26,E574,E574-MIN(MAX(E574,0),'P-Parametri'!$B$8*(E574+D574)))</f>
        <v>358023.98241035698</v>
      </c>
      <c r="H574" s="18">
        <f>IF($A574&gt;'1-Input'!$B$26,H573,H573-C574*(1-B574))</f>
        <v>207197.83340185677</v>
      </c>
      <c r="I574" s="11">
        <f>IF($A574&gt;'1-Input'!$B$26,0,IF(N573&lt;=0,0,MAX(0,(N573-O573)/N573)))</f>
        <v>0.40510426303513702</v>
      </c>
      <c r="J574" s="18">
        <f>IF($A574&gt;'1-Input'!$B$26,0,(MAX(0,I561-IF($A574&gt;='1-Input'!$C$12,'1-Input'!$B$13,0))-MIN(MAX(M573,0),MAX(0,I561-IF($A574&gt;='1-Input'!$C$12,'1-Input'!$B$13,0))))*(1/(1-'P-Parametri'!$B$6*I574))+MIN(MAX(0,N573-(MAX(0,I561-IF($A574&gt;='1-Input'!$C$12,'1-Input'!$B$13,0))-MIN(MAX(M573,0),MAX(0,I561-IF($A574&gt;='1-Input'!$C$12,'1-Input'!$B$13,0))))*(1/(1-'P-Parametri'!$B$6*I574))),MAX(0,0*I561-(M573-MIN(MAX(M573,0),MAX(0,I561-IF($A574&gt;='1-Input'!$C$12,'1-Input'!$B$13,0)))))*(1/(1-'P-Parametri'!$B$6*I574))))</f>
        <v>24532.71715141588</v>
      </c>
      <c r="K574" s="18">
        <f>IF($A574&gt;'1-Input'!$B$26,M573,(M573-MAX(0,I561-IF($A574&gt;='1-Input'!$C$12,'1-Input'!$B$13,0))+J574*(1-'P-Parametri'!$B$6*I574))*(1+'1-Input'!$B$27))</f>
        <v>3.6248820833861826E-12</v>
      </c>
      <c r="L574" s="18">
        <f>IF($A574&gt;'1-Input'!$B$26,N573,(N573-J574)*(1+'5-Roberta'!$C$4))</f>
        <v>283943.98075731291</v>
      </c>
      <c r="M574" s="18">
        <f>IF($A574&gt;'1-Input'!$B$26,K574,K574-'P-Parametri'!$B$8*(L574+K574)+MIN(MAX(L574,0),'P-Parametri'!$B$8*(L574+K574)))</f>
        <v>3.637978807091713E-12</v>
      </c>
      <c r="N574" s="18">
        <f>IF($A574&gt;'1-Input'!$B$26,L574,L574-MIN(MAX(L574,0),'P-Parametri'!$B$8*(L574+K574)))</f>
        <v>283376.09279579826</v>
      </c>
      <c r="O574" s="18">
        <f>IF($A574&gt;'1-Input'!$B$26,O573,O573-J574*(1-I574))</f>
        <v>163997.14921296944</v>
      </c>
      <c r="P574" s="11">
        <f>IF($A574&gt;'1-Input'!$B$26,0,IF(U573&lt;=0,0,MAX(0,(U573-V573)/U573)))</f>
        <v>0.40510426303513669</v>
      </c>
      <c r="Q574" s="18">
        <f>IF($A574&gt;'1-Input'!$B$26,0,(MAX(0,P561-IF($A574&gt;='1-Input'!$C$12,'1-Input'!$B$13,0))-MIN(MAX(T573,0),MAX(0,P561-IF($A574&gt;='1-Input'!$C$12,'1-Input'!$B$13,0))))*(1/(1-'P-Parametri'!$B$6*P574))+MIN(MAX(0,U573-(MAX(0,P561-IF($A574&gt;='1-Input'!$C$12,'1-Input'!$B$13,0))-MIN(MAX(T573,0),MAX(0,P561-IF($A574&gt;='1-Input'!$C$12,'1-Input'!$B$13,0))))*(1/(1-'P-Parametri'!$B$6*P574))),MAX(0,0*P561-(T573-MIN(MAX(T573,0),MAX(0,P561-IF($A574&gt;='1-Input'!$C$12,'1-Input'!$B$13,0)))))*(1/(1-'P-Parametri'!$B$6*P574))))</f>
        <v>22123.127775622157</v>
      </c>
      <c r="R574" s="18">
        <f>IF($A574&gt;'1-Input'!$B$26,T573,(T573-MAX(0,P561-IF($A574&gt;='1-Input'!$C$12,'1-Input'!$B$13,0))+Q574*(1-'P-Parametri'!$B$6*P574))*(1+'1-Input'!$B$27))</f>
        <v>0</v>
      </c>
      <c r="S574" s="18">
        <f>IF($A574&gt;'1-Input'!$B$26,U573,(U573-Q574)*(1+'5-Roberta'!$C$4))</f>
        <v>314554.67216528271</v>
      </c>
      <c r="T574" s="18">
        <f>IF($A574&gt;'1-Input'!$B$26,R574,R574-'P-Parametri'!$B$8*(S574+R574)+MIN(MAX(S574,0),'P-Parametri'!$B$8*(S574+R574)))</f>
        <v>0</v>
      </c>
      <c r="U574" s="18">
        <f>IF($A574&gt;'1-Input'!$B$26,S574,S574-MIN(MAX(S574,0),'P-Parametri'!$B$8*(S574+R574)))</f>
        <v>313925.56282095215</v>
      </c>
      <c r="V574" s="18">
        <f>IF($A574&gt;'1-Input'!$B$26,V573,V573-Q574*(1-P574))</f>
        <v>181676.92574126879</v>
      </c>
      <c r="W574" s="11">
        <f>IF($A574&gt;'1-Input'!$B$26,0,IF(AB573&lt;=0,0,MAX(0,(AB573-AC573)/AB573)))</f>
        <v>0.40510426303513658</v>
      </c>
      <c r="X574" s="18">
        <f>IF($A574&gt;'1-Input'!$B$26,0,(MAX(0,W561-IF($A574&gt;='1-Input'!$C$12,'1-Input'!$B$13,0))-MIN(MAX(AA573,0),MAX(0,W561-IF($A574&gt;='1-Input'!$C$12,'1-Input'!$B$13,0))))*(1/(1-'P-Parametri'!$B$6*W574))+MIN(MAX(0,AB573-(MAX(0,W561-IF($A574&gt;='1-Input'!$C$12,'1-Input'!$B$13,0))-MIN(MAX(AA573,0),MAX(0,W561-IF($A574&gt;='1-Input'!$C$12,'1-Input'!$B$13,0))))*(1/(1-'P-Parametri'!$B$6*W574))),MAX(0,0*W561-(AA573-MIN(MAX(AA573,0),MAX(0,W561-IF($A574&gt;='1-Input'!$C$12,'1-Input'!$B$13,0)))))*(1/(1-'P-Parametri'!$B$6*W574))))</f>
        <v>21825.496062761526</v>
      </c>
      <c r="Y574" s="18">
        <f>IF($A574&gt;'1-Input'!$B$26,AA573,(AA573-MAX(0,W561-IF($A574&gt;='1-Input'!$C$12,'1-Input'!$B$13,0))+X574*(1-'P-Parametri'!$B$6*W574))*(1+'1-Input'!$B$27))</f>
        <v>0</v>
      </c>
      <c r="Z574" s="18">
        <f>IF($A574&gt;'1-Input'!$B$26,AB573,(AB573-X574)*(1+'5-Roberta'!$C$4))</f>
        <v>318335.6950263257</v>
      </c>
      <c r="AA574" s="18">
        <f>IF($A574&gt;'1-Input'!$B$26,Y574,Y574-'P-Parametri'!$B$8*(Z574+Y574)+MIN(MAX(Z574,0),'P-Parametri'!$B$8*(Z574+Y574)))</f>
        <v>0</v>
      </c>
      <c r="AB574" s="18">
        <f>IF($A574&gt;'1-Input'!$B$26,Z574,Z574-MIN(MAX(Z574,0),'P-Parametri'!$B$8*(Z574+Y574)))</f>
        <v>317699.02363627305</v>
      </c>
      <c r="AC574" s="18">
        <f>IF($A574&gt;'1-Input'!$B$26,AC573,AC573-X574*(1-W574))</f>
        <v>183860.72611156121</v>
      </c>
      <c r="AD574" s="11">
        <f>IF($A574&gt;'1-Input'!$B$26,0,IF(AI573&lt;=0,0,MAX(0,(AI573-AJ573)/AI573)))</f>
        <v>0.40510426303513691</v>
      </c>
      <c r="AE574" s="18">
        <f>IF($A574&gt;'1-Input'!$B$26,0,(MAX(0,AD561-IF($A574&gt;='1-Input'!$C$12,'1-Input'!$B$13,0))-MIN(MAX(AH573,0),MAX(0,AD561-IF($A574&gt;='1-Input'!$C$12,'1-Input'!$B$13,0))))*(1/(1-'P-Parametri'!$B$6*AD574))+MIN(MAX(0,AI573-(MAX(0,AD561-IF($A574&gt;='1-Input'!$C$12,'1-Input'!$B$13,0))-MIN(MAX(AH573,0),MAX(0,AD561-IF($A574&gt;='1-Input'!$C$12,'1-Input'!$B$13,0))))*(1/(1-'P-Parametri'!$B$6*AD574))),MAX(0,0*AD561-(AH573-MIN(MAX(AH573,0),MAX(0,AD561-IF($A574&gt;='1-Input'!$C$12,'1-Input'!$B$13,0)))))*(1/(1-'P-Parametri'!$B$6*AD574))))</f>
        <v>21843.857664291143</v>
      </c>
      <c r="AF574" s="18">
        <f>IF($A574&gt;'1-Input'!$B$26,AH573,(AH573-MAX(0,AD561-IF($A574&gt;='1-Input'!$C$12,'1-Input'!$B$13,0))+AE574*(1-'P-Parametri'!$B$6*AD574))*(1+'1-Input'!$B$27))</f>
        <v>0</v>
      </c>
      <c r="AG574" s="18">
        <f>IF($A574&gt;'1-Input'!$B$26,AI573,(AI573-AE574)*(1+'5-Roberta'!$C$4))</f>
        <v>318102.43481866334</v>
      </c>
      <c r="AH574" s="18">
        <f>IF($A574&gt;'1-Input'!$B$26,AF574,AF574-'P-Parametri'!$B$8*(AG574+AF574)+MIN(MAX(AG574,0),'P-Parametri'!$B$8*(AG574+AF574)))</f>
        <v>0</v>
      </c>
      <c r="AI574" s="18">
        <f>IF($A574&gt;'1-Input'!$B$26,AG574,AG574-MIN(MAX(AG574,0),'P-Parametri'!$B$8*(AG574+AF574)))</f>
        <v>317466.22994902602</v>
      </c>
      <c r="AJ574" s="18">
        <f>IF($A574&gt;'1-Input'!$B$26,AJ573,AJ573-AE574*(1-AD574))</f>
        <v>183726.00232210296</v>
      </c>
      <c r="AK574" s="11">
        <f>IF($A574&gt;'1-Input'!$B$26,0,IF(AP573&lt;=0,0,MAX(0,(AP573-AQ573)/AP573)))</f>
        <v>0.40510426303513636</v>
      </c>
      <c r="AL574" s="18">
        <f>IF($A574&gt;'1-Input'!$B$26,0,(MAX(0,AK561-IF($A574&gt;='1-Input'!$C$12,'1-Input'!$B$13,0))-MIN(MAX(AO573,0),MAX(0,AK561-IF($A574&gt;='1-Input'!$C$12,'1-Input'!$B$13,0))))*(1/(1-'P-Parametri'!$B$6*AK574))+MIN(MAX(0,AP573-(MAX(0,AK561-IF($A574&gt;='1-Input'!$C$12,'1-Input'!$B$13,0))-MIN(MAX(AO573,0),MAX(0,AK561-IF($A574&gt;='1-Input'!$C$12,'1-Input'!$B$13,0))))*(1/(1-'P-Parametri'!$B$6*AK574))),MAX(0,0*AK561-(AO573-MIN(MAX(AO573,0),MAX(0,AK561-IF($A574&gt;='1-Input'!$C$12,'1-Input'!$B$13,0)))))*(1/(1-'P-Parametri'!$B$6*AK574))))</f>
        <v>21841.503275806481</v>
      </c>
      <c r="AM574" s="18">
        <f>IF($A574&gt;'1-Input'!$B$26,AO573,(AO573-MAX(0,AK561-IF($A574&gt;='1-Input'!$C$12,'1-Input'!$B$13,0))+AL574*(1-'P-Parametri'!$B$6*AK574))*(1+'1-Input'!$B$27))</f>
        <v>0</v>
      </c>
      <c r="AN574" s="18">
        <f>IF($A574&gt;'1-Input'!$B$26,AP573,(AP573-AL574)*(1+'5-Roberta'!$C$4))</f>
        <v>318132.34425471973</v>
      </c>
      <c r="AO574" s="18">
        <f>IF($A574&gt;'1-Input'!$B$26,AM574,AM574-'P-Parametri'!$B$8*(AN574+AM574)+MIN(MAX(AN574,0),'P-Parametri'!$B$8*(AN574+AM574)))</f>
        <v>0</v>
      </c>
      <c r="AP574" s="18">
        <f>IF($A574&gt;'1-Input'!$B$26,AN574,AN574-MIN(MAX(AN574,0),'P-Parametri'!$B$8*(AN574+AM574)))</f>
        <v>317496.07956621028</v>
      </c>
      <c r="AQ574" s="18">
        <f>IF($A574&gt;'1-Input'!$B$26,AQ573,AQ573-AL574*(1-AK574))</f>
        <v>183743.27707550599</v>
      </c>
    </row>
    <row r="575" spans="1:43">
      <c r="A575" s="10">
        <f>12</f>
        <v>12</v>
      </c>
      <c r="B575" s="11">
        <f>IF($A575&gt;'1-Input'!$B$26,0,IF(G574&lt;=0,0,MAX(0,(G574-H574)/G574)))</f>
        <v>0.42127387107723846</v>
      </c>
      <c r="C575" s="18">
        <f>IF($A575&gt;'1-Input'!$B$26,0,(MAX(0,B561-IF($A575&gt;='1-Input'!$C$12,'1-Input'!$B$13,0))-MIN(MAX(F574,0),MAX(0,B561-IF($A575&gt;='1-Input'!$C$12,'1-Input'!$B$13,0))))*(1/(1-'P-Parametri'!$B$6*B575))+MIN(MAX(0,G574-(MAX(0,B561-IF($A575&gt;='1-Input'!$C$12,'1-Input'!$B$13,0))-MIN(MAX(F574,0),MAX(0,B561-IF($A575&gt;='1-Input'!$C$12,'1-Input'!$B$13,0))))*(1/(1-'P-Parametri'!$B$6*B575))),MAX(0,0*B561-(F574-MIN(MAX(F574,0),MAX(0,B561-IF($A575&gt;='1-Input'!$C$12,'1-Input'!$B$13,0)))))*(1/(1-'P-Parametri'!$B$6*B575))))</f>
        <v>18732.891524123559</v>
      </c>
      <c r="D575" s="18">
        <f>IF($A575&gt;'1-Input'!$B$26,F574,(F574-MAX(0,B561-IF($A575&gt;='1-Input'!$C$12,'1-Input'!$B$13,0))+C575*(1-'P-Parametri'!$B$6*B575))*(1+'1-Input'!$B$27))</f>
        <v>0</v>
      </c>
      <c r="E575" s="18">
        <f>IF($A575&gt;'1-Input'!$B$26,G574,(G574-C575)*(1+'5-Roberta'!$C$4))</f>
        <v>349469.82361282047</v>
      </c>
      <c r="F575" s="18">
        <f>IF($A575&gt;'1-Input'!$B$26,D575,D575-'P-Parametri'!$B$8*(E575+D575)+MIN(MAX(E575,0),'P-Parametri'!$B$8*(E575+D575)))</f>
        <v>0</v>
      </c>
      <c r="G575" s="18">
        <f>IF($A575&gt;'1-Input'!$B$26,E575,E575-MIN(MAX(E575,0),'P-Parametri'!$B$8*(E575+D575)))</f>
        <v>348770.88396559481</v>
      </c>
      <c r="H575" s="18">
        <f>IF($A575&gt;'1-Input'!$B$26,H574,H574-C575*(1-B575))</f>
        <v>196356.61960657072</v>
      </c>
      <c r="I575" s="11">
        <f>IF($A575&gt;'1-Input'!$B$26,0,IF(N574&lt;=0,0,MAX(0,(N574-O574)/N574)))</f>
        <v>0.42127387107723896</v>
      </c>
      <c r="J575" s="18">
        <f>IF($A575&gt;'1-Input'!$B$26,0,(MAX(0,I561-IF($A575&gt;='1-Input'!$C$12,'1-Input'!$B$13,0))-MIN(MAX(M574,0),MAX(0,I561-IF($A575&gt;='1-Input'!$C$12,'1-Input'!$B$13,0))))*(1/(1-'P-Parametri'!$B$6*I575))+MIN(MAX(0,N574-(MAX(0,I561-IF($A575&gt;='1-Input'!$C$12,'1-Input'!$B$13,0))-MIN(MAX(M574,0),MAX(0,I561-IF($A575&gt;='1-Input'!$C$12,'1-Input'!$B$13,0))))*(1/(1-'P-Parametri'!$B$6*I575))),MAX(0,0*I561-(M574-MIN(MAX(M574,0),MAX(0,I561-IF($A575&gt;='1-Input'!$C$12,'1-Input'!$B$13,0)))))*(1/(1-'P-Parametri'!$B$6*I575))))</f>
        <v>24648.54147910995</v>
      </c>
      <c r="K575" s="18">
        <f>IF($A575&gt;'1-Input'!$B$26,M574,(M574-MAX(0,I561-IF($A575&gt;='1-Input'!$C$12,'1-Input'!$B$13,0))+J575*(1-'P-Parametri'!$B$6*I575))*(1+'1-Input'!$B$27))</f>
        <v>0</v>
      </c>
      <c r="L575" s="18">
        <f>IF($A575&gt;'1-Input'!$B$26,N574,(N574-J575)*(1+'5-Roberta'!$C$4))</f>
        <v>266489.37785618898</v>
      </c>
      <c r="M575" s="18">
        <f>IF($A575&gt;'1-Input'!$B$26,K575,K575-'P-Parametri'!$B$8*(L575+K575)+MIN(MAX(L575,0),'P-Parametri'!$B$8*(L575+K575)))</f>
        <v>0</v>
      </c>
      <c r="N575" s="18">
        <f>IF($A575&gt;'1-Input'!$B$26,L575,L575-MIN(MAX(L575,0),'P-Parametri'!$B$8*(L575+K575)))</f>
        <v>265956.39910047658</v>
      </c>
      <c r="O575" s="18">
        <f>IF($A575&gt;'1-Input'!$B$26,O574,O574-J575*(1-I575))</f>
        <v>149732.39421917204</v>
      </c>
      <c r="P575" s="11">
        <f>IF($A575&gt;'1-Input'!$B$26,0,IF(U574&lt;=0,0,MAX(0,(U574-V574)/U574)))</f>
        <v>0.42127387107723863</v>
      </c>
      <c r="Q575" s="18">
        <f>IF($A575&gt;'1-Input'!$B$26,0,(MAX(0,P561-IF($A575&gt;='1-Input'!$C$12,'1-Input'!$B$13,0))-MIN(MAX(T574,0),MAX(0,P561-IF($A575&gt;='1-Input'!$C$12,'1-Input'!$B$13,0))))*(1/(1-'P-Parametri'!$B$6*P575))+MIN(MAX(0,U574-(MAX(0,P561-IF($A575&gt;='1-Input'!$C$12,'1-Input'!$B$13,0))-MIN(MAX(T574,0),MAX(0,P561-IF($A575&gt;='1-Input'!$C$12,'1-Input'!$B$13,0))))*(1/(1-'P-Parametri'!$B$6*P575))),MAX(0,0*P561-(T574-MIN(MAX(T574,0),MAX(0,P561-IF($A575&gt;='1-Input'!$C$12,'1-Input'!$B$13,0)))))*(1/(1-'P-Parametri'!$B$6*P575))))</f>
        <v>22227.575904432611</v>
      </c>
      <c r="R575" s="18">
        <f>IF($A575&gt;'1-Input'!$B$26,T574,(T574-MAX(0,P561-IF($A575&gt;='1-Input'!$C$12,'1-Input'!$B$13,0))+Q575*(1-'P-Parametri'!$B$6*P575))*(1+'1-Input'!$B$27))</f>
        <v>-3.6248820833861826E-12</v>
      </c>
      <c r="S575" s="18">
        <f>IF($A575&gt;'1-Input'!$B$26,U574,(U574-Q575)*(1+'5-Roberta'!$C$4))</f>
        <v>300448.92652401514</v>
      </c>
      <c r="T575" s="18">
        <f>IF($A575&gt;'1-Input'!$B$26,R575,R575-'P-Parametri'!$B$8*(S575+R575)+MIN(MAX(S575,0),'P-Parametri'!$B$8*(S575+R575)))</f>
        <v>-3.637978807091713E-12</v>
      </c>
      <c r="U575" s="18">
        <f>IF($A575&gt;'1-Input'!$B$26,S575,S575-MIN(MAX(S575,0),'P-Parametri'!$B$8*(S575+R575)))</f>
        <v>299848.02867096709</v>
      </c>
      <c r="V575" s="18">
        <f>IF($A575&gt;'1-Input'!$B$26,V574,V574-Q575*(1-P575))</f>
        <v>168813.24678275964</v>
      </c>
      <c r="W575" s="11">
        <f>IF($A575&gt;'1-Input'!$B$26,0,IF(AB574&lt;=0,0,MAX(0,(AB574-AC574)/AB574)))</f>
        <v>0.42127387107723852</v>
      </c>
      <c r="X575" s="18">
        <f>IF($A575&gt;'1-Input'!$B$26,0,(MAX(0,W561-IF($A575&gt;='1-Input'!$C$12,'1-Input'!$B$13,0))-MIN(MAX(AA574,0),MAX(0,W561-IF($A575&gt;='1-Input'!$C$12,'1-Input'!$B$13,0))))*(1/(1-'P-Parametri'!$B$6*W575))+MIN(MAX(0,AB574-(MAX(0,W561-IF($A575&gt;='1-Input'!$C$12,'1-Input'!$B$13,0))-MIN(MAX(AA574,0),MAX(0,W561-IF($A575&gt;='1-Input'!$C$12,'1-Input'!$B$13,0))))*(1/(1-'P-Parametri'!$B$6*W575))),MAX(0,0*W561-(AA574-MIN(MAX(AA574,0),MAX(0,W561-IF($A575&gt;='1-Input'!$C$12,'1-Input'!$B$13,0)))))*(1/(1-'P-Parametri'!$B$6*W575))))</f>
        <v>21928.539007106283</v>
      </c>
      <c r="Y575" s="18">
        <f>IF($A575&gt;'1-Input'!$B$26,AA574,(AA574-MAX(0,W561-IF($A575&gt;='1-Input'!$C$12,'1-Input'!$B$13,0))+X575*(1-'P-Parametri'!$B$6*W575))*(1+'1-Input'!$B$27))</f>
        <v>0</v>
      </c>
      <c r="Z575" s="18">
        <f>IF($A575&gt;'1-Input'!$B$26,AB574,(AB574-X575)*(1+'5-Roberta'!$C$4))</f>
        <v>304643.59916804178</v>
      </c>
      <c r="AA575" s="18">
        <f>IF($A575&gt;'1-Input'!$B$26,Y575,Y575-'P-Parametri'!$B$8*(Z575+Y575)+MIN(MAX(Z575,0),'P-Parametri'!$B$8*(Z575+Y575)))</f>
        <v>0</v>
      </c>
      <c r="AB575" s="18">
        <f>IF($A575&gt;'1-Input'!$B$26,Z575,Z575-MIN(MAX(Z575,0),'P-Parametri'!$B$8*(Z575+Y575)))</f>
        <v>304034.31196970568</v>
      </c>
      <c r="AC575" s="18">
        <f>IF($A575&gt;'1-Input'!$B$26,AC574,AC574-X575*(1-W575))</f>
        <v>171170.10761904682</v>
      </c>
      <c r="AD575" s="11">
        <f>IF($A575&gt;'1-Input'!$B$26,0,IF(AI574&lt;=0,0,MAX(0,(AI574-AJ574)/AI574)))</f>
        <v>0.4212738710772389</v>
      </c>
      <c r="AE575" s="18">
        <f>IF($A575&gt;'1-Input'!$B$26,0,(MAX(0,AD561-IF($A575&gt;='1-Input'!$C$12,'1-Input'!$B$13,0))-MIN(MAX(AH574,0),MAX(0,AD561-IF($A575&gt;='1-Input'!$C$12,'1-Input'!$B$13,0))))*(1/(1-'P-Parametri'!$B$6*AD575))+MIN(MAX(0,AI574-(MAX(0,AD561-IF($A575&gt;='1-Input'!$C$12,'1-Input'!$B$13,0))-MIN(MAX(AH574,0),MAX(0,AD561-IF($A575&gt;='1-Input'!$C$12,'1-Input'!$B$13,0))))*(1/(1-'P-Parametri'!$B$6*AD575))),MAX(0,0*AD561-(AH574-MIN(MAX(AH574,0),MAX(0,AD561-IF($A575&gt;='1-Input'!$C$12,'1-Input'!$B$13,0)))))*(1/(1-'P-Parametri'!$B$6*AD575))))</f>
        <v>21946.98729777593</v>
      </c>
      <c r="AF575" s="18">
        <f>IF($A575&gt;'1-Input'!$B$26,AH574,(AH574-MAX(0,AD561-IF($A575&gt;='1-Input'!$C$12,'1-Input'!$B$13,0))+AE575*(1-'P-Parametri'!$B$6*AD575))*(1+'1-Input'!$B$27))</f>
        <v>0</v>
      </c>
      <c r="AG575" s="18">
        <f>IF($A575&gt;'1-Input'!$B$26,AI574,(AI574-AE575)*(1+'5-Roberta'!$C$4))</f>
        <v>304384.81993078761</v>
      </c>
      <c r="AH575" s="18">
        <f>IF($A575&gt;'1-Input'!$B$26,AF575,AF575-'P-Parametri'!$B$8*(AG575+AF575)+MIN(MAX(AG575,0),'P-Parametri'!$B$8*(AG575+AF575)))</f>
        <v>0</v>
      </c>
      <c r="AI575" s="18">
        <f>IF($A575&gt;'1-Input'!$B$26,AG575,AG575-MIN(MAX(AG575,0),'P-Parametri'!$B$8*(AG575+AF575)))</f>
        <v>303776.05029092601</v>
      </c>
      <c r="AJ575" s="18">
        <f>IF($A575&gt;'1-Input'!$B$26,AJ574,AJ574-AE575*(1-AD575))</f>
        <v>171024.70732174409</v>
      </c>
      <c r="AK575" s="11">
        <f>IF($A575&gt;'1-Input'!$B$26,0,IF(AP574&lt;=0,0,MAX(0,(AP574-AQ574)/AP574)))</f>
        <v>0.4212738710772384</v>
      </c>
      <c r="AL575" s="18">
        <f>IF($A575&gt;'1-Input'!$B$26,0,(MAX(0,AK561-IF($A575&gt;='1-Input'!$C$12,'1-Input'!$B$13,0))-MIN(MAX(AO574,0),MAX(0,AK561-IF($A575&gt;='1-Input'!$C$12,'1-Input'!$B$13,0))))*(1/(1-'P-Parametri'!$B$6*AK575))+MIN(MAX(0,AP574-(MAX(0,AK561-IF($A575&gt;='1-Input'!$C$12,'1-Input'!$B$13,0))-MIN(MAX(AO574,0),MAX(0,AK561-IF($A575&gt;='1-Input'!$C$12,'1-Input'!$B$13,0))))*(1/(1-'P-Parametri'!$B$6*AK575))),MAX(0,0*AK561-(AO574-MIN(MAX(AO574,0),MAX(0,AK561-IF($A575&gt;='1-Input'!$C$12,'1-Input'!$B$13,0)))))*(1/(1-'P-Parametri'!$B$6*AK575))))</f>
        <v>21944.621793707884</v>
      </c>
      <c r="AM575" s="18">
        <f>IF($A575&gt;'1-Input'!$B$26,AO574,(AO574-MAX(0,AK561-IF($A575&gt;='1-Input'!$C$12,'1-Input'!$B$13,0))+AL575*(1-'P-Parametri'!$B$6*AK575))*(1+'1-Input'!$B$27))</f>
        <v>3.6248820833861826E-12</v>
      </c>
      <c r="AN575" s="18">
        <f>IF($A575&gt;'1-Input'!$B$26,AP574,(AP574-AL575)*(1+'5-Roberta'!$C$4))</f>
        <v>304418.00150567747</v>
      </c>
      <c r="AO575" s="18">
        <f>IF($A575&gt;'1-Input'!$B$26,AM575,AM575-'P-Parametri'!$B$8*(AN575+AM575)+MIN(MAX(AN575,0),'P-Parametri'!$B$8*(AN575+AM575)))</f>
        <v>3.637978807091713E-12</v>
      </c>
      <c r="AP575" s="18">
        <f>IF($A575&gt;'1-Input'!$B$26,AN575,AN575-MIN(MAX(AN575,0),'P-Parametri'!$B$8*(AN575+AM575)))</f>
        <v>303809.16550266609</v>
      </c>
      <c r="AQ575" s="18">
        <f>IF($A575&gt;'1-Input'!$B$26,AQ574,AQ574-AL575*(1-AK575))</f>
        <v>171043.35105415934</v>
      </c>
    </row>
    <row r="576" spans="1:43">
      <c r="A576" s="10">
        <f>13</f>
        <v>13</v>
      </c>
      <c r="B576" s="11">
        <f>IF($A576&gt;'1-Input'!$B$26,0,IF(G575&lt;=0,0,MAX(0,(G575-H575)/G575)))</f>
        <v>0.43700397987940787</v>
      </c>
      <c r="C576" s="18">
        <f>IF($A576&gt;'1-Input'!$B$26,0,(MAX(0,B561-IF($A576&gt;='1-Input'!$C$12,'1-Input'!$B$13,0))-MIN(MAX(F575,0),MAX(0,B561-IF($A576&gt;='1-Input'!$C$12,'1-Input'!$B$13,0))))*(1/(1-'P-Parametri'!$B$6*B576))+MIN(MAX(0,G575-(MAX(0,B561-IF($A576&gt;='1-Input'!$C$12,'1-Input'!$B$13,0))-MIN(MAX(F575,0),MAX(0,B561-IF($A576&gt;='1-Input'!$C$12,'1-Input'!$B$13,0))))*(1/(1-'P-Parametri'!$B$6*B576))),MAX(0,0*B561-(F575-MIN(MAX(F575,0),MAX(0,B561-IF($A576&gt;='1-Input'!$C$12,'1-Input'!$B$13,0)))))*(1/(1-'P-Parametri'!$B$6*B576))))</f>
        <v>18819.326686381686</v>
      </c>
      <c r="D576" s="18">
        <f>IF($A576&gt;'1-Input'!$B$26,F575,(F575-MAX(0,B561-IF($A576&gt;='1-Input'!$C$12,'1-Input'!$B$13,0))+C576*(1-'P-Parametri'!$B$6*B576))*(1+'1-Input'!$B$27))</f>
        <v>0</v>
      </c>
      <c r="E576" s="18">
        <f>IF($A576&gt;'1-Input'!$B$26,G575,(G575-C576)*(1+'5-Roberta'!$C$4))</f>
        <v>339850.1039975895</v>
      </c>
      <c r="F576" s="18">
        <f>IF($A576&gt;'1-Input'!$B$26,D576,D576-'P-Parametri'!$B$8*(E576+D576)+MIN(MAX(E576,0),'P-Parametri'!$B$8*(E576+D576)))</f>
        <v>0</v>
      </c>
      <c r="G576" s="18">
        <f>IF($A576&gt;'1-Input'!$B$26,E576,E576-MIN(MAX(E576,0),'P-Parametri'!$B$8*(E576+D576)))</f>
        <v>339170.4037895943</v>
      </c>
      <c r="H576" s="18">
        <f>IF($A576&gt;'1-Input'!$B$26,H575,H575-C576*(1-B576))</f>
        <v>185761.41358078859</v>
      </c>
      <c r="I576" s="11">
        <f>IF($A576&gt;'1-Input'!$B$26,0,IF(N575&lt;=0,0,MAX(0,(N575-O575)/N575)))</f>
        <v>0.43700397987940826</v>
      </c>
      <c r="J576" s="18">
        <f>IF($A576&gt;'1-Input'!$B$26,0,(MAX(0,I561-IF($A576&gt;='1-Input'!$C$12,'1-Input'!$B$13,0))-MIN(MAX(M575,0),MAX(0,I561-IF($A576&gt;='1-Input'!$C$12,'1-Input'!$B$13,0))))*(1/(1-'P-Parametri'!$B$6*I576))+MIN(MAX(0,N575-(MAX(0,I561-IF($A576&gt;='1-Input'!$C$12,'1-Input'!$B$13,0))-MIN(MAX(M575,0),MAX(0,I561-IF($A576&gt;='1-Input'!$C$12,'1-Input'!$B$13,0))))*(1/(1-'P-Parametri'!$B$6*I576))),MAX(0,0*I561-(M575-MIN(MAX(M575,0),MAX(0,I561-IF($A576&gt;='1-Input'!$C$12,'1-Input'!$B$13,0)))))*(1/(1-'P-Parametri'!$B$6*I576))))</f>
        <v>24762.271955765384</v>
      </c>
      <c r="K576" s="18">
        <f>IF($A576&gt;'1-Input'!$B$26,M575,(M575-MAX(0,I561-IF($A576&gt;='1-Input'!$C$12,'1-Input'!$B$13,0))+J576*(1-'P-Parametri'!$B$6*I576))*(1+'1-Input'!$B$27))</f>
        <v>3.6248820833861826E-12</v>
      </c>
      <c r="L576" s="18">
        <f>IF($A576&gt;'1-Input'!$B$26,N575,(N575-J576)*(1+'5-Roberta'!$C$4))</f>
        <v>248429.95095905254</v>
      </c>
      <c r="M576" s="18">
        <f>IF($A576&gt;'1-Input'!$B$26,K576,K576-'P-Parametri'!$B$8*(L576+K576)+MIN(MAX(L576,0),'P-Parametri'!$B$8*(L576+K576)))</f>
        <v>3.637978807091713E-12</v>
      </c>
      <c r="N576" s="18">
        <f>IF($A576&gt;'1-Input'!$B$26,L576,L576-MIN(MAX(L576,0),'P-Parametri'!$B$8*(L576+K576)))</f>
        <v>247933.09105713444</v>
      </c>
      <c r="O576" s="18">
        <f>IF($A576&gt;'1-Input'!$B$26,O575,O575-J576*(1-I576))</f>
        <v>135791.33365893239</v>
      </c>
      <c r="P576" s="11">
        <f>IF($A576&gt;'1-Input'!$B$26,0,IF(U575&lt;=0,0,MAX(0,(U575-V575)/U575)))</f>
        <v>0.43700397987940798</v>
      </c>
      <c r="Q576" s="18">
        <f>IF($A576&gt;'1-Input'!$B$26,0,(MAX(0,P561-IF($A576&gt;='1-Input'!$C$12,'1-Input'!$B$13,0))-MIN(MAX(T575,0),MAX(0,P561-IF($A576&gt;='1-Input'!$C$12,'1-Input'!$B$13,0))))*(1/(1-'P-Parametri'!$B$6*P576))+MIN(MAX(0,U575-(MAX(0,P561-IF($A576&gt;='1-Input'!$C$12,'1-Input'!$B$13,0))-MIN(MAX(T575,0),MAX(0,P561-IF($A576&gt;='1-Input'!$C$12,'1-Input'!$B$13,0))))*(1/(1-'P-Parametri'!$B$6*P576))),MAX(0,0*P561-(T575-MIN(MAX(T575,0),MAX(0,P561-IF($A576&gt;='1-Input'!$C$12,'1-Input'!$B$13,0)))))*(1/(1-'P-Parametri'!$B$6*P576))))</f>
        <v>22330.135839049777</v>
      </c>
      <c r="R576" s="18">
        <f>IF($A576&gt;'1-Input'!$B$26,T575,(T575-MAX(0,P561-IF($A576&gt;='1-Input'!$C$12,'1-Input'!$B$13,0))+Q576*(1-'P-Parametri'!$B$6*P576))*(1+'1-Input'!$B$27))</f>
        <v>0</v>
      </c>
      <c r="S576" s="18">
        <f>IF($A576&gt;'1-Input'!$B$26,U575,(U575-Q576)*(1+'5-Roberta'!$C$4))</f>
        <v>285843.42961687484</v>
      </c>
      <c r="T576" s="18">
        <f>IF($A576&gt;'1-Input'!$B$26,R576,R576-'P-Parametri'!$B$8*(S576+R576)+MIN(MAX(S576,0),'P-Parametri'!$B$8*(S576+R576)))</f>
        <v>0</v>
      </c>
      <c r="U576" s="18">
        <f>IF($A576&gt;'1-Input'!$B$26,S576,S576-MIN(MAX(S576,0),'P-Parametri'!$B$8*(S576+R576)))</f>
        <v>285271.74275764107</v>
      </c>
      <c r="V576" s="18">
        <f>IF($A576&gt;'1-Input'!$B$26,V575,V575-Q576*(1-P576))</f>
        <v>156241.46917662243</v>
      </c>
      <c r="W576" s="11">
        <f>IF($A576&gt;'1-Input'!$B$26,0,IF(AB575&lt;=0,0,MAX(0,(AB575-AC575)/AB575)))</f>
        <v>0.43700397987940781</v>
      </c>
      <c r="X576" s="18">
        <f>IF($A576&gt;'1-Input'!$B$26,0,(MAX(0,W561-IF($A576&gt;='1-Input'!$C$12,'1-Input'!$B$13,0))-MIN(MAX(AA575,0),MAX(0,W561-IF($A576&gt;='1-Input'!$C$12,'1-Input'!$B$13,0))))*(1/(1-'P-Parametri'!$B$6*W576))+MIN(MAX(0,AB575-(MAX(0,W561-IF($A576&gt;='1-Input'!$C$12,'1-Input'!$B$13,0))-MIN(MAX(AA575,0),MAX(0,W561-IF($A576&gt;='1-Input'!$C$12,'1-Input'!$B$13,0))))*(1/(1-'P-Parametri'!$B$6*W576))),MAX(0,0*W561-(AA575-MIN(MAX(AA575,0),MAX(0,W561-IF($A576&gt;='1-Input'!$C$12,'1-Input'!$B$13,0)))))*(1/(1-'P-Parametri'!$B$6*W576))))</f>
        <v>22029.719159925833</v>
      </c>
      <c r="Y576" s="18">
        <f>IF($A576&gt;'1-Input'!$B$26,AA575,(AA575-MAX(0,W561-IF($A576&gt;='1-Input'!$C$12,'1-Input'!$B$13,0))+X576*(1-'P-Parametri'!$B$6*W576))*(1+'1-Input'!$B$27))</f>
        <v>0</v>
      </c>
      <c r="Z576" s="18">
        <f>IF($A576&gt;'1-Input'!$B$26,AB575,(AB575-X576)*(1+'5-Roberta'!$C$4))</f>
        <v>290464.73059407325</v>
      </c>
      <c r="AA576" s="18">
        <f>IF($A576&gt;'1-Input'!$B$26,Y576,Y576-'P-Parametri'!$B$8*(Z576+Y576)+MIN(MAX(Z576,0),'P-Parametri'!$B$8*(Z576+Y576)))</f>
        <v>0</v>
      </c>
      <c r="AB576" s="18">
        <f>IF($A576&gt;'1-Input'!$B$26,Z576,Z576-MIN(MAX(Z576,0),'P-Parametri'!$B$8*(Z576+Y576)))</f>
        <v>289883.8011328851</v>
      </c>
      <c r="AC576" s="18">
        <f>IF($A576&gt;'1-Input'!$B$26,AC575,AC575-X576*(1-W576))</f>
        <v>158767.4634076342</v>
      </c>
      <c r="AD576" s="11">
        <f>IF($A576&gt;'1-Input'!$B$26,0,IF(AI575&lt;=0,0,MAX(0,(AI575-AJ575)/AI575)))</f>
        <v>0.4370039798794082</v>
      </c>
      <c r="AE576" s="18">
        <f>IF($A576&gt;'1-Input'!$B$26,0,(MAX(0,AD561-IF($A576&gt;='1-Input'!$C$12,'1-Input'!$B$13,0))-MIN(MAX(AH575,0),MAX(0,AD561-IF($A576&gt;='1-Input'!$C$12,'1-Input'!$B$13,0))))*(1/(1-'P-Parametri'!$B$6*AD576))+MIN(MAX(0,AI575-(MAX(0,AD561-IF($A576&gt;='1-Input'!$C$12,'1-Input'!$B$13,0))-MIN(MAX(AH575,0),MAX(0,AD561-IF($A576&gt;='1-Input'!$C$12,'1-Input'!$B$13,0))))*(1/(1-'P-Parametri'!$B$6*AD576))),MAX(0,0*AD561-(AH575-MIN(MAX(AH575,0),MAX(0,AD561-IF($A576&gt;='1-Input'!$C$12,'1-Input'!$B$13,0)))))*(1/(1-'P-Parametri'!$B$6*AD576))))</f>
        <v>22048.252572585079</v>
      </c>
      <c r="AF576" s="18">
        <f>IF($A576&gt;'1-Input'!$B$26,AH575,(AH575-MAX(0,AD561-IF($A576&gt;='1-Input'!$C$12,'1-Input'!$B$13,0))+AE576*(1-'P-Parametri'!$B$6*AD576))*(1+'1-Input'!$B$27))</f>
        <v>0</v>
      </c>
      <c r="AG576" s="18">
        <f>IF($A576&gt;'1-Input'!$B$26,AI575,(AI575-AE576)*(1+'5-Roberta'!$C$4))</f>
        <v>290179.63164989115</v>
      </c>
      <c r="AH576" s="18">
        <f>IF($A576&gt;'1-Input'!$B$26,AF576,AF576-'P-Parametri'!$B$8*(AG576+AF576)+MIN(MAX(AG576,0),'P-Parametri'!$B$8*(AG576+AF576)))</f>
        <v>0</v>
      </c>
      <c r="AI576" s="18">
        <f>IF($A576&gt;'1-Input'!$B$26,AG576,AG576-MIN(MAX(AG576,0),'P-Parametri'!$B$8*(AG576+AF576)))</f>
        <v>289599.27238659136</v>
      </c>
      <c r="AJ576" s="18">
        <f>IF($A576&gt;'1-Input'!$B$26,AJ575,AJ575-AE576*(1-AD576))</f>
        <v>158611.62887276508</v>
      </c>
      <c r="AK576" s="11">
        <f>IF($A576&gt;'1-Input'!$B$26,0,IF(AP575&lt;=0,0,MAX(0,(AP575-AQ575)/AP575)))</f>
        <v>0.43700397987940776</v>
      </c>
      <c r="AL576" s="18">
        <f>IF($A576&gt;'1-Input'!$B$26,0,(MAX(0,AK561-IF($A576&gt;='1-Input'!$C$12,'1-Input'!$B$13,0))-MIN(MAX(AO575,0),MAX(0,AK561-IF($A576&gt;='1-Input'!$C$12,'1-Input'!$B$13,0))))*(1/(1-'P-Parametri'!$B$6*AK576))+MIN(MAX(0,AP575-(MAX(0,AK561-IF($A576&gt;='1-Input'!$C$12,'1-Input'!$B$13,0))-MIN(MAX(AO575,0),MAX(0,AK561-IF($A576&gt;='1-Input'!$C$12,'1-Input'!$B$13,0))))*(1/(1-'P-Parametri'!$B$6*AK576))),MAX(0,0*AK561-(AO575-MIN(MAX(AO575,0),MAX(0,AK561-IF($A576&gt;='1-Input'!$C$12,'1-Input'!$B$13,0)))))*(1/(1-'P-Parametri'!$B$6*AK576))))</f>
        <v>22045.876153879119</v>
      </c>
      <c r="AM576" s="18">
        <f>IF($A576&gt;'1-Input'!$B$26,AO575,(AO575-MAX(0,AK561-IF($A576&gt;='1-Input'!$C$12,'1-Input'!$B$13,0))+AL576*(1-'P-Parametri'!$B$6*AK576))*(1+'1-Input'!$B$27))</f>
        <v>0</v>
      </c>
      <c r="AN576" s="18">
        <f>IF($A576&gt;'1-Input'!$B$26,AP575,(AP575-AL576)*(1+'5-Roberta'!$C$4))</f>
        <v>290216.1880292506</v>
      </c>
      <c r="AO576" s="18">
        <f>IF($A576&gt;'1-Input'!$B$26,AM576,AM576-'P-Parametri'!$B$8*(AN576+AM576)+MIN(MAX(AN576,0),'P-Parametri'!$B$8*(AN576+AM576)))</f>
        <v>0</v>
      </c>
      <c r="AP576" s="18">
        <f>IF($A576&gt;'1-Input'!$B$26,AN576,AN576-MIN(MAX(AN576,0),'P-Parametri'!$B$8*(AN576+AM576)))</f>
        <v>289635.75565319211</v>
      </c>
      <c r="AQ576" s="18">
        <f>IF($A576&gt;'1-Input'!$B$26,AQ575,AQ575-AL576*(1-AK576))</f>
        <v>158631.61051945394</v>
      </c>
    </row>
    <row r="577" spans="1:43">
      <c r="A577" s="10">
        <f>14</f>
        <v>14</v>
      </c>
      <c r="B577" s="11">
        <f>IF($A577&gt;'1-Input'!$B$26,0,IF(G576&lt;=0,0,MAX(0,(G576-H576)/G576)))</f>
        <v>0.45230653528358444</v>
      </c>
      <c r="C577" s="18">
        <f>IF($A577&gt;'1-Input'!$B$26,0,(MAX(0,B561-IF($A577&gt;='1-Input'!$C$12,'1-Input'!$B$13,0))-MIN(MAX(F576,0),MAX(0,B561-IF($A577&gt;='1-Input'!$C$12,'1-Input'!$B$13,0))))*(1/(1-'P-Parametri'!$B$6*B577))+MIN(MAX(0,G576-(MAX(0,B561-IF($A577&gt;='1-Input'!$C$12,'1-Input'!$B$13,0))-MIN(MAX(F576,0),MAX(0,B561-IF($A577&gt;='1-Input'!$C$12,'1-Input'!$B$13,0))))*(1/(1-'P-Parametri'!$B$6*B577))),MAX(0,0*B561-(F576-MIN(MAX(F576,0),MAX(0,B561-IF($A577&gt;='1-Input'!$C$12,'1-Input'!$B$13,0)))))*(1/(1-'P-Parametri'!$B$6*B577))))</f>
        <v>18904.181355112731</v>
      </c>
      <c r="D577" s="18">
        <f>IF($A577&gt;'1-Input'!$B$26,F576,(F576-MAX(0,B561-IF($A577&gt;='1-Input'!$C$12,'1-Input'!$B$13,0))+C577*(1-'P-Parametri'!$B$6*B577))*(1+'1-Input'!$B$27))</f>
        <v>0</v>
      </c>
      <c r="E577" s="18">
        <f>IF($A577&gt;'1-Input'!$B$26,G576,(G576-C577)*(1+'5-Roberta'!$C$4))</f>
        <v>329874.20910751598</v>
      </c>
      <c r="F577" s="18">
        <f>IF($A577&gt;'1-Input'!$B$26,D577,D577-'P-Parametri'!$B$8*(E577+D577)+MIN(MAX(E577,0),'P-Parametri'!$B$8*(E577+D577)))</f>
        <v>0</v>
      </c>
      <c r="G577" s="18">
        <f>IF($A577&gt;'1-Input'!$B$26,E577,E577-MIN(MAX(E577,0),'P-Parametri'!$B$8*(E577+D577)))</f>
        <v>329214.46068930096</v>
      </c>
      <c r="H577" s="18">
        <f>IF($A577&gt;'1-Input'!$B$26,H576,H576-C577*(1-B577))</f>
        <v>175407.71699677943</v>
      </c>
      <c r="I577" s="11">
        <f>IF($A577&gt;'1-Input'!$B$26,0,IF(N576&lt;=0,0,MAX(0,(N576-O576)/N576)))</f>
        <v>0.45230653528358494</v>
      </c>
      <c r="J577" s="18">
        <f>IF($A577&gt;'1-Input'!$B$26,0,(MAX(0,I561-IF($A577&gt;='1-Input'!$C$12,'1-Input'!$B$13,0))-MIN(MAX(M576,0),MAX(0,I561-IF($A577&gt;='1-Input'!$C$12,'1-Input'!$B$13,0))))*(1/(1-'P-Parametri'!$B$6*I577))+MIN(MAX(0,N576-(MAX(0,I561-IF($A577&gt;='1-Input'!$C$12,'1-Input'!$B$13,0))-MIN(MAX(M576,0),MAX(0,I561-IF($A577&gt;='1-Input'!$C$12,'1-Input'!$B$13,0))))*(1/(1-'P-Parametri'!$B$6*I577))),MAX(0,0*I561-(M576-MIN(MAX(M576,0),MAX(0,I561-IF($A577&gt;='1-Input'!$C$12,'1-Input'!$B$13,0)))))*(1/(1-'P-Parametri'!$B$6*I577))))</f>
        <v>24873.92283567465</v>
      </c>
      <c r="K577" s="18">
        <f>IF($A577&gt;'1-Input'!$B$26,M576,(M576-MAX(0,I561-IF($A577&gt;='1-Input'!$C$12,'1-Input'!$B$13,0))+J577*(1-'P-Parametri'!$B$6*I577))*(1+'1-Input'!$B$27))</f>
        <v>0</v>
      </c>
      <c r="L577" s="18">
        <f>IF($A577&gt;'1-Input'!$B$26,N576,(N576-J577)*(1+'5-Roberta'!$C$4))</f>
        <v>229750.94326810358</v>
      </c>
      <c r="M577" s="18">
        <f>IF($A577&gt;'1-Input'!$B$26,K577,K577-'P-Parametri'!$B$8*(L577+K577)+MIN(MAX(L577,0),'P-Parametri'!$B$8*(L577+K577)))</f>
        <v>0</v>
      </c>
      <c r="N577" s="18">
        <f>IF($A577&gt;'1-Input'!$B$26,L577,L577-MIN(MAX(L577,0),'P-Parametri'!$B$8*(L577+K577)))</f>
        <v>229291.44138156739</v>
      </c>
      <c r="O577" s="18">
        <f>IF($A577&gt;'1-Input'!$B$26,O576,O576-J577*(1-I577))</f>
        <v>122168.04867997298</v>
      </c>
      <c r="P577" s="11">
        <f>IF($A577&gt;'1-Input'!$B$26,0,IF(U576&lt;=0,0,MAX(0,(U576-V576)/U576)))</f>
        <v>0.45230653528358455</v>
      </c>
      <c r="Q577" s="18">
        <f>IF($A577&gt;'1-Input'!$B$26,0,(MAX(0,P561-IF($A577&gt;='1-Input'!$C$12,'1-Input'!$B$13,0))-MIN(MAX(T576,0),MAX(0,P561-IF($A577&gt;='1-Input'!$C$12,'1-Input'!$B$13,0))))*(1/(1-'P-Parametri'!$B$6*P577))+MIN(MAX(0,U576-(MAX(0,P561-IF($A577&gt;='1-Input'!$C$12,'1-Input'!$B$13,0))-MIN(MAX(T576,0),MAX(0,P561-IF($A577&gt;='1-Input'!$C$12,'1-Input'!$B$13,0))))*(1/(1-'P-Parametri'!$B$6*P577))),MAX(0,0*P561-(T576-MIN(MAX(T576,0),MAX(0,P561-IF($A577&gt;='1-Input'!$C$12,'1-Input'!$B$13,0)))))*(1/(1-'P-Parametri'!$B$6*P577))))</f>
        <v>22430.820433717716</v>
      </c>
      <c r="R577" s="18">
        <f>IF($A577&gt;'1-Input'!$B$26,T576,(T576-MAX(0,P561-IF($A577&gt;='1-Input'!$C$12,'1-Input'!$B$13,0))+Q577*(1-'P-Parametri'!$B$6*P577))*(1+'1-Input'!$B$27))</f>
        <v>3.6248820833861826E-12</v>
      </c>
      <c r="S577" s="18">
        <f>IF($A577&gt;'1-Input'!$B$26,U576,(U576-Q577)*(1+'5-Roberta'!$C$4))</f>
        <v>270726.14999364101</v>
      </c>
      <c r="T577" s="18">
        <f>IF($A577&gt;'1-Input'!$B$26,R577,R577-'P-Parametri'!$B$8*(S577+R577)+MIN(MAX(S577,0),'P-Parametri'!$B$8*(S577+R577)))</f>
        <v>3.637978807091713E-12</v>
      </c>
      <c r="U577" s="18">
        <f>IF($A577&gt;'1-Input'!$B$26,S577,S577-MIN(MAX(S577,0),'P-Parametri'!$B$8*(S577+R577)))</f>
        <v>270184.69769365375</v>
      </c>
      <c r="V577" s="18">
        <f>IF($A577&gt;'1-Input'!$B$26,V576,V576-Q577*(1-P577))</f>
        <v>143956.25541684779</v>
      </c>
      <c r="W577" s="11">
        <f>IF($A577&gt;'1-Input'!$B$26,0,IF(AB576&lt;=0,0,MAX(0,(AB576-AC576)/AB576)))</f>
        <v>0.45230653528358455</v>
      </c>
      <c r="X577" s="18">
        <f>IF($A577&gt;'1-Input'!$B$26,0,(MAX(0,W561-IF($A577&gt;='1-Input'!$C$12,'1-Input'!$B$13,0))-MIN(MAX(AA576,0),MAX(0,W561-IF($A577&gt;='1-Input'!$C$12,'1-Input'!$B$13,0))))*(1/(1-'P-Parametri'!$B$6*W577))+MIN(MAX(0,AB576-(MAX(0,W561-IF($A577&gt;='1-Input'!$C$12,'1-Input'!$B$13,0))-MIN(MAX(AA576,0),MAX(0,W561-IF($A577&gt;='1-Input'!$C$12,'1-Input'!$B$13,0))))*(1/(1-'P-Parametri'!$B$6*W577))),MAX(0,0*W561-(AA576-MIN(MAX(AA576,0),MAX(0,W561-IF($A577&gt;='1-Input'!$C$12,'1-Input'!$B$13,0)))))*(1/(1-'P-Parametri'!$B$6*W577))))</f>
        <v>22129.049202530721</v>
      </c>
      <c r="Y577" s="18">
        <f>IF($A577&gt;'1-Input'!$B$26,AA576,(AA576-MAX(0,W561-IF($A577&gt;='1-Input'!$C$12,'1-Input'!$B$13,0))+X577*(1-'P-Parametri'!$B$6*W577))*(1+'1-Input'!$B$27))</f>
        <v>0</v>
      </c>
      <c r="Z577" s="18">
        <f>IF($A577&gt;'1-Input'!$B$26,AB576,(AB576-X577)*(1+'5-Roberta'!$C$4))</f>
        <v>275787.39448826504</v>
      </c>
      <c r="AA577" s="18">
        <f>IF($A577&gt;'1-Input'!$B$26,Y577,Y577-'P-Parametri'!$B$8*(Z577+Y577)+MIN(MAX(Z577,0),'P-Parametri'!$B$8*(Z577+Y577)))</f>
        <v>0</v>
      </c>
      <c r="AB577" s="18">
        <f>IF($A577&gt;'1-Input'!$B$26,Z577,Z577-MIN(MAX(Z577,0),'P-Parametri'!$B$8*(Z577+Y577)))</f>
        <v>275235.81969928852</v>
      </c>
      <c r="AC577" s="18">
        <f>IF($A577&gt;'1-Input'!$B$26,AC576,AC576-X577*(1-W577))</f>
        <v>146647.52777902014</v>
      </c>
      <c r="AD577" s="11">
        <f>IF($A577&gt;'1-Input'!$B$26,0,IF(AI576&lt;=0,0,MAX(0,(AI576-AJ576)/AI576)))</f>
        <v>0.45230653528358483</v>
      </c>
      <c r="AE577" s="18">
        <f>IF($A577&gt;'1-Input'!$B$26,0,(MAX(0,AD561-IF($A577&gt;='1-Input'!$C$12,'1-Input'!$B$13,0))-MIN(MAX(AH576,0),MAX(0,AD561-IF($A577&gt;='1-Input'!$C$12,'1-Input'!$B$13,0))))*(1/(1-'P-Parametri'!$B$6*AD577))+MIN(MAX(0,AI576-(MAX(0,AD561-IF($A577&gt;='1-Input'!$C$12,'1-Input'!$B$13,0))-MIN(MAX(AH576,0),MAX(0,AD561-IF($A577&gt;='1-Input'!$C$12,'1-Input'!$B$13,0))))*(1/(1-'P-Parametri'!$B$6*AD577))),MAX(0,0*AD561-(AH576-MIN(MAX(AH576,0),MAX(0,AD561-IF($A577&gt;='1-Input'!$C$12,'1-Input'!$B$13,0)))))*(1/(1-'P-Parametri'!$B$6*AD577))))</f>
        <v>22147.666180697797</v>
      </c>
      <c r="AF577" s="18">
        <f>IF($A577&gt;'1-Input'!$B$26,AH576,(AH576-MAX(0,AD561-IF($A577&gt;='1-Input'!$C$12,'1-Input'!$B$13,0))+AE577*(1-'P-Parametri'!$B$6*AD577))*(1+'1-Input'!$B$27))</f>
        <v>0</v>
      </c>
      <c r="AG577" s="18">
        <f>IF($A577&gt;'1-Input'!$B$26,AI576,(AI576-AE577)*(1+'5-Roberta'!$C$4))</f>
        <v>275475.15439207037</v>
      </c>
      <c r="AH577" s="18">
        <f>IF($A577&gt;'1-Input'!$B$26,AF577,AF577-'P-Parametri'!$B$8*(AG577+AF577)+MIN(MAX(AG577,0),'P-Parametri'!$B$8*(AG577+AF577)))</f>
        <v>0</v>
      </c>
      <c r="AI577" s="18">
        <f>IF($A577&gt;'1-Input'!$B$26,AG577,AG577-MIN(MAX(AG577,0),'P-Parametri'!$B$8*(AG577+AF577)))</f>
        <v>274924.20408328623</v>
      </c>
      <c r="AJ577" s="18">
        <f>IF($A577&gt;'1-Input'!$B$26,AJ576,AJ576-AE577*(1-AD577))</f>
        <v>146481.49684687614</v>
      </c>
      <c r="AK577" s="11">
        <f>IF($A577&gt;'1-Input'!$B$26,0,IF(AP576&lt;=0,0,MAX(0,(AP576-AQ576)/AP576)))</f>
        <v>0.45230653528358439</v>
      </c>
      <c r="AL577" s="18">
        <f>IF($A577&gt;'1-Input'!$B$26,0,(MAX(0,AK561-IF($A577&gt;='1-Input'!$C$12,'1-Input'!$B$13,0))-MIN(MAX(AO576,0),MAX(0,AK561-IF($A577&gt;='1-Input'!$C$12,'1-Input'!$B$13,0))))*(1/(1-'P-Parametri'!$B$6*AK577))+MIN(MAX(0,AP576-(MAX(0,AK561-IF($A577&gt;='1-Input'!$C$12,'1-Input'!$B$13,0))-MIN(MAX(AO576,0),MAX(0,AK561-IF($A577&gt;='1-Input'!$C$12,'1-Input'!$B$13,0))))*(1/(1-'P-Parametri'!$B$6*AK577))),MAX(0,0*AK561-(AO576-MIN(MAX(AO576,0),MAX(0,AK561-IF($A577&gt;='1-Input'!$C$12,'1-Input'!$B$13,0)))))*(1/(1-'P-Parametri'!$B$6*AK577))))</f>
        <v>22145.279046931442</v>
      </c>
      <c r="AM577" s="18">
        <f>IF($A577&gt;'1-Input'!$B$26,AO576,(AO576-MAX(0,AK561-IF($A577&gt;='1-Input'!$C$12,'1-Input'!$B$13,0))+AL577*(1-'P-Parametri'!$B$6*AK577))*(1+'1-Input'!$B$27))</f>
        <v>0</v>
      </c>
      <c r="AN577" s="18">
        <f>IF($A577&gt;'1-Input'!$B$26,AP576,(AP576-AL577)*(1+'5-Roberta'!$C$4))</f>
        <v>275515.19090444851</v>
      </c>
      <c r="AO577" s="18">
        <f>IF($A577&gt;'1-Input'!$B$26,AM577,AM577-'P-Parametri'!$B$8*(AN577+AM577)+MIN(MAX(AN577,0),'P-Parametri'!$B$8*(AN577+AM577)))</f>
        <v>0</v>
      </c>
      <c r="AP577" s="18">
        <f>IF($A577&gt;'1-Input'!$B$26,AN577,AN577-MIN(MAX(AN577,0),'P-Parametri'!$B$8*(AN577+AM577)))</f>
        <v>274964.16052263964</v>
      </c>
      <c r="AQ577" s="18">
        <f>IF($A577&gt;'1-Input'!$B$26,AQ576,AQ576-AL577*(1-AK577))</f>
        <v>146502.78591112822</v>
      </c>
    </row>
    <row r="578" spans="1:43">
      <c r="A578" s="10">
        <f>15</f>
        <v>15</v>
      </c>
      <c r="B578" s="11">
        <f>IF($A578&gt;'1-Input'!$B$26,0,IF(G577&lt;=0,0,MAX(0,(G577-H577)/G577)))</f>
        <v>0.46719315843685855</v>
      </c>
      <c r="C578" s="18">
        <f>IF($A578&gt;'1-Input'!$B$26,0,(MAX(0,B561-IF($A578&gt;='1-Input'!$C$12,'1-Input'!$B$13,0))-MIN(MAX(F577,0),MAX(0,B561-IF($A578&gt;='1-Input'!$C$12,'1-Input'!$B$13,0))))*(1/(1-'P-Parametri'!$B$6*B578))+MIN(MAX(0,G577-(MAX(0,B561-IF($A578&gt;='1-Input'!$C$12,'1-Input'!$B$13,0))-MIN(MAX(F577,0),MAX(0,B561-IF($A578&gt;='1-Input'!$C$12,'1-Input'!$B$13,0))))*(1/(1-'P-Parametri'!$B$6*B578))),MAX(0,0*B561-(F577-MIN(MAX(F577,0),MAX(0,B561-IF($A578&gt;='1-Input'!$C$12,'1-Input'!$B$13,0)))))*(1/(1-'P-Parametri'!$B$6*B578))))</f>
        <v>18987.467149137421</v>
      </c>
      <c r="D578" s="18">
        <f>IF($A578&gt;'1-Input'!$B$26,F577,(F577-MAX(0,B561-IF($A578&gt;='1-Input'!$C$12,'1-Input'!$B$13,0))+C578*(1-'P-Parametri'!$B$6*B578))*(1+'1-Input'!$B$27))</f>
        <v>0</v>
      </c>
      <c r="E578" s="18">
        <f>IF($A578&gt;'1-Input'!$B$26,G577,(G577-C578)*(1+'5-Roberta'!$C$4))</f>
        <v>319533.80334636848</v>
      </c>
      <c r="F578" s="18">
        <f>IF($A578&gt;'1-Input'!$B$26,D578,D578-'P-Parametri'!$B$8*(E578+D578)+MIN(MAX(E578,0),'P-Parametri'!$B$8*(E578+D578)))</f>
        <v>0</v>
      </c>
      <c r="G578" s="18">
        <f>IF($A578&gt;'1-Input'!$B$26,E578,E578-MIN(MAX(E578,0),'P-Parametri'!$B$8*(E578+D578)))</f>
        <v>318894.73573967576</v>
      </c>
      <c r="H578" s="18">
        <f>IF($A578&gt;'1-Input'!$B$26,H577,H577-C578*(1-B578))</f>
        <v>165291.06459576363</v>
      </c>
      <c r="I578" s="11">
        <f>IF($A578&gt;'1-Input'!$B$26,0,IF(N577&lt;=0,0,MAX(0,(N577-O577)/N577)))</f>
        <v>0.4671931584368591</v>
      </c>
      <c r="J578" s="18">
        <f>IF($A578&gt;'1-Input'!$B$26,0,(MAX(0,I561-IF($A578&gt;='1-Input'!$C$12,'1-Input'!$B$13,0))-MIN(MAX(M577,0),MAX(0,I561-IF($A578&gt;='1-Input'!$C$12,'1-Input'!$B$13,0))))*(1/(1-'P-Parametri'!$B$6*I578))+MIN(MAX(0,N577-(MAX(0,I561-IF($A578&gt;='1-Input'!$C$12,'1-Input'!$B$13,0))-MIN(MAX(M577,0),MAX(0,I561-IF($A578&gt;='1-Input'!$C$12,'1-Input'!$B$13,0))))*(1/(1-'P-Parametri'!$B$6*I578))),MAX(0,0*I561-(M577-MIN(MAX(M577,0),MAX(0,I561-IF($A578&gt;='1-Input'!$C$12,'1-Input'!$B$13,0)))))*(1/(1-'P-Parametri'!$B$6*I578))))</f>
        <v>24983.509406759771</v>
      </c>
      <c r="K578" s="18">
        <f>IF($A578&gt;'1-Input'!$B$26,M577,(M577-MAX(0,I561-IF($A578&gt;='1-Input'!$C$12,'1-Input'!$B$13,0))+J578*(1-'P-Parametri'!$B$6*I578))*(1+'1-Input'!$B$27))</f>
        <v>0</v>
      </c>
      <c r="L578" s="18">
        <f>IF($A578&gt;'1-Input'!$B$26,N577,(N577-J578)*(1+'5-Roberta'!$C$4))</f>
        <v>210437.16993405184</v>
      </c>
      <c r="M578" s="18">
        <f>IF($A578&gt;'1-Input'!$B$26,K578,K578-'P-Parametri'!$B$8*(L578+K578)+MIN(MAX(L578,0),'P-Parametri'!$B$8*(L578+K578)))</f>
        <v>0</v>
      </c>
      <c r="N578" s="18">
        <f>IF($A578&gt;'1-Input'!$B$26,L578,L578-MIN(MAX(L578,0),'P-Parametri'!$B$8*(L578+K578)))</f>
        <v>210016.29559418373</v>
      </c>
      <c r="O578" s="18">
        <f>IF($A578&gt;'1-Input'!$B$26,O577,O577-J578*(1-I578))</f>
        <v>108856.66394179429</v>
      </c>
      <c r="P578" s="11">
        <f>IF($A578&gt;'1-Input'!$B$26,0,IF(U577&lt;=0,0,MAX(0,(U577-V577)/U577)))</f>
        <v>0.46719315843685871</v>
      </c>
      <c r="Q578" s="18">
        <f>IF($A578&gt;'1-Input'!$B$26,0,(MAX(0,P561-IF($A578&gt;='1-Input'!$C$12,'1-Input'!$B$13,0))-MIN(MAX(T577,0),MAX(0,P561-IF($A578&gt;='1-Input'!$C$12,'1-Input'!$B$13,0))))*(1/(1-'P-Parametri'!$B$6*P578))+MIN(MAX(0,U577-(MAX(0,P561-IF($A578&gt;='1-Input'!$C$12,'1-Input'!$B$13,0))-MIN(MAX(T577,0),MAX(0,P561-IF($A578&gt;='1-Input'!$C$12,'1-Input'!$B$13,0))))*(1/(1-'P-Parametri'!$B$6*P578))),MAX(0,0*P561-(T577-MIN(MAX(T577,0),MAX(0,P561-IF($A578&gt;='1-Input'!$C$12,'1-Input'!$B$13,0)))))*(1/(1-'P-Parametri'!$B$6*P578))))</f>
        <v>22529.643474787514</v>
      </c>
      <c r="R578" s="18">
        <f>IF($A578&gt;'1-Input'!$B$26,T577,(T577-MAX(0,P561-IF($A578&gt;='1-Input'!$C$12,'1-Input'!$B$13,0))+Q578*(1-'P-Parametri'!$B$6*P578))*(1+'1-Input'!$B$27))</f>
        <v>0</v>
      </c>
      <c r="S578" s="18">
        <f>IF($A578&gt;'1-Input'!$B$26,U577,(U577-Q578)*(1+'5-Roberta'!$C$4))</f>
        <v>255084.70584543224</v>
      </c>
      <c r="T578" s="18">
        <f>IF($A578&gt;'1-Input'!$B$26,R578,R578-'P-Parametri'!$B$8*(S578+R578)+MIN(MAX(S578,0),'P-Parametri'!$B$8*(S578+R578)))</f>
        <v>0</v>
      </c>
      <c r="U578" s="18">
        <f>IF($A578&gt;'1-Input'!$B$26,S578,S578-MIN(MAX(S578,0),'P-Parametri'!$B$8*(S578+R578)))</f>
        <v>254574.53643374136</v>
      </c>
      <c r="V578" s="18">
        <f>IF($A578&gt;'1-Input'!$B$26,V577,V577-Q578*(1-P578))</f>
        <v>131952.30723550264</v>
      </c>
      <c r="W578" s="11">
        <f>IF($A578&gt;'1-Input'!$B$26,0,IF(AB577&lt;=0,0,MAX(0,(AB577-AC577)/AB577)))</f>
        <v>0.46719315843685871</v>
      </c>
      <c r="X578" s="18">
        <f>IF($A578&gt;'1-Input'!$B$26,0,(MAX(0,W561-IF($A578&gt;='1-Input'!$C$12,'1-Input'!$B$13,0))-MIN(MAX(AA577,0),MAX(0,W561-IF($A578&gt;='1-Input'!$C$12,'1-Input'!$B$13,0))))*(1/(1-'P-Parametri'!$B$6*W578))+MIN(MAX(0,AB577-(MAX(0,W561-IF($A578&gt;='1-Input'!$C$12,'1-Input'!$B$13,0))-MIN(MAX(AA577,0),MAX(0,W561-IF($A578&gt;='1-Input'!$C$12,'1-Input'!$B$13,0))))*(1/(1-'P-Parametri'!$B$6*W578))),MAX(0,0*W561-(AA577-MIN(MAX(AA577,0),MAX(0,W561-IF($A578&gt;='1-Input'!$C$12,'1-Input'!$B$13,0)))))*(1/(1-'P-Parametri'!$B$6*W578))))</f>
        <v>22226.542735798463</v>
      </c>
      <c r="Y578" s="18">
        <f>IF($A578&gt;'1-Input'!$B$26,AA577,(AA577-MAX(0,W561-IF($A578&gt;='1-Input'!$C$12,'1-Input'!$B$13,0))+X578*(1-'P-Parametri'!$B$6*W578))*(1+'1-Input'!$B$27))</f>
        <v>0</v>
      </c>
      <c r="Z578" s="18">
        <f>IF($A578&gt;'1-Input'!$B$26,AB577,(AB577-X578)*(1+'5-Roberta'!$C$4))</f>
        <v>260599.55527239476</v>
      </c>
      <c r="AA578" s="18">
        <f>IF($A578&gt;'1-Input'!$B$26,Y578,Y578-'P-Parametri'!$B$8*(Z578+Y578)+MIN(MAX(Z578,0),'P-Parametri'!$B$8*(Z578+Y578)))</f>
        <v>0</v>
      </c>
      <c r="AB578" s="18">
        <f>IF($A578&gt;'1-Input'!$B$26,Z578,Z578-MIN(MAX(Z578,0),'P-Parametri'!$B$8*(Z578+Y578)))</f>
        <v>260078.35616184998</v>
      </c>
      <c r="AC578" s="18">
        <f>IF($A578&gt;'1-Input'!$B$26,AC577,AC577-X578*(1-W578))</f>
        <v>134805.07374509118</v>
      </c>
      <c r="AD578" s="11">
        <f>IF($A578&gt;'1-Input'!$B$26,0,IF(AI577&lt;=0,0,MAX(0,(AI577-AJ577)/AI577)))</f>
        <v>0.46719315843685899</v>
      </c>
      <c r="AE578" s="18">
        <f>IF($A578&gt;'1-Input'!$B$26,0,(MAX(0,AD561-IF($A578&gt;='1-Input'!$C$12,'1-Input'!$B$13,0))-MIN(MAX(AH577,0),MAX(0,AD561-IF($A578&gt;='1-Input'!$C$12,'1-Input'!$B$13,0))))*(1/(1-'P-Parametri'!$B$6*AD578))+MIN(MAX(0,AI577-(MAX(0,AD561-IF($A578&gt;='1-Input'!$C$12,'1-Input'!$B$13,0))-MIN(MAX(AH577,0),MAX(0,AD561-IF($A578&gt;='1-Input'!$C$12,'1-Input'!$B$13,0))))*(1/(1-'P-Parametri'!$B$6*AD578))),MAX(0,0*AD561-(AH577-MIN(MAX(AH577,0),MAX(0,AD561-IF($A578&gt;='1-Input'!$C$12,'1-Input'!$B$13,0)))))*(1/(1-'P-Parametri'!$B$6*AD578))))</f>
        <v>22245.241734433912</v>
      </c>
      <c r="AF578" s="18">
        <f>IF($A578&gt;'1-Input'!$B$26,AH577,(AH577-MAX(0,AD561-IF($A578&gt;='1-Input'!$C$12,'1-Input'!$B$13,0))+AE578*(1-'P-Parametri'!$B$6*AD578))*(1+'1-Input'!$B$27))</f>
        <v>-3.6248820833861826E-12</v>
      </c>
      <c r="AG578" s="18">
        <f>IF($A578&gt;'1-Input'!$B$26,AI577,(AI577-AE578)*(1+'5-Roberta'!$C$4))</f>
        <v>260259.33121931789</v>
      </c>
      <c r="AH578" s="18">
        <f>IF($A578&gt;'1-Input'!$B$26,AF578,AF578-'P-Parametri'!$B$8*(AG578+AF578)+MIN(MAX(AG578,0),'P-Parametri'!$B$8*(AG578+AF578)))</f>
        <v>-3.637978807091713E-12</v>
      </c>
      <c r="AI578" s="18">
        <f>IF($A578&gt;'1-Input'!$B$26,AG578,AG578-MIN(MAX(AG578,0),'P-Parametri'!$B$8*(AG578+AF578)))</f>
        <v>259738.81255687925</v>
      </c>
      <c r="AJ578" s="18">
        <f>IF($A578&gt;'1-Input'!$B$26,AJ577,AJ577-AE578*(1-AD578))</f>
        <v>134629.07985854385</v>
      </c>
      <c r="AK578" s="11">
        <f>IF($A578&gt;'1-Input'!$B$26,0,IF(AP577&lt;=0,0,MAX(0,(AP577-AQ577)/AP577)))</f>
        <v>0.46719315843685866</v>
      </c>
      <c r="AL578" s="18">
        <f>IF($A578&gt;'1-Input'!$B$26,0,(MAX(0,AK561-IF($A578&gt;='1-Input'!$C$12,'1-Input'!$B$13,0))-MIN(MAX(AO577,0),MAX(0,AK561-IF($A578&gt;='1-Input'!$C$12,'1-Input'!$B$13,0))))*(1/(1-'P-Parametri'!$B$6*AK578))+MIN(MAX(0,AP577-(MAX(0,AK561-IF($A578&gt;='1-Input'!$C$12,'1-Input'!$B$13,0))-MIN(MAX(AO577,0),MAX(0,AK561-IF($A578&gt;='1-Input'!$C$12,'1-Input'!$B$13,0))))*(1/(1-'P-Parametri'!$B$6*AK578))),MAX(0,0*AK561-(AO577-MIN(MAX(AO577,0),MAX(0,AK561-IF($A578&gt;='1-Input'!$C$12,'1-Input'!$B$13,0)))))*(1/(1-'P-Parametri'!$B$6*AK578))))</f>
        <v>22242.844083717508</v>
      </c>
      <c r="AM578" s="18">
        <f>IF($A578&gt;'1-Input'!$B$26,AO577,(AO577-MAX(0,AK561-IF($A578&gt;='1-Input'!$C$12,'1-Input'!$B$13,0))+AL578*(1-'P-Parametri'!$B$6*AK578))*(1+'1-Input'!$B$27))</f>
        <v>0</v>
      </c>
      <c r="AN578" s="18">
        <f>IF($A578&gt;'1-Input'!$B$26,AP577,(AP577-AL578)*(1+'5-Roberta'!$C$4))</f>
        <v>260302.9559320898</v>
      </c>
      <c r="AO578" s="18">
        <f>IF($A578&gt;'1-Input'!$B$26,AM578,AM578-'P-Parametri'!$B$8*(AN578+AM578)+MIN(MAX(AN578,0),'P-Parametri'!$B$8*(AN578+AM578)))</f>
        <v>0</v>
      </c>
      <c r="AP578" s="18">
        <f>IF($A578&gt;'1-Input'!$B$26,AN578,AN578-MIN(MAX(AN578,0),'P-Parametri'!$B$8*(AN578+AM578)))</f>
        <v>259782.35002022563</v>
      </c>
      <c r="AQ578" s="18">
        <f>IF($A578&gt;'1-Input'!$B$26,AQ577,AQ577-AL578*(1-AK578))</f>
        <v>134651.64640750128</v>
      </c>
    </row>
    <row r="579" spans="1:43">
      <c r="A579" s="10">
        <f>16</f>
        <v>16</v>
      </c>
      <c r="B579" s="11">
        <f>IF($A579&gt;'1-Input'!$B$26,0,IF(G578&lt;=0,0,MAX(0,(G578-H578)/G578)))</f>
        <v>0.48167515461686344</v>
      </c>
      <c r="C579" s="18">
        <f>IF($A579&gt;'1-Input'!$B$26,0,(MAX(0,B561-IF($A579&gt;='1-Input'!$C$12,'1-Input'!$B$13,0))-MIN(MAX(F578,0),MAX(0,B561-IF($A579&gt;='1-Input'!$C$12,'1-Input'!$B$13,0))))*(1/(1-'P-Parametri'!$B$6*B579))+MIN(MAX(0,G578-(MAX(0,B561-IF($A579&gt;='1-Input'!$C$12,'1-Input'!$B$13,0))-MIN(MAX(F578,0),MAX(0,B561-IF($A579&gt;='1-Input'!$C$12,'1-Input'!$B$13,0))))*(1/(1-'P-Parametri'!$B$6*B579))),MAX(0,0*B561-(F578-MIN(MAX(F578,0),MAX(0,B561-IF($A579&gt;='1-Input'!$C$12,'1-Input'!$B$13,0)))))*(1/(1-'P-Parametri'!$B$6*B579))))</f>
        <v>19069.196430827764</v>
      </c>
      <c r="D579" s="18">
        <f>IF($A579&gt;'1-Input'!$B$26,F578,(F578-MAX(0,B561-IF($A579&gt;='1-Input'!$C$12,'1-Input'!$B$13,0))+C579*(1-'P-Parametri'!$B$6*B579))*(1+'1-Input'!$B$27))</f>
        <v>3.6248820833861826E-12</v>
      </c>
      <c r="E579" s="18">
        <f>IF($A579&gt;'1-Input'!$B$26,G578,(G578-C579)*(1+'5-Roberta'!$C$4))</f>
        <v>308820.30548811343</v>
      </c>
      <c r="F579" s="18">
        <f>IF($A579&gt;'1-Input'!$B$26,D579,D579-'P-Parametri'!$B$8*(E579+D579)+MIN(MAX(E579,0),'P-Parametri'!$B$8*(E579+D579)))</f>
        <v>3.637978807091713E-12</v>
      </c>
      <c r="G579" s="18">
        <f>IF($A579&gt;'1-Input'!$B$26,E579,E579-MIN(MAX(E579,0),'P-Parametri'!$B$8*(E579+D579)))</f>
        <v>308202.66487713723</v>
      </c>
      <c r="H579" s="18">
        <f>IF($A579&gt;'1-Input'!$B$26,H578,H578-C579*(1-B579))</f>
        <v>155407.02630417416</v>
      </c>
      <c r="I579" s="11">
        <f>IF($A579&gt;'1-Input'!$B$26,0,IF(N578&lt;=0,0,MAX(0,(N578-O578)/N578)))</f>
        <v>0.48167515461686389</v>
      </c>
      <c r="J579" s="18">
        <f>IF($A579&gt;'1-Input'!$B$26,0,(MAX(0,I561-IF($A579&gt;='1-Input'!$C$12,'1-Input'!$B$13,0))-MIN(MAX(M578,0),MAX(0,I561-IF($A579&gt;='1-Input'!$C$12,'1-Input'!$B$13,0))))*(1/(1-'P-Parametri'!$B$6*I579))+MIN(MAX(0,N578-(MAX(0,I561-IF($A579&gt;='1-Input'!$C$12,'1-Input'!$B$13,0))-MIN(MAX(M578,0),MAX(0,I561-IF($A579&gt;='1-Input'!$C$12,'1-Input'!$B$13,0))))*(1/(1-'P-Parametri'!$B$6*I579))),MAX(0,0*I561-(M578-MIN(MAX(M578,0),MAX(0,I561-IF($A579&gt;='1-Input'!$C$12,'1-Input'!$B$13,0)))))*(1/(1-'P-Parametri'!$B$6*I579))))</f>
        <v>25091.047935299692</v>
      </c>
      <c r="K579" s="18">
        <f>IF($A579&gt;'1-Input'!$B$26,M578,(M578-MAX(0,I561-IF($A579&gt;='1-Input'!$C$12,'1-Input'!$B$13,0))+J579*(1-'P-Parametri'!$B$6*I579))*(1+'1-Input'!$B$27))</f>
        <v>0</v>
      </c>
      <c r="L579" s="18">
        <f>IF($A579&gt;'1-Input'!$B$26,N578,(N578-J579)*(1+'5-Roberta'!$C$4))</f>
        <v>190473.00508865056</v>
      </c>
      <c r="M579" s="18">
        <f>IF($A579&gt;'1-Input'!$B$26,K579,K579-'P-Parametri'!$B$8*(L579+K579)+MIN(MAX(L579,0),'P-Parametri'!$B$8*(L579+K579)))</f>
        <v>0</v>
      </c>
      <c r="N579" s="18">
        <f>IF($A579&gt;'1-Input'!$B$26,L579,L579-MIN(MAX(L579,0),'P-Parametri'!$B$8*(L579+K579)))</f>
        <v>190092.05907847325</v>
      </c>
      <c r="O579" s="18">
        <f>IF($A579&gt;'1-Input'!$B$26,O578,O578-J579*(1-I579))</f>
        <v>95851.350400229217</v>
      </c>
      <c r="P579" s="11">
        <f>IF($A579&gt;'1-Input'!$B$26,0,IF(U578&lt;=0,0,MAX(0,(U578-V578)/U578)))</f>
        <v>0.4816751546168635</v>
      </c>
      <c r="Q579" s="18">
        <f>IF($A579&gt;'1-Input'!$B$26,0,(MAX(0,P561-IF($A579&gt;='1-Input'!$C$12,'1-Input'!$B$13,0))-MIN(MAX(T578,0),MAX(0,P561-IF($A579&gt;='1-Input'!$C$12,'1-Input'!$B$13,0))))*(1/(1-'P-Parametri'!$B$6*P579))+MIN(MAX(0,U578-(MAX(0,P561-IF($A579&gt;='1-Input'!$C$12,'1-Input'!$B$13,0))-MIN(MAX(T578,0),MAX(0,P561-IF($A579&gt;='1-Input'!$C$12,'1-Input'!$B$13,0))))*(1/(1-'P-Parametri'!$B$6*P579))),MAX(0,0*P561-(T578-MIN(MAX(T578,0),MAX(0,P561-IF($A579&gt;='1-Input'!$C$12,'1-Input'!$B$13,0)))))*(1/(1-'P-Parametri'!$B$6*P579))))</f>
        <v>22626.619630873589</v>
      </c>
      <c r="R579" s="18">
        <f>IF($A579&gt;'1-Input'!$B$26,T578,(T578-MAX(0,P561-IF($A579&gt;='1-Input'!$C$12,'1-Input'!$B$13,0))+Q579*(1-'P-Parametri'!$B$6*P579))*(1+'1-Input'!$B$27))</f>
        <v>0</v>
      </c>
      <c r="S579" s="18">
        <f>IF($A579&gt;'1-Input'!$B$26,U578,(U578-Q579)*(1+'5-Roberta'!$C$4))</f>
        <v>238906.35430695381</v>
      </c>
      <c r="T579" s="18">
        <f>IF($A579&gt;'1-Input'!$B$26,R579,R579-'P-Parametri'!$B$8*(S579+R579)+MIN(MAX(S579,0),'P-Parametri'!$B$8*(S579+R579)))</f>
        <v>0</v>
      </c>
      <c r="U579" s="18">
        <f>IF($A579&gt;'1-Input'!$B$26,S579,S579-MIN(MAX(S579,0),'P-Parametri'!$B$8*(S579+R579)))</f>
        <v>238428.54159833991</v>
      </c>
      <c r="V579" s="18">
        <f>IF($A579&gt;'1-Input'!$B$26,V578,V578-Q579*(1-P579))</f>
        <v>120224.36811378704</v>
      </c>
      <c r="W579" s="11">
        <f>IF($A579&gt;'1-Input'!$B$26,0,IF(AB578&lt;=0,0,MAX(0,(AB578-AC578)/AB578)))</f>
        <v>0.48167515461686355</v>
      </c>
      <c r="X579" s="18">
        <f>IF($A579&gt;'1-Input'!$B$26,0,(MAX(0,W561-IF($A579&gt;='1-Input'!$C$12,'1-Input'!$B$13,0))-MIN(MAX(AA578,0),MAX(0,W561-IF($A579&gt;='1-Input'!$C$12,'1-Input'!$B$13,0))))*(1/(1-'P-Parametri'!$B$6*W579))+MIN(MAX(0,AB578-(MAX(0,W561-IF($A579&gt;='1-Input'!$C$12,'1-Input'!$B$13,0))-MIN(MAX(AA578,0),MAX(0,W561-IF($A579&gt;='1-Input'!$C$12,'1-Input'!$B$13,0))))*(1/(1-'P-Parametri'!$B$6*W579))),MAX(0,0*W561-(AA578-MIN(MAX(AA578,0),MAX(0,W561-IF($A579&gt;='1-Input'!$C$12,'1-Input'!$B$13,0)))))*(1/(1-'P-Parametri'!$B$6*W579))))</f>
        <v>22322.214231000446</v>
      </c>
      <c r="Y579" s="18">
        <f>IF($A579&gt;'1-Input'!$B$26,AA578,(AA578-MAX(0,W561-IF($A579&gt;='1-Input'!$C$12,'1-Input'!$B$13,0))+X579*(1-'P-Parametri'!$B$6*W579))*(1+'1-Input'!$B$27))</f>
        <v>3.6248820833861826E-12</v>
      </c>
      <c r="Z579" s="18">
        <f>IF($A579&gt;'1-Input'!$B$26,AB578,(AB578-X579)*(1+'5-Roberta'!$C$4))</f>
        <v>244888.82618877501</v>
      </c>
      <c r="AA579" s="18">
        <f>IF($A579&gt;'1-Input'!$B$26,Y579,Y579-'P-Parametri'!$B$8*(Z579+Y579)+MIN(MAX(Z579,0),'P-Parametri'!$B$8*(Z579+Y579)))</f>
        <v>3.637978807091713E-12</v>
      </c>
      <c r="AB579" s="18">
        <f>IF($A579&gt;'1-Input'!$B$26,Z579,Z579-MIN(MAX(Z579,0),'P-Parametri'!$B$8*(Z579+Y579)))</f>
        <v>244399.04853639746</v>
      </c>
      <c r="AC579" s="18">
        <f>IF($A579&gt;'1-Input'!$B$26,AC578,AC578-X579*(1-W579))</f>
        <v>123234.91550519863</v>
      </c>
      <c r="AD579" s="11">
        <f>IF($A579&gt;'1-Input'!$B$26,0,IF(AI578&lt;=0,0,MAX(0,(AI578-AJ578)/AI578)))</f>
        <v>0.48167515461686372</v>
      </c>
      <c r="AE579" s="18">
        <f>IF($A579&gt;'1-Input'!$B$26,0,(MAX(0,AD561-IF($A579&gt;='1-Input'!$C$12,'1-Input'!$B$13,0))-MIN(MAX(AH578,0),MAX(0,AD561-IF($A579&gt;='1-Input'!$C$12,'1-Input'!$B$13,0))))*(1/(1-'P-Parametri'!$B$6*AD579))+MIN(MAX(0,AI578-(MAX(0,AD561-IF($A579&gt;='1-Input'!$C$12,'1-Input'!$B$13,0))-MIN(MAX(AH578,0),MAX(0,AD561-IF($A579&gt;='1-Input'!$C$12,'1-Input'!$B$13,0))))*(1/(1-'P-Parametri'!$B$6*AD579))),MAX(0,0*AD561-(AH578-MIN(MAX(AH578,0),MAX(0,AD561-IF($A579&gt;='1-Input'!$C$12,'1-Input'!$B$13,0)))))*(1/(1-'P-Parametri'!$B$6*AD579))))</f>
        <v>22340.993717239369</v>
      </c>
      <c r="AF579" s="18">
        <f>IF($A579&gt;'1-Input'!$B$26,AH578,(AH578-MAX(0,AD561-IF($A579&gt;='1-Input'!$C$12,'1-Input'!$B$13,0))+AE579*(1-'P-Parametri'!$B$6*AD579))*(1+'1-Input'!$B$27))</f>
        <v>-3.6248820833861826E-12</v>
      </c>
      <c r="AG579" s="18">
        <f>IF($A579&gt;'1-Input'!$B$26,AI578,(AI578-AE579)*(1+'5-Roberta'!$C$4))</f>
        <v>244519.7534048291</v>
      </c>
      <c r="AH579" s="18">
        <f>IF($A579&gt;'1-Input'!$B$26,AF579,AF579-'P-Parametri'!$B$8*(AG579+AF579)+MIN(MAX(AG579,0),'P-Parametri'!$B$8*(AG579+AF579)))</f>
        <v>-3.637978807091713E-12</v>
      </c>
      <c r="AI579" s="18">
        <f>IF($A579&gt;'1-Input'!$B$26,AG579,AG579-MIN(MAX(AG579,0),'P-Parametri'!$B$8*(AG579+AF579)))</f>
        <v>244030.71389801943</v>
      </c>
      <c r="AJ579" s="18">
        <f>IF($A579&gt;'1-Input'!$B$26,AJ578,AJ578-AE579*(1-AD579))</f>
        <v>123049.18774435013</v>
      </c>
      <c r="AK579" s="11">
        <f>IF($A579&gt;'1-Input'!$B$26,0,IF(AP578&lt;=0,0,MAX(0,(AP578-AQ578)/AP578)))</f>
        <v>0.48167515461686355</v>
      </c>
      <c r="AL579" s="18">
        <f>IF($A579&gt;'1-Input'!$B$26,0,(MAX(0,AK561-IF($A579&gt;='1-Input'!$C$12,'1-Input'!$B$13,0))-MIN(MAX(AO578,0),MAX(0,AK561-IF($A579&gt;='1-Input'!$C$12,'1-Input'!$B$13,0))))*(1/(1-'P-Parametri'!$B$6*AK579))+MIN(MAX(0,AP578-(MAX(0,AK561-IF($A579&gt;='1-Input'!$C$12,'1-Input'!$B$13,0))-MIN(MAX(AO578,0),MAX(0,AK561-IF($A579&gt;='1-Input'!$C$12,'1-Input'!$B$13,0))))*(1/(1-'P-Parametri'!$B$6*AK579))),MAX(0,0*AK561-(AO578-MIN(MAX(AO578,0),MAX(0,AK561-IF($A579&gt;='1-Input'!$C$12,'1-Input'!$B$13,0)))))*(1/(1-'P-Parametri'!$B$6*AK579))))</f>
        <v>22338.585746122179</v>
      </c>
      <c r="AM579" s="18">
        <f>IF($A579&gt;'1-Input'!$B$26,AO578,(AO578-MAX(0,AK561-IF($A579&gt;='1-Input'!$C$12,'1-Input'!$B$13,0))+AL579*(1-'P-Parametri'!$B$6*AK579))*(1+'1-Input'!$B$27))</f>
        <v>0</v>
      </c>
      <c r="AN579" s="18">
        <f>IF($A579&gt;'1-Input'!$B$26,AP578,(AP578-AL579)*(1+'5-Roberta'!$C$4))</f>
        <v>244567.07720232656</v>
      </c>
      <c r="AO579" s="18">
        <f>IF($A579&gt;'1-Input'!$B$26,AM579,AM579-'P-Parametri'!$B$8*(AN579+AM579)+MIN(MAX(AN579,0),'P-Parametri'!$B$8*(AN579+AM579)))</f>
        <v>0</v>
      </c>
      <c r="AP579" s="18">
        <f>IF($A579&gt;'1-Input'!$B$26,AN579,AN579-MIN(MAX(AN579,0),'P-Parametri'!$B$8*(AN579+AM579)))</f>
        <v>244077.9430479219</v>
      </c>
      <c r="AQ579" s="18">
        <f>IF($A579&gt;'1-Input'!$B$26,AQ578,AQ578-AL579*(1-AK579))</f>
        <v>123073.00240456457</v>
      </c>
    </row>
    <row r="580" spans="1:43">
      <c r="A580" s="10">
        <f>17</f>
        <v>17</v>
      </c>
      <c r="B580" s="11">
        <f>IF($A580&gt;'1-Input'!$B$26,0,IF(G579&lt;=0,0,MAX(0,(G579-H579)/G579)))</f>
        <v>0.4957635218172885</v>
      </c>
      <c r="C580" s="18">
        <f>IF($A580&gt;'1-Input'!$B$26,0,(MAX(0,B561-IF($A580&gt;='1-Input'!$C$12,'1-Input'!$B$13,0))-MIN(MAX(F579,0),MAX(0,B561-IF($A580&gt;='1-Input'!$C$12,'1-Input'!$B$13,0))))*(1/(1-'P-Parametri'!$B$6*B580))+MIN(MAX(0,G579-(MAX(0,B561-IF($A580&gt;='1-Input'!$C$12,'1-Input'!$B$13,0))-MIN(MAX(F579,0),MAX(0,B561-IF($A580&gt;='1-Input'!$C$12,'1-Input'!$B$13,0))))*(1/(1-'P-Parametri'!$B$6*B580))),MAX(0,0*B561-(F579-MIN(MAX(F579,0),MAX(0,B561-IF($A580&gt;='1-Input'!$C$12,'1-Input'!$B$13,0)))))*(1/(1-'P-Parametri'!$B$6*B580))))</f>
        <v>19149.382264574673</v>
      </c>
      <c r="D580" s="18">
        <f>IF($A580&gt;'1-Input'!$B$26,F579,(F579-MAX(0,B561-IF($A580&gt;='1-Input'!$C$12,'1-Input'!$B$13,0))+C580*(1-'P-Parametri'!$B$6*B580))*(1+'1-Input'!$B$27))</f>
        <v>-3.6248820833861826E-12</v>
      </c>
      <c r="E580" s="18">
        <f>IF($A580&gt;'1-Input'!$B$26,G579,(G579-C580)*(1+'5-Roberta'!$C$4))</f>
        <v>297724.88109093939</v>
      </c>
      <c r="F580" s="18">
        <f>IF($A580&gt;'1-Input'!$B$26,D580,D580-'P-Parametri'!$B$8*(E580+D580)+MIN(MAX(E580,0),'P-Parametri'!$B$8*(E580+D580)))</f>
        <v>-3.637978807091713E-12</v>
      </c>
      <c r="G580" s="18">
        <f>IF($A580&gt;'1-Input'!$B$26,E580,E580-MIN(MAX(E580,0),'P-Parametri'!$B$8*(E580+D580)))</f>
        <v>297129.43132875749</v>
      </c>
      <c r="H580" s="18">
        <f>IF($A580&gt;'1-Input'!$B$26,H579,H579-C580*(1-B580))</f>
        <v>145751.20923171056</v>
      </c>
      <c r="I580" s="11">
        <f>IF($A580&gt;'1-Input'!$B$26,0,IF(N579&lt;=0,0,MAX(0,(N579-O579)/N579)))</f>
        <v>0.49576352181728883</v>
      </c>
      <c r="J580" s="18">
        <f>IF($A580&gt;'1-Input'!$B$26,0,(MAX(0,I561-IF($A580&gt;='1-Input'!$C$12,'1-Input'!$B$13,0))-MIN(MAX(M579,0),MAX(0,I561-IF($A580&gt;='1-Input'!$C$12,'1-Input'!$B$13,0))))*(1/(1-'P-Parametri'!$B$6*I580))+MIN(MAX(0,N579-(MAX(0,I561-IF($A580&gt;='1-Input'!$C$12,'1-Input'!$B$13,0))-MIN(MAX(M579,0),MAX(0,I561-IF($A580&gt;='1-Input'!$C$12,'1-Input'!$B$13,0))))*(1/(1-'P-Parametri'!$B$6*I580))),MAX(0,0*I561-(M579-MIN(MAX(M579,0),MAX(0,I561-IF($A580&gt;='1-Input'!$C$12,'1-Input'!$B$13,0)))))*(1/(1-'P-Parametri'!$B$6*I580))))</f>
        <v>25196.555611282482</v>
      </c>
      <c r="K580" s="18">
        <f>IF($A580&gt;'1-Input'!$B$26,M579,(M579-MAX(0,I561-IF($A580&gt;='1-Input'!$C$12,'1-Input'!$B$13,0))+J580*(1-'P-Parametri'!$B$6*I580))*(1+'1-Input'!$B$27))</f>
        <v>0</v>
      </c>
      <c r="L580" s="18">
        <f>IF($A580&gt;'1-Input'!$B$26,N579,(N579-J580)*(1+'5-Roberta'!$C$4))</f>
        <v>169842.36857120652</v>
      </c>
      <c r="M580" s="18">
        <f>IF($A580&gt;'1-Input'!$B$26,K580,K580-'P-Parametri'!$B$8*(L580+K580)+MIN(MAX(L580,0),'P-Parametri'!$B$8*(L580+K580)))</f>
        <v>0</v>
      </c>
      <c r="N580" s="18">
        <f>IF($A580&gt;'1-Input'!$B$26,L580,L580-MIN(MAX(L580,0),'P-Parametri'!$B$8*(L580+K580)))</f>
        <v>169502.68383406411</v>
      </c>
      <c r="O580" s="18">
        <f>IF($A580&gt;'1-Input'!$B$26,O579,O579-J580*(1-I580))</f>
        <v>83146.327936461312</v>
      </c>
      <c r="P580" s="11">
        <f>IF($A580&gt;'1-Input'!$B$26,0,IF(U579&lt;=0,0,MAX(0,(U579-V579)/U579)))</f>
        <v>0.4957635218172885</v>
      </c>
      <c r="Q580" s="18">
        <f>IF($A580&gt;'1-Input'!$B$26,0,(MAX(0,P561-IF($A580&gt;='1-Input'!$C$12,'1-Input'!$B$13,0))-MIN(MAX(T579,0),MAX(0,P561-IF($A580&gt;='1-Input'!$C$12,'1-Input'!$B$13,0))))*(1/(1-'P-Parametri'!$B$6*P580))+MIN(MAX(0,U579-(MAX(0,P561-IF($A580&gt;='1-Input'!$C$12,'1-Input'!$B$13,0))-MIN(MAX(T579,0),MAX(0,P561-IF($A580&gt;='1-Input'!$C$12,'1-Input'!$B$13,0))))*(1/(1-'P-Parametri'!$B$6*P580))),MAX(0,0*P561-(T579-MIN(MAX(T579,0),MAX(0,P561-IF($A580&gt;='1-Input'!$C$12,'1-Input'!$B$13,0)))))*(1/(1-'P-Parametri'!$B$6*P580))))</f>
        <v>22721.76440357323</v>
      </c>
      <c r="R580" s="18">
        <f>IF($A580&gt;'1-Input'!$B$26,T579,(T579-MAX(0,P561-IF($A580&gt;='1-Input'!$C$12,'1-Input'!$B$13,0))+Q580*(1-'P-Parametri'!$B$6*P580))*(1+'1-Input'!$B$27))</f>
        <v>0</v>
      </c>
      <c r="S580" s="18">
        <f>IF($A580&gt;'1-Input'!$B$26,U579,(U579-Q580)*(1+'5-Roberta'!$C$4))</f>
        <v>222177.98051060969</v>
      </c>
      <c r="T580" s="18">
        <f>IF($A580&gt;'1-Input'!$B$26,R580,R580-'P-Parametri'!$B$8*(S580+R580)+MIN(MAX(S580,0),'P-Parametri'!$B$8*(S580+R580)))</f>
        <v>0</v>
      </c>
      <c r="U580" s="18">
        <f>IF($A580&gt;'1-Input'!$B$26,S580,S580-MIN(MAX(S580,0),'P-Parametri'!$B$8*(S580+R580)))</f>
        <v>221733.62454958848</v>
      </c>
      <c r="V580" s="18">
        <f>IF($A580&gt;'1-Input'!$B$26,V579,V579-Q580*(1-P580))</f>
        <v>108767.22565283198</v>
      </c>
      <c r="W580" s="11">
        <f>IF($A580&gt;'1-Input'!$B$26,0,IF(AB579&lt;=0,0,MAX(0,(AB579-AC579)/AB579)))</f>
        <v>0.4957635218172885</v>
      </c>
      <c r="X580" s="18">
        <f>IF($A580&gt;'1-Input'!$B$26,0,(MAX(0,W561-IF($A580&gt;='1-Input'!$C$12,'1-Input'!$B$13,0))-MIN(MAX(AA579,0),MAX(0,W561-IF($A580&gt;='1-Input'!$C$12,'1-Input'!$B$13,0))))*(1/(1-'P-Parametri'!$B$6*W580))+MIN(MAX(0,AB579-(MAX(0,W561-IF($A580&gt;='1-Input'!$C$12,'1-Input'!$B$13,0))-MIN(MAX(AA579,0),MAX(0,W561-IF($A580&gt;='1-Input'!$C$12,'1-Input'!$B$13,0))))*(1/(1-'P-Parametri'!$B$6*W580))),MAX(0,0*W561-(AA579-MIN(MAX(AA579,0),MAX(0,W561-IF($A580&gt;='1-Input'!$C$12,'1-Input'!$B$13,0)))))*(1/(1-'P-Parametri'!$B$6*W580))))</f>
        <v>22416.078981184481</v>
      </c>
      <c r="Y580" s="18">
        <f>IF($A580&gt;'1-Input'!$B$26,AA579,(AA579-MAX(0,W561-IF($A580&gt;='1-Input'!$C$12,'1-Input'!$B$13,0))+X580*(1-'P-Parametri'!$B$6*W580))*(1+'1-Input'!$B$27))</f>
        <v>0</v>
      </c>
      <c r="Z580" s="18">
        <f>IF($A580&gt;'1-Input'!$B$26,AB579,(AB579-X580)*(1+'5-Roberta'!$C$4))</f>
        <v>228642.45864186937</v>
      </c>
      <c r="AA580" s="18">
        <f>IF($A580&gt;'1-Input'!$B$26,Y580,Y580-'P-Parametri'!$B$8*(Z580+Y580)+MIN(MAX(Z580,0),'P-Parametri'!$B$8*(Z580+Y580)))</f>
        <v>0</v>
      </c>
      <c r="AB580" s="18">
        <f>IF($A580&gt;'1-Input'!$B$26,Z580,Z580-MIN(MAX(Z580,0),'P-Parametri'!$B$8*(Z580+Y580)))</f>
        <v>228185.17372458562</v>
      </c>
      <c r="AC580" s="18">
        <f>IF($A580&gt;'1-Input'!$B$26,AC579,AC579-X580*(1-W580))</f>
        <v>111931.91078506067</v>
      </c>
      <c r="AD580" s="11">
        <f>IF($A580&gt;'1-Input'!$B$26,0,IF(AI579&lt;=0,0,MAX(0,(AI579-AJ579)/AI579)))</f>
        <v>0.49576352181728872</v>
      </c>
      <c r="AE580" s="18">
        <f>IF($A580&gt;'1-Input'!$B$26,0,(MAX(0,AD561-IF($A580&gt;='1-Input'!$C$12,'1-Input'!$B$13,0))-MIN(MAX(AH579,0),MAX(0,AD561-IF($A580&gt;='1-Input'!$C$12,'1-Input'!$B$13,0))))*(1/(1-'P-Parametri'!$B$6*AD580))+MIN(MAX(0,AI579-(MAX(0,AD561-IF($A580&gt;='1-Input'!$C$12,'1-Input'!$B$13,0))-MIN(MAX(AH579,0),MAX(0,AD561-IF($A580&gt;='1-Input'!$C$12,'1-Input'!$B$13,0))))*(1/(1-'P-Parametri'!$B$6*AD580))),MAX(0,0*AD561-(AH579-MIN(MAX(AH579,0),MAX(0,AD561-IF($A580&gt;='1-Input'!$C$12,'1-Input'!$B$13,0)))))*(1/(1-'P-Parametri'!$B$6*AD580))))</f>
        <v>22434.937435027889</v>
      </c>
      <c r="AF580" s="18">
        <f>IF($A580&gt;'1-Input'!$B$26,AH579,(AH579-MAX(0,AD561-IF($A580&gt;='1-Input'!$C$12,'1-Input'!$B$13,0))+AE580*(1-'P-Parametri'!$B$6*AD580))*(1+'1-Input'!$B$27))</f>
        <v>0</v>
      </c>
      <c r="AG580" s="18">
        <f>IF($A580&gt;'1-Input'!$B$26,AI579,(AI579-AE580)*(1+'5-Roberta'!$C$4))</f>
        <v>228243.64975688129</v>
      </c>
      <c r="AH580" s="18">
        <f>IF($A580&gt;'1-Input'!$B$26,AF580,AF580-'P-Parametri'!$B$8*(AG580+AF580)+MIN(MAX(AG580,0),'P-Parametri'!$B$8*(AG580+AF580)))</f>
        <v>0</v>
      </c>
      <c r="AI580" s="18">
        <f>IF($A580&gt;'1-Input'!$B$26,AG580,AG580-MIN(MAX(AG580,0),'P-Parametri'!$B$8*(AG580+AF580)))</f>
        <v>227787.16245736752</v>
      </c>
      <c r="AJ580" s="18">
        <f>IF($A580&gt;'1-Input'!$B$26,AJ579,AJ579-AE580*(1-AD580))</f>
        <v>111736.67390386219</v>
      </c>
      <c r="AK580" s="11">
        <f>IF($A580&gt;'1-Input'!$B$26,0,IF(AP579&lt;=0,0,MAX(0,(AP579-AQ579)/AP579)))</f>
        <v>0.4957635218172885</v>
      </c>
      <c r="AL580" s="18">
        <f>IF($A580&gt;'1-Input'!$B$26,0,(MAX(0,AK561-IF($A580&gt;='1-Input'!$C$12,'1-Input'!$B$13,0))-MIN(MAX(AO579,0),MAX(0,AK561-IF($A580&gt;='1-Input'!$C$12,'1-Input'!$B$13,0))))*(1/(1-'P-Parametri'!$B$6*AK580))+MIN(MAX(0,AP579-(MAX(0,AK561-IF($A580&gt;='1-Input'!$C$12,'1-Input'!$B$13,0))-MIN(MAX(AO579,0),MAX(0,AK561-IF($A580&gt;='1-Input'!$C$12,'1-Input'!$B$13,0))))*(1/(1-'P-Parametri'!$B$6*AK580))),MAX(0,0*AK561-(AO579-MIN(MAX(AO579,0),MAX(0,AK561-IF($A580&gt;='1-Input'!$C$12,'1-Input'!$B$13,0)))))*(1/(1-'P-Parametri'!$B$6*AK580))))</f>
        <v>22432.519338409478</v>
      </c>
      <c r="AM580" s="18">
        <f>IF($A580&gt;'1-Input'!$B$26,AO579,(AO579-MAX(0,AK561-IF($A580&gt;='1-Input'!$C$12,'1-Input'!$B$13,0))+AL580*(1-'P-Parametri'!$B$6*AK580))*(1+'1-Input'!$B$27))</f>
        <v>0</v>
      </c>
      <c r="AN580" s="18">
        <f>IF($A580&gt;'1-Input'!$B$26,AP579,(AP579-AL580)*(1+'5-Roberta'!$C$4))</f>
        <v>228294.78642079781</v>
      </c>
      <c r="AO580" s="18">
        <f>IF($A580&gt;'1-Input'!$B$26,AM580,AM580-'P-Parametri'!$B$8*(AN580+AM580)+MIN(MAX(AN580,0),'P-Parametri'!$B$8*(AN580+AM580)))</f>
        <v>0</v>
      </c>
      <c r="AP580" s="18">
        <f>IF($A580&gt;'1-Input'!$B$26,AN580,AN580-MIN(MAX(AN580,0),'P-Parametri'!$B$8*(AN580+AM580)))</f>
        <v>227838.19684795622</v>
      </c>
      <c r="AQ580" s="18">
        <f>IF($A580&gt;'1-Input'!$B$26,AQ579,AQ579-AL580*(1-AK580))</f>
        <v>111761.7078565994</v>
      </c>
    </row>
    <row r="581" spans="1:43">
      <c r="A581" s="10">
        <f>18</f>
        <v>18</v>
      </c>
      <c r="B581" s="11">
        <f>IF($A581&gt;'1-Input'!$B$26,0,IF(G580&lt;=0,0,MAX(0,(G580-H580)/G580)))</f>
        <v>0.50946895910003343</v>
      </c>
      <c r="C581" s="18">
        <f>IF($A581&gt;'1-Input'!$B$26,0,(MAX(0,B561-IF($A581&gt;='1-Input'!$C$12,'1-Input'!$B$13,0))-MIN(MAX(F580,0),MAX(0,B561-IF($A581&gt;='1-Input'!$C$12,'1-Input'!$B$13,0))))*(1/(1-'P-Parametri'!$B$6*B581))+MIN(MAX(0,G580-(MAX(0,B561-IF($A581&gt;='1-Input'!$C$12,'1-Input'!$B$13,0))-MIN(MAX(F580,0),MAX(0,B561-IF($A581&gt;='1-Input'!$C$12,'1-Input'!$B$13,0))))*(1/(1-'P-Parametri'!$B$6*B581))),MAX(0,0*B561-(F580-MIN(MAX(F580,0),MAX(0,B561-IF($A581&gt;='1-Input'!$C$12,'1-Input'!$B$13,0)))))*(1/(1-'P-Parametri'!$B$6*B581))))</f>
        <v>19228.038375809145</v>
      </c>
      <c r="D581" s="18">
        <f>IF($A581&gt;'1-Input'!$B$26,F580,(F580-MAX(0,B561-IF($A581&gt;='1-Input'!$C$12,'1-Input'!$B$13,0))+C581*(1-'P-Parametri'!$B$6*B581))*(1+'1-Input'!$B$27))</f>
        <v>3.6248820833861826E-12</v>
      </c>
      <c r="E581" s="18">
        <f>IF($A581&gt;'1-Input'!$B$26,G580,(G580-C581)*(1+'5-Roberta'!$C$4))</f>
        <v>286238.4347415368</v>
      </c>
      <c r="F581" s="18">
        <f>IF($A581&gt;'1-Input'!$B$26,D581,D581-'P-Parametri'!$B$8*(E581+D581)+MIN(MAX(E581,0),'P-Parametri'!$B$8*(E581+D581)))</f>
        <v>3.637978807091713E-12</v>
      </c>
      <c r="G581" s="18">
        <f>IF($A581&gt;'1-Input'!$B$26,E581,E581-MIN(MAX(E581,0),'P-Parametri'!$B$8*(E581+D581)))</f>
        <v>285665.95787205372</v>
      </c>
      <c r="H581" s="18">
        <f>IF($A581&gt;'1-Input'!$B$26,H580,H580-C581*(1-B581))</f>
        <v>136319.2595527604</v>
      </c>
      <c r="I581" s="11">
        <f>IF($A581&gt;'1-Input'!$B$26,0,IF(N580&lt;=0,0,MAX(0,(N580-O580)/N580)))</f>
        <v>0.50946895910003398</v>
      </c>
      <c r="J581" s="18">
        <f>IF($A581&gt;'1-Input'!$B$26,0,(MAX(0,I561-IF($A581&gt;='1-Input'!$C$12,'1-Input'!$B$13,0))-MIN(MAX(M580,0),MAX(0,I561-IF($A581&gt;='1-Input'!$C$12,'1-Input'!$B$13,0))))*(1/(1-'P-Parametri'!$B$6*I581))+MIN(MAX(0,N580-(MAX(0,I561-IF($A581&gt;='1-Input'!$C$12,'1-Input'!$B$13,0))-MIN(MAX(M580,0),MAX(0,I561-IF($A581&gt;='1-Input'!$C$12,'1-Input'!$B$13,0))))*(1/(1-'P-Parametri'!$B$6*I581))),MAX(0,0*I561-(M580-MIN(MAX(M580,0),MAX(0,I561-IF($A581&gt;='1-Input'!$C$12,'1-Input'!$B$13,0)))))*(1/(1-'P-Parametri'!$B$6*I581))))</f>
        <v>25300.050494485713</v>
      </c>
      <c r="K581" s="18">
        <f>IF($A581&gt;'1-Input'!$B$26,M580,(M580-MAX(0,I561-IF($A581&gt;='1-Input'!$C$12,'1-Input'!$B$13,0))+J581*(1-'P-Parametri'!$B$6*I581))*(1+'1-Input'!$B$27))</f>
        <v>-3.6248820833861826E-12</v>
      </c>
      <c r="L581" s="18">
        <f>IF($A581&gt;'1-Input'!$B$26,N580,(N580-J581)*(1+'5-Roberta'!$C$4))</f>
        <v>148528.71233976577</v>
      </c>
      <c r="M581" s="18">
        <f>IF($A581&gt;'1-Input'!$B$26,K581,K581-'P-Parametri'!$B$8*(L581+K581)+MIN(MAX(L581,0),'P-Parametri'!$B$8*(L581+K581)))</f>
        <v>-3.637978807091713E-12</v>
      </c>
      <c r="N581" s="18">
        <f>IF($A581&gt;'1-Input'!$B$26,L581,L581-MIN(MAX(L581,0),'P-Parametri'!$B$8*(L581+K581)))</f>
        <v>148231.65491508623</v>
      </c>
      <c r="O581" s="18">
        <f>IF($A581&gt;'1-Input'!$B$26,O580,O580-J581*(1-I581))</f>
        <v>70735.867832579534</v>
      </c>
      <c r="P581" s="11">
        <f>IF($A581&gt;'1-Input'!$B$26,0,IF(U580&lt;=0,0,MAX(0,(U580-V580)/U580)))</f>
        <v>0.50946895910003354</v>
      </c>
      <c r="Q581" s="18">
        <f>IF($A581&gt;'1-Input'!$B$26,0,(MAX(0,P561-IF($A581&gt;='1-Input'!$C$12,'1-Input'!$B$13,0))-MIN(MAX(T580,0),MAX(0,P561-IF($A581&gt;='1-Input'!$C$12,'1-Input'!$B$13,0))))*(1/(1-'P-Parametri'!$B$6*P581))+MIN(MAX(0,U580-(MAX(0,P561-IF($A581&gt;='1-Input'!$C$12,'1-Input'!$B$13,0))-MIN(MAX(T580,0),MAX(0,P561-IF($A581&gt;='1-Input'!$C$12,'1-Input'!$B$13,0))))*(1/(1-'P-Parametri'!$B$6*P581))),MAX(0,0*P561-(T580-MIN(MAX(T580,0),MAX(0,P561-IF($A581&gt;='1-Input'!$C$12,'1-Input'!$B$13,0)))))*(1/(1-'P-Parametri'!$B$6*P581))))</f>
        <v>22815.094078843067</v>
      </c>
      <c r="R581" s="18">
        <f>IF($A581&gt;'1-Input'!$B$26,T580,(T580-MAX(0,P561-IF($A581&gt;='1-Input'!$C$12,'1-Input'!$B$13,0))+Q581*(1-'P-Parametri'!$B$6*P581))*(1+'1-Input'!$B$27))</f>
        <v>3.6248820833861826E-12</v>
      </c>
      <c r="S581" s="18">
        <f>IF($A581&gt;'1-Input'!$B$26,U580,(U580-Q581)*(1+'5-Roberta'!$C$4))</f>
        <v>204886.08638486778</v>
      </c>
      <c r="T581" s="18">
        <f>IF($A581&gt;'1-Input'!$B$26,R581,R581-'P-Parametri'!$B$8*(S581+R581)+MIN(MAX(S581,0),'P-Parametri'!$B$8*(S581+R581)))</f>
        <v>3.637978807091713E-12</v>
      </c>
      <c r="U581" s="18">
        <f>IF($A581&gt;'1-Input'!$B$26,S581,S581-MIN(MAX(S581,0),'P-Parametri'!$B$8*(S581+R581)))</f>
        <v>204476.31421209805</v>
      </c>
      <c r="V581" s="18">
        <f>IF($A581&gt;'1-Input'!$B$26,V580,V580-Q581*(1-P581))</f>
        <v>97575.713806106432</v>
      </c>
      <c r="W581" s="11">
        <f>IF($A581&gt;'1-Input'!$B$26,0,IF(AB580&lt;=0,0,MAX(0,(AB580-AC580)/AB580)))</f>
        <v>0.50946895910003354</v>
      </c>
      <c r="X581" s="18">
        <f>IF($A581&gt;'1-Input'!$B$26,0,(MAX(0,W561-IF($A581&gt;='1-Input'!$C$12,'1-Input'!$B$13,0))-MIN(MAX(AA580,0),MAX(0,W561-IF($A581&gt;='1-Input'!$C$12,'1-Input'!$B$13,0))))*(1/(1-'P-Parametri'!$B$6*W581))+MIN(MAX(0,AB580-(MAX(0,W561-IF($A581&gt;='1-Input'!$C$12,'1-Input'!$B$13,0))-MIN(MAX(AA580,0),MAX(0,W561-IF($A581&gt;='1-Input'!$C$12,'1-Input'!$B$13,0))))*(1/(1-'P-Parametri'!$B$6*W581))),MAX(0,0*W561-(AA580-MIN(MAX(AA580,0),MAX(0,W561-IF($A581&gt;='1-Input'!$C$12,'1-Input'!$B$13,0)))))*(1/(1-'P-Parametri'!$B$6*W581))))</f>
        <v>22508.153053205402</v>
      </c>
      <c r="Y581" s="18">
        <f>IF($A581&gt;'1-Input'!$B$26,AA580,(AA580-MAX(0,W561-IF($A581&gt;='1-Input'!$C$12,'1-Input'!$B$13,0))+X581*(1-'P-Parametri'!$B$6*W581))*(1+'1-Input'!$B$27))</f>
        <v>0</v>
      </c>
      <c r="Z581" s="18">
        <f>IF($A581&gt;'1-Input'!$B$26,AB580,(AB580-X581)*(1+'5-Roberta'!$C$4))</f>
        <v>211847.33129152164</v>
      </c>
      <c r="AA581" s="18">
        <f>IF($A581&gt;'1-Input'!$B$26,Y581,Y581-'P-Parametri'!$B$8*(Z581+Y581)+MIN(MAX(Z581,0),'P-Parametri'!$B$8*(Z581+Y581)))</f>
        <v>0</v>
      </c>
      <c r="AB581" s="18">
        <f>IF($A581&gt;'1-Input'!$B$26,Z581,Z581-MIN(MAX(Z581,0),'P-Parametri'!$B$8*(Z581+Y581)))</f>
        <v>211423.63662893861</v>
      </c>
      <c r="AC581" s="18">
        <f>IF($A581&gt;'1-Input'!$B$26,AC580,AC580-X581*(1-W581))</f>
        <v>100890.96303913606</v>
      </c>
      <c r="AD581" s="11">
        <f>IF($A581&gt;'1-Input'!$B$26,0,IF(AI580&lt;=0,0,MAX(0,(AI580-AJ580)/AI580)))</f>
        <v>0.50946895910003387</v>
      </c>
      <c r="AE581" s="18">
        <f>IF($A581&gt;'1-Input'!$B$26,0,(MAX(0,AD561-IF($A581&gt;='1-Input'!$C$12,'1-Input'!$B$13,0))-MIN(MAX(AH580,0),MAX(0,AD561-IF($A581&gt;='1-Input'!$C$12,'1-Input'!$B$13,0))))*(1/(1-'P-Parametri'!$B$6*AD581))+MIN(MAX(0,AI580-(MAX(0,AD561-IF($A581&gt;='1-Input'!$C$12,'1-Input'!$B$13,0))-MIN(MAX(AH580,0),MAX(0,AD561-IF($A581&gt;='1-Input'!$C$12,'1-Input'!$B$13,0))))*(1/(1-'P-Parametri'!$B$6*AD581))),MAX(0,0*AD561-(AH580-MIN(MAX(AH580,0),MAX(0,AD561-IF($A581&gt;='1-Input'!$C$12,'1-Input'!$B$13,0)))))*(1/(1-'P-Parametri'!$B$6*AD581))))</f>
        <v>22527.088968171185</v>
      </c>
      <c r="AF581" s="18">
        <f>IF($A581&gt;'1-Input'!$B$26,AH580,(AH580-MAX(0,AD561-IF($A581&gt;='1-Input'!$C$12,'1-Input'!$B$13,0))+AE581*(1-'P-Parametri'!$B$6*AD581))*(1+'1-Input'!$B$27))</f>
        <v>3.6248820833861826E-12</v>
      </c>
      <c r="AG581" s="18">
        <f>IF($A581&gt;'1-Input'!$B$26,AI580,(AI580-AE581)*(1+'5-Roberta'!$C$4))</f>
        <v>211417.87569387222</v>
      </c>
      <c r="AH581" s="18">
        <f>IF($A581&gt;'1-Input'!$B$26,AF581,AF581-'P-Parametri'!$B$8*(AG581+AF581)+MIN(MAX(AG581,0),'P-Parametri'!$B$8*(AG581+AF581)))</f>
        <v>3.637978807091713E-12</v>
      </c>
      <c r="AI581" s="18">
        <f>IF($A581&gt;'1-Input'!$B$26,AG581,AG581-MIN(MAX(AG581,0),'P-Parametri'!$B$8*(AG581+AF581)))</f>
        <v>210995.03994248447</v>
      </c>
      <c r="AJ581" s="18">
        <f>IF($A581&gt;'1-Input'!$B$26,AJ580,AJ580-AE581*(1-AD581))</f>
        <v>100686.43750385904</v>
      </c>
      <c r="AK581" s="11">
        <f>IF($A581&gt;'1-Input'!$B$26,0,IF(AP580&lt;=0,0,MAX(0,(AP580-AQ580)/AP580)))</f>
        <v>0.50946895910003365</v>
      </c>
      <c r="AL581" s="18">
        <f>IF($A581&gt;'1-Input'!$B$26,0,(MAX(0,AK561-IF($A581&gt;='1-Input'!$C$12,'1-Input'!$B$13,0))-MIN(MAX(AO580,0),MAX(0,AK561-IF($A581&gt;='1-Input'!$C$12,'1-Input'!$B$13,0))))*(1/(1-'P-Parametri'!$B$6*AK581))+MIN(MAX(0,AP580-(MAX(0,AK561-IF($A581&gt;='1-Input'!$C$12,'1-Input'!$B$13,0))-MIN(MAX(AO580,0),MAX(0,AK561-IF($A581&gt;='1-Input'!$C$12,'1-Input'!$B$13,0))))*(1/(1-'P-Parametri'!$B$6*AK581))),MAX(0,0*AK561-(AO580-MIN(MAX(AO580,0),MAX(0,AK561-IF($A581&gt;='1-Input'!$C$12,'1-Input'!$B$13,0)))))*(1/(1-'P-Parametri'!$B$6*AK581))))</f>
        <v>22524.660939217942</v>
      </c>
      <c r="AM581" s="18">
        <f>IF($A581&gt;'1-Input'!$B$26,AO580,(AO580-MAX(0,AK561-IF($A581&gt;='1-Input'!$C$12,'1-Input'!$B$13,0))+AL581*(1-'P-Parametri'!$B$6*AK581))*(1+'1-Input'!$B$27))</f>
        <v>0</v>
      </c>
      <c r="AN581" s="18">
        <f>IF($A581&gt;'1-Input'!$B$26,AP580,(AP580-AL581)*(1+'5-Roberta'!$C$4))</f>
        <v>211472.94198600043</v>
      </c>
      <c r="AO581" s="18">
        <f>IF($A581&gt;'1-Input'!$B$26,AM581,AM581-'P-Parametri'!$B$8*(AN581+AM581)+MIN(MAX(AN581,0),'P-Parametri'!$B$8*(AN581+AM581)))</f>
        <v>0</v>
      </c>
      <c r="AP581" s="18">
        <f>IF($A581&gt;'1-Input'!$B$26,AN581,AN581-MIN(MAX(AN581,0),'P-Parametri'!$B$8*(AN581+AM581)))</f>
        <v>211049.99610202844</v>
      </c>
      <c r="AQ581" s="18">
        <f>IF($A581&gt;'1-Input'!$B$26,AQ580,AQ580-AL581*(1-AK581))</f>
        <v>100712.66248016601</v>
      </c>
    </row>
    <row r="582" spans="1:43">
      <c r="A582" s="10">
        <f>19</f>
        <v>19</v>
      </c>
      <c r="B582" s="11">
        <f>IF($A582&gt;'1-Input'!$B$26,0,IF(G581&lt;=0,0,MAX(0,(G581-H581)/G581)))</f>
        <v>0.52280187472034689</v>
      </c>
      <c r="C582" s="18">
        <f>IF($A582&gt;'1-Input'!$B$26,0,(MAX(0,B561-IF($A582&gt;='1-Input'!$C$12,'1-Input'!$B$13,0))-MIN(MAX(F581,0),MAX(0,B561-IF($A582&gt;='1-Input'!$C$12,'1-Input'!$B$13,0))))*(1/(1-'P-Parametri'!$B$6*B582))+MIN(MAX(0,G581-(MAX(0,B561-IF($A582&gt;='1-Input'!$C$12,'1-Input'!$B$13,0))-MIN(MAX(F581,0),MAX(0,B561-IF($A582&gt;='1-Input'!$C$12,'1-Input'!$B$13,0))))*(1/(1-'P-Parametri'!$B$6*B582))),MAX(0,0*B561-(F581-MIN(MAX(F581,0),MAX(0,B561-IF($A582&gt;='1-Input'!$C$12,'1-Input'!$B$13,0)))))*(1/(1-'P-Parametri'!$B$6*B582))))</f>
        <v>19305.179110649275</v>
      </c>
      <c r="D582" s="18">
        <f>IF($A582&gt;'1-Input'!$B$26,F581,(F581-MAX(0,B561-IF($A582&gt;='1-Input'!$C$12,'1-Input'!$B$13,0))+C582*(1-'P-Parametri'!$B$6*B582))*(1+'1-Input'!$B$27))</f>
        <v>0</v>
      </c>
      <c r="E582" s="18">
        <f>IF($A582&gt;'1-Input'!$B$26,G581,(G581-C582)*(1+'5-Roberta'!$C$4))</f>
        <v>274351.60212424659</v>
      </c>
      <c r="F582" s="18">
        <f>IF($A582&gt;'1-Input'!$B$26,D582,D582-'P-Parametri'!$B$8*(E582+D582)+MIN(MAX(E582,0),'P-Parametri'!$B$8*(E582+D582)))</f>
        <v>0</v>
      </c>
      <c r="G582" s="18">
        <f>IF($A582&gt;'1-Input'!$B$26,E582,E582-MIN(MAX(E582,0),'P-Parametri'!$B$8*(E582+D582)))</f>
        <v>273802.89891999809</v>
      </c>
      <c r="H582" s="18">
        <f>IF($A582&gt;'1-Input'!$B$26,H581,H581-C582*(1-B582))</f>
        <v>127106.86427297065</v>
      </c>
      <c r="I582" s="11">
        <f>IF($A582&gt;'1-Input'!$B$26,0,IF(N581&lt;=0,0,MAX(0,(N581-O581)/N581)))</f>
        <v>0.52280187472034756</v>
      </c>
      <c r="J582" s="18">
        <f>IF($A582&gt;'1-Input'!$B$26,0,(MAX(0,I561-IF($A582&gt;='1-Input'!$C$12,'1-Input'!$B$13,0))-MIN(MAX(M581,0),MAX(0,I561-IF($A582&gt;='1-Input'!$C$12,'1-Input'!$B$13,0))))*(1/(1-'P-Parametri'!$B$6*I582))+MIN(MAX(0,N581-(MAX(0,I561-IF($A582&gt;='1-Input'!$C$12,'1-Input'!$B$13,0))-MIN(MAX(M581,0),MAX(0,I561-IF($A582&gt;='1-Input'!$C$12,'1-Input'!$B$13,0))))*(1/(1-'P-Parametri'!$B$6*I582))),MAX(0,0*I561-(M581-MIN(MAX(M581,0),MAX(0,I561-IF($A582&gt;='1-Input'!$C$12,'1-Input'!$B$13,0)))))*(1/(1-'P-Parametri'!$B$6*I582))))</f>
        <v>25401.551461380641</v>
      </c>
      <c r="K582" s="18">
        <f>IF($A582&gt;'1-Input'!$B$26,M581,(M581-MAX(0,I561-IF($A582&gt;='1-Input'!$C$12,'1-Input'!$B$13,0))+J582*(1-'P-Parametri'!$B$6*I582))*(1+'1-Input'!$B$27))</f>
        <v>0</v>
      </c>
      <c r="L582" s="18">
        <f>IF($A582&gt;'1-Input'!$B$26,N581,(N581-J582)*(1+'5-Roberta'!$C$4))</f>
        <v>126515.00655731675</v>
      </c>
      <c r="M582" s="18">
        <f>IF($A582&gt;'1-Input'!$B$26,K582,K582-'P-Parametri'!$B$8*(L582+K582)+MIN(MAX(L582,0),'P-Parametri'!$B$8*(L582+K582)))</f>
        <v>0</v>
      </c>
      <c r="N582" s="18">
        <f>IF($A582&gt;'1-Input'!$B$26,L582,L582-MIN(MAX(L582,0),'P-Parametri'!$B$8*(L582+K582)))</f>
        <v>126261.97654420212</v>
      </c>
      <c r="O582" s="18">
        <f>IF($A582&gt;'1-Input'!$B$26,O581,O581-J582*(1-I582))</f>
        <v>58614.295096014073</v>
      </c>
      <c r="P582" s="11">
        <f>IF($A582&gt;'1-Input'!$B$26,0,IF(U581&lt;=0,0,MAX(0,(U581-V581)/U581)))</f>
        <v>0.52280187472034712</v>
      </c>
      <c r="Q582" s="18">
        <f>IF($A582&gt;'1-Input'!$B$26,0,(MAX(0,P561-IF($A582&gt;='1-Input'!$C$12,'1-Input'!$B$13,0))-MIN(MAX(T581,0),MAX(0,P561-IF($A582&gt;='1-Input'!$C$12,'1-Input'!$B$13,0))))*(1/(1-'P-Parametri'!$B$6*P582))+MIN(MAX(0,U581-(MAX(0,P561-IF($A582&gt;='1-Input'!$C$12,'1-Input'!$B$13,0))-MIN(MAX(T581,0),MAX(0,P561-IF($A582&gt;='1-Input'!$C$12,'1-Input'!$B$13,0))))*(1/(1-'P-Parametri'!$B$6*P582))),MAX(0,0*P561-(T581-MIN(MAX(T581,0),MAX(0,P561-IF($A582&gt;='1-Input'!$C$12,'1-Input'!$B$13,0)))))*(1/(1-'P-Parametri'!$B$6*P582))))</f>
        <v>22906.625679118162</v>
      </c>
      <c r="R582" s="18">
        <f>IF($A582&gt;'1-Input'!$B$26,T581,(T581-MAX(0,P561-IF($A582&gt;='1-Input'!$C$12,'1-Input'!$B$13,0))+Q582*(1-'P-Parametri'!$B$6*P582))*(1+'1-Input'!$B$27))</f>
        <v>0</v>
      </c>
      <c r="S582" s="18">
        <f>IF($A582&gt;'1-Input'!$B$26,U581,(U581-Q582)*(1+'5-Roberta'!$C$4))</f>
        <v>187016.77918896929</v>
      </c>
      <c r="T582" s="18">
        <f>IF($A582&gt;'1-Input'!$B$26,R582,R582-'P-Parametri'!$B$8*(S582+R582)+MIN(MAX(S582,0),'P-Parametri'!$B$8*(S582+R582)))</f>
        <v>0</v>
      </c>
      <c r="U582" s="18">
        <f>IF($A582&gt;'1-Input'!$B$26,S582,S582-MIN(MAX(S582,0),'P-Parametri'!$B$8*(S582+R582)))</f>
        <v>186642.74563059135</v>
      </c>
      <c r="V582" s="18">
        <f>IF($A582&gt;'1-Input'!$B$26,V581,V581-Q582*(1-P582))</f>
        <v>86644.714975548486</v>
      </c>
      <c r="W582" s="11">
        <f>IF($A582&gt;'1-Input'!$B$26,0,IF(AB581&lt;=0,0,MAX(0,(AB581-AC581)/AB581)))</f>
        <v>0.52280187472034712</v>
      </c>
      <c r="X582" s="18">
        <f>IF($A582&gt;'1-Input'!$B$26,0,(MAX(0,W561-IF($A582&gt;='1-Input'!$C$12,'1-Input'!$B$13,0))-MIN(MAX(AA581,0),MAX(0,W561-IF($A582&gt;='1-Input'!$C$12,'1-Input'!$B$13,0))))*(1/(1-'P-Parametri'!$B$6*W582))+MIN(MAX(0,AB581-(MAX(0,W561-IF($A582&gt;='1-Input'!$C$12,'1-Input'!$B$13,0))-MIN(MAX(AA581,0),MAX(0,W561-IF($A582&gt;='1-Input'!$C$12,'1-Input'!$B$13,0))))*(1/(1-'P-Parametri'!$B$6*W582))),MAX(0,0*W561-(AA581-MIN(MAX(AA581,0),MAX(0,W561-IF($A582&gt;='1-Input'!$C$12,'1-Input'!$B$13,0)))))*(1/(1-'P-Parametri'!$B$6*W582))))</f>
        <v>22598.453240488314</v>
      </c>
      <c r="Y582" s="18">
        <f>IF($A582&gt;'1-Input'!$B$26,AA581,(AA581-MAX(0,W561-IF($A582&gt;='1-Input'!$C$12,'1-Input'!$B$13,0))+X582*(1-'P-Parametri'!$B$6*W582))*(1+'1-Input'!$B$27))</f>
        <v>0</v>
      </c>
      <c r="Z582" s="18">
        <f>IF($A582&gt;'1-Input'!$B$26,AB581,(AB581-X582)*(1+'5-Roberta'!$C$4))</f>
        <v>194489.9388901038</v>
      </c>
      <c r="AA582" s="18">
        <f>IF($A582&gt;'1-Input'!$B$26,Y582,Y582-'P-Parametri'!$B$8*(Z582+Y582)+MIN(MAX(Z582,0),'P-Parametri'!$B$8*(Z582+Y582)))</f>
        <v>0</v>
      </c>
      <c r="AB582" s="18">
        <f>IF($A582&gt;'1-Input'!$B$26,Z582,Z582-MIN(MAX(Z582,0),'P-Parametri'!$B$8*(Z582+Y582)))</f>
        <v>194100.95901232358</v>
      </c>
      <c r="AC582" s="18">
        <f>IF($A582&gt;'1-Input'!$B$26,AC581,AC581-X582*(1-W582))</f>
        <v>90107.023518555128</v>
      </c>
      <c r="AD582" s="11">
        <f>IF($A582&gt;'1-Input'!$B$26,0,IF(AI581&lt;=0,0,MAX(0,(AI581-AJ581)/AI581)))</f>
        <v>0.52280187472034723</v>
      </c>
      <c r="AE582" s="18">
        <f>IF($A582&gt;'1-Input'!$B$26,0,(MAX(0,AD561-IF($A582&gt;='1-Input'!$C$12,'1-Input'!$B$13,0))-MIN(MAX(AH581,0),MAX(0,AD561-IF($A582&gt;='1-Input'!$C$12,'1-Input'!$B$13,0))))*(1/(1-'P-Parametri'!$B$6*AD582))+MIN(MAX(0,AI581-(MAX(0,AD561-IF($A582&gt;='1-Input'!$C$12,'1-Input'!$B$13,0))-MIN(MAX(AH581,0),MAX(0,AD561-IF($A582&gt;='1-Input'!$C$12,'1-Input'!$B$13,0))))*(1/(1-'P-Parametri'!$B$6*AD582))),MAX(0,0*AD561-(AH581-MIN(MAX(AH581,0),MAX(0,AD561-IF($A582&gt;='1-Input'!$C$12,'1-Input'!$B$13,0)))))*(1/(1-'P-Parametri'!$B$6*AD582))))</f>
        <v>22617.465124222552</v>
      </c>
      <c r="AF582" s="18">
        <f>IF($A582&gt;'1-Input'!$B$26,AH581,(AH581-MAX(0,AD561-IF($A582&gt;='1-Input'!$C$12,'1-Input'!$B$13,0))+AE582*(1-'P-Parametri'!$B$6*AD582))*(1+'1-Input'!$B$27))</f>
        <v>0</v>
      </c>
      <c r="AG582" s="18">
        <f>IF($A582&gt;'1-Input'!$B$26,AI581,(AI581-AE582)*(1+'5-Roberta'!$C$4))</f>
        <v>194028.90206280976</v>
      </c>
      <c r="AH582" s="18">
        <f>IF($A582&gt;'1-Input'!$B$26,AF582,AF582-'P-Parametri'!$B$8*(AG582+AF582)+MIN(MAX(AG582,0),'P-Parametri'!$B$8*(AG582+AF582)))</f>
        <v>0</v>
      </c>
      <c r="AI582" s="18">
        <f>IF($A582&gt;'1-Input'!$B$26,AG582,AG582-MIN(MAX(AG582,0),'P-Parametri'!$B$8*(AG582+AF582)))</f>
        <v>193640.84425868414</v>
      </c>
      <c r="AJ582" s="18">
        <f>IF($A582&gt;'1-Input'!$B$26,AJ581,AJ581-AE582*(1-AD582))</f>
        <v>89893.425548002109</v>
      </c>
      <c r="AK582" s="11">
        <f>IF($A582&gt;'1-Input'!$B$26,0,IF(AP581&lt;=0,0,MAX(0,(AP581-AQ581)/AP581)))</f>
        <v>0.52280187472034723</v>
      </c>
      <c r="AL582" s="18">
        <f>IF($A582&gt;'1-Input'!$B$26,0,(MAX(0,AK561-IF($A582&gt;='1-Input'!$C$12,'1-Input'!$B$13,0))-MIN(MAX(AO581,0),MAX(0,AK561-IF($A582&gt;='1-Input'!$C$12,'1-Input'!$B$13,0))))*(1/(1-'P-Parametri'!$B$6*AK582))+MIN(MAX(0,AP581-(MAX(0,AK561-IF($A582&gt;='1-Input'!$C$12,'1-Input'!$B$13,0))-MIN(MAX(AO581,0),MAX(0,AK561-IF($A582&gt;='1-Input'!$C$12,'1-Input'!$B$13,0))))*(1/(1-'P-Parametri'!$B$6*AK582))),MAX(0,0*AK561-(AO581-MIN(MAX(AO581,0),MAX(0,AK561-IF($A582&gt;='1-Input'!$C$12,'1-Input'!$B$13,0)))))*(1/(1-'P-Parametri'!$B$6*AK582))))</f>
        <v>22615.027354289294</v>
      </c>
      <c r="AM582" s="18">
        <f>IF($A582&gt;'1-Input'!$B$26,AO581,(AO581-MAX(0,AK561-IF($A582&gt;='1-Input'!$C$12,'1-Input'!$B$13,0))+AL582*(1-'P-Parametri'!$B$6*AK582))*(1+'1-Input'!$B$27))</f>
        <v>0</v>
      </c>
      <c r="AN582" s="18">
        <f>IF($A582&gt;'1-Input'!$B$26,AP581,(AP581-AL582)*(1+'5-Roberta'!$C$4))</f>
        <v>194088.01781017132</v>
      </c>
      <c r="AO582" s="18">
        <f>IF($A582&gt;'1-Input'!$B$26,AM582,AM582-'P-Parametri'!$B$8*(AN582+AM582)+MIN(MAX(AN582,0),'P-Parametri'!$B$8*(AN582+AM582)))</f>
        <v>0</v>
      </c>
      <c r="AP582" s="18">
        <f>IF($A582&gt;'1-Input'!$B$26,AN582,AN582-MIN(MAX(AN582,0),'P-Parametri'!$B$8*(AN582+AM582)))</f>
        <v>193699.84177455099</v>
      </c>
      <c r="AQ582" s="18">
        <f>IF($A582&gt;'1-Input'!$B$26,AQ581,AQ581-AL582*(1-AK582))</f>
        <v>89920.813823551085</v>
      </c>
    </row>
    <row r="583" spans="1:43">
      <c r="A583" s="10">
        <f>20</f>
        <v>20</v>
      </c>
      <c r="B583" s="11">
        <f>IF($A583&gt;'1-Input'!$B$26,0,IF(G582&lt;=0,0,MAX(0,(G582-H582)/G582)))</f>
        <v>0.53577239403111743</v>
      </c>
      <c r="C583" s="18">
        <f>IF($A583&gt;'1-Input'!$B$26,0,(MAX(0,B561-IF($A583&gt;='1-Input'!$C$12,'1-Input'!$B$13,0))-MIN(MAX(F582,0),MAX(0,B561-IF($A583&gt;='1-Input'!$C$12,'1-Input'!$B$13,0))))*(1/(1-'P-Parametri'!$B$6*B583))+MIN(MAX(0,G582-(MAX(0,B561-IF($A583&gt;='1-Input'!$C$12,'1-Input'!$B$13,0))-MIN(MAX(F582,0),MAX(0,B561-IF($A583&gt;='1-Input'!$C$12,'1-Input'!$B$13,0))))*(1/(1-'P-Parametri'!$B$6*B583))),MAX(0,0*B561-(F582-MIN(MAX(F582,0),MAX(0,B561-IF($A583&gt;='1-Input'!$C$12,'1-Input'!$B$13,0)))))*(1/(1-'P-Parametri'!$B$6*B583))))</f>
        <v>19380.819396239931</v>
      </c>
      <c r="D583" s="18">
        <f>IF($A583&gt;'1-Input'!$B$26,F582,(F582-MAX(0,B561-IF($A583&gt;='1-Input'!$C$12,'1-Input'!$B$13,0))+C583*(1-'P-Parametri'!$B$6*B583))*(1+'1-Input'!$B$27))</f>
        <v>0</v>
      </c>
      <c r="E583" s="18">
        <f>IF($A583&gt;'1-Input'!$B$26,G582,(G582-C583)*(1+'5-Roberta'!$C$4))</f>
        <v>262054.7419094709</v>
      </c>
      <c r="F583" s="18">
        <f>IF($A583&gt;'1-Input'!$B$26,D583,D583-'P-Parametri'!$B$8*(E583+D583)+MIN(MAX(E583,0),'P-Parametri'!$B$8*(E583+D583)))</f>
        <v>0</v>
      </c>
      <c r="G583" s="18">
        <f>IF($A583&gt;'1-Input'!$B$26,E583,E583-MIN(MAX(E583,0),'P-Parametri'!$B$8*(E583+D583)))</f>
        <v>261530.63242565197</v>
      </c>
      <c r="H583" s="18">
        <f>IF($A583&gt;'1-Input'!$B$26,H582,H582-C583*(1-B583))</f>
        <v>118109.7528829389</v>
      </c>
      <c r="I583" s="11">
        <f>IF($A583&gt;'1-Input'!$B$26,0,IF(N582&lt;=0,0,MAX(0,(N582-O582)/N582)))</f>
        <v>0.53577239403111809</v>
      </c>
      <c r="J583" s="18">
        <f>IF($A583&gt;'1-Input'!$B$26,0,(MAX(0,I561-IF($A583&gt;='1-Input'!$C$12,'1-Input'!$B$13,0))-MIN(MAX(M582,0),MAX(0,I561-IF($A583&gt;='1-Input'!$C$12,'1-Input'!$B$13,0))))*(1/(1-'P-Parametri'!$B$6*I583))+MIN(MAX(0,N582-(MAX(0,I561-IF($A583&gt;='1-Input'!$C$12,'1-Input'!$B$13,0))-MIN(MAX(M582,0),MAX(0,I561-IF($A583&gt;='1-Input'!$C$12,'1-Input'!$B$13,0))))*(1/(1-'P-Parametri'!$B$6*I583))),MAX(0,0*I561-(M582-MIN(MAX(M582,0),MAX(0,I561-IF($A583&gt;='1-Input'!$C$12,'1-Input'!$B$13,0)))))*(1/(1-'P-Parametri'!$B$6*I583))))</f>
        <v>25501.078152947288</v>
      </c>
      <c r="K583" s="18">
        <f>IF($A583&gt;'1-Input'!$B$26,M582,(M582-MAX(0,I561-IF($A583&gt;='1-Input'!$C$12,'1-Input'!$B$13,0))+J583*(1-'P-Parametri'!$B$6*I583))*(1+'1-Input'!$B$27))</f>
        <v>0</v>
      </c>
      <c r="L583" s="18">
        <f>IF($A583&gt;'1-Input'!$B$26,N582,(N582-J583)*(1+'5-Roberta'!$C$4))</f>
        <v>103783.72534299247</v>
      </c>
      <c r="M583" s="18">
        <f>IF($A583&gt;'1-Input'!$B$26,K583,K583-'P-Parametri'!$B$8*(L583+K583)+MIN(MAX(L583,0),'P-Parametri'!$B$8*(L583+K583)))</f>
        <v>0</v>
      </c>
      <c r="N583" s="18">
        <f>IF($A583&gt;'1-Input'!$B$26,L583,L583-MIN(MAX(L583,0),'P-Parametri'!$B$8*(L583+K583)))</f>
        <v>103576.1578923065</v>
      </c>
      <c r="O583" s="18">
        <f>IF($A583&gt;'1-Input'!$B$26,O582,O582-J583*(1-I583))</f>
        <v>46775.990635445996</v>
      </c>
      <c r="P583" s="11">
        <f>IF($A583&gt;'1-Input'!$B$26,0,IF(U582&lt;=0,0,MAX(0,(U582-V582)/U582)))</f>
        <v>0.53577239403111776</v>
      </c>
      <c r="Q583" s="18">
        <f>IF($A583&gt;'1-Input'!$B$26,0,(MAX(0,P561-IF($A583&gt;='1-Input'!$C$12,'1-Input'!$B$13,0))-MIN(MAX(T582,0),MAX(0,P561-IF($A583&gt;='1-Input'!$C$12,'1-Input'!$B$13,0))))*(1/(1-'P-Parametri'!$B$6*P583))+MIN(MAX(0,U582-(MAX(0,P561-IF($A583&gt;='1-Input'!$C$12,'1-Input'!$B$13,0))-MIN(MAX(T582,0),MAX(0,P561-IF($A583&gt;='1-Input'!$C$12,'1-Input'!$B$13,0))))*(1/(1-'P-Parametri'!$B$6*P583))),MAX(0,0*P561-(T582-MIN(MAX(T582,0),MAX(0,P561-IF($A583&gt;='1-Input'!$C$12,'1-Input'!$B$13,0)))))*(1/(1-'P-Parametri'!$B$6*P583))))</f>
        <v>22996.376916252811</v>
      </c>
      <c r="R583" s="18">
        <f>IF($A583&gt;'1-Input'!$B$26,T582,(T582-MAX(0,P561-IF($A583&gt;='1-Input'!$C$12,'1-Input'!$B$13,0))+Q583*(1-'P-Parametri'!$B$6*P583))*(1+'1-Input'!$B$27))</f>
        <v>0</v>
      </c>
      <c r="S583" s="18">
        <f>IF($A583&gt;'1-Input'!$B$26,U582,(U582-Q583)*(1+'5-Roberta'!$C$4))</f>
        <v>168555.7597757687</v>
      </c>
      <c r="T583" s="18">
        <f>IF($A583&gt;'1-Input'!$B$26,R583,R583-'P-Parametri'!$B$8*(S583+R583)+MIN(MAX(S583,0),'P-Parametri'!$B$8*(S583+R583)))</f>
        <v>0</v>
      </c>
      <c r="U583" s="18">
        <f>IF($A583&gt;'1-Input'!$B$26,S583,S583-MIN(MAX(S583,0),'P-Parametri'!$B$8*(S583+R583)))</f>
        <v>168218.64825621716</v>
      </c>
      <c r="V583" s="18">
        <f>IF($A583&gt;'1-Input'!$B$26,V582,V582-Q583*(1-P583))</f>
        <v>75969.161973758382</v>
      </c>
      <c r="W583" s="11">
        <f>IF($A583&gt;'1-Input'!$B$26,0,IF(AB582&lt;=0,0,MAX(0,(AB582-AC582)/AB582)))</f>
        <v>0.53577239403111765</v>
      </c>
      <c r="X583" s="18">
        <f>IF($A583&gt;'1-Input'!$B$26,0,(MAX(0,W561-IF($A583&gt;='1-Input'!$C$12,'1-Input'!$B$13,0))-MIN(MAX(AA582,0),MAX(0,W561-IF($A583&gt;='1-Input'!$C$12,'1-Input'!$B$13,0))))*(1/(1-'P-Parametri'!$B$6*W583))+MIN(MAX(0,AB582-(MAX(0,W561-IF($A583&gt;='1-Input'!$C$12,'1-Input'!$B$13,0))-MIN(MAX(AA582,0),MAX(0,W561-IF($A583&gt;='1-Input'!$C$12,'1-Input'!$B$13,0))))*(1/(1-'P-Parametri'!$B$6*W583))),MAX(0,0*W561-(AA582-MIN(MAX(AA582,0),MAX(0,W561-IF($A583&gt;='1-Input'!$C$12,'1-Input'!$B$13,0)))))*(1/(1-'P-Parametri'!$B$6*W583))))</f>
        <v>22686.997016602498</v>
      </c>
      <c r="Y583" s="18">
        <f>IF($A583&gt;'1-Input'!$B$26,AA582,(AA582-MAX(0,W561-IF($A583&gt;='1-Input'!$C$12,'1-Input'!$B$13,0))+X583*(1-'P-Parametri'!$B$6*W583))*(1+'1-Input'!$B$27))</f>
        <v>0</v>
      </c>
      <c r="Z583" s="18">
        <f>IF($A583&gt;'1-Input'!$B$26,AB582,(AB582-X583)*(1+'5-Roberta'!$C$4))</f>
        <v>176556.38085559272</v>
      </c>
      <c r="AA583" s="18">
        <f>IF($A583&gt;'1-Input'!$B$26,Y583,Y583-'P-Parametri'!$B$8*(Z583+Y583)+MIN(MAX(Z583,0),'P-Parametri'!$B$8*(Z583+Y583)))</f>
        <v>0</v>
      </c>
      <c r="AB583" s="18">
        <f>IF($A583&gt;'1-Input'!$B$26,Z583,Z583-MIN(MAX(Z583,0),'P-Parametri'!$B$8*(Z583+Y583)))</f>
        <v>176203.26809388155</v>
      </c>
      <c r="AC583" s="18">
        <f>IF($A583&gt;'1-Input'!$B$26,AC582,AC582-X583*(1-W583))</f>
        <v>79575.093206914578</v>
      </c>
      <c r="AD583" s="11">
        <f>IF($A583&gt;'1-Input'!$B$26,0,IF(AI582&lt;=0,0,MAX(0,(AI582-AJ582)/AI582)))</f>
        <v>0.53577239403111776</v>
      </c>
      <c r="AE583" s="18">
        <f>IF($A583&gt;'1-Input'!$B$26,0,(MAX(0,AD561-IF($A583&gt;='1-Input'!$C$12,'1-Input'!$B$13,0))-MIN(MAX(AH582,0),MAX(0,AD561-IF($A583&gt;='1-Input'!$C$12,'1-Input'!$B$13,0))))*(1/(1-'P-Parametri'!$B$6*AD583))+MIN(MAX(0,AI582-(MAX(0,AD561-IF($A583&gt;='1-Input'!$C$12,'1-Input'!$B$13,0))-MIN(MAX(AH582,0),MAX(0,AD561-IF($A583&gt;='1-Input'!$C$12,'1-Input'!$B$13,0))))*(1/(1-'P-Parametri'!$B$6*AD583))),MAX(0,0*AD561-(AH582-MIN(MAX(AH582,0),MAX(0,AD561-IF($A583&gt;='1-Input'!$C$12,'1-Input'!$B$13,0)))))*(1/(1-'P-Parametri'!$B$6*AD583))))</f>
        <v>22706.083391451641</v>
      </c>
      <c r="AF583" s="18">
        <f>IF($A583&gt;'1-Input'!$B$26,AH582,(AH582-MAX(0,AD561-IF($A583&gt;='1-Input'!$C$12,'1-Input'!$B$13,0))+AE583*(1-'P-Parametri'!$B$6*AD583))*(1+'1-Input'!$B$27))</f>
        <v>0</v>
      </c>
      <c r="AG583" s="18">
        <f>IF($A583&gt;'1-Input'!$B$26,AI582,(AI582-AE583)*(1+'5-Roberta'!$C$4))</f>
        <v>176062.8036932495</v>
      </c>
      <c r="AH583" s="18">
        <f>IF($A583&gt;'1-Input'!$B$26,AF583,AF583-'P-Parametri'!$B$8*(AG583+AF583)+MIN(MAX(AG583,0),'P-Parametri'!$B$8*(AG583+AF583)))</f>
        <v>0</v>
      </c>
      <c r="AI583" s="18">
        <f>IF($A583&gt;'1-Input'!$B$26,AG583,AG583-MIN(MAX(AG583,0),'P-Parametri'!$B$8*(AG583+AF583)))</f>
        <v>175710.67808586301</v>
      </c>
      <c r="AJ583" s="18">
        <f>IF($A583&gt;'1-Input'!$B$26,AJ582,AJ582-AE583*(1-AD583))</f>
        <v>79352.634814258723</v>
      </c>
      <c r="AK583" s="11">
        <f>IF($A583&gt;'1-Input'!$B$26,0,IF(AP582&lt;=0,0,MAX(0,(AP582-AQ582)/AP582)))</f>
        <v>0.53577239403111776</v>
      </c>
      <c r="AL583" s="18">
        <f>IF($A583&gt;'1-Input'!$B$26,0,(MAX(0,AK561-IF($A583&gt;='1-Input'!$C$12,'1-Input'!$B$13,0))-MIN(MAX(AO582,0),MAX(0,AK561-IF($A583&gt;='1-Input'!$C$12,'1-Input'!$B$13,0))))*(1/(1-'P-Parametri'!$B$6*AK583))+MIN(MAX(0,AP582-(MAX(0,AK561-IF($A583&gt;='1-Input'!$C$12,'1-Input'!$B$13,0))-MIN(MAX(AO582,0),MAX(0,AK561-IF($A583&gt;='1-Input'!$C$12,'1-Input'!$B$13,0))))*(1/(1-'P-Parametri'!$B$6*AK583))),MAX(0,0*AK561-(AO582-MIN(MAX(AO582,0),MAX(0,AK561-IF($A583&gt;='1-Input'!$C$12,'1-Input'!$B$13,0)))))*(1/(1-'P-Parametri'!$B$6*AK583))))</f>
        <v>22703.63607000824</v>
      </c>
      <c r="AM583" s="18">
        <f>IF($A583&gt;'1-Input'!$B$26,AO582,(AO582-MAX(0,AK561-IF($A583&gt;='1-Input'!$C$12,'1-Input'!$B$13,0))+AL583*(1-'P-Parametri'!$B$6*AK583))*(1+'1-Input'!$B$27))</f>
        <v>0</v>
      </c>
      <c r="AN583" s="18">
        <f>IF($A583&gt;'1-Input'!$B$26,AP582,(AP582-AL583)*(1+'5-Roberta'!$C$4))</f>
        <v>176126.09187567903</v>
      </c>
      <c r="AO583" s="18">
        <f>IF($A583&gt;'1-Input'!$B$26,AM583,AM583-'P-Parametri'!$B$8*(AN583+AM583)+MIN(MAX(AN583,0),'P-Parametri'!$B$8*(AN583+AM583)))</f>
        <v>0</v>
      </c>
      <c r="AP583" s="18">
        <f>IF($A583&gt;'1-Input'!$B$26,AN583,AN583-MIN(MAX(AN583,0),'P-Parametri'!$B$8*(AN583+AM583)))</f>
        <v>175773.83969192769</v>
      </c>
      <c r="AQ583" s="18">
        <f>IF($A583&gt;'1-Input'!$B$26,AQ582,AQ582-AL583*(1-AK583))</f>
        <v>79381.159203982403</v>
      </c>
    </row>
    <row r="584" spans="1:43">
      <c r="A584" s="10">
        <f>21</f>
        <v>21</v>
      </c>
      <c r="B584" s="11">
        <f>IF($A584&gt;'1-Input'!$B$26,0,IF(G583&lt;=0,0,MAX(0,(G583-H583)/G583)))</f>
        <v>0.5483903671723227</v>
      </c>
      <c r="C584" s="18">
        <f>IF($A584&gt;'1-Input'!$B$26,0,(MAX(0,B561-IF($A584&gt;='1-Input'!$C$12,'1-Input'!$B$13,0))-MIN(MAX(F583,0),MAX(0,B561-IF($A584&gt;='1-Input'!$C$12,'1-Input'!$B$13,0))))*(1/(1-'P-Parametri'!$B$6*B584))+MIN(MAX(0,G583-(MAX(0,B561-IF($A584&gt;='1-Input'!$C$12,'1-Input'!$B$13,0))-MIN(MAX(F583,0),MAX(0,B561-IF($A584&gt;='1-Input'!$C$12,'1-Input'!$B$13,0))))*(1/(1-'P-Parametri'!$B$6*B584))),MAX(0,0*B561-(F583-MIN(MAX(F583,0),MAX(0,B561-IF($A584&gt;='1-Input'!$C$12,'1-Input'!$B$13,0)))))*(1/(1-'P-Parametri'!$B$6*B584))))</f>
        <v>19454.974701844756</v>
      </c>
      <c r="D584" s="18">
        <f>IF($A584&gt;'1-Input'!$B$26,F583,(F583-MAX(0,B561-IF($A584&gt;='1-Input'!$C$12,'1-Input'!$B$13,0))+C584*(1-'P-Parametri'!$B$6*B584))*(1+'1-Input'!$B$27))</f>
        <v>0</v>
      </c>
      <c r="E584" s="18">
        <f>IF($A584&gt;'1-Input'!$B$26,G583,(G583-C584)*(1+'5-Roberta'!$C$4))</f>
        <v>249337.92745552142</v>
      </c>
      <c r="F584" s="18">
        <f>IF($A584&gt;'1-Input'!$B$26,D584,D584-'P-Parametri'!$B$8*(E584+D584)+MIN(MAX(E584,0),'P-Parametri'!$B$8*(E584+D584)))</f>
        <v>0</v>
      </c>
      <c r="G584" s="18">
        <f>IF($A584&gt;'1-Input'!$B$26,E584,E584-MIN(MAX(E584,0),'P-Parametri'!$B$8*(E584+D584)))</f>
        <v>248839.25160061038</v>
      </c>
      <c r="H584" s="18">
        <f>IF($A584&gt;'1-Input'!$B$26,H583,H583-C584*(1-B584))</f>
        <v>109323.69890116704</v>
      </c>
      <c r="I584" s="11">
        <f>IF($A584&gt;'1-Input'!$B$26,0,IF(N583&lt;=0,0,MAX(0,(N583-O583)/N583)))</f>
        <v>0.54839036717232337</v>
      </c>
      <c r="J584" s="18">
        <f>IF($A584&gt;'1-Input'!$B$26,0,(MAX(0,I561-IF($A584&gt;='1-Input'!$C$12,'1-Input'!$B$13,0))-MIN(MAX(M583,0),MAX(0,I561-IF($A584&gt;='1-Input'!$C$12,'1-Input'!$B$13,0))))*(1/(1-'P-Parametri'!$B$6*I584))+MIN(MAX(0,N583-(MAX(0,I561-IF($A584&gt;='1-Input'!$C$12,'1-Input'!$B$13,0))-MIN(MAX(M583,0),MAX(0,I561-IF($A584&gt;='1-Input'!$C$12,'1-Input'!$B$13,0))))*(1/(1-'P-Parametri'!$B$6*I584))),MAX(0,0*I561-(M583-MIN(MAX(M583,0),MAX(0,I561-IF($A584&gt;='1-Input'!$C$12,'1-Input'!$B$13,0)))))*(1/(1-'P-Parametri'!$B$6*I584))))</f>
        <v>25598.650923479952</v>
      </c>
      <c r="K584" s="18">
        <f>IF($A584&gt;'1-Input'!$B$26,M583,(M583-MAX(0,I561-IF($A584&gt;='1-Input'!$C$12,'1-Input'!$B$13,0))+J584*(1-'P-Parametri'!$B$6*I584))*(1+'1-Input'!$B$27))</f>
        <v>0</v>
      </c>
      <c r="L584" s="18">
        <f>IF($A584&gt;'1-Input'!$B$26,N583,(N583-J584)*(1+'5-Roberta'!$C$4))</f>
        <v>80316.832177891352</v>
      </c>
      <c r="M584" s="18">
        <f>IF($A584&gt;'1-Input'!$B$26,K584,K584-'P-Parametri'!$B$8*(L584+K584)+MIN(MAX(L584,0),'P-Parametri'!$B$8*(L584+K584)))</f>
        <v>0</v>
      </c>
      <c r="N584" s="18">
        <f>IF($A584&gt;'1-Input'!$B$26,L584,L584-MIN(MAX(L584,0),'P-Parametri'!$B$8*(L584+K584)))</f>
        <v>80156.198513535564</v>
      </c>
      <c r="O584" s="18">
        <f>IF($A584&gt;'1-Input'!$B$26,O583,O583-J584*(1-I584))</f>
        <v>35215.39329100935</v>
      </c>
      <c r="P584" s="11">
        <f>IF($A584&gt;'1-Input'!$B$26,0,IF(U583&lt;=0,0,MAX(0,(U583-V583)/U583)))</f>
        <v>0.54839036717232303</v>
      </c>
      <c r="Q584" s="18">
        <f>IF($A584&gt;'1-Input'!$B$26,0,(MAX(0,P561-IF($A584&gt;='1-Input'!$C$12,'1-Input'!$B$13,0))-MIN(MAX(T583,0),MAX(0,P561-IF($A584&gt;='1-Input'!$C$12,'1-Input'!$B$13,0))))*(1/(1-'P-Parametri'!$B$6*P584))+MIN(MAX(0,U583-(MAX(0,P561-IF($A584&gt;='1-Input'!$C$12,'1-Input'!$B$13,0))-MIN(MAX(T583,0),MAX(0,P561-IF($A584&gt;='1-Input'!$C$12,'1-Input'!$B$13,0))))*(1/(1-'P-Parametri'!$B$6*P584))),MAX(0,0*P561-(T583-MIN(MAX(T583,0),MAX(0,P561-IF($A584&gt;='1-Input'!$C$12,'1-Input'!$B$13,0)))))*(1/(1-'P-Parametri'!$B$6*P584))))</f>
        <v>23084.366145354208</v>
      </c>
      <c r="R584" s="18">
        <f>IF($A584&gt;'1-Input'!$B$26,T583,(T583-MAX(0,P561-IF($A584&gt;='1-Input'!$C$12,'1-Input'!$B$13,0))+Q584*(1-'P-Parametri'!$B$6*P584))*(1+'1-Input'!$B$27))</f>
        <v>3.6248820833861826E-12</v>
      </c>
      <c r="S584" s="18">
        <f>IF($A584&gt;'1-Input'!$B$26,U583,(U583-Q584)*(1+'5-Roberta'!$C$4))</f>
        <v>149488.31057418886</v>
      </c>
      <c r="T584" s="18">
        <f>IF($A584&gt;'1-Input'!$B$26,R584,R584-'P-Parametri'!$B$8*(S584+R584)+MIN(MAX(S584,0),'P-Parametri'!$B$8*(S584+R584)))</f>
        <v>3.637978807091713E-12</v>
      </c>
      <c r="U584" s="18">
        <f>IF($A584&gt;'1-Input'!$B$26,S584,S584-MIN(MAX(S584,0),'P-Parametri'!$B$8*(S584+R584)))</f>
        <v>149189.33395304048</v>
      </c>
      <c r="V584" s="18">
        <f>IF($A584&gt;'1-Input'!$B$26,V583,V583-Q584*(1-P584))</f>
        <v>65544.039854795308</v>
      </c>
      <c r="W584" s="11">
        <f>IF($A584&gt;'1-Input'!$B$26,0,IF(AB583&lt;=0,0,MAX(0,(AB583-AC583)/AB583)))</f>
        <v>0.54839036717232303</v>
      </c>
      <c r="X584" s="18">
        <f>IF($A584&gt;'1-Input'!$B$26,0,(MAX(0,W561-IF($A584&gt;='1-Input'!$C$12,'1-Input'!$B$13,0))-MIN(MAX(AA583,0),MAX(0,W561-IF($A584&gt;='1-Input'!$C$12,'1-Input'!$B$13,0))))*(1/(1-'P-Parametri'!$B$6*W584))+MIN(MAX(0,AB583-(MAX(0,W561-IF($A584&gt;='1-Input'!$C$12,'1-Input'!$B$13,0))-MIN(MAX(AA583,0),MAX(0,W561-IF($A584&gt;='1-Input'!$C$12,'1-Input'!$B$13,0))))*(1/(1-'P-Parametri'!$B$6*W584))),MAX(0,0*W561-(AA583-MIN(MAX(AA583,0),MAX(0,W561-IF($A584&gt;='1-Input'!$C$12,'1-Input'!$B$13,0)))))*(1/(1-'P-Parametri'!$B$6*W584))))</f>
        <v>22773.802489716207</v>
      </c>
      <c r="Y584" s="18">
        <f>IF($A584&gt;'1-Input'!$B$26,AA583,(AA583-MAX(0,W561-IF($A584&gt;='1-Input'!$C$12,'1-Input'!$B$13,0))+X584*(1-'P-Parametri'!$B$6*W584))*(1+'1-Input'!$B$27))</f>
        <v>0</v>
      </c>
      <c r="Z584" s="18">
        <f>IF($A584&gt;'1-Input'!$B$26,AB583,(AB583-X584)*(1+'5-Roberta'!$C$4))</f>
        <v>158032.34957229029</v>
      </c>
      <c r="AA584" s="18">
        <f>IF($A584&gt;'1-Input'!$B$26,Y584,Y584-'P-Parametri'!$B$8*(Z584+Y584)+MIN(MAX(Z584,0),'P-Parametri'!$B$8*(Z584+Y584)))</f>
        <v>0</v>
      </c>
      <c r="AB584" s="18">
        <f>IF($A584&gt;'1-Input'!$B$26,Z584,Z584-MIN(MAX(Z584,0),'P-Parametri'!$B$8*(Z584+Y584)))</f>
        <v>157716.28487314572</v>
      </c>
      <c r="AC584" s="18">
        <f>IF($A584&gt;'1-Input'!$B$26,AC583,AC583-X584*(1-W584))</f>
        <v>69290.224626443814</v>
      </c>
      <c r="AD584" s="11">
        <f>IF($A584&gt;'1-Input'!$B$26,0,IF(AI583&lt;=0,0,MAX(0,(AI583-AJ583)/AI583)))</f>
        <v>0.54839036717232315</v>
      </c>
      <c r="AE584" s="18">
        <f>IF($A584&gt;'1-Input'!$B$26,0,(MAX(0,AD561-IF($A584&gt;='1-Input'!$C$12,'1-Input'!$B$13,0))-MIN(MAX(AH583,0),MAX(0,AD561-IF($A584&gt;='1-Input'!$C$12,'1-Input'!$B$13,0))))*(1/(1-'P-Parametri'!$B$6*AD584))+MIN(MAX(0,AI583-(MAX(0,AD561-IF($A584&gt;='1-Input'!$C$12,'1-Input'!$B$13,0))-MIN(MAX(AH583,0),MAX(0,AD561-IF($A584&gt;='1-Input'!$C$12,'1-Input'!$B$13,0))))*(1/(1-'P-Parametri'!$B$6*AD584))),MAX(0,0*AD561-(AH583-MIN(MAX(AH583,0),MAX(0,AD561-IF($A584&gt;='1-Input'!$C$12,'1-Input'!$B$13,0)))))*(1/(1-'P-Parametri'!$B$6*AD584))))</f>
        <v>22792.961893260934</v>
      </c>
      <c r="AF584" s="18">
        <f>IF($A584&gt;'1-Input'!$B$26,AH583,(AH583-MAX(0,AD561-IF($A584&gt;='1-Input'!$C$12,'1-Input'!$B$13,0))+AE584*(1-'P-Parametri'!$B$6*AD584))*(1+'1-Input'!$B$27))</f>
        <v>3.6248820833861826E-12</v>
      </c>
      <c r="AG584" s="18">
        <f>IF($A584&gt;'1-Input'!$B$26,AI583,(AI583-AE584)*(1+'5-Roberta'!$C$4))</f>
        <v>157505.24767838014</v>
      </c>
      <c r="AH584" s="18">
        <f>IF($A584&gt;'1-Input'!$B$26,AF584,AF584-'P-Parametri'!$B$8*(AG584+AF584)+MIN(MAX(AG584,0),'P-Parametri'!$B$8*(AG584+AF584)))</f>
        <v>3.637978807091713E-12</v>
      </c>
      <c r="AI584" s="18">
        <f>IF($A584&gt;'1-Input'!$B$26,AG584,AG584-MIN(MAX(AG584,0),'P-Parametri'!$B$8*(AG584+AF584)))</f>
        <v>157190.23718302339</v>
      </c>
      <c r="AJ584" s="18">
        <f>IF($A584&gt;'1-Input'!$B$26,AJ583,AJ583-AE584*(1-AD584))</f>
        <v>69059.113662587915</v>
      </c>
      <c r="AK584" s="11">
        <f>IF($A584&gt;'1-Input'!$B$26,0,IF(AP583&lt;=0,0,MAX(0,(AP583-AQ583)/AP583)))</f>
        <v>0.54839036717232315</v>
      </c>
      <c r="AL584" s="18">
        <f>IF($A584&gt;'1-Input'!$B$26,0,(MAX(0,AK561-IF($A584&gt;='1-Input'!$C$12,'1-Input'!$B$13,0))-MIN(MAX(AO583,0),MAX(0,AK561-IF($A584&gt;='1-Input'!$C$12,'1-Input'!$B$13,0))))*(1/(1-'P-Parametri'!$B$6*AK584))+MIN(MAX(0,AP583-(MAX(0,AK561-IF($A584&gt;='1-Input'!$C$12,'1-Input'!$B$13,0))-MIN(MAX(AO583,0),MAX(0,AK561-IF($A584&gt;='1-Input'!$C$12,'1-Input'!$B$13,0))))*(1/(1-'P-Parametri'!$B$6*AK584))),MAX(0,0*AK561-(AO583-MIN(MAX(AO583,0),MAX(0,AK561-IF($A584&gt;='1-Input'!$C$12,'1-Input'!$B$13,0)))))*(1/(1-'P-Parametri'!$B$6*AK584))))</f>
        <v>22790.505207823895</v>
      </c>
      <c r="AM584" s="18">
        <f>IF($A584&gt;'1-Input'!$B$26,AO583,(AO583-MAX(0,AK561-IF($A584&gt;='1-Input'!$C$12,'1-Input'!$B$13,0))+AL584*(1-'P-Parametri'!$B$6*AK584))*(1+'1-Input'!$B$27))</f>
        <v>3.6248820833861826E-12</v>
      </c>
      <c r="AN584" s="18">
        <f>IF($A584&gt;'1-Input'!$B$26,AP583,(AP583-AL584)*(1+'5-Roberta'!$C$4))</f>
        <v>157572.83451862689</v>
      </c>
      <c r="AO584" s="18">
        <f>IF($A584&gt;'1-Input'!$B$26,AM584,AM584-'P-Parametri'!$B$8*(AN584+AM584)+MIN(MAX(AN584,0),'P-Parametri'!$B$8*(AN584+AM584)))</f>
        <v>3.637978807091713E-12</v>
      </c>
      <c r="AP584" s="18">
        <f>IF($A584&gt;'1-Input'!$B$26,AN584,AN584-MIN(MAX(AN584,0),'P-Parametri'!$B$8*(AN584+AM584)))</f>
        <v>157257.68884958964</v>
      </c>
      <c r="AQ584" s="18">
        <f>IF($A584&gt;'1-Input'!$B$26,AQ583,AQ583-AL584*(1-AK584))</f>
        <v>69088.747515119801</v>
      </c>
    </row>
    <row r="585" spans="1:43">
      <c r="A585" s="10">
        <f>22</f>
        <v>22</v>
      </c>
      <c r="B585" s="11">
        <f>IF($A585&gt;'1-Input'!$B$26,0,IF(G584&lt;=0,0,MAX(0,(G584-H584)/G584)))</f>
        <v>0.56066537655147464</v>
      </c>
      <c r="C585" s="18">
        <f>IF($A585&gt;'1-Input'!$B$26,0,(MAX(0,B561-IF($A585&gt;='1-Input'!$C$12,'1-Input'!$B$13,0))-MIN(MAX(F584,0),MAX(0,B561-IF($A585&gt;='1-Input'!$C$12,'1-Input'!$B$13,0))))*(1/(1-'P-Parametri'!$B$6*B585))+MIN(MAX(0,G584-(MAX(0,B561-IF($A585&gt;='1-Input'!$C$12,'1-Input'!$B$13,0))-MIN(MAX(F584,0),MAX(0,B561-IF($A585&gt;='1-Input'!$C$12,'1-Input'!$B$13,0))))*(1/(1-'P-Parametri'!$B$6*B585))),MAX(0,0*B561-(F584-MIN(MAX(F584,0),MAX(0,B561-IF($A585&gt;='1-Input'!$C$12,'1-Input'!$B$13,0)))))*(1/(1-'P-Parametri'!$B$6*B585))))</f>
        <v>19527.661000745451</v>
      </c>
      <c r="D585" s="18">
        <f>IF($A585&gt;'1-Input'!$B$26,F584,(F584-MAX(0,B561-IF($A585&gt;='1-Input'!$C$12,'1-Input'!$B$13,0))+C585*(1-'P-Parametri'!$B$6*B585))*(1+'1-Input'!$B$27))</f>
        <v>0</v>
      </c>
      <c r="E585" s="18">
        <f>IF($A585&gt;'1-Input'!$B$26,G584,(G584-C585)*(1+'5-Roberta'!$C$4))</f>
        <v>236190.93831786088</v>
      </c>
      <c r="F585" s="18">
        <f>IF($A585&gt;'1-Input'!$B$26,D585,D585-'P-Parametri'!$B$8*(E585+D585)+MIN(MAX(E585,0),'P-Parametri'!$B$8*(E585+D585)))</f>
        <v>0</v>
      </c>
      <c r="G585" s="18">
        <f>IF($A585&gt;'1-Input'!$B$26,E585,E585-MIN(MAX(E585,0),'P-Parametri'!$B$8*(E585+D585)))</f>
        <v>235718.55644122517</v>
      </c>
      <c r="H585" s="18">
        <f>IF($A585&gt;'1-Input'!$B$26,H584,H584-C585*(1-B585))</f>
        <v>100744.52130857408</v>
      </c>
      <c r="I585" s="11">
        <f>IF($A585&gt;'1-Input'!$B$26,0,IF(N584&lt;=0,0,MAX(0,(N584-O584)/N584)))</f>
        <v>0.56066537655147519</v>
      </c>
      <c r="J585" s="18">
        <f>IF($A585&gt;'1-Input'!$B$26,0,(MAX(0,I561-IF($A585&gt;='1-Input'!$C$12,'1-Input'!$B$13,0))-MIN(MAX(M584,0),MAX(0,I561-IF($A585&gt;='1-Input'!$C$12,'1-Input'!$B$13,0))))*(1/(1-'P-Parametri'!$B$6*I585))+MIN(MAX(0,N584-(MAX(0,I561-IF($A585&gt;='1-Input'!$C$12,'1-Input'!$B$13,0))-MIN(MAX(M584,0),MAX(0,I561-IF($A585&gt;='1-Input'!$C$12,'1-Input'!$B$13,0))))*(1/(1-'P-Parametri'!$B$6*I585))),MAX(0,0*I561-(M584-MIN(MAX(M584,0),MAX(0,I561-IF($A585&gt;='1-Input'!$C$12,'1-Input'!$B$13,0)))))*(1/(1-'P-Parametri'!$B$6*I585))))</f>
        <v>25694.290790454546</v>
      </c>
      <c r="K585" s="18">
        <f>IF($A585&gt;'1-Input'!$B$26,M584,(M584-MAX(0,I561-IF($A585&gt;='1-Input'!$C$12,'1-Input'!$B$13,0))+J585*(1-'P-Parametri'!$B$6*I585))*(1+'1-Input'!$B$27))</f>
        <v>0</v>
      </c>
      <c r="L585" s="18">
        <f>IF($A585&gt;'1-Input'!$B$26,N584,(N584-J585)*(1+'5-Roberta'!$C$4))</f>
        <v>56095.764954773455</v>
      </c>
      <c r="M585" s="18">
        <f>IF($A585&gt;'1-Input'!$B$26,K585,K585-'P-Parametri'!$B$8*(L585+K585)+MIN(MAX(L585,0),'P-Parametri'!$B$8*(L585+K585)))</f>
        <v>0</v>
      </c>
      <c r="N585" s="18">
        <f>IF($A585&gt;'1-Input'!$B$26,L585,L585-MIN(MAX(L585,0),'P-Parametri'!$B$8*(L585+K585)))</f>
        <v>55983.573424863906</v>
      </c>
      <c r="O585" s="18">
        <f>IF($A585&gt;'1-Input'!$B$26,O584,O584-J585*(1-I585))</f>
        <v>23927.001721808105</v>
      </c>
      <c r="P585" s="11">
        <f>IF($A585&gt;'1-Input'!$B$26,0,IF(U584&lt;=0,0,MAX(0,(U584-V584)/U584)))</f>
        <v>0.56066537655147486</v>
      </c>
      <c r="Q585" s="18">
        <f>IF($A585&gt;'1-Input'!$B$26,0,(MAX(0,P561-IF($A585&gt;='1-Input'!$C$12,'1-Input'!$B$13,0))-MIN(MAX(T584,0),MAX(0,P561-IF($A585&gt;='1-Input'!$C$12,'1-Input'!$B$13,0))))*(1/(1-'P-Parametri'!$B$6*P585))+MIN(MAX(0,U584-(MAX(0,P561-IF($A585&gt;='1-Input'!$C$12,'1-Input'!$B$13,0))-MIN(MAX(T584,0),MAX(0,P561-IF($A585&gt;='1-Input'!$C$12,'1-Input'!$B$13,0))))*(1/(1-'P-Parametri'!$B$6*P585))),MAX(0,0*P561-(T584-MIN(MAX(T584,0),MAX(0,P561-IF($A585&gt;='1-Input'!$C$12,'1-Input'!$B$13,0)))))*(1/(1-'P-Parametri'!$B$6*P585))))</f>
        <v>23170.612319573858</v>
      </c>
      <c r="R585" s="18">
        <f>IF($A585&gt;'1-Input'!$B$26,T584,(T584-MAX(0,P561-IF($A585&gt;='1-Input'!$C$12,'1-Input'!$B$13,0))+Q585*(1-'P-Parametri'!$B$6*P585))*(1+'1-Input'!$B$27))</f>
        <v>0</v>
      </c>
      <c r="S585" s="18">
        <f>IF($A585&gt;'1-Input'!$B$26,U584,(U584-Q585)*(1+'5-Roberta'!$C$4))</f>
        <v>129799.28328247061</v>
      </c>
      <c r="T585" s="18">
        <f>IF($A585&gt;'1-Input'!$B$26,R585,R585-'P-Parametri'!$B$8*(S585+R585)+MIN(MAX(S585,0),'P-Parametri'!$B$8*(S585+R585)))</f>
        <v>0</v>
      </c>
      <c r="U585" s="18">
        <f>IF($A585&gt;'1-Input'!$B$26,S585,S585-MIN(MAX(S585,0),'P-Parametri'!$B$8*(S585+R585)))</f>
        <v>129539.68471590568</v>
      </c>
      <c r="V585" s="18">
        <f>IF($A585&gt;'1-Input'!$B$26,V584,V584-Q585*(1-P585))</f>
        <v>55364.387616303567</v>
      </c>
      <c r="W585" s="11">
        <f>IF($A585&gt;'1-Input'!$B$26,0,IF(AB584&lt;=0,0,MAX(0,(AB584-AC584)/AB584)))</f>
        <v>0.56066537655147475</v>
      </c>
      <c r="X585" s="18">
        <f>IF($A585&gt;'1-Input'!$B$26,0,(MAX(0,W561-IF($A585&gt;='1-Input'!$C$12,'1-Input'!$B$13,0))-MIN(MAX(AA584,0),MAX(0,W561-IF($A585&gt;='1-Input'!$C$12,'1-Input'!$B$13,0))))*(1/(1-'P-Parametri'!$B$6*W585))+MIN(MAX(0,AB584-(MAX(0,W561-IF($A585&gt;='1-Input'!$C$12,'1-Input'!$B$13,0))-MIN(MAX(AA584,0),MAX(0,W561-IF($A585&gt;='1-Input'!$C$12,'1-Input'!$B$13,0))))*(1/(1-'P-Parametri'!$B$6*W585))),MAX(0,0*W561-(AA584-MIN(MAX(AA584,0),MAX(0,W561-IF($A585&gt;='1-Input'!$C$12,'1-Input'!$B$13,0)))))*(1/(1-'P-Parametri'!$B$6*W585))))</f>
        <v>22858.888357996257</v>
      </c>
      <c r="Y585" s="18">
        <f>IF($A585&gt;'1-Input'!$B$26,AA584,(AA584-MAX(0,W561-IF($A585&gt;='1-Input'!$C$12,'1-Input'!$B$13,0))+X585*(1-'P-Parametri'!$B$6*W585))*(1+'1-Input'!$B$27))</f>
        <v>0</v>
      </c>
      <c r="Z585" s="18">
        <f>IF($A585&gt;'1-Input'!$B$26,AB584,(AB584-X585)*(1+'5-Roberta'!$C$4))</f>
        <v>138903.11841060393</v>
      </c>
      <c r="AA585" s="18">
        <f>IF($A585&gt;'1-Input'!$B$26,Y585,Y585-'P-Parametri'!$B$8*(Z585+Y585)+MIN(MAX(Z585,0),'P-Parametri'!$B$8*(Z585+Y585)))</f>
        <v>0</v>
      </c>
      <c r="AB585" s="18">
        <f>IF($A585&gt;'1-Input'!$B$26,Z585,Z585-MIN(MAX(Z585,0),'P-Parametri'!$B$8*(Z585+Y585)))</f>
        <v>138625.31217378273</v>
      </c>
      <c r="AC585" s="18">
        <f>IF($A585&gt;'1-Input'!$B$26,AC584,AC584-X585*(1-W585))</f>
        <v>59247.523517231653</v>
      </c>
      <c r="AD585" s="11">
        <f>IF($A585&gt;'1-Input'!$B$26,0,IF(AI584&lt;=0,0,MAX(0,(AI584-AJ584)/AI584)))</f>
        <v>0.56066537655147497</v>
      </c>
      <c r="AE585" s="18">
        <f>IF($A585&gt;'1-Input'!$B$26,0,(MAX(0,AD561-IF($A585&gt;='1-Input'!$C$12,'1-Input'!$B$13,0))-MIN(MAX(AH584,0),MAX(0,AD561-IF($A585&gt;='1-Input'!$C$12,'1-Input'!$B$13,0))))*(1/(1-'P-Parametri'!$B$6*AD585))+MIN(MAX(0,AI584-(MAX(0,AD561-IF($A585&gt;='1-Input'!$C$12,'1-Input'!$B$13,0))-MIN(MAX(AH584,0),MAX(0,AD561-IF($A585&gt;='1-Input'!$C$12,'1-Input'!$B$13,0))))*(1/(1-'P-Parametri'!$B$6*AD585))),MAX(0,0*AD561-(AH584-MIN(MAX(AH584,0),MAX(0,AD561-IF($A585&gt;='1-Input'!$C$12,'1-Input'!$B$13,0)))))*(1/(1-'P-Parametri'!$B$6*AD585))))</f>
        <v>22878.119343547853</v>
      </c>
      <c r="AF585" s="18">
        <f>IF($A585&gt;'1-Input'!$B$26,AH584,(AH584-MAX(0,AD561-IF($A585&gt;='1-Input'!$C$12,'1-Input'!$B$13,0))+AE585*(1-'P-Parametri'!$B$6*AD585))*(1+'1-Input'!$B$27))</f>
        <v>0</v>
      </c>
      <c r="AG585" s="18">
        <f>IF($A585&gt;'1-Input'!$B$26,AI584,(AI584-AE585)*(1+'5-Roberta'!$C$4))</f>
        <v>138341.48137465981</v>
      </c>
      <c r="AH585" s="18">
        <f>IF($A585&gt;'1-Input'!$B$26,AF585,AF585-'P-Parametri'!$B$8*(AG585+AF585)+MIN(MAX(AG585,0),'P-Parametri'!$B$8*(AG585+AF585)))</f>
        <v>0</v>
      </c>
      <c r="AI585" s="18">
        <f>IF($A585&gt;'1-Input'!$B$26,AG585,AG585-MIN(MAX(AG585,0),'P-Parametri'!$B$8*(AG585+AF585)))</f>
        <v>138064.79841191048</v>
      </c>
      <c r="AJ585" s="18">
        <f>IF($A585&gt;'1-Input'!$B$26,AJ584,AJ584-AE585*(1-AD585))</f>
        <v>59007.963715579899</v>
      </c>
      <c r="AK585" s="11">
        <f>IF($A585&gt;'1-Input'!$B$26,0,IF(AP584&lt;=0,0,MAX(0,(AP584-AQ584)/AP584)))</f>
        <v>0.56066537655147486</v>
      </c>
      <c r="AL585" s="18">
        <f>IF($A585&gt;'1-Input'!$B$26,0,(MAX(0,AK561-IF($A585&gt;='1-Input'!$C$12,'1-Input'!$B$13,0))-MIN(MAX(AO584,0),MAX(0,AK561-IF($A585&gt;='1-Input'!$C$12,'1-Input'!$B$13,0))))*(1/(1-'P-Parametri'!$B$6*AK585))+MIN(MAX(0,AP584-(MAX(0,AK561-IF($A585&gt;='1-Input'!$C$12,'1-Input'!$B$13,0))-MIN(MAX(AO584,0),MAX(0,AK561-IF($A585&gt;='1-Input'!$C$12,'1-Input'!$B$13,0))))*(1/(1-'P-Parametri'!$B$6*AK585))),MAX(0,0*AK561-(AO584-MIN(MAX(AO584,0),MAX(0,AK561-IF($A585&gt;='1-Input'!$C$12,'1-Input'!$B$13,0)))))*(1/(1-'P-Parametri'!$B$6*AK585))))</f>
        <v>22875.653479616638</v>
      </c>
      <c r="AM585" s="18">
        <f>IF($A585&gt;'1-Input'!$B$26,AO584,(AO584-MAX(0,AK561-IF($A585&gt;='1-Input'!$C$12,'1-Input'!$B$13,0))+AL585*(1-'P-Parametri'!$B$6*AK585))*(1+'1-Input'!$B$27))</f>
        <v>0</v>
      </c>
      <c r="AN585" s="18">
        <f>IF($A585&gt;'1-Input'!$B$26,AP584,(AP584-AL585)*(1+'5-Roberta'!$C$4))</f>
        <v>138413.49643107218</v>
      </c>
      <c r="AO585" s="18">
        <f>IF($A585&gt;'1-Input'!$B$26,AM585,AM585-'P-Parametri'!$B$8*(AN585+AM585)+MIN(MAX(AN585,0),'P-Parametri'!$B$8*(AN585+AM585)))</f>
        <v>0</v>
      </c>
      <c r="AP585" s="18">
        <f>IF($A585&gt;'1-Input'!$B$26,AN585,AN585-MIN(MAX(AN585,0),'P-Parametri'!$B$8*(AN585+AM585)))</f>
        <v>138136.66943821005</v>
      </c>
      <c r="AQ585" s="18">
        <f>IF($A585&gt;'1-Input'!$B$26,AQ584,AQ584-AL585*(1-AK585))</f>
        <v>59038.680907513481</v>
      </c>
    </row>
    <row r="586" spans="1:43">
      <c r="A586" s="10">
        <f>23</f>
        <v>23</v>
      </c>
      <c r="B586" s="11">
        <f>IF($A586&gt;'1-Input'!$B$26,0,IF(G585&lt;=0,0,MAX(0,(G585-H585)/G585)))</f>
        <v>0.5726067441207412</v>
      </c>
      <c r="C586" s="18">
        <f>IF($A586&gt;'1-Input'!$B$26,0,(MAX(0,B561-IF($A586&gt;='1-Input'!$C$12,'1-Input'!$B$13,0))-MIN(MAX(F585,0),MAX(0,B561-IF($A586&gt;='1-Input'!$C$12,'1-Input'!$B$13,0))))*(1/(1-'P-Parametri'!$B$6*B586))+MIN(MAX(0,G585-(MAX(0,B561-IF($A586&gt;='1-Input'!$C$12,'1-Input'!$B$13,0))-MIN(MAX(F585,0),MAX(0,B561-IF($A586&gt;='1-Input'!$C$12,'1-Input'!$B$13,0))))*(1/(1-'P-Parametri'!$B$6*B586))),MAX(0,0*B561-(F585-MIN(MAX(F585,0),MAX(0,B561-IF($A586&gt;='1-Input'!$C$12,'1-Input'!$B$13,0)))))*(1/(1-'P-Parametri'!$B$6*B586))))</f>
        <v>4401.31289001608</v>
      </c>
      <c r="D586" s="18">
        <f>IF($A586&gt;'1-Input'!$B$26,F585,(F585-MAX(0,B561-IF($A586&gt;='1-Input'!$C$12,'1-Input'!$B$13,0))+C586*(1-'P-Parametri'!$B$6*B586))*(1+'1-Input'!$B$27))</f>
        <v>4.5311026042327283E-13</v>
      </c>
      <c r="E586" s="18">
        <f>IF($A586&gt;'1-Input'!$B$26,G585,(G585-C586)*(1+'5-Roberta'!$C$4))</f>
        <v>238256.76085774539</v>
      </c>
      <c r="F586" s="18">
        <f>IF($A586&gt;'1-Input'!$B$26,D586,D586-'P-Parametri'!$B$8*(E586+D586)+MIN(MAX(E586,0),'P-Parametri'!$B$8*(E586+D586)))</f>
        <v>4.5474735088646412E-13</v>
      </c>
      <c r="G586" s="18">
        <f>IF($A586&gt;'1-Input'!$B$26,E586,E586-MIN(MAX(E586,0),'P-Parametri'!$B$8*(E586+D586)))</f>
        <v>237780.24733602989</v>
      </c>
      <c r="H586" s="18">
        <f>IF($A586&gt;'1-Input'!$B$26,H585,H585-C586*(1-B586))</f>
        <v>98863.429862366756</v>
      </c>
      <c r="I586" s="11">
        <f>IF($A586&gt;'1-Input'!$B$26,0,IF(N585&lt;=0,0,MAX(0,(N585-O585)/N585)))</f>
        <v>0.57260674412074164</v>
      </c>
      <c r="J586" s="18">
        <f>IF($A586&gt;'1-Input'!$B$26,0,(MAX(0,I561-IF($A586&gt;='1-Input'!$C$12,'1-Input'!$B$13,0))-MIN(MAX(M585,0),MAX(0,I561-IF($A586&gt;='1-Input'!$C$12,'1-Input'!$B$13,0))))*(1/(1-'P-Parametri'!$B$6*I586))+MIN(MAX(0,N585-(MAX(0,I561-IF($A586&gt;='1-Input'!$C$12,'1-Input'!$B$13,0))-MIN(MAX(M585,0),MAX(0,I561-IF($A586&gt;='1-Input'!$C$12,'1-Input'!$B$13,0))))*(1/(1-'P-Parametri'!$B$6*I586))),MAX(0,0*I561-(M585-MIN(MAX(M585,0),MAX(0,I561-IF($A586&gt;='1-Input'!$C$12,'1-Input'!$B$13,0)))))*(1/(1-'P-Parametri'!$B$6*I586))))</f>
        <v>10590.437542541345</v>
      </c>
      <c r="K586" s="18">
        <f>IF($A586&gt;'1-Input'!$B$26,M585,(M585-MAX(0,I561-IF($A586&gt;='1-Input'!$C$12,'1-Input'!$B$13,0))+J586*(1-'P-Parametri'!$B$6*I586))*(1+'1-Input'!$B$27))</f>
        <v>0</v>
      </c>
      <c r="L586" s="18">
        <f>IF($A586&gt;'1-Input'!$B$26,N585,(N585-J586)*(1+'5-Roberta'!$C$4))</f>
        <v>46754.929958792236</v>
      </c>
      <c r="M586" s="18">
        <f>IF($A586&gt;'1-Input'!$B$26,K586,K586-'P-Parametri'!$B$8*(L586+K586)+MIN(MAX(L586,0),'P-Parametri'!$B$8*(L586+K586)))</f>
        <v>0</v>
      </c>
      <c r="N586" s="18">
        <f>IF($A586&gt;'1-Input'!$B$26,L586,L586-MIN(MAX(L586,0),'P-Parametri'!$B$8*(L586+K586)))</f>
        <v>46661.420098874652</v>
      </c>
      <c r="O586" s="18">
        <f>IF($A586&gt;'1-Input'!$B$26,O585,O585-J586*(1-I586))</f>
        <v>19400.720139315428</v>
      </c>
      <c r="P586" s="11">
        <f>IF($A586&gt;'1-Input'!$B$26,0,IF(U585&lt;=0,0,MAX(0,(U585-V585)/U585)))</f>
        <v>0.57260674412074142</v>
      </c>
      <c r="Q586" s="18">
        <f>IF($A586&gt;'1-Input'!$B$26,0,(MAX(0,P561-IF($A586&gt;='1-Input'!$C$12,'1-Input'!$B$13,0))-MIN(MAX(T585,0),MAX(0,P561-IF($A586&gt;='1-Input'!$C$12,'1-Input'!$B$13,0))))*(1/(1-'P-Parametri'!$B$6*P586))+MIN(MAX(0,U585-(MAX(0,P561-IF($A586&gt;='1-Input'!$C$12,'1-Input'!$B$13,0))-MIN(MAX(T585,0),MAX(0,P561-IF($A586&gt;='1-Input'!$C$12,'1-Input'!$B$13,0))))*(1/(1-'P-Parametri'!$B$6*P586))),MAX(0,0*P561-(T585-MIN(MAX(T585,0),MAX(0,P561-IF($A586&gt;='1-Input'!$C$12,'1-Input'!$B$13,0)))))*(1/(1-'P-Parametri'!$B$6*P586))))</f>
        <v>8057.5531029337335</v>
      </c>
      <c r="R586" s="18">
        <f>IF($A586&gt;'1-Input'!$B$26,T585,(T585-MAX(0,P561-IF($A586&gt;='1-Input'!$C$12,'1-Input'!$B$13,0))+Q586*(1-'P-Parametri'!$B$6*P586))*(1+'1-Input'!$B$27))</f>
        <v>0</v>
      </c>
      <c r="S586" s="18">
        <f>IF($A586&gt;'1-Input'!$B$26,U585,(U585-Q586)*(1+'5-Roberta'!$C$4))</f>
        <v>125126.59556136111</v>
      </c>
      <c r="T586" s="18">
        <f>IF($A586&gt;'1-Input'!$B$26,R586,R586-'P-Parametri'!$B$8*(S586+R586)+MIN(MAX(S586,0),'P-Parametri'!$B$8*(S586+R586)))</f>
        <v>0</v>
      </c>
      <c r="U586" s="18">
        <f>IF($A586&gt;'1-Input'!$B$26,S586,S586-MIN(MAX(S586,0),'P-Parametri'!$B$8*(S586+R586)))</f>
        <v>124876.34237023839</v>
      </c>
      <c r="V586" s="18">
        <f>IF($A586&gt;'1-Input'!$B$26,V585,V585-Q586*(1-P586))</f>
        <v>51920.643761220694</v>
      </c>
      <c r="W586" s="11">
        <f>IF($A586&gt;'1-Input'!$B$26,0,IF(AB585&lt;=0,0,MAX(0,(AB585-AC585)/AB585)))</f>
        <v>0.5726067441207412</v>
      </c>
      <c r="X586" s="18">
        <f>IF($A586&gt;'1-Input'!$B$26,0,(MAX(0,W561-IF($A586&gt;='1-Input'!$C$12,'1-Input'!$B$13,0))-MIN(MAX(AA585,0),MAX(0,W561-IF($A586&gt;='1-Input'!$C$12,'1-Input'!$B$13,0))))*(1/(1-'P-Parametri'!$B$6*W586))+MIN(MAX(0,AB585-(MAX(0,W561-IF($A586&gt;='1-Input'!$C$12,'1-Input'!$B$13,0))-MIN(MAX(AA585,0),MAX(0,W561-IF($A586&gt;='1-Input'!$C$12,'1-Input'!$B$13,0))))*(1/(1-'P-Parametri'!$B$6*W586))),MAX(0,0*W561-(AA585-MIN(MAX(AA585,0),MAX(0,W561-IF($A586&gt;='1-Input'!$C$12,'1-Input'!$B$13,0)))))*(1/(1-'P-Parametri'!$B$6*W586))))</f>
        <v>7744.6920230287251</v>
      </c>
      <c r="Y586" s="18">
        <f>IF($A586&gt;'1-Input'!$B$26,AA585,(AA585-MAX(0,W561-IF($A586&gt;='1-Input'!$C$12,'1-Input'!$B$13,0))+X586*(1-'P-Parametri'!$B$6*W586))*(1+'1-Input'!$B$27))</f>
        <v>9.0622052084654565E-13</v>
      </c>
      <c r="Z586" s="18">
        <f>IF($A586&gt;'1-Input'!$B$26,AB585,(AB585-X586)*(1+'5-Roberta'!$C$4))</f>
        <v>134807.03875527665</v>
      </c>
      <c r="AA586" s="18">
        <f>IF($A586&gt;'1-Input'!$B$26,Y586,Y586-'P-Parametri'!$B$8*(Z586+Y586)+MIN(MAX(Z586,0),'P-Parametri'!$B$8*(Z586+Y586)))</f>
        <v>9.0949470177292824E-13</v>
      </c>
      <c r="AB586" s="18">
        <f>IF($A586&gt;'1-Input'!$B$26,Z586,Z586-MIN(MAX(Z586,0),'P-Parametri'!$B$8*(Z586+Y586)))</f>
        <v>134537.4246777661</v>
      </c>
      <c r="AC586" s="18">
        <f>IF($A586&gt;'1-Input'!$B$26,AC585,AC585-X586*(1-W586))</f>
        <v>55937.494377727286</v>
      </c>
      <c r="AD586" s="11">
        <f>IF($A586&gt;'1-Input'!$B$26,0,IF(AI585&lt;=0,0,MAX(0,(AI585-AJ585)/AI585)))</f>
        <v>0.57260674412074153</v>
      </c>
      <c r="AE586" s="18">
        <f>IF($A586&gt;'1-Input'!$B$26,0,(MAX(0,AD561-IF($A586&gt;='1-Input'!$C$12,'1-Input'!$B$13,0))-MIN(MAX(AH585,0),MAX(0,AD561-IF($A586&gt;='1-Input'!$C$12,'1-Input'!$B$13,0))))*(1/(1-'P-Parametri'!$B$6*AD586))+MIN(MAX(0,AI585-(MAX(0,AD561-IF($A586&gt;='1-Input'!$C$12,'1-Input'!$B$13,0))-MIN(MAX(AH585,0),MAX(0,AD561-IF($A586&gt;='1-Input'!$C$12,'1-Input'!$B$13,0))))*(1/(1-'P-Parametri'!$B$6*AD586))),MAX(0,0*AD561-(AH585-MIN(MAX(AH585,0),MAX(0,AD561-IF($A586&gt;='1-Input'!$C$12,'1-Input'!$B$13,0)))))*(1/(1-'P-Parametri'!$B$6*AD586))))</f>
        <v>7763.993160088773</v>
      </c>
      <c r="AF586" s="18">
        <f>IF($A586&gt;'1-Input'!$B$26,AH585,(AH585-MAX(0,AD561-IF($A586&gt;='1-Input'!$C$12,'1-Input'!$B$13,0))+AE586*(1-'P-Parametri'!$B$6*AD586))*(1+'1-Input'!$B$27))</f>
        <v>9.0622052084654565E-13</v>
      </c>
      <c r="AG586" s="18">
        <f>IF($A586&gt;'1-Input'!$B$26,AI585,(AI585-AE586)*(1+'5-Roberta'!$C$4))</f>
        <v>134209.82940937637</v>
      </c>
      <c r="AH586" s="18">
        <f>IF($A586&gt;'1-Input'!$B$26,AF586,AF586-'P-Parametri'!$B$8*(AG586+AF586)+MIN(MAX(AG586,0),'P-Parametri'!$B$8*(AG586+AF586)))</f>
        <v>9.0949470177292824E-13</v>
      </c>
      <c r="AI586" s="18">
        <f>IF($A586&gt;'1-Input'!$B$26,AG586,AG586-MIN(MAX(AG586,0),'P-Parametri'!$B$8*(AG586+AF586)))</f>
        <v>133941.40975055762</v>
      </c>
      <c r="AJ586" s="18">
        <f>IF($A586&gt;'1-Input'!$B$26,AJ585,AJ585-AE586*(1-AD586))</f>
        <v>55689.685400265269</v>
      </c>
      <c r="AK586" s="11">
        <f>IF($A586&gt;'1-Input'!$B$26,0,IF(AP585&lt;=0,0,MAX(0,(AP585-AQ585)/AP585)))</f>
        <v>0.57260674412074131</v>
      </c>
      <c r="AL586" s="18">
        <f>IF($A586&gt;'1-Input'!$B$26,0,(MAX(0,AK561-IF($A586&gt;='1-Input'!$C$12,'1-Input'!$B$13,0))-MIN(MAX(AO585,0),MAX(0,AK561-IF($A586&gt;='1-Input'!$C$12,'1-Input'!$B$13,0))))*(1/(1-'P-Parametri'!$B$6*AK586))+MIN(MAX(0,AP585-(MAX(0,AK561-IF($A586&gt;='1-Input'!$C$12,'1-Input'!$B$13,0))-MIN(MAX(AO585,0),MAX(0,AK561-IF($A586&gt;='1-Input'!$C$12,'1-Input'!$B$13,0))))*(1/(1-'P-Parametri'!$B$6*AK586))),MAX(0,0*AK561-(AO585-MIN(MAX(AO585,0),MAX(0,AK561-IF($A586&gt;='1-Input'!$C$12,'1-Input'!$B$13,0)))))*(1/(1-'P-Parametri'!$B$6*AK586))))</f>
        <v>7761.5183010868723</v>
      </c>
      <c r="AM586" s="18">
        <f>IF($A586&gt;'1-Input'!$B$26,AO585,(AO585-MAX(0,AK561-IF($A586&gt;='1-Input'!$C$12,'1-Input'!$B$13,0))+AL586*(1-'P-Parametri'!$B$6*AK586))*(1+'1-Input'!$B$27))</f>
        <v>9.0622052084654565E-13</v>
      </c>
      <c r="AN586" s="18">
        <f>IF($A586&gt;'1-Input'!$B$26,AP585,(AP585-AL586)*(1+'5-Roberta'!$C$4))</f>
        <v>134286.40567123686</v>
      </c>
      <c r="AO586" s="18">
        <f>IF($A586&gt;'1-Input'!$B$26,AM586,AM586-'P-Parametri'!$B$8*(AN586+AM586)+MIN(MAX(AN586,0),'P-Parametri'!$B$8*(AN586+AM586)))</f>
        <v>9.0949470177292824E-13</v>
      </c>
      <c r="AP586" s="18">
        <f>IF($A586&gt;'1-Input'!$B$26,AN586,AN586-MIN(MAX(AN586,0),'P-Parametri'!$B$8*(AN586+AM586)))</f>
        <v>134017.83285989438</v>
      </c>
      <c r="AQ586" s="18">
        <f>IF($A586&gt;'1-Input'!$B$26,AQ585,AQ585-AL586*(1-AK586))</f>
        <v>55721.460330245507</v>
      </c>
    </row>
    <row r="587" spans="1:43">
      <c r="A587" s="10">
        <f>24</f>
        <v>24</v>
      </c>
      <c r="B587" s="11">
        <f>IF($A587&gt;'1-Input'!$B$26,0,IF(G586&lt;=0,0,MAX(0,(G586-H586)/G586)))</f>
        <v>0.58422353845627284</v>
      </c>
      <c r="C587" s="18">
        <f>IF($A587&gt;'1-Input'!$B$26,0,(MAX(0,B561-IF($A587&gt;='1-Input'!$C$12,'1-Input'!$B$13,0))-MIN(MAX(F586,0),MAX(0,B561-IF($A587&gt;='1-Input'!$C$12,'1-Input'!$B$13,0))))*(1/(1-'P-Parametri'!$B$6*B587))+MIN(MAX(0,G586-(MAX(0,B561-IF($A587&gt;='1-Input'!$C$12,'1-Input'!$B$13,0))-MIN(MAX(F586,0),MAX(0,B561-IF($A587&gt;='1-Input'!$C$12,'1-Input'!$B$13,0))))*(1/(1-'P-Parametri'!$B$6*B587))),MAX(0,0*B561-(F586-MIN(MAX(F586,0),MAX(0,B561-IF($A587&gt;='1-Input'!$C$12,'1-Input'!$B$13,0)))))*(1/(1-'P-Parametri'!$B$6*B587))))</f>
        <v>4416.9873961601816</v>
      </c>
      <c r="D587" s="18">
        <f>IF($A587&gt;'1-Input'!$B$26,F586,(F586-MAX(0,B561-IF($A587&gt;='1-Input'!$C$12,'1-Input'!$B$13,0))+C587*(1-'P-Parametri'!$B$6*B587))*(1+'1-Input'!$B$27))</f>
        <v>0</v>
      </c>
      <c r="E587" s="18">
        <f>IF($A587&gt;'1-Input'!$B$26,G586,(G586-C587)*(1+'5-Roberta'!$C$4))</f>
        <v>240364.15773806581</v>
      </c>
      <c r="F587" s="18">
        <f>IF($A587&gt;'1-Input'!$B$26,D587,D587-'P-Parametri'!$B$8*(E587+D587)+MIN(MAX(E587,0),'P-Parametri'!$B$8*(E587+D587)))</f>
        <v>0</v>
      </c>
      <c r="G587" s="18">
        <f>IF($A587&gt;'1-Input'!$B$26,E587,E587-MIN(MAX(E587,0),'P-Parametri'!$B$8*(E587+D587)))</f>
        <v>239883.42942258969</v>
      </c>
      <c r="H587" s="18">
        <f>IF($A587&gt;'1-Input'!$B$26,H586,H586-C587*(1-B587))</f>
        <v>97026.95047210803</v>
      </c>
      <c r="I587" s="11">
        <f>IF($A587&gt;'1-Input'!$B$26,0,IF(N586&lt;=0,0,MAX(0,(N586-O586)/N586)))</f>
        <v>0.58422353845627339</v>
      </c>
      <c r="J587" s="18">
        <f>IF($A587&gt;'1-Input'!$B$26,0,(MAX(0,I561-IF($A587&gt;='1-Input'!$C$12,'1-Input'!$B$13,0))-MIN(MAX(M586,0),MAX(0,I561-IF($A587&gt;='1-Input'!$C$12,'1-Input'!$B$13,0))))*(1/(1-'P-Parametri'!$B$6*I587))+MIN(MAX(0,N586-(MAX(0,I561-IF($A587&gt;='1-Input'!$C$12,'1-Input'!$B$13,0))-MIN(MAX(M586,0),MAX(0,I561-IF($A587&gt;='1-Input'!$C$12,'1-Input'!$B$13,0))))*(1/(1-'P-Parametri'!$B$6*I587))),MAX(0,0*I561-(M586-MIN(MAX(M586,0),MAX(0,I561-IF($A587&gt;='1-Input'!$C$12,'1-Input'!$B$13,0)))))*(1/(1-'P-Parametri'!$B$6*I587))))</f>
        <v>10628.153533764296</v>
      </c>
      <c r="K587" s="18">
        <f>IF($A587&gt;'1-Input'!$B$26,M586,(M586-MAX(0,I561-IF($A587&gt;='1-Input'!$C$12,'1-Input'!$B$13,0))+J587*(1-'P-Parametri'!$B$6*I587))*(1+'1-Input'!$B$27))</f>
        <v>0</v>
      </c>
      <c r="L587" s="18">
        <f>IF($A587&gt;'1-Input'!$B$26,N586,(N586-J587)*(1+'5-Roberta'!$C$4))</f>
        <v>37114.264562063669</v>
      </c>
      <c r="M587" s="18">
        <f>IF($A587&gt;'1-Input'!$B$26,K587,K587-'P-Parametri'!$B$8*(L587+K587)+MIN(MAX(L587,0),'P-Parametri'!$B$8*(L587+K587)))</f>
        <v>0</v>
      </c>
      <c r="N587" s="18">
        <f>IF($A587&gt;'1-Input'!$B$26,L587,L587-MIN(MAX(L587,0),'P-Parametri'!$B$8*(L587+K587)))</f>
        <v>37040.036032939541</v>
      </c>
      <c r="O587" s="18">
        <f>IF($A587&gt;'1-Input'!$B$26,O586,O586-J587*(1-I587))</f>
        <v>14981.784070303456</v>
      </c>
      <c r="P587" s="11">
        <f>IF($A587&gt;'1-Input'!$B$26,0,IF(U586&lt;=0,0,MAX(0,(U586-V586)/U586)))</f>
        <v>0.58422353845627306</v>
      </c>
      <c r="Q587" s="18">
        <f>IF($A587&gt;'1-Input'!$B$26,0,(MAX(0,P561-IF($A587&gt;='1-Input'!$C$12,'1-Input'!$B$13,0))-MIN(MAX(T586,0),MAX(0,P561-IF($A587&gt;='1-Input'!$C$12,'1-Input'!$B$13,0))))*(1/(1-'P-Parametri'!$B$6*P587))+MIN(MAX(0,U586-(MAX(0,P561-IF($A587&gt;='1-Input'!$C$12,'1-Input'!$B$13,0))-MIN(MAX(T586,0),MAX(0,P561-IF($A587&gt;='1-Input'!$C$12,'1-Input'!$B$13,0))))*(1/(1-'P-Parametri'!$B$6*P587))),MAX(0,0*P561-(T586-MIN(MAX(T586,0),MAX(0,P561-IF($A587&gt;='1-Input'!$C$12,'1-Input'!$B$13,0)))))*(1/(1-'P-Parametri'!$B$6*P587))))</f>
        <v>8086.2486691828099</v>
      </c>
      <c r="R587" s="18">
        <f>IF($A587&gt;'1-Input'!$B$26,T586,(T586-MAX(0,P561-IF($A587&gt;='1-Input'!$C$12,'1-Input'!$B$13,0))+Q587*(1-'P-Parametri'!$B$6*P587))*(1+'1-Input'!$B$27))</f>
        <v>0</v>
      </c>
      <c r="S587" s="18">
        <f>IF($A587&gt;'1-Input'!$B$26,U586,(U586-Q587)*(1+'5-Roberta'!$C$4))</f>
        <v>120293.79651208725</v>
      </c>
      <c r="T587" s="18">
        <f>IF($A587&gt;'1-Input'!$B$26,R587,R587-'P-Parametri'!$B$8*(S587+R587)+MIN(MAX(S587,0),'P-Parametri'!$B$8*(S587+R587)))</f>
        <v>0</v>
      </c>
      <c r="U587" s="18">
        <f>IF($A587&gt;'1-Input'!$B$26,S587,S587-MIN(MAX(S587,0),'P-Parametri'!$B$8*(S587+R587)))</f>
        <v>120053.20891906308</v>
      </c>
      <c r="V587" s="18">
        <f>IF($A587&gt;'1-Input'!$B$26,V586,V586-Q587*(1-P587))</f>
        <v>48558.571902385193</v>
      </c>
      <c r="W587" s="11">
        <f>IF($A587&gt;'1-Input'!$B$26,0,IF(AB586&lt;=0,0,MAX(0,(AB586-AC586)/AB586)))</f>
        <v>0.58422353845627295</v>
      </c>
      <c r="X587" s="18">
        <f>IF($A587&gt;'1-Input'!$B$26,0,(MAX(0,W561-IF($A587&gt;='1-Input'!$C$12,'1-Input'!$B$13,0))-MIN(MAX(AA586,0),MAX(0,W561-IF($A587&gt;='1-Input'!$C$12,'1-Input'!$B$13,0))))*(1/(1-'P-Parametri'!$B$6*W587))+MIN(MAX(0,AB586-(MAX(0,W561-IF($A587&gt;='1-Input'!$C$12,'1-Input'!$B$13,0))-MIN(MAX(AA586,0),MAX(0,W561-IF($A587&gt;='1-Input'!$C$12,'1-Input'!$B$13,0))))*(1/(1-'P-Parametri'!$B$6*W587))),MAX(0,0*W561-(AA586-MIN(MAX(AA586,0),MAX(0,W561-IF($A587&gt;='1-Input'!$C$12,'1-Input'!$B$13,0)))))*(1/(1-'P-Parametri'!$B$6*W587))))</f>
        <v>7772.2733892557235</v>
      </c>
      <c r="Y587" s="18">
        <f>IF($A587&gt;'1-Input'!$B$26,AA586,(AA586-MAX(0,W561-IF($A587&gt;='1-Input'!$C$12,'1-Input'!$B$13,0))+X587*(1-'P-Parametri'!$B$6*W587))*(1+'1-Input'!$B$27))</f>
        <v>0</v>
      </c>
      <c r="Z587" s="18">
        <f>IF($A587&gt;'1-Input'!$B$26,AB586,(AB586-X587)*(1+'5-Roberta'!$C$4))</f>
        <v>130568.10582716569</v>
      </c>
      <c r="AA587" s="18">
        <f>IF($A587&gt;'1-Input'!$B$26,Y587,Y587-'P-Parametri'!$B$8*(Z587+Y587)+MIN(MAX(Z587,0),'P-Parametri'!$B$8*(Z587+Y587)))</f>
        <v>0</v>
      </c>
      <c r="AB587" s="18">
        <f>IF($A587&gt;'1-Input'!$B$26,Z587,Z587-MIN(MAX(Z587,0),'P-Parametri'!$B$8*(Z587+Y587)))</f>
        <v>130306.96961551136</v>
      </c>
      <c r="AC587" s="18">
        <f>IF($A587&gt;'1-Input'!$B$26,AC586,AC586-X587*(1-W587))</f>
        <v>52705.96604979207</v>
      </c>
      <c r="AD587" s="11">
        <f>IF($A587&gt;'1-Input'!$B$26,0,IF(AI586&lt;=0,0,MAX(0,(AI586-AJ586)/AI586)))</f>
        <v>0.58422353845627328</v>
      </c>
      <c r="AE587" s="18">
        <f>IF($A587&gt;'1-Input'!$B$26,0,(MAX(0,AD561-IF($A587&gt;='1-Input'!$C$12,'1-Input'!$B$13,0))-MIN(MAX(AH586,0),MAX(0,AD561-IF($A587&gt;='1-Input'!$C$12,'1-Input'!$B$13,0))))*(1/(1-'P-Parametri'!$B$6*AD587))+MIN(MAX(0,AI586-(MAX(0,AD561-IF($A587&gt;='1-Input'!$C$12,'1-Input'!$B$13,0))-MIN(MAX(AH586,0),MAX(0,AD561-IF($A587&gt;='1-Input'!$C$12,'1-Input'!$B$13,0))))*(1/(1-'P-Parametri'!$B$6*AD587))),MAX(0,0*AD561-(AH586-MIN(MAX(AH586,0),MAX(0,AD561-IF($A587&gt;='1-Input'!$C$12,'1-Input'!$B$13,0)))))*(1/(1-'P-Parametri'!$B$6*AD587))))</f>
        <v>7791.6432639399764</v>
      </c>
      <c r="AF587" s="18">
        <f>IF($A587&gt;'1-Input'!$B$26,AH586,(AH586-MAX(0,AD561-IF($A587&gt;='1-Input'!$C$12,'1-Input'!$B$13,0))+AE587*(1-'P-Parametri'!$B$6*AD587))*(1+'1-Input'!$B$27))</f>
        <v>0</v>
      </c>
      <c r="AG587" s="18">
        <f>IF($A587&gt;'1-Input'!$B$26,AI586,(AI586-AE587)*(1+'5-Roberta'!$C$4))</f>
        <v>129934.25948121618</v>
      </c>
      <c r="AH587" s="18">
        <f>IF($A587&gt;'1-Input'!$B$26,AF587,AF587-'P-Parametri'!$B$8*(AG587+AF587)+MIN(MAX(AG587,0),'P-Parametri'!$B$8*(AG587+AF587)))</f>
        <v>0</v>
      </c>
      <c r="AI587" s="18">
        <f>IF($A587&gt;'1-Input'!$B$26,AG587,AG587-MIN(MAX(AG587,0),'P-Parametri'!$B$8*(AG587+AF587)))</f>
        <v>129674.39096225375</v>
      </c>
      <c r="AJ587" s="18">
        <f>IF($A587&gt;'1-Input'!$B$26,AJ586,AJ586-AE587*(1-AD587))</f>
        <v>52450.103534373295</v>
      </c>
      <c r="AK587" s="11">
        <f>IF($A587&gt;'1-Input'!$B$26,0,IF(AP586&lt;=0,0,MAX(0,(AP586-AQ586)/AP586)))</f>
        <v>0.58422353845627295</v>
      </c>
      <c r="AL587" s="18">
        <f>IF($A587&gt;'1-Input'!$B$26,0,(MAX(0,AK561-IF($A587&gt;='1-Input'!$C$12,'1-Input'!$B$13,0))-MIN(MAX(AO586,0),MAX(0,AK561-IF($A587&gt;='1-Input'!$C$12,'1-Input'!$B$13,0))))*(1/(1-'P-Parametri'!$B$6*AK587))+MIN(MAX(0,AP586-(MAX(0,AK561-IF($A587&gt;='1-Input'!$C$12,'1-Input'!$B$13,0))-MIN(MAX(AO586,0),MAX(0,AK561-IF($A587&gt;='1-Input'!$C$12,'1-Input'!$B$13,0))))*(1/(1-'P-Parametri'!$B$6*AK587))),MAX(0,0*AK561-(AO586-MIN(MAX(AO586,0),MAX(0,AK561-IF($A587&gt;='1-Input'!$C$12,'1-Input'!$B$13,0)))))*(1/(1-'P-Parametri'!$B$6*AK587))))</f>
        <v>7789.1595911605491</v>
      </c>
      <c r="AM587" s="18">
        <f>IF($A587&gt;'1-Input'!$B$26,AO586,(AO586-MAX(0,AK561-IF($A587&gt;='1-Input'!$C$12,'1-Input'!$B$13,0))+AL587*(1-'P-Parametri'!$B$6*AK587))*(1+'1-Input'!$B$27))</f>
        <v>0</v>
      </c>
      <c r="AN587" s="18">
        <f>IF($A587&gt;'1-Input'!$B$26,AP586,(AP586-AL587)*(1+'5-Roberta'!$C$4))</f>
        <v>130015.53346679584</v>
      </c>
      <c r="AO587" s="18">
        <f>IF($A587&gt;'1-Input'!$B$26,AM587,AM587-'P-Parametri'!$B$8*(AN587+AM587)+MIN(MAX(AN587,0),'P-Parametri'!$B$8*(AN587+AM587)))</f>
        <v>0</v>
      </c>
      <c r="AP587" s="18">
        <f>IF($A587&gt;'1-Input'!$B$26,AN587,AN587-MIN(MAX(AN587,0),'P-Parametri'!$B$8*(AN587+AM587)))</f>
        <v>129755.50239986225</v>
      </c>
      <c r="AQ587" s="18">
        <f>IF($A587&gt;'1-Input'!$B$26,AQ586,AQ586-AL587*(1-AK587))</f>
        <v>52482.911117033393</v>
      </c>
    </row>
    <row r="588" spans="1:43">
      <c r="A588" s="10">
        <f>25</f>
        <v>25</v>
      </c>
      <c r="B588" s="11">
        <f>IF($A588&gt;'1-Input'!$B$26,0,IF(G587&lt;=0,0,MAX(0,(G587-H587)/G587)))</f>
        <v>0.59552458164510857</v>
      </c>
      <c r="C588" s="18">
        <f>IF($A588&gt;'1-Input'!$B$26,0,(MAX(0,B561-IF($A588&gt;='1-Input'!$C$12,'1-Input'!$B$13,0))-MIN(MAX(F587,0),MAX(0,B561-IF($A588&gt;='1-Input'!$C$12,'1-Input'!$B$13,0))))*(1/(1-'P-Parametri'!$B$6*B588))+MIN(MAX(0,G587-(MAX(0,B561-IF($A588&gt;='1-Input'!$C$12,'1-Input'!$B$13,0))-MIN(MAX(F587,0),MAX(0,B561-IF($A588&gt;='1-Input'!$C$12,'1-Input'!$B$13,0))))*(1/(1-'P-Parametri'!$B$6*B588))),MAX(0,0*B561-(F587-MIN(MAX(F587,0),MAX(0,B561-IF($A588&gt;='1-Input'!$C$12,'1-Input'!$B$13,0)))))*(1/(1-'P-Parametri'!$B$6*B588))))</f>
        <v>4432.343366117615</v>
      </c>
      <c r="D588" s="18">
        <f>IF($A588&gt;'1-Input'!$B$26,F587,(F587-MAX(0,B561-IF($A588&gt;='1-Input'!$C$12,'1-Input'!$B$13,0))+C588*(1-'P-Parametri'!$B$6*B588))*(1+'1-Input'!$B$27))</f>
        <v>-4.5311026042327283E-13</v>
      </c>
      <c r="E588" s="18">
        <f>IF($A588&gt;'1-Input'!$B$26,G587,(G587-C588)*(1+'5-Roberta'!$C$4))</f>
        <v>242514.61863816623</v>
      </c>
      <c r="F588" s="18">
        <f>IF($A588&gt;'1-Input'!$B$26,D588,D588-'P-Parametri'!$B$8*(E588+D588)+MIN(MAX(E588,0),'P-Parametri'!$B$8*(E588+D588)))</f>
        <v>-4.5474735088646412E-13</v>
      </c>
      <c r="G588" s="18">
        <f>IF($A588&gt;'1-Input'!$B$26,E588,E588-MIN(MAX(E588,0),'P-Parametri'!$B$8*(E588+D588)))</f>
        <v>242029.5894008899</v>
      </c>
      <c r="H588" s="18">
        <f>IF($A588&gt;'1-Input'!$B$26,H587,H587-C588*(1-B588))</f>
        <v>95234.176534805083</v>
      </c>
      <c r="I588" s="11">
        <f>IF($A588&gt;'1-Input'!$B$26,0,IF(N587&lt;=0,0,MAX(0,(N587-O587)/N587)))</f>
        <v>0.59552458164510902</v>
      </c>
      <c r="J588" s="18">
        <f>IF($A588&gt;'1-Input'!$B$26,0,(MAX(0,I561-IF($A588&gt;='1-Input'!$C$12,'1-Input'!$B$13,0))-MIN(MAX(M587,0),MAX(0,I561-IF($A588&gt;='1-Input'!$C$12,'1-Input'!$B$13,0))))*(1/(1-'P-Parametri'!$B$6*I588))+MIN(MAX(0,N587-(MAX(0,I561-IF($A588&gt;='1-Input'!$C$12,'1-Input'!$B$13,0))-MIN(MAX(M587,0),MAX(0,I561-IF($A588&gt;='1-Input'!$C$12,'1-Input'!$B$13,0))))*(1/(1-'P-Parametri'!$B$6*I588))),MAX(0,0*I561-(M587-MIN(MAX(M587,0),MAX(0,I561-IF($A588&gt;='1-Input'!$C$12,'1-Input'!$B$13,0)))))*(1/(1-'P-Parametri'!$B$6*I588))))</f>
        <v>10665.103063325858</v>
      </c>
      <c r="K588" s="18">
        <f>IF($A588&gt;'1-Input'!$B$26,M587,(M587-MAX(0,I561-IF($A588&gt;='1-Input'!$C$12,'1-Input'!$B$13,0))+J588*(1-'P-Parametri'!$B$6*I588))*(1+'1-Input'!$B$27))</f>
        <v>0</v>
      </c>
      <c r="L588" s="18">
        <f>IF($A588&gt;'1-Input'!$B$26,N587,(N587-J588)*(1+'5-Roberta'!$C$4))</f>
        <v>27166.180958702094</v>
      </c>
      <c r="M588" s="18">
        <f>IF($A588&gt;'1-Input'!$B$26,K588,K588-'P-Parametri'!$B$8*(L588+K588)+MIN(MAX(L588,0),'P-Parametri'!$B$8*(L588+K588)))</f>
        <v>0</v>
      </c>
      <c r="N588" s="18">
        <f>IF($A588&gt;'1-Input'!$B$26,L588,L588-MIN(MAX(L588,0),'P-Parametri'!$B$8*(L588+K588)))</f>
        <v>27111.84859678469</v>
      </c>
      <c r="O588" s="18">
        <f>IF($A588&gt;'1-Input'!$B$26,O587,O587-J588*(1-I588))</f>
        <v>10668.012046966702</v>
      </c>
      <c r="P588" s="11">
        <f>IF($A588&gt;'1-Input'!$B$26,0,IF(U587&lt;=0,0,MAX(0,(U587-V587)/U587)))</f>
        <v>0.5955245816451088</v>
      </c>
      <c r="Q588" s="18">
        <f>IF($A588&gt;'1-Input'!$B$26,0,(MAX(0,P561-IF($A588&gt;='1-Input'!$C$12,'1-Input'!$B$13,0))-MIN(MAX(T587,0),MAX(0,P561-IF($A588&gt;='1-Input'!$C$12,'1-Input'!$B$13,0))))*(1/(1-'P-Parametri'!$B$6*P588))+MIN(MAX(0,U587-(MAX(0,P561-IF($A588&gt;='1-Input'!$C$12,'1-Input'!$B$13,0))-MIN(MAX(T587,0),MAX(0,P561-IF($A588&gt;='1-Input'!$C$12,'1-Input'!$B$13,0))))*(1/(1-'P-Parametri'!$B$6*P588))),MAX(0,0*P561-(T587-MIN(MAX(T587,0),MAX(0,P561-IF($A588&gt;='1-Input'!$C$12,'1-Input'!$B$13,0)))))*(1/(1-'P-Parametri'!$B$6*P588))))</f>
        <v>8114.3610861981388</v>
      </c>
      <c r="R588" s="18">
        <f>IF($A588&gt;'1-Input'!$B$26,T587,(T587-MAX(0,P561-IF($A588&gt;='1-Input'!$C$12,'1-Input'!$B$13,0))+Q588*(1-'P-Parametri'!$B$6*P588))*(1+'1-Input'!$B$27))</f>
        <v>9.0622052084654565E-13</v>
      </c>
      <c r="S588" s="18">
        <f>IF($A588&gt;'1-Input'!$B$26,U587,(U587-Q588)*(1+'5-Roberta'!$C$4))</f>
        <v>115297.01326785088</v>
      </c>
      <c r="T588" s="18">
        <f>IF($A588&gt;'1-Input'!$B$26,R588,R588-'P-Parametri'!$B$8*(S588+R588)+MIN(MAX(S588,0),'P-Parametri'!$B$8*(S588+R588)))</f>
        <v>9.0949470177292824E-13</v>
      </c>
      <c r="U588" s="18">
        <f>IF($A588&gt;'1-Input'!$B$26,S588,S588-MIN(MAX(S588,0),'P-Parametri'!$B$8*(S588+R588)))</f>
        <v>115066.41924131518</v>
      </c>
      <c r="V588" s="18">
        <f>IF($A588&gt;'1-Input'!$B$26,V587,V587-Q588*(1-P588))</f>
        <v>45276.512307362551</v>
      </c>
      <c r="W588" s="11">
        <f>IF($A588&gt;'1-Input'!$B$26,0,IF(AB587&lt;=0,0,MAX(0,(AB587-AC587)/AB587)))</f>
        <v>0.59552458164510869</v>
      </c>
      <c r="X588" s="18">
        <f>IF($A588&gt;'1-Input'!$B$26,0,(MAX(0,W561-IF($A588&gt;='1-Input'!$C$12,'1-Input'!$B$13,0))-MIN(MAX(AA587,0),MAX(0,W561-IF($A588&gt;='1-Input'!$C$12,'1-Input'!$B$13,0))))*(1/(1-'P-Parametri'!$B$6*W588))+MIN(MAX(0,AB587-(MAX(0,W561-IF($A588&gt;='1-Input'!$C$12,'1-Input'!$B$13,0))-MIN(MAX(AA587,0),MAX(0,W561-IF($A588&gt;='1-Input'!$C$12,'1-Input'!$B$13,0))))*(1/(1-'P-Parametri'!$B$6*W588))),MAX(0,0*W561-(AA587-MIN(MAX(AA587,0),MAX(0,W561-IF($A588&gt;='1-Input'!$C$12,'1-Input'!$B$13,0)))))*(1/(1-'P-Parametri'!$B$6*W588))))</f>
        <v>7799.294248941701</v>
      </c>
      <c r="Y588" s="18">
        <f>IF($A588&gt;'1-Input'!$B$26,AA587,(AA587-MAX(0,W561-IF($A588&gt;='1-Input'!$C$12,'1-Input'!$B$13,0))+X588*(1-'P-Parametri'!$B$6*W588))*(1+'1-Input'!$B$27))</f>
        <v>0</v>
      </c>
      <c r="Z588" s="18">
        <f>IF($A588&gt;'1-Input'!$B$26,AB587,(AB587-X588)*(1+'5-Roberta'!$C$4))</f>
        <v>126182.90562756675</v>
      </c>
      <c r="AA588" s="18">
        <f>IF($A588&gt;'1-Input'!$B$26,Y588,Y588-'P-Parametri'!$B$8*(Z588+Y588)+MIN(MAX(Z588,0),'P-Parametri'!$B$8*(Z588+Y588)))</f>
        <v>0</v>
      </c>
      <c r="AB588" s="18">
        <f>IF($A588&gt;'1-Input'!$B$26,Z588,Z588-MIN(MAX(Z588,0),'P-Parametri'!$B$8*(Z588+Y588)))</f>
        <v>125930.53981631162</v>
      </c>
      <c r="AC588" s="18">
        <f>IF($A588&gt;'1-Input'!$B$26,AC587,AC587-X588*(1-W588))</f>
        <v>49551.343245578479</v>
      </c>
      <c r="AD588" s="11">
        <f>IF($A588&gt;'1-Input'!$B$26,0,IF(AI587&lt;=0,0,MAX(0,(AI587-AJ587)/AI587)))</f>
        <v>0.59552458164510891</v>
      </c>
      <c r="AE588" s="18">
        <f>IF($A588&gt;'1-Input'!$B$26,0,(MAX(0,AD561-IF($A588&gt;='1-Input'!$C$12,'1-Input'!$B$13,0))-MIN(MAX(AH587,0),MAX(0,AD561-IF($A588&gt;='1-Input'!$C$12,'1-Input'!$B$13,0))))*(1/(1-'P-Parametri'!$B$6*AD588))+MIN(MAX(0,AI587-(MAX(0,AD561-IF($A588&gt;='1-Input'!$C$12,'1-Input'!$B$13,0))-MIN(MAX(AH587,0),MAX(0,AD561-IF($A588&gt;='1-Input'!$C$12,'1-Input'!$B$13,0))))*(1/(1-'P-Parametri'!$B$6*AD588))),MAX(0,0*AD561-(AH587-MIN(MAX(AH587,0),MAX(0,AD561-IF($A588&gt;='1-Input'!$C$12,'1-Input'!$B$13,0)))))*(1/(1-'P-Parametri'!$B$6*AD588))))</f>
        <v>7818.7314643690997</v>
      </c>
      <c r="AF588" s="18">
        <f>IF($A588&gt;'1-Input'!$B$26,AH587,(AH587-MAX(0,AD561-IF($A588&gt;='1-Input'!$C$12,'1-Input'!$B$13,0))+AE588*(1-'P-Parametri'!$B$6*AD588))*(1+'1-Input'!$B$27))</f>
        <v>0</v>
      </c>
      <c r="AG588" s="18">
        <f>IF($A588&gt;'1-Input'!$B$26,AI587,(AI587-AE588)*(1+'5-Roberta'!$C$4))</f>
        <v>125511.32928282119</v>
      </c>
      <c r="AH588" s="18">
        <f>IF($A588&gt;'1-Input'!$B$26,AF588,AF588-'P-Parametri'!$B$8*(AG588+AF588)+MIN(MAX(AG588,0),'P-Parametri'!$B$8*(AG588+AF588)))</f>
        <v>0</v>
      </c>
      <c r="AI588" s="18">
        <f>IF($A588&gt;'1-Input'!$B$26,AG588,AG588-MIN(MAX(AG588,0),'P-Parametri'!$B$8*(AG588+AF588)))</f>
        <v>125260.30662425554</v>
      </c>
      <c r="AJ588" s="18">
        <f>IF($A588&gt;'1-Input'!$B$26,AJ587,AJ587-AE588*(1-AD588))</f>
        <v>49287.618854318054</v>
      </c>
      <c r="AK588" s="11">
        <f>IF($A588&gt;'1-Input'!$B$26,0,IF(AP587&lt;=0,0,MAX(0,(AP587-AQ587)/AP587)))</f>
        <v>0.59552458164510869</v>
      </c>
      <c r="AL588" s="18">
        <f>IF($A588&gt;'1-Input'!$B$26,0,(MAX(0,AK561-IF($A588&gt;='1-Input'!$C$12,'1-Input'!$B$13,0))-MIN(MAX(AO587,0),MAX(0,AK561-IF($A588&gt;='1-Input'!$C$12,'1-Input'!$B$13,0))))*(1/(1-'P-Parametri'!$B$6*AK588))+MIN(MAX(0,AP587-(MAX(0,AK561-IF($A588&gt;='1-Input'!$C$12,'1-Input'!$B$13,0))-MIN(MAX(AO587,0),MAX(0,AK561-IF($A588&gt;='1-Input'!$C$12,'1-Input'!$B$13,0))))*(1/(1-'P-Parametri'!$B$6*AK588))),MAX(0,0*AK561-(AO587-MIN(MAX(AO587,0),MAX(0,AK561-IF($A588&gt;='1-Input'!$C$12,'1-Input'!$B$13,0)))))*(1/(1-'P-Parametri'!$B$6*AK588))))</f>
        <v>7816.2391569251022</v>
      </c>
      <c r="AM588" s="18">
        <f>IF($A588&gt;'1-Input'!$B$26,AO587,(AO587-MAX(0,AK561-IF($A588&gt;='1-Input'!$C$12,'1-Input'!$B$13,0))+AL588*(1-'P-Parametri'!$B$6*AK588))*(1+'1-Input'!$B$27))</f>
        <v>9.0622052084654565E-13</v>
      </c>
      <c r="AN588" s="18">
        <f>IF($A588&gt;'1-Input'!$B$26,AP587,(AP587-AL588)*(1+'5-Roberta'!$C$4))</f>
        <v>125597.44114022526</v>
      </c>
      <c r="AO588" s="18">
        <f>IF($A588&gt;'1-Input'!$B$26,AM588,AM588-'P-Parametri'!$B$8*(AN588+AM588)+MIN(MAX(AN588,0),'P-Parametri'!$B$8*(AN588+AM588)))</f>
        <v>9.0949470177292824E-13</v>
      </c>
      <c r="AP588" s="18">
        <f>IF($A588&gt;'1-Input'!$B$26,AN588,AN588-MIN(MAX(AN588,0),'P-Parametri'!$B$8*(AN588+AM588)))</f>
        <v>125346.2462579448</v>
      </c>
      <c r="AQ588" s="18">
        <f>IF($A588&gt;'1-Input'!$B$26,AQ587,AQ587-AL588*(1-AK588))</f>
        <v>49321.43451407423</v>
      </c>
    </row>
    <row r="589" spans="1:43">
      <c r="A589" s="10">
        <f>26</f>
        <v>26</v>
      </c>
      <c r="B589" s="11">
        <f>IF($A589&gt;'1-Input'!$B$26,0,IF(G588&lt;=0,0,MAX(0,(G588-H588)/G588)))</f>
        <v>0.60651845598489085</v>
      </c>
      <c r="C589" s="18">
        <f>IF($A589&gt;'1-Input'!$B$26,0,(MAX(0,B561-IF($A589&gt;='1-Input'!$C$12,'1-Input'!$B$13,0))-MIN(MAX(F588,0),MAX(0,B561-IF($A589&gt;='1-Input'!$C$12,'1-Input'!$B$13,0))))*(1/(1-'P-Parametri'!$B$6*B589))+MIN(MAX(0,G588-(MAX(0,B561-IF($A589&gt;='1-Input'!$C$12,'1-Input'!$B$13,0))-MIN(MAX(F588,0),MAX(0,B561-IF($A589&gt;='1-Input'!$C$12,'1-Input'!$B$13,0))))*(1/(1-'P-Parametri'!$B$6*B589))),MAX(0,0*B561-(F588-MIN(MAX(F588,0),MAX(0,B561-IF($A589&gt;='1-Input'!$C$12,'1-Input'!$B$13,0)))))*(1/(1-'P-Parametri'!$B$6*B589))))</f>
        <v>4447.3847581661585</v>
      </c>
      <c r="D589" s="18">
        <f>IF($A589&gt;'1-Input'!$B$26,F588,(F588-MAX(0,B561-IF($A589&gt;='1-Input'!$C$12,'1-Input'!$B$13,0))+C589*(1-'P-Parametri'!$B$6*B589))*(1+'1-Input'!$B$27))</f>
        <v>0</v>
      </c>
      <c r="E589" s="18">
        <f>IF($A589&gt;'1-Input'!$B$26,G588,(G588-C589)*(1+'5-Roberta'!$C$4))</f>
        <v>244709.67078200547</v>
      </c>
      <c r="F589" s="18">
        <f>IF($A589&gt;'1-Input'!$B$26,D589,D589-'P-Parametri'!$B$8*(E589+D589)+MIN(MAX(E589,0),'P-Parametri'!$B$8*(E589+D589)))</f>
        <v>0</v>
      </c>
      <c r="G589" s="18">
        <f>IF($A589&gt;'1-Input'!$B$26,E589,E589-MIN(MAX(E589,0),'P-Parametri'!$B$8*(E589+D589)))</f>
        <v>244220.25144044147</v>
      </c>
      <c r="H589" s="18">
        <f>IF($A589&gt;'1-Input'!$B$26,H588,H588-C589*(1-B589))</f>
        <v>93484.212713332599</v>
      </c>
      <c r="I589" s="11">
        <f>IF($A589&gt;'1-Input'!$B$26,0,IF(N588&lt;=0,0,MAX(0,(N588-O588)/N588)))</f>
        <v>0.60651845598489118</v>
      </c>
      <c r="J589" s="18">
        <f>IF($A589&gt;'1-Input'!$B$26,0,(MAX(0,I561-IF($A589&gt;='1-Input'!$C$12,'1-Input'!$B$13,0))-MIN(MAX(M588,0),MAX(0,I561-IF($A589&gt;='1-Input'!$C$12,'1-Input'!$B$13,0))))*(1/(1-'P-Parametri'!$B$6*I589))+MIN(MAX(0,N588-(MAX(0,I561-IF($A589&gt;='1-Input'!$C$12,'1-Input'!$B$13,0))-MIN(MAX(M588,0),MAX(0,I561-IF($A589&gt;='1-Input'!$C$12,'1-Input'!$B$13,0))))*(1/(1-'P-Parametri'!$B$6*I589))),MAX(0,0*I561-(M588-MIN(MAX(M588,0),MAX(0,I561-IF($A589&gt;='1-Input'!$C$12,'1-Input'!$B$13,0)))))*(1/(1-'P-Parametri'!$B$6*I589))))</f>
        <v>10701.295655632646</v>
      </c>
      <c r="K589" s="18">
        <f>IF($A589&gt;'1-Input'!$B$26,M588,(M588-MAX(0,I561-IF($A589&gt;='1-Input'!$C$12,'1-Input'!$B$13,0))+J589*(1-'P-Parametri'!$B$6*I589))*(1+'1-Input'!$B$27))</f>
        <v>0</v>
      </c>
      <c r="L589" s="18">
        <f>IF($A589&gt;'1-Input'!$B$26,N588,(N588-J589)*(1+'5-Roberta'!$C$4))</f>
        <v>16902.869529386604</v>
      </c>
      <c r="M589" s="18">
        <f>IF($A589&gt;'1-Input'!$B$26,K589,K589-'P-Parametri'!$B$8*(L589+K589)+MIN(MAX(L589,0),'P-Parametri'!$B$8*(L589+K589)))</f>
        <v>0</v>
      </c>
      <c r="N589" s="18">
        <f>IF($A589&gt;'1-Input'!$B$26,L589,L589-MIN(MAX(L589,0),'P-Parametri'!$B$8*(L589+K589)))</f>
        <v>16869.063790327829</v>
      </c>
      <c r="O589" s="18">
        <f>IF($A589&gt;'1-Input'!$B$26,O588,O588-J589*(1-I589))</f>
        <v>6457.2497094261917</v>
      </c>
      <c r="P589" s="11">
        <f>IF($A589&gt;'1-Input'!$B$26,0,IF(U588&lt;=0,0,MAX(0,(U588-V588)/U588)))</f>
        <v>0.60651845598489085</v>
      </c>
      <c r="Q589" s="18">
        <f>IF($A589&gt;'1-Input'!$B$26,0,(MAX(0,P561-IF($A589&gt;='1-Input'!$C$12,'1-Input'!$B$13,0))-MIN(MAX(T588,0),MAX(0,P561-IF($A589&gt;='1-Input'!$C$12,'1-Input'!$B$13,0))))*(1/(1-'P-Parametri'!$B$6*P589))+MIN(MAX(0,U588-(MAX(0,P561-IF($A589&gt;='1-Input'!$C$12,'1-Input'!$B$13,0))-MIN(MAX(T588,0),MAX(0,P561-IF($A589&gt;='1-Input'!$C$12,'1-Input'!$B$13,0))))*(1/(1-'P-Parametri'!$B$6*P589))),MAX(0,0*P561-(T588-MIN(MAX(T588,0),MAX(0,P561-IF($A589&gt;='1-Input'!$C$12,'1-Input'!$B$13,0)))))*(1/(1-'P-Parametri'!$B$6*P589))))</f>
        <v>8141.897600461436</v>
      </c>
      <c r="R589" s="18">
        <f>IF($A589&gt;'1-Input'!$B$26,T588,(T588-MAX(0,P561-IF($A589&gt;='1-Input'!$C$12,'1-Input'!$B$13,0))+Q589*(1-'P-Parametri'!$B$6*P589))*(1+'1-Input'!$B$27))</f>
        <v>-9.0622052084654565E-13</v>
      </c>
      <c r="S589" s="18">
        <f>IF($A589&gt;'1-Input'!$B$26,U588,(U588-Q589)*(1+'5-Roberta'!$C$4))</f>
        <v>110132.25729007936</v>
      </c>
      <c r="T589" s="18">
        <f>IF($A589&gt;'1-Input'!$B$26,R589,R589-'P-Parametri'!$B$8*(S589+R589)+MIN(MAX(S589,0),'P-Parametri'!$B$8*(S589+R589)))</f>
        <v>-9.0949470177292824E-13</v>
      </c>
      <c r="U589" s="18">
        <f>IF($A589&gt;'1-Input'!$B$26,S589,S589-MIN(MAX(S589,0),'P-Parametri'!$B$8*(S589+R589)))</f>
        <v>109911.99277549919</v>
      </c>
      <c r="V589" s="18">
        <f>IF($A589&gt;'1-Input'!$B$26,V588,V588-Q589*(1-P589))</f>
        <v>42072.825868320069</v>
      </c>
      <c r="W589" s="11">
        <f>IF($A589&gt;'1-Input'!$B$26,0,IF(AB588&lt;=0,0,MAX(0,(AB588-AC588)/AB588)))</f>
        <v>0.60651845598489085</v>
      </c>
      <c r="X589" s="18">
        <f>IF($A589&gt;'1-Input'!$B$26,0,(MAX(0,W561-IF($A589&gt;='1-Input'!$C$12,'1-Input'!$B$13,0))-MIN(MAX(AA588,0),MAX(0,W561-IF($A589&gt;='1-Input'!$C$12,'1-Input'!$B$13,0))))*(1/(1-'P-Parametri'!$B$6*W589))+MIN(MAX(0,AB588-(MAX(0,W561-IF($A589&gt;='1-Input'!$C$12,'1-Input'!$B$13,0))-MIN(MAX(AA588,0),MAX(0,W561-IF($A589&gt;='1-Input'!$C$12,'1-Input'!$B$13,0))))*(1/(1-'P-Parametri'!$B$6*W589))),MAX(0,0*W561-(AA588-MIN(MAX(AA588,0),MAX(0,W561-IF($A589&gt;='1-Input'!$C$12,'1-Input'!$B$13,0)))))*(1/(1-'P-Parametri'!$B$6*W589))))</f>
        <v>7825.7615671998128</v>
      </c>
      <c r="Y589" s="18">
        <f>IF($A589&gt;'1-Input'!$B$26,AA588,(AA588-MAX(0,W561-IF($A589&gt;='1-Input'!$C$12,'1-Input'!$B$13,0))+X589*(1-'P-Parametri'!$B$6*W589))*(1+'1-Input'!$B$27))</f>
        <v>-9.0622052084654565E-13</v>
      </c>
      <c r="Z589" s="18">
        <f>IF($A589&gt;'1-Input'!$B$26,AB588,(AB588-X589)*(1+'5-Roberta'!$C$4))</f>
        <v>121647.92159658518</v>
      </c>
      <c r="AA589" s="18">
        <f>IF($A589&gt;'1-Input'!$B$26,Y589,Y589-'P-Parametri'!$B$8*(Z589+Y589)+MIN(MAX(Z589,0),'P-Parametri'!$B$8*(Z589+Y589)))</f>
        <v>-9.0949470177292824E-13</v>
      </c>
      <c r="AB589" s="18">
        <f>IF($A589&gt;'1-Input'!$B$26,Z589,Z589-MIN(MAX(Z589,0),'P-Parametri'!$B$8*(Z589+Y589)))</f>
        <v>121404.625753392</v>
      </c>
      <c r="AC589" s="18">
        <f>IF($A589&gt;'1-Input'!$B$26,AC588,AC588-X589*(1-W589))</f>
        <v>46472.050501022597</v>
      </c>
      <c r="AD589" s="11">
        <f>IF($A589&gt;'1-Input'!$B$26,0,IF(AI588&lt;=0,0,MAX(0,(AI588-AJ588)/AI588)))</f>
        <v>0.60651845598489096</v>
      </c>
      <c r="AE589" s="18">
        <f>IF($A589&gt;'1-Input'!$B$26,0,(MAX(0,AD561-IF($A589&gt;='1-Input'!$C$12,'1-Input'!$B$13,0))-MIN(MAX(AH588,0),MAX(0,AD561-IF($A589&gt;='1-Input'!$C$12,'1-Input'!$B$13,0))))*(1/(1-'P-Parametri'!$B$6*AD589))+MIN(MAX(0,AI588-(MAX(0,AD561-IF($A589&gt;='1-Input'!$C$12,'1-Input'!$B$13,0))-MIN(MAX(AH588,0),MAX(0,AD561-IF($A589&gt;='1-Input'!$C$12,'1-Input'!$B$13,0))))*(1/(1-'P-Parametri'!$B$6*AD589))),MAX(0,0*AD561-(AH588-MIN(MAX(AH588,0),MAX(0,AD561-IF($A589&gt;='1-Input'!$C$12,'1-Input'!$B$13,0)))))*(1/(1-'P-Parametri'!$B$6*AD589))))</f>
        <v>7845.2647438475942</v>
      </c>
      <c r="AF589" s="18">
        <f>IF($A589&gt;'1-Input'!$B$26,AH588,(AH588-MAX(0,AD561-IF($A589&gt;='1-Input'!$C$12,'1-Input'!$B$13,0))+AE589*(1-'P-Parametri'!$B$6*AD589))*(1+'1-Input'!$B$27))</f>
        <v>0</v>
      </c>
      <c r="AG589" s="18">
        <f>IF($A589&gt;'1-Input'!$B$26,AI588,(AI588-AE589)*(1+'5-Roberta'!$C$4))</f>
        <v>120937.49313682018</v>
      </c>
      <c r="AH589" s="18">
        <f>IF($A589&gt;'1-Input'!$B$26,AF589,AF589-'P-Parametri'!$B$8*(AG589+AF589)+MIN(MAX(AG589,0),'P-Parametri'!$B$8*(AG589+AF589)))</f>
        <v>0</v>
      </c>
      <c r="AI589" s="18">
        <f>IF($A589&gt;'1-Input'!$B$26,AG589,AG589-MIN(MAX(AG589,0),'P-Parametri'!$B$8*(AG589+AF589)))</f>
        <v>120695.61815054654</v>
      </c>
      <c r="AJ589" s="18">
        <f>IF($A589&gt;'1-Input'!$B$26,AJ588,AJ588-AE589*(1-AD589))</f>
        <v>46200.651969701605</v>
      </c>
      <c r="AK589" s="11">
        <f>IF($A589&gt;'1-Input'!$B$26,0,IF(AP588&lt;=0,0,MAX(0,(AP588-AQ588)/AP588)))</f>
        <v>0.60651845598489085</v>
      </c>
      <c r="AL589" s="18">
        <f>IF($A589&gt;'1-Input'!$B$26,0,(MAX(0,AK561-IF($A589&gt;='1-Input'!$C$12,'1-Input'!$B$13,0))-MIN(MAX(AO588,0),MAX(0,AK561-IF($A589&gt;='1-Input'!$C$12,'1-Input'!$B$13,0))))*(1/(1-'P-Parametri'!$B$6*AK589))+MIN(MAX(0,AP588-(MAX(0,AK561-IF($A589&gt;='1-Input'!$C$12,'1-Input'!$B$13,0))-MIN(MAX(AO588,0),MAX(0,AK561-IF($A589&gt;='1-Input'!$C$12,'1-Input'!$B$13,0))))*(1/(1-'P-Parametri'!$B$6*AK589))),MAX(0,0*AK561-(AO588-MIN(MAX(AO588,0),MAX(0,AK561-IF($A589&gt;='1-Input'!$C$12,'1-Input'!$B$13,0)))))*(1/(1-'P-Parametri'!$B$6*AK589))))</f>
        <v>7842.7639786262343</v>
      </c>
      <c r="AM589" s="18">
        <f>IF($A589&gt;'1-Input'!$B$26,AO588,(AO588-MAX(0,AK561-IF($A589&gt;='1-Input'!$C$12,'1-Input'!$B$13,0))+AL589*(1-'P-Parametri'!$B$6*AK589))*(1+'1-Input'!$B$27))</f>
        <v>0</v>
      </c>
      <c r="AN589" s="18">
        <f>IF($A589&gt;'1-Input'!$B$26,AP588,(AP588-AL589)*(1+'5-Roberta'!$C$4))</f>
        <v>121028.58674769814</v>
      </c>
      <c r="AO589" s="18">
        <f>IF($A589&gt;'1-Input'!$B$26,AM589,AM589-'P-Parametri'!$B$8*(AN589+AM589)+MIN(MAX(AN589,0),'P-Parametri'!$B$8*(AN589+AM589)))</f>
        <v>0</v>
      </c>
      <c r="AP589" s="18">
        <f>IF($A589&gt;'1-Input'!$B$26,AN589,AN589-MIN(MAX(AN589,0),'P-Parametri'!$B$8*(AN589+AM589)))</f>
        <v>120786.52957420274</v>
      </c>
      <c r="AQ589" s="18">
        <f>IF($A589&gt;'1-Input'!$B$26,AQ588,AQ588-AL589*(1-AK589))</f>
        <v>46235.451634418299</v>
      </c>
    </row>
    <row r="590" spans="1:43">
      <c r="A590" s="10">
        <f>27</f>
        <v>27</v>
      </c>
      <c r="B590" s="11">
        <f>IF($A590&gt;'1-Input'!$B$26,0,IF(G589&lt;=0,0,MAX(0,(G589-H589)/G589)))</f>
        <v>0.61721351050147932</v>
      </c>
      <c r="C590" s="18">
        <f>IF($A590&gt;'1-Input'!$B$26,0,(MAX(0,B561-IF($A590&gt;='1-Input'!$C$12,'1-Input'!$B$13,0))-MIN(MAX(F589,0),MAX(0,B561-IF($A590&gt;='1-Input'!$C$12,'1-Input'!$B$13,0))))*(1/(1-'P-Parametri'!$B$6*B590))+MIN(MAX(0,G589-(MAX(0,B561-IF($A590&gt;='1-Input'!$C$12,'1-Input'!$B$13,0))-MIN(MAX(F589,0),MAX(0,B561-IF($A590&gt;='1-Input'!$C$12,'1-Input'!$B$13,0))))*(1/(1-'P-Parametri'!$B$6*B590))),MAX(0,0*B561-(F589-MIN(MAX(F589,0),MAX(0,B561-IF($A590&gt;='1-Input'!$C$12,'1-Input'!$B$13,0)))))*(1/(1-'P-Parametri'!$B$6*B590))))</f>
        <v>4462.1156040475898</v>
      </c>
      <c r="D590" s="18">
        <f>IF($A590&gt;'1-Input'!$B$26,F589,(F589-MAX(0,B561-IF($A590&gt;='1-Input'!$C$12,'1-Input'!$B$13,0))+C590*(1-'P-Parametri'!$B$6*B590))*(1+'1-Input'!$B$27))</f>
        <v>4.5311026042327283E-13</v>
      </c>
      <c r="E590" s="18">
        <f>IF($A590&gt;'1-Input'!$B$26,G589,(G589-C590)*(1+'5-Roberta'!$C$4))</f>
        <v>246950.87991148571</v>
      </c>
      <c r="F590" s="18">
        <f>IF($A590&gt;'1-Input'!$B$26,D590,D590-'P-Parametri'!$B$8*(E590+D590)+MIN(MAX(E590,0),'P-Parametri'!$B$8*(E590+D590)))</f>
        <v>4.5474735088646412E-13</v>
      </c>
      <c r="G590" s="18">
        <f>IF($A590&gt;'1-Input'!$B$26,E590,E590-MIN(MAX(E590,0),'P-Parametri'!$B$8*(E590+D590)))</f>
        <v>246456.97815166274</v>
      </c>
      <c r="H590" s="18">
        <f>IF($A590&gt;'1-Input'!$B$26,H589,H589-C590*(1-B590))</f>
        <v>91776.175145522648</v>
      </c>
      <c r="I590" s="11">
        <f>IF($A590&gt;'1-Input'!$B$26,0,IF(N589&lt;=0,0,MAX(0,(N589-O589)/N589)))</f>
        <v>0.61721351050147966</v>
      </c>
      <c r="J590" s="18">
        <f>IF($A590&gt;'1-Input'!$B$26,0,(MAX(0,I561-IF($A590&gt;='1-Input'!$C$12,'1-Input'!$B$13,0))-MIN(MAX(M589,0),MAX(0,I561-IF($A590&gt;='1-Input'!$C$12,'1-Input'!$B$13,0))))*(1/(1-'P-Parametri'!$B$6*I590))+MIN(MAX(0,N589-(MAX(0,I561-IF($A590&gt;='1-Input'!$C$12,'1-Input'!$B$13,0))-MIN(MAX(M589,0),MAX(0,I561-IF($A590&gt;='1-Input'!$C$12,'1-Input'!$B$13,0))))*(1/(1-'P-Parametri'!$B$6*I590))),MAX(0,0*I561-(M589-MIN(MAX(M589,0),MAX(0,I561-IF($A590&gt;='1-Input'!$C$12,'1-Input'!$B$13,0)))))*(1/(1-'P-Parametri'!$B$6*I590))))</f>
        <v>10736.741011860326</v>
      </c>
      <c r="K590" s="18">
        <f>IF($A590&gt;'1-Input'!$B$26,M589,(M589-MAX(0,I561-IF($A590&gt;='1-Input'!$C$12,'1-Input'!$B$13,0))+J590*(1-'P-Parametri'!$B$6*I590))*(1+'1-Input'!$B$27))</f>
        <v>-1.8124410416930913E-12</v>
      </c>
      <c r="L590" s="18">
        <f>IF($A590&gt;'1-Input'!$B$26,N589,(N589-J590)*(1+'5-Roberta'!$C$4))</f>
        <v>6316.2924618215293</v>
      </c>
      <c r="M590" s="18">
        <f>IF($A590&gt;'1-Input'!$B$26,K590,K590-'P-Parametri'!$B$8*(L590+K590)+MIN(MAX(L590,0),'P-Parametri'!$B$8*(L590+K590)))</f>
        <v>-1.8118839761882555E-12</v>
      </c>
      <c r="N590" s="18">
        <f>IF($A590&gt;'1-Input'!$B$26,L590,L590-MIN(MAX(L590,0),'P-Parametri'!$B$8*(L590+K590)))</f>
        <v>6303.6598768978865</v>
      </c>
      <c r="O590" s="18">
        <f>IF($A590&gt;'1-Input'!$B$26,O589,O589-J590*(1-I590))</f>
        <v>2347.3703088413868</v>
      </c>
      <c r="P590" s="11">
        <f>IF($A590&gt;'1-Input'!$B$26,0,IF(U589&lt;=0,0,MAX(0,(U589-V589)/U589)))</f>
        <v>0.61721351050147966</v>
      </c>
      <c r="Q590" s="18">
        <f>IF($A590&gt;'1-Input'!$B$26,0,(MAX(0,P561-IF($A590&gt;='1-Input'!$C$12,'1-Input'!$B$13,0))-MIN(MAX(T589,0),MAX(0,P561-IF($A590&gt;='1-Input'!$C$12,'1-Input'!$B$13,0))))*(1/(1-'P-Parametri'!$B$6*P590))+MIN(MAX(0,U589-(MAX(0,P561-IF($A590&gt;='1-Input'!$C$12,'1-Input'!$B$13,0))-MIN(MAX(T589,0),MAX(0,P561-IF($A590&gt;='1-Input'!$C$12,'1-Input'!$B$13,0))))*(1/(1-'P-Parametri'!$B$6*P590))),MAX(0,0*P561-(T589-MIN(MAX(T589,0),MAX(0,P561-IF($A590&gt;='1-Input'!$C$12,'1-Input'!$B$13,0)))))*(1/(1-'P-Parametri'!$B$6*P590))))</f>
        <v>8168.8655929461393</v>
      </c>
      <c r="R590" s="18">
        <f>IF($A590&gt;'1-Input'!$B$26,T589,(T589-MAX(0,P561-IF($A590&gt;='1-Input'!$C$12,'1-Input'!$B$13,0))+Q590*(1-'P-Parametri'!$B$6*P590))*(1+'1-Input'!$B$27))</f>
        <v>-9.0622052084654565E-13</v>
      </c>
      <c r="S590" s="18">
        <f>IF($A590&gt;'1-Input'!$B$26,U589,(U589-Q590)*(1+'5-Roberta'!$C$4))</f>
        <v>104795.42099802966</v>
      </c>
      <c r="T590" s="18">
        <f>IF($A590&gt;'1-Input'!$B$26,R590,R590-'P-Parametri'!$B$8*(S590+R590)+MIN(MAX(S590,0),'P-Parametri'!$B$8*(S590+R590)))</f>
        <v>-9.0949470177292824E-13</v>
      </c>
      <c r="U590" s="18">
        <f>IF($A590&gt;'1-Input'!$B$26,S590,S590-MIN(MAX(S590,0),'P-Parametri'!$B$8*(S590+R590)))</f>
        <v>104585.8301560336</v>
      </c>
      <c r="V590" s="18">
        <f>IF($A590&gt;'1-Input'!$B$26,V589,V589-Q590*(1-P590))</f>
        <v>38945.894484810968</v>
      </c>
      <c r="W590" s="11">
        <f>IF($A590&gt;'1-Input'!$B$26,0,IF(AB589&lt;=0,0,MAX(0,(AB589-AC589)/AB589)))</f>
        <v>0.61721351050147943</v>
      </c>
      <c r="X590" s="18">
        <f>IF($A590&gt;'1-Input'!$B$26,0,(MAX(0,W561-IF($A590&gt;='1-Input'!$C$12,'1-Input'!$B$13,0))-MIN(MAX(AA589,0),MAX(0,W561-IF($A590&gt;='1-Input'!$C$12,'1-Input'!$B$13,0))))*(1/(1-'P-Parametri'!$B$6*W590))+MIN(MAX(0,AB589-(MAX(0,W561-IF($A590&gt;='1-Input'!$C$12,'1-Input'!$B$13,0))-MIN(MAX(AA589,0),MAX(0,W561-IF($A590&gt;='1-Input'!$C$12,'1-Input'!$B$13,0))))*(1/(1-'P-Parametri'!$B$6*W590))),MAX(0,0*W561-(AA589-MIN(MAX(AA589,0),MAX(0,W561-IF($A590&gt;='1-Input'!$C$12,'1-Input'!$B$13,0)))))*(1/(1-'P-Parametri'!$B$6*W590))))</f>
        <v>7851.6824384128522</v>
      </c>
      <c r="Y590" s="18">
        <f>IF($A590&gt;'1-Input'!$B$26,AA589,(AA589-MAX(0,W561-IF($A590&gt;='1-Input'!$C$12,'1-Input'!$B$13,0))+X590*(1-'P-Parametri'!$B$6*W590))*(1+'1-Input'!$B$27))</f>
        <v>0</v>
      </c>
      <c r="Z590" s="18">
        <f>IF($A590&gt;'1-Input'!$B$26,AB589,(AB589-X590)*(1+'5-Roberta'!$C$4))</f>
        <v>116959.53161442852</v>
      </c>
      <c r="AA590" s="18">
        <f>IF($A590&gt;'1-Input'!$B$26,Y590,Y590-'P-Parametri'!$B$8*(Z590+Y590)+MIN(MAX(Z590,0),'P-Parametri'!$B$8*(Z590+Y590)))</f>
        <v>0</v>
      </c>
      <c r="AB590" s="18">
        <f>IF($A590&gt;'1-Input'!$B$26,Z590,Z590-MIN(MAX(Z590,0),'P-Parametri'!$B$8*(Z590+Y590)))</f>
        <v>116725.61255119967</v>
      </c>
      <c r="AC590" s="18">
        <f>IF($A590&gt;'1-Input'!$B$26,AC589,AC589-X590*(1-W590))</f>
        <v>43466.532543765359</v>
      </c>
      <c r="AD590" s="11">
        <f>IF($A590&gt;'1-Input'!$B$26,0,IF(AI589&lt;=0,0,MAX(0,(AI589-AJ589)/AI589)))</f>
        <v>0.61721351050147966</v>
      </c>
      <c r="AE590" s="18">
        <f>IF($A590&gt;'1-Input'!$B$26,0,(MAX(0,AD561-IF($A590&gt;='1-Input'!$C$12,'1-Input'!$B$13,0))-MIN(MAX(AH589,0),MAX(0,AD561-IF($A590&gt;='1-Input'!$C$12,'1-Input'!$B$13,0))))*(1/(1-'P-Parametri'!$B$6*AD590))+MIN(MAX(0,AI589-(MAX(0,AD561-IF($A590&gt;='1-Input'!$C$12,'1-Input'!$B$13,0))-MIN(MAX(AH589,0),MAX(0,AD561-IF($A590&gt;='1-Input'!$C$12,'1-Input'!$B$13,0))))*(1/(1-'P-Parametri'!$B$6*AD590))),MAX(0,0*AD561-(AH589-MIN(MAX(AH589,0),MAX(0,AD561-IF($A590&gt;='1-Input'!$C$12,'1-Input'!$B$13,0)))))*(1/(1-'P-Parametri'!$B$6*AD590))))</f>
        <v>7871.2502144386972</v>
      </c>
      <c r="AF590" s="18">
        <f>IF($A590&gt;'1-Input'!$B$26,AH589,(AH589-MAX(0,AD561-IF($A590&gt;='1-Input'!$C$12,'1-Input'!$B$13,0))+AE590*(1-'P-Parametri'!$B$6*AD590))*(1+'1-Input'!$B$27))</f>
        <v>0</v>
      </c>
      <c r="AG590" s="18">
        <f>IF($A590&gt;'1-Input'!$B$26,AI589,(AI589-AE590)*(1+'5-Roberta'!$C$4))</f>
        <v>116209.09897419107</v>
      </c>
      <c r="AH590" s="18">
        <f>IF($A590&gt;'1-Input'!$B$26,AF590,AF590-'P-Parametri'!$B$8*(AG590+AF590)+MIN(MAX(AG590,0),'P-Parametri'!$B$8*(AG590+AF590)))</f>
        <v>0</v>
      </c>
      <c r="AI590" s="18">
        <f>IF($A590&gt;'1-Input'!$B$26,AG590,AG590-MIN(MAX(AG590,0),'P-Parametri'!$B$8*(AG590+AF590)))</f>
        <v>115976.68077624269</v>
      </c>
      <c r="AJ590" s="18">
        <f>IF($A590&gt;'1-Input'!$B$26,AJ589,AJ589-AE590*(1-AD590))</f>
        <v>43187.643732152137</v>
      </c>
      <c r="AK590" s="11">
        <f>IF($A590&gt;'1-Input'!$B$26,0,IF(AP589&lt;=0,0,MAX(0,(AP589-AQ589)/AP589)))</f>
        <v>0.61721351050147955</v>
      </c>
      <c r="AL590" s="18">
        <f>IF($A590&gt;'1-Input'!$B$26,0,(MAX(0,AK561-IF($A590&gt;='1-Input'!$C$12,'1-Input'!$B$13,0))-MIN(MAX(AO589,0),MAX(0,AK561-IF($A590&gt;='1-Input'!$C$12,'1-Input'!$B$13,0))))*(1/(1-'P-Parametri'!$B$6*AK590))+MIN(MAX(0,AP589-(MAX(0,AK561-IF($A590&gt;='1-Input'!$C$12,'1-Input'!$B$13,0))-MIN(MAX(AO589,0),MAX(0,AK561-IF($A590&gt;='1-Input'!$C$12,'1-Input'!$B$13,0))))*(1/(1-'P-Parametri'!$B$6*AK590))),MAX(0,0*AK561-(AO589-MIN(MAX(AO589,0),MAX(0,AK561-IF($A590&gt;='1-Input'!$C$12,'1-Input'!$B$13,0)))))*(1/(1-'P-Parametri'!$B$6*AK590))))</f>
        <v>7868.7411660601438</v>
      </c>
      <c r="AM590" s="18">
        <f>IF($A590&gt;'1-Input'!$B$26,AO589,(AO589-MAX(0,AK561-IF($A590&gt;='1-Input'!$C$12,'1-Input'!$B$13,0))+AL590*(1-'P-Parametri'!$B$6*AK590))*(1+'1-Input'!$B$27))</f>
        <v>0</v>
      </c>
      <c r="AN590" s="18">
        <f>IF($A590&gt;'1-Input'!$B$26,AP589,(AP589-AL590)*(1+'5-Roberta'!$C$4))</f>
        <v>116305.32206038687</v>
      </c>
      <c r="AO590" s="18">
        <f>IF($A590&gt;'1-Input'!$B$26,AM590,AM590-'P-Parametri'!$B$8*(AN590+AM590)+MIN(MAX(AN590,0),'P-Parametri'!$B$8*(AN590+AM590)))</f>
        <v>0</v>
      </c>
      <c r="AP590" s="18">
        <f>IF($A590&gt;'1-Input'!$B$26,AN590,AN590-MIN(MAX(AN590,0),'P-Parametri'!$B$8*(AN590+AM590)))</f>
        <v>116072.7114162661</v>
      </c>
      <c r="AQ590" s="18">
        <f>IF($A590&gt;'1-Input'!$B$26,AQ589,AQ589-AL590*(1-AK590))</f>
        <v>43223.403826689646</v>
      </c>
    </row>
    <row r="591" spans="1:43">
      <c r="A591" s="10">
        <f>28</f>
        <v>28</v>
      </c>
      <c r="B591" s="11">
        <f>IF($A591&gt;'1-Input'!$B$26,0,IF(G590&lt;=0,0,MAX(0,(G590-H590)/G590)))</f>
        <v>0.62761786728941338</v>
      </c>
      <c r="C591" s="18">
        <f>IF($A591&gt;'1-Input'!$B$26,0,(MAX(0,B561-IF($A591&gt;='1-Input'!$C$12,'1-Input'!$B$13,0))-MIN(MAX(F590,0),MAX(0,B561-IF($A591&gt;='1-Input'!$C$12,'1-Input'!$B$13,0))))*(1/(1-'P-Parametri'!$B$6*B591))+MIN(MAX(0,G590-(MAX(0,B561-IF($A591&gt;='1-Input'!$C$12,'1-Input'!$B$13,0))-MIN(MAX(F590,0),MAX(0,B561-IF($A591&gt;='1-Input'!$C$12,'1-Input'!$B$13,0))))*(1/(1-'P-Parametri'!$B$6*B591))),MAX(0,0*B561-(F590-MIN(MAX(F590,0),MAX(0,B561-IF($A591&gt;='1-Input'!$C$12,'1-Input'!$B$13,0)))))*(1/(1-'P-Parametri'!$B$6*B591))))</f>
        <v>4476.5400016862632</v>
      </c>
      <c r="D591" s="18">
        <f>IF($A591&gt;'1-Input'!$B$26,F590,(F590-MAX(0,B561-IF($A591&gt;='1-Input'!$C$12,'1-Input'!$B$13,0))+C591*(1-'P-Parametri'!$B$6*B591))*(1+'1-Input'!$B$27))</f>
        <v>4.5311026042327283E-13</v>
      </c>
      <c r="E591" s="18">
        <f>IF($A591&gt;'1-Input'!$B$26,G590,(G590-C591)*(1+'5-Roberta'!$C$4))</f>
        <v>249239.85129447578</v>
      </c>
      <c r="F591" s="18">
        <f>IF($A591&gt;'1-Input'!$B$26,D591,D591-'P-Parametri'!$B$8*(E591+D591)+MIN(MAX(E591,0),'P-Parametri'!$B$8*(E591+D591)))</f>
        <v>4.5474735088646412E-13</v>
      </c>
      <c r="G591" s="18">
        <f>IF($A591&gt;'1-Input'!$B$26,E591,E591-MIN(MAX(E591,0),'P-Parametri'!$B$8*(E591+D591)))</f>
        <v>248741.37159188683</v>
      </c>
      <c r="H591" s="18">
        <f>IF($A591&gt;'1-Input'!$B$26,H590,H590-C591*(1-B591))</f>
        <v>90109.191632530463</v>
      </c>
      <c r="I591" s="11">
        <f>IF($A591&gt;'1-Input'!$B$26,0,IF(N590&lt;=0,0,MAX(0,(N590-O590)/N590)))</f>
        <v>0.62761786728941371</v>
      </c>
      <c r="J591" s="18">
        <f>IF($A591&gt;'1-Input'!$B$26,0,(MAX(0,I561-IF($A591&gt;='1-Input'!$C$12,'1-Input'!$B$13,0))-MIN(MAX(M590,0),MAX(0,I561-IF($A591&gt;='1-Input'!$C$12,'1-Input'!$B$13,0))))*(1/(1-'P-Parametri'!$B$6*I591))+MIN(MAX(0,N590-(MAX(0,I561-IF($A591&gt;='1-Input'!$C$12,'1-Input'!$B$13,0))-MIN(MAX(M590,0),MAX(0,I561-IF($A591&gt;='1-Input'!$C$12,'1-Input'!$B$13,0))))*(1/(1-'P-Parametri'!$B$6*I591))),MAX(0,0*I561-(M590-MIN(MAX(M590,0),MAX(0,I561-IF($A591&gt;='1-Input'!$C$12,'1-Input'!$B$13,0)))))*(1/(1-'P-Parametri'!$B$6*I591))))</f>
        <v>10771.44899243305</v>
      </c>
      <c r="K591" s="18">
        <f>IF($A591&gt;'1-Input'!$B$26,M590,(M590-MAX(0,I561-IF($A591&gt;='1-Input'!$C$12,'1-Input'!$B$13,0))+J591*(1-'P-Parametri'!$B$6*I591))*(1+'1-Input'!$B$27))</f>
        <v>-1.8124410416930913E-12</v>
      </c>
      <c r="L591" s="18">
        <f>IF($A591&gt;'1-Input'!$B$26,N590,(N590-J591)*(1+'5-Roberta'!$C$4))</f>
        <v>-4601.8227890012186</v>
      </c>
      <c r="M591" s="18">
        <f>IF($A591&gt;'1-Input'!$B$26,K591,K591-'P-Parametri'!$B$8*(L591+K591)+MIN(MAX(L591,0),'P-Parametri'!$B$8*(L591+K591)))</f>
        <v>-1.8118839761882555E-12</v>
      </c>
      <c r="N591" s="18">
        <f>IF($A591&gt;'1-Input'!$B$26,L591,L591-MIN(MAX(L591,0),'P-Parametri'!$B$8*(L591+K591)))</f>
        <v>-4592.619143423216</v>
      </c>
      <c r="O591" s="18">
        <f>IF($A591&gt;'1-Input'!$B$26,O590,O590-J591*(1-I591))</f>
        <v>-1663.7248393441282</v>
      </c>
      <c r="P591" s="11">
        <f>IF($A591&gt;'1-Input'!$B$26,0,IF(U590&lt;=0,0,MAX(0,(U590-V590)/U590)))</f>
        <v>0.62761786728941349</v>
      </c>
      <c r="Q591" s="18">
        <f>IF($A591&gt;'1-Input'!$B$26,0,(MAX(0,P561-IF($A591&gt;='1-Input'!$C$12,'1-Input'!$B$13,0))-MIN(MAX(T590,0),MAX(0,P561-IF($A591&gt;='1-Input'!$C$12,'1-Input'!$B$13,0))))*(1/(1-'P-Parametri'!$B$6*P591))+MIN(MAX(0,U590-(MAX(0,P561-IF($A591&gt;='1-Input'!$C$12,'1-Input'!$B$13,0))-MIN(MAX(T590,0),MAX(0,P561-IF($A591&gt;='1-Input'!$C$12,'1-Input'!$B$13,0))))*(1/(1-'P-Parametri'!$B$6*P591))),MAX(0,0*P561-(T590-MIN(MAX(T590,0),MAX(0,P561-IF($A591&gt;='1-Input'!$C$12,'1-Input'!$B$13,0)))))*(1/(1-'P-Parametri'!$B$6*P591))))</f>
        <v>8195.2725657871506</v>
      </c>
      <c r="R591" s="18">
        <f>IF($A591&gt;'1-Input'!$B$26,T590,(T590-MAX(0,P561-IF($A591&gt;='1-Input'!$C$12,'1-Input'!$B$13,0))+Q591*(1-'P-Parametri'!$B$6*P591))*(1+'1-Input'!$B$27))</f>
        <v>0</v>
      </c>
      <c r="S591" s="18">
        <f>IF($A591&gt;'1-Input'!$B$26,U590,(U590-Q591)*(1+'5-Roberta'!$C$4))</f>
        <v>99282.274317953837</v>
      </c>
      <c r="T591" s="18">
        <f>IF($A591&gt;'1-Input'!$B$26,R591,R591-'P-Parametri'!$B$8*(S591+R591)+MIN(MAX(S591,0),'P-Parametri'!$B$8*(S591+R591)))</f>
        <v>0</v>
      </c>
      <c r="U591" s="18">
        <f>IF($A591&gt;'1-Input'!$B$26,S591,S591-MIN(MAX(S591,0),'P-Parametri'!$B$8*(S591+R591)))</f>
        <v>99083.709769317924</v>
      </c>
      <c r="V591" s="18">
        <f>IF($A591&gt;'1-Input'!$B$26,V590,V590-Q591*(1-P591))</f>
        <v>35894.121408618586</v>
      </c>
      <c r="W591" s="11">
        <f>IF($A591&gt;'1-Input'!$B$26,0,IF(AB590&lt;=0,0,MAX(0,(AB590-AC590)/AB590)))</f>
        <v>0.62761786728941327</v>
      </c>
      <c r="X591" s="18">
        <f>IF($A591&gt;'1-Input'!$B$26,0,(MAX(0,W561-IF($A591&gt;='1-Input'!$C$12,'1-Input'!$B$13,0))-MIN(MAX(AA590,0),MAX(0,W561-IF($A591&gt;='1-Input'!$C$12,'1-Input'!$B$13,0))))*(1/(1-'P-Parametri'!$B$6*W591))+MIN(MAX(0,AB590-(MAX(0,W561-IF($A591&gt;='1-Input'!$C$12,'1-Input'!$B$13,0))-MIN(MAX(AA590,0),MAX(0,W561-IF($A591&gt;='1-Input'!$C$12,'1-Input'!$B$13,0))))*(1/(1-'P-Parametri'!$B$6*W591))),MAX(0,0*W561-(AA590-MIN(MAX(AA590,0),MAX(0,W561-IF($A591&gt;='1-Input'!$C$12,'1-Input'!$B$13,0)))))*(1/(1-'P-Parametri'!$B$6*W591))))</f>
        <v>7877.0640734205872</v>
      </c>
      <c r="Y591" s="18">
        <f>IF($A591&gt;'1-Input'!$B$26,AA590,(AA590-MAX(0,W561-IF($A591&gt;='1-Input'!$C$12,'1-Input'!$B$13,0))+X591*(1-'P-Parametri'!$B$6*W591))*(1+'1-Input'!$B$27))</f>
        <v>0</v>
      </c>
      <c r="Z591" s="18">
        <f>IF($A591&gt;'1-Input'!$B$26,AB590,(AB590-X591)*(1+'5-Roberta'!$C$4))</f>
        <v>112114.00493211245</v>
      </c>
      <c r="AA591" s="18">
        <f>IF($A591&gt;'1-Input'!$B$26,Y591,Y591-'P-Parametri'!$B$8*(Z591+Y591)+MIN(MAX(Z591,0),'P-Parametri'!$B$8*(Z591+Y591)))</f>
        <v>0</v>
      </c>
      <c r="AB591" s="18">
        <f>IF($A591&gt;'1-Input'!$B$26,Z591,Z591-MIN(MAX(Z591,0),'P-Parametri'!$B$8*(Z591+Y591)))</f>
        <v>111889.77692224823</v>
      </c>
      <c r="AC591" s="18">
        <f>IF($A591&gt;'1-Input'!$B$26,AC590,AC590-X591*(1-W591))</f>
        <v>40533.254624607056</v>
      </c>
      <c r="AD591" s="11">
        <f>IF($A591&gt;'1-Input'!$B$26,0,IF(AI590&lt;=0,0,MAX(0,(AI590-AJ590)/AI590)))</f>
        <v>0.62761786728941349</v>
      </c>
      <c r="AE591" s="18">
        <f>IF($A591&gt;'1-Input'!$B$26,0,(MAX(0,AD561-IF($A591&gt;='1-Input'!$C$12,'1-Input'!$B$13,0))-MIN(MAX(AH590,0),MAX(0,AD561-IF($A591&gt;='1-Input'!$C$12,'1-Input'!$B$13,0))))*(1/(1-'P-Parametri'!$B$6*AD591))+MIN(MAX(0,AI590-(MAX(0,AD561-IF($A591&gt;='1-Input'!$C$12,'1-Input'!$B$13,0))-MIN(MAX(AH590,0),MAX(0,AD561-IF($A591&gt;='1-Input'!$C$12,'1-Input'!$B$13,0))))*(1/(1-'P-Parametri'!$B$6*AD591))),MAX(0,0*AD561-(AH590-MIN(MAX(AH590,0),MAX(0,AD561-IF($A591&gt;='1-Input'!$C$12,'1-Input'!$B$13,0)))))*(1/(1-'P-Parametri'!$B$6*AD591))))</f>
        <v>7896.695104952867</v>
      </c>
      <c r="AF591" s="18">
        <f>IF($A591&gt;'1-Input'!$B$26,AH590,(AH590-MAX(0,AD561-IF($A591&gt;='1-Input'!$C$12,'1-Input'!$B$13,0))+AE591*(1-'P-Parametri'!$B$6*AD591))*(1+'1-Input'!$B$27))</f>
        <v>0</v>
      </c>
      <c r="AG591" s="18">
        <f>IF($A591&gt;'1-Input'!$B$26,AI590,(AI590-AE591)*(1+'5-Roberta'!$C$4))</f>
        <v>111322.38524142852</v>
      </c>
      <c r="AH591" s="18">
        <f>IF($A591&gt;'1-Input'!$B$26,AF591,AF591-'P-Parametri'!$B$8*(AG591+AF591)+MIN(MAX(AG591,0),'P-Parametri'!$B$8*(AG591+AF591)))</f>
        <v>0</v>
      </c>
      <c r="AI591" s="18">
        <f>IF($A591&gt;'1-Input'!$B$26,AG591,AG591-MIN(MAX(AG591,0),'P-Parametri'!$B$8*(AG591+AF591)))</f>
        <v>111099.74047094566</v>
      </c>
      <c r="AJ591" s="18">
        <f>IF($A591&gt;'1-Input'!$B$26,AJ590,AJ590-AE591*(1-AD591))</f>
        <v>40247.055567604541</v>
      </c>
      <c r="AK591" s="11">
        <f>IF($A591&gt;'1-Input'!$B$26,0,IF(AP590&lt;=0,0,MAX(0,(AP590-AQ590)/AP590)))</f>
        <v>0.62761786728941327</v>
      </c>
      <c r="AL591" s="18">
        <f>IF($A591&gt;'1-Input'!$B$26,0,(MAX(0,AK561-IF($A591&gt;='1-Input'!$C$12,'1-Input'!$B$13,0))-MIN(MAX(AO590,0),MAX(0,AK561-IF($A591&gt;='1-Input'!$C$12,'1-Input'!$B$13,0))))*(1/(1-'P-Parametri'!$B$6*AK591))+MIN(MAX(0,AP590-(MAX(0,AK561-IF($A591&gt;='1-Input'!$C$12,'1-Input'!$B$13,0))-MIN(MAX(AO590,0),MAX(0,AK561-IF($A591&gt;='1-Input'!$C$12,'1-Input'!$B$13,0))))*(1/(1-'P-Parametri'!$B$6*AK591))),MAX(0,0*AK561-(AO590-MIN(MAX(AO590,0),MAX(0,AK561-IF($A591&gt;='1-Input'!$C$12,'1-Input'!$B$13,0)))))*(1/(1-'P-Parametri'!$B$6*AK591))))</f>
        <v>7894.1779457330176</v>
      </c>
      <c r="AM591" s="18">
        <f>IF($A591&gt;'1-Input'!$B$26,AO590,(AO590-MAX(0,AK561-IF($A591&gt;='1-Input'!$C$12,'1-Input'!$B$13,0))+AL591*(1-'P-Parametri'!$B$6*AK591))*(1+'1-Input'!$B$27))</f>
        <v>0</v>
      </c>
      <c r="AN591" s="18">
        <f>IF($A591&gt;'1-Input'!$B$26,AP590,(AP590-AL591)*(1+'5-Roberta'!$C$4))</f>
        <v>111423.88947464908</v>
      </c>
      <c r="AO591" s="18">
        <f>IF($A591&gt;'1-Input'!$B$26,AM591,AM591-'P-Parametri'!$B$8*(AN591+AM591)+MIN(MAX(AN591,0),'P-Parametri'!$B$8*(AN591+AM591)))</f>
        <v>0</v>
      </c>
      <c r="AP591" s="18">
        <f>IF($A591&gt;'1-Input'!$B$26,AN591,AN591-MIN(MAX(AN591,0),'P-Parametri'!$B$8*(AN591+AM591)))</f>
        <v>111201.04169569978</v>
      </c>
      <c r="AQ591" s="18">
        <f>IF($A591&gt;'1-Input'!$B$26,AQ590,AQ590-AL591*(1-AK591))</f>
        <v>40283.753007260704</v>
      </c>
    </row>
    <row r="592" spans="1:43">
      <c r="A592" s="10">
        <f>29</f>
        <v>29</v>
      </c>
      <c r="B592" s="11">
        <f>IF($A592&gt;'1-Input'!$B$26,0,IF(G591&lt;=0,0,MAX(0,(G591-H591)/G591)))</f>
        <v>0.63773942768003322</v>
      </c>
      <c r="C592" s="18">
        <f>IF($A592&gt;'1-Input'!$B$26,0,(MAX(0,B561-IF($A592&gt;='1-Input'!$C$12,'1-Input'!$B$13,0))-MIN(MAX(F591,0),MAX(0,B561-IF($A592&gt;='1-Input'!$C$12,'1-Input'!$B$13,0))))*(1/(1-'P-Parametri'!$B$6*B592))+MIN(MAX(0,G591-(MAX(0,B561-IF($A592&gt;='1-Input'!$C$12,'1-Input'!$B$13,0))-MIN(MAX(F591,0),MAX(0,B561-IF($A592&gt;='1-Input'!$C$12,'1-Input'!$B$13,0))))*(1/(1-'P-Parametri'!$B$6*B592))),MAX(0,0*B561-(F591-MIN(MAX(F591,0),MAX(0,B561-IF($A592&gt;='1-Input'!$C$12,'1-Input'!$B$13,0)))))*(1/(1-'P-Parametri'!$B$6*B592))))</f>
        <v>4490.6621081408421</v>
      </c>
      <c r="D592" s="18">
        <f>IF($A592&gt;'1-Input'!$B$26,F591,(F591-MAX(0,B561-IF($A592&gt;='1-Input'!$C$12,'1-Input'!$B$13,0))+C592*(1-'P-Parametri'!$B$6*B592))*(1+'1-Input'!$B$27))</f>
        <v>4.5311026042327283E-13</v>
      </c>
      <c r="E592" s="18">
        <f>IF($A592&gt;'1-Input'!$B$26,G591,(G591-C592)*(1+'5-Roberta'!$C$4))</f>
        <v>251578.23076825836</v>
      </c>
      <c r="F592" s="18">
        <f>IF($A592&gt;'1-Input'!$B$26,D592,D592-'P-Parametri'!$B$8*(E592+D592)+MIN(MAX(E592,0),'P-Parametri'!$B$8*(E592+D592)))</f>
        <v>4.5474735088646412E-13</v>
      </c>
      <c r="G592" s="18">
        <f>IF($A592&gt;'1-Input'!$B$26,E592,E592-MIN(MAX(E592,0),'P-Parametri'!$B$8*(E592+D592)))</f>
        <v>251075.07430672186</v>
      </c>
      <c r="H592" s="18">
        <f>IF($A592&gt;'1-Input'!$B$26,H591,H591-C592*(1-B592))</f>
        <v>88482.401807139773</v>
      </c>
      <c r="I592" s="11">
        <f>IF($A592&gt;'1-Input'!$B$26,0,IF(N591&lt;=0,0,MAX(0,(N591-O591)/N591)))</f>
        <v>0</v>
      </c>
      <c r="J592" s="18">
        <f>IF($A592&gt;'1-Input'!$B$26,0,(MAX(0,I561-IF($A592&gt;='1-Input'!$C$12,'1-Input'!$B$13,0))-MIN(MAX(M591,0),MAX(0,I561-IF($A592&gt;='1-Input'!$C$12,'1-Input'!$B$13,0))))*(1/(1-'P-Parametri'!$B$6*I592))+MIN(MAX(0,N591-(MAX(0,I561-IF($A592&gt;='1-Input'!$C$12,'1-Input'!$B$13,0))-MIN(MAX(M591,0),MAX(0,I561-IF($A592&gt;='1-Input'!$C$12,'1-Input'!$B$13,0))))*(1/(1-'P-Parametri'!$B$6*I592))),MAX(0,0*I561-(M591-MIN(MAX(M591,0),MAX(0,I561-IF($A592&gt;='1-Input'!$C$12,'1-Input'!$B$13,0)))))*(1/(1-'P-Parametri'!$B$6*I592))))</f>
        <v>9013.756992928691</v>
      </c>
      <c r="K592" s="18">
        <f>IF($A592&gt;'1-Input'!$B$26,M591,(M591-MAX(0,I561-IF($A592&gt;='1-Input'!$C$12,'1-Input'!$B$13,0))+J592*(1-'P-Parametri'!$B$6*I592))*(1+'1-Input'!$B$27))</f>
        <v>-1.8124410416930913E-12</v>
      </c>
      <c r="L592" s="18">
        <f>IF($A592&gt;'1-Input'!$B$26,N591,(N591-J592)*(1+'5-Roberta'!$C$4))</f>
        <v>-14014.567420442465</v>
      </c>
      <c r="M592" s="18">
        <f>IF($A592&gt;'1-Input'!$B$26,K592,K592-'P-Parametri'!$B$8*(L592+K592)+MIN(MAX(L592,0),'P-Parametri'!$B$8*(L592+K592)))</f>
        <v>-1.8118839761882555E-12</v>
      </c>
      <c r="N592" s="18">
        <f>IF($A592&gt;'1-Input'!$B$26,L592,L592-MIN(MAX(L592,0),'P-Parametri'!$B$8*(L592+K592)))</f>
        <v>-13986.53828560158</v>
      </c>
      <c r="O592" s="18">
        <f>IF($A592&gt;'1-Input'!$B$26,O591,O591-J592*(1-I592))</f>
        <v>-10677.481832272819</v>
      </c>
      <c r="P592" s="11">
        <f>IF($A592&gt;'1-Input'!$B$26,0,IF(U591&lt;=0,0,MAX(0,(U591-V591)/U591)))</f>
        <v>0.63773942768003333</v>
      </c>
      <c r="Q592" s="18">
        <f>IF($A592&gt;'1-Input'!$B$26,0,(MAX(0,P561-IF($A592&gt;='1-Input'!$C$12,'1-Input'!$B$13,0))-MIN(MAX(T591,0),MAX(0,P561-IF($A592&gt;='1-Input'!$C$12,'1-Input'!$B$13,0))))*(1/(1-'P-Parametri'!$B$6*P592))+MIN(MAX(0,U591-(MAX(0,P561-IF($A592&gt;='1-Input'!$C$12,'1-Input'!$B$13,0))-MIN(MAX(T591,0),MAX(0,P561-IF($A592&gt;='1-Input'!$C$12,'1-Input'!$B$13,0))))*(1/(1-'P-Parametri'!$B$6*P592))),MAX(0,0*P561-(T591-MIN(MAX(T591,0),MAX(0,P561-IF($A592&gt;='1-Input'!$C$12,'1-Input'!$B$13,0)))))*(1/(1-'P-Parametri'!$B$6*P592))))</f>
        <v>8221.1261293774987</v>
      </c>
      <c r="R592" s="18">
        <f>IF($A592&gt;'1-Input'!$B$26,T591,(T591-MAX(0,P561-IF($A592&gt;='1-Input'!$C$12,'1-Input'!$B$13,0))+Q592*(1-'P-Parametri'!$B$6*P592))*(1+'1-Input'!$B$27))</f>
        <v>9.0622052084654565E-13</v>
      </c>
      <c r="S592" s="18">
        <f>IF($A592&gt;'1-Input'!$B$26,U591,(U591-Q592)*(1+'5-Roberta'!$C$4))</f>
        <v>93588.461149138631</v>
      </c>
      <c r="T592" s="18">
        <f>IF($A592&gt;'1-Input'!$B$26,R592,R592-'P-Parametri'!$B$8*(S592+R592)+MIN(MAX(S592,0),'P-Parametri'!$B$8*(S592+R592)))</f>
        <v>9.0949470177292824E-13</v>
      </c>
      <c r="U592" s="18">
        <f>IF($A592&gt;'1-Input'!$B$26,S592,S592-MIN(MAX(S592,0),'P-Parametri'!$B$8*(S592+R592)))</f>
        <v>93401.284226840347</v>
      </c>
      <c r="V592" s="18">
        <f>IF($A592&gt;'1-Input'!$B$26,V591,V591-Q592*(1-P592))</f>
        <v>32915.931551875663</v>
      </c>
      <c r="W592" s="11">
        <f>IF($A592&gt;'1-Input'!$B$26,0,IF(AB591&lt;=0,0,MAX(0,(AB591-AC591)/AB591)))</f>
        <v>0.63773942768003322</v>
      </c>
      <c r="X592" s="18">
        <f>IF($A592&gt;'1-Input'!$B$26,0,(MAX(0,W561-IF($A592&gt;='1-Input'!$C$12,'1-Input'!$B$13,0))-MIN(MAX(AA591,0),MAX(0,W561-IF($A592&gt;='1-Input'!$C$12,'1-Input'!$B$13,0))))*(1/(1-'P-Parametri'!$B$6*W592))+MIN(MAX(0,AB591-(MAX(0,W561-IF($A592&gt;='1-Input'!$C$12,'1-Input'!$B$13,0))-MIN(MAX(AA591,0),MAX(0,W561-IF($A592&gt;='1-Input'!$C$12,'1-Input'!$B$13,0))))*(1/(1-'P-Parametri'!$B$6*W592))),MAX(0,0*W561-(AA591-MIN(MAX(AA591,0),MAX(0,W561-IF($A592&gt;='1-Input'!$C$12,'1-Input'!$B$13,0)))))*(1/(1-'P-Parametri'!$B$6*W592))))</f>
        <v>7901.9137871174335</v>
      </c>
      <c r="Y592" s="18">
        <f>IF($A592&gt;'1-Input'!$B$26,AA591,(AA591-MAX(0,W561-IF($A592&gt;='1-Input'!$C$12,'1-Input'!$B$13,0))+X592*(1-'P-Parametri'!$B$6*W592))*(1+'1-Input'!$B$27))</f>
        <v>0</v>
      </c>
      <c r="Z592" s="18">
        <f>IF($A592&gt;'1-Input'!$B$26,AB591,(AB591-X592)*(1+'5-Roberta'!$C$4))</f>
        <v>107107.49902918472</v>
      </c>
      <c r="AA592" s="18">
        <f>IF($A592&gt;'1-Input'!$B$26,Y592,Y592-'P-Parametri'!$B$8*(Z592+Y592)+MIN(MAX(Z592,0),'P-Parametri'!$B$8*(Z592+Y592)))</f>
        <v>0</v>
      </c>
      <c r="AB592" s="18">
        <f>IF($A592&gt;'1-Input'!$B$26,Z592,Z592-MIN(MAX(Z592,0),'P-Parametri'!$B$8*(Z592+Y592)))</f>
        <v>106893.28403112636</v>
      </c>
      <c r="AC592" s="18">
        <f>IF($A592&gt;'1-Input'!$B$26,AC591,AC591-X592*(1-W592))</f>
        <v>37670.702813662858</v>
      </c>
      <c r="AD592" s="11">
        <f>IF($A592&gt;'1-Input'!$B$26,0,IF(AI591&lt;=0,0,MAX(0,(AI591-AJ591)/AI591)))</f>
        <v>0.63773942768003322</v>
      </c>
      <c r="AE592" s="18">
        <f>IF($A592&gt;'1-Input'!$B$26,0,(MAX(0,AD561-IF($A592&gt;='1-Input'!$C$12,'1-Input'!$B$13,0))-MIN(MAX(AH591,0),MAX(0,AD561-IF($A592&gt;='1-Input'!$C$12,'1-Input'!$B$13,0))))*(1/(1-'P-Parametri'!$B$6*AD592))+MIN(MAX(0,AI591-(MAX(0,AD561-IF($A592&gt;='1-Input'!$C$12,'1-Input'!$B$13,0))-MIN(MAX(AH591,0),MAX(0,AD561-IF($A592&gt;='1-Input'!$C$12,'1-Input'!$B$13,0))))*(1/(1-'P-Parametri'!$B$6*AD592))),MAX(0,0*AD561-(AH591-MIN(MAX(AH591,0),MAX(0,AD561-IF($A592&gt;='1-Input'!$C$12,'1-Input'!$B$13,0)))))*(1/(1-'P-Parametri'!$B$6*AD592))))</f>
        <v>7921.6067485145213</v>
      </c>
      <c r="AF592" s="18">
        <f>IF($A592&gt;'1-Input'!$B$26,AH591,(AH591-MAX(0,AD561-IF($A592&gt;='1-Input'!$C$12,'1-Input'!$B$13,0))+AE592*(1-'P-Parametri'!$B$6*AD592))*(1+'1-Input'!$B$27))</f>
        <v>0</v>
      </c>
      <c r="AG592" s="18">
        <f>IF($A592&gt;'1-Input'!$B$26,AI591,(AI591-AE592)*(1+'5-Roberta'!$C$4))</f>
        <v>106273.47773410408</v>
      </c>
      <c r="AH592" s="18">
        <f>IF($A592&gt;'1-Input'!$B$26,AF592,AF592-'P-Parametri'!$B$8*(AG592+AF592)+MIN(MAX(AG592,0),'P-Parametri'!$B$8*(AG592+AF592)))</f>
        <v>0</v>
      </c>
      <c r="AI592" s="18">
        <f>IF($A592&gt;'1-Input'!$B$26,AG592,AG592-MIN(MAX(AG592,0),'P-Parametri'!$B$8*(AG592+AF592)))</f>
        <v>106060.93077863587</v>
      </c>
      <c r="AJ592" s="18">
        <f>IF($A592&gt;'1-Input'!$B$26,AJ591,AJ591-AE592*(1-AD592))</f>
        <v>37377.369773193961</v>
      </c>
      <c r="AK592" s="11">
        <f>IF($A592&gt;'1-Input'!$B$26,0,IF(AP591&lt;=0,0,MAX(0,(AP591-AQ591)/AP591)))</f>
        <v>0.63773942768003311</v>
      </c>
      <c r="AL592" s="18">
        <f>IF($A592&gt;'1-Input'!$B$26,0,(MAX(0,AK561-IF($A592&gt;='1-Input'!$C$12,'1-Input'!$B$13,0))-MIN(MAX(AO591,0),MAX(0,AK561-IF($A592&gt;='1-Input'!$C$12,'1-Input'!$B$13,0))))*(1/(1-'P-Parametri'!$B$6*AK592))+MIN(MAX(0,AP591-(MAX(0,AK561-IF($A592&gt;='1-Input'!$C$12,'1-Input'!$B$13,0))-MIN(MAX(AO591,0),MAX(0,AK561-IF($A592&gt;='1-Input'!$C$12,'1-Input'!$B$13,0))))*(1/(1-'P-Parametri'!$B$6*AK592))),MAX(0,0*AK561-(AO591-MIN(MAX(AO591,0),MAX(0,AK561-IF($A592&gt;='1-Input'!$C$12,'1-Input'!$B$13,0)))))*(1/(1-'P-Parametri'!$B$6*AK592))))</f>
        <v>7919.081648431762</v>
      </c>
      <c r="AM592" s="18">
        <f>IF($A592&gt;'1-Input'!$B$26,AO591,(AO591-MAX(0,AK561-IF($A592&gt;='1-Input'!$C$12,'1-Input'!$B$13,0))+AL592*(1-'P-Parametri'!$B$6*AK592))*(1+'1-Input'!$B$27))</f>
        <v>0</v>
      </c>
      <c r="AN592" s="18">
        <f>IF($A592&gt;'1-Input'!$B$26,AP591,(AP591-AL592)*(1+'5-Roberta'!$C$4))</f>
        <v>106380.41884868607</v>
      </c>
      <c r="AO592" s="18">
        <f>IF($A592&gt;'1-Input'!$B$26,AM592,AM592-'P-Parametri'!$B$8*(AN592+AM592)+MIN(MAX(AN592,0),'P-Parametri'!$B$8*(AN592+AM592)))</f>
        <v>0</v>
      </c>
      <c r="AP592" s="18">
        <f>IF($A592&gt;'1-Input'!$B$26,AN592,AN592-MIN(MAX(AN592,0),'P-Parametri'!$B$8*(AN592+AM592)))</f>
        <v>106167.6580109887</v>
      </c>
      <c r="AQ592" s="18">
        <f>IF($A592&gt;'1-Input'!$B$26,AQ591,AQ591-AL592*(1-AK592))</f>
        <v>37414.98195705127</v>
      </c>
    </row>
    <row r="593" spans="1:43">
      <c r="A593" s="10">
        <f>30</f>
        <v>30</v>
      </c>
      <c r="B593" s="11">
        <f>IF($A593&gt;'1-Input'!$B$26,0,IF(G592&lt;=0,0,MAX(0,(G592-H592)/G592)))</f>
        <v>0.64758587824195302</v>
      </c>
      <c r="C593" s="18">
        <f>IF($A593&gt;'1-Input'!$B$26,0,(MAX(0,B561-IF($A593&gt;='1-Input'!$C$12,'1-Input'!$B$13,0))-MIN(MAX(F592,0),MAX(0,B561-IF($A593&gt;='1-Input'!$C$12,'1-Input'!$B$13,0))))*(1/(1-'P-Parametri'!$B$6*B593))+MIN(MAX(0,G592-(MAX(0,B561-IF($A593&gt;='1-Input'!$C$12,'1-Input'!$B$13,0))-MIN(MAX(F592,0),MAX(0,B561-IF($A593&gt;='1-Input'!$C$12,'1-Input'!$B$13,0))))*(1/(1-'P-Parametri'!$B$6*B593))),MAX(0,0*B561-(F592-MIN(MAX(F592,0),MAX(0,B561-IF($A593&gt;='1-Input'!$C$12,'1-Input'!$B$13,0)))))*(1/(1-'P-Parametri'!$B$6*B593))))</f>
        <v>4504.4861327923991</v>
      </c>
      <c r="D593" s="18">
        <f>IF($A593&gt;'1-Input'!$B$26,F592,(F592-MAX(0,B561-IF($A593&gt;='1-Input'!$C$12,'1-Input'!$B$13,0))+C593*(1-'P-Parametri'!$B$6*B593))*(1+'1-Input'!$B$27))</f>
        <v>0</v>
      </c>
      <c r="E593" s="18">
        <f>IF($A593&gt;'1-Input'!$B$26,G592,(G592-C593)*(1+'5-Roberta'!$C$4))</f>
        <v>253967.70581914735</v>
      </c>
      <c r="F593" s="18">
        <f>IF($A593&gt;'1-Input'!$B$26,D593,D593-'P-Parametri'!$B$8*(E593+D593)+MIN(MAX(E593,0),'P-Parametri'!$B$8*(E593+D593)))</f>
        <v>0</v>
      </c>
      <c r="G593" s="18">
        <f>IF($A593&gt;'1-Input'!$B$26,E593,E593-MIN(MAX(E593,0),'P-Parametri'!$B$8*(E593+D593)))</f>
        <v>253459.77040750906</v>
      </c>
      <c r="H593" s="18">
        <f>IF($A593&gt;'1-Input'!$B$26,H592,H592-C593*(1-B593))</f>
        <v>86894.957282680436</v>
      </c>
      <c r="I593" s="11">
        <f>IF($A593&gt;'1-Input'!$B$26,0,IF(N592&lt;=0,0,MAX(0,(N592-O592)/N592)))</f>
        <v>0</v>
      </c>
      <c r="J593" s="18">
        <f>IF($A593&gt;'1-Input'!$B$26,0,(MAX(0,I561-IF($A593&gt;='1-Input'!$C$12,'1-Input'!$B$13,0))-MIN(MAX(M592,0),MAX(0,I561-IF($A593&gt;='1-Input'!$C$12,'1-Input'!$B$13,0))))*(1/(1-'P-Parametri'!$B$6*I593))+MIN(MAX(0,N592-(MAX(0,I561-IF($A593&gt;='1-Input'!$C$12,'1-Input'!$B$13,0))-MIN(MAX(M592,0),MAX(0,I561-IF($A593&gt;='1-Input'!$C$12,'1-Input'!$B$13,0))))*(1/(1-'P-Parametri'!$B$6*I593))),MAX(0,0*I561-(M592-MIN(MAX(M592,0),MAX(0,I561-IF($A593&gt;='1-Input'!$C$12,'1-Input'!$B$13,0)))))*(1/(1-'P-Parametri'!$B$6*I593))))</f>
        <v>9013.756992928691</v>
      </c>
      <c r="K593" s="18">
        <f>IF($A593&gt;'1-Input'!$B$26,M592,(M592-MAX(0,I561-IF($A593&gt;='1-Input'!$C$12,'1-Input'!$B$13,0))+J593*(1-'P-Parametri'!$B$6*I593))*(1+'1-Input'!$B$27))</f>
        <v>-1.8124410416930913E-12</v>
      </c>
      <c r="L593" s="18">
        <f>IF($A593&gt;'1-Input'!$B$26,N592,(N592-J593)*(1+'5-Roberta'!$C$4))</f>
        <v>-23690.304136886178</v>
      </c>
      <c r="M593" s="18">
        <f>IF($A593&gt;'1-Input'!$B$26,K593,K593-'P-Parametri'!$B$8*(L593+K593)+MIN(MAX(L593,0),'P-Parametri'!$B$8*(L593+K593)))</f>
        <v>-1.8118839761882555E-12</v>
      </c>
      <c r="N593" s="18">
        <f>IF($A593&gt;'1-Input'!$B$26,L593,L593-MIN(MAX(L593,0),'P-Parametri'!$B$8*(L593+K593)))</f>
        <v>-23642.923528612406</v>
      </c>
      <c r="O593" s="18">
        <f>IF($A593&gt;'1-Input'!$B$26,O592,O592-J593*(1-I593))</f>
        <v>-19691.238825201508</v>
      </c>
      <c r="P593" s="11">
        <f>IF($A593&gt;'1-Input'!$B$26,0,IF(U592&lt;=0,0,MAX(0,(U592-V592)/U592)))</f>
        <v>0.64758587824195302</v>
      </c>
      <c r="Q593" s="18">
        <f>IF($A593&gt;'1-Input'!$B$26,0,(MAX(0,P561-IF($A593&gt;='1-Input'!$C$12,'1-Input'!$B$13,0))-MIN(MAX(T592,0),MAX(0,P561-IF($A593&gt;='1-Input'!$C$12,'1-Input'!$B$13,0))))*(1/(1-'P-Parametri'!$B$6*P593))+MIN(MAX(0,U592-(MAX(0,P561-IF($A593&gt;='1-Input'!$C$12,'1-Input'!$B$13,0))-MIN(MAX(T592,0),MAX(0,P561-IF($A593&gt;='1-Input'!$C$12,'1-Input'!$B$13,0))))*(1/(1-'P-Parametri'!$B$6*P593))),MAX(0,0*P561-(T592-MIN(MAX(T592,0),MAX(0,P561-IF($A593&gt;='1-Input'!$C$12,'1-Input'!$B$13,0)))))*(1/(1-'P-Parametri'!$B$6*P593))))</f>
        <v>8246.4339898976741</v>
      </c>
      <c r="R593" s="18">
        <f>IF($A593&gt;'1-Input'!$B$26,T592,(T592-MAX(0,P561-IF($A593&gt;='1-Input'!$C$12,'1-Input'!$B$13,0))+Q593*(1-'P-Parametri'!$B$6*P593))*(1+'1-Input'!$B$27))</f>
        <v>-9.0622052084654565E-13</v>
      </c>
      <c r="S593" s="18">
        <f>IF($A593&gt;'1-Input'!$B$26,U592,(U592-Q593)*(1+'5-Roberta'!$C$4))</f>
        <v>87709.495744050961</v>
      </c>
      <c r="T593" s="18">
        <f>IF($A593&gt;'1-Input'!$B$26,R593,R593-'P-Parametri'!$B$8*(S593+R593)+MIN(MAX(S593,0),'P-Parametri'!$B$8*(S593+R593)))</f>
        <v>-9.0949470177292824E-13</v>
      </c>
      <c r="U593" s="18">
        <f>IF($A593&gt;'1-Input'!$B$26,S593,S593-MIN(MAX(S593,0),'P-Parametri'!$B$8*(S593+R593)))</f>
        <v>87534.076752562862</v>
      </c>
      <c r="V593" s="18">
        <f>IF($A593&gt;'1-Input'!$B$26,V592,V592-Q593*(1-P593))</f>
        <v>30009.771759690168</v>
      </c>
      <c r="W593" s="11">
        <f>IF($A593&gt;'1-Input'!$B$26,0,IF(AB592&lt;=0,0,MAX(0,(AB592-AC592)/AB592)))</f>
        <v>0.64758587824195313</v>
      </c>
      <c r="X593" s="18">
        <f>IF($A593&gt;'1-Input'!$B$26,0,(MAX(0,W561-IF($A593&gt;='1-Input'!$C$12,'1-Input'!$B$13,0))-MIN(MAX(AA592,0),MAX(0,W561-IF($A593&gt;='1-Input'!$C$12,'1-Input'!$B$13,0))))*(1/(1-'P-Parametri'!$B$6*W593))+MIN(MAX(0,AB592-(MAX(0,W561-IF($A593&gt;='1-Input'!$C$12,'1-Input'!$B$13,0))-MIN(MAX(AA592,0),MAX(0,W561-IF($A593&gt;='1-Input'!$C$12,'1-Input'!$B$13,0))))*(1/(1-'P-Parametri'!$B$6*W593))),MAX(0,0*W561-(AA592-MIN(MAX(AA592,0),MAX(0,W561-IF($A593&gt;='1-Input'!$C$12,'1-Input'!$B$13,0)))))*(1/(1-'P-Parametri'!$B$6*W593))))</f>
        <v>7926.2389864660026</v>
      </c>
      <c r="Y593" s="18">
        <f>IF($A593&gt;'1-Input'!$B$26,AA592,(AA592-MAX(0,W561-IF($A593&gt;='1-Input'!$C$12,'1-Input'!$B$13,0))+X593*(1-'P-Parametri'!$B$6*W593))*(1+'1-Input'!$B$27))</f>
        <v>0</v>
      </c>
      <c r="Z593" s="18">
        <f>IF($A593&gt;'1-Input'!$B$26,AB592,(AB592-X593)*(1+'5-Roberta'!$C$4))</f>
        <v>101936.05639600016</v>
      </c>
      <c r="AA593" s="18">
        <f>IF($A593&gt;'1-Input'!$B$26,Y593,Y593-'P-Parametri'!$B$8*(Z593+Y593)+MIN(MAX(Z593,0),'P-Parametri'!$B$8*(Z593+Y593)))</f>
        <v>0</v>
      </c>
      <c r="AB593" s="18">
        <f>IF($A593&gt;'1-Input'!$B$26,Z593,Z593-MIN(MAX(Z593,0),'P-Parametri'!$B$8*(Z593+Y593)))</f>
        <v>101732.18428320816</v>
      </c>
      <c r="AC593" s="18">
        <f>IF($A593&gt;'1-Input'!$B$26,AC592,AC592-X593*(1-W593))</f>
        <v>34877.384262403051</v>
      </c>
      <c r="AD593" s="11">
        <f>IF($A593&gt;'1-Input'!$B$26,0,IF(AI592&lt;=0,0,MAX(0,(AI592-AJ592)/AI592)))</f>
        <v>0.64758587824195313</v>
      </c>
      <c r="AE593" s="18">
        <f>IF($A593&gt;'1-Input'!$B$26,0,(MAX(0,AD561-IF($A593&gt;='1-Input'!$C$12,'1-Input'!$B$13,0))-MIN(MAX(AH592,0),MAX(0,AD561-IF($A593&gt;='1-Input'!$C$12,'1-Input'!$B$13,0))))*(1/(1-'P-Parametri'!$B$6*AD593))+MIN(MAX(0,AI592-(MAX(0,AD561-IF($A593&gt;='1-Input'!$C$12,'1-Input'!$B$13,0))-MIN(MAX(AH592,0),MAX(0,AD561-IF($A593&gt;='1-Input'!$C$12,'1-Input'!$B$13,0))))*(1/(1-'P-Parametri'!$B$6*AD593))),MAX(0,0*AD561-(AH592-MIN(MAX(AH592,0),MAX(0,AD561-IF($A593&gt;='1-Input'!$C$12,'1-Input'!$B$13,0)))))*(1/(1-'P-Parametri'!$B$6*AD593))))</f>
        <v>7945.9925705457272</v>
      </c>
      <c r="AF593" s="18">
        <f>IF($A593&gt;'1-Input'!$B$26,AH592,(AH592-MAX(0,AD561-IF($A593&gt;='1-Input'!$C$12,'1-Input'!$B$13,0))+AE593*(1-'P-Parametri'!$B$6*AD593))*(1+'1-Input'!$B$27))</f>
        <v>-9.0622052084654565E-13</v>
      </c>
      <c r="AG593" s="18">
        <f>IF($A593&gt;'1-Input'!$B$26,AI592,(AI592-AE593)*(1+'5-Roberta'!$C$4))</f>
        <v>101058.38635433285</v>
      </c>
      <c r="AH593" s="18">
        <f>IF($A593&gt;'1-Input'!$B$26,AF593,AF593-'P-Parametri'!$B$8*(AG593+AF593)+MIN(MAX(AG593,0),'P-Parametri'!$B$8*(AG593+AF593)))</f>
        <v>-9.0949470177292824E-13</v>
      </c>
      <c r="AI593" s="18">
        <f>IF($A593&gt;'1-Input'!$B$26,AG593,AG593-MIN(MAX(AG593,0),'P-Parametri'!$B$8*(AG593+AF593)))</f>
        <v>100856.26958162418</v>
      </c>
      <c r="AJ593" s="18">
        <f>IF($A593&gt;'1-Input'!$B$26,AJ592,AJ592-AE593*(1-AD593))</f>
        <v>34577.089779949121</v>
      </c>
      <c r="AK593" s="11">
        <f>IF($A593&gt;'1-Input'!$B$26,0,IF(AP592&lt;=0,0,MAX(0,(AP592-AQ592)/AP592)))</f>
        <v>0.64758587824195302</v>
      </c>
      <c r="AL593" s="18">
        <f>IF($A593&gt;'1-Input'!$B$26,0,(MAX(0,AK561-IF($A593&gt;='1-Input'!$C$12,'1-Input'!$B$13,0))-MIN(MAX(AO592,0),MAX(0,AK561-IF($A593&gt;='1-Input'!$C$12,'1-Input'!$B$13,0))))*(1/(1-'P-Parametri'!$B$6*AK593))+MIN(MAX(0,AP592-(MAX(0,AK561-IF($A593&gt;='1-Input'!$C$12,'1-Input'!$B$13,0))-MIN(MAX(AO592,0),MAX(0,AK561-IF($A593&gt;='1-Input'!$C$12,'1-Input'!$B$13,0))))*(1/(1-'P-Parametri'!$B$6*AK593))),MAX(0,0*AK561-(AO592-MIN(MAX(AO592,0),MAX(0,AK561-IF($A593&gt;='1-Input'!$C$12,'1-Input'!$B$13,0)))))*(1/(1-'P-Parametri'!$B$6*AK593))))</f>
        <v>7943.4596972115078</v>
      </c>
      <c r="AM593" s="18">
        <f>IF($A593&gt;'1-Input'!$B$26,AO592,(AO592-MAX(0,AK561-IF($A593&gt;='1-Input'!$C$12,'1-Input'!$B$13,0))+AL593*(1-'P-Parametri'!$B$6*AK593))*(1+'1-Input'!$B$27))</f>
        <v>0</v>
      </c>
      <c r="AN593" s="18">
        <f>IF($A593&gt;'1-Input'!$B$26,AP592,(AP592-AL593)*(1+'5-Roberta'!$C$4))</f>
        <v>101170.92426319051</v>
      </c>
      <c r="AO593" s="18">
        <f>IF($A593&gt;'1-Input'!$B$26,AM593,AM593-'P-Parametri'!$B$8*(AN593+AM593)+MIN(MAX(AN593,0),'P-Parametri'!$B$8*(AN593+AM593)))</f>
        <v>0</v>
      </c>
      <c r="AP593" s="18">
        <f>IF($A593&gt;'1-Input'!$B$26,AN593,AN593-MIN(MAX(AN593,0),'P-Parametri'!$B$8*(AN593+AM593)))</f>
        <v>100968.58241466412</v>
      </c>
      <c r="AQ593" s="18">
        <f>IF($A593&gt;'1-Input'!$B$26,AQ592,AQ592-AL593*(1-AK593))</f>
        <v>34615.594584138038</v>
      </c>
    </row>
    <row r="594" spans="1:43">
      <c r="A594" s="10">
        <f>31</f>
        <v>31</v>
      </c>
      <c r="B594" s="11">
        <f>IF($A594&gt;'1-Input'!$B$26,0,IF(G593&lt;=0,0,MAX(0,(G593-H593)/G593)))</f>
        <v>0.65716469661843402</v>
      </c>
      <c r="C594" s="18">
        <f>IF($A594&gt;'1-Input'!$B$26,0,(MAX(0,B561-IF($A594&gt;='1-Input'!$C$12,'1-Input'!$B$13,0))-MIN(MAX(F593,0),MAX(0,B561-IF($A594&gt;='1-Input'!$C$12,'1-Input'!$B$13,0))))*(1/(1-'P-Parametri'!$B$6*B594))+MIN(MAX(0,G593-(MAX(0,B561-IF($A594&gt;='1-Input'!$C$12,'1-Input'!$B$13,0))-MIN(MAX(F593,0),MAX(0,B561-IF($A594&gt;='1-Input'!$C$12,'1-Input'!$B$13,0))))*(1/(1-'P-Parametri'!$B$6*B594))),MAX(0,0*B561-(F593-MIN(MAX(F593,0),MAX(0,B561-IF($A594&gt;='1-Input'!$C$12,'1-Input'!$B$13,0)))))*(1/(1-'P-Parametri'!$B$6*B594))))</f>
        <v>4518.01633077118</v>
      </c>
      <c r="D594" s="18">
        <f>IF($A594&gt;'1-Input'!$B$26,F593,(F593-MAX(0,B561-IF($A594&gt;='1-Input'!$C$12,'1-Input'!$B$13,0))+C594*(1-'P-Parametri'!$B$6*B594))*(1+'1-Input'!$B$27))</f>
        <v>4.5311026042327283E-13</v>
      </c>
      <c r="E594" s="18">
        <f>IF($A594&gt;'1-Input'!$B$26,G593,(G593-C594)*(1+'5-Roberta'!$C$4))</f>
        <v>256410.00669904004</v>
      </c>
      <c r="F594" s="18">
        <f>IF($A594&gt;'1-Input'!$B$26,D594,D594-'P-Parametri'!$B$8*(E594+D594)+MIN(MAX(E594,0),'P-Parametri'!$B$8*(E594+D594)))</f>
        <v>4.5474735088646412E-13</v>
      </c>
      <c r="G594" s="18">
        <f>IF($A594&gt;'1-Input'!$B$26,E594,E594-MIN(MAX(E594,0),'P-Parametri'!$B$8*(E594+D594)))</f>
        <v>255897.18668564197</v>
      </c>
      <c r="H594" s="18">
        <f>IF($A594&gt;'1-Input'!$B$26,H593,H593-C594*(1-B594))</f>
        <v>85346.021783237622</v>
      </c>
      <c r="I594" s="11">
        <f>IF($A594&gt;'1-Input'!$B$26,0,IF(N593&lt;=0,0,MAX(0,(N593-O593)/N593)))</f>
        <v>0</v>
      </c>
      <c r="J594" s="18">
        <f>IF($A594&gt;'1-Input'!$B$26,0,(MAX(0,I561-IF($A594&gt;='1-Input'!$C$12,'1-Input'!$B$13,0))-MIN(MAX(M593,0),MAX(0,I561-IF($A594&gt;='1-Input'!$C$12,'1-Input'!$B$13,0))))*(1/(1-'P-Parametri'!$B$6*I594))+MIN(MAX(0,N593-(MAX(0,I561-IF($A594&gt;='1-Input'!$C$12,'1-Input'!$B$13,0))-MIN(MAX(M593,0),MAX(0,I561-IF($A594&gt;='1-Input'!$C$12,'1-Input'!$B$13,0))))*(1/(1-'P-Parametri'!$B$6*I594))),MAX(0,0*I561-(M593-MIN(MAX(M593,0),MAX(0,I561-IF($A594&gt;='1-Input'!$C$12,'1-Input'!$B$13,0)))))*(1/(1-'P-Parametri'!$B$6*I594))))</f>
        <v>9013.756992928691</v>
      </c>
      <c r="K594" s="18">
        <f>IF($A594&gt;'1-Input'!$B$26,M593,(M593-MAX(0,I561-IF($A594&gt;='1-Input'!$C$12,'1-Input'!$B$13,0))+J594*(1-'P-Parametri'!$B$6*I594))*(1+'1-Input'!$B$27))</f>
        <v>-1.8124410416930913E-12</v>
      </c>
      <c r="L594" s="18">
        <f>IF($A594&gt;'1-Input'!$B$26,N593,(N593-J594)*(1+'5-Roberta'!$C$4))</f>
        <v>-33636.380937187329</v>
      </c>
      <c r="M594" s="18">
        <f>IF($A594&gt;'1-Input'!$B$26,K594,K594-'P-Parametri'!$B$8*(L594+K594)+MIN(MAX(L594,0),'P-Parametri'!$B$8*(L594+K594)))</f>
        <v>-1.8189894035458565E-12</v>
      </c>
      <c r="N594" s="18">
        <f>IF($A594&gt;'1-Input'!$B$26,L594,L594-MIN(MAX(L594,0),'P-Parametri'!$B$8*(L594+K594)))</f>
        <v>-33569.108175312955</v>
      </c>
      <c r="O594" s="18">
        <f>IF($A594&gt;'1-Input'!$B$26,O593,O593-J594*(1-I594))</f>
        <v>-28704.995818130199</v>
      </c>
      <c r="P594" s="11">
        <f>IF($A594&gt;'1-Input'!$B$26,0,IF(U593&lt;=0,0,MAX(0,(U593-V593)/U593)))</f>
        <v>0.65716469661843413</v>
      </c>
      <c r="Q594" s="18">
        <f>IF($A594&gt;'1-Input'!$B$26,0,(MAX(0,P561-IF($A594&gt;='1-Input'!$C$12,'1-Input'!$B$13,0))-MIN(MAX(T593,0),MAX(0,P561-IF($A594&gt;='1-Input'!$C$12,'1-Input'!$B$13,0))))*(1/(1-'P-Parametri'!$B$6*P594))+MIN(MAX(0,U593-(MAX(0,P561-IF($A594&gt;='1-Input'!$C$12,'1-Input'!$B$13,0))-MIN(MAX(T593,0),MAX(0,P561-IF($A594&gt;='1-Input'!$C$12,'1-Input'!$B$13,0))))*(1/(1-'P-Parametri'!$B$6*P594))),MAX(0,0*P561-(T593-MIN(MAX(T593,0),MAX(0,P561-IF($A594&gt;='1-Input'!$C$12,'1-Input'!$B$13,0)))))*(1/(1-'P-Parametri'!$B$6*P594))))</f>
        <v>8271.2039372819072</v>
      </c>
      <c r="R594" s="18">
        <f>IF($A594&gt;'1-Input'!$B$26,T593,(T593-MAX(0,P561-IF($A594&gt;='1-Input'!$C$12,'1-Input'!$B$13,0))+Q594*(1-'P-Parametri'!$B$6*P594))*(1+'1-Input'!$B$27))</f>
        <v>9.0622052084654565E-13</v>
      </c>
      <c r="S594" s="18">
        <f>IF($A594&gt;'1-Input'!$B$26,U593,(U593-Q594)*(1+'5-Roberta'!$C$4))</f>
        <v>81640.758999739381</v>
      </c>
      <c r="T594" s="18">
        <f>IF($A594&gt;'1-Input'!$B$26,R594,R594-'P-Parametri'!$B$8*(S594+R594)+MIN(MAX(S594,0),'P-Parametri'!$B$8*(S594+R594)))</f>
        <v>9.0949470177292824E-13</v>
      </c>
      <c r="U594" s="18">
        <f>IF($A594&gt;'1-Input'!$B$26,S594,S594-MIN(MAX(S594,0),'P-Parametri'!$B$8*(S594+R594)))</f>
        <v>81477.477481739901</v>
      </c>
      <c r="V594" s="18">
        <f>IF($A594&gt;'1-Input'!$B$26,V593,V593-Q594*(1-P594))</f>
        <v>27174.111048521321</v>
      </c>
      <c r="W594" s="11">
        <f>IF($A594&gt;'1-Input'!$B$26,0,IF(AB593&lt;=0,0,MAX(0,(AB593-AC593)/AB593)))</f>
        <v>0.65716469661843402</v>
      </c>
      <c r="X594" s="18">
        <f>IF($A594&gt;'1-Input'!$B$26,0,(MAX(0,W561-IF($A594&gt;='1-Input'!$C$12,'1-Input'!$B$13,0))-MIN(MAX(AA593,0),MAX(0,W561-IF($A594&gt;='1-Input'!$C$12,'1-Input'!$B$13,0))))*(1/(1-'P-Parametri'!$B$6*W594))+MIN(MAX(0,AB593-(MAX(0,W561-IF($A594&gt;='1-Input'!$C$12,'1-Input'!$B$13,0))-MIN(MAX(AA593,0),MAX(0,W561-IF($A594&gt;='1-Input'!$C$12,'1-Input'!$B$13,0))))*(1/(1-'P-Parametri'!$B$6*W594))),MAX(0,0*W561-(AA593-MIN(MAX(AA593,0),MAX(0,W561-IF($A594&gt;='1-Input'!$C$12,'1-Input'!$B$13,0)))))*(1/(1-'P-Parametri'!$B$6*W594))))</f>
        <v>7950.0471589306226</v>
      </c>
      <c r="Y594" s="18">
        <f>IF($A594&gt;'1-Input'!$B$26,AA593,(AA593-MAX(0,W561-IF($A594&gt;='1-Input'!$C$12,'1-Input'!$B$13,0))+X594*(1-'P-Parametri'!$B$6*W594))*(1+'1-Input'!$B$27))</f>
        <v>0</v>
      </c>
      <c r="Z594" s="18">
        <f>IF($A594&gt;'1-Input'!$B$26,AB593,(AB593-X594)*(1+'5-Roberta'!$C$4))</f>
        <v>96595.601238005867</v>
      </c>
      <c r="AA594" s="18">
        <f>IF($A594&gt;'1-Input'!$B$26,Y594,Y594-'P-Parametri'!$B$8*(Z594+Y594)+MIN(MAX(Z594,0),'P-Parametri'!$B$8*(Z594+Y594)))</f>
        <v>0</v>
      </c>
      <c r="AB594" s="18">
        <f>IF($A594&gt;'1-Input'!$B$26,Z594,Z594-MIN(MAX(Z594,0),'P-Parametri'!$B$8*(Z594+Y594)))</f>
        <v>96402.410035529858</v>
      </c>
      <c r="AC594" s="18">
        <f>IF($A594&gt;'1-Input'!$B$26,AC593,AC593-X594*(1-W594))</f>
        <v>32151.827432773316</v>
      </c>
      <c r="AD594" s="11">
        <f>IF($A594&gt;'1-Input'!$B$26,0,IF(AI593&lt;=0,0,MAX(0,(AI593-AJ593)/AI593)))</f>
        <v>0.65716469661843413</v>
      </c>
      <c r="AE594" s="18">
        <f>IF($A594&gt;'1-Input'!$B$26,0,(MAX(0,AD561-IF($A594&gt;='1-Input'!$C$12,'1-Input'!$B$13,0))-MIN(MAX(AH593,0),MAX(0,AD561-IF($A594&gt;='1-Input'!$C$12,'1-Input'!$B$13,0))))*(1/(1-'P-Parametri'!$B$6*AD594))+MIN(MAX(0,AI593-(MAX(0,AD561-IF($A594&gt;='1-Input'!$C$12,'1-Input'!$B$13,0))-MIN(MAX(AH593,0),MAX(0,AD561-IF($A594&gt;='1-Input'!$C$12,'1-Input'!$B$13,0))))*(1/(1-'P-Parametri'!$B$6*AD594))),MAX(0,0*AD561-(AH593-MIN(MAX(AH593,0),MAX(0,AD561-IF($A594&gt;='1-Input'!$C$12,'1-Input'!$B$13,0)))))*(1/(1-'P-Parametri'!$B$6*AD594))))</f>
        <v>7969.8600771708971</v>
      </c>
      <c r="AF594" s="18">
        <f>IF($A594&gt;'1-Input'!$B$26,AH593,(AH593-MAX(0,AD561-IF($A594&gt;='1-Input'!$C$12,'1-Input'!$B$13,0))+AE594*(1-'P-Parametri'!$B$6*AD594))*(1+'1-Input'!$B$27))</f>
        <v>0</v>
      </c>
      <c r="AG594" s="18">
        <f>IF($A594&gt;'1-Input'!$B$26,AI593,(AI593-AE594)*(1+'5-Roberta'!$C$4))</f>
        <v>95673.00178958688</v>
      </c>
      <c r="AH594" s="18">
        <f>IF($A594&gt;'1-Input'!$B$26,AF594,AF594-'P-Parametri'!$B$8*(AG594+AF594)+MIN(MAX(AG594,0),'P-Parametri'!$B$8*(AG594+AF594)))</f>
        <v>0</v>
      </c>
      <c r="AI594" s="18">
        <f>IF($A594&gt;'1-Input'!$B$26,AG594,AG594-MIN(MAX(AG594,0),'P-Parametri'!$B$8*(AG594+AF594)))</f>
        <v>95481.655786007701</v>
      </c>
      <c r="AJ594" s="18">
        <f>IF($A594&gt;'1-Input'!$B$26,AJ593,AJ593-AE594*(1-AD594))</f>
        <v>31844.740382483607</v>
      </c>
      <c r="AK594" s="11">
        <f>IF($A594&gt;'1-Input'!$B$26,0,IF(AP593&lt;=0,0,MAX(0,(AP593-AQ593)/AP593)))</f>
        <v>0.6571646966184338</v>
      </c>
      <c r="AL594" s="18">
        <f>IF($A594&gt;'1-Input'!$B$26,0,(MAX(0,AK561-IF($A594&gt;='1-Input'!$C$12,'1-Input'!$B$13,0))-MIN(MAX(AO593,0),MAX(0,AK561-IF($A594&gt;='1-Input'!$C$12,'1-Input'!$B$13,0))))*(1/(1-'P-Parametri'!$B$6*AK594))+MIN(MAX(0,AP593-(MAX(0,AK561-IF($A594&gt;='1-Input'!$C$12,'1-Input'!$B$13,0))-MIN(MAX(AO593,0),MAX(0,AK561-IF($A594&gt;='1-Input'!$C$12,'1-Input'!$B$13,0))))*(1/(1-'P-Parametri'!$B$6*AK594))),MAX(0,0*AK561-(AO593-MIN(MAX(AO593,0),MAX(0,AK561-IF($A594&gt;='1-Input'!$C$12,'1-Input'!$B$13,0)))))*(1/(1-'P-Parametri'!$B$6*AK594))))</f>
        <v>7967.3195958040023</v>
      </c>
      <c r="AM594" s="18">
        <f>IF($A594&gt;'1-Input'!$B$26,AO593,(AO593-MAX(0,AK561-IF($A594&gt;='1-Input'!$C$12,'1-Input'!$B$13,0))+AL594*(1-'P-Parametri'!$B$6*AK594))*(1+'1-Input'!$B$27))</f>
        <v>-9.0622052084654565E-13</v>
      </c>
      <c r="AN594" s="18">
        <f>IF($A594&gt;'1-Input'!$B$26,AP593,(AP593-AL594)*(1+'5-Roberta'!$C$4))</f>
        <v>95791.300703425935</v>
      </c>
      <c r="AO594" s="18">
        <f>IF($A594&gt;'1-Input'!$B$26,AM594,AM594-'P-Parametri'!$B$8*(AN594+AM594)+MIN(MAX(AN594,0),'P-Parametri'!$B$8*(AN594+AM594)))</f>
        <v>-9.0949470177292824E-13</v>
      </c>
      <c r="AP594" s="18">
        <f>IF($A594&gt;'1-Input'!$B$26,AN594,AN594-MIN(MAX(AN594,0),'P-Parametri'!$B$8*(AN594+AM594)))</f>
        <v>95599.718102019076</v>
      </c>
      <c r="AQ594" s="18">
        <f>IF($A594&gt;'1-Input'!$B$26,AQ593,AQ593-AL594*(1-AK594))</f>
        <v>31884.116153372677</v>
      </c>
    </row>
    <row r="595" spans="1:43">
      <c r="A595" s="10">
        <f>32</f>
        <v>32</v>
      </c>
      <c r="B595" s="11">
        <f>IF($A595&gt;'1-Input'!$B$26,0,IF(G594&lt;=0,0,MAX(0,(G594-H594)/G594)))</f>
        <v>0.66648315720609574</v>
      </c>
      <c r="C595" s="18">
        <f>IF($A595&gt;'1-Input'!$B$26,0,(MAX(0,B561-IF($A595&gt;='1-Input'!$C$12,'1-Input'!$B$13,0))-MIN(MAX(F594,0),MAX(0,B561-IF($A595&gt;='1-Input'!$C$12,'1-Input'!$B$13,0))))*(1/(1-'P-Parametri'!$B$6*B595))+MIN(MAX(0,G594-(MAX(0,B561-IF($A595&gt;='1-Input'!$C$12,'1-Input'!$B$13,0))-MIN(MAX(F594,0),MAX(0,B561-IF($A595&gt;='1-Input'!$C$12,'1-Input'!$B$13,0))))*(1/(1-'P-Parametri'!$B$6*B595))),MAX(0,0*B561-(F594-MIN(MAX(F594,0),MAX(0,B561-IF($A595&gt;='1-Input'!$C$12,'1-Input'!$B$13,0)))))*(1/(1-'P-Parametri'!$B$6*B595))))</f>
        <v>4531.2569966234769</v>
      </c>
      <c r="D595" s="18">
        <f>IF($A595&gt;'1-Input'!$B$26,F594,(F594-MAX(0,B561-IF($A595&gt;='1-Input'!$C$12,'1-Input'!$B$13,0))+C595*(1-'P-Parametri'!$B$6*B595))*(1+'1-Input'!$B$27))</f>
        <v>0</v>
      </c>
      <c r="E595" s="18">
        <f>IF($A595&gt;'1-Input'!$B$26,G594,(G594-C595)*(1+'5-Roberta'!$C$4))</f>
        <v>258906.90757968905</v>
      </c>
      <c r="F595" s="18">
        <f>IF($A595&gt;'1-Input'!$B$26,D595,D595-'P-Parametri'!$B$8*(E595+D595)+MIN(MAX(E595,0),'P-Parametri'!$B$8*(E595+D595)))</f>
        <v>0</v>
      </c>
      <c r="G595" s="18">
        <f>IF($A595&gt;'1-Input'!$B$26,E595,E595-MIN(MAX(E595,0),'P-Parametri'!$B$8*(E595+D595)))</f>
        <v>258389.09376452968</v>
      </c>
      <c r="H595" s="18">
        <f>IF($A595&gt;'1-Input'!$B$26,H594,H594-C595*(1-B595))</f>
        <v>83834.771255835978</v>
      </c>
      <c r="I595" s="11">
        <f>IF($A595&gt;'1-Input'!$B$26,0,IF(N594&lt;=0,0,MAX(0,(N594-O594)/N594)))</f>
        <v>0</v>
      </c>
      <c r="J595" s="18">
        <f>IF($A595&gt;'1-Input'!$B$26,0,(MAX(0,I561-IF($A595&gt;='1-Input'!$C$12,'1-Input'!$B$13,0))-MIN(MAX(M594,0),MAX(0,I561-IF($A595&gt;='1-Input'!$C$12,'1-Input'!$B$13,0))))*(1/(1-'P-Parametri'!$B$6*I595))+MIN(MAX(0,N594-(MAX(0,I561-IF($A595&gt;='1-Input'!$C$12,'1-Input'!$B$13,0))-MIN(MAX(M594,0),MAX(0,I561-IF($A595&gt;='1-Input'!$C$12,'1-Input'!$B$13,0))))*(1/(1-'P-Parametri'!$B$6*I595))),MAX(0,0*I561-(M594-MIN(MAX(M594,0),MAX(0,I561-IF($A595&gt;='1-Input'!$C$12,'1-Input'!$B$13,0)))))*(1/(1-'P-Parametri'!$B$6*I595))))</f>
        <v>9013.756992928691</v>
      </c>
      <c r="K595" s="18">
        <f>IF($A595&gt;'1-Input'!$B$26,M594,(M594-MAX(0,I561-IF($A595&gt;='1-Input'!$C$12,'1-Input'!$B$13,0))+J595*(1-'P-Parametri'!$B$6*I595))*(1+'1-Input'!$B$27))</f>
        <v>-1.8124410416930913E-12</v>
      </c>
      <c r="L595" s="18">
        <f>IF($A595&gt;'1-Input'!$B$26,N594,(N594-J595)*(1+'5-Roberta'!$C$4))</f>
        <v>-43860.3511232889</v>
      </c>
      <c r="M595" s="18">
        <f>IF($A595&gt;'1-Input'!$B$26,K595,K595-'P-Parametri'!$B$8*(L595+K595)+MIN(MAX(L595,0),'P-Parametri'!$B$8*(L595+K595)))</f>
        <v>-1.8189894035458565E-12</v>
      </c>
      <c r="N595" s="18">
        <f>IF($A595&gt;'1-Input'!$B$26,L595,L595-MIN(MAX(L595,0),'P-Parametri'!$B$8*(L595+K595)))</f>
        <v>-43772.630421042319</v>
      </c>
      <c r="O595" s="18">
        <f>IF($A595&gt;'1-Input'!$B$26,O594,O594-J595*(1-I595))</f>
        <v>-37718.75281105889</v>
      </c>
      <c r="P595" s="11">
        <f>IF($A595&gt;'1-Input'!$B$26,0,IF(U594&lt;=0,0,MAX(0,(U594-V594)/U594)))</f>
        <v>0.66648315720609574</v>
      </c>
      <c r="Q595" s="18">
        <f>IF($A595&gt;'1-Input'!$B$26,0,(MAX(0,P561-IF($A595&gt;='1-Input'!$C$12,'1-Input'!$B$13,0))-MIN(MAX(T594,0),MAX(0,P561-IF($A595&gt;='1-Input'!$C$12,'1-Input'!$B$13,0))))*(1/(1-'P-Parametri'!$B$6*P595))+MIN(MAX(0,U594-(MAX(0,P561-IF($A595&gt;='1-Input'!$C$12,'1-Input'!$B$13,0))-MIN(MAX(T594,0),MAX(0,P561-IF($A595&gt;='1-Input'!$C$12,'1-Input'!$B$13,0))))*(1/(1-'P-Parametri'!$B$6*P595))),MAX(0,0*P561-(T594-MIN(MAX(T594,0),MAX(0,P561-IF($A595&gt;='1-Input'!$C$12,'1-Input'!$B$13,0)))))*(1/(1-'P-Parametri'!$B$6*P595))))</f>
        <v>8295.4438336239928</v>
      </c>
      <c r="R595" s="18">
        <f>IF($A595&gt;'1-Input'!$B$26,T594,(T594-MAX(0,P561-IF($A595&gt;='1-Input'!$C$12,'1-Input'!$B$13,0))+Q595*(1-'P-Parametri'!$B$6*P595))*(1+'1-Input'!$B$27))</f>
        <v>0</v>
      </c>
      <c r="S595" s="18">
        <f>IF($A595&gt;'1-Input'!$B$26,U594,(U594-Q595)*(1+'5-Roberta'!$C$4))</f>
        <v>75377.494657559379</v>
      </c>
      <c r="T595" s="18">
        <f>IF($A595&gt;'1-Input'!$B$26,R595,R595-'P-Parametri'!$B$8*(S595+R595)+MIN(MAX(S595,0),'P-Parametri'!$B$8*(S595+R595)))</f>
        <v>0</v>
      </c>
      <c r="U595" s="18">
        <f>IF($A595&gt;'1-Input'!$B$26,S595,S595-MIN(MAX(S595,0),'P-Parametri'!$B$8*(S595+R595)))</f>
        <v>75226.739668244263</v>
      </c>
      <c r="V595" s="18">
        <f>IF($A595&gt;'1-Input'!$B$26,V594,V594-Q595*(1-P595))</f>
        <v>24407.440811556884</v>
      </c>
      <c r="W595" s="11">
        <f>IF($A595&gt;'1-Input'!$B$26,0,IF(AB594&lt;=0,0,MAX(0,(AB594-AC594)/AB594)))</f>
        <v>0.66648315720609563</v>
      </c>
      <c r="X595" s="18">
        <f>IF($A595&gt;'1-Input'!$B$26,0,(MAX(0,W561-IF($A595&gt;='1-Input'!$C$12,'1-Input'!$B$13,0))-MIN(MAX(AA594,0),MAX(0,W561-IF($A595&gt;='1-Input'!$C$12,'1-Input'!$B$13,0))))*(1/(1-'P-Parametri'!$B$6*W595))+MIN(MAX(0,AB594-(MAX(0,W561-IF($A595&gt;='1-Input'!$C$12,'1-Input'!$B$13,0))-MIN(MAX(AA594,0),MAX(0,W561-IF($A595&gt;='1-Input'!$C$12,'1-Input'!$B$13,0))))*(1/(1-'P-Parametri'!$B$6*W595))),MAX(0,0*W561-(AA594-MIN(MAX(AA594,0),MAX(0,W561-IF($A595&gt;='1-Input'!$C$12,'1-Input'!$B$13,0)))))*(1/(1-'P-Parametri'!$B$6*W595))))</f>
        <v>7973.3458613333742</v>
      </c>
      <c r="Y595" s="18">
        <f>IF($A595&gt;'1-Input'!$B$26,AA594,(AA594-MAX(0,W561-IF($A595&gt;='1-Input'!$C$12,'1-Input'!$B$13,0))+X595*(1-'P-Parametri'!$B$6*W595))*(1+'1-Input'!$B$27))</f>
        <v>0</v>
      </c>
      <c r="Z595" s="18">
        <f>IF($A595&gt;'1-Input'!$B$26,AB594,(AB594-X595)*(1+'5-Roberta'!$C$4))</f>
        <v>91081.936099422383</v>
      </c>
      <c r="AA595" s="18">
        <f>IF($A595&gt;'1-Input'!$B$26,Y595,Y595-'P-Parametri'!$B$8*(Z595+Y595)+MIN(MAX(Z595,0),'P-Parametri'!$B$8*(Z595+Y595)))</f>
        <v>0</v>
      </c>
      <c r="AB595" s="18">
        <f>IF($A595&gt;'1-Input'!$B$26,Z595,Z595-MIN(MAX(Z595,0),'P-Parametri'!$B$8*(Z595+Y595)))</f>
        <v>90899.772227223541</v>
      </c>
      <c r="AC595" s="18">
        <f>IF($A595&gt;'1-Input'!$B$26,AC594,AC594-X595*(1-W595))</f>
        <v>29492.582294597567</v>
      </c>
      <c r="AD595" s="11">
        <f>IF($A595&gt;'1-Input'!$B$26,0,IF(AI594&lt;=0,0,MAX(0,(AI594-AJ594)/AI594)))</f>
        <v>0.66648315720609574</v>
      </c>
      <c r="AE595" s="18">
        <f>IF($A595&gt;'1-Input'!$B$26,0,(MAX(0,AD561-IF($A595&gt;='1-Input'!$C$12,'1-Input'!$B$13,0))-MIN(MAX(AH594,0),MAX(0,AD561-IF($A595&gt;='1-Input'!$C$12,'1-Input'!$B$13,0))))*(1/(1-'P-Parametri'!$B$6*AD595))+MIN(MAX(0,AI594-(MAX(0,AD561-IF($A595&gt;='1-Input'!$C$12,'1-Input'!$B$13,0))-MIN(MAX(AH594,0),MAX(0,AD561-IF($A595&gt;='1-Input'!$C$12,'1-Input'!$B$13,0))))*(1/(1-'P-Parametri'!$B$6*AD595))),MAX(0,0*AD561-(AH594-MIN(MAX(AH594,0),MAX(0,AD561-IF($A595&gt;='1-Input'!$C$12,'1-Input'!$B$13,0)))))*(1/(1-'P-Parametri'!$B$6*AD595))))</f>
        <v>7993.2168440450378</v>
      </c>
      <c r="AF595" s="18">
        <f>IF($A595&gt;'1-Input'!$B$26,AH594,(AH594-MAX(0,AD561-IF($A595&gt;='1-Input'!$C$12,'1-Input'!$B$13,0))+AE595*(1-'P-Parametri'!$B$6*AD595))*(1+'1-Input'!$B$27))</f>
        <v>0</v>
      </c>
      <c r="AG595" s="18">
        <f>IF($A595&gt;'1-Input'!$B$26,AI594,(AI594-AE595)*(1+'5-Roberta'!$C$4))</f>
        <v>90113.092110221551</v>
      </c>
      <c r="AH595" s="18">
        <f>IF($A595&gt;'1-Input'!$B$26,AF595,AF595-'P-Parametri'!$B$8*(AG595+AF595)+MIN(MAX(AG595,0),'P-Parametri'!$B$8*(AG595+AF595)))</f>
        <v>0</v>
      </c>
      <c r="AI595" s="18">
        <f>IF($A595&gt;'1-Input'!$B$26,AG595,AG595-MIN(MAX(AG595,0),'P-Parametri'!$B$8*(AG595+AF595)))</f>
        <v>89932.865926001105</v>
      </c>
      <c r="AJ595" s="18">
        <f>IF($A595&gt;'1-Input'!$B$26,AJ594,AJ594-AE595*(1-AD595))</f>
        <v>29178.867936890652</v>
      </c>
      <c r="AK595" s="11">
        <f>IF($A595&gt;'1-Input'!$B$26,0,IF(AP594&lt;=0,0,MAX(0,(AP594-AQ594)/AP594)))</f>
        <v>0.66648315720609552</v>
      </c>
      <c r="AL595" s="18">
        <f>IF($A595&gt;'1-Input'!$B$26,0,(MAX(0,AK561-IF($A595&gt;='1-Input'!$C$12,'1-Input'!$B$13,0))-MIN(MAX(AO594,0),MAX(0,AK561-IF($A595&gt;='1-Input'!$C$12,'1-Input'!$B$13,0))))*(1/(1-'P-Parametri'!$B$6*AK595))+MIN(MAX(0,AP594-(MAX(0,AK561-IF($A595&gt;='1-Input'!$C$12,'1-Input'!$B$13,0))-MIN(MAX(AO594,0),MAX(0,AK561-IF($A595&gt;='1-Input'!$C$12,'1-Input'!$B$13,0))))*(1/(1-'P-Parametri'!$B$6*AK595))),MAX(0,0*AK561-(AO594-MIN(MAX(AO594,0),MAX(0,AK561-IF($A595&gt;='1-Input'!$C$12,'1-Input'!$B$13,0)))))*(1/(1-'P-Parametri'!$B$6*AK595))))</f>
        <v>7990.6689174494404</v>
      </c>
      <c r="AM595" s="18">
        <f>IF($A595&gt;'1-Input'!$B$26,AO594,(AO594-MAX(0,AK561-IF($A595&gt;='1-Input'!$C$12,'1-Input'!$B$13,0))+AL595*(1-'P-Parametri'!$B$6*AK595))*(1+'1-Input'!$B$27))</f>
        <v>0</v>
      </c>
      <c r="AN595" s="18">
        <f>IF($A595&gt;'1-Input'!$B$26,AP594,(AP594-AL595)*(1+'5-Roberta'!$C$4))</f>
        <v>90237.320660106736</v>
      </c>
      <c r="AO595" s="18">
        <f>IF($A595&gt;'1-Input'!$B$26,AM595,AM595-'P-Parametri'!$B$8*(AN595+AM595)+MIN(MAX(AN595,0),'P-Parametri'!$B$8*(AN595+AM595)))</f>
        <v>0</v>
      </c>
      <c r="AP595" s="18">
        <f>IF($A595&gt;'1-Input'!$B$26,AN595,AN595-MIN(MAX(AN595,0),'P-Parametri'!$B$8*(AN595+AM595)))</f>
        <v>90056.846018786528</v>
      </c>
      <c r="AQ595" s="18">
        <f>IF($A595&gt;'1-Input'!$B$26,AQ594,AQ594-AL595*(1-AK595))</f>
        <v>29219.093484213554</v>
      </c>
    </row>
    <row r="596" spans="1:43">
      <c r="A596" s="10">
        <f>33</f>
        <v>33</v>
      </c>
      <c r="B596" s="11">
        <f>IF($A596&gt;'1-Input'!$B$26,0,IF(G595&lt;=0,0,MAX(0,(G595-H595)/G595)))</f>
        <v>0.67554833667927672</v>
      </c>
      <c r="C596" s="18">
        <f>IF($A596&gt;'1-Input'!$B$26,0,(MAX(0,B561-IF($A596&gt;='1-Input'!$C$12,'1-Input'!$B$13,0))-MIN(MAX(F595,0),MAX(0,B561-IF($A596&gt;='1-Input'!$C$12,'1-Input'!$B$13,0))))*(1/(1-'P-Parametri'!$B$6*B596))+MIN(MAX(0,G595-(MAX(0,B561-IF($A596&gt;='1-Input'!$C$12,'1-Input'!$B$13,0))-MIN(MAX(F595,0),MAX(0,B561-IF($A596&gt;='1-Input'!$C$12,'1-Input'!$B$13,0))))*(1/(1-'P-Parametri'!$B$6*B596))),MAX(0,0*B561-(F595-MIN(MAX(F595,0),MAX(0,B561-IF($A596&gt;='1-Input'!$C$12,'1-Input'!$B$13,0)))))*(1/(1-'P-Parametri'!$B$6*B596))))</f>
        <v>4544.2124582192992</v>
      </c>
      <c r="D596" s="18">
        <f>IF($A596&gt;'1-Input'!$B$26,F595,(F595-MAX(0,B561-IF($A596&gt;='1-Input'!$C$12,'1-Input'!$B$13,0))+C596*(1-'P-Parametri'!$B$6*B596))*(1+'1-Input'!$B$27))</f>
        <v>-4.5311026042327283E-13</v>
      </c>
      <c r="E596" s="18">
        <f>IF($A596&gt;'1-Input'!$B$26,G595,(G595-C596)*(1+'5-Roberta'!$C$4))</f>
        <v>261460.22774549969</v>
      </c>
      <c r="F596" s="18">
        <f>IF($A596&gt;'1-Input'!$B$26,D596,D596-'P-Parametri'!$B$8*(E596+D596)+MIN(MAX(E596,0),'P-Parametri'!$B$8*(E596+D596)))</f>
        <v>-4.5474735088646412E-13</v>
      </c>
      <c r="G596" s="18">
        <f>IF($A596&gt;'1-Input'!$B$26,E596,E596-MIN(MAX(E596,0),'P-Parametri'!$B$8*(E596+D596)))</f>
        <v>260937.3072900087</v>
      </c>
      <c r="H596" s="18">
        <f>IF($A596&gt;'1-Input'!$B$26,H595,H595-C596*(1-B596))</f>
        <v>82360.393965283976</v>
      </c>
      <c r="I596" s="11">
        <f>IF($A596&gt;'1-Input'!$B$26,0,IF(N595&lt;=0,0,MAX(0,(N595-O595)/N595)))</f>
        <v>0</v>
      </c>
      <c r="J596" s="18">
        <f>IF($A596&gt;'1-Input'!$B$26,0,(MAX(0,I561-IF($A596&gt;='1-Input'!$C$12,'1-Input'!$B$13,0))-MIN(MAX(M595,0),MAX(0,I561-IF($A596&gt;='1-Input'!$C$12,'1-Input'!$B$13,0))))*(1/(1-'P-Parametri'!$B$6*I596))+MIN(MAX(0,N595-(MAX(0,I561-IF($A596&gt;='1-Input'!$C$12,'1-Input'!$B$13,0))-MIN(MAX(M595,0),MAX(0,I561-IF($A596&gt;='1-Input'!$C$12,'1-Input'!$B$13,0))))*(1/(1-'P-Parametri'!$B$6*I596))),MAX(0,0*I561-(M595-MIN(MAX(M595,0),MAX(0,I561-IF($A596&gt;='1-Input'!$C$12,'1-Input'!$B$13,0)))))*(1/(1-'P-Parametri'!$B$6*I596))))</f>
        <v>9013.756992928691</v>
      </c>
      <c r="K596" s="18">
        <f>IF($A596&gt;'1-Input'!$B$26,M595,(M595-MAX(0,I561-IF($A596&gt;='1-Input'!$C$12,'1-Input'!$B$13,0))+J596*(1-'P-Parametri'!$B$6*I596))*(1+'1-Input'!$B$27))</f>
        <v>-1.8124410416930913E-12</v>
      </c>
      <c r="L596" s="18">
        <f>IF($A596&gt;'1-Input'!$B$26,N595,(N595-J596)*(1+'5-Roberta'!$C$4))</f>
        <v>-54369.979036390141</v>
      </c>
      <c r="M596" s="18">
        <f>IF($A596&gt;'1-Input'!$B$26,K596,K596-'P-Parametri'!$B$8*(L596+K596)+MIN(MAX(L596,0),'P-Parametri'!$B$8*(L596+K596)))</f>
        <v>-1.8189894035458565E-12</v>
      </c>
      <c r="N596" s="18">
        <f>IF($A596&gt;'1-Input'!$B$26,L596,L596-MIN(MAX(L596,0),'P-Parametri'!$B$8*(L596+K596)))</f>
        <v>-54261.239078317361</v>
      </c>
      <c r="O596" s="18">
        <f>IF($A596&gt;'1-Input'!$B$26,O595,O595-J596*(1-I596))</f>
        <v>-46732.509803987581</v>
      </c>
      <c r="P596" s="11">
        <f>IF($A596&gt;'1-Input'!$B$26,0,IF(U595&lt;=0,0,MAX(0,(U595-V595)/U595)))</f>
        <v>0.67554833667927683</v>
      </c>
      <c r="Q596" s="18">
        <f>IF($A596&gt;'1-Input'!$B$26,0,(MAX(0,P561-IF($A596&gt;='1-Input'!$C$12,'1-Input'!$B$13,0))-MIN(MAX(T595,0),MAX(0,P561-IF($A596&gt;='1-Input'!$C$12,'1-Input'!$B$13,0))))*(1/(1-'P-Parametri'!$B$6*P596))+MIN(MAX(0,U595-(MAX(0,P561-IF($A596&gt;='1-Input'!$C$12,'1-Input'!$B$13,0))-MIN(MAX(T595,0),MAX(0,P561-IF($A596&gt;='1-Input'!$C$12,'1-Input'!$B$13,0))))*(1/(1-'P-Parametri'!$B$6*P596))),MAX(0,0*P561-(T595-MIN(MAX(T595,0),MAX(0,P561-IF($A596&gt;='1-Input'!$C$12,'1-Input'!$B$13,0)))))*(1/(1-'P-Parametri'!$B$6*P596))))</f>
        <v>8319.1616020239981</v>
      </c>
      <c r="R596" s="18">
        <f>IF($A596&gt;'1-Input'!$B$26,T595,(T595-MAX(0,P561-IF($A596&gt;='1-Input'!$C$12,'1-Input'!$B$13,0))+Q596*(1-'P-Parametri'!$B$6*P596))*(1+'1-Input'!$B$27))</f>
        <v>0</v>
      </c>
      <c r="S596" s="18">
        <f>IF($A596&gt;'1-Input'!$B$26,U595,(U595-Q596)*(1+'5-Roberta'!$C$4))</f>
        <v>68914.80540820687</v>
      </c>
      <c r="T596" s="18">
        <f>IF($A596&gt;'1-Input'!$B$26,R596,R596-'P-Parametri'!$B$8*(S596+R596)+MIN(MAX(S596,0),'P-Parametri'!$B$8*(S596+R596)))</f>
        <v>0</v>
      </c>
      <c r="U596" s="18">
        <f>IF($A596&gt;'1-Input'!$B$26,S596,S596-MIN(MAX(S596,0),'P-Parametri'!$B$8*(S596+R596)))</f>
        <v>68776.975797390463</v>
      </c>
      <c r="V596" s="18">
        <f>IF($A596&gt;'1-Input'!$B$26,V595,V595-Q596*(1-P596))</f>
        <v>21708.274992346305</v>
      </c>
      <c r="W596" s="11">
        <f>IF($A596&gt;'1-Input'!$B$26,0,IF(AB595&lt;=0,0,MAX(0,(AB595-AC595)/AB595)))</f>
        <v>0.67554833667927672</v>
      </c>
      <c r="X596" s="18">
        <f>IF($A596&gt;'1-Input'!$B$26,0,(MAX(0,W561-IF($A596&gt;='1-Input'!$C$12,'1-Input'!$B$13,0))-MIN(MAX(AA595,0),MAX(0,W561-IF($A596&gt;='1-Input'!$C$12,'1-Input'!$B$13,0))))*(1/(1-'P-Parametri'!$B$6*W596))+MIN(MAX(0,AB595-(MAX(0,W561-IF($A596&gt;='1-Input'!$C$12,'1-Input'!$B$13,0))-MIN(MAX(AA595,0),MAX(0,W561-IF($A596&gt;='1-Input'!$C$12,'1-Input'!$B$13,0))))*(1/(1-'P-Parametri'!$B$6*W596))),MAX(0,0*W561-(AA595-MIN(MAX(AA595,0),MAX(0,W561-IF($A596&gt;='1-Input'!$C$12,'1-Input'!$B$13,0)))))*(1/(1-'P-Parametri'!$B$6*W596))))</f>
        <v>7996.1427091338155</v>
      </c>
      <c r="Y596" s="18">
        <f>IF($A596&gt;'1-Input'!$B$26,AA595,(AA595-MAX(0,W561-IF($A596&gt;='1-Input'!$C$12,'1-Input'!$B$13,0))+X596*(1-'P-Parametri'!$B$6*W596))*(1+'1-Input'!$B$27))</f>
        <v>0</v>
      </c>
      <c r="Z596" s="18">
        <f>IF($A596&gt;'1-Input'!$B$26,AB595,(AB595-X596)*(1+'5-Roberta'!$C$4))</f>
        <v>85390.738403632422</v>
      </c>
      <c r="AA596" s="18">
        <f>IF($A596&gt;'1-Input'!$B$26,Y596,Y596-'P-Parametri'!$B$8*(Z596+Y596)+MIN(MAX(Z596,0),'P-Parametri'!$B$8*(Z596+Y596)))</f>
        <v>0</v>
      </c>
      <c r="AB596" s="18">
        <f>IF($A596&gt;'1-Input'!$B$26,Z596,Z596-MIN(MAX(Z596,0),'P-Parametri'!$B$8*(Z596+Y596)))</f>
        <v>85219.956926825151</v>
      </c>
      <c r="AC596" s="18">
        <f>IF($A596&gt;'1-Input'!$B$26,AC595,AC595-X596*(1-W596))</f>
        <v>26898.220492469227</v>
      </c>
      <c r="AD596" s="11">
        <f>IF($A596&gt;'1-Input'!$B$26,0,IF(AI595&lt;=0,0,MAX(0,(AI595-AJ595)/AI595)))</f>
        <v>0.67554833667927672</v>
      </c>
      <c r="AE596" s="18">
        <f>IF($A596&gt;'1-Input'!$B$26,0,(MAX(0,AD561-IF($A596&gt;='1-Input'!$C$12,'1-Input'!$B$13,0))-MIN(MAX(AH595,0),MAX(0,AD561-IF($A596&gt;='1-Input'!$C$12,'1-Input'!$B$13,0))))*(1/(1-'P-Parametri'!$B$6*AD596))+MIN(MAX(0,AI595-(MAX(0,AD561-IF($A596&gt;='1-Input'!$C$12,'1-Input'!$B$13,0))-MIN(MAX(AH595,0),MAX(0,AD561-IF($A596&gt;='1-Input'!$C$12,'1-Input'!$B$13,0))))*(1/(1-'P-Parametri'!$B$6*AD596))),MAX(0,0*AD561-(AH595-MIN(MAX(AH595,0),MAX(0,AD561-IF($A596&gt;='1-Input'!$C$12,'1-Input'!$B$13,0)))))*(1/(1-'P-Parametri'!$B$6*AD596))))</f>
        <v>8016.0705056067782</v>
      </c>
      <c r="AF596" s="18">
        <f>IF($A596&gt;'1-Input'!$B$26,AH595,(AH595-MAX(0,AD561-IF($A596&gt;='1-Input'!$C$12,'1-Input'!$B$13,0))+AE596*(1-'P-Parametri'!$B$6*AD596))*(1+'1-Input'!$B$27))</f>
        <v>0</v>
      </c>
      <c r="AG596" s="18">
        <f>IF($A596&gt;'1-Input'!$B$26,AI595,(AI595-AE596)*(1+'5-Roberta'!$C$4))</f>
        <v>84374.299283006156</v>
      </c>
      <c r="AH596" s="18">
        <f>IF($A596&gt;'1-Input'!$B$26,AF596,AF596-'P-Parametri'!$B$8*(AG596+AF596)+MIN(MAX(AG596,0),'P-Parametri'!$B$8*(AG596+AF596)))</f>
        <v>0</v>
      </c>
      <c r="AI596" s="18">
        <f>IF($A596&gt;'1-Input'!$B$26,AG596,AG596-MIN(MAX(AG596,0),'P-Parametri'!$B$8*(AG596+AF596)))</f>
        <v>84205.550684440139</v>
      </c>
      <c r="AJ596" s="18">
        <f>IF($A596&gt;'1-Input'!$B$26,AJ595,AJ595-AE596*(1-AD596))</f>
        <v>26578.04052805034</v>
      </c>
      <c r="AK596" s="11">
        <f>IF($A596&gt;'1-Input'!$B$26,0,IF(AP595&lt;=0,0,MAX(0,(AP595-AQ595)/AP595)))</f>
        <v>0.67554833667927661</v>
      </c>
      <c r="AL596" s="18">
        <f>IF($A596&gt;'1-Input'!$B$26,0,(MAX(0,AK561-IF($A596&gt;='1-Input'!$C$12,'1-Input'!$B$13,0))-MIN(MAX(AO595,0),MAX(0,AK561-IF($A596&gt;='1-Input'!$C$12,'1-Input'!$B$13,0))))*(1/(1-'P-Parametri'!$B$6*AK596))+MIN(MAX(0,AP595-(MAX(0,AK561-IF($A596&gt;='1-Input'!$C$12,'1-Input'!$B$13,0))-MIN(MAX(AO595,0),MAX(0,AK561-IF($A596&gt;='1-Input'!$C$12,'1-Input'!$B$13,0))))*(1/(1-'P-Parametri'!$B$6*AK596))),MAX(0,0*AK561-(AO595-MIN(MAX(AO595,0),MAX(0,AK561-IF($A596&gt;='1-Input'!$C$12,'1-Input'!$B$13,0)))))*(1/(1-'P-Parametri'!$B$6*AK596))))</f>
        <v>8013.5152941528759</v>
      </c>
      <c r="AM596" s="18">
        <f>IF($A596&gt;'1-Input'!$B$26,AO595,(AO595-MAX(0,AK561-IF($A596&gt;='1-Input'!$C$12,'1-Input'!$B$13,0))+AL596*(1-'P-Parametri'!$B$6*AK596))*(1+'1-Input'!$B$27))</f>
        <v>0</v>
      </c>
      <c r="AN596" s="18">
        <f>IF($A596&gt;'1-Input'!$B$26,AP595,(AP595-AL596)*(1+'5-Roberta'!$C$4))</f>
        <v>84504.630646372665</v>
      </c>
      <c r="AO596" s="18">
        <f>IF($A596&gt;'1-Input'!$B$26,AM596,AM596-'P-Parametri'!$B$8*(AN596+AM596)+MIN(MAX(AN596,0),'P-Parametri'!$B$8*(AN596+AM596)))</f>
        <v>0</v>
      </c>
      <c r="AP596" s="18">
        <f>IF($A596&gt;'1-Input'!$B$26,AN596,AN596-MIN(MAX(AN596,0),'P-Parametri'!$B$8*(AN596+AM596)))</f>
        <v>84335.621385079925</v>
      </c>
      <c r="AQ596" s="18">
        <f>IF($A596&gt;'1-Input'!$B$26,AQ595,AQ595-AL596*(1-AK596))</f>
        <v>26619.095117979596</v>
      </c>
    </row>
    <row r="597" spans="1:43">
      <c r="A597" s="10">
        <f>34</f>
        <v>34</v>
      </c>
      <c r="B597" s="11">
        <f>IF($A597&gt;'1-Input'!$B$26,0,IF(G596&lt;=0,0,MAX(0,(G596-H596)/G596)))</f>
        <v>0.68436711936423977</v>
      </c>
      <c r="C597" s="18">
        <f>IF($A597&gt;'1-Input'!$B$26,0,(MAX(0,B561-IF($A597&gt;='1-Input'!$C$12,'1-Input'!$B$13,0))-MIN(MAX(F596,0),MAX(0,B561-IF($A597&gt;='1-Input'!$C$12,'1-Input'!$B$13,0))))*(1/(1-'P-Parametri'!$B$6*B597))+MIN(MAX(0,G596-(MAX(0,B561-IF($A597&gt;='1-Input'!$C$12,'1-Input'!$B$13,0))-MIN(MAX(F596,0),MAX(0,B561-IF($A597&gt;='1-Input'!$C$12,'1-Input'!$B$13,0))))*(1/(1-'P-Parametri'!$B$6*B597))),MAX(0,0*B561-(F596-MIN(MAX(F596,0),MAX(0,B561-IF($A597&gt;='1-Input'!$C$12,'1-Input'!$B$13,0)))))*(1/(1-'P-Parametri'!$B$6*B597))))</f>
        <v>4556.8870709007278</v>
      </c>
      <c r="D597" s="18">
        <f>IF($A597&gt;'1-Input'!$B$26,F596,(F596-MAX(0,B561-IF($A597&gt;='1-Input'!$C$12,'1-Input'!$B$13,0))+C597*(1-'P-Parametri'!$B$6*B597))*(1+'1-Input'!$B$27))</f>
        <v>4.5311026042327283E-13</v>
      </c>
      <c r="E597" s="18">
        <f>IF($A597&gt;'1-Input'!$B$26,G596,(G596-C597)*(1+'5-Roberta'!$C$4))</f>
        <v>264071.83282568119</v>
      </c>
      <c r="F597" s="18">
        <f>IF($A597&gt;'1-Input'!$B$26,D597,D597-'P-Parametri'!$B$8*(E597+D597)+MIN(MAX(E597,0),'P-Parametri'!$B$8*(E597+D597)))</f>
        <v>4.5474735088646412E-13</v>
      </c>
      <c r="G597" s="18">
        <f>IF($A597&gt;'1-Input'!$B$26,E597,E597-MIN(MAX(E597,0),'P-Parametri'!$B$8*(E597+D597)))</f>
        <v>263543.68916002981</v>
      </c>
      <c r="H597" s="18">
        <f>IF($A597&gt;'1-Input'!$B$26,H596,H596-C597*(1-B597))</f>
        <v>80922.090572363726</v>
      </c>
      <c r="I597" s="11">
        <f>IF($A597&gt;'1-Input'!$B$26,0,IF(N596&lt;=0,0,MAX(0,(N596-O596)/N596)))</f>
        <v>0</v>
      </c>
      <c r="J597" s="18">
        <f>IF($A597&gt;'1-Input'!$B$26,0,(MAX(0,I561-IF($A597&gt;='1-Input'!$C$12,'1-Input'!$B$13,0))-MIN(MAX(M596,0),MAX(0,I561-IF($A597&gt;='1-Input'!$C$12,'1-Input'!$B$13,0))))*(1/(1-'P-Parametri'!$B$6*I597))+MIN(MAX(0,N596-(MAX(0,I561-IF($A597&gt;='1-Input'!$C$12,'1-Input'!$B$13,0))-MIN(MAX(M596,0),MAX(0,I561-IF($A597&gt;='1-Input'!$C$12,'1-Input'!$B$13,0))))*(1/(1-'P-Parametri'!$B$6*I597))),MAX(0,0*I561-(M596-MIN(MAX(M596,0),MAX(0,I561-IF($A597&gt;='1-Input'!$C$12,'1-Input'!$B$13,0)))))*(1/(1-'P-Parametri'!$B$6*I597))))</f>
        <v>9013.756992928691</v>
      </c>
      <c r="K597" s="18">
        <f>IF($A597&gt;'1-Input'!$B$26,M596,(M596-MAX(0,I561-IF($A597&gt;='1-Input'!$C$12,'1-Input'!$B$13,0))+J597*(1-'P-Parametri'!$B$6*I597))*(1+'1-Input'!$B$27))</f>
        <v>-1.8124410416930913E-12</v>
      </c>
      <c r="L597" s="18">
        <f>IF($A597&gt;'1-Input'!$B$26,N596,(N596-J597)*(1+'5-Roberta'!$C$4))</f>
        <v>-65173.245953383434</v>
      </c>
      <c r="M597" s="18">
        <f>IF($A597&gt;'1-Input'!$B$26,K597,K597-'P-Parametri'!$B$8*(L597+K597)+MIN(MAX(L597,0),'P-Parametri'!$B$8*(L597+K597)))</f>
        <v>-1.8189894035458565E-12</v>
      </c>
      <c r="N597" s="18">
        <f>IF($A597&gt;'1-Input'!$B$26,L597,L597-MIN(MAX(L597,0),'P-Parametri'!$B$8*(L597+K597)))</f>
        <v>-65042.899461476663</v>
      </c>
      <c r="O597" s="18">
        <f>IF($A597&gt;'1-Input'!$B$26,O596,O596-J597*(1-I597))</f>
        <v>-55746.266796916272</v>
      </c>
      <c r="P597" s="11">
        <f>IF($A597&gt;'1-Input'!$B$26,0,IF(U596&lt;=0,0,MAX(0,(U596-V596)/U596)))</f>
        <v>0.68436711936423988</v>
      </c>
      <c r="Q597" s="18">
        <f>IF($A597&gt;'1-Input'!$B$26,0,(MAX(0,P561-IF($A597&gt;='1-Input'!$C$12,'1-Input'!$B$13,0))-MIN(MAX(T596,0),MAX(0,P561-IF($A597&gt;='1-Input'!$C$12,'1-Input'!$B$13,0))))*(1/(1-'P-Parametri'!$B$6*P597))+MIN(MAX(0,U596-(MAX(0,P561-IF($A597&gt;='1-Input'!$C$12,'1-Input'!$B$13,0))-MIN(MAX(T596,0),MAX(0,P561-IF($A597&gt;='1-Input'!$C$12,'1-Input'!$B$13,0))))*(1/(1-'P-Parametri'!$B$6*P597))),MAX(0,0*P561-(T596-MIN(MAX(T596,0),MAX(0,P561-IF($A597&gt;='1-Input'!$C$12,'1-Input'!$B$13,0)))))*(1/(1-'P-Parametri'!$B$6*P597))))</f>
        <v>8342.365215875534</v>
      </c>
      <c r="R597" s="18">
        <f>IF($A597&gt;'1-Input'!$B$26,T596,(T596-MAX(0,P561-IF($A597&gt;='1-Input'!$C$12,'1-Input'!$B$13,0))+Q597*(1-'P-Parametri'!$B$6*P597))*(1+'1-Input'!$B$27))</f>
        <v>-9.0622052084654565E-13</v>
      </c>
      <c r="S597" s="18">
        <f>IF($A597&gt;'1-Input'!$B$26,U596,(U596-Q597)*(1+'5-Roberta'!$C$4))</f>
        <v>62247.648898960375</v>
      </c>
      <c r="T597" s="18">
        <f>IF($A597&gt;'1-Input'!$B$26,R597,R597-'P-Parametri'!$B$8*(S597+R597)+MIN(MAX(S597,0),'P-Parametri'!$B$8*(S597+R597)))</f>
        <v>-9.0949470177292824E-13</v>
      </c>
      <c r="U597" s="18">
        <f>IF($A597&gt;'1-Input'!$B$26,S597,S597-MIN(MAX(S597,0),'P-Parametri'!$B$8*(S597+R597)))</f>
        <v>62123.153601162456</v>
      </c>
      <c r="V597" s="18">
        <f>IF($A597&gt;'1-Input'!$B$26,V596,V596-Q597*(1-P597))</f>
        <v>19075.150227943945</v>
      </c>
      <c r="W597" s="11">
        <f>IF($A597&gt;'1-Input'!$B$26,0,IF(AB596&lt;=0,0,MAX(0,(AB596-AC596)/AB596)))</f>
        <v>0.68436711936423977</v>
      </c>
      <c r="X597" s="18">
        <f>IF($A597&gt;'1-Input'!$B$26,0,(MAX(0,W561-IF($A597&gt;='1-Input'!$C$12,'1-Input'!$B$13,0))-MIN(MAX(AA596,0),MAX(0,W561-IF($A597&gt;='1-Input'!$C$12,'1-Input'!$B$13,0))))*(1/(1-'P-Parametri'!$B$6*W597))+MIN(MAX(0,AB596-(MAX(0,W561-IF($A597&gt;='1-Input'!$C$12,'1-Input'!$B$13,0))-MIN(MAX(AA596,0),MAX(0,W561-IF($A597&gt;='1-Input'!$C$12,'1-Input'!$B$13,0))))*(1/(1-'P-Parametri'!$B$6*W597))),MAX(0,0*W561-(AA596-MIN(MAX(AA596,0),MAX(0,W561-IF($A597&gt;='1-Input'!$C$12,'1-Input'!$B$13,0)))))*(1/(1-'P-Parametri'!$B$6*W597))))</f>
        <v>8018.4453661322541</v>
      </c>
      <c r="Y597" s="18">
        <f>IF($A597&gt;'1-Input'!$B$26,AA596,(AA596-MAX(0,W561-IF($A597&gt;='1-Input'!$C$12,'1-Input'!$B$13,0))+X597*(1-'P-Parametri'!$B$6*W597))*(1+'1-Input'!$B$27))</f>
        <v>9.0622052084654565E-13</v>
      </c>
      <c r="Z597" s="18">
        <f>IF($A597&gt;'1-Input'!$B$26,AB596,(AB596-X597)*(1+'5-Roberta'!$C$4))</f>
        <v>79517.556907513688</v>
      </c>
      <c r="AA597" s="18">
        <f>IF($A597&gt;'1-Input'!$B$26,Y597,Y597-'P-Parametri'!$B$8*(Z597+Y597)+MIN(MAX(Z597,0),'P-Parametri'!$B$8*(Z597+Y597)))</f>
        <v>9.0949470177292824E-13</v>
      </c>
      <c r="AB597" s="18">
        <f>IF($A597&gt;'1-Input'!$B$26,Z597,Z597-MIN(MAX(Z597,0),'P-Parametri'!$B$8*(Z597+Y597)))</f>
        <v>79358.521793698659</v>
      </c>
      <c r="AC597" s="18">
        <f>IF($A597&gt;'1-Input'!$B$26,AC596,AC596-X597*(1-W597))</f>
        <v>24367.335483336439</v>
      </c>
      <c r="AD597" s="11">
        <f>IF($A597&gt;'1-Input'!$B$26,0,IF(AI596&lt;=0,0,MAX(0,(AI596-AJ596)/AI596)))</f>
        <v>0.68436711936423988</v>
      </c>
      <c r="AE597" s="18">
        <f>IF($A597&gt;'1-Input'!$B$26,0,(MAX(0,AD561-IF($A597&gt;='1-Input'!$C$12,'1-Input'!$B$13,0))-MIN(MAX(AH596,0),MAX(0,AD561-IF($A597&gt;='1-Input'!$C$12,'1-Input'!$B$13,0))))*(1/(1-'P-Parametri'!$B$6*AD597))+MIN(MAX(0,AI596-(MAX(0,AD561-IF($A597&gt;='1-Input'!$C$12,'1-Input'!$B$13,0))-MIN(MAX(AH596,0),MAX(0,AD561-IF($A597&gt;='1-Input'!$C$12,'1-Input'!$B$13,0))))*(1/(1-'P-Parametri'!$B$6*AD597))),MAX(0,0*AD561-(AH596-MIN(MAX(AH596,0),MAX(0,AD561-IF($A597&gt;='1-Input'!$C$12,'1-Input'!$B$13,0)))))*(1/(1-'P-Parametri'!$B$6*AD597))))</f>
        <v>8038.4287447559655</v>
      </c>
      <c r="AF597" s="18">
        <f>IF($A597&gt;'1-Input'!$B$26,AH596,(AH596-MAX(0,AD561-IF($A597&gt;='1-Input'!$C$12,'1-Input'!$B$13,0))+AE597*(1-'P-Parametri'!$B$6*AD597))*(1+'1-Input'!$B$27))</f>
        <v>-9.0622052084654565E-13</v>
      </c>
      <c r="AG597" s="18">
        <f>IF($A597&gt;'1-Input'!$B$26,AI596,(AI596-AE597)*(1+'5-Roberta'!$C$4))</f>
        <v>78452.135597874701</v>
      </c>
      <c r="AH597" s="18">
        <f>IF($A597&gt;'1-Input'!$B$26,AF597,AF597-'P-Parametri'!$B$8*(AG597+AF597)+MIN(MAX(AG597,0),'P-Parametri'!$B$8*(AG597+AF597)))</f>
        <v>-9.0949470177292824E-13</v>
      </c>
      <c r="AI597" s="18">
        <f>IF($A597&gt;'1-Input'!$B$26,AG597,AG597-MIN(MAX(AG597,0),'P-Parametri'!$B$8*(AG597+AF597)))</f>
        <v>78295.231326678957</v>
      </c>
      <c r="AJ597" s="18">
        <f>IF($A597&gt;'1-Input'!$B$26,AJ596,AJ596-AE597*(1-AD597))</f>
        <v>24040.848107557718</v>
      </c>
      <c r="AK597" s="11">
        <f>IF($A597&gt;'1-Input'!$B$26,0,IF(AP596&lt;=0,0,MAX(0,(AP596-AQ596)/AP596)))</f>
        <v>0.68436711936423977</v>
      </c>
      <c r="AL597" s="18">
        <f>IF($A597&gt;'1-Input'!$B$26,0,(MAX(0,AK561-IF($A597&gt;='1-Input'!$C$12,'1-Input'!$B$13,0))-MIN(MAX(AO596,0),MAX(0,AK561-IF($A597&gt;='1-Input'!$C$12,'1-Input'!$B$13,0))))*(1/(1-'P-Parametri'!$B$6*AK597))+MIN(MAX(0,AP596-(MAX(0,AK561-IF($A597&gt;='1-Input'!$C$12,'1-Input'!$B$13,0))-MIN(MAX(AO596,0),MAX(0,AK561-IF($A597&gt;='1-Input'!$C$12,'1-Input'!$B$13,0))))*(1/(1-'P-Parametri'!$B$6*AK597))),MAX(0,0*AK561-(AO596-MIN(MAX(AO596,0),MAX(0,AK561-IF($A597&gt;='1-Input'!$C$12,'1-Input'!$B$13,0)))))*(1/(1-'P-Parametri'!$B$6*AK597))))</f>
        <v>8035.8664063651531</v>
      </c>
      <c r="AM597" s="18">
        <f>IF($A597&gt;'1-Input'!$B$26,AO596,(AO596-MAX(0,AK561-IF($A597&gt;='1-Input'!$C$12,'1-Input'!$B$13,0))+AL597*(1-'P-Parametri'!$B$6*AK597))*(1+'1-Input'!$B$27))</f>
        <v>0</v>
      </c>
      <c r="AN597" s="18">
        <f>IF($A597&gt;'1-Input'!$B$26,AP596,(AP596-AL597)*(1+'5-Roberta'!$C$4))</f>
        <v>78588.74762807622</v>
      </c>
      <c r="AO597" s="18">
        <f>IF($A597&gt;'1-Input'!$B$26,AM597,AM597-'P-Parametri'!$B$8*(AN597+AM597)+MIN(MAX(AN597,0),'P-Parametri'!$B$8*(AN597+AM597)))</f>
        <v>0</v>
      </c>
      <c r="AP597" s="18">
        <f>IF($A597&gt;'1-Input'!$B$26,AN597,AN597-MIN(MAX(AN597,0),'P-Parametri'!$B$8*(AN597+AM597)))</f>
        <v>78431.570132820067</v>
      </c>
      <c r="AQ597" s="18">
        <f>IF($A597&gt;'1-Input'!$B$26,AQ596,AQ596-AL597*(1-AK597))</f>
        <v>24082.711455734428</v>
      </c>
    </row>
    <row r="598" spans="1:43">
      <c r="A598" s="10">
        <f>35</f>
        <v>35</v>
      </c>
      <c r="B598" s="11">
        <f>IF($A598&gt;'1-Input'!$B$26,0,IF(G597&lt;=0,0,MAX(0,(G597-H597)/G597)))</f>
        <v>0.69294620246730343</v>
      </c>
      <c r="C598" s="18">
        <f>IF($A598&gt;'1-Input'!$B$26,0,(MAX(0,B561-IF($A598&gt;='1-Input'!$C$12,'1-Input'!$B$13,0))-MIN(MAX(F597,0),MAX(0,B561-IF($A598&gt;='1-Input'!$C$12,'1-Input'!$B$13,0))))*(1/(1-'P-Parametri'!$B$6*B598))+MIN(MAX(0,G597-(MAX(0,B561-IF($A598&gt;='1-Input'!$C$12,'1-Input'!$B$13,0))-MIN(MAX(F597,0),MAX(0,B561-IF($A598&gt;='1-Input'!$C$12,'1-Input'!$B$13,0))))*(1/(1-'P-Parametri'!$B$6*B598))),MAX(0,0*B561-(F597-MIN(MAX(F597,0),MAX(0,B561-IF($A598&gt;='1-Input'!$C$12,'1-Input'!$B$13,0)))))*(1/(1-'P-Parametri'!$B$6*B598))))</f>
        <v>4569.2852118702276</v>
      </c>
      <c r="D598" s="18">
        <f>IF($A598&gt;'1-Input'!$B$26,F597,(F597-MAX(0,B561-IF($A598&gt;='1-Input'!$C$12,'1-Input'!$B$13,0))+C598*(1-'P-Parametri'!$B$6*B598))*(1+'1-Input'!$B$27))</f>
        <v>0</v>
      </c>
      <c r="E598" s="18">
        <f>IF($A598&gt;'1-Input'!$B$26,G597,(G597-C598)*(1+'5-Roberta'!$C$4))</f>
        <v>266743.63606660441</v>
      </c>
      <c r="F598" s="18">
        <f>IF($A598&gt;'1-Input'!$B$26,D598,D598-'P-Parametri'!$B$8*(E598+D598)+MIN(MAX(E598,0),'P-Parametri'!$B$8*(E598+D598)))</f>
        <v>0</v>
      </c>
      <c r="G598" s="18">
        <f>IF($A598&gt;'1-Input'!$B$26,E598,E598-MIN(MAX(E598,0),'P-Parametri'!$B$8*(E598+D598)))</f>
        <v>266210.14879447117</v>
      </c>
      <c r="H598" s="18">
        <f>IF($A598&gt;'1-Input'!$B$26,H597,H597-C598*(1-B598))</f>
        <v>79519.074196048983</v>
      </c>
      <c r="I598" s="11">
        <f>IF($A598&gt;'1-Input'!$B$26,0,IF(N597&lt;=0,0,MAX(0,(N597-O597)/N597)))</f>
        <v>0</v>
      </c>
      <c r="J598" s="18">
        <f>IF($A598&gt;'1-Input'!$B$26,0,(MAX(0,I561-IF($A598&gt;='1-Input'!$C$12,'1-Input'!$B$13,0))-MIN(MAX(M597,0),MAX(0,I561-IF($A598&gt;='1-Input'!$C$12,'1-Input'!$B$13,0))))*(1/(1-'P-Parametri'!$B$6*I598))+MIN(MAX(0,N597-(MAX(0,I561-IF($A598&gt;='1-Input'!$C$12,'1-Input'!$B$13,0))-MIN(MAX(M597,0),MAX(0,I561-IF($A598&gt;='1-Input'!$C$12,'1-Input'!$B$13,0))))*(1/(1-'P-Parametri'!$B$6*I598))),MAX(0,0*I561-(M597-MIN(MAX(M597,0),MAX(0,I561-IF($A598&gt;='1-Input'!$C$12,'1-Input'!$B$13,0)))))*(1/(1-'P-Parametri'!$B$6*I598))))</f>
        <v>9013.756992928691</v>
      </c>
      <c r="K598" s="18">
        <f>IF($A598&gt;'1-Input'!$B$26,M597,(M597-MAX(0,I561-IF($A598&gt;='1-Input'!$C$12,'1-Input'!$B$13,0))+J598*(1-'P-Parametri'!$B$6*I598))*(1+'1-Input'!$B$27))</f>
        <v>-1.8124410416930913E-12</v>
      </c>
      <c r="L598" s="18">
        <f>IF($A598&gt;'1-Input'!$B$26,N597,(N597-J598)*(1+'5-Roberta'!$C$4))</f>
        <v>-76278.356148037521</v>
      </c>
      <c r="M598" s="18">
        <f>IF($A598&gt;'1-Input'!$B$26,K598,K598-'P-Parametri'!$B$8*(L598+K598)+MIN(MAX(L598,0),'P-Parametri'!$B$8*(L598+K598)))</f>
        <v>-1.8189894035458565E-12</v>
      </c>
      <c r="N598" s="18">
        <f>IF($A598&gt;'1-Input'!$B$26,L598,L598-MIN(MAX(L598,0),'P-Parametri'!$B$8*(L598+K598)))</f>
        <v>-76125.799435741443</v>
      </c>
      <c r="O598" s="18">
        <f>IF($A598&gt;'1-Input'!$B$26,O597,O597-J598*(1-I598))</f>
        <v>-64760.023789844963</v>
      </c>
      <c r="P598" s="11">
        <f>IF($A598&gt;'1-Input'!$B$26,0,IF(U597&lt;=0,0,MAX(0,(U597-V597)/U597)))</f>
        <v>0.69294620246730343</v>
      </c>
      <c r="Q598" s="18">
        <f>IF($A598&gt;'1-Input'!$B$26,0,(MAX(0,P561-IF($A598&gt;='1-Input'!$C$12,'1-Input'!$B$13,0))-MIN(MAX(T597,0),MAX(0,P561-IF($A598&gt;='1-Input'!$C$12,'1-Input'!$B$13,0))))*(1/(1-'P-Parametri'!$B$6*P598))+MIN(MAX(0,U597-(MAX(0,P561-IF($A598&gt;='1-Input'!$C$12,'1-Input'!$B$13,0))-MIN(MAX(T597,0),MAX(0,P561-IF($A598&gt;='1-Input'!$C$12,'1-Input'!$B$13,0))))*(1/(1-'P-Parametri'!$B$6*P598))),MAX(0,0*P561-(T597-MIN(MAX(T597,0),MAX(0,P561-IF($A598&gt;='1-Input'!$C$12,'1-Input'!$B$13,0)))))*(1/(1-'P-Parametri'!$B$6*P598))))</f>
        <v>8365.0626885923739</v>
      </c>
      <c r="R598" s="18">
        <f>IF($A598&gt;'1-Input'!$B$26,T597,(T597-MAX(0,P561-IF($A598&gt;='1-Input'!$C$12,'1-Input'!$B$13,0))+Q598*(1-'P-Parametri'!$B$6*P598))*(1+'1-Input'!$B$27))</f>
        <v>0</v>
      </c>
      <c r="S598" s="18">
        <f>IF($A598&gt;'1-Input'!$B$26,U597,(U597-Q598)*(1+'5-Roberta'!$C$4))</f>
        <v>55370.833639947188</v>
      </c>
      <c r="T598" s="18">
        <f>IF($A598&gt;'1-Input'!$B$26,R598,R598-'P-Parametri'!$B$8*(S598+R598)+MIN(MAX(S598,0),'P-Parametri'!$B$8*(S598+R598)))</f>
        <v>0</v>
      </c>
      <c r="U598" s="18">
        <f>IF($A598&gt;'1-Input'!$B$26,S598,S598-MIN(MAX(S598,0),'P-Parametri'!$B$8*(S598+R598)))</f>
        <v>55260.091972667295</v>
      </c>
      <c r="V598" s="18">
        <f>IF($A598&gt;'1-Input'!$B$26,V597,V597-Q598*(1-P598))</f>
        <v>16506.625962812588</v>
      </c>
      <c r="W598" s="11">
        <f>IF($A598&gt;'1-Input'!$B$26,0,IF(AB597&lt;=0,0,MAX(0,(AB597-AC597)/AB597)))</f>
        <v>0.69294620246730332</v>
      </c>
      <c r="X598" s="18">
        <f>IF($A598&gt;'1-Input'!$B$26,0,(MAX(0,W561-IF($A598&gt;='1-Input'!$C$12,'1-Input'!$B$13,0))-MIN(MAX(AA597,0),MAX(0,W561-IF($A598&gt;='1-Input'!$C$12,'1-Input'!$B$13,0))))*(1/(1-'P-Parametri'!$B$6*W598))+MIN(MAX(0,AB597-(MAX(0,W561-IF($A598&gt;='1-Input'!$C$12,'1-Input'!$B$13,0))-MIN(MAX(AA597,0),MAX(0,W561-IF($A598&gt;='1-Input'!$C$12,'1-Input'!$B$13,0))))*(1/(1-'P-Parametri'!$B$6*W598))),MAX(0,0*W561-(AA597-MIN(MAX(AA597,0),MAX(0,W561-IF($A598&gt;='1-Input'!$C$12,'1-Input'!$B$13,0)))))*(1/(1-'P-Parametri'!$B$6*W598))))</f>
        <v>8040.2615345952327</v>
      </c>
      <c r="Y598" s="18">
        <f>IF($A598&gt;'1-Input'!$B$26,AA597,(AA597-MAX(0,W561-IF($A598&gt;='1-Input'!$C$12,'1-Input'!$B$13,0))+X598*(1-'P-Parametri'!$B$6*W598))*(1+'1-Input'!$B$27))</f>
        <v>0</v>
      </c>
      <c r="Z598" s="18">
        <f>IF($A598&gt;'1-Input'!$B$26,AB597,(AB597-X598)*(1+'5-Roberta'!$C$4))</f>
        <v>73457.808066876532</v>
      </c>
      <c r="AA598" s="18">
        <f>IF($A598&gt;'1-Input'!$B$26,Y598,Y598-'P-Parametri'!$B$8*(Z598+Y598)+MIN(MAX(Z598,0),'P-Parametri'!$B$8*(Z598+Y598)))</f>
        <v>0</v>
      </c>
      <c r="AB598" s="18">
        <f>IF($A598&gt;'1-Input'!$B$26,Z598,Z598-MIN(MAX(Z598,0),'P-Parametri'!$B$8*(Z598+Y598)))</f>
        <v>73310.892450742773</v>
      </c>
      <c r="AC598" s="18">
        <f>IF($A598&gt;'1-Input'!$B$26,AC597,AC597-X598*(1-W598))</f>
        <v>21898.542645982907</v>
      </c>
      <c r="AD598" s="11">
        <f>IF($A598&gt;'1-Input'!$B$26,0,IF(AI597&lt;=0,0,MAX(0,(AI597-AJ597)/AI597)))</f>
        <v>0.69294620246730354</v>
      </c>
      <c r="AE598" s="18">
        <f>IF($A598&gt;'1-Input'!$B$26,0,(MAX(0,AD561-IF($A598&gt;='1-Input'!$C$12,'1-Input'!$B$13,0))-MIN(MAX(AH597,0),MAX(0,AD561-IF($A598&gt;='1-Input'!$C$12,'1-Input'!$B$13,0))))*(1/(1-'P-Parametri'!$B$6*AD598))+MIN(MAX(0,AI597-(MAX(0,AD561-IF($A598&gt;='1-Input'!$C$12,'1-Input'!$B$13,0))-MIN(MAX(AH597,0),MAX(0,AD561-IF($A598&gt;='1-Input'!$C$12,'1-Input'!$B$13,0))))*(1/(1-'P-Parametri'!$B$6*AD598))),MAX(0,0*AD561-(AH597-MIN(MAX(AH597,0),MAX(0,AD561-IF($A598&gt;='1-Input'!$C$12,'1-Input'!$B$13,0)))))*(1/(1-'P-Parametri'!$B$6*AD598))))</f>
        <v>8060.299282954551</v>
      </c>
      <c r="AF598" s="18">
        <f>IF($A598&gt;'1-Input'!$B$26,AH597,(AH597-MAX(0,AD561-IF($A598&gt;='1-Input'!$C$12,'1-Input'!$B$13,0))+AE598*(1-'P-Parametri'!$B$6*AD598))*(1+'1-Input'!$B$27))</f>
        <v>-9.0622052084654565E-13</v>
      </c>
      <c r="AG598" s="18">
        <f>IF($A598&gt;'1-Input'!$B$26,AI597,(AI597-AE598)*(1+'5-Roberta'!$C$4))</f>
        <v>72341.980005036137</v>
      </c>
      <c r="AH598" s="18">
        <f>IF($A598&gt;'1-Input'!$B$26,AF598,AF598-'P-Parametri'!$B$8*(AG598+AF598)+MIN(MAX(AG598,0),'P-Parametri'!$B$8*(AG598+AF598)))</f>
        <v>-9.0949470177292824E-13</v>
      </c>
      <c r="AI598" s="18">
        <f>IF($A598&gt;'1-Input'!$B$26,AG598,AG598-MIN(MAX(AG598,0),'P-Parametri'!$B$8*(AG598+AF598)))</f>
        <v>72197.296045026058</v>
      </c>
      <c r="AJ598" s="18">
        <f>IF($A598&gt;'1-Input'!$B$26,AJ597,AJ597-AE598*(1-AD598))</f>
        <v>21565.902603476454</v>
      </c>
      <c r="AK598" s="11">
        <f>IF($A598&gt;'1-Input'!$B$26,0,IF(AP597&lt;=0,0,MAX(0,(AP597-AQ597)/AP597)))</f>
        <v>0.69294620246730332</v>
      </c>
      <c r="AL598" s="18">
        <f>IF($A598&gt;'1-Input'!$B$26,0,(MAX(0,AK561-IF($A598&gt;='1-Input'!$C$12,'1-Input'!$B$13,0))-MIN(MAX(AO597,0),MAX(0,AK561-IF($A598&gt;='1-Input'!$C$12,'1-Input'!$B$13,0))))*(1/(1-'P-Parametri'!$B$6*AK598))+MIN(MAX(0,AP597-(MAX(0,AK561-IF($A598&gt;='1-Input'!$C$12,'1-Input'!$B$13,0))-MIN(MAX(AO597,0),MAX(0,AK561-IF($A598&gt;='1-Input'!$C$12,'1-Input'!$B$13,0))))*(1/(1-'P-Parametri'!$B$6*AK598))),MAX(0,0*AK561-(AO597-MIN(MAX(AO597,0),MAX(0,AK561-IF($A598&gt;='1-Input'!$C$12,'1-Input'!$B$13,0)))))*(1/(1-'P-Parametri'!$B$6*AK598))))</f>
        <v>8057.729973086919</v>
      </c>
      <c r="AM598" s="18">
        <f>IF($A598&gt;'1-Input'!$B$26,AO597,(AO597-MAX(0,AK561-IF($A598&gt;='1-Input'!$C$12,'1-Input'!$B$13,0))+AL598*(1-'P-Parametri'!$B$6*AK598))*(1+'1-Input'!$B$27))</f>
        <v>0</v>
      </c>
      <c r="AN598" s="18">
        <f>IF($A598&gt;'1-Input'!$B$26,AP597,(AP597-AL598)*(1+'5-Roberta'!$C$4))</f>
        <v>72485.055364525149</v>
      </c>
      <c r="AO598" s="18">
        <f>IF($A598&gt;'1-Input'!$B$26,AM598,AM598-'P-Parametri'!$B$8*(AN598+AM598)+MIN(MAX(AN598,0),'P-Parametri'!$B$8*(AN598+AM598)))</f>
        <v>0</v>
      </c>
      <c r="AP598" s="18">
        <f>IF($A598&gt;'1-Input'!$B$26,AN598,AN598-MIN(MAX(AN598,0),'P-Parametri'!$B$8*(AN598+AM598)))</f>
        <v>72340.085253796104</v>
      </c>
      <c r="AQ598" s="18">
        <f>IF($A598&gt;'1-Input'!$B$26,AQ597,AQ597-AL598*(1-AK598))</f>
        <v>21608.554868005056</v>
      </c>
    </row>
    <row r="599" spans="1:43">
      <c r="A599" s="10">
        <f>36</f>
        <v>36</v>
      </c>
      <c r="B599" s="11">
        <f>IF($A599&gt;'1-Input'!$B$26,0,IF(G598&lt;=0,0,MAX(0,(G598-H598)/G598)))</f>
        <v>0.70129210116086871</v>
      </c>
      <c r="C599" s="18">
        <f>IF($A599&gt;'1-Input'!$B$26,0,(MAX(0,B561-IF($A599&gt;='1-Input'!$C$12,'1-Input'!$B$13,0))-MIN(MAX(F598,0),MAX(0,B561-IF($A599&gt;='1-Input'!$C$12,'1-Input'!$B$13,0))))*(1/(1-'P-Parametri'!$B$6*B599))+MIN(MAX(0,G598-(MAX(0,B561-IF($A599&gt;='1-Input'!$C$12,'1-Input'!$B$13,0))-MIN(MAX(F598,0),MAX(0,B561-IF($A599&gt;='1-Input'!$C$12,'1-Input'!$B$13,0))))*(1/(1-'P-Parametri'!$B$6*B599))),MAX(0,0*B561-(F598-MIN(MAX(F598,0),MAX(0,B561-IF($A599&gt;='1-Input'!$C$12,'1-Input'!$B$13,0)))))*(1/(1-'P-Parametri'!$B$6*B599))))</f>
        <v>4581.4112748175075</v>
      </c>
      <c r="D599" s="18">
        <f>IF($A599&gt;'1-Input'!$B$26,F598,(F598-MAX(0,B561-IF($A599&gt;='1-Input'!$C$12,'1-Input'!$B$13,0))+C599*(1-'P-Parametri'!$B$6*B599))*(1+'1-Input'!$B$27))</f>
        <v>0</v>
      </c>
      <c r="E599" s="18">
        <f>IF($A599&gt;'1-Input'!$B$26,G598,(G598-C599)*(1+'5-Roberta'!$C$4))</f>
        <v>269477.59964524326</v>
      </c>
      <c r="F599" s="18">
        <f>IF($A599&gt;'1-Input'!$B$26,D599,D599-'P-Parametri'!$B$8*(E599+D599)+MIN(MAX(E599,0),'P-Parametri'!$B$8*(E599+D599)))</f>
        <v>0</v>
      </c>
      <c r="G599" s="18">
        <f>IF($A599&gt;'1-Input'!$B$26,E599,E599-MIN(MAX(E599,0),'P-Parametri'!$B$8*(E599+D599)))</f>
        <v>268938.64444595278</v>
      </c>
      <c r="H599" s="18">
        <f>IF($A599&gt;'1-Input'!$B$26,H598,H598-C599*(1-B599))</f>
        <v>78150.570460430346</v>
      </c>
      <c r="I599" s="11">
        <f>IF($A599&gt;'1-Input'!$B$26,0,IF(N598&lt;=0,0,MAX(0,(N598-O598)/N598)))</f>
        <v>0</v>
      </c>
      <c r="J599" s="18">
        <f>IF($A599&gt;'1-Input'!$B$26,0,(MAX(0,I561-IF($A599&gt;='1-Input'!$C$12,'1-Input'!$B$13,0))-MIN(MAX(M598,0),MAX(0,I561-IF($A599&gt;='1-Input'!$C$12,'1-Input'!$B$13,0))))*(1/(1-'P-Parametri'!$B$6*I599))+MIN(MAX(0,N598-(MAX(0,I561-IF($A599&gt;='1-Input'!$C$12,'1-Input'!$B$13,0))-MIN(MAX(M598,0),MAX(0,I561-IF($A599&gt;='1-Input'!$C$12,'1-Input'!$B$13,0))))*(1/(1-'P-Parametri'!$B$6*I599))),MAX(0,0*I561-(M598-MIN(MAX(M598,0),MAX(0,I561-IF($A599&gt;='1-Input'!$C$12,'1-Input'!$B$13,0)))))*(1/(1-'P-Parametri'!$B$6*I599))))</f>
        <v>9013.756992928691</v>
      </c>
      <c r="K599" s="18">
        <f>IF($A599&gt;'1-Input'!$B$26,M598,(M598-MAX(0,I561-IF($A599&gt;='1-Input'!$C$12,'1-Input'!$B$13,0))+J599*(1-'P-Parametri'!$B$6*I599))*(1+'1-Input'!$B$27))</f>
        <v>-1.8124410416930913E-12</v>
      </c>
      <c r="L599" s="18">
        <f>IF($A599&gt;'1-Input'!$B$26,N598,(N598-J599)*(1+'5-Roberta'!$C$4))</f>
        <v>-87693.743121530235</v>
      </c>
      <c r="M599" s="18">
        <f>IF($A599&gt;'1-Input'!$B$26,K599,K599-'P-Parametri'!$B$8*(L599+K599)+MIN(MAX(L599,0),'P-Parametri'!$B$8*(L599+K599)))</f>
        <v>-1.8189894035458565E-12</v>
      </c>
      <c r="N599" s="18">
        <f>IF($A599&gt;'1-Input'!$B$26,L599,L599-MIN(MAX(L599,0),'P-Parametri'!$B$8*(L599+K599)))</f>
        <v>-87518.355635287167</v>
      </c>
      <c r="O599" s="18">
        <f>IF($A599&gt;'1-Input'!$B$26,O598,O598-J599*(1-I599))</f>
        <v>-73773.780782773654</v>
      </c>
      <c r="P599" s="11">
        <f>IF($A599&gt;'1-Input'!$B$26,0,IF(U598&lt;=0,0,MAX(0,(U598-V598)/U598)))</f>
        <v>0.70129210116086871</v>
      </c>
      <c r="Q599" s="18">
        <f>IF($A599&gt;'1-Input'!$B$26,0,(MAX(0,P561-IF($A599&gt;='1-Input'!$C$12,'1-Input'!$B$13,0))-MIN(MAX(T598,0),MAX(0,P561-IF($A599&gt;='1-Input'!$C$12,'1-Input'!$B$13,0))))*(1/(1-'P-Parametri'!$B$6*P599))+MIN(MAX(0,U598-(MAX(0,P561-IF($A599&gt;='1-Input'!$C$12,'1-Input'!$B$13,0))-MIN(MAX(T598,0),MAX(0,P561-IF($A599&gt;='1-Input'!$C$12,'1-Input'!$B$13,0))))*(1/(1-'P-Parametri'!$B$6*P599))),MAX(0,0*P561-(T598-MIN(MAX(T598,0),MAX(0,P561-IF($A599&gt;='1-Input'!$C$12,'1-Input'!$B$13,0)))))*(1/(1-'P-Parametri'!$B$6*P599))))</f>
        <v>8387.2620637717337</v>
      </c>
      <c r="R599" s="18">
        <f>IF($A599&gt;'1-Input'!$B$26,T598,(T598-MAX(0,P561-IF($A599&gt;='1-Input'!$C$12,'1-Input'!$B$13,0))+Q599*(1-'P-Parametri'!$B$6*P599))*(1+'1-Input'!$B$27))</f>
        <v>0</v>
      </c>
      <c r="S599" s="18">
        <f>IF($A599&gt;'1-Input'!$B$26,U598,(U598-Q599)*(1+'5-Roberta'!$C$4))</f>
        <v>48279.014806162428</v>
      </c>
      <c r="T599" s="18">
        <f>IF($A599&gt;'1-Input'!$B$26,R599,R599-'P-Parametri'!$B$8*(S599+R599)+MIN(MAX(S599,0),'P-Parametri'!$B$8*(S599+R599)))</f>
        <v>0</v>
      </c>
      <c r="U599" s="18">
        <f>IF($A599&gt;'1-Input'!$B$26,S599,S599-MIN(MAX(S599,0),'P-Parametri'!$B$8*(S599+R599)))</f>
        <v>48182.456776550105</v>
      </c>
      <c r="V599" s="18">
        <f>IF($A599&gt;'1-Input'!$B$26,V598,V598-Q599*(1-P599))</f>
        <v>14001.284534730177</v>
      </c>
      <c r="W599" s="11">
        <f>IF($A599&gt;'1-Input'!$B$26,0,IF(AB598&lt;=0,0,MAX(0,(AB598-AC598)/AB598)))</f>
        <v>0.70129210116086871</v>
      </c>
      <c r="X599" s="18">
        <f>IF($A599&gt;'1-Input'!$B$26,0,(MAX(0,W561-IF($A599&gt;='1-Input'!$C$12,'1-Input'!$B$13,0))-MIN(MAX(AA598,0),MAX(0,W561-IF($A599&gt;='1-Input'!$C$12,'1-Input'!$B$13,0))))*(1/(1-'P-Parametri'!$B$6*W599))+MIN(MAX(0,AB598-(MAX(0,W561-IF($A599&gt;='1-Input'!$C$12,'1-Input'!$B$13,0))-MIN(MAX(AA598,0),MAX(0,W561-IF($A599&gt;='1-Input'!$C$12,'1-Input'!$B$13,0))))*(1/(1-'P-Parametri'!$B$6*W599))),MAX(0,0*W561-(AA598-MIN(MAX(AA598,0),MAX(0,W561-IF($A599&gt;='1-Input'!$C$12,'1-Input'!$B$13,0)))))*(1/(1-'P-Parametri'!$B$6*W599))))</f>
        <v>8061.5989458007798</v>
      </c>
      <c r="Y599" s="18">
        <f>IF($A599&gt;'1-Input'!$B$26,AA598,(AA598-MAX(0,W561-IF($A599&gt;='1-Input'!$C$12,'1-Input'!$B$13,0))+X599*(1-'P-Parametri'!$B$6*W599))*(1+'1-Input'!$B$27))</f>
        <v>0</v>
      </c>
      <c r="Z599" s="18">
        <f>IF($A599&gt;'1-Input'!$B$26,AB598,(AB598-X599)*(1+'5-Roberta'!$C$4))</f>
        <v>67206.772310090251</v>
      </c>
      <c r="AA599" s="18">
        <f>IF($A599&gt;'1-Input'!$B$26,Y599,Y599-'P-Parametri'!$B$8*(Z599+Y599)+MIN(MAX(Z599,0),'P-Parametri'!$B$8*(Z599+Y599)))</f>
        <v>0</v>
      </c>
      <c r="AB599" s="18">
        <f>IF($A599&gt;'1-Input'!$B$26,Z599,Z599-MIN(MAX(Z599,0),'P-Parametri'!$B$8*(Z599+Y599)))</f>
        <v>67072.358765470068</v>
      </c>
      <c r="AC599" s="18">
        <f>IF($A599&gt;'1-Input'!$B$26,AC598,AC598-X599*(1-W599))</f>
        <v>19490.479363598999</v>
      </c>
      <c r="AD599" s="11">
        <f>IF($A599&gt;'1-Input'!$B$26,0,IF(AI598&lt;=0,0,MAX(0,(AI598-AJ598)/AI598)))</f>
        <v>0.70129210116086871</v>
      </c>
      <c r="AE599" s="18">
        <f>IF($A599&gt;'1-Input'!$B$26,0,(MAX(0,AD561-IF($A599&gt;='1-Input'!$C$12,'1-Input'!$B$13,0))-MIN(MAX(AH598,0),MAX(0,AD561-IF($A599&gt;='1-Input'!$C$12,'1-Input'!$B$13,0))))*(1/(1-'P-Parametri'!$B$6*AD599))+MIN(MAX(0,AI598-(MAX(0,AD561-IF($A599&gt;='1-Input'!$C$12,'1-Input'!$B$13,0))-MIN(MAX(AH598,0),MAX(0,AD561-IF($A599&gt;='1-Input'!$C$12,'1-Input'!$B$13,0))))*(1/(1-'P-Parametri'!$B$6*AD599))),MAX(0,0*AD561-(AH598-MIN(MAX(AH598,0),MAX(0,AD561-IF($A599&gt;='1-Input'!$C$12,'1-Input'!$B$13,0)))))*(1/(1-'P-Parametri'!$B$6*AD599))))</f>
        <v>8081.6898707482633</v>
      </c>
      <c r="AF599" s="18">
        <f>IF($A599&gt;'1-Input'!$B$26,AH598,(AH598-MAX(0,AD561-IF($A599&gt;='1-Input'!$C$12,'1-Input'!$B$13,0))+AE599*(1-'P-Parametri'!$B$6*AD599))*(1+'1-Input'!$B$27))</f>
        <v>0</v>
      </c>
      <c r="AG599" s="18">
        <f>IF($A599&gt;'1-Input'!$B$26,AI598,(AI598-AE599)*(1+'5-Roberta'!$C$4))</f>
        <v>66039.074359506136</v>
      </c>
      <c r="AH599" s="18">
        <f>IF($A599&gt;'1-Input'!$B$26,AF599,AF599-'P-Parametri'!$B$8*(AG599+AF599)+MIN(MAX(AG599,0),'P-Parametri'!$B$8*(AG599+AF599)))</f>
        <v>0</v>
      </c>
      <c r="AI599" s="18">
        <f>IF($A599&gt;'1-Input'!$B$26,AG599,AG599-MIN(MAX(AG599,0),'P-Parametri'!$B$8*(AG599+AF599)))</f>
        <v>65906.996210787125</v>
      </c>
      <c r="AJ599" s="18">
        <f>IF($A599&gt;'1-Input'!$B$26,AJ598,AJ598-AE599*(1-AD599))</f>
        <v>19151.83800311575</v>
      </c>
      <c r="AK599" s="11">
        <f>IF($A599&gt;'1-Input'!$B$26,0,IF(AP598&lt;=0,0,MAX(0,(AP598-AQ598)/AP598)))</f>
        <v>0.70129210116086871</v>
      </c>
      <c r="AL599" s="18">
        <f>IF($A599&gt;'1-Input'!$B$26,0,(MAX(0,AK561-IF($A599&gt;='1-Input'!$C$12,'1-Input'!$B$13,0))-MIN(MAX(AO598,0),MAX(0,AK561-IF($A599&gt;='1-Input'!$C$12,'1-Input'!$B$13,0))))*(1/(1-'P-Parametri'!$B$6*AK599))+MIN(MAX(0,AP598-(MAX(0,AK561-IF($A599&gt;='1-Input'!$C$12,'1-Input'!$B$13,0))-MIN(MAX(AO598,0),MAX(0,AK561-IF($A599&gt;='1-Input'!$C$12,'1-Input'!$B$13,0))))*(1/(1-'P-Parametri'!$B$6*AK599))),MAX(0,0*AK561-(AO598-MIN(MAX(AO598,0),MAX(0,AK561-IF($A599&gt;='1-Input'!$C$12,'1-Input'!$B$13,0)))))*(1/(1-'P-Parametri'!$B$6*AK599))))</f>
        <v>8079.1137423933314</v>
      </c>
      <c r="AM599" s="18">
        <f>IF($A599&gt;'1-Input'!$B$26,AO598,(AO598-MAX(0,AK561-IF($A599&gt;='1-Input'!$C$12,'1-Input'!$B$13,0))+AL599*(1-'P-Parametri'!$B$6*AK599))*(1+'1-Input'!$B$27))</f>
        <v>0</v>
      </c>
      <c r="AN599" s="18">
        <f>IF($A599&gt;'1-Input'!$B$26,AP598,(AP598-AL599)*(1+'5-Roberta'!$C$4))</f>
        <v>66188.800656744861</v>
      </c>
      <c r="AO599" s="18">
        <f>IF($A599&gt;'1-Input'!$B$26,AM599,AM599-'P-Parametri'!$B$8*(AN599+AM599)+MIN(MAX(AN599,0),'P-Parametri'!$B$8*(AN599+AM599)))</f>
        <v>0</v>
      </c>
      <c r="AP599" s="18">
        <f>IF($A599&gt;'1-Input'!$B$26,AN599,AN599-MIN(MAX(AN599,0),'P-Parametri'!$B$8*(AN599+AM599)))</f>
        <v>66056.423055431369</v>
      </c>
      <c r="AQ599" s="18">
        <f>IF($A599&gt;'1-Input'!$B$26,AQ598,AQ598-AL599*(1-AK599))</f>
        <v>19195.259777532392</v>
      </c>
    </row>
    <row r="600" spans="1:43">
      <c r="A600" s="10">
        <f>37</f>
        <v>37</v>
      </c>
      <c r="B600" s="11">
        <f>IF($A600&gt;'1-Input'!$B$26,0,IF(G599&lt;=0,0,MAX(0,(G599-H599)/G599)))</f>
        <v>0.70941115353120676</v>
      </c>
      <c r="C600" s="18">
        <f>IF($A600&gt;'1-Input'!$B$26,0,(MAX(0,B561-IF($A600&gt;='1-Input'!$C$12,'1-Input'!$B$13,0))-MIN(MAX(F599,0),MAX(0,B561-IF($A600&gt;='1-Input'!$C$12,'1-Input'!$B$13,0))))*(1/(1-'P-Parametri'!$B$6*B600))+MIN(MAX(0,G599-(MAX(0,B561-IF($A600&gt;='1-Input'!$C$12,'1-Input'!$B$13,0))-MIN(MAX(F599,0),MAX(0,B561-IF($A600&gt;='1-Input'!$C$12,'1-Input'!$B$13,0))))*(1/(1-'P-Parametri'!$B$6*B600))),MAX(0,0*B561-(F599-MIN(MAX(F599,0),MAX(0,B561-IF($A600&gt;='1-Input'!$C$12,'1-Input'!$B$13,0)))))*(1/(1-'P-Parametri'!$B$6*B600))))</f>
        <v>4593.2696647829271</v>
      </c>
      <c r="D600" s="18">
        <f>IF($A600&gt;'1-Input'!$B$26,F599,(F599-MAX(0,B561-IF($A600&gt;='1-Input'!$C$12,'1-Input'!$B$13,0))+C600*(1-'P-Parametri'!$B$6*B600))*(1+'1-Input'!$B$27))</f>
        <v>0</v>
      </c>
      <c r="E600" s="18">
        <f>IF($A600&gt;'1-Input'!$B$26,G599,(G599-C600)*(1+'5-Roberta'!$C$4))</f>
        <v>272275.73602460499</v>
      </c>
      <c r="F600" s="18">
        <f>IF($A600&gt;'1-Input'!$B$26,D600,D600-'P-Parametri'!$B$8*(E600+D600)+MIN(MAX(E600,0),'P-Parametri'!$B$8*(E600+D600)))</f>
        <v>0</v>
      </c>
      <c r="G600" s="18">
        <f>IF($A600&gt;'1-Input'!$B$26,E600,E600-MIN(MAX(E600,0),'P-Parametri'!$B$8*(E600+D600)))</f>
        <v>271731.18455255579</v>
      </c>
      <c r="H600" s="18">
        <f>IF($A600&gt;'1-Input'!$B$26,H599,H599-C600*(1-B600))</f>
        <v>76815.817527020976</v>
      </c>
      <c r="I600" s="11">
        <f>IF($A600&gt;'1-Input'!$B$26,0,IF(N599&lt;=0,0,MAX(0,(N599-O599)/N599)))</f>
        <v>0</v>
      </c>
      <c r="J600" s="18">
        <f>IF($A600&gt;'1-Input'!$B$26,0,(MAX(0,I561-IF($A600&gt;='1-Input'!$C$12,'1-Input'!$B$13,0))-MIN(MAX(M599,0),MAX(0,I561-IF($A600&gt;='1-Input'!$C$12,'1-Input'!$B$13,0))))*(1/(1-'P-Parametri'!$B$6*I600))+MIN(MAX(0,N599-(MAX(0,I561-IF($A600&gt;='1-Input'!$C$12,'1-Input'!$B$13,0))-MIN(MAX(M599,0),MAX(0,I561-IF($A600&gt;='1-Input'!$C$12,'1-Input'!$B$13,0))))*(1/(1-'P-Parametri'!$B$6*I600))),MAX(0,0*I561-(M599-MIN(MAX(M599,0),MAX(0,I561-IF($A600&gt;='1-Input'!$C$12,'1-Input'!$B$13,0)))))*(1/(1-'P-Parametri'!$B$6*I600))))</f>
        <v>9013.756992928691</v>
      </c>
      <c r="K600" s="18">
        <f>IF($A600&gt;'1-Input'!$B$26,M599,(M599-MAX(0,I561-IF($A600&gt;='1-Input'!$C$12,'1-Input'!$B$13,0))+J600*(1-'P-Parametri'!$B$6*I600))*(1+'1-Input'!$B$27))</f>
        <v>-1.8124410416930913E-12</v>
      </c>
      <c r="L600" s="18">
        <f>IF($A600&gt;'1-Input'!$B$26,N599,(N599-J600)*(1+'5-Roberta'!$C$4))</f>
        <v>-99428.076007062351</v>
      </c>
      <c r="M600" s="18">
        <f>IF($A600&gt;'1-Input'!$B$26,K600,K600-'P-Parametri'!$B$8*(L600+K600)+MIN(MAX(L600,0),'P-Parametri'!$B$8*(L600+K600)))</f>
        <v>-1.8189894035458565E-12</v>
      </c>
      <c r="N600" s="18">
        <f>IF($A600&gt;'1-Input'!$B$26,L600,L600-MIN(MAX(L600,0),'P-Parametri'!$B$8*(L600+K600)))</f>
        <v>-99229.219855048228</v>
      </c>
      <c r="O600" s="18">
        <f>IF($A600&gt;'1-Input'!$B$26,O599,O599-J600*(1-I600))</f>
        <v>-82787.537775702338</v>
      </c>
      <c r="P600" s="11">
        <f>IF($A600&gt;'1-Input'!$B$26,0,IF(U599&lt;=0,0,MAX(0,(U599-V599)/U599)))</f>
        <v>0.70941115353120687</v>
      </c>
      <c r="Q600" s="18">
        <f>IF($A600&gt;'1-Input'!$B$26,0,(MAX(0,P561-IF($A600&gt;='1-Input'!$C$12,'1-Input'!$B$13,0))-MIN(MAX(T599,0),MAX(0,P561-IF($A600&gt;='1-Input'!$C$12,'1-Input'!$B$13,0))))*(1/(1-'P-Parametri'!$B$6*P600))+MIN(MAX(0,U599-(MAX(0,P561-IF($A600&gt;='1-Input'!$C$12,'1-Input'!$B$13,0))-MIN(MAX(T599,0),MAX(0,P561-IF($A600&gt;='1-Input'!$C$12,'1-Input'!$B$13,0))))*(1/(1-'P-Parametri'!$B$6*P600))),MAX(0,0*P561-(T599-MIN(MAX(T599,0),MAX(0,P561-IF($A600&gt;='1-Input'!$C$12,'1-Input'!$B$13,0)))))*(1/(1-'P-Parametri'!$B$6*P600))))</f>
        <v>8408.9714057906585</v>
      </c>
      <c r="R600" s="18">
        <f>IF($A600&gt;'1-Input'!$B$26,T599,(T599-MAX(0,P561-IF($A600&gt;='1-Input'!$C$12,'1-Input'!$B$13,0))+Q600*(1-'P-Parametri'!$B$6*P600))*(1+'1-Input'!$B$27))</f>
        <v>-9.0622052084654565E-13</v>
      </c>
      <c r="S600" s="18">
        <f>IF($A600&gt;'1-Input'!$B$26,U599,(U599-Q600)*(1+'5-Roberta'!$C$4))</f>
        <v>40966.689931882232</v>
      </c>
      <c r="T600" s="18">
        <f>IF($A600&gt;'1-Input'!$B$26,R600,R600-'P-Parametri'!$B$8*(S600+R600)+MIN(MAX(S600,0),'P-Parametri'!$B$8*(S600+R600)))</f>
        <v>-9.0949470177292824E-13</v>
      </c>
      <c r="U600" s="18">
        <f>IF($A600&gt;'1-Input'!$B$26,S600,S600-MIN(MAX(S600,0),'P-Parametri'!$B$8*(S600+R600)))</f>
        <v>40884.756552018465</v>
      </c>
      <c r="V600" s="18">
        <f>IF($A600&gt;'1-Input'!$B$26,V599,V599-Q600*(1-P600))</f>
        <v>11557.731233932403</v>
      </c>
      <c r="W600" s="11">
        <f>IF($A600&gt;'1-Input'!$B$26,0,IF(AB599&lt;=0,0,MAX(0,(AB599-AC599)/AB599)))</f>
        <v>0.70941115353120676</v>
      </c>
      <c r="X600" s="18">
        <f>IF($A600&gt;'1-Input'!$B$26,0,(MAX(0,W561-IF($A600&gt;='1-Input'!$C$12,'1-Input'!$B$13,0))-MIN(MAX(AA599,0),MAX(0,W561-IF($A600&gt;='1-Input'!$C$12,'1-Input'!$B$13,0))))*(1/(1-'P-Parametri'!$B$6*W600))+MIN(MAX(0,AB599-(MAX(0,W561-IF($A600&gt;='1-Input'!$C$12,'1-Input'!$B$13,0))-MIN(MAX(AA599,0),MAX(0,W561-IF($A600&gt;='1-Input'!$C$12,'1-Input'!$B$13,0))))*(1/(1-'P-Parametri'!$B$6*W600))),MAX(0,0*W561-(AA599-MIN(MAX(AA599,0),MAX(0,W561-IF($A600&gt;='1-Input'!$C$12,'1-Input'!$B$13,0)))))*(1/(1-'P-Parametri'!$B$6*W600))))</f>
        <v>8082.4653509998916</v>
      </c>
      <c r="Y600" s="18">
        <f>IF($A600&gt;'1-Input'!$B$26,AA599,(AA599-MAX(0,W561-IF($A600&gt;='1-Input'!$C$12,'1-Input'!$B$13,0))+X600*(1-'P-Parametri'!$B$6*W600))*(1+'1-Input'!$B$27))</f>
        <v>0</v>
      </c>
      <c r="Z600" s="18">
        <f>IF($A600&gt;'1-Input'!$B$26,AB599,(AB599-X600)*(1+'5-Roberta'!$C$4))</f>
        <v>60759.590216904282</v>
      </c>
      <c r="AA600" s="18">
        <f>IF($A600&gt;'1-Input'!$B$26,Y600,Y600-'P-Parametri'!$B$8*(Z600+Y600)+MIN(MAX(Z600,0),'P-Parametri'!$B$8*(Z600+Y600)))</f>
        <v>0</v>
      </c>
      <c r="AB600" s="18">
        <f>IF($A600&gt;'1-Input'!$B$26,Z600,Z600-MIN(MAX(Z600,0),'P-Parametri'!$B$8*(Z600+Y600)))</f>
        <v>60638.071036470472</v>
      </c>
      <c r="AC600" s="18">
        <f>IF($A600&gt;'1-Input'!$B$26,AC599,AC599-X600*(1-W600))</f>
        <v>17141.80508062795</v>
      </c>
      <c r="AD600" s="11">
        <f>IF($A600&gt;'1-Input'!$B$26,0,IF(AI599&lt;=0,0,MAX(0,(AI599-AJ599)/AI599)))</f>
        <v>0.70941115353120687</v>
      </c>
      <c r="AE600" s="18">
        <f>IF($A600&gt;'1-Input'!$B$26,0,(MAX(0,AD561-IF($A600&gt;='1-Input'!$C$12,'1-Input'!$B$13,0))-MIN(MAX(AH599,0),MAX(0,AD561-IF($A600&gt;='1-Input'!$C$12,'1-Input'!$B$13,0))))*(1/(1-'P-Parametri'!$B$6*AD600))+MIN(MAX(0,AI599-(MAX(0,AD561-IF($A600&gt;='1-Input'!$C$12,'1-Input'!$B$13,0))-MIN(MAX(AH599,0),MAX(0,AD561-IF($A600&gt;='1-Input'!$C$12,'1-Input'!$B$13,0))))*(1/(1-'P-Parametri'!$B$6*AD600))),MAX(0,0*AD561-(AH599-MIN(MAX(AH599,0),MAX(0,AD561-IF($A600&gt;='1-Input'!$C$12,'1-Input'!$B$13,0)))))*(1/(1-'P-Parametri'!$B$6*AD600))))</f>
        <v>8102.6082787055857</v>
      </c>
      <c r="AF600" s="18">
        <f>IF($A600&gt;'1-Input'!$B$26,AH599,(AH599-MAX(0,AD561-IF($A600&gt;='1-Input'!$C$12,'1-Input'!$B$13,0))+AE600*(1-'P-Parametri'!$B$6*AD600))*(1+'1-Input'!$B$27))</f>
        <v>0</v>
      </c>
      <c r="AG600" s="18">
        <f>IF($A600&gt;'1-Input'!$B$26,AI599,(AI599-AE600)*(1+'5-Roberta'!$C$4))</f>
        <v>59538.519570043987</v>
      </c>
      <c r="AH600" s="18">
        <f>IF($A600&gt;'1-Input'!$B$26,AF600,AF600-'P-Parametri'!$B$8*(AG600+AF600)+MIN(MAX(AG600,0),'P-Parametri'!$B$8*(AG600+AF600)))</f>
        <v>0</v>
      </c>
      <c r="AI600" s="18">
        <f>IF($A600&gt;'1-Input'!$B$26,AG600,AG600-MIN(MAX(AG600,0),'P-Parametri'!$B$8*(AG600+AF600)))</f>
        <v>59419.4425309039</v>
      </c>
      <c r="AJ600" s="18">
        <f>IF($A600&gt;'1-Input'!$B$26,AJ599,AJ599-AE600*(1-AD600))</f>
        <v>16797.310410018203</v>
      </c>
      <c r="AK600" s="11">
        <f>IF($A600&gt;'1-Input'!$B$26,0,IF(AP599&lt;=0,0,MAX(0,(AP599-AQ599)/AP599)))</f>
        <v>0.70941115353120687</v>
      </c>
      <c r="AL600" s="18">
        <f>IF($A600&gt;'1-Input'!$B$26,0,(MAX(0,AK561-IF($A600&gt;='1-Input'!$C$12,'1-Input'!$B$13,0))-MIN(MAX(AO599,0),MAX(0,AK561-IF($A600&gt;='1-Input'!$C$12,'1-Input'!$B$13,0))))*(1/(1-'P-Parametri'!$B$6*AK600))+MIN(MAX(0,AP599-(MAX(0,AK561-IF($A600&gt;='1-Input'!$C$12,'1-Input'!$B$13,0))-MIN(MAX(AO599,0),MAX(0,AK561-IF($A600&gt;='1-Input'!$C$12,'1-Input'!$B$13,0))))*(1/(1-'P-Parametri'!$B$6*AK600))),MAX(0,0*AK561-(AO599-MIN(MAX(AO599,0),MAX(0,AK561-IF($A600&gt;='1-Input'!$C$12,'1-Input'!$B$13,0)))))*(1/(1-'P-Parametri'!$B$6*AK600))))</f>
        <v>8100.0254823759196</v>
      </c>
      <c r="AM600" s="18">
        <f>IF($A600&gt;'1-Input'!$B$26,AO599,(AO599-MAX(0,AK561-IF($A600&gt;='1-Input'!$C$12,'1-Input'!$B$13,0))+AL600*(1-'P-Parametri'!$B$6*AK600))*(1+'1-Input'!$B$27))</f>
        <v>0</v>
      </c>
      <c r="AN600" s="18">
        <f>IF($A600&gt;'1-Input'!$B$26,AP599,(AP599-AL600)*(1+'5-Roberta'!$C$4))</f>
        <v>59695.089500247115</v>
      </c>
      <c r="AO600" s="18">
        <f>IF($A600&gt;'1-Input'!$B$26,AM600,AM600-'P-Parametri'!$B$8*(AN600+AM600)+MIN(MAX(AN600,0),'P-Parametri'!$B$8*(AN600+AM600)))</f>
        <v>0</v>
      </c>
      <c r="AP600" s="18">
        <f>IF($A600&gt;'1-Input'!$B$26,AN600,AN600-MIN(MAX(AN600,0),'P-Parametri'!$B$8*(AN600+AM600)))</f>
        <v>59575.699321246619</v>
      </c>
      <c r="AQ600" s="18">
        <f>IF($A600&gt;'1-Input'!$B$26,AQ599,AQ599-AL600*(1-AK600))</f>
        <v>16841.482716240942</v>
      </c>
    </row>
    <row r="601" spans="1:43">
      <c r="A601" s="10">
        <f>38</f>
        <v>38</v>
      </c>
      <c r="B601" s="11">
        <f>IF($A601&gt;'1-Input'!$B$26,0,IF(G600&lt;=0,0,MAX(0,(G600-H600)/G600)))</f>
        <v>0.71730952539176096</v>
      </c>
      <c r="C601" s="18">
        <f>IF($A601&gt;'1-Input'!$B$26,0,(MAX(0,B561-IF($A601&gt;='1-Input'!$C$12,'1-Input'!$B$13,0))-MIN(MAX(F600,0),MAX(0,B561-IF($A601&gt;='1-Input'!$C$12,'1-Input'!$B$13,0))))*(1/(1-'P-Parametri'!$B$6*B601))+MIN(MAX(0,G600-(MAX(0,B561-IF($A601&gt;='1-Input'!$C$12,'1-Input'!$B$13,0))-MIN(MAX(F600,0),MAX(0,B561-IF($A601&gt;='1-Input'!$C$12,'1-Input'!$B$13,0))))*(1/(1-'P-Parametri'!$B$6*B601))),MAX(0,0*B561-(F600-MIN(MAX(F600,0),MAX(0,B561-IF($A601&gt;='1-Input'!$C$12,'1-Input'!$B$13,0)))))*(1/(1-'P-Parametri'!$B$6*B601))))</f>
        <v>4604.8647932549702</v>
      </c>
      <c r="D601" s="18">
        <f>IF($A601&gt;'1-Input'!$B$26,F600,(F600-MAX(0,B561-IF($A601&gt;='1-Input'!$C$12,'1-Input'!$B$13,0))+C601*(1-'P-Parametri'!$B$6*B601))*(1+'1-Input'!$B$27))</f>
        <v>0</v>
      </c>
      <c r="E601" s="18">
        <f>IF($A601&gt;'1-Input'!$B$26,G600,(G600-C601)*(1+'5-Roberta'!$C$4))</f>
        <v>275140.1093520798</v>
      </c>
      <c r="F601" s="18">
        <f>IF($A601&gt;'1-Input'!$B$26,D601,D601-'P-Parametri'!$B$8*(E601+D601)+MIN(MAX(E601,0),'P-Parametri'!$B$8*(E601+D601)))</f>
        <v>0</v>
      </c>
      <c r="G601" s="18">
        <f>IF($A601&gt;'1-Input'!$B$26,E601,E601-MIN(MAX(E601,0),'P-Parametri'!$B$8*(E601+D601)))</f>
        <v>274589.82913337566</v>
      </c>
      <c r="H601" s="18">
        <f>IF($A601&gt;'1-Input'!$B$26,H600,H600-C601*(1-B601))</f>
        <v>75514.066113108958</v>
      </c>
      <c r="I601" s="11">
        <f>IF($A601&gt;'1-Input'!$B$26,0,IF(N600&lt;=0,0,MAX(0,(N600-O600)/N600)))</f>
        <v>0</v>
      </c>
      <c r="J601" s="18">
        <f>IF($A601&gt;'1-Input'!$B$26,0,(MAX(0,I561-IF($A601&gt;='1-Input'!$C$12,'1-Input'!$B$13,0))-MIN(MAX(M600,0),MAX(0,I561-IF($A601&gt;='1-Input'!$C$12,'1-Input'!$B$13,0))))*(1/(1-'P-Parametri'!$B$6*I601))+MIN(MAX(0,N600-(MAX(0,I561-IF($A601&gt;='1-Input'!$C$12,'1-Input'!$B$13,0))-MIN(MAX(M600,0),MAX(0,I561-IF($A601&gt;='1-Input'!$C$12,'1-Input'!$B$13,0))))*(1/(1-'P-Parametri'!$B$6*I601))),MAX(0,0*I561-(M600-MIN(MAX(M600,0),MAX(0,I561-IF($A601&gt;='1-Input'!$C$12,'1-Input'!$B$13,0)))))*(1/(1-'P-Parametri'!$B$6*I601))))</f>
        <v>9013.756992928691</v>
      </c>
      <c r="K601" s="18">
        <f>IF($A601&gt;'1-Input'!$B$26,M600,(M600-MAX(0,I561-IF($A601&gt;='1-Input'!$C$12,'1-Input'!$B$13,0))+J601*(1-'P-Parametri'!$B$6*I601))*(1+'1-Input'!$B$27))</f>
        <v>-1.8124410416930913E-12</v>
      </c>
      <c r="L601" s="18">
        <f>IF($A601&gt;'1-Input'!$B$26,N600,(N600-J601)*(1+'5-Roberta'!$C$4))</f>
        <v>-111490.26615341622</v>
      </c>
      <c r="M601" s="18">
        <f>IF($A601&gt;'1-Input'!$B$26,K601,K601-'P-Parametri'!$B$8*(L601+K601)+MIN(MAX(L601,0),'P-Parametri'!$B$8*(L601+K601)))</f>
        <v>-1.8189894035458565E-12</v>
      </c>
      <c r="N601" s="18">
        <f>IF($A601&gt;'1-Input'!$B$26,L601,L601-MIN(MAX(L601,0),'P-Parametri'!$B$8*(L601+K601)))</f>
        <v>-111267.28562110939</v>
      </c>
      <c r="O601" s="18">
        <f>IF($A601&gt;'1-Input'!$B$26,O600,O600-J601*(1-I601))</f>
        <v>-91801.294768631022</v>
      </c>
      <c r="P601" s="11">
        <f>IF($A601&gt;'1-Input'!$B$26,0,IF(U600&lt;=0,0,MAX(0,(U600-V600)/U600)))</f>
        <v>0.71730952539176107</v>
      </c>
      <c r="Q601" s="18">
        <f>IF($A601&gt;'1-Input'!$B$26,0,(MAX(0,P561-IF($A601&gt;='1-Input'!$C$12,'1-Input'!$B$13,0))-MIN(MAX(T600,0),MAX(0,P561-IF($A601&gt;='1-Input'!$C$12,'1-Input'!$B$13,0))))*(1/(1-'P-Parametri'!$B$6*P601))+MIN(MAX(0,U600-(MAX(0,P561-IF($A601&gt;='1-Input'!$C$12,'1-Input'!$B$13,0))-MIN(MAX(T600,0),MAX(0,P561-IF($A601&gt;='1-Input'!$C$12,'1-Input'!$B$13,0))))*(1/(1-'P-Parametri'!$B$6*P601))),MAX(0,0*P561-(T600-MIN(MAX(T600,0),MAX(0,P561-IF($A601&gt;='1-Input'!$C$12,'1-Input'!$B$13,0)))))*(1/(1-'P-Parametri'!$B$6*P601))))</f>
        <v>8430.1987908308747</v>
      </c>
      <c r="R601" s="18">
        <f>IF($A601&gt;'1-Input'!$B$26,T600,(T600-MAX(0,P561-IF($A601&gt;='1-Input'!$C$12,'1-Input'!$B$13,0))+Q601*(1-'P-Parametri'!$B$6*P601))*(1+'1-Input'!$B$27))</f>
        <v>9.0622052084654565E-13</v>
      </c>
      <c r="S601" s="18">
        <f>IF($A601&gt;'1-Input'!$B$26,U600,(U600-Q601)*(1+'5-Roberta'!$C$4))</f>
        <v>33428.194494023221</v>
      </c>
      <c r="T601" s="18">
        <f>IF($A601&gt;'1-Input'!$B$26,R601,R601-'P-Parametri'!$B$8*(S601+R601)+MIN(MAX(S601,0),'P-Parametri'!$B$8*(S601+R601)))</f>
        <v>9.0949470177292824E-13</v>
      </c>
      <c r="U601" s="18">
        <f>IF($A601&gt;'1-Input'!$B$26,S601,S601-MIN(MAX(S601,0),'P-Parametri'!$B$8*(S601+R601)))</f>
        <v>33361.338105035175</v>
      </c>
      <c r="V601" s="18">
        <f>IF($A601&gt;'1-Input'!$B$26,V600,V600-Q601*(1-P601))</f>
        <v>9174.5943367106211</v>
      </c>
      <c r="W601" s="11">
        <f>IF($A601&gt;'1-Input'!$B$26,0,IF(AB600&lt;=0,0,MAX(0,(AB600-AC600)/AB600)))</f>
        <v>0.71730952539176096</v>
      </c>
      <c r="X601" s="18">
        <f>IF($A601&gt;'1-Input'!$B$26,0,(MAX(0,W561-IF($A601&gt;='1-Input'!$C$12,'1-Input'!$B$13,0))-MIN(MAX(AA600,0),MAX(0,W561-IF($A601&gt;='1-Input'!$C$12,'1-Input'!$B$13,0))))*(1/(1-'P-Parametri'!$B$6*W601))+MIN(MAX(0,AB600-(MAX(0,W561-IF($A601&gt;='1-Input'!$C$12,'1-Input'!$B$13,0))-MIN(MAX(AA600,0),MAX(0,W561-IF($A601&gt;='1-Input'!$C$12,'1-Input'!$B$13,0))))*(1/(1-'P-Parametri'!$B$6*W601))),MAX(0,0*W561-(AA600-MIN(MAX(AA600,0),MAX(0,W561-IF($A601&gt;='1-Input'!$C$12,'1-Input'!$B$13,0)))))*(1/(1-'P-Parametri'!$B$6*W601))))</f>
        <v>8102.8685127898943</v>
      </c>
      <c r="Y601" s="18">
        <f>IF($A601&gt;'1-Input'!$B$26,AA600,(AA600-MAX(0,W561-IF($A601&gt;='1-Input'!$C$12,'1-Input'!$B$13,0))+X601*(1-'P-Parametri'!$B$6*W601))*(1+'1-Input'!$B$27))</f>
        <v>0</v>
      </c>
      <c r="Z601" s="18">
        <f>IF($A601&gt;'1-Input'!$B$26,AB600,(AB600-X601)*(1+'5-Roberta'!$C$4))</f>
        <v>54111.258599390996</v>
      </c>
      <c r="AA601" s="18">
        <f>IF($A601&gt;'1-Input'!$B$26,Y601,Y601-'P-Parametri'!$B$8*(Z601+Y601)+MIN(MAX(Z601,0),'P-Parametri'!$B$8*(Z601+Y601)))</f>
        <v>0</v>
      </c>
      <c r="AB601" s="18">
        <f>IF($A601&gt;'1-Input'!$B$26,Z601,Z601-MIN(MAX(Z601,0),'P-Parametri'!$B$8*(Z601+Y601)))</f>
        <v>54003.036082192215</v>
      </c>
      <c r="AC601" s="18">
        <f>IF($A601&gt;'1-Input'!$B$26,AC600,AC600-X601*(1-W601))</f>
        <v>14851.201335059219</v>
      </c>
      <c r="AD601" s="11">
        <f>IF($A601&gt;'1-Input'!$B$26,0,IF(AI600&lt;=0,0,MAX(0,(AI600-AJ600)/AI600)))</f>
        <v>0.71730952539176107</v>
      </c>
      <c r="AE601" s="18">
        <f>IF($A601&gt;'1-Input'!$B$26,0,(MAX(0,AD561-IF($A601&gt;='1-Input'!$C$12,'1-Input'!$B$13,0))-MIN(MAX(AH600,0),MAX(0,AD561-IF($A601&gt;='1-Input'!$C$12,'1-Input'!$B$13,0))))*(1/(1-'P-Parametri'!$B$6*AD601))+MIN(MAX(0,AI600-(MAX(0,AD561-IF($A601&gt;='1-Input'!$C$12,'1-Input'!$B$13,0))-MIN(MAX(AH600,0),MAX(0,AD561-IF($A601&gt;='1-Input'!$C$12,'1-Input'!$B$13,0))))*(1/(1-'P-Parametri'!$B$6*AD601))),MAX(0,0*AD561-(AH600-MIN(MAX(AH600,0),MAX(0,AD561-IF($A601&gt;='1-Input'!$C$12,'1-Input'!$B$13,0)))))*(1/(1-'P-Parametri'!$B$6*AD601))))</f>
        <v>8123.0622887696063</v>
      </c>
      <c r="AF601" s="18">
        <f>IF($A601&gt;'1-Input'!$B$26,AH600,(AH600-MAX(0,AD561-IF($A601&gt;='1-Input'!$C$12,'1-Input'!$B$13,0))+AE601*(1-'P-Parametri'!$B$6*AD601))*(1+'1-Input'!$B$27))</f>
        <v>0</v>
      </c>
      <c r="AG601" s="18">
        <f>IF($A601&gt;'1-Input'!$B$26,AI600,(AI600-AE601)*(1+'5-Roberta'!$C$4))</f>
        <v>52835.271649398324</v>
      </c>
      <c r="AH601" s="18">
        <f>IF($A601&gt;'1-Input'!$B$26,AF601,AF601-'P-Parametri'!$B$8*(AG601+AF601)+MIN(MAX(AG601,0),'P-Parametri'!$B$8*(AG601+AF601)))</f>
        <v>0</v>
      </c>
      <c r="AI601" s="18">
        <f>IF($A601&gt;'1-Input'!$B$26,AG601,AG601-MIN(MAX(AG601,0),'P-Parametri'!$B$8*(AG601+AF601)))</f>
        <v>52729.60110609953</v>
      </c>
      <c r="AJ601" s="18">
        <f>IF($A601&gt;'1-Input'!$B$26,AJ600,AJ600-AE601*(1-AD601))</f>
        <v>14500.998076333635</v>
      </c>
      <c r="AK601" s="11">
        <f>IF($A601&gt;'1-Input'!$B$26,0,IF(AP600&lt;=0,0,MAX(0,(AP600-AQ600)/AP600)))</f>
        <v>0.71730952539176107</v>
      </c>
      <c r="AL601" s="18">
        <f>IF($A601&gt;'1-Input'!$B$26,0,(MAX(0,AK561-IF($A601&gt;='1-Input'!$C$12,'1-Input'!$B$13,0))-MIN(MAX(AO600,0),MAX(0,AK561-IF($A601&gt;='1-Input'!$C$12,'1-Input'!$B$13,0))))*(1/(1-'P-Parametri'!$B$6*AK601))+MIN(MAX(0,AP600-(MAX(0,AK561-IF($A601&gt;='1-Input'!$C$12,'1-Input'!$B$13,0))-MIN(MAX(AO600,0),MAX(0,AK561-IF($A601&gt;='1-Input'!$C$12,'1-Input'!$B$13,0))))*(1/(1-'P-Parametri'!$B$6*AK601))),MAX(0,0*AK561-(AO600-MIN(MAX(AO600,0),MAX(0,AK561-IF($A601&gt;='1-Input'!$C$12,'1-Input'!$B$13,0)))))*(1/(1-'P-Parametri'!$B$6*AK601))))</f>
        <v>8120.4729724971876</v>
      </c>
      <c r="AM601" s="18">
        <f>IF($A601&gt;'1-Input'!$B$26,AO600,(AO600-MAX(0,AK561-IF($A601&gt;='1-Input'!$C$12,'1-Input'!$B$13,0))+AL601*(1-'P-Parametri'!$B$6*AK601))*(1+'1-Input'!$B$27))</f>
        <v>0</v>
      </c>
      <c r="AN601" s="18">
        <f>IF($A601&gt;'1-Input'!$B$26,AP600,(AP600-AL601)*(1+'5-Roberta'!$C$4))</f>
        <v>52998.883139211917</v>
      </c>
      <c r="AO601" s="18">
        <f>IF($A601&gt;'1-Input'!$B$26,AM601,AM601-'P-Parametri'!$B$8*(AN601+AM601)+MIN(MAX(AN601,0),'P-Parametri'!$B$8*(AN601+AM601)))</f>
        <v>0</v>
      </c>
      <c r="AP601" s="18">
        <f>IF($A601&gt;'1-Input'!$B$26,AN601,AN601-MIN(MAX(AN601,0),'P-Parametri'!$B$8*(AN601+AM601)))</f>
        <v>52892.885372933495</v>
      </c>
      <c r="AQ601" s="18">
        <f>IF($A601&gt;'1-Input'!$B$26,AQ600,AQ600-AL601*(1-AK601))</f>
        <v>14545.902357602336</v>
      </c>
    </row>
    <row r="602" spans="1:43">
      <c r="A602" s="10">
        <f>39</f>
        <v>39</v>
      </c>
      <c r="B602" s="11">
        <f>IF($A602&gt;'1-Input'!$B$26,0,IF(G601&lt;=0,0,MAX(0,(G601-H601)/G601)))</f>
        <v>0.72499321496562152</v>
      </c>
      <c r="C602" s="18">
        <f>IF($A602&gt;'1-Input'!$B$26,0,(MAX(0,B561-IF($A602&gt;='1-Input'!$C$12,'1-Input'!$B$13,0))-MIN(MAX(F601,0),MAX(0,B561-IF($A602&gt;='1-Input'!$C$12,'1-Input'!$B$13,0))))*(1/(1-'P-Parametri'!$B$6*B602))+MIN(MAX(0,G601-(MAX(0,B561-IF($A602&gt;='1-Input'!$C$12,'1-Input'!$B$13,0))-MIN(MAX(F601,0),MAX(0,B561-IF($A602&gt;='1-Input'!$C$12,'1-Input'!$B$13,0))))*(1/(1-'P-Parametri'!$B$6*B602))),MAX(0,0*B561-(F601-MIN(MAX(F601,0),MAX(0,B561-IF($A602&gt;='1-Input'!$C$12,'1-Input'!$B$13,0)))))*(1/(1-'P-Parametri'!$B$6*B602))))</f>
        <v>4616.2010734987398</v>
      </c>
      <c r="D602" s="18">
        <f>IF($A602&gt;'1-Input'!$B$26,F601,(F601-MAX(0,B561-IF($A602&gt;='1-Input'!$C$12,'1-Input'!$B$13,0))+C602*(1-'P-Parametri'!$B$6*B602))*(1+'1-Input'!$B$27))</f>
        <v>0</v>
      </c>
      <c r="E602" s="18">
        <f>IF($A602&gt;'1-Input'!$B$26,G601,(G601-C602)*(1+'5-Roberta'!$C$4))</f>
        <v>278072.83690167323</v>
      </c>
      <c r="F602" s="18">
        <f>IF($A602&gt;'1-Input'!$B$26,D602,D602-'P-Parametri'!$B$8*(E602+D602)+MIN(MAX(E602,0),'P-Parametri'!$B$8*(E602+D602)))</f>
        <v>0</v>
      </c>
      <c r="G602" s="18">
        <f>IF($A602&gt;'1-Input'!$B$26,E602,E602-MIN(MAX(E602,0),'P-Parametri'!$B$8*(E602+D602)))</f>
        <v>277516.69122786989</v>
      </c>
      <c r="H602" s="18">
        <f>IF($A602&gt;'1-Input'!$B$26,H601,H601-C602*(1-B602))</f>
        <v>74244.579496813822</v>
      </c>
      <c r="I602" s="11">
        <f>IF($A602&gt;'1-Input'!$B$26,0,IF(N601&lt;=0,0,MAX(0,(N601-O601)/N601)))</f>
        <v>0</v>
      </c>
      <c r="J602" s="18">
        <f>IF($A602&gt;'1-Input'!$B$26,0,(MAX(0,I561-IF($A602&gt;='1-Input'!$C$12,'1-Input'!$B$13,0))-MIN(MAX(M601,0),MAX(0,I561-IF($A602&gt;='1-Input'!$C$12,'1-Input'!$B$13,0))))*(1/(1-'P-Parametri'!$B$6*I602))+MIN(MAX(0,N601-(MAX(0,I561-IF($A602&gt;='1-Input'!$C$12,'1-Input'!$B$13,0))-MIN(MAX(M601,0),MAX(0,I561-IF($A602&gt;='1-Input'!$C$12,'1-Input'!$B$13,0))))*(1/(1-'P-Parametri'!$B$6*I602))),MAX(0,0*I561-(M601-MIN(MAX(M601,0),MAX(0,I561-IF($A602&gt;='1-Input'!$C$12,'1-Input'!$B$13,0)))))*(1/(1-'P-Parametri'!$B$6*I602))))</f>
        <v>9013.756992928691</v>
      </c>
      <c r="K602" s="18">
        <f>IF($A602&gt;'1-Input'!$B$26,M601,(M601-MAX(0,I561-IF($A602&gt;='1-Input'!$C$12,'1-Input'!$B$13,0))+J602*(1-'P-Parametri'!$B$6*I602))*(1+'1-Input'!$B$27))</f>
        <v>-1.8124410416930913E-12</v>
      </c>
      <c r="L602" s="18">
        <f>IF($A602&gt;'1-Input'!$B$26,N601,(N601-J602)*(1+'5-Roberta'!$C$4))</f>
        <v>-123889.47389245922</v>
      </c>
      <c r="M602" s="18">
        <f>IF($A602&gt;'1-Input'!$B$26,K602,K602-'P-Parametri'!$B$8*(L602+K602)+MIN(MAX(L602,0),'P-Parametri'!$B$8*(L602+K602)))</f>
        <v>-1.8189894035458565E-12</v>
      </c>
      <c r="N602" s="18">
        <f>IF($A602&gt;'1-Input'!$B$26,L602,L602-MIN(MAX(L602,0),'P-Parametri'!$B$8*(L602+K602)))</f>
        <v>-123641.69494467431</v>
      </c>
      <c r="O602" s="18">
        <f>IF($A602&gt;'1-Input'!$B$26,O601,O601-J602*(1-I602))</f>
        <v>-100815.05176155971</v>
      </c>
      <c r="P602" s="11">
        <f>IF($A602&gt;'1-Input'!$B$26,0,IF(U601&lt;=0,0,MAX(0,(U601-V601)/U601)))</f>
        <v>0.72499321496562164</v>
      </c>
      <c r="Q602" s="18">
        <f>IF($A602&gt;'1-Input'!$B$26,0,(MAX(0,P561-IF($A602&gt;='1-Input'!$C$12,'1-Input'!$B$13,0))-MIN(MAX(T601,0),MAX(0,P561-IF($A602&gt;='1-Input'!$C$12,'1-Input'!$B$13,0))))*(1/(1-'P-Parametri'!$B$6*P602))+MIN(MAX(0,U601-(MAX(0,P561-IF($A602&gt;='1-Input'!$C$12,'1-Input'!$B$13,0))-MIN(MAX(T601,0),MAX(0,P561-IF($A602&gt;='1-Input'!$C$12,'1-Input'!$B$13,0))))*(1/(1-'P-Parametri'!$B$6*P602))),MAX(0,0*P561-(T601-MIN(MAX(T601,0),MAX(0,P561-IF($A602&gt;='1-Input'!$C$12,'1-Input'!$B$13,0)))))*(1/(1-'P-Parametri'!$B$6*P602))))</f>
        <v>8450.9522983265815</v>
      </c>
      <c r="R602" s="18">
        <f>IF($A602&gt;'1-Input'!$B$26,T601,(T601-MAX(0,P561-IF($A602&gt;='1-Input'!$C$12,'1-Input'!$B$13,0))+Q602*(1-'P-Parametri'!$B$6*P602))*(1+'1-Input'!$B$27))</f>
        <v>0</v>
      </c>
      <c r="S602" s="18">
        <f>IF($A602&gt;'1-Input'!$B$26,U601,(U601-Q602)*(1+'5-Roberta'!$C$4))</f>
        <v>25657.697380909853</v>
      </c>
      <c r="T602" s="18">
        <f>IF($A602&gt;'1-Input'!$B$26,R602,R602-'P-Parametri'!$B$8*(S602+R602)+MIN(MAX(S602,0),'P-Parametri'!$B$8*(S602+R602)))</f>
        <v>0</v>
      </c>
      <c r="U602" s="18">
        <f>IF($A602&gt;'1-Input'!$B$26,S602,S602-MIN(MAX(S602,0),'P-Parametri'!$B$8*(S602+R602)))</f>
        <v>25606.381986148033</v>
      </c>
      <c r="V602" s="18">
        <f>IF($A602&gt;'1-Input'!$B$26,V601,V601-Q602*(1-P602))</f>
        <v>6850.525114668937</v>
      </c>
      <c r="W602" s="11">
        <f>IF($A602&gt;'1-Input'!$B$26,0,IF(AB601&lt;=0,0,MAX(0,(AB601-AC601)/AB601)))</f>
        <v>0.72499321496562152</v>
      </c>
      <c r="X602" s="18">
        <f>IF($A602&gt;'1-Input'!$B$26,0,(MAX(0,W561-IF($A602&gt;='1-Input'!$C$12,'1-Input'!$B$13,0))-MIN(MAX(AA601,0),MAX(0,W561-IF($A602&gt;='1-Input'!$C$12,'1-Input'!$B$13,0))))*(1/(1-'P-Parametri'!$B$6*W602))+MIN(MAX(0,AB601-(MAX(0,W561-IF($A602&gt;='1-Input'!$C$12,'1-Input'!$B$13,0))-MIN(MAX(AA601,0),MAX(0,W561-IF($A602&gt;='1-Input'!$C$12,'1-Input'!$B$13,0))))*(1/(1-'P-Parametri'!$B$6*W602))),MAX(0,0*W561-(AA601-MIN(MAX(AA601,0),MAX(0,W561-IF($A602&gt;='1-Input'!$C$12,'1-Input'!$B$13,0)))))*(1/(1-'P-Parametri'!$B$6*W602))))</f>
        <v>8122.8161968943114</v>
      </c>
      <c r="Y602" s="18">
        <f>IF($A602&gt;'1-Input'!$B$26,AA601,(AA601-MAX(0,W561-IF($A602&gt;='1-Input'!$C$12,'1-Input'!$B$13,0))+X602*(1-'P-Parametri'!$B$6*W602))*(1+'1-Input'!$B$27))</f>
        <v>-9.0622052084654565E-13</v>
      </c>
      <c r="Z602" s="18">
        <f>IF($A602&gt;'1-Input'!$B$26,AB601,(AB601-X602)*(1+'5-Roberta'!$C$4))</f>
        <v>47256.626481856845</v>
      </c>
      <c r="AA602" s="18">
        <f>IF($A602&gt;'1-Input'!$B$26,Y602,Y602-'P-Parametri'!$B$8*(Z602+Y602)+MIN(MAX(Z602,0),'P-Parametri'!$B$8*(Z602+Y602)))</f>
        <v>-9.0949470177292824E-13</v>
      </c>
      <c r="AB602" s="18">
        <f>IF($A602&gt;'1-Input'!$B$26,Z602,Z602-MIN(MAX(Z602,0),'P-Parametri'!$B$8*(Z602+Y602)))</f>
        <v>47162.113228893133</v>
      </c>
      <c r="AC602" s="18">
        <f>IF($A602&gt;'1-Input'!$B$26,AC601,AC601-X602*(1-W602))</f>
        <v>12617.371767326138</v>
      </c>
      <c r="AD602" s="11">
        <f>IF($A602&gt;'1-Input'!$B$26,0,IF(AI601&lt;=0,0,MAX(0,(AI601-AJ601)/AI601)))</f>
        <v>0.72499321496562164</v>
      </c>
      <c r="AE602" s="18">
        <f>IF($A602&gt;'1-Input'!$B$26,0,(MAX(0,AD561-IF($A602&gt;='1-Input'!$C$12,'1-Input'!$B$13,0))-MIN(MAX(AH601,0),MAX(0,AD561-IF($A602&gt;='1-Input'!$C$12,'1-Input'!$B$13,0))))*(1/(1-'P-Parametri'!$B$6*AD602))+MIN(MAX(0,AI601-(MAX(0,AD561-IF($A602&gt;='1-Input'!$C$12,'1-Input'!$B$13,0))-MIN(MAX(AH601,0),MAX(0,AD561-IF($A602&gt;='1-Input'!$C$12,'1-Input'!$B$13,0))))*(1/(1-'P-Parametri'!$B$6*AD602))),MAX(0,0*AD561-(AH601-MIN(MAX(AH601,0),MAX(0,AD561-IF($A602&gt;='1-Input'!$C$12,'1-Input'!$B$13,0)))))*(1/(1-'P-Parametri'!$B$6*AD602))))</f>
        <v>8143.0596860173982</v>
      </c>
      <c r="AF602" s="18">
        <f>IF($A602&gt;'1-Input'!$B$26,AH601,(AH601-MAX(0,AD561-IF($A602&gt;='1-Input'!$C$12,'1-Input'!$B$13,0))+AE602*(1-'P-Parametri'!$B$6*AD602))*(1+'1-Input'!$B$27))</f>
        <v>0</v>
      </c>
      <c r="AG602" s="18">
        <f>IF($A602&gt;'1-Input'!$B$26,AI601,(AI601-AE602)*(1+'5-Roberta'!$C$4))</f>
        <v>45924.137662684596</v>
      </c>
      <c r="AH602" s="18">
        <f>IF($A602&gt;'1-Input'!$B$26,AF602,AF602-'P-Parametri'!$B$8*(AG602+AF602)+MIN(MAX(AG602,0),'P-Parametri'!$B$8*(AG602+AF602)))</f>
        <v>0</v>
      </c>
      <c r="AI602" s="18">
        <f>IF($A602&gt;'1-Input'!$B$26,AG602,AG602-MIN(MAX(AG602,0),'P-Parametri'!$B$8*(AG602+AF602)))</f>
        <v>45832.289387359226</v>
      </c>
      <c r="AJ602" s="18">
        <f>IF($A602&gt;'1-Input'!$B$26,AJ601,AJ601-AE602*(1-AD602))</f>
        <v>12261.601411738935</v>
      </c>
      <c r="AK602" s="11">
        <f>IF($A602&gt;'1-Input'!$B$26,0,IF(AP601&lt;=0,0,MAX(0,(AP601-AQ601)/AP601)))</f>
        <v>0.72499321496562175</v>
      </c>
      <c r="AL602" s="18">
        <f>IF($A602&gt;'1-Input'!$B$26,0,(MAX(0,AK561-IF($A602&gt;='1-Input'!$C$12,'1-Input'!$B$13,0))-MIN(MAX(AO601,0),MAX(0,AK561-IF($A602&gt;='1-Input'!$C$12,'1-Input'!$B$13,0))))*(1/(1-'P-Parametri'!$B$6*AK602))+MIN(MAX(0,AP601-(MAX(0,AK561-IF($A602&gt;='1-Input'!$C$12,'1-Input'!$B$13,0))-MIN(MAX(AO601,0),MAX(0,AK561-IF($A602&gt;='1-Input'!$C$12,'1-Input'!$B$13,0))))*(1/(1-'P-Parametri'!$B$6*AK602))),MAX(0,0*AK561-(AO601-MIN(MAX(AO601,0),MAX(0,AK561-IF($A602&gt;='1-Input'!$C$12,'1-Input'!$B$13,0)))))*(1/(1-'P-Parametri'!$B$6*AK602))))</f>
        <v>8140.4639953526312</v>
      </c>
      <c r="AM602" s="18">
        <f>IF($A602&gt;'1-Input'!$B$26,AO601,(AO601-MAX(0,AK561-IF($A602&gt;='1-Input'!$C$12,'1-Input'!$B$13,0))+AL602*(1-'P-Parametri'!$B$6*AK602))*(1+'1-Input'!$B$27))</f>
        <v>0</v>
      </c>
      <c r="AN602" s="18">
        <f>IF($A602&gt;'1-Input'!$B$26,AP601,(AP601-AL602)*(1+'5-Roberta'!$C$4))</f>
        <v>46094.994018908284</v>
      </c>
      <c r="AO602" s="18">
        <f>IF($A602&gt;'1-Input'!$B$26,AM602,AM602-'P-Parametri'!$B$8*(AN602+AM602)+MIN(MAX(AN602,0),'P-Parametri'!$B$8*(AN602+AM602)))</f>
        <v>0</v>
      </c>
      <c r="AP602" s="18">
        <f>IF($A602&gt;'1-Input'!$B$26,AN602,AN602-MIN(MAX(AN602,0),'P-Parametri'!$B$8*(AN602+AM602)))</f>
        <v>46002.804030870466</v>
      </c>
      <c r="AQ602" s="18">
        <f>IF($A602&gt;'1-Input'!$B$26,AQ601,AQ601-AL602*(1-AK602))</f>
        <v>12307.219525552298</v>
      </c>
    </row>
    <row r="603" spans="1:43">
      <c r="A603" s="10">
        <f>40</f>
        <v>40</v>
      </c>
      <c r="B603" s="11">
        <f>IF($A603&gt;'1-Input'!$B$26,0,IF(G602&lt;=0,0,MAX(0,(G602-H602)/G602)))</f>
        <v>0.73246805744072763</v>
      </c>
      <c r="C603" s="18">
        <f>IF($A603&gt;'1-Input'!$B$26,0,(MAX(0,B561-IF($A603&gt;='1-Input'!$C$12,'1-Input'!$B$13,0))-MIN(MAX(F602,0),MAX(0,B561-IF($A603&gt;='1-Input'!$C$12,'1-Input'!$B$13,0))))*(1/(1-'P-Parametri'!$B$6*B603))+MIN(MAX(0,G602-(MAX(0,B561-IF($A603&gt;='1-Input'!$C$12,'1-Input'!$B$13,0))-MIN(MAX(F602,0),MAX(0,B561-IF($A603&gt;='1-Input'!$C$12,'1-Input'!$B$13,0))))*(1/(1-'P-Parametri'!$B$6*B603))),MAX(0,0*B561-(F602-MIN(MAX(F602,0),MAX(0,B561-IF($A603&gt;='1-Input'!$C$12,'1-Input'!$B$13,0)))))*(1/(1-'P-Parametri'!$B$6*B603))))</f>
        <v>4627.2829161120499</v>
      </c>
      <c r="D603" s="18">
        <f>IF($A603&gt;'1-Input'!$B$26,F602,(F602-MAX(0,B561-IF($A603&gt;='1-Input'!$C$12,'1-Input'!$B$13,0))+C603*(1-'P-Parametri'!$B$6*B603))*(1+'1-Input'!$B$27))</f>
        <v>0</v>
      </c>
      <c r="E603" s="18">
        <f>IF($A603&gt;'1-Input'!$B$26,G602,(G602-C603)*(1+'5-Roberta'!$C$4))</f>
        <v>281076.09056111058</v>
      </c>
      <c r="F603" s="18">
        <f>IF($A603&gt;'1-Input'!$B$26,D603,D603-'P-Parametri'!$B$8*(E603+D603)+MIN(MAX(E603,0),'P-Parametri'!$B$8*(E603+D603)))</f>
        <v>0</v>
      </c>
      <c r="G603" s="18">
        <f>IF($A603&gt;'1-Input'!$B$26,E603,E603-MIN(MAX(E603,0),'P-Parametri'!$B$8*(E603+D603)))</f>
        <v>280513.93837998837</v>
      </c>
      <c r="H603" s="18">
        <f>IF($A603&gt;'1-Input'!$B$26,H602,H602-C603*(1-B603))</f>
        <v>73006.633509495034</v>
      </c>
      <c r="I603" s="11">
        <f>IF($A603&gt;'1-Input'!$B$26,0,IF(N602&lt;=0,0,MAX(0,(N602-O602)/N602)))</f>
        <v>0</v>
      </c>
      <c r="J603" s="18">
        <f>IF($A603&gt;'1-Input'!$B$26,0,(MAX(0,I561-IF($A603&gt;='1-Input'!$C$12,'1-Input'!$B$13,0))-MIN(MAX(M602,0),MAX(0,I561-IF($A603&gt;='1-Input'!$C$12,'1-Input'!$B$13,0))))*(1/(1-'P-Parametri'!$B$6*I603))+MIN(MAX(0,N602-(MAX(0,I561-IF($A603&gt;='1-Input'!$C$12,'1-Input'!$B$13,0))-MIN(MAX(M602,0),MAX(0,I561-IF($A603&gt;='1-Input'!$C$12,'1-Input'!$B$13,0))))*(1/(1-'P-Parametri'!$B$6*I603))),MAX(0,0*I561-(M602-MIN(MAX(M602,0),MAX(0,I561-IF($A603&gt;='1-Input'!$C$12,'1-Input'!$B$13,0)))))*(1/(1-'P-Parametri'!$B$6*I603))))</f>
        <v>9013.756992928691</v>
      </c>
      <c r="K603" s="18">
        <f>IF($A603&gt;'1-Input'!$B$26,M602,(M602-MAX(0,I561-IF($A603&gt;='1-Input'!$C$12,'1-Input'!$B$13,0))+J603*(1-'P-Parametri'!$B$6*I603))*(1+'1-Input'!$B$27))</f>
        <v>-1.8124410416930913E-12</v>
      </c>
      <c r="L603" s="18">
        <f>IF($A603&gt;'1-Input'!$B$26,N602,(N602-J603)*(1+'5-Roberta'!$C$4))</f>
        <v>-136635.11549573109</v>
      </c>
      <c r="M603" s="18">
        <f>IF($A603&gt;'1-Input'!$B$26,K603,K603-'P-Parametri'!$B$8*(L603+K603)+MIN(MAX(L603,0),'P-Parametri'!$B$8*(L603+K603)))</f>
        <v>-1.8189894035458565E-12</v>
      </c>
      <c r="N603" s="18">
        <f>IF($A603&gt;'1-Input'!$B$26,L603,L603-MIN(MAX(L603,0),'P-Parametri'!$B$8*(L603+K603)))</f>
        <v>-136361.84526473962</v>
      </c>
      <c r="O603" s="18">
        <f>IF($A603&gt;'1-Input'!$B$26,O602,O602-J603*(1-I603))</f>
        <v>-109828.80875448839</v>
      </c>
      <c r="P603" s="11">
        <f>IF($A603&gt;'1-Input'!$B$26,0,IF(U602&lt;=0,0,MAX(0,(U602-V602)/U602)))</f>
        <v>0.73246805744072785</v>
      </c>
      <c r="Q603" s="18">
        <f>IF($A603&gt;'1-Input'!$B$26,0,(MAX(0,P561-IF($A603&gt;='1-Input'!$C$12,'1-Input'!$B$13,0))-MIN(MAX(T602,0),MAX(0,P561-IF($A603&gt;='1-Input'!$C$12,'1-Input'!$B$13,0))))*(1/(1-'P-Parametri'!$B$6*P603))+MIN(MAX(0,U602-(MAX(0,P561-IF($A603&gt;='1-Input'!$C$12,'1-Input'!$B$13,0))-MIN(MAX(T602,0),MAX(0,P561-IF($A603&gt;='1-Input'!$C$12,'1-Input'!$B$13,0))))*(1/(1-'P-Parametri'!$B$6*P603))),MAX(0,0*P561-(T602-MIN(MAX(T602,0),MAX(0,P561-IF($A603&gt;='1-Input'!$C$12,'1-Input'!$B$13,0)))))*(1/(1-'P-Parametri'!$B$6*P603))))</f>
        <v>8471.2400028289485</v>
      </c>
      <c r="R603" s="18">
        <f>IF($A603&gt;'1-Input'!$B$26,T602,(T602-MAX(0,P561-IF($A603&gt;='1-Input'!$C$12,'1-Input'!$B$13,0))+Q603*(1-'P-Parametri'!$B$6*P603))*(1+'1-Input'!$B$27))</f>
        <v>0</v>
      </c>
      <c r="S603" s="18">
        <f>IF($A603&gt;'1-Input'!$B$26,U602,(U602-Q603)*(1+'5-Roberta'!$C$4))</f>
        <v>17649.196242818656</v>
      </c>
      <c r="T603" s="18">
        <f>IF($A603&gt;'1-Input'!$B$26,R603,R603-'P-Parametri'!$B$8*(S603+R603)+MIN(MAX(S603,0),'P-Parametri'!$B$8*(S603+R603)))</f>
        <v>0</v>
      </c>
      <c r="U603" s="18">
        <f>IF($A603&gt;'1-Input'!$B$26,S603,S603-MIN(MAX(S603,0),'P-Parametri'!$B$8*(S603+R603)))</f>
        <v>17613.897850333018</v>
      </c>
      <c r="V603" s="18">
        <f>IF($A603&gt;'1-Input'!$B$26,V602,V602-Q603*(1-P603))</f>
        <v>4584.1978208262944</v>
      </c>
      <c r="W603" s="11">
        <f>IF($A603&gt;'1-Input'!$B$26,0,IF(AB602&lt;=0,0,MAX(0,(AB602-AC602)/AB602)))</f>
        <v>0.73246805744072774</v>
      </c>
      <c r="X603" s="18">
        <f>IF($A603&gt;'1-Input'!$B$26,0,(MAX(0,W561-IF($A603&gt;='1-Input'!$C$12,'1-Input'!$B$13,0))-MIN(MAX(AA602,0),MAX(0,W561-IF($A603&gt;='1-Input'!$C$12,'1-Input'!$B$13,0))))*(1/(1-'P-Parametri'!$B$6*W603))+MIN(MAX(0,AB602-(MAX(0,W561-IF($A603&gt;='1-Input'!$C$12,'1-Input'!$B$13,0))-MIN(MAX(AA602,0),MAX(0,W561-IF($A603&gt;='1-Input'!$C$12,'1-Input'!$B$13,0))))*(1/(1-'P-Parametri'!$B$6*W603))),MAX(0,0*W561-(AA602-MIN(MAX(AA602,0),MAX(0,W561-IF($A603&gt;='1-Input'!$C$12,'1-Input'!$B$13,0)))))*(1/(1-'P-Parametri'!$B$6*W603))))</f>
        <v>8142.3161643432186</v>
      </c>
      <c r="Y603" s="18">
        <f>IF($A603&gt;'1-Input'!$B$26,AA602,(AA602-MAX(0,W561-IF($A603&gt;='1-Input'!$C$12,'1-Input'!$B$13,0))+X603*(1-'P-Parametri'!$B$6*W603))*(1+'1-Input'!$B$27))</f>
        <v>0</v>
      </c>
      <c r="Z603" s="18">
        <f>IF($A603&gt;'1-Input'!$B$26,AB602,(AB602-X603)*(1+'5-Roberta'!$C$4))</f>
        <v>40190.390976486415</v>
      </c>
      <c r="AA603" s="18">
        <f>IF($A603&gt;'1-Input'!$B$26,Y603,Y603-'P-Parametri'!$B$8*(Z603+Y603)+MIN(MAX(Z603,0),'P-Parametri'!$B$8*(Z603+Y603)))</f>
        <v>0</v>
      </c>
      <c r="AB603" s="18">
        <f>IF($A603&gt;'1-Input'!$B$26,Z603,Z603-MIN(MAX(Z603,0),'P-Parametri'!$B$8*(Z603+Y603)))</f>
        <v>40110.010194533439</v>
      </c>
      <c r="AC603" s="18">
        <f>IF($A603&gt;'1-Input'!$B$26,AC602,AC602-X603*(1-W603))</f>
        <v>10439.042106947634</v>
      </c>
      <c r="AD603" s="11">
        <f>IF($A603&gt;'1-Input'!$B$26,0,IF(AI602&lt;=0,0,MAX(0,(AI602-AJ602)/AI602)))</f>
        <v>0.73246805744072763</v>
      </c>
      <c r="AE603" s="18">
        <f>IF($A603&gt;'1-Input'!$B$26,0,(MAX(0,AD561-IF($A603&gt;='1-Input'!$C$12,'1-Input'!$B$13,0))-MIN(MAX(AH602,0),MAX(0,AD561-IF($A603&gt;='1-Input'!$C$12,'1-Input'!$B$13,0))))*(1/(1-'P-Parametri'!$B$6*AD603))+MIN(MAX(0,AI602-(MAX(0,AD561-IF($A603&gt;='1-Input'!$C$12,'1-Input'!$B$13,0))-MIN(MAX(AH602,0),MAX(0,AD561-IF($A603&gt;='1-Input'!$C$12,'1-Input'!$B$13,0))))*(1/(1-'P-Parametri'!$B$6*AD603))),MAX(0,0*AD561-(AH602-MIN(MAX(AH602,0),MAX(0,AD561-IF($A603&gt;='1-Input'!$C$12,'1-Input'!$B$13,0)))))*(1/(1-'P-Parametri'!$B$6*AD603))))</f>
        <v>8162.6082508208892</v>
      </c>
      <c r="AF603" s="18">
        <f>IF($A603&gt;'1-Input'!$B$26,AH602,(AH602-MAX(0,AD561-IF($A603&gt;='1-Input'!$C$12,'1-Input'!$B$13,0))+AE603*(1-'P-Parametri'!$B$6*AD603))*(1+'1-Input'!$B$27))</f>
        <v>0</v>
      </c>
      <c r="AG603" s="18">
        <f>IF($A603&gt;'1-Input'!$B$26,AI602,(AI602-AE603)*(1+'5-Roberta'!$C$4))</f>
        <v>38799.771570634482</v>
      </c>
      <c r="AH603" s="18">
        <f>IF($A603&gt;'1-Input'!$B$26,AF603,AF603-'P-Parametri'!$B$8*(AG603+AF603)+MIN(MAX(AG603,0),'P-Parametri'!$B$8*(AG603+AF603)))</f>
        <v>0</v>
      </c>
      <c r="AI603" s="18">
        <f>IF($A603&gt;'1-Input'!$B$26,AG603,AG603-MIN(MAX(AG603,0),'P-Parametri'!$B$8*(AG603+AF603)))</f>
        <v>38722.172027493216</v>
      </c>
      <c r="AJ603" s="18">
        <f>IF($A603&gt;'1-Input'!$B$26,AJ602,AJ602-AE603*(1-AD603))</f>
        <v>10077.842970046479</v>
      </c>
      <c r="AK603" s="11">
        <f>IF($A603&gt;'1-Input'!$B$26,0,IF(AP602&lt;=0,0,MAX(0,(AP602-AQ602)/AP602)))</f>
        <v>0.73246805744072774</v>
      </c>
      <c r="AL603" s="18">
        <f>IF($A603&gt;'1-Input'!$B$26,0,(MAX(0,AK561-IF($A603&gt;='1-Input'!$C$12,'1-Input'!$B$13,0))-MIN(MAX(AO602,0),MAX(0,AK561-IF($A603&gt;='1-Input'!$C$12,'1-Input'!$B$13,0))))*(1/(1-'P-Parametri'!$B$6*AK603))+MIN(MAX(0,AP602-(MAX(0,AK561-IF($A603&gt;='1-Input'!$C$12,'1-Input'!$B$13,0))-MIN(MAX(AO602,0),MAX(0,AK561-IF($A603&gt;='1-Input'!$C$12,'1-Input'!$B$13,0))))*(1/(1-'P-Parametri'!$B$6*AK603))),MAX(0,0*AK561-(AO602-MIN(MAX(AO602,0),MAX(0,AK561-IF($A603&gt;='1-Input'!$C$12,'1-Input'!$B$13,0)))))*(1/(1-'P-Parametri'!$B$6*AK603))))</f>
        <v>8160.0063288340971</v>
      </c>
      <c r="AM603" s="18">
        <f>IF($A603&gt;'1-Input'!$B$26,AO602,(AO602-MAX(0,AK561-IF($A603&gt;='1-Input'!$C$12,'1-Input'!$B$13,0))+AL603*(1-'P-Parametri'!$B$6*AK603))*(1+'1-Input'!$B$27))</f>
        <v>0</v>
      </c>
      <c r="AN603" s="18">
        <f>IF($A603&gt;'1-Input'!$B$26,AP602,(AP602-AL603)*(1+'5-Roberta'!$C$4))</f>
        <v>38978.081633097463</v>
      </c>
      <c r="AO603" s="18">
        <f>IF($A603&gt;'1-Input'!$B$26,AM603,AM603-'P-Parametri'!$B$8*(AN603+AM603)+MIN(MAX(AN603,0),'P-Parametri'!$B$8*(AN603+AM603)))</f>
        <v>0</v>
      </c>
      <c r="AP603" s="18">
        <f>IF($A603&gt;'1-Input'!$B$26,AN603,AN603-MIN(MAX(AN603,0),'P-Parametri'!$B$8*(AN603+AM603)))</f>
        <v>38900.12546983127</v>
      </c>
      <c r="AQ603" s="18">
        <f>IF($A603&gt;'1-Input'!$B$26,AQ602,AQ602-AL603*(1-AK603))</f>
        <v>10124.157181103357</v>
      </c>
    </row>
    <row r="604" spans="1:43">
      <c r="A604" s="10">
        <f>41</f>
        <v>41</v>
      </c>
      <c r="B604" s="11">
        <f>IF($A604&gt;'1-Input'!$B$26,0,IF(G603&lt;=0,0,MAX(0,(G603-H603)/G603)))</f>
        <v>0.73973972940125654</v>
      </c>
      <c r="C604" s="18">
        <f>IF($A604&gt;'1-Input'!$B$26,0,(MAX(0,B561-IF($A604&gt;='1-Input'!$C$12,'1-Input'!$B$13,0))-MIN(MAX(F603,0),MAX(0,B561-IF($A604&gt;='1-Input'!$C$12,'1-Input'!$B$13,0))))*(1/(1-'P-Parametri'!$B$6*B604))+MIN(MAX(0,G603-(MAX(0,B561-IF($A604&gt;='1-Input'!$C$12,'1-Input'!$B$13,0))-MIN(MAX(F603,0),MAX(0,B561-IF($A604&gt;='1-Input'!$C$12,'1-Input'!$B$13,0))))*(1/(1-'P-Parametri'!$B$6*B604))),MAX(0,0*B561-(F603-MIN(MAX(F603,0),MAX(0,B561-IF($A604&gt;='1-Input'!$C$12,'1-Input'!$B$13,0)))))*(1/(1-'P-Parametri'!$B$6*B604))))</f>
        <v>4638.1147248052521</v>
      </c>
      <c r="D604" s="18">
        <f>IF($A604&gt;'1-Input'!$B$26,F603,(F603-MAX(0,B561-IF($A604&gt;='1-Input'!$C$12,'1-Input'!$B$13,0))+C604*(1-'P-Parametri'!$B$6*B604))*(1+'1-Input'!$B$27))</f>
        <v>4.5311026042327283E-13</v>
      </c>
      <c r="E604" s="18">
        <f>IF($A604&gt;'1-Input'!$B$26,G603,(G603-C604)*(1+'5-Roberta'!$C$4))</f>
        <v>284152.09836483863</v>
      </c>
      <c r="F604" s="18">
        <f>IF($A604&gt;'1-Input'!$B$26,D604,D604-'P-Parametri'!$B$8*(E604+D604)+MIN(MAX(E604,0),'P-Parametri'!$B$8*(E604+D604)))</f>
        <v>4.5474735088646412E-13</v>
      </c>
      <c r="G604" s="18">
        <f>IF($A604&gt;'1-Input'!$B$26,E604,E604-MIN(MAX(E604,0),'P-Parametri'!$B$8*(E604+D604)))</f>
        <v>283583.79416810896</v>
      </c>
      <c r="H604" s="18">
        <f>IF($A604&gt;'1-Input'!$B$26,H603,H603-C604*(1-B604))</f>
        <v>71799.516516149204</v>
      </c>
      <c r="I604" s="11">
        <f>IF($A604&gt;'1-Input'!$B$26,0,IF(N603&lt;=0,0,MAX(0,(N603-O603)/N603)))</f>
        <v>0</v>
      </c>
      <c r="J604" s="18">
        <f>IF($A604&gt;'1-Input'!$B$26,0,(MAX(0,I561-IF($A604&gt;='1-Input'!$C$12,'1-Input'!$B$13,0))-MIN(MAX(M603,0),MAX(0,I561-IF($A604&gt;='1-Input'!$C$12,'1-Input'!$B$13,0))))*(1/(1-'P-Parametri'!$B$6*I604))+MIN(MAX(0,N603-(MAX(0,I561-IF($A604&gt;='1-Input'!$C$12,'1-Input'!$B$13,0))-MIN(MAX(M603,0),MAX(0,I561-IF($A604&gt;='1-Input'!$C$12,'1-Input'!$B$13,0))))*(1/(1-'P-Parametri'!$B$6*I604))),MAX(0,0*I561-(M603-MIN(MAX(M603,0),MAX(0,I561-IF($A604&gt;='1-Input'!$C$12,'1-Input'!$B$13,0)))))*(1/(1-'P-Parametri'!$B$6*I604))))</f>
        <v>9013.756992928691</v>
      </c>
      <c r="K604" s="18">
        <f>IF($A604&gt;'1-Input'!$B$26,M603,(M603-MAX(0,I561-IF($A604&gt;='1-Input'!$C$12,'1-Input'!$B$13,0))+J604*(1-'P-Parametri'!$B$6*I604))*(1+'1-Input'!$B$27))</f>
        <v>-1.8124410416930913E-12</v>
      </c>
      <c r="L604" s="18">
        <f>IF($A604&gt;'1-Input'!$B$26,N603,(N603-J604)*(1+'5-Roberta'!$C$4))</f>
        <v>-149736.87032539837</v>
      </c>
      <c r="M604" s="18">
        <f>IF($A604&gt;'1-Input'!$B$26,K604,K604-'P-Parametri'!$B$8*(L604+K604)+MIN(MAX(L604,0),'P-Parametri'!$B$8*(L604+K604)))</f>
        <v>-1.8189894035458565E-12</v>
      </c>
      <c r="N604" s="18">
        <f>IF($A604&gt;'1-Input'!$B$26,L604,L604-MIN(MAX(L604,0),'P-Parametri'!$B$8*(L604+K604)))</f>
        <v>-149437.39658474756</v>
      </c>
      <c r="O604" s="18">
        <f>IF($A604&gt;'1-Input'!$B$26,O603,O603-J604*(1-I604))</f>
        <v>-118842.56574741707</v>
      </c>
      <c r="P604" s="11">
        <f>IF($A604&gt;'1-Input'!$B$26,0,IF(U603&lt;=0,0,MAX(0,(U603-V603)/U603)))</f>
        <v>0.73973972940125665</v>
      </c>
      <c r="Q604" s="18">
        <f>IF($A604&gt;'1-Input'!$B$26,0,(MAX(0,P561-IF($A604&gt;='1-Input'!$C$12,'1-Input'!$B$13,0))-MIN(MAX(T603,0),MAX(0,P561-IF($A604&gt;='1-Input'!$C$12,'1-Input'!$B$13,0))))*(1/(1-'P-Parametri'!$B$6*P604))+MIN(MAX(0,U603-(MAX(0,P561-IF($A604&gt;='1-Input'!$C$12,'1-Input'!$B$13,0))-MIN(MAX(T603,0),MAX(0,P561-IF($A604&gt;='1-Input'!$C$12,'1-Input'!$B$13,0))))*(1/(1-'P-Parametri'!$B$6*P604))),MAX(0,0*P561-(T603-MIN(MAX(T603,0),MAX(0,P561-IF($A604&gt;='1-Input'!$C$12,'1-Input'!$B$13,0)))))*(1/(1-'P-Parametri'!$B$6*P604))))</f>
        <v>8491.0699662801435</v>
      </c>
      <c r="R604" s="18">
        <f>IF($A604&gt;'1-Input'!$B$26,T603,(T603-MAX(0,P561-IF($A604&gt;='1-Input'!$C$12,'1-Input'!$B$13,0))+Q604*(1-'P-Parametri'!$B$6*P604))*(1+'1-Input'!$B$27))</f>
        <v>0</v>
      </c>
      <c r="S604" s="18">
        <f>IF($A604&gt;'1-Input'!$B$26,U603,(U603-Q604)*(1+'5-Roberta'!$C$4))</f>
        <v>9396.5127205744611</v>
      </c>
      <c r="T604" s="18">
        <f>IF($A604&gt;'1-Input'!$B$26,R604,R604-'P-Parametri'!$B$8*(S604+R604)+MIN(MAX(S604,0),'P-Parametri'!$B$8*(S604+R604)))</f>
        <v>0</v>
      </c>
      <c r="U604" s="18">
        <f>IF($A604&gt;'1-Input'!$B$26,S604,S604-MIN(MAX(S604,0),'P-Parametri'!$B$8*(S604+R604)))</f>
        <v>9377.7196951333117</v>
      </c>
      <c r="V604" s="18">
        <f>IF($A604&gt;'1-Input'!$B$26,V603,V603-Q604*(1-P604))</f>
        <v>2374.3096537293618</v>
      </c>
      <c r="W604" s="11">
        <f>IF($A604&gt;'1-Input'!$B$26,0,IF(AB603&lt;=0,0,MAX(0,(AB603-AC603)/AB603)))</f>
        <v>0.73973972940125643</v>
      </c>
      <c r="X604" s="18">
        <f>IF($A604&gt;'1-Input'!$B$26,0,(MAX(0,W561-IF($A604&gt;='1-Input'!$C$12,'1-Input'!$B$13,0))-MIN(MAX(AA603,0),MAX(0,W561-IF($A604&gt;='1-Input'!$C$12,'1-Input'!$B$13,0))))*(1/(1-'P-Parametri'!$B$6*W604))+MIN(MAX(0,AB603-(MAX(0,W561-IF($A604&gt;='1-Input'!$C$12,'1-Input'!$B$13,0))-MIN(MAX(AA603,0),MAX(0,W561-IF($A604&gt;='1-Input'!$C$12,'1-Input'!$B$13,0))))*(1/(1-'P-Parametri'!$B$6*W604))),MAX(0,0*W561-(AA603-MIN(MAX(AA603,0),MAX(0,W561-IF($A604&gt;='1-Input'!$C$12,'1-Input'!$B$13,0)))))*(1/(1-'P-Parametri'!$B$6*W604))))</f>
        <v>8161.3761640472849</v>
      </c>
      <c r="Y604" s="18">
        <f>IF($A604&gt;'1-Input'!$B$26,AA603,(AA603-MAX(0,W561-IF($A604&gt;='1-Input'!$C$12,'1-Input'!$B$13,0))+X604*(1-'P-Parametri'!$B$6*W604))*(1+'1-Input'!$B$27))</f>
        <v>0</v>
      </c>
      <c r="Z604" s="18">
        <f>IF($A604&gt;'1-Input'!$B$26,AB603,(AB603-X604)*(1+'5-Roberta'!$C$4))</f>
        <v>32907.093051400741</v>
      </c>
      <c r="AA604" s="18">
        <f>IF($A604&gt;'1-Input'!$B$26,Y604,Y604-'P-Parametri'!$B$8*(Z604+Y604)+MIN(MAX(Z604,0),'P-Parametri'!$B$8*(Z604+Y604)))</f>
        <v>0</v>
      </c>
      <c r="AB604" s="18">
        <f>IF($A604&gt;'1-Input'!$B$26,Z604,Z604-MIN(MAX(Z604,0),'P-Parametri'!$B$8*(Z604+Y604)))</f>
        <v>32841.278865297943</v>
      </c>
      <c r="AC604" s="18">
        <f>IF($A604&gt;'1-Input'!$B$26,AC603,AC603-X604*(1-W604))</f>
        <v>8314.9601380345521</v>
      </c>
      <c r="AD604" s="11">
        <f>IF($A604&gt;'1-Input'!$B$26,0,IF(AI603&lt;=0,0,MAX(0,(AI603-AJ603)/AI603)))</f>
        <v>0.73973972940125665</v>
      </c>
      <c r="AE604" s="18">
        <f>IF($A604&gt;'1-Input'!$B$26,0,(MAX(0,AD561-IF($A604&gt;='1-Input'!$C$12,'1-Input'!$B$13,0))-MIN(MAX(AH603,0),MAX(0,AD561-IF($A604&gt;='1-Input'!$C$12,'1-Input'!$B$13,0))))*(1/(1-'P-Parametri'!$B$6*AD604))+MIN(MAX(0,AI603-(MAX(0,AD561-IF($A604&gt;='1-Input'!$C$12,'1-Input'!$B$13,0))-MIN(MAX(AH603,0),MAX(0,AD561-IF($A604&gt;='1-Input'!$C$12,'1-Input'!$B$13,0))))*(1/(1-'P-Parametri'!$B$6*AD604))),MAX(0,0*AD561-(AH603-MIN(MAX(AH603,0),MAX(0,AD561-IF($A604&gt;='1-Input'!$C$12,'1-Input'!$B$13,0)))))*(1/(1-'P-Parametri'!$B$6*AD604))))</f>
        <v>8181.7157514024038</v>
      </c>
      <c r="AF604" s="18">
        <f>IF($A604&gt;'1-Input'!$B$26,AH603,(AH603-MAX(0,AD561-IF($A604&gt;='1-Input'!$C$12,'1-Input'!$B$13,0))+AE604*(1-'P-Parametri'!$B$6*AD604))*(1+'1-Input'!$B$27))</f>
        <v>0</v>
      </c>
      <c r="AG604" s="18">
        <f>IF($A604&gt;'1-Input'!$B$26,AI603,(AI603-AE604)*(1+'5-Roberta'!$C$4))</f>
        <v>31456.669964373537</v>
      </c>
      <c r="AH604" s="18">
        <f>IF($A604&gt;'1-Input'!$B$26,AF604,AF604-'P-Parametri'!$B$8*(AG604+AF604)+MIN(MAX(AG604,0),'P-Parametri'!$B$8*(AG604+AF604)))</f>
        <v>0</v>
      </c>
      <c r="AI604" s="18">
        <f>IF($A604&gt;'1-Input'!$B$26,AG604,AG604-MIN(MAX(AG604,0),'P-Parametri'!$B$8*(AG604+AF604)))</f>
        <v>31393.756624444792</v>
      </c>
      <c r="AJ604" s="18">
        <f>IF($A604&gt;'1-Input'!$B$26,AJ603,AJ603-AE604*(1-AD604))</f>
        <v>7948.4674146244879</v>
      </c>
      <c r="AK604" s="11">
        <f>IF($A604&gt;'1-Input'!$B$26,0,IF(AP603&lt;=0,0,MAX(0,(AP603-AQ603)/AP603)))</f>
        <v>0.73973972940125654</v>
      </c>
      <c r="AL604" s="18">
        <f>IF($A604&gt;'1-Input'!$B$26,0,(MAX(0,AK561-IF($A604&gt;='1-Input'!$C$12,'1-Input'!$B$13,0))-MIN(MAX(AO603,0),MAX(0,AK561-IF($A604&gt;='1-Input'!$C$12,'1-Input'!$B$13,0))))*(1/(1-'P-Parametri'!$B$6*AK604))+MIN(MAX(0,AP603-(MAX(0,AK561-IF($A604&gt;='1-Input'!$C$12,'1-Input'!$B$13,0))-MIN(MAX(AO603,0),MAX(0,AK561-IF($A604&gt;='1-Input'!$C$12,'1-Input'!$B$13,0))))*(1/(1-'P-Parametri'!$B$6*AK604))),MAX(0,0*AK561-(AO603-MIN(MAX(AO603,0),MAX(0,AK561-IF($A604&gt;='1-Input'!$C$12,'1-Input'!$B$13,0)))))*(1/(1-'P-Parametri'!$B$6*AK604))))</f>
        <v>8179.1077386877041</v>
      </c>
      <c r="AM604" s="18">
        <f>IF($A604&gt;'1-Input'!$B$26,AO603,(AO603-MAX(0,AK561-IF($A604&gt;='1-Input'!$C$12,'1-Input'!$B$13,0))+AL604*(1-'P-Parametri'!$B$6*AK604))*(1+'1-Input'!$B$27))</f>
        <v>0</v>
      </c>
      <c r="AN604" s="18">
        <f>IF($A604&gt;'1-Input'!$B$26,AP603,(AP603-AL604)*(1+'5-Roberta'!$C$4))</f>
        <v>31642.648263077874</v>
      </c>
      <c r="AO604" s="18">
        <f>IF($A604&gt;'1-Input'!$B$26,AM604,AM604-'P-Parametri'!$B$8*(AN604+AM604)+MIN(MAX(AN604,0),'P-Parametri'!$B$8*(AN604+AM604)))</f>
        <v>0</v>
      </c>
      <c r="AP604" s="18">
        <f>IF($A604&gt;'1-Input'!$B$26,AN604,AN604-MIN(MAX(AN604,0),'P-Parametri'!$B$8*(AN604+AM604)))</f>
        <v>31579.362966551718</v>
      </c>
      <c r="AQ604" s="18">
        <f>IF($A604&gt;'1-Input'!$B$26,AQ603,AQ603-AL604*(1-AK604))</f>
        <v>7995.4603877762183</v>
      </c>
    </row>
    <row r="605" spans="1:43">
      <c r="A605" s="10">
        <f>42</f>
        <v>42</v>
      </c>
      <c r="B605" s="11">
        <f>IF($A605&gt;'1-Input'!$B$26,0,IF(G604&lt;=0,0,MAX(0,(G604-H604)/G604)))</f>
        <v>0.74681375313856491</v>
      </c>
      <c r="C605" s="18">
        <f>IF($A605&gt;'1-Input'!$B$26,0,(MAX(0,B561-IF($A605&gt;='1-Input'!$C$12,'1-Input'!$B$13,0))-MIN(MAX(F604,0),MAX(0,B561-IF($A605&gt;='1-Input'!$C$12,'1-Input'!$B$13,0))))*(1/(1-'P-Parametri'!$B$6*B605))+MIN(MAX(0,G604-(MAX(0,B561-IF($A605&gt;='1-Input'!$C$12,'1-Input'!$B$13,0))-MIN(MAX(F604,0),MAX(0,B561-IF($A605&gt;='1-Input'!$C$12,'1-Input'!$B$13,0))))*(1/(1-'P-Parametri'!$B$6*B605))),MAX(0,0*B561-(F604-MIN(MAX(F604,0),MAX(0,B561-IF($A605&gt;='1-Input'!$C$12,'1-Input'!$B$13,0)))))*(1/(1-'P-Parametri'!$B$6*B605))))</f>
        <v>4648.7008924005959</v>
      </c>
      <c r="D605" s="18">
        <f>IF($A605&gt;'1-Input'!$B$26,F604,(F604-MAX(0,B561-IF($A605&gt;='1-Input'!$C$12,'1-Input'!$B$13,0))+C605*(1-'P-Parametri'!$B$6*B605))*(1+'1-Input'!$B$27))</f>
        <v>0</v>
      </c>
      <c r="E605" s="18">
        <f>IF($A605&gt;'1-Input'!$B$26,G604,(G604-C605)*(1+'5-Roberta'!$C$4))</f>
        <v>287303.14607397962</v>
      </c>
      <c r="F605" s="18">
        <f>IF($A605&gt;'1-Input'!$B$26,D605,D605-'P-Parametri'!$B$8*(E605+D605)+MIN(MAX(E605,0),'P-Parametri'!$B$8*(E605+D605)))</f>
        <v>0</v>
      </c>
      <c r="G605" s="18">
        <f>IF($A605&gt;'1-Input'!$B$26,E605,E605-MIN(MAX(E605,0),'P-Parametri'!$B$8*(E605+D605)))</f>
        <v>286728.53978183167</v>
      </c>
      <c r="H605" s="18">
        <f>IF($A605&gt;'1-Input'!$B$26,H604,H604-C605*(1-B605))</f>
        <v>70622.529384420894</v>
      </c>
      <c r="I605" s="11">
        <f>IF($A605&gt;'1-Input'!$B$26,0,IF(N604&lt;=0,0,MAX(0,(N604-O604)/N604)))</f>
        <v>0</v>
      </c>
      <c r="J605" s="18">
        <f>IF($A605&gt;'1-Input'!$B$26,0,(MAX(0,I561-IF($A605&gt;='1-Input'!$C$12,'1-Input'!$B$13,0))-MIN(MAX(M604,0),MAX(0,I561-IF($A605&gt;='1-Input'!$C$12,'1-Input'!$B$13,0))))*(1/(1-'P-Parametri'!$B$6*I605))+MIN(MAX(0,N604-(MAX(0,I561-IF($A605&gt;='1-Input'!$C$12,'1-Input'!$B$13,0))-MIN(MAX(M604,0),MAX(0,I561-IF($A605&gt;='1-Input'!$C$12,'1-Input'!$B$13,0))))*(1/(1-'P-Parametri'!$B$6*I605))),MAX(0,0*I561-(M604-MIN(MAX(M604,0),MAX(0,I561-IF($A605&gt;='1-Input'!$C$12,'1-Input'!$B$13,0)))))*(1/(1-'P-Parametri'!$B$6*I605))))</f>
        <v>9013.756992928691</v>
      </c>
      <c r="K605" s="18">
        <f>IF($A605&gt;'1-Input'!$B$26,M604,(M604-MAX(0,I561-IF($A605&gt;='1-Input'!$C$12,'1-Input'!$B$13,0))+J605*(1-'P-Parametri'!$B$6*I605))*(1+'1-Input'!$B$27))</f>
        <v>-1.8124410416930913E-12</v>
      </c>
      <c r="L605" s="18">
        <f>IF($A605&gt;'1-Input'!$B$26,N604,(N604-J605)*(1+'5-Roberta'!$C$4))</f>
        <v>-163204.68818500653</v>
      </c>
      <c r="M605" s="18">
        <f>IF($A605&gt;'1-Input'!$B$26,K605,K605-'P-Parametri'!$B$8*(L605+K605)+MIN(MAX(L605,0),'P-Parametri'!$B$8*(L605+K605)))</f>
        <v>-1.8189894035458565E-12</v>
      </c>
      <c r="N605" s="18">
        <f>IF($A605&gt;'1-Input'!$B$26,L605,L605-MIN(MAX(L605,0),'P-Parametri'!$B$8*(L605+K605)))</f>
        <v>-162878.2788086365</v>
      </c>
      <c r="O605" s="18">
        <f>IF($A605&gt;'1-Input'!$B$26,O604,O604-J605*(1-I605))</f>
        <v>-127856.32274034576</v>
      </c>
      <c r="P605" s="11">
        <f>IF($A605&gt;'1-Input'!$B$26,0,IF(U604&lt;=0,0,MAX(0,(U604-V604)/U604)))</f>
        <v>0.74681375313856513</v>
      </c>
      <c r="Q605" s="18">
        <f>IF($A605&gt;'1-Input'!$B$26,0,(MAX(0,P561-IF($A605&gt;='1-Input'!$C$12,'1-Input'!$B$13,0))-MIN(MAX(T604,0),MAX(0,P561-IF($A605&gt;='1-Input'!$C$12,'1-Input'!$B$13,0))))*(1/(1-'P-Parametri'!$B$6*P605))+MIN(MAX(0,U604-(MAX(0,P561-IF($A605&gt;='1-Input'!$C$12,'1-Input'!$B$13,0))-MIN(MAX(T604,0),MAX(0,P561-IF($A605&gt;='1-Input'!$C$12,'1-Input'!$B$13,0))))*(1/(1-'P-Parametri'!$B$6*P605))),MAX(0,0*P561-(T604-MIN(MAX(T604,0),MAX(0,P561-IF($A605&gt;='1-Input'!$C$12,'1-Input'!$B$13,0)))))*(1/(1-'P-Parametri'!$B$6*P605))))</f>
        <v>8510.4502306893246</v>
      </c>
      <c r="R605" s="18">
        <f>IF($A605&gt;'1-Input'!$B$26,T604,(T604-MAX(0,P561-IF($A605&gt;='1-Input'!$C$12,'1-Input'!$B$13,0))+Q605*(1-'P-Parametri'!$B$6*P605))*(1+'1-Input'!$B$27))</f>
        <v>-9.0622052084654565E-13</v>
      </c>
      <c r="S605" s="18">
        <f>IF($A605&gt;'1-Input'!$B$26,U604,(U604-Q605)*(1+'5-Roberta'!$C$4))</f>
        <v>893.28754837730673</v>
      </c>
      <c r="T605" s="18">
        <f>IF($A605&gt;'1-Input'!$B$26,R605,R605-'P-Parametri'!$B$8*(S605+R605)+MIN(MAX(S605,0),'P-Parametri'!$B$8*(S605+R605)))</f>
        <v>-9.0616403269905277E-13</v>
      </c>
      <c r="U605" s="18">
        <f>IF($A605&gt;'1-Input'!$B$26,S605,S605-MIN(MAX(S605,0),'P-Parametri'!$B$8*(S605+R605)))</f>
        <v>891.5009732805521</v>
      </c>
      <c r="V605" s="18">
        <f>IF($A605&gt;'1-Input'!$B$26,V604,V604-Q605*(1-P605))</f>
        <v>219.58070072009923</v>
      </c>
      <c r="W605" s="11">
        <f>IF($A605&gt;'1-Input'!$B$26,0,IF(AB604&lt;=0,0,MAX(0,(AB604-AC604)/AB604)))</f>
        <v>0.74681375313856502</v>
      </c>
      <c r="X605" s="18">
        <f>IF($A605&gt;'1-Input'!$B$26,0,(MAX(0,W561-IF($A605&gt;='1-Input'!$C$12,'1-Input'!$B$13,0))-MIN(MAX(AA604,0),MAX(0,W561-IF($A605&gt;='1-Input'!$C$12,'1-Input'!$B$13,0))))*(1/(1-'P-Parametri'!$B$6*W605))+MIN(MAX(0,AB604-(MAX(0,W561-IF($A605&gt;='1-Input'!$C$12,'1-Input'!$B$13,0))-MIN(MAX(AA604,0),MAX(0,W561-IF($A605&gt;='1-Input'!$C$12,'1-Input'!$B$13,0))))*(1/(1-'P-Parametri'!$B$6*W605))),MAX(0,0*W561-(AA604-MIN(MAX(AA604,0),MAX(0,W561-IF($A605&gt;='1-Input'!$C$12,'1-Input'!$B$13,0)))))*(1/(1-'P-Parametri'!$B$6*W605))))</f>
        <v>8180.0039257581357</v>
      </c>
      <c r="Y605" s="18">
        <f>IF($A605&gt;'1-Input'!$B$26,AA604,(AA604-MAX(0,W561-IF($A605&gt;='1-Input'!$C$12,'1-Input'!$B$13,0))+X605*(1-'P-Parametri'!$B$6*W605))*(1+'1-Input'!$B$27))</f>
        <v>0</v>
      </c>
      <c r="Z605" s="18">
        <f>IF($A605&gt;'1-Input'!$B$26,AB604,(AB604-X605)*(1+'5-Roberta'!$C$4))</f>
        <v>25401.113187726001</v>
      </c>
      <c r="AA605" s="18">
        <f>IF($A605&gt;'1-Input'!$B$26,Y605,Y605-'P-Parametri'!$B$8*(Z605+Y605)+MIN(MAX(Z605,0),'P-Parametri'!$B$8*(Z605+Y605)))</f>
        <v>0</v>
      </c>
      <c r="AB605" s="18">
        <f>IF($A605&gt;'1-Input'!$B$26,Z605,Z605-MIN(MAX(Z605,0),'P-Parametri'!$B$8*(Z605+Y605)))</f>
        <v>25350.310961350548</v>
      </c>
      <c r="AC605" s="18">
        <f>IF($A605&gt;'1-Input'!$B$26,AC604,AC604-X605*(1-W605))</f>
        <v>6243.8956447600449</v>
      </c>
      <c r="AD605" s="11">
        <f>IF($A605&gt;'1-Input'!$B$26,0,IF(AI604&lt;=0,0,MAX(0,(AI604-AJ604)/AI604)))</f>
        <v>0.74681375313856513</v>
      </c>
      <c r="AE605" s="18">
        <f>IF($A605&gt;'1-Input'!$B$26,0,(MAX(0,AD561-IF($A605&gt;='1-Input'!$C$12,'1-Input'!$B$13,0))-MIN(MAX(AH604,0),MAX(0,AD561-IF($A605&gt;='1-Input'!$C$12,'1-Input'!$B$13,0))))*(1/(1-'P-Parametri'!$B$6*AD605))+MIN(MAX(0,AI604-(MAX(0,AD561-IF($A605&gt;='1-Input'!$C$12,'1-Input'!$B$13,0))-MIN(MAX(AH604,0),MAX(0,AD561-IF($A605&gt;='1-Input'!$C$12,'1-Input'!$B$13,0))))*(1/(1-'P-Parametri'!$B$6*AD605))),MAX(0,0*AD561-(AH604-MIN(MAX(AH604,0),MAX(0,AD561-IF($A605&gt;='1-Input'!$C$12,'1-Input'!$B$13,0)))))*(1/(1-'P-Parametri'!$B$6*AD605))))</f>
        <v>8200.3899367774666</v>
      </c>
      <c r="AF605" s="18">
        <f>IF($A605&gt;'1-Input'!$B$26,AH604,(AH604-MAX(0,AD561-IF($A605&gt;='1-Input'!$C$12,'1-Input'!$B$13,0))+AE605*(1-'P-Parametri'!$B$6*AD605))*(1+'1-Input'!$B$27))</f>
        <v>0</v>
      </c>
      <c r="AG605" s="18">
        <f>IF($A605&gt;'1-Input'!$B$26,AI604,(AI604-AE605)*(1+'5-Roberta'!$C$4))</f>
        <v>23889.167688297344</v>
      </c>
      <c r="AH605" s="18">
        <f>IF($A605&gt;'1-Input'!$B$26,AF605,AF605-'P-Parametri'!$B$8*(AG605+AF605)+MIN(MAX(AG605,0),'P-Parametri'!$B$8*(AG605+AF605)))</f>
        <v>0</v>
      </c>
      <c r="AI605" s="18">
        <f>IF($A605&gt;'1-Input'!$B$26,AG605,AG605-MIN(MAX(AG605,0),'P-Parametri'!$B$8*(AG605+AF605)))</f>
        <v>23841.389352920749</v>
      </c>
      <c r="AJ605" s="18">
        <f>IF($A605&gt;'1-Input'!$B$26,AJ604,AJ604-AE605*(1-AD605))</f>
        <v>5872.2414637315214</v>
      </c>
      <c r="AK605" s="11">
        <f>IF($A605&gt;'1-Input'!$B$26,0,IF(AP604&lt;=0,0,MAX(0,(AP604-AQ604)/AP604)))</f>
        <v>0.74681375313856513</v>
      </c>
      <c r="AL605" s="18">
        <f>IF($A605&gt;'1-Input'!$B$26,0,(MAX(0,AK561-IF($A605&gt;='1-Input'!$C$12,'1-Input'!$B$13,0))-MIN(MAX(AO604,0),MAX(0,AK561-IF($A605&gt;='1-Input'!$C$12,'1-Input'!$B$13,0))))*(1/(1-'P-Parametri'!$B$6*AK605))+MIN(MAX(0,AP604-(MAX(0,AK561-IF($A605&gt;='1-Input'!$C$12,'1-Input'!$B$13,0))-MIN(MAX(AO604,0),MAX(0,AK561-IF($A605&gt;='1-Input'!$C$12,'1-Input'!$B$13,0))))*(1/(1-'P-Parametri'!$B$6*AK605))),MAX(0,0*AK561-(AO604-MIN(MAX(AO604,0),MAX(0,AK561-IF($A605&gt;='1-Input'!$C$12,'1-Input'!$B$13,0)))))*(1/(1-'P-Parametri'!$B$6*AK605))))</f>
        <v>8197.7759714588901</v>
      </c>
      <c r="AM605" s="18">
        <f>IF($A605&gt;'1-Input'!$B$26,AO604,(AO604-MAX(0,AK561-IF($A605&gt;='1-Input'!$C$12,'1-Input'!$B$13,0))+AL605*(1-'P-Parametri'!$B$6*AK605))*(1+'1-Input'!$B$27))</f>
        <v>-9.0622052084654565E-13</v>
      </c>
      <c r="AN605" s="18">
        <f>IF($A605&gt;'1-Input'!$B$26,AP604,(AP604-AL605)*(1+'5-Roberta'!$C$4))</f>
        <v>24083.034604945613</v>
      </c>
      <c r="AO605" s="18">
        <f>IF($A605&gt;'1-Input'!$B$26,AM605,AM605-'P-Parametri'!$B$8*(AN605+AM605)+MIN(MAX(AN605,0),'P-Parametri'!$B$8*(AN605+AM605)))</f>
        <v>-9.0949470177292824E-13</v>
      </c>
      <c r="AP605" s="18">
        <f>IF($A605&gt;'1-Input'!$B$26,AN605,AN605-MIN(MAX(AN605,0),'P-Parametri'!$B$8*(AN605+AM605)))</f>
        <v>24034.868535735721</v>
      </c>
      <c r="AQ605" s="18">
        <f>IF($A605&gt;'1-Input'!$B$26,AQ604,AQ604-AL605*(1-AK605))</f>
        <v>5919.8962569516889</v>
      </c>
    </row>
    <row r="606" spans="1:43">
      <c r="A606" s="10">
        <f>43</f>
        <v>43</v>
      </c>
      <c r="B606" s="11">
        <f>IF($A606&gt;'1-Input'!$B$26,0,IF(G605&lt;=0,0,MAX(0,(G605-H605)/G605)))</f>
        <v>0.75369550084495696</v>
      </c>
      <c r="C606" s="18">
        <f>IF($A606&gt;'1-Input'!$B$26,0,(MAX(0,B561-IF($A606&gt;='1-Input'!$C$12,'1-Input'!$B$13,0))-MIN(MAX(F605,0),MAX(0,B561-IF($A606&gt;='1-Input'!$C$12,'1-Input'!$B$13,0))))*(1/(1-'P-Parametri'!$B$6*B606))+MIN(MAX(0,G605-(MAX(0,B561-IF($A606&gt;='1-Input'!$C$12,'1-Input'!$B$13,0))-MIN(MAX(F605,0),MAX(0,B561-IF($A606&gt;='1-Input'!$C$12,'1-Input'!$B$13,0))))*(1/(1-'P-Parametri'!$B$6*B606))),MAX(0,0*B561-(F605-MIN(MAX(F605,0),MAX(0,B561-IF($A606&gt;='1-Input'!$C$12,'1-Input'!$B$13,0)))))*(1/(1-'P-Parametri'!$B$6*B606))))</f>
        <v>4659.0457970466077</v>
      </c>
      <c r="D606" s="18">
        <f>IF($A606&gt;'1-Input'!$B$26,F605,(F605-MAX(0,B561-IF($A606&gt;='1-Input'!$C$12,'1-Input'!$B$13,0))+C606*(1-'P-Parametri'!$B$6*B606))*(1+'1-Input'!$B$27))</f>
        <v>0</v>
      </c>
      <c r="E606" s="18">
        <f>IF($A606&gt;'1-Input'!$B$26,G605,(G605-C606)*(1+'5-Roberta'!$C$4))</f>
        <v>290531.57880432863</v>
      </c>
      <c r="F606" s="18">
        <f>IF($A606&gt;'1-Input'!$B$26,D606,D606-'P-Parametri'!$B$8*(E606+D606)+MIN(MAX(E606,0),'P-Parametri'!$B$8*(E606+D606)))</f>
        <v>0</v>
      </c>
      <c r="G606" s="18">
        <f>IF($A606&gt;'1-Input'!$B$26,E606,E606-MIN(MAX(E606,0),'P-Parametri'!$B$8*(E606+D606)))</f>
        <v>289950.51564671996</v>
      </c>
      <c r="H606" s="18">
        <f>IF($A606&gt;'1-Input'!$B$26,H605,H605-C606*(1-B606))</f>
        <v>69474.985442838923</v>
      </c>
      <c r="I606" s="11">
        <f>IF($A606&gt;'1-Input'!$B$26,0,IF(N605&lt;=0,0,MAX(0,(N605-O605)/N605)))</f>
        <v>0</v>
      </c>
      <c r="J606" s="18">
        <f>IF($A606&gt;'1-Input'!$B$26,0,(MAX(0,I561-IF($A606&gt;='1-Input'!$C$12,'1-Input'!$B$13,0))-MIN(MAX(M605,0),MAX(0,I561-IF($A606&gt;='1-Input'!$C$12,'1-Input'!$B$13,0))))*(1/(1-'P-Parametri'!$B$6*I606))+MIN(MAX(0,N605-(MAX(0,I561-IF($A606&gt;='1-Input'!$C$12,'1-Input'!$B$13,0))-MIN(MAX(M605,0),MAX(0,I561-IF($A606&gt;='1-Input'!$C$12,'1-Input'!$B$13,0))))*(1/(1-'P-Parametri'!$B$6*I606))),MAX(0,0*I561-(M605-MIN(MAX(M605,0),MAX(0,I561-IF($A606&gt;='1-Input'!$C$12,'1-Input'!$B$13,0)))))*(1/(1-'P-Parametri'!$B$6*I606))))</f>
        <v>9013.756992928691</v>
      </c>
      <c r="K606" s="18">
        <f>IF($A606&gt;'1-Input'!$B$26,M605,(M605-MAX(0,I561-IF($A606&gt;='1-Input'!$C$12,'1-Input'!$B$13,0))+J606*(1-'P-Parametri'!$B$6*I606))*(1+'1-Input'!$B$27))</f>
        <v>-1.8124410416930913E-12</v>
      </c>
      <c r="L606" s="18">
        <f>IF($A606&gt;'1-Input'!$B$26,N605,(N605-J606)*(1+'5-Roberta'!$C$4))</f>
        <v>-177048.79687561214</v>
      </c>
      <c r="M606" s="18">
        <f>IF($A606&gt;'1-Input'!$B$26,K606,K606-'P-Parametri'!$B$8*(L606+K606)+MIN(MAX(L606,0),'P-Parametri'!$B$8*(L606+K606)))</f>
        <v>-1.8189894035458565E-12</v>
      </c>
      <c r="N606" s="18">
        <f>IF($A606&gt;'1-Input'!$B$26,L606,L606-MIN(MAX(L606,0),'P-Parametri'!$B$8*(L606+K606)))</f>
        <v>-176694.69928186093</v>
      </c>
      <c r="O606" s="18">
        <f>IF($A606&gt;'1-Input'!$B$26,O605,O605-J606*(1-I606))</f>
        <v>-136870.07973327444</v>
      </c>
      <c r="P606" s="11">
        <f>IF($A606&gt;'1-Input'!$B$26,0,IF(U605&lt;=0,0,MAX(0,(U605-V605)/U605)))</f>
        <v>0.75369550084495762</v>
      </c>
      <c r="Q606" s="18">
        <f>IF($A606&gt;'1-Input'!$B$26,0,(MAX(0,P561-IF($A606&gt;='1-Input'!$C$12,'1-Input'!$B$13,0))-MIN(MAX(T605,0),MAX(0,P561-IF($A606&gt;='1-Input'!$C$12,'1-Input'!$B$13,0))))*(1/(1-'P-Parametri'!$B$6*P606))+MIN(MAX(0,U605-(MAX(0,P561-IF($A606&gt;='1-Input'!$C$12,'1-Input'!$B$13,0))-MIN(MAX(T605,0),MAX(0,P561-IF($A606&gt;='1-Input'!$C$12,'1-Input'!$B$13,0))))*(1/(1-'P-Parametri'!$B$6*P606))),MAX(0,0*P561-(T605-MIN(MAX(T605,0),MAX(0,P561-IF($A606&gt;='1-Input'!$C$12,'1-Input'!$B$13,0)))))*(1/(1-'P-Parametri'!$B$6*P606))))</f>
        <v>8529.3888112022232</v>
      </c>
      <c r="R606" s="18">
        <f>IF($A606&gt;'1-Input'!$B$26,T605,(T605-MAX(0,P561-IF($A606&gt;='1-Input'!$C$12,'1-Input'!$B$13,0))+Q606*(1-'P-Parametri'!$B$6*P606))*(1+'1-Input'!$B$27))</f>
        <v>-9.0622052084654565E-13</v>
      </c>
      <c r="S606" s="18">
        <f>IF($A606&gt;'1-Input'!$B$26,U605,(U605-Q606)*(1+'5-Roberta'!$C$4))</f>
        <v>-7867.0244730593213</v>
      </c>
      <c r="T606" s="18">
        <f>IF($A606&gt;'1-Input'!$B$26,R606,R606-'P-Parametri'!$B$8*(S606+R606)+MIN(MAX(S606,0),'P-Parametri'!$B$8*(S606+R606)))</f>
        <v>-9.0594198809412774E-13</v>
      </c>
      <c r="U606" s="18">
        <f>IF($A606&gt;'1-Input'!$B$26,S606,S606-MIN(MAX(S606,0),'P-Parametri'!$B$8*(S606+R606)))</f>
        <v>-7851.2904241132028</v>
      </c>
      <c r="V606" s="18">
        <f>IF($A606&gt;'1-Input'!$B$26,V605,V605-Q606*(1-P606))</f>
        <v>-1881.2461385216866</v>
      </c>
      <c r="W606" s="11">
        <f>IF($A606&gt;'1-Input'!$B$26,0,IF(AB605&lt;=0,0,MAX(0,(AB605-AC605)/AB605)))</f>
        <v>0.75369550084495684</v>
      </c>
      <c r="X606" s="18">
        <f>IF($A606&gt;'1-Input'!$B$26,0,(MAX(0,W561-IF($A606&gt;='1-Input'!$C$12,'1-Input'!$B$13,0))-MIN(MAX(AA605,0),MAX(0,W561-IF($A606&gt;='1-Input'!$C$12,'1-Input'!$B$13,0))))*(1/(1-'P-Parametri'!$B$6*W606))+MIN(MAX(0,AB605-(MAX(0,W561-IF($A606&gt;='1-Input'!$C$12,'1-Input'!$B$13,0))-MIN(MAX(AA605,0),MAX(0,W561-IF($A606&gt;='1-Input'!$C$12,'1-Input'!$B$13,0))))*(1/(1-'P-Parametri'!$B$6*W606))),MAX(0,0*W561-(AA605-MIN(MAX(AA605,0),MAX(0,W561-IF($A606&gt;='1-Input'!$C$12,'1-Input'!$B$13,0)))))*(1/(1-'P-Parametri'!$B$6*W606))))</f>
        <v>8198.2071534070237</v>
      </c>
      <c r="Y606" s="18">
        <f>IF($A606&gt;'1-Input'!$B$26,AA605,(AA605-MAX(0,W561-IF($A606&gt;='1-Input'!$C$12,'1-Input'!$B$13,0))+X606*(1-'P-Parametri'!$B$6*W606))*(1+'1-Input'!$B$27))</f>
        <v>0</v>
      </c>
      <c r="Z606" s="18">
        <f>IF($A606&gt;'1-Input'!$B$26,AB605,(AB605-X606)*(1+'5-Roberta'!$C$4))</f>
        <v>17666.66692218183</v>
      </c>
      <c r="AA606" s="18">
        <f>IF($A606&gt;'1-Input'!$B$26,Y606,Y606-'P-Parametri'!$B$8*(Z606+Y606)+MIN(MAX(Z606,0),'P-Parametri'!$B$8*(Z606+Y606)))</f>
        <v>0</v>
      </c>
      <c r="AB606" s="18">
        <f>IF($A606&gt;'1-Input'!$B$26,Z606,Z606-MIN(MAX(Z606,0),'P-Parametri'!$B$8*(Z606+Y606)))</f>
        <v>17631.333588337468</v>
      </c>
      <c r="AC606" s="18">
        <f>IF($A606&gt;'1-Input'!$B$26,AC605,AC605-X606*(1-W606))</f>
        <v>4224.6403378708355</v>
      </c>
      <c r="AD606" s="11">
        <f>IF($A606&gt;'1-Input'!$B$26,0,IF(AI605&lt;=0,0,MAX(0,(AI605-AJ605)/AI605)))</f>
        <v>0.75369550084495684</v>
      </c>
      <c r="AE606" s="18">
        <f>IF($A606&gt;'1-Input'!$B$26,0,(MAX(0,AD561-IF($A606&gt;='1-Input'!$C$12,'1-Input'!$B$13,0))-MIN(MAX(AH605,0),MAX(0,AD561-IF($A606&gt;='1-Input'!$C$12,'1-Input'!$B$13,0))))*(1/(1-'P-Parametri'!$B$6*AD606))+MIN(MAX(0,AI605-(MAX(0,AD561-IF($A606&gt;='1-Input'!$C$12,'1-Input'!$B$13,0))-MIN(MAX(AH605,0),MAX(0,AD561-IF($A606&gt;='1-Input'!$C$12,'1-Input'!$B$13,0))))*(1/(1-'P-Parametri'!$B$6*AD606))),MAX(0,0*AD561-(AH605-MIN(MAX(AH605,0),MAX(0,AD561-IF($A606&gt;='1-Input'!$C$12,'1-Input'!$B$13,0)))))*(1/(1-'P-Parametri'!$B$6*AD606))))</f>
        <v>8218.6385300768852</v>
      </c>
      <c r="AF606" s="18">
        <f>IF($A606&gt;'1-Input'!$B$26,AH605,(AH605-MAX(0,AD561-IF($A606&gt;='1-Input'!$C$12,'1-Input'!$B$13,0))+AE606*(1-'P-Parametri'!$B$6*AD606))*(1+'1-Input'!$B$27))</f>
        <v>-9.0622052084654565E-13</v>
      </c>
      <c r="AG606" s="18">
        <f>IF($A606&gt;'1-Input'!$B$26,AI605,(AI605-AE606)*(1+'5-Roberta'!$C$4))</f>
        <v>16091.433347529181</v>
      </c>
      <c r="AH606" s="18">
        <f>IF($A606&gt;'1-Input'!$B$26,AF606,AF606-'P-Parametri'!$B$8*(AG606+AF606)+MIN(MAX(AG606,0),'P-Parametri'!$B$8*(AG606+AF606)))</f>
        <v>-9.0949470177292824E-13</v>
      </c>
      <c r="AI606" s="18">
        <f>IF($A606&gt;'1-Input'!$B$26,AG606,AG606-MIN(MAX(AG606,0),'P-Parametri'!$B$8*(AG606+AF606)))</f>
        <v>16059.250480834122</v>
      </c>
      <c r="AJ606" s="18">
        <f>IF($A606&gt;'1-Input'!$B$26,AJ605,AJ605-AE606*(1-AD606))</f>
        <v>3847.9538168445943</v>
      </c>
      <c r="AK606" s="11">
        <f>IF($A606&gt;'1-Input'!$B$26,0,IF(AP605&lt;=0,0,MAX(0,(AP605-AQ605)/AP605)))</f>
        <v>0.75369550084495707</v>
      </c>
      <c r="AL606" s="18">
        <f>IF($A606&gt;'1-Input'!$B$26,0,(MAX(0,AK561-IF($A606&gt;='1-Input'!$C$12,'1-Input'!$B$13,0))-MIN(MAX(AO605,0),MAX(0,AK561-IF($A606&gt;='1-Input'!$C$12,'1-Input'!$B$13,0))))*(1/(1-'P-Parametri'!$B$6*AK606))+MIN(MAX(0,AP605-(MAX(0,AK561-IF($A606&gt;='1-Input'!$C$12,'1-Input'!$B$13,0))-MIN(MAX(AO605,0),MAX(0,AK561-IF($A606&gt;='1-Input'!$C$12,'1-Input'!$B$13,0))))*(1/(1-'P-Parametri'!$B$6*AK606))),MAX(0,0*AK561-(AO605-MIN(MAX(AO605,0),MAX(0,AK561-IF($A606&gt;='1-Input'!$C$12,'1-Input'!$B$13,0)))))*(1/(1-'P-Parametri'!$B$6*AK606))))</f>
        <v>8216.0187478166354</v>
      </c>
      <c r="AM606" s="18">
        <f>IF($A606&gt;'1-Input'!$B$26,AO605,(AO605-MAX(0,AK561-IF($A606&gt;='1-Input'!$C$12,'1-Input'!$B$13,0))+AL606*(1-'P-Parametri'!$B$6*AK606))*(1+'1-Input'!$B$27))</f>
        <v>9.0622052084654565E-13</v>
      </c>
      <c r="AN606" s="18">
        <f>IF($A606&gt;'1-Input'!$B$26,AP605,(AP605-AL606)*(1+'5-Roberta'!$C$4))</f>
        <v>16293.415281556658</v>
      </c>
      <c r="AO606" s="18">
        <f>IF($A606&gt;'1-Input'!$B$26,AM606,AM606-'P-Parametri'!$B$8*(AN606+AM606)+MIN(MAX(AN606,0),'P-Parametri'!$B$8*(AN606+AM606)))</f>
        <v>9.0949470177292824E-13</v>
      </c>
      <c r="AP606" s="18">
        <f>IF($A606&gt;'1-Input'!$B$26,AN606,AN606-MIN(MAX(AN606,0),'P-Parametri'!$B$8*(AN606+AM606)))</f>
        <v>16260.828450993544</v>
      </c>
      <c r="AQ606" s="18">
        <f>IF($A606&gt;'1-Input'!$B$26,AQ605,AQ605-AL606*(1-AK606))</f>
        <v>3896.2538742222696</v>
      </c>
    </row>
    <row r="607" spans="1:43">
      <c r="A607" s="10">
        <f>44</f>
        <v>44</v>
      </c>
      <c r="B607" s="11">
        <f>IF($A607&gt;'1-Input'!$B$26,0,IF(G606&lt;=0,0,MAX(0,(G606-H606)/G606)))</f>
        <v>0.76039019869346158</v>
      </c>
      <c r="C607" s="18">
        <f>IF($A607&gt;'1-Input'!$B$26,0,(MAX(0,B561-IF($A607&gt;='1-Input'!$C$12,'1-Input'!$B$13,0))-MIN(MAX(F606,0),MAX(0,B561-IF($A607&gt;='1-Input'!$C$12,'1-Input'!$B$13,0))))*(1/(1-'P-Parametri'!$B$6*B607))+MIN(MAX(0,G606-(MAX(0,B561-IF($A607&gt;='1-Input'!$C$12,'1-Input'!$B$13,0))-MIN(MAX(F606,0),MAX(0,B561-IF($A607&gt;='1-Input'!$C$12,'1-Input'!$B$13,0))))*(1/(1-'P-Parametri'!$B$6*B607))),MAX(0,0*B561-(F606-MIN(MAX(F606,0),MAX(0,B561-IF($A607&gt;='1-Input'!$C$12,'1-Input'!$B$13,0)))))*(1/(1-'P-Parametri'!$B$6*B607))))</f>
        <v>4669.1537986426601</v>
      </c>
      <c r="D607" s="18">
        <f>IF($A607&gt;'1-Input'!$B$26,F606,(F606-MAX(0,B561-IF($A607&gt;='1-Input'!$C$12,'1-Input'!$B$13,0))+C607*(1-'P-Parametri'!$B$6*B607))*(1+'1-Input'!$B$27))</f>
        <v>0</v>
      </c>
      <c r="E607" s="18">
        <f>IF($A607&gt;'1-Input'!$B$26,G606,(G606-C607)*(1+'5-Roberta'!$C$4))</f>
        <v>293839.80270351958</v>
      </c>
      <c r="F607" s="18">
        <f>IF($A607&gt;'1-Input'!$B$26,D607,D607-'P-Parametri'!$B$8*(E607+D607)+MIN(MAX(E607,0),'P-Parametri'!$B$8*(E607+D607)))</f>
        <v>0</v>
      </c>
      <c r="G607" s="18">
        <f>IF($A607&gt;'1-Input'!$B$26,E607,E607-MIN(MAX(E607,0),'P-Parametri'!$B$8*(E607+D607)))</f>
        <v>293252.12309811253</v>
      </c>
      <c r="H607" s="18">
        <f>IF($A607&gt;'1-Input'!$B$26,H606,H606-C607*(1-B607))</f>
        <v>68356.210428876482</v>
      </c>
      <c r="I607" s="11">
        <f>IF($A607&gt;'1-Input'!$B$26,0,IF(N606&lt;=0,0,MAX(0,(N606-O606)/N606)))</f>
        <v>0</v>
      </c>
      <c r="J607" s="18">
        <f>IF($A607&gt;'1-Input'!$B$26,0,(MAX(0,I561-IF($A607&gt;='1-Input'!$C$12,'1-Input'!$B$13,0))-MIN(MAX(M606,0),MAX(0,I561-IF($A607&gt;='1-Input'!$C$12,'1-Input'!$B$13,0))))*(1/(1-'P-Parametri'!$B$6*I607))+MIN(MAX(0,N606-(MAX(0,I561-IF($A607&gt;='1-Input'!$C$12,'1-Input'!$B$13,0))-MIN(MAX(M606,0),MAX(0,I561-IF($A607&gt;='1-Input'!$C$12,'1-Input'!$B$13,0))))*(1/(1-'P-Parametri'!$B$6*I607))),MAX(0,0*I561-(M606-MIN(MAX(M606,0),MAX(0,I561-IF($A607&gt;='1-Input'!$C$12,'1-Input'!$B$13,0)))))*(1/(1-'P-Parametri'!$B$6*I607))))</f>
        <v>9013.756992928691</v>
      </c>
      <c r="K607" s="18">
        <f>IF($A607&gt;'1-Input'!$B$26,M606,(M606-MAX(0,I561-IF($A607&gt;='1-Input'!$C$12,'1-Input'!$B$13,0))+J607*(1-'P-Parametri'!$B$6*I607))*(1+'1-Input'!$B$27))</f>
        <v>-1.8124410416930913E-12</v>
      </c>
      <c r="L607" s="18">
        <f>IF($A607&gt;'1-Input'!$B$26,N606,(N606-J607)*(1+'5-Roberta'!$C$4))</f>
        <v>-191279.7099630333</v>
      </c>
      <c r="M607" s="18">
        <f>IF($A607&gt;'1-Input'!$B$26,K607,K607-'P-Parametri'!$B$8*(L607+K607)+MIN(MAX(L607,0),'P-Parametri'!$B$8*(L607+K607)))</f>
        <v>-1.8189894035458565E-12</v>
      </c>
      <c r="N607" s="18">
        <f>IF($A607&gt;'1-Input'!$B$26,L607,L607-MIN(MAX(L607,0),'P-Parametri'!$B$8*(L607+K607)))</f>
        <v>-190897.15054310724</v>
      </c>
      <c r="O607" s="18">
        <f>IF($A607&gt;'1-Input'!$B$26,O606,O606-J607*(1-I607))</f>
        <v>-145883.83672620312</v>
      </c>
      <c r="P607" s="11">
        <f>IF($A607&gt;'1-Input'!$B$26,0,IF(U606&lt;=0,0,MAX(0,(U606-V606)/U606)))</f>
        <v>0</v>
      </c>
      <c r="Q607" s="18">
        <f>IF($A607&gt;'1-Input'!$B$26,0,(MAX(0,P561-IF($A607&gt;='1-Input'!$C$12,'1-Input'!$B$13,0))-MIN(MAX(T606,0),MAX(0,P561-IF($A607&gt;='1-Input'!$C$12,'1-Input'!$B$13,0))))*(1/(1-'P-Parametri'!$B$6*P607))+MIN(MAX(0,U606-(MAX(0,P561-IF($A607&gt;='1-Input'!$C$12,'1-Input'!$B$13,0))-MIN(MAX(T606,0),MAX(0,P561-IF($A607&gt;='1-Input'!$C$12,'1-Input'!$B$13,0))))*(1/(1-'P-Parametri'!$B$6*P607))),MAX(0,0*P561-(T606-MIN(MAX(T606,0),MAX(0,P561-IF($A607&gt;='1-Input'!$C$12,'1-Input'!$B$13,0)))))*(1/(1-'P-Parametri'!$B$6*P607))))</f>
        <v>6857.9626984925089</v>
      </c>
      <c r="R607" s="18">
        <f>IF($A607&gt;'1-Input'!$B$26,T606,(T606-MAX(0,P561-IF($A607&gt;='1-Input'!$C$12,'1-Input'!$B$13,0))+Q607*(1-'P-Parametri'!$B$6*P607))*(1+'1-Input'!$B$27))</f>
        <v>-9.0622052084654565E-13</v>
      </c>
      <c r="S607" s="18">
        <f>IF($A607&gt;'1-Input'!$B$26,U606,(U606-Q607)*(1+'5-Roberta'!$C$4))</f>
        <v>-15150.530716283882</v>
      </c>
      <c r="T607" s="18">
        <f>IF($A607&gt;'1-Input'!$B$26,R607,R607-'P-Parametri'!$B$8*(S607+R607)+MIN(MAX(S607,0),'P-Parametri'!$B$8*(S607+R607)))</f>
        <v>-9.0594198809412774E-13</v>
      </c>
      <c r="U607" s="18">
        <f>IF($A607&gt;'1-Input'!$B$26,S607,S607-MIN(MAX(S607,0),'P-Parametri'!$B$8*(S607+R607)))</f>
        <v>-15120.229654851313</v>
      </c>
      <c r="V607" s="18">
        <f>IF($A607&gt;'1-Input'!$B$26,V606,V606-Q607*(1-P607))</f>
        <v>-8739.2088370141955</v>
      </c>
      <c r="W607" s="11">
        <f>IF($A607&gt;'1-Input'!$B$26,0,IF(AB606&lt;=0,0,MAX(0,(AB606-AC606)/AB606)))</f>
        <v>0.76039019869346181</v>
      </c>
      <c r="X607" s="18">
        <f>IF($A607&gt;'1-Input'!$B$26,0,(MAX(0,W561-IF($A607&gt;='1-Input'!$C$12,'1-Input'!$B$13,0))-MIN(MAX(AA606,0),MAX(0,W561-IF($A607&gt;='1-Input'!$C$12,'1-Input'!$B$13,0))))*(1/(1-'P-Parametri'!$B$6*W607))+MIN(MAX(0,AB606-(MAX(0,W561-IF($A607&gt;='1-Input'!$C$12,'1-Input'!$B$13,0))-MIN(MAX(AA606,0),MAX(0,W561-IF($A607&gt;='1-Input'!$C$12,'1-Input'!$B$13,0))))*(1/(1-'P-Parametri'!$B$6*W607))),MAX(0,0*W561-(AA606-MIN(MAX(AA606,0),MAX(0,W561-IF($A607&gt;='1-Input'!$C$12,'1-Input'!$B$13,0)))))*(1/(1-'P-Parametri'!$B$6*W607))))</f>
        <v>8215.9935188134223</v>
      </c>
      <c r="Y607" s="18">
        <f>IF($A607&gt;'1-Input'!$B$26,AA606,(AA606-MAX(0,W561-IF($A607&gt;='1-Input'!$C$12,'1-Input'!$B$13,0))+X607*(1-'P-Parametri'!$B$6*W607))*(1+'1-Input'!$B$27))</f>
        <v>0</v>
      </c>
      <c r="Z607" s="18">
        <f>IF($A607&gt;'1-Input'!$B$26,AB606,(AB606-X607)*(1+'5-Roberta'!$C$4))</f>
        <v>9697.8002716097672</v>
      </c>
      <c r="AA607" s="18">
        <f>IF($A607&gt;'1-Input'!$B$26,Y607,Y607-'P-Parametri'!$B$8*(Z607+Y607)+MIN(MAX(Z607,0),'P-Parametri'!$B$8*(Z607+Y607)))</f>
        <v>0</v>
      </c>
      <c r="AB607" s="18">
        <f>IF($A607&gt;'1-Input'!$B$26,Z607,Z607-MIN(MAX(Z607,0),'P-Parametri'!$B$8*(Z607+Y607)))</f>
        <v>9678.404671066548</v>
      </c>
      <c r="AC607" s="18">
        <f>IF($A607&gt;'1-Input'!$B$26,AC606,AC606-X607*(1-W607))</f>
        <v>2256.0077632921457</v>
      </c>
      <c r="AD607" s="11">
        <f>IF($A607&gt;'1-Input'!$B$26,0,IF(AI606&lt;=0,0,MAX(0,(AI606-AJ606)/AI606)))</f>
        <v>0.76039019869346169</v>
      </c>
      <c r="AE607" s="18">
        <f>IF($A607&gt;'1-Input'!$B$26,0,(MAX(0,AD561-IF($A607&gt;='1-Input'!$C$12,'1-Input'!$B$13,0))-MIN(MAX(AH606,0),MAX(0,AD561-IF($A607&gt;='1-Input'!$C$12,'1-Input'!$B$13,0))))*(1/(1-'P-Parametri'!$B$6*AD607))+MIN(MAX(0,AI606-(MAX(0,AD561-IF($A607&gt;='1-Input'!$C$12,'1-Input'!$B$13,0))-MIN(MAX(AH606,0),MAX(0,AD561-IF($A607&gt;='1-Input'!$C$12,'1-Input'!$B$13,0))))*(1/(1-'P-Parametri'!$B$6*AD607))),MAX(0,0*AD561-(AH606-MIN(MAX(AH606,0),MAX(0,AD561-IF($A607&gt;='1-Input'!$C$12,'1-Input'!$B$13,0)))))*(1/(1-'P-Parametri'!$B$6*AD607))))</f>
        <v>8236.4692222396625</v>
      </c>
      <c r="AF607" s="18">
        <f>IF($A607&gt;'1-Input'!$B$26,AH606,(AH606-MAX(0,AD561-IF($A607&gt;='1-Input'!$C$12,'1-Input'!$B$13,0))+AE607*(1-'P-Parametri'!$B$6*AD607))*(1+'1-Input'!$B$27))</f>
        <v>9.0622052084654565E-13</v>
      </c>
      <c r="AG607" s="18">
        <f>IF($A607&gt;'1-Input'!$B$26,AI606,(AI606-AE607)*(1+'5-Roberta'!$C$4))</f>
        <v>8057.4646963522937</v>
      </c>
      <c r="AH607" s="18">
        <f>IF($A607&gt;'1-Input'!$B$26,AF607,AF607-'P-Parametri'!$B$8*(AG607+AF607)+MIN(MAX(AG607,0),'P-Parametri'!$B$8*(AG607+AF607)))</f>
        <v>9.0594198809412774E-13</v>
      </c>
      <c r="AI607" s="18">
        <f>IF($A607&gt;'1-Input'!$B$26,AG607,AG607-MIN(MAX(AG607,0),'P-Parametri'!$B$8*(AG607+AF607)))</f>
        <v>8041.349766959589</v>
      </c>
      <c r="AJ607" s="18">
        <f>IF($A607&gt;'1-Input'!$B$26,AJ606,AJ606-AE607*(1-AD607))</f>
        <v>1874.4150630363306</v>
      </c>
      <c r="AK607" s="11">
        <f>IF($A607&gt;'1-Input'!$B$26,0,IF(AP606&lt;=0,0,MAX(0,(AP606-AQ606)/AP606)))</f>
        <v>0.76039019869346158</v>
      </c>
      <c r="AL607" s="18">
        <f>IF($A607&gt;'1-Input'!$B$26,0,(MAX(0,AK561-IF($A607&gt;='1-Input'!$C$12,'1-Input'!$B$13,0))-MIN(MAX(AO606,0),MAX(0,AK561-IF($A607&gt;='1-Input'!$C$12,'1-Input'!$B$13,0))))*(1/(1-'P-Parametri'!$B$6*AK607))+MIN(MAX(0,AP606-(MAX(0,AK561-IF($A607&gt;='1-Input'!$C$12,'1-Input'!$B$13,0))-MIN(MAX(AO606,0),MAX(0,AK561-IF($A607&gt;='1-Input'!$C$12,'1-Input'!$B$13,0))))*(1/(1-'P-Parametri'!$B$6*AK607))),MAX(0,0*AK561-(AO606-MIN(MAX(AO606,0),MAX(0,AK561-IF($A607&gt;='1-Input'!$C$12,'1-Input'!$B$13,0)))))*(1/(1-'P-Parametri'!$B$6*AK607))))</f>
        <v>8233.8437562483523</v>
      </c>
      <c r="AM607" s="18">
        <f>IF($A607&gt;'1-Input'!$B$26,AO606,(AO606-MAX(0,AK561-IF($A607&gt;='1-Input'!$C$12,'1-Input'!$B$13,0))+AL607*(1-'P-Parametri'!$B$6*AK607))*(1+'1-Input'!$B$27))</f>
        <v>0</v>
      </c>
      <c r="AN607" s="18">
        <f>IF($A607&gt;'1-Input'!$B$26,AP606,(AP606-AL607)*(1+'5-Roberta'!$C$4))</f>
        <v>8267.7942355875475</v>
      </c>
      <c r="AO607" s="18">
        <f>IF($A607&gt;'1-Input'!$B$26,AM607,AM607-'P-Parametri'!$B$8*(AN607+AM607)+MIN(MAX(AN607,0),'P-Parametri'!$B$8*(AN607+AM607)))</f>
        <v>0</v>
      </c>
      <c r="AP607" s="18">
        <f>IF($A607&gt;'1-Input'!$B$26,AN607,AN607-MIN(MAX(AN607,0),'P-Parametri'!$B$8*(AN607+AM607)))</f>
        <v>8251.2586471163722</v>
      </c>
      <c r="AQ607" s="18">
        <f>IF($A607&gt;'1-Input'!$B$26,AQ606,AQ606-AL607*(1-AK607))</f>
        <v>1923.3442077985198</v>
      </c>
    </row>
    <row r="608" spans="1:43">
      <c r="A608" s="10">
        <f>45</f>
        <v>45</v>
      </c>
      <c r="B608" s="11">
        <f>IF($A608&gt;'1-Input'!$B$26,0,IF(G607&lt;=0,0,MAX(0,(G607-H607)/G607)))</f>
        <v>0.76690293080672178</v>
      </c>
      <c r="C608" s="18">
        <f>IF($A608&gt;'1-Input'!$B$26,0,(MAX(0,B561-IF($A608&gt;='1-Input'!$C$12,'1-Input'!$B$13,0))-MIN(MAX(F607,0),MAX(0,B561-IF($A608&gt;='1-Input'!$C$12,'1-Input'!$B$13,0))))*(1/(1-'P-Parametri'!$B$6*B608))+MIN(MAX(0,G607-(MAX(0,B561-IF($A608&gt;='1-Input'!$C$12,'1-Input'!$B$13,0))-MIN(MAX(F607,0),MAX(0,B561-IF($A608&gt;='1-Input'!$C$12,'1-Input'!$B$13,0))))*(1/(1-'P-Parametri'!$B$6*B608))),MAX(0,0*B561-(F607-MIN(MAX(F607,0),MAX(0,B561-IF($A608&gt;='1-Input'!$C$12,'1-Input'!$B$13,0)))))*(1/(1-'P-Parametri'!$B$6*B608))))</f>
        <v>4679.0292354687444</v>
      </c>
      <c r="D608" s="18">
        <f>IF($A608&gt;'1-Input'!$B$26,F607,(F607-MAX(0,B561-IF($A608&gt;='1-Input'!$C$12,'1-Input'!$B$13,0))+C608*(1-'P-Parametri'!$B$6*B608))*(1+'1-Input'!$B$27))</f>
        <v>0</v>
      </c>
      <c r="E608" s="18">
        <f>IF($A608&gt;'1-Input'!$B$26,G607,(G607-C608)*(1+'5-Roberta'!$C$4))</f>
        <v>297230.28667852306</v>
      </c>
      <c r="F608" s="18">
        <f>IF($A608&gt;'1-Input'!$B$26,D608,D608-'P-Parametri'!$B$8*(E608+D608)+MIN(MAX(E608,0),'P-Parametri'!$B$8*(E608+D608)))</f>
        <v>0</v>
      </c>
      <c r="G608" s="18">
        <f>IF($A608&gt;'1-Input'!$B$26,E608,E608-MIN(MAX(E608,0),'P-Parametri'!$B$8*(E608+D608)))</f>
        <v>296635.82610516599</v>
      </c>
      <c r="H608" s="18">
        <f>IF($A608&gt;'1-Input'!$B$26,H607,H607-C608*(1-B608))</f>
        <v>67265.542427419059</v>
      </c>
      <c r="I608" s="11">
        <f>IF($A608&gt;'1-Input'!$B$26,0,IF(N607&lt;=0,0,MAX(0,(N607-O607)/N607)))</f>
        <v>0</v>
      </c>
      <c r="J608" s="18">
        <f>IF($A608&gt;'1-Input'!$B$26,0,(MAX(0,I561-IF($A608&gt;='1-Input'!$C$12,'1-Input'!$B$13,0))-MIN(MAX(M607,0),MAX(0,I561-IF($A608&gt;='1-Input'!$C$12,'1-Input'!$B$13,0))))*(1/(1-'P-Parametri'!$B$6*I608))+MIN(MAX(0,N607-(MAX(0,I561-IF($A608&gt;='1-Input'!$C$12,'1-Input'!$B$13,0))-MIN(MAX(M607,0),MAX(0,I561-IF($A608&gt;='1-Input'!$C$12,'1-Input'!$B$13,0))))*(1/(1-'P-Parametri'!$B$6*I608))),MAX(0,0*I561-(M607-MIN(MAX(M607,0),MAX(0,I561-IF($A608&gt;='1-Input'!$C$12,'1-Input'!$B$13,0)))))*(1/(1-'P-Parametri'!$B$6*I608))))</f>
        <v>9013.756992928691</v>
      </c>
      <c r="K608" s="18">
        <f>IF($A608&gt;'1-Input'!$B$26,M607,(M607-MAX(0,I561-IF($A608&gt;='1-Input'!$C$12,'1-Input'!$B$13,0))+J608*(1-'P-Parametri'!$B$6*I608))*(1+'1-Input'!$B$27))</f>
        <v>-1.8124410416930913E-12</v>
      </c>
      <c r="L608" s="18">
        <f>IF($A608&gt;'1-Input'!$B$26,N607,(N607-J608)*(1+'5-Roberta'!$C$4))</f>
        <v>-205908.234762117</v>
      </c>
      <c r="M608" s="18">
        <f>IF($A608&gt;'1-Input'!$B$26,K608,K608-'P-Parametri'!$B$8*(L608+K608)+MIN(MAX(L608,0),'P-Parametri'!$B$8*(L608+K608)))</f>
        <v>-1.8189894035458565E-12</v>
      </c>
      <c r="N608" s="18">
        <f>IF($A608&gt;'1-Input'!$B$26,L608,L608-MIN(MAX(L608,0),'P-Parametri'!$B$8*(L608+K608)))</f>
        <v>-205496.41829259277</v>
      </c>
      <c r="O608" s="18">
        <f>IF($A608&gt;'1-Input'!$B$26,O607,O607-J608*(1-I608))</f>
        <v>-154897.59371913181</v>
      </c>
      <c r="P608" s="11">
        <f>IF($A608&gt;'1-Input'!$B$26,0,IF(U607&lt;=0,0,MAX(0,(U607-V607)/U607)))</f>
        <v>0</v>
      </c>
      <c r="Q608" s="18">
        <f>IF($A608&gt;'1-Input'!$B$26,0,(MAX(0,P561-IF($A608&gt;='1-Input'!$C$12,'1-Input'!$B$13,0))-MIN(MAX(T607,0),MAX(0,P561-IF($A608&gt;='1-Input'!$C$12,'1-Input'!$B$13,0))))*(1/(1-'P-Parametri'!$B$6*P608))+MIN(MAX(0,U607-(MAX(0,P561-IF($A608&gt;='1-Input'!$C$12,'1-Input'!$B$13,0))-MIN(MAX(T607,0),MAX(0,P561-IF($A608&gt;='1-Input'!$C$12,'1-Input'!$B$13,0))))*(1/(1-'P-Parametri'!$B$6*P608))),MAX(0,0*P561-(T607-MIN(MAX(T607,0),MAX(0,P561-IF($A608&gt;='1-Input'!$C$12,'1-Input'!$B$13,0)))))*(1/(1-'P-Parametri'!$B$6*P608))))</f>
        <v>6857.9626984925089</v>
      </c>
      <c r="R608" s="18">
        <f>IF($A608&gt;'1-Input'!$B$26,T607,(T607-MAX(0,P561-IF($A608&gt;='1-Input'!$C$12,'1-Input'!$B$13,0))+Q608*(1-'P-Parametri'!$B$6*P608))*(1+'1-Input'!$B$27))</f>
        <v>-9.0622052084654565E-13</v>
      </c>
      <c r="S608" s="18">
        <f>IF($A608&gt;'1-Input'!$B$26,U607,(U607-Q608)*(1+'5-Roberta'!$C$4))</f>
        <v>-22637.538123944138</v>
      </c>
      <c r="T608" s="18">
        <f>IF($A608&gt;'1-Input'!$B$26,R608,R608-'P-Parametri'!$B$8*(S608+R608)+MIN(MAX(S608,0),'P-Parametri'!$B$8*(S608+R608)))</f>
        <v>-9.0949470177292824E-13</v>
      </c>
      <c r="U608" s="18">
        <f>IF($A608&gt;'1-Input'!$B$26,S608,S608-MIN(MAX(S608,0),'P-Parametri'!$B$8*(S608+R608)))</f>
        <v>-22592.263047696248</v>
      </c>
      <c r="V608" s="18">
        <f>IF($A608&gt;'1-Input'!$B$26,V607,V607-Q608*(1-P608))</f>
        <v>-15597.171535506704</v>
      </c>
      <c r="W608" s="11">
        <f>IF($A608&gt;'1-Input'!$B$26,0,IF(AB607&lt;=0,0,MAX(0,(AB607-AC607)/AB607)))</f>
        <v>0.76690293080672189</v>
      </c>
      <c r="X608" s="18">
        <f>IF($A608&gt;'1-Input'!$B$26,0,(MAX(0,W561-IF($A608&gt;='1-Input'!$C$12,'1-Input'!$B$13,0))-MIN(MAX(AA607,0),MAX(0,W561-IF($A608&gt;='1-Input'!$C$12,'1-Input'!$B$13,0))))*(1/(1-'P-Parametri'!$B$6*W608))+MIN(MAX(0,AB607-(MAX(0,W561-IF($A608&gt;='1-Input'!$C$12,'1-Input'!$B$13,0))-MIN(MAX(AA607,0),MAX(0,W561-IF($A608&gt;='1-Input'!$C$12,'1-Input'!$B$13,0))))*(1/(1-'P-Parametri'!$B$6*W608))),MAX(0,0*W561-(AA607-MIN(MAX(AA607,0),MAX(0,W561-IF($A608&gt;='1-Input'!$C$12,'1-Input'!$B$13,0)))))*(1/(1-'P-Parametri'!$B$6*W608))))</f>
        <v>8233.3706557546247</v>
      </c>
      <c r="Y608" s="18">
        <f>IF($A608&gt;'1-Input'!$B$26,AA607,(AA607-MAX(0,W561-IF($A608&gt;='1-Input'!$C$12,'1-Input'!$B$13,0))+X608*(1-'P-Parametri'!$B$6*W608))*(1+'1-Input'!$B$27))</f>
        <v>-9.0622052084654565E-13</v>
      </c>
      <c r="Z608" s="18">
        <f>IF($A608&gt;'1-Input'!$B$26,AB607,(AB607-X608)*(1+'5-Roberta'!$C$4))</f>
        <v>1488.3850357712809</v>
      </c>
      <c r="AA608" s="18">
        <f>IF($A608&gt;'1-Input'!$B$26,Y608,Y608-'P-Parametri'!$B$8*(Z608+Y608)+MIN(MAX(Z608,0),'P-Parametri'!$B$8*(Z608+Y608)))</f>
        <v>-9.063860773039778E-13</v>
      </c>
      <c r="AB608" s="18">
        <f>IF($A608&gt;'1-Input'!$B$26,Z608,Z608-MIN(MAX(Z608,0),'P-Parametri'!$B$8*(Z608+Y608)))</f>
        <v>1485.4082656997382</v>
      </c>
      <c r="AC608" s="18">
        <f>IF($A608&gt;'1-Input'!$B$26,AC607,AC607-X608*(1-W608))</f>
        <v>336.83319385380446</v>
      </c>
      <c r="AD608" s="11">
        <f>IF($A608&gt;'1-Input'!$B$26,0,IF(AI607&lt;=0,0,MAX(0,(AI607-AJ607)/AI607)))</f>
        <v>0.76690293080672178</v>
      </c>
      <c r="AE608" s="18">
        <f>IF($A608&gt;'1-Input'!$B$26,0,(MAX(0,AD561-IF($A608&gt;='1-Input'!$C$12,'1-Input'!$B$13,0))-MIN(MAX(AH607,0),MAX(0,AD561-IF($A608&gt;='1-Input'!$C$12,'1-Input'!$B$13,0))))*(1/(1-'P-Parametri'!$B$6*AD608))+MIN(MAX(0,AI607-(MAX(0,AD561-IF($A608&gt;='1-Input'!$C$12,'1-Input'!$B$13,0))-MIN(MAX(AH607,0),MAX(0,AD561-IF($A608&gt;='1-Input'!$C$12,'1-Input'!$B$13,0))))*(1/(1-'P-Parametri'!$B$6*AD608))),MAX(0,0*AD561-(AH607-MIN(MAX(AH607,0),MAX(0,AD561-IF($A608&gt;='1-Input'!$C$12,'1-Input'!$B$13,0)))))*(1/(1-'P-Parametri'!$B$6*AD608))))</f>
        <v>8253.8896660678001</v>
      </c>
      <c r="AF608" s="18">
        <f>IF($A608&gt;'1-Input'!$B$26,AH607,(AH607-MAX(0,AD561-IF($A608&gt;='1-Input'!$C$12,'1-Input'!$B$13,0))+AE608*(1-'P-Parametri'!$B$6*AD608))*(1+'1-Input'!$B$27))</f>
        <v>-9.0622052084654565E-13</v>
      </c>
      <c r="AG608" s="18">
        <f>IF($A608&gt;'1-Input'!$B$26,AI607,(AI607-AE608)*(1+'5-Roberta'!$C$4))</f>
        <v>-218.91609608145745</v>
      </c>
      <c r="AH608" s="18">
        <f>IF($A608&gt;'1-Input'!$B$26,AF608,AF608-'P-Parametri'!$B$8*(AG608+AF608)+MIN(MAX(AG608,0),'P-Parametri'!$B$8*(AG608+AF608)))</f>
        <v>-9.0621954385028403E-13</v>
      </c>
      <c r="AI608" s="18">
        <f>IF($A608&gt;'1-Input'!$B$26,AG608,AG608-MIN(MAX(AG608,0),'P-Parametri'!$B$8*(AG608+AF608)))</f>
        <v>-218.47826388929454</v>
      </c>
      <c r="AJ608" s="18">
        <f>IF($A608&gt;'1-Input'!$B$26,AJ607,AJ607-AE608*(1-AD608))</f>
        <v>-49.542427568759422</v>
      </c>
      <c r="AK608" s="11">
        <f>IF($A608&gt;'1-Input'!$B$26,0,IF(AP607&lt;=0,0,MAX(0,(AP607-AQ607)/AP607)))</f>
        <v>0.76690293080672178</v>
      </c>
      <c r="AL608" s="18">
        <f>IF($A608&gt;'1-Input'!$B$26,0,(MAX(0,AK561-IF($A608&gt;='1-Input'!$C$12,'1-Input'!$B$13,0))-MIN(MAX(AO607,0),MAX(0,AK561-IF($A608&gt;='1-Input'!$C$12,'1-Input'!$B$13,0))))*(1/(1-'P-Parametri'!$B$6*AK608))+MIN(MAX(0,AP607-(MAX(0,AK561-IF($A608&gt;='1-Input'!$C$12,'1-Input'!$B$13,0))-MIN(MAX(AO607,0),MAX(0,AK561-IF($A608&gt;='1-Input'!$C$12,'1-Input'!$B$13,0))))*(1/(1-'P-Parametri'!$B$6*AK608))),MAX(0,0*AK561-(AO607-MIN(MAX(AO607,0),MAX(0,AK561-IF($A608&gt;='1-Input'!$C$12,'1-Input'!$B$13,0)))))*(1/(1-'P-Parametri'!$B$6*AK608))))</f>
        <v>8251.2586471166542</v>
      </c>
      <c r="AM608" s="18">
        <f>IF($A608&gt;'1-Input'!$B$26,AO607,(AO607-MAX(0,AK561-IF($A608&gt;='1-Input'!$C$12,'1-Input'!$B$13,0))+AL608*(1-'P-Parametri'!$B$6*AK608))*(1+'1-Input'!$B$27))</f>
        <v>-9.0622052084654565E-13</v>
      </c>
      <c r="AN608" s="18">
        <f>IF($A608&gt;'1-Input'!$B$26,AP607,(AP607-AL608)*(1+'5-Roberta'!$C$4))</f>
        <v>-2.90401658276096E-10</v>
      </c>
      <c r="AO608" s="18">
        <f>IF($A608&gt;'1-Input'!$B$26,AM608,AM608-'P-Parametri'!$B$8*(AN608+AM608)+MIN(MAX(AN608,0),'P-Parametri'!$B$8*(AN608+AM608)))</f>
        <v>-9.0622052084654565E-13</v>
      </c>
      <c r="AP608" s="18">
        <f>IF($A608&gt;'1-Input'!$B$26,AN608,AN608-MIN(MAX(AN608,0),'P-Parametri'!$B$8*(AN608+AM608)))</f>
        <v>-2.8981904251850213E-10</v>
      </c>
      <c r="AQ608" s="18">
        <f>IF($A608&gt;'1-Input'!$B$26,AQ607,AQ607-AL608*(1-AK608))</f>
        <v>-6.6165739553980529E-11</v>
      </c>
    </row>
    <row r="609" spans="1:43">
      <c r="A609" s="10">
        <f>46</f>
        <v>46</v>
      </c>
      <c r="B609" s="11">
        <f>IF($A609&gt;'1-Input'!$B$26,0,IF(G608&lt;=0,0,MAX(0,(G608-H608)/G608)))</f>
        <v>0</v>
      </c>
      <c r="C609" s="18">
        <f>IF($A609&gt;'1-Input'!$B$26,0,(MAX(0,B561-IF($A609&gt;='1-Input'!$C$12,'1-Input'!$B$13,0))-MIN(MAX(F608,0),MAX(0,B561-IF($A609&gt;='1-Input'!$C$12,'1-Input'!$B$13,0))))*(1/(1-'P-Parametri'!$B$6*B609))+MIN(MAX(0,G608-(MAX(0,B561-IF($A609&gt;='1-Input'!$C$12,'1-Input'!$B$13,0))-MIN(MAX(F608,0),MAX(0,B561-IF($A609&gt;='1-Input'!$C$12,'1-Input'!$B$13,0))))*(1/(1-'P-Parametri'!$B$6*B609))),MAX(0,0*B561-(F608-MIN(MAX(F608,0),MAX(0,B561-IF($A609&gt;='1-Input'!$C$12,'1-Input'!$B$13,0)))))*(1/(1-'P-Parametri'!$B$6*B609))))</f>
        <v>0</v>
      </c>
      <c r="D609" s="18">
        <f>IF($A609&gt;'1-Input'!$B$26,F608,(F608-MAX(0,B561-IF($A609&gt;='1-Input'!$C$12,'1-Input'!$B$13,0))+C609*(1-'P-Parametri'!$B$6*B609))*(1+'1-Input'!$B$27))</f>
        <v>0</v>
      </c>
      <c r="E609" s="18">
        <f>IF($A609&gt;'1-Input'!$B$26,G608,(G608-C609)*(1+'5-Roberta'!$C$4))</f>
        <v>296635.82610516599</v>
      </c>
      <c r="F609" s="18">
        <f>IF($A609&gt;'1-Input'!$B$26,D609,D609-'P-Parametri'!$B$8*(E609+D609)+MIN(MAX(E609,0),'P-Parametri'!$B$8*(E609+D609)))</f>
        <v>0</v>
      </c>
      <c r="G609" s="18">
        <f>IF($A609&gt;'1-Input'!$B$26,E609,E609-MIN(MAX(E609,0),'P-Parametri'!$B$8*(E609+D609)))</f>
        <v>296635.82610516599</v>
      </c>
      <c r="H609" s="18">
        <f>IF($A609&gt;'1-Input'!$B$26,H608,H608-C609*(1-B609))</f>
        <v>67265.542427419059</v>
      </c>
      <c r="I609" s="11">
        <f>IF($A609&gt;'1-Input'!$B$26,0,IF(N608&lt;=0,0,MAX(0,(N608-O608)/N608)))</f>
        <v>0</v>
      </c>
      <c r="J609" s="18">
        <f>IF($A609&gt;'1-Input'!$B$26,0,(MAX(0,I561-IF($A609&gt;='1-Input'!$C$12,'1-Input'!$B$13,0))-MIN(MAX(M608,0),MAX(0,I561-IF($A609&gt;='1-Input'!$C$12,'1-Input'!$B$13,0))))*(1/(1-'P-Parametri'!$B$6*I609))+MIN(MAX(0,N608-(MAX(0,I561-IF($A609&gt;='1-Input'!$C$12,'1-Input'!$B$13,0))-MIN(MAX(M608,0),MAX(0,I561-IF($A609&gt;='1-Input'!$C$12,'1-Input'!$B$13,0))))*(1/(1-'P-Parametri'!$B$6*I609))),MAX(0,0*I561-(M608-MIN(MAX(M608,0),MAX(0,I561-IF($A609&gt;='1-Input'!$C$12,'1-Input'!$B$13,0)))))*(1/(1-'P-Parametri'!$B$6*I609))))</f>
        <v>0</v>
      </c>
      <c r="K609" s="18">
        <f>IF($A609&gt;'1-Input'!$B$26,M608,(M608-MAX(0,I561-IF($A609&gt;='1-Input'!$C$12,'1-Input'!$B$13,0))+J609*(1-'P-Parametri'!$B$6*I609))*(1+'1-Input'!$B$27))</f>
        <v>-1.8189894035458565E-12</v>
      </c>
      <c r="L609" s="18">
        <f>IF($A609&gt;'1-Input'!$B$26,N608,(N608-J609)*(1+'5-Roberta'!$C$4))</f>
        <v>-205496.41829259277</v>
      </c>
      <c r="M609" s="18">
        <f>IF($A609&gt;'1-Input'!$B$26,K609,K609-'P-Parametri'!$B$8*(L609+K609)+MIN(MAX(L609,0),'P-Parametri'!$B$8*(L609+K609)))</f>
        <v>-1.8189894035458565E-12</v>
      </c>
      <c r="N609" s="18">
        <f>IF($A609&gt;'1-Input'!$B$26,L609,L609-MIN(MAX(L609,0),'P-Parametri'!$B$8*(L609+K609)))</f>
        <v>-205496.41829259277</v>
      </c>
      <c r="O609" s="18">
        <f>IF($A609&gt;'1-Input'!$B$26,O608,O608-J609*(1-I609))</f>
        <v>-154897.59371913181</v>
      </c>
      <c r="P609" s="11">
        <f>IF($A609&gt;'1-Input'!$B$26,0,IF(U608&lt;=0,0,MAX(0,(U608-V608)/U608)))</f>
        <v>0</v>
      </c>
      <c r="Q609" s="18">
        <f>IF($A609&gt;'1-Input'!$B$26,0,(MAX(0,P561-IF($A609&gt;='1-Input'!$C$12,'1-Input'!$B$13,0))-MIN(MAX(T608,0),MAX(0,P561-IF($A609&gt;='1-Input'!$C$12,'1-Input'!$B$13,0))))*(1/(1-'P-Parametri'!$B$6*P609))+MIN(MAX(0,U608-(MAX(0,P561-IF($A609&gt;='1-Input'!$C$12,'1-Input'!$B$13,0))-MIN(MAX(T608,0),MAX(0,P561-IF($A609&gt;='1-Input'!$C$12,'1-Input'!$B$13,0))))*(1/(1-'P-Parametri'!$B$6*P609))),MAX(0,0*P561-(T608-MIN(MAX(T608,0),MAX(0,P561-IF($A609&gt;='1-Input'!$C$12,'1-Input'!$B$13,0)))))*(1/(1-'P-Parametri'!$B$6*P609))))</f>
        <v>0</v>
      </c>
      <c r="R609" s="18">
        <f>IF($A609&gt;'1-Input'!$B$26,T608,(T608-MAX(0,P561-IF($A609&gt;='1-Input'!$C$12,'1-Input'!$B$13,0))+Q609*(1-'P-Parametri'!$B$6*P609))*(1+'1-Input'!$B$27))</f>
        <v>-9.0949470177292824E-13</v>
      </c>
      <c r="S609" s="18">
        <f>IF($A609&gt;'1-Input'!$B$26,U608,(U608-Q609)*(1+'5-Roberta'!$C$4))</f>
        <v>-22592.263047696248</v>
      </c>
      <c r="T609" s="18">
        <f>IF($A609&gt;'1-Input'!$B$26,R609,R609-'P-Parametri'!$B$8*(S609+R609)+MIN(MAX(S609,0),'P-Parametri'!$B$8*(S609+R609)))</f>
        <v>-9.0949470177292824E-13</v>
      </c>
      <c r="U609" s="18">
        <f>IF($A609&gt;'1-Input'!$B$26,S609,S609-MIN(MAX(S609,0),'P-Parametri'!$B$8*(S609+R609)))</f>
        <v>-22592.263047696248</v>
      </c>
      <c r="V609" s="18">
        <f>IF($A609&gt;'1-Input'!$B$26,V608,V608-Q609*(1-P609))</f>
        <v>-15597.171535506704</v>
      </c>
      <c r="W609" s="11">
        <f>IF($A609&gt;'1-Input'!$B$26,0,IF(AB608&lt;=0,0,MAX(0,(AB608-AC608)/AB608)))</f>
        <v>0</v>
      </c>
      <c r="X609" s="18">
        <f>IF($A609&gt;'1-Input'!$B$26,0,(MAX(0,W561-IF($A609&gt;='1-Input'!$C$12,'1-Input'!$B$13,0))-MIN(MAX(AA608,0),MAX(0,W561-IF($A609&gt;='1-Input'!$C$12,'1-Input'!$B$13,0))))*(1/(1-'P-Parametri'!$B$6*W609))+MIN(MAX(0,AB608-(MAX(0,W561-IF($A609&gt;='1-Input'!$C$12,'1-Input'!$B$13,0))-MIN(MAX(AA608,0),MAX(0,W561-IF($A609&gt;='1-Input'!$C$12,'1-Input'!$B$13,0))))*(1/(1-'P-Parametri'!$B$6*W609))),MAX(0,0*W561-(AA608-MIN(MAX(AA608,0),MAX(0,W561-IF($A609&gt;='1-Input'!$C$12,'1-Input'!$B$13,0)))))*(1/(1-'P-Parametri'!$B$6*W609))))</f>
        <v>0</v>
      </c>
      <c r="Y609" s="18">
        <f>IF($A609&gt;'1-Input'!$B$26,AA608,(AA608-MAX(0,W561-IF($A609&gt;='1-Input'!$C$12,'1-Input'!$B$13,0))+X609*(1-'P-Parametri'!$B$6*W609))*(1+'1-Input'!$B$27))</f>
        <v>-9.063860773039778E-13</v>
      </c>
      <c r="Z609" s="18">
        <f>IF($A609&gt;'1-Input'!$B$26,AB608,(AB608-X609)*(1+'5-Roberta'!$C$4))</f>
        <v>1485.4082656997382</v>
      </c>
      <c r="AA609" s="18">
        <f>IF($A609&gt;'1-Input'!$B$26,Y609,Y609-'P-Parametri'!$B$8*(Z609+Y609)+MIN(MAX(Z609,0),'P-Parametri'!$B$8*(Z609+Y609)))</f>
        <v>-9.063860773039778E-13</v>
      </c>
      <c r="AB609" s="18">
        <f>IF($A609&gt;'1-Input'!$B$26,Z609,Z609-MIN(MAX(Z609,0),'P-Parametri'!$B$8*(Z609+Y609)))</f>
        <v>1485.4082656997382</v>
      </c>
      <c r="AC609" s="18">
        <f>IF($A609&gt;'1-Input'!$B$26,AC608,AC608-X609*(1-W609))</f>
        <v>336.83319385380446</v>
      </c>
      <c r="AD609" s="11">
        <f>IF($A609&gt;'1-Input'!$B$26,0,IF(AI608&lt;=0,0,MAX(0,(AI608-AJ608)/AI608)))</f>
        <v>0</v>
      </c>
      <c r="AE609" s="18">
        <f>IF($A609&gt;'1-Input'!$B$26,0,(MAX(0,AD561-IF($A609&gt;='1-Input'!$C$12,'1-Input'!$B$13,0))-MIN(MAX(AH608,0),MAX(0,AD561-IF($A609&gt;='1-Input'!$C$12,'1-Input'!$B$13,0))))*(1/(1-'P-Parametri'!$B$6*AD609))+MIN(MAX(0,AI608-(MAX(0,AD561-IF($A609&gt;='1-Input'!$C$12,'1-Input'!$B$13,0))-MIN(MAX(AH608,0),MAX(0,AD561-IF($A609&gt;='1-Input'!$C$12,'1-Input'!$B$13,0))))*(1/(1-'P-Parametri'!$B$6*AD609))),MAX(0,0*AD561-(AH608-MIN(MAX(AH608,0),MAX(0,AD561-IF($A609&gt;='1-Input'!$C$12,'1-Input'!$B$13,0)))))*(1/(1-'P-Parametri'!$B$6*AD609))))</f>
        <v>0</v>
      </c>
      <c r="AF609" s="18">
        <f>IF($A609&gt;'1-Input'!$B$26,AH608,(AH608-MAX(0,AD561-IF($A609&gt;='1-Input'!$C$12,'1-Input'!$B$13,0))+AE609*(1-'P-Parametri'!$B$6*AD609))*(1+'1-Input'!$B$27))</f>
        <v>-9.0621954385028403E-13</v>
      </c>
      <c r="AG609" s="18">
        <f>IF($A609&gt;'1-Input'!$B$26,AI608,(AI608-AE609)*(1+'5-Roberta'!$C$4))</f>
        <v>-218.47826388929454</v>
      </c>
      <c r="AH609" s="18">
        <f>IF($A609&gt;'1-Input'!$B$26,AF609,AF609-'P-Parametri'!$B$8*(AG609+AF609)+MIN(MAX(AG609,0),'P-Parametri'!$B$8*(AG609+AF609)))</f>
        <v>-9.0621954385028403E-13</v>
      </c>
      <c r="AI609" s="18">
        <f>IF($A609&gt;'1-Input'!$B$26,AG609,AG609-MIN(MAX(AG609,0),'P-Parametri'!$B$8*(AG609+AF609)))</f>
        <v>-218.47826388929454</v>
      </c>
      <c r="AJ609" s="18">
        <f>IF($A609&gt;'1-Input'!$B$26,AJ608,AJ608-AE609*(1-AD609))</f>
        <v>-49.542427568759422</v>
      </c>
      <c r="AK609" s="11">
        <f>IF($A609&gt;'1-Input'!$B$26,0,IF(AP608&lt;=0,0,MAX(0,(AP608-AQ608)/AP608)))</f>
        <v>0</v>
      </c>
      <c r="AL609" s="18">
        <f>IF($A609&gt;'1-Input'!$B$26,0,(MAX(0,AK561-IF($A609&gt;='1-Input'!$C$12,'1-Input'!$B$13,0))-MIN(MAX(AO608,0),MAX(0,AK561-IF($A609&gt;='1-Input'!$C$12,'1-Input'!$B$13,0))))*(1/(1-'P-Parametri'!$B$6*AK609))+MIN(MAX(0,AP608-(MAX(0,AK561-IF($A609&gt;='1-Input'!$C$12,'1-Input'!$B$13,0))-MIN(MAX(AO608,0),MAX(0,AK561-IF($A609&gt;='1-Input'!$C$12,'1-Input'!$B$13,0))))*(1/(1-'P-Parametri'!$B$6*AK609))),MAX(0,0*AK561-(AO608-MIN(MAX(AO608,0),MAX(0,AK561-IF($A609&gt;='1-Input'!$C$12,'1-Input'!$B$13,0)))))*(1/(1-'P-Parametri'!$B$6*AK609))))</f>
        <v>0</v>
      </c>
      <c r="AM609" s="18">
        <f>IF($A609&gt;'1-Input'!$B$26,AO608,(AO608-MAX(0,AK561-IF($A609&gt;='1-Input'!$C$12,'1-Input'!$B$13,0))+AL609*(1-'P-Parametri'!$B$6*AK609))*(1+'1-Input'!$B$27))</f>
        <v>-9.0622052084654565E-13</v>
      </c>
      <c r="AN609" s="18">
        <f>IF($A609&gt;'1-Input'!$B$26,AP608,(AP608-AL609)*(1+'5-Roberta'!$C$4))</f>
        <v>-2.8981904251850213E-10</v>
      </c>
      <c r="AO609" s="18">
        <f>IF($A609&gt;'1-Input'!$B$26,AM609,AM609-'P-Parametri'!$B$8*(AN609+AM609)+MIN(MAX(AN609,0),'P-Parametri'!$B$8*(AN609+AM609)))</f>
        <v>-9.0622052084654565E-13</v>
      </c>
      <c r="AP609" s="18">
        <f>IF($A609&gt;'1-Input'!$B$26,AN609,AN609-MIN(MAX(AN609,0),'P-Parametri'!$B$8*(AN609+AM609)))</f>
        <v>-2.8981904251850213E-10</v>
      </c>
      <c r="AQ609" s="18">
        <f>IF($A609&gt;'1-Input'!$B$26,AQ608,AQ608-AL609*(1-AK609))</f>
        <v>-6.6165739553980529E-11</v>
      </c>
    </row>
    <row r="610" spans="1:43">
      <c r="A610" s="10">
        <f>47</f>
        <v>47</v>
      </c>
      <c r="B610" s="11">
        <f>IF($A610&gt;'1-Input'!$B$26,0,IF(G609&lt;=0,0,MAX(0,(G609-H609)/G609)))</f>
        <v>0</v>
      </c>
      <c r="C610" s="18">
        <f>IF($A610&gt;'1-Input'!$B$26,0,(MAX(0,B561-IF($A610&gt;='1-Input'!$C$12,'1-Input'!$B$13,0))-MIN(MAX(F609,0),MAX(0,B561-IF($A610&gt;='1-Input'!$C$12,'1-Input'!$B$13,0))))*(1/(1-'P-Parametri'!$B$6*B610))+MIN(MAX(0,G609-(MAX(0,B561-IF($A610&gt;='1-Input'!$C$12,'1-Input'!$B$13,0))-MIN(MAX(F609,0),MAX(0,B561-IF($A610&gt;='1-Input'!$C$12,'1-Input'!$B$13,0))))*(1/(1-'P-Parametri'!$B$6*B610))),MAX(0,0*B561-(F609-MIN(MAX(F609,0),MAX(0,B561-IF($A610&gt;='1-Input'!$C$12,'1-Input'!$B$13,0)))))*(1/(1-'P-Parametri'!$B$6*B610))))</f>
        <v>0</v>
      </c>
      <c r="D610" s="18">
        <f>IF($A610&gt;'1-Input'!$B$26,F609,(F609-MAX(0,B561-IF($A610&gt;='1-Input'!$C$12,'1-Input'!$B$13,0))+C610*(1-'P-Parametri'!$B$6*B610))*(1+'1-Input'!$B$27))</f>
        <v>0</v>
      </c>
      <c r="E610" s="18">
        <f>IF($A610&gt;'1-Input'!$B$26,G609,(G609-C610)*(1+'5-Roberta'!$C$4))</f>
        <v>296635.82610516599</v>
      </c>
      <c r="F610" s="18">
        <f>IF($A610&gt;'1-Input'!$B$26,D610,D610-'P-Parametri'!$B$8*(E610+D610)+MIN(MAX(E610,0),'P-Parametri'!$B$8*(E610+D610)))</f>
        <v>0</v>
      </c>
      <c r="G610" s="18">
        <f>IF($A610&gt;'1-Input'!$B$26,E610,E610-MIN(MAX(E610,0),'P-Parametri'!$B$8*(E610+D610)))</f>
        <v>296635.82610516599</v>
      </c>
      <c r="H610" s="18">
        <f>IF($A610&gt;'1-Input'!$B$26,H609,H609-C610*(1-B610))</f>
        <v>67265.542427419059</v>
      </c>
      <c r="I610" s="11">
        <f>IF($A610&gt;'1-Input'!$B$26,0,IF(N609&lt;=0,0,MAX(0,(N609-O609)/N609)))</f>
        <v>0</v>
      </c>
      <c r="J610" s="18">
        <f>IF($A610&gt;'1-Input'!$B$26,0,(MAX(0,I561-IF($A610&gt;='1-Input'!$C$12,'1-Input'!$B$13,0))-MIN(MAX(M609,0),MAX(0,I561-IF($A610&gt;='1-Input'!$C$12,'1-Input'!$B$13,0))))*(1/(1-'P-Parametri'!$B$6*I610))+MIN(MAX(0,N609-(MAX(0,I561-IF($A610&gt;='1-Input'!$C$12,'1-Input'!$B$13,0))-MIN(MAX(M609,0),MAX(0,I561-IF($A610&gt;='1-Input'!$C$12,'1-Input'!$B$13,0))))*(1/(1-'P-Parametri'!$B$6*I610))),MAX(0,0*I561-(M609-MIN(MAX(M609,0),MAX(0,I561-IF($A610&gt;='1-Input'!$C$12,'1-Input'!$B$13,0)))))*(1/(1-'P-Parametri'!$B$6*I610))))</f>
        <v>0</v>
      </c>
      <c r="K610" s="18">
        <f>IF($A610&gt;'1-Input'!$B$26,M609,(M609-MAX(0,I561-IF($A610&gt;='1-Input'!$C$12,'1-Input'!$B$13,0))+J610*(1-'P-Parametri'!$B$6*I610))*(1+'1-Input'!$B$27))</f>
        <v>-1.8189894035458565E-12</v>
      </c>
      <c r="L610" s="18">
        <f>IF($A610&gt;'1-Input'!$B$26,N609,(N609-J610)*(1+'5-Roberta'!$C$4))</f>
        <v>-205496.41829259277</v>
      </c>
      <c r="M610" s="18">
        <f>IF($A610&gt;'1-Input'!$B$26,K610,K610-'P-Parametri'!$B$8*(L610+K610)+MIN(MAX(L610,0),'P-Parametri'!$B$8*(L610+K610)))</f>
        <v>-1.8189894035458565E-12</v>
      </c>
      <c r="N610" s="18">
        <f>IF($A610&gt;'1-Input'!$B$26,L610,L610-MIN(MAX(L610,0),'P-Parametri'!$B$8*(L610+K610)))</f>
        <v>-205496.41829259277</v>
      </c>
      <c r="O610" s="18">
        <f>IF($A610&gt;'1-Input'!$B$26,O609,O609-J610*(1-I610))</f>
        <v>-154897.59371913181</v>
      </c>
      <c r="P610" s="11">
        <f>IF($A610&gt;'1-Input'!$B$26,0,IF(U609&lt;=0,0,MAX(0,(U609-V609)/U609)))</f>
        <v>0</v>
      </c>
      <c r="Q610" s="18">
        <f>IF($A610&gt;'1-Input'!$B$26,0,(MAX(0,P561-IF($A610&gt;='1-Input'!$C$12,'1-Input'!$B$13,0))-MIN(MAX(T609,0),MAX(0,P561-IF($A610&gt;='1-Input'!$C$12,'1-Input'!$B$13,0))))*(1/(1-'P-Parametri'!$B$6*P610))+MIN(MAX(0,U609-(MAX(0,P561-IF($A610&gt;='1-Input'!$C$12,'1-Input'!$B$13,0))-MIN(MAX(T609,0),MAX(0,P561-IF($A610&gt;='1-Input'!$C$12,'1-Input'!$B$13,0))))*(1/(1-'P-Parametri'!$B$6*P610))),MAX(0,0*P561-(T609-MIN(MAX(T609,0),MAX(0,P561-IF($A610&gt;='1-Input'!$C$12,'1-Input'!$B$13,0)))))*(1/(1-'P-Parametri'!$B$6*P610))))</f>
        <v>0</v>
      </c>
      <c r="R610" s="18">
        <f>IF($A610&gt;'1-Input'!$B$26,T609,(T609-MAX(0,P561-IF($A610&gt;='1-Input'!$C$12,'1-Input'!$B$13,0))+Q610*(1-'P-Parametri'!$B$6*P610))*(1+'1-Input'!$B$27))</f>
        <v>-9.0949470177292824E-13</v>
      </c>
      <c r="S610" s="18">
        <f>IF($A610&gt;'1-Input'!$B$26,U609,(U609-Q610)*(1+'5-Roberta'!$C$4))</f>
        <v>-22592.263047696248</v>
      </c>
      <c r="T610" s="18">
        <f>IF($A610&gt;'1-Input'!$B$26,R610,R610-'P-Parametri'!$B$8*(S610+R610)+MIN(MAX(S610,0),'P-Parametri'!$B$8*(S610+R610)))</f>
        <v>-9.0949470177292824E-13</v>
      </c>
      <c r="U610" s="18">
        <f>IF($A610&gt;'1-Input'!$B$26,S610,S610-MIN(MAX(S610,0),'P-Parametri'!$B$8*(S610+R610)))</f>
        <v>-22592.263047696248</v>
      </c>
      <c r="V610" s="18">
        <f>IF($A610&gt;'1-Input'!$B$26,V609,V609-Q610*(1-P610))</f>
        <v>-15597.171535506704</v>
      </c>
      <c r="W610" s="11">
        <f>IF($A610&gt;'1-Input'!$B$26,0,IF(AB609&lt;=0,0,MAX(0,(AB609-AC609)/AB609)))</f>
        <v>0</v>
      </c>
      <c r="X610" s="18">
        <f>IF($A610&gt;'1-Input'!$B$26,0,(MAX(0,W561-IF($A610&gt;='1-Input'!$C$12,'1-Input'!$B$13,0))-MIN(MAX(AA609,0),MAX(0,W561-IF($A610&gt;='1-Input'!$C$12,'1-Input'!$B$13,0))))*(1/(1-'P-Parametri'!$B$6*W610))+MIN(MAX(0,AB609-(MAX(0,W561-IF($A610&gt;='1-Input'!$C$12,'1-Input'!$B$13,0))-MIN(MAX(AA609,0),MAX(0,W561-IF($A610&gt;='1-Input'!$C$12,'1-Input'!$B$13,0))))*(1/(1-'P-Parametri'!$B$6*W610))),MAX(0,0*W561-(AA609-MIN(MAX(AA609,0),MAX(0,W561-IF($A610&gt;='1-Input'!$C$12,'1-Input'!$B$13,0)))))*(1/(1-'P-Parametri'!$B$6*W610))))</f>
        <v>0</v>
      </c>
      <c r="Y610" s="18">
        <f>IF($A610&gt;'1-Input'!$B$26,AA609,(AA609-MAX(0,W561-IF($A610&gt;='1-Input'!$C$12,'1-Input'!$B$13,0))+X610*(1-'P-Parametri'!$B$6*W610))*(1+'1-Input'!$B$27))</f>
        <v>-9.063860773039778E-13</v>
      </c>
      <c r="Z610" s="18">
        <f>IF($A610&gt;'1-Input'!$B$26,AB609,(AB609-X610)*(1+'5-Roberta'!$C$4))</f>
        <v>1485.4082656997382</v>
      </c>
      <c r="AA610" s="18">
        <f>IF($A610&gt;'1-Input'!$B$26,Y610,Y610-'P-Parametri'!$B$8*(Z610+Y610)+MIN(MAX(Z610,0),'P-Parametri'!$B$8*(Z610+Y610)))</f>
        <v>-9.063860773039778E-13</v>
      </c>
      <c r="AB610" s="18">
        <f>IF($A610&gt;'1-Input'!$B$26,Z610,Z610-MIN(MAX(Z610,0),'P-Parametri'!$B$8*(Z610+Y610)))</f>
        <v>1485.4082656997382</v>
      </c>
      <c r="AC610" s="18">
        <f>IF($A610&gt;'1-Input'!$B$26,AC609,AC609-X610*(1-W610))</f>
        <v>336.83319385380446</v>
      </c>
      <c r="AD610" s="11">
        <f>IF($A610&gt;'1-Input'!$B$26,0,IF(AI609&lt;=0,0,MAX(0,(AI609-AJ609)/AI609)))</f>
        <v>0</v>
      </c>
      <c r="AE610" s="18">
        <f>IF($A610&gt;'1-Input'!$B$26,0,(MAX(0,AD561-IF($A610&gt;='1-Input'!$C$12,'1-Input'!$B$13,0))-MIN(MAX(AH609,0),MAX(0,AD561-IF($A610&gt;='1-Input'!$C$12,'1-Input'!$B$13,0))))*(1/(1-'P-Parametri'!$B$6*AD610))+MIN(MAX(0,AI609-(MAX(0,AD561-IF($A610&gt;='1-Input'!$C$12,'1-Input'!$B$13,0))-MIN(MAX(AH609,0),MAX(0,AD561-IF($A610&gt;='1-Input'!$C$12,'1-Input'!$B$13,0))))*(1/(1-'P-Parametri'!$B$6*AD610))),MAX(0,0*AD561-(AH609-MIN(MAX(AH609,0),MAX(0,AD561-IF($A610&gt;='1-Input'!$C$12,'1-Input'!$B$13,0)))))*(1/(1-'P-Parametri'!$B$6*AD610))))</f>
        <v>0</v>
      </c>
      <c r="AF610" s="18">
        <f>IF($A610&gt;'1-Input'!$B$26,AH609,(AH609-MAX(0,AD561-IF($A610&gt;='1-Input'!$C$12,'1-Input'!$B$13,0))+AE610*(1-'P-Parametri'!$B$6*AD610))*(1+'1-Input'!$B$27))</f>
        <v>-9.0621954385028403E-13</v>
      </c>
      <c r="AG610" s="18">
        <f>IF($A610&gt;'1-Input'!$B$26,AI609,(AI609-AE610)*(1+'5-Roberta'!$C$4))</f>
        <v>-218.47826388929454</v>
      </c>
      <c r="AH610" s="18">
        <f>IF($A610&gt;'1-Input'!$B$26,AF610,AF610-'P-Parametri'!$B$8*(AG610+AF610)+MIN(MAX(AG610,0),'P-Parametri'!$B$8*(AG610+AF610)))</f>
        <v>-9.0621954385028403E-13</v>
      </c>
      <c r="AI610" s="18">
        <f>IF($A610&gt;'1-Input'!$B$26,AG610,AG610-MIN(MAX(AG610,0),'P-Parametri'!$B$8*(AG610+AF610)))</f>
        <v>-218.47826388929454</v>
      </c>
      <c r="AJ610" s="18">
        <f>IF($A610&gt;'1-Input'!$B$26,AJ609,AJ609-AE610*(1-AD610))</f>
        <v>-49.542427568759422</v>
      </c>
      <c r="AK610" s="11">
        <f>IF($A610&gt;'1-Input'!$B$26,0,IF(AP609&lt;=0,0,MAX(0,(AP609-AQ609)/AP609)))</f>
        <v>0</v>
      </c>
      <c r="AL610" s="18">
        <f>IF($A610&gt;'1-Input'!$B$26,0,(MAX(0,AK561-IF($A610&gt;='1-Input'!$C$12,'1-Input'!$B$13,0))-MIN(MAX(AO609,0),MAX(0,AK561-IF($A610&gt;='1-Input'!$C$12,'1-Input'!$B$13,0))))*(1/(1-'P-Parametri'!$B$6*AK610))+MIN(MAX(0,AP609-(MAX(0,AK561-IF($A610&gt;='1-Input'!$C$12,'1-Input'!$B$13,0))-MIN(MAX(AO609,0),MAX(0,AK561-IF($A610&gt;='1-Input'!$C$12,'1-Input'!$B$13,0))))*(1/(1-'P-Parametri'!$B$6*AK610))),MAX(0,0*AK561-(AO609-MIN(MAX(AO609,0),MAX(0,AK561-IF($A610&gt;='1-Input'!$C$12,'1-Input'!$B$13,0)))))*(1/(1-'P-Parametri'!$B$6*AK610))))</f>
        <v>0</v>
      </c>
      <c r="AM610" s="18">
        <f>IF($A610&gt;'1-Input'!$B$26,AO609,(AO609-MAX(0,AK561-IF($A610&gt;='1-Input'!$C$12,'1-Input'!$B$13,0))+AL610*(1-'P-Parametri'!$B$6*AK610))*(1+'1-Input'!$B$27))</f>
        <v>-9.0622052084654565E-13</v>
      </c>
      <c r="AN610" s="18">
        <f>IF($A610&gt;'1-Input'!$B$26,AP609,(AP609-AL610)*(1+'5-Roberta'!$C$4))</f>
        <v>-2.8981904251850213E-10</v>
      </c>
      <c r="AO610" s="18">
        <f>IF($A610&gt;'1-Input'!$B$26,AM610,AM610-'P-Parametri'!$B$8*(AN610+AM610)+MIN(MAX(AN610,0),'P-Parametri'!$B$8*(AN610+AM610)))</f>
        <v>-9.0622052084654565E-13</v>
      </c>
      <c r="AP610" s="18">
        <f>IF($A610&gt;'1-Input'!$B$26,AN610,AN610-MIN(MAX(AN610,0),'P-Parametri'!$B$8*(AN610+AM610)))</f>
        <v>-2.8981904251850213E-10</v>
      </c>
      <c r="AQ610" s="18">
        <f>IF($A610&gt;'1-Input'!$B$26,AQ609,AQ609-AL610*(1-AK610))</f>
        <v>-6.6165739553980529E-11</v>
      </c>
    </row>
    <row r="611" spans="1:43">
      <c r="A611" s="10">
        <f>48</f>
        <v>48</v>
      </c>
      <c r="B611" s="11">
        <f>IF($A611&gt;'1-Input'!$B$26,0,IF(G610&lt;=0,0,MAX(0,(G610-H610)/G610)))</f>
        <v>0</v>
      </c>
      <c r="C611" s="18">
        <f>IF($A611&gt;'1-Input'!$B$26,0,(MAX(0,B561-IF($A611&gt;='1-Input'!$C$12,'1-Input'!$B$13,0))-MIN(MAX(F610,0),MAX(0,B561-IF($A611&gt;='1-Input'!$C$12,'1-Input'!$B$13,0))))*(1/(1-'P-Parametri'!$B$6*B611))+MIN(MAX(0,G610-(MAX(0,B561-IF($A611&gt;='1-Input'!$C$12,'1-Input'!$B$13,0))-MIN(MAX(F610,0),MAX(0,B561-IF($A611&gt;='1-Input'!$C$12,'1-Input'!$B$13,0))))*(1/(1-'P-Parametri'!$B$6*B611))),MAX(0,0*B561-(F610-MIN(MAX(F610,0),MAX(0,B561-IF($A611&gt;='1-Input'!$C$12,'1-Input'!$B$13,0)))))*(1/(1-'P-Parametri'!$B$6*B611))))</f>
        <v>0</v>
      </c>
      <c r="D611" s="18">
        <f>IF($A611&gt;'1-Input'!$B$26,F610,(F610-MAX(0,B561-IF($A611&gt;='1-Input'!$C$12,'1-Input'!$B$13,0))+C611*(1-'P-Parametri'!$B$6*B611))*(1+'1-Input'!$B$27))</f>
        <v>0</v>
      </c>
      <c r="E611" s="18">
        <f>IF($A611&gt;'1-Input'!$B$26,G610,(G610-C611)*(1+'5-Roberta'!$C$4))</f>
        <v>296635.82610516599</v>
      </c>
      <c r="F611" s="18">
        <f>IF($A611&gt;'1-Input'!$B$26,D611,D611-'P-Parametri'!$B$8*(E611+D611)+MIN(MAX(E611,0),'P-Parametri'!$B$8*(E611+D611)))</f>
        <v>0</v>
      </c>
      <c r="G611" s="18">
        <f>IF($A611&gt;'1-Input'!$B$26,E611,E611-MIN(MAX(E611,0),'P-Parametri'!$B$8*(E611+D611)))</f>
        <v>296635.82610516599</v>
      </c>
      <c r="H611" s="18">
        <f>IF($A611&gt;'1-Input'!$B$26,H610,H610-C611*(1-B611))</f>
        <v>67265.542427419059</v>
      </c>
      <c r="I611" s="11">
        <f>IF($A611&gt;'1-Input'!$B$26,0,IF(N610&lt;=0,0,MAX(0,(N610-O610)/N610)))</f>
        <v>0</v>
      </c>
      <c r="J611" s="18">
        <f>IF($A611&gt;'1-Input'!$B$26,0,(MAX(0,I561-IF($A611&gt;='1-Input'!$C$12,'1-Input'!$B$13,0))-MIN(MAX(M610,0),MAX(0,I561-IF($A611&gt;='1-Input'!$C$12,'1-Input'!$B$13,0))))*(1/(1-'P-Parametri'!$B$6*I611))+MIN(MAX(0,N610-(MAX(0,I561-IF($A611&gt;='1-Input'!$C$12,'1-Input'!$B$13,0))-MIN(MAX(M610,0),MAX(0,I561-IF($A611&gt;='1-Input'!$C$12,'1-Input'!$B$13,0))))*(1/(1-'P-Parametri'!$B$6*I611))),MAX(0,0*I561-(M610-MIN(MAX(M610,0),MAX(0,I561-IF($A611&gt;='1-Input'!$C$12,'1-Input'!$B$13,0)))))*(1/(1-'P-Parametri'!$B$6*I611))))</f>
        <v>0</v>
      </c>
      <c r="K611" s="18">
        <f>IF($A611&gt;'1-Input'!$B$26,M610,(M610-MAX(0,I561-IF($A611&gt;='1-Input'!$C$12,'1-Input'!$B$13,0))+J611*(1-'P-Parametri'!$B$6*I611))*(1+'1-Input'!$B$27))</f>
        <v>-1.8189894035458565E-12</v>
      </c>
      <c r="L611" s="18">
        <f>IF($A611&gt;'1-Input'!$B$26,N610,(N610-J611)*(1+'5-Roberta'!$C$4))</f>
        <v>-205496.41829259277</v>
      </c>
      <c r="M611" s="18">
        <f>IF($A611&gt;'1-Input'!$B$26,K611,K611-'P-Parametri'!$B$8*(L611+K611)+MIN(MAX(L611,0),'P-Parametri'!$B$8*(L611+K611)))</f>
        <v>-1.8189894035458565E-12</v>
      </c>
      <c r="N611" s="18">
        <f>IF($A611&gt;'1-Input'!$B$26,L611,L611-MIN(MAX(L611,0),'P-Parametri'!$B$8*(L611+K611)))</f>
        <v>-205496.41829259277</v>
      </c>
      <c r="O611" s="18">
        <f>IF($A611&gt;'1-Input'!$B$26,O610,O610-J611*(1-I611))</f>
        <v>-154897.59371913181</v>
      </c>
      <c r="P611" s="11">
        <f>IF($A611&gt;'1-Input'!$B$26,0,IF(U610&lt;=0,0,MAX(0,(U610-V610)/U610)))</f>
        <v>0</v>
      </c>
      <c r="Q611" s="18">
        <f>IF($A611&gt;'1-Input'!$B$26,0,(MAX(0,P561-IF($A611&gt;='1-Input'!$C$12,'1-Input'!$B$13,0))-MIN(MAX(T610,0),MAX(0,P561-IF($A611&gt;='1-Input'!$C$12,'1-Input'!$B$13,0))))*(1/(1-'P-Parametri'!$B$6*P611))+MIN(MAX(0,U610-(MAX(0,P561-IF($A611&gt;='1-Input'!$C$12,'1-Input'!$B$13,0))-MIN(MAX(T610,0),MAX(0,P561-IF($A611&gt;='1-Input'!$C$12,'1-Input'!$B$13,0))))*(1/(1-'P-Parametri'!$B$6*P611))),MAX(0,0*P561-(T610-MIN(MAX(T610,0),MAX(0,P561-IF($A611&gt;='1-Input'!$C$12,'1-Input'!$B$13,0)))))*(1/(1-'P-Parametri'!$B$6*P611))))</f>
        <v>0</v>
      </c>
      <c r="R611" s="18">
        <f>IF($A611&gt;'1-Input'!$B$26,T610,(T610-MAX(0,P561-IF($A611&gt;='1-Input'!$C$12,'1-Input'!$B$13,0))+Q611*(1-'P-Parametri'!$B$6*P611))*(1+'1-Input'!$B$27))</f>
        <v>-9.0949470177292824E-13</v>
      </c>
      <c r="S611" s="18">
        <f>IF($A611&gt;'1-Input'!$B$26,U610,(U610-Q611)*(1+'5-Roberta'!$C$4))</f>
        <v>-22592.263047696248</v>
      </c>
      <c r="T611" s="18">
        <f>IF($A611&gt;'1-Input'!$B$26,R611,R611-'P-Parametri'!$B$8*(S611+R611)+MIN(MAX(S611,0),'P-Parametri'!$B$8*(S611+R611)))</f>
        <v>-9.0949470177292824E-13</v>
      </c>
      <c r="U611" s="18">
        <f>IF($A611&gt;'1-Input'!$B$26,S611,S611-MIN(MAX(S611,0),'P-Parametri'!$B$8*(S611+R611)))</f>
        <v>-22592.263047696248</v>
      </c>
      <c r="V611" s="18">
        <f>IF($A611&gt;'1-Input'!$B$26,V610,V610-Q611*(1-P611))</f>
        <v>-15597.171535506704</v>
      </c>
      <c r="W611" s="11">
        <f>IF($A611&gt;'1-Input'!$B$26,0,IF(AB610&lt;=0,0,MAX(0,(AB610-AC610)/AB610)))</f>
        <v>0</v>
      </c>
      <c r="X611" s="18">
        <f>IF($A611&gt;'1-Input'!$B$26,0,(MAX(0,W561-IF($A611&gt;='1-Input'!$C$12,'1-Input'!$B$13,0))-MIN(MAX(AA610,0),MAX(0,W561-IF($A611&gt;='1-Input'!$C$12,'1-Input'!$B$13,0))))*(1/(1-'P-Parametri'!$B$6*W611))+MIN(MAX(0,AB610-(MAX(0,W561-IF($A611&gt;='1-Input'!$C$12,'1-Input'!$B$13,0))-MIN(MAX(AA610,0),MAX(0,W561-IF($A611&gt;='1-Input'!$C$12,'1-Input'!$B$13,0))))*(1/(1-'P-Parametri'!$B$6*W611))),MAX(0,0*W561-(AA610-MIN(MAX(AA610,0),MAX(0,W561-IF($A611&gt;='1-Input'!$C$12,'1-Input'!$B$13,0)))))*(1/(1-'P-Parametri'!$B$6*W611))))</f>
        <v>0</v>
      </c>
      <c r="Y611" s="18">
        <f>IF($A611&gt;'1-Input'!$B$26,AA610,(AA610-MAX(0,W561-IF($A611&gt;='1-Input'!$C$12,'1-Input'!$B$13,0))+X611*(1-'P-Parametri'!$B$6*W611))*(1+'1-Input'!$B$27))</f>
        <v>-9.063860773039778E-13</v>
      </c>
      <c r="Z611" s="18">
        <f>IF($A611&gt;'1-Input'!$B$26,AB610,(AB610-X611)*(1+'5-Roberta'!$C$4))</f>
        <v>1485.4082656997382</v>
      </c>
      <c r="AA611" s="18">
        <f>IF($A611&gt;'1-Input'!$B$26,Y611,Y611-'P-Parametri'!$B$8*(Z611+Y611)+MIN(MAX(Z611,0),'P-Parametri'!$B$8*(Z611+Y611)))</f>
        <v>-9.063860773039778E-13</v>
      </c>
      <c r="AB611" s="18">
        <f>IF($A611&gt;'1-Input'!$B$26,Z611,Z611-MIN(MAX(Z611,0),'P-Parametri'!$B$8*(Z611+Y611)))</f>
        <v>1485.4082656997382</v>
      </c>
      <c r="AC611" s="18">
        <f>IF($A611&gt;'1-Input'!$B$26,AC610,AC610-X611*(1-W611))</f>
        <v>336.83319385380446</v>
      </c>
      <c r="AD611" s="11">
        <f>IF($A611&gt;'1-Input'!$B$26,0,IF(AI610&lt;=0,0,MAX(0,(AI610-AJ610)/AI610)))</f>
        <v>0</v>
      </c>
      <c r="AE611" s="18">
        <f>IF($A611&gt;'1-Input'!$B$26,0,(MAX(0,AD561-IF($A611&gt;='1-Input'!$C$12,'1-Input'!$B$13,0))-MIN(MAX(AH610,0),MAX(0,AD561-IF($A611&gt;='1-Input'!$C$12,'1-Input'!$B$13,0))))*(1/(1-'P-Parametri'!$B$6*AD611))+MIN(MAX(0,AI610-(MAX(0,AD561-IF($A611&gt;='1-Input'!$C$12,'1-Input'!$B$13,0))-MIN(MAX(AH610,0),MAX(0,AD561-IF($A611&gt;='1-Input'!$C$12,'1-Input'!$B$13,0))))*(1/(1-'P-Parametri'!$B$6*AD611))),MAX(0,0*AD561-(AH610-MIN(MAX(AH610,0),MAX(0,AD561-IF($A611&gt;='1-Input'!$C$12,'1-Input'!$B$13,0)))))*(1/(1-'P-Parametri'!$B$6*AD611))))</f>
        <v>0</v>
      </c>
      <c r="AF611" s="18">
        <f>IF($A611&gt;'1-Input'!$B$26,AH610,(AH610-MAX(0,AD561-IF($A611&gt;='1-Input'!$C$12,'1-Input'!$B$13,0))+AE611*(1-'P-Parametri'!$B$6*AD611))*(1+'1-Input'!$B$27))</f>
        <v>-9.0621954385028403E-13</v>
      </c>
      <c r="AG611" s="18">
        <f>IF($A611&gt;'1-Input'!$B$26,AI610,(AI610-AE611)*(1+'5-Roberta'!$C$4))</f>
        <v>-218.47826388929454</v>
      </c>
      <c r="AH611" s="18">
        <f>IF($A611&gt;'1-Input'!$B$26,AF611,AF611-'P-Parametri'!$B$8*(AG611+AF611)+MIN(MAX(AG611,0),'P-Parametri'!$B$8*(AG611+AF611)))</f>
        <v>-9.0621954385028403E-13</v>
      </c>
      <c r="AI611" s="18">
        <f>IF($A611&gt;'1-Input'!$B$26,AG611,AG611-MIN(MAX(AG611,0),'P-Parametri'!$B$8*(AG611+AF611)))</f>
        <v>-218.47826388929454</v>
      </c>
      <c r="AJ611" s="18">
        <f>IF($A611&gt;'1-Input'!$B$26,AJ610,AJ610-AE611*(1-AD611))</f>
        <v>-49.542427568759422</v>
      </c>
      <c r="AK611" s="11">
        <f>IF($A611&gt;'1-Input'!$B$26,0,IF(AP610&lt;=0,0,MAX(0,(AP610-AQ610)/AP610)))</f>
        <v>0</v>
      </c>
      <c r="AL611" s="18">
        <f>IF($A611&gt;'1-Input'!$B$26,0,(MAX(0,AK561-IF($A611&gt;='1-Input'!$C$12,'1-Input'!$B$13,0))-MIN(MAX(AO610,0),MAX(0,AK561-IF($A611&gt;='1-Input'!$C$12,'1-Input'!$B$13,0))))*(1/(1-'P-Parametri'!$B$6*AK611))+MIN(MAX(0,AP610-(MAX(0,AK561-IF($A611&gt;='1-Input'!$C$12,'1-Input'!$B$13,0))-MIN(MAX(AO610,0),MAX(0,AK561-IF($A611&gt;='1-Input'!$C$12,'1-Input'!$B$13,0))))*(1/(1-'P-Parametri'!$B$6*AK611))),MAX(0,0*AK561-(AO610-MIN(MAX(AO610,0),MAX(0,AK561-IF($A611&gt;='1-Input'!$C$12,'1-Input'!$B$13,0)))))*(1/(1-'P-Parametri'!$B$6*AK611))))</f>
        <v>0</v>
      </c>
      <c r="AM611" s="18">
        <f>IF($A611&gt;'1-Input'!$B$26,AO610,(AO610-MAX(0,AK561-IF($A611&gt;='1-Input'!$C$12,'1-Input'!$B$13,0))+AL611*(1-'P-Parametri'!$B$6*AK611))*(1+'1-Input'!$B$27))</f>
        <v>-9.0622052084654565E-13</v>
      </c>
      <c r="AN611" s="18">
        <f>IF($A611&gt;'1-Input'!$B$26,AP610,(AP610-AL611)*(1+'5-Roberta'!$C$4))</f>
        <v>-2.8981904251850213E-10</v>
      </c>
      <c r="AO611" s="18">
        <f>IF($A611&gt;'1-Input'!$B$26,AM611,AM611-'P-Parametri'!$B$8*(AN611+AM611)+MIN(MAX(AN611,0),'P-Parametri'!$B$8*(AN611+AM611)))</f>
        <v>-9.0622052084654565E-13</v>
      </c>
      <c r="AP611" s="18">
        <f>IF($A611&gt;'1-Input'!$B$26,AN611,AN611-MIN(MAX(AN611,0),'P-Parametri'!$B$8*(AN611+AM611)))</f>
        <v>-2.8981904251850213E-10</v>
      </c>
      <c r="AQ611" s="18">
        <f>IF($A611&gt;'1-Input'!$B$26,AQ610,AQ610-AL611*(1-AK611))</f>
        <v>-6.6165739553980529E-11</v>
      </c>
    </row>
    <row r="612" spans="1:43">
      <c r="A612" s="4" t="s">
        <v>365</v>
      </c>
      <c r="B612" s="18">
        <f>F611+G611</f>
        <v>296635.82610516599</v>
      </c>
      <c r="I612" s="18">
        <f>M611+N611</f>
        <v>-205496.41829259277</v>
      </c>
      <c r="P612" s="18">
        <f>T611+U611</f>
        <v>-22592.263047696248</v>
      </c>
      <c r="W612" s="18">
        <f>AA611+AB611</f>
        <v>1485.4082656997373</v>
      </c>
      <c r="AD612" s="18">
        <f>AH611+AI611</f>
        <v>-218.47826388929545</v>
      </c>
      <c r="AK612" s="18">
        <f>AO611+AP611</f>
        <v>-2.9072526303934867E-10</v>
      </c>
    </row>
    <row r="613" spans="1:43">
      <c r="A613" s="5" t="s">
        <v>266</v>
      </c>
      <c r="B613" s="18">
        <f>IFERROR(AK561-AK612*(AK561-AD561)/(AK612-AD612),AK561)</f>
        <v>19541.000892893953</v>
      </c>
    </row>
    <row r="615" spans="1:43">
      <c r="A615" s="2" t="s">
        <v>420</v>
      </c>
    </row>
    <row r="616" spans="1:43">
      <c r="A616" s="4" t="s">
        <v>360</v>
      </c>
      <c r="B616" s="9">
        <f>0.038*'2-Caso'!$B$12</f>
        <v>16681.055314625803</v>
      </c>
      <c r="I616" s="9">
        <f>0.05*'2-Caso'!$B$12</f>
        <v>21948.756992928691</v>
      </c>
      <c r="P616" s="18">
        <f>IFERROR(I616-I667*(I616-B616)/(I667-B667),I616)</f>
        <v>18948.697370374306</v>
      </c>
      <c r="W616" s="18">
        <f>IFERROR(P616-P667*(P616-I616)/(P667-I667),P616)</f>
        <v>18642.369308398997</v>
      </c>
      <c r="AD616" s="18">
        <f>IFERROR(W616-W667*(W616-P616)/(W667-P667),W616)</f>
        <v>18617.338001365159</v>
      </c>
      <c r="AK616" s="18">
        <f>IFERROR(AD616-AD667*(AD616-W616)/(AD667-W667),AD616)</f>
        <v>18617.289100988393</v>
      </c>
    </row>
    <row r="617" spans="1:43" ht="45">
      <c r="A617" s="25" t="s">
        <v>262</v>
      </c>
      <c r="B617" s="25" t="s">
        <v>361</v>
      </c>
      <c r="C617" s="25" t="s">
        <v>263</v>
      </c>
      <c r="D617" s="25" t="s">
        <v>362</v>
      </c>
      <c r="E617" s="25" t="s">
        <v>363</v>
      </c>
      <c r="F617" s="25" t="s">
        <v>264</v>
      </c>
      <c r="G617" s="25" t="s">
        <v>265</v>
      </c>
      <c r="H617" s="25" t="s">
        <v>364</v>
      </c>
      <c r="I617" s="25" t="s">
        <v>361</v>
      </c>
      <c r="J617" s="25" t="s">
        <v>263</v>
      </c>
      <c r="K617" s="25" t="s">
        <v>362</v>
      </c>
      <c r="L617" s="25" t="s">
        <v>363</v>
      </c>
      <c r="M617" s="25" t="s">
        <v>264</v>
      </c>
      <c r="N617" s="25" t="s">
        <v>265</v>
      </c>
      <c r="O617" s="25" t="s">
        <v>364</v>
      </c>
      <c r="P617" s="25" t="s">
        <v>361</v>
      </c>
      <c r="Q617" s="25" t="s">
        <v>263</v>
      </c>
      <c r="R617" s="25" t="s">
        <v>362</v>
      </c>
      <c r="S617" s="25" t="s">
        <v>363</v>
      </c>
      <c r="T617" s="25" t="s">
        <v>264</v>
      </c>
      <c r="U617" s="25" t="s">
        <v>265</v>
      </c>
      <c r="V617" s="25" t="s">
        <v>364</v>
      </c>
      <c r="W617" s="25" t="s">
        <v>361</v>
      </c>
      <c r="X617" s="25" t="s">
        <v>263</v>
      </c>
      <c r="Y617" s="25" t="s">
        <v>362</v>
      </c>
      <c r="Z617" s="25" t="s">
        <v>363</v>
      </c>
      <c r="AA617" s="25" t="s">
        <v>264</v>
      </c>
      <c r="AB617" s="25" t="s">
        <v>265</v>
      </c>
      <c r="AC617" s="25" t="s">
        <v>364</v>
      </c>
      <c r="AD617" s="25" t="s">
        <v>361</v>
      </c>
      <c r="AE617" s="25" t="s">
        <v>263</v>
      </c>
      <c r="AF617" s="25" t="s">
        <v>362</v>
      </c>
      <c r="AG617" s="25" t="s">
        <v>363</v>
      </c>
      <c r="AH617" s="25" t="s">
        <v>264</v>
      </c>
      <c r="AI617" s="25" t="s">
        <v>265</v>
      </c>
      <c r="AJ617" s="25" t="s">
        <v>364</v>
      </c>
      <c r="AK617" s="25" t="s">
        <v>361</v>
      </c>
      <c r="AL617" s="25" t="s">
        <v>263</v>
      </c>
      <c r="AM617" s="25" t="s">
        <v>362</v>
      </c>
      <c r="AN617" s="25" t="s">
        <v>363</v>
      </c>
      <c r="AO617" s="25" t="s">
        <v>264</v>
      </c>
      <c r="AP617" s="25" t="s">
        <v>265</v>
      </c>
      <c r="AQ617" s="25" t="s">
        <v>364</v>
      </c>
    </row>
    <row r="618" spans="1:43">
      <c r="A618" s="3">
        <v>0</v>
      </c>
      <c r="F618" s="18">
        <f>MIN(2*B616,'2-Caso'!$B$12)</f>
        <v>33362.110629251605</v>
      </c>
      <c r="G618" s="18">
        <f>'2-Caso'!$B$12-F618</f>
        <v>405613.02922932222</v>
      </c>
      <c r="H618" s="18">
        <f>'2-Caso'!$B$13*G618/'2-Caso'!$B$12</f>
        <v>317856</v>
      </c>
      <c r="M618" s="18">
        <f>MIN(2*I616,'2-Caso'!$B$12)</f>
        <v>43897.513985857382</v>
      </c>
      <c r="N618" s="18">
        <f>'2-Caso'!$B$12-M618</f>
        <v>395077.62587271642</v>
      </c>
      <c r="O618" s="18">
        <f>'2-Caso'!$B$13*N618/'2-Caso'!$B$12</f>
        <v>309600</v>
      </c>
      <c r="T618" s="18">
        <f>MIN(2*P616,'2-Caso'!$B$12)</f>
        <v>37897.394740748612</v>
      </c>
      <c r="U618" s="18">
        <f>'2-Caso'!$B$12-T618</f>
        <v>401077.74511782516</v>
      </c>
      <c r="V618" s="18">
        <f>'2-Caso'!$B$13*U618/'2-Caso'!$B$12</f>
        <v>314301.95424046653</v>
      </c>
      <c r="AA618" s="18">
        <f>MIN(2*W616,'2-Caso'!$B$12)</f>
        <v>37284.738616797993</v>
      </c>
      <c r="AB618" s="18">
        <f>'2-Caso'!$B$12-AA618</f>
        <v>401690.40124177578</v>
      </c>
      <c r="AC618" s="18">
        <f>'2-Caso'!$B$13*AB618/'2-Caso'!$B$12</f>
        <v>314782.05820878444</v>
      </c>
      <c r="AH618" s="18">
        <f>MIN(2*AD616,'2-Caso'!$B$12)</f>
        <v>37234.676002730317</v>
      </c>
      <c r="AI618" s="18">
        <f>'2-Caso'!$B$12-AH618</f>
        <v>401740.46385584347</v>
      </c>
      <c r="AJ618" s="18">
        <f>'2-Caso'!$B$13*AI618/'2-Caso'!$B$12</f>
        <v>314821.2894491796</v>
      </c>
      <c r="AO618" s="18">
        <f>MIN(2*AK616,'2-Caso'!$B$12)</f>
        <v>37234.578201976787</v>
      </c>
      <c r="AP618" s="18">
        <f>'2-Caso'!$B$12-AO618</f>
        <v>401740.56165659701</v>
      </c>
      <c r="AQ618" s="18">
        <f>'2-Caso'!$B$13*AP618/'2-Caso'!$B$12</f>
        <v>314821.36609010107</v>
      </c>
    </row>
    <row r="619" spans="1:43">
      <c r="A619" s="10">
        <f>1</f>
        <v>1</v>
      </c>
      <c r="B619" s="11">
        <f>IF($A619&gt;'1-Input'!$B$26,0,IF(G618&lt;=0,0,MAX(0,(G618-H618)/G618)))</f>
        <v>0.21635653419729486</v>
      </c>
      <c r="C619" s="18">
        <f>IF($A619&gt;'1-Input'!$B$26,0,(MAX(0,B616-IF($A619&gt;='1-Input'!$C$12,'1-Input'!$B$13,0))-MIN(MAX(F618,0),MAX(0,B616-IF($A619&gt;='1-Input'!$C$12,'1-Input'!$B$13,0))))*(1/(1-'P-Parametri'!$B$6*B619))+MIN(MAX(0,G618-(MAX(0,B616-IF($A619&gt;='1-Input'!$C$12,'1-Input'!$B$13,0))-MIN(MAX(F618,0),MAX(0,B616-IF($A619&gt;='1-Input'!$C$12,'1-Input'!$B$13,0))))*(1/(1-'P-Parametri'!$B$6*B619))),MAX(0,2*B616-(F618-MIN(MAX(F618,0),MAX(0,B616-IF($A619&gt;='1-Input'!$C$12,'1-Input'!$B$13,0)))))*(1/(1-'P-Parametri'!$B$6*B619))))</f>
        <v>17675.340946701614</v>
      </c>
      <c r="D619" s="18">
        <f>IF($A619&gt;'1-Input'!$B$26,F618,(F618-MAX(0,B616-IF($A619&gt;='1-Input'!$C$12,'1-Input'!$B$13,0))+C619*(1-'P-Parametri'!$B$6*B619))*(1+'1-Input'!$B$27))</f>
        <v>33242.0070309863</v>
      </c>
      <c r="E619" s="18">
        <f>IF($A619&gt;'1-Input'!$B$26,G618,(G618-C619)*(1+'5-Roberta'!$C$4))</f>
        <v>399575.81893109926</v>
      </c>
      <c r="F619" s="18">
        <f>IF($A619&gt;'1-Input'!$B$26,D619,D619-'P-Parametri'!$B$8*(E619+D619)+MIN(MAX(E619,0),'P-Parametri'!$B$8*(E619+D619)))</f>
        <v>33242.0070309863</v>
      </c>
      <c r="G619" s="18">
        <f>IF($A619&gt;'1-Input'!$B$26,E619,E619-MIN(MAX(E619,0),'P-Parametri'!$B$8*(E619+D619)))</f>
        <v>398710.18327917508</v>
      </c>
      <c r="H619" s="18">
        <f>IF($A619&gt;'1-Input'!$B$26,H618,H618-C619*(1-B619))</f>
        <v>304004.8345612823</v>
      </c>
      <c r="I619" s="11">
        <f>IF($A619&gt;'1-Input'!$B$26,0,IF(N618&lt;=0,0,MAX(0,(N618-O618)/N618)))</f>
        <v>0.21635653419729484</v>
      </c>
      <c r="J619" s="18">
        <f>IF($A619&gt;'1-Input'!$B$26,0,(MAX(0,I616-IF($A619&gt;='1-Input'!$C$12,'1-Input'!$B$13,0))-MIN(MAX(M618,0),MAX(0,I616-IF($A619&gt;='1-Input'!$C$12,'1-Input'!$B$13,0))))*(1/(1-'P-Parametri'!$B$6*I619))+MIN(MAX(0,N618-(MAX(0,I616-IF($A619&gt;='1-Input'!$C$12,'1-Input'!$B$13,0))-MIN(MAX(M618,0),MAX(0,I616-IF($A619&gt;='1-Input'!$C$12,'1-Input'!$B$13,0))))*(1/(1-'P-Parametri'!$B$6*I619))),MAX(0,2*I616-(M618-MIN(MAX(M618,0),MAX(0,I616-IF($A619&gt;='1-Input'!$C$12,'1-Input'!$B$13,0)))))*(1/(1-'P-Parametri'!$B$6*I619))))</f>
        <v>23257.027561449497</v>
      </c>
      <c r="K619" s="18">
        <f>IF($A619&gt;'1-Input'!$B$26,M618,(M618-MAX(0,I616-IF($A619&gt;='1-Input'!$C$12,'1-Input'!$B$13,0))+J619*(1-'P-Parametri'!$B$6*I619))*(1+'1-Input'!$B$27))</f>
        <v>43739.482935508291</v>
      </c>
      <c r="L619" s="18">
        <f>IF($A619&gt;'1-Input'!$B$26,N618,(N618-J619)*(1+'5-Roberta'!$C$4))</f>
        <v>382975.21626060491</v>
      </c>
      <c r="M619" s="18">
        <f>IF($A619&gt;'1-Input'!$B$26,K619,K619-'P-Parametri'!$B$8*(L619+K619)+MIN(MAX(L619,0),'P-Parametri'!$B$8*(L619+K619)))</f>
        <v>43739.482935508291</v>
      </c>
      <c r="N619" s="18">
        <f>IF($A619&gt;'1-Input'!$B$26,L619,L619-MIN(MAX(L619,0),'P-Parametri'!$B$8*(L619+K619)))</f>
        <v>382121.7868622127</v>
      </c>
      <c r="O619" s="18">
        <f>IF($A619&gt;'1-Input'!$B$26,O618,O618-J619*(1-I619))</f>
        <v>291374.7823174767</v>
      </c>
      <c r="P619" s="11">
        <f>IF($A619&gt;'1-Input'!$B$26,0,IF(U618&lt;=0,0,MAX(0,(U618-V618)/U618)))</f>
        <v>0.21635653419729484</v>
      </c>
      <c r="Q619" s="18">
        <f>IF($A619&gt;'1-Input'!$B$26,0,(MAX(0,P616-IF($A619&gt;='1-Input'!$C$12,'1-Input'!$B$13,0))-MIN(MAX(T618,0),MAX(0,P616-IF($A619&gt;='1-Input'!$C$12,'1-Input'!$B$13,0))))*(1/(1-'P-Parametri'!$B$6*P619))+MIN(MAX(0,U618-(MAX(0,P616-IF($A619&gt;='1-Input'!$C$12,'1-Input'!$B$13,0))-MIN(MAX(T618,0),MAX(0,P616-IF($A619&gt;='1-Input'!$C$12,'1-Input'!$B$13,0))))*(1/(1-'P-Parametri'!$B$6*P619))),MAX(0,2*P616-(T618-MIN(MAX(T618,0),MAX(0,P616-IF($A619&gt;='1-Input'!$C$12,'1-Input'!$B$13,0)))))*(1/(1-'P-Parametri'!$B$6*P619))))</f>
        <v>20078.147347402846</v>
      </c>
      <c r="R619" s="18">
        <f>IF($A619&gt;'1-Input'!$B$26,T618,(T618-MAX(0,P616-IF($A619&gt;='1-Input'!$C$12,'1-Input'!$B$13,0))+Q619*(1-'P-Parametri'!$B$6*P619))*(1+'1-Input'!$B$27))</f>
        <v>37760.964119681914</v>
      </c>
      <c r="S619" s="18">
        <f>IF($A619&gt;'1-Input'!$B$26,U618,(U618-Q619)*(1+'5-Roberta'!$C$4))</f>
        <v>392429.58570353501</v>
      </c>
      <c r="T619" s="18">
        <f>IF($A619&gt;'1-Input'!$B$26,R619,R619-'P-Parametri'!$B$8*(S619+R619)+MIN(MAX(S619,0),'P-Parametri'!$B$8*(S619+R619)))</f>
        <v>37760.964119681914</v>
      </c>
      <c r="U619" s="18">
        <f>IF($A619&gt;'1-Input'!$B$26,S619,S619-MIN(MAX(S619,0),'P-Parametri'!$B$8*(S619+R619)))</f>
        <v>391569.20460388856</v>
      </c>
      <c r="V619" s="18">
        <f>IF($A619&gt;'1-Input'!$B$26,V618,V618-Q619*(1-P619))</f>
        <v>298567.84526625037</v>
      </c>
      <c r="W619" s="11">
        <f>IF($A619&gt;'1-Input'!$B$26,0,IF(AB618&lt;=0,0,MAX(0,(AB618-AC618)/AB618)))</f>
        <v>0.21635653419729481</v>
      </c>
      <c r="X619" s="18">
        <f>IF($A619&gt;'1-Input'!$B$26,0,(MAX(0,W616-IF($A619&gt;='1-Input'!$C$12,'1-Input'!$B$13,0))-MIN(MAX(AA618,0),MAX(0,W616-IF($A619&gt;='1-Input'!$C$12,'1-Input'!$B$13,0))))*(1/(1-'P-Parametri'!$B$6*W619))+MIN(MAX(0,AB618-(MAX(0,W616-IF($A619&gt;='1-Input'!$C$12,'1-Input'!$B$13,0))-MIN(MAX(AA618,0),MAX(0,W616-IF($A619&gt;='1-Input'!$C$12,'1-Input'!$B$13,0))))*(1/(1-'P-Parametri'!$B$6*W619))),MAX(0,2*W616-(AA618-MIN(MAX(AA618,0),MAX(0,W616-IF($A619&gt;='1-Input'!$C$12,'1-Input'!$B$13,0)))))*(1/(1-'P-Parametri'!$B$6*W619))))</f>
        <v>19753.560393230433</v>
      </c>
      <c r="Y619" s="18">
        <f>IF($A619&gt;'1-Input'!$B$26,AA618,(AA618-MAX(0,W616-IF($A619&gt;='1-Input'!$C$12,'1-Input'!$B$13,0))+X619*(1-'P-Parametri'!$B$6*W619))*(1+'1-Input'!$B$27))</f>
        <v>37150.513557777522</v>
      </c>
      <c r="Z619" s="18">
        <f>IF($A619&gt;'1-Input'!$B$26,AB618,(AB618-X619)*(1+'5-Roberta'!$C$4))</f>
        <v>393394.94607400172</v>
      </c>
      <c r="AA619" s="18">
        <f>IF($A619&gt;'1-Input'!$B$26,Y619,Y619-'P-Parametri'!$B$8*(Z619+Y619)+MIN(MAX(Z619,0),'P-Parametri'!$B$8*(Z619+Y619)))</f>
        <v>37150.513557777522</v>
      </c>
      <c r="AB619" s="18">
        <f>IF($A619&gt;'1-Input'!$B$26,Z619,Z619-MIN(MAX(Z619,0),'P-Parametri'!$B$8*(Z619+Y619)))</f>
        <v>392533.85515473818</v>
      </c>
      <c r="AC619" s="18">
        <f>IF($A619&gt;'1-Input'!$B$26,AC618,AC618-X619*(1-W619))</f>
        <v>299302.30968029029</v>
      </c>
      <c r="AD619" s="11">
        <f>IF($A619&gt;'1-Input'!$B$26,0,IF(AI618&lt;=0,0,MAX(0,(AI618-AJ618)/AI618)))</f>
        <v>0.21635653419729478</v>
      </c>
      <c r="AE619" s="18">
        <f>IF($A619&gt;'1-Input'!$B$26,0,(MAX(0,AD616-IF($A619&gt;='1-Input'!$C$12,'1-Input'!$B$13,0))-MIN(MAX(AH618,0),MAX(0,AD616-IF($A619&gt;='1-Input'!$C$12,'1-Input'!$B$13,0))))*(1/(1-'P-Parametri'!$B$6*AD619))+MIN(MAX(0,AI618-(MAX(0,AD616-IF($A619&gt;='1-Input'!$C$12,'1-Input'!$B$13,0))-MIN(MAX(AH618,0),MAX(0,AD616-IF($A619&gt;='1-Input'!$C$12,'1-Input'!$B$13,0))))*(1/(1-'P-Parametri'!$B$6*AD619))),MAX(0,2*AD616-(AH618-MIN(MAX(AH618,0),MAX(0,AD616-IF($A619&gt;='1-Input'!$C$12,'1-Input'!$B$13,0)))))*(1/(1-'P-Parametri'!$B$6*AD619))))</f>
        <v>19727.037078139165</v>
      </c>
      <c r="AF619" s="18">
        <f>IF($A619&gt;'1-Input'!$B$26,AH618,(AH618-MAX(0,AD616-IF($A619&gt;='1-Input'!$C$12,'1-Input'!$B$13,0))+AE619*(1-'P-Parametri'!$B$6*AD619))*(1+'1-Input'!$B$27))</f>
        <v>37100.631169120483</v>
      </c>
      <c r="AG619" s="18">
        <f>IF($A619&gt;'1-Input'!$B$26,AI618,(AI618-AE619)*(1+'5-Roberta'!$C$4))</f>
        <v>393473.82958103548</v>
      </c>
      <c r="AH619" s="18">
        <f>IF($A619&gt;'1-Input'!$B$26,AF619,AF619-'P-Parametri'!$B$8*(AG619+AF619)+MIN(MAX(AG619,0),'P-Parametri'!$B$8*(AG619+AF619)))</f>
        <v>37100.631169120483</v>
      </c>
      <c r="AI619" s="18">
        <f>IF($A619&gt;'1-Input'!$B$26,AG619,AG619-MIN(MAX(AG619,0),'P-Parametri'!$B$8*(AG619+AF619)))</f>
        <v>392612.68065953517</v>
      </c>
      <c r="AJ619" s="18">
        <f>IF($A619&gt;'1-Input'!$B$26,AJ618,AJ618-AE619*(1-AD619))</f>
        <v>299362.32574324816</v>
      </c>
      <c r="AK619" s="11">
        <f>IF($A619&gt;'1-Input'!$B$26,0,IF(AP618&lt;=0,0,MAX(0,(AP618-AQ618)/AP618)))</f>
        <v>0.21635653419729478</v>
      </c>
      <c r="AL619" s="18">
        <f>IF($A619&gt;'1-Input'!$B$26,0,(MAX(0,AK616-IF($A619&gt;='1-Input'!$C$12,'1-Input'!$B$13,0))-MIN(MAX(AO618,0),MAX(0,AK616-IF($A619&gt;='1-Input'!$C$12,'1-Input'!$B$13,0))))*(1/(1-'P-Parametri'!$B$6*AK619))+MIN(MAX(0,AP618-(MAX(0,AK616-IF($A619&gt;='1-Input'!$C$12,'1-Input'!$B$13,0))-MIN(MAX(AO618,0),MAX(0,AK616-IF($A619&gt;='1-Input'!$C$12,'1-Input'!$B$13,0))))*(1/(1-'P-Parametri'!$B$6*AK619))),MAX(0,2*AK616-(AO618-MIN(MAX(AO618,0),MAX(0,AK616-IF($A619&gt;='1-Input'!$C$12,'1-Input'!$B$13,0)))))*(1/(1-'P-Parametri'!$B$6*AK619))))</f>
        <v>19726.98526302223</v>
      </c>
      <c r="AM619" s="18">
        <f>IF($A619&gt;'1-Input'!$B$26,AO618,(AO618-MAX(0,AK616-IF($A619&gt;='1-Input'!$C$12,'1-Input'!$B$13,0))+AL619*(1-'P-Parametri'!$B$6*AK619))*(1+'1-Input'!$B$27))</f>
        <v>37100.533720449668</v>
      </c>
      <c r="AN619" s="18">
        <f>IF($A619&gt;'1-Input'!$B$26,AP618,(AP618-AL619)*(1+'5-Roberta'!$C$4))</f>
        <v>393473.983685382</v>
      </c>
      <c r="AO619" s="18">
        <f>IF($A619&gt;'1-Input'!$B$26,AM619,AM619-'P-Parametri'!$B$8*(AN619+AM619)+MIN(MAX(AN619,0),'P-Parametri'!$B$8*(AN619+AM619)))</f>
        <v>37100.533720449668</v>
      </c>
      <c r="AP619" s="18">
        <f>IF($A619&gt;'1-Input'!$B$26,AN619,AN619-MIN(MAX(AN619,0),'P-Parametri'!$B$8*(AN619+AM619)))</f>
        <v>392612.83465057035</v>
      </c>
      <c r="AQ619" s="18">
        <f>IF($A619&gt;'1-Input'!$B$26,AQ618,AQ618-AL619*(1-AK619))</f>
        <v>299362.44298874744</v>
      </c>
    </row>
    <row r="620" spans="1:43">
      <c r="A620" s="10">
        <f>2</f>
        <v>2</v>
      </c>
      <c r="B620" s="11">
        <f>IF($A620&gt;'1-Input'!$B$26,0,IF(G619&lt;=0,0,MAX(0,(G619-H619)/G619)))</f>
        <v>0.23752929493546573</v>
      </c>
      <c r="C620" s="18">
        <f>IF($A620&gt;'1-Input'!$B$26,0,(MAX(0,B616-IF($A620&gt;='1-Input'!$C$12,'1-Input'!$B$13,0))-MIN(MAX(F619,0),MAX(0,B616-IF($A620&gt;='1-Input'!$C$12,'1-Input'!$B$13,0))))*(1/(1-'P-Parametri'!$B$6*B620))+MIN(MAX(0,G619-(MAX(0,B616-IF($A620&gt;='1-Input'!$C$12,'1-Input'!$B$13,0))-MIN(MAX(F619,0),MAX(0,B616-IF($A620&gt;='1-Input'!$C$12,'1-Input'!$B$13,0))))*(1/(1-'P-Parametri'!$B$6*B620))),MAX(0,2*B616-(F619-MIN(MAX(F619,0),MAX(0,B616-IF($A620&gt;='1-Input'!$C$12,'1-Input'!$B$13,0)))))*(1/(1-'P-Parametri'!$B$6*B620))))</f>
        <v>17907.056014137157</v>
      </c>
      <c r="D620" s="18">
        <f>IF($A620&gt;'1-Input'!$B$26,F619,(F619-MAX(0,B616-IF($A620&gt;='1-Input'!$C$12,'1-Input'!$B$13,0))+C620*(1-'P-Parametri'!$B$6*B620))*(1+'1-Input'!$B$27))</f>
        <v>33242.0070309863</v>
      </c>
      <c r="E620" s="18">
        <f>IF($A620&gt;'1-Input'!$B$26,G619,(G619-C620)*(1+'5-Roberta'!$C$4))</f>
        <v>392227.22108298907</v>
      </c>
      <c r="F620" s="18">
        <f>IF($A620&gt;'1-Input'!$B$26,D620,D620-'P-Parametri'!$B$8*(E620+D620)+MIN(MAX(E620,0),'P-Parametri'!$B$8*(E620+D620)))</f>
        <v>33242.0070309863</v>
      </c>
      <c r="G620" s="18">
        <f>IF($A620&gt;'1-Input'!$B$26,E620,E620-MIN(MAX(E620,0),'P-Parametri'!$B$8*(E620+D620)))</f>
        <v>391376.28262676112</v>
      </c>
      <c r="H620" s="18">
        <f>IF($A620&gt;'1-Input'!$B$26,H619,H619-C620*(1-B620))</f>
        <v>290351.22893655306</v>
      </c>
      <c r="I620" s="11">
        <f>IF($A620&gt;'1-Input'!$B$26,0,IF(N619&lt;=0,0,MAX(0,(N619-O619)/N619)))</f>
        <v>0.23748189102197931</v>
      </c>
      <c r="J620" s="18">
        <f>IF($A620&gt;'1-Input'!$B$26,0,(MAX(0,I616-IF($A620&gt;='1-Input'!$C$12,'1-Input'!$B$13,0))-MIN(MAX(M619,0),MAX(0,I616-IF($A620&gt;='1-Input'!$C$12,'1-Input'!$B$13,0))))*(1/(1-'P-Parametri'!$B$6*I620))+MIN(MAX(0,N619-(MAX(0,I616-IF($A620&gt;='1-Input'!$C$12,'1-Input'!$B$13,0))-MIN(MAX(M619,0),MAX(0,I616-IF($A620&gt;='1-Input'!$C$12,'1-Input'!$B$13,0))))*(1/(1-'P-Parametri'!$B$6*I620))),MAX(0,2*I616-(M619-MIN(MAX(M619,0),MAX(0,I616-IF($A620&gt;='1-Input'!$C$12,'1-Input'!$B$13,0)))))*(1/(1-'P-Parametri'!$B$6*I620))))</f>
        <v>23561.606296146056</v>
      </c>
      <c r="K620" s="18">
        <f>IF($A620&gt;'1-Input'!$B$26,M619,(M619-MAX(0,I616-IF($A620&gt;='1-Input'!$C$12,'1-Input'!$B$13,0))+J620*(1-'P-Parametri'!$B$6*I620))*(1+'1-Input'!$B$27))</f>
        <v>43739.482935508291</v>
      </c>
      <c r="L620" s="18">
        <f>IF($A620&gt;'1-Input'!$B$26,N619,(N619-J620)*(1+'5-Roberta'!$C$4))</f>
        <v>369316.98598304862</v>
      </c>
      <c r="M620" s="18">
        <f>IF($A620&gt;'1-Input'!$B$26,K620,K620-'P-Parametri'!$B$8*(L620+K620)+MIN(MAX(L620,0),'P-Parametri'!$B$8*(L620+K620)))</f>
        <v>43739.482935508291</v>
      </c>
      <c r="N620" s="18">
        <f>IF($A620&gt;'1-Input'!$B$26,L620,L620-MIN(MAX(L620,0),'P-Parametri'!$B$8*(L620+K620)))</f>
        <v>368490.87304521148</v>
      </c>
      <c r="O620" s="18">
        <f>IF($A620&gt;'1-Input'!$B$26,O619,O619-J620*(1-I620))</f>
        <v>273408.63084005477</v>
      </c>
      <c r="P620" s="11">
        <f>IF($A620&gt;'1-Input'!$B$26,0,IF(U619&lt;=0,0,MAX(0,(U619-V619)/U619)))</f>
        <v>0.23750938083018652</v>
      </c>
      <c r="Q620" s="18">
        <f>IF($A620&gt;'1-Input'!$B$26,0,(MAX(0,P616-IF($A620&gt;='1-Input'!$C$12,'1-Input'!$B$13,0))-MIN(MAX(T619,0),MAX(0,P616-IF($A620&gt;='1-Input'!$C$12,'1-Input'!$B$13,0))))*(1/(1-'P-Parametri'!$B$6*P620))+MIN(MAX(0,U619-(MAX(0,P616-IF($A620&gt;='1-Input'!$C$12,'1-Input'!$B$13,0))-MIN(MAX(T619,0),MAX(0,P616-IF($A620&gt;='1-Input'!$C$12,'1-Input'!$B$13,0))))*(1/(1-'P-Parametri'!$B$6*P620))),MAX(0,2*P616-(T619-MIN(MAX(T619,0),MAX(0,P616-IF($A620&gt;='1-Input'!$C$12,'1-Input'!$B$13,0)))))*(1/(1-'P-Parametri'!$B$6*P620))))</f>
        <v>20341.249777854078</v>
      </c>
      <c r="R620" s="18">
        <f>IF($A620&gt;'1-Input'!$B$26,T619,(T619-MAX(0,P616-IF($A620&gt;='1-Input'!$C$12,'1-Input'!$B$13,0))+Q620*(1-'P-Parametri'!$B$6*P620))*(1+'1-Input'!$B$27))</f>
        <v>37760.964119681914</v>
      </c>
      <c r="S620" s="18">
        <f>IF($A620&gt;'1-Input'!$B$26,U619,(U619-Q620)*(1+'5-Roberta'!$C$4))</f>
        <v>382364.79347081552</v>
      </c>
      <c r="T620" s="18">
        <f>IF($A620&gt;'1-Input'!$B$26,R620,R620-'P-Parametri'!$B$8*(S620+R620)+MIN(MAX(S620,0),'P-Parametri'!$B$8*(S620+R620)))</f>
        <v>37760.964119681914</v>
      </c>
      <c r="U620" s="18">
        <f>IF($A620&gt;'1-Input'!$B$26,S620,S620-MIN(MAX(S620,0),'P-Parametri'!$B$8*(S620+R620)))</f>
        <v>381524.54195563454</v>
      </c>
      <c r="V620" s="18">
        <f>IF($A620&gt;'1-Input'!$B$26,V619,V619-Q620*(1-P620))</f>
        <v>283057.8331284466</v>
      </c>
      <c r="W620" s="11">
        <f>IF($A620&gt;'1-Input'!$B$26,0,IF(AB619&lt;=0,0,MAX(0,(AB619-AC619)/AB619)))</f>
        <v>0.23751211328687993</v>
      </c>
      <c r="X620" s="18">
        <f>IF($A620&gt;'1-Input'!$B$26,0,(MAX(0,W616-IF($A620&gt;='1-Input'!$C$12,'1-Input'!$B$13,0))-MIN(MAX(AA619,0),MAX(0,W616-IF($A620&gt;='1-Input'!$C$12,'1-Input'!$B$13,0))))*(1/(1-'P-Parametri'!$B$6*W620))+MIN(MAX(0,AB619-(MAX(0,W616-IF($A620&gt;='1-Input'!$C$12,'1-Input'!$B$13,0))-MIN(MAX(AA619,0),MAX(0,W616-IF($A620&gt;='1-Input'!$C$12,'1-Input'!$B$13,0))))*(1/(1-'P-Parametri'!$B$6*W620))),MAX(0,2*W616-(AA619-MIN(MAX(AA619,0),MAX(0,W616-IF($A620&gt;='1-Input'!$C$12,'1-Input'!$B$13,0)))))*(1/(1-'P-Parametri'!$B$6*W620))))</f>
        <v>20012.424615658943</v>
      </c>
      <c r="Y620" s="18">
        <f>IF($A620&gt;'1-Input'!$B$26,AA619,(AA619-MAX(0,W616-IF($A620&gt;='1-Input'!$C$12,'1-Input'!$B$13,0))+X620*(1-'P-Parametri'!$B$6*W620))*(1+'1-Input'!$B$27))</f>
        <v>37150.513557777515</v>
      </c>
      <c r="Z620" s="18">
        <f>IF($A620&gt;'1-Input'!$B$26,AB619,(AB619-X620)*(1+'5-Roberta'!$C$4))</f>
        <v>383697.07345525164</v>
      </c>
      <c r="AA620" s="18">
        <f>IF($A620&gt;'1-Input'!$B$26,Y620,Y620-'P-Parametri'!$B$8*(Z620+Y620)+MIN(MAX(Z620,0),'P-Parametri'!$B$8*(Z620+Y620)))</f>
        <v>37150.513557777515</v>
      </c>
      <c r="AB620" s="18">
        <f>IF($A620&gt;'1-Input'!$B$26,Z620,Z620-MIN(MAX(Z620,0),'P-Parametri'!$B$8*(Z620+Y620)))</f>
        <v>382855.37828122557</v>
      </c>
      <c r="AC620" s="18">
        <f>IF($A620&gt;'1-Input'!$B$26,AC619,AC619-X620*(1-W620))</f>
        <v>284043.07832709089</v>
      </c>
      <c r="AD620" s="11">
        <f>IF($A620&gt;'1-Input'!$B$26,0,IF(AI619&lt;=0,0,MAX(0,(AI619-AJ619)/AI619)))</f>
        <v>0.23751233597355864</v>
      </c>
      <c r="AE620" s="18">
        <f>IF($A620&gt;'1-Input'!$B$26,0,(MAX(0,AD616-IF($A620&gt;='1-Input'!$C$12,'1-Input'!$B$13,0))-MIN(MAX(AH619,0),MAX(0,AD616-IF($A620&gt;='1-Input'!$C$12,'1-Input'!$B$13,0))))*(1/(1-'P-Parametri'!$B$6*AD620))+MIN(MAX(0,AI619-(MAX(0,AD616-IF($A620&gt;='1-Input'!$C$12,'1-Input'!$B$13,0))-MIN(MAX(AH619,0),MAX(0,AD616-IF($A620&gt;='1-Input'!$C$12,'1-Input'!$B$13,0))))*(1/(1-'P-Parametri'!$B$6*AD620))),MAX(0,2*AD616-(AH619-MIN(MAX(AH619,0),MAX(0,AD616-IF($A620&gt;='1-Input'!$C$12,'1-Input'!$B$13,0)))))*(1/(1-'P-Parametri'!$B$6*AD620))))</f>
        <v>19985.554954124313</v>
      </c>
      <c r="AF620" s="18">
        <f>IF($A620&gt;'1-Input'!$B$26,AH619,(AH619-MAX(0,AD616-IF($A620&gt;='1-Input'!$C$12,'1-Input'!$B$13,0))+AE620*(1-'P-Parametri'!$B$6*AD620))*(1+'1-Input'!$B$27))</f>
        <v>37100.631169120483</v>
      </c>
      <c r="AG620" s="18">
        <f>IF($A620&gt;'1-Input'!$B$26,AI619,(AI619-AE620)*(1+'5-Roberta'!$C$4))</f>
        <v>383805.9394765732</v>
      </c>
      <c r="AH620" s="18">
        <f>IF($A620&gt;'1-Input'!$B$26,AF620,AF620-'P-Parametri'!$B$8*(AG620+AF620)+MIN(MAX(AG620,0),'P-Parametri'!$B$8*(AG620+AF620)))</f>
        <v>37100.631169120483</v>
      </c>
      <c r="AI620" s="18">
        <f>IF($A620&gt;'1-Input'!$B$26,AG620,AG620-MIN(MAX(AG620,0),'P-Parametri'!$B$8*(AG620+AF620)))</f>
        <v>382964.12633528182</v>
      </c>
      <c r="AJ620" s="18">
        <f>IF($A620&gt;'1-Input'!$B$26,AJ619,AJ619-AE620*(1-AD620))</f>
        <v>284123.58663200587</v>
      </c>
      <c r="AK620" s="11">
        <f>IF($A620&gt;'1-Input'!$B$26,0,IF(AP619&lt;=0,0,MAX(0,(AP619-AQ619)/AP619)))</f>
        <v>0.23751233640850475</v>
      </c>
      <c r="AL620" s="18">
        <f>IF($A620&gt;'1-Input'!$B$26,0,(MAX(0,AK616-IF($A620&gt;='1-Input'!$C$12,'1-Input'!$B$13,0))-MIN(MAX(AO619,0),MAX(0,AK616-IF($A620&gt;='1-Input'!$C$12,'1-Input'!$B$13,0))))*(1/(1-'P-Parametri'!$B$6*AK620))+MIN(MAX(0,AP619-(MAX(0,AK616-IF($A620&gt;='1-Input'!$C$12,'1-Input'!$B$13,0))-MIN(MAX(AO619,0),MAX(0,AK616-IF($A620&gt;='1-Input'!$C$12,'1-Input'!$B$13,0))))*(1/(1-'P-Parametri'!$B$6*AK620))),MAX(0,2*AK616-(AO619-MIN(MAX(AO619,0),MAX(0,AK616-IF($A620&gt;='1-Input'!$C$12,'1-Input'!$B$13,0)))))*(1/(1-'P-Parametri'!$B$6*AK620))))</f>
        <v>19985.502462392087</v>
      </c>
      <c r="AM620" s="18">
        <f>IF($A620&gt;'1-Input'!$B$26,AO619,(AO619-MAX(0,AK616-IF($A620&gt;='1-Input'!$C$12,'1-Input'!$B$13,0))+AL620*(1-'P-Parametri'!$B$6*AK620))*(1+'1-Input'!$B$27))</f>
        <v>37100.533720449668</v>
      </c>
      <c r="AN620" s="18">
        <f>IF($A620&gt;'1-Input'!$B$26,AP619,(AP619-AL620)*(1+'5-Roberta'!$C$4))</f>
        <v>383806.15215382364</v>
      </c>
      <c r="AO620" s="18">
        <f>IF($A620&gt;'1-Input'!$B$26,AM620,AM620-'P-Parametri'!$B$8*(AN620+AM620)+MIN(MAX(AN620,0),'P-Parametri'!$B$8*(AN620+AM620)))</f>
        <v>37100.533720449668</v>
      </c>
      <c r="AP620" s="18">
        <f>IF($A620&gt;'1-Input'!$B$26,AN620,AN620-MIN(MAX(AN620,0),'P-Parametri'!$B$8*(AN620+AM620)))</f>
        <v>382964.33878207509</v>
      </c>
      <c r="AQ620" s="18">
        <f>IF($A620&gt;'1-Input'!$B$26,AQ619,AQ619-AL620*(1-AK620))</f>
        <v>284123.74391049601</v>
      </c>
    </row>
    <row r="621" spans="1:43">
      <c r="A621" s="10">
        <f>3</f>
        <v>3</v>
      </c>
      <c r="B621" s="11">
        <f>IF($A621&gt;'1-Input'!$B$26,0,IF(G620&lt;=0,0,MAX(0,(G620-H620)/G620)))</f>
        <v>0.25812768472368408</v>
      </c>
      <c r="C621" s="18">
        <f>IF($A621&gt;'1-Input'!$B$26,0,(MAX(0,B616-IF($A621&gt;='1-Input'!$C$12,'1-Input'!$B$13,0))-MIN(MAX(F620,0),MAX(0,B616-IF($A621&gt;='1-Input'!$C$12,'1-Input'!$B$13,0))))*(1/(1-'P-Parametri'!$B$6*B621))+MIN(MAX(0,G620-(MAX(0,B616-IF($A621&gt;='1-Input'!$C$12,'1-Input'!$B$13,0))-MIN(MAX(F620,0),MAX(0,B616-IF($A621&gt;='1-Input'!$C$12,'1-Input'!$B$13,0))))*(1/(1-'P-Parametri'!$B$6*B621))),MAX(0,2*B616-(F620-MIN(MAX(F620,0),MAX(0,B616-IF($A621&gt;='1-Input'!$C$12,'1-Input'!$B$13,0)))))*(1/(1-'P-Parametri'!$B$6*B621))))</f>
        <v>18009.85808500936</v>
      </c>
      <c r="D621" s="18">
        <f>IF($A621&gt;'1-Input'!$B$26,F620,(F620-MAX(0,B616-IF($A621&gt;='1-Input'!$C$12,'1-Input'!$B$13,0))+C621*(1-'P-Parametri'!$B$6*B621))*(1+'1-Input'!$B$27))</f>
        <v>33242.0070309863</v>
      </c>
      <c r="E621" s="18">
        <f>IF($A621&gt;'1-Input'!$B$26,G620,(G620-C621)*(1+'5-Roberta'!$C$4))</f>
        <v>384567.41727800429</v>
      </c>
      <c r="F621" s="18">
        <f>IF($A621&gt;'1-Input'!$B$26,D621,D621-'P-Parametri'!$B$8*(E621+D621)+MIN(MAX(E621,0),'P-Parametri'!$B$8*(E621+D621)))</f>
        <v>33242.0070309863</v>
      </c>
      <c r="G621" s="18">
        <f>IF($A621&gt;'1-Input'!$B$26,E621,E621-MIN(MAX(E621,0),'P-Parametri'!$B$8*(E621+D621)))</f>
        <v>383731.79842938628</v>
      </c>
      <c r="H621" s="18">
        <f>IF($A621&gt;'1-Input'!$B$26,H620,H620-C621*(1-B621))</f>
        <v>276990.21382122929</v>
      </c>
      <c r="I621" s="11">
        <f>IF($A621&gt;'1-Input'!$B$26,0,IF(N620&lt;=0,0,MAX(0,(N620-O620)/N620)))</f>
        <v>0.25803147149723493</v>
      </c>
      <c r="J621" s="18">
        <f>IF($A621&gt;'1-Input'!$B$26,0,(MAX(0,I616-IF($A621&gt;='1-Input'!$C$12,'1-Input'!$B$13,0))-MIN(MAX(M620,0),MAX(0,I616-IF($A621&gt;='1-Input'!$C$12,'1-Input'!$B$13,0))))*(1/(1-'P-Parametri'!$B$6*I621))+MIN(MAX(0,N620-(MAX(0,I616-IF($A621&gt;='1-Input'!$C$12,'1-Input'!$B$13,0))-MIN(MAX(M620,0),MAX(0,I616-IF($A621&gt;='1-Input'!$C$12,'1-Input'!$B$13,0))))*(1/(1-'P-Parametri'!$B$6*I621))),MAX(0,2*I616-(M620-MIN(MAX(M620,0),MAX(0,I616-IF($A621&gt;='1-Input'!$C$12,'1-Input'!$B$13,0)))))*(1/(1-'P-Parametri'!$B$6*I621))))</f>
        <v>23696.546265899819</v>
      </c>
      <c r="K621" s="18">
        <f>IF($A621&gt;'1-Input'!$B$26,M620,(M620-MAX(0,I616-IF($A621&gt;='1-Input'!$C$12,'1-Input'!$B$13,0))+J621*(1-'P-Parametri'!$B$6*I621))*(1+'1-Input'!$B$27))</f>
        <v>43739.482935508291</v>
      </c>
      <c r="L621" s="18">
        <f>IF($A621&gt;'1-Input'!$B$26,N620,(N620-J621)*(1+'5-Roberta'!$C$4))</f>
        <v>355138.15658269101</v>
      </c>
      <c r="M621" s="18">
        <f>IF($A621&gt;'1-Input'!$B$26,K621,K621-'P-Parametri'!$B$8*(L621+K621)+MIN(MAX(L621,0),'P-Parametri'!$B$8*(L621+K621)))</f>
        <v>43739.482935508291</v>
      </c>
      <c r="N621" s="18">
        <f>IF($A621&gt;'1-Input'!$B$26,L621,L621-MIN(MAX(L621,0),'P-Parametri'!$B$8*(L621+K621)))</f>
        <v>354340.40130365459</v>
      </c>
      <c r="O621" s="18">
        <f>IF($A621&gt;'1-Input'!$B$26,O620,O620-J621*(1-I621))</f>
        <v>255826.53927654738</v>
      </c>
      <c r="P621" s="11">
        <f>IF($A621&gt;'1-Input'!$B$26,0,IF(U620&lt;=0,0,MAX(0,(U620-V620)/U620)))</f>
        <v>0.25808748323885838</v>
      </c>
      <c r="Q621" s="18">
        <f>IF($A621&gt;'1-Input'!$B$26,0,(MAX(0,P616-IF($A621&gt;='1-Input'!$C$12,'1-Input'!$B$13,0))-MIN(MAX(T620,0),MAX(0,P616-IF($A621&gt;='1-Input'!$C$12,'1-Input'!$B$13,0))))*(1/(1-'P-Parametri'!$B$6*P621))+MIN(MAX(0,U620-(MAX(0,P616-IF($A621&gt;='1-Input'!$C$12,'1-Input'!$B$13,0))-MIN(MAX(T620,0),MAX(0,P616-IF($A621&gt;='1-Input'!$C$12,'1-Input'!$B$13,0))))*(1/(1-'P-Parametri'!$B$6*P621))),MAX(0,2*P616-(T620-MIN(MAX(T620,0),MAX(0,P616-IF($A621&gt;='1-Input'!$C$12,'1-Input'!$B$13,0)))))*(1/(1-'P-Parametri'!$B$6*P621))))</f>
        <v>20457.909916968394</v>
      </c>
      <c r="R621" s="18">
        <f>IF($A621&gt;'1-Input'!$B$26,T620,(T620-MAX(0,P616-IF($A621&gt;='1-Input'!$C$12,'1-Input'!$B$13,0))+Q621*(1-'P-Parametri'!$B$6*P621))*(1+'1-Input'!$B$27))</f>
        <v>37760.964119681914</v>
      </c>
      <c r="S621" s="18">
        <f>IF($A621&gt;'1-Input'!$B$26,U620,(U620-Q621)*(1+'5-Roberta'!$C$4))</f>
        <v>371898.63099982619</v>
      </c>
      <c r="T621" s="18">
        <f>IF($A621&gt;'1-Input'!$B$26,R621,R621-'P-Parametri'!$B$8*(S621+R621)+MIN(MAX(S621,0),'P-Parametri'!$B$8*(S621+R621)))</f>
        <v>37760.964119681914</v>
      </c>
      <c r="U621" s="18">
        <f>IF($A621&gt;'1-Input'!$B$26,S621,S621-MIN(MAX(S621,0),'P-Parametri'!$B$8*(S621+R621)))</f>
        <v>371079.31180958718</v>
      </c>
      <c r="V621" s="18">
        <f>IF($A621&gt;'1-Input'!$B$26,V620,V620-Q621*(1-P621))</f>
        <v>267879.85369427584</v>
      </c>
      <c r="W621" s="11">
        <f>IF($A621&gt;'1-Input'!$B$26,0,IF(AB620&lt;=0,0,MAX(0,(AB620-AC620)/AB620)))</f>
        <v>0.25809301778059995</v>
      </c>
      <c r="X621" s="18">
        <f>IF($A621&gt;'1-Input'!$B$26,0,(MAX(0,W616-IF($A621&gt;='1-Input'!$C$12,'1-Input'!$B$13,0))-MIN(MAX(AA620,0),MAX(0,W616-IF($A621&gt;='1-Input'!$C$12,'1-Input'!$B$13,0))))*(1/(1-'P-Parametri'!$B$6*W621))+MIN(MAX(0,AB620-(MAX(0,W616-IF($A621&gt;='1-Input'!$C$12,'1-Input'!$B$13,0))-MIN(MAX(AA620,0),MAX(0,W616-IF($A621&gt;='1-Input'!$C$12,'1-Input'!$B$13,0))))*(1/(1-'P-Parametri'!$B$6*W621))),MAX(0,2*W616-(AA620-MIN(MAX(AA620,0),MAX(0,W616-IF($A621&gt;='1-Input'!$C$12,'1-Input'!$B$13,0)))))*(1/(1-'P-Parametri'!$B$6*W621))))</f>
        <v>20127.214698493026</v>
      </c>
      <c r="Y621" s="18">
        <f>IF($A621&gt;'1-Input'!$B$26,AA620,(AA620-MAX(0,W616-IF($A621&gt;='1-Input'!$C$12,'1-Input'!$B$13,0))+X621*(1-'P-Parametri'!$B$6*W621))*(1+'1-Input'!$B$27))</f>
        <v>37150.513557777522</v>
      </c>
      <c r="Z621" s="18">
        <f>IF($A621&gt;'1-Input'!$B$26,AB620,(AB620-X621)*(1+'5-Roberta'!$C$4))</f>
        <v>373610.00849021453</v>
      </c>
      <c r="AA621" s="18">
        <f>IF($A621&gt;'1-Input'!$B$26,Y621,Y621-'P-Parametri'!$B$8*(Z621+Y621)+MIN(MAX(Z621,0),'P-Parametri'!$B$8*(Z621+Y621)))</f>
        <v>37150.513557777522</v>
      </c>
      <c r="AB621" s="18">
        <f>IF($A621&gt;'1-Input'!$B$26,Z621,Z621-MIN(MAX(Z621,0),'P-Parametri'!$B$8*(Z621+Y621)))</f>
        <v>372788.48744611855</v>
      </c>
      <c r="AC621" s="18">
        <f>IF($A621&gt;'1-Input'!$B$26,AC620,AC620-X621*(1-W621))</f>
        <v>269110.55720965</v>
      </c>
      <c r="AD621" s="11">
        <f>IF($A621&gt;'1-Input'!$B$26,0,IF(AI620&lt;=0,0,MAX(0,(AI620-AJ620)/AI620)))</f>
        <v>0.25809346856875542</v>
      </c>
      <c r="AE621" s="18">
        <f>IF($A621&gt;'1-Input'!$B$26,0,(MAX(0,AD616-IF($A621&gt;='1-Input'!$C$12,'1-Input'!$B$13,0))-MIN(MAX(AH620,0),MAX(0,AD616-IF($A621&gt;='1-Input'!$C$12,'1-Input'!$B$13,0))))*(1/(1-'P-Parametri'!$B$6*AD621))+MIN(MAX(0,AI620-(MAX(0,AD616-IF($A621&gt;='1-Input'!$C$12,'1-Input'!$B$13,0))-MIN(MAX(AH620,0),MAX(0,AD616-IF($A621&gt;='1-Input'!$C$12,'1-Input'!$B$13,0))))*(1/(1-'P-Parametri'!$B$6*AD621))),MAX(0,2*AD616-(AH620-MIN(MAX(AH620,0),MAX(0,AD616-IF($A621&gt;='1-Input'!$C$12,'1-Input'!$B$13,0)))))*(1/(1-'P-Parametri'!$B$6*AD621))))</f>
        <v>20100.19219910185</v>
      </c>
      <c r="AF621" s="18">
        <f>IF($A621&gt;'1-Input'!$B$26,AH620,(AH620-MAX(0,AD616-IF($A621&gt;='1-Input'!$C$12,'1-Input'!$B$13,0))+AE621*(1-'P-Parametri'!$B$6*AD621))*(1+'1-Input'!$B$27))</f>
        <v>37100.631169120483</v>
      </c>
      <c r="AG621" s="18">
        <f>IF($A621&gt;'1-Input'!$B$26,AI620,(AI620-AE621)*(1+'5-Roberta'!$C$4))</f>
        <v>373749.85216026538</v>
      </c>
      <c r="AH621" s="18">
        <f>IF($A621&gt;'1-Input'!$B$26,AF621,AF621-'P-Parametri'!$B$8*(AG621+AF621)+MIN(MAX(AG621,0),'P-Parametri'!$B$8*(AG621+AF621)))</f>
        <v>37100.631169120483</v>
      </c>
      <c r="AI621" s="18">
        <f>IF($A621&gt;'1-Input'!$B$26,AG621,AG621-MIN(MAX(AG621,0),'P-Parametri'!$B$8*(AG621+AF621)))</f>
        <v>372928.15119360661</v>
      </c>
      <c r="AJ621" s="18">
        <f>IF($A621&gt;'1-Input'!$B$26,AJ620,AJ620-AE621*(1-AD621))</f>
        <v>269211.12275646883</v>
      </c>
      <c r="AK621" s="11">
        <f>IF($A621&gt;'1-Input'!$B$26,0,IF(AP620&lt;=0,0,MAX(0,(AP620-AQ620)/AP620)))</f>
        <v>0.25809346944918565</v>
      </c>
      <c r="AL621" s="18">
        <f>IF($A621&gt;'1-Input'!$B$26,0,(MAX(0,AK616-IF($A621&gt;='1-Input'!$C$12,'1-Input'!$B$13,0))-MIN(MAX(AO620,0),MAX(0,AK616-IF($A621&gt;='1-Input'!$C$12,'1-Input'!$B$13,0))))*(1/(1-'P-Parametri'!$B$6*AK621))+MIN(MAX(0,AP620-(MAX(0,AK616-IF($A621&gt;='1-Input'!$C$12,'1-Input'!$B$13,0))-MIN(MAX(AO620,0),MAX(0,AK616-IF($A621&gt;='1-Input'!$C$12,'1-Input'!$B$13,0))))*(1/(1-'P-Parametri'!$B$6*AK621))),MAX(0,2*AK616-(AO620-MIN(MAX(AO620,0),MAX(0,AK616-IF($A621&gt;='1-Input'!$C$12,'1-Input'!$B$13,0)))))*(1/(1-'P-Parametri'!$B$6*AK621))))</f>
        <v>20100.139408786261</v>
      </c>
      <c r="AM621" s="18">
        <f>IF($A621&gt;'1-Input'!$B$26,AO620,(AO620-MAX(0,AK616-IF($A621&gt;='1-Input'!$C$12,'1-Input'!$B$13,0))+AL621*(1-'P-Parametri'!$B$6*AK621))*(1+'1-Input'!$B$27))</f>
        <v>37100.533720449668</v>
      </c>
      <c r="AN621" s="18">
        <f>IF($A621&gt;'1-Input'!$B$26,AP620,(AP620-AL621)*(1+'5-Roberta'!$C$4))</f>
        <v>373750.12535448751</v>
      </c>
      <c r="AO621" s="18">
        <f>IF($A621&gt;'1-Input'!$B$26,AM621,AM621-'P-Parametri'!$B$8*(AN621+AM621)+MIN(MAX(AN621,0),'P-Parametri'!$B$8*(AN621+AM621)))</f>
        <v>37100.533720449668</v>
      </c>
      <c r="AP621" s="18">
        <f>IF($A621&gt;'1-Input'!$B$26,AN621,AN621-MIN(MAX(AN621,0),'P-Parametri'!$B$8*(AN621+AM621)))</f>
        <v>372928.42403633764</v>
      </c>
      <c r="AQ621" s="18">
        <f>IF($A621&gt;'1-Input'!$B$26,AQ620,AQ620-AL621*(1-AK621))</f>
        <v>269211.31921813567</v>
      </c>
    </row>
    <row r="622" spans="1:43">
      <c r="A622" s="10">
        <f>4</f>
        <v>4</v>
      </c>
      <c r="B622" s="11">
        <f>IF($A622&gt;'1-Input'!$B$26,0,IF(G621&lt;=0,0,MAX(0,(G621-H621)/G621)))</f>
        <v>0.27816716009736525</v>
      </c>
      <c r="C622" s="18">
        <f>IF($A622&gt;'1-Input'!$B$26,0,(MAX(0,B616-IF($A622&gt;='1-Input'!$C$12,'1-Input'!$B$13,0))-MIN(MAX(F621,0),MAX(0,B616-IF($A622&gt;='1-Input'!$C$12,'1-Input'!$B$13,0))))*(1/(1-'P-Parametri'!$B$6*B622))+MIN(MAX(0,G621-(MAX(0,B616-IF($A622&gt;='1-Input'!$C$12,'1-Input'!$B$13,0))-MIN(MAX(F621,0),MAX(0,B616-IF($A622&gt;='1-Input'!$C$12,'1-Input'!$B$13,0))))*(1/(1-'P-Parametri'!$B$6*B622))),MAX(0,2*B616-(F621-MIN(MAX(F621,0),MAX(0,B616-IF($A622&gt;='1-Input'!$C$12,'1-Input'!$B$13,0)))))*(1/(1-'P-Parametri'!$B$6*B622))))</f>
        <v>18111.009837898029</v>
      </c>
      <c r="D622" s="18">
        <f>IF($A622&gt;'1-Input'!$B$26,F621,(F621-MAX(0,B616-IF($A622&gt;='1-Input'!$C$12,'1-Input'!$B$13,0))+C622*(1-'P-Parametri'!$B$6*B622))*(1+'1-Input'!$B$27))</f>
        <v>33242.0070309863</v>
      </c>
      <c r="E622" s="18">
        <f>IF($A622&gt;'1-Input'!$B$26,G621,(G621-C622)*(1+'5-Roberta'!$C$4))</f>
        <v>376589.41224923293</v>
      </c>
      <c r="F622" s="18">
        <f>IF($A622&gt;'1-Input'!$B$26,D622,D622-'P-Parametri'!$B$8*(E622+D622)+MIN(MAX(E622,0),'P-Parametri'!$B$8*(E622+D622)))</f>
        <v>33242.0070309863</v>
      </c>
      <c r="G622" s="18">
        <f>IF($A622&gt;'1-Input'!$B$26,E622,E622-MIN(MAX(E622,0),'P-Parametri'!$B$8*(E622+D622)))</f>
        <v>375769.74941067252</v>
      </c>
      <c r="H622" s="18">
        <f>IF($A622&gt;'1-Input'!$B$26,H621,H621-C622*(1-B622))</f>
        <v>263917.09215643478</v>
      </c>
      <c r="I622" s="11">
        <f>IF($A622&gt;'1-Input'!$B$26,0,IF(N621&lt;=0,0,MAX(0,(N621-O621)/N621)))</f>
        <v>0.27802040541994261</v>
      </c>
      <c r="J622" s="18">
        <f>IF($A622&gt;'1-Input'!$B$26,0,(MAX(0,I616-IF($A622&gt;='1-Input'!$C$12,'1-Input'!$B$13,0))-MIN(MAX(M621,0),MAX(0,I616-IF($A622&gt;='1-Input'!$C$12,'1-Input'!$B$13,0))))*(1/(1-'P-Parametri'!$B$6*I622))+MIN(MAX(0,N621-(MAX(0,I616-IF($A622&gt;='1-Input'!$C$12,'1-Input'!$B$13,0))-MIN(MAX(M621,0),MAX(0,I616-IF($A622&gt;='1-Input'!$C$12,'1-Input'!$B$13,0))))*(1/(1-'P-Parametri'!$B$6*I622))),MAX(0,2*I616-(M621-MIN(MAX(M621,0),MAX(0,I616-IF($A622&gt;='1-Input'!$C$12,'1-Input'!$B$13,0)))))*(1/(1-'P-Parametri'!$B$6*I622))))</f>
        <v>23829.295980946357</v>
      </c>
      <c r="K622" s="18">
        <f>IF($A622&gt;'1-Input'!$B$26,M621,(M621-MAX(0,I616-IF($A622&gt;='1-Input'!$C$12,'1-Input'!$B$13,0))+J622*(1-'P-Parametri'!$B$6*I622))*(1+'1-Input'!$B$27))</f>
        <v>43739.482935508291</v>
      </c>
      <c r="L622" s="18">
        <f>IF($A622&gt;'1-Input'!$B$26,N621,(N621-J622)*(1+'5-Roberta'!$C$4))</f>
        <v>340426.43848238949</v>
      </c>
      <c r="M622" s="18">
        <f>IF($A622&gt;'1-Input'!$B$26,K622,K622-'P-Parametri'!$B$8*(L622+K622)+MIN(MAX(L622,0),'P-Parametri'!$B$8*(L622+K622)))</f>
        <v>43739.482935508291</v>
      </c>
      <c r="N622" s="18">
        <f>IF($A622&gt;'1-Input'!$B$26,L622,L622-MIN(MAX(L622,0),'P-Parametri'!$B$8*(L622+K622)))</f>
        <v>339658.10663955368</v>
      </c>
      <c r="O622" s="18">
        <f>IF($A622&gt;'1-Input'!$B$26,O621,O621-J622*(1-I622))</f>
        <v>238622.27382509553</v>
      </c>
      <c r="P622" s="11">
        <f>IF($A622&gt;'1-Input'!$B$26,0,IF(U621&lt;=0,0,MAX(0,(U621-V621)/U621)))</f>
        <v>0.27810620218102144</v>
      </c>
      <c r="Q622" s="18">
        <f>IF($A622&gt;'1-Input'!$B$26,0,(MAX(0,P616-IF($A622&gt;='1-Input'!$C$12,'1-Input'!$B$13,0))-MIN(MAX(T621,0),MAX(0,P616-IF($A622&gt;='1-Input'!$C$12,'1-Input'!$B$13,0))))*(1/(1-'P-Parametri'!$B$6*P622))+MIN(MAX(0,U621-(MAX(0,P616-IF($A622&gt;='1-Input'!$C$12,'1-Input'!$B$13,0))-MIN(MAX(T621,0),MAX(0,P616-IF($A622&gt;='1-Input'!$C$12,'1-Input'!$B$13,0))))*(1/(1-'P-Parametri'!$B$6*P622))),MAX(0,2*P616-(T621-MIN(MAX(T621,0),MAX(0,P616-IF($A622&gt;='1-Input'!$C$12,'1-Input'!$B$13,0)))))*(1/(1-'P-Parametri'!$B$6*P622))))</f>
        <v>20572.690096393322</v>
      </c>
      <c r="R622" s="18">
        <f>IF($A622&gt;'1-Input'!$B$26,T621,(T621-MAX(0,P616-IF($A622&gt;='1-Input'!$C$12,'1-Input'!$B$13,0))+Q622*(1-'P-Parametri'!$B$6*P622))*(1+'1-Input'!$B$27))</f>
        <v>37760.964119681914</v>
      </c>
      <c r="S622" s="18">
        <f>IF($A622&gt;'1-Input'!$B$26,U621,(U621-Q622)*(1+'5-Roberta'!$C$4))</f>
        <v>361021.82036458963</v>
      </c>
      <c r="T622" s="18">
        <f>IF($A622&gt;'1-Input'!$B$26,R622,R622-'P-Parametri'!$B$8*(S622+R622)+MIN(MAX(S622,0),'P-Parametri'!$B$8*(S622+R622)))</f>
        <v>37760.964119681914</v>
      </c>
      <c r="U622" s="18">
        <f>IF($A622&gt;'1-Input'!$B$26,S622,S622-MIN(MAX(S622,0),'P-Parametri'!$B$8*(S622+R622)))</f>
        <v>360224.25479562109</v>
      </c>
      <c r="V622" s="18">
        <f>IF($A622&gt;'1-Input'!$B$26,V621,V621-Q622*(1-P622))</f>
        <v>253028.55630923758</v>
      </c>
      <c r="W622" s="11">
        <f>IF($A622&gt;'1-Input'!$B$26,0,IF(AB621&lt;=0,0,MAX(0,(AB621-AC621)/AB621)))</f>
        <v>0.27811462458709585</v>
      </c>
      <c r="X622" s="18">
        <f>IF($A622&gt;'1-Input'!$B$26,0,(MAX(0,W616-IF($A622&gt;='1-Input'!$C$12,'1-Input'!$B$13,0))-MIN(MAX(AA621,0),MAX(0,W616-IF($A622&gt;='1-Input'!$C$12,'1-Input'!$B$13,0))))*(1/(1-'P-Parametri'!$B$6*W622))+MIN(MAX(0,AB621-(MAX(0,W616-IF($A622&gt;='1-Input'!$C$12,'1-Input'!$B$13,0))-MIN(MAX(AA621,0),MAX(0,W616-IF($A622&gt;='1-Input'!$C$12,'1-Input'!$B$13,0))))*(1/(1-'P-Parametri'!$B$6*W622))),MAX(0,2*W616-(AA621-MIN(MAX(AA621,0),MAX(0,W616-IF($A622&gt;='1-Input'!$C$12,'1-Input'!$B$13,0)))))*(1/(1-'P-Parametri'!$B$6*W622))))</f>
        <v>20240.156051930888</v>
      </c>
      <c r="Y622" s="18">
        <f>IF($A622&gt;'1-Input'!$B$26,AA621,(AA621-MAX(0,W616-IF($A622&gt;='1-Input'!$C$12,'1-Input'!$B$13,0))+X622*(1-'P-Parametri'!$B$6*W622))*(1+'1-Input'!$B$27))</f>
        <v>37150.513557777522</v>
      </c>
      <c r="Z622" s="18">
        <f>IF($A622&gt;'1-Input'!$B$26,AB621,(AB621-X622)*(1+'5-Roberta'!$C$4))</f>
        <v>363124.78133601329</v>
      </c>
      <c r="AA622" s="18">
        <f>IF($A622&gt;'1-Input'!$B$26,Y622,Y622-'P-Parametri'!$B$8*(Z622+Y622)+MIN(MAX(Z622,0),'P-Parametri'!$B$8*(Z622+Y622)))</f>
        <v>37150.513557777522</v>
      </c>
      <c r="AB622" s="18">
        <f>IF($A622&gt;'1-Input'!$B$26,Z622,Z622-MIN(MAX(Z622,0),'P-Parametri'!$B$8*(Z622+Y622)))</f>
        <v>362324.23074622569</v>
      </c>
      <c r="AC622" s="18">
        <f>IF($A622&gt;'1-Input'!$B$26,AC621,AC621-X622*(1-W622))</f>
        <v>254499.4845596861</v>
      </c>
      <c r="AD622" s="11">
        <f>IF($A622&gt;'1-Input'!$B$26,0,IF(AI621&lt;=0,0,MAX(0,(AI621-AJ621)/AI621)))</f>
        <v>0.27811531016142788</v>
      </c>
      <c r="AE622" s="18">
        <f>IF($A622&gt;'1-Input'!$B$26,0,(MAX(0,AD616-IF($A622&gt;='1-Input'!$C$12,'1-Input'!$B$13,0))-MIN(MAX(AH621,0),MAX(0,AD616-IF($A622&gt;='1-Input'!$C$12,'1-Input'!$B$13,0))))*(1/(1-'P-Parametri'!$B$6*AD622))+MIN(MAX(0,AI621-(MAX(0,AD616-IF($A622&gt;='1-Input'!$C$12,'1-Input'!$B$13,0))-MIN(MAX(AH621,0),MAX(0,AD616-IF($A622&gt;='1-Input'!$C$12,'1-Input'!$B$13,0))))*(1/(1-'P-Parametri'!$B$6*AD622))),MAX(0,2*AD616-(AH621-MIN(MAX(AH621,0),MAX(0,AD616-IF($A622&gt;='1-Input'!$C$12,'1-Input'!$B$13,0)))))*(1/(1-'P-Parametri'!$B$6*AD622))))</f>
        <v>20212.983263473234</v>
      </c>
      <c r="AF622" s="18">
        <f>IF($A622&gt;'1-Input'!$B$26,AH621,(AH621-MAX(0,AD616-IF($A622&gt;='1-Input'!$C$12,'1-Input'!$B$13,0))+AE622*(1-'P-Parametri'!$B$6*AD622))*(1+'1-Input'!$B$27))</f>
        <v>37100.63116912049</v>
      </c>
      <c r="AG622" s="18">
        <f>IF($A622&gt;'1-Input'!$B$26,AI621,(AI621-AE622)*(1+'5-Roberta'!$C$4))</f>
        <v>363296.62296803738</v>
      </c>
      <c r="AH622" s="18">
        <f>IF($A622&gt;'1-Input'!$B$26,AF622,AF622-'P-Parametri'!$B$8*(AG622+AF622)+MIN(MAX(AG622,0),'P-Parametri'!$B$8*(AG622+AF622)))</f>
        <v>37100.63116912049</v>
      </c>
      <c r="AI622" s="18">
        <f>IF($A622&gt;'1-Input'!$B$26,AG622,AG622-MIN(MAX(AG622,0),'P-Parametri'!$B$8*(AG622+AF622)))</f>
        <v>362495.82845976308</v>
      </c>
      <c r="AJ622" s="18">
        <f>IF($A622&gt;'1-Input'!$B$26,AJ621,AJ621-AE622*(1-AD622))</f>
        <v>254619.67960260421</v>
      </c>
      <c r="AK622" s="11">
        <f>IF($A622&gt;'1-Input'!$B$26,0,IF(AP621&lt;=0,0,MAX(0,(AP621-AQ621)/AP621)))</f>
        <v>0.27811531150035351</v>
      </c>
      <c r="AL622" s="18">
        <f>IF($A622&gt;'1-Input'!$B$26,0,(MAX(0,AK616-IF($A622&gt;='1-Input'!$C$12,'1-Input'!$B$13,0))-MIN(MAX(AO621,0),MAX(0,AK616-IF($A622&gt;='1-Input'!$C$12,'1-Input'!$B$13,0))))*(1/(1-'P-Parametri'!$B$6*AK622))+MIN(MAX(0,AP621-(MAX(0,AK616-IF($A622&gt;='1-Input'!$C$12,'1-Input'!$B$13,0))-MIN(MAX(AO621,0),MAX(0,AK616-IF($A622&gt;='1-Input'!$C$12,'1-Input'!$B$13,0))))*(1/(1-'P-Parametri'!$B$6*AK622))),MAX(0,2*AK616-(AO621-MIN(MAX(AO621,0),MAX(0,AK616-IF($A622&gt;='1-Input'!$C$12,'1-Input'!$B$13,0)))))*(1/(1-'P-Parametri'!$B$6*AK622))))</f>
        <v>20212.930179553048</v>
      </c>
      <c r="AM622" s="18">
        <f>IF($A622&gt;'1-Input'!$B$26,AO621,(AO621-MAX(0,AK616-IF($A622&gt;='1-Input'!$C$12,'1-Input'!$B$13,0))+AL622*(1-'P-Parametri'!$B$6*AK622))*(1+'1-Input'!$B$27))</f>
        <v>37100.533720449668</v>
      </c>
      <c r="AN622" s="18">
        <f>IF($A622&gt;'1-Input'!$B$26,AP621,(AP621-AL622)*(1+'5-Roberta'!$C$4))</f>
        <v>363296.95867248817</v>
      </c>
      <c r="AO622" s="18">
        <f>IF($A622&gt;'1-Input'!$B$26,AM622,AM622-'P-Parametri'!$B$8*(AN622+AM622)+MIN(MAX(AN622,0),'P-Parametri'!$B$8*(AN622+AM622)))</f>
        <v>37100.533720449668</v>
      </c>
      <c r="AP622" s="18">
        <f>IF($A622&gt;'1-Input'!$B$26,AN622,AN622-MIN(MAX(AN622,0),'P-Parametri'!$B$8*(AN622+AM622)))</f>
        <v>362496.16368770227</v>
      </c>
      <c r="AQ622" s="18">
        <f>IF($A622&gt;'1-Input'!$B$26,AQ621,AQ621-AL622*(1-AK622))</f>
        <v>254619.91441180391</v>
      </c>
    </row>
    <row r="623" spans="1:43">
      <c r="A623" s="10">
        <f>5</f>
        <v>5</v>
      </c>
      <c r="B623" s="11">
        <f>IF($A623&gt;'1-Input'!$B$26,0,IF(G622&lt;=0,0,MAX(0,(G622-H622)/G622)))</f>
        <v>0.29766275073940512</v>
      </c>
      <c r="C623" s="18">
        <f>IF($A623&gt;'1-Input'!$B$26,0,(MAX(0,B616-IF($A623&gt;='1-Input'!$C$12,'1-Input'!$B$13,0))-MIN(MAX(F622,0),MAX(0,B616-IF($A623&gt;='1-Input'!$C$12,'1-Input'!$B$13,0))))*(1/(1-'P-Parametri'!$B$6*B623))+MIN(MAX(0,G622-(MAX(0,B616-IF($A623&gt;='1-Input'!$C$12,'1-Input'!$B$13,0))-MIN(MAX(F622,0),MAX(0,B616-IF($A623&gt;='1-Input'!$C$12,'1-Input'!$B$13,0))))*(1/(1-'P-Parametri'!$B$6*B623))),MAX(0,2*B616-(F622-MIN(MAX(F622,0),MAX(0,B616-IF($A623&gt;='1-Input'!$C$12,'1-Input'!$B$13,0)))))*(1/(1-'P-Parametri'!$B$6*B623))))</f>
        <v>18210.512647520372</v>
      </c>
      <c r="D623" s="18">
        <f>IF($A623&gt;'1-Input'!$B$26,F622,(F622-MAX(0,B616-IF($A623&gt;='1-Input'!$C$12,'1-Input'!$B$13,0))+C623*(1-'P-Parametri'!$B$6*B623))*(1+'1-Input'!$B$27))</f>
        <v>33242.0070309863</v>
      </c>
      <c r="E623" s="18">
        <f>IF($A623&gt;'1-Input'!$B$26,G622,(G622-C623)*(1+'5-Roberta'!$C$4))</f>
        <v>368286.01386604673</v>
      </c>
      <c r="F623" s="18">
        <f>IF($A623&gt;'1-Input'!$B$26,D623,D623-'P-Parametri'!$B$8*(E623+D623)+MIN(MAX(E623,0),'P-Parametri'!$B$8*(E623+D623)))</f>
        <v>33242.0070309863</v>
      </c>
      <c r="G623" s="18">
        <f>IF($A623&gt;'1-Input'!$B$26,E623,E623-MIN(MAX(E623,0),'P-Parametri'!$B$8*(E623+D623)))</f>
        <v>367482.95782425266</v>
      </c>
      <c r="H623" s="18">
        <f>IF($A623&gt;'1-Input'!$B$26,H622,H622-C623*(1-B623))</f>
        <v>251127.17079595005</v>
      </c>
      <c r="I623" s="11">
        <f>IF($A623&gt;'1-Input'!$B$26,0,IF(N622&lt;=0,0,MAX(0,(N622-O622)/N622)))</f>
        <v>0.29746333398035957</v>
      </c>
      <c r="J623" s="18">
        <f>IF($A623&gt;'1-Input'!$B$26,0,(MAX(0,I616-IF($A623&gt;='1-Input'!$C$12,'1-Input'!$B$13,0))-MIN(MAX(M622,0),MAX(0,I616-IF($A623&gt;='1-Input'!$C$12,'1-Input'!$B$13,0))))*(1/(1-'P-Parametri'!$B$6*I623))+MIN(MAX(0,N622-(MAX(0,I616-IF($A623&gt;='1-Input'!$C$12,'1-Input'!$B$13,0))-MIN(MAX(M622,0),MAX(0,I616-IF($A623&gt;='1-Input'!$C$12,'1-Input'!$B$13,0))))*(1/(1-'P-Parametri'!$B$6*I623))),MAX(0,2*I616-(M622-MIN(MAX(M622,0),MAX(0,I616-IF($A623&gt;='1-Input'!$C$12,'1-Input'!$B$13,0)))))*(1/(1-'P-Parametri'!$B$6*I623))))</f>
        <v>23959.854365176598</v>
      </c>
      <c r="K623" s="18">
        <f>IF($A623&gt;'1-Input'!$B$26,M622,(M622-MAX(0,I616-IF($A623&gt;='1-Input'!$C$12,'1-Input'!$B$13,0))+J623*(1-'P-Parametri'!$B$6*I623))*(1+'1-Input'!$B$27))</f>
        <v>43739.482935508291</v>
      </c>
      <c r="L623" s="18">
        <f>IF($A623&gt;'1-Input'!$B$26,N622,(N622-J623)*(1+'5-Roberta'!$C$4))</f>
        <v>325169.19984260842</v>
      </c>
      <c r="M623" s="18">
        <f>IF($A623&gt;'1-Input'!$B$26,K623,K623-'P-Parametri'!$B$8*(L623+K623)+MIN(MAX(L623,0),'P-Parametri'!$B$8*(L623+K623)))</f>
        <v>43739.482935508291</v>
      </c>
      <c r="N623" s="18">
        <f>IF($A623&gt;'1-Input'!$B$26,L623,L623-MIN(MAX(L623,0),'P-Parametri'!$B$8*(L623+K623)))</f>
        <v>324431.38247705216</v>
      </c>
      <c r="O623" s="18">
        <f>IF($A623&gt;'1-Input'!$B$26,O622,O622-J623*(1-I623))</f>
        <v>221789.59762106824</v>
      </c>
      <c r="P623" s="11">
        <f>IF($A623&gt;'1-Input'!$B$26,0,IF(U622&lt;=0,0,MAX(0,(U622-V622)/U622)))</f>
        <v>0.29758045733817307</v>
      </c>
      <c r="Q623" s="18">
        <f>IF($A623&gt;'1-Input'!$B$26,0,(MAX(0,P616-IF($A623&gt;='1-Input'!$C$12,'1-Input'!$B$13,0))-MIN(MAX(T622,0),MAX(0,P616-IF($A623&gt;='1-Input'!$C$12,'1-Input'!$B$13,0))))*(1/(1-'P-Parametri'!$B$6*P623))+MIN(MAX(0,U622-(MAX(0,P616-IF($A623&gt;='1-Input'!$C$12,'1-Input'!$B$13,0))-MIN(MAX(T622,0),MAX(0,P616-IF($A623&gt;='1-Input'!$C$12,'1-Input'!$B$13,0))))*(1/(1-'P-Parametri'!$B$6*P623))),MAX(0,2*P616-(T622-MIN(MAX(T622,0),MAX(0,P616-IF($A623&gt;='1-Input'!$C$12,'1-Input'!$B$13,0)))))*(1/(1-'P-Parametri'!$B$6*P623))))</f>
        <v>20685.591189962044</v>
      </c>
      <c r="R623" s="18">
        <f>IF($A623&gt;'1-Input'!$B$26,T622,(T622-MAX(0,P616-IF($A623&gt;='1-Input'!$C$12,'1-Input'!$B$13,0))+Q623*(1-'P-Parametri'!$B$6*P623))*(1+'1-Input'!$B$27))</f>
        <v>37760.964119681914</v>
      </c>
      <c r="S623" s="18">
        <f>IF($A623&gt;'1-Input'!$B$26,U622,(U622-Q623)*(1+'5-Roberta'!$C$4))</f>
        <v>349724.8235138288</v>
      </c>
      <c r="T623" s="18">
        <f>IF($A623&gt;'1-Input'!$B$26,R623,R623-'P-Parametri'!$B$8*(S623+R623)+MIN(MAX(S623,0),'P-Parametri'!$B$8*(S623+R623)))</f>
        <v>37760.964119681914</v>
      </c>
      <c r="U623" s="18">
        <f>IF($A623&gt;'1-Input'!$B$26,S623,S623-MIN(MAX(S623,0),'P-Parametri'!$B$8*(S623+R623)))</f>
        <v>348949.85193856177</v>
      </c>
      <c r="V623" s="18">
        <f>IF($A623&gt;'1-Input'!$B$26,V622,V622-Q623*(1-P623))</f>
        <v>238498.59280589494</v>
      </c>
      <c r="W623" s="11">
        <f>IF($A623&gt;'1-Input'!$B$26,0,IF(AB622&lt;=0,0,MAX(0,(AB622-AC622)/AB622)))</f>
        <v>0.2975918722423529</v>
      </c>
      <c r="X623" s="18">
        <f>IF($A623&gt;'1-Input'!$B$26,0,(MAX(0,W616-IF($A623&gt;='1-Input'!$C$12,'1-Input'!$B$13,0))-MIN(MAX(AA622,0),MAX(0,W616-IF($A623&gt;='1-Input'!$C$12,'1-Input'!$B$13,0))))*(1/(1-'P-Parametri'!$B$6*W623))+MIN(MAX(0,AB622-(MAX(0,W616-IF($A623&gt;='1-Input'!$C$12,'1-Input'!$B$13,0))-MIN(MAX(AA622,0),MAX(0,W616-IF($A623&gt;='1-Input'!$C$12,'1-Input'!$B$13,0))))*(1/(1-'P-Parametri'!$B$6*W623))),MAX(0,2*W616-(AA622-MIN(MAX(AA622,0),MAX(0,W616-IF($A623&gt;='1-Input'!$C$12,'1-Input'!$B$13,0)))))*(1/(1-'P-Parametri'!$B$6*W623))))</f>
        <v>20351.249654044295</v>
      </c>
      <c r="Y623" s="18">
        <f>IF($A623&gt;'1-Input'!$B$26,AA622,(AA622-MAX(0,W616-IF($A623&gt;='1-Input'!$C$12,'1-Input'!$B$13,0))+X623*(1-'P-Parametri'!$B$6*W623))*(1+'1-Input'!$B$27))</f>
        <v>37150.513557777515</v>
      </c>
      <c r="Z623" s="18">
        <f>IF($A623&gt;'1-Input'!$B$26,AB622,(AB622-X623)*(1+'5-Roberta'!$C$4))</f>
        <v>352232.17052494688</v>
      </c>
      <c r="AA623" s="18">
        <f>IF($A623&gt;'1-Input'!$B$26,Y623,Y623-'P-Parametri'!$B$8*(Z623+Y623)+MIN(MAX(Z623,0),'P-Parametri'!$B$8*(Z623+Y623)))</f>
        <v>37150.513557777515</v>
      </c>
      <c r="AB623" s="18">
        <f>IF($A623&gt;'1-Input'!$B$26,Z623,Z623-MIN(MAX(Z623,0),'P-Parametri'!$B$8*(Z623+Y623)))</f>
        <v>351453.40515678143</v>
      </c>
      <c r="AC623" s="18">
        <f>IF($A623&gt;'1-Input'!$B$26,AC622,AC622-X623*(1-W623))</f>
        <v>240204.60139266038</v>
      </c>
      <c r="AD623" s="11">
        <f>IF($A623&gt;'1-Input'!$B$26,0,IF(AI622&lt;=0,0,MAX(0,(AI622-AJ622)/AI622)))</f>
        <v>0.2975928007655213</v>
      </c>
      <c r="AE623" s="18">
        <f>IF($A623&gt;'1-Input'!$B$26,0,(MAX(0,AD616-IF($A623&gt;='1-Input'!$C$12,'1-Input'!$B$13,0))-MIN(MAX(AH622,0),MAX(0,AD616-IF($A623&gt;='1-Input'!$C$12,'1-Input'!$B$13,0))))*(1/(1-'P-Parametri'!$B$6*AD623))+MIN(MAX(0,AI622-(MAX(0,AD616-IF($A623&gt;='1-Input'!$C$12,'1-Input'!$B$13,0))-MIN(MAX(AH622,0),MAX(0,AD616-IF($A623&gt;='1-Input'!$C$12,'1-Input'!$B$13,0))))*(1/(1-'P-Parametri'!$B$6*AD623))),MAX(0,2*AD616-(AH622-MIN(MAX(AH622,0),MAX(0,AD616-IF($A623&gt;='1-Input'!$C$12,'1-Input'!$B$13,0)))))*(1/(1-'P-Parametri'!$B$6*AD623))))</f>
        <v>20323.929133238275</v>
      </c>
      <c r="AF623" s="18">
        <f>IF($A623&gt;'1-Input'!$B$26,AH622,(AH622-MAX(0,AD616-IF($A623&gt;='1-Input'!$C$12,'1-Input'!$B$13,0))+AE623*(1-'P-Parametri'!$B$6*AD623))*(1+'1-Input'!$B$27))</f>
        <v>37100.631169120476</v>
      </c>
      <c r="AG623" s="18">
        <f>IF($A623&gt;'1-Input'!$B$26,AI622,(AI622-AE623)*(1+'5-Roberta'!$C$4))</f>
        <v>352437.05630632059</v>
      </c>
      <c r="AH623" s="18">
        <f>IF($A623&gt;'1-Input'!$B$26,AF623,AF623-'P-Parametri'!$B$8*(AG623+AF623)+MIN(MAX(AG623,0),'P-Parametri'!$B$8*(AG623+AF623)))</f>
        <v>37100.631169120476</v>
      </c>
      <c r="AI623" s="18">
        <f>IF($A623&gt;'1-Input'!$B$26,AG623,AG623-MIN(MAX(AG623,0),'P-Parametri'!$B$8*(AG623+AF623)))</f>
        <v>351657.9809313697</v>
      </c>
      <c r="AJ623" s="18">
        <f>IF($A623&gt;'1-Input'!$B$26,AJ622,AJ622-AE623*(1-AD623))</f>
        <v>240344.0054626863</v>
      </c>
      <c r="AK623" s="11">
        <f>IF($A623&gt;'1-Input'!$B$26,0,IF(AP622&lt;=0,0,MAX(0,(AP622-AQ622)/AP622)))</f>
        <v>0.29759280257883203</v>
      </c>
      <c r="AL623" s="18">
        <f>IF($A623&gt;'1-Input'!$B$26,0,(MAX(0,AK616-IF($A623&gt;='1-Input'!$C$12,'1-Input'!$B$13,0))-MIN(MAX(AO622,0),MAX(0,AK616-IF($A623&gt;='1-Input'!$C$12,'1-Input'!$B$13,0))))*(1/(1-'P-Parametri'!$B$6*AK623))+MIN(MAX(0,AP622-(MAX(0,AK616-IF($A623&gt;='1-Input'!$C$12,'1-Input'!$B$13,0))-MIN(MAX(AO622,0),MAX(0,AK616-IF($A623&gt;='1-Input'!$C$12,'1-Input'!$B$13,0))))*(1/(1-'P-Parametri'!$B$6*AK623))),MAX(0,2*AK616-(AO622-MIN(MAX(AO622,0),MAX(0,AK616-IF($A623&gt;='1-Input'!$C$12,'1-Input'!$B$13,0)))))*(1/(1-'P-Parametri'!$B$6*AK623))))</f>
        <v>20323.875760707688</v>
      </c>
      <c r="AM623" s="18">
        <f>IF($A623&gt;'1-Input'!$B$26,AO622,(AO622-MAX(0,AK616-IF($A623&gt;='1-Input'!$C$12,'1-Input'!$B$13,0))+AL623*(1-'P-Parametri'!$B$6*AK623))*(1+'1-Input'!$B$27))</f>
        <v>37100.533720449668</v>
      </c>
      <c r="AN623" s="18">
        <f>IF($A623&gt;'1-Input'!$B$26,AP622,(AP622-AL623)*(1+'5-Roberta'!$C$4))</f>
        <v>352437.45656480442</v>
      </c>
      <c r="AO623" s="18">
        <f>IF($A623&gt;'1-Input'!$B$26,AM623,AM623-'P-Parametri'!$B$8*(AN623+AM623)+MIN(MAX(AN623,0),'P-Parametri'!$B$8*(AN623+AM623)))</f>
        <v>37100.533720449668</v>
      </c>
      <c r="AP623" s="18">
        <f>IF($A623&gt;'1-Input'!$B$26,AN623,AN623-MIN(MAX(AN623,0),'P-Parametri'!$B$8*(AN623+AM623)))</f>
        <v>351658.38058423391</v>
      </c>
      <c r="AQ623" s="18">
        <f>IF($A623&gt;'1-Input'!$B$26,AQ622,AQ622-AL623*(1-AK623))</f>
        <v>240344.27779798923</v>
      </c>
    </row>
    <row r="624" spans="1:43">
      <c r="A624" s="10">
        <f>6</f>
        <v>6</v>
      </c>
      <c r="B624" s="11">
        <f>IF($A624&gt;'1-Input'!$B$26,0,IF(G623&lt;=0,0,MAX(0,(G623-H623)/G623)))</f>
        <v>0.31662906959606363</v>
      </c>
      <c r="C624" s="18">
        <f>IF($A624&gt;'1-Input'!$B$26,0,(MAX(0,B616-IF($A624&gt;='1-Input'!$C$12,'1-Input'!$B$13,0))-MIN(MAX(F623,0),MAX(0,B616-IF($A624&gt;='1-Input'!$C$12,'1-Input'!$B$13,0))))*(1/(1-'P-Parametri'!$B$6*B624))+MIN(MAX(0,G623-(MAX(0,B616-IF($A624&gt;='1-Input'!$C$12,'1-Input'!$B$13,0))-MIN(MAX(F623,0),MAX(0,B616-IF($A624&gt;='1-Input'!$C$12,'1-Input'!$B$13,0))))*(1/(1-'P-Parametri'!$B$6*B624))),MAX(0,2*B616-(F623-MIN(MAX(F623,0),MAX(0,B616-IF($A624&gt;='1-Input'!$C$12,'1-Input'!$B$13,0)))))*(1/(1-'P-Parametri'!$B$6*B624))))</f>
        <v>18308.368991159059</v>
      </c>
      <c r="D624" s="18">
        <f>IF($A624&gt;'1-Input'!$B$26,F623,(F623-MAX(0,B616-IF($A624&gt;='1-Input'!$C$12,'1-Input'!$B$13,0))+C624*(1-'P-Parametri'!$B$6*B624))*(1+'1-Input'!$B$27))</f>
        <v>33242.0070309863</v>
      </c>
      <c r="E624" s="18">
        <f>IF($A624&gt;'1-Input'!$B$26,G623,(G623-C624)*(1+'5-Roberta'!$C$4))</f>
        <v>359649.82649808639</v>
      </c>
      <c r="F624" s="18">
        <f>IF($A624&gt;'1-Input'!$B$26,D624,D624-'P-Parametri'!$B$8*(E624+D624)+MIN(MAX(E624,0),'P-Parametri'!$B$8*(E624+D624)))</f>
        <v>33242.0070309863</v>
      </c>
      <c r="G624" s="18">
        <f>IF($A624&gt;'1-Input'!$B$26,E624,E624-MIN(MAX(E624,0),'P-Parametri'!$B$8*(E624+D624)))</f>
        <v>358864.04283102823</v>
      </c>
      <c r="H624" s="18">
        <f>IF($A624&gt;'1-Input'!$B$26,H623,H623-C624*(1-B624))</f>
        <v>238615.76364428311</v>
      </c>
      <c r="I624" s="11">
        <f>IF($A624&gt;'1-Input'!$B$26,0,IF(N623&lt;=0,0,MAX(0,(N623-O623)/N623)))</f>
        <v>0.31637440272364536</v>
      </c>
      <c r="J624" s="18">
        <f>IF($A624&gt;'1-Input'!$B$26,0,(MAX(0,I616-IF($A624&gt;='1-Input'!$C$12,'1-Input'!$B$13,0))-MIN(MAX(M623,0),MAX(0,I616-IF($A624&gt;='1-Input'!$C$12,'1-Input'!$B$13,0))))*(1/(1-'P-Parametri'!$B$6*I624))+MIN(MAX(0,N623-(MAX(0,I616-IF($A624&gt;='1-Input'!$C$12,'1-Input'!$B$13,0))-MIN(MAX(M623,0),MAX(0,I616-IF($A624&gt;='1-Input'!$C$12,'1-Input'!$B$13,0))))*(1/(1-'P-Parametri'!$B$6*I624))),MAX(0,2*I616-(M623-MIN(MAX(M623,0),MAX(0,I616-IF($A624&gt;='1-Input'!$C$12,'1-Input'!$B$13,0)))))*(1/(1-'P-Parametri'!$B$6*I624))))</f>
        <v>24088.221154161765</v>
      </c>
      <c r="K624" s="18">
        <f>IF($A624&gt;'1-Input'!$B$26,M623,(M623-MAX(0,I616-IF($A624&gt;='1-Input'!$C$12,'1-Input'!$B$13,0))+J624*(1-'P-Parametri'!$B$6*I624))*(1+'1-Input'!$B$27))</f>
        <v>43739.482935508291</v>
      </c>
      <c r="L624" s="18">
        <f>IF($A624&gt;'1-Input'!$B$26,N623,(N623-J624)*(1+'5-Roberta'!$C$4))</f>
        <v>309353.45616257709</v>
      </c>
      <c r="M624" s="18">
        <f>IF($A624&gt;'1-Input'!$B$26,K624,K624-'P-Parametri'!$B$8*(L624+K624)+MIN(MAX(L624,0),'P-Parametri'!$B$8*(L624+K624)))</f>
        <v>43739.482935508291</v>
      </c>
      <c r="N624" s="18">
        <f>IF($A624&gt;'1-Input'!$B$26,L624,L624-MIN(MAX(L624,0),'P-Parametri'!$B$8*(L624+K624)))</f>
        <v>308647.27028438094</v>
      </c>
      <c r="O624" s="18">
        <f>IF($A624&gt;'1-Input'!$B$26,O623,O623-J624*(1-I624))</f>
        <v>205322.27304722948</v>
      </c>
      <c r="P624" s="11">
        <f>IF($A624&gt;'1-Input'!$B$26,0,IF(U623&lt;=0,0,MAX(0,(U623-V623)/U623)))</f>
        <v>0.31652473419622928</v>
      </c>
      <c r="Q624" s="18">
        <f>IF($A624&gt;'1-Input'!$B$26,0,(MAX(0,P616-IF($A624&gt;='1-Input'!$C$12,'1-Input'!$B$13,0))-MIN(MAX(T623,0),MAX(0,P616-IF($A624&gt;='1-Input'!$C$12,'1-Input'!$B$13,0))))*(1/(1-'P-Parametri'!$B$6*P624))+MIN(MAX(0,U623-(MAX(0,P616-IF($A624&gt;='1-Input'!$C$12,'1-Input'!$B$13,0))-MIN(MAX(T623,0),MAX(0,P616-IF($A624&gt;='1-Input'!$C$12,'1-Input'!$B$13,0))))*(1/(1-'P-Parametri'!$B$6*P624))),MAX(0,2*P616-(T623-MIN(MAX(T623,0),MAX(0,P616-IF($A624&gt;='1-Input'!$C$12,'1-Input'!$B$13,0)))))*(1/(1-'P-Parametri'!$B$6*P624))))</f>
        <v>20796.615196747243</v>
      </c>
      <c r="R624" s="18">
        <f>IF($A624&gt;'1-Input'!$B$26,T623,(T623-MAX(0,P616-IF($A624&gt;='1-Input'!$C$12,'1-Input'!$B$13,0))+Q624*(1-'P-Parametri'!$B$6*P624))*(1+'1-Input'!$B$27))</f>
        <v>37760.964119681914</v>
      </c>
      <c r="S624" s="18">
        <f>IF($A624&gt;'1-Input'!$B$26,U623,(U623-Q624)*(1+'5-Roberta'!$C$4))</f>
        <v>337997.83384406898</v>
      </c>
      <c r="T624" s="18">
        <f>IF($A624&gt;'1-Input'!$B$26,R624,R624-'P-Parametri'!$B$8*(S624+R624)+MIN(MAX(S624,0),'P-Parametri'!$B$8*(S624+R624)))</f>
        <v>37760.964119681914</v>
      </c>
      <c r="U624" s="18">
        <f>IF($A624&gt;'1-Input'!$B$26,S624,S624-MIN(MAX(S624,0),'P-Parametri'!$B$8*(S624+R624)))</f>
        <v>337246.31624814146</v>
      </c>
      <c r="V624" s="18">
        <f>IF($A624&gt;'1-Input'!$B$26,V623,V623-Q624*(1-P624))</f>
        <v>224284.62070647939</v>
      </c>
      <c r="W624" s="11">
        <f>IF($A624&gt;'1-Input'!$B$26,0,IF(AB623&lt;=0,0,MAX(0,(AB623-AC623)/AB623)))</f>
        <v>0.31653926845435904</v>
      </c>
      <c r="X624" s="18">
        <f>IF($A624&gt;'1-Input'!$B$26,0,(MAX(0,W616-IF($A624&gt;='1-Input'!$C$12,'1-Input'!$B$13,0))-MIN(MAX(AA623,0),MAX(0,W616-IF($A624&gt;='1-Input'!$C$12,'1-Input'!$B$13,0))))*(1/(1-'P-Parametri'!$B$6*W624))+MIN(MAX(0,AB623-(MAX(0,W616-IF($A624&gt;='1-Input'!$C$12,'1-Input'!$B$13,0))-MIN(MAX(AA623,0),MAX(0,W616-IF($A624&gt;='1-Input'!$C$12,'1-Input'!$B$13,0))))*(1/(1-'P-Parametri'!$B$6*W624))),MAX(0,2*W616-(AA623-MIN(MAX(AA623,0),MAX(0,W616-IF($A624&gt;='1-Input'!$C$12,'1-Input'!$B$13,0)))))*(1/(1-'P-Parametri'!$B$6*W624))))</f>
        <v>20460.497613592332</v>
      </c>
      <c r="Y624" s="18">
        <f>IF($A624&gt;'1-Input'!$B$26,AA623,(AA623-MAX(0,W616-IF($A624&gt;='1-Input'!$C$12,'1-Input'!$B$13,0))+X624*(1-'P-Parametri'!$B$6*W624))*(1+'1-Input'!$B$27))</f>
        <v>37150.513557777522</v>
      </c>
      <c r="Z624" s="18">
        <f>IF($A624&gt;'1-Input'!$B$26,AB623,(AB623-X624)*(1+'5-Roberta'!$C$4))</f>
        <v>340922.69476948481</v>
      </c>
      <c r="AA624" s="18">
        <f>IF($A624&gt;'1-Input'!$B$26,Y624,Y624-'P-Parametri'!$B$8*(Z624+Y624)+MIN(MAX(Z624,0),'P-Parametri'!$B$8*(Z624+Y624)))</f>
        <v>37150.513557777522</v>
      </c>
      <c r="AB624" s="18">
        <f>IF($A624&gt;'1-Input'!$B$26,Z624,Z624-MIN(MAX(Z624,0),'P-Parametri'!$B$8*(Z624+Y624)))</f>
        <v>340166.54835283029</v>
      </c>
      <c r="AC624" s="18">
        <f>IF($A624&gt;'1-Input'!$B$26,AC623,AC623-X624*(1-W624))</f>
        <v>226220.65472588674</v>
      </c>
      <c r="AD624" s="11">
        <f>IF($A624&gt;'1-Input'!$B$26,0,IF(AI623&lt;=0,0,MAX(0,(AI623-AJ623)/AI623)))</f>
        <v>0.31654044982533092</v>
      </c>
      <c r="AE624" s="18">
        <f>IF($A624&gt;'1-Input'!$B$26,0,(MAX(0,AD616-IF($A624&gt;='1-Input'!$C$12,'1-Input'!$B$13,0))-MIN(MAX(AH623,0),MAX(0,AD616-IF($A624&gt;='1-Input'!$C$12,'1-Input'!$B$13,0))))*(1/(1-'P-Parametri'!$B$6*AD624))+MIN(MAX(0,AI623-(MAX(0,AD616-IF($A624&gt;='1-Input'!$C$12,'1-Input'!$B$13,0))-MIN(MAX(AH623,0),MAX(0,AD616-IF($A624&gt;='1-Input'!$C$12,'1-Input'!$B$13,0))))*(1/(1-'P-Parametri'!$B$6*AD624))),MAX(0,2*AD616-(AH623-MIN(MAX(AH623,0),MAX(0,AD616-IF($A624&gt;='1-Input'!$C$12,'1-Input'!$B$13,0)))))*(1/(1-'P-Parametri'!$B$6*AD624))))</f>
        <v>20433.031925383631</v>
      </c>
      <c r="AF624" s="18">
        <f>IF($A624&gt;'1-Input'!$B$26,AH623,(AH623-MAX(0,AD616-IF($A624&gt;='1-Input'!$C$12,'1-Input'!$B$13,0))+AE624*(1-'P-Parametri'!$B$6*AD624))*(1+'1-Input'!$B$27))</f>
        <v>37100.631169120476</v>
      </c>
      <c r="AG624" s="18">
        <f>IF($A624&gt;'1-Input'!$B$26,AI623,(AI623-AE624)*(1+'5-Roberta'!$C$4))</f>
        <v>341161.69747616572</v>
      </c>
      <c r="AH624" s="18">
        <f>IF($A624&gt;'1-Input'!$B$26,AF624,AF624-'P-Parametri'!$B$8*(AG624+AF624)+MIN(MAX(AG624,0),'P-Parametri'!$B$8*(AG624+AF624)))</f>
        <v>37100.631169120476</v>
      </c>
      <c r="AI624" s="18">
        <f>IF($A624&gt;'1-Input'!$B$26,AG624,AG624-MIN(MAX(AG624,0),'P-Parametri'!$B$8*(AG624+AF624)))</f>
        <v>340405.17281887517</v>
      </c>
      <c r="AJ624" s="18">
        <f>IF($A624&gt;'1-Input'!$B$26,AJ623,AJ623-AE624*(1-AD624))</f>
        <v>226378.85465425896</v>
      </c>
      <c r="AK624" s="11">
        <f>IF($A624&gt;'1-Input'!$B$26,0,IF(AP623&lt;=0,0,MAX(0,(AP623-AQ623)/AP623)))</f>
        <v>0.31654045213229676</v>
      </c>
      <c r="AL624" s="18">
        <f>IF($A624&gt;'1-Input'!$B$26,0,(MAX(0,AK616-IF($A624&gt;='1-Input'!$C$12,'1-Input'!$B$13,0))-MIN(MAX(AO623,0),MAX(0,AK616-IF($A624&gt;='1-Input'!$C$12,'1-Input'!$B$13,0))))*(1/(1-'P-Parametri'!$B$6*AK624))+MIN(MAX(0,AP623-(MAX(0,AK616-IF($A624&gt;='1-Input'!$C$12,'1-Input'!$B$13,0))-MIN(MAX(AO623,0),MAX(0,AK616-IF($A624&gt;='1-Input'!$C$12,'1-Input'!$B$13,0))))*(1/(1-'P-Parametri'!$B$6*AK624))),MAX(0,2*AK616-(AO623-MIN(MAX(AO623,0),MAX(0,AK616-IF($A624&gt;='1-Input'!$C$12,'1-Input'!$B$13,0)))))*(1/(1-'P-Parametri'!$B$6*AK624))))</f>
        <v>20432.978269252762</v>
      </c>
      <c r="AM624" s="18">
        <f>IF($A624&gt;'1-Input'!$B$26,AO623,(AO623-MAX(0,AK616-IF($A624&gt;='1-Input'!$C$12,'1-Input'!$B$13,0))+AL624*(1-'P-Parametri'!$B$6*AK624))*(1+'1-Input'!$B$27))</f>
        <v>37100.533720449661</v>
      </c>
      <c r="AN624" s="18">
        <f>IF($A624&gt;'1-Input'!$B$26,AP623,(AP623-AL624)*(1+'5-Roberta'!$C$4))</f>
        <v>341162.16438443062</v>
      </c>
      <c r="AO624" s="18">
        <f>IF($A624&gt;'1-Input'!$B$26,AM624,AM624-'P-Parametri'!$B$8*(AN624+AM624)+MIN(MAX(AN624,0),'P-Parametri'!$B$8*(AN624+AM624)))</f>
        <v>37100.533720449661</v>
      </c>
      <c r="AP624" s="18">
        <f>IF($A624&gt;'1-Input'!$B$26,AN624,AN624-MIN(MAX(AN624,0),'P-Parametri'!$B$8*(AN624+AM624)))</f>
        <v>340405.63898822089</v>
      </c>
      <c r="AQ624" s="18">
        <f>IF($A624&gt;'1-Input'!$B$26,AQ623,AQ623-AL624*(1-AK624))</f>
        <v>226379.16370849512</v>
      </c>
    </row>
    <row r="625" spans="1:43">
      <c r="A625" s="10">
        <f>7</f>
        <v>7</v>
      </c>
      <c r="B625" s="11">
        <f>IF($A625&gt;'1-Input'!$B$26,0,IF(G624&lt;=0,0,MAX(0,(G624-H624)/G624)))</f>
        <v>0.33508032244780855</v>
      </c>
      <c r="C625" s="18">
        <f>IF($A625&gt;'1-Input'!$B$26,0,(MAX(0,B616-IF($A625&gt;='1-Input'!$C$12,'1-Input'!$B$13,0))-MIN(MAX(F624,0),MAX(0,B616-IF($A625&gt;='1-Input'!$C$12,'1-Input'!$B$13,0))))*(1/(1-'P-Parametri'!$B$6*B625))+MIN(MAX(0,G624-(MAX(0,B616-IF($A625&gt;='1-Input'!$C$12,'1-Input'!$B$13,0))-MIN(MAX(F624,0),MAX(0,B616-IF($A625&gt;='1-Input'!$C$12,'1-Input'!$B$13,0))))*(1/(1-'P-Parametri'!$B$6*B625))),MAX(0,2*B616-(F624-MIN(MAX(F624,0),MAX(0,B616-IF($A625&gt;='1-Input'!$C$12,'1-Input'!$B$13,0)))))*(1/(1-'P-Parametri'!$B$6*B625))))</f>
        <v>18404.582398049595</v>
      </c>
      <c r="D625" s="18">
        <f>IF($A625&gt;'1-Input'!$B$26,F624,(F624-MAX(0,B616-IF($A625&gt;='1-Input'!$C$12,'1-Input'!$B$13,0))+C625*(1-'P-Parametri'!$B$6*B625))*(1+'1-Input'!$B$27))</f>
        <v>33242.0070309863</v>
      </c>
      <c r="E625" s="18">
        <f>IF($A625&gt;'1-Input'!$B$26,G624,(G624-C625)*(1+'5-Roberta'!$C$4))</f>
        <v>350673.244245968</v>
      </c>
      <c r="F625" s="18">
        <f>IF($A625&gt;'1-Input'!$B$26,D625,D625-'P-Parametri'!$B$8*(E625+D625)+MIN(MAX(E625,0),'P-Parametri'!$B$8*(E625+D625)))</f>
        <v>33242.0070309863</v>
      </c>
      <c r="G625" s="18">
        <f>IF($A625&gt;'1-Input'!$B$26,E625,E625-MIN(MAX(E625,0),'P-Parametri'!$B$8*(E625+D625)))</f>
        <v>349905.4137434141</v>
      </c>
      <c r="H625" s="18">
        <f>IF($A625&gt;'1-Input'!$B$26,H624,H624-C625*(1-B625))</f>
        <v>226378.19465068923</v>
      </c>
      <c r="I625" s="11">
        <f>IF($A625&gt;'1-Input'!$B$26,0,IF(N624&lt;=0,0,MAX(0,(N624-O624)/N624)))</f>
        <v>0.33476724787473428</v>
      </c>
      <c r="J625" s="18">
        <f>IF($A625&gt;'1-Input'!$B$26,0,(MAX(0,I616-IF($A625&gt;='1-Input'!$C$12,'1-Input'!$B$13,0))-MIN(MAX(M624,0),MAX(0,I616-IF($A625&gt;='1-Input'!$C$12,'1-Input'!$B$13,0))))*(1/(1-'P-Parametri'!$B$6*I625))+MIN(MAX(0,N624-(MAX(0,I616-IF($A625&gt;='1-Input'!$C$12,'1-Input'!$B$13,0))-MIN(MAX(M624,0),MAX(0,I616-IF($A625&gt;='1-Input'!$C$12,'1-Input'!$B$13,0))))*(1/(1-'P-Parametri'!$B$6*I625))),MAX(0,2*I616-(M624-MIN(MAX(M624,0),MAX(0,I616-IF($A625&gt;='1-Input'!$C$12,'1-Input'!$B$13,0)))))*(1/(1-'P-Parametri'!$B$6*I625))))</f>
        <v>24214.396643317763</v>
      </c>
      <c r="K625" s="18">
        <f>IF($A625&gt;'1-Input'!$B$26,M624,(M624-MAX(0,I616-IF($A625&gt;='1-Input'!$C$12,'1-Input'!$B$13,0))+J625*(1-'P-Parametri'!$B$6*I625))*(1+'1-Input'!$B$27))</f>
        <v>43739.482935508291</v>
      </c>
      <c r="L625" s="18">
        <f>IF($A625&gt;'1-Input'!$B$26,N624,(N624-J625)*(1+'5-Roberta'!$C$4))</f>
        <v>292965.85985029506</v>
      </c>
      <c r="M625" s="18">
        <f>IF($A625&gt;'1-Input'!$B$26,K625,K625-'P-Parametri'!$B$8*(L625+K625)+MIN(MAX(L625,0),'P-Parametri'!$B$8*(L625+K625)))</f>
        <v>43739.482935508291</v>
      </c>
      <c r="N625" s="18">
        <f>IF($A625&gt;'1-Input'!$B$26,L625,L625-MIN(MAX(L625,0),'P-Parametri'!$B$8*(L625+K625)))</f>
        <v>292292.44916472345</v>
      </c>
      <c r="O625" s="18">
        <f>IF($A625&gt;'1-Input'!$B$26,O624,O624-J625*(1-I625))</f>
        <v>189214.06332714242</v>
      </c>
      <c r="P625" s="11">
        <f>IF($A625&gt;'1-Input'!$B$26,0,IF(U624&lt;=0,0,MAX(0,(U624-V624)/U624)))</f>
        <v>0.33495308947584274</v>
      </c>
      <c r="Q625" s="18">
        <f>IF($A625&gt;'1-Input'!$B$26,0,(MAX(0,P616-IF($A625&gt;='1-Input'!$C$12,'1-Input'!$B$13,0))-MIN(MAX(T624,0),MAX(0,P616-IF($A625&gt;='1-Input'!$C$12,'1-Input'!$B$13,0))))*(1/(1-'P-Parametri'!$B$6*P625))+MIN(MAX(0,U624-(MAX(0,P616-IF($A625&gt;='1-Input'!$C$12,'1-Input'!$B$13,0))-MIN(MAX(T624,0),MAX(0,P616-IF($A625&gt;='1-Input'!$C$12,'1-Input'!$B$13,0))))*(1/(1-'P-Parametri'!$B$6*P625))),MAX(0,2*P616-(T624-MIN(MAX(T624,0),MAX(0,P616-IF($A625&gt;='1-Input'!$C$12,'1-Input'!$B$13,0)))))*(1/(1-'P-Parametri'!$B$6*P625))))</f>
        <v>20905.76515427393</v>
      </c>
      <c r="R625" s="18">
        <f>IF($A625&gt;'1-Input'!$B$26,T624,(T624-MAX(0,P616-IF($A625&gt;='1-Input'!$C$12,'1-Input'!$B$13,0))+Q625*(1-'P-Parametri'!$B$6*P625))*(1+'1-Input'!$B$27))</f>
        <v>37760.964119681914</v>
      </c>
      <c r="S625" s="18">
        <f>IF($A625&gt;'1-Input'!$B$26,U624,(U624-Q625)*(1+'5-Roberta'!$C$4))</f>
        <v>325830.76762668358</v>
      </c>
      <c r="T625" s="18">
        <f>IF($A625&gt;'1-Input'!$B$26,R625,R625-'P-Parametri'!$B$8*(S625+R625)+MIN(MAX(S625,0),'P-Parametri'!$B$8*(S625+R625)))</f>
        <v>37760.964119681914</v>
      </c>
      <c r="U625" s="18">
        <f>IF($A625&gt;'1-Input'!$B$26,S625,S625-MIN(MAX(S625,0),'P-Parametri'!$B$8*(S625+R625)))</f>
        <v>325103.58416319086</v>
      </c>
      <c r="V625" s="18">
        <f>IF($A625&gt;'1-Input'!$B$26,V624,V624-Q625*(1-P625))</f>
        <v>210381.30617848592</v>
      </c>
      <c r="W625" s="11">
        <f>IF($A625&gt;'1-Input'!$B$26,0,IF(AB624&lt;=0,0,MAX(0,(AB624-AC624)/AB624)))</f>
        <v>0.33497089639971206</v>
      </c>
      <c r="X625" s="18">
        <f>IF($A625&gt;'1-Input'!$B$26,0,(MAX(0,W616-IF($A625&gt;='1-Input'!$C$12,'1-Input'!$B$13,0))-MIN(MAX(AA624,0),MAX(0,W616-IF($A625&gt;='1-Input'!$C$12,'1-Input'!$B$13,0))))*(1/(1-'P-Parametri'!$B$6*W625))+MIN(MAX(0,AB624-(MAX(0,W616-IF($A625&gt;='1-Input'!$C$12,'1-Input'!$B$13,0))-MIN(MAX(AA624,0),MAX(0,W616-IF($A625&gt;='1-Input'!$C$12,'1-Input'!$B$13,0))))*(1/(1-'P-Parametri'!$B$6*W625))),MAX(0,2*W616-(AA624-MIN(MAX(AA624,0),MAX(0,W616-IF($A625&gt;='1-Input'!$C$12,'1-Input'!$B$13,0)))))*(1/(1-'P-Parametri'!$B$6*W625))))</f>
        <v>20567.903090603118</v>
      </c>
      <c r="Y625" s="18">
        <f>IF($A625&gt;'1-Input'!$B$26,AA624,(AA624-MAX(0,W616-IF($A625&gt;='1-Input'!$C$12,'1-Input'!$B$13,0))+X625*(1-'P-Parametri'!$B$6*W625))*(1+'1-Input'!$B$27))</f>
        <v>37150.513557777522</v>
      </c>
      <c r="Z625" s="18">
        <f>IF($A625&gt;'1-Input'!$B$26,AB624,(AB624-X625)*(1+'5-Roberta'!$C$4))</f>
        <v>329186.604620094</v>
      </c>
      <c r="AA625" s="18">
        <f>IF($A625&gt;'1-Input'!$B$26,Y625,Y625-'P-Parametri'!$B$8*(Z625+Y625)+MIN(MAX(Z625,0),'P-Parametri'!$B$8*(Z625+Y625)))</f>
        <v>37150.513557777522</v>
      </c>
      <c r="AB625" s="18">
        <f>IF($A625&gt;'1-Input'!$B$26,Z625,Z625-MIN(MAX(Z625,0),'P-Parametri'!$B$8*(Z625+Y625)))</f>
        <v>328453.93038373825</v>
      </c>
      <c r="AC625" s="18">
        <f>IF($A625&gt;'1-Input'!$B$26,AC624,AC624-X625*(1-W625))</f>
        <v>212542.40057060536</v>
      </c>
      <c r="AD625" s="11">
        <f>IF($A625&gt;'1-Input'!$B$26,0,IF(AI624&lt;=0,0,MAX(0,(AI624-AJ624)/AI624)))</f>
        <v>0.33497234257743791</v>
      </c>
      <c r="AE625" s="18">
        <f>IF($A625&gt;'1-Input'!$B$26,0,(MAX(0,AD616-IF($A625&gt;='1-Input'!$C$12,'1-Input'!$B$13,0))-MIN(MAX(AH624,0),MAX(0,AD616-IF($A625&gt;='1-Input'!$C$12,'1-Input'!$B$13,0))))*(1/(1-'P-Parametri'!$B$6*AD625))+MIN(MAX(0,AI624-(MAX(0,AD616-IF($A625&gt;='1-Input'!$C$12,'1-Input'!$B$13,0))-MIN(MAX(AH624,0),MAX(0,AD616-IF($A625&gt;='1-Input'!$C$12,'1-Input'!$B$13,0))))*(1/(1-'P-Parametri'!$B$6*AD625))),MAX(0,2*AD616-(AH624-MIN(MAX(AH624,0),MAX(0,AD616-IF($A625&gt;='1-Input'!$C$12,'1-Input'!$B$13,0)))))*(1/(1-'P-Parametri'!$B$6*AD625))))</f>
        <v>20540.294809021361</v>
      </c>
      <c r="AF625" s="18">
        <f>IF($A625&gt;'1-Input'!$B$26,AH624,(AH624-MAX(0,AD616-IF($A625&gt;='1-Input'!$C$12,'1-Input'!$B$13,0))+AE625*(1-'P-Parametri'!$B$6*AD625))*(1+'1-Input'!$B$27))</f>
        <v>37100.63116912049</v>
      </c>
      <c r="AG625" s="18">
        <f>IF($A625&gt;'1-Input'!$B$26,AI624,(AI624-AE625)*(1+'5-Roberta'!$C$4))</f>
        <v>329460.82435014943</v>
      </c>
      <c r="AH625" s="18">
        <f>IF($A625&gt;'1-Input'!$B$26,AF625,AF625-'P-Parametri'!$B$8*(AG625+AF625)+MIN(MAX(AG625,0),'P-Parametri'!$B$8*(AG625+AF625)))</f>
        <v>37100.63116912049</v>
      </c>
      <c r="AI625" s="18">
        <f>IF($A625&gt;'1-Input'!$B$26,AG625,AG625-MIN(MAX(AG625,0),'P-Parametri'!$B$8*(AG625+AF625)))</f>
        <v>328727.70143911091</v>
      </c>
      <c r="AJ625" s="18">
        <f>IF($A625&gt;'1-Input'!$B$26,AJ624,AJ624-AE625*(1-AD625))</f>
        <v>212718.99051464666</v>
      </c>
      <c r="AK625" s="11">
        <f>IF($A625&gt;'1-Input'!$B$26,0,IF(AP624&lt;=0,0,MAX(0,(AP624-AQ624)/AP624)))</f>
        <v>0.3349723454013388</v>
      </c>
      <c r="AL625" s="18">
        <f>IF($A625&gt;'1-Input'!$B$26,0,(MAX(0,AK616-IF($A625&gt;='1-Input'!$C$12,'1-Input'!$B$13,0))-MIN(MAX(AO624,0),MAX(0,AK616-IF($A625&gt;='1-Input'!$C$12,'1-Input'!$B$13,0))))*(1/(1-'P-Parametri'!$B$6*AK625))+MIN(MAX(0,AP624-(MAX(0,AK616-IF($A625&gt;='1-Input'!$C$12,'1-Input'!$B$13,0))-MIN(MAX(AO624,0),MAX(0,AK616-IF($A625&gt;='1-Input'!$C$12,'1-Input'!$B$13,0))))*(1/(1-'P-Parametri'!$B$6*AK625))),MAX(0,2*AK616-(AO624-MIN(MAX(AO624,0),MAX(0,AK616-IF($A625&gt;='1-Input'!$C$12,'1-Input'!$B$13,0)))))*(1/(1-'P-Parametri'!$B$6*AK625))))</f>
        <v>20540.240874317991</v>
      </c>
      <c r="AM625" s="18">
        <f>IF($A625&gt;'1-Input'!$B$26,AO624,(AO624-MAX(0,AK616-IF($A625&gt;='1-Input'!$C$12,'1-Input'!$B$13,0))+AL625*(1-'P-Parametri'!$B$6*AK625))*(1+'1-Input'!$B$27))</f>
        <v>37100.533720449668</v>
      </c>
      <c r="AN625" s="18">
        <f>IF($A625&gt;'1-Input'!$B$26,AP624,(AP624-AL625)*(1+'5-Roberta'!$C$4))</f>
        <v>329461.36005731998</v>
      </c>
      <c r="AO625" s="18">
        <f>IF($A625&gt;'1-Input'!$B$26,AM625,AM625-'P-Parametri'!$B$8*(AN625+AM625)+MIN(MAX(AN625,0),'P-Parametri'!$B$8*(AN625+AM625)))</f>
        <v>37100.533720449668</v>
      </c>
      <c r="AP625" s="18">
        <f>IF($A625&gt;'1-Input'!$B$26,AN625,AN625-MIN(MAX(AN625,0),'P-Parametri'!$B$8*(AN625+AM625)))</f>
        <v>328728.23626976443</v>
      </c>
      <c r="AQ625" s="18">
        <f>IF($A625&gt;'1-Input'!$B$26,AQ624,AQ624-AL625*(1-AK625))</f>
        <v>212719.33549495589</v>
      </c>
    </row>
    <row r="626" spans="1:43">
      <c r="A626" s="10">
        <f>8</f>
        <v>8</v>
      </c>
      <c r="B626" s="11">
        <f>IF($A626&gt;'1-Input'!$B$26,0,IF(G625&lt;=0,0,MAX(0,(G625-H625)/G625)))</f>
        <v>0.35303031688245751</v>
      </c>
      <c r="C626" s="18">
        <f>IF($A626&gt;'1-Input'!$B$26,0,(MAX(0,B616-IF($A626&gt;='1-Input'!$C$12,'1-Input'!$B$13,0))-MIN(MAX(F625,0),MAX(0,B616-IF($A626&gt;='1-Input'!$C$12,'1-Input'!$B$13,0))))*(1/(1-'P-Parametri'!$B$6*B626))+MIN(MAX(0,G625-(MAX(0,B616-IF($A626&gt;='1-Input'!$C$12,'1-Input'!$B$13,0))-MIN(MAX(F625,0),MAX(0,B616-IF($A626&gt;='1-Input'!$C$12,'1-Input'!$B$13,0))))*(1/(1-'P-Parametri'!$B$6*B626))),MAX(0,2*B616-(F625-MIN(MAX(F625,0),MAX(0,B616-IF($A626&gt;='1-Input'!$C$12,'1-Input'!$B$13,0)))))*(1/(1-'P-Parametri'!$B$6*B626))))</f>
        <v>18499.157396285038</v>
      </c>
      <c r="D626" s="18">
        <f>IF($A626&gt;'1-Input'!$B$26,F625,(F625-MAX(0,B616-IF($A626&gt;='1-Input'!$C$12,'1-Input'!$B$13,0))+C626*(1-'P-Parametri'!$B$6*B626))*(1+'1-Input'!$B$27))</f>
        <v>33242.0070309863</v>
      </c>
      <c r="E626" s="18">
        <f>IF($A626&gt;'1-Input'!$B$26,G625,(G625-C626)*(1+'5-Roberta'!$C$4))</f>
        <v>341348.44403754297</v>
      </c>
      <c r="F626" s="18">
        <f>IF($A626&gt;'1-Input'!$B$26,D626,D626-'P-Parametri'!$B$8*(E626+D626)+MIN(MAX(E626,0),'P-Parametri'!$B$8*(E626+D626)))</f>
        <v>33242.0070309863</v>
      </c>
      <c r="G626" s="18">
        <f>IF($A626&gt;'1-Input'!$B$26,E626,E626-MIN(MAX(E626,0),'P-Parametri'!$B$8*(E626+D626)))</f>
        <v>340599.2631354059</v>
      </c>
      <c r="H626" s="18">
        <f>IF($A626&gt;'1-Input'!$B$26,H625,H625-C626*(1-B626))</f>
        <v>214409.80065207314</v>
      </c>
      <c r="I626" s="11">
        <f>IF($A626&gt;'1-Input'!$B$26,0,IF(N625&lt;=0,0,MAX(0,(N625-O625)/N625)))</f>
        <v>0.35265497323706263</v>
      </c>
      <c r="J626" s="18">
        <f>IF($A626&gt;'1-Input'!$B$26,0,(MAX(0,I616-IF($A626&gt;='1-Input'!$C$12,'1-Input'!$B$13,0))-MIN(MAX(M625,0),MAX(0,I616-IF($A626&gt;='1-Input'!$C$12,'1-Input'!$B$13,0))))*(1/(1-'P-Parametri'!$B$6*I626))+MIN(MAX(0,N625-(MAX(0,I616-IF($A626&gt;='1-Input'!$C$12,'1-Input'!$B$13,0))-MIN(MAX(M625,0),MAX(0,I616-IF($A626&gt;='1-Input'!$C$12,'1-Input'!$B$13,0))))*(1/(1-'P-Parametri'!$B$6*I626))),MAX(0,2*I616-(M625-MIN(MAX(M625,0),MAX(0,I616-IF($A626&gt;='1-Input'!$C$12,'1-Input'!$B$13,0)))))*(1/(1-'P-Parametri'!$B$6*I626))))</f>
        <v>24338.381362571017</v>
      </c>
      <c r="K626" s="18">
        <f>IF($A626&gt;'1-Input'!$B$26,M625,(M625-MAX(0,I616-IF($A626&gt;='1-Input'!$C$12,'1-Input'!$B$13,0))+J626*(1-'P-Parametri'!$B$6*I626))*(1+'1-Input'!$B$27))</f>
        <v>43739.482935508291</v>
      </c>
      <c r="L626" s="18">
        <f>IF($A626&gt;'1-Input'!$B$26,N625,(N625-J626)*(1+'5-Roberta'!$C$4))</f>
        <v>275992.68983621697</v>
      </c>
      <c r="M626" s="18">
        <f>IF($A626&gt;'1-Input'!$B$26,K626,K626-'P-Parametri'!$B$8*(L626+K626)+MIN(MAX(L626,0),'P-Parametri'!$B$8*(L626+K626)))</f>
        <v>43739.482935508291</v>
      </c>
      <c r="N626" s="18">
        <f>IF($A626&gt;'1-Input'!$B$26,L626,L626-MIN(MAX(L626,0),'P-Parametri'!$B$8*(L626+K626)))</f>
        <v>275353.2254906735</v>
      </c>
      <c r="O626" s="18">
        <f>IF($A626&gt;'1-Input'!$B$26,O625,O625-J626*(1-I626))</f>
        <v>173458.73319262231</v>
      </c>
      <c r="P626" s="11">
        <f>IF($A626&gt;'1-Input'!$B$26,0,IF(U625&lt;=0,0,MAX(0,(U625-V625)/U625)))</f>
        <v>0.35287915474693227</v>
      </c>
      <c r="Q626" s="18">
        <f>IF($A626&gt;'1-Input'!$B$26,0,(MAX(0,P616-IF($A626&gt;='1-Input'!$C$12,'1-Input'!$B$13,0))-MIN(MAX(T625,0),MAX(0,P616-IF($A626&gt;='1-Input'!$C$12,'1-Input'!$B$13,0))))*(1/(1-'P-Parametri'!$B$6*P626))+MIN(MAX(0,U625-(MAX(0,P616-IF($A626&gt;='1-Input'!$C$12,'1-Input'!$B$13,0))-MIN(MAX(T625,0),MAX(0,P616-IF($A626&gt;='1-Input'!$C$12,'1-Input'!$B$13,0))))*(1/(1-'P-Parametri'!$B$6*P626))),MAX(0,2*P616-(T625-MIN(MAX(T625,0),MAX(0,P616-IF($A626&gt;='1-Input'!$C$12,'1-Input'!$B$13,0)))))*(1/(1-'P-Parametri'!$B$6*P626))))</f>
        <v>21013.045040284451</v>
      </c>
      <c r="R626" s="18">
        <f>IF($A626&gt;'1-Input'!$B$26,T625,(T625-MAX(0,P616-IF($A626&gt;='1-Input'!$C$12,'1-Input'!$B$13,0))+Q626*(1-'P-Parametri'!$B$6*P626))*(1+'1-Input'!$B$27))</f>
        <v>37760.964119681914</v>
      </c>
      <c r="S626" s="18">
        <f>IF($A626&gt;'1-Input'!$B$26,U625,(U625-Q626)*(1+'5-Roberta'!$C$4))</f>
        <v>313213.25529659359</v>
      </c>
      <c r="T626" s="18">
        <f>IF($A626&gt;'1-Input'!$B$26,R626,R626-'P-Parametri'!$B$8*(S626+R626)+MIN(MAX(S626,0),'P-Parametri'!$B$8*(S626+R626)))</f>
        <v>37760.964119681914</v>
      </c>
      <c r="U626" s="18">
        <f>IF($A626&gt;'1-Input'!$B$26,S626,S626-MIN(MAX(S626,0),'P-Parametri'!$B$8*(S626+R626)))</f>
        <v>312511.30685776105</v>
      </c>
      <c r="V626" s="18">
        <f>IF($A626&gt;'1-Input'!$B$26,V625,V625-Q626*(1-P626))</f>
        <v>196783.32671067625</v>
      </c>
      <c r="W626" s="11">
        <f>IF($A626&gt;'1-Input'!$B$26,0,IF(AB625&lt;=0,0,MAX(0,(AB625-AC625)/AB625)))</f>
        <v>0.35290041948260903</v>
      </c>
      <c r="X626" s="18">
        <f>IF($A626&gt;'1-Input'!$B$26,0,(MAX(0,W616-IF($A626&gt;='1-Input'!$C$12,'1-Input'!$B$13,0))-MIN(MAX(AA625,0),MAX(0,W616-IF($A626&gt;='1-Input'!$C$12,'1-Input'!$B$13,0))))*(1/(1-'P-Parametri'!$B$6*W626))+MIN(MAX(0,AB625-(MAX(0,W616-IF($A626&gt;='1-Input'!$C$12,'1-Input'!$B$13,0))-MIN(MAX(AA625,0),MAX(0,W616-IF($A626&gt;='1-Input'!$C$12,'1-Input'!$B$13,0))))*(1/(1-'P-Parametri'!$B$6*W626))),MAX(0,2*W616-(AA625-MIN(MAX(AA625,0),MAX(0,W616-IF($A626&gt;='1-Input'!$C$12,'1-Input'!$B$13,0)))))*(1/(1-'P-Parametri'!$B$6*W626))))</f>
        <v>20673.470207610477</v>
      </c>
      <c r="Y626" s="18">
        <f>IF($A626&gt;'1-Input'!$B$26,AA625,(AA625-MAX(0,W616-IF($A626&gt;='1-Input'!$C$12,'1-Input'!$B$13,0))+X626*(1-'P-Parametri'!$B$6*W626))*(1+'1-Input'!$B$27))</f>
        <v>37150.513557777522</v>
      </c>
      <c r="Z626" s="18">
        <f>IF($A626&gt;'1-Input'!$B$26,AB625,(AB625-X626)*(1+'5-Roberta'!$C$4))</f>
        <v>317013.87398141163</v>
      </c>
      <c r="AA626" s="18">
        <f>IF($A626&gt;'1-Input'!$B$26,Y626,Y626-'P-Parametri'!$B$8*(Z626+Y626)+MIN(MAX(Z626,0),'P-Parametri'!$B$8*(Z626+Y626)))</f>
        <v>37150.513557777522</v>
      </c>
      <c r="AB626" s="18">
        <f>IF($A626&gt;'1-Input'!$B$26,Z626,Z626-MIN(MAX(Z626,0),'P-Parametri'!$B$8*(Z626+Y626)))</f>
        <v>316305.54520633328</v>
      </c>
      <c r="AC626" s="18">
        <f>IF($A626&gt;'1-Input'!$B$26,AC625,AC625-X626*(1-W626))</f>
        <v>199164.60667142185</v>
      </c>
      <c r="AD626" s="11">
        <f>IF($A626&gt;'1-Input'!$B$26,0,IF(AI625&lt;=0,0,MAX(0,(AI625-AJ625)/AI625)))</f>
        <v>0.35290214489560484</v>
      </c>
      <c r="AE626" s="18">
        <f>IF($A626&gt;'1-Input'!$B$26,0,(MAX(0,AD616-IF($A626&gt;='1-Input'!$C$12,'1-Input'!$B$13,0))-MIN(MAX(AH625,0),MAX(0,AD616-IF($A626&gt;='1-Input'!$C$12,'1-Input'!$B$13,0))))*(1/(1-'P-Parametri'!$B$6*AD626))+MIN(MAX(0,AI625-(MAX(0,AD616-IF($A626&gt;='1-Input'!$C$12,'1-Input'!$B$13,0))-MIN(MAX(AH625,0),MAX(0,AD616-IF($A626&gt;='1-Input'!$C$12,'1-Input'!$B$13,0))))*(1/(1-'P-Parametri'!$B$6*AD626))),MAX(0,2*AD616-(AH625-MIN(MAX(AH625,0),MAX(0,AD616-IF($A626&gt;='1-Input'!$C$12,'1-Input'!$B$13,0)))))*(1/(1-'P-Parametri'!$B$6*AD626))))</f>
        <v>20645.721917337061</v>
      </c>
      <c r="AF626" s="18">
        <f>IF($A626&gt;'1-Input'!$B$26,AH625,(AH625-MAX(0,AD616-IF($A626&gt;='1-Input'!$C$12,'1-Input'!$B$13,0))+AE626*(1-'P-Parametri'!$B$6*AD626))*(1+'1-Input'!$B$27))</f>
        <v>37100.631169120483</v>
      </c>
      <c r="AG626" s="18">
        <f>IF($A626&gt;'1-Input'!$B$26,AI625,(AI625-AE626)*(1+'5-Roberta'!$C$4))</f>
        <v>317324.43890742707</v>
      </c>
      <c r="AH626" s="18">
        <f>IF($A626&gt;'1-Input'!$B$26,AF626,AF626-'P-Parametri'!$B$8*(AG626+AF626)+MIN(MAX(AG626,0),'P-Parametri'!$B$8*(AG626+AF626)))</f>
        <v>37100.631169120483</v>
      </c>
      <c r="AI626" s="18">
        <f>IF($A626&gt;'1-Input'!$B$26,AG626,AG626-MIN(MAX(AG626,0),'P-Parametri'!$B$8*(AG626+AF626)))</f>
        <v>316615.58876727399</v>
      </c>
      <c r="AJ626" s="18">
        <f>IF($A626&gt;'1-Input'!$B$26,AJ625,AJ625-AE626*(1-AD626))</f>
        <v>199359.18814485605</v>
      </c>
      <c r="AK626" s="11">
        <f>IF($A626&gt;'1-Input'!$B$26,0,IF(AP625&lt;=0,0,MAX(0,(AP625-AQ625)/AP625)))</f>
        <v>0.35290214826452598</v>
      </c>
      <c r="AL626" s="18">
        <f>IF($A626&gt;'1-Input'!$B$26,0,(MAX(0,AK616-IF($A626&gt;='1-Input'!$C$12,'1-Input'!$B$13,0))-MIN(MAX(AO625,0),MAX(0,AK616-IF($A626&gt;='1-Input'!$C$12,'1-Input'!$B$13,0))))*(1/(1-'P-Parametri'!$B$6*AK626))+MIN(MAX(0,AP625-(MAX(0,AK616-IF($A626&gt;='1-Input'!$C$12,'1-Input'!$B$13,0))-MIN(MAX(AO625,0),MAX(0,AK616-IF($A626&gt;='1-Input'!$C$12,'1-Input'!$B$13,0))))*(1/(1-'P-Parametri'!$B$6*AK626))),MAX(0,2*AK616-(AO625-MIN(MAX(AO625,0),MAX(0,AK616-IF($A626&gt;='1-Input'!$C$12,'1-Input'!$B$13,0)))))*(1/(1-'P-Parametri'!$B$6*AK626))))</f>
        <v>20645.667709109599</v>
      </c>
      <c r="AM626" s="18">
        <f>IF($A626&gt;'1-Input'!$B$26,AO625,(AO625-MAX(0,AK616-IF($A626&gt;='1-Input'!$C$12,'1-Input'!$B$13,0))+AL626*(1-'P-Parametri'!$B$6*AK626))*(1+'1-Input'!$B$27))</f>
        <v>37100.533720449668</v>
      </c>
      <c r="AN626" s="18">
        <f>IF($A626&gt;'1-Input'!$B$26,AP625,(AP625-AL626)*(1+'5-Roberta'!$C$4))</f>
        <v>317325.04561747448</v>
      </c>
      <c r="AO626" s="18">
        <f>IF($A626&gt;'1-Input'!$B$26,AM626,AM626-'P-Parametri'!$B$8*(AN626+AM626)+MIN(MAX(AN626,0),'P-Parametri'!$B$8*(AN626+AM626)))</f>
        <v>37100.533720449668</v>
      </c>
      <c r="AP626" s="18">
        <f>IF($A626&gt;'1-Input'!$B$26,AN626,AN626-MIN(MAX(AN626,0),'P-Parametri'!$B$8*(AN626+AM626)))</f>
        <v>316616.19445879862</v>
      </c>
      <c r="AQ626" s="18">
        <f>IF($A626&gt;'1-Input'!$B$26,AQ625,AQ625-AL626*(1-AK626))</f>
        <v>199359.56827274663</v>
      </c>
    </row>
    <row r="627" spans="1:43">
      <c r="A627" s="10">
        <f>9</f>
        <v>9</v>
      </c>
      <c r="B627" s="11">
        <f>IF($A627&gt;'1-Input'!$B$26,0,IF(G626&lt;=0,0,MAX(0,(G626-H626)/G626)))</f>
        <v>0.37049247059928575</v>
      </c>
      <c r="C627" s="18">
        <f>IF($A627&gt;'1-Input'!$B$26,0,(MAX(0,B616-IF($A627&gt;='1-Input'!$C$12,'1-Input'!$B$13,0))-MIN(MAX(F626,0),MAX(0,B616-IF($A627&gt;='1-Input'!$C$12,'1-Input'!$B$13,0))))*(1/(1-'P-Parametri'!$B$6*B627))+MIN(MAX(0,G626-(MAX(0,B616-IF($A627&gt;='1-Input'!$C$12,'1-Input'!$B$13,0))-MIN(MAX(F626,0),MAX(0,B616-IF($A627&gt;='1-Input'!$C$12,'1-Input'!$B$13,0))))*(1/(1-'P-Parametri'!$B$6*B627))),MAX(0,2*B616-(F626-MIN(MAX(F626,0),MAX(0,B616-IF($A627&gt;='1-Input'!$C$12,'1-Input'!$B$13,0)))))*(1/(1-'P-Parametri'!$B$6*B627))))</f>
        <v>18592.099456854499</v>
      </c>
      <c r="D627" s="18">
        <f>IF($A627&gt;'1-Input'!$B$26,F626,(F626-MAX(0,B616-IF($A627&gt;='1-Input'!$C$12,'1-Input'!$B$13,0))+C627*(1-'P-Parametri'!$B$6*B627))*(1+'1-Input'!$B$27))</f>
        <v>33242.0070309863</v>
      </c>
      <c r="E627" s="18">
        <f>IF($A627&gt;'1-Input'!$B$26,G626,(G626-C627)*(1+'5-Roberta'!$C$4))</f>
        <v>331667.37858890794</v>
      </c>
      <c r="F627" s="18">
        <f>IF($A627&gt;'1-Input'!$B$26,D627,D627-'P-Parametri'!$B$8*(E627+D627)+MIN(MAX(E627,0),'P-Parametri'!$B$8*(E627+D627)))</f>
        <v>33242.0070309863</v>
      </c>
      <c r="G627" s="18">
        <f>IF($A627&gt;'1-Input'!$B$26,E627,E627-MIN(MAX(E627,0),'P-Parametri'!$B$8*(E627+D627)))</f>
        <v>330937.55981766817</v>
      </c>
      <c r="H627" s="18">
        <f>IF($A627&gt;'1-Input'!$B$26,H626,H626-C627*(1-B627))</f>
        <v>202705.9340566163</v>
      </c>
      <c r="I627" s="11">
        <f>IF($A627&gt;'1-Input'!$B$26,0,IF(N626&lt;=0,0,MAX(0,(N626-O626)/N626)))</f>
        <v>0.37005011332798954</v>
      </c>
      <c r="J627" s="18">
        <f>IF($A627&gt;'1-Input'!$B$26,0,(MAX(0,I616-IF($A627&gt;='1-Input'!$C$12,'1-Input'!$B$13,0))-MIN(MAX(M626,0),MAX(0,I616-IF($A627&gt;='1-Input'!$C$12,'1-Input'!$B$13,0))))*(1/(1-'P-Parametri'!$B$6*I627))+MIN(MAX(0,N626-(MAX(0,I616-IF($A627&gt;='1-Input'!$C$12,'1-Input'!$B$13,0))-MIN(MAX(M626,0),MAX(0,I616-IF($A627&gt;='1-Input'!$C$12,'1-Input'!$B$13,0))))*(1/(1-'P-Parametri'!$B$6*I627))),MAX(0,2*I616-(M626-MIN(MAX(M626,0),MAX(0,I616-IF($A627&gt;='1-Input'!$C$12,'1-Input'!$B$13,0)))))*(1/(1-'P-Parametri'!$B$6*I627))))</f>
        <v>24460.175643158884</v>
      </c>
      <c r="K627" s="18">
        <f>IF($A627&gt;'1-Input'!$B$26,M626,(M626-MAX(0,I616-IF($A627&gt;='1-Input'!$C$12,'1-Input'!$B$13,0))+J627*(1-'P-Parametri'!$B$6*I627))*(1+'1-Input'!$B$27))</f>
        <v>43739.482935508291</v>
      </c>
      <c r="L627" s="18">
        <f>IF($A627&gt;'1-Input'!$B$26,N626,(N626-J627)*(1+'5-Roberta'!$C$4))</f>
        <v>258419.84134294008</v>
      </c>
      <c r="M627" s="18">
        <f>IF($A627&gt;'1-Input'!$B$26,K627,K627-'P-Parametri'!$B$8*(L627+K627)+MIN(MAX(L627,0),'P-Parametri'!$B$8*(L627+K627)))</f>
        <v>43739.482935508291</v>
      </c>
      <c r="N627" s="18">
        <f>IF($A627&gt;'1-Input'!$B$26,L627,L627-MIN(MAX(L627,0),'P-Parametri'!$B$8*(L627+K627)))</f>
        <v>257815.52269438319</v>
      </c>
      <c r="O627" s="18">
        <f>IF($A627&gt;'1-Input'!$B$26,O626,O626-J627*(1-I627))</f>
        <v>158050.04831823689</v>
      </c>
      <c r="P627" s="11">
        <f>IF($A627&gt;'1-Input'!$B$26,0,IF(U626&lt;=0,0,MAX(0,(U626-V626)/U626)))</f>
        <v>0.37031613771260502</v>
      </c>
      <c r="Q627" s="18">
        <f>IF($A627&gt;'1-Input'!$B$26,0,(MAX(0,P616-IF($A627&gt;='1-Input'!$C$12,'1-Input'!$B$13,0))-MIN(MAX(T626,0),MAX(0,P616-IF($A627&gt;='1-Input'!$C$12,'1-Input'!$B$13,0))))*(1/(1-'P-Parametri'!$B$6*P627))+MIN(MAX(0,U626-(MAX(0,P616-IF($A627&gt;='1-Input'!$C$12,'1-Input'!$B$13,0))-MIN(MAX(T626,0),MAX(0,P616-IF($A627&gt;='1-Input'!$C$12,'1-Input'!$B$13,0))))*(1/(1-'P-Parametri'!$B$6*P627))),MAX(0,2*P616-(T626-MIN(MAX(T626,0),MAX(0,P616-IF($A627&gt;='1-Input'!$C$12,'1-Input'!$B$13,0)))))*(1/(1-'P-Parametri'!$B$6*P627))))</f>
        <v>21118.459659481003</v>
      </c>
      <c r="R627" s="18">
        <f>IF($A627&gt;'1-Input'!$B$26,T626,(T626-MAX(0,P616-IF($A627&gt;='1-Input'!$C$12,'1-Input'!$B$13,0))+Q627*(1-'P-Parametri'!$B$6*P627))*(1+'1-Input'!$B$27))</f>
        <v>37760.964119681914</v>
      </c>
      <c r="S627" s="18">
        <f>IF($A627&gt;'1-Input'!$B$26,U626,(U626-Q627)*(1+'5-Roberta'!$C$4))</f>
        <v>300134.63261422847</v>
      </c>
      <c r="T627" s="18">
        <f>IF($A627&gt;'1-Input'!$B$26,R627,R627-'P-Parametri'!$B$8*(S627+R627)+MIN(MAX(S627,0),'P-Parametri'!$B$8*(S627+R627)))</f>
        <v>37760.964119681914</v>
      </c>
      <c r="U627" s="18">
        <f>IF($A627&gt;'1-Input'!$B$26,S627,S627-MIN(MAX(S627,0),'P-Parametri'!$B$8*(S627+R627)))</f>
        <v>299458.84142076067</v>
      </c>
      <c r="V627" s="18">
        <f>IF($A627&gt;'1-Input'!$B$26,V626,V626-Q627*(1-P627))</f>
        <v>183485.3734667337</v>
      </c>
      <c r="W627" s="11">
        <f>IF($A627&gt;'1-Input'!$B$26,0,IF(AB626&lt;=0,0,MAX(0,(AB626-AC626)/AB626)))</f>
        <v>0.3703410841517108</v>
      </c>
      <c r="X627" s="18">
        <f>IF($A627&gt;'1-Input'!$B$26,0,(MAX(0,W616-IF($A627&gt;='1-Input'!$C$12,'1-Input'!$B$13,0))-MIN(MAX(AA626,0),MAX(0,W616-IF($A627&gt;='1-Input'!$C$12,'1-Input'!$B$13,0))))*(1/(1-'P-Parametri'!$B$6*W627))+MIN(MAX(0,AB626-(MAX(0,W616-IF($A627&gt;='1-Input'!$C$12,'1-Input'!$B$13,0))-MIN(MAX(AA626,0),MAX(0,W616-IF($A627&gt;='1-Input'!$C$12,'1-Input'!$B$13,0))))*(1/(1-'P-Parametri'!$B$6*W627))),MAX(0,2*W616-(AA626-MIN(MAX(AA626,0),MAX(0,W616-IF($A627&gt;='1-Input'!$C$12,'1-Input'!$B$13,0)))))*(1/(1-'P-Parametri'!$B$6*W627))))</f>
        <v>20777.20394878873</v>
      </c>
      <c r="Y627" s="18">
        <f>IF($A627&gt;'1-Input'!$B$26,AA626,(AA626-MAX(0,W616-IF($A627&gt;='1-Input'!$C$12,'1-Input'!$B$13,0))+X627*(1-'P-Parametri'!$B$6*W627))*(1+'1-Input'!$B$27))</f>
        <v>37150.513557777522</v>
      </c>
      <c r="Z627" s="18">
        <f>IF($A627&gt;'1-Input'!$B$26,AB626,(AB626-X627)*(1+'5-Roberta'!$C$4))</f>
        <v>304394.19149527088</v>
      </c>
      <c r="AA627" s="18">
        <f>IF($A627&gt;'1-Input'!$B$26,Y627,Y627-'P-Parametri'!$B$8*(Z627+Y627)+MIN(MAX(Z627,0),'P-Parametri'!$B$8*(Z627+Y627)))</f>
        <v>37150.513557777522</v>
      </c>
      <c r="AB627" s="18">
        <f>IF($A627&gt;'1-Input'!$B$26,Z627,Z627-MIN(MAX(Z627,0),'P-Parametri'!$B$8*(Z627+Y627)))</f>
        <v>303711.10208516481</v>
      </c>
      <c r="AC627" s="18">
        <f>IF($A627&gt;'1-Input'!$B$26,AC626,AC626-X627*(1-W627))</f>
        <v>186082.05495866874</v>
      </c>
      <c r="AD627" s="11">
        <f>IF($A627&gt;'1-Input'!$B$26,0,IF(AI626&lt;=0,0,MAX(0,(AI626-AJ626)/AI626)))</f>
        <v>0.37034310622212102</v>
      </c>
      <c r="AE627" s="18">
        <f>IF($A627&gt;'1-Input'!$B$26,0,(MAX(0,AD616-IF($A627&gt;='1-Input'!$C$12,'1-Input'!$B$13,0))-MIN(MAX(AH626,0),MAX(0,AD616-IF($A627&gt;='1-Input'!$C$12,'1-Input'!$B$13,0))))*(1/(1-'P-Parametri'!$B$6*AD627))+MIN(MAX(0,AI626-(MAX(0,AD616-IF($A627&gt;='1-Input'!$C$12,'1-Input'!$B$13,0))-MIN(MAX(AH626,0),MAX(0,AD616-IF($A627&gt;='1-Input'!$C$12,'1-Input'!$B$13,0))))*(1/(1-'P-Parametri'!$B$6*AD627))),MAX(0,2*AD616-(AH626-MIN(MAX(AH626,0),MAX(0,AD616-IF($A627&gt;='1-Input'!$C$12,'1-Input'!$B$13,0)))))*(1/(1-'P-Parametri'!$B$6*AD627))))</f>
        <v>20749.318247649739</v>
      </c>
      <c r="AF627" s="18">
        <f>IF($A627&gt;'1-Input'!$B$26,AH626,(AH626-MAX(0,AD616-IF($A627&gt;='1-Input'!$C$12,'1-Input'!$B$13,0))+AE627*(1-'P-Parametri'!$B$6*AD627))*(1+'1-Input'!$B$27))</f>
        <v>37100.631169120483</v>
      </c>
      <c r="AG627" s="18">
        <f>IF($A627&gt;'1-Input'!$B$26,AI626,(AI626-AE627)*(1+'5-Roberta'!$C$4))</f>
        <v>304742.25863521296</v>
      </c>
      <c r="AH627" s="18">
        <f>IF($A627&gt;'1-Input'!$B$26,AF627,AF627-'P-Parametri'!$B$8*(AG627+AF627)+MIN(MAX(AG627,0),'P-Parametri'!$B$8*(AG627+AF627)))</f>
        <v>37100.631169120483</v>
      </c>
      <c r="AI627" s="18">
        <f>IF($A627&gt;'1-Input'!$B$26,AG627,AG627-MIN(MAX(AG627,0),'P-Parametri'!$B$8*(AG627+AF627)))</f>
        <v>304058.57285560429</v>
      </c>
      <c r="AJ627" s="18">
        <f>IF($A627&gt;'1-Input'!$B$26,AJ626,AJ626-AE627*(1-AD627))</f>
        <v>186294.23686903226</v>
      </c>
      <c r="AK627" s="11">
        <f>IF($A627&gt;'1-Input'!$B$26,0,IF(AP626&lt;=0,0,MAX(0,(AP626-AQ626)/AP626)))</f>
        <v>0.37034311016997151</v>
      </c>
      <c r="AL627" s="18">
        <f>IF($A627&gt;'1-Input'!$B$26,0,(MAX(0,AK616-IF($A627&gt;='1-Input'!$C$12,'1-Input'!$B$13,0))-MIN(MAX(AO626,0),MAX(0,AK616-IF($A627&gt;='1-Input'!$C$12,'1-Input'!$B$13,0))))*(1/(1-'P-Parametri'!$B$6*AK627))+MIN(MAX(0,AP626-(MAX(0,AK616-IF($A627&gt;='1-Input'!$C$12,'1-Input'!$B$13,0))-MIN(MAX(AO626,0),MAX(0,AK616-IF($A627&gt;='1-Input'!$C$12,'1-Input'!$B$13,0))))*(1/(1-'P-Parametri'!$B$6*AK627))),MAX(0,2*AK616-(AO626-MIN(MAX(AO626,0),MAX(0,AK616-IF($A627&gt;='1-Input'!$C$12,'1-Input'!$B$13,0)))))*(1/(1-'P-Parametri'!$B$6*AK627))))</f>
        <v>20749.263770972026</v>
      </c>
      <c r="AM627" s="18">
        <f>IF($A627&gt;'1-Input'!$B$26,AO626,(AO626-MAX(0,AK616-IF($A627&gt;='1-Input'!$C$12,'1-Input'!$B$13,0))+AL627*(1-'P-Parametri'!$B$6*AK627))*(1+'1-Input'!$B$27))</f>
        <v>37100.533720449668</v>
      </c>
      <c r="AN627" s="18">
        <f>IF($A627&gt;'1-Input'!$B$26,AP626,(AP626-AL627)*(1+'5-Roberta'!$C$4))</f>
        <v>304742.93860846141</v>
      </c>
      <c r="AO627" s="18">
        <f>IF($A627&gt;'1-Input'!$B$26,AM627,AM627-'P-Parametri'!$B$8*(AN627+AM627)+MIN(MAX(AN627,0),'P-Parametri'!$B$8*(AN627+AM627)))</f>
        <v>37100.533720449668</v>
      </c>
      <c r="AP627" s="18">
        <f>IF($A627&gt;'1-Input'!$B$26,AN627,AN627-MIN(MAX(AN627,0),'P-Parametri'!$B$8*(AN627+AM627)))</f>
        <v>304059.25166380359</v>
      </c>
      <c r="AQ627" s="18">
        <f>IF($A627&gt;'1-Input'!$B$26,AQ626,AQ626-AL627*(1-AK627))</f>
        <v>186294.65138045349</v>
      </c>
    </row>
    <row r="628" spans="1:43">
      <c r="A628" s="10">
        <f>10</f>
        <v>10</v>
      </c>
      <c r="B628" s="11">
        <f>IF($A628&gt;'1-Input'!$B$26,0,IF(G627&lt;=0,0,MAX(0,(G627-H627)/G627)))</f>
        <v>0.38747981894742251</v>
      </c>
      <c r="C628" s="18">
        <f>IF($A628&gt;'1-Input'!$B$26,0,(MAX(0,B616-IF($A628&gt;='1-Input'!$C$12,'1-Input'!$B$13,0))-MIN(MAX(F627,0),MAX(0,B616-IF($A628&gt;='1-Input'!$C$12,'1-Input'!$B$13,0))))*(1/(1-'P-Parametri'!$B$6*B628))+MIN(MAX(0,G627-(MAX(0,B616-IF($A628&gt;='1-Input'!$C$12,'1-Input'!$B$13,0))-MIN(MAX(F627,0),MAX(0,B616-IF($A628&gt;='1-Input'!$C$12,'1-Input'!$B$13,0))))*(1/(1-'P-Parametri'!$B$6*B628))),MAX(0,2*B616-(F627-MIN(MAX(F627,0),MAX(0,B616-IF($A628&gt;='1-Input'!$C$12,'1-Input'!$B$13,0)))))*(1/(1-'P-Parametri'!$B$6*B628))))</f>
        <v>18683.414934263597</v>
      </c>
      <c r="D628" s="18">
        <f>IF($A628&gt;'1-Input'!$B$26,F627,(F627-MAX(0,B616-IF($A628&gt;='1-Input'!$C$12,'1-Input'!$B$13,0))+C628*(1-'P-Parametri'!$B$6*B628))*(1+'1-Input'!$B$27))</f>
        <v>33242.0070309863</v>
      </c>
      <c r="E628" s="18">
        <f>IF($A628&gt;'1-Input'!$B$26,G627,(G627-C628)*(1+'5-Roberta'!$C$4))</f>
        <v>321621.76922990667</v>
      </c>
      <c r="F628" s="18">
        <f>IF($A628&gt;'1-Input'!$B$26,D628,D628-'P-Parametri'!$B$8*(E628+D628)+MIN(MAX(E628,0),'P-Parametri'!$B$8*(E628+D628)))</f>
        <v>33242.0070309863</v>
      </c>
      <c r="G628" s="18">
        <f>IF($A628&gt;'1-Input'!$B$26,E628,E628-MIN(MAX(E628,0),'P-Parametri'!$B$8*(E628+D628)))</f>
        <v>320912.04167738487</v>
      </c>
      <c r="H628" s="18">
        <f>IF($A628&gt;'1-Input'!$B$26,H627,H627-C628*(1-B628))</f>
        <v>191261.96535840072</v>
      </c>
      <c r="I628" s="11">
        <f>IF($A628&gt;'1-Input'!$B$26,0,IF(N627&lt;=0,0,MAX(0,(N627-O627)/N627)))</f>
        <v>0.38696457580798649</v>
      </c>
      <c r="J628" s="18">
        <f>IF($A628&gt;'1-Input'!$B$26,0,(MAX(0,I616-IF($A628&gt;='1-Input'!$C$12,'1-Input'!$B$13,0))-MIN(MAX(M627,0),MAX(0,I616-IF($A628&gt;='1-Input'!$C$12,'1-Input'!$B$13,0))))*(1/(1-'P-Parametri'!$B$6*I628))+MIN(MAX(0,N627-(MAX(0,I616-IF($A628&gt;='1-Input'!$C$12,'1-Input'!$B$13,0))-MIN(MAX(M627,0),MAX(0,I616-IF($A628&gt;='1-Input'!$C$12,'1-Input'!$B$13,0))))*(1/(1-'P-Parametri'!$B$6*I628))),MAX(0,2*I616-(M627-MIN(MAX(M627,0),MAX(0,I616-IF($A628&gt;='1-Input'!$C$12,'1-Input'!$B$13,0)))))*(1/(1-'P-Parametri'!$B$6*I628))))</f>
        <v>24579.779021533435</v>
      </c>
      <c r="K628" s="18">
        <f>IF($A628&gt;'1-Input'!$B$26,M627,(M627-MAX(0,I616-IF($A628&gt;='1-Input'!$C$12,'1-Input'!$B$13,0))+J628*(1-'P-Parametri'!$B$6*I628))*(1+'1-Input'!$B$27))</f>
        <v>43739.482935508291</v>
      </c>
      <c r="L628" s="18">
        <f>IF($A628&gt;'1-Input'!$B$26,N627,(N627-J628)*(1+'5-Roberta'!$C$4))</f>
        <v>240232.81598303525</v>
      </c>
      <c r="M628" s="18">
        <f>IF($A628&gt;'1-Input'!$B$26,K628,K628-'P-Parametri'!$B$8*(L628+K628)+MIN(MAX(L628,0),'P-Parametri'!$B$8*(L628+K628)))</f>
        <v>43739.482935508291</v>
      </c>
      <c r="N628" s="18">
        <f>IF($A628&gt;'1-Input'!$B$26,L628,L628-MIN(MAX(L628,0),'P-Parametri'!$B$8*(L628+K628)))</f>
        <v>239664.87138519817</v>
      </c>
      <c r="O628" s="18">
        <f>IF($A628&gt;'1-Input'!$B$26,O627,O627-J628*(1-I628))</f>
        <v>142981.77305922518</v>
      </c>
      <c r="P628" s="11">
        <f>IF($A628&gt;'1-Input'!$B$26,0,IF(U627&lt;=0,0,MAX(0,(U627-V627)/U627)))</f>
        <v>0.38727682042647094</v>
      </c>
      <c r="Q628" s="18">
        <f>IF($A628&gt;'1-Input'!$B$26,0,(MAX(0,P616-IF($A628&gt;='1-Input'!$C$12,'1-Input'!$B$13,0))-MIN(MAX(T627,0),MAX(0,P616-IF($A628&gt;='1-Input'!$C$12,'1-Input'!$B$13,0))))*(1/(1-'P-Parametri'!$B$6*P628))+MIN(MAX(0,U627-(MAX(0,P616-IF($A628&gt;='1-Input'!$C$12,'1-Input'!$B$13,0))-MIN(MAX(T627,0),MAX(0,P616-IF($A628&gt;='1-Input'!$C$12,'1-Input'!$B$13,0))))*(1/(1-'P-Parametri'!$B$6*P628))),MAX(0,2*P616-(T627-MIN(MAX(T627,0),MAX(0,P616-IF($A628&gt;='1-Input'!$C$12,'1-Input'!$B$13,0)))))*(1/(1-'P-Parametri'!$B$6*P628))))</f>
        <v>21222.01451009461</v>
      </c>
      <c r="R628" s="18">
        <f>IF($A628&gt;'1-Input'!$B$26,T627,(T627-MAX(0,P616-IF($A628&gt;='1-Input'!$C$12,'1-Input'!$B$13,0))+Q628*(1-'P-Parametri'!$B$6*P628))*(1+'1-Input'!$B$27))</f>
        <v>37760.964119681914</v>
      </c>
      <c r="S628" s="18">
        <f>IF($A628&gt;'1-Input'!$B$26,U627,(U627-Q628)*(1+'5-Roberta'!$C$4))</f>
        <v>286583.93171798607</v>
      </c>
      <c r="T628" s="18">
        <f>IF($A628&gt;'1-Input'!$B$26,R628,R628-'P-Parametri'!$B$8*(S628+R628)+MIN(MAX(S628,0),'P-Parametri'!$B$8*(S628+R628)))</f>
        <v>37760.964119681914</v>
      </c>
      <c r="U628" s="18">
        <f>IF($A628&gt;'1-Input'!$B$26,S628,S628-MIN(MAX(S628,0),'P-Parametri'!$B$8*(S628+R628)))</f>
        <v>285935.24192631076</v>
      </c>
      <c r="V628" s="18">
        <f>IF($A628&gt;'1-Input'!$B$26,V627,V627-Q628*(1-P628))</f>
        <v>170482.15325915295</v>
      </c>
      <c r="W628" s="11">
        <f>IF($A628&gt;'1-Input'!$B$26,0,IF(AB627&lt;=0,0,MAX(0,(AB627-AC627)/AB627)))</f>
        <v>0.38730572020219151</v>
      </c>
      <c r="X628" s="18">
        <f>IF($A628&gt;'1-Input'!$B$26,0,(MAX(0,W616-IF($A628&gt;='1-Input'!$C$12,'1-Input'!$B$13,0))-MIN(MAX(AA627,0),MAX(0,W616-IF($A628&gt;='1-Input'!$C$12,'1-Input'!$B$13,0))))*(1/(1-'P-Parametri'!$B$6*W628))+MIN(MAX(0,AB627-(MAX(0,W616-IF($A628&gt;='1-Input'!$C$12,'1-Input'!$B$13,0))-MIN(MAX(AA627,0),MAX(0,W616-IF($A628&gt;='1-Input'!$C$12,'1-Input'!$B$13,0))))*(1/(1-'P-Parametri'!$B$6*W628))),MAX(0,2*W616-(AA627-MIN(MAX(AA627,0),MAX(0,W616-IF($A628&gt;='1-Input'!$C$12,'1-Input'!$B$13,0)))))*(1/(1-'P-Parametri'!$B$6*W628))))</f>
        <v>20879.110043043976</v>
      </c>
      <c r="Y628" s="18">
        <f>IF($A628&gt;'1-Input'!$B$26,AA627,(AA627-MAX(0,W616-IF($A628&gt;='1-Input'!$C$12,'1-Input'!$B$13,0))+X628*(1-'P-Parametri'!$B$6*W628))*(1+'1-Input'!$B$27))</f>
        <v>37150.513557777522</v>
      </c>
      <c r="Z628" s="18">
        <f>IF($A628&gt;'1-Input'!$B$26,AB627,(AB627-X628)*(1+'5-Roberta'!$C$4))</f>
        <v>291316.95180338447</v>
      </c>
      <c r="AA628" s="18">
        <f>IF($A628&gt;'1-Input'!$B$26,Y628,Y628-'P-Parametri'!$B$8*(Z628+Y628)+MIN(MAX(Z628,0),'P-Parametri'!$B$8*(Z628+Y628)))</f>
        <v>37150.513557777522</v>
      </c>
      <c r="AB628" s="18">
        <f>IF($A628&gt;'1-Input'!$B$26,Z628,Z628-MIN(MAX(Z628,0),'P-Parametri'!$B$8*(Z628+Y628)))</f>
        <v>290660.01687266212</v>
      </c>
      <c r="AC628" s="18">
        <f>IF($A628&gt;'1-Input'!$B$26,AC627,AC627-X628*(1-W628))</f>
        <v>173289.54366802672</v>
      </c>
      <c r="AD628" s="11">
        <f>IF($A628&gt;'1-Input'!$B$26,0,IF(AI627&lt;=0,0,MAX(0,(AI627-AJ627)/AI627)))</f>
        <v>0.38730806002466389</v>
      </c>
      <c r="AE628" s="18">
        <f>IF($A628&gt;'1-Input'!$B$26,0,(MAX(0,AD616-IF($A628&gt;='1-Input'!$C$12,'1-Input'!$B$13,0))-MIN(MAX(AH627,0),MAX(0,AD616-IF($A628&gt;='1-Input'!$C$12,'1-Input'!$B$13,0))))*(1/(1-'P-Parametri'!$B$6*AD628))+MIN(MAX(0,AI627-(MAX(0,AD616-IF($A628&gt;='1-Input'!$C$12,'1-Input'!$B$13,0))-MIN(MAX(AH627,0),MAX(0,AD616-IF($A628&gt;='1-Input'!$C$12,'1-Input'!$B$13,0))))*(1/(1-'P-Parametri'!$B$6*AD628))),MAX(0,2*AD616-(AH627-MIN(MAX(AH627,0),MAX(0,AD616-IF($A628&gt;='1-Input'!$C$12,'1-Input'!$B$13,0)))))*(1/(1-'P-Parametri'!$B$6*AD628))))</f>
        <v>20851.089545727638</v>
      </c>
      <c r="AF628" s="18">
        <f>IF($A628&gt;'1-Input'!$B$26,AH627,(AH627-MAX(0,AD616-IF($A628&gt;='1-Input'!$C$12,'1-Input'!$B$13,0))+AE628*(1-'P-Parametri'!$B$6*AD628))*(1+'1-Input'!$B$27))</f>
        <v>37100.63116912049</v>
      </c>
      <c r="AG628" s="18">
        <f>IF($A628&gt;'1-Input'!$B$26,AI627,(AI627-AE628)*(1+'5-Roberta'!$C$4))</f>
        <v>291703.70780917292</v>
      </c>
      <c r="AH628" s="18">
        <f>IF($A628&gt;'1-Input'!$B$26,AF628,AF628-'P-Parametri'!$B$8*(AG628+AF628)+MIN(MAX(AG628,0),'P-Parametri'!$B$8*(AG628+AF628)))</f>
        <v>37100.63116912049</v>
      </c>
      <c r="AI628" s="18">
        <f>IF($A628&gt;'1-Input'!$B$26,AG628,AG628-MIN(MAX(AG628,0),'P-Parametri'!$B$8*(AG628+AF628)))</f>
        <v>291046.09913121635</v>
      </c>
      <c r="AJ628" s="18">
        <f>IF($A628&gt;'1-Input'!$B$26,AJ627,AJ627-AE628*(1-AD628))</f>
        <v>173518.94236466094</v>
      </c>
      <c r="AK628" s="11">
        <f>IF($A628&gt;'1-Input'!$B$26,0,IF(AP627&lt;=0,0,MAX(0,(AP627-AQ627)/AP627)))</f>
        <v>0.38730806459249489</v>
      </c>
      <c r="AL628" s="18">
        <f>IF($A628&gt;'1-Input'!$B$26,0,(MAX(0,AK616-IF($A628&gt;='1-Input'!$C$12,'1-Input'!$B$13,0))-MIN(MAX(AO627,0),MAX(0,AK616-IF($A628&gt;='1-Input'!$C$12,'1-Input'!$B$13,0))))*(1/(1-'P-Parametri'!$B$6*AK628))+MIN(MAX(0,AP627-(MAX(0,AK616-IF($A628&gt;='1-Input'!$C$12,'1-Input'!$B$13,0))-MIN(MAX(AO627,0),MAX(0,AK616-IF($A628&gt;='1-Input'!$C$12,'1-Input'!$B$13,0))))*(1/(1-'P-Parametri'!$B$6*AK628))),MAX(0,2*AK616-(AO627-MIN(MAX(AO627,0),MAX(0,AK616-IF($A628&gt;='1-Input'!$C$12,'1-Input'!$B$13,0)))))*(1/(1-'P-Parametri'!$B$6*AK628))))</f>
        <v>20851.034805706204</v>
      </c>
      <c r="AM628" s="18">
        <f>IF($A628&gt;'1-Input'!$B$26,AO627,(AO627-MAX(0,AK616-IF($A628&gt;='1-Input'!$C$12,'1-Input'!$B$13,0))+AL628*(1-'P-Parametri'!$B$6*AK628))*(1+'1-Input'!$B$27))</f>
        <v>37100.533720449668</v>
      </c>
      <c r="AN628" s="18">
        <f>IF($A628&gt;'1-Input'!$B$26,AP627,(AP627-AL628)*(1+'5-Roberta'!$C$4))</f>
        <v>291704.46336384036</v>
      </c>
      <c r="AO628" s="18">
        <f>IF($A628&gt;'1-Input'!$B$26,AM628,AM628-'P-Parametri'!$B$8*(AN628+AM628)+MIN(MAX(AN628,0),'P-Parametri'!$B$8*(AN628+AM628)))</f>
        <v>37100.533720449668</v>
      </c>
      <c r="AP628" s="18">
        <f>IF($A628&gt;'1-Input'!$B$26,AN628,AN628-MIN(MAX(AN628,0),'P-Parametri'!$B$8*(AN628+AM628)))</f>
        <v>291046.85336967179</v>
      </c>
      <c r="AQ628" s="18">
        <f>IF($A628&gt;'1-Input'!$B$26,AQ627,AQ627-AL628*(1-AK628))</f>
        <v>173519.3905100961</v>
      </c>
    </row>
    <row r="629" spans="1:43">
      <c r="A629" s="10">
        <f>11</f>
        <v>11</v>
      </c>
      <c r="B629" s="11">
        <f>IF($A629&gt;'1-Input'!$B$26,0,IF(G628&lt;=0,0,MAX(0,(G628-H628)/G628)))</f>
        <v>0.40400502156700707</v>
      </c>
      <c r="C629" s="18">
        <f>IF($A629&gt;'1-Input'!$B$26,0,(MAX(0,B616-IF($A629&gt;='1-Input'!$C$12,'1-Input'!$B$13,0))-MIN(MAX(F628,0),MAX(0,B616-IF($A629&gt;='1-Input'!$C$12,'1-Input'!$B$13,0))))*(1/(1-'P-Parametri'!$B$6*B629))+MIN(MAX(0,G628-(MAX(0,B616-IF($A629&gt;='1-Input'!$C$12,'1-Input'!$B$13,0))-MIN(MAX(F628,0),MAX(0,B616-IF($A629&gt;='1-Input'!$C$12,'1-Input'!$B$13,0))))*(1/(1-'P-Parametri'!$B$6*B629))),MAX(0,2*B616-(F628-MIN(MAX(F628,0),MAX(0,B616-IF($A629&gt;='1-Input'!$C$12,'1-Input'!$B$13,0)))))*(1/(1-'P-Parametri'!$B$6*B629))))</f>
        <v>18773.111002954505</v>
      </c>
      <c r="D629" s="18">
        <f>IF($A629&gt;'1-Input'!$B$26,F628,(F628-MAX(0,B616-IF($A629&gt;='1-Input'!$C$12,'1-Input'!$B$13,0))+C629*(1-'P-Parametri'!$B$6*B629))*(1+'1-Input'!$B$27))</f>
        <v>33242.0070309863</v>
      </c>
      <c r="E629" s="18">
        <f>IF($A629&gt;'1-Input'!$B$26,G628,(G628-C629)*(1+'5-Roberta'!$C$4))</f>
        <v>311203.09859466332</v>
      </c>
      <c r="F629" s="18">
        <f>IF($A629&gt;'1-Input'!$B$26,D629,D629-'P-Parametri'!$B$8*(E629+D629)+MIN(MAX(E629,0),'P-Parametri'!$B$8*(E629+D629)))</f>
        <v>33242.0070309863</v>
      </c>
      <c r="G629" s="18">
        <f>IF($A629&gt;'1-Input'!$B$26,E629,E629-MIN(MAX(E629,0),'P-Parametri'!$B$8*(E629+D629)))</f>
        <v>310514.20838341204</v>
      </c>
      <c r="H629" s="18">
        <f>IF($A629&gt;'1-Input'!$B$26,H628,H628-C629*(1-B629))</f>
        <v>180073.28547107466</v>
      </c>
      <c r="I629" s="11">
        <f>IF($A629&gt;'1-Input'!$B$26,0,IF(N628&lt;=0,0,MAX(0,(N628-O628)/N628)))</f>
        <v>0.4034095517093132</v>
      </c>
      <c r="J629" s="18">
        <f>IF($A629&gt;'1-Input'!$B$26,0,(MAX(0,I616-IF($A629&gt;='1-Input'!$C$12,'1-Input'!$B$13,0))-MIN(MAX(M628,0),MAX(0,I616-IF($A629&gt;='1-Input'!$C$12,'1-Input'!$B$13,0))))*(1/(1-'P-Parametri'!$B$6*I629))+MIN(MAX(0,N628-(MAX(0,I616-IF($A629&gt;='1-Input'!$C$12,'1-Input'!$B$13,0))-MIN(MAX(M628,0),MAX(0,I616-IF($A629&gt;='1-Input'!$C$12,'1-Input'!$B$13,0))))*(1/(1-'P-Parametri'!$B$6*I629))),MAX(0,2*I616-(M628-MIN(MAX(M628,0),MAX(0,I616-IF($A629&gt;='1-Input'!$C$12,'1-Input'!$B$13,0)))))*(1/(1-'P-Parametri'!$B$6*I629))))</f>
        <v>24697.189389280269</v>
      </c>
      <c r="K629" s="18">
        <f>IF($A629&gt;'1-Input'!$B$26,M628,(M628-MAX(0,I616-IF($A629&gt;='1-Input'!$C$12,'1-Input'!$B$13,0))+J629*(1-'P-Parametri'!$B$6*I629))*(1+'1-Input'!$B$27))</f>
        <v>43739.482935508291</v>
      </c>
      <c r="L629" s="18">
        <f>IF($A629&gt;'1-Input'!$B$26,N628,(N628-J629)*(1+'5-Roberta'!$C$4))</f>
        <v>221416.71245579544</v>
      </c>
      <c r="M629" s="18">
        <f>IF($A629&gt;'1-Input'!$B$26,K629,K629-'P-Parametri'!$B$8*(L629+K629)+MIN(MAX(L629,0),'P-Parametri'!$B$8*(L629+K629)))</f>
        <v>43739.482935508291</v>
      </c>
      <c r="N629" s="18">
        <f>IF($A629&gt;'1-Input'!$B$26,L629,L629-MIN(MAX(L629,0),'P-Parametri'!$B$8*(L629+K629)))</f>
        <v>220886.40006501283</v>
      </c>
      <c r="O629" s="18">
        <f>IF($A629&gt;'1-Input'!$B$26,O628,O628-J629*(1-I629))</f>
        <v>128247.66576995447</v>
      </c>
      <c r="P629" s="11">
        <f>IF($A629&gt;'1-Input'!$B$26,0,IF(U628&lt;=0,0,MAX(0,(U628-V628)/U628)))</f>
        <v>0.40377355337301013</v>
      </c>
      <c r="Q629" s="18">
        <f>IF($A629&gt;'1-Input'!$B$26,0,(MAX(0,P616-IF($A629&gt;='1-Input'!$C$12,'1-Input'!$B$13,0))-MIN(MAX(T628,0),MAX(0,P616-IF($A629&gt;='1-Input'!$C$12,'1-Input'!$B$13,0))))*(1/(1-'P-Parametri'!$B$6*P629))+MIN(MAX(0,U628-(MAX(0,P616-IF($A629&gt;='1-Input'!$C$12,'1-Input'!$B$13,0))-MIN(MAX(T628,0),MAX(0,P616-IF($A629&gt;='1-Input'!$C$12,'1-Input'!$B$13,0))))*(1/(1-'P-Parametri'!$B$6*P629))),MAX(0,2*P616-(T628-MIN(MAX(T628,0),MAX(0,P616-IF($A629&gt;='1-Input'!$C$12,'1-Input'!$B$13,0)))))*(1/(1-'P-Parametri'!$B$6*P629))))</f>
        <v>21323.715622750526</v>
      </c>
      <c r="R629" s="18">
        <f>IF($A629&gt;'1-Input'!$B$26,T628,(T628-MAX(0,P616-IF($A629&gt;='1-Input'!$C$12,'1-Input'!$B$13,0))+Q629*(1-'P-Parametri'!$B$6*P629))*(1+'1-Input'!$B$27))</f>
        <v>37760.964119681914</v>
      </c>
      <c r="S629" s="18">
        <f>IF($A629&gt;'1-Input'!$B$26,U628,(U628-Q629)*(1+'5-Roberta'!$C$4))</f>
        <v>272549.87209266704</v>
      </c>
      <c r="T629" s="18">
        <f>IF($A629&gt;'1-Input'!$B$26,R629,R629-'P-Parametri'!$B$8*(S629+R629)+MIN(MAX(S629,0),'P-Parametri'!$B$8*(S629+R629)))</f>
        <v>37760.964119681914</v>
      </c>
      <c r="U629" s="18">
        <f>IF($A629&gt;'1-Input'!$B$26,S629,S629-MIN(MAX(S629,0),'P-Parametri'!$B$8*(S629+R629)))</f>
        <v>271929.25042024232</v>
      </c>
      <c r="V629" s="18">
        <f>IF($A629&gt;'1-Input'!$B$26,V628,V628-Q629*(1-P629))</f>
        <v>157768.39006451599</v>
      </c>
      <c r="W629" s="11">
        <f>IF($A629&gt;'1-Input'!$B$26,0,IF(AB628&lt;=0,0,MAX(0,(AB628-AC628)/AB628)))</f>
        <v>0.40380673773942322</v>
      </c>
      <c r="X629" s="18">
        <f>IF($A629&gt;'1-Input'!$B$26,0,(MAX(0,W616-IF($A629&gt;='1-Input'!$C$12,'1-Input'!$B$13,0))-MIN(MAX(AA628,0),MAX(0,W616-IF($A629&gt;='1-Input'!$C$12,'1-Input'!$B$13,0))))*(1/(1-'P-Parametri'!$B$6*W629))+MIN(MAX(0,AB628-(MAX(0,W616-IF($A629&gt;='1-Input'!$C$12,'1-Input'!$B$13,0))-MIN(MAX(AA628,0),MAX(0,W616-IF($A629&gt;='1-Input'!$C$12,'1-Input'!$B$13,0))))*(1/(1-'P-Parametri'!$B$6*W629))),MAX(0,2*W616-(AA628-MIN(MAX(AA628,0),MAX(0,W616-IF($A629&gt;='1-Input'!$C$12,'1-Input'!$B$13,0)))))*(1/(1-'P-Parametri'!$B$6*W629))))</f>
        <v>20979.19482535425</v>
      </c>
      <c r="Y629" s="18">
        <f>IF($A629&gt;'1-Input'!$B$26,AA628,(AA628-MAX(0,W616-IF($A629&gt;='1-Input'!$C$12,'1-Input'!$B$13,0))+X629*(1-'P-Parametri'!$B$6*W629))*(1+'1-Input'!$B$27))</f>
        <v>37150.513557777522</v>
      </c>
      <c r="Z629" s="18">
        <f>IF($A629&gt;'1-Input'!$B$26,AB628,(AB628-X629)*(1+'5-Roberta'!$C$4))</f>
        <v>277771.24670872709</v>
      </c>
      <c r="AA629" s="18">
        <f>IF($A629&gt;'1-Input'!$B$26,Y629,Y629-'P-Parametri'!$B$8*(Z629+Y629)+MIN(MAX(Z629,0),'P-Parametri'!$B$8*(Z629+Y629)))</f>
        <v>37150.513557777522</v>
      </c>
      <c r="AB629" s="18">
        <f>IF($A629&gt;'1-Input'!$B$26,Z629,Z629-MIN(MAX(Z629,0),'P-Parametri'!$B$8*(Z629+Y629)))</f>
        <v>277141.40318819409</v>
      </c>
      <c r="AC629" s="18">
        <f>IF($A629&gt;'1-Input'!$B$26,AC628,AC628-X629*(1-W629))</f>
        <v>160781.88906549854</v>
      </c>
      <c r="AD629" s="11">
        <f>IF($A629&gt;'1-Input'!$B$26,0,IF(AI628&lt;=0,0,MAX(0,(AI628-AJ628)/AI628)))</f>
        <v>0.40380942097275463</v>
      </c>
      <c r="AE629" s="18">
        <f>IF($A629&gt;'1-Input'!$B$26,0,(MAX(0,AD616-IF($A629&gt;='1-Input'!$C$12,'1-Input'!$B$13,0))-MIN(MAX(AH628,0),MAX(0,AD616-IF($A629&gt;='1-Input'!$C$12,'1-Input'!$B$13,0))))*(1/(1-'P-Parametri'!$B$6*AD629))+MIN(MAX(0,AI628-(MAX(0,AD616-IF($A629&gt;='1-Input'!$C$12,'1-Input'!$B$13,0))-MIN(MAX(AH628,0),MAX(0,AD616-IF($A629&gt;='1-Input'!$C$12,'1-Input'!$B$13,0))))*(1/(1-'P-Parametri'!$B$6*AD629))),MAX(0,2*AD616-(AH628-MIN(MAX(AH628,0),MAX(0,AD616-IF($A629&gt;='1-Input'!$C$12,'1-Input'!$B$13,0)))))*(1/(1-'P-Parametri'!$B$6*AD629))))</f>
        <v>20951.042168782456</v>
      </c>
      <c r="AF629" s="18">
        <f>IF($A629&gt;'1-Input'!$B$26,AH628,(AH628-MAX(0,AD616-IF($A629&gt;='1-Input'!$C$12,'1-Input'!$B$13,0))+AE629*(1-'P-Parametri'!$B$6*AD629))*(1+'1-Input'!$B$27))</f>
        <v>37100.631169120483</v>
      </c>
      <c r="AG629" s="18">
        <f>IF($A629&gt;'1-Input'!$B$26,AI628,(AI628-AE629)*(1+'5-Roberta'!$C$4))</f>
        <v>278197.90867130691</v>
      </c>
      <c r="AH629" s="18">
        <f>IF($A629&gt;'1-Input'!$B$26,AF629,AF629-'P-Parametri'!$B$8*(AG629+AF629)+MIN(MAX(AG629,0),'P-Parametri'!$B$8*(AG629+AF629)))</f>
        <v>37100.631169120483</v>
      </c>
      <c r="AI629" s="18">
        <f>IF($A629&gt;'1-Input'!$B$26,AG629,AG629-MIN(MAX(AG629,0),'P-Parametri'!$B$8*(AG629+AF629)))</f>
        <v>277567.31159162603</v>
      </c>
      <c r="AJ629" s="18">
        <f>IF($A629&gt;'1-Input'!$B$26,AJ628,AJ628-AE629*(1-AD629))</f>
        <v>161028.12840283028</v>
      </c>
      <c r="AK629" s="11">
        <f>IF($A629&gt;'1-Input'!$B$26,0,IF(AP628&lt;=0,0,MAX(0,(AP628-AQ628)/AP628)))</f>
        <v>0.40380942621048971</v>
      </c>
      <c r="AL629" s="18">
        <f>IF($A629&gt;'1-Input'!$B$26,0,(MAX(0,AK616-IF($A629&gt;='1-Input'!$C$12,'1-Input'!$B$13,0))-MIN(MAX(AO628,0),MAX(0,AK616-IF($A629&gt;='1-Input'!$C$12,'1-Input'!$B$13,0))))*(1/(1-'P-Parametri'!$B$6*AK629))+MIN(MAX(0,AP628-(MAX(0,AK616-IF($A629&gt;='1-Input'!$C$12,'1-Input'!$B$13,0))-MIN(MAX(AO628,0),MAX(0,AK616-IF($A629&gt;='1-Input'!$C$12,'1-Input'!$B$13,0))))*(1/(1-'P-Parametri'!$B$6*AK629))),MAX(0,2*AK616-(AO628-MIN(MAX(AO628,0),MAX(0,AK616-IF($A629&gt;='1-Input'!$C$12,'1-Input'!$B$13,0)))))*(1/(1-'P-Parametri'!$B$6*AK629))))</f>
        <v>20950.987170566903</v>
      </c>
      <c r="AM629" s="18">
        <f>IF($A629&gt;'1-Input'!$B$26,AO628,(AO628-MAX(0,AK616-IF($A629&gt;='1-Input'!$C$12,'1-Input'!$B$13,0))+AL629*(1-'P-Parametri'!$B$6*AK629))*(1+'1-Input'!$B$27))</f>
        <v>37100.533720449675</v>
      </c>
      <c r="AN629" s="18">
        <f>IF($A629&gt;'1-Input'!$B$26,AP628,(AP628-AL629)*(1+'5-Roberta'!$C$4))</f>
        <v>278198.74218507804</v>
      </c>
      <c r="AO629" s="18">
        <f>IF($A629&gt;'1-Input'!$B$26,AM629,AM629-'P-Parametri'!$B$8*(AN629+AM629)+MIN(MAX(AN629,0),'P-Parametri'!$B$8*(AN629+AM629)))</f>
        <v>37100.533720449675</v>
      </c>
      <c r="AP629" s="18">
        <f>IF($A629&gt;'1-Input'!$B$26,AN629,AN629-MIN(MAX(AN629,0),'P-Parametri'!$B$8*(AN629+AM629)))</f>
        <v>277568.14363326697</v>
      </c>
      <c r="AQ629" s="18">
        <f>IF($A629&gt;'1-Input'!$B$26,AQ628,AQ628-AL629*(1-AK629))</f>
        <v>161028.60944741915</v>
      </c>
    </row>
    <row r="630" spans="1:43">
      <c r="A630" s="10">
        <f>12</f>
        <v>12</v>
      </c>
      <c r="B630" s="11">
        <f>IF($A630&gt;'1-Input'!$B$26,0,IF(G629&lt;=0,0,MAX(0,(G629-H629)/G629)))</f>
        <v>0.42008036795299719</v>
      </c>
      <c r="C630" s="18">
        <f>IF($A630&gt;'1-Input'!$B$26,0,(MAX(0,B616-IF($A630&gt;='1-Input'!$C$12,'1-Input'!$B$13,0))-MIN(MAX(F629,0),MAX(0,B616-IF($A630&gt;='1-Input'!$C$12,'1-Input'!$B$13,0))))*(1/(1-'P-Parametri'!$B$6*B630))+MIN(MAX(0,G629-(MAX(0,B616-IF($A630&gt;='1-Input'!$C$12,'1-Input'!$B$13,0))-MIN(MAX(F629,0),MAX(0,B616-IF($A630&gt;='1-Input'!$C$12,'1-Input'!$B$13,0))))*(1/(1-'P-Parametri'!$B$6*B630))),MAX(0,2*B616-(F629-MIN(MAX(F629,0),MAX(0,B616-IF($A630&gt;='1-Input'!$C$12,'1-Input'!$B$13,0)))))*(1/(1-'P-Parametri'!$B$6*B630))))</f>
        <v>18861.195588423936</v>
      </c>
      <c r="D630" s="18">
        <f>IF($A630&gt;'1-Input'!$B$26,F629,(F629-MAX(0,B616-IF($A630&gt;='1-Input'!$C$12,'1-Input'!$B$13,0))+C630*(1-'P-Parametri'!$B$6*B630))*(1+'1-Input'!$B$27))</f>
        <v>33242.0070309863</v>
      </c>
      <c r="E630" s="18">
        <f>IF($A630&gt;'1-Input'!$B$26,G629,(G629-C630)*(1+'5-Roberta'!$C$4))</f>
        <v>300402.60317883774</v>
      </c>
      <c r="F630" s="18">
        <f>IF($A630&gt;'1-Input'!$B$26,D630,D630-'P-Parametri'!$B$8*(E630+D630)+MIN(MAX(E630,0),'P-Parametri'!$B$8*(E630+D630)))</f>
        <v>33242.0070309863</v>
      </c>
      <c r="G630" s="18">
        <f>IF($A630&gt;'1-Input'!$B$26,E630,E630-MIN(MAX(E630,0),'P-Parametri'!$B$8*(E630+D630)))</f>
        <v>299735.31395841809</v>
      </c>
      <c r="H630" s="18">
        <f>IF($A630&gt;'1-Input'!$B$26,H629,H629-C630*(1-B630))</f>
        <v>169135.30786546931</v>
      </c>
      <c r="I630" s="11">
        <f>IF($A630&gt;'1-Input'!$B$26,0,IF(N629&lt;=0,0,MAX(0,(N629-O629)/N629)))</f>
        <v>0.41939537367530222</v>
      </c>
      <c r="J630" s="18">
        <f>IF($A630&gt;'1-Input'!$B$26,0,(MAX(0,I616-IF($A630&gt;='1-Input'!$C$12,'1-Input'!$B$13,0))-MIN(MAX(M629,0),MAX(0,I616-IF($A630&gt;='1-Input'!$C$12,'1-Input'!$B$13,0))))*(1/(1-'P-Parametri'!$B$6*I630))+MIN(MAX(0,N629-(MAX(0,I616-IF($A630&gt;='1-Input'!$C$12,'1-Input'!$B$13,0))-MIN(MAX(M629,0),MAX(0,I616-IF($A630&gt;='1-Input'!$C$12,'1-Input'!$B$13,0))))*(1/(1-'P-Parametri'!$B$6*I630))),MAX(0,2*I616-(M629-MIN(MAX(M629,0),MAX(0,I616-IF($A630&gt;='1-Input'!$C$12,'1-Input'!$B$13,0)))))*(1/(1-'P-Parametri'!$B$6*I630))))</f>
        <v>24812.401732317619</v>
      </c>
      <c r="K630" s="18">
        <f>IF($A630&gt;'1-Input'!$B$26,M629,(M629-MAX(0,I616-IF($A630&gt;='1-Input'!$C$12,'1-Input'!$B$13,0))+J630*(1-'P-Parametri'!$B$6*I630))*(1+'1-Input'!$B$27))</f>
        <v>43739.482935508291</v>
      </c>
      <c r="L630" s="18">
        <f>IF($A630&gt;'1-Input'!$B$26,N629,(N629-J630)*(1+'5-Roberta'!$C$4))</f>
        <v>201956.21828267607</v>
      </c>
      <c r="M630" s="18">
        <f>IF($A630&gt;'1-Input'!$B$26,K630,K630-'P-Parametri'!$B$8*(L630+K630)+MIN(MAX(L630,0),'P-Parametri'!$B$8*(L630+K630)))</f>
        <v>43739.482935508291</v>
      </c>
      <c r="N630" s="18">
        <f>IF($A630&gt;'1-Input'!$B$26,L630,L630-MIN(MAX(L630,0),'P-Parametri'!$B$8*(L630+K630)))</f>
        <v>201464.82688023971</v>
      </c>
      <c r="O630" s="18">
        <f>IF($A630&gt;'1-Input'!$B$26,O629,O629-J630*(1-I630))</f>
        <v>113841.47053394392</v>
      </c>
      <c r="P630" s="11">
        <f>IF($A630&gt;'1-Input'!$B$26,0,IF(U629&lt;=0,0,MAX(0,(U629-V629)/U629)))</f>
        <v>0.41981824382371863</v>
      </c>
      <c r="Q630" s="18">
        <f>IF($A630&gt;'1-Input'!$B$26,0,(MAX(0,P616-IF($A630&gt;='1-Input'!$C$12,'1-Input'!$B$13,0))-MIN(MAX(T629,0),MAX(0,P616-IF($A630&gt;='1-Input'!$C$12,'1-Input'!$B$13,0))))*(1/(1-'P-Parametri'!$B$6*P630))+MIN(MAX(0,U629-(MAX(0,P616-IF($A630&gt;='1-Input'!$C$12,'1-Input'!$B$13,0))-MIN(MAX(T629,0),MAX(0,P616-IF($A630&gt;='1-Input'!$C$12,'1-Input'!$B$13,0))))*(1/(1-'P-Parametri'!$B$6*P630))),MAX(0,2*P616-(T629-MIN(MAX(T629,0),MAX(0,P616-IF($A630&gt;='1-Input'!$C$12,'1-Input'!$B$13,0)))))*(1/(1-'P-Parametri'!$B$6*P630))))</f>
        <v>21423.569360426805</v>
      </c>
      <c r="R630" s="18">
        <f>IF($A630&gt;'1-Input'!$B$26,T629,(T629-MAX(0,P616-IF($A630&gt;='1-Input'!$C$12,'1-Input'!$B$13,0))+Q630*(1-'P-Parametri'!$B$6*P630))*(1+'1-Input'!$B$27))</f>
        <v>37760.964119681914</v>
      </c>
      <c r="S630" s="18">
        <f>IF($A630&gt;'1-Input'!$B$26,U629,(U629-Q630)*(1+'5-Roberta'!$C$4))</f>
        <v>258020.85149161</v>
      </c>
      <c r="T630" s="18">
        <f>IF($A630&gt;'1-Input'!$B$26,R630,R630-'P-Parametri'!$B$8*(S630+R630)+MIN(MAX(S630,0),'P-Parametri'!$B$8*(S630+R630)))</f>
        <v>37760.964119681914</v>
      </c>
      <c r="U630" s="18">
        <f>IF($A630&gt;'1-Input'!$B$26,S630,S630-MIN(MAX(S630,0),'P-Parametri'!$B$8*(S630+R630)))</f>
        <v>257429.28786038741</v>
      </c>
      <c r="V630" s="18">
        <f>IF($A630&gt;'1-Input'!$B$26,V629,V629-Q630*(1-P630))</f>
        <v>145338.82596941918</v>
      </c>
      <c r="W630" s="11">
        <f>IF($A630&gt;'1-Input'!$B$26,0,IF(AB629&lt;=0,0,MAX(0,(AB629-AC629)/AB629)))</f>
        <v>0.41985611959856139</v>
      </c>
      <c r="X630" s="18">
        <f>IF($A630&gt;'1-Input'!$B$26,0,(MAX(0,W616-IF($A630&gt;='1-Input'!$C$12,'1-Input'!$B$13,0))-MIN(MAX(AA629,0),MAX(0,W616-IF($A630&gt;='1-Input'!$C$12,'1-Input'!$B$13,0))))*(1/(1-'P-Parametri'!$B$6*W630))+MIN(MAX(0,AB629-(MAX(0,W616-IF($A630&gt;='1-Input'!$C$12,'1-Input'!$B$13,0))-MIN(MAX(AA629,0),MAX(0,W616-IF($A630&gt;='1-Input'!$C$12,'1-Input'!$B$13,0))))*(1/(1-'P-Parametri'!$B$6*W630))),MAX(0,2*W616-(AA629-MIN(MAX(AA629,0),MAX(0,W616-IF($A630&gt;='1-Input'!$C$12,'1-Input'!$B$13,0)))))*(1/(1-'P-Parametri'!$B$6*W630))))</f>
        <v>21077.465067966201</v>
      </c>
      <c r="Y630" s="18">
        <f>IF($A630&gt;'1-Input'!$B$26,AA629,(AA629-MAX(0,W616-IF($A630&gt;='1-Input'!$C$12,'1-Input'!$B$13,0))+X630*(1-'P-Parametri'!$B$6*W630))*(1+'1-Input'!$B$27))</f>
        <v>37150.513557777522</v>
      </c>
      <c r="Z630" s="18">
        <f>IF($A630&gt;'1-Input'!$B$26,AB629,(AB629-X630)*(1+'5-Roberta'!$C$4))</f>
        <v>263745.85626383475</v>
      </c>
      <c r="AA630" s="18">
        <f>IF($A630&gt;'1-Input'!$B$26,Y630,Y630-'P-Parametri'!$B$8*(Z630+Y630)+MIN(MAX(Z630,0),'P-Parametri'!$B$8*(Z630+Y630)))</f>
        <v>37150.513557777522</v>
      </c>
      <c r="AB630" s="18">
        <f>IF($A630&gt;'1-Input'!$B$26,Z630,Z630-MIN(MAX(Z630,0),'P-Parametri'!$B$8*(Z630+Y630)))</f>
        <v>263144.0635241915</v>
      </c>
      <c r="AC630" s="18">
        <f>IF($A630&gt;'1-Input'!$B$26,AC629,AC629-X630*(1-W630))</f>
        <v>148553.92669194285</v>
      </c>
      <c r="AD630" s="11">
        <f>IF($A630&gt;'1-Input'!$B$26,0,IF(AI629&lt;=0,0,MAX(0,(AI629-AJ629)/AI629)))</f>
        <v>0.41985917765509545</v>
      </c>
      <c r="AE630" s="18">
        <f>IF($A630&gt;'1-Input'!$B$26,0,(MAX(0,AD616-IF($A630&gt;='1-Input'!$C$12,'1-Input'!$B$13,0))-MIN(MAX(AH629,0),MAX(0,AD616-IF($A630&gt;='1-Input'!$C$12,'1-Input'!$B$13,0))))*(1/(1-'P-Parametri'!$B$6*AD630))+MIN(MAX(0,AI629-(MAX(0,AD616-IF($A630&gt;='1-Input'!$C$12,'1-Input'!$B$13,0))-MIN(MAX(AH629,0),MAX(0,AD616-IF($A630&gt;='1-Input'!$C$12,'1-Input'!$B$13,0))))*(1/(1-'P-Parametri'!$B$6*AD630))),MAX(0,2*AD616-(AH629-MIN(MAX(AH629,0),MAX(0,AD616-IF($A630&gt;='1-Input'!$C$12,'1-Input'!$B$13,0)))))*(1/(1-'P-Parametri'!$B$6*AD630))))</f>
        <v>21049.182918946768</v>
      </c>
      <c r="AF630" s="18">
        <f>IF($A630&gt;'1-Input'!$B$26,AH629,(AH629-MAX(0,AD616-IF($A630&gt;='1-Input'!$C$12,'1-Input'!$B$13,0))+AE630*(1-'P-Parametri'!$B$6*AD630))*(1+'1-Input'!$B$27))</f>
        <v>37100.631169120483</v>
      </c>
      <c r="AG630" s="18">
        <f>IF($A630&gt;'1-Input'!$B$26,AI629,(AI629-AE630)*(1+'5-Roberta'!$C$4))</f>
        <v>264213.67253285961</v>
      </c>
      <c r="AH630" s="18">
        <f>IF($A630&gt;'1-Input'!$B$26,AF630,AF630-'P-Parametri'!$B$8*(AG630+AF630)+MIN(MAX(AG630,0),'P-Parametri'!$B$8*(AG630+AF630)))</f>
        <v>37100.631169120483</v>
      </c>
      <c r="AI630" s="18">
        <f>IF($A630&gt;'1-Input'!$B$26,AG630,AG630-MIN(MAX(AG630,0),'P-Parametri'!$B$8*(AG630+AF630)))</f>
        <v>263611.04392545565</v>
      </c>
      <c r="AJ630" s="18">
        <f>IF($A630&gt;'1-Input'!$B$26,AJ629,AJ629-AE630*(1-AD630))</f>
        <v>148816.63811454418</v>
      </c>
      <c r="AK630" s="11">
        <f>IF($A630&gt;'1-Input'!$B$26,0,IF(AP629&lt;=0,0,MAX(0,(AP629-AQ629)/AP629)))</f>
        <v>0.41985918362383851</v>
      </c>
      <c r="AL630" s="18">
        <f>IF($A630&gt;'1-Input'!$B$26,0,(MAX(0,AK616-IF($A630&gt;='1-Input'!$C$12,'1-Input'!$B$13,0))-MIN(MAX(AO629,0),MAX(0,AK616-IF($A630&gt;='1-Input'!$C$12,'1-Input'!$B$13,0))))*(1/(1-'P-Parametri'!$B$6*AK630))+MIN(MAX(0,AP629-(MAX(0,AK616-IF($A630&gt;='1-Input'!$C$12,'1-Input'!$B$13,0))-MIN(MAX(AO629,0),MAX(0,AK616-IF($A630&gt;='1-Input'!$C$12,'1-Input'!$B$13,0))))*(1/(1-'P-Parametri'!$B$6*AK630))),MAX(0,2*AK616-(AO629-MIN(MAX(AO629,0),MAX(0,AK616-IF($A630&gt;='1-Input'!$C$12,'1-Input'!$B$13,0)))))*(1/(1-'P-Parametri'!$B$6*AK630))))</f>
        <v>21049.127667744528</v>
      </c>
      <c r="AM630" s="18">
        <f>IF($A630&gt;'1-Input'!$B$26,AO629,(AO629-MAX(0,AK616-IF($A630&gt;='1-Input'!$C$12,'1-Input'!$B$13,0))+AL630*(1-'P-Parametri'!$B$6*AK630))*(1+'1-Input'!$B$27))</f>
        <v>37100.533720449668</v>
      </c>
      <c r="AN630" s="18">
        <f>IF($A630&gt;'1-Input'!$B$26,AP629,(AP629-AL630)*(1+'5-Roberta'!$C$4))</f>
        <v>264214.58644448814</v>
      </c>
      <c r="AO630" s="18">
        <f>IF($A630&gt;'1-Input'!$B$26,AM630,AM630-'P-Parametri'!$B$8*(AN630+AM630)+MIN(MAX(AN630,0),'P-Parametri'!$B$8*(AN630+AM630)))</f>
        <v>37100.533720449668</v>
      </c>
      <c r="AP630" s="18">
        <f>IF($A630&gt;'1-Input'!$B$26,AN630,AN630-MIN(MAX(AN630,0),'P-Parametri'!$B$8*(AN630+AM630)))</f>
        <v>263611.95620415825</v>
      </c>
      <c r="AQ630" s="18">
        <f>IF($A630&gt;'1-Input'!$B$26,AQ629,AQ629-AL630*(1-AK630))</f>
        <v>148817.15133824779</v>
      </c>
    </row>
    <row r="631" spans="1:43">
      <c r="A631" s="10">
        <f>13</f>
        <v>13</v>
      </c>
      <c r="B631" s="11">
        <f>IF($A631&gt;'1-Input'!$B$26,0,IF(G630&lt;=0,0,MAX(0,(G630-H630)/G630)))</f>
        <v>0.43571778169277298</v>
      </c>
      <c r="C631" s="18">
        <f>IF($A631&gt;'1-Input'!$B$26,0,(MAX(0,B616-IF($A631&gt;='1-Input'!$C$12,'1-Input'!$B$13,0))-MIN(MAX(F630,0),MAX(0,B616-IF($A631&gt;='1-Input'!$C$12,'1-Input'!$B$13,0))))*(1/(1-'P-Parametri'!$B$6*B631))+MIN(MAX(0,G630-(MAX(0,B616-IF($A631&gt;='1-Input'!$C$12,'1-Input'!$B$13,0))-MIN(MAX(F630,0),MAX(0,B616-IF($A631&gt;='1-Input'!$C$12,'1-Input'!$B$13,0))))*(1/(1-'P-Parametri'!$B$6*B631))),MAX(0,2*B616-(F630-MIN(MAX(F630,0),MAX(0,B616-IF($A631&gt;='1-Input'!$C$12,'1-Input'!$B$13,0)))))*(1/(1-'P-Parametri'!$B$6*B631))))</f>
        <v>18947.677291487216</v>
      </c>
      <c r="D631" s="18">
        <f>IF($A631&gt;'1-Input'!$B$26,F630,(F630-MAX(0,B616-IF($A631&gt;='1-Input'!$C$12,'1-Input'!$B$13,0))+C631*(1-'P-Parametri'!$B$6*B631))*(1+'1-Input'!$B$27))</f>
        <v>33242.0070309863</v>
      </c>
      <c r="E631" s="18">
        <f>IF($A631&gt;'1-Input'!$B$26,G630,(G630-C631)*(1+'5-Roberta'!$C$4))</f>
        <v>289211.2657669388</v>
      </c>
      <c r="F631" s="18">
        <f>IF($A631&gt;'1-Input'!$B$26,D631,D631-'P-Parametri'!$B$8*(E631+D631)+MIN(MAX(E631,0),'P-Parametri'!$B$8*(E631+D631)))</f>
        <v>33242.0070309863</v>
      </c>
      <c r="G631" s="18">
        <f>IF($A631&gt;'1-Input'!$B$26,E631,E631-MIN(MAX(E631,0),'P-Parametri'!$B$8*(E631+D631)))</f>
        <v>288566.35922134295</v>
      </c>
      <c r="H631" s="18">
        <f>IF($A631&gt;'1-Input'!$B$26,H630,H630-C631*(1-B631))</f>
        <v>158443.47049165942</v>
      </c>
      <c r="I631" s="11">
        <f>IF($A631&gt;'1-Input'!$B$26,0,IF(N630&lt;=0,0,MAX(0,(N630-O630)/N630)))</f>
        <v>0.43493128653362051</v>
      </c>
      <c r="J631" s="18">
        <f>IF($A631&gt;'1-Input'!$B$26,0,(MAX(0,I616-IF($A631&gt;='1-Input'!$C$12,'1-Input'!$B$13,0))-MIN(MAX(M630,0),MAX(0,I616-IF($A631&gt;='1-Input'!$C$12,'1-Input'!$B$13,0))))*(1/(1-'P-Parametri'!$B$6*I631))+MIN(MAX(0,N630-(MAX(0,I616-IF($A631&gt;='1-Input'!$C$12,'1-Input'!$B$13,0))-MIN(MAX(M630,0),MAX(0,I616-IF($A631&gt;='1-Input'!$C$12,'1-Input'!$B$13,0))))*(1/(1-'P-Parametri'!$B$6*I631))),MAX(0,2*I616-(M630-MIN(MAX(M630,0),MAX(0,I616-IF($A631&gt;='1-Input'!$C$12,'1-Input'!$B$13,0)))))*(1/(1-'P-Parametri'!$B$6*I631))))</f>
        <v>24925.406177023739</v>
      </c>
      <c r="K631" s="18">
        <f>IF($A631&gt;'1-Input'!$B$26,M630,(M630-MAX(0,I616-IF($A631&gt;='1-Input'!$C$12,'1-Input'!$B$13,0))+J631*(1-'P-Parametri'!$B$6*I631))*(1+'1-Input'!$B$27))</f>
        <v>43739.482935508291</v>
      </c>
      <c r="L631" s="18">
        <f>IF($A631&gt;'1-Input'!$B$26,N630,(N630-J631)*(1+'5-Roberta'!$C$4))</f>
        <v>181835.60332431245</v>
      </c>
      <c r="M631" s="18">
        <f>IF($A631&gt;'1-Input'!$B$26,K631,K631-'P-Parametri'!$B$8*(L631+K631)+MIN(MAX(L631,0),'P-Parametri'!$B$8*(L631+K631)))</f>
        <v>43739.482935508291</v>
      </c>
      <c r="N631" s="18">
        <f>IF($A631&gt;'1-Input'!$B$26,L631,L631-MIN(MAX(L631,0),'P-Parametri'!$B$8*(L631+K631)))</f>
        <v>181384.45315179281</v>
      </c>
      <c r="O631" s="18">
        <f>IF($A631&gt;'1-Input'!$B$26,O630,O630-J631*(1-I631))</f>
        <v>99756.903332866175</v>
      </c>
      <c r="P631" s="11">
        <f>IF($A631&gt;'1-Input'!$B$26,0,IF(U630&lt;=0,0,MAX(0,(U630-V630)/U630)))</f>
        <v>0.43542233606208269</v>
      </c>
      <c r="Q631" s="18">
        <f>IF($A631&gt;'1-Input'!$B$26,0,(MAX(0,P616-IF($A631&gt;='1-Input'!$C$12,'1-Input'!$B$13,0))-MIN(MAX(T630,0),MAX(0,P616-IF($A631&gt;='1-Input'!$C$12,'1-Input'!$B$13,0))))*(1/(1-'P-Parametri'!$B$6*P631))+MIN(MAX(0,U630-(MAX(0,P616-IF($A631&gt;='1-Input'!$C$12,'1-Input'!$B$13,0))-MIN(MAX(T630,0),MAX(0,P616-IF($A631&gt;='1-Input'!$C$12,'1-Input'!$B$13,0))))*(1/(1-'P-Parametri'!$B$6*P631))),MAX(0,2*P616-(T630-MIN(MAX(T630,0),MAX(0,P616-IF($A631&gt;='1-Input'!$C$12,'1-Input'!$B$13,0)))))*(1/(1-'P-Parametri'!$B$6*P631))))</f>
        <v>21521.582162485825</v>
      </c>
      <c r="R631" s="18">
        <f>IF($A631&gt;'1-Input'!$B$26,T630,(T630-MAX(0,P616-IF($A631&gt;='1-Input'!$C$12,'1-Input'!$B$13,0))+Q631*(1-'P-Parametri'!$B$6*P631))*(1+'1-Input'!$B$27))</f>
        <v>37760.964119681914</v>
      </c>
      <c r="S631" s="18">
        <f>IF($A631&gt;'1-Input'!$B$26,U630,(U630-Q631)*(1+'5-Roberta'!$C$4))</f>
        <v>242984.93686883862</v>
      </c>
      <c r="T631" s="18">
        <f>IF($A631&gt;'1-Input'!$B$26,R631,R631-'P-Parametri'!$B$8*(S631+R631)+MIN(MAX(S631,0),'P-Parametri'!$B$8*(S631+R631)))</f>
        <v>37760.964119681914</v>
      </c>
      <c r="U631" s="18">
        <f>IF($A631&gt;'1-Input'!$B$26,S631,S631-MIN(MAX(S631,0),'P-Parametri'!$B$8*(S631+R631)))</f>
        <v>242423.44506686158</v>
      </c>
      <c r="V631" s="18">
        <f>IF($A631&gt;'1-Input'!$B$26,V630,V630-Q631*(1-P631))</f>
        <v>133188.22138787498</v>
      </c>
      <c r="W631" s="11">
        <f>IF($A631&gt;'1-Input'!$B$26,0,IF(AB630&lt;=0,0,MAX(0,(AB630-AC630)/AB630)))</f>
        <v>0.43546540741822243</v>
      </c>
      <c r="X631" s="18">
        <f>IF($A631&gt;'1-Input'!$B$26,0,(MAX(0,W616-IF($A631&gt;='1-Input'!$C$12,'1-Input'!$B$13,0))-MIN(MAX(AA630,0),MAX(0,W616-IF($A631&gt;='1-Input'!$C$12,'1-Input'!$B$13,0))))*(1/(1-'P-Parametri'!$B$6*W631))+MIN(MAX(0,AB630-(MAX(0,W616-IF($A631&gt;='1-Input'!$C$12,'1-Input'!$B$13,0))-MIN(MAX(AA630,0),MAX(0,W616-IF($A631&gt;='1-Input'!$C$12,'1-Input'!$B$13,0))))*(1/(1-'P-Parametri'!$B$6*W631))),MAX(0,2*W616-(AA630-MIN(MAX(AA630,0),MAX(0,W616-IF($A631&gt;='1-Input'!$C$12,'1-Input'!$B$13,0)))))*(1/(1-'P-Parametri'!$B$6*W631))))</f>
        <v>21173.927768873797</v>
      </c>
      <c r="Y631" s="18">
        <f>IF($A631&gt;'1-Input'!$B$26,AA630,(AA630-MAX(0,W616-IF($A631&gt;='1-Input'!$C$12,'1-Input'!$B$13,0))+X631*(1-'P-Parametri'!$B$6*W631))*(1+'1-Input'!$B$27))</f>
        <v>37150.513557777522</v>
      </c>
      <c r="Z631" s="18">
        <f>IF($A631&gt;'1-Input'!$B$26,AB630,(AB630-X631)*(1+'5-Roberta'!$C$4))</f>
        <v>249229.23982797723</v>
      </c>
      <c r="AA631" s="18">
        <f>IF($A631&gt;'1-Input'!$B$26,Y631,Y631-'P-Parametri'!$B$8*(Z631+Y631)+MIN(MAX(Z631,0),'P-Parametri'!$B$8*(Z631+Y631)))</f>
        <v>37150.513557777522</v>
      </c>
      <c r="AB631" s="18">
        <f>IF($A631&gt;'1-Input'!$B$26,Z631,Z631-MIN(MAX(Z631,0),'P-Parametri'!$B$8*(Z631+Y631)))</f>
        <v>248656.48032120572</v>
      </c>
      <c r="AC631" s="18">
        <f>IF($A631&gt;'1-Input'!$B$26,AC630,AC630-X631*(1-W631))</f>
        <v>136600.51200558568</v>
      </c>
      <c r="AD631" s="11">
        <f>IF($A631&gt;'1-Input'!$B$26,0,IF(AI630&lt;=0,0,MAX(0,(AI630-AJ630)/AI630)))</f>
        <v>0.43546887907842441</v>
      </c>
      <c r="AE631" s="18">
        <f>IF($A631&gt;'1-Input'!$B$26,0,(MAX(0,AD616-IF($A631&gt;='1-Input'!$C$12,'1-Input'!$B$13,0))-MIN(MAX(AH630,0),MAX(0,AD616-IF($A631&gt;='1-Input'!$C$12,'1-Input'!$B$13,0))))*(1/(1-'P-Parametri'!$B$6*AD631))+MIN(MAX(0,AI630-(MAX(0,AD616-IF($A631&gt;='1-Input'!$C$12,'1-Input'!$B$13,0))-MIN(MAX(AH630,0),MAX(0,AD616-IF($A631&gt;='1-Input'!$C$12,'1-Input'!$B$13,0))))*(1/(1-'P-Parametri'!$B$6*AD631))),MAX(0,2*AD616-(AH630-MIN(MAX(AH630,0),MAX(0,AD616-IF($A631&gt;='1-Input'!$C$12,'1-Input'!$B$13,0)))))*(1/(1-'P-Parametri'!$B$6*AD631))))</f>
        <v>21145.518834969975</v>
      </c>
      <c r="AF631" s="18">
        <f>IF($A631&gt;'1-Input'!$B$26,AH630,(AH630-MAX(0,AD616-IF($A631&gt;='1-Input'!$C$12,'1-Input'!$B$13,0))+AE631*(1-'P-Parametri'!$B$6*AD631))*(1+'1-Input'!$B$27))</f>
        <v>37100.631169120483</v>
      </c>
      <c r="AG631" s="18">
        <f>IF($A631&gt;'1-Input'!$B$26,AI630,(AI630-AE631)*(1+'5-Roberta'!$C$4))</f>
        <v>249739.49084320027</v>
      </c>
      <c r="AH631" s="18">
        <f>IF($A631&gt;'1-Input'!$B$26,AF631,AF631-'P-Parametri'!$B$8*(AG631+AF631)+MIN(MAX(AG631,0),'P-Parametri'!$B$8*(AG631+AF631)))</f>
        <v>37100.631169120483</v>
      </c>
      <c r="AI631" s="18">
        <f>IF($A631&gt;'1-Input'!$B$26,AG631,AG631-MIN(MAX(AG631,0),'P-Parametri'!$B$8*(AG631+AF631)))</f>
        <v>249165.81059917563</v>
      </c>
      <c r="AJ631" s="18">
        <f>IF($A631&gt;'1-Input'!$B$26,AJ630,AJ630-AE631*(1-AD631))</f>
        <v>136879.33466417031</v>
      </c>
      <c r="AK631" s="11">
        <f>IF($A631&gt;'1-Input'!$B$26,0,IF(AP630&lt;=0,0,MAX(0,(AP630-AQ630)/AP630)))</f>
        <v>0.43546888585359117</v>
      </c>
      <c r="AL631" s="18">
        <f>IF($A631&gt;'1-Input'!$B$26,0,(MAX(0,AK616-IF($A631&gt;='1-Input'!$C$12,'1-Input'!$B$13,0))-MIN(MAX(AO630,0),MAX(0,AK616-IF($A631&gt;='1-Input'!$C$12,'1-Input'!$B$13,0))))*(1/(1-'P-Parametri'!$B$6*AK631))+MIN(MAX(0,AP630-(MAX(0,AK616-IF($A631&gt;='1-Input'!$C$12,'1-Input'!$B$13,0))-MIN(MAX(AO630,0),MAX(0,AK616-IF($A631&gt;='1-Input'!$C$12,'1-Input'!$B$13,0))))*(1/(1-'P-Parametri'!$B$6*AK631))),MAX(0,2*AK616-(AO630-MIN(MAX(AO630,0),MAX(0,AK616-IF($A631&gt;='1-Input'!$C$12,'1-Input'!$B$13,0)))))*(1/(1-'P-Parametri'!$B$6*AK631))))</f>
        <v>21145.463336067482</v>
      </c>
      <c r="AM631" s="18">
        <f>IF($A631&gt;'1-Input'!$B$26,AO630,(AO630-MAX(0,AK616-IF($A631&gt;='1-Input'!$C$12,'1-Input'!$B$13,0))+AL631*(1-'P-Parametri'!$B$6*AK631))*(1+'1-Input'!$B$27))</f>
        <v>37100.533720449668</v>
      </c>
      <c r="AN631" s="18">
        <f>IF($A631&gt;'1-Input'!$B$26,AP630,(AP630-AL631)*(1+'5-Roberta'!$C$4))</f>
        <v>249740.4876541335</v>
      </c>
      <c r="AO631" s="18">
        <f>IF($A631&gt;'1-Input'!$B$26,AM631,AM631-'P-Parametri'!$B$8*(AN631+AM631)+MIN(MAX(AN631,0),'P-Parametri'!$B$8*(AN631+AM631)))</f>
        <v>37100.533720449668</v>
      </c>
      <c r="AP631" s="18">
        <f>IF($A631&gt;'1-Input'!$B$26,AN631,AN631-MIN(MAX(AN631,0),'P-Parametri'!$B$8*(AN631+AM631)))</f>
        <v>249166.80561138433</v>
      </c>
      <c r="AQ631" s="18">
        <f>IF($A631&gt;'1-Input'!$B$26,AQ630,AQ630-AL631*(1-AK631))</f>
        <v>136879.87936199558</v>
      </c>
    </row>
    <row r="632" spans="1:43">
      <c r="A632" s="10">
        <f>14</f>
        <v>14</v>
      </c>
      <c r="B632" s="11">
        <f>IF($A632&gt;'1-Input'!$B$26,0,IF(G631&lt;=0,0,MAX(0,(G631-H631)/G631)))</f>
        <v>0.45092882302983078</v>
      </c>
      <c r="C632" s="18">
        <f>IF($A632&gt;'1-Input'!$B$26,0,(MAX(0,B616-IF($A632&gt;='1-Input'!$C$12,'1-Input'!$B$13,0))-MIN(MAX(F631,0),MAX(0,B616-IF($A632&gt;='1-Input'!$C$12,'1-Input'!$B$13,0))))*(1/(1-'P-Parametri'!$B$6*B632))+MIN(MAX(0,G631-(MAX(0,B616-IF($A632&gt;='1-Input'!$C$12,'1-Input'!$B$13,0))-MIN(MAX(F631,0),MAX(0,B616-IF($A632&gt;='1-Input'!$C$12,'1-Input'!$B$13,0))))*(1/(1-'P-Parametri'!$B$6*B632))),MAX(0,2*B616-(F631-MIN(MAX(F631,0),MAX(0,B616-IF($A632&gt;='1-Input'!$C$12,'1-Input'!$B$13,0)))))*(1/(1-'P-Parametri'!$B$6*B632))))</f>
        <v>19032.565303492043</v>
      </c>
      <c r="D632" s="18">
        <f>IF($A632&gt;'1-Input'!$B$26,F631,(F631-MAX(0,B616-IF($A632&gt;='1-Input'!$C$12,'1-Input'!$B$13,0))+C632*(1-'P-Parametri'!$B$6*B632))*(1+'1-Input'!$B$27))</f>
        <v>33242.0070309863</v>
      </c>
      <c r="E632" s="18">
        <f>IF($A632&gt;'1-Input'!$B$26,G631,(G631-C632)*(1+'5-Roberta'!$C$4))</f>
        <v>277619.80773538642</v>
      </c>
      <c r="F632" s="18">
        <f>IF($A632&gt;'1-Input'!$B$26,D632,D632-'P-Parametri'!$B$8*(E632+D632)+MIN(MAX(E632,0),'P-Parametri'!$B$8*(E632+D632)))</f>
        <v>33242.0070309863</v>
      </c>
      <c r="G632" s="18">
        <f>IF($A632&gt;'1-Input'!$B$26,E632,E632-MIN(MAX(E632,0),'P-Parametri'!$B$8*(E632+D632)))</f>
        <v>276998.08410585369</v>
      </c>
      <c r="H632" s="18">
        <f>IF($A632&gt;'1-Input'!$B$26,H631,H631-C632*(1-B632))</f>
        <v>147993.23745970943</v>
      </c>
      <c r="I632" s="11">
        <f>IF($A632&gt;'1-Input'!$B$26,0,IF(N631&lt;=0,0,MAX(0,(N631-O631)/N631)))</f>
        <v>0.45002506223957389</v>
      </c>
      <c r="J632" s="18">
        <f>IF($A632&gt;'1-Input'!$B$26,0,(MAX(0,I616-IF($A632&gt;='1-Input'!$C$12,'1-Input'!$B$13,0))-MIN(MAX(M631,0),MAX(0,I616-IF($A632&gt;='1-Input'!$C$12,'1-Input'!$B$13,0))))*(1/(1-'P-Parametri'!$B$6*I632))+MIN(MAX(0,N631-(MAX(0,I616-IF($A632&gt;='1-Input'!$C$12,'1-Input'!$B$13,0))-MIN(MAX(M631,0),MAX(0,I616-IF($A632&gt;='1-Input'!$C$12,'1-Input'!$B$13,0))))*(1/(1-'P-Parametri'!$B$6*I632))),MAX(0,2*I616-(M631-MIN(MAX(M631,0),MAX(0,I616-IF($A632&gt;='1-Input'!$C$12,'1-Input'!$B$13,0)))))*(1/(1-'P-Parametri'!$B$6*I632))))</f>
        <v>25036.184805913705</v>
      </c>
      <c r="K632" s="18">
        <f>IF($A632&gt;'1-Input'!$B$26,M631,(M631-MAX(0,I616-IF($A632&gt;='1-Input'!$C$12,'1-Input'!$B$13,0))+J632*(1-'P-Parametri'!$B$6*I632))*(1+'1-Input'!$B$27))</f>
        <v>43739.482935508291</v>
      </c>
      <c r="L632" s="18">
        <f>IF($A632&gt;'1-Input'!$B$26,N631,(N631-J632)*(1+'5-Roberta'!$C$4))</f>
        <v>161038.71639625548</v>
      </c>
      <c r="M632" s="18">
        <f>IF($A632&gt;'1-Input'!$B$26,K632,K632-'P-Parametri'!$B$8*(L632+K632)+MIN(MAX(L632,0),'P-Parametri'!$B$8*(L632+K632)))</f>
        <v>43739.482935508291</v>
      </c>
      <c r="N632" s="18">
        <f>IF($A632&gt;'1-Input'!$B$26,L632,L632-MIN(MAX(L632,0),'P-Parametri'!$B$8*(L632+K632)))</f>
        <v>160629.15999759195</v>
      </c>
      <c r="O632" s="18">
        <f>IF($A632&gt;'1-Input'!$B$26,O631,O631-J632*(1-I632))</f>
        <v>85987.62915247526</v>
      </c>
      <c r="P632" s="11">
        <f>IF($A632&gt;'1-Input'!$B$26,0,IF(U631&lt;=0,0,MAX(0,(U631-V631)/U631)))</f>
        <v>0.45059677973332568</v>
      </c>
      <c r="Q632" s="18">
        <f>IF($A632&gt;'1-Input'!$B$26,0,(MAX(0,P616-IF($A632&gt;='1-Input'!$C$12,'1-Input'!$B$13,0))-MIN(MAX(T631,0),MAX(0,P616-IF($A632&gt;='1-Input'!$C$12,'1-Input'!$B$13,0))))*(1/(1-'P-Parametri'!$B$6*P632))+MIN(MAX(0,U631-(MAX(0,P616-IF($A632&gt;='1-Input'!$C$12,'1-Input'!$B$13,0))-MIN(MAX(T631,0),MAX(0,P616-IF($A632&gt;='1-Input'!$C$12,'1-Input'!$B$13,0))))*(1/(1-'P-Parametri'!$B$6*P632))),MAX(0,2*P616-(T631-MIN(MAX(T631,0),MAX(0,P616-IF($A632&gt;='1-Input'!$C$12,'1-Input'!$B$13,0)))))*(1/(1-'P-Parametri'!$B$6*P632))))</f>
        <v>21617.760206280254</v>
      </c>
      <c r="R632" s="18">
        <f>IF($A632&gt;'1-Input'!$B$26,T631,(T631-MAX(0,P616-IF($A632&gt;='1-Input'!$C$12,'1-Input'!$B$13,0))+Q632*(1-'P-Parametri'!$B$6*P632))*(1+'1-Input'!$B$27))</f>
        <v>37760.964119681914</v>
      </c>
      <c r="S632" s="18">
        <f>IF($A632&gt;'1-Input'!$B$26,U631,(U631-Q632)*(1+'5-Roberta'!$C$4))</f>
        <v>227429.85540639877</v>
      </c>
      <c r="T632" s="18">
        <f>IF($A632&gt;'1-Input'!$B$26,R632,R632-'P-Parametri'!$B$8*(S632+R632)+MIN(MAX(S632,0),'P-Parametri'!$B$8*(S632+R632)))</f>
        <v>37760.964119681914</v>
      </c>
      <c r="U632" s="18">
        <f>IF($A632&gt;'1-Input'!$B$26,S632,S632-MIN(MAX(S632,0),'P-Parametri'!$B$8*(S632+R632)))</f>
        <v>226899.47376734662</v>
      </c>
      <c r="V632" s="18">
        <f>IF($A632&gt;'1-Input'!$B$26,V631,V631-Q632*(1-P632))</f>
        <v>121311.35431559183</v>
      </c>
      <c r="W632" s="11">
        <f>IF($A632&gt;'1-Input'!$B$26,0,IF(AB631&lt;=0,0,MAX(0,(AB631-AC631)/AB631)))</f>
        <v>0.45064567861199539</v>
      </c>
      <c r="X632" s="18">
        <f>IF($A632&gt;'1-Input'!$B$26,0,(MAX(0,W616-IF($A632&gt;='1-Input'!$C$12,'1-Input'!$B$13,0))-MIN(MAX(AA631,0),MAX(0,W616-IF($A632&gt;='1-Input'!$C$12,'1-Input'!$B$13,0))))*(1/(1-'P-Parametri'!$B$6*W632))+MIN(MAX(0,AB631-(MAX(0,W616-IF($A632&gt;='1-Input'!$C$12,'1-Input'!$B$13,0))-MIN(MAX(AA631,0),MAX(0,W616-IF($A632&gt;='1-Input'!$C$12,'1-Input'!$B$13,0))))*(1/(1-'P-Parametri'!$B$6*W632))),MAX(0,2*W616-(AA631-MIN(MAX(AA631,0),MAX(0,W616-IF($A632&gt;='1-Input'!$C$12,'1-Input'!$B$13,0)))))*(1/(1-'P-Parametri'!$B$6*W632))))</f>
        <v>21268.589878316328</v>
      </c>
      <c r="Y632" s="18">
        <f>IF($A632&gt;'1-Input'!$B$26,AA631,(AA631-MAX(0,W616-IF($A632&gt;='1-Input'!$C$12,'1-Input'!$B$13,0))+X632*(1-'P-Parametri'!$B$6*W632))*(1+'1-Input'!$B$27))</f>
        <v>37150.513557777522</v>
      </c>
      <c r="Z632" s="18">
        <f>IF($A632&gt;'1-Input'!$B$26,AB631,(AB631-X632)*(1+'5-Roberta'!$C$4))</f>
        <v>234209.52715617607</v>
      </c>
      <c r="AA632" s="18">
        <f>IF($A632&gt;'1-Input'!$B$26,Y632,Y632-'P-Parametri'!$B$8*(Z632+Y632)+MIN(MAX(Z632,0),'P-Parametri'!$B$8*(Z632+Y632)))</f>
        <v>37150.513557777522</v>
      </c>
      <c r="AB632" s="18">
        <f>IF($A632&gt;'1-Input'!$B$26,Z632,Z632-MIN(MAX(Z632,0),'P-Parametri'!$B$8*(Z632+Y632)))</f>
        <v>233666.80707474815</v>
      </c>
      <c r="AC632" s="18">
        <f>IF($A632&gt;'1-Input'!$B$26,AC631,AC631-X632*(1-W632))</f>
        <v>124916.52024610344</v>
      </c>
      <c r="AD632" s="11">
        <f>IF($A632&gt;'1-Input'!$B$26,0,IF(AI631&lt;=0,0,MAX(0,(AI631-AJ631)/AI631)))</f>
        <v>0.45064961226015343</v>
      </c>
      <c r="AE632" s="18">
        <f>IF($A632&gt;'1-Input'!$B$26,0,(MAX(0,AD616-IF($A632&gt;='1-Input'!$C$12,'1-Input'!$B$13,0))-MIN(MAX(AH631,0),MAX(0,AD616-IF($A632&gt;='1-Input'!$C$12,'1-Input'!$B$13,0))))*(1/(1-'P-Parametri'!$B$6*AD632))+MIN(MAX(0,AI631-(MAX(0,AD616-IF($A632&gt;='1-Input'!$C$12,'1-Input'!$B$13,0))-MIN(MAX(AH631,0),MAX(0,AD616-IF($A632&gt;='1-Input'!$C$12,'1-Input'!$B$13,0))))*(1/(1-'P-Parametri'!$B$6*AD632))),MAX(0,2*AD616-(AH631-MIN(MAX(AH631,0),MAX(0,AD616-IF($A632&gt;='1-Input'!$C$12,'1-Input'!$B$13,0)))))*(1/(1-'P-Parametri'!$B$6*AD632))))</f>
        <v>21240.056923368942</v>
      </c>
      <c r="AF632" s="18">
        <f>IF($A632&gt;'1-Input'!$B$26,AH631,(AH631-MAX(0,AD616-IF($A632&gt;='1-Input'!$C$12,'1-Input'!$B$13,0))+AE632*(1-'P-Parametri'!$B$6*AD632))*(1+'1-Input'!$B$27))</f>
        <v>37100.63116912049</v>
      </c>
      <c r="AG632" s="18">
        <f>IF($A632&gt;'1-Input'!$B$26,AI631,(AI631-AE632)*(1+'5-Roberta'!$C$4))</f>
        <v>234763.52628608089</v>
      </c>
      <c r="AH632" s="18">
        <f>IF($A632&gt;'1-Input'!$B$26,AF632,AF632-'P-Parametri'!$B$8*(AG632+AF632)+MIN(MAX(AG632,0),'P-Parametri'!$B$8*(AG632+AF632)))</f>
        <v>37100.63116912049</v>
      </c>
      <c r="AI632" s="18">
        <f>IF($A632&gt;'1-Input'!$B$26,AG632,AG632-MIN(MAX(AG632,0),'P-Parametri'!$B$8*(AG632+AF632)))</f>
        <v>234219.79797117048</v>
      </c>
      <c r="AJ632" s="18">
        <f>IF($A632&gt;'1-Input'!$B$26,AJ631,AJ631-AE632*(1-AD632))</f>
        <v>125211.10115770117</v>
      </c>
      <c r="AK632" s="11">
        <f>IF($A632&gt;'1-Input'!$B$26,0,IF(AP631&lt;=0,0,MAX(0,(AP631-AQ631)/AP631)))</f>
        <v>0.45064961993580416</v>
      </c>
      <c r="AL632" s="18">
        <f>IF($A632&gt;'1-Input'!$B$26,0,(MAX(0,AK616-IF($A632&gt;='1-Input'!$C$12,'1-Input'!$B$13,0))-MIN(MAX(AO631,0),MAX(0,AK616-IF($A632&gt;='1-Input'!$C$12,'1-Input'!$B$13,0))))*(1/(1-'P-Parametri'!$B$6*AK632))+MIN(MAX(0,AP631-(MAX(0,AK616-IF($A632&gt;='1-Input'!$C$12,'1-Input'!$B$13,0))-MIN(MAX(AO631,0),MAX(0,AK616-IF($A632&gt;='1-Input'!$C$12,'1-Input'!$B$13,0))))*(1/(1-'P-Parametri'!$B$6*AK632))),MAX(0,2*AK616-(AO631-MIN(MAX(AO631,0),MAX(0,AK616-IF($A632&gt;='1-Input'!$C$12,'1-Input'!$B$13,0)))))*(1/(1-'P-Parametri'!$B$6*AK632))))</f>
        <v>21240.00118216157</v>
      </c>
      <c r="AM632" s="18">
        <f>IF($A632&gt;'1-Input'!$B$26,AO631,(AO631-MAX(0,AK616-IF($A632&gt;='1-Input'!$C$12,'1-Input'!$B$13,0))+AL632*(1-'P-Parametri'!$B$6*AK632))*(1+'1-Input'!$B$27))</f>
        <v>37100.533720449675</v>
      </c>
      <c r="AN632" s="18">
        <f>IF($A632&gt;'1-Input'!$B$26,AP631,(AP631-AL632)*(1+'5-Roberta'!$C$4))</f>
        <v>234764.60856209946</v>
      </c>
      <c r="AO632" s="18">
        <f>IF($A632&gt;'1-Input'!$B$26,AM632,AM632-'P-Parametri'!$B$8*(AN632+AM632)+MIN(MAX(AN632,0),'P-Parametri'!$B$8*(AN632+AM632)))</f>
        <v>37100.533720449675</v>
      </c>
      <c r="AP632" s="18">
        <f>IF($A632&gt;'1-Input'!$B$26,AN632,AN632-MIN(MAX(AN632,0),'P-Parametri'!$B$8*(AN632+AM632)))</f>
        <v>234220.87827753436</v>
      </c>
      <c r="AQ632" s="18">
        <f>IF($A632&gt;'1-Input'!$B$26,AQ631,AQ631-AL632*(1-AK632))</f>
        <v>125211.67664001115</v>
      </c>
    </row>
    <row r="633" spans="1:43">
      <c r="A633" s="10">
        <f>15</f>
        <v>15</v>
      </c>
      <c r="B633" s="11">
        <f>IF($A633&gt;'1-Input'!$B$26,0,IF(G632&lt;=0,0,MAX(0,(G632-H632)/G632)))</f>
        <v>0.46572468926119209</v>
      </c>
      <c r="C633" s="18">
        <f>IF($A633&gt;'1-Input'!$B$26,0,(MAX(0,B616-IF($A633&gt;='1-Input'!$C$12,'1-Input'!$B$13,0))-MIN(MAX(F632,0),MAX(0,B616-IF($A633&gt;='1-Input'!$C$12,'1-Input'!$B$13,0))))*(1/(1-'P-Parametri'!$B$6*B633))+MIN(MAX(0,G632-(MAX(0,B616-IF($A633&gt;='1-Input'!$C$12,'1-Input'!$B$13,0))-MIN(MAX(F632,0),MAX(0,B616-IF($A633&gt;='1-Input'!$C$12,'1-Input'!$B$13,0))))*(1/(1-'P-Parametri'!$B$6*B633))),MAX(0,2*B616-(F632-MIN(MAX(F632,0),MAX(0,B616-IF($A633&gt;='1-Input'!$C$12,'1-Input'!$B$13,0)))))*(1/(1-'P-Parametri'!$B$6*B633))))</f>
        <v>19115.869309344653</v>
      </c>
      <c r="D633" s="18">
        <f>IF($A633&gt;'1-Input'!$B$26,F632,(F632-MAX(0,B616-IF($A633&gt;='1-Input'!$C$12,'1-Input'!$B$13,0))+C633*(1-'P-Parametri'!$B$6*B633))*(1+'1-Input'!$B$27))</f>
        <v>33242.0070309863</v>
      </c>
      <c r="E633" s="18">
        <f>IF($A633&gt;'1-Input'!$B$26,G632,(G632-C633)*(1+'5-Roberta'!$C$4))</f>
        <v>265618.68124040432</v>
      </c>
      <c r="F633" s="18">
        <f>IF($A633&gt;'1-Input'!$B$26,D633,D633-'P-Parametri'!$B$8*(E633+D633)+MIN(MAX(E633,0),'P-Parametri'!$B$8*(E633+D633)))</f>
        <v>33242.0070309863</v>
      </c>
      <c r="G633" s="18">
        <f>IF($A633&gt;'1-Input'!$B$26,E633,E633-MIN(MAX(E633,0),'P-Parametri'!$B$8*(E633+D633)))</f>
        <v>265020.95986386156</v>
      </c>
      <c r="H633" s="18">
        <f>IF($A633&gt;'1-Input'!$B$26,H632,H632-C633*(1-B633))</f>
        <v>137780.10044441686</v>
      </c>
      <c r="I633" s="11">
        <f>IF($A633&gt;'1-Input'!$B$26,0,IF(N632&lt;=0,0,MAX(0,(N632-O632)/N632)))</f>
        <v>0.46468232073326954</v>
      </c>
      <c r="J633" s="18">
        <f>IF($A633&gt;'1-Input'!$B$26,0,(MAX(0,I616-IF($A633&gt;='1-Input'!$C$12,'1-Input'!$B$13,0))-MIN(MAX(M632,0),MAX(0,I616-IF($A633&gt;='1-Input'!$C$12,'1-Input'!$B$13,0))))*(1/(1-'P-Parametri'!$B$6*I633))+MIN(MAX(0,N632-(MAX(0,I616-IF($A633&gt;='1-Input'!$C$12,'1-Input'!$B$13,0))-MIN(MAX(M632,0),MAX(0,I616-IF($A633&gt;='1-Input'!$C$12,'1-Input'!$B$13,0))))*(1/(1-'P-Parametri'!$B$6*I633))),MAX(0,2*I616-(M632-MIN(MAX(M632,0),MAX(0,I616-IF($A633&gt;='1-Input'!$C$12,'1-Input'!$B$13,0)))))*(1/(1-'P-Parametri'!$B$6*I633))))</f>
        <v>25144.706149251226</v>
      </c>
      <c r="K633" s="18">
        <f>IF($A633&gt;'1-Input'!$B$26,M632,(M632-MAX(0,I616-IF($A633&gt;='1-Input'!$C$12,'1-Input'!$B$13,0))+J633*(1-'P-Parametri'!$B$6*I633))*(1+'1-Input'!$B$27))</f>
        <v>43739.482935508291</v>
      </c>
      <c r="L633" s="18">
        <f>IF($A633&gt;'1-Input'!$B$26,N632,(N632-J633)*(1+'5-Roberta'!$C$4))</f>
        <v>139548.98746379095</v>
      </c>
      <c r="M633" s="18">
        <f>IF($A633&gt;'1-Input'!$B$26,K633,K633-'P-Parametri'!$B$8*(L633+K633)+MIN(MAX(L633,0),'P-Parametri'!$B$8*(L633+K633)))</f>
        <v>43739.482935508291</v>
      </c>
      <c r="N633" s="18">
        <f>IF($A633&gt;'1-Input'!$B$26,L633,L633-MIN(MAX(L633,0),'P-Parametri'!$B$8*(L633+K633)))</f>
        <v>139182.41052299234</v>
      </c>
      <c r="O633" s="18">
        <f>IF($A633&gt;'1-Input'!$B$26,O632,O632-J633*(1-I633))</f>
        <v>72527.223410814215</v>
      </c>
      <c r="P633" s="11">
        <f>IF($A633&gt;'1-Input'!$B$26,0,IF(U632&lt;=0,0,MAX(0,(U632-V632)/U632)))</f>
        <v>0.46535198032244224</v>
      </c>
      <c r="Q633" s="18">
        <f>IF($A633&gt;'1-Input'!$B$26,0,(MAX(0,P616-IF($A633&gt;='1-Input'!$C$12,'1-Input'!$B$13,0))-MIN(MAX(T632,0),MAX(0,P616-IF($A633&gt;='1-Input'!$C$12,'1-Input'!$B$13,0))))*(1/(1-'P-Parametri'!$B$6*P633))+MIN(MAX(0,U632-(MAX(0,P616-IF($A633&gt;='1-Input'!$C$12,'1-Input'!$B$13,0))-MIN(MAX(T632,0),MAX(0,P616-IF($A633&gt;='1-Input'!$C$12,'1-Input'!$B$13,0))))*(1/(1-'P-Parametri'!$B$6*P633))),MAX(0,2*P616-(T632-MIN(MAX(T632,0),MAX(0,P616-IF($A633&gt;='1-Input'!$C$12,'1-Input'!$B$13,0)))))*(1/(1-'P-Parametri'!$B$6*P633))))</f>
        <v>21712.108943884443</v>
      </c>
      <c r="R633" s="18">
        <f>IF($A633&gt;'1-Input'!$B$26,T632,(T632-MAX(0,P616-IF($A633&gt;='1-Input'!$C$12,'1-Input'!$B$13,0))+Q633*(1-'P-Parametri'!$B$6*P633))*(1+'1-Input'!$B$27))</f>
        <v>37760.964119681914</v>
      </c>
      <c r="S633" s="18">
        <f>IF($A633&gt;'1-Input'!$B$26,U632,(U632-Q633)*(1+'5-Roberta'!$C$4))</f>
        <v>211342.98576816605</v>
      </c>
      <c r="T633" s="18">
        <f>IF($A633&gt;'1-Input'!$B$26,R633,R633-'P-Parametri'!$B$8*(S633+R633)+MIN(MAX(S633,0),'P-Parametri'!$B$8*(S633+R633)))</f>
        <v>37760.964119681914</v>
      </c>
      <c r="U633" s="18">
        <f>IF($A633&gt;'1-Input'!$B$26,S633,S633-MIN(MAX(S633,0),'P-Parametri'!$B$8*(S633+R633)))</f>
        <v>210844.77786839035</v>
      </c>
      <c r="V633" s="18">
        <f>IF($A633&gt;'1-Input'!$B$26,V632,V632-Q633*(1-P633))</f>
        <v>109703.01826572062</v>
      </c>
      <c r="W633" s="11">
        <f>IF($A633&gt;'1-Input'!$B$26,0,IF(AB632&lt;=0,0,MAX(0,(AB632-AC632)/AB632)))</f>
        <v>0.46540750990728591</v>
      </c>
      <c r="X633" s="18">
        <f>IF($A633&gt;'1-Input'!$B$26,0,(MAX(0,W616-IF($A633&gt;='1-Input'!$C$12,'1-Input'!$B$13,0))-MIN(MAX(AA632,0),MAX(0,W616-IF($A633&gt;='1-Input'!$C$12,'1-Input'!$B$13,0))))*(1/(1-'P-Parametri'!$B$6*W633))+MIN(MAX(0,AB632-(MAX(0,W616-IF($A633&gt;='1-Input'!$C$12,'1-Input'!$B$13,0))-MIN(MAX(AA632,0),MAX(0,W616-IF($A633&gt;='1-Input'!$C$12,'1-Input'!$B$13,0))))*(1/(1-'P-Parametri'!$B$6*W633))),MAX(0,2*W616-(AA632-MIN(MAX(AA632,0),MAX(0,W616-IF($A633&gt;='1-Input'!$C$12,'1-Input'!$B$13,0)))))*(1/(1-'P-Parametri'!$B$6*W633))))</f>
        <v>21361.457933013684</v>
      </c>
      <c r="Y633" s="18">
        <f>IF($A633&gt;'1-Input'!$B$26,AA632,(AA632-MAX(0,W616-IF($A633&gt;='1-Input'!$C$12,'1-Input'!$B$13,0))+X633*(1-'P-Parametri'!$B$6*W633))*(1+'1-Input'!$B$27))</f>
        <v>37150.513557777522</v>
      </c>
      <c r="Z633" s="18">
        <f>IF($A633&gt;'1-Input'!$B$26,AB632,(AB632-X633)*(1+'5-Roberta'!$C$4))</f>
        <v>218674.50961598652</v>
      </c>
      <c r="AA633" s="18">
        <f>IF($A633&gt;'1-Input'!$B$26,Y633,Y633-'P-Parametri'!$B$8*(Z633+Y633)+MIN(MAX(Z633,0),'P-Parametri'!$B$8*(Z633+Y633)))</f>
        <v>37150.513557777522</v>
      </c>
      <c r="AB633" s="18">
        <f>IF($A633&gt;'1-Input'!$B$26,Z633,Z633-MIN(MAX(Z633,0),'P-Parametri'!$B$8*(Z633+Y633)))</f>
        <v>218162.859569639</v>
      </c>
      <c r="AC633" s="18">
        <f>IF($A633&gt;'1-Input'!$B$26,AC632,AC632-X633*(1-W633))</f>
        <v>113496.84525768289</v>
      </c>
      <c r="AD633" s="11">
        <f>IF($A633&gt;'1-Input'!$B$26,0,IF(AI632&lt;=0,0,MAX(0,(AI632-AJ632)/AI632)))</f>
        <v>0.46541196669842111</v>
      </c>
      <c r="AE633" s="18">
        <f>IF($A633&gt;'1-Input'!$B$26,0,(MAX(0,AD616-IF($A633&gt;='1-Input'!$C$12,'1-Input'!$B$13,0))-MIN(MAX(AH632,0),MAX(0,AD616-IF($A633&gt;='1-Input'!$C$12,'1-Input'!$B$13,0))))*(1/(1-'P-Parametri'!$B$6*AD633))+MIN(MAX(0,AI632-(MAX(0,AD616-IF($A633&gt;='1-Input'!$C$12,'1-Input'!$B$13,0))-MIN(MAX(AH632,0),MAX(0,AD616-IF($A633&gt;='1-Input'!$C$12,'1-Input'!$B$13,0))))*(1/(1-'P-Parametri'!$B$6*AD633))),MAX(0,2*AD616-(AH632-MIN(MAX(AH632,0),MAX(0,AD616-IF($A633&gt;='1-Input'!$C$12,'1-Input'!$B$13,0)))))*(1/(1-'P-Parametri'!$B$6*AD633))))</f>
        <v>21332.803799578916</v>
      </c>
      <c r="AF633" s="18">
        <f>IF($A633&gt;'1-Input'!$B$26,AH632,(AH632-MAX(0,AD616-IF($A633&gt;='1-Input'!$C$12,'1-Input'!$B$13,0))+AE633*(1-'P-Parametri'!$B$6*AD633))*(1+'1-Input'!$B$27))</f>
        <v>37100.631169120483</v>
      </c>
      <c r="AG633" s="18">
        <f>IF($A633&gt;'1-Input'!$B$26,AI632,(AI632-AE633)*(1+'5-Roberta'!$C$4))</f>
        <v>219273.60399673932</v>
      </c>
      <c r="AH633" s="18">
        <f>IF($A633&gt;'1-Input'!$B$26,AF633,AF633-'P-Parametri'!$B$8*(AG633+AF633)+MIN(MAX(AG633,0),'P-Parametri'!$B$8*(AG633+AF633)))</f>
        <v>37100.631169120483</v>
      </c>
      <c r="AI633" s="18">
        <f>IF($A633&gt;'1-Input'!$B$26,AG633,AG633-MIN(MAX(AG633,0),'P-Parametri'!$B$8*(AG633+AF633)))</f>
        <v>218760.8555264076</v>
      </c>
      <c r="AJ633" s="18">
        <f>IF($A633&gt;'1-Input'!$B$26,AJ632,AJ632-AE633*(1-AD633))</f>
        <v>113806.83952967582</v>
      </c>
      <c r="AK633" s="11">
        <f>IF($A633&gt;'1-Input'!$B$26,0,IF(AP632&lt;=0,0,MAX(0,(AP632-AQ632)/AP632)))</f>
        <v>0.46541197539339507</v>
      </c>
      <c r="AL633" s="18">
        <f>IF($A633&gt;'1-Input'!$B$26,0,(MAX(0,AK616-IF($A633&gt;='1-Input'!$C$12,'1-Input'!$B$13,0))-MIN(MAX(AO632,0),MAX(0,AK616-IF($A633&gt;='1-Input'!$C$12,'1-Input'!$B$13,0))))*(1/(1-'P-Parametri'!$B$6*AK633))+MIN(MAX(0,AP632-(MAX(0,AK616-IF($A633&gt;='1-Input'!$C$12,'1-Input'!$B$13,0))-MIN(MAX(AO632,0),MAX(0,AK616-IF($A633&gt;='1-Input'!$C$12,'1-Input'!$B$13,0))))*(1/(1-'P-Parametri'!$B$6*AK633))),MAX(0,2*AK616-(AO632-MIN(MAX(AO632,0),MAX(0,AK616-IF($A633&gt;='1-Input'!$C$12,'1-Input'!$B$13,0)))))*(1/(1-'P-Parametri'!$B$6*AK633))))</f>
        <v>21332.747821614455</v>
      </c>
      <c r="AM633" s="18">
        <f>IF($A633&gt;'1-Input'!$B$26,AO632,(AO632-MAX(0,AK616-IF($A633&gt;='1-Input'!$C$12,'1-Input'!$B$13,0))+AL633*(1-'P-Parametri'!$B$6*AK633))*(1+'1-Input'!$B$27))</f>
        <v>37100.533720449668</v>
      </c>
      <c r="AN633" s="18">
        <f>IF($A633&gt;'1-Input'!$B$26,AP632,(AP632-AL633)*(1+'5-Roberta'!$C$4))</f>
        <v>219274.77436959749</v>
      </c>
      <c r="AO633" s="18">
        <f>IF($A633&gt;'1-Input'!$B$26,AM633,AM633-'P-Parametri'!$B$8*(AN633+AM633)+MIN(MAX(AN633,0),'P-Parametri'!$B$8*(AN633+AM633)))</f>
        <v>37100.533720449668</v>
      </c>
      <c r="AP633" s="18">
        <f>IF($A633&gt;'1-Input'!$B$26,AN633,AN633-MIN(MAX(AN633,0),'P-Parametri'!$B$8*(AN633+AM633)))</f>
        <v>218762.02375341739</v>
      </c>
      <c r="AQ633" s="18">
        <f>IF($A633&gt;'1-Input'!$B$26,AQ632,AQ632-AL633*(1-AK633))</f>
        <v>113807.44512262342</v>
      </c>
    </row>
    <row r="634" spans="1:43">
      <c r="A634" s="10">
        <f>16</f>
        <v>16</v>
      </c>
      <c r="B634" s="11">
        <f>IF($A634&gt;'1-Input'!$B$26,0,IF(G633&lt;=0,0,MAX(0,(G633-H633)/G633)))</f>
        <v>0.48011621226036977</v>
      </c>
      <c r="C634" s="18">
        <f>IF($A634&gt;'1-Input'!$B$26,0,(MAX(0,B616-IF($A634&gt;='1-Input'!$C$12,'1-Input'!$B$13,0))-MIN(MAX(F633,0),MAX(0,B616-IF($A634&gt;='1-Input'!$C$12,'1-Input'!$B$13,0))))*(1/(1-'P-Parametri'!$B$6*B634))+MIN(MAX(0,G633-(MAX(0,B616-IF($A634&gt;='1-Input'!$C$12,'1-Input'!$B$13,0))-MIN(MAX(F633,0),MAX(0,B616-IF($A634&gt;='1-Input'!$C$12,'1-Input'!$B$13,0))))*(1/(1-'P-Parametri'!$B$6*B634))),MAX(0,2*B616-(F633-MIN(MAX(F633,0),MAX(0,B616-IF($A634&gt;='1-Input'!$C$12,'1-Input'!$B$13,0)))))*(1/(1-'P-Parametri'!$B$6*B634))))</f>
        <v>19197.599373811132</v>
      </c>
      <c r="D634" s="18">
        <f>IF($A634&gt;'1-Input'!$B$26,F633,(F633-MAX(0,B616-IF($A634&gt;='1-Input'!$C$12,'1-Input'!$B$13,0))+C634*(1-'P-Parametri'!$B$6*B634))*(1+'1-Input'!$B$27))</f>
        <v>33242.0070309863</v>
      </c>
      <c r="E634" s="18">
        <f>IF($A634&gt;'1-Input'!$B$26,G633,(G633-C634)*(1+'5-Roberta'!$C$4))</f>
        <v>253198.06130475196</v>
      </c>
      <c r="F634" s="18">
        <f>IF($A634&gt;'1-Input'!$B$26,D634,D634-'P-Parametri'!$B$8*(E634+D634)+MIN(MAX(E634,0),'P-Parametri'!$B$8*(E634+D634)))</f>
        <v>33242.0070309863</v>
      </c>
      <c r="G634" s="18">
        <f>IF($A634&gt;'1-Input'!$B$26,E634,E634-MIN(MAX(E634,0),'P-Parametri'!$B$8*(E634+D634)))</f>
        <v>252625.18116808048</v>
      </c>
      <c r="H634" s="18">
        <f>IF($A634&gt;'1-Input'!$B$26,H633,H633-C634*(1-B634))</f>
        <v>127799.57976645198</v>
      </c>
      <c r="I634" s="11">
        <f>IF($A634&gt;'1-Input'!$B$26,0,IF(N633&lt;=0,0,MAX(0,(N633-O633)/N633)))</f>
        <v>0.47890525003636847</v>
      </c>
      <c r="J634" s="18">
        <f>IF($A634&gt;'1-Input'!$B$26,0,(MAX(0,I616-IF($A634&gt;='1-Input'!$C$12,'1-Input'!$B$13,0))-MIN(MAX(M633,0),MAX(0,I616-IF($A634&gt;='1-Input'!$C$12,'1-Input'!$B$13,0))))*(1/(1-'P-Parametri'!$B$6*I634))+MIN(MAX(0,N633-(MAX(0,I616-IF($A634&gt;='1-Input'!$C$12,'1-Input'!$B$13,0))-MIN(MAX(M633,0),MAX(0,I616-IF($A634&gt;='1-Input'!$C$12,'1-Input'!$B$13,0))))*(1/(1-'P-Parametri'!$B$6*I634))),MAX(0,2*I616-(M633-MIN(MAX(M633,0),MAX(0,I616-IF($A634&gt;='1-Input'!$C$12,'1-Input'!$B$13,0)))))*(1/(1-'P-Parametri'!$B$6*I634))))</f>
        <v>25250.914932980577</v>
      </c>
      <c r="K634" s="18">
        <f>IF($A634&gt;'1-Input'!$B$26,M633,(M633-MAX(0,I616-IF($A634&gt;='1-Input'!$C$12,'1-Input'!$B$13,0))+J634*(1-'P-Parametri'!$B$6*I634))*(1+'1-Input'!$B$27))</f>
        <v>43739.482935508291</v>
      </c>
      <c r="L634" s="18">
        <f>IF($A634&gt;'1-Input'!$B$26,N633,(N633-J634)*(1+'5-Roberta'!$C$4))</f>
        <v>117349.44045771212</v>
      </c>
      <c r="M634" s="18">
        <f>IF($A634&gt;'1-Input'!$B$26,K634,K634-'P-Parametri'!$B$8*(L634+K634)+MIN(MAX(L634,0),'P-Parametri'!$B$8*(L634+K634)))</f>
        <v>43739.482935508291</v>
      </c>
      <c r="N634" s="18">
        <f>IF($A634&gt;'1-Input'!$B$26,L634,L634-MIN(MAX(L634,0),'P-Parametri'!$B$8*(L634+K634)))</f>
        <v>117027.26261092568</v>
      </c>
      <c r="O634" s="18">
        <f>IF($A634&gt;'1-Input'!$B$26,O633,O633-J634*(1-I634))</f>
        <v>59369.104207459772</v>
      </c>
      <c r="P634" s="11">
        <f>IF($A634&gt;'1-Input'!$B$26,0,IF(U633&lt;=0,0,MAX(0,(U633-V633)/U633)))</f>
        <v>0.47969772182739373</v>
      </c>
      <c r="Q634" s="18">
        <f>IF($A634&gt;'1-Input'!$B$26,0,(MAX(0,P616-IF($A634&gt;='1-Input'!$C$12,'1-Input'!$B$13,0))-MIN(MAX(T633,0),MAX(0,P616-IF($A634&gt;='1-Input'!$C$12,'1-Input'!$B$13,0))))*(1/(1-'P-Parametri'!$B$6*P634))+MIN(MAX(0,U633-(MAX(0,P616-IF($A634&gt;='1-Input'!$C$12,'1-Input'!$B$13,0))-MIN(MAX(T633,0),MAX(0,P616-IF($A634&gt;='1-Input'!$C$12,'1-Input'!$B$13,0))))*(1/(1-'P-Parametri'!$B$6*P634))),MAX(0,2*P616-(T633-MIN(MAX(T633,0),MAX(0,P616-IF($A634&gt;='1-Input'!$C$12,'1-Input'!$B$13,0)))))*(1/(1-'P-Parametri'!$B$6*P634))))</f>
        <v>21804.632443651917</v>
      </c>
      <c r="R634" s="18">
        <f>IF($A634&gt;'1-Input'!$B$26,T633,(T633-MAX(0,P616-IF($A634&gt;='1-Input'!$C$12,'1-Input'!$B$13,0))+Q634*(1-'P-Parametri'!$B$6*P634))*(1+'1-Input'!$B$27))</f>
        <v>37760.964119681914</v>
      </c>
      <c r="S634" s="18">
        <f>IF($A634&gt;'1-Input'!$B$26,U633,(U633-Q634)*(1+'5-Roberta'!$C$4))</f>
        <v>194711.34978748061</v>
      </c>
      <c r="T634" s="18">
        <f>IF($A634&gt;'1-Input'!$B$26,R634,R634-'P-Parametri'!$B$8*(S634+R634)+MIN(MAX(S634,0),'P-Parametri'!$B$8*(S634+R634)))</f>
        <v>37760.964119681914</v>
      </c>
      <c r="U634" s="18">
        <f>IF($A634&gt;'1-Input'!$B$26,S634,S634-MIN(MAX(S634,0),'P-Parametri'!$B$8*(S634+R634)))</f>
        <v>194246.40515966629</v>
      </c>
      <c r="V634" s="18">
        <f>IF($A634&gt;'1-Input'!$B$26,V633,V633-Q634*(1-P634))</f>
        <v>98358.018330572202</v>
      </c>
      <c r="W634" s="11">
        <f>IF($A634&gt;'1-Input'!$B$26,0,IF(AB633&lt;=0,0,MAX(0,(AB633-AC633)/AB633)))</f>
        <v>0.47976092043543295</v>
      </c>
      <c r="X634" s="18">
        <f>IF($A634&gt;'1-Input'!$B$26,0,(MAX(0,W616-IF($A634&gt;='1-Input'!$C$12,'1-Input'!$B$13,0))-MIN(MAX(AA633,0),MAX(0,W616-IF($A634&gt;='1-Input'!$C$12,'1-Input'!$B$13,0))))*(1/(1-'P-Parametri'!$B$6*W634))+MIN(MAX(0,AB633-(MAX(0,W616-IF($A634&gt;='1-Input'!$C$12,'1-Input'!$B$13,0))-MIN(MAX(AA633,0),MAX(0,W616-IF($A634&gt;='1-Input'!$C$12,'1-Input'!$B$13,0))))*(1/(1-'P-Parametri'!$B$6*W634))),MAX(0,2*W616-(AA633-MIN(MAX(AA633,0),MAX(0,W616-IF($A634&gt;='1-Input'!$C$12,'1-Input'!$B$13,0)))))*(1/(1-'P-Parametri'!$B$6*W634))))</f>
        <v>21452.537549076878</v>
      </c>
      <c r="Y634" s="18">
        <f>IF($A634&gt;'1-Input'!$B$26,AA633,(AA633-MAX(0,W616-IF($A634&gt;='1-Input'!$C$12,'1-Input'!$B$13,0))+X634*(1-'P-Parametri'!$B$6*W634))*(1+'1-Input'!$B$27))</f>
        <v>37150.513557777522</v>
      </c>
      <c r="Z634" s="18">
        <f>IF($A634&gt;'1-Input'!$B$26,AB633,(AB633-X634)*(1+'5-Roberta'!$C$4))</f>
        <v>202611.63168117899</v>
      </c>
      <c r="AA634" s="18">
        <f>IF($A634&gt;'1-Input'!$B$26,Y634,Y634-'P-Parametri'!$B$8*(Z634+Y634)+MIN(MAX(Z634,0),'P-Parametri'!$B$8*(Z634+Y634)))</f>
        <v>37150.513557777522</v>
      </c>
      <c r="AB634" s="18">
        <f>IF($A634&gt;'1-Input'!$B$26,Z634,Z634-MIN(MAX(Z634,0),'P-Parametri'!$B$8*(Z634+Y634)))</f>
        <v>202132.10739070107</v>
      </c>
      <c r="AC634" s="18">
        <f>IF($A634&gt;'1-Input'!$B$26,AC633,AC633-X634*(1-W634))</f>
        <v>102336.39686882682</v>
      </c>
      <c r="AD634" s="11">
        <f>IF($A634&gt;'1-Input'!$B$26,0,IF(AI633&lt;=0,0,MAX(0,(AI633-AJ633)/AI633)))</f>
        <v>0.47976597890047246</v>
      </c>
      <c r="AE634" s="18">
        <f>IF($A634&gt;'1-Input'!$B$26,0,(MAX(0,AD616-IF($A634&gt;='1-Input'!$C$12,'1-Input'!$B$13,0))-MIN(MAX(AH633,0),MAX(0,AD616-IF($A634&gt;='1-Input'!$C$12,'1-Input'!$B$13,0))))*(1/(1-'P-Parametri'!$B$6*AD634))+MIN(MAX(0,AI633-(MAX(0,AD616-IF($A634&gt;='1-Input'!$C$12,'1-Input'!$B$13,0))-MIN(MAX(AH633,0),MAX(0,AD616-IF($A634&gt;='1-Input'!$C$12,'1-Input'!$B$13,0))))*(1/(1-'P-Parametri'!$B$6*AD634))),MAX(0,2*AD616-(AH633-MIN(MAX(AH633,0),MAX(0,AD616-IF($A634&gt;='1-Input'!$C$12,'1-Input'!$B$13,0)))))*(1/(1-'P-Parametri'!$B$6*AD634))))</f>
        <v>21423.765191467781</v>
      </c>
      <c r="AF634" s="18">
        <f>IF($A634&gt;'1-Input'!$B$26,AH633,(AH633-MAX(0,AD616-IF($A634&gt;='1-Input'!$C$12,'1-Input'!$B$13,0))+AE634*(1-'P-Parametri'!$B$6*AD634))*(1+'1-Input'!$B$27))</f>
        <v>37100.631169120483</v>
      </c>
      <c r="AG634" s="18">
        <f>IF($A634&gt;'1-Input'!$B$26,AI633,(AI633-AE634)*(1+'5-Roberta'!$C$4))</f>
        <v>203257.20304498804</v>
      </c>
      <c r="AH634" s="18">
        <f>IF($A634&gt;'1-Input'!$B$26,AF634,AF634-'P-Parametri'!$B$8*(AG634+AF634)+MIN(MAX(AG634,0),'P-Parametri'!$B$8*(AG634+AF634)))</f>
        <v>37100.631169120483</v>
      </c>
      <c r="AI634" s="18">
        <f>IF($A634&gt;'1-Input'!$B$26,AG634,AG634-MIN(MAX(AG634,0),'P-Parametri'!$B$8*(AG634+AF634)))</f>
        <v>202776.48737655982</v>
      </c>
      <c r="AJ634" s="18">
        <f>IF($A634&gt;'1-Input'!$B$26,AJ633,AJ633-AE634*(1-AD634))</f>
        <v>102661.46801702645</v>
      </c>
      <c r="AK634" s="11">
        <f>IF($A634&gt;'1-Input'!$B$26,0,IF(AP633&lt;=0,0,MAX(0,(AP633-AQ633)/AP633)))</f>
        <v>0.47976598876730048</v>
      </c>
      <c r="AL634" s="18">
        <f>IF($A634&gt;'1-Input'!$B$26,0,(MAX(0,AK616-IF($A634&gt;='1-Input'!$C$12,'1-Input'!$B$13,0))-MIN(MAX(AO633,0),MAX(0,AK616-IF($A634&gt;='1-Input'!$C$12,'1-Input'!$B$13,0))))*(1/(1-'P-Parametri'!$B$6*AK634))+MIN(MAX(0,AP633-(MAX(0,AK616-IF($A634&gt;='1-Input'!$C$12,'1-Input'!$B$13,0))-MIN(MAX(AO633,0),MAX(0,AK616-IF($A634&gt;='1-Input'!$C$12,'1-Input'!$B$13,0))))*(1/(1-'P-Parametri'!$B$6*AK634))),MAX(0,2*AK616-(AO633-MIN(MAX(AO633,0),MAX(0,AK616-IF($A634&gt;='1-Input'!$C$12,'1-Input'!$B$13,0)))))*(1/(1-'P-Parametri'!$B$6*AK634))))</f>
        <v>21423.708982510321</v>
      </c>
      <c r="AM634" s="18">
        <f>IF($A634&gt;'1-Input'!$B$26,AO633,(AO633-MAX(0,AK616-IF($A634&gt;='1-Input'!$C$12,'1-Input'!$B$13,0))+AL634*(1-'P-Parametri'!$B$6*AK634))*(1+'1-Input'!$B$27))</f>
        <v>37100.533720449668</v>
      </c>
      <c r="AN634" s="18">
        <f>IF($A634&gt;'1-Input'!$B$26,AP633,(AP633-AL634)*(1+'5-Roberta'!$C$4))</f>
        <v>203258.46421403429</v>
      </c>
      <c r="AO634" s="18">
        <f>IF($A634&gt;'1-Input'!$B$26,AM634,AM634-'P-Parametri'!$B$8*(AN634+AM634)+MIN(MAX(AN634,0),'P-Parametri'!$B$8*(AN634+AM634)))</f>
        <v>37100.533720449668</v>
      </c>
      <c r="AP634" s="18">
        <f>IF($A634&gt;'1-Input'!$B$26,AN634,AN634-MIN(MAX(AN634,0),'P-Parametri'!$B$8*(AN634+AM634)))</f>
        <v>202777.74621816532</v>
      </c>
      <c r="AQ634" s="18">
        <f>IF($A634&gt;'1-Input'!$B$26,AQ633,AQ633-AL634*(1-AK634))</f>
        <v>102662.10306317007</v>
      </c>
    </row>
    <row r="635" spans="1:43">
      <c r="A635" s="10">
        <f>17</f>
        <v>17</v>
      </c>
      <c r="B635" s="11">
        <f>IF($A635&gt;'1-Input'!$B$26,0,IF(G634&lt;=0,0,MAX(0,(G634-H634)/G634)))</f>
        <v>0.49411385208894759</v>
      </c>
      <c r="C635" s="18">
        <f>IF($A635&gt;'1-Input'!$B$26,0,(MAX(0,B616-IF($A635&gt;='1-Input'!$C$12,'1-Input'!$B$13,0))-MIN(MAX(F634,0),MAX(0,B616-IF($A635&gt;='1-Input'!$C$12,'1-Input'!$B$13,0))))*(1/(1-'P-Parametri'!$B$6*B635))+MIN(MAX(0,G634-(MAX(0,B616-IF($A635&gt;='1-Input'!$C$12,'1-Input'!$B$13,0))-MIN(MAX(F634,0),MAX(0,B616-IF($A635&gt;='1-Input'!$C$12,'1-Input'!$B$13,0))))*(1/(1-'P-Parametri'!$B$6*B635))),MAX(0,2*B616-(F634-MIN(MAX(F634,0),MAX(0,B616-IF($A635&gt;='1-Input'!$C$12,'1-Input'!$B$13,0)))))*(1/(1-'P-Parametri'!$B$6*B635))))</f>
        <v>19277.765804427632</v>
      </c>
      <c r="D635" s="18">
        <f>IF($A635&gt;'1-Input'!$B$26,F634,(F634-MAX(0,B616-IF($A635&gt;='1-Input'!$C$12,'1-Input'!$B$13,0))+C635*(1-'P-Parametri'!$B$6*B635))*(1+'1-Input'!$B$27))</f>
        <v>33242.0070309863</v>
      </c>
      <c r="E635" s="18">
        <f>IF($A635&gt;'1-Input'!$B$26,G634,(G634-C635)*(1+'5-Roberta'!$C$4))</f>
        <v>240347.83782456245</v>
      </c>
      <c r="F635" s="18">
        <f>IF($A635&gt;'1-Input'!$B$26,D635,D635-'P-Parametri'!$B$8*(E635+D635)+MIN(MAX(E635,0),'P-Parametri'!$B$8*(E635+D635)))</f>
        <v>33242.0070309863</v>
      </c>
      <c r="G635" s="18">
        <f>IF($A635&gt;'1-Input'!$B$26,E635,E635-MIN(MAX(E635,0),'P-Parametri'!$B$8*(E635+D635)))</f>
        <v>239800.65813485134</v>
      </c>
      <c r="H635" s="18">
        <f>IF($A635&gt;'1-Input'!$B$26,H634,H634-C635*(1-B635))</f>
        <v>118047.22508331867</v>
      </c>
      <c r="I635" s="11">
        <f>IF($A635&gt;'1-Input'!$B$26,0,IF(N634&lt;=0,0,MAX(0,(N634-O634)/N634)))</f>
        <v>0.49268996913273894</v>
      </c>
      <c r="J635" s="18">
        <f>IF($A635&gt;'1-Input'!$B$26,0,(MAX(0,I616-IF($A635&gt;='1-Input'!$C$12,'1-Input'!$B$13,0))-MIN(MAX(M634,0),MAX(0,I616-IF($A635&gt;='1-Input'!$C$12,'1-Input'!$B$13,0))))*(1/(1-'P-Parametri'!$B$6*I635))+MIN(MAX(0,N634-(MAX(0,I616-IF($A635&gt;='1-Input'!$C$12,'1-Input'!$B$13,0))-MIN(MAX(M634,0),MAX(0,I616-IF($A635&gt;='1-Input'!$C$12,'1-Input'!$B$13,0))))*(1/(1-'P-Parametri'!$B$6*I635))),MAX(0,2*I616-(M634-MIN(MAX(M634,0),MAX(0,I616-IF($A635&gt;='1-Input'!$C$12,'1-Input'!$B$13,0)))))*(1/(1-'P-Parametri'!$B$6*I635))))</f>
        <v>25354.711121650627</v>
      </c>
      <c r="K635" s="18">
        <f>IF($A635&gt;'1-Input'!$B$26,M634,(M634-MAX(0,I616-IF($A635&gt;='1-Input'!$C$12,'1-Input'!$B$13,0))+J635*(1-'P-Parametri'!$B$6*I635))*(1+'1-Input'!$B$27))</f>
        <v>43739.482935508291</v>
      </c>
      <c r="L635" s="18">
        <f>IF($A635&gt;'1-Input'!$B$26,N634,(N634-J635)*(1+'5-Roberta'!$C$4))</f>
        <v>94422.728033953303</v>
      </c>
      <c r="M635" s="18">
        <f>IF($A635&gt;'1-Input'!$B$26,K635,K635-'P-Parametri'!$B$8*(L635+K635)+MIN(MAX(L635,0),'P-Parametri'!$B$8*(L635+K635)))</f>
        <v>43739.482935508291</v>
      </c>
      <c r="N635" s="18">
        <f>IF($A635&gt;'1-Input'!$B$26,L635,L635-MIN(MAX(L635,0),'P-Parametri'!$B$8*(L635+K635)))</f>
        <v>94146.403612014386</v>
      </c>
      <c r="O635" s="18">
        <f>IF($A635&gt;'1-Input'!$B$26,O634,O634-J635*(1-I635))</f>
        <v>46506.404925704701</v>
      </c>
      <c r="P635" s="11">
        <f>IF($A635&gt;'1-Input'!$B$26,0,IF(U634&lt;=0,0,MAX(0,(U634-V634)/U634)))</f>
        <v>0.49364304451490842</v>
      </c>
      <c r="Q635" s="18">
        <f>IF($A635&gt;'1-Input'!$B$26,0,(MAX(0,P616-IF($A635&gt;='1-Input'!$C$12,'1-Input'!$B$13,0))-MIN(MAX(T634,0),MAX(0,P616-IF($A635&gt;='1-Input'!$C$12,'1-Input'!$B$13,0))))*(1/(1-'P-Parametri'!$B$6*P635))+MIN(MAX(0,U634-(MAX(0,P616-IF($A635&gt;='1-Input'!$C$12,'1-Input'!$B$13,0))-MIN(MAX(T634,0),MAX(0,P616-IF($A635&gt;='1-Input'!$C$12,'1-Input'!$B$13,0))))*(1/(1-'P-Parametri'!$B$6*P635))),MAX(0,2*P616-(T634-MIN(MAX(T634,0),MAX(0,P616-IF($A635&gt;='1-Input'!$C$12,'1-Input'!$B$13,0)))))*(1/(1-'P-Parametri'!$B$6*P635))))</f>
        <v>21895.332415553785</v>
      </c>
      <c r="R635" s="18">
        <f>IF($A635&gt;'1-Input'!$B$26,T634,(T634-MAX(0,P616-IF($A635&gt;='1-Input'!$C$12,'1-Input'!$B$13,0))+Q635*(1-'P-Parametri'!$B$6*P635))*(1+'1-Input'!$B$27))</f>
        <v>37760.964119681914</v>
      </c>
      <c r="S635" s="18">
        <f>IF($A635&gt;'1-Input'!$B$26,U634,(U634-Q635)*(1+'5-Roberta'!$C$4))</f>
        <v>177521.60492643589</v>
      </c>
      <c r="T635" s="18">
        <f>IF($A635&gt;'1-Input'!$B$26,R635,R635-'P-Parametri'!$B$8*(S635+R635)+MIN(MAX(S635,0),'P-Parametri'!$B$8*(S635+R635)))</f>
        <v>37760.964119681914</v>
      </c>
      <c r="U635" s="18">
        <f>IF($A635&gt;'1-Input'!$B$26,S635,S635-MIN(MAX(S635,0),'P-Parametri'!$B$8*(S635+R635)))</f>
        <v>177091.03978834365</v>
      </c>
      <c r="V635" s="18">
        <f>IF($A635&gt;'1-Input'!$B$26,V634,V634-Q635*(1-P635))</f>
        <v>87271.164469298354</v>
      </c>
      <c r="W635" s="11">
        <f>IF($A635&gt;'1-Input'!$B$26,0,IF(AB634&lt;=0,0,MAX(0,(AB634-AC634)/AB634)))</f>
        <v>0.4937152825947595</v>
      </c>
      <c r="X635" s="18">
        <f>IF($A635&gt;'1-Input'!$B$26,0,(MAX(0,W616-IF($A635&gt;='1-Input'!$C$12,'1-Input'!$B$13,0))-MIN(MAX(AA634,0),MAX(0,W616-IF($A635&gt;='1-Input'!$C$12,'1-Input'!$B$13,0))))*(1/(1-'P-Parametri'!$B$6*W635))+MIN(MAX(0,AB634-(MAX(0,W616-IF($A635&gt;='1-Input'!$C$12,'1-Input'!$B$13,0))-MIN(MAX(AA634,0),MAX(0,W616-IF($A635&gt;='1-Input'!$C$12,'1-Input'!$B$13,0))))*(1/(1-'P-Parametri'!$B$6*W635))),MAX(0,2*W616-(AA634-MIN(MAX(AA634,0),MAX(0,W616-IF($A635&gt;='1-Input'!$C$12,'1-Input'!$B$13,0)))))*(1/(1-'P-Parametri'!$B$6*W635))))</f>
        <v>21541.832691260945</v>
      </c>
      <c r="Y635" s="18">
        <f>IF($A635&gt;'1-Input'!$B$26,AA634,(AA634-MAX(0,W616-IF($A635&gt;='1-Input'!$C$12,'1-Input'!$B$13,0))+X635*(1-'P-Parametri'!$B$6*W635))*(1+'1-Input'!$B$27))</f>
        <v>37150.513557777515</v>
      </c>
      <c r="Z635" s="18">
        <f>IF($A635&gt;'1-Input'!$B$26,AB634,(AB634-X635)*(1+'5-Roberta'!$C$4))</f>
        <v>186007.98294042336</v>
      </c>
      <c r="AA635" s="18">
        <f>IF($A635&gt;'1-Input'!$B$26,Y635,Y635-'P-Parametri'!$B$8*(Z635+Y635)+MIN(MAX(Z635,0),'P-Parametri'!$B$8*(Z635+Y635)))</f>
        <v>37150.513557777515</v>
      </c>
      <c r="AB635" s="18">
        <f>IF($A635&gt;'1-Input'!$B$26,Z635,Z635-MIN(MAX(Z635,0),'P-Parametri'!$B$8*(Z635+Y635)))</f>
        <v>185561.66594742695</v>
      </c>
      <c r="AC635" s="18">
        <f>IF($A635&gt;'1-Input'!$B$26,AC634,AC634-X635*(1-W635))</f>
        <v>91430.096192340803</v>
      </c>
      <c r="AD635" s="11">
        <f>IF($A635&gt;'1-Input'!$B$26,0,IF(AI634&lt;=0,0,MAX(0,(AI634-AJ634)/AI634)))</f>
        <v>0.49372104554517637</v>
      </c>
      <c r="AE635" s="18">
        <f>IF($A635&gt;'1-Input'!$B$26,0,(MAX(0,AD616-IF($A635&gt;='1-Input'!$C$12,'1-Input'!$B$13,0))-MIN(MAX(AH634,0),MAX(0,AD616-IF($A635&gt;='1-Input'!$C$12,'1-Input'!$B$13,0))))*(1/(1-'P-Parametri'!$B$6*AD635))+MIN(MAX(0,AI634-(MAX(0,AD616-IF($A635&gt;='1-Input'!$C$12,'1-Input'!$B$13,0))-MIN(MAX(AH634,0),MAX(0,AD616-IF($A635&gt;='1-Input'!$C$12,'1-Input'!$B$13,0))))*(1/(1-'P-Parametri'!$B$6*AD635))),MAX(0,2*AD616-(AH634-MIN(MAX(AH634,0),MAX(0,AD616-IF($A635&gt;='1-Input'!$C$12,'1-Input'!$B$13,0)))))*(1/(1-'P-Parametri'!$B$6*AD635))))</f>
        <v>21512.945225433898</v>
      </c>
      <c r="AF635" s="18">
        <f>IF($A635&gt;'1-Input'!$B$26,AH634,(AH634-MAX(0,AD616-IF($A635&gt;='1-Input'!$C$12,'1-Input'!$B$13,0))+AE635*(1-'P-Parametri'!$B$6*AD635))*(1+'1-Input'!$B$27))</f>
        <v>37100.631169120483</v>
      </c>
      <c r="AG635" s="18">
        <f>IF($A635&gt;'1-Input'!$B$26,AI634,(AI634-AE635)*(1+'5-Roberta'!$C$4))</f>
        <v>186701.44841565969</v>
      </c>
      <c r="AH635" s="18">
        <f>IF($A635&gt;'1-Input'!$B$26,AF635,AF635-'P-Parametri'!$B$8*(AG635+AF635)+MIN(MAX(AG635,0),'P-Parametri'!$B$8*(AG635+AF635)))</f>
        <v>37100.631169120483</v>
      </c>
      <c r="AI635" s="18">
        <f>IF($A635&gt;'1-Input'!$B$26,AG635,AG635-MIN(MAX(AG635,0),'P-Parametri'!$B$8*(AG635+AF635)))</f>
        <v>186253.84425649012</v>
      </c>
      <c r="AJ635" s="18">
        <f>IF($A635&gt;'1-Input'!$B$26,AJ634,AJ634-AE635*(1-AD635))</f>
        <v>91769.916601049888</v>
      </c>
      <c r="AK635" s="11">
        <f>IF($A635&gt;'1-Input'!$B$26,0,IF(AP634&lt;=0,0,MAX(0,(AP634-AQ634)/AP634)))</f>
        <v>0.49372105678343242</v>
      </c>
      <c r="AL635" s="18">
        <f>IF($A635&gt;'1-Input'!$B$26,0,(MAX(0,AK616-IF($A635&gt;='1-Input'!$C$12,'1-Input'!$B$13,0))-MIN(MAX(AO634,0),MAX(0,AK616-IF($A635&gt;='1-Input'!$C$12,'1-Input'!$B$13,0))))*(1/(1-'P-Parametri'!$B$6*AK635))+MIN(MAX(0,AP634-(MAX(0,AK616-IF($A635&gt;='1-Input'!$C$12,'1-Input'!$B$13,0))-MIN(MAX(AO634,0),MAX(0,AK616-IF($A635&gt;='1-Input'!$C$12,'1-Input'!$B$13,0))))*(1/(1-'P-Parametri'!$B$6*AK635))),MAX(0,2*AK616-(AO634-MIN(MAX(AO634,0),MAX(0,AK616-IF($A635&gt;='1-Input'!$C$12,'1-Input'!$B$13,0)))))*(1/(1-'P-Parametri'!$B$6*AK635))))</f>
        <v>21512.888791560246</v>
      </c>
      <c r="AM635" s="18">
        <f>IF($A635&gt;'1-Input'!$B$26,AO634,(AO634-MAX(0,AK616-IF($A635&gt;='1-Input'!$C$12,'1-Input'!$B$13,0))+AL635*(1-'P-Parametri'!$B$6*AK635))*(1+'1-Input'!$B$27))</f>
        <v>37100.533720449668</v>
      </c>
      <c r="AN635" s="18">
        <f>IF($A635&gt;'1-Input'!$B$26,AP634,(AP634-AL635)*(1+'5-Roberta'!$C$4))</f>
        <v>186702.80314940322</v>
      </c>
      <c r="AO635" s="18">
        <f>IF($A635&gt;'1-Input'!$B$26,AM635,AM635-'P-Parametri'!$B$8*(AN635+AM635)+MIN(MAX(AN635,0),'P-Parametri'!$B$8*(AN635+AM635)))</f>
        <v>37100.533720449668</v>
      </c>
      <c r="AP635" s="18">
        <f>IF($A635&gt;'1-Input'!$B$26,AN635,AN635-MIN(MAX(AN635,0),'P-Parametri'!$B$8*(AN635+AM635)))</f>
        <v>186255.19647566351</v>
      </c>
      <c r="AQ635" s="18">
        <f>IF($A635&gt;'1-Input'!$B$26,AQ634,AQ634-AL635*(1-AK635))</f>
        <v>91770.580460243407</v>
      </c>
    </row>
    <row r="636" spans="1:43">
      <c r="A636" s="10">
        <f>18</f>
        <v>18</v>
      </c>
      <c r="B636" s="11">
        <f>IF($A636&gt;'1-Input'!$B$26,0,IF(G635&lt;=0,0,MAX(0,(G635-H635)/G635)))</f>
        <v>0.50772768514698952</v>
      </c>
      <c r="C636" s="18">
        <f>IF($A636&gt;'1-Input'!$B$26,0,(MAX(0,B616-IF($A636&gt;='1-Input'!$C$12,'1-Input'!$B$13,0))-MIN(MAX(F635,0),MAX(0,B616-IF($A636&gt;='1-Input'!$C$12,'1-Input'!$B$13,0))))*(1/(1-'P-Parametri'!$B$6*B636))+MIN(MAX(0,G635-(MAX(0,B616-IF($A636&gt;='1-Input'!$C$12,'1-Input'!$B$13,0))-MIN(MAX(F635,0),MAX(0,B616-IF($A636&gt;='1-Input'!$C$12,'1-Input'!$B$13,0))))*(1/(1-'P-Parametri'!$B$6*B636))),MAX(0,2*B616-(F635-MIN(MAX(F635,0),MAX(0,B616-IF($A636&gt;='1-Input'!$C$12,'1-Input'!$B$13,0)))))*(1/(1-'P-Parametri'!$B$6*B636))))</f>
        <v>19356.37898103728</v>
      </c>
      <c r="D636" s="18">
        <f>IF($A636&gt;'1-Input'!$B$26,F635,(F635-MAX(0,B616-IF($A636&gt;='1-Input'!$C$12,'1-Input'!$B$13,0))+C636*(1-'P-Parametri'!$B$6*B636))*(1+'1-Input'!$B$27))</f>
        <v>33242.0070309863</v>
      </c>
      <c r="E636" s="18">
        <f>IF($A636&gt;'1-Input'!$B$26,G635,(G635-C636)*(1+'5-Roberta'!$C$4))</f>
        <v>227057.60752842849</v>
      </c>
      <c r="F636" s="18">
        <f>IF($A636&gt;'1-Input'!$B$26,D636,D636-'P-Parametri'!$B$8*(E636+D636)+MIN(MAX(E636,0),'P-Parametri'!$B$8*(E636+D636)))</f>
        <v>33242.0070309863</v>
      </c>
      <c r="G636" s="18">
        <f>IF($A636&gt;'1-Input'!$B$26,E636,E636-MIN(MAX(E636,0),'P-Parametri'!$B$8*(E636+D636)))</f>
        <v>226537.00829930967</v>
      </c>
      <c r="H636" s="18">
        <f>IF($A636&gt;'1-Input'!$B$26,H635,H635-C636*(1-B636))</f>
        <v>108518.61559515129</v>
      </c>
      <c r="I636" s="11">
        <f>IF($A636&gt;'1-Input'!$B$26,0,IF(N635&lt;=0,0,MAX(0,(N635-O635)/N635)))</f>
        <v>0.50602037739687133</v>
      </c>
      <c r="J636" s="18">
        <f>IF($A636&gt;'1-Input'!$B$26,0,(MAX(0,I616-IF($A636&gt;='1-Input'!$C$12,'1-Input'!$B$13,0))-MIN(MAX(M635,0),MAX(0,I616-IF($A636&gt;='1-Input'!$C$12,'1-Input'!$B$13,0))))*(1/(1-'P-Parametri'!$B$6*I636))+MIN(MAX(0,N635-(MAX(0,I616-IF($A636&gt;='1-Input'!$C$12,'1-Input'!$B$13,0))-MIN(MAX(M635,0),MAX(0,I616-IF($A636&gt;='1-Input'!$C$12,'1-Input'!$B$13,0))))*(1/(1-'P-Parametri'!$B$6*I636))),MAX(0,2*I616-(M635-MIN(MAX(M635,0),MAX(0,I616-IF($A636&gt;='1-Input'!$C$12,'1-Input'!$B$13,0)))))*(1/(1-'P-Parametri'!$B$6*I636))))</f>
        <v>25455.901284807944</v>
      </c>
      <c r="K636" s="18">
        <f>IF($A636&gt;'1-Input'!$B$26,M635,(M635-MAX(0,I616-IF($A636&gt;='1-Input'!$C$12,'1-Input'!$B$13,0))+J636*(1-'P-Parametri'!$B$6*I636))*(1+'1-Input'!$B$27))</f>
        <v>43739.482935508291</v>
      </c>
      <c r="L636" s="18">
        <f>IF($A636&gt;'1-Input'!$B$26,N635,(N635-J636)*(1+'5-Roberta'!$C$4))</f>
        <v>70751.217397022643</v>
      </c>
      <c r="M636" s="18">
        <f>IF($A636&gt;'1-Input'!$B$26,K636,K636-'P-Parametri'!$B$8*(L636+K636)+MIN(MAX(L636,0),'P-Parametri'!$B$8*(L636+K636)))</f>
        <v>43739.482935508291</v>
      </c>
      <c r="N636" s="18">
        <f>IF($A636&gt;'1-Input'!$B$26,L636,L636-MIN(MAX(L636,0),'P-Parametri'!$B$8*(L636+K636)))</f>
        <v>70522.235996357587</v>
      </c>
      <c r="O636" s="18">
        <f>IF($A636&gt;'1-Input'!$B$26,O635,O635-J636*(1-I636))</f>
        <v>33931.708416012771</v>
      </c>
      <c r="P636" s="11">
        <f>IF($A636&gt;'1-Input'!$B$26,0,IF(U635&lt;=0,0,MAX(0,(U635-V635)/U635)))</f>
        <v>0.50719604688298492</v>
      </c>
      <c r="Q636" s="18">
        <f>IF($A636&gt;'1-Input'!$B$26,0,(MAX(0,P616-IF($A636&gt;='1-Input'!$C$12,'1-Input'!$B$13,0))-MIN(MAX(T635,0),MAX(0,P616-IF($A636&gt;='1-Input'!$C$12,'1-Input'!$B$13,0))))*(1/(1-'P-Parametri'!$B$6*P636))+MIN(MAX(0,U635-(MAX(0,P616-IF($A636&gt;='1-Input'!$C$12,'1-Input'!$B$13,0))-MIN(MAX(T635,0),MAX(0,P616-IF($A636&gt;='1-Input'!$C$12,'1-Input'!$B$13,0))))*(1/(1-'P-Parametri'!$B$6*P636))),MAX(0,2*P616-(T635-MIN(MAX(T635,0),MAX(0,P616-IF($A636&gt;='1-Input'!$C$12,'1-Input'!$B$13,0)))))*(1/(1-'P-Parametri'!$B$6*P636))))</f>
        <v>21984.206702057985</v>
      </c>
      <c r="R636" s="18">
        <f>IF($A636&gt;'1-Input'!$B$26,T635,(T635-MAX(0,P616-IF($A636&gt;='1-Input'!$C$12,'1-Input'!$B$13,0))+Q636*(1-'P-Parametri'!$B$6*P636))*(1+'1-Input'!$B$27))</f>
        <v>37760.964119681914</v>
      </c>
      <c r="S636" s="18">
        <f>IF($A636&gt;'1-Input'!$B$26,U635,(U635-Q636)*(1+'5-Roberta'!$C$4))</f>
        <v>159760.03807887426</v>
      </c>
      <c r="T636" s="18">
        <f>IF($A636&gt;'1-Input'!$B$26,R636,R636-'P-Parametri'!$B$8*(S636+R636)+MIN(MAX(S636,0),'P-Parametri'!$B$8*(S636+R636)))</f>
        <v>37760.964119681914</v>
      </c>
      <c r="U636" s="18">
        <f>IF($A636&gt;'1-Input'!$B$26,S636,S636-MIN(MAX(S636,0),'P-Parametri'!$B$8*(S636+R636)))</f>
        <v>159364.99607447715</v>
      </c>
      <c r="V636" s="18">
        <f>IF($A636&gt;'1-Input'!$B$26,V635,V635-Q636*(1-P636))</f>
        <v>76437.260500382603</v>
      </c>
      <c r="W636" s="11">
        <f>IF($A636&gt;'1-Input'!$B$26,0,IF(AB635&lt;=0,0,MAX(0,(AB635-AC635)/AB635)))</f>
        <v>0.50727918007459238</v>
      </c>
      <c r="X636" s="18">
        <f>IF($A636&gt;'1-Input'!$B$26,0,(MAX(0,W616-IF($A636&gt;='1-Input'!$C$12,'1-Input'!$B$13,0))-MIN(MAX(AA635,0),MAX(0,W616-IF($A636&gt;='1-Input'!$C$12,'1-Input'!$B$13,0))))*(1/(1-'P-Parametri'!$B$6*W636))+MIN(MAX(0,AB635-(MAX(0,W616-IF($A636&gt;='1-Input'!$C$12,'1-Input'!$B$13,0))-MIN(MAX(AA635,0),MAX(0,W616-IF($A636&gt;='1-Input'!$C$12,'1-Input'!$B$13,0))))*(1/(1-'P-Parametri'!$B$6*W636))),MAX(0,2*W616-(AA635-MIN(MAX(AA635,0),MAX(0,W616-IF($A636&gt;='1-Input'!$C$12,'1-Input'!$B$13,0)))))*(1/(1-'P-Parametri'!$B$6*W636))))</f>
        <v>21629.344574567163</v>
      </c>
      <c r="Y636" s="18">
        <f>IF($A636&gt;'1-Input'!$B$26,AA635,(AA635-MAX(0,W616-IF($A636&gt;='1-Input'!$C$12,'1-Input'!$B$13,0))+X636*(1-'P-Parametri'!$B$6*W636))*(1+'1-Input'!$B$27))</f>
        <v>37150.513557777522</v>
      </c>
      <c r="Z636" s="18">
        <f>IF($A636&gt;'1-Input'!$B$26,AB635,(AB635-X636)*(1+'5-Roberta'!$C$4))</f>
        <v>168850.29101404559</v>
      </c>
      <c r="AA636" s="18">
        <f>IF($A636&gt;'1-Input'!$B$26,Y636,Y636-'P-Parametri'!$B$8*(Z636+Y636)+MIN(MAX(Z636,0),'P-Parametri'!$B$8*(Z636+Y636)))</f>
        <v>37150.513557777522</v>
      </c>
      <c r="AB636" s="18">
        <f>IF($A636&gt;'1-Input'!$B$26,Z636,Z636-MIN(MAX(Z636,0),'P-Parametri'!$B$8*(Z636+Y636)))</f>
        <v>168438.28940490194</v>
      </c>
      <c r="AC636" s="18">
        <f>IF($A636&gt;'1-Input'!$B$26,AC635,AC635-X636*(1-W636))</f>
        <v>80772.8677991109</v>
      </c>
      <c r="AD636" s="11">
        <f>IF($A636&gt;'1-Input'!$B$26,0,IF(AI635&lt;=0,0,MAX(0,(AI635-AJ635)/AI635)))</f>
        <v>0.50728578533566504</v>
      </c>
      <c r="AE636" s="18">
        <f>IF($A636&gt;'1-Input'!$B$26,0,(MAX(0,AD616-IF($A636&gt;='1-Input'!$C$12,'1-Input'!$B$13,0))-MIN(MAX(AH635,0),MAX(0,AD616-IF($A636&gt;='1-Input'!$C$12,'1-Input'!$B$13,0))))*(1/(1-'P-Parametri'!$B$6*AD636))+MIN(MAX(0,AI635-(MAX(0,AD616-IF($A636&gt;='1-Input'!$C$12,'1-Input'!$B$13,0))-MIN(MAX(AH635,0),MAX(0,AD616-IF($A636&gt;='1-Input'!$C$12,'1-Input'!$B$13,0))))*(1/(1-'P-Parametri'!$B$6*AD636))),MAX(0,2*AD616-(AH635-MIN(MAX(AH635,0),MAX(0,AD616-IF($A636&gt;='1-Input'!$C$12,'1-Input'!$B$13,0)))))*(1/(1-'P-Parametri'!$B$6*AD636))))</f>
        <v>21600.345355895639</v>
      </c>
      <c r="AF636" s="18">
        <f>IF($A636&gt;'1-Input'!$B$26,AH635,(AH635-MAX(0,AD616-IF($A636&gt;='1-Input'!$C$12,'1-Input'!$B$13,0))+AE636*(1-'P-Parametri'!$B$6*AD636))*(1+'1-Input'!$B$27))</f>
        <v>37100.631169120483</v>
      </c>
      <c r="AG636" s="18">
        <f>IF($A636&gt;'1-Input'!$B$26,AI635,(AI635-AE636)*(1+'5-Roberta'!$C$4))</f>
        <v>169593.10386761231</v>
      </c>
      <c r="AH636" s="18">
        <f>IF($A636&gt;'1-Input'!$B$26,AF636,AF636-'P-Parametri'!$B$8*(AG636+AF636)+MIN(MAX(AG636,0),'P-Parametri'!$B$8*(AG636+AF636)))</f>
        <v>37100.631169120483</v>
      </c>
      <c r="AI636" s="18">
        <f>IF($A636&gt;'1-Input'!$B$26,AG636,AG636-MIN(MAX(AG636,0),'P-Parametri'!$B$8*(AG636+AF636)))</f>
        <v>169179.71639753884</v>
      </c>
      <c r="AJ636" s="18">
        <f>IF($A636&gt;'1-Input'!$B$26,AJ635,AJ635-AE636*(1-AD636))</f>
        <v>81127.119402541357</v>
      </c>
      <c r="AK636" s="11">
        <f>IF($A636&gt;'1-Input'!$B$26,0,IF(AP635&lt;=0,0,MAX(0,(AP635-AQ635)/AP635)))</f>
        <v>0.50728579821269937</v>
      </c>
      <c r="AL636" s="18">
        <f>IF($A636&gt;'1-Input'!$B$26,0,(MAX(0,AK616-IF($A636&gt;='1-Input'!$C$12,'1-Input'!$B$13,0))-MIN(MAX(AO635,0),MAX(0,AK616-IF($A636&gt;='1-Input'!$C$12,'1-Input'!$B$13,0))))*(1/(1-'P-Parametri'!$B$6*AK636))+MIN(MAX(0,AP635-(MAX(0,AK616-IF($A636&gt;='1-Input'!$C$12,'1-Input'!$B$13,0))-MIN(MAX(AO635,0),MAX(0,AK616-IF($A636&gt;='1-Input'!$C$12,'1-Input'!$B$13,0))))*(1/(1-'P-Parametri'!$B$6*AK636))),MAX(0,2*AK616-(AO635-MIN(MAX(AO635,0),MAX(0,AK616-IF($A636&gt;='1-Input'!$C$12,'1-Input'!$B$13,0)))))*(1/(1-'P-Parametri'!$B$6*AK636))))</f>
        <v>21600.288703645427</v>
      </c>
      <c r="AM636" s="18">
        <f>IF($A636&gt;'1-Input'!$B$26,AO635,(AO635-MAX(0,AK616-IF($A636&gt;='1-Input'!$C$12,'1-Input'!$B$13,0))+AL636*(1-'P-Parametri'!$B$6*AK636))*(1+'1-Input'!$B$27))</f>
        <v>37100.533720449668</v>
      </c>
      <c r="AN636" s="18">
        <f>IF($A636&gt;'1-Input'!$B$26,AP635,(AP635-AL636)*(1+'5-Roberta'!$C$4))</f>
        <v>169594.55500517861</v>
      </c>
      <c r="AO636" s="18">
        <f>IF($A636&gt;'1-Input'!$B$26,AM636,AM636-'P-Parametri'!$B$8*(AN636+AM636)+MIN(MAX(AN636,0),'P-Parametri'!$B$8*(AN636+AM636)))</f>
        <v>37100.533720449668</v>
      </c>
      <c r="AP636" s="18">
        <f>IF($A636&gt;'1-Input'!$B$26,AN636,AN636-MIN(MAX(AN636,0),'P-Parametri'!$B$8*(AN636+AM636)))</f>
        <v>169181.16482772736</v>
      </c>
      <c r="AQ636" s="18">
        <f>IF($A636&gt;'1-Input'!$B$26,AQ635,AQ635-AL636*(1-AK636))</f>
        <v>81127.811453251503</v>
      </c>
    </row>
    <row r="637" spans="1:43">
      <c r="A637" s="10">
        <f>19</f>
        <v>19</v>
      </c>
      <c r="B637" s="11">
        <f>IF($A637&gt;'1-Input'!$B$26,0,IF(G636&lt;=0,0,MAX(0,(G636-H636)/G636)))</f>
        <v>0.52096738449122537</v>
      </c>
      <c r="C637" s="18">
        <f>IF($A637&gt;'1-Input'!$B$26,0,(MAX(0,B616-IF($A637&gt;='1-Input'!$C$12,'1-Input'!$B$13,0))-MIN(MAX(F636,0),MAX(0,B616-IF($A637&gt;='1-Input'!$C$12,'1-Input'!$B$13,0))))*(1/(1-'P-Parametri'!$B$6*B637))+MIN(MAX(0,G636-(MAX(0,B616-IF($A637&gt;='1-Input'!$C$12,'1-Input'!$B$13,0))-MIN(MAX(F636,0),MAX(0,B616-IF($A637&gt;='1-Input'!$C$12,'1-Input'!$B$13,0))))*(1/(1-'P-Parametri'!$B$6*B637))),MAX(0,2*B616-(F636-MIN(MAX(F636,0),MAX(0,B616-IF($A637&gt;='1-Input'!$C$12,'1-Input'!$B$13,0)))))*(1/(1-'P-Parametri'!$B$6*B637))))</f>
        <v>19433.449136668161</v>
      </c>
      <c r="D637" s="18">
        <f>IF($A637&gt;'1-Input'!$B$26,F636,(F636-MAX(0,B616-IF($A637&gt;='1-Input'!$C$12,'1-Input'!$B$13,0))+C637*(1-'P-Parametri'!$B$6*B637))*(1+'1-Input'!$B$27))</f>
        <v>33242.0070309863</v>
      </c>
      <c r="E637" s="18">
        <f>IF($A637&gt;'1-Input'!$B$26,G636,(G636-C637)*(1+'5-Roberta'!$C$4))</f>
        <v>213316.66593752077</v>
      </c>
      <c r="F637" s="18">
        <f>IF($A637&gt;'1-Input'!$B$26,D637,D637-'P-Parametri'!$B$8*(E637+D637)+MIN(MAX(E637,0),'P-Parametri'!$B$8*(E637+D637)))</f>
        <v>33242.0070309863</v>
      </c>
      <c r="G637" s="18">
        <f>IF($A637&gt;'1-Input'!$B$26,E637,E637-MIN(MAX(E637,0),'P-Parametri'!$B$8*(E637+D637)))</f>
        <v>212823.54859158376</v>
      </c>
      <c r="H637" s="18">
        <f>IF($A637&gt;'1-Input'!$B$26,H636,H636-C637*(1-B637))</f>
        <v>99209.3596268564</v>
      </c>
      <c r="I637" s="11">
        <f>IF($A637&gt;'1-Input'!$B$26,0,IF(N636&lt;=0,0,MAX(0,(N636-O636)/N636)))</f>
        <v>0.51885092784401621</v>
      </c>
      <c r="J637" s="18">
        <f>IF($A637&gt;'1-Input'!$B$26,0,(MAX(0,I616-IF($A637&gt;='1-Input'!$C$12,'1-Input'!$B$13,0))-MIN(MAX(M636,0),MAX(0,I616-IF($A637&gt;='1-Input'!$C$12,'1-Input'!$B$13,0))))*(1/(1-'P-Parametri'!$B$6*I637))+MIN(MAX(0,N636-(MAX(0,I616-IF($A637&gt;='1-Input'!$C$12,'1-Input'!$B$13,0))-MIN(MAX(M636,0),MAX(0,I616-IF($A637&gt;='1-Input'!$C$12,'1-Input'!$B$13,0))))*(1/(1-'P-Parametri'!$B$6*I637))),MAX(0,2*I616-(M636-MIN(MAX(M636,0),MAX(0,I616-IF($A637&gt;='1-Input'!$C$12,'1-Input'!$B$13,0)))))*(1/(1-'P-Parametri'!$B$6*I637))))</f>
        <v>25554.062838964903</v>
      </c>
      <c r="K637" s="18">
        <f>IF($A637&gt;'1-Input'!$B$26,M636,(M636-MAX(0,I616-IF($A637&gt;='1-Input'!$C$12,'1-Input'!$B$13,0))+J637*(1-'P-Parametri'!$B$6*I637))*(1+'1-Input'!$B$27))</f>
        <v>43739.482935508291</v>
      </c>
      <c r="L637" s="18">
        <f>IF($A637&gt;'1-Input'!$B$26,N636,(N636-J637)*(1+'5-Roberta'!$C$4))</f>
        <v>46317.218352114462</v>
      </c>
      <c r="M637" s="18">
        <f>IF($A637&gt;'1-Input'!$B$26,K637,K637-'P-Parametri'!$B$8*(L637+K637)+MIN(MAX(L637,0),'P-Parametri'!$B$8*(L637+K637)))</f>
        <v>43739.482935508291</v>
      </c>
      <c r="N637" s="18">
        <f>IF($A637&gt;'1-Input'!$B$26,L637,L637-MIN(MAX(L637,0),'P-Parametri'!$B$8*(L637+K637)))</f>
        <v>46137.104949539214</v>
      </c>
      <c r="O637" s="18">
        <f>IF($A637&gt;'1-Input'!$B$26,O636,O636-J637*(1-I637))</f>
        <v>21636.394791229104</v>
      </c>
      <c r="P637" s="11">
        <f>IF($A637&gt;'1-Input'!$B$26,0,IF(U636&lt;=0,0,MAX(0,(U636-V636)/U636)))</f>
        <v>0.52036355295575298</v>
      </c>
      <c r="Q637" s="18">
        <f>IF($A637&gt;'1-Input'!$B$26,0,(MAX(0,P616-IF($A637&gt;='1-Input'!$C$12,'1-Input'!$B$13,0))-MIN(MAX(T636,0),MAX(0,P616-IF($A637&gt;='1-Input'!$C$12,'1-Input'!$B$13,0))))*(1/(1-'P-Parametri'!$B$6*P637))+MIN(MAX(0,U636-(MAX(0,P616-IF($A637&gt;='1-Input'!$C$12,'1-Input'!$B$13,0))-MIN(MAX(T636,0),MAX(0,P616-IF($A637&gt;='1-Input'!$C$12,'1-Input'!$B$13,0))))*(1/(1-'P-Parametri'!$B$6*P637))),MAX(0,2*P616-(T636-MIN(MAX(T636,0),MAX(0,P616-IF($A637&gt;='1-Input'!$C$12,'1-Input'!$B$13,0)))))*(1/(1-'P-Parametri'!$B$6*P637))))</f>
        <v>22071.246818762389</v>
      </c>
      <c r="R637" s="18">
        <f>IF($A637&gt;'1-Input'!$B$26,T636,(T636-MAX(0,P616-IF($A637&gt;='1-Input'!$C$12,'1-Input'!$B$13,0))+Q637*(1-'P-Parametri'!$B$6*P637))*(1+'1-Input'!$B$27))</f>
        <v>37760.964119681914</v>
      </c>
      <c r="S637" s="18">
        <f>IF($A637&gt;'1-Input'!$B$26,U636,(U636-Q637)*(1+'5-Roberta'!$C$4))</f>
        <v>141412.56173338622</v>
      </c>
      <c r="T637" s="18">
        <f>IF($A637&gt;'1-Input'!$B$26,R637,R637-'P-Parametri'!$B$8*(S637+R637)+MIN(MAX(S637,0),'P-Parametri'!$B$8*(S637+R637)))</f>
        <v>37760.964119681914</v>
      </c>
      <c r="U637" s="18">
        <f>IF($A637&gt;'1-Input'!$B$26,S637,S637-MIN(MAX(S637,0),'P-Parametri'!$B$8*(S637+R637)))</f>
        <v>141054.21468168008</v>
      </c>
      <c r="V637" s="18">
        <f>IF($A637&gt;'1-Input'!$B$26,V636,V636-Q637*(1-P637))</f>
        <v>65851.086094394763</v>
      </c>
      <c r="W637" s="11">
        <f>IF($A637&gt;'1-Input'!$B$26,0,IF(AB636&lt;=0,0,MAX(0,(AB636-AC636)/AB636)))</f>
        <v>0.52046017515088694</v>
      </c>
      <c r="X637" s="18">
        <f>IF($A637&gt;'1-Input'!$B$26,0,(MAX(0,W616-IF($A637&gt;='1-Input'!$C$12,'1-Input'!$B$13,0))-MIN(MAX(AA636,0),MAX(0,W616-IF($A637&gt;='1-Input'!$C$12,'1-Input'!$B$13,0))))*(1/(1-'P-Parametri'!$B$6*W637))+MIN(MAX(0,AB636-(MAX(0,W616-IF($A637&gt;='1-Input'!$C$12,'1-Input'!$B$13,0))-MIN(MAX(AA636,0),MAX(0,W616-IF($A637&gt;='1-Input'!$C$12,'1-Input'!$B$13,0))))*(1/(1-'P-Parametri'!$B$6*W637))),MAX(0,2*W616-(AA636-MIN(MAX(AA636,0),MAX(0,W616-IF($A637&gt;='1-Input'!$C$12,'1-Input'!$B$13,0)))))*(1/(1-'P-Parametri'!$B$6*W637))))</f>
        <v>21715.069933708506</v>
      </c>
      <c r="Y637" s="18">
        <f>IF($A637&gt;'1-Input'!$B$26,AA636,(AA636-MAX(0,W616-IF($A637&gt;='1-Input'!$C$12,'1-Input'!$B$13,0))+X637*(1-'P-Parametri'!$B$6*W637))*(1+'1-Input'!$B$27))</f>
        <v>37150.513557777522</v>
      </c>
      <c r="Z637" s="18">
        <f>IF($A637&gt;'1-Input'!$B$26,AB636,(AB636-X637)*(1+'5-Roberta'!$C$4))</f>
        <v>151124.91605532926</v>
      </c>
      <c r="AA637" s="18">
        <f>IF($A637&gt;'1-Input'!$B$26,Y637,Y637-'P-Parametri'!$B$8*(Z637+Y637)+MIN(MAX(Z637,0),'P-Parametri'!$B$8*(Z637+Y637)))</f>
        <v>37150.513557777522</v>
      </c>
      <c r="AB637" s="18">
        <f>IF($A637&gt;'1-Input'!$B$26,Z637,Z637-MIN(MAX(Z637,0),'P-Parametri'!$B$8*(Z637+Y637)))</f>
        <v>150748.36519610306</v>
      </c>
      <c r="AC637" s="18">
        <f>IF($A637&gt;'1-Input'!$B$26,AC636,AC636-X637*(1-W637))</f>
        <v>70359.626966514086</v>
      </c>
      <c r="AD637" s="11">
        <f>IF($A637&gt;'1-Input'!$B$26,0,IF(AI636&lt;=0,0,MAX(0,(AI636-AJ636)/AI636)))</f>
        <v>0.52046781298587419</v>
      </c>
      <c r="AE637" s="18">
        <f>IF($A637&gt;'1-Input'!$B$26,0,(MAX(0,AD616-IF($A637&gt;='1-Input'!$C$12,'1-Input'!$B$13,0))-MIN(MAX(AH636,0),MAX(0,AD616-IF($A637&gt;='1-Input'!$C$12,'1-Input'!$B$13,0))))*(1/(1-'P-Parametri'!$B$6*AD637))+MIN(MAX(0,AI636-(MAX(0,AD616-IF($A637&gt;='1-Input'!$C$12,'1-Input'!$B$13,0))-MIN(MAX(AH636,0),MAX(0,AD616-IF($A637&gt;='1-Input'!$C$12,'1-Input'!$B$13,0))))*(1/(1-'P-Parametri'!$B$6*AD637))),MAX(0,2*AD616-(AH636-MIN(MAX(AH636,0),MAX(0,AD616-IF($A637&gt;='1-Input'!$C$12,'1-Input'!$B$13,0)))))*(1/(1-'P-Parametri'!$B$6*AD637))))</f>
        <v>21685.962683236747</v>
      </c>
      <c r="AF637" s="18">
        <f>IF($A637&gt;'1-Input'!$B$26,AH636,(AH636-MAX(0,AD616-IF($A637&gt;='1-Input'!$C$12,'1-Input'!$B$13,0))+AE637*(1-'P-Parametri'!$B$6*AD637))*(1+'1-Input'!$B$27))</f>
        <v>37100.63116912049</v>
      </c>
      <c r="AG637" s="18">
        <f>IF($A637&gt;'1-Input'!$B$26,AI636,(AI636-AE637)*(1+'5-Roberta'!$C$4))</f>
        <v>151918.56632573117</v>
      </c>
      <c r="AH637" s="18">
        <f>IF($A637&gt;'1-Input'!$B$26,AF637,AF637-'P-Parametri'!$B$8*(AG637+AF637)+MIN(MAX(AG637,0),'P-Parametri'!$B$8*(AG637+AF637)))</f>
        <v>37100.63116912049</v>
      </c>
      <c r="AI637" s="18">
        <f>IF($A637&gt;'1-Input'!$B$26,AG637,AG637-MIN(MAX(AG637,0),'P-Parametri'!$B$8*(AG637+AF637)))</f>
        <v>151540.52793074146</v>
      </c>
      <c r="AJ637" s="18">
        <f>IF($A637&gt;'1-Input'!$B$26,AJ636,AJ636-AE637*(1-AD637))</f>
        <v>70728.002289542113</v>
      </c>
      <c r="AK637" s="11">
        <f>IF($A637&gt;'1-Input'!$B$26,0,IF(AP636&lt;=0,0,MAX(0,(AP636-AQ636)/AP636)))</f>
        <v>0.52046782787042656</v>
      </c>
      <c r="AL637" s="18">
        <f>IF($A637&gt;'1-Input'!$B$26,0,(MAX(0,AK616-IF($A637&gt;='1-Input'!$C$12,'1-Input'!$B$13,0))-MIN(MAX(AO636,0),MAX(0,AK616-IF($A637&gt;='1-Input'!$C$12,'1-Input'!$B$13,0))))*(1/(1-'P-Parametri'!$B$6*AK637))+MIN(MAX(0,AP636-(MAX(0,AK616-IF($A637&gt;='1-Input'!$C$12,'1-Input'!$B$13,0))-MIN(MAX(AO636,0),MAX(0,AK616-IF($A637&gt;='1-Input'!$C$12,'1-Input'!$B$13,0))))*(1/(1-'P-Parametri'!$B$6*AK637))),MAX(0,2*AK616-(AO636-MIN(MAX(AO636,0),MAX(0,AK616-IF($A637&gt;='1-Input'!$C$12,'1-Input'!$B$13,0)))))*(1/(1-'P-Parametri'!$B$6*AK637))))</f>
        <v>21685.905819855903</v>
      </c>
      <c r="AM637" s="18">
        <f>IF($A637&gt;'1-Input'!$B$26,AO636,(AO636-MAX(0,AK616-IF($A637&gt;='1-Input'!$C$12,'1-Input'!$B$13,0))+AL637*(1-'P-Parametri'!$B$6*AK637))*(1+'1-Input'!$B$27))</f>
        <v>37100.533720449668</v>
      </c>
      <c r="AN637" s="18">
        <f>IF($A637&gt;'1-Input'!$B$26,AP636,(AP636-AL637)*(1+'5-Roberta'!$C$4))</f>
        <v>151920.11677810762</v>
      </c>
      <c r="AO637" s="18">
        <f>IF($A637&gt;'1-Input'!$B$26,AM637,AM637-'P-Parametri'!$B$8*(AN637+AM637)+MIN(MAX(AN637,0),'P-Parametri'!$B$8*(AN637+AM637)))</f>
        <v>37100.533720449668</v>
      </c>
      <c r="AP637" s="18">
        <f>IF($A637&gt;'1-Input'!$B$26,AN637,AN637-MIN(MAX(AN637,0),'P-Parametri'!$B$8*(AN637+AM637)))</f>
        <v>151542.07547711051</v>
      </c>
      <c r="AQ637" s="18">
        <f>IF($A637&gt;'1-Input'!$B$26,AQ636,AQ636-AL637*(1-AK637))</f>
        <v>70728.72193085865</v>
      </c>
    </row>
    <row r="638" spans="1:43">
      <c r="A638" s="10">
        <f>20</f>
        <v>20</v>
      </c>
      <c r="B638" s="11">
        <f>IF($A638&gt;'1-Input'!$B$26,0,IF(G637&lt;=0,0,MAX(0,(G637-H637)/G637)))</f>
        <v>0.53384218859519716</v>
      </c>
      <c r="C638" s="18">
        <f>IF($A638&gt;'1-Input'!$B$26,0,(MAX(0,B616-IF($A638&gt;='1-Input'!$C$12,'1-Input'!$B$13,0))-MIN(MAX(F637,0),MAX(0,B616-IF($A638&gt;='1-Input'!$C$12,'1-Input'!$B$13,0))))*(1/(1-'P-Parametri'!$B$6*B638))+MIN(MAX(0,G637-(MAX(0,B616-IF($A638&gt;='1-Input'!$C$12,'1-Input'!$B$13,0))-MIN(MAX(F637,0),MAX(0,B616-IF($A638&gt;='1-Input'!$C$12,'1-Input'!$B$13,0))))*(1/(1-'P-Parametri'!$B$6*B638))),MAX(0,2*B616-(F637-MIN(MAX(F637,0),MAX(0,B616-IF($A638&gt;='1-Input'!$C$12,'1-Input'!$B$13,0)))))*(1/(1-'P-Parametri'!$B$6*B638))))</f>
        <v>19508.9860657274</v>
      </c>
      <c r="D638" s="18">
        <f>IF($A638&gt;'1-Input'!$B$26,F637,(F637-MAX(0,B616-IF($A638&gt;='1-Input'!$C$12,'1-Input'!$B$13,0))+C638*(1-'P-Parametri'!$B$6*B638))*(1+'1-Input'!$B$27))</f>
        <v>33242.0070309863</v>
      </c>
      <c r="E638" s="18">
        <f>IF($A638&gt;'1-Input'!$B$26,G637,(G637-C638)*(1+'5-Roberta'!$C$4))</f>
        <v>199113.99940163206</v>
      </c>
      <c r="F638" s="18">
        <f>IF($A638&gt;'1-Input'!$B$26,D638,D638-'P-Parametri'!$B$8*(E638+D638)+MIN(MAX(E638,0),'P-Parametri'!$B$8*(E638+D638)))</f>
        <v>33242.0070309863</v>
      </c>
      <c r="G638" s="18">
        <f>IF($A638&gt;'1-Input'!$B$26,E638,E638-MIN(MAX(E638,0),'P-Parametri'!$B$8*(E638+D638)))</f>
        <v>198649.28738876682</v>
      </c>
      <c r="H638" s="18">
        <f>IF($A638&gt;'1-Input'!$B$26,H637,H637-C638*(1-B638))</f>
        <v>90115.093379730126</v>
      </c>
      <c r="I638" s="11">
        <f>IF($A638&gt;'1-Input'!$B$26,0,IF(N637&lt;=0,0,MAX(0,(N637-O637)/N637)))</f>
        <v>0.5310413426483277</v>
      </c>
      <c r="J638" s="18">
        <f>IF($A638&gt;'1-Input'!$B$26,0,(MAX(0,I616-IF($A638&gt;='1-Input'!$C$12,'1-Input'!$B$13,0))-MIN(MAX(M637,0),MAX(0,I616-IF($A638&gt;='1-Input'!$C$12,'1-Input'!$B$13,0))))*(1/(1-'P-Parametri'!$B$6*I638))+MIN(MAX(0,N637-(MAX(0,I616-IF($A638&gt;='1-Input'!$C$12,'1-Input'!$B$13,0))-MIN(MAX(M637,0),MAX(0,I616-IF($A638&gt;='1-Input'!$C$12,'1-Input'!$B$13,0))))*(1/(1-'P-Parametri'!$B$6*I638))),MAX(0,2*I616-(M637-MIN(MAX(M637,0),MAX(0,I616-IF($A638&gt;='1-Input'!$C$12,'1-Input'!$B$13,0)))))*(1/(1-'P-Parametri'!$B$6*I638))))</f>
        <v>25648.030879450111</v>
      </c>
      <c r="K638" s="18">
        <f>IF($A638&gt;'1-Input'!$B$26,M637,(M637-MAX(0,I616-IF($A638&gt;='1-Input'!$C$12,'1-Input'!$B$13,0))+J638*(1-'P-Parametri'!$B$6*I638))*(1+'1-Input'!$B$27))</f>
        <v>43739.482935508291</v>
      </c>
      <c r="L638" s="18">
        <f>IF($A638&gt;'1-Input'!$B$26,N637,(N637-J638)*(1+'5-Roberta'!$C$4))</f>
        <v>21103.746292191776</v>
      </c>
      <c r="M638" s="18">
        <f>IF($A638&gt;'1-Input'!$B$26,K638,K638-'P-Parametri'!$B$8*(L638+K638)+MIN(MAX(L638,0),'P-Parametri'!$B$8*(L638+K638)))</f>
        <v>43739.482935508291</v>
      </c>
      <c r="N638" s="18">
        <f>IF($A638&gt;'1-Input'!$B$26,L638,L638-MIN(MAX(L638,0),'P-Parametri'!$B$8*(L638+K638)))</f>
        <v>20974.059833736377</v>
      </c>
      <c r="O638" s="18">
        <f>IF($A638&gt;'1-Input'!$B$26,O637,O637-J638*(1-I638))</f>
        <v>9608.5286662879498</v>
      </c>
      <c r="P638" s="11">
        <f>IF($A638&gt;'1-Input'!$B$26,0,IF(U637&lt;=0,0,MAX(0,(U637-V637)/U637)))</f>
        <v>0.53315052483187231</v>
      </c>
      <c r="Q638" s="18">
        <f>IF($A638&gt;'1-Input'!$B$26,0,(MAX(0,P616-IF($A638&gt;='1-Input'!$C$12,'1-Input'!$B$13,0))-MIN(MAX(T637,0),MAX(0,P616-IF($A638&gt;='1-Input'!$C$12,'1-Input'!$B$13,0))))*(1/(1-'P-Parametri'!$B$6*P638))+MIN(MAX(0,U637-(MAX(0,P616-IF($A638&gt;='1-Input'!$C$12,'1-Input'!$B$13,0))-MIN(MAX(T637,0),MAX(0,P616-IF($A638&gt;='1-Input'!$C$12,'1-Input'!$B$13,0))))*(1/(1-'P-Parametri'!$B$6*P638))),MAX(0,2*P616-(T637-MIN(MAX(T637,0),MAX(0,P616-IF($A638&gt;='1-Input'!$C$12,'1-Input'!$B$13,0)))))*(1/(1-'P-Parametri'!$B$6*P638))))</f>
        <v>22156.433697545774</v>
      </c>
      <c r="R638" s="18">
        <f>IF($A638&gt;'1-Input'!$B$26,T637,(T637-MAX(0,P616-IF($A638&gt;='1-Input'!$C$12,'1-Input'!$B$13,0))+Q638*(1-'P-Parametri'!$B$6*P638))*(1+'1-Input'!$B$27))</f>
        <v>37760.964119681914</v>
      </c>
      <c r="S638" s="18">
        <f>IF($A638&gt;'1-Input'!$B$26,U637,(U637-Q638)*(1+'5-Roberta'!$C$4))</f>
        <v>122464.71441365834</v>
      </c>
      <c r="T638" s="18">
        <f>IF($A638&gt;'1-Input'!$B$26,R638,R638-'P-Parametri'!$B$8*(S638+R638)+MIN(MAX(S638,0),'P-Parametri'!$B$8*(S638+R638)))</f>
        <v>37760.964119681914</v>
      </c>
      <c r="U638" s="18">
        <f>IF($A638&gt;'1-Input'!$B$26,S638,S638-MIN(MAX(S638,0),'P-Parametri'!$B$8*(S638+R638)))</f>
        <v>122144.26305659166</v>
      </c>
      <c r="V638" s="18">
        <f>IF($A638&gt;'1-Input'!$B$26,V637,V637-Q638*(1-P638))</f>
        <v>55507.366651098098</v>
      </c>
      <c r="W638" s="11">
        <f>IF($A638&gt;'1-Input'!$B$26,0,IF(AB637&lt;=0,0,MAX(0,(AB637-AC637)/AB637)))</f>
        <v>0.53326441135871816</v>
      </c>
      <c r="X638" s="18">
        <f>IF($A638&gt;'1-Input'!$B$26,0,(MAX(0,W616-IF($A638&gt;='1-Input'!$C$12,'1-Input'!$B$13,0))-MIN(MAX(AA637,0),MAX(0,W616-IF($A638&gt;='1-Input'!$C$12,'1-Input'!$B$13,0))))*(1/(1-'P-Parametri'!$B$6*W638))+MIN(MAX(0,AB637-(MAX(0,W616-IF($A638&gt;='1-Input'!$C$12,'1-Input'!$B$13,0))-MIN(MAX(AA637,0),MAX(0,W616-IF($A638&gt;='1-Input'!$C$12,'1-Input'!$B$13,0))))*(1/(1-'P-Parametri'!$B$6*W638))),MAX(0,2*W616-(AA637-MIN(MAX(AA637,0),MAX(0,W616-IF($A638&gt;='1-Input'!$C$12,'1-Input'!$B$13,0)))))*(1/(1-'P-Parametri'!$B$6*W638))))</f>
        <v>21798.998145070011</v>
      </c>
      <c r="Y638" s="18">
        <f>IF($A638&gt;'1-Input'!$B$26,AA637,(AA637-MAX(0,W616-IF($A638&gt;='1-Input'!$C$12,'1-Input'!$B$13,0))+X638*(1-'P-Parametri'!$B$6*W638))*(1+'1-Input'!$B$27))</f>
        <v>37150.513557777522</v>
      </c>
      <c r="Z638" s="18">
        <f>IF($A638&gt;'1-Input'!$B$26,AB637,(AB637-X638)*(1+'5-Roberta'!$C$4))</f>
        <v>132817.84806256404</v>
      </c>
      <c r="AA638" s="18">
        <f>IF($A638&gt;'1-Input'!$B$26,Y638,Y638-'P-Parametri'!$B$8*(Z638+Y638)+MIN(MAX(Z638,0),'P-Parametri'!$B$8*(Z638+Y638)))</f>
        <v>37150.513557777522</v>
      </c>
      <c r="AB638" s="18">
        <f>IF($A638&gt;'1-Input'!$B$26,Z638,Z638-MIN(MAX(Z638,0),'P-Parametri'!$B$8*(Z638+Y638)))</f>
        <v>132477.91133932336</v>
      </c>
      <c r="AC638" s="18">
        <f>IF($A638&gt;'1-Input'!$B$26,AC637,AC637-X638*(1-W638))</f>
        <v>60185.258735484626</v>
      </c>
      <c r="AD638" s="11">
        <f>IF($A638&gt;'1-Input'!$B$26,0,IF(AI637&lt;=0,0,MAX(0,(AI637-AJ637)/AI637)))</f>
        <v>0.533273354294589</v>
      </c>
      <c r="AE638" s="18">
        <f>IF($A638&gt;'1-Input'!$B$26,0,(MAX(0,AD616-IF($A638&gt;='1-Input'!$C$12,'1-Input'!$B$13,0))-MIN(MAX(AH637,0),MAX(0,AD616-IF($A638&gt;='1-Input'!$C$12,'1-Input'!$B$13,0))))*(1/(1-'P-Parametri'!$B$6*AD638))+MIN(MAX(0,AI637-(MAX(0,AD616-IF($A638&gt;='1-Input'!$C$12,'1-Input'!$B$13,0))-MIN(MAX(AH637,0),MAX(0,AD616-IF($A638&gt;='1-Input'!$C$12,'1-Input'!$B$13,0))))*(1/(1-'P-Parametri'!$B$6*AD638))),MAX(0,2*AD616-(AH637-MIN(MAX(AH637,0),MAX(0,AD616-IF($A638&gt;='1-Input'!$C$12,'1-Input'!$B$13,0)))))*(1/(1-'P-Parametri'!$B$6*AD638))))</f>
        <v>21769.787165176796</v>
      </c>
      <c r="AF638" s="18">
        <f>IF($A638&gt;'1-Input'!$B$26,AH637,(AH637-MAX(0,AD616-IF($A638&gt;='1-Input'!$C$12,'1-Input'!$B$13,0))+AE638*(1-'P-Parametri'!$B$6*AD638))*(1+'1-Input'!$B$27))</f>
        <v>37100.631169120483</v>
      </c>
      <c r="AG638" s="18">
        <f>IF($A638&gt;'1-Input'!$B$26,AI637,(AI637-AE638)*(1+'5-Roberta'!$C$4))</f>
        <v>133663.86298853162</v>
      </c>
      <c r="AH638" s="18">
        <f>IF($A638&gt;'1-Input'!$B$26,AF638,AF638-'P-Parametri'!$B$8*(AG638+AF638)+MIN(MAX(AG638,0),'P-Parametri'!$B$8*(AG638+AF638)))</f>
        <v>37100.631169120483</v>
      </c>
      <c r="AI638" s="18">
        <f>IF($A638&gt;'1-Input'!$B$26,AG638,AG638-MIN(MAX(AG638,0),'P-Parametri'!$B$8*(AG638+AF638)))</f>
        <v>133322.3340002163</v>
      </c>
      <c r="AJ638" s="18">
        <f>IF($A638&gt;'1-Input'!$B$26,AJ637,AJ637-AE638*(1-AD638))</f>
        <v>60567.462548218435</v>
      </c>
      <c r="AK638" s="11">
        <f>IF($A638&gt;'1-Input'!$B$26,0,IF(AP637&lt;=0,0,MAX(0,(AP637-AQ637)/AP637)))</f>
        <v>0.53327337171423539</v>
      </c>
      <c r="AL638" s="18">
        <f>IF($A638&gt;'1-Input'!$B$26,0,(MAX(0,AK616-IF($A638&gt;='1-Input'!$C$12,'1-Input'!$B$13,0))-MIN(MAX(AO637,0),MAX(0,AK616-IF($A638&gt;='1-Input'!$C$12,'1-Input'!$B$13,0))))*(1/(1-'P-Parametri'!$B$6*AK638))+MIN(MAX(0,AP637-(MAX(0,AK616-IF($A638&gt;='1-Input'!$C$12,'1-Input'!$B$13,0))-MIN(MAX(AO637,0),MAX(0,AK616-IF($A638&gt;='1-Input'!$C$12,'1-Input'!$B$13,0))))*(1/(1-'P-Parametri'!$B$6*AK638))),MAX(0,2*AK616-(AO637-MIN(MAX(AO637,0),MAX(0,AK616-IF($A638&gt;='1-Input'!$C$12,'1-Input'!$B$13,0)))))*(1/(1-'P-Parametri'!$B$6*AK638))))</f>
        <v>21769.730099032728</v>
      </c>
      <c r="AM638" s="18">
        <f>IF($A638&gt;'1-Input'!$B$26,AO637,(AO637-MAX(0,AK616-IF($A638&gt;='1-Input'!$C$12,'1-Input'!$B$13,0))+AL638*(1-'P-Parametri'!$B$6*AK638))*(1+'1-Input'!$B$27))</f>
        <v>37100.533720449668</v>
      </c>
      <c r="AN638" s="18">
        <f>IF($A638&gt;'1-Input'!$B$26,AP637,(AP637-AL638)*(1+'5-Roberta'!$C$4))</f>
        <v>133665.51573942014</v>
      </c>
      <c r="AO638" s="18">
        <f>IF($A638&gt;'1-Input'!$B$26,AM638,AM638-'P-Parametri'!$B$8*(AN638+AM638)+MIN(MAX(AN638,0),'P-Parametri'!$B$8*(AN638+AM638)))</f>
        <v>37100.533720449668</v>
      </c>
      <c r="AP638" s="18">
        <f>IF($A638&gt;'1-Input'!$B$26,AN638,AN638-MIN(MAX(AN638,0),'P-Parametri'!$B$8*(AN638+AM638)))</f>
        <v>133323.9836405004</v>
      </c>
      <c r="AQ638" s="18">
        <f>IF($A638&gt;'1-Input'!$B$26,AQ637,AQ637-AL638*(1-AK638))</f>
        <v>60568.209203045983</v>
      </c>
    </row>
    <row r="639" spans="1:43">
      <c r="A639" s="10">
        <f>21</f>
        <v>21</v>
      </c>
      <c r="B639" s="11">
        <f>IF($A639&gt;'1-Input'!$B$26,0,IF(G638&lt;=0,0,MAX(0,(G638-H638)/G638)))</f>
        <v>0.54636085251405775</v>
      </c>
      <c r="C639" s="18">
        <f>IF($A639&gt;'1-Input'!$B$26,0,(MAX(0,B616-IF($A639&gt;='1-Input'!$C$12,'1-Input'!$B$13,0))-MIN(MAX(F638,0),MAX(0,B616-IF($A639&gt;='1-Input'!$C$12,'1-Input'!$B$13,0))))*(1/(1-'P-Parametri'!$B$6*B639))+MIN(MAX(0,G638-(MAX(0,B616-IF($A639&gt;='1-Input'!$C$12,'1-Input'!$B$13,0))-MIN(MAX(F638,0),MAX(0,B616-IF($A639&gt;='1-Input'!$C$12,'1-Input'!$B$13,0))))*(1/(1-'P-Parametri'!$B$6*B639))),MAX(0,2*B616-(F638-MIN(MAX(F638,0),MAX(0,B616-IF($A639&gt;='1-Input'!$C$12,'1-Input'!$B$13,0)))))*(1/(1-'P-Parametri'!$B$6*B639))))</f>
        <v>19582.998720589479</v>
      </c>
      <c r="D639" s="18">
        <f>IF($A639&gt;'1-Input'!$B$26,F638,(F638-MAX(0,B616-IF($A639&gt;='1-Input'!$C$12,'1-Input'!$B$13,0))+C639*(1-'P-Parametri'!$B$6*B639))*(1+'1-Input'!$B$27))</f>
        <v>33242.0070309863</v>
      </c>
      <c r="E639" s="18">
        <f>IF($A639&gt;'1-Input'!$B$26,G638,(G638-C639)*(1+'5-Roberta'!$C$4))</f>
        <v>184438.27732822267</v>
      </c>
      <c r="F639" s="18">
        <f>IF($A639&gt;'1-Input'!$B$26,D639,D639-'P-Parametri'!$B$8*(E639+D639)+MIN(MAX(E639,0),'P-Parametri'!$B$8*(E639+D639)))</f>
        <v>33242.0070309863</v>
      </c>
      <c r="G639" s="18">
        <f>IF($A639&gt;'1-Input'!$B$26,E639,E639-MIN(MAX(E639,0),'P-Parametri'!$B$8*(E639+D639)))</f>
        <v>184002.91675950424</v>
      </c>
      <c r="H639" s="18">
        <f>IF($A639&gt;'1-Input'!$B$26,H638,H638-C639*(1-B639))</f>
        <v>81231.47853490361</v>
      </c>
      <c r="I639" s="11">
        <f>IF($A639&gt;'1-Input'!$B$26,0,IF(N638&lt;=0,0,MAX(0,(N638-O638)/N638)))</f>
        <v>0.54188513132622929</v>
      </c>
      <c r="J639" s="18">
        <f>IF($A639&gt;'1-Input'!$B$26,0,(MAX(0,I616-IF($A639&gt;='1-Input'!$C$12,'1-Input'!$B$13,0))-MIN(MAX(M638,0),MAX(0,I616-IF($A639&gt;='1-Input'!$C$12,'1-Input'!$B$13,0))))*(1/(1-'P-Parametri'!$B$6*I639))+MIN(MAX(0,N638-(MAX(0,I616-IF($A639&gt;='1-Input'!$C$12,'1-Input'!$B$13,0))-MIN(MAX(M638,0),MAX(0,I616-IF($A639&gt;='1-Input'!$C$12,'1-Input'!$B$13,0))))*(1/(1-'P-Parametri'!$B$6*I639))),MAX(0,2*I616-(M638-MIN(MAX(M638,0),MAX(0,I616-IF($A639&gt;='1-Input'!$C$12,'1-Input'!$B$13,0)))))*(1/(1-'P-Parametri'!$B$6*I639))))</f>
        <v>20974.059833736377</v>
      </c>
      <c r="K639" s="18">
        <f>IF($A639&gt;'1-Input'!$B$26,M638,(M638-MAX(0,I616-IF($A639&gt;='1-Input'!$C$12,'1-Input'!$B$13,0))+J639*(1-'P-Parametri'!$B$6*I639))*(1+'1-Input'!$B$27))</f>
        <v>39666.432581157373</v>
      </c>
      <c r="L639" s="18">
        <f>IF($A639&gt;'1-Input'!$B$26,N638,(N638-J639)*(1+'5-Roberta'!$C$4))</f>
        <v>0</v>
      </c>
      <c r="M639" s="18">
        <f>IF($A639&gt;'1-Input'!$B$26,K639,K639-'P-Parametri'!$B$8*(L639+K639)+MIN(MAX(L639,0),'P-Parametri'!$B$8*(L639+K639)))</f>
        <v>39587.099715995057</v>
      </c>
      <c r="N639" s="18">
        <f>IF($A639&gt;'1-Input'!$B$26,L639,L639-MIN(MAX(L639,0),'P-Parametri'!$B$8*(L639+K639)))</f>
        <v>0</v>
      </c>
      <c r="O639" s="18">
        <f>IF($A639&gt;'1-Input'!$B$26,O638,O638-J639*(1-I639))</f>
        <v>0</v>
      </c>
      <c r="P639" s="11">
        <f>IF($A639&gt;'1-Input'!$B$26,0,IF(U638&lt;=0,0,MAX(0,(U638-V638)/U638)))</f>
        <v>0.54555895412475885</v>
      </c>
      <c r="Q639" s="18">
        <f>IF($A639&gt;'1-Input'!$B$26,0,(MAX(0,P616-IF($A639&gt;='1-Input'!$C$12,'1-Input'!$B$13,0))-MIN(MAX(T638,0),MAX(0,P616-IF($A639&gt;='1-Input'!$C$12,'1-Input'!$B$13,0))))*(1/(1-'P-Parametri'!$B$6*P639))+MIN(MAX(0,U638-(MAX(0,P616-IF($A639&gt;='1-Input'!$C$12,'1-Input'!$B$13,0))-MIN(MAX(T638,0),MAX(0,P616-IF($A639&gt;='1-Input'!$C$12,'1-Input'!$B$13,0))))*(1/(1-'P-Parametri'!$B$6*P639))),MAX(0,2*P616-(T638-MIN(MAX(T638,0),MAX(0,P616-IF($A639&gt;='1-Input'!$C$12,'1-Input'!$B$13,0)))))*(1/(1-'P-Parametri'!$B$6*P639))))</f>
        <v>22239.729754745182</v>
      </c>
      <c r="R639" s="18">
        <f>IF($A639&gt;'1-Input'!$B$26,T638,(T638-MAX(0,P616-IF($A639&gt;='1-Input'!$C$12,'1-Input'!$B$13,0))+Q639*(1-'P-Parametri'!$B$6*P639))*(1+'1-Input'!$B$27))</f>
        <v>37760.964119681914</v>
      </c>
      <c r="S639" s="18">
        <f>IF($A639&gt;'1-Input'!$B$26,U638,(U638-Q639)*(1+'5-Roberta'!$C$4))</f>
        <v>102901.66930090186</v>
      </c>
      <c r="T639" s="18">
        <f>IF($A639&gt;'1-Input'!$B$26,R639,R639-'P-Parametri'!$B$8*(S639+R639)+MIN(MAX(S639,0),'P-Parametri'!$B$8*(S639+R639)))</f>
        <v>37760.964119681914</v>
      </c>
      <c r="U639" s="18">
        <f>IF($A639&gt;'1-Input'!$B$26,S639,S639-MIN(MAX(S639,0),'P-Parametri'!$B$8*(S639+R639)))</f>
        <v>102620.34403406069</v>
      </c>
      <c r="V639" s="18">
        <f>IF($A639&gt;'1-Input'!$B$26,V638,V638-Q639*(1-P639))</f>
        <v>45400.720601368979</v>
      </c>
      <c r="W639" s="11">
        <f>IF($A639&gt;'1-Input'!$B$26,0,IF(AB638&lt;=0,0,MAX(0,(AB638-AC638)/AB638)))</f>
        <v>0.54569589656853346</v>
      </c>
      <c r="X639" s="18">
        <f>IF($A639&gt;'1-Input'!$B$26,0,(MAX(0,W616-IF($A639&gt;='1-Input'!$C$12,'1-Input'!$B$13,0))-MIN(MAX(AA638,0),MAX(0,W616-IF($A639&gt;='1-Input'!$C$12,'1-Input'!$B$13,0))))*(1/(1-'P-Parametri'!$B$6*W639))+MIN(MAX(0,AB638-(MAX(0,W616-IF($A639&gt;='1-Input'!$C$12,'1-Input'!$B$13,0))-MIN(MAX(AA638,0),MAX(0,W616-IF($A639&gt;='1-Input'!$C$12,'1-Input'!$B$13,0))))*(1/(1-'P-Parametri'!$B$6*W639))),MAX(0,2*W616-(AA638-MIN(MAX(AA638,0),MAX(0,W616-IF($A639&gt;='1-Input'!$C$12,'1-Input'!$B$13,0)))))*(1/(1-'P-Parametri'!$B$6*W639))))</f>
        <v>21881.10612134745</v>
      </c>
      <c r="Y639" s="18">
        <f>IF($A639&gt;'1-Input'!$B$26,AA638,(AA638-MAX(0,W616-IF($A639&gt;='1-Input'!$C$12,'1-Input'!$B$13,0))+X639*(1-'P-Parametri'!$B$6*W639))*(1+'1-Input'!$B$27))</f>
        <v>37150.513557777529</v>
      </c>
      <c r="Z639" s="18">
        <f>IF($A639&gt;'1-Input'!$B$26,AB638,(AB638-X639)*(1+'5-Roberta'!$C$4))</f>
        <v>113914.70937451519</v>
      </c>
      <c r="AA639" s="18">
        <f>IF($A639&gt;'1-Input'!$B$26,Y639,Y639-'P-Parametri'!$B$8*(Z639+Y639)+MIN(MAX(Z639,0),'P-Parametri'!$B$8*(Z639+Y639)))</f>
        <v>37150.513557777529</v>
      </c>
      <c r="AB639" s="18">
        <f>IF($A639&gt;'1-Input'!$B$26,Z639,Z639-MIN(MAX(Z639,0),'P-Parametri'!$B$8*(Z639+Y639)))</f>
        <v>113612.5789286506</v>
      </c>
      <c r="AC639" s="18">
        <f>IF($A639&gt;'1-Input'!$B$26,AC638,AC638-X639*(1-W639))</f>
        <v>50244.582436937097</v>
      </c>
      <c r="AD639" s="11">
        <f>IF($A639&gt;'1-Input'!$B$26,0,IF(AI638&lt;=0,0,MAX(0,(AI638-AJ638)/AI638)))</f>
        <v>0.54570655395126688</v>
      </c>
      <c r="AE639" s="18">
        <f>IF($A639&gt;'1-Input'!$B$26,0,(MAX(0,AD616-IF($A639&gt;='1-Input'!$C$12,'1-Input'!$B$13,0))-MIN(MAX(AH638,0),MAX(0,AD616-IF($A639&gt;='1-Input'!$C$12,'1-Input'!$B$13,0))))*(1/(1-'P-Parametri'!$B$6*AD639))+MIN(MAX(0,AI638-(MAX(0,AD616-IF($A639&gt;='1-Input'!$C$12,'1-Input'!$B$13,0))-MIN(MAX(AH638,0),MAX(0,AD616-IF($A639&gt;='1-Input'!$C$12,'1-Input'!$B$13,0))))*(1/(1-'P-Parametri'!$B$6*AD639))),MAX(0,2*AD616-(AH638-MIN(MAX(AH638,0),MAX(0,AD616-IF($A639&gt;='1-Input'!$C$12,'1-Input'!$B$13,0)))))*(1/(1-'P-Parametri'!$B$6*AD639))))</f>
        <v>21851.796688839702</v>
      </c>
      <c r="AF639" s="18">
        <f>IF($A639&gt;'1-Input'!$B$26,AH638,(AH638-MAX(0,AD616-IF($A639&gt;='1-Input'!$C$12,'1-Input'!$B$13,0))+AE639*(1-'P-Parametri'!$B$6*AD639))*(1+'1-Input'!$B$27))</f>
        <v>37100.631169120483</v>
      </c>
      <c r="AG639" s="18">
        <f>IF($A639&gt;'1-Input'!$B$26,AI638,(AI638-AE639)*(1+'5-Roberta'!$C$4))</f>
        <v>114814.6534307179</v>
      </c>
      <c r="AH639" s="18">
        <f>IF($A639&gt;'1-Input'!$B$26,AF639,AF639-'P-Parametri'!$B$8*(AG639+AF639)+MIN(MAX(AG639,0),'P-Parametri'!$B$8*(AG639+AF639)))</f>
        <v>37100.631169120483</v>
      </c>
      <c r="AI639" s="18">
        <f>IF($A639&gt;'1-Input'!$B$26,AG639,AG639-MIN(MAX(AG639,0),'P-Parametri'!$B$8*(AG639+AF639)))</f>
        <v>114510.82286151822</v>
      </c>
      <c r="AJ639" s="18">
        <f>IF($A639&gt;'1-Input'!$B$26,AJ638,AJ638-AE639*(1-AD639))</f>
        <v>50640.334528089152</v>
      </c>
      <c r="AK639" s="11">
        <f>IF($A639&gt;'1-Input'!$B$26,0,IF(AP638&lt;=0,0,MAX(0,(AP638-AQ638)/AP638)))</f>
        <v>0.54570657469728556</v>
      </c>
      <c r="AL639" s="18">
        <f>IF($A639&gt;'1-Input'!$B$26,0,(MAX(0,AK616-IF($A639&gt;='1-Input'!$C$12,'1-Input'!$B$13,0))-MIN(MAX(AO638,0),MAX(0,AK616-IF($A639&gt;='1-Input'!$C$12,'1-Input'!$B$13,0))))*(1/(1-'P-Parametri'!$B$6*AK639))+MIN(MAX(0,AP638-(MAX(0,AK616-IF($A639&gt;='1-Input'!$C$12,'1-Input'!$B$13,0))-MIN(MAX(AO638,0),MAX(0,AK616-IF($A639&gt;='1-Input'!$C$12,'1-Input'!$B$13,0))))*(1/(1-'P-Parametri'!$B$6*AK639))),MAX(0,2*AK616-(AO638-MIN(MAX(AO638,0),MAX(0,AK616-IF($A639&gt;='1-Input'!$C$12,'1-Input'!$B$13,0)))))*(1/(1-'P-Parametri'!$B$6*AK639))))</f>
        <v>21851.739430176513</v>
      </c>
      <c r="AM639" s="18">
        <f>IF($A639&gt;'1-Input'!$B$26,AO638,(AO638-MAX(0,AK616-IF($A639&gt;='1-Input'!$C$12,'1-Input'!$B$13,0))+AL639*(1-'P-Parametri'!$B$6*AK639))*(1+'1-Input'!$B$27))</f>
        <v>37100.533720449668</v>
      </c>
      <c r="AN639" s="18">
        <f>IF($A639&gt;'1-Input'!$B$26,AP638,(AP638-AL639)*(1+'5-Roberta'!$C$4))</f>
        <v>114816.4115366336</v>
      </c>
      <c r="AO639" s="18">
        <f>IF($A639&gt;'1-Input'!$B$26,AM639,AM639-'P-Parametri'!$B$8*(AN639+AM639)+MIN(MAX(AN639,0),'P-Parametri'!$B$8*(AN639+AM639)))</f>
        <v>37100.533720449668</v>
      </c>
      <c r="AP639" s="18">
        <f>IF($A639&gt;'1-Input'!$B$26,AN639,AN639-MIN(MAX(AN639,0),'P-Parametri'!$B$8*(AN639+AM639)))</f>
        <v>114512.57764611943</v>
      </c>
      <c r="AQ639" s="18">
        <f>IF($A639&gt;'1-Input'!$B$26,AQ638,AQ638-AL639*(1-AK639))</f>
        <v>50641.107648488709</v>
      </c>
    </row>
    <row r="640" spans="1:43">
      <c r="A640" s="10">
        <f>22</f>
        <v>22</v>
      </c>
      <c r="B640" s="11">
        <f>IF($A640&gt;'1-Input'!$B$26,0,IF(G639&lt;=0,0,MAX(0,(G639-H639)/G639)))</f>
        <v>0.55853157131701936</v>
      </c>
      <c r="C640" s="18">
        <f>IF($A640&gt;'1-Input'!$B$26,0,(MAX(0,B616-IF($A640&gt;='1-Input'!$C$12,'1-Input'!$B$13,0))-MIN(MAX(F639,0),MAX(0,B616-IF($A640&gt;='1-Input'!$C$12,'1-Input'!$B$13,0))))*(1/(1-'P-Parametri'!$B$6*B640))+MIN(MAX(0,G639-(MAX(0,B616-IF($A640&gt;='1-Input'!$C$12,'1-Input'!$B$13,0))-MIN(MAX(F639,0),MAX(0,B616-IF($A640&gt;='1-Input'!$C$12,'1-Input'!$B$13,0))))*(1/(1-'P-Parametri'!$B$6*B640))),MAX(0,2*B616-(F639-MIN(MAX(F639,0),MAX(0,B616-IF($A640&gt;='1-Input'!$C$12,'1-Input'!$B$13,0)))))*(1/(1-'P-Parametri'!$B$6*B640))))</f>
        <v>19655.494631257585</v>
      </c>
      <c r="D640" s="18">
        <f>IF($A640&gt;'1-Input'!$B$26,F639,(F639-MAX(0,B616-IF($A640&gt;='1-Input'!$C$12,'1-Input'!$B$13,0))+C640*(1-'P-Parametri'!$B$6*B640))*(1+'1-Input'!$B$27))</f>
        <v>33242.0070309863</v>
      </c>
      <c r="E640" s="18">
        <f>IF($A640&gt;'1-Input'!$B$26,G639,(G639-C640)*(1+'5-Roberta'!$C$4))</f>
        <v>169277.84479209405</v>
      </c>
      <c r="F640" s="18">
        <f>IF($A640&gt;'1-Input'!$B$26,D640,D640-'P-Parametri'!$B$8*(E640+D640)+MIN(MAX(E640,0),'P-Parametri'!$B$8*(E640+D640)))</f>
        <v>33242.0070309863</v>
      </c>
      <c r="G640" s="18">
        <f>IF($A640&gt;'1-Input'!$B$26,E640,E640-MIN(MAX(E640,0),'P-Parametri'!$B$8*(E640+D640)))</f>
        <v>168872.8050884479</v>
      </c>
      <c r="H640" s="18">
        <f>IF($A640&gt;'1-Input'!$B$26,H639,H639-C640*(1-B640))</f>
        <v>72554.198205055567</v>
      </c>
      <c r="I640" s="11">
        <f>IF($A640&gt;'1-Input'!$B$26,0,IF(N639&lt;=0,0,MAX(0,(N639-O639)/N639)))</f>
        <v>0</v>
      </c>
      <c r="J640" s="18">
        <f>IF($A640&gt;'1-Input'!$B$26,0,(MAX(0,I616-IF($A640&gt;='1-Input'!$C$12,'1-Input'!$B$13,0))-MIN(MAX(M639,0),MAX(0,I616-IF($A640&gt;='1-Input'!$C$12,'1-Input'!$B$13,0))))*(1/(1-'P-Parametri'!$B$6*I640))+MIN(MAX(0,N639-(MAX(0,I616-IF($A640&gt;='1-Input'!$C$12,'1-Input'!$B$13,0))-MIN(MAX(M639,0),MAX(0,I616-IF($A640&gt;='1-Input'!$C$12,'1-Input'!$B$13,0))))*(1/(1-'P-Parametri'!$B$6*I640))),MAX(0,2*I616-(M639-MIN(MAX(M639,0),MAX(0,I616-IF($A640&gt;='1-Input'!$C$12,'1-Input'!$B$13,0)))))*(1/(1-'P-Parametri'!$B$6*I640))))</f>
        <v>0</v>
      </c>
      <c r="K640" s="18">
        <f>IF($A640&gt;'1-Input'!$B$26,M639,(M639-MAX(0,I616-IF($A640&gt;='1-Input'!$C$12,'1-Input'!$B$13,0))+J640*(1-'P-Parametri'!$B$6*I640))*(1+'1-Input'!$B$27))</f>
        <v>17574.844689263326</v>
      </c>
      <c r="L640" s="18">
        <f>IF($A640&gt;'1-Input'!$B$26,N639,(N639-J640)*(1+'5-Roberta'!$C$4))</f>
        <v>0</v>
      </c>
      <c r="M640" s="18">
        <f>IF($A640&gt;'1-Input'!$B$26,K640,K640-'P-Parametri'!$B$8*(L640+K640)+MIN(MAX(L640,0),'P-Parametri'!$B$8*(L640+K640)))</f>
        <v>17539.694999884799</v>
      </c>
      <c r="N640" s="18">
        <f>IF($A640&gt;'1-Input'!$B$26,L640,L640-MIN(MAX(L640,0),'P-Parametri'!$B$8*(L640+K640)))</f>
        <v>0</v>
      </c>
      <c r="O640" s="18">
        <f>IF($A640&gt;'1-Input'!$B$26,O639,O639-J640*(1-I640))</f>
        <v>0</v>
      </c>
      <c r="P640" s="11">
        <f>IF($A640&gt;'1-Input'!$B$26,0,IF(U639&lt;=0,0,MAX(0,(U639-V639)/U639)))</f>
        <v>0.55758557400372744</v>
      </c>
      <c r="Q640" s="18">
        <f>IF($A640&gt;'1-Input'!$B$26,0,(MAX(0,P616-IF($A640&gt;='1-Input'!$C$12,'1-Input'!$B$13,0))-MIN(MAX(T639,0),MAX(0,P616-IF($A640&gt;='1-Input'!$C$12,'1-Input'!$B$13,0))))*(1/(1-'P-Parametri'!$B$6*P640))+MIN(MAX(0,U639-(MAX(0,P616-IF($A640&gt;='1-Input'!$C$12,'1-Input'!$B$13,0))-MIN(MAX(T639,0),MAX(0,P616-IF($A640&gt;='1-Input'!$C$12,'1-Input'!$B$13,0))))*(1/(1-'P-Parametri'!$B$6*P640))),MAX(0,2*P616-(T639-MIN(MAX(T639,0),MAX(0,P616-IF($A640&gt;='1-Input'!$C$12,'1-Input'!$B$13,0)))))*(1/(1-'P-Parametri'!$B$6*P640))))</f>
        <v>22321.062649134637</v>
      </c>
      <c r="R640" s="18">
        <f>IF($A640&gt;'1-Input'!$B$26,T639,(T639-MAX(0,P616-IF($A640&gt;='1-Input'!$C$12,'1-Input'!$B$13,0))+Q640*(1-'P-Parametri'!$B$6*P640))*(1+'1-Input'!$B$27))</f>
        <v>37760.964119681914</v>
      </c>
      <c r="S640" s="18">
        <f>IF($A640&gt;'1-Input'!$B$26,U639,(U639-Q640)*(1+'5-Roberta'!$C$4))</f>
        <v>82708.259826473834</v>
      </c>
      <c r="T640" s="18">
        <f>IF($A640&gt;'1-Input'!$B$26,R640,R640-'P-Parametri'!$B$8*(S640+R640)+MIN(MAX(S640,0),'P-Parametri'!$B$8*(S640+R640)))</f>
        <v>37760.964119681914</v>
      </c>
      <c r="U640" s="18">
        <f>IF($A640&gt;'1-Input'!$B$26,S640,S640-MIN(MAX(S640,0),'P-Parametri'!$B$8*(S640+R640)))</f>
        <v>82467.321378581517</v>
      </c>
      <c r="V640" s="18">
        <f>IF($A640&gt;'1-Input'!$B$26,V639,V639-Q640*(1-P640))</f>
        <v>35525.56048182524</v>
      </c>
      <c r="W640" s="11">
        <f>IF($A640&gt;'1-Input'!$B$26,0,IF(AB639&lt;=0,0,MAX(0,(AB639-AC639)/AB639)))</f>
        <v>0.55775511029908931</v>
      </c>
      <c r="X640" s="18">
        <f>IF($A640&gt;'1-Input'!$B$26,0,(MAX(0,W616-IF($A640&gt;='1-Input'!$C$12,'1-Input'!$B$13,0))-MIN(MAX(AA639,0),MAX(0,W616-IF($A640&gt;='1-Input'!$C$12,'1-Input'!$B$13,0))))*(1/(1-'P-Parametri'!$B$6*W640))+MIN(MAX(0,AB639-(MAX(0,W616-IF($A640&gt;='1-Input'!$C$12,'1-Input'!$B$13,0))-MIN(MAX(AA639,0),MAX(0,W616-IF($A640&gt;='1-Input'!$C$12,'1-Input'!$B$13,0))))*(1/(1-'P-Parametri'!$B$6*W640))),MAX(0,2*W616-(AA639-MIN(MAX(AA639,0),MAX(0,W616-IF($A640&gt;='1-Input'!$C$12,'1-Input'!$B$13,0)))))*(1/(1-'P-Parametri'!$B$6*W640))))</f>
        <v>21961.348499651882</v>
      </c>
      <c r="Y640" s="18">
        <f>IF($A640&gt;'1-Input'!$B$26,AA639,(AA639-MAX(0,W616-IF($A640&gt;='1-Input'!$C$12,'1-Input'!$B$13,0))+X640*(1-'P-Parametri'!$B$6*W640))*(1+'1-Input'!$B$27))</f>
        <v>37150.513557777522</v>
      </c>
      <c r="Z640" s="18">
        <f>IF($A640&gt;'1-Input'!$B$26,AB639,(AB639-X640)*(1+'5-Roberta'!$C$4))</f>
        <v>94400.76734186869</v>
      </c>
      <c r="AA640" s="18">
        <f>IF($A640&gt;'1-Input'!$B$26,Y640,Y640-'P-Parametri'!$B$8*(Z640+Y640)+MIN(MAX(Z640,0),'P-Parametri'!$B$8*(Z640+Y640)))</f>
        <v>37150.513557777522</v>
      </c>
      <c r="AB640" s="18">
        <f>IF($A640&gt;'1-Input'!$B$26,Z640,Z640-MIN(MAX(Z640,0),'P-Parametri'!$B$8*(Z640+Y640)))</f>
        <v>94137.664780069405</v>
      </c>
      <c r="AC640" s="18">
        <f>IF($A640&gt;'1-Input'!$B$26,AC639,AC639-X640*(1-W640))</f>
        <v>40532.288292025289</v>
      </c>
      <c r="AD640" s="11">
        <f>IF($A640&gt;'1-Input'!$B$26,0,IF(AI639&lt;=0,0,MAX(0,(AI639-AJ639)/AI639)))</f>
        <v>0.55776813699670813</v>
      </c>
      <c r="AE640" s="18">
        <f>IF($A640&gt;'1-Input'!$B$26,0,(MAX(0,AD616-IF($A640&gt;='1-Input'!$C$12,'1-Input'!$B$13,0))-MIN(MAX(AH639,0),MAX(0,AD616-IF($A640&gt;='1-Input'!$C$12,'1-Input'!$B$13,0))))*(1/(1-'P-Parametri'!$B$6*AD640))+MIN(MAX(0,AI639-(MAX(0,AD616-IF($A640&gt;='1-Input'!$C$12,'1-Input'!$B$13,0))-MIN(MAX(AH639,0),MAX(0,AD616-IF($A640&gt;='1-Input'!$C$12,'1-Input'!$B$13,0))))*(1/(1-'P-Parametri'!$B$6*AD640))),MAX(0,2*AD616-(AH639-MIN(MAX(AH639,0),MAX(0,AD616-IF($A640&gt;='1-Input'!$C$12,'1-Input'!$B$13,0)))))*(1/(1-'P-Parametri'!$B$6*AD640))))</f>
        <v>21931.947645499251</v>
      </c>
      <c r="AF640" s="18">
        <f>IF($A640&gt;'1-Input'!$B$26,AH639,(AH639-MAX(0,AD616-IF($A640&gt;='1-Input'!$C$12,'1-Input'!$B$13,0))+AE640*(1-'P-Parametri'!$B$6*AD640))*(1+'1-Input'!$B$27))</f>
        <v>37100.631169120476</v>
      </c>
      <c r="AG640" s="18">
        <f>IF($A640&gt;'1-Input'!$B$26,AI639,(AI639-AE640)*(1+'5-Roberta'!$C$4))</f>
        <v>95356.241472499532</v>
      </c>
      <c r="AH640" s="18">
        <f>IF($A640&gt;'1-Input'!$B$26,AF640,AF640-'P-Parametri'!$B$8*(AG640+AF640)+MIN(MAX(AG640,0),'P-Parametri'!$B$8*(AG640+AF640)))</f>
        <v>37100.631169120476</v>
      </c>
      <c r="AI640" s="18">
        <f>IF($A640&gt;'1-Input'!$B$26,AG640,AG640-MIN(MAX(AG640,0),'P-Parametri'!$B$8*(AG640+AF640)))</f>
        <v>95091.327727216296</v>
      </c>
      <c r="AJ640" s="18">
        <f>IF($A640&gt;'1-Input'!$B$26,AJ639,AJ639-AE640*(1-AD640))</f>
        <v>40941.32846152936</v>
      </c>
      <c r="AK640" s="11">
        <f>IF($A640&gt;'1-Input'!$B$26,0,IF(AP639&lt;=0,0,MAX(0,(AP639-AQ639)/AP639)))</f>
        <v>0.5577681623324735</v>
      </c>
      <c r="AL640" s="18">
        <f>IF($A640&gt;'1-Input'!$B$26,0,(MAX(0,AK616-IF($A640&gt;='1-Input'!$C$12,'1-Input'!$B$13,0))-MIN(MAX(AO639,0),MAX(0,AK616-IF($A640&gt;='1-Input'!$C$12,'1-Input'!$B$13,0))))*(1/(1-'P-Parametri'!$B$6*AK640))+MIN(MAX(0,AP639-(MAX(0,AK616-IF($A640&gt;='1-Input'!$C$12,'1-Input'!$B$13,0))-MIN(MAX(AO639,0),MAX(0,AK616-IF($A640&gt;='1-Input'!$C$12,'1-Input'!$B$13,0))))*(1/(1-'P-Parametri'!$B$6*AK640))),MAX(0,2*AK616-(AO639-MIN(MAX(AO639,0),MAX(0,AK616-IF($A640&gt;='1-Input'!$C$12,'1-Input'!$B$13,0)))))*(1/(1-'P-Parametri'!$B$6*AK640))))</f>
        <v>21931.890207932025</v>
      </c>
      <c r="AM640" s="18">
        <f>IF($A640&gt;'1-Input'!$B$26,AO639,(AO639-MAX(0,AK616-IF($A640&gt;='1-Input'!$C$12,'1-Input'!$B$13,0))+AL640*(1-'P-Parametri'!$B$6*AK640))*(1+'1-Input'!$B$27))</f>
        <v>37100.533720449668</v>
      </c>
      <c r="AN640" s="18">
        <f>IF($A640&gt;'1-Input'!$B$26,AP639,(AP639-AL640)*(1+'5-Roberta'!$C$4))</f>
        <v>95358.108061333027</v>
      </c>
      <c r="AO640" s="18">
        <f>IF($A640&gt;'1-Input'!$B$26,AM640,AM640-'P-Parametri'!$B$8*(AN640+AM640)+MIN(MAX(AN640,0),'P-Parametri'!$B$8*(AN640+AM640)))</f>
        <v>37100.533720449675</v>
      </c>
      <c r="AP640" s="18">
        <f>IF($A640&gt;'1-Input'!$B$26,AN640,AN640-MIN(MAX(AN640,0),'P-Parametri'!$B$8*(AN640+AM640)))</f>
        <v>95093.190777769458</v>
      </c>
      <c r="AQ640" s="18">
        <f>IF($A640&gt;'1-Input'!$B$26,AQ639,AQ639-AL640*(1-AK640))</f>
        <v>40942.127538312503</v>
      </c>
    </row>
    <row r="641" spans="1:43">
      <c r="A641" s="10">
        <f>23</f>
        <v>23</v>
      </c>
      <c r="B641" s="11">
        <f>IF($A641&gt;'1-Input'!$B$26,0,IF(G640&lt;=0,0,MAX(0,(G640-H640)/G640)))</f>
        <v>0.57036185804425421</v>
      </c>
      <c r="C641" s="18">
        <f>IF($A641&gt;'1-Input'!$B$26,0,(MAX(0,B616-IF($A641&gt;='1-Input'!$C$12,'1-Input'!$B$13,0))-MIN(MAX(F640,0),MAX(0,B616-IF($A641&gt;='1-Input'!$C$12,'1-Input'!$B$13,0))))*(1/(1-'P-Parametri'!$B$6*B641))+MIN(MAX(0,G640-(MAX(0,B616-IF($A641&gt;='1-Input'!$C$12,'1-Input'!$B$13,0))-MIN(MAX(F640,0),MAX(0,B616-IF($A641&gt;='1-Input'!$C$12,'1-Input'!$B$13,0))))*(1/(1-'P-Parametri'!$B$6*B641))),MAX(0,2*B616-(F640-MIN(MAX(F640,0),MAX(0,B616-IF($A641&gt;='1-Input'!$C$12,'1-Input'!$B$13,0)))))*(1/(1-'P-Parametri'!$B$6*B641))))</f>
        <v>4539.3120279408386</v>
      </c>
      <c r="D641" s="18">
        <f>IF($A641&gt;'1-Input'!$B$26,F640,(F640-MAX(0,B616-IF($A641&gt;='1-Input'!$C$12,'1-Input'!$B$13,0))+C641*(1-'P-Parametri'!$B$6*B641))*(1+'1-Input'!$B$27))</f>
        <v>33242.0070309863</v>
      </c>
      <c r="E641" s="18">
        <f>IF($A641&gt;'1-Input'!$B$26,G640,(G640-C641)*(1+'5-Roberta'!$C$4))</f>
        <v>169263.49785232227</v>
      </c>
      <c r="F641" s="18">
        <f>IF($A641&gt;'1-Input'!$B$26,D641,D641-'P-Parametri'!$B$8*(E641+D641)+MIN(MAX(E641,0),'P-Parametri'!$B$8*(E641+D641)))</f>
        <v>33242.0070309863</v>
      </c>
      <c r="G641" s="18">
        <f>IF($A641&gt;'1-Input'!$B$26,E641,E641-MIN(MAX(E641,0),'P-Parametri'!$B$8*(E641+D641)))</f>
        <v>168858.48684255566</v>
      </c>
      <c r="H641" s="18">
        <f>IF($A641&gt;'1-Input'!$B$26,H640,H640-C641*(1-B641))</f>
        <v>70603.936619613698</v>
      </c>
      <c r="I641" s="11">
        <f>IF($A641&gt;'1-Input'!$B$26,0,IF(N640&lt;=0,0,MAX(0,(N640-O640)/N640)))</f>
        <v>0</v>
      </c>
      <c r="J641" s="18">
        <f>IF($A641&gt;'1-Input'!$B$26,0,(MAX(0,I616-IF($A641&gt;='1-Input'!$C$12,'1-Input'!$B$13,0))-MIN(MAX(M640,0),MAX(0,I616-IF($A641&gt;='1-Input'!$C$12,'1-Input'!$B$13,0))))*(1/(1-'P-Parametri'!$B$6*I641))+MIN(MAX(0,N640-(MAX(0,I616-IF($A641&gt;='1-Input'!$C$12,'1-Input'!$B$13,0))-MIN(MAX(M640,0),MAX(0,I616-IF($A641&gt;='1-Input'!$C$12,'1-Input'!$B$13,0))))*(1/(1-'P-Parametri'!$B$6*I641))),MAX(0,2*I616-(M640-MIN(MAX(M640,0),MAX(0,I616-IF($A641&gt;='1-Input'!$C$12,'1-Input'!$B$13,0)))))*(1/(1-'P-Parametri'!$B$6*I641))))</f>
        <v>0</v>
      </c>
      <c r="K641" s="18">
        <f>IF($A641&gt;'1-Input'!$B$26,M640,(M640-MAX(0,I616-IF($A641&gt;='1-Input'!$C$12,'1-Input'!$B$13,0))+J641*(1-'P-Parametri'!$B$6*I641))*(1+'1-Input'!$B$27))</f>
        <v>8495.2446301310665</v>
      </c>
      <c r="L641" s="18">
        <f>IF($A641&gt;'1-Input'!$B$26,N640,(N640-J641)*(1+'5-Roberta'!$C$4))</f>
        <v>0</v>
      </c>
      <c r="M641" s="18">
        <f>IF($A641&gt;'1-Input'!$B$26,K641,K641-'P-Parametri'!$B$8*(L641+K641)+MIN(MAX(L641,0),'P-Parametri'!$B$8*(L641+K641)))</f>
        <v>8478.2541408708039</v>
      </c>
      <c r="N641" s="18">
        <f>IF($A641&gt;'1-Input'!$B$26,L641,L641-MIN(MAX(L641,0),'P-Parametri'!$B$8*(L641+K641)))</f>
        <v>0</v>
      </c>
      <c r="O641" s="18">
        <f>IF($A641&gt;'1-Input'!$B$26,O640,O640-J641*(1-I641))</f>
        <v>0</v>
      </c>
      <c r="P641" s="11">
        <f>IF($A641&gt;'1-Input'!$B$26,0,IF(U640&lt;=0,0,MAX(0,(U640-V640)/U640)))</f>
        <v>0.56921651039520771</v>
      </c>
      <c r="Q641" s="18">
        <f>IF($A641&gt;'1-Input'!$B$26,0,(MAX(0,P616-IF($A641&gt;='1-Input'!$C$12,'1-Input'!$B$13,0))-MIN(MAX(T640,0),MAX(0,P616-IF($A641&gt;='1-Input'!$C$12,'1-Input'!$B$13,0))))*(1/(1-'P-Parametri'!$B$6*P641))+MIN(MAX(0,U640-(MAX(0,P616-IF($A641&gt;='1-Input'!$C$12,'1-Input'!$B$13,0))-MIN(MAX(T640,0),MAX(0,P616-IF($A641&gt;='1-Input'!$C$12,'1-Input'!$B$13,0))))*(1/(1-'P-Parametri'!$B$6*P641))),MAX(0,2*P616-(T640-MIN(MAX(T640,0),MAX(0,P616-IF($A641&gt;='1-Input'!$C$12,'1-Input'!$B$13,0)))))*(1/(1-'P-Parametri'!$B$6*P641))))</f>
        <v>7218.4286743899765</v>
      </c>
      <c r="R641" s="18">
        <f>IF($A641&gt;'1-Input'!$B$26,T640,(T640-MAX(0,P616-IF($A641&gt;='1-Input'!$C$12,'1-Input'!$B$13,0))+Q641*(1-'P-Parametri'!$B$6*P641))*(1+'1-Input'!$B$27))</f>
        <v>37760.964119681914</v>
      </c>
      <c r="S641" s="18">
        <f>IF($A641&gt;'1-Input'!$B$26,U640,(U640-Q641)*(1+'5-Roberta'!$C$4))</f>
        <v>77506.359485317298</v>
      </c>
      <c r="T641" s="18">
        <f>IF($A641&gt;'1-Input'!$B$26,R641,R641-'P-Parametri'!$B$8*(S641+R641)+MIN(MAX(S641,0),'P-Parametri'!$B$8*(S641+R641)))</f>
        <v>37760.964119681914</v>
      </c>
      <c r="U641" s="18">
        <f>IF($A641&gt;'1-Input'!$B$26,S641,S641-MIN(MAX(S641,0),'P-Parametri'!$B$8*(S641+R641)))</f>
        <v>77275.824838107306</v>
      </c>
      <c r="V641" s="18">
        <f>IF($A641&gt;'1-Input'!$B$26,V640,V640-Q641*(1-P641))</f>
        <v>32415.980588008231</v>
      </c>
      <c r="W641" s="11">
        <f>IF($A641&gt;'1-Input'!$B$26,0,IF(AB640&lt;=0,0,MAX(0,(AB640-AC640)/AB640)))</f>
        <v>0.5694360128146424</v>
      </c>
      <c r="X641" s="18">
        <f>IF($A641&gt;'1-Input'!$B$26,0,(MAX(0,W616-IF($A641&gt;='1-Input'!$C$12,'1-Input'!$B$13,0))-MIN(MAX(AA640,0),MAX(0,W616-IF($A641&gt;='1-Input'!$C$12,'1-Input'!$B$13,0))))*(1/(1-'P-Parametri'!$B$6*W641))+MIN(MAX(0,AB640-(MAX(0,W616-IF($A641&gt;='1-Input'!$C$12,'1-Input'!$B$13,0))-MIN(MAX(AA640,0),MAX(0,W616-IF($A641&gt;='1-Input'!$C$12,'1-Input'!$B$13,0))))*(1/(1-'P-Parametri'!$B$6*W641))),MAX(0,2*W616-(AA640-MIN(MAX(AA640,0),MAX(0,W616-IF($A641&gt;='1-Input'!$C$12,'1-Input'!$B$13,0)))))*(1/(1-'P-Parametri'!$B$6*W641))))</f>
        <v>6856.7608767902084</v>
      </c>
      <c r="Y641" s="18">
        <f>IF($A641&gt;'1-Input'!$B$26,AA640,(AA640-MAX(0,W616-IF($A641&gt;='1-Input'!$C$12,'1-Input'!$B$13,0))+X641*(1-'P-Parametri'!$B$6*W641))*(1+'1-Input'!$B$27))</f>
        <v>37150.513557777522</v>
      </c>
      <c r="Z641" s="18">
        <f>IF($A641&gt;'1-Input'!$B$26,AB640,(AB640-X641)*(1+'5-Roberta'!$C$4))</f>
        <v>89899.331020377576</v>
      </c>
      <c r="AA641" s="18">
        <f>IF($A641&gt;'1-Input'!$B$26,Y641,Y641-'P-Parametri'!$B$8*(Z641+Y641)+MIN(MAX(Z641,0),'P-Parametri'!$B$8*(Z641+Y641)))</f>
        <v>37150.513557777522</v>
      </c>
      <c r="AB641" s="18">
        <f>IF($A641&gt;'1-Input'!$B$26,Z641,Z641-MIN(MAX(Z641,0),'P-Parametri'!$B$8*(Z641+Y641)))</f>
        <v>89645.231331221265</v>
      </c>
      <c r="AC641" s="18">
        <f>IF($A641&gt;'1-Input'!$B$26,AC640,AC640-X641*(1-W641))</f>
        <v>37580.013989737927</v>
      </c>
      <c r="AD641" s="11">
        <f>IF($A641&gt;'1-Input'!$B$26,0,IF(AI640&lt;=0,0,MAX(0,(AI640-AJ640)/AI640)))</f>
        <v>0.56945255219302771</v>
      </c>
      <c r="AE641" s="18">
        <f>IF($A641&gt;'1-Input'!$B$26,0,(MAX(0,AD616-IF($A641&gt;='1-Input'!$C$12,'1-Input'!$B$13,0))-MIN(MAX(AH640,0),MAX(0,AD616-IF($A641&gt;='1-Input'!$C$12,'1-Input'!$B$13,0))))*(1/(1-'P-Parametri'!$B$6*AD641))+MIN(MAX(0,AI640-(MAX(0,AD616-IF($A641&gt;='1-Input'!$C$12,'1-Input'!$B$13,0))-MIN(MAX(AH640,0),MAX(0,AD616-IF($A641&gt;='1-Input'!$C$12,'1-Input'!$B$13,0))))*(1/(1-'P-Parametri'!$B$6*AD641))),MAX(0,2*AD616-(AH640-MIN(MAX(AH640,0),MAX(0,AD616-IF($A641&gt;='1-Input'!$C$12,'1-Input'!$B$13,0)))))*(1/(1-'P-Parametri'!$B$6*AD641))))</f>
        <v>6827.2024833856622</v>
      </c>
      <c r="AF641" s="18">
        <f>IF($A641&gt;'1-Input'!$B$26,AH640,(AH640-MAX(0,AD616-IF($A641&gt;='1-Input'!$C$12,'1-Input'!$B$13,0))+AE641*(1-'P-Parametri'!$B$6*AD641))*(1+'1-Input'!$B$27))</f>
        <v>37100.631169120483</v>
      </c>
      <c r="AG641" s="18">
        <f>IF($A641&gt;'1-Input'!$B$26,AI640,(AI640-AE641)*(1+'5-Roberta'!$C$4))</f>
        <v>90912.049001145555</v>
      </c>
      <c r="AH641" s="18">
        <f>IF($A641&gt;'1-Input'!$B$26,AF641,AF641-'P-Parametri'!$B$8*(AG641+AF641)+MIN(MAX(AG641,0),'P-Parametri'!$B$8*(AG641+AF641)))</f>
        <v>37100.631169120483</v>
      </c>
      <c r="AI641" s="18">
        <f>IF($A641&gt;'1-Input'!$B$26,AG641,AG641-MIN(MAX(AG641,0),'P-Parametri'!$B$8*(AG641+AF641)))</f>
        <v>90656.023640805026</v>
      </c>
      <c r="AJ641" s="18">
        <f>IF($A641&gt;'1-Input'!$B$26,AJ640,AJ640-AE641*(1-AD641))</f>
        <v>38001.893856646238</v>
      </c>
      <c r="AK641" s="11">
        <f>IF($A641&gt;'1-Input'!$B$26,0,IF(AP640&lt;=0,0,MAX(0,(AP640-AQ640)/AP640)))</f>
        <v>0.56945258431812129</v>
      </c>
      <c r="AL641" s="18">
        <f>IF($A641&gt;'1-Input'!$B$26,0,(MAX(0,AK616-IF($A641&gt;='1-Input'!$C$12,'1-Input'!$B$13,0))-MIN(MAX(AO640,0),MAX(0,AK616-IF($A641&gt;='1-Input'!$C$12,'1-Input'!$B$13,0))))*(1/(1-'P-Parametri'!$B$6*AK641))+MIN(MAX(0,AP640-(MAX(0,AK616-IF($A641&gt;='1-Input'!$C$12,'1-Input'!$B$13,0))-MIN(MAX(AO640,0),MAX(0,AK616-IF($A641&gt;='1-Input'!$C$12,'1-Input'!$B$13,0))))*(1/(1-'P-Parametri'!$B$6*AK641))),MAX(0,2*AK616-(AO640-MIN(MAX(AO640,0),MAX(0,AK616-IF($A641&gt;='1-Input'!$C$12,'1-Input'!$B$13,0)))))*(1/(1-'P-Parametri'!$B$6*AK641))))</f>
        <v>6827.1447383558643</v>
      </c>
      <c r="AM641" s="18">
        <f>IF($A641&gt;'1-Input'!$B$26,AO640,(AO640-MAX(0,AK616-IF($A641&gt;='1-Input'!$C$12,'1-Input'!$B$13,0))+AL641*(1-'P-Parametri'!$B$6*AK641))*(1+'1-Input'!$B$27))</f>
        <v>37100.533720449668</v>
      </c>
      <c r="AN641" s="18">
        <f>IF($A641&gt;'1-Input'!$B$26,AP640,(AP640-AL641)*(1+'5-Roberta'!$C$4))</f>
        <v>90914.027420596001</v>
      </c>
      <c r="AO641" s="18">
        <f>IF($A641&gt;'1-Input'!$B$26,AM641,AM641-'P-Parametri'!$B$8*(AN641+AM641)+MIN(MAX(AN641,0),'P-Parametri'!$B$8*(AN641+AM641)))</f>
        <v>37100.533720449668</v>
      </c>
      <c r="AP641" s="18">
        <f>IF($A641&gt;'1-Input'!$B$26,AN641,AN641-MIN(MAX(AN641,0),'P-Parametri'!$B$8*(AN641+AM641)))</f>
        <v>90657.998298313905</v>
      </c>
      <c r="AQ641" s="18">
        <f>IF($A641&gt;'1-Input'!$B$26,AQ640,AQ640-AL641*(1-AK641))</f>
        <v>38002.718014727252</v>
      </c>
    </row>
    <row r="642" spans="1:43">
      <c r="A642" s="10">
        <f>24</f>
        <v>24</v>
      </c>
      <c r="B642" s="11">
        <f>IF($A642&gt;'1-Input'!$B$26,0,IF(G641&lt;=0,0,MAX(0,(G641-H641)/G641)))</f>
        <v>0.58187510773180684</v>
      </c>
      <c r="C642" s="18">
        <f>IF($A642&gt;'1-Input'!$B$26,0,(MAX(0,B616-IF($A642&gt;='1-Input'!$C$12,'1-Input'!$B$13,0))-MIN(MAX(F641,0),MAX(0,B616-IF($A642&gt;='1-Input'!$C$12,'1-Input'!$B$13,0))))*(1/(1-'P-Parametri'!$B$6*B642))+MIN(MAX(0,G641-(MAX(0,B616-IF($A642&gt;='1-Input'!$C$12,'1-Input'!$B$13,0))-MIN(MAX(F641,0),MAX(0,B616-IF($A642&gt;='1-Input'!$C$12,'1-Input'!$B$13,0))))*(1/(1-'P-Parametri'!$B$6*B642))),MAX(0,2*B616-(F641-MIN(MAX(F641,0),MAX(0,B616-IF($A642&gt;='1-Input'!$C$12,'1-Input'!$B$13,0)))))*(1/(1-'P-Parametri'!$B$6*B642))))</f>
        <v>4555.3223741690099</v>
      </c>
      <c r="D642" s="18">
        <f>IF($A642&gt;'1-Input'!$B$26,F641,(F641-MAX(0,B616-IF($A642&gt;='1-Input'!$C$12,'1-Input'!$B$13,0))+C642*(1-'P-Parametri'!$B$6*B642))*(1+'1-Input'!$B$27))</f>
        <v>33242.0070309863</v>
      </c>
      <c r="E642" s="18">
        <f>IF($A642&gt;'1-Input'!$B$26,G641,(G641-C642)*(1+'5-Roberta'!$C$4))</f>
        <v>169232.25940243824</v>
      </c>
      <c r="F642" s="18">
        <f>IF($A642&gt;'1-Input'!$B$26,D642,D642-'P-Parametri'!$B$8*(E642+D642)+MIN(MAX(E642,0),'P-Parametri'!$B$8*(E642+D642)))</f>
        <v>33242.0070309863</v>
      </c>
      <c r="G642" s="18">
        <f>IF($A642&gt;'1-Input'!$B$26,E642,E642-MIN(MAX(E642,0),'P-Parametri'!$B$8*(E642+D642)))</f>
        <v>168827.3108695714</v>
      </c>
      <c r="H642" s="18">
        <f>IF($A642&gt;'1-Input'!$B$26,H641,H641-C642*(1-B642))</f>
        <v>68699.242942667392</v>
      </c>
      <c r="I642" s="11">
        <f>IF($A642&gt;'1-Input'!$B$26,0,IF(N641&lt;=0,0,MAX(0,(N641-O641)/N641)))</f>
        <v>0</v>
      </c>
      <c r="J642" s="18">
        <f>IF($A642&gt;'1-Input'!$B$26,0,(MAX(0,I616-IF($A642&gt;='1-Input'!$C$12,'1-Input'!$B$13,0))-MIN(MAX(M641,0),MAX(0,I616-IF($A642&gt;='1-Input'!$C$12,'1-Input'!$B$13,0))))*(1/(1-'P-Parametri'!$B$6*I642))+MIN(MAX(0,N641-(MAX(0,I616-IF($A642&gt;='1-Input'!$C$12,'1-Input'!$B$13,0))-MIN(MAX(M641,0),MAX(0,I616-IF($A642&gt;='1-Input'!$C$12,'1-Input'!$B$13,0))))*(1/(1-'P-Parametri'!$B$6*I642))),MAX(0,2*I616-(M641-MIN(MAX(M641,0),MAX(0,I616-IF($A642&gt;='1-Input'!$C$12,'1-Input'!$B$13,0)))))*(1/(1-'P-Parametri'!$B$6*I642))))</f>
        <v>535.50285205788714</v>
      </c>
      <c r="K642" s="18">
        <f>IF($A642&gt;'1-Input'!$B$26,M641,(M641-MAX(0,I616-IF($A642&gt;='1-Input'!$C$12,'1-Input'!$B$13,0))+J642*(1-'P-Parametri'!$B$6*I642))*(1+'1-Input'!$B$27))</f>
        <v>0</v>
      </c>
      <c r="L642" s="18">
        <f>IF($A642&gt;'1-Input'!$B$26,N641,(N641-J642)*(1+'5-Roberta'!$C$4))</f>
        <v>-551.56793761962376</v>
      </c>
      <c r="M642" s="18">
        <f>IF($A642&gt;'1-Input'!$B$26,K642,K642-'P-Parametri'!$B$8*(L642+K642)+MIN(MAX(L642,0),'P-Parametri'!$B$8*(L642+K642)))</f>
        <v>0</v>
      </c>
      <c r="N642" s="18">
        <f>IF($A642&gt;'1-Input'!$B$26,L642,L642-MIN(MAX(L642,0),'P-Parametri'!$B$8*(L642+K642)))</f>
        <v>-550.46480174438454</v>
      </c>
      <c r="O642" s="18">
        <f>IF($A642&gt;'1-Input'!$B$26,O641,O641-J642*(1-I642))</f>
        <v>-535.50285205788714</v>
      </c>
      <c r="P642" s="11">
        <f>IF($A642&gt;'1-Input'!$B$26,0,IF(U641&lt;=0,0,MAX(0,(U641-V641)/U641)))</f>
        <v>0.58051589024226347</v>
      </c>
      <c r="Q642" s="18">
        <f>IF($A642&gt;'1-Input'!$B$26,0,(MAX(0,P616-IF($A642&gt;='1-Input'!$C$12,'1-Input'!$B$13,0))-MIN(MAX(T641,0),MAX(0,P616-IF($A642&gt;='1-Input'!$C$12,'1-Input'!$B$13,0))))*(1/(1-'P-Parametri'!$B$6*P642))+MIN(MAX(0,U641-(MAX(0,P616-IF($A642&gt;='1-Input'!$C$12,'1-Input'!$B$13,0))-MIN(MAX(T641,0),MAX(0,P616-IF($A642&gt;='1-Input'!$C$12,'1-Input'!$B$13,0))))*(1/(1-'P-Parametri'!$B$6*P642))),MAX(0,2*P616-(T641-MIN(MAX(T641,0),MAX(0,P616-IF($A642&gt;='1-Input'!$C$12,'1-Input'!$B$13,0)))))*(1/(1-'P-Parametri'!$B$6*P642))))</f>
        <v>7243.4050399859116</v>
      </c>
      <c r="R642" s="18">
        <f>IF($A642&gt;'1-Input'!$B$26,T641,(T641-MAX(0,P616-IF($A642&gt;='1-Input'!$C$12,'1-Input'!$B$13,0))+Q642*(1-'P-Parametri'!$B$6*P642))*(1+'1-Input'!$B$27))</f>
        <v>37760.964119681914</v>
      </c>
      <c r="S642" s="18">
        <f>IF($A642&gt;'1-Input'!$B$26,U641,(U641-Q642)*(1+'5-Roberta'!$C$4))</f>
        <v>72133.392392065041</v>
      </c>
      <c r="T642" s="18">
        <f>IF($A642&gt;'1-Input'!$B$26,R642,R642-'P-Parametri'!$B$8*(S642+R642)+MIN(MAX(S642,0),'P-Parametri'!$B$8*(S642+R642)))</f>
        <v>37760.964119681914</v>
      </c>
      <c r="U642" s="18">
        <f>IF($A642&gt;'1-Input'!$B$26,S642,S642-MIN(MAX(S642,0),'P-Parametri'!$B$8*(S642+R642)))</f>
        <v>71913.603679041553</v>
      </c>
      <c r="V642" s="18">
        <f>IF($A642&gt;'1-Input'!$B$26,V641,V641-Q642*(1-P642))</f>
        <v>29377.487273195038</v>
      </c>
      <c r="W642" s="11">
        <f>IF($A642&gt;'1-Input'!$B$26,0,IF(AB641&lt;=0,0,MAX(0,(AB641-AC641)/AB641)))</f>
        <v>0.58079182314910582</v>
      </c>
      <c r="X642" s="18">
        <f>IF($A642&gt;'1-Input'!$B$26,0,(MAX(0,W616-IF($A642&gt;='1-Input'!$C$12,'1-Input'!$B$13,0))-MIN(MAX(AA641,0),MAX(0,W616-IF($A642&gt;='1-Input'!$C$12,'1-Input'!$B$13,0))))*(1/(1-'P-Parametri'!$B$6*W642))+MIN(MAX(0,AB641-(MAX(0,W616-IF($A642&gt;='1-Input'!$C$12,'1-Input'!$B$13,0))-MIN(MAX(AA641,0),MAX(0,W616-IF($A642&gt;='1-Input'!$C$12,'1-Input'!$B$13,0))))*(1/(1-'P-Parametri'!$B$6*W642))),MAX(0,2*W616-(AA641-MIN(MAX(AA641,0),MAX(0,W616-IF($A642&gt;='1-Input'!$C$12,'1-Input'!$B$13,0)))))*(1/(1-'P-Parametri'!$B$6*W642))))</f>
        <v>6880.6063418495314</v>
      </c>
      <c r="Y642" s="18">
        <f>IF($A642&gt;'1-Input'!$B$26,AA641,(AA641-MAX(0,W616-IF($A642&gt;='1-Input'!$C$12,'1-Input'!$B$13,0))+X642*(1-'P-Parametri'!$B$6*W642))*(1+'1-Input'!$B$27))</f>
        <v>37150.513557777522</v>
      </c>
      <c r="Z642" s="18">
        <f>IF($A642&gt;'1-Input'!$B$26,AB641,(AB641-X642)*(1+'5-Roberta'!$C$4))</f>
        <v>85247.563739052886</v>
      </c>
      <c r="AA642" s="18">
        <f>IF($A642&gt;'1-Input'!$B$26,Y642,Y642-'P-Parametri'!$B$8*(Z642+Y642)+MIN(MAX(Z642,0),'P-Parametri'!$B$8*(Z642+Y642)))</f>
        <v>37150.513557777522</v>
      </c>
      <c r="AB642" s="18">
        <f>IF($A642&gt;'1-Input'!$B$26,Z642,Z642-MIN(MAX(Z642,0),'P-Parametri'!$B$8*(Z642+Y642)))</f>
        <v>85002.76758445923</v>
      </c>
      <c r="AC642" s="18">
        <f>IF($A642&gt;'1-Input'!$B$26,AC641,AC641-X642*(1-W642))</f>
        <v>34695.607549542481</v>
      </c>
      <c r="AD642" s="11">
        <f>IF($A642&gt;'1-Input'!$B$26,0,IF(AI641&lt;=0,0,MAX(0,(AI641-AJ641)/AI641)))</f>
        <v>0.58081225791221147</v>
      </c>
      <c r="AE642" s="18">
        <f>IF($A642&gt;'1-Input'!$B$26,0,(MAX(0,AD616-IF($A642&gt;='1-Input'!$C$12,'1-Input'!$B$13,0))-MIN(MAX(AH641,0),MAX(0,AD616-IF($A642&gt;='1-Input'!$C$12,'1-Input'!$B$13,0))))*(1/(1-'P-Parametri'!$B$6*AD642))+MIN(MAX(0,AI641-(MAX(0,AD616-IF($A642&gt;='1-Input'!$C$12,'1-Input'!$B$13,0))-MIN(MAX(AH641,0),MAX(0,AD616-IF($A642&gt;='1-Input'!$C$12,'1-Input'!$B$13,0))))*(1/(1-'P-Parametri'!$B$6*AD642))),MAX(0,2*AD616-(AH641-MIN(MAX(AH641,0),MAX(0,AD616-IF($A642&gt;='1-Input'!$C$12,'1-Input'!$B$13,0)))))*(1/(1-'P-Parametri'!$B$6*AD642))))</f>
        <v>6850.953447565269</v>
      </c>
      <c r="AF642" s="18">
        <f>IF($A642&gt;'1-Input'!$B$26,AH641,(AH641-MAX(0,AD616-IF($A642&gt;='1-Input'!$C$12,'1-Input'!$B$13,0))+AE642*(1-'P-Parametri'!$B$6*AD642))*(1+'1-Input'!$B$27))</f>
        <v>37100.631169120483</v>
      </c>
      <c r="AG642" s="18">
        <f>IF($A642&gt;'1-Input'!$B$26,AI641,(AI641-AE642)*(1+'5-Roberta'!$C$4))</f>
        <v>86319.222299036948</v>
      </c>
      <c r="AH642" s="18">
        <f>IF($A642&gt;'1-Input'!$B$26,AF642,AF642-'P-Parametri'!$B$8*(AG642+AF642)+MIN(MAX(AG642,0),'P-Parametri'!$B$8*(AG642+AF642)))</f>
        <v>37100.631169120483</v>
      </c>
      <c r="AI642" s="18">
        <f>IF($A642&gt;'1-Input'!$B$26,AG642,AG642-MIN(MAX(AG642,0),'P-Parametri'!$B$8*(AG642+AF642)))</f>
        <v>86072.382592100636</v>
      </c>
      <c r="AJ642" s="18">
        <f>IF($A642&gt;'1-Input'!$B$26,AJ641,AJ641-AE642*(1-AD642))</f>
        <v>35130.058149812801</v>
      </c>
      <c r="AK642" s="11">
        <f>IF($A642&gt;'1-Input'!$B$26,0,IF(AP641&lt;=0,0,MAX(0,(AP641-AQ641)/AP641)))</f>
        <v>0.58081229755726871</v>
      </c>
      <c r="AL642" s="18">
        <f>IF($A642&gt;'1-Input'!$B$26,0,(MAX(0,AK616-IF($A642&gt;='1-Input'!$C$12,'1-Input'!$B$13,0))-MIN(MAX(AO641,0),MAX(0,AK616-IF($A642&gt;='1-Input'!$C$12,'1-Input'!$B$13,0))))*(1/(1-'P-Parametri'!$B$6*AK642))+MIN(MAX(0,AP641-(MAX(0,AK616-IF($A642&gt;='1-Input'!$C$12,'1-Input'!$B$13,0))-MIN(MAX(AO641,0),MAX(0,AK616-IF($A642&gt;='1-Input'!$C$12,'1-Input'!$B$13,0))))*(1/(1-'P-Parametri'!$B$6*AK642))),MAX(0,2*AK616-(AO641-MIN(MAX(AO641,0),MAX(0,AK616-IF($A642&gt;='1-Input'!$C$12,'1-Input'!$B$13,0)))))*(1/(1-'P-Parametri'!$B$6*AK642))))</f>
        <v>6850.8955176589461</v>
      </c>
      <c r="AM642" s="18">
        <f>IF($A642&gt;'1-Input'!$B$26,AO641,(AO641-MAX(0,AK616-IF($A642&gt;='1-Input'!$C$12,'1-Input'!$B$13,0))+AL642*(1-'P-Parametri'!$B$6*AK642))*(1+'1-Input'!$B$27))</f>
        <v>37100.533720449668</v>
      </c>
      <c r="AN642" s="18">
        <f>IF($A642&gt;'1-Input'!$B$26,AP641,(AP641-AL642)*(1+'5-Roberta'!$C$4))</f>
        <v>86321.315864074611</v>
      </c>
      <c r="AO642" s="18">
        <f>IF($A642&gt;'1-Input'!$B$26,AM642,AM642-'P-Parametri'!$B$8*(AN642+AM642)+MIN(MAX(AN642,0),'P-Parametri'!$B$8*(AN642+AM642)))</f>
        <v>37100.533720449668</v>
      </c>
      <c r="AP642" s="18">
        <f>IF($A642&gt;'1-Input'!$B$26,AN642,AN642-MIN(MAX(AN642,0),'P-Parametri'!$B$8*(AN642+AM642)))</f>
        <v>86074.472164905557</v>
      </c>
      <c r="AQ642" s="18">
        <f>IF($A642&gt;'1-Input'!$B$26,AQ641,AQ641-AL642*(1-AK642))</f>
        <v>35130.906863004595</v>
      </c>
    </row>
    <row r="643" spans="1:43">
      <c r="A643" s="10">
        <f>25</f>
        <v>25</v>
      </c>
      <c r="B643" s="11">
        <f>IF($A643&gt;'1-Input'!$B$26,0,IF(G642&lt;=0,0,MAX(0,(G642-H642)/G642)))</f>
        <v>0.59307980095861723</v>
      </c>
      <c r="C643" s="18">
        <f>IF($A643&gt;'1-Input'!$B$26,0,(MAX(0,B616-IF($A643&gt;='1-Input'!$C$12,'1-Input'!$B$13,0))-MIN(MAX(F642,0),MAX(0,B616-IF($A643&gt;='1-Input'!$C$12,'1-Input'!$B$13,0))))*(1/(1-'P-Parametri'!$B$6*B643))+MIN(MAX(0,G642-(MAX(0,B616-IF($A643&gt;='1-Input'!$C$12,'1-Input'!$B$13,0))-MIN(MAX(F642,0),MAX(0,B616-IF($A643&gt;='1-Input'!$C$12,'1-Input'!$B$13,0))))*(1/(1-'P-Parametri'!$B$6*B643))),MAX(0,2*B616-(F642-MIN(MAX(F642,0),MAX(0,B616-IF($A643&gt;='1-Input'!$C$12,'1-Input'!$B$13,0)))))*(1/(1-'P-Parametri'!$B$6*B643))))</f>
        <v>4571.012453473284</v>
      </c>
      <c r="D643" s="18">
        <f>IF($A643&gt;'1-Input'!$B$26,F642,(F642-MAX(0,B616-IF($A643&gt;='1-Input'!$C$12,'1-Input'!$B$13,0))+C643*(1-'P-Parametri'!$B$6*B643))*(1+'1-Input'!$B$27))</f>
        <v>33242.0070309863</v>
      </c>
      <c r="E643" s="18">
        <f>IF($A643&gt;'1-Input'!$B$26,G642,(G642-C643)*(1+'5-Roberta'!$C$4))</f>
        <v>169183.98736858106</v>
      </c>
      <c r="F643" s="18">
        <f>IF($A643&gt;'1-Input'!$B$26,D643,D643-'P-Parametri'!$B$8*(E643+D643)+MIN(MAX(E643,0),'P-Parametri'!$B$8*(E643+D643)))</f>
        <v>33242.0070309863</v>
      </c>
      <c r="G643" s="18">
        <f>IF($A643&gt;'1-Input'!$B$26,E643,E643-MIN(MAX(E643,0),'P-Parametri'!$B$8*(E643+D643)))</f>
        <v>168779.13537978192</v>
      </c>
      <c r="H643" s="18">
        <f>IF($A643&gt;'1-Input'!$B$26,H642,H642-C643*(1-B643))</f>
        <v>66839.205645279406</v>
      </c>
      <c r="I643" s="11">
        <f>IF($A643&gt;'1-Input'!$B$26,0,IF(N642&lt;=0,0,MAX(0,(N642-O642)/N642)))</f>
        <v>0</v>
      </c>
      <c r="J643" s="18">
        <f>IF($A643&gt;'1-Input'!$B$26,0,(MAX(0,I616-IF($A643&gt;='1-Input'!$C$12,'1-Input'!$B$13,0))-MIN(MAX(M642,0),MAX(0,I616-IF($A643&gt;='1-Input'!$C$12,'1-Input'!$B$13,0))))*(1/(1-'P-Parametri'!$B$6*I643))+MIN(MAX(0,N642-(MAX(0,I616-IF($A643&gt;='1-Input'!$C$12,'1-Input'!$B$13,0))-MIN(MAX(M642,0),MAX(0,I616-IF($A643&gt;='1-Input'!$C$12,'1-Input'!$B$13,0))))*(1/(1-'P-Parametri'!$B$6*I643))),MAX(0,2*I616-(M642-MIN(MAX(M642,0),MAX(0,I616-IF($A643&gt;='1-Input'!$C$12,'1-Input'!$B$13,0)))))*(1/(1-'P-Parametri'!$B$6*I643))))</f>
        <v>9013.756992928691</v>
      </c>
      <c r="K643" s="18">
        <f>IF($A643&gt;'1-Input'!$B$26,M642,(M642-MAX(0,I616-IF($A643&gt;='1-Input'!$C$12,'1-Input'!$B$13,0))+J643*(1-'P-Parametri'!$B$6*I643))*(1+'1-Input'!$B$27))</f>
        <v>0</v>
      </c>
      <c r="L643" s="18">
        <f>IF($A643&gt;'1-Input'!$B$26,N642,(N642-J643)*(1+'5-Roberta'!$C$4))</f>
        <v>-9851.1484485132678</v>
      </c>
      <c r="M643" s="18">
        <f>IF($A643&gt;'1-Input'!$B$26,K643,K643-'P-Parametri'!$B$8*(L643+K643)+MIN(MAX(L643,0),'P-Parametri'!$B$8*(L643+K643)))</f>
        <v>0</v>
      </c>
      <c r="N643" s="18">
        <f>IF($A643&gt;'1-Input'!$B$26,L643,L643-MIN(MAX(L643,0),'P-Parametri'!$B$8*(L643+K643)))</f>
        <v>-9831.446151616241</v>
      </c>
      <c r="O643" s="18">
        <f>IF($A643&gt;'1-Input'!$B$26,O642,O642-J643*(1-I643))</f>
        <v>-9549.2598449865782</v>
      </c>
      <c r="P643" s="11">
        <f>IF($A643&gt;'1-Input'!$B$26,0,IF(U642&lt;=0,0,MAX(0,(U642-V642)/U642)))</f>
        <v>0.59148915128339219</v>
      </c>
      <c r="Q643" s="18">
        <f>IF($A643&gt;'1-Input'!$B$26,0,(MAX(0,P616-IF($A643&gt;='1-Input'!$C$12,'1-Input'!$B$13,0))-MIN(MAX(T642,0),MAX(0,P616-IF($A643&gt;='1-Input'!$C$12,'1-Input'!$B$13,0))))*(1/(1-'P-Parametri'!$B$6*P643))+MIN(MAX(0,U642-(MAX(0,P616-IF($A643&gt;='1-Input'!$C$12,'1-Input'!$B$13,0))-MIN(MAX(T642,0),MAX(0,P616-IF($A643&gt;='1-Input'!$C$12,'1-Input'!$B$13,0))))*(1/(1-'P-Parametri'!$B$6*P643))),MAX(0,2*P616-(T642-MIN(MAX(T642,0),MAX(0,P616-IF($A643&gt;='1-Input'!$C$12,'1-Input'!$B$13,0)))))*(1/(1-'P-Parametri'!$B$6*P643))))</f>
        <v>7267.8265339897835</v>
      </c>
      <c r="R643" s="18">
        <f>IF($A643&gt;'1-Input'!$B$26,T642,(T642-MAX(0,P616-IF($A643&gt;='1-Input'!$C$12,'1-Input'!$B$13,0))+Q643*(1-'P-Parametri'!$B$6*P643))*(1+'1-Input'!$B$27))</f>
        <v>37760.964119681914</v>
      </c>
      <c r="S643" s="18">
        <f>IF($A643&gt;'1-Input'!$B$26,U642,(U642-Q643)*(1+'5-Roberta'!$C$4))</f>
        <v>66585.150459403318</v>
      </c>
      <c r="T643" s="18">
        <f>IF($A643&gt;'1-Input'!$B$26,R643,R643-'P-Parametri'!$B$8*(S643+R643)+MIN(MAX(S643,0),'P-Parametri'!$B$8*(S643+R643)))</f>
        <v>37760.964119681914</v>
      </c>
      <c r="U643" s="18">
        <f>IF($A643&gt;'1-Input'!$B$26,S643,S643-MIN(MAX(S643,0),'P-Parametri'!$B$8*(S643+R643)))</f>
        <v>66376.458230245145</v>
      </c>
      <c r="V643" s="18">
        <f>IF($A643&gt;'1-Input'!$B$26,V642,V642-Q643*(1-P643))</f>
        <v>26408.50128746979</v>
      </c>
      <c r="W643" s="11">
        <f>IF($A643&gt;'1-Input'!$B$26,0,IF(AB642&lt;=0,0,MAX(0,(AB642-AC642)/AB642)))</f>
        <v>0.59182967172135037</v>
      </c>
      <c r="X643" s="18">
        <f>IF($A643&gt;'1-Input'!$B$26,0,(MAX(0,W616-IF($A643&gt;='1-Input'!$C$12,'1-Input'!$B$13,0))-MIN(MAX(AA642,0),MAX(0,W616-IF($A643&gt;='1-Input'!$C$12,'1-Input'!$B$13,0))))*(1/(1-'P-Parametri'!$B$6*W643))+MIN(MAX(0,AB642-(MAX(0,W616-IF($A643&gt;='1-Input'!$C$12,'1-Input'!$B$13,0))-MIN(MAX(AA642,0),MAX(0,W616-IF($A643&gt;='1-Input'!$C$12,'1-Input'!$B$13,0))))*(1/(1-'P-Parametri'!$B$6*W643))),MAX(0,2*W616-(AA642-MIN(MAX(AA642,0),MAX(0,W616-IF($A643&gt;='1-Input'!$C$12,'1-Input'!$B$13,0)))))*(1/(1-'P-Parametri'!$B$6*W643))))</f>
        <v>6903.9436268942218</v>
      </c>
      <c r="Y643" s="18">
        <f>IF($A643&gt;'1-Input'!$B$26,AA642,(AA642-MAX(0,W616-IF($A643&gt;='1-Input'!$C$12,'1-Input'!$B$13,0))+X643*(1-'P-Parametri'!$B$6*W643))*(1+'1-Input'!$B$27))</f>
        <v>37150.513557777522</v>
      </c>
      <c r="Z643" s="18">
        <f>IF($A643&gt;'1-Input'!$B$26,AB642,(AB642-X643)*(1+'5-Roberta'!$C$4))</f>
        <v>80441.788676291966</v>
      </c>
      <c r="AA643" s="18">
        <f>IF($A643&gt;'1-Input'!$B$26,Y643,Y643-'P-Parametri'!$B$8*(Z643+Y643)+MIN(MAX(Z643,0),'P-Parametri'!$B$8*(Z643+Y643)))</f>
        <v>37150.513557777522</v>
      </c>
      <c r="AB643" s="18">
        <f>IF($A643&gt;'1-Input'!$B$26,Z643,Z643-MIN(MAX(Z643,0),'P-Parametri'!$B$8*(Z643+Y643)))</f>
        <v>80206.604071823822</v>
      </c>
      <c r="AC643" s="18">
        <f>IF($A643&gt;'1-Input'!$B$26,AC642,AC642-X643*(1-W643))</f>
        <v>31877.622612935775</v>
      </c>
      <c r="AD643" s="11">
        <f>IF($A643&gt;'1-Input'!$B$26,0,IF(AI642&lt;=0,0,MAX(0,(AI642-AJ642)/AI642)))</f>
        <v>0.59185447071571029</v>
      </c>
      <c r="AE643" s="18">
        <f>IF($A643&gt;'1-Input'!$B$26,0,(MAX(0,AD616-IF($A643&gt;='1-Input'!$C$12,'1-Input'!$B$13,0))-MIN(MAX(AH642,0),MAX(0,AD616-IF($A643&gt;='1-Input'!$C$12,'1-Input'!$B$13,0))))*(1/(1-'P-Parametri'!$B$6*AD643))+MIN(MAX(0,AI642-(MAX(0,AD616-IF($A643&gt;='1-Input'!$C$12,'1-Input'!$B$13,0))-MIN(MAX(AH642,0),MAX(0,AD616-IF($A643&gt;='1-Input'!$C$12,'1-Input'!$B$13,0))))*(1/(1-'P-Parametri'!$B$6*AD643))),MAX(0,2*AD616-(AH642-MIN(MAX(AH642,0),MAX(0,AD616-IF($A643&gt;='1-Input'!$C$12,'1-Input'!$B$13,0)))))*(1/(1-'P-Parametri'!$B$6*AD643))))</f>
        <v>6874.1995221107909</v>
      </c>
      <c r="AF643" s="18">
        <f>IF($A643&gt;'1-Input'!$B$26,AH642,(AH642-MAX(0,AD616-IF($A643&gt;='1-Input'!$C$12,'1-Input'!$B$13,0))+AE643*(1-'P-Parametri'!$B$6*AD643))*(1+'1-Input'!$B$27))</f>
        <v>37100.631169120483</v>
      </c>
      <c r="AG643" s="18">
        <f>IF($A643&gt;'1-Input'!$B$26,AI642,(AI642-AE643)*(1+'5-Roberta'!$C$4))</f>
        <v>81574.128562089536</v>
      </c>
      <c r="AH643" s="18">
        <f>IF($A643&gt;'1-Input'!$B$26,AF643,AF643-'P-Parametri'!$B$8*(AG643+AF643)+MIN(MAX(AG643,0),'P-Parametri'!$B$8*(AG643+AF643)))</f>
        <v>37100.631169120483</v>
      </c>
      <c r="AI643" s="18">
        <f>IF($A643&gt;'1-Input'!$B$26,AG643,AG643-MIN(MAX(AG643,0),'P-Parametri'!$B$8*(AG643+AF643)))</f>
        <v>81336.779042627109</v>
      </c>
      <c r="AJ643" s="18">
        <f>IF($A643&gt;'1-Input'!$B$26,AJ642,AJ642-AE643*(1-AD643))</f>
        <v>32324.384347455081</v>
      </c>
      <c r="AK643" s="11">
        <f>IF($A643&gt;'1-Input'!$B$26,0,IF(AP642&lt;=0,0,MAX(0,(AP642-AQ642)/AP642)))</f>
        <v>0.59185451877417106</v>
      </c>
      <c r="AL643" s="18">
        <f>IF($A643&gt;'1-Input'!$B$26,0,(MAX(0,AK616-IF($A643&gt;='1-Input'!$C$12,'1-Input'!$B$13,0))-MIN(MAX(AO642,0),MAX(0,AK616-IF($A643&gt;='1-Input'!$C$12,'1-Input'!$B$13,0))))*(1/(1-'P-Parametri'!$B$6*AK643))+MIN(MAX(0,AP642-(MAX(0,AK616-IF($A643&gt;='1-Input'!$C$12,'1-Input'!$B$13,0))-MIN(MAX(AO642,0),MAX(0,AK616-IF($A643&gt;='1-Input'!$C$12,'1-Input'!$B$13,0))))*(1/(1-'P-Parametri'!$B$6*AK643))),MAX(0,2*AK616-(AO642-MIN(MAX(AO642,0),MAX(0,AK616-IF($A643&gt;='1-Input'!$C$12,'1-Input'!$B$13,0)))))*(1/(1-'P-Parametri'!$B$6*AK643))))</f>
        <v>6874.1414136966605</v>
      </c>
      <c r="AM643" s="18">
        <f>IF($A643&gt;'1-Input'!$B$26,AO642,(AO642-MAX(0,AK616-IF($A643&gt;='1-Input'!$C$12,'1-Input'!$B$13,0))+AL643*(1-'P-Parametri'!$B$6*AK643))*(1+'1-Input'!$B$27))</f>
        <v>37100.533720449668</v>
      </c>
      <c r="AN643" s="18">
        <f>IF($A643&gt;'1-Input'!$B$26,AP642,(AP642-AL643)*(1+'5-Roberta'!$C$4))</f>
        <v>81576.340673745159</v>
      </c>
      <c r="AO643" s="18">
        <f>IF($A643&gt;'1-Input'!$B$26,AM643,AM643-'P-Parametri'!$B$8*(AN643+AM643)+MIN(MAX(AN643,0),'P-Parametri'!$B$8*(AN643+AM643)))</f>
        <v>37100.533720449668</v>
      </c>
      <c r="AP643" s="18">
        <f>IF($A643&gt;'1-Input'!$B$26,AN643,AN643-MIN(MAX(AN643,0),'P-Parametri'!$B$8*(AN643+AM643)))</f>
        <v>81338.986924956771</v>
      </c>
      <c r="AQ643" s="18">
        <f>IF($A643&gt;'1-Input'!$B$26,AQ642,AQ642-AL643*(1-AK643))</f>
        <v>32325.257107696973</v>
      </c>
    </row>
    <row r="644" spans="1:43">
      <c r="A644" s="10">
        <f>26</f>
        <v>26</v>
      </c>
      <c r="B644" s="11">
        <f>IF($A644&gt;'1-Input'!$B$26,0,IF(G643&lt;=0,0,MAX(0,(G643-H643)/G643)))</f>
        <v>0.6039841921521889</v>
      </c>
      <c r="C644" s="18">
        <f>IF($A644&gt;'1-Input'!$B$26,0,(MAX(0,B616-IF($A644&gt;='1-Input'!$C$12,'1-Input'!$B$13,0))-MIN(MAX(F643,0),MAX(0,B616-IF($A644&gt;='1-Input'!$C$12,'1-Input'!$B$13,0))))*(1/(1-'P-Parametri'!$B$6*B644))+MIN(MAX(0,G643-(MAX(0,B616-IF($A644&gt;='1-Input'!$C$12,'1-Input'!$B$13,0))-MIN(MAX(F643,0),MAX(0,B616-IF($A644&gt;='1-Input'!$C$12,'1-Input'!$B$13,0))))*(1/(1-'P-Parametri'!$B$6*B644))),MAX(0,2*B616-(F643-MIN(MAX(F643,0),MAX(0,B616-IF($A644&gt;='1-Input'!$C$12,'1-Input'!$B$13,0)))))*(1/(1-'P-Parametri'!$B$6*B644))))</f>
        <v>4586.3861424725137</v>
      </c>
      <c r="D644" s="18">
        <f>IF($A644&gt;'1-Input'!$B$26,F643,(F643-MAX(0,B616-IF($A644&gt;='1-Input'!$C$12,'1-Input'!$B$13,0))+C644*(1-'P-Parametri'!$B$6*B644))*(1+'1-Input'!$B$27))</f>
        <v>33242.0070309863</v>
      </c>
      <c r="E644" s="18">
        <f>IF($A644&gt;'1-Input'!$B$26,G643,(G643-C644)*(1+'5-Roberta'!$C$4))</f>
        <v>169118.53171442871</v>
      </c>
      <c r="F644" s="18">
        <f>IF($A644&gt;'1-Input'!$B$26,D644,D644-'P-Parametri'!$B$8*(E644+D644)+MIN(MAX(E644,0),'P-Parametri'!$B$8*(E644+D644)))</f>
        <v>33242.0070309863</v>
      </c>
      <c r="G644" s="18">
        <f>IF($A644&gt;'1-Input'!$B$26,E644,E644-MIN(MAX(E644,0),'P-Parametri'!$B$8*(E644+D644)))</f>
        <v>168713.81063693788</v>
      </c>
      <c r="H644" s="18">
        <f>IF($A644&gt;'1-Input'!$B$26,H643,H643-C644*(1-B644))</f>
        <v>65022.92423196615</v>
      </c>
      <c r="I644" s="11">
        <f>IF($A644&gt;'1-Input'!$B$26,0,IF(N643&lt;=0,0,MAX(0,(N643-O643)/N643)))</f>
        <v>0</v>
      </c>
      <c r="J644" s="18">
        <f>IF($A644&gt;'1-Input'!$B$26,0,(MAX(0,I616-IF($A644&gt;='1-Input'!$C$12,'1-Input'!$B$13,0))-MIN(MAX(M643,0),MAX(0,I616-IF($A644&gt;='1-Input'!$C$12,'1-Input'!$B$13,0))))*(1/(1-'P-Parametri'!$B$6*I644))+MIN(MAX(0,N643-(MAX(0,I616-IF($A644&gt;='1-Input'!$C$12,'1-Input'!$B$13,0))-MIN(MAX(M643,0),MAX(0,I616-IF($A644&gt;='1-Input'!$C$12,'1-Input'!$B$13,0))))*(1/(1-'P-Parametri'!$B$6*I644))),MAX(0,2*I616-(M643-MIN(MAX(M643,0),MAX(0,I616-IF($A644&gt;='1-Input'!$C$12,'1-Input'!$B$13,0)))))*(1/(1-'P-Parametri'!$B$6*I644))))</f>
        <v>9013.756992928691</v>
      </c>
      <c r="K644" s="18">
        <f>IF($A644&gt;'1-Input'!$B$26,M643,(M643-MAX(0,I616-IF($A644&gt;='1-Input'!$C$12,'1-Input'!$B$13,0))+J644*(1-'P-Parametri'!$B$6*I644))*(1+'1-Input'!$B$27))</f>
        <v>0</v>
      </c>
      <c r="L644" s="18">
        <f>IF($A644&gt;'1-Input'!$B$26,N643,(N643-J644)*(1+'5-Roberta'!$C$4))</f>
        <v>-19410.55923888128</v>
      </c>
      <c r="M644" s="18">
        <f>IF($A644&gt;'1-Input'!$B$26,K644,K644-'P-Parametri'!$B$8*(L644+K644)+MIN(MAX(L644,0),'P-Parametri'!$B$8*(L644+K644)))</f>
        <v>0</v>
      </c>
      <c r="N644" s="18">
        <f>IF($A644&gt;'1-Input'!$B$26,L644,L644-MIN(MAX(L644,0),'P-Parametri'!$B$8*(L644+K644)))</f>
        <v>-19371.738120403519</v>
      </c>
      <c r="O644" s="18">
        <f>IF($A644&gt;'1-Input'!$B$26,O643,O643-J644*(1-I644))</f>
        <v>-18563.016837915267</v>
      </c>
      <c r="P644" s="11">
        <f>IF($A644&gt;'1-Input'!$B$26,0,IF(U643&lt;=0,0,MAX(0,(U643-V643)/U643)))</f>
        <v>0.60214054814638374</v>
      </c>
      <c r="Q644" s="18">
        <f>IF($A644&gt;'1-Input'!$B$26,0,(MAX(0,P616-IF($A644&gt;='1-Input'!$C$12,'1-Input'!$B$13,0))-MIN(MAX(T643,0),MAX(0,P616-IF($A644&gt;='1-Input'!$C$12,'1-Input'!$B$13,0))))*(1/(1-'P-Parametri'!$B$6*P644))+MIN(MAX(0,U643-(MAX(0,P616-IF($A644&gt;='1-Input'!$C$12,'1-Input'!$B$13,0))-MIN(MAX(T643,0),MAX(0,P616-IF($A644&gt;='1-Input'!$C$12,'1-Input'!$B$13,0))))*(1/(1-'P-Parametri'!$B$6*P644))),MAX(0,2*P616-(T643-MIN(MAX(T643,0),MAX(0,P616-IF($A644&gt;='1-Input'!$C$12,'1-Input'!$B$13,0)))))*(1/(1-'P-Parametri'!$B$6*P644))))</f>
        <v>7291.6897236975601</v>
      </c>
      <c r="R644" s="18">
        <f>IF($A644&gt;'1-Input'!$B$26,T643,(T643-MAX(0,P616-IF($A644&gt;='1-Input'!$C$12,'1-Input'!$B$13,0))+Q644*(1-'P-Parametri'!$B$6*P644))*(1+'1-Input'!$B$27))</f>
        <v>37760.964119681914</v>
      </c>
      <c r="S644" s="18">
        <f>IF($A644&gt;'1-Input'!$B$26,U643,(U643-Q644)*(1+'5-Roberta'!$C$4))</f>
        <v>60857.311561744013</v>
      </c>
      <c r="T644" s="18">
        <f>IF($A644&gt;'1-Input'!$B$26,R644,R644-'P-Parametri'!$B$8*(S644+R644)+MIN(MAX(S644,0),'P-Parametri'!$B$8*(S644+R644)))</f>
        <v>37760.964119681914</v>
      </c>
      <c r="U644" s="18">
        <f>IF($A644&gt;'1-Input'!$B$26,S644,S644-MIN(MAX(S644,0),'P-Parametri'!$B$8*(S644+R644)))</f>
        <v>60660.075010381159</v>
      </c>
      <c r="V644" s="18">
        <f>IF($A644&gt;'1-Input'!$B$26,V643,V643-Q644*(1-P644))</f>
        <v>23507.433610912831</v>
      </c>
      <c r="W644" s="11">
        <f>IF($A644&gt;'1-Input'!$B$26,0,IF(AB643&lt;=0,0,MAX(0,(AB643-AC643)/AB643)))</f>
        <v>0.60255613634520866</v>
      </c>
      <c r="X644" s="18">
        <f>IF($A644&gt;'1-Input'!$B$26,0,(MAX(0,W616-IF($A644&gt;='1-Input'!$C$12,'1-Input'!$B$13,0))-MIN(MAX(AA643,0),MAX(0,W616-IF($A644&gt;='1-Input'!$C$12,'1-Input'!$B$13,0))))*(1/(1-'P-Parametri'!$B$6*W644))+MIN(MAX(0,AB643-(MAX(0,W616-IF($A644&gt;='1-Input'!$C$12,'1-Input'!$B$13,0))-MIN(MAX(AA643,0),MAX(0,W616-IF($A644&gt;='1-Input'!$C$12,'1-Input'!$B$13,0))))*(1/(1-'P-Parametri'!$B$6*W644))),MAX(0,2*W616-(AA643-MIN(MAX(AA643,0),MAX(0,W616-IF($A644&gt;='1-Input'!$C$12,'1-Input'!$B$13,0)))))*(1/(1-'P-Parametri'!$B$6*W644))))</f>
        <v>6926.7747279444702</v>
      </c>
      <c r="Y644" s="18">
        <f>IF($A644&gt;'1-Input'!$B$26,AA643,(AA643-MAX(0,W616-IF($A644&gt;='1-Input'!$C$12,'1-Input'!$B$13,0))+X644*(1-'P-Parametri'!$B$6*W644))*(1+'1-Input'!$B$27))</f>
        <v>37150.513557777522</v>
      </c>
      <c r="Z644" s="18">
        <f>IF($A644&gt;'1-Input'!$B$26,AB643,(AB643-X644)*(1+'5-Roberta'!$C$4))</f>
        <v>75478.224224195728</v>
      </c>
      <c r="AA644" s="18">
        <f>IF($A644&gt;'1-Input'!$B$26,Y644,Y644-'P-Parametri'!$B$8*(Z644+Y644)+MIN(MAX(Z644,0),'P-Parametri'!$B$8*(Z644+Y644)))</f>
        <v>37150.513557777522</v>
      </c>
      <c r="AB644" s="18">
        <f>IF($A644&gt;'1-Input'!$B$26,Z644,Z644-MIN(MAX(Z644,0),'P-Parametri'!$B$8*(Z644+Y644)))</f>
        <v>75252.966748631778</v>
      </c>
      <c r="AC644" s="18">
        <f>IF($A644&gt;'1-Input'!$B$26,AC643,AC643-X644*(1-W644))</f>
        <v>29124.618502395158</v>
      </c>
      <c r="AD644" s="11">
        <f>IF($A644&gt;'1-Input'!$B$26,0,IF(AI643&lt;=0,0,MAX(0,(AI643-AJ643)/AI643)))</f>
        <v>0.60258588146803227</v>
      </c>
      <c r="AE644" s="18">
        <f>IF($A644&gt;'1-Input'!$B$26,0,(MAX(0,AD616-IF($A644&gt;='1-Input'!$C$12,'1-Input'!$B$13,0))-MIN(MAX(AH643,0),MAX(0,AD616-IF($A644&gt;='1-Input'!$C$12,'1-Input'!$B$13,0))))*(1/(1-'P-Parametri'!$B$6*AD644))+MIN(MAX(0,AI643-(MAX(0,AD616-IF($A644&gt;='1-Input'!$C$12,'1-Input'!$B$13,0))-MIN(MAX(AH643,0),MAX(0,AD616-IF($A644&gt;='1-Input'!$C$12,'1-Input'!$B$13,0))))*(1/(1-'P-Parametri'!$B$6*AD644))),MAX(0,2*AD616-(AH643-MIN(MAX(AH643,0),MAX(0,AD616-IF($A644&gt;='1-Input'!$C$12,'1-Input'!$B$13,0)))))*(1/(1-'P-Parametri'!$B$6*AD644))))</f>
        <v>6896.9429514048143</v>
      </c>
      <c r="AF644" s="18">
        <f>IF($A644&gt;'1-Input'!$B$26,AH643,(AH643-MAX(0,AD616-IF($A644&gt;='1-Input'!$C$12,'1-Input'!$B$13,0))+AE644*(1-'P-Parametri'!$B$6*AD644))*(1+'1-Input'!$B$27))</f>
        <v>37100.631169120483</v>
      </c>
      <c r="AG644" s="18">
        <f>IF($A644&gt;'1-Input'!$B$26,AI643,(AI643-AE644)*(1+'5-Roberta'!$C$4))</f>
        <v>76673.031173958967</v>
      </c>
      <c r="AH644" s="18">
        <f>IF($A644&gt;'1-Input'!$B$26,AF644,AF644-'P-Parametri'!$B$8*(AG644+AF644)+MIN(MAX(AG644,0),'P-Parametri'!$B$8*(AG644+AF644)))</f>
        <v>37100.631169120483</v>
      </c>
      <c r="AI644" s="18">
        <f>IF($A644&gt;'1-Input'!$B$26,AG644,AG644-MIN(MAX(AG644,0),'P-Parametri'!$B$8*(AG644+AF644)))</f>
        <v>76445.483849272801</v>
      </c>
      <c r="AJ644" s="18">
        <f>IF($A644&gt;'1-Input'!$B$26,AJ643,AJ643-AE644*(1-AD644))</f>
        <v>29583.441843857268</v>
      </c>
      <c r="AK644" s="11">
        <f>IF($A644&gt;'1-Input'!$B$26,0,IF(AP643&lt;=0,0,MAX(0,(AP643-AQ643)/AP643)))</f>
        <v>0.60258593904642299</v>
      </c>
      <c r="AL644" s="18">
        <f>IF($A644&gt;'1-Input'!$B$26,0,(MAX(0,AK616-IF($A644&gt;='1-Input'!$C$12,'1-Input'!$B$13,0))-MIN(MAX(AO643,0),MAX(0,AK616-IF($A644&gt;='1-Input'!$C$12,'1-Input'!$B$13,0))))*(1/(1-'P-Parametri'!$B$6*AK644))+MIN(MAX(0,AP643-(MAX(0,AK616-IF($A644&gt;='1-Input'!$C$12,'1-Input'!$B$13,0))-MIN(MAX(AO643,0),MAX(0,AK616-IF($A644&gt;='1-Input'!$C$12,'1-Input'!$B$13,0))))*(1/(1-'P-Parametri'!$B$6*AK644))),MAX(0,2*AK616-(AO643-MIN(MAX(AO643,0),MAX(0,AK616-IF($A644&gt;='1-Input'!$C$12,'1-Input'!$B$13,0)))))*(1/(1-'P-Parametri'!$B$6*AK644))))</f>
        <v>6896.8846713172661</v>
      </c>
      <c r="AM644" s="18">
        <f>IF($A644&gt;'1-Input'!$B$26,AO643,(AO643-MAX(0,AK616-IF($A644&gt;='1-Input'!$C$12,'1-Input'!$B$13,0))+AL644*(1-'P-Parametri'!$B$6*AK644))*(1+'1-Input'!$B$27))</f>
        <v>37100.533720449668</v>
      </c>
      <c r="AN644" s="18">
        <f>IF($A644&gt;'1-Input'!$B$26,AP643,(AP643-AL644)*(1+'5-Roberta'!$C$4))</f>
        <v>76675.365321248697</v>
      </c>
      <c r="AO644" s="18">
        <f>IF($A644&gt;'1-Input'!$B$26,AM644,AM644-'P-Parametri'!$B$8*(AN644+AM644)+MIN(MAX(AN644,0),'P-Parametri'!$B$8*(AN644+AM644)))</f>
        <v>37100.533720449668</v>
      </c>
      <c r="AP644" s="18">
        <f>IF($A644&gt;'1-Input'!$B$26,AN644,AN644-MIN(MAX(AN644,0),'P-Parametri'!$B$8*(AN644+AM644)))</f>
        <v>76447.8135231653</v>
      </c>
      <c r="AQ644" s="18">
        <f>IF($A644&gt;'1-Input'!$B$26,AQ643,AQ643-AL644*(1-AK644))</f>
        <v>29584.338162540302</v>
      </c>
    </row>
    <row r="645" spans="1:43">
      <c r="A645" s="10">
        <f>27</f>
        <v>27</v>
      </c>
      <c r="B645" s="11">
        <f>IF($A645&gt;'1-Input'!$B$26,0,IF(G644&lt;=0,0,MAX(0,(G644-H644)/G644)))</f>
        <v>0.61459631558028394</v>
      </c>
      <c r="C645" s="18">
        <f>IF($A645&gt;'1-Input'!$B$26,0,(MAX(0,B616-IF($A645&gt;='1-Input'!$C$12,'1-Input'!$B$13,0))-MIN(MAX(F644,0),MAX(0,B616-IF($A645&gt;='1-Input'!$C$12,'1-Input'!$B$13,0))))*(1/(1-'P-Parametri'!$B$6*B645))+MIN(MAX(0,G644-(MAX(0,B616-IF($A645&gt;='1-Input'!$C$12,'1-Input'!$B$13,0))-MIN(MAX(F644,0),MAX(0,B616-IF($A645&gt;='1-Input'!$C$12,'1-Input'!$B$13,0))))*(1/(1-'P-Parametri'!$B$6*B645))),MAX(0,2*B616-(F644-MIN(MAX(F644,0),MAX(0,B616-IF($A645&gt;='1-Input'!$C$12,'1-Input'!$B$13,0)))))*(1/(1-'P-Parametri'!$B$6*B645))))</f>
        <v>4601.4473924649237</v>
      </c>
      <c r="D645" s="18">
        <f>IF($A645&gt;'1-Input'!$B$26,F644,(F644-MAX(0,B616-IF($A645&gt;='1-Input'!$C$12,'1-Input'!$B$13,0))+C645*(1-'P-Parametri'!$B$6*B645))*(1+'1-Input'!$B$27))</f>
        <v>33242.0070309863</v>
      </c>
      <c r="E645" s="18">
        <f>IF($A645&gt;'1-Input'!$B$26,G644,(G644-C645)*(1+'5-Roberta'!$C$4))</f>
        <v>169035.73414180713</v>
      </c>
      <c r="F645" s="18">
        <f>IF($A645&gt;'1-Input'!$B$26,D645,D645-'P-Parametri'!$B$8*(E645+D645)+MIN(MAX(E645,0),'P-Parametri'!$B$8*(E645+D645)))</f>
        <v>33242.0070309863</v>
      </c>
      <c r="G645" s="18">
        <f>IF($A645&gt;'1-Input'!$B$26,E645,E645-MIN(MAX(E645,0),'P-Parametri'!$B$8*(E645+D645)))</f>
        <v>168631.17865946156</v>
      </c>
      <c r="H645" s="18">
        <f>IF($A645&gt;'1-Input'!$B$26,H644,H644-C645*(1-B645))</f>
        <v>63249.509453246676</v>
      </c>
      <c r="I645" s="11">
        <f>IF($A645&gt;'1-Input'!$B$26,0,IF(N644&lt;=0,0,MAX(0,(N644-O644)/N644)))</f>
        <v>0</v>
      </c>
      <c r="J645" s="18">
        <f>IF($A645&gt;'1-Input'!$B$26,0,(MAX(0,I616-IF($A645&gt;='1-Input'!$C$12,'1-Input'!$B$13,0))-MIN(MAX(M644,0),MAX(0,I616-IF($A645&gt;='1-Input'!$C$12,'1-Input'!$B$13,0))))*(1/(1-'P-Parametri'!$B$6*I645))+MIN(MAX(0,N644-(MAX(0,I616-IF($A645&gt;='1-Input'!$C$12,'1-Input'!$B$13,0))-MIN(MAX(M644,0),MAX(0,I616-IF($A645&gt;='1-Input'!$C$12,'1-Input'!$B$13,0))))*(1/(1-'P-Parametri'!$B$6*I645))),MAX(0,2*I616-(M644-MIN(MAX(M644,0),MAX(0,I616-IF($A645&gt;='1-Input'!$C$12,'1-Input'!$B$13,0)))))*(1/(1-'P-Parametri'!$B$6*I645))))</f>
        <v>9013.756992928691</v>
      </c>
      <c r="K645" s="18">
        <f>IF($A645&gt;'1-Input'!$B$26,M644,(M644-MAX(0,I616-IF($A645&gt;='1-Input'!$C$12,'1-Input'!$B$13,0))+J645*(1-'P-Parametri'!$B$6*I645))*(1+'1-Input'!$B$27))</f>
        <v>0</v>
      </c>
      <c r="L645" s="18">
        <f>IF($A645&gt;'1-Input'!$B$26,N644,(N644-J645)*(1+'5-Roberta'!$C$4))</f>
        <v>-29237.059966732177</v>
      </c>
      <c r="M645" s="18">
        <f>IF($A645&gt;'1-Input'!$B$26,K645,K645-'P-Parametri'!$B$8*(L645+K645)+MIN(MAX(L645,0),'P-Parametri'!$B$8*(L645+K645)))</f>
        <v>0</v>
      </c>
      <c r="N645" s="18">
        <f>IF($A645&gt;'1-Input'!$B$26,L645,L645-MIN(MAX(L645,0),'P-Parametri'!$B$8*(L645+K645)))</f>
        <v>-29178.585846798713</v>
      </c>
      <c r="O645" s="18">
        <f>IF($A645&gt;'1-Input'!$B$26,O644,O644-J645*(1-I645))</f>
        <v>-27576.773830843958</v>
      </c>
      <c r="P645" s="11">
        <f>IF($A645&gt;'1-Input'!$B$26,0,IF(U644&lt;=0,0,MAX(0,(U644-V644)/U644)))</f>
        <v>0.61247272432667033</v>
      </c>
      <c r="Q645" s="18">
        <f>IF($A645&gt;'1-Input'!$B$26,0,(MAX(0,P616-IF($A645&gt;='1-Input'!$C$12,'1-Input'!$B$13,0))-MIN(MAX(T644,0),MAX(0,P616-IF($A645&gt;='1-Input'!$C$12,'1-Input'!$B$13,0))))*(1/(1-'P-Parametri'!$B$6*P645))+MIN(MAX(0,U644-(MAX(0,P616-IF($A645&gt;='1-Input'!$C$12,'1-Input'!$B$13,0))-MIN(MAX(T644,0),MAX(0,P616-IF($A645&gt;='1-Input'!$C$12,'1-Input'!$B$13,0))))*(1/(1-'P-Parametri'!$B$6*P645))),MAX(0,2*P616-(T644-MIN(MAX(T644,0),MAX(0,P616-IF($A645&gt;='1-Input'!$C$12,'1-Input'!$B$13,0)))))*(1/(1-'P-Parametri'!$B$6*P645))))</f>
        <v>7314.9879463852267</v>
      </c>
      <c r="R645" s="18">
        <f>IF($A645&gt;'1-Input'!$B$26,T644,(T644-MAX(0,P616-IF($A645&gt;='1-Input'!$C$12,'1-Input'!$B$13,0))+Q645*(1-'P-Parametri'!$B$6*P645))*(1+'1-Input'!$B$27))</f>
        <v>37760.964119681914</v>
      </c>
      <c r="S645" s="18">
        <f>IF($A645&gt;'1-Input'!$B$26,U644,(U644-Q645)*(1+'5-Roberta'!$C$4))</f>
        <v>54945.439675915812</v>
      </c>
      <c r="T645" s="18">
        <f>IF($A645&gt;'1-Input'!$B$26,R645,R645-'P-Parametri'!$B$8*(S645+R645)+MIN(MAX(S645,0),'P-Parametri'!$B$8*(S645+R645)))</f>
        <v>37760.964119681914</v>
      </c>
      <c r="U645" s="18">
        <f>IF($A645&gt;'1-Input'!$B$26,S645,S645-MIN(MAX(S645,0),'P-Parametri'!$B$8*(S645+R645)))</f>
        <v>54760.026868324618</v>
      </c>
      <c r="V645" s="18">
        <f>IF($A645&gt;'1-Input'!$B$26,V644,V644-Q645*(1-P645))</f>
        <v>20672.67626046692</v>
      </c>
      <c r="W645" s="11">
        <f>IF($A645&gt;'1-Input'!$B$26,0,IF(AB644&lt;=0,0,MAX(0,(AB644-AC644)/AB644)))</f>
        <v>0.61297713883254057</v>
      </c>
      <c r="X645" s="18">
        <f>IF($A645&gt;'1-Input'!$B$26,0,(MAX(0,W616-IF($A645&gt;='1-Input'!$C$12,'1-Input'!$B$13,0))-MIN(MAX(AA644,0),MAX(0,W616-IF($A645&gt;='1-Input'!$C$12,'1-Input'!$B$13,0))))*(1/(1-'P-Parametri'!$B$6*W645))+MIN(MAX(0,AB644-(MAX(0,W616-IF($A645&gt;='1-Input'!$C$12,'1-Input'!$B$13,0))-MIN(MAX(AA644,0),MAX(0,W616-IF($A645&gt;='1-Input'!$C$12,'1-Input'!$B$13,0))))*(1/(1-'P-Parametri'!$B$6*W645))),MAX(0,2*W616-(AA644-MIN(MAX(AA644,0),MAX(0,W616-IF($A645&gt;='1-Input'!$C$12,'1-Input'!$B$13,0)))))*(1/(1-'P-Parametri'!$B$6*W645))))</f>
        <v>6949.1007383062415</v>
      </c>
      <c r="Y645" s="18">
        <f>IF($A645&gt;'1-Input'!$B$26,AA644,(AA644-MAX(0,W616-IF($A645&gt;='1-Input'!$C$12,'1-Input'!$B$13,0))+X645*(1-'P-Parametri'!$B$6*W645))*(1+'1-Input'!$B$27))</f>
        <v>37150.513557777522</v>
      </c>
      <c r="Z645" s="18">
        <f>IF($A645&gt;'1-Input'!$B$26,AB644,(AB644-X645)*(1+'5-Roberta'!$C$4))</f>
        <v>70352.981990635308</v>
      </c>
      <c r="AA645" s="18">
        <f>IF($A645&gt;'1-Input'!$B$26,Y645,Y645-'P-Parametri'!$B$8*(Z645+Y645)+MIN(MAX(Z645,0),'P-Parametri'!$B$8*(Z645+Y645)))</f>
        <v>37150.513557777522</v>
      </c>
      <c r="AB645" s="18">
        <f>IF($A645&gt;'1-Input'!$B$26,Z645,Z645-MIN(MAX(Z645,0),'P-Parametri'!$B$8*(Z645+Y645)))</f>
        <v>70137.974999538477</v>
      </c>
      <c r="AC645" s="18">
        <f>IF($A645&gt;'1-Input'!$B$26,AC644,AC644-X645*(1-W645))</f>
        <v>26435.157652114973</v>
      </c>
      <c r="AD645" s="11">
        <f>IF($A645&gt;'1-Input'!$B$26,0,IF(AI644&lt;=0,0,MAX(0,(AI644-AJ644)/AI644)))</f>
        <v>0.61301256327729181</v>
      </c>
      <c r="AE645" s="18">
        <f>IF($A645&gt;'1-Input'!$B$26,0,(MAX(0,AD616-IF($A645&gt;='1-Input'!$C$12,'1-Input'!$B$13,0))-MIN(MAX(AH644,0),MAX(0,AD616-IF($A645&gt;='1-Input'!$C$12,'1-Input'!$B$13,0))))*(1/(1-'P-Parametri'!$B$6*AD645))+MIN(MAX(0,AI644-(MAX(0,AD616-IF($A645&gt;='1-Input'!$C$12,'1-Input'!$B$13,0))-MIN(MAX(AH644,0),MAX(0,AD616-IF($A645&gt;='1-Input'!$C$12,'1-Input'!$B$13,0))))*(1/(1-'P-Parametri'!$B$6*AD645))),MAX(0,2*AD616-(AH644-MIN(MAX(AH644,0),MAX(0,AD616-IF($A645&gt;='1-Input'!$C$12,'1-Input'!$B$13,0)))))*(1/(1-'P-Parametri'!$B$6*AD645))))</f>
        <v>6919.185168282801</v>
      </c>
      <c r="AF645" s="18">
        <f>IF($A645&gt;'1-Input'!$B$26,AH644,(AH644-MAX(0,AD616-IF($A645&gt;='1-Input'!$C$12,'1-Input'!$B$13,0))+AE645*(1-'P-Parametri'!$B$6*AD645))*(1+'1-Input'!$B$27))</f>
        <v>37100.631169120483</v>
      </c>
      <c r="AG645" s="18">
        <f>IF($A645&gt;'1-Input'!$B$26,AI644,(AI644-AE645)*(1+'5-Roberta'!$C$4))</f>
        <v>71612.087641419712</v>
      </c>
      <c r="AH645" s="18">
        <f>IF($A645&gt;'1-Input'!$B$26,AF645,AF645-'P-Parametri'!$B$8*(AG645+AF645)+MIN(MAX(AG645,0),'P-Parametri'!$B$8*(AG645+AF645)))</f>
        <v>37100.631169120483</v>
      </c>
      <c r="AI645" s="18">
        <f>IF($A645&gt;'1-Input'!$B$26,AG645,AG645-MIN(MAX(AG645,0),'P-Parametri'!$B$8*(AG645+AF645)))</f>
        <v>71394.662203798638</v>
      </c>
      <c r="AJ645" s="18">
        <f>IF($A645&gt;'1-Input'!$B$26,AJ644,AJ644-AE645*(1-AD645))</f>
        <v>26905.804111373727</v>
      </c>
      <c r="AK645" s="11">
        <f>IF($A645&gt;'1-Input'!$B$26,0,IF(AP644&lt;=0,0,MAX(0,(AP644-AQ644)/AP644)))</f>
        <v>0.61301263176643217</v>
      </c>
      <c r="AL645" s="18">
        <f>IF($A645&gt;'1-Input'!$B$26,0,(MAX(0,AK616-IF($A645&gt;='1-Input'!$C$12,'1-Input'!$B$13,0))-MIN(MAX(AO644,0),MAX(0,AK616-IF($A645&gt;='1-Input'!$C$12,'1-Input'!$B$13,0))))*(1/(1-'P-Parametri'!$B$6*AK645))+MIN(MAX(0,AP644-(MAX(0,AK616-IF($A645&gt;='1-Input'!$C$12,'1-Input'!$B$13,0))-MIN(MAX(AO644,0),MAX(0,AK616-IF($A645&gt;='1-Input'!$C$12,'1-Input'!$B$13,0))))*(1/(1-'P-Parametri'!$B$6*AK645))),MAX(0,2*AK616-(AO644-MIN(MAX(AO644,0),MAX(0,AK616-IF($A645&gt;='1-Input'!$C$12,'1-Input'!$B$13,0)))))*(1/(1-'P-Parametri'!$B$6*AK645))))</f>
        <v>6919.1267239913532</v>
      </c>
      <c r="AM645" s="18">
        <f>IF($A645&gt;'1-Input'!$B$26,AO644,(AO644-MAX(0,AK616-IF($A645&gt;='1-Input'!$C$12,'1-Input'!$B$13,0))+AL645*(1-'P-Parametri'!$B$6*AK645))*(1+'1-Input'!$B$27))</f>
        <v>37100.533720449668</v>
      </c>
      <c r="AN645" s="18">
        <f>IF($A645&gt;'1-Input'!$B$26,AP644,(AP644-AL645)*(1+'5-Roberta'!$C$4))</f>
        <v>71614.547403149161</v>
      </c>
      <c r="AO645" s="18">
        <f>IF($A645&gt;'1-Input'!$B$26,AM645,AM645-'P-Parametri'!$B$8*(AN645+AM645)+MIN(MAX(AN645,0),'P-Parametri'!$B$8*(AN645+AM645)))</f>
        <v>37100.533720449668</v>
      </c>
      <c r="AP645" s="18">
        <f>IF($A645&gt;'1-Input'!$B$26,AN645,AN645-MIN(MAX(AN645,0),'P-Parametri'!$B$8*(AN645+AM645)))</f>
        <v>71397.117240901964</v>
      </c>
      <c r="AQ645" s="18">
        <f>IF($A645&gt;'1-Input'!$B$26,AQ644,AQ644-AL645*(1-AK645))</f>
        <v>26906.723521148342</v>
      </c>
    </row>
    <row r="646" spans="1:43">
      <c r="A646" s="10">
        <f>28</f>
        <v>28</v>
      </c>
      <c r="B646" s="11">
        <f>IF($A646&gt;'1-Input'!$B$26,0,IF(G645&lt;=0,0,MAX(0,(G645-H645)/G645)))</f>
        <v>0.62492399118567232</v>
      </c>
      <c r="C646" s="18">
        <f>IF($A646&gt;'1-Input'!$B$26,0,(MAX(0,B616-IF($A646&gt;='1-Input'!$C$12,'1-Input'!$B$13,0))-MIN(MAX(F645,0),MAX(0,B616-IF($A646&gt;='1-Input'!$C$12,'1-Input'!$B$13,0))))*(1/(1-'P-Parametri'!$B$6*B646))+MIN(MAX(0,G645-(MAX(0,B616-IF($A646&gt;='1-Input'!$C$12,'1-Input'!$B$13,0))-MIN(MAX(F645,0),MAX(0,B616-IF($A646&gt;='1-Input'!$C$12,'1-Input'!$B$13,0))))*(1/(1-'P-Parametri'!$B$6*B646))),MAX(0,2*B616-(F645-MIN(MAX(F645,0),MAX(0,B616-IF($A646&gt;='1-Input'!$C$12,'1-Input'!$B$13,0)))))*(1/(1-'P-Parametri'!$B$6*B646))))</f>
        <v>4616.2002223231666</v>
      </c>
      <c r="D646" s="18">
        <f>IF($A646&gt;'1-Input'!$B$26,F645,(F645-MAX(0,B616-IF($A646&gt;='1-Input'!$C$12,'1-Input'!$B$13,0))+C646*(1-'P-Parametri'!$B$6*B646))*(1+'1-Input'!$B$27))</f>
        <v>33242.0070309863</v>
      </c>
      <c r="E646" s="18">
        <f>IF($A646&gt;'1-Input'!$B$26,G645,(G645-C646)*(1+'5-Roberta'!$C$4))</f>
        <v>168935.42779025255</v>
      </c>
      <c r="F646" s="18">
        <f>IF($A646&gt;'1-Input'!$B$26,D646,D646-'P-Parametri'!$B$8*(E646+D646)+MIN(MAX(E646,0),'P-Parametri'!$B$8*(E646+D646)))</f>
        <v>33242.0070309863</v>
      </c>
      <c r="G646" s="18">
        <f>IF($A646&gt;'1-Input'!$B$26,E646,E646-MIN(MAX(E646,0),'P-Parametri'!$B$8*(E646+D646)))</f>
        <v>168531.07292061008</v>
      </c>
      <c r="H646" s="18">
        <f>IF($A646&gt;'1-Input'!$B$26,H645,H645-C646*(1-B646))</f>
        <v>61518.083497969892</v>
      </c>
      <c r="I646" s="11">
        <f>IF($A646&gt;'1-Input'!$B$26,0,IF(N645&lt;=0,0,MAX(0,(N645-O645)/N645)))</f>
        <v>0</v>
      </c>
      <c r="J646" s="18">
        <f>IF($A646&gt;'1-Input'!$B$26,0,(MAX(0,I616-IF($A646&gt;='1-Input'!$C$12,'1-Input'!$B$13,0))-MIN(MAX(M645,0),MAX(0,I616-IF($A646&gt;='1-Input'!$C$12,'1-Input'!$B$13,0))))*(1/(1-'P-Parametri'!$B$6*I646))+MIN(MAX(0,N645-(MAX(0,I616-IF($A646&gt;='1-Input'!$C$12,'1-Input'!$B$13,0))-MIN(MAX(M645,0),MAX(0,I616-IF($A646&gt;='1-Input'!$C$12,'1-Input'!$B$13,0))))*(1/(1-'P-Parametri'!$B$6*I646))),MAX(0,2*I616-(M645-MIN(MAX(M645,0),MAX(0,I616-IF($A646&gt;='1-Input'!$C$12,'1-Input'!$B$13,0)))))*(1/(1-'P-Parametri'!$B$6*I646))))</f>
        <v>9013.756992928691</v>
      </c>
      <c r="K646" s="18">
        <f>IF($A646&gt;'1-Input'!$B$26,M645,(M645-MAX(0,I616-IF($A646&gt;='1-Input'!$C$12,'1-Input'!$B$13,0))+J646*(1-'P-Parametri'!$B$6*I646))*(1+'1-Input'!$B$27))</f>
        <v>0</v>
      </c>
      <c r="L646" s="18">
        <f>IF($A646&gt;'1-Input'!$B$26,N645,(N645-J646)*(1+'5-Roberta'!$C$4))</f>
        <v>-39338.113124919226</v>
      </c>
      <c r="M646" s="18">
        <f>IF($A646&gt;'1-Input'!$B$26,K646,K646-'P-Parametri'!$B$8*(L646+K646)+MIN(MAX(L646,0),'P-Parametri'!$B$8*(L646+K646)))</f>
        <v>0</v>
      </c>
      <c r="N646" s="18">
        <f>IF($A646&gt;'1-Input'!$B$26,L646,L646-MIN(MAX(L646,0),'P-Parametri'!$B$8*(L646+K646)))</f>
        <v>-39259.436898669388</v>
      </c>
      <c r="O646" s="18">
        <f>IF($A646&gt;'1-Input'!$B$26,O645,O645-J646*(1-I646))</f>
        <v>-36590.530823772649</v>
      </c>
      <c r="P646" s="11">
        <f>IF($A646&gt;'1-Input'!$B$26,0,IF(U645&lt;=0,0,MAX(0,(U645-V645)/U645)))</f>
        <v>0.6224860095453163</v>
      </c>
      <c r="Q646" s="18">
        <f>IF($A646&gt;'1-Input'!$B$26,0,(MAX(0,P616-IF($A646&gt;='1-Input'!$C$12,'1-Input'!$B$13,0))-MIN(MAX(T645,0),MAX(0,P616-IF($A646&gt;='1-Input'!$C$12,'1-Input'!$B$13,0))))*(1/(1-'P-Parametri'!$B$6*P646))+MIN(MAX(0,U645-(MAX(0,P616-IF($A646&gt;='1-Input'!$C$12,'1-Input'!$B$13,0))-MIN(MAX(T645,0),MAX(0,P616-IF($A646&gt;='1-Input'!$C$12,'1-Input'!$B$13,0))))*(1/(1-'P-Parametri'!$B$6*P646))),MAX(0,2*P616-(T645-MIN(MAX(T645,0),MAX(0,P616-IF($A646&gt;='1-Input'!$C$12,'1-Input'!$B$13,0)))))*(1/(1-'P-Parametri'!$B$6*P646))))</f>
        <v>7337.7095989842655</v>
      </c>
      <c r="R646" s="18">
        <f>IF($A646&gt;'1-Input'!$B$26,T645,(T645-MAX(0,P616-IF($A646&gt;='1-Input'!$C$12,'1-Input'!$B$13,0))+Q646*(1-'P-Parametri'!$B$6*P646))*(1+'1-Input'!$B$27))</f>
        <v>37760.964119681914</v>
      </c>
      <c r="S646" s="18">
        <f>IF($A646&gt;'1-Input'!$B$26,U645,(U645-Q646)*(1+'5-Roberta'!$C$4))</f>
        <v>48844.986787420567</v>
      </c>
      <c r="T646" s="18">
        <f>IF($A646&gt;'1-Input'!$B$26,R646,R646-'P-Parametri'!$B$8*(S646+R646)+MIN(MAX(S646,0),'P-Parametri'!$B$8*(S646+R646)))</f>
        <v>37760.964119681914</v>
      </c>
      <c r="U646" s="18">
        <f>IF($A646&gt;'1-Input'!$B$26,S646,S646-MIN(MAX(S646,0),'P-Parametri'!$B$8*(S646+R646)))</f>
        <v>48671.774885606363</v>
      </c>
      <c r="V646" s="18">
        <f>IF($A646&gt;'1-Input'!$B$26,V645,V645-Q646*(1-P646))</f>
        <v>17902.588228956734</v>
      </c>
      <c r="W646" s="11">
        <f>IF($A646&gt;'1-Input'!$B$26,0,IF(AB645&lt;=0,0,MAX(0,(AB645-AC645)/AB645)))</f>
        <v>0.62309779185542613</v>
      </c>
      <c r="X646" s="18">
        <f>IF($A646&gt;'1-Input'!$B$26,0,(MAX(0,W616-IF($A646&gt;='1-Input'!$C$12,'1-Input'!$B$13,0))-MIN(MAX(AA645,0),MAX(0,W616-IF($A646&gt;='1-Input'!$C$12,'1-Input'!$B$13,0))))*(1/(1-'P-Parametri'!$B$6*W646))+MIN(MAX(0,AB645-(MAX(0,W616-IF($A646&gt;='1-Input'!$C$12,'1-Input'!$B$13,0))-MIN(MAX(AA645,0),MAX(0,W616-IF($A646&gt;='1-Input'!$C$12,'1-Input'!$B$13,0))))*(1/(1-'P-Parametri'!$B$6*W646))),MAX(0,2*W616-(AA645-MIN(MAX(AA645,0),MAX(0,W616-IF($A646&gt;='1-Input'!$C$12,'1-Input'!$B$13,0)))))*(1/(1-'P-Parametri'!$B$6*W646))))</f>
        <v>6970.9214687585354</v>
      </c>
      <c r="Y646" s="18">
        <f>IF($A646&gt;'1-Input'!$B$26,AA645,(AA645-MAX(0,W616-IF($A646&gt;='1-Input'!$C$12,'1-Input'!$B$13,0))+X646*(1-'P-Parametri'!$B$6*W646))*(1+'1-Input'!$B$27))</f>
        <v>37150.513557777522</v>
      </c>
      <c r="Z646" s="18">
        <f>IF($A646&gt;'1-Input'!$B$26,AB645,(AB645-X646)*(1+'5-Roberta'!$C$4))</f>
        <v>65062.065136703342</v>
      </c>
      <c r="AA646" s="18">
        <f>IF($A646&gt;'1-Input'!$B$26,Y646,Y646-'P-Parametri'!$B$8*(Z646+Y646)+MIN(MAX(Z646,0),'P-Parametri'!$B$8*(Z646+Y646)))</f>
        <v>37150.513557777522</v>
      </c>
      <c r="AB646" s="18">
        <f>IF($A646&gt;'1-Input'!$B$26,Z646,Z646-MIN(MAX(Z646,0),'P-Parametri'!$B$8*(Z646+Y646)))</f>
        <v>64857.639979314379</v>
      </c>
      <c r="AC646" s="18">
        <f>IF($A646&gt;'1-Input'!$B$26,AC645,AC645-X646*(1-W646))</f>
        <v>23807.801957737465</v>
      </c>
      <c r="AD646" s="11">
        <f>IF($A646&gt;'1-Input'!$B$26,0,IF(AI645&lt;=0,0,MAX(0,(AI645-AJ645)/AI645)))</f>
        <v>0.62313983593661193</v>
      </c>
      <c r="AE646" s="18">
        <f>IF($A646&gt;'1-Input'!$B$26,0,(MAX(0,AD616-IF($A646&gt;='1-Input'!$C$12,'1-Input'!$B$13,0))-MIN(MAX(AH645,0),MAX(0,AD616-IF($A646&gt;='1-Input'!$C$12,'1-Input'!$B$13,0))))*(1/(1-'P-Parametri'!$B$6*AD646))+MIN(MAX(0,AI645-(MAX(0,AD616-IF($A646&gt;='1-Input'!$C$12,'1-Input'!$B$13,0))-MIN(MAX(AH645,0),MAX(0,AD616-IF($A646&gt;='1-Input'!$C$12,'1-Input'!$B$13,0))))*(1/(1-'P-Parametri'!$B$6*AD646))),MAX(0,2*AD616-(AH645-MIN(MAX(AH645,0),MAX(0,AD616-IF($A646&gt;='1-Input'!$C$12,'1-Input'!$B$13,0)))))*(1/(1-'P-Parametri'!$B$6*AD646))))</f>
        <v>6940.92645595868</v>
      </c>
      <c r="AF646" s="18">
        <f>IF($A646&gt;'1-Input'!$B$26,AH645,(AH645-MAX(0,AD616-IF($A646&gt;='1-Input'!$C$12,'1-Input'!$B$13,0))+AE646*(1-'P-Parametri'!$B$6*AD646))*(1+'1-Input'!$B$27))</f>
        <v>37100.631169120483</v>
      </c>
      <c r="AG646" s="18">
        <f>IF($A646&gt;'1-Input'!$B$26,AI645,(AI645-AE646)*(1+'5-Roberta'!$C$4))</f>
        <v>66387.347820275158</v>
      </c>
      <c r="AH646" s="18">
        <f>IF($A646&gt;'1-Input'!$B$26,AF646,AF646-'P-Parametri'!$B$8*(AG646+AF646)+MIN(MAX(AG646,0),'P-Parametri'!$B$8*(AG646+AF646)))</f>
        <v>37100.631169120483</v>
      </c>
      <c r="AI646" s="18">
        <f>IF($A646&gt;'1-Input'!$B$26,AG646,AG646-MIN(MAX(AG646,0),'P-Parametri'!$B$8*(AG646+AF646)))</f>
        <v>66180.371862296364</v>
      </c>
      <c r="AJ646" s="18">
        <f>IF($A646&gt;'1-Input'!$B$26,AJ645,AJ645-AE646*(1-AD646))</f>
        <v>24290.045428429228</v>
      </c>
      <c r="AK646" s="11">
        <f>IF($A646&gt;'1-Input'!$B$26,0,IF(AP645&lt;=0,0,MAX(0,(AP645-AQ645)/AP645)))</f>
        <v>0.62313991711511252</v>
      </c>
      <c r="AL646" s="18">
        <f>IF($A646&gt;'1-Input'!$B$26,0,(MAX(0,AK616-IF($A646&gt;='1-Input'!$C$12,'1-Input'!$B$13,0))-MIN(MAX(AO645,0),MAX(0,AK616-IF($A646&gt;='1-Input'!$C$12,'1-Input'!$B$13,0))))*(1/(1-'P-Parametri'!$B$6*AK646))+MIN(MAX(0,AP645-(MAX(0,AK616-IF($A646&gt;='1-Input'!$C$12,'1-Input'!$B$13,0))-MIN(MAX(AO645,0),MAX(0,AK616-IF($A646&gt;='1-Input'!$C$12,'1-Input'!$B$13,0))))*(1/(1-'P-Parametri'!$B$6*AK646))),MAX(0,2*AK616-(AO645-MIN(MAX(AO645,0),MAX(0,AK616-IF($A646&gt;='1-Input'!$C$12,'1-Input'!$B$13,0)))))*(1/(1-'P-Parametri'!$B$6*AK646))))</f>
        <v>6940.8678558140264</v>
      </c>
      <c r="AM646" s="18">
        <f>IF($A646&gt;'1-Input'!$B$26,AO645,(AO645-MAX(0,AK616-IF($A646&gt;='1-Input'!$C$12,'1-Input'!$B$13,0))+AL646*(1-'P-Parametri'!$B$6*AK646))*(1+'1-Input'!$B$27))</f>
        <v>37100.533720449668</v>
      </c>
      <c r="AN646" s="18">
        <f>IF($A646&gt;'1-Input'!$B$26,AP645,(AP645-AL646)*(1+'5-Roberta'!$C$4))</f>
        <v>66389.936866640579</v>
      </c>
      <c r="AO646" s="18">
        <f>IF($A646&gt;'1-Input'!$B$26,AM646,AM646-'P-Parametri'!$B$8*(AN646+AM646)+MIN(MAX(AN646,0),'P-Parametri'!$B$8*(AN646+AM646)))</f>
        <v>37100.533720449668</v>
      </c>
      <c r="AP646" s="18">
        <f>IF($A646&gt;'1-Input'!$B$26,AN646,AN646-MIN(MAX(AN646,0),'P-Parametri'!$B$8*(AN646+AM646)))</f>
        <v>66182.955925466405</v>
      </c>
      <c r="AQ646" s="18">
        <f>IF($A646&gt;'1-Input'!$B$26,AQ645,AQ645-AL646*(1-AK646))</f>
        <v>24290.987485713216</v>
      </c>
    </row>
    <row r="647" spans="1:43">
      <c r="A647" s="10">
        <f>29</f>
        <v>29</v>
      </c>
      <c r="B647" s="11">
        <f>IF($A647&gt;'1-Input'!$B$26,0,IF(G646&lt;=0,0,MAX(0,(G646-H646)/G646)))</f>
        <v>0.63497483026795176</v>
      </c>
      <c r="C647" s="18">
        <f>IF($A647&gt;'1-Input'!$B$26,0,(MAX(0,B616-IF($A647&gt;='1-Input'!$C$12,'1-Input'!$B$13,0))-MIN(MAX(F646,0),MAX(0,B616-IF($A647&gt;='1-Input'!$C$12,'1-Input'!$B$13,0))))*(1/(1-'P-Parametri'!$B$6*B647))+MIN(MAX(0,G646-(MAX(0,B616-IF($A647&gt;='1-Input'!$C$12,'1-Input'!$B$13,0))-MIN(MAX(F646,0),MAX(0,B616-IF($A647&gt;='1-Input'!$C$12,'1-Input'!$B$13,0))))*(1/(1-'P-Parametri'!$B$6*B647))),MAX(0,2*B616-(F646-MIN(MAX(F646,0),MAX(0,B616-IF($A647&gt;='1-Input'!$C$12,'1-Input'!$B$13,0)))))*(1/(1-'P-Parametri'!$B$6*B647))))</f>
        <v>4630.6487116090721</v>
      </c>
      <c r="D647" s="18">
        <f>IF($A647&gt;'1-Input'!$B$26,F646,(F646-MAX(0,B616-IF($A647&gt;='1-Input'!$C$12,'1-Input'!$B$13,0))+C647*(1-'P-Parametri'!$B$6*B647))*(1+'1-Input'!$B$27))</f>
        <v>33242.0070309863</v>
      </c>
      <c r="E647" s="18">
        <f>IF($A647&gt;'1-Input'!$B$26,G646,(G646-C647)*(1+'5-Roberta'!$C$4))</f>
        <v>168817.43693527105</v>
      </c>
      <c r="F647" s="18">
        <f>IF($A647&gt;'1-Input'!$B$26,D647,D647-'P-Parametri'!$B$8*(E647+D647)+MIN(MAX(E647,0),'P-Parametri'!$B$8*(E647+D647)))</f>
        <v>33242.0070309863</v>
      </c>
      <c r="G647" s="18">
        <f>IF($A647&gt;'1-Input'!$B$26,E647,E647-MIN(MAX(E647,0),'P-Parametri'!$B$8*(E647+D647)))</f>
        <v>168413.31804733854</v>
      </c>
      <c r="H647" s="18">
        <f>IF($A647&gt;'1-Input'!$B$26,H646,H646-C647*(1-B647))</f>
        <v>59827.780166045297</v>
      </c>
      <c r="I647" s="11">
        <f>IF($A647&gt;'1-Input'!$B$26,0,IF(N646&lt;=0,0,MAX(0,(N646-O646)/N646)))</f>
        <v>0</v>
      </c>
      <c r="J647" s="18">
        <f>IF($A647&gt;'1-Input'!$B$26,0,(MAX(0,I616-IF($A647&gt;='1-Input'!$C$12,'1-Input'!$B$13,0))-MIN(MAX(M646,0),MAX(0,I616-IF($A647&gt;='1-Input'!$C$12,'1-Input'!$B$13,0))))*(1/(1-'P-Parametri'!$B$6*I647))+MIN(MAX(0,N646-(MAX(0,I616-IF($A647&gt;='1-Input'!$C$12,'1-Input'!$B$13,0))-MIN(MAX(M646,0),MAX(0,I616-IF($A647&gt;='1-Input'!$C$12,'1-Input'!$B$13,0))))*(1/(1-'P-Parametri'!$B$6*I647))),MAX(0,2*I616-(M646-MIN(MAX(M646,0),MAX(0,I616-IF($A647&gt;='1-Input'!$C$12,'1-Input'!$B$13,0)))))*(1/(1-'P-Parametri'!$B$6*I647))))</f>
        <v>9013.756992928691</v>
      </c>
      <c r="K647" s="18">
        <f>IF($A647&gt;'1-Input'!$B$26,M646,(M646-MAX(0,I616-IF($A647&gt;='1-Input'!$C$12,'1-Input'!$B$13,0))+J647*(1-'P-Parametri'!$B$6*I647))*(1+'1-Input'!$B$27))</f>
        <v>0</v>
      </c>
      <c r="L647" s="18">
        <f>IF($A647&gt;'1-Input'!$B$26,N646,(N646-J647)*(1+'5-Roberta'!$C$4))</f>
        <v>-49721.389708346025</v>
      </c>
      <c r="M647" s="18">
        <f>IF($A647&gt;'1-Input'!$B$26,K647,K647-'P-Parametri'!$B$8*(L647+K647)+MIN(MAX(L647,0),'P-Parametri'!$B$8*(L647+K647)))</f>
        <v>0</v>
      </c>
      <c r="N647" s="18">
        <f>IF($A647&gt;'1-Input'!$B$26,L647,L647-MIN(MAX(L647,0),'P-Parametri'!$B$8*(L647+K647)))</f>
        <v>-49621.946928929334</v>
      </c>
      <c r="O647" s="18">
        <f>IF($A647&gt;'1-Input'!$B$26,O646,O646-J647*(1-I647))</f>
        <v>-45604.28781670134</v>
      </c>
      <c r="P647" s="11">
        <f>IF($A647&gt;'1-Input'!$B$26,0,IF(U646&lt;=0,0,MAX(0,(U646-V646)/U646)))</f>
        <v>0.63217720596725058</v>
      </c>
      <c r="Q647" s="18">
        <f>IF($A647&gt;'1-Input'!$B$26,0,(MAX(0,P616-IF($A647&gt;='1-Input'!$C$12,'1-Input'!$B$13,0))-MIN(MAX(T646,0),MAX(0,P616-IF($A647&gt;='1-Input'!$C$12,'1-Input'!$B$13,0))))*(1/(1-'P-Parametri'!$B$6*P647))+MIN(MAX(0,U646-(MAX(0,P616-IF($A647&gt;='1-Input'!$C$12,'1-Input'!$B$13,0))-MIN(MAX(T646,0),MAX(0,P616-IF($A647&gt;='1-Input'!$C$12,'1-Input'!$B$13,0))))*(1/(1-'P-Parametri'!$B$6*P647))),MAX(0,2*P616-(T646-MIN(MAX(T646,0),MAX(0,P616-IF($A647&gt;='1-Input'!$C$12,'1-Input'!$B$13,0)))))*(1/(1-'P-Parametri'!$B$6*P647))))</f>
        <v>7359.8352062838685</v>
      </c>
      <c r="R647" s="18">
        <f>IF($A647&gt;'1-Input'!$B$26,T646,(T646-MAX(0,P616-IF($A647&gt;='1-Input'!$C$12,'1-Input'!$B$13,0))+Q647*(1-'P-Parametri'!$B$6*P647))*(1+'1-Input'!$B$27))</f>
        <v>37760.964119681914</v>
      </c>
      <c r="S647" s="18">
        <f>IF($A647&gt;'1-Input'!$B$26,U646,(U646-Q647)*(1+'5-Roberta'!$C$4))</f>
        <v>42551.297869702168</v>
      </c>
      <c r="T647" s="18">
        <f>IF($A647&gt;'1-Input'!$B$26,R647,R647-'P-Parametri'!$B$8*(S647+R647)+MIN(MAX(S647,0),'P-Parametri'!$B$8*(S647+R647)))</f>
        <v>37760.964119681914</v>
      </c>
      <c r="U647" s="18">
        <f>IF($A647&gt;'1-Input'!$B$26,S647,S647-MIN(MAX(S647,0),'P-Parametri'!$B$8*(S647+R647)))</f>
        <v>42390.6733457234</v>
      </c>
      <c r="V647" s="18">
        <f>IF($A647&gt;'1-Input'!$B$26,V646,V646-Q647*(1-P647))</f>
        <v>15195.473079760806</v>
      </c>
      <c r="W647" s="11">
        <f>IF($A647&gt;'1-Input'!$B$26,0,IF(AB646&lt;=0,0,MAX(0,(AB646-AC646)/AB646)))</f>
        <v>0.63292216668181733</v>
      </c>
      <c r="X647" s="18">
        <f>IF($A647&gt;'1-Input'!$B$26,0,(MAX(0,W616-IF($A647&gt;='1-Input'!$C$12,'1-Input'!$B$13,0))-MIN(MAX(AA646,0),MAX(0,W616-IF($A647&gt;='1-Input'!$C$12,'1-Input'!$B$13,0))))*(1/(1-'P-Parametri'!$B$6*W647))+MIN(MAX(0,AB646-(MAX(0,W616-IF($A647&gt;='1-Input'!$C$12,'1-Input'!$B$13,0))-MIN(MAX(AA646,0),MAX(0,W616-IF($A647&gt;='1-Input'!$C$12,'1-Input'!$B$13,0))))*(1/(1-'P-Parametri'!$B$6*W647))),MAX(0,2*W616-(AA646-MIN(MAX(AA646,0),MAX(0,W616-IF($A647&gt;='1-Input'!$C$12,'1-Input'!$B$13,0)))))*(1/(1-'P-Parametri'!$B$6*W647))))</f>
        <v>6992.2348853515377</v>
      </c>
      <c r="Y647" s="18">
        <f>IF($A647&gt;'1-Input'!$B$26,AA646,(AA646-MAX(0,W616-IF($A647&gt;='1-Input'!$C$12,'1-Input'!$B$13,0))+X647*(1-'P-Parametri'!$B$6*W647))*(1+'1-Input'!$B$27))</f>
        <v>37150.513557777522</v>
      </c>
      <c r="Z647" s="18">
        <f>IF($A647&gt;'1-Input'!$B$26,AB646,(AB646-X647)*(1+'5-Roberta'!$C$4))</f>
        <v>59601.367246781731</v>
      </c>
      <c r="AA647" s="18">
        <f>IF($A647&gt;'1-Input'!$B$26,Y647,Y647-'P-Parametri'!$B$8*(Z647+Y647)+MIN(MAX(Z647,0),'P-Parametri'!$B$8*(Z647+Y647)))</f>
        <v>37150.513557777522</v>
      </c>
      <c r="AB647" s="18">
        <f>IF($A647&gt;'1-Input'!$B$26,Z647,Z647-MIN(MAX(Z647,0),'P-Parametri'!$B$8*(Z647+Y647)))</f>
        <v>59407.863485172609</v>
      </c>
      <c r="AC647" s="18">
        <f>IF($A647&gt;'1-Input'!$B$26,AC646,AC646-X647*(1-W647))</f>
        <v>21241.107525970812</v>
      </c>
      <c r="AD647" s="11">
        <f>IF($A647&gt;'1-Input'!$B$26,0,IF(AI646&lt;=0,0,MAX(0,(AI646-AJ646)/AI646)))</f>
        <v>0.63297206188308663</v>
      </c>
      <c r="AE647" s="18">
        <f>IF($A647&gt;'1-Input'!$B$26,0,(MAX(0,AD616-IF($A647&gt;='1-Input'!$C$12,'1-Input'!$B$13,0))-MIN(MAX(AH646,0),MAX(0,AD616-IF($A647&gt;='1-Input'!$C$12,'1-Input'!$B$13,0))))*(1/(1-'P-Parametri'!$B$6*AD647))+MIN(MAX(0,AI646-(MAX(0,AD616-IF($A647&gt;='1-Input'!$C$12,'1-Input'!$B$13,0))-MIN(MAX(AH646,0),MAX(0,AD616-IF($A647&gt;='1-Input'!$C$12,'1-Input'!$B$13,0))))*(1/(1-'P-Parametri'!$B$6*AD647))),MAX(0,2*AD616-(AH646-MIN(MAX(AH646,0),MAX(0,AD616-IF($A647&gt;='1-Input'!$C$12,'1-Input'!$B$13,0)))))*(1/(1-'P-Parametri'!$B$6*AD647))))</f>
        <v>6962.1654526214043</v>
      </c>
      <c r="AF647" s="18">
        <f>IF($A647&gt;'1-Input'!$B$26,AH646,(AH646-MAX(0,AD616-IF($A647&gt;='1-Input'!$C$12,'1-Input'!$B$13,0))+AE647*(1-'P-Parametri'!$B$6*AD647))*(1+'1-Input'!$B$27))</f>
        <v>37100.631169120483</v>
      </c>
      <c r="AG647" s="18">
        <f>IF($A647&gt;'1-Input'!$B$26,AI646,(AI646-AE647)*(1+'5-Roberta'!$C$4))</f>
        <v>60994.752601965207</v>
      </c>
      <c r="AH647" s="18">
        <f>IF($A647&gt;'1-Input'!$B$26,AF647,AF647-'P-Parametri'!$B$8*(AG647+AF647)+MIN(MAX(AG647,0),'P-Parametri'!$B$8*(AG647+AF647)))</f>
        <v>37100.631169120483</v>
      </c>
      <c r="AI647" s="18">
        <f>IF($A647&gt;'1-Input'!$B$26,AG647,AG647-MIN(MAX(AG647,0),'P-Parametri'!$B$8*(AG647+AF647)))</f>
        <v>60798.561834423039</v>
      </c>
      <c r="AJ647" s="18">
        <f>IF($A647&gt;'1-Input'!$B$26,AJ646,AJ646-AE647*(1-AD647))</f>
        <v>21734.736197524788</v>
      </c>
      <c r="AK647" s="11">
        <f>IF($A647&gt;'1-Input'!$B$26,0,IF(AP646&lt;=0,0,MAX(0,(AP646-AQ646)/AP646)))</f>
        <v>0.63297215807240281</v>
      </c>
      <c r="AL647" s="18">
        <f>IF($A647&gt;'1-Input'!$B$26,0,(MAX(0,AK616-IF($A647&gt;='1-Input'!$C$12,'1-Input'!$B$13,0))-MIN(MAX(AO646,0),MAX(0,AK616-IF($A647&gt;='1-Input'!$C$12,'1-Input'!$B$13,0))))*(1/(1-'P-Parametri'!$B$6*AK647))+MIN(MAX(0,AP646-(MAX(0,AK616-IF($A647&gt;='1-Input'!$C$12,'1-Input'!$B$13,0))-MIN(MAX(AO646,0),MAX(0,AK616-IF($A647&gt;='1-Input'!$C$12,'1-Input'!$B$13,0))))*(1/(1-'P-Parametri'!$B$6*AK647))),MAX(0,2*AK616-(AO646-MIN(MAX(AO646,0),MAX(0,AK616-IF($A647&gt;='1-Input'!$C$12,'1-Input'!$B$13,0)))))*(1/(1-'P-Parametri'!$B$6*AK647))))</f>
        <v>6962.1067062233305</v>
      </c>
      <c r="AM647" s="18">
        <f>IF($A647&gt;'1-Input'!$B$26,AO646,(AO646-MAX(0,AK616-IF($A647&gt;='1-Input'!$C$12,'1-Input'!$B$13,0))+AL647*(1-'P-Parametri'!$B$6*AK647))*(1+'1-Input'!$B$27))</f>
        <v>37100.533720449668</v>
      </c>
      <c r="AN647" s="18">
        <f>IF($A647&gt;'1-Input'!$B$26,AP646,(AP646-AL647)*(1+'5-Roberta'!$C$4))</f>
        <v>60997.474695820361</v>
      </c>
      <c r="AO647" s="18">
        <f>IF($A647&gt;'1-Input'!$B$26,AM647,AM647-'P-Parametri'!$B$8*(AN647+AM647)+MIN(MAX(AN647,0),'P-Parametri'!$B$8*(AN647+AM647)))</f>
        <v>37100.533720449668</v>
      </c>
      <c r="AP647" s="18">
        <f>IF($A647&gt;'1-Input'!$B$26,AN647,AN647-MIN(MAX(AN647,0),'P-Parametri'!$B$8*(AN647+AM647)))</f>
        <v>60801.278678987823</v>
      </c>
      <c r="AQ647" s="18">
        <f>IF($A647&gt;'1-Input'!$B$26,AQ646,AQ646-AL647*(1-AK647))</f>
        <v>21735.700486058417</v>
      </c>
    </row>
    <row r="648" spans="1:43">
      <c r="A648" s="10">
        <f>30</f>
        <v>30</v>
      </c>
      <c r="B648" s="11">
        <f>IF($A648&gt;'1-Input'!$B$26,0,IF(G647&lt;=0,0,MAX(0,(G647-H647)/G647)))</f>
        <v>0.64475624101635132</v>
      </c>
      <c r="C648" s="18">
        <f>IF($A648&gt;'1-Input'!$B$26,0,(MAX(0,B616-IF($A648&gt;='1-Input'!$C$12,'1-Input'!$B$13,0))-MIN(MAX(F647,0),MAX(0,B616-IF($A648&gt;='1-Input'!$C$12,'1-Input'!$B$13,0))))*(1/(1-'P-Parametri'!$B$6*B648))+MIN(MAX(0,G647-(MAX(0,B616-IF($A648&gt;='1-Input'!$C$12,'1-Input'!$B$13,0))-MIN(MAX(F647,0),MAX(0,B616-IF($A648&gt;='1-Input'!$C$12,'1-Input'!$B$13,0))))*(1/(1-'P-Parametri'!$B$6*B648))),MAX(0,2*B616-(F647-MIN(MAX(F647,0),MAX(0,B616-IF($A648&gt;='1-Input'!$C$12,'1-Input'!$B$13,0)))))*(1/(1-'P-Parametri'!$B$6*B648))))</f>
        <v>4644.7969939114982</v>
      </c>
      <c r="D648" s="18">
        <f>IF($A648&gt;'1-Input'!$B$26,F647,(F647-MAX(0,B616-IF($A648&gt;='1-Input'!$C$12,'1-Input'!$B$13,0))+C648*(1-'P-Parametri'!$B$6*B648))*(1+'1-Input'!$B$27))</f>
        <v>33242.0070309863</v>
      </c>
      <c r="E648" s="18">
        <f>IF($A648&gt;'1-Input'!$B$26,G647,(G647-C648)*(1+'5-Roberta'!$C$4))</f>
        <v>168681.57668502987</v>
      </c>
      <c r="F648" s="18">
        <f>IF($A648&gt;'1-Input'!$B$26,D648,D648-'P-Parametri'!$B$8*(E648+D648)+MIN(MAX(E648,0),'P-Parametri'!$B$8*(E648+D648)))</f>
        <v>33242.0070309863</v>
      </c>
      <c r="G648" s="18">
        <f>IF($A648&gt;'1-Input'!$B$26,E648,E648-MIN(MAX(E648,0),'P-Parametri'!$B$8*(E648+D648)))</f>
        <v>168277.72951759782</v>
      </c>
      <c r="H648" s="18">
        <f>IF($A648&gt;'1-Input'!$B$26,H647,H647-C648*(1-B648))</f>
        <v>58177.745022212228</v>
      </c>
      <c r="I648" s="11">
        <f>IF($A648&gt;'1-Input'!$B$26,0,IF(N647&lt;=0,0,MAX(0,(N647-O647)/N647)))</f>
        <v>0</v>
      </c>
      <c r="J648" s="18">
        <f>IF($A648&gt;'1-Input'!$B$26,0,(MAX(0,I616-IF($A648&gt;='1-Input'!$C$12,'1-Input'!$B$13,0))-MIN(MAX(M647,0),MAX(0,I616-IF($A648&gt;='1-Input'!$C$12,'1-Input'!$B$13,0))))*(1/(1-'P-Parametri'!$B$6*I648))+MIN(MAX(0,N647-(MAX(0,I616-IF($A648&gt;='1-Input'!$C$12,'1-Input'!$B$13,0))-MIN(MAX(M647,0),MAX(0,I616-IF($A648&gt;='1-Input'!$C$12,'1-Input'!$B$13,0))))*(1/(1-'P-Parametri'!$B$6*I648))),MAX(0,2*I616-(M647-MIN(MAX(M647,0),MAX(0,I616-IF($A648&gt;='1-Input'!$C$12,'1-Input'!$B$13,0)))))*(1/(1-'P-Parametri'!$B$6*I648))))</f>
        <v>9013.756992928691</v>
      </c>
      <c r="K648" s="18">
        <f>IF($A648&gt;'1-Input'!$B$26,M647,(M647-MAX(0,I616-IF($A648&gt;='1-Input'!$C$12,'1-Input'!$B$13,0))+J648*(1-'P-Parametri'!$B$6*I648))*(1+'1-Input'!$B$27))</f>
        <v>0</v>
      </c>
      <c r="L648" s="18">
        <f>IF($A648&gt;'1-Input'!$B$26,N647,(N647-J648)*(1+'5-Roberta'!$C$4))</f>
        <v>-60394.77503951377</v>
      </c>
      <c r="M648" s="18">
        <f>IF($A648&gt;'1-Input'!$B$26,K648,K648-'P-Parametri'!$B$8*(L648+K648)+MIN(MAX(L648,0),'P-Parametri'!$B$8*(L648+K648)))</f>
        <v>0</v>
      </c>
      <c r="N648" s="18">
        <f>IF($A648&gt;'1-Input'!$B$26,L648,L648-MIN(MAX(L648,0),'P-Parametri'!$B$8*(L648+K648)))</f>
        <v>-60273.985489434745</v>
      </c>
      <c r="O648" s="18">
        <f>IF($A648&gt;'1-Input'!$B$26,O647,O647-J648*(1-I648))</f>
        <v>-54618.044809630032</v>
      </c>
      <c r="P648" s="11">
        <f>IF($A648&gt;'1-Input'!$B$26,0,IF(U647&lt;=0,0,MAX(0,(U647-V647)/U647)))</f>
        <v>0.64153735054331695</v>
      </c>
      <c r="Q648" s="18">
        <f>IF($A648&gt;'1-Input'!$B$26,0,(MAX(0,P616-IF($A648&gt;='1-Input'!$C$12,'1-Input'!$B$13,0))-MIN(MAX(T647,0),MAX(0,P616-IF($A648&gt;='1-Input'!$C$12,'1-Input'!$B$13,0))))*(1/(1-'P-Parametri'!$B$6*P648))+MIN(MAX(0,U647-(MAX(0,P616-IF($A648&gt;='1-Input'!$C$12,'1-Input'!$B$13,0))-MIN(MAX(T647,0),MAX(0,P616-IF($A648&gt;='1-Input'!$C$12,'1-Input'!$B$13,0))))*(1/(1-'P-Parametri'!$B$6*P648))),MAX(0,2*P616-(T647-MIN(MAX(T647,0),MAX(0,P616-IF($A648&gt;='1-Input'!$C$12,'1-Input'!$B$13,0)))))*(1/(1-'P-Parametri'!$B$6*P648))))</f>
        <v>7381.3320442615804</v>
      </c>
      <c r="R648" s="18">
        <f>IF($A648&gt;'1-Input'!$B$26,T647,(T647-MAX(0,P616-IF($A648&gt;='1-Input'!$C$12,'1-Input'!$B$13,0))+Q648*(1-'P-Parametri'!$B$6*P648))*(1+'1-Input'!$B$27))</f>
        <v>37760.964119681914</v>
      </c>
      <c r="S648" s="18">
        <f>IF($A648&gt;'1-Input'!$B$26,U647,(U647-Q648)*(1+'5-Roberta'!$C$4))</f>
        <v>36059.621540505672</v>
      </c>
      <c r="T648" s="18">
        <f>IF($A648&gt;'1-Input'!$B$26,R648,R648-'P-Parametri'!$B$8*(S648+R648)+MIN(MAX(S648,0),'P-Parametri'!$B$8*(S648+R648)))</f>
        <v>37760.964119681914</v>
      </c>
      <c r="U648" s="18">
        <f>IF($A648&gt;'1-Input'!$B$26,S648,S648-MIN(MAX(S648,0),'P-Parametri'!$B$8*(S648+R648)))</f>
        <v>35911.980369185294</v>
      </c>
      <c r="V648" s="18">
        <f>IF($A648&gt;'1-Input'!$B$26,V647,V647-Q648*(1-P648))</f>
        <v>12549.541238655285</v>
      </c>
      <c r="W648" s="11">
        <f>IF($A648&gt;'1-Input'!$B$26,0,IF(AB647&lt;=0,0,MAX(0,(AB647-AC647)/AB647)))</f>
        <v>0.64245292996823045</v>
      </c>
      <c r="X648" s="18">
        <f>IF($A648&gt;'1-Input'!$B$26,0,(MAX(0,W616-IF($A648&gt;='1-Input'!$C$12,'1-Input'!$B$13,0))-MIN(MAX(AA647,0),MAX(0,W616-IF($A648&gt;='1-Input'!$C$12,'1-Input'!$B$13,0))))*(1/(1-'P-Parametri'!$B$6*W648))+MIN(MAX(0,AB647-(MAX(0,W616-IF($A648&gt;='1-Input'!$C$12,'1-Input'!$B$13,0))-MIN(MAX(AA647,0),MAX(0,W616-IF($A648&gt;='1-Input'!$C$12,'1-Input'!$B$13,0))))*(1/(1-'P-Parametri'!$B$6*W648))),MAX(0,2*W616-(AA647-MIN(MAX(AA647,0),MAX(0,W616-IF($A648&gt;='1-Input'!$C$12,'1-Input'!$B$13,0)))))*(1/(1-'P-Parametri'!$B$6*W648))))</f>
        <v>7013.0362451784185</v>
      </c>
      <c r="Y648" s="18">
        <f>IF($A648&gt;'1-Input'!$B$26,AA647,(AA647-MAX(0,W616-IF($A648&gt;='1-Input'!$C$12,'1-Input'!$B$13,0))+X648*(1-'P-Parametri'!$B$6*W648))*(1+'1-Input'!$B$27))</f>
        <v>37150.513557777522</v>
      </c>
      <c r="Z648" s="18">
        <f>IF($A648&gt;'1-Input'!$B$26,AB647,(AB647-X648)*(1+'5-Roberta'!$C$4))</f>
        <v>53966.672057194017</v>
      </c>
      <c r="AA648" s="18">
        <f>IF($A648&gt;'1-Input'!$B$26,Y648,Y648-'P-Parametri'!$B$8*(Z648+Y648)+MIN(MAX(Z648,0),'P-Parametri'!$B$8*(Z648+Y648)))</f>
        <v>37150.513557777522</v>
      </c>
      <c r="AB648" s="18">
        <f>IF($A648&gt;'1-Input'!$B$26,Z648,Z648-MIN(MAX(Z648,0),'P-Parametri'!$B$8*(Z648+Y648)))</f>
        <v>53784.437685964076</v>
      </c>
      <c r="AC648" s="18">
        <f>IF($A648&gt;'1-Input'!$B$26,AC647,AC647-X648*(1-W648))</f>
        <v>18733.616964480665</v>
      </c>
      <c r="AD648" s="11">
        <f>IF($A648&gt;'1-Input'!$B$26,0,IF(AI647&lt;=0,0,MAX(0,(AI647-AJ647)/AI647)))</f>
        <v>0.6425123301976039</v>
      </c>
      <c r="AE648" s="18">
        <f>IF($A648&gt;'1-Input'!$B$26,0,(MAX(0,AD616-IF($A648&gt;='1-Input'!$C$12,'1-Input'!$B$13,0))-MIN(MAX(AH647,0),MAX(0,AD616-IF($A648&gt;='1-Input'!$C$12,'1-Input'!$B$13,0))))*(1/(1-'P-Parametri'!$B$6*AD648))+MIN(MAX(0,AI647-(MAX(0,AD616-IF($A648&gt;='1-Input'!$C$12,'1-Input'!$B$13,0))-MIN(MAX(AH647,0),MAX(0,AD616-IF($A648&gt;='1-Input'!$C$12,'1-Input'!$B$13,0))))*(1/(1-'P-Parametri'!$B$6*AD648))),MAX(0,2*AD616-(AH647-MIN(MAX(AH647,0),MAX(0,AD616-IF($A648&gt;='1-Input'!$C$12,'1-Input'!$B$13,0)))))*(1/(1-'P-Parametri'!$B$6*AD648))))</f>
        <v>6982.8983985946807</v>
      </c>
      <c r="AF648" s="18">
        <f>IF($A648&gt;'1-Input'!$B$26,AH647,(AH647-MAX(0,AD616-IF($A648&gt;='1-Input'!$C$12,'1-Input'!$B$13,0))+AE648*(1-'P-Parametri'!$B$6*AD648))*(1+'1-Input'!$B$27))</f>
        <v>37100.631169120483</v>
      </c>
      <c r="AG648" s="18">
        <f>IF($A648&gt;'1-Input'!$B$26,AI647,(AI647-AE648)*(1+'5-Roberta'!$C$4))</f>
        <v>55430.133338903208</v>
      </c>
      <c r="AH648" s="18">
        <f>IF($A648&gt;'1-Input'!$B$26,AF648,AF648-'P-Parametri'!$B$8*(AG648+AF648)+MIN(MAX(AG648,0),'P-Parametri'!$B$8*(AG648+AF648)))</f>
        <v>37100.631169120483</v>
      </c>
      <c r="AI648" s="18">
        <f>IF($A648&gt;'1-Input'!$B$26,AG648,AG648-MIN(MAX(AG648,0),'P-Parametri'!$B$8*(AG648+AF648)))</f>
        <v>55245.071809887158</v>
      </c>
      <c r="AJ648" s="18">
        <f>IF($A648&gt;'1-Input'!$B$26,AJ647,AJ647-AE648*(1-AD648))</f>
        <v>19238.436120544291</v>
      </c>
      <c r="AK648" s="11">
        <f>IF($A648&gt;'1-Input'!$B$26,0,IF(AP647&lt;=0,0,MAX(0,(AP647-AQ647)/AP647)))</f>
        <v>0.64251244450275002</v>
      </c>
      <c r="AL648" s="18">
        <f>IF($A648&gt;'1-Input'!$B$26,0,(MAX(0,AK616-IF($A648&gt;='1-Input'!$C$12,'1-Input'!$B$13,0))-MIN(MAX(AO647,0),MAX(0,AK616-IF($A648&gt;='1-Input'!$C$12,'1-Input'!$B$13,0))))*(1/(1-'P-Parametri'!$B$6*AK648))+MIN(MAX(0,AP647-(MAX(0,AK616-IF($A648&gt;='1-Input'!$C$12,'1-Input'!$B$13,0))-MIN(MAX(AO647,0),MAX(0,AK616-IF($A648&gt;='1-Input'!$C$12,'1-Input'!$B$13,0))))*(1/(1-'P-Parametri'!$B$6*AK648))),MAX(0,2*AK616-(AO647-MIN(MAX(AO647,0),MAX(0,AK616-IF($A648&gt;='1-Input'!$C$12,'1-Input'!$B$13,0)))))*(1/(1-'P-Parametri'!$B$6*AK648))))</f>
        <v>6982.839517361861</v>
      </c>
      <c r="AM648" s="18">
        <f>IF($A648&gt;'1-Input'!$B$26,AO647,(AO647-MAX(0,AK616-IF($A648&gt;='1-Input'!$C$12,'1-Input'!$B$13,0))+AL648*(1-'P-Parametri'!$B$6*AK648))*(1+'1-Input'!$B$27))</f>
        <v>37100.533720449668</v>
      </c>
      <c r="AN648" s="18">
        <f>IF($A648&gt;'1-Input'!$B$26,AP647,(AP647-AL648)*(1+'5-Roberta'!$C$4))</f>
        <v>55432.992336474737</v>
      </c>
      <c r="AO648" s="18">
        <f>IF($A648&gt;'1-Input'!$B$26,AM648,AM648-'P-Parametri'!$B$8*(AN648+AM648)+MIN(MAX(AN648,0),'P-Parametri'!$B$8*(AN648+AM648)))</f>
        <v>37100.533720449668</v>
      </c>
      <c r="AP648" s="18">
        <f>IF($A648&gt;'1-Input'!$B$26,AN648,AN648-MIN(MAX(AN648,0),'P-Parametri'!$B$8*(AN648+AM648)))</f>
        <v>55247.925284360892</v>
      </c>
      <c r="AQ648" s="18">
        <f>IF($A648&gt;'1-Input'!$B$26,AQ647,AQ647-AL648*(1-AK648))</f>
        <v>19239.42225656713</v>
      </c>
    </row>
    <row r="649" spans="1:43">
      <c r="A649" s="10">
        <f>31</f>
        <v>31</v>
      </c>
      <c r="B649" s="11">
        <f>IF($A649&gt;'1-Input'!$B$26,0,IF(G648&lt;=0,0,MAX(0,(G648-H648)/G648)))</f>
        <v>0.65427543389734033</v>
      </c>
      <c r="C649" s="18">
        <f>IF($A649&gt;'1-Input'!$B$26,0,(MAX(0,B616-IF($A649&gt;='1-Input'!$C$12,'1-Input'!$B$13,0))-MIN(MAX(F648,0),MAX(0,B616-IF($A649&gt;='1-Input'!$C$12,'1-Input'!$B$13,0))))*(1/(1-'P-Parametri'!$B$6*B649))+MIN(MAX(0,G648-(MAX(0,B616-IF($A649&gt;='1-Input'!$C$12,'1-Input'!$B$13,0))-MIN(MAX(F648,0),MAX(0,B616-IF($A649&gt;='1-Input'!$C$12,'1-Input'!$B$13,0))))*(1/(1-'P-Parametri'!$B$6*B649))),MAX(0,2*B616-(F648-MIN(MAX(F648,0),MAX(0,B616-IF($A649&gt;='1-Input'!$C$12,'1-Input'!$B$13,0)))))*(1/(1-'P-Parametri'!$B$6*B649))))</f>
        <v>4658.6492504098342</v>
      </c>
      <c r="D649" s="18">
        <f>IF($A649&gt;'1-Input'!$B$26,F648,(F648-MAX(0,B616-IF($A649&gt;='1-Input'!$C$12,'1-Input'!$B$13,0))+C649*(1-'P-Parametri'!$B$6*B649))*(1+'1-Input'!$B$27))</f>
        <v>33242.0070309863</v>
      </c>
      <c r="E649" s="18">
        <f>IF($A649&gt;'1-Input'!$B$26,G648,(G648-C649)*(1+'5-Roberta'!$C$4))</f>
        <v>168527.65267520363</v>
      </c>
      <c r="F649" s="18">
        <f>IF($A649&gt;'1-Input'!$B$26,D649,D649-'P-Parametri'!$B$8*(E649+D649)+MIN(MAX(E649,0),'P-Parametri'!$B$8*(E649+D649)))</f>
        <v>33242.0070309863</v>
      </c>
      <c r="G649" s="18">
        <f>IF($A649&gt;'1-Input'!$B$26,E649,E649-MIN(MAX(E649,0),'P-Parametri'!$B$8*(E649+D649)))</f>
        <v>168124.11335579125</v>
      </c>
      <c r="H649" s="18">
        <f>IF($A649&gt;'1-Input'!$B$26,H648,H648-C649*(1-B649))</f>
        <v>56567.13553148981</v>
      </c>
      <c r="I649" s="11">
        <f>IF($A649&gt;'1-Input'!$B$26,0,IF(N648&lt;=0,0,MAX(0,(N648-O648)/N648)))</f>
        <v>0</v>
      </c>
      <c r="J649" s="18">
        <f>IF($A649&gt;'1-Input'!$B$26,0,(MAX(0,I616-IF($A649&gt;='1-Input'!$C$12,'1-Input'!$B$13,0))-MIN(MAX(M648,0),MAX(0,I616-IF($A649&gt;='1-Input'!$C$12,'1-Input'!$B$13,0))))*(1/(1-'P-Parametri'!$B$6*I649))+MIN(MAX(0,N648-(MAX(0,I616-IF($A649&gt;='1-Input'!$C$12,'1-Input'!$B$13,0))-MIN(MAX(M648,0),MAX(0,I616-IF($A649&gt;='1-Input'!$C$12,'1-Input'!$B$13,0))))*(1/(1-'P-Parametri'!$B$6*I649))),MAX(0,2*I616-(M648-MIN(MAX(M648,0),MAX(0,I616-IF($A649&gt;='1-Input'!$C$12,'1-Input'!$B$13,0)))))*(1/(1-'P-Parametri'!$B$6*I649))))</f>
        <v>9013.756992928691</v>
      </c>
      <c r="K649" s="18">
        <f>IF($A649&gt;'1-Input'!$B$26,M648,(M648-MAX(0,I616-IF($A649&gt;='1-Input'!$C$12,'1-Input'!$B$13,0))+J649*(1-'P-Parametri'!$B$6*I649))*(1+'1-Input'!$B$27))</f>
        <v>0</v>
      </c>
      <c r="L649" s="18">
        <f>IF($A649&gt;'1-Input'!$B$26,N648,(N648-J649)*(1+'5-Roberta'!$C$4))</f>
        <v>-71366.374756834339</v>
      </c>
      <c r="M649" s="18">
        <f>IF($A649&gt;'1-Input'!$B$26,K649,K649-'P-Parametri'!$B$8*(L649+K649)+MIN(MAX(L649,0),'P-Parametri'!$B$8*(L649+K649)))</f>
        <v>0</v>
      </c>
      <c r="N649" s="18">
        <f>IF($A649&gt;'1-Input'!$B$26,L649,L649-MIN(MAX(L649,0),'P-Parametri'!$B$8*(L649+K649)))</f>
        <v>-71223.642007320668</v>
      </c>
      <c r="O649" s="18">
        <f>IF($A649&gt;'1-Input'!$B$26,O648,O648-J649*(1-I649))</f>
        <v>-63631.801802558723</v>
      </c>
      <c r="P649" s="11">
        <f>IF($A649&gt;'1-Input'!$B$26,0,IF(U648&lt;=0,0,MAX(0,(U648-V648)/U648)))</f>
        <v>0.65054722380546937</v>
      </c>
      <c r="Q649" s="18">
        <f>IF($A649&gt;'1-Input'!$B$26,0,(MAX(0,P616-IF($A649&gt;='1-Input'!$C$12,'1-Input'!$B$13,0))-MIN(MAX(T648,0),MAX(0,P616-IF($A649&gt;='1-Input'!$C$12,'1-Input'!$B$13,0))))*(1/(1-'P-Parametri'!$B$6*P649))+MIN(MAX(0,U648-(MAX(0,P616-IF($A649&gt;='1-Input'!$C$12,'1-Input'!$B$13,0))-MIN(MAX(T648,0),MAX(0,P616-IF($A649&gt;='1-Input'!$C$12,'1-Input'!$B$13,0))))*(1/(1-'P-Parametri'!$B$6*P649))),MAX(0,2*P616-(T648-MIN(MAX(T648,0),MAX(0,P616-IF($A649&gt;='1-Input'!$C$12,'1-Input'!$B$13,0)))))*(1/(1-'P-Parametri'!$B$6*P649))))</f>
        <v>7402.143387484979</v>
      </c>
      <c r="R649" s="18">
        <f>IF($A649&gt;'1-Input'!$B$26,T648,(T648-MAX(0,P616-IF($A649&gt;='1-Input'!$C$12,'1-Input'!$B$13,0))+Q649*(1-'P-Parametri'!$B$6*P649))*(1+'1-Input'!$B$27))</f>
        <v>37760.964119681914</v>
      </c>
      <c r="S649" s="18">
        <f>IF($A649&gt;'1-Input'!$B$26,U648,(U648-Q649)*(1+'5-Roberta'!$C$4))</f>
        <v>29365.132091151325</v>
      </c>
      <c r="T649" s="18">
        <f>IF($A649&gt;'1-Input'!$B$26,R649,R649-'P-Parametri'!$B$8*(S649+R649)+MIN(MAX(S649,0),'P-Parametri'!$B$8*(S649+R649)))</f>
        <v>37760.964119681914</v>
      </c>
      <c r="U649" s="18">
        <f>IF($A649&gt;'1-Input'!$B$26,S649,S649-MIN(MAX(S649,0),'P-Parametri'!$B$8*(S649+R649)))</f>
        <v>29230.879898729658</v>
      </c>
      <c r="V649" s="18">
        <f>IF($A649&gt;'1-Input'!$B$26,V648,V648-Q649*(1-P649))</f>
        <v>9962.8416821086721</v>
      </c>
      <c r="W649" s="11">
        <f>IF($A649&gt;'1-Input'!$B$26,0,IF(AB648&lt;=0,0,MAX(0,(AB648-AC648)/AB648)))</f>
        <v>0.65169075348779737</v>
      </c>
      <c r="X649" s="18">
        <f>IF($A649&gt;'1-Input'!$B$26,0,(MAX(0,W616-IF($A649&gt;='1-Input'!$C$12,'1-Input'!$B$13,0))-MIN(MAX(AA648,0),MAX(0,W616-IF($A649&gt;='1-Input'!$C$12,'1-Input'!$B$13,0))))*(1/(1-'P-Parametri'!$B$6*W649))+MIN(MAX(0,AB648-(MAX(0,W616-IF($A649&gt;='1-Input'!$C$12,'1-Input'!$B$13,0))-MIN(MAX(AA648,0),MAX(0,W616-IF($A649&gt;='1-Input'!$C$12,'1-Input'!$B$13,0))))*(1/(1-'P-Parametri'!$B$6*W649))),MAX(0,2*W616-(AA648-MIN(MAX(AA648,0),MAX(0,W616-IF($A649&gt;='1-Input'!$C$12,'1-Input'!$B$13,0)))))*(1/(1-'P-Parametri'!$B$6*W649))))</f>
        <v>7033.316708370503</v>
      </c>
      <c r="Y649" s="18">
        <f>IF($A649&gt;'1-Input'!$B$26,AA648,(AA648-MAX(0,W616-IF($A649&gt;='1-Input'!$C$12,'1-Input'!$B$13,0))+X649*(1-'P-Parametri'!$B$6*W649))*(1+'1-Input'!$B$27))</f>
        <v>37150.513557777522</v>
      </c>
      <c r="Z649" s="18">
        <f>IF($A649&gt;'1-Input'!$B$26,AB648,(AB648-X649)*(1+'5-Roberta'!$C$4))</f>
        <v>48153.65460692138</v>
      </c>
      <c r="AA649" s="18">
        <f>IF($A649&gt;'1-Input'!$B$26,Y649,Y649-'P-Parametri'!$B$8*(Z649+Y649)+MIN(MAX(Z649,0),'P-Parametri'!$B$8*(Z649+Y649)))</f>
        <v>37150.513557777522</v>
      </c>
      <c r="AB649" s="18">
        <f>IF($A649&gt;'1-Input'!$B$26,Z649,Z649-MIN(MAX(Z649,0),'P-Parametri'!$B$8*(Z649+Y649)))</f>
        <v>47983.046270591985</v>
      </c>
      <c r="AC649" s="18">
        <f>IF($A649&gt;'1-Input'!$B$26,AC648,AC648-X649*(1-W649))</f>
        <v>16283.847721306451</v>
      </c>
      <c r="AD649" s="11">
        <f>IF($A649&gt;'1-Input'!$B$26,0,IF(AI648&lt;=0,0,MAX(0,(AI648-AJ648)/AI648)))</f>
        <v>0.65176194925135011</v>
      </c>
      <c r="AE649" s="18">
        <f>IF($A649&gt;'1-Input'!$B$26,0,(MAX(0,AD616-IF($A649&gt;='1-Input'!$C$12,'1-Input'!$B$13,0))-MIN(MAX(AH648,0),MAX(0,AD616-IF($A649&gt;='1-Input'!$C$12,'1-Input'!$B$13,0))))*(1/(1-'P-Parametri'!$B$6*AD649))+MIN(MAX(0,AI648-(MAX(0,AD616-IF($A649&gt;='1-Input'!$C$12,'1-Input'!$B$13,0))-MIN(MAX(AH648,0),MAX(0,AD616-IF($A649&gt;='1-Input'!$C$12,'1-Input'!$B$13,0))))*(1/(1-'P-Parametri'!$B$6*AD649))),MAX(0,2*AD616-(AH648-MIN(MAX(AH648,0),MAX(0,AD616-IF($A649&gt;='1-Input'!$C$12,'1-Input'!$B$13,0)))))*(1/(1-'P-Parametri'!$B$6*AD649))))</f>
        <v>7003.1179433977604</v>
      </c>
      <c r="AF649" s="18">
        <f>IF($A649&gt;'1-Input'!$B$26,AH648,(AH648-MAX(0,AD616-IF($A649&gt;='1-Input'!$C$12,'1-Input'!$B$13,0))+AE649*(1-'P-Parametri'!$B$6*AD649))*(1+'1-Input'!$B$27))</f>
        <v>37100.631169120483</v>
      </c>
      <c r="AG649" s="18">
        <f>IF($A649&gt;'1-Input'!$B$26,AI648,(AI648-AE649)*(1+'5-Roberta'!$C$4))</f>
        <v>49689.212482484079</v>
      </c>
      <c r="AH649" s="18">
        <f>IF($A649&gt;'1-Input'!$B$26,AF649,AF649-'P-Parametri'!$B$8*(AG649+AF649)+MIN(MAX(AG649,0),'P-Parametri'!$B$8*(AG649+AF649)))</f>
        <v>37100.631169120483</v>
      </c>
      <c r="AI649" s="18">
        <f>IF($A649&gt;'1-Input'!$B$26,AG649,AG649-MIN(MAX(AG649,0),'P-Parametri'!$B$8*(AG649+AF649)))</f>
        <v>49515.632795180871</v>
      </c>
      <c r="AJ649" s="18">
        <f>IF($A649&gt;'1-Input'!$B$26,AJ648,AJ648-AE649*(1-AD649))</f>
        <v>16799.683978772562</v>
      </c>
      <c r="AK649" s="11">
        <f>IF($A649&gt;'1-Input'!$B$26,0,IF(AP648&lt;=0,0,MAX(0,(AP648-AQ648)/AP648)))</f>
        <v>0.65176208595088614</v>
      </c>
      <c r="AL649" s="18">
        <f>IF($A649&gt;'1-Input'!$B$26,0,(MAX(0,AK616-IF($A649&gt;='1-Input'!$C$12,'1-Input'!$B$13,0))-MIN(MAX(AO648,0),MAX(0,AK616-IF($A649&gt;='1-Input'!$C$12,'1-Input'!$B$13,0))))*(1/(1-'P-Parametri'!$B$6*AK649))+MIN(MAX(0,AP648-(MAX(0,AK616-IF($A649&gt;='1-Input'!$C$12,'1-Input'!$B$13,0))-MIN(MAX(AO648,0),MAX(0,AK616-IF($A649&gt;='1-Input'!$C$12,'1-Input'!$B$13,0))))*(1/(1-'P-Parametri'!$B$6*AK649))),MAX(0,2*AK616-(AO648-MIN(MAX(AO648,0),MAX(0,AK616-IF($A649&gt;='1-Input'!$C$12,'1-Input'!$B$13,0)))))*(1/(1-'P-Parametri'!$B$6*AK649))))</f>
        <v>7003.0589414882761</v>
      </c>
      <c r="AM649" s="18">
        <f>IF($A649&gt;'1-Input'!$B$26,AO648,(AO648-MAX(0,AK616-IF($A649&gt;='1-Input'!$C$12,'1-Input'!$B$13,0))+AL649*(1-'P-Parametri'!$B$6*AK649))*(1+'1-Input'!$B$27))</f>
        <v>37100.533720449668</v>
      </c>
      <c r="AN649" s="18">
        <f>IF($A649&gt;'1-Input'!$B$26,AP648,(AP648-AL649)*(1+'5-Roberta'!$C$4))</f>
        <v>49692.212333158794</v>
      </c>
      <c r="AO649" s="18">
        <f>IF($A649&gt;'1-Input'!$B$26,AM649,AM649-'P-Parametri'!$B$8*(AN649+AM649)+MIN(MAX(AN649,0),'P-Parametri'!$B$8*(AN649+AM649)))</f>
        <v>37100.533720449668</v>
      </c>
      <c r="AP649" s="18">
        <f>IF($A649&gt;'1-Input'!$B$26,AN649,AN649-MIN(MAX(AN649,0),'P-Parametri'!$B$8*(AN649+AM649)))</f>
        <v>49518.626841051577</v>
      </c>
      <c r="AQ649" s="18">
        <f>IF($A649&gt;'1-Input'!$B$26,AQ648,AQ648-AL649*(1-AK649))</f>
        <v>16800.691618820256</v>
      </c>
    </row>
    <row r="650" spans="1:43">
      <c r="A650" s="10">
        <f>32</f>
        <v>32</v>
      </c>
      <c r="B650" s="11">
        <f>IF($A650&gt;'1-Input'!$B$26,0,IF(G649&lt;=0,0,MAX(0,(G649-H649)/G649)))</f>
        <v>0.66353942690076773</v>
      </c>
      <c r="C650" s="18">
        <f>IF($A650&gt;'1-Input'!$B$26,0,(MAX(0,B616-IF($A650&gt;='1-Input'!$C$12,'1-Input'!$B$13,0))-MIN(MAX(F649,0),MAX(0,B616-IF($A650&gt;='1-Input'!$C$12,'1-Input'!$B$13,0))))*(1/(1-'P-Parametri'!$B$6*B650))+MIN(MAX(0,G649-(MAX(0,B616-IF($A650&gt;='1-Input'!$C$12,'1-Input'!$B$13,0))-MIN(MAX(F649,0),MAX(0,B616-IF($A650&gt;='1-Input'!$C$12,'1-Input'!$B$13,0))))*(1/(1-'P-Parametri'!$B$6*B650))),MAX(0,2*B616-(F649-MIN(MAX(F649,0),MAX(0,B616-IF($A650&gt;='1-Input'!$C$12,'1-Input'!$B$13,0)))))*(1/(1-'P-Parametri'!$B$6*B650))))</f>
        <v>4672.2097036649138</v>
      </c>
      <c r="D650" s="18">
        <f>IF($A650&gt;'1-Input'!$B$26,F649,(F649-MAX(0,B616-IF($A650&gt;='1-Input'!$C$12,'1-Input'!$B$13,0))+C650*(1-'P-Parametri'!$B$6*B650))*(1+'1-Input'!$B$27))</f>
        <v>33242.0070309863</v>
      </c>
      <c r="E650" s="18">
        <f>IF($A650&gt;'1-Input'!$B$26,G649,(G649-C650)*(1+'5-Roberta'!$C$4))</f>
        <v>168355.46076169013</v>
      </c>
      <c r="F650" s="18">
        <f>IF($A650&gt;'1-Input'!$B$26,D650,D650-'P-Parametri'!$B$8*(E650+D650)+MIN(MAX(E650,0),'P-Parametri'!$B$8*(E650+D650)))</f>
        <v>33242.0070309863</v>
      </c>
      <c r="G650" s="18">
        <f>IF($A650&gt;'1-Input'!$B$26,E650,E650-MIN(MAX(E650,0),'P-Parametri'!$B$8*(E650+D650)))</f>
        <v>167952.26582610479</v>
      </c>
      <c r="H650" s="18">
        <f>IF($A650&gt;'1-Input'!$B$26,H649,H649-C650*(1-B650))</f>
        <v>54995.121176954919</v>
      </c>
      <c r="I650" s="11">
        <f>IF($A650&gt;'1-Input'!$B$26,0,IF(N649&lt;=0,0,MAX(0,(N649-O649)/N649)))</f>
        <v>0</v>
      </c>
      <c r="J650" s="18">
        <f>IF($A650&gt;'1-Input'!$B$26,0,(MAX(0,I616-IF($A650&gt;='1-Input'!$C$12,'1-Input'!$B$13,0))-MIN(MAX(M649,0),MAX(0,I616-IF($A650&gt;='1-Input'!$C$12,'1-Input'!$B$13,0))))*(1/(1-'P-Parametri'!$B$6*I650))+MIN(MAX(0,N649-(MAX(0,I616-IF($A650&gt;='1-Input'!$C$12,'1-Input'!$B$13,0))-MIN(MAX(M649,0),MAX(0,I616-IF($A650&gt;='1-Input'!$C$12,'1-Input'!$B$13,0))))*(1/(1-'P-Parametri'!$B$6*I650))),MAX(0,2*I616-(M649-MIN(MAX(M649,0),MAX(0,I616-IF($A650&gt;='1-Input'!$C$12,'1-Input'!$B$13,0)))))*(1/(1-'P-Parametri'!$B$6*I650))))</f>
        <v>9013.756992928691</v>
      </c>
      <c r="K650" s="18">
        <f>IF($A650&gt;'1-Input'!$B$26,M649,(M649-MAX(0,I616-IF($A650&gt;='1-Input'!$C$12,'1-Input'!$B$13,0))+J650*(1-'P-Parametri'!$B$6*I650))*(1+'1-Input'!$B$27))</f>
        <v>0</v>
      </c>
      <c r="L650" s="18">
        <f>IF($A650&gt;'1-Input'!$B$26,N649,(N649-J650)*(1+'5-Roberta'!$C$4))</f>
        <v>-82644.520970256854</v>
      </c>
      <c r="M650" s="18">
        <f>IF($A650&gt;'1-Input'!$B$26,K650,K650-'P-Parametri'!$B$8*(L650+K650)+MIN(MAX(L650,0),'P-Parametri'!$B$8*(L650+K650)))</f>
        <v>0</v>
      </c>
      <c r="N650" s="18">
        <f>IF($A650&gt;'1-Input'!$B$26,L650,L650-MIN(MAX(L650,0),'P-Parametri'!$B$8*(L650+K650)))</f>
        <v>-82479.231928316338</v>
      </c>
      <c r="O650" s="18">
        <f>IF($A650&gt;'1-Input'!$B$26,O649,O649-J650*(1-I650))</f>
        <v>-72645.558795487421</v>
      </c>
      <c r="P650" s="11">
        <f>IF($A650&gt;'1-Input'!$B$26,0,IF(U649&lt;=0,0,MAX(0,(U649-V649)/U649)))</f>
        <v>0.65916723285015977</v>
      </c>
      <c r="Q650" s="18">
        <f>IF($A650&gt;'1-Input'!$B$26,0,(MAX(0,P616-IF($A650&gt;='1-Input'!$C$12,'1-Input'!$B$13,0))-MIN(MAX(T649,0),MAX(0,P616-IF($A650&gt;='1-Input'!$C$12,'1-Input'!$B$13,0))))*(1/(1-'P-Parametri'!$B$6*P650))+MIN(MAX(0,U649-(MAX(0,P616-IF($A650&gt;='1-Input'!$C$12,'1-Input'!$B$13,0))-MIN(MAX(T649,0),MAX(0,P616-IF($A650&gt;='1-Input'!$C$12,'1-Input'!$B$13,0))))*(1/(1-'P-Parametri'!$B$6*P650))),MAX(0,2*P616-(T649-MIN(MAX(T649,0),MAX(0,P616-IF($A650&gt;='1-Input'!$C$12,'1-Input'!$B$13,0)))))*(1/(1-'P-Parametri'!$B$6*P650))))</f>
        <v>7422.1643510760605</v>
      </c>
      <c r="R650" s="18">
        <f>IF($A650&gt;'1-Input'!$B$26,T649,(T649-MAX(0,P616-IF($A650&gt;='1-Input'!$C$12,'1-Input'!$B$13,0))+Q650*(1-'P-Parametri'!$B$6*P650))*(1+'1-Input'!$B$27))</f>
        <v>37760.964119681914</v>
      </c>
      <c r="S650" s="18">
        <f>IF($A650&gt;'1-Input'!$B$26,U649,(U649-Q650)*(1+'5-Roberta'!$C$4))</f>
        <v>22462.977014083208</v>
      </c>
      <c r="T650" s="18">
        <f>IF($A650&gt;'1-Input'!$B$26,R650,R650-'P-Parametri'!$B$8*(S650+R650)+MIN(MAX(S650,0),'P-Parametri'!$B$8*(S650+R650)))</f>
        <v>37760.964119681914</v>
      </c>
      <c r="U650" s="18">
        <f>IF($A650&gt;'1-Input'!$B$26,S650,S650-MIN(MAX(S650,0),'P-Parametri'!$B$8*(S650+R650)))</f>
        <v>22342.529131815678</v>
      </c>
      <c r="V650" s="18">
        <f>IF($A650&gt;'1-Input'!$B$26,V649,V649-Q650*(1-P650))</f>
        <v>7433.1248680905201</v>
      </c>
      <c r="W650" s="11">
        <f>IF($A650&gt;'1-Input'!$B$26,0,IF(AB649&lt;=0,0,MAX(0,(AB649-AC649)/AB649)))</f>
        <v>0.66063330724196745</v>
      </c>
      <c r="X650" s="18">
        <f>IF($A650&gt;'1-Input'!$B$26,0,(MAX(0,W616-IF($A650&gt;='1-Input'!$C$12,'1-Input'!$B$13,0))-MIN(MAX(AA649,0),MAX(0,W616-IF($A650&gt;='1-Input'!$C$12,'1-Input'!$B$13,0))))*(1/(1-'P-Parametri'!$B$6*W650))+MIN(MAX(0,AB649-(MAX(0,W616-IF($A650&gt;='1-Input'!$C$12,'1-Input'!$B$13,0))-MIN(MAX(AA649,0),MAX(0,W616-IF($A650&gt;='1-Input'!$C$12,'1-Input'!$B$13,0))))*(1/(1-'P-Parametri'!$B$6*W650))),MAX(0,2*W616-(AA649-MIN(MAX(AA649,0),MAX(0,W616-IF($A650&gt;='1-Input'!$C$12,'1-Input'!$B$13,0)))))*(1/(1-'P-Parametri'!$B$6*W650))))</f>
        <v>7053.0609893966075</v>
      </c>
      <c r="Y650" s="18">
        <f>IF($A650&gt;'1-Input'!$B$26,AA649,(AA649-MAX(0,W616-IF($A650&gt;='1-Input'!$C$12,'1-Input'!$B$13,0))+X650*(1-'P-Parametri'!$B$6*W650))*(1+'1-Input'!$B$27))</f>
        <v>37150.513557777522</v>
      </c>
      <c r="Z650" s="18">
        <f>IF($A650&gt;'1-Input'!$B$26,AB649,(AB649-X650)*(1+'5-Roberta'!$C$4))</f>
        <v>42157.884839631239</v>
      </c>
      <c r="AA650" s="18">
        <f>IF($A650&gt;'1-Input'!$B$26,Y650,Y650-'P-Parametri'!$B$8*(Z650+Y650)+MIN(MAX(Z650,0),'P-Parametri'!$B$8*(Z650+Y650)))</f>
        <v>37150.513557777522</v>
      </c>
      <c r="AB650" s="18">
        <f>IF($A650&gt;'1-Input'!$B$26,Z650,Z650-MIN(MAX(Z650,0),'P-Parametri'!$B$8*(Z650+Y650)))</f>
        <v>41999.268042836418</v>
      </c>
      <c r="AC650" s="18">
        <f>IF($A650&gt;'1-Input'!$B$26,AC649,AC649-X650*(1-W650))</f>
        <v>13890.273739514227</v>
      </c>
      <c r="AD650" s="11">
        <f>IF($A650&gt;'1-Input'!$B$26,0,IF(AI649&lt;=0,0,MAX(0,(AI649-AJ649)/AI649)))</f>
        <v>0.66071959439024686</v>
      </c>
      <c r="AE650" s="18">
        <f>IF($A650&gt;'1-Input'!$B$26,0,(MAX(0,AD616-IF($A650&gt;='1-Input'!$C$12,'1-Input'!$B$13,0))-MIN(MAX(AH649,0),MAX(0,AD616-IF($A650&gt;='1-Input'!$C$12,'1-Input'!$B$13,0))))*(1/(1-'P-Parametri'!$B$6*AD650))+MIN(MAX(0,AI649-(MAX(0,AD616-IF($A650&gt;='1-Input'!$C$12,'1-Input'!$B$13,0))-MIN(MAX(AH649,0),MAX(0,AD616-IF($A650&gt;='1-Input'!$C$12,'1-Input'!$B$13,0))))*(1/(1-'P-Parametri'!$B$6*AD650))),MAX(0,2*AD616-(AH649-MIN(MAX(AH649,0),MAX(0,AD616-IF($A650&gt;='1-Input'!$C$12,'1-Input'!$B$13,0)))))*(1/(1-'P-Parametri'!$B$6*AD650))))</f>
        <v>7022.8111595952278</v>
      </c>
      <c r="AF650" s="18">
        <f>IF($A650&gt;'1-Input'!$B$26,AH649,(AH649-MAX(0,AD616-IF($A650&gt;='1-Input'!$C$12,'1-Input'!$B$13,0))+AE650*(1-'P-Parametri'!$B$6*AD650))*(1+'1-Input'!$B$27))</f>
        <v>37100.631169120483</v>
      </c>
      <c r="AG650" s="18">
        <f>IF($A650&gt;'1-Input'!$B$26,AI649,(AI649-AE650)*(1+'5-Roberta'!$C$4))</f>
        <v>43767.606284653215</v>
      </c>
      <c r="AH650" s="18">
        <f>IF($A650&gt;'1-Input'!$B$26,AF650,AF650-'P-Parametri'!$B$8*(AG650+AF650)+MIN(MAX(AG650,0),'P-Parametri'!$B$8*(AG650+AF650)))</f>
        <v>37100.631169120483</v>
      </c>
      <c r="AI650" s="18">
        <f>IF($A650&gt;'1-Input'!$B$26,AG650,AG650-MIN(MAX(AG650,0),'P-Parametri'!$B$8*(AG650+AF650)))</f>
        <v>43605.869809745665</v>
      </c>
      <c r="AJ650" s="18">
        <f>IF($A650&gt;'1-Input'!$B$26,AJ649,AJ649-AE650*(1-AD650))</f>
        <v>14416.981760024391</v>
      </c>
      <c r="AK650" s="11">
        <f>IF($A650&gt;'1-Input'!$B$26,0,IF(AP649&lt;=0,0,MAX(0,(AP649-AQ649)/AP649)))</f>
        <v>0.66071975960180973</v>
      </c>
      <c r="AL650" s="18">
        <f>IF($A650&gt;'1-Input'!$B$26,0,(MAX(0,AK616-IF($A650&gt;='1-Input'!$C$12,'1-Input'!$B$13,0))-MIN(MAX(AO649,0),MAX(0,AK616-IF($A650&gt;='1-Input'!$C$12,'1-Input'!$B$13,0))))*(1/(1-'P-Parametri'!$B$6*AK650))+MIN(MAX(0,AP649-(MAX(0,AK616-IF($A650&gt;='1-Input'!$C$12,'1-Input'!$B$13,0))-MIN(MAX(AO649,0),MAX(0,AK616-IF($A650&gt;='1-Input'!$C$12,'1-Input'!$B$13,0))))*(1/(1-'P-Parametri'!$B$6*AK650))),MAX(0,2*AK616-(AO649-MIN(MAX(AO649,0),MAX(0,AK616-IF($A650&gt;='1-Input'!$C$12,'1-Input'!$B$13,0)))))*(1/(1-'P-Parametri'!$B$6*AK650))))</f>
        <v>7022.7520554726052</v>
      </c>
      <c r="AM650" s="18">
        <f>IF($A650&gt;'1-Input'!$B$26,AO649,(AO649-MAX(0,AK616-IF($A650&gt;='1-Input'!$C$12,'1-Input'!$B$13,0))+AL650*(1-'P-Parametri'!$B$6*AK650))*(1+'1-Input'!$B$27))</f>
        <v>37100.533720449668</v>
      </c>
      <c r="AN650" s="18">
        <f>IF($A650&gt;'1-Input'!$B$26,AP649,(AP649-AL650)*(1+'5-Roberta'!$C$4))</f>
        <v>43770.75102914634</v>
      </c>
      <c r="AO650" s="18">
        <f>IF($A650&gt;'1-Input'!$B$26,AM650,AM650-'P-Parametri'!$B$8*(AN650+AM650)+MIN(MAX(AN650,0),'P-Parametri'!$B$8*(AN650+AM650)))</f>
        <v>37100.533720449668</v>
      </c>
      <c r="AP650" s="18">
        <f>IF($A650&gt;'1-Input'!$B$26,AN650,AN650-MIN(MAX(AN650,0),'P-Parametri'!$B$8*(AN650+AM650)))</f>
        <v>43609.00845964715</v>
      </c>
      <c r="AQ650" s="18">
        <f>IF($A650&gt;'1-Input'!$B$26,AQ649,AQ649-AL650*(1-AK650))</f>
        <v>14418.010613182625</v>
      </c>
    </row>
    <row r="651" spans="1:43">
      <c r="A651" s="10">
        <f>33</f>
        <v>33</v>
      </c>
      <c r="B651" s="11">
        <f>IF($A651&gt;'1-Input'!$B$26,0,IF(G650&lt;=0,0,MAX(0,(G650-H650)/G650)))</f>
        <v>0.67255505064816445</v>
      </c>
      <c r="C651" s="18">
        <f>IF($A651&gt;'1-Input'!$B$26,0,(MAX(0,B616-IF($A651&gt;='1-Input'!$C$12,'1-Input'!$B$13,0))-MIN(MAX(F650,0),MAX(0,B616-IF($A651&gt;='1-Input'!$C$12,'1-Input'!$B$13,0))))*(1/(1-'P-Parametri'!$B$6*B651))+MIN(MAX(0,G650-(MAX(0,B616-IF($A651&gt;='1-Input'!$C$12,'1-Input'!$B$13,0))-MIN(MAX(F650,0),MAX(0,B616-IF($A651&gt;='1-Input'!$C$12,'1-Input'!$B$13,0))))*(1/(1-'P-Parametri'!$B$6*B651))),MAX(0,2*B616-(F650-MIN(MAX(F650,0),MAX(0,B616-IF($A651&gt;='1-Input'!$C$12,'1-Input'!$B$13,0)))))*(1/(1-'P-Parametri'!$B$6*B651))))</f>
        <v>4685.4826116382937</v>
      </c>
      <c r="D651" s="18">
        <f>IF($A651&gt;'1-Input'!$B$26,F650,(F650-MAX(0,B616-IF($A651&gt;='1-Input'!$C$12,'1-Input'!$B$13,0))+C651*(1-'P-Parametri'!$B$6*B651))*(1+'1-Input'!$B$27))</f>
        <v>33242.0070309863</v>
      </c>
      <c r="E651" s="18">
        <f>IF($A651&gt;'1-Input'!$B$26,G650,(G650-C651)*(1+'5-Roberta'!$C$4))</f>
        <v>168164.78671090049</v>
      </c>
      <c r="F651" s="18">
        <f>IF($A651&gt;'1-Input'!$B$26,D651,D651-'P-Parametri'!$B$8*(E651+D651)+MIN(MAX(E651,0),'P-Parametri'!$B$8*(E651+D651)))</f>
        <v>33242.0070309863</v>
      </c>
      <c r="G651" s="18">
        <f>IF($A651&gt;'1-Input'!$B$26,E651,E651-MIN(MAX(E651,0),'P-Parametri'!$B$8*(E651+D651)))</f>
        <v>167761.97312341671</v>
      </c>
      <c r="H651" s="18">
        <f>IF($A651&gt;'1-Input'!$B$26,H650,H650-C651*(1-B651))</f>
        <v>53460.883560498114</v>
      </c>
      <c r="I651" s="11">
        <f>IF($A651&gt;'1-Input'!$B$26,0,IF(N650&lt;=0,0,MAX(0,(N650-O650)/N650)))</f>
        <v>0</v>
      </c>
      <c r="J651" s="18">
        <f>IF($A651&gt;'1-Input'!$B$26,0,(MAX(0,I616-IF($A651&gt;='1-Input'!$C$12,'1-Input'!$B$13,0))-MIN(MAX(M650,0),MAX(0,I616-IF($A651&gt;='1-Input'!$C$12,'1-Input'!$B$13,0))))*(1/(1-'P-Parametri'!$B$6*I651))+MIN(MAX(0,N650-(MAX(0,I616-IF($A651&gt;='1-Input'!$C$12,'1-Input'!$B$13,0))-MIN(MAX(M650,0),MAX(0,I616-IF($A651&gt;='1-Input'!$C$12,'1-Input'!$B$13,0))))*(1/(1-'P-Parametri'!$B$6*I651))),MAX(0,2*I616-(M650-MIN(MAX(M650,0),MAX(0,I616-IF($A651&gt;='1-Input'!$C$12,'1-Input'!$B$13,0)))))*(1/(1-'P-Parametri'!$B$6*I651))))</f>
        <v>9013.756992928691</v>
      </c>
      <c r="K651" s="18">
        <f>IF($A651&gt;'1-Input'!$B$26,M650,(M650-MAX(0,I616-IF($A651&gt;='1-Input'!$C$12,'1-Input'!$B$13,0))+J651*(1-'P-Parametri'!$B$6*I651))*(1+'1-Input'!$B$27))</f>
        <v>0</v>
      </c>
      <c r="L651" s="18">
        <f>IF($A651&gt;'1-Input'!$B$26,N650,(N650-J651)*(1+'5-Roberta'!$C$4))</f>
        <v>-94237.778588882386</v>
      </c>
      <c r="M651" s="18">
        <f>IF($A651&gt;'1-Input'!$B$26,K651,K651-'P-Parametri'!$B$8*(L651+K651)+MIN(MAX(L651,0),'P-Parametri'!$B$8*(L651+K651)))</f>
        <v>0</v>
      </c>
      <c r="N651" s="18">
        <f>IF($A651&gt;'1-Input'!$B$26,L651,L651-MIN(MAX(L651,0),'P-Parametri'!$B$8*(L651+K651)))</f>
        <v>-94049.303031704621</v>
      </c>
      <c r="O651" s="18">
        <f>IF($A651&gt;'1-Input'!$B$26,O650,O650-J651*(1-I651))</f>
        <v>-81659.315788416105</v>
      </c>
      <c r="P651" s="11">
        <f>IF($A651&gt;'1-Input'!$B$26,0,IF(U650&lt;=0,0,MAX(0,(U650-V650)/U650)))</f>
        <v>0.66731049899334016</v>
      </c>
      <c r="Q651" s="18">
        <f>IF($A651&gt;'1-Input'!$B$26,0,(MAX(0,P616-IF($A651&gt;='1-Input'!$C$12,'1-Input'!$B$13,0))-MIN(MAX(T650,0),MAX(0,P616-IF($A651&gt;='1-Input'!$C$12,'1-Input'!$B$13,0))))*(1/(1-'P-Parametri'!$B$6*P651))+MIN(MAX(0,U650-(MAX(0,P616-IF($A651&gt;='1-Input'!$C$12,'1-Input'!$B$13,0))-MIN(MAX(T650,0),MAX(0,P616-IF($A651&gt;='1-Input'!$C$12,'1-Input'!$B$13,0))))*(1/(1-'P-Parametri'!$B$6*P651))),MAX(0,2*P616-(T650-MIN(MAX(T650,0),MAX(0,P616-IF($A651&gt;='1-Input'!$C$12,'1-Input'!$B$13,0)))))*(1/(1-'P-Parametri'!$B$6*P651))))</f>
        <v>7441.177763524719</v>
      </c>
      <c r="R651" s="18">
        <f>IF($A651&gt;'1-Input'!$B$26,T650,(T650-MAX(0,P616-IF($A651&gt;='1-Input'!$C$12,'1-Input'!$B$13,0))+Q651*(1-'P-Parametri'!$B$6*P651))*(1+'1-Input'!$B$27))</f>
        <v>37760.964119681914</v>
      </c>
      <c r="S651" s="18">
        <f>IF($A651&gt;'1-Input'!$B$26,U650,(U650-Q651)*(1+'5-Roberta'!$C$4))</f>
        <v>15348.391909339687</v>
      </c>
      <c r="T651" s="18">
        <f>IF($A651&gt;'1-Input'!$B$26,R651,R651-'P-Parametri'!$B$8*(S651+R651)+MIN(MAX(S651,0),'P-Parametri'!$B$8*(S651+R651)))</f>
        <v>37760.964119681914</v>
      </c>
      <c r="U651" s="18">
        <f>IF($A651&gt;'1-Input'!$B$26,S651,S651-MIN(MAX(S651,0),'P-Parametri'!$B$8*(S651+R651)))</f>
        <v>15242.173197281643</v>
      </c>
      <c r="V651" s="18">
        <f>IF($A651&gt;'1-Input'!$B$26,V650,V650-Q651*(1-P651))</f>
        <v>4957.5231510416288</v>
      </c>
      <c r="W651" s="11">
        <f>IF($A651&gt;'1-Input'!$B$26,0,IF(AB650&lt;=0,0,MAX(0,(AB650-AC650)/AB650)))</f>
        <v>0.66927343292394803</v>
      </c>
      <c r="X651" s="18">
        <f>IF($A651&gt;'1-Input'!$B$26,0,(MAX(0,W616-IF($A651&gt;='1-Input'!$C$12,'1-Input'!$B$13,0))-MIN(MAX(AA650,0),MAX(0,W616-IF($A651&gt;='1-Input'!$C$12,'1-Input'!$B$13,0))))*(1/(1-'P-Parametri'!$B$6*W651))+MIN(MAX(0,AB650-(MAX(0,W616-IF($A651&gt;='1-Input'!$C$12,'1-Input'!$B$13,0))-MIN(MAX(AA650,0),MAX(0,W616-IF($A651&gt;='1-Input'!$C$12,'1-Input'!$B$13,0))))*(1/(1-'P-Parametri'!$B$6*W651))),MAX(0,2*W616-(AA650-MIN(MAX(AA650,0),MAX(0,W616-IF($A651&gt;='1-Input'!$C$12,'1-Input'!$B$13,0)))))*(1/(1-'P-Parametri'!$B$6*W651))))</f>
        <v>7072.2431194941973</v>
      </c>
      <c r="Y651" s="18">
        <f>IF($A651&gt;'1-Input'!$B$26,AA650,(AA650-MAX(0,W616-IF($A651&gt;='1-Input'!$C$12,'1-Input'!$B$13,0))+X651*(1-'P-Parametri'!$B$6*W651))*(1+'1-Input'!$B$27))</f>
        <v>37150.513557777522</v>
      </c>
      <c r="Z651" s="18">
        <f>IF($A651&gt;'1-Input'!$B$26,AB650,(AB650-X651)*(1+'5-Roberta'!$C$4))</f>
        <v>35974.835671042492</v>
      </c>
      <c r="AA651" s="18">
        <f>IF($A651&gt;'1-Input'!$B$26,Y651,Y651-'P-Parametri'!$B$8*(Z651+Y651)+MIN(MAX(Z651,0),'P-Parametri'!$B$8*(Z651+Y651)))</f>
        <v>37150.513557777522</v>
      </c>
      <c r="AB651" s="18">
        <f>IF($A651&gt;'1-Input'!$B$26,Z651,Z651-MIN(MAX(Z651,0),'P-Parametri'!$B$8*(Z651+Y651)))</f>
        <v>35828.584972584853</v>
      </c>
      <c r="AC651" s="18">
        <f>IF($A651&gt;'1-Input'!$B$26,AC650,AC650-X651*(1-W651))</f>
        <v>11551.295051076682</v>
      </c>
      <c r="AD651" s="11">
        <f>IF($A651&gt;'1-Input'!$B$26,0,IF(AI650&lt;=0,0,MAX(0,(AI650-AJ650)/AI650)))</f>
        <v>0.66937979169028572</v>
      </c>
      <c r="AE651" s="18">
        <f>IF($A651&gt;'1-Input'!$B$26,0,(MAX(0,AD616-IF($A651&gt;='1-Input'!$C$12,'1-Input'!$B$13,0))-MIN(MAX(AH650,0),MAX(0,AD616-IF($A651&gt;='1-Input'!$C$12,'1-Input'!$B$13,0))))*(1/(1-'P-Parametri'!$B$6*AD651))+MIN(MAX(0,AI650-(MAX(0,AD616-IF($A651&gt;='1-Input'!$C$12,'1-Input'!$B$13,0))-MIN(MAX(AH650,0),MAX(0,AD616-IF($A651&gt;='1-Input'!$C$12,'1-Input'!$B$13,0))))*(1/(1-'P-Parametri'!$B$6*AD651))),MAX(0,2*AD616-(AH650-MIN(MAX(AH650,0),MAX(0,AD616-IF($A651&gt;='1-Input'!$C$12,'1-Input'!$B$13,0)))))*(1/(1-'P-Parametri'!$B$6*AD651))))</f>
        <v>7041.9560308389218</v>
      </c>
      <c r="AF651" s="18">
        <f>IF($A651&gt;'1-Input'!$B$26,AH650,(AH650-MAX(0,AD616-IF($A651&gt;='1-Input'!$C$12,'1-Input'!$B$13,0))+AE651*(1-'P-Parametri'!$B$6*AD651))*(1+'1-Input'!$B$27))</f>
        <v>37100.631169120483</v>
      </c>
      <c r="AG651" s="18">
        <f>IF($A651&gt;'1-Input'!$B$26,AI650,(AI650-AE651)*(1+'5-Roberta'!$C$4))</f>
        <v>37660.831192273952</v>
      </c>
      <c r="AH651" s="18">
        <f>IF($A651&gt;'1-Input'!$B$26,AF651,AF651-'P-Parametri'!$B$8*(AG651+AF651)+MIN(MAX(AG651,0),'P-Parametri'!$B$8*(AG651+AF651)))</f>
        <v>37100.631169120483</v>
      </c>
      <c r="AI651" s="18">
        <f>IF($A651&gt;'1-Input'!$B$26,AG651,AG651-MIN(MAX(AG651,0),'P-Parametri'!$B$8*(AG651+AF651)))</f>
        <v>37511.308267551161</v>
      </c>
      <c r="AJ651" s="18">
        <f>IF($A651&gt;'1-Input'!$B$26,AJ650,AJ650-AE651*(1-AD651))</f>
        <v>12088.768790200578</v>
      </c>
      <c r="AK651" s="11">
        <f>IF($A651&gt;'1-Input'!$B$26,0,IF(AP650&lt;=0,0,MAX(0,(AP650-AQ650)/AP650)))</f>
        <v>0.66937999458244768</v>
      </c>
      <c r="AL651" s="18">
        <f>IF($A651&gt;'1-Input'!$B$26,0,(MAX(0,AK616-IF($A651&gt;='1-Input'!$C$12,'1-Input'!$B$13,0))-MIN(MAX(AO650,0),MAX(0,AK616-IF($A651&gt;='1-Input'!$C$12,'1-Input'!$B$13,0))))*(1/(1-'P-Parametri'!$B$6*AK651))+MIN(MAX(0,AP650-(MAX(0,AK616-IF($A651&gt;='1-Input'!$C$12,'1-Input'!$B$13,0))-MIN(MAX(AO650,0),MAX(0,AK616-IF($A651&gt;='1-Input'!$C$12,'1-Input'!$B$13,0))))*(1/(1-'P-Parametri'!$B$6*AK651))),MAX(0,2*AK616-(AO650-MIN(MAX(AO650,0),MAX(0,AK616-IF($A651&gt;='1-Input'!$C$12,'1-Input'!$B$13,0)))))*(1/(1-'P-Parametri'!$B$6*AK651))))</f>
        <v>7041.896850114209</v>
      </c>
      <c r="AM651" s="18">
        <f>IF($A651&gt;'1-Input'!$B$26,AO650,(AO650-MAX(0,AK616-IF($A651&gt;='1-Input'!$C$12,'1-Input'!$B$13,0))+AL651*(1-'P-Parametri'!$B$6*AK651))*(1+'1-Input'!$B$27))</f>
        <v>37100.533720449668</v>
      </c>
      <c r="AN651" s="18">
        <f>IF($A651&gt;'1-Input'!$B$26,AP650,(AP650-AL651)*(1+'5-Roberta'!$C$4))</f>
        <v>37664.124957818931</v>
      </c>
      <c r="AO651" s="18">
        <f>IF($A651&gt;'1-Input'!$B$26,AM651,AM651-'P-Parametri'!$B$8*(AN651+AM651)+MIN(MAX(AN651,0),'P-Parametri'!$B$8*(AN651+AM651)))</f>
        <v>37100.533720449668</v>
      </c>
      <c r="AP651" s="18">
        <f>IF($A651&gt;'1-Input'!$B$26,AN651,AN651-MIN(MAX(AN651,0),'P-Parametri'!$B$8*(AN651+AM651)))</f>
        <v>37514.595640462394</v>
      </c>
      <c r="AQ651" s="18">
        <f>IF($A651&gt;'1-Input'!$B$26,AQ650,AQ650-AL651*(1-AK651))</f>
        <v>12089.818638448021</v>
      </c>
    </row>
    <row r="652" spans="1:43">
      <c r="A652" s="10">
        <f>34</f>
        <v>34</v>
      </c>
      <c r="B652" s="11">
        <f>IF($A652&gt;'1-Input'!$B$26,0,IF(G651&lt;=0,0,MAX(0,(G651-H651)/G651)))</f>
        <v>0.68132895336675148</v>
      </c>
      <c r="C652" s="18">
        <f>IF($A652&gt;'1-Input'!$B$26,0,(MAX(0,B616-IF($A652&gt;='1-Input'!$C$12,'1-Input'!$B$13,0))-MIN(MAX(F651,0),MAX(0,B616-IF($A652&gt;='1-Input'!$C$12,'1-Input'!$B$13,0))))*(1/(1-'P-Parametri'!$B$6*B652))+MIN(MAX(0,G651-(MAX(0,B616-IF($A652&gt;='1-Input'!$C$12,'1-Input'!$B$13,0))-MIN(MAX(F651,0),MAX(0,B616-IF($A652&gt;='1-Input'!$C$12,'1-Input'!$B$13,0))))*(1/(1-'P-Parametri'!$B$6*B652))),MAX(0,2*B616-(F651-MIN(MAX(F651,0),MAX(0,B616-IF($A652&gt;='1-Input'!$C$12,'1-Input'!$B$13,0)))))*(1/(1-'P-Parametri'!$B$6*B652))))</f>
        <v>4698.4722619402237</v>
      </c>
      <c r="D652" s="18">
        <f>IF($A652&gt;'1-Input'!$B$26,F651,(F651-MAX(0,B616-IF($A652&gt;='1-Input'!$C$12,'1-Input'!$B$13,0))+C652*(1-'P-Parametri'!$B$6*B652))*(1+'1-Input'!$B$27))</f>
        <v>33242.0070309863</v>
      </c>
      <c r="E652" s="18">
        <f>IF($A652&gt;'1-Input'!$B$26,G651,(G651-C652)*(1+'5-Roberta'!$C$4))</f>
        <v>167955.40588732078</v>
      </c>
      <c r="F652" s="18">
        <f>IF($A652&gt;'1-Input'!$B$26,D652,D652-'P-Parametri'!$B$8*(E652+D652)+MIN(MAX(E652,0),'P-Parametri'!$B$8*(E652+D652)))</f>
        <v>33242.0070309863</v>
      </c>
      <c r="G652" s="18">
        <f>IF($A652&gt;'1-Input'!$B$26,E652,E652-MIN(MAX(E652,0),'P-Parametri'!$B$8*(E652+D652)))</f>
        <v>167553.01106148417</v>
      </c>
      <c r="H652" s="18">
        <f>IF($A652&gt;'1-Input'!$B$26,H651,H651-C652*(1-B652))</f>
        <v>51963.616487208339</v>
      </c>
      <c r="I652" s="11">
        <f>IF($A652&gt;'1-Input'!$B$26,0,IF(N651&lt;=0,0,MAX(0,(N651-O651)/N651)))</f>
        <v>0</v>
      </c>
      <c r="J652" s="18">
        <f>IF($A652&gt;'1-Input'!$B$26,0,(MAX(0,I616-IF($A652&gt;='1-Input'!$C$12,'1-Input'!$B$13,0))-MIN(MAX(M651,0),MAX(0,I616-IF($A652&gt;='1-Input'!$C$12,'1-Input'!$B$13,0))))*(1/(1-'P-Parametri'!$B$6*I652))+MIN(MAX(0,N651-(MAX(0,I616-IF($A652&gt;='1-Input'!$C$12,'1-Input'!$B$13,0))-MIN(MAX(M651,0),MAX(0,I616-IF($A652&gt;='1-Input'!$C$12,'1-Input'!$B$13,0))))*(1/(1-'P-Parametri'!$B$6*I652))),MAX(0,2*I616-(M651-MIN(MAX(M651,0),MAX(0,I616-IF($A652&gt;='1-Input'!$C$12,'1-Input'!$B$13,0)))))*(1/(1-'P-Parametri'!$B$6*I652))))</f>
        <v>9013.756992928691</v>
      </c>
      <c r="K652" s="18">
        <f>IF($A652&gt;'1-Input'!$B$26,M651,(M651-MAX(0,I616-IF($A652&gt;='1-Input'!$C$12,'1-Input'!$B$13,0))+J652*(1-'P-Parametri'!$B$6*I652))*(1+'1-Input'!$B$27))</f>
        <v>0</v>
      </c>
      <c r="L652" s="18">
        <f>IF($A652&gt;'1-Input'!$B$26,N651,(N651-J652)*(1+'5-Roberta'!$C$4))</f>
        <v>-106154.95182537231</v>
      </c>
      <c r="M652" s="18">
        <f>IF($A652&gt;'1-Input'!$B$26,K652,K652-'P-Parametri'!$B$8*(L652+K652)+MIN(MAX(L652,0),'P-Parametri'!$B$8*(L652+K652)))</f>
        <v>0</v>
      </c>
      <c r="N652" s="18">
        <f>IF($A652&gt;'1-Input'!$B$26,L652,L652-MIN(MAX(L652,0),'P-Parametri'!$B$8*(L652+K652)))</f>
        <v>-105942.64192172156</v>
      </c>
      <c r="O652" s="18">
        <f>IF($A652&gt;'1-Input'!$B$26,O651,O651-J652*(1-I652))</f>
        <v>-90673.072781344788</v>
      </c>
      <c r="P652" s="11">
        <f>IF($A652&gt;'1-Input'!$B$26,0,IF(U651&lt;=0,0,MAX(0,(U651-V651)/U651)))</f>
        <v>0.67474958545112351</v>
      </c>
      <c r="Q652" s="18">
        <f>IF($A652&gt;'1-Input'!$B$26,0,(MAX(0,P616-IF($A652&gt;='1-Input'!$C$12,'1-Input'!$B$13,0))-MIN(MAX(T651,0),MAX(0,P616-IF($A652&gt;='1-Input'!$C$12,'1-Input'!$B$13,0))))*(1/(1-'P-Parametri'!$B$6*P652))+MIN(MAX(0,U651-(MAX(0,P616-IF($A652&gt;='1-Input'!$C$12,'1-Input'!$B$13,0))-MIN(MAX(T651,0),MAX(0,P616-IF($A652&gt;='1-Input'!$C$12,'1-Input'!$B$13,0))))*(1/(1-'P-Parametri'!$B$6*P652))),MAX(0,2*P616-(T651-MIN(MAX(T651,0),MAX(0,P616-IF($A652&gt;='1-Input'!$C$12,'1-Input'!$B$13,0)))))*(1/(1-'P-Parametri'!$B$6*P652))))</f>
        <v>7458.6323546711437</v>
      </c>
      <c r="R652" s="18">
        <f>IF($A652&gt;'1-Input'!$B$26,T651,(T651-MAX(0,P616-IF($A652&gt;='1-Input'!$C$12,'1-Input'!$B$13,0))+Q652*(1-'P-Parametri'!$B$6*P652))*(1+'1-Input'!$B$27))</f>
        <v>37760.964119681914</v>
      </c>
      <c r="S652" s="18">
        <f>IF($A652&gt;'1-Input'!$B$26,U651,(U651-Q652)*(1+'5-Roberta'!$C$4))</f>
        <v>8017.047067888815</v>
      </c>
      <c r="T652" s="18">
        <f>IF($A652&gt;'1-Input'!$B$26,R652,R652-'P-Parametri'!$B$8*(S652+R652)+MIN(MAX(S652,0),'P-Parametri'!$B$8*(S652+R652)))</f>
        <v>37760.964119681914</v>
      </c>
      <c r="U652" s="18">
        <f>IF($A652&gt;'1-Input'!$B$26,S652,S652-MIN(MAX(S652,0),'P-Parametri'!$B$8*(S652+R652)))</f>
        <v>7925.4910455136733</v>
      </c>
      <c r="V652" s="18">
        <f>IF($A652&gt;'1-Input'!$B$26,V651,V651-Q652*(1-P652))</f>
        <v>2531.5998857171767</v>
      </c>
      <c r="W652" s="11">
        <f>IF($A652&gt;'1-Input'!$B$26,0,IF(AB651&lt;=0,0,MAX(0,(AB651-AC651)/AB651)))</f>
        <v>0.67759555505986502</v>
      </c>
      <c r="X652" s="18">
        <f>IF($A652&gt;'1-Input'!$B$26,0,(MAX(0,W616-IF($A652&gt;='1-Input'!$C$12,'1-Input'!$B$13,0))-MIN(MAX(AA651,0),MAX(0,W616-IF($A652&gt;='1-Input'!$C$12,'1-Input'!$B$13,0))))*(1/(1-'P-Parametri'!$B$6*W652))+MIN(MAX(0,AB651-(MAX(0,W616-IF($A652&gt;='1-Input'!$C$12,'1-Input'!$B$13,0))-MIN(MAX(AA651,0),MAX(0,W616-IF($A652&gt;='1-Input'!$C$12,'1-Input'!$B$13,0))))*(1/(1-'P-Parametri'!$B$6*W652))),MAX(0,2*W616-(AA651-MIN(MAX(AA651,0),MAX(0,W616-IF($A652&gt;='1-Input'!$C$12,'1-Input'!$B$13,0)))))*(1/(1-'P-Parametri'!$B$6*W652))))</f>
        <v>7090.818151293598</v>
      </c>
      <c r="Y652" s="18">
        <f>IF($A652&gt;'1-Input'!$B$26,AA651,(AA651-MAX(0,W616-IF($A652&gt;='1-Input'!$C$12,'1-Input'!$B$13,0))+X652*(1-'P-Parametri'!$B$6*W652))*(1+'1-Input'!$B$27))</f>
        <v>37150.513557777522</v>
      </c>
      <c r="Z652" s="18">
        <f>IF($A652&gt;'1-Input'!$B$26,AB651,(AB651-X652)*(1+'5-Roberta'!$C$4))</f>
        <v>29599.899825929991</v>
      </c>
      <c r="AA652" s="18">
        <f>IF($A652&gt;'1-Input'!$B$26,Y652,Y652-'P-Parametri'!$B$8*(Z652+Y652)+MIN(MAX(Z652,0),'P-Parametri'!$B$8*(Z652+Y652)))</f>
        <v>37150.513557777522</v>
      </c>
      <c r="AB652" s="18">
        <f>IF($A652&gt;'1-Input'!$B$26,Z652,Z652-MIN(MAX(Z652,0),'P-Parametri'!$B$8*(Z652+Y652)))</f>
        <v>29466.398999162575</v>
      </c>
      <c r="AC652" s="18">
        <f>IF($A652&gt;'1-Input'!$B$26,AC651,AC651-X652*(1-W652))</f>
        <v>9265.1837608374353</v>
      </c>
      <c r="AD652" s="11">
        <f>IF($A652&gt;'1-Input'!$B$26,0,IF(AI651&lt;=0,0,MAX(0,(AI651-AJ651)/AI651)))</f>
        <v>0.67773001400066168</v>
      </c>
      <c r="AE652" s="18">
        <f>IF($A652&gt;'1-Input'!$B$26,0,(MAX(0,AD616-IF($A652&gt;='1-Input'!$C$12,'1-Input'!$B$13,0))-MIN(MAX(AH651,0),MAX(0,AD616-IF($A652&gt;='1-Input'!$C$12,'1-Input'!$B$13,0))))*(1/(1-'P-Parametri'!$B$6*AD652))+MIN(MAX(0,AI651-(MAX(0,AD616-IF($A652&gt;='1-Input'!$C$12,'1-Input'!$B$13,0))-MIN(MAX(AH651,0),MAX(0,AD616-IF($A652&gt;='1-Input'!$C$12,'1-Input'!$B$13,0))))*(1/(1-'P-Parametri'!$B$6*AD652))),MAX(0,2*AD616-(AH651-MIN(MAX(AH651,0),MAX(0,AD616-IF($A652&gt;='1-Input'!$C$12,'1-Input'!$B$13,0)))))*(1/(1-'P-Parametri'!$B$6*AD652))))</f>
        <v>7060.5147532423689</v>
      </c>
      <c r="AF652" s="18">
        <f>IF($A652&gt;'1-Input'!$B$26,AH651,(AH651-MAX(0,AD616-IF($A652&gt;='1-Input'!$C$12,'1-Input'!$B$13,0))+AE652*(1-'P-Parametri'!$B$6*AD652))*(1+'1-Input'!$B$27))</f>
        <v>37100.631169120483</v>
      </c>
      <c r="AG652" s="18">
        <f>IF($A652&gt;'1-Input'!$B$26,AI651,(AI651-AE652)*(1+'5-Roberta'!$C$4))</f>
        <v>31364.317319738057</v>
      </c>
      <c r="AH652" s="18">
        <f>IF($A652&gt;'1-Input'!$B$26,AF652,AF652-'P-Parametri'!$B$8*(AG652+AF652)+MIN(MAX(AG652,0),'P-Parametri'!$B$8*(AG652+AF652)))</f>
        <v>37100.631169120483</v>
      </c>
      <c r="AI652" s="18">
        <f>IF($A652&gt;'1-Input'!$B$26,AG652,AG652-MIN(MAX(AG652,0),'P-Parametri'!$B$8*(AG652+AF652)))</f>
        <v>31227.387422760341</v>
      </c>
      <c r="AJ652" s="18">
        <f>IF($A652&gt;'1-Input'!$B$26,AJ651,AJ651-AE652*(1-AD652))</f>
        <v>9813.3767995250382</v>
      </c>
      <c r="AK652" s="11">
        <f>IF($A652&gt;'1-Input'!$B$26,0,IF(AP651&lt;=0,0,MAX(0,(AP651-AQ651)/AP651)))</f>
        <v>0.67773026919132728</v>
      </c>
      <c r="AL652" s="18">
        <f>IF($A652&gt;'1-Input'!$B$26,0,(MAX(0,AK616-IF($A652&gt;='1-Input'!$C$12,'1-Input'!$B$13,0))-MIN(MAX(AO651,0),MAX(0,AK616-IF($A652&gt;='1-Input'!$C$12,'1-Input'!$B$13,0))))*(1/(1-'P-Parametri'!$B$6*AK652))+MIN(MAX(0,AP651-(MAX(0,AK616-IF($A652&gt;='1-Input'!$C$12,'1-Input'!$B$13,0))-MIN(MAX(AO651,0),MAX(0,AK616-IF($A652&gt;='1-Input'!$C$12,'1-Input'!$B$13,0))))*(1/(1-'P-Parametri'!$B$6*AK652))),MAX(0,2*AK616-(AO651-MIN(MAX(AO651,0),MAX(0,AK616-IF($A652&gt;='1-Input'!$C$12,'1-Input'!$B$13,0)))))*(1/(1-'P-Parametri'!$B$6*AK652))))</f>
        <v>7060.455534279231</v>
      </c>
      <c r="AM652" s="18">
        <f>IF($A652&gt;'1-Input'!$B$26,AO651,(AO651-MAX(0,AK616-IF($A652&gt;='1-Input'!$C$12,'1-Input'!$B$13,0))+AL652*(1-'P-Parametri'!$B$6*AK652))*(1+'1-Input'!$B$27))</f>
        <v>37100.533720449668</v>
      </c>
      <c r="AN652" s="18">
        <f>IF($A652&gt;'1-Input'!$B$26,AP651,(AP651-AL652)*(1+'5-Roberta'!$C$4))</f>
        <v>31367.76430936866</v>
      </c>
      <c r="AO652" s="18">
        <f>IF($A652&gt;'1-Input'!$B$26,AM652,AM652-'P-Parametri'!$B$8*(AN652+AM652)+MIN(MAX(AN652,0),'P-Parametri'!$B$8*(AN652+AM652)))</f>
        <v>37100.533720449668</v>
      </c>
      <c r="AP652" s="18">
        <f>IF($A652&gt;'1-Input'!$B$26,AN652,AN652-MIN(MAX(AN652,0),'P-Parametri'!$B$8*(AN652+AM652)))</f>
        <v>31230.827713309023</v>
      </c>
      <c r="AQ652" s="18">
        <f>IF($A652&gt;'1-Input'!$B$26,AQ651,AQ651-AL652*(1-AK652))</f>
        <v>9814.4475340292502</v>
      </c>
    </row>
    <row r="653" spans="1:43">
      <c r="A653" s="10">
        <f>35</f>
        <v>35</v>
      </c>
      <c r="B653" s="11">
        <f>IF($A653&gt;'1-Input'!$B$26,0,IF(G652&lt;=0,0,MAX(0,(G652-H652)/G652)))</f>
        <v>0.6898676057326113</v>
      </c>
      <c r="C653" s="18">
        <f>IF($A653&gt;'1-Input'!$B$26,0,(MAX(0,B616-IF($A653&gt;='1-Input'!$C$12,'1-Input'!$B$13,0))-MIN(MAX(F652,0),MAX(0,B616-IF($A653&gt;='1-Input'!$C$12,'1-Input'!$B$13,0))))*(1/(1-'P-Parametri'!$B$6*B653))+MIN(MAX(0,G652-(MAX(0,B616-IF($A653&gt;='1-Input'!$C$12,'1-Input'!$B$13,0))-MIN(MAX(F652,0),MAX(0,B616-IF($A653&gt;='1-Input'!$C$12,'1-Input'!$B$13,0))))*(1/(1-'P-Parametri'!$B$6*B653))),MAX(0,2*B616-(F652-MIN(MAX(F652,0),MAX(0,B616-IF($A653&gt;='1-Input'!$C$12,'1-Input'!$B$13,0)))))*(1/(1-'P-Parametri'!$B$6*B653))))</f>
        <v>4711.182966305867</v>
      </c>
      <c r="D653" s="18">
        <f>IF($A653&gt;'1-Input'!$B$26,F652,(F652-MAX(0,B616-IF($A653&gt;='1-Input'!$C$12,'1-Input'!$B$13,0))+C653*(1-'P-Parametri'!$B$6*B653))*(1+'1-Input'!$B$27))</f>
        <v>33242.0070309863</v>
      </c>
      <c r="E653" s="18">
        <f>IF($A653&gt;'1-Input'!$B$26,G652,(G652-C653)*(1+'5-Roberta'!$C$4))</f>
        <v>167727.08293803365</v>
      </c>
      <c r="F653" s="18">
        <f>IF($A653&gt;'1-Input'!$B$26,D653,D653-'P-Parametri'!$B$8*(E653+D653)+MIN(MAX(E653,0),'P-Parametri'!$B$8*(E653+D653)))</f>
        <v>33242.0070309863</v>
      </c>
      <c r="G653" s="18">
        <f>IF($A653&gt;'1-Input'!$B$26,E653,E653-MIN(MAX(E653,0),'P-Parametri'!$B$8*(E653+D653)))</f>
        <v>167325.14475809562</v>
      </c>
      <c r="H653" s="18">
        <f>IF($A653&gt;'1-Input'!$B$26,H652,H652-C653*(1-B653))</f>
        <v>50502.526034036164</v>
      </c>
      <c r="I653" s="11">
        <f>IF($A653&gt;'1-Input'!$B$26,0,IF(N652&lt;=0,0,MAX(0,(N652-O652)/N652)))</f>
        <v>0</v>
      </c>
      <c r="J653" s="18">
        <f>IF($A653&gt;'1-Input'!$B$26,0,(MAX(0,I616-IF($A653&gt;='1-Input'!$C$12,'1-Input'!$B$13,0))-MIN(MAX(M652,0),MAX(0,I616-IF($A653&gt;='1-Input'!$C$12,'1-Input'!$B$13,0))))*(1/(1-'P-Parametri'!$B$6*I653))+MIN(MAX(0,N652-(MAX(0,I616-IF($A653&gt;='1-Input'!$C$12,'1-Input'!$B$13,0))-MIN(MAX(M652,0),MAX(0,I616-IF($A653&gt;='1-Input'!$C$12,'1-Input'!$B$13,0))))*(1/(1-'P-Parametri'!$B$6*I653))),MAX(0,2*I616-(M652-MIN(MAX(M652,0),MAX(0,I616-IF($A653&gt;='1-Input'!$C$12,'1-Input'!$B$13,0)))))*(1/(1-'P-Parametri'!$B$6*I653))))</f>
        <v>9013.756992928691</v>
      </c>
      <c r="K653" s="18">
        <f>IF($A653&gt;'1-Input'!$B$26,M652,(M652-MAX(0,I616-IF($A653&gt;='1-Input'!$C$12,'1-Input'!$B$13,0))+J653*(1-'P-Parametri'!$B$6*I653))*(1+'1-Input'!$B$27))</f>
        <v>0</v>
      </c>
      <c r="L653" s="18">
        <f>IF($A653&gt;'1-Input'!$B$26,N652,(N652-J653)*(1+'5-Roberta'!$C$4))</f>
        <v>-118405.09088208977</v>
      </c>
      <c r="M653" s="18">
        <f>IF($A653&gt;'1-Input'!$B$26,K653,K653-'P-Parametri'!$B$8*(L653+K653)+MIN(MAX(L653,0),'P-Parametri'!$B$8*(L653+K653)))</f>
        <v>0</v>
      </c>
      <c r="N653" s="18">
        <f>IF($A653&gt;'1-Input'!$B$26,L653,L653-MIN(MAX(L653,0),'P-Parametri'!$B$8*(L653+K653)))</f>
        <v>-118168.2807003256</v>
      </c>
      <c r="O653" s="18">
        <f>IF($A653&gt;'1-Input'!$B$26,O652,O652-J653*(1-I653))</f>
        <v>-99686.829774273472</v>
      </c>
      <c r="P653" s="11">
        <f>IF($A653&gt;'1-Input'!$B$26,0,IF(U652&lt;=0,0,MAX(0,(U652-V652)/U652)))</f>
        <v>0.68057501154452482</v>
      </c>
      <c r="Q653" s="18">
        <f>IF($A653&gt;'1-Input'!$B$26,0,(MAX(0,P616-IF($A653&gt;='1-Input'!$C$12,'1-Input'!$B$13,0))-MIN(MAX(T652,0),MAX(0,P616-IF($A653&gt;='1-Input'!$C$12,'1-Input'!$B$13,0))))*(1/(1-'P-Parametri'!$B$6*P653))+MIN(MAX(0,U652-(MAX(0,P616-IF($A653&gt;='1-Input'!$C$12,'1-Input'!$B$13,0))-MIN(MAX(T652,0),MAX(0,P616-IF($A653&gt;='1-Input'!$C$12,'1-Input'!$B$13,0))))*(1/(1-'P-Parametri'!$B$6*P653))),MAX(0,2*P616-(T652-MIN(MAX(T652,0),MAX(0,P616-IF($A653&gt;='1-Input'!$C$12,'1-Input'!$B$13,0)))))*(1/(1-'P-Parametri'!$B$6*P653))))</f>
        <v>7472.3580313356933</v>
      </c>
      <c r="R653" s="18">
        <f>IF($A653&gt;'1-Input'!$B$26,T652,(T652-MAX(0,P616-IF($A653&gt;='1-Input'!$C$12,'1-Input'!$B$13,0))+Q653*(1-'P-Parametri'!$B$6*P653))*(1+'1-Input'!$B$27))</f>
        <v>37760.964119681914</v>
      </c>
      <c r="S653" s="18">
        <f>IF($A653&gt;'1-Input'!$B$26,U652,(U652-Q653)*(1+'5-Roberta'!$C$4))</f>
        <v>466.72700460331936</v>
      </c>
      <c r="T653" s="18">
        <f>IF($A653&gt;'1-Input'!$B$26,R653,R653-'P-Parametri'!$B$8*(S653+R653)+MIN(MAX(S653,0),'P-Parametri'!$B$8*(S653+R653)))</f>
        <v>37760.964119681914</v>
      </c>
      <c r="U653" s="18">
        <f>IF($A653&gt;'1-Input'!$B$26,S653,S653-MIN(MAX(S653,0),'P-Parametri'!$B$8*(S653+R653)))</f>
        <v>390.2716223547489</v>
      </c>
      <c r="V653" s="18">
        <f>IF($A653&gt;'1-Input'!$B$26,V652,V652-Q653*(1-P653))</f>
        <v>144.7420078225955</v>
      </c>
      <c r="W653" s="11">
        <f>IF($A653&gt;'1-Input'!$B$26,0,IF(AB652&lt;=0,0,MAX(0,(AB652-AC652)/AB652)))</f>
        <v>0.68556783062970295</v>
      </c>
      <c r="X653" s="18">
        <f>IF($A653&gt;'1-Input'!$B$26,0,(MAX(0,W616-IF($A653&gt;='1-Input'!$C$12,'1-Input'!$B$13,0))-MIN(MAX(AA652,0),MAX(0,W616-IF($A653&gt;='1-Input'!$C$12,'1-Input'!$B$13,0))))*(1/(1-'P-Parametri'!$B$6*W653))+MIN(MAX(0,AB652-(MAX(0,W616-IF($A653&gt;='1-Input'!$C$12,'1-Input'!$B$13,0))-MIN(MAX(AA652,0),MAX(0,W616-IF($A653&gt;='1-Input'!$C$12,'1-Input'!$B$13,0))))*(1/(1-'P-Parametri'!$B$6*W653))),MAX(0,2*W616-(AA652-MIN(MAX(AA652,0),MAX(0,W616-IF($A653&gt;='1-Input'!$C$12,'1-Input'!$B$13,0)))))*(1/(1-'P-Parametri'!$B$6*W653))))</f>
        <v>7108.7040610711092</v>
      </c>
      <c r="Y653" s="18">
        <f>IF($A653&gt;'1-Input'!$B$26,AA652,(AA652-MAX(0,W616-IF($A653&gt;='1-Input'!$C$12,'1-Input'!$B$13,0))+X653*(1-'P-Parametri'!$B$6*W653))*(1+'1-Input'!$B$27))</f>
        <v>37150.513557777522</v>
      </c>
      <c r="Z653" s="18">
        <f>IF($A653&gt;'1-Input'!$B$26,AB652,(AB652-X653)*(1+'5-Roberta'!$C$4))</f>
        <v>23028.425786234213</v>
      </c>
      <c r="AA653" s="18">
        <f>IF($A653&gt;'1-Input'!$B$26,Y653,Y653-'P-Parametri'!$B$8*(Z653+Y653)+MIN(MAX(Z653,0),'P-Parametri'!$B$8*(Z653+Y653)))</f>
        <v>37150.513557777522</v>
      </c>
      <c r="AB653" s="18">
        <f>IF($A653&gt;'1-Input'!$B$26,Z653,Z653-MIN(MAX(Z653,0),'P-Parametri'!$B$8*(Z653+Y653)))</f>
        <v>22908.067907546189</v>
      </c>
      <c r="AC653" s="18">
        <f>IF($A653&gt;'1-Input'!$B$26,AC652,AC652-X653*(1-W653))</f>
        <v>7029.9785215034062</v>
      </c>
      <c r="AD653" s="11">
        <f>IF($A653&gt;'1-Input'!$B$26,0,IF(AI652&lt;=0,0,MAX(0,(AI652-AJ652)/AI652)))</f>
        <v>0.6857445463922327</v>
      </c>
      <c r="AE653" s="18">
        <f>IF($A653&gt;'1-Input'!$B$26,0,(MAX(0,AD616-IF($A653&gt;='1-Input'!$C$12,'1-Input'!$B$13,0))-MIN(MAX(AH652,0),MAX(0,AD616-IF($A653&gt;='1-Input'!$C$12,'1-Input'!$B$13,0))))*(1/(1-'P-Parametri'!$B$6*AD653))+MIN(MAX(0,AI652-(MAX(0,AD616-IF($A653&gt;='1-Input'!$C$12,'1-Input'!$B$13,0))-MIN(MAX(AH652,0),MAX(0,AD616-IF($A653&gt;='1-Input'!$C$12,'1-Input'!$B$13,0))))*(1/(1-'P-Parametri'!$B$6*AD653))),MAX(0,2*AD616-(AH652-MIN(MAX(AH652,0),MAX(0,AD616-IF($A653&gt;='1-Input'!$C$12,'1-Input'!$B$13,0)))))*(1/(1-'P-Parametri'!$B$6*AD653))))</f>
        <v>7078.4196253091905</v>
      </c>
      <c r="AF653" s="18">
        <f>IF($A653&gt;'1-Input'!$B$26,AH652,(AH652-MAX(0,AD616-IF($A653&gt;='1-Input'!$C$12,'1-Input'!$B$13,0))+AE653*(1-'P-Parametri'!$B$6*AD653))*(1+'1-Input'!$B$27))</f>
        <v>37100.631169120483</v>
      </c>
      <c r="AG653" s="18">
        <f>IF($A653&gt;'1-Input'!$B$26,AI652,(AI652-AE653)*(1+'5-Roberta'!$C$4))</f>
        <v>24873.436831374685</v>
      </c>
      <c r="AH653" s="18">
        <f>IF($A653&gt;'1-Input'!$B$26,AF653,AF653-'P-Parametri'!$B$8*(AG653+AF653)+MIN(MAX(AG653,0),'P-Parametri'!$B$8*(AG653+AF653)))</f>
        <v>37100.631169120483</v>
      </c>
      <c r="AI653" s="18">
        <f>IF($A653&gt;'1-Input'!$B$26,AG653,AG653-MIN(MAX(AG653,0),'P-Parametri'!$B$8*(AG653+AF653)))</f>
        <v>24749.488695373697</v>
      </c>
      <c r="AJ653" s="18">
        <f>IF($A653&gt;'1-Input'!$B$26,AJ652,AJ652-AE653*(1-AD653))</f>
        <v>7588.9448293473761</v>
      </c>
      <c r="AK653" s="11">
        <f>IF($A653&gt;'1-Input'!$B$26,0,IF(AP652&lt;=0,0,MAX(0,(AP652-AQ652)/AP652)))</f>
        <v>0.68574487925445471</v>
      </c>
      <c r="AL653" s="18">
        <f>IF($A653&gt;'1-Input'!$B$26,0,(MAX(0,AK616-IF($A653&gt;='1-Input'!$C$12,'1-Input'!$B$13,0))-MIN(MAX(AO652,0),MAX(0,AK616-IF($A653&gt;='1-Input'!$C$12,'1-Input'!$B$13,0))))*(1/(1-'P-Parametri'!$B$6*AK653))+MIN(MAX(0,AP652-(MAX(0,AK616-IF($A653&gt;='1-Input'!$C$12,'1-Input'!$B$13,0))-MIN(MAX(AO652,0),MAX(0,AK616-IF($A653&gt;='1-Input'!$C$12,'1-Input'!$B$13,0))))*(1/(1-'P-Parametri'!$B$6*AK653))),MAX(0,2*AK616-(AO652-MIN(MAX(AO652,0),MAX(0,AK616-IF($A653&gt;='1-Input'!$C$12,'1-Input'!$B$13,0)))))*(1/(1-'P-Parametri'!$B$6*AK653))))</f>
        <v>7078.3604315782723</v>
      </c>
      <c r="AM653" s="18">
        <f>IF($A653&gt;'1-Input'!$B$26,AO652,(AO652-MAX(0,AK616-IF($A653&gt;='1-Input'!$C$12,'1-Input'!$B$13,0))+AL653*(1-'P-Parametri'!$B$6*AK653))*(1+'1-Input'!$B$27))</f>
        <v>37100.533720449668</v>
      </c>
      <c r="AN653" s="18">
        <f>IF($A653&gt;'1-Input'!$B$26,AP652,(AP652-AL653)*(1+'5-Roberta'!$C$4))</f>
        <v>24877.041300182675</v>
      </c>
      <c r="AO653" s="18">
        <f>IF($A653&gt;'1-Input'!$B$26,AM653,AM653-'P-Parametri'!$B$8*(AN653+AM653)+MIN(MAX(AN653,0),'P-Parametri'!$B$8*(AN653+AM653)))</f>
        <v>37100.533720449668</v>
      </c>
      <c r="AP653" s="18">
        <f>IF($A653&gt;'1-Input'!$B$26,AN653,AN653-MIN(MAX(AN653,0),'P-Parametri'!$B$8*(AN653+AM653)))</f>
        <v>24753.086150141411</v>
      </c>
      <c r="AQ653" s="18">
        <f>IF($A653&gt;'1-Input'!$B$26,AQ652,AQ652-AL653*(1-AK653))</f>
        <v>7590.0365219231298</v>
      </c>
    </row>
    <row r="654" spans="1:43">
      <c r="A654" s="10">
        <f>36</f>
        <v>36</v>
      </c>
      <c r="B654" s="11">
        <f>IF($A654&gt;'1-Input'!$B$26,0,IF(G653&lt;=0,0,MAX(0,(G653-H653)/G653)))</f>
        <v>0.69817730558638758</v>
      </c>
      <c r="C654" s="18">
        <f>IF($A654&gt;'1-Input'!$B$26,0,(MAX(0,B616-IF($A654&gt;='1-Input'!$C$12,'1-Input'!$B$13,0))-MIN(MAX(F653,0),MAX(0,B616-IF($A654&gt;='1-Input'!$C$12,'1-Input'!$B$13,0))))*(1/(1-'P-Parametri'!$B$6*B654))+MIN(MAX(0,G653-(MAX(0,B616-IF($A654&gt;='1-Input'!$C$12,'1-Input'!$B$13,0))-MIN(MAX(F653,0),MAX(0,B616-IF($A654&gt;='1-Input'!$C$12,'1-Input'!$B$13,0))))*(1/(1-'P-Parametri'!$B$6*B654))),MAX(0,2*B616-(F653-MIN(MAX(F653,0),MAX(0,B616-IF($A654&gt;='1-Input'!$C$12,'1-Input'!$B$13,0)))))*(1/(1-'P-Parametri'!$B$6*B654))))</f>
        <v>4723.6190552988201</v>
      </c>
      <c r="D654" s="18">
        <f>IF($A654&gt;'1-Input'!$B$26,F653,(F653-MAX(0,B616-IF($A654&gt;='1-Input'!$C$12,'1-Input'!$B$13,0))+C654*(1-'P-Parametri'!$B$6*B654))*(1+'1-Input'!$B$27))</f>
        <v>33242.0070309863</v>
      </c>
      <c r="E654" s="18">
        <f>IF($A654&gt;'1-Input'!$B$26,G653,(G653-C654)*(1+'5-Roberta'!$C$4))</f>
        <v>167479.5714738807</v>
      </c>
      <c r="F654" s="18">
        <f>IF($A654&gt;'1-Input'!$B$26,D654,D654-'P-Parametri'!$B$8*(E654+D654)+MIN(MAX(E654,0),'P-Parametri'!$B$8*(E654+D654)))</f>
        <v>33242.0070309863</v>
      </c>
      <c r="G654" s="18">
        <f>IF($A654&gt;'1-Input'!$B$26,E654,E654-MIN(MAX(E654,0),'P-Parametri'!$B$8*(E654+D654)))</f>
        <v>167078.12831687098</v>
      </c>
      <c r="H654" s="18">
        <f>IF($A654&gt;'1-Input'!$B$26,H653,H653-C654*(1-B654))</f>
        <v>49076.83060338239</v>
      </c>
      <c r="I654" s="11">
        <f>IF($A654&gt;'1-Input'!$B$26,0,IF(N653&lt;=0,0,MAX(0,(N653-O653)/N653)))</f>
        <v>0</v>
      </c>
      <c r="J654" s="18">
        <f>IF($A654&gt;'1-Input'!$B$26,0,(MAX(0,I616-IF($A654&gt;='1-Input'!$C$12,'1-Input'!$B$13,0))-MIN(MAX(M653,0),MAX(0,I616-IF($A654&gt;='1-Input'!$C$12,'1-Input'!$B$13,0))))*(1/(1-'P-Parametri'!$B$6*I654))+MIN(MAX(0,N653-(MAX(0,I616-IF($A654&gt;='1-Input'!$C$12,'1-Input'!$B$13,0))-MIN(MAX(M653,0),MAX(0,I616-IF($A654&gt;='1-Input'!$C$12,'1-Input'!$B$13,0))))*(1/(1-'P-Parametri'!$B$6*I654))),MAX(0,2*I616-(M653-MIN(MAX(M653,0),MAX(0,I616-IF($A654&gt;='1-Input'!$C$12,'1-Input'!$B$13,0)))))*(1/(1-'P-Parametri'!$B$6*I654))))</f>
        <v>9013.756992928691</v>
      </c>
      <c r="K654" s="18">
        <f>IF($A654&gt;'1-Input'!$B$26,M653,(M653-MAX(0,I616-IF($A654&gt;='1-Input'!$C$12,'1-Input'!$B$13,0))+J654*(1-'P-Parametri'!$B$6*I654))*(1+'1-Input'!$B$27))</f>
        <v>0</v>
      </c>
      <c r="L654" s="18">
        <f>IF($A654&gt;'1-Input'!$B$26,N653,(N653-J654)*(1+'5-Roberta'!$C$4))</f>
        <v>-130997.49882405193</v>
      </c>
      <c r="M654" s="18">
        <f>IF($A654&gt;'1-Input'!$B$26,K654,K654-'P-Parametri'!$B$8*(L654+K654)+MIN(MAX(L654,0),'P-Parametri'!$B$8*(L654+K654)))</f>
        <v>0</v>
      </c>
      <c r="N654" s="18">
        <f>IF($A654&gt;'1-Input'!$B$26,L654,L654-MIN(MAX(L654,0),'P-Parametri'!$B$8*(L654+K654)))</f>
        <v>-130735.50382640383</v>
      </c>
      <c r="O654" s="18">
        <f>IF($A654&gt;'1-Input'!$B$26,O653,O653-J654*(1-I654))</f>
        <v>-108700.58676720216</v>
      </c>
      <c r="P654" s="11">
        <f>IF($A654&gt;'1-Input'!$B$26,0,IF(U653&lt;=0,0,MAX(0,(U653-V653)/U653)))</f>
        <v>0.62912494905656247</v>
      </c>
      <c r="Q654" s="18">
        <f>IF($A654&gt;'1-Input'!$B$26,0,(MAX(0,P616-IF($A654&gt;='1-Input'!$C$12,'1-Input'!$B$13,0))-MIN(MAX(T653,0),MAX(0,P616-IF($A654&gt;='1-Input'!$C$12,'1-Input'!$B$13,0))))*(1/(1-'P-Parametri'!$B$6*P654))+MIN(MAX(0,U653-(MAX(0,P616-IF($A654&gt;='1-Input'!$C$12,'1-Input'!$B$13,0))-MIN(MAX(T653,0),MAX(0,P616-IF($A654&gt;='1-Input'!$C$12,'1-Input'!$B$13,0))))*(1/(1-'P-Parametri'!$B$6*P654))),MAX(0,2*P616-(T653-MIN(MAX(T653,0),MAX(0,P616-IF($A654&gt;='1-Input'!$C$12,'1-Input'!$B$13,0)))))*(1/(1-'P-Parametri'!$B$6*P654))))</f>
        <v>390.2716223547489</v>
      </c>
      <c r="R654" s="18">
        <f>IF($A654&gt;'1-Input'!$B$26,T653,(T653-MAX(0,P616-IF($A654&gt;='1-Input'!$C$12,'1-Input'!$B$13,0))+Q654*(1-'P-Parametri'!$B$6*P654))*(1+'1-Input'!$B$27))</f>
        <v>31958.235349465216</v>
      </c>
      <c r="S654" s="18">
        <f>IF($A654&gt;'1-Input'!$B$26,U653,(U653-Q654)*(1+'5-Roberta'!$C$4))</f>
        <v>0</v>
      </c>
      <c r="T654" s="18">
        <f>IF($A654&gt;'1-Input'!$B$26,R654,R654-'P-Parametri'!$B$8*(S654+R654)+MIN(MAX(S654,0),'P-Parametri'!$B$8*(S654+R654)))</f>
        <v>31894.318878766284</v>
      </c>
      <c r="U654" s="18">
        <f>IF($A654&gt;'1-Input'!$B$26,S654,S654-MIN(MAX(S654,0),'P-Parametri'!$B$8*(S654+R654)))</f>
        <v>0</v>
      </c>
      <c r="V654" s="18">
        <f>IF($A654&gt;'1-Input'!$B$26,V653,V653-Q654*(1-P654))</f>
        <v>-2.8421709430404007E-14</v>
      </c>
      <c r="W654" s="11">
        <f>IF($A654&gt;'1-Input'!$B$26,0,IF(AB653&lt;=0,0,MAX(0,(AB653-AC653)/AB653)))</f>
        <v>0.69312215461053139</v>
      </c>
      <c r="X654" s="18">
        <f>IF($A654&gt;'1-Input'!$B$26,0,(MAX(0,W616-IF($A654&gt;='1-Input'!$C$12,'1-Input'!$B$13,0))-MIN(MAX(AA653,0),MAX(0,W616-IF($A654&gt;='1-Input'!$C$12,'1-Input'!$B$13,0))))*(1/(1-'P-Parametri'!$B$6*W654))+MIN(MAX(0,AB653-(MAX(0,W616-IF($A654&gt;='1-Input'!$C$12,'1-Input'!$B$13,0))-MIN(MAX(AA653,0),MAX(0,W616-IF($A654&gt;='1-Input'!$C$12,'1-Input'!$B$13,0))))*(1/(1-'P-Parametri'!$B$6*W654))),MAX(0,2*W616-(AA653-MIN(MAX(AA653,0),MAX(0,W616-IF($A654&gt;='1-Input'!$C$12,'1-Input'!$B$13,0)))))*(1/(1-'P-Parametri'!$B$6*W654))))</f>
        <v>7125.7357495584747</v>
      </c>
      <c r="Y654" s="18">
        <f>IF($A654&gt;'1-Input'!$B$26,AA653,(AA653-MAX(0,W616-IF($A654&gt;='1-Input'!$C$12,'1-Input'!$B$13,0))+X654*(1-'P-Parametri'!$B$6*W654))*(1+'1-Input'!$B$27))</f>
        <v>37150.513557777522</v>
      </c>
      <c r="Z654" s="18">
        <f>IF($A654&gt;'1-Input'!$B$26,AB653,(AB653-X654)*(1+'5-Roberta'!$C$4))</f>
        <v>16255.802122727346</v>
      </c>
      <c r="AA654" s="18">
        <f>IF($A654&gt;'1-Input'!$B$26,Y654,Y654-'P-Parametri'!$B$8*(Z654+Y654)+MIN(MAX(Z654,0),'P-Parametri'!$B$8*(Z654+Y654)))</f>
        <v>37150.513557777522</v>
      </c>
      <c r="AB654" s="18">
        <f>IF($A654&gt;'1-Input'!$B$26,Z654,Z654-MIN(MAX(Z654,0),'P-Parametri'!$B$8*(Z654+Y654)))</f>
        <v>16148.989491366336</v>
      </c>
      <c r="AC654" s="18">
        <f>IF($A654&gt;'1-Input'!$B$26,AC653,AC653-X654*(1-W654))</f>
        <v>4843.2480878641909</v>
      </c>
      <c r="AD654" s="11">
        <f>IF($A654&gt;'1-Input'!$B$26,0,IF(AI653&lt;=0,0,MAX(0,(AI653-AJ653)/AI653)))</f>
        <v>0.69336963188391276</v>
      </c>
      <c r="AE654" s="18">
        <f>IF($A654&gt;'1-Input'!$B$26,0,(MAX(0,AD616-IF($A654&gt;='1-Input'!$C$12,'1-Input'!$B$13,0))-MIN(MAX(AH653,0),MAX(0,AD616-IF($A654&gt;='1-Input'!$C$12,'1-Input'!$B$13,0))))*(1/(1-'P-Parametri'!$B$6*AD654))+MIN(MAX(0,AI653-(MAX(0,AD616-IF($A654&gt;='1-Input'!$C$12,'1-Input'!$B$13,0))-MIN(MAX(AH653,0),MAX(0,AD616-IF($A654&gt;='1-Input'!$C$12,'1-Input'!$B$13,0))))*(1/(1-'P-Parametri'!$B$6*AD654))),MAX(0,2*AD616-(AH653-MIN(MAX(AH653,0),MAX(0,AD616-IF($A654&gt;='1-Input'!$C$12,'1-Input'!$B$13,0)))))*(1/(1-'P-Parametri'!$B$6*AD654))))</f>
        <v>7095.5389557551744</v>
      </c>
      <c r="AF654" s="18">
        <f>IF($A654&gt;'1-Input'!$B$26,AH653,(AH653-MAX(0,AD616-IF($A654&gt;='1-Input'!$C$12,'1-Input'!$B$13,0))+AE654*(1-'P-Parametri'!$B$6*AD654))*(1+'1-Input'!$B$27))</f>
        <v>37100.631169120483</v>
      </c>
      <c r="AG654" s="18">
        <f>IF($A654&gt;'1-Input'!$B$26,AI653,(AI653-AE654)*(1+'5-Roberta'!$C$4))</f>
        <v>18183.568231807079</v>
      </c>
      <c r="AH654" s="18">
        <f>IF($A654&gt;'1-Input'!$B$26,AF654,AF654-'P-Parametri'!$B$8*(AG654+AF654)+MIN(MAX(AG654,0),'P-Parametri'!$B$8*(AG654+AF654)))</f>
        <v>37100.631169120483</v>
      </c>
      <c r="AI654" s="18">
        <f>IF($A654&gt;'1-Input'!$B$26,AG654,AG654-MIN(MAX(AG654,0),'P-Parametri'!$B$8*(AG654+AF654)))</f>
        <v>18072.999833005226</v>
      </c>
      <c r="AJ654" s="18">
        <f>IF($A654&gt;'1-Input'!$B$26,AJ653,AJ653-AE654*(1-AD654))</f>
        <v>5413.2371073621298</v>
      </c>
      <c r="AK654" s="11">
        <f>IF($A654&gt;'1-Input'!$B$26,0,IF(AP653&lt;=0,0,MAX(0,(AP653-AQ653)/AP653)))</f>
        <v>0.69337009228322943</v>
      </c>
      <c r="AL654" s="18">
        <f>IF($A654&gt;'1-Input'!$B$26,0,(MAX(0,AK616-IF($A654&gt;='1-Input'!$C$12,'1-Input'!$B$13,0))-MIN(MAX(AO653,0),MAX(0,AK616-IF($A654&gt;='1-Input'!$C$12,'1-Input'!$B$13,0))))*(1/(1-'P-Parametri'!$B$6*AK654))+MIN(MAX(0,AP653-(MAX(0,AK616-IF($A654&gt;='1-Input'!$C$12,'1-Input'!$B$13,0))-MIN(MAX(AO653,0),MAX(0,AK616-IF($A654&gt;='1-Input'!$C$12,'1-Input'!$B$13,0))))*(1/(1-'P-Parametri'!$B$6*AK654))),MAX(0,2*AK616-(AO653-MIN(MAX(AO653,0),MAX(0,AK616-IF($A654&gt;='1-Input'!$C$12,'1-Input'!$B$13,0)))))*(1/(1-'P-Parametri'!$B$6*AK654))))</f>
        <v>7095.4799076980553</v>
      </c>
      <c r="AM654" s="18">
        <f>IF($A654&gt;'1-Input'!$B$26,AO653,(AO653-MAX(0,AK616-IF($A654&gt;='1-Input'!$C$12,'1-Input'!$B$13,0))+AL654*(1-'P-Parametri'!$B$6*AK654))*(1+'1-Input'!$B$27))</f>
        <v>37100.533720449668</v>
      </c>
      <c r="AN654" s="18">
        <f>IF($A654&gt;'1-Input'!$B$26,AP653,(AP653-AL654)*(1+'5-Roberta'!$C$4))</f>
        <v>18187.334429716655</v>
      </c>
      <c r="AO654" s="18">
        <f>IF($A654&gt;'1-Input'!$B$26,AM654,AM654-'P-Parametri'!$B$8*(AN654+AM654)+MIN(MAX(AN654,0),'P-Parametri'!$B$8*(AN654+AM654)))</f>
        <v>37100.533720449668</v>
      </c>
      <c r="AP654" s="18">
        <f>IF($A654&gt;'1-Input'!$B$26,AN654,AN654-MIN(MAX(AN654,0),'P-Parametri'!$B$8*(AN654+AM654)))</f>
        <v>18076.758693416323</v>
      </c>
      <c r="AQ654" s="18">
        <f>IF($A654&gt;'1-Input'!$B$26,AQ653,AQ653-AL654*(1-AK654))</f>
        <v>5414.3501726194754</v>
      </c>
    </row>
    <row r="655" spans="1:43">
      <c r="A655" s="10">
        <f>37</f>
        <v>37</v>
      </c>
      <c r="B655" s="11">
        <f>IF($A655&gt;'1-Input'!$B$26,0,IF(G654&lt;=0,0,MAX(0,(G654-H654)/G654)))</f>
        <v>0.70626418252480039</v>
      </c>
      <c r="C655" s="18">
        <f>IF($A655&gt;'1-Input'!$B$26,0,(MAX(0,B616-IF($A655&gt;='1-Input'!$C$12,'1-Input'!$B$13,0))-MIN(MAX(F654,0),MAX(0,B616-IF($A655&gt;='1-Input'!$C$12,'1-Input'!$B$13,0))))*(1/(1-'P-Parametri'!$B$6*B655))+MIN(MAX(0,G654-(MAX(0,B616-IF($A655&gt;='1-Input'!$C$12,'1-Input'!$B$13,0))-MIN(MAX(F654,0),MAX(0,B616-IF($A655&gt;='1-Input'!$C$12,'1-Input'!$B$13,0))))*(1/(1-'P-Parametri'!$B$6*B655))),MAX(0,2*B616-(F654-MIN(MAX(F654,0),MAX(0,B616-IF($A655&gt;='1-Input'!$C$12,'1-Input'!$B$13,0)))))*(1/(1-'P-Parametri'!$B$6*B655))))</f>
        <v>4735.7848732403309</v>
      </c>
      <c r="D655" s="18">
        <f>IF($A655&gt;'1-Input'!$B$26,F654,(F654-MAX(0,B616-IF($A655&gt;='1-Input'!$C$12,'1-Input'!$B$13,0))+C655*(1-'P-Parametri'!$B$6*B655))*(1+'1-Input'!$B$27))</f>
        <v>33242.0070309863</v>
      </c>
      <c r="E655" s="18">
        <f>IF($A655&gt;'1-Input'!$B$26,G654,(G654-C655)*(1+'5-Roberta'!$C$4))</f>
        <v>167212.61374693958</v>
      </c>
      <c r="F655" s="18">
        <f>IF($A655&gt;'1-Input'!$B$26,D655,D655-'P-Parametri'!$B$8*(E655+D655)+MIN(MAX(E655,0),'P-Parametri'!$B$8*(E655+D655)))</f>
        <v>33242.0070309863</v>
      </c>
      <c r="G655" s="18">
        <f>IF($A655&gt;'1-Input'!$B$26,E655,E655-MIN(MAX(E655,0),'P-Parametri'!$B$8*(E655+D655)))</f>
        <v>166811.70450538374</v>
      </c>
      <c r="H655" s="18">
        <f>IF($A655&gt;'1-Input'!$B$26,H654,H654-C655*(1-B655))</f>
        <v>47685.760962254455</v>
      </c>
      <c r="I655" s="11">
        <f>IF($A655&gt;'1-Input'!$B$26,0,IF(N654&lt;=0,0,MAX(0,(N654-O654)/N654)))</f>
        <v>0</v>
      </c>
      <c r="J655" s="18">
        <f>IF($A655&gt;'1-Input'!$B$26,0,(MAX(0,I616-IF($A655&gt;='1-Input'!$C$12,'1-Input'!$B$13,0))-MIN(MAX(M654,0),MAX(0,I616-IF($A655&gt;='1-Input'!$C$12,'1-Input'!$B$13,0))))*(1/(1-'P-Parametri'!$B$6*I655))+MIN(MAX(0,N654-(MAX(0,I616-IF($A655&gt;='1-Input'!$C$12,'1-Input'!$B$13,0))-MIN(MAX(M654,0),MAX(0,I616-IF($A655&gt;='1-Input'!$C$12,'1-Input'!$B$13,0))))*(1/(1-'P-Parametri'!$B$6*I655))),MAX(0,2*I616-(M654-MIN(MAX(M654,0),MAX(0,I616-IF($A655&gt;='1-Input'!$C$12,'1-Input'!$B$13,0)))))*(1/(1-'P-Parametri'!$B$6*I655))))</f>
        <v>9013.756992928691</v>
      </c>
      <c r="K655" s="18">
        <f>IF($A655&gt;'1-Input'!$B$26,M654,(M654-MAX(0,I616-IF($A655&gt;='1-Input'!$C$12,'1-Input'!$B$13,0))+J655*(1-'P-Parametri'!$B$6*I655))*(1+'1-Input'!$B$27))</f>
        <v>0</v>
      </c>
      <c r="L655" s="18">
        <f>IF($A655&gt;'1-Input'!$B$26,N654,(N654-J655)*(1+'5-Roberta'!$C$4))</f>
        <v>-143941.73864391251</v>
      </c>
      <c r="M655" s="18">
        <f>IF($A655&gt;'1-Input'!$B$26,K655,K655-'P-Parametri'!$B$8*(L655+K655)+MIN(MAX(L655,0),'P-Parametri'!$B$8*(L655+K655)))</f>
        <v>0</v>
      </c>
      <c r="N655" s="18">
        <f>IF($A655&gt;'1-Input'!$B$26,L655,L655-MIN(MAX(L655,0),'P-Parametri'!$B$8*(L655+K655)))</f>
        <v>-143653.85516662468</v>
      </c>
      <c r="O655" s="18">
        <f>IF($A655&gt;'1-Input'!$B$26,O654,O654-J655*(1-I655))</f>
        <v>-117714.34376013084</v>
      </c>
      <c r="P655" s="11">
        <f>IF($A655&gt;'1-Input'!$B$26,0,IF(U654&lt;=0,0,MAX(0,(U654-V654)/U654)))</f>
        <v>0</v>
      </c>
      <c r="Q655" s="18">
        <f>IF($A655&gt;'1-Input'!$B$26,0,(MAX(0,P616-IF($A655&gt;='1-Input'!$C$12,'1-Input'!$B$13,0))-MIN(MAX(T654,0),MAX(0,P616-IF($A655&gt;='1-Input'!$C$12,'1-Input'!$B$13,0))))*(1/(1-'P-Parametri'!$B$6*P655))+MIN(MAX(0,U654-(MAX(0,P616-IF($A655&gt;='1-Input'!$C$12,'1-Input'!$B$13,0))-MIN(MAX(T654,0),MAX(0,P616-IF($A655&gt;='1-Input'!$C$12,'1-Input'!$B$13,0))))*(1/(1-'P-Parametri'!$B$6*P655))),MAX(0,2*P616-(T654-MIN(MAX(T654,0),MAX(0,P616-IF($A655&gt;='1-Input'!$C$12,'1-Input'!$B$13,0)))))*(1/(1-'P-Parametri'!$B$6*P655))))</f>
        <v>0</v>
      </c>
      <c r="R655" s="18">
        <f>IF($A655&gt;'1-Input'!$B$26,T654,(T654-MAX(0,P616-IF($A655&gt;='1-Input'!$C$12,'1-Input'!$B$13,0))+Q655*(1-'P-Parametri'!$B$6*P655))*(1+'1-Input'!$B$27))</f>
        <v>25787.451270961767</v>
      </c>
      <c r="S655" s="18">
        <f>IF($A655&gt;'1-Input'!$B$26,U654,(U654-Q655)*(1+'5-Roberta'!$C$4))</f>
        <v>0</v>
      </c>
      <c r="T655" s="18">
        <f>IF($A655&gt;'1-Input'!$B$26,R655,R655-'P-Parametri'!$B$8*(S655+R655)+MIN(MAX(S655,0),'P-Parametri'!$B$8*(S655+R655)))</f>
        <v>25735.876368419842</v>
      </c>
      <c r="U655" s="18">
        <f>IF($A655&gt;'1-Input'!$B$26,S655,S655-MIN(MAX(S655,0),'P-Parametri'!$B$8*(S655+R655)))</f>
        <v>0</v>
      </c>
      <c r="V655" s="18">
        <f>IF($A655&gt;'1-Input'!$B$26,V654,V654-Q655*(1-P655))</f>
        <v>-2.8421709430404007E-14</v>
      </c>
      <c r="W655" s="11">
        <f>IF($A655&gt;'1-Input'!$B$26,0,IF(AB654&lt;=0,0,MAX(0,(AB654-AC654)/AB654)))</f>
        <v>0.70008971208672122</v>
      </c>
      <c r="X655" s="18">
        <f>IF($A655&gt;'1-Input'!$B$26,0,(MAX(0,W616-IF($A655&gt;='1-Input'!$C$12,'1-Input'!$B$13,0))-MIN(MAX(AA654,0),MAX(0,W616-IF($A655&gt;='1-Input'!$C$12,'1-Input'!$B$13,0))))*(1/(1-'P-Parametri'!$B$6*W655))+MIN(MAX(0,AB654-(MAX(0,W616-IF($A655&gt;='1-Input'!$C$12,'1-Input'!$B$13,0))-MIN(MAX(AA654,0),MAX(0,W616-IF($A655&gt;='1-Input'!$C$12,'1-Input'!$B$13,0))))*(1/(1-'P-Parametri'!$B$6*W655))),MAX(0,2*W616-(AA654-MIN(MAX(AA654,0),MAX(0,W616-IF($A655&gt;='1-Input'!$C$12,'1-Input'!$B$13,0)))))*(1/(1-'P-Parametri'!$B$6*W655))))</f>
        <v>7141.5170468491333</v>
      </c>
      <c r="Y655" s="18">
        <f>IF($A655&gt;'1-Input'!$B$26,AA654,(AA654-MAX(0,W616-IF($A655&gt;='1-Input'!$C$12,'1-Input'!$B$13,0))+X655*(1-'P-Parametri'!$B$6*W655))*(1+'1-Input'!$B$27))</f>
        <v>37150.513557777522</v>
      </c>
      <c r="Z655" s="18">
        <f>IF($A655&gt;'1-Input'!$B$26,AB654,(AB654-X655)*(1+'5-Roberta'!$C$4))</f>
        <v>9277.69661785272</v>
      </c>
      <c r="AA655" s="18">
        <f>IF($A655&gt;'1-Input'!$B$26,Y655,Y655-'P-Parametri'!$B$8*(Z655+Y655)+MIN(MAX(Z655,0),'P-Parametri'!$B$8*(Z655+Y655)))</f>
        <v>37150.513557777522</v>
      </c>
      <c r="AB655" s="18">
        <f>IF($A655&gt;'1-Input'!$B$26,Z655,Z655-MIN(MAX(Z655,0),'P-Parametri'!$B$8*(Z655+Y655)))</f>
        <v>9184.8401975014604</v>
      </c>
      <c r="AC655" s="18">
        <f>IF($A655&gt;'1-Input'!$B$26,AC654,AC654-X655*(1-W655))</f>
        <v>2701.4336542060787</v>
      </c>
      <c r="AD655" s="11">
        <f>IF($A655&gt;'1-Input'!$B$26,0,IF(AI654&lt;=0,0,MAX(0,(AI654-AJ654)/AI654)))</f>
        <v>0.70047932510482402</v>
      </c>
      <c r="AE655" s="18">
        <f>IF($A655&gt;'1-Input'!$B$26,0,(MAX(0,AD616-IF($A655&gt;='1-Input'!$C$12,'1-Input'!$B$13,0))-MIN(MAX(AH654,0),MAX(0,AD616-IF($A655&gt;='1-Input'!$C$12,'1-Input'!$B$13,0))))*(1/(1-'P-Parametri'!$B$6*AD655))+MIN(MAX(0,AI654-(MAX(0,AD616-IF($A655&gt;='1-Input'!$C$12,'1-Input'!$B$13,0))-MIN(MAX(AH654,0),MAX(0,AD616-IF($A655&gt;='1-Input'!$C$12,'1-Input'!$B$13,0))))*(1/(1-'P-Parametri'!$B$6*AD655))),MAX(0,2*AD616-(AH654-MIN(MAX(AH654,0),MAX(0,AD616-IF($A655&gt;='1-Input'!$C$12,'1-Input'!$B$13,0)))))*(1/(1-'P-Parametri'!$B$6*AD655))))</f>
        <v>7111.5759312511718</v>
      </c>
      <c r="AF655" s="18">
        <f>IF($A655&gt;'1-Input'!$B$26,AH654,(AH654-MAX(0,AD616-IF($A655&gt;='1-Input'!$C$12,'1-Input'!$B$13,0))+AE655*(1-'P-Parametri'!$B$6*AD655))*(1+'1-Input'!$B$27))</f>
        <v>37100.631169120483</v>
      </c>
      <c r="AG655" s="18">
        <f>IF($A655&gt;'1-Input'!$B$26,AI654,(AI654-AE655)*(1+'5-Roberta'!$C$4))</f>
        <v>11290.266618806674</v>
      </c>
      <c r="AH655" s="18">
        <f>IF($A655&gt;'1-Input'!$B$26,AF655,AF655-'P-Parametri'!$B$8*(AG655+AF655)+MIN(MAX(AG655,0),'P-Parametri'!$B$8*(AG655+AF655)))</f>
        <v>37100.631169120483</v>
      </c>
      <c r="AI655" s="18">
        <f>IF($A655&gt;'1-Input'!$B$26,AG655,AG655-MIN(MAX(AG655,0),'P-Parametri'!$B$8*(AG655+AF655)))</f>
        <v>11193.48482323082</v>
      </c>
      <c r="AJ655" s="18">
        <f>IF($A655&gt;'1-Input'!$B$26,AJ654,AJ654-AE655*(1-AD655))</f>
        <v>3283.1730848654893</v>
      </c>
      <c r="AK655" s="11">
        <f>IF($A655&gt;'1-Input'!$B$26,0,IF(AP654&lt;=0,0,MAX(0,(AP654-AQ654)/AP654)))</f>
        <v>0.70048003270678061</v>
      </c>
      <c r="AL655" s="18">
        <f>IF($A655&gt;'1-Input'!$B$26,0,(MAX(0,AK616-IF($A655&gt;='1-Input'!$C$12,'1-Input'!$B$13,0))-MIN(MAX(AO654,0),MAX(0,AK616-IF($A655&gt;='1-Input'!$C$12,'1-Input'!$B$13,0))))*(1/(1-'P-Parametri'!$B$6*AK655))+MIN(MAX(0,AP654-(MAX(0,AK616-IF($A655&gt;='1-Input'!$C$12,'1-Input'!$B$13,0))-MIN(MAX(AO654,0),MAX(0,AK616-IF($A655&gt;='1-Input'!$C$12,'1-Input'!$B$13,0))))*(1/(1-'P-Parametri'!$B$6*AK655))),MAX(0,2*AK616-(AO654-MIN(MAX(AO654,0),MAX(0,AK616-IF($A655&gt;='1-Input'!$C$12,'1-Input'!$B$13,0)))))*(1/(1-'P-Parametri'!$B$6*AK655))))</f>
        <v>7111.517310942023</v>
      </c>
      <c r="AM655" s="18">
        <f>IF($A655&gt;'1-Input'!$B$26,AO654,(AO654-MAX(0,AK616-IF($A655&gt;='1-Input'!$C$12,'1-Input'!$B$13,0))+AL655*(1-'P-Parametri'!$B$6*AK655))*(1+'1-Input'!$B$27))</f>
        <v>37100.533720449668</v>
      </c>
      <c r="AN655" s="18">
        <f>IF($A655&gt;'1-Input'!$B$26,AP654,(AP654-AL655)*(1+'5-Roberta'!$C$4))</f>
        <v>11294.198623948529</v>
      </c>
      <c r="AO655" s="18">
        <f>IF($A655&gt;'1-Input'!$B$26,AM655,AM655-'P-Parametri'!$B$8*(AN655+AM655)+MIN(MAX(AN655,0),'P-Parametri'!$B$8*(AN655+AM655)))</f>
        <v>37100.533720449668</v>
      </c>
      <c r="AP655" s="18">
        <f>IF($A655&gt;'1-Input'!$B$26,AN655,AN655-MIN(MAX(AN655,0),'P-Parametri'!$B$8*(AN655+AM655)))</f>
        <v>11197.409159259732</v>
      </c>
      <c r="AQ655" s="18">
        <f>IF($A655&gt;'1-Input'!$B$26,AQ654,AQ654-AL655*(1-AK655))</f>
        <v>3284.3087402409574</v>
      </c>
    </row>
    <row r="656" spans="1:43">
      <c r="A656" s="10">
        <f>38</f>
        <v>38</v>
      </c>
      <c r="B656" s="11">
        <f>IF($A656&gt;'1-Input'!$B$26,0,IF(G655&lt;=0,0,MAX(0,(G655-H655)/G655)))</f>
        <v>0.71413420237118053</v>
      </c>
      <c r="C656" s="18">
        <f>IF($A656&gt;'1-Input'!$B$26,0,(MAX(0,B616-IF($A656&gt;='1-Input'!$C$12,'1-Input'!$B$13,0))-MIN(MAX(F655,0),MAX(0,B616-IF($A656&gt;='1-Input'!$C$12,'1-Input'!$B$13,0))))*(1/(1-'P-Parametri'!$B$6*B656))+MIN(MAX(0,G655-(MAX(0,B616-IF($A656&gt;='1-Input'!$C$12,'1-Input'!$B$13,0))-MIN(MAX(F655,0),MAX(0,B616-IF($A656&gt;='1-Input'!$C$12,'1-Input'!$B$13,0))))*(1/(1-'P-Parametri'!$B$6*B656))),MAX(0,2*B616-(F655-MIN(MAX(F655,0),MAX(0,B616-IF($A656&gt;='1-Input'!$C$12,'1-Input'!$B$13,0)))))*(1/(1-'P-Parametri'!$B$6*B656))))</f>
        <v>4747.6847733621498</v>
      </c>
      <c r="D656" s="18">
        <f>IF($A656&gt;'1-Input'!$B$26,F655,(F655-MAX(0,B616-IF($A656&gt;='1-Input'!$C$12,'1-Input'!$B$13,0))+C656*(1-'P-Parametri'!$B$6*B656))*(1+'1-Input'!$B$27))</f>
        <v>33242.0070309863</v>
      </c>
      <c r="E656" s="18">
        <f>IF($A656&gt;'1-Input'!$B$26,G655,(G655-C656)*(1+'5-Roberta'!$C$4))</f>
        <v>166925.94032398224</v>
      </c>
      <c r="F656" s="18">
        <f>IF($A656&gt;'1-Input'!$B$26,D656,D656-'P-Parametri'!$B$8*(E656+D656)+MIN(MAX(E656,0),'P-Parametri'!$B$8*(E656+D656)))</f>
        <v>33242.0070309863</v>
      </c>
      <c r="G656" s="18">
        <f>IF($A656&gt;'1-Input'!$B$26,E656,E656-MIN(MAX(E656,0),'P-Parametri'!$B$8*(E656+D656)))</f>
        <v>166525.60442927229</v>
      </c>
      <c r="H656" s="18">
        <f>IF($A656&gt;'1-Input'!$B$26,H655,H655-C656*(1-B656))</f>
        <v>46328.560267627086</v>
      </c>
      <c r="I656" s="11">
        <f>IF($A656&gt;'1-Input'!$B$26,0,IF(N655&lt;=0,0,MAX(0,(N655-O655)/N655)))</f>
        <v>0</v>
      </c>
      <c r="J656" s="18">
        <f>IF($A656&gt;'1-Input'!$B$26,0,(MAX(0,I616-IF($A656&gt;='1-Input'!$C$12,'1-Input'!$B$13,0))-MIN(MAX(M655,0),MAX(0,I616-IF($A656&gt;='1-Input'!$C$12,'1-Input'!$B$13,0))))*(1/(1-'P-Parametri'!$B$6*I656))+MIN(MAX(0,N655-(MAX(0,I616-IF($A656&gt;='1-Input'!$C$12,'1-Input'!$B$13,0))-MIN(MAX(M655,0),MAX(0,I616-IF($A656&gt;='1-Input'!$C$12,'1-Input'!$B$13,0))))*(1/(1-'P-Parametri'!$B$6*I656))),MAX(0,2*I616-(M655-MIN(MAX(M655,0),MAX(0,I616-IF($A656&gt;='1-Input'!$C$12,'1-Input'!$B$13,0)))))*(1/(1-'P-Parametri'!$B$6*I656))))</f>
        <v>9013.756992928691</v>
      </c>
      <c r="K656" s="18">
        <f>IF($A656&gt;'1-Input'!$B$26,M655,(M655-MAX(0,I616-IF($A656&gt;='1-Input'!$C$12,'1-Input'!$B$13,0))+J656*(1-'P-Parametri'!$B$6*I656))*(1+'1-Input'!$B$27))</f>
        <v>0</v>
      </c>
      <c r="L656" s="18">
        <f>IF($A656&gt;'1-Input'!$B$26,N655,(N655-J656)*(1+'5-Roberta'!$C$4))</f>
        <v>-157247.64052433998</v>
      </c>
      <c r="M656" s="18">
        <f>IF($A656&gt;'1-Input'!$B$26,K656,K656-'P-Parametri'!$B$8*(L656+K656)+MIN(MAX(L656,0),'P-Parametri'!$B$8*(L656+K656)))</f>
        <v>0</v>
      </c>
      <c r="N656" s="18">
        <f>IF($A656&gt;'1-Input'!$B$26,L656,L656-MIN(MAX(L656,0),'P-Parametri'!$B$8*(L656+K656)))</f>
        <v>-156933.14524329131</v>
      </c>
      <c r="O656" s="18">
        <f>IF($A656&gt;'1-Input'!$B$26,O655,O655-J656*(1-I656))</f>
        <v>-126728.10075305952</v>
      </c>
      <c r="P656" s="11">
        <f>IF($A656&gt;'1-Input'!$B$26,0,IF(U655&lt;=0,0,MAX(0,(U655-V655)/U655)))</f>
        <v>0</v>
      </c>
      <c r="Q656" s="18">
        <f>IF($A656&gt;'1-Input'!$B$26,0,(MAX(0,P616-IF($A656&gt;='1-Input'!$C$12,'1-Input'!$B$13,0))-MIN(MAX(T655,0),MAX(0,P616-IF($A656&gt;='1-Input'!$C$12,'1-Input'!$B$13,0))))*(1/(1-'P-Parametri'!$B$6*P656))+MIN(MAX(0,U655-(MAX(0,P616-IF($A656&gt;='1-Input'!$C$12,'1-Input'!$B$13,0))-MIN(MAX(T655,0),MAX(0,P616-IF($A656&gt;='1-Input'!$C$12,'1-Input'!$B$13,0))))*(1/(1-'P-Parametri'!$B$6*P656))),MAX(0,2*P616-(T655-MIN(MAX(T655,0),MAX(0,P616-IF($A656&gt;='1-Input'!$C$12,'1-Input'!$B$13,0)))))*(1/(1-'P-Parametri'!$B$6*P656))))</f>
        <v>0</v>
      </c>
      <c r="R656" s="18">
        <f>IF($A656&gt;'1-Input'!$B$26,T655,(T655-MAX(0,P616-IF($A656&gt;='1-Input'!$C$12,'1-Input'!$B$13,0))+Q656*(1-'P-Parametri'!$B$6*P656))*(1+'1-Input'!$B$27))</f>
        <v>19651.179153652571</v>
      </c>
      <c r="S656" s="18">
        <f>IF($A656&gt;'1-Input'!$B$26,U655,(U655-Q656)*(1+'5-Roberta'!$C$4))</f>
        <v>0</v>
      </c>
      <c r="T656" s="18">
        <f>IF($A656&gt;'1-Input'!$B$26,R656,R656-'P-Parametri'!$B$8*(S656+R656)+MIN(MAX(S656,0),'P-Parametri'!$B$8*(S656+R656)))</f>
        <v>19611.876795345266</v>
      </c>
      <c r="U656" s="18">
        <f>IF($A656&gt;'1-Input'!$B$26,S656,S656-MIN(MAX(S656,0),'P-Parametri'!$B$8*(S656+R656)))</f>
        <v>0</v>
      </c>
      <c r="V656" s="18">
        <f>IF($A656&gt;'1-Input'!$B$26,V655,V655-Q656*(1-P656))</f>
        <v>-2.8421709430404007E-14</v>
      </c>
      <c r="W656" s="11">
        <f>IF($A656&gt;'1-Input'!$B$26,0,IF(AB655&lt;=0,0,MAX(0,(AB655-AC655)/AB655)))</f>
        <v>0.70588125692802506</v>
      </c>
      <c r="X656" s="18">
        <f>IF($A656&gt;'1-Input'!$B$26,0,(MAX(0,W616-IF($A656&gt;='1-Input'!$C$12,'1-Input'!$B$13,0))-MIN(MAX(AA655,0),MAX(0,W616-IF($A656&gt;='1-Input'!$C$12,'1-Input'!$B$13,0))))*(1/(1-'P-Parametri'!$B$6*W656))+MIN(MAX(0,AB655-(MAX(0,W616-IF($A656&gt;='1-Input'!$C$12,'1-Input'!$B$13,0))-MIN(MAX(AA655,0),MAX(0,W616-IF($A656&gt;='1-Input'!$C$12,'1-Input'!$B$13,0))))*(1/(1-'P-Parametri'!$B$6*W656))),MAX(0,2*W616-(AA655-MIN(MAX(AA655,0),MAX(0,W616-IF($A656&gt;='1-Input'!$C$12,'1-Input'!$B$13,0)))))*(1/(1-'P-Parametri'!$B$6*W656))))</f>
        <v>7154.6880105271493</v>
      </c>
      <c r="Y656" s="18">
        <f>IF($A656&gt;'1-Input'!$B$26,AA655,(AA655-MAX(0,W616-IF($A656&gt;='1-Input'!$C$12,'1-Input'!$B$13,0))+X656*(1-'P-Parametri'!$B$6*W656))*(1+'1-Input'!$B$27))</f>
        <v>37150.513557777522</v>
      </c>
      <c r="Z656" s="18">
        <f>IF($A656&gt;'1-Input'!$B$26,AB655,(AB655-X656)*(1+'5-Roberta'!$C$4))</f>
        <v>2091.0567525835404</v>
      </c>
      <c r="AA656" s="18">
        <f>IF($A656&gt;'1-Input'!$B$26,Y656,Y656-'P-Parametri'!$B$8*(Z656+Y656)+MIN(MAX(Z656,0),'P-Parametri'!$B$8*(Z656+Y656)))</f>
        <v>37150.513557777522</v>
      </c>
      <c r="AB656" s="18">
        <f>IF($A656&gt;'1-Input'!$B$26,Z656,Z656-MIN(MAX(Z656,0),'P-Parametri'!$B$8*(Z656+Y656)))</f>
        <v>2012.5736119628182</v>
      </c>
      <c r="AC656" s="18">
        <f>IF($A656&gt;'1-Input'!$B$26,AC655,AC655-X656*(1-W656))</f>
        <v>597.1058094777045</v>
      </c>
      <c r="AD656" s="11">
        <f>IF($A656&gt;'1-Input'!$B$26,0,IF(AI655&lt;=0,0,MAX(0,(AI655-AJ655)/AI655)))</f>
        <v>0.7066889233590925</v>
      </c>
      <c r="AE656" s="18">
        <f>IF($A656&gt;'1-Input'!$B$26,0,(MAX(0,AD616-IF($A656&gt;='1-Input'!$C$12,'1-Input'!$B$13,0))-MIN(MAX(AH655,0),MAX(0,AD616-IF($A656&gt;='1-Input'!$C$12,'1-Input'!$B$13,0))))*(1/(1-'P-Parametri'!$B$6*AD656))+MIN(MAX(0,AI655-(MAX(0,AD616-IF($A656&gt;='1-Input'!$C$12,'1-Input'!$B$13,0))-MIN(MAX(AH655,0),MAX(0,AD616-IF($A656&gt;='1-Input'!$C$12,'1-Input'!$B$13,0))))*(1/(1-'P-Parametri'!$B$6*AD656))),MAX(0,2*AD616-(AH655-MIN(MAX(AH655,0),MAX(0,AD616-IF($A656&gt;='1-Input'!$C$12,'1-Input'!$B$13,0)))))*(1/(1-'P-Parametri'!$B$6*AD656))))</f>
        <v>7125.6420318682412</v>
      </c>
      <c r="AF656" s="18">
        <f>IF($A656&gt;'1-Input'!$B$26,AH655,(AH655-MAX(0,AD616-IF($A656&gt;='1-Input'!$C$12,'1-Input'!$B$13,0))+AE656*(1-'P-Parametri'!$B$6*AD656))*(1+'1-Input'!$B$27))</f>
        <v>37100.631169120483</v>
      </c>
      <c r="AG656" s="18">
        <f>IF($A656&gt;'1-Input'!$B$26,AI655,(AI655-AE656)*(1+'5-Roberta'!$C$4))</f>
        <v>4189.8780751034556</v>
      </c>
      <c r="AH656" s="18">
        <f>IF($A656&gt;'1-Input'!$B$26,AF656,AF656-'P-Parametri'!$B$8*(AG656+AF656)+MIN(MAX(AG656,0),'P-Parametri'!$B$8*(AG656+AF656)))</f>
        <v>37100.631169120483</v>
      </c>
      <c r="AI656" s="18">
        <f>IF($A656&gt;'1-Input'!$B$26,AG656,AG656-MIN(MAX(AG656,0),'P-Parametri'!$B$8*(AG656+AF656)))</f>
        <v>4107.2970566150079</v>
      </c>
      <c r="AJ656" s="18">
        <f>IF($A656&gt;'1-Input'!$B$26,AJ655,AJ655-AE656*(1-AD656))</f>
        <v>1193.1433487405116</v>
      </c>
      <c r="AK656" s="11">
        <f>IF($A656&gt;'1-Input'!$B$26,0,IF(AP655&lt;=0,0,MAX(0,(AP655-AQ655)/AP655)))</f>
        <v>0.7066902983066411</v>
      </c>
      <c r="AL656" s="18">
        <f>IF($A656&gt;'1-Input'!$B$26,0,(MAX(0,AK616-IF($A656&gt;='1-Input'!$C$12,'1-Input'!$B$13,0))-MIN(MAX(AO655,0),MAX(0,AK616-IF($A656&gt;='1-Input'!$C$12,'1-Input'!$B$13,0))))*(1/(1-'P-Parametri'!$B$6*AK656))+MIN(MAX(0,AP655-(MAX(0,AK616-IF($A656&gt;='1-Input'!$C$12,'1-Input'!$B$13,0))-MIN(MAX(AO655,0),MAX(0,AK616-IF($A656&gt;='1-Input'!$C$12,'1-Input'!$B$13,0))))*(1/(1-'P-Parametri'!$B$6*AK656))),MAX(0,2*AK616-(AO655-MIN(MAX(AO655,0),MAX(0,AK616-IF($A656&gt;='1-Input'!$C$12,'1-Input'!$B$13,0)))))*(1/(1-'P-Parametri'!$B$6*AK656))))</f>
        <v>7125.5848134455127</v>
      </c>
      <c r="AM656" s="18">
        <f>IF($A656&gt;'1-Input'!$B$26,AO655,(AO655-MAX(0,AK616-IF($A656&gt;='1-Input'!$C$12,'1-Input'!$B$13,0))+AL656*(1-'P-Parametri'!$B$6*AK656))*(1+'1-Input'!$B$27))</f>
        <v>37100.533720449668</v>
      </c>
      <c r="AN656" s="18">
        <f>IF($A656&gt;'1-Input'!$B$26,AP655,(AP655-AL656)*(1+'5-Roberta'!$C$4))</f>
        <v>4193.9790761886461</v>
      </c>
      <c r="AO656" s="18">
        <f>IF($A656&gt;'1-Input'!$B$26,AM656,AM656-'P-Parametri'!$B$8*(AN656+AM656)+MIN(MAX(AN656,0),'P-Parametri'!$B$8*(AN656+AM656)))</f>
        <v>37100.533720449668</v>
      </c>
      <c r="AP656" s="18">
        <f>IF($A656&gt;'1-Input'!$B$26,AN656,AN656-MIN(MAX(AN656,0),'P-Parametri'!$B$8*(AN656+AM656)))</f>
        <v>4111.3900505953698</v>
      </c>
      <c r="AQ656" s="18">
        <f>IF($A656&gt;'1-Input'!$B$26,AQ655,AQ655-AL656*(1-AK656))</f>
        <v>1194.3055842185254</v>
      </c>
    </row>
    <row r="657" spans="1:43">
      <c r="A657" s="10">
        <f>39</f>
        <v>39</v>
      </c>
      <c r="B657" s="11">
        <f>IF($A657&gt;'1-Input'!$B$26,0,IF(G656&lt;=0,0,MAX(0,(G656-H656)/G656)))</f>
        <v>0.7217931715281416</v>
      </c>
      <c r="C657" s="18">
        <f>IF($A657&gt;'1-Input'!$B$26,0,(MAX(0,B616-IF($A657&gt;='1-Input'!$C$12,'1-Input'!$B$13,0))-MIN(MAX(F656,0),MAX(0,B616-IF($A657&gt;='1-Input'!$C$12,'1-Input'!$B$13,0))))*(1/(1-'P-Parametri'!$B$6*B657))+MIN(MAX(0,G656-(MAX(0,B616-IF($A657&gt;='1-Input'!$C$12,'1-Input'!$B$13,0))-MIN(MAX(F656,0),MAX(0,B616-IF($A657&gt;='1-Input'!$C$12,'1-Input'!$B$13,0))))*(1/(1-'P-Parametri'!$B$6*B657))),MAX(0,2*B616-(F656-MIN(MAX(F656,0),MAX(0,B616-IF($A657&gt;='1-Input'!$C$12,'1-Input'!$B$13,0)))))*(1/(1-'P-Parametri'!$B$6*B657))))</f>
        <v>4759.3231131804259</v>
      </c>
      <c r="D657" s="18">
        <f>IF($A657&gt;'1-Input'!$B$26,F656,(F656-MAX(0,B616-IF($A657&gt;='1-Input'!$C$12,'1-Input'!$B$13,0))+C657*(1-'P-Parametri'!$B$6*B657))*(1+'1-Input'!$B$27))</f>
        <v>33242.0070309863</v>
      </c>
      <c r="E657" s="18">
        <f>IF($A657&gt;'1-Input'!$B$26,G656,(G656-C657)*(1+'5-Roberta'!$C$4))</f>
        <v>166619.26975557461</v>
      </c>
      <c r="F657" s="18">
        <f>IF($A657&gt;'1-Input'!$B$26,D657,D657-'P-Parametri'!$B$8*(E657+D657)+MIN(MAX(E657,0),'P-Parametri'!$B$8*(E657+D657)))</f>
        <v>33242.0070309863</v>
      </c>
      <c r="G657" s="18">
        <f>IF($A657&gt;'1-Input'!$B$26,E657,E657-MIN(MAX(E657,0),'P-Parametri'!$B$8*(E657+D657)))</f>
        <v>166219.5472020015</v>
      </c>
      <c r="H657" s="18">
        <f>IF($A657&gt;'1-Input'!$B$26,H656,H656-C657*(1-B657))</f>
        <v>45004.484078636349</v>
      </c>
      <c r="I657" s="11">
        <f>IF($A657&gt;'1-Input'!$B$26,0,IF(N656&lt;=0,0,MAX(0,(N656-O656)/N656)))</f>
        <v>0</v>
      </c>
      <c r="J657" s="18">
        <f>IF($A657&gt;'1-Input'!$B$26,0,(MAX(0,I616-IF($A657&gt;='1-Input'!$C$12,'1-Input'!$B$13,0))-MIN(MAX(M656,0),MAX(0,I616-IF($A657&gt;='1-Input'!$C$12,'1-Input'!$B$13,0))))*(1/(1-'P-Parametri'!$B$6*I657))+MIN(MAX(0,N656-(MAX(0,I616-IF($A657&gt;='1-Input'!$C$12,'1-Input'!$B$13,0))-MIN(MAX(M656,0),MAX(0,I616-IF($A657&gt;='1-Input'!$C$12,'1-Input'!$B$13,0))))*(1/(1-'P-Parametri'!$B$6*I657))),MAX(0,2*I616-(M656-MIN(MAX(M656,0),MAX(0,I616-IF($A657&gt;='1-Input'!$C$12,'1-Input'!$B$13,0)))))*(1/(1-'P-Parametri'!$B$6*I657))))</f>
        <v>9013.756992928691</v>
      </c>
      <c r="K657" s="18">
        <f>IF($A657&gt;'1-Input'!$B$26,M656,(M656-MAX(0,I616-IF($A657&gt;='1-Input'!$C$12,'1-Input'!$B$13,0))+J657*(1-'P-Parametri'!$B$6*I657))*(1+'1-Input'!$B$27))</f>
        <v>0</v>
      </c>
      <c r="L657" s="18">
        <f>IF($A657&gt;'1-Input'!$B$26,N656,(N656-J657)*(1+'5-Roberta'!$C$4))</f>
        <v>-170925.3093033066</v>
      </c>
      <c r="M657" s="18">
        <f>IF($A657&gt;'1-Input'!$B$26,K657,K657-'P-Parametri'!$B$8*(L657+K657)+MIN(MAX(L657,0),'P-Parametri'!$B$8*(L657+K657)))</f>
        <v>0</v>
      </c>
      <c r="N657" s="18">
        <f>IF($A657&gt;'1-Input'!$B$26,L657,L657-MIN(MAX(L657,0),'P-Parametri'!$B$8*(L657+K657)))</f>
        <v>-170583.45868469999</v>
      </c>
      <c r="O657" s="18">
        <f>IF($A657&gt;'1-Input'!$B$26,O656,O656-J657*(1-I657))</f>
        <v>-135741.85774598821</v>
      </c>
      <c r="P657" s="11">
        <f>IF($A657&gt;'1-Input'!$B$26,0,IF(U656&lt;=0,0,MAX(0,(U656-V656)/U656)))</f>
        <v>0</v>
      </c>
      <c r="Q657" s="18">
        <f>IF($A657&gt;'1-Input'!$B$26,0,(MAX(0,P616-IF($A657&gt;='1-Input'!$C$12,'1-Input'!$B$13,0))-MIN(MAX(T656,0),MAX(0,P616-IF($A657&gt;='1-Input'!$C$12,'1-Input'!$B$13,0))))*(1/(1-'P-Parametri'!$B$6*P657))+MIN(MAX(0,U656-(MAX(0,P616-IF($A657&gt;='1-Input'!$C$12,'1-Input'!$B$13,0))-MIN(MAX(T656,0),MAX(0,P616-IF($A657&gt;='1-Input'!$C$12,'1-Input'!$B$13,0))))*(1/(1-'P-Parametri'!$B$6*P657))),MAX(0,2*P616-(T656-MIN(MAX(T656,0),MAX(0,P616-IF($A657&gt;='1-Input'!$C$12,'1-Input'!$B$13,0)))))*(1/(1-'P-Parametri'!$B$6*P657))))</f>
        <v>0</v>
      </c>
      <c r="R657" s="18">
        <f>IF($A657&gt;'1-Input'!$B$26,T656,(T656-MAX(0,P616-IF($A657&gt;='1-Input'!$C$12,'1-Input'!$B$13,0))+Q657*(1-'P-Parametri'!$B$6*P657))*(1+'1-Input'!$B$27))</f>
        <v>13549.225979041064</v>
      </c>
      <c r="S657" s="18">
        <f>IF($A657&gt;'1-Input'!$B$26,U656,(U656-Q657)*(1+'5-Roberta'!$C$4))</f>
        <v>0</v>
      </c>
      <c r="T657" s="18">
        <f>IF($A657&gt;'1-Input'!$B$26,R657,R657-'P-Parametri'!$B$8*(S657+R657)+MIN(MAX(S657,0),'P-Parametri'!$B$8*(S657+R657)))</f>
        <v>13522.127527082983</v>
      </c>
      <c r="U657" s="18">
        <f>IF($A657&gt;'1-Input'!$B$26,S657,S657-MIN(MAX(S657,0),'P-Parametri'!$B$8*(S657+R657)))</f>
        <v>0</v>
      </c>
      <c r="V657" s="18">
        <f>IF($A657&gt;'1-Input'!$B$26,V656,V656-Q657*(1-P657))</f>
        <v>-2.8421709430404007E-14</v>
      </c>
      <c r="W657" s="11">
        <f>IF($A657&gt;'1-Input'!$B$26,0,IF(AB656&lt;=0,0,MAX(0,(AB656-AC656)/AB656)))</f>
        <v>0.70331231318522536</v>
      </c>
      <c r="X657" s="18">
        <f>IF($A657&gt;'1-Input'!$B$26,0,(MAX(0,W616-IF($A657&gt;='1-Input'!$C$12,'1-Input'!$B$13,0))-MIN(MAX(AA656,0),MAX(0,W616-IF($A657&gt;='1-Input'!$C$12,'1-Input'!$B$13,0))))*(1/(1-'P-Parametri'!$B$6*W657))+MIN(MAX(0,AB656-(MAX(0,W616-IF($A657&gt;='1-Input'!$C$12,'1-Input'!$B$13,0))-MIN(MAX(AA656,0),MAX(0,W616-IF($A657&gt;='1-Input'!$C$12,'1-Input'!$B$13,0))))*(1/(1-'P-Parametri'!$B$6*W657))),MAX(0,2*W616-(AA656-MIN(MAX(AA656,0),MAX(0,W616-IF($A657&gt;='1-Input'!$C$12,'1-Input'!$B$13,0)))))*(1/(1-'P-Parametri'!$B$6*W657))))</f>
        <v>2012.5736119628182</v>
      </c>
      <c r="Y657" s="18">
        <f>IF($A657&gt;'1-Input'!$B$26,AA656,(AA656-MAX(0,W616-IF($A657&gt;='1-Input'!$C$12,'1-Input'!$B$13,0))+X657*(1-'P-Parametri'!$B$6*W657))*(1+'1-Input'!$B$27))</f>
        <v>32968.580526257509</v>
      </c>
      <c r="Z657" s="18">
        <f>IF($A657&gt;'1-Input'!$B$26,AB656,(AB656-X657)*(1+'5-Roberta'!$C$4))</f>
        <v>0</v>
      </c>
      <c r="AA657" s="18">
        <f>IF($A657&gt;'1-Input'!$B$26,Y657,Y657-'P-Parametri'!$B$8*(Z657+Y657)+MIN(MAX(Z657,0),'P-Parametri'!$B$8*(Z657+Y657)))</f>
        <v>32902.643365204996</v>
      </c>
      <c r="AB657" s="18">
        <f>IF($A657&gt;'1-Input'!$B$26,Z657,Z657-MIN(MAX(Z657,0),'P-Parametri'!$B$8*(Z657+Y657)))</f>
        <v>0</v>
      </c>
      <c r="AC657" s="18">
        <f>IF($A657&gt;'1-Input'!$B$26,AC656,AC656-X657*(1-W657))</f>
        <v>1.1368683772161603E-13</v>
      </c>
      <c r="AD657" s="11">
        <f>IF($A657&gt;'1-Input'!$B$26,0,IF(AI656&lt;=0,0,MAX(0,(AI656-AJ656)/AI656)))</f>
        <v>0.70950643883453857</v>
      </c>
      <c r="AE657" s="18">
        <f>IF($A657&gt;'1-Input'!$B$26,0,(MAX(0,AD616-IF($A657&gt;='1-Input'!$C$12,'1-Input'!$B$13,0))-MIN(MAX(AH656,0),MAX(0,AD616-IF($A657&gt;='1-Input'!$C$12,'1-Input'!$B$13,0))))*(1/(1-'P-Parametri'!$B$6*AD657))+MIN(MAX(0,AI656-(MAX(0,AD616-IF($A657&gt;='1-Input'!$C$12,'1-Input'!$B$13,0))-MIN(MAX(AH656,0),MAX(0,AD616-IF($A657&gt;='1-Input'!$C$12,'1-Input'!$B$13,0))))*(1/(1-'P-Parametri'!$B$6*AD657))),MAX(0,2*AD616-(AH656-MIN(MAX(AH656,0),MAX(0,AD616-IF($A657&gt;='1-Input'!$C$12,'1-Input'!$B$13,0)))))*(1/(1-'P-Parametri'!$B$6*AD657))))</f>
        <v>4107.2970566150079</v>
      </c>
      <c r="AF657" s="18">
        <f>IF($A657&gt;'1-Input'!$B$26,AH656,(AH656-MAX(0,AD616-IF($A657&gt;='1-Input'!$C$12,'1-Input'!$B$13,0))+AE657*(1-'P-Parametri'!$B$6*AD657))*(1+'1-Input'!$B$27))</f>
        <v>34642.745783385799</v>
      </c>
      <c r="AG657" s="18">
        <f>IF($A657&gt;'1-Input'!$B$26,AI656,(AI656-AE657)*(1+'5-Roberta'!$C$4))</f>
        <v>0</v>
      </c>
      <c r="AH657" s="18">
        <f>IF($A657&gt;'1-Input'!$B$26,AF657,AF657-'P-Parametri'!$B$8*(AG657+AF657)+MIN(MAX(AG657,0),'P-Parametri'!$B$8*(AG657+AF657)))</f>
        <v>34573.460291819028</v>
      </c>
      <c r="AI657" s="18">
        <f>IF($A657&gt;'1-Input'!$B$26,AG657,AG657-MIN(MAX(AG657,0),'P-Parametri'!$B$8*(AG657+AF657)))</f>
        <v>0</v>
      </c>
      <c r="AJ657" s="18">
        <f>IF($A657&gt;'1-Input'!$B$26,AJ656,AJ656-AE657*(1-AD657))</f>
        <v>0</v>
      </c>
      <c r="AK657" s="11">
        <f>IF($A657&gt;'1-Input'!$B$26,0,IF(AP656&lt;=0,0,MAX(0,(AP656-AQ656)/AP656)))</f>
        <v>0.70951294585986113</v>
      </c>
      <c r="AL657" s="18">
        <f>IF($A657&gt;'1-Input'!$B$26,0,(MAX(0,AK616-IF($A657&gt;='1-Input'!$C$12,'1-Input'!$B$13,0))-MIN(MAX(AO656,0),MAX(0,AK616-IF($A657&gt;='1-Input'!$C$12,'1-Input'!$B$13,0))))*(1/(1-'P-Parametri'!$B$6*AK657))+MIN(MAX(0,AP656-(MAX(0,AK616-IF($A657&gt;='1-Input'!$C$12,'1-Input'!$B$13,0))-MIN(MAX(AO656,0),MAX(0,AK616-IF($A657&gt;='1-Input'!$C$12,'1-Input'!$B$13,0))))*(1/(1-'P-Parametri'!$B$6*AK657))),MAX(0,2*AK616-(AO656-MIN(MAX(AO656,0),MAX(0,AK616-IF($A657&gt;='1-Input'!$C$12,'1-Input'!$B$13,0)))))*(1/(1-'P-Parametri'!$B$6*AK657))))</f>
        <v>4111.3900505953698</v>
      </c>
      <c r="AM657" s="18">
        <f>IF($A657&gt;'1-Input'!$B$26,AO656,(AO656-MAX(0,AK616-IF($A657&gt;='1-Input'!$C$12,'1-Input'!$B$13,0))+AL657*(1-'P-Parametri'!$B$6*AK657))*(1+'1-Input'!$B$27))</f>
        <v>34646.016415046986</v>
      </c>
      <c r="AN657" s="18">
        <f>IF($A657&gt;'1-Input'!$B$26,AP656,(AP656-AL657)*(1+'5-Roberta'!$C$4))</f>
        <v>0</v>
      </c>
      <c r="AO657" s="18">
        <f>IF($A657&gt;'1-Input'!$B$26,AM657,AM657-'P-Parametri'!$B$8*(AN657+AM657)+MIN(MAX(AN657,0),'P-Parametri'!$B$8*(AN657+AM657)))</f>
        <v>34576.724382216889</v>
      </c>
      <c r="AP657" s="18">
        <f>IF($A657&gt;'1-Input'!$B$26,AN657,AN657-MIN(MAX(AN657,0),'P-Parametri'!$B$8*(AN657+AM657)))</f>
        <v>0</v>
      </c>
      <c r="AQ657" s="18">
        <f>IF($A657&gt;'1-Input'!$B$26,AQ656,AQ656-AL657*(1-AK657))</f>
        <v>0</v>
      </c>
    </row>
    <row r="658" spans="1:43">
      <c r="A658" s="10">
        <f>40</f>
        <v>40</v>
      </c>
      <c r="B658" s="11">
        <f>IF($A658&gt;'1-Input'!$B$26,0,IF(G657&lt;=0,0,MAX(0,(G657-H657)/G657)))</f>
        <v>0.72924674121543731</v>
      </c>
      <c r="C658" s="18">
        <f>IF($A658&gt;'1-Input'!$B$26,0,(MAX(0,B616-IF($A658&gt;='1-Input'!$C$12,'1-Input'!$B$13,0))-MIN(MAX(F657,0),MAX(0,B616-IF($A658&gt;='1-Input'!$C$12,'1-Input'!$B$13,0))))*(1/(1-'P-Parametri'!$B$6*B658))+MIN(MAX(0,G657-(MAX(0,B616-IF($A658&gt;='1-Input'!$C$12,'1-Input'!$B$13,0))-MIN(MAX(F657,0),MAX(0,B616-IF($A658&gt;='1-Input'!$C$12,'1-Input'!$B$13,0))))*(1/(1-'P-Parametri'!$B$6*B658))),MAX(0,2*B616-(F657-MIN(MAX(F657,0),MAX(0,B616-IF($A658&gt;='1-Input'!$C$12,'1-Input'!$B$13,0)))))*(1/(1-'P-Parametri'!$B$6*B658))))</f>
        <v>4770.7042500876651</v>
      </c>
      <c r="D658" s="18">
        <f>IF($A658&gt;'1-Input'!$B$26,F657,(F657-MAX(0,B616-IF($A658&gt;='1-Input'!$C$12,'1-Input'!$B$13,0))+C658*(1-'P-Parametri'!$B$6*B658))*(1+'1-Input'!$B$27))</f>
        <v>33242.0070309863</v>
      </c>
      <c r="E658" s="18">
        <f>IF($A658&gt;'1-Input'!$B$26,G657,(G657-C658)*(1+'5-Roberta'!$C$4))</f>
        <v>166292.30824047126</v>
      </c>
      <c r="F658" s="18">
        <f>IF($A658&gt;'1-Input'!$B$26,D658,D658-'P-Parametri'!$B$8*(E658+D658)+MIN(MAX(E658,0),'P-Parametri'!$B$8*(E658+D658)))</f>
        <v>33242.0070309863</v>
      </c>
      <c r="G658" s="18">
        <f>IF($A658&gt;'1-Input'!$B$26,E658,E658-MIN(MAX(E658,0),'P-Parametri'!$B$8*(E658+D658)))</f>
        <v>165893.23960992834</v>
      </c>
      <c r="H658" s="18">
        <f>IF($A658&gt;'1-Input'!$B$26,H657,H657-C658*(1-B658))</f>
        <v>43712.800356227752</v>
      </c>
      <c r="I658" s="11">
        <f>IF($A658&gt;'1-Input'!$B$26,0,IF(N657&lt;=0,0,MAX(0,(N657-O657)/N657)))</f>
        <v>0</v>
      </c>
      <c r="J658" s="18">
        <f>IF($A658&gt;'1-Input'!$B$26,0,(MAX(0,I616-IF($A658&gt;='1-Input'!$C$12,'1-Input'!$B$13,0))-MIN(MAX(M657,0),MAX(0,I616-IF($A658&gt;='1-Input'!$C$12,'1-Input'!$B$13,0))))*(1/(1-'P-Parametri'!$B$6*I658))+MIN(MAX(0,N657-(MAX(0,I616-IF($A658&gt;='1-Input'!$C$12,'1-Input'!$B$13,0))-MIN(MAX(M657,0),MAX(0,I616-IF($A658&gt;='1-Input'!$C$12,'1-Input'!$B$13,0))))*(1/(1-'P-Parametri'!$B$6*I658))),MAX(0,2*I616-(M657-MIN(MAX(M657,0),MAX(0,I616-IF($A658&gt;='1-Input'!$C$12,'1-Input'!$B$13,0)))))*(1/(1-'P-Parametri'!$B$6*I658))))</f>
        <v>9013.756992928691</v>
      </c>
      <c r="K658" s="18">
        <f>IF($A658&gt;'1-Input'!$B$26,M657,(M657-MAX(0,I616-IF($A658&gt;='1-Input'!$C$12,'1-Input'!$B$13,0))+J658*(1-'P-Parametri'!$B$6*I658))*(1+'1-Input'!$B$27))</f>
        <v>0</v>
      </c>
      <c r="L658" s="18">
        <f>IF($A658&gt;'1-Input'!$B$26,N657,(N657-J658)*(1+'5-Roberta'!$C$4))</f>
        <v>-184985.13214795754</v>
      </c>
      <c r="M658" s="18">
        <f>IF($A658&gt;'1-Input'!$B$26,K658,K658-'P-Parametri'!$B$8*(L658+K658)+MIN(MAX(L658,0),'P-Parametri'!$B$8*(L658+K658)))</f>
        <v>0</v>
      </c>
      <c r="N658" s="18">
        <f>IF($A658&gt;'1-Input'!$B$26,L658,L658-MIN(MAX(L658,0),'P-Parametri'!$B$8*(L658+K658)))</f>
        <v>-184615.16188366164</v>
      </c>
      <c r="O658" s="18">
        <f>IF($A658&gt;'1-Input'!$B$26,O657,O657-J658*(1-I658))</f>
        <v>-144755.61473891689</v>
      </c>
      <c r="P658" s="11">
        <f>IF($A658&gt;'1-Input'!$B$26,0,IF(U657&lt;=0,0,MAX(0,(U657-V657)/U657)))</f>
        <v>0</v>
      </c>
      <c r="Q658" s="18">
        <f>IF($A658&gt;'1-Input'!$B$26,0,(MAX(0,P616-IF($A658&gt;='1-Input'!$C$12,'1-Input'!$B$13,0))-MIN(MAX(T657,0),MAX(0,P616-IF($A658&gt;='1-Input'!$C$12,'1-Input'!$B$13,0))))*(1/(1-'P-Parametri'!$B$6*P658))+MIN(MAX(0,U657-(MAX(0,P616-IF($A658&gt;='1-Input'!$C$12,'1-Input'!$B$13,0))-MIN(MAX(T657,0),MAX(0,P616-IF($A658&gt;='1-Input'!$C$12,'1-Input'!$B$13,0))))*(1/(1-'P-Parametri'!$B$6*P658))),MAX(0,2*P616-(T657-MIN(MAX(T657,0),MAX(0,P616-IF($A658&gt;='1-Input'!$C$12,'1-Input'!$B$13,0)))))*(1/(1-'P-Parametri'!$B$6*P658))))</f>
        <v>0</v>
      </c>
      <c r="R658" s="18">
        <f>IF($A658&gt;'1-Input'!$B$26,T657,(T657-MAX(0,P616-IF($A658&gt;='1-Input'!$C$12,'1-Input'!$B$13,0))+Q658*(1-'P-Parametri'!$B$6*P658))*(1+'1-Input'!$B$27))</f>
        <v>7481.3998081445252</v>
      </c>
      <c r="S658" s="18">
        <f>IF($A658&gt;'1-Input'!$B$26,U657,(U657-Q658)*(1+'5-Roberta'!$C$4))</f>
        <v>0</v>
      </c>
      <c r="T658" s="18">
        <f>IF($A658&gt;'1-Input'!$B$26,R658,R658-'P-Parametri'!$B$8*(S658+R658)+MIN(MAX(S658,0),'P-Parametri'!$B$8*(S658+R658)))</f>
        <v>7466.4370085282362</v>
      </c>
      <c r="U658" s="18">
        <f>IF($A658&gt;'1-Input'!$B$26,S658,S658-MIN(MAX(S658,0),'P-Parametri'!$B$8*(S658+R658)))</f>
        <v>0</v>
      </c>
      <c r="V658" s="18">
        <f>IF($A658&gt;'1-Input'!$B$26,V657,V657-Q658*(1-P658))</f>
        <v>-2.8421709430404007E-14</v>
      </c>
      <c r="W658" s="11">
        <f>IF($A658&gt;'1-Input'!$B$26,0,IF(AB657&lt;=0,0,MAX(0,(AB657-AC657)/AB657)))</f>
        <v>0</v>
      </c>
      <c r="X658" s="18">
        <f>IF($A658&gt;'1-Input'!$B$26,0,(MAX(0,W616-IF($A658&gt;='1-Input'!$C$12,'1-Input'!$B$13,0))-MIN(MAX(AA657,0),MAX(0,W616-IF($A658&gt;='1-Input'!$C$12,'1-Input'!$B$13,0))))*(1/(1-'P-Parametri'!$B$6*W658))+MIN(MAX(0,AB657-(MAX(0,W616-IF($A658&gt;='1-Input'!$C$12,'1-Input'!$B$13,0))-MIN(MAX(AA657,0),MAX(0,W616-IF($A658&gt;='1-Input'!$C$12,'1-Input'!$B$13,0))))*(1/(1-'P-Parametri'!$B$6*W658))),MAX(0,2*W616-(AA657-MIN(MAX(AA657,0),MAX(0,W616-IF($A658&gt;='1-Input'!$C$12,'1-Input'!$B$13,0)))))*(1/(1-'P-Parametri'!$B$6*W658))))</f>
        <v>0</v>
      </c>
      <c r="Y658" s="18">
        <f>IF($A658&gt;'1-Input'!$B$26,AA657,(AA657-MAX(0,W616-IF($A658&gt;='1-Input'!$C$12,'1-Input'!$B$13,0))+X658*(1-'P-Parametri'!$B$6*W658))*(1+'1-Input'!$B$27))</f>
        <v>27097.371070201498</v>
      </c>
      <c r="Z658" s="18">
        <f>IF($A658&gt;'1-Input'!$B$26,AB657,(AB657-X658)*(1+'5-Roberta'!$C$4))</f>
        <v>0</v>
      </c>
      <c r="AA658" s="18">
        <f>IF($A658&gt;'1-Input'!$B$26,Y658,Y658-'P-Parametri'!$B$8*(Z658+Y658)+MIN(MAX(Z658,0),'P-Parametri'!$B$8*(Z658+Y658)))</f>
        <v>27043.176328061094</v>
      </c>
      <c r="AB658" s="18">
        <f>IF($A658&gt;'1-Input'!$B$26,Z658,Z658-MIN(MAX(Z658,0),'P-Parametri'!$B$8*(Z658+Y658)))</f>
        <v>0</v>
      </c>
      <c r="AC658" s="18">
        <f>IF($A658&gt;'1-Input'!$B$26,AC657,AC657-X658*(1-W658))</f>
        <v>1.1368683772161603E-13</v>
      </c>
      <c r="AD658" s="11">
        <f>IF($A658&gt;'1-Input'!$B$26,0,IF(AI657&lt;=0,0,MAX(0,(AI657-AJ657)/AI657)))</f>
        <v>0</v>
      </c>
      <c r="AE658" s="18">
        <f>IF($A658&gt;'1-Input'!$B$26,0,(MAX(0,AD616-IF($A658&gt;='1-Input'!$C$12,'1-Input'!$B$13,0))-MIN(MAX(AH657,0),MAX(0,AD616-IF($A658&gt;='1-Input'!$C$12,'1-Input'!$B$13,0))))*(1/(1-'P-Parametri'!$B$6*AD658))+MIN(MAX(0,AI657-(MAX(0,AD616-IF($A658&gt;='1-Input'!$C$12,'1-Input'!$B$13,0))-MIN(MAX(AH657,0),MAX(0,AD616-IF($A658&gt;='1-Input'!$C$12,'1-Input'!$B$13,0))))*(1/(1-'P-Parametri'!$B$6*AD658))),MAX(0,2*AD616-(AH657-MIN(MAX(AH657,0),MAX(0,AD616-IF($A658&gt;='1-Input'!$C$12,'1-Input'!$B$13,0)))))*(1/(1-'P-Parametri'!$B$6*AD658))))</f>
        <v>0</v>
      </c>
      <c r="AF658" s="18">
        <f>IF($A658&gt;'1-Input'!$B$26,AH657,(AH657-MAX(0,AD616-IF($A658&gt;='1-Input'!$C$12,'1-Input'!$B$13,0))+AE658*(1-'P-Parametri'!$B$6*AD658))*(1+'1-Input'!$B$27))</f>
        <v>28787.114250208233</v>
      </c>
      <c r="AG658" s="18">
        <f>IF($A658&gt;'1-Input'!$B$26,AI657,(AI657-AE658)*(1+'5-Roberta'!$C$4))</f>
        <v>0</v>
      </c>
      <c r="AH658" s="18">
        <f>IF($A658&gt;'1-Input'!$B$26,AF658,AF658-'P-Parametri'!$B$8*(AG658+AF658)+MIN(MAX(AG658,0),'P-Parametri'!$B$8*(AG658+AF658)))</f>
        <v>28729.540021707817</v>
      </c>
      <c r="AI658" s="18">
        <f>IF($A658&gt;'1-Input'!$B$26,AG658,AG658-MIN(MAX(AG658,0),'P-Parametri'!$B$8*(AG658+AF658)))</f>
        <v>0</v>
      </c>
      <c r="AJ658" s="18">
        <f>IF($A658&gt;'1-Input'!$B$26,AJ657,AJ657-AE658*(1-AD658))</f>
        <v>0</v>
      </c>
      <c r="AK658" s="11">
        <f>IF($A658&gt;'1-Input'!$B$26,0,IF(AP657&lt;=0,0,MAX(0,(AP657-AQ657)/AP657)))</f>
        <v>0</v>
      </c>
      <c r="AL658" s="18">
        <f>IF($A658&gt;'1-Input'!$B$26,0,(MAX(0,AK616-IF($A658&gt;='1-Input'!$C$12,'1-Input'!$B$13,0))-MIN(MAX(AO657,0),MAX(0,AK616-IF($A658&gt;='1-Input'!$C$12,'1-Input'!$B$13,0))))*(1/(1-'P-Parametri'!$B$6*AK658))+MIN(MAX(0,AP657-(MAX(0,AK616-IF($A658&gt;='1-Input'!$C$12,'1-Input'!$B$13,0))-MIN(MAX(AO657,0),MAX(0,AK616-IF($A658&gt;='1-Input'!$C$12,'1-Input'!$B$13,0))))*(1/(1-'P-Parametri'!$B$6*AK658))),MAX(0,2*AK616-(AO657-MIN(MAX(AO657,0),MAX(0,AK616-IF($A658&gt;='1-Input'!$C$12,'1-Input'!$B$13,0)))))*(1/(1-'P-Parametri'!$B$6*AK658))))</f>
        <v>0</v>
      </c>
      <c r="AM658" s="18">
        <f>IF($A658&gt;'1-Input'!$B$26,AO657,(AO657-MAX(0,AK616-IF($A658&gt;='1-Input'!$C$12,'1-Input'!$B$13,0))+AL658*(1-'P-Parametri'!$B$6*AK658))*(1+'1-Input'!$B$27))</f>
        <v>28790.415314216072</v>
      </c>
      <c r="AN658" s="18">
        <f>IF($A658&gt;'1-Input'!$B$26,AP657,(AP657-AL658)*(1+'5-Roberta'!$C$4))</f>
        <v>0</v>
      </c>
      <c r="AO658" s="18">
        <f>IF($A658&gt;'1-Input'!$B$26,AM658,AM658-'P-Parametri'!$B$8*(AN658+AM658)+MIN(MAX(AN658,0),'P-Parametri'!$B$8*(AN658+AM658)))</f>
        <v>28732.834483587641</v>
      </c>
      <c r="AP658" s="18">
        <f>IF($A658&gt;'1-Input'!$B$26,AN658,AN658-MIN(MAX(AN658,0),'P-Parametri'!$B$8*(AN658+AM658)))</f>
        <v>0</v>
      </c>
      <c r="AQ658" s="18">
        <f>IF($A658&gt;'1-Input'!$B$26,AQ657,AQ657-AL658*(1-AK658))</f>
        <v>0</v>
      </c>
    </row>
    <row r="659" spans="1:43">
      <c r="A659" s="10">
        <f>41</f>
        <v>41</v>
      </c>
      <c r="B659" s="11">
        <f>IF($A659&gt;'1-Input'!$B$26,0,IF(G658&lt;=0,0,MAX(0,(G658-H658)/G658)))</f>
        <v>0.73650041159596691</v>
      </c>
      <c r="C659" s="18">
        <f>IF($A659&gt;'1-Input'!$B$26,0,(MAX(0,B616-IF($A659&gt;='1-Input'!$C$12,'1-Input'!$B$13,0))-MIN(MAX(F658,0),MAX(0,B616-IF($A659&gt;='1-Input'!$C$12,'1-Input'!$B$13,0))))*(1/(1-'P-Parametri'!$B$6*B659))+MIN(MAX(0,G658-(MAX(0,B616-IF($A659&gt;='1-Input'!$C$12,'1-Input'!$B$13,0))-MIN(MAX(F658,0),MAX(0,B616-IF($A659&gt;='1-Input'!$C$12,'1-Input'!$B$13,0))))*(1/(1-'P-Parametri'!$B$6*B659))),MAX(0,2*B616-(F658-MIN(MAX(F658,0),MAX(0,B616-IF($A659&gt;='1-Input'!$C$12,'1-Input'!$B$13,0)))))*(1/(1-'P-Parametri'!$B$6*B659))))</f>
        <v>4781.8325371593228</v>
      </c>
      <c r="D659" s="18">
        <f>IF($A659&gt;'1-Input'!$B$26,F658,(F658-MAX(0,B616-IF($A659&gt;='1-Input'!$C$12,'1-Input'!$B$13,0))+C659*(1-'P-Parametri'!$B$6*B659))*(1+'1-Input'!$B$27))</f>
        <v>33242.0070309863</v>
      </c>
      <c r="E659" s="18">
        <f>IF($A659&gt;'1-Input'!$B$26,G658,(G658-C659)*(1+'5-Roberta'!$C$4))</f>
        <v>165944.74928495209</v>
      </c>
      <c r="F659" s="18">
        <f>IF($A659&gt;'1-Input'!$B$26,D659,D659-'P-Parametri'!$B$8*(E659+D659)+MIN(MAX(E659,0),'P-Parametri'!$B$8*(E659+D659)))</f>
        <v>33242.0070309863</v>
      </c>
      <c r="G659" s="18">
        <f>IF($A659&gt;'1-Input'!$B$26,E659,E659-MIN(MAX(E659,0),'P-Parametri'!$B$8*(E659+D659)))</f>
        <v>165546.37577232023</v>
      </c>
      <c r="H659" s="18">
        <f>IF($A659&gt;'1-Input'!$B$26,H658,H658-C659*(1-B659))</f>
        <v>42452.789450869255</v>
      </c>
      <c r="I659" s="11">
        <f>IF($A659&gt;'1-Input'!$B$26,0,IF(N658&lt;=0,0,MAX(0,(N658-O658)/N658)))</f>
        <v>0</v>
      </c>
      <c r="J659" s="18">
        <f>IF($A659&gt;'1-Input'!$B$26,0,(MAX(0,I616-IF($A659&gt;='1-Input'!$C$12,'1-Input'!$B$13,0))-MIN(MAX(M658,0),MAX(0,I616-IF($A659&gt;='1-Input'!$C$12,'1-Input'!$B$13,0))))*(1/(1-'P-Parametri'!$B$6*I659))+MIN(MAX(0,N658-(MAX(0,I616-IF($A659&gt;='1-Input'!$C$12,'1-Input'!$B$13,0))-MIN(MAX(M658,0),MAX(0,I616-IF($A659&gt;='1-Input'!$C$12,'1-Input'!$B$13,0))))*(1/(1-'P-Parametri'!$B$6*I659))),MAX(0,2*I616-(M658-MIN(MAX(M658,0),MAX(0,I616-IF($A659&gt;='1-Input'!$C$12,'1-Input'!$B$13,0)))))*(1/(1-'P-Parametri'!$B$6*I659))))</f>
        <v>9013.756992928691</v>
      </c>
      <c r="K659" s="18">
        <f>IF($A659&gt;'1-Input'!$B$26,M658,(M658-MAX(0,I616-IF($A659&gt;='1-Input'!$C$12,'1-Input'!$B$13,0))+J659*(1-'P-Parametri'!$B$6*I659))*(1+'1-Input'!$B$27))</f>
        <v>0</v>
      </c>
      <c r="L659" s="18">
        <f>IF($A659&gt;'1-Input'!$B$26,N658,(N658-J659)*(1+'5-Roberta'!$C$4))</f>
        <v>-199437.78644288803</v>
      </c>
      <c r="M659" s="18">
        <f>IF($A659&gt;'1-Input'!$B$26,K659,K659-'P-Parametri'!$B$8*(L659+K659)+MIN(MAX(L659,0),'P-Parametri'!$B$8*(L659+K659)))</f>
        <v>0</v>
      </c>
      <c r="N659" s="18">
        <f>IF($A659&gt;'1-Input'!$B$26,L659,L659-MIN(MAX(L659,0),'P-Parametri'!$B$8*(L659+K659)))</f>
        <v>-199038.91087000226</v>
      </c>
      <c r="O659" s="18">
        <f>IF($A659&gt;'1-Input'!$B$26,O658,O658-J659*(1-I659))</f>
        <v>-153769.37173184557</v>
      </c>
      <c r="P659" s="11">
        <f>IF($A659&gt;'1-Input'!$B$26,0,IF(U658&lt;=0,0,MAX(0,(U658-V658)/U658)))</f>
        <v>0</v>
      </c>
      <c r="Q659" s="18">
        <f>IF($A659&gt;'1-Input'!$B$26,0,(MAX(0,P616-IF($A659&gt;='1-Input'!$C$12,'1-Input'!$B$13,0))-MIN(MAX(T658,0),MAX(0,P616-IF($A659&gt;='1-Input'!$C$12,'1-Input'!$B$13,0))))*(1/(1-'P-Parametri'!$B$6*P659))+MIN(MAX(0,U658-(MAX(0,P616-IF($A659&gt;='1-Input'!$C$12,'1-Input'!$B$13,0))-MIN(MAX(T658,0),MAX(0,P616-IF($A659&gt;='1-Input'!$C$12,'1-Input'!$B$13,0))))*(1/(1-'P-Parametri'!$B$6*P659))),MAX(0,2*P616-(T658-MIN(MAX(T658,0),MAX(0,P616-IF($A659&gt;='1-Input'!$C$12,'1-Input'!$B$13,0)))))*(1/(1-'P-Parametri'!$B$6*P659))))</f>
        <v>0</v>
      </c>
      <c r="R659" s="18">
        <f>IF($A659&gt;'1-Input'!$B$26,T658,(T658-MAX(0,P616-IF($A659&gt;='1-Input'!$C$12,'1-Input'!$B$13,0))+Q659*(1-'P-Parametri'!$B$6*P659))*(1+'1-Input'!$B$27))</f>
        <v>1447.5097754565759</v>
      </c>
      <c r="S659" s="18">
        <f>IF($A659&gt;'1-Input'!$B$26,U658,(U658-Q659)*(1+'5-Roberta'!$C$4))</f>
        <v>0</v>
      </c>
      <c r="T659" s="18">
        <f>IF($A659&gt;'1-Input'!$B$26,R659,R659-'P-Parametri'!$B$8*(S659+R659)+MIN(MAX(S659,0),'P-Parametri'!$B$8*(S659+R659)))</f>
        <v>1444.6147559056628</v>
      </c>
      <c r="U659" s="18">
        <f>IF($A659&gt;'1-Input'!$B$26,S659,S659-MIN(MAX(S659,0),'P-Parametri'!$B$8*(S659+R659)))</f>
        <v>0</v>
      </c>
      <c r="V659" s="18">
        <f>IF($A659&gt;'1-Input'!$B$26,V658,V658-Q659*(1-P659))</f>
        <v>-2.8421709430404007E-14</v>
      </c>
      <c r="W659" s="11">
        <f>IF($A659&gt;'1-Input'!$B$26,0,IF(AB658&lt;=0,0,MAX(0,(AB658-AC658)/AB658)))</f>
        <v>0</v>
      </c>
      <c r="X659" s="18">
        <f>IF($A659&gt;'1-Input'!$B$26,0,(MAX(0,W616-IF($A659&gt;='1-Input'!$C$12,'1-Input'!$B$13,0))-MIN(MAX(AA658,0),MAX(0,W616-IF($A659&gt;='1-Input'!$C$12,'1-Input'!$B$13,0))))*(1/(1-'P-Parametri'!$B$6*W659))+MIN(MAX(0,AB658-(MAX(0,W616-IF($A659&gt;='1-Input'!$C$12,'1-Input'!$B$13,0))-MIN(MAX(AA658,0),MAX(0,W616-IF($A659&gt;='1-Input'!$C$12,'1-Input'!$B$13,0))))*(1/(1-'P-Parametri'!$B$6*W659))),MAX(0,2*W616-(AA658-MIN(MAX(AA658,0),MAX(0,W616-IF($A659&gt;='1-Input'!$C$12,'1-Input'!$B$13,0)))))*(1/(1-'P-Parametri'!$B$6*W659))))</f>
        <v>0</v>
      </c>
      <c r="Y659" s="18">
        <f>IF($A659&gt;'1-Input'!$B$26,AA658,(AA658-MAX(0,W616-IF($A659&gt;='1-Input'!$C$12,'1-Input'!$B$13,0))+X659*(1-'P-Parametri'!$B$6*W659))*(1+'1-Input'!$B$27))</f>
        <v>21258.998114391314</v>
      </c>
      <c r="Z659" s="18">
        <f>IF($A659&gt;'1-Input'!$B$26,AB658,(AB658-X659)*(1+'5-Roberta'!$C$4))</f>
        <v>0</v>
      </c>
      <c r="AA659" s="18">
        <f>IF($A659&gt;'1-Input'!$B$26,Y659,Y659-'P-Parametri'!$B$8*(Z659+Y659)+MIN(MAX(Z659,0),'P-Parametri'!$B$8*(Z659+Y659)))</f>
        <v>21216.48011816253</v>
      </c>
      <c r="AB659" s="18">
        <f>IF($A659&gt;'1-Input'!$B$26,Z659,Z659-MIN(MAX(Z659,0),'P-Parametri'!$B$8*(Z659+Y659)))</f>
        <v>0</v>
      </c>
      <c r="AC659" s="18">
        <f>IF($A659&gt;'1-Input'!$B$26,AC658,AC658-X659*(1-W659))</f>
        <v>1.1368683772161603E-13</v>
      </c>
      <c r="AD659" s="11">
        <f>IF($A659&gt;'1-Input'!$B$26,0,IF(AI658&lt;=0,0,MAX(0,(AI658-AJ658)/AI658)))</f>
        <v>0</v>
      </c>
      <c r="AE659" s="18">
        <f>IF($A659&gt;'1-Input'!$B$26,0,(MAX(0,AD616-IF($A659&gt;='1-Input'!$C$12,'1-Input'!$B$13,0))-MIN(MAX(AH658,0),MAX(0,AD616-IF($A659&gt;='1-Input'!$C$12,'1-Input'!$B$13,0))))*(1/(1-'P-Parametri'!$B$6*AD659))+MIN(MAX(0,AI658-(MAX(0,AD616-IF($A659&gt;='1-Input'!$C$12,'1-Input'!$B$13,0))-MIN(MAX(AH658,0),MAX(0,AD616-IF($A659&gt;='1-Input'!$C$12,'1-Input'!$B$13,0))))*(1/(1-'P-Parametri'!$B$6*AD659))),MAX(0,2*AD616-(AH658-MIN(MAX(AH658,0),MAX(0,AD616-IF($A659&gt;='1-Input'!$C$12,'1-Input'!$B$13,0)))))*(1/(1-'P-Parametri'!$B$6*AD659))))</f>
        <v>0</v>
      </c>
      <c r="AF659" s="18">
        <f>IF($A659&gt;'1-Input'!$B$26,AH658,(AH658-MAX(0,AD616-IF($A659&gt;='1-Input'!$C$12,'1-Input'!$B$13,0))+AE659*(1-'P-Parametri'!$B$6*AD659))*(1+'1-Input'!$B$27))</f>
        <v>22964.232093069422</v>
      </c>
      <c r="AG659" s="18">
        <f>IF($A659&gt;'1-Input'!$B$26,AI658,(AI658-AE659)*(1+'5-Roberta'!$C$4))</f>
        <v>0</v>
      </c>
      <c r="AH659" s="18">
        <f>IF($A659&gt;'1-Input'!$B$26,AF659,AF659-'P-Parametri'!$B$8*(AG659+AF659)+MIN(MAX(AG659,0),'P-Parametri'!$B$8*(AG659+AF659)))</f>
        <v>22918.303628883285</v>
      </c>
      <c r="AI659" s="18">
        <f>IF($A659&gt;'1-Input'!$B$26,AG659,AG659-MIN(MAX(AG659,0),'P-Parametri'!$B$8*(AG659+AF659)))</f>
        <v>0</v>
      </c>
      <c r="AJ659" s="18">
        <f>IF($A659&gt;'1-Input'!$B$26,AJ658,AJ658-AE659*(1-AD659))</f>
        <v>0</v>
      </c>
      <c r="AK659" s="11">
        <f>IF($A659&gt;'1-Input'!$B$26,0,IF(AP658&lt;=0,0,MAX(0,(AP658-AQ658)/AP658)))</f>
        <v>0</v>
      </c>
      <c r="AL659" s="18">
        <f>IF($A659&gt;'1-Input'!$B$26,0,(MAX(0,AK616-IF($A659&gt;='1-Input'!$C$12,'1-Input'!$B$13,0))-MIN(MAX(AO658,0),MAX(0,AK616-IF($A659&gt;='1-Input'!$C$12,'1-Input'!$B$13,0))))*(1/(1-'P-Parametri'!$B$6*AK659))+MIN(MAX(0,AP658-(MAX(0,AK616-IF($A659&gt;='1-Input'!$C$12,'1-Input'!$B$13,0))-MIN(MAX(AO658,0),MAX(0,AK616-IF($A659&gt;='1-Input'!$C$12,'1-Input'!$B$13,0))))*(1/(1-'P-Parametri'!$B$6*AK659))),MAX(0,2*AK616-(AO658-MIN(MAX(AO658,0),MAX(0,AK616-IF($A659&gt;='1-Input'!$C$12,'1-Input'!$B$13,0)))))*(1/(1-'P-Parametri'!$B$6*AK659))))</f>
        <v>0</v>
      </c>
      <c r="AM659" s="18">
        <f>IF($A659&gt;'1-Input'!$B$26,AO658,(AO658-MAX(0,AK616-IF($A659&gt;='1-Input'!$C$12,'1-Input'!$B$13,0))+AL659*(1-'P-Parametri'!$B$6*AK659))*(1+'1-Input'!$B$27))</f>
        <v>22967.563419221889</v>
      </c>
      <c r="AN659" s="18">
        <f>IF($A659&gt;'1-Input'!$B$26,AP658,(AP658-AL659)*(1+'5-Roberta'!$C$4))</f>
        <v>0</v>
      </c>
      <c r="AO659" s="18">
        <f>IF($A659&gt;'1-Input'!$B$26,AM659,AM659-'P-Parametri'!$B$8*(AN659+AM659)+MIN(MAX(AN659,0),'P-Parametri'!$B$8*(AN659+AM659)))</f>
        <v>22921.628292383444</v>
      </c>
      <c r="AP659" s="18">
        <f>IF($A659&gt;'1-Input'!$B$26,AN659,AN659-MIN(MAX(AN659,0),'P-Parametri'!$B$8*(AN659+AM659)))</f>
        <v>0</v>
      </c>
      <c r="AQ659" s="18">
        <f>IF($A659&gt;'1-Input'!$B$26,AQ658,AQ658-AL659*(1-AK659))</f>
        <v>0</v>
      </c>
    </row>
    <row r="660" spans="1:43">
      <c r="A660" s="10">
        <f>42</f>
        <v>42</v>
      </c>
      <c r="B660" s="11">
        <f>IF($A660&gt;'1-Input'!$B$26,0,IF(G659&lt;=0,0,MAX(0,(G659-H659)/G659)))</f>
        <v>0.74355953579282485</v>
      </c>
      <c r="C660" s="18">
        <f>IF($A660&gt;'1-Input'!$B$26,0,(MAX(0,B616-IF($A660&gt;='1-Input'!$C$12,'1-Input'!$B$13,0))-MIN(MAX(F659,0),MAX(0,B616-IF($A660&gt;='1-Input'!$C$12,'1-Input'!$B$13,0))))*(1/(1-'P-Parametri'!$B$6*B660))+MIN(MAX(0,G659-(MAX(0,B616-IF($A660&gt;='1-Input'!$C$12,'1-Input'!$B$13,0))-MIN(MAX(F659,0),MAX(0,B616-IF($A660&gt;='1-Input'!$C$12,'1-Input'!$B$13,0))))*(1/(1-'P-Parametri'!$B$6*B660))),MAX(0,2*B616-(F659-MIN(MAX(F659,0),MAX(0,B616-IF($A660&gt;='1-Input'!$C$12,'1-Input'!$B$13,0)))))*(1/(1-'P-Parametri'!$B$6*B660))))</f>
        <v>4792.7123191713181</v>
      </c>
      <c r="D660" s="18">
        <f>IF($A660&gt;'1-Input'!$B$26,F659,(F659-MAX(0,B616-IF($A660&gt;='1-Input'!$C$12,'1-Input'!$B$13,0))+C660*(1-'P-Parametri'!$B$6*B660))*(1+'1-Input'!$B$27))</f>
        <v>33242.0070309863</v>
      </c>
      <c r="E660" s="18">
        <f>IF($A660&gt;'1-Input'!$B$26,G659,(G659-C660)*(1+'5-Roberta'!$C$4))</f>
        <v>165576.27335674339</v>
      </c>
      <c r="F660" s="18">
        <f>IF($A660&gt;'1-Input'!$B$26,D660,D660-'P-Parametri'!$B$8*(E660+D660)+MIN(MAX(E660,0),'P-Parametri'!$B$8*(E660+D660)))</f>
        <v>33242.0070309863</v>
      </c>
      <c r="G660" s="18">
        <f>IF($A660&gt;'1-Input'!$B$26,E660,E660-MIN(MAX(E660,0),'P-Parametri'!$B$8*(E660+D660)))</f>
        <v>165178.63679596793</v>
      </c>
      <c r="H660" s="18">
        <f>IF($A660&gt;'1-Input'!$B$26,H659,H659-C660*(1-B660))</f>
        <v>41223.744078929514</v>
      </c>
      <c r="I660" s="11">
        <f>IF($A660&gt;'1-Input'!$B$26,0,IF(N659&lt;=0,0,MAX(0,(N659-O659)/N659)))</f>
        <v>0</v>
      </c>
      <c r="J660" s="18">
        <f>IF($A660&gt;'1-Input'!$B$26,0,(MAX(0,I616-IF($A660&gt;='1-Input'!$C$12,'1-Input'!$B$13,0))-MIN(MAX(M659,0),MAX(0,I616-IF($A660&gt;='1-Input'!$C$12,'1-Input'!$B$13,0))))*(1/(1-'P-Parametri'!$B$6*I660))+MIN(MAX(0,N659-(MAX(0,I616-IF($A660&gt;='1-Input'!$C$12,'1-Input'!$B$13,0))-MIN(MAX(M659,0),MAX(0,I616-IF($A660&gt;='1-Input'!$C$12,'1-Input'!$B$13,0))))*(1/(1-'P-Parametri'!$B$6*I660))),MAX(0,2*I616-(M659-MIN(MAX(M659,0),MAX(0,I616-IF($A660&gt;='1-Input'!$C$12,'1-Input'!$B$13,0)))))*(1/(1-'P-Parametri'!$B$6*I660))))</f>
        <v>9013.756992928691</v>
      </c>
      <c r="K660" s="18">
        <f>IF($A660&gt;'1-Input'!$B$26,M659,(M659-MAX(0,I616-IF($A660&gt;='1-Input'!$C$12,'1-Input'!$B$13,0))+J660*(1-'P-Parametri'!$B$6*I660))*(1+'1-Input'!$B$27))</f>
        <v>0</v>
      </c>
      <c r="L660" s="18">
        <f>IF($A660&gt;'1-Input'!$B$26,N659,(N659-J660)*(1+'5-Roberta'!$C$4))</f>
        <v>-214294.24789881887</v>
      </c>
      <c r="M660" s="18">
        <f>IF($A660&gt;'1-Input'!$B$26,K660,K660-'P-Parametri'!$B$8*(L660+K660)+MIN(MAX(L660,0),'P-Parametri'!$B$8*(L660+K660)))</f>
        <v>0</v>
      </c>
      <c r="N660" s="18">
        <f>IF($A660&gt;'1-Input'!$B$26,L660,L660-MIN(MAX(L660,0),'P-Parametri'!$B$8*(L660+K660)))</f>
        <v>-213865.65940302121</v>
      </c>
      <c r="O660" s="18">
        <f>IF($A660&gt;'1-Input'!$B$26,O659,O659-J660*(1-I660))</f>
        <v>-162783.12872477426</v>
      </c>
      <c r="P660" s="11">
        <f>IF($A660&gt;'1-Input'!$B$26,0,IF(U659&lt;=0,0,MAX(0,(U659-V659)/U659)))</f>
        <v>0</v>
      </c>
      <c r="Q660" s="18">
        <f>IF($A660&gt;'1-Input'!$B$26,0,(MAX(0,P616-IF($A660&gt;='1-Input'!$C$12,'1-Input'!$B$13,0))-MIN(MAX(T659,0),MAX(0,P616-IF($A660&gt;='1-Input'!$C$12,'1-Input'!$B$13,0))))*(1/(1-'P-Parametri'!$B$6*P660))+MIN(MAX(0,U659-(MAX(0,P616-IF($A660&gt;='1-Input'!$C$12,'1-Input'!$B$13,0))-MIN(MAX(T659,0),MAX(0,P616-IF($A660&gt;='1-Input'!$C$12,'1-Input'!$B$13,0))))*(1/(1-'P-Parametri'!$B$6*P660))),MAX(0,2*P616-(T659-MIN(MAX(T659,0),MAX(0,P616-IF($A660&gt;='1-Input'!$C$12,'1-Input'!$B$13,0)))))*(1/(1-'P-Parametri'!$B$6*P660))))</f>
        <v>4569.0826144686434</v>
      </c>
      <c r="R660" s="18">
        <f>IF($A660&gt;'1-Input'!$B$26,T659,(T659-MAX(0,P616-IF($A660&gt;='1-Input'!$C$12,'1-Input'!$B$13,0))+Q660*(1-'P-Parametri'!$B$6*P660))*(1+'1-Input'!$B$27))</f>
        <v>0</v>
      </c>
      <c r="S660" s="18">
        <f>IF($A660&gt;'1-Input'!$B$26,U659,(U659-Q660)*(1+'5-Roberta'!$C$4))</f>
        <v>-4706.1550929027026</v>
      </c>
      <c r="T660" s="18">
        <f>IF($A660&gt;'1-Input'!$B$26,R660,R660-'P-Parametri'!$B$8*(S660+R660)+MIN(MAX(S660,0),'P-Parametri'!$B$8*(S660+R660)))</f>
        <v>0</v>
      </c>
      <c r="U660" s="18">
        <f>IF($A660&gt;'1-Input'!$B$26,S660,S660-MIN(MAX(S660,0),'P-Parametri'!$B$8*(S660+R660)))</f>
        <v>-4696.7427827168967</v>
      </c>
      <c r="V660" s="18">
        <f>IF($A660&gt;'1-Input'!$B$26,V659,V659-Q660*(1-P660))</f>
        <v>-4569.0826144686434</v>
      </c>
      <c r="W660" s="11">
        <f>IF($A660&gt;'1-Input'!$B$26,0,IF(AB659&lt;=0,0,MAX(0,(AB659-AC659)/AB659)))</f>
        <v>0</v>
      </c>
      <c r="X660" s="18">
        <f>IF($A660&gt;'1-Input'!$B$26,0,(MAX(0,W616-IF($A660&gt;='1-Input'!$C$12,'1-Input'!$B$13,0))-MIN(MAX(AA659,0),MAX(0,W616-IF($A660&gt;='1-Input'!$C$12,'1-Input'!$B$13,0))))*(1/(1-'P-Parametri'!$B$6*W660))+MIN(MAX(0,AB659-(MAX(0,W616-IF($A660&gt;='1-Input'!$C$12,'1-Input'!$B$13,0))-MIN(MAX(AA659,0),MAX(0,W616-IF($A660&gt;='1-Input'!$C$12,'1-Input'!$B$13,0))))*(1/(1-'P-Parametri'!$B$6*W660))),MAX(0,2*W616-(AA659-MIN(MAX(AA659,0),MAX(0,W616-IF($A660&gt;='1-Input'!$C$12,'1-Input'!$B$13,0)))))*(1/(1-'P-Parametri'!$B$6*W660))))</f>
        <v>0</v>
      </c>
      <c r="Y660" s="18">
        <f>IF($A660&gt;'1-Input'!$B$26,AA659,(AA659-MAX(0,W616-IF($A660&gt;='1-Input'!$C$12,'1-Input'!$B$13,0))+X660*(1-'P-Parametri'!$B$6*W660))*(1+'1-Input'!$B$27))</f>
        <v>15453.278010848384</v>
      </c>
      <c r="Z660" s="18">
        <f>IF($A660&gt;'1-Input'!$B$26,AB659,(AB659-X660)*(1+'5-Roberta'!$C$4))</f>
        <v>0</v>
      </c>
      <c r="AA660" s="18">
        <f>IF($A660&gt;'1-Input'!$B$26,Y660,Y660-'P-Parametri'!$B$8*(Z660+Y660)+MIN(MAX(Z660,0),'P-Parametri'!$B$8*(Z660+Y660)))</f>
        <v>15422.371454826687</v>
      </c>
      <c r="AB660" s="18">
        <f>IF($A660&gt;'1-Input'!$B$26,Z660,Z660-MIN(MAX(Z660,0),'P-Parametri'!$B$8*(Z660+Y660)))</f>
        <v>0</v>
      </c>
      <c r="AC660" s="18">
        <f>IF($A660&gt;'1-Input'!$B$26,AC659,AC659-X660*(1-W660))</f>
        <v>1.1368683772161603E-13</v>
      </c>
      <c r="AD660" s="11">
        <f>IF($A660&gt;'1-Input'!$B$26,0,IF(AI659&lt;=0,0,MAX(0,(AI659-AJ659)/AI659)))</f>
        <v>0</v>
      </c>
      <c r="AE660" s="18">
        <f>IF($A660&gt;'1-Input'!$B$26,0,(MAX(0,AD616-IF($A660&gt;='1-Input'!$C$12,'1-Input'!$B$13,0))-MIN(MAX(AH659,0),MAX(0,AD616-IF($A660&gt;='1-Input'!$C$12,'1-Input'!$B$13,0))))*(1/(1-'P-Parametri'!$B$6*AD660))+MIN(MAX(0,AI659-(MAX(0,AD616-IF($A660&gt;='1-Input'!$C$12,'1-Input'!$B$13,0))-MIN(MAX(AH659,0),MAX(0,AD616-IF($A660&gt;='1-Input'!$C$12,'1-Input'!$B$13,0))))*(1/(1-'P-Parametri'!$B$6*AD660))),MAX(0,2*AD616-(AH659-MIN(MAX(AH659,0),MAX(0,AD616-IF($A660&gt;='1-Input'!$C$12,'1-Input'!$B$13,0)))))*(1/(1-'P-Parametri'!$B$6*AD660))))</f>
        <v>0</v>
      </c>
      <c r="AF660" s="18">
        <f>IF($A660&gt;'1-Input'!$B$26,AH659,(AH659-MAX(0,AD616-IF($A660&gt;='1-Input'!$C$12,'1-Input'!$B$13,0))+AE660*(1-'P-Parametri'!$B$6*AD660))*(1+'1-Input'!$B$27))</f>
        <v>17173.916151259058</v>
      </c>
      <c r="AG660" s="18">
        <f>IF($A660&gt;'1-Input'!$B$26,AI659,(AI659-AE660)*(1+'5-Roberta'!$C$4))</f>
        <v>0</v>
      </c>
      <c r="AH660" s="18">
        <f>IF($A660&gt;'1-Input'!$B$26,AF660,AF660-'P-Parametri'!$B$8*(AG660+AF660)+MIN(MAX(AG660,0),'P-Parametri'!$B$8*(AG660+AF660)))</f>
        <v>17139.568318956539</v>
      </c>
      <c r="AI660" s="18">
        <f>IF($A660&gt;'1-Input'!$B$26,AG660,AG660-MIN(MAX(AG660,0),'P-Parametri'!$B$8*(AG660+AF660)))</f>
        <v>0</v>
      </c>
      <c r="AJ660" s="18">
        <f>IF($A660&gt;'1-Input'!$B$26,AJ659,AJ659-AE660*(1-AD660))</f>
        <v>0</v>
      </c>
      <c r="AK660" s="11">
        <f>IF($A660&gt;'1-Input'!$B$26,0,IF(AP659&lt;=0,0,MAX(0,(AP659-AQ659)/AP659)))</f>
        <v>0</v>
      </c>
      <c r="AL660" s="18">
        <f>IF($A660&gt;'1-Input'!$B$26,0,(MAX(0,AK616-IF($A660&gt;='1-Input'!$C$12,'1-Input'!$B$13,0))-MIN(MAX(AO659,0),MAX(0,AK616-IF($A660&gt;='1-Input'!$C$12,'1-Input'!$B$13,0))))*(1/(1-'P-Parametri'!$B$6*AK660))+MIN(MAX(0,AP659-(MAX(0,AK616-IF($A660&gt;='1-Input'!$C$12,'1-Input'!$B$13,0))-MIN(MAX(AO659,0),MAX(0,AK616-IF($A660&gt;='1-Input'!$C$12,'1-Input'!$B$13,0))))*(1/(1-'P-Parametri'!$B$6*AK660))),MAX(0,2*AK616-(AO659-MIN(MAX(AO659,0),MAX(0,AK616-IF($A660&gt;='1-Input'!$C$12,'1-Input'!$B$13,0)))))*(1/(1-'P-Parametri'!$B$6*AK660))))</f>
        <v>0</v>
      </c>
      <c r="AM660" s="18">
        <f>IF($A660&gt;'1-Input'!$B$26,AO659,(AO659-MAX(0,AK616-IF($A660&gt;='1-Input'!$C$12,'1-Input'!$B$13,0))+AL660*(1-'P-Parametri'!$B$6*AK660))*(1+'1-Input'!$B$27))</f>
        <v>17177.277570306029</v>
      </c>
      <c r="AN660" s="18">
        <f>IF($A660&gt;'1-Input'!$B$26,AP659,(AP659-AL660)*(1+'5-Roberta'!$C$4))</f>
        <v>0</v>
      </c>
      <c r="AO660" s="18">
        <f>IF($A660&gt;'1-Input'!$B$26,AM660,AM660-'P-Parametri'!$B$8*(AN660+AM660)+MIN(MAX(AN660,0),'P-Parametri'!$B$8*(AN660+AM660)))</f>
        <v>17142.923015165416</v>
      </c>
      <c r="AP660" s="18">
        <f>IF($A660&gt;'1-Input'!$B$26,AN660,AN660-MIN(MAX(AN660,0),'P-Parametri'!$B$8*(AN660+AM660)))</f>
        <v>0</v>
      </c>
      <c r="AQ660" s="18">
        <f>IF($A660&gt;'1-Input'!$B$26,AQ659,AQ659-AL660*(1-AK660))</f>
        <v>0</v>
      </c>
    </row>
    <row r="661" spans="1:43">
      <c r="A661" s="10">
        <f>43</f>
        <v>43</v>
      </c>
      <c r="B661" s="11">
        <f>IF($A661&gt;'1-Input'!$B$26,0,IF(G660&lt;=0,0,MAX(0,(G660-H660)/G660)))</f>
        <v>0.75042932380020833</v>
      </c>
      <c r="C661" s="18">
        <f>IF($A661&gt;'1-Input'!$B$26,0,(MAX(0,B616-IF($A661&gt;='1-Input'!$C$12,'1-Input'!$B$13,0))-MIN(MAX(F660,0),MAX(0,B616-IF($A661&gt;='1-Input'!$C$12,'1-Input'!$B$13,0))))*(1/(1-'P-Parametri'!$B$6*B661))+MIN(MAX(0,G660-(MAX(0,B616-IF($A661&gt;='1-Input'!$C$12,'1-Input'!$B$13,0))-MIN(MAX(F660,0),MAX(0,B616-IF($A661&gt;='1-Input'!$C$12,'1-Input'!$B$13,0))))*(1/(1-'P-Parametri'!$B$6*B661))),MAX(0,2*B616-(F660-MIN(MAX(F660,0),MAX(0,B616-IF($A661&gt;='1-Input'!$C$12,'1-Input'!$B$13,0)))))*(1/(1-'P-Parametri'!$B$6*B661))))</f>
        <v>4803.3479288243534</v>
      </c>
      <c r="D661" s="18">
        <f>IF($A661&gt;'1-Input'!$B$26,F660,(F660-MAX(0,B616-IF($A661&gt;='1-Input'!$C$12,'1-Input'!$B$13,0))+C661*(1-'P-Parametri'!$B$6*B661))*(1+'1-Input'!$B$27))</f>
        <v>33242.0070309863</v>
      </c>
      <c r="E661" s="18">
        <f>IF($A661&gt;'1-Input'!$B$26,G660,(G660-C661)*(1+'5-Roberta'!$C$4))</f>
        <v>165186.54753315789</v>
      </c>
      <c r="F661" s="18">
        <f>IF($A661&gt;'1-Input'!$B$26,D661,D661-'P-Parametri'!$B$8*(E661+D661)+MIN(MAX(E661,0),'P-Parametri'!$B$8*(E661+D661)))</f>
        <v>33242.0070309863</v>
      </c>
      <c r="G661" s="18">
        <f>IF($A661&gt;'1-Input'!$B$26,E661,E661-MIN(MAX(E661,0),'P-Parametri'!$B$8*(E661+D661)))</f>
        <v>164789.6904240296</v>
      </c>
      <c r="H661" s="18">
        <f>IF($A661&gt;'1-Input'!$B$26,H660,H660-C661*(1-B661))</f>
        <v>40024.969288309949</v>
      </c>
      <c r="I661" s="11">
        <f>IF($A661&gt;'1-Input'!$B$26,0,IF(N660&lt;=0,0,MAX(0,(N660-O660)/N660)))</f>
        <v>0</v>
      </c>
      <c r="J661" s="18">
        <f>IF($A661&gt;'1-Input'!$B$26,0,(MAX(0,I616-IF($A661&gt;='1-Input'!$C$12,'1-Input'!$B$13,0))-MIN(MAX(M660,0),MAX(0,I616-IF($A661&gt;='1-Input'!$C$12,'1-Input'!$B$13,0))))*(1/(1-'P-Parametri'!$B$6*I661))+MIN(MAX(0,N660-(MAX(0,I616-IF($A661&gt;='1-Input'!$C$12,'1-Input'!$B$13,0))-MIN(MAX(M660,0),MAX(0,I616-IF($A661&gt;='1-Input'!$C$12,'1-Input'!$B$13,0))))*(1/(1-'P-Parametri'!$B$6*I661))),MAX(0,2*I616-(M660-MIN(MAX(M660,0),MAX(0,I616-IF($A661&gt;='1-Input'!$C$12,'1-Input'!$B$13,0)))))*(1/(1-'P-Parametri'!$B$6*I661))))</f>
        <v>9013.756992928691</v>
      </c>
      <c r="K661" s="18">
        <f>IF($A661&gt;'1-Input'!$B$26,M660,(M660-MAX(0,I616-IF($A661&gt;='1-Input'!$C$12,'1-Input'!$B$13,0))+J661*(1-'P-Parametri'!$B$6*I661))*(1+'1-Input'!$B$27))</f>
        <v>0</v>
      </c>
      <c r="L661" s="18">
        <f>IF($A661&gt;'1-Input'!$B$26,N660,(N660-J661)*(1+'5-Roberta'!$C$4))</f>
        <v>-229565.79888782839</v>
      </c>
      <c r="M661" s="18">
        <f>IF($A661&gt;'1-Input'!$B$26,K661,K661-'P-Parametri'!$B$8*(L661+K661)+MIN(MAX(L661,0),'P-Parametri'!$B$8*(L661+K661)))</f>
        <v>0</v>
      </c>
      <c r="N661" s="18">
        <f>IF($A661&gt;'1-Input'!$B$26,L661,L661-MIN(MAX(L661,0),'P-Parametri'!$B$8*(L661+K661)))</f>
        <v>-229106.66729005275</v>
      </c>
      <c r="O661" s="18">
        <f>IF($A661&gt;'1-Input'!$B$26,O660,O660-J661*(1-I661))</f>
        <v>-171796.88571770294</v>
      </c>
      <c r="P661" s="11">
        <f>IF($A661&gt;'1-Input'!$B$26,0,IF(U660&lt;=0,0,MAX(0,(U660-V660)/U660)))</f>
        <v>0</v>
      </c>
      <c r="Q661" s="18">
        <f>IF($A661&gt;'1-Input'!$B$26,0,(MAX(0,P616-IF($A661&gt;='1-Input'!$C$12,'1-Input'!$B$13,0))-MIN(MAX(T660,0),MAX(0,P616-IF($A661&gt;='1-Input'!$C$12,'1-Input'!$B$13,0))))*(1/(1-'P-Parametri'!$B$6*P661))+MIN(MAX(0,U660-(MAX(0,P616-IF($A661&gt;='1-Input'!$C$12,'1-Input'!$B$13,0))-MIN(MAX(T660,0),MAX(0,P616-IF($A661&gt;='1-Input'!$C$12,'1-Input'!$B$13,0))))*(1/(1-'P-Parametri'!$B$6*P661))),MAX(0,2*P616-(T660-MIN(MAX(T660,0),MAX(0,P616-IF($A661&gt;='1-Input'!$C$12,'1-Input'!$B$13,0)))))*(1/(1-'P-Parametri'!$B$6*P661))))</f>
        <v>6013.697370374306</v>
      </c>
      <c r="R661" s="18">
        <f>IF($A661&gt;'1-Input'!$B$26,T660,(T660-MAX(0,P616-IF($A661&gt;='1-Input'!$C$12,'1-Input'!$B$13,0))+Q661*(1-'P-Parametri'!$B$6*P661))*(1+'1-Input'!$B$27))</f>
        <v>0</v>
      </c>
      <c r="S661" s="18">
        <f>IF($A661&gt;'1-Input'!$B$26,U660,(U660-Q661)*(1+'5-Roberta'!$C$4))</f>
        <v>-11031.75335768394</v>
      </c>
      <c r="T661" s="18">
        <f>IF($A661&gt;'1-Input'!$B$26,R661,R661-'P-Parametri'!$B$8*(S661+R661)+MIN(MAX(S661,0),'P-Parametri'!$B$8*(S661+R661)))</f>
        <v>0</v>
      </c>
      <c r="U661" s="18">
        <f>IF($A661&gt;'1-Input'!$B$26,S661,S661-MIN(MAX(S661,0),'P-Parametri'!$B$8*(S661+R661)))</f>
        <v>-11009.689850968573</v>
      </c>
      <c r="V661" s="18">
        <f>IF($A661&gt;'1-Input'!$B$26,V660,V660-Q661*(1-P661))</f>
        <v>-10582.779984842949</v>
      </c>
      <c r="W661" s="11">
        <f>IF($A661&gt;'1-Input'!$B$26,0,IF(AB660&lt;=0,0,MAX(0,(AB660-AC660)/AB660)))</f>
        <v>0</v>
      </c>
      <c r="X661" s="18">
        <f>IF($A661&gt;'1-Input'!$B$26,0,(MAX(0,W616-IF($A661&gt;='1-Input'!$C$12,'1-Input'!$B$13,0))-MIN(MAX(AA660,0),MAX(0,W616-IF($A661&gt;='1-Input'!$C$12,'1-Input'!$B$13,0))))*(1/(1-'P-Parametri'!$B$6*W661))+MIN(MAX(0,AB660-(MAX(0,W616-IF($A661&gt;='1-Input'!$C$12,'1-Input'!$B$13,0))-MIN(MAX(AA660,0),MAX(0,W616-IF($A661&gt;='1-Input'!$C$12,'1-Input'!$B$13,0))))*(1/(1-'P-Parametri'!$B$6*W661))),MAX(0,2*W616-(AA660-MIN(MAX(AA660,0),MAX(0,W616-IF($A661&gt;='1-Input'!$C$12,'1-Input'!$B$13,0)))))*(1/(1-'P-Parametri'!$B$6*W661))))</f>
        <v>0</v>
      </c>
      <c r="Y661" s="18">
        <f>IF($A661&gt;'1-Input'!$B$26,AA660,(AA660-MAX(0,W616-IF($A661&gt;='1-Input'!$C$12,'1-Input'!$B$13,0))+X661*(1-'P-Parametri'!$B$6*W661))*(1+'1-Input'!$B$27))</f>
        <v>9680.0281387005507</v>
      </c>
      <c r="Z661" s="18">
        <f>IF($A661&gt;'1-Input'!$B$26,AB660,(AB660-X661)*(1+'5-Roberta'!$C$4))</f>
        <v>0</v>
      </c>
      <c r="AA661" s="18">
        <f>IF($A661&gt;'1-Input'!$B$26,Y661,Y661-'P-Parametri'!$B$8*(Z661+Y661)+MIN(MAX(Z661,0),'P-Parametri'!$B$8*(Z661+Y661)))</f>
        <v>9660.6680824231498</v>
      </c>
      <c r="AB661" s="18">
        <f>IF($A661&gt;'1-Input'!$B$26,Z661,Z661-MIN(MAX(Z661,0),'P-Parametri'!$B$8*(Z661+Y661)))</f>
        <v>0</v>
      </c>
      <c r="AC661" s="18">
        <f>IF($A661&gt;'1-Input'!$B$26,AC660,AC660-X661*(1-W661))</f>
        <v>1.1368683772161603E-13</v>
      </c>
      <c r="AD661" s="11">
        <f>IF($A661&gt;'1-Input'!$B$26,0,IF(AI660&lt;=0,0,MAX(0,(AI660-AJ660)/AI660)))</f>
        <v>0</v>
      </c>
      <c r="AE661" s="18">
        <f>IF($A661&gt;'1-Input'!$B$26,0,(MAX(0,AD616-IF($A661&gt;='1-Input'!$C$12,'1-Input'!$B$13,0))-MIN(MAX(AH660,0),MAX(0,AD616-IF($A661&gt;='1-Input'!$C$12,'1-Input'!$B$13,0))))*(1/(1-'P-Parametri'!$B$6*AD661))+MIN(MAX(0,AI660-(MAX(0,AD616-IF($A661&gt;='1-Input'!$C$12,'1-Input'!$B$13,0))-MIN(MAX(AH660,0),MAX(0,AD616-IF($A661&gt;='1-Input'!$C$12,'1-Input'!$B$13,0))))*(1/(1-'P-Parametri'!$B$6*AD661))),MAX(0,2*AD616-(AH660-MIN(MAX(AH660,0),MAX(0,AD616-IF($A661&gt;='1-Input'!$C$12,'1-Input'!$B$13,0)))))*(1/(1-'P-Parametri'!$B$6*AD661))))</f>
        <v>0</v>
      </c>
      <c r="AF661" s="18">
        <f>IF($A661&gt;'1-Input'!$B$26,AH660,(AH660-MAX(0,AD616-IF($A661&gt;='1-Input'!$C$12,'1-Input'!$B$13,0))+AE661*(1-'P-Parametri'!$B$6*AD661))*(1+'1-Input'!$B$27))</f>
        <v>11415.984288448051</v>
      </c>
      <c r="AG661" s="18">
        <f>IF($A661&gt;'1-Input'!$B$26,AI660,(AI660-AE661)*(1+'5-Roberta'!$C$4))</f>
        <v>0</v>
      </c>
      <c r="AH661" s="18">
        <f>IF($A661&gt;'1-Input'!$B$26,AF661,AF661-'P-Parametri'!$B$8*(AG661+AF661)+MIN(MAX(AG661,0),'P-Parametri'!$B$8*(AG661+AF661)))</f>
        <v>11393.152319871155</v>
      </c>
      <c r="AI661" s="18">
        <f>IF($A661&gt;'1-Input'!$B$26,AG661,AG661-MIN(MAX(AG661,0),'P-Parametri'!$B$8*(AG661+AF661)))</f>
        <v>0</v>
      </c>
      <c r="AJ661" s="18">
        <f>IF($A661&gt;'1-Input'!$B$26,AJ660,AJ660-AE661*(1-AD661))</f>
        <v>0</v>
      </c>
      <c r="AK661" s="11">
        <f>IF($A661&gt;'1-Input'!$B$26,0,IF(AP660&lt;=0,0,MAX(0,(AP660-AQ660)/AP660)))</f>
        <v>0</v>
      </c>
      <c r="AL661" s="18">
        <f>IF($A661&gt;'1-Input'!$B$26,0,(MAX(0,AK616-IF($A661&gt;='1-Input'!$C$12,'1-Input'!$B$13,0))-MIN(MAX(AO660,0),MAX(0,AK616-IF($A661&gt;='1-Input'!$C$12,'1-Input'!$B$13,0))))*(1/(1-'P-Parametri'!$B$6*AK661))+MIN(MAX(0,AP660-(MAX(0,AK616-IF($A661&gt;='1-Input'!$C$12,'1-Input'!$B$13,0))-MIN(MAX(AO660,0),MAX(0,AK616-IF($A661&gt;='1-Input'!$C$12,'1-Input'!$B$13,0))))*(1/(1-'P-Parametri'!$B$6*AK661))),MAX(0,2*AK616-(AO660-MIN(MAX(AO660,0),MAX(0,AK616-IF($A661&gt;='1-Input'!$C$12,'1-Input'!$B$13,0)))))*(1/(1-'P-Parametri'!$B$6*AK661))))</f>
        <v>0</v>
      </c>
      <c r="AM661" s="18">
        <f>IF($A661&gt;'1-Input'!$B$26,AO660,(AO660-MAX(0,AK616-IF($A661&gt;='1-Input'!$C$12,'1-Input'!$B$13,0))+AL661*(1-'P-Parametri'!$B$6*AK661))*(1+'1-Input'!$B$27))</f>
        <v>11419.375632085985</v>
      </c>
      <c r="AN661" s="18">
        <f>IF($A661&gt;'1-Input'!$B$26,AP660,(AP660-AL661)*(1+'5-Roberta'!$C$4))</f>
        <v>0</v>
      </c>
      <c r="AO661" s="18">
        <f>IF($A661&gt;'1-Input'!$B$26,AM661,AM661-'P-Parametri'!$B$8*(AN661+AM661)+MIN(MAX(AN661,0),'P-Parametri'!$B$8*(AN661+AM661)))</f>
        <v>11396.536880821814</v>
      </c>
      <c r="AP661" s="18">
        <f>IF($A661&gt;'1-Input'!$B$26,AN661,AN661-MIN(MAX(AN661,0),'P-Parametri'!$B$8*(AN661+AM661)))</f>
        <v>0</v>
      </c>
      <c r="AQ661" s="18">
        <f>IF($A661&gt;'1-Input'!$B$26,AQ660,AQ660-AL661*(1-AK661))</f>
        <v>0</v>
      </c>
    </row>
    <row r="662" spans="1:43">
      <c r="A662" s="10">
        <f>44</f>
        <v>44</v>
      </c>
      <c r="B662" s="11">
        <f>IF($A662&gt;'1-Input'!$B$26,0,IF(G661&lt;=0,0,MAX(0,(G661-H661)/G661)))</f>
        <v>0.75711484629093329</v>
      </c>
      <c r="C662" s="18">
        <f>IF($A662&gt;'1-Input'!$B$26,0,(MAX(0,B616-IF($A662&gt;='1-Input'!$C$12,'1-Input'!$B$13,0))-MIN(MAX(F661,0),MAX(0,B616-IF($A662&gt;='1-Input'!$C$12,'1-Input'!$B$13,0))))*(1/(1-'P-Parametri'!$B$6*B662))+MIN(MAX(0,G661-(MAX(0,B616-IF($A662&gt;='1-Input'!$C$12,'1-Input'!$B$13,0))-MIN(MAX(F661,0),MAX(0,B616-IF($A662&gt;='1-Input'!$C$12,'1-Input'!$B$13,0))))*(1/(1-'P-Parametri'!$B$6*B662))),MAX(0,2*B616-(F661-MIN(MAX(F661,0),MAX(0,B616-IF($A662&gt;='1-Input'!$C$12,'1-Input'!$B$13,0)))))*(1/(1-'P-Parametri'!$B$6*B662))))</f>
        <v>4813.7436831707228</v>
      </c>
      <c r="D662" s="18">
        <f>IF($A662&gt;'1-Input'!$B$26,F661,(F661-MAX(0,B616-IF($A662&gt;='1-Input'!$C$12,'1-Input'!$B$13,0))+C662*(1-'P-Parametri'!$B$6*B662))*(1+'1-Input'!$B$27))</f>
        <v>33242.0070309863</v>
      </c>
      <c r="E662" s="18">
        <f>IF($A662&gt;'1-Input'!$B$26,G661,(G661-C662)*(1+'5-Roberta'!$C$4))</f>
        <v>164775.22514308465</v>
      </c>
      <c r="F662" s="18">
        <f>IF($A662&gt;'1-Input'!$B$26,D662,D662-'P-Parametri'!$B$8*(E662+D662)+MIN(MAX(E662,0),'P-Parametri'!$B$8*(E662+D662)))</f>
        <v>33242.0070309863</v>
      </c>
      <c r="G662" s="18">
        <f>IF($A662&gt;'1-Input'!$B$26,E662,E662-MIN(MAX(E662,0),'P-Parametri'!$B$8*(E662+D662)))</f>
        <v>164379.19067873652</v>
      </c>
      <c r="H662" s="18">
        <f>IF($A662&gt;'1-Input'!$B$26,H661,H661-C662*(1-B662))</f>
        <v>38855.782413906978</v>
      </c>
      <c r="I662" s="11">
        <f>IF($A662&gt;'1-Input'!$B$26,0,IF(N661&lt;=0,0,MAX(0,(N661-O661)/N661)))</f>
        <v>0</v>
      </c>
      <c r="J662" s="18">
        <f>IF($A662&gt;'1-Input'!$B$26,0,(MAX(0,I616-IF($A662&gt;='1-Input'!$C$12,'1-Input'!$B$13,0))-MIN(MAX(M661,0),MAX(0,I616-IF($A662&gt;='1-Input'!$C$12,'1-Input'!$B$13,0))))*(1/(1-'P-Parametri'!$B$6*I662))+MIN(MAX(0,N661-(MAX(0,I616-IF($A662&gt;='1-Input'!$C$12,'1-Input'!$B$13,0))-MIN(MAX(M661,0),MAX(0,I616-IF($A662&gt;='1-Input'!$C$12,'1-Input'!$B$13,0))))*(1/(1-'P-Parametri'!$B$6*I662))),MAX(0,2*I616-(M661-MIN(MAX(M661,0),MAX(0,I616-IF($A662&gt;='1-Input'!$C$12,'1-Input'!$B$13,0)))))*(1/(1-'P-Parametri'!$B$6*I662))))</f>
        <v>9013.756992928691</v>
      </c>
      <c r="K662" s="18">
        <f>IF($A662&gt;'1-Input'!$B$26,M661,(M661-MAX(0,I616-IF($A662&gt;='1-Input'!$C$12,'1-Input'!$B$13,0))+J662*(1-'P-Parametri'!$B$6*I662))*(1+'1-Input'!$B$27))</f>
        <v>0</v>
      </c>
      <c r="L662" s="18">
        <f>IF($A662&gt;'1-Input'!$B$26,N661,(N661-J662)*(1+'5-Roberta'!$C$4))</f>
        <v>-245264.03701147088</v>
      </c>
      <c r="M662" s="18">
        <f>IF($A662&gt;'1-Input'!$B$26,K662,K662-'P-Parametri'!$B$8*(L662+K662)+MIN(MAX(L662,0),'P-Parametri'!$B$8*(L662+K662)))</f>
        <v>0</v>
      </c>
      <c r="N662" s="18">
        <f>IF($A662&gt;'1-Input'!$B$26,L662,L662-MIN(MAX(L662,0),'P-Parametri'!$B$8*(L662+K662)))</f>
        <v>-244773.50893744794</v>
      </c>
      <c r="O662" s="18">
        <f>IF($A662&gt;'1-Input'!$B$26,O661,O661-J662*(1-I662))</f>
        <v>-180810.64271063163</v>
      </c>
      <c r="P662" s="11">
        <f>IF($A662&gt;'1-Input'!$B$26,0,IF(U661&lt;=0,0,MAX(0,(U661-V661)/U661)))</f>
        <v>0</v>
      </c>
      <c r="Q662" s="18">
        <f>IF($A662&gt;'1-Input'!$B$26,0,(MAX(0,P616-IF($A662&gt;='1-Input'!$C$12,'1-Input'!$B$13,0))-MIN(MAX(T661,0),MAX(0,P616-IF($A662&gt;='1-Input'!$C$12,'1-Input'!$B$13,0))))*(1/(1-'P-Parametri'!$B$6*P662))+MIN(MAX(0,U661-(MAX(0,P616-IF($A662&gt;='1-Input'!$C$12,'1-Input'!$B$13,0))-MIN(MAX(T661,0),MAX(0,P616-IF($A662&gt;='1-Input'!$C$12,'1-Input'!$B$13,0))))*(1/(1-'P-Parametri'!$B$6*P662))),MAX(0,2*P616-(T661-MIN(MAX(T661,0),MAX(0,P616-IF($A662&gt;='1-Input'!$C$12,'1-Input'!$B$13,0)))))*(1/(1-'P-Parametri'!$B$6*P662))))</f>
        <v>6013.697370374306</v>
      </c>
      <c r="R662" s="18">
        <f>IF($A662&gt;'1-Input'!$B$26,T661,(T661-MAX(0,P616-IF($A662&gt;='1-Input'!$C$12,'1-Input'!$B$13,0))+Q662*(1-'P-Parametri'!$B$6*P662))*(1+'1-Input'!$B$27))</f>
        <v>0</v>
      </c>
      <c r="S662" s="18">
        <f>IF($A662&gt;'1-Input'!$B$26,U661,(U661-Q662)*(1+'5-Roberta'!$C$4))</f>
        <v>-17534.088837983163</v>
      </c>
      <c r="T662" s="18">
        <f>IF($A662&gt;'1-Input'!$B$26,R662,R662-'P-Parametri'!$B$8*(S662+R662)+MIN(MAX(S662,0),'P-Parametri'!$B$8*(S662+R662)))</f>
        <v>0</v>
      </c>
      <c r="U662" s="18">
        <f>IF($A662&gt;'1-Input'!$B$26,S662,S662-MIN(MAX(S662,0),'P-Parametri'!$B$8*(S662+R662)))</f>
        <v>-17499.020660307197</v>
      </c>
      <c r="V662" s="18">
        <f>IF($A662&gt;'1-Input'!$B$26,V661,V661-Q662*(1-P662))</f>
        <v>-16596.477355217256</v>
      </c>
      <c r="W662" s="11">
        <f>IF($A662&gt;'1-Input'!$B$26,0,IF(AB661&lt;=0,0,MAX(0,(AB661-AC661)/AB661)))</f>
        <v>0</v>
      </c>
      <c r="X662" s="18">
        <f>IF($A662&gt;'1-Input'!$B$26,0,(MAX(0,W616-IF($A662&gt;='1-Input'!$C$12,'1-Input'!$B$13,0))-MIN(MAX(AA661,0),MAX(0,W616-IF($A662&gt;='1-Input'!$C$12,'1-Input'!$B$13,0))))*(1/(1-'P-Parametri'!$B$6*W662))+MIN(MAX(0,AB661-(MAX(0,W616-IF($A662&gt;='1-Input'!$C$12,'1-Input'!$B$13,0))-MIN(MAX(AA661,0),MAX(0,W616-IF($A662&gt;='1-Input'!$C$12,'1-Input'!$B$13,0))))*(1/(1-'P-Parametri'!$B$6*W662))),MAX(0,2*W616-(AA661-MIN(MAX(AA661,0),MAX(0,W616-IF($A662&gt;='1-Input'!$C$12,'1-Input'!$B$13,0)))))*(1/(1-'P-Parametri'!$B$6*W662))))</f>
        <v>0</v>
      </c>
      <c r="Y662" s="18">
        <f>IF($A662&gt;'1-Input'!$B$26,AA661,(AA661-MAX(0,W616-IF($A662&gt;='1-Input'!$C$12,'1-Input'!$B$13,0))+X662*(1-'P-Parametri'!$B$6*W662))*(1+'1-Input'!$B$27))</f>
        <v>3939.0668984376662</v>
      </c>
      <c r="Z662" s="18">
        <f>IF($A662&gt;'1-Input'!$B$26,AB661,(AB661-X662)*(1+'5-Roberta'!$C$4))</f>
        <v>0</v>
      </c>
      <c r="AA662" s="18">
        <f>IF($A662&gt;'1-Input'!$B$26,Y662,Y662-'P-Parametri'!$B$8*(Z662+Y662)+MIN(MAX(Z662,0),'P-Parametri'!$B$8*(Z662+Y662)))</f>
        <v>3931.1887646407909</v>
      </c>
      <c r="AB662" s="18">
        <f>IF($A662&gt;'1-Input'!$B$26,Z662,Z662-MIN(MAX(Z662,0),'P-Parametri'!$B$8*(Z662+Y662)))</f>
        <v>0</v>
      </c>
      <c r="AC662" s="18">
        <f>IF($A662&gt;'1-Input'!$B$26,AC661,AC661-X662*(1-W662))</f>
        <v>1.1368683772161603E-13</v>
      </c>
      <c r="AD662" s="11">
        <f>IF($A662&gt;'1-Input'!$B$26,0,IF(AI661&lt;=0,0,MAX(0,(AI661-AJ661)/AI661)))</f>
        <v>0</v>
      </c>
      <c r="AE662" s="18">
        <f>IF($A662&gt;'1-Input'!$B$26,0,(MAX(0,AD616-IF($A662&gt;='1-Input'!$C$12,'1-Input'!$B$13,0))-MIN(MAX(AH661,0),MAX(0,AD616-IF($A662&gt;='1-Input'!$C$12,'1-Input'!$B$13,0))))*(1/(1-'P-Parametri'!$B$6*AD662))+MIN(MAX(0,AI661-(MAX(0,AD616-IF($A662&gt;='1-Input'!$C$12,'1-Input'!$B$13,0))-MIN(MAX(AH661,0),MAX(0,AD616-IF($A662&gt;='1-Input'!$C$12,'1-Input'!$B$13,0))))*(1/(1-'P-Parametri'!$B$6*AD662))),MAX(0,2*AD616-(AH661-MIN(MAX(AH661,0),MAX(0,AD616-IF($A662&gt;='1-Input'!$C$12,'1-Input'!$B$13,0)))))*(1/(1-'P-Parametri'!$B$6*AD662))))</f>
        <v>0</v>
      </c>
      <c r="AF662" s="18">
        <f>IF($A662&gt;'1-Input'!$B$26,AH661,(AH661-MAX(0,AD616-IF($A662&gt;='1-Input'!$C$12,'1-Input'!$B$13,0))+AE662*(1-'P-Parametri'!$B$6*AD662))*(1+'1-Input'!$B$27))</f>
        <v>5690.2553869593739</v>
      </c>
      <c r="AG662" s="18">
        <f>IF($A662&gt;'1-Input'!$B$26,AI661,(AI661-AE662)*(1+'5-Roberta'!$C$4))</f>
        <v>0</v>
      </c>
      <c r="AH662" s="18">
        <f>IF($A662&gt;'1-Input'!$B$26,AF662,AF662-'P-Parametri'!$B$8*(AG662+AF662)+MIN(MAX(AG662,0),'P-Parametri'!$B$8*(AG662+AF662)))</f>
        <v>5678.8748761854549</v>
      </c>
      <c r="AI662" s="18">
        <f>IF($A662&gt;'1-Input'!$B$26,AG662,AG662-MIN(MAX(AG662,0),'P-Parametri'!$B$8*(AG662+AF662)))</f>
        <v>0</v>
      </c>
      <c r="AJ662" s="18">
        <f>IF($A662&gt;'1-Input'!$B$26,AJ661,AJ661-AE662*(1-AD662))</f>
        <v>0</v>
      </c>
      <c r="AK662" s="11">
        <f>IF($A662&gt;'1-Input'!$B$26,0,IF(AP661&lt;=0,0,MAX(0,(AP661-AQ661)/AP661)))</f>
        <v>0</v>
      </c>
      <c r="AL662" s="18">
        <f>IF($A662&gt;'1-Input'!$B$26,0,(MAX(0,AK616-IF($A662&gt;='1-Input'!$C$12,'1-Input'!$B$13,0))-MIN(MAX(AO661,0),MAX(0,AK616-IF($A662&gt;='1-Input'!$C$12,'1-Input'!$B$13,0))))*(1/(1-'P-Parametri'!$B$6*AK662))+MIN(MAX(0,AP661-(MAX(0,AK616-IF($A662&gt;='1-Input'!$C$12,'1-Input'!$B$13,0))-MIN(MAX(AO661,0),MAX(0,AK616-IF($A662&gt;='1-Input'!$C$12,'1-Input'!$B$13,0))))*(1/(1-'P-Parametri'!$B$6*AK662))),MAX(0,2*AK616-(AO661-MIN(MAX(AO661,0),MAX(0,AK616-IF($A662&gt;='1-Input'!$C$12,'1-Input'!$B$13,0)))))*(1/(1-'P-Parametri'!$B$6*AK662))))</f>
        <v>0</v>
      </c>
      <c r="AM662" s="18">
        <f>IF($A662&gt;'1-Input'!$B$26,AO661,(AO661-MAX(0,AK616-IF($A662&gt;='1-Input'!$C$12,'1-Input'!$B$13,0))+AL662*(1-'P-Parametri'!$B$6*AK662))*(1+'1-Input'!$B$27))</f>
        <v>5693.6764878260201</v>
      </c>
      <c r="AN662" s="18">
        <f>IF($A662&gt;'1-Input'!$B$26,AP661,(AP661-AL662)*(1+'5-Roberta'!$C$4))</f>
        <v>0</v>
      </c>
      <c r="AO662" s="18">
        <f>IF($A662&gt;'1-Input'!$B$26,AM662,AM662-'P-Parametri'!$B$8*(AN662+AM662)+MIN(MAX(AN662,0),'P-Parametri'!$B$8*(AN662+AM662)))</f>
        <v>5682.2891348503681</v>
      </c>
      <c r="AP662" s="18">
        <f>IF($A662&gt;'1-Input'!$B$26,AN662,AN662-MIN(MAX(AN662,0),'P-Parametri'!$B$8*(AN662+AM662)))</f>
        <v>0</v>
      </c>
      <c r="AQ662" s="18">
        <f>IF($A662&gt;'1-Input'!$B$26,AQ661,AQ661-AL662*(1-AK662))</f>
        <v>0</v>
      </c>
    </row>
    <row r="663" spans="1:43">
      <c r="A663" s="10">
        <f>45</f>
        <v>45</v>
      </c>
      <c r="B663" s="11">
        <f>IF($A663&gt;'1-Input'!$B$26,0,IF(G662&lt;=0,0,MAX(0,(G662-H662)/G662)))</f>
        <v>0.76362103832323336</v>
      </c>
      <c r="C663" s="18">
        <f>IF($A663&gt;'1-Input'!$B$26,0,(MAX(0,B616-IF($A663&gt;='1-Input'!$C$12,'1-Input'!$B$13,0))-MIN(MAX(F662,0),MAX(0,B616-IF($A663&gt;='1-Input'!$C$12,'1-Input'!$B$13,0))))*(1/(1-'P-Parametri'!$B$6*B663))+MIN(MAX(0,G662-(MAX(0,B616-IF($A663&gt;='1-Input'!$C$12,'1-Input'!$B$13,0))-MIN(MAX(F662,0),MAX(0,B616-IF($A663&gt;='1-Input'!$C$12,'1-Input'!$B$13,0))))*(1/(1-'P-Parametri'!$B$6*B663))),MAX(0,2*B616-(F662-MIN(MAX(F662,0),MAX(0,B616-IF($A663&gt;='1-Input'!$C$12,'1-Input'!$B$13,0)))))*(1/(1-'P-Parametri'!$B$6*B663))))</f>
        <v>4823.9038802389978</v>
      </c>
      <c r="D663" s="18">
        <f>IF($A663&gt;'1-Input'!$B$26,F662,(F662-MAX(0,B616-IF($A663&gt;='1-Input'!$C$12,'1-Input'!$B$13,0))+C663*(1-'P-Parametri'!$B$6*B663))*(1+'1-Input'!$B$27))</f>
        <v>33242.0070309863</v>
      </c>
      <c r="E663" s="18">
        <f>IF($A663&gt;'1-Input'!$B$26,G662,(G662-C663)*(1+'5-Roberta'!$C$4))</f>
        <v>164341.94540245246</v>
      </c>
      <c r="F663" s="18">
        <f>IF($A663&gt;'1-Input'!$B$26,D663,D663-'P-Parametri'!$B$8*(E663+D663)+MIN(MAX(E663,0),'P-Parametri'!$B$8*(E663+D663)))</f>
        <v>33242.0070309863</v>
      </c>
      <c r="G663" s="18">
        <f>IF($A663&gt;'1-Input'!$B$26,E663,E663-MIN(MAX(E663,0),'P-Parametri'!$B$8*(E663+D663)))</f>
        <v>163946.77749758557</v>
      </c>
      <c r="H663" s="18">
        <f>IF($A663&gt;'1-Input'!$B$26,H662,H662-C663*(1-B663))</f>
        <v>37715.51302346756</v>
      </c>
      <c r="I663" s="11">
        <f>IF($A663&gt;'1-Input'!$B$26,0,IF(N662&lt;=0,0,MAX(0,(N662-O662)/N662)))</f>
        <v>0</v>
      </c>
      <c r="J663" s="18">
        <f>IF($A663&gt;'1-Input'!$B$26,0,(MAX(0,I616-IF($A663&gt;='1-Input'!$C$12,'1-Input'!$B$13,0))-MIN(MAX(M662,0),MAX(0,I616-IF($A663&gt;='1-Input'!$C$12,'1-Input'!$B$13,0))))*(1/(1-'P-Parametri'!$B$6*I663))+MIN(MAX(0,N662-(MAX(0,I616-IF($A663&gt;='1-Input'!$C$12,'1-Input'!$B$13,0))-MIN(MAX(M662,0),MAX(0,I616-IF($A663&gt;='1-Input'!$C$12,'1-Input'!$B$13,0))))*(1/(1-'P-Parametri'!$B$6*I663))),MAX(0,2*I616-(M662-MIN(MAX(M662,0),MAX(0,I616-IF($A663&gt;='1-Input'!$C$12,'1-Input'!$B$13,0)))))*(1/(1-'P-Parametri'!$B$6*I663))))</f>
        <v>9013.756992928691</v>
      </c>
      <c r="K663" s="18">
        <f>IF($A663&gt;'1-Input'!$B$26,M662,(M662-MAX(0,I616-IF($A663&gt;='1-Input'!$C$12,'1-Input'!$B$13,0))+J663*(1-'P-Parametri'!$B$6*I663))*(1+'1-Input'!$B$27))</f>
        <v>0</v>
      </c>
      <c r="L663" s="18">
        <f>IF($A663&gt;'1-Input'!$B$26,N662,(N662-J663)*(1+'5-Roberta'!$C$4))</f>
        <v>-261400.88390828794</v>
      </c>
      <c r="M663" s="18">
        <f>IF($A663&gt;'1-Input'!$B$26,K663,K663-'P-Parametri'!$B$8*(L663+K663)+MIN(MAX(L663,0),'P-Parametri'!$B$8*(L663+K663)))</f>
        <v>0</v>
      </c>
      <c r="N663" s="18">
        <f>IF($A663&gt;'1-Input'!$B$26,L663,L663-MIN(MAX(L663,0),'P-Parametri'!$B$8*(L663+K663)))</f>
        <v>-260878.08214047138</v>
      </c>
      <c r="O663" s="18">
        <f>IF($A663&gt;'1-Input'!$B$26,O662,O662-J663*(1-I663))</f>
        <v>-189824.39970356031</v>
      </c>
      <c r="P663" s="11">
        <f>IF($A663&gt;'1-Input'!$B$26,0,IF(U662&lt;=0,0,MAX(0,(U662-V662)/U662)))</f>
        <v>0</v>
      </c>
      <c r="Q663" s="18">
        <f>IF($A663&gt;'1-Input'!$B$26,0,(MAX(0,P616-IF($A663&gt;='1-Input'!$C$12,'1-Input'!$B$13,0))-MIN(MAX(T662,0),MAX(0,P616-IF($A663&gt;='1-Input'!$C$12,'1-Input'!$B$13,0))))*(1/(1-'P-Parametri'!$B$6*P663))+MIN(MAX(0,U662-(MAX(0,P616-IF($A663&gt;='1-Input'!$C$12,'1-Input'!$B$13,0))-MIN(MAX(T662,0),MAX(0,P616-IF($A663&gt;='1-Input'!$C$12,'1-Input'!$B$13,0))))*(1/(1-'P-Parametri'!$B$6*P663))),MAX(0,2*P616-(T662-MIN(MAX(T662,0),MAX(0,P616-IF($A663&gt;='1-Input'!$C$12,'1-Input'!$B$13,0)))))*(1/(1-'P-Parametri'!$B$6*P663))))</f>
        <v>6013.697370374306</v>
      </c>
      <c r="R663" s="18">
        <f>IF($A663&gt;'1-Input'!$B$26,T662,(T662-MAX(0,P616-IF($A663&gt;='1-Input'!$C$12,'1-Input'!$B$13,0))+Q663*(1-'P-Parametri'!$B$6*P663))*(1+'1-Input'!$B$27))</f>
        <v>0</v>
      </c>
      <c r="S663" s="18">
        <f>IF($A663&gt;'1-Input'!$B$26,U662,(U662-Q663)*(1+'5-Roberta'!$C$4))</f>
        <v>-24218.09957160195</v>
      </c>
      <c r="T663" s="18">
        <f>IF($A663&gt;'1-Input'!$B$26,R663,R663-'P-Parametri'!$B$8*(S663+R663)+MIN(MAX(S663,0),'P-Parametri'!$B$8*(S663+R663)))</f>
        <v>0</v>
      </c>
      <c r="U663" s="18">
        <f>IF($A663&gt;'1-Input'!$B$26,S663,S663-MIN(MAX(S663,0),'P-Parametri'!$B$8*(S663+R663)))</f>
        <v>-24169.663372458745</v>
      </c>
      <c r="V663" s="18">
        <f>IF($A663&gt;'1-Input'!$B$26,V662,V662-Q663*(1-P663))</f>
        <v>-22610.174725591562</v>
      </c>
      <c r="W663" s="11">
        <f>IF($A663&gt;'1-Input'!$B$26,0,IF(AB662&lt;=0,0,MAX(0,(AB662-AC662)/AB662)))</f>
        <v>0</v>
      </c>
      <c r="X663" s="18">
        <f>IF($A663&gt;'1-Input'!$B$26,0,(MAX(0,W616-IF($A663&gt;='1-Input'!$C$12,'1-Input'!$B$13,0))-MIN(MAX(AA662,0),MAX(0,W616-IF($A663&gt;='1-Input'!$C$12,'1-Input'!$B$13,0))))*(1/(1-'P-Parametri'!$B$6*W663))+MIN(MAX(0,AB662-(MAX(0,W616-IF($A663&gt;='1-Input'!$C$12,'1-Input'!$B$13,0))-MIN(MAX(AA662,0),MAX(0,W616-IF($A663&gt;='1-Input'!$C$12,'1-Input'!$B$13,0))))*(1/(1-'P-Parametri'!$B$6*W663))),MAX(0,2*W616-(AA662-MIN(MAX(AA662,0),MAX(0,W616-IF($A663&gt;='1-Input'!$C$12,'1-Input'!$B$13,0)))))*(1/(1-'P-Parametri'!$B$6*W663))))</f>
        <v>1776.1805437582057</v>
      </c>
      <c r="Y663" s="18">
        <f>IF($A663&gt;'1-Input'!$B$26,AA662,(AA662-MAX(0,W616-IF($A663&gt;='1-Input'!$C$12,'1-Input'!$B$13,0))+X663*(1-'P-Parametri'!$B$6*W663))*(1+'1-Input'!$B$27))</f>
        <v>0</v>
      </c>
      <c r="Z663" s="18">
        <f>IF($A663&gt;'1-Input'!$B$26,AB662,(AB662-X663)*(1+'5-Roberta'!$C$4))</f>
        <v>-1829.465960070952</v>
      </c>
      <c r="AA663" s="18">
        <f>IF($A663&gt;'1-Input'!$B$26,Y663,Y663-'P-Parametri'!$B$8*(Z663+Y663)+MIN(MAX(Z663,0),'P-Parametri'!$B$8*(Z663+Y663)))</f>
        <v>0</v>
      </c>
      <c r="AB663" s="18">
        <f>IF($A663&gt;'1-Input'!$B$26,Z663,Z663-MIN(MAX(Z663,0),'P-Parametri'!$B$8*(Z663+Y663)))</f>
        <v>-1825.8070281508101</v>
      </c>
      <c r="AC663" s="18">
        <f>IF($A663&gt;'1-Input'!$B$26,AC662,AC662-X663*(1-W663))</f>
        <v>-1776.1805437582057</v>
      </c>
      <c r="AD663" s="11">
        <f>IF($A663&gt;'1-Input'!$B$26,0,IF(AI662&lt;=0,0,MAX(0,(AI662-AJ662)/AI662)))</f>
        <v>0</v>
      </c>
      <c r="AE663" s="18">
        <f>IF($A663&gt;'1-Input'!$B$26,0,(MAX(0,AD616-IF($A663&gt;='1-Input'!$C$12,'1-Input'!$B$13,0))-MIN(MAX(AH662,0),MAX(0,AD616-IF($A663&gt;='1-Input'!$C$12,'1-Input'!$B$13,0))))*(1/(1-'P-Parametri'!$B$6*AD663))+MIN(MAX(0,AI662-(MAX(0,AD616-IF($A663&gt;='1-Input'!$C$12,'1-Input'!$B$13,0))-MIN(MAX(AH662,0),MAX(0,AD616-IF($A663&gt;='1-Input'!$C$12,'1-Input'!$B$13,0))))*(1/(1-'P-Parametri'!$B$6*AD663))),MAX(0,2*AD616-(AH662-MIN(MAX(AH662,0),MAX(0,AD616-IF($A663&gt;='1-Input'!$C$12,'1-Input'!$B$13,0)))))*(1/(1-'P-Parametri'!$B$6*AD663))))</f>
        <v>3.4631251797036384</v>
      </c>
      <c r="AF663" s="18">
        <f>IF($A663&gt;'1-Input'!$B$26,AH662,(AH662-MAX(0,AD616-IF($A663&gt;='1-Input'!$C$12,'1-Input'!$B$13,0))+AE663*(1-'P-Parametri'!$B$6*AD663))*(1+'1-Input'!$B$27))</f>
        <v>0</v>
      </c>
      <c r="AG663" s="18">
        <f>IF($A663&gt;'1-Input'!$B$26,AI662,(AI662-AE663)*(1+'5-Roberta'!$C$4))</f>
        <v>-3.5670189350947479</v>
      </c>
      <c r="AH663" s="18">
        <f>IF($A663&gt;'1-Input'!$B$26,AF663,AF663-'P-Parametri'!$B$8*(AG663+AF663)+MIN(MAX(AG663,0),'P-Parametri'!$B$8*(AG663+AF663)))</f>
        <v>0</v>
      </c>
      <c r="AI663" s="18">
        <f>IF($A663&gt;'1-Input'!$B$26,AG663,AG663-MIN(MAX(AG663,0),'P-Parametri'!$B$8*(AG663+AF663)))</f>
        <v>-3.5598848972245585</v>
      </c>
      <c r="AJ663" s="18">
        <f>IF($A663&gt;'1-Input'!$B$26,AJ662,AJ662-AE663*(1-AD663))</f>
        <v>-3.4631251797036384</v>
      </c>
      <c r="AK663" s="11">
        <f>IF($A663&gt;'1-Input'!$B$26,0,IF(AP662&lt;=0,0,MAX(0,(AP662-AQ662)/AP662)))</f>
        <v>0</v>
      </c>
      <c r="AL663" s="18">
        <f>IF($A663&gt;'1-Input'!$B$26,0,(MAX(0,AK616-IF($A663&gt;='1-Input'!$C$12,'1-Input'!$B$13,0))-MIN(MAX(AO662,0),MAX(0,AK616-IF($A663&gt;='1-Input'!$C$12,'1-Input'!$B$13,0))))*(1/(1-'P-Parametri'!$B$6*AK663))+MIN(MAX(0,AP662-(MAX(0,AK616-IF($A663&gt;='1-Input'!$C$12,'1-Input'!$B$13,0))-MIN(MAX(AO662,0),MAX(0,AK616-IF($A663&gt;='1-Input'!$C$12,'1-Input'!$B$13,0))))*(1/(1-'P-Parametri'!$B$6*AK663))),MAX(0,2*AK616-(AO662-MIN(MAX(AO662,0),MAX(0,AK616-IF($A663&gt;='1-Input'!$C$12,'1-Input'!$B$13,0)))))*(1/(1-'P-Parametri'!$B$6*AK663))))</f>
        <v>0</v>
      </c>
      <c r="AM663" s="18">
        <f>IF($A663&gt;'1-Input'!$B$26,AO662,(AO662-MAX(0,AK616-IF($A663&gt;='1-Input'!$C$12,'1-Input'!$B$13,0))+AL663*(1-'P-Parametri'!$B$6*AK663))*(1+'1-Input'!$B$27))</f>
        <v>3.374007166166848E-5</v>
      </c>
      <c r="AN663" s="18">
        <f>IF($A663&gt;'1-Input'!$B$26,AP662,(AP662-AL663)*(1+'5-Roberta'!$C$4))</f>
        <v>0</v>
      </c>
      <c r="AO663" s="18">
        <f>IF($A663&gt;'1-Input'!$B$26,AM663,AM663-'P-Parametri'!$B$8*(AN663+AM663)+MIN(MAX(AN663,0),'P-Parametri'!$B$8*(AN663+AM663)))</f>
        <v>3.3672591518345141E-5</v>
      </c>
      <c r="AP663" s="18">
        <f>IF($A663&gt;'1-Input'!$B$26,AN663,AN663-MIN(MAX(AN663,0),'P-Parametri'!$B$8*(AN663+AM663)))</f>
        <v>0</v>
      </c>
      <c r="AQ663" s="18">
        <f>IF($A663&gt;'1-Input'!$B$26,AQ662,AQ662-AL663*(1-AK663))</f>
        <v>0</v>
      </c>
    </row>
    <row r="664" spans="1:43">
      <c r="A664" s="10">
        <f>46</f>
        <v>46</v>
      </c>
      <c r="B664" s="11">
        <f>IF($A664&gt;'1-Input'!$B$26,0,IF(G663&lt;=0,0,MAX(0,(G663-H663)/G663)))</f>
        <v>0</v>
      </c>
      <c r="C664" s="18">
        <f>IF($A664&gt;'1-Input'!$B$26,0,(MAX(0,B616-IF($A664&gt;='1-Input'!$C$12,'1-Input'!$B$13,0))-MIN(MAX(F663,0),MAX(0,B616-IF($A664&gt;='1-Input'!$C$12,'1-Input'!$B$13,0))))*(1/(1-'P-Parametri'!$B$6*B664))+MIN(MAX(0,G663-(MAX(0,B616-IF($A664&gt;='1-Input'!$C$12,'1-Input'!$B$13,0))-MIN(MAX(F663,0),MAX(0,B616-IF($A664&gt;='1-Input'!$C$12,'1-Input'!$B$13,0))))*(1/(1-'P-Parametri'!$B$6*B664))),MAX(0,2*B616-(F663-MIN(MAX(F663,0),MAX(0,B616-IF($A664&gt;='1-Input'!$C$12,'1-Input'!$B$13,0)))))*(1/(1-'P-Parametri'!$B$6*B664))))</f>
        <v>0</v>
      </c>
      <c r="D664" s="18">
        <f>IF($A664&gt;'1-Input'!$B$26,F663,(F663-MAX(0,B616-IF($A664&gt;='1-Input'!$C$12,'1-Input'!$B$13,0))+C664*(1-'P-Parametri'!$B$6*B664))*(1+'1-Input'!$B$27))</f>
        <v>33242.0070309863</v>
      </c>
      <c r="E664" s="18">
        <f>IF($A664&gt;'1-Input'!$B$26,G663,(G663-C664)*(1+'5-Roberta'!$C$4))</f>
        <v>163946.77749758557</v>
      </c>
      <c r="F664" s="18">
        <f>IF($A664&gt;'1-Input'!$B$26,D664,D664-'P-Parametri'!$B$8*(E664+D664)+MIN(MAX(E664,0),'P-Parametri'!$B$8*(E664+D664)))</f>
        <v>33242.0070309863</v>
      </c>
      <c r="G664" s="18">
        <f>IF($A664&gt;'1-Input'!$B$26,E664,E664-MIN(MAX(E664,0),'P-Parametri'!$B$8*(E664+D664)))</f>
        <v>163946.77749758557</v>
      </c>
      <c r="H664" s="18">
        <f>IF($A664&gt;'1-Input'!$B$26,H663,H663-C664*(1-B664))</f>
        <v>37715.51302346756</v>
      </c>
      <c r="I664" s="11">
        <f>IF($A664&gt;'1-Input'!$B$26,0,IF(N663&lt;=0,0,MAX(0,(N663-O663)/N663)))</f>
        <v>0</v>
      </c>
      <c r="J664" s="18">
        <f>IF($A664&gt;'1-Input'!$B$26,0,(MAX(0,I616-IF($A664&gt;='1-Input'!$C$12,'1-Input'!$B$13,0))-MIN(MAX(M663,0),MAX(0,I616-IF($A664&gt;='1-Input'!$C$12,'1-Input'!$B$13,0))))*(1/(1-'P-Parametri'!$B$6*I664))+MIN(MAX(0,N663-(MAX(0,I616-IF($A664&gt;='1-Input'!$C$12,'1-Input'!$B$13,0))-MIN(MAX(M663,0),MAX(0,I616-IF($A664&gt;='1-Input'!$C$12,'1-Input'!$B$13,0))))*(1/(1-'P-Parametri'!$B$6*I664))),MAX(0,2*I616-(M663-MIN(MAX(M663,0),MAX(0,I616-IF($A664&gt;='1-Input'!$C$12,'1-Input'!$B$13,0)))))*(1/(1-'P-Parametri'!$B$6*I664))))</f>
        <v>0</v>
      </c>
      <c r="K664" s="18">
        <f>IF($A664&gt;'1-Input'!$B$26,M663,(M663-MAX(0,I616-IF($A664&gt;='1-Input'!$C$12,'1-Input'!$B$13,0))+J664*(1-'P-Parametri'!$B$6*I664))*(1+'1-Input'!$B$27))</f>
        <v>0</v>
      </c>
      <c r="L664" s="18">
        <f>IF($A664&gt;'1-Input'!$B$26,N663,(N663-J664)*(1+'5-Roberta'!$C$4))</f>
        <v>-260878.08214047138</v>
      </c>
      <c r="M664" s="18">
        <f>IF($A664&gt;'1-Input'!$B$26,K664,K664-'P-Parametri'!$B$8*(L664+K664)+MIN(MAX(L664,0),'P-Parametri'!$B$8*(L664+K664)))</f>
        <v>0</v>
      </c>
      <c r="N664" s="18">
        <f>IF($A664&gt;'1-Input'!$B$26,L664,L664-MIN(MAX(L664,0),'P-Parametri'!$B$8*(L664+K664)))</f>
        <v>-260878.08214047138</v>
      </c>
      <c r="O664" s="18">
        <f>IF($A664&gt;'1-Input'!$B$26,O663,O663-J664*(1-I664))</f>
        <v>-189824.39970356031</v>
      </c>
      <c r="P664" s="11">
        <f>IF($A664&gt;'1-Input'!$B$26,0,IF(U663&lt;=0,0,MAX(0,(U663-V663)/U663)))</f>
        <v>0</v>
      </c>
      <c r="Q664" s="18">
        <f>IF($A664&gt;'1-Input'!$B$26,0,(MAX(0,P616-IF($A664&gt;='1-Input'!$C$12,'1-Input'!$B$13,0))-MIN(MAX(T663,0),MAX(0,P616-IF($A664&gt;='1-Input'!$C$12,'1-Input'!$B$13,0))))*(1/(1-'P-Parametri'!$B$6*P664))+MIN(MAX(0,U663-(MAX(0,P616-IF($A664&gt;='1-Input'!$C$12,'1-Input'!$B$13,0))-MIN(MAX(T663,0),MAX(0,P616-IF($A664&gt;='1-Input'!$C$12,'1-Input'!$B$13,0))))*(1/(1-'P-Parametri'!$B$6*P664))),MAX(0,2*P616-(T663-MIN(MAX(T663,0),MAX(0,P616-IF($A664&gt;='1-Input'!$C$12,'1-Input'!$B$13,0)))))*(1/(1-'P-Parametri'!$B$6*P664))))</f>
        <v>0</v>
      </c>
      <c r="R664" s="18">
        <f>IF($A664&gt;'1-Input'!$B$26,T663,(T663-MAX(0,P616-IF($A664&gt;='1-Input'!$C$12,'1-Input'!$B$13,0))+Q664*(1-'P-Parametri'!$B$6*P664))*(1+'1-Input'!$B$27))</f>
        <v>0</v>
      </c>
      <c r="S664" s="18">
        <f>IF($A664&gt;'1-Input'!$B$26,U663,(U663-Q664)*(1+'5-Roberta'!$C$4))</f>
        <v>-24169.663372458745</v>
      </c>
      <c r="T664" s="18">
        <f>IF($A664&gt;'1-Input'!$B$26,R664,R664-'P-Parametri'!$B$8*(S664+R664)+MIN(MAX(S664,0),'P-Parametri'!$B$8*(S664+R664)))</f>
        <v>0</v>
      </c>
      <c r="U664" s="18">
        <f>IF($A664&gt;'1-Input'!$B$26,S664,S664-MIN(MAX(S664,0),'P-Parametri'!$B$8*(S664+R664)))</f>
        <v>-24169.663372458745</v>
      </c>
      <c r="V664" s="18">
        <f>IF($A664&gt;'1-Input'!$B$26,V663,V663-Q664*(1-P664))</f>
        <v>-22610.174725591562</v>
      </c>
      <c r="W664" s="11">
        <f>IF($A664&gt;'1-Input'!$B$26,0,IF(AB663&lt;=0,0,MAX(0,(AB663-AC663)/AB663)))</f>
        <v>0</v>
      </c>
      <c r="X664" s="18">
        <f>IF($A664&gt;'1-Input'!$B$26,0,(MAX(0,W616-IF($A664&gt;='1-Input'!$C$12,'1-Input'!$B$13,0))-MIN(MAX(AA663,0),MAX(0,W616-IF($A664&gt;='1-Input'!$C$12,'1-Input'!$B$13,0))))*(1/(1-'P-Parametri'!$B$6*W664))+MIN(MAX(0,AB663-(MAX(0,W616-IF($A664&gt;='1-Input'!$C$12,'1-Input'!$B$13,0))-MIN(MAX(AA663,0),MAX(0,W616-IF($A664&gt;='1-Input'!$C$12,'1-Input'!$B$13,0))))*(1/(1-'P-Parametri'!$B$6*W664))),MAX(0,2*W616-(AA663-MIN(MAX(AA663,0),MAX(0,W616-IF($A664&gt;='1-Input'!$C$12,'1-Input'!$B$13,0)))))*(1/(1-'P-Parametri'!$B$6*W664))))</f>
        <v>0</v>
      </c>
      <c r="Y664" s="18">
        <f>IF($A664&gt;'1-Input'!$B$26,AA663,(AA663-MAX(0,W616-IF($A664&gt;='1-Input'!$C$12,'1-Input'!$B$13,0))+X664*(1-'P-Parametri'!$B$6*W664))*(1+'1-Input'!$B$27))</f>
        <v>0</v>
      </c>
      <c r="Z664" s="18">
        <f>IF($A664&gt;'1-Input'!$B$26,AB663,(AB663-X664)*(1+'5-Roberta'!$C$4))</f>
        <v>-1825.8070281508101</v>
      </c>
      <c r="AA664" s="18">
        <f>IF($A664&gt;'1-Input'!$B$26,Y664,Y664-'P-Parametri'!$B$8*(Z664+Y664)+MIN(MAX(Z664,0),'P-Parametri'!$B$8*(Z664+Y664)))</f>
        <v>0</v>
      </c>
      <c r="AB664" s="18">
        <f>IF($A664&gt;'1-Input'!$B$26,Z664,Z664-MIN(MAX(Z664,0),'P-Parametri'!$B$8*(Z664+Y664)))</f>
        <v>-1825.8070281508101</v>
      </c>
      <c r="AC664" s="18">
        <f>IF($A664&gt;'1-Input'!$B$26,AC663,AC663-X664*(1-W664))</f>
        <v>-1776.1805437582057</v>
      </c>
      <c r="AD664" s="11">
        <f>IF($A664&gt;'1-Input'!$B$26,0,IF(AI663&lt;=0,0,MAX(0,(AI663-AJ663)/AI663)))</f>
        <v>0</v>
      </c>
      <c r="AE664" s="18">
        <f>IF($A664&gt;'1-Input'!$B$26,0,(MAX(0,AD616-IF($A664&gt;='1-Input'!$C$12,'1-Input'!$B$13,0))-MIN(MAX(AH663,0),MAX(0,AD616-IF($A664&gt;='1-Input'!$C$12,'1-Input'!$B$13,0))))*(1/(1-'P-Parametri'!$B$6*AD664))+MIN(MAX(0,AI663-(MAX(0,AD616-IF($A664&gt;='1-Input'!$C$12,'1-Input'!$B$13,0))-MIN(MAX(AH663,0),MAX(0,AD616-IF($A664&gt;='1-Input'!$C$12,'1-Input'!$B$13,0))))*(1/(1-'P-Parametri'!$B$6*AD664))),MAX(0,2*AD616-(AH663-MIN(MAX(AH663,0),MAX(0,AD616-IF($A664&gt;='1-Input'!$C$12,'1-Input'!$B$13,0)))))*(1/(1-'P-Parametri'!$B$6*AD664))))</f>
        <v>0</v>
      </c>
      <c r="AF664" s="18">
        <f>IF($A664&gt;'1-Input'!$B$26,AH663,(AH663-MAX(0,AD616-IF($A664&gt;='1-Input'!$C$12,'1-Input'!$B$13,0))+AE664*(1-'P-Parametri'!$B$6*AD664))*(1+'1-Input'!$B$27))</f>
        <v>0</v>
      </c>
      <c r="AG664" s="18">
        <f>IF($A664&gt;'1-Input'!$B$26,AI663,(AI663-AE664)*(1+'5-Roberta'!$C$4))</f>
        <v>-3.5598848972245585</v>
      </c>
      <c r="AH664" s="18">
        <f>IF($A664&gt;'1-Input'!$B$26,AF664,AF664-'P-Parametri'!$B$8*(AG664+AF664)+MIN(MAX(AG664,0),'P-Parametri'!$B$8*(AG664+AF664)))</f>
        <v>0</v>
      </c>
      <c r="AI664" s="18">
        <f>IF($A664&gt;'1-Input'!$B$26,AG664,AG664-MIN(MAX(AG664,0),'P-Parametri'!$B$8*(AG664+AF664)))</f>
        <v>-3.5598848972245585</v>
      </c>
      <c r="AJ664" s="18">
        <f>IF($A664&gt;'1-Input'!$B$26,AJ663,AJ663-AE664*(1-AD664))</f>
        <v>-3.4631251797036384</v>
      </c>
      <c r="AK664" s="11">
        <f>IF($A664&gt;'1-Input'!$B$26,0,IF(AP663&lt;=0,0,MAX(0,(AP663-AQ663)/AP663)))</f>
        <v>0</v>
      </c>
      <c r="AL664" s="18">
        <f>IF($A664&gt;'1-Input'!$B$26,0,(MAX(0,AK616-IF($A664&gt;='1-Input'!$C$12,'1-Input'!$B$13,0))-MIN(MAX(AO663,0),MAX(0,AK616-IF($A664&gt;='1-Input'!$C$12,'1-Input'!$B$13,0))))*(1/(1-'P-Parametri'!$B$6*AK664))+MIN(MAX(0,AP663-(MAX(0,AK616-IF($A664&gt;='1-Input'!$C$12,'1-Input'!$B$13,0))-MIN(MAX(AO663,0),MAX(0,AK616-IF($A664&gt;='1-Input'!$C$12,'1-Input'!$B$13,0))))*(1/(1-'P-Parametri'!$B$6*AK664))),MAX(0,2*AK616-(AO663-MIN(MAX(AO663,0),MAX(0,AK616-IF($A664&gt;='1-Input'!$C$12,'1-Input'!$B$13,0)))))*(1/(1-'P-Parametri'!$B$6*AK664))))</f>
        <v>0</v>
      </c>
      <c r="AM664" s="18">
        <f>IF($A664&gt;'1-Input'!$B$26,AO663,(AO663-MAX(0,AK616-IF($A664&gt;='1-Input'!$C$12,'1-Input'!$B$13,0))+AL664*(1-'P-Parametri'!$B$6*AK664))*(1+'1-Input'!$B$27))</f>
        <v>3.3672591518345141E-5</v>
      </c>
      <c r="AN664" s="18">
        <f>IF($A664&gt;'1-Input'!$B$26,AP663,(AP663-AL664)*(1+'5-Roberta'!$C$4))</f>
        <v>0</v>
      </c>
      <c r="AO664" s="18">
        <f>IF($A664&gt;'1-Input'!$B$26,AM664,AM664-'P-Parametri'!$B$8*(AN664+AM664)+MIN(MAX(AN664,0),'P-Parametri'!$B$8*(AN664+AM664)))</f>
        <v>3.3672591518345141E-5</v>
      </c>
      <c r="AP664" s="18">
        <f>IF($A664&gt;'1-Input'!$B$26,AN664,AN664-MIN(MAX(AN664,0),'P-Parametri'!$B$8*(AN664+AM664)))</f>
        <v>0</v>
      </c>
      <c r="AQ664" s="18">
        <f>IF($A664&gt;'1-Input'!$B$26,AQ663,AQ663-AL664*(1-AK664))</f>
        <v>0</v>
      </c>
    </row>
    <row r="665" spans="1:43">
      <c r="A665" s="10">
        <f>47</f>
        <v>47</v>
      </c>
      <c r="B665" s="11">
        <f>IF($A665&gt;'1-Input'!$B$26,0,IF(G664&lt;=0,0,MAX(0,(G664-H664)/G664)))</f>
        <v>0</v>
      </c>
      <c r="C665" s="18">
        <f>IF($A665&gt;'1-Input'!$B$26,0,(MAX(0,B616-IF($A665&gt;='1-Input'!$C$12,'1-Input'!$B$13,0))-MIN(MAX(F664,0),MAX(0,B616-IF($A665&gt;='1-Input'!$C$12,'1-Input'!$B$13,0))))*(1/(1-'P-Parametri'!$B$6*B665))+MIN(MAX(0,G664-(MAX(0,B616-IF($A665&gt;='1-Input'!$C$12,'1-Input'!$B$13,0))-MIN(MAX(F664,0),MAX(0,B616-IF($A665&gt;='1-Input'!$C$12,'1-Input'!$B$13,0))))*(1/(1-'P-Parametri'!$B$6*B665))),MAX(0,2*B616-(F664-MIN(MAX(F664,0),MAX(0,B616-IF($A665&gt;='1-Input'!$C$12,'1-Input'!$B$13,0)))))*(1/(1-'P-Parametri'!$B$6*B665))))</f>
        <v>0</v>
      </c>
      <c r="D665" s="18">
        <f>IF($A665&gt;'1-Input'!$B$26,F664,(F664-MAX(0,B616-IF($A665&gt;='1-Input'!$C$12,'1-Input'!$B$13,0))+C665*(1-'P-Parametri'!$B$6*B665))*(1+'1-Input'!$B$27))</f>
        <v>33242.0070309863</v>
      </c>
      <c r="E665" s="18">
        <f>IF($A665&gt;'1-Input'!$B$26,G664,(G664-C665)*(1+'5-Roberta'!$C$4))</f>
        <v>163946.77749758557</v>
      </c>
      <c r="F665" s="18">
        <f>IF($A665&gt;'1-Input'!$B$26,D665,D665-'P-Parametri'!$B$8*(E665+D665)+MIN(MAX(E665,0),'P-Parametri'!$B$8*(E665+D665)))</f>
        <v>33242.0070309863</v>
      </c>
      <c r="G665" s="18">
        <f>IF($A665&gt;'1-Input'!$B$26,E665,E665-MIN(MAX(E665,0),'P-Parametri'!$B$8*(E665+D665)))</f>
        <v>163946.77749758557</v>
      </c>
      <c r="H665" s="18">
        <f>IF($A665&gt;'1-Input'!$B$26,H664,H664-C665*(1-B665))</f>
        <v>37715.51302346756</v>
      </c>
      <c r="I665" s="11">
        <f>IF($A665&gt;'1-Input'!$B$26,0,IF(N664&lt;=0,0,MAX(0,(N664-O664)/N664)))</f>
        <v>0</v>
      </c>
      <c r="J665" s="18">
        <f>IF($A665&gt;'1-Input'!$B$26,0,(MAX(0,I616-IF($A665&gt;='1-Input'!$C$12,'1-Input'!$B$13,0))-MIN(MAX(M664,0),MAX(0,I616-IF($A665&gt;='1-Input'!$C$12,'1-Input'!$B$13,0))))*(1/(1-'P-Parametri'!$B$6*I665))+MIN(MAX(0,N664-(MAX(0,I616-IF($A665&gt;='1-Input'!$C$12,'1-Input'!$B$13,0))-MIN(MAX(M664,0),MAX(0,I616-IF($A665&gt;='1-Input'!$C$12,'1-Input'!$B$13,0))))*(1/(1-'P-Parametri'!$B$6*I665))),MAX(0,2*I616-(M664-MIN(MAX(M664,0),MAX(0,I616-IF($A665&gt;='1-Input'!$C$12,'1-Input'!$B$13,0)))))*(1/(1-'P-Parametri'!$B$6*I665))))</f>
        <v>0</v>
      </c>
      <c r="K665" s="18">
        <f>IF($A665&gt;'1-Input'!$B$26,M664,(M664-MAX(0,I616-IF($A665&gt;='1-Input'!$C$12,'1-Input'!$B$13,0))+J665*(1-'P-Parametri'!$B$6*I665))*(1+'1-Input'!$B$27))</f>
        <v>0</v>
      </c>
      <c r="L665" s="18">
        <f>IF($A665&gt;'1-Input'!$B$26,N664,(N664-J665)*(1+'5-Roberta'!$C$4))</f>
        <v>-260878.08214047138</v>
      </c>
      <c r="M665" s="18">
        <f>IF($A665&gt;'1-Input'!$B$26,K665,K665-'P-Parametri'!$B$8*(L665+K665)+MIN(MAX(L665,0),'P-Parametri'!$B$8*(L665+K665)))</f>
        <v>0</v>
      </c>
      <c r="N665" s="18">
        <f>IF($A665&gt;'1-Input'!$B$26,L665,L665-MIN(MAX(L665,0),'P-Parametri'!$B$8*(L665+K665)))</f>
        <v>-260878.08214047138</v>
      </c>
      <c r="O665" s="18">
        <f>IF($A665&gt;'1-Input'!$B$26,O664,O664-J665*(1-I665))</f>
        <v>-189824.39970356031</v>
      </c>
      <c r="P665" s="11">
        <f>IF($A665&gt;'1-Input'!$B$26,0,IF(U664&lt;=0,0,MAX(0,(U664-V664)/U664)))</f>
        <v>0</v>
      </c>
      <c r="Q665" s="18">
        <f>IF($A665&gt;'1-Input'!$B$26,0,(MAX(0,P616-IF($A665&gt;='1-Input'!$C$12,'1-Input'!$B$13,0))-MIN(MAX(T664,0),MAX(0,P616-IF($A665&gt;='1-Input'!$C$12,'1-Input'!$B$13,0))))*(1/(1-'P-Parametri'!$B$6*P665))+MIN(MAX(0,U664-(MAX(0,P616-IF($A665&gt;='1-Input'!$C$12,'1-Input'!$B$13,0))-MIN(MAX(T664,0),MAX(0,P616-IF($A665&gt;='1-Input'!$C$12,'1-Input'!$B$13,0))))*(1/(1-'P-Parametri'!$B$6*P665))),MAX(0,2*P616-(T664-MIN(MAX(T664,0),MAX(0,P616-IF($A665&gt;='1-Input'!$C$12,'1-Input'!$B$13,0)))))*(1/(1-'P-Parametri'!$B$6*P665))))</f>
        <v>0</v>
      </c>
      <c r="R665" s="18">
        <f>IF($A665&gt;'1-Input'!$B$26,T664,(T664-MAX(0,P616-IF($A665&gt;='1-Input'!$C$12,'1-Input'!$B$13,0))+Q665*(1-'P-Parametri'!$B$6*P665))*(1+'1-Input'!$B$27))</f>
        <v>0</v>
      </c>
      <c r="S665" s="18">
        <f>IF($A665&gt;'1-Input'!$B$26,U664,(U664-Q665)*(1+'5-Roberta'!$C$4))</f>
        <v>-24169.663372458745</v>
      </c>
      <c r="T665" s="18">
        <f>IF($A665&gt;'1-Input'!$B$26,R665,R665-'P-Parametri'!$B$8*(S665+R665)+MIN(MAX(S665,0),'P-Parametri'!$B$8*(S665+R665)))</f>
        <v>0</v>
      </c>
      <c r="U665" s="18">
        <f>IF($A665&gt;'1-Input'!$B$26,S665,S665-MIN(MAX(S665,0),'P-Parametri'!$B$8*(S665+R665)))</f>
        <v>-24169.663372458745</v>
      </c>
      <c r="V665" s="18">
        <f>IF($A665&gt;'1-Input'!$B$26,V664,V664-Q665*(1-P665))</f>
        <v>-22610.174725591562</v>
      </c>
      <c r="W665" s="11">
        <f>IF($A665&gt;'1-Input'!$B$26,0,IF(AB664&lt;=0,0,MAX(0,(AB664-AC664)/AB664)))</f>
        <v>0</v>
      </c>
      <c r="X665" s="18">
        <f>IF($A665&gt;'1-Input'!$B$26,0,(MAX(0,W616-IF($A665&gt;='1-Input'!$C$12,'1-Input'!$B$13,0))-MIN(MAX(AA664,0),MAX(0,W616-IF($A665&gt;='1-Input'!$C$12,'1-Input'!$B$13,0))))*(1/(1-'P-Parametri'!$B$6*W665))+MIN(MAX(0,AB664-(MAX(0,W616-IF($A665&gt;='1-Input'!$C$12,'1-Input'!$B$13,0))-MIN(MAX(AA664,0),MAX(0,W616-IF($A665&gt;='1-Input'!$C$12,'1-Input'!$B$13,0))))*(1/(1-'P-Parametri'!$B$6*W665))),MAX(0,2*W616-(AA664-MIN(MAX(AA664,0),MAX(0,W616-IF($A665&gt;='1-Input'!$C$12,'1-Input'!$B$13,0)))))*(1/(1-'P-Parametri'!$B$6*W665))))</f>
        <v>0</v>
      </c>
      <c r="Y665" s="18">
        <f>IF($A665&gt;'1-Input'!$B$26,AA664,(AA664-MAX(0,W616-IF($A665&gt;='1-Input'!$C$12,'1-Input'!$B$13,0))+X665*(1-'P-Parametri'!$B$6*W665))*(1+'1-Input'!$B$27))</f>
        <v>0</v>
      </c>
      <c r="Z665" s="18">
        <f>IF($A665&gt;'1-Input'!$B$26,AB664,(AB664-X665)*(1+'5-Roberta'!$C$4))</f>
        <v>-1825.8070281508101</v>
      </c>
      <c r="AA665" s="18">
        <f>IF($A665&gt;'1-Input'!$B$26,Y665,Y665-'P-Parametri'!$B$8*(Z665+Y665)+MIN(MAX(Z665,0),'P-Parametri'!$B$8*(Z665+Y665)))</f>
        <v>0</v>
      </c>
      <c r="AB665" s="18">
        <f>IF($A665&gt;'1-Input'!$B$26,Z665,Z665-MIN(MAX(Z665,0),'P-Parametri'!$B$8*(Z665+Y665)))</f>
        <v>-1825.8070281508101</v>
      </c>
      <c r="AC665" s="18">
        <f>IF($A665&gt;'1-Input'!$B$26,AC664,AC664-X665*(1-W665))</f>
        <v>-1776.1805437582057</v>
      </c>
      <c r="AD665" s="11">
        <f>IF($A665&gt;'1-Input'!$B$26,0,IF(AI664&lt;=0,0,MAX(0,(AI664-AJ664)/AI664)))</f>
        <v>0</v>
      </c>
      <c r="AE665" s="18">
        <f>IF($A665&gt;'1-Input'!$B$26,0,(MAX(0,AD616-IF($A665&gt;='1-Input'!$C$12,'1-Input'!$B$13,0))-MIN(MAX(AH664,0),MAX(0,AD616-IF($A665&gt;='1-Input'!$C$12,'1-Input'!$B$13,0))))*(1/(1-'P-Parametri'!$B$6*AD665))+MIN(MAX(0,AI664-(MAX(0,AD616-IF($A665&gt;='1-Input'!$C$12,'1-Input'!$B$13,0))-MIN(MAX(AH664,0),MAX(0,AD616-IF($A665&gt;='1-Input'!$C$12,'1-Input'!$B$13,0))))*(1/(1-'P-Parametri'!$B$6*AD665))),MAX(0,2*AD616-(AH664-MIN(MAX(AH664,0),MAX(0,AD616-IF($A665&gt;='1-Input'!$C$12,'1-Input'!$B$13,0)))))*(1/(1-'P-Parametri'!$B$6*AD665))))</f>
        <v>0</v>
      </c>
      <c r="AF665" s="18">
        <f>IF($A665&gt;'1-Input'!$B$26,AH664,(AH664-MAX(0,AD616-IF($A665&gt;='1-Input'!$C$12,'1-Input'!$B$13,0))+AE665*(1-'P-Parametri'!$B$6*AD665))*(1+'1-Input'!$B$27))</f>
        <v>0</v>
      </c>
      <c r="AG665" s="18">
        <f>IF($A665&gt;'1-Input'!$B$26,AI664,(AI664-AE665)*(1+'5-Roberta'!$C$4))</f>
        <v>-3.5598848972245585</v>
      </c>
      <c r="AH665" s="18">
        <f>IF($A665&gt;'1-Input'!$B$26,AF665,AF665-'P-Parametri'!$B$8*(AG665+AF665)+MIN(MAX(AG665,0),'P-Parametri'!$B$8*(AG665+AF665)))</f>
        <v>0</v>
      </c>
      <c r="AI665" s="18">
        <f>IF($A665&gt;'1-Input'!$B$26,AG665,AG665-MIN(MAX(AG665,0),'P-Parametri'!$B$8*(AG665+AF665)))</f>
        <v>-3.5598848972245585</v>
      </c>
      <c r="AJ665" s="18">
        <f>IF($A665&gt;'1-Input'!$B$26,AJ664,AJ664-AE665*(1-AD665))</f>
        <v>-3.4631251797036384</v>
      </c>
      <c r="AK665" s="11">
        <f>IF($A665&gt;'1-Input'!$B$26,0,IF(AP664&lt;=0,0,MAX(0,(AP664-AQ664)/AP664)))</f>
        <v>0</v>
      </c>
      <c r="AL665" s="18">
        <f>IF($A665&gt;'1-Input'!$B$26,0,(MAX(0,AK616-IF($A665&gt;='1-Input'!$C$12,'1-Input'!$B$13,0))-MIN(MAX(AO664,0),MAX(0,AK616-IF($A665&gt;='1-Input'!$C$12,'1-Input'!$B$13,0))))*(1/(1-'P-Parametri'!$B$6*AK665))+MIN(MAX(0,AP664-(MAX(0,AK616-IF($A665&gt;='1-Input'!$C$12,'1-Input'!$B$13,0))-MIN(MAX(AO664,0),MAX(0,AK616-IF($A665&gt;='1-Input'!$C$12,'1-Input'!$B$13,0))))*(1/(1-'P-Parametri'!$B$6*AK665))),MAX(0,2*AK616-(AO664-MIN(MAX(AO664,0),MAX(0,AK616-IF($A665&gt;='1-Input'!$C$12,'1-Input'!$B$13,0)))))*(1/(1-'P-Parametri'!$B$6*AK665))))</f>
        <v>0</v>
      </c>
      <c r="AM665" s="18">
        <f>IF($A665&gt;'1-Input'!$B$26,AO664,(AO664-MAX(0,AK616-IF($A665&gt;='1-Input'!$C$12,'1-Input'!$B$13,0))+AL665*(1-'P-Parametri'!$B$6*AK665))*(1+'1-Input'!$B$27))</f>
        <v>3.3672591518345141E-5</v>
      </c>
      <c r="AN665" s="18">
        <f>IF($A665&gt;'1-Input'!$B$26,AP664,(AP664-AL665)*(1+'5-Roberta'!$C$4))</f>
        <v>0</v>
      </c>
      <c r="AO665" s="18">
        <f>IF($A665&gt;'1-Input'!$B$26,AM665,AM665-'P-Parametri'!$B$8*(AN665+AM665)+MIN(MAX(AN665,0),'P-Parametri'!$B$8*(AN665+AM665)))</f>
        <v>3.3672591518345141E-5</v>
      </c>
      <c r="AP665" s="18">
        <f>IF($A665&gt;'1-Input'!$B$26,AN665,AN665-MIN(MAX(AN665,0),'P-Parametri'!$B$8*(AN665+AM665)))</f>
        <v>0</v>
      </c>
      <c r="AQ665" s="18">
        <f>IF($A665&gt;'1-Input'!$B$26,AQ664,AQ664-AL665*(1-AK665))</f>
        <v>0</v>
      </c>
    </row>
    <row r="666" spans="1:43">
      <c r="A666" s="10">
        <f>48</f>
        <v>48</v>
      </c>
      <c r="B666" s="11">
        <f>IF($A666&gt;'1-Input'!$B$26,0,IF(G665&lt;=0,0,MAX(0,(G665-H665)/G665)))</f>
        <v>0</v>
      </c>
      <c r="C666" s="18">
        <f>IF($A666&gt;'1-Input'!$B$26,0,(MAX(0,B616-IF($A666&gt;='1-Input'!$C$12,'1-Input'!$B$13,0))-MIN(MAX(F665,0),MAX(0,B616-IF($A666&gt;='1-Input'!$C$12,'1-Input'!$B$13,0))))*(1/(1-'P-Parametri'!$B$6*B666))+MIN(MAX(0,G665-(MAX(0,B616-IF($A666&gt;='1-Input'!$C$12,'1-Input'!$B$13,0))-MIN(MAX(F665,0),MAX(0,B616-IF($A666&gt;='1-Input'!$C$12,'1-Input'!$B$13,0))))*(1/(1-'P-Parametri'!$B$6*B666))),MAX(0,2*B616-(F665-MIN(MAX(F665,0),MAX(0,B616-IF($A666&gt;='1-Input'!$C$12,'1-Input'!$B$13,0)))))*(1/(1-'P-Parametri'!$B$6*B666))))</f>
        <v>0</v>
      </c>
      <c r="D666" s="18">
        <f>IF($A666&gt;'1-Input'!$B$26,F665,(F665-MAX(0,B616-IF($A666&gt;='1-Input'!$C$12,'1-Input'!$B$13,0))+C666*(1-'P-Parametri'!$B$6*B666))*(1+'1-Input'!$B$27))</f>
        <v>33242.0070309863</v>
      </c>
      <c r="E666" s="18">
        <f>IF($A666&gt;'1-Input'!$B$26,G665,(G665-C666)*(1+'5-Roberta'!$C$4))</f>
        <v>163946.77749758557</v>
      </c>
      <c r="F666" s="18">
        <f>IF($A666&gt;'1-Input'!$B$26,D666,D666-'P-Parametri'!$B$8*(E666+D666)+MIN(MAX(E666,0),'P-Parametri'!$B$8*(E666+D666)))</f>
        <v>33242.0070309863</v>
      </c>
      <c r="G666" s="18">
        <f>IF($A666&gt;'1-Input'!$B$26,E666,E666-MIN(MAX(E666,0),'P-Parametri'!$B$8*(E666+D666)))</f>
        <v>163946.77749758557</v>
      </c>
      <c r="H666" s="18">
        <f>IF($A666&gt;'1-Input'!$B$26,H665,H665-C666*(1-B666))</f>
        <v>37715.51302346756</v>
      </c>
      <c r="I666" s="11">
        <f>IF($A666&gt;'1-Input'!$B$26,0,IF(N665&lt;=0,0,MAX(0,(N665-O665)/N665)))</f>
        <v>0</v>
      </c>
      <c r="J666" s="18">
        <f>IF($A666&gt;'1-Input'!$B$26,0,(MAX(0,I616-IF($A666&gt;='1-Input'!$C$12,'1-Input'!$B$13,0))-MIN(MAX(M665,0),MAX(0,I616-IF($A666&gt;='1-Input'!$C$12,'1-Input'!$B$13,0))))*(1/(1-'P-Parametri'!$B$6*I666))+MIN(MAX(0,N665-(MAX(0,I616-IF($A666&gt;='1-Input'!$C$12,'1-Input'!$B$13,0))-MIN(MAX(M665,0),MAX(0,I616-IF($A666&gt;='1-Input'!$C$12,'1-Input'!$B$13,0))))*(1/(1-'P-Parametri'!$B$6*I666))),MAX(0,2*I616-(M665-MIN(MAX(M665,0),MAX(0,I616-IF($A666&gt;='1-Input'!$C$12,'1-Input'!$B$13,0)))))*(1/(1-'P-Parametri'!$B$6*I666))))</f>
        <v>0</v>
      </c>
      <c r="K666" s="18">
        <f>IF($A666&gt;'1-Input'!$B$26,M665,(M665-MAX(0,I616-IF($A666&gt;='1-Input'!$C$12,'1-Input'!$B$13,0))+J666*(1-'P-Parametri'!$B$6*I666))*(1+'1-Input'!$B$27))</f>
        <v>0</v>
      </c>
      <c r="L666" s="18">
        <f>IF($A666&gt;'1-Input'!$B$26,N665,(N665-J666)*(1+'5-Roberta'!$C$4))</f>
        <v>-260878.08214047138</v>
      </c>
      <c r="M666" s="18">
        <f>IF($A666&gt;'1-Input'!$B$26,K666,K666-'P-Parametri'!$B$8*(L666+K666)+MIN(MAX(L666,0),'P-Parametri'!$B$8*(L666+K666)))</f>
        <v>0</v>
      </c>
      <c r="N666" s="18">
        <f>IF($A666&gt;'1-Input'!$B$26,L666,L666-MIN(MAX(L666,0),'P-Parametri'!$B$8*(L666+K666)))</f>
        <v>-260878.08214047138</v>
      </c>
      <c r="O666" s="18">
        <f>IF($A666&gt;'1-Input'!$B$26,O665,O665-J666*(1-I666))</f>
        <v>-189824.39970356031</v>
      </c>
      <c r="P666" s="11">
        <f>IF($A666&gt;'1-Input'!$B$26,0,IF(U665&lt;=0,0,MAX(0,(U665-V665)/U665)))</f>
        <v>0</v>
      </c>
      <c r="Q666" s="18">
        <f>IF($A666&gt;'1-Input'!$B$26,0,(MAX(0,P616-IF($A666&gt;='1-Input'!$C$12,'1-Input'!$B$13,0))-MIN(MAX(T665,0),MAX(0,P616-IF($A666&gt;='1-Input'!$C$12,'1-Input'!$B$13,0))))*(1/(1-'P-Parametri'!$B$6*P666))+MIN(MAX(0,U665-(MAX(0,P616-IF($A666&gt;='1-Input'!$C$12,'1-Input'!$B$13,0))-MIN(MAX(T665,0),MAX(0,P616-IF($A666&gt;='1-Input'!$C$12,'1-Input'!$B$13,0))))*(1/(1-'P-Parametri'!$B$6*P666))),MAX(0,2*P616-(T665-MIN(MAX(T665,0),MAX(0,P616-IF($A666&gt;='1-Input'!$C$12,'1-Input'!$B$13,0)))))*(1/(1-'P-Parametri'!$B$6*P666))))</f>
        <v>0</v>
      </c>
      <c r="R666" s="18">
        <f>IF($A666&gt;'1-Input'!$B$26,T665,(T665-MAX(0,P616-IF($A666&gt;='1-Input'!$C$12,'1-Input'!$B$13,0))+Q666*(1-'P-Parametri'!$B$6*P666))*(1+'1-Input'!$B$27))</f>
        <v>0</v>
      </c>
      <c r="S666" s="18">
        <f>IF($A666&gt;'1-Input'!$B$26,U665,(U665-Q666)*(1+'5-Roberta'!$C$4))</f>
        <v>-24169.663372458745</v>
      </c>
      <c r="T666" s="18">
        <f>IF($A666&gt;'1-Input'!$B$26,R666,R666-'P-Parametri'!$B$8*(S666+R666)+MIN(MAX(S666,0),'P-Parametri'!$B$8*(S666+R666)))</f>
        <v>0</v>
      </c>
      <c r="U666" s="18">
        <f>IF($A666&gt;'1-Input'!$B$26,S666,S666-MIN(MAX(S666,0),'P-Parametri'!$B$8*(S666+R666)))</f>
        <v>-24169.663372458745</v>
      </c>
      <c r="V666" s="18">
        <f>IF($A666&gt;'1-Input'!$B$26,V665,V665-Q666*(1-P666))</f>
        <v>-22610.174725591562</v>
      </c>
      <c r="W666" s="11">
        <f>IF($A666&gt;'1-Input'!$B$26,0,IF(AB665&lt;=0,0,MAX(0,(AB665-AC665)/AB665)))</f>
        <v>0</v>
      </c>
      <c r="X666" s="18">
        <f>IF($A666&gt;'1-Input'!$B$26,0,(MAX(0,W616-IF($A666&gt;='1-Input'!$C$12,'1-Input'!$B$13,0))-MIN(MAX(AA665,0),MAX(0,W616-IF($A666&gt;='1-Input'!$C$12,'1-Input'!$B$13,0))))*(1/(1-'P-Parametri'!$B$6*W666))+MIN(MAX(0,AB665-(MAX(0,W616-IF($A666&gt;='1-Input'!$C$12,'1-Input'!$B$13,0))-MIN(MAX(AA665,0),MAX(0,W616-IF($A666&gt;='1-Input'!$C$12,'1-Input'!$B$13,0))))*(1/(1-'P-Parametri'!$B$6*W666))),MAX(0,2*W616-(AA665-MIN(MAX(AA665,0),MAX(0,W616-IF($A666&gt;='1-Input'!$C$12,'1-Input'!$B$13,0)))))*(1/(1-'P-Parametri'!$B$6*W666))))</f>
        <v>0</v>
      </c>
      <c r="Y666" s="18">
        <f>IF($A666&gt;'1-Input'!$B$26,AA665,(AA665-MAX(0,W616-IF($A666&gt;='1-Input'!$C$12,'1-Input'!$B$13,0))+X666*(1-'P-Parametri'!$B$6*W666))*(1+'1-Input'!$B$27))</f>
        <v>0</v>
      </c>
      <c r="Z666" s="18">
        <f>IF($A666&gt;'1-Input'!$B$26,AB665,(AB665-X666)*(1+'5-Roberta'!$C$4))</f>
        <v>-1825.8070281508101</v>
      </c>
      <c r="AA666" s="18">
        <f>IF($A666&gt;'1-Input'!$B$26,Y666,Y666-'P-Parametri'!$B$8*(Z666+Y666)+MIN(MAX(Z666,0),'P-Parametri'!$B$8*(Z666+Y666)))</f>
        <v>0</v>
      </c>
      <c r="AB666" s="18">
        <f>IF($A666&gt;'1-Input'!$B$26,Z666,Z666-MIN(MAX(Z666,0),'P-Parametri'!$B$8*(Z666+Y666)))</f>
        <v>-1825.8070281508101</v>
      </c>
      <c r="AC666" s="18">
        <f>IF($A666&gt;'1-Input'!$B$26,AC665,AC665-X666*(1-W666))</f>
        <v>-1776.1805437582057</v>
      </c>
      <c r="AD666" s="11">
        <f>IF($A666&gt;'1-Input'!$B$26,0,IF(AI665&lt;=0,0,MAX(0,(AI665-AJ665)/AI665)))</f>
        <v>0</v>
      </c>
      <c r="AE666" s="18">
        <f>IF($A666&gt;'1-Input'!$B$26,0,(MAX(0,AD616-IF($A666&gt;='1-Input'!$C$12,'1-Input'!$B$13,0))-MIN(MAX(AH665,0),MAX(0,AD616-IF($A666&gt;='1-Input'!$C$12,'1-Input'!$B$13,0))))*(1/(1-'P-Parametri'!$B$6*AD666))+MIN(MAX(0,AI665-(MAX(0,AD616-IF($A666&gt;='1-Input'!$C$12,'1-Input'!$B$13,0))-MIN(MAX(AH665,0),MAX(0,AD616-IF($A666&gt;='1-Input'!$C$12,'1-Input'!$B$13,0))))*(1/(1-'P-Parametri'!$B$6*AD666))),MAX(0,2*AD616-(AH665-MIN(MAX(AH665,0),MAX(0,AD616-IF($A666&gt;='1-Input'!$C$12,'1-Input'!$B$13,0)))))*(1/(1-'P-Parametri'!$B$6*AD666))))</f>
        <v>0</v>
      </c>
      <c r="AF666" s="18">
        <f>IF($A666&gt;'1-Input'!$B$26,AH665,(AH665-MAX(0,AD616-IF($A666&gt;='1-Input'!$C$12,'1-Input'!$B$13,0))+AE666*(1-'P-Parametri'!$B$6*AD666))*(1+'1-Input'!$B$27))</f>
        <v>0</v>
      </c>
      <c r="AG666" s="18">
        <f>IF($A666&gt;'1-Input'!$B$26,AI665,(AI665-AE666)*(1+'5-Roberta'!$C$4))</f>
        <v>-3.5598848972245585</v>
      </c>
      <c r="AH666" s="18">
        <f>IF($A666&gt;'1-Input'!$B$26,AF666,AF666-'P-Parametri'!$B$8*(AG666+AF666)+MIN(MAX(AG666,0),'P-Parametri'!$B$8*(AG666+AF666)))</f>
        <v>0</v>
      </c>
      <c r="AI666" s="18">
        <f>IF($A666&gt;'1-Input'!$B$26,AG666,AG666-MIN(MAX(AG666,0),'P-Parametri'!$B$8*(AG666+AF666)))</f>
        <v>-3.5598848972245585</v>
      </c>
      <c r="AJ666" s="18">
        <f>IF($A666&gt;'1-Input'!$B$26,AJ665,AJ665-AE666*(1-AD666))</f>
        <v>-3.4631251797036384</v>
      </c>
      <c r="AK666" s="11">
        <f>IF($A666&gt;'1-Input'!$B$26,0,IF(AP665&lt;=0,0,MAX(0,(AP665-AQ665)/AP665)))</f>
        <v>0</v>
      </c>
      <c r="AL666" s="18">
        <f>IF($A666&gt;'1-Input'!$B$26,0,(MAX(0,AK616-IF($A666&gt;='1-Input'!$C$12,'1-Input'!$B$13,0))-MIN(MAX(AO665,0),MAX(0,AK616-IF($A666&gt;='1-Input'!$C$12,'1-Input'!$B$13,0))))*(1/(1-'P-Parametri'!$B$6*AK666))+MIN(MAX(0,AP665-(MAX(0,AK616-IF($A666&gt;='1-Input'!$C$12,'1-Input'!$B$13,0))-MIN(MAX(AO665,0),MAX(0,AK616-IF($A666&gt;='1-Input'!$C$12,'1-Input'!$B$13,0))))*(1/(1-'P-Parametri'!$B$6*AK666))),MAX(0,2*AK616-(AO665-MIN(MAX(AO665,0),MAX(0,AK616-IF($A666&gt;='1-Input'!$C$12,'1-Input'!$B$13,0)))))*(1/(1-'P-Parametri'!$B$6*AK666))))</f>
        <v>0</v>
      </c>
      <c r="AM666" s="18">
        <f>IF($A666&gt;'1-Input'!$B$26,AO665,(AO665-MAX(0,AK616-IF($A666&gt;='1-Input'!$C$12,'1-Input'!$B$13,0))+AL666*(1-'P-Parametri'!$B$6*AK666))*(1+'1-Input'!$B$27))</f>
        <v>3.3672591518345141E-5</v>
      </c>
      <c r="AN666" s="18">
        <f>IF($A666&gt;'1-Input'!$B$26,AP665,(AP665-AL666)*(1+'5-Roberta'!$C$4))</f>
        <v>0</v>
      </c>
      <c r="AO666" s="18">
        <f>IF($A666&gt;'1-Input'!$B$26,AM666,AM666-'P-Parametri'!$B$8*(AN666+AM666)+MIN(MAX(AN666,0),'P-Parametri'!$B$8*(AN666+AM666)))</f>
        <v>3.3672591518345141E-5</v>
      </c>
      <c r="AP666" s="18">
        <f>IF($A666&gt;'1-Input'!$B$26,AN666,AN666-MIN(MAX(AN666,0),'P-Parametri'!$B$8*(AN666+AM666)))</f>
        <v>0</v>
      </c>
      <c r="AQ666" s="18">
        <f>IF($A666&gt;'1-Input'!$B$26,AQ665,AQ665-AL666*(1-AK666))</f>
        <v>0</v>
      </c>
    </row>
    <row r="667" spans="1:43">
      <c r="A667" s="4" t="s">
        <v>365</v>
      </c>
      <c r="B667" s="18">
        <f>F666+G666</f>
        <v>197188.78452857188</v>
      </c>
      <c r="I667" s="18">
        <f>M666+N666</f>
        <v>-260878.08214047138</v>
      </c>
      <c r="P667" s="18">
        <f>T666+U666</f>
        <v>-24169.663372458745</v>
      </c>
      <c r="W667" s="18">
        <f>AA666+AB666</f>
        <v>-1825.8070281508101</v>
      </c>
      <c r="AD667" s="18">
        <f>AH666+AI666</f>
        <v>-3.5598848972245585</v>
      </c>
      <c r="AK667" s="18">
        <f>AO666+AP666</f>
        <v>3.3672591518345141E-5</v>
      </c>
    </row>
    <row r="668" spans="1:43">
      <c r="A668" s="5" t="s">
        <v>266</v>
      </c>
      <c r="B668" s="18">
        <f>IFERROR(AK616-AK667*(AK616-AD616)/(AK667-AD667),AK616)</f>
        <v>18617.289101450933</v>
      </c>
    </row>
    <row r="670" spans="1:43">
      <c r="A670" s="2" t="s">
        <v>421</v>
      </c>
    </row>
    <row r="671" spans="1:43">
      <c r="A671" s="4" t="s">
        <v>360</v>
      </c>
      <c r="B671" s="9">
        <f>0.038*'2-Caso'!$B$12</f>
        <v>16681.055314625803</v>
      </c>
      <c r="I671" s="9">
        <f>0.05*'2-Caso'!$B$12</f>
        <v>21948.756992928691</v>
      </c>
      <c r="P671" s="18">
        <f>IFERROR(I671-I722*(I671-B671)/(I722-B722),I671)</f>
        <v>19294.377180373165</v>
      </c>
      <c r="W671" s="18">
        <f>IFERROR(P671-P722*(P671-I671)/(P722-I722),P671)</f>
        <v>19043.147050436008</v>
      </c>
      <c r="AD671" s="18">
        <f>IFERROR(W671-W722*(W671-P671)/(W722-P722),W671)</f>
        <v>19043.749141725457</v>
      </c>
      <c r="AK671" s="18">
        <f>IFERROR(AD671-AD722*(AD671-W671)/(AD722-W722),AD671)</f>
        <v>19043.645505094009</v>
      </c>
    </row>
    <row r="672" spans="1:43" ht="45">
      <c r="A672" s="25" t="s">
        <v>262</v>
      </c>
      <c r="B672" s="25" t="s">
        <v>361</v>
      </c>
      <c r="C672" s="25" t="s">
        <v>263</v>
      </c>
      <c r="D672" s="25" t="s">
        <v>362</v>
      </c>
      <c r="E672" s="25" t="s">
        <v>363</v>
      </c>
      <c r="F672" s="25" t="s">
        <v>264</v>
      </c>
      <c r="G672" s="25" t="s">
        <v>265</v>
      </c>
      <c r="H672" s="25" t="s">
        <v>364</v>
      </c>
      <c r="I672" s="25" t="s">
        <v>361</v>
      </c>
      <c r="J672" s="25" t="s">
        <v>263</v>
      </c>
      <c r="K672" s="25" t="s">
        <v>362</v>
      </c>
      <c r="L672" s="25" t="s">
        <v>363</v>
      </c>
      <c r="M672" s="25" t="s">
        <v>264</v>
      </c>
      <c r="N672" s="25" t="s">
        <v>265</v>
      </c>
      <c r="O672" s="25" t="s">
        <v>364</v>
      </c>
      <c r="P672" s="25" t="s">
        <v>361</v>
      </c>
      <c r="Q672" s="25" t="s">
        <v>263</v>
      </c>
      <c r="R672" s="25" t="s">
        <v>362</v>
      </c>
      <c r="S672" s="25" t="s">
        <v>363</v>
      </c>
      <c r="T672" s="25" t="s">
        <v>264</v>
      </c>
      <c r="U672" s="25" t="s">
        <v>265</v>
      </c>
      <c r="V672" s="25" t="s">
        <v>364</v>
      </c>
      <c r="W672" s="25" t="s">
        <v>361</v>
      </c>
      <c r="X672" s="25" t="s">
        <v>263</v>
      </c>
      <c r="Y672" s="25" t="s">
        <v>362</v>
      </c>
      <c r="Z672" s="25" t="s">
        <v>363</v>
      </c>
      <c r="AA672" s="25" t="s">
        <v>264</v>
      </c>
      <c r="AB672" s="25" t="s">
        <v>265</v>
      </c>
      <c r="AC672" s="25" t="s">
        <v>364</v>
      </c>
      <c r="AD672" s="25" t="s">
        <v>361</v>
      </c>
      <c r="AE672" s="25" t="s">
        <v>263</v>
      </c>
      <c r="AF672" s="25" t="s">
        <v>362</v>
      </c>
      <c r="AG672" s="25" t="s">
        <v>363</v>
      </c>
      <c r="AH672" s="25" t="s">
        <v>264</v>
      </c>
      <c r="AI672" s="25" t="s">
        <v>265</v>
      </c>
      <c r="AJ672" s="25" t="s">
        <v>364</v>
      </c>
      <c r="AK672" s="25" t="s">
        <v>361</v>
      </c>
      <c r="AL672" s="25" t="s">
        <v>263</v>
      </c>
      <c r="AM672" s="25" t="s">
        <v>362</v>
      </c>
      <c r="AN672" s="25" t="s">
        <v>363</v>
      </c>
      <c r="AO672" s="25" t="s">
        <v>264</v>
      </c>
      <c r="AP672" s="25" t="s">
        <v>265</v>
      </c>
      <c r="AQ672" s="25" t="s">
        <v>364</v>
      </c>
    </row>
    <row r="673" spans="1:43">
      <c r="A673" s="3">
        <v>0</v>
      </c>
      <c r="F673" s="18">
        <f>MIN(0*B671,'2-Caso'!$B$12)</f>
        <v>0</v>
      </c>
      <c r="G673" s="18">
        <f>'2-Caso'!$B$12-F673</f>
        <v>438975.13985857379</v>
      </c>
      <c r="H673" s="18">
        <f>'2-Caso'!$B$13*G673/'2-Caso'!$B$12</f>
        <v>344000</v>
      </c>
      <c r="M673" s="18">
        <f>MIN(0*I671,'2-Caso'!$B$12)</f>
        <v>0</v>
      </c>
      <c r="N673" s="18">
        <f>'2-Caso'!$B$12-M673</f>
        <v>438975.13985857379</v>
      </c>
      <c r="O673" s="18">
        <f>'2-Caso'!$B$13*N673/'2-Caso'!$B$12</f>
        <v>344000</v>
      </c>
      <c r="T673" s="18">
        <f>MIN(0*P671,'2-Caso'!$B$12)</f>
        <v>0</v>
      </c>
      <c r="U673" s="18">
        <f>'2-Caso'!$B$12-T673</f>
        <v>438975.13985857379</v>
      </c>
      <c r="V673" s="18">
        <f>'2-Caso'!$B$13*U673/'2-Caso'!$B$12</f>
        <v>344000</v>
      </c>
      <c r="AA673" s="18">
        <f>MIN(0*W671,'2-Caso'!$B$12)</f>
        <v>0</v>
      </c>
      <c r="AB673" s="18">
        <f>'2-Caso'!$B$12-AA673</f>
        <v>438975.13985857379</v>
      </c>
      <c r="AC673" s="18">
        <f>'2-Caso'!$B$13*AB673/'2-Caso'!$B$12</f>
        <v>344000</v>
      </c>
      <c r="AH673" s="18">
        <f>MIN(0*AD671,'2-Caso'!$B$12)</f>
        <v>0</v>
      </c>
      <c r="AI673" s="18">
        <f>'2-Caso'!$B$12-AH673</f>
        <v>438975.13985857379</v>
      </c>
      <c r="AJ673" s="18">
        <f>'2-Caso'!$B$13*AI673/'2-Caso'!$B$12</f>
        <v>344000</v>
      </c>
      <c r="AO673" s="18">
        <f>MIN(0*AK671,'2-Caso'!$B$12)</f>
        <v>0</v>
      </c>
      <c r="AP673" s="18">
        <f>'2-Caso'!$B$12-AO673</f>
        <v>438975.13985857379</v>
      </c>
      <c r="AQ673" s="18">
        <f>'2-Caso'!$B$13*AP673/'2-Caso'!$B$12</f>
        <v>344000</v>
      </c>
    </row>
    <row r="674" spans="1:43">
      <c r="A674" s="10">
        <f>1</f>
        <v>1</v>
      </c>
      <c r="B674" s="11">
        <f>IF($A674&gt;('1-Input'!$B$26-2),0,IF(G673&lt;=0,0,MAX(0,(G673-H673)/G673)))</f>
        <v>0.21635653419729481</v>
      </c>
      <c r="C674" s="18">
        <f>IF($A674&gt;('1-Input'!$B$26-2),0,(MAX(0,B671-IF($A674&gt;='1-Input'!$C$12,'1-Input'!$B$12,0))-MIN(MAX(F673,0),MAX(0,B671-IF($A674&gt;='1-Input'!$C$12,'1-Input'!$B$12,0))))*(1/(1-'P-Parametri'!$B$6*B674))+MIN(MAX(0,G673-(MAX(0,B671-IF($A674&gt;='1-Input'!$C$12,'1-Input'!$B$12,0))-MIN(MAX(F673,0),MAX(0,B671-IF($A674&gt;='1-Input'!$C$12,'1-Input'!$B$12,0))))*(1/(1-'P-Parametri'!$B$6*B674))),MAX(0,0*B671-(F673-MIN(MAX(F673,0),MAX(0,B671-IF($A674&gt;='1-Input'!$C$12,'1-Input'!$B$12,0)))))*(1/(1-'P-Parametri'!$B$6*B674))))</f>
        <v>17675.340946701614</v>
      </c>
      <c r="D674" s="18">
        <f>IF($A674&gt;('1-Input'!$B$26-2),F673,(F673-MAX(0,B671-IF($A674&gt;='1-Input'!$C$12,'1-Input'!$B$12,0))+C674*(1-'P-Parametri'!$B$6*B674))*(1+'1-Input'!$B$27))</f>
        <v>-3.6248820833861826E-12</v>
      </c>
      <c r="E674" s="18">
        <f>IF($A674&gt;('1-Input'!$B$26-2),G673,(G673-C674)*(1+'5-Roberta'!$C$4))</f>
        <v>433938.79287922836</v>
      </c>
      <c r="F674" s="18">
        <f>IF($A674&gt;('1-Input'!$B$26-2),D674,D674-'P-Parametri'!$B$8*(E674+D674)+MIN(MAX(E674,0),'P-Parametri'!$B$8*(E674+D674)))</f>
        <v>-3.637978807091713E-12</v>
      </c>
      <c r="G674" s="18">
        <f>IF($A674&gt;('1-Input'!$B$26-2),E674,E674-MIN(MAX(E674,0),'P-Parametri'!$B$8*(E674+D674)))</f>
        <v>433070.91529346991</v>
      </c>
      <c r="H674" s="18">
        <f>IF($A674&gt;('1-Input'!$B$26-2),H673,H673-C674*(1-B674))</f>
        <v>330148.8345612823</v>
      </c>
      <c r="I674" s="11">
        <f>IF($A674&gt;('1-Input'!$B$26-2),0,IF(N673&lt;=0,0,MAX(0,(N673-O673)/N673)))</f>
        <v>0.21635653419729481</v>
      </c>
      <c r="J674" s="18">
        <f>IF($A674&gt;('1-Input'!$B$26-2),0,(MAX(0,I671-IF($A674&gt;='1-Input'!$C$12,'1-Input'!$B$12,0))-MIN(MAX(M673,0),MAX(0,I671-IF($A674&gt;='1-Input'!$C$12,'1-Input'!$B$12,0))))*(1/(1-'P-Parametri'!$B$6*I674))+MIN(MAX(0,N673-(MAX(0,I671-IF($A674&gt;='1-Input'!$C$12,'1-Input'!$B$12,0))-MIN(MAX(M673,0),MAX(0,I671-IF($A674&gt;='1-Input'!$C$12,'1-Input'!$B$12,0))))*(1/(1-'P-Parametri'!$B$6*I674))),MAX(0,0*I671-(M673-MIN(MAX(M673,0),MAX(0,I671-IF($A674&gt;='1-Input'!$C$12,'1-Input'!$B$12,0)))))*(1/(1-'P-Parametri'!$B$6*I674))))</f>
        <v>23257.027561449497</v>
      </c>
      <c r="K674" s="18">
        <f>IF($A674&gt;('1-Input'!$B$26-2),M673,(M673-MAX(0,I671-IF($A674&gt;='1-Input'!$C$12,'1-Input'!$B$12,0))+J674*(1-'P-Parametri'!$B$6*I674))*(1+'1-Input'!$B$27))</f>
        <v>0</v>
      </c>
      <c r="L674" s="18">
        <f>IF($A674&gt;('1-Input'!$B$26-2),N673,(N673-J674)*(1+'5-Roberta'!$C$4))</f>
        <v>428189.65566603804</v>
      </c>
      <c r="M674" s="18">
        <f>IF($A674&gt;('1-Input'!$B$26-2),K674,K674-'P-Parametri'!$B$8*(L674+K674)+MIN(MAX(L674,0),'P-Parametri'!$B$8*(L674+K674)))</f>
        <v>0</v>
      </c>
      <c r="N674" s="18">
        <f>IF($A674&gt;('1-Input'!$B$26-2),L674,L674-MIN(MAX(L674,0),'P-Parametri'!$B$8*(L674+K674)))</f>
        <v>427333.27635470597</v>
      </c>
      <c r="O674" s="18">
        <f>IF($A674&gt;('1-Input'!$B$26-2),O673,O673-J674*(1-I674))</f>
        <v>325774.7823174767</v>
      </c>
      <c r="P674" s="11">
        <f>IF($A674&gt;('1-Input'!$B$26-2),0,IF(U673&lt;=0,0,MAX(0,(U673-V673)/U673)))</f>
        <v>0.21635653419729481</v>
      </c>
      <c r="Q674" s="18">
        <f>IF($A674&gt;('1-Input'!$B$26-2),0,(MAX(0,P671-IF($A674&gt;='1-Input'!$C$12,'1-Input'!$B$12,0))-MIN(MAX(T673,0),MAX(0,P671-IF($A674&gt;='1-Input'!$C$12,'1-Input'!$B$12,0))))*(1/(1-'P-Parametri'!$B$6*P674))+MIN(MAX(0,U673-(MAX(0,P671-IF($A674&gt;='1-Input'!$C$12,'1-Input'!$B$12,0))-MIN(MAX(T673,0),MAX(0,P671-IF($A674&gt;='1-Input'!$C$12,'1-Input'!$B$12,0))))*(1/(1-'P-Parametri'!$B$6*P674))),MAX(0,0*P671-(T673-MIN(MAX(T673,0),MAX(0,P671-IF($A674&gt;='1-Input'!$C$12,'1-Input'!$B$12,0)))))*(1/(1-'P-Parametri'!$B$6*P674))))</f>
        <v>20444.431637268106</v>
      </c>
      <c r="R674" s="18">
        <f>IF($A674&gt;('1-Input'!$B$26-2),T673,(T673-MAX(0,P671-IF($A674&gt;='1-Input'!$C$12,'1-Input'!$B$12,0))+Q674*(1-'P-Parametri'!$B$6*P674))*(1+'1-Input'!$B$27))</f>
        <v>0</v>
      </c>
      <c r="S674" s="18">
        <f>IF($A674&gt;('1-Input'!$B$26-2),U673,(U673-Q674)*(1+'5-Roberta'!$C$4))</f>
        <v>431086.62946794485</v>
      </c>
      <c r="T674" s="18">
        <f>IF($A674&gt;('1-Input'!$B$26-2),R674,R674-'P-Parametri'!$B$8*(S674+R674)+MIN(MAX(S674,0),'P-Parametri'!$B$8*(S674+R674)))</f>
        <v>0</v>
      </c>
      <c r="U674" s="18">
        <f>IF($A674&gt;('1-Input'!$B$26-2),S674,S674-MIN(MAX(S674,0),'P-Parametri'!$B$8*(S674+R674)))</f>
        <v>430224.45620900893</v>
      </c>
      <c r="V674" s="18">
        <f>IF($A674&gt;('1-Input'!$B$26-2),V673,V673-Q674*(1-P674))</f>
        <v>327978.85473540472</v>
      </c>
      <c r="W674" s="11">
        <f>IF($A674&gt;('1-Input'!$B$26-2),0,IF(AB673&lt;=0,0,MAX(0,(AB673-AC673)/AB673)))</f>
        <v>0.21635653419729481</v>
      </c>
      <c r="X674" s="18">
        <f>IF($A674&gt;('1-Input'!$B$26-2),0,(MAX(0,W671-IF($A674&gt;='1-Input'!$C$12,'1-Input'!$B$12,0))-MIN(MAX(AA673,0),MAX(0,W671-IF($A674&gt;='1-Input'!$C$12,'1-Input'!$B$12,0))))*(1/(1-'P-Parametri'!$B$6*W674))+MIN(MAX(0,AB673-(MAX(0,W671-IF($A674&gt;='1-Input'!$C$12,'1-Input'!$B$12,0))-MIN(MAX(AA673,0),MAX(0,W671-IF($A674&gt;='1-Input'!$C$12,'1-Input'!$B$12,0))))*(1/(1-'P-Parametri'!$B$6*W674))),MAX(0,0*W671-(AA673-MIN(MAX(AA673,0),MAX(0,W671-IF($A674&gt;='1-Input'!$C$12,'1-Input'!$B$12,0)))))*(1/(1-'P-Parametri'!$B$6*W674))))</f>
        <v>20178.226764796404</v>
      </c>
      <c r="Y674" s="18">
        <f>IF($A674&gt;('1-Input'!$B$26-2),AA673,(AA673-MAX(0,W671-IF($A674&gt;='1-Input'!$C$12,'1-Input'!$B$12,0))+X674*(1-'P-Parametri'!$B$6*W674))*(1+'1-Input'!$B$27))</f>
        <v>0</v>
      </c>
      <c r="Z674" s="18">
        <f>IF($A674&gt;('1-Input'!$B$26-2),AB673,(AB673-X674)*(1+'5-Roberta'!$C$4))</f>
        <v>431360.82048659073</v>
      </c>
      <c r="AA674" s="18">
        <f>IF($A674&gt;('1-Input'!$B$26-2),Y674,Y674-'P-Parametri'!$B$8*(Z674+Y674)+MIN(MAX(Z674,0),'P-Parametri'!$B$8*(Z674+Y674)))</f>
        <v>0</v>
      </c>
      <c r="AB674" s="18">
        <f>IF($A674&gt;('1-Input'!$B$26-2),Z674,Z674-MIN(MAX(Z674,0),'P-Parametri'!$B$8*(Z674+Y674)))</f>
        <v>430498.09884561755</v>
      </c>
      <c r="AC674" s="18">
        <f>IF($A674&gt;('1-Input'!$B$26-2),AC673,AC673-X674*(1-W674))</f>
        <v>328187.46444428206</v>
      </c>
      <c r="AD674" s="11">
        <f>IF($A674&gt;('1-Input'!$B$26-2),0,IF(AI673&lt;=0,0,MAX(0,(AI673-AJ673)/AI673)))</f>
        <v>0.21635653419729481</v>
      </c>
      <c r="AE674" s="18">
        <f>IF($A674&gt;('1-Input'!$B$26-2),0,(MAX(0,AD671-IF($A674&gt;='1-Input'!$C$12,'1-Input'!$B$12,0))-MIN(MAX(AH673,0),MAX(0,AD671-IF($A674&gt;='1-Input'!$C$12,'1-Input'!$B$12,0))))*(1/(1-'P-Parametri'!$B$6*AD674))+MIN(MAX(0,AI673-(MAX(0,AD671-IF($A674&gt;='1-Input'!$C$12,'1-Input'!$B$12,0))-MIN(MAX(AH673,0),MAX(0,AD671-IF($A674&gt;='1-Input'!$C$12,'1-Input'!$B$12,0))))*(1/(1-'P-Parametri'!$B$6*AD674))),MAX(0,0*AD671-(AH673-MIN(MAX(AH673,0),MAX(0,AD671-IF($A674&gt;='1-Input'!$C$12,'1-Input'!$B$12,0)))))*(1/(1-'P-Parametri'!$B$6*AD674))))</f>
        <v>20178.864744146111</v>
      </c>
      <c r="AF674" s="18">
        <f>IF($A674&gt;('1-Input'!$B$26-2),AH673,(AH673-MAX(0,AD671-IF($A674&gt;='1-Input'!$C$12,'1-Input'!$B$12,0))+AE674*(1-'P-Parametri'!$B$6*AD674))*(1+'1-Input'!$B$27))</f>
        <v>0</v>
      </c>
      <c r="AG674" s="18">
        <f>IF($A674&gt;('1-Input'!$B$26-2),AI673,(AI673-AE674)*(1+'5-Roberta'!$C$4))</f>
        <v>431360.16336786048</v>
      </c>
      <c r="AH674" s="18">
        <f>IF($A674&gt;('1-Input'!$B$26-2),AF674,AF674-'P-Parametri'!$B$8*(AG674+AF674)+MIN(MAX(AG674,0),'P-Parametri'!$B$8*(AG674+AF674)))</f>
        <v>0</v>
      </c>
      <c r="AI674" s="18">
        <f>IF($A674&gt;('1-Input'!$B$26-2),AG674,AG674-MIN(MAX(AG674,0),'P-Parametri'!$B$8*(AG674+AF674)))</f>
        <v>430497.44304112479</v>
      </c>
      <c r="AJ674" s="18">
        <f>IF($A674&gt;('1-Input'!$B$26-2),AJ673,AJ673-AE674*(1-AD674))</f>
        <v>328186.96449593332</v>
      </c>
      <c r="AK674" s="11">
        <f>IF($A674&gt;('1-Input'!$B$26-2),0,IF(AP673&lt;=0,0,MAX(0,(AP673-AQ673)/AP673)))</f>
        <v>0.21635653419729481</v>
      </c>
      <c r="AL674" s="18">
        <f>IF($A674&gt;('1-Input'!$B$26-2),0,(MAX(0,AK671-IF($A674&gt;='1-Input'!$C$12,'1-Input'!$B$12,0))-MIN(MAX(AO673,0),MAX(0,AK671-IF($A674&gt;='1-Input'!$C$12,'1-Input'!$B$12,0))))*(1/(1-'P-Parametri'!$B$6*AK674))+MIN(MAX(0,AP673-(MAX(0,AK671-IF($A674&gt;='1-Input'!$C$12,'1-Input'!$B$12,0))-MIN(MAX(AO673,0),MAX(0,AK671-IF($A674&gt;='1-Input'!$C$12,'1-Input'!$B$12,0))))*(1/(1-'P-Parametri'!$B$6*AK674))),MAX(0,0*AK671-(AO673-MIN(MAX(AO673,0),MAX(0,AK671-IF($A674&gt;='1-Input'!$C$12,'1-Input'!$B$12,0)))))*(1/(1-'P-Parametri'!$B$6*AK674))))</f>
        <v>20178.754930182855</v>
      </c>
      <c r="AM674" s="18">
        <f>IF($A674&gt;('1-Input'!$B$26-2),AO673,(AO673-MAX(0,AK671-IF($A674&gt;='1-Input'!$C$12,'1-Input'!$B$12,0))+AL674*(1-'P-Parametri'!$B$6*AK674))*(1+'1-Input'!$B$27))</f>
        <v>0</v>
      </c>
      <c r="AN674" s="18">
        <f>IF($A674&gt;('1-Input'!$B$26-2),AP673,(AP673-AL674)*(1+'5-Roberta'!$C$4))</f>
        <v>431360.2764762427</v>
      </c>
      <c r="AO674" s="18">
        <f>IF($A674&gt;('1-Input'!$B$26-2),AM674,AM674-'P-Parametri'!$B$8*(AN674+AM674)+MIN(MAX(AN674,0),'P-Parametri'!$B$8*(AN674+AM674)))</f>
        <v>0</v>
      </c>
      <c r="AP674" s="18">
        <f>IF($A674&gt;('1-Input'!$B$26-2),AN674,AN674-MIN(MAX(AN674,0),'P-Parametri'!$B$8*(AN674+AM674)))</f>
        <v>430497.5559232902</v>
      </c>
      <c r="AQ674" s="18">
        <f>IF($A674&gt;('1-Input'!$B$26-2),AQ673,AQ673-AL674*(1-AK674))</f>
        <v>328187.05055092811</v>
      </c>
    </row>
    <row r="675" spans="1:43">
      <c r="A675" s="10">
        <f>2</f>
        <v>2</v>
      </c>
      <c r="B675" s="11">
        <f>IF($A675&gt;('1-Input'!$B$26-2),0,IF(G674&lt;=0,0,MAX(0,(G674-H674)/G674)))</f>
        <v>0.23765641399040294</v>
      </c>
      <c r="C675" s="18">
        <f>IF($A675&gt;('1-Input'!$B$26-2),0,(MAX(0,B671-IF($A675&gt;='1-Input'!$C$12,'1-Input'!$B$12,0))-MIN(MAX(F674,0),MAX(0,B671-IF($A675&gt;='1-Input'!$C$12,'1-Input'!$B$12,0))))*(1/(1-'P-Parametri'!$B$6*B675))+MIN(MAX(0,G674-(MAX(0,B671-IF($A675&gt;='1-Input'!$C$12,'1-Input'!$B$12,0))-MIN(MAX(F674,0),MAX(0,B671-IF($A675&gt;='1-Input'!$C$12,'1-Input'!$B$12,0))))*(1/(1-'P-Parametri'!$B$6*B675))),MAX(0,0*B671-(F674-MIN(MAX(F674,0),MAX(0,B671-IF($A675&gt;='1-Input'!$C$12,'1-Input'!$B$12,0)))))*(1/(1-'P-Parametri'!$B$6*B675))))</f>
        <v>17779.673191505583</v>
      </c>
      <c r="D675" s="18">
        <f>IF($A675&gt;('1-Input'!$B$26-2),F674,(F674-MAX(0,B671-IF($A675&gt;='1-Input'!$C$12,'1-Input'!$B$12,0))+C675*(1-'P-Parametri'!$B$6*B675))*(1+'1-Input'!$B$27))</f>
        <v>0</v>
      </c>
      <c r="E675" s="18">
        <f>IF($A675&gt;('1-Input'!$B$26-2),G674,(G674-C675)*(1+'5-Roberta'!$C$4))</f>
        <v>427749.97936502326</v>
      </c>
      <c r="F675" s="18">
        <f>IF($A675&gt;('1-Input'!$B$26-2),D675,D675-'P-Parametri'!$B$8*(E675+D675)+MIN(MAX(E675,0),'P-Parametri'!$B$8*(E675+D675)))</f>
        <v>0</v>
      </c>
      <c r="G675" s="18">
        <f>IF($A675&gt;('1-Input'!$B$26-2),E675,E675-MIN(MAX(E675,0),'P-Parametri'!$B$8*(E675+D675)))</f>
        <v>426894.47940629319</v>
      </c>
      <c r="H675" s="18">
        <f>IF($A675&gt;('1-Input'!$B$26-2),H674,H674-C675*(1-B675))</f>
        <v>316594.61474239122</v>
      </c>
      <c r="I675" s="11">
        <f>IF($A675&gt;('1-Input'!$B$26-2),0,IF(N674&lt;=0,0,MAX(0,(N674-O674)/N674)))</f>
        <v>0.23765641399040296</v>
      </c>
      <c r="J675" s="18">
        <f>IF($A675&gt;('1-Input'!$B$26-2),0,(MAX(0,I671-IF($A675&gt;='1-Input'!$C$12,'1-Input'!$B$12,0))-MIN(MAX(M674,0),MAX(0,I671-IF($A675&gt;='1-Input'!$C$12,'1-Input'!$B$12,0))))*(1/(1-'P-Parametri'!$B$6*I675))+MIN(MAX(0,N674-(MAX(0,I671-IF($A675&gt;='1-Input'!$C$12,'1-Input'!$B$12,0))-MIN(MAX(M674,0),MAX(0,I671-IF($A675&gt;='1-Input'!$C$12,'1-Input'!$B$12,0))))*(1/(1-'P-Parametri'!$B$6*I675))),MAX(0,0*I671-(M674-MIN(MAX(M674,0),MAX(0,I671-IF($A675&gt;='1-Input'!$C$12,'1-Input'!$B$12,0)))))*(1/(1-'P-Parametri'!$B$6*I675))))</f>
        <v>23394.306830928395</v>
      </c>
      <c r="K675" s="18">
        <f>IF($A675&gt;('1-Input'!$B$26-2),M674,(M674-MAX(0,I671-IF($A675&gt;='1-Input'!$C$12,'1-Input'!$B$12,0))+J675*(1-'P-Parametri'!$B$6*I675))*(1+'1-Input'!$B$27))</f>
        <v>0</v>
      </c>
      <c r="L675" s="18">
        <f>IF($A675&gt;('1-Input'!$B$26-2),N674,(N674-J675)*(1+'5-Roberta'!$C$4))</f>
        <v>416057.13860949094</v>
      </c>
      <c r="M675" s="18">
        <f>IF($A675&gt;('1-Input'!$B$26-2),K675,K675-'P-Parametri'!$B$8*(L675+K675)+MIN(MAX(L675,0),'P-Parametri'!$B$8*(L675+K675)))</f>
        <v>0</v>
      </c>
      <c r="N675" s="18">
        <f>IF($A675&gt;('1-Input'!$B$26-2),L675,L675-MIN(MAX(L675,0),'P-Parametri'!$B$8*(L675+K675)))</f>
        <v>415225.02433227195</v>
      </c>
      <c r="O675" s="18">
        <f>IF($A675&gt;('1-Input'!$B$26-2),O674,O674-J675*(1-I675))</f>
        <v>307940.28255577793</v>
      </c>
      <c r="P675" s="11">
        <f>IF($A675&gt;('1-Input'!$B$26-2),0,IF(U674&lt;=0,0,MAX(0,(U674-V674)/U674)))</f>
        <v>0.23765641399040296</v>
      </c>
      <c r="Q675" s="18">
        <f>IF($A675&gt;('1-Input'!$B$26-2),0,(MAX(0,P671-IF($A675&gt;='1-Input'!$C$12,'1-Input'!$B$12,0))-MIN(MAX(T674,0),MAX(0,P671-IF($A675&gt;='1-Input'!$C$12,'1-Input'!$B$12,0))))*(1/(1-'P-Parametri'!$B$6*P675))+MIN(MAX(0,U674-(MAX(0,P671-IF($A675&gt;='1-Input'!$C$12,'1-Input'!$B$12,0))-MIN(MAX(T674,0),MAX(0,P671-IF($A675&gt;='1-Input'!$C$12,'1-Input'!$B$12,0))))*(1/(1-'P-Parametri'!$B$6*P675))),MAX(0,0*P671-(T674-MIN(MAX(T674,0),MAX(0,P671-IF($A675&gt;='1-Input'!$C$12,'1-Input'!$B$12,0)))))*(1/(1-'P-Parametri'!$B$6*P675))))</f>
        <v>20565.108995226252</v>
      </c>
      <c r="R675" s="18">
        <f>IF($A675&gt;('1-Input'!$B$26-2),T674,(T674-MAX(0,P671-IF($A675&gt;='1-Input'!$C$12,'1-Input'!$B$12,0))+Q675*(1-'P-Parametri'!$B$6*P675))*(1+'1-Input'!$B$27))</f>
        <v>3.6248820833861826E-12</v>
      </c>
      <c r="S675" s="18">
        <f>IF($A675&gt;('1-Input'!$B$26-2),U674,(U674-Q675)*(1+'5-Roberta'!$C$4))</f>
        <v>421949.12763019616</v>
      </c>
      <c r="T675" s="18">
        <f>IF($A675&gt;('1-Input'!$B$26-2),R675,R675-'P-Parametri'!$B$8*(S675+R675)+MIN(MAX(S675,0),'P-Parametri'!$B$8*(S675+R675)))</f>
        <v>3.637978807091713E-12</v>
      </c>
      <c r="U675" s="18">
        <f>IF($A675&gt;('1-Input'!$B$26-2),S675,S675-MIN(MAX(S675,0),'P-Parametri'!$B$8*(S675+R675)))</f>
        <v>421105.22937493579</v>
      </c>
      <c r="V675" s="18">
        <f>IF($A675&gt;('1-Input'!$B$26-2),V674,V674-Q675*(1-P675))</f>
        <v>312301.17579730571</v>
      </c>
      <c r="W675" s="11">
        <f>IF($A675&gt;('1-Input'!$B$26-2),0,IF(AB674&lt;=0,0,MAX(0,(AB674-AC674)/AB674)))</f>
        <v>0.23765641399040296</v>
      </c>
      <c r="X675" s="18">
        <f>IF($A675&gt;('1-Input'!$B$26-2),0,(MAX(0,W671-IF($A675&gt;='1-Input'!$C$12,'1-Input'!$B$12,0))-MIN(MAX(AA674,0),MAX(0,W671-IF($A675&gt;='1-Input'!$C$12,'1-Input'!$B$12,0))))*(1/(1-'P-Parametri'!$B$6*W675))+MIN(MAX(0,AB674-(MAX(0,W671-IF($A675&gt;='1-Input'!$C$12,'1-Input'!$B$12,0))-MIN(MAX(AA674,0),MAX(0,W671-IF($A675&gt;='1-Input'!$C$12,'1-Input'!$B$12,0))))*(1/(1-'P-Parametri'!$B$6*W675))),MAX(0,0*W671-(AA674-MIN(MAX(AA674,0),MAX(0,W671-IF($A675&gt;='1-Input'!$C$12,'1-Input'!$B$12,0)))))*(1/(1-'P-Parametri'!$B$6*W675))))</f>
        <v>20297.332795106242</v>
      </c>
      <c r="Y675" s="18">
        <f>IF($A675&gt;('1-Input'!$B$26-2),AA674,(AA674-MAX(0,W671-IF($A675&gt;='1-Input'!$C$12,'1-Input'!$B$12,0))+X675*(1-'P-Parametri'!$B$6*W675))*(1+'1-Input'!$B$27))</f>
        <v>0</v>
      </c>
      <c r="Z675" s="18">
        <f>IF($A675&gt;('1-Input'!$B$26-2),AB674,(AB674-X675)*(1+'5-Roberta'!$C$4))</f>
        <v>422506.78903202666</v>
      </c>
      <c r="AA675" s="18">
        <f>IF($A675&gt;('1-Input'!$B$26-2),Y675,Y675-'P-Parametri'!$B$8*(Z675+Y675)+MIN(MAX(Z675,0),'P-Parametri'!$B$8*(Z675+Y675)))</f>
        <v>0</v>
      </c>
      <c r="AB675" s="18">
        <f>IF($A675&gt;('1-Input'!$B$26-2),Z675,Z675-MIN(MAX(Z675,0),'P-Parametri'!$B$8*(Z675+Y675)))</f>
        <v>421661.77545396262</v>
      </c>
      <c r="AC675" s="18">
        <f>IF($A675&gt;('1-Input'!$B$26-2),AC674,AC674-X675*(1-W675))</f>
        <v>312713.92297483055</v>
      </c>
      <c r="AD675" s="11">
        <f>IF($A675&gt;('1-Input'!$B$26-2),0,IF(AI674&lt;=0,0,MAX(0,(AI674-AJ674)/AI674)))</f>
        <v>0.23765641399040294</v>
      </c>
      <c r="AE675" s="18">
        <f>IF($A675&gt;('1-Input'!$B$26-2),0,(MAX(0,AD671-IF($A675&gt;='1-Input'!$C$12,'1-Input'!$B$12,0))-MIN(MAX(AH674,0),MAX(0,AD671-IF($A675&gt;='1-Input'!$C$12,'1-Input'!$B$12,0))))*(1/(1-'P-Parametri'!$B$6*AD675))+MIN(MAX(0,AI674-(MAX(0,AD671-IF($A675&gt;='1-Input'!$C$12,'1-Input'!$B$12,0))-MIN(MAX(AH674,0),MAX(0,AD671-IF($A675&gt;='1-Input'!$C$12,'1-Input'!$B$12,0))))*(1/(1-'P-Parametri'!$B$6*AD675))),MAX(0,0*AD671-(AH674-MIN(MAX(AH674,0),MAX(0,AD671-IF($A675&gt;='1-Input'!$C$12,'1-Input'!$B$12,0)))))*(1/(1-'P-Parametri'!$B$6*AD675))))</f>
        <v>20297.974540257012</v>
      </c>
      <c r="AF675" s="18">
        <f>IF($A675&gt;('1-Input'!$B$26-2),AH674,(AH674-MAX(0,AD671-IF($A675&gt;='1-Input'!$C$12,'1-Input'!$B$12,0))+AE675*(1-'P-Parametri'!$B$6*AD675))*(1+'1-Input'!$B$27))</f>
        <v>0</v>
      </c>
      <c r="AG675" s="18">
        <f>IF($A675&gt;('1-Input'!$B$26-2),AI674,(AI674-AE675)*(1+'5-Roberta'!$C$4))</f>
        <v>422505.4525558938</v>
      </c>
      <c r="AH675" s="18">
        <f>IF($A675&gt;('1-Input'!$B$26-2),AF675,AF675-'P-Parametri'!$B$8*(AG675+AF675)+MIN(MAX(AG675,0),'P-Parametri'!$B$8*(AG675+AF675)))</f>
        <v>0</v>
      </c>
      <c r="AI675" s="18">
        <f>IF($A675&gt;('1-Input'!$B$26-2),AG675,AG675-MIN(MAX(AG675,0),'P-Parametri'!$B$8*(AG675+AF675)))</f>
        <v>421660.44165078201</v>
      </c>
      <c r="AJ675" s="18">
        <f>IF($A675&gt;('1-Input'!$B$26-2),AJ674,AJ674-AE675*(1-AD675))</f>
        <v>312712.93379618227</v>
      </c>
      <c r="AK675" s="11">
        <f>IF($A675&gt;('1-Input'!$B$26-2),0,IF(AP674&lt;=0,0,MAX(0,(AP674-AQ674)/AP674)))</f>
        <v>0.23765641399040294</v>
      </c>
      <c r="AL675" s="18">
        <f>IF($A675&gt;('1-Input'!$B$26-2),0,(MAX(0,AK671-IF($A675&gt;='1-Input'!$C$12,'1-Input'!$B$12,0))-MIN(MAX(AO674,0),MAX(0,AK671-IF($A675&gt;='1-Input'!$C$12,'1-Input'!$B$12,0))))*(1/(1-'P-Parametri'!$B$6*AK675))+MIN(MAX(0,AP674-(MAX(0,AK671-IF($A675&gt;='1-Input'!$C$12,'1-Input'!$B$12,0))-MIN(MAX(AO674,0),MAX(0,AK671-IF($A675&gt;='1-Input'!$C$12,'1-Input'!$B$12,0))))*(1/(1-'P-Parametri'!$B$6*AK675))),MAX(0,0*AK671-(AO674-MIN(MAX(AO674,0),MAX(0,AK671-IF($A675&gt;='1-Input'!$C$12,'1-Input'!$B$12,0)))))*(1/(1-'P-Parametri'!$B$6*AK675))))</f>
        <v>20297.864078094812</v>
      </c>
      <c r="AM675" s="18">
        <f>IF($A675&gt;('1-Input'!$B$26-2),AO674,(AO674-MAX(0,AK671-IF($A675&gt;='1-Input'!$C$12,'1-Input'!$B$12,0))+AL675*(1-'P-Parametri'!$B$6*AK675))*(1+'1-Input'!$B$27))</f>
        <v>0</v>
      </c>
      <c r="AN675" s="18">
        <f>IF($A675&gt;('1-Input'!$B$26-2),AP674,(AP674-AL675)*(1+'5-Roberta'!$C$4))</f>
        <v>422505.68260055123</v>
      </c>
      <c r="AO675" s="18">
        <f>IF($A675&gt;('1-Input'!$B$26-2),AM675,AM675-'P-Parametri'!$B$8*(AN675+AM675)+MIN(MAX(AN675,0),'P-Parametri'!$B$8*(AN675+AM675)))</f>
        <v>0</v>
      </c>
      <c r="AP675" s="18">
        <f>IF($A675&gt;('1-Input'!$B$26-2),AN675,AN675-MIN(MAX(AN675,0),'P-Parametri'!$B$8*(AN675+AM675)))</f>
        <v>421660.67123535014</v>
      </c>
      <c r="AQ675" s="18">
        <f>IF($A675&gt;('1-Input'!$B$26-2),AQ674,AQ674-AL675*(1-AK675))</f>
        <v>312713.1040612979</v>
      </c>
    </row>
    <row r="676" spans="1:43">
      <c r="A676" s="10">
        <f>3</f>
        <v>3</v>
      </c>
      <c r="B676" s="11">
        <f>IF($A676&gt;('1-Input'!$B$26-2),0,IF(G675&lt;=0,0,MAX(0,(G675-H675)/G675)))</f>
        <v>0.25837735080880492</v>
      </c>
      <c r="C676" s="18">
        <f>IF($A676&gt;('1-Input'!$B$26-2),0,(MAX(0,B671-IF($A676&gt;='1-Input'!$C$12,'1-Input'!$B$12,0))-MIN(MAX(F675,0),MAX(0,B671-IF($A676&gt;='1-Input'!$C$12,'1-Input'!$B$12,0))))*(1/(1-'P-Parametri'!$B$6*B676))+MIN(MAX(0,G675-(MAX(0,B671-IF($A676&gt;='1-Input'!$C$12,'1-Input'!$B$12,0))-MIN(MAX(F675,0),MAX(0,B671-IF($A676&gt;='1-Input'!$C$12,'1-Input'!$B$12,0))))*(1/(1-'P-Parametri'!$B$6*B676))),MAX(0,0*B671-(F675-MIN(MAX(F675,0),MAX(0,B671-IF($A676&gt;='1-Input'!$C$12,'1-Input'!$B$12,0)))))*(1/(1-'P-Parametri'!$B$6*B676))))</f>
        <v>17882.358374189342</v>
      </c>
      <c r="D676" s="18">
        <f>IF($A676&gt;('1-Input'!$B$26-2),F675,(F675-MAX(0,B671-IF($A676&gt;='1-Input'!$C$12,'1-Input'!$B$12,0))+C676*(1-'P-Parametri'!$B$6*B676))*(1+'1-Input'!$B$27))</f>
        <v>0</v>
      </c>
      <c r="E676" s="18">
        <f>IF($A676&gt;('1-Input'!$B$26-2),G675,(G675-C676)*(1+'5-Roberta'!$C$4))</f>
        <v>421282.48466306698</v>
      </c>
      <c r="F676" s="18">
        <f>IF($A676&gt;('1-Input'!$B$26-2),D676,D676-'P-Parametri'!$B$8*(E676+D676)+MIN(MAX(E676,0),'P-Parametri'!$B$8*(E676+D676)))</f>
        <v>0</v>
      </c>
      <c r="G676" s="18">
        <f>IF($A676&gt;('1-Input'!$B$26-2),E676,E676-MIN(MAX(E676,0),'P-Parametri'!$B$8*(E676+D676)))</f>
        <v>420439.91969374084</v>
      </c>
      <c r="H676" s="18">
        <f>IF($A676&gt;('1-Input'!$B$26-2),H675,H675-C676*(1-B676))</f>
        <v>303332.65275113855</v>
      </c>
      <c r="I676" s="11">
        <f>IF($A676&gt;('1-Input'!$B$26-2),0,IF(N675&lt;=0,0,MAX(0,(N675-O675)/N675)))</f>
        <v>0.25837735080880497</v>
      </c>
      <c r="J676" s="18">
        <f>IF($A676&gt;('1-Input'!$B$26-2),0,(MAX(0,I671-IF($A676&gt;='1-Input'!$C$12,'1-Input'!$B$12,0))-MIN(MAX(M675,0),MAX(0,I671-IF($A676&gt;='1-Input'!$C$12,'1-Input'!$B$12,0))))*(1/(1-'P-Parametri'!$B$6*I676))+MIN(MAX(0,N675-(MAX(0,I671-IF($A676&gt;='1-Input'!$C$12,'1-Input'!$B$12,0))-MIN(MAX(M675,0),MAX(0,I671-IF($A676&gt;='1-Input'!$C$12,'1-Input'!$B$12,0))))*(1/(1-'P-Parametri'!$B$6*I676))),MAX(0,0*I671-(M675-MIN(MAX(M675,0),MAX(0,I671-IF($A676&gt;='1-Input'!$C$12,'1-Input'!$B$12,0)))))*(1/(1-'P-Parametri'!$B$6*I676))))</f>
        <v>23529.418913407029</v>
      </c>
      <c r="K676" s="18">
        <f>IF($A676&gt;('1-Input'!$B$26-2),M675,(M675-MAX(0,I671-IF($A676&gt;='1-Input'!$C$12,'1-Input'!$B$12,0))+J676*(1-'P-Parametri'!$B$6*I676))*(1+'1-Input'!$B$27))</f>
        <v>-3.6248820833861826E-12</v>
      </c>
      <c r="L676" s="18">
        <f>IF($A676&gt;('1-Input'!$B$26-2),N675,(N675-J676)*(1+'5-Roberta'!$C$4))</f>
        <v>403446.47358143091</v>
      </c>
      <c r="M676" s="18">
        <f>IF($A676&gt;('1-Input'!$B$26-2),K676,K676-'P-Parametri'!$B$8*(L676+K676)+MIN(MAX(L676,0),'P-Parametri'!$B$8*(L676+K676)))</f>
        <v>-3.637978807091713E-12</v>
      </c>
      <c r="N676" s="18">
        <f>IF($A676&gt;('1-Input'!$B$26-2),L676,L676-MIN(MAX(L676,0),'P-Parametri'!$B$8*(L676+K676)))</f>
        <v>402639.58063426806</v>
      </c>
      <c r="O676" s="18">
        <f>IF($A676&gt;('1-Input'!$B$26-2),O675,O675-J676*(1-I676))</f>
        <v>290490.33256728761</v>
      </c>
      <c r="P676" s="11">
        <f>IF($A676&gt;('1-Input'!$B$26-2),0,IF(U675&lt;=0,0,MAX(0,(U675-V675)/U675)))</f>
        <v>0.25837735080880503</v>
      </c>
      <c r="Q676" s="18">
        <f>IF($A676&gt;('1-Input'!$B$26-2),0,(MAX(0,P671-IF($A676&gt;='1-Input'!$C$12,'1-Input'!$B$12,0))-MIN(MAX(T675,0),MAX(0,P671-IF($A676&gt;='1-Input'!$C$12,'1-Input'!$B$12,0))))*(1/(1-'P-Parametri'!$B$6*P676))+MIN(MAX(0,U675-(MAX(0,P671-IF($A676&gt;='1-Input'!$C$12,'1-Input'!$B$12,0))-MIN(MAX(T675,0),MAX(0,P671-IF($A676&gt;='1-Input'!$C$12,'1-Input'!$B$12,0))))*(1/(1-'P-Parametri'!$B$6*P676))),MAX(0,0*P671-(T675-MIN(MAX(T675,0),MAX(0,P671-IF($A676&gt;='1-Input'!$C$12,'1-Input'!$B$12,0)))))*(1/(1-'P-Parametri'!$B$6*P676))))</f>
        <v>20683.881255623877</v>
      </c>
      <c r="R676" s="18">
        <f>IF($A676&gt;('1-Input'!$B$26-2),T675,(T675-MAX(0,P671-IF($A676&gt;='1-Input'!$C$12,'1-Input'!$B$12,0))+Q676*(1-'P-Parametri'!$B$6*P676))*(1+'1-Input'!$B$27))</f>
        <v>-3.6248820833861826E-12</v>
      </c>
      <c r="S676" s="18">
        <f>IF($A676&gt;('1-Input'!$B$26-2),U675,(U675-Q676)*(1+'5-Roberta'!$C$4))</f>
        <v>412433.98856289126</v>
      </c>
      <c r="T676" s="18">
        <f>IF($A676&gt;('1-Input'!$B$26-2),R676,R676-'P-Parametri'!$B$8*(S676+R676)+MIN(MAX(S676,0),'P-Parametri'!$B$8*(S676+R676)))</f>
        <v>-3.637978807091713E-12</v>
      </c>
      <c r="U676" s="18">
        <f>IF($A676&gt;('1-Input'!$B$26-2),S676,S676-MIN(MAX(S676,0),'P-Parametri'!$B$8*(S676+R676)))</f>
        <v>411609.12058576546</v>
      </c>
      <c r="V676" s="18">
        <f>IF($A676&gt;('1-Input'!$B$26-2),V675,V675-Q676*(1-P676))</f>
        <v>296961.54098495381</v>
      </c>
      <c r="W676" s="11">
        <f>IF($A676&gt;('1-Input'!$B$26-2),0,IF(AB675&lt;=0,0,MAX(0,(AB675-AC675)/AB675)))</f>
        <v>0.25837735080880503</v>
      </c>
      <c r="X676" s="18">
        <f>IF($A676&gt;('1-Input'!$B$26-2),0,(MAX(0,W671-IF($A676&gt;='1-Input'!$C$12,'1-Input'!$B$12,0))-MIN(MAX(AA675,0),MAX(0,W671-IF($A676&gt;='1-Input'!$C$12,'1-Input'!$B$12,0))))*(1/(1-'P-Parametri'!$B$6*W676))+MIN(MAX(0,AB675-(MAX(0,W671-IF($A676&gt;='1-Input'!$C$12,'1-Input'!$B$12,0))-MIN(MAX(AA675,0),MAX(0,W671-IF($A676&gt;='1-Input'!$C$12,'1-Input'!$B$12,0))))*(1/(1-'P-Parametri'!$B$6*W676))),MAX(0,0*W671-(AA675-MIN(MAX(AA675,0),MAX(0,W671-IF($A676&gt;='1-Input'!$C$12,'1-Input'!$B$12,0)))))*(1/(1-'P-Parametri'!$B$6*W676))))</f>
        <v>20414.558533937841</v>
      </c>
      <c r="Y676" s="18">
        <f>IF($A676&gt;('1-Input'!$B$26-2),AA675,(AA675-MAX(0,W671-IF($A676&gt;='1-Input'!$C$12,'1-Input'!$B$12,0))+X676*(1-'P-Parametri'!$B$6*W676))*(1+'1-Input'!$B$27))</f>
        <v>-3.6248820833861826E-12</v>
      </c>
      <c r="Z676" s="18">
        <f>IF($A676&gt;('1-Input'!$B$26-2),AB675,(AB675-X676)*(1+'5-Roberta'!$C$4))</f>
        <v>413284.63342762552</v>
      </c>
      <c r="AA676" s="18">
        <f>IF($A676&gt;('1-Input'!$B$26-2),Y676,Y676-'P-Parametri'!$B$8*(Z676+Y676)+MIN(MAX(Z676,0),'P-Parametri'!$B$8*(Z676+Y676)))</f>
        <v>-3.637978807091713E-12</v>
      </c>
      <c r="AB676" s="18">
        <f>IF($A676&gt;('1-Input'!$B$26-2),Z676,Z676-MIN(MAX(Z676,0),'P-Parametri'!$B$8*(Z676+Y676)))</f>
        <v>412458.06416077027</v>
      </c>
      <c r="AC676" s="18">
        <f>IF($A676&gt;('1-Input'!$B$26-2),AC675,AC675-X676*(1-W676))</f>
        <v>297574.02399282285</v>
      </c>
      <c r="AD676" s="11">
        <f>IF($A676&gt;('1-Input'!$B$26-2),0,IF(AI675&lt;=0,0,MAX(0,(AI675-AJ675)/AI675)))</f>
        <v>0.25837735080880497</v>
      </c>
      <c r="AE676" s="18">
        <f>IF($A676&gt;('1-Input'!$B$26-2),0,(MAX(0,AD671-IF($A676&gt;='1-Input'!$C$12,'1-Input'!$B$12,0))-MIN(MAX(AH675,0),MAX(0,AD671-IF($A676&gt;='1-Input'!$C$12,'1-Input'!$B$12,0))))*(1/(1-'P-Parametri'!$B$6*AD676))+MIN(MAX(0,AI675-(MAX(0,AD671-IF($A676&gt;='1-Input'!$C$12,'1-Input'!$B$12,0))-MIN(MAX(AH675,0),MAX(0,AD671-IF($A676&gt;='1-Input'!$C$12,'1-Input'!$B$12,0))))*(1/(1-'P-Parametri'!$B$6*AD676))),MAX(0,0*AD671-(AH675-MIN(MAX(AH675,0),MAX(0,AD671-IF($A676&gt;='1-Input'!$C$12,'1-Input'!$B$12,0)))))*(1/(1-'P-Parametri'!$B$6*AD676))))</f>
        <v>20415.20398544009</v>
      </c>
      <c r="AF676" s="18">
        <f>IF($A676&gt;('1-Input'!$B$26-2),AH675,(AH675-MAX(0,AD671-IF($A676&gt;='1-Input'!$C$12,'1-Input'!$B$12,0))+AE676*(1-'P-Parametri'!$B$6*AD676))*(1+'1-Input'!$B$27))</f>
        <v>-3.6248820833861826E-12</v>
      </c>
      <c r="AG676" s="18">
        <f>IF($A676&gt;('1-Input'!$B$26-2),AI675,(AI675-AE676)*(1+'5-Roberta'!$C$4))</f>
        <v>413282.5947953022</v>
      </c>
      <c r="AH676" s="18">
        <f>IF($A676&gt;('1-Input'!$B$26-2),AF676,AF676-'P-Parametri'!$B$8*(AG676+AF676)+MIN(MAX(AG676,0),'P-Parametri'!$B$8*(AG676+AF676)))</f>
        <v>-3.637978807091713E-12</v>
      </c>
      <c r="AI676" s="18">
        <f>IF($A676&gt;('1-Input'!$B$26-2),AG676,AG676-MIN(MAX(AG676,0),'P-Parametri'!$B$8*(AG676+AF676)))</f>
        <v>412456.02960571158</v>
      </c>
      <c r="AJ676" s="18">
        <f>IF($A676&gt;('1-Input'!$B$26-2),AJ675,AJ675-AE676*(1-AD676))</f>
        <v>297572.55613272154</v>
      </c>
      <c r="AK676" s="11">
        <f>IF($A676&gt;('1-Input'!$B$26-2),0,IF(AP675&lt;=0,0,MAX(0,(AP675-AQ675)/AP675)))</f>
        <v>0.25837735080880497</v>
      </c>
      <c r="AL676" s="18">
        <f>IF($A676&gt;('1-Input'!$B$26-2),0,(MAX(0,AK671-IF($A676&gt;='1-Input'!$C$12,'1-Input'!$B$12,0))-MIN(MAX(AO675,0),MAX(0,AK671-IF($A676&gt;='1-Input'!$C$12,'1-Input'!$B$12,0))))*(1/(1-'P-Parametri'!$B$6*AK676))+MIN(MAX(0,AP675-(MAX(0,AK671-IF($A676&gt;='1-Input'!$C$12,'1-Input'!$B$12,0))-MIN(MAX(AO675,0),MAX(0,AK671-IF($A676&gt;='1-Input'!$C$12,'1-Input'!$B$12,0))))*(1/(1-'P-Parametri'!$B$6*AK676))),MAX(0,0*AK671-(AO675-MIN(MAX(AO675,0),MAX(0,AK671-IF($A676&gt;='1-Input'!$C$12,'1-Input'!$B$12,0)))))*(1/(1-'P-Parametri'!$B$6*AK676))))</f>
        <v>20415.092885311875</v>
      </c>
      <c r="AM676" s="18">
        <f>IF($A676&gt;('1-Input'!$B$26-2),AO675,(AO675-MAX(0,AK671-IF($A676&gt;='1-Input'!$C$12,'1-Input'!$B$12,0))+AL676*(1-'P-Parametri'!$B$6*AK676))*(1+'1-Input'!$B$27))</f>
        <v>0</v>
      </c>
      <c r="AN676" s="18">
        <f>IF($A676&gt;('1-Input'!$B$26-2),AP675,(AP675-AL676)*(1+'5-Roberta'!$C$4))</f>
        <v>413282.94570053945</v>
      </c>
      <c r="AO676" s="18">
        <f>IF($A676&gt;('1-Input'!$B$26-2),AM676,AM676-'P-Parametri'!$B$8*(AN676+AM676)+MIN(MAX(AN676,0),'P-Parametri'!$B$8*(AN676+AM676)))</f>
        <v>0</v>
      </c>
      <c r="AP676" s="18">
        <f>IF($A676&gt;('1-Input'!$B$26-2),AN676,AN676-MIN(MAX(AN676,0),'P-Parametri'!$B$8*(AN676+AM676)))</f>
        <v>412456.37980913837</v>
      </c>
      <c r="AQ676" s="18">
        <f>IF($A676&gt;('1-Input'!$B$26-2),AQ675,AQ675-AL676*(1-AK676))</f>
        <v>297572.80879220861</v>
      </c>
    </row>
    <row r="677" spans="1:43">
      <c r="A677" s="10">
        <f>4</f>
        <v>4</v>
      </c>
      <c r="B677" s="11">
        <f>IF($A677&gt;('1-Input'!$B$26-2),0,IF(G676&lt;=0,0,MAX(0,(G676-H676)/G676)))</f>
        <v>0.27853508065529603</v>
      </c>
      <c r="C677" s="18">
        <f>IF($A677&gt;('1-Input'!$B$26-2),0,(MAX(0,B671-IF($A677&gt;='1-Input'!$C$12,'1-Input'!$B$12,0))-MIN(MAX(F676,0),MAX(0,B671-IF($A677&gt;='1-Input'!$C$12,'1-Input'!$B$12,0))))*(1/(1-'P-Parametri'!$B$6*B677))+MIN(MAX(0,G676-(MAX(0,B671-IF($A677&gt;='1-Input'!$C$12,'1-Input'!$B$12,0))-MIN(MAX(F676,0),MAX(0,B671-IF($A677&gt;='1-Input'!$C$12,'1-Input'!$B$12,0))))*(1/(1-'P-Parametri'!$B$6*B677))),MAX(0,0*B671-(F676-MIN(MAX(F676,0),MAX(0,B671-IF($A677&gt;='1-Input'!$C$12,'1-Input'!$B$12,0)))))*(1/(1-'P-Parametri'!$B$6*B677))))</f>
        <v>17983.397126595017</v>
      </c>
      <c r="D677" s="18">
        <f>IF($A677&gt;('1-Input'!$B$26-2),F676,(F676-MAX(0,B671-IF($A677&gt;='1-Input'!$C$12,'1-Input'!$B$12,0))+C677*(1-'P-Parametri'!$B$6*B677))*(1+'1-Input'!$B$27))</f>
        <v>0</v>
      </c>
      <c r="E677" s="18">
        <f>IF($A677&gt;('1-Input'!$B$26-2),G676,(G676-C677)*(1+'5-Roberta'!$C$4))</f>
        <v>414530.21824416018</v>
      </c>
      <c r="F677" s="18">
        <f>IF($A677&gt;('1-Input'!$B$26-2),D677,D677-'P-Parametri'!$B$8*(E677+D677)+MIN(MAX(E677,0),'P-Parametri'!$B$8*(E677+D677)))</f>
        <v>0</v>
      </c>
      <c r="G677" s="18">
        <f>IF($A677&gt;('1-Input'!$B$26-2),E677,E677-MIN(MAX(E677,0),'P-Parametri'!$B$8*(E677+D677)))</f>
        <v>413701.15780767187</v>
      </c>
      <c r="H677" s="18">
        <f>IF($A677&gt;('1-Input'!$B$26-2),H676,H676-C677*(1-B677))</f>
        <v>290358.26259365591</v>
      </c>
      <c r="I677" s="11">
        <f>IF($A677&gt;('1-Input'!$B$26-2),0,IF(N676&lt;=0,0,MAX(0,(N676-O676)/N676)))</f>
        <v>0.27853508065529609</v>
      </c>
      <c r="J677" s="18">
        <f>IF($A677&gt;('1-Input'!$B$26-2),0,(MAX(0,I671-IF($A677&gt;='1-Input'!$C$12,'1-Input'!$B$12,0))-MIN(MAX(M676,0),MAX(0,I671-IF($A677&gt;='1-Input'!$C$12,'1-Input'!$B$12,0))))*(1/(1-'P-Parametri'!$B$6*I677))+MIN(MAX(0,N676-(MAX(0,I671-IF($A677&gt;='1-Input'!$C$12,'1-Input'!$B$12,0))-MIN(MAX(M676,0),MAX(0,I671-IF($A677&gt;='1-Input'!$C$12,'1-Input'!$B$12,0))))*(1/(1-'P-Parametri'!$B$6*I677))),MAX(0,0*I671-(M676-MIN(MAX(M676,0),MAX(0,I671-IF($A677&gt;='1-Input'!$C$12,'1-Input'!$B$12,0)))))*(1/(1-'P-Parametri'!$B$6*I677))))</f>
        <v>23662.364640256612</v>
      </c>
      <c r="K677" s="18">
        <f>IF($A677&gt;('1-Input'!$B$26-2),M676,(M676-MAX(0,I671-IF($A677&gt;='1-Input'!$C$12,'1-Input'!$B$12,0))+J677*(1-'P-Parametri'!$B$6*I677))*(1+'1-Input'!$B$27))</f>
        <v>3.6248820833861826E-12</v>
      </c>
      <c r="L677" s="18">
        <f>IF($A677&gt;('1-Input'!$B$26-2),N676,(N676-J677)*(1+'5-Roberta'!$C$4))</f>
        <v>390346.53247383179</v>
      </c>
      <c r="M677" s="18">
        <f>IF($A677&gt;('1-Input'!$B$26-2),K677,K677-'P-Parametri'!$B$8*(L677+K677)+MIN(MAX(L677,0),'P-Parametri'!$B$8*(L677+K677)))</f>
        <v>3.637978807091713E-12</v>
      </c>
      <c r="N677" s="18">
        <f>IF($A677&gt;('1-Input'!$B$26-2),L677,L677-MIN(MAX(L677,0),'P-Parametri'!$B$8*(L677+K677)))</f>
        <v>389565.83940888412</v>
      </c>
      <c r="O677" s="18">
        <f>IF($A677&gt;('1-Input'!$B$26-2),O676,O676-J677*(1-I677))</f>
        <v>273418.76657059992</v>
      </c>
      <c r="P677" s="11">
        <f>IF($A677&gt;('1-Input'!$B$26-2),0,IF(U676&lt;=0,0,MAX(0,(U676-V676)/U676)))</f>
        <v>0.27853508065529603</v>
      </c>
      <c r="Q677" s="18">
        <f>IF($A677&gt;('1-Input'!$B$26-2),0,(MAX(0,P671-IF($A677&gt;='1-Input'!$C$12,'1-Input'!$B$12,0))-MIN(MAX(T676,0),MAX(0,P671-IF($A677&gt;='1-Input'!$C$12,'1-Input'!$B$12,0))))*(1/(1-'P-Parametri'!$B$6*P677))+MIN(MAX(0,U676-(MAX(0,P671-IF($A677&gt;='1-Input'!$C$12,'1-Input'!$B$12,0))-MIN(MAX(T676,0),MAX(0,P671-IF($A677&gt;='1-Input'!$C$12,'1-Input'!$B$12,0))))*(1/(1-'P-Parametri'!$B$6*P677))),MAX(0,0*P671-(T676-MIN(MAX(T676,0),MAX(0,P671-IF($A677&gt;='1-Input'!$C$12,'1-Input'!$B$12,0)))))*(1/(1-'P-Parametri'!$B$6*P677))))</f>
        <v>20800.749149290074</v>
      </c>
      <c r="R677" s="18">
        <f>IF($A677&gt;('1-Input'!$B$26-2),T676,(T676-MAX(0,P671-IF($A677&gt;='1-Input'!$C$12,'1-Input'!$B$12,0))+Q677*(1-'P-Parametri'!$B$6*P677))*(1+'1-Input'!$B$27))</f>
        <v>0</v>
      </c>
      <c r="S677" s="18">
        <f>IF($A677&gt;('1-Input'!$B$26-2),U676,(U676-Q677)*(1+'5-Roberta'!$C$4))</f>
        <v>402532.62257956964</v>
      </c>
      <c r="T677" s="18">
        <f>IF($A677&gt;('1-Input'!$B$26-2),R677,R677-'P-Parametri'!$B$8*(S677+R677)+MIN(MAX(S677,0),'P-Parametri'!$B$8*(S677+R677)))</f>
        <v>0</v>
      </c>
      <c r="U677" s="18">
        <f>IF($A677&gt;('1-Input'!$B$26-2),S677,S677-MIN(MAX(S677,0),'P-Parametri'!$B$8*(S677+R677)))</f>
        <v>401727.55733441049</v>
      </c>
      <c r="V677" s="18">
        <f>IF($A677&gt;('1-Input'!$B$26-2),V676,V676-Q677*(1-P677))</f>
        <v>281954.53017765185</v>
      </c>
      <c r="W677" s="11">
        <f>IF($A677&gt;('1-Input'!$B$26-2),0,IF(AB676&lt;=0,0,MAX(0,(AB676-AC676)/AB676)))</f>
        <v>0.27853508065529603</v>
      </c>
      <c r="X677" s="18">
        <f>IF($A677&gt;('1-Input'!$B$26-2),0,(MAX(0,W671-IF($A677&gt;='1-Input'!$C$12,'1-Input'!$B$12,0))-MIN(MAX(AA676,0),MAX(0,W671-IF($A677&gt;='1-Input'!$C$12,'1-Input'!$B$12,0))))*(1/(1-'P-Parametri'!$B$6*W677))+MIN(MAX(0,AB676-(MAX(0,W671-IF($A677&gt;='1-Input'!$C$12,'1-Input'!$B$12,0))-MIN(MAX(AA676,0),MAX(0,W671-IF($A677&gt;='1-Input'!$C$12,'1-Input'!$B$12,0))))*(1/(1-'P-Parametri'!$B$6*W677))),MAX(0,0*W671-(AA676-MIN(MAX(AA676,0),MAX(0,W671-IF($A677&gt;='1-Input'!$C$12,'1-Input'!$B$12,0)))))*(1/(1-'P-Parametri'!$B$6*W677))))</f>
        <v>20529.904702604217</v>
      </c>
      <c r="Y677" s="18">
        <f>IF($A677&gt;('1-Input'!$B$26-2),AA676,(AA676-MAX(0,W671-IF($A677&gt;='1-Input'!$C$12,'1-Input'!$B$12,0))+X677*(1-'P-Parametri'!$B$6*W677))*(1+'1-Input'!$B$27))</f>
        <v>0</v>
      </c>
      <c r="Z677" s="18">
        <f>IF($A677&gt;('1-Input'!$B$26-2),AB676,(AB676-X677)*(1+'5-Roberta'!$C$4))</f>
        <v>403686.00424191105</v>
      </c>
      <c r="AA677" s="18">
        <f>IF($A677&gt;('1-Input'!$B$26-2),Y677,Y677-'P-Parametri'!$B$8*(Z677+Y677)+MIN(MAX(Z677,0),'P-Parametri'!$B$8*(Z677+Y677)))</f>
        <v>0</v>
      </c>
      <c r="AB677" s="18">
        <f>IF($A677&gt;('1-Input'!$B$26-2),Z677,Z677-MIN(MAX(Z677,0),'P-Parametri'!$B$8*(Z677+Y677)))</f>
        <v>402878.63223342726</v>
      </c>
      <c r="AC677" s="18">
        <f>IF($A677&gt;('1-Input'!$B$26-2),AC676,AC676-X677*(1-W677))</f>
        <v>282762.41795240407</v>
      </c>
      <c r="AD677" s="11">
        <f>IF($A677&gt;('1-Input'!$B$26-2),0,IF(AI676&lt;=0,0,MAX(0,(AI676-AJ676)/AI676)))</f>
        <v>0.27853508065529603</v>
      </c>
      <c r="AE677" s="18">
        <f>IF($A677&gt;('1-Input'!$B$26-2),0,(MAX(0,AD671-IF($A677&gt;='1-Input'!$C$12,'1-Input'!$B$12,0))-MIN(MAX(AH676,0),MAX(0,AD671-IF($A677&gt;='1-Input'!$C$12,'1-Input'!$B$12,0))))*(1/(1-'P-Parametri'!$B$6*AD677))+MIN(MAX(0,AI676-(MAX(0,AD671-IF($A677&gt;='1-Input'!$C$12,'1-Input'!$B$12,0))-MIN(MAX(AH676,0),MAX(0,AD671-IF($A677&gt;='1-Input'!$C$12,'1-Input'!$B$12,0))))*(1/(1-'P-Parametri'!$B$6*AD677))),MAX(0,0*AD671-(AH676-MIN(MAX(AH676,0),MAX(0,AD671-IF($A677&gt;='1-Input'!$C$12,'1-Input'!$B$12,0)))))*(1/(1-'P-Parametri'!$B$6*AD677))))</f>
        <v>20530.553801031172</v>
      </c>
      <c r="AF677" s="18">
        <f>IF($A677&gt;('1-Input'!$B$26-2),AH676,(AH676-MAX(0,AD671-IF($A677&gt;='1-Input'!$C$12,'1-Input'!$B$12,0))+AE677*(1-'P-Parametri'!$B$6*AD677))*(1+'1-Input'!$B$27))</f>
        <v>3.6248820833861826E-12</v>
      </c>
      <c r="AG677" s="18">
        <f>IF($A677&gt;('1-Input'!$B$26-2),AI676,(AI676-AE677)*(1+'5-Roberta'!$C$4))</f>
        <v>403683.24007882079</v>
      </c>
      <c r="AH677" s="18">
        <f>IF($A677&gt;('1-Input'!$B$26-2),AF677,AF677-'P-Parametri'!$B$8*(AG677+AF677)+MIN(MAX(AG677,0),'P-Parametri'!$B$8*(AG677+AF677)))</f>
        <v>3.637978807091713E-12</v>
      </c>
      <c r="AI677" s="18">
        <f>IF($A677&gt;('1-Input'!$B$26-2),AG677,AG677-MIN(MAX(AG677,0),'P-Parametri'!$B$8*(AG677+AF677)))</f>
        <v>402875.87359866314</v>
      </c>
      <c r="AJ677" s="18">
        <f>IF($A677&gt;('1-Input'!$B$26-2),AJ676,AJ676-AE677*(1-AD677))</f>
        <v>282760.48179055849</v>
      </c>
      <c r="AK677" s="11">
        <f>IF($A677&gt;('1-Input'!$B$26-2),0,IF(AP676&lt;=0,0,MAX(0,(AP676-AQ676)/AP676)))</f>
        <v>0.27853508065529597</v>
      </c>
      <c r="AL677" s="18">
        <f>IF($A677&gt;('1-Input'!$B$26-2),0,(MAX(0,AK671-IF($A677&gt;='1-Input'!$C$12,'1-Input'!$B$12,0))-MIN(MAX(AO676,0),MAX(0,AK671-IF($A677&gt;='1-Input'!$C$12,'1-Input'!$B$12,0))))*(1/(1-'P-Parametri'!$B$6*AK677))+MIN(MAX(0,AP676-(MAX(0,AK671-IF($A677&gt;='1-Input'!$C$12,'1-Input'!$B$12,0))-MIN(MAX(AO676,0),MAX(0,AK671-IF($A677&gt;='1-Input'!$C$12,'1-Input'!$B$12,0))))*(1/(1-'P-Parametri'!$B$6*AK677))),MAX(0,0*AK671-(AO676-MIN(MAX(AO676,0),MAX(0,AK671-IF($A677&gt;='1-Input'!$C$12,'1-Input'!$B$12,0)))))*(1/(1-'P-Parametri'!$B$6*AK677))))</f>
        <v>20530.44207316593</v>
      </c>
      <c r="AM677" s="18">
        <f>IF($A677&gt;('1-Input'!$B$26-2),AO676,(AO676-MAX(0,AK671-IF($A677&gt;='1-Input'!$C$12,'1-Input'!$B$12,0))+AL677*(1-'P-Parametri'!$B$6*AK677))*(1+'1-Input'!$B$27))</f>
        <v>0</v>
      </c>
      <c r="AN677" s="18">
        <f>IF($A677&gt;('1-Input'!$B$26-2),AP676,(AP676-AL677)*(1+'5-Roberta'!$C$4))</f>
        <v>403683.71586805163</v>
      </c>
      <c r="AO677" s="18">
        <f>IF($A677&gt;('1-Input'!$B$26-2),AM677,AM677-'P-Parametri'!$B$8*(AN677+AM677)+MIN(MAX(AN677,0),'P-Parametri'!$B$8*(AN677+AM677)))</f>
        <v>0</v>
      </c>
      <c r="AP677" s="18">
        <f>IF($A677&gt;('1-Input'!$B$26-2),AN677,AN677-MIN(MAX(AN677,0),'P-Parametri'!$B$8*(AN677+AM677)))</f>
        <v>402876.34843631554</v>
      </c>
      <c r="AQ677" s="18">
        <f>IF($A677&gt;('1-Input'!$B$26-2),AQ676,AQ676-AL677*(1-AK677))</f>
        <v>282760.81505778083</v>
      </c>
    </row>
    <row r="678" spans="1:43">
      <c r="A678" s="10">
        <f>5</f>
        <v>5</v>
      </c>
      <c r="B678" s="11">
        <f>IF($A678&gt;('1-Input'!$B$26-2),0,IF(G677&lt;=0,0,MAX(0,(G677-H677)/G677)))</f>
        <v>0.29814491181907116</v>
      </c>
      <c r="C678" s="18">
        <f>IF($A678&gt;('1-Input'!$B$26-2),0,(MAX(0,B671-IF($A678&gt;='1-Input'!$C$12,'1-Input'!$B$12,0))-MIN(MAX(F677,0),MAX(0,B671-IF($A678&gt;='1-Input'!$C$12,'1-Input'!$B$12,0))))*(1/(1-'P-Parametri'!$B$6*B678))+MIN(MAX(0,G677-(MAX(0,B671-IF($A678&gt;='1-Input'!$C$12,'1-Input'!$B$12,0))-MIN(MAX(F677,0),MAX(0,B671-IF($A678&gt;='1-Input'!$C$12,'1-Input'!$B$12,0))))*(1/(1-'P-Parametri'!$B$6*B678))),MAX(0,0*B671-(F677-MIN(MAX(F677,0),MAX(0,B671-IF($A678&gt;='1-Input'!$C$12,'1-Input'!$B$12,0)))))*(1/(1-'P-Parametri'!$B$6*B678))))</f>
        <v>18082.791290457168</v>
      </c>
      <c r="D678" s="18">
        <f>IF($A678&gt;('1-Input'!$B$26-2),F677,(F677-MAX(0,B671-IF($A678&gt;='1-Input'!$C$12,'1-Input'!$B$12,0))+C678*(1-'P-Parametri'!$B$6*B678))*(1+'1-Input'!$B$27))</f>
        <v>0</v>
      </c>
      <c r="E678" s="18">
        <f>IF($A678&gt;('1-Input'!$B$26-2),G677,(G677-C678)*(1+'5-Roberta'!$C$4))</f>
        <v>407486.91751273116</v>
      </c>
      <c r="F678" s="18">
        <f>IF($A678&gt;('1-Input'!$B$26-2),D678,D678-'P-Parametri'!$B$8*(E678+D678)+MIN(MAX(E678,0),'P-Parametri'!$B$8*(E678+D678)))</f>
        <v>0</v>
      </c>
      <c r="G678" s="18">
        <f>IF($A678&gt;('1-Input'!$B$26-2),E678,E678-MIN(MAX(E678,0),'P-Parametri'!$B$8*(E678+D678)))</f>
        <v>406671.94367770571</v>
      </c>
      <c r="H678" s="18">
        <f>IF($A678&gt;('1-Input'!$B$26-2),H677,H677-C678*(1-B678))</f>
        <v>277666.76351793477</v>
      </c>
      <c r="I678" s="11">
        <f>IF($A678&gt;('1-Input'!$B$26-2),0,IF(N677&lt;=0,0,MAX(0,(N677-O677)/N677)))</f>
        <v>0.29814491181907116</v>
      </c>
      <c r="J678" s="18">
        <f>IF($A678&gt;('1-Input'!$B$26-2),0,(MAX(0,I671-IF($A678&gt;='1-Input'!$C$12,'1-Input'!$B$12,0))-MIN(MAX(M677,0),MAX(0,I671-IF($A678&gt;='1-Input'!$C$12,'1-Input'!$B$12,0))))*(1/(1-'P-Parametri'!$B$6*I678))+MIN(MAX(0,N677-(MAX(0,I671-IF($A678&gt;='1-Input'!$C$12,'1-Input'!$B$12,0))-MIN(MAX(M677,0),MAX(0,I671-IF($A678&gt;='1-Input'!$C$12,'1-Input'!$B$12,0))))*(1/(1-'P-Parametri'!$B$6*I678))),MAX(0,0*I671-(M677-MIN(MAX(M677,0),MAX(0,I671-IF($A678&gt;='1-Input'!$C$12,'1-Input'!$B$12,0)))))*(1/(1-'P-Parametri'!$B$6*I678))))</f>
        <v>23793.146434812061</v>
      </c>
      <c r="K678" s="18">
        <f>IF($A678&gt;('1-Input'!$B$26-2),M677,(M677-MAX(0,I671-IF($A678&gt;='1-Input'!$C$12,'1-Input'!$B$12,0))+J678*(1-'P-Parametri'!$B$6*I678))*(1+'1-Input'!$B$27))</f>
        <v>-3.6248820833861826E-12</v>
      </c>
      <c r="L678" s="18">
        <f>IF($A678&gt;('1-Input'!$B$26-2),N677,(N677-J678)*(1+'5-Roberta'!$C$4))</f>
        <v>376745.87376329425</v>
      </c>
      <c r="M678" s="18">
        <f>IF($A678&gt;('1-Input'!$B$26-2),K678,K678-'P-Parametri'!$B$8*(L678+K678)+MIN(MAX(L678,0),'P-Parametri'!$B$8*(L678+K678)))</f>
        <v>-3.637978807091713E-12</v>
      </c>
      <c r="N678" s="18">
        <f>IF($A678&gt;('1-Input'!$B$26-2),L678,L678-MIN(MAX(L678,0),'P-Parametri'!$B$8*(L678+K678)))</f>
        <v>375992.38201576768</v>
      </c>
      <c r="O678" s="18">
        <f>IF($A678&gt;('1-Input'!$B$26-2),O677,O677-J678*(1-I678))</f>
        <v>256719.42568149316</v>
      </c>
      <c r="P678" s="11">
        <f>IF($A678&gt;('1-Input'!$B$26-2),0,IF(U677&lt;=0,0,MAX(0,(U677-V677)/U677)))</f>
        <v>0.2981449118190711</v>
      </c>
      <c r="Q678" s="18">
        <f>IF($A678&gt;('1-Input'!$B$26-2),0,(MAX(0,P671-IF($A678&gt;='1-Input'!$C$12,'1-Input'!$B$12,0))-MIN(MAX(T677,0),MAX(0,P671-IF($A678&gt;='1-Input'!$C$12,'1-Input'!$B$12,0))))*(1/(1-'P-Parametri'!$B$6*P678))+MIN(MAX(0,U677-(MAX(0,P671-IF($A678&gt;='1-Input'!$C$12,'1-Input'!$B$12,0))-MIN(MAX(T677,0),MAX(0,P671-IF($A678&gt;='1-Input'!$C$12,'1-Input'!$B$12,0))))*(1/(1-'P-Parametri'!$B$6*P678))),MAX(0,0*P671-(T677-MIN(MAX(T677,0),MAX(0,P671-IF($A678&gt;='1-Input'!$C$12,'1-Input'!$B$12,0)))))*(1/(1-'P-Parametri'!$B$6*P678))))</f>
        <v>20915.714806492986</v>
      </c>
      <c r="R678" s="18">
        <f>IF($A678&gt;('1-Input'!$B$26-2),T677,(T677-MAX(0,P671-IF($A678&gt;='1-Input'!$C$12,'1-Input'!$B$12,0))+Q678*(1-'P-Parametri'!$B$6*P678))*(1+'1-Input'!$B$27))</f>
        <v>0</v>
      </c>
      <c r="S678" s="18">
        <f>IF($A678&gt;('1-Input'!$B$26-2),U677,(U677-Q678)*(1+'5-Roberta'!$C$4))</f>
        <v>392236.19780375506</v>
      </c>
      <c r="T678" s="18">
        <f>IF($A678&gt;('1-Input'!$B$26-2),R678,R678-'P-Parametri'!$B$8*(S678+R678)+MIN(MAX(S678,0),'P-Parametri'!$B$8*(S678+R678)))</f>
        <v>0</v>
      </c>
      <c r="U678" s="18">
        <f>IF($A678&gt;('1-Input'!$B$26-2),S678,S678-MIN(MAX(S678,0),'P-Parametri'!$B$8*(S678+R678)))</f>
        <v>391451.72540814755</v>
      </c>
      <c r="V678" s="18">
        <f>IF($A678&gt;('1-Input'!$B$26-2),V677,V677-Q678*(1-P678))</f>
        <v>267274.72931777354</v>
      </c>
      <c r="W678" s="11">
        <f>IF($A678&gt;('1-Input'!$B$26-2),0,IF(AB677&lt;=0,0,MAX(0,(AB677-AC677)/AB677)))</f>
        <v>0.29814491181907121</v>
      </c>
      <c r="X678" s="18">
        <f>IF($A678&gt;('1-Input'!$B$26-2),0,(MAX(0,W671-IF($A678&gt;='1-Input'!$C$12,'1-Input'!$B$12,0))-MIN(MAX(AA677,0),MAX(0,W671-IF($A678&gt;='1-Input'!$C$12,'1-Input'!$B$12,0))))*(1/(1-'P-Parametri'!$B$6*W678))+MIN(MAX(0,AB677-(MAX(0,W671-IF($A678&gt;='1-Input'!$C$12,'1-Input'!$B$12,0))-MIN(MAX(AA677,0),MAX(0,W671-IF($A678&gt;='1-Input'!$C$12,'1-Input'!$B$12,0))))*(1/(1-'P-Parametri'!$B$6*W678))),MAX(0,0*W671-(AA677-MIN(MAX(AA677,0),MAX(0,W671-IF($A678&gt;='1-Input'!$C$12,'1-Input'!$B$12,0)))))*(1/(1-'P-Parametri'!$B$6*W678))))</f>
        <v>20643.373403635527</v>
      </c>
      <c r="Y678" s="18">
        <f>IF($A678&gt;('1-Input'!$B$26-2),AA677,(AA677-MAX(0,W671-IF($A678&gt;='1-Input'!$C$12,'1-Input'!$B$12,0))+X678*(1-'P-Parametri'!$B$6*W678))*(1+'1-Input'!$B$27))</f>
        <v>0</v>
      </c>
      <c r="Z678" s="18">
        <f>IF($A678&gt;('1-Input'!$B$26-2),AB677,(AB677-X678)*(1+'5-Roberta'!$C$4))</f>
        <v>393702.31659468549</v>
      </c>
      <c r="AA678" s="18">
        <f>IF($A678&gt;('1-Input'!$B$26-2),Y678,Y678-'P-Parametri'!$B$8*(Z678+Y678)+MIN(MAX(Z678,0),'P-Parametri'!$B$8*(Z678+Y678)))</f>
        <v>0</v>
      </c>
      <c r="AB678" s="18">
        <f>IF($A678&gt;('1-Input'!$B$26-2),Z678,Z678-MIN(MAX(Z678,0),'P-Parametri'!$B$8*(Z678+Y678)))</f>
        <v>392914.91196149611</v>
      </c>
      <c r="AC678" s="18">
        <f>IF($A678&gt;('1-Input'!$B$26-2),AC677,AC677-X678*(1-W678))</f>
        <v>268273.76129184361</v>
      </c>
      <c r="AD678" s="11">
        <f>IF($A678&gt;('1-Input'!$B$26-2),0,IF(AI677&lt;=0,0,MAX(0,(AI677-AJ677)/AI677)))</f>
        <v>0.29814491181907105</v>
      </c>
      <c r="AE678" s="18">
        <f>IF($A678&gt;('1-Input'!$B$26-2),0,(MAX(0,AD671-IF($A678&gt;='1-Input'!$C$12,'1-Input'!$B$12,0))-MIN(MAX(AH677,0),MAX(0,AD671-IF($A678&gt;='1-Input'!$C$12,'1-Input'!$B$12,0))))*(1/(1-'P-Parametri'!$B$6*AD678))+MIN(MAX(0,AI677-(MAX(0,AD671-IF($A678&gt;='1-Input'!$C$12,'1-Input'!$B$12,0))-MIN(MAX(AH677,0),MAX(0,AD671-IF($A678&gt;='1-Input'!$C$12,'1-Input'!$B$12,0))))*(1/(1-'P-Parametri'!$B$6*AD678))),MAX(0,0*AD671-(AH677-MIN(MAX(AH677,0),MAX(0,AD671-IF($A678&gt;='1-Input'!$C$12,'1-Input'!$B$12,0)))))*(1/(1-'P-Parametri'!$B$6*AD678))))</f>
        <v>20644.026089626881</v>
      </c>
      <c r="AF678" s="18">
        <f>IF($A678&gt;('1-Input'!$B$26-2),AH677,(AH677-MAX(0,AD671-IF($A678&gt;='1-Input'!$C$12,'1-Input'!$B$12,0))+AE678*(1-'P-Parametri'!$B$6*AD678))*(1+'1-Input'!$B$27))</f>
        <v>3.6248820833861826E-12</v>
      </c>
      <c r="AG678" s="18">
        <f>IF($A678&gt;('1-Input'!$B$26-2),AI677,(AI677-AE678)*(1+'5-Roberta'!$C$4))</f>
        <v>393698.80293430737</v>
      </c>
      <c r="AH678" s="18">
        <f>IF($A678&gt;('1-Input'!$B$26-2),AF678,AF678-'P-Parametri'!$B$8*(AG678+AF678)+MIN(MAX(AG678,0),'P-Parametri'!$B$8*(AG678+AF678)))</f>
        <v>3.637978807091713E-12</v>
      </c>
      <c r="AI678" s="18">
        <f>IF($A678&gt;('1-Input'!$B$26-2),AG678,AG678-MIN(MAX(AG678,0),'P-Parametri'!$B$8*(AG678+AF678)))</f>
        <v>392911.40532843873</v>
      </c>
      <c r="AJ678" s="18">
        <f>IF($A678&gt;('1-Input'!$B$26-2),AJ677,AJ677-AE678*(1-AD678))</f>
        <v>268271.367039014</v>
      </c>
      <c r="AK678" s="11">
        <f>IF($A678&gt;('1-Input'!$B$26-2),0,IF(AP677&lt;=0,0,MAX(0,(AP677-AQ677)/AP677)))</f>
        <v>0.29814491181907127</v>
      </c>
      <c r="AL678" s="18">
        <f>IF($A678&gt;('1-Input'!$B$26-2),0,(MAX(0,AK671-IF($A678&gt;='1-Input'!$C$12,'1-Input'!$B$12,0))-MIN(MAX(AO677,0),MAX(0,AK671-IF($A678&gt;='1-Input'!$C$12,'1-Input'!$B$12,0))))*(1/(1-'P-Parametri'!$B$6*AK678))+MIN(MAX(0,AP677-(MAX(0,AK671-IF($A678&gt;='1-Input'!$C$12,'1-Input'!$B$12,0))-MIN(MAX(AO677,0),MAX(0,AK671-IF($A678&gt;='1-Input'!$C$12,'1-Input'!$B$12,0))))*(1/(1-'P-Parametri'!$B$6*AK678))),MAX(0,0*AK671-(AO677-MIN(MAX(AO677,0),MAX(0,AK671-IF($A678&gt;='1-Input'!$C$12,'1-Input'!$B$12,0)))))*(1/(1-'P-Parametri'!$B$6*AK678))))</f>
        <v>20643.913744242185</v>
      </c>
      <c r="AM678" s="18">
        <f>IF($A678&gt;('1-Input'!$B$26-2),AO677,(AO677-MAX(0,AK671-IF($A678&gt;='1-Input'!$C$12,'1-Input'!$B$12,0))+AL678*(1-'P-Parametri'!$B$6*AK678))*(1+'1-Input'!$B$27))</f>
        <v>0</v>
      </c>
      <c r="AN678" s="18">
        <f>IF($A678&gt;('1-Input'!$B$26-2),AP677,(AP677-AL678)*(1+'5-Roberta'!$C$4))</f>
        <v>393699.40773283556</v>
      </c>
      <c r="AO678" s="18">
        <f>IF($A678&gt;('1-Input'!$B$26-2),AM678,AM678-'P-Parametri'!$B$8*(AN678+AM678)+MIN(MAX(AN678,0),'P-Parametri'!$B$8*(AN678+AM678)))</f>
        <v>0</v>
      </c>
      <c r="AP678" s="18">
        <f>IF($A678&gt;('1-Input'!$B$26-2),AN678,AN678-MIN(MAX(AN678,0),'P-Parametri'!$B$8*(AN678+AM678)))</f>
        <v>392912.00891736988</v>
      </c>
      <c r="AQ678" s="18">
        <f>IF($A678&gt;('1-Input'!$B$26-2),AQ677,AQ677-AL678*(1-AK678))</f>
        <v>268271.77915641625</v>
      </c>
    </row>
    <row r="679" spans="1:43">
      <c r="A679" s="10">
        <f>6</f>
        <v>6</v>
      </c>
      <c r="B679" s="11">
        <f>IF($A679&gt;('1-Input'!$B$26-2),0,IF(G678&lt;=0,0,MAX(0,(G678-H678)/G678)))</f>
        <v>0.31722173650122687</v>
      </c>
      <c r="C679" s="18">
        <f>IF($A679&gt;('1-Input'!$B$26-2),0,(MAX(0,B671-IF($A679&gt;='1-Input'!$C$12,'1-Input'!$B$12,0))-MIN(MAX(F678,0),MAX(0,B671-IF($A679&gt;='1-Input'!$C$12,'1-Input'!$B$12,0))))*(1/(1-'P-Parametri'!$B$6*B679))+MIN(MAX(0,G678-(MAX(0,B671-IF($A679&gt;='1-Input'!$C$12,'1-Input'!$B$12,0))-MIN(MAX(F678,0),MAX(0,B671-IF($A679&gt;='1-Input'!$C$12,'1-Input'!$B$12,0))))*(1/(1-'P-Parametri'!$B$6*B679))),MAX(0,0*B671-(F678-MIN(MAX(F678,0),MAX(0,B671-IF($A679&gt;='1-Input'!$C$12,'1-Input'!$B$12,0)))))*(1/(1-'P-Parametri'!$B$6*B679))))</f>
        <v>18180.543876365096</v>
      </c>
      <c r="D679" s="18">
        <f>IF($A679&gt;('1-Input'!$B$26-2),F678,(F678-MAX(0,B671-IF($A679&gt;='1-Input'!$C$12,'1-Input'!$B$12,0))+C679*(1-'P-Parametri'!$B$6*B679))*(1+'1-Input'!$B$27))</f>
        <v>0</v>
      </c>
      <c r="E679" s="18">
        <f>IF($A679&gt;('1-Input'!$B$26-2),G678,(G678-C679)*(1+'5-Roberta'!$C$4))</f>
        <v>400146.1417953808</v>
      </c>
      <c r="F679" s="18">
        <f>IF($A679&gt;('1-Input'!$B$26-2),D679,D679-'P-Parametri'!$B$8*(E679+D679)+MIN(MAX(E679,0),'P-Parametri'!$B$8*(E679+D679)))</f>
        <v>0</v>
      </c>
      <c r="G679" s="18">
        <f>IF($A679&gt;('1-Input'!$B$26-2),E679,E679-MIN(MAX(E679,0),'P-Parametri'!$B$8*(E679+D679)))</f>
        <v>399345.84951179003</v>
      </c>
      <c r="H679" s="18">
        <f>IF($A679&gt;('1-Input'!$B$26-2),H678,H678-C679*(1-B679))</f>
        <v>265253.48334056698</v>
      </c>
      <c r="I679" s="11">
        <f>IF($A679&gt;('1-Input'!$B$26-2),0,IF(N678&lt;=0,0,MAX(0,(N678-O678)/N678)))</f>
        <v>0.31722173650122698</v>
      </c>
      <c r="J679" s="18">
        <f>IF($A679&gt;('1-Input'!$B$26-2),0,(MAX(0,I671-IF($A679&gt;='1-Input'!$C$12,'1-Input'!$B$12,0))-MIN(MAX(M678,0),MAX(0,I671-IF($A679&gt;='1-Input'!$C$12,'1-Input'!$B$12,0))))*(1/(1-'P-Parametri'!$B$6*I679))+MIN(MAX(0,N678-(MAX(0,I671-IF($A679&gt;='1-Input'!$C$12,'1-Input'!$B$12,0))-MIN(MAX(M678,0),MAX(0,I671-IF($A679&gt;='1-Input'!$C$12,'1-Input'!$B$12,0))))*(1/(1-'P-Parametri'!$B$6*I679))),MAX(0,0*I671-(M678-MIN(MAX(M678,0),MAX(0,I671-IF($A679&gt;='1-Input'!$C$12,'1-Input'!$B$12,0)))))*(1/(1-'P-Parametri'!$B$6*I679))))</f>
        <v>23921.768258375134</v>
      </c>
      <c r="K679" s="18">
        <f>IF($A679&gt;('1-Input'!$B$26-2),M678,(M678-MAX(0,I671-IF($A679&gt;='1-Input'!$C$12,'1-Input'!$B$12,0))+J679*(1-'P-Parametri'!$B$6*I679))*(1+'1-Input'!$B$27))</f>
        <v>0</v>
      </c>
      <c r="L679" s="18">
        <f>IF($A679&gt;('1-Input'!$B$26-2),N678,(N678-J679)*(1+'5-Roberta'!$C$4))</f>
        <v>362632.73217011435</v>
      </c>
      <c r="M679" s="18">
        <f>IF($A679&gt;('1-Input'!$B$26-2),K679,K679-'P-Parametri'!$B$8*(L679+K679)+MIN(MAX(L679,0),'P-Parametri'!$B$8*(L679+K679)))</f>
        <v>0</v>
      </c>
      <c r="N679" s="18">
        <f>IF($A679&gt;('1-Input'!$B$26-2),L679,L679-MIN(MAX(L679,0),'P-Parametri'!$B$8*(L679+K679)))</f>
        <v>361907.46670577413</v>
      </c>
      <c r="O679" s="18">
        <f>IF($A679&gt;('1-Input'!$B$26-2),O678,O678-J679*(1-I679))</f>
        <v>240386.16229021971</v>
      </c>
      <c r="P679" s="11">
        <f>IF($A679&gt;('1-Input'!$B$26-2),0,IF(U678&lt;=0,0,MAX(0,(U678-V678)/U678)))</f>
        <v>0.31722173650122693</v>
      </c>
      <c r="Q679" s="18">
        <f>IF($A679&gt;('1-Input'!$B$26-2),0,(MAX(0,P671-IF($A679&gt;='1-Input'!$C$12,'1-Input'!$B$12,0))-MIN(MAX(T678,0),MAX(0,P671-IF($A679&gt;='1-Input'!$C$12,'1-Input'!$B$12,0))))*(1/(1-'P-Parametri'!$B$6*P679))+MIN(MAX(0,U678-(MAX(0,P671-IF($A679&gt;='1-Input'!$C$12,'1-Input'!$B$12,0))-MIN(MAX(T678,0),MAX(0,P671-IF($A679&gt;='1-Input'!$C$12,'1-Input'!$B$12,0))))*(1/(1-'P-Parametri'!$B$6*P679))),MAX(0,0*P671-(T678-MIN(MAX(T678,0),MAX(0,P671-IF($A679&gt;='1-Input'!$C$12,'1-Input'!$B$12,0)))))*(1/(1-'P-Parametri'!$B$6*P679))))</f>
        <v>21028.781709473082</v>
      </c>
      <c r="R679" s="18">
        <f>IF($A679&gt;('1-Input'!$B$26-2),T678,(T678-MAX(0,P671-IF($A679&gt;='1-Input'!$C$12,'1-Input'!$B$12,0))+Q679*(1-'P-Parametri'!$B$6*P679))*(1+'1-Input'!$B$27))</f>
        <v>0</v>
      </c>
      <c r="S679" s="18">
        <f>IF($A679&gt;('1-Input'!$B$26-2),U678,(U678-Q679)*(1+'5-Roberta'!$C$4))</f>
        <v>381535.63200963475</v>
      </c>
      <c r="T679" s="18">
        <f>IF($A679&gt;('1-Input'!$B$26-2),R679,R679-'P-Parametri'!$B$8*(S679+R679)+MIN(MAX(S679,0),'P-Parametri'!$B$8*(S679+R679)))</f>
        <v>0</v>
      </c>
      <c r="U679" s="18">
        <f>IF($A679&gt;('1-Input'!$B$26-2),S679,S679-MIN(MAX(S679,0),'P-Parametri'!$B$8*(S679+R679)))</f>
        <v>380772.56074561545</v>
      </c>
      <c r="V679" s="18">
        <f>IF($A679&gt;('1-Input'!$B$26-2),V678,V678-Q679*(1-P679))</f>
        <v>252916.73425868474</v>
      </c>
      <c r="W679" s="11">
        <f>IF($A679&gt;('1-Input'!$B$26-2),0,IF(AB678&lt;=0,0,MAX(0,(AB678-AC678)/AB678)))</f>
        <v>0.31722173650122693</v>
      </c>
      <c r="X679" s="18">
        <f>IF($A679&gt;('1-Input'!$B$26-2),0,(MAX(0,W671-IF($A679&gt;='1-Input'!$C$12,'1-Input'!$B$12,0))-MIN(MAX(AA678,0),MAX(0,W671-IF($A679&gt;='1-Input'!$C$12,'1-Input'!$B$12,0))))*(1/(1-'P-Parametri'!$B$6*W679))+MIN(MAX(0,AB678-(MAX(0,W671-IF($A679&gt;='1-Input'!$C$12,'1-Input'!$B$12,0))-MIN(MAX(AA678,0),MAX(0,W671-IF($A679&gt;='1-Input'!$C$12,'1-Input'!$B$12,0))))*(1/(1-'P-Parametri'!$B$6*W679))),MAX(0,0*W671-(AA678-MIN(MAX(AA678,0),MAX(0,W671-IF($A679&gt;='1-Input'!$C$12,'1-Input'!$B$12,0)))))*(1/(1-'P-Parametri'!$B$6*W679))))</f>
        <v>20754.968073930333</v>
      </c>
      <c r="Y679" s="18">
        <f>IF($A679&gt;('1-Input'!$B$26-2),AA678,(AA678-MAX(0,W671-IF($A679&gt;='1-Input'!$C$12,'1-Input'!$B$12,0))+X679*(1-'P-Parametri'!$B$6*W679))*(1+'1-Input'!$B$27))</f>
        <v>0</v>
      </c>
      <c r="Z679" s="18">
        <f>IF($A679&gt;('1-Input'!$B$26-2),AB678,(AB678-X679)*(1+'5-Roberta'!$C$4))</f>
        <v>383324.74220419273</v>
      </c>
      <c r="AA679" s="18">
        <f>IF($A679&gt;('1-Input'!$B$26-2),Y679,Y679-'P-Parametri'!$B$8*(Z679+Y679)+MIN(MAX(Z679,0),'P-Parametri'!$B$8*(Z679+Y679)))</f>
        <v>0</v>
      </c>
      <c r="AB679" s="18">
        <f>IF($A679&gt;('1-Input'!$B$26-2),Z679,Z679-MIN(MAX(Z679,0),'P-Parametri'!$B$8*(Z679+Y679)))</f>
        <v>382558.09271978436</v>
      </c>
      <c r="AC679" s="18">
        <f>IF($A679&gt;('1-Input'!$B$26-2),AC678,AC678-X679*(1-W679))</f>
        <v>254102.72023135299</v>
      </c>
      <c r="AD679" s="11">
        <f>IF($A679&gt;('1-Input'!$B$26-2),0,IF(AI678&lt;=0,0,MAX(0,(AI678-AJ678)/AI678)))</f>
        <v>0.31722173650122687</v>
      </c>
      <c r="AE679" s="18">
        <f>IF($A679&gt;('1-Input'!$B$26-2),0,(MAX(0,AD671-IF($A679&gt;='1-Input'!$C$12,'1-Input'!$B$12,0))-MIN(MAX(AH678,0),MAX(0,AD671-IF($A679&gt;='1-Input'!$C$12,'1-Input'!$B$12,0))))*(1/(1-'P-Parametri'!$B$6*AD679))+MIN(MAX(0,AI678-(MAX(0,AD671-IF($A679&gt;='1-Input'!$C$12,'1-Input'!$B$12,0))-MIN(MAX(AH678,0),MAX(0,AD671-IF($A679&gt;='1-Input'!$C$12,'1-Input'!$B$12,0))))*(1/(1-'P-Parametri'!$B$6*AD679))),MAX(0,0*AD671-(AH678-MIN(MAX(AH678,0),MAX(0,AD671-IF($A679&gt;='1-Input'!$C$12,'1-Input'!$B$12,0)))))*(1/(1-'P-Parametri'!$B$6*AD679))))</f>
        <v>20755.624288234456</v>
      </c>
      <c r="AF679" s="18">
        <f>IF($A679&gt;('1-Input'!$B$26-2),AH678,(AH678-MAX(0,AD671-IF($A679&gt;='1-Input'!$C$12,'1-Input'!$B$12,0))+AE679*(1-'P-Parametri'!$B$6*AD679))*(1+'1-Input'!$B$27))</f>
        <v>3.6248820833861826E-12</v>
      </c>
      <c r="AG679" s="18">
        <f>IF($A679&gt;('1-Input'!$B$26-2),AI678,(AI678-AE679)*(1+'5-Roberta'!$C$4))</f>
        <v>383320.45447141043</v>
      </c>
      <c r="AH679" s="18">
        <f>IF($A679&gt;('1-Input'!$B$26-2),AF679,AF679-'P-Parametri'!$B$8*(AG679+AF679)+MIN(MAX(AG679,0),'P-Parametri'!$B$8*(AG679+AF679)))</f>
        <v>3.637978807091713E-12</v>
      </c>
      <c r="AI679" s="18">
        <f>IF($A679&gt;('1-Input'!$B$26-2),AG679,AG679-MIN(MAX(AG679,0),'P-Parametri'!$B$8*(AG679+AF679)))</f>
        <v>382553.81356246758</v>
      </c>
      <c r="AJ679" s="18">
        <f>IF($A679&gt;('1-Input'!$B$26-2),AJ678,AJ678-AE679*(1-AD679))</f>
        <v>254099.87792966032</v>
      </c>
      <c r="AK679" s="11">
        <f>IF($A679&gt;('1-Input'!$B$26-2),0,IF(AP678&lt;=0,0,MAX(0,(AP678-AQ678)/AP678)))</f>
        <v>0.31722173650122693</v>
      </c>
      <c r="AL679" s="18">
        <f>IF($A679&gt;('1-Input'!$B$26-2),0,(MAX(0,AK671-IF($A679&gt;='1-Input'!$C$12,'1-Input'!$B$12,0))-MIN(MAX(AO678,0),MAX(0,AK671-IF($A679&gt;='1-Input'!$C$12,'1-Input'!$B$12,0))))*(1/(1-'P-Parametri'!$B$6*AK679))+MIN(MAX(0,AP678-(MAX(0,AK671-IF($A679&gt;='1-Input'!$C$12,'1-Input'!$B$12,0))-MIN(MAX(AO678,0),MAX(0,AK671-IF($A679&gt;='1-Input'!$C$12,'1-Input'!$B$12,0))))*(1/(1-'P-Parametri'!$B$6*AK679))),MAX(0,0*AK671-(AO678-MIN(MAX(AO678,0),MAX(0,AK671-IF($A679&gt;='1-Input'!$C$12,'1-Input'!$B$12,0)))))*(1/(1-'P-Parametri'!$B$6*AK679))))</f>
        <v>20755.511335529147</v>
      </c>
      <c r="AM679" s="18">
        <f>IF($A679&gt;('1-Input'!$B$26-2),AO678,(AO678-MAX(0,AK671-IF($A679&gt;='1-Input'!$C$12,'1-Input'!$B$12,0))+AL679*(1-'P-Parametri'!$B$6*AK679))*(1+'1-Input'!$B$27))</f>
        <v>-3.6248820833861826E-12</v>
      </c>
      <c r="AN679" s="18">
        <f>IF($A679&gt;('1-Input'!$B$26-2),AP678,(AP678-AL679)*(1+'5-Roberta'!$C$4))</f>
        <v>383321.19250929594</v>
      </c>
      <c r="AO679" s="18">
        <f>IF($A679&gt;('1-Input'!$B$26-2),AM679,AM679-'P-Parametri'!$B$8*(AN679+AM679)+MIN(MAX(AN679,0),'P-Parametri'!$B$8*(AN679+AM679)))</f>
        <v>-3.637978807091713E-12</v>
      </c>
      <c r="AP679" s="18">
        <f>IF($A679&gt;('1-Input'!$B$26-2),AN679,AN679-MIN(MAX(AN679,0),'P-Parametri'!$B$8*(AN679+AM679)))</f>
        <v>382554.55012427736</v>
      </c>
      <c r="AQ679" s="18">
        <f>IF($A679&gt;('1-Input'!$B$26-2),AQ678,AQ678-AL679*(1-AK679))</f>
        <v>254100.36716871455</v>
      </c>
    </row>
    <row r="680" spans="1:43">
      <c r="A680" s="10">
        <f>7</f>
        <v>7</v>
      </c>
      <c r="B680" s="11">
        <f>IF($A680&gt;('1-Input'!$B$26-2),0,IF(G679&lt;=0,0,MAX(0,(G679-H679)/G679)))</f>
        <v>0.33578004212427454</v>
      </c>
      <c r="C680" s="18">
        <f>IF($A680&gt;('1-Input'!$B$26-2),0,(MAX(0,B671-IF($A680&gt;='1-Input'!$C$12,'1-Input'!$B$12,0))-MIN(MAX(F679,0),MAX(0,B671-IF($A680&gt;='1-Input'!$C$12,'1-Input'!$B$12,0))))*(1/(1-'P-Parametri'!$B$6*B680))+MIN(MAX(0,G679-(MAX(0,B671-IF($A680&gt;='1-Input'!$C$12,'1-Input'!$B$12,0))-MIN(MAX(F679,0),MAX(0,B671-IF($A680&gt;='1-Input'!$C$12,'1-Input'!$B$12,0))))*(1/(1-'P-Parametri'!$B$6*B680))),MAX(0,0*B671-(F679-MIN(MAX(F679,0),MAX(0,B671-IF($A680&gt;='1-Input'!$C$12,'1-Input'!$B$12,0)))))*(1/(1-'P-Parametri'!$B$6*B680))))</f>
        <v>18276.659022069383</v>
      </c>
      <c r="D680" s="18">
        <f>IF($A680&gt;('1-Input'!$B$26-2),F679,(F679-MAX(0,B671-IF($A680&gt;='1-Input'!$C$12,'1-Input'!$B$12,0))+C680*(1-'P-Parametri'!$B$6*B680))*(1+'1-Input'!$B$27))</f>
        <v>0</v>
      </c>
      <c r="E680" s="18">
        <f>IF($A680&gt;('1-Input'!$B$26-2),G679,(G679-C680)*(1+'5-Roberta'!$C$4))</f>
        <v>392501.26620441233</v>
      </c>
      <c r="F680" s="18">
        <f>IF($A680&gt;('1-Input'!$B$26-2),D680,D680-'P-Parametri'!$B$8*(E680+D680)+MIN(MAX(E680,0),'P-Parametri'!$B$8*(E680+D680)))</f>
        <v>0</v>
      </c>
      <c r="G680" s="18">
        <f>IF($A680&gt;('1-Input'!$B$26-2),E680,E680-MIN(MAX(E680,0),'P-Parametri'!$B$8*(E680+D680)))</f>
        <v>391716.26367200352</v>
      </c>
      <c r="H680" s="18">
        <f>IF($A680&gt;('1-Input'!$B$26-2),H679,H679-C680*(1-B680))</f>
        <v>253113.76165481904</v>
      </c>
      <c r="I680" s="11">
        <f>IF($A680&gt;('1-Input'!$B$26-2),0,IF(N679&lt;=0,0,MAX(0,(N679-O679)/N679)))</f>
        <v>0.33578004212427481</v>
      </c>
      <c r="J680" s="18">
        <f>IF($A680&gt;('1-Input'!$B$26-2),0,(MAX(0,I671-IF($A680&gt;='1-Input'!$C$12,'1-Input'!$B$12,0))-MIN(MAX(M679,0),MAX(0,I671-IF($A680&gt;='1-Input'!$C$12,'1-Input'!$B$12,0))))*(1/(1-'P-Parametri'!$B$6*I680))+MIN(MAX(0,N679-(MAX(0,I671-IF($A680&gt;='1-Input'!$C$12,'1-Input'!$B$12,0))-MIN(MAX(M679,0),MAX(0,I671-IF($A680&gt;='1-Input'!$C$12,'1-Input'!$B$12,0))))*(1/(1-'P-Parametri'!$B$6*I680))),MAX(0,0*I671-(M679-MIN(MAX(M679,0),MAX(0,I671-IF($A680&gt;='1-Input'!$C$12,'1-Input'!$B$12,0)))))*(1/(1-'P-Parametri'!$B$6*I680))))</f>
        <v>24048.235555354455</v>
      </c>
      <c r="K680" s="18">
        <f>IF($A680&gt;('1-Input'!$B$26-2),M679,(M679-MAX(0,I671-IF($A680&gt;='1-Input'!$C$12,'1-Input'!$B$12,0))+J680*(1-'P-Parametri'!$B$6*I680))*(1+'1-Input'!$B$27))</f>
        <v>-3.6248820833861826E-12</v>
      </c>
      <c r="L680" s="18">
        <f>IF($A680&gt;('1-Input'!$B$26-2),N679,(N679-J680)*(1+'5-Roberta'!$C$4))</f>
        <v>347995.00808493228</v>
      </c>
      <c r="M680" s="18">
        <f>IF($A680&gt;('1-Input'!$B$26-2),K680,K680-'P-Parametri'!$B$8*(L680+K680)+MIN(MAX(L680,0),'P-Parametri'!$B$8*(L680+K680)))</f>
        <v>-3.637978807091713E-12</v>
      </c>
      <c r="N680" s="18">
        <f>IF($A680&gt;('1-Input'!$B$26-2),L680,L680-MIN(MAX(L680,0),'P-Parametri'!$B$8*(L680+K680)))</f>
        <v>347299.01806876244</v>
      </c>
      <c r="O680" s="18">
        <f>IF($A680&gt;('1-Input'!$B$26-2),O679,O679-J680*(1-I680))</f>
        <v>224412.84428265665</v>
      </c>
      <c r="P680" s="11">
        <f>IF($A680&gt;('1-Input'!$B$26-2),0,IF(U679&lt;=0,0,MAX(0,(U679-V679)/U679)))</f>
        <v>0.33578004212427476</v>
      </c>
      <c r="Q680" s="18">
        <f>IF($A680&gt;('1-Input'!$B$26-2),0,(MAX(0,P671-IF($A680&gt;='1-Input'!$C$12,'1-Input'!$B$12,0))-MIN(MAX(T679,0),MAX(0,P671-IF($A680&gt;='1-Input'!$C$12,'1-Input'!$B$12,0))))*(1/(1-'P-Parametri'!$B$6*P680))+MIN(MAX(0,U679-(MAX(0,P671-IF($A680&gt;='1-Input'!$C$12,'1-Input'!$B$12,0))-MIN(MAX(T679,0),MAX(0,P671-IF($A680&gt;='1-Input'!$C$12,'1-Input'!$B$12,0))))*(1/(1-'P-Parametri'!$B$6*P680))),MAX(0,0*P671-(T679-MIN(MAX(T679,0),MAX(0,P671-IF($A680&gt;='1-Input'!$C$12,'1-Input'!$B$12,0)))))*(1/(1-'P-Parametri'!$B$6*P680))))</f>
        <v>21139.954644217745</v>
      </c>
      <c r="R680" s="18">
        <f>IF($A680&gt;('1-Input'!$B$26-2),T679,(T679-MAX(0,P671-IF($A680&gt;='1-Input'!$C$12,'1-Input'!$B$12,0))+Q680*(1-'P-Parametri'!$B$6*P680))*(1+'1-Input'!$B$27))</f>
        <v>0</v>
      </c>
      <c r="S680" s="18">
        <f>IF($A680&gt;('1-Input'!$B$26-2),U679,(U679-Q680)*(1+'5-Roberta'!$C$4))</f>
        <v>370421.58428443968</v>
      </c>
      <c r="T680" s="18">
        <f>IF($A680&gt;('1-Input'!$B$26-2),R680,R680-'P-Parametri'!$B$8*(S680+R680)+MIN(MAX(S680,0),'P-Parametri'!$B$8*(S680+R680)))</f>
        <v>0</v>
      </c>
      <c r="U680" s="18">
        <f>IF($A680&gt;('1-Input'!$B$26-2),S680,S680-MIN(MAX(S680,0),'P-Parametri'!$B$8*(S680+R680)))</f>
        <v>369680.74111587083</v>
      </c>
      <c r="V680" s="18">
        <f>IF($A680&gt;('1-Input'!$B$26-2),V679,V679-Q680*(1-P680))</f>
        <v>238875.15447540767</v>
      </c>
      <c r="W680" s="11">
        <f>IF($A680&gt;('1-Input'!$B$26-2),0,IF(AB679&lt;=0,0,MAX(0,(AB679-AC679)/AB679)))</f>
        <v>0.3357800421242747</v>
      </c>
      <c r="X680" s="18">
        <f>IF($A680&gt;('1-Input'!$B$26-2),0,(MAX(0,W671-IF($A680&gt;='1-Input'!$C$12,'1-Input'!$B$12,0))-MIN(MAX(AA679,0),MAX(0,W671-IF($A680&gt;='1-Input'!$C$12,'1-Input'!$B$12,0))))*(1/(1-'P-Parametri'!$B$6*W680))+MIN(MAX(0,AB679-(MAX(0,W671-IF($A680&gt;='1-Input'!$C$12,'1-Input'!$B$12,0))-MIN(MAX(AA679,0),MAX(0,W671-IF($A680&gt;='1-Input'!$C$12,'1-Input'!$B$12,0))))*(1/(1-'P-Parametri'!$B$6*W680))),MAX(0,0*W671-(AA679-MIN(MAX(AA679,0),MAX(0,W671-IF($A680&gt;='1-Input'!$C$12,'1-Input'!$B$12,0)))))*(1/(1-'P-Parametri'!$B$6*W680))))</f>
        <v>20864.693437158159</v>
      </c>
      <c r="Y680" s="18">
        <f>IF($A680&gt;('1-Input'!$B$26-2),AA679,(AA679-MAX(0,W671-IF($A680&gt;='1-Input'!$C$12,'1-Input'!$B$12,0))+X680*(1-'P-Parametri'!$B$6*W680))*(1+'1-Input'!$B$27))</f>
        <v>0</v>
      </c>
      <c r="Z680" s="18">
        <f>IF($A680&gt;('1-Input'!$B$26-2),AB679,(AB679-X680)*(1+'5-Roberta'!$C$4))</f>
        <v>372544.20126110502</v>
      </c>
      <c r="AA680" s="18">
        <f>IF($A680&gt;('1-Input'!$B$26-2),Y680,Y680-'P-Parametri'!$B$8*(Z680+Y680)+MIN(MAX(Z680,0),'P-Parametri'!$B$8*(Z680+Y680)))</f>
        <v>0</v>
      </c>
      <c r="AB680" s="18">
        <f>IF($A680&gt;('1-Input'!$B$26-2),Z680,Z680-MIN(MAX(Z680,0),'P-Parametri'!$B$8*(Z680+Y680)))</f>
        <v>371799.11285858281</v>
      </c>
      <c r="AC680" s="18">
        <f>IF($A680&gt;('1-Input'!$B$26-2),AC679,AC679-X680*(1-W680))</f>
        <v>240243.97443543386</v>
      </c>
      <c r="AD680" s="11">
        <f>IF($A680&gt;('1-Input'!$B$26-2),0,IF(AI679&lt;=0,0,MAX(0,(AI679-AJ679)/AI679)))</f>
        <v>0.33578004212427459</v>
      </c>
      <c r="AE680" s="18">
        <f>IF($A680&gt;('1-Input'!$B$26-2),0,(MAX(0,AD671-IF($A680&gt;='1-Input'!$C$12,'1-Input'!$B$12,0))-MIN(MAX(AH679,0),MAX(0,AD671-IF($A680&gt;='1-Input'!$C$12,'1-Input'!$B$12,0))))*(1/(1-'P-Parametri'!$B$6*AD680))+MIN(MAX(0,AI679-(MAX(0,AD671-IF($A680&gt;='1-Input'!$C$12,'1-Input'!$B$12,0))-MIN(MAX(AH679,0),MAX(0,AD671-IF($A680&gt;='1-Input'!$C$12,'1-Input'!$B$12,0))))*(1/(1-'P-Parametri'!$B$6*AD680))),MAX(0,0*AD671-(AH679-MIN(MAX(AH679,0),MAX(0,AD671-IF($A680&gt;='1-Input'!$C$12,'1-Input'!$B$12,0)))))*(1/(1-'P-Parametri'!$B$6*AD680))))</f>
        <v>20865.353120672771</v>
      </c>
      <c r="AF680" s="18">
        <f>IF($A680&gt;('1-Input'!$B$26-2),AH679,(AH679-MAX(0,AD671-IF($A680&gt;='1-Input'!$C$12,'1-Input'!$B$12,0))+AE680*(1-'P-Parametri'!$B$6*AD680))*(1+'1-Input'!$B$27))</f>
        <v>3.6248820833861826E-12</v>
      </c>
      <c r="AG680" s="18">
        <f>IF($A680&gt;('1-Input'!$B$26-2),AI679,(AI679-AE680)*(1+'5-Roberta'!$C$4))</f>
        <v>372539.11425504868</v>
      </c>
      <c r="AH680" s="18">
        <f>IF($A680&gt;('1-Input'!$B$26-2),AF680,AF680-'P-Parametri'!$B$8*(AG680+AF680)+MIN(MAX(AG680,0),'P-Parametri'!$B$8*(AG680+AF680)))</f>
        <v>3.637978807091713E-12</v>
      </c>
      <c r="AI680" s="18">
        <f>IF($A680&gt;('1-Input'!$B$26-2),AG680,AG680-MIN(MAX(AG680,0),'P-Parametri'!$B$8*(AG680+AF680)))</f>
        <v>371794.03602653858</v>
      </c>
      <c r="AJ680" s="18">
        <f>IF($A680&gt;('1-Input'!$B$26-2),AJ679,AJ679-AE680*(1-AD680))</f>
        <v>240240.69395878492</v>
      </c>
      <c r="AK680" s="11">
        <f>IF($A680&gt;('1-Input'!$B$26-2),0,IF(AP679&lt;=0,0,MAX(0,(AP679-AQ679)/AP679)))</f>
        <v>0.3357800421242747</v>
      </c>
      <c r="AL680" s="18">
        <f>IF($A680&gt;('1-Input'!$B$26-2),0,(MAX(0,AK671-IF($A680&gt;='1-Input'!$C$12,'1-Input'!$B$12,0))-MIN(MAX(AO679,0),MAX(0,AK671-IF($A680&gt;='1-Input'!$C$12,'1-Input'!$B$12,0))))*(1/(1-'P-Parametri'!$B$6*AK680))+MIN(MAX(0,AP679-(MAX(0,AK671-IF($A680&gt;='1-Input'!$C$12,'1-Input'!$B$12,0))-MIN(MAX(AO679,0),MAX(0,AK671-IF($A680&gt;='1-Input'!$C$12,'1-Input'!$B$12,0))))*(1/(1-'P-Parametri'!$B$6*AK680))),MAX(0,0*AK671-(AO679-MIN(MAX(AO679,0),MAX(0,AK671-IF($A680&gt;='1-Input'!$C$12,'1-Input'!$B$12,0)))))*(1/(1-'P-Parametri'!$B$6*AK680))))</f>
        <v>20865.239570819998</v>
      </c>
      <c r="AM680" s="18">
        <f>IF($A680&gt;('1-Input'!$B$26-2),AO679,(AO679-MAX(0,AK671-IF($A680&gt;='1-Input'!$C$12,'1-Input'!$B$12,0))+AL680*(1-'P-Parametri'!$B$6*AK680))*(1+'1-Input'!$B$27))</f>
        <v>0</v>
      </c>
      <c r="AN680" s="18">
        <f>IF($A680&gt;('1-Input'!$B$26-2),AP679,(AP679-AL680)*(1+'5-Roberta'!$C$4))</f>
        <v>372539.98987006111</v>
      </c>
      <c r="AO680" s="18">
        <f>IF($A680&gt;('1-Input'!$B$26-2),AM680,AM680-'P-Parametri'!$B$8*(AN680+AM680)+MIN(MAX(AN680,0),'P-Parametri'!$B$8*(AN680+AM680)))</f>
        <v>0</v>
      </c>
      <c r="AP680" s="18">
        <f>IF($A680&gt;('1-Input'!$B$26-2),AN680,AN680-MIN(MAX(AN680,0),'P-Parametri'!$B$8*(AN680+AM680)))</f>
        <v>371794.90989032097</v>
      </c>
      <c r="AQ680" s="18">
        <f>IF($A680&gt;('1-Input'!$B$26-2),AQ679,AQ679-AL680*(1-AK680))</f>
        <v>240241.25861991759</v>
      </c>
    </row>
    <row r="681" spans="1:43">
      <c r="A681" s="10">
        <f>8</f>
        <v>8</v>
      </c>
      <c r="B681" s="11">
        <f>IF($A681&gt;('1-Input'!$B$26-2),0,IF(G680&lt;=0,0,MAX(0,(G680-H680)/G680)))</f>
        <v>0.35383392233425559</v>
      </c>
      <c r="C681" s="18">
        <f>IF($A681&gt;('1-Input'!$B$26-2),0,(MAX(0,B671-IF($A681&gt;='1-Input'!$C$12,'1-Input'!$B$12,0))-MIN(MAX(F680,0),MAX(0,B671-IF($A681&gt;='1-Input'!$C$12,'1-Input'!$B$12,0))))*(1/(1-'P-Parametri'!$B$6*B681))+MIN(MAX(0,G680-(MAX(0,B671-IF($A681&gt;='1-Input'!$C$12,'1-Input'!$B$12,0))-MIN(MAX(F680,0),MAX(0,B671-IF($A681&gt;='1-Input'!$C$12,'1-Input'!$B$12,0))))*(1/(1-'P-Parametri'!$B$6*B681))),MAX(0,0*B671-(F680-MIN(MAX(F680,0),MAX(0,B671-IF($A681&gt;='1-Input'!$C$12,'1-Input'!$B$12,0)))))*(1/(1-'P-Parametri'!$B$6*B681))))</f>
        <v>18371.141950272082</v>
      </c>
      <c r="D681" s="18">
        <f>IF($A681&gt;('1-Input'!$B$26-2),F680,(F680-MAX(0,B671-IF($A681&gt;='1-Input'!$C$12,'1-Input'!$B$12,0))+C681*(1-'P-Parametri'!$B$6*B681))*(1+'1-Input'!$B$27))</f>
        <v>0</v>
      </c>
      <c r="E681" s="18">
        <f>IF($A681&gt;('1-Input'!$B$26-2),G680,(G680-C681)*(1+'5-Roberta'!$C$4))</f>
        <v>384545.47537338338</v>
      </c>
      <c r="F681" s="18">
        <f>IF($A681&gt;('1-Input'!$B$26-2),D681,D681-'P-Parametri'!$B$8*(E681+D681)+MIN(MAX(E681,0),'P-Parametri'!$B$8*(E681+D681)))</f>
        <v>0</v>
      </c>
      <c r="G681" s="18">
        <f>IF($A681&gt;('1-Input'!$B$26-2),E681,E681-MIN(MAX(E681,0),'P-Parametri'!$B$8*(E681+D681)))</f>
        <v>383776.38442263659</v>
      </c>
      <c r="H681" s="18">
        <f>IF($A681&gt;('1-Input'!$B$26-2),H680,H680-C681*(1-B681))</f>
        <v>241242.95291857113</v>
      </c>
      <c r="I681" s="11">
        <f>IF($A681&gt;('1-Input'!$B$26-2),0,IF(N680&lt;=0,0,MAX(0,(N680-O680)/N680)))</f>
        <v>0.35383392233425581</v>
      </c>
      <c r="J681" s="18">
        <f>IF($A681&gt;('1-Input'!$B$26-2),0,(MAX(0,I671-IF($A681&gt;='1-Input'!$C$12,'1-Input'!$B$12,0))-MIN(MAX(M680,0),MAX(0,I671-IF($A681&gt;='1-Input'!$C$12,'1-Input'!$B$12,0))))*(1/(1-'P-Parametri'!$B$6*I681))+MIN(MAX(0,N680-(MAX(0,I671-IF($A681&gt;='1-Input'!$C$12,'1-Input'!$B$12,0))-MIN(MAX(M680,0),MAX(0,I671-IF($A681&gt;='1-Input'!$C$12,'1-Input'!$B$12,0))))*(1/(1-'P-Parametri'!$B$6*I681))),MAX(0,0*I671-(M680-MIN(MAX(M680,0),MAX(0,I671-IF($A681&gt;='1-Input'!$C$12,'1-Input'!$B$12,0)))))*(1/(1-'P-Parametri'!$B$6*I681))))</f>
        <v>24172.555197726433</v>
      </c>
      <c r="K681" s="18">
        <f>IF($A681&gt;('1-Input'!$B$26-2),M680,(M680-MAX(0,I671-IF($A681&gt;='1-Input'!$C$12,'1-Input'!$B$12,0))+J681*(1-'P-Parametri'!$B$6*I681))*(1+'1-Input'!$B$27))</f>
        <v>-3.6248820833861826E-12</v>
      </c>
      <c r="L681" s="18">
        <f>IF($A681&gt;('1-Input'!$B$26-2),N680,(N680-J681)*(1+'5-Roberta'!$C$4))</f>
        <v>332820.25675716711</v>
      </c>
      <c r="M681" s="18">
        <f>IF($A681&gt;('1-Input'!$B$26-2),K681,K681-'P-Parametri'!$B$8*(L681+K681)+MIN(MAX(L681,0),'P-Parametri'!$B$8*(L681+K681)))</f>
        <v>-3.637978807091713E-12</v>
      </c>
      <c r="N681" s="18">
        <f>IF($A681&gt;('1-Input'!$B$26-2),L681,L681-MIN(MAX(L681,0),'P-Parametri'!$B$8*(L681+K681)))</f>
        <v>332154.61624365277</v>
      </c>
      <c r="O681" s="18">
        <f>IF($A681&gt;('1-Input'!$B$26-2),O680,O680-J681*(1-I681))</f>
        <v>208793.35910338306</v>
      </c>
      <c r="P681" s="11">
        <f>IF($A681&gt;('1-Input'!$B$26-2),0,IF(U680&lt;=0,0,MAX(0,(U680-V680)/U680)))</f>
        <v>0.35383392233425576</v>
      </c>
      <c r="Q681" s="18">
        <f>IF($A681&gt;('1-Input'!$B$26-2),0,(MAX(0,P671-IF($A681&gt;='1-Input'!$C$12,'1-Input'!$B$12,0))-MIN(MAX(T680,0),MAX(0,P671-IF($A681&gt;='1-Input'!$C$12,'1-Input'!$B$12,0))))*(1/(1-'P-Parametri'!$B$6*P681))+MIN(MAX(0,U680-(MAX(0,P671-IF($A681&gt;='1-Input'!$C$12,'1-Input'!$B$12,0))-MIN(MAX(T680,0),MAX(0,P671-IF($A681&gt;='1-Input'!$C$12,'1-Input'!$B$12,0))))*(1/(1-'P-Parametri'!$B$6*P681))),MAX(0,0*P671-(T680-MIN(MAX(T680,0),MAX(0,P671-IF($A681&gt;='1-Input'!$C$12,'1-Input'!$B$12,0)))))*(1/(1-'P-Parametri'!$B$6*P681))))</f>
        <v>21249.239651638745</v>
      </c>
      <c r="R681" s="18">
        <f>IF($A681&gt;('1-Input'!$B$26-2),T680,(T680-MAX(0,P671-IF($A681&gt;='1-Input'!$C$12,'1-Input'!$B$12,0))+Q681*(1-'P-Parametri'!$B$6*P681))*(1+'1-Input'!$B$27))</f>
        <v>-3.6248820833861826E-12</v>
      </c>
      <c r="S681" s="18">
        <f>IF($A681&gt;('1-Input'!$B$26-2),U680,(U680-Q681)*(1+'5-Roberta'!$C$4))</f>
        <v>358884.4465081591</v>
      </c>
      <c r="T681" s="18">
        <f>IF($A681&gt;('1-Input'!$B$26-2),R681,R681-'P-Parametri'!$B$8*(S681+R681)+MIN(MAX(S681,0),'P-Parametri'!$B$8*(S681+R681)))</f>
        <v>-3.637978807091713E-12</v>
      </c>
      <c r="U681" s="18">
        <f>IF($A681&gt;('1-Input'!$B$26-2),S681,S681-MIN(MAX(S681,0),'P-Parametri'!$B$8*(S681+R681)))</f>
        <v>358166.67761514278</v>
      </c>
      <c r="V681" s="18">
        <f>IF($A681&gt;('1-Input'!$B$26-2),V680,V680-Q681*(1-P681))</f>
        <v>225144.61663632886</v>
      </c>
      <c r="W681" s="11">
        <f>IF($A681&gt;('1-Input'!$B$26-2),0,IF(AB680&lt;=0,0,MAX(0,(AB680-AC680)/AB680)))</f>
        <v>0.35383392233425565</v>
      </c>
      <c r="X681" s="18">
        <f>IF($A681&gt;('1-Input'!$B$26-2),0,(MAX(0,W671-IF($A681&gt;='1-Input'!$C$12,'1-Input'!$B$12,0))-MIN(MAX(AA680,0),MAX(0,W671-IF($A681&gt;='1-Input'!$C$12,'1-Input'!$B$12,0))))*(1/(1-'P-Parametri'!$B$6*W681))+MIN(MAX(0,AB680-(MAX(0,W671-IF($A681&gt;='1-Input'!$C$12,'1-Input'!$B$12,0))-MIN(MAX(AA680,0),MAX(0,W671-IF($A681&gt;='1-Input'!$C$12,'1-Input'!$B$12,0))))*(1/(1-'P-Parametri'!$B$6*W681))),MAX(0,0*W671-(AA680-MIN(MAX(AA680,0),MAX(0,W671-IF($A681&gt;='1-Input'!$C$12,'1-Input'!$B$12,0)))))*(1/(1-'P-Parametri'!$B$6*W681))))</f>
        <v>20972.555455572681</v>
      </c>
      <c r="Y681" s="18">
        <f>IF($A681&gt;('1-Input'!$B$26-2),AA680,(AA680-MAX(0,W671-IF($A681&gt;='1-Input'!$C$12,'1-Input'!$B$12,0))+X681*(1-'P-Parametri'!$B$6*W681))*(1+'1-Input'!$B$27))</f>
        <v>0</v>
      </c>
      <c r="Z681" s="18">
        <f>IF($A681&gt;('1-Input'!$B$26-2),AB680,(AB680-X681)*(1+'5-Roberta'!$C$4))</f>
        <v>361351.35412510048</v>
      </c>
      <c r="AA681" s="18">
        <f>IF($A681&gt;('1-Input'!$B$26-2),Y681,Y681-'P-Parametri'!$B$8*(Z681+Y681)+MIN(MAX(Z681,0),'P-Parametri'!$B$8*(Z681+Y681)))</f>
        <v>0</v>
      </c>
      <c r="AB681" s="18">
        <f>IF($A681&gt;('1-Input'!$B$26-2),Z681,Z681-MIN(MAX(Z681,0),'P-Parametri'!$B$8*(Z681+Y681)))</f>
        <v>360628.65141685028</v>
      </c>
      <c r="AC681" s="18">
        <f>IF($A681&gt;('1-Input'!$B$26-2),AC680,AC680-X681*(1-W681))</f>
        <v>226692.22053807916</v>
      </c>
      <c r="AD681" s="11">
        <f>IF($A681&gt;('1-Input'!$B$26-2),0,IF(AI680&lt;=0,0,MAX(0,(AI680-AJ680)/AI680)))</f>
        <v>0.35383392233425554</v>
      </c>
      <c r="AE681" s="18">
        <f>IF($A681&gt;('1-Input'!$B$26-2),0,(MAX(0,AD671-IF($A681&gt;='1-Input'!$C$12,'1-Input'!$B$12,0))-MIN(MAX(AH680,0),MAX(0,AD671-IF($A681&gt;='1-Input'!$C$12,'1-Input'!$B$12,0))))*(1/(1-'P-Parametri'!$B$6*AD681))+MIN(MAX(0,AI680-(MAX(0,AD671-IF($A681&gt;='1-Input'!$C$12,'1-Input'!$B$12,0))-MIN(MAX(AH680,0),MAX(0,AD671-IF($A681&gt;='1-Input'!$C$12,'1-Input'!$B$12,0))))*(1/(1-'P-Parametri'!$B$6*AD681))),MAX(0,0*AD671-(AH680-MIN(MAX(AH680,0),MAX(0,AD671-IF($A681&gt;='1-Input'!$C$12,'1-Input'!$B$12,0)))))*(1/(1-'P-Parametri'!$B$6*AD681))))</f>
        <v>20973.218549384001</v>
      </c>
      <c r="AF681" s="18">
        <f>IF($A681&gt;('1-Input'!$B$26-2),AH680,(AH680-MAX(0,AD671-IF($A681&gt;='1-Input'!$C$12,'1-Input'!$B$12,0))+AE681*(1-'P-Parametri'!$B$6*AD681))*(1+'1-Input'!$B$27))</f>
        <v>0</v>
      </c>
      <c r="AG681" s="18">
        <f>IF($A681&gt;('1-Input'!$B$26-2),AI680,(AI680-AE681)*(1+'5-Roberta'!$C$4))</f>
        <v>361345.44200146926</v>
      </c>
      <c r="AH681" s="18">
        <f>IF($A681&gt;('1-Input'!$B$26-2),AF681,AF681-'P-Parametri'!$B$8*(AG681+AF681)+MIN(MAX(AG681,0),'P-Parametri'!$B$8*(AG681+AF681)))</f>
        <v>0</v>
      </c>
      <c r="AI681" s="18">
        <f>IF($A681&gt;('1-Input'!$B$26-2),AG681,AG681-MIN(MAX(AG681,0),'P-Parametri'!$B$8*(AG681+AF681)))</f>
        <v>360622.75111746631</v>
      </c>
      <c r="AJ681" s="18">
        <f>IF($A681&gt;('1-Input'!$B$26-2),AJ680,AJ680-AE681*(1-AD681))</f>
        <v>226688.51159270303</v>
      </c>
      <c r="AK681" s="11">
        <f>IF($A681&gt;('1-Input'!$B$26-2),0,IF(AP680&lt;=0,0,MAX(0,(AP680-AQ680)/AP680)))</f>
        <v>0.35383392233425559</v>
      </c>
      <c r="AL681" s="18">
        <f>IF($A681&gt;('1-Input'!$B$26-2),0,(MAX(0,AK671-IF($A681&gt;='1-Input'!$C$12,'1-Input'!$B$12,0))-MIN(MAX(AO680,0),MAX(0,AK671-IF($A681&gt;='1-Input'!$C$12,'1-Input'!$B$12,0))))*(1/(1-'P-Parametri'!$B$6*AK681))+MIN(MAX(0,AP680-(MAX(0,AK671-IF($A681&gt;='1-Input'!$C$12,'1-Input'!$B$12,0))-MIN(MAX(AO680,0),MAX(0,AK671-IF($A681&gt;='1-Input'!$C$12,'1-Input'!$B$12,0))))*(1/(1-'P-Parametri'!$B$6*AK681))),MAX(0,0*AK671-(AO680-MIN(MAX(AO680,0),MAX(0,AK671-IF($A681&gt;='1-Input'!$C$12,'1-Input'!$B$12,0)))))*(1/(1-'P-Parametri'!$B$6*AK681))))</f>
        <v>20973.104412524455</v>
      </c>
      <c r="AM681" s="18">
        <f>IF($A681&gt;('1-Input'!$B$26-2),AO680,(AO680-MAX(0,AK671-IF($A681&gt;='1-Input'!$C$12,'1-Input'!$B$12,0))+AL681*(1-'P-Parametri'!$B$6*AK681))*(1+'1-Input'!$B$27))</f>
        <v>0</v>
      </c>
      <c r="AN681" s="18">
        <f>IF($A681&gt;('1-Input'!$B$26-2),AP680,(AP680-AL681)*(1+'5-Roberta'!$C$4))</f>
        <v>361346.45964213042</v>
      </c>
      <c r="AO681" s="18">
        <f>IF($A681&gt;('1-Input'!$B$26-2),AM681,AM681-'P-Parametri'!$B$8*(AN681+AM681)+MIN(MAX(AN681,0),'P-Parametri'!$B$8*(AN681+AM681)))</f>
        <v>0</v>
      </c>
      <c r="AP681" s="18">
        <f>IF($A681&gt;('1-Input'!$B$26-2),AN681,AN681-MIN(MAX(AN681,0),'P-Parametri'!$B$8*(AN681+AM681)))</f>
        <v>360623.76672284614</v>
      </c>
      <c r="AQ681" s="18">
        <f>IF($A681&gt;('1-Input'!$B$26-2),AQ680,AQ680-AL681*(1-AK681))</f>
        <v>226689.15000520254</v>
      </c>
    </row>
    <row r="682" spans="1:43">
      <c r="A682" s="10">
        <f>9</f>
        <v>9</v>
      </c>
      <c r="B682" s="11">
        <f>IF($A682&gt;('1-Input'!$B$26-2),0,IF(G681&lt;=0,0,MAX(0,(G681-H681)/G681)))</f>
        <v>0.37139708770381102</v>
      </c>
      <c r="C682" s="18">
        <f>IF($A682&gt;('1-Input'!$B$26-2),0,(MAX(0,B671-IF($A682&gt;='1-Input'!$C$12,'1-Input'!$B$12,0))-MIN(MAX(F681,0),MAX(0,B671-IF($A682&gt;='1-Input'!$C$12,'1-Input'!$B$12,0))))*(1/(1-'P-Parametri'!$B$6*B682))+MIN(MAX(0,G681-(MAX(0,B671-IF($A682&gt;='1-Input'!$C$12,'1-Input'!$B$12,0))-MIN(MAX(F681,0),MAX(0,B671-IF($A682&gt;='1-Input'!$C$12,'1-Input'!$B$12,0))))*(1/(1-'P-Parametri'!$B$6*B682))),MAX(0,0*B671-(F681-MIN(MAX(F681,0),MAX(0,B671-IF($A682&gt;='1-Input'!$C$12,'1-Input'!$B$12,0)))))*(1/(1-'P-Parametri'!$B$6*B682))))</f>
        <v>18463.998926034648</v>
      </c>
      <c r="D682" s="18">
        <f>IF($A682&gt;('1-Input'!$B$26-2),F681,(F681-MAX(0,B671-IF($A682&gt;='1-Input'!$C$12,'1-Input'!$B$12,0))+C682*(1-'P-Parametri'!$B$6*B682))*(1+'1-Input'!$B$27))</f>
        <v>0</v>
      </c>
      <c r="E682" s="18">
        <f>IF($A682&gt;('1-Input'!$B$26-2),G681,(G681-C682)*(1+'5-Roberta'!$C$4))</f>
        <v>376271.75706149999</v>
      </c>
      <c r="F682" s="18">
        <f>IF($A682&gt;('1-Input'!$B$26-2),D682,D682-'P-Parametri'!$B$8*(E682+D682)+MIN(MAX(E682,0),'P-Parametri'!$B$8*(E682+D682)))</f>
        <v>0</v>
      </c>
      <c r="G682" s="18">
        <f>IF($A682&gt;('1-Input'!$B$26-2),E682,E682-MIN(MAX(E682,0),'P-Parametri'!$B$8*(E682+D682)))</f>
        <v>375519.21354737697</v>
      </c>
      <c r="H682" s="18">
        <f>IF($A682&gt;('1-Input'!$B$26-2),H681,H681-C682*(1-B682))</f>
        <v>229636.42942103205</v>
      </c>
      <c r="I682" s="11">
        <f>IF($A682&gt;('1-Input'!$B$26-2),0,IF(N681&lt;=0,0,MAX(0,(N681-O681)/N681)))</f>
        <v>0.37139708770381136</v>
      </c>
      <c r="J682" s="18">
        <f>IF($A682&gt;('1-Input'!$B$26-2),0,(MAX(0,I671-IF($A682&gt;='1-Input'!$C$12,'1-Input'!$B$12,0))-MIN(MAX(M681,0),MAX(0,I671-IF($A682&gt;='1-Input'!$C$12,'1-Input'!$B$12,0))))*(1/(1-'P-Parametri'!$B$6*I682))+MIN(MAX(0,N681-(MAX(0,I671-IF($A682&gt;='1-Input'!$C$12,'1-Input'!$B$12,0))-MIN(MAX(M681,0),MAX(0,I671-IF($A682&gt;='1-Input'!$C$12,'1-Input'!$B$12,0))))*(1/(1-'P-Parametri'!$B$6*I682))),MAX(0,0*I671-(M681-MIN(MAX(M681,0),MAX(0,I671-IF($A682&gt;='1-Input'!$C$12,'1-Input'!$B$12,0)))))*(1/(1-'P-Parametri'!$B$6*I682))))</f>
        <v>24294.735428992972</v>
      </c>
      <c r="K682" s="18">
        <f>IF($A682&gt;('1-Input'!$B$26-2),M681,(M681-MAX(0,I671-IF($A682&gt;='1-Input'!$C$12,'1-Input'!$B$12,0))+J682*(1-'P-Parametri'!$B$6*I682))*(1+'1-Input'!$B$27))</f>
        <v>0</v>
      </c>
      <c r="L682" s="18">
        <f>IF($A682&gt;('1-Input'!$B$26-2),N681,(N681-J682)*(1+'5-Roberta'!$C$4))</f>
        <v>317095.67723909963</v>
      </c>
      <c r="M682" s="18">
        <f>IF($A682&gt;('1-Input'!$B$26-2),K682,K682-'P-Parametri'!$B$8*(L682+K682)+MIN(MAX(L682,0),'P-Parametri'!$B$8*(L682+K682)))</f>
        <v>0</v>
      </c>
      <c r="N682" s="18">
        <f>IF($A682&gt;('1-Input'!$B$26-2),L682,L682-MIN(MAX(L682,0),'P-Parametri'!$B$8*(L682+K682)))</f>
        <v>316461.48588462145</v>
      </c>
      <c r="O682" s="18">
        <f>IF($A682&gt;('1-Input'!$B$26-2),O681,O681-J682*(1-I682))</f>
        <v>193521.61765925269</v>
      </c>
      <c r="P682" s="11">
        <f>IF($A682&gt;('1-Input'!$B$26-2),0,IF(U681&lt;=0,0,MAX(0,(U681-V681)/U681)))</f>
        <v>0.37139708770381136</v>
      </c>
      <c r="Q682" s="18">
        <f>IF($A682&gt;('1-Input'!$B$26-2),0,(MAX(0,P671-IF($A682&gt;='1-Input'!$C$12,'1-Input'!$B$12,0))-MIN(MAX(T681,0),MAX(0,P671-IF($A682&gt;='1-Input'!$C$12,'1-Input'!$B$12,0))))*(1/(1-'P-Parametri'!$B$6*P682))+MIN(MAX(0,U681-(MAX(0,P671-IF($A682&gt;='1-Input'!$C$12,'1-Input'!$B$12,0))-MIN(MAX(T681,0),MAX(0,P671-IF($A682&gt;='1-Input'!$C$12,'1-Input'!$B$12,0))))*(1/(1-'P-Parametri'!$B$6*P682))),MAX(0,0*P671-(T681-MIN(MAX(T681,0),MAX(0,P671-IF($A682&gt;='1-Input'!$C$12,'1-Input'!$B$12,0)))))*(1/(1-'P-Parametri'!$B$6*P682))))</f>
        <v>21356.643978307515</v>
      </c>
      <c r="R682" s="18">
        <f>IF($A682&gt;('1-Input'!$B$26-2),T681,(T681-MAX(0,P671-IF($A682&gt;='1-Input'!$C$12,'1-Input'!$B$12,0))+Q682*(1-'P-Parametri'!$B$6*P682))*(1+'1-Input'!$B$27))</f>
        <v>0</v>
      </c>
      <c r="S682" s="18">
        <f>IF($A682&gt;('1-Input'!$B$26-2),U681,(U681-Q682)*(1+'5-Roberta'!$C$4))</f>
        <v>346914.33464594034</v>
      </c>
      <c r="T682" s="18">
        <f>IF($A682&gt;('1-Input'!$B$26-2),R682,R682-'P-Parametri'!$B$8*(S682+R682)+MIN(MAX(S682,0),'P-Parametri'!$B$8*(S682+R682)))</f>
        <v>0</v>
      </c>
      <c r="U682" s="18">
        <f>IF($A682&gt;('1-Input'!$B$26-2),S682,S682-MIN(MAX(S682,0),'P-Parametri'!$B$8*(S682+R682)))</f>
        <v>346220.50597664848</v>
      </c>
      <c r="V682" s="18">
        <f>IF($A682&gt;('1-Input'!$B$26-2),V681,V681-Q682*(1-P682))</f>
        <v>211719.76803469189</v>
      </c>
      <c r="W682" s="11">
        <f>IF($A682&gt;('1-Input'!$B$26-2),0,IF(AB681&lt;=0,0,MAX(0,(AB681-AC681)/AB681)))</f>
        <v>0.37139708770381125</v>
      </c>
      <c r="X682" s="18">
        <f>IF($A682&gt;('1-Input'!$B$26-2),0,(MAX(0,W671-IF($A682&gt;='1-Input'!$C$12,'1-Input'!$B$12,0))-MIN(MAX(AA681,0),MAX(0,W671-IF($A682&gt;='1-Input'!$C$12,'1-Input'!$B$12,0))))*(1/(1-'P-Parametri'!$B$6*W682))+MIN(MAX(0,AB681-(MAX(0,W671-IF($A682&gt;='1-Input'!$C$12,'1-Input'!$B$12,0))-MIN(MAX(AA681,0),MAX(0,W671-IF($A682&gt;='1-Input'!$C$12,'1-Input'!$B$12,0))))*(1/(1-'P-Parametri'!$B$6*W682))),MAX(0,0*W671-(AA681-MIN(MAX(AA681,0),MAX(0,W671-IF($A682&gt;='1-Input'!$C$12,'1-Input'!$B$12,0)))))*(1/(1-'P-Parametri'!$B$6*W682))))</f>
        <v>21078.561281388444</v>
      </c>
      <c r="Y682" s="18">
        <f>IF($A682&gt;('1-Input'!$B$26-2),AA681,(AA681-MAX(0,W671-IF($A682&gt;='1-Input'!$C$12,'1-Input'!$B$12,0))+X682*(1-'P-Parametri'!$B$6*W682))*(1+'1-Input'!$B$27))</f>
        <v>0</v>
      </c>
      <c r="Z682" s="18">
        <f>IF($A682&gt;('1-Input'!$B$26-2),AB681,(AB681-X682)*(1+'5-Roberta'!$C$4))</f>
        <v>349736.59283952566</v>
      </c>
      <c r="AA682" s="18">
        <f>IF($A682&gt;('1-Input'!$B$26-2),Y682,Y682-'P-Parametri'!$B$8*(Z682+Y682)+MIN(MAX(Z682,0),'P-Parametri'!$B$8*(Z682+Y682)))</f>
        <v>0</v>
      </c>
      <c r="AB682" s="18">
        <f>IF($A682&gt;('1-Input'!$B$26-2),Z682,Z682-MIN(MAX(Z682,0),'P-Parametri'!$B$8*(Z682+Y682)))</f>
        <v>349037.1196538466</v>
      </c>
      <c r="AC682" s="18">
        <f>IF($A682&gt;('1-Input'!$B$26-2),AC681,AC681-X682*(1-W682))</f>
        <v>213442.1755295847</v>
      </c>
      <c r="AD682" s="11">
        <f>IF($A682&gt;('1-Input'!$B$26-2),0,IF(AI681&lt;=0,0,MAX(0,(AI681-AJ681)/AI681)))</f>
        <v>0.37139708770381114</v>
      </c>
      <c r="AE682" s="18">
        <f>IF($A682&gt;('1-Input'!$B$26-2),0,(MAX(0,AD671-IF($A682&gt;='1-Input'!$C$12,'1-Input'!$B$12,0))-MIN(MAX(AH681,0),MAX(0,AD671-IF($A682&gt;='1-Input'!$C$12,'1-Input'!$B$12,0))))*(1/(1-'P-Parametri'!$B$6*AD682))+MIN(MAX(0,AI681-(MAX(0,AD671-IF($A682&gt;='1-Input'!$C$12,'1-Input'!$B$12,0))-MIN(MAX(AH681,0),MAX(0,AD671-IF($A682&gt;='1-Input'!$C$12,'1-Input'!$B$12,0))))*(1/(1-'P-Parametri'!$B$6*AD682))),MAX(0,0*AD671-(AH681-MIN(MAX(AH681,0),MAX(0,AD671-IF($A682&gt;='1-Input'!$C$12,'1-Input'!$B$12,0)))))*(1/(1-'P-Parametri'!$B$6*AD682))))</f>
        <v>21079.227726808836</v>
      </c>
      <c r="AF682" s="18">
        <f>IF($A682&gt;('1-Input'!$B$26-2),AH681,(AH681-MAX(0,AD671-IF($A682&gt;='1-Input'!$C$12,'1-Input'!$B$12,0))+AE682*(1-'P-Parametri'!$B$6*AD682))*(1+'1-Input'!$B$27))</f>
        <v>0</v>
      </c>
      <c r="AG682" s="18">
        <f>IF($A682&gt;('1-Input'!$B$26-2),AI681,(AI681-AE682)*(1+'5-Roberta'!$C$4))</f>
        <v>349729.82909237721</v>
      </c>
      <c r="AH682" s="18">
        <f>IF($A682&gt;('1-Input'!$B$26-2),AF682,AF682-'P-Parametri'!$B$8*(AG682+AF682)+MIN(MAX(AG682,0),'P-Parametri'!$B$8*(AG682+AF682)))</f>
        <v>0</v>
      </c>
      <c r="AI682" s="18">
        <f>IF($A682&gt;('1-Input'!$B$26-2),AG682,AG682-MIN(MAX(AG682,0),'P-Parametri'!$B$8*(AG682+AF682)))</f>
        <v>349030.36943419249</v>
      </c>
      <c r="AJ682" s="18">
        <f>IF($A682&gt;('1-Input'!$B$26-2),AJ681,AJ681-AE682*(1-AD682))</f>
        <v>213438.04765467643</v>
      </c>
      <c r="AK682" s="11">
        <f>IF($A682&gt;('1-Input'!$B$26-2),0,IF(AP681&lt;=0,0,MAX(0,(AP681-AQ681)/AP681)))</f>
        <v>0.37139708770381108</v>
      </c>
      <c r="AL682" s="18">
        <f>IF($A682&gt;('1-Input'!$B$26-2),0,(MAX(0,AK671-IF($A682&gt;='1-Input'!$C$12,'1-Input'!$B$12,0))-MIN(MAX(AO681,0),MAX(0,AK671-IF($A682&gt;='1-Input'!$C$12,'1-Input'!$B$12,0))))*(1/(1-'P-Parametri'!$B$6*AK682))+MIN(MAX(0,AP681-(MAX(0,AK671-IF($A682&gt;='1-Input'!$C$12,'1-Input'!$B$12,0))-MIN(MAX(AO681,0),MAX(0,AK671-IF($A682&gt;='1-Input'!$C$12,'1-Input'!$B$12,0))))*(1/(1-'P-Parametri'!$B$6*AK682))),MAX(0,0*AK671-(AO681-MIN(MAX(AO681,0),MAX(0,AK671-IF($A682&gt;='1-Input'!$C$12,'1-Input'!$B$12,0)))))*(1/(1-'P-Parametri'!$B$6*AK682))))</f>
        <v>21079.113013044291</v>
      </c>
      <c r="AM682" s="18">
        <f>IF($A682&gt;('1-Input'!$B$26-2),AO681,(AO681-MAX(0,AK671-IF($A682&gt;='1-Input'!$C$12,'1-Input'!$B$12,0))+AL682*(1-'P-Parametri'!$B$6*AK682))*(1+'1-Input'!$B$27))</f>
        <v>0</v>
      </c>
      <c r="AN682" s="18">
        <f>IF($A682&gt;('1-Input'!$B$26-2),AP681,(AP681-AL682)*(1+'5-Roberta'!$C$4))</f>
        <v>349730.99332109588</v>
      </c>
      <c r="AO682" s="18">
        <f>IF($A682&gt;('1-Input'!$B$26-2),AM682,AM682-'P-Parametri'!$B$8*(AN682+AM682)+MIN(MAX(AN682,0),'P-Parametri'!$B$8*(AN682+AM682)))</f>
        <v>0</v>
      </c>
      <c r="AP682" s="18">
        <f>IF($A682&gt;('1-Input'!$B$26-2),AN682,AN682-MIN(MAX(AN682,0),'P-Parametri'!$B$8*(AN682+AM682)))</f>
        <v>349031.53133445367</v>
      </c>
      <c r="AQ682" s="18">
        <f>IF($A682&gt;('1-Input'!$B$26-2),AQ681,AQ681-AL682*(1-AK682))</f>
        <v>213438.7581765824</v>
      </c>
    </row>
    <row r="683" spans="1:43">
      <c r="A683" s="10">
        <f>10</f>
        <v>10</v>
      </c>
      <c r="B683" s="11">
        <f>IF($A683&gt;('1-Input'!$B$26-2),0,IF(G682&lt;=0,0,MAX(0,(G682-H682)/G682)))</f>
        <v>0.38848287614433819</v>
      </c>
      <c r="C683" s="18">
        <f>IF($A683&gt;('1-Input'!$B$26-2),0,(MAX(0,B671-IF($A683&gt;='1-Input'!$C$12,'1-Input'!$B$12,0))-MIN(MAX(F682,0),MAX(0,B671-IF($A683&gt;='1-Input'!$C$12,'1-Input'!$B$12,0))))*(1/(1-'P-Parametri'!$B$6*B683))+MIN(MAX(0,G682-(MAX(0,B671-IF($A683&gt;='1-Input'!$C$12,'1-Input'!$B$12,0))-MIN(MAX(F682,0),MAX(0,B671-IF($A683&gt;='1-Input'!$C$12,'1-Input'!$B$12,0))))*(1/(1-'P-Parametri'!$B$6*B683))),MAX(0,0*B671-(F682-MIN(MAX(F682,0),MAX(0,B671-IF($A683&gt;='1-Input'!$C$12,'1-Input'!$B$12,0)))))*(1/(1-'P-Parametri'!$B$6*B683))))</f>
        <v>18555.237213932091</v>
      </c>
      <c r="D683" s="18">
        <f>IF($A683&gt;('1-Input'!$B$26-2),F682,(F682-MAX(0,B671-IF($A683&gt;='1-Input'!$C$12,'1-Input'!$B$12,0))+C683*(1-'P-Parametri'!$B$6*B683))*(1+'1-Input'!$B$27))</f>
        <v>0</v>
      </c>
      <c r="E683" s="18">
        <f>IF($A683&gt;('1-Input'!$B$26-2),G682,(G682-C683)*(1+'5-Roberta'!$C$4))</f>
        <v>367672.89562344825</v>
      </c>
      <c r="F683" s="18">
        <f>IF($A683&gt;('1-Input'!$B$26-2),D683,D683-'P-Parametri'!$B$8*(E683+D683)+MIN(MAX(E683,0),'P-Parametri'!$B$8*(E683+D683)))</f>
        <v>0</v>
      </c>
      <c r="G683" s="18">
        <f>IF($A683&gt;('1-Input'!$B$26-2),E683,E683-MIN(MAX(E683,0),'P-Parametri'!$B$8*(E683+D683)))</f>
        <v>366937.54983220133</v>
      </c>
      <c r="H683" s="18">
        <f>IF($A683&gt;('1-Input'!$B$26-2),H682,H682-C683*(1-B683))</f>
        <v>218289.58412750874</v>
      </c>
      <c r="I683" s="11">
        <f>IF($A683&gt;('1-Input'!$B$26-2),0,IF(N682&lt;=0,0,MAX(0,(N682-O682)/N682)))</f>
        <v>0.38848287614433863</v>
      </c>
      <c r="J683" s="18">
        <f>IF($A683&gt;('1-Input'!$B$26-2),0,(MAX(0,I671-IF($A683&gt;='1-Input'!$C$12,'1-Input'!$B$12,0))-MIN(MAX(M682,0),MAX(0,I671-IF($A683&gt;='1-Input'!$C$12,'1-Input'!$B$12,0))))*(1/(1-'P-Parametri'!$B$6*I683))+MIN(MAX(0,N682-(MAX(0,I671-IF($A683&gt;='1-Input'!$C$12,'1-Input'!$B$12,0))-MIN(MAX(M682,0),MAX(0,I671-IF($A683&gt;='1-Input'!$C$12,'1-Input'!$B$12,0))))*(1/(1-'P-Parametri'!$B$6*I683))),MAX(0,0*I671-(M682-MIN(MAX(M682,0),MAX(0,I671-IF($A683&gt;='1-Input'!$C$12,'1-Input'!$B$12,0)))))*(1/(1-'P-Parametri'!$B$6*I683))))</f>
        <v>24414.785807805387</v>
      </c>
      <c r="K683" s="18">
        <f>IF($A683&gt;('1-Input'!$B$26-2),M682,(M682-MAX(0,I671-IF($A683&gt;='1-Input'!$C$12,'1-Input'!$B$12,0))+J683*(1-'P-Parametri'!$B$6*I683))*(1+'1-Input'!$B$27))</f>
        <v>0</v>
      </c>
      <c r="L683" s="18">
        <f>IF($A683&gt;('1-Input'!$B$26-2),N682,(N682-J683)*(1+'5-Roberta'!$C$4))</f>
        <v>300808.10107912059</v>
      </c>
      <c r="M683" s="18">
        <f>IF($A683&gt;('1-Input'!$B$26-2),K683,K683-'P-Parametri'!$B$8*(L683+K683)+MIN(MAX(L683,0),'P-Parametri'!$B$8*(L683+K683)))</f>
        <v>0</v>
      </c>
      <c r="N683" s="18">
        <f>IF($A683&gt;('1-Input'!$B$26-2),L683,L683-MIN(MAX(L683,0),'P-Parametri'!$B$8*(L683+K683)))</f>
        <v>300206.48487696238</v>
      </c>
      <c r="O683" s="18">
        <f>IF($A683&gt;('1-Input'!$B$26-2),O682,O682-J683*(1-I683))</f>
        <v>178591.55806251153</v>
      </c>
      <c r="P683" s="11">
        <f>IF($A683&gt;('1-Input'!$B$26-2),0,IF(U682&lt;=0,0,MAX(0,(U682-V682)/U682)))</f>
        <v>0.38848287614433863</v>
      </c>
      <c r="Q683" s="18">
        <f>IF($A683&gt;('1-Input'!$B$26-2),0,(MAX(0,P671-IF($A683&gt;='1-Input'!$C$12,'1-Input'!$B$12,0))-MIN(MAX(T682,0),MAX(0,P671-IF($A683&gt;='1-Input'!$C$12,'1-Input'!$B$12,0))))*(1/(1-'P-Parametri'!$B$6*P683))+MIN(MAX(0,U682-(MAX(0,P671-IF($A683&gt;='1-Input'!$C$12,'1-Input'!$B$12,0))-MIN(MAX(T682,0),MAX(0,P671-IF($A683&gt;='1-Input'!$C$12,'1-Input'!$B$12,0))))*(1/(1-'P-Parametri'!$B$6*P683))),MAX(0,0*P671-(T682-MIN(MAX(T682,0),MAX(0,P671-IF($A683&gt;='1-Input'!$C$12,'1-Input'!$B$12,0)))))*(1/(1-'P-Parametri'!$B$6*P683))))</f>
        <v>21462.176026896854</v>
      </c>
      <c r="R683" s="18">
        <f>IF($A683&gt;('1-Input'!$B$26-2),T682,(T682-MAX(0,P671-IF($A683&gt;='1-Input'!$C$12,'1-Input'!$B$12,0))+Q683*(1-'P-Parametri'!$B$6*P683))*(1+'1-Input'!$B$27))</f>
        <v>0</v>
      </c>
      <c r="S683" s="18">
        <f>IF($A683&gt;('1-Input'!$B$26-2),U682,(U682-Q683)*(1+'5-Roberta'!$C$4))</f>
        <v>334501.07984824415</v>
      </c>
      <c r="T683" s="18">
        <f>IF($A683&gt;('1-Input'!$B$26-2),R683,R683-'P-Parametri'!$B$8*(S683+R683)+MIN(MAX(S683,0),'P-Parametri'!$B$8*(S683+R683)))</f>
        <v>0</v>
      </c>
      <c r="U683" s="18">
        <f>IF($A683&gt;('1-Input'!$B$26-2),S683,S683-MIN(MAX(S683,0),'P-Parametri'!$B$8*(S683+R683)))</f>
        <v>333832.07768854767</v>
      </c>
      <c r="V683" s="18">
        <f>IF($A683&gt;('1-Input'!$B$26-2),V682,V682-Q683*(1-P683))</f>
        <v>198595.27987904</v>
      </c>
      <c r="W683" s="11">
        <f>IF($A683&gt;('1-Input'!$B$26-2),0,IF(AB682&lt;=0,0,MAX(0,(AB682-AC682)/AB682)))</f>
        <v>0.38848287614433841</v>
      </c>
      <c r="X683" s="18">
        <f>IF($A683&gt;('1-Input'!$B$26-2),0,(MAX(0,W671-IF($A683&gt;='1-Input'!$C$12,'1-Input'!$B$12,0))-MIN(MAX(AA682,0),MAX(0,W671-IF($A683&gt;='1-Input'!$C$12,'1-Input'!$B$12,0))))*(1/(1-'P-Parametri'!$B$6*W683))+MIN(MAX(0,AB682-(MAX(0,W671-IF($A683&gt;='1-Input'!$C$12,'1-Input'!$B$12,0))-MIN(MAX(AA682,0),MAX(0,W671-IF($A683&gt;='1-Input'!$C$12,'1-Input'!$B$12,0))))*(1/(1-'P-Parametri'!$B$6*W683))),MAX(0,0*W671-(AA682-MIN(MAX(AA682,0),MAX(0,W671-IF($A683&gt;='1-Input'!$C$12,'1-Input'!$B$12,0)))))*(1/(1-'P-Parametri'!$B$6*W683))))</f>
        <v>21182.719207867925</v>
      </c>
      <c r="Y683" s="18">
        <f>IF($A683&gt;('1-Input'!$B$26-2),AA682,(AA682-MAX(0,W671-IF($A683&gt;='1-Input'!$C$12,'1-Input'!$B$12,0))+X683*(1-'P-Parametri'!$B$6*W683))*(1+'1-Input'!$B$27))</f>
        <v>0</v>
      </c>
      <c r="Z683" s="18">
        <f>IF($A683&gt;('1-Input'!$B$26-2),AB682,(AB682-X683)*(1+'5-Roberta'!$C$4))</f>
        <v>337690.03245935804</v>
      </c>
      <c r="AA683" s="18">
        <f>IF($A683&gt;('1-Input'!$B$26-2),Y683,Y683-'P-Parametri'!$B$8*(Z683+Y683)+MIN(MAX(Z683,0),'P-Parametri'!$B$8*(Z683+Y683)))</f>
        <v>0</v>
      </c>
      <c r="AB683" s="18">
        <f>IF($A683&gt;('1-Input'!$B$26-2),Z683,Z683-MIN(MAX(Z683,0),'P-Parametri'!$B$8*(Z683+Y683)))</f>
        <v>337014.65239443933</v>
      </c>
      <c r="AC683" s="18">
        <f>IF($A683&gt;('1-Input'!$B$26-2),AC682,AC682-X683*(1-W683))</f>
        <v>200488.58000414722</v>
      </c>
      <c r="AD683" s="11">
        <f>IF($A683&gt;('1-Input'!$B$26-2),0,IF(AI682&lt;=0,0,MAX(0,(AI682-AJ682)/AI682)))</f>
        <v>0.38848287614433835</v>
      </c>
      <c r="AE683" s="18">
        <f>IF($A683&gt;('1-Input'!$B$26-2),0,(MAX(0,AD671-IF($A683&gt;='1-Input'!$C$12,'1-Input'!$B$12,0))-MIN(MAX(AH682,0),MAX(0,AD671-IF($A683&gt;='1-Input'!$C$12,'1-Input'!$B$12,0))))*(1/(1-'P-Parametri'!$B$6*AD683))+MIN(MAX(0,AI682-(MAX(0,AD671-IF($A683&gt;='1-Input'!$C$12,'1-Input'!$B$12,0))-MIN(MAX(AH682,0),MAX(0,AD671-IF($A683&gt;='1-Input'!$C$12,'1-Input'!$B$12,0))))*(1/(1-'P-Parametri'!$B$6*AD683))),MAX(0,0*AD671-(AH682-MIN(MAX(AH682,0),MAX(0,AD671-IF($A683&gt;='1-Input'!$C$12,'1-Input'!$B$12,0)))))*(1/(1-'P-Parametri'!$B$6*AD683))))</f>
        <v>21183.388946471958</v>
      </c>
      <c r="AF683" s="18">
        <f>IF($A683&gt;('1-Input'!$B$26-2),AH682,(AH682-MAX(0,AD671-IF($A683&gt;='1-Input'!$C$12,'1-Input'!$B$12,0))+AE683*(1-'P-Parametri'!$B$6*AD683))*(1+'1-Input'!$B$27))</f>
        <v>0</v>
      </c>
      <c r="AG683" s="18">
        <f>IF($A683&gt;('1-Input'!$B$26-2),AI682,(AI682-AE683)*(1+'5-Roberta'!$C$4))</f>
        <v>337682.38990235212</v>
      </c>
      <c r="AH683" s="18">
        <f>IF($A683&gt;('1-Input'!$B$26-2),AF683,AF683-'P-Parametri'!$B$8*(AG683+AF683)+MIN(MAX(AG683,0),'P-Parametri'!$B$8*(AG683+AF683)))</f>
        <v>0</v>
      </c>
      <c r="AI683" s="18">
        <f>IF($A683&gt;('1-Input'!$B$26-2),AG683,AG683-MIN(MAX(AG683,0),'P-Parametri'!$B$8*(AG683+AF683)))</f>
        <v>337007.02512254741</v>
      </c>
      <c r="AJ683" s="18">
        <f>IF($A683&gt;('1-Input'!$B$26-2),AJ682,AJ682-AE683*(1-AD683))</f>
        <v>200484.04257261407</v>
      </c>
      <c r="AK683" s="11">
        <f>IF($A683&gt;('1-Input'!$B$26-2),0,IF(AP682&lt;=0,0,MAX(0,(AP682-AQ682)/AP682)))</f>
        <v>0.38848287614433824</v>
      </c>
      <c r="AL683" s="18">
        <f>IF($A683&gt;('1-Input'!$B$26-2),0,(MAX(0,AK671-IF($A683&gt;='1-Input'!$C$12,'1-Input'!$B$12,0))-MIN(MAX(AO682,0),MAX(0,AK671-IF($A683&gt;='1-Input'!$C$12,'1-Input'!$B$12,0))))*(1/(1-'P-Parametri'!$B$6*AK683))+MIN(MAX(0,AP682-(MAX(0,AK671-IF($A683&gt;='1-Input'!$C$12,'1-Input'!$B$12,0))-MIN(MAX(AO682,0),MAX(0,AK671-IF($A683&gt;='1-Input'!$C$12,'1-Input'!$B$12,0))))*(1/(1-'P-Parametri'!$B$6*AK683))),MAX(0,0*AK671-(AO682-MIN(MAX(AO682,0),MAX(0,AK671-IF($A683&gt;='1-Input'!$C$12,'1-Input'!$B$12,0)))))*(1/(1-'P-Parametri'!$B$6*AK683))))</f>
        <v>21183.273665859051</v>
      </c>
      <c r="AM683" s="18">
        <f>IF($A683&gt;('1-Input'!$B$26-2),AO682,(AO682-MAX(0,AK671-IF($A683&gt;='1-Input'!$C$12,'1-Input'!$B$12,0))+AL683*(1-'P-Parametri'!$B$6*AK683))*(1+'1-Input'!$B$27))</f>
        <v>0</v>
      </c>
      <c r="AN683" s="18">
        <f>IF($A683&gt;('1-Input'!$B$26-2),AP682,(AP682-AL683)*(1+'5-Roberta'!$C$4))</f>
        <v>337683.70539865247</v>
      </c>
      <c r="AO683" s="18">
        <f>IF($A683&gt;('1-Input'!$B$26-2),AM683,AM683-'P-Parametri'!$B$8*(AN683+AM683)+MIN(MAX(AN683,0),'P-Parametri'!$B$8*(AN683+AM683)))</f>
        <v>0</v>
      </c>
      <c r="AP683" s="18">
        <f>IF($A683&gt;('1-Input'!$B$26-2),AN683,AN683-MIN(MAX(AN683,0),'P-Parametri'!$B$8*(AN683+AM683)))</f>
        <v>337008.33798785519</v>
      </c>
      <c r="AQ683" s="18">
        <f>IF($A683&gt;('1-Input'!$B$26-2),AQ682,AQ682-AL683*(1-AK683))</f>
        <v>200484.8235905889</v>
      </c>
    </row>
    <row r="684" spans="1:43">
      <c r="A684" s="10">
        <f>11</f>
        <v>11</v>
      </c>
      <c r="B684" s="11">
        <f>IF($A684&gt;('1-Input'!$B$26-2),0,IF(G683&lt;=0,0,MAX(0,(G683-H683)/G683)))</f>
        <v>0.40510426303513647</v>
      </c>
      <c r="C684" s="18">
        <f>IF($A684&gt;('1-Input'!$B$26-2),0,(MAX(0,B671-IF($A684&gt;='1-Input'!$C$12,'1-Input'!$B$12,0))-MIN(MAX(F683,0),MAX(0,B671-IF($A684&gt;='1-Input'!$C$12,'1-Input'!$B$12,0))))*(1/(1-'P-Parametri'!$B$6*B684))+MIN(MAX(0,G683-(MAX(0,B671-IF($A684&gt;='1-Input'!$C$12,'1-Input'!$B$12,0))-MIN(MAX(F683,0),MAX(0,B671-IF($A684&gt;='1-Input'!$C$12,'1-Input'!$B$12,0))))*(1/(1-'P-Parametri'!$B$6*B684))),MAX(0,0*B671-(F683-MIN(MAX(F683,0),MAX(0,B671-IF($A684&gt;='1-Input'!$C$12,'1-Input'!$B$12,0)))))*(1/(1-'P-Parametri'!$B$6*B684))))</f>
        <v>18644.865035076062</v>
      </c>
      <c r="D684" s="18">
        <f>IF($A684&gt;('1-Input'!$B$26-2),F683,(F683-MAX(0,B671-IF($A684&gt;='1-Input'!$C$12,'1-Input'!$B$12,0))+C684*(1-'P-Parametri'!$B$6*B684))*(1+'1-Input'!$B$27))</f>
        <v>0</v>
      </c>
      <c r="E684" s="18">
        <f>IF($A684&gt;('1-Input'!$B$26-2),G683,(G683-C684)*(1+'5-Roberta'!$C$4))</f>
        <v>358741.46534103906</v>
      </c>
      <c r="F684" s="18">
        <f>IF($A684&gt;('1-Input'!$B$26-2),D684,D684-'P-Parametri'!$B$8*(E684+D684)+MIN(MAX(E684,0),'P-Parametri'!$B$8*(E684+D684)))</f>
        <v>0</v>
      </c>
      <c r="G684" s="18">
        <f>IF($A684&gt;('1-Input'!$B$26-2),E684,E684-MIN(MAX(E684,0),'P-Parametri'!$B$8*(E684+D684)))</f>
        <v>358023.98241035698</v>
      </c>
      <c r="H684" s="18">
        <f>IF($A684&gt;('1-Input'!$B$26-2),H683,H683-C684*(1-B684))</f>
        <v>207197.83340185677</v>
      </c>
      <c r="I684" s="11">
        <f>IF($A684&gt;('1-Input'!$B$26-2),0,IF(N683&lt;=0,0,MAX(0,(N683-O683)/N683)))</f>
        <v>0.40510426303513702</v>
      </c>
      <c r="J684" s="18">
        <f>IF($A684&gt;('1-Input'!$B$26-2),0,(MAX(0,I671-IF($A684&gt;='1-Input'!$C$12,'1-Input'!$B$12,0))-MIN(MAX(M683,0),MAX(0,I671-IF($A684&gt;='1-Input'!$C$12,'1-Input'!$B$12,0))))*(1/(1-'P-Parametri'!$B$6*I684))+MIN(MAX(0,N683-(MAX(0,I671-IF($A684&gt;='1-Input'!$C$12,'1-Input'!$B$12,0))-MIN(MAX(M683,0),MAX(0,I671-IF($A684&gt;='1-Input'!$C$12,'1-Input'!$B$12,0))))*(1/(1-'P-Parametri'!$B$6*I684))),MAX(0,0*I671-(M683-MIN(MAX(M683,0),MAX(0,I671-IF($A684&gt;='1-Input'!$C$12,'1-Input'!$B$12,0)))))*(1/(1-'P-Parametri'!$B$6*I684))))</f>
        <v>24532.71715141588</v>
      </c>
      <c r="K684" s="18">
        <f>IF($A684&gt;('1-Input'!$B$26-2),M683,(M683-MAX(0,I671-IF($A684&gt;='1-Input'!$C$12,'1-Input'!$B$12,0))+J684*(1-'P-Parametri'!$B$6*I684))*(1+'1-Input'!$B$27))</f>
        <v>3.6248820833861826E-12</v>
      </c>
      <c r="L684" s="18">
        <f>IF($A684&gt;('1-Input'!$B$26-2),N683,(N683-J684)*(1+'5-Roberta'!$C$4))</f>
        <v>283943.98075731291</v>
      </c>
      <c r="M684" s="18">
        <f>IF($A684&gt;('1-Input'!$B$26-2),K684,K684-'P-Parametri'!$B$8*(L684+K684)+MIN(MAX(L684,0),'P-Parametri'!$B$8*(L684+K684)))</f>
        <v>3.637978807091713E-12</v>
      </c>
      <c r="N684" s="18">
        <f>IF($A684&gt;('1-Input'!$B$26-2),L684,L684-MIN(MAX(L684,0),'P-Parametri'!$B$8*(L684+K684)))</f>
        <v>283376.09279579826</v>
      </c>
      <c r="O684" s="18">
        <f>IF($A684&gt;('1-Input'!$B$26-2),O683,O683-J684*(1-I684))</f>
        <v>163997.14921296944</v>
      </c>
      <c r="P684" s="11">
        <f>IF($A684&gt;('1-Input'!$B$26-2),0,IF(U683&lt;=0,0,MAX(0,(U683-V683)/U683)))</f>
        <v>0.40510426303513691</v>
      </c>
      <c r="Q684" s="18">
        <f>IF($A684&gt;('1-Input'!$B$26-2),0,(MAX(0,P671-IF($A684&gt;='1-Input'!$C$12,'1-Input'!$B$12,0))-MIN(MAX(T683,0),MAX(0,P671-IF($A684&gt;='1-Input'!$C$12,'1-Input'!$B$12,0))))*(1/(1-'P-Parametri'!$B$6*P684))+MIN(MAX(0,U683-(MAX(0,P671-IF($A684&gt;='1-Input'!$C$12,'1-Input'!$B$12,0))-MIN(MAX(T683,0),MAX(0,P671-IF($A684&gt;='1-Input'!$C$12,'1-Input'!$B$12,0))))*(1/(1-'P-Parametri'!$B$6*P684))),MAX(0,0*P671-(T683-MIN(MAX(T683,0),MAX(0,P671-IF($A684&gt;='1-Input'!$C$12,'1-Input'!$B$12,0)))))*(1/(1-'P-Parametri'!$B$6*P684))))</f>
        <v>21565.845306471187</v>
      </c>
      <c r="R684" s="18">
        <f>IF($A684&gt;('1-Input'!$B$26-2),T683,(T683-MAX(0,P671-IF($A684&gt;='1-Input'!$C$12,'1-Input'!$B$12,0))+Q684*(1-'P-Parametri'!$B$6*P684))*(1+'1-Input'!$B$27))</f>
        <v>0</v>
      </c>
      <c r="S684" s="18">
        <f>IF($A684&gt;('1-Input'!$B$26-2),U683,(U683-Q684)*(1+'5-Roberta'!$C$4))</f>
        <v>321634.21935353882</v>
      </c>
      <c r="T684" s="18">
        <f>IF($A684&gt;('1-Input'!$B$26-2),R684,R684-'P-Parametri'!$B$8*(S684+R684)+MIN(MAX(S684,0),'P-Parametri'!$B$8*(S684+R684)))</f>
        <v>0</v>
      </c>
      <c r="U684" s="18">
        <f>IF($A684&gt;('1-Input'!$B$26-2),S684,S684-MIN(MAX(S684,0),'P-Parametri'!$B$8*(S684+R684)))</f>
        <v>320990.95091483172</v>
      </c>
      <c r="V684" s="18">
        <f>IF($A684&gt;('1-Input'!$B$26-2),V683,V683-Q684*(1-P684))</f>
        <v>185765.8504421766</v>
      </c>
      <c r="W684" s="11">
        <f>IF($A684&gt;('1-Input'!$B$26-2),0,IF(AB683&lt;=0,0,MAX(0,(AB683-AC683)/AB683)))</f>
        <v>0.40510426303513669</v>
      </c>
      <c r="X684" s="18">
        <f>IF($A684&gt;('1-Input'!$B$26-2),0,(MAX(0,W671-IF($A684&gt;='1-Input'!$C$12,'1-Input'!$B$12,0))-MIN(MAX(AA683,0),MAX(0,W671-IF($A684&gt;='1-Input'!$C$12,'1-Input'!$B$12,0))))*(1/(1-'P-Parametri'!$B$6*W684))+MIN(MAX(0,AB683-(MAX(0,W671-IF($A684&gt;='1-Input'!$C$12,'1-Input'!$B$12,0))-MIN(MAX(AA683,0),MAX(0,W671-IF($A684&gt;='1-Input'!$C$12,'1-Input'!$B$12,0))))*(1/(1-'P-Parametri'!$B$6*W684))),MAX(0,0*W671-(AA683-MIN(MAX(AA683,0),MAX(0,W671-IF($A684&gt;='1-Input'!$C$12,'1-Input'!$B$12,0)))))*(1/(1-'P-Parametri'!$B$6*W684))))</f>
        <v>21285.038620258958</v>
      </c>
      <c r="Y684" s="18">
        <f>IF($A684&gt;('1-Input'!$B$26-2),AA683,(AA683-MAX(0,W671-IF($A684&gt;='1-Input'!$C$12,'1-Input'!$B$12,0))+X684*(1-'P-Parametri'!$B$6*W684))*(1+'1-Input'!$B$27))</f>
        <v>0</v>
      </c>
      <c r="Z684" s="18">
        <f>IF($A684&gt;('1-Input'!$B$26-2),AB683,(AB683-X684)*(1+'5-Roberta'!$C$4))</f>
        <v>325201.50218740577</v>
      </c>
      <c r="AA684" s="18">
        <f>IF($A684&gt;('1-Input'!$B$26-2),Y684,Y684-'P-Parametri'!$B$8*(Z684+Y684)+MIN(MAX(Z684,0),'P-Parametri'!$B$8*(Z684+Y684)))</f>
        <v>0</v>
      </c>
      <c r="AB684" s="18">
        <f>IF($A684&gt;('1-Input'!$B$26-2),Z684,Z684-MIN(MAX(Z684,0),'P-Parametri'!$B$8*(Z684+Y684)))</f>
        <v>324551.09918303095</v>
      </c>
      <c r="AC684" s="18">
        <f>IF($A684&gt;('1-Input'!$B$26-2),AC683,AC683-X684*(1-W684))</f>
        <v>187826.2012678227</v>
      </c>
      <c r="AD684" s="11">
        <f>IF($A684&gt;('1-Input'!$B$26-2),0,IF(AI683&lt;=0,0,MAX(0,(AI683-AJ683)/AI683)))</f>
        <v>0.40510426303513664</v>
      </c>
      <c r="AE684" s="18">
        <f>IF($A684&gt;('1-Input'!$B$26-2),0,(MAX(0,AD671-IF($A684&gt;='1-Input'!$C$12,'1-Input'!$B$12,0))-MIN(MAX(AH683,0),MAX(0,AD671-IF($A684&gt;='1-Input'!$C$12,'1-Input'!$B$12,0))))*(1/(1-'P-Parametri'!$B$6*AD684))+MIN(MAX(0,AI683-(MAX(0,AD671-IF($A684&gt;='1-Input'!$C$12,'1-Input'!$B$12,0))-MIN(MAX(AH683,0),MAX(0,AD671-IF($A684&gt;='1-Input'!$C$12,'1-Input'!$B$12,0))))*(1/(1-'P-Parametri'!$B$6*AD684))),MAX(0,0*AD671-(AH683-MIN(MAX(AH683,0),MAX(0,AD671-IF($A684&gt;='1-Input'!$C$12,'1-Input'!$B$12,0)))))*(1/(1-'P-Parametri'!$B$6*AD684))))</f>
        <v>21285.711593917928</v>
      </c>
      <c r="AF684" s="18">
        <f>IF($A684&gt;('1-Input'!$B$26-2),AH683,(AH683-MAX(0,AD671-IF($A684&gt;='1-Input'!$C$12,'1-Input'!$B$12,0))+AE684*(1-'P-Parametri'!$B$6*AD684))*(1+'1-Input'!$B$27))</f>
        <v>0</v>
      </c>
      <c r="AG684" s="18">
        <f>IF($A684&gt;('1-Input'!$B$26-2),AI683,(AI683-AE684)*(1+'5-Roberta'!$C$4))</f>
        <v>325192.95293448836</v>
      </c>
      <c r="AH684" s="18">
        <f>IF($A684&gt;('1-Input'!$B$26-2),AF684,AF684-'P-Parametri'!$B$8*(AG684+AF684)+MIN(MAX(AG684,0),'P-Parametri'!$B$8*(AG684+AF684)))</f>
        <v>0</v>
      </c>
      <c r="AI684" s="18">
        <f>IF($A684&gt;('1-Input'!$B$26-2),AG684,AG684-MIN(MAX(AG684,0),'P-Parametri'!$B$8*(AG684+AF684)))</f>
        <v>324542.56702861941</v>
      </c>
      <c r="AJ684" s="18">
        <f>IF($A684&gt;('1-Input'!$B$26-2),AJ683,AJ683-AE684*(1-AD684))</f>
        <v>187821.26348712872</v>
      </c>
      <c r="AK684" s="11">
        <f>IF($A684&gt;('1-Input'!$B$26-2),0,IF(AP683&lt;=0,0,MAX(0,(AP683-AQ683)/AP683)))</f>
        <v>0.40510426303513652</v>
      </c>
      <c r="AL684" s="18">
        <f>IF($A684&gt;('1-Input'!$B$26-2),0,(MAX(0,AK671-IF($A684&gt;='1-Input'!$C$12,'1-Input'!$B$12,0))-MIN(MAX(AO683,0),MAX(0,AK671-IF($A684&gt;='1-Input'!$C$12,'1-Input'!$B$12,0))))*(1/(1-'P-Parametri'!$B$6*AK684))+MIN(MAX(0,AP683-(MAX(0,AK671-IF($A684&gt;='1-Input'!$C$12,'1-Input'!$B$12,0))-MIN(MAX(AO683,0),MAX(0,AK671-IF($A684&gt;='1-Input'!$C$12,'1-Input'!$B$12,0))))*(1/(1-'P-Parametri'!$B$6*AK684))),MAX(0,0*AK671-(AO683-MIN(MAX(AO683,0),MAX(0,AK671-IF($A684&gt;='1-Input'!$C$12,'1-Input'!$B$12,0)))))*(1/(1-'P-Parametri'!$B$6*AK684))))</f>
        <v>21285.595756462229</v>
      </c>
      <c r="AM684" s="18">
        <f>IF($A684&gt;('1-Input'!$B$26-2),AO683,(AO683-MAX(0,AK671-IF($A684&gt;='1-Input'!$C$12,'1-Input'!$B$12,0))+AL684*(1-'P-Parametri'!$B$6*AK684))*(1+'1-Input'!$B$27))</f>
        <v>0</v>
      </c>
      <c r="AN684" s="18">
        <f>IF($A684&gt;('1-Input'!$B$26-2),AP683,(AP683-AL684)*(1+'5-Roberta'!$C$4))</f>
        <v>325194.42449833476</v>
      </c>
      <c r="AO684" s="18">
        <f>IF($A684&gt;('1-Input'!$B$26-2),AM684,AM684-'P-Parametri'!$B$8*(AN684+AM684)+MIN(MAX(AN684,0),'P-Parametri'!$B$8*(AN684+AM684)))</f>
        <v>0</v>
      </c>
      <c r="AP684" s="18">
        <f>IF($A684&gt;('1-Input'!$B$26-2),AN684,AN684-MIN(MAX(AN684,0),'P-Parametri'!$B$8*(AN684+AM684)))</f>
        <v>324544.0356493381</v>
      </c>
      <c r="AQ684" s="18">
        <f>IF($A684&gt;('1-Input'!$B$26-2),AQ683,AQ683-AL684*(1-AK684))</f>
        <v>187822.11341631215</v>
      </c>
    </row>
    <row r="685" spans="1:43">
      <c r="A685" s="10">
        <f>12</f>
        <v>12</v>
      </c>
      <c r="B685" s="11">
        <f>IF($A685&gt;('1-Input'!$B$26-2),0,IF(G684&lt;=0,0,MAX(0,(G684-H684)/G684)))</f>
        <v>0.42127387107723846</v>
      </c>
      <c r="C685" s="18">
        <f>IF($A685&gt;('1-Input'!$B$26-2),0,(MAX(0,B671-IF($A685&gt;='1-Input'!$C$12,'1-Input'!$B$12,0))-MIN(MAX(F684,0),MAX(0,B671-IF($A685&gt;='1-Input'!$C$12,'1-Input'!$B$12,0))))*(1/(1-'P-Parametri'!$B$6*B685))+MIN(MAX(0,G684-(MAX(0,B671-IF($A685&gt;='1-Input'!$C$12,'1-Input'!$B$12,0))-MIN(MAX(F684,0),MAX(0,B671-IF($A685&gt;='1-Input'!$C$12,'1-Input'!$B$12,0))))*(1/(1-'P-Parametri'!$B$6*B685))),MAX(0,0*B671-(F684-MIN(MAX(F684,0),MAX(0,B671-IF($A685&gt;='1-Input'!$C$12,'1-Input'!$B$12,0)))))*(1/(1-'P-Parametri'!$B$6*B685))))</f>
        <v>18732.891524123559</v>
      </c>
      <c r="D685" s="18">
        <f>IF($A685&gt;('1-Input'!$B$26-2),F684,(F684-MAX(0,B671-IF($A685&gt;='1-Input'!$C$12,'1-Input'!$B$12,0))+C685*(1-'P-Parametri'!$B$6*B685))*(1+'1-Input'!$B$27))</f>
        <v>0</v>
      </c>
      <c r="E685" s="18">
        <f>IF($A685&gt;('1-Input'!$B$26-2),G684,(G684-C685)*(1+'5-Roberta'!$C$4))</f>
        <v>349469.82361282047</v>
      </c>
      <c r="F685" s="18">
        <f>IF($A685&gt;('1-Input'!$B$26-2),D685,D685-'P-Parametri'!$B$8*(E685+D685)+MIN(MAX(E685,0),'P-Parametri'!$B$8*(E685+D685)))</f>
        <v>0</v>
      </c>
      <c r="G685" s="18">
        <f>IF($A685&gt;('1-Input'!$B$26-2),E685,E685-MIN(MAX(E685,0),'P-Parametri'!$B$8*(E685+D685)))</f>
        <v>348770.88396559481</v>
      </c>
      <c r="H685" s="18">
        <f>IF($A685&gt;('1-Input'!$B$26-2),H684,H684-C685*(1-B685))</f>
        <v>196356.61960657072</v>
      </c>
      <c r="I685" s="11">
        <f>IF($A685&gt;('1-Input'!$B$26-2),0,IF(N684&lt;=0,0,MAX(0,(N684-O684)/N684)))</f>
        <v>0.42127387107723896</v>
      </c>
      <c r="J685" s="18">
        <f>IF($A685&gt;('1-Input'!$B$26-2),0,(MAX(0,I671-IF($A685&gt;='1-Input'!$C$12,'1-Input'!$B$12,0))-MIN(MAX(M684,0),MAX(0,I671-IF($A685&gt;='1-Input'!$C$12,'1-Input'!$B$12,0))))*(1/(1-'P-Parametri'!$B$6*I685))+MIN(MAX(0,N684-(MAX(0,I671-IF($A685&gt;='1-Input'!$C$12,'1-Input'!$B$12,0))-MIN(MAX(M684,0),MAX(0,I671-IF($A685&gt;='1-Input'!$C$12,'1-Input'!$B$12,0))))*(1/(1-'P-Parametri'!$B$6*I685))),MAX(0,0*I671-(M684-MIN(MAX(M684,0),MAX(0,I671-IF($A685&gt;='1-Input'!$C$12,'1-Input'!$B$12,0)))))*(1/(1-'P-Parametri'!$B$6*I685))))</f>
        <v>24648.54147910995</v>
      </c>
      <c r="K685" s="18">
        <f>IF($A685&gt;('1-Input'!$B$26-2),M684,(M684-MAX(0,I671-IF($A685&gt;='1-Input'!$C$12,'1-Input'!$B$12,0))+J685*(1-'P-Parametri'!$B$6*I685))*(1+'1-Input'!$B$27))</f>
        <v>0</v>
      </c>
      <c r="L685" s="18">
        <f>IF($A685&gt;('1-Input'!$B$26-2),N684,(N684-J685)*(1+'5-Roberta'!$C$4))</f>
        <v>266489.37785618898</v>
      </c>
      <c r="M685" s="18">
        <f>IF($A685&gt;('1-Input'!$B$26-2),K685,K685-'P-Parametri'!$B$8*(L685+K685)+MIN(MAX(L685,0),'P-Parametri'!$B$8*(L685+K685)))</f>
        <v>0</v>
      </c>
      <c r="N685" s="18">
        <f>IF($A685&gt;('1-Input'!$B$26-2),L685,L685-MIN(MAX(L685,0),'P-Parametri'!$B$8*(L685+K685)))</f>
        <v>265956.39910047658</v>
      </c>
      <c r="O685" s="18">
        <f>IF($A685&gt;('1-Input'!$B$26-2),O684,O684-J685*(1-I685))</f>
        <v>149732.39421917204</v>
      </c>
      <c r="P685" s="11">
        <f>IF($A685&gt;('1-Input'!$B$26-2),0,IF(U684&lt;=0,0,MAX(0,(U684-V684)/U684)))</f>
        <v>0.42127387107723885</v>
      </c>
      <c r="Q685" s="18">
        <f>IF($A685&gt;('1-Input'!$B$26-2),0,(MAX(0,P671-IF($A685&gt;='1-Input'!$C$12,'1-Input'!$B$12,0))-MIN(MAX(T684,0),MAX(0,P671-IF($A685&gt;='1-Input'!$C$12,'1-Input'!$B$12,0))))*(1/(1-'P-Parametri'!$B$6*P685))+MIN(MAX(0,U684-(MAX(0,P671-IF($A685&gt;='1-Input'!$C$12,'1-Input'!$B$12,0))-MIN(MAX(T684,0),MAX(0,P671-IF($A685&gt;='1-Input'!$C$12,'1-Input'!$B$12,0))))*(1/(1-'P-Parametri'!$B$6*P685))),MAX(0,0*P671-(T684-MIN(MAX(T684,0),MAX(0,P671-IF($A685&gt;='1-Input'!$C$12,'1-Input'!$B$12,0)))))*(1/(1-'P-Parametri'!$B$6*P685))))</f>
        <v>21667.662382759951</v>
      </c>
      <c r="R685" s="18">
        <f>IF($A685&gt;('1-Input'!$B$26-2),T684,(T684-MAX(0,P671-IF($A685&gt;='1-Input'!$C$12,'1-Input'!$B$12,0))+Q685*(1-'P-Parametri'!$B$6*P685))*(1+'1-Input'!$B$27))</f>
        <v>-3.6248820833861826E-12</v>
      </c>
      <c r="S685" s="18">
        <f>IF($A685&gt;('1-Input'!$B$26-2),U684,(U684-Q685)*(1+'5-Roberta'!$C$4))</f>
        <v>308302.98718803393</v>
      </c>
      <c r="T685" s="18">
        <f>IF($A685&gt;('1-Input'!$B$26-2),R685,R685-'P-Parametri'!$B$8*(S685+R685)+MIN(MAX(S685,0),'P-Parametri'!$B$8*(S685+R685)))</f>
        <v>-3.637978807091713E-12</v>
      </c>
      <c r="U685" s="18">
        <f>IF($A685&gt;('1-Input'!$B$26-2),S685,S685-MIN(MAX(S685,0),'P-Parametri'!$B$8*(S685+R685)))</f>
        <v>307686.38121365785</v>
      </c>
      <c r="V685" s="18">
        <f>IF($A685&gt;('1-Input'!$B$26-2),V684,V684-Q685*(1-P685))</f>
        <v>173226.20806859661</v>
      </c>
      <c r="W685" s="11">
        <f>IF($A685&gt;('1-Input'!$B$26-2),0,IF(AB684&lt;=0,0,MAX(0,(AB684-AC684)/AB684)))</f>
        <v>0.42127387107723857</v>
      </c>
      <c r="X685" s="18">
        <f>IF($A685&gt;('1-Input'!$B$26-2),0,(MAX(0,W671-IF($A685&gt;='1-Input'!$C$12,'1-Input'!$B$12,0))-MIN(MAX(AA684,0),MAX(0,W671-IF($A685&gt;='1-Input'!$C$12,'1-Input'!$B$12,0))))*(1/(1-'P-Parametri'!$B$6*W685))+MIN(MAX(0,AB684-(MAX(0,W671-IF($A685&gt;='1-Input'!$C$12,'1-Input'!$B$12,0))-MIN(MAX(AA684,0),MAX(0,W671-IF($A685&gt;='1-Input'!$C$12,'1-Input'!$B$12,0))))*(1/(1-'P-Parametri'!$B$6*W685))),MAX(0,0*W671-(AA684-MIN(MAX(AA684,0),MAX(0,W671-IF($A685&gt;='1-Input'!$C$12,'1-Input'!$B$12,0)))))*(1/(1-'P-Parametri'!$B$6*W685))))</f>
        <v>21385.529946715702</v>
      </c>
      <c r="Y685" s="18">
        <f>IF($A685&gt;('1-Input'!$B$26-2),AA684,(AA684-MAX(0,W671-IF($A685&gt;='1-Input'!$C$12,'1-Input'!$B$12,0))+X685*(1-'P-Parametri'!$B$6*W685))*(1+'1-Input'!$B$27))</f>
        <v>-3.6248820833861826E-12</v>
      </c>
      <c r="Z685" s="18">
        <f>IF($A685&gt;('1-Input'!$B$26-2),AB684,(AB684-X685)*(1+'5-Roberta'!$C$4))</f>
        <v>312260.53631340474</v>
      </c>
      <c r="AA685" s="18">
        <f>IF($A685&gt;('1-Input'!$B$26-2),Y685,Y685-'P-Parametri'!$B$8*(Z685+Y685)+MIN(MAX(Z685,0),'P-Parametri'!$B$8*(Z685+Y685)))</f>
        <v>-3.637978807091713E-12</v>
      </c>
      <c r="AB685" s="18">
        <f>IF($A685&gt;('1-Input'!$B$26-2),Z685,Z685-MIN(MAX(Z685,0),'P-Parametri'!$B$8*(Z685+Y685)))</f>
        <v>311636.01524077792</v>
      </c>
      <c r="AC685" s="18">
        <f>IF($A685&gt;('1-Input'!$B$26-2),AC684,AC684-X685*(1-W685))</f>
        <v>175449.83630679813</v>
      </c>
      <c r="AD685" s="11">
        <f>IF($A685&gt;('1-Input'!$B$26-2),0,IF(AI684&lt;=0,0,MAX(0,(AI684-AJ684)/AI684)))</f>
        <v>0.42127387107723863</v>
      </c>
      <c r="AE685" s="18">
        <f>IF($A685&gt;('1-Input'!$B$26-2),0,(MAX(0,AD671-IF($A685&gt;='1-Input'!$C$12,'1-Input'!$B$12,0))-MIN(MAX(AH684,0),MAX(0,AD671-IF($A685&gt;='1-Input'!$C$12,'1-Input'!$B$12,0))))*(1/(1-'P-Parametri'!$B$6*AD685))+MIN(MAX(0,AI684-(MAX(0,AD671-IF($A685&gt;='1-Input'!$C$12,'1-Input'!$B$12,0))-MIN(MAX(AH684,0),MAX(0,AD671-IF($A685&gt;='1-Input'!$C$12,'1-Input'!$B$12,0))))*(1/(1-'P-Parametri'!$B$6*AD685))),MAX(0,0*AD671-(AH684-MIN(MAX(AH684,0),MAX(0,AD671-IF($A685&gt;='1-Input'!$C$12,'1-Input'!$B$12,0)))))*(1/(1-'P-Parametri'!$B$6*AD685))))</f>
        <v>21386.206097630627</v>
      </c>
      <c r="AF685" s="18">
        <f>IF($A685&gt;('1-Input'!$B$26-2),AH684,(AH684-MAX(0,AD671-IF($A685&gt;='1-Input'!$C$12,'1-Input'!$B$12,0))+AE685*(1-'P-Parametri'!$B$6*AD685))*(1+'1-Input'!$B$27))</f>
        <v>0</v>
      </c>
      <c r="AG685" s="18">
        <f>IF($A685&gt;('1-Input'!$B$26-2),AI684,(AI684-AE685)*(1+'5-Roberta'!$C$4))</f>
        <v>312251.05175891845</v>
      </c>
      <c r="AH685" s="18">
        <f>IF($A685&gt;('1-Input'!$B$26-2),AF685,AF685-'P-Parametri'!$B$8*(AG685+AF685)+MIN(MAX(AG685,0),'P-Parametri'!$B$8*(AG685+AF685)))</f>
        <v>0</v>
      </c>
      <c r="AI685" s="18">
        <f>IF($A685&gt;('1-Input'!$B$26-2),AG685,AG685-MIN(MAX(AG685,0),'P-Parametri'!$B$8*(AG685+AF685)))</f>
        <v>311626.54965540062</v>
      </c>
      <c r="AJ685" s="18">
        <f>IF($A685&gt;('1-Input'!$B$26-2),AJ684,AJ684-AE685*(1-AD685))</f>
        <v>175444.50721990259</v>
      </c>
      <c r="AK685" s="11">
        <f>IF($A685&gt;('1-Input'!$B$26-2),0,IF(AP684&lt;=0,0,MAX(0,(AP684-AQ684)/AP684)))</f>
        <v>0.42127387107723852</v>
      </c>
      <c r="AL685" s="18">
        <f>IF($A685&gt;('1-Input'!$B$26-2),0,(MAX(0,AK671-IF($A685&gt;='1-Input'!$C$12,'1-Input'!$B$12,0))-MIN(MAX(AO684,0),MAX(0,AK671-IF($A685&gt;='1-Input'!$C$12,'1-Input'!$B$12,0))))*(1/(1-'P-Parametri'!$B$6*AK685))+MIN(MAX(0,AP684-(MAX(0,AK671-IF($A685&gt;='1-Input'!$C$12,'1-Input'!$B$12,0))-MIN(MAX(AO684,0),MAX(0,AK671-IF($A685&gt;='1-Input'!$C$12,'1-Input'!$B$12,0))))*(1/(1-'P-Parametri'!$B$6*AK685))),MAX(0,0*AK671-(AO684-MIN(MAX(AO684,0),MAX(0,AK671-IF($A685&gt;='1-Input'!$C$12,'1-Input'!$B$12,0)))))*(1/(1-'P-Parametri'!$B$6*AK685))))</f>
        <v>21386.08971328094</v>
      </c>
      <c r="AM685" s="18">
        <f>IF($A685&gt;('1-Input'!$B$26-2),AO684,(AO684-MAX(0,AK671-IF($A685&gt;='1-Input'!$C$12,'1-Input'!$B$12,0))+AL685*(1-'P-Parametri'!$B$6*AK685))*(1+'1-Input'!$B$27))</f>
        <v>0</v>
      </c>
      <c r="AN685" s="18">
        <f>IF($A685&gt;('1-Input'!$B$26-2),AP684,(AP684-AL685)*(1+'5-Roberta'!$C$4))</f>
        <v>312252.68431413884</v>
      </c>
      <c r="AO685" s="18">
        <f>IF($A685&gt;('1-Input'!$B$26-2),AM685,AM685-'P-Parametri'!$B$8*(AN685+AM685)+MIN(MAX(AN685,0),'P-Parametri'!$B$8*(AN685+AM685)))</f>
        <v>0</v>
      </c>
      <c r="AP685" s="18">
        <f>IF($A685&gt;('1-Input'!$B$26-2),AN685,AN685-MIN(MAX(AN685,0),'P-Parametri'!$B$8*(AN685+AM685)))</f>
        <v>311628.17894551053</v>
      </c>
      <c r="AQ685" s="18">
        <f>IF($A685&gt;('1-Input'!$B$26-2),AQ684,AQ684-AL685*(1-AK685))</f>
        <v>175445.42450375017</v>
      </c>
    </row>
    <row r="686" spans="1:43">
      <c r="A686" s="10">
        <f>13</f>
        <v>13</v>
      </c>
      <c r="B686" s="11">
        <f>IF($A686&gt;('1-Input'!$B$26-2),0,IF(G685&lt;=0,0,MAX(0,(G685-H685)/G685)))</f>
        <v>0.43700397987940787</v>
      </c>
      <c r="C686" s="18">
        <f>IF($A686&gt;('1-Input'!$B$26-2),0,(MAX(0,B671-IF($A686&gt;='1-Input'!$C$12,'1-Input'!$B$12,0))-MIN(MAX(F685,0),MAX(0,B671-IF($A686&gt;='1-Input'!$C$12,'1-Input'!$B$12,0))))*(1/(1-'P-Parametri'!$B$6*B686))+MIN(MAX(0,G685-(MAX(0,B671-IF($A686&gt;='1-Input'!$C$12,'1-Input'!$B$12,0))-MIN(MAX(F685,0),MAX(0,B671-IF($A686&gt;='1-Input'!$C$12,'1-Input'!$B$12,0))))*(1/(1-'P-Parametri'!$B$6*B686))),MAX(0,0*B671-(F685-MIN(MAX(F685,0),MAX(0,B671-IF($A686&gt;='1-Input'!$C$12,'1-Input'!$B$12,0)))))*(1/(1-'P-Parametri'!$B$6*B686))))</f>
        <v>18819.326686381686</v>
      </c>
      <c r="D686" s="18">
        <f>IF($A686&gt;('1-Input'!$B$26-2),F685,(F685-MAX(0,B671-IF($A686&gt;='1-Input'!$C$12,'1-Input'!$B$12,0))+C686*(1-'P-Parametri'!$B$6*B686))*(1+'1-Input'!$B$27))</f>
        <v>0</v>
      </c>
      <c r="E686" s="18">
        <f>IF($A686&gt;('1-Input'!$B$26-2),G685,(G685-C686)*(1+'5-Roberta'!$C$4))</f>
        <v>339850.1039975895</v>
      </c>
      <c r="F686" s="18">
        <f>IF($A686&gt;('1-Input'!$B$26-2),D686,D686-'P-Parametri'!$B$8*(E686+D686)+MIN(MAX(E686,0),'P-Parametri'!$B$8*(E686+D686)))</f>
        <v>0</v>
      </c>
      <c r="G686" s="18">
        <f>IF($A686&gt;('1-Input'!$B$26-2),E686,E686-MIN(MAX(E686,0),'P-Parametri'!$B$8*(E686+D686)))</f>
        <v>339170.4037895943</v>
      </c>
      <c r="H686" s="18">
        <f>IF($A686&gt;('1-Input'!$B$26-2),H685,H685-C686*(1-B686))</f>
        <v>185761.41358078859</v>
      </c>
      <c r="I686" s="11">
        <f>IF($A686&gt;('1-Input'!$B$26-2),0,IF(N685&lt;=0,0,MAX(0,(N685-O685)/N685)))</f>
        <v>0.43700397987940826</v>
      </c>
      <c r="J686" s="18">
        <f>IF($A686&gt;('1-Input'!$B$26-2),0,(MAX(0,I671-IF($A686&gt;='1-Input'!$C$12,'1-Input'!$B$12,0))-MIN(MAX(M685,0),MAX(0,I671-IF($A686&gt;='1-Input'!$C$12,'1-Input'!$B$12,0))))*(1/(1-'P-Parametri'!$B$6*I686))+MIN(MAX(0,N685-(MAX(0,I671-IF($A686&gt;='1-Input'!$C$12,'1-Input'!$B$12,0))-MIN(MAX(M685,0),MAX(0,I671-IF($A686&gt;='1-Input'!$C$12,'1-Input'!$B$12,0))))*(1/(1-'P-Parametri'!$B$6*I686))),MAX(0,0*I671-(M685-MIN(MAX(M685,0),MAX(0,I671-IF($A686&gt;='1-Input'!$C$12,'1-Input'!$B$12,0)))))*(1/(1-'P-Parametri'!$B$6*I686))))</f>
        <v>24762.271955765384</v>
      </c>
      <c r="K686" s="18">
        <f>IF($A686&gt;('1-Input'!$B$26-2),M685,(M685-MAX(0,I671-IF($A686&gt;='1-Input'!$C$12,'1-Input'!$B$12,0))+J686*(1-'P-Parametri'!$B$6*I686))*(1+'1-Input'!$B$27))</f>
        <v>3.6248820833861826E-12</v>
      </c>
      <c r="L686" s="18">
        <f>IF($A686&gt;('1-Input'!$B$26-2),N685,(N685-J686)*(1+'5-Roberta'!$C$4))</f>
        <v>248429.95095905254</v>
      </c>
      <c r="M686" s="18">
        <f>IF($A686&gt;('1-Input'!$B$26-2),K686,K686-'P-Parametri'!$B$8*(L686+K686)+MIN(MAX(L686,0),'P-Parametri'!$B$8*(L686+K686)))</f>
        <v>3.637978807091713E-12</v>
      </c>
      <c r="N686" s="18">
        <f>IF($A686&gt;('1-Input'!$B$26-2),L686,L686-MIN(MAX(L686,0),'P-Parametri'!$B$8*(L686+K686)))</f>
        <v>247933.09105713444</v>
      </c>
      <c r="O686" s="18">
        <f>IF($A686&gt;('1-Input'!$B$26-2),O685,O685-J686*(1-I686))</f>
        <v>135791.33365893239</v>
      </c>
      <c r="P686" s="11">
        <f>IF($A686&gt;('1-Input'!$B$26-2),0,IF(U685&lt;=0,0,MAX(0,(U685-V685)/U685)))</f>
        <v>0.43700397987940814</v>
      </c>
      <c r="Q686" s="18">
        <f>IF($A686&gt;('1-Input'!$B$26-2),0,(MAX(0,P671-IF($A686&gt;='1-Input'!$C$12,'1-Input'!$B$12,0))-MIN(MAX(T685,0),MAX(0,P671-IF($A686&gt;='1-Input'!$C$12,'1-Input'!$B$12,0))))*(1/(1-'P-Parametri'!$B$6*P686))+MIN(MAX(0,U685-(MAX(0,P671-IF($A686&gt;='1-Input'!$C$12,'1-Input'!$B$12,0))-MIN(MAX(T685,0),MAX(0,P671-IF($A686&gt;='1-Input'!$C$12,'1-Input'!$B$12,0))))*(1/(1-'P-Parametri'!$B$6*P686))),MAX(0,0*P671-(T685-MIN(MAX(T685,0),MAX(0,P671-IF($A686&gt;='1-Input'!$C$12,'1-Input'!$B$12,0)))))*(1/(1-'P-Parametri'!$B$6*P686))))</f>
        <v>21767.638828542309</v>
      </c>
      <c r="R686" s="18">
        <f>IF($A686&gt;('1-Input'!$B$26-2),T685,(T685-MAX(0,P671-IF($A686&gt;='1-Input'!$C$12,'1-Input'!$B$12,0))+Q686*(1-'P-Parametri'!$B$6*P686))*(1+'1-Input'!$B$27))</f>
        <v>3.6248820833861826E-12</v>
      </c>
      <c r="S686" s="18">
        <f>IF($A686&gt;('1-Input'!$B$26-2),U685,(U685-Q686)*(1+'5-Roberta'!$C$4))</f>
        <v>294496.30465666903</v>
      </c>
      <c r="T686" s="18">
        <f>IF($A686&gt;('1-Input'!$B$26-2),R686,R686-'P-Parametri'!$B$8*(S686+R686)+MIN(MAX(S686,0),'P-Parametri'!$B$8*(S686+R686)))</f>
        <v>3.637978807091713E-12</v>
      </c>
      <c r="U686" s="18">
        <f>IF($A686&gt;('1-Input'!$B$26-2),S686,S686-MIN(MAX(S686,0),'P-Parametri'!$B$8*(S686+R686)))</f>
        <v>293907.31204735569</v>
      </c>
      <c r="V686" s="18">
        <f>IF($A686&gt;('1-Input'!$B$26-2),V685,V685-Q686*(1-P686))</f>
        <v>160971.11404070482</v>
      </c>
      <c r="W686" s="11">
        <f>IF($A686&gt;('1-Input'!$B$26-2),0,IF(AB685&lt;=0,0,MAX(0,(AB685-AC685)/AB685)))</f>
        <v>0.43700397987940798</v>
      </c>
      <c r="X686" s="18">
        <f>IF($A686&gt;('1-Input'!$B$26-2),0,(MAX(0,W671-IF($A686&gt;='1-Input'!$C$12,'1-Input'!$B$12,0))-MIN(MAX(AA685,0),MAX(0,W671-IF($A686&gt;='1-Input'!$C$12,'1-Input'!$B$12,0))))*(1/(1-'P-Parametri'!$B$6*W686))+MIN(MAX(0,AB685-(MAX(0,W671-IF($A686&gt;='1-Input'!$C$12,'1-Input'!$B$12,0))-MIN(MAX(AA685,0),MAX(0,W671-IF($A686&gt;='1-Input'!$C$12,'1-Input'!$B$12,0))))*(1/(1-'P-Parametri'!$B$6*W686))),MAX(0,0*W671-(AA685-MIN(MAX(AA685,0),MAX(0,W671-IF($A686&gt;='1-Input'!$C$12,'1-Input'!$B$12,0)))))*(1/(1-'P-Parametri'!$B$6*W686))))</f>
        <v>21484.204609329325</v>
      </c>
      <c r="Y686" s="18">
        <f>IF($A686&gt;('1-Input'!$B$26-2),AA685,(AA685-MAX(0,W671-IF($A686&gt;='1-Input'!$C$12,'1-Input'!$B$12,0))+X686*(1-'P-Parametri'!$B$6*W686))*(1+'1-Input'!$B$27))</f>
        <v>0</v>
      </c>
      <c r="Z686" s="18">
        <f>IF($A686&gt;('1-Input'!$B$26-2),AB685,(AB685-X686)*(1+'5-Roberta'!$C$4))</f>
        <v>298856.36495039205</v>
      </c>
      <c r="AA686" s="18">
        <f>IF($A686&gt;('1-Input'!$B$26-2),Y686,Y686-'P-Parametri'!$B$8*(Z686+Y686)+MIN(MAX(Z686,0),'P-Parametri'!$B$8*(Z686+Y686)))</f>
        <v>0</v>
      </c>
      <c r="AB686" s="18">
        <f>IF($A686&gt;('1-Input'!$B$26-2),Z686,Z686-MIN(MAX(Z686,0),'P-Parametri'!$B$8*(Z686+Y686)))</f>
        <v>298258.65222049126</v>
      </c>
      <c r="AC686" s="18">
        <f>IF($A686&gt;('1-Input'!$B$26-2),AC685,AC685-X686*(1-W686))</f>
        <v>163354.31461628922</v>
      </c>
      <c r="AD686" s="11">
        <f>IF($A686&gt;('1-Input'!$B$26-2),0,IF(AI685&lt;=0,0,MAX(0,(AI685-AJ685)/AI685)))</f>
        <v>0.43700397987940803</v>
      </c>
      <c r="AE686" s="18">
        <f>IF($A686&gt;('1-Input'!$B$26-2),0,(MAX(0,AD671-IF($A686&gt;='1-Input'!$C$12,'1-Input'!$B$12,0))-MIN(MAX(AH685,0),MAX(0,AD671-IF($A686&gt;='1-Input'!$C$12,'1-Input'!$B$12,0))))*(1/(1-'P-Parametri'!$B$6*AD686))+MIN(MAX(0,AI685-(MAX(0,AD671-IF($A686&gt;='1-Input'!$C$12,'1-Input'!$B$12,0))-MIN(MAX(AH685,0),MAX(0,AD671-IF($A686&gt;='1-Input'!$C$12,'1-Input'!$B$12,0))))*(1/(1-'P-Parametri'!$B$6*AD686))),MAX(0,0*AD671-(AH685-MIN(MAX(AH685,0),MAX(0,AD671-IF($A686&gt;='1-Input'!$C$12,'1-Input'!$B$12,0)))))*(1/(1-'P-Parametri'!$B$6*AD686))))</f>
        <v>21484.883880062345</v>
      </c>
      <c r="AF686" s="18">
        <f>IF($A686&gt;('1-Input'!$B$26-2),AH685,(AH685-MAX(0,AD671-IF($A686&gt;='1-Input'!$C$12,'1-Input'!$B$12,0))+AE686*(1-'P-Parametri'!$B$6*AD686))*(1+'1-Input'!$B$27))</f>
        <v>0</v>
      </c>
      <c r="AG686" s="18">
        <f>IF($A686&gt;('1-Input'!$B$26-2),AI685,(AI685-AE686)*(1+'5-Roberta'!$C$4))</f>
        <v>298845.91574859846</v>
      </c>
      <c r="AH686" s="18">
        <f>IF($A686&gt;('1-Input'!$B$26-2),AF686,AF686-'P-Parametri'!$B$8*(AG686+AF686)+MIN(MAX(AG686,0),'P-Parametri'!$B$8*(AG686+AF686)))</f>
        <v>0</v>
      </c>
      <c r="AI686" s="18">
        <f>IF($A686&gt;('1-Input'!$B$26-2),AG686,AG686-MIN(MAX(AG686,0),'P-Parametri'!$B$8*(AG686+AF686)))</f>
        <v>298248.22391710128</v>
      </c>
      <c r="AJ686" s="18">
        <f>IF($A686&gt;('1-Input'!$B$26-2),AJ685,AJ685-AE686*(1-AD686))</f>
        <v>163348.60310267442</v>
      </c>
      <c r="AK686" s="11">
        <f>IF($A686&gt;('1-Input'!$B$26-2),0,IF(AP685&lt;=0,0,MAX(0,(AP685-AQ685)/AP685)))</f>
        <v>0.43700397987940776</v>
      </c>
      <c r="AL686" s="18">
        <f>IF($A686&gt;('1-Input'!$B$26-2),0,(MAX(0,AK671-IF($A686&gt;='1-Input'!$C$12,'1-Input'!$B$12,0))-MIN(MAX(AO685,0),MAX(0,AK671-IF($A686&gt;='1-Input'!$C$12,'1-Input'!$B$12,0))))*(1/(1-'P-Parametri'!$B$6*AK686))+MIN(MAX(0,AP685-(MAX(0,AK671-IF($A686&gt;='1-Input'!$C$12,'1-Input'!$B$12,0))-MIN(MAX(AO685,0),MAX(0,AK671-IF($A686&gt;='1-Input'!$C$12,'1-Input'!$B$12,0))))*(1/(1-'P-Parametri'!$B$6*AK686))),MAX(0,0*AK671-(AO685-MIN(MAX(AO685,0),MAX(0,AK671-IF($A686&gt;='1-Input'!$C$12,'1-Input'!$B$12,0)))))*(1/(1-'P-Parametri'!$B$6*AK686))))</f>
        <v>21484.766958705324</v>
      </c>
      <c r="AM686" s="18">
        <f>IF($A686&gt;('1-Input'!$B$26-2),AO685,(AO685-MAX(0,AK671-IF($A686&gt;='1-Input'!$C$12,'1-Input'!$B$12,0))+AL686*(1-'P-Parametri'!$B$6*AK686))*(1+'1-Input'!$B$27))</f>
        <v>0</v>
      </c>
      <c r="AN686" s="18">
        <f>IF($A686&gt;('1-Input'!$B$26-2),AP685,(AP685-AL686)*(1+'5-Roberta'!$C$4))</f>
        <v>298847.71434640937</v>
      </c>
      <c r="AO686" s="18">
        <f>IF($A686&gt;('1-Input'!$B$26-2),AM686,AM686-'P-Parametri'!$B$8*(AN686+AM686)+MIN(MAX(AN686,0),'P-Parametri'!$B$8*(AN686+AM686)))</f>
        <v>0</v>
      </c>
      <c r="AP686" s="18">
        <f>IF($A686&gt;('1-Input'!$B$26-2),AN686,AN686-MIN(MAX(AN686,0),'P-Parametri'!$B$8*(AN686+AM686)))</f>
        <v>298250.01891771657</v>
      </c>
      <c r="AQ686" s="18">
        <f>IF($A686&gt;('1-Input'!$B$26-2),AQ685,AQ685-AL686*(1-AK686))</f>
        <v>163349.58621278068</v>
      </c>
    </row>
    <row r="687" spans="1:43">
      <c r="A687" s="10">
        <f>14</f>
        <v>14</v>
      </c>
      <c r="B687" s="11">
        <f>IF($A687&gt;('1-Input'!$B$26-2),0,IF(G686&lt;=0,0,MAX(0,(G686-H686)/G686)))</f>
        <v>0.45230653528358444</v>
      </c>
      <c r="C687" s="18">
        <f>IF($A687&gt;('1-Input'!$B$26-2),0,(MAX(0,B671-IF($A687&gt;='1-Input'!$C$12,'1-Input'!$B$12,0))-MIN(MAX(F686,0),MAX(0,B671-IF($A687&gt;='1-Input'!$C$12,'1-Input'!$B$12,0))))*(1/(1-'P-Parametri'!$B$6*B687))+MIN(MAX(0,G686-(MAX(0,B671-IF($A687&gt;='1-Input'!$C$12,'1-Input'!$B$12,0))-MIN(MAX(F686,0),MAX(0,B671-IF($A687&gt;='1-Input'!$C$12,'1-Input'!$B$12,0))))*(1/(1-'P-Parametri'!$B$6*B687))),MAX(0,0*B671-(F686-MIN(MAX(F686,0),MAX(0,B671-IF($A687&gt;='1-Input'!$C$12,'1-Input'!$B$12,0)))))*(1/(1-'P-Parametri'!$B$6*B687))))</f>
        <v>18904.181355112731</v>
      </c>
      <c r="D687" s="18">
        <f>IF($A687&gt;('1-Input'!$B$26-2),F686,(F686-MAX(0,B671-IF($A687&gt;='1-Input'!$C$12,'1-Input'!$B$12,0))+C687*(1-'P-Parametri'!$B$6*B687))*(1+'1-Input'!$B$27))</f>
        <v>0</v>
      </c>
      <c r="E687" s="18">
        <f>IF($A687&gt;('1-Input'!$B$26-2),G686,(G686-C687)*(1+'5-Roberta'!$C$4))</f>
        <v>329874.20910751598</v>
      </c>
      <c r="F687" s="18">
        <f>IF($A687&gt;('1-Input'!$B$26-2),D687,D687-'P-Parametri'!$B$8*(E687+D687)+MIN(MAX(E687,0),'P-Parametri'!$B$8*(E687+D687)))</f>
        <v>0</v>
      </c>
      <c r="G687" s="18">
        <f>IF($A687&gt;('1-Input'!$B$26-2),E687,E687-MIN(MAX(E687,0),'P-Parametri'!$B$8*(E687+D687)))</f>
        <v>329214.46068930096</v>
      </c>
      <c r="H687" s="18">
        <f>IF($A687&gt;('1-Input'!$B$26-2),H686,H686-C687*(1-B687))</f>
        <v>175407.71699677943</v>
      </c>
      <c r="I687" s="11">
        <f>IF($A687&gt;('1-Input'!$B$26-2),0,IF(N686&lt;=0,0,MAX(0,(N686-O686)/N686)))</f>
        <v>0.45230653528358494</v>
      </c>
      <c r="J687" s="18">
        <f>IF($A687&gt;('1-Input'!$B$26-2),0,(MAX(0,I671-IF($A687&gt;='1-Input'!$C$12,'1-Input'!$B$12,0))-MIN(MAX(M686,0),MAX(0,I671-IF($A687&gt;='1-Input'!$C$12,'1-Input'!$B$12,0))))*(1/(1-'P-Parametri'!$B$6*I687))+MIN(MAX(0,N686-(MAX(0,I671-IF($A687&gt;='1-Input'!$C$12,'1-Input'!$B$12,0))-MIN(MAX(M686,0),MAX(0,I671-IF($A687&gt;='1-Input'!$C$12,'1-Input'!$B$12,0))))*(1/(1-'P-Parametri'!$B$6*I687))),MAX(0,0*I671-(M686-MIN(MAX(M686,0),MAX(0,I671-IF($A687&gt;='1-Input'!$C$12,'1-Input'!$B$12,0)))))*(1/(1-'P-Parametri'!$B$6*I687))))</f>
        <v>24873.92283567465</v>
      </c>
      <c r="K687" s="18">
        <f>IF($A687&gt;('1-Input'!$B$26-2),M686,(M686-MAX(0,I671-IF($A687&gt;='1-Input'!$C$12,'1-Input'!$B$12,0))+J687*(1-'P-Parametri'!$B$6*I687))*(1+'1-Input'!$B$27))</f>
        <v>0</v>
      </c>
      <c r="L687" s="18">
        <f>IF($A687&gt;('1-Input'!$B$26-2),N686,(N686-J687)*(1+'5-Roberta'!$C$4))</f>
        <v>229750.94326810358</v>
      </c>
      <c r="M687" s="18">
        <f>IF($A687&gt;('1-Input'!$B$26-2),K687,K687-'P-Parametri'!$B$8*(L687+K687)+MIN(MAX(L687,0),'P-Parametri'!$B$8*(L687+K687)))</f>
        <v>0</v>
      </c>
      <c r="N687" s="18">
        <f>IF($A687&gt;('1-Input'!$B$26-2),L687,L687-MIN(MAX(L687,0),'P-Parametri'!$B$8*(L687+K687)))</f>
        <v>229291.44138156739</v>
      </c>
      <c r="O687" s="18">
        <f>IF($A687&gt;('1-Input'!$B$26-2),O686,O686-J687*(1-I687))</f>
        <v>122168.04867997298</v>
      </c>
      <c r="P687" s="11">
        <f>IF($A687&gt;('1-Input'!$B$26-2),0,IF(U686&lt;=0,0,MAX(0,(U686-V686)/U686)))</f>
        <v>0.45230653528358483</v>
      </c>
      <c r="Q687" s="18">
        <f>IF($A687&gt;('1-Input'!$B$26-2),0,(MAX(0,P671-IF($A687&gt;='1-Input'!$C$12,'1-Input'!$B$12,0))-MIN(MAX(T686,0),MAX(0,P671-IF($A687&gt;='1-Input'!$C$12,'1-Input'!$B$12,0))))*(1/(1-'P-Parametri'!$B$6*P687))+MIN(MAX(0,U686-(MAX(0,P671-IF($A687&gt;='1-Input'!$C$12,'1-Input'!$B$12,0))-MIN(MAX(T686,0),MAX(0,P671-IF($A687&gt;='1-Input'!$C$12,'1-Input'!$B$12,0))))*(1/(1-'P-Parametri'!$B$6*P687))),MAX(0,0*P671-(T686-MIN(MAX(T686,0),MAX(0,P671-IF($A687&gt;='1-Input'!$C$12,'1-Input'!$B$12,0)))))*(1/(1-'P-Parametri'!$B$6*P687))))</f>
        <v>21865.787174263387</v>
      </c>
      <c r="R687" s="18">
        <f>IF($A687&gt;('1-Input'!$B$26-2),T686,(T686-MAX(0,P671-IF($A687&gt;='1-Input'!$C$12,'1-Input'!$B$12,0))+Q687*(1-'P-Parametri'!$B$6*P687))*(1+'1-Input'!$B$27))</f>
        <v>3.6248820833861826E-12</v>
      </c>
      <c r="S687" s="18">
        <f>IF($A687&gt;('1-Input'!$B$26-2),U686,(U686-Q687)*(1+'5-Roberta'!$C$4))</f>
        <v>280202.77061928506</v>
      </c>
      <c r="T687" s="18">
        <f>IF($A687&gt;('1-Input'!$B$26-2),R687,R687-'P-Parametri'!$B$8*(S687+R687)+MIN(MAX(S687,0),'P-Parametri'!$B$8*(S687+R687)))</f>
        <v>3.637978807091713E-12</v>
      </c>
      <c r="U687" s="18">
        <f>IF($A687&gt;('1-Input'!$B$26-2),S687,S687-MIN(MAX(S687,0),'P-Parametri'!$B$8*(S687+R687)))</f>
        <v>279642.36507804651</v>
      </c>
      <c r="V687" s="18">
        <f>IF($A687&gt;('1-Input'!$B$26-2),V686,V686-Q687*(1-P687))</f>
        <v>148995.36530448074</v>
      </c>
      <c r="W687" s="11">
        <f>IF($A687&gt;('1-Input'!$B$26-2),0,IF(AB686&lt;=0,0,MAX(0,(AB686-AC686)/AB686)))</f>
        <v>0.45230653528358467</v>
      </c>
      <c r="X687" s="18">
        <f>IF($A687&gt;('1-Input'!$B$26-2),0,(MAX(0,W671-IF($A687&gt;='1-Input'!$C$12,'1-Input'!$B$12,0))-MIN(MAX(AA686,0),MAX(0,W671-IF($A687&gt;='1-Input'!$C$12,'1-Input'!$B$12,0))))*(1/(1-'P-Parametri'!$B$6*W687))+MIN(MAX(0,AB686-(MAX(0,W671-IF($A687&gt;='1-Input'!$C$12,'1-Input'!$B$12,0))-MIN(MAX(AA686,0),MAX(0,W671-IF($A687&gt;='1-Input'!$C$12,'1-Input'!$B$12,0))))*(1/(1-'P-Parametri'!$B$6*W687))),MAX(0,0*W671-(AA686-MIN(MAX(AA686,0),MAX(0,W671-IF($A687&gt;='1-Input'!$C$12,'1-Input'!$B$12,0)))))*(1/(1-'P-Parametri'!$B$6*W687))))</f>
        <v>21581.074975387313</v>
      </c>
      <c r="Y687" s="18">
        <f>IF($A687&gt;('1-Input'!$B$26-2),AA686,(AA686-MAX(0,W671-IF($A687&gt;='1-Input'!$C$12,'1-Input'!$B$12,0))+X687*(1-'P-Parametri'!$B$6*W687))*(1+'1-Input'!$B$27))</f>
        <v>0</v>
      </c>
      <c r="Z687" s="18">
        <f>IF($A687&gt;('1-Input'!$B$26-2),AB686,(AB686-X687)*(1+'5-Roberta'!$C$4))</f>
        <v>284977.90456245706</v>
      </c>
      <c r="AA687" s="18">
        <f>IF($A687&gt;('1-Input'!$B$26-2),Y687,Y687-'P-Parametri'!$B$8*(Z687+Y687)+MIN(MAX(Z687,0),'P-Parametri'!$B$8*(Z687+Y687)))</f>
        <v>0</v>
      </c>
      <c r="AB687" s="18">
        <f>IF($A687&gt;('1-Input'!$B$26-2),Z687,Z687-MIN(MAX(Z687,0),'P-Parametri'!$B$8*(Z687+Y687)))</f>
        <v>284407.94875333214</v>
      </c>
      <c r="AC687" s="18">
        <f>IF($A687&gt;('1-Input'!$B$26-2),AC686,AC686-X687*(1-W687))</f>
        <v>151534.50089071461</v>
      </c>
      <c r="AD687" s="11">
        <f>IF($A687&gt;('1-Input'!$B$26-2),0,IF(AI686&lt;=0,0,MAX(0,(AI686-AJ686)/AI686)))</f>
        <v>0.45230653528358478</v>
      </c>
      <c r="AE687" s="18">
        <f>IF($A687&gt;('1-Input'!$B$26-2),0,(MAX(0,AD671-IF($A687&gt;='1-Input'!$C$12,'1-Input'!$B$12,0))-MIN(MAX(AH686,0),MAX(0,AD671-IF($A687&gt;='1-Input'!$C$12,'1-Input'!$B$12,0))))*(1/(1-'P-Parametri'!$B$6*AD687))+MIN(MAX(0,AI686-(MAX(0,AD671-IF($A687&gt;='1-Input'!$C$12,'1-Input'!$B$12,0))-MIN(MAX(AH686,0),MAX(0,AD671-IF($A687&gt;='1-Input'!$C$12,'1-Input'!$B$12,0))))*(1/(1-'P-Parametri'!$B$6*AD687))),MAX(0,0*AD671-(AH686-MIN(MAX(AH686,0),MAX(0,AD671-IF($A687&gt;='1-Input'!$C$12,'1-Input'!$B$12,0)))))*(1/(1-'P-Parametri'!$B$6*AD687))))</f>
        <v>21581.757308891603</v>
      </c>
      <c r="AF687" s="18">
        <f>IF($A687&gt;('1-Input'!$B$26-2),AH686,(AH686-MAX(0,AD671-IF($A687&gt;='1-Input'!$C$12,'1-Input'!$B$12,0))+AE687*(1-'P-Parametri'!$B$6*AD687))*(1+'1-Input'!$B$27))</f>
        <v>0</v>
      </c>
      <c r="AG687" s="18">
        <f>IF($A687&gt;('1-Input'!$B$26-2),AI686,(AI686-AE687)*(1+'5-Roberta'!$C$4))</f>
        <v>284966.46060645598</v>
      </c>
      <c r="AH687" s="18">
        <f>IF($A687&gt;('1-Input'!$B$26-2),AF687,AF687-'P-Parametri'!$B$8*(AG687+AF687)+MIN(MAX(AG687,0),'P-Parametri'!$B$8*(AG687+AF687)))</f>
        <v>0</v>
      </c>
      <c r="AI687" s="18">
        <f>IF($A687&gt;('1-Input'!$B$26-2),AG687,AG687-MIN(MAX(AG687,0),'P-Parametri'!$B$8*(AG687+AF687)))</f>
        <v>284396.52768524305</v>
      </c>
      <c r="AJ687" s="18">
        <f>IF($A687&gt;('1-Input'!$B$26-2),AJ686,AJ686-AE687*(1-AD687))</f>
        <v>151528.41566749875</v>
      </c>
      <c r="AK687" s="11">
        <f>IF($A687&gt;('1-Input'!$B$26-2),0,IF(AP686&lt;=0,0,MAX(0,(AP686-AQ686)/AP686)))</f>
        <v>0.45230653528358444</v>
      </c>
      <c r="AL687" s="18">
        <f>IF($A687&gt;('1-Input'!$B$26-2),0,(MAX(0,AK671-IF($A687&gt;='1-Input'!$C$12,'1-Input'!$B$12,0))-MIN(MAX(AO686,0),MAX(0,AK671-IF($A687&gt;='1-Input'!$C$12,'1-Input'!$B$12,0))))*(1/(1-'P-Parametri'!$B$6*AK687))+MIN(MAX(0,AP686-(MAX(0,AK671-IF($A687&gt;='1-Input'!$C$12,'1-Input'!$B$12,0))-MIN(MAX(AO686,0),MAX(0,AK671-IF($A687&gt;='1-Input'!$C$12,'1-Input'!$B$12,0))))*(1/(1-'P-Parametri'!$B$6*AK687))),MAX(0,0*AK671-(AO686-MIN(MAX(AO686,0),MAX(0,AK671-IF($A687&gt;='1-Input'!$C$12,'1-Input'!$B$12,0)))))*(1/(1-'P-Parametri'!$B$6*AK687))))</f>
        <v>21581.63986034659</v>
      </c>
      <c r="AM687" s="18">
        <f>IF($A687&gt;('1-Input'!$B$26-2),AO686,(AO686-MAX(0,AK671-IF($A687&gt;='1-Input'!$C$12,'1-Input'!$B$12,0))+AL687*(1-'P-Parametri'!$B$6*AK687))*(1+'1-Input'!$B$27))</f>
        <v>0</v>
      </c>
      <c r="AN687" s="18">
        <f>IF($A687&gt;('1-Input'!$B$26-2),AP686,(AP686-AL687)*(1+'5-Roberta'!$C$4))</f>
        <v>284968.43042909109</v>
      </c>
      <c r="AO687" s="18">
        <f>IF($A687&gt;('1-Input'!$B$26-2),AM687,AM687-'P-Parametri'!$B$8*(AN687+AM687)+MIN(MAX(AN687,0),'P-Parametri'!$B$8*(AN687+AM687)))</f>
        <v>0</v>
      </c>
      <c r="AP687" s="18">
        <f>IF($A687&gt;('1-Input'!$B$26-2),AN687,AN687-MIN(MAX(AN687,0),'P-Parametri'!$B$8*(AN687+AM687)))</f>
        <v>284398.49356823292</v>
      </c>
      <c r="AQ687" s="18">
        <f>IF($A687&gt;('1-Input'!$B$26-2),AQ686,AQ686-AL687*(1-AK687))</f>
        <v>151529.46310340555</v>
      </c>
    </row>
    <row r="688" spans="1:43">
      <c r="A688" s="10">
        <f>15</f>
        <v>15</v>
      </c>
      <c r="B688" s="11">
        <f>IF($A688&gt;('1-Input'!$B$26-2),0,IF(G687&lt;=0,0,MAX(0,(G687-H687)/G687)))</f>
        <v>0.46719315843685855</v>
      </c>
      <c r="C688" s="18">
        <f>IF($A688&gt;('1-Input'!$B$26-2),0,(MAX(0,B671-IF($A688&gt;='1-Input'!$C$12,'1-Input'!$B$12,0))-MIN(MAX(F687,0),MAX(0,B671-IF($A688&gt;='1-Input'!$C$12,'1-Input'!$B$12,0))))*(1/(1-'P-Parametri'!$B$6*B688))+MIN(MAX(0,G687-(MAX(0,B671-IF($A688&gt;='1-Input'!$C$12,'1-Input'!$B$12,0))-MIN(MAX(F687,0),MAX(0,B671-IF($A688&gt;='1-Input'!$C$12,'1-Input'!$B$12,0))))*(1/(1-'P-Parametri'!$B$6*B688))),MAX(0,0*B671-(F687-MIN(MAX(F687,0),MAX(0,B671-IF($A688&gt;='1-Input'!$C$12,'1-Input'!$B$12,0)))))*(1/(1-'P-Parametri'!$B$6*B688))))</f>
        <v>18987.467149137421</v>
      </c>
      <c r="D688" s="18">
        <f>IF($A688&gt;('1-Input'!$B$26-2),F687,(F687-MAX(0,B671-IF($A688&gt;='1-Input'!$C$12,'1-Input'!$B$12,0))+C688*(1-'P-Parametri'!$B$6*B688))*(1+'1-Input'!$B$27))</f>
        <v>0</v>
      </c>
      <c r="E688" s="18">
        <f>IF($A688&gt;('1-Input'!$B$26-2),G687,(G687-C688)*(1+'5-Roberta'!$C$4))</f>
        <v>319533.80334636848</v>
      </c>
      <c r="F688" s="18">
        <f>IF($A688&gt;('1-Input'!$B$26-2),D688,D688-'P-Parametri'!$B$8*(E688+D688)+MIN(MAX(E688,0),'P-Parametri'!$B$8*(E688+D688)))</f>
        <v>0</v>
      </c>
      <c r="G688" s="18">
        <f>IF($A688&gt;('1-Input'!$B$26-2),E688,E688-MIN(MAX(E688,0),'P-Parametri'!$B$8*(E688+D688)))</f>
        <v>318894.73573967576</v>
      </c>
      <c r="H688" s="18">
        <f>IF($A688&gt;('1-Input'!$B$26-2),H687,H687-C688*(1-B688))</f>
        <v>165291.06459576363</v>
      </c>
      <c r="I688" s="11">
        <f>IF($A688&gt;('1-Input'!$B$26-2),0,IF(N687&lt;=0,0,MAX(0,(N687-O687)/N687)))</f>
        <v>0.4671931584368591</v>
      </c>
      <c r="J688" s="18">
        <f>IF($A688&gt;('1-Input'!$B$26-2),0,(MAX(0,I671-IF($A688&gt;='1-Input'!$C$12,'1-Input'!$B$12,0))-MIN(MAX(M687,0),MAX(0,I671-IF($A688&gt;='1-Input'!$C$12,'1-Input'!$B$12,0))))*(1/(1-'P-Parametri'!$B$6*I688))+MIN(MAX(0,N687-(MAX(0,I671-IF($A688&gt;='1-Input'!$C$12,'1-Input'!$B$12,0))-MIN(MAX(M687,0),MAX(0,I671-IF($A688&gt;='1-Input'!$C$12,'1-Input'!$B$12,0))))*(1/(1-'P-Parametri'!$B$6*I688))),MAX(0,0*I671-(M687-MIN(MAX(M687,0),MAX(0,I671-IF($A688&gt;='1-Input'!$C$12,'1-Input'!$B$12,0)))))*(1/(1-'P-Parametri'!$B$6*I688))))</f>
        <v>24983.509406759771</v>
      </c>
      <c r="K688" s="18">
        <f>IF($A688&gt;('1-Input'!$B$26-2),M687,(M687-MAX(0,I671-IF($A688&gt;='1-Input'!$C$12,'1-Input'!$B$12,0))+J688*(1-'P-Parametri'!$B$6*I688))*(1+'1-Input'!$B$27))</f>
        <v>0</v>
      </c>
      <c r="L688" s="18">
        <f>IF($A688&gt;('1-Input'!$B$26-2),N687,(N687-J688)*(1+'5-Roberta'!$C$4))</f>
        <v>210437.16993405184</v>
      </c>
      <c r="M688" s="18">
        <f>IF($A688&gt;('1-Input'!$B$26-2),K688,K688-'P-Parametri'!$B$8*(L688+K688)+MIN(MAX(L688,0),'P-Parametri'!$B$8*(L688+K688)))</f>
        <v>0</v>
      </c>
      <c r="N688" s="18">
        <f>IF($A688&gt;('1-Input'!$B$26-2),L688,L688-MIN(MAX(L688,0),'P-Parametri'!$B$8*(L688+K688)))</f>
        <v>210016.29559418373</v>
      </c>
      <c r="O688" s="18">
        <f>IF($A688&gt;('1-Input'!$B$26-2),O687,O687-J688*(1-I688))</f>
        <v>108856.66394179429</v>
      </c>
      <c r="P688" s="11">
        <f>IF($A688&gt;('1-Input'!$B$26-2),0,IF(U687&lt;=0,0,MAX(0,(U687-V687)/U687)))</f>
        <v>0.46719315843685905</v>
      </c>
      <c r="Q688" s="18">
        <f>IF($A688&gt;('1-Input'!$B$26-2),0,(MAX(0,P671-IF($A688&gt;='1-Input'!$C$12,'1-Input'!$B$12,0))-MIN(MAX(T687,0),MAX(0,P671-IF($A688&gt;='1-Input'!$C$12,'1-Input'!$B$12,0))))*(1/(1-'P-Parametri'!$B$6*P688))+MIN(MAX(0,U687-(MAX(0,P671-IF($A688&gt;='1-Input'!$C$12,'1-Input'!$B$12,0))-MIN(MAX(T687,0),MAX(0,P671-IF($A688&gt;='1-Input'!$C$12,'1-Input'!$B$12,0))))*(1/(1-'P-Parametri'!$B$6*P688))),MAX(0,0*P671-(T687-MIN(MAX(T687,0),MAX(0,P671-IF($A688&gt;='1-Input'!$C$12,'1-Input'!$B$12,0)))))*(1/(1-'P-Parametri'!$B$6*P688))))</f>
        <v>21962.120858995564</v>
      </c>
      <c r="R688" s="18">
        <f>IF($A688&gt;('1-Input'!$B$26-2),T687,(T687-MAX(0,P671-IF($A688&gt;='1-Input'!$C$12,'1-Input'!$B$12,0))+Q688*(1-'P-Parametri'!$B$6*P688))*(1+'1-Input'!$B$27))</f>
        <v>0</v>
      </c>
      <c r="S688" s="18">
        <f>IF($A688&gt;('1-Input'!$B$26-2),U687,(U687-Q688)*(1+'5-Roberta'!$C$4))</f>
        <v>265410.6515456225</v>
      </c>
      <c r="T688" s="18">
        <f>IF($A688&gt;('1-Input'!$B$26-2),R688,R688-'P-Parametri'!$B$8*(S688+R688)+MIN(MAX(S688,0),'P-Parametri'!$B$8*(S688+R688)))</f>
        <v>0</v>
      </c>
      <c r="U688" s="18">
        <f>IF($A688&gt;('1-Input'!$B$26-2),S688,S688-MIN(MAX(S688,0),'P-Parametri'!$B$8*(S688+R688)))</f>
        <v>264879.83024253126</v>
      </c>
      <c r="V688" s="18">
        <f>IF($A688&gt;('1-Input'!$B$26-2),V687,V687-Q688*(1-P688))</f>
        <v>137293.79705557134</v>
      </c>
      <c r="W688" s="11">
        <f>IF($A688&gt;('1-Input'!$B$26-2),0,IF(AB687&lt;=0,0,MAX(0,(AB687-AC687)/AB687)))</f>
        <v>0.46719315843685882</v>
      </c>
      <c r="X688" s="18">
        <f>IF($A688&gt;('1-Input'!$B$26-2),0,(MAX(0,W671-IF($A688&gt;='1-Input'!$C$12,'1-Input'!$B$12,0))-MIN(MAX(AA687,0),MAX(0,W671-IF($A688&gt;='1-Input'!$C$12,'1-Input'!$B$12,0))))*(1/(1-'P-Parametri'!$B$6*W688))+MIN(MAX(0,AB687-(MAX(0,W671-IF($A688&gt;='1-Input'!$C$12,'1-Input'!$B$12,0))-MIN(MAX(AA687,0),MAX(0,W671-IF($A688&gt;='1-Input'!$C$12,'1-Input'!$B$12,0))))*(1/(1-'P-Parametri'!$B$6*W688))),MAX(0,0*W671-(AA687-MIN(MAX(AA687,0),MAX(0,W671-IF($A688&gt;='1-Input'!$C$12,'1-Input'!$B$12,0)))))*(1/(1-'P-Parametri'!$B$6*W688))))</f>
        <v>21676.154308973229</v>
      </c>
      <c r="Y688" s="18">
        <f>IF($A688&gt;('1-Input'!$B$26-2),AA687,(AA687-MAX(0,W671-IF($A688&gt;='1-Input'!$C$12,'1-Input'!$B$12,0))+X688*(1-'P-Parametri'!$B$6*W688))*(1+'1-Input'!$B$27))</f>
        <v>0</v>
      </c>
      <c r="Z688" s="18">
        <f>IF($A688&gt;('1-Input'!$B$26-2),AB687,(AB687-X688)*(1+'5-Roberta'!$C$4))</f>
        <v>270613.74827768968</v>
      </c>
      <c r="AA688" s="18">
        <f>IF($A688&gt;('1-Input'!$B$26-2),Y688,Y688-'P-Parametri'!$B$8*(Z688+Y688)+MIN(MAX(Z688,0),'P-Parametri'!$B$8*(Z688+Y688)))</f>
        <v>0</v>
      </c>
      <c r="AB688" s="18">
        <f>IF($A688&gt;('1-Input'!$B$26-2),Z688,Z688-MIN(MAX(Z688,0),'P-Parametri'!$B$8*(Z688+Y688)))</f>
        <v>270072.52078113431</v>
      </c>
      <c r="AC688" s="18">
        <f>IF($A688&gt;('1-Input'!$B$26-2),AC687,AC687-X688*(1-W688))</f>
        <v>139985.29757611532</v>
      </c>
      <c r="AD688" s="11">
        <f>IF($A688&gt;('1-Input'!$B$26-2),0,IF(AI687&lt;=0,0,MAX(0,(AI687-AJ687)/AI687)))</f>
        <v>0.46719315843685899</v>
      </c>
      <c r="AE688" s="18">
        <f>IF($A688&gt;('1-Input'!$B$26-2),0,(MAX(0,AD671-IF($A688&gt;='1-Input'!$C$12,'1-Input'!$B$12,0))-MIN(MAX(AH687,0),MAX(0,AD671-IF($A688&gt;='1-Input'!$C$12,'1-Input'!$B$12,0))))*(1/(1-'P-Parametri'!$B$6*AD688))+MIN(MAX(0,AI687-(MAX(0,AD671-IF($A688&gt;='1-Input'!$C$12,'1-Input'!$B$12,0))-MIN(MAX(AH687,0),MAX(0,AD671-IF($A688&gt;='1-Input'!$C$12,'1-Input'!$B$12,0))))*(1/(1-'P-Parametri'!$B$6*AD688))),MAX(0,0*AD671-(AH687-MIN(MAX(AH687,0),MAX(0,AD671-IF($A688&gt;='1-Input'!$C$12,'1-Input'!$B$12,0)))))*(1/(1-'P-Parametri'!$B$6*AD688))))</f>
        <v>21676.839648621324</v>
      </c>
      <c r="AF688" s="18">
        <f>IF($A688&gt;('1-Input'!$B$26-2),AH687,(AH687-MAX(0,AD671-IF($A688&gt;='1-Input'!$C$12,'1-Input'!$B$12,0))+AE688*(1-'P-Parametri'!$B$6*AD688))*(1+'1-Input'!$B$27))</f>
        <v>0</v>
      </c>
      <c r="AG688" s="18">
        <f>IF($A688&gt;('1-Input'!$B$26-2),AI687,(AI687-AE688)*(1+'5-Roberta'!$C$4))</f>
        <v>270601.2786777204</v>
      </c>
      <c r="AH688" s="18">
        <f>IF($A688&gt;('1-Input'!$B$26-2),AF688,AF688-'P-Parametri'!$B$8*(AG688+AF688)+MIN(MAX(AG688,0),'P-Parametri'!$B$8*(AG688+AF688)))</f>
        <v>0</v>
      </c>
      <c r="AI688" s="18">
        <f>IF($A688&gt;('1-Input'!$B$26-2),AG688,AG688-MIN(MAX(AG688,0),'P-Parametri'!$B$8*(AG688+AF688)))</f>
        <v>270060.07612036495</v>
      </c>
      <c r="AJ688" s="18">
        <f>IF($A688&gt;('1-Input'!$B$26-2),AJ687,AJ687-AE688*(1-AD688))</f>
        <v>139978.84719924614</v>
      </c>
      <c r="AK688" s="11">
        <f>IF($A688&gt;('1-Input'!$B$26-2),0,IF(AP687&lt;=0,0,MAX(0,(AP687-AQ687)/AP687)))</f>
        <v>0.46719315843685866</v>
      </c>
      <c r="AL688" s="18">
        <f>IF($A688&gt;('1-Input'!$B$26-2),0,(MAX(0,AK671-IF($A688&gt;='1-Input'!$C$12,'1-Input'!$B$12,0))-MIN(MAX(AO687,0),MAX(0,AK671-IF($A688&gt;='1-Input'!$C$12,'1-Input'!$B$12,0))))*(1/(1-'P-Parametri'!$B$6*AK688))+MIN(MAX(0,AP687-(MAX(0,AK671-IF($A688&gt;='1-Input'!$C$12,'1-Input'!$B$12,0))-MIN(MAX(AO687,0),MAX(0,AK671-IF($A688&gt;='1-Input'!$C$12,'1-Input'!$B$12,0))))*(1/(1-'P-Parametri'!$B$6*AK688))),MAX(0,0*AK671-(AO687-MIN(MAX(AO687,0),MAX(0,AK671-IF($A688&gt;='1-Input'!$C$12,'1-Input'!$B$12,0)))))*(1/(1-'P-Parametri'!$B$6*AK688))))</f>
        <v>21676.721682635485</v>
      </c>
      <c r="AM688" s="18">
        <f>IF($A688&gt;('1-Input'!$B$26-2),AO687,(AO687-MAX(0,AK671-IF($A688&gt;='1-Input'!$C$12,'1-Input'!$B$12,0))+AL688*(1-'P-Parametri'!$B$6*AK688))*(1+'1-Input'!$B$27))</f>
        <v>3.6248820833861826E-12</v>
      </c>
      <c r="AN688" s="18">
        <f>IF($A688&gt;('1-Input'!$B$26-2),AP687,(AP687-AL688)*(1+'5-Roberta'!$C$4))</f>
        <v>270603.42504216539</v>
      </c>
      <c r="AO688" s="18">
        <f>IF($A688&gt;('1-Input'!$B$26-2),AM688,AM688-'P-Parametri'!$B$8*(AN688+AM688)+MIN(MAX(AN688,0),'P-Parametri'!$B$8*(AN688+AM688)))</f>
        <v>3.637978807091713E-12</v>
      </c>
      <c r="AP688" s="18">
        <f>IF($A688&gt;('1-Input'!$B$26-2),AN688,AN688-MIN(MAX(AN688,0),'P-Parametri'!$B$8*(AN688+AM688)))</f>
        <v>270062.21819208103</v>
      </c>
      <c r="AQ688" s="18">
        <f>IF($A688&gt;('1-Input'!$B$26-2),AQ687,AQ687-AL688*(1-AK688))</f>
        <v>139979.95748823727</v>
      </c>
    </row>
    <row r="689" spans="1:43">
      <c r="A689" s="10">
        <f>16</f>
        <v>16</v>
      </c>
      <c r="B689" s="11">
        <f>IF($A689&gt;('1-Input'!$B$26-2),0,IF(G688&lt;=0,0,MAX(0,(G688-H688)/G688)))</f>
        <v>0.48167515461686344</v>
      </c>
      <c r="C689" s="18">
        <f>IF($A689&gt;('1-Input'!$B$26-2),0,(MAX(0,B671-IF($A689&gt;='1-Input'!$C$12,'1-Input'!$B$12,0))-MIN(MAX(F688,0),MAX(0,B671-IF($A689&gt;='1-Input'!$C$12,'1-Input'!$B$12,0))))*(1/(1-'P-Parametri'!$B$6*B689))+MIN(MAX(0,G688-(MAX(0,B671-IF($A689&gt;='1-Input'!$C$12,'1-Input'!$B$12,0))-MIN(MAX(F688,0),MAX(0,B671-IF($A689&gt;='1-Input'!$C$12,'1-Input'!$B$12,0))))*(1/(1-'P-Parametri'!$B$6*B689))),MAX(0,0*B671-(F688-MIN(MAX(F688,0),MAX(0,B671-IF($A689&gt;='1-Input'!$C$12,'1-Input'!$B$12,0)))))*(1/(1-'P-Parametri'!$B$6*B689))))</f>
        <v>19069.196430827764</v>
      </c>
      <c r="D689" s="18">
        <f>IF($A689&gt;('1-Input'!$B$26-2),F688,(F688-MAX(0,B671-IF($A689&gt;='1-Input'!$C$12,'1-Input'!$B$12,0))+C689*(1-'P-Parametri'!$B$6*B689))*(1+'1-Input'!$B$27))</f>
        <v>3.6248820833861826E-12</v>
      </c>
      <c r="E689" s="18">
        <f>IF($A689&gt;('1-Input'!$B$26-2),G688,(G688-C689)*(1+'5-Roberta'!$C$4))</f>
        <v>308820.30548811343</v>
      </c>
      <c r="F689" s="18">
        <f>IF($A689&gt;('1-Input'!$B$26-2),D689,D689-'P-Parametri'!$B$8*(E689+D689)+MIN(MAX(E689,0),'P-Parametri'!$B$8*(E689+D689)))</f>
        <v>3.637978807091713E-12</v>
      </c>
      <c r="G689" s="18">
        <f>IF($A689&gt;('1-Input'!$B$26-2),E689,E689-MIN(MAX(E689,0),'P-Parametri'!$B$8*(E689+D689)))</f>
        <v>308202.66487713723</v>
      </c>
      <c r="H689" s="18">
        <f>IF($A689&gt;('1-Input'!$B$26-2),H688,H688-C689*(1-B689))</f>
        <v>155407.02630417416</v>
      </c>
      <c r="I689" s="11">
        <f>IF($A689&gt;('1-Input'!$B$26-2),0,IF(N688&lt;=0,0,MAX(0,(N688-O688)/N688)))</f>
        <v>0.48167515461686389</v>
      </c>
      <c r="J689" s="18">
        <f>IF($A689&gt;('1-Input'!$B$26-2),0,(MAX(0,I671-IF($A689&gt;='1-Input'!$C$12,'1-Input'!$B$12,0))-MIN(MAX(M688,0),MAX(0,I671-IF($A689&gt;='1-Input'!$C$12,'1-Input'!$B$12,0))))*(1/(1-'P-Parametri'!$B$6*I689))+MIN(MAX(0,N688-(MAX(0,I671-IF($A689&gt;='1-Input'!$C$12,'1-Input'!$B$12,0))-MIN(MAX(M688,0),MAX(0,I671-IF($A689&gt;='1-Input'!$C$12,'1-Input'!$B$12,0))))*(1/(1-'P-Parametri'!$B$6*I689))),MAX(0,0*I671-(M688-MIN(MAX(M688,0),MAX(0,I671-IF($A689&gt;='1-Input'!$C$12,'1-Input'!$B$12,0)))))*(1/(1-'P-Parametri'!$B$6*I689))))</f>
        <v>25091.047935299692</v>
      </c>
      <c r="K689" s="18">
        <f>IF($A689&gt;('1-Input'!$B$26-2),M688,(M688-MAX(0,I671-IF($A689&gt;='1-Input'!$C$12,'1-Input'!$B$12,0))+J689*(1-'P-Parametri'!$B$6*I689))*(1+'1-Input'!$B$27))</f>
        <v>0</v>
      </c>
      <c r="L689" s="18">
        <f>IF($A689&gt;('1-Input'!$B$26-2),N688,(N688-J689)*(1+'5-Roberta'!$C$4))</f>
        <v>190473.00508865056</v>
      </c>
      <c r="M689" s="18">
        <f>IF($A689&gt;('1-Input'!$B$26-2),K689,K689-'P-Parametri'!$B$8*(L689+K689)+MIN(MAX(L689,0),'P-Parametri'!$B$8*(L689+K689)))</f>
        <v>0</v>
      </c>
      <c r="N689" s="18">
        <f>IF($A689&gt;('1-Input'!$B$26-2),L689,L689-MIN(MAX(L689,0),'P-Parametri'!$B$8*(L689+K689)))</f>
        <v>190092.05907847325</v>
      </c>
      <c r="O689" s="18">
        <f>IF($A689&gt;('1-Input'!$B$26-2),O688,O688-J689*(1-I689))</f>
        <v>95851.350400229217</v>
      </c>
      <c r="P689" s="11">
        <f>IF($A689&gt;('1-Input'!$B$26-2),0,IF(U688&lt;=0,0,MAX(0,(U688-V688)/U688)))</f>
        <v>0.48167515461686394</v>
      </c>
      <c r="Q689" s="18">
        <f>IF($A689&gt;('1-Input'!$B$26-2),0,(MAX(0,P671-IF($A689&gt;='1-Input'!$C$12,'1-Input'!$B$12,0))-MIN(MAX(T688,0),MAX(0,P671-IF($A689&gt;='1-Input'!$C$12,'1-Input'!$B$12,0))))*(1/(1-'P-Parametri'!$B$6*P689))+MIN(MAX(0,U688-(MAX(0,P671-IF($A689&gt;='1-Input'!$C$12,'1-Input'!$B$12,0))-MIN(MAX(T688,0),MAX(0,P671-IF($A689&gt;='1-Input'!$C$12,'1-Input'!$B$12,0))))*(1/(1-'P-Parametri'!$B$6*P689))),MAX(0,0*P671-(T688-MIN(MAX(T688,0),MAX(0,P671-IF($A689&gt;='1-Input'!$C$12,'1-Input'!$B$12,0)))))*(1/(1-'P-Parametri'!$B$6*P689))))</f>
        <v>22056.654181850252</v>
      </c>
      <c r="R689" s="18">
        <f>IF($A689&gt;('1-Input'!$B$26-2),T688,(T688-MAX(0,P671-IF($A689&gt;='1-Input'!$C$12,'1-Input'!$B$12,0))+Q689*(1-'P-Parametri'!$B$6*P689))*(1+'1-Input'!$B$27))</f>
        <v>-3.6248820833861826E-12</v>
      </c>
      <c r="S689" s="18">
        <f>IF($A689&gt;('1-Input'!$B$26-2),U688,(U688-Q689)*(1+'5-Roberta'!$C$4))</f>
        <v>250107.87134250143</v>
      </c>
      <c r="T689" s="18">
        <f>IF($A689&gt;('1-Input'!$B$26-2),R689,R689-'P-Parametri'!$B$8*(S689+R689)+MIN(MAX(S689,0),'P-Parametri'!$B$8*(S689+R689)))</f>
        <v>-3.637978807091713E-12</v>
      </c>
      <c r="U689" s="18">
        <f>IF($A689&gt;('1-Input'!$B$26-2),S689,S689-MIN(MAX(S689,0),'P-Parametri'!$B$8*(S689+R689)))</f>
        <v>249607.65559981641</v>
      </c>
      <c r="V689" s="18">
        <f>IF($A689&gt;('1-Input'!$B$26-2),V688,V688-Q689*(1-P689))</f>
        <v>125861.2851870945</v>
      </c>
      <c r="W689" s="11">
        <f>IF($A689&gt;('1-Input'!$B$26-2),0,IF(AB688&lt;=0,0,MAX(0,(AB688-AC688)/AB688)))</f>
        <v>0.48167515461686367</v>
      </c>
      <c r="X689" s="18">
        <f>IF($A689&gt;('1-Input'!$B$26-2),0,(MAX(0,W671-IF($A689&gt;='1-Input'!$C$12,'1-Input'!$B$12,0))-MIN(MAX(AA688,0),MAX(0,W671-IF($A689&gt;='1-Input'!$C$12,'1-Input'!$B$12,0))))*(1/(1-'P-Parametri'!$B$6*W689))+MIN(MAX(0,AB688-(MAX(0,W671-IF($A689&gt;='1-Input'!$C$12,'1-Input'!$B$12,0))-MIN(MAX(AA688,0),MAX(0,W671-IF($A689&gt;='1-Input'!$C$12,'1-Input'!$B$12,0))))*(1/(1-'P-Parametri'!$B$6*W689))),MAX(0,0*W671-(AA688-MIN(MAX(AA688,0),MAX(0,W671-IF($A689&gt;='1-Input'!$C$12,'1-Input'!$B$12,0)))))*(1/(1-'P-Parametri'!$B$6*W689))))</f>
        <v>21769.456723011212</v>
      </c>
      <c r="Y689" s="18">
        <f>IF($A689&gt;('1-Input'!$B$26-2),AA688,(AA688-MAX(0,W671-IF($A689&gt;='1-Input'!$C$12,'1-Input'!$B$12,0))+X689*(1-'P-Parametri'!$B$6*W689))*(1+'1-Input'!$B$27))</f>
        <v>3.6248820833861826E-12</v>
      </c>
      <c r="Z689" s="18">
        <f>IF($A689&gt;('1-Input'!$B$26-2),AB688,(AB688-X689)*(1+'5-Roberta'!$C$4))</f>
        <v>255752.1559798668</v>
      </c>
      <c r="AA689" s="18">
        <f>IF($A689&gt;('1-Input'!$B$26-2),Y689,Y689-'P-Parametri'!$B$8*(Z689+Y689)+MIN(MAX(Z689,0),'P-Parametri'!$B$8*(Z689+Y689)))</f>
        <v>3.637978807091713E-12</v>
      </c>
      <c r="AB689" s="18">
        <f>IF($A689&gt;('1-Input'!$B$26-2),Z689,Z689-MIN(MAX(Z689,0),'P-Parametri'!$B$8*(Z689+Y689)))</f>
        <v>255240.65166790708</v>
      </c>
      <c r="AC689" s="18">
        <f>IF($A689&gt;('1-Input'!$B$26-2),AC688,AC688-X689*(1-W689))</f>
        <v>128701.64728608566</v>
      </c>
      <c r="AD689" s="11">
        <f>IF($A689&gt;('1-Input'!$B$26-2),0,IF(AI688&lt;=0,0,MAX(0,(AI688-AJ688)/AI688)))</f>
        <v>0.48167515461686383</v>
      </c>
      <c r="AE689" s="18">
        <f>IF($A689&gt;('1-Input'!$B$26-2),0,(MAX(0,AD671-IF($A689&gt;='1-Input'!$C$12,'1-Input'!$B$12,0))-MIN(MAX(AH688,0),MAX(0,AD671-IF($A689&gt;='1-Input'!$C$12,'1-Input'!$B$12,0))))*(1/(1-'P-Parametri'!$B$6*AD689))+MIN(MAX(0,AI688-(MAX(0,AD671-IF($A689&gt;='1-Input'!$C$12,'1-Input'!$B$12,0))-MIN(MAX(AH688,0),MAX(0,AD671-IF($A689&gt;='1-Input'!$C$12,'1-Input'!$B$12,0))))*(1/(1-'P-Parametri'!$B$6*AD689))),MAX(0,0*AD671-(AH688-MIN(MAX(AH688,0),MAX(0,AD671-IF($A689&gt;='1-Input'!$C$12,'1-Input'!$B$12,0)))))*(1/(1-'P-Parametri'!$B$6*AD689))))</f>
        <v>21770.145012621866</v>
      </c>
      <c r="AF689" s="18">
        <f>IF($A689&gt;('1-Input'!$B$26-2),AH688,(AH688-MAX(0,AD671-IF($A689&gt;='1-Input'!$C$12,'1-Input'!$B$12,0))+AE689*(1-'P-Parametri'!$B$6*AD689))*(1+'1-Input'!$B$27))</f>
        <v>0</v>
      </c>
      <c r="AG689" s="18">
        <f>IF($A689&gt;('1-Input'!$B$26-2),AI688,(AI688-AE689)*(1+'5-Roberta'!$C$4))</f>
        <v>255738.62904097539</v>
      </c>
      <c r="AH689" s="18">
        <f>IF($A689&gt;('1-Input'!$B$26-2),AF689,AF689-'P-Parametri'!$B$8*(AG689+AF689)+MIN(MAX(AG689,0),'P-Parametri'!$B$8*(AG689+AF689)))</f>
        <v>0</v>
      </c>
      <c r="AI689" s="18">
        <f>IF($A689&gt;('1-Input'!$B$26-2),AG689,AG689-MIN(MAX(AG689,0),'P-Parametri'!$B$8*(AG689+AF689)))</f>
        <v>255227.15178289343</v>
      </c>
      <c r="AJ689" s="18">
        <f>IF($A689&gt;('1-Input'!$B$26-2),AJ688,AJ688-AE689*(1-AD689))</f>
        <v>128694.84015161046</v>
      </c>
      <c r="AK689" s="11">
        <f>IF($A689&gt;('1-Input'!$B$26-2),0,IF(AP688&lt;=0,0,MAX(0,(AP688-AQ688)/AP688)))</f>
        <v>0.4816751546168635</v>
      </c>
      <c r="AL689" s="18">
        <f>IF($A689&gt;('1-Input'!$B$26-2),0,(MAX(0,AK671-IF($A689&gt;='1-Input'!$C$12,'1-Input'!$B$12,0))-MIN(MAX(AO688,0),MAX(0,AK671-IF($A689&gt;='1-Input'!$C$12,'1-Input'!$B$12,0))))*(1/(1-'P-Parametri'!$B$6*AK689))+MIN(MAX(0,AP688-(MAX(0,AK671-IF($A689&gt;='1-Input'!$C$12,'1-Input'!$B$12,0))-MIN(MAX(AO688,0),MAX(0,AK671-IF($A689&gt;='1-Input'!$C$12,'1-Input'!$B$12,0))))*(1/(1-'P-Parametri'!$B$6*AK689))),MAX(0,0*AK671-(AO688-MIN(MAX(AO688,0),MAX(0,AK671-IF($A689&gt;='1-Input'!$C$12,'1-Input'!$B$12,0)))))*(1/(1-'P-Parametri'!$B$6*AK689))))</f>
        <v>21770.026538865539</v>
      </c>
      <c r="AM689" s="18">
        <f>IF($A689&gt;('1-Input'!$B$26-2),AO688,(AO688-MAX(0,AK671-IF($A689&gt;='1-Input'!$C$12,'1-Input'!$B$12,0))+AL689*(1-'P-Parametri'!$B$6*AK689))*(1+'1-Input'!$B$27))</f>
        <v>0</v>
      </c>
      <c r="AN689" s="18">
        <f>IF($A689&gt;('1-Input'!$B$26-2),AP688,(AP688-AL689)*(1+'5-Roberta'!$C$4))</f>
        <v>255740.95740281197</v>
      </c>
      <c r="AO689" s="18">
        <f>IF($A689&gt;('1-Input'!$B$26-2),AM689,AM689-'P-Parametri'!$B$8*(AN689+AM689)+MIN(MAX(AN689,0),'P-Parametri'!$B$8*(AN689+AM689)))</f>
        <v>0</v>
      </c>
      <c r="AP689" s="18">
        <f>IF($A689&gt;('1-Input'!$B$26-2),AN689,AN689-MIN(MAX(AN689,0),'P-Parametri'!$B$8*(AN689+AM689)))</f>
        <v>255229.47548800634</v>
      </c>
      <c r="AQ689" s="18">
        <f>IF($A689&gt;('1-Input'!$B$26-2),AQ688,AQ688-AL689*(1-AK689))</f>
        <v>128696.01184849301</v>
      </c>
    </row>
    <row r="690" spans="1:43">
      <c r="A690" s="10">
        <f>17</f>
        <v>17</v>
      </c>
      <c r="B690" s="11">
        <f>IF($A690&gt;('1-Input'!$B$26-2),0,IF(G689&lt;=0,0,MAX(0,(G689-H689)/G689)))</f>
        <v>0.4957635218172885</v>
      </c>
      <c r="C690" s="18">
        <f>IF($A690&gt;('1-Input'!$B$26-2),0,(MAX(0,B671-IF($A690&gt;='1-Input'!$C$12,'1-Input'!$B$12,0))-MIN(MAX(F689,0),MAX(0,B671-IF($A690&gt;='1-Input'!$C$12,'1-Input'!$B$12,0))))*(1/(1-'P-Parametri'!$B$6*B690))+MIN(MAX(0,G689-(MAX(0,B671-IF($A690&gt;='1-Input'!$C$12,'1-Input'!$B$12,0))-MIN(MAX(F689,0),MAX(0,B671-IF($A690&gt;='1-Input'!$C$12,'1-Input'!$B$12,0))))*(1/(1-'P-Parametri'!$B$6*B690))),MAX(0,0*B671-(F689-MIN(MAX(F689,0),MAX(0,B671-IF($A690&gt;='1-Input'!$C$12,'1-Input'!$B$12,0)))))*(1/(1-'P-Parametri'!$B$6*B690))))</f>
        <v>19149.382264574673</v>
      </c>
      <c r="D690" s="18">
        <f>IF($A690&gt;('1-Input'!$B$26-2),F689,(F689-MAX(0,B671-IF($A690&gt;='1-Input'!$C$12,'1-Input'!$B$12,0))+C690*(1-'P-Parametri'!$B$6*B690))*(1+'1-Input'!$B$27))</f>
        <v>-3.6248820833861826E-12</v>
      </c>
      <c r="E690" s="18">
        <f>IF($A690&gt;('1-Input'!$B$26-2),G689,(G689-C690)*(1+'5-Roberta'!$C$4))</f>
        <v>297724.88109093939</v>
      </c>
      <c r="F690" s="18">
        <f>IF($A690&gt;('1-Input'!$B$26-2),D690,D690-'P-Parametri'!$B$8*(E690+D690)+MIN(MAX(E690,0),'P-Parametri'!$B$8*(E690+D690)))</f>
        <v>-3.637978807091713E-12</v>
      </c>
      <c r="G690" s="18">
        <f>IF($A690&gt;('1-Input'!$B$26-2),E690,E690-MIN(MAX(E690,0),'P-Parametri'!$B$8*(E690+D690)))</f>
        <v>297129.43132875749</v>
      </c>
      <c r="H690" s="18">
        <f>IF($A690&gt;('1-Input'!$B$26-2),H689,H689-C690*(1-B690))</f>
        <v>145751.20923171056</v>
      </c>
      <c r="I690" s="11">
        <f>IF($A690&gt;('1-Input'!$B$26-2),0,IF(N689&lt;=0,0,MAX(0,(N689-O689)/N689)))</f>
        <v>0.49576352181728883</v>
      </c>
      <c r="J690" s="18">
        <f>IF($A690&gt;('1-Input'!$B$26-2),0,(MAX(0,I671-IF($A690&gt;='1-Input'!$C$12,'1-Input'!$B$12,0))-MIN(MAX(M689,0),MAX(0,I671-IF($A690&gt;='1-Input'!$C$12,'1-Input'!$B$12,0))))*(1/(1-'P-Parametri'!$B$6*I690))+MIN(MAX(0,N689-(MAX(0,I671-IF($A690&gt;='1-Input'!$C$12,'1-Input'!$B$12,0))-MIN(MAX(M689,0),MAX(0,I671-IF($A690&gt;='1-Input'!$C$12,'1-Input'!$B$12,0))))*(1/(1-'P-Parametri'!$B$6*I690))),MAX(0,0*I671-(M689-MIN(MAX(M689,0),MAX(0,I671-IF($A690&gt;='1-Input'!$C$12,'1-Input'!$B$12,0)))))*(1/(1-'P-Parametri'!$B$6*I690))))</f>
        <v>25196.555611282482</v>
      </c>
      <c r="K690" s="18">
        <f>IF($A690&gt;('1-Input'!$B$26-2),M689,(M689-MAX(0,I671-IF($A690&gt;='1-Input'!$C$12,'1-Input'!$B$12,0))+J690*(1-'P-Parametri'!$B$6*I690))*(1+'1-Input'!$B$27))</f>
        <v>0</v>
      </c>
      <c r="L690" s="18">
        <f>IF($A690&gt;('1-Input'!$B$26-2),N689,(N689-J690)*(1+'5-Roberta'!$C$4))</f>
        <v>169842.36857120652</v>
      </c>
      <c r="M690" s="18">
        <f>IF($A690&gt;('1-Input'!$B$26-2),K690,K690-'P-Parametri'!$B$8*(L690+K690)+MIN(MAX(L690,0),'P-Parametri'!$B$8*(L690+K690)))</f>
        <v>0</v>
      </c>
      <c r="N690" s="18">
        <f>IF($A690&gt;('1-Input'!$B$26-2),L690,L690-MIN(MAX(L690,0),'P-Parametri'!$B$8*(L690+K690)))</f>
        <v>169502.68383406411</v>
      </c>
      <c r="O690" s="18">
        <f>IF($A690&gt;('1-Input'!$B$26-2),O689,O689-J690*(1-I690))</f>
        <v>83146.327936461312</v>
      </c>
      <c r="P690" s="11">
        <f>IF($A690&gt;('1-Input'!$B$26-2),0,IF(U689&lt;=0,0,MAX(0,(U689-V689)/U689)))</f>
        <v>0.49576352181728889</v>
      </c>
      <c r="Q690" s="18">
        <f>IF($A690&gt;('1-Input'!$B$26-2),0,(MAX(0,P671-IF($A690&gt;='1-Input'!$C$12,'1-Input'!$B$12,0))-MIN(MAX(T689,0),MAX(0,P671-IF($A690&gt;='1-Input'!$C$12,'1-Input'!$B$12,0))))*(1/(1-'P-Parametri'!$B$6*P690))+MIN(MAX(0,U689-(MAX(0,P671-IF($A690&gt;='1-Input'!$C$12,'1-Input'!$B$12,0))-MIN(MAX(T689,0),MAX(0,P671-IF($A690&gt;='1-Input'!$C$12,'1-Input'!$B$12,0))))*(1/(1-'P-Parametri'!$B$6*P690))),MAX(0,0*P671-(T689-MIN(MAX(T689,0),MAX(0,P671-IF($A690&gt;='1-Input'!$C$12,'1-Input'!$B$12,0)))))*(1/(1-'P-Parametri'!$B$6*P690))))</f>
        <v>22149.402253938912</v>
      </c>
      <c r="R690" s="18">
        <f>IF($A690&gt;('1-Input'!$B$26-2),T689,(T689-MAX(0,P671-IF($A690&gt;='1-Input'!$C$12,'1-Input'!$B$12,0))+Q690*(1-'P-Parametri'!$B$6*P690))*(1+'1-Input'!$B$27))</f>
        <v>0</v>
      </c>
      <c r="S690" s="18">
        <f>IF($A690&gt;('1-Input'!$B$26-2),U689,(U689-Q690)*(1+'5-Roberta'!$C$4))</f>
        <v>234282.00094625386</v>
      </c>
      <c r="T690" s="18">
        <f>IF($A690&gt;('1-Input'!$B$26-2),R690,R690-'P-Parametri'!$B$8*(S690+R690)+MIN(MAX(S690,0),'P-Parametri'!$B$8*(S690+R690)))</f>
        <v>0</v>
      </c>
      <c r="U690" s="18">
        <f>IF($A690&gt;('1-Input'!$B$26-2),S690,S690-MIN(MAX(S690,0),'P-Parametri'!$B$8*(S690+R690)))</f>
        <v>233813.43694436134</v>
      </c>
      <c r="V690" s="18">
        <f>IF($A690&gt;('1-Input'!$B$26-2),V689,V689-Q690*(1-P690))</f>
        <v>114692.74860071614</v>
      </c>
      <c r="W690" s="11">
        <f>IF($A690&gt;('1-Input'!$B$26-2),0,IF(AB689&lt;=0,0,MAX(0,(AB689-AC689)/AB689)))</f>
        <v>0.49576352181728861</v>
      </c>
      <c r="X690" s="18">
        <f>IF($A690&gt;('1-Input'!$B$26-2),0,(MAX(0,W671-IF($A690&gt;='1-Input'!$C$12,'1-Input'!$B$12,0))-MIN(MAX(AA689,0),MAX(0,W671-IF($A690&gt;='1-Input'!$C$12,'1-Input'!$B$12,0))))*(1/(1-'P-Parametri'!$B$6*W690))+MIN(MAX(0,AB689-(MAX(0,W671-IF($A690&gt;='1-Input'!$C$12,'1-Input'!$B$12,0))-MIN(MAX(AA689,0),MAX(0,W671-IF($A690&gt;='1-Input'!$C$12,'1-Input'!$B$12,0))))*(1/(1-'P-Parametri'!$B$6*W690))),MAX(0,0*W671-(AA689-MIN(MAX(AA689,0),MAX(0,W671-IF($A690&gt;='1-Input'!$C$12,'1-Input'!$B$12,0)))))*(1/(1-'P-Parametri'!$B$6*W690))))</f>
        <v>21860.997131852459</v>
      </c>
      <c r="Y690" s="18">
        <f>IF($A690&gt;('1-Input'!$B$26-2),AA689,(AA689-MAX(0,W671-IF($A690&gt;='1-Input'!$C$12,'1-Input'!$B$12,0))+X690*(1-'P-Parametri'!$B$6*W690))*(1+'1-Input'!$B$27))</f>
        <v>0</v>
      </c>
      <c r="Z690" s="18">
        <f>IF($A690&gt;('1-Input'!$B$26-2),AB689,(AB689-X690)*(1+'5-Roberta'!$C$4))</f>
        <v>240381.04417213626</v>
      </c>
      <c r="AA690" s="18">
        <f>IF($A690&gt;('1-Input'!$B$26-2),Y690,Y690-'P-Parametri'!$B$8*(Z690+Y690)+MIN(MAX(Z690,0),'P-Parametri'!$B$8*(Z690+Y690)))</f>
        <v>0</v>
      </c>
      <c r="AB690" s="18">
        <f>IF($A690&gt;('1-Input'!$B$26-2),Z690,Z690-MIN(MAX(Z690,0),'P-Parametri'!$B$8*(Z690+Y690)))</f>
        <v>239900.28208379197</v>
      </c>
      <c r="AC690" s="18">
        <f>IF($A690&gt;('1-Input'!$B$26-2),AC689,AC689-X690*(1-W690))</f>
        <v>117678.53508275803</v>
      </c>
      <c r="AD690" s="11">
        <f>IF($A690&gt;('1-Input'!$B$26-2),0,IF(AI689&lt;=0,0,MAX(0,(AI689-AJ689)/AI689)))</f>
        <v>0.49576352181728878</v>
      </c>
      <c r="AE690" s="18">
        <f>IF($A690&gt;('1-Input'!$B$26-2),0,(MAX(0,AD671-IF($A690&gt;='1-Input'!$C$12,'1-Input'!$B$12,0))-MIN(MAX(AH689,0),MAX(0,AD671-IF($A690&gt;='1-Input'!$C$12,'1-Input'!$B$12,0))))*(1/(1-'P-Parametri'!$B$6*AD690))+MIN(MAX(0,AI689-(MAX(0,AD671-IF($A690&gt;='1-Input'!$C$12,'1-Input'!$B$12,0))-MIN(MAX(AH689,0),MAX(0,AD671-IF($A690&gt;='1-Input'!$C$12,'1-Input'!$B$12,0))))*(1/(1-'P-Parametri'!$B$6*AD690))),MAX(0,0*AD671-(AH689-MIN(MAX(AH689,0),MAX(0,AD671-IF($A690&gt;='1-Input'!$C$12,'1-Input'!$B$12,0)))))*(1/(1-'P-Parametri'!$B$6*AD690))))</f>
        <v>21861.688315715975</v>
      </c>
      <c r="AF690" s="18">
        <f>IF($A690&gt;('1-Input'!$B$26-2),AH689,(AH689-MAX(0,AD671-IF($A690&gt;='1-Input'!$C$12,'1-Input'!$B$12,0))+AE690*(1-'P-Parametri'!$B$6*AD690))*(1+'1-Input'!$B$27))</f>
        <v>0</v>
      </c>
      <c r="AG690" s="18">
        <f>IF($A690&gt;('1-Input'!$B$26-2),AI689,(AI689-AE690)*(1+'5-Roberta'!$C$4))</f>
        <v>240366.42737119281</v>
      </c>
      <c r="AH690" s="18">
        <f>IF($A690&gt;('1-Input'!$B$26-2),AF690,AF690-'P-Parametri'!$B$8*(AG690+AF690)+MIN(MAX(AG690,0),'P-Parametri'!$B$8*(AG690+AF690)))</f>
        <v>0</v>
      </c>
      <c r="AI690" s="18">
        <f>IF($A690&gt;('1-Input'!$B$26-2),AG690,AG690-MIN(MAX(AG690,0),'P-Parametri'!$B$8*(AG690+AF690)))</f>
        <v>239885.69451645043</v>
      </c>
      <c r="AJ690" s="18">
        <f>IF($A690&gt;('1-Input'!$B$26-2),AJ689,AJ689-AE690*(1-AD690))</f>
        <v>117671.37942816572</v>
      </c>
      <c r="AK690" s="11">
        <f>IF($A690&gt;('1-Input'!$B$26-2),0,IF(AP689&lt;=0,0,MAX(0,(AP689-AQ689)/AP689)))</f>
        <v>0.4957635218172885</v>
      </c>
      <c r="AL690" s="18">
        <f>IF($A690&gt;('1-Input'!$B$26-2),0,(MAX(0,AK671-IF($A690&gt;='1-Input'!$C$12,'1-Input'!$B$12,0))-MIN(MAX(AO689,0),MAX(0,AK671-IF($A690&gt;='1-Input'!$C$12,'1-Input'!$B$12,0))))*(1/(1-'P-Parametri'!$B$6*AK690))+MIN(MAX(0,AP689-(MAX(0,AK671-IF($A690&gt;='1-Input'!$C$12,'1-Input'!$B$12,0))-MIN(MAX(AO689,0),MAX(0,AK671-IF($A690&gt;='1-Input'!$C$12,'1-Input'!$B$12,0))))*(1/(1-'P-Parametri'!$B$6*AK690))),MAX(0,0*AK671-(AO689-MIN(MAX(AO689,0),MAX(0,AK671-IF($A690&gt;='1-Input'!$C$12,'1-Input'!$B$12,0)))))*(1/(1-'P-Parametri'!$B$6*AK690))))</f>
        <v>21861.569343778359</v>
      </c>
      <c r="AM690" s="18">
        <f>IF($A690&gt;('1-Input'!$B$26-2),AO689,(AO689-MAX(0,AK671-IF($A690&gt;='1-Input'!$C$12,'1-Input'!$B$12,0))+AL690*(1-'P-Parametri'!$B$6*AK690))*(1+'1-Input'!$B$27))</f>
        <v>0</v>
      </c>
      <c r="AN690" s="18">
        <f>IF($A690&gt;('1-Input'!$B$26-2),AP689,(AP689-AL690)*(1+'5-Roberta'!$C$4))</f>
        <v>240368.94332855483</v>
      </c>
      <c r="AO690" s="18">
        <f>IF($A690&gt;('1-Input'!$B$26-2),AM690,AM690-'P-Parametri'!$B$8*(AN690+AM690)+MIN(MAX(AN690,0),'P-Parametri'!$B$8*(AN690+AM690)))</f>
        <v>0</v>
      </c>
      <c r="AP690" s="18">
        <f>IF($A690&gt;('1-Input'!$B$26-2),AN690,AN690-MIN(MAX(AN690,0),'P-Parametri'!$B$8*(AN690+AM690)))</f>
        <v>239888.20544189771</v>
      </c>
      <c r="AQ690" s="18">
        <f>IF($A690&gt;('1-Input'!$B$26-2),AQ689,AQ689-AL690*(1-AK690))</f>
        <v>117672.61111503908</v>
      </c>
    </row>
    <row r="691" spans="1:43">
      <c r="A691" s="10">
        <f>18</f>
        <v>18</v>
      </c>
      <c r="B691" s="11">
        <f>IF($A691&gt;('1-Input'!$B$26-2),0,IF(G690&lt;=0,0,MAX(0,(G690-H690)/G690)))</f>
        <v>0.50946895910003343</v>
      </c>
      <c r="C691" s="18">
        <f>IF($A691&gt;('1-Input'!$B$26-2),0,(MAX(0,B671-IF($A691&gt;='1-Input'!$C$12,'1-Input'!$B$12,0))-MIN(MAX(F690,0),MAX(0,B671-IF($A691&gt;='1-Input'!$C$12,'1-Input'!$B$12,0))))*(1/(1-'P-Parametri'!$B$6*B691))+MIN(MAX(0,G690-(MAX(0,B671-IF($A691&gt;='1-Input'!$C$12,'1-Input'!$B$12,0))-MIN(MAX(F690,0),MAX(0,B671-IF($A691&gt;='1-Input'!$C$12,'1-Input'!$B$12,0))))*(1/(1-'P-Parametri'!$B$6*B691))),MAX(0,0*B671-(F690-MIN(MAX(F690,0),MAX(0,B671-IF($A691&gt;='1-Input'!$C$12,'1-Input'!$B$12,0)))))*(1/(1-'P-Parametri'!$B$6*B691))))</f>
        <v>19228.038375809145</v>
      </c>
      <c r="D691" s="18">
        <f>IF($A691&gt;('1-Input'!$B$26-2),F690,(F690-MAX(0,B671-IF($A691&gt;='1-Input'!$C$12,'1-Input'!$B$12,0))+C691*(1-'P-Parametri'!$B$6*B691))*(1+'1-Input'!$B$27))</f>
        <v>3.6248820833861826E-12</v>
      </c>
      <c r="E691" s="18">
        <f>IF($A691&gt;('1-Input'!$B$26-2),G690,(G690-C691)*(1+'5-Roberta'!$C$4))</f>
        <v>286238.4347415368</v>
      </c>
      <c r="F691" s="18">
        <f>IF($A691&gt;('1-Input'!$B$26-2),D691,D691-'P-Parametri'!$B$8*(E691+D691)+MIN(MAX(E691,0),'P-Parametri'!$B$8*(E691+D691)))</f>
        <v>3.637978807091713E-12</v>
      </c>
      <c r="G691" s="18">
        <f>IF($A691&gt;('1-Input'!$B$26-2),E691,E691-MIN(MAX(E691,0),'P-Parametri'!$B$8*(E691+D691)))</f>
        <v>285665.95787205372</v>
      </c>
      <c r="H691" s="18">
        <f>IF($A691&gt;('1-Input'!$B$26-2),H690,H690-C691*(1-B691))</f>
        <v>136319.2595527604</v>
      </c>
      <c r="I691" s="11">
        <f>IF($A691&gt;('1-Input'!$B$26-2),0,IF(N690&lt;=0,0,MAX(0,(N690-O690)/N690)))</f>
        <v>0.50946895910003398</v>
      </c>
      <c r="J691" s="18">
        <f>IF($A691&gt;('1-Input'!$B$26-2),0,(MAX(0,I671-IF($A691&gt;='1-Input'!$C$12,'1-Input'!$B$12,0))-MIN(MAX(M690,0),MAX(0,I671-IF($A691&gt;='1-Input'!$C$12,'1-Input'!$B$12,0))))*(1/(1-'P-Parametri'!$B$6*I691))+MIN(MAX(0,N690-(MAX(0,I671-IF($A691&gt;='1-Input'!$C$12,'1-Input'!$B$12,0))-MIN(MAX(M690,0),MAX(0,I671-IF($A691&gt;='1-Input'!$C$12,'1-Input'!$B$12,0))))*(1/(1-'P-Parametri'!$B$6*I691))),MAX(0,0*I671-(M690-MIN(MAX(M690,0),MAX(0,I671-IF($A691&gt;='1-Input'!$C$12,'1-Input'!$B$12,0)))))*(1/(1-'P-Parametri'!$B$6*I691))))</f>
        <v>25300.050494485713</v>
      </c>
      <c r="K691" s="18">
        <f>IF($A691&gt;('1-Input'!$B$26-2),M690,(M690-MAX(0,I671-IF($A691&gt;='1-Input'!$C$12,'1-Input'!$B$12,0))+J691*(1-'P-Parametri'!$B$6*I691))*(1+'1-Input'!$B$27))</f>
        <v>-3.6248820833861826E-12</v>
      </c>
      <c r="L691" s="18">
        <f>IF($A691&gt;('1-Input'!$B$26-2),N690,(N690-J691)*(1+'5-Roberta'!$C$4))</f>
        <v>148528.71233976577</v>
      </c>
      <c r="M691" s="18">
        <f>IF($A691&gt;('1-Input'!$B$26-2),K691,K691-'P-Parametri'!$B$8*(L691+K691)+MIN(MAX(L691,0),'P-Parametri'!$B$8*(L691+K691)))</f>
        <v>-3.637978807091713E-12</v>
      </c>
      <c r="N691" s="18">
        <f>IF($A691&gt;('1-Input'!$B$26-2),L691,L691-MIN(MAX(L691,0),'P-Parametri'!$B$8*(L691+K691)))</f>
        <v>148231.65491508623</v>
      </c>
      <c r="O691" s="18">
        <f>IF($A691&gt;('1-Input'!$B$26-2),O690,O690-J691*(1-I691))</f>
        <v>70735.867832579534</v>
      </c>
      <c r="P691" s="11">
        <f>IF($A691&gt;('1-Input'!$B$26-2),0,IF(U690&lt;=0,0,MAX(0,(U690-V690)/U690)))</f>
        <v>0.50946895910003398</v>
      </c>
      <c r="Q691" s="18">
        <f>IF($A691&gt;('1-Input'!$B$26-2),0,(MAX(0,P671-IF($A691&gt;='1-Input'!$C$12,'1-Input'!$B$12,0))-MIN(MAX(T690,0),MAX(0,P671-IF($A691&gt;='1-Input'!$C$12,'1-Input'!$B$12,0))))*(1/(1-'P-Parametri'!$B$6*P691))+MIN(MAX(0,U690-(MAX(0,P671-IF($A691&gt;='1-Input'!$C$12,'1-Input'!$B$12,0))-MIN(MAX(T690,0),MAX(0,P671-IF($A691&gt;='1-Input'!$C$12,'1-Input'!$B$12,0))))*(1/(1-'P-Parametri'!$B$6*P691))),MAX(0,0*P671-(T690-MIN(MAX(T690,0),MAX(0,P671-IF($A691&gt;='1-Input'!$C$12,'1-Input'!$B$12,0)))))*(1/(1-'P-Parametri'!$B$6*P691))))</f>
        <v>22240.380950974242</v>
      </c>
      <c r="R691" s="18">
        <f>IF($A691&gt;('1-Input'!$B$26-2),T690,(T690-MAX(0,P671-IF($A691&gt;='1-Input'!$C$12,'1-Input'!$B$12,0))+Q691*(1-'P-Parametri'!$B$6*P691))*(1+'1-Input'!$B$27))</f>
        <v>-3.6248820833861826E-12</v>
      </c>
      <c r="S691" s="18">
        <f>IF($A691&gt;('1-Input'!$B$26-2),U690,(U690-Q691)*(1+'5-Roberta'!$C$4))</f>
        <v>217920.24767318871</v>
      </c>
      <c r="T691" s="18">
        <f>IF($A691&gt;('1-Input'!$B$26-2),R691,R691-'P-Parametri'!$B$8*(S691+R691)+MIN(MAX(S691,0),'P-Parametri'!$B$8*(S691+R691)))</f>
        <v>-3.637978807091713E-12</v>
      </c>
      <c r="U691" s="18">
        <f>IF($A691&gt;('1-Input'!$B$26-2),S691,S691-MIN(MAX(S691,0),'P-Parametri'!$B$8*(S691+R691)))</f>
        <v>217484.40717784234</v>
      </c>
      <c r="V691" s="18">
        <f>IF($A691&gt;('1-Input'!$B$26-2),V690,V690-Q691*(1-P691))</f>
        <v>103783.15138282297</v>
      </c>
      <c r="W691" s="11">
        <f>IF($A691&gt;('1-Input'!$B$26-2),0,IF(AB690&lt;=0,0,MAX(0,(AB690-AC690)/AB690)))</f>
        <v>0.50946895910003365</v>
      </c>
      <c r="X691" s="18">
        <f>IF($A691&gt;('1-Input'!$B$26-2),0,(MAX(0,W671-IF($A691&gt;='1-Input'!$C$12,'1-Input'!$B$12,0))-MIN(MAX(AA690,0),MAX(0,W671-IF($A691&gt;='1-Input'!$C$12,'1-Input'!$B$12,0))))*(1/(1-'P-Parametri'!$B$6*W691))+MIN(MAX(0,AB690-(MAX(0,W671-IF($A691&gt;='1-Input'!$C$12,'1-Input'!$B$12,0))-MIN(MAX(AA690,0),MAX(0,W671-IF($A691&gt;='1-Input'!$C$12,'1-Input'!$B$12,0))))*(1/(1-'P-Parametri'!$B$6*W691))),MAX(0,0*W671-(AA690-MIN(MAX(AA690,0),MAX(0,W671-IF($A691&gt;='1-Input'!$C$12,'1-Input'!$B$12,0)))))*(1/(1-'P-Parametri'!$B$6*W691))))</f>
        <v>21950.791204493653</v>
      </c>
      <c r="Y691" s="18">
        <f>IF($A691&gt;('1-Input'!$B$26-2),AA690,(AA690-MAX(0,W671-IF($A691&gt;='1-Input'!$C$12,'1-Input'!$B$12,0))+X691*(1-'P-Parametri'!$B$6*W691))*(1+'1-Input'!$B$27))</f>
        <v>0</v>
      </c>
      <c r="Z691" s="18">
        <f>IF($A691&gt;('1-Input'!$B$26-2),AB690,(AB690-X691)*(1+'5-Roberta'!$C$4))</f>
        <v>224487.97560567726</v>
      </c>
      <c r="AA691" s="18">
        <f>IF($A691&gt;('1-Input'!$B$26-2),Y691,Y691-'P-Parametri'!$B$8*(Z691+Y691)+MIN(MAX(Z691,0),'P-Parametri'!$B$8*(Z691+Y691)))</f>
        <v>0</v>
      </c>
      <c r="AB691" s="18">
        <f>IF($A691&gt;('1-Input'!$B$26-2),Z691,Z691-MIN(MAX(Z691,0),'P-Parametri'!$B$8*(Z691+Y691)))</f>
        <v>224038.99965446591</v>
      </c>
      <c r="AC691" s="18">
        <f>IF($A691&gt;('1-Input'!$B$26-2),AC690,AC690-X691*(1-W691))</f>
        <v>106910.99062463993</v>
      </c>
      <c r="AD691" s="11">
        <f>IF($A691&gt;('1-Input'!$B$26-2),0,IF(AI690&lt;=0,0,MAX(0,(AI690-AJ690)/AI690)))</f>
        <v>0.50946895910003387</v>
      </c>
      <c r="AE691" s="18">
        <f>IF($A691&gt;('1-Input'!$B$26-2),0,(MAX(0,AD671-IF($A691&gt;='1-Input'!$C$12,'1-Input'!$B$12,0))-MIN(MAX(AH690,0),MAX(0,AD671-IF($A691&gt;='1-Input'!$C$12,'1-Input'!$B$12,0))))*(1/(1-'P-Parametri'!$B$6*AD691))+MIN(MAX(0,AI690-(MAX(0,AD671-IF($A691&gt;='1-Input'!$C$12,'1-Input'!$B$12,0))-MIN(MAX(AH690,0),MAX(0,AD671-IF($A691&gt;='1-Input'!$C$12,'1-Input'!$B$12,0))))*(1/(1-'P-Parametri'!$B$6*AD691))),MAX(0,0*AD671-(AH690-MIN(MAX(AH690,0),MAX(0,AD671-IF($A691&gt;='1-Input'!$C$12,'1-Input'!$B$12,0)))))*(1/(1-'P-Parametri'!$B$6*AD691))))</f>
        <v>21951.485227395737</v>
      </c>
      <c r="AF691" s="18">
        <f>IF($A691&gt;('1-Input'!$B$26-2),AH690,(AH690-MAX(0,AD671-IF($A691&gt;='1-Input'!$C$12,'1-Input'!$B$12,0))+AE691*(1-'P-Parametri'!$B$6*AD691))*(1+'1-Input'!$B$27))</f>
        <v>0</v>
      </c>
      <c r="AG691" s="18">
        <f>IF($A691&gt;('1-Input'!$B$26-2),AI690,(AI690-AE691)*(1+'5-Roberta'!$C$4))</f>
        <v>224472.23556772631</v>
      </c>
      <c r="AH691" s="18">
        <f>IF($A691&gt;('1-Input'!$B$26-2),AF691,AF691-'P-Parametri'!$B$8*(AG691+AF691)+MIN(MAX(AG691,0),'P-Parametri'!$B$8*(AG691+AF691)))</f>
        <v>0</v>
      </c>
      <c r="AI691" s="18">
        <f>IF($A691&gt;('1-Input'!$B$26-2),AG691,AG691-MIN(MAX(AG691,0),'P-Parametri'!$B$8*(AG691+AF691)))</f>
        <v>224023.29109659087</v>
      </c>
      <c r="AJ691" s="18">
        <f>IF($A691&gt;('1-Input'!$B$26-2),AJ690,AJ690-AE691*(1-AD691))</f>
        <v>106903.49453027105</v>
      </c>
      <c r="AK691" s="11">
        <f>IF($A691&gt;('1-Input'!$B$26-2),0,IF(AP690&lt;=0,0,MAX(0,(AP690-AQ690)/AP690)))</f>
        <v>0.50946895910003354</v>
      </c>
      <c r="AL691" s="18">
        <f>IF($A691&gt;('1-Input'!$B$26-2),0,(MAX(0,AK671-IF($A691&gt;='1-Input'!$C$12,'1-Input'!$B$12,0))-MIN(MAX(AO690,0),MAX(0,AK671-IF($A691&gt;='1-Input'!$C$12,'1-Input'!$B$12,0))))*(1/(1-'P-Parametri'!$B$6*AK691))+MIN(MAX(0,AP690-(MAX(0,AK671-IF($A691&gt;='1-Input'!$C$12,'1-Input'!$B$12,0))-MIN(MAX(AO690,0),MAX(0,AK671-IF($A691&gt;='1-Input'!$C$12,'1-Input'!$B$12,0))))*(1/(1-'P-Parametri'!$B$6*AK691))),MAX(0,0*AK671-(AO690-MIN(MAX(AO690,0),MAX(0,AK671-IF($A691&gt;='1-Input'!$C$12,'1-Input'!$B$12,0)))))*(1/(1-'P-Parametri'!$B$6*AK691))))</f>
        <v>21951.365766780746</v>
      </c>
      <c r="AM691" s="18">
        <f>IF($A691&gt;('1-Input'!$B$26-2),AO690,(AO690-MAX(0,AK671-IF($A691&gt;='1-Input'!$C$12,'1-Input'!$B$12,0))+AL691*(1-'P-Parametri'!$B$6*AK691))*(1+'1-Input'!$B$27))</f>
        <v>3.6248820833861826E-12</v>
      </c>
      <c r="AN691" s="18">
        <f>IF($A691&gt;('1-Input'!$B$26-2),AP690,(AP690-AL691)*(1+'5-Roberta'!$C$4))</f>
        <v>224474.94486537049</v>
      </c>
      <c r="AO691" s="18">
        <f>IF($A691&gt;('1-Input'!$B$26-2),AM691,AM691-'P-Parametri'!$B$8*(AN691+AM691)+MIN(MAX(AN691,0),'P-Parametri'!$B$8*(AN691+AM691)))</f>
        <v>3.637978807091713E-12</v>
      </c>
      <c r="AP691" s="18">
        <f>IF($A691&gt;('1-Input'!$B$26-2),AN691,AN691-MIN(MAX(AN691,0),'P-Parametri'!$B$8*(AN691+AM691)))</f>
        <v>224025.99497563974</v>
      </c>
      <c r="AQ691" s="18">
        <f>IF($A691&gt;('1-Input'!$B$26-2),AQ690,AQ690-AL691*(1-AK691))</f>
        <v>106904.78481628423</v>
      </c>
    </row>
    <row r="692" spans="1:43">
      <c r="A692" s="10">
        <f>19</f>
        <v>19</v>
      </c>
      <c r="B692" s="11">
        <f>IF($A692&gt;('1-Input'!$B$26-2),0,IF(G691&lt;=0,0,MAX(0,(G691-H691)/G691)))</f>
        <v>0.52280187472034689</v>
      </c>
      <c r="C692" s="18">
        <f>IF($A692&gt;('1-Input'!$B$26-2),0,(MAX(0,B671-IF($A692&gt;='1-Input'!$C$12,'1-Input'!$B$12,0))-MIN(MAX(F691,0),MAX(0,B671-IF($A692&gt;='1-Input'!$C$12,'1-Input'!$B$12,0))))*(1/(1-'P-Parametri'!$B$6*B692))+MIN(MAX(0,G691-(MAX(0,B671-IF($A692&gt;='1-Input'!$C$12,'1-Input'!$B$12,0))-MIN(MAX(F691,0),MAX(0,B671-IF($A692&gt;='1-Input'!$C$12,'1-Input'!$B$12,0))))*(1/(1-'P-Parametri'!$B$6*B692))),MAX(0,0*B671-(F691-MIN(MAX(F691,0),MAX(0,B671-IF($A692&gt;='1-Input'!$C$12,'1-Input'!$B$12,0)))))*(1/(1-'P-Parametri'!$B$6*B692))))</f>
        <v>19305.179110649275</v>
      </c>
      <c r="D692" s="18">
        <f>IF($A692&gt;('1-Input'!$B$26-2),F691,(F691-MAX(0,B671-IF($A692&gt;='1-Input'!$C$12,'1-Input'!$B$12,0))+C692*(1-'P-Parametri'!$B$6*B692))*(1+'1-Input'!$B$27))</f>
        <v>0</v>
      </c>
      <c r="E692" s="18">
        <f>IF($A692&gt;('1-Input'!$B$26-2),G691,(G691-C692)*(1+'5-Roberta'!$C$4))</f>
        <v>274351.60212424659</v>
      </c>
      <c r="F692" s="18">
        <f>IF($A692&gt;('1-Input'!$B$26-2),D692,D692-'P-Parametri'!$B$8*(E692+D692)+MIN(MAX(E692,0),'P-Parametri'!$B$8*(E692+D692)))</f>
        <v>0</v>
      </c>
      <c r="G692" s="18">
        <f>IF($A692&gt;('1-Input'!$B$26-2),E692,E692-MIN(MAX(E692,0),'P-Parametri'!$B$8*(E692+D692)))</f>
        <v>273802.89891999809</v>
      </c>
      <c r="H692" s="18">
        <f>IF($A692&gt;('1-Input'!$B$26-2),H691,H691-C692*(1-B692))</f>
        <v>127106.86427297065</v>
      </c>
      <c r="I692" s="11">
        <f>IF($A692&gt;('1-Input'!$B$26-2),0,IF(N691&lt;=0,0,MAX(0,(N691-O691)/N691)))</f>
        <v>0.52280187472034756</v>
      </c>
      <c r="J692" s="18">
        <f>IF($A692&gt;('1-Input'!$B$26-2),0,(MAX(0,I671-IF($A692&gt;='1-Input'!$C$12,'1-Input'!$B$12,0))-MIN(MAX(M691,0),MAX(0,I671-IF($A692&gt;='1-Input'!$C$12,'1-Input'!$B$12,0))))*(1/(1-'P-Parametri'!$B$6*I692))+MIN(MAX(0,N691-(MAX(0,I671-IF($A692&gt;='1-Input'!$C$12,'1-Input'!$B$12,0))-MIN(MAX(M691,0),MAX(0,I671-IF($A692&gt;='1-Input'!$C$12,'1-Input'!$B$12,0))))*(1/(1-'P-Parametri'!$B$6*I692))),MAX(0,0*I671-(M691-MIN(MAX(M691,0),MAX(0,I671-IF($A692&gt;='1-Input'!$C$12,'1-Input'!$B$12,0)))))*(1/(1-'P-Parametri'!$B$6*I692))))</f>
        <v>25401.551461380641</v>
      </c>
      <c r="K692" s="18">
        <f>IF($A692&gt;('1-Input'!$B$26-2),M691,(M691-MAX(0,I671-IF($A692&gt;='1-Input'!$C$12,'1-Input'!$B$12,0))+J692*(1-'P-Parametri'!$B$6*I692))*(1+'1-Input'!$B$27))</f>
        <v>0</v>
      </c>
      <c r="L692" s="18">
        <f>IF($A692&gt;('1-Input'!$B$26-2),N691,(N691-J692)*(1+'5-Roberta'!$C$4))</f>
        <v>126515.00655731675</v>
      </c>
      <c r="M692" s="18">
        <f>IF($A692&gt;('1-Input'!$B$26-2),K692,K692-'P-Parametri'!$B$8*(L692+K692)+MIN(MAX(L692,0),'P-Parametri'!$B$8*(L692+K692)))</f>
        <v>0</v>
      </c>
      <c r="N692" s="18">
        <f>IF($A692&gt;('1-Input'!$B$26-2),L692,L692-MIN(MAX(L692,0),'P-Parametri'!$B$8*(L692+K692)))</f>
        <v>126261.97654420212</v>
      </c>
      <c r="O692" s="18">
        <f>IF($A692&gt;('1-Input'!$B$26-2),O691,O691-J692*(1-I692))</f>
        <v>58614.295096014073</v>
      </c>
      <c r="P692" s="11">
        <f>IF($A692&gt;('1-Input'!$B$26-2),0,IF(U691&lt;=0,0,MAX(0,(U691-V691)/U691)))</f>
        <v>0.52280187472034745</v>
      </c>
      <c r="Q692" s="18">
        <f>IF($A692&gt;('1-Input'!$B$26-2),0,(MAX(0,P671-IF($A692&gt;='1-Input'!$C$12,'1-Input'!$B$12,0))-MIN(MAX(T691,0),MAX(0,P671-IF($A692&gt;='1-Input'!$C$12,'1-Input'!$B$12,0))))*(1/(1-'P-Parametri'!$B$6*P692))+MIN(MAX(0,U691-(MAX(0,P671-IF($A692&gt;='1-Input'!$C$12,'1-Input'!$B$12,0))-MIN(MAX(T691,0),MAX(0,P671-IF($A692&gt;='1-Input'!$C$12,'1-Input'!$B$12,0))))*(1/(1-'P-Parametri'!$B$6*P692))),MAX(0,0*P671-(T691-MIN(MAX(T691,0),MAX(0,P671-IF($A692&gt;='1-Input'!$C$12,'1-Input'!$B$12,0)))))*(1/(1-'P-Parametri'!$B$6*P692))))</f>
        <v>22329.606866595535</v>
      </c>
      <c r="R692" s="18">
        <f>IF($A692&gt;('1-Input'!$B$26-2),T691,(T691-MAX(0,P671-IF($A692&gt;='1-Input'!$C$12,'1-Input'!$B$12,0))+Q692*(1-'P-Parametri'!$B$6*P692))*(1+'1-Input'!$B$27))</f>
        <v>0</v>
      </c>
      <c r="S692" s="18">
        <f>IF($A692&gt;('1-Input'!$B$26-2),U691,(U691-Q692)*(1+'5-Roberta'!$C$4))</f>
        <v>201009.44432058421</v>
      </c>
      <c r="T692" s="18">
        <f>IF($A692&gt;('1-Input'!$B$26-2),R692,R692-'P-Parametri'!$B$8*(S692+R692)+MIN(MAX(S692,0),'P-Parametri'!$B$8*(S692+R692)))</f>
        <v>0</v>
      </c>
      <c r="U692" s="18">
        <f>IF($A692&gt;('1-Input'!$B$26-2),S692,S692-MIN(MAX(S692,0),'P-Parametri'!$B$8*(S692+R692)))</f>
        <v>200607.42543194303</v>
      </c>
      <c r="V692" s="18">
        <f>IF($A692&gt;('1-Input'!$B$26-2),V691,V691-Q692*(1-P692))</f>
        <v>93127.504847851917</v>
      </c>
      <c r="W692" s="11">
        <f>IF($A692&gt;('1-Input'!$B$26-2),0,IF(AB691&lt;=0,0,MAX(0,(AB691-AC691)/AB691)))</f>
        <v>0.52280187472034712</v>
      </c>
      <c r="X692" s="18">
        <f>IF($A692&gt;('1-Input'!$B$26-2),0,(MAX(0,W671-IF($A692&gt;='1-Input'!$C$12,'1-Input'!$B$12,0))-MIN(MAX(AA691,0),MAX(0,W671-IF($A692&gt;='1-Input'!$C$12,'1-Input'!$B$12,0))))*(1/(1-'P-Parametri'!$B$6*W692))+MIN(MAX(0,AB691-(MAX(0,W671-IF($A692&gt;='1-Input'!$C$12,'1-Input'!$B$12,0))-MIN(MAX(AA691,0),MAX(0,W671-IF($A692&gt;='1-Input'!$C$12,'1-Input'!$B$12,0))))*(1/(1-'P-Parametri'!$B$6*W692))),MAX(0,0*W671-(AA691-MIN(MAX(AA691,0),MAX(0,W671-IF($A692&gt;='1-Input'!$C$12,'1-Input'!$B$12,0)))))*(1/(1-'P-Parametri'!$B$6*W692))))</f>
        <v>22038.855318509955</v>
      </c>
      <c r="Y692" s="18">
        <f>IF($A692&gt;('1-Input'!$B$26-2),AA691,(AA691-MAX(0,W671-IF($A692&gt;='1-Input'!$C$12,'1-Input'!$B$12,0))+X692*(1-'P-Parametri'!$B$6*W692))*(1+'1-Input'!$B$27))</f>
        <v>0</v>
      </c>
      <c r="Z692" s="18">
        <f>IF($A692&gt;('1-Input'!$B$26-2),AB691,(AB691-X692)*(1+'5-Roberta'!$C$4))</f>
        <v>208060.14866603466</v>
      </c>
      <c r="AA692" s="18">
        <f>IF($A692&gt;('1-Input'!$B$26-2),Y692,Y692-'P-Parametri'!$B$8*(Z692+Y692)+MIN(MAX(Z692,0),'P-Parametri'!$B$8*(Z692+Y692)))</f>
        <v>0</v>
      </c>
      <c r="AB692" s="18">
        <f>IF($A692&gt;('1-Input'!$B$26-2),Z692,Z692-MIN(MAX(Z692,0),'P-Parametri'!$B$8*(Z692+Y692)))</f>
        <v>207644.02836870259</v>
      </c>
      <c r="AC692" s="18">
        <f>IF($A692&gt;('1-Input'!$B$26-2),AC691,AC691-X692*(1-W692))</f>
        <v>96394.090183337481</v>
      </c>
      <c r="AD692" s="11">
        <f>IF($A692&gt;('1-Input'!$B$26-2),0,IF(AI691&lt;=0,0,MAX(0,(AI691-AJ691)/AI691)))</f>
        <v>0.52280187472034734</v>
      </c>
      <c r="AE692" s="18">
        <f>IF($A692&gt;('1-Input'!$B$26-2),0,(MAX(0,AD671-IF($A692&gt;='1-Input'!$C$12,'1-Input'!$B$12,0))-MIN(MAX(AH691,0),MAX(0,AD671-IF($A692&gt;='1-Input'!$C$12,'1-Input'!$B$12,0))))*(1/(1-'P-Parametri'!$B$6*AD692))+MIN(MAX(0,AI691-(MAX(0,AD671-IF($A692&gt;='1-Input'!$C$12,'1-Input'!$B$12,0))-MIN(MAX(AH691,0),MAX(0,AD671-IF($A692&gt;='1-Input'!$C$12,'1-Input'!$B$12,0))))*(1/(1-'P-Parametri'!$B$6*AD692))),MAX(0,0*AD671-(AH691-MIN(MAX(AH691,0),MAX(0,AD671-IF($A692&gt;='1-Input'!$C$12,'1-Input'!$B$12,0)))))*(1/(1-'P-Parametri'!$B$6*AD692))))</f>
        <v>22039.552125754137</v>
      </c>
      <c r="AF692" s="18">
        <f>IF($A692&gt;('1-Input'!$B$26-2),AH691,(AH691-MAX(0,AD671-IF($A692&gt;='1-Input'!$C$12,'1-Input'!$B$12,0))+AE692*(1-'P-Parametri'!$B$6*AD692))*(1+'1-Input'!$B$27))</f>
        <v>0</v>
      </c>
      <c r="AG692" s="18">
        <f>IF($A692&gt;('1-Input'!$B$26-2),AI691,(AI691-AE692)*(1+'5-Roberta'!$C$4))</f>
        <v>208043.25113996185</v>
      </c>
      <c r="AH692" s="18">
        <f>IF($A692&gt;('1-Input'!$B$26-2),AF692,AF692-'P-Parametri'!$B$8*(AG692+AF692)+MIN(MAX(AG692,0),'P-Parametri'!$B$8*(AG692+AF692)))</f>
        <v>0</v>
      </c>
      <c r="AI692" s="18">
        <f>IF($A692&gt;('1-Input'!$B$26-2),AG692,AG692-MIN(MAX(AG692,0),'P-Parametri'!$B$8*(AG692+AF692)))</f>
        <v>207627.16463768194</v>
      </c>
      <c r="AJ692" s="18">
        <f>IF($A692&gt;('1-Input'!$B$26-2),AJ691,AJ691-AE692*(1-AD692))</f>
        <v>96386.261573857992</v>
      </c>
      <c r="AK692" s="11">
        <f>IF($A692&gt;('1-Input'!$B$26-2),0,IF(AP691&lt;=0,0,MAX(0,(AP691-AQ691)/AP691)))</f>
        <v>0.52280187472034712</v>
      </c>
      <c r="AL692" s="18">
        <f>IF($A692&gt;('1-Input'!$B$26-2),0,(MAX(0,AK671-IF($A692&gt;='1-Input'!$C$12,'1-Input'!$B$12,0))-MIN(MAX(AO691,0),MAX(0,AK671-IF($A692&gt;='1-Input'!$C$12,'1-Input'!$B$12,0))))*(1/(1-'P-Parametri'!$B$6*AK692))+MIN(MAX(0,AP691-(MAX(0,AK671-IF($A692&gt;='1-Input'!$C$12,'1-Input'!$B$12,0))-MIN(MAX(AO691,0),MAX(0,AK671-IF($A692&gt;='1-Input'!$C$12,'1-Input'!$B$12,0))))*(1/(1-'P-Parametri'!$B$6*AK692))),MAX(0,0*AK671-(AO691-MIN(MAX(AO691,0),MAX(0,AK671-IF($A692&gt;='1-Input'!$C$12,'1-Input'!$B$12,0)))))*(1/(1-'P-Parametri'!$B$6*AK692))))</f>
        <v>22039.43218587654</v>
      </c>
      <c r="AM692" s="18">
        <f>IF($A692&gt;('1-Input'!$B$26-2),AO691,(AO691-MAX(0,AK671-IF($A692&gt;='1-Input'!$C$12,'1-Input'!$B$12,0))+AL692*(1-'P-Parametri'!$B$6*AK692))*(1+'1-Input'!$B$27))</f>
        <v>0</v>
      </c>
      <c r="AN692" s="18">
        <f>IF($A692&gt;('1-Input'!$B$26-2),AP691,(AP691-AL692)*(1+'5-Roberta'!$C$4))</f>
        <v>208046.1596734561</v>
      </c>
      <c r="AO692" s="18">
        <f>IF($A692&gt;('1-Input'!$B$26-2),AM692,AM692-'P-Parametri'!$B$8*(AN692+AM692)+MIN(MAX(AN692,0),'P-Parametri'!$B$8*(AN692+AM692)))</f>
        <v>0</v>
      </c>
      <c r="AP692" s="18">
        <f>IF($A692&gt;('1-Input'!$B$26-2),AN692,AN692-MIN(MAX(AN692,0),'P-Parametri'!$B$8*(AN692+AM692)))</f>
        <v>207630.0673541092</v>
      </c>
      <c r="AQ692" s="18">
        <f>IF($A692&gt;('1-Input'!$B$26-2),AQ691,AQ691-AL692*(1-AK692))</f>
        <v>96387.6090949559</v>
      </c>
    </row>
    <row r="693" spans="1:43">
      <c r="A693" s="10">
        <f>20</f>
        <v>20</v>
      </c>
      <c r="B693" s="11">
        <f>IF($A693&gt;('1-Input'!$B$26-2),0,IF(G692&lt;=0,0,MAX(0,(G692-H692)/G692)))</f>
        <v>0.53577239403111743</v>
      </c>
      <c r="C693" s="18">
        <f>IF($A693&gt;('1-Input'!$B$26-2),0,(MAX(0,B671-IF($A693&gt;='1-Input'!$C$12,'1-Input'!$B$12,0))-MIN(MAX(F692,0),MAX(0,B671-IF($A693&gt;='1-Input'!$C$12,'1-Input'!$B$12,0))))*(1/(1-'P-Parametri'!$B$6*B693))+MIN(MAX(0,G692-(MAX(0,B671-IF($A693&gt;='1-Input'!$C$12,'1-Input'!$B$12,0))-MIN(MAX(F692,0),MAX(0,B671-IF($A693&gt;='1-Input'!$C$12,'1-Input'!$B$12,0))))*(1/(1-'P-Parametri'!$B$6*B693))),MAX(0,0*B671-(F692-MIN(MAX(F692,0),MAX(0,B671-IF($A693&gt;='1-Input'!$C$12,'1-Input'!$B$12,0)))))*(1/(1-'P-Parametri'!$B$6*B693))))</f>
        <v>19380.819396239931</v>
      </c>
      <c r="D693" s="18">
        <f>IF($A693&gt;('1-Input'!$B$26-2),F692,(F692-MAX(0,B671-IF($A693&gt;='1-Input'!$C$12,'1-Input'!$B$12,0))+C693*(1-'P-Parametri'!$B$6*B693))*(1+'1-Input'!$B$27))</f>
        <v>0</v>
      </c>
      <c r="E693" s="18">
        <f>IF($A693&gt;('1-Input'!$B$26-2),G692,(G692-C693)*(1+'5-Roberta'!$C$4))</f>
        <v>262054.7419094709</v>
      </c>
      <c r="F693" s="18">
        <f>IF($A693&gt;('1-Input'!$B$26-2),D693,D693-'P-Parametri'!$B$8*(E693+D693)+MIN(MAX(E693,0),'P-Parametri'!$B$8*(E693+D693)))</f>
        <v>0</v>
      </c>
      <c r="G693" s="18">
        <f>IF($A693&gt;('1-Input'!$B$26-2),E693,E693-MIN(MAX(E693,0),'P-Parametri'!$B$8*(E693+D693)))</f>
        <v>261530.63242565197</v>
      </c>
      <c r="H693" s="18">
        <f>IF($A693&gt;('1-Input'!$B$26-2),H692,H692-C693*(1-B693))</f>
        <v>118109.7528829389</v>
      </c>
      <c r="I693" s="11">
        <f>IF($A693&gt;('1-Input'!$B$26-2),0,IF(N692&lt;=0,0,MAX(0,(N692-O692)/N692)))</f>
        <v>0.53577239403111809</v>
      </c>
      <c r="J693" s="18">
        <f>IF($A693&gt;('1-Input'!$B$26-2),0,(MAX(0,I671-IF($A693&gt;='1-Input'!$C$12,'1-Input'!$B$12,0))-MIN(MAX(M692,0),MAX(0,I671-IF($A693&gt;='1-Input'!$C$12,'1-Input'!$B$12,0))))*(1/(1-'P-Parametri'!$B$6*I693))+MIN(MAX(0,N692-(MAX(0,I671-IF($A693&gt;='1-Input'!$C$12,'1-Input'!$B$12,0))-MIN(MAX(M692,0),MAX(0,I671-IF($A693&gt;='1-Input'!$C$12,'1-Input'!$B$12,0))))*(1/(1-'P-Parametri'!$B$6*I693))),MAX(0,0*I671-(M692-MIN(MAX(M692,0),MAX(0,I671-IF($A693&gt;='1-Input'!$C$12,'1-Input'!$B$12,0)))))*(1/(1-'P-Parametri'!$B$6*I693))))</f>
        <v>25501.078152947288</v>
      </c>
      <c r="K693" s="18">
        <f>IF($A693&gt;('1-Input'!$B$26-2),M692,(M692-MAX(0,I671-IF($A693&gt;='1-Input'!$C$12,'1-Input'!$B$12,0))+J693*(1-'P-Parametri'!$B$6*I693))*(1+'1-Input'!$B$27))</f>
        <v>0</v>
      </c>
      <c r="L693" s="18">
        <f>IF($A693&gt;('1-Input'!$B$26-2),N692,(N692-J693)*(1+'5-Roberta'!$C$4))</f>
        <v>103783.72534299247</v>
      </c>
      <c r="M693" s="18">
        <f>IF($A693&gt;('1-Input'!$B$26-2),K693,K693-'P-Parametri'!$B$8*(L693+K693)+MIN(MAX(L693,0),'P-Parametri'!$B$8*(L693+K693)))</f>
        <v>0</v>
      </c>
      <c r="N693" s="18">
        <f>IF($A693&gt;('1-Input'!$B$26-2),L693,L693-MIN(MAX(L693,0),'P-Parametri'!$B$8*(L693+K693)))</f>
        <v>103576.1578923065</v>
      </c>
      <c r="O693" s="18">
        <f>IF($A693&gt;('1-Input'!$B$26-2),O692,O692-J693*(1-I693))</f>
        <v>46775.990635445996</v>
      </c>
      <c r="P693" s="11">
        <f>IF($A693&gt;('1-Input'!$B$26-2),0,IF(U692&lt;=0,0,MAX(0,(U692-V692)/U692)))</f>
        <v>0.53577239403111809</v>
      </c>
      <c r="Q693" s="18">
        <f>IF($A693&gt;('1-Input'!$B$26-2),0,(MAX(0,P671-IF($A693&gt;='1-Input'!$C$12,'1-Input'!$B$12,0))-MIN(MAX(T692,0),MAX(0,P671-IF($A693&gt;='1-Input'!$C$12,'1-Input'!$B$12,0))))*(1/(1-'P-Parametri'!$B$6*P693))+MIN(MAX(0,U692-(MAX(0,P671-IF($A693&gt;='1-Input'!$C$12,'1-Input'!$B$12,0))-MIN(MAX(T692,0),MAX(0,P671-IF($A693&gt;='1-Input'!$C$12,'1-Input'!$B$12,0))))*(1/(1-'P-Parametri'!$B$6*P693))),MAX(0,0*P671-(T692-MIN(MAX(T692,0),MAX(0,P671-IF($A693&gt;='1-Input'!$C$12,'1-Input'!$B$12,0)))))*(1/(1-'P-Parametri'!$B$6*P693))))</f>
        <v>22417.097266494726</v>
      </c>
      <c r="R693" s="18">
        <f>IF($A693&gt;('1-Input'!$B$26-2),T692,(T692-MAX(0,P671-IF($A693&gt;='1-Input'!$C$12,'1-Input'!$B$12,0))+Q693*(1-'P-Parametri'!$B$6*P693))*(1+'1-Input'!$B$27))</f>
        <v>0</v>
      </c>
      <c r="S693" s="18">
        <f>IF($A693&gt;('1-Input'!$B$26-2),U692,(U692-Q693)*(1+'5-Roberta'!$C$4))</f>
        <v>183536.03801041175</v>
      </c>
      <c r="T693" s="18">
        <f>IF($A693&gt;('1-Input'!$B$26-2),R693,R693-'P-Parametri'!$B$8*(S693+R693)+MIN(MAX(S693,0),'P-Parametri'!$B$8*(S693+R693)))</f>
        <v>0</v>
      </c>
      <c r="U693" s="18">
        <f>IF($A693&gt;('1-Input'!$B$26-2),S693,S693-MIN(MAX(S693,0),'P-Parametri'!$B$8*(S693+R693)))</f>
        <v>183168.96593439093</v>
      </c>
      <c r="V693" s="18">
        <f>IF($A693&gt;('1-Input'!$B$26-2),V692,V692-Q693*(1-P693))</f>
        <v>82720.869451055507</v>
      </c>
      <c r="W693" s="11">
        <f>IF($A693&gt;('1-Input'!$B$26-2),0,IF(AB692&lt;=0,0,MAX(0,(AB692-AC692)/AB692)))</f>
        <v>0.53577239403111776</v>
      </c>
      <c r="X693" s="18">
        <f>IF($A693&gt;('1-Input'!$B$26-2),0,(MAX(0,W671-IF($A693&gt;='1-Input'!$C$12,'1-Input'!$B$12,0))-MIN(MAX(AA692,0),MAX(0,W671-IF($A693&gt;='1-Input'!$C$12,'1-Input'!$B$12,0))))*(1/(1-'P-Parametri'!$B$6*W693))+MIN(MAX(0,AB692-(MAX(0,W671-IF($A693&gt;='1-Input'!$C$12,'1-Input'!$B$12,0))-MIN(MAX(AA692,0),MAX(0,W671-IF($A693&gt;='1-Input'!$C$12,'1-Input'!$B$12,0))))*(1/(1-'P-Parametri'!$B$6*W693))),MAX(0,0*W671-(AA692-MIN(MAX(AA692,0),MAX(0,W671-IF($A693&gt;='1-Input'!$C$12,'1-Input'!$B$12,0)))))*(1/(1-'P-Parametri'!$B$6*W693))))</f>
        <v>22125.206514778503</v>
      </c>
      <c r="Y693" s="18">
        <f>IF($A693&gt;('1-Input'!$B$26-2),AA692,(AA692-MAX(0,W671-IF($A693&gt;='1-Input'!$C$12,'1-Input'!$B$12,0))+X693*(1-'P-Parametri'!$B$6*W693))*(1+'1-Input'!$B$27))</f>
        <v>-3.6248820833861826E-12</v>
      </c>
      <c r="Z693" s="18">
        <f>IF($A693&gt;('1-Input'!$B$26-2),AB692,(AB692-X693)*(1+'5-Roberta'!$C$4))</f>
        <v>191084.3865095418</v>
      </c>
      <c r="AA693" s="18">
        <f>IF($A693&gt;('1-Input'!$B$26-2),Y693,Y693-'P-Parametri'!$B$8*(Z693+Y693)+MIN(MAX(Z693,0),'P-Parametri'!$B$8*(Z693+Y693)))</f>
        <v>-3.637978807091713E-12</v>
      </c>
      <c r="AB693" s="18">
        <f>IF($A693&gt;('1-Input'!$B$26-2),Z693,Z693-MIN(MAX(Z693,0),'P-Parametri'!$B$8*(Z693+Y693)))</f>
        <v>190702.21773652273</v>
      </c>
      <c r="AC693" s="18">
        <f>IF($A693&gt;('1-Input'!$B$26-2),AC692,AC692-X693*(1-W693))</f>
        <v>86122.958531414741</v>
      </c>
      <c r="AD693" s="11">
        <f>IF($A693&gt;('1-Input'!$B$26-2),0,IF(AI692&lt;=0,0,MAX(0,(AI692-AJ692)/AI692)))</f>
        <v>0.53577239403111809</v>
      </c>
      <c r="AE693" s="18">
        <f>IF($A693&gt;('1-Input'!$B$26-2),0,(MAX(0,AD671-IF($A693&gt;='1-Input'!$C$12,'1-Input'!$B$12,0))-MIN(MAX(AH692,0),MAX(0,AD671-IF($A693&gt;='1-Input'!$C$12,'1-Input'!$B$12,0))))*(1/(1-'P-Parametri'!$B$6*AD693))+MIN(MAX(0,AI692-(MAX(0,AD671-IF($A693&gt;='1-Input'!$C$12,'1-Input'!$B$12,0))-MIN(MAX(AH692,0),MAX(0,AD671-IF($A693&gt;='1-Input'!$C$12,'1-Input'!$B$12,0))))*(1/(1-'P-Parametri'!$B$6*AD693))),MAX(0,0*AD671-(AH692-MIN(MAX(AH692,0),MAX(0,AD671-IF($A693&gt;='1-Input'!$C$12,'1-Input'!$B$12,0)))))*(1/(1-'P-Parametri'!$B$6*AD693))))</f>
        <v>22125.906052207094</v>
      </c>
      <c r="AF693" s="18">
        <f>IF($A693&gt;('1-Input'!$B$26-2),AH692,(AH692-MAX(0,AD671-IF($A693&gt;='1-Input'!$C$12,'1-Input'!$B$12,0))+AE693*(1-'P-Parametri'!$B$6*AD693))*(1+'1-Input'!$B$27))</f>
        <v>0</v>
      </c>
      <c r="AG693" s="18">
        <f>IF($A693&gt;('1-Input'!$B$26-2),AI692,(AI692-AE693)*(1+'5-Roberta'!$C$4))</f>
        <v>191066.29634303911</v>
      </c>
      <c r="AH693" s="18">
        <f>IF($A693&gt;('1-Input'!$B$26-2),AF693,AF693-'P-Parametri'!$B$8*(AG693+AF693)+MIN(MAX(AG693,0),'P-Parametri'!$B$8*(AG693+AF693)))</f>
        <v>0</v>
      </c>
      <c r="AI693" s="18">
        <f>IF($A693&gt;('1-Input'!$B$26-2),AG693,AG693-MIN(MAX(AG693,0),'P-Parametri'!$B$8*(AG693+AF693)))</f>
        <v>190684.16375035304</v>
      </c>
      <c r="AJ693" s="18">
        <f>IF($A693&gt;('1-Input'!$B$26-2),AJ692,AJ692-AE693*(1-AD693))</f>
        <v>86114.805177349495</v>
      </c>
      <c r="AK693" s="11">
        <f>IF($A693&gt;('1-Input'!$B$26-2),0,IF(AP692&lt;=0,0,MAX(0,(AP692-AQ692)/AP692)))</f>
        <v>0.53577239403111765</v>
      </c>
      <c r="AL693" s="18">
        <f>IF($A693&gt;('1-Input'!$B$26-2),0,(MAX(0,AK671-IF($A693&gt;='1-Input'!$C$12,'1-Input'!$B$12,0))-MIN(MAX(AO692,0),MAX(0,AK671-IF($A693&gt;='1-Input'!$C$12,'1-Input'!$B$12,0))))*(1/(1-'P-Parametri'!$B$6*AK693))+MIN(MAX(0,AP692-(MAX(0,AK671-IF($A693&gt;='1-Input'!$C$12,'1-Input'!$B$12,0))-MIN(MAX(AO692,0),MAX(0,AK671-IF($A693&gt;='1-Input'!$C$12,'1-Input'!$B$12,0))))*(1/(1-'P-Parametri'!$B$6*AK693))),MAX(0,0*AK671-(AO692-MIN(MAX(AO692,0),MAX(0,AK671-IF($A693&gt;='1-Input'!$C$12,'1-Input'!$B$12,0)))))*(1/(1-'P-Parametri'!$B$6*AK693))))</f>
        <v>22125.785642388943</v>
      </c>
      <c r="AM693" s="18">
        <f>IF($A693&gt;('1-Input'!$B$26-2),AO692,(AO692-MAX(0,AK671-IF($A693&gt;='1-Input'!$C$12,'1-Input'!$B$12,0))+AL693*(1-'P-Parametri'!$B$6*AK693))*(1+'1-Input'!$B$27))</f>
        <v>0</v>
      </c>
      <c r="AN693" s="18">
        <f>IF($A693&gt;('1-Input'!$B$26-2),AP692,(AP692-AL693)*(1+'5-Roberta'!$C$4))</f>
        <v>191069.41016307185</v>
      </c>
      <c r="AO693" s="18">
        <f>IF($A693&gt;('1-Input'!$B$26-2),AM693,AM693-'P-Parametri'!$B$8*(AN693+AM693)+MIN(MAX(AN693,0),'P-Parametri'!$B$8*(AN693+AM693)))</f>
        <v>0</v>
      </c>
      <c r="AP693" s="18">
        <f>IF($A693&gt;('1-Input'!$B$26-2),AN693,AN693-MIN(MAX(AN693,0),'P-Parametri'!$B$8*(AN693+AM693)))</f>
        <v>190687.27134274572</v>
      </c>
      <c r="AQ693" s="18">
        <f>IF($A693&gt;('1-Input'!$B$26-2),AQ692,AQ692-AL693*(1-AK693))</f>
        <v>86116.208596009004</v>
      </c>
    </row>
    <row r="694" spans="1:43">
      <c r="A694" s="10">
        <f>21</f>
        <v>21</v>
      </c>
      <c r="B694" s="11">
        <f>IF($A694&gt;('1-Input'!$B$26-2),0,IF(G693&lt;=0,0,MAX(0,(G693-H693)/G693)))</f>
        <v>0.5483903671723227</v>
      </c>
      <c r="C694" s="18">
        <f>IF($A694&gt;('1-Input'!$B$26-2),0,(MAX(0,B671-IF($A694&gt;='1-Input'!$C$12,'1-Input'!$B$12,0))-MIN(MAX(F693,0),MAX(0,B671-IF($A694&gt;='1-Input'!$C$12,'1-Input'!$B$12,0))))*(1/(1-'P-Parametri'!$B$6*B694))+MIN(MAX(0,G693-(MAX(0,B671-IF($A694&gt;='1-Input'!$C$12,'1-Input'!$B$12,0))-MIN(MAX(F693,0),MAX(0,B671-IF($A694&gt;='1-Input'!$C$12,'1-Input'!$B$12,0))))*(1/(1-'P-Parametri'!$B$6*B694))),MAX(0,0*B671-(F693-MIN(MAX(F693,0),MAX(0,B671-IF($A694&gt;='1-Input'!$C$12,'1-Input'!$B$12,0)))))*(1/(1-'P-Parametri'!$B$6*B694))))</f>
        <v>19454.974701844756</v>
      </c>
      <c r="D694" s="18">
        <f>IF($A694&gt;('1-Input'!$B$26-2),F693,(F693-MAX(0,B671-IF($A694&gt;='1-Input'!$C$12,'1-Input'!$B$12,0))+C694*(1-'P-Parametri'!$B$6*B694))*(1+'1-Input'!$B$27))</f>
        <v>0</v>
      </c>
      <c r="E694" s="18">
        <f>IF($A694&gt;('1-Input'!$B$26-2),G693,(G693-C694)*(1+'5-Roberta'!$C$4))</f>
        <v>249337.92745552142</v>
      </c>
      <c r="F694" s="18">
        <f>IF($A694&gt;('1-Input'!$B$26-2),D694,D694-'P-Parametri'!$B$8*(E694+D694)+MIN(MAX(E694,0),'P-Parametri'!$B$8*(E694+D694)))</f>
        <v>0</v>
      </c>
      <c r="G694" s="18">
        <f>IF($A694&gt;('1-Input'!$B$26-2),E694,E694-MIN(MAX(E694,0),'P-Parametri'!$B$8*(E694+D694)))</f>
        <v>248839.25160061038</v>
      </c>
      <c r="H694" s="18">
        <f>IF($A694&gt;('1-Input'!$B$26-2),H693,H693-C694*(1-B694))</f>
        <v>109323.69890116704</v>
      </c>
      <c r="I694" s="11">
        <f>IF($A694&gt;('1-Input'!$B$26-2),0,IF(N693&lt;=0,0,MAX(0,(N693-O693)/N693)))</f>
        <v>0.54839036717232337</v>
      </c>
      <c r="J694" s="18">
        <f>IF($A694&gt;('1-Input'!$B$26-2),0,(MAX(0,I671-IF($A694&gt;='1-Input'!$C$12,'1-Input'!$B$12,0))-MIN(MAX(M693,0),MAX(0,I671-IF($A694&gt;='1-Input'!$C$12,'1-Input'!$B$12,0))))*(1/(1-'P-Parametri'!$B$6*I694))+MIN(MAX(0,N693-(MAX(0,I671-IF($A694&gt;='1-Input'!$C$12,'1-Input'!$B$12,0))-MIN(MAX(M693,0),MAX(0,I671-IF($A694&gt;='1-Input'!$C$12,'1-Input'!$B$12,0))))*(1/(1-'P-Parametri'!$B$6*I694))),MAX(0,0*I671-(M693-MIN(MAX(M693,0),MAX(0,I671-IF($A694&gt;='1-Input'!$C$12,'1-Input'!$B$12,0)))))*(1/(1-'P-Parametri'!$B$6*I694))))</f>
        <v>25598.650923479952</v>
      </c>
      <c r="K694" s="18">
        <f>IF($A694&gt;('1-Input'!$B$26-2),M693,(M693-MAX(0,I671-IF($A694&gt;='1-Input'!$C$12,'1-Input'!$B$12,0))+J694*(1-'P-Parametri'!$B$6*I694))*(1+'1-Input'!$B$27))</f>
        <v>0</v>
      </c>
      <c r="L694" s="18">
        <f>IF($A694&gt;('1-Input'!$B$26-2),N693,(N693-J694)*(1+'5-Roberta'!$C$4))</f>
        <v>80316.832177891352</v>
      </c>
      <c r="M694" s="18">
        <f>IF($A694&gt;('1-Input'!$B$26-2),K694,K694-'P-Parametri'!$B$8*(L694+K694)+MIN(MAX(L694,0),'P-Parametri'!$B$8*(L694+K694)))</f>
        <v>0</v>
      </c>
      <c r="N694" s="18">
        <f>IF($A694&gt;('1-Input'!$B$26-2),L694,L694-MIN(MAX(L694,0),'P-Parametri'!$B$8*(L694+K694)))</f>
        <v>80156.198513535564</v>
      </c>
      <c r="O694" s="18">
        <f>IF($A694&gt;('1-Input'!$B$26-2),O693,O693-J694*(1-I694))</f>
        <v>35215.39329100935</v>
      </c>
      <c r="P694" s="11">
        <f>IF($A694&gt;('1-Input'!$B$26-2),0,IF(U693&lt;=0,0,MAX(0,(U693-V693)/U693)))</f>
        <v>0.54839036717232337</v>
      </c>
      <c r="Q694" s="18">
        <f>IF($A694&gt;('1-Input'!$B$26-2),0,(MAX(0,P671-IF($A694&gt;='1-Input'!$C$12,'1-Input'!$B$12,0))-MIN(MAX(T693,0),MAX(0,P671-IF($A694&gt;='1-Input'!$C$12,'1-Input'!$B$12,0))))*(1/(1-'P-Parametri'!$B$6*P694))+MIN(MAX(0,U693-(MAX(0,P671-IF($A694&gt;='1-Input'!$C$12,'1-Input'!$B$12,0))-MIN(MAX(T693,0),MAX(0,P671-IF($A694&gt;='1-Input'!$C$12,'1-Input'!$B$12,0))))*(1/(1-'P-Parametri'!$B$6*P694))),MAX(0,0*P671-(T693-MIN(MAX(T693,0),MAX(0,P671-IF($A694&gt;='1-Input'!$C$12,'1-Input'!$B$12,0)))))*(1/(1-'P-Parametri'!$B$6*P694))))</f>
        <v>22502.870043413153</v>
      </c>
      <c r="R694" s="18">
        <f>IF($A694&gt;('1-Input'!$B$26-2),T693,(T693-MAX(0,P671-IF($A694&gt;='1-Input'!$C$12,'1-Input'!$B$12,0))+Q694*(1-'P-Parametri'!$B$6*P694))*(1+'1-Input'!$B$27))</f>
        <v>0</v>
      </c>
      <c r="S694" s="18">
        <f>IF($A694&gt;('1-Input'!$B$26-2),U693,(U693-Q694)*(1+'5-Roberta'!$C$4))</f>
        <v>165486.07876770711</v>
      </c>
      <c r="T694" s="18">
        <f>IF($A694&gt;('1-Input'!$B$26-2),R694,R694-'P-Parametri'!$B$8*(S694+R694)+MIN(MAX(S694,0),'P-Parametri'!$B$8*(S694+R694)))</f>
        <v>0</v>
      </c>
      <c r="U694" s="18">
        <f>IF($A694&gt;('1-Input'!$B$26-2),S694,S694-MIN(MAX(S694,0),'P-Parametri'!$B$8*(S694+R694)))</f>
        <v>165155.1066101717</v>
      </c>
      <c r="V694" s="18">
        <f>IF($A694&gt;('1-Input'!$B$26-2),V693,V693-Q694*(1-P694))</f>
        <v>72558.356573180761</v>
      </c>
      <c r="W694" s="11">
        <f>IF($A694&gt;('1-Input'!$B$26-2),0,IF(AB693&lt;=0,0,MAX(0,(AB693-AC693)/AB693)))</f>
        <v>0.54839036717232303</v>
      </c>
      <c r="X694" s="18">
        <f>IF($A694&gt;('1-Input'!$B$26-2),0,(MAX(0,W671-IF($A694&gt;='1-Input'!$C$12,'1-Input'!$B$12,0))-MIN(MAX(AA693,0),MAX(0,W671-IF($A694&gt;='1-Input'!$C$12,'1-Input'!$B$12,0))))*(1/(1-'P-Parametri'!$B$6*W694))+MIN(MAX(0,AB693-(MAX(0,W671-IF($A694&gt;='1-Input'!$C$12,'1-Input'!$B$12,0))-MIN(MAX(AA693,0),MAX(0,W671-IF($A694&gt;='1-Input'!$C$12,'1-Input'!$B$12,0))))*(1/(1-'P-Parametri'!$B$6*W694))),MAX(0,0*W671-(AA693-MIN(MAX(AA693,0),MAX(0,W671-IF($A694&gt;='1-Input'!$C$12,'1-Input'!$B$12,0)))))*(1/(1-'P-Parametri'!$B$6*W694))))</f>
        <v>22209.862453061058</v>
      </c>
      <c r="Y694" s="18">
        <f>IF($A694&gt;('1-Input'!$B$26-2),AA693,(AA693-MAX(0,W671-IF($A694&gt;='1-Input'!$C$12,'1-Input'!$B$12,0))+X694*(1-'P-Parametri'!$B$6*W694))*(1+'1-Input'!$B$27))</f>
        <v>0</v>
      </c>
      <c r="Z694" s="18">
        <f>IF($A694&gt;('1-Input'!$B$26-2),AB693,(AB693-X694)*(1+'5-Roberta'!$C$4))</f>
        <v>173547.12594196553</v>
      </c>
      <c r="AA694" s="18">
        <f>IF($A694&gt;('1-Input'!$B$26-2),Y694,Y694-'P-Parametri'!$B$8*(Z694+Y694)+MIN(MAX(Z694,0),'P-Parametri'!$B$8*(Z694+Y694)))</f>
        <v>0</v>
      </c>
      <c r="AB694" s="18">
        <f>IF($A694&gt;('1-Input'!$B$26-2),Z694,Z694-MIN(MAX(Z694,0),'P-Parametri'!$B$8*(Z694+Y694)))</f>
        <v>173200.03169008158</v>
      </c>
      <c r="AC694" s="18">
        <f>IF($A694&gt;('1-Input'!$B$26-2),AC693,AC693-X694*(1-W694))</f>
        <v>76092.770703834627</v>
      </c>
      <c r="AD694" s="11">
        <f>IF($A694&gt;('1-Input'!$B$26-2),0,IF(AI693&lt;=0,0,MAX(0,(AI693-AJ693)/AI693)))</f>
        <v>0.54839036717232337</v>
      </c>
      <c r="AE694" s="18">
        <f>IF($A694&gt;('1-Input'!$B$26-2),0,(MAX(0,AD671-IF($A694&gt;='1-Input'!$C$12,'1-Input'!$B$12,0))-MIN(MAX(AH693,0),MAX(0,AD671-IF($A694&gt;='1-Input'!$C$12,'1-Input'!$B$12,0))))*(1/(1-'P-Parametri'!$B$6*AD694))+MIN(MAX(0,AI693-(MAX(0,AD671-IF($A694&gt;='1-Input'!$C$12,'1-Input'!$B$12,0))-MIN(MAX(AH693,0),MAX(0,AD671-IF($A694&gt;='1-Input'!$C$12,'1-Input'!$B$12,0))))*(1/(1-'P-Parametri'!$B$6*AD694))),MAX(0,0*AD671-(AH693-MIN(MAX(AH693,0),MAX(0,AD671-IF($A694&gt;='1-Input'!$C$12,'1-Input'!$B$12,0)))))*(1/(1-'P-Parametri'!$B$6*AD694))))</f>
        <v>22210.564667074708</v>
      </c>
      <c r="AF694" s="18">
        <f>IF($A694&gt;('1-Input'!$B$26-2),AH693,(AH693-MAX(0,AD671-IF($A694&gt;='1-Input'!$C$12,'1-Input'!$B$12,0))+AE694*(1-'P-Parametri'!$B$6*AD694))*(1+'1-Input'!$B$27))</f>
        <v>0</v>
      </c>
      <c r="AG694" s="18">
        <f>IF($A694&gt;('1-Input'!$B$26-2),AI693,(AI693-AE694)*(1+'5-Roberta'!$C$4))</f>
        <v>173527.80705577668</v>
      </c>
      <c r="AH694" s="18">
        <f>IF($A694&gt;('1-Input'!$B$26-2),AF694,AF694-'P-Parametri'!$B$8*(AG694+AF694)+MIN(MAX(AG694,0),'P-Parametri'!$B$8*(AG694+AF694)))</f>
        <v>0</v>
      </c>
      <c r="AI694" s="18">
        <f>IF($A694&gt;('1-Input'!$B$26-2),AG694,AG694-MIN(MAX(AG694,0),'P-Parametri'!$B$8*(AG694+AF694)))</f>
        <v>173180.75144166511</v>
      </c>
      <c r="AJ694" s="18">
        <f>IF($A694&gt;('1-Input'!$B$26-2),AJ693,AJ693-AE694*(1-AD694))</f>
        <v>76084.300223156519</v>
      </c>
      <c r="AK694" s="11">
        <f>IF($A694&gt;('1-Input'!$B$26-2),0,IF(AP693&lt;=0,0,MAX(0,(AP693-AQ693)/AP693)))</f>
        <v>0.54839036717232303</v>
      </c>
      <c r="AL694" s="18">
        <f>IF($A694&gt;('1-Input'!$B$26-2),0,(MAX(0,AK671-IF($A694&gt;='1-Input'!$C$12,'1-Input'!$B$12,0))-MIN(MAX(AO693,0),MAX(0,AK671-IF($A694&gt;='1-Input'!$C$12,'1-Input'!$B$12,0))))*(1/(1-'P-Parametri'!$B$6*AK694))+MIN(MAX(0,AP693-(MAX(0,AK671-IF($A694&gt;='1-Input'!$C$12,'1-Input'!$B$12,0))-MIN(MAX(AO693,0),MAX(0,AK671-IF($A694&gt;='1-Input'!$C$12,'1-Input'!$B$12,0))))*(1/(1-'P-Parametri'!$B$6*AK694))),MAX(0,0*AK671-(AO693-MIN(MAX(AO693,0),MAX(0,AK671-IF($A694&gt;='1-Input'!$C$12,'1-Input'!$B$12,0)))))*(1/(1-'P-Parametri'!$B$6*AK694))))</f>
        <v>22210.443796541942</v>
      </c>
      <c r="AM694" s="18">
        <f>IF($A694&gt;('1-Input'!$B$26-2),AO693,(AO693-MAX(0,AK671-IF($A694&gt;='1-Input'!$C$12,'1-Input'!$B$12,0))+AL694*(1-'P-Parametri'!$B$6*AK694))*(1+'1-Input'!$B$27))</f>
        <v>3.6248820833861826E-12</v>
      </c>
      <c r="AN694" s="18">
        <f>IF($A694&gt;('1-Input'!$B$26-2),AP693,(AP693-AL694)*(1+'5-Roberta'!$C$4))</f>
        <v>173531.1323725899</v>
      </c>
      <c r="AO694" s="18">
        <f>IF($A694&gt;('1-Input'!$B$26-2),AM694,AM694-'P-Parametri'!$B$8*(AN694+AM694)+MIN(MAX(AN694,0),'P-Parametri'!$B$8*(AN694+AM694)))</f>
        <v>3.637978807091713E-12</v>
      </c>
      <c r="AP694" s="18">
        <f>IF($A694&gt;('1-Input'!$B$26-2),AN694,AN694-MIN(MAX(AN694,0),'P-Parametri'!$B$8*(AN694+AM694)))</f>
        <v>173184.07010784472</v>
      </c>
      <c r="AQ694" s="18">
        <f>IF($A694&gt;('1-Input'!$B$26-2),AQ693,AQ693-AL694*(1-AK694))</f>
        <v>76085.758228112943</v>
      </c>
    </row>
    <row r="695" spans="1:43">
      <c r="A695" s="10">
        <f>22</f>
        <v>22</v>
      </c>
      <c r="B695" s="11">
        <f>IF($A695&gt;('1-Input'!$B$26-2),0,IF(G694&lt;=0,0,MAX(0,(G694-H694)/G694)))</f>
        <v>0.56066537655147464</v>
      </c>
      <c r="C695" s="18">
        <f>IF($A695&gt;('1-Input'!$B$26-2),0,(MAX(0,B671-IF($A695&gt;='1-Input'!$C$12,'1-Input'!$B$12,0))-MIN(MAX(F694,0),MAX(0,B671-IF($A695&gt;='1-Input'!$C$12,'1-Input'!$B$12,0))))*(1/(1-'P-Parametri'!$B$6*B695))+MIN(MAX(0,G694-(MAX(0,B671-IF($A695&gt;='1-Input'!$C$12,'1-Input'!$B$12,0))-MIN(MAX(F694,0),MAX(0,B671-IF($A695&gt;='1-Input'!$C$12,'1-Input'!$B$12,0))))*(1/(1-'P-Parametri'!$B$6*B695))),MAX(0,0*B671-(F694-MIN(MAX(F694,0),MAX(0,B671-IF($A695&gt;='1-Input'!$C$12,'1-Input'!$B$12,0)))))*(1/(1-'P-Parametri'!$B$6*B695))))</f>
        <v>19527.661000745451</v>
      </c>
      <c r="D695" s="18">
        <f>IF($A695&gt;('1-Input'!$B$26-2),F694,(F694-MAX(0,B671-IF($A695&gt;='1-Input'!$C$12,'1-Input'!$B$12,0))+C695*(1-'P-Parametri'!$B$6*B695))*(1+'1-Input'!$B$27))</f>
        <v>0</v>
      </c>
      <c r="E695" s="18">
        <f>IF($A695&gt;('1-Input'!$B$26-2),G694,(G694-C695)*(1+'5-Roberta'!$C$4))</f>
        <v>236190.93831786088</v>
      </c>
      <c r="F695" s="18">
        <f>IF($A695&gt;('1-Input'!$B$26-2),D695,D695-'P-Parametri'!$B$8*(E695+D695)+MIN(MAX(E695,0),'P-Parametri'!$B$8*(E695+D695)))</f>
        <v>0</v>
      </c>
      <c r="G695" s="18">
        <f>IF($A695&gt;('1-Input'!$B$26-2),E695,E695-MIN(MAX(E695,0),'P-Parametri'!$B$8*(E695+D695)))</f>
        <v>235718.55644122517</v>
      </c>
      <c r="H695" s="18">
        <f>IF($A695&gt;('1-Input'!$B$26-2),H694,H694-C695*(1-B695))</f>
        <v>100744.52130857408</v>
      </c>
      <c r="I695" s="11">
        <f>IF($A695&gt;('1-Input'!$B$26-2),0,IF(N694&lt;=0,0,MAX(0,(N694-O694)/N694)))</f>
        <v>0.56066537655147519</v>
      </c>
      <c r="J695" s="18">
        <f>IF($A695&gt;('1-Input'!$B$26-2),0,(MAX(0,I671-IF($A695&gt;='1-Input'!$C$12,'1-Input'!$B$12,0))-MIN(MAX(M694,0),MAX(0,I671-IF($A695&gt;='1-Input'!$C$12,'1-Input'!$B$12,0))))*(1/(1-'P-Parametri'!$B$6*I695))+MIN(MAX(0,N694-(MAX(0,I671-IF($A695&gt;='1-Input'!$C$12,'1-Input'!$B$12,0))-MIN(MAX(M694,0),MAX(0,I671-IF($A695&gt;='1-Input'!$C$12,'1-Input'!$B$12,0))))*(1/(1-'P-Parametri'!$B$6*I695))),MAX(0,0*I671-(M694-MIN(MAX(M694,0),MAX(0,I671-IF($A695&gt;='1-Input'!$C$12,'1-Input'!$B$12,0)))))*(1/(1-'P-Parametri'!$B$6*I695))))</f>
        <v>25694.290790454546</v>
      </c>
      <c r="K695" s="18">
        <f>IF($A695&gt;('1-Input'!$B$26-2),M694,(M694-MAX(0,I671-IF($A695&gt;='1-Input'!$C$12,'1-Input'!$B$12,0))+J695*(1-'P-Parametri'!$B$6*I695))*(1+'1-Input'!$B$27))</f>
        <v>0</v>
      </c>
      <c r="L695" s="18">
        <f>IF($A695&gt;('1-Input'!$B$26-2),N694,(N694-J695)*(1+'5-Roberta'!$C$4))</f>
        <v>56095.764954773455</v>
      </c>
      <c r="M695" s="18">
        <f>IF($A695&gt;('1-Input'!$B$26-2),K695,K695-'P-Parametri'!$B$8*(L695+K695)+MIN(MAX(L695,0),'P-Parametri'!$B$8*(L695+K695)))</f>
        <v>0</v>
      </c>
      <c r="N695" s="18">
        <f>IF($A695&gt;('1-Input'!$B$26-2),L695,L695-MIN(MAX(L695,0),'P-Parametri'!$B$8*(L695+K695)))</f>
        <v>55983.573424863906</v>
      </c>
      <c r="O695" s="18">
        <f>IF($A695&gt;('1-Input'!$B$26-2),O694,O694-J695*(1-I695))</f>
        <v>23927.001721808105</v>
      </c>
      <c r="P695" s="11">
        <f>IF($A695&gt;('1-Input'!$B$26-2),0,IF(U694&lt;=0,0,MAX(0,(U694-V694)/U694)))</f>
        <v>0.56066537655147519</v>
      </c>
      <c r="Q695" s="18">
        <f>IF($A695&gt;('1-Input'!$B$26-2),0,(MAX(0,P671-IF($A695&gt;='1-Input'!$C$12,'1-Input'!$B$12,0))-MIN(MAX(T694,0),MAX(0,P671-IF($A695&gt;='1-Input'!$C$12,'1-Input'!$B$12,0))))*(1/(1-'P-Parametri'!$B$6*P695))+MIN(MAX(0,U694-(MAX(0,P671-IF($A695&gt;='1-Input'!$C$12,'1-Input'!$B$12,0))-MIN(MAX(T694,0),MAX(0,P671-IF($A695&gt;='1-Input'!$C$12,'1-Input'!$B$12,0))))*(1/(1-'P-Parametri'!$B$6*P695))),MAX(0,0*P671-(T694-MIN(MAX(T694,0),MAX(0,P671-IF($A695&gt;='1-Input'!$C$12,'1-Input'!$B$12,0)))))*(1/(1-'P-Parametri'!$B$6*P695))))</f>
        <v>22586.943673071684</v>
      </c>
      <c r="R695" s="18">
        <f>IF($A695&gt;('1-Input'!$B$26-2),T694,(T694-MAX(0,P671-IF($A695&gt;='1-Input'!$C$12,'1-Input'!$B$12,0))+Q695*(1-'P-Parametri'!$B$6*P695))*(1+'1-Input'!$B$27))</f>
        <v>0</v>
      </c>
      <c r="S695" s="18">
        <f>IF($A695&gt;('1-Input'!$B$26-2),U694,(U694-Q695)*(1+'5-Roberta'!$C$4))</f>
        <v>146845.20782521303</v>
      </c>
      <c r="T695" s="18">
        <f>IF($A695&gt;('1-Input'!$B$26-2),R695,R695-'P-Parametri'!$B$8*(S695+R695)+MIN(MAX(S695,0),'P-Parametri'!$B$8*(S695+R695)))</f>
        <v>0</v>
      </c>
      <c r="U695" s="18">
        <f>IF($A695&gt;('1-Input'!$B$26-2),S695,S695-MIN(MAX(S695,0),'P-Parametri'!$B$8*(S695+R695)))</f>
        <v>146551.5174095626</v>
      </c>
      <c r="V695" s="18">
        <f>IF($A695&gt;('1-Input'!$B$26-2),V694,V694-Q695*(1-P695))</f>
        <v>62635.130179718777</v>
      </c>
      <c r="W695" s="11">
        <f>IF($A695&gt;('1-Input'!$B$26-2),0,IF(AB694&lt;=0,0,MAX(0,(AB694-AC694)/AB694)))</f>
        <v>0.56066537655147475</v>
      </c>
      <c r="X695" s="18">
        <f>IF($A695&gt;('1-Input'!$B$26-2),0,(MAX(0,W671-IF($A695&gt;='1-Input'!$C$12,'1-Input'!$B$12,0))-MIN(MAX(AA694,0),MAX(0,W671-IF($A695&gt;='1-Input'!$C$12,'1-Input'!$B$12,0))))*(1/(1-'P-Parametri'!$B$6*W695))+MIN(MAX(0,AB694-(MAX(0,W671-IF($A695&gt;='1-Input'!$C$12,'1-Input'!$B$12,0))-MIN(MAX(AA694,0),MAX(0,W671-IF($A695&gt;='1-Input'!$C$12,'1-Input'!$B$12,0))))*(1/(1-'P-Parametri'!$B$6*W695))),MAX(0,0*W671-(AA694-MIN(MAX(AA694,0),MAX(0,W671-IF($A695&gt;='1-Input'!$C$12,'1-Input'!$B$12,0)))))*(1/(1-'P-Parametri'!$B$6*W695))))</f>
        <v>22292.841368507983</v>
      </c>
      <c r="Y695" s="18">
        <f>IF($A695&gt;('1-Input'!$B$26-2),AA694,(AA694-MAX(0,W671-IF($A695&gt;='1-Input'!$C$12,'1-Input'!$B$12,0))+X695*(1-'P-Parametri'!$B$6*W695))*(1+'1-Input'!$B$27))</f>
        <v>0</v>
      </c>
      <c r="Z695" s="18">
        <f>IF($A695&gt;('1-Input'!$B$26-2),AB694,(AB694-X695)*(1+'5-Roberta'!$C$4))</f>
        <v>155434.40603122083</v>
      </c>
      <c r="AA695" s="18">
        <f>IF($A695&gt;('1-Input'!$B$26-2),Y695,Y695-'P-Parametri'!$B$8*(Z695+Y695)+MIN(MAX(Z695,0),'P-Parametri'!$B$8*(Z695+Y695)))</f>
        <v>0</v>
      </c>
      <c r="AB695" s="18">
        <f>IF($A695&gt;('1-Input'!$B$26-2),Z695,Z695-MIN(MAX(Z695,0),'P-Parametri'!$B$8*(Z695+Y695)))</f>
        <v>155123.5372191584</v>
      </c>
      <c r="AC695" s="18">
        <f>IF($A695&gt;('1-Input'!$B$26-2),AC694,AC694-X695*(1-W695))</f>
        <v>66298.753635603469</v>
      </c>
      <c r="AD695" s="11">
        <f>IF($A695&gt;('1-Input'!$B$26-2),0,IF(AI694&lt;=0,0,MAX(0,(AI694-AJ694)/AI694)))</f>
        <v>0.56066537655147519</v>
      </c>
      <c r="AE695" s="18">
        <f>IF($A695&gt;('1-Input'!$B$26-2),0,(MAX(0,AD671-IF($A695&gt;='1-Input'!$C$12,'1-Input'!$B$12,0))-MIN(MAX(AH694,0),MAX(0,AD671-IF($A695&gt;='1-Input'!$C$12,'1-Input'!$B$12,0))))*(1/(1-'P-Parametri'!$B$6*AD695))+MIN(MAX(0,AI694-(MAX(0,AD671-IF($A695&gt;='1-Input'!$C$12,'1-Input'!$B$12,0))-MIN(MAX(AH694,0),MAX(0,AD671-IF($A695&gt;='1-Input'!$C$12,'1-Input'!$B$12,0))))*(1/(1-'P-Parametri'!$B$6*AD695))),MAX(0,0*AD671-(AH694-MIN(MAX(AH694,0),MAX(0,AD671-IF($A695&gt;='1-Input'!$C$12,'1-Input'!$B$12,0)))))*(1/(1-'P-Parametri'!$B$6*AD695))))</f>
        <v>22293.546206083909</v>
      </c>
      <c r="AF695" s="18">
        <f>IF($A695&gt;('1-Input'!$B$26-2),AH694,(AH694-MAX(0,AD671-IF($A695&gt;='1-Input'!$C$12,'1-Input'!$B$12,0))+AE695*(1-'P-Parametri'!$B$6*AD695))*(1+'1-Input'!$B$27))</f>
        <v>0</v>
      </c>
      <c r="AG695" s="18">
        <f>IF($A695&gt;('1-Input'!$B$26-2),AI694,(AI694-AE695)*(1+'5-Roberta'!$C$4))</f>
        <v>155413.82139264865</v>
      </c>
      <c r="AH695" s="18">
        <f>IF($A695&gt;('1-Input'!$B$26-2),AF695,AF695-'P-Parametri'!$B$8*(AG695+AF695)+MIN(MAX(AG695,0),'P-Parametri'!$B$8*(AG695+AF695)))</f>
        <v>0</v>
      </c>
      <c r="AI695" s="18">
        <f>IF($A695&gt;('1-Input'!$B$26-2),AG695,AG695-MIN(MAX(AG695,0),'P-Parametri'!$B$8*(AG695+AF695)))</f>
        <v>155102.99374986335</v>
      </c>
      <c r="AJ695" s="18">
        <f>IF($A695&gt;('1-Input'!$B$26-2),AJ694,AJ694-AE695*(1-AD695))</f>
        <v>66289.973495374361</v>
      </c>
      <c r="AK695" s="11">
        <f>IF($A695&gt;('1-Input'!$B$26-2),0,IF(AP694&lt;=0,0,MAX(0,(AP694-AQ694)/AP694)))</f>
        <v>0.56066537655147486</v>
      </c>
      <c r="AL695" s="18">
        <f>IF($A695&gt;('1-Input'!$B$26-2),0,(MAX(0,AK671-IF($A695&gt;='1-Input'!$C$12,'1-Input'!$B$12,0))-MIN(MAX(AO694,0),MAX(0,AK671-IF($A695&gt;='1-Input'!$C$12,'1-Input'!$B$12,0))))*(1/(1-'P-Parametri'!$B$6*AK695))+MIN(MAX(0,AP694-(MAX(0,AK671-IF($A695&gt;='1-Input'!$C$12,'1-Input'!$B$12,0))-MIN(MAX(AO694,0),MAX(0,AK671-IF($A695&gt;='1-Input'!$C$12,'1-Input'!$B$12,0))))*(1/(1-'P-Parametri'!$B$6*AK695))),MAX(0,0*AK671-(AO694-MIN(MAX(AO694,0),MAX(0,AK671-IF($A695&gt;='1-Input'!$C$12,'1-Input'!$B$12,0)))))*(1/(1-'P-Parametri'!$B$6*AK695))))</f>
        <v>22293.424883963213</v>
      </c>
      <c r="AM695" s="18">
        <f>IF($A695&gt;('1-Input'!$B$26-2),AO694,(AO694-MAX(0,AK671-IF($A695&gt;='1-Input'!$C$12,'1-Input'!$B$12,0))+AL695*(1-'P-Parametri'!$B$6*AK695))*(1+'1-Input'!$B$27))</f>
        <v>0</v>
      </c>
      <c r="AN695" s="18">
        <f>IF($A695&gt;('1-Input'!$B$26-2),AP694,(AP694-AL695)*(1+'5-Roberta'!$C$4))</f>
        <v>155417.36458059793</v>
      </c>
      <c r="AO695" s="18">
        <f>IF($A695&gt;('1-Input'!$B$26-2),AM695,AM695-'P-Parametri'!$B$8*(AN695+AM695)+MIN(MAX(AN695,0),'P-Parametri'!$B$8*(AN695+AM695)))</f>
        <v>0</v>
      </c>
      <c r="AP695" s="18">
        <f>IF($A695&gt;('1-Input'!$B$26-2),AN695,AN695-MIN(MAX(AN695,0),'P-Parametri'!$B$8*(AN695+AM695)))</f>
        <v>155106.52985143673</v>
      </c>
      <c r="AQ695" s="18">
        <f>IF($A695&gt;('1-Input'!$B$26-2),AQ694,AQ694-AL695*(1-AK695))</f>
        <v>66291.484801338986</v>
      </c>
    </row>
    <row r="696" spans="1:43">
      <c r="A696" s="10">
        <f>23</f>
        <v>23</v>
      </c>
      <c r="B696" s="11">
        <f>IF($A696&gt;('1-Input'!$B$26-2),0,IF(G695&lt;=0,0,MAX(0,(G695-H695)/G695)))</f>
        <v>0.5726067441207412</v>
      </c>
      <c r="C696" s="18">
        <f>IF($A696&gt;('1-Input'!$B$26-2),0,(MAX(0,B671-IF($A696&gt;='1-Input'!$C$12,'1-Input'!$B$12,0))-MIN(MAX(F695,0),MAX(0,B671-IF($A696&gt;='1-Input'!$C$12,'1-Input'!$B$12,0))))*(1/(1-'P-Parametri'!$B$6*B696))+MIN(MAX(0,G695-(MAX(0,B671-IF($A696&gt;='1-Input'!$C$12,'1-Input'!$B$12,0))-MIN(MAX(F695,0),MAX(0,B671-IF($A696&gt;='1-Input'!$C$12,'1-Input'!$B$12,0))))*(1/(1-'P-Parametri'!$B$6*B696))),MAX(0,0*B671-(F695-MIN(MAX(F695,0),MAX(0,B671-IF($A696&gt;='1-Input'!$C$12,'1-Input'!$B$12,0)))))*(1/(1-'P-Parametri'!$B$6*B696))))</f>
        <v>6554.9400657550368</v>
      </c>
      <c r="D696" s="18">
        <f>IF($A696&gt;('1-Input'!$B$26-2),F695,(F695-MAX(0,B671-IF($A696&gt;='1-Input'!$C$12,'1-Input'!$B$12,0))+C696*(1-'P-Parametri'!$B$6*B696))*(1+'1-Input'!$B$27))</f>
        <v>9.0622052084654565E-13</v>
      </c>
      <c r="E696" s="18">
        <f>IF($A696&gt;('1-Input'!$B$26-2),G695,(G695-C696)*(1+'5-Roberta'!$C$4))</f>
        <v>236038.52486673422</v>
      </c>
      <c r="F696" s="18">
        <f>IF($A696&gt;('1-Input'!$B$26-2),D696,D696-'P-Parametri'!$B$8*(E696+D696)+MIN(MAX(E696,0),'P-Parametri'!$B$8*(E696+D696)))</f>
        <v>9.0949470177292824E-13</v>
      </c>
      <c r="G696" s="18">
        <f>IF($A696&gt;('1-Input'!$B$26-2),E696,E696-MIN(MAX(E696,0),'P-Parametri'!$B$8*(E696+D696)))</f>
        <v>235566.44781700076</v>
      </c>
      <c r="H696" s="18">
        <f>IF($A696&gt;('1-Input'!$B$26-2),H695,H695-C696*(1-B696))</f>
        <v>97942.98413177763</v>
      </c>
      <c r="I696" s="11">
        <f>IF($A696&gt;('1-Input'!$B$26-2),0,IF(N695&lt;=0,0,MAX(0,(N695-O695)/N695)))</f>
        <v>0.57260674412074164</v>
      </c>
      <c r="J696" s="18">
        <f>IF($A696&gt;('1-Input'!$B$26-2),0,(MAX(0,I671-IF($A696&gt;='1-Input'!$C$12,'1-Input'!$B$12,0))-MIN(MAX(M695,0),MAX(0,I671-IF($A696&gt;='1-Input'!$C$12,'1-Input'!$B$12,0))))*(1/(1-'P-Parametri'!$B$6*I696))+MIN(MAX(0,N695-(MAX(0,I671-IF($A696&gt;='1-Input'!$C$12,'1-Input'!$B$12,0))-MIN(MAX(M695,0),MAX(0,I671-IF($A696&gt;='1-Input'!$C$12,'1-Input'!$B$12,0))))*(1/(1-'P-Parametri'!$B$6*I696))),MAX(0,0*I671-(M695-MIN(MAX(M695,0),MAX(0,I671-IF($A696&gt;='1-Input'!$C$12,'1-Input'!$B$12,0)))))*(1/(1-'P-Parametri'!$B$6*I696))))</f>
        <v>12744.0647182803</v>
      </c>
      <c r="K696" s="18">
        <f>IF($A696&gt;('1-Input'!$B$26-2),M695,(M695-MAX(0,I671-IF($A696&gt;='1-Input'!$C$12,'1-Input'!$B$12,0))+J696*(1-'P-Parametri'!$B$6*I696))*(1+'1-Input'!$B$27))</f>
        <v>-1.8124410416930913E-12</v>
      </c>
      <c r="L696" s="18">
        <f>IF($A696&gt;('1-Input'!$B$26-2),N695,(N695-J696)*(1+'5-Roberta'!$C$4))</f>
        <v>44536.693967781117</v>
      </c>
      <c r="M696" s="18">
        <f>IF($A696&gt;('1-Input'!$B$26-2),K696,K696-'P-Parametri'!$B$8*(L696+K696)+MIN(MAX(L696,0),'P-Parametri'!$B$8*(L696+K696)))</f>
        <v>-1.8189894035458565E-12</v>
      </c>
      <c r="N696" s="18">
        <f>IF($A696&gt;('1-Input'!$B$26-2),L696,L696-MIN(MAX(L696,0),'P-Parametri'!$B$8*(L696+K696)))</f>
        <v>44447.620579845556</v>
      </c>
      <c r="O696" s="18">
        <f>IF($A696&gt;('1-Input'!$B$26-2),O695,O695-J696*(1-I696))</f>
        <v>18480.274408726305</v>
      </c>
      <c r="P696" s="11">
        <f>IF($A696&gt;('1-Input'!$B$26-2),0,IF(U695&lt;=0,0,MAX(0,(U695-V695)/U695)))</f>
        <v>0.57260674412074164</v>
      </c>
      <c r="Q696" s="18">
        <f>IF($A696&gt;('1-Input'!$B$26-2),0,(MAX(0,P671-IF($A696&gt;='1-Input'!$C$12,'1-Input'!$B$12,0))-MIN(MAX(T695,0),MAX(0,P671-IF($A696&gt;='1-Input'!$C$12,'1-Input'!$B$12,0))))*(1/(1-'P-Parametri'!$B$6*P696))+MIN(MAX(0,U695-(MAX(0,P671-IF($A696&gt;='1-Input'!$C$12,'1-Input'!$B$12,0))-MIN(MAX(T695,0),MAX(0,P671-IF($A696&gt;='1-Input'!$C$12,'1-Input'!$B$12,0))))*(1/(1-'P-Parametri'!$B$6*P696))),MAX(0,0*P671-(T695-MIN(MAX(T695,0),MAX(0,P671-IF($A696&gt;='1-Input'!$C$12,'1-Input'!$B$12,0)))))*(1/(1-'P-Parametri'!$B$6*P696))))</f>
        <v>9625.3825038490631</v>
      </c>
      <c r="R696" s="18">
        <f>IF($A696&gt;('1-Input'!$B$26-2),T695,(T695-MAX(0,P671-IF($A696&gt;='1-Input'!$C$12,'1-Input'!$B$12,0))+Q696*(1-'P-Parametri'!$B$6*P696))*(1+'1-Input'!$B$27))</f>
        <v>-1.8124410416930913E-12</v>
      </c>
      <c r="S696" s="18">
        <f>IF($A696&gt;('1-Input'!$B$26-2),U695,(U695-Q696)*(1+'5-Roberta'!$C$4))</f>
        <v>141033.91895288494</v>
      </c>
      <c r="T696" s="18">
        <f>IF($A696&gt;('1-Input'!$B$26-2),R696,R696-'P-Parametri'!$B$8*(S696+R696)+MIN(MAX(S696,0),'P-Parametri'!$B$8*(S696+R696)))</f>
        <v>-1.8189894035458565E-12</v>
      </c>
      <c r="U696" s="18">
        <f>IF($A696&gt;('1-Input'!$B$26-2),S696,S696-MIN(MAX(S696,0),'P-Parametri'!$B$8*(S696+R696)))</f>
        <v>140751.85111497916</v>
      </c>
      <c r="V696" s="18">
        <f>IF($A696&gt;('1-Input'!$B$26-2),V695,V695-Q696*(1-P696))</f>
        <v>58521.306612315479</v>
      </c>
      <c r="W696" s="11">
        <f>IF($A696&gt;('1-Input'!$B$26-2),0,IF(AB695&lt;=0,0,MAX(0,(AB695-AC695)/AB695)))</f>
        <v>0.57260674412074131</v>
      </c>
      <c r="X696" s="18">
        <f>IF($A696&gt;('1-Input'!$B$26-2),0,(MAX(0,W671-IF($A696&gt;='1-Input'!$C$12,'1-Input'!$B$12,0))-MIN(MAX(AA695,0),MAX(0,W671-IF($A696&gt;='1-Input'!$C$12,'1-Input'!$B$12,0))))*(1/(1-'P-Parametri'!$B$6*W696))+MIN(MAX(0,AB695-(MAX(0,W671-IF($A696&gt;='1-Input'!$C$12,'1-Input'!$B$12,0))-MIN(MAX(AA695,0),MAX(0,W671-IF($A696&gt;='1-Input'!$C$12,'1-Input'!$B$12,0))))*(1/(1-'P-Parametri'!$B$6*W696))),MAX(0,0*W671-(AA695-MIN(MAX(AA695,0),MAX(0,W671-IF($A696&gt;='1-Input'!$C$12,'1-Input'!$B$12,0)))))*(1/(1-'P-Parametri'!$B$6*W696))))</f>
        <v>9330.2073618975683</v>
      </c>
      <c r="Y696" s="18">
        <f>IF($A696&gt;('1-Input'!$B$26-2),AA695,(AA695-MAX(0,W671-IF($A696&gt;='1-Input'!$C$12,'1-Input'!$B$12,0))+X696*(1-'P-Parametri'!$B$6*W696))*(1+'1-Input'!$B$27))</f>
        <v>9.0622052084654565E-13</v>
      </c>
      <c r="Z696" s="18">
        <f>IF($A696&gt;('1-Input'!$B$26-2),AB695,(AB695-X696)*(1+'5-Roberta'!$C$4))</f>
        <v>150167.12975297865</v>
      </c>
      <c r="AA696" s="18">
        <f>IF($A696&gt;('1-Input'!$B$26-2),Y696,Y696-'P-Parametri'!$B$8*(Z696+Y696)+MIN(MAX(Z696,0),'P-Parametri'!$B$8*(Z696+Y696)))</f>
        <v>9.0949470177292824E-13</v>
      </c>
      <c r="AB696" s="18">
        <f>IF($A696&gt;('1-Input'!$B$26-2),Z696,Z696-MIN(MAX(Z696,0),'P-Parametri'!$B$8*(Z696+Y696)))</f>
        <v>149866.79549347269</v>
      </c>
      <c r="AC696" s="18">
        <f>IF($A696&gt;('1-Input'!$B$26-2),AC695,AC695-X696*(1-W696))</f>
        <v>62311.085933173439</v>
      </c>
      <c r="AD696" s="11">
        <f>IF($A696&gt;('1-Input'!$B$26-2),0,IF(AI695&lt;=0,0,MAX(0,(AI695-AJ695)/AI695)))</f>
        <v>0.57260674412074164</v>
      </c>
      <c r="AE696" s="18">
        <f>IF($A696&gt;('1-Input'!$B$26-2),0,(MAX(0,AD671-IF($A696&gt;='1-Input'!$C$12,'1-Input'!$B$12,0))-MIN(MAX(AH695,0),MAX(0,AD671-IF($A696&gt;='1-Input'!$C$12,'1-Input'!$B$12,0))))*(1/(1-'P-Parametri'!$B$6*AD696))+MIN(MAX(0,AI695-(MAX(0,AD671-IF($A696&gt;='1-Input'!$C$12,'1-Input'!$B$12,0))-MIN(MAX(AH695,0),MAX(0,AD671-IF($A696&gt;='1-Input'!$C$12,'1-Input'!$B$12,0))))*(1/(1-'P-Parametri'!$B$6*AD696))),MAX(0,0*AD671-(AH695-MIN(MAX(AH695,0),MAX(0,AD671-IF($A696&gt;='1-Input'!$C$12,'1-Input'!$B$12,0)))))*(1/(1-'P-Parametri'!$B$6*AD696))))</f>
        <v>9330.9147706063704</v>
      </c>
      <c r="AF696" s="18">
        <f>IF($A696&gt;('1-Input'!$B$26-2),AH695,(AH695-MAX(0,AD671-IF($A696&gt;='1-Input'!$C$12,'1-Input'!$B$12,0))+AE696*(1-'P-Parametri'!$B$6*AD696))*(1+'1-Input'!$B$27))</f>
        <v>0</v>
      </c>
      <c r="AG696" s="18">
        <f>IF($A696&gt;('1-Input'!$B$26-2),AI695,(AI695-AE696)*(1+'5-Roberta'!$C$4))</f>
        <v>150145.24134863468</v>
      </c>
      <c r="AH696" s="18">
        <f>IF($A696&gt;('1-Input'!$B$26-2),AF696,AF696-'P-Parametri'!$B$8*(AG696+AF696)+MIN(MAX(AG696,0),'P-Parametri'!$B$8*(AG696+AF696)))</f>
        <v>0</v>
      </c>
      <c r="AI696" s="18">
        <f>IF($A696&gt;('1-Input'!$B$26-2),AG696,AG696-MIN(MAX(AG696,0),'P-Parametri'!$B$8*(AG696+AF696)))</f>
        <v>149844.9508659374</v>
      </c>
      <c r="AJ696" s="18">
        <f>IF($A696&gt;('1-Input'!$B$26-2),AJ695,AJ695-AE696*(1-AD696))</f>
        <v>62302.003451233039</v>
      </c>
      <c r="AK696" s="11">
        <f>IF($A696&gt;('1-Input'!$B$26-2),0,IF(AP695&lt;=0,0,MAX(0,(AP695-AQ695)/AP695)))</f>
        <v>0.5726067441207412</v>
      </c>
      <c r="AL696" s="18">
        <f>IF($A696&gt;('1-Input'!$B$26-2),0,(MAX(0,AK671-IF($A696&gt;='1-Input'!$C$12,'1-Input'!$B$12,0))-MIN(MAX(AO695,0),MAX(0,AK671-IF($A696&gt;='1-Input'!$C$12,'1-Input'!$B$12,0))))*(1/(1-'P-Parametri'!$B$6*AK696))+MIN(MAX(0,AP695-(MAX(0,AK671-IF($A696&gt;='1-Input'!$C$12,'1-Input'!$B$12,0))-MIN(MAX(AO695,0),MAX(0,AK671-IF($A696&gt;='1-Input'!$C$12,'1-Input'!$B$12,0))))*(1/(1-'P-Parametri'!$B$6*AK696))),MAX(0,0*AK671-(AO695-MIN(MAX(AO695,0),MAX(0,AK671-IF($A696&gt;='1-Input'!$C$12,'1-Input'!$B$12,0)))))*(1/(1-'P-Parametri'!$B$6*AK696))))</f>
        <v>9330.7930059223072</v>
      </c>
      <c r="AM696" s="18">
        <f>IF($A696&gt;('1-Input'!$B$26-2),AO695,(AO695-MAX(0,AK671-IF($A696&gt;='1-Input'!$C$12,'1-Input'!$B$12,0))+AL696*(1-'P-Parametri'!$B$6*AK696))*(1+'1-Input'!$B$27))</f>
        <v>9.0622052084654565E-13</v>
      </c>
      <c r="AN696" s="18">
        <f>IF($A696&gt;('1-Input'!$B$26-2),AP695,(AP695-AL696)*(1+'5-Roberta'!$C$4))</f>
        <v>150149.00895087986</v>
      </c>
      <c r="AO696" s="18">
        <f>IF($A696&gt;('1-Input'!$B$26-2),AM696,AM696-'P-Parametri'!$B$8*(AN696+AM696)+MIN(MAX(AN696,0),'P-Parametri'!$B$8*(AN696+AM696)))</f>
        <v>9.0949470177292824E-13</v>
      </c>
      <c r="AP696" s="18">
        <f>IF($A696&gt;('1-Input'!$B$26-2),AN696,AN696-MIN(MAX(AN696,0),'P-Parametri'!$B$8*(AN696+AM696)))</f>
        <v>149848.71093297811</v>
      </c>
      <c r="AQ696" s="18">
        <f>IF($A696&gt;('1-Input'!$B$26-2),AQ695,AQ695-AL696*(1-AK696))</f>
        <v>62303.566798602435</v>
      </c>
    </row>
    <row r="697" spans="1:43">
      <c r="A697" s="10">
        <f>24</f>
        <v>24</v>
      </c>
      <c r="B697" s="11">
        <f>IF($A697&gt;('1-Input'!$B$26-2),0,IF(G696&lt;=0,0,MAX(0,(G696-H696)/G696)))</f>
        <v>0.58422353845627284</v>
      </c>
      <c r="C697" s="18">
        <f>IF($A697&gt;('1-Input'!$B$26-2),0,(MAX(0,B671-IF($A697&gt;='1-Input'!$C$12,'1-Input'!$B$12,0))-MIN(MAX(F696,0),MAX(0,B671-IF($A697&gt;='1-Input'!$C$12,'1-Input'!$B$12,0))))*(1/(1-'P-Parametri'!$B$6*B697))+MIN(MAX(0,G696-(MAX(0,B671-IF($A697&gt;='1-Input'!$C$12,'1-Input'!$B$12,0))-MIN(MAX(F696,0),MAX(0,B671-IF($A697&gt;='1-Input'!$C$12,'1-Input'!$B$12,0))))*(1/(1-'P-Parametri'!$B$6*B697))),MAX(0,0*B671-(F696-MIN(MAX(F696,0),MAX(0,B671-IF($A697&gt;='1-Input'!$C$12,'1-Input'!$B$12,0)))))*(1/(1-'P-Parametri'!$B$6*B697))))</f>
        <v>6578.2843384532944</v>
      </c>
      <c r="D697" s="18">
        <f>IF($A697&gt;('1-Input'!$B$26-2),F696,(F696-MAX(0,B671-IF($A697&gt;='1-Input'!$C$12,'1-Input'!$B$12,0))+C697*(1-'P-Parametri'!$B$6*B697))*(1+'1-Input'!$B$27))</f>
        <v>0</v>
      </c>
      <c r="E697" s="18">
        <f>IF($A697&gt;('1-Input'!$B$26-2),G696,(G696-C697)*(1+'5-Roberta'!$C$4))</f>
        <v>235857.8083829039</v>
      </c>
      <c r="F697" s="18">
        <f>IF($A697&gt;('1-Input'!$B$26-2),D697,D697-'P-Parametri'!$B$8*(E697+D697)+MIN(MAX(E697,0),'P-Parametri'!$B$8*(E697+D697)))</f>
        <v>0</v>
      </c>
      <c r="G697" s="18">
        <f>IF($A697&gt;('1-Input'!$B$26-2),E697,E697-MIN(MAX(E697,0),'P-Parametri'!$B$8*(E697+D697)))</f>
        <v>235386.09276613808</v>
      </c>
      <c r="H697" s="18">
        <f>IF($A697&gt;('1-Input'!$B$26-2),H696,H696-C697*(1-B697))</f>
        <v>95207.888346506996</v>
      </c>
      <c r="I697" s="11">
        <f>IF($A697&gt;('1-Input'!$B$26-2),0,IF(N696&lt;=0,0,MAX(0,(N696-O696)/N696)))</f>
        <v>0.58422353845627339</v>
      </c>
      <c r="J697" s="18">
        <f>IF($A697&gt;('1-Input'!$B$26-2),0,(MAX(0,I671-IF($A697&gt;='1-Input'!$C$12,'1-Input'!$B$12,0))-MIN(MAX(M696,0),MAX(0,I671-IF($A697&gt;='1-Input'!$C$12,'1-Input'!$B$12,0))))*(1/(1-'P-Parametri'!$B$6*I697))+MIN(MAX(0,N696-(MAX(0,I671-IF($A697&gt;='1-Input'!$C$12,'1-Input'!$B$12,0))-MIN(MAX(M696,0),MAX(0,I671-IF($A697&gt;='1-Input'!$C$12,'1-Input'!$B$12,0))))*(1/(1-'P-Parametri'!$B$6*I697))),MAX(0,0*I671-(M696-MIN(MAX(M696,0),MAX(0,I671-IF($A697&gt;='1-Input'!$C$12,'1-Input'!$B$12,0)))))*(1/(1-'P-Parametri'!$B$6*I697))))</f>
        <v>12789.450476057413</v>
      </c>
      <c r="K697" s="18">
        <f>IF($A697&gt;('1-Input'!$B$26-2),M696,(M696-MAX(0,I671-IF($A697&gt;='1-Input'!$C$12,'1-Input'!$B$12,0))+J697*(1-'P-Parametri'!$B$6*I697))*(1+'1-Input'!$B$27))</f>
        <v>1.8124410416930913E-12</v>
      </c>
      <c r="L697" s="18">
        <f>IF($A697&gt;('1-Input'!$B$26-2),N696,(N696-J697)*(1+'5-Roberta'!$C$4))</f>
        <v>32607.915206901787</v>
      </c>
      <c r="M697" s="18">
        <f>IF($A697&gt;('1-Input'!$B$26-2),K697,K697-'P-Parametri'!$B$8*(L697+K697)+MIN(MAX(L697,0),'P-Parametri'!$B$8*(L697+K697)))</f>
        <v>1.8189894035458565E-12</v>
      </c>
      <c r="N697" s="18">
        <f>IF($A697&gt;('1-Input'!$B$26-2),L697,L697-MIN(MAX(L697,0),'P-Parametri'!$B$8*(L697+K697)))</f>
        <v>32542.699376487984</v>
      </c>
      <c r="O697" s="18">
        <f>IF($A697&gt;('1-Input'!$B$26-2),O696,O696-J697*(1-I697))</f>
        <v>13162.721944702425</v>
      </c>
      <c r="P697" s="11">
        <f>IF($A697&gt;('1-Input'!$B$26-2),0,IF(U696&lt;=0,0,MAX(0,(U696-V696)/U696)))</f>
        <v>0.58422353845627339</v>
      </c>
      <c r="Q697" s="18">
        <f>IF($A697&gt;('1-Input'!$B$26-2),0,(MAX(0,P671-IF($A697&gt;='1-Input'!$C$12,'1-Input'!$B$12,0))-MIN(MAX(T696,0),MAX(0,P671-IF($A697&gt;='1-Input'!$C$12,'1-Input'!$B$12,0))))*(1/(1-'P-Parametri'!$B$6*P697))+MIN(MAX(0,U696-(MAX(0,P671-IF($A697&gt;='1-Input'!$C$12,'1-Input'!$B$12,0))-MIN(MAX(T696,0),MAX(0,P671-IF($A697&gt;='1-Input'!$C$12,'1-Input'!$B$12,0))))*(1/(1-'P-Parametri'!$B$6*P697))),MAX(0,0*P671-(T696-MIN(MAX(T696,0),MAX(0,P671-IF($A697&gt;='1-Input'!$C$12,'1-Input'!$B$12,0)))))*(1/(1-'P-Parametri'!$B$6*P697))))</f>
        <v>9659.6616203231915</v>
      </c>
      <c r="R697" s="18">
        <f>IF($A697&gt;('1-Input'!$B$26-2),T696,(T696-MAX(0,P671-IF($A697&gt;='1-Input'!$C$12,'1-Input'!$B$12,0))+Q697*(1-'P-Parametri'!$B$6*P697))*(1+'1-Input'!$B$27))</f>
        <v>0</v>
      </c>
      <c r="S697" s="18">
        <f>IF($A697&gt;('1-Input'!$B$26-2),U696,(U696-Q697)*(1+'5-Roberta'!$C$4))</f>
        <v>135024.95517949565</v>
      </c>
      <c r="T697" s="18">
        <f>IF($A697&gt;('1-Input'!$B$26-2),R697,R697-'P-Parametri'!$B$8*(S697+R697)+MIN(MAX(S697,0),'P-Parametri'!$B$8*(S697+R697)))</f>
        <v>0</v>
      </c>
      <c r="U697" s="18">
        <f>IF($A697&gt;('1-Input'!$B$26-2),S697,S697-MIN(MAX(S697,0),'P-Parametri'!$B$8*(S697+R697)))</f>
        <v>134754.90526913665</v>
      </c>
      <c r="V697" s="18">
        <f>IF($A697&gt;('1-Input'!$B$26-2),V696,V696-Q697*(1-P697))</f>
        <v>54505.046684107758</v>
      </c>
      <c r="W697" s="11">
        <f>IF($A697&gt;('1-Input'!$B$26-2),0,IF(AB696&lt;=0,0,MAX(0,(AB696-AC696)/AB696)))</f>
        <v>0.58422353845627306</v>
      </c>
      <c r="X697" s="18">
        <f>IF($A697&gt;('1-Input'!$B$26-2),0,(MAX(0,W671-IF($A697&gt;='1-Input'!$C$12,'1-Input'!$B$12,0))-MIN(MAX(AA696,0),MAX(0,W671-IF($A697&gt;='1-Input'!$C$12,'1-Input'!$B$12,0))))*(1/(1-'P-Parametri'!$B$6*W697))+MIN(MAX(0,AB696-(MAX(0,W671-IF($A697&gt;='1-Input'!$C$12,'1-Input'!$B$12,0))-MIN(MAX(AA696,0),MAX(0,W671-IF($A697&gt;='1-Input'!$C$12,'1-Input'!$B$12,0))))*(1/(1-'P-Parametri'!$B$6*W697))),MAX(0,0*W671-(AA696-MIN(MAX(AA696,0),MAX(0,W671-IF($A697&gt;='1-Input'!$C$12,'1-Input'!$B$12,0)))))*(1/(1-'P-Parametri'!$B$6*W697))))</f>
        <v>9363.4352637246702</v>
      </c>
      <c r="Y697" s="18">
        <f>IF($A697&gt;('1-Input'!$B$26-2),AA696,(AA696-MAX(0,W671-IF($A697&gt;='1-Input'!$C$12,'1-Input'!$B$12,0))+X697*(1-'P-Parametri'!$B$6*W697))*(1+'1-Input'!$B$27))</f>
        <v>0</v>
      </c>
      <c r="Z697" s="18">
        <f>IF($A697&gt;('1-Input'!$B$26-2),AB696,(AB696-X697)*(1+'5-Roberta'!$C$4))</f>
        <v>144718.46103664045</v>
      </c>
      <c r="AA697" s="18">
        <f>IF($A697&gt;('1-Input'!$B$26-2),Y697,Y697-'P-Parametri'!$B$8*(Z697+Y697)+MIN(MAX(Z697,0),'P-Parametri'!$B$8*(Z697+Y697)))</f>
        <v>0</v>
      </c>
      <c r="AB697" s="18">
        <f>IF($A697&gt;('1-Input'!$B$26-2),Z697,Z697-MIN(MAX(Z697,0),'P-Parametri'!$B$8*(Z697+Y697)))</f>
        <v>144429.02411456718</v>
      </c>
      <c r="AC697" s="18">
        <f>IF($A697&gt;('1-Input'!$B$26-2),AC696,AC696-X697*(1-W697))</f>
        <v>58417.989951328243</v>
      </c>
      <c r="AD697" s="11">
        <f>IF($A697&gt;('1-Input'!$B$26-2),0,IF(AI696&lt;=0,0,MAX(0,(AI696-AJ696)/AI696)))</f>
        <v>0.58422353845627328</v>
      </c>
      <c r="AE697" s="18">
        <f>IF($A697&gt;('1-Input'!$B$26-2),0,(MAX(0,AD671-IF($A697&gt;='1-Input'!$C$12,'1-Input'!$B$12,0))-MIN(MAX(AH696,0),MAX(0,AD671-IF($A697&gt;='1-Input'!$C$12,'1-Input'!$B$12,0))))*(1/(1-'P-Parametri'!$B$6*AD697))+MIN(MAX(0,AI696-(MAX(0,AD671-IF($A697&gt;='1-Input'!$C$12,'1-Input'!$B$12,0))-MIN(MAX(AH696,0),MAX(0,AD671-IF($A697&gt;='1-Input'!$C$12,'1-Input'!$B$12,0))))*(1/(1-'P-Parametri'!$B$6*AD697))),MAX(0,0*AD671-(AH696-MIN(MAX(AH696,0),MAX(0,AD671-IF($A697&gt;='1-Input'!$C$12,'1-Input'!$B$12,0)))))*(1/(1-'P-Parametri'!$B$6*AD697))))</f>
        <v>9364.145191745878</v>
      </c>
      <c r="AF697" s="18">
        <f>IF($A697&gt;('1-Input'!$B$26-2),AH696,(AH696-MAX(0,AD671-IF($A697&gt;='1-Input'!$C$12,'1-Input'!$B$12,0))+AE697*(1-'P-Parametri'!$B$6*AD697))*(1+'1-Input'!$B$27))</f>
        <v>9.0622052084654565E-13</v>
      </c>
      <c r="AG697" s="18">
        <f>IF($A697&gt;('1-Input'!$B$26-2),AI696,(AI696-AE697)*(1+'5-Roberta'!$C$4))</f>
        <v>144695.22984441725</v>
      </c>
      <c r="AH697" s="18">
        <f>IF($A697&gt;('1-Input'!$B$26-2),AF697,AF697-'P-Parametri'!$B$8*(AG697+AF697)+MIN(MAX(AG697,0),'P-Parametri'!$B$8*(AG697+AF697)))</f>
        <v>9.0949470177292824E-13</v>
      </c>
      <c r="AI697" s="18">
        <f>IF($A697&gt;('1-Input'!$B$26-2),AG697,AG697-MIN(MAX(AG697,0),'P-Parametri'!$B$8*(AG697+AF697)))</f>
        <v>144405.8393847284</v>
      </c>
      <c r="AJ697" s="18">
        <f>IF($A697&gt;('1-Input'!$B$26-2),AJ696,AJ696-AE697*(1-AD697))</f>
        <v>58408.612298027234</v>
      </c>
      <c r="AK697" s="11">
        <f>IF($A697&gt;('1-Input'!$B$26-2),0,IF(AP696&lt;=0,0,MAX(0,(AP696-AQ696)/AP696)))</f>
        <v>0.58422353845627306</v>
      </c>
      <c r="AL697" s="18">
        <f>IF($A697&gt;('1-Input'!$B$26-2),0,(MAX(0,AK671-IF($A697&gt;='1-Input'!$C$12,'1-Input'!$B$12,0))-MIN(MAX(AO696,0),MAX(0,AK671-IF($A697&gt;='1-Input'!$C$12,'1-Input'!$B$12,0))))*(1/(1-'P-Parametri'!$B$6*AK697))+MIN(MAX(0,AP696-(MAX(0,AK671-IF($A697&gt;='1-Input'!$C$12,'1-Input'!$B$12,0))-MIN(MAX(AO696,0),MAX(0,AK671-IF($A697&gt;='1-Input'!$C$12,'1-Input'!$B$12,0))))*(1/(1-'P-Parametri'!$B$6*AK697))),MAX(0,0*AK671-(AO696-MIN(MAX(AO696,0),MAX(0,AK671-IF($A697&gt;='1-Input'!$C$12,'1-Input'!$B$12,0)))))*(1/(1-'P-Parametri'!$B$6*AK697))))</f>
        <v>9364.0229934181843</v>
      </c>
      <c r="AM697" s="18">
        <f>IF($A697&gt;('1-Input'!$B$26-2),AO696,(AO696-MAX(0,AK671-IF($A697&gt;='1-Input'!$C$12,'1-Input'!$B$12,0))+AL697*(1-'P-Parametri'!$B$6*AK697))*(1+'1-Input'!$B$27))</f>
        <v>9.0622052084654565E-13</v>
      </c>
      <c r="AN697" s="18">
        <f>IF($A697&gt;('1-Input'!$B$26-2),AP696,(AP696-AL697)*(1+'5-Roberta'!$C$4))</f>
        <v>144699.22857774672</v>
      </c>
      <c r="AO697" s="18">
        <f>IF($A697&gt;('1-Input'!$B$26-2),AM697,AM697-'P-Parametri'!$B$8*(AN697+AM697)+MIN(MAX(AN697,0),'P-Parametri'!$B$8*(AN697+AM697)))</f>
        <v>9.0949470177292824E-13</v>
      </c>
      <c r="AP697" s="18">
        <f>IF($A697&gt;('1-Input'!$B$26-2),AN697,AN697-MIN(MAX(AN697,0),'P-Parametri'!$B$8*(AN697+AM697)))</f>
        <v>144409.83012059121</v>
      </c>
      <c r="AQ697" s="18">
        <f>IF($A697&gt;('1-Input'!$B$26-2),AQ696,AQ696-AL697*(1-AK697))</f>
        <v>58410.226452584924</v>
      </c>
    </row>
    <row r="698" spans="1:43">
      <c r="A698" s="10">
        <f>25</f>
        <v>25</v>
      </c>
      <c r="B698" s="11">
        <f>IF($A698&gt;('1-Input'!$B$26-2),0,IF(G697&lt;=0,0,MAX(0,(G697-H697)/G697)))</f>
        <v>0.59552458164510857</v>
      </c>
      <c r="C698" s="18">
        <f>IF($A698&gt;('1-Input'!$B$26-2),0,(MAX(0,B671-IF($A698&gt;='1-Input'!$C$12,'1-Input'!$B$12,0))-MIN(MAX(F697,0),MAX(0,B671-IF($A698&gt;='1-Input'!$C$12,'1-Input'!$B$12,0))))*(1/(1-'P-Parametri'!$B$6*B698))+MIN(MAX(0,G697-(MAX(0,B671-IF($A698&gt;='1-Input'!$C$12,'1-Input'!$B$12,0))-MIN(MAX(F697,0),MAX(0,B671-IF($A698&gt;='1-Input'!$C$12,'1-Input'!$B$12,0))))*(1/(1-'P-Parametri'!$B$6*B698))),MAX(0,0*B671-(F697-MIN(MAX(F697,0),MAX(0,B671-IF($A698&gt;='1-Input'!$C$12,'1-Input'!$B$12,0)))))*(1/(1-'P-Parametri'!$B$6*B698))))</f>
        <v>6601.1542105205235</v>
      </c>
      <c r="D698" s="18">
        <f>IF($A698&gt;('1-Input'!$B$26-2),F697,(F697-MAX(0,B671-IF($A698&gt;='1-Input'!$C$12,'1-Input'!$B$12,0))+C698*(1-'P-Parametri'!$B$6*B698))*(1+'1-Input'!$B$27))</f>
        <v>0</v>
      </c>
      <c r="E698" s="18">
        <f>IF($A698&gt;('1-Input'!$B$26-2),G697,(G697-C698)*(1+'5-Roberta'!$C$4))</f>
        <v>235648.48671228607</v>
      </c>
      <c r="F698" s="18">
        <f>IF($A698&gt;('1-Input'!$B$26-2),D698,D698-'P-Parametri'!$B$8*(E698+D698)+MIN(MAX(E698,0),'P-Parametri'!$B$8*(E698+D698)))</f>
        <v>0</v>
      </c>
      <c r="G698" s="18">
        <f>IF($A698&gt;('1-Input'!$B$26-2),E698,E698-MIN(MAX(E698,0),'P-Parametri'!$B$8*(E698+D698)))</f>
        <v>235177.18973886149</v>
      </c>
      <c r="H698" s="18">
        <f>IF($A698&gt;('1-Input'!$B$26-2),H697,H697-C698*(1-B698))</f>
        <v>92537.883735581549</v>
      </c>
      <c r="I698" s="11">
        <f>IF($A698&gt;('1-Input'!$B$26-2),0,IF(N697&lt;=0,0,MAX(0,(N697-O697)/N697)))</f>
        <v>0.59552458164510913</v>
      </c>
      <c r="J698" s="18">
        <f>IF($A698&gt;('1-Input'!$B$26-2),0,(MAX(0,I671-IF($A698&gt;='1-Input'!$C$12,'1-Input'!$B$12,0))-MIN(MAX(M697,0),MAX(0,I671-IF($A698&gt;='1-Input'!$C$12,'1-Input'!$B$12,0))))*(1/(1-'P-Parametri'!$B$6*I698))+MIN(MAX(0,N697-(MAX(0,I671-IF($A698&gt;='1-Input'!$C$12,'1-Input'!$B$12,0))-MIN(MAX(M697,0),MAX(0,I671-IF($A698&gt;='1-Input'!$C$12,'1-Input'!$B$12,0))))*(1/(1-'P-Parametri'!$B$6*I698))),MAX(0,0*I671-(M697-MIN(MAX(M697,0),MAX(0,I671-IF($A698&gt;='1-Input'!$C$12,'1-Input'!$B$12,0)))))*(1/(1-'P-Parametri'!$B$6*I698))))</f>
        <v>12833.913907728764</v>
      </c>
      <c r="K698" s="18">
        <f>IF($A698&gt;('1-Input'!$B$26-2),M697,(M697-MAX(0,I671-IF($A698&gt;='1-Input'!$C$12,'1-Input'!$B$12,0))+J698*(1-'P-Parametri'!$B$6*I698))*(1+'1-Input'!$B$27))</f>
        <v>-1.8124410416930913E-12</v>
      </c>
      <c r="L698" s="18">
        <f>IF($A698&gt;('1-Input'!$B$26-2),N697,(N697-J698)*(1+'5-Roberta'!$C$4))</f>
        <v>20300.049032821997</v>
      </c>
      <c r="M698" s="18">
        <f>IF($A698&gt;('1-Input'!$B$26-2),K698,K698-'P-Parametri'!$B$8*(L698+K698)+MIN(MAX(L698,0),'P-Parametri'!$B$8*(L698+K698)))</f>
        <v>-1.8118839761882555E-12</v>
      </c>
      <c r="N698" s="18">
        <f>IF($A698&gt;('1-Input'!$B$26-2),L698,L698-MIN(MAX(L698,0),'P-Parametri'!$B$8*(L698+K698)))</f>
        <v>20259.448934756354</v>
      </c>
      <c r="O698" s="18">
        <f>IF($A698&gt;('1-Input'!$B$26-2),O697,O697-J698*(1-I698))</f>
        <v>7971.7192477431818</v>
      </c>
      <c r="P698" s="11">
        <f>IF($A698&gt;('1-Input'!$B$26-2),0,IF(U697&lt;=0,0,MAX(0,(U697-V697)/U697)))</f>
        <v>0.59552458164510902</v>
      </c>
      <c r="Q698" s="18">
        <f>IF($A698&gt;('1-Input'!$B$26-2),0,(MAX(0,P671-IF($A698&gt;='1-Input'!$C$12,'1-Input'!$B$12,0))-MIN(MAX(T697,0),MAX(0,P671-IF($A698&gt;='1-Input'!$C$12,'1-Input'!$B$12,0))))*(1/(1-'P-Parametri'!$B$6*P698))+MIN(MAX(0,U697-(MAX(0,P671-IF($A698&gt;='1-Input'!$C$12,'1-Input'!$B$12,0))-MIN(MAX(T697,0),MAX(0,P671-IF($A698&gt;='1-Input'!$C$12,'1-Input'!$B$12,0))))*(1/(1-'P-Parametri'!$B$6*P698))),MAX(0,0*P671-(T697-MIN(MAX(T697,0),MAX(0,P671-IF($A698&gt;='1-Input'!$C$12,'1-Input'!$B$12,0)))))*(1/(1-'P-Parametri'!$B$6*P698))))</f>
        <v>9693.2441190574173</v>
      </c>
      <c r="R698" s="18">
        <f>IF($A698&gt;('1-Input'!$B$26-2),T697,(T697-MAX(0,P671-IF($A698&gt;='1-Input'!$C$12,'1-Input'!$B$12,0))+Q698*(1-'P-Parametri'!$B$6*P698))*(1+'1-Input'!$B$27))</f>
        <v>0</v>
      </c>
      <c r="S698" s="18">
        <f>IF($A698&gt;('1-Input'!$B$26-2),U697,(U697-Q698)*(1+'5-Roberta'!$C$4))</f>
        <v>128813.51098458162</v>
      </c>
      <c r="T698" s="18">
        <f>IF($A698&gt;('1-Input'!$B$26-2),R698,R698-'P-Parametri'!$B$8*(S698+R698)+MIN(MAX(S698,0),'P-Parametri'!$B$8*(S698+R698)))</f>
        <v>0</v>
      </c>
      <c r="U698" s="18">
        <f>IF($A698&gt;('1-Input'!$B$26-2),S698,S698-MIN(MAX(S698,0),'P-Parametri'!$B$8*(S698+R698)))</f>
        <v>128555.88396261245</v>
      </c>
      <c r="V698" s="18">
        <f>IF($A698&gt;('1-Input'!$B$26-2),V697,V697-Q698*(1-P698))</f>
        <v>50584.36771383592</v>
      </c>
      <c r="W698" s="11">
        <f>IF($A698&gt;('1-Input'!$B$26-2),0,IF(AB697&lt;=0,0,MAX(0,(AB697-AC697)/AB697)))</f>
        <v>0.59552458164510869</v>
      </c>
      <c r="X698" s="18">
        <f>IF($A698&gt;('1-Input'!$B$26-2),0,(MAX(0,W671-IF($A698&gt;='1-Input'!$C$12,'1-Input'!$B$12,0))-MIN(MAX(AA697,0),MAX(0,W671-IF($A698&gt;='1-Input'!$C$12,'1-Input'!$B$12,0))))*(1/(1-'P-Parametri'!$B$6*W698))+MIN(MAX(0,AB697-(MAX(0,W671-IF($A698&gt;='1-Input'!$C$12,'1-Input'!$B$12,0))-MIN(MAX(AA697,0),MAX(0,W671-IF($A698&gt;='1-Input'!$C$12,'1-Input'!$B$12,0))))*(1/(1-'P-Parametri'!$B$6*W698))),MAX(0,0*W671-(AA697-MIN(MAX(AA697,0),MAX(0,W671-IF($A698&gt;='1-Input'!$C$12,'1-Input'!$B$12,0)))))*(1/(1-'P-Parametri'!$B$6*W698))))</f>
        <v>9395.9879105203418</v>
      </c>
      <c r="Y698" s="18">
        <f>IF($A698&gt;('1-Input'!$B$26-2),AA697,(AA697-MAX(0,W671-IF($A698&gt;='1-Input'!$C$12,'1-Input'!$B$12,0))+X698*(1-'P-Parametri'!$B$6*W698))*(1+'1-Input'!$B$27))</f>
        <v>9.0622052084654565E-13</v>
      </c>
      <c r="Z698" s="18">
        <f>IF($A698&gt;('1-Input'!$B$26-2),AB697,(AB697-X698)*(1+'5-Roberta'!$C$4))</f>
        <v>139084.02729016825</v>
      </c>
      <c r="AA698" s="18">
        <f>IF($A698&gt;('1-Input'!$B$26-2),Y698,Y698-'P-Parametri'!$B$8*(Z698+Y698)+MIN(MAX(Z698,0),'P-Parametri'!$B$8*(Z698+Y698)))</f>
        <v>9.0949470177292824E-13</v>
      </c>
      <c r="AB698" s="18">
        <f>IF($A698&gt;('1-Input'!$B$26-2),Z698,Z698-MIN(MAX(Z698,0),'P-Parametri'!$B$8*(Z698+Y698)))</f>
        <v>138805.85923558791</v>
      </c>
      <c r="AC698" s="18">
        <f>IF($A698&gt;('1-Input'!$B$26-2),AC697,AC697-X698*(1-W698))</f>
        <v>54617.543810363029</v>
      </c>
      <c r="AD698" s="11">
        <f>IF($A698&gt;('1-Input'!$B$26-2),0,IF(AI697&lt;=0,0,MAX(0,(AI697-AJ697)/AI697)))</f>
        <v>0.59552458164510891</v>
      </c>
      <c r="AE698" s="18">
        <f>IF($A698&gt;('1-Input'!$B$26-2),0,(MAX(0,AD671-IF($A698&gt;='1-Input'!$C$12,'1-Input'!$B$12,0))-MIN(MAX(AH697,0),MAX(0,AD671-IF($A698&gt;='1-Input'!$C$12,'1-Input'!$B$12,0))))*(1/(1-'P-Parametri'!$B$6*AD698))+MIN(MAX(0,AI697-(MAX(0,AD671-IF($A698&gt;='1-Input'!$C$12,'1-Input'!$B$12,0))-MIN(MAX(AH697,0),MAX(0,AD671-IF($A698&gt;='1-Input'!$C$12,'1-Input'!$B$12,0))))*(1/(1-'P-Parametri'!$B$6*AD698))),MAX(0,0*AD671-(AH697-MIN(MAX(AH697,0),MAX(0,AD671-IF($A698&gt;='1-Input'!$C$12,'1-Input'!$B$12,0)))))*(1/(1-'P-Parametri'!$B$6*AD698))))</f>
        <v>9396.7003066566613</v>
      </c>
      <c r="AF698" s="18">
        <f>IF($A698&gt;('1-Input'!$B$26-2),AH697,(AH697-MAX(0,AD671-IF($A698&gt;='1-Input'!$C$12,'1-Input'!$B$12,0))+AE698*(1-'P-Parametri'!$B$6*AD698))*(1+'1-Input'!$B$27))</f>
        <v>0</v>
      </c>
      <c r="AG698" s="18">
        <f>IF($A698&gt;('1-Input'!$B$26-2),AI697,(AI697-AE698)*(1+'5-Roberta'!$C$4))</f>
        <v>139059.4132504139</v>
      </c>
      <c r="AH698" s="18">
        <f>IF($A698&gt;('1-Input'!$B$26-2),AF698,AF698-'P-Parametri'!$B$8*(AG698+AF698)+MIN(MAX(AG698,0),'P-Parametri'!$B$8*(AG698+AF698)))</f>
        <v>0</v>
      </c>
      <c r="AI698" s="18">
        <f>IF($A698&gt;('1-Input'!$B$26-2),AG698,AG698-MIN(MAX(AG698,0),'P-Parametri'!$B$8*(AG698+AF698)))</f>
        <v>138781.29442391306</v>
      </c>
      <c r="AJ698" s="18">
        <f>IF($A698&gt;('1-Input'!$B$26-2),AJ697,AJ697-AE698*(1-AD698))</f>
        <v>54607.878010336746</v>
      </c>
      <c r="AK698" s="11">
        <f>IF($A698&gt;('1-Input'!$B$26-2),0,IF(AP697&lt;=0,0,MAX(0,(AP697-AQ697)/AP697)))</f>
        <v>0.59552458164510857</v>
      </c>
      <c r="AL698" s="18">
        <f>IF($A698&gt;('1-Input'!$B$26-2),0,(MAX(0,AK671-IF($A698&gt;='1-Input'!$C$12,'1-Input'!$B$12,0))-MIN(MAX(AO697,0),MAX(0,AK671-IF($A698&gt;='1-Input'!$C$12,'1-Input'!$B$12,0))))*(1/(1-'P-Parametri'!$B$6*AK698))+MIN(MAX(0,AP697-(MAX(0,AK671-IF($A698&gt;='1-Input'!$C$12,'1-Input'!$B$12,0))-MIN(MAX(AO697,0),MAX(0,AK671-IF($A698&gt;='1-Input'!$C$12,'1-Input'!$B$12,0))))*(1/(1-'P-Parametri'!$B$6*AK698))),MAX(0,0*AK671-(AO697-MIN(MAX(AO697,0),MAX(0,AK671-IF($A698&gt;='1-Input'!$C$12,'1-Input'!$B$12,0)))))*(1/(1-'P-Parametri'!$B$6*AK698))))</f>
        <v>9396.5776834978169</v>
      </c>
      <c r="AM698" s="18">
        <f>IF($A698&gt;('1-Input'!$B$26-2),AO697,(AO697-MAX(0,AK671-IF($A698&gt;='1-Input'!$C$12,'1-Input'!$B$12,0))+AL698*(1-'P-Parametri'!$B$6*AK698))*(1+'1-Input'!$B$27))</f>
        <v>9.0622052084654565E-13</v>
      </c>
      <c r="AN698" s="18">
        <f>IF($A698&gt;('1-Input'!$B$26-2),AP697,(AP697-AL698)*(1+'5-Roberta'!$C$4))</f>
        <v>139063.65001020621</v>
      </c>
      <c r="AO698" s="18">
        <f>IF($A698&gt;('1-Input'!$B$26-2),AM698,AM698-'P-Parametri'!$B$8*(AN698+AM698)+MIN(MAX(AN698,0),'P-Parametri'!$B$8*(AN698+AM698)))</f>
        <v>9.0949470177292824E-13</v>
      </c>
      <c r="AP698" s="18">
        <f>IF($A698&gt;('1-Input'!$B$26-2),AN698,AN698-MIN(MAX(AN698,0),'P-Parametri'!$B$8*(AN698+AM698)))</f>
        <v>138785.52271018579</v>
      </c>
      <c r="AQ698" s="18">
        <f>IF($A698&gt;('1-Input'!$B$26-2),AQ697,AQ697-AL698*(1-AK698))</f>
        <v>54609.541762947905</v>
      </c>
    </row>
    <row r="699" spans="1:43">
      <c r="A699" s="10">
        <f>26</f>
        <v>26</v>
      </c>
      <c r="B699" s="11">
        <f>IF($A699&gt;('1-Input'!$B$26-2),0,IF(G698&lt;=0,0,MAX(0,(G698-H698)/G698)))</f>
        <v>0.60651845598489063</v>
      </c>
      <c r="C699" s="18">
        <f>IF($A699&gt;('1-Input'!$B$26-2),0,(MAX(0,B671-IF($A699&gt;='1-Input'!$C$12,'1-Input'!$B$12,0))-MIN(MAX(F698,0),MAX(0,B671-IF($A699&gt;='1-Input'!$C$12,'1-Input'!$B$12,0))))*(1/(1-'P-Parametri'!$B$6*B699))+MIN(MAX(0,G698-(MAX(0,B671-IF($A699&gt;='1-Input'!$C$12,'1-Input'!$B$12,0))-MIN(MAX(F698,0),MAX(0,B671-IF($A699&gt;='1-Input'!$C$12,'1-Input'!$B$12,0))))*(1/(1-'P-Parametri'!$B$6*B699))),MAX(0,0*B671-(F698-MIN(MAX(F698,0),MAX(0,B671-IF($A699&gt;='1-Input'!$C$12,'1-Input'!$B$12,0)))))*(1/(1-'P-Parametri'!$B$6*B699))))</f>
        <v>6623.5555770780738</v>
      </c>
      <c r="D699" s="18">
        <f>IF($A699&gt;('1-Input'!$B$26-2),F698,(F698-MAX(0,B671-IF($A699&gt;='1-Input'!$C$12,'1-Input'!$B$12,0))+C699*(1-'P-Parametri'!$B$6*B699))*(1+'1-Input'!$B$27))</f>
        <v>0</v>
      </c>
      <c r="E699" s="18">
        <f>IF($A699&gt;('1-Input'!$B$26-2),G698,(G698-C699)*(1+'5-Roberta'!$C$4))</f>
        <v>235410.24318663692</v>
      </c>
      <c r="F699" s="18">
        <f>IF($A699&gt;('1-Input'!$B$26-2),D699,D699-'P-Parametri'!$B$8*(E699+D699)+MIN(MAX(E699,0),'P-Parametri'!$B$8*(E699+D699)))</f>
        <v>0</v>
      </c>
      <c r="G699" s="18">
        <f>IF($A699&gt;('1-Input'!$B$26-2),E699,E699-MIN(MAX(E699,0),'P-Parametri'!$B$8*(E699+D699)))</f>
        <v>234939.42270026365</v>
      </c>
      <c r="H699" s="18">
        <f>IF($A699&gt;('1-Input'!$B$26-2),H698,H698-C699*(1-B699))</f>
        <v>89931.636860242987</v>
      </c>
      <c r="I699" s="11">
        <f>IF($A699&gt;('1-Input'!$B$26-2),0,IF(N698&lt;=0,0,MAX(0,(N698-O698)/N698)))</f>
        <v>0.60651845598489118</v>
      </c>
      <c r="J699" s="18">
        <f>IF($A699&gt;('1-Input'!$B$26-2),0,(MAX(0,I671-IF($A699&gt;='1-Input'!$C$12,'1-Input'!$B$12,0))-MIN(MAX(M698,0),MAX(0,I671-IF($A699&gt;='1-Input'!$C$12,'1-Input'!$B$12,0))))*(1/(1-'P-Parametri'!$B$6*I699))+MIN(MAX(0,N698-(MAX(0,I671-IF($A699&gt;='1-Input'!$C$12,'1-Input'!$B$12,0))-MIN(MAX(M698,0),MAX(0,I671-IF($A699&gt;='1-Input'!$C$12,'1-Input'!$B$12,0))))*(1/(1-'P-Parametri'!$B$6*I699))),MAX(0,0*I671-(M698-MIN(MAX(M698,0),MAX(0,I671-IF($A699&gt;='1-Input'!$C$12,'1-Input'!$B$12,0)))))*(1/(1-'P-Parametri'!$B$6*I699))))</f>
        <v>12877.466474544564</v>
      </c>
      <c r="K699" s="18">
        <f>IF($A699&gt;('1-Input'!$B$26-2),M698,(M698-MAX(0,I671-IF($A699&gt;='1-Input'!$C$12,'1-Input'!$B$12,0))+J699*(1-'P-Parametri'!$B$6*I699))*(1+'1-Input'!$B$27))</f>
        <v>0</v>
      </c>
      <c r="L699" s="18">
        <f>IF($A699&gt;('1-Input'!$B$26-2),N698,(N698-J699)*(1+'5-Roberta'!$C$4))</f>
        <v>7603.4419340181439</v>
      </c>
      <c r="M699" s="18">
        <f>IF($A699&gt;('1-Input'!$B$26-2),K699,K699-'P-Parametri'!$B$8*(L699+K699)+MIN(MAX(L699,0),'P-Parametri'!$B$8*(L699+K699)))</f>
        <v>0</v>
      </c>
      <c r="N699" s="18">
        <f>IF($A699&gt;('1-Input'!$B$26-2),L699,L699-MIN(MAX(L699,0),'P-Parametri'!$B$8*(L699+K699)))</f>
        <v>7588.2350501501078</v>
      </c>
      <c r="O699" s="18">
        <f>IF($A699&gt;('1-Input'!$B$26-2),O698,O698-J699*(1-I699))</f>
        <v>2904.6738563365861</v>
      </c>
      <c r="P699" s="11">
        <f>IF($A699&gt;('1-Input'!$B$26-2),0,IF(U698&lt;=0,0,MAX(0,(U698-V698)/U698)))</f>
        <v>0.60651845598489118</v>
      </c>
      <c r="Q699" s="18">
        <f>IF($A699&gt;('1-Input'!$B$26-2),0,(MAX(0,P671-IF($A699&gt;='1-Input'!$C$12,'1-Input'!$B$12,0))-MIN(MAX(T698,0),MAX(0,P671-IF($A699&gt;='1-Input'!$C$12,'1-Input'!$B$12,0))))*(1/(1-'P-Parametri'!$B$6*P699))+MIN(MAX(0,U698-(MAX(0,P671-IF($A699&gt;='1-Input'!$C$12,'1-Input'!$B$12,0))-MIN(MAX(T698,0),MAX(0,P671-IF($A699&gt;='1-Input'!$C$12,'1-Input'!$B$12,0))))*(1/(1-'P-Parametri'!$B$6*P699))),MAX(0,0*P671-(T698-MIN(MAX(T698,0),MAX(0,P671-IF($A699&gt;='1-Input'!$C$12,'1-Input'!$B$12,0)))))*(1/(1-'P-Parametri'!$B$6*P699))))</f>
        <v>9726.1386565455341</v>
      </c>
      <c r="R699" s="18">
        <f>IF($A699&gt;('1-Input'!$B$26-2),T698,(T698-MAX(0,P671-IF($A699&gt;='1-Input'!$C$12,'1-Input'!$B$12,0))+Q699*(1-'P-Parametri'!$B$6*P699))*(1+'1-Input'!$B$27))</f>
        <v>-1.8124410416930913E-12</v>
      </c>
      <c r="S699" s="18">
        <f>IF($A699&gt;('1-Input'!$B$26-2),U698,(U698-Q699)*(1+'5-Roberta'!$C$4))</f>
        <v>122394.63766524893</v>
      </c>
      <c r="T699" s="18">
        <f>IF($A699&gt;('1-Input'!$B$26-2),R699,R699-'P-Parametri'!$B$8*(S699+R699)+MIN(MAX(S699,0),'P-Parametri'!$B$8*(S699+R699)))</f>
        <v>-1.8189894035458565E-12</v>
      </c>
      <c r="U699" s="18">
        <f>IF($A699&gt;('1-Input'!$B$26-2),S699,S699-MIN(MAX(S699,0),'P-Parametri'!$B$8*(S699+R699)))</f>
        <v>122149.84838991844</v>
      </c>
      <c r="V699" s="18">
        <f>IF($A699&gt;('1-Input'!$B$26-2),V698,V698-Q699*(1-P699))</f>
        <v>46757.311657953345</v>
      </c>
      <c r="W699" s="11">
        <f>IF($A699&gt;('1-Input'!$B$26-2),0,IF(AB698&lt;=0,0,MAX(0,(AB698-AC698)/AB698)))</f>
        <v>0.60651845598489085</v>
      </c>
      <c r="X699" s="18">
        <f>IF($A699&gt;('1-Input'!$B$26-2),0,(MAX(0,W671-IF($A699&gt;='1-Input'!$C$12,'1-Input'!$B$12,0))-MIN(MAX(AA698,0),MAX(0,W671-IF($A699&gt;='1-Input'!$C$12,'1-Input'!$B$12,0))))*(1/(1-'P-Parametri'!$B$6*W699))+MIN(MAX(0,AB698-(MAX(0,W671-IF($A699&gt;='1-Input'!$C$12,'1-Input'!$B$12,0))-MIN(MAX(AA698,0),MAX(0,W671-IF($A699&gt;='1-Input'!$C$12,'1-Input'!$B$12,0))))*(1/(1-'P-Parametri'!$B$6*W699))),MAX(0,0*W671-(AA698-MIN(MAX(AA698,0),MAX(0,W671-IF($A699&gt;='1-Input'!$C$12,'1-Input'!$B$12,0)))))*(1/(1-'P-Parametri'!$B$6*W699))))</f>
        <v>9427.8736933154778</v>
      </c>
      <c r="Y699" s="18">
        <f>IF($A699&gt;('1-Input'!$B$26-2),AA698,(AA698-MAX(0,W671-IF($A699&gt;='1-Input'!$C$12,'1-Input'!$B$12,0))+X699*(1-'P-Parametri'!$B$6*W699))*(1+'1-Input'!$B$27))</f>
        <v>0</v>
      </c>
      <c r="Z699" s="18">
        <f>IF($A699&gt;('1-Input'!$B$26-2),AB698,(AB698-X699)*(1+'5-Roberta'!$C$4))</f>
        <v>133259.32510854062</v>
      </c>
      <c r="AA699" s="18">
        <f>IF($A699&gt;('1-Input'!$B$26-2),Y699,Y699-'P-Parametri'!$B$8*(Z699+Y699)+MIN(MAX(Z699,0),'P-Parametri'!$B$8*(Z699+Y699)))</f>
        <v>0</v>
      </c>
      <c r="AB699" s="18">
        <f>IF($A699&gt;('1-Input'!$B$26-2),Z699,Z699-MIN(MAX(Z699,0),'P-Parametri'!$B$8*(Z699+Y699)))</f>
        <v>132992.80645832355</v>
      </c>
      <c r="AC699" s="18">
        <f>IF($A699&gt;('1-Input'!$B$26-2),AC698,AC698-X699*(1-W699))</f>
        <v>50907.849512737826</v>
      </c>
      <c r="AD699" s="11">
        <f>IF($A699&gt;('1-Input'!$B$26-2),0,IF(AI698&lt;=0,0,MAX(0,(AI698-AJ698)/AI698)))</f>
        <v>0.60651845598489096</v>
      </c>
      <c r="AE699" s="18">
        <f>IF($A699&gt;('1-Input'!$B$26-2),0,(MAX(0,AD671-IF($A699&gt;='1-Input'!$C$12,'1-Input'!$B$12,0))-MIN(MAX(AH698,0),MAX(0,AD671-IF($A699&gt;='1-Input'!$C$12,'1-Input'!$B$12,0))))*(1/(1-'P-Parametri'!$B$6*AD699))+MIN(MAX(0,AI698-(MAX(0,AD671-IF($A699&gt;='1-Input'!$C$12,'1-Input'!$B$12,0))-MIN(MAX(AH698,0),MAX(0,AD671-IF($A699&gt;='1-Input'!$C$12,'1-Input'!$B$12,0))))*(1/(1-'P-Parametri'!$B$6*AD699))),MAX(0,0*AD671-(AH698-MIN(MAX(AH698,0),MAX(0,AD671-IF($A699&gt;='1-Input'!$C$12,'1-Input'!$B$12,0)))))*(1/(1-'P-Parametri'!$B$6*AD699))))</f>
        <v>9428.5885070058339</v>
      </c>
      <c r="AF699" s="18">
        <f>IF($A699&gt;('1-Input'!$B$26-2),AH698,(AH698-MAX(0,AD671-IF($A699&gt;='1-Input'!$C$12,'1-Input'!$B$12,0))+AE699*(1-'P-Parametri'!$B$6*AD699))*(1+'1-Input'!$B$27))</f>
        <v>-9.0622052084654565E-13</v>
      </c>
      <c r="AG699" s="18">
        <f>IF($A699&gt;('1-Input'!$B$26-2),AI698,(AI698-AE699)*(1+'5-Roberta'!$C$4))</f>
        <v>133233.28709441444</v>
      </c>
      <c r="AH699" s="18">
        <f>IF($A699&gt;('1-Input'!$B$26-2),AF699,AF699-'P-Parametri'!$B$8*(AG699+AF699)+MIN(MAX(AG699,0),'P-Parametri'!$B$8*(AG699+AF699)))</f>
        <v>-9.0949470177292824E-13</v>
      </c>
      <c r="AI699" s="18">
        <f>IF($A699&gt;('1-Input'!$B$26-2),AG699,AG699-MIN(MAX(AG699,0),'P-Parametri'!$B$8*(AG699+AF699)))</f>
        <v>132966.82052022562</v>
      </c>
      <c r="AJ699" s="18">
        <f>IF($A699&gt;('1-Input'!$B$26-2),AJ698,AJ698-AE699*(1-AD699))</f>
        <v>50897.90244671698</v>
      </c>
      <c r="AK699" s="11">
        <f>IF($A699&gt;('1-Input'!$B$26-2),0,IF(AP698&lt;=0,0,MAX(0,(AP698-AQ698)/AP698)))</f>
        <v>0.60651845598489085</v>
      </c>
      <c r="AL699" s="18">
        <f>IF($A699&gt;('1-Input'!$B$26-2),0,(MAX(0,AK671-IF($A699&gt;='1-Input'!$C$12,'1-Input'!$B$12,0))-MIN(MAX(AO698,0),MAX(0,AK671-IF($A699&gt;='1-Input'!$C$12,'1-Input'!$B$12,0))))*(1/(1-'P-Parametri'!$B$6*AK699))+MIN(MAX(0,AP698-(MAX(0,AK671-IF($A699&gt;='1-Input'!$C$12,'1-Input'!$B$12,0))-MIN(MAX(AO698,0),MAX(0,AK671-IF($A699&gt;='1-Input'!$C$12,'1-Input'!$B$12,0))))*(1/(1-'P-Parametri'!$B$6*AK699))),MAX(0,0*AK671-(AO698-MIN(MAX(AO698,0),MAX(0,AK671-IF($A699&gt;='1-Input'!$C$12,'1-Input'!$B$12,0)))))*(1/(1-'P-Parametri'!$B$6*AK699))))</f>
        <v>9428.4654677188009</v>
      </c>
      <c r="AM699" s="18">
        <f>IF($A699&gt;('1-Input'!$B$26-2),AO698,(AO698-MAX(0,AK671-IF($A699&gt;='1-Input'!$C$12,'1-Input'!$B$12,0))+AL699*(1-'P-Parametri'!$B$6*AK699))*(1+'1-Input'!$B$27))</f>
        <v>-9.0622052084654565E-13</v>
      </c>
      <c r="AN699" s="18">
        <f>IF($A699&gt;('1-Input'!$B$26-2),AP698,(AP698-AL699)*(1+'5-Roberta'!$C$4))</f>
        <v>133237.76895974099</v>
      </c>
      <c r="AO699" s="18">
        <f>IF($A699&gt;('1-Input'!$B$26-2),AM699,AM699-'P-Parametri'!$B$8*(AN699+AM699)+MIN(MAX(AN699,0),'P-Parametri'!$B$8*(AN699+AM699)))</f>
        <v>-9.0949470177292824E-13</v>
      </c>
      <c r="AP699" s="18">
        <f>IF($A699&gt;('1-Input'!$B$26-2),AN699,AN699-MIN(MAX(AN699,0),'P-Parametri'!$B$8*(AN699+AM699)))</f>
        <v>132971.29342182152</v>
      </c>
      <c r="AQ699" s="18">
        <f>IF($A699&gt;('1-Input'!$B$26-2),AQ698,AQ698-AL699*(1-AK699))</f>
        <v>50899.614613016776</v>
      </c>
    </row>
    <row r="700" spans="1:43">
      <c r="A700" s="10">
        <f>27</f>
        <v>27</v>
      </c>
      <c r="B700" s="11">
        <f>IF($A700&gt;('1-Input'!$B$26-2),0,IF(G699&lt;=0,0,MAX(0,(G699-H699)/G699)))</f>
        <v>0.61721351050147932</v>
      </c>
      <c r="C700" s="18">
        <f>IF($A700&gt;('1-Input'!$B$26-2),0,(MAX(0,B671-IF($A700&gt;='1-Input'!$C$12,'1-Input'!$B$12,0))-MIN(MAX(F699,0),MAX(0,B671-IF($A700&gt;='1-Input'!$C$12,'1-Input'!$B$12,0))))*(1/(1-'P-Parametri'!$B$6*B700))+MIN(MAX(0,G699-(MAX(0,B671-IF($A700&gt;='1-Input'!$C$12,'1-Input'!$B$12,0))-MIN(MAX(F699,0),MAX(0,B671-IF($A700&gt;='1-Input'!$C$12,'1-Input'!$B$12,0))))*(1/(1-'P-Parametri'!$B$6*B700))),MAX(0,0*B671-(F699-MIN(MAX(F699,0),MAX(0,B671-IF($A700&gt;='1-Input'!$C$12,'1-Input'!$B$12,0)))))*(1/(1-'P-Parametri'!$B$6*B700))))</f>
        <v>6645.4944426583179</v>
      </c>
      <c r="D700" s="18">
        <f>IF($A700&gt;('1-Input'!$B$26-2),F699,(F699-MAX(0,B671-IF($A700&gt;='1-Input'!$C$12,'1-Input'!$B$12,0))+C700*(1-'P-Parametri'!$B$6*B700))*(1+'1-Input'!$B$27))</f>
        <v>0</v>
      </c>
      <c r="E700" s="18">
        <f>IF($A700&gt;('1-Input'!$B$26-2),G699,(G699-C700)*(1+'5-Roberta'!$C$4))</f>
        <v>235142.7461053335</v>
      </c>
      <c r="F700" s="18">
        <f>IF($A700&gt;('1-Input'!$B$26-2),D700,D700-'P-Parametri'!$B$8*(E700+D700)+MIN(MAX(E700,0),'P-Parametri'!$B$8*(E700+D700)))</f>
        <v>0</v>
      </c>
      <c r="G700" s="18">
        <f>IF($A700&gt;('1-Input'!$B$26-2),E700,E700-MIN(MAX(E700,0),'P-Parametri'!$B$8*(E700+D700)))</f>
        <v>234672.46061312282</v>
      </c>
      <c r="H700" s="18">
        <f>IF($A700&gt;('1-Input'!$B$26-2),H699,H699-C700*(1-B700))</f>
        <v>87387.831371555876</v>
      </c>
      <c r="I700" s="11">
        <f>IF($A700&gt;('1-Input'!$B$26-2),0,IF(N699&lt;=0,0,MAX(0,(N699-O699)/N699)))</f>
        <v>0.61721351050147988</v>
      </c>
      <c r="J700" s="18">
        <f>IF($A700&gt;('1-Input'!$B$26-2),0,(MAX(0,I671-IF($A700&gt;='1-Input'!$C$12,'1-Input'!$B$12,0))-MIN(MAX(M699,0),MAX(0,I671-IF($A700&gt;='1-Input'!$C$12,'1-Input'!$B$12,0))))*(1/(1-'P-Parametri'!$B$6*I700))+MIN(MAX(0,N699-(MAX(0,I671-IF($A700&gt;='1-Input'!$C$12,'1-Input'!$B$12,0))-MIN(MAX(M699,0),MAX(0,I671-IF($A700&gt;='1-Input'!$C$12,'1-Input'!$B$12,0))))*(1/(1-'P-Parametri'!$B$6*I700))),MAX(0,0*I671-(M699-MIN(MAX(M699,0),MAX(0,I671-IF($A700&gt;='1-Input'!$C$12,'1-Input'!$B$12,0)))))*(1/(1-'P-Parametri'!$B$6*I700))))</f>
        <v>12920.119850471056</v>
      </c>
      <c r="K700" s="18">
        <f>IF($A700&gt;('1-Input'!$B$26-2),M699,(M699-MAX(0,I671-IF($A700&gt;='1-Input'!$C$12,'1-Input'!$B$12,0))+J700*(1-'P-Parametri'!$B$6*I700))*(1+'1-Input'!$B$27))</f>
        <v>0</v>
      </c>
      <c r="L700" s="18">
        <f>IF($A700&gt;('1-Input'!$B$26-2),N699,(N699-J700)*(1+'5-Roberta'!$C$4))</f>
        <v>-5491.8413443305762</v>
      </c>
      <c r="M700" s="18">
        <f>IF($A700&gt;('1-Input'!$B$26-2),K700,K700-'P-Parametri'!$B$8*(L700+K700)+MIN(MAX(L700,0),'P-Parametri'!$B$8*(L700+K700)))</f>
        <v>0</v>
      </c>
      <c r="N700" s="18">
        <f>IF($A700&gt;('1-Input'!$B$26-2),L700,L700-MIN(MAX(L700,0),'P-Parametri'!$B$8*(L700+K700)))</f>
        <v>-5480.857661641915</v>
      </c>
      <c r="O700" s="18">
        <f>IF($A700&gt;('1-Input'!$B$26-2),O699,O699-J700*(1-I700))</f>
        <v>-2040.9734651253739</v>
      </c>
      <c r="P700" s="11">
        <f>IF($A700&gt;('1-Input'!$B$26-2),0,IF(U699&lt;=0,0,MAX(0,(U699-V699)/U699)))</f>
        <v>0.61721351050147977</v>
      </c>
      <c r="Q700" s="18">
        <f>IF($A700&gt;('1-Input'!$B$26-2),0,(MAX(0,P671-IF($A700&gt;='1-Input'!$C$12,'1-Input'!$B$12,0))-MIN(MAX(T699,0),MAX(0,P671-IF($A700&gt;='1-Input'!$C$12,'1-Input'!$B$12,0))))*(1/(1-'P-Parametri'!$B$6*P700))+MIN(MAX(0,U699-(MAX(0,P671-IF($A700&gt;='1-Input'!$C$12,'1-Input'!$B$12,0))-MIN(MAX(T699,0),MAX(0,P671-IF($A700&gt;='1-Input'!$C$12,'1-Input'!$B$12,0))))*(1/(1-'P-Parametri'!$B$6*P700))),MAX(0,0*P671-(T699-MIN(MAX(T699,0),MAX(0,P671-IF($A700&gt;='1-Input'!$C$12,'1-Input'!$B$12,0)))))*(1/(1-'P-Parametri'!$B$6*P700))))</f>
        <v>9758.3540499422797</v>
      </c>
      <c r="R700" s="18">
        <f>IF($A700&gt;('1-Input'!$B$26-2),T699,(T699-MAX(0,P671-IF($A700&gt;='1-Input'!$C$12,'1-Input'!$B$12,0))+Q700*(1-'P-Parametri'!$B$6*P700))*(1+'1-Input'!$B$27))</f>
        <v>-1.8124410416930913E-12</v>
      </c>
      <c r="S700" s="18">
        <f>IF($A700&gt;('1-Input'!$B$26-2),U699,(U699-Q700)*(1+'5-Roberta'!$C$4))</f>
        <v>115763.23917017544</v>
      </c>
      <c r="T700" s="18">
        <f>IF($A700&gt;('1-Input'!$B$26-2),R700,R700-'P-Parametri'!$B$8*(S700+R700)+MIN(MAX(S700,0),'P-Parametri'!$B$8*(S700+R700)))</f>
        <v>-1.8189894035458565E-12</v>
      </c>
      <c r="U700" s="18">
        <f>IF($A700&gt;('1-Input'!$B$26-2),S700,S700-MIN(MAX(S700,0),'P-Parametri'!$B$8*(S700+R700)))</f>
        <v>115531.71269183508</v>
      </c>
      <c r="V700" s="18">
        <f>IF($A700&gt;('1-Input'!$B$26-2),V699,V699-Q700*(1-P700))</f>
        <v>43021.945567892275</v>
      </c>
      <c r="W700" s="11">
        <f>IF($A700&gt;('1-Input'!$B$26-2),0,IF(AB699&lt;=0,0,MAX(0,(AB699-AC699)/AB699)))</f>
        <v>0.61721351050147955</v>
      </c>
      <c r="X700" s="18">
        <f>IF($A700&gt;('1-Input'!$B$26-2),0,(MAX(0,W671-IF($A700&gt;='1-Input'!$C$12,'1-Input'!$B$12,0))-MIN(MAX(AA699,0),MAX(0,W671-IF($A700&gt;='1-Input'!$C$12,'1-Input'!$B$12,0))))*(1/(1-'P-Parametri'!$B$6*W700))+MIN(MAX(0,AB699-(MAX(0,W671-IF($A700&gt;='1-Input'!$C$12,'1-Input'!$B$12,0))-MIN(MAX(AA699,0),MAX(0,W671-IF($A700&gt;='1-Input'!$C$12,'1-Input'!$B$12,0))))*(1/(1-'P-Parametri'!$B$6*W700))),MAX(0,0*W671-(AA699-MIN(MAX(AA699,0),MAX(0,W671-IF($A700&gt;='1-Input'!$C$12,'1-Input'!$B$12,0)))))*(1/(1-'P-Parametri'!$B$6*W700))))</f>
        <v>9459.1011588750589</v>
      </c>
      <c r="Y700" s="18">
        <f>IF($A700&gt;('1-Input'!$B$26-2),AA699,(AA699-MAX(0,W671-IF($A700&gt;='1-Input'!$C$12,'1-Input'!$B$12,0))+X700*(1-'P-Parametri'!$B$6*W700))*(1+'1-Input'!$B$27))</f>
        <v>0</v>
      </c>
      <c r="Z700" s="18">
        <f>IF($A700&gt;('1-Input'!$B$26-2),AB699,(AB699-X700)*(1+'5-Roberta'!$C$4))</f>
        <v>127239.71645843195</v>
      </c>
      <c r="AA700" s="18">
        <f>IF($A700&gt;('1-Input'!$B$26-2),Y700,Y700-'P-Parametri'!$B$8*(Z700+Y700)+MIN(MAX(Z700,0),'P-Parametri'!$B$8*(Z700+Y700)))</f>
        <v>0</v>
      </c>
      <c r="AB700" s="18">
        <f>IF($A700&gt;('1-Input'!$B$26-2),Z700,Z700-MIN(MAX(Z700,0),'P-Parametri'!$B$8*(Z700+Y700)))</f>
        <v>126985.23702551509</v>
      </c>
      <c r="AC700" s="18">
        <f>IF($A700&gt;('1-Input'!$B$26-2),AC699,AC699-X700*(1-W700))</f>
        <v>47287.033386320654</v>
      </c>
      <c r="AD700" s="11">
        <f>IF($A700&gt;('1-Input'!$B$26-2),0,IF(AI699&lt;=0,0,MAX(0,(AI699-AJ699)/AI699)))</f>
        <v>0.61721351050147966</v>
      </c>
      <c r="AE700" s="18">
        <f>IF($A700&gt;('1-Input'!$B$26-2),0,(MAX(0,AD671-IF($A700&gt;='1-Input'!$C$12,'1-Input'!$B$12,0))-MIN(MAX(AH699,0),MAX(0,AD671-IF($A700&gt;='1-Input'!$C$12,'1-Input'!$B$12,0))))*(1/(1-'P-Parametri'!$B$6*AD700))+MIN(MAX(0,AI699-(MAX(0,AD671-IF($A700&gt;='1-Input'!$C$12,'1-Input'!$B$12,0))-MIN(MAX(AH699,0),MAX(0,AD671-IF($A700&gt;='1-Input'!$C$12,'1-Input'!$B$12,0))))*(1/(1-'P-Parametri'!$B$6*AD700))),MAX(0,0*AD671-(AH699-MIN(MAX(AH699,0),MAX(0,AD671-IF($A700&gt;='1-Input'!$C$12,'1-Input'!$B$12,0)))))*(1/(1-'P-Parametri'!$B$6*AD700))))</f>
        <v>9459.8183402063733</v>
      </c>
      <c r="AF700" s="18">
        <f>IF($A700&gt;('1-Input'!$B$26-2),AH699,(AH699-MAX(0,AD671-IF($A700&gt;='1-Input'!$C$12,'1-Input'!$B$12,0))+AE700*(1-'P-Parametri'!$B$6*AD700))*(1+'1-Input'!$B$27))</f>
        <v>9.0622052084654565E-13</v>
      </c>
      <c r="AG700" s="18">
        <f>IF($A700&gt;('1-Input'!$B$26-2),AI699,(AI699-AE700)*(1+'5-Roberta'!$C$4))</f>
        <v>127212.21224541983</v>
      </c>
      <c r="AH700" s="18">
        <f>IF($A700&gt;('1-Input'!$B$26-2),AF700,AF700-'P-Parametri'!$B$8*(AG700+AF700)+MIN(MAX(AG700,0),'P-Parametri'!$B$8*(AG700+AF700)))</f>
        <v>9.0949470177292824E-13</v>
      </c>
      <c r="AI700" s="18">
        <f>IF($A700&gt;('1-Input'!$B$26-2),AG700,AG700-MIN(MAX(AG700,0),'P-Parametri'!$B$8*(AG700+AF700)))</f>
        <v>126957.78782092899</v>
      </c>
      <c r="AJ700" s="18">
        <f>IF($A700&gt;('1-Input'!$B$26-2),AJ699,AJ699-AE700*(1-AD700))</f>
        <v>47276.811792975663</v>
      </c>
      <c r="AK700" s="11">
        <f>IF($A700&gt;('1-Input'!$B$26-2),0,IF(AP699&lt;=0,0,MAX(0,(AP699-AQ699)/AP699)))</f>
        <v>0.61721351050147943</v>
      </c>
      <c r="AL700" s="18">
        <f>IF($A700&gt;('1-Input'!$B$26-2),0,(MAX(0,AK671-IF($A700&gt;='1-Input'!$C$12,'1-Input'!$B$12,0))-MIN(MAX(AO699,0),MAX(0,AK671-IF($A700&gt;='1-Input'!$C$12,'1-Input'!$B$12,0))))*(1/(1-'P-Parametri'!$B$6*AK700))+MIN(MAX(0,AP699-(MAX(0,AK671-IF($A700&gt;='1-Input'!$C$12,'1-Input'!$B$12,0))-MIN(MAX(AO699,0),MAX(0,AK671-IF($A700&gt;='1-Input'!$C$12,'1-Input'!$B$12,0))))*(1/(1-'P-Parametri'!$B$6*AK700))),MAX(0,0*AK671-(AO699-MIN(MAX(AO699,0),MAX(0,AK671-IF($A700&gt;='1-Input'!$C$12,'1-Input'!$B$12,0)))))*(1/(1-'P-Parametri'!$B$6*AK700))))</f>
        <v>9459.6948933825824</v>
      </c>
      <c r="AM700" s="18">
        <f>IF($A700&gt;('1-Input'!$B$26-2),AO699,(AO699-MAX(0,AK671-IF($A700&gt;='1-Input'!$C$12,'1-Input'!$B$12,0))+AL700*(1-'P-Parametri'!$B$6*AK700))*(1+'1-Input'!$B$27))</f>
        <v>9.0622052084654565E-13</v>
      </c>
      <c r="AN700" s="18">
        <f>IF($A700&gt;('1-Input'!$B$26-2),AP699,(AP699-AL700)*(1+'5-Roberta'!$C$4))</f>
        <v>127216.94648429212</v>
      </c>
      <c r="AO700" s="18">
        <f>IF($A700&gt;('1-Input'!$B$26-2),AM700,AM700-'P-Parametri'!$B$8*(AN700+AM700)+MIN(MAX(AN700,0),'P-Parametri'!$B$8*(AN700+AM700)))</f>
        <v>9.0949470177292824E-13</v>
      </c>
      <c r="AP700" s="18">
        <f>IF($A700&gt;('1-Input'!$B$26-2),AN700,AN700-MIN(MAX(AN700,0),'P-Parametri'!$B$8*(AN700+AM700)))</f>
        <v>126962.51259132352</v>
      </c>
      <c r="AQ700" s="18">
        <f>IF($A700&gt;('1-Input'!$B$26-2),AQ699,AQ699-AL700*(1-AK700))</f>
        <v>47278.571213051779</v>
      </c>
    </row>
    <row r="701" spans="1:43">
      <c r="A701" s="10">
        <f>28</f>
        <v>28</v>
      </c>
      <c r="B701" s="11">
        <f>IF($A701&gt;('1-Input'!$B$26-2),0,IF(G700&lt;=0,0,MAX(0,(G700-H700)/G700)))</f>
        <v>0.62761786728941305</v>
      </c>
      <c r="C701" s="18">
        <f>IF($A701&gt;('1-Input'!$B$26-2),0,(MAX(0,B671-IF($A701&gt;='1-Input'!$C$12,'1-Input'!$B$12,0))-MIN(MAX(F700,0),MAX(0,B671-IF($A701&gt;='1-Input'!$C$12,'1-Input'!$B$12,0))))*(1/(1-'P-Parametri'!$B$6*B701))+MIN(MAX(0,G700-(MAX(0,B671-IF($A701&gt;='1-Input'!$C$12,'1-Input'!$B$12,0))-MIN(MAX(F700,0),MAX(0,B671-IF($A701&gt;='1-Input'!$C$12,'1-Input'!$B$12,0))))*(1/(1-'P-Parametri'!$B$6*B701))),MAX(0,0*B671-(F700-MIN(MAX(F700,0),MAX(0,B671-IF($A701&gt;='1-Input'!$C$12,'1-Input'!$B$12,0)))))*(1/(1-'P-Parametri'!$B$6*B701))))</f>
        <v>6666.9769103603076</v>
      </c>
      <c r="D701" s="18">
        <f>IF($A701&gt;('1-Input'!$B$26-2),F700,(F700-MAX(0,B671-IF($A701&gt;='1-Input'!$C$12,'1-Input'!$B$12,0))+C701*(1-'P-Parametri'!$B$6*B701))*(1+'1-Input'!$B$27))</f>
        <v>0</v>
      </c>
      <c r="E701" s="18">
        <f>IF($A701&gt;('1-Input'!$B$26-2),G700,(G700-C701)*(1+'5-Roberta'!$C$4))</f>
        <v>234845.64821384539</v>
      </c>
      <c r="F701" s="18">
        <f>IF($A701&gt;('1-Input'!$B$26-2),D701,D701-'P-Parametri'!$B$8*(E701+D701)+MIN(MAX(E701,0),'P-Parametri'!$B$8*(E701+D701)))</f>
        <v>0</v>
      </c>
      <c r="G701" s="18">
        <f>IF($A701&gt;('1-Input'!$B$26-2),E701,E701-MIN(MAX(E701,0),'P-Parametri'!$B$8*(E701+D701)))</f>
        <v>234375.9569174177</v>
      </c>
      <c r="H701" s="18">
        <f>IF($A701&gt;('1-Input'!$B$26-2),H700,H700-C701*(1-B701))</f>
        <v>84905.168290943664</v>
      </c>
      <c r="I701" s="11">
        <f>IF($A701&gt;('1-Input'!$B$26-2),0,IF(N700&lt;=0,0,MAX(0,(N700-O700)/N700)))</f>
        <v>0</v>
      </c>
      <c r="J701" s="18">
        <f>IF($A701&gt;('1-Input'!$B$26-2),0,(MAX(0,I671-IF($A701&gt;='1-Input'!$C$12,'1-Input'!$B$12,0))-MIN(MAX(M700,0),MAX(0,I671-IF($A701&gt;='1-Input'!$C$12,'1-Input'!$B$12,0))))*(1/(1-'P-Parametri'!$B$6*I701))+MIN(MAX(0,N700-(MAX(0,I671-IF($A701&gt;='1-Input'!$C$12,'1-Input'!$B$12,0))-MIN(MAX(M700,0),MAX(0,I671-IF($A701&gt;='1-Input'!$C$12,'1-Input'!$B$12,0))))*(1/(1-'P-Parametri'!$B$6*I701))),MAX(0,0*I671-(M700-MIN(MAX(M700,0),MAX(0,I671-IF($A701&gt;='1-Input'!$C$12,'1-Input'!$B$12,0)))))*(1/(1-'P-Parametri'!$B$6*I701))))</f>
        <v>10846.756992928691</v>
      </c>
      <c r="K701" s="18">
        <f>IF($A701&gt;('1-Input'!$B$26-2),M700,(M700-MAX(0,I671-IF($A701&gt;='1-Input'!$C$12,'1-Input'!$B$12,0))+J701*(1-'P-Parametri'!$B$6*I701))*(1+'1-Input'!$B$27))</f>
        <v>0</v>
      </c>
      <c r="L701" s="18">
        <f>IF($A701&gt;('1-Input'!$B$26-2),N700,(N700-J701)*(1+'5-Roberta'!$C$4))</f>
        <v>-16817.443094207727</v>
      </c>
      <c r="M701" s="18">
        <f>IF($A701&gt;('1-Input'!$B$26-2),K701,K701-'P-Parametri'!$B$8*(L701+K701)+MIN(MAX(L701,0),'P-Parametri'!$B$8*(L701+K701)))</f>
        <v>0</v>
      </c>
      <c r="N701" s="18">
        <f>IF($A701&gt;('1-Input'!$B$26-2),L701,L701-MIN(MAX(L701,0),'P-Parametri'!$B$8*(L701+K701)))</f>
        <v>-16783.808208019313</v>
      </c>
      <c r="O701" s="18">
        <f>IF($A701&gt;('1-Input'!$B$26-2),O700,O700-J701*(1-I701))</f>
        <v>-12887.730458054066</v>
      </c>
      <c r="P701" s="11">
        <f>IF($A701&gt;('1-Input'!$B$26-2),0,IF(U700&lt;=0,0,MAX(0,(U700-V700)/U700)))</f>
        <v>0.6276178672894136</v>
      </c>
      <c r="Q701" s="18">
        <f>IF($A701&gt;('1-Input'!$B$26-2),0,(MAX(0,P671-IF($A701&gt;='1-Input'!$C$12,'1-Input'!$B$12,0))-MIN(MAX(T700,0),MAX(0,P671-IF($A701&gt;='1-Input'!$C$12,'1-Input'!$B$12,0))))*(1/(1-'P-Parametri'!$B$6*P701))+MIN(MAX(0,U700-(MAX(0,P671-IF($A701&gt;='1-Input'!$C$12,'1-Input'!$B$12,0))-MIN(MAX(T700,0),MAX(0,P671-IF($A701&gt;='1-Input'!$C$12,'1-Input'!$B$12,0))))*(1/(1-'P-Parametri'!$B$6*P701))),MAX(0,0*P671-(T700-MIN(MAX(T700,0),MAX(0,P671-IF($A701&gt;='1-Input'!$C$12,'1-Input'!$B$12,0)))))*(1/(1-'P-Parametri'!$B$6*P701))))</f>
        <v>9789.8992611393296</v>
      </c>
      <c r="R701" s="18">
        <f>IF($A701&gt;('1-Input'!$B$26-2),T700,(T700-MAX(0,P671-IF($A701&gt;='1-Input'!$C$12,'1-Input'!$B$12,0))+Q701*(1-'P-Parametri'!$B$6*P701))*(1+'1-Input'!$B$27))</f>
        <v>0</v>
      </c>
      <c r="S701" s="18">
        <f>IF($A701&gt;('1-Input'!$B$26-2),U700,(U700-Q701)*(1+'5-Roberta'!$C$4))</f>
        <v>108914.06783361663</v>
      </c>
      <c r="T701" s="18">
        <f>IF($A701&gt;('1-Input'!$B$26-2),R701,R701-'P-Parametri'!$B$8*(S701+R701)+MIN(MAX(S701,0),'P-Parametri'!$B$8*(S701+R701)))</f>
        <v>0</v>
      </c>
      <c r="U701" s="18">
        <f>IF($A701&gt;('1-Input'!$B$26-2),S701,S701-MIN(MAX(S701,0),'P-Parametri'!$B$8*(S701+R701)))</f>
        <v>108696.23969794939</v>
      </c>
      <c r="V701" s="18">
        <f>IF($A701&gt;('1-Input'!$B$26-2),V700,V700-Q701*(1-P701))</f>
        <v>39376.362002007416</v>
      </c>
      <c r="W701" s="11">
        <f>IF($A701&gt;('1-Input'!$B$26-2),0,IF(AB700&lt;=0,0,MAX(0,(AB700-AC700)/AB700)))</f>
        <v>0.62761786728941338</v>
      </c>
      <c r="X701" s="18">
        <f>IF($A701&gt;('1-Input'!$B$26-2),0,(MAX(0,W671-IF($A701&gt;='1-Input'!$C$12,'1-Input'!$B$12,0))-MIN(MAX(AA700,0),MAX(0,W671-IF($A701&gt;='1-Input'!$C$12,'1-Input'!$B$12,0))))*(1/(1-'P-Parametri'!$B$6*W701))+MIN(MAX(0,AB700-(MAX(0,W671-IF($A701&gt;='1-Input'!$C$12,'1-Input'!$B$12,0))-MIN(MAX(AA700,0),MAX(0,W671-IF($A701&gt;='1-Input'!$C$12,'1-Input'!$B$12,0))))*(1/(1-'P-Parametri'!$B$6*W701))),MAX(0,0*W671-(AA700-MIN(MAX(AA700,0),MAX(0,W671-IF($A701&gt;='1-Input'!$C$12,'1-Input'!$B$12,0)))))*(1/(1-'P-Parametri'!$B$6*W701))))</f>
        <v>9489.6789942624455</v>
      </c>
      <c r="Y701" s="18">
        <f>IF($A701&gt;('1-Input'!$B$26-2),AA700,(AA700-MAX(0,W671-IF($A701&gt;='1-Input'!$C$12,'1-Input'!$B$12,0))+X701*(1-'P-Parametri'!$B$6*W701))*(1+'1-Input'!$B$27))</f>
        <v>9.0622052084654565E-13</v>
      </c>
      <c r="Z701" s="18">
        <f>IF($A701&gt;('1-Input'!$B$26-2),AB700,(AB700-X701)*(1+'5-Roberta'!$C$4))</f>
        <v>121020.42477219022</v>
      </c>
      <c r="AA701" s="18">
        <f>IF($A701&gt;('1-Input'!$B$26-2),Y701,Y701-'P-Parametri'!$B$8*(Z701+Y701)+MIN(MAX(Z701,0),'P-Parametri'!$B$8*(Z701+Y701)))</f>
        <v>9.0949470177292824E-13</v>
      </c>
      <c r="AB701" s="18">
        <f>IF($A701&gt;('1-Input'!$B$26-2),Z701,Z701-MIN(MAX(Z701,0),'P-Parametri'!$B$8*(Z701+Y701)))</f>
        <v>120778.38392264584</v>
      </c>
      <c r="AC701" s="18">
        <f>IF($A701&gt;('1-Input'!$B$26-2),AC700,AC700-X701*(1-W701))</f>
        <v>43753.246483698349</v>
      </c>
      <c r="AD701" s="11">
        <f>IF($A701&gt;('1-Input'!$B$26-2),0,IF(AI700&lt;=0,0,MAX(0,(AI700-AJ700)/AI700)))</f>
        <v>0.62761786728941349</v>
      </c>
      <c r="AE701" s="18">
        <f>IF($A701&gt;('1-Input'!$B$26-2),0,(MAX(0,AD671-IF($A701&gt;='1-Input'!$C$12,'1-Input'!$B$12,0))-MIN(MAX(AH700,0),MAX(0,AD671-IF($A701&gt;='1-Input'!$C$12,'1-Input'!$B$12,0))))*(1/(1-'P-Parametri'!$B$6*AD701))+MIN(MAX(0,AI700-(MAX(0,AD671-IF($A701&gt;='1-Input'!$C$12,'1-Input'!$B$12,0))-MIN(MAX(AH700,0),MAX(0,AD671-IF($A701&gt;='1-Input'!$C$12,'1-Input'!$B$12,0))))*(1/(1-'P-Parametri'!$B$6*AD701))),MAX(0,0*AD671-(AH700-MIN(MAX(AH700,0),MAX(0,AD671-IF($A701&gt;='1-Input'!$C$12,'1-Input'!$B$12,0)))))*(1/(1-'P-Parametri'!$B$6*AD701))))</f>
        <v>9490.3984939802831</v>
      </c>
      <c r="AF701" s="18">
        <f>IF($A701&gt;('1-Input'!$B$26-2),AH700,(AH700-MAX(0,AD671-IF($A701&gt;='1-Input'!$C$12,'1-Input'!$B$12,0))+AE701*(1-'P-Parametri'!$B$6*AD701))*(1+'1-Input'!$B$27))</f>
        <v>-9.0622052084654565E-13</v>
      </c>
      <c r="AG701" s="18">
        <f>IF($A701&gt;('1-Input'!$B$26-2),AI700,(AI700-AE701)*(1+'5-Roberta'!$C$4))</f>
        <v>120991.41100675716</v>
      </c>
      <c r="AH701" s="18">
        <f>IF($A701&gt;('1-Input'!$B$26-2),AF701,AF701-'P-Parametri'!$B$8*(AG701+AF701)+MIN(MAX(AG701,0),'P-Parametri'!$B$8*(AG701+AF701)))</f>
        <v>-9.0949470177292824E-13</v>
      </c>
      <c r="AI701" s="18">
        <f>IF($A701&gt;('1-Input'!$B$26-2),AG701,AG701-MIN(MAX(AG701,0),'P-Parametri'!$B$8*(AG701+AF701)))</f>
        <v>120749.42818474365</v>
      </c>
      <c r="AJ701" s="18">
        <f>IF($A701&gt;('1-Input'!$B$26-2),AJ700,AJ700-AE701*(1-AD701))</f>
        <v>43742.756961513944</v>
      </c>
      <c r="AK701" s="11">
        <f>IF($A701&gt;('1-Input'!$B$26-2),0,IF(AP700&lt;=0,0,MAX(0,(AP700-AQ700)/AP700)))</f>
        <v>0.62761786728941327</v>
      </c>
      <c r="AL701" s="18">
        <f>IF($A701&gt;('1-Input'!$B$26-2),0,(MAX(0,AK671-IF($A701&gt;='1-Input'!$C$12,'1-Input'!$B$12,0))-MIN(MAX(AO700,0),MAX(0,AK671-IF($A701&gt;='1-Input'!$C$12,'1-Input'!$B$12,0))))*(1/(1-'P-Parametri'!$B$6*AK701))+MIN(MAX(0,AP700-(MAX(0,AK671-IF($A701&gt;='1-Input'!$C$12,'1-Input'!$B$12,0))-MIN(MAX(AO700,0),MAX(0,AK671-IF($A701&gt;='1-Input'!$C$12,'1-Input'!$B$12,0))))*(1/(1-'P-Parametri'!$B$6*AK701))),MAX(0,0*AK671-(AO700-MIN(MAX(AO700,0),MAX(0,AK671-IF($A701&gt;='1-Input'!$C$12,'1-Input'!$B$12,0)))))*(1/(1-'P-Parametri'!$B$6*AK701))))</f>
        <v>9490.2746480977894</v>
      </c>
      <c r="AM701" s="18">
        <f>IF($A701&gt;('1-Input'!$B$26-2),AO700,(AO700-MAX(0,AK671-IF($A701&gt;='1-Input'!$C$12,'1-Input'!$B$12,0))+AL701*(1-'P-Parametri'!$B$6*AK701))*(1+'1-Input'!$B$27))</f>
        <v>9.0622052084654565E-13</v>
      </c>
      <c r="AN701" s="18">
        <f>IF($A701&gt;('1-Input'!$B$26-2),AP700,(AP700-AL701)*(1+'5-Roberta'!$C$4))</f>
        <v>120996.40508152251</v>
      </c>
      <c r="AO701" s="18">
        <f>IF($A701&gt;('1-Input'!$B$26-2),AM701,AM701-'P-Parametri'!$B$8*(AN701+AM701)+MIN(MAX(AN701,0),'P-Parametri'!$B$8*(AN701+AM701)))</f>
        <v>9.0949470177292824E-13</v>
      </c>
      <c r="AP701" s="18">
        <f>IF($A701&gt;('1-Input'!$B$26-2),AN701,AN701-MIN(MAX(AN701,0),'P-Parametri'!$B$8*(AN701+AM701)))</f>
        <v>120754.41227135946</v>
      </c>
      <c r="AQ701" s="18">
        <f>IF($A701&gt;('1-Input'!$B$26-2),AQ700,AQ700-AL701*(1-AK701))</f>
        <v>43744.56249958391</v>
      </c>
    </row>
    <row r="702" spans="1:43">
      <c r="A702" s="10">
        <f>29</f>
        <v>29</v>
      </c>
      <c r="B702" s="11">
        <f>IF($A702&gt;('1-Input'!$B$26-2),0,IF(G701&lt;=0,0,MAX(0,(G701-H701)/G701)))</f>
        <v>0.637739427680033</v>
      </c>
      <c r="C702" s="18">
        <f>IF($A702&gt;('1-Input'!$B$26-2),0,(MAX(0,B671-IF($A702&gt;='1-Input'!$C$12,'1-Input'!$B$12,0))-MIN(MAX(F701,0),MAX(0,B671-IF($A702&gt;='1-Input'!$C$12,'1-Input'!$B$12,0))))*(1/(1-'P-Parametri'!$B$6*B702))+MIN(MAX(0,G701-(MAX(0,B671-IF($A702&gt;='1-Input'!$C$12,'1-Input'!$B$12,0))-MIN(MAX(F701,0),MAX(0,B671-IF($A702&gt;='1-Input'!$C$12,'1-Input'!$B$12,0))))*(1/(1-'P-Parametri'!$B$6*B702))),MAX(0,0*B671-(F701-MIN(MAX(F701,0),MAX(0,B671-IF($A702&gt;='1-Input'!$C$12,'1-Input'!$B$12,0)))))*(1/(1-'P-Parametri'!$B$6*B702))))</f>
        <v>6688.0091713526954</v>
      </c>
      <c r="D702" s="18">
        <f>IF($A702&gt;('1-Input'!$B$26-2),F701,(F701-MAX(0,B671-IF($A702&gt;='1-Input'!$C$12,'1-Input'!$B$12,0))+C702*(1-'P-Parametri'!$B$6*B702))*(1+'1-Input'!$B$27))</f>
        <v>0</v>
      </c>
      <c r="E702" s="18">
        <f>IF($A702&gt;('1-Input'!$B$26-2),G701,(G701-C702)*(1+'5-Roberta'!$C$4))</f>
        <v>234518.58617844697</v>
      </c>
      <c r="F702" s="18">
        <f>IF($A702&gt;('1-Input'!$B$26-2),D702,D702-'P-Parametri'!$B$8*(E702+D702)+MIN(MAX(E702,0),'P-Parametri'!$B$8*(E702+D702)))</f>
        <v>0</v>
      </c>
      <c r="G702" s="18">
        <f>IF($A702&gt;('1-Input'!$B$26-2),E702,E702-MIN(MAX(E702,0),'P-Parametri'!$B$8*(E702+D702)))</f>
        <v>234049.54900609009</v>
      </c>
      <c r="H702" s="18">
        <f>IF($A702&gt;('1-Input'!$B$26-2),H701,H701-C702*(1-B702))</f>
        <v>82482.366260848241</v>
      </c>
      <c r="I702" s="11">
        <f>IF($A702&gt;('1-Input'!$B$26-2),0,IF(N701&lt;=0,0,MAX(0,(N701-O701)/N701)))</f>
        <v>0</v>
      </c>
      <c r="J702" s="18">
        <f>IF($A702&gt;('1-Input'!$B$26-2),0,(MAX(0,I671-IF($A702&gt;='1-Input'!$C$12,'1-Input'!$B$12,0))-MIN(MAX(M701,0),MAX(0,I671-IF($A702&gt;='1-Input'!$C$12,'1-Input'!$B$12,0))))*(1/(1-'P-Parametri'!$B$6*I702))+MIN(MAX(0,N701-(MAX(0,I671-IF($A702&gt;='1-Input'!$C$12,'1-Input'!$B$12,0))-MIN(MAX(M701,0),MAX(0,I671-IF($A702&gt;='1-Input'!$C$12,'1-Input'!$B$12,0))))*(1/(1-'P-Parametri'!$B$6*I702))),MAX(0,0*I671-(M701-MIN(MAX(M701,0),MAX(0,I671-IF($A702&gt;='1-Input'!$C$12,'1-Input'!$B$12,0)))))*(1/(1-'P-Parametri'!$B$6*I702))))</f>
        <v>10846.756992928691</v>
      </c>
      <c r="K702" s="18">
        <f>IF($A702&gt;('1-Input'!$B$26-2),M701,(M701-MAX(0,I671-IF($A702&gt;='1-Input'!$C$12,'1-Input'!$B$12,0))+J702*(1-'P-Parametri'!$B$6*I702))*(1+'1-Input'!$B$27))</f>
        <v>0</v>
      </c>
      <c r="L702" s="18">
        <f>IF($A702&gt;('1-Input'!$B$26-2),N701,(N701-J702)*(1+'5-Roberta'!$C$4))</f>
        <v>-28459.482156976446</v>
      </c>
      <c r="M702" s="18">
        <f>IF($A702&gt;('1-Input'!$B$26-2),K702,K702-'P-Parametri'!$B$8*(L702+K702)+MIN(MAX(L702,0),'P-Parametri'!$B$8*(L702+K702)))</f>
        <v>0</v>
      </c>
      <c r="N702" s="18">
        <f>IF($A702&gt;('1-Input'!$B$26-2),L702,L702-MIN(MAX(L702,0),'P-Parametri'!$B$8*(L702+K702)))</f>
        <v>-28402.563192662492</v>
      </c>
      <c r="O702" s="18">
        <f>IF($A702&gt;('1-Input'!$B$26-2),O701,O701-J702*(1-I702))</f>
        <v>-23734.487450982757</v>
      </c>
      <c r="P702" s="11">
        <f>IF($A702&gt;('1-Input'!$B$26-2),0,IF(U701&lt;=0,0,MAX(0,(U701-V701)/U701)))</f>
        <v>0.63773942768003344</v>
      </c>
      <c r="Q702" s="18">
        <f>IF($A702&gt;('1-Input'!$B$26-2),0,(MAX(0,P671-IF($A702&gt;='1-Input'!$C$12,'1-Input'!$B$12,0))-MIN(MAX(T701,0),MAX(0,P671-IF($A702&gt;='1-Input'!$C$12,'1-Input'!$B$12,0))))*(1/(1-'P-Parametri'!$B$6*P702))+MIN(MAX(0,U701-(MAX(0,P671-IF($A702&gt;='1-Input'!$C$12,'1-Input'!$B$12,0))-MIN(MAX(T701,0),MAX(0,P671-IF($A702&gt;='1-Input'!$C$12,'1-Input'!$B$12,0))))*(1/(1-'P-Parametri'!$B$6*P702))),MAX(0,0*P671-(T701-MIN(MAX(T701,0),MAX(0,P671-IF($A702&gt;='1-Input'!$C$12,'1-Input'!$B$12,0)))))*(1/(1-'P-Parametri'!$B$6*P702))))</f>
        <v>9820.783381351217</v>
      </c>
      <c r="R702" s="18">
        <f>IF($A702&gt;('1-Input'!$B$26-2),T701,(T701-MAX(0,P671-IF($A702&gt;='1-Input'!$C$12,'1-Input'!$B$12,0))+Q702*(1-'P-Parametri'!$B$6*P702))*(1+'1-Input'!$B$27))</f>
        <v>-1.8124410416930913E-12</v>
      </c>
      <c r="S702" s="18">
        <f>IF($A702&gt;('1-Input'!$B$26-2),U701,(U701-Q702)*(1+'5-Roberta'!$C$4))</f>
        <v>101841.72000609613</v>
      </c>
      <c r="T702" s="18">
        <f>IF($A702&gt;('1-Input'!$B$26-2),R702,R702-'P-Parametri'!$B$8*(S702+R702)+MIN(MAX(S702,0),'P-Parametri'!$B$8*(S702+R702)))</f>
        <v>-1.8189894035458565E-12</v>
      </c>
      <c r="U702" s="18">
        <f>IF($A702&gt;('1-Input'!$B$26-2),S702,S702-MIN(MAX(S702,0),'P-Parametri'!$B$8*(S702+R702)))</f>
        <v>101638.03656608395</v>
      </c>
      <c r="V702" s="18">
        <f>IF($A702&gt;('1-Input'!$B$26-2),V701,V701-Q702*(1-P702))</f>
        <v>35818.679393648708</v>
      </c>
      <c r="W702" s="11">
        <f>IF($A702&gt;('1-Input'!$B$26-2),0,IF(AB701&lt;=0,0,MAX(0,(AB701-AC701)/AB701)))</f>
        <v>0.63773942768003322</v>
      </c>
      <c r="X702" s="18">
        <f>IF($A702&gt;('1-Input'!$B$26-2),0,(MAX(0,W671-IF($A702&gt;='1-Input'!$C$12,'1-Input'!$B$12,0))-MIN(MAX(AA701,0),MAX(0,W671-IF($A702&gt;='1-Input'!$C$12,'1-Input'!$B$12,0))))*(1/(1-'P-Parametri'!$B$6*W702))+MIN(MAX(0,AB701-(MAX(0,W671-IF($A702&gt;='1-Input'!$C$12,'1-Input'!$B$12,0))-MIN(MAX(AA701,0),MAX(0,W671-IF($A702&gt;='1-Input'!$C$12,'1-Input'!$B$12,0))))*(1/(1-'P-Parametri'!$B$6*W702))),MAX(0,0*W671-(AA701-MIN(MAX(AA701,0),MAX(0,W671-IF($A702&gt;='1-Input'!$C$12,'1-Input'!$B$12,0)))))*(1/(1-'P-Parametri'!$B$6*W702))))</f>
        <v>9519.6160118980006</v>
      </c>
      <c r="Y702" s="18">
        <f>IF($A702&gt;('1-Input'!$B$26-2),AA701,(AA701-MAX(0,W671-IF($A702&gt;='1-Input'!$C$12,'1-Input'!$B$12,0))+X702*(1-'P-Parametri'!$B$6*W702))*(1+'1-Input'!$B$27))</f>
        <v>9.0622052084654565E-13</v>
      </c>
      <c r="Z702" s="18">
        <f>IF($A702&gt;('1-Input'!$B$26-2),AB701,(AB701-X702)*(1+'5-Roberta'!$C$4))</f>
        <v>114596.53094807027</v>
      </c>
      <c r="AA702" s="18">
        <f>IF($A702&gt;('1-Input'!$B$26-2),Y702,Y702-'P-Parametri'!$B$8*(Z702+Y702)+MIN(MAX(Z702,0),'P-Parametri'!$B$8*(Z702+Y702)))</f>
        <v>9.0949470177292824E-13</v>
      </c>
      <c r="AB702" s="18">
        <f>IF($A702&gt;('1-Input'!$B$26-2),Z702,Z702-MIN(MAX(Z702,0),'P-Parametri'!$B$8*(Z702+Y702)))</f>
        <v>114367.33788617414</v>
      </c>
      <c r="AC702" s="18">
        <f>IF($A702&gt;('1-Input'!$B$26-2),AC701,AC701-X702*(1-W702))</f>
        <v>40304.664938961861</v>
      </c>
      <c r="AD702" s="11">
        <f>IF($A702&gt;('1-Input'!$B$26-2),0,IF(AI701&lt;=0,0,MAX(0,(AI701-AJ701)/AI701)))</f>
        <v>0.63773942768003333</v>
      </c>
      <c r="AE702" s="18">
        <f>IF($A702&gt;('1-Input'!$B$26-2),0,(MAX(0,AD671-IF($A702&gt;='1-Input'!$C$12,'1-Input'!$B$12,0))-MIN(MAX(AH701,0),MAX(0,AD671-IF($A702&gt;='1-Input'!$C$12,'1-Input'!$B$12,0))))*(1/(1-'P-Parametri'!$B$6*AD702))+MIN(MAX(0,AI701-(MAX(0,AD671-IF($A702&gt;='1-Input'!$C$12,'1-Input'!$B$12,0))-MIN(MAX(AH701,0),MAX(0,AD671-IF($A702&gt;='1-Input'!$C$12,'1-Input'!$B$12,0))))*(1/(1-'P-Parametri'!$B$6*AD702))),MAX(0,0*AD671-(AH701-MIN(MAX(AH701,0),MAX(0,AD671-IF($A702&gt;='1-Input'!$C$12,'1-Input'!$B$12,0)))))*(1/(1-'P-Parametri'!$B$6*AD702))))</f>
        <v>9520.3377814160922</v>
      </c>
      <c r="AF702" s="18">
        <f>IF($A702&gt;('1-Input'!$B$26-2),AH701,(AH701-MAX(0,AD671-IF($A702&gt;='1-Input'!$C$12,'1-Input'!$B$12,0))+AE702*(1-'P-Parametri'!$B$6*AD702))*(1+'1-Input'!$B$27))</f>
        <v>1.8124410416930913E-12</v>
      </c>
      <c r="AG702" s="18">
        <f>IF($A702&gt;('1-Input'!$B$26-2),AI701,(AI701-AE702)*(1+'5-Roberta'!$C$4))</f>
        <v>114565.96311542738</v>
      </c>
      <c r="AH702" s="18">
        <f>IF($A702&gt;('1-Input'!$B$26-2),AF702,AF702-'P-Parametri'!$B$8*(AG702+AF702)+MIN(MAX(AG702,0),'P-Parametri'!$B$8*(AG702+AF702)))</f>
        <v>1.8189894035458565E-12</v>
      </c>
      <c r="AI702" s="18">
        <f>IF($A702&gt;('1-Input'!$B$26-2),AG702,AG702-MIN(MAX(AG702,0),'P-Parametri'!$B$8*(AG702+AF702)))</f>
        <v>114336.83118919653</v>
      </c>
      <c r="AJ702" s="18">
        <f>IF($A702&gt;('1-Input'!$B$26-2),AJ701,AJ701-AE702*(1-AD702))</f>
        <v>40293.913948138746</v>
      </c>
      <c r="AK702" s="11">
        <f>IF($A702&gt;('1-Input'!$B$26-2),0,IF(AP701&lt;=0,0,MAX(0,(AP701-AQ701)/AP701)))</f>
        <v>0.637739427680033</v>
      </c>
      <c r="AL702" s="18">
        <f>IF($A702&gt;('1-Input'!$B$26-2),0,(MAX(0,AK671-IF($A702&gt;='1-Input'!$C$12,'1-Input'!$B$12,0))-MIN(MAX(AO701,0),MAX(0,AK671-IF($A702&gt;='1-Input'!$C$12,'1-Input'!$B$12,0))))*(1/(1-'P-Parametri'!$B$6*AK702))+MIN(MAX(0,AP701-(MAX(0,AK671-IF($A702&gt;='1-Input'!$C$12,'1-Input'!$B$12,0))-MIN(MAX(AO701,0),MAX(0,AK671-IF($A702&gt;='1-Input'!$C$12,'1-Input'!$B$12,0))))*(1/(1-'P-Parametri'!$B$6*AK702))),MAX(0,0*AK671-(AO701-MIN(MAX(AO701,0),MAX(0,AK671-IF($A702&gt;='1-Input'!$C$12,'1-Input'!$B$12,0)))))*(1/(1-'P-Parametri'!$B$6*AK702))))</f>
        <v>9520.2135448379358</v>
      </c>
      <c r="AM702" s="18">
        <f>IF($A702&gt;('1-Input'!$B$26-2),AO701,(AO701-MAX(0,AK671-IF($A702&gt;='1-Input'!$C$12,'1-Input'!$B$12,0))+AL702*(1-'P-Parametri'!$B$6*AK702))*(1+'1-Input'!$B$27))</f>
        <v>9.0622052084654565E-13</v>
      </c>
      <c r="AN702" s="18">
        <f>IF($A702&gt;('1-Input'!$B$26-2),AP701,(AP701-AL702)*(1+'5-Roberta'!$C$4))</f>
        <v>114571.22468831716</v>
      </c>
      <c r="AO702" s="18">
        <f>IF($A702&gt;('1-Input'!$B$26-2),AM702,AM702-'P-Parametri'!$B$8*(AN702+AM702)+MIN(MAX(AN702,0),'P-Parametri'!$B$8*(AN702+AM702)))</f>
        <v>9.0949470177292824E-13</v>
      </c>
      <c r="AP702" s="18">
        <f>IF($A702&gt;('1-Input'!$B$26-2),AN702,AN702-MIN(MAX(AN702,0),'P-Parametri'!$B$8*(AN702+AM702)))</f>
        <v>114342.08223894052</v>
      </c>
      <c r="AQ702" s="18">
        <f>IF($A702&gt;('1-Input'!$B$26-2),AQ701,AQ701-AL702*(1-AK702))</f>
        <v>40295.764492222617</v>
      </c>
    </row>
    <row r="703" spans="1:43">
      <c r="A703" s="10">
        <f>30</f>
        <v>30</v>
      </c>
      <c r="B703" s="11">
        <f>IF($A703&gt;('1-Input'!$B$26-2),0,IF(G702&lt;=0,0,MAX(0,(G702-H702)/G702)))</f>
        <v>0.64758587824195291</v>
      </c>
      <c r="C703" s="18">
        <f>IF($A703&gt;('1-Input'!$B$26-2),0,(MAX(0,B671-IF($A703&gt;='1-Input'!$C$12,'1-Input'!$B$12,0))-MIN(MAX(F702,0),MAX(0,B671-IF($A703&gt;='1-Input'!$C$12,'1-Input'!$B$12,0))))*(1/(1-'P-Parametri'!$B$6*B703))+MIN(MAX(0,G702-(MAX(0,B671-IF($A703&gt;='1-Input'!$C$12,'1-Input'!$B$12,0))-MIN(MAX(F702,0),MAX(0,B671-IF($A703&gt;='1-Input'!$C$12,'1-Input'!$B$12,0))))*(1/(1-'P-Parametri'!$B$6*B703))),MAX(0,0*B671-(F702-MIN(MAX(F702,0),MAX(0,B671-IF($A703&gt;='1-Input'!$C$12,'1-Input'!$B$12,0)))))*(1/(1-'P-Parametri'!$B$6*B703))))</f>
        <v>6708.5974947286659</v>
      </c>
      <c r="D703" s="18">
        <f>IF($A703&gt;('1-Input'!$B$26-2),F702,(F702-MAX(0,B671-IF($A703&gt;='1-Input'!$C$12,'1-Input'!$B$12,0))+C703*(1-'P-Parametri'!$B$6*B703))*(1+'1-Input'!$B$27))</f>
        <v>0</v>
      </c>
      <c r="E703" s="18">
        <f>IF($A703&gt;('1-Input'!$B$26-2),G702,(G702-C703)*(1+'5-Roberta'!$C$4))</f>
        <v>234161.18005670229</v>
      </c>
      <c r="F703" s="18">
        <f>IF($A703&gt;('1-Input'!$B$26-2),D703,D703-'P-Parametri'!$B$8*(E703+D703)+MIN(MAX(E703,0),'P-Parametri'!$B$8*(E703+D703)))</f>
        <v>0</v>
      </c>
      <c r="G703" s="18">
        <f>IF($A703&gt;('1-Input'!$B$26-2),E703,E703-MIN(MAX(E703,0),'P-Parametri'!$B$8*(E703+D703)))</f>
        <v>233692.85769658888</v>
      </c>
      <c r="H703" s="18">
        <f>IF($A703&gt;('1-Input'!$B$26-2),H702,H702-C703*(1-B703))</f>
        <v>80118.161766515201</v>
      </c>
      <c r="I703" s="11">
        <f>IF($A703&gt;('1-Input'!$B$26-2),0,IF(N702&lt;=0,0,MAX(0,(N702-O702)/N702)))</f>
        <v>0</v>
      </c>
      <c r="J703" s="18">
        <f>IF($A703&gt;('1-Input'!$B$26-2),0,(MAX(0,I671-IF($A703&gt;='1-Input'!$C$12,'1-Input'!$B$12,0))-MIN(MAX(M702,0),MAX(0,I671-IF($A703&gt;='1-Input'!$C$12,'1-Input'!$B$12,0))))*(1/(1-'P-Parametri'!$B$6*I703))+MIN(MAX(0,N702-(MAX(0,I671-IF($A703&gt;='1-Input'!$C$12,'1-Input'!$B$12,0))-MIN(MAX(M702,0),MAX(0,I671-IF($A703&gt;='1-Input'!$C$12,'1-Input'!$B$12,0))))*(1/(1-'P-Parametri'!$B$6*I703))),MAX(0,0*I671-(M702-MIN(MAX(M702,0),MAX(0,I671-IF($A703&gt;='1-Input'!$C$12,'1-Input'!$B$12,0)))))*(1/(1-'P-Parametri'!$B$6*I703))))</f>
        <v>10846.756992928691</v>
      </c>
      <c r="K703" s="18">
        <f>IF($A703&gt;('1-Input'!$B$26-2),M702,(M702-MAX(0,I671-IF($A703&gt;='1-Input'!$C$12,'1-Input'!$B$12,0))+J703*(1-'P-Parametri'!$B$6*I703))*(1+'1-Input'!$B$27))</f>
        <v>0</v>
      </c>
      <c r="L703" s="18">
        <f>IF($A703&gt;('1-Input'!$B$26-2),N702,(N702-J703)*(1+'5-Roberta'!$C$4))</f>
        <v>-40426.799791158919</v>
      </c>
      <c r="M703" s="18">
        <f>IF($A703&gt;('1-Input'!$B$26-2),K703,K703-'P-Parametri'!$B$8*(L703+K703)+MIN(MAX(L703,0),'P-Parametri'!$B$8*(L703+K703)))</f>
        <v>0</v>
      </c>
      <c r="N703" s="18">
        <f>IF($A703&gt;('1-Input'!$B$26-2),L703,L703-MIN(MAX(L703,0),'P-Parametri'!$B$8*(L703+K703)))</f>
        <v>-40345.946191576601</v>
      </c>
      <c r="O703" s="18">
        <f>IF($A703&gt;('1-Input'!$B$26-2),O702,O702-J703*(1-I703))</f>
        <v>-34581.244443911448</v>
      </c>
      <c r="P703" s="11">
        <f>IF($A703&gt;('1-Input'!$B$26-2),0,IF(U702&lt;=0,0,MAX(0,(U702-V702)/U702)))</f>
        <v>0.64758587824195335</v>
      </c>
      <c r="Q703" s="18">
        <f>IF($A703&gt;('1-Input'!$B$26-2),0,(MAX(0,P671-IF($A703&gt;='1-Input'!$C$12,'1-Input'!$B$12,0))-MIN(MAX(T702,0),MAX(0,P671-IF($A703&gt;='1-Input'!$C$12,'1-Input'!$B$12,0))))*(1/(1-'P-Parametri'!$B$6*P703))+MIN(MAX(0,U702-(MAX(0,P671-IF($A703&gt;='1-Input'!$C$12,'1-Input'!$B$12,0))-MIN(MAX(T702,0),MAX(0,P671-IF($A703&gt;='1-Input'!$C$12,'1-Input'!$B$12,0))))*(1/(1-'P-Parametri'!$B$6*P703))),MAX(0,0*P671-(T702-MIN(MAX(T702,0),MAX(0,P671-IF($A703&gt;='1-Input'!$C$12,'1-Input'!$B$12,0)))))*(1/(1-'P-Parametri'!$B$6*P703))))</f>
        <v>9851.0156162181647</v>
      </c>
      <c r="R703" s="18">
        <f>IF($A703&gt;('1-Input'!$B$26-2),T702,(T702-MAX(0,P671-IF($A703&gt;='1-Input'!$C$12,'1-Input'!$B$12,0))+Q703*(1-'P-Parametri'!$B$6*P703))*(1+'1-Input'!$B$27))</f>
        <v>0</v>
      </c>
      <c r="S703" s="18">
        <f>IF($A703&gt;('1-Input'!$B$26-2),U702,(U702-Q703)*(1+'5-Roberta'!$C$4))</f>
        <v>94540.631578361761</v>
      </c>
      <c r="T703" s="18">
        <f>IF($A703&gt;('1-Input'!$B$26-2),R703,R703-'P-Parametri'!$B$8*(S703+R703)+MIN(MAX(S703,0),'P-Parametri'!$B$8*(S703+R703)))</f>
        <v>0</v>
      </c>
      <c r="U703" s="18">
        <f>IF($A703&gt;('1-Input'!$B$26-2),S703,S703-MIN(MAX(S703,0),'P-Parametri'!$B$8*(S703+R703)))</f>
        <v>94351.550315205037</v>
      </c>
      <c r="V703" s="18">
        <f>IF($A703&gt;('1-Input'!$B$26-2),V702,V702-Q703*(1-P703))</f>
        <v>32347.042376834383</v>
      </c>
      <c r="W703" s="11">
        <f>IF($A703&gt;('1-Input'!$B$26-2),0,IF(AB702&lt;=0,0,MAX(0,(AB702-AC702)/AB702)))</f>
        <v>0.64758587824195302</v>
      </c>
      <c r="X703" s="18">
        <f>IF($A703&gt;('1-Input'!$B$26-2),0,(MAX(0,W671-IF($A703&gt;='1-Input'!$C$12,'1-Input'!$B$12,0))-MIN(MAX(AA702,0),MAX(0,W671-IF($A703&gt;='1-Input'!$C$12,'1-Input'!$B$12,0))))*(1/(1-'P-Parametri'!$B$6*W703))+MIN(MAX(0,AB702-(MAX(0,W671-IF($A703&gt;='1-Input'!$C$12,'1-Input'!$B$12,0))-MIN(MAX(AA702,0),MAX(0,W671-IF($A703&gt;='1-Input'!$C$12,'1-Input'!$B$12,0))))*(1/(1-'P-Parametri'!$B$6*W703))),MAX(0,0*W671-(AA702-MIN(MAX(AA702,0),MAX(0,W671-IF($A703&gt;='1-Input'!$C$12,'1-Input'!$B$12,0)))))*(1/(1-'P-Parametri'!$B$6*W703))))</f>
        <v>9548.9211351187532</v>
      </c>
      <c r="Y703" s="18">
        <f>IF($A703&gt;('1-Input'!$B$26-2),AA702,(AA702-MAX(0,W671-IF($A703&gt;='1-Input'!$C$12,'1-Input'!$B$12,0))+X703*(1-'P-Parametri'!$B$6*W703))*(1+'1-Input'!$B$27))</f>
        <v>0</v>
      </c>
      <c r="Z703" s="18">
        <f>IF($A703&gt;('1-Input'!$B$26-2),AB702,(AB702-X703)*(1+'5-Roberta'!$C$4))</f>
        <v>107962.96925358704</v>
      </c>
      <c r="AA703" s="18">
        <f>IF($A703&gt;('1-Input'!$B$26-2),Y703,Y703-'P-Parametri'!$B$8*(Z703+Y703)+MIN(MAX(Z703,0),'P-Parametri'!$B$8*(Z703+Y703)))</f>
        <v>0</v>
      </c>
      <c r="AB703" s="18">
        <f>IF($A703&gt;('1-Input'!$B$26-2),Z703,Z703-MIN(MAX(Z703,0),'P-Parametri'!$B$8*(Z703+Y703)))</f>
        <v>107747.04331507986</v>
      </c>
      <c r="AC703" s="18">
        <f>IF($A703&gt;('1-Input'!$B$26-2),AC702,AC702-X703*(1-W703))</f>
        <v>36939.49028339213</v>
      </c>
      <c r="AD703" s="11">
        <f>IF($A703&gt;('1-Input'!$B$26-2),0,IF(AI702&lt;=0,0,MAX(0,(AI702-AJ702)/AI702)))</f>
        <v>0.64758587824195324</v>
      </c>
      <c r="AE703" s="18">
        <f>IF($A703&gt;('1-Input'!$B$26-2),0,(MAX(0,AD671-IF($A703&gt;='1-Input'!$C$12,'1-Input'!$B$12,0))-MIN(MAX(AH702,0),MAX(0,AD671-IF($A703&gt;='1-Input'!$C$12,'1-Input'!$B$12,0))))*(1/(1-'P-Parametri'!$B$6*AD703))+MIN(MAX(0,AI702-(MAX(0,AD671-IF($A703&gt;='1-Input'!$C$12,'1-Input'!$B$12,0))-MIN(MAX(AH702,0),MAX(0,AD671-IF($A703&gt;='1-Input'!$C$12,'1-Input'!$B$12,0))))*(1/(1-'P-Parametri'!$B$6*AD703))),MAX(0,0*AD671-(AH702-MIN(MAX(AH702,0),MAX(0,AD671-IF($A703&gt;='1-Input'!$C$12,'1-Input'!$B$12,0)))))*(1/(1-'P-Parametri'!$B$6*AD703))))</f>
        <v>9549.6451265273699</v>
      </c>
      <c r="AF703" s="18">
        <f>IF($A703&gt;('1-Input'!$B$26-2),AH702,(AH702-MAX(0,AD671-IF($A703&gt;='1-Input'!$C$12,'1-Input'!$B$12,0))+AE703*(1-'P-Parametri'!$B$6*AD703))*(1+'1-Input'!$B$27))</f>
        <v>-9.0622052084654565E-13</v>
      </c>
      <c r="AG703" s="18">
        <f>IF($A703&gt;('1-Input'!$B$26-2),AI702,(AI702-AE703)*(1+'5-Roberta'!$C$4))</f>
        <v>107930.80164454924</v>
      </c>
      <c r="AH703" s="18">
        <f>IF($A703&gt;('1-Input'!$B$26-2),AF703,AF703-'P-Parametri'!$B$8*(AG703+AF703)+MIN(MAX(AG703,0),'P-Parametri'!$B$8*(AG703+AF703)))</f>
        <v>-9.0949470177292824E-13</v>
      </c>
      <c r="AI703" s="18">
        <f>IF($A703&gt;('1-Input'!$B$26-2),AG703,AG703-MIN(MAX(AG703,0),'P-Parametri'!$B$8*(AG703+AF703)))</f>
        <v>107714.94004126014</v>
      </c>
      <c r="AJ703" s="18">
        <f>IF($A703&gt;('1-Input'!$B$26-2),AJ702,AJ702-AE703*(1-AD703))</f>
        <v>36928.484147772593</v>
      </c>
      <c r="AK703" s="11">
        <f>IF($A703&gt;('1-Input'!$B$26-2),0,IF(AP702&lt;=0,0,MAX(0,(AP702-AQ702)/AP702)))</f>
        <v>0.64758587824195291</v>
      </c>
      <c r="AL703" s="18">
        <f>IF($A703&gt;('1-Input'!$B$26-2),0,(MAX(0,AK671-IF($A703&gt;='1-Input'!$C$12,'1-Input'!$B$12,0))-MIN(MAX(AO702,0),MAX(0,AK671-IF($A703&gt;='1-Input'!$C$12,'1-Input'!$B$12,0))))*(1/(1-'P-Parametri'!$B$6*AK703))+MIN(MAX(0,AP702-(MAX(0,AK671-IF($A703&gt;='1-Input'!$C$12,'1-Input'!$B$12,0))-MIN(MAX(AO702,0),MAX(0,AK671-IF($A703&gt;='1-Input'!$C$12,'1-Input'!$B$12,0))))*(1/(1-'P-Parametri'!$B$6*AK703))),MAX(0,0*AK671-(AO702-MIN(MAX(AO702,0),MAX(0,AK671-IF($A703&gt;='1-Input'!$C$12,'1-Input'!$B$12,0)))))*(1/(1-'P-Parametri'!$B$6*AK703))))</f>
        <v>9549.5205075001559</v>
      </c>
      <c r="AM703" s="18">
        <f>IF($A703&gt;('1-Input'!$B$26-2),AO702,(AO702-MAX(0,AK671-IF($A703&gt;='1-Input'!$C$12,'1-Input'!$B$12,0))+AL703*(1-'P-Parametri'!$B$6*AK703))*(1+'1-Input'!$B$27))</f>
        <v>0</v>
      </c>
      <c r="AN703" s="18">
        <f>IF($A703&gt;('1-Input'!$B$26-2),AP702,(AP702-AL703)*(1+'5-Roberta'!$C$4))</f>
        <v>107936.33858338358</v>
      </c>
      <c r="AO703" s="18">
        <f>IF($A703&gt;('1-Input'!$B$26-2),AM703,AM703-'P-Parametri'!$B$8*(AN703+AM703)+MIN(MAX(AN703,0),'P-Parametri'!$B$8*(AN703+AM703)))</f>
        <v>0</v>
      </c>
      <c r="AP703" s="18">
        <f>IF($A703&gt;('1-Input'!$B$26-2),AN703,AN703-MIN(MAX(AN703,0),'P-Parametri'!$B$8*(AN703+AM703)))</f>
        <v>107720.46590621681</v>
      </c>
      <c r="AQ703" s="18">
        <f>IF($A703&gt;('1-Input'!$B$26-2),AQ702,AQ702-AL703*(1-AK703))</f>
        <v>36930.378609361491</v>
      </c>
    </row>
    <row r="704" spans="1:43">
      <c r="A704" s="10">
        <f>31</f>
        <v>31</v>
      </c>
      <c r="B704" s="11">
        <f>IF($A704&gt;('1-Input'!$B$26-2),0,IF(G703&lt;=0,0,MAX(0,(G703-H703)/G703)))</f>
        <v>0.65716469661843391</v>
      </c>
      <c r="C704" s="18">
        <f>IF($A704&gt;('1-Input'!$B$26-2),0,(MAX(0,B671-IF($A704&gt;='1-Input'!$C$12,'1-Input'!$B$12,0))-MIN(MAX(F703,0),MAX(0,B671-IF($A704&gt;='1-Input'!$C$12,'1-Input'!$B$12,0))))*(1/(1-'P-Parametri'!$B$6*B704))+MIN(MAX(0,G703-(MAX(0,B671-IF($A704&gt;='1-Input'!$C$12,'1-Input'!$B$12,0))-MIN(MAX(F703,0),MAX(0,B671-IF($A704&gt;='1-Input'!$C$12,'1-Input'!$B$12,0))))*(1/(1-'P-Parametri'!$B$6*B704))),MAX(0,0*B671-(F703-MIN(MAX(F703,0),MAX(0,B671-IF($A704&gt;='1-Input'!$C$12,'1-Input'!$B$12,0)))))*(1/(1-'P-Parametri'!$B$6*B704))))</f>
        <v>6728.7482177163183</v>
      </c>
      <c r="D704" s="18">
        <f>IF($A704&gt;('1-Input'!$B$26-2),F703,(F703-MAX(0,B671-IF($A704&gt;='1-Input'!$C$12,'1-Input'!$B$12,0))+C704*(1-'P-Parametri'!$B$6*B704))*(1+'1-Input'!$B$27))</f>
        <v>-9.0622052084654565E-13</v>
      </c>
      <c r="E704" s="18">
        <f>IF($A704&gt;('1-Input'!$B$26-2),G703,(G703-C704)*(1+'5-Roberta'!$C$4))</f>
        <v>233773.03276323873</v>
      </c>
      <c r="F704" s="18">
        <f>IF($A704&gt;('1-Input'!$B$26-2),D704,D704-'P-Parametri'!$B$8*(E704+D704)+MIN(MAX(E704,0),'P-Parametri'!$B$8*(E704+D704)))</f>
        <v>-9.0949470177292824E-13</v>
      </c>
      <c r="G704" s="18">
        <f>IF($A704&gt;('1-Input'!$B$26-2),E704,E704-MIN(MAX(E704,0),'P-Parametri'!$B$8*(E704+D704)))</f>
        <v>233305.48669771224</v>
      </c>
      <c r="H704" s="18">
        <f>IF($A704&gt;('1-Input'!$B$26-2),H703,H703-C704*(1-B704))</f>
        <v>77811.309329916257</v>
      </c>
      <c r="I704" s="11">
        <f>IF($A704&gt;('1-Input'!$B$26-2),0,IF(N703&lt;=0,0,MAX(0,(N703-O703)/N703)))</f>
        <v>0</v>
      </c>
      <c r="J704" s="18">
        <f>IF($A704&gt;('1-Input'!$B$26-2),0,(MAX(0,I671-IF($A704&gt;='1-Input'!$C$12,'1-Input'!$B$12,0))-MIN(MAX(M703,0),MAX(0,I671-IF($A704&gt;='1-Input'!$C$12,'1-Input'!$B$12,0))))*(1/(1-'P-Parametri'!$B$6*I704))+MIN(MAX(0,N703-(MAX(0,I671-IF($A704&gt;='1-Input'!$C$12,'1-Input'!$B$12,0))-MIN(MAX(M703,0),MAX(0,I671-IF($A704&gt;='1-Input'!$C$12,'1-Input'!$B$12,0))))*(1/(1-'P-Parametri'!$B$6*I704))),MAX(0,0*I671-(M703-MIN(MAX(M703,0),MAX(0,I671-IF($A704&gt;='1-Input'!$C$12,'1-Input'!$B$12,0)))))*(1/(1-'P-Parametri'!$B$6*I704))))</f>
        <v>10846.756992928691</v>
      </c>
      <c r="K704" s="18">
        <f>IF($A704&gt;('1-Input'!$B$26-2),M703,(M703-MAX(0,I671-IF($A704&gt;='1-Input'!$C$12,'1-Input'!$B$12,0))+J704*(1-'P-Parametri'!$B$6*I704))*(1+'1-Input'!$B$27))</f>
        <v>0</v>
      </c>
      <c r="L704" s="18">
        <f>IF($A704&gt;('1-Input'!$B$26-2),N703,(N703-J704)*(1+'5-Roberta'!$C$4))</f>
        <v>-52728.484280040451</v>
      </c>
      <c r="M704" s="18">
        <f>IF($A704&gt;('1-Input'!$B$26-2),K704,K704-'P-Parametri'!$B$8*(L704+K704)+MIN(MAX(L704,0),'P-Parametri'!$B$8*(L704+K704)))</f>
        <v>0</v>
      </c>
      <c r="N704" s="18">
        <f>IF($A704&gt;('1-Input'!$B$26-2),L704,L704-MIN(MAX(L704,0),'P-Parametri'!$B$8*(L704+K704)))</f>
        <v>-52623.027311480371</v>
      </c>
      <c r="O704" s="18">
        <f>IF($A704&gt;('1-Input'!$B$26-2),O703,O703-J704*(1-I704))</f>
        <v>-45428.001436840139</v>
      </c>
      <c r="P704" s="11">
        <f>IF($A704&gt;('1-Input'!$B$26-2),0,IF(U703&lt;=0,0,MAX(0,(U703-V703)/U703)))</f>
        <v>0.65716469661843424</v>
      </c>
      <c r="Q704" s="18">
        <f>IF($A704&gt;('1-Input'!$B$26-2),0,(MAX(0,P671-IF($A704&gt;='1-Input'!$C$12,'1-Input'!$B$12,0))-MIN(MAX(T703,0),MAX(0,P671-IF($A704&gt;='1-Input'!$C$12,'1-Input'!$B$12,0))))*(1/(1-'P-Parametri'!$B$6*P704))+MIN(MAX(0,U703-(MAX(0,P671-IF($A704&gt;='1-Input'!$C$12,'1-Input'!$B$12,0))-MIN(MAX(T703,0),MAX(0,P671-IF($A704&gt;='1-Input'!$C$12,'1-Input'!$B$12,0))))*(1/(1-'P-Parametri'!$B$6*P704))),MAX(0,0*P671-(T703-MIN(MAX(T703,0),MAX(0,P671-IF($A704&gt;='1-Input'!$C$12,'1-Input'!$B$12,0)))))*(1/(1-'P-Parametri'!$B$6*P704))))</f>
        <v>9880.6052714308116</v>
      </c>
      <c r="R704" s="18">
        <f>IF($A704&gt;('1-Input'!$B$26-2),T703,(T703-MAX(0,P671-IF($A704&gt;='1-Input'!$C$12,'1-Input'!$B$12,0))+Q704*(1-'P-Parametri'!$B$6*P704))*(1+'1-Input'!$B$27))</f>
        <v>0</v>
      </c>
      <c r="S704" s="18">
        <f>IF($A704&gt;('1-Input'!$B$26-2),U703,(U703-Q704)*(1+'5-Roberta'!$C$4))</f>
        <v>87005.073395087442</v>
      </c>
      <c r="T704" s="18">
        <f>IF($A704&gt;('1-Input'!$B$26-2),R704,R704-'P-Parametri'!$B$8*(S704+R704)+MIN(MAX(S704,0),'P-Parametri'!$B$8*(S704+R704)))</f>
        <v>0</v>
      </c>
      <c r="U704" s="18">
        <f>IF($A704&gt;('1-Input'!$B$26-2),S704,S704-MIN(MAX(S704,0),'P-Parametri'!$B$8*(S704+R704)))</f>
        <v>86831.063248297272</v>
      </c>
      <c r="V704" s="18">
        <f>IF($A704&gt;('1-Input'!$B$26-2),V703,V703-Q704*(1-P704))</f>
        <v>28959.622071009901</v>
      </c>
      <c r="W704" s="11">
        <f>IF($A704&gt;('1-Input'!$B$26-2),0,IF(AB703&lt;=0,0,MAX(0,(AB703-AC703)/AB703)))</f>
        <v>0.65716469661843413</v>
      </c>
      <c r="X704" s="18">
        <f>IF($A704&gt;('1-Input'!$B$26-2),0,(MAX(0,W671-IF($A704&gt;='1-Input'!$C$12,'1-Input'!$B$12,0))-MIN(MAX(AA703,0),MAX(0,W671-IF($A704&gt;='1-Input'!$C$12,'1-Input'!$B$12,0))))*(1/(1-'P-Parametri'!$B$6*W704))+MIN(MAX(0,AB703-(MAX(0,W671-IF($A704&gt;='1-Input'!$C$12,'1-Input'!$B$12,0))-MIN(MAX(AA703,0),MAX(0,W671-IF($A704&gt;='1-Input'!$C$12,'1-Input'!$B$12,0))))*(1/(1-'P-Parametri'!$B$6*W704))),MAX(0,0*W671-(AA703-MIN(MAX(AA703,0),MAX(0,W671-IF($A704&gt;='1-Input'!$C$12,'1-Input'!$B$12,0)))))*(1/(1-'P-Parametri'!$B$6*W704))))</f>
        <v>9577.6033842439883</v>
      </c>
      <c r="Y704" s="18">
        <f>IF($A704&gt;('1-Input'!$B$26-2),AA703,(AA703-MAX(0,W671-IF($A704&gt;='1-Input'!$C$12,'1-Input'!$B$12,0))+X704*(1-'P-Parametri'!$B$6*W704))*(1+'1-Input'!$B$27))</f>
        <v>0</v>
      </c>
      <c r="Z704" s="18">
        <f>IF($A704&gt;('1-Input'!$B$26-2),AB703,(AB703-X704)*(1+'5-Roberta'!$C$4))</f>
        <v>101114.52312876095</v>
      </c>
      <c r="AA704" s="18">
        <f>IF($A704&gt;('1-Input'!$B$26-2),Y704,Y704-'P-Parametri'!$B$8*(Z704+Y704)+MIN(MAX(Z704,0),'P-Parametri'!$B$8*(Z704+Y704)))</f>
        <v>0</v>
      </c>
      <c r="AB704" s="18">
        <f>IF($A704&gt;('1-Input'!$B$26-2),Z704,Z704-MIN(MAX(Z704,0),'P-Parametri'!$B$8*(Z704+Y704)))</f>
        <v>100912.29408250343</v>
      </c>
      <c r="AC704" s="18">
        <f>IF($A704&gt;('1-Input'!$B$26-2),AC703,AC703-X704*(1-W704))</f>
        <v>33655.949721486533</v>
      </c>
      <c r="AD704" s="11">
        <f>IF($A704&gt;('1-Input'!$B$26-2),0,IF(AI703&lt;=0,0,MAX(0,(AI703-AJ703)/AI703)))</f>
        <v>0.65716469661843424</v>
      </c>
      <c r="AE704" s="18">
        <f>IF($A704&gt;('1-Input'!$B$26-2),0,(MAX(0,AD671-IF($A704&gt;='1-Input'!$C$12,'1-Input'!$B$12,0))-MIN(MAX(AH703,0),MAX(0,AD671-IF($A704&gt;='1-Input'!$C$12,'1-Input'!$B$12,0))))*(1/(1-'P-Parametri'!$B$6*AD704))+MIN(MAX(0,AI703-(MAX(0,AD671-IF($A704&gt;='1-Input'!$C$12,'1-Input'!$B$12,0))-MIN(MAX(AH703,0),MAX(0,AD671-IF($A704&gt;='1-Input'!$C$12,'1-Input'!$B$12,0))))*(1/(1-'P-Parametri'!$B$6*AD704))),MAX(0,0*AD671-(AH703-MIN(MAX(AH703,0),MAX(0,AD671-IF($A704&gt;='1-Input'!$C$12,'1-Input'!$B$12,0)))))*(1/(1-'P-Parametri'!$B$6*AD704))))</f>
        <v>9578.329550317334</v>
      </c>
      <c r="AF704" s="18">
        <f>IF($A704&gt;('1-Input'!$B$26-2),AH703,(AH703-MAX(0,AD671-IF($A704&gt;='1-Input'!$C$12,'1-Input'!$B$12,0))+AE704*(1-'P-Parametri'!$B$6*AD704))*(1+'1-Input'!$B$27))</f>
        <v>9.0622052084654565E-13</v>
      </c>
      <c r="AG704" s="18">
        <f>IF($A704&gt;('1-Input'!$B$26-2),AI703,(AI703-AE704)*(1+'5-Roberta'!$C$4))</f>
        <v>101080.70880567109</v>
      </c>
      <c r="AH704" s="18">
        <f>IF($A704&gt;('1-Input'!$B$26-2),AF704,AF704-'P-Parametri'!$B$8*(AG704+AF704)+MIN(MAX(AG704,0),'P-Parametri'!$B$8*(AG704+AF704)))</f>
        <v>9.0949470177292824E-13</v>
      </c>
      <c r="AI704" s="18">
        <f>IF($A704&gt;('1-Input'!$B$26-2),AG704,AG704-MIN(MAX(AG704,0),'P-Parametri'!$B$8*(AG704+AF704)))</f>
        <v>100878.54738805976</v>
      </c>
      <c r="AJ704" s="18">
        <f>IF($A704&gt;('1-Input'!$B$26-2),AJ703,AJ703-AE704*(1-AD704))</f>
        <v>33644.694630500933</v>
      </c>
      <c r="AK704" s="11">
        <f>IF($A704&gt;('1-Input'!$B$26-2),0,IF(AP703&lt;=0,0,MAX(0,(AP703-AQ703)/AP703)))</f>
        <v>0.65716469661843391</v>
      </c>
      <c r="AL704" s="18">
        <f>IF($A704&gt;('1-Input'!$B$26-2),0,(MAX(0,AK671-IF($A704&gt;='1-Input'!$C$12,'1-Input'!$B$12,0))-MIN(MAX(AO703,0),MAX(0,AK671-IF($A704&gt;='1-Input'!$C$12,'1-Input'!$B$12,0))))*(1/(1-'P-Parametri'!$B$6*AK704))+MIN(MAX(0,AP703-(MAX(0,AK671-IF($A704&gt;='1-Input'!$C$12,'1-Input'!$B$12,0))-MIN(MAX(AO703,0),MAX(0,AK671-IF($A704&gt;='1-Input'!$C$12,'1-Input'!$B$12,0))))*(1/(1-'P-Parametri'!$B$6*AK704))),MAX(0,0*AK671-(AO703-MIN(MAX(AO703,0),MAX(0,AK671-IF($A704&gt;='1-Input'!$C$12,'1-Input'!$B$12,0)))))*(1/(1-'P-Parametri'!$B$6*AK704))))</f>
        <v>9578.2045569699239</v>
      </c>
      <c r="AM704" s="18">
        <f>IF($A704&gt;('1-Input'!$B$26-2),AO703,(AO703-MAX(0,AK671-IF($A704&gt;='1-Input'!$C$12,'1-Input'!$B$12,0))+AL704*(1-'P-Parametri'!$B$6*AK704))*(1+'1-Input'!$B$27))</f>
        <v>0</v>
      </c>
      <c r="AN704" s="18">
        <f>IF($A704&gt;('1-Input'!$B$26-2),AP703,(AP703-AL704)*(1+'5-Roberta'!$C$4))</f>
        <v>101086.52918972429</v>
      </c>
      <c r="AO704" s="18">
        <f>IF($A704&gt;('1-Input'!$B$26-2),AM704,AM704-'P-Parametri'!$B$8*(AN704+AM704)+MIN(MAX(AN704,0),'P-Parametri'!$B$8*(AN704+AM704)))</f>
        <v>0</v>
      </c>
      <c r="AP704" s="18">
        <f>IF($A704&gt;('1-Input'!$B$26-2),AN704,AN704-MIN(MAX(AN704,0),'P-Parametri'!$B$8*(AN704+AM704)))</f>
        <v>100884.35613134484</v>
      </c>
      <c r="AQ704" s="18">
        <f>IF($A704&gt;('1-Input'!$B$26-2),AQ703,AQ703-AL704*(1-AK704))</f>
        <v>33646.631944222012</v>
      </c>
    </row>
    <row r="705" spans="1:43">
      <c r="A705" s="10">
        <f>32</f>
        <v>32</v>
      </c>
      <c r="B705" s="11">
        <f>IF($A705&gt;('1-Input'!$B$26-2),0,IF(G704&lt;=0,0,MAX(0,(G704-H704)/G704)))</f>
        <v>0.66648315720609552</v>
      </c>
      <c r="C705" s="18">
        <f>IF($A705&gt;('1-Input'!$B$26-2),0,(MAX(0,B671-IF($A705&gt;='1-Input'!$C$12,'1-Input'!$B$12,0))-MIN(MAX(F704,0),MAX(0,B671-IF($A705&gt;='1-Input'!$C$12,'1-Input'!$B$12,0))))*(1/(1-'P-Parametri'!$B$6*B705))+MIN(MAX(0,G704-(MAX(0,B671-IF($A705&gt;='1-Input'!$C$12,'1-Input'!$B$12,0))-MIN(MAX(F704,0),MAX(0,B671-IF($A705&gt;='1-Input'!$C$12,'1-Input'!$B$12,0))))*(1/(1-'P-Parametri'!$B$6*B705))),MAX(0,0*B671-(F704-MIN(MAX(F704,0),MAX(0,B671-IF($A705&gt;='1-Input'!$C$12,'1-Input'!$B$12,0)))))*(1/(1-'P-Parametri'!$B$6*B705))))</f>
        <v>6748.4677362466628</v>
      </c>
      <c r="D705" s="18">
        <f>IF($A705&gt;('1-Input'!$B$26-2),F704,(F704-MAX(0,B671-IF($A705&gt;='1-Input'!$C$12,'1-Input'!$B$12,0))+C705*(1-'P-Parametri'!$B$6*B705))*(1+'1-Input'!$B$27))</f>
        <v>0</v>
      </c>
      <c r="E705" s="18">
        <f>IF($A705&gt;('1-Input'!$B$26-2),G704,(G704-C705)*(1+'5-Roberta'!$C$4))</f>
        <v>233353.72953030953</v>
      </c>
      <c r="F705" s="18">
        <f>IF($A705&gt;('1-Input'!$B$26-2),D705,D705-'P-Parametri'!$B$8*(E705+D705)+MIN(MAX(E705,0),'P-Parametri'!$B$8*(E705+D705)))</f>
        <v>0</v>
      </c>
      <c r="G705" s="18">
        <f>IF($A705&gt;('1-Input'!$B$26-2),E705,E705-MIN(MAX(E705,0),'P-Parametri'!$B$8*(E705+D705)))</f>
        <v>232887.02207124891</v>
      </c>
      <c r="H705" s="18">
        <f>IF($A705&gt;('1-Input'!$B$26-2),H704,H704-C705*(1-B705))</f>
        <v>75560.58167682674</v>
      </c>
      <c r="I705" s="11">
        <f>IF($A705&gt;('1-Input'!$B$26-2),0,IF(N704&lt;=0,0,MAX(0,(N704-O704)/N704)))</f>
        <v>0</v>
      </c>
      <c r="J705" s="18">
        <f>IF($A705&gt;('1-Input'!$B$26-2),0,(MAX(0,I671-IF($A705&gt;='1-Input'!$C$12,'1-Input'!$B$12,0))-MIN(MAX(M704,0),MAX(0,I671-IF($A705&gt;='1-Input'!$C$12,'1-Input'!$B$12,0))))*(1/(1-'P-Parametri'!$B$6*I705))+MIN(MAX(0,N704-(MAX(0,I671-IF($A705&gt;='1-Input'!$C$12,'1-Input'!$B$12,0))-MIN(MAX(M704,0),MAX(0,I671-IF($A705&gt;='1-Input'!$C$12,'1-Input'!$B$12,0))))*(1/(1-'P-Parametri'!$B$6*I705))),MAX(0,0*I671-(M704-MIN(MAX(M704,0),MAX(0,I671-IF($A705&gt;='1-Input'!$C$12,'1-Input'!$B$12,0)))))*(1/(1-'P-Parametri'!$B$6*I705))))</f>
        <v>10846.756992928691</v>
      </c>
      <c r="K705" s="18">
        <f>IF($A705&gt;('1-Input'!$B$26-2),M704,(M704-MAX(0,I671-IF($A705&gt;='1-Input'!$C$12,'1-Input'!$B$12,0))+J705*(1-'P-Parametri'!$B$6*I705))*(1+'1-Input'!$B$27))</f>
        <v>0</v>
      </c>
      <c r="L705" s="18">
        <f>IF($A705&gt;('1-Input'!$B$26-2),N704,(N704-J705)*(1+'5-Roberta'!$C$4))</f>
        <v>-65373.877833541337</v>
      </c>
      <c r="M705" s="18">
        <f>IF($A705&gt;('1-Input'!$B$26-2),K705,K705-'P-Parametri'!$B$8*(L705+K705)+MIN(MAX(L705,0),'P-Parametri'!$B$8*(L705+K705)))</f>
        <v>0</v>
      </c>
      <c r="N705" s="18">
        <f>IF($A705&gt;('1-Input'!$B$26-2),L705,L705-MIN(MAX(L705,0),'P-Parametri'!$B$8*(L705+K705)))</f>
        <v>-65243.130077874252</v>
      </c>
      <c r="O705" s="18">
        <f>IF($A705&gt;('1-Input'!$B$26-2),O704,O704-J705*(1-I705))</f>
        <v>-56274.75842976883</v>
      </c>
      <c r="P705" s="11">
        <f>IF($A705&gt;('1-Input'!$B$26-2),0,IF(U704&lt;=0,0,MAX(0,(U704-V704)/U704)))</f>
        <v>0.66648315720609597</v>
      </c>
      <c r="Q705" s="18">
        <f>IF($A705&gt;('1-Input'!$B$26-2),0,(MAX(0,P671-IF($A705&gt;='1-Input'!$C$12,'1-Input'!$B$12,0))-MIN(MAX(T704,0),MAX(0,P671-IF($A705&gt;='1-Input'!$C$12,'1-Input'!$B$12,0))))*(1/(1-'P-Parametri'!$B$6*P705))+MIN(MAX(0,U704-(MAX(0,P671-IF($A705&gt;='1-Input'!$C$12,'1-Input'!$B$12,0))-MIN(MAX(T704,0),MAX(0,P671-IF($A705&gt;='1-Input'!$C$12,'1-Input'!$B$12,0))))*(1/(1-'P-Parametri'!$B$6*P705))),MAX(0,0*P671-(T704-MIN(MAX(T704,0),MAX(0,P671-IF($A705&gt;='1-Input'!$C$12,'1-Input'!$B$12,0)))))*(1/(1-'P-Parametri'!$B$6*P705))))</f>
        <v>9909.5617388801311</v>
      </c>
      <c r="R705" s="18">
        <f>IF($A705&gt;('1-Input'!$B$26-2),T704,(T704-MAX(0,P671-IF($A705&gt;='1-Input'!$C$12,'1-Input'!$B$12,0))+Q705*(1-'P-Parametri'!$B$6*P705))*(1+'1-Input'!$B$27))</f>
        <v>0</v>
      </c>
      <c r="S705" s="18">
        <f>IF($A705&gt;('1-Input'!$B$26-2),U704,(U704-Q705)*(1+'5-Roberta'!$C$4))</f>
        <v>79229.146554699662</v>
      </c>
      <c r="T705" s="18">
        <f>IF($A705&gt;('1-Input'!$B$26-2),R705,R705-'P-Parametri'!$B$8*(S705+R705)+MIN(MAX(S705,0),'P-Parametri'!$B$8*(S705+R705)))</f>
        <v>0</v>
      </c>
      <c r="U705" s="18">
        <f>IF($A705&gt;('1-Input'!$B$26-2),S705,S705-MIN(MAX(S705,0),'P-Parametri'!$B$8*(S705+R705)))</f>
        <v>79070.688261590258</v>
      </c>
      <c r="V705" s="18">
        <f>IF($A705&gt;('1-Input'!$B$26-2),V704,V704-Q705*(1-P705))</f>
        <v>25654.616326387331</v>
      </c>
      <c r="W705" s="11">
        <f>IF($A705&gt;('1-Input'!$B$26-2),0,IF(AB704&lt;=0,0,MAX(0,(AB704-AC704)/AB704)))</f>
        <v>0.66648315720609574</v>
      </c>
      <c r="X705" s="18">
        <f>IF($A705&gt;('1-Input'!$B$26-2),0,(MAX(0,W671-IF($A705&gt;='1-Input'!$C$12,'1-Input'!$B$12,0))-MIN(MAX(AA704,0),MAX(0,W671-IF($A705&gt;='1-Input'!$C$12,'1-Input'!$B$12,0))))*(1/(1-'P-Parametri'!$B$6*W705))+MIN(MAX(0,AB704-(MAX(0,W671-IF($A705&gt;='1-Input'!$C$12,'1-Input'!$B$12,0))-MIN(MAX(AA704,0),MAX(0,W671-IF($A705&gt;='1-Input'!$C$12,'1-Input'!$B$12,0))))*(1/(1-'P-Parametri'!$B$6*W705))),MAX(0,0*W671-(AA704-MIN(MAX(AA704,0),MAX(0,W671-IF($A705&gt;='1-Input'!$C$12,'1-Input'!$B$12,0)))))*(1/(1-'P-Parametri'!$B$6*W705))))</f>
        <v>9605.6718631498552</v>
      </c>
      <c r="Y705" s="18">
        <f>IF($A705&gt;('1-Input'!$B$26-2),AA704,(AA704-MAX(0,W671-IF($A705&gt;='1-Input'!$C$12,'1-Input'!$B$12,0))+X705*(1-'P-Parametri'!$B$6*W705))*(1+'1-Input'!$B$27))</f>
        <v>0</v>
      </c>
      <c r="Z705" s="18">
        <f>IF($A705&gt;('1-Input'!$B$26-2),AB704,(AB704-X705)*(1+'5-Roberta'!$C$4))</f>
        <v>94045.820885934183</v>
      </c>
      <c r="AA705" s="18">
        <f>IF($A705&gt;('1-Input'!$B$26-2),Y705,Y705-'P-Parametri'!$B$8*(Z705+Y705)+MIN(MAX(Z705,0),'P-Parametri'!$B$8*(Z705+Y705)))</f>
        <v>0</v>
      </c>
      <c r="AB705" s="18">
        <f>IF($A705&gt;('1-Input'!$B$26-2),Z705,Z705-MIN(MAX(Z705,0),'P-Parametri'!$B$8*(Z705+Y705)))</f>
        <v>93857.729244162314</v>
      </c>
      <c r="AC705" s="18">
        <f>IF($A705&gt;('1-Input'!$B$26-2),AC704,AC704-X705*(1-W705))</f>
        <v>30452.296368774554</v>
      </c>
      <c r="AD705" s="11">
        <f>IF($A705&gt;('1-Input'!$B$26-2),0,IF(AI704&lt;=0,0,MAX(0,(AI704-AJ704)/AI704)))</f>
        <v>0.66648315720609586</v>
      </c>
      <c r="AE705" s="18">
        <f>IF($A705&gt;('1-Input'!$B$26-2),0,(MAX(0,AD671-IF($A705&gt;='1-Input'!$C$12,'1-Input'!$B$12,0))-MIN(MAX(AH704,0),MAX(0,AD671-IF($A705&gt;='1-Input'!$C$12,'1-Input'!$B$12,0))))*(1/(1-'P-Parametri'!$B$6*AD705))+MIN(MAX(0,AI704-(MAX(0,AD671-IF($A705&gt;='1-Input'!$C$12,'1-Input'!$B$12,0))-MIN(MAX(AH704,0),MAX(0,AD671-IF($A705&gt;='1-Input'!$C$12,'1-Input'!$B$12,0))))*(1/(1-'P-Parametri'!$B$6*AD705))),MAX(0,0*AD671-(AH704-MIN(MAX(AH704,0),MAX(0,AD671-IF($A705&gt;='1-Input'!$C$12,'1-Input'!$B$12,0)))))*(1/(1-'P-Parametri'!$B$6*AD705))))</f>
        <v>9606.4001573523637</v>
      </c>
      <c r="AF705" s="18">
        <f>IF($A705&gt;('1-Input'!$B$26-2),AH704,(AH704-MAX(0,AD671-IF($A705&gt;='1-Input'!$C$12,'1-Input'!$B$12,0))+AE705*(1-'P-Parametri'!$B$6*AD705))*(1+'1-Input'!$B$27))</f>
        <v>0</v>
      </c>
      <c r="AG705" s="18">
        <f>IF($A705&gt;('1-Input'!$B$26-2),AI704,(AI704-AE705)*(1+'5-Roberta'!$C$4))</f>
        <v>94010.311647628623</v>
      </c>
      <c r="AH705" s="18">
        <f>IF($A705&gt;('1-Input'!$B$26-2),AF705,AF705-'P-Parametri'!$B$8*(AG705+AF705)+MIN(MAX(AG705,0),'P-Parametri'!$B$8*(AG705+AF705)))</f>
        <v>0</v>
      </c>
      <c r="AI705" s="18">
        <f>IF($A705&gt;('1-Input'!$B$26-2),AG705,AG705-MIN(MAX(AG705,0),'P-Parametri'!$B$8*(AG705+AF705)))</f>
        <v>93822.291024333361</v>
      </c>
      <c r="AJ705" s="18">
        <f>IF($A705&gt;('1-Input'!$B$26-2),AJ704,AJ704-AE705*(1-AD705))</f>
        <v>30440.798379405911</v>
      </c>
      <c r="AK705" s="11">
        <f>IF($A705&gt;('1-Input'!$B$26-2),0,IF(AP704&lt;=0,0,MAX(0,(AP704-AQ704)/AP704)))</f>
        <v>0.66648315720609552</v>
      </c>
      <c r="AL705" s="18">
        <f>IF($A705&gt;('1-Input'!$B$26-2),0,(MAX(0,AK671-IF($A705&gt;='1-Input'!$C$12,'1-Input'!$B$12,0))-MIN(MAX(AO704,0),MAX(0,AK671-IF($A705&gt;='1-Input'!$C$12,'1-Input'!$B$12,0))))*(1/(1-'P-Parametri'!$B$6*AK705))+MIN(MAX(0,AP704-(MAX(0,AK671-IF($A705&gt;='1-Input'!$C$12,'1-Input'!$B$12,0))-MIN(MAX(AO704,0),MAX(0,AK671-IF($A705&gt;='1-Input'!$C$12,'1-Input'!$B$12,0))))*(1/(1-'P-Parametri'!$B$6*AK705))),MAX(0,0*AK671-(AO704-MIN(MAX(AO704,0),MAX(0,AK671-IF($A705&gt;='1-Input'!$C$12,'1-Input'!$B$12,0)))))*(1/(1-'P-Parametri'!$B$6*AK705))))</f>
        <v>9606.2747976948285</v>
      </c>
      <c r="AM705" s="18">
        <f>IF($A705&gt;('1-Input'!$B$26-2),AO704,(AO704-MAX(0,AK671-IF($A705&gt;='1-Input'!$C$12,'1-Input'!$B$12,0))+AL705*(1-'P-Parametri'!$B$6*AK705))*(1+'1-Input'!$B$27))</f>
        <v>0</v>
      </c>
      <c r="AN705" s="18">
        <f>IF($A705&gt;('1-Input'!$B$26-2),AP704,(AP704-AL705)*(1+'5-Roberta'!$C$4))</f>
        <v>94016.423773659524</v>
      </c>
      <c r="AO705" s="18">
        <f>IF($A705&gt;('1-Input'!$B$26-2),AM705,AM705-'P-Parametri'!$B$8*(AN705+AM705)+MIN(MAX(AN705,0),'P-Parametri'!$B$8*(AN705+AM705)))</f>
        <v>0</v>
      </c>
      <c r="AP705" s="18">
        <f>IF($A705&gt;('1-Input'!$B$26-2),AN705,AN705-MIN(MAX(AN705,0),'P-Parametri'!$B$8*(AN705+AM705)))</f>
        <v>93828.390926112203</v>
      </c>
      <c r="AQ705" s="18">
        <f>IF($A705&gt;('1-Input'!$B$26-2),AQ704,AQ704-AL705*(1-AK705))</f>
        <v>30442.777502684177</v>
      </c>
    </row>
    <row r="706" spans="1:43">
      <c r="A706" s="10">
        <f>33</f>
        <v>33</v>
      </c>
      <c r="B706" s="11">
        <f>IF($A706&gt;('1-Input'!$B$26-2),0,IF(G705&lt;=0,0,MAX(0,(G705-H705)/G705)))</f>
        <v>0.6755483366792765</v>
      </c>
      <c r="C706" s="18">
        <f>IF($A706&gt;('1-Input'!$B$26-2),0,(MAX(0,B671-IF($A706&gt;='1-Input'!$C$12,'1-Input'!$B$12,0))-MIN(MAX(F705,0),MAX(0,B671-IF($A706&gt;='1-Input'!$C$12,'1-Input'!$B$12,0))))*(1/(1-'P-Parametri'!$B$6*B706))+MIN(MAX(0,G705-(MAX(0,B671-IF($A706&gt;='1-Input'!$C$12,'1-Input'!$B$12,0))-MIN(MAX(F705,0),MAX(0,B671-IF($A706&gt;='1-Input'!$C$12,'1-Input'!$B$12,0))))*(1/(1-'P-Parametri'!$B$6*B706))),MAX(0,0*B671-(F705-MIN(MAX(F705,0),MAX(0,B671-IF($A706&gt;='1-Input'!$C$12,'1-Input'!$B$12,0)))))*(1/(1-'P-Parametri'!$B$6*B706))))</f>
        <v>6767.762495880188</v>
      </c>
      <c r="D706" s="18">
        <f>IF($A706&gt;('1-Input'!$B$26-2),F705,(F705-MAX(0,B671-IF($A706&gt;='1-Input'!$C$12,'1-Input'!$B$12,0))+C706*(1-'P-Parametri'!$B$6*B706))*(1+'1-Input'!$B$27))</f>
        <v>0</v>
      </c>
      <c r="E706" s="18">
        <f>IF($A706&gt;('1-Input'!$B$26-2),G705,(G705-C706)*(1+'5-Roberta'!$C$4))</f>
        <v>232902.8373626298</v>
      </c>
      <c r="F706" s="18">
        <f>IF($A706&gt;('1-Input'!$B$26-2),D706,D706-'P-Parametri'!$B$8*(E706+D706)+MIN(MAX(E706,0),'P-Parametri'!$B$8*(E706+D706)))</f>
        <v>0</v>
      </c>
      <c r="G706" s="18">
        <f>IF($A706&gt;('1-Input'!$B$26-2),E706,E706-MIN(MAX(E706,0),'P-Parametri'!$B$8*(E706+D706)))</f>
        <v>232437.03168790453</v>
      </c>
      <c r="H706" s="18">
        <f>IF($A706&gt;('1-Input'!$B$26-2),H705,H705-C706*(1-B706))</f>
        <v>73364.769878078805</v>
      </c>
      <c r="I706" s="11">
        <f>IF($A706&gt;('1-Input'!$B$26-2),0,IF(N705&lt;=0,0,MAX(0,(N705-O705)/N705)))</f>
        <v>0</v>
      </c>
      <c r="J706" s="18">
        <f>IF($A706&gt;('1-Input'!$B$26-2),0,(MAX(0,I671-IF($A706&gt;='1-Input'!$C$12,'1-Input'!$B$12,0))-MIN(MAX(M705,0),MAX(0,I671-IF($A706&gt;='1-Input'!$C$12,'1-Input'!$B$12,0))))*(1/(1-'P-Parametri'!$B$6*I706))+MIN(MAX(0,N705-(MAX(0,I671-IF($A706&gt;='1-Input'!$C$12,'1-Input'!$B$12,0))-MIN(MAX(M705,0),MAX(0,I671-IF($A706&gt;='1-Input'!$C$12,'1-Input'!$B$12,0))))*(1/(1-'P-Parametri'!$B$6*I706))),MAX(0,0*I671-(M705-MIN(MAX(M705,0),MAX(0,I671-IF($A706&gt;='1-Input'!$C$12,'1-Input'!$B$12,0)))))*(1/(1-'P-Parametri'!$B$6*I706))))</f>
        <v>10846.756992928691</v>
      </c>
      <c r="K706" s="18">
        <f>IF($A706&gt;('1-Input'!$B$26-2),M705,(M705-MAX(0,I671-IF($A706&gt;='1-Input'!$C$12,'1-Input'!$B$12,0))+J706*(1-'P-Parametri'!$B$6*I706))*(1+'1-Input'!$B$27))</f>
        <v>0</v>
      </c>
      <c r="L706" s="18">
        <f>IF($A706&gt;('1-Input'!$B$26-2),N705,(N705-J706)*(1+'5-Roberta'!$C$4))</f>
        <v>-78372.583682927027</v>
      </c>
      <c r="M706" s="18">
        <f>IF($A706&gt;('1-Input'!$B$26-2),K706,K706-'P-Parametri'!$B$8*(L706+K706)+MIN(MAX(L706,0),'P-Parametri'!$B$8*(L706+K706)))</f>
        <v>0</v>
      </c>
      <c r="N706" s="18">
        <f>IF($A706&gt;('1-Input'!$B$26-2),L706,L706-MIN(MAX(L706,0),'P-Parametri'!$B$8*(L706+K706)))</f>
        <v>-78215.838515561176</v>
      </c>
      <c r="O706" s="18">
        <f>IF($A706&gt;('1-Input'!$B$26-2),O705,O705-J706*(1-I706))</f>
        <v>-67121.515422697528</v>
      </c>
      <c r="P706" s="11">
        <f>IF($A706&gt;('1-Input'!$B$26-2),0,IF(U705&lt;=0,0,MAX(0,(U705-V705)/U705)))</f>
        <v>0.67554833667927694</v>
      </c>
      <c r="Q706" s="18">
        <f>IF($A706&gt;('1-Input'!$B$26-2),0,(MAX(0,P671-IF($A706&gt;='1-Input'!$C$12,'1-Input'!$B$12,0))-MIN(MAX(T705,0),MAX(0,P671-IF($A706&gt;='1-Input'!$C$12,'1-Input'!$B$12,0))))*(1/(1-'P-Parametri'!$B$6*P706))+MIN(MAX(0,U705-(MAX(0,P671-IF($A706&gt;='1-Input'!$C$12,'1-Input'!$B$12,0))-MIN(MAX(T705,0),MAX(0,P671-IF($A706&gt;='1-Input'!$C$12,'1-Input'!$B$12,0))))*(1/(1-'P-Parametri'!$B$6*P706))),MAX(0,0*P671-(T705-MIN(MAX(T705,0),MAX(0,P671-IF($A706&gt;='1-Input'!$C$12,'1-Input'!$B$12,0)))))*(1/(1-'P-Parametri'!$B$6*P706))))</f>
        <v>9937.8944833338555</v>
      </c>
      <c r="R706" s="18">
        <f>IF($A706&gt;('1-Input'!$B$26-2),T705,(T705-MAX(0,P671-IF($A706&gt;='1-Input'!$C$12,'1-Input'!$B$12,0))+Q706*(1-'P-Parametri'!$B$6*P706))*(1+'1-Input'!$B$27))</f>
        <v>0</v>
      </c>
      <c r="S706" s="18">
        <f>IF($A706&gt;('1-Input'!$B$26-2),U705,(U705-Q706)*(1+'5-Roberta'!$C$4))</f>
        <v>71206.777591604085</v>
      </c>
      <c r="T706" s="18">
        <f>IF($A706&gt;('1-Input'!$B$26-2),R706,R706-'P-Parametri'!$B$8*(S706+R706)+MIN(MAX(S706,0),'P-Parametri'!$B$8*(S706+R706)))</f>
        <v>0</v>
      </c>
      <c r="U706" s="18">
        <f>IF($A706&gt;('1-Input'!$B$26-2),S706,S706-MIN(MAX(S706,0),'P-Parametri'!$B$8*(S706+R706)))</f>
        <v>71064.36403642087</v>
      </c>
      <c r="V706" s="18">
        <f>IF($A706&gt;('1-Input'!$B$26-2),V705,V705-Q706*(1-P706))</f>
        <v>22430.249931363825</v>
      </c>
      <c r="W706" s="11">
        <f>IF($A706&gt;('1-Input'!$B$26-2),0,IF(AB705&lt;=0,0,MAX(0,(AB705-AC705)/AB705)))</f>
        <v>0.67554833667927672</v>
      </c>
      <c r="X706" s="18">
        <f>IF($A706&gt;('1-Input'!$B$26-2),0,(MAX(0,W671-IF($A706&gt;='1-Input'!$C$12,'1-Input'!$B$12,0))-MIN(MAX(AA705,0),MAX(0,W671-IF($A706&gt;='1-Input'!$C$12,'1-Input'!$B$12,0))))*(1/(1-'P-Parametri'!$B$6*W706))+MIN(MAX(0,AB705-(MAX(0,W671-IF($A706&gt;='1-Input'!$C$12,'1-Input'!$B$12,0))-MIN(MAX(AA705,0),MAX(0,W671-IF($A706&gt;='1-Input'!$C$12,'1-Input'!$B$12,0))))*(1/(1-'P-Parametri'!$B$6*W706))),MAX(0,0*W671-(AA705-MIN(MAX(AA705,0),MAX(0,W671-IF($A706&gt;='1-Input'!$C$12,'1-Input'!$B$12,0)))))*(1/(1-'P-Parametri'!$B$6*W706))))</f>
        <v>9633.1357463544136</v>
      </c>
      <c r="Y706" s="18">
        <f>IF($A706&gt;('1-Input'!$B$26-2),AA705,(AA705-MAX(0,W671-IF($A706&gt;='1-Input'!$C$12,'1-Input'!$B$12,0))+X706*(1-'P-Parametri'!$B$6*W706))*(1+'1-Input'!$B$27))</f>
        <v>0</v>
      </c>
      <c r="Z706" s="18">
        <f>IF($A706&gt;('1-Input'!$B$26-2),AB705,(AB705-X706)*(1+'5-Roberta'!$C$4))</f>
        <v>86751.331302742139</v>
      </c>
      <c r="AA706" s="18">
        <f>IF($A706&gt;('1-Input'!$B$26-2),Y706,Y706-'P-Parametri'!$B$8*(Z706+Y706)+MIN(MAX(Z706,0),'P-Parametri'!$B$8*(Z706+Y706)))</f>
        <v>0</v>
      </c>
      <c r="AB706" s="18">
        <f>IF($A706&gt;('1-Input'!$B$26-2),Z706,Z706-MIN(MAX(Z706,0),'P-Parametri'!$B$8*(Z706+Y706)))</f>
        <v>86577.828640136649</v>
      </c>
      <c r="AC706" s="18">
        <f>IF($A706&gt;('1-Input'!$B$26-2),AC705,AC705-X706*(1-W706))</f>
        <v>27326.809452875546</v>
      </c>
      <c r="AD706" s="11">
        <f>IF($A706&gt;('1-Input'!$B$26-2),0,IF(AI705&lt;=0,0,MAX(0,(AI705-AJ705)/AI705)))</f>
        <v>0.67554833667927683</v>
      </c>
      <c r="AE706" s="18">
        <f>IF($A706&gt;('1-Input'!$B$26-2),0,(MAX(0,AD671-IF($A706&gt;='1-Input'!$C$12,'1-Input'!$B$12,0))-MIN(MAX(AH705,0),MAX(0,AD671-IF($A706&gt;='1-Input'!$C$12,'1-Input'!$B$12,0))))*(1/(1-'P-Parametri'!$B$6*AD706))+MIN(MAX(0,AI705-(MAX(0,AD671-IF($A706&gt;='1-Input'!$C$12,'1-Input'!$B$12,0))-MIN(MAX(AH705,0),MAX(0,AD671-IF($A706&gt;='1-Input'!$C$12,'1-Input'!$B$12,0))))*(1/(1-'P-Parametri'!$B$6*AD706))),MAX(0,0*AD671-(AH705-MIN(MAX(AH705,0),MAX(0,AD671-IF($A706&gt;='1-Input'!$C$12,'1-Input'!$B$12,0)))))*(1/(1-'P-Parametri'!$B$6*AD706))))</f>
        <v>9633.8661228461369</v>
      </c>
      <c r="AF706" s="18">
        <f>IF($A706&gt;('1-Input'!$B$26-2),AH705,(AH705-MAX(0,AD671-IF($A706&gt;='1-Input'!$C$12,'1-Input'!$B$12,0))+AE706*(1-'P-Parametri'!$B$6*AD706))*(1+'1-Input'!$B$27))</f>
        <v>-9.0622052084654565E-13</v>
      </c>
      <c r="AG706" s="18">
        <f>IF($A706&gt;('1-Input'!$B$26-2),AI705,(AI705-AE706)*(1+'5-Roberta'!$C$4))</f>
        <v>86714.077648531835</v>
      </c>
      <c r="AH706" s="18">
        <f>IF($A706&gt;('1-Input'!$B$26-2),AF706,AF706-'P-Parametri'!$B$8*(AG706+AF706)+MIN(MAX(AG706,0),'P-Parametri'!$B$8*(AG706+AF706)))</f>
        <v>-9.0949470177292824E-13</v>
      </c>
      <c r="AI706" s="18">
        <f>IF($A706&gt;('1-Input'!$B$26-2),AG706,AG706-MIN(MAX(AG706,0),'P-Parametri'!$B$8*(AG706+AF706)))</f>
        <v>86540.64949323477</v>
      </c>
      <c r="AJ706" s="18">
        <f>IF($A706&gt;('1-Input'!$B$26-2),AJ705,AJ705-AE706*(1-AD706))</f>
        <v>27315.074491639316</v>
      </c>
      <c r="AK706" s="11">
        <f>IF($A706&gt;('1-Input'!$B$26-2),0,IF(AP705&lt;=0,0,MAX(0,(AP705-AQ705)/AP705)))</f>
        <v>0.67554833667927661</v>
      </c>
      <c r="AL706" s="18">
        <f>IF($A706&gt;('1-Input'!$B$26-2),0,(MAX(0,AK671-IF($A706&gt;='1-Input'!$C$12,'1-Input'!$B$12,0))-MIN(MAX(AO705,0),MAX(0,AK671-IF($A706&gt;='1-Input'!$C$12,'1-Input'!$B$12,0))))*(1/(1-'P-Parametri'!$B$6*AK706))+MIN(MAX(0,AP705-(MAX(0,AK671-IF($A706&gt;='1-Input'!$C$12,'1-Input'!$B$12,0))-MIN(MAX(AO705,0),MAX(0,AK671-IF($A706&gt;='1-Input'!$C$12,'1-Input'!$B$12,0))))*(1/(1-'P-Parametri'!$B$6*AK706))),MAX(0,0*AK671-(AO705-MIN(MAX(AO705,0),MAX(0,AK671-IF($A706&gt;='1-Input'!$C$12,'1-Input'!$B$12,0)))))*(1/(1-'P-Parametri'!$B$6*AK706))))</f>
        <v>9633.7404047688015</v>
      </c>
      <c r="AM706" s="18">
        <f>IF($A706&gt;('1-Input'!$B$26-2),AO705,(AO705-MAX(0,AK671-IF($A706&gt;='1-Input'!$C$12,'1-Input'!$B$12,0))+AL706*(1-'P-Parametri'!$B$6*AK706))*(1+'1-Input'!$B$27))</f>
        <v>9.0622052084654565E-13</v>
      </c>
      <c r="AN706" s="18">
        <f>IF($A706&gt;('1-Input'!$B$26-2),AP705,(AP705-AL706)*(1+'5-Roberta'!$C$4))</f>
        <v>86720.490036983698</v>
      </c>
      <c r="AO706" s="18">
        <f>IF($A706&gt;('1-Input'!$B$26-2),AM706,AM706-'P-Parametri'!$B$8*(AN706+AM706)+MIN(MAX(AN706,0),'P-Parametri'!$B$8*(AN706+AM706)))</f>
        <v>9.0949470177292824E-13</v>
      </c>
      <c r="AP706" s="18">
        <f>IF($A706&gt;('1-Input'!$B$26-2),AN706,AN706-MIN(MAX(AN706,0),'P-Parametri'!$B$8*(AN706+AM706)))</f>
        <v>86547.049056909731</v>
      </c>
      <c r="AQ706" s="18">
        <f>IF($A706&gt;('1-Input'!$B$26-2),AQ705,AQ705-AL706*(1-AK706))</f>
        <v>27317.094404356882</v>
      </c>
    </row>
    <row r="707" spans="1:43">
      <c r="A707" s="10">
        <f>34</f>
        <v>34</v>
      </c>
      <c r="B707" s="11">
        <f>IF($A707&gt;('1-Input'!$B$26-2),0,IF(G706&lt;=0,0,MAX(0,(G706-H706)/G706)))</f>
        <v>0.68436711936423966</v>
      </c>
      <c r="C707" s="18">
        <f>IF($A707&gt;('1-Input'!$B$26-2),0,(MAX(0,B671-IF($A707&gt;='1-Input'!$C$12,'1-Input'!$B$12,0))-MIN(MAX(F706,0),MAX(0,B671-IF($A707&gt;='1-Input'!$C$12,'1-Input'!$B$12,0))))*(1/(1-'P-Parametri'!$B$6*B707))+MIN(MAX(0,G706-(MAX(0,B671-IF($A707&gt;='1-Input'!$C$12,'1-Input'!$B$12,0))-MIN(MAX(F706,0),MAX(0,B671-IF($A707&gt;='1-Input'!$C$12,'1-Input'!$B$12,0))))*(1/(1-'P-Parametri'!$B$6*B707))),MAX(0,0*B671-(F706-MIN(MAX(F706,0),MAX(0,B671-IF($A707&gt;='1-Input'!$C$12,'1-Input'!$B$12,0)))))*(1/(1-'P-Parametri'!$B$6*B707))))</f>
        <v>6786.6389830919652</v>
      </c>
      <c r="D707" s="18">
        <f>IF($A707&gt;('1-Input'!$B$26-2),F706,(F706-MAX(0,B671-IF($A707&gt;='1-Input'!$C$12,'1-Input'!$B$12,0))+C707*(1-'P-Parametri'!$B$6*B707))*(1+'1-Input'!$B$27))</f>
        <v>0</v>
      </c>
      <c r="E707" s="18">
        <f>IF($A707&gt;('1-Input'!$B$26-2),G706,(G706-C707)*(1+'5-Roberta'!$C$4))</f>
        <v>232419.90448595697</v>
      </c>
      <c r="F707" s="18">
        <f>IF($A707&gt;('1-Input'!$B$26-2),D707,D707-'P-Parametri'!$B$8*(E707+D707)+MIN(MAX(E707,0),'P-Parametri'!$B$8*(E707+D707)))</f>
        <v>0</v>
      </c>
      <c r="G707" s="18">
        <f>IF($A707&gt;('1-Input'!$B$26-2),E707,E707-MIN(MAX(E707,0),'P-Parametri'!$B$8*(E707+D707)))</f>
        <v>231955.06467698506</v>
      </c>
      <c r="H707" s="18">
        <f>IF($A707&gt;('1-Input'!$B$26-2),H706,H706-C707*(1-B707))</f>
        <v>71222.683466010538</v>
      </c>
      <c r="I707" s="11">
        <f>IF($A707&gt;('1-Input'!$B$26-2),0,IF(N706&lt;=0,0,MAX(0,(N706-O706)/N706)))</f>
        <v>0</v>
      </c>
      <c r="J707" s="18">
        <f>IF($A707&gt;('1-Input'!$B$26-2),0,(MAX(0,I671-IF($A707&gt;='1-Input'!$C$12,'1-Input'!$B$12,0))-MIN(MAX(M706,0),MAX(0,I671-IF($A707&gt;='1-Input'!$C$12,'1-Input'!$B$12,0))))*(1/(1-'P-Parametri'!$B$6*I707))+MIN(MAX(0,N706-(MAX(0,I671-IF($A707&gt;='1-Input'!$C$12,'1-Input'!$B$12,0))-MIN(MAX(M706,0),MAX(0,I671-IF($A707&gt;='1-Input'!$C$12,'1-Input'!$B$12,0))))*(1/(1-'P-Parametri'!$B$6*I707))),MAX(0,0*I671-(M706-MIN(MAX(M706,0),MAX(0,I671-IF($A707&gt;='1-Input'!$C$12,'1-Input'!$B$12,0)))))*(1/(1-'P-Parametri'!$B$6*I707))))</f>
        <v>10846.756992928691</v>
      </c>
      <c r="K707" s="18">
        <f>IF($A707&gt;('1-Input'!$B$26-2),M706,(M706-MAX(0,I671-IF($A707&gt;='1-Input'!$C$12,'1-Input'!$B$12,0))+J707*(1-'P-Parametri'!$B$6*I707))*(1+'1-Input'!$B$27))</f>
        <v>0</v>
      </c>
      <c r="L707" s="18">
        <f>IF($A707&gt;('1-Input'!$B$26-2),N706,(N706-J707)*(1+'5-Roberta'!$C$4))</f>
        <v>-91734.473373744579</v>
      </c>
      <c r="M707" s="18">
        <f>IF($A707&gt;('1-Input'!$B$26-2),K707,K707-'P-Parametri'!$B$8*(L707+K707)+MIN(MAX(L707,0),'P-Parametri'!$B$8*(L707+K707)))</f>
        <v>0</v>
      </c>
      <c r="N707" s="18">
        <f>IF($A707&gt;('1-Input'!$B$26-2),L707,L707-MIN(MAX(L707,0),'P-Parametri'!$B$8*(L707+K707)))</f>
        <v>-91551.004426997082</v>
      </c>
      <c r="O707" s="18">
        <f>IF($A707&gt;('1-Input'!$B$26-2),O706,O706-J707*(1-I707))</f>
        <v>-77968.272415626212</v>
      </c>
      <c r="P707" s="11">
        <f>IF($A707&gt;('1-Input'!$B$26-2),0,IF(U706&lt;=0,0,MAX(0,(U706-V706)/U706)))</f>
        <v>0.68436711936424</v>
      </c>
      <c r="Q707" s="18">
        <f>IF($A707&gt;('1-Input'!$B$26-2),0,(MAX(0,P671-IF($A707&gt;='1-Input'!$C$12,'1-Input'!$B$12,0))-MIN(MAX(T706,0),MAX(0,P671-IF($A707&gt;='1-Input'!$C$12,'1-Input'!$B$12,0))))*(1/(1-'P-Parametri'!$B$6*P707))+MIN(MAX(0,U706-(MAX(0,P671-IF($A707&gt;='1-Input'!$C$12,'1-Input'!$B$12,0))-MIN(MAX(T706,0),MAX(0,P671-IF($A707&gt;='1-Input'!$C$12,'1-Input'!$B$12,0))))*(1/(1-'P-Parametri'!$B$6*P707))),MAX(0,0*P671-(T706-MIN(MAX(T706,0),MAX(0,P671-IF($A707&gt;='1-Input'!$C$12,'1-Input'!$B$12,0)))))*(1/(1-'P-Parametri'!$B$6*P707))))</f>
        <v>9965.6130296393494</v>
      </c>
      <c r="R707" s="18">
        <f>IF($A707&gt;('1-Input'!$B$26-2),T706,(T706-MAX(0,P671-IF($A707&gt;='1-Input'!$C$12,'1-Input'!$B$12,0))+Q707*(1-'P-Parametri'!$B$6*P707))*(1+'1-Input'!$B$27))</f>
        <v>0</v>
      </c>
      <c r="S707" s="18">
        <f>IF($A707&gt;('1-Input'!$B$26-2),U706,(U706-Q707)*(1+'5-Roberta'!$C$4))</f>
        <v>62931.713536984964</v>
      </c>
      <c r="T707" s="18">
        <f>IF($A707&gt;('1-Input'!$B$26-2),R707,R707-'P-Parametri'!$B$8*(S707+R707)+MIN(MAX(S707,0),'P-Parametri'!$B$8*(S707+R707)))</f>
        <v>0</v>
      </c>
      <c r="U707" s="18">
        <f>IF($A707&gt;('1-Input'!$B$26-2),S707,S707-MIN(MAX(S707,0),'P-Parametri'!$B$8*(S707+R707)))</f>
        <v>62805.850109910993</v>
      </c>
      <c r="V707" s="18">
        <f>IF($A707&gt;('1-Input'!$B$26-2),V706,V706-Q707*(1-P707))</f>
        <v>19284.774783517496</v>
      </c>
      <c r="W707" s="11">
        <f>IF($A707&gt;('1-Input'!$B$26-2),0,IF(AB706&lt;=0,0,MAX(0,(AB706-AC706)/AB706)))</f>
        <v>0.68436711936423988</v>
      </c>
      <c r="X707" s="18">
        <f>IF($A707&gt;('1-Input'!$B$26-2),0,(MAX(0,W671-IF($A707&gt;='1-Input'!$C$12,'1-Input'!$B$12,0))-MIN(MAX(AA706,0),MAX(0,W671-IF($A707&gt;='1-Input'!$C$12,'1-Input'!$B$12,0))))*(1/(1-'P-Parametri'!$B$6*W707))+MIN(MAX(0,AB706-(MAX(0,W671-IF($A707&gt;='1-Input'!$C$12,'1-Input'!$B$12,0))-MIN(MAX(AA706,0),MAX(0,W671-IF($A707&gt;='1-Input'!$C$12,'1-Input'!$B$12,0))))*(1/(1-'P-Parametri'!$B$6*W707))),MAX(0,0*W671-(AA706-MIN(MAX(AA706,0),MAX(0,W671-IF($A707&gt;='1-Input'!$C$12,'1-Input'!$B$12,0)))))*(1/(1-'P-Parametri'!$B$6*W707))))</f>
        <v>9660.0042666129284</v>
      </c>
      <c r="Y707" s="18">
        <f>IF($A707&gt;('1-Input'!$B$26-2),AA706,(AA706-MAX(0,W671-IF($A707&gt;='1-Input'!$C$12,'1-Input'!$B$12,0))+X707*(1-'P-Parametri'!$B$6*W707))*(1+'1-Input'!$B$27))</f>
        <v>-9.0622052084654565E-13</v>
      </c>
      <c r="Z707" s="18">
        <f>IF($A707&gt;('1-Input'!$B$26-2),AB706,(AB706-X707)*(1+'5-Roberta'!$C$4))</f>
        <v>79225.359104729432</v>
      </c>
      <c r="AA707" s="18">
        <f>IF($A707&gt;('1-Input'!$B$26-2),Y707,Y707-'P-Parametri'!$B$8*(Z707+Y707)+MIN(MAX(Z707,0),'P-Parametri'!$B$8*(Z707+Y707)))</f>
        <v>-9.0949470177292824E-13</v>
      </c>
      <c r="AB707" s="18">
        <f>IF($A707&gt;('1-Input'!$B$26-2),Z707,Z707-MIN(MAX(Z707,0),'P-Parametri'!$B$8*(Z707+Y707)))</f>
        <v>79066.908386519979</v>
      </c>
      <c r="AC707" s="18">
        <f>IF($A707&gt;('1-Input'!$B$26-2),AC706,AC706-X707*(1-W707))</f>
        <v>24277.794479250773</v>
      </c>
      <c r="AD707" s="11">
        <f>IF($A707&gt;('1-Input'!$B$26-2),0,IF(AI706&lt;=0,0,MAX(0,(AI706-AJ706)/AI706)))</f>
        <v>0.68436711936424</v>
      </c>
      <c r="AE707" s="18">
        <f>IF($A707&gt;('1-Input'!$B$26-2),0,(MAX(0,AD671-IF($A707&gt;='1-Input'!$C$12,'1-Input'!$B$12,0))-MIN(MAX(AH706,0),MAX(0,AD671-IF($A707&gt;='1-Input'!$C$12,'1-Input'!$B$12,0))))*(1/(1-'P-Parametri'!$B$6*AD707))+MIN(MAX(0,AI706-(MAX(0,AD671-IF($A707&gt;='1-Input'!$C$12,'1-Input'!$B$12,0))-MIN(MAX(AH706,0),MAX(0,AD671-IF($A707&gt;='1-Input'!$C$12,'1-Input'!$B$12,0))))*(1/(1-'P-Parametri'!$B$6*AD707))),MAX(0,0*AD671-(AH706-MIN(MAX(AH706,0),MAX(0,AD671-IF($A707&gt;='1-Input'!$C$12,'1-Input'!$B$12,0)))))*(1/(1-'P-Parametri'!$B$6*AD707))))</f>
        <v>9660.7366802539364</v>
      </c>
      <c r="AF707" s="18">
        <f>IF($A707&gt;('1-Input'!$B$26-2),AH706,(AH706-MAX(0,AD671-IF($A707&gt;='1-Input'!$C$12,'1-Input'!$B$12,0))+AE707*(1-'P-Parametri'!$B$6*AD707))*(1+'1-Input'!$B$27))</f>
        <v>9.0622052084654565E-13</v>
      </c>
      <c r="AG707" s="18">
        <f>IF($A707&gt;('1-Input'!$B$26-2),AI706,(AI706-AE707)*(1+'5-Roberta'!$C$4))</f>
        <v>79186.310197370258</v>
      </c>
      <c r="AH707" s="18">
        <f>IF($A707&gt;('1-Input'!$B$26-2),AF707,AF707-'P-Parametri'!$B$8*(AG707+AF707)+MIN(MAX(AG707,0),'P-Parametri'!$B$8*(AG707+AF707)))</f>
        <v>9.0949470177292824E-13</v>
      </c>
      <c r="AI707" s="18">
        <f>IF($A707&gt;('1-Input'!$B$26-2),AG707,AG707-MIN(MAX(AG707,0),'P-Parametri'!$B$8*(AG707+AF707)))</f>
        <v>79027.937576975513</v>
      </c>
      <c r="AJ707" s="18">
        <f>IF($A707&gt;('1-Input'!$B$26-2),AJ706,AJ706-AE707*(1-AD707))</f>
        <v>24265.828344187215</v>
      </c>
      <c r="AK707" s="11">
        <f>IF($A707&gt;('1-Input'!$B$26-2),0,IF(AP706&lt;=0,0,MAX(0,(AP706-AQ706)/AP706)))</f>
        <v>0.68436711936423966</v>
      </c>
      <c r="AL707" s="18">
        <f>IF($A707&gt;('1-Input'!$B$26-2),0,(MAX(0,AK671-IF($A707&gt;='1-Input'!$C$12,'1-Input'!$B$12,0))-MIN(MAX(AO706,0),MAX(0,AK671-IF($A707&gt;='1-Input'!$C$12,'1-Input'!$B$12,0))))*(1/(1-'P-Parametri'!$B$6*AK707))+MIN(MAX(0,AP706-(MAX(0,AK671-IF($A707&gt;='1-Input'!$C$12,'1-Input'!$B$12,0))-MIN(MAX(AO706,0),MAX(0,AK671-IF($A707&gt;='1-Input'!$C$12,'1-Input'!$B$12,0))))*(1/(1-'P-Parametri'!$B$6*AK707))),MAX(0,0*AK671-(AO706-MIN(MAX(AO706,0),MAX(0,AK671-IF($A707&gt;='1-Input'!$C$12,'1-Input'!$B$12,0)))))*(1/(1-'P-Parametri'!$B$6*AK707))))</f>
        <v>9660.6106115266321</v>
      </c>
      <c r="AM707" s="18">
        <f>IF($A707&gt;('1-Input'!$B$26-2),AO706,(AO706-MAX(0,AK671-IF($A707&gt;='1-Input'!$C$12,'1-Input'!$B$12,0))+AL707*(1-'P-Parametri'!$B$6*AK707))*(1+'1-Input'!$B$27))</f>
        <v>9.0622052084654565E-13</v>
      </c>
      <c r="AN707" s="18">
        <f>IF($A707&gt;('1-Input'!$B$26-2),AP706,(AP706-AL707)*(1+'5-Roberta'!$C$4))</f>
        <v>79193.031598744594</v>
      </c>
      <c r="AO707" s="18">
        <f>IF($A707&gt;('1-Input'!$B$26-2),AM707,AM707-'P-Parametri'!$B$8*(AN707+AM707)+MIN(MAX(AN707,0),'P-Parametri'!$B$8*(AN707+AM707)))</f>
        <v>9.0949470177292824E-13</v>
      </c>
      <c r="AP707" s="18">
        <f>IF($A707&gt;('1-Input'!$B$26-2),AN707,AN707-MIN(MAX(AN707,0),'P-Parametri'!$B$8*(AN707+AM707)))</f>
        <v>79034.645535547112</v>
      </c>
      <c r="AQ707" s="18">
        <f>IF($A707&gt;('1-Input'!$B$26-2),AQ706,AQ706-AL707*(1-AK707))</f>
        <v>24267.888048340337</v>
      </c>
    </row>
    <row r="708" spans="1:43">
      <c r="A708" s="10">
        <f>35</f>
        <v>35</v>
      </c>
      <c r="B708" s="11">
        <f>IF($A708&gt;('1-Input'!$B$26-2),0,IF(G707&lt;=0,0,MAX(0,(G707-H707)/G707)))</f>
        <v>0.69294620246730332</v>
      </c>
      <c r="C708" s="18">
        <f>IF($A708&gt;('1-Input'!$B$26-2),0,(MAX(0,B671-IF($A708&gt;='1-Input'!$C$12,'1-Input'!$B$12,0))-MIN(MAX(F707,0),MAX(0,B671-IF($A708&gt;='1-Input'!$C$12,'1-Input'!$B$12,0))))*(1/(1-'P-Parametri'!$B$6*B708))+MIN(MAX(0,G707-(MAX(0,B671-IF($A708&gt;='1-Input'!$C$12,'1-Input'!$B$12,0))-MIN(MAX(F707,0),MAX(0,B671-IF($A708&gt;='1-Input'!$C$12,'1-Input'!$B$12,0))))*(1/(1-'P-Parametri'!$B$6*B708))),MAX(0,0*B671-(F707-MIN(MAX(F707,0),MAX(0,B671-IF($A708&gt;='1-Input'!$C$12,'1-Input'!$B$12,0)))))*(1/(1-'P-Parametri'!$B$6*B708))))</f>
        <v>6805.10371691405</v>
      </c>
      <c r="D708" s="18">
        <f>IF($A708&gt;('1-Input'!$B$26-2),F707,(F707-MAX(0,B671-IF($A708&gt;='1-Input'!$C$12,'1-Input'!$B$12,0))+C708*(1-'P-Parametri'!$B$6*B708))*(1+'1-Input'!$B$27))</f>
        <v>0</v>
      </c>
      <c r="E708" s="18">
        <f>IF($A708&gt;('1-Input'!$B$26-2),G707,(G707-C708)*(1+'5-Roberta'!$C$4))</f>
        <v>231904.45978887315</v>
      </c>
      <c r="F708" s="18">
        <f>IF($A708&gt;('1-Input'!$B$26-2),D708,D708-'P-Parametri'!$B$8*(E708+D708)+MIN(MAX(E708,0),'P-Parametri'!$B$8*(E708+D708)))</f>
        <v>0</v>
      </c>
      <c r="G708" s="18">
        <f>IF($A708&gt;('1-Input'!$B$26-2),E708,E708-MIN(MAX(E708,0),'P-Parametri'!$B$8*(E708+D708)))</f>
        <v>231440.65086929541</v>
      </c>
      <c r="H708" s="18">
        <f>IF($A708&gt;('1-Input'!$B$26-2),H707,H707-C708*(1-B708))</f>
        <v>69133.150527128208</v>
      </c>
      <c r="I708" s="11">
        <f>IF($A708&gt;('1-Input'!$B$26-2),0,IF(N707&lt;=0,0,MAX(0,(N707-O707)/N707)))</f>
        <v>0</v>
      </c>
      <c r="J708" s="18">
        <f>IF($A708&gt;('1-Input'!$B$26-2),0,(MAX(0,I671-IF($A708&gt;='1-Input'!$C$12,'1-Input'!$B$12,0))-MIN(MAX(M707,0),MAX(0,I671-IF($A708&gt;='1-Input'!$C$12,'1-Input'!$B$12,0))))*(1/(1-'P-Parametri'!$B$6*I708))+MIN(MAX(0,N707-(MAX(0,I671-IF($A708&gt;='1-Input'!$C$12,'1-Input'!$B$12,0))-MIN(MAX(M707,0),MAX(0,I671-IF($A708&gt;='1-Input'!$C$12,'1-Input'!$B$12,0))))*(1/(1-'P-Parametri'!$B$6*I708))),MAX(0,0*I671-(M707-MIN(MAX(M707,0),MAX(0,I671-IF($A708&gt;='1-Input'!$C$12,'1-Input'!$B$12,0)))))*(1/(1-'P-Parametri'!$B$6*I708))))</f>
        <v>10846.756992928691</v>
      </c>
      <c r="K708" s="18">
        <f>IF($A708&gt;('1-Input'!$B$26-2),M707,(M707-MAX(0,I671-IF($A708&gt;='1-Input'!$C$12,'1-Input'!$B$12,0))+J708*(1-'P-Parametri'!$B$6*I708))*(1+'1-Input'!$B$27))</f>
        <v>0</v>
      </c>
      <c r="L708" s="18">
        <f>IF($A708&gt;('1-Input'!$B$26-2),N707,(N707-J708)*(1+'5-Roberta'!$C$4))</f>
        <v>-105469.69426252355</v>
      </c>
      <c r="M708" s="18">
        <f>IF($A708&gt;('1-Input'!$B$26-2),K708,K708-'P-Parametri'!$B$8*(L708+K708)+MIN(MAX(L708,0),'P-Parametri'!$B$8*(L708+K708)))</f>
        <v>0</v>
      </c>
      <c r="N708" s="18">
        <f>IF($A708&gt;('1-Input'!$B$26-2),L708,L708-MIN(MAX(L708,0),'P-Parametri'!$B$8*(L708+K708)))</f>
        <v>-105258.75487399851</v>
      </c>
      <c r="O708" s="18">
        <f>IF($A708&gt;('1-Input'!$B$26-2),O707,O707-J708*(1-I708))</f>
        <v>-88815.029408554896</v>
      </c>
      <c r="P708" s="11">
        <f>IF($A708&gt;('1-Input'!$B$26-2),0,IF(U707&lt;=0,0,MAX(0,(U707-V707)/U707)))</f>
        <v>0.69294620246730343</v>
      </c>
      <c r="Q708" s="18">
        <f>IF($A708&gt;('1-Input'!$B$26-2),0,(MAX(0,P671-IF($A708&gt;='1-Input'!$C$12,'1-Input'!$B$12,0))-MIN(MAX(T707,0),MAX(0,P671-IF($A708&gt;='1-Input'!$C$12,'1-Input'!$B$12,0))))*(1/(1-'P-Parametri'!$B$6*P708))+MIN(MAX(0,U707-(MAX(0,P671-IF($A708&gt;='1-Input'!$C$12,'1-Input'!$B$12,0))-MIN(MAX(T707,0),MAX(0,P671-IF($A708&gt;='1-Input'!$C$12,'1-Input'!$B$12,0))))*(1/(1-'P-Parametri'!$B$6*P708))),MAX(0,0*P671-(T707-MIN(MAX(T707,0),MAX(0,P671-IF($A708&gt;='1-Input'!$C$12,'1-Input'!$B$12,0)))))*(1/(1-'P-Parametri'!$B$6*P708))))</f>
        <v>9992.7269504512024</v>
      </c>
      <c r="R708" s="18">
        <f>IF($A708&gt;('1-Input'!$B$26-2),T707,(T707-MAX(0,P671-IF($A708&gt;='1-Input'!$C$12,'1-Input'!$B$12,0))+Q708*(1-'P-Parametri'!$B$6*P708))*(1+'1-Input'!$B$27))</f>
        <v>0</v>
      </c>
      <c r="S708" s="18">
        <f>IF($A708&gt;('1-Input'!$B$26-2),U707,(U707-Q708)*(1+'5-Roberta'!$C$4))</f>
        <v>54397.516854243586</v>
      </c>
      <c r="T708" s="18">
        <f>IF($A708&gt;('1-Input'!$B$26-2),R708,R708-'P-Parametri'!$B$8*(S708+R708)+MIN(MAX(S708,0),'P-Parametri'!$B$8*(S708+R708)))</f>
        <v>0</v>
      </c>
      <c r="U708" s="18">
        <f>IF($A708&gt;('1-Input'!$B$26-2),S708,S708-MIN(MAX(S708,0),'P-Parametri'!$B$8*(S708+R708)))</f>
        <v>54288.721820535102</v>
      </c>
      <c r="V708" s="18">
        <f>IF($A708&gt;('1-Input'!$B$26-2),V707,V707-Q708*(1-P708))</f>
        <v>16216.470025674133</v>
      </c>
      <c r="W708" s="11">
        <f>IF($A708&gt;('1-Input'!$B$26-2),0,IF(AB707&lt;=0,0,MAX(0,(AB707-AC707)/AB707)))</f>
        <v>0.69294620246730343</v>
      </c>
      <c r="X708" s="18">
        <f>IF($A708&gt;('1-Input'!$B$26-2),0,(MAX(0,W671-IF($A708&gt;='1-Input'!$C$12,'1-Input'!$B$12,0))-MIN(MAX(AA707,0),MAX(0,W671-IF($A708&gt;='1-Input'!$C$12,'1-Input'!$B$12,0))))*(1/(1-'P-Parametri'!$B$6*W708))+MIN(MAX(0,AB707-(MAX(0,W671-IF($A708&gt;='1-Input'!$C$12,'1-Input'!$B$12,0))-MIN(MAX(AA707,0),MAX(0,W671-IF($A708&gt;='1-Input'!$C$12,'1-Input'!$B$12,0))))*(1/(1-'P-Parametri'!$B$6*W708))),MAX(0,0*W671-(AA707-MIN(MAX(AA707,0),MAX(0,W671-IF($A708&gt;='1-Input'!$C$12,'1-Input'!$B$12,0)))))*(1/(1-'P-Parametri'!$B$6*W708))))</f>
        <v>9686.2867030218204</v>
      </c>
      <c r="Y708" s="18">
        <f>IF($A708&gt;('1-Input'!$B$26-2),AA707,(AA707-MAX(0,W671-IF($A708&gt;='1-Input'!$C$12,'1-Input'!$B$12,0))+X708*(1-'P-Parametri'!$B$6*W708))*(1+'1-Input'!$B$27))</f>
        <v>0</v>
      </c>
      <c r="Z708" s="18">
        <f>IF($A708&gt;('1-Input'!$B$26-2),AB707,(AB707-X708)*(1+'5-Roberta'!$C$4))</f>
        <v>71462.040334003104</v>
      </c>
      <c r="AA708" s="18">
        <f>IF($A708&gt;('1-Input'!$B$26-2),Y708,Y708-'P-Parametri'!$B$8*(Z708+Y708)+MIN(MAX(Z708,0),'P-Parametri'!$B$8*(Z708+Y708)))</f>
        <v>0</v>
      </c>
      <c r="AB708" s="18">
        <f>IF($A708&gt;('1-Input'!$B$26-2),Z708,Z708-MIN(MAX(Z708,0),'P-Parametri'!$B$8*(Z708+Y708)))</f>
        <v>71319.116253335102</v>
      </c>
      <c r="AC708" s="18">
        <f>IF($A708&gt;('1-Input'!$B$26-2),AC707,AC707-X708*(1-W708))</f>
        <v>21303.583363097459</v>
      </c>
      <c r="AD708" s="11">
        <f>IF($A708&gt;('1-Input'!$B$26-2),0,IF(AI707&lt;=0,0,MAX(0,(AI707-AJ707)/AI707)))</f>
        <v>0.69294620246730343</v>
      </c>
      <c r="AE708" s="18">
        <f>IF($A708&gt;('1-Input'!$B$26-2),0,(MAX(0,AD671-IF($A708&gt;='1-Input'!$C$12,'1-Input'!$B$12,0))-MIN(MAX(AH707,0),MAX(0,AD671-IF($A708&gt;='1-Input'!$C$12,'1-Input'!$B$12,0))))*(1/(1-'P-Parametri'!$B$6*AD708))+MIN(MAX(0,AI707-(MAX(0,AD671-IF($A708&gt;='1-Input'!$C$12,'1-Input'!$B$12,0))-MIN(MAX(AH707,0),MAX(0,AD671-IF($A708&gt;='1-Input'!$C$12,'1-Input'!$B$12,0))))*(1/(1-'P-Parametri'!$B$6*AD708))),MAX(0,0*AD671-(AH707-MIN(MAX(AH707,0),MAX(0,AD671-IF($A708&gt;='1-Input'!$C$12,'1-Input'!$B$12,0)))))*(1/(1-'P-Parametri'!$B$6*AD708))))</f>
        <v>9687.0211093757061</v>
      </c>
      <c r="AF708" s="18">
        <f>IF($A708&gt;('1-Input'!$B$26-2),AH707,(AH707-MAX(0,AD671-IF($A708&gt;='1-Input'!$C$12,'1-Input'!$B$12,0))+AE708*(1-'P-Parametri'!$B$6*AD708))*(1+'1-Input'!$B$27))</f>
        <v>0</v>
      </c>
      <c r="AG708" s="18">
        <f>IF($A708&gt;('1-Input'!$B$26-2),AI707,(AI707-AE708)*(1+'5-Roberta'!$C$4))</f>
        <v>71421.143961627793</v>
      </c>
      <c r="AH708" s="18">
        <f>IF($A708&gt;('1-Input'!$B$26-2),AF708,AF708-'P-Parametri'!$B$8*(AG708+AF708)+MIN(MAX(AG708,0),'P-Parametri'!$B$8*(AG708+AF708)))</f>
        <v>0</v>
      </c>
      <c r="AI708" s="18">
        <f>IF($A708&gt;('1-Input'!$B$26-2),AG708,AG708-MIN(MAX(AG708,0),'P-Parametri'!$B$8*(AG708+AF708)))</f>
        <v>71278.30167370454</v>
      </c>
      <c r="AJ708" s="18">
        <f>IF($A708&gt;('1-Input'!$B$26-2),AJ707,AJ707-AE708*(1-AD708))</f>
        <v>21291.39172577401</v>
      </c>
      <c r="AK708" s="11">
        <f>IF($A708&gt;('1-Input'!$B$26-2),0,IF(AP707&lt;=0,0,MAX(0,(AP707-AQ707)/AP707)))</f>
        <v>0.69294620246730332</v>
      </c>
      <c r="AL708" s="18">
        <f>IF($A708&gt;('1-Input'!$B$26-2),0,(MAX(0,AK671-IF($A708&gt;='1-Input'!$C$12,'1-Input'!$B$12,0))-MIN(MAX(AO707,0),MAX(0,AK671-IF($A708&gt;='1-Input'!$C$12,'1-Input'!$B$12,0))))*(1/(1-'P-Parametri'!$B$6*AK708))+MIN(MAX(0,AP707-(MAX(0,AK671-IF($A708&gt;='1-Input'!$C$12,'1-Input'!$B$12,0))-MIN(MAX(AO707,0),MAX(0,AK671-IF($A708&gt;='1-Input'!$C$12,'1-Input'!$B$12,0))))*(1/(1-'P-Parametri'!$B$6*AK708))),MAX(0,0*AK671-(AO707-MIN(MAX(AO707,0),MAX(0,AK671-IF($A708&gt;='1-Input'!$C$12,'1-Input'!$B$12,0)))))*(1/(1-'P-Parametri'!$B$6*AK708))))</f>
        <v>9686.894697647178</v>
      </c>
      <c r="AM708" s="18">
        <f>IF($A708&gt;('1-Input'!$B$26-2),AO707,(AO707-MAX(0,AK671-IF($A708&gt;='1-Input'!$C$12,'1-Input'!$B$12,0))+AL708*(1-'P-Parametri'!$B$6*AK708))*(1+'1-Input'!$B$27))</f>
        <v>-9.0622052084654565E-13</v>
      </c>
      <c r="AN708" s="18">
        <f>IF($A708&gt;('1-Input'!$B$26-2),AP707,(AP707-AL708)*(1+'5-Roberta'!$C$4))</f>
        <v>71428.183363036936</v>
      </c>
      <c r="AO708" s="18">
        <f>IF($A708&gt;('1-Input'!$B$26-2),AM708,AM708-'P-Parametri'!$B$8*(AN708+AM708)+MIN(MAX(AN708,0),'P-Parametri'!$B$8*(AN708+AM708)))</f>
        <v>-9.0949470177292824E-13</v>
      </c>
      <c r="AP708" s="18">
        <f>IF($A708&gt;('1-Input'!$B$26-2),AN708,AN708-MIN(MAX(AN708,0),'P-Parametri'!$B$8*(AN708+AM708)))</f>
        <v>71285.326996310861</v>
      </c>
      <c r="AQ708" s="18">
        <f>IF($A708&gt;('1-Input'!$B$26-2),AQ707,AQ707-AL708*(1-AK708))</f>
        <v>21293.490245128429</v>
      </c>
    </row>
    <row r="709" spans="1:43">
      <c r="A709" s="10">
        <f>36</f>
        <v>36</v>
      </c>
      <c r="B709" s="11">
        <f>IF($A709&gt;('1-Input'!$B$26-2),0,IF(G708&lt;=0,0,MAX(0,(G708-H708)/G708)))</f>
        <v>0.70129210116086871</v>
      </c>
      <c r="C709" s="18">
        <f>IF($A709&gt;('1-Input'!$B$26-2),0,(MAX(0,B671-IF($A709&gt;='1-Input'!$C$12,'1-Input'!$B$12,0))-MIN(MAX(F708,0),MAX(0,B671-IF($A709&gt;='1-Input'!$C$12,'1-Input'!$B$12,0))))*(1/(1-'P-Parametri'!$B$6*B709))+MIN(MAX(0,G708-(MAX(0,B671-IF($A709&gt;='1-Input'!$C$12,'1-Input'!$B$12,0))-MIN(MAX(F708,0),MAX(0,B671-IF($A709&gt;='1-Input'!$C$12,'1-Input'!$B$12,0))))*(1/(1-'P-Parametri'!$B$6*B709))),MAX(0,0*B671-(F708-MIN(MAX(F708,0),MAX(0,B671-IF($A709&gt;='1-Input'!$C$12,'1-Input'!$B$12,0)))))*(1/(1-'P-Parametri'!$B$6*B709))))</f>
        <v>6823.1632409331896</v>
      </c>
      <c r="D709" s="18">
        <f>IF($A709&gt;('1-Input'!$B$26-2),F708,(F708-MAX(0,B671-IF($A709&gt;='1-Input'!$C$12,'1-Input'!$B$12,0))+C709*(1-'P-Parametri'!$B$6*B709))*(1+'1-Input'!$B$27))</f>
        <v>9.0622052084654565E-13</v>
      </c>
      <c r="E709" s="18">
        <f>IF($A709&gt;('1-Input'!$B$26-2),G708,(G708-C709)*(1+'5-Roberta'!$C$4))</f>
        <v>231356.01225721309</v>
      </c>
      <c r="F709" s="18">
        <f>IF($A709&gt;('1-Input'!$B$26-2),D709,D709-'P-Parametri'!$B$8*(E709+D709)+MIN(MAX(E709,0),'P-Parametri'!$B$8*(E709+D709)))</f>
        <v>9.0949470177292824E-13</v>
      </c>
      <c r="G709" s="18">
        <f>IF($A709&gt;('1-Input'!$B$26-2),E709,E709-MIN(MAX(E709,0),'P-Parametri'!$B$8*(E709+D709)))</f>
        <v>230893.30023269868</v>
      </c>
      <c r="H709" s="18">
        <f>IF($A709&gt;('1-Input'!$B$26-2),H708,H708-C709*(1-B709))</f>
        <v>67095.017771992658</v>
      </c>
      <c r="I709" s="11">
        <f>IF($A709&gt;('1-Input'!$B$26-2),0,IF(N708&lt;=0,0,MAX(0,(N708-O708)/N708)))</f>
        <v>0</v>
      </c>
      <c r="J709" s="18">
        <f>IF($A709&gt;('1-Input'!$B$26-2),0,(MAX(0,I671-IF($A709&gt;='1-Input'!$C$12,'1-Input'!$B$12,0))-MIN(MAX(M708,0),MAX(0,I671-IF($A709&gt;='1-Input'!$C$12,'1-Input'!$B$12,0))))*(1/(1-'P-Parametri'!$B$6*I709))+MIN(MAX(0,N708-(MAX(0,I671-IF($A709&gt;='1-Input'!$C$12,'1-Input'!$B$12,0))-MIN(MAX(M708,0),MAX(0,I671-IF($A709&gt;='1-Input'!$C$12,'1-Input'!$B$12,0))))*(1/(1-'P-Parametri'!$B$6*I709))),MAX(0,0*I671-(M708-MIN(MAX(M708,0),MAX(0,I671-IF($A709&gt;='1-Input'!$C$12,'1-Input'!$B$12,0)))))*(1/(1-'P-Parametri'!$B$6*I709))))</f>
        <v>10846.756992928691</v>
      </c>
      <c r="K709" s="18">
        <f>IF($A709&gt;('1-Input'!$B$26-2),M708,(M708-MAX(0,I671-IF($A709&gt;='1-Input'!$C$12,'1-Input'!$B$12,0))+J709*(1-'P-Parametri'!$B$6*I709))*(1+'1-Input'!$B$27))</f>
        <v>0</v>
      </c>
      <c r="L709" s="18">
        <f>IF($A709&gt;('1-Input'!$B$26-2),N708,(N708-J709)*(1+'5-Roberta'!$C$4))</f>
        <v>-119588.67722293502</v>
      </c>
      <c r="M709" s="18">
        <f>IF($A709&gt;('1-Input'!$B$26-2),K709,K709-'P-Parametri'!$B$8*(L709+K709)+MIN(MAX(L709,0),'P-Parametri'!$B$8*(L709+K709)))</f>
        <v>0</v>
      </c>
      <c r="N709" s="18">
        <f>IF($A709&gt;('1-Input'!$B$26-2),L709,L709-MIN(MAX(L709,0),'P-Parametri'!$B$8*(L709+K709)))</f>
        <v>-119349.49986848915</v>
      </c>
      <c r="O709" s="18">
        <f>IF($A709&gt;('1-Input'!$B$26-2),O708,O708-J709*(1-I709))</f>
        <v>-99661.78640148358</v>
      </c>
      <c r="P709" s="11">
        <f>IF($A709&gt;('1-Input'!$B$26-2),0,IF(U708&lt;=0,0,MAX(0,(U708-V708)/U708)))</f>
        <v>0.70129210116086882</v>
      </c>
      <c r="Q709" s="18">
        <f>IF($A709&gt;('1-Input'!$B$26-2),0,(MAX(0,P671-IF($A709&gt;='1-Input'!$C$12,'1-Input'!$B$12,0))-MIN(MAX(T708,0),MAX(0,P671-IF($A709&gt;='1-Input'!$C$12,'1-Input'!$B$12,0))))*(1/(1-'P-Parametri'!$B$6*P709))+MIN(MAX(0,U708-(MAX(0,P671-IF($A709&gt;='1-Input'!$C$12,'1-Input'!$B$12,0))-MIN(MAX(T708,0),MAX(0,P671-IF($A709&gt;='1-Input'!$C$12,'1-Input'!$B$12,0))))*(1/(1-'P-Parametri'!$B$6*P709))),MAX(0,0*P671-(T708-MIN(MAX(T708,0),MAX(0,P671-IF($A709&gt;='1-Input'!$C$12,'1-Input'!$B$12,0)))))*(1/(1-'P-Parametri'!$B$6*P709))))</f>
        <v>10019.245854480518</v>
      </c>
      <c r="R709" s="18">
        <f>IF($A709&gt;('1-Input'!$B$26-2),T708,(T708-MAX(0,P671-IF($A709&gt;='1-Input'!$C$12,'1-Input'!$B$12,0))+Q709*(1-'P-Parametri'!$B$6*P709))*(1+'1-Input'!$B$27))</f>
        <v>0</v>
      </c>
      <c r="S709" s="18">
        <f>IF($A709&gt;('1-Input'!$B$26-2),U708,(U708-Q709)*(1+'5-Roberta'!$C$4))</f>
        <v>45597.56024503622</v>
      </c>
      <c r="T709" s="18">
        <f>IF($A709&gt;('1-Input'!$B$26-2),R709,R709-'P-Parametri'!$B$8*(S709+R709)+MIN(MAX(S709,0),'P-Parametri'!$B$8*(S709+R709)))</f>
        <v>0</v>
      </c>
      <c r="U709" s="18">
        <f>IF($A709&gt;('1-Input'!$B$26-2),S709,S709-MIN(MAX(S709,0),'P-Parametri'!$B$8*(S709+R709)))</f>
        <v>45506.365124546151</v>
      </c>
      <c r="V709" s="18">
        <f>IF($A709&gt;('1-Input'!$B$26-2),V708,V708-Q709*(1-P709))</f>
        <v>13223.642148529581</v>
      </c>
      <c r="W709" s="11">
        <f>IF($A709&gt;('1-Input'!$B$26-2),0,IF(AB708&lt;=0,0,MAX(0,(AB708-AC708)/AB708)))</f>
        <v>0.70129210116086882</v>
      </c>
      <c r="X709" s="18">
        <f>IF($A709&gt;('1-Input'!$B$26-2),0,(MAX(0,W671-IF($A709&gt;='1-Input'!$C$12,'1-Input'!$B$12,0))-MIN(MAX(AA708,0),MAX(0,W671-IF($A709&gt;='1-Input'!$C$12,'1-Input'!$B$12,0))))*(1/(1-'P-Parametri'!$B$6*W709))+MIN(MAX(0,AB708-(MAX(0,W671-IF($A709&gt;='1-Input'!$C$12,'1-Input'!$B$12,0))-MIN(MAX(AA708,0),MAX(0,W671-IF($A709&gt;='1-Input'!$C$12,'1-Input'!$B$12,0))))*(1/(1-'P-Parametri'!$B$6*W709))),MAX(0,0*W671-(AA708-MIN(MAX(AA708,0),MAX(0,W671-IF($A709&gt;='1-Input'!$C$12,'1-Input'!$B$12,0)))))*(1/(1-'P-Parametri'!$B$6*W709))))</f>
        <v>9711.9923696282967</v>
      </c>
      <c r="Y709" s="18">
        <f>IF($A709&gt;('1-Input'!$B$26-2),AA708,(AA708-MAX(0,W671-IF($A709&gt;='1-Input'!$C$12,'1-Input'!$B$12,0))+X709*(1-'P-Parametri'!$B$6*W709))*(1+'1-Input'!$B$27))</f>
        <v>9.0622052084654565E-13</v>
      </c>
      <c r="Z709" s="18">
        <f>IF($A709&gt;('1-Input'!$B$26-2),AB708,(AB708-X709)*(1+'5-Roberta'!$C$4))</f>
        <v>63455.337600218016</v>
      </c>
      <c r="AA709" s="18">
        <f>IF($A709&gt;('1-Input'!$B$26-2),Y709,Y709-'P-Parametri'!$B$8*(Z709+Y709)+MIN(MAX(Z709,0),'P-Parametri'!$B$8*(Z709+Y709)))</f>
        <v>9.0949470177292824E-13</v>
      </c>
      <c r="AB709" s="18">
        <f>IF($A709&gt;('1-Input'!$B$26-2),Z709,Z709-MIN(MAX(Z709,0),'P-Parametri'!$B$8*(Z709+Y709)))</f>
        <v>63328.426925017578</v>
      </c>
      <c r="AC709" s="18">
        <f>IF($A709&gt;('1-Input'!$B$26-2),AC708,AC708-X709*(1-W709))</f>
        <v>18402.534528824115</v>
      </c>
      <c r="AD709" s="11">
        <f>IF($A709&gt;('1-Input'!$B$26-2),0,IF(AI708&lt;=0,0,MAX(0,(AI708-AJ708)/AI708)))</f>
        <v>0.70129210116086882</v>
      </c>
      <c r="AE709" s="18">
        <f>IF($A709&gt;('1-Input'!$B$26-2),0,(MAX(0,AD671-IF($A709&gt;='1-Input'!$C$12,'1-Input'!$B$12,0))-MIN(MAX(AH708,0),MAX(0,AD671-IF($A709&gt;='1-Input'!$C$12,'1-Input'!$B$12,0))))*(1/(1-'P-Parametri'!$B$6*AD709))+MIN(MAX(0,AI708-(MAX(0,AD671-IF($A709&gt;='1-Input'!$C$12,'1-Input'!$B$12,0))-MIN(MAX(AH708,0),MAX(0,AD671-IF($A709&gt;='1-Input'!$C$12,'1-Input'!$B$12,0))))*(1/(1-'P-Parametri'!$B$6*AD709))),MAX(0,0*AD671-(AH708-MIN(MAX(AH708,0),MAX(0,AD671-IF($A709&gt;='1-Input'!$C$12,'1-Input'!$B$12,0)))))*(1/(1-'P-Parametri'!$B$6*AD709))))</f>
        <v>9712.7287249648507</v>
      </c>
      <c r="AF709" s="18">
        <f>IF($A709&gt;('1-Input'!$B$26-2),AH708,(AH708-MAX(0,AD671-IF($A709&gt;='1-Input'!$C$12,'1-Input'!$B$12,0))+AE709*(1-'P-Parametri'!$B$6*AD709))*(1+'1-Input'!$B$27))</f>
        <v>9.0622052084654565E-13</v>
      </c>
      <c r="AG709" s="18">
        <f>IF($A709&gt;('1-Input'!$B$26-2),AI708,(AI708-AE709)*(1+'5-Roberta'!$C$4))</f>
        <v>63412.540137201882</v>
      </c>
      <c r="AH709" s="18">
        <f>IF($A709&gt;('1-Input'!$B$26-2),AF709,AF709-'P-Parametri'!$B$8*(AG709+AF709)+MIN(MAX(AG709,0),'P-Parametri'!$B$8*(AG709+AF709)))</f>
        <v>9.0949470177292824E-13</v>
      </c>
      <c r="AI709" s="18">
        <f>IF($A709&gt;('1-Input'!$B$26-2),AG709,AG709-MIN(MAX(AG709,0),'P-Parametri'!$B$8*(AG709+AF709)))</f>
        <v>63285.715056927482</v>
      </c>
      <c r="AJ709" s="18">
        <f>IF($A709&gt;('1-Input'!$B$26-2),AJ708,AJ708-AE709*(1-AD709))</f>
        <v>18390.122936345288</v>
      </c>
      <c r="AK709" s="11">
        <f>IF($A709&gt;('1-Input'!$B$26-2),0,IF(AP708&lt;=0,0,MAX(0,(AP708-AQ708)/AP708)))</f>
        <v>0.7012921011608686</v>
      </c>
      <c r="AL709" s="18">
        <f>IF($A709&gt;('1-Input'!$B$26-2),0,(MAX(0,AK671-IF($A709&gt;='1-Input'!$C$12,'1-Input'!$B$12,0))-MIN(MAX(AO708,0),MAX(0,AK671-IF($A709&gt;='1-Input'!$C$12,'1-Input'!$B$12,0))))*(1/(1-'P-Parametri'!$B$6*AK709))+MIN(MAX(0,AP708-(MAX(0,AK671-IF($A709&gt;='1-Input'!$C$12,'1-Input'!$B$12,0))-MIN(MAX(AO708,0),MAX(0,AK671-IF($A709&gt;='1-Input'!$C$12,'1-Input'!$B$12,0))))*(1/(1-'P-Parametri'!$B$6*AK709))),MAX(0,0*AK671-(AO708-MIN(MAX(AO708,0),MAX(0,AK671-IF($A709&gt;='1-Input'!$C$12,'1-Input'!$B$12,0)))))*(1/(1-'P-Parametri'!$B$6*AK709))))</f>
        <v>9712.6019777622823</v>
      </c>
      <c r="AM709" s="18">
        <f>IF($A709&gt;('1-Input'!$B$26-2),AO708,(AO708-MAX(0,AK671-IF($A709&gt;='1-Input'!$C$12,'1-Input'!$B$12,0))+AL709*(1-'P-Parametri'!$B$6*AK709))*(1+'1-Input'!$B$27))</f>
        <v>9.0622052084654565E-13</v>
      </c>
      <c r="AN709" s="18">
        <f>IF($A709&gt;('1-Input'!$B$26-2),AP708,(AP708-AL709)*(1+'5-Roberta'!$C$4))</f>
        <v>63419.906769105037</v>
      </c>
      <c r="AO709" s="18">
        <f>IF($A709&gt;('1-Input'!$B$26-2),AM709,AM709-'P-Parametri'!$B$8*(AN709+AM709)+MIN(MAX(AN709,0),'P-Parametri'!$B$8*(AN709+AM709)))</f>
        <v>9.0949470177292824E-13</v>
      </c>
      <c r="AP709" s="18">
        <f>IF($A709&gt;('1-Input'!$B$26-2),AN709,AN709-MIN(MAX(AN709,0),'P-Parametri'!$B$8*(AN709+AM709)))</f>
        <v>63293.066955566828</v>
      </c>
      <c r="AQ709" s="18">
        <f>IF($A709&gt;('1-Input'!$B$26-2),AQ708,AQ708-AL709*(1-AK709))</f>
        <v>18392.259316090265</v>
      </c>
    </row>
    <row r="710" spans="1:43">
      <c r="A710" s="10">
        <f>37</f>
        <v>37</v>
      </c>
      <c r="B710" s="11">
        <f>IF($A710&gt;('1-Input'!$B$26-2),0,IF(G709&lt;=0,0,MAX(0,(G709-H709)/G709)))</f>
        <v>0.70941115353120676</v>
      </c>
      <c r="C710" s="18">
        <f>IF($A710&gt;('1-Input'!$B$26-2),0,(MAX(0,B671-IF($A710&gt;='1-Input'!$C$12,'1-Input'!$B$12,0))-MIN(MAX(F709,0),MAX(0,B671-IF($A710&gt;='1-Input'!$C$12,'1-Input'!$B$12,0))))*(1/(1-'P-Parametri'!$B$6*B710))+MIN(MAX(0,G709-(MAX(0,B671-IF($A710&gt;='1-Input'!$C$12,'1-Input'!$B$12,0))-MIN(MAX(F709,0),MAX(0,B671-IF($A710&gt;='1-Input'!$C$12,'1-Input'!$B$12,0))))*(1/(1-'P-Parametri'!$B$6*B710))),MAX(0,0*B671-(F709-MIN(MAX(F709,0),MAX(0,B671-IF($A710&gt;='1-Input'!$C$12,'1-Input'!$B$12,0)))))*(1/(1-'P-Parametri'!$B$6*B710))))</f>
        <v>6840.8241156408239</v>
      </c>
      <c r="D710" s="18">
        <f>IF($A710&gt;('1-Input'!$B$26-2),F709,(F709-MAX(0,B671-IF($A710&gt;='1-Input'!$C$12,'1-Input'!$B$12,0))+C710*(1-'P-Parametri'!$B$6*B710))*(1+'1-Input'!$B$27))</f>
        <v>0</v>
      </c>
      <c r="E710" s="18">
        <f>IF($A710&gt;('1-Input'!$B$26-2),G709,(G709-C710)*(1+'5-Roberta'!$C$4))</f>
        <v>230774.05040056957</v>
      </c>
      <c r="F710" s="18">
        <f>IF($A710&gt;('1-Input'!$B$26-2),D710,D710-'P-Parametri'!$B$8*(E710+D710)+MIN(MAX(E710,0),'P-Parametri'!$B$8*(E710+D710)))</f>
        <v>0</v>
      </c>
      <c r="G710" s="18">
        <f>IF($A710&gt;('1-Input'!$B$26-2),E710,E710-MIN(MAX(E710,0),'P-Parametri'!$B$8*(E710+D710)))</f>
        <v>230312.50229976844</v>
      </c>
      <c r="H710" s="18">
        <f>IF($A710&gt;('1-Input'!$B$26-2),H709,H709-C710*(1-B710))</f>
        <v>65107.150583332688</v>
      </c>
      <c r="I710" s="11">
        <f>IF($A710&gt;('1-Input'!$B$26-2),0,IF(N709&lt;=0,0,MAX(0,(N709-O709)/N709)))</f>
        <v>0</v>
      </c>
      <c r="J710" s="18">
        <f>IF($A710&gt;('1-Input'!$B$26-2),0,(MAX(0,I671-IF($A710&gt;='1-Input'!$C$12,'1-Input'!$B$12,0))-MIN(MAX(M709,0),MAX(0,I671-IF($A710&gt;='1-Input'!$C$12,'1-Input'!$B$12,0))))*(1/(1-'P-Parametri'!$B$6*I710))+MIN(MAX(0,N709-(MAX(0,I671-IF($A710&gt;='1-Input'!$C$12,'1-Input'!$B$12,0))-MIN(MAX(M709,0),MAX(0,I671-IF($A710&gt;='1-Input'!$C$12,'1-Input'!$B$12,0))))*(1/(1-'P-Parametri'!$B$6*I710))),MAX(0,0*I671-(M709-MIN(MAX(M709,0),MAX(0,I671-IF($A710&gt;='1-Input'!$C$12,'1-Input'!$B$12,0)))))*(1/(1-'P-Parametri'!$B$6*I710))))</f>
        <v>10846.756992928691</v>
      </c>
      <c r="K710" s="18">
        <f>IF($A710&gt;('1-Input'!$B$26-2),M709,(M709-MAX(0,I671-IF($A710&gt;='1-Input'!$C$12,'1-Input'!$B$12,0))+J710*(1-'P-Parametri'!$B$6*I710))*(1+'1-Input'!$B$27))</f>
        <v>0</v>
      </c>
      <c r="L710" s="18">
        <f>IF($A710&gt;('1-Input'!$B$26-2),N709,(N709-J710)*(1+'5-Roberta'!$C$4))</f>
        <v>-134102.14456726037</v>
      </c>
      <c r="M710" s="18">
        <f>IF($A710&gt;('1-Input'!$B$26-2),K710,K710-'P-Parametri'!$B$8*(L710+K710)+MIN(MAX(L710,0),'P-Parametri'!$B$8*(L710+K710)))</f>
        <v>0</v>
      </c>
      <c r="N710" s="18">
        <f>IF($A710&gt;('1-Input'!$B$26-2),L710,L710-MIN(MAX(L710,0),'P-Parametri'!$B$8*(L710+K710)))</f>
        <v>-133833.94027812584</v>
      </c>
      <c r="O710" s="18">
        <f>IF($A710&gt;('1-Input'!$B$26-2),O709,O709-J710*(1-I710))</f>
        <v>-110508.54339441226</v>
      </c>
      <c r="P710" s="11">
        <f>IF($A710&gt;('1-Input'!$B$26-2),0,IF(U709&lt;=0,0,MAX(0,(U709-V709)/U709)))</f>
        <v>0.70941115353120698</v>
      </c>
      <c r="Q710" s="18">
        <f>IF($A710&gt;('1-Input'!$B$26-2),0,(MAX(0,P671-IF($A710&gt;='1-Input'!$C$12,'1-Input'!$B$12,0))-MIN(MAX(T709,0),MAX(0,P671-IF($A710&gt;='1-Input'!$C$12,'1-Input'!$B$12,0))))*(1/(1-'P-Parametri'!$B$6*P710))+MIN(MAX(0,U709-(MAX(0,P671-IF($A710&gt;='1-Input'!$C$12,'1-Input'!$B$12,0))-MIN(MAX(T709,0),MAX(0,P671-IF($A710&gt;='1-Input'!$C$12,'1-Input'!$B$12,0))))*(1/(1-'P-Parametri'!$B$6*P710))),MAX(0,0*P671-(T709-MIN(MAX(T709,0),MAX(0,P671-IF($A710&gt;='1-Input'!$C$12,'1-Input'!$B$12,0)))))*(1/(1-'P-Parametri'!$B$6*P710))))</f>
        <v>10045.179375261529</v>
      </c>
      <c r="R710" s="18">
        <f>IF($A710&gt;('1-Input'!$B$26-2),T709,(T709-MAX(0,P671-IF($A710&gt;='1-Input'!$C$12,'1-Input'!$B$12,0))+Q710*(1-'P-Parametri'!$B$6*P710))*(1+'1-Input'!$B$27))</f>
        <v>0</v>
      </c>
      <c r="S710" s="18">
        <f>IF($A710&gt;('1-Input'!$B$26-2),U709,(U709-Q710)*(1+'5-Roberta'!$C$4))</f>
        <v>36525.021321763168</v>
      </c>
      <c r="T710" s="18">
        <f>IF($A710&gt;('1-Input'!$B$26-2),R710,R710-'P-Parametri'!$B$8*(S710+R710)+MIN(MAX(S710,0),'P-Parametri'!$B$8*(S710+R710)))</f>
        <v>0</v>
      </c>
      <c r="U710" s="18">
        <f>IF($A710&gt;('1-Input'!$B$26-2),S710,S710-MIN(MAX(S710,0),'P-Parametri'!$B$8*(S710+R710)))</f>
        <v>36451.971279119643</v>
      </c>
      <c r="V710" s="18">
        <f>IF($A710&gt;('1-Input'!$B$26-2),V709,V709-Q710*(1-P710))</f>
        <v>10304.625061300223</v>
      </c>
      <c r="W710" s="11">
        <f>IF($A710&gt;('1-Input'!$B$26-2),0,IF(AB709&lt;=0,0,MAX(0,(AB709-AC709)/AB709)))</f>
        <v>0.70941115353120687</v>
      </c>
      <c r="X710" s="18">
        <f>IF($A710&gt;('1-Input'!$B$26-2),0,(MAX(0,W671-IF($A710&gt;='1-Input'!$C$12,'1-Input'!$B$12,0))-MIN(MAX(AA709,0),MAX(0,W671-IF($A710&gt;='1-Input'!$C$12,'1-Input'!$B$12,0))))*(1/(1-'P-Parametri'!$B$6*W710))+MIN(MAX(0,AB709-(MAX(0,W671-IF($A710&gt;='1-Input'!$C$12,'1-Input'!$B$12,0))-MIN(MAX(AA709,0),MAX(0,W671-IF($A710&gt;='1-Input'!$C$12,'1-Input'!$B$12,0))))*(1/(1-'P-Parametri'!$B$6*W710))),MAX(0,0*W671-(AA709-MIN(MAX(AA709,0),MAX(0,W671-IF($A710&gt;='1-Input'!$C$12,'1-Input'!$B$12,0)))))*(1/(1-'P-Parametri'!$B$6*W710))))</f>
        <v>9737.1306045414694</v>
      </c>
      <c r="Y710" s="18">
        <f>IF($A710&gt;('1-Input'!$B$26-2),AA709,(AA709-MAX(0,W671-IF($A710&gt;='1-Input'!$C$12,'1-Input'!$B$12,0))+X710*(1-'P-Parametri'!$B$6*W710))*(1+'1-Input'!$B$27))</f>
        <v>-9.0622052084654565E-13</v>
      </c>
      <c r="Z710" s="18">
        <f>IF($A710&gt;('1-Input'!$B$26-2),AB709,(AB709-X710)*(1+'5-Roberta'!$C$4))</f>
        <v>55199.035210090398</v>
      </c>
      <c r="AA710" s="18">
        <f>IF($A710&gt;('1-Input'!$B$26-2),Y710,Y710-'P-Parametri'!$B$8*(Z710+Y710)+MIN(MAX(Z710,0),'P-Parametri'!$B$8*(Z710+Y710)))</f>
        <v>-9.0949470177292824E-13</v>
      </c>
      <c r="AB710" s="18">
        <f>IF($A710&gt;('1-Input'!$B$26-2),Z710,Z710-MIN(MAX(Z710,0),'P-Parametri'!$B$8*(Z710+Y710)))</f>
        <v>55088.637139670216</v>
      </c>
      <c r="AC710" s="18">
        <f>IF($A710&gt;('1-Input'!$B$26-2),AC709,AC709-X710*(1-W710))</f>
        <v>15573.032978534427</v>
      </c>
      <c r="AD710" s="11">
        <f>IF($A710&gt;('1-Input'!$B$26-2),0,IF(AI709&lt;=0,0,MAX(0,(AI709-AJ709)/AI709)))</f>
        <v>0.70941115353120687</v>
      </c>
      <c r="AE710" s="18">
        <f>IF($A710&gt;('1-Input'!$B$26-2),0,(MAX(0,AD671-IF($A710&gt;='1-Input'!$C$12,'1-Input'!$B$12,0))-MIN(MAX(AH709,0),MAX(0,AD671-IF($A710&gt;='1-Input'!$C$12,'1-Input'!$B$12,0))))*(1/(1-'P-Parametri'!$B$6*AD710))+MIN(MAX(0,AI709-(MAX(0,AD671-IF($A710&gt;='1-Input'!$C$12,'1-Input'!$B$12,0))-MIN(MAX(AH709,0),MAX(0,AD671-IF($A710&gt;='1-Input'!$C$12,'1-Input'!$B$12,0))))*(1/(1-'P-Parametri'!$B$6*AD710))),MAX(0,0*AD671-(AH709-MIN(MAX(AH709,0),MAX(0,AD671-IF($A710&gt;='1-Input'!$C$12,'1-Input'!$B$12,0)))))*(1/(1-'P-Parametri'!$B$6*AD710))))</f>
        <v>9737.8688658384817</v>
      </c>
      <c r="AF710" s="18">
        <f>IF($A710&gt;('1-Input'!$B$26-2),AH709,(AH709-MAX(0,AD671-IF($A710&gt;='1-Input'!$C$12,'1-Input'!$B$12,0))+AE710*(1-'P-Parametri'!$B$6*AD710))*(1+'1-Input'!$B$27))</f>
        <v>-9.0622052084654565E-13</v>
      </c>
      <c r="AG710" s="18">
        <f>IF($A710&gt;('1-Input'!$B$26-2),AI709,(AI709-AE710)*(1+'5-Roberta'!$C$4))</f>
        <v>55154.281576821675</v>
      </c>
      <c r="AH710" s="18">
        <f>IF($A710&gt;('1-Input'!$B$26-2),AF710,AF710-'P-Parametri'!$B$8*(AG710+AF710)+MIN(MAX(AG710,0),'P-Parametri'!$B$8*(AG710+AF710)))</f>
        <v>-9.0949470177292824E-13</v>
      </c>
      <c r="AI710" s="18">
        <f>IF($A710&gt;('1-Input'!$B$26-2),AG710,AG710-MIN(MAX(AG710,0),'P-Parametri'!$B$8*(AG710+AF710)))</f>
        <v>55043.97301366803</v>
      </c>
      <c r="AJ710" s="18">
        <f>IF($A710&gt;('1-Input'!$B$26-2),AJ709,AJ709-AE710*(1-AD710))</f>
        <v>15560.406855556908</v>
      </c>
      <c r="AK710" s="11">
        <f>IF($A710&gt;('1-Input'!$B$26-2),0,IF(AP709&lt;=0,0,MAX(0,(AP709-AQ709)/AP709)))</f>
        <v>0.70941115353120676</v>
      </c>
      <c r="AL710" s="18">
        <f>IF($A710&gt;('1-Input'!$B$26-2),0,(MAX(0,AK671-IF($A710&gt;='1-Input'!$C$12,'1-Input'!$B$12,0))-MIN(MAX(AO709,0),MAX(0,AK671-IF($A710&gt;='1-Input'!$C$12,'1-Input'!$B$12,0))))*(1/(1-'P-Parametri'!$B$6*AK710))+MIN(MAX(0,AP709-(MAX(0,AK671-IF($A710&gt;='1-Input'!$C$12,'1-Input'!$B$12,0))-MIN(MAX(AO709,0),MAX(0,AK671-IF($A710&gt;='1-Input'!$C$12,'1-Input'!$B$12,0))))*(1/(1-'P-Parametri'!$B$6*AK710))),MAX(0,0*AK671-(AO709-MIN(MAX(AO709,0),MAX(0,AK671-IF($A710&gt;='1-Input'!$C$12,'1-Input'!$B$12,0)))))*(1/(1-'P-Parametri'!$B$6*AK710))))</f>
        <v>9737.7417905671882</v>
      </c>
      <c r="AM710" s="18">
        <f>IF($A710&gt;('1-Input'!$B$26-2),AO709,(AO709-MAX(0,AK671-IF($A710&gt;='1-Input'!$C$12,'1-Input'!$B$12,0))+AL710*(1-'P-Parametri'!$B$6*AK710))*(1+'1-Input'!$B$27))</f>
        <v>-9.0622052084654565E-13</v>
      </c>
      <c r="AN710" s="18">
        <f>IF($A710&gt;('1-Input'!$B$26-2),AP709,(AP709-AL710)*(1+'5-Roberta'!$C$4))</f>
        <v>55161.984919949631</v>
      </c>
      <c r="AO710" s="18">
        <f>IF($A710&gt;('1-Input'!$B$26-2),AM710,AM710-'P-Parametri'!$B$8*(AN710+AM710)+MIN(MAX(AN710,0),'P-Parametri'!$B$8*(AN710+AM710)))</f>
        <v>-9.0949470177292824E-13</v>
      </c>
      <c r="AP710" s="18">
        <f>IF($A710&gt;('1-Input'!$B$26-2),AN710,AN710-MIN(MAX(AN710,0),'P-Parametri'!$B$8*(AN710+AM710)))</f>
        <v>55051.660950109734</v>
      </c>
      <c r="AQ710" s="18">
        <f>IF($A710&gt;('1-Input'!$B$26-2),AQ709,AQ709-AL710*(1-AK710))</f>
        <v>15562.580161958385</v>
      </c>
    </row>
    <row r="711" spans="1:43">
      <c r="A711" s="10">
        <f>38</f>
        <v>38</v>
      </c>
      <c r="B711" s="11">
        <f>IF($A711&gt;('1-Input'!$B$26-2),0,IF(G710&lt;=0,0,MAX(0,(G710-H710)/G710)))</f>
        <v>0.71730952539176096</v>
      </c>
      <c r="C711" s="18">
        <f>IF($A711&gt;('1-Input'!$B$26-2),0,(MAX(0,B671-IF($A711&gt;='1-Input'!$C$12,'1-Input'!$B$12,0))-MIN(MAX(F710,0),MAX(0,B671-IF($A711&gt;='1-Input'!$C$12,'1-Input'!$B$12,0))))*(1/(1-'P-Parametri'!$B$6*B711))+MIN(MAX(0,G710-(MAX(0,B671-IF($A711&gt;='1-Input'!$C$12,'1-Input'!$B$12,0))-MIN(MAX(F710,0),MAX(0,B671-IF($A711&gt;='1-Input'!$C$12,'1-Input'!$B$12,0))))*(1/(1-'P-Parametri'!$B$6*B711))),MAX(0,0*B671-(F710-MIN(MAX(F710,0),MAX(0,B671-IF($A711&gt;='1-Input'!$C$12,'1-Input'!$B$12,0)))))*(1/(1-'P-Parametri'!$B$6*B711))))</f>
        <v>6858.0929111316846</v>
      </c>
      <c r="D711" s="18">
        <f>IF($A711&gt;('1-Input'!$B$26-2),F710,(F710-MAX(0,B671-IF($A711&gt;='1-Input'!$C$12,'1-Input'!$B$12,0))+C711*(1-'P-Parametri'!$B$6*B711))*(1+'1-Input'!$B$27))</f>
        <v>0</v>
      </c>
      <c r="E711" s="18">
        <f>IF($A711&gt;('1-Input'!$B$26-2),G710,(G710-C711)*(1+'5-Roberta'!$C$4))</f>
        <v>230158.04167029588</v>
      </c>
      <c r="F711" s="18">
        <f>IF($A711&gt;('1-Input'!$B$26-2),D711,D711-'P-Parametri'!$B$8*(E711+D711)+MIN(MAX(E711,0),'P-Parametri'!$B$8*(E711+D711)))</f>
        <v>0</v>
      </c>
      <c r="G711" s="18">
        <f>IF($A711&gt;('1-Input'!$B$26-2),E711,E711-MIN(MAX(E711,0),'P-Parametri'!$B$8*(E711+D711)))</f>
        <v>229697.72558695529</v>
      </c>
      <c r="H711" s="18">
        <f>IF($A711&gt;('1-Input'!$B$26-2),H710,H710-C711*(1-B711))</f>
        <v>63168.433043377474</v>
      </c>
      <c r="I711" s="11">
        <f>IF($A711&gt;('1-Input'!$B$26-2),0,IF(N710&lt;=0,0,MAX(0,(N710-O710)/N710)))</f>
        <v>0</v>
      </c>
      <c r="J711" s="18">
        <f>IF($A711&gt;('1-Input'!$B$26-2),0,(MAX(0,I671-IF($A711&gt;='1-Input'!$C$12,'1-Input'!$B$12,0))-MIN(MAX(M710,0),MAX(0,I671-IF($A711&gt;='1-Input'!$C$12,'1-Input'!$B$12,0))))*(1/(1-'P-Parametri'!$B$6*I711))+MIN(MAX(0,N710-(MAX(0,I671-IF($A711&gt;='1-Input'!$C$12,'1-Input'!$B$12,0))-MIN(MAX(M710,0),MAX(0,I671-IF($A711&gt;='1-Input'!$C$12,'1-Input'!$B$12,0))))*(1/(1-'P-Parametri'!$B$6*I711))),MAX(0,0*I671-(M710-MIN(MAX(M710,0),MAX(0,I671-IF($A711&gt;='1-Input'!$C$12,'1-Input'!$B$12,0)))))*(1/(1-'P-Parametri'!$B$6*I711))))</f>
        <v>10846.756992928691</v>
      </c>
      <c r="K711" s="18">
        <f>IF($A711&gt;('1-Input'!$B$26-2),M710,(M710-MAX(0,I671-IF($A711&gt;='1-Input'!$C$12,'1-Input'!$B$12,0))+J711*(1-'P-Parametri'!$B$6*I711))*(1+'1-Input'!$B$27))</f>
        <v>0</v>
      </c>
      <c r="L711" s="18">
        <f>IF($A711&gt;('1-Input'!$B$26-2),N710,(N710-J711)*(1+'5-Roberta'!$C$4))</f>
        <v>-149021.11818918615</v>
      </c>
      <c r="M711" s="18">
        <f>IF($A711&gt;('1-Input'!$B$26-2),K711,K711-'P-Parametri'!$B$8*(L711+K711)+MIN(MAX(L711,0),'P-Parametri'!$B$8*(L711+K711)))</f>
        <v>0</v>
      </c>
      <c r="N711" s="18">
        <f>IF($A711&gt;('1-Input'!$B$26-2),L711,L711-MIN(MAX(L711,0),'P-Parametri'!$B$8*(L711+K711)))</f>
        <v>-148723.07595280779</v>
      </c>
      <c r="O711" s="18">
        <f>IF($A711&gt;('1-Input'!$B$26-2),O710,O710-J711*(1-I711))</f>
        <v>-121355.30038734095</v>
      </c>
      <c r="P711" s="11">
        <f>IF($A711&gt;('1-Input'!$B$26-2),0,IF(U710&lt;=0,0,MAX(0,(U710-V710)/U710)))</f>
        <v>0.71730952539176118</v>
      </c>
      <c r="Q711" s="18">
        <f>IF($A711&gt;('1-Input'!$B$26-2),0,(MAX(0,P671-IF($A711&gt;='1-Input'!$C$12,'1-Input'!$B$12,0))-MIN(MAX(T710,0),MAX(0,P671-IF($A711&gt;='1-Input'!$C$12,'1-Input'!$B$12,0))))*(1/(1-'P-Parametri'!$B$6*P711))+MIN(MAX(0,U710-(MAX(0,P671-IF($A711&gt;='1-Input'!$C$12,'1-Input'!$B$12,0))-MIN(MAX(T710,0),MAX(0,P671-IF($A711&gt;='1-Input'!$C$12,'1-Input'!$B$12,0))))*(1/(1-'P-Parametri'!$B$6*P711))),MAX(0,0*P671-(T710-MIN(MAX(T710,0),MAX(0,P671-IF($A711&gt;='1-Input'!$C$12,'1-Input'!$B$12,0)))))*(1/(1-'P-Parametri'!$B$6*P711))))</f>
        <v>10070.537160430098</v>
      </c>
      <c r="R711" s="18">
        <f>IF($A711&gt;('1-Input'!$B$26-2),T710,(T710-MAX(0,P671-IF($A711&gt;='1-Input'!$C$12,'1-Input'!$B$12,0))+Q711*(1-'P-Parametri'!$B$6*P711))*(1+'1-Input'!$B$27))</f>
        <v>0</v>
      </c>
      <c r="S711" s="18">
        <f>IF($A711&gt;('1-Input'!$B$26-2),U710,(U710-Q711)*(1+'5-Roberta'!$C$4))</f>
        <v>27172.877142250236</v>
      </c>
      <c r="T711" s="18">
        <f>IF($A711&gt;('1-Input'!$B$26-2),R711,R711-'P-Parametri'!$B$8*(S711+R711)+MIN(MAX(S711,0),'P-Parametri'!$B$8*(S711+R711)))</f>
        <v>0</v>
      </c>
      <c r="U711" s="18">
        <f>IF($A711&gt;('1-Input'!$B$26-2),S711,S711-MIN(MAX(S711,0),'P-Parametri'!$B$8*(S711+R711)))</f>
        <v>27118.531387965737</v>
      </c>
      <c r="V711" s="18">
        <f>IF($A711&gt;('1-Input'!$B$26-2),V710,V710-Q711*(1-P711))</f>
        <v>7457.7801318583333</v>
      </c>
      <c r="W711" s="11">
        <f>IF($A711&gt;('1-Input'!$B$26-2),0,IF(AB710&lt;=0,0,MAX(0,(AB710-AC710)/AB710)))</f>
        <v>0.71730952539176107</v>
      </c>
      <c r="X711" s="18">
        <f>IF($A711&gt;('1-Input'!$B$26-2),0,(MAX(0,W671-IF($A711&gt;='1-Input'!$C$12,'1-Input'!$B$12,0))-MIN(MAX(AA710,0),MAX(0,W671-IF($A711&gt;='1-Input'!$C$12,'1-Input'!$B$12,0))))*(1/(1-'P-Parametri'!$B$6*W711))+MIN(MAX(0,AB710-(MAX(0,W671-IF($A711&gt;='1-Input'!$C$12,'1-Input'!$B$12,0))-MIN(MAX(AA710,0),MAX(0,W671-IF($A711&gt;='1-Input'!$C$12,'1-Input'!$B$12,0))))*(1/(1-'P-Parametri'!$B$6*W711))),MAX(0,0*W671-(AA710-MIN(MAX(AA710,0),MAX(0,W671-IF($A711&gt;='1-Input'!$C$12,'1-Input'!$B$12,0)))))*(1/(1-'P-Parametri'!$B$6*W711))))</f>
        <v>9761.7107595396355</v>
      </c>
      <c r="Y711" s="18">
        <f>IF($A711&gt;('1-Input'!$B$26-2),AA710,(AA710-MAX(0,W671-IF($A711&gt;='1-Input'!$C$12,'1-Input'!$B$12,0))+X711*(1-'P-Parametri'!$B$6*W711))*(1+'1-Input'!$B$27))</f>
        <v>9.0622052084654565E-13</v>
      </c>
      <c r="Z711" s="18">
        <f>IF($A711&gt;('1-Input'!$B$26-2),AB710,(AB710-X711)*(1+'5-Roberta'!$C$4))</f>
        <v>46686.734171534496</v>
      </c>
      <c r="AA711" s="18">
        <f>IF($A711&gt;('1-Input'!$B$26-2),Y711,Y711-'P-Parametri'!$B$8*(Z711+Y711)+MIN(MAX(Z711,0),'P-Parametri'!$B$8*(Z711+Y711)))</f>
        <v>9.0949470177292824E-13</v>
      </c>
      <c r="AB711" s="18">
        <f>IF($A711&gt;('1-Input'!$B$26-2),Z711,Z711-MIN(MAX(Z711,0),'P-Parametri'!$B$8*(Z711+Y711)))</f>
        <v>46593.360703191429</v>
      </c>
      <c r="AC711" s="18">
        <f>IF($A711&gt;('1-Input'!$B$26-2),AC710,AC710-X711*(1-W711))</f>
        <v>12813.490330931814</v>
      </c>
      <c r="AD711" s="11">
        <f>IF($A711&gt;('1-Input'!$B$26-2),0,IF(AI710&lt;=0,0,MAX(0,(AI710-AJ710)/AI710)))</f>
        <v>0.71730952539176107</v>
      </c>
      <c r="AE711" s="18">
        <f>IF($A711&gt;('1-Input'!$B$26-2),0,(MAX(0,AD671-IF($A711&gt;='1-Input'!$C$12,'1-Input'!$B$12,0))-MIN(MAX(AH710,0),MAX(0,AD671-IF($A711&gt;='1-Input'!$C$12,'1-Input'!$B$12,0))))*(1/(1-'P-Parametri'!$B$6*AD711))+MIN(MAX(0,AI710-(MAX(0,AD671-IF($A711&gt;='1-Input'!$C$12,'1-Input'!$B$12,0))-MIN(MAX(AH710,0),MAX(0,AD671-IF($A711&gt;='1-Input'!$C$12,'1-Input'!$B$12,0))))*(1/(1-'P-Parametri'!$B$6*AD711))),MAX(0,0*AD671-(AH710-MIN(MAX(AH710,0),MAX(0,AD671-IF($A711&gt;='1-Input'!$C$12,'1-Input'!$B$12,0)))))*(1/(1-'P-Parametri'!$B$6*AD711))))</f>
        <v>9762.450884483942</v>
      </c>
      <c r="AF711" s="18">
        <f>IF($A711&gt;('1-Input'!$B$26-2),AH710,(AH710-MAX(0,AD671-IF($A711&gt;='1-Input'!$C$12,'1-Input'!$B$12,0))+AE711*(1-'P-Parametri'!$B$6*AD711))*(1+'1-Input'!$B$27))</f>
        <v>0</v>
      </c>
      <c r="AG711" s="18">
        <f>IF($A711&gt;('1-Input'!$B$26-2),AI710,(AI710-AE711)*(1+'5-Roberta'!$C$4))</f>
        <v>46639.967793059608</v>
      </c>
      <c r="AH711" s="18">
        <f>IF($A711&gt;('1-Input'!$B$26-2),AF711,AF711-'P-Parametri'!$B$8*(AG711+AF711)+MIN(MAX(AG711,0),'P-Parametri'!$B$8*(AG711+AF711)))</f>
        <v>0</v>
      </c>
      <c r="AI711" s="18">
        <f>IF($A711&gt;('1-Input'!$B$26-2),AG711,AG711-MIN(MAX(AG711,0),'P-Parametri'!$B$8*(AG711+AF711)))</f>
        <v>46546.687857473487</v>
      </c>
      <c r="AJ711" s="18">
        <f>IF($A711&gt;('1-Input'!$B$26-2),AJ710,AJ710-AE711*(1-AD711))</f>
        <v>12800.654981682521</v>
      </c>
      <c r="AK711" s="11">
        <f>IF($A711&gt;('1-Input'!$B$26-2),0,IF(AP710&lt;=0,0,MAX(0,(AP710-AQ710)/AP710)))</f>
        <v>0.71730952539176085</v>
      </c>
      <c r="AL711" s="18">
        <f>IF($A711&gt;('1-Input'!$B$26-2),0,(MAX(0,AK671-IF($A711&gt;='1-Input'!$C$12,'1-Input'!$B$12,0))-MIN(MAX(AO710,0),MAX(0,AK671-IF($A711&gt;='1-Input'!$C$12,'1-Input'!$B$12,0))))*(1/(1-'P-Parametri'!$B$6*AK711))+MIN(MAX(0,AP710-(MAX(0,AK671-IF($A711&gt;='1-Input'!$C$12,'1-Input'!$B$12,0))-MIN(MAX(AO710,0),MAX(0,AK671-IF($A711&gt;='1-Input'!$C$12,'1-Input'!$B$12,0))))*(1/(1-'P-Parametri'!$B$6*AK711))),MAX(0,0*AK671-(AO710-MIN(MAX(AO710,0),MAX(0,AK671-IF($A711&gt;='1-Input'!$C$12,'1-Input'!$B$12,0)))))*(1/(1-'P-Parametri'!$B$6*AK711))))</f>
        <v>9762.3234884271951</v>
      </c>
      <c r="AM711" s="18">
        <f>IF($A711&gt;('1-Input'!$B$26-2),AO710,(AO710-MAX(0,AK671-IF($A711&gt;='1-Input'!$C$12,'1-Input'!$B$12,0))+AL711*(1-'P-Parametri'!$B$6*AK711))*(1+'1-Input'!$B$27))</f>
        <v>9.0622052084654565E-13</v>
      </c>
      <c r="AN711" s="18">
        <f>IF($A711&gt;('1-Input'!$B$26-2),AP710,(AP710-AL711)*(1+'5-Roberta'!$C$4))</f>
        <v>46648.017585533016</v>
      </c>
      <c r="AO711" s="18">
        <f>IF($A711&gt;('1-Input'!$B$26-2),AM711,AM711-'P-Parametri'!$B$8*(AN711+AM711)+MIN(MAX(AN711,0),'P-Parametri'!$B$8*(AN711+AM711)))</f>
        <v>9.0949470177292824E-13</v>
      </c>
      <c r="AP711" s="18">
        <f>IF($A711&gt;('1-Input'!$B$26-2),AN711,AN711-MIN(MAX(AN711,0),'P-Parametri'!$B$8*(AN711+AM711)))</f>
        <v>46554.721550361952</v>
      </c>
      <c r="AQ711" s="18">
        <f>IF($A711&gt;('1-Input'!$B$26-2),AQ710,AQ710-AL711*(1-AK711))</f>
        <v>12802.864301735741</v>
      </c>
    </row>
    <row r="712" spans="1:43">
      <c r="A712" s="10">
        <f>39</f>
        <v>39</v>
      </c>
      <c r="B712" s="11">
        <f>IF($A712&gt;('1-Input'!$B$26-2),0,IF(G711&lt;=0,0,MAX(0,(G711-H711)/G711)))</f>
        <v>0.72499321496562152</v>
      </c>
      <c r="C712" s="18">
        <f>IF($A712&gt;('1-Input'!$B$26-2),0,(MAX(0,B671-IF($A712&gt;='1-Input'!$C$12,'1-Input'!$B$12,0))-MIN(MAX(F711,0),MAX(0,B671-IF($A712&gt;='1-Input'!$C$12,'1-Input'!$B$12,0))))*(1/(1-'P-Parametri'!$B$6*B712))+MIN(MAX(0,G711-(MAX(0,B671-IF($A712&gt;='1-Input'!$C$12,'1-Input'!$B$12,0))-MIN(MAX(F711,0),MAX(0,B671-IF($A712&gt;='1-Input'!$C$12,'1-Input'!$B$12,0))))*(1/(1-'P-Parametri'!$B$6*B712))),MAX(0,0*B671-(F711-MIN(MAX(F711,0),MAX(0,B671-IF($A712&gt;='1-Input'!$C$12,'1-Input'!$B$12,0)))))*(1/(1-'P-Parametri'!$B$6*B712))))</f>
        <v>6874.9762001464405</v>
      </c>
      <c r="D712" s="18">
        <f>IF($A712&gt;('1-Input'!$B$26-2),F711,(F711-MAX(0,B671-IF($A712&gt;='1-Input'!$C$12,'1-Input'!$B$12,0))+C712*(1-'P-Parametri'!$B$6*B712))*(1+'1-Input'!$B$27))</f>
        <v>0</v>
      </c>
      <c r="E712" s="18">
        <f>IF($A712&gt;('1-Input'!$B$26-2),G711,(G711-C712)*(1+'5-Roberta'!$C$4))</f>
        <v>229507.43186841311</v>
      </c>
      <c r="F712" s="18">
        <f>IF($A712&gt;('1-Input'!$B$26-2),D712,D712-'P-Parametri'!$B$8*(E712+D712)+MIN(MAX(E712,0),'P-Parametri'!$B$8*(E712+D712)))</f>
        <v>0</v>
      </c>
      <c r="G712" s="18">
        <f>IF($A712&gt;('1-Input'!$B$26-2),E712,E712-MIN(MAX(E712,0),'P-Parametri'!$B$8*(E712+D712)))</f>
        <v>229048.41700467627</v>
      </c>
      <c r="H712" s="18">
        <f>IF($A712&gt;('1-Input'!$B$26-2),H711,H711-C712*(1-B712))</f>
        <v>61277.767941387334</v>
      </c>
      <c r="I712" s="11">
        <f>IF($A712&gt;('1-Input'!$B$26-2),0,IF(N711&lt;=0,0,MAX(0,(N711-O711)/N711)))</f>
        <v>0</v>
      </c>
      <c r="J712" s="18">
        <f>IF($A712&gt;('1-Input'!$B$26-2),0,(MAX(0,I671-IF($A712&gt;='1-Input'!$C$12,'1-Input'!$B$12,0))-MIN(MAX(M711,0),MAX(0,I671-IF($A712&gt;='1-Input'!$C$12,'1-Input'!$B$12,0))))*(1/(1-'P-Parametri'!$B$6*I712))+MIN(MAX(0,N711-(MAX(0,I671-IF($A712&gt;='1-Input'!$C$12,'1-Input'!$B$12,0))-MIN(MAX(M711,0),MAX(0,I671-IF($A712&gt;='1-Input'!$C$12,'1-Input'!$B$12,0))))*(1/(1-'P-Parametri'!$B$6*I712))),MAX(0,0*I671-(M711-MIN(MAX(M711,0),MAX(0,I671-IF($A712&gt;='1-Input'!$C$12,'1-Input'!$B$12,0)))))*(1/(1-'P-Parametri'!$B$6*I712))))</f>
        <v>10846.756992928691</v>
      </c>
      <c r="K712" s="18">
        <f>IF($A712&gt;('1-Input'!$B$26-2),M711,(M711-MAX(0,I671-IF($A712&gt;='1-Input'!$C$12,'1-Input'!$B$12,0))+J712*(1-'P-Parametri'!$B$6*I712))*(1+'1-Input'!$B$27))</f>
        <v>0</v>
      </c>
      <c r="L712" s="18">
        <f>IF($A712&gt;('1-Input'!$B$26-2),N711,(N711-J712)*(1+'5-Roberta'!$C$4))</f>
        <v>-164356.92793410856</v>
      </c>
      <c r="M712" s="18">
        <f>IF($A712&gt;('1-Input'!$B$26-2),K712,K712-'P-Parametri'!$B$8*(L712+K712)+MIN(MAX(L712,0),'P-Parametri'!$B$8*(L712+K712)))</f>
        <v>0</v>
      </c>
      <c r="N712" s="18">
        <f>IF($A712&gt;('1-Input'!$B$26-2),L712,L712-MIN(MAX(L712,0),'P-Parametri'!$B$8*(L712+K712)))</f>
        <v>-164028.21407824036</v>
      </c>
      <c r="O712" s="18">
        <f>IF($A712&gt;('1-Input'!$B$26-2),O711,O711-J712*(1-I712))</f>
        <v>-132202.05738026963</v>
      </c>
      <c r="P712" s="11">
        <f>IF($A712&gt;('1-Input'!$B$26-2),0,IF(U711&lt;=0,0,MAX(0,(U711-V711)/U711)))</f>
        <v>0.72499321496562175</v>
      </c>
      <c r="Q712" s="18">
        <f>IF($A712&gt;('1-Input'!$B$26-2),0,(MAX(0,P671-IF($A712&gt;='1-Input'!$C$12,'1-Input'!$B$12,0))-MIN(MAX(T711,0),MAX(0,P671-IF($A712&gt;='1-Input'!$C$12,'1-Input'!$B$12,0))))*(1/(1-'P-Parametri'!$B$6*P712))+MIN(MAX(0,U711-(MAX(0,P671-IF($A712&gt;='1-Input'!$C$12,'1-Input'!$B$12,0))-MIN(MAX(T711,0),MAX(0,P671-IF($A712&gt;='1-Input'!$C$12,'1-Input'!$B$12,0))))*(1/(1-'P-Parametri'!$B$6*P712))),MAX(0,0*P671-(T711-MIN(MAX(T711,0),MAX(0,P671-IF($A712&gt;='1-Input'!$C$12,'1-Input'!$B$12,0)))))*(1/(1-'P-Parametri'!$B$6*P712))))</f>
        <v>10095.328861507436</v>
      </c>
      <c r="R712" s="18">
        <f>IF($A712&gt;('1-Input'!$B$26-2),T711,(T711-MAX(0,P671-IF($A712&gt;='1-Input'!$C$12,'1-Input'!$B$12,0))+Q712*(1-'P-Parametri'!$B$6*P712))*(1+'1-Input'!$B$27))</f>
        <v>0</v>
      </c>
      <c r="S712" s="18">
        <f>IF($A712&gt;('1-Input'!$B$26-2),U711,(U711-Q712)*(1+'5-Roberta'!$C$4))</f>
        <v>17533.898602252048</v>
      </c>
      <c r="T712" s="18">
        <f>IF($A712&gt;('1-Input'!$B$26-2),R712,R712-'P-Parametri'!$B$8*(S712+R712)+MIN(MAX(S712,0),'P-Parametri'!$B$8*(S712+R712)))</f>
        <v>0</v>
      </c>
      <c r="U712" s="18">
        <f>IF($A712&gt;('1-Input'!$B$26-2),S712,S712-MIN(MAX(S712,0),'P-Parametri'!$B$8*(S712+R712)))</f>
        <v>17498.830805047543</v>
      </c>
      <c r="V712" s="18">
        <f>IF($A712&gt;('1-Input'!$B$26-2),V711,V711-Q712*(1-P712))</f>
        <v>4681.4961977904031</v>
      </c>
      <c r="W712" s="11">
        <f>IF($A712&gt;('1-Input'!$B$26-2),0,IF(AB711&lt;=0,0,MAX(0,(AB711-AC711)/AB711)))</f>
        <v>0.72499321496562164</v>
      </c>
      <c r="X712" s="18">
        <f>IF($A712&gt;('1-Input'!$B$26-2),0,(MAX(0,W671-IF($A712&gt;='1-Input'!$C$12,'1-Input'!$B$12,0))-MIN(MAX(AA711,0),MAX(0,W671-IF($A712&gt;='1-Input'!$C$12,'1-Input'!$B$12,0))))*(1/(1-'P-Parametri'!$B$6*W712))+MIN(MAX(0,AB711-(MAX(0,W671-IF($A712&gt;='1-Input'!$C$12,'1-Input'!$B$12,0))-MIN(MAX(AA711,0),MAX(0,W671-IF($A712&gt;='1-Input'!$C$12,'1-Input'!$B$12,0))))*(1/(1-'P-Parametri'!$B$6*W712))),MAX(0,0*W671-(AA711-MIN(MAX(AA711,0),MAX(0,W671-IF($A712&gt;='1-Input'!$C$12,'1-Input'!$B$12,0)))))*(1/(1-'P-Parametri'!$B$6*W712))))</f>
        <v>9785.7421901672715</v>
      </c>
      <c r="Y712" s="18">
        <f>IF($A712&gt;('1-Input'!$B$26-2),AA711,(AA711-MAX(0,W671-IF($A712&gt;='1-Input'!$C$12,'1-Input'!$B$12,0))+X712*(1-'P-Parametri'!$B$6*W712))*(1+'1-Input'!$B$27))</f>
        <v>0</v>
      </c>
      <c r="Z712" s="18">
        <f>IF($A712&gt;('1-Input'!$B$26-2),AB711,(AB711-X712)*(1+'5-Roberta'!$C$4))</f>
        <v>37911.847068414885</v>
      </c>
      <c r="AA712" s="18">
        <f>IF($A712&gt;('1-Input'!$B$26-2),Y712,Y712-'P-Parametri'!$B$8*(Z712+Y712)+MIN(MAX(Z712,0),'P-Parametri'!$B$8*(Z712+Y712)))</f>
        <v>0</v>
      </c>
      <c r="AB712" s="18">
        <f>IF($A712&gt;('1-Input'!$B$26-2),Z712,Z712-MIN(MAX(Z712,0),'P-Parametri'!$B$8*(Z712+Y712)))</f>
        <v>37836.023374278055</v>
      </c>
      <c r="AC712" s="18">
        <f>IF($A712&gt;('1-Input'!$B$26-2),AC711,AC711-X712*(1-W712))</f>
        <v>10122.344832038636</v>
      </c>
      <c r="AD712" s="11">
        <f>IF($A712&gt;('1-Input'!$B$26-2),0,IF(AI711&lt;=0,0,MAX(0,(AI711-AJ711)/AI711)))</f>
        <v>0.72499321496562164</v>
      </c>
      <c r="AE712" s="18">
        <f>IF($A712&gt;('1-Input'!$B$26-2),0,(MAX(0,AD671-IF($A712&gt;='1-Input'!$C$12,'1-Input'!$B$12,0))-MIN(MAX(AH711,0),MAX(0,AD671-IF($A712&gt;='1-Input'!$C$12,'1-Input'!$B$12,0))))*(1/(1-'P-Parametri'!$B$6*AD712))+MIN(MAX(0,AI711-(MAX(0,AD671-IF($A712&gt;='1-Input'!$C$12,'1-Input'!$B$12,0))-MIN(MAX(AH711,0),MAX(0,AD671-IF($A712&gt;='1-Input'!$C$12,'1-Input'!$B$12,0))))*(1/(1-'P-Parametri'!$B$6*AD712))),MAX(0,0*AD671-(AH711-MIN(MAX(AH711,0),MAX(0,AD671-IF($A712&gt;='1-Input'!$C$12,'1-Input'!$B$12,0)))))*(1/(1-'P-Parametri'!$B$6*AD712))))</f>
        <v>9786.4841371550392</v>
      </c>
      <c r="AF712" s="18">
        <f>IF($A712&gt;('1-Input'!$B$26-2),AH711,(AH711-MAX(0,AD671-IF($A712&gt;='1-Input'!$C$12,'1-Input'!$B$12,0))+AE712*(1-'P-Parametri'!$B$6*AD712))*(1+'1-Input'!$B$27))</f>
        <v>-9.0622052084654565E-13</v>
      </c>
      <c r="AG712" s="18">
        <f>IF($A712&gt;('1-Input'!$B$26-2),AI711,(AI711-AE712)*(1+'5-Roberta'!$C$4))</f>
        <v>37863.009831928</v>
      </c>
      <c r="AH712" s="18">
        <f>IF($A712&gt;('1-Input'!$B$26-2),AF712,AF712-'P-Parametri'!$B$8*(AG712+AF712)+MIN(MAX(AG712,0),'P-Parametri'!$B$8*(AG712+AF712)))</f>
        <v>-9.0949470177292824E-13</v>
      </c>
      <c r="AI712" s="18">
        <f>IF($A712&gt;('1-Input'!$B$26-2),AG712,AG712-MIN(MAX(AG712,0),'P-Parametri'!$B$8*(AG712+AF712)))</f>
        <v>37787.283812264148</v>
      </c>
      <c r="AJ712" s="18">
        <f>IF($A712&gt;('1-Input'!$B$26-2),AJ711,AJ711-AE712*(1-AD712))</f>
        <v>10109.305442333571</v>
      </c>
      <c r="AK712" s="11">
        <f>IF($A712&gt;('1-Input'!$B$26-2),0,IF(AP711&lt;=0,0,MAX(0,(AP711-AQ711)/AP711)))</f>
        <v>0.72499321496562141</v>
      </c>
      <c r="AL712" s="18">
        <f>IF($A712&gt;('1-Input'!$B$26-2),0,(MAX(0,AK671-IF($A712&gt;='1-Input'!$C$12,'1-Input'!$B$12,0))-MIN(MAX(AO711,0),MAX(0,AK671-IF($A712&gt;='1-Input'!$C$12,'1-Input'!$B$12,0))))*(1/(1-'P-Parametri'!$B$6*AK712))+MIN(MAX(0,AP711-(MAX(0,AK671-IF($A712&gt;='1-Input'!$C$12,'1-Input'!$B$12,0))-MIN(MAX(AO711,0),MAX(0,AK671-IF($A712&gt;='1-Input'!$C$12,'1-Input'!$B$12,0))))*(1/(1-'P-Parametri'!$B$6*AK712))),MAX(0,0*AK671-(AO711-MIN(MAX(AO711,0),MAX(0,AK671-IF($A712&gt;='1-Input'!$C$12,'1-Input'!$B$12,0)))))*(1/(1-'P-Parametri'!$B$6*AK712))))</f>
        <v>9786.3564274740111</v>
      </c>
      <c r="AM712" s="18">
        <f>IF($A712&gt;('1-Input'!$B$26-2),AO711,(AO711-MAX(0,AK671-IF($A712&gt;='1-Input'!$C$12,'1-Input'!$B$12,0))+AL712*(1-'P-Parametri'!$B$6*AK712))*(1+'1-Input'!$B$27))</f>
        <v>-9.0622052084654565E-13</v>
      </c>
      <c r="AN712" s="18">
        <f>IF($A712&gt;('1-Input'!$B$26-2),AP711,(AP711-AL712)*(1+'5-Roberta'!$C$4))</f>
        <v>37871.416076574576</v>
      </c>
      <c r="AO712" s="18">
        <f>IF($A712&gt;('1-Input'!$B$26-2),AM712,AM712-'P-Parametri'!$B$8*(AN712+AM712)+MIN(MAX(AN712,0),'P-Parametri'!$B$8*(AN712+AM712)))</f>
        <v>-9.0949470177292824E-13</v>
      </c>
      <c r="AP712" s="18">
        <f>IF($A712&gt;('1-Input'!$B$26-2),AN712,AN712-MIN(MAX(AN712,0),'P-Parametri'!$B$8*(AN712+AM712)))</f>
        <v>37795.673244421429</v>
      </c>
      <c r="AQ712" s="18">
        <f>IF($A712&gt;('1-Input'!$B$26-2),AQ711,AQ711-AL712*(1-AK712))</f>
        <v>10111.549883415586</v>
      </c>
    </row>
    <row r="713" spans="1:43">
      <c r="A713" s="10">
        <f>40</f>
        <v>40</v>
      </c>
      <c r="B713" s="11">
        <f>IF($A713&gt;('1-Input'!$B$26-2),0,IF(G712&lt;=0,0,MAX(0,(G712-H712)/G712)))</f>
        <v>0.73246805744072752</v>
      </c>
      <c r="C713" s="18">
        <f>IF($A713&gt;('1-Input'!$B$26-2),0,(MAX(0,B671-IF($A713&gt;='1-Input'!$C$12,'1-Input'!$B$12,0))-MIN(MAX(F712,0),MAX(0,B671-IF($A713&gt;='1-Input'!$C$12,'1-Input'!$B$12,0))))*(1/(1-'P-Parametri'!$B$6*B713))+MIN(MAX(0,G712-(MAX(0,B671-IF($A713&gt;='1-Input'!$C$12,'1-Input'!$B$12,0))-MIN(MAX(F712,0),MAX(0,B671-IF($A713&gt;='1-Input'!$C$12,'1-Input'!$B$12,0))))*(1/(1-'P-Parametri'!$B$6*B713))),MAX(0,0*B671-(F712-MIN(MAX(F712,0),MAX(0,B671-IF($A713&gt;='1-Input'!$C$12,'1-Input'!$B$12,0)))))*(1/(1-'P-Parametri'!$B$6*B713))))</f>
        <v>6891.4805514533327</v>
      </c>
      <c r="D713" s="18">
        <f>IF($A713&gt;('1-Input'!$B$26-2),F712,(F712-MAX(0,B671-IF($A713&gt;='1-Input'!$C$12,'1-Input'!$B$12,0))+C713*(1-'P-Parametri'!$B$6*B713))*(1+'1-Input'!$B$27))</f>
        <v>0</v>
      </c>
      <c r="E713" s="18">
        <f>IF($A713&gt;('1-Input'!$B$26-2),G712,(G712-C713)*(1+'5-Roberta'!$C$4))</f>
        <v>228821.64454681962</v>
      </c>
      <c r="F713" s="18">
        <f>IF($A713&gt;('1-Input'!$B$26-2),D713,D713-'P-Parametri'!$B$8*(E713+D713)+MIN(MAX(E713,0),'P-Parametri'!$B$8*(E713+D713)))</f>
        <v>0</v>
      </c>
      <c r="G713" s="18">
        <f>IF($A713&gt;('1-Input'!$B$26-2),E713,E713-MIN(MAX(E713,0),'P-Parametri'!$B$8*(E713+D713)))</f>
        <v>228364.00125772599</v>
      </c>
      <c r="H713" s="18">
        <f>IF($A713&gt;('1-Input'!$B$26-2),H712,H712-C713*(1-B713))</f>
        <v>59434.076762347577</v>
      </c>
      <c r="I713" s="11">
        <f>IF($A713&gt;('1-Input'!$B$26-2),0,IF(N712&lt;=0,0,MAX(0,(N712-O712)/N712)))</f>
        <v>0</v>
      </c>
      <c r="J713" s="18">
        <f>IF($A713&gt;('1-Input'!$B$26-2),0,(MAX(0,I671-IF($A713&gt;='1-Input'!$C$12,'1-Input'!$B$12,0))-MIN(MAX(M712,0),MAX(0,I671-IF($A713&gt;='1-Input'!$C$12,'1-Input'!$B$12,0))))*(1/(1-'P-Parametri'!$B$6*I713))+MIN(MAX(0,N712-(MAX(0,I671-IF($A713&gt;='1-Input'!$C$12,'1-Input'!$B$12,0))-MIN(MAX(M712,0),MAX(0,I671-IF($A713&gt;='1-Input'!$C$12,'1-Input'!$B$12,0))))*(1/(1-'P-Parametri'!$B$6*I713))),MAX(0,0*I671-(M712-MIN(MAX(M712,0),MAX(0,I671-IF($A713&gt;='1-Input'!$C$12,'1-Input'!$B$12,0)))))*(1/(1-'P-Parametri'!$B$6*I713))))</f>
        <v>10846.756992928691</v>
      </c>
      <c r="K713" s="18">
        <f>IF($A713&gt;('1-Input'!$B$26-2),M712,(M712-MAX(0,I671-IF($A713&gt;='1-Input'!$C$12,'1-Input'!$B$12,0))+J713*(1-'P-Parametri'!$B$6*I713))*(1+'1-Input'!$B$27))</f>
        <v>0</v>
      </c>
      <c r="L713" s="18">
        <f>IF($A713&gt;('1-Input'!$B$26-2),N712,(N712-J713)*(1+'5-Roberta'!$C$4))</f>
        <v>-180121.22020330411</v>
      </c>
      <c r="M713" s="18">
        <f>IF($A713&gt;('1-Input'!$B$26-2),K713,K713-'P-Parametri'!$B$8*(L713+K713)+MIN(MAX(L713,0),'P-Parametri'!$B$8*(L713+K713)))</f>
        <v>0</v>
      </c>
      <c r="N713" s="18">
        <f>IF($A713&gt;('1-Input'!$B$26-2),L713,L713-MIN(MAX(L713,0),'P-Parametri'!$B$8*(L713+K713)))</f>
        <v>-179760.9777628975</v>
      </c>
      <c r="O713" s="18">
        <f>IF($A713&gt;('1-Input'!$B$26-2),O712,O712-J713*(1-I713))</f>
        <v>-143048.81437319831</v>
      </c>
      <c r="P713" s="11">
        <f>IF($A713&gt;('1-Input'!$B$26-2),0,IF(U712&lt;=0,0,MAX(0,(U712-V712)/U712)))</f>
        <v>0.73246805744072774</v>
      </c>
      <c r="Q713" s="18">
        <f>IF($A713&gt;('1-Input'!$B$26-2),0,(MAX(0,P671-IF($A713&gt;='1-Input'!$C$12,'1-Input'!$B$12,0))-MIN(MAX(T712,0),MAX(0,P671-IF($A713&gt;='1-Input'!$C$12,'1-Input'!$B$12,0))))*(1/(1-'P-Parametri'!$B$6*P713))+MIN(MAX(0,U712-(MAX(0,P671-IF($A713&gt;='1-Input'!$C$12,'1-Input'!$B$12,0))-MIN(MAX(T712,0),MAX(0,P671-IF($A713&gt;='1-Input'!$C$12,'1-Input'!$B$12,0))))*(1/(1-'P-Parametri'!$B$6*P713))),MAX(0,0*P671-(T712-MIN(MAX(T712,0),MAX(0,P671-IF($A713&gt;='1-Input'!$C$12,'1-Input'!$B$12,0)))))*(1/(1-'P-Parametri'!$B$6*P713))))</f>
        <v>10119.564124181565</v>
      </c>
      <c r="R713" s="18">
        <f>IF($A713&gt;('1-Input'!$B$26-2),T712,(T712-MAX(0,P671-IF($A713&gt;='1-Input'!$C$12,'1-Input'!$B$12,0))+Q713*(1-'P-Parametri'!$B$6*P713))*(1+'1-Input'!$B$27))</f>
        <v>0</v>
      </c>
      <c r="S713" s="18">
        <f>IF($A713&gt;('1-Input'!$B$26-2),U712,(U712-Q713)*(1+'5-Roberta'!$C$4))</f>
        <v>7600.6446812919576</v>
      </c>
      <c r="T713" s="18">
        <f>IF($A713&gt;('1-Input'!$B$26-2),R713,R713-'P-Parametri'!$B$8*(S713+R713)+MIN(MAX(S713,0),'P-Parametri'!$B$8*(S713+R713)))</f>
        <v>0</v>
      </c>
      <c r="U713" s="18">
        <f>IF($A713&gt;('1-Input'!$B$26-2),S713,S713-MIN(MAX(S713,0),'P-Parametri'!$B$8*(S713+R713)))</f>
        <v>7585.4433919293733</v>
      </c>
      <c r="V713" s="18">
        <f>IF($A713&gt;('1-Input'!$B$26-2),V712,V712-Q713*(1-P713))</f>
        <v>1974.1895497949886</v>
      </c>
      <c r="W713" s="11">
        <f>IF($A713&gt;('1-Input'!$B$26-2),0,IF(AB712&lt;=0,0,MAX(0,(AB712-AC712)/AB712)))</f>
        <v>0.73246805744072774</v>
      </c>
      <c r="X713" s="18">
        <f>IF($A713&gt;('1-Input'!$B$26-2),0,(MAX(0,W671-IF($A713&gt;='1-Input'!$C$12,'1-Input'!$B$12,0))-MIN(MAX(AA712,0),MAX(0,W671-IF($A713&gt;='1-Input'!$C$12,'1-Input'!$B$12,0))))*(1/(1-'P-Parametri'!$B$6*W713))+MIN(MAX(0,AB712-(MAX(0,W671-IF($A713&gt;='1-Input'!$C$12,'1-Input'!$B$12,0))-MIN(MAX(AA712,0),MAX(0,W671-IF($A713&gt;='1-Input'!$C$12,'1-Input'!$B$12,0))))*(1/(1-'P-Parametri'!$B$6*W713))),MAX(0,0*W671-(AA712-MIN(MAX(AA712,0),MAX(0,W671-IF($A713&gt;='1-Input'!$C$12,'1-Input'!$B$12,0)))))*(1/(1-'P-Parametri'!$B$6*W713))))</f>
        <v>9809.2342463145724</v>
      </c>
      <c r="Y713" s="18">
        <f>IF($A713&gt;('1-Input'!$B$26-2),AA712,(AA712-MAX(0,W671-IF($A713&gt;='1-Input'!$C$12,'1-Input'!$B$12,0))+X713*(1-'P-Parametri'!$B$6*W713))*(1+'1-Input'!$B$27))</f>
        <v>0</v>
      </c>
      <c r="Z713" s="18">
        <f>IF($A713&gt;('1-Input'!$B$26-2),AB712,(AB712-X713)*(1+'5-Roberta'!$C$4))</f>
        <v>28867.592801802388</v>
      </c>
      <c r="AA713" s="18">
        <f>IF($A713&gt;('1-Input'!$B$26-2),Y713,Y713-'P-Parametri'!$B$8*(Z713+Y713)+MIN(MAX(Z713,0),'P-Parametri'!$B$8*(Z713+Y713)))</f>
        <v>0</v>
      </c>
      <c r="AB713" s="18">
        <f>IF($A713&gt;('1-Input'!$B$26-2),Z713,Z713-MIN(MAX(Z713,0),'P-Parametri'!$B$8*(Z713+Y713)))</f>
        <v>28809.857616198784</v>
      </c>
      <c r="AC713" s="18">
        <f>IF($A713&gt;('1-Input'!$B$26-2),AC712,AC712-X713*(1-W713))</f>
        <v>7498.0613391031593</v>
      </c>
      <c r="AD713" s="11">
        <f>IF($A713&gt;('1-Input'!$B$26-2),0,IF(AI712&lt;=0,0,MAX(0,(AI712-AJ712)/AI712)))</f>
        <v>0.73246805744072774</v>
      </c>
      <c r="AE713" s="18">
        <f>IF($A713&gt;('1-Input'!$B$26-2),0,(MAX(0,AD671-IF($A713&gt;='1-Input'!$C$12,'1-Input'!$B$12,0))-MIN(MAX(AH712,0),MAX(0,AD671-IF($A713&gt;='1-Input'!$C$12,'1-Input'!$B$12,0))))*(1/(1-'P-Parametri'!$B$6*AD713))+MIN(MAX(0,AI712-(MAX(0,AD671-IF($A713&gt;='1-Input'!$C$12,'1-Input'!$B$12,0))-MIN(MAX(AH712,0),MAX(0,AD671-IF($A713&gt;='1-Input'!$C$12,'1-Input'!$B$12,0))))*(1/(1-'P-Parametri'!$B$6*AD713))),MAX(0,0*AD671-(AH712-MIN(MAX(AH712,0),MAX(0,AD671-IF($A713&gt;='1-Input'!$C$12,'1-Input'!$B$12,0)))))*(1/(1-'P-Parametri'!$B$6*AD713))))</f>
        <v>9809.9779744508705</v>
      </c>
      <c r="AF713" s="18">
        <f>IF($A713&gt;('1-Input'!$B$26-2),AH712,(AH712-MAX(0,AD671-IF($A713&gt;='1-Input'!$C$12,'1-Input'!$B$12,0))+AE713*(1-'P-Parametri'!$B$6*AD713))*(1+'1-Input'!$B$27))</f>
        <v>9.0622052084654565E-13</v>
      </c>
      <c r="AG713" s="18">
        <f>IF($A713&gt;('1-Input'!$B$26-2),AI712,(AI712-AE713)*(1+'5-Roberta'!$C$4))</f>
        <v>28816.625012947676</v>
      </c>
      <c r="AH713" s="18">
        <f>IF($A713&gt;('1-Input'!$B$26-2),AF713,AF713-'P-Parametri'!$B$8*(AG713+AF713)+MIN(MAX(AG713,0),'P-Parametri'!$B$8*(AG713+AF713)))</f>
        <v>9.0949470177292824E-13</v>
      </c>
      <c r="AI713" s="18">
        <f>IF($A713&gt;('1-Input'!$B$26-2),AG713,AG713-MIN(MAX(AG713,0),'P-Parametri'!$B$8*(AG713+AF713)))</f>
        <v>28758.991762921782</v>
      </c>
      <c r="AJ713" s="18">
        <f>IF($A713&gt;('1-Input'!$B$26-2),AJ712,AJ712-AE713*(1-AD713))</f>
        <v>7484.822978365055</v>
      </c>
      <c r="AK713" s="11">
        <f>IF($A713&gt;('1-Input'!$B$26-2),0,IF(AP712&lt;=0,0,MAX(0,(AP712-AQ712)/AP712)))</f>
        <v>0.7324680574407274</v>
      </c>
      <c r="AL713" s="18">
        <f>IF($A713&gt;('1-Input'!$B$26-2),0,(MAX(0,AK671-IF($A713&gt;='1-Input'!$C$12,'1-Input'!$B$12,0))-MIN(MAX(AO712,0),MAX(0,AK671-IF($A713&gt;='1-Input'!$C$12,'1-Input'!$B$12,0))))*(1/(1-'P-Parametri'!$B$6*AK713))+MIN(MAX(0,AP712-(MAX(0,AK671-IF($A713&gt;='1-Input'!$C$12,'1-Input'!$B$12,0))-MIN(MAX(AO712,0),MAX(0,AK671-IF($A713&gt;='1-Input'!$C$12,'1-Input'!$B$12,0))))*(1/(1-'P-Parametri'!$B$6*AK713))),MAX(0,0*AK671-(AO712-MIN(MAX(AO712,0),MAX(0,AK671-IF($A713&gt;='1-Input'!$C$12,'1-Input'!$B$12,0)))))*(1/(1-'P-Parametri'!$B$6*AK713))))</f>
        <v>9809.8499581847154</v>
      </c>
      <c r="AM713" s="18">
        <f>IF($A713&gt;('1-Input'!$B$26-2),AO712,(AO712-MAX(0,AK671-IF($A713&gt;='1-Input'!$C$12,'1-Input'!$B$12,0))+AL713*(1-'P-Parametri'!$B$6*AK713))*(1+'1-Input'!$B$27))</f>
        <v>0</v>
      </c>
      <c r="AN713" s="18">
        <f>IF($A713&gt;('1-Input'!$B$26-2),AP712,(AP712-AL713)*(1+'5-Roberta'!$C$4))</f>
        <v>28825.397984823816</v>
      </c>
      <c r="AO713" s="18">
        <f>IF($A713&gt;('1-Input'!$B$26-2),AM713,AM713-'P-Parametri'!$B$8*(AN713+AM713)+MIN(MAX(AN713,0),'P-Parametri'!$B$8*(AN713+AM713)))</f>
        <v>0</v>
      </c>
      <c r="AP713" s="18">
        <f>IF($A713&gt;('1-Input'!$B$26-2),AN713,AN713-MIN(MAX(AN713,0),'P-Parametri'!$B$8*(AN713+AM713)))</f>
        <v>28767.74718885417</v>
      </c>
      <c r="AQ713" s="18">
        <f>IF($A713&gt;('1-Input'!$B$26-2),AQ712,AQ712-AL713*(1-AK713))</f>
        <v>7487.1016678874303</v>
      </c>
    </row>
    <row r="714" spans="1:43">
      <c r="A714" s="10">
        <f>41</f>
        <v>41</v>
      </c>
      <c r="B714" s="11">
        <f>IF($A714&gt;('1-Input'!$B$26-2),0,IF(G713&lt;=0,0,MAX(0,(G713-H713)/G713)))</f>
        <v>0.73973972940125654</v>
      </c>
      <c r="C714" s="18">
        <f>IF($A714&gt;('1-Input'!$B$26-2),0,(MAX(0,B671-IF($A714&gt;='1-Input'!$C$12,'1-Input'!$B$12,0))-MIN(MAX(F713,0),MAX(0,B671-IF($A714&gt;='1-Input'!$C$12,'1-Input'!$B$12,0))))*(1/(1-'P-Parametri'!$B$6*B714))+MIN(MAX(0,G713-(MAX(0,B671-IF($A714&gt;='1-Input'!$C$12,'1-Input'!$B$12,0))-MIN(MAX(F713,0),MAX(0,B671-IF($A714&gt;='1-Input'!$C$12,'1-Input'!$B$12,0))))*(1/(1-'P-Parametri'!$B$6*B714))),MAX(0,0*B671-(F713-MIN(MAX(F713,0),MAX(0,B671-IF($A714&gt;='1-Input'!$C$12,'1-Input'!$B$12,0)))))*(1/(1-'P-Parametri'!$B$6*B714))))</f>
        <v>6907.6125235630007</v>
      </c>
      <c r="D714" s="18">
        <f>IF($A714&gt;('1-Input'!$B$26-2),F713,(F713-MAX(0,B671-IF($A714&gt;='1-Input'!$C$12,'1-Input'!$B$12,0))+C714*(1-'P-Parametri'!$B$6*B714))*(1+'1-Input'!$B$27))</f>
        <v>0</v>
      </c>
      <c r="E714" s="18">
        <f>IF($A714&gt;('1-Input'!$B$26-2),G713,(G713-C714)*(1+'5-Roberta'!$C$4))</f>
        <v>228100.08039618787</v>
      </c>
      <c r="F714" s="18">
        <f>IF($A714&gt;('1-Input'!$B$26-2),D714,D714-'P-Parametri'!$B$8*(E714+D714)+MIN(MAX(E714,0),'P-Parametri'!$B$8*(E714+D714)))</f>
        <v>0</v>
      </c>
      <c r="G714" s="18">
        <f>IF($A714&gt;('1-Input'!$B$26-2),E714,E714-MIN(MAX(E714,0),'P-Parametri'!$B$8*(E714+D714)))</f>
        <v>227643.88023539548</v>
      </c>
      <c r="H714" s="18">
        <f>IF($A714&gt;('1-Input'!$B$26-2),H713,H713-C714*(1-B714))</f>
        <v>57636.299657773801</v>
      </c>
      <c r="I714" s="11">
        <f>IF($A714&gt;('1-Input'!$B$26-2),0,IF(N713&lt;=0,0,MAX(0,(N713-O713)/N713)))</f>
        <v>0</v>
      </c>
      <c r="J714" s="18">
        <f>IF($A714&gt;('1-Input'!$B$26-2),0,(MAX(0,I671-IF($A714&gt;='1-Input'!$C$12,'1-Input'!$B$12,0))-MIN(MAX(M713,0),MAX(0,I671-IF($A714&gt;='1-Input'!$C$12,'1-Input'!$B$12,0))))*(1/(1-'P-Parametri'!$B$6*I714))+MIN(MAX(0,N713-(MAX(0,I671-IF($A714&gt;='1-Input'!$C$12,'1-Input'!$B$12,0))-MIN(MAX(M713,0),MAX(0,I671-IF($A714&gt;='1-Input'!$C$12,'1-Input'!$B$12,0))))*(1/(1-'P-Parametri'!$B$6*I714))),MAX(0,0*I671-(M713-MIN(MAX(M713,0),MAX(0,I671-IF($A714&gt;='1-Input'!$C$12,'1-Input'!$B$12,0)))))*(1/(1-'P-Parametri'!$B$6*I714))))</f>
        <v>10846.756992928691</v>
      </c>
      <c r="K714" s="18">
        <f>IF($A714&gt;('1-Input'!$B$26-2),M713,(M713-MAX(0,I671-IF($A714&gt;='1-Input'!$C$12,'1-Input'!$B$12,0))+J714*(1-'P-Parametri'!$B$6*I714))*(1+'1-Input'!$B$27))</f>
        <v>0</v>
      </c>
      <c r="L714" s="18">
        <f>IF($A714&gt;('1-Input'!$B$26-2),N713,(N713-J714)*(1+'5-Roberta'!$C$4))</f>
        <v>-196325.96679850097</v>
      </c>
      <c r="M714" s="18">
        <f>IF($A714&gt;('1-Input'!$B$26-2),K714,K714-'P-Parametri'!$B$8*(L714+K714)+MIN(MAX(L714,0),'P-Parametri'!$B$8*(L714+K714)))</f>
        <v>0</v>
      </c>
      <c r="N714" s="18">
        <f>IF($A714&gt;('1-Input'!$B$26-2),L714,L714-MIN(MAX(L714,0),'P-Parametri'!$B$8*(L714+K714)))</f>
        <v>-195933.31486490398</v>
      </c>
      <c r="O714" s="18">
        <f>IF($A714&gt;('1-Input'!$B$26-2),O713,O713-J714*(1-I714))</f>
        <v>-153895.571366127</v>
      </c>
      <c r="P714" s="11">
        <f>IF($A714&gt;('1-Input'!$B$26-2),0,IF(U713&lt;=0,0,MAX(0,(U713-V713)/U713)))</f>
        <v>0.73973972940125665</v>
      </c>
      <c r="Q714" s="18">
        <f>IF($A714&gt;('1-Input'!$B$26-2),0,(MAX(0,P671-IF($A714&gt;='1-Input'!$C$12,'1-Input'!$B$12,0))-MIN(MAX(T713,0),MAX(0,P671-IF($A714&gt;='1-Input'!$C$12,'1-Input'!$B$12,0))))*(1/(1-'P-Parametri'!$B$6*P714))+MIN(MAX(0,U713-(MAX(0,P671-IF($A714&gt;='1-Input'!$C$12,'1-Input'!$B$12,0))-MIN(MAX(T713,0),MAX(0,P671-IF($A714&gt;='1-Input'!$C$12,'1-Input'!$B$12,0))))*(1/(1-'P-Parametri'!$B$6*P714))),MAX(0,0*P671-(T713-MIN(MAX(T713,0),MAX(0,P671-IF($A714&gt;='1-Input'!$C$12,'1-Input'!$B$12,0)))))*(1/(1-'P-Parametri'!$B$6*P714))))</f>
        <v>10143.252579078076</v>
      </c>
      <c r="R714" s="18">
        <f>IF($A714&gt;('1-Input'!$B$26-2),T713,(T713-MAX(0,P671-IF($A714&gt;='1-Input'!$C$12,'1-Input'!$B$12,0))+Q714*(1-'P-Parametri'!$B$6*P714))*(1+'1-Input'!$B$27))</f>
        <v>0</v>
      </c>
      <c r="S714" s="18">
        <f>IF($A714&gt;('1-Input'!$B$26-2),U713,(U713-Q714)*(1+'5-Roberta'!$C$4))</f>
        <v>-2634.5434627631644</v>
      </c>
      <c r="T714" s="18">
        <f>IF($A714&gt;('1-Input'!$B$26-2),R714,R714-'P-Parametri'!$B$8*(S714+R714)+MIN(MAX(S714,0),'P-Parametri'!$B$8*(S714+R714)))</f>
        <v>0</v>
      </c>
      <c r="U714" s="18">
        <f>IF($A714&gt;('1-Input'!$B$26-2),S714,S714-MIN(MAX(S714,0),'P-Parametri'!$B$8*(S714+R714)))</f>
        <v>-2629.2743758376382</v>
      </c>
      <c r="V714" s="18">
        <f>IF($A714&gt;('1-Input'!$B$26-2),V713,V713-Q714*(1-P714))</f>
        <v>-665.69611118727289</v>
      </c>
      <c r="W714" s="11">
        <f>IF($A714&gt;('1-Input'!$B$26-2),0,IF(AB713&lt;=0,0,MAX(0,(AB713-AC713)/AB713)))</f>
        <v>0.73973972940125676</v>
      </c>
      <c r="X714" s="18">
        <f>IF($A714&gt;('1-Input'!$B$26-2),0,(MAX(0,W671-IF($A714&gt;='1-Input'!$C$12,'1-Input'!$B$12,0))-MIN(MAX(AA713,0),MAX(0,W671-IF($A714&gt;='1-Input'!$C$12,'1-Input'!$B$12,0))))*(1/(1-'P-Parametri'!$B$6*W714))+MIN(MAX(0,AB713-(MAX(0,W671-IF($A714&gt;='1-Input'!$C$12,'1-Input'!$B$12,0))-MIN(MAX(AA713,0),MAX(0,W671-IF($A714&gt;='1-Input'!$C$12,'1-Input'!$B$12,0))))*(1/(1-'P-Parametri'!$B$6*W714))),MAX(0,0*W671-(AA713-MIN(MAX(AA713,0),MAX(0,W671-IF($A714&gt;='1-Input'!$C$12,'1-Input'!$B$12,0)))))*(1/(1-'P-Parametri'!$B$6*W714))))</f>
        <v>9832.1962632712039</v>
      </c>
      <c r="Y714" s="18">
        <f>IF($A714&gt;('1-Input'!$B$26-2),AA713,(AA713-MAX(0,W671-IF($A714&gt;='1-Input'!$C$12,'1-Input'!$B$12,0))+X714*(1-'P-Parametri'!$B$6*W714))*(1+'1-Input'!$B$27))</f>
        <v>9.0622052084654565E-13</v>
      </c>
      <c r="Z714" s="18">
        <f>IF($A714&gt;('1-Input'!$B$26-2),AB713,(AB713-X714)*(1+'5-Roberta'!$C$4))</f>
        <v>19546.991193515405</v>
      </c>
      <c r="AA714" s="18">
        <f>IF($A714&gt;('1-Input'!$B$26-2),Y714,Y714-'P-Parametri'!$B$8*(Z714+Y714)+MIN(MAX(Z714,0),'P-Parametri'!$B$8*(Z714+Y714)))</f>
        <v>9.0949470177292824E-13</v>
      </c>
      <c r="AB714" s="18">
        <f>IF($A714&gt;('1-Input'!$B$26-2),Z714,Z714-MIN(MAX(Z714,0),'P-Parametri'!$B$8*(Z714+Y714)))</f>
        <v>19507.897211128373</v>
      </c>
      <c r="AC714" s="18">
        <f>IF($A714&gt;('1-Input'!$B$26-2),AC713,AC713-X714*(1-W714))</f>
        <v>4939.1312790442435</v>
      </c>
      <c r="AD714" s="11">
        <f>IF($A714&gt;('1-Input'!$B$26-2),0,IF(AI713&lt;=0,0,MAX(0,(AI713-AJ713)/AI713)))</f>
        <v>0.73973972940125665</v>
      </c>
      <c r="AE714" s="18">
        <f>IF($A714&gt;('1-Input'!$B$26-2),0,(MAX(0,AD671-IF($A714&gt;='1-Input'!$C$12,'1-Input'!$B$12,0))-MIN(MAX(AH713,0),MAX(0,AD671-IF($A714&gt;='1-Input'!$C$12,'1-Input'!$B$12,0))))*(1/(1-'P-Parametri'!$B$6*AD714))+MIN(MAX(0,AI713-(MAX(0,AD671-IF($A714&gt;='1-Input'!$C$12,'1-Input'!$B$12,0))-MIN(MAX(AH713,0),MAX(0,AD671-IF($A714&gt;='1-Input'!$C$12,'1-Input'!$B$12,0))))*(1/(1-'P-Parametri'!$B$6*AD714))),MAX(0,0*AD671-(AH713-MIN(MAX(AH713,0),MAX(0,AD671-IF($A714&gt;='1-Input'!$C$12,'1-Input'!$B$12,0)))))*(1/(1-'P-Parametri'!$B$6*AD714))))</f>
        <v>9832.9417323688849</v>
      </c>
      <c r="AF714" s="18">
        <f>IF($A714&gt;('1-Input'!$B$26-2),AH713,(AH713-MAX(0,AD671-IF($A714&gt;='1-Input'!$C$12,'1-Input'!$B$12,0))+AE714*(1-'P-Parametri'!$B$6*AD714))*(1+'1-Input'!$B$27))</f>
        <v>0</v>
      </c>
      <c r="AG714" s="18">
        <f>IF($A714&gt;('1-Input'!$B$26-2),AI713,(AI713-AE714)*(1+'5-Roberta'!$C$4))</f>
        <v>19493.831531469485</v>
      </c>
      <c r="AH714" s="18">
        <f>IF($A714&gt;('1-Input'!$B$26-2),AF714,AF714-'P-Parametri'!$B$8*(AG714+AF714)+MIN(MAX(AG714,0),'P-Parametri'!$B$8*(AG714+AF714)))</f>
        <v>0</v>
      </c>
      <c r="AI714" s="18">
        <f>IF($A714&gt;('1-Input'!$B$26-2),AG714,AG714-MIN(MAX(AG714,0),'P-Parametri'!$B$8*(AG714+AF714)))</f>
        <v>19454.843868406544</v>
      </c>
      <c r="AJ714" s="18">
        <f>IF($A714&gt;('1-Input'!$B$26-2),AJ713,AJ713-AE714*(1-AD714))</f>
        <v>4925.6989023170527</v>
      </c>
      <c r="AK714" s="11">
        <f>IF($A714&gt;('1-Input'!$B$26-2),0,IF(AP713&lt;=0,0,MAX(0,(AP713-AQ713)/AP713)))</f>
        <v>0.73973972940125643</v>
      </c>
      <c r="AL714" s="18">
        <f>IF($A714&gt;('1-Input'!$B$26-2),0,(MAX(0,AK671-IF($A714&gt;='1-Input'!$C$12,'1-Input'!$B$12,0))-MIN(MAX(AO713,0),MAX(0,AK671-IF($A714&gt;='1-Input'!$C$12,'1-Input'!$B$12,0))))*(1/(1-'P-Parametri'!$B$6*AK714))+MIN(MAX(0,AP713-(MAX(0,AK671-IF($A714&gt;='1-Input'!$C$12,'1-Input'!$B$12,0))-MIN(MAX(AO713,0),MAX(0,AK671-IF($A714&gt;='1-Input'!$C$12,'1-Input'!$B$12,0))))*(1/(1-'P-Parametri'!$B$6*AK714))),MAX(0,0*AK671-(AO713-MIN(MAX(AO713,0),MAX(0,AK671-IF($A714&gt;='1-Input'!$C$12,'1-Input'!$B$12,0)))))*(1/(1-'P-Parametri'!$B$6*AK714))))</f>
        <v>9832.8134164349303</v>
      </c>
      <c r="AM714" s="18">
        <f>IF($A714&gt;('1-Input'!$B$26-2),AO713,(AO713-MAX(0,AK671-IF($A714&gt;='1-Input'!$C$12,'1-Input'!$B$12,0))+AL714*(1-'P-Parametri'!$B$6*AK714))*(1+'1-Input'!$B$27))</f>
        <v>0</v>
      </c>
      <c r="AN714" s="18">
        <f>IF($A714&gt;('1-Input'!$B$26-2),AP713,(AP713-AL714)*(1+'5-Roberta'!$C$4))</f>
        <v>19502.981785591815</v>
      </c>
      <c r="AO714" s="18">
        <f>IF($A714&gt;('1-Input'!$B$26-2),AM714,AM714-'P-Parametri'!$B$8*(AN714+AM714)+MIN(MAX(AN714,0),'P-Parametri'!$B$8*(AN714+AM714)))</f>
        <v>0</v>
      </c>
      <c r="AP714" s="18">
        <f>IF($A714&gt;('1-Input'!$B$26-2),AN714,AN714-MIN(MAX(AN714,0),'P-Parametri'!$B$8*(AN714+AM714)))</f>
        <v>19463.975822020631</v>
      </c>
      <c r="AQ714" s="18">
        <f>IF($A714&gt;('1-Input'!$B$26-2),AQ713,AQ713-AL714*(1-AK714))</f>
        <v>4928.0109873791189</v>
      </c>
    </row>
    <row r="715" spans="1:43">
      <c r="A715" s="10">
        <f>42</f>
        <v>42</v>
      </c>
      <c r="B715" s="11">
        <f>IF($A715&gt;('1-Input'!$B$26-2),0,IF(G714&lt;=0,0,MAX(0,(G714-H714)/G714)))</f>
        <v>0.74681375313856491</v>
      </c>
      <c r="C715" s="18">
        <f>IF($A715&gt;('1-Input'!$B$26-2),0,(MAX(0,B671-IF($A715&gt;='1-Input'!$C$12,'1-Input'!$B$12,0))-MIN(MAX(F714,0),MAX(0,B671-IF($A715&gt;='1-Input'!$C$12,'1-Input'!$B$12,0))))*(1/(1-'P-Parametri'!$B$6*B715))+MIN(MAX(0,G714-(MAX(0,B671-IF($A715&gt;='1-Input'!$C$12,'1-Input'!$B$12,0))-MIN(MAX(F714,0),MAX(0,B671-IF($A715&gt;='1-Input'!$C$12,'1-Input'!$B$12,0))))*(1/(1-'P-Parametri'!$B$6*B715))),MAX(0,0*B671-(F714-MIN(MAX(F714,0),MAX(0,B671-IF($A715&gt;='1-Input'!$C$12,'1-Input'!$B$12,0)))))*(1/(1-'P-Parametri'!$B$6*B715))))</f>
        <v>6923.3786587702771</v>
      </c>
      <c r="D715" s="18">
        <f>IF($A715&gt;('1-Input'!$B$26-2),F714,(F714-MAX(0,B671-IF($A715&gt;='1-Input'!$C$12,'1-Input'!$B$12,0))+C715*(1-'P-Parametri'!$B$6*B715))*(1+'1-Input'!$B$27))</f>
        <v>-9.0622052084654565E-13</v>
      </c>
      <c r="E715" s="18">
        <f>IF($A715&gt;('1-Input'!$B$26-2),G714,(G714-C715)*(1+'5-Roberta'!$C$4))</f>
        <v>227342.11662392397</v>
      </c>
      <c r="F715" s="18">
        <f>IF($A715&gt;('1-Input'!$B$26-2),D715,D715-'P-Parametri'!$B$8*(E715+D715)+MIN(MAX(E715,0),'P-Parametri'!$B$8*(E715+D715)))</f>
        <v>-9.0949470177292824E-13</v>
      </c>
      <c r="G715" s="18">
        <f>IF($A715&gt;('1-Input'!$B$26-2),E715,E715-MIN(MAX(E715,0),'P-Parametri'!$B$8*(E715+D715)))</f>
        <v>226887.43239067611</v>
      </c>
      <c r="H715" s="18">
        <f>IF($A715&gt;('1-Input'!$B$26-2),H714,H714-C715*(1-B715))</f>
        <v>55883.395399559202</v>
      </c>
      <c r="I715" s="11">
        <f>IF($A715&gt;('1-Input'!$B$26-2),0,IF(N714&lt;=0,0,MAX(0,(N714-O714)/N714)))</f>
        <v>0</v>
      </c>
      <c r="J715" s="18">
        <f>IF($A715&gt;('1-Input'!$B$26-2),0,(MAX(0,I671-IF($A715&gt;='1-Input'!$C$12,'1-Input'!$B$12,0))-MIN(MAX(M714,0),MAX(0,I671-IF($A715&gt;='1-Input'!$C$12,'1-Input'!$B$12,0))))*(1/(1-'P-Parametri'!$B$6*I715))+MIN(MAX(0,N714-(MAX(0,I671-IF($A715&gt;='1-Input'!$C$12,'1-Input'!$B$12,0))-MIN(MAX(M714,0),MAX(0,I671-IF($A715&gt;='1-Input'!$C$12,'1-Input'!$B$12,0))))*(1/(1-'P-Parametri'!$B$6*I715))),MAX(0,0*I671-(M714-MIN(MAX(M714,0),MAX(0,I671-IF($A715&gt;='1-Input'!$C$12,'1-Input'!$B$12,0)))))*(1/(1-'P-Parametri'!$B$6*I715))))</f>
        <v>10846.756992928691</v>
      </c>
      <c r="K715" s="18">
        <f>IF($A715&gt;('1-Input'!$B$26-2),M714,(M714-MAX(0,I671-IF($A715&gt;='1-Input'!$C$12,'1-Input'!$B$12,0))+J715*(1-'P-Parametri'!$B$6*I715))*(1+'1-Input'!$B$27))</f>
        <v>0</v>
      </c>
      <c r="L715" s="18">
        <f>IF($A715&gt;('1-Input'!$B$26-2),N714,(N714-J715)*(1+'5-Roberta'!$C$4))</f>
        <v>-212983.47401356764</v>
      </c>
      <c r="M715" s="18">
        <f>IF($A715&gt;('1-Input'!$B$26-2),K715,K715-'P-Parametri'!$B$8*(L715+K715)+MIN(MAX(L715,0),'P-Parametri'!$B$8*(L715+K715)))</f>
        <v>0</v>
      </c>
      <c r="N715" s="18">
        <f>IF($A715&gt;('1-Input'!$B$26-2),L715,L715-MIN(MAX(L715,0),'P-Parametri'!$B$8*(L715+K715)))</f>
        <v>-212557.5070655405</v>
      </c>
      <c r="O715" s="18">
        <f>IF($A715&gt;('1-Input'!$B$26-2),O714,O714-J715*(1-I715))</f>
        <v>-164742.32835905568</v>
      </c>
      <c r="P715" s="11">
        <f>IF($A715&gt;('1-Input'!$B$26-2),0,IF(U714&lt;=0,0,MAX(0,(U714-V714)/U714)))</f>
        <v>0</v>
      </c>
      <c r="Q715" s="18">
        <f>IF($A715&gt;('1-Input'!$B$26-2),0,(MAX(0,P671-IF($A715&gt;='1-Input'!$C$12,'1-Input'!$B$12,0))-MIN(MAX(T714,0),MAX(0,P671-IF($A715&gt;='1-Input'!$C$12,'1-Input'!$B$12,0))))*(1/(1-'P-Parametri'!$B$6*P715))+MIN(MAX(0,U714-(MAX(0,P671-IF($A715&gt;='1-Input'!$C$12,'1-Input'!$B$12,0))-MIN(MAX(T714,0),MAX(0,P671-IF($A715&gt;='1-Input'!$C$12,'1-Input'!$B$12,0))))*(1/(1-'P-Parametri'!$B$6*P715))),MAX(0,0*P671-(T714-MIN(MAX(T714,0),MAX(0,P671-IF($A715&gt;='1-Input'!$C$12,'1-Input'!$B$12,0)))))*(1/(1-'P-Parametri'!$B$6*P715))))</f>
        <v>8192.3771803731652</v>
      </c>
      <c r="R715" s="18">
        <f>IF($A715&gt;('1-Input'!$B$26-2),T714,(T714-MAX(0,P671-IF($A715&gt;='1-Input'!$C$12,'1-Input'!$B$12,0))+Q715*(1-'P-Parametri'!$B$6*P715))*(1+'1-Input'!$B$27))</f>
        <v>0</v>
      </c>
      <c r="S715" s="18">
        <f>IF($A715&gt;('1-Input'!$B$26-2),U714,(U714-Q715)*(1+'5-Roberta'!$C$4))</f>
        <v>-11146.301102897129</v>
      </c>
      <c r="T715" s="18">
        <f>IF($A715&gt;('1-Input'!$B$26-2),R715,R715-'P-Parametri'!$B$8*(S715+R715)+MIN(MAX(S715,0),'P-Parametri'!$B$8*(S715+R715)))</f>
        <v>0</v>
      </c>
      <c r="U715" s="18">
        <f>IF($A715&gt;('1-Input'!$B$26-2),S715,S715-MIN(MAX(S715,0),'P-Parametri'!$B$8*(S715+R715)))</f>
        <v>-11124.008500691334</v>
      </c>
      <c r="V715" s="18">
        <f>IF($A715&gt;('1-Input'!$B$26-2),V714,V714-Q715*(1-P715))</f>
        <v>-8858.0732915604385</v>
      </c>
      <c r="W715" s="11">
        <f>IF($A715&gt;('1-Input'!$B$26-2),0,IF(AB714&lt;=0,0,MAX(0,(AB714-AC714)/AB714)))</f>
        <v>0.74681375313856524</v>
      </c>
      <c r="X715" s="18">
        <f>IF($A715&gt;('1-Input'!$B$26-2),0,(MAX(0,W671-IF($A715&gt;='1-Input'!$C$12,'1-Input'!$B$12,0))-MIN(MAX(AA714,0),MAX(0,W671-IF($A715&gt;='1-Input'!$C$12,'1-Input'!$B$12,0))))*(1/(1-'P-Parametri'!$B$6*W715))+MIN(MAX(0,AB714-(MAX(0,W671-IF($A715&gt;='1-Input'!$C$12,'1-Input'!$B$12,0))-MIN(MAX(AA714,0),MAX(0,W671-IF($A715&gt;='1-Input'!$C$12,'1-Input'!$B$12,0))))*(1/(1-'P-Parametri'!$B$6*W715))),MAX(0,0*W671-(AA714-MIN(MAX(AA714,0),MAX(0,W671-IF($A715&gt;='1-Input'!$C$12,'1-Input'!$B$12,0)))))*(1/(1-'P-Parametri'!$B$6*W715))))</f>
        <v>9854.6375532454767</v>
      </c>
      <c r="Y715" s="18">
        <f>IF($A715&gt;('1-Input'!$B$26-2),AA714,(AA714-MAX(0,W671-IF($A715&gt;='1-Input'!$C$12,'1-Input'!$B$12,0))+X715*(1-'P-Parametri'!$B$6*W715))*(1+'1-Input'!$B$27))</f>
        <v>-9.0622052084654565E-13</v>
      </c>
      <c r="Z715" s="18">
        <f>IF($A715&gt;('1-Input'!$B$26-2),AB714,(AB714-X715)*(1+'5-Roberta'!$C$4))</f>
        <v>9942.8574476193826</v>
      </c>
      <c r="AA715" s="18">
        <f>IF($A715&gt;('1-Input'!$B$26-2),Y715,Y715-'P-Parametri'!$B$8*(Z715+Y715)+MIN(MAX(Z715,0),'P-Parametri'!$B$8*(Z715+Y715)))</f>
        <v>-9.0594198809412774E-13</v>
      </c>
      <c r="AB715" s="18">
        <f>IF($A715&gt;('1-Input'!$B$26-2),Z715,Z715-MIN(MAX(Z715,0),'P-Parametri'!$B$8*(Z715+Y715)))</f>
        <v>9922.9717327241433</v>
      </c>
      <c r="AC715" s="18">
        <f>IF($A715&gt;('1-Input'!$B$26-2),AC714,AC714-X715*(1-W715))</f>
        <v>2444.0725827582687</v>
      </c>
      <c r="AD715" s="11">
        <f>IF($A715&gt;('1-Input'!$B$26-2),0,IF(AI714&lt;=0,0,MAX(0,(AI714-AJ714)/AI714)))</f>
        <v>0.74681375313856502</v>
      </c>
      <c r="AE715" s="18">
        <f>IF($A715&gt;('1-Input'!$B$26-2),0,(MAX(0,AD671-IF($A715&gt;='1-Input'!$C$12,'1-Input'!$B$12,0))-MIN(MAX(AH714,0),MAX(0,AD671-IF($A715&gt;='1-Input'!$C$12,'1-Input'!$B$12,0))))*(1/(1-'P-Parametri'!$B$6*AD715))+MIN(MAX(0,AI714-(MAX(0,AD671-IF($A715&gt;='1-Input'!$C$12,'1-Input'!$B$12,0))-MIN(MAX(AH714,0),MAX(0,AD671-IF($A715&gt;='1-Input'!$C$12,'1-Input'!$B$12,0))))*(1/(1-'P-Parametri'!$B$6*AD715))),MAX(0,0*AD671-(AH714-MIN(MAX(AH714,0),MAX(0,AD671-IF($A715&gt;='1-Input'!$C$12,'1-Input'!$B$12,0)))))*(1/(1-'P-Parametri'!$B$6*AD715))))</f>
        <v>9855.3847238234575</v>
      </c>
      <c r="AF715" s="18">
        <f>IF($A715&gt;('1-Input'!$B$26-2),AH714,(AH714-MAX(0,AD671-IF($A715&gt;='1-Input'!$C$12,'1-Input'!$B$12,0))+AE715*(1-'P-Parametri'!$B$6*AD715))*(1+'1-Input'!$B$27))</f>
        <v>0</v>
      </c>
      <c r="AG715" s="18">
        <f>IF($A715&gt;('1-Input'!$B$26-2),AI714,(AI714-AE715)*(1+'5-Roberta'!$C$4))</f>
        <v>9887.4429189205803</v>
      </c>
      <c r="AH715" s="18">
        <f>IF($A715&gt;('1-Input'!$B$26-2),AF715,AF715-'P-Parametri'!$B$8*(AG715+AF715)+MIN(MAX(AG715,0),'P-Parametri'!$B$8*(AG715+AF715)))</f>
        <v>0</v>
      </c>
      <c r="AI715" s="18">
        <f>IF($A715&gt;('1-Input'!$B$26-2),AG715,AG715-MIN(MAX(AG715,0),'P-Parametri'!$B$8*(AG715+AF715)))</f>
        <v>9867.6680330827385</v>
      </c>
      <c r="AJ715" s="18">
        <f>IF($A715&gt;('1-Input'!$B$26-2),AJ714,AJ714-AE715*(1-AD715))</f>
        <v>2430.4510327166713</v>
      </c>
      <c r="AK715" s="11">
        <f>IF($A715&gt;('1-Input'!$B$26-2),0,IF(AP714&lt;=0,0,MAX(0,(AP714-AQ714)/AP714)))</f>
        <v>0.74681375313856491</v>
      </c>
      <c r="AL715" s="18">
        <f>IF($A715&gt;('1-Input'!$B$26-2),0,(MAX(0,AK671-IF($A715&gt;='1-Input'!$C$12,'1-Input'!$B$12,0))-MIN(MAX(AO714,0),MAX(0,AK671-IF($A715&gt;='1-Input'!$C$12,'1-Input'!$B$12,0))))*(1/(1-'P-Parametri'!$B$6*AK715))+MIN(MAX(0,AP714-(MAX(0,AK671-IF($A715&gt;='1-Input'!$C$12,'1-Input'!$B$12,0))-MIN(MAX(AO714,0),MAX(0,AK671-IF($A715&gt;='1-Input'!$C$12,'1-Input'!$B$12,0))))*(1/(1-'P-Parametri'!$B$6*AK715))),MAX(0,0*AK671-(AO714-MIN(MAX(AO714,0),MAX(0,AK671-IF($A715&gt;='1-Input'!$C$12,'1-Input'!$B$12,0)))))*(1/(1-'P-Parametri'!$B$6*AK715))))</f>
        <v>9855.2561150174897</v>
      </c>
      <c r="AM715" s="18">
        <f>IF($A715&gt;('1-Input'!$B$26-2),AO714,(AO714-MAX(0,AK671-IF($A715&gt;='1-Input'!$C$12,'1-Input'!$B$12,0))+AL715*(1-'P-Parametri'!$B$6*AK715))*(1+'1-Input'!$B$27))</f>
        <v>0</v>
      </c>
      <c r="AN715" s="18">
        <f>IF($A715&gt;('1-Input'!$B$26-2),AP714,(AP714-AL715)*(1+'5-Roberta'!$C$4))</f>
        <v>9896.9812982132353</v>
      </c>
      <c r="AO715" s="18">
        <f>IF($A715&gt;('1-Input'!$B$26-2),AM715,AM715-'P-Parametri'!$B$8*(AN715+AM715)+MIN(MAX(AN715,0),'P-Parametri'!$B$8*(AN715+AM715)))</f>
        <v>0</v>
      </c>
      <c r="AP715" s="18">
        <f>IF($A715&gt;('1-Input'!$B$26-2),AN715,AN715-MIN(MAX(AN715,0),'P-Parametri'!$B$8*(AN715+AM715)))</f>
        <v>9877.1873356168089</v>
      </c>
      <c r="AQ715" s="18">
        <f>IF($A715&gt;('1-Input'!$B$26-2),AQ714,AQ714-AL715*(1-AK715))</f>
        <v>2432.795679759633</v>
      </c>
    </row>
    <row r="716" spans="1:43">
      <c r="A716" s="10">
        <f>43</f>
        <v>43</v>
      </c>
      <c r="B716" s="11">
        <f>IF($A716&gt;('1-Input'!$B$26-2),0,IF(G715&lt;=0,0,MAX(0,(G715-H715)/G715)))</f>
        <v>0.75369550084495684</v>
      </c>
      <c r="C716" s="18">
        <f>IF($A716&gt;('1-Input'!$B$26-2),0,(MAX(0,B671-IF($A716&gt;='1-Input'!$C$12,'1-Input'!$B$12,0))-MIN(MAX(F715,0),MAX(0,B671-IF($A716&gt;='1-Input'!$C$12,'1-Input'!$B$12,0))))*(1/(1-'P-Parametri'!$B$6*B716))+MIN(MAX(0,G715-(MAX(0,B671-IF($A716&gt;='1-Input'!$C$12,'1-Input'!$B$12,0))-MIN(MAX(F715,0),MAX(0,B671-IF($A716&gt;='1-Input'!$C$12,'1-Input'!$B$12,0))))*(1/(1-'P-Parametri'!$B$6*B716))),MAX(0,0*B671-(F715-MIN(MAX(F715,0),MAX(0,B671-IF($A716&gt;='1-Input'!$C$12,'1-Input'!$B$12,0)))))*(1/(1-'P-Parametri'!$B$6*B716))))</f>
        <v>6938.7854775161968</v>
      </c>
      <c r="D716" s="18">
        <f>IF($A716&gt;('1-Input'!$B$26-2),F715,(F715-MAX(0,B671-IF($A716&gt;='1-Input'!$C$12,'1-Input'!$B$12,0))+C716*(1-'P-Parametri'!$B$6*B716))*(1+'1-Input'!$B$27))</f>
        <v>0</v>
      </c>
      <c r="E716" s="18">
        <f>IF($A716&gt;('1-Input'!$B$26-2),G715,(G715-C716)*(1+'5-Roberta'!$C$4))</f>
        <v>226547.10632055474</v>
      </c>
      <c r="F716" s="18">
        <f>IF($A716&gt;('1-Input'!$B$26-2),D716,D716-'P-Parametri'!$B$8*(E716+D716)+MIN(MAX(E716,0),'P-Parametri'!$B$8*(E716+D716)))</f>
        <v>0</v>
      </c>
      <c r="G716" s="18">
        <f>IF($A716&gt;('1-Input'!$B$26-2),E716,E716-MIN(MAX(E716,0),'P-Parametri'!$B$8*(E716+D716)))</f>
        <v>226094.01210791364</v>
      </c>
      <c r="H716" s="18">
        <f>IF($A716&gt;('1-Input'!$B$26-2),H715,H715-C716*(1-B716))</f>
        <v>54174.341317775288</v>
      </c>
      <c r="I716" s="11">
        <f>IF($A716&gt;('1-Input'!$B$26-2),0,IF(N715&lt;=0,0,MAX(0,(N715-O715)/N715)))</f>
        <v>0</v>
      </c>
      <c r="J716" s="18">
        <f>IF($A716&gt;('1-Input'!$B$26-2),0,(MAX(0,I671-IF($A716&gt;='1-Input'!$C$12,'1-Input'!$B$12,0))-MIN(MAX(M715,0),MAX(0,I671-IF($A716&gt;='1-Input'!$C$12,'1-Input'!$B$12,0))))*(1/(1-'P-Parametri'!$B$6*I716))+MIN(MAX(0,N715-(MAX(0,I671-IF($A716&gt;='1-Input'!$C$12,'1-Input'!$B$12,0))-MIN(MAX(M715,0),MAX(0,I671-IF($A716&gt;='1-Input'!$C$12,'1-Input'!$B$12,0))))*(1/(1-'P-Parametri'!$B$6*I716))),MAX(0,0*I671-(M715-MIN(MAX(M715,0),MAX(0,I671-IF($A716&gt;='1-Input'!$C$12,'1-Input'!$B$12,0)))))*(1/(1-'P-Parametri'!$B$6*I716))))</f>
        <v>10846.756992928691</v>
      </c>
      <c r="K716" s="18">
        <f>IF($A716&gt;('1-Input'!$B$26-2),M715,(M715-MAX(0,I671-IF($A716&gt;='1-Input'!$C$12,'1-Input'!$B$12,0))+J716*(1-'P-Parametri'!$B$6*I716))*(1+'1-Input'!$B$27))</f>
        <v>0</v>
      </c>
      <c r="L716" s="18">
        <f>IF($A716&gt;('1-Input'!$B$26-2),N715,(N715-J716)*(1+'5-Roberta'!$C$4))</f>
        <v>-230106.39198022327</v>
      </c>
      <c r="M716" s="18">
        <f>IF($A716&gt;('1-Input'!$B$26-2),K716,K716-'P-Parametri'!$B$8*(L716+K716)+MIN(MAX(L716,0),'P-Parametri'!$B$8*(L716+K716)))</f>
        <v>0</v>
      </c>
      <c r="N716" s="18">
        <f>IF($A716&gt;('1-Input'!$B$26-2),L716,L716-MIN(MAX(L716,0),'P-Parametri'!$B$8*(L716+K716)))</f>
        <v>-229646.17919626282</v>
      </c>
      <c r="O716" s="18">
        <f>IF($A716&gt;('1-Input'!$B$26-2),O715,O715-J716*(1-I716))</f>
        <v>-175589.08535198437</v>
      </c>
      <c r="P716" s="11">
        <f>IF($A716&gt;('1-Input'!$B$26-2),0,IF(U715&lt;=0,0,MAX(0,(U715-V715)/U715)))</f>
        <v>0</v>
      </c>
      <c r="Q716" s="18">
        <f>IF($A716&gt;('1-Input'!$B$26-2),0,(MAX(0,P671-IF($A716&gt;='1-Input'!$C$12,'1-Input'!$B$12,0))-MIN(MAX(T715,0),MAX(0,P671-IF($A716&gt;='1-Input'!$C$12,'1-Input'!$B$12,0))))*(1/(1-'P-Parametri'!$B$6*P716))+MIN(MAX(0,U715-(MAX(0,P671-IF($A716&gt;='1-Input'!$C$12,'1-Input'!$B$12,0))-MIN(MAX(T715,0),MAX(0,P671-IF($A716&gt;='1-Input'!$C$12,'1-Input'!$B$12,0))))*(1/(1-'P-Parametri'!$B$6*P716))),MAX(0,0*P671-(T715-MIN(MAX(T715,0),MAX(0,P671-IF($A716&gt;='1-Input'!$C$12,'1-Input'!$B$12,0)))))*(1/(1-'P-Parametri'!$B$6*P716))))</f>
        <v>8192.3771803731652</v>
      </c>
      <c r="R716" s="18">
        <f>IF($A716&gt;('1-Input'!$B$26-2),T715,(T715-MAX(0,P671-IF($A716&gt;='1-Input'!$C$12,'1-Input'!$B$12,0))+Q716*(1-'P-Parametri'!$B$6*P716))*(1+'1-Input'!$B$27))</f>
        <v>0</v>
      </c>
      <c r="S716" s="18">
        <f>IF($A716&gt;('1-Input'!$B$26-2),U715,(U715-Q716)*(1+'5-Roberta'!$C$4))</f>
        <v>-19895.877251496437</v>
      </c>
      <c r="T716" s="18">
        <f>IF($A716&gt;('1-Input'!$B$26-2),R716,R716-'P-Parametri'!$B$8*(S716+R716)+MIN(MAX(S716,0),'P-Parametri'!$B$8*(S716+R716)))</f>
        <v>0</v>
      </c>
      <c r="U716" s="18">
        <f>IF($A716&gt;('1-Input'!$B$26-2),S716,S716-MIN(MAX(S716,0),'P-Parametri'!$B$8*(S716+R716)))</f>
        <v>-19856.085496993444</v>
      </c>
      <c r="V716" s="18">
        <f>IF($A716&gt;('1-Input'!$B$26-2),V715,V715-Q716*(1-P716))</f>
        <v>-17050.450471933604</v>
      </c>
      <c r="W716" s="11">
        <f>IF($A716&gt;('1-Input'!$B$26-2),0,IF(AB715&lt;=0,0,MAX(0,(AB715-AC715)/AB715)))</f>
        <v>0.75369550084495707</v>
      </c>
      <c r="X716" s="18">
        <f>IF($A716&gt;('1-Input'!$B$26-2),0,(MAX(0,W671-IF($A716&gt;='1-Input'!$C$12,'1-Input'!$B$12,0))-MIN(MAX(AA715,0),MAX(0,W671-IF($A716&gt;='1-Input'!$C$12,'1-Input'!$B$12,0))))*(1/(1-'P-Parametri'!$B$6*W716))+MIN(MAX(0,AB715-(MAX(0,W671-IF($A716&gt;='1-Input'!$C$12,'1-Input'!$B$12,0))-MIN(MAX(AA715,0),MAX(0,W671-IF($A716&gt;='1-Input'!$C$12,'1-Input'!$B$12,0))))*(1/(1-'P-Parametri'!$B$6*W716))),MAX(0,0*W671-(AA715-MIN(MAX(AA715,0),MAX(0,W671-IF($A716&gt;='1-Input'!$C$12,'1-Input'!$B$12,0)))))*(1/(1-'P-Parametri'!$B$6*W716))))</f>
        <v>9876.5673973393386</v>
      </c>
      <c r="Y716" s="18">
        <f>IF($A716&gt;('1-Input'!$B$26-2),AA715,(AA715-MAX(0,W671-IF($A716&gt;='1-Input'!$C$12,'1-Input'!$B$12,0))+X716*(1-'P-Parametri'!$B$6*W716))*(1+'1-Input'!$B$27))</f>
        <v>9.0622052084654565E-13</v>
      </c>
      <c r="Z716" s="18">
        <f>IF($A716&gt;('1-Input'!$B$26-2),AB715,(AB715-X716)*(1+'5-Roberta'!$C$4))</f>
        <v>47.796465446348797</v>
      </c>
      <c r="AA716" s="18">
        <f>IF($A716&gt;('1-Input'!$B$26-2),Y716,Y716-'P-Parametri'!$B$8*(Z716+Y716)+MIN(MAX(Z716,0),'P-Parametri'!$B$8*(Z716+Y716)))</f>
        <v>9.0621954385028403E-13</v>
      </c>
      <c r="AB716" s="18">
        <f>IF($A716&gt;('1-Input'!$B$26-2),Z716,Z716-MIN(MAX(Z716,0),'P-Parametri'!$B$8*(Z716+Y716)))</f>
        <v>47.700872515456098</v>
      </c>
      <c r="AC716" s="18">
        <f>IF($A716&gt;('1-Input'!$B$26-2),AC715,AC715-X716*(1-W716))</f>
        <v>11.429596585577201</v>
      </c>
      <c r="AD716" s="11">
        <f>IF($A716&gt;('1-Input'!$B$26-2),0,IF(AI715&lt;=0,0,MAX(0,(AI715-AJ715)/AI715)))</f>
        <v>0.75369550084495707</v>
      </c>
      <c r="AE716" s="18">
        <f>IF($A716&gt;('1-Input'!$B$26-2),0,(MAX(0,AD671-IF($A716&gt;='1-Input'!$C$12,'1-Input'!$B$12,0))-MIN(MAX(AH715,0),MAX(0,AD671-IF($A716&gt;='1-Input'!$C$12,'1-Input'!$B$12,0))))*(1/(1-'P-Parametri'!$B$6*AD716))+MIN(MAX(0,AI715-(MAX(0,AD671-IF($A716&gt;='1-Input'!$C$12,'1-Input'!$B$12,0))-MIN(MAX(AH715,0),MAX(0,AD671-IF($A716&gt;='1-Input'!$C$12,'1-Input'!$B$12,0))))*(1/(1-'P-Parametri'!$B$6*AD716))),MAX(0,0*AD671-(AH715-MIN(MAX(AH715,0),MAX(0,AD671-IF($A716&gt;='1-Input'!$C$12,'1-Input'!$B$12,0)))))*(1/(1-'P-Parametri'!$B$6*AD716))))</f>
        <v>9877.3162306201993</v>
      </c>
      <c r="AF716" s="18">
        <f>IF($A716&gt;('1-Input'!$B$26-2),AH715,(AH715-MAX(0,AD671-IF($A716&gt;='1-Input'!$C$12,'1-Input'!$B$12,0))+AE716*(1-'P-Parametri'!$B$6*AD716))*(1+'1-Input'!$B$27))</f>
        <v>0</v>
      </c>
      <c r="AG716" s="18">
        <f>IF($A716&gt;('1-Input'!$B$26-2),AI715,(AI715-AE716)*(1+'5-Roberta'!$C$4))</f>
        <v>-9.9376434635847009</v>
      </c>
      <c r="AH716" s="18">
        <f>IF($A716&gt;('1-Input'!$B$26-2),AF716,AF716-'P-Parametri'!$B$8*(AG716+AF716)+MIN(MAX(AG716,0),'P-Parametri'!$B$8*(AG716+AF716)))</f>
        <v>0</v>
      </c>
      <c r="AI716" s="18">
        <f>IF($A716&gt;('1-Input'!$B$26-2),AG716,AG716-MIN(MAX(AG716,0),'P-Parametri'!$B$8*(AG716+AF716)))</f>
        <v>-9.9177681766575319</v>
      </c>
      <c r="AJ716" s="18">
        <f>IF($A716&gt;('1-Input'!$B$26-2),AJ715,AJ715-AE716*(1-AD716))</f>
        <v>-2.376394462213284</v>
      </c>
      <c r="AK716" s="11">
        <f>IF($A716&gt;('1-Input'!$B$26-2),0,IF(AP715&lt;=0,0,MAX(0,(AP715-AQ715)/AP715)))</f>
        <v>0.75369550084495696</v>
      </c>
      <c r="AL716" s="18">
        <f>IF($A716&gt;('1-Input'!$B$26-2),0,(MAX(0,AK671-IF($A716&gt;='1-Input'!$C$12,'1-Input'!$B$12,0))-MIN(MAX(AO715,0),MAX(0,AK671-IF($A716&gt;='1-Input'!$C$12,'1-Input'!$B$12,0))))*(1/(1-'P-Parametri'!$B$6*AK716))+MIN(MAX(0,AP715-(MAX(0,AK671-IF($A716&gt;='1-Input'!$C$12,'1-Input'!$B$12,0))-MIN(MAX(AO715,0),MAX(0,AK671-IF($A716&gt;='1-Input'!$C$12,'1-Input'!$B$12,0))))*(1/(1-'P-Parametri'!$B$6*AK716))),MAX(0,0*AK671-(AO715-MIN(MAX(AO715,0),MAX(0,AK671-IF($A716&gt;='1-Input'!$C$12,'1-Input'!$B$12,0)))))*(1/(1-'P-Parametri'!$B$6*AK716))))</f>
        <v>9877.1873356168908</v>
      </c>
      <c r="AM716" s="18">
        <f>IF($A716&gt;('1-Input'!$B$26-2),AO715,(AO715-MAX(0,AK671-IF($A716&gt;='1-Input'!$C$12,'1-Input'!$B$12,0))+AL716*(1-'P-Parametri'!$B$6*AK716))*(1+'1-Input'!$B$27))</f>
        <v>-9.0622052084654565E-13</v>
      </c>
      <c r="AN716" s="18">
        <f>IF($A716&gt;('1-Input'!$B$26-2),AP715,(AP715-AL716)*(1+'5-Roberta'!$C$4))</f>
        <v>-8.431015885435045E-11</v>
      </c>
      <c r="AO716" s="18">
        <f>IF($A716&gt;('1-Input'!$B$26-2),AM716,AM716-'P-Parametri'!$B$8*(AN716+AM716)+MIN(MAX(AN716,0),'P-Parametri'!$B$8*(AN716+AM716)))</f>
        <v>-9.0622052084654565E-13</v>
      </c>
      <c r="AP716" s="18">
        <f>IF($A716&gt;('1-Input'!$B$26-2),AN716,AN716-MIN(MAX(AN716,0),'P-Parametri'!$B$8*(AN716+AM716)))</f>
        <v>-8.4139726095600058E-11</v>
      </c>
      <c r="AQ716" s="18">
        <f>IF($A716&gt;('1-Input'!$B$26-2),AQ715,AQ715-AL716*(1-AK716))</f>
        <v>-1.9099388737231493E-11</v>
      </c>
    </row>
    <row r="717" spans="1:43">
      <c r="A717" s="10">
        <f>44</f>
        <v>44</v>
      </c>
      <c r="B717" s="11">
        <f>IF($A717&gt;('1-Input'!$B$26-2),0,IF(G716&lt;=0,0,MAX(0,(G716-H716)/G716)))</f>
        <v>0</v>
      </c>
      <c r="C717" s="18">
        <f>IF($A717&gt;('1-Input'!$B$26-2),0,(MAX(0,B671-IF($A717&gt;='1-Input'!$C$12,'1-Input'!$B$12,0))-MIN(MAX(F716,0),MAX(0,B671-IF($A717&gt;='1-Input'!$C$12,'1-Input'!$B$12,0))))*(1/(1-'P-Parametri'!$B$6*B717))+MIN(MAX(0,G716-(MAX(0,B671-IF($A717&gt;='1-Input'!$C$12,'1-Input'!$B$12,0))-MIN(MAX(F716,0),MAX(0,B671-IF($A717&gt;='1-Input'!$C$12,'1-Input'!$B$12,0))))*(1/(1-'P-Parametri'!$B$6*B717))),MAX(0,0*B671-(F716-MIN(MAX(F716,0),MAX(0,B671-IF($A717&gt;='1-Input'!$C$12,'1-Input'!$B$12,0)))))*(1/(1-'P-Parametri'!$B$6*B717))))</f>
        <v>0</v>
      </c>
      <c r="D717" s="18">
        <f>IF($A717&gt;('1-Input'!$B$26-2),F716,(F716-MAX(0,B671-IF($A717&gt;='1-Input'!$C$12,'1-Input'!$B$12,0))+C717*(1-'P-Parametri'!$B$6*B717))*(1+'1-Input'!$B$27))</f>
        <v>0</v>
      </c>
      <c r="E717" s="18">
        <f>IF($A717&gt;('1-Input'!$B$26-2),G716,(G716-C717)*(1+'5-Roberta'!$C$4))</f>
        <v>226094.01210791364</v>
      </c>
      <c r="F717" s="18">
        <f>IF($A717&gt;('1-Input'!$B$26-2),D717,D717-'P-Parametri'!$B$8*(E717+D717)+MIN(MAX(E717,0),'P-Parametri'!$B$8*(E717+D717)))</f>
        <v>0</v>
      </c>
      <c r="G717" s="18">
        <f>IF($A717&gt;('1-Input'!$B$26-2),E717,E717-MIN(MAX(E717,0),'P-Parametri'!$B$8*(E717+D717)))</f>
        <v>226094.01210791364</v>
      </c>
      <c r="H717" s="18">
        <f>IF($A717&gt;('1-Input'!$B$26-2),H716,H716-C717*(1-B717))</f>
        <v>54174.341317775288</v>
      </c>
      <c r="I717" s="11">
        <f>IF($A717&gt;('1-Input'!$B$26-2),0,IF(N716&lt;=0,0,MAX(0,(N716-O716)/N716)))</f>
        <v>0</v>
      </c>
      <c r="J717" s="18">
        <f>IF($A717&gt;('1-Input'!$B$26-2),0,(MAX(0,I671-IF($A717&gt;='1-Input'!$C$12,'1-Input'!$B$12,0))-MIN(MAX(M716,0),MAX(0,I671-IF($A717&gt;='1-Input'!$C$12,'1-Input'!$B$12,0))))*(1/(1-'P-Parametri'!$B$6*I717))+MIN(MAX(0,N716-(MAX(0,I671-IF($A717&gt;='1-Input'!$C$12,'1-Input'!$B$12,0))-MIN(MAX(M716,0),MAX(0,I671-IF($A717&gt;='1-Input'!$C$12,'1-Input'!$B$12,0))))*(1/(1-'P-Parametri'!$B$6*I717))),MAX(0,0*I671-(M716-MIN(MAX(M716,0),MAX(0,I671-IF($A717&gt;='1-Input'!$C$12,'1-Input'!$B$12,0)))))*(1/(1-'P-Parametri'!$B$6*I717))))</f>
        <v>0</v>
      </c>
      <c r="K717" s="18">
        <f>IF($A717&gt;('1-Input'!$B$26-2),M716,(M716-MAX(0,I671-IF($A717&gt;='1-Input'!$C$12,'1-Input'!$B$12,0))+J717*(1-'P-Parametri'!$B$6*I717))*(1+'1-Input'!$B$27))</f>
        <v>0</v>
      </c>
      <c r="L717" s="18">
        <f>IF($A717&gt;('1-Input'!$B$26-2),N716,(N716-J717)*(1+'5-Roberta'!$C$4))</f>
        <v>-229646.17919626282</v>
      </c>
      <c r="M717" s="18">
        <f>IF($A717&gt;('1-Input'!$B$26-2),K717,K717-'P-Parametri'!$B$8*(L717+K717)+MIN(MAX(L717,0),'P-Parametri'!$B$8*(L717+K717)))</f>
        <v>0</v>
      </c>
      <c r="N717" s="18">
        <f>IF($A717&gt;('1-Input'!$B$26-2),L717,L717-MIN(MAX(L717,0),'P-Parametri'!$B$8*(L717+K717)))</f>
        <v>-229646.17919626282</v>
      </c>
      <c r="O717" s="18">
        <f>IF($A717&gt;('1-Input'!$B$26-2),O716,O716-J717*(1-I717))</f>
        <v>-175589.08535198437</v>
      </c>
      <c r="P717" s="11">
        <f>IF($A717&gt;('1-Input'!$B$26-2),0,IF(U716&lt;=0,0,MAX(0,(U716-V716)/U716)))</f>
        <v>0</v>
      </c>
      <c r="Q717" s="18">
        <f>IF($A717&gt;('1-Input'!$B$26-2),0,(MAX(0,P671-IF($A717&gt;='1-Input'!$C$12,'1-Input'!$B$12,0))-MIN(MAX(T716,0),MAX(0,P671-IF($A717&gt;='1-Input'!$C$12,'1-Input'!$B$12,0))))*(1/(1-'P-Parametri'!$B$6*P717))+MIN(MAX(0,U716-(MAX(0,P671-IF($A717&gt;='1-Input'!$C$12,'1-Input'!$B$12,0))-MIN(MAX(T716,0),MAX(0,P671-IF($A717&gt;='1-Input'!$C$12,'1-Input'!$B$12,0))))*(1/(1-'P-Parametri'!$B$6*P717))),MAX(0,0*P671-(T716-MIN(MAX(T716,0),MAX(0,P671-IF($A717&gt;='1-Input'!$C$12,'1-Input'!$B$12,0)))))*(1/(1-'P-Parametri'!$B$6*P717))))</f>
        <v>0</v>
      </c>
      <c r="R717" s="18">
        <f>IF($A717&gt;('1-Input'!$B$26-2),T716,(T716-MAX(0,P671-IF($A717&gt;='1-Input'!$C$12,'1-Input'!$B$12,0))+Q717*(1-'P-Parametri'!$B$6*P717))*(1+'1-Input'!$B$27))</f>
        <v>0</v>
      </c>
      <c r="S717" s="18">
        <f>IF($A717&gt;('1-Input'!$B$26-2),U716,(U716-Q717)*(1+'5-Roberta'!$C$4))</f>
        <v>-19856.085496993444</v>
      </c>
      <c r="T717" s="18">
        <f>IF($A717&gt;('1-Input'!$B$26-2),R717,R717-'P-Parametri'!$B$8*(S717+R717)+MIN(MAX(S717,0),'P-Parametri'!$B$8*(S717+R717)))</f>
        <v>0</v>
      </c>
      <c r="U717" s="18">
        <f>IF($A717&gt;('1-Input'!$B$26-2),S717,S717-MIN(MAX(S717,0),'P-Parametri'!$B$8*(S717+R717)))</f>
        <v>-19856.085496993444</v>
      </c>
      <c r="V717" s="18">
        <f>IF($A717&gt;('1-Input'!$B$26-2),V716,V716-Q717*(1-P717))</f>
        <v>-17050.450471933604</v>
      </c>
      <c r="W717" s="11">
        <f>IF($A717&gt;('1-Input'!$B$26-2),0,IF(AB716&lt;=0,0,MAX(0,(AB716-AC716)/AB716)))</f>
        <v>0</v>
      </c>
      <c r="X717" s="18">
        <f>IF($A717&gt;('1-Input'!$B$26-2),0,(MAX(0,W671-IF($A717&gt;='1-Input'!$C$12,'1-Input'!$B$12,0))-MIN(MAX(AA716,0),MAX(0,W671-IF($A717&gt;='1-Input'!$C$12,'1-Input'!$B$12,0))))*(1/(1-'P-Parametri'!$B$6*W717))+MIN(MAX(0,AB716-(MAX(0,W671-IF($A717&gt;='1-Input'!$C$12,'1-Input'!$B$12,0))-MIN(MAX(AA716,0),MAX(0,W671-IF($A717&gt;='1-Input'!$C$12,'1-Input'!$B$12,0))))*(1/(1-'P-Parametri'!$B$6*W717))),MAX(0,0*W671-(AA716-MIN(MAX(AA716,0),MAX(0,W671-IF($A717&gt;='1-Input'!$C$12,'1-Input'!$B$12,0)))))*(1/(1-'P-Parametri'!$B$6*W717))))</f>
        <v>0</v>
      </c>
      <c r="Y717" s="18">
        <f>IF($A717&gt;('1-Input'!$B$26-2),AA716,(AA716-MAX(0,W671-IF($A717&gt;='1-Input'!$C$12,'1-Input'!$B$12,0))+X717*(1-'P-Parametri'!$B$6*W717))*(1+'1-Input'!$B$27))</f>
        <v>9.0621954385028403E-13</v>
      </c>
      <c r="Z717" s="18">
        <f>IF($A717&gt;('1-Input'!$B$26-2),AB716,(AB716-X717)*(1+'5-Roberta'!$C$4))</f>
        <v>47.700872515456098</v>
      </c>
      <c r="AA717" s="18">
        <f>IF($A717&gt;('1-Input'!$B$26-2),Y717,Y717-'P-Parametri'!$B$8*(Z717+Y717)+MIN(MAX(Z717,0),'P-Parametri'!$B$8*(Z717+Y717)))</f>
        <v>9.0621954385028403E-13</v>
      </c>
      <c r="AB717" s="18">
        <f>IF($A717&gt;('1-Input'!$B$26-2),Z717,Z717-MIN(MAX(Z717,0),'P-Parametri'!$B$8*(Z717+Y717)))</f>
        <v>47.700872515456098</v>
      </c>
      <c r="AC717" s="18">
        <f>IF($A717&gt;('1-Input'!$B$26-2),AC716,AC716-X717*(1-W717))</f>
        <v>11.429596585577201</v>
      </c>
      <c r="AD717" s="11">
        <f>IF($A717&gt;('1-Input'!$B$26-2),0,IF(AI716&lt;=0,0,MAX(0,(AI716-AJ716)/AI716)))</f>
        <v>0</v>
      </c>
      <c r="AE717" s="18">
        <f>IF($A717&gt;('1-Input'!$B$26-2),0,(MAX(0,AD671-IF($A717&gt;='1-Input'!$C$12,'1-Input'!$B$12,0))-MIN(MAX(AH716,0),MAX(0,AD671-IF($A717&gt;='1-Input'!$C$12,'1-Input'!$B$12,0))))*(1/(1-'P-Parametri'!$B$6*AD717))+MIN(MAX(0,AI716-(MAX(0,AD671-IF($A717&gt;='1-Input'!$C$12,'1-Input'!$B$12,0))-MIN(MAX(AH716,0),MAX(0,AD671-IF($A717&gt;='1-Input'!$C$12,'1-Input'!$B$12,0))))*(1/(1-'P-Parametri'!$B$6*AD717))),MAX(0,0*AD671-(AH716-MIN(MAX(AH716,0),MAX(0,AD671-IF($A717&gt;='1-Input'!$C$12,'1-Input'!$B$12,0)))))*(1/(1-'P-Parametri'!$B$6*AD717))))</f>
        <v>0</v>
      </c>
      <c r="AF717" s="18">
        <f>IF($A717&gt;('1-Input'!$B$26-2),AH716,(AH716-MAX(0,AD671-IF($A717&gt;='1-Input'!$C$12,'1-Input'!$B$12,0))+AE717*(1-'P-Parametri'!$B$6*AD717))*(1+'1-Input'!$B$27))</f>
        <v>0</v>
      </c>
      <c r="AG717" s="18">
        <f>IF($A717&gt;('1-Input'!$B$26-2),AI716,(AI716-AE717)*(1+'5-Roberta'!$C$4))</f>
        <v>-9.9177681766575319</v>
      </c>
      <c r="AH717" s="18">
        <f>IF($A717&gt;('1-Input'!$B$26-2),AF717,AF717-'P-Parametri'!$B$8*(AG717+AF717)+MIN(MAX(AG717,0),'P-Parametri'!$B$8*(AG717+AF717)))</f>
        <v>0</v>
      </c>
      <c r="AI717" s="18">
        <f>IF($A717&gt;('1-Input'!$B$26-2),AG717,AG717-MIN(MAX(AG717,0),'P-Parametri'!$B$8*(AG717+AF717)))</f>
        <v>-9.9177681766575319</v>
      </c>
      <c r="AJ717" s="18">
        <f>IF($A717&gt;('1-Input'!$B$26-2),AJ716,AJ716-AE717*(1-AD717))</f>
        <v>-2.376394462213284</v>
      </c>
      <c r="AK717" s="11">
        <f>IF($A717&gt;('1-Input'!$B$26-2),0,IF(AP716&lt;=0,0,MAX(0,(AP716-AQ716)/AP716)))</f>
        <v>0</v>
      </c>
      <c r="AL717" s="18">
        <f>IF($A717&gt;('1-Input'!$B$26-2),0,(MAX(0,AK671-IF($A717&gt;='1-Input'!$C$12,'1-Input'!$B$12,0))-MIN(MAX(AO716,0),MAX(0,AK671-IF($A717&gt;='1-Input'!$C$12,'1-Input'!$B$12,0))))*(1/(1-'P-Parametri'!$B$6*AK717))+MIN(MAX(0,AP716-(MAX(0,AK671-IF($A717&gt;='1-Input'!$C$12,'1-Input'!$B$12,0))-MIN(MAX(AO716,0),MAX(0,AK671-IF($A717&gt;='1-Input'!$C$12,'1-Input'!$B$12,0))))*(1/(1-'P-Parametri'!$B$6*AK717))),MAX(0,0*AK671-(AO716-MIN(MAX(AO716,0),MAX(0,AK671-IF($A717&gt;='1-Input'!$C$12,'1-Input'!$B$12,0)))))*(1/(1-'P-Parametri'!$B$6*AK717))))</f>
        <v>0</v>
      </c>
      <c r="AM717" s="18">
        <f>IF($A717&gt;('1-Input'!$B$26-2),AO716,(AO716-MAX(0,AK671-IF($A717&gt;='1-Input'!$C$12,'1-Input'!$B$12,0))+AL717*(1-'P-Parametri'!$B$6*AK717))*(1+'1-Input'!$B$27))</f>
        <v>-9.0622052084654565E-13</v>
      </c>
      <c r="AN717" s="18">
        <f>IF($A717&gt;('1-Input'!$B$26-2),AP716,(AP716-AL717)*(1+'5-Roberta'!$C$4))</f>
        <v>-8.4139726095600058E-11</v>
      </c>
      <c r="AO717" s="18">
        <f>IF($A717&gt;('1-Input'!$B$26-2),AM717,AM717-'P-Parametri'!$B$8*(AN717+AM717)+MIN(MAX(AN717,0),'P-Parametri'!$B$8*(AN717+AM717)))</f>
        <v>-9.0622052084654565E-13</v>
      </c>
      <c r="AP717" s="18">
        <f>IF($A717&gt;('1-Input'!$B$26-2),AN717,AN717-MIN(MAX(AN717,0),'P-Parametri'!$B$8*(AN717+AM717)))</f>
        <v>-8.4139726095600058E-11</v>
      </c>
      <c r="AQ717" s="18">
        <f>IF($A717&gt;('1-Input'!$B$26-2),AQ716,AQ716-AL717*(1-AK717))</f>
        <v>-1.9099388737231493E-11</v>
      </c>
    </row>
    <row r="718" spans="1:43">
      <c r="A718" s="10">
        <f>45</f>
        <v>45</v>
      </c>
      <c r="B718" s="11">
        <f>IF($A718&gt;('1-Input'!$B$26-2),0,IF(G717&lt;=0,0,MAX(0,(G717-H717)/G717)))</f>
        <v>0</v>
      </c>
      <c r="C718" s="18">
        <f>IF($A718&gt;('1-Input'!$B$26-2),0,(MAX(0,B671-IF($A718&gt;='1-Input'!$C$12,'1-Input'!$B$12,0))-MIN(MAX(F717,0),MAX(0,B671-IF($A718&gt;='1-Input'!$C$12,'1-Input'!$B$12,0))))*(1/(1-'P-Parametri'!$B$6*B718))+MIN(MAX(0,G717-(MAX(0,B671-IF($A718&gt;='1-Input'!$C$12,'1-Input'!$B$12,0))-MIN(MAX(F717,0),MAX(0,B671-IF($A718&gt;='1-Input'!$C$12,'1-Input'!$B$12,0))))*(1/(1-'P-Parametri'!$B$6*B718))),MAX(0,0*B671-(F717-MIN(MAX(F717,0),MAX(0,B671-IF($A718&gt;='1-Input'!$C$12,'1-Input'!$B$12,0)))))*(1/(1-'P-Parametri'!$B$6*B718))))</f>
        <v>0</v>
      </c>
      <c r="D718" s="18">
        <f>IF($A718&gt;('1-Input'!$B$26-2),F717,(F717-MAX(0,B671-IF($A718&gt;='1-Input'!$C$12,'1-Input'!$B$12,0))+C718*(1-'P-Parametri'!$B$6*B718))*(1+'1-Input'!$B$27))</f>
        <v>0</v>
      </c>
      <c r="E718" s="18">
        <f>IF($A718&gt;('1-Input'!$B$26-2),G717,(G717-C718)*(1+'5-Roberta'!$C$4))</f>
        <v>226094.01210791364</v>
      </c>
      <c r="F718" s="18">
        <f>IF($A718&gt;('1-Input'!$B$26-2),D718,D718-'P-Parametri'!$B$8*(E718+D718)+MIN(MAX(E718,0),'P-Parametri'!$B$8*(E718+D718)))</f>
        <v>0</v>
      </c>
      <c r="G718" s="18">
        <f>IF($A718&gt;('1-Input'!$B$26-2),E718,E718-MIN(MAX(E718,0),'P-Parametri'!$B$8*(E718+D718)))</f>
        <v>226094.01210791364</v>
      </c>
      <c r="H718" s="18">
        <f>IF($A718&gt;('1-Input'!$B$26-2),H717,H717-C718*(1-B718))</f>
        <v>54174.341317775288</v>
      </c>
      <c r="I718" s="11">
        <f>IF($A718&gt;('1-Input'!$B$26-2),0,IF(N717&lt;=0,0,MAX(0,(N717-O717)/N717)))</f>
        <v>0</v>
      </c>
      <c r="J718" s="18">
        <f>IF($A718&gt;('1-Input'!$B$26-2),0,(MAX(0,I671-IF($A718&gt;='1-Input'!$C$12,'1-Input'!$B$12,0))-MIN(MAX(M717,0),MAX(0,I671-IF($A718&gt;='1-Input'!$C$12,'1-Input'!$B$12,0))))*(1/(1-'P-Parametri'!$B$6*I718))+MIN(MAX(0,N717-(MAX(0,I671-IF($A718&gt;='1-Input'!$C$12,'1-Input'!$B$12,0))-MIN(MAX(M717,0),MAX(0,I671-IF($A718&gt;='1-Input'!$C$12,'1-Input'!$B$12,0))))*(1/(1-'P-Parametri'!$B$6*I718))),MAX(0,0*I671-(M717-MIN(MAX(M717,0),MAX(0,I671-IF($A718&gt;='1-Input'!$C$12,'1-Input'!$B$12,0)))))*(1/(1-'P-Parametri'!$B$6*I718))))</f>
        <v>0</v>
      </c>
      <c r="K718" s="18">
        <f>IF($A718&gt;('1-Input'!$B$26-2),M717,(M717-MAX(0,I671-IF($A718&gt;='1-Input'!$C$12,'1-Input'!$B$12,0))+J718*(1-'P-Parametri'!$B$6*I718))*(1+'1-Input'!$B$27))</f>
        <v>0</v>
      </c>
      <c r="L718" s="18">
        <f>IF($A718&gt;('1-Input'!$B$26-2),N717,(N717-J718)*(1+'5-Roberta'!$C$4))</f>
        <v>-229646.17919626282</v>
      </c>
      <c r="M718" s="18">
        <f>IF($A718&gt;('1-Input'!$B$26-2),K718,K718-'P-Parametri'!$B$8*(L718+K718)+MIN(MAX(L718,0),'P-Parametri'!$B$8*(L718+K718)))</f>
        <v>0</v>
      </c>
      <c r="N718" s="18">
        <f>IF($A718&gt;('1-Input'!$B$26-2),L718,L718-MIN(MAX(L718,0),'P-Parametri'!$B$8*(L718+K718)))</f>
        <v>-229646.17919626282</v>
      </c>
      <c r="O718" s="18">
        <f>IF($A718&gt;('1-Input'!$B$26-2),O717,O717-J718*(1-I718))</f>
        <v>-175589.08535198437</v>
      </c>
      <c r="P718" s="11">
        <f>IF($A718&gt;('1-Input'!$B$26-2),0,IF(U717&lt;=0,0,MAX(0,(U717-V717)/U717)))</f>
        <v>0</v>
      </c>
      <c r="Q718" s="18">
        <f>IF($A718&gt;('1-Input'!$B$26-2),0,(MAX(0,P671-IF($A718&gt;='1-Input'!$C$12,'1-Input'!$B$12,0))-MIN(MAX(T717,0),MAX(0,P671-IF($A718&gt;='1-Input'!$C$12,'1-Input'!$B$12,0))))*(1/(1-'P-Parametri'!$B$6*P718))+MIN(MAX(0,U717-(MAX(0,P671-IF($A718&gt;='1-Input'!$C$12,'1-Input'!$B$12,0))-MIN(MAX(T717,0),MAX(0,P671-IF($A718&gt;='1-Input'!$C$12,'1-Input'!$B$12,0))))*(1/(1-'P-Parametri'!$B$6*P718))),MAX(0,0*P671-(T717-MIN(MAX(T717,0),MAX(0,P671-IF($A718&gt;='1-Input'!$C$12,'1-Input'!$B$12,0)))))*(1/(1-'P-Parametri'!$B$6*P718))))</f>
        <v>0</v>
      </c>
      <c r="R718" s="18">
        <f>IF($A718&gt;('1-Input'!$B$26-2),T717,(T717-MAX(0,P671-IF($A718&gt;='1-Input'!$C$12,'1-Input'!$B$12,0))+Q718*(1-'P-Parametri'!$B$6*P718))*(1+'1-Input'!$B$27))</f>
        <v>0</v>
      </c>
      <c r="S718" s="18">
        <f>IF($A718&gt;('1-Input'!$B$26-2),U717,(U717-Q718)*(1+'5-Roberta'!$C$4))</f>
        <v>-19856.085496993444</v>
      </c>
      <c r="T718" s="18">
        <f>IF($A718&gt;('1-Input'!$B$26-2),R718,R718-'P-Parametri'!$B$8*(S718+R718)+MIN(MAX(S718,0),'P-Parametri'!$B$8*(S718+R718)))</f>
        <v>0</v>
      </c>
      <c r="U718" s="18">
        <f>IF($A718&gt;('1-Input'!$B$26-2),S718,S718-MIN(MAX(S718,0),'P-Parametri'!$B$8*(S718+R718)))</f>
        <v>-19856.085496993444</v>
      </c>
      <c r="V718" s="18">
        <f>IF($A718&gt;('1-Input'!$B$26-2),V717,V717-Q718*(1-P718))</f>
        <v>-17050.450471933604</v>
      </c>
      <c r="W718" s="11">
        <f>IF($A718&gt;('1-Input'!$B$26-2),0,IF(AB717&lt;=0,0,MAX(0,(AB717-AC717)/AB717)))</f>
        <v>0</v>
      </c>
      <c r="X718" s="18">
        <f>IF($A718&gt;('1-Input'!$B$26-2),0,(MAX(0,W671-IF($A718&gt;='1-Input'!$C$12,'1-Input'!$B$12,0))-MIN(MAX(AA717,0),MAX(0,W671-IF($A718&gt;='1-Input'!$C$12,'1-Input'!$B$12,0))))*(1/(1-'P-Parametri'!$B$6*W718))+MIN(MAX(0,AB717-(MAX(0,W671-IF($A718&gt;='1-Input'!$C$12,'1-Input'!$B$12,0))-MIN(MAX(AA717,0),MAX(0,W671-IF($A718&gt;='1-Input'!$C$12,'1-Input'!$B$12,0))))*(1/(1-'P-Parametri'!$B$6*W718))),MAX(0,0*W671-(AA717-MIN(MAX(AA717,0),MAX(0,W671-IF($A718&gt;='1-Input'!$C$12,'1-Input'!$B$12,0)))))*(1/(1-'P-Parametri'!$B$6*W718))))</f>
        <v>0</v>
      </c>
      <c r="Y718" s="18">
        <f>IF($A718&gt;('1-Input'!$B$26-2),AA717,(AA717-MAX(0,W671-IF($A718&gt;='1-Input'!$C$12,'1-Input'!$B$12,0))+X718*(1-'P-Parametri'!$B$6*W718))*(1+'1-Input'!$B$27))</f>
        <v>9.0621954385028403E-13</v>
      </c>
      <c r="Z718" s="18">
        <f>IF($A718&gt;('1-Input'!$B$26-2),AB717,(AB717-X718)*(1+'5-Roberta'!$C$4))</f>
        <v>47.700872515456098</v>
      </c>
      <c r="AA718" s="18">
        <f>IF($A718&gt;('1-Input'!$B$26-2),Y718,Y718-'P-Parametri'!$B$8*(Z718+Y718)+MIN(MAX(Z718,0),'P-Parametri'!$B$8*(Z718+Y718)))</f>
        <v>9.0621954385028403E-13</v>
      </c>
      <c r="AB718" s="18">
        <f>IF($A718&gt;('1-Input'!$B$26-2),Z718,Z718-MIN(MAX(Z718,0),'P-Parametri'!$B$8*(Z718+Y718)))</f>
        <v>47.700872515456098</v>
      </c>
      <c r="AC718" s="18">
        <f>IF($A718&gt;('1-Input'!$B$26-2),AC717,AC717-X718*(1-W718))</f>
        <v>11.429596585577201</v>
      </c>
      <c r="AD718" s="11">
        <f>IF($A718&gt;('1-Input'!$B$26-2),0,IF(AI717&lt;=0,0,MAX(0,(AI717-AJ717)/AI717)))</f>
        <v>0</v>
      </c>
      <c r="AE718" s="18">
        <f>IF($A718&gt;('1-Input'!$B$26-2),0,(MAX(0,AD671-IF($A718&gt;='1-Input'!$C$12,'1-Input'!$B$12,0))-MIN(MAX(AH717,0),MAX(0,AD671-IF($A718&gt;='1-Input'!$C$12,'1-Input'!$B$12,0))))*(1/(1-'P-Parametri'!$B$6*AD718))+MIN(MAX(0,AI717-(MAX(0,AD671-IF($A718&gt;='1-Input'!$C$12,'1-Input'!$B$12,0))-MIN(MAX(AH717,0),MAX(0,AD671-IF($A718&gt;='1-Input'!$C$12,'1-Input'!$B$12,0))))*(1/(1-'P-Parametri'!$B$6*AD718))),MAX(0,0*AD671-(AH717-MIN(MAX(AH717,0),MAX(0,AD671-IF($A718&gt;='1-Input'!$C$12,'1-Input'!$B$12,0)))))*(1/(1-'P-Parametri'!$B$6*AD718))))</f>
        <v>0</v>
      </c>
      <c r="AF718" s="18">
        <f>IF($A718&gt;('1-Input'!$B$26-2),AH717,(AH717-MAX(0,AD671-IF($A718&gt;='1-Input'!$C$12,'1-Input'!$B$12,0))+AE718*(1-'P-Parametri'!$B$6*AD718))*(1+'1-Input'!$B$27))</f>
        <v>0</v>
      </c>
      <c r="AG718" s="18">
        <f>IF($A718&gt;('1-Input'!$B$26-2),AI717,(AI717-AE718)*(1+'5-Roberta'!$C$4))</f>
        <v>-9.9177681766575319</v>
      </c>
      <c r="AH718" s="18">
        <f>IF($A718&gt;('1-Input'!$B$26-2),AF718,AF718-'P-Parametri'!$B$8*(AG718+AF718)+MIN(MAX(AG718,0),'P-Parametri'!$B$8*(AG718+AF718)))</f>
        <v>0</v>
      </c>
      <c r="AI718" s="18">
        <f>IF($A718&gt;('1-Input'!$B$26-2),AG718,AG718-MIN(MAX(AG718,0),'P-Parametri'!$B$8*(AG718+AF718)))</f>
        <v>-9.9177681766575319</v>
      </c>
      <c r="AJ718" s="18">
        <f>IF($A718&gt;('1-Input'!$B$26-2),AJ717,AJ717-AE718*(1-AD718))</f>
        <v>-2.376394462213284</v>
      </c>
      <c r="AK718" s="11">
        <f>IF($A718&gt;('1-Input'!$B$26-2),0,IF(AP717&lt;=0,0,MAX(0,(AP717-AQ717)/AP717)))</f>
        <v>0</v>
      </c>
      <c r="AL718" s="18">
        <f>IF($A718&gt;('1-Input'!$B$26-2),0,(MAX(0,AK671-IF($A718&gt;='1-Input'!$C$12,'1-Input'!$B$12,0))-MIN(MAX(AO717,0),MAX(0,AK671-IF($A718&gt;='1-Input'!$C$12,'1-Input'!$B$12,0))))*(1/(1-'P-Parametri'!$B$6*AK718))+MIN(MAX(0,AP717-(MAX(0,AK671-IF($A718&gt;='1-Input'!$C$12,'1-Input'!$B$12,0))-MIN(MAX(AO717,0),MAX(0,AK671-IF($A718&gt;='1-Input'!$C$12,'1-Input'!$B$12,0))))*(1/(1-'P-Parametri'!$B$6*AK718))),MAX(0,0*AK671-(AO717-MIN(MAX(AO717,0),MAX(0,AK671-IF($A718&gt;='1-Input'!$C$12,'1-Input'!$B$12,0)))))*(1/(1-'P-Parametri'!$B$6*AK718))))</f>
        <v>0</v>
      </c>
      <c r="AM718" s="18">
        <f>IF($A718&gt;('1-Input'!$B$26-2),AO717,(AO717-MAX(0,AK671-IF($A718&gt;='1-Input'!$C$12,'1-Input'!$B$12,0))+AL718*(1-'P-Parametri'!$B$6*AK718))*(1+'1-Input'!$B$27))</f>
        <v>-9.0622052084654565E-13</v>
      </c>
      <c r="AN718" s="18">
        <f>IF($A718&gt;('1-Input'!$B$26-2),AP717,(AP717-AL718)*(1+'5-Roberta'!$C$4))</f>
        <v>-8.4139726095600058E-11</v>
      </c>
      <c r="AO718" s="18">
        <f>IF($A718&gt;('1-Input'!$B$26-2),AM718,AM718-'P-Parametri'!$B$8*(AN718+AM718)+MIN(MAX(AN718,0),'P-Parametri'!$B$8*(AN718+AM718)))</f>
        <v>-9.0622052084654565E-13</v>
      </c>
      <c r="AP718" s="18">
        <f>IF($A718&gt;('1-Input'!$B$26-2),AN718,AN718-MIN(MAX(AN718,0),'P-Parametri'!$B$8*(AN718+AM718)))</f>
        <v>-8.4139726095600058E-11</v>
      </c>
      <c r="AQ718" s="18">
        <f>IF($A718&gt;('1-Input'!$B$26-2),AQ717,AQ717-AL718*(1-AK718))</f>
        <v>-1.9099388737231493E-11</v>
      </c>
    </row>
    <row r="719" spans="1:43">
      <c r="A719" s="10">
        <f>46</f>
        <v>46</v>
      </c>
      <c r="B719" s="11">
        <f>IF($A719&gt;('1-Input'!$B$26-2),0,IF(G718&lt;=0,0,MAX(0,(G718-H718)/G718)))</f>
        <v>0</v>
      </c>
      <c r="C719" s="18">
        <f>IF($A719&gt;('1-Input'!$B$26-2),0,(MAX(0,B671-IF($A719&gt;='1-Input'!$C$12,'1-Input'!$B$12,0))-MIN(MAX(F718,0),MAX(0,B671-IF($A719&gt;='1-Input'!$C$12,'1-Input'!$B$12,0))))*(1/(1-'P-Parametri'!$B$6*B719))+MIN(MAX(0,G718-(MAX(0,B671-IF($A719&gt;='1-Input'!$C$12,'1-Input'!$B$12,0))-MIN(MAX(F718,0),MAX(0,B671-IF($A719&gt;='1-Input'!$C$12,'1-Input'!$B$12,0))))*(1/(1-'P-Parametri'!$B$6*B719))),MAX(0,0*B671-(F718-MIN(MAX(F718,0),MAX(0,B671-IF($A719&gt;='1-Input'!$C$12,'1-Input'!$B$12,0)))))*(1/(1-'P-Parametri'!$B$6*B719))))</f>
        <v>0</v>
      </c>
      <c r="D719" s="18">
        <f>IF($A719&gt;('1-Input'!$B$26-2),F718,(F718-MAX(0,B671-IF($A719&gt;='1-Input'!$C$12,'1-Input'!$B$12,0))+C719*(1-'P-Parametri'!$B$6*B719))*(1+'1-Input'!$B$27))</f>
        <v>0</v>
      </c>
      <c r="E719" s="18">
        <f>IF($A719&gt;('1-Input'!$B$26-2),G718,(G718-C719)*(1+'5-Roberta'!$C$4))</f>
        <v>226094.01210791364</v>
      </c>
      <c r="F719" s="18">
        <f>IF($A719&gt;('1-Input'!$B$26-2),D719,D719-'P-Parametri'!$B$8*(E719+D719)+MIN(MAX(E719,0),'P-Parametri'!$B$8*(E719+D719)))</f>
        <v>0</v>
      </c>
      <c r="G719" s="18">
        <f>IF($A719&gt;('1-Input'!$B$26-2),E719,E719-MIN(MAX(E719,0),'P-Parametri'!$B$8*(E719+D719)))</f>
        <v>226094.01210791364</v>
      </c>
      <c r="H719" s="18">
        <f>IF($A719&gt;('1-Input'!$B$26-2),H718,H718-C719*(1-B719))</f>
        <v>54174.341317775288</v>
      </c>
      <c r="I719" s="11">
        <f>IF($A719&gt;('1-Input'!$B$26-2),0,IF(N718&lt;=0,0,MAX(0,(N718-O718)/N718)))</f>
        <v>0</v>
      </c>
      <c r="J719" s="18">
        <f>IF($A719&gt;('1-Input'!$B$26-2),0,(MAX(0,I671-IF($A719&gt;='1-Input'!$C$12,'1-Input'!$B$12,0))-MIN(MAX(M718,0),MAX(0,I671-IF($A719&gt;='1-Input'!$C$12,'1-Input'!$B$12,0))))*(1/(1-'P-Parametri'!$B$6*I719))+MIN(MAX(0,N718-(MAX(0,I671-IF($A719&gt;='1-Input'!$C$12,'1-Input'!$B$12,0))-MIN(MAX(M718,0),MAX(0,I671-IF($A719&gt;='1-Input'!$C$12,'1-Input'!$B$12,0))))*(1/(1-'P-Parametri'!$B$6*I719))),MAX(0,0*I671-(M718-MIN(MAX(M718,0),MAX(0,I671-IF($A719&gt;='1-Input'!$C$12,'1-Input'!$B$12,0)))))*(1/(1-'P-Parametri'!$B$6*I719))))</f>
        <v>0</v>
      </c>
      <c r="K719" s="18">
        <f>IF($A719&gt;('1-Input'!$B$26-2),M718,(M718-MAX(0,I671-IF($A719&gt;='1-Input'!$C$12,'1-Input'!$B$12,0))+J719*(1-'P-Parametri'!$B$6*I719))*(1+'1-Input'!$B$27))</f>
        <v>0</v>
      </c>
      <c r="L719" s="18">
        <f>IF($A719&gt;('1-Input'!$B$26-2),N718,(N718-J719)*(1+'5-Roberta'!$C$4))</f>
        <v>-229646.17919626282</v>
      </c>
      <c r="M719" s="18">
        <f>IF($A719&gt;('1-Input'!$B$26-2),K719,K719-'P-Parametri'!$B$8*(L719+K719)+MIN(MAX(L719,0),'P-Parametri'!$B$8*(L719+K719)))</f>
        <v>0</v>
      </c>
      <c r="N719" s="18">
        <f>IF($A719&gt;('1-Input'!$B$26-2),L719,L719-MIN(MAX(L719,0),'P-Parametri'!$B$8*(L719+K719)))</f>
        <v>-229646.17919626282</v>
      </c>
      <c r="O719" s="18">
        <f>IF($A719&gt;('1-Input'!$B$26-2),O718,O718-J719*(1-I719))</f>
        <v>-175589.08535198437</v>
      </c>
      <c r="P719" s="11">
        <f>IF($A719&gt;('1-Input'!$B$26-2),0,IF(U718&lt;=0,0,MAX(0,(U718-V718)/U718)))</f>
        <v>0</v>
      </c>
      <c r="Q719" s="18">
        <f>IF($A719&gt;('1-Input'!$B$26-2),0,(MAX(0,P671-IF($A719&gt;='1-Input'!$C$12,'1-Input'!$B$12,0))-MIN(MAX(T718,0),MAX(0,P671-IF($A719&gt;='1-Input'!$C$12,'1-Input'!$B$12,0))))*(1/(1-'P-Parametri'!$B$6*P719))+MIN(MAX(0,U718-(MAX(0,P671-IF($A719&gt;='1-Input'!$C$12,'1-Input'!$B$12,0))-MIN(MAX(T718,0),MAX(0,P671-IF($A719&gt;='1-Input'!$C$12,'1-Input'!$B$12,0))))*(1/(1-'P-Parametri'!$B$6*P719))),MAX(0,0*P671-(T718-MIN(MAX(T718,0),MAX(0,P671-IF($A719&gt;='1-Input'!$C$12,'1-Input'!$B$12,0)))))*(1/(1-'P-Parametri'!$B$6*P719))))</f>
        <v>0</v>
      </c>
      <c r="R719" s="18">
        <f>IF($A719&gt;('1-Input'!$B$26-2),T718,(T718-MAX(0,P671-IF($A719&gt;='1-Input'!$C$12,'1-Input'!$B$12,0))+Q719*(1-'P-Parametri'!$B$6*P719))*(1+'1-Input'!$B$27))</f>
        <v>0</v>
      </c>
      <c r="S719" s="18">
        <f>IF($A719&gt;('1-Input'!$B$26-2),U718,(U718-Q719)*(1+'5-Roberta'!$C$4))</f>
        <v>-19856.085496993444</v>
      </c>
      <c r="T719" s="18">
        <f>IF($A719&gt;('1-Input'!$B$26-2),R719,R719-'P-Parametri'!$B$8*(S719+R719)+MIN(MAX(S719,0),'P-Parametri'!$B$8*(S719+R719)))</f>
        <v>0</v>
      </c>
      <c r="U719" s="18">
        <f>IF($A719&gt;('1-Input'!$B$26-2),S719,S719-MIN(MAX(S719,0),'P-Parametri'!$B$8*(S719+R719)))</f>
        <v>-19856.085496993444</v>
      </c>
      <c r="V719" s="18">
        <f>IF($A719&gt;('1-Input'!$B$26-2),V718,V718-Q719*(1-P719))</f>
        <v>-17050.450471933604</v>
      </c>
      <c r="W719" s="11">
        <f>IF($A719&gt;('1-Input'!$B$26-2),0,IF(AB718&lt;=0,0,MAX(0,(AB718-AC718)/AB718)))</f>
        <v>0</v>
      </c>
      <c r="X719" s="18">
        <f>IF($A719&gt;('1-Input'!$B$26-2),0,(MAX(0,W671-IF($A719&gt;='1-Input'!$C$12,'1-Input'!$B$12,0))-MIN(MAX(AA718,0),MAX(0,W671-IF($A719&gt;='1-Input'!$C$12,'1-Input'!$B$12,0))))*(1/(1-'P-Parametri'!$B$6*W719))+MIN(MAX(0,AB718-(MAX(0,W671-IF($A719&gt;='1-Input'!$C$12,'1-Input'!$B$12,0))-MIN(MAX(AA718,0),MAX(0,W671-IF($A719&gt;='1-Input'!$C$12,'1-Input'!$B$12,0))))*(1/(1-'P-Parametri'!$B$6*W719))),MAX(0,0*W671-(AA718-MIN(MAX(AA718,0),MAX(0,W671-IF($A719&gt;='1-Input'!$C$12,'1-Input'!$B$12,0)))))*(1/(1-'P-Parametri'!$B$6*W719))))</f>
        <v>0</v>
      </c>
      <c r="Y719" s="18">
        <f>IF($A719&gt;('1-Input'!$B$26-2),AA718,(AA718-MAX(0,W671-IF($A719&gt;='1-Input'!$C$12,'1-Input'!$B$12,0))+X719*(1-'P-Parametri'!$B$6*W719))*(1+'1-Input'!$B$27))</f>
        <v>9.0621954385028403E-13</v>
      </c>
      <c r="Z719" s="18">
        <f>IF($A719&gt;('1-Input'!$B$26-2),AB718,(AB718-X719)*(1+'5-Roberta'!$C$4))</f>
        <v>47.700872515456098</v>
      </c>
      <c r="AA719" s="18">
        <f>IF($A719&gt;('1-Input'!$B$26-2),Y719,Y719-'P-Parametri'!$B$8*(Z719+Y719)+MIN(MAX(Z719,0),'P-Parametri'!$B$8*(Z719+Y719)))</f>
        <v>9.0621954385028403E-13</v>
      </c>
      <c r="AB719" s="18">
        <f>IF($A719&gt;('1-Input'!$B$26-2),Z719,Z719-MIN(MAX(Z719,0),'P-Parametri'!$B$8*(Z719+Y719)))</f>
        <v>47.700872515456098</v>
      </c>
      <c r="AC719" s="18">
        <f>IF($A719&gt;('1-Input'!$B$26-2),AC718,AC718-X719*(1-W719))</f>
        <v>11.429596585577201</v>
      </c>
      <c r="AD719" s="11">
        <f>IF($A719&gt;('1-Input'!$B$26-2),0,IF(AI718&lt;=0,0,MAX(0,(AI718-AJ718)/AI718)))</f>
        <v>0</v>
      </c>
      <c r="AE719" s="18">
        <f>IF($A719&gt;('1-Input'!$B$26-2),0,(MAX(0,AD671-IF($A719&gt;='1-Input'!$C$12,'1-Input'!$B$12,0))-MIN(MAX(AH718,0),MAX(0,AD671-IF($A719&gt;='1-Input'!$C$12,'1-Input'!$B$12,0))))*(1/(1-'P-Parametri'!$B$6*AD719))+MIN(MAX(0,AI718-(MAX(0,AD671-IF($A719&gt;='1-Input'!$C$12,'1-Input'!$B$12,0))-MIN(MAX(AH718,0),MAX(0,AD671-IF($A719&gt;='1-Input'!$C$12,'1-Input'!$B$12,0))))*(1/(1-'P-Parametri'!$B$6*AD719))),MAX(0,0*AD671-(AH718-MIN(MAX(AH718,0),MAX(0,AD671-IF($A719&gt;='1-Input'!$C$12,'1-Input'!$B$12,0)))))*(1/(1-'P-Parametri'!$B$6*AD719))))</f>
        <v>0</v>
      </c>
      <c r="AF719" s="18">
        <f>IF($A719&gt;('1-Input'!$B$26-2),AH718,(AH718-MAX(0,AD671-IF($A719&gt;='1-Input'!$C$12,'1-Input'!$B$12,0))+AE719*(1-'P-Parametri'!$B$6*AD719))*(1+'1-Input'!$B$27))</f>
        <v>0</v>
      </c>
      <c r="AG719" s="18">
        <f>IF($A719&gt;('1-Input'!$B$26-2),AI718,(AI718-AE719)*(1+'5-Roberta'!$C$4))</f>
        <v>-9.9177681766575319</v>
      </c>
      <c r="AH719" s="18">
        <f>IF($A719&gt;('1-Input'!$B$26-2),AF719,AF719-'P-Parametri'!$B$8*(AG719+AF719)+MIN(MAX(AG719,0),'P-Parametri'!$B$8*(AG719+AF719)))</f>
        <v>0</v>
      </c>
      <c r="AI719" s="18">
        <f>IF($A719&gt;('1-Input'!$B$26-2),AG719,AG719-MIN(MAX(AG719,0),'P-Parametri'!$B$8*(AG719+AF719)))</f>
        <v>-9.9177681766575319</v>
      </c>
      <c r="AJ719" s="18">
        <f>IF($A719&gt;('1-Input'!$B$26-2),AJ718,AJ718-AE719*(1-AD719))</f>
        <v>-2.376394462213284</v>
      </c>
      <c r="AK719" s="11">
        <f>IF($A719&gt;('1-Input'!$B$26-2),0,IF(AP718&lt;=0,0,MAX(0,(AP718-AQ718)/AP718)))</f>
        <v>0</v>
      </c>
      <c r="AL719" s="18">
        <f>IF($A719&gt;('1-Input'!$B$26-2),0,(MAX(0,AK671-IF($A719&gt;='1-Input'!$C$12,'1-Input'!$B$12,0))-MIN(MAX(AO718,0),MAX(0,AK671-IF($A719&gt;='1-Input'!$C$12,'1-Input'!$B$12,0))))*(1/(1-'P-Parametri'!$B$6*AK719))+MIN(MAX(0,AP718-(MAX(0,AK671-IF($A719&gt;='1-Input'!$C$12,'1-Input'!$B$12,0))-MIN(MAX(AO718,0),MAX(0,AK671-IF($A719&gt;='1-Input'!$C$12,'1-Input'!$B$12,0))))*(1/(1-'P-Parametri'!$B$6*AK719))),MAX(0,0*AK671-(AO718-MIN(MAX(AO718,0),MAX(0,AK671-IF($A719&gt;='1-Input'!$C$12,'1-Input'!$B$12,0)))))*(1/(1-'P-Parametri'!$B$6*AK719))))</f>
        <v>0</v>
      </c>
      <c r="AM719" s="18">
        <f>IF($A719&gt;('1-Input'!$B$26-2),AO718,(AO718-MAX(0,AK671-IF($A719&gt;='1-Input'!$C$12,'1-Input'!$B$12,0))+AL719*(1-'P-Parametri'!$B$6*AK719))*(1+'1-Input'!$B$27))</f>
        <v>-9.0622052084654565E-13</v>
      </c>
      <c r="AN719" s="18">
        <f>IF($A719&gt;('1-Input'!$B$26-2),AP718,(AP718-AL719)*(1+'5-Roberta'!$C$4))</f>
        <v>-8.4139726095600058E-11</v>
      </c>
      <c r="AO719" s="18">
        <f>IF($A719&gt;('1-Input'!$B$26-2),AM719,AM719-'P-Parametri'!$B$8*(AN719+AM719)+MIN(MAX(AN719,0),'P-Parametri'!$B$8*(AN719+AM719)))</f>
        <v>-9.0622052084654565E-13</v>
      </c>
      <c r="AP719" s="18">
        <f>IF($A719&gt;('1-Input'!$B$26-2),AN719,AN719-MIN(MAX(AN719,0),'P-Parametri'!$B$8*(AN719+AM719)))</f>
        <v>-8.4139726095600058E-11</v>
      </c>
      <c r="AQ719" s="18">
        <f>IF($A719&gt;('1-Input'!$B$26-2),AQ718,AQ718-AL719*(1-AK719))</f>
        <v>-1.9099388737231493E-11</v>
      </c>
    </row>
    <row r="720" spans="1:43">
      <c r="A720" s="10">
        <f>47</f>
        <v>47</v>
      </c>
      <c r="B720" s="11">
        <f>IF($A720&gt;('1-Input'!$B$26-2),0,IF(G719&lt;=0,0,MAX(0,(G719-H719)/G719)))</f>
        <v>0</v>
      </c>
      <c r="C720" s="18">
        <f>IF($A720&gt;('1-Input'!$B$26-2),0,(MAX(0,B671-IF($A720&gt;='1-Input'!$C$12,'1-Input'!$B$12,0))-MIN(MAX(F719,0),MAX(0,B671-IF($A720&gt;='1-Input'!$C$12,'1-Input'!$B$12,0))))*(1/(1-'P-Parametri'!$B$6*B720))+MIN(MAX(0,G719-(MAX(0,B671-IF($A720&gt;='1-Input'!$C$12,'1-Input'!$B$12,0))-MIN(MAX(F719,0),MAX(0,B671-IF($A720&gt;='1-Input'!$C$12,'1-Input'!$B$12,0))))*(1/(1-'P-Parametri'!$B$6*B720))),MAX(0,0*B671-(F719-MIN(MAX(F719,0),MAX(0,B671-IF($A720&gt;='1-Input'!$C$12,'1-Input'!$B$12,0)))))*(1/(1-'P-Parametri'!$B$6*B720))))</f>
        <v>0</v>
      </c>
      <c r="D720" s="18">
        <f>IF($A720&gt;('1-Input'!$B$26-2),F719,(F719-MAX(0,B671-IF($A720&gt;='1-Input'!$C$12,'1-Input'!$B$12,0))+C720*(1-'P-Parametri'!$B$6*B720))*(1+'1-Input'!$B$27))</f>
        <v>0</v>
      </c>
      <c r="E720" s="18">
        <f>IF($A720&gt;('1-Input'!$B$26-2),G719,(G719-C720)*(1+'5-Roberta'!$C$4))</f>
        <v>226094.01210791364</v>
      </c>
      <c r="F720" s="18">
        <f>IF($A720&gt;('1-Input'!$B$26-2),D720,D720-'P-Parametri'!$B$8*(E720+D720)+MIN(MAX(E720,0),'P-Parametri'!$B$8*(E720+D720)))</f>
        <v>0</v>
      </c>
      <c r="G720" s="18">
        <f>IF($A720&gt;('1-Input'!$B$26-2),E720,E720-MIN(MAX(E720,0),'P-Parametri'!$B$8*(E720+D720)))</f>
        <v>226094.01210791364</v>
      </c>
      <c r="H720" s="18">
        <f>IF($A720&gt;('1-Input'!$B$26-2),H719,H719-C720*(1-B720))</f>
        <v>54174.341317775288</v>
      </c>
      <c r="I720" s="11">
        <f>IF($A720&gt;('1-Input'!$B$26-2),0,IF(N719&lt;=0,0,MAX(0,(N719-O719)/N719)))</f>
        <v>0</v>
      </c>
      <c r="J720" s="18">
        <f>IF($A720&gt;('1-Input'!$B$26-2),0,(MAX(0,I671-IF($A720&gt;='1-Input'!$C$12,'1-Input'!$B$12,0))-MIN(MAX(M719,0),MAX(0,I671-IF($A720&gt;='1-Input'!$C$12,'1-Input'!$B$12,0))))*(1/(1-'P-Parametri'!$B$6*I720))+MIN(MAX(0,N719-(MAX(0,I671-IF($A720&gt;='1-Input'!$C$12,'1-Input'!$B$12,0))-MIN(MAX(M719,0),MAX(0,I671-IF($A720&gt;='1-Input'!$C$12,'1-Input'!$B$12,0))))*(1/(1-'P-Parametri'!$B$6*I720))),MAX(0,0*I671-(M719-MIN(MAX(M719,0),MAX(0,I671-IF($A720&gt;='1-Input'!$C$12,'1-Input'!$B$12,0)))))*(1/(1-'P-Parametri'!$B$6*I720))))</f>
        <v>0</v>
      </c>
      <c r="K720" s="18">
        <f>IF($A720&gt;('1-Input'!$B$26-2),M719,(M719-MAX(0,I671-IF($A720&gt;='1-Input'!$C$12,'1-Input'!$B$12,0))+J720*(1-'P-Parametri'!$B$6*I720))*(1+'1-Input'!$B$27))</f>
        <v>0</v>
      </c>
      <c r="L720" s="18">
        <f>IF($A720&gt;('1-Input'!$B$26-2),N719,(N719-J720)*(1+'5-Roberta'!$C$4))</f>
        <v>-229646.17919626282</v>
      </c>
      <c r="M720" s="18">
        <f>IF($A720&gt;('1-Input'!$B$26-2),K720,K720-'P-Parametri'!$B$8*(L720+K720)+MIN(MAX(L720,0),'P-Parametri'!$B$8*(L720+K720)))</f>
        <v>0</v>
      </c>
      <c r="N720" s="18">
        <f>IF($A720&gt;('1-Input'!$B$26-2),L720,L720-MIN(MAX(L720,0),'P-Parametri'!$B$8*(L720+K720)))</f>
        <v>-229646.17919626282</v>
      </c>
      <c r="O720" s="18">
        <f>IF($A720&gt;('1-Input'!$B$26-2),O719,O719-J720*(1-I720))</f>
        <v>-175589.08535198437</v>
      </c>
      <c r="P720" s="11">
        <f>IF($A720&gt;('1-Input'!$B$26-2),0,IF(U719&lt;=0,0,MAX(0,(U719-V719)/U719)))</f>
        <v>0</v>
      </c>
      <c r="Q720" s="18">
        <f>IF($A720&gt;('1-Input'!$B$26-2),0,(MAX(0,P671-IF($A720&gt;='1-Input'!$C$12,'1-Input'!$B$12,0))-MIN(MAX(T719,0),MAX(0,P671-IF($A720&gt;='1-Input'!$C$12,'1-Input'!$B$12,0))))*(1/(1-'P-Parametri'!$B$6*P720))+MIN(MAX(0,U719-(MAX(0,P671-IF($A720&gt;='1-Input'!$C$12,'1-Input'!$B$12,0))-MIN(MAX(T719,0),MAX(0,P671-IF($A720&gt;='1-Input'!$C$12,'1-Input'!$B$12,0))))*(1/(1-'P-Parametri'!$B$6*P720))),MAX(0,0*P671-(T719-MIN(MAX(T719,0),MAX(0,P671-IF($A720&gt;='1-Input'!$C$12,'1-Input'!$B$12,0)))))*(1/(1-'P-Parametri'!$B$6*P720))))</f>
        <v>0</v>
      </c>
      <c r="R720" s="18">
        <f>IF($A720&gt;('1-Input'!$B$26-2),T719,(T719-MAX(0,P671-IF($A720&gt;='1-Input'!$C$12,'1-Input'!$B$12,0))+Q720*(1-'P-Parametri'!$B$6*P720))*(1+'1-Input'!$B$27))</f>
        <v>0</v>
      </c>
      <c r="S720" s="18">
        <f>IF($A720&gt;('1-Input'!$B$26-2),U719,(U719-Q720)*(1+'5-Roberta'!$C$4))</f>
        <v>-19856.085496993444</v>
      </c>
      <c r="T720" s="18">
        <f>IF($A720&gt;('1-Input'!$B$26-2),R720,R720-'P-Parametri'!$B$8*(S720+R720)+MIN(MAX(S720,0),'P-Parametri'!$B$8*(S720+R720)))</f>
        <v>0</v>
      </c>
      <c r="U720" s="18">
        <f>IF($A720&gt;('1-Input'!$B$26-2),S720,S720-MIN(MAX(S720,0),'P-Parametri'!$B$8*(S720+R720)))</f>
        <v>-19856.085496993444</v>
      </c>
      <c r="V720" s="18">
        <f>IF($A720&gt;('1-Input'!$B$26-2),V719,V719-Q720*(1-P720))</f>
        <v>-17050.450471933604</v>
      </c>
      <c r="W720" s="11">
        <f>IF($A720&gt;('1-Input'!$B$26-2),0,IF(AB719&lt;=0,0,MAX(0,(AB719-AC719)/AB719)))</f>
        <v>0</v>
      </c>
      <c r="X720" s="18">
        <f>IF($A720&gt;('1-Input'!$B$26-2),0,(MAX(0,W671-IF($A720&gt;='1-Input'!$C$12,'1-Input'!$B$12,0))-MIN(MAX(AA719,0),MAX(0,W671-IF($A720&gt;='1-Input'!$C$12,'1-Input'!$B$12,0))))*(1/(1-'P-Parametri'!$B$6*W720))+MIN(MAX(0,AB719-(MAX(0,W671-IF($A720&gt;='1-Input'!$C$12,'1-Input'!$B$12,0))-MIN(MAX(AA719,0),MAX(0,W671-IF($A720&gt;='1-Input'!$C$12,'1-Input'!$B$12,0))))*(1/(1-'P-Parametri'!$B$6*W720))),MAX(0,0*W671-(AA719-MIN(MAX(AA719,0),MAX(0,W671-IF($A720&gt;='1-Input'!$C$12,'1-Input'!$B$12,0)))))*(1/(1-'P-Parametri'!$B$6*W720))))</f>
        <v>0</v>
      </c>
      <c r="Y720" s="18">
        <f>IF($A720&gt;('1-Input'!$B$26-2),AA719,(AA719-MAX(0,W671-IF($A720&gt;='1-Input'!$C$12,'1-Input'!$B$12,0))+X720*(1-'P-Parametri'!$B$6*W720))*(1+'1-Input'!$B$27))</f>
        <v>9.0621954385028403E-13</v>
      </c>
      <c r="Z720" s="18">
        <f>IF($A720&gt;('1-Input'!$B$26-2),AB719,(AB719-X720)*(1+'5-Roberta'!$C$4))</f>
        <v>47.700872515456098</v>
      </c>
      <c r="AA720" s="18">
        <f>IF($A720&gt;('1-Input'!$B$26-2),Y720,Y720-'P-Parametri'!$B$8*(Z720+Y720)+MIN(MAX(Z720,0),'P-Parametri'!$B$8*(Z720+Y720)))</f>
        <v>9.0621954385028403E-13</v>
      </c>
      <c r="AB720" s="18">
        <f>IF($A720&gt;('1-Input'!$B$26-2),Z720,Z720-MIN(MAX(Z720,0),'P-Parametri'!$B$8*(Z720+Y720)))</f>
        <v>47.700872515456098</v>
      </c>
      <c r="AC720" s="18">
        <f>IF($A720&gt;('1-Input'!$B$26-2),AC719,AC719-X720*(1-W720))</f>
        <v>11.429596585577201</v>
      </c>
      <c r="AD720" s="11">
        <f>IF($A720&gt;('1-Input'!$B$26-2),0,IF(AI719&lt;=0,0,MAX(0,(AI719-AJ719)/AI719)))</f>
        <v>0</v>
      </c>
      <c r="AE720" s="18">
        <f>IF($A720&gt;('1-Input'!$B$26-2),0,(MAX(0,AD671-IF($A720&gt;='1-Input'!$C$12,'1-Input'!$B$12,0))-MIN(MAX(AH719,0),MAX(0,AD671-IF($A720&gt;='1-Input'!$C$12,'1-Input'!$B$12,0))))*(1/(1-'P-Parametri'!$B$6*AD720))+MIN(MAX(0,AI719-(MAX(0,AD671-IF($A720&gt;='1-Input'!$C$12,'1-Input'!$B$12,0))-MIN(MAX(AH719,0),MAX(0,AD671-IF($A720&gt;='1-Input'!$C$12,'1-Input'!$B$12,0))))*(1/(1-'P-Parametri'!$B$6*AD720))),MAX(0,0*AD671-(AH719-MIN(MAX(AH719,0),MAX(0,AD671-IF($A720&gt;='1-Input'!$C$12,'1-Input'!$B$12,0)))))*(1/(1-'P-Parametri'!$B$6*AD720))))</f>
        <v>0</v>
      </c>
      <c r="AF720" s="18">
        <f>IF($A720&gt;('1-Input'!$B$26-2),AH719,(AH719-MAX(0,AD671-IF($A720&gt;='1-Input'!$C$12,'1-Input'!$B$12,0))+AE720*(1-'P-Parametri'!$B$6*AD720))*(1+'1-Input'!$B$27))</f>
        <v>0</v>
      </c>
      <c r="AG720" s="18">
        <f>IF($A720&gt;('1-Input'!$B$26-2),AI719,(AI719-AE720)*(1+'5-Roberta'!$C$4))</f>
        <v>-9.9177681766575319</v>
      </c>
      <c r="AH720" s="18">
        <f>IF($A720&gt;('1-Input'!$B$26-2),AF720,AF720-'P-Parametri'!$B$8*(AG720+AF720)+MIN(MAX(AG720,0),'P-Parametri'!$B$8*(AG720+AF720)))</f>
        <v>0</v>
      </c>
      <c r="AI720" s="18">
        <f>IF($A720&gt;('1-Input'!$B$26-2),AG720,AG720-MIN(MAX(AG720,0),'P-Parametri'!$B$8*(AG720+AF720)))</f>
        <v>-9.9177681766575319</v>
      </c>
      <c r="AJ720" s="18">
        <f>IF($A720&gt;('1-Input'!$B$26-2),AJ719,AJ719-AE720*(1-AD720))</f>
        <v>-2.376394462213284</v>
      </c>
      <c r="AK720" s="11">
        <f>IF($A720&gt;('1-Input'!$B$26-2),0,IF(AP719&lt;=0,0,MAX(0,(AP719-AQ719)/AP719)))</f>
        <v>0</v>
      </c>
      <c r="AL720" s="18">
        <f>IF($A720&gt;('1-Input'!$B$26-2),0,(MAX(0,AK671-IF($A720&gt;='1-Input'!$C$12,'1-Input'!$B$12,0))-MIN(MAX(AO719,0),MAX(0,AK671-IF($A720&gt;='1-Input'!$C$12,'1-Input'!$B$12,0))))*(1/(1-'P-Parametri'!$B$6*AK720))+MIN(MAX(0,AP719-(MAX(0,AK671-IF($A720&gt;='1-Input'!$C$12,'1-Input'!$B$12,0))-MIN(MAX(AO719,0),MAX(0,AK671-IF($A720&gt;='1-Input'!$C$12,'1-Input'!$B$12,0))))*(1/(1-'P-Parametri'!$B$6*AK720))),MAX(0,0*AK671-(AO719-MIN(MAX(AO719,0),MAX(0,AK671-IF($A720&gt;='1-Input'!$C$12,'1-Input'!$B$12,0)))))*(1/(1-'P-Parametri'!$B$6*AK720))))</f>
        <v>0</v>
      </c>
      <c r="AM720" s="18">
        <f>IF($A720&gt;('1-Input'!$B$26-2),AO719,(AO719-MAX(0,AK671-IF($A720&gt;='1-Input'!$C$12,'1-Input'!$B$12,0))+AL720*(1-'P-Parametri'!$B$6*AK720))*(1+'1-Input'!$B$27))</f>
        <v>-9.0622052084654565E-13</v>
      </c>
      <c r="AN720" s="18">
        <f>IF($A720&gt;('1-Input'!$B$26-2),AP719,(AP719-AL720)*(1+'5-Roberta'!$C$4))</f>
        <v>-8.4139726095600058E-11</v>
      </c>
      <c r="AO720" s="18">
        <f>IF($A720&gt;('1-Input'!$B$26-2),AM720,AM720-'P-Parametri'!$B$8*(AN720+AM720)+MIN(MAX(AN720,0),'P-Parametri'!$B$8*(AN720+AM720)))</f>
        <v>-9.0622052084654565E-13</v>
      </c>
      <c r="AP720" s="18">
        <f>IF($A720&gt;('1-Input'!$B$26-2),AN720,AN720-MIN(MAX(AN720,0),'P-Parametri'!$B$8*(AN720+AM720)))</f>
        <v>-8.4139726095600058E-11</v>
      </c>
      <c r="AQ720" s="18">
        <f>IF($A720&gt;('1-Input'!$B$26-2),AQ719,AQ719-AL720*(1-AK720))</f>
        <v>-1.9099388737231493E-11</v>
      </c>
    </row>
    <row r="721" spans="1:43">
      <c r="A721" s="10">
        <f>48</f>
        <v>48</v>
      </c>
      <c r="B721" s="11">
        <f>IF($A721&gt;('1-Input'!$B$26-2),0,IF(G720&lt;=0,0,MAX(0,(G720-H720)/G720)))</f>
        <v>0</v>
      </c>
      <c r="C721" s="18">
        <f>IF($A721&gt;('1-Input'!$B$26-2),0,(MAX(0,B671-IF($A721&gt;='1-Input'!$C$12,'1-Input'!$B$12,0))-MIN(MAX(F720,0),MAX(0,B671-IF($A721&gt;='1-Input'!$C$12,'1-Input'!$B$12,0))))*(1/(1-'P-Parametri'!$B$6*B721))+MIN(MAX(0,G720-(MAX(0,B671-IF($A721&gt;='1-Input'!$C$12,'1-Input'!$B$12,0))-MIN(MAX(F720,0),MAX(0,B671-IF($A721&gt;='1-Input'!$C$12,'1-Input'!$B$12,0))))*(1/(1-'P-Parametri'!$B$6*B721))),MAX(0,0*B671-(F720-MIN(MAX(F720,0),MAX(0,B671-IF($A721&gt;='1-Input'!$C$12,'1-Input'!$B$12,0)))))*(1/(1-'P-Parametri'!$B$6*B721))))</f>
        <v>0</v>
      </c>
      <c r="D721" s="18">
        <f>IF($A721&gt;('1-Input'!$B$26-2),F720,(F720-MAX(0,B671-IF($A721&gt;='1-Input'!$C$12,'1-Input'!$B$12,0))+C721*(1-'P-Parametri'!$B$6*B721))*(1+'1-Input'!$B$27))</f>
        <v>0</v>
      </c>
      <c r="E721" s="18">
        <f>IF($A721&gt;('1-Input'!$B$26-2),G720,(G720-C721)*(1+'5-Roberta'!$C$4))</f>
        <v>226094.01210791364</v>
      </c>
      <c r="F721" s="18">
        <f>IF($A721&gt;('1-Input'!$B$26-2),D721,D721-'P-Parametri'!$B$8*(E721+D721)+MIN(MAX(E721,0),'P-Parametri'!$B$8*(E721+D721)))</f>
        <v>0</v>
      </c>
      <c r="G721" s="18">
        <f>IF($A721&gt;('1-Input'!$B$26-2),E721,E721-MIN(MAX(E721,0),'P-Parametri'!$B$8*(E721+D721)))</f>
        <v>226094.01210791364</v>
      </c>
      <c r="H721" s="18">
        <f>IF($A721&gt;('1-Input'!$B$26-2),H720,H720-C721*(1-B721))</f>
        <v>54174.341317775288</v>
      </c>
      <c r="I721" s="11">
        <f>IF($A721&gt;('1-Input'!$B$26-2),0,IF(N720&lt;=0,0,MAX(0,(N720-O720)/N720)))</f>
        <v>0</v>
      </c>
      <c r="J721" s="18">
        <f>IF($A721&gt;('1-Input'!$B$26-2),0,(MAX(0,I671-IF($A721&gt;='1-Input'!$C$12,'1-Input'!$B$12,0))-MIN(MAX(M720,0),MAX(0,I671-IF($A721&gt;='1-Input'!$C$12,'1-Input'!$B$12,0))))*(1/(1-'P-Parametri'!$B$6*I721))+MIN(MAX(0,N720-(MAX(0,I671-IF($A721&gt;='1-Input'!$C$12,'1-Input'!$B$12,0))-MIN(MAX(M720,0),MAX(0,I671-IF($A721&gt;='1-Input'!$C$12,'1-Input'!$B$12,0))))*(1/(1-'P-Parametri'!$B$6*I721))),MAX(0,0*I671-(M720-MIN(MAX(M720,0),MAX(0,I671-IF($A721&gt;='1-Input'!$C$12,'1-Input'!$B$12,0)))))*(1/(1-'P-Parametri'!$B$6*I721))))</f>
        <v>0</v>
      </c>
      <c r="K721" s="18">
        <f>IF($A721&gt;('1-Input'!$B$26-2),M720,(M720-MAX(0,I671-IF($A721&gt;='1-Input'!$C$12,'1-Input'!$B$12,0))+J721*(1-'P-Parametri'!$B$6*I721))*(1+'1-Input'!$B$27))</f>
        <v>0</v>
      </c>
      <c r="L721" s="18">
        <f>IF($A721&gt;('1-Input'!$B$26-2),N720,(N720-J721)*(1+'5-Roberta'!$C$4))</f>
        <v>-229646.17919626282</v>
      </c>
      <c r="M721" s="18">
        <f>IF($A721&gt;('1-Input'!$B$26-2),K721,K721-'P-Parametri'!$B$8*(L721+K721)+MIN(MAX(L721,0),'P-Parametri'!$B$8*(L721+K721)))</f>
        <v>0</v>
      </c>
      <c r="N721" s="18">
        <f>IF($A721&gt;('1-Input'!$B$26-2),L721,L721-MIN(MAX(L721,0),'P-Parametri'!$B$8*(L721+K721)))</f>
        <v>-229646.17919626282</v>
      </c>
      <c r="O721" s="18">
        <f>IF($A721&gt;('1-Input'!$B$26-2),O720,O720-J721*(1-I721))</f>
        <v>-175589.08535198437</v>
      </c>
      <c r="P721" s="11">
        <f>IF($A721&gt;('1-Input'!$B$26-2),0,IF(U720&lt;=0,0,MAX(0,(U720-V720)/U720)))</f>
        <v>0</v>
      </c>
      <c r="Q721" s="18">
        <f>IF($A721&gt;('1-Input'!$B$26-2),0,(MAX(0,P671-IF($A721&gt;='1-Input'!$C$12,'1-Input'!$B$12,0))-MIN(MAX(T720,0),MAX(0,P671-IF($A721&gt;='1-Input'!$C$12,'1-Input'!$B$12,0))))*(1/(1-'P-Parametri'!$B$6*P721))+MIN(MAX(0,U720-(MAX(0,P671-IF($A721&gt;='1-Input'!$C$12,'1-Input'!$B$12,0))-MIN(MAX(T720,0),MAX(0,P671-IF($A721&gt;='1-Input'!$C$12,'1-Input'!$B$12,0))))*(1/(1-'P-Parametri'!$B$6*P721))),MAX(0,0*P671-(T720-MIN(MAX(T720,0),MAX(0,P671-IF($A721&gt;='1-Input'!$C$12,'1-Input'!$B$12,0)))))*(1/(1-'P-Parametri'!$B$6*P721))))</f>
        <v>0</v>
      </c>
      <c r="R721" s="18">
        <f>IF($A721&gt;('1-Input'!$B$26-2),T720,(T720-MAX(0,P671-IF($A721&gt;='1-Input'!$C$12,'1-Input'!$B$12,0))+Q721*(1-'P-Parametri'!$B$6*P721))*(1+'1-Input'!$B$27))</f>
        <v>0</v>
      </c>
      <c r="S721" s="18">
        <f>IF($A721&gt;('1-Input'!$B$26-2),U720,(U720-Q721)*(1+'5-Roberta'!$C$4))</f>
        <v>-19856.085496993444</v>
      </c>
      <c r="T721" s="18">
        <f>IF($A721&gt;('1-Input'!$B$26-2),R721,R721-'P-Parametri'!$B$8*(S721+R721)+MIN(MAX(S721,0),'P-Parametri'!$B$8*(S721+R721)))</f>
        <v>0</v>
      </c>
      <c r="U721" s="18">
        <f>IF($A721&gt;('1-Input'!$B$26-2),S721,S721-MIN(MAX(S721,0),'P-Parametri'!$B$8*(S721+R721)))</f>
        <v>-19856.085496993444</v>
      </c>
      <c r="V721" s="18">
        <f>IF($A721&gt;('1-Input'!$B$26-2),V720,V720-Q721*(1-P721))</f>
        <v>-17050.450471933604</v>
      </c>
      <c r="W721" s="11">
        <f>IF($A721&gt;('1-Input'!$B$26-2),0,IF(AB720&lt;=0,0,MAX(0,(AB720-AC720)/AB720)))</f>
        <v>0</v>
      </c>
      <c r="X721" s="18">
        <f>IF($A721&gt;('1-Input'!$B$26-2),0,(MAX(0,W671-IF($A721&gt;='1-Input'!$C$12,'1-Input'!$B$12,0))-MIN(MAX(AA720,0),MAX(0,W671-IF($A721&gt;='1-Input'!$C$12,'1-Input'!$B$12,0))))*(1/(1-'P-Parametri'!$B$6*W721))+MIN(MAX(0,AB720-(MAX(0,W671-IF($A721&gt;='1-Input'!$C$12,'1-Input'!$B$12,0))-MIN(MAX(AA720,0),MAX(0,W671-IF($A721&gt;='1-Input'!$C$12,'1-Input'!$B$12,0))))*(1/(1-'P-Parametri'!$B$6*W721))),MAX(0,0*W671-(AA720-MIN(MAX(AA720,0),MAX(0,W671-IF($A721&gt;='1-Input'!$C$12,'1-Input'!$B$12,0)))))*(1/(1-'P-Parametri'!$B$6*W721))))</f>
        <v>0</v>
      </c>
      <c r="Y721" s="18">
        <f>IF($A721&gt;('1-Input'!$B$26-2),AA720,(AA720-MAX(0,W671-IF($A721&gt;='1-Input'!$C$12,'1-Input'!$B$12,0))+X721*(1-'P-Parametri'!$B$6*W721))*(1+'1-Input'!$B$27))</f>
        <v>9.0621954385028403E-13</v>
      </c>
      <c r="Z721" s="18">
        <f>IF($A721&gt;('1-Input'!$B$26-2),AB720,(AB720-X721)*(1+'5-Roberta'!$C$4))</f>
        <v>47.700872515456098</v>
      </c>
      <c r="AA721" s="18">
        <f>IF($A721&gt;('1-Input'!$B$26-2),Y721,Y721-'P-Parametri'!$B$8*(Z721+Y721)+MIN(MAX(Z721,0),'P-Parametri'!$B$8*(Z721+Y721)))</f>
        <v>9.0621954385028403E-13</v>
      </c>
      <c r="AB721" s="18">
        <f>IF($A721&gt;('1-Input'!$B$26-2),Z721,Z721-MIN(MAX(Z721,0),'P-Parametri'!$B$8*(Z721+Y721)))</f>
        <v>47.700872515456098</v>
      </c>
      <c r="AC721" s="18">
        <f>IF($A721&gt;('1-Input'!$B$26-2),AC720,AC720-X721*(1-W721))</f>
        <v>11.429596585577201</v>
      </c>
      <c r="AD721" s="11">
        <f>IF($A721&gt;('1-Input'!$B$26-2),0,IF(AI720&lt;=0,0,MAX(0,(AI720-AJ720)/AI720)))</f>
        <v>0</v>
      </c>
      <c r="AE721" s="18">
        <f>IF($A721&gt;('1-Input'!$B$26-2),0,(MAX(0,AD671-IF($A721&gt;='1-Input'!$C$12,'1-Input'!$B$12,0))-MIN(MAX(AH720,0),MAX(0,AD671-IF($A721&gt;='1-Input'!$C$12,'1-Input'!$B$12,0))))*(1/(1-'P-Parametri'!$B$6*AD721))+MIN(MAX(0,AI720-(MAX(0,AD671-IF($A721&gt;='1-Input'!$C$12,'1-Input'!$B$12,0))-MIN(MAX(AH720,0),MAX(0,AD671-IF($A721&gt;='1-Input'!$C$12,'1-Input'!$B$12,0))))*(1/(1-'P-Parametri'!$B$6*AD721))),MAX(0,0*AD671-(AH720-MIN(MAX(AH720,0),MAX(0,AD671-IF($A721&gt;='1-Input'!$C$12,'1-Input'!$B$12,0)))))*(1/(1-'P-Parametri'!$B$6*AD721))))</f>
        <v>0</v>
      </c>
      <c r="AF721" s="18">
        <f>IF($A721&gt;('1-Input'!$B$26-2),AH720,(AH720-MAX(0,AD671-IF($A721&gt;='1-Input'!$C$12,'1-Input'!$B$12,0))+AE721*(1-'P-Parametri'!$B$6*AD721))*(1+'1-Input'!$B$27))</f>
        <v>0</v>
      </c>
      <c r="AG721" s="18">
        <f>IF($A721&gt;('1-Input'!$B$26-2),AI720,(AI720-AE721)*(1+'5-Roberta'!$C$4))</f>
        <v>-9.9177681766575319</v>
      </c>
      <c r="AH721" s="18">
        <f>IF($A721&gt;('1-Input'!$B$26-2),AF721,AF721-'P-Parametri'!$B$8*(AG721+AF721)+MIN(MAX(AG721,0),'P-Parametri'!$B$8*(AG721+AF721)))</f>
        <v>0</v>
      </c>
      <c r="AI721" s="18">
        <f>IF($A721&gt;('1-Input'!$B$26-2),AG721,AG721-MIN(MAX(AG721,0),'P-Parametri'!$B$8*(AG721+AF721)))</f>
        <v>-9.9177681766575319</v>
      </c>
      <c r="AJ721" s="18">
        <f>IF($A721&gt;('1-Input'!$B$26-2),AJ720,AJ720-AE721*(1-AD721))</f>
        <v>-2.376394462213284</v>
      </c>
      <c r="AK721" s="11">
        <f>IF($A721&gt;('1-Input'!$B$26-2),0,IF(AP720&lt;=0,0,MAX(0,(AP720-AQ720)/AP720)))</f>
        <v>0</v>
      </c>
      <c r="AL721" s="18">
        <f>IF($A721&gt;('1-Input'!$B$26-2),0,(MAX(0,AK671-IF($A721&gt;='1-Input'!$C$12,'1-Input'!$B$12,0))-MIN(MAX(AO720,0),MAX(0,AK671-IF($A721&gt;='1-Input'!$C$12,'1-Input'!$B$12,0))))*(1/(1-'P-Parametri'!$B$6*AK721))+MIN(MAX(0,AP720-(MAX(0,AK671-IF($A721&gt;='1-Input'!$C$12,'1-Input'!$B$12,0))-MIN(MAX(AO720,0),MAX(0,AK671-IF($A721&gt;='1-Input'!$C$12,'1-Input'!$B$12,0))))*(1/(1-'P-Parametri'!$B$6*AK721))),MAX(0,0*AK671-(AO720-MIN(MAX(AO720,0),MAX(0,AK671-IF($A721&gt;='1-Input'!$C$12,'1-Input'!$B$12,0)))))*(1/(1-'P-Parametri'!$B$6*AK721))))</f>
        <v>0</v>
      </c>
      <c r="AM721" s="18">
        <f>IF($A721&gt;('1-Input'!$B$26-2),AO720,(AO720-MAX(0,AK671-IF($A721&gt;='1-Input'!$C$12,'1-Input'!$B$12,0))+AL721*(1-'P-Parametri'!$B$6*AK721))*(1+'1-Input'!$B$27))</f>
        <v>-9.0622052084654565E-13</v>
      </c>
      <c r="AN721" s="18">
        <f>IF($A721&gt;('1-Input'!$B$26-2),AP720,(AP720-AL721)*(1+'5-Roberta'!$C$4))</f>
        <v>-8.4139726095600058E-11</v>
      </c>
      <c r="AO721" s="18">
        <f>IF($A721&gt;('1-Input'!$B$26-2),AM721,AM721-'P-Parametri'!$B$8*(AN721+AM721)+MIN(MAX(AN721,0),'P-Parametri'!$B$8*(AN721+AM721)))</f>
        <v>-9.0622052084654565E-13</v>
      </c>
      <c r="AP721" s="18">
        <f>IF($A721&gt;('1-Input'!$B$26-2),AN721,AN721-MIN(MAX(AN721,0),'P-Parametri'!$B$8*(AN721+AM721)))</f>
        <v>-8.4139726095600058E-11</v>
      </c>
      <c r="AQ721" s="18">
        <f>IF($A721&gt;('1-Input'!$B$26-2),AQ720,AQ720-AL721*(1-AK721))</f>
        <v>-1.9099388737231493E-11</v>
      </c>
    </row>
    <row r="722" spans="1:43">
      <c r="A722" s="4" t="s">
        <v>365</v>
      </c>
      <c r="B722" s="18">
        <f>F721+G721</f>
        <v>226094.01210791364</v>
      </c>
      <c r="I722" s="18">
        <f>M721+N721</f>
        <v>-229646.17919626282</v>
      </c>
      <c r="P722" s="18">
        <f>T721+U721</f>
        <v>-19856.085496993444</v>
      </c>
      <c r="W722" s="18">
        <f>AA721+AB721</f>
        <v>47.700872515457007</v>
      </c>
      <c r="AD722" s="18">
        <f>AH721+AI721</f>
        <v>-9.9177681766575319</v>
      </c>
      <c r="AK722" s="18">
        <f>AO721+AP721</f>
        <v>-8.5045946616446599E-11</v>
      </c>
    </row>
    <row r="723" spans="1:43">
      <c r="A723" s="5" t="s">
        <v>266</v>
      </c>
      <c r="B723" s="18">
        <f>IFERROR(AK671-AK722*(AK671-AD671)/(AK722-AD722),AK671)</f>
        <v>19043.645505094009</v>
      </c>
    </row>
    <row r="725" spans="1:43">
      <c r="A725" s="2" t="s">
        <v>422</v>
      </c>
    </row>
    <row r="726" spans="1:43">
      <c r="A726" s="4" t="s">
        <v>360</v>
      </c>
      <c r="B726" s="9">
        <f>0.038*'2-Caso'!$B$12</f>
        <v>16681.055314625803</v>
      </c>
      <c r="I726" s="9">
        <f>0.05*'2-Caso'!$B$12</f>
        <v>21948.756992928691</v>
      </c>
      <c r="P726" s="18">
        <f>IFERROR(I726-I777*(I726-B726)/(I777-B777),I726)</f>
        <v>18380.53886184168</v>
      </c>
      <c r="W726" s="18">
        <f>IFERROR(P726-P777*(P726-I726)/(P777-I777),P726)</f>
        <v>18154.525996238091</v>
      </c>
      <c r="AD726" s="18">
        <f>IFERROR(W726-W777*(W726-P726)/(W777-P777),W726)</f>
        <v>18140.167130326849</v>
      </c>
      <c r="AK726" s="18">
        <f>IFERROR(AD726-AD777*(AD726-W726)/(AD777-W777),AD726)</f>
        <v>18140.092427657342</v>
      </c>
    </row>
    <row r="727" spans="1:43" ht="45">
      <c r="A727" s="25" t="s">
        <v>262</v>
      </c>
      <c r="B727" s="25" t="s">
        <v>361</v>
      </c>
      <c r="C727" s="25" t="s">
        <v>263</v>
      </c>
      <c r="D727" s="25" t="s">
        <v>362</v>
      </c>
      <c r="E727" s="25" t="s">
        <v>363</v>
      </c>
      <c r="F727" s="25" t="s">
        <v>264</v>
      </c>
      <c r="G727" s="25" t="s">
        <v>265</v>
      </c>
      <c r="H727" s="25" t="s">
        <v>364</v>
      </c>
      <c r="I727" s="25" t="s">
        <v>361</v>
      </c>
      <c r="J727" s="25" t="s">
        <v>263</v>
      </c>
      <c r="K727" s="25" t="s">
        <v>362</v>
      </c>
      <c r="L727" s="25" t="s">
        <v>363</v>
      </c>
      <c r="M727" s="25" t="s">
        <v>264</v>
      </c>
      <c r="N727" s="25" t="s">
        <v>265</v>
      </c>
      <c r="O727" s="25" t="s">
        <v>364</v>
      </c>
      <c r="P727" s="25" t="s">
        <v>361</v>
      </c>
      <c r="Q727" s="25" t="s">
        <v>263</v>
      </c>
      <c r="R727" s="25" t="s">
        <v>362</v>
      </c>
      <c r="S727" s="25" t="s">
        <v>363</v>
      </c>
      <c r="T727" s="25" t="s">
        <v>264</v>
      </c>
      <c r="U727" s="25" t="s">
        <v>265</v>
      </c>
      <c r="V727" s="25" t="s">
        <v>364</v>
      </c>
      <c r="W727" s="25" t="s">
        <v>361</v>
      </c>
      <c r="X727" s="25" t="s">
        <v>263</v>
      </c>
      <c r="Y727" s="25" t="s">
        <v>362</v>
      </c>
      <c r="Z727" s="25" t="s">
        <v>363</v>
      </c>
      <c r="AA727" s="25" t="s">
        <v>264</v>
      </c>
      <c r="AB727" s="25" t="s">
        <v>265</v>
      </c>
      <c r="AC727" s="25" t="s">
        <v>364</v>
      </c>
      <c r="AD727" s="25" t="s">
        <v>361</v>
      </c>
      <c r="AE727" s="25" t="s">
        <v>263</v>
      </c>
      <c r="AF727" s="25" t="s">
        <v>362</v>
      </c>
      <c r="AG727" s="25" t="s">
        <v>363</v>
      </c>
      <c r="AH727" s="25" t="s">
        <v>264</v>
      </c>
      <c r="AI727" s="25" t="s">
        <v>265</v>
      </c>
      <c r="AJ727" s="25" t="s">
        <v>364</v>
      </c>
      <c r="AK727" s="25" t="s">
        <v>361</v>
      </c>
      <c r="AL727" s="25" t="s">
        <v>263</v>
      </c>
      <c r="AM727" s="25" t="s">
        <v>362</v>
      </c>
      <c r="AN727" s="25" t="s">
        <v>363</v>
      </c>
      <c r="AO727" s="25" t="s">
        <v>264</v>
      </c>
      <c r="AP727" s="25" t="s">
        <v>265</v>
      </c>
      <c r="AQ727" s="25" t="s">
        <v>364</v>
      </c>
    </row>
    <row r="728" spans="1:43">
      <c r="A728" s="3">
        <v>0</v>
      </c>
      <c r="F728" s="18">
        <f>MIN(2*B726,'2-Caso'!$B$12)</f>
        <v>33362.110629251605</v>
      </c>
      <c r="G728" s="18">
        <f>'2-Caso'!$B$12-F728</f>
        <v>405613.02922932222</v>
      </c>
      <c r="H728" s="18">
        <f>'2-Caso'!$B$13*G728/'2-Caso'!$B$12</f>
        <v>317856</v>
      </c>
      <c r="M728" s="18">
        <f>MIN(2*I726,'2-Caso'!$B$12)</f>
        <v>43897.513985857382</v>
      </c>
      <c r="N728" s="18">
        <f>'2-Caso'!$B$12-M728</f>
        <v>395077.62587271642</v>
      </c>
      <c r="O728" s="18">
        <f>'2-Caso'!$B$13*N728/'2-Caso'!$B$12</f>
        <v>309600</v>
      </c>
      <c r="T728" s="18">
        <f>MIN(2*P726,'2-Caso'!$B$12)</f>
        <v>36761.07772368336</v>
      </c>
      <c r="U728" s="18">
        <f>'2-Caso'!$B$12-T728</f>
        <v>402214.06213489041</v>
      </c>
      <c r="V728" s="18">
        <f>'2-Caso'!$B$13*U728/'2-Caso'!$B$12</f>
        <v>315192.42164597014</v>
      </c>
      <c r="AA728" s="18">
        <f>MIN(2*W726,'2-Caso'!$B$12)</f>
        <v>36309.051992476183</v>
      </c>
      <c r="AB728" s="18">
        <f>'2-Caso'!$B$12-AA728</f>
        <v>402666.08786609763</v>
      </c>
      <c r="AC728" s="18">
        <f>'2-Caso'!$B$13*AB728/'2-Caso'!$B$12</f>
        <v>315546.64865660539</v>
      </c>
      <c r="AH728" s="18">
        <f>MIN(2*AD726,'2-Caso'!$B$12)</f>
        <v>36280.334260653697</v>
      </c>
      <c r="AI728" s="18">
        <f>'2-Caso'!$B$12-AH728</f>
        <v>402694.80559792009</v>
      </c>
      <c r="AJ728" s="18">
        <f>'2-Caso'!$B$13*AI728/'2-Caso'!$B$12</f>
        <v>315569.15311950073</v>
      </c>
      <c r="AO728" s="18">
        <f>MIN(2*AK726,'2-Caso'!$B$12)</f>
        <v>36280.184855314685</v>
      </c>
      <c r="AP728" s="18">
        <f>'2-Caso'!$B$12-AO728</f>
        <v>402694.95500325912</v>
      </c>
      <c r="AQ728" s="18">
        <f>'2-Caso'!$B$13*AP728/'2-Caso'!$B$12</f>
        <v>315569.27020001836</v>
      </c>
    </row>
    <row r="729" spans="1:43">
      <c r="A729" s="10">
        <f>1</f>
        <v>1</v>
      </c>
      <c r="B729" s="11">
        <f>IF($A729&gt;('1-Input'!$B$26-2),0,IF(G728&lt;=0,0,MAX(0,(G728-H728)/G728)))</f>
        <v>0.21635653419729486</v>
      </c>
      <c r="C729" s="18">
        <f>IF($A729&gt;('1-Input'!$B$26-2),0,(MAX(0,B726-IF($A729&gt;='1-Input'!$C$12,'1-Input'!$B$12,0))-MIN(MAX(F728,0),MAX(0,B726-IF($A729&gt;='1-Input'!$C$12,'1-Input'!$B$12,0))))*(1/(1-'P-Parametri'!$B$6*B729))+MIN(MAX(0,G728-(MAX(0,B726-IF($A729&gt;='1-Input'!$C$12,'1-Input'!$B$12,0))-MIN(MAX(F728,0),MAX(0,B726-IF($A729&gt;='1-Input'!$C$12,'1-Input'!$B$12,0))))*(1/(1-'P-Parametri'!$B$6*B729))),MAX(0,2*B726-(F728-MIN(MAX(F728,0),MAX(0,B726-IF($A729&gt;='1-Input'!$C$12,'1-Input'!$B$12,0)))))*(1/(1-'P-Parametri'!$B$6*B729))))</f>
        <v>17675.340946701614</v>
      </c>
      <c r="D729" s="18">
        <f>IF($A729&gt;('1-Input'!$B$26-2),F728,(F728-MAX(0,B726-IF($A729&gt;='1-Input'!$C$12,'1-Input'!$B$12,0))+C729*(1-'P-Parametri'!$B$6*B729))*(1+'1-Input'!$B$27))</f>
        <v>33242.0070309863</v>
      </c>
      <c r="E729" s="18">
        <f>IF($A729&gt;('1-Input'!$B$26-2),G728,(G728-C729)*(1+'5-Roberta'!$C$4))</f>
        <v>399575.81893109926</v>
      </c>
      <c r="F729" s="18">
        <f>IF($A729&gt;('1-Input'!$B$26-2),D729,D729-'P-Parametri'!$B$8*(E729+D729)+MIN(MAX(E729,0),'P-Parametri'!$B$8*(E729+D729)))</f>
        <v>33242.0070309863</v>
      </c>
      <c r="G729" s="18">
        <f>IF($A729&gt;('1-Input'!$B$26-2),E729,E729-MIN(MAX(E729,0),'P-Parametri'!$B$8*(E729+D729)))</f>
        <v>398710.18327917508</v>
      </c>
      <c r="H729" s="18">
        <f>IF($A729&gt;('1-Input'!$B$26-2),H728,H728-C729*(1-B729))</f>
        <v>304004.8345612823</v>
      </c>
      <c r="I729" s="11">
        <f>IF($A729&gt;('1-Input'!$B$26-2),0,IF(N728&lt;=0,0,MAX(0,(N728-O728)/N728)))</f>
        <v>0.21635653419729484</v>
      </c>
      <c r="J729" s="18">
        <f>IF($A729&gt;('1-Input'!$B$26-2),0,(MAX(0,I726-IF($A729&gt;='1-Input'!$C$12,'1-Input'!$B$12,0))-MIN(MAX(M728,0),MAX(0,I726-IF($A729&gt;='1-Input'!$C$12,'1-Input'!$B$12,0))))*(1/(1-'P-Parametri'!$B$6*I729))+MIN(MAX(0,N728-(MAX(0,I726-IF($A729&gt;='1-Input'!$C$12,'1-Input'!$B$12,0))-MIN(MAX(M728,0),MAX(0,I726-IF($A729&gt;='1-Input'!$C$12,'1-Input'!$B$12,0))))*(1/(1-'P-Parametri'!$B$6*I729))),MAX(0,2*I726-(M728-MIN(MAX(M728,0),MAX(0,I726-IF($A729&gt;='1-Input'!$C$12,'1-Input'!$B$12,0)))))*(1/(1-'P-Parametri'!$B$6*I729))))</f>
        <v>23257.027561449497</v>
      </c>
      <c r="K729" s="18">
        <f>IF($A729&gt;('1-Input'!$B$26-2),M728,(M728-MAX(0,I726-IF($A729&gt;='1-Input'!$C$12,'1-Input'!$B$12,0))+J729*(1-'P-Parametri'!$B$6*I729))*(1+'1-Input'!$B$27))</f>
        <v>43739.482935508291</v>
      </c>
      <c r="L729" s="18">
        <f>IF($A729&gt;('1-Input'!$B$26-2),N728,(N728-J729)*(1+'5-Roberta'!$C$4))</f>
        <v>382975.21626060491</v>
      </c>
      <c r="M729" s="18">
        <f>IF($A729&gt;('1-Input'!$B$26-2),K729,K729-'P-Parametri'!$B$8*(L729+K729)+MIN(MAX(L729,0),'P-Parametri'!$B$8*(L729+K729)))</f>
        <v>43739.482935508291</v>
      </c>
      <c r="N729" s="18">
        <f>IF($A729&gt;('1-Input'!$B$26-2),L729,L729-MIN(MAX(L729,0),'P-Parametri'!$B$8*(L729+K729)))</f>
        <v>382121.7868622127</v>
      </c>
      <c r="O729" s="18">
        <f>IF($A729&gt;('1-Input'!$B$26-2),O728,O728-J729*(1-I729))</f>
        <v>291374.7823174767</v>
      </c>
      <c r="P729" s="11">
        <f>IF($A729&gt;('1-Input'!$B$26-2),0,IF(U728&lt;=0,0,MAX(0,(U728-V728)/U728)))</f>
        <v>0.21635653419729478</v>
      </c>
      <c r="Q729" s="18">
        <f>IF($A729&gt;('1-Input'!$B$26-2),0,(MAX(0,P726-IF($A729&gt;='1-Input'!$C$12,'1-Input'!$B$12,0))-MIN(MAX(T728,0),MAX(0,P726-IF($A729&gt;='1-Input'!$C$12,'1-Input'!$B$12,0))))*(1/(1-'P-Parametri'!$B$6*P729))+MIN(MAX(0,U728-(MAX(0,P726-IF($A729&gt;='1-Input'!$C$12,'1-Input'!$B$12,0))-MIN(MAX(T728,0),MAX(0,P726-IF($A729&gt;='1-Input'!$C$12,'1-Input'!$B$12,0))))*(1/(1-'P-Parametri'!$B$6*P729))),MAX(0,2*P726-(T728-MIN(MAX(T728,0),MAX(0,P726-IF($A729&gt;='1-Input'!$C$12,'1-Input'!$B$12,0)))))*(1/(1-'P-Parametri'!$B$6*P729))))</f>
        <v>19476.123365066513</v>
      </c>
      <c r="R729" s="18">
        <f>IF($A729&gt;('1-Input'!$B$26-2),T728,(T728-MAX(0,P726-IF($A729&gt;='1-Input'!$C$12,'1-Input'!$B$12,0))+Q729*(1-'P-Parametri'!$B$6*P729))*(1+'1-Input'!$B$27))</f>
        <v>36628.737843878094</v>
      </c>
      <c r="S729" s="18">
        <f>IF($A729&gt;('1-Input'!$B$26-2),U728,(U728-Q729)*(1+'5-Roberta'!$C$4))</f>
        <v>394220.07693291857</v>
      </c>
      <c r="T729" s="18">
        <f>IF($A729&gt;('1-Input'!$B$26-2),R729,R729-'P-Parametri'!$B$8*(S729+R729)+MIN(MAX(S729,0),'P-Parametri'!$B$8*(S729+R729)))</f>
        <v>36628.737843878094</v>
      </c>
      <c r="U729" s="18">
        <f>IF($A729&gt;('1-Input'!$B$26-2),S729,S729-MIN(MAX(S729,0),'P-Parametri'!$B$8*(S729+R729)))</f>
        <v>393358.37930336496</v>
      </c>
      <c r="V729" s="18">
        <f>IF($A729&gt;('1-Input'!$B$26-2),V728,V728-Q729*(1-P729))</f>
        <v>299930.08483176836</v>
      </c>
      <c r="W729" s="11">
        <f>IF($A729&gt;('1-Input'!$B$26-2),0,IF(AB728&lt;=0,0,MAX(0,(AB728-AC728)/AB728)))</f>
        <v>0.21635653419729473</v>
      </c>
      <c r="X729" s="18">
        <f>IF($A729&gt;('1-Input'!$B$26-2),0,(MAX(0,W726-IF($A729&gt;='1-Input'!$C$12,'1-Input'!$B$12,0))-MIN(MAX(AA728,0),MAX(0,W726-IF($A729&gt;='1-Input'!$C$12,'1-Input'!$B$12,0))))*(1/(1-'P-Parametri'!$B$6*W729))+MIN(MAX(0,AB728-(MAX(0,W726-IF($A729&gt;='1-Input'!$C$12,'1-Input'!$B$12,0))-MIN(MAX(AA728,0),MAX(0,W726-IF($A729&gt;='1-Input'!$C$12,'1-Input'!$B$12,0))))*(1/(1-'P-Parametri'!$B$6*W729))),MAX(0,2*W726-(AA728-MIN(MAX(AA728,0),MAX(0,W726-IF($A729&gt;='1-Input'!$C$12,'1-Input'!$B$12,0)))))*(1/(1-'P-Parametri'!$B$6*W729))))</f>
        <v>19236.638849096962</v>
      </c>
      <c r="Y729" s="18">
        <f>IF($A729&gt;('1-Input'!$B$26-2),AA728,(AA728-MAX(0,W726-IF($A729&gt;='1-Input'!$C$12,'1-Input'!$B$12,0))+X729*(1-'P-Parametri'!$B$6*W729))*(1+'1-Input'!$B$27))</f>
        <v>36178.339405303268</v>
      </c>
      <c r="Z729" s="18">
        <f>IF($A729&gt;('1-Input'!$B$26-2),AB728,(AB728-X729)*(1+'5-Roberta'!$C$4))</f>
        <v>394932.33248751069</v>
      </c>
      <c r="AA729" s="18">
        <f>IF($A729&gt;('1-Input'!$B$26-2),Y729,Y729-'P-Parametri'!$B$8*(Z729+Y729)+MIN(MAX(Z729,0),'P-Parametri'!$B$8*(Z729+Y729)))</f>
        <v>36178.339405303268</v>
      </c>
      <c r="AB729" s="18">
        <f>IF($A729&gt;('1-Input'!$B$26-2),Z729,Z729-MIN(MAX(Z729,0),'P-Parametri'!$B$8*(Z729+Y729)))</f>
        <v>394070.11114372505</v>
      </c>
      <c r="AC729" s="18">
        <f>IF($A729&gt;('1-Input'!$B$26-2),AC728,AC728-X729*(1-W729))</f>
        <v>300471.98231850407</v>
      </c>
      <c r="AD729" s="11">
        <f>IF($A729&gt;('1-Input'!$B$26-2),0,IF(AI728&lt;=0,0,MAX(0,(AI728-AJ728)/AI728)))</f>
        <v>0.21635653419729475</v>
      </c>
      <c r="AE729" s="18">
        <f>IF($A729&gt;('1-Input'!$B$26-2),0,(MAX(0,AD726-IF($A729&gt;='1-Input'!$C$12,'1-Input'!$B$12,0))-MIN(MAX(AH728,0),MAX(0,AD726-IF($A729&gt;='1-Input'!$C$12,'1-Input'!$B$12,0))))*(1/(1-'P-Parametri'!$B$6*AD729))+MIN(MAX(0,AI728-(MAX(0,AD726-IF($A729&gt;='1-Input'!$C$12,'1-Input'!$B$12,0))-MIN(MAX(AH728,0),MAX(0,AD726-IF($A729&gt;='1-Input'!$C$12,'1-Input'!$B$12,0))))*(1/(1-'P-Parametri'!$B$6*AD729))),MAX(0,2*AD726-(AH728-MIN(MAX(AH728,0),MAX(0,AD726-IF($A729&gt;='1-Input'!$C$12,'1-Input'!$B$12,0)))))*(1/(1-'P-Parametri'!$B$6*AD729))))</f>
        <v>19221.424113230303</v>
      </c>
      <c r="AF729" s="18">
        <f>IF($A729&gt;('1-Input'!$B$26-2),AH728,(AH728-MAX(0,AD726-IF($A729&gt;='1-Input'!$C$12,'1-Input'!$B$12,0))+AE729*(1-'P-Parametri'!$B$6*AD729))*(1+'1-Input'!$B$27))</f>
        <v>36149.725057315351</v>
      </c>
      <c r="AG729" s="18">
        <f>IF($A729&gt;('1-Input'!$B$26-2),AI728,(AI728-AE729)*(1+'5-Roberta'!$C$4))</f>
        <v>394977.58292923047</v>
      </c>
      <c r="AH729" s="18">
        <f>IF($A729&gt;('1-Input'!$B$26-2),AF729,AF729-'P-Parametri'!$B$8*(AG729+AF729)+MIN(MAX(AG729,0),'P-Parametri'!$B$8*(AG729+AF729)))</f>
        <v>36149.725057315351</v>
      </c>
      <c r="AI729" s="18">
        <f>IF($A729&gt;('1-Input'!$B$26-2),AG729,AG729-MIN(MAX(AG729,0),'P-Parametri'!$B$8*(AG729+AF729)))</f>
        <v>394115.32831325737</v>
      </c>
      <c r="AJ729" s="18">
        <f>IF($A729&gt;('1-Input'!$B$26-2),AJ728,AJ728-AE729*(1-AD729))</f>
        <v>300506.40970974526</v>
      </c>
      <c r="AK729" s="11">
        <f>IF($A729&gt;('1-Input'!$B$26-2),0,IF(AP728&lt;=0,0,MAX(0,(AP728-AQ728)/AP728)))</f>
        <v>0.21635653419729489</v>
      </c>
      <c r="AL729" s="18">
        <f>IF($A729&gt;('1-Input'!$B$26-2),0,(MAX(0,AK726-IF($A729&gt;='1-Input'!$C$12,'1-Input'!$B$12,0))-MIN(MAX(AO728,0),MAX(0,AK726-IF($A729&gt;='1-Input'!$C$12,'1-Input'!$B$12,0))))*(1/(1-'P-Parametri'!$B$6*AK729))+MIN(MAX(0,AP728-(MAX(0,AK726-IF($A729&gt;='1-Input'!$C$12,'1-Input'!$B$12,0))-MIN(MAX(AO728,0),MAX(0,AK726-IF($A729&gt;='1-Input'!$C$12,'1-Input'!$B$12,0))))*(1/(1-'P-Parametri'!$B$6*AK729))),MAX(0,2*AK726-(AO728-MIN(MAX(AO728,0),MAX(0,AK726-IF($A729&gt;='1-Input'!$C$12,'1-Input'!$B$12,0)))))*(1/(1-'P-Parametri'!$B$6*AK729))))</f>
        <v>19221.34495785744</v>
      </c>
      <c r="AM729" s="18">
        <f>IF($A729&gt;('1-Input'!$B$26-2),AO728,(AO728-MAX(0,AK726-IF($A729&gt;='1-Input'!$C$12,'1-Input'!$B$12,0))+AL729*(1-'P-Parametri'!$B$6*AK729))*(1+'1-Input'!$B$27))</f>
        <v>36149.576189835549</v>
      </c>
      <c r="AN729" s="18">
        <f>IF($A729&gt;('1-Input'!$B$26-2),AP728,(AP728-AL729)*(1+'5-Roberta'!$C$4))</f>
        <v>394977.81834676373</v>
      </c>
      <c r="AO729" s="18">
        <f>IF($A729&gt;('1-Input'!$B$26-2),AM729,AM729-'P-Parametri'!$B$8*(AN729+AM729)+MIN(MAX(AN729,0),'P-Parametri'!$B$8*(AN729+AM729)))</f>
        <v>36149.576189835549</v>
      </c>
      <c r="AP729" s="18">
        <f>IF($A729&gt;('1-Input'!$B$26-2),AN729,AN729-MIN(MAX(AN729,0),'P-Parametri'!$B$8*(AN729+AM729)))</f>
        <v>394115.56355769053</v>
      </c>
      <c r="AQ729" s="18">
        <f>IF($A729&gt;('1-Input'!$B$26-2),AQ728,AQ728-AL729*(1-AK729))</f>
        <v>300506.58881985361</v>
      </c>
    </row>
    <row r="730" spans="1:43">
      <c r="A730" s="10">
        <f>2</f>
        <v>2</v>
      </c>
      <c r="B730" s="11">
        <f>IF($A730&gt;('1-Input'!$B$26-2),0,IF(G729&lt;=0,0,MAX(0,(G729-H729)/G729)))</f>
        <v>0.23752929493546573</v>
      </c>
      <c r="C730" s="18">
        <f>IF($A730&gt;('1-Input'!$B$26-2),0,(MAX(0,B726-IF($A730&gt;='1-Input'!$C$12,'1-Input'!$B$12,0))-MIN(MAX(F729,0),MAX(0,B726-IF($A730&gt;='1-Input'!$C$12,'1-Input'!$B$12,0))))*(1/(1-'P-Parametri'!$B$6*B730))+MIN(MAX(0,G729-(MAX(0,B726-IF($A730&gt;='1-Input'!$C$12,'1-Input'!$B$12,0))-MIN(MAX(F729,0),MAX(0,B726-IF($A730&gt;='1-Input'!$C$12,'1-Input'!$B$12,0))))*(1/(1-'P-Parametri'!$B$6*B730))),MAX(0,2*B726-(F729-MIN(MAX(F729,0),MAX(0,B726-IF($A730&gt;='1-Input'!$C$12,'1-Input'!$B$12,0)))))*(1/(1-'P-Parametri'!$B$6*B730))))</f>
        <v>17907.056014137157</v>
      </c>
      <c r="D730" s="18">
        <f>IF($A730&gt;('1-Input'!$B$26-2),F729,(F729-MAX(0,B726-IF($A730&gt;='1-Input'!$C$12,'1-Input'!$B$12,0))+C730*(1-'P-Parametri'!$B$6*B730))*(1+'1-Input'!$B$27))</f>
        <v>33242.0070309863</v>
      </c>
      <c r="E730" s="18">
        <f>IF($A730&gt;('1-Input'!$B$26-2),G729,(G729-C730)*(1+'5-Roberta'!$C$4))</f>
        <v>392227.22108298907</v>
      </c>
      <c r="F730" s="18">
        <f>IF($A730&gt;('1-Input'!$B$26-2),D730,D730-'P-Parametri'!$B$8*(E730+D730)+MIN(MAX(E730,0),'P-Parametri'!$B$8*(E730+D730)))</f>
        <v>33242.0070309863</v>
      </c>
      <c r="G730" s="18">
        <f>IF($A730&gt;('1-Input'!$B$26-2),E730,E730-MIN(MAX(E730,0),'P-Parametri'!$B$8*(E730+D730)))</f>
        <v>391376.28262676112</v>
      </c>
      <c r="H730" s="18">
        <f>IF($A730&gt;('1-Input'!$B$26-2),H729,H729-C730*(1-B730))</f>
        <v>290351.22893655306</v>
      </c>
      <c r="I730" s="11">
        <f>IF($A730&gt;('1-Input'!$B$26-2),0,IF(N729&lt;=0,0,MAX(0,(N729-O729)/N729)))</f>
        <v>0.23748189102197931</v>
      </c>
      <c r="J730" s="18">
        <f>IF($A730&gt;('1-Input'!$B$26-2),0,(MAX(0,I726-IF($A730&gt;='1-Input'!$C$12,'1-Input'!$B$12,0))-MIN(MAX(M729,0),MAX(0,I726-IF($A730&gt;='1-Input'!$C$12,'1-Input'!$B$12,0))))*(1/(1-'P-Parametri'!$B$6*I730))+MIN(MAX(0,N729-(MAX(0,I726-IF($A730&gt;='1-Input'!$C$12,'1-Input'!$B$12,0))-MIN(MAX(M729,0),MAX(0,I726-IF($A730&gt;='1-Input'!$C$12,'1-Input'!$B$12,0))))*(1/(1-'P-Parametri'!$B$6*I730))),MAX(0,2*I726-(M729-MIN(MAX(M729,0),MAX(0,I726-IF($A730&gt;='1-Input'!$C$12,'1-Input'!$B$12,0)))))*(1/(1-'P-Parametri'!$B$6*I730))))</f>
        <v>23561.606296146056</v>
      </c>
      <c r="K730" s="18">
        <f>IF($A730&gt;('1-Input'!$B$26-2),M729,(M729-MAX(0,I726-IF($A730&gt;='1-Input'!$C$12,'1-Input'!$B$12,0))+J730*(1-'P-Parametri'!$B$6*I730))*(1+'1-Input'!$B$27))</f>
        <v>43739.482935508291</v>
      </c>
      <c r="L730" s="18">
        <f>IF($A730&gt;('1-Input'!$B$26-2),N729,(N729-J730)*(1+'5-Roberta'!$C$4))</f>
        <v>369316.98598304862</v>
      </c>
      <c r="M730" s="18">
        <f>IF($A730&gt;('1-Input'!$B$26-2),K730,K730-'P-Parametri'!$B$8*(L730+K730)+MIN(MAX(L730,0),'P-Parametri'!$B$8*(L730+K730)))</f>
        <v>43739.482935508291</v>
      </c>
      <c r="N730" s="18">
        <f>IF($A730&gt;('1-Input'!$B$26-2),L730,L730-MIN(MAX(L730,0),'P-Parametri'!$B$8*(L730+K730)))</f>
        <v>368490.87304521148</v>
      </c>
      <c r="O730" s="18">
        <f>IF($A730&gt;('1-Input'!$B$26-2),O729,O729-J730*(1-I730))</f>
        <v>273408.63084005477</v>
      </c>
      <c r="P730" s="11">
        <f>IF($A730&gt;('1-Input'!$B$26-2),0,IF(U729&lt;=0,0,MAX(0,(U729-V729)/U729)))</f>
        <v>0.23751443820024243</v>
      </c>
      <c r="Q730" s="18">
        <f>IF($A730&gt;('1-Input'!$B$26-2),0,(MAX(0,P726-IF($A730&gt;='1-Input'!$C$12,'1-Input'!$B$12,0))-MIN(MAX(T729,0),MAX(0,P726-IF($A730&gt;='1-Input'!$C$12,'1-Input'!$B$12,0))))*(1/(1-'P-Parametri'!$B$6*P730))+MIN(MAX(0,U729-(MAX(0,P726-IF($A730&gt;='1-Input'!$C$12,'1-Input'!$B$12,0))-MIN(MAX(T729,0),MAX(0,P726-IF($A730&gt;='1-Input'!$C$12,'1-Input'!$B$12,0))))*(1/(1-'P-Parametri'!$B$6*P730))),MAX(0,2*P726-(T729-MIN(MAX(T729,0),MAX(0,P726-IF($A730&gt;='1-Input'!$C$12,'1-Input'!$B$12,0)))))*(1/(1-'P-Parametri'!$B$6*P730))))</f>
        <v>19731.364574312891</v>
      </c>
      <c r="R730" s="18">
        <f>IF($A730&gt;('1-Input'!$B$26-2),T729,(T729-MAX(0,P726-IF($A730&gt;='1-Input'!$C$12,'1-Input'!$B$12,0))+Q730*(1-'P-Parametri'!$B$6*P730))*(1+'1-Input'!$B$27))</f>
        <v>36628.737843878102</v>
      </c>
      <c r="S730" s="18">
        <f>IF($A730&gt;('1-Input'!$B$26-2),U729,(U729-Q730)*(1+'5-Roberta'!$C$4))</f>
        <v>384835.82517092366</v>
      </c>
      <c r="T730" s="18">
        <f>IF($A730&gt;('1-Input'!$B$26-2),R730,R730-'P-Parametri'!$B$8*(S730+R730)+MIN(MAX(S730,0),'P-Parametri'!$B$8*(S730+R730)))</f>
        <v>36628.737843878102</v>
      </c>
      <c r="U730" s="18">
        <f>IF($A730&gt;('1-Input'!$B$26-2),S730,S730-MIN(MAX(S730,0),'P-Parametri'!$B$8*(S730+R730)))</f>
        <v>383992.89604489406</v>
      </c>
      <c r="V730" s="18">
        <f>IF($A730&gt;('1-Input'!$B$26-2),V729,V729-Q730*(1-P730))</f>
        <v>284885.20422924758</v>
      </c>
      <c r="W730" s="11">
        <f>IF($A730&gt;('1-Input'!$B$26-2),0,IF(AB729&lt;=0,0,MAX(0,(AB729-AC729)/AB729)))</f>
        <v>0.23751643724911661</v>
      </c>
      <c r="X730" s="18">
        <f>IF($A730&gt;('1-Input'!$B$26-2),0,(MAX(0,W726-IF($A730&gt;='1-Input'!$C$12,'1-Input'!$B$12,0))-MIN(MAX(AA729,0),MAX(0,W726-IF($A730&gt;='1-Input'!$C$12,'1-Input'!$B$12,0))))*(1/(1-'P-Parametri'!$B$6*W730))+MIN(MAX(0,AB729-(MAX(0,W726-IF($A730&gt;='1-Input'!$C$12,'1-Input'!$B$12,0))-MIN(MAX(AA729,0),MAX(0,W726-IF($A730&gt;='1-Input'!$C$12,'1-Input'!$B$12,0))))*(1/(1-'P-Parametri'!$B$6*W730))),MAX(0,2*W726-(AA729-MIN(MAX(AA729,0),MAX(0,W726-IF($A730&gt;='1-Input'!$C$12,'1-Input'!$B$12,0)))))*(1/(1-'P-Parametri'!$B$6*W730))))</f>
        <v>19488.752328478578</v>
      </c>
      <c r="Y730" s="18">
        <f>IF($A730&gt;('1-Input'!$B$26-2),AA729,(AA729-MAX(0,W726-IF($A730&gt;='1-Input'!$C$12,'1-Input'!$B$12,0))+X730*(1-'P-Parametri'!$B$6*W730))*(1+'1-Input'!$B$27))</f>
        <v>36178.339405303275</v>
      </c>
      <c r="Z730" s="18">
        <f>IF($A730&gt;('1-Input'!$B$26-2),AB729,(AB729-X730)*(1+'5-Roberta'!$C$4))</f>
        <v>385818.79957970389</v>
      </c>
      <c r="AA730" s="18">
        <f>IF($A730&gt;('1-Input'!$B$26-2),Y730,Y730-'P-Parametri'!$B$8*(Z730+Y730)+MIN(MAX(Z730,0),'P-Parametri'!$B$8*(Z730+Y730)))</f>
        <v>36178.339405303275</v>
      </c>
      <c r="AB730" s="18">
        <f>IF($A730&gt;('1-Input'!$B$26-2),Z730,Z730-MIN(MAX(Z730,0),'P-Parametri'!$B$8*(Z730+Y730)))</f>
        <v>384974.8053017339</v>
      </c>
      <c r="AC730" s="18">
        <f>IF($A730&gt;('1-Input'!$B$26-2),AC729,AC729-X730*(1-W730))</f>
        <v>285612.12900951615</v>
      </c>
      <c r="AD730" s="11">
        <f>IF($A730&gt;('1-Input'!$B$26-2),0,IF(AI729&lt;=0,0,MAX(0,(AI729-AJ729)/AI729)))</f>
        <v>0.23751656400714335</v>
      </c>
      <c r="AE730" s="18">
        <f>IF($A730&gt;('1-Input'!$B$26-2),0,(MAX(0,AD726-IF($A730&gt;='1-Input'!$C$12,'1-Input'!$B$12,0))-MIN(MAX(AH729,0),MAX(0,AD726-IF($A730&gt;='1-Input'!$C$12,'1-Input'!$B$12,0))))*(1/(1-'P-Parametri'!$B$6*AD730))+MIN(MAX(0,AI729-(MAX(0,AD726-IF($A730&gt;='1-Input'!$C$12,'1-Input'!$B$12,0))-MIN(MAX(AH729,0),MAX(0,AD726-IF($A730&gt;='1-Input'!$C$12,'1-Input'!$B$12,0))))*(1/(1-'P-Parametri'!$B$6*AD730))),MAX(0,2*AD726-(AH729-MIN(MAX(AH729,0),MAX(0,AD726-IF($A730&gt;='1-Input'!$C$12,'1-Input'!$B$12,0)))))*(1/(1-'P-Parametri'!$B$6*AD730))))</f>
        <v>19473.338873819866</v>
      </c>
      <c r="AF730" s="18">
        <f>IF($A730&gt;('1-Input'!$B$26-2),AH729,(AH729-MAX(0,AD726-IF($A730&gt;='1-Input'!$C$12,'1-Input'!$B$12,0))+AE730*(1-'P-Parametri'!$B$6*AD730))*(1+'1-Input'!$B$27))</f>
        <v>36149.725057315343</v>
      </c>
      <c r="AG730" s="18">
        <f>IF($A730&gt;('1-Input'!$B$26-2),AI729,(AI729-AE730)*(1+'5-Roberta'!$C$4))</f>
        <v>385881.24912262068</v>
      </c>
      <c r="AH730" s="18">
        <f>IF($A730&gt;('1-Input'!$B$26-2),AF730,AF730-'P-Parametri'!$B$8*(AG730+AF730)+MIN(MAX(AG730,0),'P-Parametri'!$B$8*(AG730+AF730)))</f>
        <v>36149.725057315343</v>
      </c>
      <c r="AI730" s="18">
        <f>IF($A730&gt;('1-Input'!$B$26-2),AG730,AG730-MIN(MAX(AG730,0),'P-Parametri'!$B$8*(AG730+AF730)))</f>
        <v>385037.18717426079</v>
      </c>
      <c r="AJ730" s="18">
        <f>IF($A730&gt;('1-Input'!$B$26-2),AJ729,AJ729-AE730*(1-AD730))</f>
        <v>285658.31137498183</v>
      </c>
      <c r="AK730" s="11">
        <f>IF($A730&gt;('1-Input'!$B$26-2),0,IF(AP729&lt;=0,0,MAX(0,(AP729-AQ729)/AP729)))</f>
        <v>0.23751656466653204</v>
      </c>
      <c r="AL730" s="18">
        <f>IF($A730&gt;('1-Input'!$B$26-2),0,(MAX(0,AK726-IF($A730&gt;='1-Input'!$C$12,'1-Input'!$B$12,0))-MIN(MAX(AO729,0),MAX(0,AK726-IF($A730&gt;='1-Input'!$C$12,'1-Input'!$B$12,0))))*(1/(1-'P-Parametri'!$B$6*AK730))+MIN(MAX(0,AP729-(MAX(0,AK726-IF($A730&gt;='1-Input'!$C$12,'1-Input'!$B$12,0))-MIN(MAX(AO729,0),MAX(0,AK726-IF($A730&gt;='1-Input'!$C$12,'1-Input'!$B$12,0))))*(1/(1-'P-Parametri'!$B$6*AK730))),MAX(0,2*AK726-(AO729-MIN(MAX(AO729,0),MAX(0,AK726-IF($A730&gt;='1-Input'!$C$12,'1-Input'!$B$12,0)))))*(1/(1-'P-Parametri'!$B$6*AK730))))</f>
        <v>19473.25868459999</v>
      </c>
      <c r="AM730" s="18">
        <f>IF($A730&gt;('1-Input'!$B$26-2),AO729,(AO729-MAX(0,AK726-IF($A730&gt;='1-Input'!$C$12,'1-Input'!$B$12,0))+AL730*(1-'P-Parametri'!$B$6*AK730))*(1+'1-Input'!$B$27))</f>
        <v>36149.576189835549</v>
      </c>
      <c r="AN730" s="18">
        <f>IF($A730&gt;('1-Input'!$B$26-2),AP729,(AP729-AL730)*(1+'5-Roberta'!$C$4))</f>
        <v>385881.57401928323</v>
      </c>
      <c r="AO730" s="18">
        <f>IF($A730&gt;('1-Input'!$B$26-2),AM730,AM730-'P-Parametri'!$B$8*(AN730+AM730)+MIN(MAX(AN730,0),'P-Parametri'!$B$8*(AN730+AM730)))</f>
        <v>36149.576189835549</v>
      </c>
      <c r="AP730" s="18">
        <f>IF($A730&gt;('1-Input'!$B$26-2),AN730,AN730-MIN(MAX(AN730,0),'P-Parametri'!$B$8*(AN730+AM730)))</f>
        <v>385037.51171886502</v>
      </c>
      <c r="AQ730" s="18">
        <f>IF($A730&gt;('1-Input'!$B$26-2),AQ729,AQ729-AL730*(1-AK730))</f>
        <v>285658.55164088251</v>
      </c>
    </row>
    <row r="731" spans="1:43">
      <c r="A731" s="10">
        <f>3</f>
        <v>3</v>
      </c>
      <c r="B731" s="11">
        <f>IF($A731&gt;('1-Input'!$B$26-2),0,IF(G730&lt;=0,0,MAX(0,(G730-H730)/G730)))</f>
        <v>0.25812768472368408</v>
      </c>
      <c r="C731" s="18">
        <f>IF($A731&gt;('1-Input'!$B$26-2),0,(MAX(0,B726-IF($A731&gt;='1-Input'!$C$12,'1-Input'!$B$12,0))-MIN(MAX(F730,0),MAX(0,B726-IF($A731&gt;='1-Input'!$C$12,'1-Input'!$B$12,0))))*(1/(1-'P-Parametri'!$B$6*B731))+MIN(MAX(0,G730-(MAX(0,B726-IF($A731&gt;='1-Input'!$C$12,'1-Input'!$B$12,0))-MIN(MAX(F730,0),MAX(0,B726-IF($A731&gt;='1-Input'!$C$12,'1-Input'!$B$12,0))))*(1/(1-'P-Parametri'!$B$6*B731))),MAX(0,2*B726-(F730-MIN(MAX(F730,0),MAX(0,B726-IF($A731&gt;='1-Input'!$C$12,'1-Input'!$B$12,0)))))*(1/(1-'P-Parametri'!$B$6*B731))))</f>
        <v>18009.85808500936</v>
      </c>
      <c r="D731" s="18">
        <f>IF($A731&gt;('1-Input'!$B$26-2),F730,(F730-MAX(0,B726-IF($A731&gt;='1-Input'!$C$12,'1-Input'!$B$12,0))+C731*(1-'P-Parametri'!$B$6*B731))*(1+'1-Input'!$B$27))</f>
        <v>33242.0070309863</v>
      </c>
      <c r="E731" s="18">
        <f>IF($A731&gt;('1-Input'!$B$26-2),G730,(G730-C731)*(1+'5-Roberta'!$C$4))</f>
        <v>384567.41727800429</v>
      </c>
      <c r="F731" s="18">
        <f>IF($A731&gt;('1-Input'!$B$26-2),D731,D731-'P-Parametri'!$B$8*(E731+D731)+MIN(MAX(E731,0),'P-Parametri'!$B$8*(E731+D731)))</f>
        <v>33242.0070309863</v>
      </c>
      <c r="G731" s="18">
        <f>IF($A731&gt;('1-Input'!$B$26-2),E731,E731-MIN(MAX(E731,0),'P-Parametri'!$B$8*(E731+D731)))</f>
        <v>383731.79842938628</v>
      </c>
      <c r="H731" s="18">
        <f>IF($A731&gt;('1-Input'!$B$26-2),H730,H730-C731*(1-B731))</f>
        <v>276990.21382122929</v>
      </c>
      <c r="I731" s="11">
        <f>IF($A731&gt;('1-Input'!$B$26-2),0,IF(N730&lt;=0,0,MAX(0,(N730-O730)/N730)))</f>
        <v>0.25803147149723493</v>
      </c>
      <c r="J731" s="18">
        <f>IF($A731&gt;('1-Input'!$B$26-2),0,(MAX(0,I726-IF($A731&gt;='1-Input'!$C$12,'1-Input'!$B$12,0))-MIN(MAX(M730,0),MAX(0,I726-IF($A731&gt;='1-Input'!$C$12,'1-Input'!$B$12,0))))*(1/(1-'P-Parametri'!$B$6*I731))+MIN(MAX(0,N730-(MAX(0,I726-IF($A731&gt;='1-Input'!$C$12,'1-Input'!$B$12,0))-MIN(MAX(M730,0),MAX(0,I726-IF($A731&gt;='1-Input'!$C$12,'1-Input'!$B$12,0))))*(1/(1-'P-Parametri'!$B$6*I731))),MAX(0,2*I726-(M730-MIN(MAX(M730,0),MAX(0,I726-IF($A731&gt;='1-Input'!$C$12,'1-Input'!$B$12,0)))))*(1/(1-'P-Parametri'!$B$6*I731))))</f>
        <v>23696.546265899819</v>
      </c>
      <c r="K731" s="18">
        <f>IF($A731&gt;('1-Input'!$B$26-2),M730,(M730-MAX(0,I726-IF($A731&gt;='1-Input'!$C$12,'1-Input'!$B$12,0))+J731*(1-'P-Parametri'!$B$6*I731))*(1+'1-Input'!$B$27))</f>
        <v>43739.482935508291</v>
      </c>
      <c r="L731" s="18">
        <f>IF($A731&gt;('1-Input'!$B$26-2),N730,(N730-J731)*(1+'5-Roberta'!$C$4))</f>
        <v>355138.15658269101</v>
      </c>
      <c r="M731" s="18">
        <f>IF($A731&gt;('1-Input'!$B$26-2),K731,K731-'P-Parametri'!$B$8*(L731+K731)+MIN(MAX(L731,0),'P-Parametri'!$B$8*(L731+K731)))</f>
        <v>43739.482935508291</v>
      </c>
      <c r="N731" s="18">
        <f>IF($A731&gt;('1-Input'!$B$26-2),L731,L731-MIN(MAX(L731,0),'P-Parametri'!$B$8*(L731+K731)))</f>
        <v>354340.40130365459</v>
      </c>
      <c r="O731" s="18">
        <f>IF($A731&gt;('1-Input'!$B$26-2),O730,O730-J731*(1-I731))</f>
        <v>255826.53927654738</v>
      </c>
      <c r="P731" s="11">
        <f>IF($A731&gt;('1-Input'!$B$26-2),0,IF(U730&lt;=0,0,MAX(0,(U730-V730)/U730)))</f>
        <v>0.25809772221426575</v>
      </c>
      <c r="Q731" s="18">
        <f>IF($A731&gt;('1-Input'!$B$26-2),0,(MAX(0,P726-IF($A731&gt;='1-Input'!$C$12,'1-Input'!$B$12,0))-MIN(MAX(T730,0),MAX(0,P726-IF($A731&gt;='1-Input'!$C$12,'1-Input'!$B$12,0))))*(1/(1-'P-Parametri'!$B$6*P731))+MIN(MAX(0,U730-(MAX(0,P726-IF($A731&gt;='1-Input'!$C$12,'1-Input'!$B$12,0))-MIN(MAX(T730,0),MAX(0,P726-IF($A731&gt;='1-Input'!$C$12,'1-Input'!$B$12,0))))*(1/(1-'P-Parametri'!$B$6*P731))),MAX(0,2*P726-(T730-MIN(MAX(T730,0),MAX(0,P726-IF($A731&gt;='1-Input'!$C$12,'1-Input'!$B$12,0)))))*(1/(1-'P-Parametri'!$B$6*P731))))</f>
        <v>19844.555747189908</v>
      </c>
      <c r="R731" s="18">
        <f>IF($A731&gt;('1-Input'!$B$26-2),T730,(T730-MAX(0,P726-IF($A731&gt;='1-Input'!$C$12,'1-Input'!$B$12,0))+Q731*(1-'P-Parametri'!$B$6*P731))*(1+'1-Input'!$B$27))</f>
        <v>36628.737843878102</v>
      </c>
      <c r="S731" s="18">
        <f>IF($A731&gt;('1-Input'!$B$26-2),U730,(U730-Q731)*(1+'5-Roberta'!$C$4))</f>
        <v>375072.79050663527</v>
      </c>
      <c r="T731" s="18">
        <f>IF($A731&gt;('1-Input'!$B$26-2),R731,R731-'P-Parametri'!$B$8*(S731+R731)+MIN(MAX(S731,0),'P-Parametri'!$B$8*(S731+R731)))</f>
        <v>36628.737843878102</v>
      </c>
      <c r="U731" s="18">
        <f>IF($A731&gt;('1-Input'!$B$26-2),S731,S731-MIN(MAX(S731,0),'P-Parametri'!$B$8*(S731+R731)))</f>
        <v>374249.38744993426</v>
      </c>
      <c r="V731" s="18">
        <f>IF($A731&gt;('1-Input'!$B$26-2),V730,V730-Q731*(1-P731))</f>
        <v>270162.48311876139</v>
      </c>
      <c r="W731" s="11">
        <f>IF($A731&gt;('1-Input'!$B$26-2),0,IF(AB730&lt;=0,0,MAX(0,(AB730-AC730)/AB730)))</f>
        <v>0.25810176386566308</v>
      </c>
      <c r="X731" s="18">
        <f>IF($A731&gt;('1-Input'!$B$26-2),0,(MAX(0,W726-IF($A731&gt;='1-Input'!$C$12,'1-Input'!$B$12,0))-MIN(MAX(AA730,0),MAX(0,W726-IF($A731&gt;='1-Input'!$C$12,'1-Input'!$B$12,0))))*(1/(1-'P-Parametri'!$B$6*W731))+MIN(MAX(0,AB730-(MAX(0,W726-IF($A731&gt;='1-Input'!$C$12,'1-Input'!$B$12,0))-MIN(MAX(AA730,0),MAX(0,W726-IF($A731&gt;='1-Input'!$C$12,'1-Input'!$B$12,0))))*(1/(1-'P-Parametri'!$B$6*W731))),MAX(0,2*W726-(AA730-MIN(MAX(AA730,0),MAX(0,W726-IF($A731&gt;='1-Input'!$C$12,'1-Input'!$B$12,0)))))*(1/(1-'P-Parametri'!$B$6*W731))))</f>
        <v>19600.562949626208</v>
      </c>
      <c r="Y731" s="18">
        <f>IF($A731&gt;('1-Input'!$B$26-2),AA730,(AA730-MAX(0,W726-IF($A731&gt;='1-Input'!$C$12,'1-Input'!$B$12,0))+X731*(1-'P-Parametri'!$B$6*W731))*(1+'1-Input'!$B$27))</f>
        <v>36178.339405303275</v>
      </c>
      <c r="Z731" s="18">
        <f>IF($A731&gt;('1-Input'!$B$26-2),AB730,(AB730-X731)*(1+'5-Roberta'!$C$4))</f>
        <v>376335.46962267096</v>
      </c>
      <c r="AA731" s="18">
        <f>IF($A731&gt;('1-Input'!$B$26-2),Y731,Y731-'P-Parametri'!$B$8*(Z731+Y731)+MIN(MAX(Z731,0),'P-Parametri'!$B$8*(Z731+Y731)))</f>
        <v>36178.339405303268</v>
      </c>
      <c r="AB731" s="18">
        <f>IF($A731&gt;('1-Input'!$B$26-2),Z731,Z731-MIN(MAX(Z731,0),'P-Parametri'!$B$8*(Z731+Y731)))</f>
        <v>375510.44200461503</v>
      </c>
      <c r="AC731" s="18">
        <f>IF($A731&gt;('1-Input'!$B$26-2),AC730,AC730-X731*(1-W731))</f>
        <v>271070.50592994841</v>
      </c>
      <c r="AD731" s="11">
        <f>IF($A731&gt;('1-Input'!$B$26-2),0,IF(AI730&lt;=0,0,MAX(0,(AI730-AJ730)/AI730)))</f>
        <v>0.25810202003761756</v>
      </c>
      <c r="AE731" s="18">
        <f>IF($A731&gt;('1-Input'!$B$26-2),0,(MAX(0,AD726-IF($A731&gt;='1-Input'!$C$12,'1-Input'!$B$12,0))-MIN(MAX(AH730,0),MAX(0,AD726-IF($A731&gt;='1-Input'!$C$12,'1-Input'!$B$12,0))))*(1/(1-'P-Parametri'!$B$6*AD731))+MIN(MAX(0,AI730-(MAX(0,AD726-IF($A731&gt;='1-Input'!$C$12,'1-Input'!$B$12,0))-MIN(MAX(AH730,0),MAX(0,AD726-IF($A731&gt;='1-Input'!$C$12,'1-Input'!$B$12,0))))*(1/(1-'P-Parametri'!$B$6*AD731))),MAX(0,2*AD726-(AH730-MIN(MAX(AH730,0),MAX(0,AD726-IF($A731&gt;='1-Input'!$C$12,'1-Input'!$B$12,0)))))*(1/(1-'P-Parametri'!$B$6*AD731))))</f>
        <v>19585.061775433434</v>
      </c>
      <c r="AF731" s="18">
        <f>IF($A731&gt;('1-Input'!$B$26-2),AH730,(AH730-MAX(0,AD726-IF($A731&gt;='1-Input'!$C$12,'1-Input'!$B$12,0))+AE731*(1-'P-Parametri'!$B$6*AD731))*(1+'1-Input'!$B$27))</f>
        <v>36149.725057315343</v>
      </c>
      <c r="AG731" s="18">
        <f>IF($A731&gt;('1-Input'!$B$26-2),AI730,(AI730-AE731)*(1+'5-Roberta'!$C$4))</f>
        <v>376415.68916079222</v>
      </c>
      <c r="AH731" s="18">
        <f>IF($A731&gt;('1-Input'!$B$26-2),AF731,AF731-'P-Parametri'!$B$8*(AG731+AF731)+MIN(MAX(AG731,0),'P-Parametri'!$B$8*(AG731+AF731)))</f>
        <v>36149.725057315343</v>
      </c>
      <c r="AI731" s="18">
        <f>IF($A731&gt;('1-Input'!$B$26-2),AG731,AG731-MIN(MAX(AG731,0),'P-Parametri'!$B$8*(AG731+AF731)))</f>
        <v>375590.55833235598</v>
      </c>
      <c r="AJ731" s="18">
        <f>IF($A731&gt;('1-Input'!$B$26-2),AJ730,AJ730-AE731*(1-AD731))</f>
        <v>271128.19360634929</v>
      </c>
      <c r="AK731" s="11">
        <f>IF($A731&gt;('1-Input'!$B$26-2),0,IF(AP730&lt;=0,0,MAX(0,(AP730-AQ730)/AP730)))</f>
        <v>0.25810202137017763</v>
      </c>
      <c r="AL731" s="18">
        <f>IF($A731&gt;('1-Input'!$B$26-2),0,(MAX(0,AK726-IF($A731&gt;='1-Input'!$C$12,'1-Input'!$B$12,0))-MIN(MAX(AO730,0),MAX(0,AK726-IF($A731&gt;='1-Input'!$C$12,'1-Input'!$B$12,0))))*(1/(1-'P-Parametri'!$B$6*AK731))+MIN(MAX(0,AP730-(MAX(0,AK726-IF($A731&gt;='1-Input'!$C$12,'1-Input'!$B$12,0))-MIN(MAX(AO730,0),MAX(0,AK726-IF($A731&gt;='1-Input'!$C$12,'1-Input'!$B$12,0))))*(1/(1-'P-Parametri'!$B$6*AK731))),MAX(0,2*AK726-(AO730-MIN(MAX(AO730,0),MAX(0,AK726-IF($A731&gt;='1-Input'!$C$12,'1-Input'!$B$12,0)))))*(1/(1-'P-Parametri'!$B$6*AK731))))</f>
        <v>19584.981129845022</v>
      </c>
      <c r="AM731" s="18">
        <f>IF($A731&gt;('1-Input'!$B$26-2),AO730,(AO730-MAX(0,AK726-IF($A731&gt;='1-Input'!$C$12,'1-Input'!$B$12,0))+AL731*(1-'P-Parametri'!$B$6*AK731))*(1+'1-Input'!$B$27))</f>
        <v>36149.576189835549</v>
      </c>
      <c r="AN731" s="18">
        <f>IF($A731&gt;('1-Input'!$B$26-2),AP730,(AP730-AL731)*(1+'5-Roberta'!$C$4))</f>
        <v>376416.10650669062</v>
      </c>
      <c r="AO731" s="18">
        <f>IF($A731&gt;('1-Input'!$B$26-2),AM731,AM731-'P-Parametri'!$B$8*(AN731+AM731)+MIN(MAX(AN731,0),'P-Parametri'!$B$8*(AN731+AM731)))</f>
        <v>36149.576189835549</v>
      </c>
      <c r="AP731" s="18">
        <f>IF($A731&gt;('1-Input'!$B$26-2),AN731,AN731-MIN(MAX(AN731,0),'P-Parametri'!$B$8*(AN731+AM731)))</f>
        <v>375590.97514129756</v>
      </c>
      <c r="AQ731" s="18">
        <f>IF($A731&gt;('1-Input'!$B$26-2),AQ730,AQ730-AL731*(1-AK731))</f>
        <v>271128.49372914725</v>
      </c>
    </row>
    <row r="732" spans="1:43">
      <c r="A732" s="10">
        <f>4</f>
        <v>4</v>
      </c>
      <c r="B732" s="11">
        <f>IF($A732&gt;('1-Input'!$B$26-2),0,IF(G731&lt;=0,0,MAX(0,(G731-H731)/G731)))</f>
        <v>0.27816716009736525</v>
      </c>
      <c r="C732" s="18">
        <f>IF($A732&gt;('1-Input'!$B$26-2),0,(MAX(0,B726-IF($A732&gt;='1-Input'!$C$12,'1-Input'!$B$12,0))-MIN(MAX(F731,0),MAX(0,B726-IF($A732&gt;='1-Input'!$C$12,'1-Input'!$B$12,0))))*(1/(1-'P-Parametri'!$B$6*B732))+MIN(MAX(0,G731-(MAX(0,B726-IF($A732&gt;='1-Input'!$C$12,'1-Input'!$B$12,0))-MIN(MAX(F731,0),MAX(0,B726-IF($A732&gt;='1-Input'!$C$12,'1-Input'!$B$12,0))))*(1/(1-'P-Parametri'!$B$6*B732))),MAX(0,2*B726-(F731-MIN(MAX(F731,0),MAX(0,B726-IF($A732&gt;='1-Input'!$C$12,'1-Input'!$B$12,0)))))*(1/(1-'P-Parametri'!$B$6*B732))))</f>
        <v>18111.009837898029</v>
      </c>
      <c r="D732" s="18">
        <f>IF($A732&gt;('1-Input'!$B$26-2),F731,(F731-MAX(0,B726-IF($A732&gt;='1-Input'!$C$12,'1-Input'!$B$12,0))+C732*(1-'P-Parametri'!$B$6*B732))*(1+'1-Input'!$B$27))</f>
        <v>33242.0070309863</v>
      </c>
      <c r="E732" s="18">
        <f>IF($A732&gt;('1-Input'!$B$26-2),G731,(G731-C732)*(1+'5-Roberta'!$C$4))</f>
        <v>376589.41224923293</v>
      </c>
      <c r="F732" s="18">
        <f>IF($A732&gt;('1-Input'!$B$26-2),D732,D732-'P-Parametri'!$B$8*(E732+D732)+MIN(MAX(E732,0),'P-Parametri'!$B$8*(E732+D732)))</f>
        <v>33242.0070309863</v>
      </c>
      <c r="G732" s="18">
        <f>IF($A732&gt;('1-Input'!$B$26-2),E732,E732-MIN(MAX(E732,0),'P-Parametri'!$B$8*(E732+D732)))</f>
        <v>375769.74941067252</v>
      </c>
      <c r="H732" s="18">
        <f>IF($A732&gt;('1-Input'!$B$26-2),H731,H731-C732*(1-B732))</f>
        <v>263917.09215643478</v>
      </c>
      <c r="I732" s="11">
        <f>IF($A732&gt;('1-Input'!$B$26-2),0,IF(N731&lt;=0,0,MAX(0,(N731-O731)/N731)))</f>
        <v>0.27802040541994261</v>
      </c>
      <c r="J732" s="18">
        <f>IF($A732&gt;('1-Input'!$B$26-2),0,(MAX(0,I726-IF($A732&gt;='1-Input'!$C$12,'1-Input'!$B$12,0))-MIN(MAX(M731,0),MAX(0,I726-IF($A732&gt;='1-Input'!$C$12,'1-Input'!$B$12,0))))*(1/(1-'P-Parametri'!$B$6*I732))+MIN(MAX(0,N731-(MAX(0,I726-IF($A732&gt;='1-Input'!$C$12,'1-Input'!$B$12,0))-MIN(MAX(M731,0),MAX(0,I726-IF($A732&gt;='1-Input'!$C$12,'1-Input'!$B$12,0))))*(1/(1-'P-Parametri'!$B$6*I732))),MAX(0,2*I726-(M731-MIN(MAX(M731,0),MAX(0,I726-IF($A732&gt;='1-Input'!$C$12,'1-Input'!$B$12,0)))))*(1/(1-'P-Parametri'!$B$6*I732))))</f>
        <v>23829.295980946357</v>
      </c>
      <c r="K732" s="18">
        <f>IF($A732&gt;('1-Input'!$B$26-2),M731,(M731-MAX(0,I726-IF($A732&gt;='1-Input'!$C$12,'1-Input'!$B$12,0))+J732*(1-'P-Parametri'!$B$6*I732))*(1+'1-Input'!$B$27))</f>
        <v>43739.482935508291</v>
      </c>
      <c r="L732" s="18">
        <f>IF($A732&gt;('1-Input'!$B$26-2),N731,(N731-J732)*(1+'5-Roberta'!$C$4))</f>
        <v>340426.43848238949</v>
      </c>
      <c r="M732" s="18">
        <f>IF($A732&gt;('1-Input'!$B$26-2),K732,K732-'P-Parametri'!$B$8*(L732+K732)+MIN(MAX(L732,0),'P-Parametri'!$B$8*(L732+K732)))</f>
        <v>43739.482935508291</v>
      </c>
      <c r="N732" s="18">
        <f>IF($A732&gt;('1-Input'!$B$26-2),L732,L732-MIN(MAX(L732,0),'P-Parametri'!$B$8*(L732+K732)))</f>
        <v>339658.10663955368</v>
      </c>
      <c r="O732" s="18">
        <f>IF($A732&gt;('1-Input'!$B$26-2),O731,O731-J732*(1-I732))</f>
        <v>238622.27382509553</v>
      </c>
      <c r="P732" s="11">
        <f>IF($A732&gt;('1-Input'!$B$26-2),0,IF(U731&lt;=0,0,MAX(0,(U731-V731)/U731)))</f>
        <v>0.27812177607130284</v>
      </c>
      <c r="Q732" s="18">
        <f>IF($A732&gt;('1-Input'!$B$26-2),0,(MAX(0,P726-IF($A732&gt;='1-Input'!$C$12,'1-Input'!$B$12,0))-MIN(MAX(T731,0),MAX(0,P726-IF($A732&gt;='1-Input'!$C$12,'1-Input'!$B$12,0))))*(1/(1-'P-Parametri'!$B$6*P732))+MIN(MAX(0,U731-(MAX(0,P726-IF($A732&gt;='1-Input'!$C$12,'1-Input'!$B$12,0))-MIN(MAX(T731,0),MAX(0,P726-IF($A732&gt;='1-Input'!$C$12,'1-Input'!$B$12,0))))*(1/(1-'P-Parametri'!$B$6*P732))),MAX(0,2*P726-(T731-MIN(MAX(T731,0),MAX(0,P726-IF($A732&gt;='1-Input'!$C$12,'1-Input'!$B$12,0)))))*(1/(1-'P-Parametri'!$B$6*P732))))</f>
        <v>19955.924828309606</v>
      </c>
      <c r="R732" s="18">
        <f>IF($A732&gt;('1-Input'!$B$26-2),T731,(T731-MAX(0,P726-IF($A732&gt;='1-Input'!$C$12,'1-Input'!$B$12,0))+Q732*(1-'P-Parametri'!$B$6*P732))*(1+'1-Input'!$B$27))</f>
        <v>36628.737843878102</v>
      </c>
      <c r="S732" s="18">
        <f>IF($A732&gt;('1-Input'!$B$26-2),U731,(U731-Q732)*(1+'5-Roberta'!$C$4))</f>
        <v>364922.26650027337</v>
      </c>
      <c r="T732" s="18">
        <f>IF($A732&gt;('1-Input'!$B$26-2),R732,R732-'P-Parametri'!$B$8*(S732+R732)+MIN(MAX(S732,0),'P-Parametri'!$B$8*(S732+R732)))</f>
        <v>36628.737843878102</v>
      </c>
      <c r="U732" s="18">
        <f>IF($A732&gt;('1-Input'!$B$26-2),S732,S732-MIN(MAX(S732,0),'P-Parametri'!$B$8*(S732+R732)))</f>
        <v>364119.16449158505</v>
      </c>
      <c r="V732" s="18">
        <f>IF($A732&gt;('1-Input'!$B$26-2),V731,V731-Q732*(1-P732))</f>
        <v>255756.73554684667</v>
      </c>
      <c r="W732" s="11">
        <f>IF($A732&gt;('1-Input'!$B$26-2),0,IF(AB731&lt;=0,0,MAX(0,(AB731-AC731)/AB731)))</f>
        <v>0.27812791441198603</v>
      </c>
      <c r="X732" s="18">
        <f>IF($A732&gt;('1-Input'!$B$26-2),0,(MAX(0,W726-IF($A732&gt;='1-Input'!$C$12,'1-Input'!$B$12,0))-MIN(MAX(AA731,0),MAX(0,W726-IF($A732&gt;='1-Input'!$C$12,'1-Input'!$B$12,0))))*(1/(1-'P-Parametri'!$B$6*W732))+MIN(MAX(0,AB731-(MAX(0,W726-IF($A732&gt;='1-Input'!$C$12,'1-Input'!$B$12,0))-MIN(MAX(AA731,0),MAX(0,W726-IF($A732&gt;='1-Input'!$C$12,'1-Input'!$B$12,0))))*(1/(1-'P-Parametri'!$B$6*W732))),MAX(0,2*W726-(AA731-MIN(MAX(AA731,0),MAX(0,W726-IF($A732&gt;='1-Input'!$C$12,'1-Input'!$B$12,0)))))*(1/(1-'P-Parametri'!$B$6*W732))))</f>
        <v>19710.574432707075</v>
      </c>
      <c r="Y732" s="18">
        <f>IF($A732&gt;('1-Input'!$B$26-2),AA731,(AA731-MAX(0,W726-IF($A732&gt;='1-Input'!$C$12,'1-Input'!$B$12,0))+X732*(1-'P-Parametri'!$B$6*W732))*(1+'1-Input'!$B$27))</f>
        <v>36178.339405303268</v>
      </c>
      <c r="Z732" s="18">
        <f>IF($A732&gt;('1-Input'!$B$26-2),AB731,(AB731-X732)*(1+'5-Roberta'!$C$4))</f>
        <v>366473.86359906517</v>
      </c>
      <c r="AA732" s="18">
        <f>IF($A732&gt;('1-Input'!$B$26-2),Y732,Y732-'P-Parametri'!$B$8*(Z732+Y732)+MIN(MAX(Z732,0),'P-Parametri'!$B$8*(Z732+Y732)))</f>
        <v>36178.339405303268</v>
      </c>
      <c r="AB732" s="18">
        <f>IF($A732&gt;('1-Input'!$B$26-2),Z732,Z732-MIN(MAX(Z732,0),'P-Parametri'!$B$8*(Z732+Y732)))</f>
        <v>365668.55919305643</v>
      </c>
      <c r="AC732" s="18">
        <f>IF($A732&gt;('1-Input'!$B$26-2),AC731,AC731-X732*(1-W732))</f>
        <v>256841.99245607236</v>
      </c>
      <c r="AD732" s="11">
        <f>IF($A732&gt;('1-Input'!$B$26-2),0,IF(AI731&lt;=0,0,MAX(0,(AI731-AJ731)/AI731)))</f>
        <v>0.27812830330407051</v>
      </c>
      <c r="AE732" s="18">
        <f>IF($A732&gt;('1-Input'!$B$26-2),0,(MAX(0,AD726-IF($A732&gt;='1-Input'!$C$12,'1-Input'!$B$12,0))-MIN(MAX(AH731,0),MAX(0,AD726-IF($A732&gt;='1-Input'!$C$12,'1-Input'!$B$12,0))))*(1/(1-'P-Parametri'!$B$6*AD732))+MIN(MAX(0,AI731-(MAX(0,AD726-IF($A732&gt;='1-Input'!$C$12,'1-Input'!$B$12,0))-MIN(MAX(AH731,0),MAX(0,AD726-IF($A732&gt;='1-Input'!$C$12,'1-Input'!$B$12,0))))*(1/(1-'P-Parametri'!$B$6*AD732))),MAX(0,2*AD726-(AH731-MIN(MAX(AH731,0),MAX(0,AD726-IF($A732&gt;='1-Input'!$C$12,'1-Input'!$B$12,0)))))*(1/(1-'P-Parametri'!$B$6*AD732))))</f>
        <v>19694.986996033887</v>
      </c>
      <c r="AF732" s="18">
        <f>IF($A732&gt;('1-Input'!$B$26-2),AH731,(AH731-MAX(0,AD726-IF($A732&gt;='1-Input'!$C$12,'1-Input'!$B$12,0))+AE732*(1-'P-Parametri'!$B$6*AD732))*(1+'1-Input'!$B$27))</f>
        <v>36149.725057315343</v>
      </c>
      <c r="AG732" s="18">
        <f>IF($A732&gt;('1-Input'!$B$26-2),AI731,(AI731-AE732)*(1+'5-Roberta'!$C$4))</f>
        <v>366572.4384764118</v>
      </c>
      <c r="AH732" s="18">
        <f>IF($A732&gt;('1-Input'!$B$26-2),AF732,AF732-'P-Parametri'!$B$8*(AG732+AF732)+MIN(MAX(AG732,0),'P-Parametri'!$B$8*(AG732+AF732)))</f>
        <v>36149.725057315343</v>
      </c>
      <c r="AI732" s="18">
        <f>IF($A732&gt;('1-Input'!$B$26-2),AG732,AG732-MIN(MAX(AG732,0),'P-Parametri'!$B$8*(AG732+AF732)))</f>
        <v>365766.99414934433</v>
      </c>
      <c r="AJ732" s="18">
        <f>IF($A732&gt;('1-Input'!$B$26-2),AJ731,AJ731-AE732*(1-AD732))</f>
        <v>256910.93992711804</v>
      </c>
      <c r="AK732" s="11">
        <f>IF($A732&gt;('1-Input'!$B$26-2),0,IF(AP731&lt;=0,0,MAX(0,(AP731-AQ731)/AP731)))</f>
        <v>0.27812830532696231</v>
      </c>
      <c r="AL732" s="18">
        <f>IF($A732&gt;('1-Input'!$B$26-2),0,(MAX(0,AK726-IF($A732&gt;='1-Input'!$C$12,'1-Input'!$B$12,0))-MIN(MAX(AO731,0),MAX(0,AK726-IF($A732&gt;='1-Input'!$C$12,'1-Input'!$B$12,0))))*(1/(1-'P-Parametri'!$B$6*AK732))+MIN(MAX(0,AP731-(MAX(0,AK726-IF($A732&gt;='1-Input'!$C$12,'1-Input'!$B$12,0))-MIN(MAX(AO731,0),MAX(0,AK726-IF($A732&gt;='1-Input'!$C$12,'1-Input'!$B$12,0))))*(1/(1-'P-Parametri'!$B$6*AK732))),MAX(0,2*AK726-(AO731-MIN(MAX(AO731,0),MAX(0,AK726-IF($A732&gt;='1-Input'!$C$12,'1-Input'!$B$12,0)))))*(1/(1-'P-Parametri'!$B$6*AK732))))</f>
        <v>19694.905901656955</v>
      </c>
      <c r="AM732" s="18">
        <f>IF($A732&gt;('1-Input'!$B$26-2),AO731,(AO731-MAX(0,AK726-IF($A732&gt;='1-Input'!$C$12,'1-Input'!$B$12,0))+AL732*(1-'P-Parametri'!$B$6*AK732))*(1+'1-Input'!$B$27))</f>
        <v>36149.576189835549</v>
      </c>
      <c r="AN732" s="18">
        <f>IF($A732&gt;('1-Input'!$B$26-2),AP731,(AP731-AL732)*(1+'5-Roberta'!$C$4))</f>
        <v>366572.95131682983</v>
      </c>
      <c r="AO732" s="18">
        <f>IF($A732&gt;('1-Input'!$B$26-2),AM732,AM732-'P-Parametri'!$B$8*(AN732+AM732)+MIN(MAX(AN732,0),'P-Parametri'!$B$8*(AN732+AM732)))</f>
        <v>36149.576189835549</v>
      </c>
      <c r="AP732" s="18">
        <f>IF($A732&gt;('1-Input'!$B$26-2),AN732,AN732-MIN(MAX(AN732,0),'P-Parametri'!$B$8*(AN732+AM732)))</f>
        <v>365767.50626181648</v>
      </c>
      <c r="AQ732" s="18">
        <f>IF($A732&gt;('1-Input'!$B$26-2),AQ731,AQ731-AL732*(1-AK732))</f>
        <v>256911.29862949211</v>
      </c>
    </row>
    <row r="733" spans="1:43">
      <c r="A733" s="10">
        <f>5</f>
        <v>5</v>
      </c>
      <c r="B733" s="11">
        <f>IF($A733&gt;('1-Input'!$B$26-2),0,IF(G732&lt;=0,0,MAX(0,(G732-H732)/G732)))</f>
        <v>0.29766275073940512</v>
      </c>
      <c r="C733" s="18">
        <f>IF($A733&gt;('1-Input'!$B$26-2),0,(MAX(0,B726-IF($A733&gt;='1-Input'!$C$12,'1-Input'!$B$12,0))-MIN(MAX(F732,0),MAX(0,B726-IF($A733&gt;='1-Input'!$C$12,'1-Input'!$B$12,0))))*(1/(1-'P-Parametri'!$B$6*B733))+MIN(MAX(0,G732-(MAX(0,B726-IF($A733&gt;='1-Input'!$C$12,'1-Input'!$B$12,0))-MIN(MAX(F732,0),MAX(0,B726-IF($A733&gt;='1-Input'!$C$12,'1-Input'!$B$12,0))))*(1/(1-'P-Parametri'!$B$6*B733))),MAX(0,2*B726-(F732-MIN(MAX(F732,0),MAX(0,B726-IF($A733&gt;='1-Input'!$C$12,'1-Input'!$B$12,0)))))*(1/(1-'P-Parametri'!$B$6*B733))))</f>
        <v>18210.512647520372</v>
      </c>
      <c r="D733" s="18">
        <f>IF($A733&gt;('1-Input'!$B$26-2),F732,(F732-MAX(0,B726-IF($A733&gt;='1-Input'!$C$12,'1-Input'!$B$12,0))+C733*(1-'P-Parametri'!$B$6*B733))*(1+'1-Input'!$B$27))</f>
        <v>33242.0070309863</v>
      </c>
      <c r="E733" s="18">
        <f>IF($A733&gt;('1-Input'!$B$26-2),G732,(G732-C733)*(1+'5-Roberta'!$C$4))</f>
        <v>368286.01386604673</v>
      </c>
      <c r="F733" s="18">
        <f>IF($A733&gt;('1-Input'!$B$26-2),D733,D733-'P-Parametri'!$B$8*(E733+D733)+MIN(MAX(E733,0),'P-Parametri'!$B$8*(E733+D733)))</f>
        <v>33242.0070309863</v>
      </c>
      <c r="G733" s="18">
        <f>IF($A733&gt;('1-Input'!$B$26-2),E733,E733-MIN(MAX(E733,0),'P-Parametri'!$B$8*(E733+D733)))</f>
        <v>367482.95782425266</v>
      </c>
      <c r="H733" s="18">
        <f>IF($A733&gt;('1-Input'!$B$26-2),H732,H732-C733*(1-B733))</f>
        <v>251127.17079595005</v>
      </c>
      <c r="I733" s="11">
        <f>IF($A733&gt;('1-Input'!$B$26-2),0,IF(N732&lt;=0,0,MAX(0,(N732-O732)/N732)))</f>
        <v>0.29746333398035957</v>
      </c>
      <c r="J733" s="18">
        <f>IF($A733&gt;('1-Input'!$B$26-2),0,(MAX(0,I726-IF($A733&gt;='1-Input'!$C$12,'1-Input'!$B$12,0))-MIN(MAX(M732,0),MAX(0,I726-IF($A733&gt;='1-Input'!$C$12,'1-Input'!$B$12,0))))*(1/(1-'P-Parametri'!$B$6*I733))+MIN(MAX(0,N732-(MAX(0,I726-IF($A733&gt;='1-Input'!$C$12,'1-Input'!$B$12,0))-MIN(MAX(M732,0),MAX(0,I726-IF($A733&gt;='1-Input'!$C$12,'1-Input'!$B$12,0))))*(1/(1-'P-Parametri'!$B$6*I733))),MAX(0,2*I726-(M732-MIN(MAX(M732,0),MAX(0,I726-IF($A733&gt;='1-Input'!$C$12,'1-Input'!$B$12,0)))))*(1/(1-'P-Parametri'!$B$6*I733))))</f>
        <v>23959.854365176598</v>
      </c>
      <c r="K733" s="18">
        <f>IF($A733&gt;('1-Input'!$B$26-2),M732,(M732-MAX(0,I726-IF($A733&gt;='1-Input'!$C$12,'1-Input'!$B$12,0))+J733*(1-'P-Parametri'!$B$6*I733))*(1+'1-Input'!$B$27))</f>
        <v>43739.482935508291</v>
      </c>
      <c r="L733" s="18">
        <f>IF($A733&gt;('1-Input'!$B$26-2),N732,(N732-J733)*(1+'5-Roberta'!$C$4))</f>
        <v>325169.19984260842</v>
      </c>
      <c r="M733" s="18">
        <f>IF($A733&gt;('1-Input'!$B$26-2),K733,K733-'P-Parametri'!$B$8*(L733+K733)+MIN(MAX(L733,0),'P-Parametri'!$B$8*(L733+K733)))</f>
        <v>43739.482935508291</v>
      </c>
      <c r="N733" s="18">
        <f>IF($A733&gt;('1-Input'!$B$26-2),L733,L733-MIN(MAX(L733,0),'P-Parametri'!$B$8*(L733+K733)))</f>
        <v>324431.38247705216</v>
      </c>
      <c r="O733" s="18">
        <f>IF($A733&gt;('1-Input'!$B$26-2),O732,O732-J733*(1-I733))</f>
        <v>221789.59762106824</v>
      </c>
      <c r="P733" s="11">
        <f>IF($A733&gt;('1-Input'!$B$26-2),0,IF(U732&lt;=0,0,MAX(0,(U732-V732)/U732)))</f>
        <v>0.29760155331577631</v>
      </c>
      <c r="Q733" s="18">
        <f>IF($A733&gt;('1-Input'!$B$26-2),0,(MAX(0,P726-IF($A733&gt;='1-Input'!$C$12,'1-Input'!$B$12,0))-MIN(MAX(T732,0),MAX(0,P726-IF($A733&gt;='1-Input'!$C$12,'1-Input'!$B$12,0))))*(1/(1-'P-Parametri'!$B$6*P733))+MIN(MAX(0,U732-(MAX(0,P726-IF($A733&gt;='1-Input'!$C$12,'1-Input'!$B$12,0))-MIN(MAX(T732,0),MAX(0,P726-IF($A733&gt;='1-Input'!$C$12,'1-Input'!$B$12,0))))*(1/(1-'P-Parametri'!$B$6*P733))),MAX(0,2*P726-(T732-MIN(MAX(T732,0),MAX(0,P726-IF($A733&gt;='1-Input'!$C$12,'1-Input'!$B$12,0)))))*(1/(1-'P-Parametri'!$B$6*P733))))</f>
        <v>20065.472874465642</v>
      </c>
      <c r="R733" s="18">
        <f>IF($A733&gt;('1-Input'!$B$26-2),T732,(T732-MAX(0,P726-IF($A733&gt;='1-Input'!$C$12,'1-Input'!$B$12,0))+Q733*(1-'P-Parametri'!$B$6*P733))*(1+'1-Input'!$B$27))</f>
        <v>36628.737843878102</v>
      </c>
      <c r="S733" s="18">
        <f>IF($A733&gt;('1-Input'!$B$26-2),U732,(U732-Q733)*(1+'5-Roberta'!$C$4))</f>
        <v>354375.30236563302</v>
      </c>
      <c r="T733" s="18">
        <f>IF($A733&gt;('1-Input'!$B$26-2),R733,R733-'P-Parametri'!$B$8*(S733+R733)+MIN(MAX(S733,0),'P-Parametri'!$B$8*(S733+R733)))</f>
        <v>36628.737843878102</v>
      </c>
      <c r="U733" s="18">
        <f>IF($A733&gt;('1-Input'!$B$26-2),S733,S733-MIN(MAX(S733,0),'P-Parametri'!$B$8*(S733+R733)))</f>
        <v>353593.29428521398</v>
      </c>
      <c r="V733" s="18">
        <f>IF($A733&gt;('1-Input'!$B$26-2),V732,V732-Q733*(1-P733))</f>
        <v>241662.77856783758</v>
      </c>
      <c r="W733" s="11">
        <f>IF($A733&gt;('1-Input'!$B$26-2),0,IF(AB732&lt;=0,0,MAX(0,(AB732-AC732)/AB732)))</f>
        <v>0.29760985461024714</v>
      </c>
      <c r="X733" s="18">
        <f>IF($A733&gt;('1-Input'!$B$26-2),0,(MAX(0,W726-IF($A733&gt;='1-Input'!$C$12,'1-Input'!$B$12,0))-MIN(MAX(AA732,0),MAX(0,W726-IF($A733&gt;='1-Input'!$C$12,'1-Input'!$B$12,0))))*(1/(1-'P-Parametri'!$B$6*W733))+MIN(MAX(0,AB732-(MAX(0,W726-IF($A733&gt;='1-Input'!$C$12,'1-Input'!$B$12,0))-MIN(MAX(AA732,0),MAX(0,W726-IF($A733&gt;='1-Input'!$C$12,'1-Input'!$B$12,0))))*(1/(1-'P-Parametri'!$B$6*W733))),MAX(0,2*W726-(AA732-MIN(MAX(AA732,0),MAX(0,W726-IF($A733&gt;='1-Input'!$C$12,'1-Input'!$B$12,0)))))*(1/(1-'P-Parametri'!$B$6*W733))))</f>
        <v>19818.787895267062</v>
      </c>
      <c r="Y733" s="18">
        <f>IF($A733&gt;('1-Input'!$B$26-2),AA732,(AA732-MAX(0,W726-IF($A733&gt;='1-Input'!$C$12,'1-Input'!$B$12,0))+X733*(1-'P-Parametri'!$B$6*W733))*(1+'1-Input'!$B$27))</f>
        <v>36178.339405303268</v>
      </c>
      <c r="Z733" s="18">
        <f>IF($A733&gt;('1-Input'!$B$26-2),AB732,(AB732-X733)*(1+'5-Roberta'!$C$4))</f>
        <v>356225.26443672302</v>
      </c>
      <c r="AA733" s="18">
        <f>IF($A733&gt;('1-Input'!$B$26-2),Y733,Y733-'P-Parametri'!$B$8*(Z733+Y733)+MIN(MAX(Z733,0),'P-Parametri'!$B$8*(Z733+Y733)))</f>
        <v>36178.339405303268</v>
      </c>
      <c r="AB733" s="18">
        <f>IF($A733&gt;('1-Input'!$B$26-2),Z733,Z733-MIN(MAX(Z733,0),'P-Parametri'!$B$8*(Z733+Y733)))</f>
        <v>355440.45722903899</v>
      </c>
      <c r="AC733" s="18">
        <f>IF($A733&gt;('1-Input'!$B$26-2),AC732,AC732-X733*(1-W733))</f>
        <v>242921.47114486704</v>
      </c>
      <c r="AD733" s="11">
        <f>IF($A733&gt;('1-Input'!$B$26-2),0,IF(AI732&lt;=0,0,MAX(0,(AI732-AJ732)/AI732)))</f>
        <v>0.29761038027881725</v>
      </c>
      <c r="AE733" s="18">
        <f>IF($A733&gt;('1-Input'!$B$26-2),0,(MAX(0,AD726-IF($A733&gt;='1-Input'!$C$12,'1-Input'!$B$12,0))-MIN(MAX(AH732,0),MAX(0,AD726-IF($A733&gt;='1-Input'!$C$12,'1-Input'!$B$12,0))))*(1/(1-'P-Parametri'!$B$6*AD733))+MIN(MAX(0,AI732-(MAX(0,AD726-IF($A733&gt;='1-Input'!$C$12,'1-Input'!$B$12,0))-MIN(MAX(AH732,0),MAX(0,AD726-IF($A733&gt;='1-Input'!$C$12,'1-Input'!$B$12,0))))*(1/(1-'P-Parametri'!$B$6*AD733))),MAX(0,2*AD726-(AH732-MIN(MAX(AH732,0),MAX(0,AD726-IF($A733&gt;='1-Input'!$C$12,'1-Input'!$B$12,0)))))*(1/(1-'P-Parametri'!$B$6*AD733))))</f>
        <v>19803.1156568107</v>
      </c>
      <c r="AF733" s="18">
        <f>IF($A733&gt;('1-Input'!$B$26-2),AH732,(AH732-MAX(0,AD726-IF($A733&gt;='1-Input'!$C$12,'1-Input'!$B$12,0))+AE733*(1-'P-Parametri'!$B$6*AD733))*(1+'1-Input'!$B$27))</f>
        <v>36149.725057315343</v>
      </c>
      <c r="AG733" s="18">
        <f>IF($A733&gt;('1-Input'!$B$26-2),AI732,(AI732-AE733)*(1+'5-Roberta'!$C$4))</f>
        <v>356342.79484730965</v>
      </c>
      <c r="AH733" s="18">
        <f>IF($A733&gt;('1-Input'!$B$26-2),AF733,AF733-'P-Parametri'!$B$8*(AG733+AF733)+MIN(MAX(AG733,0),'P-Parametri'!$B$8*(AG733+AF733)))</f>
        <v>36149.725057315343</v>
      </c>
      <c r="AI733" s="18">
        <f>IF($A733&gt;('1-Input'!$B$26-2),AG733,AG733-MIN(MAX(AG733,0),'P-Parametri'!$B$8*(AG733+AF733)))</f>
        <v>355557.80980750039</v>
      </c>
      <c r="AJ733" s="18">
        <f>IF($A733&gt;('1-Input'!$B$26-2),AJ732,AJ732-AE733*(1-AD733))</f>
        <v>243001.43705163617</v>
      </c>
      <c r="AK733" s="11">
        <f>IF($A733&gt;('1-Input'!$B$26-2),0,IF(AP732&lt;=0,0,MAX(0,(AP732-AQ732)/AP732)))</f>
        <v>0.2976103830130965</v>
      </c>
      <c r="AL733" s="18">
        <f>IF($A733&gt;('1-Input'!$B$26-2),0,(MAX(0,AK726-IF($A733&gt;='1-Input'!$C$12,'1-Input'!$B$12,0))-MIN(MAX(AO732,0),MAX(0,AK726-IF($A733&gt;='1-Input'!$C$12,'1-Input'!$B$12,0))))*(1/(1-'P-Parametri'!$B$6*AK733))+MIN(MAX(0,AP732-(MAX(0,AK726-IF($A733&gt;='1-Input'!$C$12,'1-Input'!$B$12,0))-MIN(MAX(AO732,0),MAX(0,AK726-IF($A733&gt;='1-Input'!$C$12,'1-Input'!$B$12,0))))*(1/(1-'P-Parametri'!$B$6*AK733))),MAX(0,2*AK726-(AO732-MIN(MAX(AO732,0),MAX(0,AK726-IF($A733&gt;='1-Input'!$C$12,'1-Input'!$B$12,0)))))*(1/(1-'P-Parametri'!$B$6*AK733))))</f>
        <v>19803.034121244149</v>
      </c>
      <c r="AM733" s="18">
        <f>IF($A733&gt;('1-Input'!$B$26-2),AO732,(AO732-MAX(0,AK726-IF($A733&gt;='1-Input'!$C$12,'1-Input'!$B$12,0))+AL733*(1-'P-Parametri'!$B$6*AK733))*(1+'1-Input'!$B$27))</f>
        <v>36149.576189835549</v>
      </c>
      <c r="AN733" s="18">
        <f>IF($A733&gt;('1-Input'!$B$26-2),AP732,(AP732-AL733)*(1+'5-Roberta'!$C$4))</f>
        <v>356343.40630478953</v>
      </c>
      <c r="AO733" s="18">
        <f>IF($A733&gt;('1-Input'!$B$26-2),AM733,AM733-'P-Parametri'!$B$8*(AN733+AM733)+MIN(MAX(AN733,0),'P-Parametri'!$B$8*(AN733+AM733)))</f>
        <v>36149.576189835549</v>
      </c>
      <c r="AP733" s="18">
        <f>IF($A733&gt;('1-Input'!$B$26-2),AN733,AN733-MIN(MAX(AN733,0),'P-Parametri'!$B$8*(AN733+AM733)))</f>
        <v>355558.4203398003</v>
      </c>
      <c r="AQ733" s="18">
        <f>IF($A733&gt;('1-Input'!$B$26-2),AQ732,AQ732-AL733*(1-AK733))</f>
        <v>243001.85307789285</v>
      </c>
    </row>
    <row r="734" spans="1:43">
      <c r="A734" s="10">
        <f>6</f>
        <v>6</v>
      </c>
      <c r="B734" s="11">
        <f>IF($A734&gt;('1-Input'!$B$26-2),0,IF(G733&lt;=0,0,MAX(0,(G733-H733)/G733)))</f>
        <v>0.31662906959606363</v>
      </c>
      <c r="C734" s="18">
        <f>IF($A734&gt;('1-Input'!$B$26-2),0,(MAX(0,B726-IF($A734&gt;='1-Input'!$C$12,'1-Input'!$B$12,0))-MIN(MAX(F733,0),MAX(0,B726-IF($A734&gt;='1-Input'!$C$12,'1-Input'!$B$12,0))))*(1/(1-'P-Parametri'!$B$6*B734))+MIN(MAX(0,G733-(MAX(0,B726-IF($A734&gt;='1-Input'!$C$12,'1-Input'!$B$12,0))-MIN(MAX(F733,0),MAX(0,B726-IF($A734&gt;='1-Input'!$C$12,'1-Input'!$B$12,0))))*(1/(1-'P-Parametri'!$B$6*B734))),MAX(0,2*B726-(F733-MIN(MAX(F733,0),MAX(0,B726-IF($A734&gt;='1-Input'!$C$12,'1-Input'!$B$12,0)))))*(1/(1-'P-Parametri'!$B$6*B734))))</f>
        <v>18308.368991159059</v>
      </c>
      <c r="D734" s="18">
        <f>IF($A734&gt;('1-Input'!$B$26-2),F733,(F733-MAX(0,B726-IF($A734&gt;='1-Input'!$C$12,'1-Input'!$B$12,0))+C734*(1-'P-Parametri'!$B$6*B734))*(1+'1-Input'!$B$27))</f>
        <v>33242.0070309863</v>
      </c>
      <c r="E734" s="18">
        <f>IF($A734&gt;('1-Input'!$B$26-2),G733,(G733-C734)*(1+'5-Roberta'!$C$4))</f>
        <v>359649.82649808639</v>
      </c>
      <c r="F734" s="18">
        <f>IF($A734&gt;('1-Input'!$B$26-2),D734,D734-'P-Parametri'!$B$8*(E734+D734)+MIN(MAX(E734,0),'P-Parametri'!$B$8*(E734+D734)))</f>
        <v>33242.0070309863</v>
      </c>
      <c r="G734" s="18">
        <f>IF($A734&gt;('1-Input'!$B$26-2),E734,E734-MIN(MAX(E734,0),'P-Parametri'!$B$8*(E734+D734)))</f>
        <v>358864.04283102823</v>
      </c>
      <c r="H734" s="18">
        <f>IF($A734&gt;('1-Input'!$B$26-2),H733,H733-C734*(1-B734))</f>
        <v>238615.76364428311</v>
      </c>
      <c r="I734" s="11">
        <f>IF($A734&gt;('1-Input'!$B$26-2),0,IF(N733&lt;=0,0,MAX(0,(N733-O733)/N733)))</f>
        <v>0.31637440272364536</v>
      </c>
      <c r="J734" s="18">
        <f>IF($A734&gt;('1-Input'!$B$26-2),0,(MAX(0,I726-IF($A734&gt;='1-Input'!$C$12,'1-Input'!$B$12,0))-MIN(MAX(M733,0),MAX(0,I726-IF($A734&gt;='1-Input'!$C$12,'1-Input'!$B$12,0))))*(1/(1-'P-Parametri'!$B$6*I734))+MIN(MAX(0,N733-(MAX(0,I726-IF($A734&gt;='1-Input'!$C$12,'1-Input'!$B$12,0))-MIN(MAX(M733,0),MAX(0,I726-IF($A734&gt;='1-Input'!$C$12,'1-Input'!$B$12,0))))*(1/(1-'P-Parametri'!$B$6*I734))),MAX(0,2*I726-(M733-MIN(MAX(M733,0),MAX(0,I726-IF($A734&gt;='1-Input'!$C$12,'1-Input'!$B$12,0)))))*(1/(1-'P-Parametri'!$B$6*I734))))</f>
        <v>24088.221154161765</v>
      </c>
      <c r="K734" s="18">
        <f>IF($A734&gt;('1-Input'!$B$26-2),M733,(M733-MAX(0,I726-IF($A734&gt;='1-Input'!$C$12,'1-Input'!$B$12,0))+J734*(1-'P-Parametri'!$B$6*I734))*(1+'1-Input'!$B$27))</f>
        <v>43739.482935508291</v>
      </c>
      <c r="L734" s="18">
        <f>IF($A734&gt;('1-Input'!$B$26-2),N733,(N733-J734)*(1+'5-Roberta'!$C$4))</f>
        <v>309353.45616257709</v>
      </c>
      <c r="M734" s="18">
        <f>IF($A734&gt;('1-Input'!$B$26-2),K734,K734-'P-Parametri'!$B$8*(L734+K734)+MIN(MAX(L734,0),'P-Parametri'!$B$8*(L734+K734)))</f>
        <v>43739.482935508291</v>
      </c>
      <c r="N734" s="18">
        <f>IF($A734&gt;('1-Input'!$B$26-2),L734,L734-MIN(MAX(L734,0),'P-Parametri'!$B$8*(L734+K734)))</f>
        <v>308647.27028438094</v>
      </c>
      <c r="O734" s="18">
        <f>IF($A734&gt;('1-Input'!$B$26-2),O733,O733-J734*(1-I734))</f>
        <v>205322.27304722948</v>
      </c>
      <c r="P734" s="11">
        <f>IF($A734&gt;('1-Input'!$B$26-2),0,IF(U733&lt;=0,0,MAX(0,(U733-V733)/U733)))</f>
        <v>0.31655157924768634</v>
      </c>
      <c r="Q734" s="18">
        <f>IF($A734&gt;('1-Input'!$B$26-2),0,(MAX(0,P726-IF($A734&gt;='1-Input'!$C$12,'1-Input'!$B$12,0))-MIN(MAX(T733,0),MAX(0,P726-IF($A734&gt;='1-Input'!$C$12,'1-Input'!$B$12,0))))*(1/(1-'P-Parametri'!$B$6*P734))+MIN(MAX(0,U733-(MAX(0,P726-IF($A734&gt;='1-Input'!$C$12,'1-Input'!$B$12,0))-MIN(MAX(T733,0),MAX(0,P726-IF($A734&gt;='1-Input'!$C$12,'1-Input'!$B$12,0))))*(1/(1-'P-Parametri'!$B$6*P734))),MAX(0,2*P726-(T733-MIN(MAX(T733,0),MAX(0,P726-IF($A734&gt;='1-Input'!$C$12,'1-Input'!$B$12,0)))))*(1/(1-'P-Parametri'!$B$6*P734))))</f>
        <v>20173.202075251898</v>
      </c>
      <c r="R734" s="18">
        <f>IF($A734&gt;('1-Input'!$B$26-2),T733,(T733-MAX(0,P726-IF($A734&gt;='1-Input'!$C$12,'1-Input'!$B$12,0))+Q734*(1-'P-Parametri'!$B$6*P734))*(1+'1-Input'!$B$27))</f>
        <v>36628.737843878102</v>
      </c>
      <c r="S734" s="18">
        <f>IF($A734&gt;('1-Input'!$B$26-2),U733,(U733-Q734)*(1+'5-Roberta'!$C$4))</f>
        <v>343422.69497626094</v>
      </c>
      <c r="T734" s="18">
        <f>IF($A734&gt;('1-Input'!$B$26-2),R734,R734-'P-Parametri'!$B$8*(S734+R734)+MIN(MAX(S734,0),'P-Parametri'!$B$8*(S734+R734)))</f>
        <v>36628.737843878102</v>
      </c>
      <c r="U734" s="18">
        <f>IF($A734&gt;('1-Input'!$B$26-2),S734,S734-MIN(MAX(S734,0),'P-Parametri'!$B$8*(S734+R734)))</f>
        <v>342662.59211062064</v>
      </c>
      <c r="V734" s="18">
        <f>IF($A734&gt;('1-Input'!$B$26-2),V733,V733-Q734*(1-P734))</f>
        <v>227875.43546798936</v>
      </c>
      <c r="W734" s="11">
        <f>IF($A734&gt;('1-Input'!$B$26-2),0,IF(AB733&lt;=0,0,MAX(0,(AB733-AC733)/AB733)))</f>
        <v>0.31656212396684735</v>
      </c>
      <c r="X734" s="18">
        <f>IF($A734&gt;('1-Input'!$B$26-2),0,(MAX(0,W726-IF($A734&gt;='1-Input'!$C$12,'1-Input'!$B$12,0))-MIN(MAX(AA733,0),MAX(0,W726-IF($A734&gt;='1-Input'!$C$12,'1-Input'!$B$12,0))))*(1/(1-'P-Parametri'!$B$6*W734))+MIN(MAX(0,AB733-(MAX(0,W726-IF($A734&gt;='1-Input'!$C$12,'1-Input'!$B$12,0))-MIN(MAX(AA733,0),MAX(0,W726-IF($A734&gt;='1-Input'!$C$12,'1-Input'!$B$12,0))))*(1/(1-'P-Parametri'!$B$6*W734))),MAX(0,2*W726-(AA733-MIN(MAX(AA733,0),MAX(0,W726-IF($A734&gt;='1-Input'!$C$12,'1-Input'!$B$12,0)))))*(1/(1-'P-Parametri'!$B$6*W734))))</f>
        <v>19925.205587758614</v>
      </c>
      <c r="Y734" s="18">
        <f>IF($A734&gt;('1-Input'!$B$26-2),AA733,(AA733-MAX(0,W726-IF($A734&gt;='1-Input'!$C$12,'1-Input'!$B$12,0))+X734*(1-'P-Parametri'!$B$6*W734))*(1+'1-Input'!$B$27))</f>
        <v>36178.339405303261</v>
      </c>
      <c r="Z734" s="18">
        <f>IF($A734&gt;('1-Input'!$B$26-2),AB733,(AB733-X734)*(1+'5-Roberta'!$C$4))</f>
        <v>345580.70919051877</v>
      </c>
      <c r="AA734" s="18">
        <f>IF($A734&gt;('1-Input'!$B$26-2),Y734,Y734-'P-Parametri'!$B$8*(Z734+Y734)+MIN(MAX(Z734,0),'P-Parametri'!$B$8*(Z734+Y734)))</f>
        <v>36178.339405303261</v>
      </c>
      <c r="AB734" s="18">
        <f>IF($A734&gt;('1-Input'!$B$26-2),Z734,Z734-MIN(MAX(Z734,0),'P-Parametri'!$B$8*(Z734+Y734)))</f>
        <v>344817.19109332713</v>
      </c>
      <c r="AC734" s="18">
        <f>IF($A734&gt;('1-Input'!$B$26-2),AC733,AC733-X734*(1-W734))</f>
        <v>229303.83095844538</v>
      </c>
      <c r="AD734" s="11">
        <f>IF($A734&gt;('1-Input'!$B$26-2),0,IF(AI733&lt;=0,0,MAX(0,(AI733-AJ733)/AI733)))</f>
        <v>0.31656279134130799</v>
      </c>
      <c r="AE734" s="18">
        <f>IF($A734&gt;('1-Input'!$B$26-2),0,(MAX(0,AD726-IF($A734&gt;='1-Input'!$C$12,'1-Input'!$B$12,0))-MIN(MAX(AH733,0),MAX(0,AD726-IF($A734&gt;='1-Input'!$C$12,'1-Input'!$B$12,0))))*(1/(1-'P-Parametri'!$B$6*AD734))+MIN(MAX(0,AI733-(MAX(0,AD726-IF($A734&gt;='1-Input'!$C$12,'1-Input'!$B$12,0))-MIN(MAX(AH733,0),MAX(0,AD726-IF($A734&gt;='1-Input'!$C$12,'1-Input'!$B$12,0))))*(1/(1-'P-Parametri'!$B$6*AD734))),MAX(0,2*AD726-(AH733-MIN(MAX(AH733,0),MAX(0,AD726-IF($A734&gt;='1-Input'!$C$12,'1-Input'!$B$12,0)))))*(1/(1-'P-Parametri'!$B$6*AD734))))</f>
        <v>19909.450011815985</v>
      </c>
      <c r="AF734" s="18">
        <f>IF($A734&gt;('1-Input'!$B$26-2),AH733,(AH733-MAX(0,AD726-IF($A734&gt;='1-Input'!$C$12,'1-Input'!$B$12,0))+AE734*(1-'P-Parametri'!$B$6*AD734))*(1+'1-Input'!$B$27))</f>
        <v>36149.725057315343</v>
      </c>
      <c r="AG734" s="18">
        <f>IF($A734&gt;('1-Input'!$B$26-2),AI733,(AI733-AE734)*(1+'5-Roberta'!$C$4))</f>
        <v>345717.81058955495</v>
      </c>
      <c r="AH734" s="18">
        <f>IF($A734&gt;('1-Input'!$B$26-2),AF734,AF734-'P-Parametri'!$B$8*(AG734+AF734)+MIN(MAX(AG734,0),'P-Parametri'!$B$8*(AG734+AF734)))</f>
        <v>36149.725057315343</v>
      </c>
      <c r="AI734" s="18">
        <f>IF($A734&gt;('1-Input'!$B$26-2),AG734,AG734-MIN(MAX(AG734,0),'P-Parametri'!$B$8*(AG734+AF734)))</f>
        <v>344954.07551826123</v>
      </c>
      <c r="AJ734" s="18">
        <f>IF($A734&gt;('1-Input'!$B$26-2),AJ733,AJ733-AE734*(1-AD734))</f>
        <v>229394.57810963088</v>
      </c>
      <c r="AK734" s="11">
        <f>IF($A734&gt;('1-Input'!$B$26-2),0,IF(AP733&lt;=0,0,MAX(0,(AP733-AQ733)/AP733)))</f>
        <v>0.31656279481256361</v>
      </c>
      <c r="AL734" s="18">
        <f>IF($A734&gt;('1-Input'!$B$26-2),0,(MAX(0,AK726-IF($A734&gt;='1-Input'!$C$12,'1-Input'!$B$12,0))-MIN(MAX(AO733,0),MAX(0,AK726-IF($A734&gt;='1-Input'!$C$12,'1-Input'!$B$12,0))))*(1/(1-'P-Parametri'!$B$6*AK734))+MIN(MAX(0,AP733-(MAX(0,AK726-IF($A734&gt;='1-Input'!$C$12,'1-Input'!$B$12,0))-MIN(MAX(AO733,0),MAX(0,AK726-IF($A734&gt;='1-Input'!$C$12,'1-Input'!$B$12,0))))*(1/(1-'P-Parametri'!$B$6*AK734))),MAX(0,2*AK726-(AO733-MIN(MAX(AO733,0),MAX(0,AK726-IF($A734&gt;='1-Input'!$C$12,'1-Input'!$B$12,0)))))*(1/(1-'P-Parametri'!$B$6*AK734))))</f>
        <v>19909.368042677372</v>
      </c>
      <c r="AM734" s="18">
        <f>IF($A734&gt;('1-Input'!$B$26-2),AO733,(AO733-MAX(0,AK726-IF($A734&gt;='1-Input'!$C$12,'1-Input'!$B$12,0))+AL734*(1-'P-Parametri'!$B$6*AK734))*(1+'1-Input'!$B$27))</f>
        <v>36149.576189835549</v>
      </c>
      <c r="AN734" s="18">
        <f>IF($A734&gt;('1-Input'!$B$26-2),AP733,(AP733-AL734)*(1+'5-Roberta'!$C$4))</f>
        <v>345718.52386603667</v>
      </c>
      <c r="AO734" s="18">
        <f>IF($A734&gt;('1-Input'!$B$26-2),AM734,AM734-'P-Parametri'!$B$8*(AN734+AM734)+MIN(MAX(AN734,0),'P-Parametri'!$B$8*(AN734+AM734)))</f>
        <v>36149.576189835549</v>
      </c>
      <c r="AP734" s="18">
        <f>IF($A734&gt;('1-Input'!$B$26-2),AN734,AN734-MIN(MAX(AN734,0),'P-Parametri'!$B$8*(AN734+AM734)))</f>
        <v>344954.78766592493</v>
      </c>
      <c r="AQ734" s="18">
        <f>IF($A734&gt;('1-Input'!$B$26-2),AQ733,AQ733-AL734*(1-AK734))</f>
        <v>229395.05022575738</v>
      </c>
    </row>
    <row r="735" spans="1:43">
      <c r="A735" s="10">
        <f>7</f>
        <v>7</v>
      </c>
      <c r="B735" s="11">
        <f>IF($A735&gt;('1-Input'!$B$26-2),0,IF(G734&lt;=0,0,MAX(0,(G734-H734)/G734)))</f>
        <v>0.33508032244780855</v>
      </c>
      <c r="C735" s="18">
        <f>IF($A735&gt;('1-Input'!$B$26-2),0,(MAX(0,B726-IF($A735&gt;='1-Input'!$C$12,'1-Input'!$B$12,0))-MIN(MAX(F734,0),MAX(0,B726-IF($A735&gt;='1-Input'!$C$12,'1-Input'!$B$12,0))))*(1/(1-'P-Parametri'!$B$6*B735))+MIN(MAX(0,G734-(MAX(0,B726-IF($A735&gt;='1-Input'!$C$12,'1-Input'!$B$12,0))-MIN(MAX(F734,0),MAX(0,B726-IF($A735&gt;='1-Input'!$C$12,'1-Input'!$B$12,0))))*(1/(1-'P-Parametri'!$B$6*B735))),MAX(0,2*B726-(F734-MIN(MAX(F734,0),MAX(0,B726-IF($A735&gt;='1-Input'!$C$12,'1-Input'!$B$12,0)))))*(1/(1-'P-Parametri'!$B$6*B735))))</f>
        <v>18404.582398049595</v>
      </c>
      <c r="D735" s="18">
        <f>IF($A735&gt;('1-Input'!$B$26-2),F734,(F734-MAX(0,B726-IF($A735&gt;='1-Input'!$C$12,'1-Input'!$B$12,0))+C735*(1-'P-Parametri'!$B$6*B735))*(1+'1-Input'!$B$27))</f>
        <v>33242.0070309863</v>
      </c>
      <c r="E735" s="18">
        <f>IF($A735&gt;('1-Input'!$B$26-2),G734,(G734-C735)*(1+'5-Roberta'!$C$4))</f>
        <v>350673.244245968</v>
      </c>
      <c r="F735" s="18">
        <f>IF($A735&gt;('1-Input'!$B$26-2),D735,D735-'P-Parametri'!$B$8*(E735+D735)+MIN(MAX(E735,0),'P-Parametri'!$B$8*(E735+D735)))</f>
        <v>33242.0070309863</v>
      </c>
      <c r="G735" s="18">
        <f>IF($A735&gt;('1-Input'!$B$26-2),E735,E735-MIN(MAX(E735,0),'P-Parametri'!$B$8*(E735+D735)))</f>
        <v>349905.4137434141</v>
      </c>
      <c r="H735" s="18">
        <f>IF($A735&gt;('1-Input'!$B$26-2),H734,H734-C735*(1-B735))</f>
        <v>226378.19465068923</v>
      </c>
      <c r="I735" s="11">
        <f>IF($A735&gt;('1-Input'!$B$26-2),0,IF(N734&lt;=0,0,MAX(0,(N734-O734)/N734)))</f>
        <v>0.33476724787473428</v>
      </c>
      <c r="J735" s="18">
        <f>IF($A735&gt;('1-Input'!$B$26-2),0,(MAX(0,I726-IF($A735&gt;='1-Input'!$C$12,'1-Input'!$B$12,0))-MIN(MAX(M734,0),MAX(0,I726-IF($A735&gt;='1-Input'!$C$12,'1-Input'!$B$12,0))))*(1/(1-'P-Parametri'!$B$6*I735))+MIN(MAX(0,N734-(MAX(0,I726-IF($A735&gt;='1-Input'!$C$12,'1-Input'!$B$12,0))-MIN(MAX(M734,0),MAX(0,I726-IF($A735&gt;='1-Input'!$C$12,'1-Input'!$B$12,0))))*(1/(1-'P-Parametri'!$B$6*I735))),MAX(0,2*I726-(M734-MIN(MAX(M734,0),MAX(0,I726-IF($A735&gt;='1-Input'!$C$12,'1-Input'!$B$12,0)))))*(1/(1-'P-Parametri'!$B$6*I735))))</f>
        <v>24214.396643317763</v>
      </c>
      <c r="K735" s="18">
        <f>IF($A735&gt;('1-Input'!$B$26-2),M734,(M734-MAX(0,I726-IF($A735&gt;='1-Input'!$C$12,'1-Input'!$B$12,0))+J735*(1-'P-Parametri'!$B$6*I735))*(1+'1-Input'!$B$27))</f>
        <v>43739.482935508291</v>
      </c>
      <c r="L735" s="18">
        <f>IF($A735&gt;('1-Input'!$B$26-2),N734,(N734-J735)*(1+'5-Roberta'!$C$4))</f>
        <v>292965.85985029506</v>
      </c>
      <c r="M735" s="18">
        <f>IF($A735&gt;('1-Input'!$B$26-2),K735,K735-'P-Parametri'!$B$8*(L735+K735)+MIN(MAX(L735,0),'P-Parametri'!$B$8*(L735+K735)))</f>
        <v>43739.482935508291</v>
      </c>
      <c r="N735" s="18">
        <f>IF($A735&gt;('1-Input'!$B$26-2),L735,L735-MIN(MAX(L735,0),'P-Parametri'!$B$8*(L735+K735)))</f>
        <v>292292.44916472345</v>
      </c>
      <c r="O735" s="18">
        <f>IF($A735&gt;('1-Input'!$B$26-2),O734,O734-J735*(1-I735))</f>
        <v>189214.06332714242</v>
      </c>
      <c r="P735" s="11">
        <f>IF($A735&gt;('1-Input'!$B$26-2),0,IF(U734&lt;=0,0,MAX(0,(U734-V734)/U734)))</f>
        <v>0.33498595786485769</v>
      </c>
      <c r="Q735" s="18">
        <f>IF($A735&gt;('1-Input'!$B$26-2),0,(MAX(0,P726-IF($A735&gt;='1-Input'!$C$12,'1-Input'!$B$12,0))-MIN(MAX(T734,0),MAX(0,P726-IF($A735&gt;='1-Input'!$C$12,'1-Input'!$B$12,0))))*(1/(1-'P-Parametri'!$B$6*P735))+MIN(MAX(0,U734-(MAX(0,P726-IF($A735&gt;='1-Input'!$C$12,'1-Input'!$B$12,0))-MIN(MAX(T734,0),MAX(0,P726-IF($A735&gt;='1-Input'!$C$12,'1-Input'!$B$12,0))))*(1/(1-'P-Parametri'!$B$6*P735))),MAX(0,2*P726-(T734-MIN(MAX(T734,0),MAX(0,P726-IF($A735&gt;='1-Input'!$C$12,'1-Input'!$B$12,0)))))*(1/(1-'P-Parametri'!$B$6*P735))))</f>
        <v>20279.11567916023</v>
      </c>
      <c r="R735" s="18">
        <f>IF($A735&gt;('1-Input'!$B$26-2),T734,(T734-MAX(0,P726-IF($A735&gt;='1-Input'!$C$12,'1-Input'!$B$12,0))+Q735*(1-'P-Parametri'!$B$6*P735))*(1+'1-Input'!$B$27))</f>
        <v>36628.737843878102</v>
      </c>
      <c r="S735" s="18">
        <f>IF($A735&gt;('1-Input'!$B$26-2),U734,(U734-Q735)*(1+'5-Roberta'!$C$4))</f>
        <v>332054.98072440422</v>
      </c>
      <c r="T735" s="18">
        <f>IF($A735&gt;('1-Input'!$B$26-2),R735,R735-'P-Parametri'!$B$8*(S735+R735)+MIN(MAX(S735,0),'P-Parametri'!$B$8*(S735+R735)))</f>
        <v>36628.737843878102</v>
      </c>
      <c r="U735" s="18">
        <f>IF($A735&gt;('1-Input'!$B$26-2),S735,S735-MIN(MAX(S735,0),'P-Parametri'!$B$8*(S735+R735)))</f>
        <v>331317.61328726762</v>
      </c>
      <c r="V735" s="18">
        <f>IF($A735&gt;('1-Input'!$B$26-2),V734,V734-Q735*(1-P735))</f>
        <v>214389.53877926487</v>
      </c>
      <c r="W735" s="11">
        <f>IF($A735&gt;('1-Input'!$B$26-2),0,IF(AB734&lt;=0,0,MAX(0,(AB734-AC734)/AB734)))</f>
        <v>0.33499884320911733</v>
      </c>
      <c r="X735" s="18">
        <f>IF($A735&gt;('1-Input'!$B$26-2),0,(MAX(0,W726-IF($A735&gt;='1-Input'!$C$12,'1-Input'!$B$12,0))-MIN(MAX(AA734,0),MAX(0,W726-IF($A735&gt;='1-Input'!$C$12,'1-Input'!$B$12,0))))*(1/(1-'P-Parametri'!$B$6*W735))+MIN(MAX(0,AB734-(MAX(0,W726-IF($A735&gt;='1-Input'!$C$12,'1-Input'!$B$12,0))-MIN(MAX(AA734,0),MAX(0,W726-IF($A735&gt;='1-Input'!$C$12,'1-Input'!$B$12,0))))*(1/(1-'P-Parametri'!$B$6*W735))),MAX(0,2*W726-(AA734-MIN(MAX(AA734,0),MAX(0,W726-IF($A735&gt;='1-Input'!$C$12,'1-Input'!$B$12,0)))))*(1/(1-'P-Parametri'!$B$6*W735))))</f>
        <v>20029.830823886885</v>
      </c>
      <c r="Y735" s="18">
        <f>IF($A735&gt;('1-Input'!$B$26-2),AA734,(AA734-MAX(0,W726-IF($A735&gt;='1-Input'!$C$12,'1-Input'!$B$12,0))+X735*(1-'P-Parametri'!$B$6*W735))*(1+'1-Input'!$B$27))</f>
        <v>36178.339405303268</v>
      </c>
      <c r="Z735" s="18">
        <f>IF($A735&gt;('1-Input'!$B$26-2),AB734,(AB734-X735)*(1+'5-Roberta'!$C$4))</f>
        <v>334530.98107752344</v>
      </c>
      <c r="AA735" s="18">
        <f>IF($A735&gt;('1-Input'!$B$26-2),Y735,Y735-'P-Parametri'!$B$8*(Z735+Y735)+MIN(MAX(Z735,0),'P-Parametri'!$B$8*(Z735+Y735)))</f>
        <v>36178.339405303268</v>
      </c>
      <c r="AB735" s="18">
        <f>IF($A735&gt;('1-Input'!$B$26-2),Z735,Z735-MIN(MAX(Z735,0),'P-Parametri'!$B$8*(Z735+Y735)))</f>
        <v>333789.56243655778</v>
      </c>
      <c r="AC735" s="18">
        <f>IF($A735&gt;('1-Input'!$B$26-2),AC734,AC734-X735*(1-W735))</f>
        <v>215983.97029023492</v>
      </c>
      <c r="AD735" s="11">
        <f>IF($A735&gt;('1-Input'!$B$26-2),0,IF(AI734&lt;=0,0,MAX(0,(AI734-AJ734)/AI734)))</f>
        <v>0.3349996582443997</v>
      </c>
      <c r="AE735" s="18">
        <f>IF($A735&gt;('1-Input'!$B$26-2),0,(MAX(0,AD726-IF($A735&gt;='1-Input'!$C$12,'1-Input'!$B$12,0))-MIN(MAX(AH734,0),MAX(0,AD726-IF($A735&gt;='1-Input'!$C$12,'1-Input'!$B$12,0))))*(1/(1-'P-Parametri'!$B$6*AD735))+MIN(MAX(0,AI734-(MAX(0,AD726-IF($A735&gt;='1-Input'!$C$12,'1-Input'!$B$12,0))-MIN(MAX(AH734,0),MAX(0,AD726-IF($A735&gt;='1-Input'!$C$12,'1-Input'!$B$12,0))))*(1/(1-'P-Parametri'!$B$6*AD735))),MAX(0,2*AD726-(AH734-MIN(MAX(AH734,0),MAX(0,AD726-IF($A735&gt;='1-Input'!$C$12,'1-Input'!$B$12,0)))))*(1/(1-'P-Parametri'!$B$6*AD735))))</f>
        <v>20013.993378565759</v>
      </c>
      <c r="AF735" s="18">
        <f>IF($A735&gt;('1-Input'!$B$26-2),AH734,(AH734-MAX(0,AD726-IF($A735&gt;='1-Input'!$C$12,'1-Input'!$B$12,0))+AE735*(1-'P-Parametri'!$B$6*AD735))*(1+'1-Input'!$B$27))</f>
        <v>36149.725057315343</v>
      </c>
      <c r="AG735" s="18">
        <f>IF($A735&gt;('1-Input'!$B$26-2),AI734,(AI734-AE735)*(1+'5-Roberta'!$C$4))</f>
        <v>334688.28460388636</v>
      </c>
      <c r="AH735" s="18">
        <f>IF($A735&gt;('1-Input'!$B$26-2),AF735,AF735-'P-Parametri'!$B$8*(AG735+AF735)+MIN(MAX(AG735,0),'P-Parametri'!$B$8*(AG735+AF735)))</f>
        <v>36149.725057315343</v>
      </c>
      <c r="AI735" s="18">
        <f>IF($A735&gt;('1-Input'!$B$26-2),AG735,AG735-MIN(MAX(AG735,0),'P-Parametri'!$B$8*(AG735+AF735)))</f>
        <v>333946.60858456395</v>
      </c>
      <c r="AJ735" s="18">
        <f>IF($A735&gt;('1-Input'!$B$26-2),AJ734,AJ734-AE735*(1-AD735))</f>
        <v>216085.26567299032</v>
      </c>
      <c r="AK735" s="11">
        <f>IF($A735&gt;('1-Input'!$B$26-2),0,IF(AP734&lt;=0,0,MAX(0,(AP734-AQ734)/AP734)))</f>
        <v>0.33499966248354429</v>
      </c>
      <c r="AL735" s="18">
        <f>IF($A735&gt;('1-Input'!$B$26-2),0,(MAX(0,AK726-IF($A735&gt;='1-Input'!$C$12,'1-Input'!$B$12,0))-MIN(MAX(AO734,0),MAX(0,AK726-IF($A735&gt;='1-Input'!$C$12,'1-Input'!$B$12,0))))*(1/(1-'P-Parametri'!$B$6*AK735))+MIN(MAX(0,AP734-(MAX(0,AK726-IF($A735&gt;='1-Input'!$C$12,'1-Input'!$B$12,0))-MIN(MAX(AO734,0),MAX(0,AK726-IF($A735&gt;='1-Input'!$C$12,'1-Input'!$B$12,0))))*(1/(1-'P-Parametri'!$B$6*AK735))),MAX(0,2*AK726-(AO734-MIN(MAX(AO734,0),MAX(0,AK726-IF($A735&gt;='1-Input'!$C$12,'1-Input'!$B$12,0)))))*(1/(1-'P-Parametri'!$B$6*AK735))))</f>
        <v>20013.910983492344</v>
      </c>
      <c r="AM735" s="18">
        <f>IF($A735&gt;('1-Input'!$B$26-2),AO734,(AO734-MAX(0,AK726-IF($A735&gt;='1-Input'!$C$12,'1-Input'!$B$12,0))+AL735*(1-'P-Parametri'!$B$6*AK735))*(1+'1-Input'!$B$27))</f>
        <v>36149.576189835549</v>
      </c>
      <c r="AN735" s="18">
        <f>IF($A735&gt;('1-Input'!$B$26-2),AP734,(AP734-AL735)*(1+'5-Roberta'!$C$4))</f>
        <v>334689.10298290558</v>
      </c>
      <c r="AO735" s="18">
        <f>IF($A735&gt;('1-Input'!$B$26-2),AM735,AM735-'P-Parametri'!$B$8*(AN735+AM735)+MIN(MAX(AN735,0),'P-Parametri'!$B$8*(AN735+AM735)))</f>
        <v>36149.576189835549</v>
      </c>
      <c r="AP735" s="18">
        <f>IF($A735&gt;('1-Input'!$B$26-2),AN735,AN735-MIN(MAX(AN735,0),'P-Parametri'!$B$8*(AN735+AM735)))</f>
        <v>333947.4256245601</v>
      </c>
      <c r="AQ735" s="18">
        <f>IF($A735&gt;('1-Input'!$B$26-2),AQ734,AQ734-AL735*(1-AK735))</f>
        <v>216085.79266671068</v>
      </c>
    </row>
    <row r="736" spans="1:43">
      <c r="A736" s="10">
        <f>8</f>
        <v>8</v>
      </c>
      <c r="B736" s="11">
        <f>IF($A736&gt;('1-Input'!$B$26-2),0,IF(G735&lt;=0,0,MAX(0,(G735-H735)/G735)))</f>
        <v>0.35303031688245751</v>
      </c>
      <c r="C736" s="18">
        <f>IF($A736&gt;('1-Input'!$B$26-2),0,(MAX(0,B726-IF($A736&gt;='1-Input'!$C$12,'1-Input'!$B$12,0))-MIN(MAX(F735,0),MAX(0,B726-IF($A736&gt;='1-Input'!$C$12,'1-Input'!$B$12,0))))*(1/(1-'P-Parametri'!$B$6*B736))+MIN(MAX(0,G735-(MAX(0,B726-IF($A736&gt;='1-Input'!$C$12,'1-Input'!$B$12,0))-MIN(MAX(F735,0),MAX(0,B726-IF($A736&gt;='1-Input'!$C$12,'1-Input'!$B$12,0))))*(1/(1-'P-Parametri'!$B$6*B736))),MAX(0,2*B726-(F735-MIN(MAX(F735,0),MAX(0,B726-IF($A736&gt;='1-Input'!$C$12,'1-Input'!$B$12,0)))))*(1/(1-'P-Parametri'!$B$6*B736))))</f>
        <v>18499.157396285038</v>
      </c>
      <c r="D736" s="18">
        <f>IF($A736&gt;('1-Input'!$B$26-2),F735,(F735-MAX(0,B726-IF($A736&gt;='1-Input'!$C$12,'1-Input'!$B$12,0))+C736*(1-'P-Parametri'!$B$6*B736))*(1+'1-Input'!$B$27))</f>
        <v>33242.0070309863</v>
      </c>
      <c r="E736" s="18">
        <f>IF($A736&gt;('1-Input'!$B$26-2),G735,(G735-C736)*(1+'5-Roberta'!$C$4))</f>
        <v>341348.44403754297</v>
      </c>
      <c r="F736" s="18">
        <f>IF($A736&gt;('1-Input'!$B$26-2),D736,D736-'P-Parametri'!$B$8*(E736+D736)+MIN(MAX(E736,0),'P-Parametri'!$B$8*(E736+D736)))</f>
        <v>33242.0070309863</v>
      </c>
      <c r="G736" s="18">
        <f>IF($A736&gt;('1-Input'!$B$26-2),E736,E736-MIN(MAX(E736,0),'P-Parametri'!$B$8*(E736+D736)))</f>
        <v>340599.2631354059</v>
      </c>
      <c r="H736" s="18">
        <f>IF($A736&gt;('1-Input'!$B$26-2),H735,H735-C736*(1-B736))</f>
        <v>214409.80065207314</v>
      </c>
      <c r="I736" s="11">
        <f>IF($A736&gt;('1-Input'!$B$26-2),0,IF(N735&lt;=0,0,MAX(0,(N735-O735)/N735)))</f>
        <v>0.35265497323706263</v>
      </c>
      <c r="J736" s="18">
        <f>IF($A736&gt;('1-Input'!$B$26-2),0,(MAX(0,I726-IF($A736&gt;='1-Input'!$C$12,'1-Input'!$B$12,0))-MIN(MAX(M735,0),MAX(0,I726-IF($A736&gt;='1-Input'!$C$12,'1-Input'!$B$12,0))))*(1/(1-'P-Parametri'!$B$6*I736))+MIN(MAX(0,N735-(MAX(0,I726-IF($A736&gt;='1-Input'!$C$12,'1-Input'!$B$12,0))-MIN(MAX(M735,0),MAX(0,I726-IF($A736&gt;='1-Input'!$C$12,'1-Input'!$B$12,0))))*(1/(1-'P-Parametri'!$B$6*I736))),MAX(0,2*I726-(M735-MIN(MAX(M735,0),MAX(0,I726-IF($A736&gt;='1-Input'!$C$12,'1-Input'!$B$12,0)))))*(1/(1-'P-Parametri'!$B$6*I736))))</f>
        <v>24338.381362571017</v>
      </c>
      <c r="K736" s="18">
        <f>IF($A736&gt;('1-Input'!$B$26-2),M735,(M735-MAX(0,I726-IF($A736&gt;='1-Input'!$C$12,'1-Input'!$B$12,0))+J736*(1-'P-Parametri'!$B$6*I736))*(1+'1-Input'!$B$27))</f>
        <v>43739.482935508291</v>
      </c>
      <c r="L736" s="18">
        <f>IF($A736&gt;('1-Input'!$B$26-2),N735,(N735-J736)*(1+'5-Roberta'!$C$4))</f>
        <v>275992.68983621697</v>
      </c>
      <c r="M736" s="18">
        <f>IF($A736&gt;('1-Input'!$B$26-2),K736,K736-'P-Parametri'!$B$8*(L736+K736)+MIN(MAX(L736,0),'P-Parametri'!$B$8*(L736+K736)))</f>
        <v>43739.482935508291</v>
      </c>
      <c r="N736" s="18">
        <f>IF($A736&gt;('1-Input'!$B$26-2),L736,L736-MIN(MAX(L736,0),'P-Parametri'!$B$8*(L736+K736)))</f>
        <v>275353.2254906735</v>
      </c>
      <c r="O736" s="18">
        <f>IF($A736&gt;('1-Input'!$B$26-2),O735,O735-J736*(1-I736))</f>
        <v>173458.73319262231</v>
      </c>
      <c r="P736" s="11">
        <f>IF($A736&gt;('1-Input'!$B$26-2),0,IF(U735&lt;=0,0,MAX(0,(U735-V735)/U735)))</f>
        <v>0.35291837746827159</v>
      </c>
      <c r="Q736" s="18">
        <f>IF($A736&gt;('1-Input'!$B$26-2),0,(MAX(0,P726-IF($A736&gt;='1-Input'!$C$12,'1-Input'!$B$12,0))-MIN(MAX(T735,0),MAX(0,P726-IF($A736&gt;='1-Input'!$C$12,'1-Input'!$B$12,0))))*(1/(1-'P-Parametri'!$B$6*P736))+MIN(MAX(0,U735-(MAX(0,P726-IF($A736&gt;='1-Input'!$C$12,'1-Input'!$B$12,0))-MIN(MAX(T735,0),MAX(0,P726-IF($A736&gt;='1-Input'!$C$12,'1-Input'!$B$12,0))))*(1/(1-'P-Parametri'!$B$6*P736))),MAX(0,2*P726-(T735-MIN(MAX(T735,0),MAX(0,P726-IF($A736&gt;='1-Input'!$C$12,'1-Input'!$B$12,0)))))*(1/(1-'P-Parametri'!$B$6*P736))))</f>
        <v>20383.217911833857</v>
      </c>
      <c r="R736" s="18">
        <f>IF($A736&gt;('1-Input'!$B$26-2),T735,(T735-MAX(0,P726-IF($A736&gt;='1-Input'!$C$12,'1-Input'!$B$12,0))+Q736*(1-'P-Parametri'!$B$6*P736))*(1+'1-Input'!$B$27))</f>
        <v>36628.737843878102</v>
      </c>
      <c r="S736" s="18">
        <f>IF($A736&gt;('1-Input'!$B$26-2),U735,(U735-Q736)*(1+'5-Roberta'!$C$4))</f>
        <v>320262.42723669682</v>
      </c>
      <c r="T736" s="18">
        <f>IF($A736&gt;('1-Input'!$B$26-2),R736,R736-'P-Parametri'!$B$8*(S736+R736)+MIN(MAX(S736,0),'P-Parametri'!$B$8*(S736+R736)))</f>
        <v>36628.737843878102</v>
      </c>
      <c r="U736" s="18">
        <f>IF($A736&gt;('1-Input'!$B$26-2),S736,S736-MIN(MAX(S736,0),'P-Parametri'!$B$8*(S736+R736)))</f>
        <v>319548.64490653569</v>
      </c>
      <c r="V736" s="18">
        <f>IF($A736&gt;('1-Input'!$B$26-2),V735,V735-Q736*(1-P736))</f>
        <v>201199.93306045764</v>
      </c>
      <c r="W736" s="11">
        <f>IF($A736&gt;('1-Input'!$B$26-2),0,IF(AB735&lt;=0,0,MAX(0,(AB735-AC735)/AB735)))</f>
        <v>0.35293372053451716</v>
      </c>
      <c r="X736" s="18">
        <f>IF($A736&gt;('1-Input'!$B$26-2),0,(MAX(0,W726-IF($A736&gt;='1-Input'!$C$12,'1-Input'!$B$12,0))-MIN(MAX(AA735,0),MAX(0,W726-IF($A736&gt;='1-Input'!$C$12,'1-Input'!$B$12,0))))*(1/(1-'P-Parametri'!$B$6*W736))+MIN(MAX(0,AB735-(MAX(0,W726-IF($A736&gt;='1-Input'!$C$12,'1-Input'!$B$12,0))-MIN(MAX(AA735,0),MAX(0,W726-IF($A736&gt;='1-Input'!$C$12,'1-Input'!$B$12,0))))*(1/(1-'P-Parametri'!$B$6*W736))),MAX(0,2*W726-(AA735-MIN(MAX(AA735,0),MAX(0,W726-IF($A736&gt;='1-Input'!$C$12,'1-Input'!$B$12,0)))))*(1/(1-'P-Parametri'!$B$6*W736))))</f>
        <v>20132.667904218662</v>
      </c>
      <c r="Y736" s="18">
        <f>IF($A736&gt;('1-Input'!$B$26-2),AA735,(AA735-MAX(0,W726-IF($A736&gt;='1-Input'!$C$12,'1-Input'!$B$12,0))+X736*(1-'P-Parametri'!$B$6*W736))*(1+'1-Input'!$B$27))</f>
        <v>36178.339405303268</v>
      </c>
      <c r="Z736" s="18">
        <f>IF($A736&gt;('1-Input'!$B$26-2),AB735,(AB735-X736)*(1+'5-Roberta'!$C$4))</f>
        <v>323066.60136830929</v>
      </c>
      <c r="AA736" s="18">
        <f>IF($A736&gt;('1-Input'!$B$26-2),Y736,Y736-'P-Parametri'!$B$8*(Z736+Y736)+MIN(MAX(Z736,0),'P-Parametri'!$B$8*(Z736+Y736)))</f>
        <v>36178.339405303268</v>
      </c>
      <c r="AB736" s="18">
        <f>IF($A736&gt;('1-Input'!$B$26-2),Z736,Z736-MIN(MAX(Z736,0),'P-Parametri'!$B$8*(Z736+Y736)))</f>
        <v>322348.11148676206</v>
      </c>
      <c r="AC736" s="18">
        <f>IF($A736&gt;('1-Input'!$B$26-2),AC735,AC735-X736*(1-W736))</f>
        <v>202956.79977373802</v>
      </c>
      <c r="AD736" s="11">
        <f>IF($A736&gt;('1-Input'!$B$26-2),0,IF(AI735&lt;=0,0,MAX(0,(AI735-AJ735)/AI735)))</f>
        <v>0.35293469040194808</v>
      </c>
      <c r="AE736" s="18">
        <f>IF($A736&gt;('1-Input'!$B$26-2),0,(MAX(0,AD726-IF($A736&gt;='1-Input'!$C$12,'1-Input'!$B$12,0))-MIN(MAX(AH735,0),MAX(0,AD726-IF($A736&gt;='1-Input'!$C$12,'1-Input'!$B$12,0))))*(1/(1-'P-Parametri'!$B$6*AD736))+MIN(MAX(0,AI735-(MAX(0,AD726-IF($A736&gt;='1-Input'!$C$12,'1-Input'!$B$12,0))-MIN(MAX(AH735,0),MAX(0,AD726-IF($A736&gt;='1-Input'!$C$12,'1-Input'!$B$12,0))))*(1/(1-'P-Parametri'!$B$6*AD736))),MAX(0,2*AD726-(AH735-MIN(MAX(AH735,0),MAX(0,AD726-IF($A736&gt;='1-Input'!$C$12,'1-Input'!$B$12,0)))))*(1/(1-'P-Parametri'!$B$6*AD736))))</f>
        <v>20116.750061968938</v>
      </c>
      <c r="AF736" s="18">
        <f>IF($A736&gt;('1-Input'!$B$26-2),AH735,(AH735-MAX(0,AD726-IF($A736&gt;='1-Input'!$C$12,'1-Input'!$B$12,0))+AE736*(1-'P-Parametri'!$B$6*AD736))*(1+'1-Input'!$B$27))</f>
        <v>36149.725057315336</v>
      </c>
      <c r="AG736" s="18">
        <f>IF($A736&gt;('1-Input'!$B$26-2),AI735,(AI735-AE736)*(1+'5-Roberta'!$C$4))</f>
        <v>323244.75427827286</v>
      </c>
      <c r="AH736" s="18">
        <f>IF($A736&gt;('1-Input'!$B$26-2),AF736,AF736-'P-Parametri'!$B$8*(AG736+AF736)+MIN(MAX(AG736,0),'P-Parametri'!$B$8*(AG736+AF736)))</f>
        <v>36149.725057315336</v>
      </c>
      <c r="AI736" s="18">
        <f>IF($A736&gt;('1-Input'!$B$26-2),AG736,AG736-MIN(MAX(AG736,0),'P-Parametri'!$B$8*(AG736+AF736)))</f>
        <v>322525.9653196017</v>
      </c>
      <c r="AJ736" s="18">
        <f>IF($A736&gt;('1-Input'!$B$26-2),AJ735,AJ735-AE736*(1-AD736))</f>
        <v>203068.41456603576</v>
      </c>
      <c r="AK736" s="11">
        <f>IF($A736&gt;('1-Input'!$B$26-2),0,IF(AP735&lt;=0,0,MAX(0,(AP735-AQ735)/AP735)))</f>
        <v>0.35293469544620831</v>
      </c>
      <c r="AL736" s="18">
        <f>IF($A736&gt;('1-Input'!$B$26-2),0,(MAX(0,AK726-IF($A736&gt;='1-Input'!$C$12,'1-Input'!$B$12,0))-MIN(MAX(AO735,0),MAX(0,AK726-IF($A736&gt;='1-Input'!$C$12,'1-Input'!$B$12,0))))*(1/(1-'P-Parametri'!$B$6*AK736))+MIN(MAX(0,AP735-(MAX(0,AK726-IF($A736&gt;='1-Input'!$C$12,'1-Input'!$B$12,0))-MIN(MAX(AO735,0),MAX(0,AK726-IF($A736&gt;='1-Input'!$C$12,'1-Input'!$B$12,0))))*(1/(1-'P-Parametri'!$B$6*AK736))),MAX(0,2*AK726-(AO735-MIN(MAX(AO735,0),MAX(0,AK726-IF($A736&gt;='1-Input'!$C$12,'1-Input'!$B$12,0)))))*(1/(1-'P-Parametri'!$B$6*AK736))))</f>
        <v>20116.667248620466</v>
      </c>
      <c r="AM736" s="18">
        <f>IF($A736&gt;('1-Input'!$B$26-2),AO735,(AO735-MAX(0,AK726-IF($A736&gt;='1-Input'!$C$12,'1-Input'!$B$12,0))+AL736*(1-'P-Parametri'!$B$6*AK736))*(1+'1-Input'!$B$27))</f>
        <v>36149.576189835549</v>
      </c>
      <c r="AN736" s="18">
        <f>IF($A736&gt;('1-Input'!$B$26-2),AP735,(AP735-AL736)*(1+'5-Roberta'!$C$4))</f>
        <v>323245.68112721783</v>
      </c>
      <c r="AO736" s="18">
        <f>IF($A736&gt;('1-Input'!$B$26-2),AM736,AM736-'P-Parametri'!$B$8*(AN736+AM736)+MIN(MAX(AN736,0),'P-Parametri'!$B$8*(AN736+AM736)))</f>
        <v>36149.576189835549</v>
      </c>
      <c r="AP736" s="18">
        <f>IF($A736&gt;('1-Input'!$B$26-2),AN736,AN736-MIN(MAX(AN736,0),'P-Parametri'!$B$8*(AN736+AM736)))</f>
        <v>322526.89061258372</v>
      </c>
      <c r="AQ736" s="18">
        <f>IF($A736&gt;('1-Input'!$B$26-2),AQ735,AQ735-AL736*(1-AK736))</f>
        <v>203068.99524687478</v>
      </c>
    </row>
    <row r="737" spans="1:43">
      <c r="A737" s="10">
        <f>9</f>
        <v>9</v>
      </c>
      <c r="B737" s="11">
        <f>IF($A737&gt;('1-Input'!$B$26-2),0,IF(G736&lt;=0,0,MAX(0,(G736-H736)/G736)))</f>
        <v>0.37049247059928575</v>
      </c>
      <c r="C737" s="18">
        <f>IF($A737&gt;('1-Input'!$B$26-2),0,(MAX(0,B726-IF($A737&gt;='1-Input'!$C$12,'1-Input'!$B$12,0))-MIN(MAX(F736,0),MAX(0,B726-IF($A737&gt;='1-Input'!$C$12,'1-Input'!$B$12,0))))*(1/(1-'P-Parametri'!$B$6*B737))+MIN(MAX(0,G736-(MAX(0,B726-IF($A737&gt;='1-Input'!$C$12,'1-Input'!$B$12,0))-MIN(MAX(F736,0),MAX(0,B726-IF($A737&gt;='1-Input'!$C$12,'1-Input'!$B$12,0))))*(1/(1-'P-Parametri'!$B$6*B737))),MAX(0,2*B726-(F736-MIN(MAX(F736,0),MAX(0,B726-IF($A737&gt;='1-Input'!$C$12,'1-Input'!$B$12,0)))))*(1/(1-'P-Parametri'!$B$6*B737))))</f>
        <v>18592.099456854499</v>
      </c>
      <c r="D737" s="18">
        <f>IF($A737&gt;('1-Input'!$B$26-2),F736,(F736-MAX(0,B726-IF($A737&gt;='1-Input'!$C$12,'1-Input'!$B$12,0))+C737*(1-'P-Parametri'!$B$6*B737))*(1+'1-Input'!$B$27))</f>
        <v>33242.0070309863</v>
      </c>
      <c r="E737" s="18">
        <f>IF($A737&gt;('1-Input'!$B$26-2),G736,(G736-C737)*(1+'5-Roberta'!$C$4))</f>
        <v>331667.37858890794</v>
      </c>
      <c r="F737" s="18">
        <f>IF($A737&gt;('1-Input'!$B$26-2),D737,D737-'P-Parametri'!$B$8*(E737+D737)+MIN(MAX(E737,0),'P-Parametri'!$B$8*(E737+D737)))</f>
        <v>33242.0070309863</v>
      </c>
      <c r="G737" s="18">
        <f>IF($A737&gt;('1-Input'!$B$26-2),E737,E737-MIN(MAX(E737,0),'P-Parametri'!$B$8*(E737+D737)))</f>
        <v>330937.55981766817</v>
      </c>
      <c r="H737" s="18">
        <f>IF($A737&gt;('1-Input'!$B$26-2),H736,H736-C737*(1-B737))</f>
        <v>202705.9340566163</v>
      </c>
      <c r="I737" s="11">
        <f>IF($A737&gt;('1-Input'!$B$26-2),0,IF(N736&lt;=0,0,MAX(0,(N736-O736)/N736)))</f>
        <v>0.37005011332798954</v>
      </c>
      <c r="J737" s="18">
        <f>IF($A737&gt;('1-Input'!$B$26-2),0,(MAX(0,I726-IF($A737&gt;='1-Input'!$C$12,'1-Input'!$B$12,0))-MIN(MAX(M736,0),MAX(0,I726-IF($A737&gt;='1-Input'!$C$12,'1-Input'!$B$12,0))))*(1/(1-'P-Parametri'!$B$6*I737))+MIN(MAX(0,N736-(MAX(0,I726-IF($A737&gt;='1-Input'!$C$12,'1-Input'!$B$12,0))-MIN(MAX(M736,0),MAX(0,I726-IF($A737&gt;='1-Input'!$C$12,'1-Input'!$B$12,0))))*(1/(1-'P-Parametri'!$B$6*I737))),MAX(0,2*I726-(M736-MIN(MAX(M736,0),MAX(0,I726-IF($A737&gt;='1-Input'!$C$12,'1-Input'!$B$12,0)))))*(1/(1-'P-Parametri'!$B$6*I737))))</f>
        <v>24460.175643158884</v>
      </c>
      <c r="K737" s="18">
        <f>IF($A737&gt;('1-Input'!$B$26-2),M736,(M736-MAX(0,I726-IF($A737&gt;='1-Input'!$C$12,'1-Input'!$B$12,0))+J737*(1-'P-Parametri'!$B$6*I737))*(1+'1-Input'!$B$27))</f>
        <v>43739.482935508291</v>
      </c>
      <c r="L737" s="18">
        <f>IF($A737&gt;('1-Input'!$B$26-2),N736,(N736-J737)*(1+'5-Roberta'!$C$4))</f>
        <v>258419.84134294008</v>
      </c>
      <c r="M737" s="18">
        <f>IF($A737&gt;('1-Input'!$B$26-2),K737,K737-'P-Parametri'!$B$8*(L737+K737)+MIN(MAX(L737,0),'P-Parametri'!$B$8*(L737+K737)))</f>
        <v>43739.482935508291</v>
      </c>
      <c r="N737" s="18">
        <f>IF($A737&gt;('1-Input'!$B$26-2),L737,L737-MIN(MAX(L737,0),'P-Parametri'!$B$8*(L737+K737)))</f>
        <v>257815.52269438319</v>
      </c>
      <c r="O737" s="18">
        <f>IF($A737&gt;('1-Input'!$B$26-2),O736,O736-J737*(1-I737))</f>
        <v>158050.04831823689</v>
      </c>
      <c r="P737" s="11">
        <f>IF($A737&gt;('1-Input'!$B$26-2),0,IF(U736&lt;=0,0,MAX(0,(U736-V736)/U736)))</f>
        <v>0.37036211460290713</v>
      </c>
      <c r="Q737" s="18">
        <f>IF($A737&gt;('1-Input'!$B$26-2),0,(MAX(0,P726-IF($A737&gt;='1-Input'!$C$12,'1-Input'!$B$12,0))-MIN(MAX(T736,0),MAX(0,P726-IF($A737&gt;='1-Input'!$C$12,'1-Input'!$B$12,0))))*(1/(1-'P-Parametri'!$B$6*P737))+MIN(MAX(0,U736-(MAX(0,P726-IF($A737&gt;='1-Input'!$C$12,'1-Input'!$B$12,0))-MIN(MAX(T736,0),MAX(0,P726-IF($A737&gt;='1-Input'!$C$12,'1-Input'!$B$12,0))))*(1/(1-'P-Parametri'!$B$6*P737))),MAX(0,2*P726-(T736-MIN(MAX(T736,0),MAX(0,P726-IF($A737&gt;='1-Input'!$C$12,'1-Input'!$B$12,0)))))*(1/(1-'P-Parametri'!$B$6*P737))))</f>
        <v>20485.513884283671</v>
      </c>
      <c r="R737" s="18">
        <f>IF($A737&gt;('1-Input'!$B$26-2),T736,(T736-MAX(0,P726-IF($A737&gt;='1-Input'!$C$12,'1-Input'!$B$12,0))+Q737*(1-'P-Parametri'!$B$6*P737))*(1+'1-Input'!$B$27))</f>
        <v>36628.737843878102</v>
      </c>
      <c r="S737" s="18">
        <f>IF($A737&gt;('1-Input'!$B$26-2),U736,(U736-Q737)*(1+'5-Roberta'!$C$4))</f>
        <v>308035.02495291957</v>
      </c>
      <c r="T737" s="18">
        <f>IF($A737&gt;('1-Input'!$B$26-2),R737,R737-'P-Parametri'!$B$8*(S737+R737)+MIN(MAX(S737,0),'P-Parametri'!$B$8*(S737+R737)))</f>
        <v>36628.737843878102</v>
      </c>
      <c r="U737" s="18">
        <f>IF($A737&gt;('1-Input'!$B$26-2),S737,S737-MIN(MAX(S737,0),'P-Parametri'!$B$8*(S737+R737)))</f>
        <v>307345.697427326</v>
      </c>
      <c r="V737" s="18">
        <f>IF($A737&gt;('1-Input'!$B$26-2),V736,V736-Q737*(1-P737))</f>
        <v>188301.47741708448</v>
      </c>
      <c r="W737" s="11">
        <f>IF($A737&gt;('1-Input'!$B$26-2),0,IF(AB736&lt;=0,0,MAX(0,(AB736-AC736)/AB736)))</f>
        <v>0.37038005640038352</v>
      </c>
      <c r="X737" s="18">
        <f>IF($A737&gt;('1-Input'!$B$26-2),0,(MAX(0,W726-IF($A737&gt;='1-Input'!$C$12,'1-Input'!$B$12,0))-MIN(MAX(AA736,0),MAX(0,W726-IF($A737&gt;='1-Input'!$C$12,'1-Input'!$B$12,0))))*(1/(1-'P-Parametri'!$B$6*W737))+MIN(MAX(0,AB736-(MAX(0,W726-IF($A737&gt;='1-Input'!$C$12,'1-Input'!$B$12,0))-MIN(MAX(AA736,0),MAX(0,W726-IF($A737&gt;='1-Input'!$C$12,'1-Input'!$B$12,0))))*(1/(1-'P-Parametri'!$B$6*W737))),MAX(0,2*W726-(AA736-MIN(MAX(AA736,0),MAX(0,W726-IF($A737&gt;='1-Input'!$C$12,'1-Input'!$B$12,0)))))*(1/(1-'P-Parametri'!$B$6*W737))))</f>
        <v>20233.722031264675</v>
      </c>
      <c r="Y737" s="18">
        <f>IF($A737&gt;('1-Input'!$B$26-2),AA736,(AA736-MAX(0,W726-IF($A737&gt;='1-Input'!$C$12,'1-Input'!$B$12,0))+X737*(1-'P-Parametri'!$B$6*W737))*(1+'1-Input'!$B$27))</f>
        <v>36178.339405303268</v>
      </c>
      <c r="Z737" s="18">
        <f>IF($A737&gt;('1-Input'!$B$26-2),AB736,(AB736-X737)*(1+'5-Roberta'!$C$4))</f>
        <v>311177.82113916229</v>
      </c>
      <c r="AA737" s="18">
        <f>IF($A737&gt;('1-Input'!$B$26-2),Y737,Y737-'P-Parametri'!$B$8*(Z737+Y737)+MIN(MAX(Z737,0),'P-Parametri'!$B$8*(Z737+Y737)))</f>
        <v>36178.339405303268</v>
      </c>
      <c r="AB737" s="18">
        <f>IF($A737&gt;('1-Input'!$B$26-2),Z737,Z737-MIN(MAX(Z737,0),'P-Parametri'!$B$8*(Z737+Y737)))</f>
        <v>310483.10881807335</v>
      </c>
      <c r="AC737" s="18">
        <f>IF($A737&gt;('1-Input'!$B$26-2),AC736,AC736-X737*(1-W737))</f>
        <v>190217.24484960284</v>
      </c>
      <c r="AD737" s="11">
        <f>IF($A737&gt;('1-Input'!$B$26-2),0,IF(AI736&lt;=0,0,MAX(0,(AI736-AJ736)/AI736)))</f>
        <v>0.37038118972899275</v>
      </c>
      <c r="AE737" s="18">
        <f>IF($A737&gt;('1-Input'!$B$26-2),0,(MAX(0,AD726-IF($A737&gt;='1-Input'!$C$12,'1-Input'!$B$12,0))-MIN(MAX(AH736,0),MAX(0,AD726-IF($A737&gt;='1-Input'!$C$12,'1-Input'!$B$12,0))))*(1/(1-'P-Parametri'!$B$6*AD737))+MIN(MAX(0,AI736-(MAX(0,AD726-IF($A737&gt;='1-Input'!$C$12,'1-Input'!$B$12,0))-MIN(MAX(AH736,0),MAX(0,AD726-IF($A737&gt;='1-Input'!$C$12,'1-Input'!$B$12,0))))*(1/(1-'P-Parametri'!$B$6*AD737))),MAX(0,2*AD726-(AH736-MIN(MAX(AH736,0),MAX(0,AD726-IF($A737&gt;='1-Input'!$C$12,'1-Input'!$B$12,0)))))*(1/(1-'P-Parametri'!$B$6*AD737))))</f>
        <v>20217.725269817976</v>
      </c>
      <c r="AF737" s="18">
        <f>IF($A737&gt;('1-Input'!$B$26-2),AH736,(AH736-MAX(0,AD726-IF($A737&gt;='1-Input'!$C$12,'1-Input'!$B$12,0))+AE737*(1-'P-Parametri'!$B$6*AD737))*(1+'1-Input'!$B$27))</f>
        <v>36149.725057315343</v>
      </c>
      <c r="AG737" s="18">
        <f>IF($A737&gt;('1-Input'!$B$26-2),AI736,(AI736-AE737)*(1+'5-Roberta'!$C$4))</f>
        <v>311377.48725127726</v>
      </c>
      <c r="AH737" s="18">
        <f>IF($A737&gt;('1-Input'!$B$26-2),AF737,AF737-'P-Parametri'!$B$8*(AG737+AF737)+MIN(MAX(AG737,0),'P-Parametri'!$B$8*(AG737+AF737)))</f>
        <v>36149.725057315343</v>
      </c>
      <c r="AI737" s="18">
        <f>IF($A737&gt;('1-Input'!$B$26-2),AG737,AG737-MIN(MAX(AG737,0),'P-Parametri'!$B$8*(AG737+AF737)))</f>
        <v>310682.43282666005</v>
      </c>
      <c r="AJ737" s="18">
        <f>IF($A737&gt;('1-Input'!$B$26-2),AJ736,AJ736-AE737*(1-AD737))</f>
        <v>190338.9544352669</v>
      </c>
      <c r="AK737" s="11">
        <f>IF($A737&gt;('1-Input'!$B$26-2),0,IF(AP736&lt;=0,0,MAX(0,(AP736-AQ736)/AP736)))</f>
        <v>0.37038119562316013</v>
      </c>
      <c r="AL737" s="18">
        <f>IF($A737&gt;('1-Input'!$B$26-2),0,(MAX(0,AK726-IF($A737&gt;='1-Input'!$C$12,'1-Input'!$B$12,0))-MIN(MAX(AO736,0),MAX(0,AK726-IF($A737&gt;='1-Input'!$C$12,'1-Input'!$B$12,0))))*(1/(1-'P-Parametri'!$B$6*AK737))+MIN(MAX(0,AP736-(MAX(0,AK726-IF($A737&gt;='1-Input'!$C$12,'1-Input'!$B$12,0))-MIN(MAX(AO736,0),MAX(0,AK726-IF($A737&gt;='1-Input'!$C$12,'1-Input'!$B$12,0))))*(1/(1-'P-Parametri'!$B$6*AK737))),MAX(0,2*AK726-(AO736-MIN(MAX(AO736,0),MAX(0,AK726-IF($A737&gt;='1-Input'!$C$12,'1-Input'!$B$12,0)))))*(1/(1-'P-Parametri'!$B$6*AK737))))</f>
        <v>20217.642045881494</v>
      </c>
      <c r="AM737" s="18">
        <f>IF($A737&gt;('1-Input'!$B$26-2),AO736,(AO736-MAX(0,AK726-IF($A737&gt;='1-Input'!$C$12,'1-Input'!$B$12,0))+AL737*(1-'P-Parametri'!$B$6*AK737))*(1+'1-Input'!$B$27))</f>
        <v>36149.576189835549</v>
      </c>
      <c r="AN737" s="18">
        <f>IF($A737&gt;('1-Input'!$B$26-2),AP736,(AP736-AL737)*(1+'5-Roberta'!$C$4))</f>
        <v>311378.52602370334</v>
      </c>
      <c r="AO737" s="18">
        <f>IF($A737&gt;('1-Input'!$B$26-2),AM737,AM737-'P-Parametri'!$B$8*(AN737+AM737)+MIN(MAX(AN737,0),'P-Parametri'!$B$8*(AN737+AM737)))</f>
        <v>36149.576189835549</v>
      </c>
      <c r="AP737" s="18">
        <f>IF($A737&gt;('1-Input'!$B$26-2),AN737,AN737-MIN(MAX(AN737,0),'P-Parametri'!$B$8*(AN737+AM737)))</f>
        <v>310683.46981927624</v>
      </c>
      <c r="AQ737" s="18">
        <f>IF($A737&gt;('1-Input'!$B$26-2),AQ736,AQ736-AL737*(1-AK737))</f>
        <v>190339.58763462794</v>
      </c>
    </row>
    <row r="738" spans="1:43">
      <c r="A738" s="10">
        <f>10</f>
        <v>10</v>
      </c>
      <c r="B738" s="11">
        <f>IF($A738&gt;('1-Input'!$B$26-2),0,IF(G737&lt;=0,0,MAX(0,(G737-H737)/G737)))</f>
        <v>0.38747981894742251</v>
      </c>
      <c r="C738" s="18">
        <f>IF($A738&gt;('1-Input'!$B$26-2),0,(MAX(0,B726-IF($A738&gt;='1-Input'!$C$12,'1-Input'!$B$12,0))-MIN(MAX(F737,0),MAX(0,B726-IF($A738&gt;='1-Input'!$C$12,'1-Input'!$B$12,0))))*(1/(1-'P-Parametri'!$B$6*B738))+MIN(MAX(0,G737-(MAX(0,B726-IF($A738&gt;='1-Input'!$C$12,'1-Input'!$B$12,0))-MIN(MAX(F737,0),MAX(0,B726-IF($A738&gt;='1-Input'!$C$12,'1-Input'!$B$12,0))))*(1/(1-'P-Parametri'!$B$6*B738))),MAX(0,2*B726-(F737-MIN(MAX(F737,0),MAX(0,B726-IF($A738&gt;='1-Input'!$C$12,'1-Input'!$B$12,0)))))*(1/(1-'P-Parametri'!$B$6*B738))))</f>
        <v>18683.414934263597</v>
      </c>
      <c r="D738" s="18">
        <f>IF($A738&gt;('1-Input'!$B$26-2),F737,(F737-MAX(0,B726-IF($A738&gt;='1-Input'!$C$12,'1-Input'!$B$12,0))+C738*(1-'P-Parametri'!$B$6*B738))*(1+'1-Input'!$B$27))</f>
        <v>33242.0070309863</v>
      </c>
      <c r="E738" s="18">
        <f>IF($A738&gt;('1-Input'!$B$26-2),G737,(G737-C738)*(1+'5-Roberta'!$C$4))</f>
        <v>321621.76922990667</v>
      </c>
      <c r="F738" s="18">
        <f>IF($A738&gt;('1-Input'!$B$26-2),D738,D738-'P-Parametri'!$B$8*(E738+D738)+MIN(MAX(E738,0),'P-Parametri'!$B$8*(E738+D738)))</f>
        <v>33242.0070309863</v>
      </c>
      <c r="G738" s="18">
        <f>IF($A738&gt;('1-Input'!$B$26-2),E738,E738-MIN(MAX(E738,0),'P-Parametri'!$B$8*(E738+D738)))</f>
        <v>320912.04167738487</v>
      </c>
      <c r="H738" s="18">
        <f>IF($A738&gt;('1-Input'!$B$26-2),H737,H737-C738*(1-B738))</f>
        <v>191261.96535840072</v>
      </c>
      <c r="I738" s="11">
        <f>IF($A738&gt;('1-Input'!$B$26-2),0,IF(N737&lt;=0,0,MAX(0,(N737-O737)/N737)))</f>
        <v>0.38696457580798649</v>
      </c>
      <c r="J738" s="18">
        <f>IF($A738&gt;('1-Input'!$B$26-2),0,(MAX(0,I726-IF($A738&gt;='1-Input'!$C$12,'1-Input'!$B$12,0))-MIN(MAX(M737,0),MAX(0,I726-IF($A738&gt;='1-Input'!$C$12,'1-Input'!$B$12,0))))*(1/(1-'P-Parametri'!$B$6*I738))+MIN(MAX(0,N737-(MAX(0,I726-IF($A738&gt;='1-Input'!$C$12,'1-Input'!$B$12,0))-MIN(MAX(M737,0),MAX(0,I726-IF($A738&gt;='1-Input'!$C$12,'1-Input'!$B$12,0))))*(1/(1-'P-Parametri'!$B$6*I738))),MAX(0,2*I726-(M737-MIN(MAX(M737,0),MAX(0,I726-IF($A738&gt;='1-Input'!$C$12,'1-Input'!$B$12,0)))))*(1/(1-'P-Parametri'!$B$6*I738))))</f>
        <v>24579.779021533435</v>
      </c>
      <c r="K738" s="18">
        <f>IF($A738&gt;('1-Input'!$B$26-2),M737,(M737-MAX(0,I726-IF($A738&gt;='1-Input'!$C$12,'1-Input'!$B$12,0))+J738*(1-'P-Parametri'!$B$6*I738))*(1+'1-Input'!$B$27))</f>
        <v>43739.482935508291</v>
      </c>
      <c r="L738" s="18">
        <f>IF($A738&gt;('1-Input'!$B$26-2),N737,(N737-J738)*(1+'5-Roberta'!$C$4))</f>
        <v>240232.81598303525</v>
      </c>
      <c r="M738" s="18">
        <f>IF($A738&gt;('1-Input'!$B$26-2),K738,K738-'P-Parametri'!$B$8*(L738+K738)+MIN(MAX(L738,0),'P-Parametri'!$B$8*(L738+K738)))</f>
        <v>43739.482935508291</v>
      </c>
      <c r="N738" s="18">
        <f>IF($A738&gt;('1-Input'!$B$26-2),L738,L738-MIN(MAX(L738,0),'P-Parametri'!$B$8*(L738+K738)))</f>
        <v>239664.87138519817</v>
      </c>
      <c r="O738" s="18">
        <f>IF($A738&gt;('1-Input'!$B$26-2),O737,O737-J738*(1-I738))</f>
        <v>142981.77305922518</v>
      </c>
      <c r="P738" s="11">
        <f>IF($A738&gt;('1-Input'!$B$26-2),0,IF(U737&lt;=0,0,MAX(0,(U737-V737)/U737)))</f>
        <v>0.38733003587398629</v>
      </c>
      <c r="Q738" s="18">
        <f>IF($A738&gt;('1-Input'!$B$26-2),0,(MAX(0,P726-IF($A738&gt;='1-Input'!$C$12,'1-Input'!$B$12,0))-MIN(MAX(T737,0),MAX(0,P726-IF($A738&gt;='1-Input'!$C$12,'1-Input'!$B$12,0))))*(1/(1-'P-Parametri'!$B$6*P738))+MIN(MAX(0,U737-(MAX(0,P726-IF($A738&gt;='1-Input'!$C$12,'1-Input'!$B$12,0))-MIN(MAX(T737,0),MAX(0,P726-IF($A738&gt;='1-Input'!$C$12,'1-Input'!$B$12,0))))*(1/(1-'P-Parametri'!$B$6*P738))),MAX(0,2*P726-(T737-MIN(MAX(T737,0),MAX(0,P726-IF($A738&gt;='1-Input'!$C$12,'1-Input'!$B$12,0)))))*(1/(1-'P-Parametri'!$B$6*P738))))</f>
        <v>20586.009487949013</v>
      </c>
      <c r="R738" s="18">
        <f>IF($A738&gt;('1-Input'!$B$26-2),T737,(T737-MAX(0,P726-IF($A738&gt;='1-Input'!$C$12,'1-Input'!$B$12,0))+Q738*(1-'P-Parametri'!$B$6*P738))*(1+'1-Input'!$B$27))</f>
        <v>36628.737843878109</v>
      </c>
      <c r="S738" s="18">
        <f>IF($A738&gt;('1-Input'!$B$26-2),U737,(U737-Q738)*(1+'5-Roberta'!$C$4))</f>
        <v>295362.4785775583</v>
      </c>
      <c r="T738" s="18">
        <f>IF($A738&gt;('1-Input'!$B$26-2),R738,R738-'P-Parametri'!$B$8*(S738+R738)+MIN(MAX(S738,0),'P-Parametri'!$B$8*(S738+R738)))</f>
        <v>36628.737843878109</v>
      </c>
      <c r="U738" s="18">
        <f>IF($A738&gt;('1-Input'!$B$26-2),S738,S738-MIN(MAX(S738,0),'P-Parametri'!$B$8*(S738+R738)))</f>
        <v>294698.49614471541</v>
      </c>
      <c r="V738" s="18">
        <f>IF($A738&gt;('1-Input'!$B$26-2),V737,V737-Q738*(1-P738))</f>
        <v>175689.04772260497</v>
      </c>
      <c r="W738" s="11">
        <f>IF($A738&gt;('1-Input'!$B$26-2),0,IF(AB737&lt;=0,0,MAX(0,(AB737-AC737)/AB737)))</f>
        <v>0.38735074647471379</v>
      </c>
      <c r="X738" s="18">
        <f>IF($A738&gt;('1-Input'!$B$26-2),0,(MAX(0,W726-IF($A738&gt;='1-Input'!$C$12,'1-Input'!$B$12,0))-MIN(MAX(AA737,0),MAX(0,W726-IF($A738&gt;='1-Input'!$C$12,'1-Input'!$B$12,0))))*(1/(1-'P-Parametri'!$B$6*W738))+MIN(MAX(0,AB737-(MAX(0,W726-IF($A738&gt;='1-Input'!$C$12,'1-Input'!$B$12,0))-MIN(MAX(AA737,0),MAX(0,W726-IF($A738&gt;='1-Input'!$C$12,'1-Input'!$B$12,0))))*(1/(1-'P-Parametri'!$B$6*W738))),MAX(0,2*W726-(AA737-MIN(MAX(AA737,0),MAX(0,W726-IF($A738&gt;='1-Input'!$C$12,'1-Input'!$B$12,0)))))*(1/(1-'P-Parametri'!$B$6*W738))))</f>
        <v>20332.999213499941</v>
      </c>
      <c r="Y738" s="18">
        <f>IF($A738&gt;('1-Input'!$B$26-2),AA737,(AA737-MAX(0,W726-IF($A738&gt;='1-Input'!$C$12,'1-Input'!$B$12,0))+X738*(1-'P-Parametri'!$B$6*W738))*(1+'1-Input'!$B$27))</f>
        <v>36178.339405303275</v>
      </c>
      <c r="Z738" s="18">
        <f>IF($A738&gt;('1-Input'!$B$26-2),AB737,(AB737-X738)*(1+'5-Roberta'!$C$4))</f>
        <v>298854.6128927106</v>
      </c>
      <c r="AA738" s="18">
        <f>IF($A738&gt;('1-Input'!$B$26-2),Y738,Y738-'P-Parametri'!$B$8*(Z738+Y738)+MIN(MAX(Z738,0),'P-Parametri'!$B$8*(Z738+Y738)))</f>
        <v>36178.339405303275</v>
      </c>
      <c r="AB738" s="18">
        <f>IF($A738&gt;('1-Input'!$B$26-2),Z738,Z738-MIN(MAX(Z738,0),'P-Parametri'!$B$8*(Z738+Y738)))</f>
        <v>298184.5469881146</v>
      </c>
      <c r="AC738" s="18">
        <f>IF($A738&gt;('1-Input'!$B$26-2),AC737,AC737-X738*(1-W738))</f>
        <v>177760.24805952187</v>
      </c>
      <c r="AD738" s="11">
        <f>IF($A738&gt;('1-Input'!$B$26-2),0,IF(AI737&lt;=0,0,MAX(0,(AI737-AJ737)/AI737)))</f>
        <v>0.38735205365968256</v>
      </c>
      <c r="AE738" s="18">
        <f>IF($A738&gt;('1-Input'!$B$26-2),0,(MAX(0,AD726-IF($A738&gt;='1-Input'!$C$12,'1-Input'!$B$12,0))-MIN(MAX(AH737,0),MAX(0,AD726-IF($A738&gt;='1-Input'!$C$12,'1-Input'!$B$12,0))))*(1/(1-'P-Parametri'!$B$6*AD738))+MIN(MAX(0,AI737-(MAX(0,AD726-IF($A738&gt;='1-Input'!$C$12,'1-Input'!$B$12,0))-MIN(MAX(AH737,0),MAX(0,AD726-IF($A738&gt;='1-Input'!$C$12,'1-Input'!$B$12,0))))*(1/(1-'P-Parametri'!$B$6*AD738))),MAX(0,2*AD726-(AH737-MIN(MAX(AH737,0),MAX(0,AD726-IF($A738&gt;='1-Input'!$C$12,'1-Input'!$B$12,0)))))*(1/(1-'P-Parametri'!$B$6*AD738))))</f>
        <v>20316.925017339414</v>
      </c>
      <c r="AF738" s="18">
        <f>IF($A738&gt;('1-Input'!$B$26-2),AH737,(AH737-MAX(0,AD726-IF($A738&gt;='1-Input'!$C$12,'1-Input'!$B$12,0))+AE738*(1-'P-Parametri'!$B$6*AD738))*(1+'1-Input'!$B$27))</f>
        <v>36149.725057315343</v>
      </c>
      <c r="AG738" s="18">
        <f>IF($A738&gt;('1-Input'!$B$26-2),AI737,(AI737-AE738)*(1+'5-Roberta'!$C$4))</f>
        <v>299076.47304360027</v>
      </c>
      <c r="AH738" s="18">
        <f>IF($A738&gt;('1-Input'!$B$26-2),AF738,AF738-'P-Parametri'!$B$8*(AG738+AF738)+MIN(MAX(AG738,0),'P-Parametri'!$B$8*(AG738+AF738)))</f>
        <v>36149.725057315343</v>
      </c>
      <c r="AI738" s="18">
        <f>IF($A738&gt;('1-Input'!$B$26-2),AG738,AG738-MIN(MAX(AG738,0),'P-Parametri'!$B$8*(AG738+AF738)))</f>
        <v>298406.02064739843</v>
      </c>
      <c r="AJ738" s="18">
        <f>IF($A738&gt;('1-Input'!$B$26-2),AJ737,AJ737-AE738*(1-AD738))</f>
        <v>177891.83204744369</v>
      </c>
      <c r="AK738" s="11">
        <f>IF($A738&gt;('1-Input'!$B$26-2),0,IF(AP737&lt;=0,0,MAX(0,(AP737-AQ737)/AP737)))</f>
        <v>0.38735206045771287</v>
      </c>
      <c r="AL738" s="18">
        <f>IF($A738&gt;('1-Input'!$B$26-2),0,(MAX(0,AK726-IF($A738&gt;='1-Input'!$C$12,'1-Input'!$B$12,0))-MIN(MAX(AO737,0),MAX(0,AK726-IF($A738&gt;='1-Input'!$C$12,'1-Input'!$B$12,0))))*(1/(1-'P-Parametri'!$B$6*AK738))+MIN(MAX(0,AP737-(MAX(0,AK726-IF($A738&gt;='1-Input'!$C$12,'1-Input'!$B$12,0))-MIN(MAX(AO737,0),MAX(0,AK726-IF($A738&gt;='1-Input'!$C$12,'1-Input'!$B$12,0))))*(1/(1-'P-Parametri'!$B$6*AK738))),MAX(0,2*AK726-(AO737-MIN(MAX(AO737,0),MAX(0,AK726-IF($A738&gt;='1-Input'!$C$12,'1-Input'!$B$12,0)))))*(1/(1-'P-Parametri'!$B$6*AK738))))</f>
        <v>20316.841390536902</v>
      </c>
      <c r="AM738" s="18">
        <f>IF($A738&gt;('1-Input'!$B$26-2),AO737,(AO737-MAX(0,AK726-IF($A738&gt;='1-Input'!$C$12,'1-Input'!$B$12,0))+AL738*(1-'P-Parametri'!$B$6*AK738))*(1+'1-Input'!$B$27))</f>
        <v>36149.576189835549</v>
      </c>
      <c r="AN738" s="18">
        <f>IF($A738&gt;('1-Input'!$B$26-2),AP737,(AP737-AL738)*(1+'5-Roberta'!$C$4))</f>
        <v>299077.62728160148</v>
      </c>
      <c r="AO738" s="18">
        <f>IF($A738&gt;('1-Input'!$B$26-2),AM738,AM738-'P-Parametri'!$B$8*(AN738+AM738)+MIN(MAX(AN738,0),'P-Parametri'!$B$8*(AN738+AM738)))</f>
        <v>36149.576189835549</v>
      </c>
      <c r="AP738" s="18">
        <f>IF($A738&gt;('1-Input'!$B$26-2),AN738,AN738-MIN(MAX(AN738,0),'P-Parametri'!$B$8*(AN738+AM738)))</f>
        <v>298407.1728746586</v>
      </c>
      <c r="AQ738" s="18">
        <f>IF($A738&gt;('1-Input'!$B$26-2),AQ737,AQ737-AL738*(1-AK738))</f>
        <v>177892.51661870806</v>
      </c>
    </row>
    <row r="739" spans="1:43">
      <c r="A739" s="10">
        <f>11</f>
        <v>11</v>
      </c>
      <c r="B739" s="11">
        <f>IF($A739&gt;('1-Input'!$B$26-2),0,IF(G738&lt;=0,0,MAX(0,(G738-H738)/G738)))</f>
        <v>0.40400502156700707</v>
      </c>
      <c r="C739" s="18">
        <f>IF($A739&gt;('1-Input'!$B$26-2),0,(MAX(0,B726-IF($A739&gt;='1-Input'!$C$12,'1-Input'!$B$12,0))-MIN(MAX(F738,0),MAX(0,B726-IF($A739&gt;='1-Input'!$C$12,'1-Input'!$B$12,0))))*(1/(1-'P-Parametri'!$B$6*B739))+MIN(MAX(0,G738-(MAX(0,B726-IF($A739&gt;='1-Input'!$C$12,'1-Input'!$B$12,0))-MIN(MAX(F738,0),MAX(0,B726-IF($A739&gt;='1-Input'!$C$12,'1-Input'!$B$12,0))))*(1/(1-'P-Parametri'!$B$6*B739))),MAX(0,2*B726-(F738-MIN(MAX(F738,0),MAX(0,B726-IF($A739&gt;='1-Input'!$C$12,'1-Input'!$B$12,0)))))*(1/(1-'P-Parametri'!$B$6*B739))))</f>
        <v>18773.111002954505</v>
      </c>
      <c r="D739" s="18">
        <f>IF($A739&gt;('1-Input'!$B$26-2),F738,(F738-MAX(0,B726-IF($A739&gt;='1-Input'!$C$12,'1-Input'!$B$12,0))+C739*(1-'P-Parametri'!$B$6*B739))*(1+'1-Input'!$B$27))</f>
        <v>33242.0070309863</v>
      </c>
      <c r="E739" s="18">
        <f>IF($A739&gt;('1-Input'!$B$26-2),G738,(G738-C739)*(1+'5-Roberta'!$C$4))</f>
        <v>311203.09859466332</v>
      </c>
      <c r="F739" s="18">
        <f>IF($A739&gt;('1-Input'!$B$26-2),D739,D739-'P-Parametri'!$B$8*(E739+D739)+MIN(MAX(E739,0),'P-Parametri'!$B$8*(E739+D739)))</f>
        <v>33242.0070309863</v>
      </c>
      <c r="G739" s="18">
        <f>IF($A739&gt;('1-Input'!$B$26-2),E739,E739-MIN(MAX(E739,0),'P-Parametri'!$B$8*(E739+D739)))</f>
        <v>310514.20838341204</v>
      </c>
      <c r="H739" s="18">
        <f>IF($A739&gt;('1-Input'!$B$26-2),H738,H738-C739*(1-B739))</f>
        <v>180073.28547107466</v>
      </c>
      <c r="I739" s="11">
        <f>IF($A739&gt;('1-Input'!$B$26-2),0,IF(N738&lt;=0,0,MAX(0,(N738-O738)/N738)))</f>
        <v>0.4034095517093132</v>
      </c>
      <c r="J739" s="18">
        <f>IF($A739&gt;('1-Input'!$B$26-2),0,(MAX(0,I726-IF($A739&gt;='1-Input'!$C$12,'1-Input'!$B$12,0))-MIN(MAX(M738,0),MAX(0,I726-IF($A739&gt;='1-Input'!$C$12,'1-Input'!$B$12,0))))*(1/(1-'P-Parametri'!$B$6*I739))+MIN(MAX(0,N738-(MAX(0,I726-IF($A739&gt;='1-Input'!$C$12,'1-Input'!$B$12,0))-MIN(MAX(M738,0),MAX(0,I726-IF($A739&gt;='1-Input'!$C$12,'1-Input'!$B$12,0))))*(1/(1-'P-Parametri'!$B$6*I739))),MAX(0,2*I726-(M738-MIN(MAX(M738,0),MAX(0,I726-IF($A739&gt;='1-Input'!$C$12,'1-Input'!$B$12,0)))))*(1/(1-'P-Parametri'!$B$6*I739))))</f>
        <v>24697.189389280269</v>
      </c>
      <c r="K739" s="18">
        <f>IF($A739&gt;('1-Input'!$B$26-2),M738,(M738-MAX(0,I726-IF($A739&gt;='1-Input'!$C$12,'1-Input'!$B$12,0))+J739*(1-'P-Parametri'!$B$6*I739))*(1+'1-Input'!$B$27))</f>
        <v>43739.482935508291</v>
      </c>
      <c r="L739" s="18">
        <f>IF($A739&gt;('1-Input'!$B$26-2),N738,(N738-J739)*(1+'5-Roberta'!$C$4))</f>
        <v>221416.71245579544</v>
      </c>
      <c r="M739" s="18">
        <f>IF($A739&gt;('1-Input'!$B$26-2),K739,K739-'P-Parametri'!$B$8*(L739+K739)+MIN(MAX(L739,0),'P-Parametri'!$B$8*(L739+K739)))</f>
        <v>43739.482935508291</v>
      </c>
      <c r="N739" s="18">
        <f>IF($A739&gt;('1-Input'!$B$26-2),L739,L739-MIN(MAX(L739,0),'P-Parametri'!$B$8*(L739+K739)))</f>
        <v>220886.40006501283</v>
      </c>
      <c r="O739" s="18">
        <f>IF($A739&gt;('1-Input'!$B$26-2),O738,O738-J739*(1-I739))</f>
        <v>128247.66576995447</v>
      </c>
      <c r="P739" s="11">
        <f>IF($A739&gt;('1-Input'!$B$26-2),0,IF(U738&lt;=0,0,MAX(0,(U738-V738)/U738)))</f>
        <v>0.40383459698304447</v>
      </c>
      <c r="Q739" s="18">
        <f>IF($A739&gt;('1-Input'!$B$26-2),0,(MAX(0,P726-IF($A739&gt;='1-Input'!$C$12,'1-Input'!$B$12,0))-MIN(MAX(T738,0),MAX(0,P726-IF($A739&gt;='1-Input'!$C$12,'1-Input'!$B$12,0))))*(1/(1-'P-Parametri'!$B$6*P739))+MIN(MAX(0,U738-(MAX(0,P726-IF($A739&gt;='1-Input'!$C$12,'1-Input'!$B$12,0))-MIN(MAX(T738,0),MAX(0,P726-IF($A739&gt;='1-Input'!$C$12,'1-Input'!$B$12,0))))*(1/(1-'P-Parametri'!$B$6*P739))),MAX(0,2*P726-(T738-MIN(MAX(T738,0),MAX(0,P726-IF($A739&gt;='1-Input'!$C$12,'1-Input'!$B$12,0)))))*(1/(1-'P-Parametri'!$B$6*P739))))</f>
        <v>20684.711272121796</v>
      </c>
      <c r="R739" s="18">
        <f>IF($A739&gt;('1-Input'!$B$26-2),T738,(T738-MAX(0,P726-IF($A739&gt;='1-Input'!$C$12,'1-Input'!$B$12,0))+Q739*(1-'P-Parametri'!$B$6*P739))*(1+'1-Input'!$B$27))</f>
        <v>36628.737843878102</v>
      </c>
      <c r="S739" s="18">
        <f>IF($A739&gt;('1-Input'!$B$26-2),U738,(U738-Q739)*(1+'5-Roberta'!$C$4))</f>
        <v>282234.19841877138</v>
      </c>
      <c r="T739" s="18">
        <f>IF($A739&gt;('1-Input'!$B$26-2),R739,R739-'P-Parametri'!$B$8*(S739+R739)+MIN(MAX(S739,0),'P-Parametri'!$B$8*(S739+R739)))</f>
        <v>36628.737843878102</v>
      </c>
      <c r="U739" s="18">
        <f>IF($A739&gt;('1-Input'!$B$26-2),S739,S739-MIN(MAX(S739,0),'P-Parametri'!$B$8*(S739+R739)))</f>
        <v>281596.47254624608</v>
      </c>
      <c r="V739" s="18">
        <f>IF($A739&gt;('1-Input'!$B$26-2),V738,V738-Q739*(1-P739))</f>
        <v>163357.53849077111</v>
      </c>
      <c r="W739" s="11">
        <f>IF($A739&gt;('1-Input'!$B$26-2),0,IF(AB738&lt;=0,0,MAX(0,(AB738-AC738)/AB738)))</f>
        <v>0.40385828221136072</v>
      </c>
      <c r="X739" s="18">
        <f>IF($A739&gt;('1-Input'!$B$26-2),0,(MAX(0,W726-IF($A739&gt;='1-Input'!$C$12,'1-Input'!$B$12,0))-MIN(MAX(AA738,0),MAX(0,W726-IF($A739&gt;='1-Input'!$C$12,'1-Input'!$B$12,0))))*(1/(1-'P-Parametri'!$B$6*W739))+MIN(MAX(0,AB738-(MAX(0,W726-IF($A739&gt;='1-Input'!$C$12,'1-Input'!$B$12,0))-MIN(MAX(AA738,0),MAX(0,W726-IF($A739&gt;='1-Input'!$C$12,'1-Input'!$B$12,0))))*(1/(1-'P-Parametri'!$B$6*W739))),MAX(0,2*W726-(AA738-MIN(MAX(AA738,0),MAX(0,W726-IF($A739&gt;='1-Input'!$C$12,'1-Input'!$B$12,0)))))*(1/(1-'P-Parametri'!$B$6*W739))))</f>
        <v>20430.506154701005</v>
      </c>
      <c r="Y739" s="18">
        <f>IF($A739&gt;('1-Input'!$B$26-2),AA738,(AA738-MAX(0,W726-IF($A739&gt;='1-Input'!$C$12,'1-Input'!$B$12,0))+X739*(1-'P-Parametri'!$B$6*W739))*(1+'1-Input'!$B$27))</f>
        <v>36178.339405303261</v>
      </c>
      <c r="Z739" s="18">
        <f>IF($A739&gt;('1-Input'!$B$26-2),AB738,(AB738-X739)*(1+'5-Roberta'!$C$4))</f>
        <v>286086.662058416</v>
      </c>
      <c r="AA739" s="18">
        <f>IF($A739&gt;('1-Input'!$B$26-2),Y739,Y739-'P-Parametri'!$B$8*(Z739+Y739)+MIN(MAX(Z739,0),'P-Parametri'!$B$8*(Z739+Y739)))</f>
        <v>36178.339405303261</v>
      </c>
      <c r="AB739" s="18">
        <f>IF($A739&gt;('1-Input'!$B$26-2),Z739,Z739-MIN(MAX(Z739,0),'P-Parametri'!$B$8*(Z739+Y739)))</f>
        <v>285442.13205548853</v>
      </c>
      <c r="AC739" s="18">
        <f>IF($A739&gt;('1-Input'!$B$26-2),AC738,AC738-X739*(1-W739))</f>
        <v>165580.77102516705</v>
      </c>
      <c r="AD739" s="11">
        <f>IF($A739&gt;('1-Input'!$B$26-2),0,IF(AI738&lt;=0,0,MAX(0,(AI738-AJ738)/AI738)))</f>
        <v>0.40385977581315735</v>
      </c>
      <c r="AE739" s="18">
        <f>IF($A739&gt;('1-Input'!$B$26-2),0,(MAX(0,AD726-IF($A739&gt;='1-Input'!$C$12,'1-Input'!$B$12,0))-MIN(MAX(AH738,0),MAX(0,AD726-IF($A739&gt;='1-Input'!$C$12,'1-Input'!$B$12,0))))*(1/(1-'P-Parametri'!$B$6*AD739))+MIN(MAX(0,AI738-(MAX(0,AD726-IF($A739&gt;='1-Input'!$C$12,'1-Input'!$B$12,0))-MIN(MAX(AH738,0),MAX(0,AD726-IF($A739&gt;='1-Input'!$C$12,'1-Input'!$B$12,0))))*(1/(1-'P-Parametri'!$B$6*AD739))),MAX(0,2*AD726-(AH738-MIN(MAX(AH738,0),MAX(0,AD726-IF($A739&gt;='1-Input'!$C$12,'1-Input'!$B$12,0)))))*(1/(1-'P-Parametri'!$B$6*AD739))))</f>
        <v>20414.356017232469</v>
      </c>
      <c r="AF739" s="18">
        <f>IF($A739&gt;('1-Input'!$B$26-2),AH738,(AH738-MAX(0,AD726-IF($A739&gt;='1-Input'!$C$12,'1-Input'!$B$12,0))+AE739*(1-'P-Parametri'!$B$6*AD739))*(1+'1-Input'!$B$27))</f>
        <v>36149.725057315343</v>
      </c>
      <c r="AG739" s="18">
        <f>IF($A739&gt;('1-Input'!$B$26-2),AI738,(AI738-AE739)*(1+'5-Roberta'!$C$4))</f>
        <v>286331.41456907097</v>
      </c>
      <c r="AH739" s="18">
        <f>IF($A739&gt;('1-Input'!$B$26-2),AF739,AF739-'P-Parametri'!$B$8*(AG739+AF739)+MIN(MAX(AG739,0),'P-Parametri'!$B$8*(AG739+AF739)))</f>
        <v>36149.725057315343</v>
      </c>
      <c r="AI739" s="18">
        <f>IF($A739&gt;('1-Input'!$B$26-2),AG739,AG739-MIN(MAX(AG739,0),'P-Parametri'!$B$8*(AG739+AF739)))</f>
        <v>285686.4522898182</v>
      </c>
      <c r="AJ739" s="18">
        <f>IF($A739&gt;('1-Input'!$B$26-2),AJ738,AJ738-AE739*(1-AD739))</f>
        <v>165722.0132747007</v>
      </c>
      <c r="AK739" s="11">
        <f>IF($A739&gt;('1-Input'!$B$26-2),0,IF(AP738&lt;=0,0,MAX(0,(AP738-AQ738)/AP738)))</f>
        <v>0.40385978358023883</v>
      </c>
      <c r="AL739" s="18">
        <f>IF($A739&gt;('1-Input'!$B$26-2),0,(MAX(0,AK726-IF($A739&gt;='1-Input'!$C$12,'1-Input'!$B$12,0))-MIN(MAX(AO738,0),MAX(0,AK726-IF($A739&gt;='1-Input'!$C$12,'1-Input'!$B$12,0))))*(1/(1-'P-Parametri'!$B$6*AK739))+MIN(MAX(0,AP738-(MAX(0,AK726-IF($A739&gt;='1-Input'!$C$12,'1-Input'!$B$12,0))-MIN(MAX(AO738,0),MAX(0,AK726-IF($A739&gt;='1-Input'!$C$12,'1-Input'!$B$12,0))))*(1/(1-'P-Parametri'!$B$6*AK739))),MAX(0,2*AK726-(AO738-MIN(MAX(AO738,0),MAX(0,AK726-IF($A739&gt;='1-Input'!$C$12,'1-Input'!$B$12,0)))))*(1/(1-'P-Parametri'!$B$6*AK739))))</f>
        <v>20414.271995332041</v>
      </c>
      <c r="AM739" s="18">
        <f>IF($A739&gt;('1-Input'!$B$26-2),AO738,(AO738-MAX(0,AK726-IF($A739&gt;='1-Input'!$C$12,'1-Input'!$B$12,0))+AL739*(1-'P-Parametri'!$B$6*AK739))*(1+'1-Input'!$B$27))</f>
        <v>36149.576189835549</v>
      </c>
      <c r="AN739" s="18">
        <f>IF($A739&gt;('1-Input'!$B$26-2),AP738,(AP738-AL739)*(1+'5-Roberta'!$C$4))</f>
        <v>286332.68790570635</v>
      </c>
      <c r="AO739" s="18">
        <f>IF($A739&gt;('1-Input'!$B$26-2),AM739,AM739-'P-Parametri'!$B$8*(AN739+AM739)+MIN(MAX(AN739,0),'P-Parametri'!$B$8*(AN739+AM739)))</f>
        <v>36149.576189835549</v>
      </c>
      <c r="AP739" s="18">
        <f>IF($A739&gt;('1-Input'!$B$26-2),AN739,AN739-MIN(MAX(AN739,0),'P-Parametri'!$B$8*(AN739+AM739)))</f>
        <v>285687.72337751527</v>
      </c>
      <c r="AQ739" s="18">
        <f>IF($A739&gt;('1-Input'!$B$26-2),AQ738,AQ738-AL739*(1-AK739))</f>
        <v>165722.74809335894</v>
      </c>
    </row>
    <row r="740" spans="1:43">
      <c r="A740" s="10">
        <f>12</f>
        <v>12</v>
      </c>
      <c r="B740" s="11">
        <f>IF($A740&gt;('1-Input'!$B$26-2),0,IF(G739&lt;=0,0,MAX(0,(G739-H739)/G739)))</f>
        <v>0.42008036795299719</v>
      </c>
      <c r="C740" s="18">
        <f>IF($A740&gt;('1-Input'!$B$26-2),0,(MAX(0,B726-IF($A740&gt;='1-Input'!$C$12,'1-Input'!$B$12,0))-MIN(MAX(F739,0),MAX(0,B726-IF($A740&gt;='1-Input'!$C$12,'1-Input'!$B$12,0))))*(1/(1-'P-Parametri'!$B$6*B740))+MIN(MAX(0,G739-(MAX(0,B726-IF($A740&gt;='1-Input'!$C$12,'1-Input'!$B$12,0))-MIN(MAX(F739,0),MAX(0,B726-IF($A740&gt;='1-Input'!$C$12,'1-Input'!$B$12,0))))*(1/(1-'P-Parametri'!$B$6*B740))),MAX(0,2*B726-(F739-MIN(MAX(F739,0),MAX(0,B726-IF($A740&gt;='1-Input'!$C$12,'1-Input'!$B$12,0)))))*(1/(1-'P-Parametri'!$B$6*B740))))</f>
        <v>18861.195588423936</v>
      </c>
      <c r="D740" s="18">
        <f>IF($A740&gt;('1-Input'!$B$26-2),F739,(F739-MAX(0,B726-IF($A740&gt;='1-Input'!$C$12,'1-Input'!$B$12,0))+C740*(1-'P-Parametri'!$B$6*B740))*(1+'1-Input'!$B$27))</f>
        <v>33242.0070309863</v>
      </c>
      <c r="E740" s="18">
        <f>IF($A740&gt;('1-Input'!$B$26-2),G739,(G739-C740)*(1+'5-Roberta'!$C$4))</f>
        <v>300402.60317883774</v>
      </c>
      <c r="F740" s="18">
        <f>IF($A740&gt;('1-Input'!$B$26-2),D740,D740-'P-Parametri'!$B$8*(E740+D740)+MIN(MAX(E740,0),'P-Parametri'!$B$8*(E740+D740)))</f>
        <v>33242.0070309863</v>
      </c>
      <c r="G740" s="18">
        <f>IF($A740&gt;('1-Input'!$B$26-2),E740,E740-MIN(MAX(E740,0),'P-Parametri'!$B$8*(E740+D740)))</f>
        <v>299735.31395841809</v>
      </c>
      <c r="H740" s="18">
        <f>IF($A740&gt;('1-Input'!$B$26-2),H739,H739-C740*(1-B740))</f>
        <v>169135.30786546931</v>
      </c>
      <c r="I740" s="11">
        <f>IF($A740&gt;('1-Input'!$B$26-2),0,IF(N739&lt;=0,0,MAX(0,(N739-O739)/N739)))</f>
        <v>0.41939537367530222</v>
      </c>
      <c r="J740" s="18">
        <f>IF($A740&gt;('1-Input'!$B$26-2),0,(MAX(0,I726-IF($A740&gt;='1-Input'!$C$12,'1-Input'!$B$12,0))-MIN(MAX(M739,0),MAX(0,I726-IF($A740&gt;='1-Input'!$C$12,'1-Input'!$B$12,0))))*(1/(1-'P-Parametri'!$B$6*I740))+MIN(MAX(0,N739-(MAX(0,I726-IF($A740&gt;='1-Input'!$C$12,'1-Input'!$B$12,0))-MIN(MAX(M739,0),MAX(0,I726-IF($A740&gt;='1-Input'!$C$12,'1-Input'!$B$12,0))))*(1/(1-'P-Parametri'!$B$6*I740))),MAX(0,2*I726-(M739-MIN(MAX(M739,0),MAX(0,I726-IF($A740&gt;='1-Input'!$C$12,'1-Input'!$B$12,0)))))*(1/(1-'P-Parametri'!$B$6*I740))))</f>
        <v>24812.401732317619</v>
      </c>
      <c r="K740" s="18">
        <f>IF($A740&gt;('1-Input'!$B$26-2),M739,(M739-MAX(0,I726-IF($A740&gt;='1-Input'!$C$12,'1-Input'!$B$12,0))+J740*(1-'P-Parametri'!$B$6*I740))*(1+'1-Input'!$B$27))</f>
        <v>43739.482935508291</v>
      </c>
      <c r="L740" s="18">
        <f>IF($A740&gt;('1-Input'!$B$26-2),N739,(N739-J740)*(1+'5-Roberta'!$C$4))</f>
        <v>201956.21828267607</v>
      </c>
      <c r="M740" s="18">
        <f>IF($A740&gt;('1-Input'!$B$26-2),K740,K740-'P-Parametri'!$B$8*(L740+K740)+MIN(MAX(L740,0),'P-Parametri'!$B$8*(L740+K740)))</f>
        <v>43739.482935508291</v>
      </c>
      <c r="N740" s="18">
        <f>IF($A740&gt;('1-Input'!$B$26-2),L740,L740-MIN(MAX(L740,0),'P-Parametri'!$B$8*(L740+K740)))</f>
        <v>201464.82688023971</v>
      </c>
      <c r="O740" s="18">
        <f>IF($A740&gt;('1-Input'!$B$26-2),O739,O739-J740*(1-I740))</f>
        <v>113841.47053394392</v>
      </c>
      <c r="P740" s="11">
        <f>IF($A740&gt;('1-Input'!$B$26-2),0,IF(U739&lt;=0,0,MAX(0,(U739-V739)/U739)))</f>
        <v>0.41988783803411034</v>
      </c>
      <c r="Q740" s="18">
        <f>IF($A740&gt;('1-Input'!$B$26-2),0,(MAX(0,P726-IF($A740&gt;='1-Input'!$C$12,'1-Input'!$B$12,0))-MIN(MAX(T739,0),MAX(0,P726-IF($A740&gt;='1-Input'!$C$12,'1-Input'!$B$12,0))))*(1/(1-'P-Parametri'!$B$6*P740))+MIN(MAX(0,U739-(MAX(0,P726-IF($A740&gt;='1-Input'!$C$12,'1-Input'!$B$12,0))-MIN(MAX(T739,0),MAX(0,P726-IF($A740&gt;='1-Input'!$C$12,'1-Input'!$B$12,0))))*(1/(1-'P-Parametri'!$B$6*P740))),MAX(0,2*P726-(T739-MIN(MAX(T739,0),MAX(0,P726-IF($A740&gt;='1-Input'!$C$12,'1-Input'!$B$12,0)))))*(1/(1-'P-Parametri'!$B$6*P740))))</f>
        <v>20781.626297206298</v>
      </c>
      <c r="R740" s="18">
        <f>IF($A740&gt;('1-Input'!$B$26-2),T739,(T739-MAX(0,P726-IF($A740&gt;='1-Input'!$C$12,'1-Input'!$B$12,0))+Q740*(1-'P-Parametri'!$B$6*P740))*(1+'1-Input'!$B$27))</f>
        <v>36628.737843878102</v>
      </c>
      <c r="S740" s="18">
        <f>IF($A740&gt;('1-Input'!$B$26-2),U739,(U739-Q740)*(1+'5-Roberta'!$C$4))</f>
        <v>268639.29163651098</v>
      </c>
      <c r="T740" s="18">
        <f>IF($A740&gt;('1-Input'!$B$26-2),R740,R740-'P-Parametri'!$B$8*(S740+R740)+MIN(MAX(S740,0),'P-Parametri'!$B$8*(S740+R740)))</f>
        <v>36628.737843878102</v>
      </c>
      <c r="U740" s="18">
        <f>IF($A740&gt;('1-Input'!$B$26-2),S740,S740-MIN(MAX(S740,0),'P-Parametri'!$B$8*(S740+R740)))</f>
        <v>268028.75557755021</v>
      </c>
      <c r="V740" s="18">
        <f>IF($A740&gt;('1-Input'!$B$26-2),V739,V739-Q740*(1-P740))</f>
        <v>151301.86433033159</v>
      </c>
      <c r="W740" s="11">
        <f>IF($A740&gt;('1-Input'!$B$26-2),0,IF(AB739&lt;=0,0,MAX(0,(AB739-AC739)/AB739)))</f>
        <v>0.41991474827906983</v>
      </c>
      <c r="X740" s="18">
        <f>IF($A740&gt;('1-Input'!$B$26-2),0,(MAX(0,W726-IF($A740&gt;='1-Input'!$C$12,'1-Input'!$B$12,0))-MIN(MAX(AA739,0),MAX(0,W726-IF($A740&gt;='1-Input'!$C$12,'1-Input'!$B$12,0))))*(1/(1-'P-Parametri'!$B$6*W740))+MIN(MAX(0,AB739-(MAX(0,W726-IF($A740&gt;='1-Input'!$C$12,'1-Input'!$B$12,0))-MIN(MAX(AA739,0),MAX(0,W726-IF($A740&gt;='1-Input'!$C$12,'1-Input'!$B$12,0))))*(1/(1-'P-Parametri'!$B$6*W740))),MAX(0,2*W726-(AA739-MIN(MAX(AA739,0),MAX(0,W726-IF($A740&gt;='1-Input'!$C$12,'1-Input'!$B$12,0)))))*(1/(1-'P-Parametri'!$B$6*W740))))</f>
        <v>20526.250123364083</v>
      </c>
      <c r="Y740" s="18">
        <f>IF($A740&gt;('1-Input'!$B$26-2),AA739,(AA739-MAX(0,W726-IF($A740&gt;='1-Input'!$C$12,'1-Input'!$B$12,0))+X740*(1-'P-Parametri'!$B$6*W740))*(1+'1-Input'!$B$27))</f>
        <v>36178.339405303268</v>
      </c>
      <c r="Z740" s="18">
        <f>IF($A740&gt;('1-Input'!$B$26-2),AB739,(AB739-X740)*(1+'5-Roberta'!$C$4))</f>
        <v>272863.35839008819</v>
      </c>
      <c r="AA740" s="18">
        <f>IF($A740&gt;('1-Input'!$B$26-2),Y740,Y740-'P-Parametri'!$B$8*(Z740+Y740)+MIN(MAX(Z740,0),'P-Parametri'!$B$8*(Z740+Y740)))</f>
        <v>36178.339405303268</v>
      </c>
      <c r="AB740" s="18">
        <f>IF($A740&gt;('1-Input'!$B$26-2),Z740,Z740-MIN(MAX(Z740,0),'P-Parametri'!$B$8*(Z740+Y740)))</f>
        <v>272245.27499449742</v>
      </c>
      <c r="AC740" s="18">
        <f>IF($A740&gt;('1-Input'!$B$26-2),AC739,AC739-X740*(1-W740))</f>
        <v>153673.79605546861</v>
      </c>
      <c r="AD740" s="11">
        <f>IF($A740&gt;('1-Input'!$B$26-2),0,IF(AI739&lt;=0,0,MAX(0,(AI739-AJ739)/AI739)))</f>
        <v>0.4199164435470607</v>
      </c>
      <c r="AE740" s="18">
        <f>IF($A740&gt;('1-Input'!$B$26-2),0,(MAX(0,AD726-IF($A740&gt;='1-Input'!$C$12,'1-Input'!$B$12,0))-MIN(MAX(AH739,0),MAX(0,AD726-IF($A740&gt;='1-Input'!$C$12,'1-Input'!$B$12,0))))*(1/(1-'P-Parametri'!$B$6*AD740))+MIN(MAX(0,AI739-(MAX(0,AD726-IF($A740&gt;='1-Input'!$C$12,'1-Input'!$B$12,0))-MIN(MAX(AH739,0),MAX(0,AD726-IF($A740&gt;='1-Input'!$C$12,'1-Input'!$B$12,0))))*(1/(1-'P-Parametri'!$B$6*AD740))),MAX(0,2*AD726-(AH739-MIN(MAX(AH739,0),MAX(0,AD726-IF($A740&gt;='1-Input'!$C$12,'1-Input'!$B$12,0)))))*(1/(1-'P-Parametri'!$B$6*AD740))))</f>
        <v>20510.025550032769</v>
      </c>
      <c r="AF740" s="18">
        <f>IF($A740&gt;('1-Input'!$B$26-2),AH739,(AH739-MAX(0,AD726-IF($A740&gt;='1-Input'!$C$12,'1-Input'!$B$12,0))+AE740*(1-'P-Parametri'!$B$6*AD740))*(1+'1-Input'!$B$27))</f>
        <v>36149.725057315343</v>
      </c>
      <c r="AG740" s="18">
        <f>IF($A740&gt;('1-Input'!$B$26-2),AI739,(AI739-AE740)*(1+'5-Roberta'!$C$4))</f>
        <v>273131.71954197896</v>
      </c>
      <c r="AH740" s="18">
        <f>IF($A740&gt;('1-Input'!$B$26-2),AF740,AF740-'P-Parametri'!$B$8*(AG740+AF740)+MIN(MAX(AG740,0),'P-Parametri'!$B$8*(AG740+AF740)))</f>
        <v>36149.725057315343</v>
      </c>
      <c r="AI740" s="18">
        <f>IF($A740&gt;('1-Input'!$B$26-2),AG740,AG740-MIN(MAX(AG740,0),'P-Parametri'!$B$8*(AG740+AF740)))</f>
        <v>272513.15665278037</v>
      </c>
      <c r="AJ740" s="18">
        <f>IF($A740&gt;('1-Input'!$B$26-2),AJ739,AJ739-AE740*(1-AD740))</f>
        <v>153824.48471069703</v>
      </c>
      <c r="AK740" s="11">
        <f>IF($A740&gt;('1-Input'!$B$26-2),0,IF(AP739&lt;=0,0,MAX(0,(AP739-AQ739)/AP739)))</f>
        <v>0.419916452362328</v>
      </c>
      <c r="AL740" s="18">
        <f>IF($A740&gt;('1-Input'!$B$26-2),0,(MAX(0,AK726-IF($A740&gt;='1-Input'!$C$12,'1-Input'!$B$12,0))-MIN(MAX(AO739,0),MAX(0,AK726-IF($A740&gt;='1-Input'!$C$12,'1-Input'!$B$12,0))))*(1/(1-'P-Parametri'!$B$6*AK740))+MIN(MAX(0,AP739-(MAX(0,AK726-IF($A740&gt;='1-Input'!$C$12,'1-Input'!$B$12,0))-MIN(MAX(AO739,0),MAX(0,AK726-IF($A740&gt;='1-Input'!$C$12,'1-Input'!$B$12,0))))*(1/(1-'P-Parametri'!$B$6*AK740))),MAX(0,2*AK726-(AO739-MIN(MAX(AO739,0),MAX(0,AK726-IF($A740&gt;='1-Input'!$C$12,'1-Input'!$B$12,0)))))*(1/(1-'P-Parametri'!$B$6*AK740))))</f>
        <v>20509.94114086483</v>
      </c>
      <c r="AM740" s="18">
        <f>IF($A740&gt;('1-Input'!$B$26-2),AO739,(AO739-MAX(0,AK726-IF($A740&gt;='1-Input'!$C$12,'1-Input'!$B$12,0))+AL740*(1-'P-Parametri'!$B$6*AK740))*(1+'1-Input'!$B$27))</f>
        <v>36149.576189835549</v>
      </c>
      <c r="AN740" s="18">
        <f>IF($A740&gt;('1-Input'!$B$26-2),AP739,(AP739-AL740)*(1+'5-Roberta'!$C$4))</f>
        <v>273133.11570374999</v>
      </c>
      <c r="AO740" s="18">
        <f>IF($A740&gt;('1-Input'!$B$26-2),AM740,AM740-'P-Parametri'!$B$8*(AN740+AM740)+MIN(MAX(AN740,0),'P-Parametri'!$B$8*(AN740+AM740)))</f>
        <v>36149.576189835549</v>
      </c>
      <c r="AP740" s="18">
        <f>IF($A740&gt;('1-Input'!$B$26-2),AN740,AN740-MIN(MAX(AN740,0),'P-Parametri'!$B$8*(AN740+AM740)))</f>
        <v>272514.55031996284</v>
      </c>
      <c r="AQ740" s="18">
        <f>IF($A740&gt;('1-Input'!$B$26-2),AQ739,AQ739-AL740*(1-AK740))</f>
        <v>153825.26867452622</v>
      </c>
    </row>
    <row r="741" spans="1:43">
      <c r="A741" s="10">
        <f>13</f>
        <v>13</v>
      </c>
      <c r="B741" s="11">
        <f>IF($A741&gt;('1-Input'!$B$26-2),0,IF(G740&lt;=0,0,MAX(0,(G740-H740)/G740)))</f>
        <v>0.43571778169277298</v>
      </c>
      <c r="C741" s="18">
        <f>IF($A741&gt;('1-Input'!$B$26-2),0,(MAX(0,B726-IF($A741&gt;='1-Input'!$C$12,'1-Input'!$B$12,0))-MIN(MAX(F740,0),MAX(0,B726-IF($A741&gt;='1-Input'!$C$12,'1-Input'!$B$12,0))))*(1/(1-'P-Parametri'!$B$6*B741))+MIN(MAX(0,G740-(MAX(0,B726-IF($A741&gt;='1-Input'!$C$12,'1-Input'!$B$12,0))-MIN(MAX(F740,0),MAX(0,B726-IF($A741&gt;='1-Input'!$C$12,'1-Input'!$B$12,0))))*(1/(1-'P-Parametri'!$B$6*B741))),MAX(0,2*B726-(F740-MIN(MAX(F740,0),MAX(0,B726-IF($A741&gt;='1-Input'!$C$12,'1-Input'!$B$12,0)))))*(1/(1-'P-Parametri'!$B$6*B741))))</f>
        <v>18947.677291487216</v>
      </c>
      <c r="D741" s="18">
        <f>IF($A741&gt;('1-Input'!$B$26-2),F740,(F740-MAX(0,B726-IF($A741&gt;='1-Input'!$C$12,'1-Input'!$B$12,0))+C741*(1-'P-Parametri'!$B$6*B741))*(1+'1-Input'!$B$27))</f>
        <v>33242.0070309863</v>
      </c>
      <c r="E741" s="18">
        <f>IF($A741&gt;('1-Input'!$B$26-2),G740,(G740-C741)*(1+'5-Roberta'!$C$4))</f>
        <v>289211.2657669388</v>
      </c>
      <c r="F741" s="18">
        <f>IF($A741&gt;('1-Input'!$B$26-2),D741,D741-'P-Parametri'!$B$8*(E741+D741)+MIN(MAX(E741,0),'P-Parametri'!$B$8*(E741+D741)))</f>
        <v>33242.0070309863</v>
      </c>
      <c r="G741" s="18">
        <f>IF($A741&gt;('1-Input'!$B$26-2),E741,E741-MIN(MAX(E741,0),'P-Parametri'!$B$8*(E741+D741)))</f>
        <v>288566.35922134295</v>
      </c>
      <c r="H741" s="18">
        <f>IF($A741&gt;('1-Input'!$B$26-2),H740,H740-C741*(1-B741))</f>
        <v>158443.47049165942</v>
      </c>
      <c r="I741" s="11">
        <f>IF($A741&gt;('1-Input'!$B$26-2),0,IF(N740&lt;=0,0,MAX(0,(N740-O740)/N740)))</f>
        <v>0.43493128653362051</v>
      </c>
      <c r="J741" s="18">
        <f>IF($A741&gt;('1-Input'!$B$26-2),0,(MAX(0,I726-IF($A741&gt;='1-Input'!$C$12,'1-Input'!$B$12,0))-MIN(MAX(M740,0),MAX(0,I726-IF($A741&gt;='1-Input'!$C$12,'1-Input'!$B$12,0))))*(1/(1-'P-Parametri'!$B$6*I741))+MIN(MAX(0,N740-(MAX(0,I726-IF($A741&gt;='1-Input'!$C$12,'1-Input'!$B$12,0))-MIN(MAX(M740,0),MAX(0,I726-IF($A741&gt;='1-Input'!$C$12,'1-Input'!$B$12,0))))*(1/(1-'P-Parametri'!$B$6*I741))),MAX(0,2*I726-(M740-MIN(MAX(M740,0),MAX(0,I726-IF($A741&gt;='1-Input'!$C$12,'1-Input'!$B$12,0)))))*(1/(1-'P-Parametri'!$B$6*I741))))</f>
        <v>24925.406177023739</v>
      </c>
      <c r="K741" s="18">
        <f>IF($A741&gt;('1-Input'!$B$26-2),M740,(M740-MAX(0,I726-IF($A741&gt;='1-Input'!$C$12,'1-Input'!$B$12,0))+J741*(1-'P-Parametri'!$B$6*I741))*(1+'1-Input'!$B$27))</f>
        <v>43739.482935508291</v>
      </c>
      <c r="L741" s="18">
        <f>IF($A741&gt;('1-Input'!$B$26-2),N740,(N740-J741)*(1+'5-Roberta'!$C$4))</f>
        <v>181835.60332431245</v>
      </c>
      <c r="M741" s="18">
        <f>IF($A741&gt;('1-Input'!$B$26-2),K741,K741-'P-Parametri'!$B$8*(L741+K741)+MIN(MAX(L741,0),'P-Parametri'!$B$8*(L741+K741)))</f>
        <v>43739.482935508291</v>
      </c>
      <c r="N741" s="18">
        <f>IF($A741&gt;('1-Input'!$B$26-2),L741,L741-MIN(MAX(L741,0),'P-Parametri'!$B$8*(L741+K741)))</f>
        <v>181384.45315179281</v>
      </c>
      <c r="O741" s="18">
        <f>IF($A741&gt;('1-Input'!$B$26-2),O740,O740-J741*(1-I741))</f>
        <v>99756.903332866175</v>
      </c>
      <c r="P741" s="11">
        <f>IF($A741&gt;('1-Input'!$B$26-2),0,IF(U740&lt;=0,0,MAX(0,(U740-V740)/U740)))</f>
        <v>0.43550137370781244</v>
      </c>
      <c r="Q741" s="18">
        <f>IF($A741&gt;('1-Input'!$B$26-2),0,(MAX(0,P726-IF($A741&gt;='1-Input'!$C$12,'1-Input'!$B$12,0))-MIN(MAX(T740,0),MAX(0,P726-IF($A741&gt;='1-Input'!$C$12,'1-Input'!$B$12,0))))*(1/(1-'P-Parametri'!$B$6*P741))+MIN(MAX(0,U740-(MAX(0,P726-IF($A741&gt;='1-Input'!$C$12,'1-Input'!$B$12,0))-MIN(MAX(T740,0),MAX(0,P726-IF($A741&gt;='1-Input'!$C$12,'1-Input'!$B$12,0))))*(1/(1-'P-Parametri'!$B$6*P741))),MAX(0,2*P726-(T740-MIN(MAX(T740,0),MAX(0,P726-IF($A741&gt;='1-Input'!$C$12,'1-Input'!$B$12,0)))))*(1/(1-'P-Parametri'!$B$6*P741))))</f>
        <v>20876.76195414301</v>
      </c>
      <c r="R741" s="18">
        <f>IF($A741&gt;('1-Input'!$B$26-2),T740,(T740-MAX(0,P726-IF($A741&gt;='1-Input'!$C$12,'1-Input'!$B$12,0))+Q741*(1-'P-Parametri'!$B$6*P741))*(1+'1-Input'!$B$27))</f>
        <v>36628.737843878102</v>
      </c>
      <c r="S741" s="18">
        <f>IF($A741&gt;('1-Input'!$B$26-2),U740,(U740-Q741)*(1+'5-Roberta'!$C$4))</f>
        <v>254566.55343210945</v>
      </c>
      <c r="T741" s="18">
        <f>IF($A741&gt;('1-Input'!$B$26-2),R741,R741-'P-Parametri'!$B$8*(S741+R741)+MIN(MAX(S741,0),'P-Parametri'!$B$8*(S741+R741)))</f>
        <v>36628.737843878102</v>
      </c>
      <c r="U741" s="18">
        <f>IF($A741&gt;('1-Input'!$B$26-2),S741,S741-MIN(MAX(S741,0),'P-Parametri'!$B$8*(S741+R741)))</f>
        <v>253984.16284955747</v>
      </c>
      <c r="V741" s="18">
        <f>IF($A741&gt;('1-Input'!$B$26-2),V740,V740-Q741*(1-P741))</f>
        <v>139516.96088578887</v>
      </c>
      <c r="W741" s="11">
        <f>IF($A741&gt;('1-Input'!$B$26-2),0,IF(AB740&lt;=0,0,MAX(0,(AB740-AC740)/AB740)))</f>
        <v>0.43553181571810695</v>
      </c>
      <c r="X741" s="18">
        <f>IF($A741&gt;('1-Input'!$B$26-2),0,(MAX(0,W726-IF($A741&gt;='1-Input'!$C$12,'1-Input'!$B$12,0))-MIN(MAX(AA740,0),MAX(0,W726-IF($A741&gt;='1-Input'!$C$12,'1-Input'!$B$12,0))))*(1/(1-'P-Parametri'!$B$6*W741))+MIN(MAX(0,AB740-(MAX(0,W726-IF($A741&gt;='1-Input'!$C$12,'1-Input'!$B$12,0))-MIN(MAX(AA740,0),MAX(0,W726-IF($A741&gt;='1-Input'!$C$12,'1-Input'!$B$12,0))))*(1/(1-'P-Parametri'!$B$6*W741))),MAX(0,2*W726-(AA740-MIN(MAX(AA740,0),MAX(0,W726-IF($A741&gt;='1-Input'!$C$12,'1-Input'!$B$12,0)))))*(1/(1-'P-Parametri'!$B$6*W741))))</f>
        <v>20620.238794517463</v>
      </c>
      <c r="Y741" s="18">
        <f>IF($A741&gt;('1-Input'!$B$26-2),AA740,(AA740-MAX(0,W726-IF($A741&gt;='1-Input'!$C$12,'1-Input'!$B$12,0))+X741*(1-'P-Parametri'!$B$6*W741))*(1+'1-Input'!$B$27))</f>
        <v>36178.339405303268</v>
      </c>
      <c r="Z741" s="18">
        <f>IF($A741&gt;('1-Input'!$B$26-2),AB740,(AB740-X741)*(1+'5-Roberta'!$C$4))</f>
        <v>259173.78728597934</v>
      </c>
      <c r="AA741" s="18">
        <f>IF($A741&gt;('1-Input'!$B$26-2),Y741,Y741-'P-Parametri'!$B$8*(Z741+Y741)+MIN(MAX(Z741,0),'P-Parametri'!$B$8*(Z741+Y741)))</f>
        <v>36178.339405303268</v>
      </c>
      <c r="AB741" s="18">
        <f>IF($A741&gt;('1-Input'!$B$26-2),Z741,Z741-MIN(MAX(Z741,0),'P-Parametri'!$B$8*(Z741+Y741)))</f>
        <v>258583.08303259677</v>
      </c>
      <c r="AC741" s="18">
        <f>IF($A741&gt;('1-Input'!$B$26-2),AC740,AC740-X741*(1-W741))</f>
        <v>142034.32730366828</v>
      </c>
      <c r="AD741" s="11">
        <f>IF($A741&gt;('1-Input'!$B$26-2),0,IF(AI740&lt;=0,0,MAX(0,(AI740-AJ740)/AI740)))</f>
        <v>0.4355337312880978</v>
      </c>
      <c r="AE741" s="18">
        <f>IF($A741&gt;('1-Input'!$B$26-2),0,(MAX(0,AD726-IF($A741&gt;='1-Input'!$C$12,'1-Input'!$B$12,0))-MIN(MAX(AH740,0),MAX(0,AD726-IF($A741&gt;='1-Input'!$C$12,'1-Input'!$B$12,0))))*(1/(1-'P-Parametri'!$B$6*AD741))+MIN(MAX(0,AI740-(MAX(0,AD726-IF($A741&gt;='1-Input'!$C$12,'1-Input'!$B$12,0))-MIN(MAX(AH740,0),MAX(0,AD726-IF($A741&gt;='1-Input'!$C$12,'1-Input'!$B$12,0))))*(1/(1-'P-Parametri'!$B$6*AD741))),MAX(0,2*AD726-(AH740-MIN(MAX(AH740,0),MAX(0,AD726-IF($A741&gt;='1-Input'!$C$12,'1-Input'!$B$12,0)))))*(1/(1-'P-Parametri'!$B$6*AD741))))</f>
        <v>20603.941307227411</v>
      </c>
      <c r="AF741" s="18">
        <f>IF($A741&gt;('1-Input'!$B$26-2),AH740,(AH740-MAX(0,AD726-IF($A741&gt;='1-Input'!$C$12,'1-Input'!$B$12,0))+AE741*(1-'P-Parametri'!$B$6*AD741))*(1+'1-Input'!$B$27))</f>
        <v>36149.725057315343</v>
      </c>
      <c r="AG741" s="18">
        <f>IF($A741&gt;('1-Input'!$B$26-2),AI740,(AI740-AE741)*(1+'5-Roberta'!$C$4))</f>
        <v>259466.49180591953</v>
      </c>
      <c r="AH741" s="18">
        <f>IF($A741&gt;('1-Input'!$B$26-2),AF741,AF741-'P-Parametri'!$B$8*(AG741+AF741)+MIN(MAX(AG741,0),'P-Parametri'!$B$8*(AG741+AF741)))</f>
        <v>36149.725057315343</v>
      </c>
      <c r="AI741" s="18">
        <f>IF($A741&gt;('1-Input'!$B$26-2),AG741,AG741-MIN(MAX(AG741,0),'P-Parametri'!$B$8*(AG741+AF741)))</f>
        <v>258875.25937219308</v>
      </c>
      <c r="AJ741" s="18">
        <f>IF($A741&gt;('1-Input'!$B$26-2),AJ740,AJ740-AE741*(1-AD741))</f>
        <v>142194.25484024733</v>
      </c>
      <c r="AK741" s="11">
        <f>IF($A741&gt;('1-Input'!$B$26-2),0,IF(AP740&lt;=0,0,MAX(0,(AP740-AQ740)/AP740)))</f>
        <v>0.43553374124824534</v>
      </c>
      <c r="AL741" s="18">
        <f>IF($A741&gt;('1-Input'!$B$26-2),0,(MAX(0,AK726-IF($A741&gt;='1-Input'!$C$12,'1-Input'!$B$12,0))-MIN(MAX(AO740,0),MAX(0,AK726-IF($A741&gt;='1-Input'!$C$12,'1-Input'!$B$12,0))))*(1/(1-'P-Parametri'!$B$6*AK741))+MIN(MAX(0,AP740-(MAX(0,AK726-IF($A741&gt;='1-Input'!$C$12,'1-Input'!$B$12,0))-MIN(MAX(AO740,0),MAX(0,AK726-IF($A741&gt;='1-Input'!$C$12,'1-Input'!$B$12,0))))*(1/(1-'P-Parametri'!$B$6*AK741))),MAX(0,2*AK726-(AO740-MIN(MAX(AO740,0),MAX(0,AK726-IF($A741&gt;='1-Input'!$C$12,'1-Input'!$B$12,0)))))*(1/(1-'P-Parametri'!$B$6*AK741))))</f>
        <v>20603.856518707504</v>
      </c>
      <c r="AM741" s="18">
        <f>IF($A741&gt;('1-Input'!$B$26-2),AO740,(AO740-MAX(0,AK726-IF($A741&gt;='1-Input'!$C$12,'1-Input'!$B$12,0))+AL741*(1-'P-Parametri'!$B$6*AK741))*(1+'1-Input'!$B$27))</f>
        <v>36149.576189835549</v>
      </c>
      <c r="AN741" s="18">
        <f>IF($A741&gt;('1-Input'!$B$26-2),AP740,(AP740-AL741)*(1+'5-Roberta'!$C$4))</f>
        <v>259468.01461529301</v>
      </c>
      <c r="AO741" s="18">
        <f>IF($A741&gt;('1-Input'!$B$26-2),AM741,AM741-'P-Parametri'!$B$8*(AN741+AM741)+MIN(MAX(AN741,0),'P-Parametri'!$B$8*(AN741+AM741)))</f>
        <v>36149.576189835549</v>
      </c>
      <c r="AP741" s="18">
        <f>IF($A741&gt;('1-Input'!$B$26-2),AN741,AN741-MIN(MAX(AN741,0),'P-Parametri'!$B$8*(AN741+AM741)))</f>
        <v>258876.77943368276</v>
      </c>
      <c r="AQ741" s="18">
        <f>IF($A741&gt;('1-Input'!$B$26-2),AQ740,AQ740-AL741*(1-AK741))</f>
        <v>142195.08686955343</v>
      </c>
    </row>
    <row r="742" spans="1:43">
      <c r="A742" s="10">
        <f>14</f>
        <v>14</v>
      </c>
      <c r="B742" s="11">
        <f>IF($A742&gt;('1-Input'!$B$26-2),0,IF(G741&lt;=0,0,MAX(0,(G741-H741)/G741)))</f>
        <v>0.45092882302983078</v>
      </c>
      <c r="C742" s="18">
        <f>IF($A742&gt;('1-Input'!$B$26-2),0,(MAX(0,B726-IF($A742&gt;='1-Input'!$C$12,'1-Input'!$B$12,0))-MIN(MAX(F741,0),MAX(0,B726-IF($A742&gt;='1-Input'!$C$12,'1-Input'!$B$12,0))))*(1/(1-'P-Parametri'!$B$6*B742))+MIN(MAX(0,G741-(MAX(0,B726-IF($A742&gt;='1-Input'!$C$12,'1-Input'!$B$12,0))-MIN(MAX(F741,0),MAX(0,B726-IF($A742&gt;='1-Input'!$C$12,'1-Input'!$B$12,0))))*(1/(1-'P-Parametri'!$B$6*B742))),MAX(0,2*B726-(F741-MIN(MAX(F741,0),MAX(0,B726-IF($A742&gt;='1-Input'!$C$12,'1-Input'!$B$12,0)))))*(1/(1-'P-Parametri'!$B$6*B742))))</f>
        <v>19032.565303492043</v>
      </c>
      <c r="D742" s="18">
        <f>IF($A742&gt;('1-Input'!$B$26-2),F741,(F741-MAX(0,B726-IF($A742&gt;='1-Input'!$C$12,'1-Input'!$B$12,0))+C742*(1-'P-Parametri'!$B$6*B742))*(1+'1-Input'!$B$27))</f>
        <v>33242.0070309863</v>
      </c>
      <c r="E742" s="18">
        <f>IF($A742&gt;('1-Input'!$B$26-2),G741,(G741-C742)*(1+'5-Roberta'!$C$4))</f>
        <v>277619.80773538642</v>
      </c>
      <c r="F742" s="18">
        <f>IF($A742&gt;('1-Input'!$B$26-2),D742,D742-'P-Parametri'!$B$8*(E742+D742)+MIN(MAX(E742,0),'P-Parametri'!$B$8*(E742+D742)))</f>
        <v>33242.0070309863</v>
      </c>
      <c r="G742" s="18">
        <f>IF($A742&gt;('1-Input'!$B$26-2),E742,E742-MIN(MAX(E742,0),'P-Parametri'!$B$8*(E742+D742)))</f>
        <v>276998.08410585369</v>
      </c>
      <c r="H742" s="18">
        <f>IF($A742&gt;('1-Input'!$B$26-2),H741,H741-C742*(1-B742))</f>
        <v>147993.23745970943</v>
      </c>
      <c r="I742" s="11">
        <f>IF($A742&gt;('1-Input'!$B$26-2),0,IF(N741&lt;=0,0,MAX(0,(N741-O741)/N741)))</f>
        <v>0.45002506223957389</v>
      </c>
      <c r="J742" s="18">
        <f>IF($A742&gt;('1-Input'!$B$26-2),0,(MAX(0,I726-IF($A742&gt;='1-Input'!$C$12,'1-Input'!$B$12,0))-MIN(MAX(M741,0),MAX(0,I726-IF($A742&gt;='1-Input'!$C$12,'1-Input'!$B$12,0))))*(1/(1-'P-Parametri'!$B$6*I742))+MIN(MAX(0,N741-(MAX(0,I726-IF($A742&gt;='1-Input'!$C$12,'1-Input'!$B$12,0))-MIN(MAX(M741,0),MAX(0,I726-IF($A742&gt;='1-Input'!$C$12,'1-Input'!$B$12,0))))*(1/(1-'P-Parametri'!$B$6*I742))),MAX(0,2*I726-(M741-MIN(MAX(M741,0),MAX(0,I726-IF($A742&gt;='1-Input'!$C$12,'1-Input'!$B$12,0)))))*(1/(1-'P-Parametri'!$B$6*I742))))</f>
        <v>25036.184805913705</v>
      </c>
      <c r="K742" s="18">
        <f>IF($A742&gt;('1-Input'!$B$26-2),M741,(M741-MAX(0,I726-IF($A742&gt;='1-Input'!$C$12,'1-Input'!$B$12,0))+J742*(1-'P-Parametri'!$B$6*I742))*(1+'1-Input'!$B$27))</f>
        <v>43739.482935508291</v>
      </c>
      <c r="L742" s="18">
        <f>IF($A742&gt;('1-Input'!$B$26-2),N741,(N741-J742)*(1+'5-Roberta'!$C$4))</f>
        <v>161038.71639625548</v>
      </c>
      <c r="M742" s="18">
        <f>IF($A742&gt;('1-Input'!$B$26-2),K742,K742-'P-Parametri'!$B$8*(L742+K742)+MIN(MAX(L742,0),'P-Parametri'!$B$8*(L742+K742)))</f>
        <v>43739.482935508291</v>
      </c>
      <c r="N742" s="18">
        <f>IF($A742&gt;('1-Input'!$B$26-2),L742,L742-MIN(MAX(L742,0),'P-Parametri'!$B$8*(L742+K742)))</f>
        <v>160629.15999759195</v>
      </c>
      <c r="O742" s="18">
        <f>IF($A742&gt;('1-Input'!$B$26-2),O741,O741-J742*(1-I742))</f>
        <v>85987.62915247526</v>
      </c>
      <c r="P742" s="11">
        <f>IF($A742&gt;('1-Input'!$B$26-2),0,IF(U741&lt;=0,0,MAX(0,(U741-V741)/U741)))</f>
        <v>0.45068637618783736</v>
      </c>
      <c r="Q742" s="18">
        <f>IF($A742&gt;('1-Input'!$B$26-2),0,(MAX(0,P726-IF($A742&gt;='1-Input'!$C$12,'1-Input'!$B$12,0))-MIN(MAX(T741,0),MAX(0,P726-IF($A742&gt;='1-Input'!$C$12,'1-Input'!$B$12,0))))*(1/(1-'P-Parametri'!$B$6*P742))+MIN(MAX(0,U741-(MAX(0,P726-IF($A742&gt;='1-Input'!$C$12,'1-Input'!$B$12,0))-MIN(MAX(T741,0),MAX(0,P726-IF($A742&gt;='1-Input'!$C$12,'1-Input'!$B$12,0))))*(1/(1-'P-Parametri'!$B$6*P742))),MAX(0,2*P726-(T741-MIN(MAX(T741,0),MAX(0,P726-IF($A742&gt;='1-Input'!$C$12,'1-Input'!$B$12,0)))))*(1/(1-'P-Parametri'!$B$6*P742))))</f>
        <v>20970.125735375681</v>
      </c>
      <c r="R742" s="18">
        <f>IF($A742&gt;('1-Input'!$B$26-2),T741,(T741-MAX(0,P726-IF($A742&gt;='1-Input'!$C$12,'1-Input'!$B$12,0))+Q742*(1-'P-Parametri'!$B$6*P742))*(1+'1-Input'!$B$27))</f>
        <v>36628.737843878102</v>
      </c>
      <c r="S742" s="18">
        <f>IF($A742&gt;('1-Input'!$B$26-2),U741,(U741-Q742)*(1+'5-Roberta'!$C$4))</f>
        <v>240004.45822760725</v>
      </c>
      <c r="T742" s="18">
        <f>IF($A742&gt;('1-Input'!$B$26-2),R742,R742-'P-Parametri'!$B$8*(S742+R742)+MIN(MAX(S742,0),'P-Parametri'!$B$8*(S742+R742)))</f>
        <v>36628.737843878102</v>
      </c>
      <c r="U742" s="18">
        <f>IF($A742&gt;('1-Input'!$B$26-2),S742,S742-MIN(MAX(S742,0),'P-Parametri'!$B$8*(S742+R742)))</f>
        <v>239451.19183546427</v>
      </c>
      <c r="V742" s="18">
        <f>IF($A742&gt;('1-Input'!$B$26-2),V741,V741-Q742*(1-P742))</f>
        <v>127997.78512629296</v>
      </c>
      <c r="W742" s="11">
        <f>IF($A742&gt;('1-Input'!$B$26-2),0,IF(AB741&lt;=0,0,MAX(0,(AB741-AC741)/AB741)))</f>
        <v>0.45072072914466893</v>
      </c>
      <c r="X742" s="18">
        <f>IF($A742&gt;('1-Input'!$B$26-2),0,(MAX(0,W726-IF($A742&gt;='1-Input'!$C$12,'1-Input'!$B$12,0))-MIN(MAX(AA741,0),MAX(0,W726-IF($A742&gt;='1-Input'!$C$12,'1-Input'!$B$12,0))))*(1/(1-'P-Parametri'!$B$6*W742))+MIN(MAX(0,AB741-(MAX(0,W726-IF($A742&gt;='1-Input'!$C$12,'1-Input'!$B$12,0))-MIN(MAX(AA741,0),MAX(0,W726-IF($A742&gt;='1-Input'!$C$12,'1-Input'!$B$12,0))))*(1/(1-'P-Parametri'!$B$6*W742))),MAX(0,2*W726-(AA741-MIN(MAX(AA741,0),MAX(0,W726-IF($A742&gt;='1-Input'!$C$12,'1-Input'!$B$12,0)))))*(1/(1-'P-Parametri'!$B$6*W742))))</f>
        <v>20712.480052434166</v>
      </c>
      <c r="Y742" s="18">
        <f>IF($A742&gt;('1-Input'!$B$26-2),AA741,(AA741-MAX(0,W726-IF($A742&gt;='1-Input'!$C$12,'1-Input'!$B$12,0))+X742*(1-'P-Parametri'!$B$6*W742))*(1+'1-Input'!$B$27))</f>
        <v>36178.339405303268</v>
      </c>
      <c r="Z742" s="18">
        <f>IF($A742&gt;('1-Input'!$B$26-2),AB741,(AB741-X742)*(1+'5-Roberta'!$C$4))</f>
        <v>245006.72106956749</v>
      </c>
      <c r="AA742" s="18">
        <f>IF($A742&gt;('1-Input'!$B$26-2),Y742,Y742-'P-Parametri'!$B$8*(Z742+Y742)+MIN(MAX(Z742,0),'P-Parametri'!$B$8*(Z742+Y742)))</f>
        <v>36178.339405303268</v>
      </c>
      <c r="AB742" s="18">
        <f>IF($A742&gt;('1-Input'!$B$26-2),Z742,Z742-MIN(MAX(Z742,0),'P-Parametri'!$B$8*(Z742+Y742)))</f>
        <v>244444.35094861774</v>
      </c>
      <c r="AC742" s="18">
        <f>IF($A742&gt;('1-Input'!$B$26-2),AC741,AC741-X742*(1-W742))</f>
        <v>130657.39136286164</v>
      </c>
      <c r="AD742" s="11">
        <f>IF($A742&gt;('1-Input'!$B$26-2),0,IF(AI741&lt;=0,0,MAX(0,(AI741-AJ741)/AI741)))</f>
        <v>0.45072288798440102</v>
      </c>
      <c r="AE742" s="18">
        <f>IF($A742&gt;('1-Input'!$B$26-2),0,(MAX(0,AD726-IF($A742&gt;='1-Input'!$C$12,'1-Input'!$B$12,0))-MIN(MAX(AH741,0),MAX(0,AD726-IF($A742&gt;='1-Input'!$C$12,'1-Input'!$B$12,0))))*(1/(1-'P-Parametri'!$B$6*AD742))+MIN(MAX(0,AI741-(MAX(0,AD726-IF($A742&gt;='1-Input'!$C$12,'1-Input'!$B$12,0))-MIN(MAX(AH741,0),MAX(0,AD726-IF($A742&gt;='1-Input'!$C$12,'1-Input'!$B$12,0))))*(1/(1-'P-Parametri'!$B$6*AD742))),MAX(0,2*AD726-(AH741-MIN(MAX(AH741,0),MAX(0,AD726-IF($A742&gt;='1-Input'!$C$12,'1-Input'!$B$12,0)))))*(1/(1-'P-Parametri'!$B$6*AD742))))</f>
        <v>20696.111195801917</v>
      </c>
      <c r="AF742" s="18">
        <f>IF($A742&gt;('1-Input'!$B$26-2),AH741,(AH741-MAX(0,AD726-IF($A742&gt;='1-Input'!$C$12,'1-Input'!$B$12,0))+AE742*(1-'P-Parametri'!$B$6*AD742))*(1+'1-Input'!$B$27))</f>
        <v>36149.725057315343</v>
      </c>
      <c r="AG742" s="18">
        <f>IF($A742&gt;('1-Input'!$B$26-2),AI741,(AI741-AE742)*(1+'5-Roberta'!$C$4))</f>
        <v>245324.52262168287</v>
      </c>
      <c r="AH742" s="18">
        <f>IF($A742&gt;('1-Input'!$B$26-2),AF742,AF742-'P-Parametri'!$B$8*(AG742+AF742)+MIN(MAX(AG742,0),'P-Parametri'!$B$8*(AG742+AF742)))</f>
        <v>36149.725057315343</v>
      </c>
      <c r="AI742" s="18">
        <f>IF($A742&gt;('1-Input'!$B$26-2),AG742,AG742-MIN(MAX(AG742,0),'P-Parametri'!$B$8*(AG742+AF742)))</f>
        <v>244761.57412632488</v>
      </c>
      <c r="AJ742" s="18">
        <f>IF($A742&gt;('1-Input'!$B$26-2),AJ741,AJ741-AE742*(1-AD742))</f>
        <v>130826.35465266355</v>
      </c>
      <c r="AK742" s="11">
        <f>IF($A742&gt;('1-Input'!$B$26-2),0,IF(AP741&lt;=0,0,MAX(0,(AP741-AQ741)/AP741)))</f>
        <v>0.450722899208579</v>
      </c>
      <c r="AL742" s="18">
        <f>IF($A742&gt;('1-Input'!$B$26-2),0,(MAX(0,AK726-IF($A742&gt;='1-Input'!$C$12,'1-Input'!$B$12,0))-MIN(MAX(AO741,0),MAX(0,AK726-IF($A742&gt;='1-Input'!$C$12,'1-Input'!$B$12,0))))*(1/(1-'P-Parametri'!$B$6*AK742))+MIN(MAX(0,AP741-(MAX(0,AK726-IF($A742&gt;='1-Input'!$C$12,'1-Input'!$B$12,0))-MIN(MAX(AO741,0),MAX(0,AK726-IF($A742&gt;='1-Input'!$C$12,'1-Input'!$B$12,0))))*(1/(1-'P-Parametri'!$B$6*AK742))),MAX(0,2*AK726-(AO741-MIN(MAX(AO741,0),MAX(0,AK726-IF($A742&gt;='1-Input'!$C$12,'1-Input'!$B$12,0)))))*(1/(1-'P-Parametri'!$B$6*AK742))))</f>
        <v>20696.026035963117</v>
      </c>
      <c r="AM742" s="18">
        <f>IF($A742&gt;('1-Input'!$B$26-2),AO741,(AO741-MAX(0,AK726-IF($A742&gt;='1-Input'!$C$12,'1-Input'!$B$12,0))+AL742*(1-'P-Parametri'!$B$6*AK742))*(1+'1-Input'!$B$27))</f>
        <v>36149.576189835549</v>
      </c>
      <c r="AN742" s="18">
        <f>IF($A742&gt;('1-Input'!$B$26-2),AP741,(AP741-AL742)*(1+'5-Roberta'!$C$4))</f>
        <v>245326.17599965123</v>
      </c>
      <c r="AO742" s="18">
        <f>IF($A742&gt;('1-Input'!$B$26-2),AM742,AM742-'P-Parametri'!$B$8*(AN742+AM742)+MIN(MAX(AN742,0),'P-Parametri'!$B$8*(AN742+AM742)))</f>
        <v>36149.576189835549</v>
      </c>
      <c r="AP742" s="18">
        <f>IF($A742&gt;('1-Input'!$B$26-2),AN742,AN742-MIN(MAX(AN742,0),'P-Parametri'!$B$8*(AN742+AM742)))</f>
        <v>244763.22449527224</v>
      </c>
      <c r="AQ742" s="18">
        <f>IF($A742&gt;('1-Input'!$B$26-2),AQ741,AQ741-AL742*(1-AK742))</f>
        <v>130827.23369061585</v>
      </c>
    </row>
    <row r="743" spans="1:43">
      <c r="A743" s="10">
        <f>15</f>
        <v>15</v>
      </c>
      <c r="B743" s="11">
        <f>IF($A743&gt;('1-Input'!$B$26-2),0,IF(G742&lt;=0,0,MAX(0,(G742-H742)/G742)))</f>
        <v>0.46572468926119209</v>
      </c>
      <c r="C743" s="18">
        <f>IF($A743&gt;('1-Input'!$B$26-2),0,(MAX(0,B726-IF($A743&gt;='1-Input'!$C$12,'1-Input'!$B$12,0))-MIN(MAX(F742,0),MAX(0,B726-IF($A743&gt;='1-Input'!$C$12,'1-Input'!$B$12,0))))*(1/(1-'P-Parametri'!$B$6*B743))+MIN(MAX(0,G742-(MAX(0,B726-IF($A743&gt;='1-Input'!$C$12,'1-Input'!$B$12,0))-MIN(MAX(F742,0),MAX(0,B726-IF($A743&gt;='1-Input'!$C$12,'1-Input'!$B$12,0))))*(1/(1-'P-Parametri'!$B$6*B743))),MAX(0,2*B726-(F742-MIN(MAX(F742,0),MAX(0,B726-IF($A743&gt;='1-Input'!$C$12,'1-Input'!$B$12,0)))))*(1/(1-'P-Parametri'!$B$6*B743))))</f>
        <v>19115.869309344653</v>
      </c>
      <c r="D743" s="18">
        <f>IF($A743&gt;('1-Input'!$B$26-2),F742,(F742-MAX(0,B726-IF($A743&gt;='1-Input'!$C$12,'1-Input'!$B$12,0))+C743*(1-'P-Parametri'!$B$6*B743))*(1+'1-Input'!$B$27))</f>
        <v>33242.0070309863</v>
      </c>
      <c r="E743" s="18">
        <f>IF($A743&gt;('1-Input'!$B$26-2),G742,(G742-C743)*(1+'5-Roberta'!$C$4))</f>
        <v>265618.68124040432</v>
      </c>
      <c r="F743" s="18">
        <f>IF($A743&gt;('1-Input'!$B$26-2),D743,D743-'P-Parametri'!$B$8*(E743+D743)+MIN(MAX(E743,0),'P-Parametri'!$B$8*(E743+D743)))</f>
        <v>33242.0070309863</v>
      </c>
      <c r="G743" s="18">
        <f>IF($A743&gt;('1-Input'!$B$26-2),E743,E743-MIN(MAX(E743,0),'P-Parametri'!$B$8*(E743+D743)))</f>
        <v>265020.95986386156</v>
      </c>
      <c r="H743" s="18">
        <f>IF($A743&gt;('1-Input'!$B$26-2),H742,H742-C743*(1-B743))</f>
        <v>137780.10044441686</v>
      </c>
      <c r="I743" s="11">
        <f>IF($A743&gt;('1-Input'!$B$26-2),0,IF(N742&lt;=0,0,MAX(0,(N742-O742)/N742)))</f>
        <v>0.46468232073326954</v>
      </c>
      <c r="J743" s="18">
        <f>IF($A743&gt;('1-Input'!$B$26-2),0,(MAX(0,I726-IF($A743&gt;='1-Input'!$C$12,'1-Input'!$B$12,0))-MIN(MAX(M742,0),MAX(0,I726-IF($A743&gt;='1-Input'!$C$12,'1-Input'!$B$12,0))))*(1/(1-'P-Parametri'!$B$6*I743))+MIN(MAX(0,N742-(MAX(0,I726-IF($A743&gt;='1-Input'!$C$12,'1-Input'!$B$12,0))-MIN(MAX(M742,0),MAX(0,I726-IF($A743&gt;='1-Input'!$C$12,'1-Input'!$B$12,0))))*(1/(1-'P-Parametri'!$B$6*I743))),MAX(0,2*I726-(M742-MIN(MAX(M742,0),MAX(0,I726-IF($A743&gt;='1-Input'!$C$12,'1-Input'!$B$12,0)))))*(1/(1-'P-Parametri'!$B$6*I743))))</f>
        <v>25144.706149251226</v>
      </c>
      <c r="K743" s="18">
        <f>IF($A743&gt;('1-Input'!$B$26-2),M742,(M742-MAX(0,I726-IF($A743&gt;='1-Input'!$C$12,'1-Input'!$B$12,0))+J743*(1-'P-Parametri'!$B$6*I743))*(1+'1-Input'!$B$27))</f>
        <v>43739.482935508291</v>
      </c>
      <c r="L743" s="18">
        <f>IF($A743&gt;('1-Input'!$B$26-2),N742,(N742-J743)*(1+'5-Roberta'!$C$4))</f>
        <v>139548.98746379095</v>
      </c>
      <c r="M743" s="18">
        <f>IF($A743&gt;('1-Input'!$B$26-2),K743,K743-'P-Parametri'!$B$8*(L743+K743)+MIN(MAX(L743,0),'P-Parametri'!$B$8*(L743+K743)))</f>
        <v>43739.482935508291</v>
      </c>
      <c r="N743" s="18">
        <f>IF($A743&gt;('1-Input'!$B$26-2),L743,L743-MIN(MAX(L743,0),'P-Parametri'!$B$8*(L743+K743)))</f>
        <v>139182.41052299234</v>
      </c>
      <c r="O743" s="18">
        <f>IF($A743&gt;('1-Input'!$B$26-2),O742,O742-J743*(1-I743))</f>
        <v>72527.223410814215</v>
      </c>
      <c r="P743" s="11">
        <f>IF($A743&gt;('1-Input'!$B$26-2),0,IF(U742&lt;=0,0,MAX(0,(U742-V742)/U742)))</f>
        <v>0.4654535475678695</v>
      </c>
      <c r="Q743" s="18">
        <f>IF($A743&gt;('1-Input'!$B$26-2),0,(MAX(0,P726-IF($A743&gt;='1-Input'!$C$12,'1-Input'!$B$12,0))-MIN(MAX(T742,0),MAX(0,P726-IF($A743&gt;='1-Input'!$C$12,'1-Input'!$B$12,0))))*(1/(1-'P-Parametri'!$B$6*P743))+MIN(MAX(0,U742-(MAX(0,P726-IF($A743&gt;='1-Input'!$C$12,'1-Input'!$B$12,0))-MIN(MAX(T742,0),MAX(0,P726-IF($A743&gt;='1-Input'!$C$12,'1-Input'!$B$12,0))))*(1/(1-'P-Parametri'!$B$6*P743))),MAX(0,2*P726-(T742-MIN(MAX(T742,0),MAX(0,P726-IF($A743&gt;='1-Input'!$C$12,'1-Input'!$B$12,0)))))*(1/(1-'P-Parametri'!$B$6*P743))))</f>
        <v>21061.724934726371</v>
      </c>
      <c r="R743" s="18">
        <f>IF($A743&gt;('1-Input'!$B$26-2),T742,(T742-MAX(0,P726-IF($A743&gt;='1-Input'!$C$12,'1-Input'!$B$12,0))+Q743*(1-'P-Parametri'!$B$6*P743))*(1+'1-Input'!$B$27))</f>
        <v>36628.737843878102</v>
      </c>
      <c r="S743" s="18">
        <f>IF($A743&gt;('1-Input'!$B$26-2),U742,(U742-Q743)*(1+'5-Roberta'!$C$4))</f>
        <v>224941.15090776005</v>
      </c>
      <c r="T743" s="18">
        <f>IF($A743&gt;('1-Input'!$B$26-2),R743,R743-'P-Parametri'!$B$8*(S743+R743)+MIN(MAX(S743,0),'P-Parametri'!$B$8*(S743+R743)))</f>
        <v>36628.737843878102</v>
      </c>
      <c r="U743" s="18">
        <f>IF($A743&gt;('1-Input'!$B$26-2),S743,S743-MIN(MAX(S743,0),'P-Parametri'!$B$8*(S743+R743)))</f>
        <v>224418.01113025678</v>
      </c>
      <c r="V743" s="18">
        <f>IF($A743&gt;('1-Input'!$B$26-2),V742,V742-Q743*(1-P743))</f>
        <v>116739.31478033363</v>
      </c>
      <c r="W743" s="11">
        <f>IF($A743&gt;('1-Input'!$B$26-2),0,IF(AB742&lt;=0,0,MAX(0,(AB742-AC742)/AB742)))</f>
        <v>0.46549228543912696</v>
      </c>
      <c r="X743" s="18">
        <f>IF($A743&gt;('1-Input'!$B$26-2),0,(MAX(0,W726-IF($A743&gt;='1-Input'!$C$12,'1-Input'!$B$12,0))-MIN(MAX(AA742,0),MAX(0,W726-IF($A743&gt;='1-Input'!$C$12,'1-Input'!$B$12,0))))*(1/(1-'P-Parametri'!$B$6*W743))+MIN(MAX(0,AB742-(MAX(0,W726-IF($A743&gt;='1-Input'!$C$12,'1-Input'!$B$12,0))-MIN(MAX(AA742,0),MAX(0,W726-IF($A743&gt;='1-Input'!$C$12,'1-Input'!$B$12,0))))*(1/(1-'P-Parametri'!$B$6*W743))),MAX(0,2*W726-(AA742-MIN(MAX(AA742,0),MAX(0,W726-IF($A743&gt;='1-Input'!$C$12,'1-Input'!$B$12,0)))))*(1/(1-'P-Parametri'!$B$6*W743))))</f>
        <v>20802.981736674836</v>
      </c>
      <c r="Y743" s="18">
        <f>IF($A743&gt;('1-Input'!$B$26-2),AA742,(AA742-MAX(0,W726-IF($A743&gt;='1-Input'!$C$12,'1-Input'!$B$12,0))+X743*(1-'P-Parametri'!$B$6*W743))*(1+'1-Input'!$B$27))</f>
        <v>36178.339405303268</v>
      </c>
      <c r="Z743" s="18">
        <f>IF($A743&gt;('1-Input'!$B$26-2),AB742,(AB742-X743)*(1+'5-Roberta'!$C$4))</f>
        <v>230350.61028830119</v>
      </c>
      <c r="AA743" s="18">
        <f>IF($A743&gt;('1-Input'!$B$26-2),Y743,Y743-'P-Parametri'!$B$8*(Z743+Y743)+MIN(MAX(Z743,0),'P-Parametri'!$B$8*(Z743+Y743)))</f>
        <v>36178.339405303268</v>
      </c>
      <c r="AB743" s="18">
        <f>IF($A743&gt;('1-Input'!$B$26-2),Z743,Z743-MIN(MAX(Z743,0),'P-Parametri'!$B$8*(Z743+Y743)))</f>
        <v>229817.55238891399</v>
      </c>
      <c r="AC743" s="18">
        <f>IF($A743&gt;('1-Input'!$B$26-2),AC742,AC742-X743*(1-W743))</f>
        <v>119538.03713873999</v>
      </c>
      <c r="AD743" s="11">
        <f>IF($A743&gt;('1-Input'!$B$26-2),0,IF(AI742&lt;=0,0,MAX(0,(AI742-AJ742)/AI742)))</f>
        <v>0.46549471615531351</v>
      </c>
      <c r="AE743" s="18">
        <f>IF($A743&gt;('1-Input'!$B$26-2),0,(MAX(0,AD726-IF($A743&gt;='1-Input'!$C$12,'1-Input'!$B$12,0))-MIN(MAX(AH742,0),MAX(0,AD726-IF($A743&gt;='1-Input'!$C$12,'1-Input'!$B$12,0))))*(1/(1-'P-Parametri'!$B$6*AD743))+MIN(MAX(0,AI742-(MAX(0,AD726-IF($A743&gt;='1-Input'!$C$12,'1-Input'!$B$12,0))-MIN(MAX(AH742,0),MAX(0,AD726-IF($A743&gt;='1-Input'!$C$12,'1-Input'!$B$12,0))))*(1/(1-'P-Parametri'!$B$6*AD743))),MAX(0,2*AD726-(AH742-MIN(MAX(AH742,0),MAX(0,AD726-IF($A743&gt;='1-Input'!$C$12,'1-Input'!$B$12,0)))))*(1/(1-'P-Parametri'!$B$6*AD743))))</f>
        <v>20786.543086931568</v>
      </c>
      <c r="AF743" s="18">
        <f>IF($A743&gt;('1-Input'!$B$26-2),AH742,(AH742-MAX(0,AD726-IF($A743&gt;='1-Input'!$C$12,'1-Input'!$B$12,0))+AE743*(1-'P-Parametri'!$B$6*AD743))*(1+'1-Input'!$B$27))</f>
        <v>36149.725057315343</v>
      </c>
      <c r="AG743" s="18">
        <f>IF($A743&gt;('1-Input'!$B$26-2),AI742,(AI742-AE743)*(1+'5-Roberta'!$C$4))</f>
        <v>230694.2819705751</v>
      </c>
      <c r="AH743" s="18">
        <f>IF($A743&gt;('1-Input'!$B$26-2),AF743,AF743-'P-Parametri'!$B$8*(AG743+AF743)+MIN(MAX(AG743,0),'P-Parametri'!$B$8*(AG743+AF743)))</f>
        <v>36149.725057315343</v>
      </c>
      <c r="AI743" s="18">
        <f>IF($A743&gt;('1-Input'!$B$26-2),AG743,AG743-MIN(MAX(AG743,0),'P-Parametri'!$B$8*(AG743+AF743)))</f>
        <v>230160.59395651933</v>
      </c>
      <c r="AJ743" s="18">
        <f>IF($A743&gt;('1-Input'!$B$26-2),AJ742,AJ742-AE743*(1-AD743))</f>
        <v>119715.83753983339</v>
      </c>
      <c r="AK743" s="11">
        <f>IF($A743&gt;('1-Input'!$B$26-2),0,IF(AP742&lt;=0,0,MAX(0,(AP742-AQ742)/AP742)))</f>
        <v>0.46549472879189474</v>
      </c>
      <c r="AL743" s="18">
        <f>IF($A743&gt;('1-Input'!$B$26-2),0,(MAX(0,AK726-IF($A743&gt;='1-Input'!$C$12,'1-Input'!$B$12,0))-MIN(MAX(AO742,0),MAX(0,AK726-IF($A743&gt;='1-Input'!$C$12,'1-Input'!$B$12,0))))*(1/(1-'P-Parametri'!$B$6*AK743))+MIN(MAX(0,AP742-(MAX(0,AK726-IF($A743&gt;='1-Input'!$C$12,'1-Input'!$B$12,0))-MIN(MAX(AO742,0),MAX(0,AK726-IF($A743&gt;='1-Input'!$C$12,'1-Input'!$B$12,0))))*(1/(1-'P-Parametri'!$B$6*AK743))),MAX(0,2*AK726-(AO742-MIN(MAX(AO742,0),MAX(0,AK726-IF($A743&gt;='1-Input'!$C$12,'1-Input'!$B$12,0)))))*(1/(1-'P-Parametri'!$B$6*AK743))))</f>
        <v>20786.457563970496</v>
      </c>
      <c r="AM743" s="18">
        <f>IF($A743&gt;('1-Input'!$B$26-2),AO742,(AO742-MAX(0,AK726-IF($A743&gt;='1-Input'!$C$12,'1-Input'!$B$12,0))+AL743*(1-'P-Parametri'!$B$6*AK743))*(1+'1-Input'!$B$27))</f>
        <v>36149.576189835549</v>
      </c>
      <c r="AN743" s="18">
        <f>IF($A743&gt;('1-Input'!$B$26-2),AP742,(AP742-AL743)*(1+'5-Roberta'!$C$4))</f>
        <v>230696.06993924078</v>
      </c>
      <c r="AO743" s="18">
        <f>IF($A743&gt;('1-Input'!$B$26-2),AM743,AM743-'P-Parametri'!$B$8*(AN743+AM743)+MIN(MAX(AN743,0),'P-Parametri'!$B$8*(AN743+AM743)))</f>
        <v>36149.576189835549</v>
      </c>
      <c r="AP743" s="18">
        <f>IF($A743&gt;('1-Input'!$B$26-2),AN743,AN743-MIN(MAX(AN743,0),'P-Parametri'!$B$8*(AN743+AM743)))</f>
        <v>230162.37864698263</v>
      </c>
      <c r="AQ743" s="18">
        <f>IF($A743&gt;('1-Input'!$B$26-2),AQ742,AQ742-AL743*(1-AK743))</f>
        <v>119716.76255293003</v>
      </c>
    </row>
    <row r="744" spans="1:43">
      <c r="A744" s="10">
        <f>16</f>
        <v>16</v>
      </c>
      <c r="B744" s="11">
        <f>IF($A744&gt;('1-Input'!$B$26-2),0,IF(G743&lt;=0,0,MAX(0,(G743-H743)/G743)))</f>
        <v>0.48011621226036977</v>
      </c>
      <c r="C744" s="18">
        <f>IF($A744&gt;('1-Input'!$B$26-2),0,(MAX(0,B726-IF($A744&gt;='1-Input'!$C$12,'1-Input'!$B$12,0))-MIN(MAX(F743,0),MAX(0,B726-IF($A744&gt;='1-Input'!$C$12,'1-Input'!$B$12,0))))*(1/(1-'P-Parametri'!$B$6*B744))+MIN(MAX(0,G743-(MAX(0,B726-IF($A744&gt;='1-Input'!$C$12,'1-Input'!$B$12,0))-MIN(MAX(F743,0),MAX(0,B726-IF($A744&gt;='1-Input'!$C$12,'1-Input'!$B$12,0))))*(1/(1-'P-Parametri'!$B$6*B744))),MAX(0,2*B726-(F743-MIN(MAX(F743,0),MAX(0,B726-IF($A744&gt;='1-Input'!$C$12,'1-Input'!$B$12,0)))))*(1/(1-'P-Parametri'!$B$6*B744))))</f>
        <v>19197.599373811132</v>
      </c>
      <c r="D744" s="18">
        <f>IF($A744&gt;('1-Input'!$B$26-2),F743,(F743-MAX(0,B726-IF($A744&gt;='1-Input'!$C$12,'1-Input'!$B$12,0))+C744*(1-'P-Parametri'!$B$6*B744))*(1+'1-Input'!$B$27))</f>
        <v>33242.0070309863</v>
      </c>
      <c r="E744" s="18">
        <f>IF($A744&gt;('1-Input'!$B$26-2),G743,(G743-C744)*(1+'5-Roberta'!$C$4))</f>
        <v>253198.06130475196</v>
      </c>
      <c r="F744" s="18">
        <f>IF($A744&gt;('1-Input'!$B$26-2),D744,D744-'P-Parametri'!$B$8*(E744+D744)+MIN(MAX(E744,0),'P-Parametri'!$B$8*(E744+D744)))</f>
        <v>33242.0070309863</v>
      </c>
      <c r="G744" s="18">
        <f>IF($A744&gt;('1-Input'!$B$26-2),E744,E744-MIN(MAX(E744,0),'P-Parametri'!$B$8*(E744+D744)))</f>
        <v>252625.18116808048</v>
      </c>
      <c r="H744" s="18">
        <f>IF($A744&gt;('1-Input'!$B$26-2),H743,H743-C744*(1-B744))</f>
        <v>127799.57976645198</v>
      </c>
      <c r="I744" s="11">
        <f>IF($A744&gt;('1-Input'!$B$26-2),0,IF(N743&lt;=0,0,MAX(0,(N743-O743)/N743)))</f>
        <v>0.47890525003636847</v>
      </c>
      <c r="J744" s="18">
        <f>IF($A744&gt;('1-Input'!$B$26-2),0,(MAX(0,I726-IF($A744&gt;='1-Input'!$C$12,'1-Input'!$B$12,0))-MIN(MAX(M743,0),MAX(0,I726-IF($A744&gt;='1-Input'!$C$12,'1-Input'!$B$12,0))))*(1/(1-'P-Parametri'!$B$6*I744))+MIN(MAX(0,N743-(MAX(0,I726-IF($A744&gt;='1-Input'!$C$12,'1-Input'!$B$12,0))-MIN(MAX(M743,0),MAX(0,I726-IF($A744&gt;='1-Input'!$C$12,'1-Input'!$B$12,0))))*(1/(1-'P-Parametri'!$B$6*I744))),MAX(0,2*I726-(M743-MIN(MAX(M743,0),MAX(0,I726-IF($A744&gt;='1-Input'!$C$12,'1-Input'!$B$12,0)))))*(1/(1-'P-Parametri'!$B$6*I744))))</f>
        <v>25250.914932980577</v>
      </c>
      <c r="K744" s="18">
        <f>IF($A744&gt;('1-Input'!$B$26-2),M743,(M743-MAX(0,I726-IF($A744&gt;='1-Input'!$C$12,'1-Input'!$B$12,0))+J744*(1-'P-Parametri'!$B$6*I744))*(1+'1-Input'!$B$27))</f>
        <v>43739.482935508291</v>
      </c>
      <c r="L744" s="18">
        <f>IF($A744&gt;('1-Input'!$B$26-2),N743,(N743-J744)*(1+'5-Roberta'!$C$4))</f>
        <v>117349.44045771212</v>
      </c>
      <c r="M744" s="18">
        <f>IF($A744&gt;('1-Input'!$B$26-2),K744,K744-'P-Parametri'!$B$8*(L744+K744)+MIN(MAX(L744,0),'P-Parametri'!$B$8*(L744+K744)))</f>
        <v>43739.482935508291</v>
      </c>
      <c r="N744" s="18">
        <f>IF($A744&gt;('1-Input'!$B$26-2),L744,L744-MIN(MAX(L744,0),'P-Parametri'!$B$8*(L744+K744)))</f>
        <v>117027.26261092568</v>
      </c>
      <c r="O744" s="18">
        <f>IF($A744&gt;('1-Input'!$B$26-2),O743,O743-J744*(1-I744))</f>
        <v>59369.104207459772</v>
      </c>
      <c r="P744" s="11">
        <f>IF($A744&gt;('1-Input'!$B$26-2),0,IF(U743&lt;=0,0,MAX(0,(U743-V743)/U743)))</f>
        <v>0.47981307653343491</v>
      </c>
      <c r="Q744" s="18">
        <f>IF($A744&gt;('1-Input'!$B$26-2),0,(MAX(0,P726-IF($A744&gt;='1-Input'!$C$12,'1-Input'!$B$12,0))-MIN(MAX(T743,0),MAX(0,P726-IF($A744&gt;='1-Input'!$C$12,'1-Input'!$B$12,0))))*(1/(1-'P-Parametri'!$B$6*P744))+MIN(MAX(0,U743-(MAX(0,P726-IF($A744&gt;='1-Input'!$C$12,'1-Input'!$B$12,0))-MIN(MAX(T743,0),MAX(0,P726-IF($A744&gt;='1-Input'!$C$12,'1-Input'!$B$12,0))))*(1/(1-'P-Parametri'!$B$6*P744))),MAX(0,2*P726-(T743-MIN(MAX(T743,0),MAX(0,P726-IF($A744&gt;='1-Input'!$C$12,'1-Input'!$B$12,0)))))*(1/(1-'P-Parametri'!$B$6*P744))))</f>
        <v>21151.566240156386</v>
      </c>
      <c r="R744" s="18">
        <f>IF($A744&gt;('1-Input'!$B$26-2),T743,(T743-MAX(0,P726-IF($A744&gt;='1-Input'!$C$12,'1-Input'!$B$12,0))+Q744*(1-'P-Parametri'!$B$6*P744))*(1+'1-Input'!$B$27))</f>
        <v>36628.737843878102</v>
      </c>
      <c r="S744" s="18">
        <f>IF($A744&gt;('1-Input'!$B$26-2),U743,(U743-Q744)*(1+'5-Roberta'!$C$4))</f>
        <v>209364.4382368034</v>
      </c>
      <c r="T744" s="18">
        <f>IF($A744&gt;('1-Input'!$B$26-2),R744,R744-'P-Parametri'!$B$8*(S744+R744)+MIN(MAX(S744,0),'P-Parametri'!$B$8*(S744+R744)))</f>
        <v>36628.737843878102</v>
      </c>
      <c r="U744" s="18">
        <f>IF($A744&gt;('1-Input'!$B$26-2),S744,S744-MIN(MAX(S744,0),'P-Parametri'!$B$8*(S744+R744)))</f>
        <v>208872.45188464204</v>
      </c>
      <c r="V744" s="18">
        <f>IF($A744&gt;('1-Input'!$B$26-2),V743,V743-Q744*(1-P744))</f>
        <v>105736.54661136742</v>
      </c>
      <c r="W744" s="11">
        <f>IF($A744&gt;('1-Input'!$B$26-2),0,IF(AB743&lt;=0,0,MAX(0,(AB743-AC743)/AB743)))</f>
        <v>0.4798567998999092</v>
      </c>
      <c r="X744" s="18">
        <f>IF($A744&gt;('1-Input'!$B$26-2),0,(MAX(0,W726-IF($A744&gt;='1-Input'!$C$12,'1-Input'!$B$12,0))-MIN(MAX(AA743,0),MAX(0,W726-IF($A744&gt;='1-Input'!$C$12,'1-Input'!$B$12,0))))*(1/(1-'P-Parametri'!$B$6*W744))+MIN(MAX(0,AB743-(MAX(0,W726-IF($A744&gt;='1-Input'!$C$12,'1-Input'!$B$12,0))-MIN(MAX(AA743,0),MAX(0,W726-IF($A744&gt;='1-Input'!$C$12,'1-Input'!$B$12,0))))*(1/(1-'P-Parametri'!$B$6*W744))),MAX(0,2*W726-(AA743-MIN(MAX(AA743,0),MAX(0,W726-IF($A744&gt;='1-Input'!$C$12,'1-Input'!$B$12,0)))))*(1/(1-'P-Parametri'!$B$6*W744))))</f>
        <v>20891.751303910856</v>
      </c>
      <c r="Y744" s="18">
        <f>IF($A744&gt;('1-Input'!$B$26-2),AA743,(AA743-MAX(0,W726-IF($A744&gt;='1-Input'!$C$12,'1-Input'!$B$12,0))+X744*(1-'P-Parametri'!$B$6*W744))*(1+'1-Input'!$B$27))</f>
        <v>36178.339405303268</v>
      </c>
      <c r="Z744" s="18">
        <f>IF($A744&gt;('1-Input'!$B$26-2),AB743,(AB743-X744)*(1+'5-Roberta'!$C$4))</f>
        <v>215193.57511755324</v>
      </c>
      <c r="AA744" s="18">
        <f>IF($A744&gt;('1-Input'!$B$26-2),Y744,Y744-'P-Parametri'!$B$8*(Z744+Y744)+MIN(MAX(Z744,0),'P-Parametri'!$B$8*(Z744+Y744)))</f>
        <v>36178.339405303268</v>
      </c>
      <c r="AB744" s="18">
        <f>IF($A744&gt;('1-Input'!$B$26-2),Z744,Z744-MIN(MAX(Z744,0),'P-Parametri'!$B$8*(Z744+Y744)))</f>
        <v>214690.83128850753</v>
      </c>
      <c r="AC744" s="18">
        <f>IF($A744&gt;('1-Input'!$B$26-2),AC743,AC743-X744*(1-W744))</f>
        <v>108671.33475982856</v>
      </c>
      <c r="AD744" s="11">
        <f>IF($A744&gt;('1-Input'!$B$26-2),0,IF(AI743&lt;=0,0,MAX(0,(AI743-AJ743)/AI743)))</f>
        <v>0.47985953858613412</v>
      </c>
      <c r="AE744" s="18">
        <f>IF($A744&gt;('1-Input'!$B$26-2),0,(MAX(0,AD726-IF($A744&gt;='1-Input'!$C$12,'1-Input'!$B$12,0))-MIN(MAX(AH743,0),MAX(0,AD726-IF($A744&gt;='1-Input'!$C$12,'1-Input'!$B$12,0))))*(1/(1-'P-Parametri'!$B$6*AD744))+MIN(MAX(0,AI743-(MAX(0,AD726-IF($A744&gt;='1-Input'!$C$12,'1-Input'!$B$12,0))-MIN(MAX(AH743,0),MAX(0,AD726-IF($A744&gt;='1-Input'!$C$12,'1-Input'!$B$12,0))))*(1/(1-'P-Parametri'!$B$6*AD744))),MAX(0,2*AD726-(AH743-MIN(MAX(AH743,0),MAX(0,AD726-IF($A744&gt;='1-Input'!$C$12,'1-Input'!$B$12,0)))))*(1/(1-'P-Parametri'!$B$6*AD744))))</f>
        <v>20875.244481733294</v>
      </c>
      <c r="AF744" s="18">
        <f>IF($A744&gt;('1-Input'!$B$26-2),AH743,(AH743-MAX(0,AD726-IF($A744&gt;='1-Input'!$C$12,'1-Input'!$B$12,0))+AE744*(1-'P-Parametri'!$B$6*AD744))*(1+'1-Input'!$B$27))</f>
        <v>36149.725057315343</v>
      </c>
      <c r="AG744" s="18">
        <f>IF($A744&gt;('1-Input'!$B$26-2),AI743,(AI743-AE744)*(1+'5-Roberta'!$C$4))</f>
        <v>215563.90995902961</v>
      </c>
      <c r="AH744" s="18">
        <f>IF($A744&gt;('1-Input'!$B$26-2),AF744,AF744-'P-Parametri'!$B$8*(AG744+AF744)+MIN(MAX(AG744,0),'P-Parametri'!$B$8*(AG744+AF744)))</f>
        <v>36149.725057315343</v>
      </c>
      <c r="AI744" s="18">
        <f>IF($A744&gt;('1-Input'!$B$26-2),AG744,AG744-MIN(MAX(AG744,0),'P-Parametri'!$B$8*(AG744+AF744)))</f>
        <v>215060.48268899691</v>
      </c>
      <c r="AJ744" s="18">
        <f>IF($A744&gt;('1-Input'!$B$26-2),AJ743,AJ743-AE744*(1-AD744))</f>
        <v>108857.77824297738</v>
      </c>
      <c r="AK744" s="11">
        <f>IF($A744&gt;('1-Input'!$B$26-2),0,IF(AP743&lt;=0,0,MAX(0,(AP743-AQ743)/AP743)))</f>
        <v>0.47985955282227666</v>
      </c>
      <c r="AL744" s="18">
        <f>IF($A744&gt;('1-Input'!$B$26-2),0,(MAX(0,AK726-IF($A744&gt;='1-Input'!$C$12,'1-Input'!$B$12,0))-MIN(MAX(AO743,0),MAX(0,AK726-IF($A744&gt;='1-Input'!$C$12,'1-Input'!$B$12,0))))*(1/(1-'P-Parametri'!$B$6*AK744))+MIN(MAX(0,AP743-(MAX(0,AK726-IF($A744&gt;='1-Input'!$C$12,'1-Input'!$B$12,0))-MIN(MAX(AO743,0),MAX(0,AK726-IF($A744&gt;='1-Input'!$C$12,'1-Input'!$B$12,0))))*(1/(1-'P-Parametri'!$B$6*AK744))),MAX(0,2*AK726-(AO743-MIN(MAX(AO743,0),MAX(0,AK726-IF($A744&gt;='1-Input'!$C$12,'1-Input'!$B$12,0)))))*(1/(1-'P-Parametri'!$B$6*AK744))))</f>
        <v>20875.158604076507</v>
      </c>
      <c r="AM744" s="18">
        <f>IF($A744&gt;('1-Input'!$B$26-2),AO743,(AO743-MAX(0,AK726-IF($A744&gt;='1-Input'!$C$12,'1-Input'!$B$12,0))+AL744*(1-'P-Parametri'!$B$6*AK744))*(1+'1-Input'!$B$27))</f>
        <v>36149.576189835549</v>
      </c>
      <c r="AN744" s="18">
        <f>IF($A744&gt;('1-Input'!$B$26-2),AP743,(AP743-AL744)*(1+'5-Roberta'!$C$4))</f>
        <v>215565.8366441933</v>
      </c>
      <c r="AO744" s="18">
        <f>IF($A744&gt;('1-Input'!$B$26-2),AM744,AM744-'P-Parametri'!$B$8*(AN744+AM744)+MIN(MAX(AN744,0),'P-Parametri'!$B$8*(AN744+AM744)))</f>
        <v>36149.576189835549</v>
      </c>
      <c r="AP744" s="18">
        <f>IF($A744&gt;('1-Input'!$B$26-2),AN744,AN744-MIN(MAX(AN744,0),'P-Parametri'!$B$8*(AN744+AM744)))</f>
        <v>215062.40581852524</v>
      </c>
      <c r="AQ744" s="18">
        <f>IF($A744&gt;('1-Input'!$B$26-2),AQ743,AQ743-AL744*(1-AK744))</f>
        <v>108858.74822169977</v>
      </c>
    </row>
    <row r="745" spans="1:43">
      <c r="A745" s="10">
        <f>17</f>
        <v>17</v>
      </c>
      <c r="B745" s="11">
        <f>IF($A745&gt;('1-Input'!$B$26-2),0,IF(G744&lt;=0,0,MAX(0,(G744-H744)/G744)))</f>
        <v>0.49411385208894759</v>
      </c>
      <c r="C745" s="18">
        <f>IF($A745&gt;('1-Input'!$B$26-2),0,(MAX(0,B726-IF($A745&gt;='1-Input'!$C$12,'1-Input'!$B$12,0))-MIN(MAX(F744,0),MAX(0,B726-IF($A745&gt;='1-Input'!$C$12,'1-Input'!$B$12,0))))*(1/(1-'P-Parametri'!$B$6*B745))+MIN(MAX(0,G744-(MAX(0,B726-IF($A745&gt;='1-Input'!$C$12,'1-Input'!$B$12,0))-MIN(MAX(F744,0),MAX(0,B726-IF($A745&gt;='1-Input'!$C$12,'1-Input'!$B$12,0))))*(1/(1-'P-Parametri'!$B$6*B745))),MAX(0,2*B726-(F744-MIN(MAX(F744,0),MAX(0,B726-IF($A745&gt;='1-Input'!$C$12,'1-Input'!$B$12,0)))))*(1/(1-'P-Parametri'!$B$6*B745))))</f>
        <v>19277.765804427632</v>
      </c>
      <c r="D745" s="18">
        <f>IF($A745&gt;('1-Input'!$B$26-2),F744,(F744-MAX(0,B726-IF($A745&gt;='1-Input'!$C$12,'1-Input'!$B$12,0))+C745*(1-'P-Parametri'!$B$6*B745))*(1+'1-Input'!$B$27))</f>
        <v>33242.0070309863</v>
      </c>
      <c r="E745" s="18">
        <f>IF($A745&gt;('1-Input'!$B$26-2),G744,(G744-C745)*(1+'5-Roberta'!$C$4))</f>
        <v>240347.83782456245</v>
      </c>
      <c r="F745" s="18">
        <f>IF($A745&gt;('1-Input'!$B$26-2),D745,D745-'P-Parametri'!$B$8*(E745+D745)+MIN(MAX(E745,0),'P-Parametri'!$B$8*(E745+D745)))</f>
        <v>33242.0070309863</v>
      </c>
      <c r="G745" s="18">
        <f>IF($A745&gt;('1-Input'!$B$26-2),E745,E745-MIN(MAX(E745,0),'P-Parametri'!$B$8*(E745+D745)))</f>
        <v>239800.65813485134</v>
      </c>
      <c r="H745" s="18">
        <f>IF($A745&gt;('1-Input'!$B$26-2),H744,H744-C745*(1-B745))</f>
        <v>118047.22508331867</v>
      </c>
      <c r="I745" s="11">
        <f>IF($A745&gt;('1-Input'!$B$26-2),0,IF(N744&lt;=0,0,MAX(0,(N744-O744)/N744)))</f>
        <v>0.49268996913273894</v>
      </c>
      <c r="J745" s="18">
        <f>IF($A745&gt;('1-Input'!$B$26-2),0,(MAX(0,I726-IF($A745&gt;='1-Input'!$C$12,'1-Input'!$B$12,0))-MIN(MAX(M744,0),MAX(0,I726-IF($A745&gt;='1-Input'!$C$12,'1-Input'!$B$12,0))))*(1/(1-'P-Parametri'!$B$6*I745))+MIN(MAX(0,N744-(MAX(0,I726-IF($A745&gt;='1-Input'!$C$12,'1-Input'!$B$12,0))-MIN(MAX(M744,0),MAX(0,I726-IF($A745&gt;='1-Input'!$C$12,'1-Input'!$B$12,0))))*(1/(1-'P-Parametri'!$B$6*I745))),MAX(0,2*I726-(M744-MIN(MAX(M744,0),MAX(0,I726-IF($A745&gt;='1-Input'!$C$12,'1-Input'!$B$12,0)))))*(1/(1-'P-Parametri'!$B$6*I745))))</f>
        <v>25354.711121650627</v>
      </c>
      <c r="K745" s="18">
        <f>IF($A745&gt;('1-Input'!$B$26-2),M744,(M744-MAX(0,I726-IF($A745&gt;='1-Input'!$C$12,'1-Input'!$B$12,0))+J745*(1-'P-Parametri'!$B$6*I745))*(1+'1-Input'!$B$27))</f>
        <v>43739.482935508291</v>
      </c>
      <c r="L745" s="18">
        <f>IF($A745&gt;('1-Input'!$B$26-2),N744,(N744-J745)*(1+'5-Roberta'!$C$4))</f>
        <v>94422.728033953303</v>
      </c>
      <c r="M745" s="18">
        <f>IF($A745&gt;('1-Input'!$B$26-2),K745,K745-'P-Parametri'!$B$8*(L745+K745)+MIN(MAX(L745,0),'P-Parametri'!$B$8*(L745+K745)))</f>
        <v>43739.482935508291</v>
      </c>
      <c r="N745" s="18">
        <f>IF($A745&gt;('1-Input'!$B$26-2),L745,L745-MIN(MAX(L745,0),'P-Parametri'!$B$8*(L745+K745)))</f>
        <v>94146.403612014386</v>
      </c>
      <c r="O745" s="18">
        <f>IF($A745&gt;('1-Input'!$B$26-2),O744,O744-J745*(1-I745))</f>
        <v>46506.404925704701</v>
      </c>
      <c r="P745" s="11">
        <f>IF($A745&gt;('1-Input'!$B$26-2),0,IF(U744&lt;=0,0,MAX(0,(U744-V744)/U744)))</f>
        <v>0.49377457076166009</v>
      </c>
      <c r="Q745" s="18">
        <f>IF($A745&gt;('1-Input'!$B$26-2),0,(MAX(0,P726-IF($A745&gt;='1-Input'!$C$12,'1-Input'!$B$12,0))-MIN(MAX(T744,0),MAX(0,P726-IF($A745&gt;='1-Input'!$C$12,'1-Input'!$B$12,0))))*(1/(1-'P-Parametri'!$B$6*P745))+MIN(MAX(0,U744-(MAX(0,P726-IF($A745&gt;='1-Input'!$C$12,'1-Input'!$B$12,0))-MIN(MAX(T744,0),MAX(0,P726-IF($A745&gt;='1-Input'!$C$12,'1-Input'!$B$12,0))))*(1/(1-'P-Parametri'!$B$6*P745))),MAX(0,2*P726-(T744-MIN(MAX(T744,0),MAX(0,P726-IF($A745&gt;='1-Input'!$C$12,'1-Input'!$B$12,0)))))*(1/(1-'P-Parametri'!$B$6*P745))))</f>
        <v>21239.655160210132</v>
      </c>
      <c r="R745" s="18">
        <f>IF($A745&gt;('1-Input'!$B$26-2),T744,(T744-MAX(0,P726-IF($A745&gt;='1-Input'!$C$12,'1-Input'!$B$12,0))+Q745*(1-'P-Parametri'!$B$6*P745))*(1+'1-Input'!$B$27))</f>
        <v>36628.737843878102</v>
      </c>
      <c r="S745" s="18">
        <f>IF($A745&gt;('1-Input'!$B$26-2),U744,(U744-Q745)*(1+'5-Roberta'!$C$4))</f>
        <v>193261.78062616487</v>
      </c>
      <c r="T745" s="18">
        <f>IF($A745&gt;('1-Input'!$B$26-2),R745,R745-'P-Parametri'!$B$8*(S745+R745)+MIN(MAX(S745,0),'P-Parametri'!$B$8*(S745+R745)))</f>
        <v>36628.737843878102</v>
      </c>
      <c r="U745" s="18">
        <f>IF($A745&gt;('1-Input'!$B$26-2),S745,S745-MIN(MAX(S745,0),'P-Parametri'!$B$8*(S745+R745)))</f>
        <v>192801.99958922478</v>
      </c>
      <c r="V745" s="18">
        <f>IF($A745&gt;('1-Input'!$B$26-2),V744,V744-Q745*(1-P745))</f>
        <v>94984.493061015732</v>
      </c>
      <c r="W745" s="11">
        <f>IF($A745&gt;('1-Input'!$B$26-2),0,IF(AB744&lt;=0,0,MAX(0,(AB744-AC744)/AB744)))</f>
        <v>0.49382405337192536</v>
      </c>
      <c r="X745" s="18">
        <f>IF($A745&gt;('1-Input'!$B$26-2),0,(MAX(0,W726-IF($A745&gt;='1-Input'!$C$12,'1-Input'!$B$12,0))-MIN(MAX(AA744,0),MAX(0,W726-IF($A745&gt;='1-Input'!$C$12,'1-Input'!$B$12,0))))*(1/(1-'P-Parametri'!$B$6*W745))+MIN(MAX(0,AB744-(MAX(0,W726-IF($A745&gt;='1-Input'!$C$12,'1-Input'!$B$12,0))-MIN(MAX(AA744,0),MAX(0,W726-IF($A745&gt;='1-Input'!$C$12,'1-Input'!$B$12,0))))*(1/(1-'P-Parametri'!$B$6*W745))),MAX(0,2*W726-(AA744-MIN(MAX(AA744,0),MAX(0,W726-IF($A745&gt;='1-Input'!$C$12,'1-Input'!$B$12,0)))))*(1/(1-'P-Parametri'!$B$6*W745))))</f>
        <v>20978.79536102133</v>
      </c>
      <c r="Y745" s="18">
        <f>IF($A745&gt;('1-Input'!$B$26-2),AA744,(AA744-MAX(0,W726-IF($A745&gt;='1-Input'!$C$12,'1-Input'!$B$12,0))+X745*(1-'P-Parametri'!$B$6*W745))*(1+'1-Input'!$B$27))</f>
        <v>36178.339405303275</v>
      </c>
      <c r="Z745" s="18">
        <f>IF($A745&gt;('1-Input'!$B$26-2),AB744,(AB744-X745)*(1+'5-Roberta'!$C$4))</f>
        <v>199523.39700531078</v>
      </c>
      <c r="AA745" s="18">
        <f>IF($A745&gt;('1-Input'!$B$26-2),Y745,Y745-'P-Parametri'!$B$8*(Z745+Y745)+MIN(MAX(Z745,0),'P-Parametri'!$B$8*(Z745+Y745)))</f>
        <v>36178.339405303275</v>
      </c>
      <c r="AB745" s="18">
        <f>IF($A745&gt;('1-Input'!$B$26-2),Z745,Z745-MIN(MAX(Z745,0),'P-Parametri'!$B$8*(Z745+Y745)))</f>
        <v>199051.99353248955</v>
      </c>
      <c r="AC745" s="18">
        <f>IF($A745&gt;('1-Input'!$B$26-2),AC744,AC744-X745*(1-W745))</f>
        <v>98052.373158846924</v>
      </c>
      <c r="AD745" s="11">
        <f>IF($A745&gt;('1-Input'!$B$26-2),0,IF(AI744&lt;=0,0,MAX(0,(AI744-AJ744)/AI744)))</f>
        <v>0.49382714628982444</v>
      </c>
      <c r="AE745" s="18">
        <f>IF($A745&gt;('1-Input'!$B$26-2),0,(MAX(0,AD726-IF($A745&gt;='1-Input'!$C$12,'1-Input'!$B$12,0))-MIN(MAX(AH744,0),MAX(0,AD726-IF($A745&gt;='1-Input'!$C$12,'1-Input'!$B$12,0))))*(1/(1-'P-Parametri'!$B$6*AD745))+MIN(MAX(0,AI744-(MAX(0,AD726-IF($A745&gt;='1-Input'!$C$12,'1-Input'!$B$12,0))-MIN(MAX(AH744,0),MAX(0,AD726-IF($A745&gt;='1-Input'!$C$12,'1-Input'!$B$12,0))))*(1/(1-'P-Parametri'!$B$6*AD745))),MAX(0,2*AD726-(AH744-MIN(MAX(AH744,0),MAX(0,AD726-IF($A745&gt;='1-Input'!$C$12,'1-Input'!$B$12,0)))))*(1/(1-'P-Parametri'!$B$6*AD745))))</f>
        <v>20962.222050372802</v>
      </c>
      <c r="AF745" s="18">
        <f>IF($A745&gt;('1-Input'!$B$26-2),AH744,(AH744-MAX(0,AD726-IF($A745&gt;='1-Input'!$C$12,'1-Input'!$B$12,0))+AE745*(1-'P-Parametri'!$B$6*AD745))*(1+'1-Input'!$B$27))</f>
        <v>36149.725057315343</v>
      </c>
      <c r="AG745" s="18">
        <f>IF($A745&gt;('1-Input'!$B$26-2),AI744,(AI744-AE745)*(1+'5-Roberta'!$C$4))</f>
        <v>199921.20845778284</v>
      </c>
      <c r="AH745" s="18">
        <f>IF($A745&gt;('1-Input'!$B$26-2),AF745,AF745-'P-Parametri'!$B$8*(AG745+AF745)+MIN(MAX(AG745,0),'P-Parametri'!$B$8*(AG745+AF745)))</f>
        <v>36149.725057315343</v>
      </c>
      <c r="AI745" s="18">
        <f>IF($A745&gt;('1-Input'!$B$26-2),AG745,AG745-MIN(MAX(AG745,0),'P-Parametri'!$B$8*(AG745+AF745)))</f>
        <v>199449.06659075263</v>
      </c>
      <c r="AJ745" s="18">
        <f>IF($A745&gt;('1-Input'!$B$26-2),AJ744,AJ744-AE745*(1-AD745))</f>
        <v>98247.27048763381</v>
      </c>
      <c r="AK745" s="11">
        <f>IF($A745&gt;('1-Input'!$B$26-2),0,IF(AP744&lt;=0,0,MAX(0,(AP744-AQ744)/AP744)))</f>
        <v>0.4938271623653398</v>
      </c>
      <c r="AL745" s="18">
        <f>IF($A745&gt;('1-Input'!$B$26-2),0,(MAX(0,AK726-IF($A745&gt;='1-Input'!$C$12,'1-Input'!$B$12,0))-MIN(MAX(AO744,0),MAX(0,AK726-IF($A745&gt;='1-Input'!$C$12,'1-Input'!$B$12,0))))*(1/(1-'P-Parametri'!$B$6*AK745))+MIN(MAX(0,AP744-(MAX(0,AK726-IF($A745&gt;='1-Input'!$C$12,'1-Input'!$B$12,0))-MIN(MAX(AO744,0),MAX(0,AK726-IF($A745&gt;='1-Input'!$C$12,'1-Input'!$B$12,0))))*(1/(1-'P-Parametri'!$B$6*AK745))),MAX(0,2*AK726-(AO744-MIN(MAX(AO744,0),MAX(0,AK726-IF($A745&gt;='1-Input'!$C$12,'1-Input'!$B$12,0)))))*(1/(1-'P-Parametri'!$B$6*AK745))))</f>
        <v>20962.135826774185</v>
      </c>
      <c r="AM745" s="18">
        <f>IF($A745&gt;('1-Input'!$B$26-2),AO744,(AO744-MAX(0,AK726-IF($A745&gt;='1-Input'!$C$12,'1-Input'!$B$12,0))+AL745*(1-'P-Parametri'!$B$6*AK745))*(1+'1-Input'!$B$27))</f>
        <v>36149.576189835549</v>
      </c>
      <c r="AN745" s="18">
        <f>IF($A745&gt;('1-Input'!$B$26-2),AP744,(AP744-AL745)*(1+'5-Roberta'!$C$4))</f>
        <v>199923.2780915036</v>
      </c>
      <c r="AO745" s="18">
        <f>IF($A745&gt;('1-Input'!$B$26-2),AM745,AM745-'P-Parametri'!$B$8*(AN745+AM745)+MIN(MAX(AN745,0),'P-Parametri'!$B$8*(AN745+AM745)))</f>
        <v>36149.576189835549</v>
      </c>
      <c r="AP745" s="18">
        <f>IF($A745&gt;('1-Input'!$B$26-2),AN745,AN745-MIN(MAX(AN745,0),'P-Parametri'!$B$8*(AN745+AM745)))</f>
        <v>199451.13238294091</v>
      </c>
      <c r="AQ745" s="18">
        <f>IF($A745&gt;('1-Input'!$B$26-2),AQ744,AQ744-AL745*(1-AK745))</f>
        <v>98248.284447378304</v>
      </c>
    </row>
    <row r="746" spans="1:43">
      <c r="A746" s="10">
        <f>18</f>
        <v>18</v>
      </c>
      <c r="B746" s="11">
        <f>IF($A746&gt;('1-Input'!$B$26-2),0,IF(G745&lt;=0,0,MAX(0,(G745-H745)/G745)))</f>
        <v>0.50772768514698952</v>
      </c>
      <c r="C746" s="18">
        <f>IF($A746&gt;('1-Input'!$B$26-2),0,(MAX(0,B726-IF($A746&gt;='1-Input'!$C$12,'1-Input'!$B$12,0))-MIN(MAX(F745,0),MAX(0,B726-IF($A746&gt;='1-Input'!$C$12,'1-Input'!$B$12,0))))*(1/(1-'P-Parametri'!$B$6*B746))+MIN(MAX(0,G745-(MAX(0,B726-IF($A746&gt;='1-Input'!$C$12,'1-Input'!$B$12,0))-MIN(MAX(F745,0),MAX(0,B726-IF($A746&gt;='1-Input'!$C$12,'1-Input'!$B$12,0))))*(1/(1-'P-Parametri'!$B$6*B746))),MAX(0,2*B726-(F745-MIN(MAX(F745,0),MAX(0,B726-IF($A746&gt;='1-Input'!$C$12,'1-Input'!$B$12,0)))))*(1/(1-'P-Parametri'!$B$6*B746))))</f>
        <v>19356.37898103728</v>
      </c>
      <c r="D746" s="18">
        <f>IF($A746&gt;('1-Input'!$B$26-2),F745,(F745-MAX(0,B726-IF($A746&gt;='1-Input'!$C$12,'1-Input'!$B$12,0))+C746*(1-'P-Parametri'!$B$6*B746))*(1+'1-Input'!$B$27))</f>
        <v>33242.0070309863</v>
      </c>
      <c r="E746" s="18">
        <f>IF($A746&gt;('1-Input'!$B$26-2),G745,(G745-C746)*(1+'5-Roberta'!$C$4))</f>
        <v>227057.60752842849</v>
      </c>
      <c r="F746" s="18">
        <f>IF($A746&gt;('1-Input'!$B$26-2),D746,D746-'P-Parametri'!$B$8*(E746+D746)+MIN(MAX(E746,0),'P-Parametri'!$B$8*(E746+D746)))</f>
        <v>33242.0070309863</v>
      </c>
      <c r="G746" s="18">
        <f>IF($A746&gt;('1-Input'!$B$26-2),E746,E746-MIN(MAX(E746,0),'P-Parametri'!$B$8*(E746+D746)))</f>
        <v>226537.00829930967</v>
      </c>
      <c r="H746" s="18">
        <f>IF($A746&gt;('1-Input'!$B$26-2),H745,H745-C746*(1-B746))</f>
        <v>108518.61559515129</v>
      </c>
      <c r="I746" s="11">
        <f>IF($A746&gt;('1-Input'!$B$26-2),0,IF(N745&lt;=0,0,MAX(0,(N745-O745)/N745)))</f>
        <v>0.50602037739687133</v>
      </c>
      <c r="J746" s="18">
        <f>IF($A746&gt;('1-Input'!$B$26-2),0,(MAX(0,I726-IF($A746&gt;='1-Input'!$C$12,'1-Input'!$B$12,0))-MIN(MAX(M745,0),MAX(0,I726-IF($A746&gt;='1-Input'!$C$12,'1-Input'!$B$12,0))))*(1/(1-'P-Parametri'!$B$6*I746))+MIN(MAX(0,N745-(MAX(0,I726-IF($A746&gt;='1-Input'!$C$12,'1-Input'!$B$12,0))-MIN(MAX(M745,0),MAX(0,I726-IF($A746&gt;='1-Input'!$C$12,'1-Input'!$B$12,0))))*(1/(1-'P-Parametri'!$B$6*I746))),MAX(0,2*I726-(M745-MIN(MAX(M745,0),MAX(0,I726-IF($A746&gt;='1-Input'!$C$12,'1-Input'!$B$12,0)))))*(1/(1-'P-Parametri'!$B$6*I746))))</f>
        <v>25455.901284807944</v>
      </c>
      <c r="K746" s="18">
        <f>IF($A746&gt;('1-Input'!$B$26-2),M745,(M745-MAX(0,I726-IF($A746&gt;='1-Input'!$C$12,'1-Input'!$B$12,0))+J746*(1-'P-Parametri'!$B$6*I746))*(1+'1-Input'!$B$27))</f>
        <v>43739.482935508291</v>
      </c>
      <c r="L746" s="18">
        <f>IF($A746&gt;('1-Input'!$B$26-2),N745,(N745-J746)*(1+'5-Roberta'!$C$4))</f>
        <v>70751.217397022643</v>
      </c>
      <c r="M746" s="18">
        <f>IF($A746&gt;('1-Input'!$B$26-2),K746,K746-'P-Parametri'!$B$8*(L746+K746)+MIN(MAX(L746,0),'P-Parametri'!$B$8*(L746+K746)))</f>
        <v>43739.482935508291</v>
      </c>
      <c r="N746" s="18">
        <f>IF($A746&gt;('1-Input'!$B$26-2),L746,L746-MIN(MAX(L746,0),'P-Parametri'!$B$8*(L746+K746)))</f>
        <v>70522.235996357587</v>
      </c>
      <c r="O746" s="18">
        <f>IF($A746&gt;('1-Input'!$B$26-2),O745,O745-J746*(1-I746))</f>
        <v>33931.708416012771</v>
      </c>
      <c r="P746" s="11">
        <f>IF($A746&gt;('1-Input'!$B$26-2),0,IF(U745&lt;=0,0,MAX(0,(U745-V745)/U745)))</f>
        <v>0.50734695042901323</v>
      </c>
      <c r="Q746" s="18">
        <f>IF($A746&gt;('1-Input'!$B$26-2),0,(MAX(0,P726-IF($A746&gt;='1-Input'!$C$12,'1-Input'!$B$12,0))-MIN(MAX(T745,0),MAX(0,P726-IF($A746&gt;='1-Input'!$C$12,'1-Input'!$B$12,0))))*(1/(1-'P-Parametri'!$B$6*P746))+MIN(MAX(0,U745-(MAX(0,P726-IF($A746&gt;='1-Input'!$C$12,'1-Input'!$B$12,0))-MIN(MAX(T745,0),MAX(0,P726-IF($A746&gt;='1-Input'!$C$12,'1-Input'!$B$12,0))))*(1/(1-'P-Parametri'!$B$6*P746))),MAX(0,2*P726-(T745-MIN(MAX(T745,0),MAX(0,P726-IF($A746&gt;='1-Input'!$C$12,'1-Input'!$B$12,0)))))*(1/(1-'P-Parametri'!$B$6*P746))))</f>
        <v>21325.995183110874</v>
      </c>
      <c r="R746" s="18">
        <f>IF($A746&gt;('1-Input'!$B$26-2),T745,(T745-MAX(0,P726-IF($A746&gt;='1-Input'!$C$12,'1-Input'!$B$12,0))+Q746*(1-'P-Parametri'!$B$6*P746))*(1+'1-Input'!$B$27))</f>
        <v>36628.737843878109</v>
      </c>
      <c r="S746" s="18">
        <f>IF($A746&gt;('1-Input'!$B$26-2),U745,(U745-Q746)*(1+'5-Roberta'!$C$4))</f>
        <v>176620.28453829733</v>
      </c>
      <c r="T746" s="18">
        <f>IF($A746&gt;('1-Input'!$B$26-2),R746,R746-'P-Parametri'!$B$8*(S746+R746)+MIN(MAX(S746,0),'P-Parametri'!$B$8*(S746+R746)))</f>
        <v>36628.737843878109</v>
      </c>
      <c r="U746" s="18">
        <f>IF($A746&gt;('1-Input'!$B$26-2),S746,S746-MIN(MAX(S746,0),'P-Parametri'!$B$8*(S746+R746)))</f>
        <v>176193.78649353297</v>
      </c>
      <c r="V746" s="18">
        <f>IF($A746&gt;('1-Input'!$B$26-2),V745,V745-Q746*(1-P746))</f>
        <v>84478.176498919987</v>
      </c>
      <c r="W746" s="11">
        <f>IF($A746&gt;('1-Input'!$B$26-2),0,IF(AB745&lt;=0,0,MAX(0,(AB745-AC745)/AB745)))</f>
        <v>0.50740320948937057</v>
      </c>
      <c r="X746" s="18">
        <f>IF($A746&gt;('1-Input'!$B$26-2),0,(MAX(0,W726-IF($A746&gt;='1-Input'!$C$12,'1-Input'!$B$12,0))-MIN(MAX(AA745,0),MAX(0,W726-IF($A746&gt;='1-Input'!$C$12,'1-Input'!$B$12,0))))*(1/(1-'P-Parametri'!$B$6*W746))+MIN(MAX(0,AB745-(MAX(0,W726-IF($A746&gt;='1-Input'!$C$12,'1-Input'!$B$12,0))-MIN(MAX(AA745,0),MAX(0,W726-IF($A746&gt;='1-Input'!$C$12,'1-Input'!$B$12,0))))*(1/(1-'P-Parametri'!$B$6*W746))),MAX(0,2*W726-(AA745-MIN(MAX(AA745,0),MAX(0,W726-IF($A746&gt;='1-Input'!$C$12,'1-Input'!$B$12,0)))))*(1/(1-'P-Parametri'!$B$6*W746))))</f>
        <v>21064.118995028271</v>
      </c>
      <c r="Y746" s="18">
        <f>IF($A746&gt;('1-Input'!$B$26-2),AA745,(AA745-MAX(0,W726-IF($A746&gt;='1-Input'!$C$12,'1-Input'!$B$12,0))+X746*(1-'P-Parametri'!$B$6*W746))*(1+'1-Input'!$B$27))</f>
        <v>36178.339405303268</v>
      </c>
      <c r="Z746" s="18">
        <f>IF($A746&gt;('1-Input'!$B$26-2),AB745,(AB745-X746)*(1+'5-Roberta'!$C$4))</f>
        <v>183327.51077358512</v>
      </c>
      <c r="AA746" s="18">
        <f>IF($A746&gt;('1-Input'!$B$26-2),Y746,Y746-'P-Parametri'!$B$8*(Z746+Y746)+MIN(MAX(Z746,0),'P-Parametri'!$B$8*(Z746+Y746)))</f>
        <v>36178.339405303268</v>
      </c>
      <c r="AB746" s="18">
        <f>IF($A746&gt;('1-Input'!$B$26-2),Z746,Z746-MIN(MAX(Z746,0),'P-Parametri'!$B$8*(Z746+Y746)))</f>
        <v>182888.49907322734</v>
      </c>
      <c r="AC746" s="18">
        <f>IF($A746&gt;('1-Input'!$B$26-2),AC745,AC745-X746*(1-W746))</f>
        <v>87676.255746962008</v>
      </c>
      <c r="AD746" s="11">
        <f>IF($A746&gt;('1-Input'!$B$26-2),0,IF(AI745&lt;=0,0,MAX(0,(AI745-AJ745)/AI745)))</f>
        <v>0.50740671707816853</v>
      </c>
      <c r="AE746" s="18">
        <f>IF($A746&gt;('1-Input'!$B$26-2),0,(MAX(0,AD726-IF($A746&gt;='1-Input'!$C$12,'1-Input'!$B$12,0))-MIN(MAX(AH745,0),MAX(0,AD726-IF($A746&gt;='1-Input'!$C$12,'1-Input'!$B$12,0))))*(1/(1-'P-Parametri'!$B$6*AD746))+MIN(MAX(0,AI745-(MAX(0,AD726-IF($A746&gt;='1-Input'!$C$12,'1-Input'!$B$12,0))-MIN(MAX(AH745,0),MAX(0,AD726-IF($A746&gt;='1-Input'!$C$12,'1-Input'!$B$12,0))))*(1/(1-'P-Parametri'!$B$6*AD746))),MAX(0,2*AD726-(AH745-MIN(MAX(AH745,0),MAX(0,AD726-IF($A746&gt;='1-Input'!$C$12,'1-Input'!$B$12,0)))))*(1/(1-'P-Parametri'!$B$6*AD746))))</f>
        <v>21047.480971521716</v>
      </c>
      <c r="AF746" s="18">
        <f>IF($A746&gt;('1-Input'!$B$26-2),AH745,(AH745-MAX(0,AD726-IF($A746&gt;='1-Input'!$C$12,'1-Input'!$B$12,0))+AE746*(1-'P-Parametri'!$B$6*AD746))*(1+'1-Input'!$B$27))</f>
        <v>36149.725057315343</v>
      </c>
      <c r="AG746" s="18">
        <f>IF($A746&gt;('1-Input'!$B$26-2),AI745,(AI745-AE746)*(1+'5-Roberta'!$C$4))</f>
        <v>183753.63318780783</v>
      </c>
      <c r="AH746" s="18">
        <f>IF($A746&gt;('1-Input'!$B$26-2),AF746,AF746-'P-Parametri'!$B$8*(AG746+AF746)+MIN(MAX(AG746,0),'P-Parametri'!$B$8*(AG746+AF746)))</f>
        <v>36149.725057315343</v>
      </c>
      <c r="AI746" s="18">
        <f>IF($A746&gt;('1-Input'!$B$26-2),AG746,AG746-MIN(MAX(AG746,0),'P-Parametri'!$B$8*(AG746+AF746)))</f>
        <v>183313.82647131759</v>
      </c>
      <c r="AJ746" s="18">
        <f>IF($A746&gt;('1-Input'!$B$26-2),AJ745,AJ745-AE746*(1-AD746))</f>
        <v>87879.422738637149</v>
      </c>
      <c r="AK746" s="11">
        <f>IF($A746&gt;('1-Input'!$B$26-2),0,IF(AP745&lt;=0,0,MAX(0,(AP745-AQ745)/AP745)))</f>
        <v>0.50740673530624936</v>
      </c>
      <c r="AL746" s="18">
        <f>IF($A746&gt;('1-Input'!$B$26-2),0,(MAX(0,AK726-IF($A746&gt;='1-Input'!$C$12,'1-Input'!$B$12,0))-MIN(MAX(AO745,0),MAX(0,AK726-IF($A746&gt;='1-Input'!$C$12,'1-Input'!$B$12,0))))*(1/(1-'P-Parametri'!$B$6*AK746))+MIN(MAX(0,AP745-(MAX(0,AK726-IF($A746&gt;='1-Input'!$C$12,'1-Input'!$B$12,0))-MIN(MAX(AO745,0),MAX(0,AK726-IF($A746&gt;='1-Input'!$C$12,'1-Input'!$B$12,0))))*(1/(1-'P-Parametri'!$B$6*AK746))),MAX(0,2*AK726-(AO745-MIN(MAX(AO745,0),MAX(0,AK726-IF($A746&gt;='1-Input'!$C$12,'1-Input'!$B$12,0)))))*(1/(1-'P-Parametri'!$B$6*AK746))))</f>
        <v>21047.394411209072</v>
      </c>
      <c r="AM746" s="18">
        <f>IF($A746&gt;('1-Input'!$B$26-2),AO745,(AO745-MAX(0,AK726-IF($A746&gt;='1-Input'!$C$12,'1-Input'!$B$12,0))+AL746*(1-'P-Parametri'!$B$6*AK746))*(1+'1-Input'!$B$27))</f>
        <v>36149.576189835549</v>
      </c>
      <c r="AN746" s="18">
        <f>IF($A746&gt;('1-Input'!$B$26-2),AP745,(AP745-AL746)*(1+'5-Roberta'!$C$4))</f>
        <v>183755.8501108838</v>
      </c>
      <c r="AO746" s="18">
        <f>IF($A746&gt;('1-Input'!$B$26-2),AM746,AM746-'P-Parametri'!$B$8*(AN746+AM746)+MIN(MAX(AN746,0),'P-Parametri'!$B$8*(AN746+AM746)))</f>
        <v>36149.576189835549</v>
      </c>
      <c r="AP746" s="18">
        <f>IF($A746&gt;('1-Input'!$B$26-2),AN746,AN746-MIN(MAX(AN746,0),'P-Parametri'!$B$8*(AN746+AM746)))</f>
        <v>183316.03925828237</v>
      </c>
      <c r="AQ746" s="18">
        <f>IF($A746&gt;('1-Input'!$B$26-2),AQ745,AQ745-AL746*(1-AK746))</f>
        <v>87880.479721063821</v>
      </c>
    </row>
    <row r="747" spans="1:43">
      <c r="A747" s="10">
        <f>19</f>
        <v>19</v>
      </c>
      <c r="B747" s="11">
        <f>IF($A747&gt;('1-Input'!$B$26-2),0,IF(G746&lt;=0,0,MAX(0,(G746-H746)/G746)))</f>
        <v>0.52096738449122537</v>
      </c>
      <c r="C747" s="18">
        <f>IF($A747&gt;('1-Input'!$B$26-2),0,(MAX(0,B726-IF($A747&gt;='1-Input'!$C$12,'1-Input'!$B$12,0))-MIN(MAX(F746,0),MAX(0,B726-IF($A747&gt;='1-Input'!$C$12,'1-Input'!$B$12,0))))*(1/(1-'P-Parametri'!$B$6*B747))+MIN(MAX(0,G746-(MAX(0,B726-IF($A747&gt;='1-Input'!$C$12,'1-Input'!$B$12,0))-MIN(MAX(F746,0),MAX(0,B726-IF($A747&gt;='1-Input'!$C$12,'1-Input'!$B$12,0))))*(1/(1-'P-Parametri'!$B$6*B747))),MAX(0,2*B726-(F746-MIN(MAX(F746,0),MAX(0,B726-IF($A747&gt;='1-Input'!$C$12,'1-Input'!$B$12,0)))))*(1/(1-'P-Parametri'!$B$6*B747))))</f>
        <v>19433.449136668161</v>
      </c>
      <c r="D747" s="18">
        <f>IF($A747&gt;('1-Input'!$B$26-2),F746,(F746-MAX(0,B726-IF($A747&gt;='1-Input'!$C$12,'1-Input'!$B$12,0))+C747*(1-'P-Parametri'!$B$6*B747))*(1+'1-Input'!$B$27))</f>
        <v>33242.0070309863</v>
      </c>
      <c r="E747" s="18">
        <f>IF($A747&gt;('1-Input'!$B$26-2),G746,(G746-C747)*(1+'5-Roberta'!$C$4))</f>
        <v>213316.66593752077</v>
      </c>
      <c r="F747" s="18">
        <f>IF($A747&gt;('1-Input'!$B$26-2),D747,D747-'P-Parametri'!$B$8*(E747+D747)+MIN(MAX(E747,0),'P-Parametri'!$B$8*(E747+D747)))</f>
        <v>33242.0070309863</v>
      </c>
      <c r="G747" s="18">
        <f>IF($A747&gt;('1-Input'!$B$26-2),E747,E747-MIN(MAX(E747,0),'P-Parametri'!$B$8*(E747+D747)))</f>
        <v>212823.54859158376</v>
      </c>
      <c r="H747" s="18">
        <f>IF($A747&gt;('1-Input'!$B$26-2),H746,H746-C747*(1-B747))</f>
        <v>99209.3596268564</v>
      </c>
      <c r="I747" s="11">
        <f>IF($A747&gt;('1-Input'!$B$26-2),0,IF(N746&lt;=0,0,MAX(0,(N746-O746)/N746)))</f>
        <v>0.51885092784401621</v>
      </c>
      <c r="J747" s="18">
        <f>IF($A747&gt;('1-Input'!$B$26-2),0,(MAX(0,I726-IF($A747&gt;='1-Input'!$C$12,'1-Input'!$B$12,0))-MIN(MAX(M746,0),MAX(0,I726-IF($A747&gt;='1-Input'!$C$12,'1-Input'!$B$12,0))))*(1/(1-'P-Parametri'!$B$6*I747))+MIN(MAX(0,N746-(MAX(0,I726-IF($A747&gt;='1-Input'!$C$12,'1-Input'!$B$12,0))-MIN(MAX(M746,0),MAX(0,I726-IF($A747&gt;='1-Input'!$C$12,'1-Input'!$B$12,0))))*(1/(1-'P-Parametri'!$B$6*I747))),MAX(0,2*I726-(M746-MIN(MAX(M746,0),MAX(0,I726-IF($A747&gt;='1-Input'!$C$12,'1-Input'!$B$12,0)))))*(1/(1-'P-Parametri'!$B$6*I747))))</f>
        <v>25554.062838964903</v>
      </c>
      <c r="K747" s="18">
        <f>IF($A747&gt;('1-Input'!$B$26-2),M746,(M746-MAX(0,I726-IF($A747&gt;='1-Input'!$C$12,'1-Input'!$B$12,0))+J747*(1-'P-Parametri'!$B$6*I747))*(1+'1-Input'!$B$27))</f>
        <v>43739.482935508291</v>
      </c>
      <c r="L747" s="18">
        <f>IF($A747&gt;('1-Input'!$B$26-2),N746,(N746-J747)*(1+'5-Roberta'!$C$4))</f>
        <v>46317.218352114462</v>
      </c>
      <c r="M747" s="18">
        <f>IF($A747&gt;('1-Input'!$B$26-2),K747,K747-'P-Parametri'!$B$8*(L747+K747)+MIN(MAX(L747,0),'P-Parametri'!$B$8*(L747+K747)))</f>
        <v>43739.482935508291</v>
      </c>
      <c r="N747" s="18">
        <f>IF($A747&gt;('1-Input'!$B$26-2),L747,L747-MIN(MAX(L747,0),'P-Parametri'!$B$8*(L747+K747)))</f>
        <v>46137.104949539214</v>
      </c>
      <c r="O747" s="18">
        <f>IF($A747&gt;('1-Input'!$B$26-2),O746,O746-J747*(1-I747))</f>
        <v>21636.394791229104</v>
      </c>
      <c r="P747" s="11">
        <f>IF($A747&gt;('1-Input'!$B$26-2),0,IF(U746&lt;=0,0,MAX(0,(U746-V746)/U746)))</f>
        <v>0.52053827674552711</v>
      </c>
      <c r="Q747" s="18">
        <f>IF($A747&gt;('1-Input'!$B$26-2),0,(MAX(0,P726-IF($A747&gt;='1-Input'!$C$12,'1-Input'!$B$12,0))-MIN(MAX(T746,0),MAX(0,P726-IF($A747&gt;='1-Input'!$C$12,'1-Input'!$B$12,0))))*(1/(1-'P-Parametri'!$B$6*P747))+MIN(MAX(0,U746-(MAX(0,P726-IF($A747&gt;='1-Input'!$C$12,'1-Input'!$B$12,0))-MIN(MAX(T746,0),MAX(0,P726-IF($A747&gt;='1-Input'!$C$12,'1-Input'!$B$12,0))))*(1/(1-'P-Parametri'!$B$6*P747))),MAX(0,2*P726-(T746-MIN(MAX(T746,0),MAX(0,P726-IF($A747&gt;='1-Input'!$C$12,'1-Input'!$B$12,0)))))*(1/(1-'P-Parametri'!$B$6*P747))))</f>
        <v>21410.586488273315</v>
      </c>
      <c r="R747" s="18">
        <f>IF($A747&gt;('1-Input'!$B$26-2),T746,(T746-MAX(0,P726-IF($A747&gt;='1-Input'!$C$12,'1-Input'!$B$12,0))+Q747*(1-'P-Parametri'!$B$6*P747))*(1+'1-Input'!$B$27))</f>
        <v>36628.737843878102</v>
      </c>
      <c r="S747" s="18">
        <f>IF($A747&gt;('1-Input'!$B$26-2),U746,(U746-Q747)*(1+'5-Roberta'!$C$4))</f>
        <v>159426.69600541744</v>
      </c>
      <c r="T747" s="18">
        <f>IF($A747&gt;('1-Input'!$B$26-2),R747,R747-'P-Parametri'!$B$8*(S747+R747)+MIN(MAX(S747,0),'P-Parametri'!$B$8*(S747+R747)))</f>
        <v>36628.737843878102</v>
      </c>
      <c r="U747" s="18">
        <f>IF($A747&gt;('1-Input'!$B$26-2),S747,S747-MIN(MAX(S747,0),'P-Parametri'!$B$8*(S747+R747)))</f>
        <v>159034.58513771885</v>
      </c>
      <c r="V747" s="18">
        <f>IF($A747&gt;('1-Input'!$B$26-2),V746,V746-Q747*(1-P747))</f>
        <v>74212.619805363531</v>
      </c>
      <c r="W747" s="11">
        <f>IF($A747&gt;('1-Input'!$B$26-2),0,IF(AB746&lt;=0,0,MAX(0,(AB746-AC746)/AB746)))</f>
        <v>0.52060268310334257</v>
      </c>
      <c r="X747" s="18">
        <f>IF($A747&gt;('1-Input'!$B$26-2),0,(MAX(0,W726-IF($A747&gt;='1-Input'!$C$12,'1-Input'!$B$12,0))-MIN(MAX(AA746,0),MAX(0,W726-IF($A747&gt;='1-Input'!$C$12,'1-Input'!$B$12,0))))*(1/(1-'P-Parametri'!$B$6*W747))+MIN(MAX(0,AB746-(MAX(0,W726-IF($A747&gt;='1-Input'!$C$12,'1-Input'!$B$12,0))-MIN(MAX(AA746,0),MAX(0,W726-IF($A747&gt;='1-Input'!$C$12,'1-Input'!$B$12,0))))*(1/(1-'P-Parametri'!$B$6*W747))),MAX(0,2*W726-(AA746-MIN(MAX(AA746,0),MAX(0,W726-IF($A747&gt;='1-Input'!$C$12,'1-Input'!$B$12,0)))))*(1/(1-'P-Parametri'!$B$6*W747))))</f>
        <v>21147.724770204932</v>
      </c>
      <c r="Y747" s="18">
        <f>IF($A747&gt;('1-Input'!$B$26-2),AA746,(AA746-MAX(0,W726-IF($A747&gt;='1-Input'!$C$12,'1-Input'!$B$12,0))+X747*(1-'P-Parametri'!$B$6*W747))*(1+'1-Input'!$B$27))</f>
        <v>36178.339405303268</v>
      </c>
      <c r="Z747" s="18">
        <f>IF($A747&gt;('1-Input'!$B$26-2),AB746,(AB746-X747)*(1+'5-Roberta'!$C$4))</f>
        <v>166592.99753211311</v>
      </c>
      <c r="AA747" s="18">
        <f>IF($A747&gt;('1-Input'!$B$26-2),Y747,Y747-'P-Parametri'!$B$8*(Z747+Y747)+MIN(MAX(Z747,0),'P-Parametri'!$B$8*(Z747+Y747)))</f>
        <v>36178.339405303268</v>
      </c>
      <c r="AB747" s="18">
        <f>IF($A747&gt;('1-Input'!$B$26-2),Z747,Z747-MIN(MAX(Z747,0),'P-Parametri'!$B$8*(Z747+Y747)))</f>
        <v>166187.45485823828</v>
      </c>
      <c r="AC747" s="18">
        <f>IF($A747&gt;('1-Input'!$B$26-2),AC746,AC746-X747*(1-W747))</f>
        <v>77538.093233656778</v>
      </c>
      <c r="AD747" s="11">
        <f>IF($A747&gt;('1-Input'!$B$26-2),0,IF(AI746&lt;=0,0,MAX(0,(AI746-AJ746)/AI746)))</f>
        <v>0.52060668619348627</v>
      </c>
      <c r="AE747" s="18">
        <f>IF($A747&gt;('1-Input'!$B$26-2),0,(MAX(0,AD726-IF($A747&gt;='1-Input'!$C$12,'1-Input'!$B$12,0))-MIN(MAX(AH746,0),MAX(0,AD726-IF($A747&gt;='1-Input'!$C$12,'1-Input'!$B$12,0))))*(1/(1-'P-Parametri'!$B$6*AD747))+MIN(MAX(0,AI746-(MAX(0,AD726-IF($A747&gt;='1-Input'!$C$12,'1-Input'!$B$12,0))-MIN(MAX(AH746,0),MAX(0,AD726-IF($A747&gt;='1-Input'!$C$12,'1-Input'!$B$12,0))))*(1/(1-'P-Parametri'!$B$6*AD747))),MAX(0,2*AD726-(AH746-MIN(MAX(AH746,0),MAX(0,AD726-IF($A747&gt;='1-Input'!$C$12,'1-Input'!$B$12,0)))))*(1/(1-'P-Parametri'!$B$6*AD747))))</f>
        <v>21131.023945178611</v>
      </c>
      <c r="AF747" s="18">
        <f>IF($A747&gt;('1-Input'!$B$26-2),AH746,(AH746-MAX(0,AD726-IF($A747&gt;='1-Input'!$C$12,'1-Input'!$B$12,0))+AE747*(1-'P-Parametri'!$B$6*AD747))*(1+'1-Input'!$B$27))</f>
        <v>36149.725057315343</v>
      </c>
      <c r="AG747" s="18">
        <f>IF($A747&gt;('1-Input'!$B$26-2),AI746,(AI746-AE747)*(1+'5-Roberta'!$C$4))</f>
        <v>167048.28660192314</v>
      </c>
      <c r="AH747" s="18">
        <f>IF($A747&gt;('1-Input'!$B$26-2),AF747,AF747-'P-Parametri'!$B$8*(AG747+AF747)+MIN(MAX(AG747,0),'P-Parametri'!$B$8*(AG747+AF747)))</f>
        <v>36149.725057315343</v>
      </c>
      <c r="AI747" s="18">
        <f>IF($A747&gt;('1-Input'!$B$26-2),AG747,AG747-MIN(MAX(AG747,0),'P-Parametri'!$B$8*(AG747+AF747)))</f>
        <v>166641.89057860468</v>
      </c>
      <c r="AJ747" s="18">
        <f>IF($A747&gt;('1-Input'!$B$26-2),AJ746,AJ746-AE747*(1-AD747))</f>
        <v>77749.351145433189</v>
      </c>
      <c r="AK747" s="11">
        <f>IF($A747&gt;('1-Input'!$B$26-2),0,IF(AP746&lt;=0,0,MAX(0,(AP746-AQ746)/AP746)))</f>
        <v>0.5206067069928072</v>
      </c>
      <c r="AL747" s="18">
        <f>IF($A747&gt;('1-Input'!$B$26-2),0,(MAX(0,AK726-IF($A747&gt;='1-Input'!$C$12,'1-Input'!$B$12,0))-MIN(MAX(AO746,0),MAX(0,AK726-IF($A747&gt;='1-Input'!$C$12,'1-Input'!$B$12,0))))*(1/(1-'P-Parametri'!$B$6*AK747))+MIN(MAX(0,AP746-(MAX(0,AK726-IF($A747&gt;='1-Input'!$C$12,'1-Input'!$B$12,0))-MIN(MAX(AO746,0),MAX(0,AK726-IF($A747&gt;='1-Input'!$C$12,'1-Input'!$B$12,0))))*(1/(1-'P-Parametri'!$B$6*AK747))),MAX(0,2*AK726-(AO746-MIN(MAX(AO746,0),MAX(0,AK726-IF($A747&gt;='1-Input'!$C$12,'1-Input'!$B$12,0)))))*(1/(1-'P-Parametri'!$B$6*AK747))))</f>
        <v>21130.937058081272</v>
      </c>
      <c r="AM747" s="18">
        <f>IF($A747&gt;('1-Input'!$B$26-2),AO746,(AO746-MAX(0,AK726-IF($A747&gt;='1-Input'!$C$12,'1-Input'!$B$12,0))+AL747*(1-'P-Parametri'!$B$6*AK747))*(1+'1-Input'!$B$27))</f>
        <v>36149.576189835549</v>
      </c>
      <c r="AN747" s="18">
        <f>IF($A747&gt;('1-Input'!$B$26-2),AP746,(AP746-AL747)*(1+'5-Roberta'!$C$4))</f>
        <v>167050.65526620715</v>
      </c>
      <c r="AO747" s="18">
        <f>IF($A747&gt;('1-Input'!$B$26-2),AM747,AM747-'P-Parametri'!$B$8*(AN747+AM747)+MIN(MAX(AN747,0),'P-Parametri'!$B$8*(AN747+AM747)))</f>
        <v>36149.576189835549</v>
      </c>
      <c r="AP747" s="18">
        <f>IF($A747&gt;('1-Input'!$B$26-2),AN747,AN747-MIN(MAX(AN747,0),'P-Parametri'!$B$8*(AN747+AM747)))</f>
        <v>166644.25480329507</v>
      </c>
      <c r="AQ747" s="18">
        <f>IF($A747&gt;('1-Input'!$B$26-2),AQ746,AQ746-AL747*(1-AK747))</f>
        <v>77750.450220462517</v>
      </c>
    </row>
    <row r="748" spans="1:43">
      <c r="A748" s="10">
        <f>20</f>
        <v>20</v>
      </c>
      <c r="B748" s="11">
        <f>IF($A748&gt;('1-Input'!$B$26-2),0,IF(G747&lt;=0,0,MAX(0,(G747-H747)/G747)))</f>
        <v>0.53384218859519716</v>
      </c>
      <c r="C748" s="18">
        <f>IF($A748&gt;('1-Input'!$B$26-2),0,(MAX(0,B726-IF($A748&gt;='1-Input'!$C$12,'1-Input'!$B$12,0))-MIN(MAX(F747,0),MAX(0,B726-IF($A748&gt;='1-Input'!$C$12,'1-Input'!$B$12,0))))*(1/(1-'P-Parametri'!$B$6*B748))+MIN(MAX(0,G747-(MAX(0,B726-IF($A748&gt;='1-Input'!$C$12,'1-Input'!$B$12,0))-MIN(MAX(F747,0),MAX(0,B726-IF($A748&gt;='1-Input'!$C$12,'1-Input'!$B$12,0))))*(1/(1-'P-Parametri'!$B$6*B748))),MAX(0,2*B726-(F747-MIN(MAX(F747,0),MAX(0,B726-IF($A748&gt;='1-Input'!$C$12,'1-Input'!$B$12,0)))))*(1/(1-'P-Parametri'!$B$6*B748))))</f>
        <v>19508.9860657274</v>
      </c>
      <c r="D748" s="18">
        <f>IF($A748&gt;('1-Input'!$B$26-2),F747,(F747-MAX(0,B726-IF($A748&gt;='1-Input'!$C$12,'1-Input'!$B$12,0))+C748*(1-'P-Parametri'!$B$6*B748))*(1+'1-Input'!$B$27))</f>
        <v>33242.0070309863</v>
      </c>
      <c r="E748" s="18">
        <f>IF($A748&gt;('1-Input'!$B$26-2),G747,(G747-C748)*(1+'5-Roberta'!$C$4))</f>
        <v>199113.99940163206</v>
      </c>
      <c r="F748" s="18">
        <f>IF($A748&gt;('1-Input'!$B$26-2),D748,D748-'P-Parametri'!$B$8*(E748+D748)+MIN(MAX(E748,0),'P-Parametri'!$B$8*(E748+D748)))</f>
        <v>33242.0070309863</v>
      </c>
      <c r="G748" s="18">
        <f>IF($A748&gt;('1-Input'!$B$26-2),E748,E748-MIN(MAX(E748,0),'P-Parametri'!$B$8*(E748+D748)))</f>
        <v>198649.28738876682</v>
      </c>
      <c r="H748" s="18">
        <f>IF($A748&gt;('1-Input'!$B$26-2),H747,H747-C748*(1-B748))</f>
        <v>90115.093379730126</v>
      </c>
      <c r="I748" s="11">
        <f>IF($A748&gt;('1-Input'!$B$26-2),0,IF(N747&lt;=0,0,MAX(0,(N747-O747)/N747)))</f>
        <v>0.5310413426483277</v>
      </c>
      <c r="J748" s="18">
        <f>IF($A748&gt;('1-Input'!$B$26-2),0,(MAX(0,I726-IF($A748&gt;='1-Input'!$C$12,'1-Input'!$B$12,0))-MIN(MAX(M747,0),MAX(0,I726-IF($A748&gt;='1-Input'!$C$12,'1-Input'!$B$12,0))))*(1/(1-'P-Parametri'!$B$6*I748))+MIN(MAX(0,N747-(MAX(0,I726-IF($A748&gt;='1-Input'!$C$12,'1-Input'!$B$12,0))-MIN(MAX(M747,0),MAX(0,I726-IF($A748&gt;='1-Input'!$C$12,'1-Input'!$B$12,0))))*(1/(1-'P-Parametri'!$B$6*I748))),MAX(0,2*I726-(M747-MIN(MAX(M747,0),MAX(0,I726-IF($A748&gt;='1-Input'!$C$12,'1-Input'!$B$12,0)))))*(1/(1-'P-Parametri'!$B$6*I748))))</f>
        <v>25648.030879450111</v>
      </c>
      <c r="K748" s="18">
        <f>IF($A748&gt;('1-Input'!$B$26-2),M747,(M747-MAX(0,I726-IF($A748&gt;='1-Input'!$C$12,'1-Input'!$B$12,0))+J748*(1-'P-Parametri'!$B$6*I748))*(1+'1-Input'!$B$27))</f>
        <v>43739.482935508291</v>
      </c>
      <c r="L748" s="18">
        <f>IF($A748&gt;('1-Input'!$B$26-2),N747,(N747-J748)*(1+'5-Roberta'!$C$4))</f>
        <v>21103.746292191776</v>
      </c>
      <c r="M748" s="18">
        <f>IF($A748&gt;('1-Input'!$B$26-2),K748,K748-'P-Parametri'!$B$8*(L748+K748)+MIN(MAX(L748,0),'P-Parametri'!$B$8*(L748+K748)))</f>
        <v>43739.482935508291</v>
      </c>
      <c r="N748" s="18">
        <f>IF($A748&gt;('1-Input'!$B$26-2),L748,L748-MIN(MAX(L748,0),'P-Parametri'!$B$8*(L748+K748)))</f>
        <v>20974.059833736377</v>
      </c>
      <c r="O748" s="18">
        <f>IF($A748&gt;('1-Input'!$B$26-2),O747,O747-J748*(1-I748))</f>
        <v>9608.5286662879498</v>
      </c>
      <c r="P748" s="11">
        <f>IF($A748&gt;('1-Input'!$B$26-2),0,IF(U747&lt;=0,0,MAX(0,(U747-V747)/U747)))</f>
        <v>0.53335546641569953</v>
      </c>
      <c r="Q748" s="18">
        <f>IF($A748&gt;('1-Input'!$B$26-2),0,(MAX(0,P726-IF($A748&gt;='1-Input'!$C$12,'1-Input'!$B$12,0))-MIN(MAX(T747,0),MAX(0,P726-IF($A748&gt;='1-Input'!$C$12,'1-Input'!$B$12,0))))*(1/(1-'P-Parametri'!$B$6*P748))+MIN(MAX(0,U747-(MAX(0,P726-IF($A748&gt;='1-Input'!$C$12,'1-Input'!$B$12,0))-MIN(MAX(T747,0),MAX(0,P726-IF($A748&gt;='1-Input'!$C$12,'1-Input'!$B$12,0))))*(1/(1-'P-Parametri'!$B$6*P748))),MAX(0,2*P726-(T747-MIN(MAX(T747,0),MAX(0,P726-IF($A748&gt;='1-Input'!$C$12,'1-Input'!$B$12,0)))))*(1/(1-'P-Parametri'!$B$6*P748))))</f>
        <v>21493.42387120863</v>
      </c>
      <c r="R748" s="18">
        <f>IF($A748&gt;('1-Input'!$B$26-2),T747,(T747-MAX(0,P726-IF($A748&gt;='1-Input'!$C$12,'1-Input'!$B$12,0))+Q748*(1-'P-Parametri'!$B$6*P748))*(1+'1-Input'!$B$27))</f>
        <v>36628.737843878102</v>
      </c>
      <c r="S748" s="18">
        <f>IF($A748&gt;('1-Input'!$B$26-2),U747,(U747-Q748)*(1+'5-Roberta'!$C$4))</f>
        <v>141667.39610450555</v>
      </c>
      <c r="T748" s="18">
        <f>IF($A748&gt;('1-Input'!$B$26-2),R748,R748-'P-Parametri'!$B$8*(S748+R748)+MIN(MAX(S748,0),'P-Parametri'!$B$8*(S748+R748)))</f>
        <v>36628.737843878102</v>
      </c>
      <c r="U748" s="18">
        <f>IF($A748&gt;('1-Input'!$B$26-2),S748,S748-MIN(MAX(S748,0),'P-Parametri'!$B$8*(S748+R748)))</f>
        <v>141310.80383660877</v>
      </c>
      <c r="V748" s="18">
        <f>IF($A748&gt;('1-Input'!$B$26-2),V747,V747-Q748*(1-P748))</f>
        <v>64182.83104785371</v>
      </c>
      <c r="W748" s="11">
        <f>IF($A748&gt;('1-Input'!$B$26-2),0,IF(AB747&lt;=0,0,MAX(0,(AB747-AC747)/AB747)))</f>
        <v>0.53342992526241795</v>
      </c>
      <c r="X748" s="18">
        <f>IF($A748&gt;('1-Input'!$B$26-2),0,(MAX(0,W726-IF($A748&gt;='1-Input'!$C$12,'1-Input'!$B$12,0))-MIN(MAX(AA747,0),MAX(0,W726-IF($A748&gt;='1-Input'!$C$12,'1-Input'!$B$12,0))))*(1/(1-'P-Parametri'!$B$6*W748))+MIN(MAX(0,AB747-(MAX(0,W726-IF($A748&gt;='1-Input'!$C$12,'1-Input'!$B$12,0))-MIN(MAX(AA747,0),MAX(0,W726-IF($A748&gt;='1-Input'!$C$12,'1-Input'!$B$12,0))))*(1/(1-'P-Parametri'!$B$6*W748))),MAX(0,2*W726-(AA747-MIN(MAX(AA747,0),MAX(0,W726-IF($A748&gt;='1-Input'!$C$12,'1-Input'!$B$12,0)))))*(1/(1-'P-Parametri'!$B$6*W748))))</f>
        <v>21229.611155312417</v>
      </c>
      <c r="Y748" s="18">
        <f>IF($A748&gt;('1-Input'!$B$26-2),AA747,(AA747-MAX(0,W726-IF($A748&gt;='1-Input'!$C$12,'1-Input'!$B$12,0))+X748*(1-'P-Parametri'!$B$6*W748))*(1+'1-Input'!$B$27))</f>
        <v>36178.339405303275</v>
      </c>
      <c r="Z748" s="18">
        <f>IF($A748&gt;('1-Input'!$B$26-2),AB747,(AB747-X748)*(1+'5-Roberta'!$C$4))</f>
        <v>149306.57901401364</v>
      </c>
      <c r="AA748" s="18">
        <f>IF($A748&gt;('1-Input'!$B$26-2),Y748,Y748-'P-Parametri'!$B$8*(Z748+Y748)+MIN(MAX(Z748,0),'P-Parametri'!$B$8*(Z748+Y748)))</f>
        <v>36178.339405303275</v>
      </c>
      <c r="AB748" s="18">
        <f>IF($A748&gt;('1-Input'!$B$26-2),Z748,Z748-MIN(MAX(Z748,0),'P-Parametri'!$B$8*(Z748+Y748)))</f>
        <v>148935.60917717501</v>
      </c>
      <c r="AC748" s="18">
        <f>IF($A748&gt;('1-Input'!$B$26-2),AC747,AC747-X748*(1-W748))</f>
        <v>67632.991970272851</v>
      </c>
      <c r="AD748" s="11">
        <f>IF($A748&gt;('1-Input'!$B$26-2),0,IF(AI747&lt;=0,0,MAX(0,(AI747-AJ747)/AI747)))</f>
        <v>0.53343453512513439</v>
      </c>
      <c r="AE748" s="18">
        <f>IF($A748&gt;('1-Input'!$B$26-2),0,(MAX(0,AD726-IF($A748&gt;='1-Input'!$C$12,'1-Input'!$B$12,0))-MIN(MAX(AH747,0),MAX(0,AD726-IF($A748&gt;='1-Input'!$C$12,'1-Input'!$B$12,0))))*(1/(1-'P-Parametri'!$B$6*AD748))+MIN(MAX(0,AI747-(MAX(0,AD726-IF($A748&gt;='1-Input'!$C$12,'1-Input'!$B$12,0))-MIN(MAX(AH747,0),MAX(0,AD726-IF($A748&gt;='1-Input'!$C$12,'1-Input'!$B$12,0))))*(1/(1-'P-Parametri'!$B$6*AD748))),MAX(0,2*AD726-(AH747-MIN(MAX(AH747,0),MAX(0,AD726-IF($A748&gt;='1-Input'!$C$12,'1-Input'!$B$12,0)))))*(1/(1-'P-Parametri'!$B$6*AD748))))</f>
        <v>21212.849647113984</v>
      </c>
      <c r="AF748" s="18">
        <f>IF($A748&gt;('1-Input'!$B$26-2),AH747,(AH747-MAX(0,AD726-IF($A748&gt;='1-Input'!$C$12,'1-Input'!$B$12,0))+AE748*(1-'P-Parametri'!$B$6*AD748))*(1+'1-Input'!$B$27))</f>
        <v>36149.725057315343</v>
      </c>
      <c r="AG748" s="18">
        <f>IF($A748&gt;('1-Input'!$B$26-2),AI747,(AI747-AE748)*(1+'5-Roberta'!$C$4))</f>
        <v>149791.91215943542</v>
      </c>
      <c r="AH748" s="18">
        <f>IF($A748&gt;('1-Input'!$B$26-2),AF748,AF748-'P-Parametri'!$B$8*(AG748+AF748)+MIN(MAX(AG748,0),'P-Parametri'!$B$8*(AG748+AF748)))</f>
        <v>36149.725057315343</v>
      </c>
      <c r="AI748" s="18">
        <f>IF($A748&gt;('1-Input'!$B$26-2),AG748,AG748-MIN(MAX(AG748,0),'P-Parametri'!$B$8*(AG748+AF748)))</f>
        <v>149420.02888500193</v>
      </c>
      <c r="AJ748" s="18">
        <f>IF($A748&gt;('1-Input'!$B$26-2),AJ747,AJ747-AE748*(1-AD748))</f>
        <v>67852.16808850682</v>
      </c>
      <c r="AK748" s="11">
        <f>IF($A748&gt;('1-Input'!$B$26-2),0,IF(AP747&lt;=0,0,MAX(0,(AP747-AQ747)/AP747)))</f>
        <v>0.53343455907172899</v>
      </c>
      <c r="AL748" s="18">
        <f>IF($A748&gt;('1-Input'!$B$26-2),0,(MAX(0,AK726-IF($A748&gt;='1-Input'!$C$12,'1-Input'!$B$12,0))-MIN(MAX(AO747,0),MAX(0,AK726-IF($A748&gt;='1-Input'!$C$12,'1-Input'!$B$12,0))))*(1/(1-'P-Parametri'!$B$6*AK748))+MIN(MAX(0,AP747-(MAX(0,AK726-IF($A748&gt;='1-Input'!$C$12,'1-Input'!$B$12,0))-MIN(MAX(AO747,0),MAX(0,AK726-IF($A748&gt;='1-Input'!$C$12,'1-Input'!$B$12,0))))*(1/(1-'P-Parametri'!$B$6*AK748))),MAX(0,2*AK726-(AO747-MIN(MAX(AO747,0),MAX(0,AK726-IF($A748&gt;='1-Input'!$C$12,'1-Input'!$B$12,0)))))*(1/(1-'P-Parametri'!$B$6*AK748))))</f>
        <v>21212.762444230673</v>
      </c>
      <c r="AM748" s="18">
        <f>IF($A748&gt;('1-Input'!$B$26-2),AO747,(AO747-MAX(0,AK726-IF($A748&gt;='1-Input'!$C$12,'1-Input'!$B$12,0))+AL748*(1-'P-Parametri'!$B$6*AK748))*(1+'1-Input'!$B$27))</f>
        <v>36149.576189835549</v>
      </c>
      <c r="AN748" s="18">
        <f>IF($A748&gt;('1-Input'!$B$26-2),AP747,(AP747-AL748)*(1+'5-Roberta'!$C$4))</f>
        <v>149794.43712983633</v>
      </c>
      <c r="AO748" s="18">
        <f>IF($A748&gt;('1-Input'!$B$26-2),AM748,AM748-'P-Parametri'!$B$8*(AN748+AM748)+MIN(MAX(AN748,0),'P-Parametri'!$B$8*(AN748+AM748)))</f>
        <v>36149.576189835549</v>
      </c>
      <c r="AP748" s="18">
        <f>IF($A748&gt;('1-Input'!$B$26-2),AN748,AN748-MIN(MAX(AN748,0),'P-Parametri'!$B$8*(AN748+AM748)))</f>
        <v>149422.54910319697</v>
      </c>
      <c r="AQ748" s="18">
        <f>IF($A748&gt;('1-Input'!$B$26-2),AQ747,AQ747-AL748*(1-AK748))</f>
        <v>67853.308357363363</v>
      </c>
    </row>
    <row r="749" spans="1:43">
      <c r="A749" s="10">
        <f>21</f>
        <v>21</v>
      </c>
      <c r="B749" s="11">
        <f>IF($A749&gt;('1-Input'!$B$26-2),0,IF(G748&lt;=0,0,MAX(0,(G748-H748)/G748)))</f>
        <v>0.54636085251405775</v>
      </c>
      <c r="C749" s="18">
        <f>IF($A749&gt;('1-Input'!$B$26-2),0,(MAX(0,B726-IF($A749&gt;='1-Input'!$C$12,'1-Input'!$B$12,0))-MIN(MAX(F748,0),MAX(0,B726-IF($A749&gt;='1-Input'!$C$12,'1-Input'!$B$12,0))))*(1/(1-'P-Parametri'!$B$6*B749))+MIN(MAX(0,G748-(MAX(0,B726-IF($A749&gt;='1-Input'!$C$12,'1-Input'!$B$12,0))-MIN(MAX(F748,0),MAX(0,B726-IF($A749&gt;='1-Input'!$C$12,'1-Input'!$B$12,0))))*(1/(1-'P-Parametri'!$B$6*B749))),MAX(0,2*B726-(F748-MIN(MAX(F748,0),MAX(0,B726-IF($A749&gt;='1-Input'!$C$12,'1-Input'!$B$12,0)))))*(1/(1-'P-Parametri'!$B$6*B749))))</f>
        <v>19582.998720589479</v>
      </c>
      <c r="D749" s="18">
        <f>IF($A749&gt;('1-Input'!$B$26-2),F748,(F748-MAX(0,B726-IF($A749&gt;='1-Input'!$C$12,'1-Input'!$B$12,0))+C749*(1-'P-Parametri'!$B$6*B749))*(1+'1-Input'!$B$27))</f>
        <v>33242.0070309863</v>
      </c>
      <c r="E749" s="18">
        <f>IF($A749&gt;('1-Input'!$B$26-2),G748,(G748-C749)*(1+'5-Roberta'!$C$4))</f>
        <v>184438.27732822267</v>
      </c>
      <c r="F749" s="18">
        <f>IF($A749&gt;('1-Input'!$B$26-2),D749,D749-'P-Parametri'!$B$8*(E749+D749)+MIN(MAX(E749,0),'P-Parametri'!$B$8*(E749+D749)))</f>
        <v>33242.0070309863</v>
      </c>
      <c r="G749" s="18">
        <f>IF($A749&gt;('1-Input'!$B$26-2),E749,E749-MIN(MAX(E749,0),'P-Parametri'!$B$8*(E749+D749)))</f>
        <v>184002.91675950424</v>
      </c>
      <c r="H749" s="18">
        <f>IF($A749&gt;('1-Input'!$B$26-2),H748,H748-C749*(1-B749))</f>
        <v>81231.47853490361</v>
      </c>
      <c r="I749" s="11">
        <f>IF($A749&gt;('1-Input'!$B$26-2),0,IF(N748&lt;=0,0,MAX(0,(N748-O748)/N748)))</f>
        <v>0.54188513132622929</v>
      </c>
      <c r="J749" s="18">
        <f>IF($A749&gt;('1-Input'!$B$26-2),0,(MAX(0,I726-IF($A749&gt;='1-Input'!$C$12,'1-Input'!$B$12,0))-MIN(MAX(M748,0),MAX(0,I726-IF($A749&gt;='1-Input'!$C$12,'1-Input'!$B$12,0))))*(1/(1-'P-Parametri'!$B$6*I749))+MIN(MAX(0,N748-(MAX(0,I726-IF($A749&gt;='1-Input'!$C$12,'1-Input'!$B$12,0))-MIN(MAX(M748,0),MAX(0,I726-IF($A749&gt;='1-Input'!$C$12,'1-Input'!$B$12,0))))*(1/(1-'P-Parametri'!$B$6*I749))),MAX(0,2*I726-(M748-MIN(MAX(M748,0),MAX(0,I726-IF($A749&gt;='1-Input'!$C$12,'1-Input'!$B$12,0)))))*(1/(1-'P-Parametri'!$B$6*I749))))</f>
        <v>20974.059833736377</v>
      </c>
      <c r="K749" s="18">
        <f>IF($A749&gt;('1-Input'!$B$26-2),M748,(M748-MAX(0,I726-IF($A749&gt;='1-Input'!$C$12,'1-Input'!$B$12,0))+J749*(1-'P-Parametri'!$B$6*I749))*(1+'1-Input'!$B$27))</f>
        <v>39666.432581157373</v>
      </c>
      <c r="L749" s="18">
        <f>IF($A749&gt;('1-Input'!$B$26-2),N748,(N748-J749)*(1+'5-Roberta'!$C$4))</f>
        <v>0</v>
      </c>
      <c r="M749" s="18">
        <f>IF($A749&gt;('1-Input'!$B$26-2),K749,K749-'P-Parametri'!$B$8*(L749+K749)+MIN(MAX(L749,0),'P-Parametri'!$B$8*(L749+K749)))</f>
        <v>39587.099715995057</v>
      </c>
      <c r="N749" s="18">
        <f>IF($A749&gt;('1-Input'!$B$26-2),L749,L749-MIN(MAX(L749,0),'P-Parametri'!$B$8*(L749+K749)))</f>
        <v>0</v>
      </c>
      <c r="O749" s="18">
        <f>IF($A749&gt;('1-Input'!$B$26-2),O748,O748-J749*(1-I749))</f>
        <v>0</v>
      </c>
      <c r="P749" s="11">
        <f>IF($A749&gt;('1-Input'!$B$26-2),0,IF(U748&lt;=0,0,MAX(0,(U748-V748)/U748)))</f>
        <v>0.5458037934447999</v>
      </c>
      <c r="Q749" s="18">
        <f>IF($A749&gt;('1-Input'!$B$26-2),0,(MAX(0,P726-IF($A749&gt;='1-Input'!$C$12,'1-Input'!$B$12,0))-MIN(MAX(T748,0),MAX(0,P726-IF($A749&gt;='1-Input'!$C$12,'1-Input'!$B$12,0))))*(1/(1-'P-Parametri'!$B$6*P749))+MIN(MAX(0,U748-(MAX(0,P726-IF($A749&gt;='1-Input'!$C$12,'1-Input'!$B$12,0))-MIN(MAX(T748,0),MAX(0,P726-IF($A749&gt;='1-Input'!$C$12,'1-Input'!$B$12,0))))*(1/(1-'P-Parametri'!$B$6*P749))),MAX(0,2*P726-(T748-MIN(MAX(T748,0),MAX(0,P726-IF($A749&gt;='1-Input'!$C$12,'1-Input'!$B$12,0)))))*(1/(1-'P-Parametri'!$B$6*P749))))</f>
        <v>21574.493201749567</v>
      </c>
      <c r="R749" s="18">
        <f>IF($A749&gt;('1-Input'!$B$26-2),T748,(T748-MAX(0,P726-IF($A749&gt;='1-Input'!$C$12,'1-Input'!$B$12,0))+Q749*(1-'P-Parametri'!$B$6*P749))*(1+'1-Input'!$B$27))</f>
        <v>36628.737843878102</v>
      </c>
      <c r="S749" s="18">
        <f>IF($A749&gt;('1-Input'!$B$26-2),U748,(U748-Q749)*(1+'5-Roberta'!$C$4))</f>
        <v>123328.39995390497</v>
      </c>
      <c r="T749" s="18">
        <f>IF($A749&gt;('1-Input'!$B$26-2),R749,R749-'P-Parametri'!$B$8*(S749+R749)+MIN(MAX(S749,0),'P-Parametri'!$B$8*(S749+R749)))</f>
        <v>36628.737843878102</v>
      </c>
      <c r="U749" s="18">
        <f>IF($A749&gt;('1-Input'!$B$26-2),S749,S749-MIN(MAX(S749,0),'P-Parametri'!$B$8*(S749+R749)))</f>
        <v>123008.4856783094</v>
      </c>
      <c r="V749" s="18">
        <f>IF($A749&gt;('1-Input'!$B$26-2),V748,V748-Q749*(1-P749))</f>
        <v>54383.7780772681</v>
      </c>
      <c r="W749" s="11">
        <f>IF($A749&gt;('1-Input'!$B$26-2),0,IF(AB748&lt;=0,0,MAX(0,(AB748-AC748)/AB748)))</f>
        <v>0.5458910575924385</v>
      </c>
      <c r="X749" s="18">
        <f>IF($A749&gt;('1-Input'!$B$26-2),0,(MAX(0,W726-IF($A749&gt;='1-Input'!$C$12,'1-Input'!$B$12,0))-MIN(MAX(AA748,0),MAX(0,W726-IF($A749&gt;='1-Input'!$C$12,'1-Input'!$B$12,0))))*(1/(1-'P-Parametri'!$B$6*W749))+MIN(MAX(0,AB748-(MAX(0,W726-IF($A749&gt;='1-Input'!$C$12,'1-Input'!$B$12,0))-MIN(MAX(AA748,0),MAX(0,W726-IF($A749&gt;='1-Input'!$C$12,'1-Input'!$B$12,0))))*(1/(1-'P-Parametri'!$B$6*W749))),MAX(0,2*W726-(AA748-MIN(MAX(AA748,0),MAX(0,W726-IF($A749&gt;='1-Input'!$C$12,'1-Input'!$B$12,0)))))*(1/(1-'P-Parametri'!$B$6*W749))))</f>
        <v>21309.769921710689</v>
      </c>
      <c r="Y749" s="18">
        <f>IF($A749&gt;('1-Input'!$B$26-2),AA748,(AA748-MAX(0,W726-IF($A749&gt;='1-Input'!$C$12,'1-Input'!$B$12,0))+X749*(1-'P-Parametri'!$B$6*W749))*(1+'1-Input'!$B$27))</f>
        <v>36178.339405303275</v>
      </c>
      <c r="Z749" s="18">
        <f>IF($A749&gt;('1-Input'!$B$26-2),AB748,(AB748-X749)*(1+'5-Roberta'!$C$4))</f>
        <v>131454.61443312824</v>
      </c>
      <c r="AA749" s="18">
        <f>IF($A749&gt;('1-Input'!$B$26-2),Y749,Y749-'P-Parametri'!$B$8*(Z749+Y749)+MIN(MAX(Z749,0),'P-Parametri'!$B$8*(Z749+Y749)))</f>
        <v>36178.339405303275</v>
      </c>
      <c r="AB749" s="18">
        <f>IF($A749&gt;('1-Input'!$B$26-2),Z749,Z749-MIN(MAX(Z749,0),'P-Parametri'!$B$8*(Z749+Y749)))</f>
        <v>131119.34852545138</v>
      </c>
      <c r="AC749" s="18">
        <f>IF($A749&gt;('1-Input'!$B$26-2),AC748,AC748-X749*(1-W749))</f>
        <v>57956.034888176349</v>
      </c>
      <c r="AD749" s="11">
        <f>IF($A749&gt;('1-Input'!$B$26-2),0,IF(AI748&lt;=0,0,MAX(0,(AI748-AJ748)/AI748)))</f>
        <v>0.54589643306301427</v>
      </c>
      <c r="AE749" s="18">
        <f>IF($A749&gt;('1-Input'!$B$26-2),0,(MAX(0,AD726-IF($A749&gt;='1-Input'!$C$12,'1-Input'!$B$12,0))-MIN(MAX(AH748,0),MAX(0,AD726-IF($A749&gt;='1-Input'!$C$12,'1-Input'!$B$12,0))))*(1/(1-'P-Parametri'!$B$6*AD749))+MIN(MAX(0,AI748-(MAX(0,AD726-IF($A749&gt;='1-Input'!$C$12,'1-Input'!$B$12,0))-MIN(MAX(AH748,0),MAX(0,AD726-IF($A749&gt;='1-Input'!$C$12,'1-Input'!$B$12,0))))*(1/(1-'P-Parametri'!$B$6*AD749))),MAX(0,2*AD726-(AH748-MIN(MAX(AH748,0),MAX(0,AD726-IF($A749&gt;='1-Input'!$C$12,'1-Input'!$B$12,0)))))*(1/(1-'P-Parametri'!$B$6*AD749))))</f>
        <v>21292.9501769167</v>
      </c>
      <c r="AF749" s="18">
        <f>IF($A749&gt;('1-Input'!$B$26-2),AH748,(AH748-MAX(0,AD726-IF($A749&gt;='1-Input'!$C$12,'1-Input'!$B$12,0))+AE749*(1-'P-Parametri'!$B$6*AD749))*(1+'1-Input'!$B$27))</f>
        <v>36149.725057315343</v>
      </c>
      <c r="AG749" s="18">
        <f>IF($A749&gt;('1-Input'!$B$26-2),AI748,(AI748-AE749)*(1+'5-Roberta'!$C$4))</f>
        <v>131970.8910693278</v>
      </c>
      <c r="AH749" s="18">
        <f>IF($A749&gt;('1-Input'!$B$26-2),AF749,AF749-'P-Parametri'!$B$8*(AG749+AF749)+MIN(MAX(AG749,0),'P-Parametri'!$B$8*(AG749+AF749)))</f>
        <v>36149.725057315343</v>
      </c>
      <c r="AI749" s="18">
        <f>IF($A749&gt;('1-Input'!$B$26-2),AG749,AG749-MIN(MAX(AG749,0),'P-Parametri'!$B$8*(AG749+AF749)))</f>
        <v>131634.64983707451</v>
      </c>
      <c r="AJ749" s="18">
        <f>IF($A749&gt;('1-Input'!$B$26-2),AJ748,AJ748-AE749*(1-AD749))</f>
        <v>58182.963462557425</v>
      </c>
      <c r="AK749" s="11">
        <f>IF($A749&gt;('1-Input'!$B$26-2),0,IF(AP748&lt;=0,0,MAX(0,(AP748-AQ748)/AP748)))</f>
        <v>0.54589646097858191</v>
      </c>
      <c r="AL749" s="18">
        <f>IF($A749&gt;('1-Input'!$B$26-2),0,(MAX(0,AK726-IF($A749&gt;='1-Input'!$C$12,'1-Input'!$B$12,0))-MIN(MAX(AO748,0),MAX(0,AK726-IF($A749&gt;='1-Input'!$C$12,'1-Input'!$B$12,0))))*(1/(1-'P-Parametri'!$B$6*AK749))+MIN(MAX(0,AP748-(MAX(0,AK726-IF($A749&gt;='1-Input'!$C$12,'1-Input'!$B$12,0))-MIN(MAX(AO748,0),MAX(0,AK726-IF($A749&gt;='1-Input'!$C$12,'1-Input'!$B$12,0))))*(1/(1-'P-Parametri'!$B$6*AK749))),MAX(0,2*AK726-(AO748-MIN(MAX(AO748,0),MAX(0,AK726-IF($A749&gt;='1-Input'!$C$12,'1-Input'!$B$12,0)))))*(1/(1-'P-Parametri'!$B$6*AK749))))</f>
        <v>21292.862670940514</v>
      </c>
      <c r="AM749" s="18">
        <f>IF($A749&gt;('1-Input'!$B$26-2),AO748,(AO748-MAX(0,AK726-IF($A749&gt;='1-Input'!$C$12,'1-Input'!$B$12,0))+AL749*(1-'P-Parametri'!$B$6*AK749))*(1+'1-Input'!$B$27))</f>
        <v>36149.576189835549</v>
      </c>
      <c r="AN749" s="18">
        <f>IF($A749&gt;('1-Input'!$B$26-2),AP748,(AP748-AL749)*(1+'5-Roberta'!$C$4))</f>
        <v>131973.57702522413</v>
      </c>
      <c r="AO749" s="18">
        <f>IF($A749&gt;('1-Input'!$B$26-2),AM749,AM749-'P-Parametri'!$B$8*(AN749+AM749)+MIN(MAX(AN749,0),'P-Parametri'!$B$8*(AN749+AM749)))</f>
        <v>36149.576189835549</v>
      </c>
      <c r="AP749" s="18">
        <f>IF($A749&gt;('1-Input'!$B$26-2),AN749,AN749-MIN(MAX(AN749,0),'P-Parametri'!$B$8*(AN749+AM749)))</f>
        <v>131637.33071879402</v>
      </c>
      <c r="AQ749" s="18">
        <f>IF($A749&gt;('1-Input'!$B$26-2),AQ748,AQ748-AL749*(1-AK749))</f>
        <v>58184.144062592233</v>
      </c>
    </row>
    <row r="750" spans="1:43">
      <c r="A750" s="10">
        <f>22</f>
        <v>22</v>
      </c>
      <c r="B750" s="11">
        <f>IF($A750&gt;('1-Input'!$B$26-2),0,IF(G749&lt;=0,0,MAX(0,(G749-H749)/G749)))</f>
        <v>0.55853157131701936</v>
      </c>
      <c r="C750" s="18">
        <f>IF($A750&gt;('1-Input'!$B$26-2),0,(MAX(0,B726-IF($A750&gt;='1-Input'!$C$12,'1-Input'!$B$12,0))-MIN(MAX(F749,0),MAX(0,B726-IF($A750&gt;='1-Input'!$C$12,'1-Input'!$B$12,0))))*(1/(1-'P-Parametri'!$B$6*B750))+MIN(MAX(0,G749-(MAX(0,B726-IF($A750&gt;='1-Input'!$C$12,'1-Input'!$B$12,0))-MIN(MAX(F749,0),MAX(0,B726-IF($A750&gt;='1-Input'!$C$12,'1-Input'!$B$12,0))))*(1/(1-'P-Parametri'!$B$6*B750))),MAX(0,2*B726-(F749-MIN(MAX(F749,0),MAX(0,B726-IF($A750&gt;='1-Input'!$C$12,'1-Input'!$B$12,0)))))*(1/(1-'P-Parametri'!$B$6*B750))))</f>
        <v>19655.494631257585</v>
      </c>
      <c r="D750" s="18">
        <f>IF($A750&gt;('1-Input'!$B$26-2),F749,(F749-MAX(0,B726-IF($A750&gt;='1-Input'!$C$12,'1-Input'!$B$12,0))+C750*(1-'P-Parametri'!$B$6*B750))*(1+'1-Input'!$B$27))</f>
        <v>33242.0070309863</v>
      </c>
      <c r="E750" s="18">
        <f>IF($A750&gt;('1-Input'!$B$26-2),G749,(G749-C750)*(1+'5-Roberta'!$C$4))</f>
        <v>169277.84479209405</v>
      </c>
      <c r="F750" s="18">
        <f>IF($A750&gt;('1-Input'!$B$26-2),D750,D750-'P-Parametri'!$B$8*(E750+D750)+MIN(MAX(E750,0),'P-Parametri'!$B$8*(E750+D750)))</f>
        <v>33242.0070309863</v>
      </c>
      <c r="G750" s="18">
        <f>IF($A750&gt;('1-Input'!$B$26-2),E750,E750-MIN(MAX(E750,0),'P-Parametri'!$B$8*(E750+D750)))</f>
        <v>168872.8050884479</v>
      </c>
      <c r="H750" s="18">
        <f>IF($A750&gt;('1-Input'!$B$26-2),H749,H749-C750*(1-B750))</f>
        <v>72554.198205055567</v>
      </c>
      <c r="I750" s="11">
        <f>IF($A750&gt;('1-Input'!$B$26-2),0,IF(N749&lt;=0,0,MAX(0,(N749-O749)/N749)))</f>
        <v>0</v>
      </c>
      <c r="J750" s="18">
        <f>IF($A750&gt;('1-Input'!$B$26-2),0,(MAX(0,I726-IF($A750&gt;='1-Input'!$C$12,'1-Input'!$B$12,0))-MIN(MAX(M749,0),MAX(0,I726-IF($A750&gt;='1-Input'!$C$12,'1-Input'!$B$12,0))))*(1/(1-'P-Parametri'!$B$6*I750))+MIN(MAX(0,N749-(MAX(0,I726-IF($A750&gt;='1-Input'!$C$12,'1-Input'!$B$12,0))-MIN(MAX(M749,0),MAX(0,I726-IF($A750&gt;='1-Input'!$C$12,'1-Input'!$B$12,0))))*(1/(1-'P-Parametri'!$B$6*I750))),MAX(0,2*I726-(M749-MIN(MAX(M749,0),MAX(0,I726-IF($A750&gt;='1-Input'!$C$12,'1-Input'!$B$12,0)))))*(1/(1-'P-Parametri'!$B$6*I750))))</f>
        <v>0</v>
      </c>
      <c r="K750" s="18">
        <f>IF($A750&gt;('1-Input'!$B$26-2),M749,(M749-MAX(0,I726-IF($A750&gt;='1-Input'!$C$12,'1-Input'!$B$12,0))+J750*(1-'P-Parametri'!$B$6*I750))*(1+'1-Input'!$B$27))</f>
        <v>17574.844689263326</v>
      </c>
      <c r="L750" s="18">
        <f>IF($A750&gt;('1-Input'!$B$26-2),N749,(N749-J750)*(1+'5-Roberta'!$C$4))</f>
        <v>0</v>
      </c>
      <c r="M750" s="18">
        <f>IF($A750&gt;('1-Input'!$B$26-2),K750,K750-'P-Parametri'!$B$8*(L750+K750)+MIN(MAX(L750,0),'P-Parametri'!$B$8*(L750+K750)))</f>
        <v>17539.694999884799</v>
      </c>
      <c r="N750" s="18">
        <f>IF($A750&gt;('1-Input'!$B$26-2),L750,L750-MIN(MAX(L750,0),'P-Parametri'!$B$8*(L750+K750)))</f>
        <v>0</v>
      </c>
      <c r="O750" s="18">
        <f>IF($A750&gt;('1-Input'!$B$26-2),O749,O749-J750*(1-I750))</f>
        <v>0</v>
      </c>
      <c r="P750" s="11">
        <f>IF($A750&gt;('1-Input'!$B$26-2),0,IF(U749&lt;=0,0,MAX(0,(U749-V749)/U749)))</f>
        <v>0.55788596390421363</v>
      </c>
      <c r="Q750" s="18">
        <f>IF($A750&gt;('1-Input'!$B$26-2),0,(MAX(0,P726-IF($A750&gt;='1-Input'!$C$12,'1-Input'!$B$12,0))-MIN(MAX(T749,0),MAX(0,P726-IF($A750&gt;='1-Input'!$C$12,'1-Input'!$B$12,0))))*(1/(1-'P-Parametri'!$B$6*P750))+MIN(MAX(0,U749-(MAX(0,P726-IF($A750&gt;='1-Input'!$C$12,'1-Input'!$B$12,0))-MIN(MAX(T749,0),MAX(0,P726-IF($A750&gt;='1-Input'!$C$12,'1-Input'!$B$12,0))))*(1/(1-'P-Parametri'!$B$6*P750))),MAX(0,2*P726-(T749-MIN(MAX(T749,0),MAX(0,P726-IF($A750&gt;='1-Input'!$C$12,'1-Input'!$B$12,0)))))*(1/(1-'P-Parametri'!$B$6*P750))))</f>
        <v>21653.764938047603</v>
      </c>
      <c r="R750" s="18">
        <f>IF($A750&gt;('1-Input'!$B$26-2),T749,(T749-MAX(0,P726-IF($A750&gt;='1-Input'!$C$12,'1-Input'!$B$12,0))+Q750*(1-'P-Parametri'!$B$6*P750))*(1+'1-Input'!$B$27))</f>
        <v>36628.737843878094</v>
      </c>
      <c r="S750" s="18">
        <f>IF($A750&gt;('1-Input'!$B$26-2),U749,(U749-Q750)*(1+'5-Roberta'!$C$4))</f>
        <v>104395.36236246965</v>
      </c>
      <c r="T750" s="18">
        <f>IF($A750&gt;('1-Input'!$B$26-2),R750,R750-'P-Parametri'!$B$8*(S750+R750)+MIN(MAX(S750,0),'P-Parametri'!$B$8*(S750+R750)))</f>
        <v>36628.737843878094</v>
      </c>
      <c r="U750" s="18">
        <f>IF($A750&gt;('1-Input'!$B$26-2),S750,S750-MIN(MAX(S750,0),'P-Parametri'!$B$8*(S750+R750)))</f>
        <v>104113.31416205695</v>
      </c>
      <c r="V750" s="18">
        <f>IF($A750&gt;('1-Input'!$B$26-2),V749,V749-Q750*(1-P750))</f>
        <v>44810.344663838448</v>
      </c>
      <c r="W750" s="11">
        <f>IF($A750&gt;('1-Input'!$B$26-2),0,IF(AB749&lt;=0,0,MAX(0,(AB749-AC749)/AB749)))</f>
        <v>0.557990216242368</v>
      </c>
      <c r="X750" s="18">
        <f>IF($A750&gt;('1-Input'!$B$26-2),0,(MAX(0,W726-IF($A750&gt;='1-Input'!$C$12,'1-Input'!$B$12,0))-MIN(MAX(AA749,0),MAX(0,W726-IF($A750&gt;='1-Input'!$C$12,'1-Input'!$B$12,0))))*(1/(1-'P-Parametri'!$B$6*W750))+MIN(MAX(0,AB749-(MAX(0,W726-IF($A750&gt;='1-Input'!$C$12,'1-Input'!$B$12,0))-MIN(MAX(AA749,0),MAX(0,W726-IF($A750&gt;='1-Input'!$C$12,'1-Input'!$B$12,0))))*(1/(1-'P-Parametri'!$B$6*W750))),MAX(0,2*W726-(AA749-MIN(MAX(AA749,0),MAX(0,W726-IF($A750&gt;='1-Input'!$C$12,'1-Input'!$B$12,0)))))*(1/(1-'P-Parametri'!$B$6*W750))))</f>
        <v>21388.181556925814</v>
      </c>
      <c r="Y750" s="18">
        <f>IF($A750&gt;('1-Input'!$B$26-2),AA749,(AA749-MAX(0,W726-IF($A750&gt;='1-Input'!$C$12,'1-Input'!$B$12,0))+X750*(1-'P-Parametri'!$B$6*W750))*(1+'1-Input'!$B$27))</f>
        <v>36178.339405303268</v>
      </c>
      <c r="Z750" s="18">
        <f>IF($A750&gt;('1-Input'!$B$26-2),AB749,(AB749-X750)*(1+'5-Roberta'!$C$4))</f>
        <v>113023.10197758133</v>
      </c>
      <c r="AA750" s="18">
        <f>IF($A750&gt;('1-Input'!$B$26-2),Y750,Y750-'P-Parametri'!$B$8*(Z750+Y750)+MIN(MAX(Z750,0),'P-Parametri'!$B$8*(Z750+Y750)))</f>
        <v>36178.339405303268</v>
      </c>
      <c r="AB750" s="18">
        <f>IF($A750&gt;('1-Input'!$B$26-2),Z750,Z750-MIN(MAX(Z750,0),'P-Parametri'!$B$8*(Z750+Y750)))</f>
        <v>112724.69909481556</v>
      </c>
      <c r="AC750" s="18">
        <f>IF($A750&gt;('1-Input'!$B$26-2),AC749,AC749-X750*(1-W750))</f>
        <v>48502.249383230599</v>
      </c>
      <c r="AD750" s="11">
        <f>IF($A750&gt;('1-Input'!$B$26-2),0,IF(AI749&lt;=0,0,MAX(0,(AI749-AJ749)/AI749)))</f>
        <v>0.55799659485879249</v>
      </c>
      <c r="AE750" s="18">
        <f>IF($A750&gt;('1-Input'!$B$26-2),0,(MAX(0,AD726-IF($A750&gt;='1-Input'!$C$12,'1-Input'!$B$12,0))-MIN(MAX(AH749,0),MAX(0,AD726-IF($A750&gt;='1-Input'!$C$12,'1-Input'!$B$12,0))))*(1/(1-'P-Parametri'!$B$6*AD750))+MIN(MAX(0,AI749-(MAX(0,AD726-IF($A750&gt;='1-Input'!$C$12,'1-Input'!$B$12,0))-MIN(MAX(AH749,0),MAX(0,AD726-IF($A750&gt;='1-Input'!$C$12,'1-Input'!$B$12,0))))*(1/(1-'P-Parametri'!$B$6*AD750))),MAX(0,2*AD726-(AH749-MIN(MAX(AH749,0),MAX(0,AD726-IF($A750&gt;='1-Input'!$C$12,'1-Input'!$B$12,0)))))*(1/(1-'P-Parametri'!$B$6*AD750))))</f>
        <v>21371.306570045002</v>
      </c>
      <c r="AF750" s="18">
        <f>IF($A750&gt;('1-Input'!$B$26-2),AH749,(AH749-MAX(0,AD726-IF($A750&gt;='1-Input'!$C$12,'1-Input'!$B$12,0))+AE750*(1-'P-Parametri'!$B$6*AD750))*(1+'1-Input'!$B$27))</f>
        <v>36149.725057315351</v>
      </c>
      <c r="AG750" s="18">
        <f>IF($A750&gt;('1-Input'!$B$26-2),AI749,(AI749-AE750)*(1+'5-Roberta'!$C$4))</f>
        <v>113571.24356504039</v>
      </c>
      <c r="AH750" s="18">
        <f>IF($A750&gt;('1-Input'!$B$26-2),AF750,AF750-'P-Parametri'!$B$8*(AG750+AF750)+MIN(MAX(AG750,0),'P-Parametri'!$B$8*(AG750+AF750)))</f>
        <v>36149.725057315351</v>
      </c>
      <c r="AI750" s="18">
        <f>IF($A750&gt;('1-Input'!$B$26-2),AG750,AG750-MIN(MAX(AG750,0),'P-Parametri'!$B$8*(AG750+AF750)))</f>
        <v>113271.80162779568</v>
      </c>
      <c r="AJ750" s="18">
        <f>IF($A750&gt;('1-Input'!$B$26-2),AJ749,AJ749-AE750*(1-AD750))</f>
        <v>48736.773186280872</v>
      </c>
      <c r="AK750" s="11">
        <f>IF($A750&gt;('1-Input'!$B$26-2),0,IF(AP749&lt;=0,0,MAX(0,(AP749-AQ749)/AP749)))</f>
        <v>0.55799662797108651</v>
      </c>
      <c r="AL750" s="18">
        <f>IF($A750&gt;('1-Input'!$B$26-2),0,(MAX(0,AK726-IF($A750&gt;='1-Input'!$C$12,'1-Input'!$B$12,0))-MIN(MAX(AO749,0),MAX(0,AK726-IF($A750&gt;='1-Input'!$C$12,'1-Input'!$B$12,0))))*(1/(1-'P-Parametri'!$B$6*AK750))+MIN(MAX(0,AP749-(MAX(0,AK726-IF($A750&gt;='1-Input'!$C$12,'1-Input'!$B$12,0))-MIN(MAX(AO749,0),MAX(0,AK726-IF($A750&gt;='1-Input'!$C$12,'1-Input'!$B$12,0))))*(1/(1-'P-Parametri'!$B$6*AK750))),MAX(0,2*AK726-(AO749-MIN(MAX(AO749,0),MAX(0,AK726-IF($A750&gt;='1-Input'!$C$12,'1-Input'!$B$12,0)))))*(1/(1-'P-Parametri'!$B$6*AK750))))</f>
        <v>21371.218776494752</v>
      </c>
      <c r="AM750" s="18">
        <f>IF($A750&gt;('1-Input'!$B$26-2),AO749,(AO749-MAX(0,AK726-IF($A750&gt;='1-Input'!$C$12,'1-Input'!$B$12,0))+AL750*(1-'P-Parametri'!$B$6*AK750))*(1+'1-Input'!$B$27))</f>
        <v>36149.576189835549</v>
      </c>
      <c r="AN750" s="18">
        <f>IF($A750&gt;('1-Input'!$B$26-2),AP749,(AP749-AL750)*(1+'5-Roberta'!$C$4))</f>
        <v>113574.09530056824</v>
      </c>
      <c r="AO750" s="18">
        <f>IF($A750&gt;('1-Input'!$B$26-2),AM750,AM750-'P-Parametri'!$B$8*(AN750+AM750)+MIN(MAX(AN750,0),'P-Parametri'!$B$8*(AN750+AM750)))</f>
        <v>36149.576189835549</v>
      </c>
      <c r="AP750" s="18">
        <f>IF($A750&gt;('1-Input'!$B$26-2),AN750,AN750-MIN(MAX(AN750,0),'P-Parametri'!$B$8*(AN750+AM750)))</f>
        <v>113274.64795758743</v>
      </c>
      <c r="AQ750" s="18">
        <f>IF($A750&gt;('1-Input'!$B$26-2),AQ749,AQ749-AL750*(1-AK750))</f>
        <v>48737.99329901392</v>
      </c>
    </row>
    <row r="751" spans="1:43">
      <c r="A751" s="10">
        <f>23</f>
        <v>23</v>
      </c>
      <c r="B751" s="11">
        <f>IF($A751&gt;('1-Input'!$B$26-2),0,IF(G750&lt;=0,0,MAX(0,(G750-H750)/G750)))</f>
        <v>0.57036185804425421</v>
      </c>
      <c r="C751" s="18">
        <f>IF($A751&gt;('1-Input'!$B$26-2),0,(MAX(0,B726-IF($A751&gt;='1-Input'!$C$12,'1-Input'!$B$12,0))-MIN(MAX(F750,0),MAX(0,B726-IF($A751&gt;='1-Input'!$C$12,'1-Input'!$B$12,0))))*(1/(1-'P-Parametri'!$B$6*B751))+MIN(MAX(0,G750-(MAX(0,B726-IF($A751&gt;='1-Input'!$C$12,'1-Input'!$B$12,0))-MIN(MAX(F750,0),MAX(0,B726-IF($A751&gt;='1-Input'!$C$12,'1-Input'!$B$12,0))))*(1/(1-'P-Parametri'!$B$6*B751))),MAX(0,2*B726-(F750-MIN(MAX(F750,0),MAX(0,B726-IF($A751&gt;='1-Input'!$C$12,'1-Input'!$B$12,0)))))*(1/(1-'P-Parametri'!$B$6*B751))))</f>
        <v>6691.4633322940936</v>
      </c>
      <c r="D751" s="18">
        <f>IF($A751&gt;('1-Input'!$B$26-2),F750,(F750-MAX(0,B726-IF($A751&gt;='1-Input'!$C$12,'1-Input'!$B$12,0))+C751*(1-'P-Parametri'!$B$6*B751))*(1+'1-Input'!$B$27))</f>
        <v>33242.0070309863</v>
      </c>
      <c r="E751" s="18">
        <f>IF($A751&gt;('1-Input'!$B$26-2),G750,(G750-C751)*(1+'5-Roberta'!$C$4))</f>
        <v>167046.7820088384</v>
      </c>
      <c r="F751" s="18">
        <f>IF($A751&gt;('1-Input'!$B$26-2),D751,D751-'P-Parametri'!$B$8*(E751+D751)+MIN(MAX(E751,0),'P-Parametri'!$B$8*(E751+D751)))</f>
        <v>33242.0070309863</v>
      </c>
      <c r="G751" s="18">
        <f>IF($A751&gt;('1-Input'!$B$26-2),E751,E751-MIN(MAX(E751,0),'P-Parametri'!$B$8*(E751+D751)))</f>
        <v>166646.20443075875</v>
      </c>
      <c r="H751" s="18">
        <f>IF($A751&gt;('1-Input'!$B$26-2),H750,H750-C751*(1-B751))</f>
        <v>69679.290332003729</v>
      </c>
      <c r="I751" s="11">
        <f>IF($A751&gt;('1-Input'!$B$26-2),0,IF(N750&lt;=0,0,MAX(0,(N750-O750)/N750)))</f>
        <v>0</v>
      </c>
      <c r="J751" s="18">
        <f>IF($A751&gt;('1-Input'!$B$26-2),0,(MAX(0,I726-IF($A751&gt;='1-Input'!$C$12,'1-Input'!$B$12,0))-MIN(MAX(M750,0),MAX(0,I726-IF($A751&gt;='1-Input'!$C$12,'1-Input'!$B$12,0))))*(1/(1-'P-Parametri'!$B$6*I751))+MIN(MAX(0,N750-(MAX(0,I726-IF($A751&gt;='1-Input'!$C$12,'1-Input'!$B$12,0))-MIN(MAX(M750,0),MAX(0,I726-IF($A751&gt;='1-Input'!$C$12,'1-Input'!$B$12,0))))*(1/(1-'P-Parametri'!$B$6*I751))),MAX(0,2*I726-(M750-MIN(MAX(M750,0),MAX(0,I726-IF($A751&gt;='1-Input'!$C$12,'1-Input'!$B$12,0)))))*(1/(1-'P-Parametri'!$B$6*I751))))</f>
        <v>0</v>
      </c>
      <c r="K751" s="18">
        <f>IF($A751&gt;('1-Input'!$B$26-2),M750,(M750-MAX(0,I726-IF($A751&gt;='1-Input'!$C$12,'1-Input'!$B$12,0))+J751*(1-'P-Parametri'!$B$6*I751))*(1+'1-Input'!$B$27))</f>
        <v>6668.8434301310663</v>
      </c>
      <c r="L751" s="18">
        <f>IF($A751&gt;('1-Input'!$B$26-2),N750,(N750-J751)*(1+'5-Roberta'!$C$4))</f>
        <v>0</v>
      </c>
      <c r="M751" s="18">
        <f>IF($A751&gt;('1-Input'!$B$26-2),K751,K751-'P-Parametri'!$B$8*(L751+K751)+MIN(MAX(L751,0),'P-Parametri'!$B$8*(L751+K751)))</f>
        <v>6655.5057432708045</v>
      </c>
      <c r="N751" s="18">
        <f>IF($A751&gt;('1-Input'!$B$26-2),L751,L751-MIN(MAX(L751,0),'P-Parametri'!$B$8*(L751+K751)))</f>
        <v>0</v>
      </c>
      <c r="O751" s="18">
        <f>IF($A751&gt;('1-Input'!$B$26-2),O750,O750-J751*(1-I751))</f>
        <v>0</v>
      </c>
      <c r="P751" s="11">
        <f>IF($A751&gt;('1-Input'!$B$26-2),0,IF(U750&lt;=0,0,MAX(0,(U750-V750)/U750)))</f>
        <v>0.56960024734118853</v>
      </c>
      <c r="Q751" s="18">
        <f>IF($A751&gt;('1-Input'!$B$26-2),0,(MAX(0,P726-IF($A751&gt;='1-Input'!$C$12,'1-Input'!$B$12,0))-MIN(MAX(T750,0),MAX(0,P726-IF($A751&gt;='1-Input'!$C$12,'1-Input'!$B$12,0))))*(1/(1-'P-Parametri'!$B$6*P751))+MIN(MAX(0,U750-(MAX(0,P726-IF($A751&gt;='1-Input'!$C$12,'1-Input'!$B$12,0))-MIN(MAX(T750,0),MAX(0,P726-IF($A751&gt;='1-Input'!$C$12,'1-Input'!$B$12,0))))*(1/(1-'P-Parametri'!$B$6*P751))),MAX(0,2*P726-(T750-MIN(MAX(T750,0),MAX(0,P726-IF($A751&gt;='1-Input'!$C$12,'1-Input'!$B$12,0)))))*(1/(1-'P-Parametri'!$B$6*P751))))</f>
        <v>8699.1953331372642</v>
      </c>
      <c r="R751" s="18">
        <f>IF($A751&gt;('1-Input'!$B$26-2),T750,(T750-MAX(0,P726-IF($A751&gt;='1-Input'!$C$12,'1-Input'!$B$12,0))+Q751*(1-'P-Parametri'!$B$6*P751))*(1+'1-Input'!$B$27))</f>
        <v>36628.737843878102</v>
      </c>
      <c r="S751" s="18">
        <f>IF($A751&gt;('1-Input'!$B$26-2),U750,(U750-Q751)*(1+'5-Roberta'!$C$4))</f>
        <v>98276.542393787284</v>
      </c>
      <c r="T751" s="18">
        <f>IF($A751&gt;('1-Input'!$B$26-2),R751,R751-'P-Parametri'!$B$8*(S751+R751)+MIN(MAX(S751,0),'P-Parametri'!$B$8*(S751+R751)))</f>
        <v>36628.737843878102</v>
      </c>
      <c r="U751" s="18">
        <f>IF($A751&gt;('1-Input'!$B$26-2),S751,S751-MIN(MAX(S751,0),'P-Parametri'!$B$8*(S751+R751)))</f>
        <v>98006.731833311947</v>
      </c>
      <c r="V751" s="18">
        <f>IF($A751&gt;('1-Input'!$B$26-2),V750,V750-Q751*(1-P751))</f>
        <v>41066.213144125482</v>
      </c>
      <c r="W751" s="11">
        <f>IF($A751&gt;('1-Input'!$B$26-2),0,IF(AB750&lt;=0,0,MAX(0,(AB750-AC750)/AB750)))</f>
        <v>0.56972828694415811</v>
      </c>
      <c r="X751" s="18">
        <f>IF($A751&gt;('1-Input'!$B$26-2),0,(MAX(0,W726-IF($A751&gt;='1-Input'!$C$12,'1-Input'!$B$12,0))-MIN(MAX(AA750,0),MAX(0,W726-IF($A751&gt;='1-Input'!$C$12,'1-Input'!$B$12,0))))*(1/(1-'P-Parametri'!$B$6*W751))+MIN(MAX(0,AB750-(MAX(0,W726-IF($A751&gt;='1-Input'!$C$12,'1-Input'!$B$12,0))-MIN(MAX(AA750,0),MAX(0,W726-IF($A751&gt;='1-Input'!$C$12,'1-Input'!$B$12,0))))*(1/(1-'P-Parametri'!$B$6*W751))),MAX(0,2*W726-(AA750-MIN(MAX(AA750,0),MAX(0,W726-IF($A751&gt;='1-Input'!$C$12,'1-Input'!$B$12,0)))))*(1/(1-'P-Parametri'!$B$6*W751))))</f>
        <v>8432.3114339552121</v>
      </c>
      <c r="Y751" s="18">
        <f>IF($A751&gt;('1-Input'!$B$26-2),AA750,(AA750-MAX(0,W726-IF($A751&gt;='1-Input'!$C$12,'1-Input'!$B$12,0))+X751*(1-'P-Parametri'!$B$6*W751))*(1+'1-Input'!$B$27))</f>
        <v>36178.339405303268</v>
      </c>
      <c r="Z751" s="18">
        <f>IF($A751&gt;('1-Input'!$B$26-2),AB750,(AB750-X751)*(1+'5-Roberta'!$C$4))</f>
        <v>107421.15929068616</v>
      </c>
      <c r="AA751" s="18">
        <f>IF($A751&gt;('1-Input'!$B$26-2),Y751,Y751-'P-Parametri'!$B$8*(Z751+Y751)+MIN(MAX(Z751,0),'P-Parametri'!$B$8*(Z751+Y751)))</f>
        <v>36178.339405303268</v>
      </c>
      <c r="AB751" s="18">
        <f>IF($A751&gt;('1-Input'!$B$26-2),Z751,Z751-MIN(MAX(Z751,0),'P-Parametri'!$B$8*(Z751+Y751)))</f>
        <v>107133.96029329418</v>
      </c>
      <c r="AC751" s="18">
        <f>IF($A751&gt;('1-Input'!$B$26-2),AC750,AC750-X751*(1-W751))</f>
        <v>44874.064297522331</v>
      </c>
      <c r="AD751" s="11">
        <f>IF($A751&gt;('1-Input'!$B$26-2),0,IF(AI750&lt;=0,0,MAX(0,(AI750-AJ750)/AI750)))</f>
        <v>0.56973604651908882</v>
      </c>
      <c r="AE751" s="18">
        <f>IF($A751&gt;('1-Input'!$B$26-2),0,(MAX(0,AD726-IF($A751&gt;='1-Input'!$C$12,'1-Input'!$B$12,0))-MIN(MAX(AH750,0),MAX(0,AD726-IF($A751&gt;='1-Input'!$C$12,'1-Input'!$B$12,0))))*(1/(1-'P-Parametri'!$B$6*AD751))+MIN(MAX(0,AI750-(MAX(0,AD726-IF($A751&gt;='1-Input'!$C$12,'1-Input'!$B$12,0))-MIN(MAX(AH750,0),MAX(0,AD726-IF($A751&gt;='1-Input'!$C$12,'1-Input'!$B$12,0))))*(1/(1-'P-Parametri'!$B$6*AD751))),MAX(0,2*AD726-(AH750-MIN(MAX(AH750,0),MAX(0,AD726-IF($A751&gt;='1-Input'!$C$12,'1-Input'!$B$12,0)))))*(1/(1-'P-Parametri'!$B$6*AD751))))</f>
        <v>8415.3543150133992</v>
      </c>
      <c r="AF751" s="18">
        <f>IF($A751&gt;('1-Input'!$B$26-2),AH750,(AH750-MAX(0,AD726-IF($A751&gt;='1-Input'!$C$12,'1-Input'!$B$12,0))+AE751*(1-'P-Parametri'!$B$6*AD751))*(1+'1-Input'!$B$27))</f>
        <v>36149.725057315343</v>
      </c>
      <c r="AG751" s="18">
        <f>IF($A751&gt;('1-Input'!$B$26-2),AI750,(AI750-AE751)*(1+'5-Roberta'!$C$4))</f>
        <v>108002.14073216576</v>
      </c>
      <c r="AH751" s="18">
        <f>IF($A751&gt;('1-Input'!$B$26-2),AF751,AF751-'P-Parametri'!$B$8*(AG751+AF751)+MIN(MAX(AG751,0),'P-Parametri'!$B$8*(AG751+AF751)))</f>
        <v>36149.725057315343</v>
      </c>
      <c r="AI751" s="18">
        <f>IF($A751&gt;('1-Input'!$B$26-2),AG751,AG751-MIN(MAX(AG751,0),'P-Parametri'!$B$8*(AG751+AF751)))</f>
        <v>107713.83700058681</v>
      </c>
      <c r="AJ751" s="18">
        <f>IF($A751&gt;('1-Input'!$B$26-2),AJ750,AJ750-AE751*(1-AD751))</f>
        <v>45115.949568760559</v>
      </c>
      <c r="AK751" s="11">
        <f>IF($A751&gt;('1-Input'!$B$26-2),0,IF(AP750&lt;=0,0,MAX(0,(AP750-AQ750)/AP750)))</f>
        <v>0.56973608677854803</v>
      </c>
      <c r="AL751" s="18">
        <f>IF($A751&gt;('1-Input'!$B$26-2),0,(MAX(0,AK726-IF($A751&gt;='1-Input'!$C$12,'1-Input'!$B$12,0))-MIN(MAX(AO750,0),MAX(0,AK726-IF($A751&gt;='1-Input'!$C$12,'1-Input'!$B$12,0))))*(1/(1-'P-Parametri'!$B$6*AK751))+MIN(MAX(0,AP750-(MAX(0,AK726-IF($A751&gt;='1-Input'!$C$12,'1-Input'!$B$12,0))-MIN(MAX(AO750,0),MAX(0,AK726-IF($A751&gt;='1-Input'!$C$12,'1-Input'!$B$12,0))))*(1/(1-'P-Parametri'!$B$6*AK751))),MAX(0,2*AK726-(AO750-MIN(MAX(AO750,0),MAX(0,AK726-IF($A751&gt;='1-Input'!$C$12,'1-Input'!$B$12,0)))))*(1/(1-'P-Parametri'!$B$6*AK751))))</f>
        <v>8415.2660943185656</v>
      </c>
      <c r="AM751" s="18">
        <f>IF($A751&gt;('1-Input'!$B$26-2),AO750,(AO750-MAX(0,AK726-IF($A751&gt;='1-Input'!$C$12,'1-Input'!$B$12,0))+AL751*(1-'P-Parametri'!$B$6*AK751))*(1+'1-Input'!$B$27))</f>
        <v>36149.576189835549</v>
      </c>
      <c r="AN751" s="18">
        <f>IF($A751&gt;('1-Input'!$B$26-2),AP750,(AP750-AL751)*(1+'5-Roberta'!$C$4))</f>
        <v>108005.16331916694</v>
      </c>
      <c r="AO751" s="18">
        <f>IF($A751&gt;('1-Input'!$B$26-2),AM751,AM751-'P-Parametri'!$B$8*(AN751+AM751)+MIN(MAX(AN751,0),'P-Parametri'!$B$8*(AN751+AM751)))</f>
        <v>36149.576189835549</v>
      </c>
      <c r="AP751" s="18">
        <f>IF($A751&gt;('1-Input'!$B$26-2),AN751,AN751-MIN(MAX(AN751,0),'P-Parametri'!$B$8*(AN751+AM751)))</f>
        <v>107716.85384014893</v>
      </c>
      <c r="AQ751" s="18">
        <f>IF($A751&gt;('1-Input'!$B$26-2),AQ750,AQ750-AL751*(1-AK751))</f>
        <v>45117.207978472608</v>
      </c>
    </row>
    <row r="752" spans="1:43">
      <c r="A752" s="10">
        <f>24</f>
        <v>24</v>
      </c>
      <c r="B752" s="11">
        <f>IF($A752&gt;('1-Input'!$B$26-2),0,IF(G751&lt;=0,0,MAX(0,(G751-H751)/G751)))</f>
        <v>0.58187292311865779</v>
      </c>
      <c r="C752" s="18">
        <f>IF($A752&gt;('1-Input'!$B$26-2),0,(MAX(0,B726-IF($A752&gt;='1-Input'!$C$12,'1-Input'!$B$12,0))-MIN(MAX(F751,0),MAX(0,B726-IF($A752&gt;='1-Input'!$C$12,'1-Input'!$B$12,0))))*(1/(1-'P-Parametri'!$B$6*B752))+MIN(MAX(0,G751-(MAX(0,B726-IF($A752&gt;='1-Input'!$C$12,'1-Input'!$B$12,0))-MIN(MAX(F751,0),MAX(0,B726-IF($A752&gt;='1-Input'!$C$12,'1-Input'!$B$12,0))))*(1/(1-'P-Parametri'!$B$6*B752))),MAX(0,2*B726-(F751-MIN(MAX(F751,0),MAX(0,B726-IF($A752&gt;='1-Input'!$C$12,'1-Input'!$B$12,0)))))*(1/(1-'P-Parametri'!$B$6*B752))))</f>
        <v>6715.059913494405</v>
      </c>
      <c r="D752" s="18">
        <f>IF($A752&gt;('1-Input'!$B$26-2),F751,(F751-MAX(0,B726-IF($A752&gt;='1-Input'!$C$12,'1-Input'!$B$12,0))+C752*(1-'P-Parametri'!$B$6*B752))*(1+'1-Input'!$B$27))</f>
        <v>33242.0070309863</v>
      </c>
      <c r="E752" s="18">
        <f>IF($A752&gt;('1-Input'!$B$26-2),G751,(G751-C752)*(1+'5-Roberta'!$C$4))</f>
        <v>164729.07885278229</v>
      </c>
      <c r="F752" s="18">
        <f>IF($A752&gt;('1-Input'!$B$26-2),D752,D752-'P-Parametri'!$B$8*(E752+D752)+MIN(MAX(E752,0),'P-Parametri'!$B$8*(E752+D752)))</f>
        <v>33242.0070309863</v>
      </c>
      <c r="G752" s="18">
        <f>IF($A752&gt;('1-Input'!$B$26-2),E752,E752-MIN(MAX(E752,0),'P-Parametri'!$B$8*(E752+D752)))</f>
        <v>164333.13668101476</v>
      </c>
      <c r="H752" s="18">
        <f>IF($A752&gt;('1-Input'!$B$26-2),H751,H751-C752*(1-B752))</f>
        <v>66871.541959291237</v>
      </c>
      <c r="I752" s="11">
        <f>IF($A752&gt;('1-Input'!$B$26-2),0,IF(N751&lt;=0,0,MAX(0,(N751-O751)/N751)))</f>
        <v>0</v>
      </c>
      <c r="J752" s="18">
        <f>IF($A752&gt;('1-Input'!$B$26-2),0,(MAX(0,I726-IF($A752&gt;='1-Input'!$C$12,'1-Input'!$B$12,0))-MIN(MAX(M751,0),MAX(0,I726-IF($A752&gt;='1-Input'!$C$12,'1-Input'!$B$12,0))))*(1/(1-'P-Parametri'!$B$6*I752))+MIN(MAX(0,N751-(MAX(0,I726-IF($A752&gt;='1-Input'!$C$12,'1-Input'!$B$12,0))-MIN(MAX(M751,0),MAX(0,I726-IF($A752&gt;='1-Input'!$C$12,'1-Input'!$B$12,0))))*(1/(1-'P-Parametri'!$B$6*I752))),MAX(0,2*I726-(M751-MIN(MAX(M751,0),MAX(0,I726-IF($A752&gt;='1-Input'!$C$12,'1-Input'!$B$12,0)))))*(1/(1-'P-Parametri'!$B$6*I752))))</f>
        <v>4191.2512496578865</v>
      </c>
      <c r="K752" s="18">
        <f>IF($A752&gt;('1-Input'!$B$26-2),M751,(M751-MAX(0,I726-IF($A752&gt;='1-Input'!$C$12,'1-Input'!$B$12,0))+J752*(1-'P-Parametri'!$B$6*I752))*(1+'1-Input'!$B$27))</f>
        <v>0</v>
      </c>
      <c r="L752" s="18">
        <f>IF($A752&gt;('1-Input'!$B$26-2),N751,(N751-J752)*(1+'5-Roberta'!$C$4))</f>
        <v>-4316.988787147623</v>
      </c>
      <c r="M752" s="18">
        <f>IF($A752&gt;('1-Input'!$B$26-2),K752,K752-'P-Parametri'!$B$8*(L752+K752)+MIN(MAX(L752,0),'P-Parametri'!$B$8*(L752+K752)))</f>
        <v>0</v>
      </c>
      <c r="N752" s="18">
        <f>IF($A752&gt;('1-Input'!$B$26-2),L752,L752-MIN(MAX(L752,0),'P-Parametri'!$B$8*(L752+K752)))</f>
        <v>-4308.3548095733277</v>
      </c>
      <c r="O752" s="18">
        <f>IF($A752&gt;('1-Input'!$B$26-2),O751,O751-J752*(1-I752))</f>
        <v>-4191.2512496578865</v>
      </c>
      <c r="P752" s="11">
        <f>IF($A752&gt;('1-Input'!$B$26-2),0,IF(U751&lt;=0,0,MAX(0,(U751-V751)/U751)))</f>
        <v>0.58098579173142773</v>
      </c>
      <c r="Q752" s="18">
        <f>IF($A752&gt;('1-Input'!$B$26-2),0,(MAX(0,P726-IF($A752&gt;='1-Input'!$C$12,'1-Input'!$B$12,0))-MIN(MAX(T751,0),MAX(0,P726-IF($A752&gt;='1-Input'!$C$12,'1-Input'!$B$12,0))))*(1/(1-'P-Parametri'!$B$6*P752))+MIN(MAX(0,U751-(MAX(0,P726-IF($A752&gt;='1-Input'!$C$12,'1-Input'!$B$12,0))-MIN(MAX(T751,0),MAX(0,P726-IF($A752&gt;='1-Input'!$C$12,'1-Input'!$B$12,0))))*(1/(1-'P-Parametri'!$B$6*P752))),MAX(0,2*P726-(T751-MIN(MAX(T751,0),MAX(0,P726-IF($A752&gt;='1-Input'!$C$12,'1-Input'!$B$12,0)))))*(1/(1-'P-Parametri'!$B$6*P752))))</f>
        <v>8729.5291698568235</v>
      </c>
      <c r="R752" s="18">
        <f>IF($A752&gt;('1-Input'!$B$26-2),T751,(T751-MAX(0,P726-IF($A752&gt;='1-Input'!$C$12,'1-Input'!$B$12,0))+Q752*(1-'P-Parametri'!$B$6*P752))*(1+'1-Input'!$B$27))</f>
        <v>36628.737843878102</v>
      </c>
      <c r="S752" s="18">
        <f>IF($A752&gt;('1-Input'!$B$26-2),U751,(U751-Q752)*(1+'5-Roberta'!$C$4))</f>
        <v>91955.518743358785</v>
      </c>
      <c r="T752" s="18">
        <f>IF($A752&gt;('1-Input'!$B$26-2),R752,R752-'P-Parametri'!$B$8*(S752+R752)+MIN(MAX(S752,0),'P-Parametri'!$B$8*(S752+R752)))</f>
        <v>36628.737843878102</v>
      </c>
      <c r="U752" s="18">
        <f>IF($A752&gt;('1-Input'!$B$26-2),S752,S752-MIN(MAX(S752,0),'P-Parametri'!$B$8*(S752+R752)))</f>
        <v>91698.350230184311</v>
      </c>
      <c r="V752" s="18">
        <f>IF($A752&gt;('1-Input'!$B$26-2),V751,V751-Q752*(1-P752))</f>
        <v>37408.416390460516</v>
      </c>
      <c r="W752" s="11">
        <f>IF($A752&gt;('1-Input'!$B$26-2),0,IF(AB751&lt;=0,0,MAX(0,(AB751-AC751)/AB751)))</f>
        <v>0.58114061895338032</v>
      </c>
      <c r="X752" s="18">
        <f>IF($A752&gt;('1-Input'!$B$26-2),0,(MAX(0,W726-IF($A752&gt;='1-Input'!$C$12,'1-Input'!$B$12,0))-MIN(MAX(AA751,0),MAX(0,W726-IF($A752&gt;='1-Input'!$C$12,'1-Input'!$B$12,0))))*(1/(1-'P-Parametri'!$B$6*W752))+MIN(MAX(0,AB751-(MAX(0,W726-IF($A752&gt;='1-Input'!$C$12,'1-Input'!$B$12,0))-MIN(MAX(AA751,0),MAX(0,W726-IF($A752&gt;='1-Input'!$C$12,'1-Input'!$B$12,0))))*(1/(1-'P-Parametri'!$B$6*W752))),MAX(0,2*W726-(AA751-MIN(MAX(AA751,0),MAX(0,W726-IF($A752&gt;='1-Input'!$C$12,'1-Input'!$B$12,0)))))*(1/(1-'P-Parametri'!$B$6*W752))))</f>
        <v>8461.7852311477491</v>
      </c>
      <c r="Y752" s="18">
        <f>IF($A752&gt;('1-Input'!$B$26-2),AA751,(AA751-MAX(0,W726-IF($A752&gt;='1-Input'!$C$12,'1-Input'!$B$12,0))+X752*(1-'P-Parametri'!$B$6*W752))*(1+'1-Input'!$B$27))</f>
        <v>36178.339405303268</v>
      </c>
      <c r="Z752" s="18">
        <f>IF($A752&gt;('1-Input'!$B$26-2),AB751,(AB751-X752)*(1+'5-Roberta'!$C$4))</f>
        <v>101632.34031401083</v>
      </c>
      <c r="AA752" s="18">
        <f>IF($A752&gt;('1-Input'!$B$26-2),Y752,Y752-'P-Parametri'!$B$8*(Z752+Y752)+MIN(MAX(Z752,0),'P-Parametri'!$B$8*(Z752+Y752)))</f>
        <v>36178.339405303268</v>
      </c>
      <c r="AB752" s="18">
        <f>IF($A752&gt;('1-Input'!$B$26-2),Z752,Z752-MIN(MAX(Z752,0),'P-Parametri'!$B$8*(Z752+Y752)))</f>
        <v>101356.71895457219</v>
      </c>
      <c r="AC752" s="18">
        <f>IF($A752&gt;('1-Input'!$B$26-2),AC751,AC751-X752*(1-W752))</f>
        <v>41329.766173054355</v>
      </c>
      <c r="AD752" s="11">
        <f>IF($A752&gt;('1-Input'!$B$26-2),0,IF(AI751&lt;=0,0,MAX(0,(AI751-AJ751)/AI751)))</f>
        <v>0.58114991699242158</v>
      </c>
      <c r="AE752" s="18">
        <f>IF($A752&gt;('1-Input'!$B$26-2),0,(MAX(0,AD726-IF($A752&gt;='1-Input'!$C$12,'1-Input'!$B$12,0))-MIN(MAX(AH751,0),MAX(0,AD726-IF($A752&gt;='1-Input'!$C$12,'1-Input'!$B$12,0))))*(1/(1-'P-Parametri'!$B$6*AD752))+MIN(MAX(0,AI751-(MAX(0,AD726-IF($A752&gt;='1-Input'!$C$12,'1-Input'!$B$12,0))-MIN(MAX(AH751,0),MAX(0,AD726-IF($A752&gt;='1-Input'!$C$12,'1-Input'!$B$12,0))))*(1/(1-'P-Parametri'!$B$6*AD752))),MAX(0,2*AD726-(AH751-MIN(MAX(AH751,0),MAX(0,AD726-IF($A752&gt;='1-Input'!$C$12,'1-Input'!$B$12,0)))))*(1/(1-'P-Parametri'!$B$6*AD752))))</f>
        <v>8444.7728903728057</v>
      </c>
      <c r="AF752" s="18">
        <f>IF($A752&gt;('1-Input'!$B$26-2),AH751,(AH751-MAX(0,AD726-IF($A752&gt;='1-Input'!$C$12,'1-Input'!$B$12,0))+AE752*(1-'P-Parametri'!$B$6*AD752))*(1+'1-Input'!$B$27))</f>
        <v>36149.725057315343</v>
      </c>
      <c r="AG752" s="18">
        <f>IF($A752&gt;('1-Input'!$B$26-2),AI751,(AI751-AE752)*(1+'5-Roberta'!$C$4))</f>
        <v>102247.13603352044</v>
      </c>
      <c r="AH752" s="18">
        <f>IF($A752&gt;('1-Input'!$B$26-2),AF752,AF752-'P-Parametri'!$B$8*(AG752+AF752)+MIN(MAX(AG752,0),'P-Parametri'!$B$8*(AG752+AF752)))</f>
        <v>36149.725057315343</v>
      </c>
      <c r="AI752" s="18">
        <f>IF($A752&gt;('1-Input'!$B$26-2),AG752,AG752-MIN(MAX(AG752,0),'P-Parametri'!$B$8*(AG752+AF752)))</f>
        <v>101970.34231133877</v>
      </c>
      <c r="AJ752" s="18">
        <f>IF($A752&gt;('1-Input'!$B$26-2),AJ751,AJ751-AE752*(1-AD752))</f>
        <v>41578.855742647764</v>
      </c>
      <c r="AK752" s="11">
        <f>IF($A752&gt;('1-Input'!$B$26-2),0,IF(AP751&lt;=0,0,MAX(0,(AP751-AQ751)/AP751)))</f>
        <v>0.58114996520947193</v>
      </c>
      <c r="AL752" s="18">
        <f>IF($A752&gt;('1-Input'!$B$26-2),0,(MAX(0,AK726-IF($A752&gt;='1-Input'!$C$12,'1-Input'!$B$12,0))-MIN(MAX(AO751,0),MAX(0,AK726-IF($A752&gt;='1-Input'!$C$12,'1-Input'!$B$12,0))))*(1/(1-'P-Parametri'!$B$6*AK752))+MIN(MAX(0,AP751-(MAX(0,AK726-IF($A752&gt;='1-Input'!$C$12,'1-Input'!$B$12,0))-MIN(MAX(AO751,0),MAX(0,AK726-IF($A752&gt;='1-Input'!$C$12,'1-Input'!$B$12,0))))*(1/(1-'P-Parametri'!$B$6*AK752))),MAX(0,2*AK726-(AO751-MIN(MAX(AO751,0),MAX(0,AK726-IF($A752&gt;='1-Input'!$C$12,'1-Input'!$B$12,0)))))*(1/(1-'P-Parametri'!$B$6*AK752))))</f>
        <v>8444.684382218622</v>
      </c>
      <c r="AM752" s="18">
        <f>IF($A752&gt;('1-Input'!$B$26-2),AO751,(AO751-MAX(0,AK726-IF($A752&gt;='1-Input'!$C$12,'1-Input'!$B$12,0))+AL752*(1-'P-Parametri'!$B$6*AK752))*(1+'1-Input'!$B$27))</f>
        <v>36149.576189835549</v>
      </c>
      <c r="AN752" s="18">
        <f>IF($A752&gt;('1-Input'!$B$26-2),AP751,(AP751-AL752)*(1+'5-Roberta'!$C$4))</f>
        <v>102250.33454166823</v>
      </c>
      <c r="AO752" s="18">
        <f>IF($A752&gt;('1-Input'!$B$26-2),AM752,AM752-'P-Parametri'!$B$8*(AN752+AM752)+MIN(MAX(AN752,0),'P-Parametri'!$B$8*(AN752+AM752)))</f>
        <v>36149.576189835549</v>
      </c>
      <c r="AP752" s="18">
        <f>IF($A752&gt;('1-Input'!$B$26-2),AN752,AN752-MIN(MAX(AN752,0),'P-Parametri'!$B$8*(AN752+AM752)))</f>
        <v>101973.53472020522</v>
      </c>
      <c r="AQ752" s="18">
        <f>IF($A752&gt;('1-Input'!$B$26-2),AQ751,AQ751-AL752*(1-AK752))</f>
        <v>41580.151631185312</v>
      </c>
    </row>
    <row r="753" spans="1:43">
      <c r="A753" s="10">
        <f>25</f>
        <v>25</v>
      </c>
      <c r="B753" s="11">
        <f>IF($A753&gt;('1-Input'!$B$26-2),0,IF(G752&lt;=0,0,MAX(0,(G752-H752)/G752)))</f>
        <v>0.59307329422492039</v>
      </c>
      <c r="C753" s="18">
        <f>IF($A753&gt;('1-Input'!$B$26-2),0,(MAX(0,B726-IF($A753&gt;='1-Input'!$C$12,'1-Input'!$B$12,0))-MIN(MAX(F752,0),MAX(0,B726-IF($A753&gt;='1-Input'!$C$12,'1-Input'!$B$12,0))))*(1/(1-'P-Parametri'!$B$6*B753))+MIN(MAX(0,G752-(MAX(0,B726-IF($A753&gt;='1-Input'!$C$12,'1-Input'!$B$12,0))-MIN(MAX(F752,0),MAX(0,B726-IF($A753&gt;='1-Input'!$C$12,'1-Input'!$B$12,0))))*(1/(1-'P-Parametri'!$B$6*B753))),MAX(0,2*B726-(F752-MIN(MAX(F752,0),MAX(0,B726-IF($A753&gt;='1-Input'!$C$12,'1-Input'!$B$12,0)))))*(1/(1-'P-Parametri'!$B$6*B753))))</f>
        <v>6738.1798952567151</v>
      </c>
      <c r="D753" s="18">
        <f>IF($A753&gt;('1-Input'!$B$26-2),F752,(F752-MAX(0,B726-IF($A753&gt;='1-Input'!$C$12,'1-Input'!$B$12,0))+C753*(1-'P-Parametri'!$B$6*B753))*(1+'1-Input'!$B$27))</f>
        <v>33242.0070309863</v>
      </c>
      <c r="E753" s="18">
        <f>IF($A753&gt;('1-Input'!$B$26-2),G752,(G752-C753)*(1+'5-Roberta'!$C$4))</f>
        <v>162322.80548933081</v>
      </c>
      <c r="F753" s="18">
        <f>IF($A753&gt;('1-Input'!$B$26-2),D753,D753-'P-Parametri'!$B$8*(E753+D753)+MIN(MAX(E753,0),'P-Parametri'!$B$8*(E753+D753)))</f>
        <v>33242.0070309863</v>
      </c>
      <c r="G753" s="18">
        <f>IF($A753&gt;('1-Input'!$B$26-2),E753,E753-MIN(MAX(E753,0),'P-Parametri'!$B$8*(E753+D753)))</f>
        <v>161931.67586429018</v>
      </c>
      <c r="H753" s="18">
        <f>IF($A753&gt;('1-Input'!$B$26-2),H752,H752-C753*(1-B753))</f>
        <v>64129.596611594548</v>
      </c>
      <c r="I753" s="11">
        <f>IF($A753&gt;('1-Input'!$B$26-2),0,IF(N752&lt;=0,0,MAX(0,(N752-O752)/N752)))</f>
        <v>0</v>
      </c>
      <c r="J753" s="18">
        <f>IF($A753&gt;('1-Input'!$B$26-2),0,(MAX(0,I726-IF($A753&gt;='1-Input'!$C$12,'1-Input'!$B$12,0))-MIN(MAX(M752,0),MAX(0,I726-IF($A753&gt;='1-Input'!$C$12,'1-Input'!$B$12,0))))*(1/(1-'P-Parametri'!$B$6*I753))+MIN(MAX(0,N752-(MAX(0,I726-IF($A753&gt;='1-Input'!$C$12,'1-Input'!$B$12,0))-MIN(MAX(M752,0),MAX(0,I726-IF($A753&gt;='1-Input'!$C$12,'1-Input'!$B$12,0))))*(1/(1-'P-Parametri'!$B$6*I753))),MAX(0,2*I726-(M752-MIN(MAX(M752,0),MAX(0,I726-IF($A753&gt;='1-Input'!$C$12,'1-Input'!$B$12,0)))))*(1/(1-'P-Parametri'!$B$6*I753))))</f>
        <v>10846.756992928691</v>
      </c>
      <c r="K753" s="18">
        <f>IF($A753&gt;('1-Input'!$B$26-2),M752,(M752-MAX(0,I726-IF($A753&gt;='1-Input'!$C$12,'1-Input'!$B$12,0))+J753*(1-'P-Parametri'!$B$6*I753))*(1+'1-Input'!$B$27))</f>
        <v>0</v>
      </c>
      <c r="L753" s="18">
        <f>IF($A753&gt;('1-Input'!$B$26-2),N752,(N752-J753)*(1+'5-Roberta'!$C$4))</f>
        <v>-15609.765156577079</v>
      </c>
      <c r="M753" s="18">
        <f>IF($A753&gt;('1-Input'!$B$26-2),K753,K753-'P-Parametri'!$B$8*(L753+K753)+MIN(MAX(L753,0),'P-Parametri'!$B$8*(L753+K753)))</f>
        <v>0</v>
      </c>
      <c r="N753" s="18">
        <f>IF($A753&gt;('1-Input'!$B$26-2),L753,L753-MIN(MAX(L753,0),'P-Parametri'!$B$8*(L753+K753)))</f>
        <v>-15578.545626263925</v>
      </c>
      <c r="O753" s="18">
        <f>IF($A753&gt;('1-Input'!$B$26-2),O752,O752-J753*(1-I753))</f>
        <v>-15038.008242586577</v>
      </c>
      <c r="P753" s="11">
        <f>IF($A753&gt;('1-Input'!$B$26-2),0,IF(U752&lt;=0,0,MAX(0,(U752-V752)/U752)))</f>
        <v>0.59204918849077826</v>
      </c>
      <c r="Q753" s="18">
        <f>IF($A753&gt;('1-Input'!$B$26-2),0,(MAX(0,P726-IF($A753&gt;='1-Input'!$C$12,'1-Input'!$B$12,0))-MIN(MAX(T752,0),MAX(0,P726-IF($A753&gt;='1-Input'!$C$12,'1-Input'!$B$12,0))))*(1/(1-'P-Parametri'!$B$6*P753))+MIN(MAX(0,U752-(MAX(0,P726-IF($A753&gt;='1-Input'!$C$12,'1-Input'!$B$12,0))-MIN(MAX(T752,0),MAX(0,P726-IF($A753&gt;='1-Input'!$C$12,'1-Input'!$B$12,0))))*(1/(1-'P-Parametri'!$B$6*P753))),MAX(0,2*P726-(T752-MIN(MAX(T752,0),MAX(0,P726-IF($A753&gt;='1-Input'!$C$12,'1-Input'!$B$12,0)))))*(1/(1-'P-Parametri'!$B$6*P753))))</f>
        <v>8759.2080692434829</v>
      </c>
      <c r="R753" s="18">
        <f>IF($A753&gt;('1-Input'!$B$26-2),T752,(T752-MAX(0,P726-IF($A753&gt;='1-Input'!$C$12,'1-Input'!$B$12,0))+Q753*(1-'P-Parametri'!$B$6*P753))*(1+'1-Input'!$B$27))</f>
        <v>36628.737843878102</v>
      </c>
      <c r="S753" s="18">
        <f>IF($A753&gt;('1-Input'!$B$26-2),U752,(U752-Q753)*(1+'5-Roberta'!$C$4))</f>
        <v>85427.316425769051</v>
      </c>
      <c r="T753" s="18">
        <f>IF($A753&gt;('1-Input'!$B$26-2),R753,R753-'P-Parametri'!$B$8*(S753+R753)+MIN(MAX(S753,0),'P-Parametri'!$B$8*(S753+R753)))</f>
        <v>36628.737843878102</v>
      </c>
      <c r="U753" s="18">
        <f>IF($A753&gt;('1-Input'!$B$26-2),S753,S753-MIN(MAX(S753,0),'P-Parametri'!$B$8*(S753+R753)))</f>
        <v>85183.204317229756</v>
      </c>
      <c r="V753" s="18">
        <f>IF($A753&gt;('1-Input'!$B$26-2),V752,V752-Q753*(1-P753))</f>
        <v>33835.090350434511</v>
      </c>
      <c r="W753" s="11">
        <f>IF($A753&gt;('1-Input'!$B$26-2),0,IF(AB752&lt;=0,0,MAX(0,(AB752-AC752)/AB752)))</f>
        <v>0.59223456915985762</v>
      </c>
      <c r="X753" s="18">
        <f>IF($A753&gt;('1-Input'!$B$26-2),0,(MAX(0,W726-IF($A753&gt;='1-Input'!$C$12,'1-Input'!$B$12,0))-MIN(MAX(AA752,0),MAX(0,W726-IF($A753&gt;='1-Input'!$C$12,'1-Input'!$B$12,0))))*(1/(1-'P-Parametri'!$B$6*W753))+MIN(MAX(0,AB752-(MAX(0,W726-IF($A753&gt;='1-Input'!$C$12,'1-Input'!$B$12,0))-MIN(MAX(AA752,0),MAX(0,W726-IF($A753&gt;='1-Input'!$C$12,'1-Input'!$B$12,0))))*(1/(1-'P-Parametri'!$B$6*W753))),MAX(0,2*W726-(AA752-MIN(MAX(AA752,0),MAX(0,W726-IF($A753&gt;='1-Input'!$C$12,'1-Input'!$B$12,0)))))*(1/(1-'P-Parametri'!$B$6*W753))))</f>
        <v>8490.6349400744493</v>
      </c>
      <c r="Y753" s="18">
        <f>IF($A753&gt;('1-Input'!$B$26-2),AA752,(AA752-MAX(0,W726-IF($A753&gt;='1-Input'!$C$12,'1-Input'!$B$12,0))+X753*(1-'P-Parametri'!$B$6*W753))*(1+'1-Input'!$B$27))</f>
        <v>36178.339405303268</v>
      </c>
      <c r="Z753" s="18">
        <f>IF($A753&gt;('1-Input'!$B$26-2),AB752,(AB752-X753)*(1+'5-Roberta'!$C$4))</f>
        <v>95652.066534932674</v>
      </c>
      <c r="AA753" s="18">
        <f>IF($A753&gt;('1-Input'!$B$26-2),Y753,Y753-'P-Parametri'!$B$8*(Z753+Y753)+MIN(MAX(Z753,0),'P-Parametri'!$B$8*(Z753+Y753)))</f>
        <v>36178.339405303268</v>
      </c>
      <c r="AB753" s="18">
        <f>IF($A753&gt;('1-Input'!$B$26-2),Z753,Z753-MIN(MAX(Z753,0),'P-Parametri'!$B$8*(Z753+Y753)))</f>
        <v>95388.405723052201</v>
      </c>
      <c r="AC753" s="18">
        <f>IF($A753&gt;('1-Input'!$B$26-2),AC752,AC752-X753*(1-W753))</f>
        <v>37867.578758608528</v>
      </c>
      <c r="AD753" s="11">
        <f>IF($A753&gt;('1-Input'!$B$26-2),0,IF(AI752&lt;=0,0,MAX(0,(AI752-AJ752)/AI752)))</f>
        <v>0.5922456000422357</v>
      </c>
      <c r="AE753" s="18">
        <f>IF($A753&gt;('1-Input'!$B$26-2),0,(MAX(0,AD726-IF($A753&gt;='1-Input'!$C$12,'1-Input'!$B$12,0))-MIN(MAX(AH752,0),MAX(0,AD726-IF($A753&gt;='1-Input'!$C$12,'1-Input'!$B$12,0))))*(1/(1-'P-Parametri'!$B$6*AD753))+MIN(MAX(0,AI752-(MAX(0,AD726-IF($A753&gt;='1-Input'!$C$12,'1-Input'!$B$12,0))-MIN(MAX(AH752,0),MAX(0,AD726-IF($A753&gt;='1-Input'!$C$12,'1-Input'!$B$12,0))))*(1/(1-'P-Parametri'!$B$6*AD753))),MAX(0,2*AD726-(AH752-MIN(MAX(AH752,0),MAX(0,AD726-IF($A753&gt;='1-Input'!$C$12,'1-Input'!$B$12,0)))))*(1/(1-'P-Parametri'!$B$6*AD753))))</f>
        <v>8473.5691920298068</v>
      </c>
      <c r="AF753" s="18">
        <f>IF($A753&gt;('1-Input'!$B$26-2),AH752,(AH752-MAX(0,AD726-IF($A753&gt;='1-Input'!$C$12,'1-Input'!$B$12,0))+AE753*(1-'P-Parametri'!$B$6*AD753))*(1+'1-Input'!$B$27))</f>
        <v>36149.725057315343</v>
      </c>
      <c r="AG753" s="18">
        <f>IF($A753&gt;('1-Input'!$B$26-2),AI752,(AI752-AE753)*(1+'5-Roberta'!$C$4))</f>
        <v>96301.67631288823</v>
      </c>
      <c r="AH753" s="18">
        <f>IF($A753&gt;('1-Input'!$B$26-2),AF753,AF753-'P-Parametri'!$B$8*(AG753+AF753)+MIN(MAX(AG753,0),'P-Parametri'!$B$8*(AG753+AF753)))</f>
        <v>36149.725057315343</v>
      </c>
      <c r="AI753" s="18">
        <f>IF($A753&gt;('1-Input'!$B$26-2),AG753,AG753-MIN(MAX(AG753,0),'P-Parametri'!$B$8*(AG753+AF753)))</f>
        <v>96036.773510147817</v>
      </c>
      <c r="AJ753" s="18">
        <f>IF($A753&gt;('1-Input'!$B$26-2),AJ752,AJ752-AE753*(1-AD753))</f>
        <v>38123.72062125105</v>
      </c>
      <c r="AK753" s="11">
        <f>IF($A753&gt;('1-Input'!$B$26-2),0,IF(AP752&lt;=0,0,MAX(0,(AP752-AQ752)/AP752)))</f>
        <v>0.59224565721613109</v>
      </c>
      <c r="AL753" s="18">
        <f>IF($A753&gt;('1-Input'!$B$26-2),0,(MAX(0,AK726-IF($A753&gt;='1-Input'!$C$12,'1-Input'!$B$12,0))-MIN(MAX(AO752,0),MAX(0,AK726-IF($A753&gt;='1-Input'!$C$12,'1-Input'!$B$12,0))))*(1/(1-'P-Parametri'!$B$6*AK753))+MIN(MAX(0,AP752-(MAX(0,AK726-IF($A753&gt;='1-Input'!$C$12,'1-Input'!$B$12,0))-MIN(MAX(AO752,0),MAX(0,AK726-IF($A753&gt;='1-Input'!$C$12,'1-Input'!$B$12,0))))*(1/(1-'P-Parametri'!$B$6*AK753))),MAX(0,2*AK726-(AO752-MIN(MAX(AO752,0),MAX(0,AK726-IF($A753&gt;='1-Input'!$C$12,'1-Input'!$B$12,0)))))*(1/(1-'P-Parametri'!$B$6*AK753))))</f>
        <v>8473.4804058179016</v>
      </c>
      <c r="AM753" s="18">
        <f>IF($A753&gt;('1-Input'!$B$26-2),AO752,(AO752-MAX(0,AK726-IF($A753&gt;='1-Input'!$C$12,'1-Input'!$B$12,0))+AL753*(1-'P-Parametri'!$B$6*AK753))*(1+'1-Input'!$B$27))</f>
        <v>36149.576189835549</v>
      </c>
      <c r="AN753" s="18">
        <f>IF($A753&gt;('1-Input'!$B$26-2),AP752,(AP752-AL753)*(1+'5-Roberta'!$C$4))</f>
        <v>96305.055943818938</v>
      </c>
      <c r="AO753" s="18">
        <f>IF($A753&gt;('1-Input'!$B$26-2),AM753,AM753-'P-Parametri'!$B$8*(AN753+AM753)+MIN(MAX(AN753,0),'P-Parametri'!$B$8*(AN753+AM753)))</f>
        <v>36149.576189835549</v>
      </c>
      <c r="AP753" s="18">
        <f>IF($A753&gt;('1-Input'!$B$26-2),AN753,AN753-MIN(MAX(AN753,0),'P-Parametri'!$B$8*(AN753+AM753)))</f>
        <v>96040.146679551632</v>
      </c>
      <c r="AQ753" s="18">
        <f>IF($A753&gt;('1-Input'!$B$26-2),AQ752,AQ752-AL753*(1-AK753))</f>
        <v>38125.053197219044</v>
      </c>
    </row>
    <row r="754" spans="1:43">
      <c r="A754" s="10">
        <f>26</f>
        <v>26</v>
      </c>
      <c r="B754" s="11">
        <f>IF($A754&gt;('1-Input'!$B$26-2),0,IF(G753&lt;=0,0,MAX(0,(G753-H753)/G753)))</f>
        <v>0.60397126584832272</v>
      </c>
      <c r="C754" s="18">
        <f>IF($A754&gt;('1-Input'!$B$26-2),0,(MAX(0,B726-IF($A754&gt;='1-Input'!$C$12,'1-Input'!$B$12,0))-MIN(MAX(F753,0),MAX(0,B726-IF($A754&gt;='1-Input'!$C$12,'1-Input'!$B$12,0))))*(1/(1-'P-Parametri'!$B$6*B754))+MIN(MAX(0,G753-(MAX(0,B726-IF($A754&gt;='1-Input'!$C$12,'1-Input'!$B$12,0))-MIN(MAX(F753,0),MAX(0,B726-IF($A754&gt;='1-Input'!$C$12,'1-Input'!$B$12,0))))*(1/(1-'P-Parametri'!$B$6*B754))),MAX(0,2*B726-(F753-MIN(MAX(F753,0),MAX(0,B726-IF($A754&gt;='1-Input'!$C$12,'1-Input'!$B$12,0)))))*(1/(1-'P-Parametri'!$B$6*B754))))</f>
        <v>6760.8289877963971</v>
      </c>
      <c r="D754" s="18">
        <f>IF($A754&gt;('1-Input'!$B$26-2),F753,(F753-MAX(0,B726-IF($A754&gt;='1-Input'!$C$12,'1-Input'!$B$12,0))+C754*(1-'P-Parametri'!$B$6*B754))*(1+'1-Input'!$B$27))</f>
        <v>33242.0070309863</v>
      </c>
      <c r="E754" s="18">
        <f>IF($A754&gt;('1-Input'!$B$26-2),G753,(G753-C754)*(1+'5-Roberta'!$C$4))</f>
        <v>159825.97228278863</v>
      </c>
      <c r="F754" s="18">
        <f>IF($A754&gt;('1-Input'!$B$26-2),D754,D754-'P-Parametri'!$B$8*(E754+D754)+MIN(MAX(E754,0),'P-Parametri'!$B$8*(E754+D754)))</f>
        <v>33242.0070309863</v>
      </c>
      <c r="G754" s="18">
        <f>IF($A754&gt;('1-Input'!$B$26-2),E754,E754-MIN(MAX(E754,0),'P-Parametri'!$B$8*(E754+D754)))</f>
        <v>159439.83632416109</v>
      </c>
      <c r="H754" s="18">
        <f>IF($A754&gt;('1-Input'!$B$26-2),H753,H753-C754*(1-B754))</f>
        <v>61452.114065741574</v>
      </c>
      <c r="I754" s="11">
        <f>IF($A754&gt;('1-Input'!$B$26-2),0,IF(N753&lt;=0,0,MAX(0,(N753-O753)/N753)))</f>
        <v>0</v>
      </c>
      <c r="J754" s="18">
        <f>IF($A754&gt;('1-Input'!$B$26-2),0,(MAX(0,I726-IF($A754&gt;='1-Input'!$C$12,'1-Input'!$B$12,0))-MIN(MAX(M753,0),MAX(0,I726-IF($A754&gt;='1-Input'!$C$12,'1-Input'!$B$12,0))))*(1/(1-'P-Parametri'!$B$6*I754))+MIN(MAX(0,N753-(MAX(0,I726-IF($A754&gt;='1-Input'!$C$12,'1-Input'!$B$12,0))-MIN(MAX(M753,0),MAX(0,I726-IF($A754&gt;='1-Input'!$C$12,'1-Input'!$B$12,0))))*(1/(1-'P-Parametri'!$B$6*I754))),MAX(0,2*I726-(M753-MIN(MAX(M753,0),MAX(0,I726-IF($A754&gt;='1-Input'!$C$12,'1-Input'!$B$12,0)))))*(1/(1-'P-Parametri'!$B$6*I754))))</f>
        <v>10846.756992928691</v>
      </c>
      <c r="K754" s="18">
        <f>IF($A754&gt;('1-Input'!$B$26-2),M753,(M753-MAX(0,I726-IF($A754&gt;='1-Input'!$C$12,'1-Input'!$B$12,0))+J754*(1-'P-Parametri'!$B$6*I754))*(1+'1-Input'!$B$27))</f>
        <v>0</v>
      </c>
      <c r="L754" s="18">
        <f>IF($A754&gt;('1-Input'!$B$26-2),N753,(N753-J754)*(1+'5-Roberta'!$C$4))</f>
        <v>-27218.061697768397</v>
      </c>
      <c r="M754" s="18">
        <f>IF($A754&gt;('1-Input'!$B$26-2),K754,K754-'P-Parametri'!$B$8*(L754+K754)+MIN(MAX(L754,0),'P-Parametri'!$B$8*(L754+K754)))</f>
        <v>0</v>
      </c>
      <c r="N754" s="18">
        <f>IF($A754&gt;('1-Input'!$B$26-2),L754,L754-MIN(MAX(L754,0),'P-Parametri'!$B$8*(L754+K754)))</f>
        <v>-27163.625574372862</v>
      </c>
      <c r="O754" s="18">
        <f>IF($A754&gt;('1-Input'!$B$26-2),O753,O753-J754*(1-I754))</f>
        <v>-25884.765235515268</v>
      </c>
      <c r="P754" s="11">
        <f>IF($A754&gt;('1-Input'!$B$26-2),0,IF(U753&lt;=0,0,MAX(0,(U753-V753)/U753)))</f>
        <v>0.60279622465915161</v>
      </c>
      <c r="Q754" s="18">
        <f>IF($A754&gt;('1-Input'!$B$26-2),0,(MAX(0,P726-IF($A754&gt;='1-Input'!$C$12,'1-Input'!$B$12,0))-MIN(MAX(T753,0),MAX(0,P726-IF($A754&gt;='1-Input'!$C$12,'1-Input'!$B$12,0))))*(1/(1-'P-Parametri'!$B$6*P754))+MIN(MAX(0,U753-(MAX(0,P726-IF($A754&gt;='1-Input'!$C$12,'1-Input'!$B$12,0))-MIN(MAX(T753,0),MAX(0,P726-IF($A754&gt;='1-Input'!$C$12,'1-Input'!$B$12,0))))*(1/(1-'P-Parametri'!$B$6*P754))),MAX(0,2*P726-(T753-MIN(MAX(T753,0),MAX(0,P726-IF($A754&gt;='1-Input'!$C$12,'1-Input'!$B$12,0)))))*(1/(1-'P-Parametri'!$B$6*P754))))</f>
        <v>8788.2321661554615</v>
      </c>
      <c r="R754" s="18">
        <f>IF($A754&gt;('1-Input'!$B$26-2),T753,(T753-MAX(0,P726-IF($A754&gt;='1-Input'!$C$12,'1-Input'!$B$12,0))+Q754*(1-'P-Parametri'!$B$6*P754))*(1+'1-Input'!$B$27))</f>
        <v>36628.737843878102</v>
      </c>
      <c r="S754" s="18">
        <f>IF($A754&gt;('1-Input'!$B$26-2),U753,(U753-Q754)*(1+'5-Roberta'!$C$4))</f>
        <v>78686.821315606532</v>
      </c>
      <c r="T754" s="18">
        <f>IF($A754&gt;('1-Input'!$B$26-2),R754,R754-'P-Parametri'!$B$8*(S754+R754)+MIN(MAX(S754,0),'P-Parametri'!$B$8*(S754+R754)))</f>
        <v>36628.737843878102</v>
      </c>
      <c r="U754" s="18">
        <f>IF($A754&gt;('1-Input'!$B$26-2),S754,S754-MIN(MAX(S754,0),'P-Parametri'!$B$8*(S754+R754)))</f>
        <v>78456.190197287564</v>
      </c>
      <c r="V754" s="18">
        <f>IF($A754&gt;('1-Input'!$B$26-2),V753,V753-Q754*(1-P754))</f>
        <v>30344.371355465679</v>
      </c>
      <c r="W754" s="11">
        <f>IF($A754&gt;('1-Input'!$B$26-2),0,IF(AB753&lt;=0,0,MAX(0,(AB753-AC753)/AB753)))</f>
        <v>0.60301696551515804</v>
      </c>
      <c r="X754" s="18">
        <f>IF($A754&gt;('1-Input'!$B$26-2),0,(MAX(0,W726-IF($A754&gt;='1-Input'!$C$12,'1-Input'!$B$12,0))-MIN(MAX(AA753,0),MAX(0,W726-IF($A754&gt;='1-Input'!$C$12,'1-Input'!$B$12,0))))*(1/(1-'P-Parametri'!$B$6*W754))+MIN(MAX(0,AB753-(MAX(0,W726-IF($A754&gt;='1-Input'!$C$12,'1-Input'!$B$12,0))-MIN(MAX(AA753,0),MAX(0,W726-IF($A754&gt;='1-Input'!$C$12,'1-Input'!$B$12,0))))*(1/(1-'P-Parametri'!$B$6*W754))),MAX(0,2*W726-(AA753-MIN(MAX(AA753,0),MAX(0,W726-IF($A754&gt;='1-Input'!$C$12,'1-Input'!$B$12,0)))))*(1/(1-'P-Parametri'!$B$6*W754))))</f>
        <v>8518.8635948002448</v>
      </c>
      <c r="Y754" s="18">
        <f>IF($A754&gt;('1-Input'!$B$26-2),AA753,(AA753-MAX(0,W726-IF($A754&gt;='1-Input'!$C$12,'1-Input'!$B$12,0))+X754*(1-'P-Parametri'!$B$6*W754))*(1+'1-Input'!$B$27))</f>
        <v>36178.339405303268</v>
      </c>
      <c r="Z754" s="18">
        <f>IF($A754&gt;('1-Input'!$B$26-2),AB753,(AB753-X754)*(1+'5-Roberta'!$C$4))</f>
        <v>89475.628392099519</v>
      </c>
      <c r="AA754" s="18">
        <f>IF($A754&gt;('1-Input'!$B$26-2),Y754,Y754-'P-Parametri'!$B$8*(Z754+Y754)+MIN(MAX(Z754,0),'P-Parametri'!$B$8*(Z754+Y754)))</f>
        <v>36178.339405303268</v>
      </c>
      <c r="AB754" s="18">
        <f>IF($A754&gt;('1-Input'!$B$26-2),Z754,Z754-MIN(MAX(Z754,0),'P-Parametri'!$B$8*(Z754+Y754)))</f>
        <v>89224.32045650472</v>
      </c>
      <c r="AC754" s="18">
        <f>IF($A754&gt;('1-Input'!$B$26-2),AC753,AC753-X754*(1-W754))</f>
        <v>34485.734438382278</v>
      </c>
      <c r="AD754" s="11">
        <f>IF($A754&gt;('1-Input'!$B$26-2),0,IF(AI753&lt;=0,0,MAX(0,(AI753-AJ753)/AI753)))</f>
        <v>0.60302997250087054</v>
      </c>
      <c r="AE754" s="18">
        <f>IF($A754&gt;('1-Input'!$B$26-2),0,(MAX(0,AD726-IF($A754&gt;='1-Input'!$C$12,'1-Input'!$B$12,0))-MIN(MAX(AH753,0),MAX(0,AD726-IF($A754&gt;='1-Input'!$C$12,'1-Input'!$B$12,0))))*(1/(1-'P-Parametri'!$B$6*AD754))+MIN(MAX(0,AI753-(MAX(0,AD726-IF($A754&gt;='1-Input'!$C$12,'1-Input'!$B$12,0))-MIN(MAX(AH753,0),MAX(0,AD726-IF($A754&gt;='1-Input'!$C$12,'1-Input'!$B$12,0))))*(1/(1-'P-Parametri'!$B$6*AD754))),MAX(0,2*AD726-(AH753-MIN(MAX(AH753,0),MAX(0,AD726-IF($A754&gt;='1-Input'!$C$12,'1-Input'!$B$12,0)))))*(1/(1-'P-Parametri'!$B$6*AD754))))</f>
        <v>8501.7463846937226</v>
      </c>
      <c r="AF754" s="18">
        <f>IF($A754&gt;('1-Input'!$B$26-2),AH753,(AH753-MAX(0,AD726-IF($A754&gt;='1-Input'!$C$12,'1-Input'!$B$12,0))+AE754*(1-'P-Parametri'!$B$6*AD754))*(1+'1-Input'!$B$27))</f>
        <v>36149.725057315343</v>
      </c>
      <c r="AG754" s="18">
        <f>IF($A754&gt;('1-Input'!$B$26-2),AI753,(AI753-AE754)*(1+'5-Roberta'!$C$4))</f>
        <v>90161.077939217721</v>
      </c>
      <c r="AH754" s="18">
        <f>IF($A754&gt;('1-Input'!$B$26-2),AF754,AF754-'P-Parametri'!$B$8*(AG754+AF754)+MIN(MAX(AG754,0),'P-Parametri'!$B$8*(AG754+AF754)))</f>
        <v>36149.725057315343</v>
      </c>
      <c r="AI754" s="18">
        <f>IF($A754&gt;('1-Input'!$B$26-2),AG754,AG754-MIN(MAX(AG754,0),'P-Parametri'!$B$8*(AG754+AF754)))</f>
        <v>89908.456333224662</v>
      </c>
      <c r="AJ754" s="18">
        <f>IF($A754&gt;('1-Input'!$B$26-2),AJ753,AJ753-AE754*(1-AD754))</f>
        <v>34748.782125128557</v>
      </c>
      <c r="AK754" s="11">
        <f>IF($A754&gt;('1-Input'!$B$26-2),0,IF(AP753&lt;=0,0,MAX(0,(AP753-AQ753)/AP753)))</f>
        <v>0.6030300398808488</v>
      </c>
      <c r="AL754" s="18">
        <f>IF($A754&gt;('1-Input'!$B$26-2),0,(MAX(0,AK726-IF($A754&gt;='1-Input'!$C$12,'1-Input'!$B$12,0))-MIN(MAX(AO753,0),MAX(0,AK726-IF($A754&gt;='1-Input'!$C$12,'1-Input'!$B$12,0))))*(1/(1-'P-Parametri'!$B$6*AK754))+MIN(MAX(0,AP753-(MAX(0,AK726-IF($A754&gt;='1-Input'!$C$12,'1-Input'!$B$12,0))-MIN(MAX(AO753,0),MAX(0,AK726-IF($A754&gt;='1-Input'!$C$12,'1-Input'!$B$12,0))))*(1/(1-'P-Parametri'!$B$6*AK754))),MAX(0,2*AK726-(AO753-MIN(MAX(AO753,0),MAX(0,AK726-IF($A754&gt;='1-Input'!$C$12,'1-Input'!$B$12,0)))))*(1/(1-'P-Parametri'!$B$6*AK754))))</f>
        <v>8501.6573304920621</v>
      </c>
      <c r="AM754" s="18">
        <f>IF($A754&gt;('1-Input'!$B$26-2),AO753,(AO753-MAX(0,AK726-IF($A754&gt;='1-Input'!$C$12,'1-Input'!$B$12,0))+AL754*(1-'P-Parametri'!$B$6*AK754))*(1+'1-Input'!$B$27))</f>
        <v>36149.576189835549</v>
      </c>
      <c r="AN754" s="18">
        <f>IF($A754&gt;('1-Input'!$B$26-2),AP753,(AP753-AL754)*(1+'5-Roberta'!$C$4))</f>
        <v>90164.644029531366</v>
      </c>
      <c r="AO754" s="18">
        <f>IF($A754&gt;('1-Input'!$B$26-2),AM754,AM754-'P-Parametri'!$B$8*(AN754+AM754)+MIN(MAX(AN754,0),'P-Parametri'!$B$8*(AN754+AM754)))</f>
        <v>36149.576189835549</v>
      </c>
      <c r="AP754" s="18">
        <f>IF($A754&gt;('1-Input'!$B$26-2),AN754,AN754-MIN(MAX(AN754,0),'P-Parametri'!$B$8*(AN754+AM754)))</f>
        <v>89912.015589092625</v>
      </c>
      <c r="AQ754" s="18">
        <f>IF($A754&gt;('1-Input'!$B$26-2),AQ753,AQ753-AL754*(1-AK754))</f>
        <v>34750.150625786919</v>
      </c>
    </row>
    <row r="755" spans="1:43">
      <c r="A755" s="10">
        <f>27</f>
        <v>27</v>
      </c>
      <c r="B755" s="11">
        <f>IF($A755&gt;('1-Input'!$B$26-2),0,IF(G754&lt;=0,0,MAX(0,(G754-H754)/G754)))</f>
        <v>0.6145749049766851</v>
      </c>
      <c r="C755" s="18">
        <f>IF($A755&gt;('1-Input'!$B$26-2),0,(MAX(0,B726-IF($A755&gt;='1-Input'!$C$12,'1-Input'!$B$12,0))-MIN(MAX(F754,0),MAX(0,B726-IF($A755&gt;='1-Input'!$C$12,'1-Input'!$B$12,0))))*(1/(1-'P-Parametri'!$B$6*B755))+MIN(MAX(0,G754-(MAX(0,B726-IF($A755&gt;='1-Input'!$C$12,'1-Input'!$B$12,0))-MIN(MAX(F754,0),MAX(0,B726-IF($A755&gt;='1-Input'!$C$12,'1-Input'!$B$12,0))))*(1/(1-'P-Parametri'!$B$6*B755))),MAX(0,2*B726-(F754-MIN(MAX(F754,0),MAX(0,B726-IF($A755&gt;='1-Input'!$C$12,'1-Input'!$B$12,0)))))*(1/(1-'P-Parametri'!$B$6*B755))))</f>
        <v>6783.0130012771424</v>
      </c>
      <c r="D755" s="18">
        <f>IF($A755&gt;('1-Input'!$B$26-2),F754,(F754-MAX(0,B726-IF($A755&gt;='1-Input'!$C$12,'1-Input'!$B$12,0))+C755*(1-'P-Parametri'!$B$6*B755))*(1+'1-Input'!$B$27))</f>
        <v>33242.0070309863</v>
      </c>
      <c r="E755" s="18">
        <f>IF($A755&gt;('1-Input'!$B$26-2),G754,(G754-C755)*(1+'5-Roberta'!$C$4))</f>
        <v>157236.52802257048</v>
      </c>
      <c r="F755" s="18">
        <f>IF($A755&gt;('1-Input'!$B$26-2),D755,D755-'P-Parametri'!$B$8*(E755+D755)+MIN(MAX(E755,0),'P-Parametri'!$B$8*(E755+D755)))</f>
        <v>33242.0070309863</v>
      </c>
      <c r="G755" s="18">
        <f>IF($A755&gt;('1-Input'!$B$26-2),E755,E755-MIN(MAX(E755,0),'P-Parametri'!$B$8*(E755+D755)))</f>
        <v>156855.57095246337</v>
      </c>
      <c r="H755" s="18">
        <f>IF($A755&gt;('1-Input'!$B$26-2),H754,H754-C755*(1-B755))</f>
        <v>58837.77063517995</v>
      </c>
      <c r="I755" s="11">
        <f>IF($A755&gt;('1-Input'!$B$26-2),0,IF(N754&lt;=0,0,MAX(0,(N754-O754)/N754)))</f>
        <v>0</v>
      </c>
      <c r="J755" s="18">
        <f>IF($A755&gt;('1-Input'!$B$26-2),0,(MAX(0,I726-IF($A755&gt;='1-Input'!$C$12,'1-Input'!$B$12,0))-MIN(MAX(M754,0),MAX(0,I726-IF($A755&gt;='1-Input'!$C$12,'1-Input'!$B$12,0))))*(1/(1-'P-Parametri'!$B$6*I755))+MIN(MAX(0,N754-(MAX(0,I726-IF($A755&gt;='1-Input'!$C$12,'1-Input'!$B$12,0))-MIN(MAX(M754,0),MAX(0,I726-IF($A755&gt;='1-Input'!$C$12,'1-Input'!$B$12,0))))*(1/(1-'P-Parametri'!$B$6*I755))),MAX(0,2*I726-(M754-MIN(MAX(M754,0),MAX(0,I726-IF($A755&gt;='1-Input'!$C$12,'1-Input'!$B$12,0)))))*(1/(1-'P-Parametri'!$B$6*I755))))</f>
        <v>10846.756992928691</v>
      </c>
      <c r="K755" s="18">
        <f>IF($A755&gt;('1-Input'!$B$26-2),M754,(M754-MAX(0,I726-IF($A755&gt;='1-Input'!$C$12,'1-Input'!$B$12,0))+J755*(1-'P-Parametri'!$B$6*I755))*(1+'1-Input'!$B$27))</f>
        <v>0</v>
      </c>
      <c r="L755" s="18">
        <f>IF($A755&gt;('1-Input'!$B$26-2),N754,(N754-J755)*(1+'5-Roberta'!$C$4))</f>
        <v>-39150.694044320597</v>
      </c>
      <c r="M755" s="18">
        <f>IF($A755&gt;('1-Input'!$B$26-2),K755,K755-'P-Parametri'!$B$8*(L755+K755)+MIN(MAX(L755,0),'P-Parametri'!$B$8*(L755+K755)))</f>
        <v>0</v>
      </c>
      <c r="N755" s="18">
        <f>IF($A755&gt;('1-Input'!$B$26-2),L755,L755-MIN(MAX(L755,0),'P-Parametri'!$B$8*(L755+K755)))</f>
        <v>-39072.392656231954</v>
      </c>
      <c r="O755" s="18">
        <f>IF($A755&gt;('1-Input'!$B$26-2),O754,O754-J755*(1-I755))</f>
        <v>-36731.522228443959</v>
      </c>
      <c r="P755" s="11">
        <f>IF($A755&gt;('1-Input'!$B$26-2),0,IF(U754&lt;=0,0,MAX(0,(U754-V754)/U754)))</f>
        <v>0.61323164839943045</v>
      </c>
      <c r="Q755" s="18">
        <f>IF($A755&gt;('1-Input'!$B$26-2),0,(MAX(0,P726-IF($A755&gt;='1-Input'!$C$12,'1-Input'!$B$12,0))-MIN(MAX(T754,0),MAX(0,P726-IF($A755&gt;='1-Input'!$C$12,'1-Input'!$B$12,0))))*(1/(1-'P-Parametri'!$B$6*P755))+MIN(MAX(0,U754-(MAX(0,P726-IF($A755&gt;='1-Input'!$C$12,'1-Input'!$B$12,0))-MIN(MAX(T754,0),MAX(0,P726-IF($A755&gt;='1-Input'!$C$12,'1-Input'!$B$12,0))))*(1/(1-'P-Parametri'!$B$6*P755))),MAX(0,2*P726-(T754-MIN(MAX(T754,0),MAX(0,P726-IF($A755&gt;='1-Input'!$C$12,'1-Input'!$B$12,0)))))*(1/(1-'P-Parametri'!$B$6*P755))))</f>
        <v>8816.5993587360572</v>
      </c>
      <c r="R755" s="18">
        <f>IF($A755&gt;('1-Input'!$B$26-2),T754,(T754-MAX(0,P726-IF($A755&gt;='1-Input'!$C$12,'1-Input'!$B$12,0))+Q755*(1-'P-Parametri'!$B$6*P755))*(1+'1-Input'!$B$27))</f>
        <v>36628.737843878102</v>
      </c>
      <c r="S755" s="18">
        <f>IF($A755&gt;('1-Input'!$B$26-2),U754,(U754-Q755)*(1+'5-Roberta'!$C$4))</f>
        <v>71728.778563708052</v>
      </c>
      <c r="T755" s="18">
        <f>IF($A755&gt;('1-Input'!$B$26-2),R755,R755-'P-Parametri'!$B$8*(S755+R755)+MIN(MAX(S755,0),'P-Parametri'!$B$8*(S755+R755)))</f>
        <v>36628.737843878102</v>
      </c>
      <c r="U755" s="18">
        <f>IF($A755&gt;('1-Input'!$B$26-2),S755,S755-MIN(MAX(S755,0),'P-Parametri'!$B$8*(S755+R755)))</f>
        <v>71512.063530892876</v>
      </c>
      <c r="V755" s="18">
        <f>IF($A755&gt;('1-Input'!$B$26-2),V754,V754-Q755*(1-P755))</f>
        <v>26934.389754764696</v>
      </c>
      <c r="W755" s="11">
        <f>IF($A755&gt;('1-Input'!$B$26-2),0,IF(AB754&lt;=0,0,MAX(0,(AB754-AC754)/AB754)))</f>
        <v>0.61349400856245839</v>
      </c>
      <c r="X755" s="18">
        <f>IF($A755&gt;('1-Input'!$B$26-2),0,(MAX(0,W726-IF($A755&gt;='1-Input'!$C$12,'1-Input'!$B$12,0))-MIN(MAX(AA754,0),MAX(0,W726-IF($A755&gt;='1-Input'!$C$12,'1-Input'!$B$12,0))))*(1/(1-'P-Parametri'!$B$6*W755))+MIN(MAX(0,AB754-(MAX(0,W726-IF($A755&gt;='1-Input'!$C$12,'1-Input'!$B$12,0))-MIN(MAX(AA754,0),MAX(0,W726-IF($A755&gt;='1-Input'!$C$12,'1-Input'!$B$12,0))))*(1/(1-'P-Parametri'!$B$6*W755))),MAX(0,2*W726-(AA754-MIN(MAX(AA754,0),MAX(0,W726-IF($A755&gt;='1-Input'!$C$12,'1-Input'!$B$12,0)))))*(1/(1-'P-Parametri'!$B$6*W755))))</f>
        <v>8546.4732119826404</v>
      </c>
      <c r="Y755" s="18">
        <f>IF($A755&gt;('1-Input'!$B$26-2),AA754,(AA754-MAX(0,W726-IF($A755&gt;='1-Input'!$C$12,'1-Input'!$B$12,0))+X755*(1-'P-Parametri'!$B$6*W755))*(1+'1-Input'!$B$27))</f>
        <v>36178.339405303268</v>
      </c>
      <c r="Z755" s="18">
        <f>IF($A755&gt;('1-Input'!$B$26-2),AB754,(AB754-X755)*(1+'5-Roberta'!$C$4))</f>
        <v>83098.182661857747</v>
      </c>
      <c r="AA755" s="18">
        <f>IF($A755&gt;('1-Input'!$B$26-2),Y755,Y755-'P-Parametri'!$B$8*(Z755+Y755)+MIN(MAX(Z755,0),'P-Parametri'!$B$8*(Z755+Y755)))</f>
        <v>36178.339405303268</v>
      </c>
      <c r="AB755" s="18">
        <f>IF($A755&gt;('1-Input'!$B$26-2),Z755,Z755-MIN(MAX(Z755,0),'P-Parametri'!$B$8*(Z755+Y755)))</f>
        <v>82859.629617723418</v>
      </c>
      <c r="AC755" s="18">
        <f>IF($A755&gt;('1-Input'!$B$26-2),AC754,AC754-X755*(1-W755))</f>
        <v>31182.471336290539</v>
      </c>
      <c r="AD755" s="11">
        <f>IF($A755&gt;('1-Input'!$B$26-2),0,IF(AI754&lt;=0,0,MAX(0,(AI754-AJ754)/AI754)))</f>
        <v>0.61350930110132995</v>
      </c>
      <c r="AE755" s="18">
        <f>IF($A755&gt;('1-Input'!$B$26-2),0,(MAX(0,AD726-IF($A755&gt;='1-Input'!$C$12,'1-Input'!$B$12,0))-MIN(MAX(AH754,0),MAX(0,AD726-IF($A755&gt;='1-Input'!$C$12,'1-Input'!$B$12,0))))*(1/(1-'P-Parametri'!$B$6*AD755))+MIN(MAX(0,AI754-(MAX(0,AD726-IF($A755&gt;='1-Input'!$C$12,'1-Input'!$B$12,0))-MIN(MAX(AH754,0),MAX(0,AD726-IF($A755&gt;='1-Input'!$C$12,'1-Input'!$B$12,0))))*(1/(1-'P-Parametri'!$B$6*AD755))),MAX(0,2*AD726-(AH754-MIN(MAX(AH754,0),MAX(0,AD726-IF($A755&gt;='1-Input'!$C$12,'1-Input'!$B$12,0)))))*(1/(1-'P-Parametri'!$B$6*AD755))))</f>
        <v>8529.3066663149493</v>
      </c>
      <c r="AF755" s="18">
        <f>IF($A755&gt;('1-Input'!$B$26-2),AH754,(AH754-MAX(0,AD726-IF($A755&gt;='1-Input'!$C$12,'1-Input'!$B$12,0))+AE755*(1-'P-Parametri'!$B$6*AD755))*(1+'1-Input'!$B$27))</f>
        <v>36149.725057315343</v>
      </c>
      <c r="AG755" s="18">
        <f>IF($A755&gt;('1-Input'!$B$26-2),AI754,(AI754-AE755)*(1+'5-Roberta'!$C$4))</f>
        <v>83820.524156917003</v>
      </c>
      <c r="AH755" s="18">
        <f>IF($A755&gt;('1-Input'!$B$26-2),AF755,AF755-'P-Parametri'!$B$8*(AG755+AF755)+MIN(MAX(AG755,0),'P-Parametri'!$B$8*(AG755+AF755)))</f>
        <v>36149.725057315343</v>
      </c>
      <c r="AI755" s="18">
        <f>IF($A755&gt;('1-Input'!$B$26-2),AG755,AG755-MIN(MAX(AG755,0),'P-Parametri'!$B$8*(AG755+AF755)))</f>
        <v>83580.58365848854</v>
      </c>
      <c r="AJ755" s="18">
        <f>IF($A755&gt;('1-Input'!$B$26-2),AJ754,AJ754-AE755*(1-AD755))</f>
        <v>31452.284430543405</v>
      </c>
      <c r="AK755" s="11">
        <f>IF($A755&gt;('1-Input'!$B$26-2),0,IF(AP754&lt;=0,0,MAX(0,(AP754-AQ754)/AP754)))</f>
        <v>0.61350938027461466</v>
      </c>
      <c r="AL755" s="18">
        <f>IF($A755&gt;('1-Input'!$B$26-2),0,(MAX(0,AK726-IF($A755&gt;='1-Input'!$C$12,'1-Input'!$B$12,0))-MIN(MAX(AO754,0),MAX(0,AK726-IF($A755&gt;='1-Input'!$C$12,'1-Input'!$B$12,0))))*(1/(1-'P-Parametri'!$B$6*AK755))+MIN(MAX(0,AP754-(MAX(0,AK726-IF($A755&gt;='1-Input'!$C$12,'1-Input'!$B$12,0))-MIN(MAX(AO754,0),MAX(0,AK726-IF($A755&gt;='1-Input'!$C$12,'1-Input'!$B$12,0))))*(1/(1-'P-Parametri'!$B$6*AK755))),MAX(0,2*AK726-(AO754-MIN(MAX(AO754,0),MAX(0,AK726-IF($A755&gt;='1-Input'!$C$12,'1-Input'!$B$12,0)))))*(1/(1-'P-Parametri'!$B$6*AK755))))</f>
        <v>8529.2173551151682</v>
      </c>
      <c r="AM755" s="18">
        <f>IF($A755&gt;('1-Input'!$B$26-2),AO754,(AO754-MAX(0,AK726-IF($A755&gt;='1-Input'!$C$12,'1-Input'!$B$12,0))+AL755*(1-'P-Parametri'!$B$6*AK755))*(1+'1-Input'!$B$27))</f>
        <v>36149.576189835549</v>
      </c>
      <c r="AN755" s="18">
        <f>IF($A755&gt;('1-Input'!$B$26-2),AP754,(AP754-AL755)*(1+'5-Roberta'!$C$4))</f>
        <v>83824.282180996786</v>
      </c>
      <c r="AO755" s="18">
        <f>IF($A755&gt;('1-Input'!$B$26-2),AM755,AM755-'P-Parametri'!$B$8*(AN755+AM755)+MIN(MAX(AN755,0),'P-Parametri'!$B$8*(AN755+AM755)))</f>
        <v>36149.576189835549</v>
      </c>
      <c r="AP755" s="18">
        <f>IF($A755&gt;('1-Input'!$B$26-2),AN755,AN755-MIN(MAX(AN755,0),'P-Parametri'!$B$8*(AN755+AM755)))</f>
        <v>83584.334464255124</v>
      </c>
      <c r="AQ755" s="18">
        <f>IF($A755&gt;('1-Input'!$B$26-2),AQ754,AQ754-AL755*(1-AK755))</f>
        <v>31453.688124435947</v>
      </c>
    </row>
    <row r="756" spans="1:43">
      <c r="A756" s="10">
        <f>28</f>
        <v>28</v>
      </c>
      <c r="B756" s="11">
        <f>IF($A756&gt;('1-Input'!$B$26-2),0,IF(G755&lt;=0,0,MAX(0,(G755-H755)/G755)))</f>
        <v>0.62489205657214875</v>
      </c>
      <c r="C756" s="18">
        <f>IF($A756&gt;('1-Input'!$B$26-2),0,(MAX(0,B726-IF($A756&gt;='1-Input'!$C$12,'1-Input'!$B$12,0))-MIN(MAX(F755,0),MAX(0,B726-IF($A756&gt;='1-Input'!$C$12,'1-Input'!$B$12,0))))*(1/(1-'P-Parametri'!$B$6*B756))+MIN(MAX(0,G755-(MAX(0,B726-IF($A756&gt;='1-Input'!$C$12,'1-Input'!$B$12,0))-MIN(MAX(F755,0),MAX(0,B726-IF($A756&gt;='1-Input'!$C$12,'1-Input'!$B$12,0))))*(1/(1-'P-Parametri'!$B$6*B756))),MAX(0,2*B726-(F755-MIN(MAX(F755,0),MAX(0,B726-IF($A756&gt;='1-Input'!$C$12,'1-Input'!$B$12,0)))))*(1/(1-'P-Parametri'!$B$6*B756))))</f>
        <v>6804.7378339605693</v>
      </c>
      <c r="D756" s="18">
        <f>IF($A756&gt;('1-Input'!$B$26-2),F755,(F755-MAX(0,B726-IF($A756&gt;='1-Input'!$C$12,'1-Input'!$B$12,0))+C756*(1-'P-Parametri'!$B$6*B756))*(1+'1-Input'!$B$27))</f>
        <v>33242.0070309863</v>
      </c>
      <c r="E756" s="18">
        <f>IF($A756&gt;('1-Input'!$B$26-2),G755,(G755-C756)*(1+'5-Roberta'!$C$4))</f>
        <v>154552.3581120579</v>
      </c>
      <c r="F756" s="18">
        <f>IF($A756&gt;('1-Input'!$B$26-2),D756,D756-'P-Parametri'!$B$8*(E756+D756)+MIN(MAX(E756,0),'P-Parametri'!$B$8*(E756+D756)))</f>
        <v>33242.0070309863</v>
      </c>
      <c r="G756" s="18">
        <f>IF($A756&gt;('1-Input'!$B$26-2),E756,E756-MIN(MAX(E756,0),'P-Parametri'!$B$8*(E756+D756)))</f>
        <v>154176.76938177182</v>
      </c>
      <c r="H756" s="18">
        <f>IF($A756&gt;('1-Input'!$B$26-2),H755,H755-C756*(1-B756))</f>
        <v>56285.25942071731</v>
      </c>
      <c r="I756" s="11">
        <f>IF($A756&gt;('1-Input'!$B$26-2),0,IF(N755&lt;=0,0,MAX(0,(N755-O755)/N755)))</f>
        <v>0</v>
      </c>
      <c r="J756" s="18">
        <f>IF($A756&gt;('1-Input'!$B$26-2),0,(MAX(0,I726-IF($A756&gt;='1-Input'!$C$12,'1-Input'!$B$12,0))-MIN(MAX(M755,0),MAX(0,I726-IF($A756&gt;='1-Input'!$C$12,'1-Input'!$B$12,0))))*(1/(1-'P-Parametri'!$B$6*I756))+MIN(MAX(0,N755-(MAX(0,I726-IF($A756&gt;='1-Input'!$C$12,'1-Input'!$B$12,0))-MIN(MAX(M755,0),MAX(0,I726-IF($A756&gt;='1-Input'!$C$12,'1-Input'!$B$12,0))))*(1/(1-'P-Parametri'!$B$6*I756))),MAX(0,2*I726-(M755-MIN(MAX(M755,0),MAX(0,I726-IF($A756&gt;='1-Input'!$C$12,'1-Input'!$B$12,0)))))*(1/(1-'P-Parametri'!$B$6*I756))))</f>
        <v>10846.756992928691</v>
      </c>
      <c r="K756" s="18">
        <f>IF($A756&gt;('1-Input'!$B$26-2),M755,(M755-MAX(0,I726-IF($A756&gt;='1-Input'!$C$12,'1-Input'!$B$12,0))+J756*(1-'P-Parametri'!$B$6*I756))*(1+'1-Input'!$B$27))</f>
        <v>0</v>
      </c>
      <c r="L756" s="18">
        <f>IF($A756&gt;('1-Input'!$B$26-2),N755,(N755-J756)*(1+'5-Roberta'!$C$4))</f>
        <v>-51416.724138635465</v>
      </c>
      <c r="M756" s="18">
        <f>IF($A756&gt;('1-Input'!$B$26-2),K756,K756-'P-Parametri'!$B$8*(L756+K756)+MIN(MAX(L756,0),'P-Parametri'!$B$8*(L756+K756)))</f>
        <v>0</v>
      </c>
      <c r="N756" s="18">
        <f>IF($A756&gt;('1-Input'!$B$26-2),L756,L756-MIN(MAX(L756,0),'P-Parametri'!$B$8*(L756+K756)))</f>
        <v>-51313.890690358196</v>
      </c>
      <c r="O756" s="18">
        <f>IF($A756&gt;('1-Input'!$B$26-2),O755,O755-J756*(1-I756))</f>
        <v>-47578.27922137265</v>
      </c>
      <c r="P756" s="11">
        <f>IF($A756&gt;('1-Input'!$B$26-2),0,IF(U755&lt;=0,0,MAX(0,(U755-V755)/U755)))</f>
        <v>0.62335879535724537</v>
      </c>
      <c r="Q756" s="18">
        <f>IF($A756&gt;('1-Input'!$B$26-2),0,(MAX(0,P726-IF($A756&gt;='1-Input'!$C$12,'1-Input'!$B$12,0))-MIN(MAX(T755,0),MAX(0,P726-IF($A756&gt;='1-Input'!$C$12,'1-Input'!$B$12,0))))*(1/(1-'P-Parametri'!$B$6*P756))+MIN(MAX(0,U755-(MAX(0,P726-IF($A756&gt;='1-Input'!$C$12,'1-Input'!$B$12,0))-MIN(MAX(T755,0),MAX(0,P726-IF($A756&gt;='1-Input'!$C$12,'1-Input'!$B$12,0))))*(1/(1-'P-Parametri'!$B$6*P756))),MAX(0,2*P726-(T755-MIN(MAX(T755,0),MAX(0,P726-IF($A756&gt;='1-Input'!$C$12,'1-Input'!$B$12,0)))))*(1/(1-'P-Parametri'!$B$6*P756))))</f>
        <v>8844.3041913322322</v>
      </c>
      <c r="R756" s="18">
        <f>IF($A756&gt;('1-Input'!$B$26-2),T755,(T755-MAX(0,P726-IF($A756&gt;='1-Input'!$C$12,'1-Input'!$B$12,0))+Q756*(1-'P-Parametri'!$B$6*P756))*(1+'1-Input'!$B$27))</f>
        <v>36628.737843878102</v>
      </c>
      <c r="S756" s="18">
        <f>IF($A756&gt;('1-Input'!$B$26-2),U755,(U755-Q756)*(1+'5-Roberta'!$C$4))</f>
        <v>64547.792119747464</v>
      </c>
      <c r="T756" s="18">
        <f>IF($A756&gt;('1-Input'!$B$26-2),R756,R756-'P-Parametri'!$B$8*(S756+R756)+MIN(MAX(S756,0),'P-Parametri'!$B$8*(S756+R756)))</f>
        <v>36628.737843878102</v>
      </c>
      <c r="U756" s="18">
        <f>IF($A756&gt;('1-Input'!$B$26-2),S756,S756-MIN(MAX(S756,0),'P-Parametri'!$B$8*(S756+R756)))</f>
        <v>64345.439059820215</v>
      </c>
      <c r="V756" s="18">
        <f>IF($A756&gt;('1-Input'!$B$26-2),V755,V755-Q756*(1-P756))</f>
        <v>23603.260369914358</v>
      </c>
      <c r="W756" s="11">
        <f>IF($A756&gt;('1-Input'!$B$26-2),0,IF(AB755&lt;=0,0,MAX(0,(AB755-AC755)/AB755)))</f>
        <v>0.62367112331840902</v>
      </c>
      <c r="X756" s="18">
        <f>IF($A756&gt;('1-Input'!$B$26-2),0,(MAX(0,W726-IF($A756&gt;='1-Input'!$C$12,'1-Input'!$B$12,0))-MIN(MAX(AA755,0),MAX(0,W726-IF($A756&gt;='1-Input'!$C$12,'1-Input'!$B$12,0))))*(1/(1-'P-Parametri'!$B$6*W756))+MIN(MAX(0,AB755-(MAX(0,W726-IF($A756&gt;='1-Input'!$C$12,'1-Input'!$B$12,0))-MIN(MAX(AA755,0),MAX(0,W726-IF($A756&gt;='1-Input'!$C$12,'1-Input'!$B$12,0))))*(1/(1-'P-Parametri'!$B$6*W756))),MAX(0,2*W726-(AA755-MIN(MAX(AA755,0),MAX(0,W726-IF($A756&gt;='1-Input'!$C$12,'1-Input'!$B$12,0)))))*(1/(1-'P-Parametri'!$B$6*W756))))</f>
        <v>8573.4643384270585</v>
      </c>
      <c r="Y756" s="18">
        <f>IF($A756&gt;('1-Input'!$B$26-2),AA755,(AA755-MAX(0,W726-IF($A756&gt;='1-Input'!$C$12,'1-Input'!$B$12,0))+X756*(1-'P-Parametri'!$B$6*W756))*(1+'1-Input'!$B$27))</f>
        <v>36178.339405303268</v>
      </c>
      <c r="Z756" s="18">
        <f>IF($A756&gt;('1-Input'!$B$26-2),AB755,(AB755-X756)*(1+'5-Roberta'!$C$4))</f>
        <v>76514.750237675253</v>
      </c>
      <c r="AA756" s="18">
        <f>IF($A756&gt;('1-Input'!$B$26-2),Y756,Y756-'P-Parametri'!$B$8*(Z756+Y756)+MIN(MAX(Z756,0),'P-Parametri'!$B$8*(Z756+Y756)))</f>
        <v>36178.339405303268</v>
      </c>
      <c r="AB756" s="18">
        <f>IF($A756&gt;('1-Input'!$B$26-2),Z756,Z756-MIN(MAX(Z756,0),'P-Parametri'!$B$8*(Z756+Y756)))</f>
        <v>76289.364058389299</v>
      </c>
      <c r="AC756" s="18">
        <f>IF($A756&gt;('1-Input'!$B$26-2),AC755,AC755-X756*(1-W756))</f>
        <v>27956.029132540603</v>
      </c>
      <c r="AD756" s="11">
        <f>IF($A756&gt;('1-Input'!$B$26-2),0,IF(AI755&lt;=0,0,MAX(0,(AI755-AJ755)/AI755)))</f>
        <v>0.62368910273398082</v>
      </c>
      <c r="AE756" s="18">
        <f>IF($A756&gt;('1-Input'!$B$26-2),0,(MAX(0,AD726-IF($A756&gt;='1-Input'!$C$12,'1-Input'!$B$12,0))-MIN(MAX(AH755,0),MAX(0,AD726-IF($A756&gt;='1-Input'!$C$12,'1-Input'!$B$12,0))))*(1/(1-'P-Parametri'!$B$6*AD756))+MIN(MAX(0,AI755-(MAX(0,AD726-IF($A756&gt;='1-Input'!$C$12,'1-Input'!$B$12,0))-MIN(MAX(AH755,0),MAX(0,AD726-IF($A756&gt;='1-Input'!$C$12,'1-Input'!$B$12,0))))*(1/(1-'P-Parametri'!$B$6*AD756))),MAX(0,2*AD726-(AH755-MIN(MAX(AH755,0),MAX(0,AD726-IF($A756&gt;='1-Input'!$C$12,'1-Input'!$B$12,0)))))*(1/(1-'P-Parametri'!$B$6*AD756))))</f>
        <v>8556.2508400578699</v>
      </c>
      <c r="AF756" s="18">
        <f>IF($A756&gt;('1-Input'!$B$26-2),AH755,(AH755-MAX(0,AD726-IF($A756&gt;='1-Input'!$C$12,'1-Input'!$B$12,0))+AE756*(1-'P-Parametri'!$B$6*AD756))*(1+'1-Input'!$B$27))</f>
        <v>36149.725057315343</v>
      </c>
      <c r="AG756" s="18">
        <f>IF($A756&gt;('1-Input'!$B$26-2),AI755,(AI755-AE756)*(1+'5-Roberta'!$C$4))</f>
        <v>77275.062802983593</v>
      </c>
      <c r="AH756" s="18">
        <f>IF($A756&gt;('1-Input'!$B$26-2),AF756,AF756-'P-Parametri'!$B$8*(AG756+AF756)+MIN(MAX(AG756,0),'P-Parametri'!$B$8*(AG756+AF756)))</f>
        <v>36149.725057315343</v>
      </c>
      <c r="AI756" s="18">
        <f>IF($A756&gt;('1-Input'!$B$26-2),AG756,AG756-MIN(MAX(AG756,0),'P-Parametri'!$B$8*(AG756+AF756)))</f>
        <v>77048.213227262997</v>
      </c>
      <c r="AJ756" s="18">
        <f>IF($A756&gt;('1-Input'!$B$26-2),AJ755,AJ755-AE756*(1-AD756))</f>
        <v>28232.473999688096</v>
      </c>
      <c r="AK756" s="11">
        <f>IF($A756&gt;('1-Input'!$B$26-2),0,IF(AP755&lt;=0,0,MAX(0,(AP755-AQ755)/AP755)))</f>
        <v>0.62368919575608839</v>
      </c>
      <c r="AL756" s="18">
        <f>IF($A756&gt;('1-Input'!$B$26-2),0,(MAX(0,AK726-IF($A756&gt;='1-Input'!$C$12,'1-Input'!$B$12,0))-MIN(MAX(AO755,0),MAX(0,AK726-IF($A756&gt;='1-Input'!$C$12,'1-Input'!$B$12,0))))*(1/(1-'P-Parametri'!$B$6*AK756))+MIN(MAX(0,AP755-(MAX(0,AK726-IF($A756&gt;='1-Input'!$C$12,'1-Input'!$B$12,0))-MIN(MAX(AO755,0),MAX(0,AK726-IF($A756&gt;='1-Input'!$C$12,'1-Input'!$B$12,0))))*(1/(1-'P-Parametri'!$B$6*AK756))),MAX(0,2*AK726-(AO755-MIN(MAX(AO755,0),MAX(0,AK726-IF($A756&gt;='1-Input'!$C$12,'1-Input'!$B$12,0)))))*(1/(1-'P-Parametri'!$B$6*AK756))))</f>
        <v>8556.1612841558599</v>
      </c>
      <c r="AM756" s="18">
        <f>IF($A756&gt;('1-Input'!$B$26-2),AO755,(AO755-MAX(0,AK726-IF($A756&gt;='1-Input'!$C$12,'1-Input'!$B$12,0))+AL756*(1-'P-Parametri'!$B$6*AK756))*(1+'1-Input'!$B$27))</f>
        <v>36149.576189835549</v>
      </c>
      <c r="AN756" s="18">
        <f>IF($A756&gt;('1-Input'!$B$26-2),AP755,(AP755-AL756)*(1+'5-Roberta'!$C$4))</f>
        <v>77279.01837550223</v>
      </c>
      <c r="AO756" s="18">
        <f>IF($A756&gt;('1-Input'!$B$26-2),AM756,AM756-'P-Parametri'!$B$8*(AN756+AM756)+MIN(MAX(AN756,0),'P-Parametri'!$B$8*(AN756+AM756)))</f>
        <v>36149.576189835549</v>
      </c>
      <c r="AP756" s="18">
        <f>IF($A756&gt;('1-Input'!$B$26-2),AN756,AN756-MIN(MAX(AN756,0),'P-Parametri'!$B$8*(AN756+AM756)))</f>
        <v>77052.161186371552</v>
      </c>
      <c r="AQ756" s="18">
        <f>IF($A756&gt;('1-Input'!$B$26-2),AQ755,AQ755-AL756*(1-AK756))</f>
        <v>28233.912190354637</v>
      </c>
    </row>
    <row r="757" spans="1:43">
      <c r="A757" s="10">
        <f>29</f>
        <v>29</v>
      </c>
      <c r="B757" s="11">
        <f>IF($A757&gt;('1-Input'!$B$26-2),0,IF(G756&lt;=0,0,MAX(0,(G756-H756)/G756)))</f>
        <v>0.6349303488040795</v>
      </c>
      <c r="C757" s="18">
        <f>IF($A757&gt;('1-Input'!$B$26-2),0,(MAX(0,B726-IF($A757&gt;='1-Input'!$C$12,'1-Input'!$B$12,0))-MIN(MAX(F756,0),MAX(0,B726-IF($A757&gt;='1-Input'!$C$12,'1-Input'!$B$12,0))))*(1/(1-'P-Parametri'!$B$6*B757))+MIN(MAX(0,G756-(MAX(0,B726-IF($A757&gt;='1-Input'!$C$12,'1-Input'!$B$12,0))-MIN(MAX(F756,0),MAX(0,B726-IF($A757&gt;='1-Input'!$C$12,'1-Input'!$B$12,0))))*(1/(1-'P-Parametri'!$B$6*B757))),MAX(0,2*B726-(F756-MIN(MAX(F756,0),MAX(0,B726-IF($A757&gt;='1-Input'!$C$12,'1-Input'!$B$12,0)))))*(1/(1-'P-Parametri'!$B$6*B757))))</f>
        <v>6826.0094604902524</v>
      </c>
      <c r="D757" s="18">
        <f>IF($A757&gt;('1-Input'!$B$26-2),F756,(F756-MAX(0,B726-IF($A757&gt;='1-Input'!$C$12,'1-Input'!$B$12,0))+C757*(1-'P-Parametri'!$B$6*B757))*(1+'1-Input'!$B$27))</f>
        <v>33242.0070309863</v>
      </c>
      <c r="E757" s="18">
        <f>IF($A757&gt;('1-Input'!$B$26-2),G756,(G756-C757)*(1+'5-Roberta'!$C$4))</f>
        <v>151771.28271892003</v>
      </c>
      <c r="F757" s="18">
        <f>IF($A757&gt;('1-Input'!$B$26-2),D757,D757-'P-Parametri'!$B$8*(E757+D757)+MIN(MAX(E757,0),'P-Parametri'!$B$8*(E757+D757)))</f>
        <v>33242.0070309863</v>
      </c>
      <c r="G757" s="18">
        <f>IF($A757&gt;('1-Input'!$B$26-2),E757,E757-MIN(MAX(E757,0),'P-Parametri'!$B$8*(E757+D757)))</f>
        <v>151401.25613942021</v>
      </c>
      <c r="H757" s="18">
        <f>IF($A757&gt;('1-Input'!$B$26-2),H756,H756-C757*(1-B757))</f>
        <v>53793.290527916077</v>
      </c>
      <c r="I757" s="11">
        <f>IF($A757&gt;('1-Input'!$B$26-2),0,IF(N756&lt;=0,0,MAX(0,(N756-O756)/N756)))</f>
        <v>0</v>
      </c>
      <c r="J757" s="18">
        <f>IF($A757&gt;('1-Input'!$B$26-2),0,(MAX(0,I726-IF($A757&gt;='1-Input'!$C$12,'1-Input'!$B$12,0))-MIN(MAX(M756,0),MAX(0,I726-IF($A757&gt;='1-Input'!$C$12,'1-Input'!$B$12,0))))*(1/(1-'P-Parametri'!$B$6*I757))+MIN(MAX(0,N756-(MAX(0,I726-IF($A757&gt;='1-Input'!$C$12,'1-Input'!$B$12,0))-MIN(MAX(M756,0),MAX(0,I726-IF($A757&gt;='1-Input'!$C$12,'1-Input'!$B$12,0))))*(1/(1-'P-Parametri'!$B$6*I757))),MAX(0,2*I726-(M756-MIN(MAX(M756,0),MAX(0,I726-IF($A757&gt;='1-Input'!$C$12,'1-Input'!$B$12,0)))))*(1/(1-'P-Parametri'!$B$6*I757))))</f>
        <v>10846.756992928691</v>
      </c>
      <c r="K757" s="18">
        <f>IF($A757&gt;('1-Input'!$B$26-2),M756,(M756-MAX(0,I726-IF($A757&gt;='1-Input'!$C$12,'1-Input'!$B$12,0))+J757*(1-'P-Parametri'!$B$6*I757))*(1+'1-Input'!$B$27))</f>
        <v>0</v>
      </c>
      <c r="L757" s="18">
        <f>IF($A757&gt;('1-Input'!$B$26-2),N756,(N756-J757)*(1+'5-Roberta'!$C$4))</f>
        <v>-64025.467113785497</v>
      </c>
      <c r="M757" s="18">
        <f>IF($A757&gt;('1-Input'!$B$26-2),K757,K757-'P-Parametri'!$B$8*(L757+K757)+MIN(MAX(L757,0),'P-Parametri'!$B$8*(L757+K757)))</f>
        <v>0</v>
      </c>
      <c r="N757" s="18">
        <f>IF($A757&gt;('1-Input'!$B$26-2),L757,L757-MIN(MAX(L757,0),'P-Parametri'!$B$8*(L757+K757)))</f>
        <v>-63897.416179557928</v>
      </c>
      <c r="O757" s="18">
        <f>IF($A757&gt;('1-Input'!$B$26-2),O756,O756-J757*(1-I757))</f>
        <v>-58425.036214301341</v>
      </c>
      <c r="P757" s="11">
        <f>IF($A757&gt;('1-Input'!$B$26-2),0,IF(U756&lt;=0,0,MAX(0,(U756-V756)/U756)))</f>
        <v>0.63317896785239047</v>
      </c>
      <c r="Q757" s="18">
        <f>IF($A757&gt;('1-Input'!$B$26-2),0,(MAX(0,P726-IF($A757&gt;='1-Input'!$C$12,'1-Input'!$B$12,0))-MIN(MAX(T756,0),MAX(0,P726-IF($A757&gt;='1-Input'!$C$12,'1-Input'!$B$12,0))))*(1/(1-'P-Parametri'!$B$6*P757))+MIN(MAX(0,U756-(MAX(0,P726-IF($A757&gt;='1-Input'!$C$12,'1-Input'!$B$12,0))-MIN(MAX(T756,0),MAX(0,P726-IF($A757&gt;='1-Input'!$C$12,'1-Input'!$B$12,0))))*(1/(1-'P-Parametri'!$B$6*P757))),MAX(0,2*P726-(T756-MIN(MAX(T756,0),MAX(0,P726-IF($A757&gt;='1-Input'!$C$12,'1-Input'!$B$12,0)))))*(1/(1-'P-Parametri'!$B$6*P757))))</f>
        <v>8871.3360219714832</v>
      </c>
      <c r="R757" s="18">
        <f>IF($A757&gt;('1-Input'!$B$26-2),T756,(T756-MAX(0,P726-IF($A757&gt;='1-Input'!$C$12,'1-Input'!$B$12,0))+Q757*(1-'P-Parametri'!$B$6*P757))*(1+'1-Input'!$B$27))</f>
        <v>36628.737843878102</v>
      </c>
      <c r="S757" s="18">
        <f>IF($A757&gt;('1-Input'!$B$26-2),U756,(U756-Q757)*(1+'5-Roberta'!$C$4))</f>
        <v>57138.326128984198</v>
      </c>
      <c r="T757" s="18">
        <f>IF($A757&gt;('1-Input'!$B$26-2),R757,R757-'P-Parametri'!$B$8*(S757+R757)+MIN(MAX(S757,0),'P-Parametri'!$B$8*(S757+R757)))</f>
        <v>36628.737843878102</v>
      </c>
      <c r="U757" s="18">
        <f>IF($A757&gt;('1-Input'!$B$26-2),S757,S757-MIN(MAX(S757,0),'P-Parametri'!$B$8*(S757+R757)))</f>
        <v>56950.79200103847</v>
      </c>
      <c r="V757" s="18">
        <f>IF($A757&gt;('1-Input'!$B$26-2),V756,V756-Q757*(1-P757))</f>
        <v>20349.067733806511</v>
      </c>
      <c r="W757" s="11">
        <f>IF($A757&gt;('1-Input'!$B$26-2),0,IF(AB756&lt;=0,0,MAX(0,(AB756-AC756)/AB756)))</f>
        <v>0.63355273074312168</v>
      </c>
      <c r="X757" s="18">
        <f>IF($A757&gt;('1-Input'!$B$26-2),0,(MAX(0,W726-IF($A757&gt;='1-Input'!$C$12,'1-Input'!$B$12,0))-MIN(MAX(AA756,0),MAX(0,W726-IF($A757&gt;='1-Input'!$C$12,'1-Input'!$B$12,0))))*(1/(1-'P-Parametri'!$B$6*W757))+MIN(MAX(0,AB756-(MAX(0,W726-IF($A757&gt;='1-Input'!$C$12,'1-Input'!$B$12,0))-MIN(MAX(AA756,0),MAX(0,W726-IF($A757&gt;='1-Input'!$C$12,'1-Input'!$B$12,0))))*(1/(1-'P-Parametri'!$B$6*W757))),MAX(0,2*W726-(AA756-MIN(MAX(AA756,0),MAX(0,W726-IF($A757&gt;='1-Input'!$C$12,'1-Input'!$B$12,0)))))*(1/(1-'P-Parametri'!$B$6*W757))))</f>
        <v>8599.8353710634201</v>
      </c>
      <c r="Y757" s="18">
        <f>IF($A757&gt;('1-Input'!$B$26-2),AA756,(AA756-MAX(0,W726-IF($A757&gt;='1-Input'!$C$12,'1-Input'!$B$12,0))+X757*(1-'P-Parametri'!$B$6*W757))*(1+'1-Input'!$B$27))</f>
        <v>36178.339405303268</v>
      </c>
      <c r="Z757" s="18">
        <f>IF($A757&gt;('1-Input'!$B$26-2),AB756,(AB756-X757)*(1+'5-Roberta'!$C$4))</f>
        <v>69720.214547945652</v>
      </c>
      <c r="AA757" s="18">
        <f>IF($A757&gt;('1-Input'!$B$26-2),Y757,Y757-'P-Parametri'!$B$8*(Z757+Y757)+MIN(MAX(Z757,0),'P-Parametri'!$B$8*(Z757+Y757)))</f>
        <v>36178.339405303268</v>
      </c>
      <c r="AB757" s="18">
        <f>IF($A757&gt;('1-Input'!$B$26-2),Z757,Z757-MIN(MAX(Z757,0),'P-Parametri'!$B$8*(Z757+Y757)))</f>
        <v>69508.417440039149</v>
      </c>
      <c r="AC757" s="18">
        <f>IF($A757&gt;('1-Input'!$B$26-2),AC756,AC756-X757*(1-W757))</f>
        <v>24804.642944755702</v>
      </c>
      <c r="AD757" s="11">
        <f>IF($A757&gt;('1-Input'!$B$26-2),0,IF(AI756&lt;=0,0,MAX(0,(AI756-AJ756)/AI756)))</f>
        <v>0.633573929658654</v>
      </c>
      <c r="AE757" s="18">
        <f>IF($A757&gt;('1-Input'!$B$26-2),0,(MAX(0,AD726-IF($A757&gt;='1-Input'!$C$12,'1-Input'!$B$12,0))-MIN(MAX(AH756,0),MAX(0,AD726-IF($A757&gt;='1-Input'!$C$12,'1-Input'!$B$12,0))))*(1/(1-'P-Parametri'!$B$6*AD757))+MIN(MAX(0,AI756-(MAX(0,AD726-IF($A757&gt;='1-Input'!$C$12,'1-Input'!$B$12,0))-MIN(MAX(AH756,0),MAX(0,AD726-IF($A757&gt;='1-Input'!$C$12,'1-Input'!$B$12,0))))*(1/(1-'P-Parametri'!$B$6*AD757))),MAX(0,2*AD726-(AH756-MIN(MAX(AH756,0),MAX(0,AD726-IF($A757&gt;='1-Input'!$C$12,'1-Input'!$B$12,0)))))*(1/(1-'P-Parametri'!$B$6*AD757))))</f>
        <v>8582.5776742149865</v>
      </c>
      <c r="AF757" s="18">
        <f>IF($A757&gt;('1-Input'!$B$26-2),AH756,(AH756-MAX(0,AD726-IF($A757&gt;='1-Input'!$C$12,'1-Input'!$B$12,0))+AE757*(1-'P-Parametri'!$B$6*AD757))*(1+'1-Input'!$B$27))</f>
        <v>36149.725057315343</v>
      </c>
      <c r="AG757" s="18">
        <f>IF($A757&gt;('1-Input'!$B$26-2),AI756,(AI756-AE757)*(1+'5-Roberta'!$C$4))</f>
        <v>70519.604619639445</v>
      </c>
      <c r="AH757" s="18">
        <f>IF($A757&gt;('1-Input'!$B$26-2),AF757,AF757-'P-Parametri'!$B$8*(AG757+AF757)+MIN(MAX(AG757,0),'P-Parametri'!$B$8*(AG757+AF757)))</f>
        <v>36149.725057315343</v>
      </c>
      <c r="AI757" s="18">
        <f>IF($A757&gt;('1-Input'!$B$26-2),AG757,AG757-MIN(MAX(AG757,0),'P-Parametri'!$B$8*(AG757+AF757)))</f>
        <v>70306.265960285542</v>
      </c>
      <c r="AJ757" s="18">
        <f>IF($A757&gt;('1-Input'!$B$26-2),AJ756,AJ756-AE757*(1-AD757))</f>
        <v>25087.593789126131</v>
      </c>
      <c r="AK757" s="11">
        <f>IF($A757&gt;('1-Input'!$B$26-2),0,IF(AP756&lt;=0,0,MAX(0,(AP756-AQ756)/AP756)))</f>
        <v>0.63357403925292555</v>
      </c>
      <c r="AL757" s="18">
        <f>IF($A757&gt;('1-Input'!$B$26-2),0,(MAX(0,AK726-IF($A757&gt;='1-Input'!$C$12,'1-Input'!$B$12,0))-MIN(MAX(AO756,0),MAX(0,AK726-IF($A757&gt;='1-Input'!$C$12,'1-Input'!$B$12,0))))*(1/(1-'P-Parametri'!$B$6*AK757))+MIN(MAX(0,AP756-(MAX(0,AK726-IF($A757&gt;='1-Input'!$C$12,'1-Input'!$B$12,0))-MIN(MAX(AO756,0),MAX(0,AK726-IF($A757&gt;='1-Input'!$C$12,'1-Input'!$B$12,0))))*(1/(1-'P-Parametri'!$B$6*AK757))),MAX(0,2*AK726-(AO756-MIN(MAX(AO756,0),MAX(0,AK726-IF($A757&gt;='1-Input'!$C$12,'1-Input'!$B$12,0)))))*(1/(1-'P-Parametri'!$B$6*AK757))))</f>
        <v>8582.4878877925712</v>
      </c>
      <c r="AM757" s="18">
        <f>IF($A757&gt;('1-Input'!$B$26-2),AO756,(AO756-MAX(0,AK726-IF($A757&gt;='1-Input'!$C$12,'1-Input'!$B$12,0))+AL757*(1-'P-Parametri'!$B$6*AK757))*(1+'1-Input'!$B$27))</f>
        <v>36149.576189835549</v>
      </c>
      <c r="AN757" s="18">
        <f>IF($A757&gt;('1-Input'!$B$26-2),AP756,(AP756-AL757)*(1+'5-Roberta'!$C$4))</f>
        <v>70523.763497536362</v>
      </c>
      <c r="AO757" s="18">
        <f>IF($A757&gt;('1-Input'!$B$26-2),AM757,AM757-'P-Parametri'!$B$8*(AN757+AM757)+MIN(MAX(AN757,0),'P-Parametri'!$B$8*(AN757+AM757)))</f>
        <v>36149.576189835549</v>
      </c>
      <c r="AP757" s="18">
        <f>IF($A757&gt;('1-Input'!$B$26-2),AN757,AN757-MIN(MAX(AN757,0),'P-Parametri'!$B$8*(AN757+AM757)))</f>
        <v>70310.416818161611</v>
      </c>
      <c r="AQ757" s="18">
        <f>IF($A757&gt;('1-Input'!$B$26-2),AQ756,AQ756-AL757*(1-AK757))</f>
        <v>25089.065820470114</v>
      </c>
    </row>
    <row r="758" spans="1:43">
      <c r="A758" s="10">
        <f>30</f>
        <v>30</v>
      </c>
      <c r="B758" s="11">
        <f>IF($A758&gt;('1-Input'!$B$26-2),0,IF(G757&lt;=0,0,MAX(0,(G757-H757)/G757)))</f>
        <v>0.6446971980313051</v>
      </c>
      <c r="C758" s="18">
        <f>IF($A758&gt;('1-Input'!$B$26-2),0,(MAX(0,B726-IF($A758&gt;='1-Input'!$C$12,'1-Input'!$B$12,0))-MIN(MAX(F757,0),MAX(0,B726-IF($A758&gt;='1-Input'!$C$12,'1-Input'!$B$12,0))))*(1/(1-'P-Parametri'!$B$6*B758))+MIN(MAX(0,G757-(MAX(0,B726-IF($A758&gt;='1-Input'!$C$12,'1-Input'!$B$12,0))-MIN(MAX(F757,0),MAX(0,B726-IF($A758&gt;='1-Input'!$C$12,'1-Input'!$B$12,0))))*(1/(1-'P-Parametri'!$B$6*B758))),MAX(0,2*B726-(F757-MIN(MAX(F757,0),MAX(0,B726-IF($A758&gt;='1-Input'!$C$12,'1-Input'!$B$12,0)))))*(1/(1-'P-Parametri'!$B$6*B758))))</f>
        <v>6846.8339202758698</v>
      </c>
      <c r="D758" s="18">
        <f>IF($A758&gt;('1-Input'!$B$26-2),F757,(F757-MAX(0,B726-IF($A758&gt;='1-Input'!$C$12,'1-Input'!$B$12,0))+C758*(1-'P-Parametri'!$B$6*B758))*(1+'1-Input'!$B$27))</f>
        <v>33242.0070309863</v>
      </c>
      <c r="E758" s="18">
        <f>IF($A758&gt;('1-Input'!$B$26-2),G757,(G757-C758)*(1+'5-Roberta'!$C$4))</f>
        <v>148891.05488571865</v>
      </c>
      <c r="F758" s="18">
        <f>IF($A758&gt;('1-Input'!$B$26-2),D758,D758-'P-Parametri'!$B$8*(E758+D758)+MIN(MAX(E758,0),'P-Parametri'!$B$8*(E758+D758)))</f>
        <v>33242.0070309863</v>
      </c>
      <c r="G758" s="18">
        <f>IF($A758&gt;('1-Input'!$B$26-2),E758,E758-MIN(MAX(E758,0),'P-Parametri'!$B$8*(E758+D758)))</f>
        <v>148526.78876188525</v>
      </c>
      <c r="H758" s="18">
        <f>IF($A758&gt;('1-Input'!$B$26-2),H757,H757-C758*(1-B758))</f>
        <v>51360.591251427759</v>
      </c>
      <c r="I758" s="11">
        <f>IF($A758&gt;('1-Input'!$B$26-2),0,IF(N757&lt;=0,0,MAX(0,(N757-O757)/N757)))</f>
        <v>0</v>
      </c>
      <c r="J758" s="18">
        <f>IF($A758&gt;('1-Input'!$B$26-2),0,(MAX(0,I726-IF($A758&gt;='1-Input'!$C$12,'1-Input'!$B$12,0))-MIN(MAX(M757,0),MAX(0,I726-IF($A758&gt;='1-Input'!$C$12,'1-Input'!$B$12,0))))*(1/(1-'P-Parametri'!$B$6*I758))+MIN(MAX(0,N757-(MAX(0,I726-IF($A758&gt;='1-Input'!$C$12,'1-Input'!$B$12,0))-MIN(MAX(M757,0),MAX(0,I726-IF($A758&gt;='1-Input'!$C$12,'1-Input'!$B$12,0))))*(1/(1-'P-Parametri'!$B$6*I758))),MAX(0,2*I726-(M757-MIN(MAX(M757,0),MAX(0,I726-IF($A758&gt;='1-Input'!$C$12,'1-Input'!$B$12,0)))))*(1/(1-'P-Parametri'!$B$6*I758))))</f>
        <v>10846.756992928691</v>
      </c>
      <c r="K758" s="18">
        <f>IF($A758&gt;('1-Input'!$B$26-2),M757,(M757-MAX(0,I726-IF($A758&gt;='1-Input'!$C$12,'1-Input'!$B$12,0))+J758*(1-'P-Parametri'!$B$6*I758))*(1+'1-Input'!$B$27))</f>
        <v>0</v>
      </c>
      <c r="L758" s="18">
        <f>IF($A758&gt;('1-Input'!$B$26-2),N757,(N757-J758)*(1+'5-Roberta'!$C$4))</f>
        <v>-76986.498367661232</v>
      </c>
      <c r="M758" s="18">
        <f>IF($A758&gt;('1-Input'!$B$26-2),K758,K758-'P-Parametri'!$B$8*(L758+K758)+MIN(MAX(L758,0),'P-Parametri'!$B$8*(L758+K758)))</f>
        <v>0</v>
      </c>
      <c r="N758" s="18">
        <f>IF($A758&gt;('1-Input'!$B$26-2),L758,L758-MIN(MAX(L758,0),'P-Parametri'!$B$8*(L758+K758)))</f>
        <v>-76832.525370925912</v>
      </c>
      <c r="O758" s="18">
        <f>IF($A758&gt;('1-Input'!$B$26-2),O757,O757-J758*(1-I758))</f>
        <v>-69271.793207230032</v>
      </c>
      <c r="P758" s="11">
        <f>IF($A758&gt;('1-Input'!$B$26-2),0,IF(U757&lt;=0,0,MAX(0,(U757-V757)/U757)))</f>
        <v>0.64269034689745042</v>
      </c>
      <c r="Q758" s="18">
        <f>IF($A758&gt;('1-Input'!$B$26-2),0,(MAX(0,P726-IF($A758&gt;='1-Input'!$C$12,'1-Input'!$B$12,0))-MIN(MAX(T757,0),MAX(0,P726-IF($A758&gt;='1-Input'!$C$12,'1-Input'!$B$12,0))))*(1/(1-'P-Parametri'!$B$6*P758))+MIN(MAX(0,U757-(MAX(0,P726-IF($A758&gt;='1-Input'!$C$12,'1-Input'!$B$12,0))-MIN(MAX(T757,0),MAX(0,P726-IF($A758&gt;='1-Input'!$C$12,'1-Input'!$B$12,0))))*(1/(1-'P-Parametri'!$B$6*P758))),MAX(0,2*P726-(T757-MIN(MAX(T757,0),MAX(0,P726-IF($A758&gt;='1-Input'!$C$12,'1-Input'!$B$12,0)))))*(1/(1-'P-Parametri'!$B$6*P758))))</f>
        <v>8897.6758380988249</v>
      </c>
      <c r="R758" s="18">
        <f>IF($A758&gt;('1-Input'!$B$26-2),T757,(T757-MAX(0,P726-IF($A758&gt;='1-Input'!$C$12,'1-Input'!$B$12,0))+Q758*(1-'P-Parametri'!$B$6*P758))*(1+'1-Input'!$B$27))</f>
        <v>36628.737843878102</v>
      </c>
      <c r="S758" s="18">
        <f>IF($A758&gt;('1-Input'!$B$26-2),U757,(U757-Q758)*(1+'5-Roberta'!$C$4))</f>
        <v>49494.709647827833</v>
      </c>
      <c r="T758" s="18">
        <f>IF($A758&gt;('1-Input'!$B$26-2),R758,R758-'P-Parametri'!$B$8*(S758+R758)+MIN(MAX(S758,0),'P-Parametri'!$B$8*(S758+R758)))</f>
        <v>36628.737843878102</v>
      </c>
      <c r="U758" s="18">
        <f>IF($A758&gt;('1-Input'!$B$26-2),S758,S758-MIN(MAX(S758,0),'P-Parametri'!$B$8*(S758+R758)))</f>
        <v>49322.462752844418</v>
      </c>
      <c r="V758" s="18">
        <f>IF($A758&gt;('1-Input'!$B$26-2),V757,V757-Q758*(1-P758))</f>
        <v>17169.842266676482</v>
      </c>
      <c r="W758" s="11">
        <f>IF($A758&gt;('1-Input'!$B$26-2),0,IF(AB757&lt;=0,0,MAX(0,(AB757-AC757)/AB757)))</f>
        <v>0.64314188326682564</v>
      </c>
      <c r="X758" s="18">
        <f>IF($A758&gt;('1-Input'!$B$26-2),0,(MAX(0,W726-IF($A758&gt;='1-Input'!$C$12,'1-Input'!$B$12,0))-MIN(MAX(AA757,0),MAX(0,W726-IF($A758&gt;='1-Input'!$C$12,'1-Input'!$B$12,0))))*(1/(1-'P-Parametri'!$B$6*W758))+MIN(MAX(0,AB757-(MAX(0,W726-IF($A758&gt;='1-Input'!$C$12,'1-Input'!$B$12,0))-MIN(MAX(AA757,0),MAX(0,W726-IF($A758&gt;='1-Input'!$C$12,'1-Input'!$B$12,0))))*(1/(1-'P-Parametri'!$B$6*W758))),MAX(0,2*W726-(AA757-MIN(MAX(AA757,0),MAX(0,W726-IF($A758&gt;='1-Input'!$C$12,'1-Input'!$B$12,0)))))*(1/(1-'P-Parametri'!$B$6*W758))))</f>
        <v>8625.581491904486</v>
      </c>
      <c r="Y758" s="18">
        <f>IF($A758&gt;('1-Input'!$B$26-2),AA757,(AA757-MAX(0,W726-IF($A758&gt;='1-Input'!$C$12,'1-Input'!$B$12,0))+X758*(1-'P-Parametri'!$B$6*W758))*(1+'1-Input'!$B$27))</f>
        <v>36178.339405303268</v>
      </c>
      <c r="Z758" s="18">
        <f>IF($A758&gt;('1-Input'!$B$26-2),AB757,(AB757-X758)*(1+'5-Roberta'!$C$4))</f>
        <v>62709.321026578706</v>
      </c>
      <c r="AA758" s="18">
        <f>IF($A758&gt;('1-Input'!$B$26-2),Y758,Y758-'P-Parametri'!$B$8*(Z758+Y758)+MIN(MAX(Z758,0),'P-Parametri'!$B$8*(Z758+Y758)))</f>
        <v>36178.339405303268</v>
      </c>
      <c r="AB758" s="18">
        <f>IF($A758&gt;('1-Input'!$B$26-2),Z758,Z758-MIN(MAX(Z758,0),'P-Parametri'!$B$8*(Z758+Y758)))</f>
        <v>62511.54570571494</v>
      </c>
      <c r="AC758" s="18">
        <f>IF($A758&gt;('1-Input'!$B$26-2),AC757,AC757-X758*(1-W758))</f>
        <v>21726.534177826143</v>
      </c>
      <c r="AD758" s="11">
        <f>IF($A758&gt;('1-Input'!$B$26-2),0,IF(AI757&lt;=0,0,MAX(0,(AI757-AJ757)/AI757)))</f>
        <v>0.64316702862163733</v>
      </c>
      <c r="AE758" s="18">
        <f>IF($A758&gt;('1-Input'!$B$26-2),0,(MAX(0,AD726-IF($A758&gt;='1-Input'!$C$12,'1-Input'!$B$12,0))-MIN(MAX(AH757,0),MAX(0,AD726-IF($A758&gt;='1-Input'!$C$12,'1-Input'!$B$12,0))))*(1/(1-'P-Parametri'!$B$6*AD758))+MIN(MAX(0,AI757-(MAX(0,AD726-IF($A758&gt;='1-Input'!$C$12,'1-Input'!$B$12,0))-MIN(MAX(AH757,0),MAX(0,AD726-IF($A758&gt;='1-Input'!$C$12,'1-Input'!$B$12,0))))*(1/(1-'P-Parametri'!$B$6*AD758))),MAX(0,2*AD726-(AH757-MIN(MAX(AH757,0),MAX(0,AD726-IF($A758&gt;='1-Input'!$C$12,'1-Input'!$B$12,0)))))*(1/(1-'P-Parametri'!$B$6*AD758))))</f>
        <v>8608.282905512091</v>
      </c>
      <c r="AF758" s="18">
        <f>IF($A758&gt;('1-Input'!$B$26-2),AH757,(AH757-MAX(0,AD726-IF($A758&gt;='1-Input'!$C$12,'1-Input'!$B$12,0))+AE758*(1-'P-Parametri'!$B$6*AD758))*(1+'1-Input'!$B$27))</f>
        <v>36149.725057315343</v>
      </c>
      <c r="AG758" s="18">
        <f>IF($A758&gt;('1-Input'!$B$26-2),AI757,(AI757-AE758)*(1+'5-Roberta'!$C$4))</f>
        <v>63548.922546416659</v>
      </c>
      <c r="AH758" s="18">
        <f>IF($A758&gt;('1-Input'!$B$26-2),AF758,AF758-'P-Parametri'!$B$8*(AG758+AF758)+MIN(MAX(AG758,0),'P-Parametri'!$B$8*(AG758+AF758)))</f>
        <v>36149.725057315343</v>
      </c>
      <c r="AI758" s="18">
        <f>IF($A758&gt;('1-Input'!$B$26-2),AG758,AG758-MIN(MAX(AG758,0),'P-Parametri'!$B$8*(AG758+AF758)))</f>
        <v>63349.525251209197</v>
      </c>
      <c r="AJ758" s="18">
        <f>IF($A758&gt;('1-Input'!$B$26-2),AJ757,AJ757-AE758*(1-AD758))</f>
        <v>22015.874621486688</v>
      </c>
      <c r="AK758" s="11">
        <f>IF($A758&gt;('1-Input'!$B$26-2),0,IF(AP757&lt;=0,0,MAX(0,(AP757-AQ757)/AP757)))</f>
        <v>0.64316715849721062</v>
      </c>
      <c r="AL758" s="18">
        <f>IF($A758&gt;('1-Input'!$B$26-2),0,(MAX(0,AK726-IF($A758&gt;='1-Input'!$C$12,'1-Input'!$B$12,0))-MIN(MAX(AO757,0),MAX(0,AK726-IF($A758&gt;='1-Input'!$C$12,'1-Input'!$B$12,0))))*(1/(1-'P-Parametri'!$B$6*AK758))+MIN(MAX(0,AP757-(MAX(0,AK726-IF($A758&gt;='1-Input'!$C$12,'1-Input'!$B$12,0))-MIN(MAX(AO757,0),MAX(0,AK726-IF($A758&gt;='1-Input'!$C$12,'1-Input'!$B$12,0))))*(1/(1-'P-Parametri'!$B$6*AK758))),MAX(0,2*AK726-(AO757-MIN(MAX(AO757,0),MAX(0,AK726-IF($A758&gt;='1-Input'!$C$12,'1-Input'!$B$12,0)))))*(1/(1-'P-Parametri'!$B$6*AK758))))</f>
        <v>8608.1929055616165</v>
      </c>
      <c r="AM758" s="18">
        <f>IF($A758&gt;('1-Input'!$B$26-2),AO757,(AO757-MAX(0,AK726-IF($A758&gt;='1-Input'!$C$12,'1-Input'!$B$12,0))+AL758*(1-'P-Parametri'!$B$6*AK758))*(1+'1-Input'!$B$27))</f>
        <v>36149.576189835549</v>
      </c>
      <c r="AN758" s="18">
        <f>IF($A758&gt;('1-Input'!$B$26-2),AP757,(AP757-AL758)*(1+'5-Roberta'!$C$4))</f>
        <v>63553.290629977993</v>
      </c>
      <c r="AO758" s="18">
        <f>IF($A758&gt;('1-Input'!$B$26-2),AM758,AM758-'P-Parametri'!$B$8*(AN758+AM758)+MIN(MAX(AN758,0),'P-Parametri'!$B$8*(AN758+AM758)))</f>
        <v>36149.576189835549</v>
      </c>
      <c r="AP758" s="18">
        <f>IF($A758&gt;('1-Input'!$B$26-2),AN758,AN758-MIN(MAX(AN758,0),'P-Parametri'!$B$8*(AN758+AM758)))</f>
        <v>63353.884896338364</v>
      </c>
      <c r="AQ758" s="18">
        <f>IF($A758&gt;('1-Input'!$B$26-2),AQ757,AQ757-AL758*(1-AK758))</f>
        <v>22017.379885774411</v>
      </c>
    </row>
    <row r="759" spans="1:43">
      <c r="A759" s="10">
        <f>31</f>
        <v>31</v>
      </c>
      <c r="B759" s="11">
        <f>IF($A759&gt;('1-Input'!$B$26-2),0,IF(G758&lt;=0,0,MAX(0,(G758-H758)/G758)))</f>
        <v>0.65419981351803225</v>
      </c>
      <c r="C759" s="18">
        <f>IF($A759&gt;('1-Input'!$B$26-2),0,(MAX(0,B726-IF($A759&gt;='1-Input'!$C$12,'1-Input'!$B$12,0))-MIN(MAX(F758,0),MAX(0,B726-IF($A759&gt;='1-Input'!$C$12,'1-Input'!$B$12,0))))*(1/(1-'P-Parametri'!$B$6*B759))+MIN(MAX(0,G758-(MAX(0,B726-IF($A759&gt;='1-Input'!$C$12,'1-Input'!$B$12,0))-MIN(MAX(F758,0),MAX(0,B726-IF($A759&gt;='1-Input'!$C$12,'1-Input'!$B$12,0))))*(1/(1-'P-Parametri'!$B$6*B759))),MAX(0,2*B726-(F758-MIN(MAX(F758,0),MAX(0,B726-IF($A759&gt;='1-Input'!$C$12,'1-Input'!$B$12,0)))))*(1/(1-'P-Parametri'!$B$6*B759))))</f>
        <v>6867.2173059326296</v>
      </c>
      <c r="D759" s="18">
        <f>IF($A759&gt;('1-Input'!$B$26-2),F758,(F758-MAX(0,B726-IF($A759&gt;='1-Input'!$C$12,'1-Input'!$B$12,0))+C759*(1-'P-Parametri'!$B$6*B759))*(1+'1-Input'!$B$27))</f>
        <v>33242.0070309863</v>
      </c>
      <c r="E759" s="18">
        <f>IF($A759&gt;('1-Input'!$B$26-2),G758,(G758-C759)*(1+'5-Roberta'!$C$4))</f>
        <v>145909.3585996312</v>
      </c>
      <c r="F759" s="18">
        <f>IF($A759&gt;('1-Input'!$B$26-2),D759,D759-'P-Parametri'!$B$8*(E759+D759)+MIN(MAX(E759,0),'P-Parametri'!$B$8*(E759+D759)))</f>
        <v>33242.0070309863</v>
      </c>
      <c r="G759" s="18">
        <f>IF($A759&gt;('1-Input'!$B$26-2),E759,E759-MIN(MAX(E759,0),'P-Parametri'!$B$8*(E759+D759)))</f>
        <v>145551.05586836996</v>
      </c>
      <c r="H759" s="18">
        <f>IF($A759&gt;('1-Input'!$B$26-2),H758,H758-C759*(1-B759))</f>
        <v>48985.906226424057</v>
      </c>
      <c r="I759" s="11">
        <f>IF($A759&gt;('1-Input'!$B$26-2),0,IF(N758&lt;=0,0,MAX(0,(N758-O758)/N758)))</f>
        <v>0</v>
      </c>
      <c r="J759" s="18">
        <f>IF($A759&gt;('1-Input'!$B$26-2),0,(MAX(0,I726-IF($A759&gt;='1-Input'!$C$12,'1-Input'!$B$12,0))-MIN(MAX(M758,0),MAX(0,I726-IF($A759&gt;='1-Input'!$C$12,'1-Input'!$B$12,0))))*(1/(1-'P-Parametri'!$B$6*I759))+MIN(MAX(0,N758-(MAX(0,I726-IF($A759&gt;='1-Input'!$C$12,'1-Input'!$B$12,0))-MIN(MAX(M758,0),MAX(0,I726-IF($A759&gt;='1-Input'!$C$12,'1-Input'!$B$12,0))))*(1/(1-'P-Parametri'!$B$6*I759))),MAX(0,2*I726-(M758-MIN(MAX(M758,0),MAX(0,I726-IF($A759&gt;='1-Input'!$C$12,'1-Input'!$B$12,0)))))*(1/(1-'P-Parametri'!$B$6*I759))))</f>
        <v>10846.756992928691</v>
      </c>
      <c r="K759" s="18">
        <f>IF($A759&gt;('1-Input'!$B$26-2),M758,(M758-MAX(0,I726-IF($A759&gt;='1-Input'!$C$12,'1-Input'!$B$12,0))+J759*(1-'P-Parametri'!$B$6*I759))*(1+'1-Input'!$B$27))</f>
        <v>0</v>
      </c>
      <c r="L759" s="18">
        <f>IF($A759&gt;('1-Input'!$B$26-2),N758,(N758-J759)*(1+'5-Roberta'!$C$4))</f>
        <v>-90309.660834770257</v>
      </c>
      <c r="M759" s="18">
        <f>IF($A759&gt;('1-Input'!$B$26-2),K759,K759-'P-Parametri'!$B$8*(L759+K759)+MIN(MAX(L759,0),'P-Parametri'!$B$8*(L759+K759)))</f>
        <v>0</v>
      </c>
      <c r="N759" s="18">
        <f>IF($A759&gt;('1-Input'!$B$26-2),L759,L759-MIN(MAX(L759,0),'P-Parametri'!$B$8*(L759+K759)))</f>
        <v>-90129.041513100718</v>
      </c>
      <c r="O759" s="18">
        <f>IF($A759&gt;('1-Input'!$B$26-2),O758,O758-J759*(1-I759))</f>
        <v>-80118.55020015873</v>
      </c>
      <c r="P759" s="11">
        <f>IF($A759&gt;('1-Input'!$B$26-2),0,IF(U758&lt;=0,0,MAX(0,(U758-V758)/U758)))</f>
        <v>0.65188594996330962</v>
      </c>
      <c r="Q759" s="18">
        <f>IF($A759&gt;('1-Input'!$B$26-2),0,(MAX(0,P726-IF($A759&gt;='1-Input'!$C$12,'1-Input'!$B$12,0))-MIN(MAX(T758,0),MAX(0,P726-IF($A759&gt;='1-Input'!$C$12,'1-Input'!$B$12,0))))*(1/(1-'P-Parametri'!$B$6*P759))+MIN(MAX(0,U758-(MAX(0,P726-IF($A759&gt;='1-Input'!$C$12,'1-Input'!$B$12,0))-MIN(MAX(T758,0),MAX(0,P726-IF($A759&gt;='1-Input'!$C$12,'1-Input'!$B$12,0))))*(1/(1-'P-Parametri'!$B$6*P759))),MAX(0,2*P726-(T758-MIN(MAX(T758,0),MAX(0,P726-IF($A759&gt;='1-Input'!$C$12,'1-Input'!$B$12,0)))))*(1/(1-'P-Parametri'!$B$6*P759))))</f>
        <v>8923.2903131130915</v>
      </c>
      <c r="R759" s="18">
        <f>IF($A759&gt;('1-Input'!$B$26-2),T758,(T758-MAX(0,P726-IF($A759&gt;='1-Input'!$C$12,'1-Input'!$B$12,0))+Q759*(1-'P-Parametri'!$B$6*P759))*(1+'1-Input'!$B$27))</f>
        <v>36628.737843878102</v>
      </c>
      <c r="S759" s="18">
        <f>IF($A759&gt;('1-Input'!$B$26-2),U758,(U758-Q759)*(1+'5-Roberta'!$C$4))</f>
        <v>41611.147612923261</v>
      </c>
      <c r="T759" s="18">
        <f>IF($A759&gt;('1-Input'!$B$26-2),R759,R759-'P-Parametri'!$B$8*(S759+R759)+MIN(MAX(S759,0),'P-Parametri'!$B$8*(S759+R759)))</f>
        <v>36628.737843878102</v>
      </c>
      <c r="U759" s="18">
        <f>IF($A759&gt;('1-Input'!$B$26-2),S759,S759-MIN(MAX(S759,0),'P-Parametri'!$B$8*(S759+R759)))</f>
        <v>41454.667842009658</v>
      </c>
      <c r="V759" s="18">
        <f>IF($A759&gt;('1-Input'!$B$26-2),V758,V758-Q759*(1-P759))</f>
        <v>14063.519536125517</v>
      </c>
      <c r="W759" s="11">
        <f>IF($A759&gt;('1-Input'!$B$26-2),0,IF(AB758&lt;=0,0,MAX(0,(AB758-AC758)/AB758)))</f>
        <v>0.65243965842553375</v>
      </c>
      <c r="X759" s="18">
        <f>IF($A759&gt;('1-Input'!$B$26-2),0,(MAX(0,W726-IF($A759&gt;='1-Input'!$C$12,'1-Input'!$B$12,0))-MIN(MAX(AA758,0),MAX(0,W726-IF($A759&gt;='1-Input'!$C$12,'1-Input'!$B$12,0))))*(1/(1-'P-Parametri'!$B$6*W759))+MIN(MAX(0,AB758-(MAX(0,W726-IF($A759&gt;='1-Input'!$C$12,'1-Input'!$B$12,0))-MIN(MAX(AA758,0),MAX(0,W726-IF($A759&gt;='1-Input'!$C$12,'1-Input'!$B$12,0))))*(1/(1-'P-Parametri'!$B$6*W759))),MAX(0,2*W726-(AA758-MIN(MAX(AA758,0),MAX(0,W726-IF($A759&gt;='1-Input'!$C$12,'1-Input'!$B$12,0)))))*(1/(1-'P-Parametri'!$B$6*W759))))</f>
        <v>8650.6929178526843</v>
      </c>
      <c r="Y759" s="18">
        <f>IF($A759&gt;('1-Input'!$B$26-2),AA758,(AA758-MAX(0,W726-IF($A759&gt;='1-Input'!$C$12,'1-Input'!$B$12,0))+X759*(1-'P-Parametri'!$B$6*W759))*(1+'1-Input'!$B$27))</f>
        <v>36178.339405303268</v>
      </c>
      <c r="Z759" s="18">
        <f>IF($A759&gt;('1-Input'!$B$26-2),AB758,(AB758-X759)*(1+'5-Roberta'!$C$4))</f>
        <v>55476.678371498121</v>
      </c>
      <c r="AA759" s="18">
        <f>IF($A759&gt;('1-Input'!$B$26-2),Y759,Y759-'P-Parametri'!$B$8*(Z759+Y759)+MIN(MAX(Z759,0),'P-Parametri'!$B$8*(Z759+Y759)))</f>
        <v>36178.339405303268</v>
      </c>
      <c r="AB759" s="18">
        <f>IF($A759&gt;('1-Input'!$B$26-2),Z759,Z759-MIN(MAX(Z759,0),'P-Parametri'!$B$8*(Z759+Y759)))</f>
        <v>55293.36833594452</v>
      </c>
      <c r="AC759" s="18">
        <f>IF($A759&gt;('1-Input'!$B$26-2),AC758,AC758-X759*(1-W759))</f>
        <v>18719.896392441449</v>
      </c>
      <c r="AD759" s="11">
        <f>IF($A759&gt;('1-Input'!$B$26-2),0,IF(AI758&lt;=0,0,MAX(0,(AI758-AJ758)/AI758)))</f>
        <v>0.6524697772527277</v>
      </c>
      <c r="AE759" s="18">
        <f>IF($A759&gt;('1-Input'!$B$26-2),0,(MAX(0,AD726-IF($A759&gt;='1-Input'!$C$12,'1-Input'!$B$12,0))-MIN(MAX(AH758,0),MAX(0,AD726-IF($A759&gt;='1-Input'!$C$12,'1-Input'!$B$12,0))))*(1/(1-'P-Parametri'!$B$6*AD759))+MIN(MAX(0,AI758-(MAX(0,AD726-IF($A759&gt;='1-Input'!$C$12,'1-Input'!$B$12,0))-MIN(MAX(AH758,0),MAX(0,AD726-IF($A759&gt;='1-Input'!$C$12,'1-Input'!$B$12,0))))*(1/(1-'P-Parametri'!$B$6*AD759))),MAX(0,2*AD726-(AH758-MIN(MAX(AH758,0),MAX(0,AD726-IF($A759&gt;='1-Input'!$C$12,'1-Input'!$B$12,0)))))*(1/(1-'P-Parametri'!$B$6*AD759))))</f>
        <v>8633.3576124297506</v>
      </c>
      <c r="AF759" s="18">
        <f>IF($A759&gt;('1-Input'!$B$26-2),AH758,(AH758-MAX(0,AD726-IF($A759&gt;='1-Input'!$C$12,'1-Input'!$B$12,0))+AE759*(1-'P-Parametri'!$B$6*AD759))*(1+'1-Input'!$B$27))</f>
        <v>36149.725057315343</v>
      </c>
      <c r="AG759" s="18">
        <f>IF($A759&gt;('1-Input'!$B$26-2),AI758,(AI758-AE759)*(1+'5-Roberta'!$C$4))</f>
        <v>56357.652667942828</v>
      </c>
      <c r="AH759" s="18">
        <f>IF($A759&gt;('1-Input'!$B$26-2),AF759,AF759-'P-Parametri'!$B$8*(AG759+AF759)+MIN(MAX(AG759,0),'P-Parametri'!$B$8*(AG759+AF759)))</f>
        <v>36149.725057315343</v>
      </c>
      <c r="AI759" s="18">
        <f>IF($A759&gt;('1-Input'!$B$26-2),AG759,AG759-MIN(MAX(AG759,0),'P-Parametri'!$B$8*(AG759+AF759)))</f>
        <v>56172.637912492311</v>
      </c>
      <c r="AJ759" s="18">
        <f>IF($A759&gt;('1-Input'!$B$26-2),AJ758,AJ758-AE759*(1-AD759))</f>
        <v>19015.521927382117</v>
      </c>
      <c r="AK759" s="11">
        <f>IF($A759&gt;('1-Input'!$B$26-2),0,IF(AP758&lt;=0,0,MAX(0,(AP758-AQ758)/AP758)))</f>
        <v>0.65246993263633402</v>
      </c>
      <c r="AL759" s="18">
        <f>IF($A759&gt;('1-Input'!$B$26-2),0,(MAX(0,AK726-IF($A759&gt;='1-Input'!$C$12,'1-Input'!$B$12,0))-MIN(MAX(AO758,0),MAX(0,AK726-IF($A759&gt;='1-Input'!$C$12,'1-Input'!$B$12,0))))*(1/(1-'P-Parametri'!$B$6*AK759))+MIN(MAX(0,AP758-(MAX(0,AK726-IF($A759&gt;='1-Input'!$C$12,'1-Input'!$B$12,0))-MIN(MAX(AO758,0),MAX(0,AK726-IF($A759&gt;='1-Input'!$C$12,'1-Input'!$B$12,0))))*(1/(1-'P-Parametri'!$B$6*AK759))),MAX(0,2*AK726-(AO758-MIN(MAX(AO758,0),MAX(0,AK726-IF($A759&gt;='1-Input'!$C$12,'1-Input'!$B$12,0)))))*(1/(1-'P-Parametri'!$B$6*AK759))))</f>
        <v>8633.2674202959934</v>
      </c>
      <c r="AM759" s="18">
        <f>IF($A759&gt;('1-Input'!$B$26-2),AO758,(AO758-MAX(0,AK726-IF($A759&gt;='1-Input'!$C$12,'1-Input'!$B$12,0))+AL759*(1-'P-Parametri'!$B$6*AK759))*(1+'1-Input'!$B$27))</f>
        <v>36149.576189835549</v>
      </c>
      <c r="AN759" s="18">
        <f>IF($A759&gt;('1-Input'!$B$26-2),AP758,(AP758-AL759)*(1+'5-Roberta'!$C$4))</f>
        <v>56362.236000323646</v>
      </c>
      <c r="AO759" s="18">
        <f>IF($A759&gt;('1-Input'!$B$26-2),AM759,AM759-'P-Parametri'!$B$8*(AN759+AM759)+MIN(MAX(AN759,0),'P-Parametri'!$B$8*(AN759+AM759)))</f>
        <v>36149.576189835549</v>
      </c>
      <c r="AP759" s="18">
        <f>IF($A759&gt;('1-Input'!$B$26-2),AN759,AN759-MIN(MAX(AN759,0),'P-Parametri'!$B$8*(AN759+AM759)))</f>
        <v>56177.212375943331</v>
      </c>
      <c r="AQ759" s="18">
        <f>IF($A759&gt;('1-Input'!$B$26-2),AQ758,AQ758-AL759*(1-AK759))</f>
        <v>19017.059877630403</v>
      </c>
    </row>
    <row r="760" spans="1:43">
      <c r="A760" s="10">
        <f>32</f>
        <v>32</v>
      </c>
      <c r="B760" s="11">
        <f>IF($A760&gt;('1-Input'!$B$26-2),0,IF(G759&lt;=0,0,MAX(0,(G759-H759)/G759)))</f>
        <v>0.66344520186287903</v>
      </c>
      <c r="C760" s="18">
        <f>IF($A760&gt;('1-Input'!$B$26-2),0,(MAX(0,B726-IF($A760&gt;='1-Input'!$C$12,'1-Input'!$B$12,0))-MIN(MAX(F759,0),MAX(0,B726-IF($A760&gt;='1-Input'!$C$12,'1-Input'!$B$12,0))))*(1/(1-'P-Parametri'!$B$6*B760))+MIN(MAX(0,G759-(MAX(0,B726-IF($A760&gt;='1-Input'!$C$12,'1-Input'!$B$12,0))-MIN(MAX(F759,0),MAX(0,B726-IF($A760&gt;='1-Input'!$C$12,'1-Input'!$B$12,0))))*(1/(1-'P-Parametri'!$B$6*B760))),MAX(0,2*B726-(F759-MIN(MAX(F759,0),MAX(0,B726-IF($A760&gt;='1-Input'!$C$12,'1-Input'!$B$12,0)))))*(1/(1-'P-Parametri'!$B$6*B760))))</f>
        <v>6887.1657517181657</v>
      </c>
      <c r="D760" s="18">
        <f>IF($A760&gt;('1-Input'!$B$26-2),F759,(F759-MAX(0,B726-IF($A760&gt;='1-Input'!$C$12,'1-Input'!$B$12,0))+C760*(1-'P-Parametri'!$B$6*B760))*(1+'1-Input'!$B$27))</f>
        <v>33242.0070309863</v>
      </c>
      <c r="E760" s="18">
        <f>IF($A760&gt;('1-Input'!$B$26-2),G759,(G759-C760)*(1+'5-Roberta'!$C$4))</f>
        <v>142823.80682015137</v>
      </c>
      <c r="F760" s="18">
        <f>IF($A760&gt;('1-Input'!$B$26-2),D760,D760-'P-Parametri'!$B$8*(E760+D760)+MIN(MAX(E760,0),'P-Parametri'!$B$8*(E760+D760)))</f>
        <v>33242.0070309863</v>
      </c>
      <c r="G760" s="18">
        <f>IF($A760&gt;('1-Input'!$B$26-2),E760,E760-MIN(MAX(E760,0),'P-Parametri'!$B$8*(E760+D760)))</f>
        <v>142471.6751924491</v>
      </c>
      <c r="H760" s="18">
        <f>IF($A760&gt;('1-Input'!$B$26-2),H759,H759-C760*(1-B760))</f>
        <v>46667.997547117659</v>
      </c>
      <c r="I760" s="11">
        <f>IF($A760&gt;('1-Input'!$B$26-2),0,IF(N759&lt;=0,0,MAX(0,(N759-O759)/N759)))</f>
        <v>0</v>
      </c>
      <c r="J760" s="18">
        <f>IF($A760&gt;('1-Input'!$B$26-2),0,(MAX(0,I726-IF($A760&gt;='1-Input'!$C$12,'1-Input'!$B$12,0))-MIN(MAX(M759,0),MAX(0,I726-IF($A760&gt;='1-Input'!$C$12,'1-Input'!$B$12,0))))*(1/(1-'P-Parametri'!$B$6*I760))+MIN(MAX(0,N759-(MAX(0,I726-IF($A760&gt;='1-Input'!$C$12,'1-Input'!$B$12,0))-MIN(MAX(M759,0),MAX(0,I726-IF($A760&gt;='1-Input'!$C$12,'1-Input'!$B$12,0))))*(1/(1-'P-Parametri'!$B$6*I760))),MAX(0,2*I726-(M759-MIN(MAX(M759,0),MAX(0,I726-IF($A760&gt;='1-Input'!$C$12,'1-Input'!$B$12,0)))))*(1/(1-'P-Parametri'!$B$6*I760))))</f>
        <v>10846.756992928691</v>
      </c>
      <c r="K760" s="18">
        <f>IF($A760&gt;('1-Input'!$B$26-2),M759,(M759-MAX(0,I726-IF($A760&gt;='1-Input'!$C$12,'1-Input'!$B$12,0))+J760*(1-'P-Parametri'!$B$6*I760))*(1+'1-Input'!$B$27))</f>
        <v>0</v>
      </c>
      <c r="L760" s="18">
        <f>IF($A760&gt;('1-Input'!$B$26-2),N759,(N759-J760)*(1+'5-Roberta'!$C$4))</f>
        <v>-104005.07246121031</v>
      </c>
      <c r="M760" s="18">
        <f>IF($A760&gt;('1-Input'!$B$26-2),K760,K760-'P-Parametri'!$B$8*(L760+K760)+MIN(MAX(L760,0),'P-Parametri'!$B$8*(L760+K760)))</f>
        <v>0</v>
      </c>
      <c r="N760" s="18">
        <f>IF($A760&gt;('1-Input'!$B$26-2),L760,L760-MIN(MAX(L760,0),'P-Parametri'!$B$8*(L760+K760)))</f>
        <v>-103797.06231628789</v>
      </c>
      <c r="O760" s="18">
        <f>IF($A760&gt;('1-Input'!$B$26-2),O759,O759-J760*(1-I760))</f>
        <v>-90965.307193087414</v>
      </c>
      <c r="P760" s="11">
        <f>IF($A760&gt;('1-Input'!$B$26-2),0,IF(U759&lt;=0,0,MAX(0,(U759-V759)/U759)))</f>
        <v>0.66074943382193219</v>
      </c>
      <c r="Q760" s="18">
        <f>IF($A760&gt;('1-Input'!$B$26-2),0,(MAX(0,P726-IF($A760&gt;='1-Input'!$C$12,'1-Input'!$B$12,0))-MIN(MAX(T759,0),MAX(0,P726-IF($A760&gt;='1-Input'!$C$12,'1-Input'!$B$12,0))))*(1/(1-'P-Parametri'!$B$6*P760))+MIN(MAX(0,U759-(MAX(0,P726-IF($A760&gt;='1-Input'!$C$12,'1-Input'!$B$12,0))-MIN(MAX(T759,0),MAX(0,P726-IF($A760&gt;='1-Input'!$C$12,'1-Input'!$B$12,0))))*(1/(1-'P-Parametri'!$B$6*P760))),MAX(0,2*P726-(T759-MIN(MAX(T759,0),MAX(0,P726-IF($A760&gt;='1-Input'!$C$12,'1-Input'!$B$12,0)))))*(1/(1-'P-Parametri'!$B$6*P760))))</f>
        <v>8948.1196375624095</v>
      </c>
      <c r="R760" s="18">
        <f>IF($A760&gt;('1-Input'!$B$26-2),T759,(T759-MAX(0,P726-IF($A760&gt;='1-Input'!$C$12,'1-Input'!$B$12,0))+Q760*(1-'P-Parametri'!$B$6*P760))*(1+'1-Input'!$B$27))</f>
        <v>36628.737843878102</v>
      </c>
      <c r="S760" s="18">
        <f>IF($A760&gt;('1-Input'!$B$26-2),U759,(U759-Q760)*(1+'5-Roberta'!$C$4))</f>
        <v>33481.744650580666</v>
      </c>
      <c r="T760" s="18">
        <f>IF($A760&gt;('1-Input'!$B$26-2),R760,R760-'P-Parametri'!$B$8*(S760+R760)+MIN(MAX(S760,0),'P-Parametri'!$B$8*(S760+R760)))</f>
        <v>36628.737843878102</v>
      </c>
      <c r="U760" s="18">
        <f>IF($A760&gt;('1-Input'!$B$26-2),S760,S760-MIN(MAX(S760,0),'P-Parametri'!$B$8*(S760+R760)))</f>
        <v>33341.523685591746</v>
      </c>
      <c r="V760" s="18">
        <f>IF($A760&gt;('1-Input'!$B$26-2),V759,V759-Q760*(1-P760))</f>
        <v>11027.864882853382</v>
      </c>
      <c r="W760" s="11">
        <f>IF($A760&gt;('1-Input'!$B$26-2),0,IF(AB759&lt;=0,0,MAX(0,(AB759-AC759)/AB759)))</f>
        <v>0.6614440943676021</v>
      </c>
      <c r="X760" s="18">
        <f>IF($A760&gt;('1-Input'!$B$26-2),0,(MAX(0,W726-IF($A760&gt;='1-Input'!$C$12,'1-Input'!$B$12,0))-MIN(MAX(AA759,0),MAX(0,W726-IF($A760&gt;='1-Input'!$C$12,'1-Input'!$B$12,0))))*(1/(1-'P-Parametri'!$B$6*W760))+MIN(MAX(0,AB759-(MAX(0,W726-IF($A760&gt;='1-Input'!$C$12,'1-Input'!$B$12,0))-MIN(MAX(AA759,0),MAX(0,W726-IF($A760&gt;='1-Input'!$C$12,'1-Input'!$B$12,0))))*(1/(1-'P-Parametri'!$B$6*W760))),MAX(0,2*W726-(AA759-MIN(MAX(AA759,0),MAX(0,W726-IF($A760&gt;='1-Input'!$C$12,'1-Input'!$B$12,0)))))*(1/(1-'P-Parametri'!$B$6*W760))))</f>
        <v>8675.1518532987211</v>
      </c>
      <c r="Y760" s="18">
        <f>IF($A760&gt;('1-Input'!$B$26-2),AA759,(AA759-MAX(0,W726-IF($A760&gt;='1-Input'!$C$12,'1-Input'!$B$12,0))+X760*(1-'P-Parametri'!$B$6*W760))*(1+'1-Input'!$B$27))</f>
        <v>36178.339405303268</v>
      </c>
      <c r="Z760" s="18">
        <f>IF($A760&gt;('1-Input'!$B$26-2),AB759,(AB759-X760)*(1+'5-Roberta'!$C$4))</f>
        <v>48016.762977125181</v>
      </c>
      <c r="AA760" s="18">
        <f>IF($A760&gt;('1-Input'!$B$26-2),Y760,Y760-'P-Parametri'!$B$8*(Z760+Y760)+MIN(MAX(Z760,0),'P-Parametri'!$B$8*(Z760+Y760)))</f>
        <v>36178.339405303268</v>
      </c>
      <c r="AB760" s="18">
        <f>IF($A760&gt;('1-Input'!$B$26-2),Z760,Z760-MIN(MAX(Z760,0),'P-Parametri'!$B$8*(Z760+Y760)))</f>
        <v>47848.372772360322</v>
      </c>
      <c r="AC760" s="18">
        <f>IF($A760&gt;('1-Input'!$B$26-2),AC759,AC759-X760*(1-W760))</f>
        <v>15782.872500249327</v>
      </c>
      <c r="AD760" s="11">
        <f>IF($A760&gt;('1-Input'!$B$26-2),0,IF(AI759&lt;=0,0,MAX(0,(AI759-AJ759)/AI759)))</f>
        <v>0.66148070245507873</v>
      </c>
      <c r="AE760" s="18">
        <f>IF($A760&gt;('1-Input'!$B$26-2),0,(MAX(0,AD726-IF($A760&gt;='1-Input'!$C$12,'1-Input'!$B$12,0))-MIN(MAX(AH759,0),MAX(0,AD726-IF($A760&gt;='1-Input'!$C$12,'1-Input'!$B$12,0))))*(1/(1-'P-Parametri'!$B$6*AD760))+MIN(MAX(0,AI759-(MAX(0,AD726-IF($A760&gt;='1-Input'!$C$12,'1-Input'!$B$12,0))-MIN(MAX(AH759,0),MAX(0,AD726-IF($A760&gt;='1-Input'!$C$12,'1-Input'!$B$12,0))))*(1/(1-'P-Parametri'!$B$6*AD760))),MAX(0,2*AD726-(AH759-MIN(MAX(AH759,0),MAX(0,AD726-IF($A760&gt;='1-Input'!$C$12,'1-Input'!$B$12,0)))))*(1/(1-'P-Parametri'!$B$6*AD760))))</f>
        <v>8657.7854064860021</v>
      </c>
      <c r="AF760" s="18">
        <f>IF($A760&gt;('1-Input'!$B$26-2),AH759,(AH759-MAX(0,AD726-IF($A760&gt;='1-Input'!$C$12,'1-Input'!$B$12,0))+AE760*(1-'P-Parametri'!$B$6*AD760))*(1+'1-Input'!$B$27))</f>
        <v>36149.725057315343</v>
      </c>
      <c r="AG760" s="18">
        <f>IF($A760&gt;('1-Input'!$B$26-2),AI759,(AI759-AE760)*(1+'5-Roberta'!$C$4))</f>
        <v>48940.298081186498</v>
      </c>
      <c r="AH760" s="18">
        <f>IF($A760&gt;('1-Input'!$B$26-2),AF760,AF760-'P-Parametri'!$B$8*(AG760+AF760)+MIN(MAX(AG760,0),'P-Parametri'!$B$8*(AG760+AF760)))</f>
        <v>36149.725057315343</v>
      </c>
      <c r="AI760" s="18">
        <f>IF($A760&gt;('1-Input'!$B$26-2),AG760,AG760-MIN(MAX(AG760,0),'P-Parametri'!$B$8*(AG760+AF760)))</f>
        <v>48770.118034909494</v>
      </c>
      <c r="AJ760" s="18">
        <f>IF($A760&gt;('1-Input'!$B$26-2),AJ759,AJ759-AE760*(1-AD760))</f>
        <v>16084.694493283805</v>
      </c>
      <c r="AK760" s="11">
        <f>IF($A760&gt;('1-Input'!$B$26-2),0,IF(AP759&lt;=0,0,MAX(0,(AP759-AQ759)/AP759)))</f>
        <v>0.6614808910352048</v>
      </c>
      <c r="AL760" s="18">
        <f>IF($A760&gt;('1-Input'!$B$26-2),0,(MAX(0,AK726-IF($A760&gt;='1-Input'!$C$12,'1-Input'!$B$12,0))-MIN(MAX(AO759,0),MAX(0,AK726-IF($A760&gt;='1-Input'!$C$12,'1-Input'!$B$12,0))))*(1/(1-'P-Parametri'!$B$6*AK760))+MIN(MAX(0,AP759-(MAX(0,AK726-IF($A760&gt;='1-Input'!$C$12,'1-Input'!$B$12,0))-MIN(MAX(AO759,0),MAX(0,AK726-IF($A760&gt;='1-Input'!$C$12,'1-Input'!$B$12,0))))*(1/(1-'P-Parametri'!$B$6*AK760))),MAX(0,2*AK726-(AO759-MIN(MAX(AO759,0),MAX(0,AK726-IF($A760&gt;='1-Input'!$C$12,'1-Input'!$B$12,0)))))*(1/(1-'P-Parametri'!$B$6*AK760))))</f>
        <v>8657.6950505949171</v>
      </c>
      <c r="AM760" s="18">
        <f>IF($A760&gt;('1-Input'!$B$26-2),AO759,(AO759-MAX(0,AK726-IF($A760&gt;='1-Input'!$C$12,'1-Input'!$B$12,0))+AL760*(1-'P-Parametri'!$B$6*AK760))*(1+'1-Input'!$B$27))</f>
        <v>36149.576189835549</v>
      </c>
      <c r="AN760" s="18">
        <f>IF($A760&gt;('1-Input'!$B$26-2),AP759,(AP759-AL760)*(1+'5-Roberta'!$C$4))</f>
        <v>48945.102845108864</v>
      </c>
      <c r="AO760" s="18">
        <f>IF($A760&gt;('1-Input'!$B$26-2),AM760,AM760-'P-Parametri'!$B$8*(AN760+AM760)+MIN(MAX(AN760,0),'P-Parametri'!$B$8*(AN760+AM760)))</f>
        <v>36149.576189835549</v>
      </c>
      <c r="AP760" s="18">
        <f>IF($A760&gt;('1-Input'!$B$26-2),AN760,AN760-MIN(MAX(AN760,0),'P-Parametri'!$B$8*(AN760+AM760)))</f>
        <v>48774.913487038975</v>
      </c>
      <c r="AQ760" s="18">
        <f>IF($A760&gt;('1-Input'!$B$26-2),AQ759,AQ759-AL760*(1-AK760))</f>
        <v>16086.264663414095</v>
      </c>
    </row>
    <row r="761" spans="1:43">
      <c r="A761" s="10">
        <f>33</f>
        <v>33</v>
      </c>
      <c r="B761" s="11">
        <f>IF($A761&gt;('1-Input'!$B$26-2),0,IF(G760&lt;=0,0,MAX(0,(G760-H760)/G760)))</f>
        <v>0.67244017111415955</v>
      </c>
      <c r="C761" s="18">
        <f>IF($A761&gt;('1-Input'!$B$26-2),0,(MAX(0,B726-IF($A761&gt;='1-Input'!$C$12,'1-Input'!$B$12,0))-MIN(MAX(F760,0),MAX(0,B726-IF($A761&gt;='1-Input'!$C$12,'1-Input'!$B$12,0))))*(1/(1-'P-Parametri'!$B$6*B761))+MIN(MAX(0,G760-(MAX(0,B726-IF($A761&gt;='1-Input'!$C$12,'1-Input'!$B$12,0))-MIN(MAX(F760,0),MAX(0,B726-IF($A761&gt;='1-Input'!$C$12,'1-Input'!$B$12,0))))*(1/(1-'P-Parametri'!$B$6*B761))),MAX(0,2*B726-(F760-MIN(MAX(F760,0),MAX(0,B726-IF($A761&gt;='1-Input'!$C$12,'1-Input'!$B$12,0)))))*(1/(1-'P-Parametri'!$B$6*B761))))</f>
        <v>6906.6854218926992</v>
      </c>
      <c r="D761" s="18">
        <f>IF($A761&gt;('1-Input'!$B$26-2),F760,(F760-MAX(0,B726-IF($A761&gt;='1-Input'!$C$12,'1-Input'!$B$12,0))+C761*(1-'P-Parametri'!$B$6*B761))*(1+'1-Input'!$B$27))</f>
        <v>33242.0070309863</v>
      </c>
      <c r="E761" s="18">
        <f>IF($A761&gt;('1-Input'!$B$26-2),G760,(G760-C761)*(1+'5-Roberta'!$C$4))</f>
        <v>139631.9394636731</v>
      </c>
      <c r="F761" s="18">
        <f>IF($A761&gt;('1-Input'!$B$26-2),D761,D761-'P-Parametri'!$B$8*(E761+D761)+MIN(MAX(E761,0),'P-Parametri'!$B$8*(E761+D761)))</f>
        <v>33242.0070309863</v>
      </c>
      <c r="G761" s="18">
        <f>IF($A761&gt;('1-Input'!$B$26-2),E761,E761-MIN(MAX(E761,0),'P-Parametri'!$B$8*(E761+D761)))</f>
        <v>139286.19157068379</v>
      </c>
      <c r="H761" s="18">
        <f>IF($A761&gt;('1-Input'!$B$26-2),H760,H760-C761*(1-B761))</f>
        <v>44405.644852154161</v>
      </c>
      <c r="I761" s="11">
        <f>IF($A761&gt;('1-Input'!$B$26-2),0,IF(N760&lt;=0,0,MAX(0,(N760-O760)/N760)))</f>
        <v>0</v>
      </c>
      <c r="J761" s="18">
        <f>IF($A761&gt;('1-Input'!$B$26-2),0,(MAX(0,I726-IF($A761&gt;='1-Input'!$C$12,'1-Input'!$B$12,0))-MIN(MAX(M760,0),MAX(0,I726-IF($A761&gt;='1-Input'!$C$12,'1-Input'!$B$12,0))))*(1/(1-'P-Parametri'!$B$6*I761))+MIN(MAX(0,N760-(MAX(0,I726-IF($A761&gt;='1-Input'!$C$12,'1-Input'!$B$12,0))-MIN(MAX(M760,0),MAX(0,I726-IF($A761&gt;='1-Input'!$C$12,'1-Input'!$B$12,0))))*(1/(1-'P-Parametri'!$B$6*I761))),MAX(0,2*I726-(M760-MIN(MAX(M760,0),MAX(0,I726-IF($A761&gt;='1-Input'!$C$12,'1-Input'!$B$12,0)))))*(1/(1-'P-Parametri'!$B$6*I761))))</f>
        <v>10846.756992928691</v>
      </c>
      <c r="K761" s="18">
        <f>IF($A761&gt;('1-Input'!$B$26-2),M760,(M760-MAX(0,I726-IF($A761&gt;='1-Input'!$C$12,'1-Input'!$B$12,0))+J761*(1-'P-Parametri'!$B$6*I761))*(1+'1-Input'!$B$27))</f>
        <v>0</v>
      </c>
      <c r="L761" s="18">
        <f>IF($A761&gt;('1-Input'!$B$26-2),N760,(N760-J761)*(1+'5-Roberta'!$C$4))</f>
        <v>-118083.13388849307</v>
      </c>
      <c r="M761" s="18">
        <f>IF($A761&gt;('1-Input'!$B$26-2),K761,K761-'P-Parametri'!$B$8*(L761+K761)+MIN(MAX(L761,0),'P-Parametri'!$B$8*(L761+K761)))</f>
        <v>0</v>
      </c>
      <c r="N761" s="18">
        <f>IF($A761&gt;('1-Input'!$B$26-2),L761,L761-MIN(MAX(L761,0),'P-Parametri'!$B$8*(L761+K761)))</f>
        <v>-117846.96762071608</v>
      </c>
      <c r="O761" s="18">
        <f>IF($A761&gt;('1-Input'!$B$26-2),O760,O760-J761*(1-I761))</f>
        <v>-101812.0641860161</v>
      </c>
      <c r="P761" s="11">
        <f>IF($A761&gt;('1-Input'!$B$26-2),0,IF(U760&lt;=0,0,MAX(0,(U760-V760)/U760)))</f>
        <v>0.66924532343376431</v>
      </c>
      <c r="Q761" s="18">
        <f>IF($A761&gt;('1-Input'!$B$26-2),0,(MAX(0,P726-IF($A761&gt;='1-Input'!$C$12,'1-Input'!$B$12,0))-MIN(MAX(T760,0),MAX(0,P726-IF($A761&gt;='1-Input'!$C$12,'1-Input'!$B$12,0))))*(1/(1-'P-Parametri'!$B$6*P761))+MIN(MAX(0,U760-(MAX(0,P726-IF($A761&gt;='1-Input'!$C$12,'1-Input'!$B$12,0))-MIN(MAX(T760,0),MAX(0,P726-IF($A761&gt;='1-Input'!$C$12,'1-Input'!$B$12,0))))*(1/(1-'P-Parametri'!$B$6*P761))),MAX(0,2*P726-(T760-MIN(MAX(T760,0),MAX(0,P726-IF($A761&gt;='1-Input'!$C$12,'1-Input'!$B$12,0)))))*(1/(1-'P-Parametri'!$B$6*P761))))</f>
        <v>8972.0492647866486</v>
      </c>
      <c r="R761" s="18">
        <f>IF($A761&gt;('1-Input'!$B$26-2),T760,(T760-MAX(0,P726-IF($A761&gt;='1-Input'!$C$12,'1-Input'!$B$12,0))+Q761*(1-'P-Parametri'!$B$6*P761))*(1+'1-Input'!$B$27))</f>
        <v>36628.737843878102</v>
      </c>
      <c r="S761" s="18">
        <f>IF($A761&gt;('1-Input'!$B$26-2),U760,(U760-Q761)*(1+'5-Roberta'!$C$4))</f>
        <v>25100.558653429252</v>
      </c>
      <c r="T761" s="18">
        <f>IF($A761&gt;('1-Input'!$B$26-2),R761,R761-'P-Parametri'!$B$8*(S761+R761)+MIN(MAX(S761,0),'P-Parametri'!$B$8*(S761+R761)))</f>
        <v>36628.737843878102</v>
      </c>
      <c r="U761" s="18">
        <f>IF($A761&gt;('1-Input'!$B$26-2),S761,S761-MIN(MAX(S761,0),'P-Parametri'!$B$8*(S761+R761)))</f>
        <v>24977.100060434637</v>
      </c>
      <c r="V761" s="18">
        <f>IF($A761&gt;('1-Input'!$B$26-2),V760,V760-Q761*(1-P761))</f>
        <v>8060.317630142541</v>
      </c>
      <c r="W761" s="11">
        <f>IF($A761&gt;('1-Input'!$B$26-2),0,IF(AB760&lt;=0,0,MAX(0,(AB760-AC760)/AB760)))</f>
        <v>0.67014818716329838</v>
      </c>
      <c r="X761" s="18">
        <f>IF($A761&gt;('1-Input'!$B$26-2),0,(MAX(0,W726-IF($A761&gt;='1-Input'!$C$12,'1-Input'!$B$12,0))-MIN(MAX(AA760,0),MAX(0,W726-IF($A761&gt;='1-Input'!$C$12,'1-Input'!$B$12,0))))*(1/(1-'P-Parametri'!$B$6*W761))+MIN(MAX(0,AB760-(MAX(0,W726-IF($A761&gt;='1-Input'!$C$12,'1-Input'!$B$12,0))-MIN(MAX(AA760,0),MAX(0,W726-IF($A761&gt;='1-Input'!$C$12,'1-Input'!$B$12,0))))*(1/(1-'P-Parametri'!$B$6*W761))),MAX(0,2*W726-(AA760-MIN(MAX(AA760,0),MAX(0,W726-IF($A761&gt;='1-Input'!$C$12,'1-Input'!$B$12,0)))))*(1/(1-'P-Parametri'!$B$6*W761))))</f>
        <v>8698.9267878723185</v>
      </c>
      <c r="Y761" s="18">
        <f>IF($A761&gt;('1-Input'!$B$26-2),AA760,(AA760-MAX(0,W726-IF($A761&gt;='1-Input'!$C$12,'1-Input'!$B$12,0))+X761*(1-'P-Parametri'!$B$6*W761))*(1+'1-Input'!$B$27))</f>
        <v>36178.339405303268</v>
      </c>
      <c r="Z761" s="18">
        <f>IF($A761&gt;('1-Input'!$B$26-2),AB760,(AB760-X761)*(1+'5-Roberta'!$C$4))</f>
        <v>40323.929364022646</v>
      </c>
      <c r="AA761" s="18">
        <f>IF($A761&gt;('1-Input'!$B$26-2),Y761,Y761-'P-Parametri'!$B$8*(Z761+Y761)+MIN(MAX(Z761,0),'P-Parametri'!$B$8*(Z761+Y761)))</f>
        <v>36178.339405303268</v>
      </c>
      <c r="AB761" s="18">
        <f>IF($A761&gt;('1-Input'!$B$26-2),Z761,Z761-MIN(MAX(Z761,0),'P-Parametri'!$B$8*(Z761+Y761)))</f>
        <v>40170.924826483992</v>
      </c>
      <c r="AC761" s="18">
        <f>IF($A761&gt;('1-Input'!$B$26-2),AC760,AC760-X761*(1-W761))</f>
        <v>12913.515729535897</v>
      </c>
      <c r="AD761" s="11">
        <f>IF($A761&gt;('1-Input'!$B$26-2),0,IF(AI760&lt;=0,0,MAX(0,(AI760-AJ760)/AI760)))</f>
        <v>0.67019365256056107</v>
      </c>
      <c r="AE761" s="18">
        <f>IF($A761&gt;('1-Input'!$B$26-2),0,(MAX(0,AD726-IF($A761&gt;='1-Input'!$C$12,'1-Input'!$B$12,0))-MIN(MAX(AH760,0),MAX(0,AD726-IF($A761&gt;='1-Input'!$C$12,'1-Input'!$B$12,0))))*(1/(1-'P-Parametri'!$B$6*AD761))+MIN(MAX(0,AI760-(MAX(0,AD726-IF($A761&gt;='1-Input'!$C$12,'1-Input'!$B$12,0))-MIN(MAX(AH760,0),MAX(0,AD726-IF($A761&gt;='1-Input'!$C$12,'1-Input'!$B$12,0))))*(1/(1-'P-Parametri'!$B$6*AD761))),MAX(0,2*AD726-(AH760-MIN(MAX(AH760,0),MAX(0,AD726-IF($A761&gt;='1-Input'!$C$12,'1-Input'!$B$12,0)))))*(1/(1-'P-Parametri'!$B$6*AD761))))</f>
        <v>8681.537231972623</v>
      </c>
      <c r="AF761" s="18">
        <f>IF($A761&gt;('1-Input'!$B$26-2),AH760,(AH760-MAX(0,AD726-IF($A761&gt;='1-Input'!$C$12,'1-Input'!$B$12,0))+AE761*(1-'P-Parametri'!$B$6*AD761))*(1+'1-Input'!$B$27))</f>
        <v>36149.725057315343</v>
      </c>
      <c r="AG761" s="18">
        <f>IF($A761&gt;('1-Input'!$B$26-2),AI760,(AI760-AE761)*(1+'5-Roberta'!$C$4))</f>
        <v>41291.23822702498</v>
      </c>
      <c r="AH761" s="18">
        <f>IF($A761&gt;('1-Input'!$B$26-2),AF761,AF761-'P-Parametri'!$B$8*(AG761+AF761)+MIN(MAX(AG761,0),'P-Parametri'!$B$8*(AG761+AF761)))</f>
        <v>36149.725057315343</v>
      </c>
      <c r="AI761" s="18">
        <f>IF($A761&gt;('1-Input'!$B$26-2),AG761,AG761-MIN(MAX(AG761,0),'P-Parametri'!$B$8*(AG761+AF761)))</f>
        <v>41136.356300456297</v>
      </c>
      <c r="AJ761" s="18">
        <f>IF($A761&gt;('1-Input'!$B$26-2),AJ760,AJ760-AE761*(1-AD761))</f>
        <v>13221.468408647417</v>
      </c>
      <c r="AK761" s="11">
        <f>IF($A761&gt;('1-Input'!$B$26-2),0,IF(AP760&lt;=0,0,MAX(0,(AP760-AQ760)/AP760)))</f>
        <v>0.67019388629589838</v>
      </c>
      <c r="AL761" s="18">
        <f>IF($A761&gt;('1-Input'!$B$26-2),0,(MAX(0,AK726-IF($A761&gt;='1-Input'!$C$12,'1-Input'!$B$12,0))-MIN(MAX(AO760,0),MAX(0,AK726-IF($A761&gt;='1-Input'!$C$12,'1-Input'!$B$12,0))))*(1/(1-'P-Parametri'!$B$6*AK761))+MIN(MAX(0,AP760-(MAX(0,AK726-IF($A761&gt;='1-Input'!$C$12,'1-Input'!$B$12,0))-MIN(MAX(AO760,0),MAX(0,AK726-IF($A761&gt;='1-Input'!$C$12,'1-Input'!$B$12,0))))*(1/(1-'P-Parametri'!$B$6*AK761))),MAX(0,2*AK726-(AO760-MIN(MAX(AO760,0),MAX(0,AK726-IF($A761&gt;='1-Input'!$C$12,'1-Input'!$B$12,0)))))*(1/(1-'P-Parametri'!$B$6*AK761))))</f>
        <v>8681.4467530401016</v>
      </c>
      <c r="AM761" s="18">
        <f>IF($A761&gt;('1-Input'!$B$26-2),AO760,(AO760-MAX(0,AK726-IF($A761&gt;='1-Input'!$C$12,'1-Input'!$B$12,0))+AL761*(1-'P-Parametri'!$B$6*AK761))*(1+'1-Input'!$B$27))</f>
        <v>36149.576189835549</v>
      </c>
      <c r="AN761" s="18">
        <f>IF($A761&gt;('1-Input'!$B$26-2),AP760,(AP760-AL761)*(1+'5-Roberta'!$C$4))</f>
        <v>41296.270736018843</v>
      </c>
      <c r="AO761" s="18">
        <f>IF($A761&gt;('1-Input'!$B$26-2),AM761,AM761-'P-Parametri'!$B$8*(AN761+AM761)+MIN(MAX(AN761,0),'P-Parametri'!$B$8*(AN761+AM761)))</f>
        <v>36149.576189835549</v>
      </c>
      <c r="AP761" s="18">
        <f>IF($A761&gt;('1-Input'!$B$26-2),AN761,AN761-MIN(MAX(AN761,0),'P-Parametri'!$B$8*(AN761+AM761)))</f>
        <v>41141.379042167137</v>
      </c>
      <c r="AQ761" s="18">
        <f>IF($A761&gt;('1-Input'!$B$26-2),AQ760,AQ760-AL761*(1-AK761))</f>
        <v>13223.070448464847</v>
      </c>
    </row>
    <row r="762" spans="1:43">
      <c r="A762" s="10">
        <f>34</f>
        <v>34</v>
      </c>
      <c r="B762" s="11">
        <f>IF($A762&gt;('1-Input'!$B$26-2),0,IF(G761&lt;=0,0,MAX(0,(G761-H761)/G761)))</f>
        <v>0.68119133453642056</v>
      </c>
      <c r="C762" s="18">
        <f>IF($A762&gt;('1-Input'!$B$26-2),0,(MAX(0,B726-IF($A762&gt;='1-Input'!$C$12,'1-Input'!$B$12,0))-MIN(MAX(F761,0),MAX(0,B726-IF($A762&gt;='1-Input'!$C$12,'1-Input'!$B$12,0))))*(1/(1-'P-Parametri'!$B$6*B762))+MIN(MAX(0,G761-(MAX(0,B726-IF($A762&gt;='1-Input'!$C$12,'1-Input'!$B$12,0))-MIN(MAX(F761,0),MAX(0,B726-IF($A762&gt;='1-Input'!$C$12,'1-Input'!$B$12,0))))*(1/(1-'P-Parametri'!$B$6*B762))),MAX(0,2*B726-(F761-MIN(MAX(F761,0),MAX(0,B726-IF($A762&gt;='1-Input'!$C$12,'1-Input'!$B$12,0)))))*(1/(1-'P-Parametri'!$B$6*B762))))</f>
        <v>6925.7824989074415</v>
      </c>
      <c r="D762" s="18">
        <f>IF($A762&gt;('1-Input'!$B$26-2),F761,(F761-MAX(0,B726-IF($A762&gt;='1-Input'!$C$12,'1-Input'!$B$12,0))+C762*(1-'P-Parametri'!$B$6*B762))*(1+'1-Input'!$B$27))</f>
        <v>33242.0070309863</v>
      </c>
      <c r="E762" s="18">
        <f>IF($A762&gt;('1-Input'!$B$26-2),G761,(G761-C762)*(1+'5-Roberta'!$C$4))</f>
        <v>136331.22134392965</v>
      </c>
      <c r="F762" s="18">
        <f>IF($A762&gt;('1-Input'!$B$26-2),D762,D762-'P-Parametri'!$B$8*(E762+D762)+MIN(MAX(E762,0),'P-Parametri'!$B$8*(E762+D762)))</f>
        <v>33242.0070309863</v>
      </c>
      <c r="G762" s="18">
        <f>IF($A762&gt;('1-Input'!$B$26-2),E762,E762-MIN(MAX(E762,0),'P-Parametri'!$B$8*(E762+D762)))</f>
        <v>135992.07488717983</v>
      </c>
      <c r="H762" s="18">
        <f>IF($A762&gt;('1-Input'!$B$26-2),H761,H761-C762*(1-B762))</f>
        <v>42197.645376386463</v>
      </c>
      <c r="I762" s="11">
        <f>IF($A762&gt;('1-Input'!$B$26-2),0,IF(N761&lt;=0,0,MAX(0,(N761-O761)/N761)))</f>
        <v>0</v>
      </c>
      <c r="J762" s="18">
        <f>IF($A762&gt;('1-Input'!$B$26-2),0,(MAX(0,I726-IF($A762&gt;='1-Input'!$C$12,'1-Input'!$B$12,0))-MIN(MAX(M761,0),MAX(0,I726-IF($A762&gt;='1-Input'!$C$12,'1-Input'!$B$12,0))))*(1/(1-'P-Parametri'!$B$6*I762))+MIN(MAX(0,N761-(MAX(0,I726-IF($A762&gt;='1-Input'!$C$12,'1-Input'!$B$12,0))-MIN(MAX(M761,0),MAX(0,I726-IF($A762&gt;='1-Input'!$C$12,'1-Input'!$B$12,0))))*(1/(1-'P-Parametri'!$B$6*I762))),MAX(0,2*I726-(M761-MIN(MAX(M761,0),MAX(0,I726-IF($A762&gt;='1-Input'!$C$12,'1-Input'!$B$12,0)))))*(1/(1-'P-Parametri'!$B$6*I762))))</f>
        <v>10846.756992928691</v>
      </c>
      <c r="K762" s="18">
        <f>IF($A762&gt;('1-Input'!$B$26-2),M761,(M761-MAX(0,I726-IF($A762&gt;='1-Input'!$C$12,'1-Input'!$B$12,0))+J762*(1-'P-Parametri'!$B$6*I762))*(1+'1-Input'!$B$27))</f>
        <v>0</v>
      </c>
      <c r="L762" s="18">
        <f>IF($A762&gt;('1-Input'!$B$26-2),N761,(N761-J762)*(1+'5-Roberta'!$C$4))</f>
        <v>-132554.5363520541</v>
      </c>
      <c r="M762" s="18">
        <f>IF($A762&gt;('1-Input'!$B$26-2),K762,K762-'P-Parametri'!$B$8*(L762+K762)+MIN(MAX(L762,0),'P-Parametri'!$B$8*(L762+K762)))</f>
        <v>0</v>
      </c>
      <c r="N762" s="18">
        <f>IF($A762&gt;('1-Input'!$B$26-2),L762,L762-MIN(MAX(L762,0),'P-Parametri'!$B$8*(L762+K762)))</f>
        <v>-132289.42727935</v>
      </c>
      <c r="O762" s="18">
        <f>IF($A762&gt;('1-Input'!$B$26-2),O761,O761-J762*(1-I762))</f>
        <v>-112658.82117894478</v>
      </c>
      <c r="P762" s="11">
        <f>IF($A762&gt;('1-Input'!$B$26-2),0,IF(U761&lt;=0,0,MAX(0,(U761-V761)/U761)))</f>
        <v>0.67729169476681517</v>
      </c>
      <c r="Q762" s="18">
        <f>IF($A762&gt;('1-Input'!$B$26-2),0,(MAX(0,P726-IF($A762&gt;='1-Input'!$C$12,'1-Input'!$B$12,0))-MIN(MAX(T761,0),MAX(0,P726-IF($A762&gt;='1-Input'!$C$12,'1-Input'!$B$12,0))))*(1/(1-'P-Parametri'!$B$6*P762))+MIN(MAX(0,U761-(MAX(0,P726-IF($A762&gt;='1-Input'!$C$12,'1-Input'!$B$12,0))-MIN(MAX(T761,0),MAX(0,P726-IF($A762&gt;='1-Input'!$C$12,'1-Input'!$B$12,0))))*(1/(1-'P-Parametri'!$B$6*P762))),MAX(0,2*P726-(T761-MIN(MAX(T761,0),MAX(0,P726-IF($A762&gt;='1-Input'!$C$12,'1-Input'!$B$12,0)))))*(1/(1-'P-Parametri'!$B$6*P762))))</f>
        <v>8994.8310825351127</v>
      </c>
      <c r="R762" s="18">
        <f>IF($A762&gt;('1-Input'!$B$26-2),T761,(T761-MAX(0,P726-IF($A762&gt;='1-Input'!$C$12,'1-Input'!$B$12,0))+Q762*(1-'P-Parametri'!$B$6*P762))*(1+'1-Input'!$B$27))</f>
        <v>36628.737843878102</v>
      </c>
      <c r="S762" s="18">
        <f>IF($A762&gt;('1-Input'!$B$26-2),U761,(U761-Q762)*(1+'5-Roberta'!$C$4))</f>
        <v>16461.737047236511</v>
      </c>
      <c r="T762" s="18">
        <f>IF($A762&gt;('1-Input'!$B$26-2),R762,R762-'P-Parametri'!$B$8*(S762+R762)+MIN(MAX(S762,0),'P-Parametri'!$B$8*(S762+R762)))</f>
        <v>36628.737843878102</v>
      </c>
      <c r="U762" s="18">
        <f>IF($A762&gt;('1-Input'!$B$26-2),S762,S762-MIN(MAX(S762,0),'P-Parametri'!$B$8*(S762+R762)))</f>
        <v>16355.556097454282</v>
      </c>
      <c r="V762" s="18">
        <f>IF($A762&gt;('1-Input'!$B$26-2),V761,V761-Q762*(1-P762))</f>
        <v>5157.6109356388615</v>
      </c>
      <c r="W762" s="11">
        <f>IF($A762&gt;('1-Input'!$B$26-2),0,IF(AB761&lt;=0,0,MAX(0,(AB761-AC761)/AB761)))</f>
        <v>0.67853576223810907</v>
      </c>
      <c r="X762" s="18">
        <f>IF($A762&gt;('1-Input'!$B$26-2),0,(MAX(0,W726-IF($A762&gt;='1-Input'!$C$12,'1-Input'!$B$12,0))-MIN(MAX(AA761,0),MAX(0,W726-IF($A762&gt;='1-Input'!$C$12,'1-Input'!$B$12,0))))*(1/(1-'P-Parametri'!$B$6*W762))+MIN(MAX(0,AB761-(MAX(0,W726-IF($A762&gt;='1-Input'!$C$12,'1-Input'!$B$12,0))-MIN(MAX(AA761,0),MAX(0,W726-IF($A762&gt;='1-Input'!$C$12,'1-Input'!$B$12,0))))*(1/(1-'P-Parametri'!$B$6*W762))),MAX(0,2*W726-(AA761-MIN(MAX(AA761,0),MAX(0,W726-IF($A762&gt;='1-Input'!$C$12,'1-Input'!$B$12,0)))))*(1/(1-'P-Parametri'!$B$6*W762))))</f>
        <v>8721.9607836289542</v>
      </c>
      <c r="Y762" s="18">
        <f>IF($A762&gt;('1-Input'!$B$26-2),AA761,(AA761-MAX(0,W726-IF($A762&gt;='1-Input'!$C$12,'1-Input'!$B$12,0))+X762*(1-'P-Parametri'!$B$6*W762))*(1+'1-Input'!$B$27))</f>
        <v>36178.339405303268</v>
      </c>
      <c r="Z762" s="18">
        <f>IF($A762&gt;('1-Input'!$B$26-2),AB761,(AB761-X762)*(1+'5-Roberta'!$C$4))</f>
        <v>32392.432964140691</v>
      </c>
      <c r="AA762" s="18">
        <f>IF($A762&gt;('1-Input'!$B$26-2),Y762,Y762-'P-Parametri'!$B$8*(Z762+Y762)+MIN(MAX(Z762,0),'P-Parametri'!$B$8*(Z762+Y762)))</f>
        <v>36178.339405303268</v>
      </c>
      <c r="AB762" s="18">
        <f>IF($A762&gt;('1-Input'!$B$26-2),Z762,Z762-MIN(MAX(Z762,0),'P-Parametri'!$B$8*(Z762+Y762)))</f>
        <v>32255.291419401805</v>
      </c>
      <c r="AC762" s="18">
        <f>IF($A762&gt;('1-Input'!$B$26-2),AC761,AC761-X762*(1-W762))</f>
        <v>10109.71725443751</v>
      </c>
      <c r="AD762" s="11">
        <f>IF($A762&gt;('1-Input'!$B$26-2),0,IF(AI761&lt;=0,0,MAX(0,(AI761-AJ761)/AI761)))</f>
        <v>0.67859408081554473</v>
      </c>
      <c r="AE762" s="18">
        <f>IF($A762&gt;('1-Input'!$B$26-2),0,(MAX(0,AD726-IF($A762&gt;='1-Input'!$C$12,'1-Input'!$B$12,0))-MIN(MAX(AH761,0),MAX(0,AD726-IF($A762&gt;='1-Input'!$C$12,'1-Input'!$B$12,0))))*(1/(1-'P-Parametri'!$B$6*AD762))+MIN(MAX(0,AI761-(MAX(0,AD726-IF($A762&gt;='1-Input'!$C$12,'1-Input'!$B$12,0))-MIN(MAX(AH761,0),MAX(0,AD726-IF($A762&gt;='1-Input'!$C$12,'1-Input'!$B$12,0))))*(1/(1-'P-Parametri'!$B$6*AD762))),MAX(0,2*AD726-(AH761-MIN(MAX(AH761,0),MAX(0,AD726-IF($A762&gt;='1-Input'!$C$12,'1-Input'!$B$12,0)))))*(1/(1-'P-Parametri'!$B$6*AD762))))</f>
        <v>8704.5608324925543</v>
      </c>
      <c r="AF762" s="18">
        <f>IF($A762&gt;('1-Input'!$B$26-2),AH761,(AH761-MAX(0,AD726-IF($A762&gt;='1-Input'!$C$12,'1-Input'!$B$12,0))+AE762*(1-'P-Parametri'!$B$6*AD762))*(1+'1-Input'!$B$27))</f>
        <v>36149.725057315343</v>
      </c>
      <c r="AG762" s="18">
        <f>IF($A762&gt;('1-Input'!$B$26-2),AI761,(AI761-AE762)*(1+'5-Roberta'!$C$4))</f>
        <v>33404.749332002655</v>
      </c>
      <c r="AH762" s="18">
        <f>IF($A762&gt;('1-Input'!$B$26-2),AF762,AF762-'P-Parametri'!$B$8*(AG762+AF762)+MIN(MAX(AG762,0),'P-Parametri'!$B$8*(AG762+AF762)))</f>
        <v>36149.725057315343</v>
      </c>
      <c r="AI762" s="18">
        <f>IF($A762&gt;('1-Input'!$B$26-2),AG762,AG762-MIN(MAX(AG762,0),'P-Parametri'!$B$8*(AG762+AF762)))</f>
        <v>33265.640383224018</v>
      </c>
      <c r="AJ762" s="18">
        <f>IF($A762&gt;('1-Input'!$B$26-2),AJ761,AJ761-AE762*(1-AD762))</f>
        <v>10423.77103318314</v>
      </c>
      <c r="AK762" s="11">
        <f>IF($A762&gt;('1-Input'!$B$26-2),0,IF(AP761&lt;=0,0,MAX(0,(AP761-AQ761)/AP761)))</f>
        <v>0.67859437976271797</v>
      </c>
      <c r="AL762" s="18">
        <f>IF($A762&gt;('1-Input'!$B$26-2),0,(MAX(0,AK726-IF($A762&gt;='1-Input'!$C$12,'1-Input'!$B$12,0))-MIN(MAX(AO761,0),MAX(0,AK726-IF($A762&gt;='1-Input'!$C$12,'1-Input'!$B$12,0))))*(1/(1-'P-Parametri'!$B$6*AK762))+MIN(MAX(0,AP761-(MAX(0,AK726-IF($A762&gt;='1-Input'!$C$12,'1-Input'!$B$12,0))-MIN(MAX(AO761,0),MAX(0,AK726-IF($A762&gt;='1-Input'!$C$12,'1-Input'!$B$12,0))))*(1/(1-'P-Parametri'!$B$6*AK762))),MAX(0,2*AK726-(AO761-MIN(MAX(AO761,0),MAX(0,AK726-IF($A762&gt;='1-Input'!$C$12,'1-Input'!$B$12,0)))))*(1/(1-'P-Parametri'!$B$6*AK762))))</f>
        <v>8704.4702945095651</v>
      </c>
      <c r="AM762" s="18">
        <f>IF($A762&gt;('1-Input'!$B$26-2),AO761,(AO761-MAX(0,AK726-IF($A762&gt;='1-Input'!$C$12,'1-Input'!$B$12,0))+AL762*(1-'P-Parametri'!$B$6*AK762))*(1+'1-Input'!$B$27))</f>
        <v>36149.576189835549</v>
      </c>
      <c r="AN762" s="18">
        <f>IF($A762&gt;('1-Input'!$B$26-2),AP761,(AP761-AL762)*(1+'5-Roberta'!$C$4))</f>
        <v>33410.016010087304</v>
      </c>
      <c r="AO762" s="18">
        <f>IF($A762&gt;('1-Input'!$B$26-2),AM762,AM762-'P-Parametri'!$B$8*(AN762+AM762)+MIN(MAX(AN762,0),'P-Parametri'!$B$8*(AN762+AM762)))</f>
        <v>36149.576189835549</v>
      </c>
      <c r="AP762" s="18">
        <f>IF($A762&gt;('1-Input'!$B$26-2),AN762,AN762-MIN(MAX(AN762,0),'P-Parametri'!$B$8*(AN762+AM762)))</f>
        <v>33270.896825687458</v>
      </c>
      <c r="AQ762" s="18">
        <f>IF($A762&gt;('1-Input'!$B$26-2),AQ761,AQ761-AL762*(1-AK762))</f>
        <v>10425.404774621004</v>
      </c>
    </row>
    <row r="763" spans="1:43">
      <c r="A763" s="10">
        <f>35</f>
        <v>35</v>
      </c>
      <c r="B763" s="11">
        <f>IF($A763&gt;('1-Input'!$B$26-2),0,IF(G762&lt;=0,0,MAX(0,(G762-H762)/G762)))</f>
        <v>0.68970511398260526</v>
      </c>
      <c r="C763" s="18">
        <f>IF($A763&gt;('1-Input'!$B$26-2),0,(MAX(0,B726-IF($A763&gt;='1-Input'!$C$12,'1-Input'!$B$12,0))-MIN(MAX(F762,0),MAX(0,B726-IF($A763&gt;='1-Input'!$C$12,'1-Input'!$B$12,0))))*(1/(1-'P-Parametri'!$B$6*B763))+MIN(MAX(0,G762-(MAX(0,B726-IF($A763&gt;='1-Input'!$C$12,'1-Input'!$B$12,0))-MIN(MAX(F762,0),MAX(0,B726-IF($A763&gt;='1-Input'!$C$12,'1-Input'!$B$12,0))))*(1/(1-'P-Parametri'!$B$6*B763))),MAX(0,2*B726-(F762-MIN(MAX(F762,0),MAX(0,B726-IF($A763&gt;='1-Input'!$C$12,'1-Input'!$B$12,0)))))*(1/(1-'P-Parametri'!$B$6*B763))))</f>
        <v>6944.463171299476</v>
      </c>
      <c r="D763" s="18">
        <f>IF($A763&gt;('1-Input'!$B$26-2),F762,(F762-MAX(0,B726-IF($A763&gt;='1-Input'!$C$12,'1-Input'!$B$12,0))+C763*(1-'P-Parametri'!$B$6*B763))*(1+'1-Input'!$B$27))</f>
        <v>33242.0070309863</v>
      </c>
      <c r="E763" s="18">
        <f>IF($A763&gt;('1-Input'!$B$26-2),G762,(G762-C763)*(1+'5-Roberta'!$C$4))</f>
        <v>132919.04006735678</v>
      </c>
      <c r="F763" s="18">
        <f>IF($A763&gt;('1-Input'!$B$26-2),D763,D763-'P-Parametri'!$B$8*(E763+D763)+MIN(MAX(E763,0),'P-Parametri'!$B$8*(E763+D763)))</f>
        <v>33242.0070309863</v>
      </c>
      <c r="G763" s="18">
        <f>IF($A763&gt;('1-Input'!$B$26-2),E763,E763-MIN(MAX(E763,0),'P-Parametri'!$B$8*(E763+D763)))</f>
        <v>132586.71797316009</v>
      </c>
      <c r="H763" s="18">
        <f>IF($A763&gt;('1-Input'!$B$26-2),H762,H762-C763*(1-B763))</f>
        <v>40042.813968196097</v>
      </c>
      <c r="I763" s="11">
        <f>IF($A763&gt;('1-Input'!$B$26-2),0,IF(N762&lt;=0,0,MAX(0,(N762-O762)/N762)))</f>
        <v>0</v>
      </c>
      <c r="J763" s="18">
        <f>IF($A763&gt;('1-Input'!$B$26-2),0,(MAX(0,I726-IF($A763&gt;='1-Input'!$C$12,'1-Input'!$B$12,0))-MIN(MAX(M762,0),MAX(0,I726-IF($A763&gt;='1-Input'!$C$12,'1-Input'!$B$12,0))))*(1/(1-'P-Parametri'!$B$6*I763))+MIN(MAX(0,N762-(MAX(0,I726-IF($A763&gt;='1-Input'!$C$12,'1-Input'!$B$12,0))-MIN(MAX(M762,0),MAX(0,I726-IF($A763&gt;='1-Input'!$C$12,'1-Input'!$B$12,0))))*(1/(1-'P-Parametri'!$B$6*I763))),MAX(0,2*I726-(M762-MIN(MAX(M762,0),MAX(0,I726-IF($A763&gt;='1-Input'!$C$12,'1-Input'!$B$12,0)))))*(1/(1-'P-Parametri'!$B$6*I763))))</f>
        <v>10846.756992928691</v>
      </c>
      <c r="K763" s="18">
        <f>IF($A763&gt;('1-Input'!$B$26-2),M762,(M762-MAX(0,I726-IF($A763&gt;='1-Input'!$C$12,'1-Input'!$B$12,0))+J763*(1-'P-Parametri'!$B$6*I763))*(1+'1-Input'!$B$27))</f>
        <v>0</v>
      </c>
      <c r="L763" s="18">
        <f>IF($A763&gt;('1-Input'!$B$26-2),N762,(N762-J763)*(1+'5-Roberta'!$C$4))</f>
        <v>-147430.26980044704</v>
      </c>
      <c r="M763" s="18">
        <f>IF($A763&gt;('1-Input'!$B$26-2),K763,K763-'P-Parametri'!$B$8*(L763+K763)+MIN(MAX(L763,0),'P-Parametri'!$B$8*(L763+K763)))</f>
        <v>0</v>
      </c>
      <c r="N763" s="18">
        <f>IF($A763&gt;('1-Input'!$B$26-2),L763,L763-MIN(MAX(L763,0),'P-Parametri'!$B$8*(L763+K763)))</f>
        <v>-147135.40926084615</v>
      </c>
      <c r="O763" s="18">
        <f>IF($A763&gt;('1-Input'!$B$26-2),O762,O762-J763*(1-I763))</f>
        <v>-123505.57817187347</v>
      </c>
      <c r="P763" s="11">
        <f>IF($A763&gt;('1-Input'!$B$26-2),0,IF(U762&lt;=0,0,MAX(0,(U762-V762)/U762)))</f>
        <v>0.68465695052449871</v>
      </c>
      <c r="Q763" s="18">
        <f>IF($A763&gt;('1-Input'!$B$26-2),0,(MAX(0,P726-IF($A763&gt;='1-Input'!$C$12,'1-Input'!$B$12,0))-MIN(MAX(T762,0),MAX(0,P726-IF($A763&gt;='1-Input'!$C$12,'1-Input'!$B$12,0))))*(1/(1-'P-Parametri'!$B$6*P763))+MIN(MAX(0,U762-(MAX(0,P726-IF($A763&gt;='1-Input'!$C$12,'1-Input'!$B$12,0))-MIN(MAX(T762,0),MAX(0,P726-IF($A763&gt;='1-Input'!$C$12,'1-Input'!$B$12,0))))*(1/(1-'P-Parametri'!$B$6*P763))),MAX(0,2*P726-(T762-MIN(MAX(T762,0),MAX(0,P726-IF($A763&gt;='1-Input'!$C$12,'1-Input'!$B$12,0)))))*(1/(1-'P-Parametri'!$B$6*P763))))</f>
        <v>9015.7861027698673</v>
      </c>
      <c r="R763" s="18">
        <f>IF($A763&gt;('1-Input'!$B$26-2),T762,(T762-MAX(0,P726-IF($A763&gt;='1-Input'!$C$12,'1-Input'!$B$12,0))+Q763*(1-'P-Parametri'!$B$6*P763))*(1+'1-Input'!$B$27))</f>
        <v>36628.737843878102</v>
      </c>
      <c r="S763" s="18">
        <f>IF($A763&gt;('1-Input'!$B$26-2),U762,(U762-Q763)*(1+'5-Roberta'!$C$4))</f>
        <v>7559.9630945249473</v>
      </c>
      <c r="T763" s="18">
        <f>IF($A763&gt;('1-Input'!$B$26-2),R763,R763-'P-Parametri'!$B$8*(S763+R763)+MIN(MAX(S763,0),'P-Parametri'!$B$8*(S763+R763)))</f>
        <v>36628.737843878102</v>
      </c>
      <c r="U763" s="18">
        <f>IF($A763&gt;('1-Input'!$B$26-2),S763,S763-MIN(MAX(S763,0),'P-Parametri'!$B$8*(S763+R763)))</f>
        <v>7471.585692648141</v>
      </c>
      <c r="V763" s="18">
        <f>IF($A763&gt;('1-Input'!$B$26-2),V762,V762-Q763*(1-P763))</f>
        <v>2314.5454525725663</v>
      </c>
      <c r="W763" s="11">
        <f>IF($A763&gt;('1-Input'!$B$26-2),0,IF(AB762&lt;=0,0,MAX(0,(AB762-AC762)/AB762)))</f>
        <v>0.68657182094605296</v>
      </c>
      <c r="X763" s="18">
        <f>IF($A763&gt;('1-Input'!$B$26-2),0,(MAX(0,W726-IF($A763&gt;='1-Input'!$C$12,'1-Input'!$B$12,0))-MIN(MAX(AA762,0),MAX(0,W726-IF($A763&gt;='1-Input'!$C$12,'1-Input'!$B$12,0))))*(1/(1-'P-Parametri'!$B$6*W763))+MIN(MAX(0,AB762-(MAX(0,W726-IF($A763&gt;='1-Input'!$C$12,'1-Input'!$B$12,0))-MIN(MAX(AA762,0),MAX(0,W726-IF($A763&gt;='1-Input'!$C$12,'1-Input'!$B$12,0))))*(1/(1-'P-Parametri'!$B$6*W763))),MAX(0,2*W726-(AA762-MIN(MAX(AA762,0),MAX(0,W726-IF($A763&gt;='1-Input'!$C$12,'1-Input'!$B$12,0)))))*(1/(1-'P-Parametri'!$B$6*W763))))</f>
        <v>8744.1441573620723</v>
      </c>
      <c r="Y763" s="18">
        <f>IF($A763&gt;('1-Input'!$B$26-2),AA762,(AA762-MAX(0,W726-IF($A763&gt;='1-Input'!$C$12,'1-Input'!$B$12,0))+X763*(1-'P-Parametri'!$B$6*W763))*(1+'1-Input'!$B$27))</f>
        <v>36178.339405303268</v>
      </c>
      <c r="Z763" s="18">
        <f>IF($A763&gt;('1-Input'!$B$26-2),AB762,(AB762-X763)*(1+'5-Roberta'!$C$4))</f>
        <v>24216.481679900924</v>
      </c>
      <c r="AA763" s="18">
        <f>IF($A763&gt;('1-Input'!$B$26-2),Y763,Y763-'P-Parametri'!$B$8*(Z763+Y763)+MIN(MAX(Z763,0),'P-Parametri'!$B$8*(Z763+Y763)))</f>
        <v>36178.339405303268</v>
      </c>
      <c r="AB763" s="18">
        <f>IF($A763&gt;('1-Input'!$B$26-2),Z763,Z763-MIN(MAX(Z763,0),'P-Parametri'!$B$8*(Z763+Y763)))</f>
        <v>24095.692037730514</v>
      </c>
      <c r="AC763" s="18">
        <f>IF($A763&gt;('1-Input'!$B$26-2),AC762,AC762-X763*(1-W763))</f>
        <v>7369.056073810305</v>
      </c>
      <c r="AD763" s="11">
        <f>IF($A763&gt;('1-Input'!$B$26-2),0,IF(AI762&lt;=0,0,MAX(0,(AI762-AJ762)/AI762)))</f>
        <v>0.68665052248806591</v>
      </c>
      <c r="AE763" s="18">
        <f>IF($A763&gt;('1-Input'!$B$26-2),0,(MAX(0,AD726-IF($A763&gt;='1-Input'!$C$12,'1-Input'!$B$12,0))-MIN(MAX(AH762,0),MAX(0,AD726-IF($A763&gt;='1-Input'!$C$12,'1-Input'!$B$12,0))))*(1/(1-'P-Parametri'!$B$6*AD763))+MIN(MAX(0,AI762-(MAX(0,AD726-IF($A763&gt;='1-Input'!$C$12,'1-Input'!$B$12,0))-MIN(MAX(AH762,0),MAX(0,AD726-IF($A763&gt;='1-Input'!$C$12,'1-Input'!$B$12,0))))*(1/(1-'P-Parametri'!$B$6*AD763))),MAX(0,2*AD726-(AH762-MIN(MAX(AH762,0),MAX(0,AD726-IF($A763&gt;='1-Input'!$C$12,'1-Input'!$B$12,0)))))*(1/(1-'P-Parametri'!$B$6*AD763))))</f>
        <v>8726.7566586866924</v>
      </c>
      <c r="AF763" s="18">
        <f>IF($A763&gt;('1-Input'!$B$26-2),AH762,(AH762-MAX(0,AD726-IF($A763&gt;='1-Input'!$C$12,'1-Input'!$B$12,0))+AE763*(1-'P-Parametri'!$B$6*AD763))*(1+'1-Input'!$B$27))</f>
        <v>36149.725057315343</v>
      </c>
      <c r="AG763" s="18">
        <f>IF($A763&gt;('1-Input'!$B$26-2),AI762,(AI762-AE763)*(1+'5-Roberta'!$C$4))</f>
        <v>25275.050236273444</v>
      </c>
      <c r="AH763" s="18">
        <f>IF($A763&gt;('1-Input'!$B$26-2),AF763,AF763-'P-Parametri'!$B$8*(AG763+AF763)+MIN(MAX(AG763,0),'P-Parametri'!$B$8*(AG763+AF763)))</f>
        <v>36149.725057315343</v>
      </c>
      <c r="AI763" s="18">
        <f>IF($A763&gt;('1-Input'!$B$26-2),AG763,AG763-MIN(MAX(AG763,0),'P-Parametri'!$B$8*(AG763+AF763)))</f>
        <v>25152.200685686268</v>
      </c>
      <c r="AJ763" s="18">
        <f>IF($A763&gt;('1-Input'!$B$26-2),AJ762,AJ762-AE763*(1-AD763))</f>
        <v>7689.2463938098736</v>
      </c>
      <c r="AK763" s="11">
        <f>IF($A763&gt;('1-Input'!$B$26-2),0,IF(AP762&lt;=0,0,MAX(0,(AP762-AQ762)/AP762)))</f>
        <v>0.68665092410217621</v>
      </c>
      <c r="AL763" s="18">
        <f>IF($A763&gt;('1-Input'!$B$26-2),0,(MAX(0,AK726-IF($A763&gt;='1-Input'!$C$12,'1-Input'!$B$12,0))-MIN(MAX(AO762,0),MAX(0,AK726-IF($A763&gt;='1-Input'!$C$12,'1-Input'!$B$12,0))))*(1/(1-'P-Parametri'!$B$6*AK763))+MIN(MAX(0,AP762-(MAX(0,AK726-IF($A763&gt;='1-Input'!$C$12,'1-Input'!$B$12,0))-MIN(MAX(AO762,0),MAX(0,AK726-IF($A763&gt;='1-Input'!$C$12,'1-Input'!$B$12,0))))*(1/(1-'P-Parametri'!$B$6*AK763))),MAX(0,2*AK726-(AO762-MIN(MAX(AO762,0),MAX(0,AK726-IF($A763&gt;='1-Input'!$C$12,'1-Input'!$B$12,0)))))*(1/(1-'P-Parametri'!$B$6*AK763))))</f>
        <v>8726.6661755102632</v>
      </c>
      <c r="AM763" s="18">
        <f>IF($A763&gt;('1-Input'!$B$26-2),AO762,(AO762-MAX(0,AK726-IF($A763&gt;='1-Input'!$C$12,'1-Input'!$B$12,0))+AL763*(1-'P-Parametri'!$B$6*AK763))*(1+'1-Input'!$B$27))</f>
        <v>36149.576189835549</v>
      </c>
      <c r="AN763" s="18">
        <f>IF($A763&gt;('1-Input'!$B$26-2),AP762,(AP762-AL763)*(1+'5-Roberta'!$C$4))</f>
        <v>25280.557569682514</v>
      </c>
      <c r="AO763" s="18">
        <f>IF($A763&gt;('1-Input'!$B$26-2),AM763,AM763-'P-Parametri'!$B$8*(AN763+AM763)+MIN(MAX(AN763,0),'P-Parametri'!$B$8*(AN763+AM763)))</f>
        <v>36149.576189835549</v>
      </c>
      <c r="AP763" s="18">
        <f>IF($A763&gt;('1-Input'!$B$26-2),AN763,AN763-MIN(MAX(AN763,0),'P-Parametri'!$B$8*(AN763+AM763)))</f>
        <v>25157.697302163477</v>
      </c>
      <c r="AQ763" s="18">
        <f>IF($A763&gt;('1-Input'!$B$26-2),AQ762,AQ762-AL763*(1-AK763))</f>
        <v>7690.9119928560667</v>
      </c>
    </row>
    <row r="764" spans="1:43">
      <c r="A764" s="10">
        <f>36</f>
        <v>36</v>
      </c>
      <c r="B764" s="11">
        <f>IF($A764&gt;('1-Input'!$B$26-2),0,IF(G763&lt;=0,0,MAX(0,(G763-H763)/G763)))</f>
        <v>0.69798774281220166</v>
      </c>
      <c r="C764" s="18">
        <f>IF($A764&gt;('1-Input'!$B$26-2),0,(MAX(0,B726-IF($A764&gt;='1-Input'!$C$12,'1-Input'!$B$12,0))-MIN(MAX(F763,0),MAX(0,B726-IF($A764&gt;='1-Input'!$C$12,'1-Input'!$B$12,0))))*(1/(1-'P-Parametri'!$B$6*B764))+MIN(MAX(0,G763-(MAX(0,B726-IF($A764&gt;='1-Input'!$C$12,'1-Input'!$B$12,0))-MIN(MAX(F763,0),MAX(0,B726-IF($A764&gt;='1-Input'!$C$12,'1-Input'!$B$12,0))))*(1/(1-'P-Parametri'!$B$6*B764))),MAX(0,2*B726-(F763-MIN(MAX(F763,0),MAX(0,B726-IF($A764&gt;='1-Input'!$C$12,'1-Input'!$B$12,0)))))*(1/(1-'P-Parametri'!$B$6*B764))))</f>
        <v>6962.7336211361671</v>
      </c>
      <c r="D764" s="18">
        <f>IF($A764&gt;('1-Input'!$B$26-2),F763,(F763-MAX(0,B726-IF($A764&gt;='1-Input'!$C$12,'1-Input'!$B$12,0))+C764*(1-'P-Parametri'!$B$6*B764))*(1+'1-Input'!$B$27))</f>
        <v>33242.0070309863</v>
      </c>
      <c r="E764" s="18">
        <f>IF($A764&gt;('1-Input'!$B$26-2),G763,(G763-C764)*(1+'5-Roberta'!$C$4))</f>
        <v>129392.70388258464</v>
      </c>
      <c r="F764" s="18">
        <f>IF($A764&gt;('1-Input'!$B$26-2),D764,D764-'P-Parametri'!$B$8*(E764+D764)+MIN(MAX(E764,0),'P-Parametri'!$B$8*(E764+D764)))</f>
        <v>33242.0070309863</v>
      </c>
      <c r="G764" s="18">
        <f>IF($A764&gt;('1-Input'!$B$26-2),E764,E764-MIN(MAX(E764,0),'P-Parametri'!$B$8*(E764+D764)))</f>
        <v>129067.4344607575</v>
      </c>
      <c r="H764" s="18">
        <f>IF($A764&gt;('1-Input'!$B$26-2),H763,H763-C764*(1-B764))</f>
        <v>37939.98307107939</v>
      </c>
      <c r="I764" s="11">
        <f>IF($A764&gt;('1-Input'!$B$26-2),0,IF(N763&lt;=0,0,MAX(0,(N763-O763)/N763)))</f>
        <v>0</v>
      </c>
      <c r="J764" s="18">
        <f>IF($A764&gt;('1-Input'!$B$26-2),0,(MAX(0,I726-IF($A764&gt;='1-Input'!$C$12,'1-Input'!$B$12,0))-MIN(MAX(M763,0),MAX(0,I726-IF($A764&gt;='1-Input'!$C$12,'1-Input'!$B$12,0))))*(1/(1-'P-Parametri'!$B$6*I764))+MIN(MAX(0,N763-(MAX(0,I726-IF($A764&gt;='1-Input'!$C$12,'1-Input'!$B$12,0))-MIN(MAX(M763,0),MAX(0,I726-IF($A764&gt;='1-Input'!$C$12,'1-Input'!$B$12,0))))*(1/(1-'P-Parametri'!$B$6*I764))),MAX(0,2*I726-(M763-MIN(MAX(M763,0),MAX(0,I726-IF($A764&gt;='1-Input'!$C$12,'1-Input'!$B$12,0)))))*(1/(1-'P-Parametri'!$B$6*I764))))</f>
        <v>10846.756992928691</v>
      </c>
      <c r="K764" s="18">
        <f>IF($A764&gt;('1-Input'!$B$26-2),M763,(M763-MAX(0,I726-IF($A764&gt;='1-Input'!$C$12,'1-Input'!$B$12,0))+J764*(1-'P-Parametri'!$B$6*I764))*(1+'1-Input'!$B$27))</f>
        <v>0</v>
      </c>
      <c r="L764" s="18">
        <f>IF($A764&gt;('1-Input'!$B$26-2),N763,(N763-J764)*(1+'5-Roberta'!$C$4))</f>
        <v>-162721.6312413881</v>
      </c>
      <c r="M764" s="18">
        <f>IF($A764&gt;('1-Input'!$B$26-2),K764,K764-'P-Parametri'!$B$8*(L764+K764)+MIN(MAX(L764,0),'P-Parametri'!$B$8*(L764+K764)))</f>
        <v>0</v>
      </c>
      <c r="N764" s="18">
        <f>IF($A764&gt;('1-Input'!$B$26-2),L764,L764-MIN(MAX(L764,0),'P-Parametri'!$B$8*(L764+K764)))</f>
        <v>-162396.18797890531</v>
      </c>
      <c r="O764" s="18">
        <f>IF($A764&gt;('1-Input'!$B$26-2),O763,O763-J764*(1-I764))</f>
        <v>-134352.33516480215</v>
      </c>
      <c r="P764" s="11">
        <f>IF($A764&gt;('1-Input'!$B$26-2),0,IF(U763&lt;=0,0,MAX(0,(U763-V763)/U763)))</f>
        <v>0.690220316304473</v>
      </c>
      <c r="Q764" s="18">
        <f>IF($A764&gt;('1-Input'!$B$26-2),0,(MAX(0,P726-IF($A764&gt;='1-Input'!$C$12,'1-Input'!$B$12,0))-MIN(MAX(T763,0),MAX(0,P726-IF($A764&gt;='1-Input'!$C$12,'1-Input'!$B$12,0))))*(1/(1-'P-Parametri'!$B$6*P764))+MIN(MAX(0,U763-(MAX(0,P726-IF($A764&gt;='1-Input'!$C$12,'1-Input'!$B$12,0))-MIN(MAX(T763,0),MAX(0,P726-IF($A764&gt;='1-Input'!$C$12,'1-Input'!$B$12,0))))*(1/(1-'P-Parametri'!$B$6*P764))),MAX(0,2*P726-(T763-MIN(MAX(T763,0),MAX(0,P726-IF($A764&gt;='1-Input'!$C$12,'1-Input'!$B$12,0)))))*(1/(1-'P-Parametri'!$B$6*P764))))</f>
        <v>7471.585692648141</v>
      </c>
      <c r="R764" s="18">
        <f>IF($A764&gt;('1-Input'!$B$26-2),T763,(T763-MAX(0,P726-IF($A764&gt;='1-Input'!$C$12,'1-Input'!$B$12,0))+Q764*(1-'P-Parametri'!$B$6*P764))*(1+'1-Input'!$B$27))</f>
        <v>35353.22277710076</v>
      </c>
      <c r="S764" s="18">
        <f>IF($A764&gt;('1-Input'!$B$26-2),U763,(U763-Q764)*(1+'5-Roberta'!$C$4))</f>
        <v>0</v>
      </c>
      <c r="T764" s="18">
        <f>IF($A764&gt;('1-Input'!$B$26-2),R764,R764-'P-Parametri'!$B$8*(S764+R764)+MIN(MAX(S764,0),'P-Parametri'!$B$8*(S764+R764)))</f>
        <v>35282.516331546562</v>
      </c>
      <c r="U764" s="18">
        <f>IF($A764&gt;('1-Input'!$B$26-2),S764,S764-MIN(MAX(S764,0),'P-Parametri'!$B$8*(S764+R764)))</f>
        <v>0</v>
      </c>
      <c r="V764" s="18">
        <f>IF($A764&gt;('1-Input'!$B$26-2),V763,V763-Q764*(1-P764))</f>
        <v>0</v>
      </c>
      <c r="W764" s="11">
        <f>IF($A764&gt;('1-Input'!$B$26-2),0,IF(AB763&lt;=0,0,MAX(0,(AB763-AC763)/AB763)))</f>
        <v>0.69417537117127059</v>
      </c>
      <c r="X764" s="18">
        <f>IF($A764&gt;('1-Input'!$B$26-2),0,(MAX(0,W726-IF($A764&gt;='1-Input'!$C$12,'1-Input'!$B$12,0))-MIN(MAX(AA763,0),MAX(0,W726-IF($A764&gt;='1-Input'!$C$12,'1-Input'!$B$12,0))))*(1/(1-'P-Parametri'!$B$6*W764))+MIN(MAX(0,AB763-(MAX(0,W726-IF($A764&gt;='1-Input'!$C$12,'1-Input'!$B$12,0))-MIN(MAX(AA763,0),MAX(0,W726-IF($A764&gt;='1-Input'!$C$12,'1-Input'!$B$12,0))))*(1/(1-'P-Parametri'!$B$6*W764))),MAX(0,2*W726-(AA763-MIN(MAX(AA763,0),MAX(0,W726-IF($A764&gt;='1-Input'!$C$12,'1-Input'!$B$12,0)))))*(1/(1-'P-Parametri'!$B$6*W764))))</f>
        <v>8765.2377466123653</v>
      </c>
      <c r="Y764" s="18">
        <f>IF($A764&gt;('1-Input'!$B$26-2),AA763,(AA763-MAX(0,W726-IF($A764&gt;='1-Input'!$C$12,'1-Input'!$B$12,0))+X764*(1-'P-Parametri'!$B$6*W764))*(1+'1-Input'!$B$27))</f>
        <v>36178.339405303268</v>
      </c>
      <c r="Z764" s="18">
        <f>IF($A764&gt;('1-Input'!$B$26-2),AB763,(AB763-X764)*(1+'5-Roberta'!$C$4))</f>
        <v>15790.367919851693</v>
      </c>
      <c r="AA764" s="18">
        <f>IF($A764&gt;('1-Input'!$B$26-2),Y764,Y764-'P-Parametri'!$B$8*(Z764+Y764)+MIN(MAX(Z764,0),'P-Parametri'!$B$8*(Z764+Y764)))</f>
        <v>36178.339405303268</v>
      </c>
      <c r="AB764" s="18">
        <f>IF($A764&gt;('1-Input'!$B$26-2),Z764,Z764-MIN(MAX(Z764,0),'P-Parametri'!$B$8*(Z764+Y764)))</f>
        <v>15686.430505201382</v>
      </c>
      <c r="AC764" s="18">
        <f>IF($A764&gt;('1-Input'!$B$26-2),AC763,AC763-X764*(1-W764))</f>
        <v>4688.4304933570093</v>
      </c>
      <c r="AD764" s="11">
        <f>IF($A764&gt;('1-Input'!$B$26-2),0,IF(AI763&lt;=0,0,MAX(0,(AI763-AJ763)/AI763)))</f>
        <v>0.69429130715445886</v>
      </c>
      <c r="AE764" s="18">
        <f>IF($A764&gt;('1-Input'!$B$26-2),0,(MAX(0,AD726-IF($A764&gt;='1-Input'!$C$12,'1-Input'!$B$12,0))-MIN(MAX(AH763,0),MAX(0,AD726-IF($A764&gt;='1-Input'!$C$12,'1-Input'!$B$12,0))))*(1/(1-'P-Parametri'!$B$6*AD764))+MIN(MAX(0,AI763-(MAX(0,AD726-IF($A764&gt;='1-Input'!$C$12,'1-Input'!$B$12,0))-MIN(MAX(AH763,0),MAX(0,AD726-IF($A764&gt;='1-Input'!$C$12,'1-Input'!$B$12,0))))*(1/(1-'P-Parametri'!$B$6*AD764))),MAX(0,2*AD726-(AH763-MIN(MAX(AH763,0),MAX(0,AD726-IF($A764&gt;='1-Input'!$C$12,'1-Input'!$B$12,0)))))*(1/(1-'P-Parametri'!$B$6*AD764))))</f>
        <v>8747.9121715429756</v>
      </c>
      <c r="AF764" s="18">
        <f>IF($A764&gt;('1-Input'!$B$26-2),AH763,(AH763-MAX(0,AD726-IF($A764&gt;='1-Input'!$C$12,'1-Input'!$B$12,0))+AE764*(1-'P-Parametri'!$B$6*AD764))*(1+'1-Input'!$B$27))</f>
        <v>36149.725057315343</v>
      </c>
      <c r="AG764" s="18">
        <f>IF($A764&gt;('1-Input'!$B$26-2),AI763,(AI763-AE764)*(1+'5-Roberta'!$C$4))</f>
        <v>16896.41716956759</v>
      </c>
      <c r="AH764" s="18">
        <f>IF($A764&gt;('1-Input'!$B$26-2),AF764,AF764-'P-Parametri'!$B$8*(AG764+AF764)+MIN(MAX(AG764,0),'P-Parametri'!$B$8*(AG764+AF764)))</f>
        <v>36149.725057315343</v>
      </c>
      <c r="AI764" s="18">
        <f>IF($A764&gt;('1-Input'!$B$26-2),AG764,AG764-MIN(MAX(AG764,0),'P-Parametri'!$B$8*(AG764+AF764)))</f>
        <v>16790.324885113823</v>
      </c>
      <c r="AJ764" s="18">
        <f>IF($A764&gt;('1-Input'!$B$26-2),AJ763,AJ763-AE764*(1-AD764))</f>
        <v>5014.933598719871</v>
      </c>
      <c r="AK764" s="11">
        <f>IF($A764&gt;('1-Input'!$B$26-2),0,IF(AP763&lt;=0,0,MAX(0,(AP763-AQ763)/AP763)))</f>
        <v>0.69429189402820757</v>
      </c>
      <c r="AL764" s="18">
        <f>IF($A764&gt;('1-Input'!$B$26-2),0,(MAX(0,AK726-IF($A764&gt;='1-Input'!$C$12,'1-Input'!$B$12,0))-MIN(MAX(AO763,0),MAX(0,AK726-IF($A764&gt;='1-Input'!$C$12,'1-Input'!$B$12,0))))*(1/(1-'P-Parametri'!$B$6*AK764))+MIN(MAX(0,AP763-(MAX(0,AK726-IF($A764&gt;='1-Input'!$C$12,'1-Input'!$B$12,0))-MIN(MAX(AO763,0),MAX(0,AK726-IF($A764&gt;='1-Input'!$C$12,'1-Input'!$B$12,0))))*(1/(1-'P-Parametri'!$B$6*AK764))),MAX(0,2*AK726-(AO763-MIN(MAX(AO763,0),MAX(0,AK726-IF($A764&gt;='1-Input'!$C$12,'1-Input'!$B$12,0)))))*(1/(1-'P-Parametri'!$B$6*AK764))))</f>
        <v>8747.8219858897828</v>
      </c>
      <c r="AM764" s="18">
        <f>IF($A764&gt;('1-Input'!$B$26-2),AO763,(AO763-MAX(0,AK726-IF($A764&gt;='1-Input'!$C$12,'1-Input'!$B$12,0))+AL764*(1-'P-Parametri'!$B$6*AK764))*(1+'1-Input'!$B$27))</f>
        <v>36149.576189835549</v>
      </c>
      <c r="AN764" s="18">
        <f>IF($A764&gt;('1-Input'!$B$26-2),AP763,(AP763-AL764)*(1+'5-Roberta'!$C$4))</f>
        <v>16902.171575761906</v>
      </c>
      <c r="AO764" s="18">
        <f>IF($A764&gt;('1-Input'!$B$26-2),AM764,AM764-'P-Parametri'!$B$8*(AN764+AM764)+MIN(MAX(AN764,0),'P-Parametri'!$B$8*(AN764+AM764)))</f>
        <v>36149.576189835549</v>
      </c>
      <c r="AP764" s="18">
        <f>IF($A764&gt;('1-Input'!$B$26-2),AN764,AN764-MIN(MAX(AN764,0),'P-Parametri'!$B$8*(AN764+AM764)))</f>
        <v>16796.068080230711</v>
      </c>
      <c r="AQ764" s="18">
        <f>IF($A764&gt;('1-Input'!$B$26-2),AQ763,AQ763-AL764*(1-AK764))</f>
        <v>5016.631902171297</v>
      </c>
    </row>
    <row r="765" spans="1:43">
      <c r="A765" s="10">
        <f>37</f>
        <v>37</v>
      </c>
      <c r="B765" s="11">
        <f>IF($A765&gt;('1-Input'!$B$26-2),0,IF(G764&lt;=0,0,MAX(0,(G764-H764)/G764)))</f>
        <v>0.7060452682770656</v>
      </c>
      <c r="C765" s="18">
        <f>IF($A765&gt;('1-Input'!$B$26-2),0,(MAX(0,B726-IF($A765&gt;='1-Input'!$C$12,'1-Input'!$B$12,0))-MIN(MAX(F764,0),MAX(0,B726-IF($A765&gt;='1-Input'!$C$12,'1-Input'!$B$12,0))))*(1/(1-'P-Parametri'!$B$6*B765))+MIN(MAX(0,G764-(MAX(0,B726-IF($A765&gt;='1-Input'!$C$12,'1-Input'!$B$12,0))-MIN(MAX(F764,0),MAX(0,B726-IF($A765&gt;='1-Input'!$C$12,'1-Input'!$B$12,0))))*(1/(1-'P-Parametri'!$B$6*B765))),MAX(0,2*B726-(F764-MIN(MAX(F764,0),MAX(0,B726-IF($A765&gt;='1-Input'!$C$12,'1-Input'!$B$12,0)))))*(1/(1-'P-Parametri'!$B$6*B765))))</f>
        <v>6980.6000108058215</v>
      </c>
      <c r="D765" s="18">
        <f>IF($A765&gt;('1-Input'!$B$26-2),F764,(F764-MAX(0,B726-IF($A765&gt;='1-Input'!$C$12,'1-Input'!$B$12,0))+C765*(1-'P-Parametri'!$B$6*B765))*(1+'1-Input'!$B$27))</f>
        <v>33242.0070309863</v>
      </c>
      <c r="E765" s="18">
        <f>IF($A765&gt;('1-Input'!$B$26-2),G764,(G764-C765)*(1+'5-Roberta'!$C$4))</f>
        <v>125749.43948345023</v>
      </c>
      <c r="F765" s="18">
        <f>IF($A765&gt;('1-Input'!$B$26-2),D765,D765-'P-Parametri'!$B$8*(E765+D765)+MIN(MAX(E765,0),'P-Parametri'!$B$8*(E765+D765)))</f>
        <v>33242.0070309863</v>
      </c>
      <c r="G765" s="18">
        <f>IF($A765&gt;('1-Input'!$B$26-2),E765,E765-MIN(MAX(E765,0),'P-Parametri'!$B$8*(E765+D765)))</f>
        <v>125431.45659042135</v>
      </c>
      <c r="H765" s="18">
        <f>IF($A765&gt;('1-Input'!$B$26-2),H764,H764-C765*(1-B765))</f>
        <v>35888.002667637855</v>
      </c>
      <c r="I765" s="11">
        <f>IF($A765&gt;('1-Input'!$B$26-2),0,IF(N764&lt;=0,0,MAX(0,(N764-O764)/N764)))</f>
        <v>0</v>
      </c>
      <c r="J765" s="18">
        <f>IF($A765&gt;('1-Input'!$B$26-2),0,(MAX(0,I726-IF($A765&gt;='1-Input'!$C$12,'1-Input'!$B$12,0))-MIN(MAX(M764,0),MAX(0,I726-IF($A765&gt;='1-Input'!$C$12,'1-Input'!$B$12,0))))*(1/(1-'P-Parametri'!$B$6*I765))+MIN(MAX(0,N764-(MAX(0,I726-IF($A765&gt;='1-Input'!$C$12,'1-Input'!$B$12,0))-MIN(MAX(M764,0),MAX(0,I726-IF($A765&gt;='1-Input'!$C$12,'1-Input'!$B$12,0))))*(1/(1-'P-Parametri'!$B$6*I765))),MAX(0,2*I726-(M764-MIN(MAX(M764,0),MAX(0,I726-IF($A765&gt;='1-Input'!$C$12,'1-Input'!$B$12,0)))))*(1/(1-'P-Parametri'!$B$6*I765))))</f>
        <v>10846.756992928691</v>
      </c>
      <c r="K765" s="18">
        <f>IF($A765&gt;('1-Input'!$B$26-2),M764,(M764-MAX(0,I726-IF($A765&gt;='1-Input'!$C$12,'1-Input'!$B$12,0))+J765*(1-'P-Parametri'!$B$6*I765))*(1+'1-Input'!$B$27))</f>
        <v>0</v>
      </c>
      <c r="L765" s="18">
        <f>IF($A765&gt;('1-Input'!$B$26-2),N764,(N764-J765)*(1+'5-Roberta'!$C$4))</f>
        <v>-178440.23332098901</v>
      </c>
      <c r="M765" s="18">
        <f>IF($A765&gt;('1-Input'!$B$26-2),K765,K765-'P-Parametri'!$B$8*(L765+K765)+MIN(MAX(L765,0),'P-Parametri'!$B$8*(L765+K765)))</f>
        <v>0</v>
      </c>
      <c r="N765" s="18">
        <f>IF($A765&gt;('1-Input'!$B$26-2),L765,L765-MIN(MAX(L765,0),'P-Parametri'!$B$8*(L765+K765)))</f>
        <v>-178083.35285434703</v>
      </c>
      <c r="O765" s="18">
        <f>IF($A765&gt;('1-Input'!$B$26-2),O764,O764-J765*(1-I765))</f>
        <v>-145199.09215773083</v>
      </c>
      <c r="P765" s="11">
        <f>IF($A765&gt;('1-Input'!$B$26-2),0,IF(U764&lt;=0,0,MAX(0,(U764-V764)/U764)))</f>
        <v>0</v>
      </c>
      <c r="Q765" s="18">
        <f>IF($A765&gt;('1-Input'!$B$26-2),0,(MAX(0,P726-IF($A765&gt;='1-Input'!$C$12,'1-Input'!$B$12,0))-MIN(MAX(T764,0),MAX(0,P726-IF($A765&gt;='1-Input'!$C$12,'1-Input'!$B$12,0))))*(1/(1-'P-Parametri'!$B$6*P765))+MIN(MAX(0,U764-(MAX(0,P726-IF($A765&gt;='1-Input'!$C$12,'1-Input'!$B$12,0))-MIN(MAX(T764,0),MAX(0,P726-IF($A765&gt;='1-Input'!$C$12,'1-Input'!$B$12,0))))*(1/(1-'P-Parametri'!$B$6*P765))),MAX(0,2*P726-(T764-MIN(MAX(T764,0),MAX(0,P726-IF($A765&gt;='1-Input'!$C$12,'1-Input'!$B$12,0)))))*(1/(1-'P-Parametri'!$B$6*P765))))</f>
        <v>0</v>
      </c>
      <c r="R765" s="18">
        <f>IF($A765&gt;('1-Input'!$B$26-2),T764,(T764-MAX(0,P726-IF($A765&gt;='1-Input'!$C$12,'1-Input'!$B$12,0))+Q765*(1-'P-Parametri'!$B$6*P765))*(1+'1-Input'!$B$27))</f>
        <v>27903.163150813944</v>
      </c>
      <c r="S765" s="18">
        <f>IF($A765&gt;('1-Input'!$B$26-2),U764,(U764-Q765)*(1+'5-Roberta'!$C$4))</f>
        <v>0</v>
      </c>
      <c r="T765" s="18">
        <f>IF($A765&gt;('1-Input'!$B$26-2),R765,R765-'P-Parametri'!$B$8*(S765+R765)+MIN(MAX(S765,0),'P-Parametri'!$B$8*(S765+R765)))</f>
        <v>27847.356824512317</v>
      </c>
      <c r="U765" s="18">
        <f>IF($A765&gt;('1-Input'!$B$26-2),S765,S765-MIN(MAX(S765,0),'P-Parametri'!$B$8*(S765+R765)))</f>
        <v>0</v>
      </c>
      <c r="V765" s="18">
        <f>IF($A765&gt;('1-Input'!$B$26-2),V764,V764-Q765*(1-P765))</f>
        <v>0</v>
      </c>
      <c r="W765" s="11">
        <f>IF($A765&gt;('1-Input'!$B$26-2),0,IF(AB764&lt;=0,0,MAX(0,(AB764-AC764)/AB764)))</f>
        <v>0.70111552836686475</v>
      </c>
      <c r="X765" s="18">
        <f>IF($A765&gt;('1-Input'!$B$26-2),0,(MAX(0,W726-IF($A765&gt;='1-Input'!$C$12,'1-Input'!$B$12,0))-MIN(MAX(AA764,0),MAX(0,W726-IF($A765&gt;='1-Input'!$C$12,'1-Input'!$B$12,0))))*(1/(1-'P-Parametri'!$B$6*W765))+MIN(MAX(0,AB764-(MAX(0,W726-IF($A765&gt;='1-Input'!$C$12,'1-Input'!$B$12,0))-MIN(MAX(AA764,0),MAX(0,W726-IF($A765&gt;='1-Input'!$C$12,'1-Input'!$B$12,0))))*(1/(1-'P-Parametri'!$B$6*W765))),MAX(0,2*W726-(AA764-MIN(MAX(AA764,0),MAX(0,W726-IF($A765&gt;='1-Input'!$C$12,'1-Input'!$B$12,0)))))*(1/(1-'P-Parametri'!$B$6*W765))))</f>
        <v>8784.5799999242572</v>
      </c>
      <c r="Y765" s="18">
        <f>IF($A765&gt;('1-Input'!$B$26-2),AA764,(AA764-MAX(0,W726-IF($A765&gt;='1-Input'!$C$12,'1-Input'!$B$12,0))+X765*(1-'P-Parametri'!$B$6*W765))*(1+'1-Input'!$B$27))</f>
        <v>36178.339405303268</v>
      </c>
      <c r="Z765" s="18">
        <f>IF($A765&gt;('1-Input'!$B$26-2),AB764,(AB764-X765)*(1+'5-Roberta'!$C$4))</f>
        <v>7108.9060204354391</v>
      </c>
      <c r="AA765" s="18">
        <f>IF($A765&gt;('1-Input'!$B$26-2),Y765,Y765-'P-Parametri'!$B$8*(Z765+Y765)+MIN(MAX(Z765,0),'P-Parametri'!$B$8*(Z765+Y765)))</f>
        <v>36178.339405303268</v>
      </c>
      <c r="AB765" s="18">
        <f>IF($A765&gt;('1-Input'!$B$26-2),Z765,Z765-MIN(MAX(Z765,0),'P-Parametri'!$B$8*(Z765+Y765)))</f>
        <v>7022.331529583962</v>
      </c>
      <c r="AC765" s="18">
        <f>IF($A765&gt;('1-Input'!$B$26-2),AC764,AC764-X765*(1-W765))</f>
        <v>2062.8559415606405</v>
      </c>
      <c r="AD765" s="11">
        <f>IF($A765&gt;('1-Input'!$B$26-2),0,IF(AI764&lt;=0,0,MAX(0,(AI764-AJ764)/AI764)))</f>
        <v>0.70132003799604414</v>
      </c>
      <c r="AE765" s="18">
        <f>IF($A765&gt;('1-Input'!$B$26-2),0,(MAX(0,AD726-IF($A765&gt;='1-Input'!$C$12,'1-Input'!$B$12,0))-MIN(MAX(AH764,0),MAX(0,AD726-IF($A765&gt;='1-Input'!$C$12,'1-Input'!$B$12,0))))*(1/(1-'P-Parametri'!$B$6*AD765))+MIN(MAX(0,AI764-(MAX(0,AD726-IF($A765&gt;='1-Input'!$C$12,'1-Input'!$B$12,0))-MIN(MAX(AH764,0),MAX(0,AD726-IF($A765&gt;='1-Input'!$C$12,'1-Input'!$B$12,0))))*(1/(1-'P-Parametri'!$B$6*AD765))),MAX(0,2*AD726-(AH764-MIN(MAX(AH764,0),MAX(0,AD726-IF($A765&gt;='1-Input'!$C$12,'1-Input'!$B$12,0)))))*(1/(1-'P-Parametri'!$B$6*AD765))))</f>
        <v>8767.4638311315066</v>
      </c>
      <c r="AF765" s="18">
        <f>IF($A765&gt;('1-Input'!$B$26-2),AH764,(AH764-MAX(0,AD726-IF($A765&gt;='1-Input'!$C$12,'1-Input'!$B$12,0))+AE765*(1-'P-Parametri'!$B$6*AD765))*(1+'1-Input'!$B$27))</f>
        <v>36149.725057315343</v>
      </c>
      <c r="AG765" s="18">
        <f>IF($A765&gt;('1-Input'!$B$26-2),AI764,(AI764-AE765)*(1+'5-Roberta'!$C$4))</f>
        <v>8263.5468856017869</v>
      </c>
      <c r="AH765" s="18">
        <f>IF($A765&gt;('1-Input'!$B$26-2),AF765,AF765-'P-Parametri'!$B$8*(AG765+AF765)+MIN(MAX(AG765,0),'P-Parametri'!$B$8*(AG765+AF765)))</f>
        <v>36149.725057315343</v>
      </c>
      <c r="AI765" s="18">
        <f>IF($A765&gt;('1-Input'!$B$26-2),AG765,AG765-MIN(MAX(AG765,0),'P-Parametri'!$B$8*(AG765+AF765)))</f>
        <v>8174.7203417159526</v>
      </c>
      <c r="AJ765" s="18">
        <f>IF($A765&gt;('1-Input'!$B$26-2),AJ764,AJ764-AE765*(1-AD765))</f>
        <v>2396.2678347664555</v>
      </c>
      <c r="AK765" s="11">
        <f>IF($A765&gt;('1-Input'!$B$26-2),0,IF(AP764&lt;=0,0,MAX(0,(AP764-AQ764)/AP764)))</f>
        <v>0.70132105453442595</v>
      </c>
      <c r="AL765" s="18">
        <f>IF($A765&gt;('1-Input'!$B$26-2),0,(MAX(0,AK726-IF($A765&gt;='1-Input'!$C$12,'1-Input'!$B$12,0))-MIN(MAX(AO764,0),MAX(0,AK726-IF($A765&gt;='1-Input'!$C$12,'1-Input'!$B$12,0))))*(1/(1-'P-Parametri'!$B$6*AK765))+MIN(MAX(0,AP764-(MAX(0,AK726-IF($A765&gt;='1-Input'!$C$12,'1-Input'!$B$12,0))-MIN(MAX(AO764,0),MAX(0,AK726-IF($A765&gt;='1-Input'!$C$12,'1-Input'!$B$12,0))))*(1/(1-'P-Parametri'!$B$6*AK765))),MAX(0,2*AK726-(AO764-MIN(MAX(AO764,0),MAX(0,AK726-IF($A765&gt;='1-Input'!$C$12,'1-Input'!$B$12,0)))))*(1/(1-'P-Parametri'!$B$6*AK765))))</f>
        <v>8767.3746454087577</v>
      </c>
      <c r="AM765" s="18">
        <f>IF($A765&gt;('1-Input'!$B$26-2),AO764,(AO764-MAX(0,AK726-IF($A765&gt;='1-Input'!$C$12,'1-Input'!$B$12,0))+AL765*(1-'P-Parametri'!$B$6*AK765))*(1+'1-Input'!$B$27))</f>
        <v>36149.576189835549</v>
      </c>
      <c r="AN765" s="18">
        <f>IF($A765&gt;('1-Input'!$B$26-2),AP764,(AP764-AL765)*(1+'5-Roberta'!$C$4))</f>
        <v>8269.5542378666123</v>
      </c>
      <c r="AO765" s="18">
        <f>IF($A765&gt;('1-Input'!$B$26-2),AM765,AM765-'P-Parametri'!$B$8*(AN765+AM765)+MIN(MAX(AN765,0),'P-Parametri'!$B$8*(AN765+AM765)))</f>
        <v>36149.576189835549</v>
      </c>
      <c r="AP765" s="18">
        <f>IF($A765&gt;('1-Input'!$B$26-2),AN765,AN765-MIN(MAX(AN765,0),'P-Parametri'!$B$8*(AN765+AM765)))</f>
        <v>8180.7159770112075</v>
      </c>
      <c r="AQ765" s="18">
        <f>IF($A765&gt;('1-Input'!$B$26-2),AQ764,AQ764-AL765*(1-AK765))</f>
        <v>2398.0016885789983</v>
      </c>
    </row>
    <row r="766" spans="1:43">
      <c r="A766" s="10">
        <f>38</f>
        <v>38</v>
      </c>
      <c r="B766" s="11">
        <f>IF($A766&gt;('1-Input'!$B$26-2),0,IF(G765&lt;=0,0,MAX(0,(G765-H765)/G765)))</f>
        <v>0.71388355327144892</v>
      </c>
      <c r="C766" s="18">
        <f>IF($A766&gt;('1-Input'!$B$26-2),0,(MAX(0,B726-IF($A766&gt;='1-Input'!$C$12,'1-Input'!$B$12,0))-MIN(MAX(F765,0),MAX(0,B726-IF($A766&gt;='1-Input'!$C$12,'1-Input'!$B$12,0))))*(1/(1-'P-Parametri'!$B$6*B766))+MIN(MAX(0,G765-(MAX(0,B726-IF($A766&gt;='1-Input'!$C$12,'1-Input'!$B$12,0))-MIN(MAX(F765,0),MAX(0,B726-IF($A766&gt;='1-Input'!$C$12,'1-Input'!$B$12,0))))*(1/(1-'P-Parametri'!$B$6*B766))),MAX(0,2*B726-(F765-MIN(MAX(F765,0),MAX(0,B726-IF($A766&gt;='1-Input'!$C$12,'1-Input'!$B$12,0)))))*(1/(1-'P-Parametri'!$B$6*B766))))</f>
        <v>6998.0684688890278</v>
      </c>
      <c r="D766" s="18">
        <f>IF($A766&gt;('1-Input'!$B$26-2),F765,(F765-MAX(0,B726-IF($A766&gt;='1-Input'!$C$12,'1-Input'!$B$12,0))+C766*(1-'P-Parametri'!$B$6*B766))*(1+'1-Input'!$B$27))</f>
        <v>33242.0070309863</v>
      </c>
      <c r="E766" s="18">
        <f>IF($A766&gt;('1-Input'!$B$26-2),G765,(G765-C766)*(1+'5-Roberta'!$C$4))</f>
        <v>121986.38976517829</v>
      </c>
      <c r="F766" s="18">
        <f>IF($A766&gt;('1-Input'!$B$26-2),D766,D766-'P-Parametri'!$B$8*(E766+D766)+MIN(MAX(E766,0),'P-Parametri'!$B$8*(E766+D766)))</f>
        <v>33242.0070309863</v>
      </c>
      <c r="G766" s="18">
        <f>IF($A766&gt;('1-Input'!$B$26-2),E766,E766-MIN(MAX(E766,0),'P-Parametri'!$B$8*(E766+D766)))</f>
        <v>121675.93297158596</v>
      </c>
      <c r="H766" s="18">
        <f>IF($A766&gt;('1-Input'!$B$26-2),H765,H765-C766*(1-B766))</f>
        <v>33885.740183356211</v>
      </c>
      <c r="I766" s="11">
        <f>IF($A766&gt;('1-Input'!$B$26-2),0,IF(N765&lt;=0,0,MAX(0,(N765-O765)/N765)))</f>
        <v>0</v>
      </c>
      <c r="J766" s="18">
        <f>IF($A766&gt;('1-Input'!$B$26-2),0,(MAX(0,I726-IF($A766&gt;='1-Input'!$C$12,'1-Input'!$B$12,0))-MIN(MAX(M765,0),MAX(0,I726-IF($A766&gt;='1-Input'!$C$12,'1-Input'!$B$12,0))))*(1/(1-'P-Parametri'!$B$6*I766))+MIN(MAX(0,N765-(MAX(0,I726-IF($A766&gt;='1-Input'!$C$12,'1-Input'!$B$12,0))-MIN(MAX(M765,0),MAX(0,I726-IF($A766&gt;='1-Input'!$C$12,'1-Input'!$B$12,0))))*(1/(1-'P-Parametri'!$B$6*I766))),MAX(0,2*I726-(M765-MIN(MAX(M765,0),MAX(0,I726-IF($A766&gt;='1-Input'!$C$12,'1-Input'!$B$12,0)))))*(1/(1-'P-Parametri'!$B$6*I766))))</f>
        <v>10846.756992928691</v>
      </c>
      <c r="K766" s="18">
        <f>IF($A766&gt;('1-Input'!$B$26-2),M765,(M765-MAX(0,I726-IF($A766&gt;='1-Input'!$C$12,'1-Input'!$B$12,0))+J766*(1-'P-Parametri'!$B$6*I766))*(1+'1-Input'!$B$27))</f>
        <v>0</v>
      </c>
      <c r="L766" s="18">
        <f>IF($A766&gt;('1-Input'!$B$26-2),N765,(N765-J766)*(1+'5-Roberta'!$C$4))</f>
        <v>-194598.01314269399</v>
      </c>
      <c r="M766" s="18">
        <f>IF($A766&gt;('1-Input'!$B$26-2),K766,K766-'P-Parametri'!$B$8*(L766+K766)+MIN(MAX(L766,0),'P-Parametri'!$B$8*(L766+K766)))</f>
        <v>0</v>
      </c>
      <c r="N766" s="18">
        <f>IF($A766&gt;('1-Input'!$B$26-2),L766,L766-MIN(MAX(L766,0),'P-Parametri'!$B$8*(L766+K766)))</f>
        <v>-194208.81711640861</v>
      </c>
      <c r="O766" s="18">
        <f>IF($A766&gt;('1-Input'!$B$26-2),O765,O765-J766*(1-I766))</f>
        <v>-156045.84915065952</v>
      </c>
      <c r="P766" s="11">
        <f>IF($A766&gt;('1-Input'!$B$26-2),0,IF(U765&lt;=0,0,MAX(0,(U765-V765)/U765)))</f>
        <v>0</v>
      </c>
      <c r="Q766" s="18">
        <f>IF($A766&gt;('1-Input'!$B$26-2),0,(MAX(0,P726-IF($A766&gt;='1-Input'!$C$12,'1-Input'!$B$12,0))-MIN(MAX(T765,0),MAX(0,P726-IF($A766&gt;='1-Input'!$C$12,'1-Input'!$B$12,0))))*(1/(1-'P-Parametri'!$B$6*P766))+MIN(MAX(0,U765-(MAX(0,P726-IF($A766&gt;='1-Input'!$C$12,'1-Input'!$B$12,0))-MIN(MAX(T765,0),MAX(0,P726-IF($A766&gt;='1-Input'!$C$12,'1-Input'!$B$12,0))))*(1/(1-'P-Parametri'!$B$6*P766))),MAX(0,2*P726-(T765-MIN(MAX(T765,0),MAX(0,P726-IF($A766&gt;='1-Input'!$C$12,'1-Input'!$B$12,0)))))*(1/(1-'P-Parametri'!$B$6*P766))))</f>
        <v>0</v>
      </c>
      <c r="R766" s="18">
        <f>IF($A766&gt;('1-Input'!$B$26-2),T765,(T765-MAX(0,P726-IF($A766&gt;='1-Input'!$C$12,'1-Input'!$B$12,0))+Q766*(1-'P-Parametri'!$B$6*P766))*(1+'1-Input'!$B$27))</f>
        <v>20494.770218005022</v>
      </c>
      <c r="S766" s="18">
        <f>IF($A766&gt;('1-Input'!$B$26-2),U765,(U765-Q766)*(1+'5-Roberta'!$C$4))</f>
        <v>0</v>
      </c>
      <c r="T766" s="18">
        <f>IF($A766&gt;('1-Input'!$B$26-2),R766,R766-'P-Parametri'!$B$8*(S766+R766)+MIN(MAX(S766,0),'P-Parametri'!$B$8*(S766+R766)))</f>
        <v>20453.780677569011</v>
      </c>
      <c r="U766" s="18">
        <f>IF($A766&gt;('1-Input'!$B$26-2),S766,S766-MIN(MAX(S766,0),'P-Parametri'!$B$8*(S766+R766)))</f>
        <v>0</v>
      </c>
      <c r="V766" s="18">
        <f>IF($A766&gt;('1-Input'!$B$26-2),V765,V765-Q766*(1-P766))</f>
        <v>0</v>
      </c>
      <c r="W766" s="11">
        <f>IF($A766&gt;('1-Input'!$B$26-2),0,IF(AB765&lt;=0,0,MAX(0,(AB765-AC765)/AB765)))</f>
        <v>0.70624344167315978</v>
      </c>
      <c r="X766" s="18">
        <f>IF($A766&gt;('1-Input'!$B$26-2),0,(MAX(0,W726-IF($A766&gt;='1-Input'!$C$12,'1-Input'!$B$12,0))-MIN(MAX(AA765,0),MAX(0,W726-IF($A766&gt;='1-Input'!$C$12,'1-Input'!$B$12,0))))*(1/(1-'P-Parametri'!$B$6*W766))+MIN(MAX(0,AB765-(MAX(0,W726-IF($A766&gt;='1-Input'!$C$12,'1-Input'!$B$12,0))-MIN(MAX(AA765,0),MAX(0,W726-IF($A766&gt;='1-Input'!$C$12,'1-Input'!$B$12,0))))*(1/(1-'P-Parametri'!$B$6*W766))),MAX(0,2*W726-(AA765-MIN(MAX(AA765,0),MAX(0,W726-IF($A766&gt;='1-Input'!$C$12,'1-Input'!$B$12,0)))))*(1/(1-'P-Parametri'!$B$6*W766))))</f>
        <v>7022.331529583962</v>
      </c>
      <c r="Y766" s="18">
        <f>IF($A766&gt;('1-Input'!$B$26-2),AA765,(AA765-MAX(0,W726-IF($A766&gt;='1-Input'!$C$12,'1-Input'!$B$12,0))+X766*(1-'P-Parametri'!$B$6*W766))*(1+'1-Input'!$B$27))</f>
        <v>34733.19003313432</v>
      </c>
      <c r="Z766" s="18">
        <f>IF($A766&gt;('1-Input'!$B$26-2),AB765,(AB765-X766)*(1+'5-Roberta'!$C$4))</f>
        <v>0</v>
      </c>
      <c r="AA766" s="18">
        <f>IF($A766&gt;('1-Input'!$B$26-2),Y766,Y766-'P-Parametri'!$B$8*(Z766+Y766)+MIN(MAX(Z766,0),'P-Parametri'!$B$8*(Z766+Y766)))</f>
        <v>34663.723653068053</v>
      </c>
      <c r="AB766" s="18">
        <f>IF($A766&gt;('1-Input'!$B$26-2),Z766,Z766-MIN(MAX(Z766,0),'P-Parametri'!$B$8*(Z766+Y766)))</f>
        <v>0</v>
      </c>
      <c r="AC766" s="18">
        <f>IF($A766&gt;('1-Input'!$B$26-2),AC765,AC765-X766*(1-W766))</f>
        <v>4.5474735088646412E-13</v>
      </c>
      <c r="AD766" s="11">
        <f>IF($A766&gt;('1-Input'!$B$26-2),0,IF(AI765&lt;=0,0,MAX(0,(AI765-AJ765)/AI765)))</f>
        <v>0.70686852459793681</v>
      </c>
      <c r="AE766" s="18">
        <f>IF($A766&gt;('1-Input'!$B$26-2),0,(MAX(0,AD726-IF($A766&gt;='1-Input'!$C$12,'1-Input'!$B$12,0))-MIN(MAX(AH765,0),MAX(0,AD726-IF($A766&gt;='1-Input'!$C$12,'1-Input'!$B$12,0))))*(1/(1-'P-Parametri'!$B$6*AD766))+MIN(MAX(0,AI765-(MAX(0,AD726-IF($A766&gt;='1-Input'!$C$12,'1-Input'!$B$12,0))-MIN(MAX(AH765,0),MAX(0,AD726-IF($A766&gt;='1-Input'!$C$12,'1-Input'!$B$12,0))))*(1/(1-'P-Parametri'!$B$6*AD766))),MAX(0,2*AD726-(AH765-MIN(MAX(AH765,0),MAX(0,AD726-IF($A766&gt;='1-Input'!$C$12,'1-Input'!$B$12,0)))))*(1/(1-'P-Parametri'!$B$6*AD766))))</f>
        <v>8174.7203417159526</v>
      </c>
      <c r="AF766" s="18">
        <f>IF($A766&gt;('1-Input'!$B$26-2),AH765,(AH765-MAX(0,AD726-IF($A766&gt;='1-Input'!$C$12,'1-Input'!$B$12,0))+AE766*(1-'P-Parametri'!$B$6*AD766))*(1+'1-Input'!$B$27))</f>
        <v>35655.058646676749</v>
      </c>
      <c r="AG766" s="18">
        <f>IF($A766&gt;('1-Input'!$B$26-2),AI765,(AI765-AE766)*(1+'5-Roberta'!$C$4))</f>
        <v>0</v>
      </c>
      <c r="AH766" s="18">
        <f>IF($A766&gt;('1-Input'!$B$26-2),AF766,AF766-'P-Parametri'!$B$8*(AG766+AF766)+MIN(MAX(AG766,0),'P-Parametri'!$B$8*(AG766+AF766)))</f>
        <v>35583.748529383396</v>
      </c>
      <c r="AI766" s="18">
        <f>IF($A766&gt;('1-Input'!$B$26-2),AG766,AG766-MIN(MAX(AG766,0),'P-Parametri'!$B$8*(AG766+AF766)))</f>
        <v>0</v>
      </c>
      <c r="AJ766" s="18">
        <f>IF($A766&gt;('1-Input'!$B$26-2),AJ765,AJ765-AE766*(1-AD766))</f>
        <v>0</v>
      </c>
      <c r="AK766" s="11">
        <f>IF($A766&gt;('1-Input'!$B$26-2),0,IF(AP765&lt;=0,0,MAX(0,(AP765-AQ765)/AP765)))</f>
        <v>0.70687141622839977</v>
      </c>
      <c r="AL766" s="18">
        <f>IF($A766&gt;('1-Input'!$B$26-2),0,(MAX(0,AK726-IF($A766&gt;='1-Input'!$C$12,'1-Input'!$B$12,0))-MIN(MAX(AO765,0),MAX(0,AK726-IF($A766&gt;='1-Input'!$C$12,'1-Input'!$B$12,0))))*(1/(1-'P-Parametri'!$B$6*AK766))+MIN(MAX(0,AP765-(MAX(0,AK726-IF($A766&gt;='1-Input'!$C$12,'1-Input'!$B$12,0))-MIN(MAX(AO765,0),MAX(0,AK726-IF($A766&gt;='1-Input'!$C$12,'1-Input'!$B$12,0))))*(1/(1-'P-Parametri'!$B$6*AK766))),MAX(0,2*AK726-(AO765-MIN(MAX(AO765,0),MAX(0,AK726-IF($A766&gt;='1-Input'!$C$12,'1-Input'!$B$12,0)))))*(1/(1-'P-Parametri'!$B$6*AK766))))</f>
        <v>8180.7159770112075</v>
      </c>
      <c r="AM766" s="18">
        <f>IF($A766&gt;('1-Input'!$B$26-2),AO765,(AO765-MAX(0,AK726-IF($A766&gt;='1-Input'!$C$12,'1-Input'!$B$12,0))+AL766*(1-'P-Parametri'!$B$6*AK766))*(1+'1-Input'!$B$27))</f>
        <v>35659.854725709927</v>
      </c>
      <c r="AN766" s="18">
        <f>IF($A766&gt;('1-Input'!$B$26-2),AP765,(AP765-AL766)*(1+'5-Roberta'!$C$4))</f>
        <v>0</v>
      </c>
      <c r="AO766" s="18">
        <f>IF($A766&gt;('1-Input'!$B$26-2),AM766,AM766-'P-Parametri'!$B$8*(AN766+AM766)+MIN(MAX(AN766,0),'P-Parametri'!$B$8*(AN766+AM766)))</f>
        <v>35588.535016258509</v>
      </c>
      <c r="AP766" s="18">
        <f>IF($A766&gt;('1-Input'!$B$26-2),AN766,AN766-MIN(MAX(AN766,0),'P-Parametri'!$B$8*(AN766+AM766)))</f>
        <v>0</v>
      </c>
      <c r="AQ766" s="18">
        <f>IF($A766&gt;('1-Input'!$B$26-2),AQ765,AQ765-AL766*(1-AK766))</f>
        <v>0</v>
      </c>
    </row>
    <row r="767" spans="1:43">
      <c r="A767" s="10">
        <f>39</f>
        <v>39</v>
      </c>
      <c r="B767" s="11">
        <f>IF($A767&gt;('1-Input'!$B$26-2),0,IF(G766&lt;=0,0,MAX(0,(G766-H766)/G766)))</f>
        <v>0.72150827730846923</v>
      </c>
      <c r="C767" s="18">
        <f>IF($A767&gt;('1-Input'!$B$26-2),0,(MAX(0,B726-IF($A767&gt;='1-Input'!$C$12,'1-Input'!$B$12,0))-MIN(MAX(F766,0),MAX(0,B726-IF($A767&gt;='1-Input'!$C$12,'1-Input'!$B$12,0))))*(1/(1-'P-Parametri'!$B$6*B767))+MIN(MAX(0,G766-(MAX(0,B726-IF($A767&gt;='1-Input'!$C$12,'1-Input'!$B$12,0))-MIN(MAX(F766,0),MAX(0,B726-IF($A767&gt;='1-Input'!$C$12,'1-Input'!$B$12,0))))*(1/(1-'P-Parametri'!$B$6*B767))),MAX(0,2*B726-(F766-MIN(MAX(F766,0),MAX(0,B726-IF($A767&gt;='1-Input'!$C$12,'1-Input'!$B$12,0)))))*(1/(1-'P-Parametri'!$B$6*B767))))</f>
        <v>7015.1450747605759</v>
      </c>
      <c r="D767" s="18">
        <f>IF($A767&gt;('1-Input'!$B$26-2),F766,(F766-MAX(0,B726-IF($A767&gt;='1-Input'!$C$12,'1-Input'!$B$12,0))+C767*(1-'P-Parametri'!$B$6*B767))*(1+'1-Input'!$B$27))</f>
        <v>33242.0070309863</v>
      </c>
      <c r="E767" s="18">
        <f>IF($A767&gt;('1-Input'!$B$26-2),G766,(G766-C767)*(1+'5-Roberta'!$C$4))</f>
        <v>118100.61153373016</v>
      </c>
      <c r="F767" s="18">
        <f>IF($A767&gt;('1-Input'!$B$26-2),D767,D767-'P-Parametri'!$B$8*(E767+D767)+MIN(MAX(E767,0),'P-Parametri'!$B$8*(E767+D767)))</f>
        <v>33242.0070309863</v>
      </c>
      <c r="G767" s="18">
        <f>IF($A767&gt;('1-Input'!$B$26-2),E767,E767-MIN(MAX(E767,0),'P-Parametri'!$B$8*(E767+D767)))</f>
        <v>117797.92629660072</v>
      </c>
      <c r="H767" s="18">
        <f>IF($A767&gt;('1-Input'!$B$26-2),H766,H766-C767*(1-B767))</f>
        <v>31932.080346555129</v>
      </c>
      <c r="I767" s="11">
        <f>IF($A767&gt;('1-Input'!$B$26-2),0,IF(N766&lt;=0,0,MAX(0,(N766-O766)/N766)))</f>
        <v>0</v>
      </c>
      <c r="J767" s="18">
        <f>IF($A767&gt;('1-Input'!$B$26-2),0,(MAX(0,I726-IF($A767&gt;='1-Input'!$C$12,'1-Input'!$B$12,0))-MIN(MAX(M766,0),MAX(0,I726-IF($A767&gt;='1-Input'!$C$12,'1-Input'!$B$12,0))))*(1/(1-'P-Parametri'!$B$6*I767))+MIN(MAX(0,N766-(MAX(0,I726-IF($A767&gt;='1-Input'!$C$12,'1-Input'!$B$12,0))-MIN(MAX(M766,0),MAX(0,I726-IF($A767&gt;='1-Input'!$C$12,'1-Input'!$B$12,0))))*(1/(1-'P-Parametri'!$B$6*I767))),MAX(0,2*I726-(M766-MIN(MAX(M766,0),MAX(0,I726-IF($A767&gt;='1-Input'!$C$12,'1-Input'!$B$12,0)))))*(1/(1-'P-Parametri'!$B$6*I767))))</f>
        <v>10846.756992928691</v>
      </c>
      <c r="K767" s="18">
        <f>IF($A767&gt;('1-Input'!$B$26-2),M766,(M766-MAX(0,I726-IF($A767&gt;='1-Input'!$C$12,'1-Input'!$B$12,0))+J767*(1-'P-Parametri'!$B$6*I767))*(1+'1-Input'!$B$27))</f>
        <v>0</v>
      </c>
      <c r="L767" s="18">
        <f>IF($A767&gt;('1-Input'!$B$26-2),N766,(N766-J767)*(1+'5-Roberta'!$C$4))</f>
        <v>-211207.24133261741</v>
      </c>
      <c r="M767" s="18">
        <f>IF($A767&gt;('1-Input'!$B$26-2),K767,K767-'P-Parametri'!$B$8*(L767+K767)+MIN(MAX(L767,0),'P-Parametri'!$B$8*(L767+K767)))</f>
        <v>0</v>
      </c>
      <c r="N767" s="18">
        <f>IF($A767&gt;('1-Input'!$B$26-2),L767,L767-MIN(MAX(L767,0),'P-Parametri'!$B$8*(L767+K767)))</f>
        <v>-210784.82684995217</v>
      </c>
      <c r="O767" s="18">
        <f>IF($A767&gt;('1-Input'!$B$26-2),O766,O766-J767*(1-I767))</f>
        <v>-166892.6061435882</v>
      </c>
      <c r="P767" s="11">
        <f>IF($A767&gt;('1-Input'!$B$26-2),0,IF(U766&lt;=0,0,MAX(0,(U766-V766)/U766)))</f>
        <v>0</v>
      </c>
      <c r="Q767" s="18">
        <f>IF($A767&gt;('1-Input'!$B$26-2),0,(MAX(0,P726-IF($A767&gt;='1-Input'!$C$12,'1-Input'!$B$12,0))-MIN(MAX(T766,0),MAX(0,P726-IF($A767&gt;='1-Input'!$C$12,'1-Input'!$B$12,0))))*(1/(1-'P-Parametri'!$B$6*P767))+MIN(MAX(0,U766-(MAX(0,P726-IF($A767&gt;='1-Input'!$C$12,'1-Input'!$B$12,0))-MIN(MAX(T766,0),MAX(0,P726-IF($A767&gt;='1-Input'!$C$12,'1-Input'!$B$12,0))))*(1/(1-'P-Parametri'!$B$6*P767))),MAX(0,2*P726-(T766-MIN(MAX(T766,0),MAX(0,P726-IF($A767&gt;='1-Input'!$C$12,'1-Input'!$B$12,0)))))*(1/(1-'P-Parametri'!$B$6*P767))))</f>
        <v>0</v>
      </c>
      <c r="R767" s="18">
        <f>IF($A767&gt;('1-Input'!$B$26-2),T766,(T766-MAX(0,P726-IF($A767&gt;='1-Input'!$C$12,'1-Input'!$B$12,0))+Q767*(1-'P-Parametri'!$B$6*P767))*(1+'1-Input'!$B$27))</f>
        <v>13127.810945190713</v>
      </c>
      <c r="S767" s="18">
        <f>IF($A767&gt;('1-Input'!$B$26-2),U766,(U766-Q767)*(1+'5-Roberta'!$C$4))</f>
        <v>0</v>
      </c>
      <c r="T767" s="18">
        <f>IF($A767&gt;('1-Input'!$B$26-2),R767,R767-'P-Parametri'!$B$8*(S767+R767)+MIN(MAX(S767,0),'P-Parametri'!$B$8*(S767+R767)))</f>
        <v>13101.555323300332</v>
      </c>
      <c r="U767" s="18">
        <f>IF($A767&gt;('1-Input'!$B$26-2),S767,S767-MIN(MAX(S767,0),'P-Parametri'!$B$8*(S767+R767)))</f>
        <v>0</v>
      </c>
      <c r="V767" s="18">
        <f>IF($A767&gt;('1-Input'!$B$26-2),V766,V766-Q767*(1-P767))</f>
        <v>0</v>
      </c>
      <c r="W767" s="11">
        <f>IF($A767&gt;('1-Input'!$B$26-2),0,IF(AB766&lt;=0,0,MAX(0,(AB766-AC766)/AB766)))</f>
        <v>0</v>
      </c>
      <c r="X767" s="18">
        <f>IF($A767&gt;('1-Input'!$B$26-2),0,(MAX(0,W726-IF($A767&gt;='1-Input'!$C$12,'1-Input'!$B$12,0))-MIN(MAX(AA766,0),MAX(0,W726-IF($A767&gt;='1-Input'!$C$12,'1-Input'!$B$12,0))))*(1/(1-'P-Parametri'!$B$6*W767))+MIN(MAX(0,AB766-(MAX(0,W726-IF($A767&gt;='1-Input'!$C$12,'1-Input'!$B$12,0))-MIN(MAX(AA766,0),MAX(0,W726-IF($A767&gt;='1-Input'!$C$12,'1-Input'!$B$12,0))))*(1/(1-'P-Parametri'!$B$6*W767))),MAX(0,2*W726-(AA766-MIN(MAX(AA766,0),MAX(0,W726-IF($A767&gt;='1-Input'!$C$12,'1-Input'!$B$12,0)))))*(1/(1-'P-Parametri'!$B$6*W767))))</f>
        <v>0</v>
      </c>
      <c r="Y767" s="18">
        <f>IF($A767&gt;('1-Input'!$B$26-2),AA766,(AA766-MAX(0,W726-IF($A767&gt;='1-Input'!$C$12,'1-Input'!$B$12,0))+X767*(1-'P-Parametri'!$B$6*W767))*(1+'1-Input'!$B$27))</f>
        <v>27511.797345265371</v>
      </c>
      <c r="Z767" s="18">
        <f>IF($A767&gt;('1-Input'!$B$26-2),AB766,(AB766-X767)*(1+'5-Roberta'!$C$4))</f>
        <v>0</v>
      </c>
      <c r="AA767" s="18">
        <f>IF($A767&gt;('1-Input'!$B$26-2),Y767,Y767-'P-Parametri'!$B$8*(Z767+Y767)+MIN(MAX(Z767,0),'P-Parametri'!$B$8*(Z767+Y767)))</f>
        <v>27456.773750574841</v>
      </c>
      <c r="AB767" s="18">
        <f>IF($A767&gt;('1-Input'!$B$26-2),Z767,Z767-MIN(MAX(Z767,0),'P-Parametri'!$B$8*(Z767+Y767)))</f>
        <v>0</v>
      </c>
      <c r="AC767" s="18">
        <f>IF($A767&gt;('1-Input'!$B$26-2),AC766,AC766-X767*(1-W767))</f>
        <v>4.5474735088646412E-13</v>
      </c>
      <c r="AD767" s="11">
        <f>IF($A767&gt;('1-Input'!$B$26-2),0,IF(AI766&lt;=0,0,MAX(0,(AI766-AJ766)/AI766)))</f>
        <v>0</v>
      </c>
      <c r="AE767" s="18">
        <f>IF($A767&gt;('1-Input'!$B$26-2),0,(MAX(0,AD726-IF($A767&gt;='1-Input'!$C$12,'1-Input'!$B$12,0))-MIN(MAX(AH766,0),MAX(0,AD726-IF($A767&gt;='1-Input'!$C$12,'1-Input'!$B$12,0))))*(1/(1-'P-Parametri'!$B$6*AD767))+MIN(MAX(0,AI766-(MAX(0,AD726-IF($A767&gt;='1-Input'!$C$12,'1-Input'!$B$12,0))-MIN(MAX(AH766,0),MAX(0,AD726-IF($A767&gt;='1-Input'!$C$12,'1-Input'!$B$12,0))))*(1/(1-'P-Parametri'!$B$6*AD767))),MAX(0,2*AD726-(AH766-MIN(MAX(AH766,0),MAX(0,AD726-IF($A767&gt;='1-Input'!$C$12,'1-Input'!$B$12,0)))))*(1/(1-'P-Parametri'!$B$6*AD767))))</f>
        <v>0</v>
      </c>
      <c r="AF767" s="18">
        <f>IF($A767&gt;('1-Input'!$B$26-2),AH766,(AH766-MAX(0,AD726-IF($A767&gt;='1-Input'!$C$12,'1-Input'!$B$12,0))+AE767*(1-'P-Parametri'!$B$6*AD767))*(1+'1-Input'!$B$27))</f>
        <v>28442.817306019944</v>
      </c>
      <c r="AG767" s="18">
        <f>IF($A767&gt;('1-Input'!$B$26-2),AI766,(AI766-AE767)*(1+'5-Roberta'!$C$4))</f>
        <v>0</v>
      </c>
      <c r="AH767" s="18">
        <f>IF($A767&gt;('1-Input'!$B$26-2),AF767,AF767-'P-Parametri'!$B$8*(AG767+AF767)+MIN(MAX(AG767,0),'P-Parametri'!$B$8*(AG767+AF767)))</f>
        <v>28385.931671407903</v>
      </c>
      <c r="AI767" s="18">
        <f>IF($A767&gt;('1-Input'!$B$26-2),AG767,AG767-MIN(MAX(AG767,0),'P-Parametri'!$B$8*(AG767+AF767)))</f>
        <v>0</v>
      </c>
      <c r="AJ767" s="18">
        <f>IF($A767&gt;('1-Input'!$B$26-2),AJ766,AJ766-AE767*(1-AD767))</f>
        <v>0</v>
      </c>
      <c r="AK767" s="11">
        <f>IF($A767&gt;('1-Input'!$B$26-2),0,IF(AP766&lt;=0,0,MAX(0,(AP766-AQ766)/AP766)))</f>
        <v>0</v>
      </c>
      <c r="AL767" s="18">
        <f>IF($A767&gt;('1-Input'!$B$26-2),0,(MAX(0,AK726-IF($A767&gt;='1-Input'!$C$12,'1-Input'!$B$12,0))-MIN(MAX(AO766,0),MAX(0,AK726-IF($A767&gt;='1-Input'!$C$12,'1-Input'!$B$12,0))))*(1/(1-'P-Parametri'!$B$6*AK767))+MIN(MAX(0,AP766-(MAX(0,AK726-IF($A767&gt;='1-Input'!$C$12,'1-Input'!$B$12,0))-MIN(MAX(AO766,0),MAX(0,AK726-IF($A767&gt;='1-Input'!$C$12,'1-Input'!$B$12,0))))*(1/(1-'P-Parametri'!$B$6*AK767))),MAX(0,2*AK726-(AO766-MIN(MAX(AO766,0),MAX(0,AK726-IF($A767&gt;='1-Input'!$C$12,'1-Input'!$B$12,0)))))*(1/(1-'P-Parametri'!$B$6*AK767))))</f>
        <v>0</v>
      </c>
      <c r="AM767" s="18">
        <f>IF($A767&gt;('1-Input'!$B$26-2),AO766,(AO766-MAX(0,AK726-IF($A767&gt;='1-Input'!$C$12,'1-Input'!$B$12,0))+AL767*(1-'P-Parametri'!$B$6*AK767))*(1+'1-Input'!$B$27))</f>
        <v>28447.6609952822</v>
      </c>
      <c r="AN767" s="18">
        <f>IF($A767&gt;('1-Input'!$B$26-2),AP766,(AP766-AL767)*(1+'5-Roberta'!$C$4))</f>
        <v>0</v>
      </c>
      <c r="AO767" s="18">
        <f>IF($A767&gt;('1-Input'!$B$26-2),AM767,AM767-'P-Parametri'!$B$8*(AN767+AM767)+MIN(MAX(AN767,0),'P-Parametri'!$B$8*(AN767+AM767)))</f>
        <v>28390.765673291637</v>
      </c>
      <c r="AP767" s="18">
        <f>IF($A767&gt;('1-Input'!$B$26-2),AN767,AN767-MIN(MAX(AN767,0),'P-Parametri'!$B$8*(AN767+AM767)))</f>
        <v>0</v>
      </c>
      <c r="AQ767" s="18">
        <f>IF($A767&gt;('1-Input'!$B$26-2),AQ766,AQ766-AL767*(1-AK767))</f>
        <v>0</v>
      </c>
    </row>
    <row r="768" spans="1:43">
      <c r="A768" s="10">
        <f>40</f>
        <v>40</v>
      </c>
      <c r="B768" s="11">
        <f>IF($A768&gt;('1-Input'!$B$26-2),0,IF(G767&lt;=0,0,MAX(0,(G767-H767)/G767)))</f>
        <v>0.72892493653789736</v>
      </c>
      <c r="C768" s="18">
        <f>IF($A768&gt;('1-Input'!$B$26-2),0,(MAX(0,B726-IF($A768&gt;='1-Input'!$C$12,'1-Input'!$B$12,0))-MIN(MAX(F767,0),MAX(0,B726-IF($A768&gt;='1-Input'!$C$12,'1-Input'!$B$12,0))))*(1/(1-'P-Parametri'!$B$6*B768))+MIN(MAX(0,G767-(MAX(0,B726-IF($A768&gt;='1-Input'!$C$12,'1-Input'!$B$12,0))-MIN(MAX(F767,0),MAX(0,B726-IF($A768&gt;='1-Input'!$C$12,'1-Input'!$B$12,0))))*(1/(1-'P-Parametri'!$B$6*B768))),MAX(0,2*B726-(F767-MIN(MAX(F767,0),MAX(0,B726-IF($A768&gt;='1-Input'!$C$12,'1-Input'!$B$12,0)))))*(1/(1-'P-Parametri'!$B$6*B768))))</f>
        <v>7031.8358414553168</v>
      </c>
      <c r="D768" s="18">
        <f>IF($A768&gt;('1-Input'!$B$26-2),F767,(F767-MAX(0,B726-IF($A768&gt;='1-Input'!$C$12,'1-Input'!$B$12,0))+C768*(1-'P-Parametri'!$B$6*B768))*(1+'1-Input'!$B$27))</f>
        <v>33242.0070309863</v>
      </c>
      <c r="E768" s="18">
        <f>IF($A768&gt;('1-Input'!$B$26-2),G767,(G767-C768)*(1+'5-Roberta'!$C$4))</f>
        <v>114089.07316879976</v>
      </c>
      <c r="F768" s="18">
        <f>IF($A768&gt;('1-Input'!$B$26-2),D768,D768-'P-Parametri'!$B$8*(E768+D768)+MIN(MAX(E768,0),'P-Parametri'!$B$8*(E768+D768)))</f>
        <v>33242.0070309863</v>
      </c>
      <c r="G768" s="18">
        <f>IF($A768&gt;('1-Input'!$B$26-2),E768,E768-MIN(MAX(E768,0),'P-Parametri'!$B$8*(E768+D768)))</f>
        <v>113794.41100840019</v>
      </c>
      <c r="H768" s="18">
        <f>IF($A768&gt;('1-Input'!$B$26-2),H767,H767-C768*(1-B768))</f>
        <v>30025.924999577543</v>
      </c>
      <c r="I768" s="11">
        <f>IF($A768&gt;('1-Input'!$B$26-2),0,IF(N767&lt;=0,0,MAX(0,(N767-O767)/N767)))</f>
        <v>0</v>
      </c>
      <c r="J768" s="18">
        <f>IF($A768&gt;('1-Input'!$B$26-2),0,(MAX(0,I726-IF($A768&gt;='1-Input'!$C$12,'1-Input'!$B$12,0))-MIN(MAX(M767,0),MAX(0,I726-IF($A768&gt;='1-Input'!$C$12,'1-Input'!$B$12,0))))*(1/(1-'P-Parametri'!$B$6*I768))+MIN(MAX(0,N767-(MAX(0,I726-IF($A768&gt;='1-Input'!$C$12,'1-Input'!$B$12,0))-MIN(MAX(M767,0),MAX(0,I726-IF($A768&gt;='1-Input'!$C$12,'1-Input'!$B$12,0))))*(1/(1-'P-Parametri'!$B$6*I768))),MAX(0,2*I726-(M767-MIN(MAX(M767,0),MAX(0,I726-IF($A768&gt;='1-Input'!$C$12,'1-Input'!$B$12,0)))))*(1/(1-'P-Parametri'!$B$6*I768))))</f>
        <v>10846.756992928691</v>
      </c>
      <c r="K768" s="18">
        <f>IF($A768&gt;('1-Input'!$B$26-2),M767,(M767-MAX(0,I726-IF($A768&gt;='1-Input'!$C$12,'1-Input'!$B$12,0))+J768*(1-'P-Parametri'!$B$6*I768))*(1+'1-Input'!$B$27))</f>
        <v>0</v>
      </c>
      <c r="L768" s="18">
        <f>IF($A768&gt;('1-Input'!$B$26-2),N767,(N767-J768)*(1+'5-Roberta'!$C$4))</f>
        <v>-228280.53135816727</v>
      </c>
      <c r="M768" s="18">
        <f>IF($A768&gt;('1-Input'!$B$26-2),K768,K768-'P-Parametri'!$B$8*(L768+K768)+MIN(MAX(L768,0),'P-Parametri'!$B$8*(L768+K768)))</f>
        <v>0</v>
      </c>
      <c r="N768" s="18">
        <f>IF($A768&gt;('1-Input'!$B$26-2),L768,L768-MIN(MAX(L768,0),'P-Parametri'!$B$8*(L768+K768)))</f>
        <v>-227823.97029545094</v>
      </c>
      <c r="O768" s="18">
        <f>IF($A768&gt;('1-Input'!$B$26-2),O767,O767-J768*(1-I768))</f>
        <v>-177739.36313651688</v>
      </c>
      <c r="P768" s="11">
        <f>IF($A768&gt;('1-Input'!$B$26-2),0,IF(U767&lt;=0,0,MAX(0,(U767-V767)/U767)))</f>
        <v>0</v>
      </c>
      <c r="Q768" s="18">
        <f>IF($A768&gt;('1-Input'!$B$26-2),0,(MAX(0,P726-IF($A768&gt;='1-Input'!$C$12,'1-Input'!$B$12,0))-MIN(MAX(T767,0),MAX(0,P726-IF($A768&gt;='1-Input'!$C$12,'1-Input'!$B$12,0))))*(1/(1-'P-Parametri'!$B$6*P768))+MIN(MAX(0,U767-(MAX(0,P726-IF($A768&gt;='1-Input'!$C$12,'1-Input'!$B$12,0))-MIN(MAX(T767,0),MAX(0,P726-IF($A768&gt;='1-Input'!$C$12,'1-Input'!$B$12,0))))*(1/(1-'P-Parametri'!$B$6*P768))),MAX(0,2*P726-(T767-MIN(MAX(T767,0),MAX(0,P726-IF($A768&gt;='1-Input'!$C$12,'1-Input'!$B$12,0)))))*(1/(1-'P-Parametri'!$B$6*P768))))</f>
        <v>0</v>
      </c>
      <c r="R768" s="18">
        <f>IF($A768&gt;('1-Input'!$B$26-2),T767,(T767-MAX(0,P726-IF($A768&gt;='1-Input'!$C$12,'1-Input'!$B$12,0))+Q768*(1-'P-Parametri'!$B$6*P768))*(1+'1-Input'!$B$27))</f>
        <v>5802.0536021974003</v>
      </c>
      <c r="S768" s="18">
        <f>IF($A768&gt;('1-Input'!$B$26-2),U767,(U767-Q768)*(1+'5-Roberta'!$C$4))</f>
        <v>0</v>
      </c>
      <c r="T768" s="18">
        <f>IF($A768&gt;('1-Input'!$B$26-2),R768,R768-'P-Parametri'!$B$8*(S768+R768)+MIN(MAX(S768,0),'P-Parametri'!$B$8*(S768+R768)))</f>
        <v>5790.4494949930058</v>
      </c>
      <c r="U768" s="18">
        <f>IF($A768&gt;('1-Input'!$B$26-2),S768,S768-MIN(MAX(S768,0),'P-Parametri'!$B$8*(S768+R768)))</f>
        <v>0</v>
      </c>
      <c r="V768" s="18">
        <f>IF($A768&gt;('1-Input'!$B$26-2),V767,V767-Q768*(1-P768))</f>
        <v>0</v>
      </c>
      <c r="W768" s="11">
        <f>IF($A768&gt;('1-Input'!$B$26-2),0,IF(AB767&lt;=0,0,MAX(0,(AB767-AC767)/AB767)))</f>
        <v>0</v>
      </c>
      <c r="X768" s="18">
        <f>IF($A768&gt;('1-Input'!$B$26-2),0,(MAX(0,W726-IF($A768&gt;='1-Input'!$C$12,'1-Input'!$B$12,0))-MIN(MAX(AA767,0),MAX(0,W726-IF($A768&gt;='1-Input'!$C$12,'1-Input'!$B$12,0))))*(1/(1-'P-Parametri'!$B$6*W768))+MIN(MAX(0,AB767-(MAX(0,W726-IF($A768&gt;='1-Input'!$C$12,'1-Input'!$B$12,0))-MIN(MAX(AA767,0),MAX(0,W726-IF($A768&gt;='1-Input'!$C$12,'1-Input'!$B$12,0))))*(1/(1-'P-Parametri'!$B$6*W768))),MAX(0,2*W726-(AA767-MIN(MAX(AA767,0),MAX(0,W726-IF($A768&gt;='1-Input'!$C$12,'1-Input'!$B$12,0)))))*(1/(1-'P-Parametri'!$B$6*W768))))</f>
        <v>0</v>
      </c>
      <c r="Y768" s="18">
        <f>IF($A768&gt;('1-Input'!$B$26-2),AA767,(AA767-MAX(0,W726-IF($A768&gt;='1-Input'!$C$12,'1-Input'!$B$12,0))+X768*(1-'P-Parametri'!$B$6*W768))*(1+'1-Input'!$B$27))</f>
        <v>20330.792462421137</v>
      </c>
      <c r="Z768" s="18">
        <f>IF($A768&gt;('1-Input'!$B$26-2),AB767,(AB767-X768)*(1+'5-Roberta'!$C$4))</f>
        <v>0</v>
      </c>
      <c r="AA768" s="18">
        <f>IF($A768&gt;('1-Input'!$B$26-2),Y768,Y768-'P-Parametri'!$B$8*(Z768+Y768)+MIN(MAX(Z768,0),'P-Parametri'!$B$8*(Z768+Y768)))</f>
        <v>20290.130877496296</v>
      </c>
      <c r="AB768" s="18">
        <f>IF($A768&gt;('1-Input'!$B$26-2),Z768,Z768-MIN(MAX(Z768,0),'P-Parametri'!$B$8*(Z768+Y768)))</f>
        <v>0</v>
      </c>
      <c r="AC768" s="18">
        <f>IF($A768&gt;('1-Input'!$B$26-2),AC767,AC767-X768*(1-W768))</f>
        <v>4.5474735088646412E-13</v>
      </c>
      <c r="AD768" s="11">
        <f>IF($A768&gt;('1-Input'!$B$26-2),0,IF(AI767&lt;=0,0,MAX(0,(AI767-AJ767)/AI767)))</f>
        <v>0</v>
      </c>
      <c r="AE768" s="18">
        <f>IF($A768&gt;('1-Input'!$B$26-2),0,(MAX(0,AD726-IF($A768&gt;='1-Input'!$C$12,'1-Input'!$B$12,0))-MIN(MAX(AH767,0),MAX(0,AD726-IF($A768&gt;='1-Input'!$C$12,'1-Input'!$B$12,0))))*(1/(1-'P-Parametri'!$B$6*AD768))+MIN(MAX(0,AI767-(MAX(0,AD726-IF($A768&gt;='1-Input'!$C$12,'1-Input'!$B$12,0))-MIN(MAX(AH767,0),MAX(0,AD726-IF($A768&gt;='1-Input'!$C$12,'1-Input'!$B$12,0))))*(1/(1-'P-Parametri'!$B$6*AD768))),MAX(0,2*AD726-(AH767-MIN(MAX(AH767,0),MAX(0,AD726-IF($A768&gt;='1-Input'!$C$12,'1-Input'!$B$12,0)))))*(1/(1-'P-Parametri'!$B$6*AD768))))</f>
        <v>0</v>
      </c>
      <c r="AF768" s="18">
        <f>IF($A768&gt;('1-Input'!$B$26-2),AH767,(AH767-MAX(0,AD726-IF($A768&gt;='1-Input'!$C$12,'1-Input'!$B$12,0))+AE768*(1-'P-Parametri'!$B$6*AD768))*(1+'1-Input'!$B$27))</f>
        <v>21270.912588733161</v>
      </c>
      <c r="AG768" s="18">
        <f>IF($A768&gt;('1-Input'!$B$26-2),AI767,(AI767-AE768)*(1+'5-Roberta'!$C$4))</f>
        <v>0</v>
      </c>
      <c r="AH768" s="18">
        <f>IF($A768&gt;('1-Input'!$B$26-2),AF768,AF768-'P-Parametri'!$B$8*(AG768+AF768)+MIN(MAX(AG768,0),'P-Parametri'!$B$8*(AG768+AF768)))</f>
        <v>21228.370763555693</v>
      </c>
      <c r="AI768" s="18">
        <f>IF($A768&gt;('1-Input'!$B$26-2),AG768,AG768-MIN(MAX(AG768,0),'P-Parametri'!$B$8*(AG768+AF768)))</f>
        <v>0</v>
      </c>
      <c r="AJ768" s="18">
        <f>IF($A768&gt;('1-Input'!$B$26-2),AJ767,AJ767-AE768*(1-AD768))</f>
        <v>0</v>
      </c>
      <c r="AK768" s="11">
        <f>IF($A768&gt;('1-Input'!$B$26-2),0,IF(AP767&lt;=0,0,MAX(0,(AP767-AQ767)/AP767)))</f>
        <v>0</v>
      </c>
      <c r="AL768" s="18">
        <f>IF($A768&gt;('1-Input'!$B$26-2),0,(MAX(0,AK726-IF($A768&gt;='1-Input'!$C$12,'1-Input'!$B$12,0))-MIN(MAX(AO767,0),MAX(0,AK726-IF($A768&gt;='1-Input'!$C$12,'1-Input'!$B$12,0))))*(1/(1-'P-Parametri'!$B$6*AK768))+MIN(MAX(0,AP767-(MAX(0,AK726-IF($A768&gt;='1-Input'!$C$12,'1-Input'!$B$12,0))-MIN(MAX(AO767,0),MAX(0,AK726-IF($A768&gt;='1-Input'!$C$12,'1-Input'!$B$12,0))))*(1/(1-'P-Parametri'!$B$6*AK768))),MAX(0,2*AK726-(AO767-MIN(MAX(AO767,0),MAX(0,AK726-IF($A768&gt;='1-Input'!$C$12,'1-Input'!$B$12,0)))))*(1/(1-'P-Parametri'!$B$6*AK768))))</f>
        <v>0</v>
      </c>
      <c r="AM768" s="18">
        <f>IF($A768&gt;('1-Input'!$B$26-2),AO767,(AO767-MAX(0,AK726-IF($A768&gt;='1-Input'!$C$12,'1-Input'!$B$12,0))+AL768*(1-'P-Parametri'!$B$6*AK768))*(1+'1-Input'!$B$27))</f>
        <v>21275.80362195001</v>
      </c>
      <c r="AN768" s="18">
        <f>IF($A768&gt;('1-Input'!$B$26-2),AP767,(AP767-AL768)*(1+'5-Roberta'!$C$4))</f>
        <v>0</v>
      </c>
      <c r="AO768" s="18">
        <f>IF($A768&gt;('1-Input'!$B$26-2),AM768,AM768-'P-Parametri'!$B$8*(AN768+AM768)+MIN(MAX(AN768,0),'P-Parametri'!$B$8*(AN768+AM768)))</f>
        <v>21233.252014706111</v>
      </c>
      <c r="AP768" s="18">
        <f>IF($A768&gt;('1-Input'!$B$26-2),AN768,AN768-MIN(MAX(AN768,0),'P-Parametri'!$B$8*(AN768+AM768)))</f>
        <v>0</v>
      </c>
      <c r="AQ768" s="18">
        <f>IF($A768&gt;('1-Input'!$B$26-2),AQ767,AQ767-AL768*(1-AK768))</f>
        <v>0</v>
      </c>
    </row>
    <row r="769" spans="1:43">
      <c r="A769" s="10">
        <f>41</f>
        <v>41</v>
      </c>
      <c r="B769" s="11">
        <f>IF($A769&gt;('1-Input'!$B$26-2),0,IF(G768&lt;=0,0,MAX(0,(G768-H768)/G768)))</f>
        <v>0.73613884255386619</v>
      </c>
      <c r="C769" s="18">
        <f>IF($A769&gt;('1-Input'!$B$26-2),0,(MAX(0,B726-IF($A769&gt;='1-Input'!$C$12,'1-Input'!$B$12,0))-MIN(MAX(F768,0),MAX(0,B726-IF($A769&gt;='1-Input'!$C$12,'1-Input'!$B$12,0))))*(1/(1-'P-Parametri'!$B$6*B769))+MIN(MAX(0,G768-(MAX(0,B726-IF($A769&gt;='1-Input'!$C$12,'1-Input'!$B$12,0))-MIN(MAX(F768,0),MAX(0,B726-IF($A769&gt;='1-Input'!$C$12,'1-Input'!$B$12,0))))*(1/(1-'P-Parametri'!$B$6*B769))),MAX(0,2*B726-(F768-MIN(MAX(F768,0),MAX(0,B726-IF($A769&gt;='1-Input'!$C$12,'1-Input'!$B$12,0)))))*(1/(1-'P-Parametri'!$B$6*B769))))</f>
        <v>7048.1466961686428</v>
      </c>
      <c r="D769" s="18">
        <f>IF($A769&gt;('1-Input'!$B$26-2),F768,(F768-MAX(0,B726-IF($A769&gt;='1-Input'!$C$12,'1-Input'!$B$12,0))+C769*(1-'P-Parametri'!$B$6*B769))*(1+'1-Input'!$B$27))</f>
        <v>33242.0070309863</v>
      </c>
      <c r="E769" s="18">
        <f>IF($A769&gt;('1-Input'!$B$26-2),G768,(G768-C769)*(1+'5-Roberta'!$C$4))</f>
        <v>109948.65224159849</v>
      </c>
      <c r="F769" s="18">
        <f>IF($A769&gt;('1-Input'!$B$26-2),D769,D769-'P-Parametri'!$B$8*(E769+D769)+MIN(MAX(E769,0),'P-Parametri'!$B$8*(E769+D769)))</f>
        <v>33242.0070309863</v>
      </c>
      <c r="G769" s="18">
        <f>IF($A769&gt;('1-Input'!$B$26-2),E769,E769-MIN(MAX(E769,0),'P-Parametri'!$B$8*(E769+D769)))</f>
        <v>109662.27092305332</v>
      </c>
      <c r="H769" s="18">
        <f>IF($A769&gt;('1-Input'!$B$26-2),H768,H768-C769*(1-B769))</f>
        <v>28166.19285447634</v>
      </c>
      <c r="I769" s="11">
        <f>IF($A769&gt;('1-Input'!$B$26-2),0,IF(N768&lt;=0,0,MAX(0,(N768-O768)/N768)))</f>
        <v>0</v>
      </c>
      <c r="J769" s="18">
        <f>IF($A769&gt;('1-Input'!$B$26-2),0,(MAX(0,I726-IF($A769&gt;='1-Input'!$C$12,'1-Input'!$B$12,0))-MIN(MAX(M768,0),MAX(0,I726-IF($A769&gt;='1-Input'!$C$12,'1-Input'!$B$12,0))))*(1/(1-'P-Parametri'!$B$6*I769))+MIN(MAX(0,N768-(MAX(0,I726-IF($A769&gt;='1-Input'!$C$12,'1-Input'!$B$12,0))-MIN(MAX(M768,0),MAX(0,I726-IF($A769&gt;='1-Input'!$C$12,'1-Input'!$B$12,0))))*(1/(1-'P-Parametri'!$B$6*I769))),MAX(0,2*I726-(M768-MIN(MAX(M768,0),MAX(0,I726-IF($A769&gt;='1-Input'!$C$12,'1-Input'!$B$12,0)))))*(1/(1-'P-Parametri'!$B$6*I769))))</f>
        <v>10846.756992928691</v>
      </c>
      <c r="K769" s="18">
        <f>IF($A769&gt;('1-Input'!$B$26-2),M768,(M768-MAX(0,I726-IF($A769&gt;='1-Input'!$C$12,'1-Input'!$B$12,0))+J769*(1-'P-Parametri'!$B$6*I769))*(1+'1-Input'!$B$27))</f>
        <v>0</v>
      </c>
      <c r="L769" s="18">
        <f>IF($A769&gt;('1-Input'!$B$26-2),N768,(N768-J769)*(1+'5-Roberta'!$C$4))</f>
        <v>-245830.84910703101</v>
      </c>
      <c r="M769" s="18">
        <f>IF($A769&gt;('1-Input'!$B$26-2),K769,K769-'P-Parametri'!$B$8*(L769+K769)+MIN(MAX(L769,0),'P-Parametri'!$B$8*(L769+K769)))</f>
        <v>0</v>
      </c>
      <c r="N769" s="18">
        <f>IF($A769&gt;('1-Input'!$B$26-2),L769,L769-MIN(MAX(L769,0),'P-Parametri'!$B$8*(L769+K769)))</f>
        <v>-245339.18740881694</v>
      </c>
      <c r="O769" s="18">
        <f>IF($A769&gt;('1-Input'!$B$26-2),O768,O768-J769*(1-I769))</f>
        <v>-188586.12012944557</v>
      </c>
      <c r="P769" s="11">
        <f>IF($A769&gt;('1-Input'!$B$26-2),0,IF(U768&lt;=0,0,MAX(0,(U768-V768)/U768)))</f>
        <v>0</v>
      </c>
      <c r="Q769" s="18">
        <f>IF($A769&gt;('1-Input'!$B$26-2),0,(MAX(0,P726-IF($A769&gt;='1-Input'!$C$12,'1-Input'!$B$12,0))-MIN(MAX(T768,0),MAX(0,P726-IF($A769&gt;='1-Input'!$C$12,'1-Input'!$B$12,0))))*(1/(1-'P-Parametri'!$B$6*P769))+MIN(MAX(0,U768-(MAX(0,P726-IF($A769&gt;='1-Input'!$C$12,'1-Input'!$B$12,0))-MIN(MAX(T768,0),MAX(0,P726-IF($A769&gt;='1-Input'!$C$12,'1-Input'!$B$12,0))))*(1/(1-'P-Parametri'!$B$6*P769))),MAX(0,2*P726-(T768-MIN(MAX(T768,0),MAX(0,P726-IF($A769&gt;='1-Input'!$C$12,'1-Input'!$B$12,0)))))*(1/(1-'P-Parametri'!$B$6*P769))))</f>
        <v>1488.0893668486742</v>
      </c>
      <c r="R769" s="18">
        <f>IF($A769&gt;('1-Input'!$B$26-2),T768,(T768-MAX(0,P726-IF($A769&gt;='1-Input'!$C$12,'1-Input'!$B$12,0))+Q769*(1-'P-Parametri'!$B$6*P769))*(1+'1-Input'!$B$27))</f>
        <v>0</v>
      </c>
      <c r="S769" s="18">
        <f>IF($A769&gt;('1-Input'!$B$26-2),U768,(U768-Q769)*(1+'5-Roberta'!$C$4))</f>
        <v>-1532.7320478541344</v>
      </c>
      <c r="T769" s="18">
        <f>IF($A769&gt;('1-Input'!$B$26-2),R769,R769-'P-Parametri'!$B$8*(S769+R769)+MIN(MAX(S769,0),'P-Parametri'!$B$8*(S769+R769)))</f>
        <v>0</v>
      </c>
      <c r="U769" s="18">
        <f>IF($A769&gt;('1-Input'!$B$26-2),S769,S769-MIN(MAX(S769,0),'P-Parametri'!$B$8*(S769+R769)))</f>
        <v>-1529.6665837584262</v>
      </c>
      <c r="V769" s="18">
        <f>IF($A769&gt;('1-Input'!$B$26-2),V768,V768-Q769*(1-P769))</f>
        <v>-1488.0893668486742</v>
      </c>
      <c r="W769" s="11">
        <f>IF($A769&gt;('1-Input'!$B$26-2),0,IF(AB768&lt;=0,0,MAX(0,(AB768-AC768)/AB768)))</f>
        <v>0</v>
      </c>
      <c r="X769" s="18">
        <f>IF($A769&gt;('1-Input'!$B$26-2),0,(MAX(0,W726-IF($A769&gt;='1-Input'!$C$12,'1-Input'!$B$12,0))-MIN(MAX(AA768,0),MAX(0,W726-IF($A769&gt;='1-Input'!$C$12,'1-Input'!$B$12,0))))*(1/(1-'P-Parametri'!$B$6*W769))+MIN(MAX(0,AB768-(MAX(0,W726-IF($A769&gt;='1-Input'!$C$12,'1-Input'!$B$12,0))-MIN(MAX(AA768,0),MAX(0,W726-IF($A769&gt;='1-Input'!$C$12,'1-Input'!$B$12,0))))*(1/(1-'P-Parametri'!$B$6*W769))),MAX(0,2*W726-(AA768-MIN(MAX(AA768,0),MAX(0,W726-IF($A769&gt;='1-Input'!$C$12,'1-Input'!$B$12,0)))))*(1/(1-'P-Parametri'!$B$6*W769))))</f>
        <v>0</v>
      </c>
      <c r="Y769" s="18">
        <f>IF($A769&gt;('1-Input'!$B$26-2),AA768,(AA768-MAX(0,W726-IF($A769&gt;='1-Input'!$C$12,'1-Input'!$B$12,0))+X769*(1-'P-Parametri'!$B$6*W769))*(1+'1-Input'!$B$27))</f>
        <v>13189.949503685675</v>
      </c>
      <c r="Z769" s="18">
        <f>IF($A769&gt;('1-Input'!$B$26-2),AB768,(AB768-X769)*(1+'5-Roberta'!$C$4))</f>
        <v>0</v>
      </c>
      <c r="AA769" s="18">
        <f>IF($A769&gt;('1-Input'!$B$26-2),Y769,Y769-'P-Parametri'!$B$8*(Z769+Y769)+MIN(MAX(Z769,0),'P-Parametri'!$B$8*(Z769+Y769)))</f>
        <v>13163.569604678303</v>
      </c>
      <c r="AB769" s="18">
        <f>IF($A769&gt;('1-Input'!$B$26-2),Z769,Z769-MIN(MAX(Z769,0),'P-Parametri'!$B$8*(Z769+Y769)))</f>
        <v>0</v>
      </c>
      <c r="AC769" s="18">
        <f>IF($A769&gt;('1-Input'!$B$26-2),AC768,AC768-X769*(1-W769))</f>
        <v>4.5474735088646412E-13</v>
      </c>
      <c r="AD769" s="11">
        <f>IF($A769&gt;('1-Input'!$B$26-2),0,IF(AI768&lt;=0,0,MAX(0,(AI768-AJ768)/AI768)))</f>
        <v>0</v>
      </c>
      <c r="AE769" s="18">
        <f>IF($A769&gt;('1-Input'!$B$26-2),0,(MAX(0,AD726-IF($A769&gt;='1-Input'!$C$12,'1-Input'!$B$12,0))-MIN(MAX(AH768,0),MAX(0,AD726-IF($A769&gt;='1-Input'!$C$12,'1-Input'!$B$12,0))))*(1/(1-'P-Parametri'!$B$6*AD769))+MIN(MAX(0,AI768-(MAX(0,AD726-IF($A769&gt;='1-Input'!$C$12,'1-Input'!$B$12,0))-MIN(MAX(AH768,0),MAX(0,AD726-IF($A769&gt;='1-Input'!$C$12,'1-Input'!$B$12,0))))*(1/(1-'P-Parametri'!$B$6*AD769))),MAX(0,2*AD726-(AH768-MIN(MAX(AH768,0),MAX(0,AD726-IF($A769&gt;='1-Input'!$C$12,'1-Input'!$B$12,0)))))*(1/(1-'P-Parametri'!$B$6*AD769))))</f>
        <v>0</v>
      </c>
      <c r="AF769" s="18">
        <f>IF($A769&gt;('1-Input'!$B$26-2),AH768,(AH768-MAX(0,AD726-IF($A769&gt;='1-Input'!$C$12,'1-Input'!$B$12,0))+AE769*(1-'P-Parametri'!$B$6*AD769))*(1+'1-Input'!$B$27))</f>
        <v>14139.11890014922</v>
      </c>
      <c r="AG769" s="18">
        <f>IF($A769&gt;('1-Input'!$B$26-2),AI768,(AI768-AE769)*(1+'5-Roberta'!$C$4))</f>
        <v>0</v>
      </c>
      <c r="AH769" s="18">
        <f>IF($A769&gt;('1-Input'!$B$26-2),AF769,AF769-'P-Parametri'!$B$8*(AG769+AF769)+MIN(MAX(AG769,0),'P-Parametri'!$B$8*(AG769+AF769)))</f>
        <v>14110.840662348923</v>
      </c>
      <c r="AI769" s="18">
        <f>IF($A769&gt;('1-Input'!$B$26-2),AG769,AG769-MIN(MAX(AG769,0),'P-Parametri'!$B$8*(AG769+AF769)))</f>
        <v>0</v>
      </c>
      <c r="AJ769" s="18">
        <f>IF($A769&gt;('1-Input'!$B$26-2),AJ768,AJ768-AE769*(1-AD769))</f>
        <v>0</v>
      </c>
      <c r="AK769" s="11">
        <f>IF($A769&gt;('1-Input'!$B$26-2),0,IF(AP768&lt;=0,0,MAX(0,(AP768-AQ768)/AP768)))</f>
        <v>0</v>
      </c>
      <c r="AL769" s="18">
        <f>IF($A769&gt;('1-Input'!$B$26-2),0,(MAX(0,AK726-IF($A769&gt;='1-Input'!$C$12,'1-Input'!$B$12,0))-MIN(MAX(AO768,0),MAX(0,AK726-IF($A769&gt;='1-Input'!$C$12,'1-Input'!$B$12,0))))*(1/(1-'P-Parametri'!$B$6*AK769))+MIN(MAX(0,AP768-(MAX(0,AK726-IF($A769&gt;='1-Input'!$C$12,'1-Input'!$B$12,0))-MIN(MAX(AO768,0),MAX(0,AK726-IF($A769&gt;='1-Input'!$C$12,'1-Input'!$B$12,0))))*(1/(1-'P-Parametri'!$B$6*AK769))),MAX(0,2*AK726-(AO768-MIN(MAX(AO768,0),MAX(0,AK726-IF($A769&gt;='1-Input'!$C$12,'1-Input'!$B$12,0)))))*(1/(1-'P-Parametri'!$B$6*AK769))))</f>
        <v>0</v>
      </c>
      <c r="AM769" s="18">
        <f>IF($A769&gt;('1-Input'!$B$26-2),AO768,(AO768-MAX(0,AK726-IF($A769&gt;='1-Input'!$C$12,'1-Input'!$B$12,0))+AL769*(1-'P-Parametri'!$B$6*AK769))*(1+'1-Input'!$B$27))</f>
        <v>14144.057012535393</v>
      </c>
      <c r="AN769" s="18">
        <f>IF($A769&gt;('1-Input'!$B$26-2),AP768,(AP768-AL769)*(1+'5-Roberta'!$C$4))</f>
        <v>0</v>
      </c>
      <c r="AO769" s="18">
        <f>IF($A769&gt;('1-Input'!$B$26-2),AM769,AM769-'P-Parametri'!$B$8*(AN769+AM769)+MIN(MAX(AN769,0),'P-Parametri'!$B$8*(AN769+AM769)))</f>
        <v>14115.768898510323</v>
      </c>
      <c r="AP769" s="18">
        <f>IF($A769&gt;('1-Input'!$B$26-2),AN769,AN769-MIN(MAX(AN769,0),'P-Parametri'!$B$8*(AN769+AM769)))</f>
        <v>0</v>
      </c>
      <c r="AQ769" s="18">
        <f>IF($A769&gt;('1-Input'!$B$26-2),AQ768,AQ768-AL769*(1-AK769))</f>
        <v>0</v>
      </c>
    </row>
    <row r="770" spans="1:43">
      <c r="A770" s="10">
        <f>42</f>
        <v>42</v>
      </c>
      <c r="B770" s="11">
        <f>IF($A770&gt;('1-Input'!$B$26-2),0,IF(G769&lt;=0,0,MAX(0,(G769-H769)/G769)))</f>
        <v>0.74315511964694136</v>
      </c>
      <c r="C770" s="18">
        <f>IF($A770&gt;('1-Input'!$B$26-2),0,(MAX(0,B726-IF($A770&gt;='1-Input'!$C$12,'1-Input'!$B$12,0))-MIN(MAX(F769,0),MAX(0,B726-IF($A770&gt;='1-Input'!$C$12,'1-Input'!$B$12,0))))*(1/(1-'P-Parametri'!$B$6*B770))+MIN(MAX(0,G769-(MAX(0,B726-IF($A770&gt;='1-Input'!$C$12,'1-Input'!$B$12,0))-MIN(MAX(F769,0),MAX(0,B726-IF($A770&gt;='1-Input'!$C$12,'1-Input'!$B$12,0))))*(1/(1-'P-Parametri'!$B$6*B770))),MAX(0,2*B726-(F769-MIN(MAX(F769,0),MAX(0,B726-IF($A770&gt;='1-Input'!$C$12,'1-Input'!$B$12,0)))))*(1/(1-'P-Parametri'!$B$6*B770))))</f>
        <v>7064.0834575312965</v>
      </c>
      <c r="D770" s="18">
        <f>IF($A770&gt;('1-Input'!$B$26-2),F769,(F769-MAX(0,B726-IF($A770&gt;='1-Input'!$C$12,'1-Input'!$B$12,0))+C770*(1-'P-Parametri'!$B$6*B770))*(1+'1-Input'!$B$27))</f>
        <v>33242.0070309863</v>
      </c>
      <c r="E770" s="18">
        <f>IF($A770&gt;('1-Input'!$B$26-2),G769,(G769-C770)*(1+'5-Roberta'!$C$4))</f>
        <v>105676.13308948769</v>
      </c>
      <c r="F770" s="18">
        <f>IF($A770&gt;('1-Input'!$B$26-2),D770,D770-'P-Parametri'!$B$8*(E770+D770)+MIN(MAX(E770,0),'P-Parametri'!$B$8*(E770+D770)))</f>
        <v>33242.0070309863</v>
      </c>
      <c r="G770" s="18">
        <f>IF($A770&gt;('1-Input'!$B$26-2),E770,E770-MIN(MAX(E770,0),'P-Parametri'!$B$8*(E770+D770)))</f>
        <v>105398.29680924673</v>
      </c>
      <c r="H770" s="18">
        <f>IF($A770&gt;('1-Input'!$B$26-2),H769,H769-C770*(1-B770))</f>
        <v>26351.819184022694</v>
      </c>
      <c r="I770" s="11">
        <f>IF($A770&gt;('1-Input'!$B$26-2),0,IF(N769&lt;=0,0,MAX(0,(N769-O769)/N769)))</f>
        <v>0</v>
      </c>
      <c r="J770" s="18">
        <f>IF($A770&gt;('1-Input'!$B$26-2),0,(MAX(0,I726-IF($A770&gt;='1-Input'!$C$12,'1-Input'!$B$12,0))-MIN(MAX(M769,0),MAX(0,I726-IF($A770&gt;='1-Input'!$C$12,'1-Input'!$B$12,0))))*(1/(1-'P-Parametri'!$B$6*I770))+MIN(MAX(0,N769-(MAX(0,I726-IF($A770&gt;='1-Input'!$C$12,'1-Input'!$B$12,0))-MIN(MAX(M769,0),MAX(0,I726-IF($A770&gt;='1-Input'!$C$12,'1-Input'!$B$12,0))))*(1/(1-'P-Parametri'!$B$6*I770))),MAX(0,2*I726-(M769-MIN(MAX(M769,0),MAX(0,I726-IF($A770&gt;='1-Input'!$C$12,'1-Input'!$B$12,0)))))*(1/(1-'P-Parametri'!$B$6*I770))))</f>
        <v>10846.756992928691</v>
      </c>
      <c r="K770" s="18">
        <f>IF($A770&gt;('1-Input'!$B$26-2),M769,(M769-MAX(0,I726-IF($A770&gt;='1-Input'!$C$12,'1-Input'!$B$12,0))+J770*(1-'P-Parametri'!$B$6*I770))*(1+'1-Input'!$B$27))</f>
        <v>0</v>
      </c>
      <c r="L770" s="18">
        <f>IF($A770&gt;('1-Input'!$B$26-2),N769,(N769-J770)*(1+'5-Roberta'!$C$4))</f>
        <v>-263871.52273379802</v>
      </c>
      <c r="M770" s="18">
        <f>IF($A770&gt;('1-Input'!$B$26-2),K770,K770-'P-Parametri'!$B$8*(L770+K770)+MIN(MAX(L770,0),'P-Parametri'!$B$8*(L770+K770)))</f>
        <v>0</v>
      </c>
      <c r="N770" s="18">
        <f>IF($A770&gt;('1-Input'!$B$26-2),L770,L770-MIN(MAX(L770,0),'P-Parametri'!$B$8*(L770+K770)))</f>
        <v>-263343.77968833043</v>
      </c>
      <c r="O770" s="18">
        <f>IF($A770&gt;('1-Input'!$B$26-2),O769,O769-J770*(1-I770))</f>
        <v>-199432.87712237425</v>
      </c>
      <c r="P770" s="11">
        <f>IF($A770&gt;('1-Input'!$B$26-2),0,IF(U769&lt;=0,0,MAX(0,(U769-V769)/U769)))</f>
        <v>0</v>
      </c>
      <c r="Q770" s="18">
        <f>IF($A770&gt;('1-Input'!$B$26-2),0,(MAX(0,P726-IF($A770&gt;='1-Input'!$C$12,'1-Input'!$B$12,0))-MIN(MAX(T769,0),MAX(0,P726-IF($A770&gt;='1-Input'!$C$12,'1-Input'!$B$12,0))))*(1/(1-'P-Parametri'!$B$6*P770))+MIN(MAX(0,U769-(MAX(0,P726-IF($A770&gt;='1-Input'!$C$12,'1-Input'!$B$12,0))-MIN(MAX(T769,0),MAX(0,P726-IF($A770&gt;='1-Input'!$C$12,'1-Input'!$B$12,0))))*(1/(1-'P-Parametri'!$B$6*P770))),MAX(0,2*P726-(T769-MIN(MAX(T769,0),MAX(0,P726-IF($A770&gt;='1-Input'!$C$12,'1-Input'!$B$12,0)))))*(1/(1-'P-Parametri'!$B$6*P770))))</f>
        <v>7278.53886184168</v>
      </c>
      <c r="R770" s="18">
        <f>IF($A770&gt;('1-Input'!$B$26-2),T769,(T769-MAX(0,P726-IF($A770&gt;='1-Input'!$C$12,'1-Input'!$B$12,0))+Q770*(1-'P-Parametri'!$B$6*P770))*(1+'1-Input'!$B$27))</f>
        <v>0</v>
      </c>
      <c r="S770" s="18">
        <f>IF($A770&gt;('1-Input'!$B$26-2),U769,(U769-Q770)*(1+'5-Roberta'!$C$4))</f>
        <v>-9072.4516089681092</v>
      </c>
      <c r="T770" s="18">
        <f>IF($A770&gt;('1-Input'!$B$26-2),R770,R770-'P-Parametri'!$B$8*(S770+R770)+MIN(MAX(S770,0),'P-Parametri'!$B$8*(S770+R770)))</f>
        <v>0</v>
      </c>
      <c r="U770" s="18">
        <f>IF($A770&gt;('1-Input'!$B$26-2),S770,S770-MIN(MAX(S770,0),'P-Parametri'!$B$8*(S770+R770)))</f>
        <v>-9054.3067057501721</v>
      </c>
      <c r="V770" s="18">
        <f>IF($A770&gt;('1-Input'!$B$26-2),V769,V769-Q770*(1-P770))</f>
        <v>-8766.6282286903552</v>
      </c>
      <c r="W770" s="11">
        <f>IF($A770&gt;('1-Input'!$B$26-2),0,IF(AB769&lt;=0,0,MAX(0,(AB769-AC769)/AB769)))</f>
        <v>0</v>
      </c>
      <c r="X770" s="18">
        <f>IF($A770&gt;('1-Input'!$B$26-2),0,(MAX(0,W726-IF($A770&gt;='1-Input'!$C$12,'1-Input'!$B$12,0))-MIN(MAX(AA769,0),MAX(0,W726-IF($A770&gt;='1-Input'!$C$12,'1-Input'!$B$12,0))))*(1/(1-'P-Parametri'!$B$6*W770))+MIN(MAX(0,AB769-(MAX(0,W726-IF($A770&gt;='1-Input'!$C$12,'1-Input'!$B$12,0))-MIN(MAX(AA769,0),MAX(0,W726-IF($A770&gt;='1-Input'!$C$12,'1-Input'!$B$12,0))))*(1/(1-'P-Parametri'!$B$6*W770))),MAX(0,2*W726-(AA769-MIN(MAX(AA769,0),MAX(0,W726-IF($A770&gt;='1-Input'!$C$12,'1-Input'!$B$12,0)))))*(1/(1-'P-Parametri'!$B$6*W770))))</f>
        <v>0</v>
      </c>
      <c r="Y770" s="18">
        <f>IF($A770&gt;('1-Input'!$B$26-2),AA769,(AA769-MAX(0,W726-IF($A770&gt;='1-Input'!$C$12,'1-Input'!$B$12,0))+X770*(1-'P-Parametri'!$B$6*W770))*(1+'1-Input'!$B$27))</f>
        <v>6089.0438514498264</v>
      </c>
      <c r="Z770" s="18">
        <f>IF($A770&gt;('1-Input'!$B$26-2),AB769,(AB769-X770)*(1+'5-Roberta'!$C$4))</f>
        <v>0</v>
      </c>
      <c r="AA770" s="18">
        <f>IF($A770&gt;('1-Input'!$B$26-2),Y770,Y770-'P-Parametri'!$B$8*(Z770+Y770)+MIN(MAX(Z770,0),'P-Parametri'!$B$8*(Z770+Y770)))</f>
        <v>6076.8657637469269</v>
      </c>
      <c r="AB770" s="18">
        <f>IF($A770&gt;('1-Input'!$B$26-2),Z770,Z770-MIN(MAX(Z770,0),'P-Parametri'!$B$8*(Z770+Y770)))</f>
        <v>0</v>
      </c>
      <c r="AC770" s="18">
        <f>IF($A770&gt;('1-Input'!$B$26-2),AC769,AC769-X770*(1-W770))</f>
        <v>4.5474735088646412E-13</v>
      </c>
      <c r="AD770" s="11">
        <f>IF($A770&gt;('1-Input'!$B$26-2),0,IF(AI769&lt;=0,0,MAX(0,(AI769-AJ769)/AI769)))</f>
        <v>0</v>
      </c>
      <c r="AE770" s="18">
        <f>IF($A770&gt;('1-Input'!$B$26-2),0,(MAX(0,AD726-IF($A770&gt;='1-Input'!$C$12,'1-Input'!$B$12,0))-MIN(MAX(AH769,0),MAX(0,AD726-IF($A770&gt;='1-Input'!$C$12,'1-Input'!$B$12,0))))*(1/(1-'P-Parametri'!$B$6*AD770))+MIN(MAX(0,AI769-(MAX(0,AD726-IF($A770&gt;='1-Input'!$C$12,'1-Input'!$B$12,0))-MIN(MAX(AH769,0),MAX(0,AD726-IF($A770&gt;='1-Input'!$C$12,'1-Input'!$B$12,0))))*(1/(1-'P-Parametri'!$B$6*AD770))),MAX(0,2*AD726-(AH769-MIN(MAX(AH769,0),MAX(0,AD726-IF($A770&gt;='1-Input'!$C$12,'1-Input'!$B$12,0)))))*(1/(1-'P-Parametri'!$B$6*AD770))))</f>
        <v>0</v>
      </c>
      <c r="AF770" s="18">
        <f>IF($A770&gt;('1-Input'!$B$26-2),AH769,(AH769-MAX(0,AD726-IF($A770&gt;='1-Input'!$C$12,'1-Input'!$B$12,0))+AE770*(1-'P-Parametri'!$B$6*AD770))*(1+'1-Input'!$B$27))</f>
        <v>7047.2119073067943</v>
      </c>
      <c r="AG770" s="18">
        <f>IF($A770&gt;('1-Input'!$B$26-2),AI769,(AI769-AE770)*(1+'5-Roberta'!$C$4))</f>
        <v>0</v>
      </c>
      <c r="AH770" s="18">
        <f>IF($A770&gt;('1-Input'!$B$26-2),AF770,AF770-'P-Parametri'!$B$8*(AG770+AF770)+MIN(MAX(AG770,0),'P-Parametri'!$B$8*(AG770+AF770)))</f>
        <v>7033.1174834921803</v>
      </c>
      <c r="AI770" s="18">
        <f>IF($A770&gt;('1-Input'!$B$26-2),AG770,AG770-MIN(MAX(AG770,0),'P-Parametri'!$B$8*(AG770+AF770)))</f>
        <v>0</v>
      </c>
      <c r="AJ770" s="18">
        <f>IF($A770&gt;('1-Input'!$B$26-2),AJ769,AJ769-AE770*(1-AD770))</f>
        <v>0</v>
      </c>
      <c r="AK770" s="11">
        <f>IF($A770&gt;('1-Input'!$B$26-2),0,IF(AP769&lt;=0,0,MAX(0,(AP769-AQ769)/AP769)))</f>
        <v>0</v>
      </c>
      <c r="AL770" s="18">
        <f>IF($A770&gt;('1-Input'!$B$26-2),0,(MAX(0,AK726-IF($A770&gt;='1-Input'!$C$12,'1-Input'!$B$12,0))-MIN(MAX(AO769,0),MAX(0,AK726-IF($A770&gt;='1-Input'!$C$12,'1-Input'!$B$12,0))))*(1/(1-'P-Parametri'!$B$6*AK770))+MIN(MAX(0,AP769-(MAX(0,AK726-IF($A770&gt;='1-Input'!$C$12,'1-Input'!$B$12,0))-MIN(MAX(AO769,0),MAX(0,AK726-IF($A770&gt;='1-Input'!$C$12,'1-Input'!$B$12,0))))*(1/(1-'P-Parametri'!$B$6*AK770))),MAX(0,2*AK726-(AO769-MIN(MAX(AO769,0),MAX(0,AK726-IF($A770&gt;='1-Input'!$C$12,'1-Input'!$B$12,0)))))*(1/(1-'P-Parametri'!$B$6*AK770))))</f>
        <v>0</v>
      </c>
      <c r="AM770" s="18">
        <f>IF($A770&gt;('1-Input'!$B$26-2),AO769,(AO769-MAX(0,AK726-IF($A770&gt;='1-Input'!$C$12,'1-Input'!$B$12,0))+AL770*(1-'P-Parametri'!$B$6*AK770))*(1+'1-Input'!$B$27))</f>
        <v>7052.1968355579102</v>
      </c>
      <c r="AN770" s="18">
        <f>IF($A770&gt;('1-Input'!$B$26-2),AP769,(AP769-AL770)*(1+'5-Roberta'!$C$4))</f>
        <v>0</v>
      </c>
      <c r="AO770" s="18">
        <f>IF($A770&gt;('1-Input'!$B$26-2),AM770,AM770-'P-Parametri'!$B$8*(AN770+AM770)+MIN(MAX(AN770,0),'P-Parametri'!$B$8*(AN770+AM770)))</f>
        <v>7038.0924418867944</v>
      </c>
      <c r="AP770" s="18">
        <f>IF($A770&gt;('1-Input'!$B$26-2),AN770,AN770-MIN(MAX(AN770,0),'P-Parametri'!$B$8*(AN770+AM770)))</f>
        <v>0</v>
      </c>
      <c r="AQ770" s="18">
        <f>IF($A770&gt;('1-Input'!$B$26-2),AQ769,AQ769-AL770*(1-AK770))</f>
        <v>0</v>
      </c>
    </row>
    <row r="771" spans="1:43">
      <c r="A771" s="10">
        <f>43</f>
        <v>43</v>
      </c>
      <c r="B771" s="11">
        <f>IF($A771&gt;('1-Input'!$B$26-2),0,IF(G770&lt;=0,0,MAX(0,(G770-H770)/G770)))</f>
        <v>0.74997870001908029</v>
      </c>
      <c r="C771" s="18">
        <f>IF($A771&gt;('1-Input'!$B$26-2),0,(MAX(0,B726-IF($A771&gt;='1-Input'!$C$12,'1-Input'!$B$12,0))-MIN(MAX(F770,0),MAX(0,B726-IF($A771&gt;='1-Input'!$C$12,'1-Input'!$B$12,0))))*(1/(1-'P-Parametri'!$B$6*B771))+MIN(MAX(0,G770-(MAX(0,B726-IF($A771&gt;='1-Input'!$C$12,'1-Input'!$B$12,0))-MIN(MAX(F770,0),MAX(0,B726-IF($A771&gt;='1-Input'!$C$12,'1-Input'!$B$12,0))))*(1/(1-'P-Parametri'!$B$6*B771))),MAX(0,2*B726-(F770-MIN(MAX(F770,0),MAX(0,B726-IF($A771&gt;='1-Input'!$C$12,'1-Input'!$B$12,0)))))*(1/(1-'P-Parametri'!$B$6*B771))))</f>
        <v>7079.6518084652344</v>
      </c>
      <c r="D771" s="18">
        <f>IF($A771&gt;('1-Input'!$B$26-2),F770,(F770-MAX(0,B726-IF($A771&gt;='1-Input'!$C$12,'1-Input'!$B$12,0))+C771*(1-'P-Parametri'!$B$6*B771))*(1+'1-Input'!$B$27))</f>
        <v>33242.0070309863</v>
      </c>
      <c r="E771" s="18">
        <f>IF($A771&gt;('1-Input'!$B$26-2),G770,(G770-C771)*(1+'5-Roberta'!$C$4))</f>
        <v>101268.20435080495</v>
      </c>
      <c r="F771" s="18">
        <f>IF($A771&gt;('1-Input'!$B$26-2),D771,D771-'P-Parametri'!$B$8*(E771+D771)+MIN(MAX(E771,0),'P-Parametri'!$B$8*(E771+D771)))</f>
        <v>33242.0070309863</v>
      </c>
      <c r="G771" s="18">
        <f>IF($A771&gt;('1-Input'!$B$26-2),E771,E771-MIN(MAX(E771,0),'P-Parametri'!$B$8*(E771+D771)))</f>
        <v>100999.18392804137</v>
      </c>
      <c r="H771" s="18">
        <f>IF($A771&gt;('1-Input'!$B$26-2),H770,H770-C771*(1-B771))</f>
        <v>24581.755435457948</v>
      </c>
      <c r="I771" s="11">
        <f>IF($A771&gt;('1-Input'!$B$26-2),0,IF(N770&lt;=0,0,MAX(0,(N770-O770)/N770)))</f>
        <v>0</v>
      </c>
      <c r="J771" s="18">
        <f>IF($A771&gt;('1-Input'!$B$26-2),0,(MAX(0,I726-IF($A771&gt;='1-Input'!$C$12,'1-Input'!$B$12,0))-MIN(MAX(M770,0),MAX(0,I726-IF($A771&gt;='1-Input'!$C$12,'1-Input'!$B$12,0))))*(1/(1-'P-Parametri'!$B$6*I771))+MIN(MAX(0,N770-(MAX(0,I726-IF($A771&gt;='1-Input'!$C$12,'1-Input'!$B$12,0))-MIN(MAX(M770,0),MAX(0,I726-IF($A771&gt;='1-Input'!$C$12,'1-Input'!$B$12,0))))*(1/(1-'P-Parametri'!$B$6*I771))),MAX(0,2*I726-(M770-MIN(MAX(M770,0),MAX(0,I726-IF($A771&gt;='1-Input'!$C$12,'1-Input'!$B$12,0)))))*(1/(1-'P-Parametri'!$B$6*I771))))</f>
        <v>10846.756992928691</v>
      </c>
      <c r="K771" s="18">
        <f>IF($A771&gt;('1-Input'!$B$26-2),M770,(M770-MAX(0,I726-IF($A771&gt;='1-Input'!$C$12,'1-Input'!$B$12,0))+J771*(1-'P-Parametri'!$B$6*I771))*(1+'1-Input'!$B$27))</f>
        <v>0</v>
      </c>
      <c r="L771" s="18">
        <f>IF($A771&gt;('1-Input'!$B$26-2),N770,(N770-J771)*(1+'5-Roberta'!$C$4))</f>
        <v>-282416.25278169691</v>
      </c>
      <c r="M771" s="18">
        <f>IF($A771&gt;('1-Input'!$B$26-2),K771,K771-'P-Parametri'!$B$8*(L771+K771)+MIN(MAX(L771,0),'P-Parametri'!$B$8*(L771+K771)))</f>
        <v>0</v>
      </c>
      <c r="N771" s="18">
        <f>IF($A771&gt;('1-Input'!$B$26-2),L771,L771-MIN(MAX(L771,0),'P-Parametri'!$B$8*(L771+K771)))</f>
        <v>-281851.42027613352</v>
      </c>
      <c r="O771" s="18">
        <f>IF($A771&gt;('1-Input'!$B$26-2),O770,O770-J771*(1-I771))</f>
        <v>-210279.63411530294</v>
      </c>
      <c r="P771" s="11">
        <f>IF($A771&gt;('1-Input'!$B$26-2),0,IF(U770&lt;=0,0,MAX(0,(U770-V770)/U770)))</f>
        <v>0</v>
      </c>
      <c r="Q771" s="18">
        <f>IF($A771&gt;('1-Input'!$B$26-2),0,(MAX(0,P726-IF($A771&gt;='1-Input'!$C$12,'1-Input'!$B$12,0))-MIN(MAX(T770,0),MAX(0,P726-IF($A771&gt;='1-Input'!$C$12,'1-Input'!$B$12,0))))*(1/(1-'P-Parametri'!$B$6*P771))+MIN(MAX(0,U770-(MAX(0,P726-IF($A771&gt;='1-Input'!$C$12,'1-Input'!$B$12,0))-MIN(MAX(T770,0),MAX(0,P726-IF($A771&gt;='1-Input'!$C$12,'1-Input'!$B$12,0))))*(1/(1-'P-Parametri'!$B$6*P771))),MAX(0,2*P726-(T770-MIN(MAX(T770,0),MAX(0,P726-IF($A771&gt;='1-Input'!$C$12,'1-Input'!$B$12,0)))))*(1/(1-'P-Parametri'!$B$6*P771))))</f>
        <v>7278.53886184168</v>
      </c>
      <c r="R771" s="18">
        <f>IF($A771&gt;('1-Input'!$B$26-2),T770,(T770-MAX(0,P726-IF($A771&gt;='1-Input'!$C$12,'1-Input'!$B$12,0))+Q771*(1-'P-Parametri'!$B$6*P771))*(1+'1-Input'!$B$27))</f>
        <v>0</v>
      </c>
      <c r="S771" s="18">
        <f>IF($A771&gt;('1-Input'!$B$26-2),U770,(U770-Q771)*(1+'5-Roberta'!$C$4))</f>
        <v>-16822.830934619607</v>
      </c>
      <c r="T771" s="18">
        <f>IF($A771&gt;('1-Input'!$B$26-2),R771,R771-'P-Parametri'!$B$8*(S771+R771)+MIN(MAX(S771,0),'P-Parametri'!$B$8*(S771+R771)))</f>
        <v>0</v>
      </c>
      <c r="U771" s="18">
        <f>IF($A771&gt;('1-Input'!$B$26-2),S771,S771-MIN(MAX(S771,0),'P-Parametri'!$B$8*(S771+R771)))</f>
        <v>-16789.185272750368</v>
      </c>
      <c r="V771" s="18">
        <f>IF($A771&gt;('1-Input'!$B$26-2),V770,V770-Q771*(1-P771))</f>
        <v>-16045.167090532035</v>
      </c>
      <c r="W771" s="11">
        <f>IF($A771&gt;('1-Input'!$B$26-2),0,IF(AB770&lt;=0,0,MAX(0,(AB770-AC770)/AB770)))</f>
        <v>0</v>
      </c>
      <c r="X771" s="18">
        <f>IF($A771&gt;('1-Input'!$B$26-2),0,(MAX(0,W726-IF($A771&gt;='1-Input'!$C$12,'1-Input'!$B$12,0))-MIN(MAX(AA770,0),MAX(0,W726-IF($A771&gt;='1-Input'!$C$12,'1-Input'!$B$12,0))))*(1/(1-'P-Parametri'!$B$6*W771))+MIN(MAX(0,AB770-(MAX(0,W726-IF($A771&gt;='1-Input'!$C$12,'1-Input'!$B$12,0))-MIN(MAX(AA770,0),MAX(0,W726-IF($A771&gt;='1-Input'!$C$12,'1-Input'!$B$12,0))))*(1/(1-'P-Parametri'!$B$6*W771))),MAX(0,2*W726-(AA770-MIN(MAX(AA770,0),MAX(0,W726-IF($A771&gt;='1-Input'!$C$12,'1-Input'!$B$12,0)))))*(1/(1-'P-Parametri'!$B$6*W771))))</f>
        <v>975.66023249116461</v>
      </c>
      <c r="Y771" s="18">
        <f>IF($A771&gt;('1-Input'!$B$26-2),AA770,(AA770-MAX(0,W726-IF($A771&gt;='1-Input'!$C$12,'1-Input'!$B$12,0))+X771*(1-'P-Parametri'!$B$6*W771))*(1+'1-Input'!$B$27))</f>
        <v>0</v>
      </c>
      <c r="Z771" s="18">
        <f>IF($A771&gt;('1-Input'!$B$26-2),AB770,(AB770-X771)*(1+'5-Roberta'!$C$4))</f>
        <v>-1004.9300394658995</v>
      </c>
      <c r="AA771" s="18">
        <f>IF($A771&gt;('1-Input'!$B$26-2),Y771,Y771-'P-Parametri'!$B$8*(Z771+Y771)+MIN(MAX(Z771,0),'P-Parametri'!$B$8*(Z771+Y771)))</f>
        <v>0</v>
      </c>
      <c r="AB771" s="18">
        <f>IF($A771&gt;('1-Input'!$B$26-2),Z771,Z771-MIN(MAX(Z771,0),'P-Parametri'!$B$8*(Z771+Y771)))</f>
        <v>-1002.9201793869678</v>
      </c>
      <c r="AC771" s="18">
        <f>IF($A771&gt;('1-Input'!$B$26-2),AC770,AC770-X771*(1-W771))</f>
        <v>-975.66023249116415</v>
      </c>
      <c r="AD771" s="11">
        <f>IF($A771&gt;('1-Input'!$B$26-2),0,IF(AI770&lt;=0,0,MAX(0,(AI770-AJ770)/AI770)))</f>
        <v>0</v>
      </c>
      <c r="AE771" s="18">
        <f>IF($A771&gt;('1-Input'!$B$26-2),0,(MAX(0,AD726-IF($A771&gt;='1-Input'!$C$12,'1-Input'!$B$12,0))-MIN(MAX(AH770,0),MAX(0,AD726-IF($A771&gt;='1-Input'!$C$12,'1-Input'!$B$12,0))))*(1/(1-'P-Parametri'!$B$6*AD771))+MIN(MAX(0,AI770-(MAX(0,AD726-IF($A771&gt;='1-Input'!$C$12,'1-Input'!$B$12,0))-MIN(MAX(AH770,0),MAX(0,AD726-IF($A771&gt;='1-Input'!$C$12,'1-Input'!$B$12,0))))*(1/(1-'P-Parametri'!$B$6*AD771))),MAX(0,2*AD726-(AH770-MIN(MAX(AH770,0),MAX(0,AD726-IF($A771&gt;='1-Input'!$C$12,'1-Input'!$B$12,0)))))*(1/(1-'P-Parametri'!$B$6*AD771))))</f>
        <v>5.0496468346682377</v>
      </c>
      <c r="AF771" s="18">
        <f>IF($A771&gt;('1-Input'!$B$26-2),AH770,(AH770-MAX(0,AD726-IF($A771&gt;='1-Input'!$C$12,'1-Input'!$B$12,0))+AE771*(1-'P-Parametri'!$B$6*AD771))*(1+'1-Input'!$B$27))</f>
        <v>0</v>
      </c>
      <c r="AG771" s="18">
        <f>IF($A771&gt;('1-Input'!$B$26-2),AI770,(AI770-AE771)*(1+'5-Roberta'!$C$4))</f>
        <v>-5.2011362397082852</v>
      </c>
      <c r="AH771" s="18">
        <f>IF($A771&gt;('1-Input'!$B$26-2),AF771,AF771-'P-Parametri'!$B$8*(AG771+AF771)+MIN(MAX(AG771,0),'P-Parametri'!$B$8*(AG771+AF771)))</f>
        <v>0</v>
      </c>
      <c r="AI771" s="18">
        <f>IF($A771&gt;('1-Input'!$B$26-2),AG771,AG771-MIN(MAX(AG771,0),'P-Parametri'!$B$8*(AG771+AF771)))</f>
        <v>-5.1907339672288684</v>
      </c>
      <c r="AJ771" s="18">
        <f>IF($A771&gt;('1-Input'!$B$26-2),AJ770,AJ770-AE771*(1-AD771))</f>
        <v>-5.0496468346682377</v>
      </c>
      <c r="AK771" s="11">
        <f>IF($A771&gt;('1-Input'!$B$26-2),0,IF(AP770&lt;=0,0,MAX(0,(AP770-AQ770)/AP770)))</f>
        <v>0</v>
      </c>
      <c r="AL771" s="18">
        <f>IF($A771&gt;('1-Input'!$B$26-2),0,(MAX(0,AK726-IF($A771&gt;='1-Input'!$C$12,'1-Input'!$B$12,0))-MIN(MAX(AO770,0),MAX(0,AK726-IF($A771&gt;='1-Input'!$C$12,'1-Input'!$B$12,0))))*(1/(1-'P-Parametri'!$B$6*AK771))+MIN(MAX(0,AP770-(MAX(0,AK726-IF($A771&gt;='1-Input'!$C$12,'1-Input'!$B$12,0))-MIN(MAX(AO770,0),MAX(0,AK726-IF($A771&gt;='1-Input'!$C$12,'1-Input'!$B$12,0))))*(1/(1-'P-Parametri'!$B$6*AK771))),MAX(0,2*AK726-(AO770-MIN(MAX(AO770,0),MAX(0,AK726-IF($A771&gt;='1-Input'!$C$12,'1-Input'!$B$12,0)))))*(1/(1-'P-Parametri'!$B$6*AK771))))</f>
        <v>0</v>
      </c>
      <c r="AM771" s="18">
        <f>IF($A771&gt;('1-Input'!$B$26-2),AO770,(AO770-MAX(0,AK726-IF($A771&gt;='1-Input'!$C$12,'1-Input'!$B$12,0))+AL771*(1-'P-Parametri'!$B$6*AK771))*(1+'1-Input'!$B$27))</f>
        <v>1.4178226035437546E-5</v>
      </c>
      <c r="AN771" s="18">
        <f>IF($A771&gt;('1-Input'!$B$26-2),AP770,(AP770-AL771)*(1+'5-Roberta'!$C$4))</f>
        <v>0</v>
      </c>
      <c r="AO771" s="18">
        <f>IF($A771&gt;('1-Input'!$B$26-2),AM771,AM771-'P-Parametri'!$B$8*(AN771+AM771)+MIN(MAX(AN771,0),'P-Parametri'!$B$8*(AN771+AM771)))</f>
        <v>1.4149869583366671E-5</v>
      </c>
      <c r="AP771" s="18">
        <f>IF($A771&gt;('1-Input'!$B$26-2),AN771,AN771-MIN(MAX(AN771,0),'P-Parametri'!$B$8*(AN771+AM771)))</f>
        <v>0</v>
      </c>
      <c r="AQ771" s="18">
        <f>IF($A771&gt;('1-Input'!$B$26-2),AQ770,AQ770-AL771*(1-AK771))</f>
        <v>0</v>
      </c>
    </row>
    <row r="772" spans="1:43">
      <c r="A772" s="10">
        <f>44</f>
        <v>44</v>
      </c>
      <c r="B772" s="11">
        <f>IF($A772&gt;('1-Input'!$B$26-2),0,IF(G771&lt;=0,0,MAX(0,(G771-H771)/G771)))</f>
        <v>0</v>
      </c>
      <c r="C772" s="18">
        <f>IF($A772&gt;('1-Input'!$B$26-2),0,(MAX(0,B726-IF($A772&gt;='1-Input'!$C$12,'1-Input'!$B$12,0))-MIN(MAX(F771,0),MAX(0,B726-IF($A772&gt;='1-Input'!$C$12,'1-Input'!$B$12,0))))*(1/(1-'P-Parametri'!$B$6*B772))+MIN(MAX(0,G771-(MAX(0,B726-IF($A772&gt;='1-Input'!$C$12,'1-Input'!$B$12,0))-MIN(MAX(F771,0),MAX(0,B726-IF($A772&gt;='1-Input'!$C$12,'1-Input'!$B$12,0))))*(1/(1-'P-Parametri'!$B$6*B772))),MAX(0,2*B726-(F771-MIN(MAX(F771,0),MAX(0,B726-IF($A772&gt;='1-Input'!$C$12,'1-Input'!$B$12,0)))))*(1/(1-'P-Parametri'!$B$6*B772))))</f>
        <v>0</v>
      </c>
      <c r="D772" s="18">
        <f>IF($A772&gt;('1-Input'!$B$26-2),F771,(F771-MAX(0,B726-IF($A772&gt;='1-Input'!$C$12,'1-Input'!$B$12,0))+C772*(1-'P-Parametri'!$B$6*B772))*(1+'1-Input'!$B$27))</f>
        <v>33242.0070309863</v>
      </c>
      <c r="E772" s="18">
        <f>IF($A772&gt;('1-Input'!$B$26-2),G771,(G771-C772)*(1+'5-Roberta'!$C$4))</f>
        <v>100999.18392804137</v>
      </c>
      <c r="F772" s="18">
        <f>IF($A772&gt;('1-Input'!$B$26-2),D772,D772-'P-Parametri'!$B$8*(E772+D772)+MIN(MAX(E772,0),'P-Parametri'!$B$8*(E772+D772)))</f>
        <v>33242.0070309863</v>
      </c>
      <c r="G772" s="18">
        <f>IF($A772&gt;('1-Input'!$B$26-2),E772,E772-MIN(MAX(E772,0),'P-Parametri'!$B$8*(E772+D772)))</f>
        <v>100999.18392804137</v>
      </c>
      <c r="H772" s="18">
        <f>IF($A772&gt;('1-Input'!$B$26-2),H771,H771-C772*(1-B772))</f>
        <v>24581.755435457948</v>
      </c>
      <c r="I772" s="11">
        <f>IF($A772&gt;('1-Input'!$B$26-2),0,IF(N771&lt;=0,0,MAX(0,(N771-O771)/N771)))</f>
        <v>0</v>
      </c>
      <c r="J772" s="18">
        <f>IF($A772&gt;('1-Input'!$B$26-2),0,(MAX(0,I726-IF($A772&gt;='1-Input'!$C$12,'1-Input'!$B$12,0))-MIN(MAX(M771,0),MAX(0,I726-IF($A772&gt;='1-Input'!$C$12,'1-Input'!$B$12,0))))*(1/(1-'P-Parametri'!$B$6*I772))+MIN(MAX(0,N771-(MAX(0,I726-IF($A772&gt;='1-Input'!$C$12,'1-Input'!$B$12,0))-MIN(MAX(M771,0),MAX(0,I726-IF($A772&gt;='1-Input'!$C$12,'1-Input'!$B$12,0))))*(1/(1-'P-Parametri'!$B$6*I772))),MAX(0,2*I726-(M771-MIN(MAX(M771,0),MAX(0,I726-IF($A772&gt;='1-Input'!$C$12,'1-Input'!$B$12,0)))))*(1/(1-'P-Parametri'!$B$6*I772))))</f>
        <v>0</v>
      </c>
      <c r="K772" s="18">
        <f>IF($A772&gt;('1-Input'!$B$26-2),M771,(M771-MAX(0,I726-IF($A772&gt;='1-Input'!$C$12,'1-Input'!$B$12,0))+J772*(1-'P-Parametri'!$B$6*I772))*(1+'1-Input'!$B$27))</f>
        <v>0</v>
      </c>
      <c r="L772" s="18">
        <f>IF($A772&gt;('1-Input'!$B$26-2),N771,(N771-J772)*(1+'5-Roberta'!$C$4))</f>
        <v>-281851.42027613352</v>
      </c>
      <c r="M772" s="18">
        <f>IF($A772&gt;('1-Input'!$B$26-2),K772,K772-'P-Parametri'!$B$8*(L772+K772)+MIN(MAX(L772,0),'P-Parametri'!$B$8*(L772+K772)))</f>
        <v>0</v>
      </c>
      <c r="N772" s="18">
        <f>IF($A772&gt;('1-Input'!$B$26-2),L772,L772-MIN(MAX(L772,0),'P-Parametri'!$B$8*(L772+K772)))</f>
        <v>-281851.42027613352</v>
      </c>
      <c r="O772" s="18">
        <f>IF($A772&gt;('1-Input'!$B$26-2),O771,O771-J772*(1-I772))</f>
        <v>-210279.63411530294</v>
      </c>
      <c r="P772" s="11">
        <f>IF($A772&gt;('1-Input'!$B$26-2),0,IF(U771&lt;=0,0,MAX(0,(U771-V771)/U771)))</f>
        <v>0</v>
      </c>
      <c r="Q772" s="18">
        <f>IF($A772&gt;('1-Input'!$B$26-2),0,(MAX(0,P726-IF($A772&gt;='1-Input'!$C$12,'1-Input'!$B$12,0))-MIN(MAX(T771,0),MAX(0,P726-IF($A772&gt;='1-Input'!$C$12,'1-Input'!$B$12,0))))*(1/(1-'P-Parametri'!$B$6*P772))+MIN(MAX(0,U771-(MAX(0,P726-IF($A772&gt;='1-Input'!$C$12,'1-Input'!$B$12,0))-MIN(MAX(T771,0),MAX(0,P726-IF($A772&gt;='1-Input'!$C$12,'1-Input'!$B$12,0))))*(1/(1-'P-Parametri'!$B$6*P772))),MAX(0,2*P726-(T771-MIN(MAX(T771,0),MAX(0,P726-IF($A772&gt;='1-Input'!$C$12,'1-Input'!$B$12,0)))))*(1/(1-'P-Parametri'!$B$6*P772))))</f>
        <v>0</v>
      </c>
      <c r="R772" s="18">
        <f>IF($A772&gt;('1-Input'!$B$26-2),T771,(T771-MAX(0,P726-IF($A772&gt;='1-Input'!$C$12,'1-Input'!$B$12,0))+Q772*(1-'P-Parametri'!$B$6*P772))*(1+'1-Input'!$B$27))</f>
        <v>0</v>
      </c>
      <c r="S772" s="18">
        <f>IF($A772&gt;('1-Input'!$B$26-2),U771,(U771-Q772)*(1+'5-Roberta'!$C$4))</f>
        <v>-16789.185272750368</v>
      </c>
      <c r="T772" s="18">
        <f>IF($A772&gt;('1-Input'!$B$26-2),R772,R772-'P-Parametri'!$B$8*(S772+R772)+MIN(MAX(S772,0),'P-Parametri'!$B$8*(S772+R772)))</f>
        <v>0</v>
      </c>
      <c r="U772" s="18">
        <f>IF($A772&gt;('1-Input'!$B$26-2),S772,S772-MIN(MAX(S772,0),'P-Parametri'!$B$8*(S772+R772)))</f>
        <v>-16789.185272750368</v>
      </c>
      <c r="V772" s="18">
        <f>IF($A772&gt;('1-Input'!$B$26-2),V771,V771-Q772*(1-P772))</f>
        <v>-16045.167090532035</v>
      </c>
      <c r="W772" s="11">
        <f>IF($A772&gt;('1-Input'!$B$26-2),0,IF(AB771&lt;=0,0,MAX(0,(AB771-AC771)/AB771)))</f>
        <v>0</v>
      </c>
      <c r="X772" s="18">
        <f>IF($A772&gt;('1-Input'!$B$26-2),0,(MAX(0,W726-IF($A772&gt;='1-Input'!$C$12,'1-Input'!$B$12,0))-MIN(MAX(AA771,0),MAX(0,W726-IF($A772&gt;='1-Input'!$C$12,'1-Input'!$B$12,0))))*(1/(1-'P-Parametri'!$B$6*W772))+MIN(MAX(0,AB771-(MAX(0,W726-IF($A772&gt;='1-Input'!$C$12,'1-Input'!$B$12,0))-MIN(MAX(AA771,0),MAX(0,W726-IF($A772&gt;='1-Input'!$C$12,'1-Input'!$B$12,0))))*(1/(1-'P-Parametri'!$B$6*W772))),MAX(0,2*W726-(AA771-MIN(MAX(AA771,0),MAX(0,W726-IF($A772&gt;='1-Input'!$C$12,'1-Input'!$B$12,0)))))*(1/(1-'P-Parametri'!$B$6*W772))))</f>
        <v>0</v>
      </c>
      <c r="Y772" s="18">
        <f>IF($A772&gt;('1-Input'!$B$26-2),AA771,(AA771-MAX(0,W726-IF($A772&gt;='1-Input'!$C$12,'1-Input'!$B$12,0))+X772*(1-'P-Parametri'!$B$6*W772))*(1+'1-Input'!$B$27))</f>
        <v>0</v>
      </c>
      <c r="Z772" s="18">
        <f>IF($A772&gt;('1-Input'!$B$26-2),AB771,(AB771-X772)*(1+'5-Roberta'!$C$4))</f>
        <v>-1002.9201793869678</v>
      </c>
      <c r="AA772" s="18">
        <f>IF($A772&gt;('1-Input'!$B$26-2),Y772,Y772-'P-Parametri'!$B$8*(Z772+Y772)+MIN(MAX(Z772,0),'P-Parametri'!$B$8*(Z772+Y772)))</f>
        <v>0</v>
      </c>
      <c r="AB772" s="18">
        <f>IF($A772&gt;('1-Input'!$B$26-2),Z772,Z772-MIN(MAX(Z772,0),'P-Parametri'!$B$8*(Z772+Y772)))</f>
        <v>-1002.9201793869678</v>
      </c>
      <c r="AC772" s="18">
        <f>IF($A772&gt;('1-Input'!$B$26-2),AC771,AC771-X772*(1-W772))</f>
        <v>-975.66023249116415</v>
      </c>
      <c r="AD772" s="11">
        <f>IF($A772&gt;('1-Input'!$B$26-2),0,IF(AI771&lt;=0,0,MAX(0,(AI771-AJ771)/AI771)))</f>
        <v>0</v>
      </c>
      <c r="AE772" s="18">
        <f>IF($A772&gt;('1-Input'!$B$26-2),0,(MAX(0,AD726-IF($A772&gt;='1-Input'!$C$12,'1-Input'!$B$12,0))-MIN(MAX(AH771,0),MAX(0,AD726-IF($A772&gt;='1-Input'!$C$12,'1-Input'!$B$12,0))))*(1/(1-'P-Parametri'!$B$6*AD772))+MIN(MAX(0,AI771-(MAX(0,AD726-IF($A772&gt;='1-Input'!$C$12,'1-Input'!$B$12,0))-MIN(MAX(AH771,0),MAX(0,AD726-IF($A772&gt;='1-Input'!$C$12,'1-Input'!$B$12,0))))*(1/(1-'P-Parametri'!$B$6*AD772))),MAX(0,2*AD726-(AH771-MIN(MAX(AH771,0),MAX(0,AD726-IF($A772&gt;='1-Input'!$C$12,'1-Input'!$B$12,0)))))*(1/(1-'P-Parametri'!$B$6*AD772))))</f>
        <v>0</v>
      </c>
      <c r="AF772" s="18">
        <f>IF($A772&gt;('1-Input'!$B$26-2),AH771,(AH771-MAX(0,AD726-IF($A772&gt;='1-Input'!$C$12,'1-Input'!$B$12,0))+AE772*(1-'P-Parametri'!$B$6*AD772))*(1+'1-Input'!$B$27))</f>
        <v>0</v>
      </c>
      <c r="AG772" s="18">
        <f>IF($A772&gt;('1-Input'!$B$26-2),AI771,(AI771-AE772)*(1+'5-Roberta'!$C$4))</f>
        <v>-5.1907339672288684</v>
      </c>
      <c r="AH772" s="18">
        <f>IF($A772&gt;('1-Input'!$B$26-2),AF772,AF772-'P-Parametri'!$B$8*(AG772+AF772)+MIN(MAX(AG772,0),'P-Parametri'!$B$8*(AG772+AF772)))</f>
        <v>0</v>
      </c>
      <c r="AI772" s="18">
        <f>IF($A772&gt;('1-Input'!$B$26-2),AG772,AG772-MIN(MAX(AG772,0),'P-Parametri'!$B$8*(AG772+AF772)))</f>
        <v>-5.1907339672288684</v>
      </c>
      <c r="AJ772" s="18">
        <f>IF($A772&gt;('1-Input'!$B$26-2),AJ771,AJ771-AE772*(1-AD772))</f>
        <v>-5.0496468346682377</v>
      </c>
      <c r="AK772" s="11">
        <f>IF($A772&gt;('1-Input'!$B$26-2),0,IF(AP771&lt;=0,0,MAX(0,(AP771-AQ771)/AP771)))</f>
        <v>0</v>
      </c>
      <c r="AL772" s="18">
        <f>IF($A772&gt;('1-Input'!$B$26-2),0,(MAX(0,AK726-IF($A772&gt;='1-Input'!$C$12,'1-Input'!$B$12,0))-MIN(MAX(AO771,0),MAX(0,AK726-IF($A772&gt;='1-Input'!$C$12,'1-Input'!$B$12,0))))*(1/(1-'P-Parametri'!$B$6*AK772))+MIN(MAX(0,AP771-(MAX(0,AK726-IF($A772&gt;='1-Input'!$C$12,'1-Input'!$B$12,0))-MIN(MAX(AO771,0),MAX(0,AK726-IF($A772&gt;='1-Input'!$C$12,'1-Input'!$B$12,0))))*(1/(1-'P-Parametri'!$B$6*AK772))),MAX(0,2*AK726-(AO771-MIN(MAX(AO771,0),MAX(0,AK726-IF($A772&gt;='1-Input'!$C$12,'1-Input'!$B$12,0)))))*(1/(1-'P-Parametri'!$B$6*AK772))))</f>
        <v>0</v>
      </c>
      <c r="AM772" s="18">
        <f>IF($A772&gt;('1-Input'!$B$26-2),AO771,(AO771-MAX(0,AK726-IF($A772&gt;='1-Input'!$C$12,'1-Input'!$B$12,0))+AL772*(1-'P-Parametri'!$B$6*AK772))*(1+'1-Input'!$B$27))</f>
        <v>1.4149869583366671E-5</v>
      </c>
      <c r="AN772" s="18">
        <f>IF($A772&gt;('1-Input'!$B$26-2),AP771,(AP771-AL772)*(1+'5-Roberta'!$C$4))</f>
        <v>0</v>
      </c>
      <c r="AO772" s="18">
        <f>IF($A772&gt;('1-Input'!$B$26-2),AM772,AM772-'P-Parametri'!$B$8*(AN772+AM772)+MIN(MAX(AN772,0),'P-Parametri'!$B$8*(AN772+AM772)))</f>
        <v>1.4149869583366671E-5</v>
      </c>
      <c r="AP772" s="18">
        <f>IF($A772&gt;('1-Input'!$B$26-2),AN772,AN772-MIN(MAX(AN772,0),'P-Parametri'!$B$8*(AN772+AM772)))</f>
        <v>0</v>
      </c>
      <c r="AQ772" s="18">
        <f>IF($A772&gt;('1-Input'!$B$26-2),AQ771,AQ771-AL772*(1-AK772))</f>
        <v>0</v>
      </c>
    </row>
    <row r="773" spans="1:43">
      <c r="A773" s="10">
        <f>45</f>
        <v>45</v>
      </c>
      <c r="B773" s="11">
        <f>IF($A773&gt;('1-Input'!$B$26-2),0,IF(G772&lt;=0,0,MAX(0,(G772-H772)/G772)))</f>
        <v>0</v>
      </c>
      <c r="C773" s="18">
        <f>IF($A773&gt;('1-Input'!$B$26-2),0,(MAX(0,B726-IF($A773&gt;='1-Input'!$C$12,'1-Input'!$B$12,0))-MIN(MAX(F772,0),MAX(0,B726-IF($A773&gt;='1-Input'!$C$12,'1-Input'!$B$12,0))))*(1/(1-'P-Parametri'!$B$6*B773))+MIN(MAX(0,G772-(MAX(0,B726-IF($A773&gt;='1-Input'!$C$12,'1-Input'!$B$12,0))-MIN(MAX(F772,0),MAX(0,B726-IF($A773&gt;='1-Input'!$C$12,'1-Input'!$B$12,0))))*(1/(1-'P-Parametri'!$B$6*B773))),MAX(0,2*B726-(F772-MIN(MAX(F772,0),MAX(0,B726-IF($A773&gt;='1-Input'!$C$12,'1-Input'!$B$12,0)))))*(1/(1-'P-Parametri'!$B$6*B773))))</f>
        <v>0</v>
      </c>
      <c r="D773" s="18">
        <f>IF($A773&gt;('1-Input'!$B$26-2),F772,(F772-MAX(0,B726-IF($A773&gt;='1-Input'!$C$12,'1-Input'!$B$12,0))+C773*(1-'P-Parametri'!$B$6*B773))*(1+'1-Input'!$B$27))</f>
        <v>33242.0070309863</v>
      </c>
      <c r="E773" s="18">
        <f>IF($A773&gt;('1-Input'!$B$26-2),G772,(G772-C773)*(1+'5-Roberta'!$C$4))</f>
        <v>100999.18392804137</v>
      </c>
      <c r="F773" s="18">
        <f>IF($A773&gt;('1-Input'!$B$26-2),D773,D773-'P-Parametri'!$B$8*(E773+D773)+MIN(MAX(E773,0),'P-Parametri'!$B$8*(E773+D773)))</f>
        <v>33242.0070309863</v>
      </c>
      <c r="G773" s="18">
        <f>IF($A773&gt;('1-Input'!$B$26-2),E773,E773-MIN(MAX(E773,0),'P-Parametri'!$B$8*(E773+D773)))</f>
        <v>100999.18392804137</v>
      </c>
      <c r="H773" s="18">
        <f>IF($A773&gt;('1-Input'!$B$26-2),H772,H772-C773*(1-B773))</f>
        <v>24581.755435457948</v>
      </c>
      <c r="I773" s="11">
        <f>IF($A773&gt;('1-Input'!$B$26-2),0,IF(N772&lt;=0,0,MAX(0,(N772-O772)/N772)))</f>
        <v>0</v>
      </c>
      <c r="J773" s="18">
        <f>IF($A773&gt;('1-Input'!$B$26-2),0,(MAX(0,I726-IF($A773&gt;='1-Input'!$C$12,'1-Input'!$B$12,0))-MIN(MAX(M772,0),MAX(0,I726-IF($A773&gt;='1-Input'!$C$12,'1-Input'!$B$12,0))))*(1/(1-'P-Parametri'!$B$6*I773))+MIN(MAX(0,N772-(MAX(0,I726-IF($A773&gt;='1-Input'!$C$12,'1-Input'!$B$12,0))-MIN(MAX(M772,0),MAX(0,I726-IF($A773&gt;='1-Input'!$C$12,'1-Input'!$B$12,0))))*(1/(1-'P-Parametri'!$B$6*I773))),MAX(0,2*I726-(M772-MIN(MAX(M772,0),MAX(0,I726-IF($A773&gt;='1-Input'!$C$12,'1-Input'!$B$12,0)))))*(1/(1-'P-Parametri'!$B$6*I773))))</f>
        <v>0</v>
      </c>
      <c r="K773" s="18">
        <f>IF($A773&gt;('1-Input'!$B$26-2),M772,(M772-MAX(0,I726-IF($A773&gt;='1-Input'!$C$12,'1-Input'!$B$12,0))+J773*(1-'P-Parametri'!$B$6*I773))*(1+'1-Input'!$B$27))</f>
        <v>0</v>
      </c>
      <c r="L773" s="18">
        <f>IF($A773&gt;('1-Input'!$B$26-2),N772,(N772-J773)*(1+'5-Roberta'!$C$4))</f>
        <v>-281851.42027613352</v>
      </c>
      <c r="M773" s="18">
        <f>IF($A773&gt;('1-Input'!$B$26-2),K773,K773-'P-Parametri'!$B$8*(L773+K773)+MIN(MAX(L773,0),'P-Parametri'!$B$8*(L773+K773)))</f>
        <v>0</v>
      </c>
      <c r="N773" s="18">
        <f>IF($A773&gt;('1-Input'!$B$26-2),L773,L773-MIN(MAX(L773,0),'P-Parametri'!$B$8*(L773+K773)))</f>
        <v>-281851.42027613352</v>
      </c>
      <c r="O773" s="18">
        <f>IF($A773&gt;('1-Input'!$B$26-2),O772,O772-J773*(1-I773))</f>
        <v>-210279.63411530294</v>
      </c>
      <c r="P773" s="11">
        <f>IF($A773&gt;('1-Input'!$B$26-2),0,IF(U772&lt;=0,0,MAX(0,(U772-V772)/U772)))</f>
        <v>0</v>
      </c>
      <c r="Q773" s="18">
        <f>IF($A773&gt;('1-Input'!$B$26-2),0,(MAX(0,P726-IF($A773&gt;='1-Input'!$C$12,'1-Input'!$B$12,0))-MIN(MAX(T772,0),MAX(0,P726-IF($A773&gt;='1-Input'!$C$12,'1-Input'!$B$12,0))))*(1/(1-'P-Parametri'!$B$6*P773))+MIN(MAX(0,U772-(MAX(0,P726-IF($A773&gt;='1-Input'!$C$12,'1-Input'!$B$12,0))-MIN(MAX(T772,0),MAX(0,P726-IF($A773&gt;='1-Input'!$C$12,'1-Input'!$B$12,0))))*(1/(1-'P-Parametri'!$B$6*P773))),MAX(0,2*P726-(T772-MIN(MAX(T772,0),MAX(0,P726-IF($A773&gt;='1-Input'!$C$12,'1-Input'!$B$12,0)))))*(1/(1-'P-Parametri'!$B$6*P773))))</f>
        <v>0</v>
      </c>
      <c r="R773" s="18">
        <f>IF($A773&gt;('1-Input'!$B$26-2),T772,(T772-MAX(0,P726-IF($A773&gt;='1-Input'!$C$12,'1-Input'!$B$12,0))+Q773*(1-'P-Parametri'!$B$6*P773))*(1+'1-Input'!$B$27))</f>
        <v>0</v>
      </c>
      <c r="S773" s="18">
        <f>IF($A773&gt;('1-Input'!$B$26-2),U772,(U772-Q773)*(1+'5-Roberta'!$C$4))</f>
        <v>-16789.185272750368</v>
      </c>
      <c r="T773" s="18">
        <f>IF($A773&gt;('1-Input'!$B$26-2),R773,R773-'P-Parametri'!$B$8*(S773+R773)+MIN(MAX(S773,0),'P-Parametri'!$B$8*(S773+R773)))</f>
        <v>0</v>
      </c>
      <c r="U773" s="18">
        <f>IF($A773&gt;('1-Input'!$B$26-2),S773,S773-MIN(MAX(S773,0),'P-Parametri'!$B$8*(S773+R773)))</f>
        <v>-16789.185272750368</v>
      </c>
      <c r="V773" s="18">
        <f>IF($A773&gt;('1-Input'!$B$26-2),V772,V772-Q773*(1-P773))</f>
        <v>-16045.167090532035</v>
      </c>
      <c r="W773" s="11">
        <f>IF($A773&gt;('1-Input'!$B$26-2),0,IF(AB772&lt;=0,0,MAX(0,(AB772-AC772)/AB772)))</f>
        <v>0</v>
      </c>
      <c r="X773" s="18">
        <f>IF($A773&gt;('1-Input'!$B$26-2),0,(MAX(0,W726-IF($A773&gt;='1-Input'!$C$12,'1-Input'!$B$12,0))-MIN(MAX(AA772,0),MAX(0,W726-IF($A773&gt;='1-Input'!$C$12,'1-Input'!$B$12,0))))*(1/(1-'P-Parametri'!$B$6*W773))+MIN(MAX(0,AB772-(MAX(0,W726-IF($A773&gt;='1-Input'!$C$12,'1-Input'!$B$12,0))-MIN(MAX(AA772,0),MAX(0,W726-IF($A773&gt;='1-Input'!$C$12,'1-Input'!$B$12,0))))*(1/(1-'P-Parametri'!$B$6*W773))),MAX(0,2*W726-(AA772-MIN(MAX(AA772,0),MAX(0,W726-IF($A773&gt;='1-Input'!$C$12,'1-Input'!$B$12,0)))))*(1/(1-'P-Parametri'!$B$6*W773))))</f>
        <v>0</v>
      </c>
      <c r="Y773" s="18">
        <f>IF($A773&gt;('1-Input'!$B$26-2),AA772,(AA772-MAX(0,W726-IF($A773&gt;='1-Input'!$C$12,'1-Input'!$B$12,0))+X773*(1-'P-Parametri'!$B$6*W773))*(1+'1-Input'!$B$27))</f>
        <v>0</v>
      </c>
      <c r="Z773" s="18">
        <f>IF($A773&gt;('1-Input'!$B$26-2),AB772,(AB772-X773)*(1+'5-Roberta'!$C$4))</f>
        <v>-1002.9201793869678</v>
      </c>
      <c r="AA773" s="18">
        <f>IF($A773&gt;('1-Input'!$B$26-2),Y773,Y773-'P-Parametri'!$B$8*(Z773+Y773)+MIN(MAX(Z773,0),'P-Parametri'!$B$8*(Z773+Y773)))</f>
        <v>0</v>
      </c>
      <c r="AB773" s="18">
        <f>IF($A773&gt;('1-Input'!$B$26-2),Z773,Z773-MIN(MAX(Z773,0),'P-Parametri'!$B$8*(Z773+Y773)))</f>
        <v>-1002.9201793869678</v>
      </c>
      <c r="AC773" s="18">
        <f>IF($A773&gt;('1-Input'!$B$26-2),AC772,AC772-X773*(1-W773))</f>
        <v>-975.66023249116415</v>
      </c>
      <c r="AD773" s="11">
        <f>IF($A773&gt;('1-Input'!$B$26-2),0,IF(AI772&lt;=0,0,MAX(0,(AI772-AJ772)/AI772)))</f>
        <v>0</v>
      </c>
      <c r="AE773" s="18">
        <f>IF($A773&gt;('1-Input'!$B$26-2),0,(MAX(0,AD726-IF($A773&gt;='1-Input'!$C$12,'1-Input'!$B$12,0))-MIN(MAX(AH772,0),MAX(0,AD726-IF($A773&gt;='1-Input'!$C$12,'1-Input'!$B$12,0))))*(1/(1-'P-Parametri'!$B$6*AD773))+MIN(MAX(0,AI772-(MAX(0,AD726-IF($A773&gt;='1-Input'!$C$12,'1-Input'!$B$12,0))-MIN(MAX(AH772,0),MAX(0,AD726-IF($A773&gt;='1-Input'!$C$12,'1-Input'!$B$12,0))))*(1/(1-'P-Parametri'!$B$6*AD773))),MAX(0,2*AD726-(AH772-MIN(MAX(AH772,0),MAX(0,AD726-IF($A773&gt;='1-Input'!$C$12,'1-Input'!$B$12,0)))))*(1/(1-'P-Parametri'!$B$6*AD773))))</f>
        <v>0</v>
      </c>
      <c r="AF773" s="18">
        <f>IF($A773&gt;('1-Input'!$B$26-2),AH772,(AH772-MAX(0,AD726-IF($A773&gt;='1-Input'!$C$12,'1-Input'!$B$12,0))+AE773*(1-'P-Parametri'!$B$6*AD773))*(1+'1-Input'!$B$27))</f>
        <v>0</v>
      </c>
      <c r="AG773" s="18">
        <f>IF($A773&gt;('1-Input'!$B$26-2),AI772,(AI772-AE773)*(1+'5-Roberta'!$C$4))</f>
        <v>-5.1907339672288684</v>
      </c>
      <c r="AH773" s="18">
        <f>IF($A773&gt;('1-Input'!$B$26-2),AF773,AF773-'P-Parametri'!$B$8*(AG773+AF773)+MIN(MAX(AG773,0),'P-Parametri'!$B$8*(AG773+AF773)))</f>
        <v>0</v>
      </c>
      <c r="AI773" s="18">
        <f>IF($A773&gt;('1-Input'!$B$26-2),AG773,AG773-MIN(MAX(AG773,0),'P-Parametri'!$B$8*(AG773+AF773)))</f>
        <v>-5.1907339672288684</v>
      </c>
      <c r="AJ773" s="18">
        <f>IF($A773&gt;('1-Input'!$B$26-2),AJ772,AJ772-AE773*(1-AD773))</f>
        <v>-5.0496468346682377</v>
      </c>
      <c r="AK773" s="11">
        <f>IF($A773&gt;('1-Input'!$B$26-2),0,IF(AP772&lt;=0,0,MAX(0,(AP772-AQ772)/AP772)))</f>
        <v>0</v>
      </c>
      <c r="AL773" s="18">
        <f>IF($A773&gt;('1-Input'!$B$26-2),0,(MAX(0,AK726-IF($A773&gt;='1-Input'!$C$12,'1-Input'!$B$12,0))-MIN(MAX(AO772,0),MAX(0,AK726-IF($A773&gt;='1-Input'!$C$12,'1-Input'!$B$12,0))))*(1/(1-'P-Parametri'!$B$6*AK773))+MIN(MAX(0,AP772-(MAX(0,AK726-IF($A773&gt;='1-Input'!$C$12,'1-Input'!$B$12,0))-MIN(MAX(AO772,0),MAX(0,AK726-IF($A773&gt;='1-Input'!$C$12,'1-Input'!$B$12,0))))*(1/(1-'P-Parametri'!$B$6*AK773))),MAX(0,2*AK726-(AO772-MIN(MAX(AO772,0),MAX(0,AK726-IF($A773&gt;='1-Input'!$C$12,'1-Input'!$B$12,0)))))*(1/(1-'P-Parametri'!$B$6*AK773))))</f>
        <v>0</v>
      </c>
      <c r="AM773" s="18">
        <f>IF($A773&gt;('1-Input'!$B$26-2),AO772,(AO772-MAX(0,AK726-IF($A773&gt;='1-Input'!$C$12,'1-Input'!$B$12,0))+AL773*(1-'P-Parametri'!$B$6*AK773))*(1+'1-Input'!$B$27))</f>
        <v>1.4149869583366671E-5</v>
      </c>
      <c r="AN773" s="18">
        <f>IF($A773&gt;('1-Input'!$B$26-2),AP772,(AP772-AL773)*(1+'5-Roberta'!$C$4))</f>
        <v>0</v>
      </c>
      <c r="AO773" s="18">
        <f>IF($A773&gt;('1-Input'!$B$26-2),AM773,AM773-'P-Parametri'!$B$8*(AN773+AM773)+MIN(MAX(AN773,0),'P-Parametri'!$B$8*(AN773+AM773)))</f>
        <v>1.4149869583366671E-5</v>
      </c>
      <c r="AP773" s="18">
        <f>IF($A773&gt;('1-Input'!$B$26-2),AN773,AN773-MIN(MAX(AN773,0),'P-Parametri'!$B$8*(AN773+AM773)))</f>
        <v>0</v>
      </c>
      <c r="AQ773" s="18">
        <f>IF($A773&gt;('1-Input'!$B$26-2),AQ772,AQ772-AL773*(1-AK773))</f>
        <v>0</v>
      </c>
    </row>
    <row r="774" spans="1:43">
      <c r="A774" s="10">
        <f>46</f>
        <v>46</v>
      </c>
      <c r="B774" s="11">
        <f>IF($A774&gt;('1-Input'!$B$26-2),0,IF(G773&lt;=0,0,MAX(0,(G773-H773)/G773)))</f>
        <v>0</v>
      </c>
      <c r="C774" s="18">
        <f>IF($A774&gt;('1-Input'!$B$26-2),0,(MAX(0,B726-IF($A774&gt;='1-Input'!$C$12,'1-Input'!$B$12,0))-MIN(MAX(F773,0),MAX(0,B726-IF($A774&gt;='1-Input'!$C$12,'1-Input'!$B$12,0))))*(1/(1-'P-Parametri'!$B$6*B774))+MIN(MAX(0,G773-(MAX(0,B726-IF($A774&gt;='1-Input'!$C$12,'1-Input'!$B$12,0))-MIN(MAX(F773,0),MAX(0,B726-IF($A774&gt;='1-Input'!$C$12,'1-Input'!$B$12,0))))*(1/(1-'P-Parametri'!$B$6*B774))),MAX(0,2*B726-(F773-MIN(MAX(F773,0),MAX(0,B726-IF($A774&gt;='1-Input'!$C$12,'1-Input'!$B$12,0)))))*(1/(1-'P-Parametri'!$B$6*B774))))</f>
        <v>0</v>
      </c>
      <c r="D774" s="18">
        <f>IF($A774&gt;('1-Input'!$B$26-2),F773,(F773-MAX(0,B726-IF($A774&gt;='1-Input'!$C$12,'1-Input'!$B$12,0))+C774*(1-'P-Parametri'!$B$6*B774))*(1+'1-Input'!$B$27))</f>
        <v>33242.0070309863</v>
      </c>
      <c r="E774" s="18">
        <f>IF($A774&gt;('1-Input'!$B$26-2),G773,(G773-C774)*(1+'5-Roberta'!$C$4))</f>
        <v>100999.18392804137</v>
      </c>
      <c r="F774" s="18">
        <f>IF($A774&gt;('1-Input'!$B$26-2),D774,D774-'P-Parametri'!$B$8*(E774+D774)+MIN(MAX(E774,0),'P-Parametri'!$B$8*(E774+D774)))</f>
        <v>33242.0070309863</v>
      </c>
      <c r="G774" s="18">
        <f>IF($A774&gt;('1-Input'!$B$26-2),E774,E774-MIN(MAX(E774,0),'P-Parametri'!$B$8*(E774+D774)))</f>
        <v>100999.18392804137</v>
      </c>
      <c r="H774" s="18">
        <f>IF($A774&gt;('1-Input'!$B$26-2),H773,H773-C774*(1-B774))</f>
        <v>24581.755435457948</v>
      </c>
      <c r="I774" s="11">
        <f>IF($A774&gt;('1-Input'!$B$26-2),0,IF(N773&lt;=0,0,MAX(0,(N773-O773)/N773)))</f>
        <v>0</v>
      </c>
      <c r="J774" s="18">
        <f>IF($A774&gt;('1-Input'!$B$26-2),0,(MAX(0,I726-IF($A774&gt;='1-Input'!$C$12,'1-Input'!$B$12,0))-MIN(MAX(M773,0),MAX(0,I726-IF($A774&gt;='1-Input'!$C$12,'1-Input'!$B$12,0))))*(1/(1-'P-Parametri'!$B$6*I774))+MIN(MAX(0,N773-(MAX(0,I726-IF($A774&gt;='1-Input'!$C$12,'1-Input'!$B$12,0))-MIN(MAX(M773,0),MAX(0,I726-IF($A774&gt;='1-Input'!$C$12,'1-Input'!$B$12,0))))*(1/(1-'P-Parametri'!$B$6*I774))),MAX(0,2*I726-(M773-MIN(MAX(M773,0),MAX(0,I726-IF($A774&gt;='1-Input'!$C$12,'1-Input'!$B$12,0)))))*(1/(1-'P-Parametri'!$B$6*I774))))</f>
        <v>0</v>
      </c>
      <c r="K774" s="18">
        <f>IF($A774&gt;('1-Input'!$B$26-2),M773,(M773-MAX(0,I726-IF($A774&gt;='1-Input'!$C$12,'1-Input'!$B$12,0))+J774*(1-'P-Parametri'!$B$6*I774))*(1+'1-Input'!$B$27))</f>
        <v>0</v>
      </c>
      <c r="L774" s="18">
        <f>IF($A774&gt;('1-Input'!$B$26-2),N773,(N773-J774)*(1+'5-Roberta'!$C$4))</f>
        <v>-281851.42027613352</v>
      </c>
      <c r="M774" s="18">
        <f>IF($A774&gt;('1-Input'!$B$26-2),K774,K774-'P-Parametri'!$B$8*(L774+K774)+MIN(MAX(L774,0),'P-Parametri'!$B$8*(L774+K774)))</f>
        <v>0</v>
      </c>
      <c r="N774" s="18">
        <f>IF($A774&gt;('1-Input'!$B$26-2),L774,L774-MIN(MAX(L774,0),'P-Parametri'!$B$8*(L774+K774)))</f>
        <v>-281851.42027613352</v>
      </c>
      <c r="O774" s="18">
        <f>IF($A774&gt;('1-Input'!$B$26-2),O773,O773-J774*(1-I774))</f>
        <v>-210279.63411530294</v>
      </c>
      <c r="P774" s="11">
        <f>IF($A774&gt;('1-Input'!$B$26-2),0,IF(U773&lt;=0,0,MAX(0,(U773-V773)/U773)))</f>
        <v>0</v>
      </c>
      <c r="Q774" s="18">
        <f>IF($A774&gt;('1-Input'!$B$26-2),0,(MAX(0,P726-IF($A774&gt;='1-Input'!$C$12,'1-Input'!$B$12,0))-MIN(MAX(T773,0),MAX(0,P726-IF($A774&gt;='1-Input'!$C$12,'1-Input'!$B$12,0))))*(1/(1-'P-Parametri'!$B$6*P774))+MIN(MAX(0,U773-(MAX(0,P726-IF($A774&gt;='1-Input'!$C$12,'1-Input'!$B$12,0))-MIN(MAX(T773,0),MAX(0,P726-IF($A774&gt;='1-Input'!$C$12,'1-Input'!$B$12,0))))*(1/(1-'P-Parametri'!$B$6*P774))),MAX(0,2*P726-(T773-MIN(MAX(T773,0),MAX(0,P726-IF($A774&gt;='1-Input'!$C$12,'1-Input'!$B$12,0)))))*(1/(1-'P-Parametri'!$B$6*P774))))</f>
        <v>0</v>
      </c>
      <c r="R774" s="18">
        <f>IF($A774&gt;('1-Input'!$B$26-2),T773,(T773-MAX(0,P726-IF($A774&gt;='1-Input'!$C$12,'1-Input'!$B$12,0))+Q774*(1-'P-Parametri'!$B$6*P774))*(1+'1-Input'!$B$27))</f>
        <v>0</v>
      </c>
      <c r="S774" s="18">
        <f>IF($A774&gt;('1-Input'!$B$26-2),U773,(U773-Q774)*(1+'5-Roberta'!$C$4))</f>
        <v>-16789.185272750368</v>
      </c>
      <c r="T774" s="18">
        <f>IF($A774&gt;('1-Input'!$B$26-2),R774,R774-'P-Parametri'!$B$8*(S774+R774)+MIN(MAX(S774,0),'P-Parametri'!$B$8*(S774+R774)))</f>
        <v>0</v>
      </c>
      <c r="U774" s="18">
        <f>IF($A774&gt;('1-Input'!$B$26-2),S774,S774-MIN(MAX(S774,0),'P-Parametri'!$B$8*(S774+R774)))</f>
        <v>-16789.185272750368</v>
      </c>
      <c r="V774" s="18">
        <f>IF($A774&gt;('1-Input'!$B$26-2),V773,V773-Q774*(1-P774))</f>
        <v>-16045.167090532035</v>
      </c>
      <c r="W774" s="11">
        <f>IF($A774&gt;('1-Input'!$B$26-2),0,IF(AB773&lt;=0,0,MAX(0,(AB773-AC773)/AB773)))</f>
        <v>0</v>
      </c>
      <c r="X774" s="18">
        <f>IF($A774&gt;('1-Input'!$B$26-2),0,(MAX(0,W726-IF($A774&gt;='1-Input'!$C$12,'1-Input'!$B$12,0))-MIN(MAX(AA773,0),MAX(0,W726-IF($A774&gt;='1-Input'!$C$12,'1-Input'!$B$12,0))))*(1/(1-'P-Parametri'!$B$6*W774))+MIN(MAX(0,AB773-(MAX(0,W726-IF($A774&gt;='1-Input'!$C$12,'1-Input'!$B$12,0))-MIN(MAX(AA773,0),MAX(0,W726-IF($A774&gt;='1-Input'!$C$12,'1-Input'!$B$12,0))))*(1/(1-'P-Parametri'!$B$6*W774))),MAX(0,2*W726-(AA773-MIN(MAX(AA773,0),MAX(0,W726-IF($A774&gt;='1-Input'!$C$12,'1-Input'!$B$12,0)))))*(1/(1-'P-Parametri'!$B$6*W774))))</f>
        <v>0</v>
      </c>
      <c r="Y774" s="18">
        <f>IF($A774&gt;('1-Input'!$B$26-2),AA773,(AA773-MAX(0,W726-IF($A774&gt;='1-Input'!$C$12,'1-Input'!$B$12,0))+X774*(1-'P-Parametri'!$B$6*W774))*(1+'1-Input'!$B$27))</f>
        <v>0</v>
      </c>
      <c r="Z774" s="18">
        <f>IF($A774&gt;('1-Input'!$B$26-2),AB773,(AB773-X774)*(1+'5-Roberta'!$C$4))</f>
        <v>-1002.9201793869678</v>
      </c>
      <c r="AA774" s="18">
        <f>IF($A774&gt;('1-Input'!$B$26-2),Y774,Y774-'P-Parametri'!$B$8*(Z774+Y774)+MIN(MAX(Z774,0),'P-Parametri'!$B$8*(Z774+Y774)))</f>
        <v>0</v>
      </c>
      <c r="AB774" s="18">
        <f>IF($A774&gt;('1-Input'!$B$26-2),Z774,Z774-MIN(MAX(Z774,0),'P-Parametri'!$B$8*(Z774+Y774)))</f>
        <v>-1002.9201793869678</v>
      </c>
      <c r="AC774" s="18">
        <f>IF($A774&gt;('1-Input'!$B$26-2),AC773,AC773-X774*(1-W774))</f>
        <v>-975.66023249116415</v>
      </c>
      <c r="AD774" s="11">
        <f>IF($A774&gt;('1-Input'!$B$26-2),0,IF(AI773&lt;=0,0,MAX(0,(AI773-AJ773)/AI773)))</f>
        <v>0</v>
      </c>
      <c r="AE774" s="18">
        <f>IF($A774&gt;('1-Input'!$B$26-2),0,(MAX(0,AD726-IF($A774&gt;='1-Input'!$C$12,'1-Input'!$B$12,0))-MIN(MAX(AH773,0),MAX(0,AD726-IF($A774&gt;='1-Input'!$C$12,'1-Input'!$B$12,0))))*(1/(1-'P-Parametri'!$B$6*AD774))+MIN(MAX(0,AI773-(MAX(0,AD726-IF($A774&gt;='1-Input'!$C$12,'1-Input'!$B$12,0))-MIN(MAX(AH773,0),MAX(0,AD726-IF($A774&gt;='1-Input'!$C$12,'1-Input'!$B$12,0))))*(1/(1-'P-Parametri'!$B$6*AD774))),MAX(0,2*AD726-(AH773-MIN(MAX(AH773,0),MAX(0,AD726-IF($A774&gt;='1-Input'!$C$12,'1-Input'!$B$12,0)))))*(1/(1-'P-Parametri'!$B$6*AD774))))</f>
        <v>0</v>
      </c>
      <c r="AF774" s="18">
        <f>IF($A774&gt;('1-Input'!$B$26-2),AH773,(AH773-MAX(0,AD726-IF($A774&gt;='1-Input'!$C$12,'1-Input'!$B$12,0))+AE774*(1-'P-Parametri'!$B$6*AD774))*(1+'1-Input'!$B$27))</f>
        <v>0</v>
      </c>
      <c r="AG774" s="18">
        <f>IF($A774&gt;('1-Input'!$B$26-2),AI773,(AI773-AE774)*(1+'5-Roberta'!$C$4))</f>
        <v>-5.1907339672288684</v>
      </c>
      <c r="AH774" s="18">
        <f>IF($A774&gt;('1-Input'!$B$26-2),AF774,AF774-'P-Parametri'!$B$8*(AG774+AF774)+MIN(MAX(AG774,0),'P-Parametri'!$B$8*(AG774+AF774)))</f>
        <v>0</v>
      </c>
      <c r="AI774" s="18">
        <f>IF($A774&gt;('1-Input'!$B$26-2),AG774,AG774-MIN(MAX(AG774,0),'P-Parametri'!$B$8*(AG774+AF774)))</f>
        <v>-5.1907339672288684</v>
      </c>
      <c r="AJ774" s="18">
        <f>IF($A774&gt;('1-Input'!$B$26-2),AJ773,AJ773-AE774*(1-AD774))</f>
        <v>-5.0496468346682377</v>
      </c>
      <c r="AK774" s="11">
        <f>IF($A774&gt;('1-Input'!$B$26-2),0,IF(AP773&lt;=0,0,MAX(0,(AP773-AQ773)/AP773)))</f>
        <v>0</v>
      </c>
      <c r="AL774" s="18">
        <f>IF($A774&gt;('1-Input'!$B$26-2),0,(MAX(0,AK726-IF($A774&gt;='1-Input'!$C$12,'1-Input'!$B$12,0))-MIN(MAX(AO773,0),MAX(0,AK726-IF($A774&gt;='1-Input'!$C$12,'1-Input'!$B$12,0))))*(1/(1-'P-Parametri'!$B$6*AK774))+MIN(MAX(0,AP773-(MAX(0,AK726-IF($A774&gt;='1-Input'!$C$12,'1-Input'!$B$12,0))-MIN(MAX(AO773,0),MAX(0,AK726-IF($A774&gt;='1-Input'!$C$12,'1-Input'!$B$12,0))))*(1/(1-'P-Parametri'!$B$6*AK774))),MAX(0,2*AK726-(AO773-MIN(MAX(AO773,0),MAX(0,AK726-IF($A774&gt;='1-Input'!$C$12,'1-Input'!$B$12,0)))))*(1/(1-'P-Parametri'!$B$6*AK774))))</f>
        <v>0</v>
      </c>
      <c r="AM774" s="18">
        <f>IF($A774&gt;('1-Input'!$B$26-2),AO773,(AO773-MAX(0,AK726-IF($A774&gt;='1-Input'!$C$12,'1-Input'!$B$12,0))+AL774*(1-'P-Parametri'!$B$6*AK774))*(1+'1-Input'!$B$27))</f>
        <v>1.4149869583366671E-5</v>
      </c>
      <c r="AN774" s="18">
        <f>IF($A774&gt;('1-Input'!$B$26-2),AP773,(AP773-AL774)*(1+'5-Roberta'!$C$4))</f>
        <v>0</v>
      </c>
      <c r="AO774" s="18">
        <f>IF($A774&gt;('1-Input'!$B$26-2),AM774,AM774-'P-Parametri'!$B$8*(AN774+AM774)+MIN(MAX(AN774,0),'P-Parametri'!$B$8*(AN774+AM774)))</f>
        <v>1.4149869583366671E-5</v>
      </c>
      <c r="AP774" s="18">
        <f>IF($A774&gt;('1-Input'!$B$26-2),AN774,AN774-MIN(MAX(AN774,0),'P-Parametri'!$B$8*(AN774+AM774)))</f>
        <v>0</v>
      </c>
      <c r="AQ774" s="18">
        <f>IF($A774&gt;('1-Input'!$B$26-2),AQ773,AQ773-AL774*(1-AK774))</f>
        <v>0</v>
      </c>
    </row>
    <row r="775" spans="1:43">
      <c r="A775" s="10">
        <f>47</f>
        <v>47</v>
      </c>
      <c r="B775" s="11">
        <f>IF($A775&gt;('1-Input'!$B$26-2),0,IF(G774&lt;=0,0,MAX(0,(G774-H774)/G774)))</f>
        <v>0</v>
      </c>
      <c r="C775" s="18">
        <f>IF($A775&gt;('1-Input'!$B$26-2),0,(MAX(0,B726-IF($A775&gt;='1-Input'!$C$12,'1-Input'!$B$12,0))-MIN(MAX(F774,0),MAX(0,B726-IF($A775&gt;='1-Input'!$C$12,'1-Input'!$B$12,0))))*(1/(1-'P-Parametri'!$B$6*B775))+MIN(MAX(0,G774-(MAX(0,B726-IF($A775&gt;='1-Input'!$C$12,'1-Input'!$B$12,0))-MIN(MAX(F774,0),MAX(0,B726-IF($A775&gt;='1-Input'!$C$12,'1-Input'!$B$12,0))))*(1/(1-'P-Parametri'!$B$6*B775))),MAX(0,2*B726-(F774-MIN(MAX(F774,0),MAX(0,B726-IF($A775&gt;='1-Input'!$C$12,'1-Input'!$B$12,0)))))*(1/(1-'P-Parametri'!$B$6*B775))))</f>
        <v>0</v>
      </c>
      <c r="D775" s="18">
        <f>IF($A775&gt;('1-Input'!$B$26-2),F774,(F774-MAX(0,B726-IF($A775&gt;='1-Input'!$C$12,'1-Input'!$B$12,0))+C775*(1-'P-Parametri'!$B$6*B775))*(1+'1-Input'!$B$27))</f>
        <v>33242.0070309863</v>
      </c>
      <c r="E775" s="18">
        <f>IF($A775&gt;('1-Input'!$B$26-2),G774,(G774-C775)*(1+'5-Roberta'!$C$4))</f>
        <v>100999.18392804137</v>
      </c>
      <c r="F775" s="18">
        <f>IF($A775&gt;('1-Input'!$B$26-2),D775,D775-'P-Parametri'!$B$8*(E775+D775)+MIN(MAX(E775,0),'P-Parametri'!$B$8*(E775+D775)))</f>
        <v>33242.0070309863</v>
      </c>
      <c r="G775" s="18">
        <f>IF($A775&gt;('1-Input'!$B$26-2),E775,E775-MIN(MAX(E775,0),'P-Parametri'!$B$8*(E775+D775)))</f>
        <v>100999.18392804137</v>
      </c>
      <c r="H775" s="18">
        <f>IF($A775&gt;('1-Input'!$B$26-2),H774,H774-C775*(1-B775))</f>
        <v>24581.755435457948</v>
      </c>
      <c r="I775" s="11">
        <f>IF($A775&gt;('1-Input'!$B$26-2),0,IF(N774&lt;=0,0,MAX(0,(N774-O774)/N774)))</f>
        <v>0</v>
      </c>
      <c r="J775" s="18">
        <f>IF($A775&gt;('1-Input'!$B$26-2),0,(MAX(0,I726-IF($A775&gt;='1-Input'!$C$12,'1-Input'!$B$12,0))-MIN(MAX(M774,0),MAX(0,I726-IF($A775&gt;='1-Input'!$C$12,'1-Input'!$B$12,0))))*(1/(1-'P-Parametri'!$B$6*I775))+MIN(MAX(0,N774-(MAX(0,I726-IF($A775&gt;='1-Input'!$C$12,'1-Input'!$B$12,0))-MIN(MAX(M774,0),MAX(0,I726-IF($A775&gt;='1-Input'!$C$12,'1-Input'!$B$12,0))))*(1/(1-'P-Parametri'!$B$6*I775))),MAX(0,2*I726-(M774-MIN(MAX(M774,0),MAX(0,I726-IF($A775&gt;='1-Input'!$C$12,'1-Input'!$B$12,0)))))*(1/(1-'P-Parametri'!$B$6*I775))))</f>
        <v>0</v>
      </c>
      <c r="K775" s="18">
        <f>IF($A775&gt;('1-Input'!$B$26-2),M774,(M774-MAX(0,I726-IF($A775&gt;='1-Input'!$C$12,'1-Input'!$B$12,0))+J775*(1-'P-Parametri'!$B$6*I775))*(1+'1-Input'!$B$27))</f>
        <v>0</v>
      </c>
      <c r="L775" s="18">
        <f>IF($A775&gt;('1-Input'!$B$26-2),N774,(N774-J775)*(1+'5-Roberta'!$C$4))</f>
        <v>-281851.42027613352</v>
      </c>
      <c r="M775" s="18">
        <f>IF($A775&gt;('1-Input'!$B$26-2),K775,K775-'P-Parametri'!$B$8*(L775+K775)+MIN(MAX(L775,0),'P-Parametri'!$B$8*(L775+K775)))</f>
        <v>0</v>
      </c>
      <c r="N775" s="18">
        <f>IF($A775&gt;('1-Input'!$B$26-2),L775,L775-MIN(MAX(L775,0),'P-Parametri'!$B$8*(L775+K775)))</f>
        <v>-281851.42027613352</v>
      </c>
      <c r="O775" s="18">
        <f>IF($A775&gt;('1-Input'!$B$26-2),O774,O774-J775*(1-I775))</f>
        <v>-210279.63411530294</v>
      </c>
      <c r="P775" s="11">
        <f>IF($A775&gt;('1-Input'!$B$26-2),0,IF(U774&lt;=0,0,MAX(0,(U774-V774)/U774)))</f>
        <v>0</v>
      </c>
      <c r="Q775" s="18">
        <f>IF($A775&gt;('1-Input'!$B$26-2),0,(MAX(0,P726-IF($A775&gt;='1-Input'!$C$12,'1-Input'!$B$12,0))-MIN(MAX(T774,0),MAX(0,P726-IF($A775&gt;='1-Input'!$C$12,'1-Input'!$B$12,0))))*(1/(1-'P-Parametri'!$B$6*P775))+MIN(MAX(0,U774-(MAX(0,P726-IF($A775&gt;='1-Input'!$C$12,'1-Input'!$B$12,0))-MIN(MAX(T774,0),MAX(0,P726-IF($A775&gt;='1-Input'!$C$12,'1-Input'!$B$12,0))))*(1/(1-'P-Parametri'!$B$6*P775))),MAX(0,2*P726-(T774-MIN(MAX(T774,0),MAX(0,P726-IF($A775&gt;='1-Input'!$C$12,'1-Input'!$B$12,0)))))*(1/(1-'P-Parametri'!$B$6*P775))))</f>
        <v>0</v>
      </c>
      <c r="R775" s="18">
        <f>IF($A775&gt;('1-Input'!$B$26-2),T774,(T774-MAX(0,P726-IF($A775&gt;='1-Input'!$C$12,'1-Input'!$B$12,0))+Q775*(1-'P-Parametri'!$B$6*P775))*(1+'1-Input'!$B$27))</f>
        <v>0</v>
      </c>
      <c r="S775" s="18">
        <f>IF($A775&gt;('1-Input'!$B$26-2),U774,(U774-Q775)*(1+'5-Roberta'!$C$4))</f>
        <v>-16789.185272750368</v>
      </c>
      <c r="T775" s="18">
        <f>IF($A775&gt;('1-Input'!$B$26-2),R775,R775-'P-Parametri'!$B$8*(S775+R775)+MIN(MAX(S775,0),'P-Parametri'!$B$8*(S775+R775)))</f>
        <v>0</v>
      </c>
      <c r="U775" s="18">
        <f>IF($A775&gt;('1-Input'!$B$26-2),S775,S775-MIN(MAX(S775,0),'P-Parametri'!$B$8*(S775+R775)))</f>
        <v>-16789.185272750368</v>
      </c>
      <c r="V775" s="18">
        <f>IF($A775&gt;('1-Input'!$B$26-2),V774,V774-Q775*(1-P775))</f>
        <v>-16045.167090532035</v>
      </c>
      <c r="W775" s="11">
        <f>IF($A775&gt;('1-Input'!$B$26-2),0,IF(AB774&lt;=0,0,MAX(0,(AB774-AC774)/AB774)))</f>
        <v>0</v>
      </c>
      <c r="X775" s="18">
        <f>IF($A775&gt;('1-Input'!$B$26-2),0,(MAX(0,W726-IF($A775&gt;='1-Input'!$C$12,'1-Input'!$B$12,0))-MIN(MAX(AA774,0),MAX(0,W726-IF($A775&gt;='1-Input'!$C$12,'1-Input'!$B$12,0))))*(1/(1-'P-Parametri'!$B$6*W775))+MIN(MAX(0,AB774-(MAX(0,W726-IF($A775&gt;='1-Input'!$C$12,'1-Input'!$B$12,0))-MIN(MAX(AA774,0),MAX(0,W726-IF($A775&gt;='1-Input'!$C$12,'1-Input'!$B$12,0))))*(1/(1-'P-Parametri'!$B$6*W775))),MAX(0,2*W726-(AA774-MIN(MAX(AA774,0),MAX(0,W726-IF($A775&gt;='1-Input'!$C$12,'1-Input'!$B$12,0)))))*(1/(1-'P-Parametri'!$B$6*W775))))</f>
        <v>0</v>
      </c>
      <c r="Y775" s="18">
        <f>IF($A775&gt;('1-Input'!$B$26-2),AA774,(AA774-MAX(0,W726-IF($A775&gt;='1-Input'!$C$12,'1-Input'!$B$12,0))+X775*(1-'P-Parametri'!$B$6*W775))*(1+'1-Input'!$B$27))</f>
        <v>0</v>
      </c>
      <c r="Z775" s="18">
        <f>IF($A775&gt;('1-Input'!$B$26-2),AB774,(AB774-X775)*(1+'5-Roberta'!$C$4))</f>
        <v>-1002.9201793869678</v>
      </c>
      <c r="AA775" s="18">
        <f>IF($A775&gt;('1-Input'!$B$26-2),Y775,Y775-'P-Parametri'!$B$8*(Z775+Y775)+MIN(MAX(Z775,0),'P-Parametri'!$B$8*(Z775+Y775)))</f>
        <v>0</v>
      </c>
      <c r="AB775" s="18">
        <f>IF($A775&gt;('1-Input'!$B$26-2),Z775,Z775-MIN(MAX(Z775,0),'P-Parametri'!$B$8*(Z775+Y775)))</f>
        <v>-1002.9201793869678</v>
      </c>
      <c r="AC775" s="18">
        <f>IF($A775&gt;('1-Input'!$B$26-2),AC774,AC774-X775*(1-W775))</f>
        <v>-975.66023249116415</v>
      </c>
      <c r="AD775" s="11">
        <f>IF($A775&gt;('1-Input'!$B$26-2),0,IF(AI774&lt;=0,0,MAX(0,(AI774-AJ774)/AI774)))</f>
        <v>0</v>
      </c>
      <c r="AE775" s="18">
        <f>IF($A775&gt;('1-Input'!$B$26-2),0,(MAX(0,AD726-IF($A775&gt;='1-Input'!$C$12,'1-Input'!$B$12,0))-MIN(MAX(AH774,0),MAX(0,AD726-IF($A775&gt;='1-Input'!$C$12,'1-Input'!$B$12,0))))*(1/(1-'P-Parametri'!$B$6*AD775))+MIN(MAX(0,AI774-(MAX(0,AD726-IF($A775&gt;='1-Input'!$C$12,'1-Input'!$B$12,0))-MIN(MAX(AH774,0),MAX(0,AD726-IF($A775&gt;='1-Input'!$C$12,'1-Input'!$B$12,0))))*(1/(1-'P-Parametri'!$B$6*AD775))),MAX(0,2*AD726-(AH774-MIN(MAX(AH774,0),MAX(0,AD726-IF($A775&gt;='1-Input'!$C$12,'1-Input'!$B$12,0)))))*(1/(1-'P-Parametri'!$B$6*AD775))))</f>
        <v>0</v>
      </c>
      <c r="AF775" s="18">
        <f>IF($A775&gt;('1-Input'!$B$26-2),AH774,(AH774-MAX(0,AD726-IF($A775&gt;='1-Input'!$C$12,'1-Input'!$B$12,0))+AE775*(1-'P-Parametri'!$B$6*AD775))*(1+'1-Input'!$B$27))</f>
        <v>0</v>
      </c>
      <c r="AG775" s="18">
        <f>IF($A775&gt;('1-Input'!$B$26-2),AI774,(AI774-AE775)*(1+'5-Roberta'!$C$4))</f>
        <v>-5.1907339672288684</v>
      </c>
      <c r="AH775" s="18">
        <f>IF($A775&gt;('1-Input'!$B$26-2),AF775,AF775-'P-Parametri'!$B$8*(AG775+AF775)+MIN(MAX(AG775,0),'P-Parametri'!$B$8*(AG775+AF775)))</f>
        <v>0</v>
      </c>
      <c r="AI775" s="18">
        <f>IF($A775&gt;('1-Input'!$B$26-2),AG775,AG775-MIN(MAX(AG775,0),'P-Parametri'!$B$8*(AG775+AF775)))</f>
        <v>-5.1907339672288684</v>
      </c>
      <c r="AJ775" s="18">
        <f>IF($A775&gt;('1-Input'!$B$26-2),AJ774,AJ774-AE775*(1-AD775))</f>
        <v>-5.0496468346682377</v>
      </c>
      <c r="AK775" s="11">
        <f>IF($A775&gt;('1-Input'!$B$26-2),0,IF(AP774&lt;=0,0,MAX(0,(AP774-AQ774)/AP774)))</f>
        <v>0</v>
      </c>
      <c r="AL775" s="18">
        <f>IF($A775&gt;('1-Input'!$B$26-2),0,(MAX(0,AK726-IF($A775&gt;='1-Input'!$C$12,'1-Input'!$B$12,0))-MIN(MAX(AO774,0),MAX(0,AK726-IF($A775&gt;='1-Input'!$C$12,'1-Input'!$B$12,0))))*(1/(1-'P-Parametri'!$B$6*AK775))+MIN(MAX(0,AP774-(MAX(0,AK726-IF($A775&gt;='1-Input'!$C$12,'1-Input'!$B$12,0))-MIN(MAX(AO774,0),MAX(0,AK726-IF($A775&gt;='1-Input'!$C$12,'1-Input'!$B$12,0))))*(1/(1-'P-Parametri'!$B$6*AK775))),MAX(0,2*AK726-(AO774-MIN(MAX(AO774,0),MAX(0,AK726-IF($A775&gt;='1-Input'!$C$12,'1-Input'!$B$12,0)))))*(1/(1-'P-Parametri'!$B$6*AK775))))</f>
        <v>0</v>
      </c>
      <c r="AM775" s="18">
        <f>IF($A775&gt;('1-Input'!$B$26-2),AO774,(AO774-MAX(0,AK726-IF($A775&gt;='1-Input'!$C$12,'1-Input'!$B$12,0))+AL775*(1-'P-Parametri'!$B$6*AK775))*(1+'1-Input'!$B$27))</f>
        <v>1.4149869583366671E-5</v>
      </c>
      <c r="AN775" s="18">
        <f>IF($A775&gt;('1-Input'!$B$26-2),AP774,(AP774-AL775)*(1+'5-Roberta'!$C$4))</f>
        <v>0</v>
      </c>
      <c r="AO775" s="18">
        <f>IF($A775&gt;('1-Input'!$B$26-2),AM775,AM775-'P-Parametri'!$B$8*(AN775+AM775)+MIN(MAX(AN775,0),'P-Parametri'!$B$8*(AN775+AM775)))</f>
        <v>1.4149869583366671E-5</v>
      </c>
      <c r="AP775" s="18">
        <f>IF($A775&gt;('1-Input'!$B$26-2),AN775,AN775-MIN(MAX(AN775,0),'P-Parametri'!$B$8*(AN775+AM775)))</f>
        <v>0</v>
      </c>
      <c r="AQ775" s="18">
        <f>IF($A775&gt;('1-Input'!$B$26-2),AQ774,AQ774-AL775*(1-AK775))</f>
        <v>0</v>
      </c>
    </row>
    <row r="776" spans="1:43">
      <c r="A776" s="10">
        <f>48</f>
        <v>48</v>
      </c>
      <c r="B776" s="11">
        <f>IF($A776&gt;('1-Input'!$B$26-2),0,IF(G775&lt;=0,0,MAX(0,(G775-H775)/G775)))</f>
        <v>0</v>
      </c>
      <c r="C776" s="18">
        <f>IF($A776&gt;('1-Input'!$B$26-2),0,(MAX(0,B726-IF($A776&gt;='1-Input'!$C$12,'1-Input'!$B$12,0))-MIN(MAX(F775,0),MAX(0,B726-IF($A776&gt;='1-Input'!$C$12,'1-Input'!$B$12,0))))*(1/(1-'P-Parametri'!$B$6*B776))+MIN(MAX(0,G775-(MAX(0,B726-IF($A776&gt;='1-Input'!$C$12,'1-Input'!$B$12,0))-MIN(MAX(F775,0),MAX(0,B726-IF($A776&gt;='1-Input'!$C$12,'1-Input'!$B$12,0))))*(1/(1-'P-Parametri'!$B$6*B776))),MAX(0,2*B726-(F775-MIN(MAX(F775,0),MAX(0,B726-IF($A776&gt;='1-Input'!$C$12,'1-Input'!$B$12,0)))))*(1/(1-'P-Parametri'!$B$6*B776))))</f>
        <v>0</v>
      </c>
      <c r="D776" s="18">
        <f>IF($A776&gt;('1-Input'!$B$26-2),F775,(F775-MAX(0,B726-IF($A776&gt;='1-Input'!$C$12,'1-Input'!$B$12,0))+C776*(1-'P-Parametri'!$B$6*B776))*(1+'1-Input'!$B$27))</f>
        <v>33242.0070309863</v>
      </c>
      <c r="E776" s="18">
        <f>IF($A776&gt;('1-Input'!$B$26-2),G775,(G775-C776)*(1+'5-Roberta'!$C$4))</f>
        <v>100999.18392804137</v>
      </c>
      <c r="F776" s="18">
        <f>IF($A776&gt;('1-Input'!$B$26-2),D776,D776-'P-Parametri'!$B$8*(E776+D776)+MIN(MAX(E776,0),'P-Parametri'!$B$8*(E776+D776)))</f>
        <v>33242.0070309863</v>
      </c>
      <c r="G776" s="18">
        <f>IF($A776&gt;('1-Input'!$B$26-2),E776,E776-MIN(MAX(E776,0),'P-Parametri'!$B$8*(E776+D776)))</f>
        <v>100999.18392804137</v>
      </c>
      <c r="H776" s="18">
        <f>IF($A776&gt;('1-Input'!$B$26-2),H775,H775-C776*(1-B776))</f>
        <v>24581.755435457948</v>
      </c>
      <c r="I776" s="11">
        <f>IF($A776&gt;('1-Input'!$B$26-2),0,IF(N775&lt;=0,0,MAX(0,(N775-O775)/N775)))</f>
        <v>0</v>
      </c>
      <c r="J776" s="18">
        <f>IF($A776&gt;('1-Input'!$B$26-2),0,(MAX(0,I726-IF($A776&gt;='1-Input'!$C$12,'1-Input'!$B$12,0))-MIN(MAX(M775,0),MAX(0,I726-IF($A776&gt;='1-Input'!$C$12,'1-Input'!$B$12,0))))*(1/(1-'P-Parametri'!$B$6*I776))+MIN(MAX(0,N775-(MAX(0,I726-IF($A776&gt;='1-Input'!$C$12,'1-Input'!$B$12,0))-MIN(MAX(M775,0),MAX(0,I726-IF($A776&gt;='1-Input'!$C$12,'1-Input'!$B$12,0))))*(1/(1-'P-Parametri'!$B$6*I776))),MAX(0,2*I726-(M775-MIN(MAX(M775,0),MAX(0,I726-IF($A776&gt;='1-Input'!$C$12,'1-Input'!$B$12,0)))))*(1/(1-'P-Parametri'!$B$6*I776))))</f>
        <v>0</v>
      </c>
      <c r="K776" s="18">
        <f>IF($A776&gt;('1-Input'!$B$26-2),M775,(M775-MAX(0,I726-IF($A776&gt;='1-Input'!$C$12,'1-Input'!$B$12,0))+J776*(1-'P-Parametri'!$B$6*I776))*(1+'1-Input'!$B$27))</f>
        <v>0</v>
      </c>
      <c r="L776" s="18">
        <f>IF($A776&gt;('1-Input'!$B$26-2),N775,(N775-J776)*(1+'5-Roberta'!$C$4))</f>
        <v>-281851.42027613352</v>
      </c>
      <c r="M776" s="18">
        <f>IF($A776&gt;('1-Input'!$B$26-2),K776,K776-'P-Parametri'!$B$8*(L776+K776)+MIN(MAX(L776,0),'P-Parametri'!$B$8*(L776+K776)))</f>
        <v>0</v>
      </c>
      <c r="N776" s="18">
        <f>IF($A776&gt;('1-Input'!$B$26-2),L776,L776-MIN(MAX(L776,0),'P-Parametri'!$B$8*(L776+K776)))</f>
        <v>-281851.42027613352</v>
      </c>
      <c r="O776" s="18">
        <f>IF($A776&gt;('1-Input'!$B$26-2),O775,O775-J776*(1-I776))</f>
        <v>-210279.63411530294</v>
      </c>
      <c r="P776" s="11">
        <f>IF($A776&gt;('1-Input'!$B$26-2),0,IF(U775&lt;=0,0,MAX(0,(U775-V775)/U775)))</f>
        <v>0</v>
      </c>
      <c r="Q776" s="18">
        <f>IF($A776&gt;('1-Input'!$B$26-2),0,(MAX(0,P726-IF($A776&gt;='1-Input'!$C$12,'1-Input'!$B$12,0))-MIN(MAX(T775,0),MAX(0,P726-IF($A776&gt;='1-Input'!$C$12,'1-Input'!$B$12,0))))*(1/(1-'P-Parametri'!$B$6*P776))+MIN(MAX(0,U775-(MAX(0,P726-IF($A776&gt;='1-Input'!$C$12,'1-Input'!$B$12,0))-MIN(MAX(T775,0),MAX(0,P726-IF($A776&gt;='1-Input'!$C$12,'1-Input'!$B$12,0))))*(1/(1-'P-Parametri'!$B$6*P776))),MAX(0,2*P726-(T775-MIN(MAX(T775,0),MAX(0,P726-IF($A776&gt;='1-Input'!$C$12,'1-Input'!$B$12,0)))))*(1/(1-'P-Parametri'!$B$6*P776))))</f>
        <v>0</v>
      </c>
      <c r="R776" s="18">
        <f>IF($A776&gt;('1-Input'!$B$26-2),T775,(T775-MAX(0,P726-IF($A776&gt;='1-Input'!$C$12,'1-Input'!$B$12,0))+Q776*(1-'P-Parametri'!$B$6*P776))*(1+'1-Input'!$B$27))</f>
        <v>0</v>
      </c>
      <c r="S776" s="18">
        <f>IF($A776&gt;('1-Input'!$B$26-2),U775,(U775-Q776)*(1+'5-Roberta'!$C$4))</f>
        <v>-16789.185272750368</v>
      </c>
      <c r="T776" s="18">
        <f>IF($A776&gt;('1-Input'!$B$26-2),R776,R776-'P-Parametri'!$B$8*(S776+R776)+MIN(MAX(S776,0),'P-Parametri'!$B$8*(S776+R776)))</f>
        <v>0</v>
      </c>
      <c r="U776" s="18">
        <f>IF($A776&gt;('1-Input'!$B$26-2),S776,S776-MIN(MAX(S776,0),'P-Parametri'!$B$8*(S776+R776)))</f>
        <v>-16789.185272750368</v>
      </c>
      <c r="V776" s="18">
        <f>IF($A776&gt;('1-Input'!$B$26-2),V775,V775-Q776*(1-P776))</f>
        <v>-16045.167090532035</v>
      </c>
      <c r="W776" s="11">
        <f>IF($A776&gt;('1-Input'!$B$26-2),0,IF(AB775&lt;=0,0,MAX(0,(AB775-AC775)/AB775)))</f>
        <v>0</v>
      </c>
      <c r="X776" s="18">
        <f>IF($A776&gt;('1-Input'!$B$26-2),0,(MAX(0,W726-IF($A776&gt;='1-Input'!$C$12,'1-Input'!$B$12,0))-MIN(MAX(AA775,0),MAX(0,W726-IF($A776&gt;='1-Input'!$C$12,'1-Input'!$B$12,0))))*(1/(1-'P-Parametri'!$B$6*W776))+MIN(MAX(0,AB775-(MAX(0,W726-IF($A776&gt;='1-Input'!$C$12,'1-Input'!$B$12,0))-MIN(MAX(AA775,0),MAX(0,W726-IF($A776&gt;='1-Input'!$C$12,'1-Input'!$B$12,0))))*(1/(1-'P-Parametri'!$B$6*W776))),MAX(0,2*W726-(AA775-MIN(MAX(AA775,0),MAX(0,W726-IF($A776&gt;='1-Input'!$C$12,'1-Input'!$B$12,0)))))*(1/(1-'P-Parametri'!$B$6*W776))))</f>
        <v>0</v>
      </c>
      <c r="Y776" s="18">
        <f>IF($A776&gt;('1-Input'!$B$26-2),AA775,(AA775-MAX(0,W726-IF($A776&gt;='1-Input'!$C$12,'1-Input'!$B$12,0))+X776*(1-'P-Parametri'!$B$6*W776))*(1+'1-Input'!$B$27))</f>
        <v>0</v>
      </c>
      <c r="Z776" s="18">
        <f>IF($A776&gt;('1-Input'!$B$26-2),AB775,(AB775-X776)*(1+'5-Roberta'!$C$4))</f>
        <v>-1002.9201793869678</v>
      </c>
      <c r="AA776" s="18">
        <f>IF($A776&gt;('1-Input'!$B$26-2),Y776,Y776-'P-Parametri'!$B$8*(Z776+Y776)+MIN(MAX(Z776,0),'P-Parametri'!$B$8*(Z776+Y776)))</f>
        <v>0</v>
      </c>
      <c r="AB776" s="18">
        <f>IF($A776&gt;('1-Input'!$B$26-2),Z776,Z776-MIN(MAX(Z776,0),'P-Parametri'!$B$8*(Z776+Y776)))</f>
        <v>-1002.9201793869678</v>
      </c>
      <c r="AC776" s="18">
        <f>IF($A776&gt;('1-Input'!$B$26-2),AC775,AC775-X776*(1-W776))</f>
        <v>-975.66023249116415</v>
      </c>
      <c r="AD776" s="11">
        <f>IF($A776&gt;('1-Input'!$B$26-2),0,IF(AI775&lt;=0,0,MAX(0,(AI775-AJ775)/AI775)))</f>
        <v>0</v>
      </c>
      <c r="AE776" s="18">
        <f>IF($A776&gt;('1-Input'!$B$26-2),0,(MAX(0,AD726-IF($A776&gt;='1-Input'!$C$12,'1-Input'!$B$12,0))-MIN(MAX(AH775,0),MAX(0,AD726-IF($A776&gt;='1-Input'!$C$12,'1-Input'!$B$12,0))))*(1/(1-'P-Parametri'!$B$6*AD776))+MIN(MAX(0,AI775-(MAX(0,AD726-IF($A776&gt;='1-Input'!$C$12,'1-Input'!$B$12,0))-MIN(MAX(AH775,0),MAX(0,AD726-IF($A776&gt;='1-Input'!$C$12,'1-Input'!$B$12,0))))*(1/(1-'P-Parametri'!$B$6*AD776))),MAX(0,2*AD726-(AH775-MIN(MAX(AH775,0),MAX(0,AD726-IF($A776&gt;='1-Input'!$C$12,'1-Input'!$B$12,0)))))*(1/(1-'P-Parametri'!$B$6*AD776))))</f>
        <v>0</v>
      </c>
      <c r="AF776" s="18">
        <f>IF($A776&gt;('1-Input'!$B$26-2),AH775,(AH775-MAX(0,AD726-IF($A776&gt;='1-Input'!$C$12,'1-Input'!$B$12,0))+AE776*(1-'P-Parametri'!$B$6*AD776))*(1+'1-Input'!$B$27))</f>
        <v>0</v>
      </c>
      <c r="AG776" s="18">
        <f>IF($A776&gt;('1-Input'!$B$26-2),AI775,(AI775-AE776)*(1+'5-Roberta'!$C$4))</f>
        <v>-5.1907339672288684</v>
      </c>
      <c r="AH776" s="18">
        <f>IF($A776&gt;('1-Input'!$B$26-2),AF776,AF776-'P-Parametri'!$B$8*(AG776+AF776)+MIN(MAX(AG776,0),'P-Parametri'!$B$8*(AG776+AF776)))</f>
        <v>0</v>
      </c>
      <c r="AI776" s="18">
        <f>IF($A776&gt;('1-Input'!$B$26-2),AG776,AG776-MIN(MAX(AG776,0),'P-Parametri'!$B$8*(AG776+AF776)))</f>
        <v>-5.1907339672288684</v>
      </c>
      <c r="AJ776" s="18">
        <f>IF($A776&gt;('1-Input'!$B$26-2),AJ775,AJ775-AE776*(1-AD776))</f>
        <v>-5.0496468346682377</v>
      </c>
      <c r="AK776" s="11">
        <f>IF($A776&gt;('1-Input'!$B$26-2),0,IF(AP775&lt;=0,0,MAX(0,(AP775-AQ775)/AP775)))</f>
        <v>0</v>
      </c>
      <c r="AL776" s="18">
        <f>IF($A776&gt;('1-Input'!$B$26-2),0,(MAX(0,AK726-IF($A776&gt;='1-Input'!$C$12,'1-Input'!$B$12,0))-MIN(MAX(AO775,0),MAX(0,AK726-IF($A776&gt;='1-Input'!$C$12,'1-Input'!$B$12,0))))*(1/(1-'P-Parametri'!$B$6*AK776))+MIN(MAX(0,AP775-(MAX(0,AK726-IF($A776&gt;='1-Input'!$C$12,'1-Input'!$B$12,0))-MIN(MAX(AO775,0),MAX(0,AK726-IF($A776&gt;='1-Input'!$C$12,'1-Input'!$B$12,0))))*(1/(1-'P-Parametri'!$B$6*AK776))),MAX(0,2*AK726-(AO775-MIN(MAX(AO775,0),MAX(0,AK726-IF($A776&gt;='1-Input'!$C$12,'1-Input'!$B$12,0)))))*(1/(1-'P-Parametri'!$B$6*AK776))))</f>
        <v>0</v>
      </c>
      <c r="AM776" s="18">
        <f>IF($A776&gt;('1-Input'!$B$26-2),AO775,(AO775-MAX(0,AK726-IF($A776&gt;='1-Input'!$C$12,'1-Input'!$B$12,0))+AL776*(1-'P-Parametri'!$B$6*AK776))*(1+'1-Input'!$B$27))</f>
        <v>1.4149869583366671E-5</v>
      </c>
      <c r="AN776" s="18">
        <f>IF($A776&gt;('1-Input'!$B$26-2),AP775,(AP775-AL776)*(1+'5-Roberta'!$C$4))</f>
        <v>0</v>
      </c>
      <c r="AO776" s="18">
        <f>IF($A776&gt;('1-Input'!$B$26-2),AM776,AM776-'P-Parametri'!$B$8*(AN776+AM776)+MIN(MAX(AN776,0),'P-Parametri'!$B$8*(AN776+AM776)))</f>
        <v>1.4149869583366671E-5</v>
      </c>
      <c r="AP776" s="18">
        <f>IF($A776&gt;('1-Input'!$B$26-2),AN776,AN776-MIN(MAX(AN776,0),'P-Parametri'!$B$8*(AN776+AM776)))</f>
        <v>0</v>
      </c>
      <c r="AQ776" s="18">
        <f>IF($A776&gt;('1-Input'!$B$26-2),AQ775,AQ775-AL776*(1-AK776))</f>
        <v>0</v>
      </c>
    </row>
    <row r="777" spans="1:43">
      <c r="A777" s="4" t="s">
        <v>365</v>
      </c>
      <c r="B777" s="18">
        <f>F776+G776</f>
        <v>134241.19095902768</v>
      </c>
      <c r="I777" s="18">
        <f>M776+N776</f>
        <v>-281851.42027613352</v>
      </c>
      <c r="P777" s="18">
        <f>T776+U776</f>
        <v>-16789.185272750368</v>
      </c>
      <c r="W777" s="18">
        <f>AA776+AB776</f>
        <v>-1002.9201793869678</v>
      </c>
      <c r="AD777" s="18">
        <f>AH776+AI776</f>
        <v>-5.1907339672288684</v>
      </c>
      <c r="AK777" s="18">
        <f>AO776+AP776</f>
        <v>1.4149869583366671E-5</v>
      </c>
    </row>
    <row r="778" spans="1:43">
      <c r="A778" s="5" t="s">
        <v>266</v>
      </c>
      <c r="B778" s="18">
        <f>IFERROR(AK726-AK777*(AK726-AD726)/(AK777-AD777),AK726)</f>
        <v>18140.092427860982</v>
      </c>
    </row>
    <row r="780" spans="1:43">
      <c r="A780" s="2" t="s">
        <v>423</v>
      </c>
    </row>
    <row r="781" spans="1:43">
      <c r="A781" s="4" t="s">
        <v>360</v>
      </c>
      <c r="B781" s="9">
        <f>0.038*'2-Caso'!$B$12</f>
        <v>16681.055314625803</v>
      </c>
      <c r="I781" s="9">
        <f>0.05*'2-Caso'!$B$12</f>
        <v>21948.756992928691</v>
      </c>
      <c r="P781" s="18">
        <f>IFERROR(I781-I832*(I781-B781)/(I832-B832),I781)</f>
        <v>18826.081983706776</v>
      </c>
      <c r="W781" s="18">
        <f>IFERROR(P781-P832*(P781-I781)/(P832-I832),P781)</f>
        <v>18569.052086983978</v>
      </c>
      <c r="AD781" s="18">
        <f>IFERROR(W781-W832*(W781-P781)/(W832-P832),W781)</f>
        <v>18582.35780186977</v>
      </c>
      <c r="AK781" s="18">
        <f>IFERROR(AD781-AD832*(AD781-W781)/(AD832-W832),AD781)</f>
        <v>18580.532901923631</v>
      </c>
    </row>
    <row r="782" spans="1:43" ht="45">
      <c r="A782" s="25" t="s">
        <v>262</v>
      </c>
      <c r="B782" s="25" t="s">
        <v>361</v>
      </c>
      <c r="C782" s="25" t="s">
        <v>263</v>
      </c>
      <c r="D782" s="25" t="s">
        <v>362</v>
      </c>
      <c r="E782" s="25" t="s">
        <v>363</v>
      </c>
      <c r="F782" s="25" t="s">
        <v>264</v>
      </c>
      <c r="G782" s="25" t="s">
        <v>265</v>
      </c>
      <c r="H782" s="25" t="s">
        <v>364</v>
      </c>
      <c r="I782" s="25" t="s">
        <v>361</v>
      </c>
      <c r="J782" s="25" t="s">
        <v>263</v>
      </c>
      <c r="K782" s="25" t="s">
        <v>362</v>
      </c>
      <c r="L782" s="25" t="s">
        <v>363</v>
      </c>
      <c r="M782" s="25" t="s">
        <v>264</v>
      </c>
      <c r="N782" s="25" t="s">
        <v>265</v>
      </c>
      <c r="O782" s="25" t="s">
        <v>364</v>
      </c>
      <c r="P782" s="25" t="s">
        <v>361</v>
      </c>
      <c r="Q782" s="25" t="s">
        <v>263</v>
      </c>
      <c r="R782" s="25" t="s">
        <v>362</v>
      </c>
      <c r="S782" s="25" t="s">
        <v>363</v>
      </c>
      <c r="T782" s="25" t="s">
        <v>264</v>
      </c>
      <c r="U782" s="25" t="s">
        <v>265</v>
      </c>
      <c r="V782" s="25" t="s">
        <v>364</v>
      </c>
      <c r="W782" s="25" t="s">
        <v>361</v>
      </c>
      <c r="X782" s="25" t="s">
        <v>263</v>
      </c>
      <c r="Y782" s="25" t="s">
        <v>362</v>
      </c>
      <c r="Z782" s="25" t="s">
        <v>363</v>
      </c>
      <c r="AA782" s="25" t="s">
        <v>264</v>
      </c>
      <c r="AB782" s="25" t="s">
        <v>265</v>
      </c>
      <c r="AC782" s="25" t="s">
        <v>364</v>
      </c>
      <c r="AD782" s="25" t="s">
        <v>361</v>
      </c>
      <c r="AE782" s="25" t="s">
        <v>263</v>
      </c>
      <c r="AF782" s="25" t="s">
        <v>362</v>
      </c>
      <c r="AG782" s="25" t="s">
        <v>363</v>
      </c>
      <c r="AH782" s="25" t="s">
        <v>264</v>
      </c>
      <c r="AI782" s="25" t="s">
        <v>265</v>
      </c>
      <c r="AJ782" s="25" t="s">
        <v>364</v>
      </c>
      <c r="AK782" s="25" t="s">
        <v>361</v>
      </c>
      <c r="AL782" s="25" t="s">
        <v>263</v>
      </c>
      <c r="AM782" s="25" t="s">
        <v>362</v>
      </c>
      <c r="AN782" s="25" t="s">
        <v>363</v>
      </c>
      <c r="AO782" s="25" t="s">
        <v>264</v>
      </c>
      <c r="AP782" s="25" t="s">
        <v>265</v>
      </c>
      <c r="AQ782" s="25" t="s">
        <v>364</v>
      </c>
    </row>
    <row r="783" spans="1:43">
      <c r="A783" s="3">
        <v>0</v>
      </c>
      <c r="F783" s="18">
        <f>MIN(0*B781,'2-Caso'!$B$12)</f>
        <v>0</v>
      </c>
      <c r="G783" s="18">
        <f>'2-Caso'!$B$12-F783</f>
        <v>438975.13985857379</v>
      </c>
      <c r="H783" s="18">
        <f>'2-Caso'!$B$13*G783/'2-Caso'!$B$12</f>
        <v>344000</v>
      </c>
      <c r="M783" s="18">
        <f>MIN(0*I781,'2-Caso'!$B$12)</f>
        <v>0</v>
      </c>
      <c r="N783" s="18">
        <f>'2-Caso'!$B$12-M783</f>
        <v>438975.13985857379</v>
      </c>
      <c r="O783" s="18">
        <f>'2-Caso'!$B$13*N783/'2-Caso'!$B$12</f>
        <v>344000</v>
      </c>
      <c r="T783" s="18">
        <f>MIN(0*P781,'2-Caso'!$B$12)</f>
        <v>0</v>
      </c>
      <c r="U783" s="18">
        <f>'2-Caso'!$B$12-T783</f>
        <v>438975.13985857379</v>
      </c>
      <c r="V783" s="18">
        <f>'2-Caso'!$B$13*U783/'2-Caso'!$B$12</f>
        <v>344000</v>
      </c>
      <c r="AA783" s="18">
        <f>MIN(0*W781,'2-Caso'!$B$12)</f>
        <v>0</v>
      </c>
      <c r="AB783" s="18">
        <f>'2-Caso'!$B$12-AA783</f>
        <v>438975.13985857379</v>
      </c>
      <c r="AC783" s="18">
        <f>'2-Caso'!$B$13*AB783/'2-Caso'!$B$12</f>
        <v>344000</v>
      </c>
      <c r="AH783" s="18">
        <f>MIN(0*AD781,'2-Caso'!$B$12)</f>
        <v>0</v>
      </c>
      <c r="AI783" s="18">
        <f>'2-Caso'!$B$12-AH783</f>
        <v>438975.13985857379</v>
      </c>
      <c r="AJ783" s="18">
        <f>'2-Caso'!$B$13*AI783/'2-Caso'!$B$12</f>
        <v>344000</v>
      </c>
      <c r="AO783" s="18">
        <f>MIN(0*AK781,'2-Caso'!$B$12)</f>
        <v>0</v>
      </c>
      <c r="AP783" s="18">
        <f>'2-Caso'!$B$12-AO783</f>
        <v>438975.13985857379</v>
      </c>
      <c r="AQ783" s="18">
        <f>'2-Caso'!$B$13*AP783/'2-Caso'!$B$12</f>
        <v>344000</v>
      </c>
    </row>
    <row r="784" spans="1:43">
      <c r="A784" s="10">
        <f>1</f>
        <v>1</v>
      </c>
      <c r="B784" s="11">
        <f>IF($A784&gt;('1-Input'!$B$26+3),0,IF(G783&lt;=0,0,MAX(0,(G783-H783)/G783)))</f>
        <v>0.21635653419729481</v>
      </c>
      <c r="C784" s="18">
        <f>IF($A784&gt;('1-Input'!$B$26+3),0,(MAX(0,B781-IF($A784&gt;='1-Input'!$C$12,'1-Input'!$B$12,0))-MIN(MAX(F783,0),MAX(0,B781-IF($A784&gt;='1-Input'!$C$12,'1-Input'!$B$12,0))))*(1/(1-'P-Parametri'!$B$6*B784))+MIN(MAX(0,G783-(MAX(0,B781-IF($A784&gt;='1-Input'!$C$12,'1-Input'!$B$12,0))-MIN(MAX(F783,0),MAX(0,B781-IF($A784&gt;='1-Input'!$C$12,'1-Input'!$B$12,0))))*(1/(1-'P-Parametri'!$B$6*B784))),MAX(0,0*B781-(F783-MIN(MAX(F783,0),MAX(0,B781-IF($A784&gt;='1-Input'!$C$12,'1-Input'!$B$12,0)))))*(1/(1-'P-Parametri'!$B$6*B784))))</f>
        <v>17675.340946701614</v>
      </c>
      <c r="D784" s="18">
        <f>IF($A784&gt;('1-Input'!$B$26+3),F783,(F783-MAX(0,B781-IF($A784&gt;='1-Input'!$C$12,'1-Input'!$B$12,0))+C784*(1-'P-Parametri'!$B$6*B784))*(1+'1-Input'!$B$27))</f>
        <v>-3.6248820833861826E-12</v>
      </c>
      <c r="E784" s="18">
        <f>IF($A784&gt;('1-Input'!$B$26+3),G783,(G783-C784)*(1+'5-Roberta'!$C$4))</f>
        <v>433938.79287922836</v>
      </c>
      <c r="F784" s="18">
        <f>IF($A784&gt;('1-Input'!$B$26+3),D784,D784-'P-Parametri'!$B$8*(E784+D784)+MIN(MAX(E784,0),'P-Parametri'!$B$8*(E784+D784)))</f>
        <v>-3.637978807091713E-12</v>
      </c>
      <c r="G784" s="18">
        <f>IF($A784&gt;('1-Input'!$B$26+3),E784,E784-MIN(MAX(E784,0),'P-Parametri'!$B$8*(E784+D784)))</f>
        <v>433070.91529346991</v>
      </c>
      <c r="H784" s="18">
        <f>IF($A784&gt;('1-Input'!$B$26+3),H783,H783-C784*(1-B784))</f>
        <v>330148.8345612823</v>
      </c>
      <c r="I784" s="11">
        <f>IF($A784&gt;('1-Input'!$B$26+3),0,IF(N783&lt;=0,0,MAX(0,(N783-O783)/N783)))</f>
        <v>0.21635653419729481</v>
      </c>
      <c r="J784" s="18">
        <f>IF($A784&gt;('1-Input'!$B$26+3),0,(MAX(0,I781-IF($A784&gt;='1-Input'!$C$12,'1-Input'!$B$12,0))-MIN(MAX(M783,0),MAX(0,I781-IF($A784&gt;='1-Input'!$C$12,'1-Input'!$B$12,0))))*(1/(1-'P-Parametri'!$B$6*I784))+MIN(MAX(0,N783-(MAX(0,I781-IF($A784&gt;='1-Input'!$C$12,'1-Input'!$B$12,0))-MIN(MAX(M783,0),MAX(0,I781-IF($A784&gt;='1-Input'!$C$12,'1-Input'!$B$12,0))))*(1/(1-'P-Parametri'!$B$6*I784))),MAX(0,0*I781-(M783-MIN(MAX(M783,0),MAX(0,I781-IF($A784&gt;='1-Input'!$C$12,'1-Input'!$B$12,0)))))*(1/(1-'P-Parametri'!$B$6*I784))))</f>
        <v>23257.027561449497</v>
      </c>
      <c r="K784" s="18">
        <f>IF($A784&gt;('1-Input'!$B$26+3),M783,(M783-MAX(0,I781-IF($A784&gt;='1-Input'!$C$12,'1-Input'!$B$12,0))+J784*(1-'P-Parametri'!$B$6*I784))*(1+'1-Input'!$B$27))</f>
        <v>0</v>
      </c>
      <c r="L784" s="18">
        <f>IF($A784&gt;('1-Input'!$B$26+3),N783,(N783-J784)*(1+'5-Roberta'!$C$4))</f>
        <v>428189.65566603804</v>
      </c>
      <c r="M784" s="18">
        <f>IF($A784&gt;('1-Input'!$B$26+3),K784,K784-'P-Parametri'!$B$8*(L784+K784)+MIN(MAX(L784,0),'P-Parametri'!$B$8*(L784+K784)))</f>
        <v>0</v>
      </c>
      <c r="N784" s="18">
        <f>IF($A784&gt;('1-Input'!$B$26+3),L784,L784-MIN(MAX(L784,0),'P-Parametri'!$B$8*(L784+K784)))</f>
        <v>427333.27635470597</v>
      </c>
      <c r="O784" s="18">
        <f>IF($A784&gt;('1-Input'!$B$26+3),O783,O783-J784*(1-I784))</f>
        <v>325774.7823174767</v>
      </c>
      <c r="P784" s="11">
        <f>IF($A784&gt;('1-Input'!$B$26+3),0,IF(U783&lt;=0,0,MAX(0,(U783-V783)/U783)))</f>
        <v>0.21635653419729481</v>
      </c>
      <c r="Q784" s="18">
        <f>IF($A784&gt;('1-Input'!$B$26+3),0,(MAX(0,P781-IF($A784&gt;='1-Input'!$C$12,'1-Input'!$B$12,0))-MIN(MAX(T783,0),MAX(0,P781-IF($A784&gt;='1-Input'!$C$12,'1-Input'!$B$12,0))))*(1/(1-'P-Parametri'!$B$6*P784))+MIN(MAX(0,U783-(MAX(0,P781-IF($A784&gt;='1-Input'!$C$12,'1-Input'!$B$12,0))-MIN(MAX(T783,0),MAX(0,P781-IF($A784&gt;='1-Input'!$C$12,'1-Input'!$B$12,0))))*(1/(1-'P-Parametri'!$B$6*P784))),MAX(0,0*P781-(T783-MIN(MAX(T783,0),MAX(0,P781-IF($A784&gt;='1-Input'!$C$12,'1-Input'!$B$12,0)))))*(1/(1-'P-Parametri'!$B$6*P784))))</f>
        <v>19948.223387330607</v>
      </c>
      <c r="R784" s="18">
        <f>IF($A784&gt;('1-Input'!$B$26+3),T783,(T783-MAX(0,P781-IF($A784&gt;='1-Input'!$C$12,'1-Input'!$B$12,0))+Q784*(1-'P-Parametri'!$B$6*P784))*(1+'1-Input'!$B$27))</f>
        <v>0</v>
      </c>
      <c r="S784" s="18">
        <f>IF($A784&gt;('1-Input'!$B$26+3),U783,(U783-Q784)*(1+'5-Roberta'!$C$4))</f>
        <v>431597.72396538052</v>
      </c>
      <c r="T784" s="18">
        <f>IF($A784&gt;('1-Input'!$B$26+3),R784,R784-'P-Parametri'!$B$8*(S784+R784)+MIN(MAX(S784,0),'P-Parametri'!$B$8*(S784+R784)))</f>
        <v>0</v>
      </c>
      <c r="U784" s="18">
        <f>IF($A784&gt;('1-Input'!$B$26+3),S784,S784-MIN(MAX(S784,0),'P-Parametri'!$B$8*(S784+R784)))</f>
        <v>430734.52851744974</v>
      </c>
      <c r="V784" s="18">
        <f>IF($A784&gt;('1-Input'!$B$26+3),V783,V783-Q784*(1-P784))</f>
        <v>328367.70508814568</v>
      </c>
      <c r="W784" s="11">
        <f>IF($A784&gt;('1-Input'!$B$26+3),0,IF(AB783&lt;=0,0,MAX(0,(AB783-AC783)/AB783)))</f>
        <v>0.21635653419729481</v>
      </c>
      <c r="X784" s="18">
        <f>IF($A784&gt;('1-Input'!$B$26+3),0,(MAX(0,W781-IF($A784&gt;='1-Input'!$C$12,'1-Input'!$B$12,0))-MIN(MAX(AA783,0),MAX(0,W781-IF($A784&gt;='1-Input'!$C$12,'1-Input'!$B$12,0))))*(1/(1-'P-Parametri'!$B$6*W784))+MIN(MAX(0,AB783-(MAX(0,W781-IF($A784&gt;='1-Input'!$C$12,'1-Input'!$B$12,0))-MIN(MAX(AA783,0),MAX(0,W781-IF($A784&gt;='1-Input'!$C$12,'1-Input'!$B$12,0))))*(1/(1-'P-Parametri'!$B$6*W784))),MAX(0,0*W781-(AA783-MIN(MAX(AA783,0),MAX(0,W781-IF($A784&gt;='1-Input'!$C$12,'1-Input'!$B$12,0)))))*(1/(1-'P-Parametri'!$B$6*W784))))</f>
        <v>19675.873049034708</v>
      </c>
      <c r="Y784" s="18">
        <f>IF($A784&gt;('1-Input'!$B$26+3),AA783,(AA783-MAX(0,W781-IF($A784&gt;='1-Input'!$C$12,'1-Input'!$B$12,0))+X784*(1-'P-Parametri'!$B$6*W784))*(1+'1-Input'!$B$27))</f>
        <v>0</v>
      </c>
      <c r="Z784" s="18">
        <f>IF($A784&gt;('1-Input'!$B$26+3),AB783,(AB783-X784)*(1+'5-Roberta'!$C$4))</f>
        <v>431878.24481382524</v>
      </c>
      <c r="AA784" s="18">
        <f>IF($A784&gt;('1-Input'!$B$26+3),Y784,Y784-'P-Parametri'!$B$8*(Z784+Y784)+MIN(MAX(Z784,0),'P-Parametri'!$B$8*(Z784+Y784)))</f>
        <v>0</v>
      </c>
      <c r="AB784" s="18">
        <f>IF($A784&gt;('1-Input'!$B$26+3),Z784,Z784-MIN(MAX(Z784,0),'P-Parametri'!$B$8*(Z784+Y784)))</f>
        <v>431014.48832419759</v>
      </c>
      <c r="AC784" s="18">
        <f>IF($A784&gt;('1-Input'!$B$26+3),AC783,AC783-X784*(1-W784))</f>
        <v>328581.13065116038</v>
      </c>
      <c r="AD784" s="11">
        <f>IF($A784&gt;('1-Input'!$B$26+3),0,IF(AI783&lt;=0,0,MAX(0,(AI783-AJ783)/AI783)))</f>
        <v>0.21635653419729481</v>
      </c>
      <c r="AE784" s="18">
        <f>IF($A784&gt;('1-Input'!$B$26+3),0,(MAX(0,AD781-IF($A784&gt;='1-Input'!$C$12,'1-Input'!$B$12,0))-MIN(MAX(AH783,0),MAX(0,AD781-IF($A784&gt;='1-Input'!$C$12,'1-Input'!$B$12,0))))*(1/(1-'P-Parametri'!$B$6*AD784))+MIN(MAX(0,AI783-(MAX(0,AD781-IF($A784&gt;='1-Input'!$C$12,'1-Input'!$B$12,0))-MIN(MAX(AH783,0),MAX(0,AD781-IF($A784&gt;='1-Input'!$C$12,'1-Input'!$B$12,0))))*(1/(1-'P-Parametri'!$B$6*AD784))),MAX(0,0*AD781-(AH783-MIN(MAX(AH783,0),MAX(0,AD781-IF($A784&gt;='1-Input'!$C$12,'1-Input'!$B$12,0)))))*(1/(1-'P-Parametri'!$B$6*AD784))))</f>
        <v>19689.971860093727</v>
      </c>
      <c r="AF784" s="18">
        <f>IF($A784&gt;('1-Input'!$B$26+3),AH783,(AH783-MAX(0,AD781-IF($A784&gt;='1-Input'!$C$12,'1-Input'!$B$12,0))+AE784*(1-'P-Parametri'!$B$6*AD784))*(1+'1-Input'!$B$27))</f>
        <v>0</v>
      </c>
      <c r="AG784" s="18">
        <f>IF($A784&gt;('1-Input'!$B$26+3),AI783,(AI783-AE784)*(1+'5-Roberta'!$C$4))</f>
        <v>431863.72303843452</v>
      </c>
      <c r="AH784" s="18">
        <f>IF($A784&gt;('1-Input'!$B$26+3),AF784,AF784-'P-Parametri'!$B$8*(AG784+AF784)+MIN(MAX(AG784,0),'P-Parametri'!$B$8*(AG784+AF784)))</f>
        <v>0</v>
      </c>
      <c r="AI784" s="18">
        <f>IF($A784&gt;('1-Input'!$B$26+3),AG784,AG784-MIN(MAX(AG784,0),'P-Parametri'!$B$8*(AG784+AF784)))</f>
        <v>430999.99559235765</v>
      </c>
      <c r="AJ784" s="18">
        <f>IF($A784&gt;('1-Input'!$B$26+3),AJ783,AJ783-AE784*(1-AD784))</f>
        <v>328570.08220999839</v>
      </c>
      <c r="AK784" s="11">
        <f>IF($A784&gt;('1-Input'!$B$26+3),0,IF(AP783&lt;=0,0,MAX(0,(AP783-AQ783)/AP783)))</f>
        <v>0.21635653419729481</v>
      </c>
      <c r="AL784" s="18">
        <f>IF($A784&gt;('1-Input'!$B$26+3),0,(MAX(0,AK781-IF($A784&gt;='1-Input'!$C$12,'1-Input'!$B$12,0))-MIN(MAX(AO783,0),MAX(0,AK781-IF($A784&gt;='1-Input'!$C$12,'1-Input'!$B$12,0))))*(1/(1-'P-Parametri'!$B$6*AK784))+MIN(MAX(0,AP783-(MAX(0,AK781-IF($A784&gt;='1-Input'!$C$12,'1-Input'!$B$12,0))-MIN(MAX(AO783,0),MAX(0,AK781-IF($A784&gt;='1-Input'!$C$12,'1-Input'!$B$12,0))))*(1/(1-'P-Parametri'!$B$6*AK784))),MAX(0,0*AK781-(AO783-MIN(MAX(AO783,0),MAX(0,AK781-IF($A784&gt;='1-Input'!$C$12,'1-Input'!$B$12,0)))))*(1/(1-'P-Parametri'!$B$6*AK784))))</f>
        <v>19688.038185746795</v>
      </c>
      <c r="AM784" s="18">
        <f>IF($A784&gt;('1-Input'!$B$26+3),AO783,(AO783-MAX(0,AK781-IF($A784&gt;='1-Input'!$C$12,'1-Input'!$B$12,0))+AL784*(1-'P-Parametri'!$B$6*AK784))*(1+'1-Input'!$B$27))</f>
        <v>0</v>
      </c>
      <c r="AN784" s="18">
        <f>IF($A784&gt;('1-Input'!$B$26+3),AP783,(AP783-AL784)*(1+'5-Roberta'!$C$4))</f>
        <v>431865.71472301177</v>
      </c>
      <c r="AO784" s="18">
        <f>IF($A784&gt;('1-Input'!$B$26+3),AM784,AM784-'P-Parametri'!$B$8*(AN784+AM784)+MIN(MAX(AN784,0),'P-Parametri'!$B$8*(AN784+AM784)))</f>
        <v>0</v>
      </c>
      <c r="AP784" s="18">
        <f>IF($A784&gt;('1-Input'!$B$26+3),AN784,AN784-MIN(MAX(AN784,0),'P-Parametri'!$B$8*(AN784+AM784)))</f>
        <v>431001.98329356575</v>
      </c>
      <c r="AQ784" s="18">
        <f>IF($A784&gt;('1-Input'!$B$26+3),AQ783,AQ783-AL784*(1-AK784))</f>
        <v>328571.59752126539</v>
      </c>
    </row>
    <row r="785" spans="1:43">
      <c r="A785" s="10">
        <f>2</f>
        <v>2</v>
      </c>
      <c r="B785" s="11">
        <f>IF($A785&gt;('1-Input'!$B$26+3),0,IF(G784&lt;=0,0,MAX(0,(G784-H784)/G784)))</f>
        <v>0.23765641399040294</v>
      </c>
      <c r="C785" s="18">
        <f>IF($A785&gt;('1-Input'!$B$26+3),0,(MAX(0,B781-IF($A785&gt;='1-Input'!$C$12,'1-Input'!$B$12,0))-MIN(MAX(F784,0),MAX(0,B781-IF($A785&gt;='1-Input'!$C$12,'1-Input'!$B$12,0))))*(1/(1-'P-Parametri'!$B$6*B785))+MIN(MAX(0,G784-(MAX(0,B781-IF($A785&gt;='1-Input'!$C$12,'1-Input'!$B$12,0))-MIN(MAX(F784,0),MAX(0,B781-IF($A785&gt;='1-Input'!$C$12,'1-Input'!$B$12,0))))*(1/(1-'P-Parametri'!$B$6*B785))),MAX(0,0*B781-(F784-MIN(MAX(F784,0),MAX(0,B781-IF($A785&gt;='1-Input'!$C$12,'1-Input'!$B$12,0)))))*(1/(1-'P-Parametri'!$B$6*B785))))</f>
        <v>17779.673191505583</v>
      </c>
      <c r="D785" s="18">
        <f>IF($A785&gt;('1-Input'!$B$26+3),F784,(F784-MAX(0,B781-IF($A785&gt;='1-Input'!$C$12,'1-Input'!$B$12,0))+C785*(1-'P-Parametri'!$B$6*B785))*(1+'1-Input'!$B$27))</f>
        <v>0</v>
      </c>
      <c r="E785" s="18">
        <f>IF($A785&gt;('1-Input'!$B$26+3),G784,(G784-C785)*(1+'5-Roberta'!$C$4))</f>
        <v>427749.97936502326</v>
      </c>
      <c r="F785" s="18">
        <f>IF($A785&gt;('1-Input'!$B$26+3),D785,D785-'P-Parametri'!$B$8*(E785+D785)+MIN(MAX(E785,0),'P-Parametri'!$B$8*(E785+D785)))</f>
        <v>0</v>
      </c>
      <c r="G785" s="18">
        <f>IF($A785&gt;('1-Input'!$B$26+3),E785,E785-MIN(MAX(E785,0),'P-Parametri'!$B$8*(E785+D785)))</f>
        <v>426894.47940629319</v>
      </c>
      <c r="H785" s="18">
        <f>IF($A785&gt;('1-Input'!$B$26+3),H784,H784-C785*(1-B785))</f>
        <v>316594.61474239122</v>
      </c>
      <c r="I785" s="11">
        <f>IF($A785&gt;('1-Input'!$B$26+3),0,IF(N784&lt;=0,0,MAX(0,(N784-O784)/N784)))</f>
        <v>0.23765641399040296</v>
      </c>
      <c r="J785" s="18">
        <f>IF($A785&gt;('1-Input'!$B$26+3),0,(MAX(0,I781-IF($A785&gt;='1-Input'!$C$12,'1-Input'!$B$12,0))-MIN(MAX(M784,0),MAX(0,I781-IF($A785&gt;='1-Input'!$C$12,'1-Input'!$B$12,0))))*(1/(1-'P-Parametri'!$B$6*I785))+MIN(MAX(0,N784-(MAX(0,I781-IF($A785&gt;='1-Input'!$C$12,'1-Input'!$B$12,0))-MIN(MAX(M784,0),MAX(0,I781-IF($A785&gt;='1-Input'!$C$12,'1-Input'!$B$12,0))))*(1/(1-'P-Parametri'!$B$6*I785))),MAX(0,0*I781-(M784-MIN(MAX(M784,0),MAX(0,I781-IF($A785&gt;='1-Input'!$C$12,'1-Input'!$B$12,0)))))*(1/(1-'P-Parametri'!$B$6*I785))))</f>
        <v>23394.306830928395</v>
      </c>
      <c r="K785" s="18">
        <f>IF($A785&gt;('1-Input'!$B$26+3),M784,(M784-MAX(0,I781-IF($A785&gt;='1-Input'!$C$12,'1-Input'!$B$12,0))+J785*(1-'P-Parametri'!$B$6*I785))*(1+'1-Input'!$B$27))</f>
        <v>0</v>
      </c>
      <c r="L785" s="18">
        <f>IF($A785&gt;('1-Input'!$B$26+3),N784,(N784-J785)*(1+'5-Roberta'!$C$4))</f>
        <v>416057.13860949094</v>
      </c>
      <c r="M785" s="18">
        <f>IF($A785&gt;('1-Input'!$B$26+3),K785,K785-'P-Parametri'!$B$8*(L785+K785)+MIN(MAX(L785,0),'P-Parametri'!$B$8*(L785+K785)))</f>
        <v>0</v>
      </c>
      <c r="N785" s="18">
        <f>IF($A785&gt;('1-Input'!$B$26+3),L785,L785-MIN(MAX(L785,0),'P-Parametri'!$B$8*(L785+K785)))</f>
        <v>415225.02433227195</v>
      </c>
      <c r="O785" s="18">
        <f>IF($A785&gt;('1-Input'!$B$26+3),O784,O784-J785*(1-I785))</f>
        <v>307940.28255577793</v>
      </c>
      <c r="P785" s="11">
        <f>IF($A785&gt;('1-Input'!$B$26+3),0,IF(U784&lt;=0,0,MAX(0,(U784-V784)/U784)))</f>
        <v>0.23765641399040294</v>
      </c>
      <c r="Q785" s="18">
        <f>IF($A785&gt;('1-Input'!$B$26+3),0,(MAX(0,P781-IF($A785&gt;='1-Input'!$C$12,'1-Input'!$B$12,0))-MIN(MAX(T784,0),MAX(0,P781-IF($A785&gt;='1-Input'!$C$12,'1-Input'!$B$12,0))))*(1/(1-'P-Parametri'!$B$6*P785))+MIN(MAX(0,U784-(MAX(0,P781-IF($A785&gt;='1-Input'!$C$12,'1-Input'!$B$12,0))-MIN(MAX(T784,0),MAX(0,P781-IF($A785&gt;='1-Input'!$C$12,'1-Input'!$B$12,0))))*(1/(1-'P-Parametri'!$B$6*P785))),MAX(0,0*P781-(T784-MIN(MAX(T784,0),MAX(0,P781-IF($A785&gt;='1-Input'!$C$12,'1-Input'!$B$12,0)))))*(1/(1-'P-Parametri'!$B$6*P785))))</f>
        <v>20065.971776576782</v>
      </c>
      <c r="R785" s="18">
        <f>IF($A785&gt;('1-Input'!$B$26+3),T784,(T784-MAX(0,P781-IF($A785&gt;='1-Input'!$C$12,'1-Input'!$B$12,0))+Q785*(1-'P-Parametri'!$B$6*P785))*(1+'1-Input'!$B$27))</f>
        <v>0</v>
      </c>
      <c r="S785" s="18">
        <f>IF($A785&gt;('1-Input'!$B$26+3),U784,(U784-Q785)*(1+'5-Roberta'!$C$4))</f>
        <v>422988.6134430992</v>
      </c>
      <c r="T785" s="18">
        <f>IF($A785&gt;('1-Input'!$B$26+3),R785,R785-'P-Parametri'!$B$8*(S785+R785)+MIN(MAX(S785,0),'P-Parametri'!$B$8*(S785+R785)))</f>
        <v>0</v>
      </c>
      <c r="U785" s="18">
        <f>IF($A785&gt;('1-Input'!$B$26+3),S785,S785-MIN(MAX(S785,0),'P-Parametri'!$B$8*(S785+R785)))</f>
        <v>422142.636216213</v>
      </c>
      <c r="V785" s="18">
        <f>IF($A785&gt;('1-Input'!$B$26+3),V784,V784-Q785*(1-P785))</f>
        <v>313070.5402072228</v>
      </c>
      <c r="W785" s="11">
        <f>IF($A785&gt;('1-Input'!$B$26+3),0,IF(AB784&lt;=0,0,MAX(0,(AB784-AC784)/AB784)))</f>
        <v>0.23765641399040299</v>
      </c>
      <c r="X785" s="18">
        <f>IF($A785&gt;('1-Input'!$B$26+3),0,(MAX(0,W781-IF($A785&gt;='1-Input'!$C$12,'1-Input'!$B$12,0))-MIN(MAX(AA784,0),MAX(0,W781-IF($A785&gt;='1-Input'!$C$12,'1-Input'!$B$12,0))))*(1/(1-'P-Parametri'!$B$6*W785))+MIN(MAX(0,AB784-(MAX(0,W781-IF($A785&gt;='1-Input'!$C$12,'1-Input'!$B$12,0))-MIN(MAX(AA784,0),MAX(0,W781-IF($A785&gt;='1-Input'!$C$12,'1-Input'!$B$12,0))))*(1/(1-'P-Parametri'!$B$6*W785))),MAX(0,0*W781-(AA784-MIN(MAX(AA784,0),MAX(0,W781-IF($A785&gt;='1-Input'!$C$12,'1-Input'!$B$12,0)))))*(1/(1-'P-Parametri'!$B$6*W785))))</f>
        <v>19792.013835788053</v>
      </c>
      <c r="Y785" s="18">
        <f>IF($A785&gt;('1-Input'!$B$26+3),AA784,(AA784-MAX(0,W781-IF($A785&gt;='1-Input'!$C$12,'1-Input'!$B$12,0))+X785*(1-'P-Parametri'!$B$6*W785))*(1+'1-Input'!$B$27))</f>
        <v>0</v>
      </c>
      <c r="Z785" s="18">
        <f>IF($A785&gt;('1-Input'!$B$26+3),AB784,(AB784-X785)*(1+'5-Roberta'!$C$4))</f>
        <v>423559.14872306184</v>
      </c>
      <c r="AA785" s="18">
        <f>IF($A785&gt;('1-Input'!$B$26+3),Y785,Y785-'P-Parametri'!$B$8*(Z785+Y785)+MIN(MAX(Z785,0),'P-Parametri'!$B$8*(Z785+Y785)))</f>
        <v>0</v>
      </c>
      <c r="AB785" s="18">
        <f>IF($A785&gt;('1-Input'!$B$26+3),Z785,Z785-MIN(MAX(Z785,0),'P-Parametri'!$B$8*(Z785+Y785)))</f>
        <v>422712.03042561573</v>
      </c>
      <c r="AC785" s="18">
        <f>IF($A785&gt;('1-Input'!$B$26+3),AC784,AC784-X785*(1-W785))</f>
        <v>313492.81584923418</v>
      </c>
      <c r="AD785" s="11">
        <f>IF($A785&gt;('1-Input'!$B$26+3),0,IF(AI784&lt;=0,0,MAX(0,(AI784-AJ784)/AI784)))</f>
        <v>0.2376564139904031</v>
      </c>
      <c r="AE785" s="18">
        <f>IF($A785&gt;('1-Input'!$B$26+3),0,(MAX(0,AD781-IF($A785&gt;='1-Input'!$C$12,'1-Input'!$B$12,0))-MIN(MAX(AH784,0),MAX(0,AD781-IF($A785&gt;='1-Input'!$C$12,'1-Input'!$B$12,0))))*(1/(1-'P-Parametri'!$B$6*AD785))+MIN(MAX(0,AI784-(MAX(0,AD781-IF($A785&gt;='1-Input'!$C$12,'1-Input'!$B$12,0))-MIN(MAX(AH784,0),MAX(0,AD781-IF($A785&gt;='1-Input'!$C$12,'1-Input'!$B$12,0))))*(1/(1-'P-Parametri'!$B$6*AD785))),MAX(0,0*AD781-(AH784-MIN(MAX(AH784,0),MAX(0,AD781-IF($A785&gt;='1-Input'!$C$12,'1-Input'!$B$12,0)))))*(1/(1-'P-Parametri'!$B$6*AD785))))</f>
        <v>19806.195867906928</v>
      </c>
      <c r="AF785" s="18">
        <f>IF($A785&gt;('1-Input'!$B$26+3),AH784,(AH784-MAX(0,AD781-IF($A785&gt;='1-Input'!$C$12,'1-Input'!$B$12,0))+AE785*(1-'P-Parametri'!$B$6*AD785))*(1+'1-Input'!$B$27))</f>
        <v>0</v>
      </c>
      <c r="AG785" s="18">
        <f>IF($A785&gt;('1-Input'!$B$26+3),AI784,(AI784-AE785)*(1+'5-Roberta'!$C$4))</f>
        <v>423529.61371618428</v>
      </c>
      <c r="AH785" s="18">
        <f>IF($A785&gt;('1-Input'!$B$26+3),AF785,AF785-'P-Parametri'!$B$8*(AG785+AF785)+MIN(MAX(AG785,0),'P-Parametri'!$B$8*(AG785+AF785)))</f>
        <v>0</v>
      </c>
      <c r="AI785" s="18">
        <f>IF($A785&gt;('1-Input'!$B$26+3),AG785,AG785-MIN(MAX(AG785,0),'P-Parametri'!$B$8*(AG785+AF785)))</f>
        <v>422682.55448875192</v>
      </c>
      <c r="AJ785" s="18">
        <f>IF($A785&gt;('1-Input'!$B$26+3),AJ784,AJ784-AE785*(1-AD785))</f>
        <v>313470.95582684979</v>
      </c>
      <c r="AK785" s="11">
        <f>IF($A785&gt;('1-Input'!$B$26+3),0,IF(AP784&lt;=0,0,MAX(0,(AP784-AQ784)/AP784)))</f>
        <v>0.23765641399040285</v>
      </c>
      <c r="AL785" s="18">
        <f>IF($A785&gt;('1-Input'!$B$26+3),0,(MAX(0,AK781-IF($A785&gt;='1-Input'!$C$12,'1-Input'!$B$12,0))-MIN(MAX(AO784,0),MAX(0,AK781-IF($A785&gt;='1-Input'!$C$12,'1-Input'!$B$12,0))))*(1/(1-'P-Parametri'!$B$6*AK785))+MIN(MAX(0,AP784-(MAX(0,AK781-IF($A785&gt;='1-Input'!$C$12,'1-Input'!$B$12,0))-MIN(MAX(AO784,0),MAX(0,AK781-IF($A785&gt;='1-Input'!$C$12,'1-Input'!$B$12,0))))*(1/(1-'P-Parametri'!$B$6*AK785))),MAX(0,0*AK781-(AO784-MIN(MAX(AO784,0),MAX(0,AK781-IF($A785&gt;='1-Input'!$C$12,'1-Input'!$B$12,0)))))*(1/(1-'P-Parametri'!$B$6*AK785))))</f>
        <v>19804.250779659356</v>
      </c>
      <c r="AM785" s="18">
        <f>IF($A785&gt;('1-Input'!$B$26+3),AO784,(AO784-MAX(0,AK781-IF($A785&gt;='1-Input'!$C$12,'1-Input'!$B$12,0))+AL785*(1-'P-Parametri'!$B$6*AK785))*(1+'1-Input'!$B$27))</f>
        <v>0</v>
      </c>
      <c r="AN785" s="18">
        <f>IF($A785&gt;('1-Input'!$B$26+3),AP784,(AP784-AL785)*(1+'5-Roberta'!$C$4))</f>
        <v>423533.66448932356</v>
      </c>
      <c r="AO785" s="18">
        <f>IF($A785&gt;('1-Input'!$B$26+3),AM785,AM785-'P-Parametri'!$B$8*(AN785+AM785)+MIN(MAX(AN785,0),'P-Parametri'!$B$8*(AN785+AM785)))</f>
        <v>0</v>
      </c>
      <c r="AP785" s="18">
        <f>IF($A785&gt;('1-Input'!$B$26+3),AN785,AN785-MIN(MAX(AN785,0),'P-Parametri'!$B$8*(AN785+AM785)))</f>
        <v>422686.59716034494</v>
      </c>
      <c r="AQ785" s="18">
        <f>IF($A785&gt;('1-Input'!$B$26+3),AQ784,AQ784-AL785*(1-AK785))</f>
        <v>313473.95396366651</v>
      </c>
    </row>
    <row r="786" spans="1:43">
      <c r="A786" s="10">
        <f>3</f>
        <v>3</v>
      </c>
      <c r="B786" s="11">
        <f>IF($A786&gt;('1-Input'!$B$26+3),0,IF(G785&lt;=0,0,MAX(0,(G785-H785)/G785)))</f>
        <v>0.25837735080880492</v>
      </c>
      <c r="C786" s="18">
        <f>IF($A786&gt;('1-Input'!$B$26+3),0,(MAX(0,B781-IF($A786&gt;='1-Input'!$C$12,'1-Input'!$B$12,0))-MIN(MAX(F785,0),MAX(0,B781-IF($A786&gt;='1-Input'!$C$12,'1-Input'!$B$12,0))))*(1/(1-'P-Parametri'!$B$6*B786))+MIN(MAX(0,G785-(MAX(0,B781-IF($A786&gt;='1-Input'!$C$12,'1-Input'!$B$12,0))-MIN(MAX(F785,0),MAX(0,B781-IF($A786&gt;='1-Input'!$C$12,'1-Input'!$B$12,0))))*(1/(1-'P-Parametri'!$B$6*B786))),MAX(0,0*B781-(F785-MIN(MAX(F785,0),MAX(0,B781-IF($A786&gt;='1-Input'!$C$12,'1-Input'!$B$12,0)))))*(1/(1-'P-Parametri'!$B$6*B786))))</f>
        <v>17882.358374189342</v>
      </c>
      <c r="D786" s="18">
        <f>IF($A786&gt;('1-Input'!$B$26+3),F785,(F785-MAX(0,B781-IF($A786&gt;='1-Input'!$C$12,'1-Input'!$B$12,0))+C786*(1-'P-Parametri'!$B$6*B786))*(1+'1-Input'!$B$27))</f>
        <v>0</v>
      </c>
      <c r="E786" s="18">
        <f>IF($A786&gt;('1-Input'!$B$26+3),G785,(G785-C786)*(1+'5-Roberta'!$C$4))</f>
        <v>421282.48466306698</v>
      </c>
      <c r="F786" s="18">
        <f>IF($A786&gt;('1-Input'!$B$26+3),D786,D786-'P-Parametri'!$B$8*(E786+D786)+MIN(MAX(E786,0),'P-Parametri'!$B$8*(E786+D786)))</f>
        <v>0</v>
      </c>
      <c r="G786" s="18">
        <f>IF($A786&gt;('1-Input'!$B$26+3),E786,E786-MIN(MAX(E786,0),'P-Parametri'!$B$8*(E786+D786)))</f>
        <v>420439.91969374084</v>
      </c>
      <c r="H786" s="18">
        <f>IF($A786&gt;('1-Input'!$B$26+3),H785,H785-C786*(1-B786))</f>
        <v>303332.65275113855</v>
      </c>
      <c r="I786" s="11">
        <f>IF($A786&gt;('1-Input'!$B$26+3),0,IF(N785&lt;=0,0,MAX(0,(N785-O785)/N785)))</f>
        <v>0.25837735080880497</v>
      </c>
      <c r="J786" s="18">
        <f>IF($A786&gt;('1-Input'!$B$26+3),0,(MAX(0,I781-IF($A786&gt;='1-Input'!$C$12,'1-Input'!$B$12,0))-MIN(MAX(M785,0),MAX(0,I781-IF($A786&gt;='1-Input'!$C$12,'1-Input'!$B$12,0))))*(1/(1-'P-Parametri'!$B$6*I786))+MIN(MAX(0,N785-(MAX(0,I781-IF($A786&gt;='1-Input'!$C$12,'1-Input'!$B$12,0))-MIN(MAX(M785,0),MAX(0,I781-IF($A786&gt;='1-Input'!$C$12,'1-Input'!$B$12,0))))*(1/(1-'P-Parametri'!$B$6*I786))),MAX(0,0*I781-(M785-MIN(MAX(M785,0),MAX(0,I781-IF($A786&gt;='1-Input'!$C$12,'1-Input'!$B$12,0)))))*(1/(1-'P-Parametri'!$B$6*I786))))</f>
        <v>23529.418913407029</v>
      </c>
      <c r="K786" s="18">
        <f>IF($A786&gt;('1-Input'!$B$26+3),M785,(M785-MAX(0,I781-IF($A786&gt;='1-Input'!$C$12,'1-Input'!$B$12,0))+J786*(1-'P-Parametri'!$B$6*I786))*(1+'1-Input'!$B$27))</f>
        <v>-3.6248820833861826E-12</v>
      </c>
      <c r="L786" s="18">
        <f>IF($A786&gt;('1-Input'!$B$26+3),N785,(N785-J786)*(1+'5-Roberta'!$C$4))</f>
        <v>403446.47358143091</v>
      </c>
      <c r="M786" s="18">
        <f>IF($A786&gt;('1-Input'!$B$26+3),K786,K786-'P-Parametri'!$B$8*(L786+K786)+MIN(MAX(L786,0),'P-Parametri'!$B$8*(L786+K786)))</f>
        <v>-3.637978807091713E-12</v>
      </c>
      <c r="N786" s="18">
        <f>IF($A786&gt;('1-Input'!$B$26+3),L786,L786-MIN(MAX(L786,0),'P-Parametri'!$B$8*(L786+K786)))</f>
        <v>402639.58063426806</v>
      </c>
      <c r="O786" s="18">
        <f>IF($A786&gt;('1-Input'!$B$26+3),O785,O785-J786*(1-I786))</f>
        <v>290490.33256728761</v>
      </c>
      <c r="P786" s="11">
        <f>IF($A786&gt;('1-Input'!$B$26+3),0,IF(U785&lt;=0,0,MAX(0,(U785-V785)/U785)))</f>
        <v>0.25837735080880497</v>
      </c>
      <c r="Q786" s="18">
        <f>IF($A786&gt;('1-Input'!$B$26+3),0,(MAX(0,P781-IF($A786&gt;='1-Input'!$C$12,'1-Input'!$B$12,0))-MIN(MAX(T785,0),MAX(0,P781-IF($A786&gt;='1-Input'!$C$12,'1-Input'!$B$12,0))))*(1/(1-'P-Parametri'!$B$6*P786))+MIN(MAX(0,U785-(MAX(0,P781-IF($A786&gt;='1-Input'!$C$12,'1-Input'!$B$12,0))-MIN(MAX(T785,0),MAX(0,P781-IF($A786&gt;='1-Input'!$C$12,'1-Input'!$B$12,0))))*(1/(1-'P-Parametri'!$B$6*P786))),MAX(0,0*P781-(T785-MIN(MAX(T785,0),MAX(0,P781-IF($A786&gt;='1-Input'!$C$12,'1-Input'!$B$12,0)))))*(1/(1-'P-Parametri'!$B$6*P786))))</f>
        <v>20181.861307020426</v>
      </c>
      <c r="R786" s="18">
        <f>IF($A786&gt;('1-Input'!$B$26+3),T785,(T785-MAX(0,P781-IF($A786&gt;='1-Input'!$C$12,'1-Input'!$B$12,0))+Q786*(1-'P-Parametri'!$B$6*P786))*(1+'1-Input'!$B$27))</f>
        <v>0</v>
      </c>
      <c r="S786" s="18">
        <f>IF($A786&gt;('1-Input'!$B$26+3),U785,(U785-Q786)*(1+'5-Roberta'!$C$4))</f>
        <v>414019.59815646836</v>
      </c>
      <c r="T786" s="18">
        <f>IF($A786&gt;('1-Input'!$B$26+3),R786,R786-'P-Parametri'!$B$8*(S786+R786)+MIN(MAX(S786,0),'P-Parametri'!$B$8*(S786+R786)))</f>
        <v>0</v>
      </c>
      <c r="U786" s="18">
        <f>IF($A786&gt;('1-Input'!$B$26+3),S786,S786-MIN(MAX(S786,0),'P-Parametri'!$B$8*(S786+R786)))</f>
        <v>413191.55896015541</v>
      </c>
      <c r="V786" s="18">
        <f>IF($A786&gt;('1-Input'!$B$26+3),V785,V785-Q786*(1-P786))</f>
        <v>298103.21475910104</v>
      </c>
      <c r="W786" s="11">
        <f>IF($A786&gt;('1-Input'!$B$26+3),0,IF(AB785&lt;=0,0,MAX(0,(AB785-AC785)/AB785)))</f>
        <v>0.25837735080880497</v>
      </c>
      <c r="X786" s="18">
        <f>IF($A786&gt;('1-Input'!$B$26+3),0,(MAX(0,W781-IF($A786&gt;='1-Input'!$C$12,'1-Input'!$B$12,0))-MIN(MAX(AA785,0),MAX(0,W781-IF($A786&gt;='1-Input'!$C$12,'1-Input'!$B$12,0))))*(1/(1-'P-Parametri'!$B$6*W786))+MIN(MAX(0,AB785-(MAX(0,W781-IF($A786&gt;='1-Input'!$C$12,'1-Input'!$B$12,0))-MIN(MAX(AA785,0),MAX(0,W781-IF($A786&gt;='1-Input'!$C$12,'1-Input'!$B$12,0))))*(1/(1-'P-Parametri'!$B$6*W786))),MAX(0,0*W781-(AA785-MIN(MAX(AA785,0),MAX(0,W781-IF($A786&gt;='1-Input'!$C$12,'1-Input'!$B$12,0)))))*(1/(1-'P-Parametri'!$B$6*W786))))</f>
        <v>19906.32114248132</v>
      </c>
      <c r="Y786" s="18">
        <f>IF($A786&gt;('1-Input'!$B$26+3),AA785,(AA785-MAX(0,W781-IF($A786&gt;='1-Input'!$C$12,'1-Input'!$B$12,0))+X786*(1-'P-Parametri'!$B$6*W786))*(1+'1-Input'!$B$27))</f>
        <v>0</v>
      </c>
      <c r="Z786" s="18">
        <f>IF($A786&gt;('1-Input'!$B$26+3),AB785,(AB785-X786)*(1+'5-Roberta'!$C$4))</f>
        <v>414889.8805616285</v>
      </c>
      <c r="AA786" s="18">
        <f>IF($A786&gt;('1-Input'!$B$26+3),Y786,Y786-'P-Parametri'!$B$8*(Z786+Y786)+MIN(MAX(Z786,0),'P-Parametri'!$B$8*(Z786+Y786)))</f>
        <v>0</v>
      </c>
      <c r="AB786" s="18">
        <f>IF($A786&gt;('1-Input'!$B$26+3),Z786,Z786-MIN(MAX(Z786,0),'P-Parametri'!$B$8*(Z786+Y786)))</f>
        <v>414060.10080050526</v>
      </c>
      <c r="AC786" s="18">
        <f>IF($A786&gt;('1-Input'!$B$26+3),AC785,AC785-X786*(1-W786))</f>
        <v>298729.8372278965</v>
      </c>
      <c r="AD786" s="11">
        <f>IF($A786&gt;('1-Input'!$B$26+3),0,IF(AI785&lt;=0,0,MAX(0,(AI785-AJ785)/AI785)))</f>
        <v>0.25837735080880508</v>
      </c>
      <c r="AE786" s="18">
        <f>IF($A786&gt;('1-Input'!$B$26+3),0,(MAX(0,AD781-IF($A786&gt;='1-Input'!$C$12,'1-Input'!$B$12,0))-MIN(MAX(AH785,0),MAX(0,AD781-IF($A786&gt;='1-Input'!$C$12,'1-Input'!$B$12,0))))*(1/(1-'P-Parametri'!$B$6*AD786))+MIN(MAX(0,AI785-(MAX(0,AD781-IF($A786&gt;='1-Input'!$C$12,'1-Input'!$B$12,0))-MIN(MAX(AH785,0),MAX(0,AD781-IF($A786&gt;='1-Input'!$C$12,'1-Input'!$B$12,0))))*(1/(1-'P-Parametri'!$B$6*AD786))),MAX(0,0*AD781-(AH785-MIN(MAX(AH785,0),MAX(0,AD781-IF($A786&gt;='1-Input'!$C$12,'1-Input'!$B$12,0)))))*(1/(1-'P-Parametri'!$B$6*AD786))))</f>
        <v>19920.585081873927</v>
      </c>
      <c r="AF786" s="18">
        <f>IF($A786&gt;('1-Input'!$B$26+3),AH785,(AH785-MAX(0,AD781-IF($A786&gt;='1-Input'!$C$12,'1-Input'!$B$12,0))+AE786*(1-'P-Parametri'!$B$6*AD786))*(1+'1-Input'!$B$27))</f>
        <v>0</v>
      </c>
      <c r="AG786" s="18">
        <f>IF($A786&gt;('1-Input'!$B$26+3),AI785,(AI785-AE786)*(1+'5-Roberta'!$C$4))</f>
        <v>414844.82848908432</v>
      </c>
      <c r="AH786" s="18">
        <f>IF($A786&gt;('1-Input'!$B$26+3),AF786,AF786-'P-Parametri'!$B$8*(AG786+AF786)+MIN(MAX(AG786,0),'P-Parametri'!$B$8*(AG786+AF786)))</f>
        <v>0</v>
      </c>
      <c r="AI786" s="18">
        <f>IF($A786&gt;('1-Input'!$B$26+3),AG786,AG786-MIN(MAX(AG786,0),'P-Parametri'!$B$8*(AG786+AF786)))</f>
        <v>414015.13883210614</v>
      </c>
      <c r="AJ786" s="18">
        <f>IF($A786&gt;('1-Input'!$B$26+3),AJ785,AJ785-AE786*(1-AD786))</f>
        <v>298697.39874499186</v>
      </c>
      <c r="AK786" s="11">
        <f>IF($A786&gt;('1-Input'!$B$26+3),0,IF(AP785&lt;=0,0,MAX(0,(AP785-AQ785)/AP785)))</f>
        <v>0.25837735080880486</v>
      </c>
      <c r="AL786" s="18">
        <f>IF($A786&gt;('1-Input'!$B$26+3),0,(MAX(0,AK781-IF($A786&gt;='1-Input'!$C$12,'1-Input'!$B$12,0))-MIN(MAX(AO785,0),MAX(0,AK781-IF($A786&gt;='1-Input'!$C$12,'1-Input'!$B$12,0))))*(1/(1-'P-Parametri'!$B$6*AK786))+MIN(MAX(0,AP785-(MAX(0,AK781-IF($A786&gt;='1-Input'!$C$12,'1-Input'!$B$12,0))-MIN(MAX(AO785,0),MAX(0,AK781-IF($A786&gt;='1-Input'!$C$12,'1-Input'!$B$12,0))))*(1/(1-'P-Parametri'!$B$6*AK786))),MAX(0,0*AK781-(AO785-MIN(MAX(AO785,0),MAX(0,AK781-IF($A786&gt;='1-Input'!$C$12,'1-Input'!$B$12,0)))))*(1/(1-'P-Parametri'!$B$6*AK786))))</f>
        <v>19918.628759913569</v>
      </c>
      <c r="AM786" s="18">
        <f>IF($A786&gt;('1-Input'!$B$26+3),AO785,(AO785-MAX(0,AK781-IF($A786&gt;='1-Input'!$C$12,'1-Input'!$B$12,0))+AL786*(1-'P-Parametri'!$B$6*AK786))*(1+'1-Input'!$B$27))</f>
        <v>-3.6248820833861826E-12</v>
      </c>
      <c r="AN786" s="18">
        <f>IF($A786&gt;('1-Input'!$B$26+3),AP785,(AP785-AL786)*(1+'5-Roberta'!$C$4))</f>
        <v>414851.00745244435</v>
      </c>
      <c r="AO786" s="18">
        <f>IF($A786&gt;('1-Input'!$B$26+3),AM786,AM786-'P-Parametri'!$B$8*(AN786+AM786)+MIN(MAX(AN786,0),'P-Parametri'!$B$8*(AN786+AM786)))</f>
        <v>-3.637978807091713E-12</v>
      </c>
      <c r="AP786" s="18">
        <f>IF($A786&gt;('1-Input'!$B$26+3),AN786,AN786-MIN(MAX(AN786,0),'P-Parametri'!$B$8*(AN786+AM786)))</f>
        <v>414021.30543753947</v>
      </c>
      <c r="AQ786" s="18">
        <f>IF($A786&gt;('1-Input'!$B$26+3),AQ785,AQ785-AL786*(1-AK786))</f>
        <v>298701.84773448348</v>
      </c>
    </row>
    <row r="787" spans="1:43">
      <c r="A787" s="10">
        <f>4</f>
        <v>4</v>
      </c>
      <c r="B787" s="11">
        <f>IF($A787&gt;('1-Input'!$B$26+3),0,IF(G786&lt;=0,0,MAX(0,(G786-H786)/G786)))</f>
        <v>0.27853508065529603</v>
      </c>
      <c r="C787" s="18">
        <f>IF($A787&gt;('1-Input'!$B$26+3),0,(MAX(0,B781-IF($A787&gt;='1-Input'!$C$12,'1-Input'!$B$12,0))-MIN(MAX(F786,0),MAX(0,B781-IF($A787&gt;='1-Input'!$C$12,'1-Input'!$B$12,0))))*(1/(1-'P-Parametri'!$B$6*B787))+MIN(MAX(0,G786-(MAX(0,B781-IF($A787&gt;='1-Input'!$C$12,'1-Input'!$B$12,0))-MIN(MAX(F786,0),MAX(0,B781-IF($A787&gt;='1-Input'!$C$12,'1-Input'!$B$12,0))))*(1/(1-'P-Parametri'!$B$6*B787))),MAX(0,0*B781-(F786-MIN(MAX(F786,0),MAX(0,B781-IF($A787&gt;='1-Input'!$C$12,'1-Input'!$B$12,0)))))*(1/(1-'P-Parametri'!$B$6*B787))))</f>
        <v>17983.397126595017</v>
      </c>
      <c r="D787" s="18">
        <f>IF($A787&gt;('1-Input'!$B$26+3),F786,(F786-MAX(0,B781-IF($A787&gt;='1-Input'!$C$12,'1-Input'!$B$12,0))+C787*(1-'P-Parametri'!$B$6*B787))*(1+'1-Input'!$B$27))</f>
        <v>0</v>
      </c>
      <c r="E787" s="18">
        <f>IF($A787&gt;('1-Input'!$B$26+3),G786,(G786-C787)*(1+'5-Roberta'!$C$4))</f>
        <v>414530.21824416018</v>
      </c>
      <c r="F787" s="18">
        <f>IF($A787&gt;('1-Input'!$B$26+3),D787,D787-'P-Parametri'!$B$8*(E787+D787)+MIN(MAX(E787,0),'P-Parametri'!$B$8*(E787+D787)))</f>
        <v>0</v>
      </c>
      <c r="G787" s="18">
        <f>IF($A787&gt;('1-Input'!$B$26+3),E787,E787-MIN(MAX(E787,0),'P-Parametri'!$B$8*(E787+D787)))</f>
        <v>413701.15780767187</v>
      </c>
      <c r="H787" s="18">
        <f>IF($A787&gt;('1-Input'!$B$26+3),H786,H786-C787*(1-B787))</f>
        <v>290358.26259365591</v>
      </c>
      <c r="I787" s="11">
        <f>IF($A787&gt;('1-Input'!$B$26+3),0,IF(N786&lt;=0,0,MAX(0,(N786-O786)/N786)))</f>
        <v>0.27853508065529609</v>
      </c>
      <c r="J787" s="18">
        <f>IF($A787&gt;('1-Input'!$B$26+3),0,(MAX(0,I781-IF($A787&gt;='1-Input'!$C$12,'1-Input'!$B$12,0))-MIN(MAX(M786,0),MAX(0,I781-IF($A787&gt;='1-Input'!$C$12,'1-Input'!$B$12,0))))*(1/(1-'P-Parametri'!$B$6*I787))+MIN(MAX(0,N786-(MAX(0,I781-IF($A787&gt;='1-Input'!$C$12,'1-Input'!$B$12,0))-MIN(MAX(M786,0),MAX(0,I781-IF($A787&gt;='1-Input'!$C$12,'1-Input'!$B$12,0))))*(1/(1-'P-Parametri'!$B$6*I787))),MAX(0,0*I781-(M786-MIN(MAX(M786,0),MAX(0,I781-IF($A787&gt;='1-Input'!$C$12,'1-Input'!$B$12,0)))))*(1/(1-'P-Parametri'!$B$6*I787))))</f>
        <v>23662.364640256612</v>
      </c>
      <c r="K787" s="18">
        <f>IF($A787&gt;('1-Input'!$B$26+3),M786,(M786-MAX(0,I781-IF($A787&gt;='1-Input'!$C$12,'1-Input'!$B$12,0))+J787*(1-'P-Parametri'!$B$6*I787))*(1+'1-Input'!$B$27))</f>
        <v>3.6248820833861826E-12</v>
      </c>
      <c r="L787" s="18">
        <f>IF($A787&gt;('1-Input'!$B$26+3),N786,(N786-J787)*(1+'5-Roberta'!$C$4))</f>
        <v>390346.53247383179</v>
      </c>
      <c r="M787" s="18">
        <f>IF($A787&gt;('1-Input'!$B$26+3),K787,K787-'P-Parametri'!$B$8*(L787+K787)+MIN(MAX(L787,0),'P-Parametri'!$B$8*(L787+K787)))</f>
        <v>3.637978807091713E-12</v>
      </c>
      <c r="N787" s="18">
        <f>IF($A787&gt;('1-Input'!$B$26+3),L787,L787-MIN(MAX(L787,0),'P-Parametri'!$B$8*(L787+K787)))</f>
        <v>389565.83940888412</v>
      </c>
      <c r="O787" s="18">
        <f>IF($A787&gt;('1-Input'!$B$26+3),O786,O786-J787*(1-I787))</f>
        <v>273418.76657059992</v>
      </c>
      <c r="P787" s="11">
        <f>IF($A787&gt;('1-Input'!$B$26+3),0,IF(U786&lt;=0,0,MAX(0,(U786-V786)/U786)))</f>
        <v>0.27853508065529597</v>
      </c>
      <c r="Q787" s="18">
        <f>IF($A787&gt;('1-Input'!$B$26+3),0,(MAX(0,P781-IF($A787&gt;='1-Input'!$C$12,'1-Input'!$B$12,0))-MIN(MAX(T786,0),MAX(0,P781-IF($A787&gt;='1-Input'!$C$12,'1-Input'!$B$12,0))))*(1/(1-'P-Parametri'!$B$6*P787))+MIN(MAX(0,U786-(MAX(0,P781-IF($A787&gt;='1-Input'!$C$12,'1-Input'!$B$12,0))-MIN(MAX(T786,0),MAX(0,P781-IF($A787&gt;='1-Input'!$C$12,'1-Input'!$B$12,0))))*(1/(1-'P-Parametri'!$B$6*P787))),MAX(0,0*P781-(T786-MIN(MAX(T786,0),MAX(0,P781-IF($A787&gt;='1-Input'!$C$12,'1-Input'!$B$12,0)))))*(1/(1-'P-Parametri'!$B$6*P787))))</f>
        <v>20295.892691752597</v>
      </c>
      <c r="R787" s="18">
        <f>IF($A787&gt;('1-Input'!$B$26+3),T786,(T786-MAX(0,P781-IF($A787&gt;='1-Input'!$C$12,'1-Input'!$B$12,0))+Q787*(1-'P-Parametri'!$B$6*P787))*(1+'1-Input'!$B$27))</f>
        <v>0</v>
      </c>
      <c r="S787" s="18">
        <f>IF($A787&gt;('1-Input'!$B$26+3),U786,(U786-Q787)*(1+'5-Roberta'!$C$4))</f>
        <v>404682.53625645494</v>
      </c>
      <c r="T787" s="18">
        <f>IF($A787&gt;('1-Input'!$B$26+3),R787,R787-'P-Parametri'!$B$8*(S787+R787)+MIN(MAX(S787,0),'P-Parametri'!$B$8*(S787+R787)))</f>
        <v>0</v>
      </c>
      <c r="U787" s="18">
        <f>IF($A787&gt;('1-Input'!$B$26+3),S787,S787-MIN(MAX(S787,0),'P-Parametri'!$B$8*(S787+R787)))</f>
        <v>403873.17118394206</v>
      </c>
      <c r="V787" s="18">
        <f>IF($A787&gt;('1-Input'!$B$26+3),V786,V786-Q787*(1-P787))</f>
        <v>283460.44017521699</v>
      </c>
      <c r="W787" s="11">
        <f>IF($A787&gt;('1-Input'!$B$26+3),0,IF(AB786&lt;=0,0,MAX(0,(AB786-AC786)/AB786)))</f>
        <v>0.27853508065529609</v>
      </c>
      <c r="X787" s="18">
        <f>IF($A787&gt;('1-Input'!$B$26+3),0,(MAX(0,W781-IF($A787&gt;='1-Input'!$C$12,'1-Input'!$B$12,0))-MIN(MAX(AA786,0),MAX(0,W781-IF($A787&gt;='1-Input'!$C$12,'1-Input'!$B$12,0))))*(1/(1-'P-Parametri'!$B$6*W787))+MIN(MAX(0,AB786-(MAX(0,W781-IF($A787&gt;='1-Input'!$C$12,'1-Input'!$B$12,0))-MIN(MAX(AA786,0),MAX(0,W781-IF($A787&gt;='1-Input'!$C$12,'1-Input'!$B$12,0))))*(1/(1-'P-Parametri'!$B$6*W787))),MAX(0,0*W781-(AA786-MIN(MAX(AA786,0),MAX(0,W781-IF($A787&gt;='1-Input'!$C$12,'1-Input'!$B$12,0)))))*(1/(1-'P-Parametri'!$B$6*W787))))</f>
        <v>20018.795672469831</v>
      </c>
      <c r="Y787" s="18">
        <f>IF($A787&gt;('1-Input'!$B$26+3),AA786,(AA786-MAX(0,W781-IF($A787&gt;='1-Input'!$C$12,'1-Input'!$B$12,0))+X787*(1-'P-Parametri'!$B$6*W787))*(1+'1-Input'!$B$27))</f>
        <v>0</v>
      </c>
      <c r="Z787" s="18">
        <f>IF($A787&gt;('1-Input'!$B$26+3),AB786,(AB786-X787)*(1+'5-Roberta'!$C$4))</f>
        <v>405862.54428187647</v>
      </c>
      <c r="AA787" s="18">
        <f>IF($A787&gt;('1-Input'!$B$26+3),Y787,Y787-'P-Parametri'!$B$8*(Z787+Y787)+MIN(MAX(Z787,0),'P-Parametri'!$B$8*(Z787+Y787)))</f>
        <v>0</v>
      </c>
      <c r="AB787" s="18">
        <f>IF($A787&gt;('1-Input'!$B$26+3),Z787,Z787-MIN(MAX(Z787,0),'P-Parametri'!$B$8*(Z787+Y787)))</f>
        <v>405050.81919331272</v>
      </c>
      <c r="AC787" s="18">
        <f>IF($A787&gt;('1-Input'!$B$26+3),AC786,AC786-X787*(1-W787))</f>
        <v>284286.97842267994</v>
      </c>
      <c r="AD787" s="11">
        <f>IF($A787&gt;('1-Input'!$B$26+3),0,IF(AI786&lt;=0,0,MAX(0,(AI786-AJ786)/AI786)))</f>
        <v>0.27853508065529603</v>
      </c>
      <c r="AE787" s="18">
        <f>IF($A787&gt;('1-Input'!$B$26+3),0,(MAX(0,AD781-IF($A787&gt;='1-Input'!$C$12,'1-Input'!$B$12,0))-MIN(MAX(AH786,0),MAX(0,AD781-IF($A787&gt;='1-Input'!$C$12,'1-Input'!$B$12,0))))*(1/(1-'P-Parametri'!$B$6*AD787))+MIN(MAX(0,AI786-(MAX(0,AD781-IF($A787&gt;='1-Input'!$C$12,'1-Input'!$B$12,0))-MIN(MAX(AH786,0),MAX(0,AD781-IF($A787&gt;='1-Input'!$C$12,'1-Input'!$B$12,0))))*(1/(1-'P-Parametri'!$B$6*AD787))),MAX(0,0*AD781-(AH786-MIN(MAX(AH786,0),MAX(0,AD781-IF($A787&gt;='1-Input'!$C$12,'1-Input'!$B$12,0)))))*(1/(1-'P-Parametri'!$B$6*AD787))))</f>
        <v>20033.140205854037</v>
      </c>
      <c r="AF787" s="18">
        <f>IF($A787&gt;('1-Input'!$B$26+3),AH786,(AH786-MAX(0,AD781-IF($A787&gt;='1-Input'!$C$12,'1-Input'!$B$12,0))+AE787*(1-'P-Parametri'!$B$6*AD787))*(1+'1-Input'!$B$27))</f>
        <v>0</v>
      </c>
      <c r="AG787" s="18">
        <f>IF($A787&gt;('1-Input'!$B$26+3),AI786,(AI786-AE787)*(1+'5-Roberta'!$C$4))</f>
        <v>405801.45858503971</v>
      </c>
      <c r="AH787" s="18">
        <f>IF($A787&gt;('1-Input'!$B$26+3),AF787,AF787-'P-Parametri'!$B$8*(AG787+AF787)+MIN(MAX(AG787,0),'P-Parametri'!$B$8*(AG787+AF787)))</f>
        <v>0</v>
      </c>
      <c r="AI787" s="18">
        <f>IF($A787&gt;('1-Input'!$B$26+3),AG787,AG787-MIN(MAX(AG787,0),'P-Parametri'!$B$8*(AG787+AF787)))</f>
        <v>404989.85566786962</v>
      </c>
      <c r="AJ787" s="18">
        <f>IF($A787&gt;('1-Input'!$B$26+3),AJ786,AJ786-AE787*(1-AD787))</f>
        <v>284244.19086215424</v>
      </c>
      <c r="AK787" s="11">
        <f>IF($A787&gt;('1-Input'!$B$26+3),0,IF(AP786&lt;=0,0,MAX(0,(AP786-AQ786)/AP786)))</f>
        <v>0.27853508065529597</v>
      </c>
      <c r="AL787" s="18">
        <f>IF($A787&gt;('1-Input'!$B$26+3),0,(MAX(0,AK781-IF($A787&gt;='1-Input'!$C$12,'1-Input'!$B$12,0))-MIN(MAX(AO786,0),MAX(0,AK781-IF($A787&gt;='1-Input'!$C$12,'1-Input'!$B$12,0))))*(1/(1-'P-Parametri'!$B$6*AK787))+MIN(MAX(0,AP786-(MAX(0,AK781-IF($A787&gt;='1-Input'!$C$12,'1-Input'!$B$12,0))-MIN(MAX(AO786,0),MAX(0,AK781-IF($A787&gt;='1-Input'!$C$12,'1-Input'!$B$12,0))))*(1/(1-'P-Parametri'!$B$6*AK787))),MAX(0,0*AK781-(AO786-MIN(MAX(AO786,0),MAX(0,AK781-IF($A787&gt;='1-Input'!$C$12,'1-Input'!$B$12,0)))))*(1/(1-'P-Parametri'!$B$6*AK787))))</f>
        <v>20031.172830299634</v>
      </c>
      <c r="AM787" s="18">
        <f>IF($A787&gt;('1-Input'!$B$26+3),AO786,(AO786-MAX(0,AK781-IF($A787&gt;='1-Input'!$C$12,'1-Input'!$B$12,0))+AL787*(1-'P-Parametri'!$B$6*AK787))*(1+'1-Input'!$B$27))</f>
        <v>3.6248820833861826E-12</v>
      </c>
      <c r="AN787" s="18">
        <f>IF($A787&gt;('1-Input'!$B$26+3),AP786,(AP786-AL787)*(1+'5-Roberta'!$C$4))</f>
        <v>405809.83658545703</v>
      </c>
      <c r="AO787" s="18">
        <f>IF($A787&gt;('1-Input'!$B$26+3),AM787,AM787-'P-Parametri'!$B$8*(AN787+AM787)+MIN(MAX(AN787,0),'P-Parametri'!$B$8*(AN787+AM787)))</f>
        <v>3.637978807091713E-12</v>
      </c>
      <c r="AP787" s="18">
        <f>IF($A787&gt;('1-Input'!$B$26+3),AN787,AN787-MIN(MAX(AN787,0),'P-Parametri'!$B$8*(AN787+AM787)))</f>
        <v>404998.21691228612</v>
      </c>
      <c r="AQ787" s="18">
        <f>IF($A787&gt;('1-Input'!$B$26+3),AQ786,AQ786-AL787*(1-AK787))</f>
        <v>284250.05924409151</v>
      </c>
    </row>
    <row r="788" spans="1:43">
      <c r="A788" s="10">
        <f>5</f>
        <v>5</v>
      </c>
      <c r="B788" s="11">
        <f>IF($A788&gt;('1-Input'!$B$26+3),0,IF(G787&lt;=0,0,MAX(0,(G787-H787)/G787)))</f>
        <v>0.29814491181907116</v>
      </c>
      <c r="C788" s="18">
        <f>IF($A788&gt;('1-Input'!$B$26+3),0,(MAX(0,B781-IF($A788&gt;='1-Input'!$C$12,'1-Input'!$B$12,0))-MIN(MAX(F787,0),MAX(0,B781-IF($A788&gt;='1-Input'!$C$12,'1-Input'!$B$12,0))))*(1/(1-'P-Parametri'!$B$6*B788))+MIN(MAX(0,G787-(MAX(0,B781-IF($A788&gt;='1-Input'!$C$12,'1-Input'!$B$12,0))-MIN(MAX(F787,0),MAX(0,B781-IF($A788&gt;='1-Input'!$C$12,'1-Input'!$B$12,0))))*(1/(1-'P-Parametri'!$B$6*B788))),MAX(0,0*B781-(F787-MIN(MAX(F787,0),MAX(0,B781-IF($A788&gt;='1-Input'!$C$12,'1-Input'!$B$12,0)))))*(1/(1-'P-Parametri'!$B$6*B788))))</f>
        <v>18082.791290457168</v>
      </c>
      <c r="D788" s="18">
        <f>IF($A788&gt;('1-Input'!$B$26+3),F787,(F787-MAX(0,B781-IF($A788&gt;='1-Input'!$C$12,'1-Input'!$B$12,0))+C788*(1-'P-Parametri'!$B$6*B788))*(1+'1-Input'!$B$27))</f>
        <v>0</v>
      </c>
      <c r="E788" s="18">
        <f>IF($A788&gt;('1-Input'!$B$26+3),G787,(G787-C788)*(1+'5-Roberta'!$C$4))</f>
        <v>407486.91751273116</v>
      </c>
      <c r="F788" s="18">
        <f>IF($A788&gt;('1-Input'!$B$26+3),D788,D788-'P-Parametri'!$B$8*(E788+D788)+MIN(MAX(E788,0),'P-Parametri'!$B$8*(E788+D788)))</f>
        <v>0</v>
      </c>
      <c r="G788" s="18">
        <f>IF($A788&gt;('1-Input'!$B$26+3),E788,E788-MIN(MAX(E788,0),'P-Parametri'!$B$8*(E788+D788)))</f>
        <v>406671.94367770571</v>
      </c>
      <c r="H788" s="18">
        <f>IF($A788&gt;('1-Input'!$B$26+3),H787,H787-C788*(1-B788))</f>
        <v>277666.76351793477</v>
      </c>
      <c r="I788" s="11">
        <f>IF($A788&gt;('1-Input'!$B$26+3),0,IF(N787&lt;=0,0,MAX(0,(N787-O787)/N787)))</f>
        <v>0.29814491181907116</v>
      </c>
      <c r="J788" s="18">
        <f>IF($A788&gt;('1-Input'!$B$26+3),0,(MAX(0,I781-IF($A788&gt;='1-Input'!$C$12,'1-Input'!$B$12,0))-MIN(MAX(M787,0),MAX(0,I781-IF($A788&gt;='1-Input'!$C$12,'1-Input'!$B$12,0))))*(1/(1-'P-Parametri'!$B$6*I788))+MIN(MAX(0,N787-(MAX(0,I781-IF($A788&gt;='1-Input'!$C$12,'1-Input'!$B$12,0))-MIN(MAX(M787,0),MAX(0,I781-IF($A788&gt;='1-Input'!$C$12,'1-Input'!$B$12,0))))*(1/(1-'P-Parametri'!$B$6*I788))),MAX(0,0*I781-(M787-MIN(MAX(M787,0),MAX(0,I781-IF($A788&gt;='1-Input'!$C$12,'1-Input'!$B$12,0)))))*(1/(1-'P-Parametri'!$B$6*I788))))</f>
        <v>23793.146434812061</v>
      </c>
      <c r="K788" s="18">
        <f>IF($A788&gt;('1-Input'!$B$26+3),M787,(M787-MAX(0,I781-IF($A788&gt;='1-Input'!$C$12,'1-Input'!$B$12,0))+J788*(1-'P-Parametri'!$B$6*I788))*(1+'1-Input'!$B$27))</f>
        <v>-3.6248820833861826E-12</v>
      </c>
      <c r="L788" s="18">
        <f>IF($A788&gt;('1-Input'!$B$26+3),N787,(N787-J788)*(1+'5-Roberta'!$C$4))</f>
        <v>376745.87376329425</v>
      </c>
      <c r="M788" s="18">
        <f>IF($A788&gt;('1-Input'!$B$26+3),K788,K788-'P-Parametri'!$B$8*(L788+K788)+MIN(MAX(L788,0),'P-Parametri'!$B$8*(L788+K788)))</f>
        <v>-3.637978807091713E-12</v>
      </c>
      <c r="N788" s="18">
        <f>IF($A788&gt;('1-Input'!$B$26+3),L788,L788-MIN(MAX(L788,0),'P-Parametri'!$B$8*(L788+K788)))</f>
        <v>375992.38201576768</v>
      </c>
      <c r="O788" s="18">
        <f>IF($A788&gt;('1-Input'!$B$26+3),O787,O787-J788*(1-I788))</f>
        <v>256719.42568149316</v>
      </c>
      <c r="P788" s="11">
        <f>IF($A788&gt;('1-Input'!$B$26+3),0,IF(U787&lt;=0,0,MAX(0,(U787-V787)/U787)))</f>
        <v>0.29814491181907121</v>
      </c>
      <c r="Q788" s="18">
        <f>IF($A788&gt;('1-Input'!$B$26+3),0,(MAX(0,P781-IF($A788&gt;='1-Input'!$C$12,'1-Input'!$B$12,0))-MIN(MAX(T787,0),MAX(0,P781-IF($A788&gt;='1-Input'!$C$12,'1-Input'!$B$12,0))))*(1/(1-'P-Parametri'!$B$6*P788))+MIN(MAX(0,U787-(MAX(0,P781-IF($A788&gt;='1-Input'!$C$12,'1-Input'!$B$12,0))-MIN(MAX(T787,0),MAX(0,P781-IF($A788&gt;='1-Input'!$C$12,'1-Input'!$B$12,0))))*(1/(1-'P-Parametri'!$B$6*P788))),MAX(0,0*P781-(T787-MIN(MAX(T787,0),MAX(0,P781-IF($A788&gt;='1-Input'!$C$12,'1-Input'!$B$12,0)))))*(1/(1-'P-Parametri'!$B$6*P788))))</f>
        <v>20408.068009337581</v>
      </c>
      <c r="R788" s="18">
        <f>IF($A788&gt;('1-Input'!$B$26+3),T787,(T787-MAX(0,P781-IF($A788&gt;='1-Input'!$C$12,'1-Input'!$B$12,0))+Q788*(1-'P-Parametri'!$B$6*P788))*(1+'1-Input'!$B$27))</f>
        <v>0</v>
      </c>
      <c r="S788" s="18">
        <f>IF($A788&gt;('1-Input'!$B$26+3),U787,(U787-Q788)*(1+'5-Roberta'!$C$4))</f>
        <v>394969.05626984261</v>
      </c>
      <c r="T788" s="18">
        <f>IF($A788&gt;('1-Input'!$B$26+3),R788,R788-'P-Parametri'!$B$8*(S788+R788)+MIN(MAX(S788,0),'P-Parametri'!$B$8*(S788+R788)))</f>
        <v>0</v>
      </c>
      <c r="U788" s="18">
        <f>IF($A788&gt;('1-Input'!$B$26+3),S788,S788-MIN(MAX(S788,0),'P-Parametri'!$B$8*(S788+R788)))</f>
        <v>394179.1181573029</v>
      </c>
      <c r="V788" s="18">
        <f>IF($A788&gt;('1-Input'!$B$26+3),V787,V787-Q788*(1-P788))</f>
        <v>269136.93380292098</v>
      </c>
      <c r="W788" s="11">
        <f>IF($A788&gt;('1-Input'!$B$26+3),0,IF(AB787&lt;=0,0,MAX(0,(AB787-AC787)/AB787)))</f>
        <v>0.29814491181907121</v>
      </c>
      <c r="X788" s="18">
        <f>IF($A788&gt;('1-Input'!$B$26+3),0,(MAX(0,W781-IF($A788&gt;='1-Input'!$C$12,'1-Input'!$B$12,0))-MIN(MAX(AA787,0),MAX(0,W781-IF($A788&gt;='1-Input'!$C$12,'1-Input'!$B$12,0))))*(1/(1-'P-Parametri'!$B$6*W788))+MIN(MAX(0,AB787-(MAX(0,W781-IF($A788&gt;='1-Input'!$C$12,'1-Input'!$B$12,0))-MIN(MAX(AA787,0),MAX(0,W781-IF($A788&gt;='1-Input'!$C$12,'1-Input'!$B$12,0))))*(1/(1-'P-Parametri'!$B$6*W788))),MAX(0,0*W781-(AA787-MIN(MAX(AA787,0),MAX(0,W781-IF($A788&gt;='1-Input'!$C$12,'1-Input'!$B$12,0)))))*(1/(1-'P-Parametri'!$B$6*W788))))</f>
        <v>20129.439475939522</v>
      </c>
      <c r="Y788" s="18">
        <f>IF($A788&gt;('1-Input'!$B$26+3),AA787,(AA787-MAX(0,W781-IF($A788&gt;='1-Input'!$C$12,'1-Input'!$B$12,0))+X788*(1-'P-Parametri'!$B$6*W788))*(1+'1-Input'!$B$27))</f>
        <v>0</v>
      </c>
      <c r="Z788" s="18">
        <f>IF($A788&gt;('1-Input'!$B$26+3),AB787,(AB787-X788)*(1+'5-Roberta'!$C$4))</f>
        <v>396469.02110889438</v>
      </c>
      <c r="AA788" s="18">
        <f>IF($A788&gt;('1-Input'!$B$26+3),Y788,Y788-'P-Parametri'!$B$8*(Z788+Y788)+MIN(MAX(Z788,0),'P-Parametri'!$B$8*(Z788+Y788)))</f>
        <v>0</v>
      </c>
      <c r="AB788" s="18">
        <f>IF($A788&gt;('1-Input'!$B$26+3),Z788,Z788-MIN(MAX(Z788,0),'P-Parametri'!$B$8*(Z788+Y788)))</f>
        <v>395676.08306667657</v>
      </c>
      <c r="AC788" s="18">
        <f>IF($A788&gt;('1-Input'!$B$26+3),AC787,AC787-X788*(1-W788))</f>
        <v>270159.02890426177</v>
      </c>
      <c r="AD788" s="11">
        <f>IF($A788&gt;('1-Input'!$B$26+3),0,IF(AI787&lt;=0,0,MAX(0,(AI787-AJ787)/AI787)))</f>
        <v>0.29814491181907127</v>
      </c>
      <c r="AE788" s="18">
        <f>IF($A788&gt;('1-Input'!$B$26+3),0,(MAX(0,AD781-IF($A788&gt;='1-Input'!$C$12,'1-Input'!$B$12,0))-MIN(MAX(AH787,0),MAX(0,AD781-IF($A788&gt;='1-Input'!$C$12,'1-Input'!$B$12,0))))*(1/(1-'P-Parametri'!$B$6*AD788))+MIN(MAX(0,AI787-(MAX(0,AD781-IF($A788&gt;='1-Input'!$C$12,'1-Input'!$B$12,0))-MIN(MAX(AH787,0),MAX(0,AD781-IF($A788&gt;='1-Input'!$C$12,'1-Input'!$B$12,0))))*(1/(1-'P-Parametri'!$B$6*AD788))),MAX(0,0*AD781-(AH787-MIN(MAX(AH787,0),MAX(0,AD781-IF($A788&gt;='1-Input'!$C$12,'1-Input'!$B$12,0)))))*(1/(1-'P-Parametri'!$B$6*AD788))))</f>
        <v>20143.863291502264</v>
      </c>
      <c r="AF788" s="18">
        <f>IF($A788&gt;('1-Input'!$B$26+3),AH787,(AH787-MAX(0,AD781-IF($A788&gt;='1-Input'!$C$12,'1-Input'!$B$12,0))+AE788*(1-'P-Parametri'!$B$6*AD788))*(1+'1-Input'!$B$27))</f>
        <v>0</v>
      </c>
      <c r="AG788" s="18">
        <f>IF($A788&gt;('1-Input'!$B$26+3),AI787,(AI787-AE788)*(1+'5-Roberta'!$C$4))</f>
        <v>396391.37214765837</v>
      </c>
      <c r="AH788" s="18">
        <f>IF($A788&gt;('1-Input'!$B$26+3),AF788,AF788-'P-Parametri'!$B$8*(AG788+AF788)+MIN(MAX(AG788,0),'P-Parametri'!$B$8*(AG788+AF788)))</f>
        <v>0</v>
      </c>
      <c r="AI788" s="18">
        <f>IF($A788&gt;('1-Input'!$B$26+3),AG788,AG788-MIN(MAX(AG788,0),'P-Parametri'!$B$8*(AG788+AF788)))</f>
        <v>395598.58940336306</v>
      </c>
      <c r="AJ788" s="18">
        <f>IF($A788&gt;('1-Input'!$B$26+3),AJ787,AJ787-AE788*(1-AD788))</f>
        <v>270106.11791539233</v>
      </c>
      <c r="AK788" s="11">
        <f>IF($A788&gt;('1-Input'!$B$26+3),0,IF(AP787&lt;=0,0,MAX(0,(AP787-AQ787)/AP787)))</f>
        <v>0.29814491181907121</v>
      </c>
      <c r="AL788" s="18">
        <f>IF($A788&gt;('1-Input'!$B$26+3),0,(MAX(0,AK781-IF($A788&gt;='1-Input'!$C$12,'1-Input'!$B$12,0))-MIN(MAX(AO787,0),MAX(0,AK781-IF($A788&gt;='1-Input'!$C$12,'1-Input'!$B$12,0))))*(1/(1-'P-Parametri'!$B$6*AK788))+MIN(MAX(0,AP787-(MAX(0,AK781-IF($A788&gt;='1-Input'!$C$12,'1-Input'!$B$12,0))-MIN(MAX(AO787,0),MAX(0,AK781-IF($A788&gt;='1-Input'!$C$12,'1-Input'!$B$12,0))))*(1/(1-'P-Parametri'!$B$6*AK788))),MAX(0,0*AK781-(AO787-MIN(MAX(AO787,0),MAX(0,AK781-IF($A788&gt;='1-Input'!$C$12,'1-Input'!$B$12,0)))))*(1/(1-'P-Parametri'!$B$6*AK788))))</f>
        <v>20141.885042271046</v>
      </c>
      <c r="AM788" s="18">
        <f>IF($A788&gt;('1-Input'!$B$26+3),AO787,(AO787-MAX(0,AK781-IF($A788&gt;='1-Input'!$C$12,'1-Input'!$B$12,0))+AL788*(1-'P-Parametri'!$B$6*AK788))*(1+'1-Input'!$B$27))</f>
        <v>-3.6248820833861826E-12</v>
      </c>
      <c r="AN788" s="18">
        <f>IF($A788&gt;('1-Input'!$B$26+3),AP787,(AP787-AL788)*(1+'5-Roberta'!$C$4))</f>
        <v>396402.02182611555</v>
      </c>
      <c r="AO788" s="18">
        <f>IF($A788&gt;('1-Input'!$B$26+3),AM788,AM788-'P-Parametri'!$B$8*(AN788+AM788)+MIN(MAX(AN788,0),'P-Parametri'!$B$8*(AN788+AM788)))</f>
        <v>-3.637978807091713E-12</v>
      </c>
      <c r="AP788" s="18">
        <f>IF($A788&gt;('1-Input'!$B$26+3),AN788,AN788-MIN(MAX(AN788,0),'P-Parametri'!$B$8*(AN788+AM788)))</f>
        <v>395609.2177824633</v>
      </c>
      <c r="AQ788" s="18">
        <f>IF($A788&gt;('1-Input'!$B$26+3),AQ787,AQ787-AL788*(1-AK788))</f>
        <v>270113.37474161823</v>
      </c>
    </row>
    <row r="789" spans="1:43">
      <c r="A789" s="10">
        <f>6</f>
        <v>6</v>
      </c>
      <c r="B789" s="11">
        <f>IF($A789&gt;('1-Input'!$B$26+3),0,IF(G788&lt;=0,0,MAX(0,(G788-H788)/G788)))</f>
        <v>0.31722173650122687</v>
      </c>
      <c r="C789" s="18">
        <f>IF($A789&gt;('1-Input'!$B$26+3),0,(MAX(0,B781-IF($A789&gt;='1-Input'!$C$12,'1-Input'!$B$12,0))-MIN(MAX(F788,0),MAX(0,B781-IF($A789&gt;='1-Input'!$C$12,'1-Input'!$B$12,0))))*(1/(1-'P-Parametri'!$B$6*B789))+MIN(MAX(0,G788-(MAX(0,B781-IF($A789&gt;='1-Input'!$C$12,'1-Input'!$B$12,0))-MIN(MAX(F788,0),MAX(0,B781-IF($A789&gt;='1-Input'!$C$12,'1-Input'!$B$12,0))))*(1/(1-'P-Parametri'!$B$6*B789))),MAX(0,0*B781-(F788-MIN(MAX(F788,0),MAX(0,B781-IF($A789&gt;='1-Input'!$C$12,'1-Input'!$B$12,0)))))*(1/(1-'P-Parametri'!$B$6*B789))))</f>
        <v>18180.543876365096</v>
      </c>
      <c r="D789" s="18">
        <f>IF($A789&gt;('1-Input'!$B$26+3),F788,(F788-MAX(0,B781-IF($A789&gt;='1-Input'!$C$12,'1-Input'!$B$12,0))+C789*(1-'P-Parametri'!$B$6*B789))*(1+'1-Input'!$B$27))</f>
        <v>0</v>
      </c>
      <c r="E789" s="18">
        <f>IF($A789&gt;('1-Input'!$B$26+3),G788,(G788-C789)*(1+'5-Roberta'!$C$4))</f>
        <v>400146.1417953808</v>
      </c>
      <c r="F789" s="18">
        <f>IF($A789&gt;('1-Input'!$B$26+3),D789,D789-'P-Parametri'!$B$8*(E789+D789)+MIN(MAX(E789,0),'P-Parametri'!$B$8*(E789+D789)))</f>
        <v>0</v>
      </c>
      <c r="G789" s="18">
        <f>IF($A789&gt;('1-Input'!$B$26+3),E789,E789-MIN(MAX(E789,0),'P-Parametri'!$B$8*(E789+D789)))</f>
        <v>399345.84951179003</v>
      </c>
      <c r="H789" s="18">
        <f>IF($A789&gt;('1-Input'!$B$26+3),H788,H788-C789*(1-B789))</f>
        <v>265253.48334056698</v>
      </c>
      <c r="I789" s="11">
        <f>IF($A789&gt;('1-Input'!$B$26+3),0,IF(N788&lt;=0,0,MAX(0,(N788-O788)/N788)))</f>
        <v>0.31722173650122698</v>
      </c>
      <c r="J789" s="18">
        <f>IF($A789&gt;('1-Input'!$B$26+3),0,(MAX(0,I781-IF($A789&gt;='1-Input'!$C$12,'1-Input'!$B$12,0))-MIN(MAX(M788,0),MAX(0,I781-IF($A789&gt;='1-Input'!$C$12,'1-Input'!$B$12,0))))*(1/(1-'P-Parametri'!$B$6*I789))+MIN(MAX(0,N788-(MAX(0,I781-IF($A789&gt;='1-Input'!$C$12,'1-Input'!$B$12,0))-MIN(MAX(M788,0),MAX(0,I781-IF($A789&gt;='1-Input'!$C$12,'1-Input'!$B$12,0))))*(1/(1-'P-Parametri'!$B$6*I789))),MAX(0,0*I781-(M788-MIN(MAX(M788,0),MAX(0,I781-IF($A789&gt;='1-Input'!$C$12,'1-Input'!$B$12,0)))))*(1/(1-'P-Parametri'!$B$6*I789))))</f>
        <v>23921.768258375134</v>
      </c>
      <c r="K789" s="18">
        <f>IF($A789&gt;('1-Input'!$B$26+3),M788,(M788-MAX(0,I781-IF($A789&gt;='1-Input'!$C$12,'1-Input'!$B$12,0))+J789*(1-'P-Parametri'!$B$6*I789))*(1+'1-Input'!$B$27))</f>
        <v>0</v>
      </c>
      <c r="L789" s="18">
        <f>IF($A789&gt;('1-Input'!$B$26+3),N788,(N788-J789)*(1+'5-Roberta'!$C$4))</f>
        <v>362632.73217011435</v>
      </c>
      <c r="M789" s="18">
        <f>IF($A789&gt;('1-Input'!$B$26+3),K789,K789-'P-Parametri'!$B$8*(L789+K789)+MIN(MAX(L789,0),'P-Parametri'!$B$8*(L789+K789)))</f>
        <v>0</v>
      </c>
      <c r="N789" s="18">
        <f>IF($A789&gt;('1-Input'!$B$26+3),L789,L789-MIN(MAX(L789,0),'P-Parametri'!$B$8*(L789+K789)))</f>
        <v>361907.46670577413</v>
      </c>
      <c r="O789" s="18">
        <f>IF($A789&gt;('1-Input'!$B$26+3),O788,O788-J789*(1-I789))</f>
        <v>240386.16229021971</v>
      </c>
      <c r="P789" s="11">
        <f>IF($A789&gt;('1-Input'!$B$26+3),0,IF(U788&lt;=0,0,MAX(0,(U788-V788)/U788)))</f>
        <v>0.31722173650122693</v>
      </c>
      <c r="Q789" s="18">
        <f>IF($A789&gt;('1-Input'!$B$26+3),0,(MAX(0,P781-IF($A789&gt;='1-Input'!$C$12,'1-Input'!$B$12,0))-MIN(MAX(T788,0),MAX(0,P781-IF($A789&gt;='1-Input'!$C$12,'1-Input'!$B$12,0))))*(1/(1-'P-Parametri'!$B$6*P789))+MIN(MAX(0,U788-(MAX(0,P781-IF($A789&gt;='1-Input'!$C$12,'1-Input'!$B$12,0))-MIN(MAX(T788,0),MAX(0,P781-IF($A789&gt;='1-Input'!$C$12,'1-Input'!$B$12,0))))*(1/(1-'P-Parametri'!$B$6*P789))),MAX(0,0*P781-(T788-MIN(MAX(T788,0),MAX(0,P781-IF($A789&gt;='1-Input'!$C$12,'1-Input'!$B$12,0)))))*(1/(1-'P-Parametri'!$B$6*P789))))</f>
        <v>20518.390657498123</v>
      </c>
      <c r="R789" s="18">
        <f>IF($A789&gt;('1-Input'!$B$26+3),T788,(T788-MAX(0,P781-IF($A789&gt;='1-Input'!$C$12,'1-Input'!$B$12,0))+Q789*(1-'P-Parametri'!$B$6*P789))*(1+'1-Input'!$B$27))</f>
        <v>0</v>
      </c>
      <c r="S789" s="18">
        <f>IF($A789&gt;('1-Input'!$B$26+3),U788,(U788-Q789)*(1+'5-Roberta'!$C$4))</f>
        <v>384870.54932479898</v>
      </c>
      <c r="T789" s="18">
        <f>IF($A789&gt;('1-Input'!$B$26+3),R789,R789-'P-Parametri'!$B$8*(S789+R789)+MIN(MAX(S789,0),'P-Parametri'!$B$8*(S789+R789)))</f>
        <v>0</v>
      </c>
      <c r="U789" s="18">
        <f>IF($A789&gt;('1-Input'!$B$26+3),S789,S789-MIN(MAX(S789,0),'P-Parametri'!$B$8*(S789+R789)))</f>
        <v>384100.80822614935</v>
      </c>
      <c r="V789" s="18">
        <f>IF($A789&gt;('1-Input'!$B$26+3),V788,V788-Q789*(1-P789))</f>
        <v>255127.42266000496</v>
      </c>
      <c r="W789" s="11">
        <f>IF($A789&gt;('1-Input'!$B$26+3),0,IF(AB788&lt;=0,0,MAX(0,(AB788-AC788)/AB788)))</f>
        <v>0.31722173650122681</v>
      </c>
      <c r="X789" s="18">
        <f>IF($A789&gt;('1-Input'!$B$26+3),0,(MAX(0,W781-IF($A789&gt;='1-Input'!$C$12,'1-Input'!$B$12,0))-MIN(MAX(AA788,0),MAX(0,W781-IF($A789&gt;='1-Input'!$C$12,'1-Input'!$B$12,0))))*(1/(1-'P-Parametri'!$B$6*W789))+MIN(MAX(0,AB788-(MAX(0,W781-IF($A789&gt;='1-Input'!$C$12,'1-Input'!$B$12,0))-MIN(MAX(AA788,0),MAX(0,W781-IF($A789&gt;='1-Input'!$C$12,'1-Input'!$B$12,0))))*(1/(1-'P-Parametri'!$B$6*W789))),MAX(0,0*W781-(AA788-MIN(MAX(AA788,0),MAX(0,W781-IF($A789&gt;='1-Input'!$C$12,'1-Input'!$B$12,0)))))*(1/(1-'P-Parametri'!$B$6*W789))))</f>
        <v>20238.255904224497</v>
      </c>
      <c r="Y789" s="18">
        <f>IF($A789&gt;('1-Input'!$B$26+3),AA788,(AA788-MAX(0,W781-IF($A789&gt;='1-Input'!$C$12,'1-Input'!$B$12,0))+X789*(1-'P-Parametri'!$B$6*W789))*(1+'1-Input'!$B$27))</f>
        <v>0</v>
      </c>
      <c r="Z789" s="18">
        <f>IF($A789&gt;('1-Input'!$B$26+3),AB788,(AB788-X789)*(1+'5-Roberta'!$C$4))</f>
        <v>386700.96197732561</v>
      </c>
      <c r="AA789" s="18">
        <f>IF($A789&gt;('1-Input'!$B$26+3),Y789,Y789-'P-Parametri'!$B$8*(Z789+Y789)+MIN(MAX(Z789,0),'P-Parametri'!$B$8*(Z789+Y789)))</f>
        <v>0</v>
      </c>
      <c r="AB789" s="18">
        <f>IF($A789&gt;('1-Input'!$B$26+3),Z789,Z789-MIN(MAX(Z789,0),'P-Parametri'!$B$8*(Z789+Y789)))</f>
        <v>385927.56005337095</v>
      </c>
      <c r="AC789" s="18">
        <f>IF($A789&gt;('1-Input'!$B$26+3),AC788,AC788-X789*(1-W789))</f>
        <v>256340.78768173157</v>
      </c>
      <c r="AD789" s="11">
        <f>IF($A789&gt;('1-Input'!$B$26+3),0,IF(AI788&lt;=0,0,MAX(0,(AI788-AJ788)/AI788)))</f>
        <v>0.31722173650122698</v>
      </c>
      <c r="AE789" s="18">
        <f>IF($A789&gt;('1-Input'!$B$26+3),0,(MAX(0,AD781-IF($A789&gt;='1-Input'!$C$12,'1-Input'!$B$12,0))-MIN(MAX(AH788,0),MAX(0,AD781-IF($A789&gt;='1-Input'!$C$12,'1-Input'!$B$12,0))))*(1/(1-'P-Parametri'!$B$6*AD789))+MIN(MAX(0,AI788-(MAX(0,AD781-IF($A789&gt;='1-Input'!$C$12,'1-Input'!$B$12,0))-MIN(MAX(AH788,0),MAX(0,AD781-IF($A789&gt;='1-Input'!$C$12,'1-Input'!$B$12,0))))*(1/(1-'P-Parametri'!$B$6*AD789))),MAX(0,0*AD781-(AH788-MIN(MAX(AH788,0),MAX(0,AD781-IF($A789&gt;='1-Input'!$C$12,'1-Input'!$B$12,0)))))*(1/(1-'P-Parametri'!$B$6*AD789))))</f>
        <v>20252.757692554125</v>
      </c>
      <c r="AF789" s="18">
        <f>IF($A789&gt;('1-Input'!$B$26+3),AH788,(AH788-MAX(0,AD781-IF($A789&gt;='1-Input'!$C$12,'1-Input'!$B$12,0))+AE789*(1-'P-Parametri'!$B$6*AD789))*(1+'1-Input'!$B$27))</f>
        <v>-3.6248820833861826E-12</v>
      </c>
      <c r="AG789" s="18">
        <f>IF($A789&gt;('1-Input'!$B$26+3),AI788,(AI788-AE789)*(1+'5-Roberta'!$C$4))</f>
        <v>386606.20666213316</v>
      </c>
      <c r="AH789" s="18">
        <f>IF($A789&gt;('1-Input'!$B$26+3),AF789,AF789-'P-Parametri'!$B$8*(AG789+AF789)+MIN(MAX(AG789,0),'P-Parametri'!$B$8*(AG789+AF789)))</f>
        <v>-3.637978807091713E-12</v>
      </c>
      <c r="AI789" s="18">
        <f>IF($A789&gt;('1-Input'!$B$26+3),AG789,AG789-MIN(MAX(AG789,0),'P-Parametri'!$B$8*(AG789+AF789)))</f>
        <v>385832.99424880889</v>
      </c>
      <c r="AJ789" s="18">
        <f>IF($A789&gt;('1-Input'!$B$26+3),AJ788,AJ788-AE789*(1-AD789))</f>
        <v>256277.97518700879</v>
      </c>
      <c r="AK789" s="11">
        <f>IF($A789&gt;('1-Input'!$B$26+3),0,IF(AP788&lt;=0,0,MAX(0,(AP788-AQ788)/AP788)))</f>
        <v>0.31722173650122693</v>
      </c>
      <c r="AL789" s="18">
        <f>IF($A789&gt;('1-Input'!$B$26+3),0,(MAX(0,AK781-IF($A789&gt;='1-Input'!$C$12,'1-Input'!$B$12,0))-MIN(MAX(AO788,0),MAX(0,AK781-IF($A789&gt;='1-Input'!$C$12,'1-Input'!$B$12,0))))*(1/(1-'P-Parametri'!$B$6*AK789))+MIN(MAX(0,AP788-(MAX(0,AK781-IF($A789&gt;='1-Input'!$C$12,'1-Input'!$B$12,0))-MIN(MAX(AO788,0),MAX(0,AK781-IF($A789&gt;='1-Input'!$C$12,'1-Input'!$B$12,0))))*(1/(1-'P-Parametri'!$B$6*AK789))),MAX(0,0*AK781-(AO788-MIN(MAX(AO788,0),MAX(0,AK781-IF($A789&gt;='1-Input'!$C$12,'1-Input'!$B$12,0)))))*(1/(1-'P-Parametri'!$B$6*AK789))))</f>
        <v>20250.768749234001</v>
      </c>
      <c r="AM789" s="18">
        <f>IF($A789&gt;('1-Input'!$B$26+3),AO788,(AO788-MAX(0,AK781-IF($A789&gt;='1-Input'!$C$12,'1-Input'!$B$12,0))+AL789*(1-'P-Parametri'!$B$6*AK789))*(1+'1-Input'!$B$27))</f>
        <v>0</v>
      </c>
      <c r="AN789" s="18">
        <f>IF($A789&gt;('1-Input'!$B$26+3),AP788,(AP788-AL789)*(1+'5-Roberta'!$C$4))</f>
        <v>386619.20250422624</v>
      </c>
      <c r="AO789" s="18">
        <f>IF($A789&gt;('1-Input'!$B$26+3),AM789,AM789-'P-Parametri'!$B$8*(AN789+AM789)+MIN(MAX(AN789,0),'P-Parametri'!$B$8*(AN789+AM789)))</f>
        <v>0</v>
      </c>
      <c r="AP789" s="18">
        <f>IF($A789&gt;('1-Input'!$B$26+3),AN789,AN789-MIN(MAX(AN789,0),'P-Parametri'!$B$8*(AN789+AM789)))</f>
        <v>385845.96409921779</v>
      </c>
      <c r="AQ789" s="18">
        <f>IF($A789&gt;('1-Input'!$B$26+3),AQ788,AQ788-AL789*(1-AK789))</f>
        <v>256286.59002050103</v>
      </c>
    </row>
    <row r="790" spans="1:43">
      <c r="A790" s="10">
        <f>7</f>
        <v>7</v>
      </c>
      <c r="B790" s="11">
        <f>IF($A790&gt;('1-Input'!$B$26+3),0,IF(G789&lt;=0,0,MAX(0,(G789-H789)/G789)))</f>
        <v>0.33578004212427454</v>
      </c>
      <c r="C790" s="18">
        <f>IF($A790&gt;('1-Input'!$B$26+3),0,(MAX(0,B781-IF($A790&gt;='1-Input'!$C$12,'1-Input'!$B$12,0))-MIN(MAX(F789,0),MAX(0,B781-IF($A790&gt;='1-Input'!$C$12,'1-Input'!$B$12,0))))*(1/(1-'P-Parametri'!$B$6*B790))+MIN(MAX(0,G789-(MAX(0,B781-IF($A790&gt;='1-Input'!$C$12,'1-Input'!$B$12,0))-MIN(MAX(F789,0),MAX(0,B781-IF($A790&gt;='1-Input'!$C$12,'1-Input'!$B$12,0))))*(1/(1-'P-Parametri'!$B$6*B790))),MAX(0,0*B781-(F789-MIN(MAX(F789,0),MAX(0,B781-IF($A790&gt;='1-Input'!$C$12,'1-Input'!$B$12,0)))))*(1/(1-'P-Parametri'!$B$6*B790))))</f>
        <v>18276.659022069383</v>
      </c>
      <c r="D790" s="18">
        <f>IF($A790&gt;('1-Input'!$B$26+3),F789,(F789-MAX(0,B781-IF($A790&gt;='1-Input'!$C$12,'1-Input'!$B$12,0))+C790*(1-'P-Parametri'!$B$6*B790))*(1+'1-Input'!$B$27))</f>
        <v>0</v>
      </c>
      <c r="E790" s="18">
        <f>IF($A790&gt;('1-Input'!$B$26+3),G789,(G789-C790)*(1+'5-Roberta'!$C$4))</f>
        <v>392501.26620441233</v>
      </c>
      <c r="F790" s="18">
        <f>IF($A790&gt;('1-Input'!$B$26+3),D790,D790-'P-Parametri'!$B$8*(E790+D790)+MIN(MAX(E790,0),'P-Parametri'!$B$8*(E790+D790)))</f>
        <v>0</v>
      </c>
      <c r="G790" s="18">
        <f>IF($A790&gt;('1-Input'!$B$26+3),E790,E790-MIN(MAX(E790,0),'P-Parametri'!$B$8*(E790+D790)))</f>
        <v>391716.26367200352</v>
      </c>
      <c r="H790" s="18">
        <f>IF($A790&gt;('1-Input'!$B$26+3),H789,H789-C790*(1-B790))</f>
        <v>253113.76165481904</v>
      </c>
      <c r="I790" s="11">
        <f>IF($A790&gt;('1-Input'!$B$26+3),0,IF(N789&lt;=0,0,MAX(0,(N789-O789)/N789)))</f>
        <v>0.33578004212427481</v>
      </c>
      <c r="J790" s="18">
        <f>IF($A790&gt;('1-Input'!$B$26+3),0,(MAX(0,I781-IF($A790&gt;='1-Input'!$C$12,'1-Input'!$B$12,0))-MIN(MAX(M789,0),MAX(0,I781-IF($A790&gt;='1-Input'!$C$12,'1-Input'!$B$12,0))))*(1/(1-'P-Parametri'!$B$6*I790))+MIN(MAX(0,N789-(MAX(0,I781-IF($A790&gt;='1-Input'!$C$12,'1-Input'!$B$12,0))-MIN(MAX(M789,0),MAX(0,I781-IF($A790&gt;='1-Input'!$C$12,'1-Input'!$B$12,0))))*(1/(1-'P-Parametri'!$B$6*I790))),MAX(0,0*I781-(M789-MIN(MAX(M789,0),MAX(0,I781-IF($A790&gt;='1-Input'!$C$12,'1-Input'!$B$12,0)))))*(1/(1-'P-Parametri'!$B$6*I790))))</f>
        <v>24048.235555354455</v>
      </c>
      <c r="K790" s="18">
        <f>IF($A790&gt;('1-Input'!$B$26+3),M789,(M789-MAX(0,I781-IF($A790&gt;='1-Input'!$C$12,'1-Input'!$B$12,0))+J790*(1-'P-Parametri'!$B$6*I790))*(1+'1-Input'!$B$27))</f>
        <v>-3.6248820833861826E-12</v>
      </c>
      <c r="L790" s="18">
        <f>IF($A790&gt;('1-Input'!$B$26+3),N789,(N789-J790)*(1+'5-Roberta'!$C$4))</f>
        <v>347995.00808493228</v>
      </c>
      <c r="M790" s="18">
        <f>IF($A790&gt;('1-Input'!$B$26+3),K790,K790-'P-Parametri'!$B$8*(L790+K790)+MIN(MAX(L790,0),'P-Parametri'!$B$8*(L790+K790)))</f>
        <v>-3.637978807091713E-12</v>
      </c>
      <c r="N790" s="18">
        <f>IF($A790&gt;('1-Input'!$B$26+3),L790,L790-MIN(MAX(L790,0),'P-Parametri'!$B$8*(L790+K790)))</f>
        <v>347299.01806876244</v>
      </c>
      <c r="O790" s="18">
        <f>IF($A790&gt;('1-Input'!$B$26+3),O789,O789-J790*(1-I790))</f>
        <v>224412.84428265665</v>
      </c>
      <c r="P790" s="11">
        <f>IF($A790&gt;('1-Input'!$B$26+3),0,IF(U789&lt;=0,0,MAX(0,(U789-V789)/U789)))</f>
        <v>0.3357800421242747</v>
      </c>
      <c r="Q790" s="18">
        <f>IF($A790&gt;('1-Input'!$B$26+3),0,(MAX(0,P781-IF($A790&gt;='1-Input'!$C$12,'1-Input'!$B$12,0))-MIN(MAX(T789,0),MAX(0,P781-IF($A790&gt;='1-Input'!$C$12,'1-Input'!$B$12,0))))*(1/(1-'P-Parametri'!$B$6*P790))+MIN(MAX(0,U789-(MAX(0,P781-IF($A790&gt;='1-Input'!$C$12,'1-Input'!$B$12,0))-MIN(MAX(T789,0),MAX(0,P781-IF($A790&gt;='1-Input'!$C$12,'1-Input'!$B$12,0))))*(1/(1-'P-Parametri'!$B$6*P790))),MAX(0,0*P781-(T789-MIN(MAX(T789,0),MAX(0,P781-IF($A790&gt;='1-Input'!$C$12,'1-Input'!$B$12,0)))))*(1/(1-'P-Parametri'!$B$6*P790))))</f>
        <v>20626.865306060572</v>
      </c>
      <c r="R790" s="18">
        <f>IF($A790&gt;('1-Input'!$B$26+3),T789,(T789-MAX(0,P781-IF($A790&gt;='1-Input'!$C$12,'1-Input'!$B$12,0))+Q790*(1-'P-Parametri'!$B$6*P790))*(1+'1-Input'!$B$27))</f>
        <v>0</v>
      </c>
      <c r="S790" s="18">
        <f>IF($A790&gt;('1-Input'!$B$26+3),U789,(U789-Q790)*(1+'5-Roberta'!$C$4))</f>
        <v>374378.16120769142</v>
      </c>
      <c r="T790" s="18">
        <f>IF($A790&gt;('1-Input'!$B$26+3),R790,R790-'P-Parametri'!$B$8*(S790+R790)+MIN(MAX(S790,0),'P-Parametri'!$B$8*(S790+R790)))</f>
        <v>0</v>
      </c>
      <c r="U790" s="18">
        <f>IF($A790&gt;('1-Input'!$B$26+3),S790,S790-MIN(MAX(S790,0),'P-Parametri'!$B$8*(S790+R790)))</f>
        <v>373629.40488527605</v>
      </c>
      <c r="V790" s="18">
        <f>IF($A790&gt;('1-Input'!$B$26+3),V789,V789-Q790*(1-P790))</f>
        <v>241426.64705530513</v>
      </c>
      <c r="W790" s="11">
        <f>IF($A790&gt;('1-Input'!$B$26+3),0,IF(AB789&lt;=0,0,MAX(0,(AB789-AC789)/AB789)))</f>
        <v>0.33578004212427454</v>
      </c>
      <c r="X790" s="18">
        <f>IF($A790&gt;('1-Input'!$B$26+3),0,(MAX(0,W781-IF($A790&gt;='1-Input'!$C$12,'1-Input'!$B$12,0))-MIN(MAX(AA789,0),MAX(0,W781-IF($A790&gt;='1-Input'!$C$12,'1-Input'!$B$12,0))))*(1/(1-'P-Parametri'!$B$6*W790))+MIN(MAX(0,AB789-(MAX(0,W781-IF($A790&gt;='1-Input'!$C$12,'1-Input'!$B$12,0))-MIN(MAX(AA789,0),MAX(0,W781-IF($A790&gt;='1-Input'!$C$12,'1-Input'!$B$12,0))))*(1/(1-'P-Parametri'!$B$6*W790))),MAX(0,0*W781-(AA789-MIN(MAX(AA789,0),MAX(0,W781-IF($A790&gt;='1-Input'!$C$12,'1-Input'!$B$12,0)))))*(1/(1-'P-Parametri'!$B$6*W790))))</f>
        <v>20345.249563394616</v>
      </c>
      <c r="Y790" s="18">
        <f>IF($A790&gt;('1-Input'!$B$26+3),AA789,(AA789-MAX(0,W781-IF($A790&gt;='1-Input'!$C$12,'1-Input'!$B$12,0))+X790*(1-'P-Parametri'!$B$6*W790))*(1+'1-Input'!$B$27))</f>
        <v>0</v>
      </c>
      <c r="Z790" s="18">
        <f>IF($A790&gt;('1-Input'!$B$26+3),AB789,(AB789-X790)*(1+'5-Roberta'!$C$4))</f>
        <v>376549.77980467561</v>
      </c>
      <c r="AA790" s="18">
        <f>IF($A790&gt;('1-Input'!$B$26+3),Y790,Y790-'P-Parametri'!$B$8*(Z790+Y790)+MIN(MAX(Z790,0),'P-Parametri'!$B$8*(Z790+Y790)))</f>
        <v>0</v>
      </c>
      <c r="AB790" s="18">
        <f>IF($A790&gt;('1-Input'!$B$26+3),Z790,Z790-MIN(MAX(Z790,0),'P-Parametri'!$B$8*(Z790+Y790)))</f>
        <v>375796.68024506624</v>
      </c>
      <c r="AC790" s="18">
        <f>IF($A790&gt;('1-Input'!$B$26+3),AC789,AC789-X790*(1-W790))</f>
        <v>242827.06687376247</v>
      </c>
      <c r="AD790" s="11">
        <f>IF($A790&gt;('1-Input'!$B$26+3),0,IF(AI789&lt;=0,0,MAX(0,(AI789-AJ789)/AI789)))</f>
        <v>0.3357800421242747</v>
      </c>
      <c r="AE790" s="18">
        <f>IF($A790&gt;('1-Input'!$B$26+3),0,(MAX(0,AD781-IF($A790&gt;='1-Input'!$C$12,'1-Input'!$B$12,0))-MIN(MAX(AH789,0),MAX(0,AD781-IF($A790&gt;='1-Input'!$C$12,'1-Input'!$B$12,0))))*(1/(1-'P-Parametri'!$B$6*AD790))+MIN(MAX(0,AI789-(MAX(0,AD781-IF($A790&gt;='1-Input'!$C$12,'1-Input'!$B$12,0))-MIN(MAX(AH789,0),MAX(0,AD781-IF($A790&gt;='1-Input'!$C$12,'1-Input'!$B$12,0))))*(1/(1-'P-Parametri'!$B$6*AD790))),MAX(0,0*AD781-(AH789-MIN(MAX(AH789,0),MAX(0,AD781-IF($A790&gt;='1-Input'!$C$12,'1-Input'!$B$12,0)))))*(1/(1-'P-Parametri'!$B$6*AD790))))</f>
        <v>20359.828018379972</v>
      </c>
      <c r="AF790" s="18">
        <f>IF($A790&gt;('1-Input'!$B$26+3),AH789,(AH789-MAX(0,AD781-IF($A790&gt;='1-Input'!$C$12,'1-Input'!$B$12,0))+AE790*(1-'P-Parametri'!$B$6*AD790))*(1+'1-Input'!$B$27))</f>
        <v>0</v>
      </c>
      <c r="AG790" s="18">
        <f>IF($A790&gt;('1-Input'!$B$26+3),AI789,(AI789-AE790)*(1+'5-Roberta'!$C$4))</f>
        <v>376437.36121734179</v>
      </c>
      <c r="AH790" s="18">
        <f>IF($A790&gt;('1-Input'!$B$26+3),AF790,AF790-'P-Parametri'!$B$8*(AG790+AF790)+MIN(MAX(AG790,0),'P-Parametri'!$B$8*(AG790+AF790)))</f>
        <v>0</v>
      </c>
      <c r="AI790" s="18">
        <f>IF($A790&gt;('1-Input'!$B$26+3),AG790,AG790-MIN(MAX(AG790,0),'P-Parametri'!$B$8*(AG790+AF790)))</f>
        <v>375684.48649490712</v>
      </c>
      <c r="AJ790" s="18">
        <f>IF($A790&gt;('1-Input'!$B$26+3),AJ789,AJ789-AE790*(1-AD790))</f>
        <v>242754.57107828342</v>
      </c>
      <c r="AK790" s="11">
        <f>IF($A790&gt;('1-Input'!$B$26+3),0,IF(AP789&lt;=0,0,MAX(0,(AP789-AQ789)/AP789)))</f>
        <v>0.33578004212427476</v>
      </c>
      <c r="AL790" s="18">
        <f>IF($A790&gt;('1-Input'!$B$26+3),0,(MAX(0,AK781-IF($A790&gt;='1-Input'!$C$12,'1-Input'!$B$12,0))-MIN(MAX(AO789,0),MAX(0,AK781-IF($A790&gt;='1-Input'!$C$12,'1-Input'!$B$12,0))))*(1/(1-'P-Parametri'!$B$6*AK790))+MIN(MAX(0,AP789-(MAX(0,AK781-IF($A790&gt;='1-Input'!$C$12,'1-Input'!$B$12,0))-MIN(MAX(AO789,0),MAX(0,AK781-IF($A790&gt;='1-Input'!$C$12,'1-Input'!$B$12,0))))*(1/(1-'P-Parametri'!$B$6*AK790))),MAX(0,0*AK781-(AO789-MIN(MAX(AO789,0),MAX(0,AK781-IF($A790&gt;='1-Input'!$C$12,'1-Input'!$B$12,0)))))*(1/(1-'P-Parametri'!$B$6*AK790))))</f>
        <v>20357.828560106143</v>
      </c>
      <c r="AM790" s="18">
        <f>IF($A790&gt;('1-Input'!$B$26+3),AO789,(AO789-MAX(0,AK781-IF($A790&gt;='1-Input'!$C$12,'1-Input'!$B$12,0))+AL790*(1-'P-Parametri'!$B$6*AK790))*(1+'1-Input'!$B$27))</f>
        <v>0</v>
      </c>
      <c r="AN790" s="18">
        <f>IF($A790&gt;('1-Input'!$B$26+3),AP789,(AP789-AL790)*(1+'5-Roberta'!$C$4))</f>
        <v>376452.77960528497</v>
      </c>
      <c r="AO790" s="18">
        <f>IF($A790&gt;('1-Input'!$B$26+3),AM790,AM790-'P-Parametri'!$B$8*(AN790+AM790)+MIN(MAX(AN790,0),'P-Parametri'!$B$8*(AN790+AM790)))</f>
        <v>0</v>
      </c>
      <c r="AP790" s="18">
        <f>IF($A790&gt;('1-Input'!$B$26+3),AN790,AN790-MIN(MAX(AN790,0),'P-Parametri'!$B$8*(AN790+AM790)))</f>
        <v>375699.8740460744</v>
      </c>
      <c r="AQ790" s="18">
        <f>IF($A790&gt;('1-Input'!$B$26+3),AQ789,AQ789-AL790*(1-AK790))</f>
        <v>242764.51399186609</v>
      </c>
    </row>
    <row r="791" spans="1:43">
      <c r="A791" s="10">
        <f>8</f>
        <v>8</v>
      </c>
      <c r="B791" s="11">
        <f>IF($A791&gt;('1-Input'!$B$26+3),0,IF(G790&lt;=0,0,MAX(0,(G790-H790)/G790)))</f>
        <v>0.35383392233425559</v>
      </c>
      <c r="C791" s="18">
        <f>IF($A791&gt;('1-Input'!$B$26+3),0,(MAX(0,B781-IF($A791&gt;='1-Input'!$C$12,'1-Input'!$B$12,0))-MIN(MAX(F790,0),MAX(0,B781-IF($A791&gt;='1-Input'!$C$12,'1-Input'!$B$12,0))))*(1/(1-'P-Parametri'!$B$6*B791))+MIN(MAX(0,G790-(MAX(0,B781-IF($A791&gt;='1-Input'!$C$12,'1-Input'!$B$12,0))-MIN(MAX(F790,0),MAX(0,B781-IF($A791&gt;='1-Input'!$C$12,'1-Input'!$B$12,0))))*(1/(1-'P-Parametri'!$B$6*B791))),MAX(0,0*B781-(F790-MIN(MAX(F790,0),MAX(0,B781-IF($A791&gt;='1-Input'!$C$12,'1-Input'!$B$12,0)))))*(1/(1-'P-Parametri'!$B$6*B791))))</f>
        <v>18371.141950272082</v>
      </c>
      <c r="D791" s="18">
        <f>IF($A791&gt;('1-Input'!$B$26+3),F790,(F790-MAX(0,B781-IF($A791&gt;='1-Input'!$C$12,'1-Input'!$B$12,0))+C791*(1-'P-Parametri'!$B$6*B791))*(1+'1-Input'!$B$27))</f>
        <v>0</v>
      </c>
      <c r="E791" s="18">
        <f>IF($A791&gt;('1-Input'!$B$26+3),G790,(G790-C791)*(1+'5-Roberta'!$C$4))</f>
        <v>384545.47537338338</v>
      </c>
      <c r="F791" s="18">
        <f>IF($A791&gt;('1-Input'!$B$26+3),D791,D791-'P-Parametri'!$B$8*(E791+D791)+MIN(MAX(E791,0),'P-Parametri'!$B$8*(E791+D791)))</f>
        <v>0</v>
      </c>
      <c r="G791" s="18">
        <f>IF($A791&gt;('1-Input'!$B$26+3),E791,E791-MIN(MAX(E791,0),'P-Parametri'!$B$8*(E791+D791)))</f>
        <v>383776.38442263659</v>
      </c>
      <c r="H791" s="18">
        <f>IF($A791&gt;('1-Input'!$B$26+3),H790,H790-C791*(1-B791))</f>
        <v>241242.95291857113</v>
      </c>
      <c r="I791" s="11">
        <f>IF($A791&gt;('1-Input'!$B$26+3),0,IF(N790&lt;=0,0,MAX(0,(N790-O790)/N790)))</f>
        <v>0.35383392233425581</v>
      </c>
      <c r="J791" s="18">
        <f>IF($A791&gt;('1-Input'!$B$26+3),0,(MAX(0,I781-IF($A791&gt;='1-Input'!$C$12,'1-Input'!$B$12,0))-MIN(MAX(M790,0),MAX(0,I781-IF($A791&gt;='1-Input'!$C$12,'1-Input'!$B$12,0))))*(1/(1-'P-Parametri'!$B$6*I791))+MIN(MAX(0,N790-(MAX(0,I781-IF($A791&gt;='1-Input'!$C$12,'1-Input'!$B$12,0))-MIN(MAX(M790,0),MAX(0,I781-IF($A791&gt;='1-Input'!$C$12,'1-Input'!$B$12,0))))*(1/(1-'P-Parametri'!$B$6*I791))),MAX(0,0*I781-(M790-MIN(MAX(M790,0),MAX(0,I781-IF($A791&gt;='1-Input'!$C$12,'1-Input'!$B$12,0)))))*(1/(1-'P-Parametri'!$B$6*I791))))</f>
        <v>24172.555197726433</v>
      </c>
      <c r="K791" s="18">
        <f>IF($A791&gt;('1-Input'!$B$26+3),M790,(M790-MAX(0,I781-IF($A791&gt;='1-Input'!$C$12,'1-Input'!$B$12,0))+J791*(1-'P-Parametri'!$B$6*I791))*(1+'1-Input'!$B$27))</f>
        <v>-3.6248820833861826E-12</v>
      </c>
      <c r="L791" s="18">
        <f>IF($A791&gt;('1-Input'!$B$26+3),N790,(N790-J791)*(1+'5-Roberta'!$C$4))</f>
        <v>332820.25675716711</v>
      </c>
      <c r="M791" s="18">
        <f>IF($A791&gt;('1-Input'!$B$26+3),K791,K791-'P-Parametri'!$B$8*(L791+K791)+MIN(MAX(L791,0),'P-Parametri'!$B$8*(L791+K791)))</f>
        <v>-3.637978807091713E-12</v>
      </c>
      <c r="N791" s="18">
        <f>IF($A791&gt;('1-Input'!$B$26+3),L791,L791-MIN(MAX(L791,0),'P-Parametri'!$B$8*(L791+K791)))</f>
        <v>332154.61624365277</v>
      </c>
      <c r="O791" s="18">
        <f>IF($A791&gt;('1-Input'!$B$26+3),O790,O790-J791*(1-I791))</f>
        <v>208793.35910338306</v>
      </c>
      <c r="P791" s="11">
        <f>IF($A791&gt;('1-Input'!$B$26+3),0,IF(U790&lt;=0,0,MAX(0,(U790-V790)/U790)))</f>
        <v>0.35383392233425565</v>
      </c>
      <c r="Q791" s="18">
        <f>IF($A791&gt;('1-Input'!$B$26+3),0,(MAX(0,P781-IF($A791&gt;='1-Input'!$C$12,'1-Input'!$B$12,0))-MIN(MAX(T790,0),MAX(0,P781-IF($A791&gt;='1-Input'!$C$12,'1-Input'!$B$12,0))))*(1/(1-'P-Parametri'!$B$6*P791))+MIN(MAX(0,U790-(MAX(0,P781-IF($A791&gt;='1-Input'!$C$12,'1-Input'!$B$12,0))-MIN(MAX(T790,0),MAX(0,P781-IF($A791&gt;='1-Input'!$C$12,'1-Input'!$B$12,0))))*(1/(1-'P-Parametri'!$B$6*P791))),MAX(0,0*P781-(T790-MIN(MAX(T790,0),MAX(0,P781-IF($A791&gt;='1-Input'!$C$12,'1-Input'!$B$12,0)))))*(1/(1-'P-Parametri'!$B$6*P791))))</f>
        <v>20733.497849317304</v>
      </c>
      <c r="R791" s="18">
        <f>IF($A791&gt;('1-Input'!$B$26+3),T790,(T790-MAX(0,P781-IF($A791&gt;='1-Input'!$C$12,'1-Input'!$B$12,0))+Q791*(1-'P-Parametri'!$B$6*P791))*(1+'1-Input'!$B$27))</f>
        <v>3.6248820833861826E-12</v>
      </c>
      <c r="S791" s="18">
        <f>IF($A791&gt;('1-Input'!$B$26+3),U790,(U790-Q791)*(1+'5-Roberta'!$C$4))</f>
        <v>363482.78424703749</v>
      </c>
      <c r="T791" s="18">
        <f>IF($A791&gt;('1-Input'!$B$26+3),R791,R791-'P-Parametri'!$B$8*(S791+R791)+MIN(MAX(S791,0),'P-Parametri'!$B$8*(S791+R791)))</f>
        <v>3.637978807091713E-12</v>
      </c>
      <c r="U791" s="18">
        <f>IF($A791&gt;('1-Input'!$B$26+3),S791,S791-MIN(MAX(S791,0),'P-Parametri'!$B$8*(S791+R791)))</f>
        <v>362755.81867854344</v>
      </c>
      <c r="V791" s="18">
        <f>IF($A791&gt;('1-Input'!$B$26+3),V790,V790-Q791*(1-P791))</f>
        <v>228029.36407372062</v>
      </c>
      <c r="W791" s="11">
        <f>IF($A791&gt;('1-Input'!$B$26+3),0,IF(AB790&lt;=0,0,MAX(0,(AB790-AC790)/AB790)))</f>
        <v>0.35383392233425537</v>
      </c>
      <c r="X791" s="18">
        <f>IF($A791&gt;('1-Input'!$B$26+3),0,(MAX(0,W781-IF($A791&gt;='1-Input'!$C$12,'1-Input'!$B$12,0))-MIN(MAX(AA790,0),MAX(0,W781-IF($A791&gt;='1-Input'!$C$12,'1-Input'!$B$12,0))))*(1/(1-'P-Parametri'!$B$6*W791))+MIN(MAX(0,AB790-(MAX(0,W781-IF($A791&gt;='1-Input'!$C$12,'1-Input'!$B$12,0))-MIN(MAX(AA790,0),MAX(0,W781-IF($A791&gt;='1-Input'!$C$12,'1-Input'!$B$12,0))))*(1/(1-'P-Parametri'!$B$6*W791))),MAX(0,0*W781-(AA790-MIN(MAX(AA790,0),MAX(0,W781-IF($A791&gt;='1-Input'!$C$12,'1-Input'!$B$12,0)))))*(1/(1-'P-Parametri'!$B$6*W791))))</f>
        <v>20450.426267268285</v>
      </c>
      <c r="Y791" s="18">
        <f>IF($A791&gt;('1-Input'!$B$26+3),AA790,(AA790-MAX(0,W781-IF($A791&gt;='1-Input'!$C$12,'1-Input'!$B$12,0))+X791*(1-'P-Parametri'!$B$6*W791))*(1+'1-Input'!$B$27))</f>
        <v>0</v>
      </c>
      <c r="Z791" s="18">
        <f>IF($A791&gt;('1-Input'!$B$26+3),AB790,(AB790-X791)*(1+'5-Roberta'!$C$4))</f>
        <v>366006.64159713185</v>
      </c>
      <c r="AA791" s="18">
        <f>IF($A791&gt;('1-Input'!$B$26+3),Y791,Y791-'P-Parametri'!$B$8*(Z791+Y791)+MIN(MAX(Z791,0),'P-Parametri'!$B$8*(Z791+Y791)))</f>
        <v>0</v>
      </c>
      <c r="AB791" s="18">
        <f>IF($A791&gt;('1-Input'!$B$26+3),Z791,Z791-MIN(MAX(Z791,0),'P-Parametri'!$B$8*(Z791+Y791)))</f>
        <v>365274.62831393757</v>
      </c>
      <c r="AC791" s="18">
        <f>IF($A791&gt;('1-Input'!$B$26+3),AC790,AC790-X791*(1-W791))</f>
        <v>229612.6951460492</v>
      </c>
      <c r="AD791" s="11">
        <f>IF($A791&gt;('1-Input'!$B$26+3),0,IF(AI790&lt;=0,0,MAX(0,(AI790-AJ790)/AI790)))</f>
        <v>0.3538339223342557</v>
      </c>
      <c r="AE791" s="18">
        <f>IF($A791&gt;('1-Input'!$B$26+3),0,(MAX(0,AD781-IF($A791&gt;='1-Input'!$C$12,'1-Input'!$B$12,0))-MIN(MAX(AH790,0),MAX(0,AD781-IF($A791&gt;='1-Input'!$C$12,'1-Input'!$B$12,0))))*(1/(1-'P-Parametri'!$B$6*AD791))+MIN(MAX(0,AI790-(MAX(0,AD781-IF($A791&gt;='1-Input'!$C$12,'1-Input'!$B$12,0))-MIN(MAX(AH790,0),MAX(0,AD781-IF($A791&gt;='1-Input'!$C$12,'1-Input'!$B$12,0))))*(1/(1-'P-Parametri'!$B$6*AD791))),MAX(0,0*AD781-(AH790-MIN(MAX(AH790,0),MAX(0,AD781-IF($A791&gt;='1-Input'!$C$12,'1-Input'!$B$12,0)))))*(1/(1-'P-Parametri'!$B$6*AD791))))</f>
        <v>20465.080086964117</v>
      </c>
      <c r="AF791" s="18">
        <f>IF($A791&gt;('1-Input'!$B$26+3),AH790,(AH790-MAX(0,AD781-IF($A791&gt;='1-Input'!$C$12,'1-Input'!$B$12,0))+AE791*(1-'P-Parametri'!$B$6*AD791))*(1+'1-Input'!$B$27))</f>
        <v>0</v>
      </c>
      <c r="AG791" s="18">
        <f>IF($A791&gt;('1-Input'!$B$26+3),AI790,(AI790-AE791)*(1+'5-Roberta'!$C$4))</f>
        <v>365875.9886001813</v>
      </c>
      <c r="AH791" s="18">
        <f>IF($A791&gt;('1-Input'!$B$26+3),AF791,AF791-'P-Parametri'!$B$8*(AG791+AF791)+MIN(MAX(AG791,0),'P-Parametri'!$B$8*(AG791+AF791)))</f>
        <v>0</v>
      </c>
      <c r="AI791" s="18">
        <f>IF($A791&gt;('1-Input'!$B$26+3),AG791,AG791-MIN(MAX(AG791,0),'P-Parametri'!$B$8*(AG791+AF791)))</f>
        <v>365144.23662298091</v>
      </c>
      <c r="AJ791" s="18">
        <f>IF($A791&gt;('1-Input'!$B$26+3),AJ790,AJ790-AE791*(1-AD791))</f>
        <v>229530.73054937448</v>
      </c>
      <c r="AK791" s="11">
        <f>IF($A791&gt;('1-Input'!$B$26+3),0,IF(AP790&lt;=0,0,MAX(0,(AP790-AQ790)/AP790)))</f>
        <v>0.35383392233425565</v>
      </c>
      <c r="AL791" s="18">
        <f>IF($A791&gt;('1-Input'!$B$26+3),0,(MAX(0,AK781-IF($A791&gt;='1-Input'!$C$12,'1-Input'!$B$12,0))-MIN(MAX(AO790,0),MAX(0,AK781-IF($A791&gt;='1-Input'!$C$12,'1-Input'!$B$12,0))))*(1/(1-'P-Parametri'!$B$6*AK791))+MIN(MAX(0,AP790-(MAX(0,AK781-IF($A791&gt;='1-Input'!$C$12,'1-Input'!$B$12,0))-MIN(MAX(AO790,0),MAX(0,AK781-IF($A791&gt;='1-Input'!$C$12,'1-Input'!$B$12,0))))*(1/(1-'P-Parametri'!$B$6*AK791))),MAX(0,0*AK781-(AO790-MIN(MAX(AO790,0),MAX(0,AK781-IF($A791&gt;='1-Input'!$C$12,'1-Input'!$B$12,0)))))*(1/(1-'P-Parametri'!$B$6*AK791))))</f>
        <v>20463.070292300457</v>
      </c>
      <c r="AM791" s="18">
        <f>IF($A791&gt;('1-Input'!$B$26+3),AO790,(AO790-MAX(0,AK781-IF($A791&gt;='1-Input'!$C$12,'1-Input'!$B$12,0))+AL791*(1-'P-Parametri'!$B$6*AK791))*(1+'1-Input'!$B$27))</f>
        <v>0</v>
      </c>
      <c r="AN791" s="18">
        <f>IF($A791&gt;('1-Input'!$B$26+3),AP790,(AP790-AL791)*(1+'5-Roberta'!$C$4))</f>
        <v>365893.90786638716</v>
      </c>
      <c r="AO791" s="18">
        <f>IF($A791&gt;('1-Input'!$B$26+3),AM791,AM791-'P-Parametri'!$B$8*(AN791+AM791)+MIN(MAX(AN791,0),'P-Parametri'!$B$8*(AN791+AM791)))</f>
        <v>0</v>
      </c>
      <c r="AP791" s="18">
        <f>IF($A791&gt;('1-Input'!$B$26+3),AN791,AN791-MIN(MAX(AN791,0),'P-Parametri'!$B$8*(AN791+AM791)))</f>
        <v>365162.1200506544</v>
      </c>
      <c r="AQ791" s="18">
        <f>IF($A791&gt;('1-Input'!$B$26+3),AQ790,AQ790-AL791*(1-AK791))</f>
        <v>229541.97212409187</v>
      </c>
    </row>
    <row r="792" spans="1:43">
      <c r="A792" s="10">
        <f>9</f>
        <v>9</v>
      </c>
      <c r="B792" s="11">
        <f>IF($A792&gt;('1-Input'!$B$26+3),0,IF(G791&lt;=0,0,MAX(0,(G791-H791)/G791)))</f>
        <v>0.37139708770381102</v>
      </c>
      <c r="C792" s="18">
        <f>IF($A792&gt;('1-Input'!$B$26+3),0,(MAX(0,B781-IF($A792&gt;='1-Input'!$C$12,'1-Input'!$B$12,0))-MIN(MAX(F791,0),MAX(0,B781-IF($A792&gt;='1-Input'!$C$12,'1-Input'!$B$12,0))))*(1/(1-'P-Parametri'!$B$6*B792))+MIN(MAX(0,G791-(MAX(0,B781-IF($A792&gt;='1-Input'!$C$12,'1-Input'!$B$12,0))-MIN(MAX(F791,0),MAX(0,B781-IF($A792&gt;='1-Input'!$C$12,'1-Input'!$B$12,0))))*(1/(1-'P-Parametri'!$B$6*B792))),MAX(0,0*B781-(F791-MIN(MAX(F791,0),MAX(0,B781-IF($A792&gt;='1-Input'!$C$12,'1-Input'!$B$12,0)))))*(1/(1-'P-Parametri'!$B$6*B792))))</f>
        <v>18463.998926034648</v>
      </c>
      <c r="D792" s="18">
        <f>IF($A792&gt;('1-Input'!$B$26+3),F791,(F791-MAX(0,B781-IF($A792&gt;='1-Input'!$C$12,'1-Input'!$B$12,0))+C792*(1-'P-Parametri'!$B$6*B792))*(1+'1-Input'!$B$27))</f>
        <v>0</v>
      </c>
      <c r="E792" s="18">
        <f>IF($A792&gt;('1-Input'!$B$26+3),G791,(G791-C792)*(1+'5-Roberta'!$C$4))</f>
        <v>376271.75706149999</v>
      </c>
      <c r="F792" s="18">
        <f>IF($A792&gt;('1-Input'!$B$26+3),D792,D792-'P-Parametri'!$B$8*(E792+D792)+MIN(MAX(E792,0),'P-Parametri'!$B$8*(E792+D792)))</f>
        <v>0</v>
      </c>
      <c r="G792" s="18">
        <f>IF($A792&gt;('1-Input'!$B$26+3),E792,E792-MIN(MAX(E792,0),'P-Parametri'!$B$8*(E792+D792)))</f>
        <v>375519.21354737697</v>
      </c>
      <c r="H792" s="18">
        <f>IF($A792&gt;('1-Input'!$B$26+3),H791,H791-C792*(1-B792))</f>
        <v>229636.42942103205</v>
      </c>
      <c r="I792" s="11">
        <f>IF($A792&gt;('1-Input'!$B$26+3),0,IF(N791&lt;=0,0,MAX(0,(N791-O791)/N791)))</f>
        <v>0.37139708770381136</v>
      </c>
      <c r="J792" s="18">
        <f>IF($A792&gt;('1-Input'!$B$26+3),0,(MAX(0,I781-IF($A792&gt;='1-Input'!$C$12,'1-Input'!$B$12,0))-MIN(MAX(M791,0),MAX(0,I781-IF($A792&gt;='1-Input'!$C$12,'1-Input'!$B$12,0))))*(1/(1-'P-Parametri'!$B$6*I792))+MIN(MAX(0,N791-(MAX(0,I781-IF($A792&gt;='1-Input'!$C$12,'1-Input'!$B$12,0))-MIN(MAX(M791,0),MAX(0,I781-IF($A792&gt;='1-Input'!$C$12,'1-Input'!$B$12,0))))*(1/(1-'P-Parametri'!$B$6*I792))),MAX(0,0*I781-(M791-MIN(MAX(M791,0),MAX(0,I781-IF($A792&gt;='1-Input'!$C$12,'1-Input'!$B$12,0)))))*(1/(1-'P-Parametri'!$B$6*I792))))</f>
        <v>24294.735428992972</v>
      </c>
      <c r="K792" s="18">
        <f>IF($A792&gt;('1-Input'!$B$26+3),M791,(M791-MAX(0,I781-IF($A792&gt;='1-Input'!$C$12,'1-Input'!$B$12,0))+J792*(1-'P-Parametri'!$B$6*I792))*(1+'1-Input'!$B$27))</f>
        <v>0</v>
      </c>
      <c r="L792" s="18">
        <f>IF($A792&gt;('1-Input'!$B$26+3),N791,(N791-J792)*(1+'5-Roberta'!$C$4))</f>
        <v>317095.67723909963</v>
      </c>
      <c r="M792" s="18">
        <f>IF($A792&gt;('1-Input'!$B$26+3),K792,K792-'P-Parametri'!$B$8*(L792+K792)+MIN(MAX(L792,0),'P-Parametri'!$B$8*(L792+K792)))</f>
        <v>0</v>
      </c>
      <c r="N792" s="18">
        <f>IF($A792&gt;('1-Input'!$B$26+3),L792,L792-MIN(MAX(L792,0),'P-Parametri'!$B$8*(L792+K792)))</f>
        <v>316461.48588462145</v>
      </c>
      <c r="O792" s="18">
        <f>IF($A792&gt;('1-Input'!$B$26+3),O791,O791-J792*(1-I792))</f>
        <v>193521.61765925269</v>
      </c>
      <c r="P792" s="11">
        <f>IF($A792&gt;('1-Input'!$B$26+3),0,IF(U791&lt;=0,0,MAX(0,(U791-V791)/U791)))</f>
        <v>0.37139708770381119</v>
      </c>
      <c r="Q792" s="18">
        <f>IF($A792&gt;('1-Input'!$B$26+3),0,(MAX(0,P781-IF($A792&gt;='1-Input'!$C$12,'1-Input'!$B$12,0))-MIN(MAX(T791,0),MAX(0,P781-IF($A792&gt;='1-Input'!$C$12,'1-Input'!$B$12,0))))*(1/(1-'P-Parametri'!$B$6*P792))+MIN(MAX(0,U791-(MAX(0,P781-IF($A792&gt;='1-Input'!$C$12,'1-Input'!$B$12,0))-MIN(MAX(T791,0),MAX(0,P781-IF($A792&gt;='1-Input'!$C$12,'1-Input'!$B$12,0))))*(1/(1-'P-Parametri'!$B$6*P792))),MAX(0,0*P781-(T791-MIN(MAX(T791,0),MAX(0,P781-IF($A792&gt;='1-Input'!$C$12,'1-Input'!$B$12,0)))))*(1/(1-'P-Parametri'!$B$6*P792))))</f>
        <v>20838.295357957675</v>
      </c>
      <c r="R792" s="18">
        <f>IF($A792&gt;('1-Input'!$B$26+3),T791,(T791-MAX(0,P781-IF($A792&gt;='1-Input'!$C$12,'1-Input'!$B$12,0))+Q792*(1-'P-Parametri'!$B$6*P792))*(1+'1-Input'!$B$27))</f>
        <v>0</v>
      </c>
      <c r="S792" s="18">
        <f>IF($A792&gt;('1-Input'!$B$26+3),U791,(U791-Q792)*(1+'5-Roberta'!$C$4))</f>
        <v>352175.04902020335</v>
      </c>
      <c r="T792" s="18">
        <f>IF($A792&gt;('1-Input'!$B$26+3),R792,R792-'P-Parametri'!$B$8*(S792+R792)+MIN(MAX(S792,0),'P-Parametri'!$B$8*(S792+R792)))</f>
        <v>0</v>
      </c>
      <c r="U792" s="18">
        <f>IF($A792&gt;('1-Input'!$B$26+3),S792,S792-MIN(MAX(S792,0),'P-Parametri'!$B$8*(S792+R792)))</f>
        <v>351470.69892216293</v>
      </c>
      <c r="V792" s="18">
        <f>IF($A792&gt;('1-Input'!$B$26+3),V791,V791-Q792*(1-P792))</f>
        <v>214930.35092442026</v>
      </c>
      <c r="W792" s="11">
        <f>IF($A792&gt;('1-Input'!$B$26+3),0,IF(AB791&lt;=0,0,MAX(0,(AB791-AC791)/AB791)))</f>
        <v>0.3713970877038108</v>
      </c>
      <c r="X792" s="18">
        <f>IF($A792&gt;('1-Input'!$B$26+3),0,(MAX(0,W781-IF($A792&gt;='1-Input'!$C$12,'1-Input'!$B$12,0))-MIN(MAX(AA791,0),MAX(0,W781-IF($A792&gt;='1-Input'!$C$12,'1-Input'!$B$12,0))))*(1/(1-'P-Parametri'!$B$6*W792))+MIN(MAX(0,AB791-(MAX(0,W781-IF($A792&gt;='1-Input'!$C$12,'1-Input'!$B$12,0))-MIN(MAX(AA791,0),MAX(0,W781-IF($A792&gt;='1-Input'!$C$12,'1-Input'!$B$12,0))))*(1/(1-'P-Parametri'!$B$6*W792))),MAX(0,0*W781-(AA791-MIN(MAX(AA791,0),MAX(0,W781-IF($A792&gt;='1-Input'!$C$12,'1-Input'!$B$12,0)))))*(1/(1-'P-Parametri'!$B$6*W792))))</f>
        <v>20553.792989999733</v>
      </c>
      <c r="Y792" s="18">
        <f>IF($A792&gt;('1-Input'!$B$26+3),AA791,(AA791-MAX(0,W781-IF($A792&gt;='1-Input'!$C$12,'1-Input'!$B$12,0))+X792*(1-'P-Parametri'!$B$6*W792))*(1+'1-Input'!$B$27))</f>
        <v>0</v>
      </c>
      <c r="Z792" s="18">
        <f>IF($A792&gt;('1-Input'!$B$26+3),AB791,(AB791-X792)*(1+'5-Roberta'!$C$4))</f>
        <v>355062.46038365597</v>
      </c>
      <c r="AA792" s="18">
        <f>IF($A792&gt;('1-Input'!$B$26+3),Y792,Y792-'P-Parametri'!$B$8*(Z792+Y792)+MIN(MAX(Z792,0),'P-Parametri'!$B$8*(Z792+Y792)))</f>
        <v>0</v>
      </c>
      <c r="AB792" s="18">
        <f>IF($A792&gt;('1-Input'!$B$26+3),Z792,Z792-MIN(MAX(Z792,0),'P-Parametri'!$B$8*(Z792+Y792)))</f>
        <v>354352.33546288864</v>
      </c>
      <c r="AC792" s="18">
        <f>IF($A792&gt;('1-Input'!$B$26+3),AC791,AC791-X792*(1-W792))</f>
        <v>216692.52101380238</v>
      </c>
      <c r="AD792" s="11">
        <f>IF($A792&gt;('1-Input'!$B$26+3),0,IF(AI791&lt;=0,0,MAX(0,(AI791-AJ791)/AI791)))</f>
        <v>0.37139708770381119</v>
      </c>
      <c r="AE792" s="18">
        <f>IF($A792&gt;('1-Input'!$B$26+3),0,(MAX(0,AD781-IF($A792&gt;='1-Input'!$C$12,'1-Input'!$B$12,0))-MIN(MAX(AH791,0),MAX(0,AD781-IF($A792&gt;='1-Input'!$C$12,'1-Input'!$B$12,0))))*(1/(1-'P-Parametri'!$B$6*AD792))+MIN(MAX(0,AI791-(MAX(0,AD781-IF($A792&gt;='1-Input'!$C$12,'1-Input'!$B$12,0))-MIN(MAX(AH791,0),MAX(0,AD781-IF($A792&gt;='1-Input'!$C$12,'1-Input'!$B$12,0))))*(1/(1-'P-Parametri'!$B$6*AD792))),MAX(0,0*AD781-(AH791-MIN(MAX(AH791,0),MAX(0,AD781-IF($A792&gt;='1-Input'!$C$12,'1-Input'!$B$12,0)))))*(1/(1-'P-Parametri'!$B$6*AD792))))</f>
        <v>20568.520877458148</v>
      </c>
      <c r="AF792" s="18">
        <f>IF($A792&gt;('1-Input'!$B$26+3),AH791,(AH791-MAX(0,AD781-IF($A792&gt;='1-Input'!$C$12,'1-Input'!$B$12,0))+AE792*(1-'P-Parametri'!$B$6*AD792))*(1+'1-Input'!$B$27))</f>
        <v>0</v>
      </c>
      <c r="AG792" s="18">
        <f>IF($A792&gt;('1-Input'!$B$26+3),AI791,(AI791-AE792)*(1+'5-Roberta'!$C$4))</f>
        <v>354912.98721788847</v>
      </c>
      <c r="AH792" s="18">
        <f>IF($A792&gt;('1-Input'!$B$26+3),AF792,AF792-'P-Parametri'!$B$8*(AG792+AF792)+MIN(MAX(AG792,0),'P-Parametri'!$B$8*(AG792+AF792)))</f>
        <v>0</v>
      </c>
      <c r="AI792" s="18">
        <f>IF($A792&gt;('1-Input'!$B$26+3),AG792,AG792-MIN(MAX(AG792,0),'P-Parametri'!$B$8*(AG792+AF792)))</f>
        <v>354203.16124345269</v>
      </c>
      <c r="AJ792" s="18">
        <f>IF($A792&gt;('1-Input'!$B$26+3),AJ791,AJ791-AE792*(1-AD792))</f>
        <v>216601.29842417932</v>
      </c>
      <c r="AK792" s="11">
        <f>IF($A792&gt;('1-Input'!$B$26+3),0,IF(AP791&lt;=0,0,MAX(0,(AP791-AQ791)/AP791)))</f>
        <v>0.37139708770381119</v>
      </c>
      <c r="AL792" s="18">
        <f>IF($A792&gt;('1-Input'!$B$26+3),0,(MAX(0,AK781-IF($A792&gt;='1-Input'!$C$12,'1-Input'!$B$12,0))-MIN(MAX(AO791,0),MAX(0,AK781-IF($A792&gt;='1-Input'!$C$12,'1-Input'!$B$12,0))))*(1/(1-'P-Parametri'!$B$6*AK792))+MIN(MAX(0,AP791-(MAX(0,AK781-IF($A792&gt;='1-Input'!$C$12,'1-Input'!$B$12,0))-MIN(MAX(AO791,0),MAX(0,AK781-IF($A792&gt;='1-Input'!$C$12,'1-Input'!$B$12,0))))*(1/(1-'P-Parametri'!$B$6*AK792))),MAX(0,0*AK781-(AO791-MIN(MAX(AO791,0),MAX(0,AK781-IF($A792&gt;='1-Input'!$C$12,'1-Input'!$B$12,0)))))*(1/(1-'P-Parametri'!$B$6*AK792))))</f>
        <v>20566.500924283118</v>
      </c>
      <c r="AM792" s="18">
        <f>IF($A792&gt;('1-Input'!$B$26+3),AO791,(AO791-MAX(0,AK781-IF($A792&gt;='1-Input'!$C$12,'1-Input'!$B$12,0))+AL792*(1-'P-Parametri'!$B$6*AK792))*(1+'1-Input'!$B$27))</f>
        <v>0</v>
      </c>
      <c r="AN792" s="18">
        <f>IF($A792&gt;('1-Input'!$B$26+3),AP791,(AP791-AL792)*(1+'5-Roberta'!$C$4))</f>
        <v>354933.48770016246</v>
      </c>
      <c r="AO792" s="18">
        <f>IF($A792&gt;('1-Input'!$B$26+3),AM792,AM792-'P-Parametri'!$B$8*(AN792+AM792)+MIN(MAX(AN792,0),'P-Parametri'!$B$8*(AN792+AM792)))</f>
        <v>0</v>
      </c>
      <c r="AP792" s="18">
        <f>IF($A792&gt;('1-Input'!$B$26+3),AN792,AN792-MIN(MAX(AN792,0),'P-Parametri'!$B$8*(AN792+AM792)))</f>
        <v>354223.62072476215</v>
      </c>
      <c r="AQ792" s="18">
        <f>IF($A792&gt;('1-Input'!$B$26+3),AQ791,AQ791-AL792*(1-AK792))</f>
        <v>216613.80974734525</v>
      </c>
    </row>
    <row r="793" spans="1:43">
      <c r="A793" s="10">
        <f>10</f>
        <v>10</v>
      </c>
      <c r="B793" s="11">
        <f>IF($A793&gt;('1-Input'!$B$26+3),0,IF(G792&lt;=0,0,MAX(0,(G792-H792)/G792)))</f>
        <v>0.38848287614433819</v>
      </c>
      <c r="C793" s="18">
        <f>IF($A793&gt;('1-Input'!$B$26+3),0,(MAX(0,B781-IF($A793&gt;='1-Input'!$C$12,'1-Input'!$B$12,0))-MIN(MAX(F792,0),MAX(0,B781-IF($A793&gt;='1-Input'!$C$12,'1-Input'!$B$12,0))))*(1/(1-'P-Parametri'!$B$6*B793))+MIN(MAX(0,G792-(MAX(0,B781-IF($A793&gt;='1-Input'!$C$12,'1-Input'!$B$12,0))-MIN(MAX(F792,0),MAX(0,B781-IF($A793&gt;='1-Input'!$C$12,'1-Input'!$B$12,0))))*(1/(1-'P-Parametri'!$B$6*B793))),MAX(0,0*B781-(F792-MIN(MAX(F792,0),MAX(0,B781-IF($A793&gt;='1-Input'!$C$12,'1-Input'!$B$12,0)))))*(1/(1-'P-Parametri'!$B$6*B793))))</f>
        <v>18555.237213932091</v>
      </c>
      <c r="D793" s="18">
        <f>IF($A793&gt;('1-Input'!$B$26+3),F792,(F792-MAX(0,B781-IF($A793&gt;='1-Input'!$C$12,'1-Input'!$B$12,0))+C793*(1-'P-Parametri'!$B$6*B793))*(1+'1-Input'!$B$27))</f>
        <v>0</v>
      </c>
      <c r="E793" s="18">
        <f>IF($A793&gt;('1-Input'!$B$26+3),G792,(G792-C793)*(1+'5-Roberta'!$C$4))</f>
        <v>367672.89562344825</v>
      </c>
      <c r="F793" s="18">
        <f>IF($A793&gt;('1-Input'!$B$26+3),D793,D793-'P-Parametri'!$B$8*(E793+D793)+MIN(MAX(E793,0),'P-Parametri'!$B$8*(E793+D793)))</f>
        <v>0</v>
      </c>
      <c r="G793" s="18">
        <f>IF($A793&gt;('1-Input'!$B$26+3),E793,E793-MIN(MAX(E793,0),'P-Parametri'!$B$8*(E793+D793)))</f>
        <v>366937.54983220133</v>
      </c>
      <c r="H793" s="18">
        <f>IF($A793&gt;('1-Input'!$B$26+3),H792,H792-C793*(1-B793))</f>
        <v>218289.58412750874</v>
      </c>
      <c r="I793" s="11">
        <f>IF($A793&gt;('1-Input'!$B$26+3),0,IF(N792&lt;=0,0,MAX(0,(N792-O792)/N792)))</f>
        <v>0.38848287614433863</v>
      </c>
      <c r="J793" s="18">
        <f>IF($A793&gt;('1-Input'!$B$26+3),0,(MAX(0,I781-IF($A793&gt;='1-Input'!$C$12,'1-Input'!$B$12,0))-MIN(MAX(M792,0),MAX(0,I781-IF($A793&gt;='1-Input'!$C$12,'1-Input'!$B$12,0))))*(1/(1-'P-Parametri'!$B$6*I793))+MIN(MAX(0,N792-(MAX(0,I781-IF($A793&gt;='1-Input'!$C$12,'1-Input'!$B$12,0))-MIN(MAX(M792,0),MAX(0,I781-IF($A793&gt;='1-Input'!$C$12,'1-Input'!$B$12,0))))*(1/(1-'P-Parametri'!$B$6*I793))),MAX(0,0*I781-(M792-MIN(MAX(M792,0),MAX(0,I781-IF($A793&gt;='1-Input'!$C$12,'1-Input'!$B$12,0)))))*(1/(1-'P-Parametri'!$B$6*I793))))</f>
        <v>24414.785807805387</v>
      </c>
      <c r="K793" s="18">
        <f>IF($A793&gt;('1-Input'!$B$26+3),M792,(M792-MAX(0,I781-IF($A793&gt;='1-Input'!$C$12,'1-Input'!$B$12,0))+J793*(1-'P-Parametri'!$B$6*I793))*(1+'1-Input'!$B$27))</f>
        <v>0</v>
      </c>
      <c r="L793" s="18">
        <f>IF($A793&gt;('1-Input'!$B$26+3),N792,(N792-J793)*(1+'5-Roberta'!$C$4))</f>
        <v>300808.10107912059</v>
      </c>
      <c r="M793" s="18">
        <f>IF($A793&gt;('1-Input'!$B$26+3),K793,K793-'P-Parametri'!$B$8*(L793+K793)+MIN(MAX(L793,0),'P-Parametri'!$B$8*(L793+K793)))</f>
        <v>0</v>
      </c>
      <c r="N793" s="18">
        <f>IF($A793&gt;('1-Input'!$B$26+3),L793,L793-MIN(MAX(L793,0),'P-Parametri'!$B$8*(L793+K793)))</f>
        <v>300206.48487696238</v>
      </c>
      <c r="O793" s="18">
        <f>IF($A793&gt;('1-Input'!$B$26+3),O792,O792-J793*(1-I793))</f>
        <v>178591.55806251153</v>
      </c>
      <c r="P793" s="11">
        <f>IF($A793&gt;('1-Input'!$B$26+3),0,IF(U792&lt;=0,0,MAX(0,(U792-V792)/U792)))</f>
        <v>0.38848287614433841</v>
      </c>
      <c r="Q793" s="18">
        <f>IF($A793&gt;('1-Input'!$B$26+3),0,(MAX(0,P781-IF($A793&gt;='1-Input'!$C$12,'1-Input'!$B$12,0))-MIN(MAX(T792,0),MAX(0,P781-IF($A793&gt;='1-Input'!$C$12,'1-Input'!$B$12,0))))*(1/(1-'P-Parametri'!$B$6*P793))+MIN(MAX(0,U792-(MAX(0,P781-IF($A793&gt;='1-Input'!$C$12,'1-Input'!$B$12,0))-MIN(MAX(T792,0),MAX(0,P781-IF($A793&gt;='1-Input'!$C$12,'1-Input'!$B$12,0))))*(1/(1-'P-Parametri'!$B$6*P793))),MAX(0,0*P781-(T792-MIN(MAX(T792,0),MAX(0,P781-IF($A793&gt;='1-Input'!$C$12,'1-Input'!$B$12,0)))))*(1/(1-'P-Parametri'!$B$6*P793))))</f>
        <v>20941.266030712675</v>
      </c>
      <c r="R793" s="18">
        <f>IF($A793&gt;('1-Input'!$B$26+3),T792,(T792-MAX(0,P781-IF($A793&gt;='1-Input'!$C$12,'1-Input'!$B$12,0))+Q793*(1-'P-Parametri'!$B$6*P793))*(1+'1-Input'!$B$27))</f>
        <v>0</v>
      </c>
      <c r="S793" s="18">
        <f>IF($A793&gt;('1-Input'!$B$26+3),U792,(U792-Q793)*(1+'5-Roberta'!$C$4))</f>
        <v>340445.31587819377</v>
      </c>
      <c r="T793" s="18">
        <f>IF($A793&gt;('1-Input'!$B$26+3),R793,R793-'P-Parametri'!$B$8*(S793+R793)+MIN(MAX(S793,0),'P-Parametri'!$B$8*(S793+R793)))</f>
        <v>0</v>
      </c>
      <c r="U793" s="18">
        <f>IF($A793&gt;('1-Input'!$B$26+3),S793,S793-MIN(MAX(S793,0),'P-Parametri'!$B$8*(S793+R793)))</f>
        <v>339764.42524643737</v>
      </c>
      <c r="V793" s="18">
        <f>IF($A793&gt;('1-Input'!$B$26+3),V792,V792-Q793*(1-P793))</f>
        <v>202124.40815142257</v>
      </c>
      <c r="W793" s="11">
        <f>IF($A793&gt;('1-Input'!$B$26+3),0,IF(AB792&lt;=0,0,MAX(0,(AB792-AC792)/AB792)))</f>
        <v>0.38848287614433796</v>
      </c>
      <c r="X793" s="18">
        <f>IF($A793&gt;('1-Input'!$B$26+3),0,(MAX(0,W781-IF($A793&gt;='1-Input'!$C$12,'1-Input'!$B$12,0))-MIN(MAX(AA792,0),MAX(0,W781-IF($A793&gt;='1-Input'!$C$12,'1-Input'!$B$12,0))))*(1/(1-'P-Parametri'!$B$6*W793))+MIN(MAX(0,AB792-(MAX(0,W781-IF($A793&gt;='1-Input'!$C$12,'1-Input'!$B$12,0))-MIN(MAX(AA792,0),MAX(0,W781-IF($A793&gt;='1-Input'!$C$12,'1-Input'!$B$12,0))))*(1/(1-'P-Parametri'!$B$6*W793))),MAX(0,0*W781-(AA792-MIN(MAX(AA792,0),MAX(0,W781-IF($A793&gt;='1-Input'!$C$12,'1-Input'!$B$12,0)))))*(1/(1-'P-Parametri'!$B$6*W793))))</f>
        <v>20655.357818383785</v>
      </c>
      <c r="Y793" s="18">
        <f>IF($A793&gt;('1-Input'!$B$26+3),AA792,(AA792-MAX(0,W781-IF($A793&gt;='1-Input'!$C$12,'1-Input'!$B$12,0))+X793*(1-'P-Parametri'!$B$6*W793))*(1+'1-Input'!$B$27))</f>
        <v>0</v>
      </c>
      <c r="Z793" s="18">
        <f>IF($A793&gt;('1-Input'!$B$26+3),AB792,(AB792-X793)*(1+'5-Roberta'!$C$4))</f>
        <v>343707.88697384001</v>
      </c>
      <c r="AA793" s="18">
        <f>IF($A793&gt;('1-Input'!$B$26+3),Y793,Y793-'P-Parametri'!$B$8*(Z793+Y793)+MIN(MAX(Z793,0),'P-Parametri'!$B$8*(Z793+Y793)))</f>
        <v>0</v>
      </c>
      <c r="AB793" s="18">
        <f>IF($A793&gt;('1-Input'!$B$26+3),Z793,Z793-MIN(MAX(Z793,0),'P-Parametri'!$B$8*(Z793+Y793)))</f>
        <v>343020.47119989234</v>
      </c>
      <c r="AC793" s="18">
        <f>IF($A793&gt;('1-Input'!$B$26+3),AC792,AC792-X793*(1-W793))</f>
        <v>204061.41600849477</v>
      </c>
      <c r="AD793" s="11">
        <f>IF($A793&gt;('1-Input'!$B$26+3),0,IF(AI792&lt;=0,0,MAX(0,(AI792-AJ792)/AI792)))</f>
        <v>0.38848287614433846</v>
      </c>
      <c r="AE793" s="18">
        <f>IF($A793&gt;('1-Input'!$B$26+3),0,(MAX(0,AD781-IF($A793&gt;='1-Input'!$C$12,'1-Input'!$B$12,0))-MIN(MAX(AH792,0),MAX(0,AD781-IF($A793&gt;='1-Input'!$C$12,'1-Input'!$B$12,0))))*(1/(1-'P-Parametri'!$B$6*AD793))+MIN(MAX(0,AI792-(MAX(0,AD781-IF($A793&gt;='1-Input'!$C$12,'1-Input'!$B$12,0))-MIN(MAX(AH792,0),MAX(0,AD781-IF($A793&gt;='1-Input'!$C$12,'1-Input'!$B$12,0))))*(1/(1-'P-Parametri'!$B$6*AD793))),MAX(0,0*AD781-(AH792-MIN(MAX(AH792,0),MAX(0,AD781-IF($A793&gt;='1-Input'!$C$12,'1-Input'!$B$12,0)))))*(1/(1-'P-Parametri'!$B$6*AD793))))</f>
        <v>20670.158482451505</v>
      </c>
      <c r="AF793" s="18">
        <f>IF($A793&gt;('1-Input'!$B$26+3),AH792,(AH792-MAX(0,AD781-IF($A793&gt;='1-Input'!$C$12,'1-Input'!$B$12,0))+AE793*(1-'P-Parametri'!$B$6*AD793))*(1+'1-Input'!$B$27))</f>
        <v>0</v>
      </c>
      <c r="AG793" s="18">
        <f>IF($A793&gt;('1-Input'!$B$26+3),AI792,(AI792-AE793)*(1+'5-Roberta'!$C$4))</f>
        <v>343538.99284383119</v>
      </c>
      <c r="AH793" s="18">
        <f>IF($A793&gt;('1-Input'!$B$26+3),AF793,AF793-'P-Parametri'!$B$8*(AG793+AF793)+MIN(MAX(AG793,0),'P-Parametri'!$B$8*(AG793+AF793)))</f>
        <v>0</v>
      </c>
      <c r="AI793" s="18">
        <f>IF($A793&gt;('1-Input'!$B$26+3),AG793,AG793-MIN(MAX(AG793,0),'P-Parametri'!$B$8*(AG793+AF793)))</f>
        <v>342851.91485814354</v>
      </c>
      <c r="AJ793" s="18">
        <f>IF($A793&gt;('1-Input'!$B$26+3),AJ792,AJ792-AE793*(1-AD793))</f>
        <v>203961.14255934986</v>
      </c>
      <c r="AK793" s="11">
        <f>IF($A793&gt;('1-Input'!$B$26+3),0,IF(AP792&lt;=0,0,MAX(0,(AP792-AQ792)/AP792)))</f>
        <v>0.38848287614433846</v>
      </c>
      <c r="AL793" s="18">
        <f>IF($A793&gt;('1-Input'!$B$26+3),0,(MAX(0,AK781-IF($A793&gt;='1-Input'!$C$12,'1-Input'!$B$12,0))-MIN(MAX(AO792,0),MAX(0,AK781-IF($A793&gt;='1-Input'!$C$12,'1-Input'!$B$12,0))))*(1/(1-'P-Parametri'!$B$6*AK793))+MIN(MAX(0,AP792-(MAX(0,AK781-IF($A793&gt;='1-Input'!$C$12,'1-Input'!$B$12,0))-MIN(MAX(AO792,0),MAX(0,AK781-IF($A793&gt;='1-Input'!$C$12,'1-Input'!$B$12,0))))*(1/(1-'P-Parametri'!$B$6*AK793))),MAX(0,0*AK781-(AO792-MIN(MAX(AO792,0),MAX(0,AK781-IF($A793&gt;='1-Input'!$C$12,'1-Input'!$B$12,0)))))*(1/(1-'P-Parametri'!$B$6*AK793))))</f>
        <v>20668.128547848828</v>
      </c>
      <c r="AM793" s="18">
        <f>IF($A793&gt;('1-Input'!$B$26+3),AO792,(AO792-MAX(0,AK781-IF($A793&gt;='1-Input'!$C$12,'1-Input'!$B$12,0))+AL793*(1-'P-Parametri'!$B$6*AK793))*(1+'1-Input'!$B$27))</f>
        <v>0</v>
      </c>
      <c r="AN793" s="18">
        <f>IF($A793&gt;('1-Input'!$B$26+3),AP792,(AP792-AL793)*(1+'5-Roberta'!$C$4))</f>
        <v>343562.1569422207</v>
      </c>
      <c r="AO793" s="18">
        <f>IF($A793&gt;('1-Input'!$B$26+3),AM793,AM793-'P-Parametri'!$B$8*(AN793+AM793)+MIN(MAX(AN793,0),'P-Parametri'!$B$8*(AN793+AM793)))</f>
        <v>0</v>
      </c>
      <c r="AP793" s="18">
        <f>IF($A793&gt;('1-Input'!$B$26+3),AN793,AN793-MIN(MAX(AN793,0),'P-Parametri'!$B$8*(AN793+AM793)))</f>
        <v>342875.03262833628</v>
      </c>
      <c r="AQ793" s="18">
        <f>IF($A793&gt;('1-Input'!$B$26+3),AQ792,AQ792-AL793*(1-AK793))</f>
        <v>203974.89522228565</v>
      </c>
    </row>
    <row r="794" spans="1:43">
      <c r="A794" s="10">
        <f>11</f>
        <v>11</v>
      </c>
      <c r="B794" s="11">
        <f>IF($A794&gt;('1-Input'!$B$26+3),0,IF(G793&lt;=0,0,MAX(0,(G793-H793)/G793)))</f>
        <v>0.40510426303513647</v>
      </c>
      <c r="C794" s="18">
        <f>IF($A794&gt;('1-Input'!$B$26+3),0,(MAX(0,B781-IF($A794&gt;='1-Input'!$C$12,'1-Input'!$B$12,0))-MIN(MAX(F793,0),MAX(0,B781-IF($A794&gt;='1-Input'!$C$12,'1-Input'!$B$12,0))))*(1/(1-'P-Parametri'!$B$6*B794))+MIN(MAX(0,G793-(MAX(0,B781-IF($A794&gt;='1-Input'!$C$12,'1-Input'!$B$12,0))-MIN(MAX(F793,0),MAX(0,B781-IF($A794&gt;='1-Input'!$C$12,'1-Input'!$B$12,0))))*(1/(1-'P-Parametri'!$B$6*B794))),MAX(0,0*B781-(F793-MIN(MAX(F793,0),MAX(0,B781-IF($A794&gt;='1-Input'!$C$12,'1-Input'!$B$12,0)))))*(1/(1-'P-Parametri'!$B$6*B794))))</f>
        <v>18644.865035076062</v>
      </c>
      <c r="D794" s="18">
        <f>IF($A794&gt;('1-Input'!$B$26+3),F793,(F793-MAX(0,B781-IF($A794&gt;='1-Input'!$C$12,'1-Input'!$B$12,0))+C794*(1-'P-Parametri'!$B$6*B794))*(1+'1-Input'!$B$27))</f>
        <v>0</v>
      </c>
      <c r="E794" s="18">
        <f>IF($A794&gt;('1-Input'!$B$26+3),G793,(G793-C794)*(1+'5-Roberta'!$C$4))</f>
        <v>358741.46534103906</v>
      </c>
      <c r="F794" s="18">
        <f>IF($A794&gt;('1-Input'!$B$26+3),D794,D794-'P-Parametri'!$B$8*(E794+D794)+MIN(MAX(E794,0),'P-Parametri'!$B$8*(E794+D794)))</f>
        <v>0</v>
      </c>
      <c r="G794" s="18">
        <f>IF($A794&gt;('1-Input'!$B$26+3),E794,E794-MIN(MAX(E794,0),'P-Parametri'!$B$8*(E794+D794)))</f>
        <v>358023.98241035698</v>
      </c>
      <c r="H794" s="18">
        <f>IF($A794&gt;('1-Input'!$B$26+3),H793,H793-C794*(1-B794))</f>
        <v>207197.83340185677</v>
      </c>
      <c r="I794" s="11">
        <f>IF($A794&gt;('1-Input'!$B$26+3),0,IF(N793&lt;=0,0,MAX(0,(N793-O793)/N793)))</f>
        <v>0.40510426303513702</v>
      </c>
      <c r="J794" s="18">
        <f>IF($A794&gt;('1-Input'!$B$26+3),0,(MAX(0,I781-IF($A794&gt;='1-Input'!$C$12,'1-Input'!$B$12,0))-MIN(MAX(M793,0),MAX(0,I781-IF($A794&gt;='1-Input'!$C$12,'1-Input'!$B$12,0))))*(1/(1-'P-Parametri'!$B$6*I794))+MIN(MAX(0,N793-(MAX(0,I781-IF($A794&gt;='1-Input'!$C$12,'1-Input'!$B$12,0))-MIN(MAX(M793,0),MAX(0,I781-IF($A794&gt;='1-Input'!$C$12,'1-Input'!$B$12,0))))*(1/(1-'P-Parametri'!$B$6*I794))),MAX(0,0*I781-(M793-MIN(MAX(M793,0),MAX(0,I781-IF($A794&gt;='1-Input'!$C$12,'1-Input'!$B$12,0)))))*(1/(1-'P-Parametri'!$B$6*I794))))</f>
        <v>24532.71715141588</v>
      </c>
      <c r="K794" s="18">
        <f>IF($A794&gt;('1-Input'!$B$26+3),M793,(M793-MAX(0,I781-IF($A794&gt;='1-Input'!$C$12,'1-Input'!$B$12,0))+J794*(1-'P-Parametri'!$B$6*I794))*(1+'1-Input'!$B$27))</f>
        <v>3.6248820833861826E-12</v>
      </c>
      <c r="L794" s="18">
        <f>IF($A794&gt;('1-Input'!$B$26+3),N793,(N793-J794)*(1+'5-Roberta'!$C$4))</f>
        <v>283943.98075731291</v>
      </c>
      <c r="M794" s="18">
        <f>IF($A794&gt;('1-Input'!$B$26+3),K794,K794-'P-Parametri'!$B$8*(L794+K794)+MIN(MAX(L794,0),'P-Parametri'!$B$8*(L794+K794)))</f>
        <v>3.637978807091713E-12</v>
      </c>
      <c r="N794" s="18">
        <f>IF($A794&gt;('1-Input'!$B$26+3),L794,L794-MIN(MAX(L794,0),'P-Parametri'!$B$8*(L794+K794)))</f>
        <v>283376.09279579826</v>
      </c>
      <c r="O794" s="18">
        <f>IF($A794&gt;('1-Input'!$B$26+3),O793,O793-J794*(1-I794))</f>
        <v>163997.14921296944</v>
      </c>
      <c r="P794" s="11">
        <f>IF($A794&gt;('1-Input'!$B$26+3),0,IF(U793&lt;=0,0,MAX(0,(U793-V793)/U793)))</f>
        <v>0.40510426303513669</v>
      </c>
      <c r="Q794" s="18">
        <f>IF($A794&gt;('1-Input'!$B$26+3),0,(MAX(0,P781-IF($A794&gt;='1-Input'!$C$12,'1-Input'!$B$12,0))-MIN(MAX(T793,0),MAX(0,P781-IF($A794&gt;='1-Input'!$C$12,'1-Input'!$B$12,0))))*(1/(1-'P-Parametri'!$B$6*P794))+MIN(MAX(0,U793-(MAX(0,P781-IF($A794&gt;='1-Input'!$C$12,'1-Input'!$B$12,0))-MIN(MAX(T793,0),MAX(0,P781-IF($A794&gt;='1-Input'!$C$12,'1-Input'!$B$12,0))))*(1/(1-'P-Parametri'!$B$6*P794))),MAX(0,0*P781-(T793-MIN(MAX(T793,0),MAX(0,P781-IF($A794&gt;='1-Input'!$C$12,'1-Input'!$B$12,0)))))*(1/(1-'P-Parametri'!$B$6*P794))))</f>
        <v>21042.419145851494</v>
      </c>
      <c r="R794" s="18">
        <f>IF($A794&gt;('1-Input'!$B$26+3),T793,(T793-MAX(0,P781-IF($A794&gt;='1-Input'!$C$12,'1-Input'!$B$12,0))+Q794*(1-'P-Parametri'!$B$6*P794))*(1+'1-Input'!$B$27))</f>
        <v>-3.6248820833861826E-12</v>
      </c>
      <c r="S794" s="18">
        <f>IF($A794&gt;('1-Input'!$B$26+3),U793,(U793-Q794)*(1+'5-Roberta'!$C$4))</f>
        <v>328283.66628360347</v>
      </c>
      <c r="T794" s="18">
        <f>IF($A794&gt;('1-Input'!$B$26+3),R794,R794-'P-Parametri'!$B$8*(S794+R794)+MIN(MAX(S794,0),'P-Parametri'!$B$8*(S794+R794)))</f>
        <v>-3.637978807091713E-12</v>
      </c>
      <c r="U794" s="18">
        <f>IF($A794&gt;('1-Input'!$B$26+3),S794,S794-MIN(MAX(S794,0),'P-Parametri'!$B$8*(S794+R794)))</f>
        <v>327627.09895103629</v>
      </c>
      <c r="V794" s="18">
        <f>IF($A794&gt;('1-Input'!$B$26+3),V793,V793-Q794*(1-P794))</f>
        <v>189606.36270612769</v>
      </c>
      <c r="W794" s="11">
        <f>IF($A794&gt;('1-Input'!$B$26+3),0,IF(AB793&lt;=0,0,MAX(0,(AB793-AC793)/AB793)))</f>
        <v>0.4051042630351363</v>
      </c>
      <c r="X794" s="18">
        <f>IF($A794&gt;('1-Input'!$B$26+3),0,(MAX(0,W781-IF($A794&gt;='1-Input'!$C$12,'1-Input'!$B$12,0))-MIN(MAX(AA793,0),MAX(0,W781-IF($A794&gt;='1-Input'!$C$12,'1-Input'!$B$12,0))))*(1/(1-'P-Parametri'!$B$6*W794))+MIN(MAX(0,AB793-(MAX(0,W781-IF($A794&gt;='1-Input'!$C$12,'1-Input'!$B$12,0))-MIN(MAX(AA793,0),MAX(0,W781-IF($A794&gt;='1-Input'!$C$12,'1-Input'!$B$12,0))))*(1/(1-'P-Parametri'!$B$6*W794))),MAX(0,0*W781-(AA793-MIN(MAX(AA793,0),MAX(0,W781-IF($A794&gt;='1-Input'!$C$12,'1-Input'!$B$12,0)))))*(1/(1-'P-Parametri'!$B$6*W794))))</f>
        <v>20755.129904014724</v>
      </c>
      <c r="Y794" s="18">
        <f>IF($A794&gt;('1-Input'!$B$26+3),AA793,(AA793-MAX(0,W781-IF($A794&gt;='1-Input'!$C$12,'1-Input'!$B$12,0))+X794*(1-'P-Parametri'!$B$6*W794))*(1+'1-Input'!$B$27))</f>
        <v>0</v>
      </c>
      <c r="Z794" s="18">
        <f>IF($A794&gt;('1-Input'!$B$26+3),AB793,(AB793-X794)*(1+'5-Roberta'!$C$4))</f>
        <v>331933.30153475399</v>
      </c>
      <c r="AA794" s="18">
        <f>IF($A794&gt;('1-Input'!$B$26+3),Y794,Y794-'P-Parametri'!$B$8*(Z794+Y794)+MIN(MAX(Z794,0),'P-Parametri'!$B$8*(Z794+Y794)))</f>
        <v>0</v>
      </c>
      <c r="AB794" s="18">
        <f>IF($A794&gt;('1-Input'!$B$26+3),Z794,Z794-MIN(MAX(Z794,0),'P-Parametri'!$B$8*(Z794+Y794)))</f>
        <v>331269.43493168446</v>
      </c>
      <c r="AC794" s="18">
        <f>IF($A794&gt;('1-Input'!$B$26+3),AC793,AC793-X794*(1-W794))</f>
        <v>191714.27770844445</v>
      </c>
      <c r="AD794" s="11">
        <f>IF($A794&gt;('1-Input'!$B$26+3),0,IF(AI793&lt;=0,0,MAX(0,(AI793-AJ793)/AI793)))</f>
        <v>0.40510426303513675</v>
      </c>
      <c r="AE794" s="18">
        <f>IF($A794&gt;('1-Input'!$B$26+3),0,(MAX(0,AD781-IF($A794&gt;='1-Input'!$C$12,'1-Input'!$B$12,0))-MIN(MAX(AH793,0),MAX(0,AD781-IF($A794&gt;='1-Input'!$C$12,'1-Input'!$B$12,0))))*(1/(1-'P-Parametri'!$B$6*AD794))+MIN(MAX(0,AI793-(MAX(0,AD781-IF($A794&gt;='1-Input'!$C$12,'1-Input'!$B$12,0))-MIN(MAX(AH793,0),MAX(0,AD781-IF($A794&gt;='1-Input'!$C$12,'1-Input'!$B$12,0))))*(1/(1-'P-Parametri'!$B$6*AD794))),MAX(0,0*AD781-(AH793-MIN(MAX(AH793,0),MAX(0,AD781-IF($A794&gt;='1-Input'!$C$12,'1-Input'!$B$12,0)))))*(1/(1-'P-Parametri'!$B$6*AD794))))</f>
        <v>20770.002060096082</v>
      </c>
      <c r="AF794" s="18">
        <f>IF($A794&gt;('1-Input'!$B$26+3),AH793,(AH793-MAX(0,AD781-IF($A794&gt;='1-Input'!$C$12,'1-Input'!$B$12,0))+AE794*(1-'P-Parametri'!$B$6*AD794))*(1+'1-Input'!$B$27))</f>
        <v>0</v>
      </c>
      <c r="AG794" s="18">
        <f>IF($A794&gt;('1-Input'!$B$26+3),AI793,(AI793-AE794)*(1+'5-Roberta'!$C$4))</f>
        <v>331744.37018198892</v>
      </c>
      <c r="AH794" s="18">
        <f>IF($A794&gt;('1-Input'!$B$26+3),AF794,AF794-'P-Parametri'!$B$8*(AG794+AF794)+MIN(MAX(AG794,0),'P-Parametri'!$B$8*(AG794+AF794)))</f>
        <v>0</v>
      </c>
      <c r="AI794" s="18">
        <f>IF($A794&gt;('1-Input'!$B$26+3),AG794,AG794-MIN(MAX(AG794,0),'P-Parametri'!$B$8*(AG794+AF794)))</f>
        <v>331080.88144162495</v>
      </c>
      <c r="AJ794" s="18">
        <f>IF($A794&gt;('1-Input'!$B$26+3),AJ793,AJ793-AE794*(1-AD794))</f>
        <v>191605.15687704727</v>
      </c>
      <c r="AK794" s="11">
        <f>IF($A794&gt;('1-Input'!$B$26+3),0,IF(AP793&lt;=0,0,MAX(0,(AP793-AQ793)/AP793)))</f>
        <v>0.40510426303513675</v>
      </c>
      <c r="AL794" s="18">
        <f>IF($A794&gt;('1-Input'!$B$26+3),0,(MAX(0,AK781-IF($A794&gt;='1-Input'!$C$12,'1-Input'!$B$12,0))-MIN(MAX(AO793,0),MAX(0,AK781-IF($A794&gt;='1-Input'!$C$12,'1-Input'!$B$12,0))))*(1/(1-'P-Parametri'!$B$6*AK794))+MIN(MAX(0,AP793-(MAX(0,AK781-IF($A794&gt;='1-Input'!$C$12,'1-Input'!$B$12,0))-MIN(MAX(AO793,0),MAX(0,AK781-IF($A794&gt;='1-Input'!$C$12,'1-Input'!$B$12,0))))*(1/(1-'P-Parametri'!$B$6*AK794))),MAX(0,0*AK781-(AO793-MIN(MAX(AO793,0),MAX(0,AK781-IF($A794&gt;='1-Input'!$C$12,'1-Input'!$B$12,0)))))*(1/(1-'P-Parametri'!$B$6*AK794))))</f>
        <v>20767.962320250099</v>
      </c>
      <c r="AM794" s="18">
        <f>IF($A794&gt;('1-Input'!$B$26+3),AO793,(AO793-MAX(0,AK781-IF($A794&gt;='1-Input'!$C$12,'1-Input'!$B$12,0))+AL794*(1-'P-Parametri'!$B$6*AK794))*(1+'1-Input'!$B$27))</f>
        <v>0</v>
      </c>
      <c r="AN794" s="18">
        <f>IF($A794&gt;('1-Input'!$B$26+3),AP793,(AP793-AL794)*(1+'5-Roberta'!$C$4))</f>
        <v>331770.28241732874</v>
      </c>
      <c r="AO794" s="18">
        <f>IF($A794&gt;('1-Input'!$B$26+3),AM794,AM794-'P-Parametri'!$B$8*(AN794+AM794)+MIN(MAX(AN794,0),'P-Parametri'!$B$8*(AN794+AM794)))</f>
        <v>0</v>
      </c>
      <c r="AP794" s="18">
        <f>IF($A794&gt;('1-Input'!$B$26+3),AN794,AN794-MIN(MAX(AN794,0),'P-Parametri'!$B$8*(AN794+AM794)))</f>
        <v>331106.74185249407</v>
      </c>
      <c r="AQ794" s="18">
        <f>IF($A794&gt;('1-Input'!$B$26+3),AQ793,AQ793-AL794*(1-AK794))</f>
        <v>191620.12297252196</v>
      </c>
    </row>
    <row r="795" spans="1:43">
      <c r="A795" s="10">
        <f>12</f>
        <v>12</v>
      </c>
      <c r="B795" s="11">
        <f>IF($A795&gt;('1-Input'!$B$26+3),0,IF(G794&lt;=0,0,MAX(0,(G794-H794)/G794)))</f>
        <v>0.42127387107723846</v>
      </c>
      <c r="C795" s="18">
        <f>IF($A795&gt;('1-Input'!$B$26+3),0,(MAX(0,B781-IF($A795&gt;='1-Input'!$C$12,'1-Input'!$B$12,0))-MIN(MAX(F794,0),MAX(0,B781-IF($A795&gt;='1-Input'!$C$12,'1-Input'!$B$12,0))))*(1/(1-'P-Parametri'!$B$6*B795))+MIN(MAX(0,G794-(MAX(0,B781-IF($A795&gt;='1-Input'!$C$12,'1-Input'!$B$12,0))-MIN(MAX(F794,0),MAX(0,B781-IF($A795&gt;='1-Input'!$C$12,'1-Input'!$B$12,0))))*(1/(1-'P-Parametri'!$B$6*B795))),MAX(0,0*B781-(F794-MIN(MAX(F794,0),MAX(0,B781-IF($A795&gt;='1-Input'!$C$12,'1-Input'!$B$12,0)))))*(1/(1-'P-Parametri'!$B$6*B795))))</f>
        <v>18732.891524123559</v>
      </c>
      <c r="D795" s="18">
        <f>IF($A795&gt;('1-Input'!$B$26+3),F794,(F794-MAX(0,B781-IF($A795&gt;='1-Input'!$C$12,'1-Input'!$B$12,0))+C795*(1-'P-Parametri'!$B$6*B795))*(1+'1-Input'!$B$27))</f>
        <v>0</v>
      </c>
      <c r="E795" s="18">
        <f>IF($A795&gt;('1-Input'!$B$26+3),G794,(G794-C795)*(1+'5-Roberta'!$C$4))</f>
        <v>349469.82361282047</v>
      </c>
      <c r="F795" s="18">
        <f>IF($A795&gt;('1-Input'!$B$26+3),D795,D795-'P-Parametri'!$B$8*(E795+D795)+MIN(MAX(E795,0),'P-Parametri'!$B$8*(E795+D795)))</f>
        <v>0</v>
      </c>
      <c r="G795" s="18">
        <f>IF($A795&gt;('1-Input'!$B$26+3),E795,E795-MIN(MAX(E795,0),'P-Parametri'!$B$8*(E795+D795)))</f>
        <v>348770.88396559481</v>
      </c>
      <c r="H795" s="18">
        <f>IF($A795&gt;('1-Input'!$B$26+3),H794,H794-C795*(1-B795))</f>
        <v>196356.61960657072</v>
      </c>
      <c r="I795" s="11">
        <f>IF($A795&gt;('1-Input'!$B$26+3),0,IF(N794&lt;=0,0,MAX(0,(N794-O794)/N794)))</f>
        <v>0.42127387107723896</v>
      </c>
      <c r="J795" s="18">
        <f>IF($A795&gt;('1-Input'!$B$26+3),0,(MAX(0,I781-IF($A795&gt;='1-Input'!$C$12,'1-Input'!$B$12,0))-MIN(MAX(M794,0),MAX(0,I781-IF($A795&gt;='1-Input'!$C$12,'1-Input'!$B$12,0))))*(1/(1-'P-Parametri'!$B$6*I795))+MIN(MAX(0,N794-(MAX(0,I781-IF($A795&gt;='1-Input'!$C$12,'1-Input'!$B$12,0))-MIN(MAX(M794,0),MAX(0,I781-IF($A795&gt;='1-Input'!$C$12,'1-Input'!$B$12,0))))*(1/(1-'P-Parametri'!$B$6*I795))),MAX(0,0*I781-(M794-MIN(MAX(M794,0),MAX(0,I781-IF($A795&gt;='1-Input'!$C$12,'1-Input'!$B$12,0)))))*(1/(1-'P-Parametri'!$B$6*I795))))</f>
        <v>24648.54147910995</v>
      </c>
      <c r="K795" s="18">
        <f>IF($A795&gt;('1-Input'!$B$26+3),M794,(M794-MAX(0,I781-IF($A795&gt;='1-Input'!$C$12,'1-Input'!$B$12,0))+J795*(1-'P-Parametri'!$B$6*I795))*(1+'1-Input'!$B$27))</f>
        <v>0</v>
      </c>
      <c r="L795" s="18">
        <f>IF($A795&gt;('1-Input'!$B$26+3),N794,(N794-J795)*(1+'5-Roberta'!$C$4))</f>
        <v>266489.37785618898</v>
      </c>
      <c r="M795" s="18">
        <f>IF($A795&gt;('1-Input'!$B$26+3),K795,K795-'P-Parametri'!$B$8*(L795+K795)+MIN(MAX(L795,0),'P-Parametri'!$B$8*(L795+K795)))</f>
        <v>0</v>
      </c>
      <c r="N795" s="18">
        <f>IF($A795&gt;('1-Input'!$B$26+3),L795,L795-MIN(MAX(L795,0),'P-Parametri'!$B$8*(L795+K795)))</f>
        <v>265956.39910047658</v>
      </c>
      <c r="O795" s="18">
        <f>IF($A795&gt;('1-Input'!$B$26+3),O794,O794-J795*(1-I795))</f>
        <v>149732.39421917204</v>
      </c>
      <c r="P795" s="11">
        <f>IF($A795&gt;('1-Input'!$B$26+3),0,IF(U794&lt;=0,0,MAX(0,(U794-V794)/U794)))</f>
        <v>0.42127387107723874</v>
      </c>
      <c r="Q795" s="18">
        <f>IF($A795&gt;('1-Input'!$B$26+3),0,(MAX(0,P781-IF($A795&gt;='1-Input'!$C$12,'1-Input'!$B$12,0))-MIN(MAX(T794,0),MAX(0,P781-IF($A795&gt;='1-Input'!$C$12,'1-Input'!$B$12,0))))*(1/(1-'P-Parametri'!$B$6*P795))+MIN(MAX(0,U794-(MAX(0,P781-IF($A795&gt;='1-Input'!$C$12,'1-Input'!$B$12,0))-MIN(MAX(T794,0),MAX(0,P781-IF($A795&gt;='1-Input'!$C$12,'1-Input'!$B$12,0))))*(1/(1-'P-Parametri'!$B$6*P795))),MAX(0,0*P781-(T794-MIN(MAX(T794,0),MAX(0,P781-IF($A795&gt;='1-Input'!$C$12,'1-Input'!$B$12,0)))))*(1/(1-'P-Parametri'!$B$6*P795))))</f>
        <v>21141.765012662039</v>
      </c>
      <c r="R795" s="18">
        <f>IF($A795&gt;('1-Input'!$B$26+3),T794,(T794-MAX(0,P781-IF($A795&gt;='1-Input'!$C$12,'1-Input'!$B$12,0))+Q795*(1-'P-Parametri'!$B$6*P795))*(1+'1-Input'!$B$27))</f>
        <v>0</v>
      </c>
      <c r="S795" s="18">
        <f>IF($A795&gt;('1-Input'!$B$26+3),U794,(U794-Q795)*(1+'5-Roberta'!$C$4))</f>
        <v>315679.89395652548</v>
      </c>
      <c r="T795" s="18">
        <f>IF($A795&gt;('1-Input'!$B$26+3),R795,R795-'P-Parametri'!$B$8*(S795+R795)+MIN(MAX(S795,0),'P-Parametri'!$B$8*(S795+R795)))</f>
        <v>0</v>
      </c>
      <c r="U795" s="18">
        <f>IF($A795&gt;('1-Input'!$B$26+3),S795,S795-MIN(MAX(S795,0),'P-Parametri'!$B$8*(S795+R795)))</f>
        <v>315048.53416861244</v>
      </c>
      <c r="V795" s="18">
        <f>IF($A795&gt;('1-Input'!$B$26+3),V794,V794-Q795*(1-P795))</f>
        <v>177371.07088175512</v>
      </c>
      <c r="W795" s="11">
        <f>IF($A795&gt;('1-Input'!$B$26+3),0,IF(AB794&lt;=0,0,MAX(0,(AB794-AC794)/AB794)))</f>
        <v>0.42127387107723824</v>
      </c>
      <c r="X795" s="18">
        <f>IF($A795&gt;('1-Input'!$B$26+3),0,(MAX(0,W781-IF($A795&gt;='1-Input'!$C$12,'1-Input'!$B$12,0))-MIN(MAX(AA794,0),MAX(0,W781-IF($A795&gt;='1-Input'!$C$12,'1-Input'!$B$12,0))))*(1/(1-'P-Parametri'!$B$6*W795))+MIN(MAX(0,AB794-(MAX(0,W781-IF($A795&gt;='1-Input'!$C$12,'1-Input'!$B$12,0))-MIN(MAX(AA794,0),MAX(0,W781-IF($A795&gt;='1-Input'!$C$12,'1-Input'!$B$12,0))))*(1/(1-'P-Parametri'!$B$6*W795))),MAX(0,0*W781-(AA794-MIN(MAX(AA794,0),MAX(0,W781-IF($A795&gt;='1-Input'!$C$12,'1-Input'!$B$12,0)))))*(1/(1-'P-Parametri'!$B$6*W795))))</f>
        <v>20853.119415429155</v>
      </c>
      <c r="Y795" s="18">
        <f>IF($A795&gt;('1-Input'!$B$26+3),AA794,(AA794-MAX(0,W781-IF($A795&gt;='1-Input'!$C$12,'1-Input'!$B$12,0))+X795*(1-'P-Parametri'!$B$6*W795))*(1+'1-Input'!$B$27))</f>
        <v>0</v>
      </c>
      <c r="Z795" s="18">
        <f>IF($A795&gt;('1-Input'!$B$26+3),AB794,(AB794-X795)*(1+'5-Roberta'!$C$4))</f>
        <v>319728.80498174299</v>
      </c>
      <c r="AA795" s="18">
        <f>IF($A795&gt;('1-Input'!$B$26+3),Y795,Y795-'P-Parametri'!$B$8*(Z795+Y795)+MIN(MAX(Z795,0),'P-Parametri'!$B$8*(Z795+Y795)))</f>
        <v>0</v>
      </c>
      <c r="AB795" s="18">
        <f>IF($A795&gt;('1-Input'!$B$26+3),Z795,Z795-MIN(MAX(Z795,0),'P-Parametri'!$B$8*(Z795+Y795)))</f>
        <v>319089.3473717795</v>
      </c>
      <c r="AC795" s="18">
        <f>IF($A795&gt;('1-Input'!$B$26+3),AC794,AC794-X795*(1-W795))</f>
        <v>179646.03263318905</v>
      </c>
      <c r="AD795" s="11">
        <f>IF($A795&gt;('1-Input'!$B$26+3),0,IF(AI794&lt;=0,0,MAX(0,(AI794-AJ794)/AI794)))</f>
        <v>0.42127387107723879</v>
      </c>
      <c r="AE795" s="18">
        <f>IF($A795&gt;('1-Input'!$B$26+3),0,(MAX(0,AD781-IF($A795&gt;='1-Input'!$C$12,'1-Input'!$B$12,0))-MIN(MAX(AH794,0),MAX(0,AD781-IF($A795&gt;='1-Input'!$C$12,'1-Input'!$B$12,0))))*(1/(1-'P-Parametri'!$B$6*AD795))+MIN(MAX(0,AI794-(MAX(0,AD781-IF($A795&gt;='1-Input'!$C$12,'1-Input'!$B$12,0))-MIN(MAX(AH794,0),MAX(0,AD781-IF($A795&gt;='1-Input'!$C$12,'1-Input'!$B$12,0))))*(1/(1-'P-Parametri'!$B$6*AD795))),MAX(0,0*AD781-(AH794-MIN(MAX(AH794,0),MAX(0,AD781-IF($A795&gt;='1-Input'!$C$12,'1-Input'!$B$12,0)))))*(1/(1-'P-Parametri'!$B$6*AD795))))</f>
        <v>20868.06178621477</v>
      </c>
      <c r="AF795" s="18">
        <f>IF($A795&gt;('1-Input'!$B$26+3),AH794,(AH794-MAX(0,AD781-IF($A795&gt;='1-Input'!$C$12,'1-Input'!$B$12,0))+AE795*(1-'P-Parametri'!$B$6*AD795))*(1+'1-Input'!$B$27))</f>
        <v>0</v>
      </c>
      <c r="AG795" s="18">
        <f>IF($A795&gt;('1-Input'!$B$26+3),AI794,(AI794-AE795)*(1+'5-Roberta'!$C$4))</f>
        <v>319519.2042450725</v>
      </c>
      <c r="AH795" s="18">
        <f>IF($A795&gt;('1-Input'!$B$26+3),AF795,AF795-'P-Parametri'!$B$8*(AG795+AF795)+MIN(MAX(AG795,0),'P-Parametri'!$B$8*(AG795+AF795)))</f>
        <v>0</v>
      </c>
      <c r="AI795" s="18">
        <f>IF($A795&gt;('1-Input'!$B$26+3),AG795,AG795-MIN(MAX(AG795,0),'P-Parametri'!$B$8*(AG795+AF795)))</f>
        <v>318880.16583658237</v>
      </c>
      <c r="AJ795" s="18">
        <f>IF($A795&gt;('1-Input'!$B$26+3),AJ794,AJ794-AE795*(1-AD795))</f>
        <v>179528.2642613902</v>
      </c>
      <c r="AK795" s="11">
        <f>IF($A795&gt;('1-Input'!$B$26+3),0,IF(AP794&lt;=0,0,MAX(0,(AP794-AQ794)/AP794)))</f>
        <v>0.42127387107723863</v>
      </c>
      <c r="AL795" s="18">
        <f>IF($A795&gt;('1-Input'!$B$26+3),0,(MAX(0,AK781-IF($A795&gt;='1-Input'!$C$12,'1-Input'!$B$12,0))-MIN(MAX(AO794,0),MAX(0,AK781-IF($A795&gt;='1-Input'!$C$12,'1-Input'!$B$12,0))))*(1/(1-'P-Parametri'!$B$6*AK795))+MIN(MAX(0,AP794-(MAX(0,AK781-IF($A795&gt;='1-Input'!$C$12,'1-Input'!$B$12,0))-MIN(MAX(AO794,0),MAX(0,AK781-IF($A795&gt;='1-Input'!$C$12,'1-Input'!$B$12,0))))*(1/(1-'P-Parametri'!$B$6*AK795))),MAX(0,0*AK781-(AO794-MIN(MAX(AO794,0),MAX(0,AK781-IF($A795&gt;='1-Input'!$C$12,'1-Input'!$B$12,0)))))*(1/(1-'P-Parametri'!$B$6*AK795))))</f>
        <v>20866.012416310488</v>
      </c>
      <c r="AM795" s="18">
        <f>IF($A795&gt;('1-Input'!$B$26+3),AO794,(AO794-MAX(0,AK781-IF($A795&gt;='1-Input'!$C$12,'1-Input'!$B$12,0))+AL795*(1-'P-Parametri'!$B$6*AK795))*(1+'1-Input'!$B$27))</f>
        <v>-3.6248820833861826E-12</v>
      </c>
      <c r="AN795" s="18">
        <f>IF($A795&gt;('1-Input'!$B$26+3),AP794,(AP794-AL795)*(1+'5-Roberta'!$C$4))</f>
        <v>319547.95131926908</v>
      </c>
      <c r="AO795" s="18">
        <f>IF($A795&gt;('1-Input'!$B$26+3),AM795,AM795-'P-Parametri'!$B$8*(AN795+AM795)+MIN(MAX(AN795,0),'P-Parametri'!$B$8*(AN795+AM795)))</f>
        <v>-3.637978807091713E-12</v>
      </c>
      <c r="AP795" s="18">
        <f>IF($A795&gt;('1-Input'!$B$26+3),AN795,AN795-MIN(MAX(AN795,0),'P-Parametri'!$B$8*(AN795+AM795)))</f>
        <v>318908.85541663057</v>
      </c>
      <c r="AQ795" s="18">
        <f>IF($A795&gt;('1-Input'!$B$26+3),AQ794,AQ794-AL795*(1-AK795))</f>
        <v>179544.41638077633</v>
      </c>
    </row>
    <row r="796" spans="1:43">
      <c r="A796" s="10">
        <f>13</f>
        <v>13</v>
      </c>
      <c r="B796" s="11">
        <f>IF($A796&gt;('1-Input'!$B$26+3),0,IF(G795&lt;=0,0,MAX(0,(G795-H795)/G795)))</f>
        <v>0.43700397987940787</v>
      </c>
      <c r="C796" s="18">
        <f>IF($A796&gt;('1-Input'!$B$26+3),0,(MAX(0,B781-IF($A796&gt;='1-Input'!$C$12,'1-Input'!$B$12,0))-MIN(MAX(F795,0),MAX(0,B781-IF($A796&gt;='1-Input'!$C$12,'1-Input'!$B$12,0))))*(1/(1-'P-Parametri'!$B$6*B796))+MIN(MAX(0,G795-(MAX(0,B781-IF($A796&gt;='1-Input'!$C$12,'1-Input'!$B$12,0))-MIN(MAX(F795,0),MAX(0,B781-IF($A796&gt;='1-Input'!$C$12,'1-Input'!$B$12,0))))*(1/(1-'P-Parametri'!$B$6*B796))),MAX(0,0*B781-(F795-MIN(MAX(F795,0),MAX(0,B781-IF($A796&gt;='1-Input'!$C$12,'1-Input'!$B$12,0)))))*(1/(1-'P-Parametri'!$B$6*B796))))</f>
        <v>18819.326686381686</v>
      </c>
      <c r="D796" s="18">
        <f>IF($A796&gt;('1-Input'!$B$26+3),F795,(F795-MAX(0,B781-IF($A796&gt;='1-Input'!$C$12,'1-Input'!$B$12,0))+C796*(1-'P-Parametri'!$B$6*B796))*(1+'1-Input'!$B$27))</f>
        <v>0</v>
      </c>
      <c r="E796" s="18">
        <f>IF($A796&gt;('1-Input'!$B$26+3),G795,(G795-C796)*(1+'5-Roberta'!$C$4))</f>
        <v>339850.1039975895</v>
      </c>
      <c r="F796" s="18">
        <f>IF($A796&gt;('1-Input'!$B$26+3),D796,D796-'P-Parametri'!$B$8*(E796+D796)+MIN(MAX(E796,0),'P-Parametri'!$B$8*(E796+D796)))</f>
        <v>0</v>
      </c>
      <c r="G796" s="18">
        <f>IF($A796&gt;('1-Input'!$B$26+3),E796,E796-MIN(MAX(E796,0),'P-Parametri'!$B$8*(E796+D796)))</f>
        <v>339170.4037895943</v>
      </c>
      <c r="H796" s="18">
        <f>IF($A796&gt;('1-Input'!$B$26+3),H795,H795-C796*(1-B796))</f>
        <v>185761.41358078859</v>
      </c>
      <c r="I796" s="11">
        <f>IF($A796&gt;('1-Input'!$B$26+3),0,IF(N795&lt;=0,0,MAX(0,(N795-O795)/N795)))</f>
        <v>0.43700397987940826</v>
      </c>
      <c r="J796" s="18">
        <f>IF($A796&gt;('1-Input'!$B$26+3),0,(MAX(0,I781-IF($A796&gt;='1-Input'!$C$12,'1-Input'!$B$12,0))-MIN(MAX(M795,0),MAX(0,I781-IF($A796&gt;='1-Input'!$C$12,'1-Input'!$B$12,0))))*(1/(1-'P-Parametri'!$B$6*I796))+MIN(MAX(0,N795-(MAX(0,I781-IF($A796&gt;='1-Input'!$C$12,'1-Input'!$B$12,0))-MIN(MAX(M795,0),MAX(0,I781-IF($A796&gt;='1-Input'!$C$12,'1-Input'!$B$12,0))))*(1/(1-'P-Parametri'!$B$6*I796))),MAX(0,0*I781-(M795-MIN(MAX(M795,0),MAX(0,I781-IF($A796&gt;='1-Input'!$C$12,'1-Input'!$B$12,0)))))*(1/(1-'P-Parametri'!$B$6*I796))))</f>
        <v>24762.271955765384</v>
      </c>
      <c r="K796" s="18">
        <f>IF($A796&gt;('1-Input'!$B$26+3),M795,(M795-MAX(0,I781-IF($A796&gt;='1-Input'!$C$12,'1-Input'!$B$12,0))+J796*(1-'P-Parametri'!$B$6*I796))*(1+'1-Input'!$B$27))</f>
        <v>3.6248820833861826E-12</v>
      </c>
      <c r="L796" s="18">
        <f>IF($A796&gt;('1-Input'!$B$26+3),N795,(N795-J796)*(1+'5-Roberta'!$C$4))</f>
        <v>248429.95095905254</v>
      </c>
      <c r="M796" s="18">
        <f>IF($A796&gt;('1-Input'!$B$26+3),K796,K796-'P-Parametri'!$B$8*(L796+K796)+MIN(MAX(L796,0),'P-Parametri'!$B$8*(L796+K796)))</f>
        <v>3.637978807091713E-12</v>
      </c>
      <c r="N796" s="18">
        <f>IF($A796&gt;('1-Input'!$B$26+3),L796,L796-MIN(MAX(L796,0),'P-Parametri'!$B$8*(L796+K796)))</f>
        <v>247933.09105713444</v>
      </c>
      <c r="O796" s="18">
        <f>IF($A796&gt;('1-Input'!$B$26+3),O795,O795-J796*(1-I796))</f>
        <v>135791.33365893239</v>
      </c>
      <c r="P796" s="11">
        <f>IF($A796&gt;('1-Input'!$B$26+3),0,IF(U795&lt;=0,0,MAX(0,(U795-V795)/U795)))</f>
        <v>0.43700397987940809</v>
      </c>
      <c r="Q796" s="18">
        <f>IF($A796&gt;('1-Input'!$B$26+3),0,(MAX(0,P781-IF($A796&gt;='1-Input'!$C$12,'1-Input'!$B$12,0))-MIN(MAX(T795,0),MAX(0,P781-IF($A796&gt;='1-Input'!$C$12,'1-Input'!$B$12,0))))*(1/(1-'P-Parametri'!$B$6*P796))+MIN(MAX(0,U795-(MAX(0,P781-IF($A796&gt;='1-Input'!$C$12,'1-Input'!$B$12,0))-MIN(MAX(T795,0),MAX(0,P781-IF($A796&gt;='1-Input'!$C$12,'1-Input'!$B$12,0))))*(1/(1-'P-Parametri'!$B$6*P796))),MAX(0,0*P781-(T795-MIN(MAX(T795,0),MAX(0,P781-IF($A796&gt;='1-Input'!$C$12,'1-Input'!$B$12,0)))))*(1/(1-'P-Parametri'!$B$6*P796))))</f>
        <v>21239.314923039696</v>
      </c>
      <c r="R796" s="18">
        <f>IF($A796&gt;('1-Input'!$B$26+3),T795,(T795-MAX(0,P781-IF($A796&gt;='1-Input'!$C$12,'1-Input'!$B$12,0))+Q796*(1-'P-Parametri'!$B$6*P796))*(1+'1-Input'!$B$27))</f>
        <v>0</v>
      </c>
      <c r="S796" s="18">
        <f>IF($A796&gt;('1-Input'!$B$26+3),U795,(U795-Q796)*(1+'5-Roberta'!$C$4))</f>
        <v>302623.49582293996</v>
      </c>
      <c r="T796" s="18">
        <f>IF($A796&gt;('1-Input'!$B$26+3),R796,R796-'P-Parametri'!$B$8*(S796+R796)+MIN(MAX(S796,0),'P-Parametri'!$B$8*(S796+R796)))</f>
        <v>0</v>
      </c>
      <c r="U796" s="18">
        <f>IF($A796&gt;('1-Input'!$B$26+3),S796,S796-MIN(MAX(S796,0),'P-Parametri'!$B$8*(S796+R796)))</f>
        <v>302018.24883129407</v>
      </c>
      <c r="V796" s="18">
        <f>IF($A796&gt;('1-Input'!$B$26+3),V795,V795-Q796*(1-P796))</f>
        <v>165413.42110999586</v>
      </c>
      <c r="W796" s="11">
        <f>IF($A796&gt;('1-Input'!$B$26+3),0,IF(AB795&lt;=0,0,MAX(0,(AB795-AC795)/AB795)))</f>
        <v>0.43700397987940764</v>
      </c>
      <c r="X796" s="18">
        <f>IF($A796&gt;('1-Input'!$B$26+3),0,(MAX(0,W781-IF($A796&gt;='1-Input'!$C$12,'1-Input'!$B$12,0))-MIN(MAX(AA795,0),MAX(0,W781-IF($A796&gt;='1-Input'!$C$12,'1-Input'!$B$12,0))))*(1/(1-'P-Parametri'!$B$6*W796))+MIN(MAX(0,AB795-(MAX(0,W781-IF($A796&gt;='1-Input'!$C$12,'1-Input'!$B$12,0))-MIN(MAX(AA795,0),MAX(0,W781-IF($A796&gt;='1-Input'!$C$12,'1-Input'!$B$12,0))))*(1/(1-'P-Parametri'!$B$6*W796))),MAX(0,0*W781-(AA795-MIN(MAX(AA795,0),MAX(0,W781-IF($A796&gt;='1-Input'!$C$12,'1-Input'!$B$12,0)))))*(1/(1-'P-Parametri'!$B$6*W796))))</f>
        <v>20949.337490355789</v>
      </c>
      <c r="Y796" s="18">
        <f>IF($A796&gt;('1-Input'!$B$26+3),AA795,(AA795-MAX(0,W781-IF($A796&gt;='1-Input'!$C$12,'1-Input'!$B$12,0))+X796*(1-'P-Parametri'!$B$6*W796))*(1+'1-Input'!$B$27))</f>
        <v>-3.6248820833861826E-12</v>
      </c>
      <c r="Z796" s="18">
        <f>IF($A796&gt;('1-Input'!$B$26+3),AB795,(AB795-X796)*(1+'5-Roberta'!$C$4))</f>
        <v>307084.21017786645</v>
      </c>
      <c r="AA796" s="18">
        <f>IF($A796&gt;('1-Input'!$B$26+3),Y796,Y796-'P-Parametri'!$B$8*(Z796+Y796)+MIN(MAX(Z796,0),'P-Parametri'!$B$8*(Z796+Y796)))</f>
        <v>-3.637978807091713E-12</v>
      </c>
      <c r="AB796" s="18">
        <f>IF($A796&gt;('1-Input'!$B$26+3),Z796,Z796-MIN(MAX(Z796,0),'P-Parametri'!$B$8*(Z796+Y796)))</f>
        <v>306470.04175751074</v>
      </c>
      <c r="AC796" s="18">
        <f>IF($A796&gt;('1-Input'!$B$26+3),AC795,AC795-X796*(1-W796))</f>
        <v>167851.63900195563</v>
      </c>
      <c r="AD796" s="11">
        <f>IF($A796&gt;('1-Input'!$B$26+3),0,IF(AI795&lt;=0,0,MAX(0,(AI795-AJ795)/AI795)))</f>
        <v>0.43700397987940814</v>
      </c>
      <c r="AE796" s="18">
        <f>IF($A796&gt;('1-Input'!$B$26+3),0,(MAX(0,AD781-IF($A796&gt;='1-Input'!$C$12,'1-Input'!$B$12,0))-MIN(MAX(AH795,0),MAX(0,AD781-IF($A796&gt;='1-Input'!$C$12,'1-Input'!$B$12,0))))*(1/(1-'P-Parametri'!$B$6*AD796))+MIN(MAX(0,AI795-(MAX(0,AD781-IF($A796&gt;='1-Input'!$C$12,'1-Input'!$B$12,0))-MIN(MAX(AH795,0),MAX(0,AD781-IF($A796&gt;='1-Input'!$C$12,'1-Input'!$B$12,0))))*(1/(1-'P-Parametri'!$B$6*AD796))),MAX(0,0*AD781-(AH795-MIN(MAX(AH795,0),MAX(0,AD781-IF($A796&gt;='1-Input'!$C$12,'1-Input'!$B$12,0)))))*(1/(1-'P-Parametri'!$B$6*AD796))))</f>
        <v>20964.348806517075</v>
      </c>
      <c r="AF796" s="18">
        <f>IF($A796&gt;('1-Input'!$B$26+3),AH795,(AH795-MAX(0,AD781-IF($A796&gt;='1-Input'!$C$12,'1-Input'!$B$12,0))+AE796*(1-'P-Parametri'!$B$6*AD796))*(1+'1-Input'!$B$27))</f>
        <v>3.6248820833861826E-12</v>
      </c>
      <c r="AG796" s="18">
        <f>IF($A796&gt;('1-Input'!$B$26+3),AI795,(AI795-AE796)*(1+'5-Roberta'!$C$4))</f>
        <v>306853.29154096724</v>
      </c>
      <c r="AH796" s="18">
        <f>IF($A796&gt;('1-Input'!$B$26+3),AF796,AF796-'P-Parametri'!$B$8*(AG796+AF796)+MIN(MAX(AG796,0),'P-Parametri'!$B$8*(AG796+AF796)))</f>
        <v>3.637978807091713E-12</v>
      </c>
      <c r="AI796" s="18">
        <f>IF($A796&gt;('1-Input'!$B$26+3),AG796,AG796-MIN(MAX(AG796,0),'P-Parametri'!$B$8*(AG796+AF796)))</f>
        <v>306239.58495788532</v>
      </c>
      <c r="AJ796" s="18">
        <f>IF($A796&gt;('1-Input'!$B$26+3),AJ795,AJ795-AE796*(1-AD796))</f>
        <v>167725.4193189012</v>
      </c>
      <c r="AK796" s="11">
        <f>IF($A796&gt;('1-Input'!$B$26+3),0,IF(AP795&lt;=0,0,MAX(0,(AP795-AQ795)/AP795)))</f>
        <v>0.43700397987940792</v>
      </c>
      <c r="AL796" s="18">
        <f>IF($A796&gt;('1-Input'!$B$26+3),0,(MAX(0,AK781-IF($A796&gt;='1-Input'!$C$12,'1-Input'!$B$12,0))-MIN(MAX(AO795,0),MAX(0,AK781-IF($A796&gt;='1-Input'!$C$12,'1-Input'!$B$12,0))))*(1/(1-'P-Parametri'!$B$6*AK796))+MIN(MAX(0,AP795-(MAX(0,AK781-IF($A796&gt;='1-Input'!$C$12,'1-Input'!$B$12,0))-MIN(MAX(AO795,0),MAX(0,AK781-IF($A796&gt;='1-Input'!$C$12,'1-Input'!$B$12,0))))*(1/(1-'P-Parametri'!$B$6*AK796))),MAX(0,0*AK781-(AO795-MIN(MAX(AO795,0),MAX(0,AK781-IF($A796&gt;='1-Input'!$C$12,'1-Input'!$B$12,0)))))*(1/(1-'P-Parametri'!$B$6*AK796))))</f>
        <v>20962.289980644931</v>
      </c>
      <c r="AM796" s="18">
        <f>IF($A796&gt;('1-Input'!$B$26+3),AO795,(AO795-MAX(0,AK781-IF($A796&gt;='1-Input'!$C$12,'1-Input'!$B$12,0))+AL796*(1-'P-Parametri'!$B$6*AK796))*(1+'1-Input'!$B$27))</f>
        <v>0</v>
      </c>
      <c r="AN796" s="18">
        <f>IF($A796&gt;('1-Input'!$B$26+3),AP795,(AP795-AL796)*(1+'5-Roberta'!$C$4))</f>
        <v>306884.9623990652</v>
      </c>
      <c r="AO796" s="18">
        <f>IF($A796&gt;('1-Input'!$B$26+3),AM796,AM796-'P-Parametri'!$B$8*(AN796+AM796)+MIN(MAX(AN796,0),'P-Parametri'!$B$8*(AN796+AM796)))</f>
        <v>0</v>
      </c>
      <c r="AP796" s="18">
        <f>IF($A796&gt;('1-Input'!$B$26+3),AN796,AN796-MIN(MAX(AN796,0),'P-Parametri'!$B$8*(AN796+AM796)))</f>
        <v>306271.1924742671</v>
      </c>
      <c r="AQ796" s="18">
        <f>IF($A796&gt;('1-Input'!$B$26+3),AQ795,AQ795-AL796*(1-AK796))</f>
        <v>167742.73054905946</v>
      </c>
    </row>
    <row r="797" spans="1:43">
      <c r="A797" s="10">
        <f>14</f>
        <v>14</v>
      </c>
      <c r="B797" s="11">
        <f>IF($A797&gt;('1-Input'!$B$26+3),0,IF(G796&lt;=0,0,MAX(0,(G796-H796)/G796)))</f>
        <v>0.45230653528358444</v>
      </c>
      <c r="C797" s="18">
        <f>IF($A797&gt;('1-Input'!$B$26+3),0,(MAX(0,B781-IF($A797&gt;='1-Input'!$C$12,'1-Input'!$B$12,0))-MIN(MAX(F796,0),MAX(0,B781-IF($A797&gt;='1-Input'!$C$12,'1-Input'!$B$12,0))))*(1/(1-'P-Parametri'!$B$6*B797))+MIN(MAX(0,G796-(MAX(0,B781-IF($A797&gt;='1-Input'!$C$12,'1-Input'!$B$12,0))-MIN(MAX(F796,0),MAX(0,B781-IF($A797&gt;='1-Input'!$C$12,'1-Input'!$B$12,0))))*(1/(1-'P-Parametri'!$B$6*B797))),MAX(0,0*B781-(F796-MIN(MAX(F796,0),MAX(0,B781-IF($A797&gt;='1-Input'!$C$12,'1-Input'!$B$12,0)))))*(1/(1-'P-Parametri'!$B$6*B797))))</f>
        <v>18904.181355112731</v>
      </c>
      <c r="D797" s="18">
        <f>IF($A797&gt;('1-Input'!$B$26+3),F796,(F796-MAX(0,B781-IF($A797&gt;='1-Input'!$C$12,'1-Input'!$B$12,0))+C797*(1-'P-Parametri'!$B$6*B797))*(1+'1-Input'!$B$27))</f>
        <v>0</v>
      </c>
      <c r="E797" s="18">
        <f>IF($A797&gt;('1-Input'!$B$26+3),G796,(G796-C797)*(1+'5-Roberta'!$C$4))</f>
        <v>329874.20910751598</v>
      </c>
      <c r="F797" s="18">
        <f>IF($A797&gt;('1-Input'!$B$26+3),D797,D797-'P-Parametri'!$B$8*(E797+D797)+MIN(MAX(E797,0),'P-Parametri'!$B$8*(E797+D797)))</f>
        <v>0</v>
      </c>
      <c r="G797" s="18">
        <f>IF($A797&gt;('1-Input'!$B$26+3),E797,E797-MIN(MAX(E797,0),'P-Parametri'!$B$8*(E797+D797)))</f>
        <v>329214.46068930096</v>
      </c>
      <c r="H797" s="18">
        <f>IF($A797&gt;('1-Input'!$B$26+3),H796,H796-C797*(1-B797))</f>
        <v>175407.71699677943</v>
      </c>
      <c r="I797" s="11">
        <f>IF($A797&gt;('1-Input'!$B$26+3),0,IF(N796&lt;=0,0,MAX(0,(N796-O796)/N796)))</f>
        <v>0.45230653528358494</v>
      </c>
      <c r="J797" s="18">
        <f>IF($A797&gt;('1-Input'!$B$26+3),0,(MAX(0,I781-IF($A797&gt;='1-Input'!$C$12,'1-Input'!$B$12,0))-MIN(MAX(M796,0),MAX(0,I781-IF($A797&gt;='1-Input'!$C$12,'1-Input'!$B$12,0))))*(1/(1-'P-Parametri'!$B$6*I797))+MIN(MAX(0,N796-(MAX(0,I781-IF($A797&gt;='1-Input'!$C$12,'1-Input'!$B$12,0))-MIN(MAX(M796,0),MAX(0,I781-IF($A797&gt;='1-Input'!$C$12,'1-Input'!$B$12,0))))*(1/(1-'P-Parametri'!$B$6*I797))),MAX(0,0*I781-(M796-MIN(MAX(M796,0),MAX(0,I781-IF($A797&gt;='1-Input'!$C$12,'1-Input'!$B$12,0)))))*(1/(1-'P-Parametri'!$B$6*I797))))</f>
        <v>24873.92283567465</v>
      </c>
      <c r="K797" s="18">
        <f>IF($A797&gt;('1-Input'!$B$26+3),M796,(M796-MAX(0,I781-IF($A797&gt;='1-Input'!$C$12,'1-Input'!$B$12,0))+J797*(1-'P-Parametri'!$B$6*I797))*(1+'1-Input'!$B$27))</f>
        <v>0</v>
      </c>
      <c r="L797" s="18">
        <f>IF($A797&gt;('1-Input'!$B$26+3),N796,(N796-J797)*(1+'5-Roberta'!$C$4))</f>
        <v>229750.94326810358</v>
      </c>
      <c r="M797" s="18">
        <f>IF($A797&gt;('1-Input'!$B$26+3),K797,K797-'P-Parametri'!$B$8*(L797+K797)+MIN(MAX(L797,0),'P-Parametri'!$B$8*(L797+K797)))</f>
        <v>0</v>
      </c>
      <c r="N797" s="18">
        <f>IF($A797&gt;('1-Input'!$B$26+3),L797,L797-MIN(MAX(L797,0),'P-Parametri'!$B$8*(L797+K797)))</f>
        <v>229291.44138156739</v>
      </c>
      <c r="O797" s="18">
        <f>IF($A797&gt;('1-Input'!$B$26+3),O796,O796-J797*(1-I797))</f>
        <v>122168.04867997298</v>
      </c>
      <c r="P797" s="11">
        <f>IF($A797&gt;('1-Input'!$B$26+3),0,IF(U796&lt;=0,0,MAX(0,(U796-V796)/U796)))</f>
        <v>0.45230653528358483</v>
      </c>
      <c r="Q797" s="18">
        <f>IF($A797&gt;('1-Input'!$B$26+3),0,(MAX(0,P781-IF($A797&gt;='1-Input'!$C$12,'1-Input'!$B$12,0))-MIN(MAX(T796,0),MAX(0,P781-IF($A797&gt;='1-Input'!$C$12,'1-Input'!$B$12,0))))*(1/(1-'P-Parametri'!$B$6*P797))+MIN(MAX(0,U796-(MAX(0,P781-IF($A797&gt;='1-Input'!$C$12,'1-Input'!$B$12,0))-MIN(MAX(T796,0),MAX(0,P781-IF($A797&gt;='1-Input'!$C$12,'1-Input'!$B$12,0))))*(1/(1-'P-Parametri'!$B$6*P797))),MAX(0,0*P781-(T796-MIN(MAX(T796,0),MAX(0,P781-IF($A797&gt;='1-Input'!$C$12,'1-Input'!$B$12,0)))))*(1/(1-'P-Parametri'!$B$6*P797))))</f>
        <v>21335.081103302302</v>
      </c>
      <c r="R797" s="18">
        <f>IF($A797&gt;('1-Input'!$B$26+3),T796,(T796-MAX(0,P781-IF($A797&gt;='1-Input'!$C$12,'1-Input'!$B$12,0))+Q797*(1-'P-Parametri'!$B$6*P797))*(1+'1-Input'!$B$27))</f>
        <v>0</v>
      </c>
      <c r="S797" s="18">
        <f>IF($A797&gt;('1-Input'!$B$26+3),U796,(U796-Q797)*(1+'5-Roberta'!$C$4))</f>
        <v>289103.66275983152</v>
      </c>
      <c r="T797" s="18">
        <f>IF($A797&gt;('1-Input'!$B$26+3),R797,R797-'P-Parametri'!$B$8*(S797+R797)+MIN(MAX(S797,0),'P-Parametri'!$B$8*(S797+R797)))</f>
        <v>0</v>
      </c>
      <c r="U797" s="18">
        <f>IF($A797&gt;('1-Input'!$B$26+3),S797,S797-MIN(MAX(S797,0),'P-Parametri'!$B$8*(S797+R797)))</f>
        <v>288525.45543431188</v>
      </c>
      <c r="V797" s="18">
        <f>IF($A797&gt;('1-Input'!$B$26+3),V796,V796-Q797*(1-P797))</f>
        <v>153728.33662052252</v>
      </c>
      <c r="W797" s="11">
        <f>IF($A797&gt;('1-Input'!$B$26+3),0,IF(AB796&lt;=0,0,MAX(0,(AB796-AC796)/AB796)))</f>
        <v>0.45230653528358439</v>
      </c>
      <c r="X797" s="18">
        <f>IF($A797&gt;('1-Input'!$B$26+3),0,(MAX(0,W781-IF($A797&gt;='1-Input'!$C$12,'1-Input'!$B$12,0))-MIN(MAX(AA796,0),MAX(0,W781-IF($A797&gt;='1-Input'!$C$12,'1-Input'!$B$12,0))))*(1/(1-'P-Parametri'!$B$6*W797))+MIN(MAX(0,AB796-(MAX(0,W781-IF($A797&gt;='1-Input'!$C$12,'1-Input'!$B$12,0))-MIN(MAX(AA796,0),MAX(0,W781-IF($A797&gt;='1-Input'!$C$12,'1-Input'!$B$12,0))))*(1/(1-'P-Parametri'!$B$6*W797))),MAX(0,0*W781-(AA796-MIN(MAX(AA796,0),MAX(0,W781-IF($A797&gt;='1-Input'!$C$12,'1-Input'!$B$12,0)))))*(1/(1-'P-Parametri'!$B$6*W797))))</f>
        <v>21043.796188188247</v>
      </c>
      <c r="Y797" s="18">
        <f>IF($A797&gt;('1-Input'!$B$26+3),AA796,(AA796-MAX(0,W781-IF($A797&gt;='1-Input'!$C$12,'1-Input'!$B$12,0))+X797*(1-'P-Parametri'!$B$6*W797))*(1+'1-Input'!$B$27))</f>
        <v>0</v>
      </c>
      <c r="Z797" s="18">
        <f>IF($A797&gt;('1-Input'!$B$26+3),AB796,(AB796-X797)*(1+'5-Roberta'!$C$4))</f>
        <v>293989.03293640219</v>
      </c>
      <c r="AA797" s="18">
        <f>IF($A797&gt;('1-Input'!$B$26+3),Y797,Y797-'P-Parametri'!$B$8*(Z797+Y797)+MIN(MAX(Z797,0),'P-Parametri'!$B$8*(Z797+Y797)))</f>
        <v>0</v>
      </c>
      <c r="AB797" s="18">
        <f>IF($A797&gt;('1-Input'!$B$26+3),Z797,Z797-MIN(MAX(Z797,0),'P-Parametri'!$B$8*(Z797+Y797)))</f>
        <v>293401.05487052939</v>
      </c>
      <c r="AC797" s="18">
        <f>IF($A797&gt;('1-Input'!$B$26+3),AC796,AC796-X797*(1-W797))</f>
        <v>156326.0893568607</v>
      </c>
      <c r="AD797" s="11">
        <f>IF($A797&gt;('1-Input'!$B$26+3),0,IF(AI796&lt;=0,0,MAX(0,(AI796-AJ796)/AI796)))</f>
        <v>0.45230653528358478</v>
      </c>
      <c r="AE797" s="18">
        <f>IF($A797&gt;('1-Input'!$B$26+3),0,(MAX(0,AD781-IF($A797&gt;='1-Input'!$C$12,'1-Input'!$B$12,0))-MIN(MAX(AH796,0),MAX(0,AD781-IF($A797&gt;='1-Input'!$C$12,'1-Input'!$B$12,0))))*(1/(1-'P-Parametri'!$B$6*AD797))+MIN(MAX(0,AI796-(MAX(0,AD781-IF($A797&gt;='1-Input'!$C$12,'1-Input'!$B$12,0))-MIN(MAX(AH796,0),MAX(0,AD781-IF($A797&gt;='1-Input'!$C$12,'1-Input'!$B$12,0))))*(1/(1-'P-Parametri'!$B$6*AD797))),MAX(0,0*AD781-(AH796-MIN(MAX(AH796,0),MAX(0,AD781-IF($A797&gt;='1-Input'!$C$12,'1-Input'!$B$12,0)))))*(1/(1-'P-Parametri'!$B$6*AD797))))</f>
        <v>21058.875189037779</v>
      </c>
      <c r="AF797" s="18">
        <f>IF($A797&gt;('1-Input'!$B$26+3),AH796,(AH796-MAX(0,AD781-IF($A797&gt;='1-Input'!$C$12,'1-Input'!$B$12,0))+AE797*(1-'P-Parametri'!$B$6*AD797))*(1+'1-Input'!$B$27))</f>
        <v>0</v>
      </c>
      <c r="AG797" s="18">
        <f>IF($A797&gt;('1-Input'!$B$26+3),AI796,(AI796-AE797)*(1+'5-Roberta'!$C$4))</f>
        <v>293736.13106191298</v>
      </c>
      <c r="AH797" s="18">
        <f>IF($A797&gt;('1-Input'!$B$26+3),AF797,AF797-'P-Parametri'!$B$8*(AG797+AF797)+MIN(MAX(AG797,0),'P-Parametri'!$B$8*(AG797+AF797)))</f>
        <v>0</v>
      </c>
      <c r="AI797" s="18">
        <f>IF($A797&gt;('1-Input'!$B$26+3),AG797,AG797-MIN(MAX(AG797,0),'P-Parametri'!$B$8*(AG797+AF797)))</f>
        <v>293148.65879978915</v>
      </c>
      <c r="AJ797" s="18">
        <f>IF($A797&gt;('1-Input'!$B$26+3),AJ796,AJ796-AE797*(1-AD797))</f>
        <v>156191.61100358656</v>
      </c>
      <c r="AK797" s="11">
        <f>IF($A797&gt;('1-Input'!$B$26+3),0,IF(AP796&lt;=0,0,MAX(0,(AP796-AQ796)/AP796)))</f>
        <v>0.45230653528358467</v>
      </c>
      <c r="AL797" s="18">
        <f>IF($A797&gt;('1-Input'!$B$26+3),0,(MAX(0,AK781-IF($A797&gt;='1-Input'!$C$12,'1-Input'!$B$12,0))-MIN(MAX(AO796,0),MAX(0,AK781-IF($A797&gt;='1-Input'!$C$12,'1-Input'!$B$12,0))))*(1/(1-'P-Parametri'!$B$6*AK797))+MIN(MAX(0,AP796-(MAX(0,AK781-IF($A797&gt;='1-Input'!$C$12,'1-Input'!$B$12,0))-MIN(MAX(AO796,0),MAX(0,AK781-IF($A797&gt;='1-Input'!$C$12,'1-Input'!$B$12,0))))*(1/(1-'P-Parametri'!$B$6*AK797))),MAX(0,0*AK781-(AO796-MIN(MAX(AO796,0),MAX(0,AK781-IF($A797&gt;='1-Input'!$C$12,'1-Input'!$B$12,0)))))*(1/(1-'P-Parametri'!$B$6*AK797))))</f>
        <v>21056.807080103063</v>
      </c>
      <c r="AM797" s="18">
        <f>IF($A797&gt;('1-Input'!$B$26+3),AO796,(AO796-MAX(0,AK781-IF($A797&gt;='1-Input'!$C$12,'1-Input'!$B$12,0))+AL797*(1-'P-Parametri'!$B$6*AK797))*(1+'1-Input'!$B$27))</f>
        <v>0</v>
      </c>
      <c r="AN797" s="18">
        <f>IF($A797&gt;('1-Input'!$B$26+3),AP796,(AP796-AL797)*(1+'5-Roberta'!$C$4))</f>
        <v>293770.81695598894</v>
      </c>
      <c r="AO797" s="18">
        <f>IF($A797&gt;('1-Input'!$B$26+3),AM797,AM797-'P-Parametri'!$B$8*(AN797+AM797)+MIN(MAX(AN797,0),'P-Parametri'!$B$8*(AN797+AM797)))</f>
        <v>0</v>
      </c>
      <c r="AP797" s="18">
        <f>IF($A797&gt;('1-Input'!$B$26+3),AN797,AN797-MIN(MAX(AN797,0),'P-Parametri'!$B$8*(AN797+AM797)))</f>
        <v>293183.27532207698</v>
      </c>
      <c r="AQ797" s="18">
        <f>IF($A797&gt;('1-Input'!$B$26+3),AQ796,AQ796-AL797*(1-AK797))</f>
        <v>156210.05492349266</v>
      </c>
    </row>
    <row r="798" spans="1:43">
      <c r="A798" s="10">
        <f>15</f>
        <v>15</v>
      </c>
      <c r="B798" s="11">
        <f>IF($A798&gt;('1-Input'!$B$26+3),0,IF(G797&lt;=0,0,MAX(0,(G797-H797)/G797)))</f>
        <v>0.46719315843685855</v>
      </c>
      <c r="C798" s="18">
        <f>IF($A798&gt;('1-Input'!$B$26+3),0,(MAX(0,B781-IF($A798&gt;='1-Input'!$C$12,'1-Input'!$B$12,0))-MIN(MAX(F797,0),MAX(0,B781-IF($A798&gt;='1-Input'!$C$12,'1-Input'!$B$12,0))))*(1/(1-'P-Parametri'!$B$6*B798))+MIN(MAX(0,G797-(MAX(0,B781-IF($A798&gt;='1-Input'!$C$12,'1-Input'!$B$12,0))-MIN(MAX(F797,0),MAX(0,B781-IF($A798&gt;='1-Input'!$C$12,'1-Input'!$B$12,0))))*(1/(1-'P-Parametri'!$B$6*B798))),MAX(0,0*B781-(F797-MIN(MAX(F797,0),MAX(0,B781-IF($A798&gt;='1-Input'!$C$12,'1-Input'!$B$12,0)))))*(1/(1-'P-Parametri'!$B$6*B798))))</f>
        <v>18987.467149137421</v>
      </c>
      <c r="D798" s="18">
        <f>IF($A798&gt;('1-Input'!$B$26+3),F797,(F797-MAX(0,B781-IF($A798&gt;='1-Input'!$C$12,'1-Input'!$B$12,0))+C798*(1-'P-Parametri'!$B$6*B798))*(1+'1-Input'!$B$27))</f>
        <v>0</v>
      </c>
      <c r="E798" s="18">
        <f>IF($A798&gt;('1-Input'!$B$26+3),G797,(G797-C798)*(1+'5-Roberta'!$C$4))</f>
        <v>319533.80334636848</v>
      </c>
      <c r="F798" s="18">
        <f>IF($A798&gt;('1-Input'!$B$26+3),D798,D798-'P-Parametri'!$B$8*(E798+D798)+MIN(MAX(E798,0),'P-Parametri'!$B$8*(E798+D798)))</f>
        <v>0</v>
      </c>
      <c r="G798" s="18">
        <f>IF($A798&gt;('1-Input'!$B$26+3),E798,E798-MIN(MAX(E798,0),'P-Parametri'!$B$8*(E798+D798)))</f>
        <v>318894.73573967576</v>
      </c>
      <c r="H798" s="18">
        <f>IF($A798&gt;('1-Input'!$B$26+3),H797,H797-C798*(1-B798))</f>
        <v>165291.06459576363</v>
      </c>
      <c r="I798" s="11">
        <f>IF($A798&gt;('1-Input'!$B$26+3),0,IF(N797&lt;=0,0,MAX(0,(N797-O797)/N797)))</f>
        <v>0.4671931584368591</v>
      </c>
      <c r="J798" s="18">
        <f>IF($A798&gt;('1-Input'!$B$26+3),0,(MAX(0,I781-IF($A798&gt;='1-Input'!$C$12,'1-Input'!$B$12,0))-MIN(MAX(M797,0),MAX(0,I781-IF($A798&gt;='1-Input'!$C$12,'1-Input'!$B$12,0))))*(1/(1-'P-Parametri'!$B$6*I798))+MIN(MAX(0,N797-(MAX(0,I781-IF($A798&gt;='1-Input'!$C$12,'1-Input'!$B$12,0))-MIN(MAX(M797,0),MAX(0,I781-IF($A798&gt;='1-Input'!$C$12,'1-Input'!$B$12,0))))*(1/(1-'P-Parametri'!$B$6*I798))),MAX(0,0*I781-(M797-MIN(MAX(M797,0),MAX(0,I781-IF($A798&gt;='1-Input'!$C$12,'1-Input'!$B$12,0)))))*(1/(1-'P-Parametri'!$B$6*I798))))</f>
        <v>24983.509406759771</v>
      </c>
      <c r="K798" s="18">
        <f>IF($A798&gt;('1-Input'!$B$26+3),M797,(M797-MAX(0,I781-IF($A798&gt;='1-Input'!$C$12,'1-Input'!$B$12,0))+J798*(1-'P-Parametri'!$B$6*I798))*(1+'1-Input'!$B$27))</f>
        <v>0</v>
      </c>
      <c r="L798" s="18">
        <f>IF($A798&gt;('1-Input'!$B$26+3),N797,(N797-J798)*(1+'5-Roberta'!$C$4))</f>
        <v>210437.16993405184</v>
      </c>
      <c r="M798" s="18">
        <f>IF($A798&gt;('1-Input'!$B$26+3),K798,K798-'P-Parametri'!$B$8*(L798+K798)+MIN(MAX(L798,0),'P-Parametri'!$B$8*(L798+K798)))</f>
        <v>0</v>
      </c>
      <c r="N798" s="18">
        <f>IF($A798&gt;('1-Input'!$B$26+3),L798,L798-MIN(MAX(L798,0),'P-Parametri'!$B$8*(L798+K798)))</f>
        <v>210016.29559418373</v>
      </c>
      <c r="O798" s="18">
        <f>IF($A798&gt;('1-Input'!$B$26+3),O797,O797-J798*(1-I798))</f>
        <v>108856.66394179429</v>
      </c>
      <c r="P798" s="11">
        <f>IF($A798&gt;('1-Input'!$B$26+3),0,IF(U797&lt;=0,0,MAX(0,(U797-V797)/U797)))</f>
        <v>0.46719315843685899</v>
      </c>
      <c r="Q798" s="18">
        <f>IF($A798&gt;('1-Input'!$B$26+3),0,(MAX(0,P781-IF($A798&gt;='1-Input'!$C$12,'1-Input'!$B$12,0))-MIN(MAX(T797,0),MAX(0,P781-IF($A798&gt;='1-Input'!$C$12,'1-Input'!$B$12,0))))*(1/(1-'P-Parametri'!$B$6*P798))+MIN(MAX(0,U797-(MAX(0,P781-IF($A798&gt;='1-Input'!$C$12,'1-Input'!$B$12,0))-MIN(MAX(T797,0),MAX(0,P781-IF($A798&gt;='1-Input'!$C$12,'1-Input'!$B$12,0))))*(1/(1-'P-Parametri'!$B$6*P798))),MAX(0,0*P781-(T797-MIN(MAX(T797,0),MAX(0,P781-IF($A798&gt;='1-Input'!$C$12,'1-Input'!$B$12,0)))))*(1/(1-'P-Parametri'!$B$6*P798))))</f>
        <v>21429.076666341534</v>
      </c>
      <c r="R798" s="18">
        <f>IF($A798&gt;('1-Input'!$B$26+3),T797,(T797-MAX(0,P781-IF($A798&gt;='1-Input'!$C$12,'1-Input'!$B$12,0))+Q798*(1-'P-Parametri'!$B$6*P798))*(1+'1-Input'!$B$27))</f>
        <v>-3.6248820833861826E-12</v>
      </c>
      <c r="S798" s="18">
        <f>IF($A798&gt;('1-Input'!$B$26+3),U797,(U797-Q798)*(1+'5-Roberta'!$C$4))</f>
        <v>275109.27013100951</v>
      </c>
      <c r="T798" s="18">
        <f>IF($A798&gt;('1-Input'!$B$26+3),R798,R798-'P-Parametri'!$B$8*(S798+R798)+MIN(MAX(S798,0),'P-Parametri'!$B$8*(S798+R798)))</f>
        <v>-3.637978807091713E-12</v>
      </c>
      <c r="U798" s="18">
        <f>IF($A798&gt;('1-Input'!$B$26+3),S798,S798-MIN(MAX(S798,0),'P-Parametri'!$B$8*(S798+R798)))</f>
        <v>274559.05159074749</v>
      </c>
      <c r="V798" s="18">
        <f>IF($A798&gt;('1-Input'!$B$26+3),V797,V797-Q798*(1-P798))</f>
        <v>142310.77796431468</v>
      </c>
      <c r="W798" s="11">
        <f>IF($A798&gt;('1-Input'!$B$26+3),0,IF(AB797&lt;=0,0,MAX(0,(AB797-AC797)/AB797)))</f>
        <v>0.46719315843685866</v>
      </c>
      <c r="X798" s="18">
        <f>IF($A798&gt;('1-Input'!$B$26+3),0,(MAX(0,W781-IF($A798&gt;='1-Input'!$C$12,'1-Input'!$B$12,0))-MIN(MAX(AA797,0),MAX(0,W781-IF($A798&gt;='1-Input'!$C$12,'1-Input'!$B$12,0))))*(1/(1-'P-Parametri'!$B$6*W798))+MIN(MAX(0,AB797-(MAX(0,W781-IF($A798&gt;='1-Input'!$C$12,'1-Input'!$B$12,0))-MIN(MAX(AA797,0),MAX(0,W781-IF($A798&gt;='1-Input'!$C$12,'1-Input'!$B$12,0))))*(1/(1-'P-Parametri'!$B$6*W798))),MAX(0,0*W781-(AA797-MIN(MAX(AA797,0),MAX(0,W781-IF($A798&gt;='1-Input'!$C$12,'1-Input'!$B$12,0)))))*(1/(1-'P-Parametri'!$B$6*W798))))</f>
        <v>21136.50844278968</v>
      </c>
      <c r="Y798" s="18">
        <f>IF($A798&gt;('1-Input'!$B$26+3),AA797,(AA797-MAX(0,W781-IF($A798&gt;='1-Input'!$C$12,'1-Input'!$B$12,0))+X798*(1-'P-Parametri'!$B$6*W798))*(1+'1-Input'!$B$27))</f>
        <v>0</v>
      </c>
      <c r="Z798" s="18">
        <f>IF($A798&gt;('1-Input'!$B$26+3),AB797,(AB797-X798)*(1+'5-Roberta'!$C$4))</f>
        <v>280432.48282057192</v>
      </c>
      <c r="AA798" s="18">
        <f>IF($A798&gt;('1-Input'!$B$26+3),Y798,Y798-'P-Parametri'!$B$8*(Z798+Y798)+MIN(MAX(Z798,0),'P-Parametri'!$B$8*(Z798+Y798)))</f>
        <v>0</v>
      </c>
      <c r="AB798" s="18">
        <f>IF($A798&gt;('1-Input'!$B$26+3),Z798,Z798-MIN(MAX(Z798,0),'P-Parametri'!$B$8*(Z798+Y798)))</f>
        <v>279871.61785493075</v>
      </c>
      <c r="AC798" s="18">
        <f>IF($A798&gt;('1-Input'!$B$26+3),AC797,AC797-X798*(1-W798))</f>
        <v>145064.41305178526</v>
      </c>
      <c r="AD798" s="11">
        <f>IF($A798&gt;('1-Input'!$B$26+3),0,IF(AI797&lt;=0,0,MAX(0,(AI797-AJ797)/AI797)))</f>
        <v>0.46719315843685894</v>
      </c>
      <c r="AE798" s="18">
        <f>IF($A798&gt;('1-Input'!$B$26+3),0,(MAX(0,AD781-IF($A798&gt;='1-Input'!$C$12,'1-Input'!$B$12,0))-MIN(MAX(AH797,0),MAX(0,AD781-IF($A798&gt;='1-Input'!$C$12,'1-Input'!$B$12,0))))*(1/(1-'P-Parametri'!$B$6*AD798))+MIN(MAX(0,AI797-(MAX(0,AD781-IF($A798&gt;='1-Input'!$C$12,'1-Input'!$B$12,0))-MIN(MAX(AH797,0),MAX(0,AD781-IF($A798&gt;='1-Input'!$C$12,'1-Input'!$B$12,0))))*(1/(1-'P-Parametri'!$B$6*AD798))),MAX(0,0*AD781-(AH797-MIN(MAX(AH797,0),MAX(0,AD781-IF($A798&gt;='1-Input'!$C$12,'1-Input'!$B$12,0)))))*(1/(1-'P-Parametri'!$B$6*AD798))))</f>
        <v>21151.653876907883</v>
      </c>
      <c r="AF798" s="18">
        <f>IF($A798&gt;('1-Input'!$B$26+3),AH797,(AH797-MAX(0,AD781-IF($A798&gt;='1-Input'!$C$12,'1-Input'!$B$12,0))+AE798*(1-'P-Parametri'!$B$6*AD798))*(1+'1-Input'!$B$27))</f>
        <v>0</v>
      </c>
      <c r="AG798" s="18">
        <f>IF($A798&gt;('1-Input'!$B$26+3),AI797,(AI797-AE798)*(1+'5-Roberta'!$C$4))</f>
        <v>280156.91507056769</v>
      </c>
      <c r="AH798" s="18">
        <f>IF($A798&gt;('1-Input'!$B$26+3),AF798,AF798-'P-Parametri'!$B$8*(AG798+AF798)+MIN(MAX(AG798,0),'P-Parametri'!$B$8*(AG798+AF798)))</f>
        <v>0</v>
      </c>
      <c r="AI798" s="18">
        <f>IF($A798&gt;('1-Input'!$B$26+3),AG798,AG798-MIN(MAX(AG798,0),'P-Parametri'!$B$8*(AG798+AF798)))</f>
        <v>279596.60124042653</v>
      </c>
      <c r="AJ798" s="18">
        <f>IF($A798&gt;('1-Input'!$B$26+3),AJ797,AJ797-AE798*(1-AD798))</f>
        <v>144921.86510759449</v>
      </c>
      <c r="AK798" s="11">
        <f>IF($A798&gt;('1-Input'!$B$26+3),0,IF(AP797&lt;=0,0,MAX(0,(AP797-AQ797)/AP797)))</f>
        <v>0.46719315843685888</v>
      </c>
      <c r="AL798" s="18">
        <f>IF($A798&gt;('1-Input'!$B$26+3),0,(MAX(0,AK781-IF($A798&gt;='1-Input'!$C$12,'1-Input'!$B$12,0))-MIN(MAX(AO797,0),MAX(0,AK781-IF($A798&gt;='1-Input'!$C$12,'1-Input'!$B$12,0))))*(1/(1-'P-Parametri'!$B$6*AK798))+MIN(MAX(0,AP797-(MAX(0,AK781-IF($A798&gt;='1-Input'!$C$12,'1-Input'!$B$12,0))-MIN(MAX(AO797,0),MAX(0,AK781-IF($A798&gt;='1-Input'!$C$12,'1-Input'!$B$12,0))))*(1/(1-'P-Parametri'!$B$6*AK798))),MAX(0,0*AK781-(AO797-MIN(MAX(AO797,0),MAX(0,AK781-IF($A798&gt;='1-Input'!$C$12,'1-Input'!$B$12,0)))))*(1/(1-'P-Parametri'!$B$6*AK798))))</f>
        <v>21149.57665654477</v>
      </c>
      <c r="AM798" s="18">
        <f>IF($A798&gt;('1-Input'!$B$26+3),AO797,(AO797-MAX(0,AK781-IF($A798&gt;='1-Input'!$C$12,'1-Input'!$B$12,0))+AL798*(1-'P-Parametri'!$B$6*AK798))*(1+'1-Input'!$B$27))</f>
        <v>0</v>
      </c>
      <c r="AN798" s="18">
        <f>IF($A798&gt;('1-Input'!$B$26+3),AP797,(AP797-AL798)*(1+'5-Roberta'!$C$4))</f>
        <v>280194.70962549822</v>
      </c>
      <c r="AO798" s="18">
        <f>IF($A798&gt;('1-Input'!$B$26+3),AM798,AM798-'P-Parametri'!$B$8*(AN798+AM798)+MIN(MAX(AN798,0),'P-Parametri'!$B$8*(AN798+AM798)))</f>
        <v>0</v>
      </c>
      <c r="AP798" s="18">
        <f>IF($A798&gt;('1-Input'!$B$26+3),AN798,AN798-MIN(MAX(AN798,0),'P-Parametri'!$B$8*(AN798+AM798)))</f>
        <v>279634.32020624721</v>
      </c>
      <c r="AQ798" s="18">
        <f>IF($A798&gt;('1-Input'!$B$26+3),AQ797,AQ797-AL798*(1-AK798))</f>
        <v>144941.4157847215</v>
      </c>
    </row>
    <row r="799" spans="1:43">
      <c r="A799" s="10">
        <f>16</f>
        <v>16</v>
      </c>
      <c r="B799" s="11">
        <f>IF($A799&gt;('1-Input'!$B$26+3),0,IF(G798&lt;=0,0,MAX(0,(G798-H798)/G798)))</f>
        <v>0.48167515461686344</v>
      </c>
      <c r="C799" s="18">
        <f>IF($A799&gt;('1-Input'!$B$26+3),0,(MAX(0,B781-IF($A799&gt;='1-Input'!$C$12,'1-Input'!$B$12,0))-MIN(MAX(F798,0),MAX(0,B781-IF($A799&gt;='1-Input'!$C$12,'1-Input'!$B$12,0))))*(1/(1-'P-Parametri'!$B$6*B799))+MIN(MAX(0,G798-(MAX(0,B781-IF($A799&gt;='1-Input'!$C$12,'1-Input'!$B$12,0))-MIN(MAX(F798,0),MAX(0,B781-IF($A799&gt;='1-Input'!$C$12,'1-Input'!$B$12,0))))*(1/(1-'P-Parametri'!$B$6*B799))),MAX(0,0*B781-(F798-MIN(MAX(F798,0),MAX(0,B781-IF($A799&gt;='1-Input'!$C$12,'1-Input'!$B$12,0)))))*(1/(1-'P-Parametri'!$B$6*B799))))</f>
        <v>19069.196430827764</v>
      </c>
      <c r="D799" s="18">
        <f>IF($A799&gt;('1-Input'!$B$26+3),F798,(F798-MAX(0,B781-IF($A799&gt;='1-Input'!$C$12,'1-Input'!$B$12,0))+C799*(1-'P-Parametri'!$B$6*B799))*(1+'1-Input'!$B$27))</f>
        <v>3.6248820833861826E-12</v>
      </c>
      <c r="E799" s="18">
        <f>IF($A799&gt;('1-Input'!$B$26+3),G798,(G798-C799)*(1+'5-Roberta'!$C$4))</f>
        <v>308820.30548811343</v>
      </c>
      <c r="F799" s="18">
        <f>IF($A799&gt;('1-Input'!$B$26+3),D799,D799-'P-Parametri'!$B$8*(E799+D799)+MIN(MAX(E799,0),'P-Parametri'!$B$8*(E799+D799)))</f>
        <v>3.637978807091713E-12</v>
      </c>
      <c r="G799" s="18">
        <f>IF($A799&gt;('1-Input'!$B$26+3),E799,E799-MIN(MAX(E799,0),'P-Parametri'!$B$8*(E799+D799)))</f>
        <v>308202.66487713723</v>
      </c>
      <c r="H799" s="18">
        <f>IF($A799&gt;('1-Input'!$B$26+3),H798,H798-C799*(1-B799))</f>
        <v>155407.02630417416</v>
      </c>
      <c r="I799" s="11">
        <f>IF($A799&gt;('1-Input'!$B$26+3),0,IF(N798&lt;=0,0,MAX(0,(N798-O798)/N798)))</f>
        <v>0.48167515461686389</v>
      </c>
      <c r="J799" s="18">
        <f>IF($A799&gt;('1-Input'!$B$26+3),0,(MAX(0,I781-IF($A799&gt;='1-Input'!$C$12,'1-Input'!$B$12,0))-MIN(MAX(M798,0),MAX(0,I781-IF($A799&gt;='1-Input'!$C$12,'1-Input'!$B$12,0))))*(1/(1-'P-Parametri'!$B$6*I799))+MIN(MAX(0,N798-(MAX(0,I781-IF($A799&gt;='1-Input'!$C$12,'1-Input'!$B$12,0))-MIN(MAX(M798,0),MAX(0,I781-IF($A799&gt;='1-Input'!$C$12,'1-Input'!$B$12,0))))*(1/(1-'P-Parametri'!$B$6*I799))),MAX(0,0*I781-(M798-MIN(MAX(M798,0),MAX(0,I781-IF($A799&gt;='1-Input'!$C$12,'1-Input'!$B$12,0)))))*(1/(1-'P-Parametri'!$B$6*I799))))</f>
        <v>25091.047935299692</v>
      </c>
      <c r="K799" s="18">
        <f>IF($A799&gt;('1-Input'!$B$26+3),M798,(M798-MAX(0,I781-IF($A799&gt;='1-Input'!$C$12,'1-Input'!$B$12,0))+J799*(1-'P-Parametri'!$B$6*I799))*(1+'1-Input'!$B$27))</f>
        <v>0</v>
      </c>
      <c r="L799" s="18">
        <f>IF($A799&gt;('1-Input'!$B$26+3),N798,(N798-J799)*(1+'5-Roberta'!$C$4))</f>
        <v>190473.00508865056</v>
      </c>
      <c r="M799" s="18">
        <f>IF($A799&gt;('1-Input'!$B$26+3),K799,K799-'P-Parametri'!$B$8*(L799+K799)+MIN(MAX(L799,0),'P-Parametri'!$B$8*(L799+K799)))</f>
        <v>0</v>
      </c>
      <c r="N799" s="18">
        <f>IF($A799&gt;('1-Input'!$B$26+3),L799,L799-MIN(MAX(L799,0),'P-Parametri'!$B$8*(L799+K799)))</f>
        <v>190092.05907847325</v>
      </c>
      <c r="O799" s="18">
        <f>IF($A799&gt;('1-Input'!$B$26+3),O798,O798-J799*(1-I799))</f>
        <v>95851.350400229217</v>
      </c>
      <c r="P799" s="11">
        <f>IF($A799&gt;('1-Input'!$B$26+3),0,IF(U798&lt;=0,0,MAX(0,(U798-V798)/U798)))</f>
        <v>0.48167515461686389</v>
      </c>
      <c r="Q799" s="18">
        <f>IF($A799&gt;('1-Input'!$B$26+3),0,(MAX(0,P781-IF($A799&gt;='1-Input'!$C$12,'1-Input'!$B$12,0))-MIN(MAX(T798,0),MAX(0,P781-IF($A799&gt;='1-Input'!$C$12,'1-Input'!$B$12,0))))*(1/(1-'P-Parametri'!$B$6*P799))+MIN(MAX(0,U798-(MAX(0,P781-IF($A799&gt;='1-Input'!$C$12,'1-Input'!$B$12,0))-MIN(MAX(T798,0),MAX(0,P781-IF($A799&gt;='1-Input'!$C$12,'1-Input'!$B$12,0))))*(1/(1-'P-Parametri'!$B$6*P799))),MAX(0,0*P781-(T798-MIN(MAX(T798,0),MAX(0,P781-IF($A799&gt;='1-Input'!$C$12,'1-Input'!$B$12,0)))))*(1/(1-'P-Parametri'!$B$6*P799))))</f>
        <v>21521.315564214074</v>
      </c>
      <c r="R799" s="18">
        <f>IF($A799&gt;('1-Input'!$B$26+3),T798,(T798-MAX(0,P781-IF($A799&gt;='1-Input'!$C$12,'1-Input'!$B$12,0))+Q799*(1-'P-Parametri'!$B$6*P799))*(1+'1-Input'!$B$27))</f>
        <v>0</v>
      </c>
      <c r="S799" s="18">
        <f>IF($A799&gt;('1-Input'!$B$26+3),U798,(U798-Q799)*(1+'5-Roberta'!$C$4))</f>
        <v>260628.86810732941</v>
      </c>
      <c r="T799" s="18">
        <f>IF($A799&gt;('1-Input'!$B$26+3),R799,R799-'P-Parametri'!$B$8*(S799+R799)+MIN(MAX(S799,0),'P-Parametri'!$B$8*(S799+R799)))</f>
        <v>0</v>
      </c>
      <c r="U799" s="18">
        <f>IF($A799&gt;('1-Input'!$B$26+3),S799,S799-MIN(MAX(S799,0),'P-Parametri'!$B$8*(S799+R799)))</f>
        <v>260107.61037111474</v>
      </c>
      <c r="V799" s="18">
        <f>IF($A799&gt;('1-Input'!$B$26+3),V798,V798-Q799*(1-P799))</f>
        <v>131155.74540205175</v>
      </c>
      <c r="W799" s="11">
        <f>IF($A799&gt;('1-Input'!$B$26+3),0,IF(AB798&lt;=0,0,MAX(0,(AB798-AC798)/AB798)))</f>
        <v>0.48167515461686344</v>
      </c>
      <c r="X799" s="18">
        <f>IF($A799&gt;('1-Input'!$B$26+3),0,(MAX(0,W781-IF($A799&gt;='1-Input'!$C$12,'1-Input'!$B$12,0))-MIN(MAX(AA798,0),MAX(0,W781-IF($A799&gt;='1-Input'!$C$12,'1-Input'!$B$12,0))))*(1/(1-'P-Parametri'!$B$6*W799))+MIN(MAX(0,AB798-(MAX(0,W781-IF($A799&gt;='1-Input'!$C$12,'1-Input'!$B$12,0))-MIN(MAX(AA798,0),MAX(0,W781-IF($A799&gt;='1-Input'!$C$12,'1-Input'!$B$12,0))))*(1/(1-'P-Parametri'!$B$6*W799))),MAX(0,0*W781-(AA798-MIN(MAX(AA798,0),MAX(0,W781-IF($A799&gt;='1-Input'!$C$12,'1-Input'!$B$12,0)))))*(1/(1-'P-Parametri'!$B$6*W799))))</f>
        <v>21227.488015731273</v>
      </c>
      <c r="Y799" s="18">
        <f>IF($A799&gt;('1-Input'!$B$26+3),AA798,(AA798-MAX(0,W781-IF($A799&gt;='1-Input'!$C$12,'1-Input'!$B$12,0))+X799*(1-'P-Parametri'!$B$6*W799))*(1+'1-Input'!$B$27))</f>
        <v>0</v>
      </c>
      <c r="Z799" s="18">
        <f>IF($A799&gt;('1-Input'!$B$26+3),AB798,(AB798-X799)*(1+'5-Roberta'!$C$4))</f>
        <v>266403.45373437548</v>
      </c>
      <c r="AA799" s="18">
        <f>IF($A799&gt;('1-Input'!$B$26+3),Y799,Y799-'P-Parametri'!$B$8*(Z799+Y799)+MIN(MAX(Z799,0),'P-Parametri'!$B$8*(Z799+Y799)))</f>
        <v>0</v>
      </c>
      <c r="AB799" s="18">
        <f>IF($A799&gt;('1-Input'!$B$26+3),Z799,Z799-MIN(MAX(Z799,0),'P-Parametri'!$B$8*(Z799+Y799)))</f>
        <v>265870.64682690671</v>
      </c>
      <c r="AC799" s="18">
        <f>IF($A799&gt;('1-Input'!$B$26+3),AC798,AC798-X799*(1-W799))</f>
        <v>134061.67860815895</v>
      </c>
      <c r="AD799" s="11">
        <f>IF($A799&gt;('1-Input'!$B$26+3),0,IF(AI798&lt;=0,0,MAX(0,(AI798-AJ798)/AI798)))</f>
        <v>0.48167515461686372</v>
      </c>
      <c r="AE799" s="18">
        <f>IF($A799&gt;('1-Input'!$B$26+3),0,(MAX(0,AD781-IF($A799&gt;='1-Input'!$C$12,'1-Input'!$B$12,0))-MIN(MAX(AH798,0),MAX(0,AD781-IF($A799&gt;='1-Input'!$C$12,'1-Input'!$B$12,0))))*(1/(1-'P-Parametri'!$B$6*AD799))+MIN(MAX(0,AI798-(MAX(0,AD781-IF($A799&gt;='1-Input'!$C$12,'1-Input'!$B$12,0))-MIN(MAX(AH798,0),MAX(0,AD781-IF($A799&gt;='1-Input'!$C$12,'1-Input'!$B$12,0))))*(1/(1-'P-Parametri'!$B$6*AD799))),MAX(0,0*AD781-(AH798-MIN(MAX(AH798,0),MAX(0,AD781-IF($A799&gt;='1-Input'!$C$12,'1-Input'!$B$12,0)))))*(1/(1-'P-Parametri'!$B$6*AD799))))</f>
        <v>21242.698641559444</v>
      </c>
      <c r="AF799" s="18">
        <f>IF($A799&gt;('1-Input'!$B$26+3),AH798,(AH798-MAX(0,AD781-IF($A799&gt;='1-Input'!$C$12,'1-Input'!$B$12,0))+AE799*(1-'P-Parametri'!$B$6*AD799))*(1+'1-Input'!$B$27))</f>
        <v>0</v>
      </c>
      <c r="AG799" s="18">
        <f>IF($A799&gt;('1-Input'!$B$26+3),AI798,(AI798-AE799)*(1+'5-Roberta'!$C$4))</f>
        <v>266104.51967683312</v>
      </c>
      <c r="AH799" s="18">
        <f>IF($A799&gt;('1-Input'!$B$26+3),AF799,AF799-'P-Parametri'!$B$8*(AG799+AF799)+MIN(MAX(AG799,0),'P-Parametri'!$B$8*(AG799+AF799)))</f>
        <v>0</v>
      </c>
      <c r="AI799" s="18">
        <f>IF($A799&gt;('1-Input'!$B$26+3),AG799,AG799-MIN(MAX(AG799,0),'P-Parametri'!$B$8*(AG799+AF799)))</f>
        <v>265572.31063747947</v>
      </c>
      <c r="AJ799" s="18">
        <f>IF($A799&gt;('1-Input'!$B$26+3),AJ798,AJ798-AE799*(1-AD799))</f>
        <v>133911.24661868764</v>
      </c>
      <c r="AK799" s="11">
        <f>IF($A799&gt;('1-Input'!$B$26+3),0,IF(AP798&lt;=0,0,MAX(0,(AP798-AQ798)/AP798)))</f>
        <v>0.48167515461686378</v>
      </c>
      <c r="AL799" s="18">
        <f>IF($A799&gt;('1-Input'!$B$26+3),0,(MAX(0,AK781-IF($A799&gt;='1-Input'!$C$12,'1-Input'!$B$12,0))-MIN(MAX(AO798,0),MAX(0,AK781-IF($A799&gt;='1-Input'!$C$12,'1-Input'!$B$12,0))))*(1/(1-'P-Parametri'!$B$6*AK799))+MIN(MAX(0,AP798-(MAX(0,AK781-IF($A799&gt;='1-Input'!$C$12,'1-Input'!$B$12,0))-MIN(MAX(AO798,0),MAX(0,AK781-IF($A799&gt;='1-Input'!$C$12,'1-Input'!$B$12,0))))*(1/(1-'P-Parametri'!$B$6*AK799))),MAX(0,0*AK781-(AO798-MIN(MAX(AO798,0),MAX(0,AK781-IF($A799&gt;='1-Input'!$C$12,'1-Input'!$B$12,0)))))*(1/(1-'P-Parametri'!$B$6*AK799))))</f>
        <v>21240.612480049684</v>
      </c>
      <c r="AM799" s="18">
        <f>IF($A799&gt;('1-Input'!$B$26+3),AO798,(AO798-MAX(0,AK781-IF($A799&gt;='1-Input'!$C$12,'1-Input'!$B$12,0))+AL799*(1-'P-Parametri'!$B$6*AK799))*(1+'1-Input'!$B$27))</f>
        <v>0</v>
      </c>
      <c r="AN799" s="18">
        <f>IF($A799&gt;('1-Input'!$B$26+3),AP798,(AP798-AL799)*(1+'5-Roberta'!$C$4))</f>
        <v>266145.51895798347</v>
      </c>
      <c r="AO799" s="18">
        <f>IF($A799&gt;('1-Input'!$B$26+3),AM799,AM799-'P-Parametri'!$B$8*(AN799+AM799)+MIN(MAX(AN799,0),'P-Parametri'!$B$8*(AN799+AM799)))</f>
        <v>0</v>
      </c>
      <c r="AP799" s="18">
        <f>IF($A799&gt;('1-Input'!$B$26+3),AN799,AN799-MIN(MAX(AN799,0),'P-Parametri'!$B$8*(AN799+AM799)))</f>
        <v>265613.2279200675</v>
      </c>
      <c r="AQ799" s="18">
        <f>IF($A799&gt;('1-Input'!$B$26+3),AQ798,AQ798-AL799*(1-AK799))</f>
        <v>133931.87860515664</v>
      </c>
    </row>
    <row r="800" spans="1:43">
      <c r="A800" s="10">
        <f>17</f>
        <v>17</v>
      </c>
      <c r="B800" s="11">
        <f>IF($A800&gt;('1-Input'!$B$26+3),0,IF(G799&lt;=0,0,MAX(0,(G799-H799)/G799)))</f>
        <v>0.4957635218172885</v>
      </c>
      <c r="C800" s="18">
        <f>IF($A800&gt;('1-Input'!$B$26+3),0,(MAX(0,B781-IF($A800&gt;='1-Input'!$C$12,'1-Input'!$B$12,0))-MIN(MAX(F799,0),MAX(0,B781-IF($A800&gt;='1-Input'!$C$12,'1-Input'!$B$12,0))))*(1/(1-'P-Parametri'!$B$6*B800))+MIN(MAX(0,G799-(MAX(0,B781-IF($A800&gt;='1-Input'!$C$12,'1-Input'!$B$12,0))-MIN(MAX(F799,0),MAX(0,B781-IF($A800&gt;='1-Input'!$C$12,'1-Input'!$B$12,0))))*(1/(1-'P-Parametri'!$B$6*B800))),MAX(0,0*B781-(F799-MIN(MAX(F799,0),MAX(0,B781-IF($A800&gt;='1-Input'!$C$12,'1-Input'!$B$12,0)))))*(1/(1-'P-Parametri'!$B$6*B800))))</f>
        <v>19149.382264574673</v>
      </c>
      <c r="D800" s="18">
        <f>IF($A800&gt;('1-Input'!$B$26+3),F799,(F799-MAX(0,B781-IF($A800&gt;='1-Input'!$C$12,'1-Input'!$B$12,0))+C800*(1-'P-Parametri'!$B$6*B800))*(1+'1-Input'!$B$27))</f>
        <v>-3.6248820833861826E-12</v>
      </c>
      <c r="E800" s="18">
        <f>IF($A800&gt;('1-Input'!$B$26+3),G799,(G799-C800)*(1+'5-Roberta'!$C$4))</f>
        <v>297724.88109093939</v>
      </c>
      <c r="F800" s="18">
        <f>IF($A800&gt;('1-Input'!$B$26+3),D800,D800-'P-Parametri'!$B$8*(E800+D800)+MIN(MAX(E800,0),'P-Parametri'!$B$8*(E800+D800)))</f>
        <v>-3.637978807091713E-12</v>
      </c>
      <c r="G800" s="18">
        <f>IF($A800&gt;('1-Input'!$B$26+3),E800,E800-MIN(MAX(E800,0),'P-Parametri'!$B$8*(E800+D800)))</f>
        <v>297129.43132875749</v>
      </c>
      <c r="H800" s="18">
        <f>IF($A800&gt;('1-Input'!$B$26+3),H799,H799-C800*(1-B800))</f>
        <v>145751.20923171056</v>
      </c>
      <c r="I800" s="11">
        <f>IF($A800&gt;('1-Input'!$B$26+3),0,IF(N799&lt;=0,0,MAX(0,(N799-O799)/N799)))</f>
        <v>0.49576352181728883</v>
      </c>
      <c r="J800" s="18">
        <f>IF($A800&gt;('1-Input'!$B$26+3),0,(MAX(0,I781-IF($A800&gt;='1-Input'!$C$12,'1-Input'!$B$12,0))-MIN(MAX(M799,0),MAX(0,I781-IF($A800&gt;='1-Input'!$C$12,'1-Input'!$B$12,0))))*(1/(1-'P-Parametri'!$B$6*I800))+MIN(MAX(0,N799-(MAX(0,I781-IF($A800&gt;='1-Input'!$C$12,'1-Input'!$B$12,0))-MIN(MAX(M799,0),MAX(0,I781-IF($A800&gt;='1-Input'!$C$12,'1-Input'!$B$12,0))))*(1/(1-'P-Parametri'!$B$6*I800))),MAX(0,0*I781-(M799-MIN(MAX(M799,0),MAX(0,I781-IF($A800&gt;='1-Input'!$C$12,'1-Input'!$B$12,0)))))*(1/(1-'P-Parametri'!$B$6*I800))))</f>
        <v>25196.555611282482</v>
      </c>
      <c r="K800" s="18">
        <f>IF($A800&gt;('1-Input'!$B$26+3),M799,(M799-MAX(0,I781-IF($A800&gt;='1-Input'!$C$12,'1-Input'!$B$12,0))+J800*(1-'P-Parametri'!$B$6*I800))*(1+'1-Input'!$B$27))</f>
        <v>0</v>
      </c>
      <c r="L800" s="18">
        <f>IF($A800&gt;('1-Input'!$B$26+3),N799,(N799-J800)*(1+'5-Roberta'!$C$4))</f>
        <v>169842.36857120652</v>
      </c>
      <c r="M800" s="18">
        <f>IF($A800&gt;('1-Input'!$B$26+3),K800,K800-'P-Parametri'!$B$8*(L800+K800)+MIN(MAX(L800,0),'P-Parametri'!$B$8*(L800+K800)))</f>
        <v>0</v>
      </c>
      <c r="N800" s="18">
        <f>IF($A800&gt;('1-Input'!$B$26+3),L800,L800-MIN(MAX(L800,0),'P-Parametri'!$B$8*(L800+K800)))</f>
        <v>169502.68383406411</v>
      </c>
      <c r="O800" s="18">
        <f>IF($A800&gt;('1-Input'!$B$26+3),O799,O799-J800*(1-I800))</f>
        <v>83146.327936461312</v>
      </c>
      <c r="P800" s="11">
        <f>IF($A800&gt;('1-Input'!$B$26+3),0,IF(U799&lt;=0,0,MAX(0,(U799-V799)/U799)))</f>
        <v>0.49576352181728878</v>
      </c>
      <c r="Q800" s="18">
        <f>IF($A800&gt;('1-Input'!$B$26+3),0,(MAX(0,P781-IF($A800&gt;='1-Input'!$C$12,'1-Input'!$B$12,0))-MIN(MAX(T799,0),MAX(0,P781-IF($A800&gt;='1-Input'!$C$12,'1-Input'!$B$12,0))))*(1/(1-'P-Parametri'!$B$6*P800))+MIN(MAX(0,U799-(MAX(0,P781-IF($A800&gt;='1-Input'!$C$12,'1-Input'!$B$12,0))-MIN(MAX(T799,0),MAX(0,P781-IF($A800&gt;='1-Input'!$C$12,'1-Input'!$B$12,0))))*(1/(1-'P-Parametri'!$B$6*P800))),MAX(0,0*P781-(T799-MIN(MAX(T799,0),MAX(0,P781-IF($A800&gt;='1-Input'!$C$12,'1-Input'!$B$12,0)))))*(1/(1-'P-Parametri'!$B$6*P800))))</f>
        <v>21611.8125412685</v>
      </c>
      <c r="R800" s="18">
        <f>IF($A800&gt;('1-Input'!$B$26+3),T799,(T799-MAX(0,P781-IF($A800&gt;='1-Input'!$C$12,'1-Input'!$B$12,0))+Q800*(1-'P-Parametri'!$B$6*P800))*(1+'1-Input'!$B$27))</f>
        <v>0</v>
      </c>
      <c r="S800" s="18">
        <f>IF($A800&gt;('1-Input'!$B$26+3),U799,(U799-Q800)*(1+'5-Roberta'!$C$4))</f>
        <v>245650.67176474162</v>
      </c>
      <c r="T800" s="18">
        <f>IF($A800&gt;('1-Input'!$B$26+3),R800,R800-'P-Parametri'!$B$8*(S800+R800)+MIN(MAX(S800,0),'P-Parametri'!$B$8*(S800+R800)))</f>
        <v>0</v>
      </c>
      <c r="U800" s="18">
        <f>IF($A800&gt;('1-Input'!$B$26+3),S800,S800-MIN(MAX(S800,0),'P-Parametri'!$B$8*(S800+R800)))</f>
        <v>245159.37042121214</v>
      </c>
      <c r="V800" s="18">
        <f>IF($A800&gt;('1-Input'!$B$26+3),V799,V799-Q800*(1-P800))</f>
        <v>120258.28115909756</v>
      </c>
      <c r="W800" s="11">
        <f>IF($A800&gt;('1-Input'!$B$26+3),0,IF(AB799&lt;=0,0,MAX(0,(AB799-AC799)/AB799)))</f>
        <v>0.49576352181728844</v>
      </c>
      <c r="X800" s="18">
        <f>IF($A800&gt;('1-Input'!$B$26+3),0,(MAX(0,W781-IF($A800&gt;='1-Input'!$C$12,'1-Input'!$B$12,0))-MIN(MAX(AA799,0),MAX(0,W781-IF($A800&gt;='1-Input'!$C$12,'1-Input'!$B$12,0))))*(1/(1-'P-Parametri'!$B$6*W800))+MIN(MAX(0,AB799-(MAX(0,W781-IF($A800&gt;='1-Input'!$C$12,'1-Input'!$B$12,0))-MIN(MAX(AA799,0),MAX(0,W781-IF($A800&gt;='1-Input'!$C$12,'1-Input'!$B$12,0))))*(1/(1-'P-Parametri'!$B$6*W800))),MAX(0,0*W781-(AA799-MIN(MAX(AA799,0),MAX(0,W781-IF($A800&gt;='1-Input'!$C$12,'1-Input'!$B$12,0)))))*(1/(1-'P-Parametri'!$B$6*W800))))</f>
        <v>21316.749450059066</v>
      </c>
      <c r="Y800" s="18">
        <f>IF($A800&gt;('1-Input'!$B$26+3),AA799,(AA799-MAX(0,W781-IF($A800&gt;='1-Input'!$C$12,'1-Input'!$B$12,0))+X800*(1-'P-Parametri'!$B$6*W800))*(1+'1-Input'!$B$27))</f>
        <v>0</v>
      </c>
      <c r="Z800" s="18">
        <f>IF($A800&gt;('1-Input'!$B$26+3),AB799,(AB799-X800)*(1+'5-Roberta'!$C$4))</f>
        <v>251890.51429815308</v>
      </c>
      <c r="AA800" s="18">
        <f>IF($A800&gt;('1-Input'!$B$26+3),Y800,Y800-'P-Parametri'!$B$8*(Z800+Y800)+MIN(MAX(Z800,0),'P-Parametri'!$B$8*(Z800+Y800)))</f>
        <v>0</v>
      </c>
      <c r="AB800" s="18">
        <f>IF($A800&gt;('1-Input'!$B$26+3),Z800,Z800-MIN(MAX(Z800,0),'P-Parametri'!$B$8*(Z800+Y800)))</f>
        <v>251386.73326955677</v>
      </c>
      <c r="AC800" s="18">
        <f>IF($A800&gt;('1-Input'!$B$26+3),AC799,AC799-X800*(1-W800))</f>
        <v>123312.99593915792</v>
      </c>
      <c r="AD800" s="11">
        <f>IF($A800&gt;('1-Input'!$B$26+3),0,IF(AI799&lt;=0,0,MAX(0,(AI799-AJ799)/AI799)))</f>
        <v>0.49576352181728872</v>
      </c>
      <c r="AE800" s="18">
        <f>IF($A800&gt;('1-Input'!$B$26+3),0,(MAX(0,AD781-IF($A800&gt;='1-Input'!$C$12,'1-Input'!$B$12,0))-MIN(MAX(AH799,0),MAX(0,AD781-IF($A800&gt;='1-Input'!$C$12,'1-Input'!$B$12,0))))*(1/(1-'P-Parametri'!$B$6*AD800))+MIN(MAX(0,AI799-(MAX(0,AD781-IF($A800&gt;='1-Input'!$C$12,'1-Input'!$B$12,0))-MIN(MAX(AH799,0),MAX(0,AD781-IF($A800&gt;='1-Input'!$C$12,'1-Input'!$B$12,0))))*(1/(1-'P-Parametri'!$B$6*AD800))),MAX(0,0*AD781-(AH799-MIN(MAX(AH799,0),MAX(0,AD781-IF($A800&gt;='1-Input'!$C$12,'1-Input'!$B$12,0)))))*(1/(1-'P-Parametri'!$B$6*AD800))))</f>
        <v>21332.02403645937</v>
      </c>
      <c r="AF800" s="18">
        <f>IF($A800&gt;('1-Input'!$B$26+3),AH799,(AH799-MAX(0,AD781-IF($A800&gt;='1-Input'!$C$12,'1-Input'!$B$12,0))+AE800*(1-'P-Parametri'!$B$6*AD800))*(1+'1-Input'!$B$27))</f>
        <v>0</v>
      </c>
      <c r="AG800" s="18">
        <f>IF($A800&gt;('1-Input'!$B$26+3),AI799,(AI799-AE800)*(1+'5-Roberta'!$C$4))</f>
        <v>251567.49519905073</v>
      </c>
      <c r="AH800" s="18">
        <f>IF($A800&gt;('1-Input'!$B$26+3),AF800,AF800-'P-Parametri'!$B$8*(AG800+AF800)+MIN(MAX(AG800,0),'P-Parametri'!$B$8*(AG800+AF800)))</f>
        <v>0</v>
      </c>
      <c r="AI800" s="18">
        <f>IF($A800&gt;('1-Input'!$B$26+3),AG800,AG800-MIN(MAX(AG800,0),'P-Parametri'!$B$8*(AG800+AF800)))</f>
        <v>251064.36020865262</v>
      </c>
      <c r="AJ800" s="18">
        <f>IF($A800&gt;('1-Input'!$B$26+3),AJ799,AJ799-AE800*(1-AD800))</f>
        <v>123154.86194603442</v>
      </c>
      <c r="AK800" s="11">
        <f>IF($A800&gt;('1-Input'!$B$26+3),0,IF(AP799&lt;=0,0,MAX(0,(AP799-AQ799)/AP799)))</f>
        <v>0.49576352181728867</v>
      </c>
      <c r="AL800" s="18">
        <f>IF($A800&gt;('1-Input'!$B$26+3),0,(MAX(0,AK781-IF($A800&gt;='1-Input'!$C$12,'1-Input'!$B$12,0))-MIN(MAX(AO799,0),MAX(0,AK781-IF($A800&gt;='1-Input'!$C$12,'1-Input'!$B$12,0))))*(1/(1-'P-Parametri'!$B$6*AK800))+MIN(MAX(0,AP799-(MAX(0,AK781-IF($A800&gt;='1-Input'!$C$12,'1-Input'!$B$12,0))-MIN(MAX(AO799,0),MAX(0,AK781-IF($A800&gt;='1-Input'!$C$12,'1-Input'!$B$12,0))))*(1/(1-'P-Parametri'!$B$6*AK800))),MAX(0,0*AK781-(AO799-MIN(MAX(AO799,0),MAX(0,AK781-IF($A800&gt;='1-Input'!$C$12,'1-Input'!$B$12,0)))))*(1/(1-'P-Parametri'!$B$6*AK800))))</f>
        <v>21329.929102655478</v>
      </c>
      <c r="AM800" s="18">
        <f>IF($A800&gt;('1-Input'!$B$26+3),AO799,(AO799-MAX(0,AK781-IF($A800&gt;='1-Input'!$C$12,'1-Input'!$B$12,0))+AL800*(1-'P-Parametri'!$B$6*AK800))*(1+'1-Input'!$B$27))</f>
        <v>0</v>
      </c>
      <c r="AN800" s="18">
        <f>IF($A800&gt;('1-Input'!$B$26+3),AP799,(AP799-AL800)*(1+'5-Roberta'!$C$4))</f>
        <v>251611.79778193438</v>
      </c>
      <c r="AO800" s="18">
        <f>IF($A800&gt;('1-Input'!$B$26+3),AM800,AM800-'P-Parametri'!$B$8*(AN800+AM800)+MIN(MAX(AN800,0),'P-Parametri'!$B$8*(AN800+AM800)))</f>
        <v>0</v>
      </c>
      <c r="AP800" s="18">
        <f>IF($A800&gt;('1-Input'!$B$26+3),AN800,AN800-MIN(MAX(AN800,0),'P-Parametri'!$B$8*(AN800+AM800)))</f>
        <v>251108.5741863705</v>
      </c>
      <c r="AQ800" s="18">
        <f>IF($A800&gt;('1-Input'!$B$26+3),AQ799,AQ799-AL800*(1-AK800))</f>
        <v>123176.55027454672</v>
      </c>
    </row>
    <row r="801" spans="1:43">
      <c r="A801" s="10">
        <f>18</f>
        <v>18</v>
      </c>
      <c r="B801" s="11">
        <f>IF($A801&gt;('1-Input'!$B$26+3),0,IF(G800&lt;=0,0,MAX(0,(G800-H800)/G800)))</f>
        <v>0.50946895910003343</v>
      </c>
      <c r="C801" s="18">
        <f>IF($A801&gt;('1-Input'!$B$26+3),0,(MAX(0,B781-IF($A801&gt;='1-Input'!$C$12,'1-Input'!$B$12,0))-MIN(MAX(F800,0),MAX(0,B781-IF($A801&gt;='1-Input'!$C$12,'1-Input'!$B$12,0))))*(1/(1-'P-Parametri'!$B$6*B801))+MIN(MAX(0,G800-(MAX(0,B781-IF($A801&gt;='1-Input'!$C$12,'1-Input'!$B$12,0))-MIN(MAX(F800,0),MAX(0,B781-IF($A801&gt;='1-Input'!$C$12,'1-Input'!$B$12,0))))*(1/(1-'P-Parametri'!$B$6*B801))),MAX(0,0*B781-(F800-MIN(MAX(F800,0),MAX(0,B781-IF($A801&gt;='1-Input'!$C$12,'1-Input'!$B$12,0)))))*(1/(1-'P-Parametri'!$B$6*B801))))</f>
        <v>19228.038375809145</v>
      </c>
      <c r="D801" s="18">
        <f>IF($A801&gt;('1-Input'!$B$26+3),F800,(F800-MAX(0,B781-IF($A801&gt;='1-Input'!$C$12,'1-Input'!$B$12,0))+C801*(1-'P-Parametri'!$B$6*B801))*(1+'1-Input'!$B$27))</f>
        <v>3.6248820833861826E-12</v>
      </c>
      <c r="E801" s="18">
        <f>IF($A801&gt;('1-Input'!$B$26+3),G800,(G800-C801)*(1+'5-Roberta'!$C$4))</f>
        <v>286238.4347415368</v>
      </c>
      <c r="F801" s="18">
        <f>IF($A801&gt;('1-Input'!$B$26+3),D801,D801-'P-Parametri'!$B$8*(E801+D801)+MIN(MAX(E801,0),'P-Parametri'!$B$8*(E801+D801)))</f>
        <v>3.637978807091713E-12</v>
      </c>
      <c r="G801" s="18">
        <f>IF($A801&gt;('1-Input'!$B$26+3),E801,E801-MIN(MAX(E801,0),'P-Parametri'!$B$8*(E801+D801)))</f>
        <v>285665.95787205372</v>
      </c>
      <c r="H801" s="18">
        <f>IF($A801&gt;('1-Input'!$B$26+3),H800,H800-C801*(1-B801))</f>
        <v>136319.2595527604</v>
      </c>
      <c r="I801" s="11">
        <f>IF($A801&gt;('1-Input'!$B$26+3),0,IF(N800&lt;=0,0,MAX(0,(N800-O800)/N800)))</f>
        <v>0.50946895910003398</v>
      </c>
      <c r="J801" s="18">
        <f>IF($A801&gt;('1-Input'!$B$26+3),0,(MAX(0,I781-IF($A801&gt;='1-Input'!$C$12,'1-Input'!$B$12,0))-MIN(MAX(M800,0),MAX(0,I781-IF($A801&gt;='1-Input'!$C$12,'1-Input'!$B$12,0))))*(1/(1-'P-Parametri'!$B$6*I801))+MIN(MAX(0,N800-(MAX(0,I781-IF($A801&gt;='1-Input'!$C$12,'1-Input'!$B$12,0))-MIN(MAX(M800,0),MAX(0,I781-IF($A801&gt;='1-Input'!$C$12,'1-Input'!$B$12,0))))*(1/(1-'P-Parametri'!$B$6*I801))),MAX(0,0*I781-(M800-MIN(MAX(M800,0),MAX(0,I781-IF($A801&gt;='1-Input'!$C$12,'1-Input'!$B$12,0)))))*(1/(1-'P-Parametri'!$B$6*I801))))</f>
        <v>25300.050494485713</v>
      </c>
      <c r="K801" s="18">
        <f>IF($A801&gt;('1-Input'!$B$26+3),M800,(M800-MAX(0,I781-IF($A801&gt;='1-Input'!$C$12,'1-Input'!$B$12,0))+J801*(1-'P-Parametri'!$B$6*I801))*(1+'1-Input'!$B$27))</f>
        <v>-3.6248820833861826E-12</v>
      </c>
      <c r="L801" s="18">
        <f>IF($A801&gt;('1-Input'!$B$26+3),N800,(N800-J801)*(1+'5-Roberta'!$C$4))</f>
        <v>148528.71233976577</v>
      </c>
      <c r="M801" s="18">
        <f>IF($A801&gt;('1-Input'!$B$26+3),K801,K801-'P-Parametri'!$B$8*(L801+K801)+MIN(MAX(L801,0),'P-Parametri'!$B$8*(L801+K801)))</f>
        <v>-3.637978807091713E-12</v>
      </c>
      <c r="N801" s="18">
        <f>IF($A801&gt;('1-Input'!$B$26+3),L801,L801-MIN(MAX(L801,0),'P-Parametri'!$B$8*(L801+K801)))</f>
        <v>148231.65491508623</v>
      </c>
      <c r="O801" s="18">
        <f>IF($A801&gt;('1-Input'!$B$26+3),O800,O800-J801*(1-I801))</f>
        <v>70735.867832579534</v>
      </c>
      <c r="P801" s="11">
        <f>IF($A801&gt;('1-Input'!$B$26+3),0,IF(U800&lt;=0,0,MAX(0,(U800-V800)/U800)))</f>
        <v>0.50946895910003387</v>
      </c>
      <c r="Q801" s="18">
        <f>IF($A801&gt;('1-Input'!$B$26+3),0,(MAX(0,P781-IF($A801&gt;='1-Input'!$C$12,'1-Input'!$B$12,0))-MIN(MAX(T800,0),MAX(0,P781-IF($A801&gt;='1-Input'!$C$12,'1-Input'!$B$12,0))))*(1/(1-'P-Parametri'!$B$6*P801))+MIN(MAX(0,U800-(MAX(0,P781-IF($A801&gt;='1-Input'!$C$12,'1-Input'!$B$12,0))-MIN(MAX(T800,0),MAX(0,P781-IF($A801&gt;='1-Input'!$C$12,'1-Input'!$B$12,0))))*(1/(1-'P-Parametri'!$B$6*P801))),MAX(0,0*P781-(T800-MIN(MAX(T800,0),MAX(0,P781-IF($A801&gt;='1-Input'!$C$12,'1-Input'!$B$12,0)))))*(1/(1-'P-Parametri'!$B$6*P801))))</f>
        <v>21700.583087896994</v>
      </c>
      <c r="R801" s="18">
        <f>IF($A801&gt;('1-Input'!$B$26+3),T800,(T800-MAX(0,P781-IF($A801&gt;='1-Input'!$C$12,'1-Input'!$B$12,0))+Q801*(1-'P-Parametri'!$B$6*P801))*(1+'1-Input'!$B$27))</f>
        <v>3.6248820833861826E-12</v>
      </c>
      <c r="S801" s="18">
        <f>IF($A801&gt;('1-Input'!$B$26+3),U800,(U800-Q801)*(1+'5-Roberta'!$C$4))</f>
        <v>230162.55095331461</v>
      </c>
      <c r="T801" s="18">
        <f>IF($A801&gt;('1-Input'!$B$26+3),R801,R801-'P-Parametri'!$B$8*(S801+R801)+MIN(MAX(S801,0),'P-Parametri'!$B$8*(S801+R801)))</f>
        <v>3.637978807091713E-12</v>
      </c>
      <c r="U801" s="18">
        <f>IF($A801&gt;('1-Input'!$B$26+3),S801,S801-MIN(MAX(S801,0),'P-Parametri'!$B$8*(S801+R801)))</f>
        <v>229702.22585140797</v>
      </c>
      <c r="V801" s="18">
        <f>IF($A801&gt;('1-Input'!$B$26+3),V800,V800-Q801*(1-P801))</f>
        <v>109613.47154885525</v>
      </c>
      <c r="W801" s="11">
        <f>IF($A801&gt;('1-Input'!$B$26+3),0,IF(AB800&lt;=0,0,MAX(0,(AB800-AC800)/AB800)))</f>
        <v>0.50946895910003354</v>
      </c>
      <c r="X801" s="18">
        <f>IF($A801&gt;('1-Input'!$B$26+3),0,(MAX(0,W781-IF($A801&gt;='1-Input'!$C$12,'1-Input'!$B$12,0))-MIN(MAX(AA800,0),MAX(0,W781-IF($A801&gt;='1-Input'!$C$12,'1-Input'!$B$12,0))))*(1/(1-'P-Parametri'!$B$6*W801))+MIN(MAX(0,AB800-(MAX(0,W781-IF($A801&gt;='1-Input'!$C$12,'1-Input'!$B$12,0))-MIN(MAX(AA800,0),MAX(0,W781-IF($A801&gt;='1-Input'!$C$12,'1-Input'!$B$12,0))))*(1/(1-'P-Parametri'!$B$6*W801))),MAX(0,0*W781-(AA800-MIN(MAX(AA800,0),MAX(0,W781-IF($A801&gt;='1-Input'!$C$12,'1-Input'!$B$12,0)))))*(1/(1-'P-Parametri'!$B$6*W801))))</f>
        <v>21404.308024677044</v>
      </c>
      <c r="Y801" s="18">
        <f>IF($A801&gt;('1-Input'!$B$26+3),AA800,(AA800-MAX(0,W781-IF($A801&gt;='1-Input'!$C$12,'1-Input'!$B$12,0))+X801*(1-'P-Parametri'!$B$6*W801))*(1+'1-Input'!$B$27))</f>
        <v>0</v>
      </c>
      <c r="Z801" s="18">
        <f>IF($A801&gt;('1-Input'!$B$26+3),AB800,(AB800-X801)*(1+'5-Roberta'!$C$4))</f>
        <v>236881.89800222614</v>
      </c>
      <c r="AA801" s="18">
        <f>IF($A801&gt;('1-Input'!$B$26+3),Y801,Y801-'P-Parametri'!$B$8*(Z801+Y801)+MIN(MAX(Z801,0),'P-Parametri'!$B$8*(Z801+Y801)))</f>
        <v>0</v>
      </c>
      <c r="AB801" s="18">
        <f>IF($A801&gt;('1-Input'!$B$26+3),Z801,Z801-MIN(MAX(Z801,0),'P-Parametri'!$B$8*(Z801+Y801)))</f>
        <v>236408.13420622167</v>
      </c>
      <c r="AC801" s="18">
        <f>IF($A801&gt;('1-Input'!$B$26+3),AC800,AC800-X801*(1-W801))</f>
        <v>112813.51844406959</v>
      </c>
      <c r="AD801" s="11">
        <f>IF($A801&gt;('1-Input'!$B$26+3),0,IF(AI800&lt;=0,0,MAX(0,(AI800-AJ800)/AI800)))</f>
        <v>0.50946895910003387</v>
      </c>
      <c r="AE801" s="18">
        <f>IF($A801&gt;('1-Input'!$B$26+3),0,(MAX(0,AD781-IF($A801&gt;='1-Input'!$C$12,'1-Input'!$B$12,0))-MIN(MAX(AH800,0),MAX(0,AD781-IF($A801&gt;='1-Input'!$C$12,'1-Input'!$B$12,0))))*(1/(1-'P-Parametri'!$B$6*AD801))+MIN(MAX(0,AI800-(MAX(0,AD781-IF($A801&gt;='1-Input'!$C$12,'1-Input'!$B$12,0))-MIN(MAX(AH800,0),MAX(0,AD781-IF($A801&gt;='1-Input'!$C$12,'1-Input'!$B$12,0))))*(1/(1-'P-Parametri'!$B$6*AD801))),MAX(0,0*AD781-(AH800-MIN(MAX(AH800,0),MAX(0,AD781-IF($A801&gt;='1-Input'!$C$12,'1-Input'!$B$12,0)))))*(1/(1-'P-Parametri'!$B$6*AD801))))</f>
        <v>21419.645351459796</v>
      </c>
      <c r="AF801" s="18">
        <f>IF($A801&gt;('1-Input'!$B$26+3),AH800,(AH800-MAX(0,AD781-IF($A801&gt;='1-Input'!$C$12,'1-Input'!$B$12,0))+AE801*(1-'P-Parametri'!$B$6*AD801))*(1+'1-Input'!$B$27))</f>
        <v>0</v>
      </c>
      <c r="AG801" s="18">
        <f>IF($A801&gt;('1-Input'!$B$26+3),AI800,(AI800-AE801)*(1+'5-Roberta'!$C$4))</f>
        <v>236534.0563029086</v>
      </c>
      <c r="AH801" s="18">
        <f>IF($A801&gt;('1-Input'!$B$26+3),AF801,AF801-'P-Parametri'!$B$8*(AG801+AF801)+MIN(MAX(AG801,0),'P-Parametri'!$B$8*(AG801+AF801)))</f>
        <v>0</v>
      </c>
      <c r="AI801" s="18">
        <f>IF($A801&gt;('1-Input'!$B$26+3),AG801,AG801-MIN(MAX(AG801,0),'P-Parametri'!$B$8*(AG801+AF801)))</f>
        <v>236060.9881903028</v>
      </c>
      <c r="AJ801" s="18">
        <f>IF($A801&gt;('1-Input'!$B$26+3),AJ800,AJ800-AE801*(1-AD801))</f>
        <v>112647.86101607472</v>
      </c>
      <c r="AK801" s="11">
        <f>IF($A801&gt;('1-Input'!$B$26+3),0,IF(AP800&lt;=0,0,MAX(0,(AP800-AQ800)/AP800)))</f>
        <v>0.50946895910003376</v>
      </c>
      <c r="AL801" s="18">
        <f>IF($A801&gt;('1-Input'!$B$26+3),0,(MAX(0,AK781-IF($A801&gt;='1-Input'!$C$12,'1-Input'!$B$12,0))-MIN(MAX(AO800,0),MAX(0,AK781-IF($A801&gt;='1-Input'!$C$12,'1-Input'!$B$12,0))))*(1/(1-'P-Parametri'!$B$6*AK801))+MIN(MAX(0,AP800-(MAX(0,AK781-IF($A801&gt;='1-Input'!$C$12,'1-Input'!$B$12,0))-MIN(MAX(AO800,0),MAX(0,AK781-IF($A801&gt;='1-Input'!$C$12,'1-Input'!$B$12,0))))*(1/(1-'P-Parametri'!$B$6*AK801))),MAX(0,0*AK781-(AO800-MIN(MAX(AO800,0),MAX(0,AK781-IF($A801&gt;='1-Input'!$C$12,'1-Input'!$B$12,0)))))*(1/(1-'P-Parametri'!$B$6*AK801))))</f>
        <v>21417.541812712723</v>
      </c>
      <c r="AM801" s="18">
        <f>IF($A801&gt;('1-Input'!$B$26+3),AO800,(AO800-MAX(0,AK781-IF($A801&gt;='1-Input'!$C$12,'1-Input'!$B$12,0))+AL801*(1-'P-Parametri'!$B$6*AK801))*(1+'1-Input'!$B$27))</f>
        <v>0</v>
      </c>
      <c r="AN801" s="18">
        <f>IF($A801&gt;('1-Input'!$B$26+3),AP800,(AP800-AL801)*(1+'5-Roberta'!$C$4))</f>
        <v>236581.7633448675</v>
      </c>
      <c r="AO801" s="18">
        <f>IF($A801&gt;('1-Input'!$B$26+3),AM801,AM801-'P-Parametri'!$B$8*(AN801+AM801)+MIN(MAX(AN801,0),'P-Parametri'!$B$8*(AN801+AM801)))</f>
        <v>0</v>
      </c>
      <c r="AP801" s="18">
        <f>IF($A801&gt;('1-Input'!$B$26+3),AN801,AN801-MIN(MAX(AN801,0),'P-Parametri'!$B$8*(AN801+AM801)))</f>
        <v>236108.59981817778</v>
      </c>
      <c r="AQ801" s="18">
        <f>IF($A801&gt;('1-Input'!$B$26+3),AQ800,AQ800-AL801*(1-AK801))</f>
        <v>112670.58119563819</v>
      </c>
    </row>
    <row r="802" spans="1:43">
      <c r="A802" s="10">
        <f>19</f>
        <v>19</v>
      </c>
      <c r="B802" s="11">
        <f>IF($A802&gt;('1-Input'!$B$26+3),0,IF(G801&lt;=0,0,MAX(0,(G801-H801)/G801)))</f>
        <v>0.52280187472034689</v>
      </c>
      <c r="C802" s="18">
        <f>IF($A802&gt;('1-Input'!$B$26+3),0,(MAX(0,B781-IF($A802&gt;='1-Input'!$C$12,'1-Input'!$B$12,0))-MIN(MAX(F801,0),MAX(0,B781-IF($A802&gt;='1-Input'!$C$12,'1-Input'!$B$12,0))))*(1/(1-'P-Parametri'!$B$6*B802))+MIN(MAX(0,G801-(MAX(0,B781-IF($A802&gt;='1-Input'!$C$12,'1-Input'!$B$12,0))-MIN(MAX(F801,0),MAX(0,B781-IF($A802&gt;='1-Input'!$C$12,'1-Input'!$B$12,0))))*(1/(1-'P-Parametri'!$B$6*B802))),MAX(0,0*B781-(F801-MIN(MAX(F801,0),MAX(0,B781-IF($A802&gt;='1-Input'!$C$12,'1-Input'!$B$12,0)))))*(1/(1-'P-Parametri'!$B$6*B802))))</f>
        <v>19305.179110649275</v>
      </c>
      <c r="D802" s="18">
        <f>IF($A802&gt;('1-Input'!$B$26+3),F801,(F801-MAX(0,B781-IF($A802&gt;='1-Input'!$C$12,'1-Input'!$B$12,0))+C802*(1-'P-Parametri'!$B$6*B802))*(1+'1-Input'!$B$27))</f>
        <v>0</v>
      </c>
      <c r="E802" s="18">
        <f>IF($A802&gt;('1-Input'!$B$26+3),G801,(G801-C802)*(1+'5-Roberta'!$C$4))</f>
        <v>274351.60212424659</v>
      </c>
      <c r="F802" s="18">
        <f>IF($A802&gt;('1-Input'!$B$26+3),D802,D802-'P-Parametri'!$B$8*(E802+D802)+MIN(MAX(E802,0),'P-Parametri'!$B$8*(E802+D802)))</f>
        <v>0</v>
      </c>
      <c r="G802" s="18">
        <f>IF($A802&gt;('1-Input'!$B$26+3),E802,E802-MIN(MAX(E802,0),'P-Parametri'!$B$8*(E802+D802)))</f>
        <v>273802.89891999809</v>
      </c>
      <c r="H802" s="18">
        <f>IF($A802&gt;('1-Input'!$B$26+3),H801,H801-C802*(1-B802))</f>
        <v>127106.86427297065</v>
      </c>
      <c r="I802" s="11">
        <f>IF($A802&gt;('1-Input'!$B$26+3),0,IF(N801&lt;=0,0,MAX(0,(N801-O801)/N801)))</f>
        <v>0.52280187472034756</v>
      </c>
      <c r="J802" s="18">
        <f>IF($A802&gt;('1-Input'!$B$26+3),0,(MAX(0,I781-IF($A802&gt;='1-Input'!$C$12,'1-Input'!$B$12,0))-MIN(MAX(M801,0),MAX(0,I781-IF($A802&gt;='1-Input'!$C$12,'1-Input'!$B$12,0))))*(1/(1-'P-Parametri'!$B$6*I802))+MIN(MAX(0,N801-(MAX(0,I781-IF($A802&gt;='1-Input'!$C$12,'1-Input'!$B$12,0))-MIN(MAX(M801,0),MAX(0,I781-IF($A802&gt;='1-Input'!$C$12,'1-Input'!$B$12,0))))*(1/(1-'P-Parametri'!$B$6*I802))),MAX(0,0*I781-(M801-MIN(MAX(M801,0),MAX(0,I781-IF($A802&gt;='1-Input'!$C$12,'1-Input'!$B$12,0)))))*(1/(1-'P-Parametri'!$B$6*I802))))</f>
        <v>25401.551461380641</v>
      </c>
      <c r="K802" s="18">
        <f>IF($A802&gt;('1-Input'!$B$26+3),M801,(M801-MAX(0,I781-IF($A802&gt;='1-Input'!$C$12,'1-Input'!$B$12,0))+J802*(1-'P-Parametri'!$B$6*I802))*(1+'1-Input'!$B$27))</f>
        <v>0</v>
      </c>
      <c r="L802" s="18">
        <f>IF($A802&gt;('1-Input'!$B$26+3),N801,(N801-J802)*(1+'5-Roberta'!$C$4))</f>
        <v>126515.00655731675</v>
      </c>
      <c r="M802" s="18">
        <f>IF($A802&gt;('1-Input'!$B$26+3),K802,K802-'P-Parametri'!$B$8*(L802+K802)+MIN(MAX(L802,0),'P-Parametri'!$B$8*(L802+K802)))</f>
        <v>0</v>
      </c>
      <c r="N802" s="18">
        <f>IF($A802&gt;('1-Input'!$B$26+3),L802,L802-MIN(MAX(L802,0),'P-Parametri'!$B$8*(L802+K802)))</f>
        <v>126261.97654420212</v>
      </c>
      <c r="O802" s="18">
        <f>IF($A802&gt;('1-Input'!$B$26+3),O801,O801-J802*(1-I802))</f>
        <v>58614.295096014073</v>
      </c>
      <c r="P802" s="11">
        <f>IF($A802&gt;('1-Input'!$B$26+3),0,IF(U801&lt;=0,0,MAX(0,(U801-V801)/U801)))</f>
        <v>0.52280187472034734</v>
      </c>
      <c r="Q802" s="18">
        <f>IF($A802&gt;('1-Input'!$B$26+3),0,(MAX(0,P781-IF($A802&gt;='1-Input'!$C$12,'1-Input'!$B$12,0))-MIN(MAX(T801,0),MAX(0,P781-IF($A802&gt;='1-Input'!$C$12,'1-Input'!$B$12,0))))*(1/(1-'P-Parametri'!$B$6*P802))+MIN(MAX(0,U801-(MAX(0,P781-IF($A802&gt;='1-Input'!$C$12,'1-Input'!$B$12,0))-MIN(MAX(T801,0),MAX(0,P781-IF($A802&gt;='1-Input'!$C$12,'1-Input'!$B$12,0))))*(1/(1-'P-Parametri'!$B$6*P802))),MAX(0,0*P781-(T801-MIN(MAX(T801,0),MAX(0,P781-IF($A802&gt;='1-Input'!$C$12,'1-Input'!$B$12,0)))))*(1/(1-'P-Parametri'!$B$6*P802))))</f>
        <v>21787.643394993422</v>
      </c>
      <c r="R802" s="18">
        <f>IF($A802&gt;('1-Input'!$B$26+3),T801,(T801-MAX(0,P781-IF($A802&gt;='1-Input'!$C$12,'1-Input'!$B$12,0))+Q802*(1-'P-Parametri'!$B$6*P802))*(1+'1-Input'!$B$27))</f>
        <v>0</v>
      </c>
      <c r="S802" s="18">
        <f>IF($A802&gt;('1-Input'!$B$26+3),U801,(U801-Q802)*(1+'5-Roberta'!$C$4))</f>
        <v>214152.019930107</v>
      </c>
      <c r="T802" s="18">
        <f>IF($A802&gt;('1-Input'!$B$26+3),R802,R802-'P-Parametri'!$B$8*(S802+R802)+MIN(MAX(S802,0),'P-Parametri'!$B$8*(S802+R802)))</f>
        <v>0</v>
      </c>
      <c r="U802" s="18">
        <f>IF($A802&gt;('1-Input'!$B$26+3),S802,S802-MIN(MAX(S802,0),'P-Parametri'!$B$8*(S802+R802)))</f>
        <v>213723.71589024679</v>
      </c>
      <c r="V802" s="18">
        <f>IF($A802&gt;('1-Input'!$B$26+3),V801,V801-Q802*(1-P802))</f>
        <v>99216.44896650278</v>
      </c>
      <c r="W802" s="11">
        <f>IF($A802&gt;('1-Input'!$B$26+3),0,IF(AB801&lt;=0,0,MAX(0,(AB801-AC801)/AB801)))</f>
        <v>0.522801874720347</v>
      </c>
      <c r="X802" s="18">
        <f>IF($A802&gt;('1-Input'!$B$26+3),0,(MAX(0,W781-IF($A802&gt;='1-Input'!$C$12,'1-Input'!$B$12,0))-MIN(MAX(AA801,0),MAX(0,W781-IF($A802&gt;='1-Input'!$C$12,'1-Input'!$B$12,0))))*(1/(1-'P-Parametri'!$B$6*W802))+MIN(MAX(0,AB801-(MAX(0,W781-IF($A802&gt;='1-Input'!$C$12,'1-Input'!$B$12,0))-MIN(MAX(AA801,0),MAX(0,W781-IF($A802&gt;='1-Input'!$C$12,'1-Input'!$B$12,0))))*(1/(1-'P-Parametri'!$B$6*W802))),MAX(0,0*W781-(AA801-MIN(MAX(AA801,0),MAX(0,W781-IF($A802&gt;='1-Input'!$C$12,'1-Input'!$B$12,0)))))*(1/(1-'P-Parametri'!$B$6*W802))))</f>
        <v>21490.179709427037</v>
      </c>
      <c r="Y802" s="18">
        <f>IF($A802&gt;('1-Input'!$B$26+3),AA801,(AA801-MAX(0,W781-IF($A802&gt;='1-Input'!$C$12,'1-Input'!$B$12,0))+X802*(1-'P-Parametri'!$B$6*W802))*(1+'1-Input'!$B$27))</f>
        <v>-3.6248820833861826E-12</v>
      </c>
      <c r="Z802" s="18">
        <f>IF($A802&gt;('1-Input'!$B$26+3),AB801,(AB801-X802)*(1+'5-Roberta'!$C$4))</f>
        <v>221365.49313169849</v>
      </c>
      <c r="AA802" s="18">
        <f>IF($A802&gt;('1-Input'!$B$26+3),Y802,Y802-'P-Parametri'!$B$8*(Z802+Y802)+MIN(MAX(Z802,0),'P-Parametri'!$B$8*(Z802+Y802)))</f>
        <v>-3.637978807091713E-12</v>
      </c>
      <c r="AB802" s="18">
        <f>IF($A802&gt;('1-Input'!$B$26+3),Z802,Z802-MIN(MAX(Z802,0),'P-Parametri'!$B$8*(Z802+Y802)))</f>
        <v>220922.76214543509</v>
      </c>
      <c r="AC802" s="18">
        <f>IF($A802&gt;('1-Input'!$B$26+3),AC801,AC801-X802*(1-W802))</f>
        <v>102558.44497480817</v>
      </c>
      <c r="AD802" s="11">
        <f>IF($A802&gt;('1-Input'!$B$26+3),0,IF(AI801&lt;=0,0,MAX(0,(AI801-AJ801)/AI801)))</f>
        <v>0.52280187472034734</v>
      </c>
      <c r="AE802" s="18">
        <f>IF($A802&gt;('1-Input'!$B$26+3),0,(MAX(0,AD781-IF($A802&gt;='1-Input'!$C$12,'1-Input'!$B$12,0))-MIN(MAX(AH801,0),MAX(0,AD781-IF($A802&gt;='1-Input'!$C$12,'1-Input'!$B$12,0))))*(1/(1-'P-Parametri'!$B$6*AD802))+MIN(MAX(0,AI801-(MAX(0,AD781-IF($A802&gt;='1-Input'!$C$12,'1-Input'!$B$12,0))-MIN(MAX(AH801,0),MAX(0,AD781-IF($A802&gt;='1-Input'!$C$12,'1-Input'!$B$12,0))))*(1/(1-'P-Parametri'!$B$6*AD802))),MAX(0,0*AD781-(AH801-MIN(MAX(AH801,0),MAX(0,AD781-IF($A802&gt;='1-Input'!$C$12,'1-Input'!$B$12,0)))))*(1/(1-'P-Parametri'!$B$6*AD802))))</f>
        <v>21505.578567845801</v>
      </c>
      <c r="AF802" s="18">
        <f>IF($A802&gt;('1-Input'!$B$26+3),AH801,(AH801-MAX(0,AD781-IF($A802&gt;='1-Input'!$C$12,'1-Input'!$B$12,0))+AE802*(1-'P-Parametri'!$B$6*AD802))*(1+'1-Input'!$B$27))</f>
        <v>0</v>
      </c>
      <c r="AG802" s="18">
        <f>IF($A802&gt;('1-Input'!$B$26+3),AI801,(AI801-AE802)*(1+'5-Roberta'!$C$4))</f>
        <v>220992.07191113071</v>
      </c>
      <c r="AH802" s="18">
        <f>IF($A802&gt;('1-Input'!$B$26+3),AF802,AF802-'P-Parametri'!$B$8*(AG802+AF802)+MIN(MAX(AG802,0),'P-Parametri'!$B$8*(AG802+AF802)))</f>
        <v>0</v>
      </c>
      <c r="AI802" s="18">
        <f>IF($A802&gt;('1-Input'!$B$26+3),AG802,AG802-MIN(MAX(AG802,0),'P-Parametri'!$B$8*(AG802+AF802)))</f>
        <v>220550.08776730846</v>
      </c>
      <c r="AJ802" s="18">
        <f>IF($A802&gt;('1-Input'!$B$26+3),AJ801,AJ801-AE802*(1-AD802))</f>
        <v>102385.43924044442</v>
      </c>
      <c r="AK802" s="11">
        <f>IF($A802&gt;('1-Input'!$B$26+3),0,IF(AP801&lt;=0,0,MAX(0,(AP801-AQ801)/AP801)))</f>
        <v>0.52280187472034723</v>
      </c>
      <c r="AL802" s="18">
        <f>IF($A802&gt;('1-Input'!$B$26+3),0,(MAX(0,AK781-IF($A802&gt;='1-Input'!$C$12,'1-Input'!$B$12,0))-MIN(MAX(AO801,0),MAX(0,AK781-IF($A802&gt;='1-Input'!$C$12,'1-Input'!$B$12,0))))*(1/(1-'P-Parametri'!$B$6*AK802))+MIN(MAX(0,AP801-(MAX(0,AK781-IF($A802&gt;='1-Input'!$C$12,'1-Input'!$B$12,0))-MIN(MAX(AO801,0),MAX(0,AK781-IF($A802&gt;='1-Input'!$C$12,'1-Input'!$B$12,0))))*(1/(1-'P-Parametri'!$B$6*AK802))),MAX(0,0*AK781-(AO801-MIN(MAX(AO801,0),MAX(0,AK781-IF($A802&gt;='1-Input'!$C$12,'1-Input'!$B$12,0)))))*(1/(1-'P-Parametri'!$B$6*AK802))))</f>
        <v>21503.466589937041</v>
      </c>
      <c r="AM802" s="18">
        <f>IF($A802&gt;('1-Input'!$B$26+3),AO801,(AO801-MAX(0,AK781-IF($A802&gt;='1-Input'!$C$12,'1-Input'!$B$12,0))+AL802*(1-'P-Parametri'!$B$6*AK802))*(1+'1-Input'!$B$27))</f>
        <v>-3.6248820833861826E-12</v>
      </c>
      <c r="AN802" s="18">
        <f>IF($A802&gt;('1-Input'!$B$26+3),AP801,(AP801-AL802)*(1+'5-Roberta'!$C$4))</f>
        <v>221043.28722508796</v>
      </c>
      <c r="AO802" s="18">
        <f>IF($A802&gt;('1-Input'!$B$26+3),AM802,AM802-'P-Parametri'!$B$8*(AN802+AM802)+MIN(MAX(AN802,0),'P-Parametri'!$B$8*(AN802+AM802)))</f>
        <v>-3.637978807091713E-12</v>
      </c>
      <c r="AP802" s="18">
        <f>IF($A802&gt;('1-Input'!$B$26+3),AN802,AN802-MIN(MAX(AN802,0),'P-Parametri'!$B$8*(AN802+AM802)))</f>
        <v>220601.20065063779</v>
      </c>
      <c r="AQ802" s="18">
        <f>IF($A802&gt;('1-Input'!$B$26+3),AQ801,AQ801-AL802*(1-AK802))</f>
        <v>102409.16725190659</v>
      </c>
    </row>
    <row r="803" spans="1:43">
      <c r="A803" s="10">
        <f>20</f>
        <v>20</v>
      </c>
      <c r="B803" s="11">
        <f>IF($A803&gt;('1-Input'!$B$26+3),0,IF(G802&lt;=0,0,MAX(0,(G802-H802)/G802)))</f>
        <v>0.53577239403111743</v>
      </c>
      <c r="C803" s="18">
        <f>IF($A803&gt;('1-Input'!$B$26+3),0,(MAX(0,B781-IF($A803&gt;='1-Input'!$C$12,'1-Input'!$B$12,0))-MIN(MAX(F802,0),MAX(0,B781-IF($A803&gt;='1-Input'!$C$12,'1-Input'!$B$12,0))))*(1/(1-'P-Parametri'!$B$6*B803))+MIN(MAX(0,G802-(MAX(0,B781-IF($A803&gt;='1-Input'!$C$12,'1-Input'!$B$12,0))-MIN(MAX(F802,0),MAX(0,B781-IF($A803&gt;='1-Input'!$C$12,'1-Input'!$B$12,0))))*(1/(1-'P-Parametri'!$B$6*B803))),MAX(0,0*B781-(F802-MIN(MAX(F802,0),MAX(0,B781-IF($A803&gt;='1-Input'!$C$12,'1-Input'!$B$12,0)))))*(1/(1-'P-Parametri'!$B$6*B803))))</f>
        <v>19380.819396239931</v>
      </c>
      <c r="D803" s="18">
        <f>IF($A803&gt;('1-Input'!$B$26+3),F802,(F802-MAX(0,B781-IF($A803&gt;='1-Input'!$C$12,'1-Input'!$B$12,0))+C803*(1-'P-Parametri'!$B$6*B803))*(1+'1-Input'!$B$27))</f>
        <v>0</v>
      </c>
      <c r="E803" s="18">
        <f>IF($A803&gt;('1-Input'!$B$26+3),G802,(G802-C803)*(1+'5-Roberta'!$C$4))</f>
        <v>262054.7419094709</v>
      </c>
      <c r="F803" s="18">
        <f>IF($A803&gt;('1-Input'!$B$26+3),D803,D803-'P-Parametri'!$B$8*(E803+D803)+MIN(MAX(E803,0),'P-Parametri'!$B$8*(E803+D803)))</f>
        <v>0</v>
      </c>
      <c r="G803" s="18">
        <f>IF($A803&gt;('1-Input'!$B$26+3),E803,E803-MIN(MAX(E803,0),'P-Parametri'!$B$8*(E803+D803)))</f>
        <v>261530.63242565197</v>
      </c>
      <c r="H803" s="18">
        <f>IF($A803&gt;('1-Input'!$B$26+3),H802,H802-C803*(1-B803))</f>
        <v>118109.7528829389</v>
      </c>
      <c r="I803" s="11">
        <f>IF($A803&gt;('1-Input'!$B$26+3),0,IF(N802&lt;=0,0,MAX(0,(N802-O802)/N802)))</f>
        <v>0.53577239403111809</v>
      </c>
      <c r="J803" s="18">
        <f>IF($A803&gt;('1-Input'!$B$26+3),0,(MAX(0,I781-IF($A803&gt;='1-Input'!$C$12,'1-Input'!$B$12,0))-MIN(MAX(M802,0),MAX(0,I781-IF($A803&gt;='1-Input'!$C$12,'1-Input'!$B$12,0))))*(1/(1-'P-Parametri'!$B$6*I803))+MIN(MAX(0,N802-(MAX(0,I781-IF($A803&gt;='1-Input'!$C$12,'1-Input'!$B$12,0))-MIN(MAX(M802,0),MAX(0,I781-IF($A803&gt;='1-Input'!$C$12,'1-Input'!$B$12,0))))*(1/(1-'P-Parametri'!$B$6*I803))),MAX(0,0*I781-(M802-MIN(MAX(M802,0),MAX(0,I781-IF($A803&gt;='1-Input'!$C$12,'1-Input'!$B$12,0)))))*(1/(1-'P-Parametri'!$B$6*I803))))</f>
        <v>25501.078152947288</v>
      </c>
      <c r="K803" s="18">
        <f>IF($A803&gt;('1-Input'!$B$26+3),M802,(M802-MAX(0,I781-IF($A803&gt;='1-Input'!$C$12,'1-Input'!$B$12,0))+J803*(1-'P-Parametri'!$B$6*I803))*(1+'1-Input'!$B$27))</f>
        <v>0</v>
      </c>
      <c r="L803" s="18">
        <f>IF($A803&gt;('1-Input'!$B$26+3),N802,(N802-J803)*(1+'5-Roberta'!$C$4))</f>
        <v>103783.72534299247</v>
      </c>
      <c r="M803" s="18">
        <f>IF($A803&gt;('1-Input'!$B$26+3),K803,K803-'P-Parametri'!$B$8*(L803+K803)+MIN(MAX(L803,0),'P-Parametri'!$B$8*(L803+K803)))</f>
        <v>0</v>
      </c>
      <c r="N803" s="18">
        <f>IF($A803&gt;('1-Input'!$B$26+3),L803,L803-MIN(MAX(L803,0),'P-Parametri'!$B$8*(L803+K803)))</f>
        <v>103576.1578923065</v>
      </c>
      <c r="O803" s="18">
        <f>IF($A803&gt;('1-Input'!$B$26+3),O802,O802-J803*(1-I803))</f>
        <v>46775.990635445996</v>
      </c>
      <c r="P803" s="11">
        <f>IF($A803&gt;('1-Input'!$B$26+3),0,IF(U802&lt;=0,0,MAX(0,(U802-V802)/U802)))</f>
        <v>0.53577239403111798</v>
      </c>
      <c r="Q803" s="18">
        <f>IF($A803&gt;('1-Input'!$B$26+3),0,(MAX(0,P781-IF($A803&gt;='1-Input'!$C$12,'1-Input'!$B$12,0))-MIN(MAX(T802,0),MAX(0,P781-IF($A803&gt;='1-Input'!$C$12,'1-Input'!$B$12,0))))*(1/(1-'P-Parametri'!$B$6*P803))+MIN(MAX(0,U802-(MAX(0,P781-IF($A803&gt;='1-Input'!$C$12,'1-Input'!$B$12,0))-MIN(MAX(T802,0),MAX(0,P781-IF($A803&gt;='1-Input'!$C$12,'1-Input'!$B$12,0))))*(1/(1-'P-Parametri'!$B$6*P803))),MAX(0,0*P781-(T802-MIN(MAX(T802,0),MAX(0,P781-IF($A803&gt;='1-Input'!$C$12,'1-Input'!$B$12,0)))))*(1/(1-'P-Parametri'!$B$6*P803))))</f>
        <v>21873.010309192916</v>
      </c>
      <c r="R803" s="18">
        <f>IF($A803&gt;('1-Input'!$B$26+3),T802,(T802-MAX(0,P781-IF($A803&gt;='1-Input'!$C$12,'1-Input'!$B$12,0))+Q803*(1-'P-Parametri'!$B$6*P803))*(1+'1-Input'!$B$27))</f>
        <v>0</v>
      </c>
      <c r="S803" s="18">
        <f>IF($A803&gt;('1-Input'!$B$26+3),U802,(U802-Q803)*(1+'5-Roberta'!$C$4))</f>
        <v>197606.2267484855</v>
      </c>
      <c r="T803" s="18">
        <f>IF($A803&gt;('1-Input'!$B$26+3),R803,R803-'P-Parametri'!$B$8*(S803+R803)+MIN(MAX(S803,0),'P-Parametri'!$B$8*(S803+R803)))</f>
        <v>0</v>
      </c>
      <c r="U803" s="18">
        <f>IF($A803&gt;('1-Input'!$B$26+3),S803,S803-MIN(MAX(S803,0),'P-Parametri'!$B$8*(S803+R803)))</f>
        <v>197211.01429498853</v>
      </c>
      <c r="V803" s="18">
        <f>IF($A803&gt;('1-Input'!$B$26+3),V802,V802-Q803*(1-P803))</f>
        <v>89062.393755333469</v>
      </c>
      <c r="W803" s="11">
        <f>IF($A803&gt;('1-Input'!$B$26+3),0,IF(AB802&lt;=0,0,MAX(0,(AB802-AC802)/AB802)))</f>
        <v>0.53577239403111765</v>
      </c>
      <c r="X803" s="18">
        <f>IF($A803&gt;('1-Input'!$B$26+3),0,(MAX(0,W781-IF($A803&gt;='1-Input'!$C$12,'1-Input'!$B$12,0))-MIN(MAX(AA802,0),MAX(0,W781-IF($A803&gt;='1-Input'!$C$12,'1-Input'!$B$12,0))))*(1/(1-'P-Parametri'!$B$6*W803))+MIN(MAX(0,AB802-(MAX(0,W781-IF($A803&gt;='1-Input'!$C$12,'1-Input'!$B$12,0))-MIN(MAX(AA802,0),MAX(0,W781-IF($A803&gt;='1-Input'!$C$12,'1-Input'!$B$12,0))))*(1/(1-'P-Parametri'!$B$6*W803))),MAX(0,0*W781-(AA802-MIN(MAX(AA802,0),MAX(0,W781-IF($A803&gt;='1-Input'!$C$12,'1-Input'!$B$12,0)))))*(1/(1-'P-Parametri'!$B$6*W803))))</f>
        <v>21574.381120939397</v>
      </c>
      <c r="Y803" s="18">
        <f>IF($A803&gt;('1-Input'!$B$26+3),AA802,(AA802-MAX(0,W781-IF($A803&gt;='1-Input'!$C$12,'1-Input'!$B$12,0))+X803*(1-'P-Parametri'!$B$6*W803))*(1+'1-Input'!$B$27))</f>
        <v>-3.6248820833861826E-12</v>
      </c>
      <c r="Z803" s="18">
        <f>IF($A803&gt;('1-Input'!$B$26+3),AB802,(AB802-X803)*(1+'5-Roberta'!$C$4))</f>
        <v>205328.83245523059</v>
      </c>
      <c r="AA803" s="18">
        <f>IF($A803&gt;('1-Input'!$B$26+3),Y803,Y803-'P-Parametri'!$B$8*(Z803+Y803)+MIN(MAX(Z803,0),'P-Parametri'!$B$8*(Z803+Y803)))</f>
        <v>-3.637978807091713E-12</v>
      </c>
      <c r="AB803" s="18">
        <f>IF($A803&gt;('1-Input'!$B$26+3),Z803,Z803-MIN(MAX(Z803,0),'P-Parametri'!$B$8*(Z803+Y803)))</f>
        <v>204918.17479032013</v>
      </c>
      <c r="AC803" s="18">
        <f>IF($A803&gt;('1-Input'!$B$26+3),AC802,AC802-X803*(1-W803))</f>
        <v>92543.021676774224</v>
      </c>
      <c r="AD803" s="11">
        <f>IF($A803&gt;('1-Input'!$B$26+3),0,IF(AI802&lt;=0,0,MAX(0,(AI802-AJ802)/AI802)))</f>
        <v>0.53577239403111798</v>
      </c>
      <c r="AE803" s="18">
        <f>IF($A803&gt;('1-Input'!$B$26+3),0,(MAX(0,AD781-IF($A803&gt;='1-Input'!$C$12,'1-Input'!$B$12,0))-MIN(MAX(AH802,0),MAX(0,AD781-IF($A803&gt;='1-Input'!$C$12,'1-Input'!$B$12,0))))*(1/(1-'P-Parametri'!$B$6*AD803))+MIN(MAX(0,AI802-(MAX(0,AD781-IF($A803&gt;='1-Input'!$C$12,'1-Input'!$B$12,0))-MIN(MAX(AH802,0),MAX(0,AD781-IF($A803&gt;='1-Input'!$C$12,'1-Input'!$B$12,0))))*(1/(1-'P-Parametri'!$B$6*AD803))),MAX(0,0*AD781-(AH802-MIN(MAX(AH802,0),MAX(0,AD781-IF($A803&gt;='1-Input'!$C$12,'1-Input'!$B$12,0)))))*(1/(1-'P-Parametri'!$B$6*AD803))))</f>
        <v>21589.840314154426</v>
      </c>
      <c r="AF803" s="18">
        <f>IF($A803&gt;('1-Input'!$B$26+3),AH802,(AH802-MAX(0,AD781-IF($A803&gt;='1-Input'!$C$12,'1-Input'!$B$12,0))+AE803*(1-'P-Parametri'!$B$6*AD803))*(1+'1-Input'!$B$27))</f>
        <v>0</v>
      </c>
      <c r="AG803" s="18">
        <f>IF($A803&gt;('1-Input'!$B$26+3),AI802,(AI802-AE803)*(1+'5-Roberta'!$C$4))</f>
        <v>204929.05487674868</v>
      </c>
      <c r="AH803" s="18">
        <f>IF($A803&gt;('1-Input'!$B$26+3),AF803,AF803-'P-Parametri'!$B$8*(AG803+AF803)+MIN(MAX(AG803,0),'P-Parametri'!$B$8*(AG803+AF803)))</f>
        <v>0</v>
      </c>
      <c r="AI803" s="18">
        <f>IF($A803&gt;('1-Input'!$B$26+3),AG803,AG803-MIN(MAX(AG803,0),'P-Parametri'!$B$8*(AG803+AF803)))</f>
        <v>204519.19676699518</v>
      </c>
      <c r="AJ803" s="18">
        <f>IF($A803&gt;('1-Input'!$B$26+3),AJ802,AJ802-AE803*(1-AD803))</f>
        <v>92362.839358154059</v>
      </c>
      <c r="AK803" s="11">
        <f>IF($A803&gt;('1-Input'!$B$26+3),0,IF(AP802&lt;=0,0,MAX(0,(AP802-AQ802)/AP802)))</f>
        <v>0.53577239403111787</v>
      </c>
      <c r="AL803" s="18">
        <f>IF($A803&gt;('1-Input'!$B$26+3),0,(MAX(0,AK781-IF($A803&gt;='1-Input'!$C$12,'1-Input'!$B$12,0))-MIN(MAX(AO802,0),MAX(0,AK781-IF($A803&gt;='1-Input'!$C$12,'1-Input'!$B$12,0))))*(1/(1-'P-Parametri'!$B$6*AK803))+MIN(MAX(0,AP802-(MAX(0,AK781-IF($A803&gt;='1-Input'!$C$12,'1-Input'!$B$12,0))-MIN(MAX(AO802,0),MAX(0,AK781-IF($A803&gt;='1-Input'!$C$12,'1-Input'!$B$12,0))))*(1/(1-'P-Parametri'!$B$6*AK803))),MAX(0,0*AK781-(AO802-MIN(MAX(AO802,0),MAX(0,AK781-IF($A803&gt;='1-Input'!$C$12,'1-Input'!$B$12,0)))))*(1/(1-'P-Parametri'!$B$6*AK803))))</f>
        <v>21587.72006123246</v>
      </c>
      <c r="AM803" s="18">
        <f>IF($A803&gt;('1-Input'!$B$26+3),AO802,(AO802-MAX(0,AK781-IF($A803&gt;='1-Input'!$C$12,'1-Input'!$B$12,0))+AL803*(1-'P-Parametri'!$B$6*AK803))*(1+'1-Input'!$B$27))</f>
        <v>0</v>
      </c>
      <c r="AN803" s="18">
        <f>IF($A803&gt;('1-Input'!$B$26+3),AP802,(AP802-AL803)*(1+'5-Roberta'!$C$4))</f>
        <v>204983.88500708752</v>
      </c>
      <c r="AO803" s="18">
        <f>IF($A803&gt;('1-Input'!$B$26+3),AM803,AM803-'P-Parametri'!$B$8*(AN803+AM803)+MIN(MAX(AN803,0),'P-Parametri'!$B$8*(AN803+AM803)))</f>
        <v>0</v>
      </c>
      <c r="AP803" s="18">
        <f>IF($A803&gt;('1-Input'!$B$26+3),AN803,AN803-MIN(MAX(AN803,0),'P-Parametri'!$B$8*(AN803+AM803)))</f>
        <v>204573.91723707336</v>
      </c>
      <c r="AQ803" s="18">
        <f>IF($A803&gt;('1-Input'!$B$26+3),AQ802,AQ802-AL803*(1-AK803))</f>
        <v>92387.55164955424</v>
      </c>
    </row>
    <row r="804" spans="1:43">
      <c r="A804" s="10">
        <f>21</f>
        <v>21</v>
      </c>
      <c r="B804" s="11">
        <f>IF($A804&gt;('1-Input'!$B$26+3),0,IF(G803&lt;=0,0,MAX(0,(G803-H803)/G803)))</f>
        <v>0.5483903671723227</v>
      </c>
      <c r="C804" s="18">
        <f>IF($A804&gt;('1-Input'!$B$26+3),0,(MAX(0,B781-IF($A804&gt;='1-Input'!$C$12,'1-Input'!$B$12,0))-MIN(MAX(F803,0),MAX(0,B781-IF($A804&gt;='1-Input'!$C$12,'1-Input'!$B$12,0))))*(1/(1-'P-Parametri'!$B$6*B804))+MIN(MAX(0,G803-(MAX(0,B781-IF($A804&gt;='1-Input'!$C$12,'1-Input'!$B$12,0))-MIN(MAX(F803,0),MAX(0,B781-IF($A804&gt;='1-Input'!$C$12,'1-Input'!$B$12,0))))*(1/(1-'P-Parametri'!$B$6*B804))),MAX(0,0*B781-(F803-MIN(MAX(F803,0),MAX(0,B781-IF($A804&gt;='1-Input'!$C$12,'1-Input'!$B$12,0)))))*(1/(1-'P-Parametri'!$B$6*B804))))</f>
        <v>19454.974701844756</v>
      </c>
      <c r="D804" s="18">
        <f>IF($A804&gt;('1-Input'!$B$26+3),F803,(F803-MAX(0,B781-IF($A804&gt;='1-Input'!$C$12,'1-Input'!$B$12,0))+C804*(1-'P-Parametri'!$B$6*B804))*(1+'1-Input'!$B$27))</f>
        <v>0</v>
      </c>
      <c r="E804" s="18">
        <f>IF($A804&gt;('1-Input'!$B$26+3),G803,(G803-C804)*(1+'5-Roberta'!$C$4))</f>
        <v>249337.92745552142</v>
      </c>
      <c r="F804" s="18">
        <f>IF($A804&gt;('1-Input'!$B$26+3),D804,D804-'P-Parametri'!$B$8*(E804+D804)+MIN(MAX(E804,0),'P-Parametri'!$B$8*(E804+D804)))</f>
        <v>0</v>
      </c>
      <c r="G804" s="18">
        <f>IF($A804&gt;('1-Input'!$B$26+3),E804,E804-MIN(MAX(E804,0),'P-Parametri'!$B$8*(E804+D804)))</f>
        <v>248839.25160061038</v>
      </c>
      <c r="H804" s="18">
        <f>IF($A804&gt;('1-Input'!$B$26+3),H803,H803-C804*(1-B804))</f>
        <v>109323.69890116704</v>
      </c>
      <c r="I804" s="11">
        <f>IF($A804&gt;('1-Input'!$B$26+3),0,IF(N803&lt;=0,0,MAX(0,(N803-O803)/N803)))</f>
        <v>0.54839036717232337</v>
      </c>
      <c r="J804" s="18">
        <f>IF($A804&gt;('1-Input'!$B$26+3),0,(MAX(0,I781-IF($A804&gt;='1-Input'!$C$12,'1-Input'!$B$12,0))-MIN(MAX(M803,0),MAX(0,I781-IF($A804&gt;='1-Input'!$C$12,'1-Input'!$B$12,0))))*(1/(1-'P-Parametri'!$B$6*I804))+MIN(MAX(0,N803-(MAX(0,I781-IF($A804&gt;='1-Input'!$C$12,'1-Input'!$B$12,0))-MIN(MAX(M803,0),MAX(0,I781-IF($A804&gt;='1-Input'!$C$12,'1-Input'!$B$12,0))))*(1/(1-'P-Parametri'!$B$6*I804))),MAX(0,0*I781-(M803-MIN(MAX(M803,0),MAX(0,I781-IF($A804&gt;='1-Input'!$C$12,'1-Input'!$B$12,0)))))*(1/(1-'P-Parametri'!$B$6*I804))))</f>
        <v>25598.650923479952</v>
      </c>
      <c r="K804" s="18">
        <f>IF($A804&gt;('1-Input'!$B$26+3),M803,(M803-MAX(0,I781-IF($A804&gt;='1-Input'!$C$12,'1-Input'!$B$12,0))+J804*(1-'P-Parametri'!$B$6*I804))*(1+'1-Input'!$B$27))</f>
        <v>0</v>
      </c>
      <c r="L804" s="18">
        <f>IF($A804&gt;('1-Input'!$B$26+3),N803,(N803-J804)*(1+'5-Roberta'!$C$4))</f>
        <v>80316.832177891352</v>
      </c>
      <c r="M804" s="18">
        <f>IF($A804&gt;('1-Input'!$B$26+3),K804,K804-'P-Parametri'!$B$8*(L804+K804)+MIN(MAX(L804,0),'P-Parametri'!$B$8*(L804+K804)))</f>
        <v>0</v>
      </c>
      <c r="N804" s="18">
        <f>IF($A804&gt;('1-Input'!$B$26+3),L804,L804-MIN(MAX(L804,0),'P-Parametri'!$B$8*(L804+K804)))</f>
        <v>80156.198513535564</v>
      </c>
      <c r="O804" s="18">
        <f>IF($A804&gt;('1-Input'!$B$26+3),O803,O803-J804*(1-I804))</f>
        <v>35215.39329100935</v>
      </c>
      <c r="P804" s="11">
        <f>IF($A804&gt;('1-Input'!$B$26+3),0,IF(U803&lt;=0,0,MAX(0,(U803-V803)/U803)))</f>
        <v>0.54839036717232337</v>
      </c>
      <c r="Q804" s="18">
        <f>IF($A804&gt;('1-Input'!$B$26+3),0,(MAX(0,P781-IF($A804&gt;='1-Input'!$C$12,'1-Input'!$B$12,0))-MIN(MAX(T803,0),MAX(0,P781-IF($A804&gt;='1-Input'!$C$12,'1-Input'!$B$12,0))))*(1/(1-'P-Parametri'!$B$6*P804))+MIN(MAX(0,U803-(MAX(0,P781-IF($A804&gt;='1-Input'!$C$12,'1-Input'!$B$12,0))-MIN(MAX(T803,0),MAX(0,P781-IF($A804&gt;='1-Input'!$C$12,'1-Input'!$B$12,0))))*(1/(1-'P-Parametri'!$B$6*P804))),MAX(0,0*P781-(T803-MIN(MAX(T803,0),MAX(0,P781-IF($A804&gt;='1-Input'!$C$12,'1-Input'!$B$12,0)))))*(1/(1-'P-Parametri'!$B$6*P804))))</f>
        <v>21956.701288960798</v>
      </c>
      <c r="R804" s="18">
        <f>IF($A804&gt;('1-Input'!$B$26+3),T803,(T803-MAX(0,P781-IF($A804&gt;='1-Input'!$C$12,'1-Input'!$B$12,0))+Q804*(1-'P-Parametri'!$B$6*P804))*(1+'1-Input'!$B$27))</f>
        <v>0</v>
      </c>
      <c r="S804" s="18">
        <f>IF($A804&gt;('1-Input'!$B$26+3),U803,(U803-Q804)*(1+'5-Roberta'!$C$4))</f>
        <v>180511.94239620859</v>
      </c>
      <c r="T804" s="18">
        <f>IF($A804&gt;('1-Input'!$B$26+3),R804,R804-'P-Parametri'!$B$8*(S804+R804)+MIN(MAX(S804,0),'P-Parametri'!$B$8*(S804+R804)))</f>
        <v>0</v>
      </c>
      <c r="U804" s="18">
        <f>IF($A804&gt;('1-Input'!$B$26+3),S804,S804-MIN(MAX(S804,0),'P-Parametri'!$B$8*(S804+R804)))</f>
        <v>180150.91851141618</v>
      </c>
      <c r="V804" s="18">
        <f>IF($A804&gt;('1-Input'!$B$26+3),V803,V803-Q804*(1-P804))</f>
        <v>79146.535948118908</v>
      </c>
      <c r="W804" s="11">
        <f>IF($A804&gt;('1-Input'!$B$26+3),0,IF(AB803&lt;=0,0,MAX(0,(AB803-AC803)/AB803)))</f>
        <v>0.54839036717232292</v>
      </c>
      <c r="X804" s="18">
        <f>IF($A804&gt;('1-Input'!$B$26+3),0,(MAX(0,W781-IF($A804&gt;='1-Input'!$C$12,'1-Input'!$B$12,0))-MIN(MAX(AA803,0),MAX(0,W781-IF($A804&gt;='1-Input'!$C$12,'1-Input'!$B$12,0))))*(1/(1-'P-Parametri'!$B$6*W804))+MIN(MAX(0,AB803-(MAX(0,W781-IF($A804&gt;='1-Input'!$C$12,'1-Input'!$B$12,0))-MIN(MAX(AA803,0),MAX(0,W781-IF($A804&gt;='1-Input'!$C$12,'1-Input'!$B$12,0))))*(1/(1-'P-Parametri'!$B$6*W804))),MAX(0,0*W781-(AA803-MIN(MAX(AA803,0),MAX(0,W781-IF($A804&gt;='1-Input'!$C$12,'1-Input'!$B$12,0)))))*(1/(1-'P-Parametri'!$B$6*W804))))</f>
        <v>21656.929479321429</v>
      </c>
      <c r="Y804" s="18">
        <f>IF($A804&gt;('1-Input'!$B$26+3),AA803,(AA803-MAX(0,W781-IF($A804&gt;='1-Input'!$C$12,'1-Input'!$B$12,0))+X804*(1-'P-Parametri'!$B$6*W804))*(1+'1-Input'!$B$27))</f>
        <v>0</v>
      </c>
      <c r="Z804" s="18">
        <f>IF($A804&gt;('1-Input'!$B$26+3),AB803,(AB803-X804)*(1+'5-Roberta'!$C$4))</f>
        <v>188759.08267032867</v>
      </c>
      <c r="AA804" s="18">
        <f>IF($A804&gt;('1-Input'!$B$26+3),Y804,Y804-'P-Parametri'!$B$8*(Z804+Y804)+MIN(MAX(Z804,0),'P-Parametri'!$B$8*(Z804+Y804)))</f>
        <v>0</v>
      </c>
      <c r="AB804" s="18">
        <f>IF($A804&gt;('1-Input'!$B$26+3),Z804,Z804-MIN(MAX(Z804,0),'P-Parametri'!$B$8*(Z804+Y804)))</f>
        <v>188381.56450498803</v>
      </c>
      <c r="AC804" s="18">
        <f>IF($A804&gt;('1-Input'!$B$26+3),AC803,AC803-X804*(1-W804))</f>
        <v>82762.543706442986</v>
      </c>
      <c r="AD804" s="11">
        <f>IF($A804&gt;('1-Input'!$B$26+3),0,IF(AI803&lt;=0,0,MAX(0,(AI803-AJ803)/AI803)))</f>
        <v>0.54839036717232326</v>
      </c>
      <c r="AE804" s="18">
        <f>IF($A804&gt;('1-Input'!$B$26+3),0,(MAX(0,AD781-IF($A804&gt;='1-Input'!$C$12,'1-Input'!$B$12,0))-MIN(MAX(AH803,0),MAX(0,AD781-IF($A804&gt;='1-Input'!$C$12,'1-Input'!$B$12,0))))*(1/(1-'P-Parametri'!$B$6*AD804))+MIN(MAX(0,AI803-(MAX(0,AD781-IF($A804&gt;='1-Input'!$C$12,'1-Input'!$B$12,0))-MIN(MAX(AH803,0),MAX(0,AD781-IF($A804&gt;='1-Input'!$C$12,'1-Input'!$B$12,0))))*(1/(1-'P-Parametri'!$B$6*AD804))),MAX(0,0*AD781-(AH803-MIN(MAX(AH803,0),MAX(0,AD781-IF($A804&gt;='1-Input'!$C$12,'1-Input'!$B$12,0)))))*(1/(1-'P-Parametri'!$B$6*AD804))))</f>
        <v>21672.44782283211</v>
      </c>
      <c r="AF804" s="18">
        <f>IF($A804&gt;('1-Input'!$B$26+3),AH803,(AH803-MAX(0,AD781-IF($A804&gt;='1-Input'!$C$12,'1-Input'!$B$12,0))+AE804*(1-'P-Parametri'!$B$6*AD804))*(1+'1-Input'!$B$27))</f>
        <v>0</v>
      </c>
      <c r="AG804" s="18">
        <f>IF($A804&gt;('1-Input'!$B$26+3),AI803,(AI803-AE804)*(1+'5-Roberta'!$C$4))</f>
        <v>188332.15141248799</v>
      </c>
      <c r="AH804" s="18">
        <f>IF($A804&gt;('1-Input'!$B$26+3),AF804,AF804-'P-Parametri'!$B$8*(AG804+AF804)+MIN(MAX(AG804,0),'P-Parametri'!$B$8*(AG804+AF804)))</f>
        <v>0</v>
      </c>
      <c r="AI804" s="18">
        <f>IF($A804&gt;('1-Input'!$B$26+3),AG804,AG804-MIN(MAX(AG804,0),'P-Parametri'!$B$8*(AG804+AF804)))</f>
        <v>187955.48710966302</v>
      </c>
      <c r="AJ804" s="18">
        <f>IF($A804&gt;('1-Input'!$B$26+3),AJ803,AJ803-AE804*(1-AD804))</f>
        <v>82575.353154407872</v>
      </c>
      <c r="AK804" s="11">
        <f>IF($A804&gt;('1-Input'!$B$26+3),0,IF(AP803&lt;=0,0,MAX(0,(AP803-AQ803)/AP803)))</f>
        <v>0.54839036717232326</v>
      </c>
      <c r="AL804" s="18">
        <f>IF($A804&gt;('1-Input'!$B$26+3),0,(MAX(0,AK781-IF($A804&gt;='1-Input'!$C$12,'1-Input'!$B$12,0))-MIN(MAX(AO803,0),MAX(0,AK781-IF($A804&gt;='1-Input'!$C$12,'1-Input'!$B$12,0))))*(1/(1-'P-Parametri'!$B$6*AK804))+MIN(MAX(0,AP803-(MAX(0,AK781-IF($A804&gt;='1-Input'!$C$12,'1-Input'!$B$12,0))-MIN(MAX(AO803,0),MAX(0,AK781-IF($A804&gt;='1-Input'!$C$12,'1-Input'!$B$12,0))))*(1/(1-'P-Parametri'!$B$6*AK804))),MAX(0,0*AK781-(AO803-MIN(MAX(AO803,0),MAX(0,AK781-IF($A804&gt;='1-Input'!$C$12,'1-Input'!$B$12,0)))))*(1/(1-'P-Parametri'!$B$6*AK804))))</f>
        <v>21670.319457353075</v>
      </c>
      <c r="AM804" s="18">
        <f>IF($A804&gt;('1-Input'!$B$26+3),AO803,(AO803-MAX(0,AK781-IF($A804&gt;='1-Input'!$C$12,'1-Input'!$B$12,0))+AL804*(1-'P-Parametri'!$B$6*AK804))*(1+'1-Input'!$B$27))</f>
        <v>3.6248820833861826E-12</v>
      </c>
      <c r="AN804" s="18">
        <f>IF($A804&gt;('1-Input'!$B$26+3),AP803,(AP803-AL804)*(1+'5-Roberta'!$C$4))</f>
        <v>188390.70571311191</v>
      </c>
      <c r="AO804" s="18">
        <f>IF($A804&gt;('1-Input'!$B$26+3),AM804,AM804-'P-Parametri'!$B$8*(AN804+AM804)+MIN(MAX(AN804,0),'P-Parametri'!$B$8*(AN804+AM804)))</f>
        <v>3.637978807091713E-12</v>
      </c>
      <c r="AP804" s="18">
        <f>IF($A804&gt;('1-Input'!$B$26+3),AN804,AN804-MIN(MAX(AN804,0),'P-Parametri'!$B$8*(AN804+AM804)))</f>
        <v>188013.92430168568</v>
      </c>
      <c r="AQ804" s="18">
        <f>IF($A804&gt;('1-Input'!$B$26+3),AQ803,AQ803-AL804*(1-AK804))</f>
        <v>82601.026636160561</v>
      </c>
    </row>
    <row r="805" spans="1:43">
      <c r="A805" s="10">
        <f>22</f>
        <v>22</v>
      </c>
      <c r="B805" s="11">
        <f>IF($A805&gt;('1-Input'!$B$26+3),0,IF(G804&lt;=0,0,MAX(0,(G804-H804)/G804)))</f>
        <v>0.56066537655147464</v>
      </c>
      <c r="C805" s="18">
        <f>IF($A805&gt;('1-Input'!$B$26+3),0,(MAX(0,B781-IF($A805&gt;='1-Input'!$C$12,'1-Input'!$B$12,0))-MIN(MAX(F804,0),MAX(0,B781-IF($A805&gt;='1-Input'!$C$12,'1-Input'!$B$12,0))))*(1/(1-'P-Parametri'!$B$6*B805))+MIN(MAX(0,G804-(MAX(0,B781-IF($A805&gt;='1-Input'!$C$12,'1-Input'!$B$12,0))-MIN(MAX(F804,0),MAX(0,B781-IF($A805&gt;='1-Input'!$C$12,'1-Input'!$B$12,0))))*(1/(1-'P-Parametri'!$B$6*B805))),MAX(0,0*B781-(F804-MIN(MAX(F804,0),MAX(0,B781-IF($A805&gt;='1-Input'!$C$12,'1-Input'!$B$12,0)))))*(1/(1-'P-Parametri'!$B$6*B805))))</f>
        <v>19527.661000745451</v>
      </c>
      <c r="D805" s="18">
        <f>IF($A805&gt;('1-Input'!$B$26+3),F804,(F804-MAX(0,B781-IF($A805&gt;='1-Input'!$C$12,'1-Input'!$B$12,0))+C805*(1-'P-Parametri'!$B$6*B805))*(1+'1-Input'!$B$27))</f>
        <v>0</v>
      </c>
      <c r="E805" s="18">
        <f>IF($A805&gt;('1-Input'!$B$26+3),G804,(G804-C805)*(1+'5-Roberta'!$C$4))</f>
        <v>236190.93831786088</v>
      </c>
      <c r="F805" s="18">
        <f>IF($A805&gt;('1-Input'!$B$26+3),D805,D805-'P-Parametri'!$B$8*(E805+D805)+MIN(MAX(E805,0),'P-Parametri'!$B$8*(E805+D805)))</f>
        <v>0</v>
      </c>
      <c r="G805" s="18">
        <f>IF($A805&gt;('1-Input'!$B$26+3),E805,E805-MIN(MAX(E805,0),'P-Parametri'!$B$8*(E805+D805)))</f>
        <v>235718.55644122517</v>
      </c>
      <c r="H805" s="18">
        <f>IF($A805&gt;('1-Input'!$B$26+3),H804,H804-C805*(1-B805))</f>
        <v>100744.52130857408</v>
      </c>
      <c r="I805" s="11">
        <f>IF($A805&gt;('1-Input'!$B$26+3),0,IF(N804&lt;=0,0,MAX(0,(N804-O804)/N804)))</f>
        <v>0.56066537655147519</v>
      </c>
      <c r="J805" s="18">
        <f>IF($A805&gt;('1-Input'!$B$26+3),0,(MAX(0,I781-IF($A805&gt;='1-Input'!$C$12,'1-Input'!$B$12,0))-MIN(MAX(M804,0),MAX(0,I781-IF($A805&gt;='1-Input'!$C$12,'1-Input'!$B$12,0))))*(1/(1-'P-Parametri'!$B$6*I805))+MIN(MAX(0,N804-(MAX(0,I781-IF($A805&gt;='1-Input'!$C$12,'1-Input'!$B$12,0))-MIN(MAX(M804,0),MAX(0,I781-IF($A805&gt;='1-Input'!$C$12,'1-Input'!$B$12,0))))*(1/(1-'P-Parametri'!$B$6*I805))),MAX(0,0*I781-(M804-MIN(MAX(M804,0),MAX(0,I781-IF($A805&gt;='1-Input'!$C$12,'1-Input'!$B$12,0)))))*(1/(1-'P-Parametri'!$B$6*I805))))</f>
        <v>25694.290790454546</v>
      </c>
      <c r="K805" s="18">
        <f>IF($A805&gt;('1-Input'!$B$26+3),M804,(M804-MAX(0,I781-IF($A805&gt;='1-Input'!$C$12,'1-Input'!$B$12,0))+J805*(1-'P-Parametri'!$B$6*I805))*(1+'1-Input'!$B$27))</f>
        <v>0</v>
      </c>
      <c r="L805" s="18">
        <f>IF($A805&gt;('1-Input'!$B$26+3),N804,(N804-J805)*(1+'5-Roberta'!$C$4))</f>
        <v>56095.764954773455</v>
      </c>
      <c r="M805" s="18">
        <f>IF($A805&gt;('1-Input'!$B$26+3),K805,K805-'P-Parametri'!$B$8*(L805+K805)+MIN(MAX(L805,0),'P-Parametri'!$B$8*(L805+K805)))</f>
        <v>0</v>
      </c>
      <c r="N805" s="18">
        <f>IF($A805&gt;('1-Input'!$B$26+3),L805,L805-MIN(MAX(L805,0),'P-Parametri'!$B$8*(L805+K805)))</f>
        <v>55983.573424863906</v>
      </c>
      <c r="O805" s="18">
        <f>IF($A805&gt;('1-Input'!$B$26+3),O804,O804-J805*(1-I805))</f>
        <v>23927.001721808105</v>
      </c>
      <c r="P805" s="11">
        <f>IF($A805&gt;('1-Input'!$B$26+3),0,IF(U804&lt;=0,0,MAX(0,(U804-V804)/U804)))</f>
        <v>0.56066537655147519</v>
      </c>
      <c r="Q805" s="18">
        <f>IF($A805&gt;('1-Input'!$B$26+3),0,(MAX(0,P781-IF($A805&gt;='1-Input'!$C$12,'1-Input'!$B$12,0))-MIN(MAX(T804,0),MAX(0,P781-IF($A805&gt;='1-Input'!$C$12,'1-Input'!$B$12,0))))*(1/(1-'P-Parametri'!$B$6*P805))+MIN(MAX(0,U804-(MAX(0,P781-IF($A805&gt;='1-Input'!$C$12,'1-Input'!$B$12,0))-MIN(MAX(T804,0),MAX(0,P781-IF($A805&gt;='1-Input'!$C$12,'1-Input'!$B$12,0))))*(1/(1-'P-Parametri'!$B$6*P805))),MAX(0,0*P781-(T804-MIN(MAX(T804,0),MAX(0,P781-IF($A805&gt;='1-Input'!$C$12,'1-Input'!$B$12,0)))))*(1/(1-'P-Parametri'!$B$6*P805))))</f>
        <v>22038.734361592411</v>
      </c>
      <c r="R805" s="18">
        <f>IF($A805&gt;('1-Input'!$B$26+3),T804,(T804-MAX(0,P781-IF($A805&gt;='1-Input'!$C$12,'1-Input'!$B$12,0))+Q805*(1-'P-Parametri'!$B$6*P805))*(1+'1-Input'!$B$27))</f>
        <v>0</v>
      </c>
      <c r="S805" s="18">
        <f>IF($A805&gt;('1-Input'!$B$26+3),U804,(U804-Q805)*(1+'5-Roberta'!$C$4))</f>
        <v>162855.54967431849</v>
      </c>
      <c r="T805" s="18">
        <f>IF($A805&gt;('1-Input'!$B$26+3),R805,R805-'P-Parametri'!$B$8*(S805+R805)+MIN(MAX(S805,0),'P-Parametri'!$B$8*(S805+R805)))</f>
        <v>0</v>
      </c>
      <c r="U805" s="18">
        <f>IF($A805&gt;('1-Input'!$B$26+3),S805,S805-MIN(MAX(S805,0),'P-Parametri'!$B$8*(S805+R805)))</f>
        <v>162529.83857496985</v>
      </c>
      <c r="V805" s="18">
        <f>IF($A805&gt;('1-Input'!$B$26+3),V804,V804-Q805*(1-P805))</f>
        <v>69464.156886086639</v>
      </c>
      <c r="W805" s="11">
        <f>IF($A805&gt;('1-Input'!$B$26+3),0,IF(AB804&lt;=0,0,MAX(0,(AB804-AC804)/AB804)))</f>
        <v>0.56066537655147475</v>
      </c>
      <c r="X805" s="18">
        <f>IF($A805&gt;('1-Input'!$B$26+3),0,(MAX(0,W781-IF($A805&gt;='1-Input'!$C$12,'1-Input'!$B$12,0))-MIN(MAX(AA804,0),MAX(0,W781-IF($A805&gt;='1-Input'!$C$12,'1-Input'!$B$12,0))))*(1/(1-'P-Parametri'!$B$6*W805))+MIN(MAX(0,AB804-(MAX(0,W781-IF($A805&gt;='1-Input'!$C$12,'1-Input'!$B$12,0))-MIN(MAX(AA804,0),MAX(0,W781-IF($A805&gt;='1-Input'!$C$12,'1-Input'!$B$12,0))))*(1/(1-'P-Parametri'!$B$6*W805))),MAX(0,0*W781-(AA804-MIN(MAX(AA804,0),MAX(0,W781-IF($A805&gt;='1-Input'!$C$12,'1-Input'!$B$12,0)))))*(1/(1-'P-Parametri'!$B$6*W805))))</f>
        <v>21737.842565744304</v>
      </c>
      <c r="Y805" s="18">
        <f>IF($A805&gt;('1-Input'!$B$26+3),AA804,(AA804-MAX(0,W781-IF($A805&gt;='1-Input'!$C$12,'1-Input'!$B$12,0))+X805*(1-'P-Parametri'!$B$6*W805))*(1+'1-Input'!$B$27))</f>
        <v>0</v>
      </c>
      <c r="Z805" s="18">
        <f>IF($A805&gt;('1-Input'!$B$26+3),AB804,(AB804-X805)*(1+'5-Roberta'!$C$4))</f>
        <v>171643.03359742105</v>
      </c>
      <c r="AA805" s="18">
        <f>IF($A805&gt;('1-Input'!$B$26+3),Y805,Y805-'P-Parametri'!$B$8*(Z805+Y805)+MIN(MAX(Z805,0),'P-Parametri'!$B$8*(Z805+Y805)))</f>
        <v>0</v>
      </c>
      <c r="AB805" s="18">
        <f>IF($A805&gt;('1-Input'!$B$26+3),Z805,Z805-MIN(MAX(Z805,0),'P-Parametri'!$B$8*(Z805+Y805)))</f>
        <v>171299.74753022622</v>
      </c>
      <c r="AC805" s="18">
        <f>IF($A805&gt;('1-Input'!$B$26+3),AC804,AC804-X805*(1-W805))</f>
        <v>73212.356828238393</v>
      </c>
      <c r="AD805" s="11">
        <f>IF($A805&gt;('1-Input'!$B$26+3),0,IF(AI804&lt;=0,0,MAX(0,(AI804-AJ804)/AI804)))</f>
        <v>0.56066537655147519</v>
      </c>
      <c r="AE805" s="18">
        <f>IF($A805&gt;('1-Input'!$B$26+3),0,(MAX(0,AD781-IF($A805&gt;='1-Input'!$C$12,'1-Input'!$B$12,0))-MIN(MAX(AH804,0),MAX(0,AD781-IF($A805&gt;='1-Input'!$C$12,'1-Input'!$B$12,0))))*(1/(1-'P-Parametri'!$B$6*AD805))+MIN(MAX(0,AI804-(MAX(0,AD781-IF($A805&gt;='1-Input'!$C$12,'1-Input'!$B$12,0))-MIN(MAX(AH804,0),MAX(0,AD781-IF($A805&gt;='1-Input'!$C$12,'1-Input'!$B$12,0))))*(1/(1-'P-Parametri'!$B$6*AD805))),MAX(0,0*AD781-(AH804-MIN(MAX(AH804,0),MAX(0,AD781-IF($A805&gt;='1-Input'!$C$12,'1-Input'!$B$12,0)))))*(1/(1-'P-Parametri'!$B$6*AD805))))</f>
        <v>21753.418887791177</v>
      </c>
      <c r="AF805" s="18">
        <f>IF($A805&gt;('1-Input'!$B$26+3),AH804,(AH804-MAX(0,AD781-IF($A805&gt;='1-Input'!$C$12,'1-Input'!$B$12,0))+AE805*(1-'P-Parametri'!$B$6*AD805))*(1+'1-Input'!$B$27))</f>
        <v>0</v>
      </c>
      <c r="AG805" s="18">
        <f>IF($A805&gt;('1-Input'!$B$26+3),AI804,(AI804-AE805)*(1+'5-Roberta'!$C$4))</f>
        <v>171188.13026852801</v>
      </c>
      <c r="AH805" s="18">
        <f>IF($A805&gt;('1-Input'!$B$26+3),AF805,AF805-'P-Parametri'!$B$8*(AG805+AF805)+MIN(MAX(AG805,0),'P-Parametri'!$B$8*(AG805+AF805)))</f>
        <v>0</v>
      </c>
      <c r="AI805" s="18">
        <f>IF($A805&gt;('1-Input'!$B$26+3),AG805,AG805-MIN(MAX(AG805,0),'P-Parametri'!$B$8*(AG805+AF805)))</f>
        <v>170845.75400799097</v>
      </c>
      <c r="AJ805" s="18">
        <f>IF($A805&gt;('1-Input'!$B$26+3),AJ804,AJ804-AE805*(1-AD805))</f>
        <v>73018.323058622103</v>
      </c>
      <c r="AK805" s="11">
        <f>IF($A805&gt;('1-Input'!$B$26+3),0,IF(AP804&lt;=0,0,MAX(0,(AP804-AQ804)/AP804)))</f>
        <v>0.56066537655147497</v>
      </c>
      <c r="AL805" s="18">
        <f>IF($A805&gt;('1-Input'!$B$26+3),0,(MAX(0,AK781-IF($A805&gt;='1-Input'!$C$12,'1-Input'!$B$12,0))-MIN(MAX(AO804,0),MAX(0,AK781-IF($A805&gt;='1-Input'!$C$12,'1-Input'!$B$12,0))))*(1/(1-'P-Parametri'!$B$6*AK805))+MIN(MAX(0,AP804-(MAX(0,AK781-IF($A805&gt;='1-Input'!$C$12,'1-Input'!$B$12,0))-MIN(MAX(AO804,0),MAX(0,AK781-IF($A805&gt;='1-Input'!$C$12,'1-Input'!$B$12,0))))*(1/(1-'P-Parametri'!$B$6*AK805))),MAX(0,0*AK781-(AO804-MIN(MAX(AO804,0),MAX(0,AK781-IF($A805&gt;='1-Input'!$C$12,'1-Input'!$B$12,0)))))*(1/(1-'P-Parametri'!$B$6*AK805))))</f>
        <v>21751.28257046374</v>
      </c>
      <c r="AM805" s="18">
        <f>IF($A805&gt;('1-Input'!$B$26+3),AO804,(AO804-MAX(0,AK781-IF($A805&gt;='1-Input'!$C$12,'1-Input'!$B$12,0))+AL805*(1-'P-Parametri'!$B$6*AK805))*(1+'1-Input'!$B$27))</f>
        <v>0</v>
      </c>
      <c r="AN805" s="18">
        <f>IF($A805&gt;('1-Input'!$B$26+3),AP804,(AP804-AL805)*(1+'5-Roberta'!$C$4))</f>
        <v>171250.52098315858</v>
      </c>
      <c r="AO805" s="18">
        <f>IF($A805&gt;('1-Input'!$B$26+3),AM805,AM805-'P-Parametri'!$B$8*(AN805+AM805)+MIN(MAX(AN805,0),'P-Parametri'!$B$8*(AN805+AM805)))</f>
        <v>0</v>
      </c>
      <c r="AP805" s="18">
        <f>IF($A805&gt;('1-Input'!$B$26+3),AN805,AN805-MIN(MAX(AN805,0),'P-Parametri'!$B$8*(AN805+AM805)))</f>
        <v>170908.01994119227</v>
      </c>
      <c r="AQ805" s="18">
        <f>IF($A805&gt;('1-Input'!$B$26+3),AQ804,AQ804-AL805*(1-AK805))</f>
        <v>73044.935098543414</v>
      </c>
    </row>
    <row r="806" spans="1:43">
      <c r="A806" s="10">
        <f>23</f>
        <v>23</v>
      </c>
      <c r="B806" s="11">
        <f>IF($A806&gt;('1-Input'!$B$26+3),0,IF(G805&lt;=0,0,MAX(0,(G805-H805)/G805)))</f>
        <v>0.5726067441207412</v>
      </c>
      <c r="C806" s="18">
        <f>IF($A806&gt;('1-Input'!$B$26+3),0,(MAX(0,B781-IF($A806&gt;='1-Input'!$C$12,'1-Input'!$B$12,0))-MIN(MAX(F805,0),MAX(0,B781-IF($A806&gt;='1-Input'!$C$12,'1-Input'!$B$12,0))))*(1/(1-'P-Parametri'!$B$6*B806))+MIN(MAX(0,G805-(MAX(0,B781-IF($A806&gt;='1-Input'!$C$12,'1-Input'!$B$12,0))-MIN(MAX(F805,0),MAX(0,B781-IF($A806&gt;='1-Input'!$C$12,'1-Input'!$B$12,0))))*(1/(1-'P-Parametri'!$B$6*B806))),MAX(0,0*B781-(F805-MIN(MAX(F805,0),MAX(0,B781-IF($A806&gt;='1-Input'!$C$12,'1-Input'!$B$12,0)))))*(1/(1-'P-Parametri'!$B$6*B806))))</f>
        <v>6554.9400657550368</v>
      </c>
      <c r="D806" s="18">
        <f>IF($A806&gt;('1-Input'!$B$26+3),F805,(F805-MAX(0,B781-IF($A806&gt;='1-Input'!$C$12,'1-Input'!$B$12,0))+C806*(1-'P-Parametri'!$B$6*B806))*(1+'1-Input'!$B$27))</f>
        <v>9.0622052084654565E-13</v>
      </c>
      <c r="E806" s="18">
        <f>IF($A806&gt;('1-Input'!$B$26+3),G805,(G805-C806)*(1+'5-Roberta'!$C$4))</f>
        <v>236038.52486673422</v>
      </c>
      <c r="F806" s="18">
        <f>IF($A806&gt;('1-Input'!$B$26+3),D806,D806-'P-Parametri'!$B$8*(E806+D806)+MIN(MAX(E806,0),'P-Parametri'!$B$8*(E806+D806)))</f>
        <v>9.0949470177292824E-13</v>
      </c>
      <c r="G806" s="18">
        <f>IF($A806&gt;('1-Input'!$B$26+3),E806,E806-MIN(MAX(E806,0),'P-Parametri'!$B$8*(E806+D806)))</f>
        <v>235566.44781700076</v>
      </c>
      <c r="H806" s="18">
        <f>IF($A806&gt;('1-Input'!$B$26+3),H805,H805-C806*(1-B806))</f>
        <v>97942.98413177763</v>
      </c>
      <c r="I806" s="11">
        <f>IF($A806&gt;('1-Input'!$B$26+3),0,IF(N805&lt;=0,0,MAX(0,(N805-O805)/N805)))</f>
        <v>0.57260674412074164</v>
      </c>
      <c r="J806" s="18">
        <f>IF($A806&gt;('1-Input'!$B$26+3),0,(MAX(0,I781-IF($A806&gt;='1-Input'!$C$12,'1-Input'!$B$12,0))-MIN(MAX(M805,0),MAX(0,I781-IF($A806&gt;='1-Input'!$C$12,'1-Input'!$B$12,0))))*(1/(1-'P-Parametri'!$B$6*I806))+MIN(MAX(0,N805-(MAX(0,I781-IF($A806&gt;='1-Input'!$C$12,'1-Input'!$B$12,0))-MIN(MAX(M805,0),MAX(0,I781-IF($A806&gt;='1-Input'!$C$12,'1-Input'!$B$12,0))))*(1/(1-'P-Parametri'!$B$6*I806))),MAX(0,0*I781-(M805-MIN(MAX(M805,0),MAX(0,I781-IF($A806&gt;='1-Input'!$C$12,'1-Input'!$B$12,0)))))*(1/(1-'P-Parametri'!$B$6*I806))))</f>
        <v>12744.0647182803</v>
      </c>
      <c r="K806" s="18">
        <f>IF($A806&gt;('1-Input'!$B$26+3),M805,(M805-MAX(0,I781-IF($A806&gt;='1-Input'!$C$12,'1-Input'!$B$12,0))+J806*(1-'P-Parametri'!$B$6*I806))*(1+'1-Input'!$B$27))</f>
        <v>-1.8124410416930913E-12</v>
      </c>
      <c r="L806" s="18">
        <f>IF($A806&gt;('1-Input'!$B$26+3),N805,(N805-J806)*(1+'5-Roberta'!$C$4))</f>
        <v>44536.693967781117</v>
      </c>
      <c r="M806" s="18">
        <f>IF($A806&gt;('1-Input'!$B$26+3),K806,K806-'P-Parametri'!$B$8*(L806+K806)+MIN(MAX(L806,0),'P-Parametri'!$B$8*(L806+K806)))</f>
        <v>-1.8189894035458565E-12</v>
      </c>
      <c r="N806" s="18">
        <f>IF($A806&gt;('1-Input'!$B$26+3),L806,L806-MIN(MAX(L806,0),'P-Parametri'!$B$8*(L806+K806)))</f>
        <v>44447.620579845556</v>
      </c>
      <c r="O806" s="18">
        <f>IF($A806&gt;('1-Input'!$B$26+3),O805,O805-J806*(1-I806))</f>
        <v>18480.274408726305</v>
      </c>
      <c r="P806" s="11">
        <f>IF($A806&gt;('1-Input'!$B$26+3),0,IF(U805&lt;=0,0,MAX(0,(U805-V805)/U805)))</f>
        <v>0.57260674412074164</v>
      </c>
      <c r="Q806" s="18">
        <f>IF($A806&gt;('1-Input'!$B$26+3),0,(MAX(0,P781-IF($A806&gt;='1-Input'!$C$12,'1-Input'!$B$12,0))-MIN(MAX(T805,0),MAX(0,P781-IF($A806&gt;='1-Input'!$C$12,'1-Input'!$B$12,0))))*(1/(1-'P-Parametri'!$B$6*P806))+MIN(MAX(0,U805-(MAX(0,P781-IF($A806&gt;='1-Input'!$C$12,'1-Input'!$B$12,0))-MIN(MAX(T805,0),MAX(0,P781-IF($A806&gt;='1-Input'!$C$12,'1-Input'!$B$12,0))))*(1/(1-'P-Parametri'!$B$6*P806))),MAX(0,0*P781-(T805-MIN(MAX(T805,0),MAX(0,P781-IF($A806&gt;='1-Input'!$C$12,'1-Input'!$B$12,0)))))*(1/(1-'P-Parametri'!$B$6*P806))))</f>
        <v>9075.173413937031</v>
      </c>
      <c r="R806" s="18">
        <f>IF($A806&gt;('1-Input'!$B$26+3),T805,(T805-MAX(0,P781-IF($A806&gt;='1-Input'!$C$12,'1-Input'!$B$12,0))+Q806*(1-'P-Parametri'!$B$6*P806))*(1+'1-Input'!$B$27))</f>
        <v>-9.0622052084654565E-13</v>
      </c>
      <c r="S806" s="18">
        <f>IF($A806&gt;('1-Input'!$B$26+3),U805,(U805-Q806)*(1+'5-Roberta'!$C$4))</f>
        <v>158058.3051158638</v>
      </c>
      <c r="T806" s="18">
        <f>IF($A806&gt;('1-Input'!$B$26+3),R806,R806-'P-Parametri'!$B$8*(S806+R806)+MIN(MAX(S806,0),'P-Parametri'!$B$8*(S806+R806)))</f>
        <v>-9.0949470177292824E-13</v>
      </c>
      <c r="U806" s="18">
        <f>IF($A806&gt;('1-Input'!$B$26+3),S806,S806-MIN(MAX(S806,0),'P-Parametri'!$B$8*(S806+R806)))</f>
        <v>157742.18850563208</v>
      </c>
      <c r="V806" s="18">
        <f>IF($A806&gt;('1-Input'!$B$26+3),V805,V805-Q806*(1-P806))</f>
        <v>65585.488973035201</v>
      </c>
      <c r="W806" s="11">
        <f>IF($A806&gt;('1-Input'!$B$26+3),0,IF(AB805&lt;=0,0,MAX(0,(AB805-AC805)/AB805)))</f>
        <v>0.57260674412074131</v>
      </c>
      <c r="X806" s="18">
        <f>IF($A806&gt;('1-Input'!$B$26+3),0,(MAX(0,W781-IF($A806&gt;='1-Input'!$C$12,'1-Input'!$B$12,0))-MIN(MAX(AA805,0),MAX(0,W781-IF($A806&gt;='1-Input'!$C$12,'1-Input'!$B$12,0))))*(1/(1-'P-Parametri'!$B$6*W806))+MIN(MAX(0,AB805-(MAX(0,W781-IF($A806&gt;='1-Input'!$C$12,'1-Input'!$B$12,0))-MIN(MAX(AA805,0),MAX(0,W781-IF($A806&gt;='1-Input'!$C$12,'1-Input'!$B$12,0))))*(1/(1-'P-Parametri'!$B$6*W806))),MAX(0,0*W781-(AA805-MIN(MAX(AA805,0),MAX(0,W781-IF($A806&gt;='1-Input'!$C$12,'1-Input'!$B$12,0)))))*(1/(1-'P-Parametri'!$B$6*W806))))</f>
        <v>8773.1840137408544</v>
      </c>
      <c r="Y806" s="18">
        <f>IF($A806&gt;('1-Input'!$B$26+3),AA805,(AA805-MAX(0,W781-IF($A806&gt;='1-Input'!$C$12,'1-Input'!$B$12,0))+X806*(1-'P-Parametri'!$B$6*W806))*(1+'1-Input'!$B$27))</f>
        <v>9.0622052084654565E-13</v>
      </c>
      <c r="Z806" s="18">
        <f>IF($A806&gt;('1-Input'!$B$26+3),AB805,(AB805-X806)*(1+'5-Roberta'!$C$4))</f>
        <v>167402.36042197992</v>
      </c>
      <c r="AA806" s="18">
        <f>IF($A806&gt;('1-Input'!$B$26+3),Y806,Y806-'P-Parametri'!$B$8*(Z806+Y806)+MIN(MAX(Z806,0),'P-Parametri'!$B$8*(Z806+Y806)))</f>
        <v>9.0949470177292824E-13</v>
      </c>
      <c r="AB806" s="18">
        <f>IF($A806&gt;('1-Input'!$B$26+3),Z806,Z806-MIN(MAX(Z806,0),'P-Parametri'!$B$8*(Z806+Y806)))</f>
        <v>167067.55570113595</v>
      </c>
      <c r="AC806" s="18">
        <f>IF($A806&gt;('1-Input'!$B$26+3),AC805,AC805-X806*(1-W806))</f>
        <v>69462.757148177829</v>
      </c>
      <c r="AD806" s="11">
        <f>IF($A806&gt;('1-Input'!$B$26+3),0,IF(AI805&lt;=0,0,MAX(0,(AI805-AJ805)/AI805)))</f>
        <v>0.57260674412074164</v>
      </c>
      <c r="AE806" s="18">
        <f>IF($A806&gt;('1-Input'!$B$26+3),0,(MAX(0,AD781-IF($A806&gt;='1-Input'!$C$12,'1-Input'!$B$12,0))-MIN(MAX(AH805,0),MAX(0,AD781-IF($A806&gt;='1-Input'!$C$12,'1-Input'!$B$12,0))))*(1/(1-'P-Parametri'!$B$6*AD806))+MIN(MAX(0,AI805-(MAX(0,AD781-IF($A806&gt;='1-Input'!$C$12,'1-Input'!$B$12,0))-MIN(MAX(AH805,0),MAX(0,AD781-IF($A806&gt;='1-Input'!$C$12,'1-Input'!$B$12,0))))*(1/(1-'P-Parametri'!$B$6*AD806))),MAX(0,0*AD781-(AH805-MIN(MAX(AH805,0),MAX(0,AD781-IF($A806&gt;='1-Input'!$C$12,'1-Input'!$B$12,0)))))*(1/(1-'P-Parametri'!$B$6*AD806))))</f>
        <v>8788.817155677938</v>
      </c>
      <c r="AF806" s="18">
        <f>IF($A806&gt;('1-Input'!$B$26+3),AH805,(AH805-MAX(0,AD781-IF($A806&gt;='1-Input'!$C$12,'1-Input'!$B$12,0))+AE806*(1-'P-Parametri'!$B$6*AD806))*(1+'1-Input'!$B$27))</f>
        <v>0</v>
      </c>
      <c r="AG806" s="18">
        <f>IF($A806&gt;('1-Input'!$B$26+3),AI805,(AI805-AE806)*(1+'5-Roberta'!$C$4))</f>
        <v>166918.64495788241</v>
      </c>
      <c r="AH806" s="18">
        <f>IF($A806&gt;('1-Input'!$B$26+3),AF806,AF806-'P-Parametri'!$B$8*(AG806+AF806)+MIN(MAX(AG806,0),'P-Parametri'!$B$8*(AG806+AF806)))</f>
        <v>0</v>
      </c>
      <c r="AI806" s="18">
        <f>IF($A806&gt;('1-Input'!$B$26+3),AG806,AG806-MIN(MAX(AG806,0),'P-Parametri'!$B$8*(AG806+AF806)))</f>
        <v>166584.80766796664</v>
      </c>
      <c r="AJ806" s="18">
        <f>IF($A806&gt;('1-Input'!$B$26+3),AJ805,AJ805-AE806*(1-AD806))</f>
        <v>69262.041879129421</v>
      </c>
      <c r="AK806" s="11">
        <f>IF($A806&gt;('1-Input'!$B$26+3),0,IF(AP805&lt;=0,0,MAX(0,(AP805-AQ805)/AP805)))</f>
        <v>0.57260674412074142</v>
      </c>
      <c r="AL806" s="18">
        <f>IF($A806&gt;('1-Input'!$B$26+3),0,(MAX(0,AK781-IF($A806&gt;='1-Input'!$C$12,'1-Input'!$B$12,0))-MIN(MAX(AO805,0),MAX(0,AK781-IF($A806&gt;='1-Input'!$C$12,'1-Input'!$B$12,0))))*(1/(1-'P-Parametri'!$B$6*AK806))+MIN(MAX(0,AP805-(MAX(0,AK781-IF($A806&gt;='1-Input'!$C$12,'1-Input'!$B$12,0))-MIN(MAX(AO805,0),MAX(0,AK781-IF($A806&gt;='1-Input'!$C$12,'1-Input'!$B$12,0))))*(1/(1-'P-Parametri'!$B$6*AK806))),MAX(0,0*AK781-(AO805-MIN(MAX(AO805,0),MAX(0,AK781-IF($A806&gt;='1-Input'!$C$12,'1-Input'!$B$12,0)))))*(1/(1-'P-Parametri'!$B$6*AK806))))</f>
        <v>8786.673045412248</v>
      </c>
      <c r="AM806" s="18">
        <f>IF($A806&gt;('1-Input'!$B$26+3),AO805,(AO805-MAX(0,AK781-IF($A806&gt;='1-Input'!$C$12,'1-Input'!$B$12,0))+AL806*(1-'P-Parametri'!$B$6*AK806))*(1+'1-Input'!$B$27))</f>
        <v>9.0622052084654565E-13</v>
      </c>
      <c r="AN806" s="18">
        <f>IF($A806&gt;('1-Input'!$B$26+3),AP805,(AP805-AL806)*(1+'5-Roberta'!$C$4))</f>
        <v>166984.9873026534</v>
      </c>
      <c r="AO806" s="18">
        <f>IF($A806&gt;('1-Input'!$B$26+3),AM806,AM806-'P-Parametri'!$B$8*(AN806+AM806)+MIN(MAX(AN806,0),'P-Parametri'!$B$8*(AN806+AM806)))</f>
        <v>9.0949470177292824E-13</v>
      </c>
      <c r="AP806" s="18">
        <f>IF($A806&gt;('1-Input'!$B$26+3),AN806,AN806-MIN(MAX(AN806,0),'P-Parametri'!$B$8*(AN806+AM806)))</f>
        <v>166651.0173280481</v>
      </c>
      <c r="AQ806" s="18">
        <f>IF($A806&gt;('1-Input'!$B$26+3),AQ805,AQ805-AL806*(1-AK806))</f>
        <v>69289.570297318147</v>
      </c>
    </row>
    <row r="807" spans="1:43">
      <c r="A807" s="10">
        <f>24</f>
        <v>24</v>
      </c>
      <c r="B807" s="11">
        <f>IF($A807&gt;('1-Input'!$B$26+3),0,IF(G806&lt;=0,0,MAX(0,(G806-H806)/G806)))</f>
        <v>0.58422353845627284</v>
      </c>
      <c r="C807" s="18">
        <f>IF($A807&gt;('1-Input'!$B$26+3),0,(MAX(0,B781-IF($A807&gt;='1-Input'!$C$12,'1-Input'!$B$12,0))-MIN(MAX(F806,0),MAX(0,B781-IF($A807&gt;='1-Input'!$C$12,'1-Input'!$B$12,0))))*(1/(1-'P-Parametri'!$B$6*B807))+MIN(MAX(0,G806-(MAX(0,B781-IF($A807&gt;='1-Input'!$C$12,'1-Input'!$B$12,0))-MIN(MAX(F806,0),MAX(0,B781-IF($A807&gt;='1-Input'!$C$12,'1-Input'!$B$12,0))))*(1/(1-'P-Parametri'!$B$6*B807))),MAX(0,0*B781-(F806-MIN(MAX(F806,0),MAX(0,B781-IF($A807&gt;='1-Input'!$C$12,'1-Input'!$B$12,0)))))*(1/(1-'P-Parametri'!$B$6*B807))))</f>
        <v>6578.2843384532944</v>
      </c>
      <c r="D807" s="18">
        <f>IF($A807&gt;('1-Input'!$B$26+3),F806,(F806-MAX(0,B781-IF($A807&gt;='1-Input'!$C$12,'1-Input'!$B$12,0))+C807*(1-'P-Parametri'!$B$6*B807))*(1+'1-Input'!$B$27))</f>
        <v>0</v>
      </c>
      <c r="E807" s="18">
        <f>IF($A807&gt;('1-Input'!$B$26+3),G806,(G806-C807)*(1+'5-Roberta'!$C$4))</f>
        <v>235857.8083829039</v>
      </c>
      <c r="F807" s="18">
        <f>IF($A807&gt;('1-Input'!$B$26+3),D807,D807-'P-Parametri'!$B$8*(E807+D807)+MIN(MAX(E807,0),'P-Parametri'!$B$8*(E807+D807)))</f>
        <v>0</v>
      </c>
      <c r="G807" s="18">
        <f>IF($A807&gt;('1-Input'!$B$26+3),E807,E807-MIN(MAX(E807,0),'P-Parametri'!$B$8*(E807+D807)))</f>
        <v>235386.09276613808</v>
      </c>
      <c r="H807" s="18">
        <f>IF($A807&gt;('1-Input'!$B$26+3),H806,H806-C807*(1-B807))</f>
        <v>95207.888346506996</v>
      </c>
      <c r="I807" s="11">
        <f>IF($A807&gt;('1-Input'!$B$26+3),0,IF(N806&lt;=0,0,MAX(0,(N806-O806)/N806)))</f>
        <v>0.58422353845627339</v>
      </c>
      <c r="J807" s="18">
        <f>IF($A807&gt;('1-Input'!$B$26+3),0,(MAX(0,I781-IF($A807&gt;='1-Input'!$C$12,'1-Input'!$B$12,0))-MIN(MAX(M806,0),MAX(0,I781-IF($A807&gt;='1-Input'!$C$12,'1-Input'!$B$12,0))))*(1/(1-'P-Parametri'!$B$6*I807))+MIN(MAX(0,N806-(MAX(0,I781-IF($A807&gt;='1-Input'!$C$12,'1-Input'!$B$12,0))-MIN(MAX(M806,0),MAX(0,I781-IF($A807&gt;='1-Input'!$C$12,'1-Input'!$B$12,0))))*(1/(1-'P-Parametri'!$B$6*I807))),MAX(0,0*I781-(M806-MIN(MAX(M806,0),MAX(0,I781-IF($A807&gt;='1-Input'!$C$12,'1-Input'!$B$12,0)))))*(1/(1-'P-Parametri'!$B$6*I807))))</f>
        <v>12789.450476057413</v>
      </c>
      <c r="K807" s="18">
        <f>IF($A807&gt;('1-Input'!$B$26+3),M806,(M806-MAX(0,I781-IF($A807&gt;='1-Input'!$C$12,'1-Input'!$B$12,0))+J807*(1-'P-Parametri'!$B$6*I807))*(1+'1-Input'!$B$27))</f>
        <v>1.8124410416930913E-12</v>
      </c>
      <c r="L807" s="18">
        <f>IF($A807&gt;('1-Input'!$B$26+3),N806,(N806-J807)*(1+'5-Roberta'!$C$4))</f>
        <v>32607.915206901787</v>
      </c>
      <c r="M807" s="18">
        <f>IF($A807&gt;('1-Input'!$B$26+3),K807,K807-'P-Parametri'!$B$8*(L807+K807)+MIN(MAX(L807,0),'P-Parametri'!$B$8*(L807+K807)))</f>
        <v>1.8189894035458565E-12</v>
      </c>
      <c r="N807" s="18">
        <f>IF($A807&gt;('1-Input'!$B$26+3),L807,L807-MIN(MAX(L807,0),'P-Parametri'!$B$8*(L807+K807)))</f>
        <v>32542.699376487984</v>
      </c>
      <c r="O807" s="18">
        <f>IF($A807&gt;('1-Input'!$B$26+3),O806,O806-J807*(1-I807))</f>
        <v>13162.721944702425</v>
      </c>
      <c r="P807" s="11">
        <f>IF($A807&gt;('1-Input'!$B$26+3),0,IF(U806&lt;=0,0,MAX(0,(U806-V806)/U806)))</f>
        <v>0.58422353845627339</v>
      </c>
      <c r="Q807" s="18">
        <f>IF($A807&gt;('1-Input'!$B$26+3),0,(MAX(0,P781-IF($A807&gt;='1-Input'!$C$12,'1-Input'!$B$12,0))-MIN(MAX(T806,0),MAX(0,P781-IF($A807&gt;='1-Input'!$C$12,'1-Input'!$B$12,0))))*(1/(1-'P-Parametri'!$B$6*P807))+MIN(MAX(0,U806-(MAX(0,P781-IF($A807&gt;='1-Input'!$C$12,'1-Input'!$B$12,0))-MIN(MAX(T806,0),MAX(0,P781-IF($A807&gt;='1-Input'!$C$12,'1-Input'!$B$12,0))))*(1/(1-'P-Parametri'!$B$6*P807))),MAX(0,0*P781-(T806-MIN(MAX(T806,0),MAX(0,P781-IF($A807&gt;='1-Input'!$C$12,'1-Input'!$B$12,0)))))*(1/(1-'P-Parametri'!$B$6*P807))))</f>
        <v>9107.4930569595144</v>
      </c>
      <c r="R807" s="18">
        <f>IF($A807&gt;('1-Input'!$B$26+3),T806,(T806-MAX(0,P781-IF($A807&gt;='1-Input'!$C$12,'1-Input'!$B$12,0))+Q807*(1-'P-Parametri'!$B$6*P807))*(1+'1-Input'!$B$27))</f>
        <v>1.8124410416930913E-12</v>
      </c>
      <c r="S807" s="18">
        <f>IF($A807&gt;('1-Input'!$B$26+3),U806,(U806-Q807)*(1+'5-Roberta'!$C$4))</f>
        <v>153093.73631213277</v>
      </c>
      <c r="T807" s="18">
        <f>IF($A807&gt;('1-Input'!$B$26+3),R807,R807-'P-Parametri'!$B$8*(S807+R807)+MIN(MAX(S807,0),'P-Parametri'!$B$8*(S807+R807)))</f>
        <v>1.8189894035458565E-12</v>
      </c>
      <c r="U807" s="18">
        <f>IF($A807&gt;('1-Input'!$B$26+3),S807,S807-MIN(MAX(S807,0),'P-Parametri'!$B$8*(S807+R807)))</f>
        <v>152787.5488395085</v>
      </c>
      <c r="V807" s="18">
        <f>IF($A807&gt;('1-Input'!$B$26+3),V806,V806-Q807*(1-P807))</f>
        <v>61798.807736278519</v>
      </c>
      <c r="W807" s="11">
        <f>IF($A807&gt;('1-Input'!$B$26+3),0,IF(AB806&lt;=0,0,MAX(0,(AB806-AC806)/AB806)))</f>
        <v>0.58422353845627295</v>
      </c>
      <c r="X807" s="18">
        <f>IF($A807&gt;('1-Input'!$B$26+3),0,(MAX(0,W781-IF($A807&gt;='1-Input'!$C$12,'1-Input'!$B$12,0))-MIN(MAX(AA806,0),MAX(0,W781-IF($A807&gt;='1-Input'!$C$12,'1-Input'!$B$12,0))))*(1/(1-'P-Parametri'!$B$6*W807))+MIN(MAX(0,AB806-(MAX(0,W781-IF($A807&gt;='1-Input'!$C$12,'1-Input'!$B$12,0))-MIN(MAX(AA806,0),MAX(0,W781-IF($A807&gt;='1-Input'!$C$12,'1-Input'!$B$12,0))))*(1/(1-'P-Parametri'!$B$6*W807))),MAX(0,0*W781-(AA806-MIN(MAX(AA806,0),MAX(0,W781-IF($A807&gt;='1-Input'!$C$12,'1-Input'!$B$12,0)))))*(1/(1-'P-Parametri'!$B$6*W807))))</f>
        <v>8804.4281743272695</v>
      </c>
      <c r="Y807" s="18">
        <f>IF($A807&gt;('1-Input'!$B$26+3),AA806,(AA806-MAX(0,W781-IF($A807&gt;='1-Input'!$C$12,'1-Input'!$B$12,0))+X807*(1-'P-Parametri'!$B$6*W807))*(1+'1-Input'!$B$27))</f>
        <v>9.0622052084654565E-13</v>
      </c>
      <c r="Z807" s="18">
        <f>IF($A807&gt;('1-Input'!$B$26+3),AB806,(AB806-X807)*(1+'5-Roberta'!$C$4))</f>
        <v>163011.02135261294</v>
      </c>
      <c r="AA807" s="18">
        <f>IF($A807&gt;('1-Input'!$B$26+3),Y807,Y807-'P-Parametri'!$B$8*(Z807+Y807)+MIN(MAX(Z807,0),'P-Parametri'!$B$8*(Z807+Y807)))</f>
        <v>9.0949470177292824E-13</v>
      </c>
      <c r="AB807" s="18">
        <f>IF($A807&gt;('1-Input'!$B$26+3),Z807,Z807-MIN(MAX(Z807,0),'P-Parametri'!$B$8*(Z807+Y807)))</f>
        <v>162684.99930990773</v>
      </c>
      <c r="AC807" s="18">
        <f>IF($A807&gt;('1-Input'!$B$26+3),AC806,AC806-X807*(1-W807))</f>
        <v>65802.083155940141</v>
      </c>
      <c r="AD807" s="11">
        <f>IF($A807&gt;('1-Input'!$B$26+3),0,IF(AI806&lt;=0,0,MAX(0,(AI806-AJ806)/AI806)))</f>
        <v>0.58422353845627339</v>
      </c>
      <c r="AE807" s="18">
        <f>IF($A807&gt;('1-Input'!$B$26+3),0,(MAX(0,AD781-IF($A807&gt;='1-Input'!$C$12,'1-Input'!$B$12,0))-MIN(MAX(AH806,0),MAX(0,AD781-IF($A807&gt;='1-Input'!$C$12,'1-Input'!$B$12,0))))*(1/(1-'P-Parametri'!$B$6*AD807))+MIN(MAX(0,AI806-(MAX(0,AD781-IF($A807&gt;='1-Input'!$C$12,'1-Input'!$B$12,0))-MIN(MAX(AH806,0),MAX(0,AD781-IF($A807&gt;='1-Input'!$C$12,'1-Input'!$B$12,0))))*(1/(1-'P-Parametri'!$B$6*AD807))),MAX(0,0*AD781-(AH806-MIN(MAX(AH806,0),MAX(0,AD781-IF($A807&gt;='1-Input'!$C$12,'1-Input'!$B$12,0)))))*(1/(1-'P-Parametri'!$B$6*AD807))))</f>
        <v>8820.1169909653981</v>
      </c>
      <c r="AF807" s="18">
        <f>IF($A807&gt;('1-Input'!$B$26+3),AH806,(AH806-MAX(0,AD781-IF($A807&gt;='1-Input'!$C$12,'1-Input'!$B$12,0))+AE807*(1-'P-Parametri'!$B$6*AD807))*(1+'1-Input'!$B$27))</f>
        <v>9.0622052084654565E-13</v>
      </c>
      <c r="AG807" s="18">
        <f>IF($A807&gt;('1-Input'!$B$26+3),AI806,(AI806-AE807)*(1+'5-Roberta'!$C$4))</f>
        <v>162497.63139731131</v>
      </c>
      <c r="AH807" s="18">
        <f>IF($A807&gt;('1-Input'!$B$26+3),AF807,AF807-'P-Parametri'!$B$8*(AG807+AF807)+MIN(MAX(AG807,0),'P-Parametri'!$B$8*(AG807+AF807)))</f>
        <v>9.0949470177292824E-13</v>
      </c>
      <c r="AI807" s="18">
        <f>IF($A807&gt;('1-Input'!$B$26+3),AG807,AG807-MIN(MAX(AG807,0),'P-Parametri'!$B$8*(AG807+AF807)))</f>
        <v>162172.63613451668</v>
      </c>
      <c r="AJ807" s="18">
        <f>IF($A807&gt;('1-Input'!$B$26+3),AJ806,AJ806-AE807*(1-AD807))</f>
        <v>65594.844846224121</v>
      </c>
      <c r="AK807" s="11">
        <f>IF($A807&gt;('1-Input'!$B$26+3),0,IF(AP806&lt;=0,0,MAX(0,(AP806-AQ806)/AP806)))</f>
        <v>0.58422353845627317</v>
      </c>
      <c r="AL807" s="18">
        <f>IF($A807&gt;('1-Input'!$B$26+3),0,(MAX(0,AK781-IF($A807&gt;='1-Input'!$C$12,'1-Input'!$B$12,0))-MIN(MAX(AO806,0),MAX(0,AK781-IF($A807&gt;='1-Input'!$C$12,'1-Input'!$B$12,0))))*(1/(1-'P-Parametri'!$B$6*AK807))+MIN(MAX(0,AP806-(MAX(0,AK781-IF($A807&gt;='1-Input'!$C$12,'1-Input'!$B$12,0))-MIN(MAX(AO806,0),MAX(0,AK781-IF($A807&gt;='1-Input'!$C$12,'1-Input'!$B$12,0))))*(1/(1-'P-Parametri'!$B$6*AK807))),MAX(0,0*AK781-(AO806-MIN(MAX(AO806,0),MAX(0,AK781-IF($A807&gt;='1-Input'!$C$12,'1-Input'!$B$12,0)))))*(1/(1-'P-Parametri'!$B$6*AK807))))</f>
        <v>8817.9652448259621</v>
      </c>
      <c r="AM807" s="18">
        <f>IF($A807&gt;('1-Input'!$B$26+3),AO806,(AO806-MAX(0,AK781-IF($A807&gt;='1-Input'!$C$12,'1-Input'!$B$12,0))+AL807*(1-'P-Parametri'!$B$6*AK807))*(1+'1-Input'!$B$27))</f>
        <v>9.0622052084654565E-13</v>
      </c>
      <c r="AN807" s="18">
        <f>IF($A807&gt;('1-Input'!$B$26+3),AP806,(AP806-AL807)*(1+'5-Roberta'!$C$4))</f>
        <v>162568.0436457188</v>
      </c>
      <c r="AO807" s="18">
        <f>IF($A807&gt;('1-Input'!$B$26+3),AM807,AM807-'P-Parametri'!$B$8*(AN807+AM807)+MIN(MAX(AN807,0),'P-Parametri'!$B$8*(AN807+AM807)))</f>
        <v>9.0949470177292824E-13</v>
      </c>
      <c r="AP807" s="18">
        <f>IF($A807&gt;('1-Input'!$B$26+3),AN807,AN807-MIN(MAX(AN807,0),'P-Parametri'!$B$8*(AN807+AM807)))</f>
        <v>162242.90755842737</v>
      </c>
      <c r="AQ807" s="18">
        <f>IF($A807&gt;('1-Input'!$B$26+3),AQ806,AQ806-AL807*(1-AK807))</f>
        <v>65623.267909808841</v>
      </c>
    </row>
    <row r="808" spans="1:43">
      <c r="A808" s="10">
        <f>25</f>
        <v>25</v>
      </c>
      <c r="B808" s="11">
        <f>IF($A808&gt;('1-Input'!$B$26+3),0,IF(G807&lt;=0,0,MAX(0,(G807-H807)/G807)))</f>
        <v>0.59552458164510857</v>
      </c>
      <c r="C808" s="18">
        <f>IF($A808&gt;('1-Input'!$B$26+3),0,(MAX(0,B781-IF($A808&gt;='1-Input'!$C$12,'1-Input'!$B$12,0))-MIN(MAX(F807,0),MAX(0,B781-IF($A808&gt;='1-Input'!$C$12,'1-Input'!$B$12,0))))*(1/(1-'P-Parametri'!$B$6*B808))+MIN(MAX(0,G807-(MAX(0,B781-IF($A808&gt;='1-Input'!$C$12,'1-Input'!$B$12,0))-MIN(MAX(F807,0),MAX(0,B781-IF($A808&gt;='1-Input'!$C$12,'1-Input'!$B$12,0))))*(1/(1-'P-Parametri'!$B$6*B808))),MAX(0,0*B781-(F807-MIN(MAX(F807,0),MAX(0,B781-IF($A808&gt;='1-Input'!$C$12,'1-Input'!$B$12,0)))))*(1/(1-'P-Parametri'!$B$6*B808))))</f>
        <v>6601.1542105205235</v>
      </c>
      <c r="D808" s="18">
        <f>IF($A808&gt;('1-Input'!$B$26+3),F807,(F807-MAX(0,B781-IF($A808&gt;='1-Input'!$C$12,'1-Input'!$B$12,0))+C808*(1-'P-Parametri'!$B$6*B808))*(1+'1-Input'!$B$27))</f>
        <v>0</v>
      </c>
      <c r="E808" s="18">
        <f>IF($A808&gt;('1-Input'!$B$26+3),G807,(G807-C808)*(1+'5-Roberta'!$C$4))</f>
        <v>235648.48671228607</v>
      </c>
      <c r="F808" s="18">
        <f>IF($A808&gt;('1-Input'!$B$26+3),D808,D808-'P-Parametri'!$B$8*(E808+D808)+MIN(MAX(E808,0),'P-Parametri'!$B$8*(E808+D808)))</f>
        <v>0</v>
      </c>
      <c r="G808" s="18">
        <f>IF($A808&gt;('1-Input'!$B$26+3),E808,E808-MIN(MAX(E808,0),'P-Parametri'!$B$8*(E808+D808)))</f>
        <v>235177.18973886149</v>
      </c>
      <c r="H808" s="18">
        <f>IF($A808&gt;('1-Input'!$B$26+3),H807,H807-C808*(1-B808))</f>
        <v>92537.883735581549</v>
      </c>
      <c r="I808" s="11">
        <f>IF($A808&gt;('1-Input'!$B$26+3),0,IF(N807&lt;=0,0,MAX(0,(N807-O807)/N807)))</f>
        <v>0.59552458164510913</v>
      </c>
      <c r="J808" s="18">
        <f>IF($A808&gt;('1-Input'!$B$26+3),0,(MAX(0,I781-IF($A808&gt;='1-Input'!$C$12,'1-Input'!$B$12,0))-MIN(MAX(M807,0),MAX(0,I781-IF($A808&gt;='1-Input'!$C$12,'1-Input'!$B$12,0))))*(1/(1-'P-Parametri'!$B$6*I808))+MIN(MAX(0,N807-(MAX(0,I781-IF($A808&gt;='1-Input'!$C$12,'1-Input'!$B$12,0))-MIN(MAX(M807,0),MAX(0,I781-IF($A808&gt;='1-Input'!$C$12,'1-Input'!$B$12,0))))*(1/(1-'P-Parametri'!$B$6*I808))),MAX(0,0*I781-(M807-MIN(MAX(M807,0),MAX(0,I781-IF($A808&gt;='1-Input'!$C$12,'1-Input'!$B$12,0)))))*(1/(1-'P-Parametri'!$B$6*I808))))</f>
        <v>12833.913907728764</v>
      </c>
      <c r="K808" s="18">
        <f>IF($A808&gt;('1-Input'!$B$26+3),M807,(M807-MAX(0,I781-IF($A808&gt;='1-Input'!$C$12,'1-Input'!$B$12,0))+J808*(1-'P-Parametri'!$B$6*I808))*(1+'1-Input'!$B$27))</f>
        <v>-1.8124410416930913E-12</v>
      </c>
      <c r="L808" s="18">
        <f>IF($A808&gt;('1-Input'!$B$26+3),N807,(N807-J808)*(1+'5-Roberta'!$C$4))</f>
        <v>20300.049032821997</v>
      </c>
      <c r="M808" s="18">
        <f>IF($A808&gt;('1-Input'!$B$26+3),K808,K808-'P-Parametri'!$B$8*(L808+K808)+MIN(MAX(L808,0),'P-Parametri'!$B$8*(L808+K808)))</f>
        <v>-1.8118839761882555E-12</v>
      </c>
      <c r="N808" s="18">
        <f>IF($A808&gt;('1-Input'!$B$26+3),L808,L808-MIN(MAX(L808,0),'P-Parametri'!$B$8*(L808+K808)))</f>
        <v>20259.448934756354</v>
      </c>
      <c r="O808" s="18">
        <f>IF($A808&gt;('1-Input'!$B$26+3),O807,O807-J808*(1-I808))</f>
        <v>7971.7192477431818</v>
      </c>
      <c r="P808" s="11">
        <f>IF($A808&gt;('1-Input'!$B$26+3),0,IF(U807&lt;=0,0,MAX(0,(U807-V807)/U807)))</f>
        <v>0.59552458164510924</v>
      </c>
      <c r="Q808" s="18">
        <f>IF($A808&gt;('1-Input'!$B$26+3),0,(MAX(0,P781-IF($A808&gt;='1-Input'!$C$12,'1-Input'!$B$12,0))-MIN(MAX(T807,0),MAX(0,P781-IF($A808&gt;='1-Input'!$C$12,'1-Input'!$B$12,0))))*(1/(1-'P-Parametri'!$B$6*P808))+MIN(MAX(0,U807-(MAX(0,P781-IF($A808&gt;='1-Input'!$C$12,'1-Input'!$B$12,0))-MIN(MAX(T807,0),MAX(0,P781-IF($A808&gt;='1-Input'!$C$12,'1-Input'!$B$12,0))))*(1/(1-'P-Parametri'!$B$6*P808))),MAX(0,0*P781-(T807-MIN(MAX(T807,0),MAX(0,P781-IF($A808&gt;='1-Input'!$C$12,'1-Input'!$B$12,0)))))*(1/(1-'P-Parametri'!$B$6*P808))))</f>
        <v>9139.1559025206661</v>
      </c>
      <c r="R808" s="18">
        <f>IF($A808&gt;('1-Input'!$B$26+3),T807,(T807-MAX(0,P781-IF($A808&gt;='1-Input'!$C$12,'1-Input'!$B$12,0))+Q808*(1-'P-Parametri'!$B$6*P808))*(1+'1-Input'!$B$27))</f>
        <v>-9.0622052084654565E-13</v>
      </c>
      <c r="S808" s="18">
        <f>IF($A808&gt;('1-Input'!$B$26+3),U807,(U807-Q808)*(1+'5-Roberta'!$C$4))</f>
        <v>147957.84472509747</v>
      </c>
      <c r="T808" s="18">
        <f>IF($A808&gt;('1-Input'!$B$26+3),R808,R808-'P-Parametri'!$B$8*(S808+R808)+MIN(MAX(S808,0),'P-Parametri'!$B$8*(S808+R808)))</f>
        <v>-9.0949470177292824E-13</v>
      </c>
      <c r="U808" s="18">
        <f>IF($A808&gt;('1-Input'!$B$26+3),S808,S808-MIN(MAX(S808,0),'P-Parametri'!$B$8*(S808+R808)))</f>
        <v>147661.92903564728</v>
      </c>
      <c r="V808" s="18">
        <f>IF($A808&gt;('1-Input'!$B$26+3),V807,V807-Q808*(1-P808))</f>
        <v>58102.243829195904</v>
      </c>
      <c r="W808" s="11">
        <f>IF($A808&gt;('1-Input'!$B$26+3),0,IF(AB807&lt;=0,0,MAX(0,(AB807-AC807)/AB807)))</f>
        <v>0.59552458164510857</v>
      </c>
      <c r="X808" s="18">
        <f>IF($A808&gt;('1-Input'!$B$26+3),0,(MAX(0,W781-IF($A808&gt;='1-Input'!$C$12,'1-Input'!$B$12,0))-MIN(MAX(AA807,0),MAX(0,W781-IF($A808&gt;='1-Input'!$C$12,'1-Input'!$B$12,0))))*(1/(1-'P-Parametri'!$B$6*W808))+MIN(MAX(0,AB807-(MAX(0,W781-IF($A808&gt;='1-Input'!$C$12,'1-Input'!$B$12,0))-MIN(MAX(AA807,0),MAX(0,W781-IF($A808&gt;='1-Input'!$C$12,'1-Input'!$B$12,0))))*(1/(1-'P-Parametri'!$B$6*W808))),MAX(0,0*W781-(AA807-MIN(MAX(AA807,0),MAX(0,W781-IF($A808&gt;='1-Input'!$C$12,'1-Input'!$B$12,0)))))*(1/(1-'P-Parametri'!$B$6*W808))))</f>
        <v>8835.0373933290884</v>
      </c>
      <c r="Y808" s="18">
        <f>IF($A808&gt;('1-Input'!$B$26+3),AA807,(AA807-MAX(0,W781-IF($A808&gt;='1-Input'!$C$12,'1-Input'!$B$12,0))+X808*(1-'P-Parametri'!$B$6*W808))*(1+'1-Input'!$B$27))</f>
        <v>0</v>
      </c>
      <c r="Z808" s="18">
        <f>IF($A808&gt;('1-Input'!$B$26+3),AB807,(AB807-X808)*(1+'5-Roberta'!$C$4))</f>
        <v>158465.460774076</v>
      </c>
      <c r="AA808" s="18">
        <f>IF($A808&gt;('1-Input'!$B$26+3),Y808,Y808-'P-Parametri'!$B$8*(Z808+Y808)+MIN(MAX(Z808,0),'P-Parametri'!$B$8*(Z808+Y808)))</f>
        <v>0</v>
      </c>
      <c r="AB808" s="18">
        <f>IF($A808&gt;('1-Input'!$B$26+3),Z808,Z808-MIN(MAX(Z808,0),'P-Parametri'!$B$8*(Z808+Y808)))</f>
        <v>158148.52985252783</v>
      </c>
      <c r="AC808" s="18">
        <f>IF($A808&gt;('1-Input'!$B$26+3),AC807,AC807-X808*(1-W808))</f>
        <v>62228.527710092247</v>
      </c>
      <c r="AD808" s="11">
        <f>IF($A808&gt;('1-Input'!$B$26+3),0,IF(AI807&lt;=0,0,MAX(0,(AI807-AJ807)/AI807)))</f>
        <v>0.59552458164510913</v>
      </c>
      <c r="AE808" s="18">
        <f>IF($A808&gt;('1-Input'!$B$26+3),0,(MAX(0,AD781-IF($A808&gt;='1-Input'!$C$12,'1-Input'!$B$12,0))-MIN(MAX(AH807,0),MAX(0,AD781-IF($A808&gt;='1-Input'!$C$12,'1-Input'!$B$12,0))))*(1/(1-'P-Parametri'!$B$6*AD808))+MIN(MAX(0,AI807-(MAX(0,AD781-IF($A808&gt;='1-Input'!$C$12,'1-Input'!$B$12,0))-MIN(MAX(AH807,0),MAX(0,AD781-IF($A808&gt;='1-Input'!$C$12,'1-Input'!$B$12,0))))*(1/(1-'P-Parametri'!$B$6*AD808))),MAX(0,0*AD781-(AH807-MIN(MAX(AH807,0),MAX(0,AD781-IF($A808&gt;='1-Input'!$C$12,'1-Input'!$B$12,0)))))*(1/(1-'P-Parametri'!$B$6*AD808))))</f>
        <v>8850.7807532509869</v>
      </c>
      <c r="AF808" s="18">
        <f>IF($A808&gt;('1-Input'!$B$26+3),AH807,(AH807-MAX(0,AD781-IF($A808&gt;='1-Input'!$C$12,'1-Input'!$B$12,0))+AE808*(1-'P-Parametri'!$B$6*AD808))*(1+'1-Input'!$B$27))</f>
        <v>-9.0622052084654565E-13</v>
      </c>
      <c r="AG808" s="18">
        <f>IF($A808&gt;('1-Input'!$B$26+3),AI807,(AI807-AE808)*(1+'5-Roberta'!$C$4))</f>
        <v>157921.51104270367</v>
      </c>
      <c r="AH808" s="18">
        <f>IF($A808&gt;('1-Input'!$B$26+3),AF808,AF808-'P-Parametri'!$B$8*(AG808+AF808)+MIN(MAX(AG808,0),'P-Parametri'!$B$8*(AG808+AF808)))</f>
        <v>-9.0949470177292824E-13</v>
      </c>
      <c r="AI808" s="18">
        <f>IF($A808&gt;('1-Input'!$B$26+3),AG808,AG808-MIN(MAX(AG808,0),'P-Parametri'!$B$8*(AG808+AF808)))</f>
        <v>157605.66802061826</v>
      </c>
      <c r="AJ808" s="18">
        <f>IF($A808&gt;('1-Input'!$B$26+3),AJ807,AJ807-AE808*(1-AD808))</f>
        <v>62014.921598285509</v>
      </c>
      <c r="AK808" s="11">
        <f>IF($A808&gt;('1-Input'!$B$26+3),0,IF(AP807&lt;=0,0,MAX(0,(AP807-AQ807)/AP807)))</f>
        <v>0.5955245816451088</v>
      </c>
      <c r="AL808" s="18">
        <f>IF($A808&gt;('1-Input'!$B$26+3),0,(MAX(0,AK781-IF($A808&gt;='1-Input'!$C$12,'1-Input'!$B$12,0))-MIN(MAX(AO807,0),MAX(0,AK781-IF($A808&gt;='1-Input'!$C$12,'1-Input'!$B$12,0))))*(1/(1-'P-Parametri'!$B$6*AK808))+MIN(MAX(0,AP807-(MAX(0,AK781-IF($A808&gt;='1-Input'!$C$12,'1-Input'!$B$12,0))-MIN(MAX(AO807,0),MAX(0,AK781-IF($A808&gt;='1-Input'!$C$12,'1-Input'!$B$12,0))))*(1/(1-'P-Parametri'!$B$6*AK808))),MAX(0,0*AK781-(AO807-MIN(MAX(AO807,0),MAX(0,AK781-IF($A808&gt;='1-Input'!$C$12,'1-Input'!$B$12,0)))))*(1/(1-'P-Parametri'!$B$6*AK808))))</f>
        <v>8848.621526413488</v>
      </c>
      <c r="AM808" s="18">
        <f>IF($A808&gt;('1-Input'!$B$26+3),AO807,(AO807-MAX(0,AK781-IF($A808&gt;='1-Input'!$C$12,'1-Input'!$B$12,0))+AL808*(1-'P-Parametri'!$B$6*AK808))*(1+'1-Input'!$B$27))</f>
        <v>9.0622052084654565E-13</v>
      </c>
      <c r="AN808" s="18">
        <f>IF($A808&gt;('1-Input'!$B$26+3),AP807,(AP807-AL808)*(1+'5-Roberta'!$C$4))</f>
        <v>157996.11461297431</v>
      </c>
      <c r="AO808" s="18">
        <f>IF($A808&gt;('1-Input'!$B$26+3),AM808,AM808-'P-Parametri'!$B$8*(AN808+AM808)+MIN(MAX(AN808,0),'P-Parametri'!$B$8*(AN808+AM808)))</f>
        <v>9.0949470177292824E-13</v>
      </c>
      <c r="AP808" s="18">
        <f>IF($A808&gt;('1-Input'!$B$26+3),AN808,AN808-MIN(MAX(AN808,0),'P-Parametri'!$B$8*(AN808+AM808)))</f>
        <v>157680.12238374836</v>
      </c>
      <c r="AQ808" s="18">
        <f>IF($A808&gt;('1-Input'!$B$26+3),AQ807,AQ807-AL808*(1-AK808))</f>
        <v>62044.218016048646</v>
      </c>
    </row>
    <row r="809" spans="1:43">
      <c r="A809" s="10">
        <f>26</f>
        <v>26</v>
      </c>
      <c r="B809" s="11">
        <f>IF($A809&gt;('1-Input'!$B$26+3),0,IF(G808&lt;=0,0,MAX(0,(G808-H808)/G808)))</f>
        <v>0.60651845598489063</v>
      </c>
      <c r="C809" s="18">
        <f>IF($A809&gt;('1-Input'!$B$26+3),0,(MAX(0,B781-IF($A809&gt;='1-Input'!$C$12,'1-Input'!$B$12,0))-MIN(MAX(F808,0),MAX(0,B781-IF($A809&gt;='1-Input'!$C$12,'1-Input'!$B$12,0))))*(1/(1-'P-Parametri'!$B$6*B809))+MIN(MAX(0,G808-(MAX(0,B781-IF($A809&gt;='1-Input'!$C$12,'1-Input'!$B$12,0))-MIN(MAX(F808,0),MAX(0,B781-IF($A809&gt;='1-Input'!$C$12,'1-Input'!$B$12,0))))*(1/(1-'P-Parametri'!$B$6*B809))),MAX(0,0*B781-(F808-MIN(MAX(F808,0),MAX(0,B781-IF($A809&gt;='1-Input'!$C$12,'1-Input'!$B$12,0)))))*(1/(1-'P-Parametri'!$B$6*B809))))</f>
        <v>6623.5555770780738</v>
      </c>
      <c r="D809" s="18">
        <f>IF($A809&gt;('1-Input'!$B$26+3),F808,(F808-MAX(0,B781-IF($A809&gt;='1-Input'!$C$12,'1-Input'!$B$12,0))+C809*(1-'P-Parametri'!$B$6*B809))*(1+'1-Input'!$B$27))</f>
        <v>0</v>
      </c>
      <c r="E809" s="18">
        <f>IF($A809&gt;('1-Input'!$B$26+3),G808,(G808-C809)*(1+'5-Roberta'!$C$4))</f>
        <v>235410.24318663692</v>
      </c>
      <c r="F809" s="18">
        <f>IF($A809&gt;('1-Input'!$B$26+3),D809,D809-'P-Parametri'!$B$8*(E809+D809)+MIN(MAX(E809,0),'P-Parametri'!$B$8*(E809+D809)))</f>
        <v>0</v>
      </c>
      <c r="G809" s="18">
        <f>IF($A809&gt;('1-Input'!$B$26+3),E809,E809-MIN(MAX(E809,0),'P-Parametri'!$B$8*(E809+D809)))</f>
        <v>234939.42270026365</v>
      </c>
      <c r="H809" s="18">
        <f>IF($A809&gt;('1-Input'!$B$26+3),H808,H808-C809*(1-B809))</f>
        <v>89931.636860242987</v>
      </c>
      <c r="I809" s="11">
        <f>IF($A809&gt;('1-Input'!$B$26+3),0,IF(N808&lt;=0,0,MAX(0,(N808-O808)/N808)))</f>
        <v>0.60651845598489118</v>
      </c>
      <c r="J809" s="18">
        <f>IF($A809&gt;('1-Input'!$B$26+3),0,(MAX(0,I781-IF($A809&gt;='1-Input'!$C$12,'1-Input'!$B$12,0))-MIN(MAX(M808,0),MAX(0,I781-IF($A809&gt;='1-Input'!$C$12,'1-Input'!$B$12,0))))*(1/(1-'P-Parametri'!$B$6*I809))+MIN(MAX(0,N808-(MAX(0,I781-IF($A809&gt;='1-Input'!$C$12,'1-Input'!$B$12,0))-MIN(MAX(M808,0),MAX(0,I781-IF($A809&gt;='1-Input'!$C$12,'1-Input'!$B$12,0))))*(1/(1-'P-Parametri'!$B$6*I809))),MAX(0,0*I781-(M808-MIN(MAX(M808,0),MAX(0,I781-IF($A809&gt;='1-Input'!$C$12,'1-Input'!$B$12,0)))))*(1/(1-'P-Parametri'!$B$6*I809))))</f>
        <v>12877.466474544564</v>
      </c>
      <c r="K809" s="18">
        <f>IF($A809&gt;('1-Input'!$B$26+3),M808,(M808-MAX(0,I781-IF($A809&gt;='1-Input'!$C$12,'1-Input'!$B$12,0))+J809*(1-'P-Parametri'!$B$6*I809))*(1+'1-Input'!$B$27))</f>
        <v>0</v>
      </c>
      <c r="L809" s="18">
        <f>IF($A809&gt;('1-Input'!$B$26+3),N808,(N808-J809)*(1+'5-Roberta'!$C$4))</f>
        <v>7603.4419340181439</v>
      </c>
      <c r="M809" s="18">
        <f>IF($A809&gt;('1-Input'!$B$26+3),K809,K809-'P-Parametri'!$B$8*(L809+K809)+MIN(MAX(L809,0),'P-Parametri'!$B$8*(L809+K809)))</f>
        <v>0</v>
      </c>
      <c r="N809" s="18">
        <f>IF($A809&gt;('1-Input'!$B$26+3),L809,L809-MIN(MAX(L809,0),'P-Parametri'!$B$8*(L809+K809)))</f>
        <v>7588.2350501501078</v>
      </c>
      <c r="O809" s="18">
        <f>IF($A809&gt;('1-Input'!$B$26+3),O808,O808-J809*(1-I809))</f>
        <v>2904.6738563365861</v>
      </c>
      <c r="P809" s="11">
        <f>IF($A809&gt;('1-Input'!$B$26+3),0,IF(U808&lt;=0,0,MAX(0,(U808-V808)/U808)))</f>
        <v>0.60651845598489118</v>
      </c>
      <c r="Q809" s="18">
        <f>IF($A809&gt;('1-Input'!$B$26+3),0,(MAX(0,P781-IF($A809&gt;='1-Input'!$C$12,'1-Input'!$B$12,0))-MIN(MAX(T808,0),MAX(0,P781-IF($A809&gt;='1-Input'!$C$12,'1-Input'!$B$12,0))))*(1/(1-'P-Parametri'!$B$6*P809))+MIN(MAX(0,U808-(MAX(0,P781-IF($A809&gt;='1-Input'!$C$12,'1-Input'!$B$12,0))-MIN(MAX(T808,0),MAX(0,P781-IF($A809&gt;='1-Input'!$C$12,'1-Input'!$B$12,0))))*(1/(1-'P-Parametri'!$B$6*P809))),MAX(0,0*P781-(T808-MIN(MAX(T808,0),MAX(0,P781-IF($A809&gt;='1-Input'!$C$12,'1-Input'!$B$12,0)))))*(1/(1-'P-Parametri'!$B$6*P809))))</f>
        <v>9170.1701122891191</v>
      </c>
      <c r="R809" s="18">
        <f>IF($A809&gt;('1-Input'!$B$26+3),T808,(T808-MAX(0,P781-IF($A809&gt;='1-Input'!$C$12,'1-Input'!$B$12,0))+Q809*(1-'P-Parametri'!$B$6*P809))*(1+'1-Input'!$B$27))</f>
        <v>0</v>
      </c>
      <c r="S809" s="18">
        <f>IF($A809&gt;('1-Input'!$B$26+3),U808,(U808-Q809)*(1+'5-Roberta'!$C$4))</f>
        <v>142646.51169105893</v>
      </c>
      <c r="T809" s="18">
        <f>IF($A809&gt;('1-Input'!$B$26+3),R809,R809-'P-Parametri'!$B$8*(S809+R809)+MIN(MAX(S809,0),'P-Parametri'!$B$8*(S809+R809)))</f>
        <v>0</v>
      </c>
      <c r="U809" s="18">
        <f>IF($A809&gt;('1-Input'!$B$26+3),S809,S809-MIN(MAX(S809,0),'P-Parametri'!$B$8*(S809+R809)))</f>
        <v>142361.21866767682</v>
      </c>
      <c r="V809" s="18">
        <f>IF($A809&gt;('1-Input'!$B$26+3),V808,V808-Q809*(1-P809))</f>
        <v>54493.951134531177</v>
      </c>
      <c r="W809" s="11">
        <f>IF($A809&gt;('1-Input'!$B$26+3),0,IF(AB808&lt;=0,0,MAX(0,(AB808-AC808)/AB808)))</f>
        <v>0.60651845598489074</v>
      </c>
      <c r="X809" s="18">
        <f>IF($A809&gt;('1-Input'!$B$26+3),0,(MAX(0,W781-IF($A809&gt;='1-Input'!$C$12,'1-Input'!$B$12,0))-MIN(MAX(AA808,0),MAX(0,W781-IF($A809&gt;='1-Input'!$C$12,'1-Input'!$B$12,0))))*(1/(1-'P-Parametri'!$B$6*W809))+MIN(MAX(0,AB808-(MAX(0,W781-IF($A809&gt;='1-Input'!$C$12,'1-Input'!$B$12,0))-MIN(MAX(AA808,0),MAX(0,W781-IF($A809&gt;='1-Input'!$C$12,'1-Input'!$B$12,0))))*(1/(1-'P-Parametri'!$B$6*W809))),MAX(0,0*W781-(AA808-MIN(MAX(AA808,0),MAX(0,W781-IF($A809&gt;='1-Input'!$C$12,'1-Input'!$B$12,0)))))*(1/(1-'P-Parametri'!$B$6*W809))))</f>
        <v>8865.0195608237063</v>
      </c>
      <c r="Y809" s="18">
        <f>IF($A809&gt;('1-Input'!$B$26+3),AA808,(AA808-MAX(0,W781-IF($A809&gt;='1-Input'!$C$12,'1-Input'!$B$12,0))+X809*(1-'P-Parametri'!$B$6*W809))*(1+'1-Input'!$B$27))</f>
        <v>-9.0622052084654565E-13</v>
      </c>
      <c r="Z809" s="18">
        <f>IF($A809&gt;('1-Input'!$B$26+3),AB808,(AB808-X809)*(1+'5-Roberta'!$C$4))</f>
        <v>153762.01560045526</v>
      </c>
      <c r="AA809" s="18">
        <f>IF($A809&gt;('1-Input'!$B$26+3),Y809,Y809-'P-Parametri'!$B$8*(Z809+Y809)+MIN(MAX(Z809,0),'P-Parametri'!$B$8*(Z809+Y809)))</f>
        <v>-9.0949470177292824E-13</v>
      </c>
      <c r="AB809" s="18">
        <f>IF($A809&gt;('1-Input'!$B$26+3),Z809,Z809-MIN(MAX(Z809,0),'P-Parametri'!$B$8*(Z809+Y809)))</f>
        <v>153454.49156925434</v>
      </c>
      <c r="AC809" s="18">
        <f>IF($A809&gt;('1-Input'!$B$26+3),AC808,AC808-X809*(1-W809))</f>
        <v>58740.306125575189</v>
      </c>
      <c r="AD809" s="11">
        <f>IF($A809&gt;('1-Input'!$B$26+3),0,IF(AI808&lt;=0,0,MAX(0,(AI808-AJ808)/AI808)))</f>
        <v>0.60651845598489129</v>
      </c>
      <c r="AE809" s="18">
        <f>IF($A809&gt;('1-Input'!$B$26+3),0,(MAX(0,AD781-IF($A809&gt;='1-Input'!$C$12,'1-Input'!$B$12,0))-MIN(MAX(AH808,0),MAX(0,AD781-IF($A809&gt;='1-Input'!$C$12,'1-Input'!$B$12,0))))*(1/(1-'P-Parametri'!$B$6*AD809))+MIN(MAX(0,AI808-(MAX(0,AD781-IF($A809&gt;='1-Input'!$C$12,'1-Input'!$B$12,0))-MIN(MAX(AH808,0),MAX(0,AD781-IF($A809&gt;='1-Input'!$C$12,'1-Input'!$B$12,0))))*(1/(1-'P-Parametri'!$B$6*AD809))),MAX(0,0*AD781-(AH808-MIN(MAX(AH808,0),MAX(0,AD781-IF($A809&gt;='1-Input'!$C$12,'1-Input'!$B$12,0)))))*(1/(1-'P-Parametri'!$B$6*AD809))))</f>
        <v>8880.8163466716214</v>
      </c>
      <c r="AF809" s="18">
        <f>IF($A809&gt;('1-Input'!$B$26+3),AH808,(AH808-MAX(0,AD781-IF($A809&gt;='1-Input'!$C$12,'1-Input'!$B$12,0))+AE809*(1-'P-Parametri'!$B$6*AD809))*(1+'1-Input'!$B$27))</f>
        <v>9.0622052084654565E-13</v>
      </c>
      <c r="AG809" s="18">
        <f>IF($A809&gt;('1-Input'!$B$26+3),AI808,(AI808-AE809)*(1+'5-Roberta'!$C$4))</f>
        <v>153186.59722416507</v>
      </c>
      <c r="AH809" s="18">
        <f>IF($A809&gt;('1-Input'!$B$26+3),AF809,AF809-'P-Parametri'!$B$8*(AG809+AF809)+MIN(MAX(AG809,0),'P-Parametri'!$B$8*(AG809+AF809)))</f>
        <v>9.0949470177292824E-13</v>
      </c>
      <c r="AI809" s="18">
        <f>IF($A809&gt;('1-Input'!$B$26+3),AG809,AG809-MIN(MAX(AG809,0),'P-Parametri'!$B$8*(AG809+AF809)))</f>
        <v>152880.22402971674</v>
      </c>
      <c r="AJ809" s="18">
        <f>IF($A809&gt;('1-Input'!$B$26+3),AJ808,AJ808-AE809*(1-AD809))</f>
        <v>58520.484270082539</v>
      </c>
      <c r="AK809" s="11">
        <f>IF($A809&gt;('1-Input'!$B$26+3),0,IF(AP808&lt;=0,0,MAX(0,(AP808-AQ808)/AP808)))</f>
        <v>0.60651845598489107</v>
      </c>
      <c r="AL809" s="18">
        <f>IF($A809&gt;('1-Input'!$B$26+3),0,(MAX(0,AK781-IF($A809&gt;='1-Input'!$C$12,'1-Input'!$B$12,0))-MIN(MAX(AO808,0),MAX(0,AK781-IF($A809&gt;='1-Input'!$C$12,'1-Input'!$B$12,0))))*(1/(1-'P-Parametri'!$B$6*AK809))+MIN(MAX(0,AP808-(MAX(0,AK781-IF($A809&gt;='1-Input'!$C$12,'1-Input'!$B$12,0))-MIN(MAX(AO808,0),MAX(0,AK781-IF($A809&gt;='1-Input'!$C$12,'1-Input'!$B$12,0))))*(1/(1-'P-Parametri'!$B$6*AK809))),MAX(0,0*AK781-(AO808-MIN(MAX(AO808,0),MAX(0,AK781-IF($A809&gt;='1-Input'!$C$12,'1-Input'!$B$12,0)))))*(1/(1-'P-Parametri'!$B$6*AK809))))</f>
        <v>8878.6497923834449</v>
      </c>
      <c r="AM809" s="18">
        <f>IF($A809&gt;('1-Input'!$B$26+3),AO808,(AO808-MAX(0,AK781-IF($A809&gt;='1-Input'!$C$12,'1-Input'!$B$12,0))+AL809*(1-'P-Parametri'!$B$6*AK809))*(1+'1-Input'!$B$27))</f>
        <v>0</v>
      </c>
      <c r="AN809" s="18">
        <f>IF($A809&gt;('1-Input'!$B$26+3),AP808,(AP808-AL809)*(1+'5-Roberta'!$C$4))</f>
        <v>153265.51676910586</v>
      </c>
      <c r="AO809" s="18">
        <f>IF($A809&gt;('1-Input'!$B$26+3),AM809,AM809-'P-Parametri'!$B$8*(AN809+AM809)+MIN(MAX(AN809,0),'P-Parametri'!$B$8*(AN809+AM809)))</f>
        <v>0</v>
      </c>
      <c r="AP809" s="18">
        <f>IF($A809&gt;('1-Input'!$B$26+3),AN809,AN809-MIN(MAX(AN809,0),'P-Parametri'!$B$8*(AN809+AM809)))</f>
        <v>152958.98573556764</v>
      </c>
      <c r="AQ809" s="18">
        <f>IF($A809&gt;('1-Input'!$B$26+3),AQ808,AQ808-AL809*(1-AK809))</f>
        <v>58550.633186972183</v>
      </c>
    </row>
    <row r="810" spans="1:43">
      <c r="A810" s="10">
        <f>27</f>
        <v>27</v>
      </c>
      <c r="B810" s="11">
        <f>IF($A810&gt;('1-Input'!$B$26+3),0,IF(G809&lt;=0,0,MAX(0,(G809-H809)/G809)))</f>
        <v>0.61721351050147932</v>
      </c>
      <c r="C810" s="18">
        <f>IF($A810&gt;('1-Input'!$B$26+3),0,(MAX(0,B781-IF($A810&gt;='1-Input'!$C$12,'1-Input'!$B$12,0))-MIN(MAX(F809,0),MAX(0,B781-IF($A810&gt;='1-Input'!$C$12,'1-Input'!$B$12,0))))*(1/(1-'P-Parametri'!$B$6*B810))+MIN(MAX(0,G809-(MAX(0,B781-IF($A810&gt;='1-Input'!$C$12,'1-Input'!$B$12,0))-MIN(MAX(F809,0),MAX(0,B781-IF($A810&gt;='1-Input'!$C$12,'1-Input'!$B$12,0))))*(1/(1-'P-Parametri'!$B$6*B810))),MAX(0,0*B781-(F809-MIN(MAX(F809,0),MAX(0,B781-IF($A810&gt;='1-Input'!$C$12,'1-Input'!$B$12,0)))))*(1/(1-'P-Parametri'!$B$6*B810))))</f>
        <v>6645.4944426583179</v>
      </c>
      <c r="D810" s="18">
        <f>IF($A810&gt;('1-Input'!$B$26+3),F809,(F809-MAX(0,B781-IF($A810&gt;='1-Input'!$C$12,'1-Input'!$B$12,0))+C810*(1-'P-Parametri'!$B$6*B810))*(1+'1-Input'!$B$27))</f>
        <v>0</v>
      </c>
      <c r="E810" s="18">
        <f>IF($A810&gt;('1-Input'!$B$26+3),G809,(G809-C810)*(1+'5-Roberta'!$C$4))</f>
        <v>235142.7461053335</v>
      </c>
      <c r="F810" s="18">
        <f>IF($A810&gt;('1-Input'!$B$26+3),D810,D810-'P-Parametri'!$B$8*(E810+D810)+MIN(MAX(E810,0),'P-Parametri'!$B$8*(E810+D810)))</f>
        <v>0</v>
      </c>
      <c r="G810" s="18">
        <f>IF($A810&gt;('1-Input'!$B$26+3),E810,E810-MIN(MAX(E810,0),'P-Parametri'!$B$8*(E810+D810)))</f>
        <v>234672.46061312282</v>
      </c>
      <c r="H810" s="18">
        <f>IF($A810&gt;('1-Input'!$B$26+3),H809,H809-C810*(1-B810))</f>
        <v>87387.831371555876</v>
      </c>
      <c r="I810" s="11">
        <f>IF($A810&gt;('1-Input'!$B$26+3),0,IF(N809&lt;=0,0,MAX(0,(N809-O809)/N809)))</f>
        <v>0.61721351050147988</v>
      </c>
      <c r="J810" s="18">
        <f>IF($A810&gt;('1-Input'!$B$26+3),0,(MAX(0,I781-IF($A810&gt;='1-Input'!$C$12,'1-Input'!$B$12,0))-MIN(MAX(M809,0),MAX(0,I781-IF($A810&gt;='1-Input'!$C$12,'1-Input'!$B$12,0))))*(1/(1-'P-Parametri'!$B$6*I810))+MIN(MAX(0,N809-(MAX(0,I781-IF($A810&gt;='1-Input'!$C$12,'1-Input'!$B$12,0))-MIN(MAX(M809,0),MAX(0,I781-IF($A810&gt;='1-Input'!$C$12,'1-Input'!$B$12,0))))*(1/(1-'P-Parametri'!$B$6*I810))),MAX(0,0*I781-(M809-MIN(MAX(M809,0),MAX(0,I781-IF($A810&gt;='1-Input'!$C$12,'1-Input'!$B$12,0)))))*(1/(1-'P-Parametri'!$B$6*I810))))</f>
        <v>12920.119850471056</v>
      </c>
      <c r="K810" s="18">
        <f>IF($A810&gt;('1-Input'!$B$26+3),M809,(M809-MAX(0,I781-IF($A810&gt;='1-Input'!$C$12,'1-Input'!$B$12,0))+J810*(1-'P-Parametri'!$B$6*I810))*(1+'1-Input'!$B$27))</f>
        <v>0</v>
      </c>
      <c r="L810" s="18">
        <f>IF($A810&gt;('1-Input'!$B$26+3),N809,(N809-J810)*(1+'5-Roberta'!$C$4))</f>
        <v>-5491.8413443305762</v>
      </c>
      <c r="M810" s="18">
        <f>IF($A810&gt;('1-Input'!$B$26+3),K810,K810-'P-Parametri'!$B$8*(L810+K810)+MIN(MAX(L810,0),'P-Parametri'!$B$8*(L810+K810)))</f>
        <v>0</v>
      </c>
      <c r="N810" s="18">
        <f>IF($A810&gt;('1-Input'!$B$26+3),L810,L810-MIN(MAX(L810,0),'P-Parametri'!$B$8*(L810+K810)))</f>
        <v>-5480.857661641915</v>
      </c>
      <c r="O810" s="18">
        <f>IF($A810&gt;('1-Input'!$B$26+3),O809,O809-J810*(1-I810))</f>
        <v>-2040.9734651253739</v>
      </c>
      <c r="P810" s="11">
        <f>IF($A810&gt;('1-Input'!$B$26+3),0,IF(U809&lt;=0,0,MAX(0,(U809-V809)/U809)))</f>
        <v>0.61721351050147999</v>
      </c>
      <c r="Q810" s="18">
        <f>IF($A810&gt;('1-Input'!$B$26+3),0,(MAX(0,P781-IF($A810&gt;='1-Input'!$C$12,'1-Input'!$B$12,0))-MIN(MAX(T809,0),MAX(0,P781-IF($A810&gt;='1-Input'!$C$12,'1-Input'!$B$12,0))))*(1/(1-'P-Parametri'!$B$6*P810))+MIN(MAX(0,U809-(MAX(0,P781-IF($A810&gt;='1-Input'!$C$12,'1-Input'!$B$12,0))-MIN(MAX(T809,0),MAX(0,P781-IF($A810&gt;='1-Input'!$C$12,'1-Input'!$B$12,0))))*(1/(1-'P-Parametri'!$B$6*P810))),MAX(0,0*P781-(T809-MIN(MAX(T809,0),MAX(0,P781-IF($A810&gt;='1-Input'!$C$12,'1-Input'!$B$12,0)))))*(1/(1-'P-Parametri'!$B$6*P810))))</f>
        <v>9200.5439994106673</v>
      </c>
      <c r="R810" s="18">
        <f>IF($A810&gt;('1-Input'!$B$26+3),T809,(T809-MAX(0,P781-IF($A810&gt;='1-Input'!$C$12,'1-Input'!$B$12,0))+Q810*(1-'P-Parametri'!$B$6*P810))*(1+'1-Input'!$B$27))</f>
        <v>0</v>
      </c>
      <c r="S810" s="18">
        <f>IF($A810&gt;('1-Input'!$B$26+3),U809,(U809-Q810)*(1+'5-Roberta'!$C$4))</f>
        <v>137155.49490831414</v>
      </c>
      <c r="T810" s="18">
        <f>IF($A810&gt;('1-Input'!$B$26+3),R810,R810-'P-Parametri'!$B$8*(S810+R810)+MIN(MAX(S810,0),'P-Parametri'!$B$8*(S810+R810)))</f>
        <v>0</v>
      </c>
      <c r="U810" s="18">
        <f>IF($A810&gt;('1-Input'!$B$26+3),S810,S810-MIN(MAX(S810,0),'P-Parametri'!$B$8*(S810+R810)))</f>
        <v>136881.18391849753</v>
      </c>
      <c r="V810" s="18">
        <f>IF($A810&gt;('1-Input'!$B$26+3),V809,V809-Q810*(1-P810))</f>
        <v>50972.107195520097</v>
      </c>
      <c r="W810" s="11">
        <f>IF($A810&gt;('1-Input'!$B$26+3),0,IF(AB809&lt;=0,0,MAX(0,(AB809-AC809)/AB809)))</f>
        <v>0.61721351050147955</v>
      </c>
      <c r="X810" s="18">
        <f>IF($A810&gt;('1-Input'!$B$26+3),0,(MAX(0,W781-IF($A810&gt;='1-Input'!$C$12,'1-Input'!$B$12,0))-MIN(MAX(AA809,0),MAX(0,W781-IF($A810&gt;='1-Input'!$C$12,'1-Input'!$B$12,0))))*(1/(1-'P-Parametri'!$B$6*W810))+MIN(MAX(0,AB809-(MAX(0,W781-IF($A810&gt;='1-Input'!$C$12,'1-Input'!$B$12,0))-MIN(MAX(AA809,0),MAX(0,W781-IF($A810&gt;='1-Input'!$C$12,'1-Input'!$B$12,0))))*(1/(1-'P-Parametri'!$B$6*W810))),MAX(0,0*W781-(AA809-MIN(MAX(AA809,0),MAX(0,W781-IF($A810&gt;='1-Input'!$C$12,'1-Input'!$B$12,0)))))*(1/(1-'P-Parametri'!$B$6*W810))))</f>
        <v>8894.3827133250943</v>
      </c>
      <c r="Y810" s="18">
        <f>IF($A810&gt;('1-Input'!$B$26+3),AA809,(AA809-MAX(0,W781-IF($A810&gt;='1-Input'!$C$12,'1-Input'!$B$12,0))+X810*(1-'P-Parametri'!$B$6*W810))*(1+'1-Input'!$B$27))</f>
        <v>0</v>
      </c>
      <c r="Z810" s="18">
        <f>IF($A810&gt;('1-Input'!$B$26+3),AB809,(AB809-X810)*(1+'5-Roberta'!$C$4))</f>
        <v>148896.91212160714</v>
      </c>
      <c r="AA810" s="18">
        <f>IF($A810&gt;('1-Input'!$B$26+3),Y810,Y810-'P-Parametri'!$B$8*(Z810+Y810)+MIN(MAX(Z810,0),'P-Parametri'!$B$8*(Z810+Y810)))</f>
        <v>0</v>
      </c>
      <c r="AB810" s="18">
        <f>IF($A810&gt;('1-Input'!$B$26+3),Z810,Z810-MIN(MAX(Z810,0),'P-Parametri'!$B$8*(Z810+Y810)))</f>
        <v>148599.11829736392</v>
      </c>
      <c r="AC810" s="18">
        <f>IF($A810&gt;('1-Input'!$B$26+3),AC809,AC809-X810*(1-W810))</f>
        <v>55335.656590485152</v>
      </c>
      <c r="AD810" s="11">
        <f>IF($A810&gt;('1-Input'!$B$26+3),0,IF(AI809&lt;=0,0,MAX(0,(AI809-AJ809)/AI809)))</f>
        <v>0.6172135105014801</v>
      </c>
      <c r="AE810" s="18">
        <f>IF($A810&gt;('1-Input'!$B$26+3),0,(MAX(0,AD781-IF($A810&gt;='1-Input'!$C$12,'1-Input'!$B$12,0))-MIN(MAX(AH809,0),MAX(0,AD781-IF($A810&gt;='1-Input'!$C$12,'1-Input'!$B$12,0))))*(1/(1-'P-Parametri'!$B$6*AD810))+MIN(MAX(0,AI809-(MAX(0,AD781-IF($A810&gt;='1-Input'!$C$12,'1-Input'!$B$12,0))-MIN(MAX(AH809,0),MAX(0,AD781-IF($A810&gt;='1-Input'!$C$12,'1-Input'!$B$12,0))))*(1/(1-'P-Parametri'!$B$6*AD810))),MAX(0,0*AD781-(AH809-MIN(MAX(AH809,0),MAX(0,AD781-IF($A810&gt;='1-Input'!$C$12,'1-Input'!$B$12,0)))))*(1/(1-'P-Parametri'!$B$6*AD810))))</f>
        <v>8910.2318220617144</v>
      </c>
      <c r="AF810" s="18">
        <f>IF($A810&gt;('1-Input'!$B$26+3),AH809,(AH809-MAX(0,AD781-IF($A810&gt;='1-Input'!$C$12,'1-Input'!$B$12,0))+AE810*(1-'P-Parametri'!$B$6*AD810))*(1+'1-Input'!$B$27))</f>
        <v>9.0622052084654565E-13</v>
      </c>
      <c r="AG810" s="18">
        <f>IF($A810&gt;('1-Input'!$B$26+3),AI809,(AI809-AE810)*(1+'5-Roberta'!$C$4))</f>
        <v>148289.0919738847</v>
      </c>
      <c r="AH810" s="18">
        <f>IF($A810&gt;('1-Input'!$B$26+3),AF810,AF810-'P-Parametri'!$B$8*(AG810+AF810)+MIN(MAX(AG810,0),'P-Parametri'!$B$8*(AG810+AF810)))</f>
        <v>9.0949470177292824E-13</v>
      </c>
      <c r="AI810" s="18">
        <f>IF($A810&gt;('1-Input'!$B$26+3),AG810,AG810-MIN(MAX(AG810,0),'P-Parametri'!$B$8*(AG810+AF810)))</f>
        <v>147992.51378993693</v>
      </c>
      <c r="AJ810" s="18">
        <f>IF($A810&gt;('1-Input'!$B$26+3),AJ809,AJ809-AE810*(1-AD810))</f>
        <v>55109.767910297538</v>
      </c>
      <c r="AK810" s="11">
        <f>IF($A810&gt;('1-Input'!$B$26+3),0,IF(AP809&lt;=0,0,MAX(0,(AP809-AQ809)/AP809)))</f>
        <v>0.61721351050147966</v>
      </c>
      <c r="AL810" s="18">
        <f>IF($A810&gt;('1-Input'!$B$26+3),0,(MAX(0,AK781-IF($A810&gt;='1-Input'!$C$12,'1-Input'!$B$12,0))-MIN(MAX(AO809,0),MAX(0,AK781-IF($A810&gt;='1-Input'!$C$12,'1-Input'!$B$12,0))))*(1/(1-'P-Parametri'!$B$6*AK810))+MIN(MAX(0,AP809-(MAX(0,AK781-IF($A810&gt;='1-Input'!$C$12,'1-Input'!$B$12,0))-MIN(MAX(AO809,0),MAX(0,AK781-IF($A810&gt;='1-Input'!$C$12,'1-Input'!$B$12,0))))*(1/(1-'P-Parametri'!$B$6*AK810))),MAX(0,0*AK781-(AO809-MIN(MAX(AO809,0),MAX(0,AK781-IF($A810&gt;='1-Input'!$C$12,'1-Input'!$B$12,0)))))*(1/(1-'P-Parametri'!$B$6*AK810))))</f>
        <v>8908.0580916061845</v>
      </c>
      <c r="AM810" s="18">
        <f>IF($A810&gt;('1-Input'!$B$26+3),AO809,(AO809-MAX(0,AK781-IF($A810&gt;='1-Input'!$C$12,'1-Input'!$B$12,0))+AL810*(1-'P-Parametri'!$B$6*AK810))*(1+'1-Input'!$B$27))</f>
        <v>-9.0622052084654565E-13</v>
      </c>
      <c r="AN810" s="18">
        <f>IF($A810&gt;('1-Input'!$B$26+3),AP809,(AP809-AL810)*(1+'5-Roberta'!$C$4))</f>
        <v>148372.45547328031</v>
      </c>
      <c r="AO810" s="18">
        <f>IF($A810&gt;('1-Input'!$B$26+3),AM810,AM810-'P-Parametri'!$B$8*(AN810+AM810)+MIN(MAX(AN810,0),'P-Parametri'!$B$8*(AN810+AM810)))</f>
        <v>-9.0949470177292824E-13</v>
      </c>
      <c r="AP810" s="18">
        <f>IF($A810&gt;('1-Input'!$B$26+3),AN810,AN810-MIN(MAX(AN810,0),'P-Parametri'!$B$8*(AN810+AM810)))</f>
        <v>148075.71056233376</v>
      </c>
      <c r="AQ810" s="18">
        <f>IF($A810&gt;('1-Input'!$B$26+3),AQ809,AQ809-AL810*(1-AK810))</f>
        <v>55140.74890183736</v>
      </c>
    </row>
    <row r="811" spans="1:43">
      <c r="A811" s="10">
        <f>28</f>
        <v>28</v>
      </c>
      <c r="B811" s="11">
        <f>IF($A811&gt;('1-Input'!$B$26+3),0,IF(G810&lt;=0,0,MAX(0,(G810-H810)/G810)))</f>
        <v>0.62761786728941305</v>
      </c>
      <c r="C811" s="18">
        <f>IF($A811&gt;('1-Input'!$B$26+3),0,(MAX(0,B781-IF($A811&gt;='1-Input'!$C$12,'1-Input'!$B$12,0))-MIN(MAX(F810,0),MAX(0,B781-IF($A811&gt;='1-Input'!$C$12,'1-Input'!$B$12,0))))*(1/(1-'P-Parametri'!$B$6*B811))+MIN(MAX(0,G810-(MAX(0,B781-IF($A811&gt;='1-Input'!$C$12,'1-Input'!$B$12,0))-MIN(MAX(F810,0),MAX(0,B781-IF($A811&gt;='1-Input'!$C$12,'1-Input'!$B$12,0))))*(1/(1-'P-Parametri'!$B$6*B811))),MAX(0,0*B781-(F810-MIN(MAX(F810,0),MAX(0,B781-IF($A811&gt;='1-Input'!$C$12,'1-Input'!$B$12,0)))))*(1/(1-'P-Parametri'!$B$6*B811))))</f>
        <v>6666.9769103603076</v>
      </c>
      <c r="D811" s="18">
        <f>IF($A811&gt;('1-Input'!$B$26+3),F810,(F810-MAX(0,B781-IF($A811&gt;='1-Input'!$C$12,'1-Input'!$B$12,0))+C811*(1-'P-Parametri'!$B$6*B811))*(1+'1-Input'!$B$27))</f>
        <v>0</v>
      </c>
      <c r="E811" s="18">
        <f>IF($A811&gt;('1-Input'!$B$26+3),G810,(G810-C811)*(1+'5-Roberta'!$C$4))</f>
        <v>234845.64821384539</v>
      </c>
      <c r="F811" s="18">
        <f>IF($A811&gt;('1-Input'!$B$26+3),D811,D811-'P-Parametri'!$B$8*(E811+D811)+MIN(MAX(E811,0),'P-Parametri'!$B$8*(E811+D811)))</f>
        <v>0</v>
      </c>
      <c r="G811" s="18">
        <f>IF($A811&gt;('1-Input'!$B$26+3),E811,E811-MIN(MAX(E811,0),'P-Parametri'!$B$8*(E811+D811)))</f>
        <v>234375.9569174177</v>
      </c>
      <c r="H811" s="18">
        <f>IF($A811&gt;('1-Input'!$B$26+3),H810,H810-C811*(1-B811))</f>
        <v>84905.168290943664</v>
      </c>
      <c r="I811" s="11">
        <f>IF($A811&gt;('1-Input'!$B$26+3),0,IF(N810&lt;=0,0,MAX(0,(N810-O810)/N810)))</f>
        <v>0</v>
      </c>
      <c r="J811" s="18">
        <f>IF($A811&gt;('1-Input'!$B$26+3),0,(MAX(0,I781-IF($A811&gt;='1-Input'!$C$12,'1-Input'!$B$12,0))-MIN(MAX(M810,0),MAX(0,I781-IF($A811&gt;='1-Input'!$C$12,'1-Input'!$B$12,0))))*(1/(1-'P-Parametri'!$B$6*I811))+MIN(MAX(0,N810-(MAX(0,I781-IF($A811&gt;='1-Input'!$C$12,'1-Input'!$B$12,0))-MIN(MAX(M810,0),MAX(0,I781-IF($A811&gt;='1-Input'!$C$12,'1-Input'!$B$12,0))))*(1/(1-'P-Parametri'!$B$6*I811))),MAX(0,0*I781-(M810-MIN(MAX(M810,0),MAX(0,I781-IF($A811&gt;='1-Input'!$C$12,'1-Input'!$B$12,0)))))*(1/(1-'P-Parametri'!$B$6*I811))))</f>
        <v>10846.756992928691</v>
      </c>
      <c r="K811" s="18">
        <f>IF($A811&gt;('1-Input'!$B$26+3),M810,(M810-MAX(0,I781-IF($A811&gt;='1-Input'!$C$12,'1-Input'!$B$12,0))+J811*(1-'P-Parametri'!$B$6*I811))*(1+'1-Input'!$B$27))</f>
        <v>0</v>
      </c>
      <c r="L811" s="18">
        <f>IF($A811&gt;('1-Input'!$B$26+3),N810,(N810-J811)*(1+'5-Roberta'!$C$4))</f>
        <v>-16817.443094207727</v>
      </c>
      <c r="M811" s="18">
        <f>IF($A811&gt;('1-Input'!$B$26+3),K811,K811-'P-Parametri'!$B$8*(L811+K811)+MIN(MAX(L811,0),'P-Parametri'!$B$8*(L811+K811)))</f>
        <v>0</v>
      </c>
      <c r="N811" s="18">
        <f>IF($A811&gt;('1-Input'!$B$26+3),L811,L811-MIN(MAX(L811,0),'P-Parametri'!$B$8*(L811+K811)))</f>
        <v>-16783.808208019313</v>
      </c>
      <c r="O811" s="18">
        <f>IF($A811&gt;('1-Input'!$B$26+3),O810,O810-J811*(1-I811))</f>
        <v>-12887.730458054066</v>
      </c>
      <c r="P811" s="11">
        <f>IF($A811&gt;('1-Input'!$B$26+3),0,IF(U810&lt;=0,0,MAX(0,(U810-V810)/U810)))</f>
        <v>0.62761786728941382</v>
      </c>
      <c r="Q811" s="18">
        <f>IF($A811&gt;('1-Input'!$B$26+3),0,(MAX(0,P781-IF($A811&gt;='1-Input'!$C$12,'1-Input'!$B$12,0))-MIN(MAX(T810,0),MAX(0,P781-IF($A811&gt;='1-Input'!$C$12,'1-Input'!$B$12,0))))*(1/(1-'P-Parametri'!$B$6*P811))+MIN(MAX(0,U810-(MAX(0,P781-IF($A811&gt;='1-Input'!$C$12,'1-Input'!$B$12,0))-MIN(MAX(T810,0),MAX(0,P781-IF($A811&gt;='1-Input'!$C$12,'1-Input'!$B$12,0))))*(1/(1-'P-Parametri'!$B$6*P811))),MAX(0,0*P781-(T810-MIN(MAX(T810,0),MAX(0,P781-IF($A811&gt;='1-Input'!$C$12,'1-Input'!$B$12,0)))))*(1/(1-'P-Parametri'!$B$6*P811))))</f>
        <v>9230.2860134945749</v>
      </c>
      <c r="R811" s="18">
        <f>IF($A811&gt;('1-Input'!$B$26+3),T810,(T810-MAX(0,P781-IF($A811&gt;='1-Input'!$C$12,'1-Input'!$B$12,0))+Q811*(1-'P-Parametri'!$B$6*P811))*(1+'1-Input'!$B$27))</f>
        <v>-9.0622052084654565E-13</v>
      </c>
      <c r="S811" s="18">
        <f>IF($A811&gt;('1-Input'!$B$26+3),U810,(U810-Q811)*(1+'5-Roberta'!$C$4))</f>
        <v>131480.42484215304</v>
      </c>
      <c r="T811" s="18">
        <f>IF($A811&gt;('1-Input'!$B$26+3),R811,R811-'P-Parametri'!$B$8*(S811+R811)+MIN(MAX(S811,0),'P-Parametri'!$B$8*(S811+R811)))</f>
        <v>-9.0949470177292824E-13</v>
      </c>
      <c r="U811" s="18">
        <f>IF($A811&gt;('1-Input'!$B$26+3),S811,S811-MIN(MAX(S811,0),'P-Parametri'!$B$8*(S811+R811)))</f>
        <v>131217.46399246872</v>
      </c>
      <c r="V811" s="18">
        <f>IF($A811&gt;('1-Input'!$B$26+3),V810,V810-Q811*(1-P811))</f>
        <v>47534.913604286296</v>
      </c>
      <c r="W811" s="11">
        <f>IF($A811&gt;('1-Input'!$B$26+3),0,IF(AB810&lt;=0,0,MAX(0,(AB810-AC810)/AB810)))</f>
        <v>0.62761786728941316</v>
      </c>
      <c r="X811" s="18">
        <f>IF($A811&gt;('1-Input'!$B$26+3),0,(MAX(0,W781-IF($A811&gt;='1-Input'!$C$12,'1-Input'!$B$12,0))-MIN(MAX(AA810,0),MAX(0,W781-IF($A811&gt;='1-Input'!$C$12,'1-Input'!$B$12,0))))*(1/(1-'P-Parametri'!$B$6*W811))+MIN(MAX(0,AB810-(MAX(0,W781-IF($A811&gt;='1-Input'!$C$12,'1-Input'!$B$12,0))-MIN(MAX(AA810,0),MAX(0,W781-IF($A811&gt;='1-Input'!$C$12,'1-Input'!$B$12,0))))*(1/(1-'P-Parametri'!$B$6*W811))),MAX(0,0*W781-(AA810-MIN(MAX(AA810,0),MAX(0,W781-IF($A811&gt;='1-Input'!$C$12,'1-Input'!$B$12,0)))))*(1/(1-'P-Parametri'!$B$6*W811))))</f>
        <v>8923.1350192696482</v>
      </c>
      <c r="Y811" s="18">
        <f>IF($A811&gt;('1-Input'!$B$26+3),AA810,(AA810-MAX(0,W781-IF($A811&gt;='1-Input'!$C$12,'1-Input'!$B$12,0))+X811*(1-'P-Parametri'!$B$6*W811))*(1+'1-Input'!$B$27))</f>
        <v>9.0622052084654565E-13</v>
      </c>
      <c r="Z811" s="18">
        <f>IF($A811&gt;('1-Input'!$B$26+3),AB810,(AB810-X811)*(1+'5-Roberta'!$C$4))</f>
        <v>143866.2627764371</v>
      </c>
      <c r="AA811" s="18">
        <f>IF($A811&gt;('1-Input'!$B$26+3),Y811,Y811-'P-Parametri'!$B$8*(Z811+Y811)+MIN(MAX(Z811,0),'P-Parametri'!$B$8*(Z811+Y811)))</f>
        <v>9.0949470177292824E-13</v>
      </c>
      <c r="AB811" s="18">
        <f>IF($A811&gt;('1-Input'!$B$26+3),Z811,Z811-MIN(MAX(Z811,0),'P-Parametri'!$B$8*(Z811+Y811)))</f>
        <v>143578.53025088421</v>
      </c>
      <c r="AC811" s="18">
        <f>IF($A811&gt;('1-Input'!$B$26+3),AC810,AC810-X811*(1-W811))</f>
        <v>52012.840541544996</v>
      </c>
      <c r="AD811" s="11">
        <f>IF($A811&gt;('1-Input'!$B$26+3),0,IF(AI810&lt;=0,0,MAX(0,(AI810-AJ810)/AI810)))</f>
        <v>0.62761786728941393</v>
      </c>
      <c r="AE811" s="18">
        <f>IF($A811&gt;('1-Input'!$B$26+3),0,(MAX(0,AD781-IF($A811&gt;='1-Input'!$C$12,'1-Input'!$B$12,0))-MIN(MAX(AH810,0),MAX(0,AD781-IF($A811&gt;='1-Input'!$C$12,'1-Input'!$B$12,0))))*(1/(1-'P-Parametri'!$B$6*AD811))+MIN(MAX(0,AI810-(MAX(0,AD781-IF($A811&gt;='1-Input'!$C$12,'1-Input'!$B$12,0))-MIN(MAX(AH810,0),MAX(0,AD781-IF($A811&gt;='1-Input'!$C$12,'1-Input'!$B$12,0))))*(1/(1-'P-Parametri'!$B$6*AD811))),MAX(0,0*AD781-(AH810-MIN(MAX(AH810,0),MAX(0,AD781-IF($A811&gt;='1-Input'!$C$12,'1-Input'!$B$12,0)))))*(1/(1-'P-Parametri'!$B$6*AD811))))</f>
        <v>8939.0353624131985</v>
      </c>
      <c r="AF811" s="18">
        <f>IF($A811&gt;('1-Input'!$B$26+3),AH810,(AH810-MAX(0,AD781-IF($A811&gt;='1-Input'!$C$12,'1-Input'!$B$12,0))+AE811*(1-'P-Parametri'!$B$6*AD811))*(1+'1-Input'!$B$27))</f>
        <v>-9.0622052084654565E-13</v>
      </c>
      <c r="AG811" s="18">
        <f>IF($A811&gt;('1-Input'!$B$26+3),AI810,(AI810-AE811)*(1+'5-Roberta'!$C$4))</f>
        <v>143225.08278034945</v>
      </c>
      <c r="AH811" s="18">
        <f>IF($A811&gt;('1-Input'!$B$26+3),AF811,AF811-'P-Parametri'!$B$8*(AG811+AF811)+MIN(MAX(AG811,0),'P-Parametri'!$B$8*(AG811+AF811)))</f>
        <v>-9.0949470177292824E-13</v>
      </c>
      <c r="AI811" s="18">
        <f>IF($A811&gt;('1-Input'!$B$26+3),AG811,AG811-MIN(MAX(AG811,0),'P-Parametri'!$B$8*(AG811+AF811)))</f>
        <v>142938.63261478874</v>
      </c>
      <c r="AJ811" s="18">
        <f>IF($A811&gt;('1-Input'!$B$26+3),AJ810,AJ810-AE811*(1-AD811))</f>
        <v>51781.030857666767</v>
      </c>
      <c r="AK811" s="11">
        <f>IF($A811&gt;('1-Input'!$B$26+3),0,IF(AP810&lt;=0,0,MAX(0,(AP810-AQ810)/AP810)))</f>
        <v>0.62761786728941349</v>
      </c>
      <c r="AL811" s="18">
        <f>IF($A811&gt;('1-Input'!$B$26+3),0,(MAX(0,AK781-IF($A811&gt;='1-Input'!$C$12,'1-Input'!$B$12,0))-MIN(MAX(AO810,0),MAX(0,AK781-IF($A811&gt;='1-Input'!$C$12,'1-Input'!$B$12,0))))*(1/(1-'P-Parametri'!$B$6*AK811))+MIN(MAX(0,AP810-(MAX(0,AK781-IF($A811&gt;='1-Input'!$C$12,'1-Input'!$B$12,0))-MIN(MAX(AO810,0),MAX(0,AK781-IF($A811&gt;='1-Input'!$C$12,'1-Input'!$B$12,0))))*(1/(1-'P-Parametri'!$B$6*AK811))),MAX(0,0*AK781-(AO810-MIN(MAX(AO810,0),MAX(0,AK781-IF($A811&gt;='1-Input'!$C$12,'1-Input'!$B$12,0)))))*(1/(1-'P-Parametri'!$B$6*AK811))))</f>
        <v>8936.8546050773257</v>
      </c>
      <c r="AM811" s="18">
        <f>IF($A811&gt;('1-Input'!$B$26+3),AO810,(AO810-MAX(0,AK781-IF($A811&gt;='1-Input'!$C$12,'1-Input'!$B$12,0))+AL811*(1-'P-Parametri'!$B$6*AK811))*(1+'1-Input'!$B$27))</f>
        <v>0</v>
      </c>
      <c r="AN811" s="18">
        <f>IF($A811&gt;('1-Input'!$B$26+3),AP810,(AP810-AL811)*(1+'5-Roberta'!$C$4))</f>
        <v>143313.02163597412</v>
      </c>
      <c r="AO811" s="18">
        <f>IF($A811&gt;('1-Input'!$B$26+3),AM811,AM811-'P-Parametri'!$B$8*(AN811+AM811)+MIN(MAX(AN811,0),'P-Parametri'!$B$8*(AN811+AM811)))</f>
        <v>0</v>
      </c>
      <c r="AP811" s="18">
        <f>IF($A811&gt;('1-Input'!$B$26+3),AN811,AN811-MIN(MAX(AN811,0),'P-Parametri'!$B$8*(AN811+AM811)))</f>
        <v>143026.39559270217</v>
      </c>
      <c r="AQ811" s="18">
        <f>IF($A811&gt;('1-Input'!$B$26+3),AQ810,AQ810-AL811*(1-AK811))</f>
        <v>51812.823924274242</v>
      </c>
    </row>
    <row r="812" spans="1:43">
      <c r="A812" s="10">
        <f>29</f>
        <v>29</v>
      </c>
      <c r="B812" s="11">
        <f>IF($A812&gt;('1-Input'!$B$26+3),0,IF(G811&lt;=0,0,MAX(0,(G811-H811)/G811)))</f>
        <v>0.637739427680033</v>
      </c>
      <c r="C812" s="18">
        <f>IF($A812&gt;('1-Input'!$B$26+3),0,(MAX(0,B781-IF($A812&gt;='1-Input'!$C$12,'1-Input'!$B$12,0))-MIN(MAX(F811,0),MAX(0,B781-IF($A812&gt;='1-Input'!$C$12,'1-Input'!$B$12,0))))*(1/(1-'P-Parametri'!$B$6*B812))+MIN(MAX(0,G811-(MAX(0,B781-IF($A812&gt;='1-Input'!$C$12,'1-Input'!$B$12,0))-MIN(MAX(F811,0),MAX(0,B781-IF($A812&gt;='1-Input'!$C$12,'1-Input'!$B$12,0))))*(1/(1-'P-Parametri'!$B$6*B812))),MAX(0,0*B781-(F811-MIN(MAX(F811,0),MAX(0,B781-IF($A812&gt;='1-Input'!$C$12,'1-Input'!$B$12,0)))))*(1/(1-'P-Parametri'!$B$6*B812))))</f>
        <v>6688.0091713526954</v>
      </c>
      <c r="D812" s="18">
        <f>IF($A812&gt;('1-Input'!$B$26+3),F811,(F811-MAX(0,B781-IF($A812&gt;='1-Input'!$C$12,'1-Input'!$B$12,0))+C812*(1-'P-Parametri'!$B$6*B812))*(1+'1-Input'!$B$27))</f>
        <v>0</v>
      </c>
      <c r="E812" s="18">
        <f>IF($A812&gt;('1-Input'!$B$26+3),G811,(G811-C812)*(1+'5-Roberta'!$C$4))</f>
        <v>234518.58617844697</v>
      </c>
      <c r="F812" s="18">
        <f>IF($A812&gt;('1-Input'!$B$26+3),D812,D812-'P-Parametri'!$B$8*(E812+D812)+MIN(MAX(E812,0),'P-Parametri'!$B$8*(E812+D812)))</f>
        <v>0</v>
      </c>
      <c r="G812" s="18">
        <f>IF($A812&gt;('1-Input'!$B$26+3),E812,E812-MIN(MAX(E812,0),'P-Parametri'!$B$8*(E812+D812)))</f>
        <v>234049.54900609009</v>
      </c>
      <c r="H812" s="18">
        <f>IF($A812&gt;('1-Input'!$B$26+3),H811,H811-C812*(1-B812))</f>
        <v>82482.366260848241</v>
      </c>
      <c r="I812" s="11">
        <f>IF($A812&gt;('1-Input'!$B$26+3),0,IF(N811&lt;=0,0,MAX(0,(N811-O811)/N811)))</f>
        <v>0</v>
      </c>
      <c r="J812" s="18">
        <f>IF($A812&gt;('1-Input'!$B$26+3),0,(MAX(0,I781-IF($A812&gt;='1-Input'!$C$12,'1-Input'!$B$12,0))-MIN(MAX(M811,0),MAX(0,I781-IF($A812&gt;='1-Input'!$C$12,'1-Input'!$B$12,0))))*(1/(1-'P-Parametri'!$B$6*I812))+MIN(MAX(0,N811-(MAX(0,I781-IF($A812&gt;='1-Input'!$C$12,'1-Input'!$B$12,0))-MIN(MAX(M811,0),MAX(0,I781-IF($A812&gt;='1-Input'!$C$12,'1-Input'!$B$12,0))))*(1/(1-'P-Parametri'!$B$6*I812))),MAX(0,0*I781-(M811-MIN(MAX(M811,0),MAX(0,I781-IF($A812&gt;='1-Input'!$C$12,'1-Input'!$B$12,0)))))*(1/(1-'P-Parametri'!$B$6*I812))))</f>
        <v>10846.756992928691</v>
      </c>
      <c r="K812" s="18">
        <f>IF($A812&gt;('1-Input'!$B$26+3),M811,(M811-MAX(0,I781-IF($A812&gt;='1-Input'!$C$12,'1-Input'!$B$12,0))+J812*(1-'P-Parametri'!$B$6*I812))*(1+'1-Input'!$B$27))</f>
        <v>0</v>
      </c>
      <c r="L812" s="18">
        <f>IF($A812&gt;('1-Input'!$B$26+3),N811,(N811-J812)*(1+'5-Roberta'!$C$4))</f>
        <v>-28459.482156976446</v>
      </c>
      <c r="M812" s="18">
        <f>IF($A812&gt;('1-Input'!$B$26+3),K812,K812-'P-Parametri'!$B$8*(L812+K812)+MIN(MAX(L812,0),'P-Parametri'!$B$8*(L812+K812)))</f>
        <v>0</v>
      </c>
      <c r="N812" s="18">
        <f>IF($A812&gt;('1-Input'!$B$26+3),L812,L812-MIN(MAX(L812,0),'P-Parametri'!$B$8*(L812+K812)))</f>
        <v>-28402.563192662492</v>
      </c>
      <c r="O812" s="18">
        <f>IF($A812&gt;('1-Input'!$B$26+3),O811,O811-J812*(1-I812))</f>
        <v>-23734.487450982757</v>
      </c>
      <c r="P812" s="11">
        <f>IF($A812&gt;('1-Input'!$B$26+3),0,IF(U811&lt;=0,0,MAX(0,(U811-V811)/U811)))</f>
        <v>0.63773942768003367</v>
      </c>
      <c r="Q812" s="18">
        <f>IF($A812&gt;('1-Input'!$B$26+3),0,(MAX(0,P781-IF($A812&gt;='1-Input'!$C$12,'1-Input'!$B$12,0))-MIN(MAX(T811,0),MAX(0,P781-IF($A812&gt;='1-Input'!$C$12,'1-Input'!$B$12,0))))*(1/(1-'P-Parametri'!$B$6*P812))+MIN(MAX(0,U811-(MAX(0,P781-IF($A812&gt;='1-Input'!$C$12,'1-Input'!$B$12,0))-MIN(MAX(T811,0),MAX(0,P781-IF($A812&gt;='1-Input'!$C$12,'1-Input'!$B$12,0))))*(1/(1-'P-Parametri'!$B$6*P812))),MAX(0,0*P781-(T811-MIN(MAX(T811,0),MAX(0,P781-IF($A812&gt;='1-Input'!$C$12,'1-Input'!$B$12,0)))))*(1/(1-'P-Parametri'!$B$6*P812))))</f>
        <v>9259.4047260805655</v>
      </c>
      <c r="R812" s="18">
        <f>IF($A812&gt;('1-Input'!$B$26+3),T811,(T811-MAX(0,P781-IF($A812&gt;='1-Input'!$C$12,'1-Input'!$B$12,0))+Q812*(1-'P-Parametri'!$B$6*P812))*(1+'1-Input'!$B$27))</f>
        <v>0</v>
      </c>
      <c r="S812" s="18">
        <f>IF($A812&gt;('1-Input'!$B$26+3),U811,(U811-Q812)*(1+'5-Roberta'!$C$4))</f>
        <v>125616.8010443798</v>
      </c>
      <c r="T812" s="18">
        <f>IF($A812&gt;('1-Input'!$B$26+3),R812,R812-'P-Parametri'!$B$8*(S812+R812)+MIN(MAX(S812,0),'P-Parametri'!$B$8*(S812+R812)))</f>
        <v>0</v>
      </c>
      <c r="U812" s="18">
        <f>IF($A812&gt;('1-Input'!$B$26+3),S812,S812-MIN(MAX(S812,0),'P-Parametri'!$B$8*(S812+R812)))</f>
        <v>125365.56744229104</v>
      </c>
      <c r="V812" s="18">
        <f>IF($A812&gt;('1-Input'!$B$26+3),V811,V811-Q812*(1-P812))</f>
        <v>44180.596348874147</v>
      </c>
      <c r="W812" s="11">
        <f>IF($A812&gt;('1-Input'!$B$26+3),0,IF(AB811&lt;=0,0,MAX(0,(AB811-AC811)/AB811)))</f>
        <v>0.63773942768003311</v>
      </c>
      <c r="X812" s="18">
        <f>IF($A812&gt;('1-Input'!$B$26+3),0,(MAX(0,W781-IF($A812&gt;='1-Input'!$C$12,'1-Input'!$B$12,0))-MIN(MAX(AA811,0),MAX(0,W781-IF($A812&gt;='1-Input'!$C$12,'1-Input'!$B$12,0))))*(1/(1-'P-Parametri'!$B$6*W812))+MIN(MAX(0,AB811-(MAX(0,W781-IF($A812&gt;='1-Input'!$C$12,'1-Input'!$B$12,0))-MIN(MAX(AA811,0),MAX(0,W781-IF($A812&gt;='1-Input'!$C$12,'1-Input'!$B$12,0))))*(1/(1-'P-Parametri'!$B$6*W812))),MAX(0,0*W781-(AA811-MIN(MAX(AA811,0),MAX(0,W781-IF($A812&gt;='1-Input'!$C$12,'1-Input'!$B$12,0)))))*(1/(1-'P-Parametri'!$B$6*W812))))</f>
        <v>8951.2847649668238</v>
      </c>
      <c r="Y812" s="18">
        <f>IF($A812&gt;('1-Input'!$B$26+3),AA811,(AA811-MAX(0,W781-IF($A812&gt;='1-Input'!$C$12,'1-Input'!$B$12,0))+X812*(1-'P-Parametri'!$B$6*W812))*(1+'1-Input'!$B$27))</f>
        <v>9.0622052084654565E-13</v>
      </c>
      <c r="Z812" s="18">
        <f>IF($A812&gt;('1-Input'!$B$26+3),AB811,(AB811-X812)*(1+'5-Roberta'!$C$4))</f>
        <v>138666.06285049493</v>
      </c>
      <c r="AA812" s="18">
        <f>IF($A812&gt;('1-Input'!$B$26+3),Y812,Y812-'P-Parametri'!$B$8*(Z812+Y812)+MIN(MAX(Z812,0),'P-Parametri'!$B$8*(Z812+Y812)))</f>
        <v>9.0949470177292824E-13</v>
      </c>
      <c r="AB812" s="18">
        <f>IF($A812&gt;('1-Input'!$B$26+3),Z812,Z812-MIN(MAX(Z812,0),'P-Parametri'!$B$8*(Z812+Y812)))</f>
        <v>138388.73072479395</v>
      </c>
      <c r="AC812" s="18">
        <f>IF($A812&gt;('1-Input'!$B$26+3),AC811,AC811-X812*(1-W812))</f>
        <v>48770.142999589116</v>
      </c>
      <c r="AD812" s="11">
        <f>IF($A812&gt;('1-Input'!$B$26+3),0,IF(AI811&lt;=0,0,MAX(0,(AI811-AJ811)/AI811)))</f>
        <v>0.63773942768003367</v>
      </c>
      <c r="AE812" s="18">
        <f>IF($A812&gt;('1-Input'!$B$26+3),0,(MAX(0,AD781-IF($A812&gt;='1-Input'!$C$12,'1-Input'!$B$12,0))-MIN(MAX(AH811,0),MAX(0,AD781-IF($A812&gt;='1-Input'!$C$12,'1-Input'!$B$12,0))))*(1/(1-'P-Parametri'!$B$6*AD812))+MIN(MAX(0,AI811-(MAX(0,AD781-IF($A812&gt;='1-Input'!$C$12,'1-Input'!$B$12,0))-MIN(MAX(AH811,0),MAX(0,AD781-IF($A812&gt;='1-Input'!$C$12,'1-Input'!$B$12,0))))*(1/(1-'P-Parametri'!$B$6*AD812))),MAX(0,0*AD781-(AH811-MIN(MAX(AH811,0),MAX(0,AD781-IF($A812&gt;='1-Input'!$C$12,'1-Input'!$B$12,0)))))*(1/(1-'P-Parametri'!$B$6*AD812))))</f>
        <v>8967.2352688011015</v>
      </c>
      <c r="AF812" s="18">
        <f>IF($A812&gt;('1-Input'!$B$26+3),AH811,(AH811-MAX(0,AD781-IF($A812&gt;='1-Input'!$C$12,'1-Input'!$B$12,0))+AE812*(1-'P-Parametri'!$B$6*AD812))*(1+'1-Input'!$B$27))</f>
        <v>-9.0622052084654565E-13</v>
      </c>
      <c r="AG812" s="18">
        <f>IF($A812&gt;('1-Input'!$B$26+3),AI811,(AI811-AE812)*(1+'5-Roberta'!$C$4))</f>
        <v>137990.53926636727</v>
      </c>
      <c r="AH812" s="18">
        <f>IF($A812&gt;('1-Input'!$B$26+3),AF812,AF812-'P-Parametri'!$B$8*(AG812+AF812)+MIN(MAX(AG812,0),'P-Parametri'!$B$8*(AG812+AF812)))</f>
        <v>-9.0949470177292824E-13</v>
      </c>
      <c r="AI812" s="18">
        <f>IF($A812&gt;('1-Input'!$B$26+3),AG812,AG812-MIN(MAX(AG812,0),'P-Parametri'!$B$8*(AG812+AF812)))</f>
        <v>137714.55818783454</v>
      </c>
      <c r="AJ812" s="18">
        <f>IF($A812&gt;('1-Input'!$B$26+3),AJ811,AJ811-AE812*(1-AD812))</f>
        <v>48532.555077063094</v>
      </c>
      <c r="AK812" s="11">
        <f>IF($A812&gt;('1-Input'!$B$26+3),0,IF(AP811&lt;=0,0,MAX(0,(AP811-AQ811)/AP811)))</f>
        <v>0.63773942768003333</v>
      </c>
      <c r="AL812" s="18">
        <f>IF($A812&gt;('1-Input'!$B$26+3),0,(MAX(0,AK781-IF($A812&gt;='1-Input'!$C$12,'1-Input'!$B$12,0))-MIN(MAX(AO811,0),MAX(0,AK781-IF($A812&gt;='1-Input'!$C$12,'1-Input'!$B$12,0))))*(1/(1-'P-Parametri'!$B$6*AK812))+MIN(MAX(0,AP811-(MAX(0,AK781-IF($A812&gt;='1-Input'!$C$12,'1-Input'!$B$12,0))-MIN(MAX(AO811,0),MAX(0,AK781-IF($A812&gt;='1-Input'!$C$12,'1-Input'!$B$12,0))))*(1/(1-'P-Parametri'!$B$6*AK812))),MAX(0,0*AK781-(AO811-MIN(MAX(AO811,0),MAX(0,AK781-IF($A812&gt;='1-Input'!$C$12,'1-Input'!$B$12,0)))))*(1/(1-'P-Parametri'!$B$6*AK812))))</f>
        <v>8965.0476318467609</v>
      </c>
      <c r="AM812" s="18">
        <f>IF($A812&gt;('1-Input'!$B$26+3),AO811,(AO811-MAX(0,AK781-IF($A812&gt;='1-Input'!$C$12,'1-Input'!$B$12,0))+AL812*(1-'P-Parametri'!$B$6*AK812))*(1+'1-Input'!$B$27))</f>
        <v>9.0622052084654565E-13</v>
      </c>
      <c r="AN812" s="18">
        <f>IF($A812&gt;('1-Input'!$B$26+3),AP811,(AP811-AL812)*(1+'5-Roberta'!$C$4))</f>
        <v>138083.18839968106</v>
      </c>
      <c r="AO812" s="18">
        <f>IF($A812&gt;('1-Input'!$B$26+3),AM812,AM812-'P-Parametri'!$B$8*(AN812+AM812)+MIN(MAX(AN812,0),'P-Parametri'!$B$8*(AN812+AM812)))</f>
        <v>9.0949470177292824E-13</v>
      </c>
      <c r="AP812" s="18">
        <f>IF($A812&gt;('1-Input'!$B$26+3),AN812,AN812-MIN(MAX(AN812,0),'P-Parametri'!$B$8*(AN812+AM812)))</f>
        <v>137807.02202288169</v>
      </c>
      <c r="AQ812" s="18">
        <f>IF($A812&gt;('1-Input'!$B$26+3),AQ811,AQ811-AL812*(1-AK812))</f>
        <v>48565.140638285673</v>
      </c>
    </row>
    <row r="813" spans="1:43">
      <c r="A813" s="10">
        <f>30</f>
        <v>30</v>
      </c>
      <c r="B813" s="11">
        <f>IF($A813&gt;('1-Input'!$B$26+3),0,IF(G812&lt;=0,0,MAX(0,(G812-H812)/G812)))</f>
        <v>0.64758587824195291</v>
      </c>
      <c r="C813" s="18">
        <f>IF($A813&gt;('1-Input'!$B$26+3),0,(MAX(0,B781-IF($A813&gt;='1-Input'!$C$12,'1-Input'!$B$12,0))-MIN(MAX(F812,0),MAX(0,B781-IF($A813&gt;='1-Input'!$C$12,'1-Input'!$B$12,0))))*(1/(1-'P-Parametri'!$B$6*B813))+MIN(MAX(0,G812-(MAX(0,B781-IF($A813&gt;='1-Input'!$C$12,'1-Input'!$B$12,0))-MIN(MAX(F812,0),MAX(0,B781-IF($A813&gt;='1-Input'!$C$12,'1-Input'!$B$12,0))))*(1/(1-'P-Parametri'!$B$6*B813))),MAX(0,0*B781-(F812-MIN(MAX(F812,0),MAX(0,B781-IF($A813&gt;='1-Input'!$C$12,'1-Input'!$B$12,0)))))*(1/(1-'P-Parametri'!$B$6*B813))))</f>
        <v>6708.5974947286659</v>
      </c>
      <c r="D813" s="18">
        <f>IF($A813&gt;('1-Input'!$B$26+3),F812,(F812-MAX(0,B781-IF($A813&gt;='1-Input'!$C$12,'1-Input'!$B$12,0))+C813*(1-'P-Parametri'!$B$6*B813))*(1+'1-Input'!$B$27))</f>
        <v>0</v>
      </c>
      <c r="E813" s="18">
        <f>IF($A813&gt;('1-Input'!$B$26+3),G812,(G812-C813)*(1+'5-Roberta'!$C$4))</f>
        <v>234161.18005670229</v>
      </c>
      <c r="F813" s="18">
        <f>IF($A813&gt;('1-Input'!$B$26+3),D813,D813-'P-Parametri'!$B$8*(E813+D813)+MIN(MAX(E813,0),'P-Parametri'!$B$8*(E813+D813)))</f>
        <v>0</v>
      </c>
      <c r="G813" s="18">
        <f>IF($A813&gt;('1-Input'!$B$26+3),E813,E813-MIN(MAX(E813,0),'P-Parametri'!$B$8*(E813+D813)))</f>
        <v>233692.85769658888</v>
      </c>
      <c r="H813" s="18">
        <f>IF($A813&gt;('1-Input'!$B$26+3),H812,H812-C813*(1-B813))</f>
        <v>80118.161766515201</v>
      </c>
      <c r="I813" s="11">
        <f>IF($A813&gt;('1-Input'!$B$26+3),0,IF(N812&lt;=0,0,MAX(0,(N812-O812)/N812)))</f>
        <v>0</v>
      </c>
      <c r="J813" s="18">
        <f>IF($A813&gt;('1-Input'!$B$26+3),0,(MAX(0,I781-IF($A813&gt;='1-Input'!$C$12,'1-Input'!$B$12,0))-MIN(MAX(M812,0),MAX(0,I781-IF($A813&gt;='1-Input'!$C$12,'1-Input'!$B$12,0))))*(1/(1-'P-Parametri'!$B$6*I813))+MIN(MAX(0,N812-(MAX(0,I781-IF($A813&gt;='1-Input'!$C$12,'1-Input'!$B$12,0))-MIN(MAX(M812,0),MAX(0,I781-IF($A813&gt;='1-Input'!$C$12,'1-Input'!$B$12,0))))*(1/(1-'P-Parametri'!$B$6*I813))),MAX(0,0*I781-(M812-MIN(MAX(M812,0),MAX(0,I781-IF($A813&gt;='1-Input'!$C$12,'1-Input'!$B$12,0)))))*(1/(1-'P-Parametri'!$B$6*I813))))</f>
        <v>10846.756992928691</v>
      </c>
      <c r="K813" s="18">
        <f>IF($A813&gt;('1-Input'!$B$26+3),M812,(M812-MAX(0,I781-IF($A813&gt;='1-Input'!$C$12,'1-Input'!$B$12,0))+J813*(1-'P-Parametri'!$B$6*I813))*(1+'1-Input'!$B$27))</f>
        <v>0</v>
      </c>
      <c r="L813" s="18">
        <f>IF($A813&gt;('1-Input'!$B$26+3),N812,(N812-J813)*(1+'5-Roberta'!$C$4))</f>
        <v>-40426.799791158919</v>
      </c>
      <c r="M813" s="18">
        <f>IF($A813&gt;('1-Input'!$B$26+3),K813,K813-'P-Parametri'!$B$8*(L813+K813)+MIN(MAX(L813,0),'P-Parametri'!$B$8*(L813+K813)))</f>
        <v>0</v>
      </c>
      <c r="N813" s="18">
        <f>IF($A813&gt;('1-Input'!$B$26+3),L813,L813-MIN(MAX(L813,0),'P-Parametri'!$B$8*(L813+K813)))</f>
        <v>-40345.946191576601</v>
      </c>
      <c r="O813" s="18">
        <f>IF($A813&gt;('1-Input'!$B$26+3),O812,O812-J813*(1-I813))</f>
        <v>-34581.244443911448</v>
      </c>
      <c r="P813" s="11">
        <f>IF($A813&gt;('1-Input'!$B$26+3),0,IF(U812&lt;=0,0,MAX(0,(U812-V812)/U812)))</f>
        <v>0.64758587824195346</v>
      </c>
      <c r="Q813" s="18">
        <f>IF($A813&gt;('1-Input'!$B$26+3),0,(MAX(0,P781-IF($A813&gt;='1-Input'!$C$12,'1-Input'!$B$12,0))-MIN(MAX(T812,0),MAX(0,P781-IF($A813&gt;='1-Input'!$C$12,'1-Input'!$B$12,0))))*(1/(1-'P-Parametri'!$B$6*P813))+MIN(MAX(0,U812-(MAX(0,P781-IF($A813&gt;='1-Input'!$C$12,'1-Input'!$B$12,0))-MIN(MAX(T812,0),MAX(0,P781-IF($A813&gt;='1-Input'!$C$12,'1-Input'!$B$12,0))))*(1/(1-'P-Parametri'!$B$6*P813))),MAX(0,0*P781-(T812-MIN(MAX(T812,0),MAX(0,P781-IF($A813&gt;='1-Input'!$C$12,'1-Input'!$B$12,0)))))*(1/(1-'P-Parametri'!$B$6*P813))))</f>
        <v>9287.9088165931953</v>
      </c>
      <c r="R813" s="18">
        <f>IF($A813&gt;('1-Input'!$B$26+3),T812,(T812-MAX(0,P781-IF($A813&gt;='1-Input'!$C$12,'1-Input'!$B$12,0))+Q813*(1-'P-Parametri'!$B$6*P813))*(1+'1-Input'!$B$27))</f>
        <v>9.0622052084654565E-13</v>
      </c>
      <c r="S813" s="18">
        <f>IF($A813&gt;('1-Input'!$B$26+3),U812,(U812-Q813)*(1+'5-Roberta'!$C$4))</f>
        <v>119559.98838446879</v>
      </c>
      <c r="T813" s="18">
        <f>IF($A813&gt;('1-Input'!$B$26+3),R813,R813-'P-Parametri'!$B$8*(S813+R813)+MIN(MAX(S813,0),'P-Parametri'!$B$8*(S813+R813)))</f>
        <v>9.0949470177292824E-13</v>
      </c>
      <c r="U813" s="18">
        <f>IF($A813&gt;('1-Input'!$B$26+3),S813,S813-MIN(MAX(S813,0),'P-Parametri'!$B$8*(S813+R813)))</f>
        <v>119320.86840769985</v>
      </c>
      <c r="V813" s="18">
        <f>IF($A813&gt;('1-Input'!$B$26+3),V812,V812-Q813*(1-P813))</f>
        <v>40907.406120305641</v>
      </c>
      <c r="W813" s="11">
        <f>IF($A813&gt;('1-Input'!$B$26+3),0,IF(AB812&lt;=0,0,MAX(0,(AB812-AC812)/AB812)))</f>
        <v>0.64758587824195291</v>
      </c>
      <c r="X813" s="18">
        <f>IF($A813&gt;('1-Input'!$B$26+3),0,(MAX(0,W781-IF($A813&gt;='1-Input'!$C$12,'1-Input'!$B$12,0))-MIN(MAX(AA812,0),MAX(0,W781-IF($A813&gt;='1-Input'!$C$12,'1-Input'!$B$12,0))))*(1/(1-'P-Parametri'!$B$6*W813))+MIN(MAX(0,AB812-(MAX(0,W781-IF($A813&gt;='1-Input'!$C$12,'1-Input'!$B$12,0))-MIN(MAX(AA812,0),MAX(0,W781-IF($A813&gt;='1-Input'!$C$12,'1-Input'!$B$12,0))))*(1/(1-'P-Parametri'!$B$6*W813))),MAX(0,0*W781-(AA812-MIN(MAX(AA812,0),MAX(0,W781-IF($A813&gt;='1-Input'!$C$12,'1-Input'!$B$12,0)))))*(1/(1-'P-Parametri'!$B$6*W813))))</f>
        <v>8978.8403410208939</v>
      </c>
      <c r="Y813" s="18">
        <f>IF($A813&gt;('1-Input'!$B$26+3),AA812,(AA812-MAX(0,W781-IF($A813&gt;='1-Input'!$C$12,'1-Input'!$B$12,0))+X813*(1-'P-Parametri'!$B$6*W813))*(1+'1-Input'!$B$27))</f>
        <v>9.0622052084654565E-13</v>
      </c>
      <c r="Z813" s="18">
        <f>IF($A813&gt;('1-Input'!$B$26+3),AB812,(AB812-X813)*(1+'5-Roberta'!$C$4))</f>
        <v>133292.18709528624</v>
      </c>
      <c r="AA813" s="18">
        <f>IF($A813&gt;('1-Input'!$B$26+3),Y813,Y813-'P-Parametri'!$B$8*(Z813+Y813)+MIN(MAX(Z813,0),'P-Parametri'!$B$8*(Z813+Y813)))</f>
        <v>9.0949470177292824E-13</v>
      </c>
      <c r="AB813" s="18">
        <f>IF($A813&gt;('1-Input'!$B$26+3),Z813,Z813-MIN(MAX(Z813,0),'P-Parametri'!$B$8*(Z813+Y813)))</f>
        <v>133025.60272109567</v>
      </c>
      <c r="AC813" s="18">
        <f>IF($A813&gt;('1-Input'!$B$26+3),AC812,AC812-X813*(1-W813))</f>
        <v>45605.872866402511</v>
      </c>
      <c r="AD813" s="11">
        <f>IF($A813&gt;('1-Input'!$B$26+3),0,IF(AI812&lt;=0,0,MAX(0,(AI812-AJ812)/AI812)))</f>
        <v>0.64758587824195357</v>
      </c>
      <c r="AE813" s="18">
        <f>IF($A813&gt;('1-Input'!$B$26+3),0,(MAX(0,AD781-IF($A813&gt;='1-Input'!$C$12,'1-Input'!$B$12,0))-MIN(MAX(AH812,0),MAX(0,AD781-IF($A813&gt;='1-Input'!$C$12,'1-Input'!$B$12,0))))*(1/(1-'P-Parametri'!$B$6*AD813))+MIN(MAX(0,AI812-(MAX(0,AD781-IF($A813&gt;='1-Input'!$C$12,'1-Input'!$B$12,0))-MIN(MAX(AH812,0),MAX(0,AD781-IF($A813&gt;='1-Input'!$C$12,'1-Input'!$B$12,0))))*(1/(1-'P-Parametri'!$B$6*AD813))),MAX(0,0*AD781-(AH812-MIN(MAX(AH812,0),MAX(0,AD781-IF($A813&gt;='1-Input'!$C$12,'1-Input'!$B$12,0)))))*(1/(1-'P-Parametri'!$B$6*AD813))))</f>
        <v>8994.8399467811032</v>
      </c>
      <c r="AF813" s="18">
        <f>IF($A813&gt;('1-Input'!$B$26+3),AH812,(AH812-MAX(0,AD781-IF($A813&gt;='1-Input'!$C$12,'1-Input'!$B$12,0))+AE813*(1-'P-Parametri'!$B$6*AD813))*(1+'1-Input'!$B$27))</f>
        <v>0</v>
      </c>
      <c r="AG813" s="18">
        <f>IF($A813&gt;('1-Input'!$B$26+3),AI812,(AI812-AE813)*(1+'5-Roberta'!$C$4))</f>
        <v>132581.30978828503</v>
      </c>
      <c r="AH813" s="18">
        <f>IF($A813&gt;('1-Input'!$B$26+3),AF813,AF813-'P-Parametri'!$B$8*(AG813+AF813)+MIN(MAX(AG813,0),'P-Parametri'!$B$8*(AG813+AF813)))</f>
        <v>0</v>
      </c>
      <c r="AI813" s="18">
        <f>IF($A813&gt;('1-Input'!$B$26+3),AG813,AG813-MIN(MAX(AG813,0),'P-Parametri'!$B$8*(AG813+AF813)))</f>
        <v>132316.14716870847</v>
      </c>
      <c r="AJ813" s="18">
        <f>IF($A813&gt;('1-Input'!$B$26+3),AJ812,AJ812-AE813*(1-AD813))</f>
        <v>45362.646456864037</v>
      </c>
      <c r="AK813" s="11">
        <f>IF($A813&gt;('1-Input'!$B$26+3),0,IF(AP812&lt;=0,0,MAX(0,(AP812-AQ812)/AP812)))</f>
        <v>0.64758587824195324</v>
      </c>
      <c r="AL813" s="18">
        <f>IF($A813&gt;('1-Input'!$B$26+3),0,(MAX(0,AK781-IF($A813&gt;='1-Input'!$C$12,'1-Input'!$B$12,0))-MIN(MAX(AO812,0),MAX(0,AK781-IF($A813&gt;='1-Input'!$C$12,'1-Input'!$B$12,0))))*(1/(1-'P-Parametri'!$B$6*AK813))+MIN(MAX(0,AP812-(MAX(0,AK781-IF($A813&gt;='1-Input'!$C$12,'1-Input'!$B$12,0))-MIN(MAX(AO812,0),MAX(0,AK781-IF($A813&gt;='1-Input'!$C$12,'1-Input'!$B$12,0))))*(1/(1-'P-Parametri'!$B$6*AK813))),MAX(0,0*AK781-(AO812-MIN(MAX(AO812,0),MAX(0,AK781-IF($A813&gt;='1-Input'!$C$12,'1-Input'!$B$12,0)))))*(1/(1-'P-Parametri'!$B$6*AK813))))</f>
        <v>8992.6455754195704</v>
      </c>
      <c r="AM813" s="18">
        <f>IF($A813&gt;('1-Input'!$B$26+3),AO812,(AO812-MAX(0,AK781-IF($A813&gt;='1-Input'!$C$12,'1-Input'!$B$12,0))+AL813*(1-'P-Parametri'!$B$6*AK813))*(1+'1-Input'!$B$27))</f>
        <v>-9.0622052084654565E-13</v>
      </c>
      <c r="AN813" s="18">
        <f>IF($A813&gt;('1-Input'!$B$26+3),AP812,(AP812-AL813)*(1+'5-Roberta'!$C$4))</f>
        <v>132678.807740886</v>
      </c>
      <c r="AO813" s="18">
        <f>IF($A813&gt;('1-Input'!$B$26+3),AM813,AM813-'P-Parametri'!$B$8*(AN813+AM813)+MIN(MAX(AN813,0),'P-Parametri'!$B$8*(AN813+AM813)))</f>
        <v>-9.0949470177292824E-13</v>
      </c>
      <c r="AP813" s="18">
        <f>IF($A813&gt;('1-Input'!$B$26+3),AN813,AN813-MIN(MAX(AN813,0),'P-Parametri'!$B$8*(AN813+AM813)))</f>
        <v>132413.45012540423</v>
      </c>
      <c r="AQ813" s="18">
        <f>IF($A813&gt;('1-Input'!$B$26+3),AQ812,AQ812-AL813*(1-AK813))</f>
        <v>45396.005345542799</v>
      </c>
    </row>
    <row r="814" spans="1:43">
      <c r="A814" s="10">
        <f>31</f>
        <v>31</v>
      </c>
      <c r="B814" s="11">
        <f>IF($A814&gt;('1-Input'!$B$26+3),0,IF(G813&lt;=0,0,MAX(0,(G813-H813)/G813)))</f>
        <v>0.65716469661843391</v>
      </c>
      <c r="C814" s="18">
        <f>IF($A814&gt;('1-Input'!$B$26+3),0,(MAX(0,B781-IF($A814&gt;='1-Input'!$C$12,'1-Input'!$B$12,0))-MIN(MAX(F813,0),MAX(0,B781-IF($A814&gt;='1-Input'!$C$12,'1-Input'!$B$12,0))))*(1/(1-'P-Parametri'!$B$6*B814))+MIN(MAX(0,G813-(MAX(0,B781-IF($A814&gt;='1-Input'!$C$12,'1-Input'!$B$12,0))-MIN(MAX(F813,0),MAX(0,B781-IF($A814&gt;='1-Input'!$C$12,'1-Input'!$B$12,0))))*(1/(1-'P-Parametri'!$B$6*B814))),MAX(0,0*B781-(F813-MIN(MAX(F813,0),MAX(0,B781-IF($A814&gt;='1-Input'!$C$12,'1-Input'!$B$12,0)))))*(1/(1-'P-Parametri'!$B$6*B814))))</f>
        <v>6728.7482177163183</v>
      </c>
      <c r="D814" s="18">
        <f>IF($A814&gt;('1-Input'!$B$26+3),F813,(F813-MAX(0,B781-IF($A814&gt;='1-Input'!$C$12,'1-Input'!$B$12,0))+C814*(1-'P-Parametri'!$B$6*B814))*(1+'1-Input'!$B$27))</f>
        <v>-9.0622052084654565E-13</v>
      </c>
      <c r="E814" s="18">
        <f>IF($A814&gt;('1-Input'!$B$26+3),G813,(G813-C814)*(1+'5-Roberta'!$C$4))</f>
        <v>233773.03276323873</v>
      </c>
      <c r="F814" s="18">
        <f>IF($A814&gt;('1-Input'!$B$26+3),D814,D814-'P-Parametri'!$B$8*(E814+D814)+MIN(MAX(E814,0),'P-Parametri'!$B$8*(E814+D814)))</f>
        <v>-9.0949470177292824E-13</v>
      </c>
      <c r="G814" s="18">
        <f>IF($A814&gt;('1-Input'!$B$26+3),E814,E814-MIN(MAX(E814,0),'P-Parametri'!$B$8*(E814+D814)))</f>
        <v>233305.48669771224</v>
      </c>
      <c r="H814" s="18">
        <f>IF($A814&gt;('1-Input'!$B$26+3),H813,H813-C814*(1-B814))</f>
        <v>77811.309329916257</v>
      </c>
      <c r="I814" s="11">
        <f>IF($A814&gt;('1-Input'!$B$26+3),0,IF(N813&lt;=0,0,MAX(0,(N813-O813)/N813)))</f>
        <v>0</v>
      </c>
      <c r="J814" s="18">
        <f>IF($A814&gt;('1-Input'!$B$26+3),0,(MAX(0,I781-IF($A814&gt;='1-Input'!$C$12,'1-Input'!$B$12,0))-MIN(MAX(M813,0),MAX(0,I781-IF($A814&gt;='1-Input'!$C$12,'1-Input'!$B$12,0))))*(1/(1-'P-Parametri'!$B$6*I814))+MIN(MAX(0,N813-(MAX(0,I781-IF($A814&gt;='1-Input'!$C$12,'1-Input'!$B$12,0))-MIN(MAX(M813,0),MAX(0,I781-IF($A814&gt;='1-Input'!$C$12,'1-Input'!$B$12,0))))*(1/(1-'P-Parametri'!$B$6*I814))),MAX(0,0*I781-(M813-MIN(MAX(M813,0),MAX(0,I781-IF($A814&gt;='1-Input'!$C$12,'1-Input'!$B$12,0)))))*(1/(1-'P-Parametri'!$B$6*I814))))</f>
        <v>10846.756992928691</v>
      </c>
      <c r="K814" s="18">
        <f>IF($A814&gt;('1-Input'!$B$26+3),M813,(M813-MAX(0,I781-IF($A814&gt;='1-Input'!$C$12,'1-Input'!$B$12,0))+J814*(1-'P-Parametri'!$B$6*I814))*(1+'1-Input'!$B$27))</f>
        <v>0</v>
      </c>
      <c r="L814" s="18">
        <f>IF($A814&gt;('1-Input'!$B$26+3),N813,(N813-J814)*(1+'5-Roberta'!$C$4))</f>
        <v>-52728.484280040451</v>
      </c>
      <c r="M814" s="18">
        <f>IF($A814&gt;('1-Input'!$B$26+3),K814,K814-'P-Parametri'!$B$8*(L814+K814)+MIN(MAX(L814,0),'P-Parametri'!$B$8*(L814+K814)))</f>
        <v>0</v>
      </c>
      <c r="N814" s="18">
        <f>IF($A814&gt;('1-Input'!$B$26+3),L814,L814-MIN(MAX(L814,0),'P-Parametri'!$B$8*(L814+K814)))</f>
        <v>-52623.027311480371</v>
      </c>
      <c r="O814" s="18">
        <f>IF($A814&gt;('1-Input'!$B$26+3),O813,O813-J814*(1-I814))</f>
        <v>-45428.001436840139</v>
      </c>
      <c r="P814" s="11">
        <f>IF($A814&gt;('1-Input'!$B$26+3),0,IF(U813&lt;=0,0,MAX(0,(U813-V813)/U813)))</f>
        <v>0.65716469661843446</v>
      </c>
      <c r="Q814" s="18">
        <f>IF($A814&gt;('1-Input'!$B$26+3),0,(MAX(0,P781-IF($A814&gt;='1-Input'!$C$12,'1-Input'!$B$12,0))-MIN(MAX(T813,0),MAX(0,P781-IF($A814&gt;='1-Input'!$C$12,'1-Input'!$B$12,0))))*(1/(1-'P-Parametri'!$B$6*P814))+MIN(MAX(0,U813-(MAX(0,P781-IF($A814&gt;='1-Input'!$C$12,'1-Input'!$B$12,0))-MIN(MAX(T813,0),MAX(0,P781-IF($A814&gt;='1-Input'!$C$12,'1-Input'!$B$12,0))))*(1/(1-'P-Parametri'!$B$6*P814))),MAX(0,0*P781-(T813-MIN(MAX(T813,0),MAX(0,P781-IF($A814&gt;='1-Input'!$C$12,'1-Input'!$B$12,0)))))*(1/(1-'P-Parametri'!$B$6*P814))))</f>
        <v>9315.8070587883503</v>
      </c>
      <c r="R814" s="18">
        <f>IF($A814&gt;('1-Input'!$B$26+3),T813,(T813-MAX(0,P781-IF($A814&gt;='1-Input'!$C$12,'1-Input'!$B$12,0))+Q814*(1-'P-Parametri'!$B$6*P814))*(1+'1-Input'!$B$27))</f>
        <v>9.0622052084654565E-13</v>
      </c>
      <c r="S814" s="18">
        <f>IF($A814&gt;('1-Input'!$B$26+3),U813,(U813-Q814)*(1+'5-Roberta'!$C$4))</f>
        <v>113305.21318937883</v>
      </c>
      <c r="T814" s="18">
        <f>IF($A814&gt;('1-Input'!$B$26+3),R814,R814-'P-Parametri'!$B$8*(S814+R814)+MIN(MAX(S814,0),'P-Parametri'!$B$8*(S814+R814)))</f>
        <v>9.0949470177292824E-13</v>
      </c>
      <c r="U814" s="18">
        <f>IF($A814&gt;('1-Input'!$B$26+3),S814,S814-MIN(MAX(S814,0),'P-Parametri'!$B$8*(S814+R814)))</f>
        <v>113078.60276300008</v>
      </c>
      <c r="V814" s="18">
        <f>IF($A814&gt;('1-Input'!$B$26+3),V813,V813-Q814*(1-P814))</f>
        <v>37713.618581061804</v>
      </c>
      <c r="W814" s="11">
        <f>IF($A814&gt;('1-Input'!$B$26+3),0,IF(AB813&lt;=0,0,MAX(0,(AB813-AC813)/AB813)))</f>
        <v>0.65716469661843391</v>
      </c>
      <c r="X814" s="18">
        <f>IF($A814&gt;('1-Input'!$B$26+3),0,(MAX(0,W781-IF($A814&gt;='1-Input'!$C$12,'1-Input'!$B$12,0))-MIN(MAX(AA813,0),MAX(0,W781-IF($A814&gt;='1-Input'!$C$12,'1-Input'!$B$12,0))))*(1/(1-'P-Parametri'!$B$6*W814))+MIN(MAX(0,AB813-(MAX(0,W781-IF($A814&gt;='1-Input'!$C$12,'1-Input'!$B$12,0))-MIN(MAX(AA813,0),MAX(0,W781-IF($A814&gt;='1-Input'!$C$12,'1-Input'!$B$12,0))))*(1/(1-'P-Parametri'!$B$6*W814))),MAX(0,0*W781-(AA813-MIN(MAX(AA813,0),MAX(0,W781-IF($A814&gt;='1-Input'!$C$12,'1-Input'!$B$12,0)))))*(1/(1-'P-Parametri'!$B$6*W814))))</f>
        <v>9005.810229228442</v>
      </c>
      <c r="Y814" s="18">
        <f>IF($A814&gt;('1-Input'!$B$26+3),AA813,(AA813-MAX(0,W781-IF($A814&gt;='1-Input'!$C$12,'1-Input'!$B$12,0))+X814*(1-'P-Parametri'!$B$6*W814))*(1+'1-Input'!$B$27))</f>
        <v>0</v>
      </c>
      <c r="Z814" s="18">
        <f>IF($A814&gt;('1-Input'!$B$26+3),AB813,(AB813-X814)*(1+'5-Roberta'!$C$4))</f>
        <v>127740.38626662325</v>
      </c>
      <c r="AA814" s="18">
        <f>IF($A814&gt;('1-Input'!$B$26+3),Y814,Y814-'P-Parametri'!$B$8*(Z814+Y814)+MIN(MAX(Z814,0),'P-Parametri'!$B$8*(Z814+Y814)))</f>
        <v>0</v>
      </c>
      <c r="AB814" s="18">
        <f>IF($A814&gt;('1-Input'!$B$26+3),Z814,Z814-MIN(MAX(Z814,0),'P-Parametri'!$B$8*(Z814+Y814)))</f>
        <v>127484.90549409</v>
      </c>
      <c r="AC814" s="18">
        <f>IF($A814&gt;('1-Input'!$B$26+3),AC813,AC813-X814*(1-W814))</f>
        <v>42518.363184268164</v>
      </c>
      <c r="AD814" s="11">
        <f>IF($A814&gt;('1-Input'!$B$26+3),0,IF(AI813&lt;=0,0,MAX(0,(AI813-AJ813)/AI813)))</f>
        <v>0.65716469661843446</v>
      </c>
      <c r="AE814" s="18">
        <f>IF($A814&gt;('1-Input'!$B$26+3),0,(MAX(0,AD781-IF($A814&gt;='1-Input'!$C$12,'1-Input'!$B$12,0))-MIN(MAX(AH813,0),MAX(0,AD781-IF($A814&gt;='1-Input'!$C$12,'1-Input'!$B$12,0))))*(1/(1-'P-Parametri'!$B$6*AD814))+MIN(MAX(0,AI813-(MAX(0,AD781-IF($A814&gt;='1-Input'!$C$12,'1-Input'!$B$12,0))-MIN(MAX(AH813,0),MAX(0,AD781-IF($A814&gt;='1-Input'!$C$12,'1-Input'!$B$12,0))))*(1/(1-'P-Parametri'!$B$6*AD814))),MAX(0,0*AD781-(AH813-MIN(MAX(AH813,0),MAX(0,AD781-IF($A814&gt;='1-Input'!$C$12,'1-Input'!$B$12,0)))))*(1/(1-'P-Parametri'!$B$6*AD814))))</f>
        <v>9021.8578932636992</v>
      </c>
      <c r="AF814" s="18">
        <f>IF($A814&gt;('1-Input'!$B$26+3),AH813,(AH813-MAX(0,AD781-IF($A814&gt;='1-Input'!$C$12,'1-Input'!$B$12,0))+AE814*(1-'P-Parametri'!$B$6*AD814))*(1+'1-Input'!$B$27))</f>
        <v>0</v>
      </c>
      <c r="AG814" s="18">
        <f>IF($A814&gt;('1-Input'!$B$26+3),AI813,(AI813-AE814)*(1+'5-Roberta'!$C$4))</f>
        <v>126993.11795370812</v>
      </c>
      <c r="AH814" s="18">
        <f>IF($A814&gt;('1-Input'!$B$26+3),AF814,AF814-'P-Parametri'!$B$8*(AG814+AF814)+MIN(MAX(AG814,0),'P-Parametri'!$B$8*(AG814+AF814)))</f>
        <v>0</v>
      </c>
      <c r="AI814" s="18">
        <f>IF($A814&gt;('1-Input'!$B$26+3),AG814,AG814-MIN(MAX(AG814,0),'P-Parametri'!$B$8*(AG814+AF814)))</f>
        <v>126739.1317178007</v>
      </c>
      <c r="AJ814" s="18">
        <f>IF($A814&gt;('1-Input'!$B$26+3),AJ813,AJ813-AE814*(1-AD814))</f>
        <v>42269.635068961608</v>
      </c>
      <c r="AK814" s="11">
        <f>IF($A814&gt;('1-Input'!$B$26+3),0,IF(AP813&lt;=0,0,MAX(0,(AP813-AQ813)/AP813)))</f>
        <v>0.65716469661843413</v>
      </c>
      <c r="AL814" s="18">
        <f>IF($A814&gt;('1-Input'!$B$26+3),0,(MAX(0,AK781-IF($A814&gt;='1-Input'!$C$12,'1-Input'!$B$12,0))-MIN(MAX(AO813,0),MAX(0,AK781-IF($A814&gt;='1-Input'!$C$12,'1-Input'!$B$12,0))))*(1/(1-'P-Parametri'!$B$6*AK814))+MIN(MAX(0,AP813-(MAX(0,AK781-IF($A814&gt;='1-Input'!$C$12,'1-Input'!$B$12,0))-MIN(MAX(AO813,0),MAX(0,AK781-IF($A814&gt;='1-Input'!$C$12,'1-Input'!$B$12,0))))*(1/(1-'P-Parametri'!$B$6*AK814))),MAX(0,0*AK781-(AO813-MIN(MAX(AO813,0),MAX(0,AK781-IF($A814&gt;='1-Input'!$C$12,'1-Input'!$B$12,0)))))*(1/(1-'P-Parametri'!$B$6*AK814))))</f>
        <v>9019.6569306333586</v>
      </c>
      <c r="AM814" s="18">
        <f>IF($A814&gt;('1-Input'!$B$26+3),AO813,(AO813-MAX(0,AK781-IF($A814&gt;='1-Input'!$C$12,'1-Input'!$B$12,0))+AL814*(1-'P-Parametri'!$B$6*AK814))*(1+'1-Input'!$B$27))</f>
        <v>0</v>
      </c>
      <c r="AN814" s="18">
        <f>IF($A814&gt;('1-Input'!$B$26+3),AP813,(AP813-AL814)*(1+'5-Roberta'!$C$4))</f>
        <v>127095.606990614</v>
      </c>
      <c r="AO814" s="18">
        <f>IF($A814&gt;('1-Input'!$B$26+3),AM814,AM814-'P-Parametri'!$B$8*(AN814+AM814)+MIN(MAX(AN814,0),'P-Parametri'!$B$8*(AN814+AM814)))</f>
        <v>0</v>
      </c>
      <c r="AP814" s="18">
        <f>IF($A814&gt;('1-Input'!$B$26+3),AN814,AN814-MIN(MAX(AN814,0),'P-Parametri'!$B$8*(AN814+AM814)))</f>
        <v>126841.41577663277</v>
      </c>
      <c r="AQ814" s="18">
        <f>IF($A814&gt;('1-Input'!$B$26+3),AQ813,AQ813-AL814*(1-AK814))</f>
        <v>42303.748525331466</v>
      </c>
    </row>
    <row r="815" spans="1:43">
      <c r="A815" s="10">
        <f>32</f>
        <v>32</v>
      </c>
      <c r="B815" s="11">
        <f>IF($A815&gt;('1-Input'!$B$26+3),0,IF(G814&lt;=0,0,MAX(0,(G814-H814)/G814)))</f>
        <v>0.66648315720609552</v>
      </c>
      <c r="C815" s="18">
        <f>IF($A815&gt;('1-Input'!$B$26+3),0,(MAX(0,B781-IF($A815&gt;='1-Input'!$C$12,'1-Input'!$B$12,0))-MIN(MAX(F814,0),MAX(0,B781-IF($A815&gt;='1-Input'!$C$12,'1-Input'!$B$12,0))))*(1/(1-'P-Parametri'!$B$6*B815))+MIN(MAX(0,G814-(MAX(0,B781-IF($A815&gt;='1-Input'!$C$12,'1-Input'!$B$12,0))-MIN(MAX(F814,0),MAX(0,B781-IF($A815&gt;='1-Input'!$C$12,'1-Input'!$B$12,0))))*(1/(1-'P-Parametri'!$B$6*B815))),MAX(0,0*B781-(F814-MIN(MAX(F814,0),MAX(0,B781-IF($A815&gt;='1-Input'!$C$12,'1-Input'!$B$12,0)))))*(1/(1-'P-Parametri'!$B$6*B815))))</f>
        <v>6748.4677362466628</v>
      </c>
      <c r="D815" s="18">
        <f>IF($A815&gt;('1-Input'!$B$26+3),F814,(F814-MAX(0,B781-IF($A815&gt;='1-Input'!$C$12,'1-Input'!$B$12,0))+C815*(1-'P-Parametri'!$B$6*B815))*(1+'1-Input'!$B$27))</f>
        <v>0</v>
      </c>
      <c r="E815" s="18">
        <f>IF($A815&gt;('1-Input'!$B$26+3),G814,(G814-C815)*(1+'5-Roberta'!$C$4))</f>
        <v>233353.72953030953</v>
      </c>
      <c r="F815" s="18">
        <f>IF($A815&gt;('1-Input'!$B$26+3),D815,D815-'P-Parametri'!$B$8*(E815+D815)+MIN(MAX(E815,0),'P-Parametri'!$B$8*(E815+D815)))</f>
        <v>0</v>
      </c>
      <c r="G815" s="18">
        <f>IF($A815&gt;('1-Input'!$B$26+3),E815,E815-MIN(MAX(E815,0),'P-Parametri'!$B$8*(E815+D815)))</f>
        <v>232887.02207124891</v>
      </c>
      <c r="H815" s="18">
        <f>IF($A815&gt;('1-Input'!$B$26+3),H814,H814-C815*(1-B815))</f>
        <v>75560.58167682674</v>
      </c>
      <c r="I815" s="11">
        <f>IF($A815&gt;('1-Input'!$B$26+3),0,IF(N814&lt;=0,0,MAX(0,(N814-O814)/N814)))</f>
        <v>0</v>
      </c>
      <c r="J815" s="18">
        <f>IF($A815&gt;('1-Input'!$B$26+3),0,(MAX(0,I781-IF($A815&gt;='1-Input'!$C$12,'1-Input'!$B$12,0))-MIN(MAX(M814,0),MAX(0,I781-IF($A815&gt;='1-Input'!$C$12,'1-Input'!$B$12,0))))*(1/(1-'P-Parametri'!$B$6*I815))+MIN(MAX(0,N814-(MAX(0,I781-IF($A815&gt;='1-Input'!$C$12,'1-Input'!$B$12,0))-MIN(MAX(M814,0),MAX(0,I781-IF($A815&gt;='1-Input'!$C$12,'1-Input'!$B$12,0))))*(1/(1-'P-Parametri'!$B$6*I815))),MAX(0,0*I781-(M814-MIN(MAX(M814,0),MAX(0,I781-IF($A815&gt;='1-Input'!$C$12,'1-Input'!$B$12,0)))))*(1/(1-'P-Parametri'!$B$6*I815))))</f>
        <v>10846.756992928691</v>
      </c>
      <c r="K815" s="18">
        <f>IF($A815&gt;('1-Input'!$B$26+3),M814,(M814-MAX(0,I781-IF($A815&gt;='1-Input'!$C$12,'1-Input'!$B$12,0))+J815*(1-'P-Parametri'!$B$6*I815))*(1+'1-Input'!$B$27))</f>
        <v>0</v>
      </c>
      <c r="L815" s="18">
        <f>IF($A815&gt;('1-Input'!$B$26+3),N814,(N814-J815)*(1+'5-Roberta'!$C$4))</f>
        <v>-65373.877833541337</v>
      </c>
      <c r="M815" s="18">
        <f>IF($A815&gt;('1-Input'!$B$26+3),K815,K815-'P-Parametri'!$B$8*(L815+K815)+MIN(MAX(L815,0),'P-Parametri'!$B$8*(L815+K815)))</f>
        <v>0</v>
      </c>
      <c r="N815" s="18">
        <f>IF($A815&gt;('1-Input'!$B$26+3),L815,L815-MIN(MAX(L815,0),'P-Parametri'!$B$8*(L815+K815)))</f>
        <v>-65243.130077874252</v>
      </c>
      <c r="O815" s="18">
        <f>IF($A815&gt;('1-Input'!$B$26+3),O814,O814-J815*(1-I815))</f>
        <v>-56274.75842976883</v>
      </c>
      <c r="P815" s="11">
        <f>IF($A815&gt;('1-Input'!$B$26+3),0,IF(U814&lt;=0,0,MAX(0,(U814-V814)/U814)))</f>
        <v>0.66648315720609608</v>
      </c>
      <c r="Q815" s="18">
        <f>IF($A815&gt;('1-Input'!$B$26+3),0,(MAX(0,P781-IF($A815&gt;='1-Input'!$C$12,'1-Input'!$B$12,0))-MIN(MAX(T814,0),MAX(0,P781-IF($A815&gt;='1-Input'!$C$12,'1-Input'!$B$12,0))))*(1/(1-'P-Parametri'!$B$6*P815))+MIN(MAX(0,U814-(MAX(0,P781-IF($A815&gt;='1-Input'!$C$12,'1-Input'!$B$12,0))-MIN(MAX(T814,0),MAX(0,P781-IF($A815&gt;='1-Input'!$C$12,'1-Input'!$B$12,0))))*(1/(1-'P-Parametri'!$B$6*P815))),MAX(0,0*P781-(T814-MIN(MAX(T814,0),MAX(0,P781-IF($A815&gt;='1-Input'!$C$12,'1-Input'!$B$12,0)))))*(1/(1-'P-Parametri'!$B$6*P815))))</f>
        <v>9343.1083076948235</v>
      </c>
      <c r="R815" s="18">
        <f>IF($A815&gt;('1-Input'!$B$26+3),T814,(T814-MAX(0,P781-IF($A815&gt;='1-Input'!$C$12,'1-Input'!$B$12,0))+Q815*(1-'P-Parametri'!$B$6*P815))*(1+'1-Input'!$B$27))</f>
        <v>9.0622052084654565E-13</v>
      </c>
      <c r="S815" s="18">
        <f>IF($A815&gt;('1-Input'!$B$26+3),U814,(U814-Q815)*(1+'5-Roberta'!$C$4))</f>
        <v>106847.5592889644</v>
      </c>
      <c r="T815" s="18">
        <f>IF($A815&gt;('1-Input'!$B$26+3),R815,R815-'P-Parametri'!$B$8*(S815+R815)+MIN(MAX(S815,0),'P-Parametri'!$B$8*(S815+R815)))</f>
        <v>9.0949470177292824E-13</v>
      </c>
      <c r="U815" s="18">
        <f>IF($A815&gt;('1-Input'!$B$26+3),S815,S815-MIN(MAX(S815,0),'P-Parametri'!$B$8*(S815+R815)))</f>
        <v>106633.86417038647</v>
      </c>
      <c r="V815" s="18">
        <f>IF($A815&gt;('1-Input'!$B$26+3),V814,V814-Q815*(1-P815))</f>
        <v>34597.534596397934</v>
      </c>
      <c r="W815" s="11">
        <f>IF($A815&gt;('1-Input'!$B$26+3),0,IF(AB814&lt;=0,0,MAX(0,(AB814-AC814)/AB814)))</f>
        <v>0.66648315720609563</v>
      </c>
      <c r="X815" s="18">
        <f>IF($A815&gt;('1-Input'!$B$26+3),0,(MAX(0,W781-IF($A815&gt;='1-Input'!$C$12,'1-Input'!$B$12,0))-MIN(MAX(AA814,0),MAX(0,W781-IF($A815&gt;='1-Input'!$C$12,'1-Input'!$B$12,0))))*(1/(1-'P-Parametri'!$B$6*W815))+MIN(MAX(0,AB814-(MAX(0,W781-IF($A815&gt;='1-Input'!$C$12,'1-Input'!$B$12,0))-MIN(MAX(AA814,0),MAX(0,W781-IF($A815&gt;='1-Input'!$C$12,'1-Input'!$B$12,0))))*(1/(1-'P-Parametri'!$B$6*W815))),MAX(0,0*W781-(AA814-MIN(MAX(AA814,0),MAX(0,W781-IF($A815&gt;='1-Input'!$C$12,'1-Input'!$B$12,0)))))*(1/(1-'P-Parametri'!$B$6*W815))))</f>
        <v>9032.2029899544923</v>
      </c>
      <c r="Y815" s="18">
        <f>IF($A815&gt;('1-Input'!$B$26+3),AA814,(AA814-MAX(0,W781-IF($A815&gt;='1-Input'!$C$12,'1-Input'!$B$12,0))+X815*(1-'P-Parametri'!$B$6*W815))*(1+'1-Input'!$B$27))</f>
        <v>0</v>
      </c>
      <c r="Z815" s="18">
        <f>IF($A815&gt;('1-Input'!$B$26+3),AB814,(AB814-X815)*(1+'5-Roberta'!$C$4))</f>
        <v>122006.28357925957</v>
      </c>
      <c r="AA815" s="18">
        <f>IF($A815&gt;('1-Input'!$B$26+3),Y815,Y815-'P-Parametri'!$B$8*(Z815+Y815)+MIN(MAX(Z815,0),'P-Parametri'!$B$8*(Z815+Y815)))</f>
        <v>0</v>
      </c>
      <c r="AB815" s="18">
        <f>IF($A815&gt;('1-Input'!$B$26+3),Z815,Z815-MIN(MAX(Z815,0),'P-Parametri'!$B$8*(Z815+Y815)))</f>
        <v>121762.27101210106</v>
      </c>
      <c r="AC815" s="18">
        <f>IF($A815&gt;('1-Input'!$B$26+3),AC814,AC814-X815*(1-W815))</f>
        <v>39505.971359584881</v>
      </c>
      <c r="AD815" s="11">
        <f>IF($A815&gt;('1-Input'!$B$26+3),0,IF(AI814&lt;=0,0,MAX(0,(AI814-AJ814)/AI814)))</f>
        <v>0.66648315720609619</v>
      </c>
      <c r="AE815" s="18">
        <f>IF($A815&gt;('1-Input'!$B$26+3),0,(MAX(0,AD781-IF($A815&gt;='1-Input'!$C$12,'1-Input'!$B$12,0))-MIN(MAX(AH814,0),MAX(0,AD781-IF($A815&gt;='1-Input'!$C$12,'1-Input'!$B$12,0))))*(1/(1-'P-Parametri'!$B$6*AD815))+MIN(MAX(0,AI814-(MAX(0,AD781-IF($A815&gt;='1-Input'!$C$12,'1-Input'!$B$12,0))-MIN(MAX(AH814,0),MAX(0,AD781-IF($A815&gt;='1-Input'!$C$12,'1-Input'!$B$12,0))))*(1/(1-'P-Parametri'!$B$6*AD815))),MAX(0,0*AD781-(AH814-MIN(MAX(AH814,0),MAX(0,AD781-IF($A815&gt;='1-Input'!$C$12,'1-Input'!$B$12,0)))))*(1/(1-'P-Parametri'!$B$6*AD815))))</f>
        <v>9048.2976838678278</v>
      </c>
      <c r="AF815" s="18">
        <f>IF($A815&gt;('1-Input'!$B$26+3),AH814,(AH814-MAX(0,AD781-IF($A815&gt;='1-Input'!$C$12,'1-Input'!$B$12,0))+AE815*(1-'P-Parametri'!$B$6*AD815))*(1+'1-Input'!$B$27))</f>
        <v>0</v>
      </c>
      <c r="AG815" s="18">
        <f>IF($A815&gt;('1-Input'!$B$26+3),AI814,(AI814-AE815)*(1+'5-Roberta'!$C$4))</f>
        <v>121221.55905495086</v>
      </c>
      <c r="AH815" s="18">
        <f>IF($A815&gt;('1-Input'!$B$26+3),AF815,AF815-'P-Parametri'!$B$8*(AG815+AF815)+MIN(MAX(AG815,0),'P-Parametri'!$B$8*(AG815+AF815)))</f>
        <v>0</v>
      </c>
      <c r="AI815" s="18">
        <f>IF($A815&gt;('1-Input'!$B$26+3),AG815,AG815-MIN(MAX(AG815,0),'P-Parametri'!$B$8*(AG815+AF815)))</f>
        <v>120979.11593684096</v>
      </c>
      <c r="AJ815" s="18">
        <f>IF($A815&gt;('1-Input'!$B$26+3),AJ814,AJ814-AE815*(1-AD815))</f>
        <v>39251.875392778617</v>
      </c>
      <c r="AK815" s="11">
        <f>IF($A815&gt;('1-Input'!$B$26+3),0,IF(AP814&lt;=0,0,MAX(0,(AP814-AQ814)/AP814)))</f>
        <v>0.66648315720609586</v>
      </c>
      <c r="AL815" s="18">
        <f>IF($A815&gt;('1-Input'!$B$26+3),0,(MAX(0,AK781-IF($A815&gt;='1-Input'!$C$12,'1-Input'!$B$12,0))-MIN(MAX(AO814,0),MAX(0,AK781-IF($A815&gt;='1-Input'!$C$12,'1-Input'!$B$12,0))))*(1/(1-'P-Parametri'!$B$6*AK815))+MIN(MAX(0,AP814-(MAX(0,AK781-IF($A815&gt;='1-Input'!$C$12,'1-Input'!$B$12,0))-MIN(MAX(AO814,0),MAX(0,AK781-IF($A815&gt;='1-Input'!$C$12,'1-Input'!$B$12,0))))*(1/(1-'P-Parametri'!$B$6*AK815))),MAX(0,0*AK781-(AO814-MIN(MAX(AO814,0),MAX(0,AK781-IF($A815&gt;='1-Input'!$C$12,'1-Input'!$B$12,0)))))*(1/(1-'P-Parametri'!$B$6*AK815))))</f>
        <v>9046.090271014953</v>
      </c>
      <c r="AM815" s="18">
        <f>IF($A815&gt;('1-Input'!$B$26+3),AO814,(AO814-MAX(0,AK781-IF($A815&gt;='1-Input'!$C$12,'1-Input'!$B$12,0))+AL815*(1-'P-Parametri'!$B$6*AK815))*(1+'1-Input'!$B$27))</f>
        <v>0</v>
      </c>
      <c r="AN815" s="18">
        <f>IF($A815&gt;('1-Input'!$B$26+3),AP814,(AP814-AL815)*(1+'5-Roberta'!$C$4))</f>
        <v>121329.18527078636</v>
      </c>
      <c r="AO815" s="18">
        <f>IF($A815&gt;('1-Input'!$B$26+3),AM815,AM815-'P-Parametri'!$B$8*(AN815+AM815)+MIN(MAX(AN815,0),'P-Parametri'!$B$8*(AN815+AM815)))</f>
        <v>0</v>
      </c>
      <c r="AP815" s="18">
        <f>IF($A815&gt;('1-Input'!$B$26+3),AN815,AN815-MIN(MAX(AN815,0),'P-Parametri'!$B$8*(AN815+AM815)))</f>
        <v>121086.52690024479</v>
      </c>
      <c r="AQ815" s="18">
        <f>IF($A815&gt;('1-Input'!$B$26+3),AQ814,AQ814-AL815*(1-AK815))</f>
        <v>39286.725058513905</v>
      </c>
    </row>
    <row r="816" spans="1:43">
      <c r="A816" s="10">
        <f>33</f>
        <v>33</v>
      </c>
      <c r="B816" s="11">
        <f>IF($A816&gt;('1-Input'!$B$26+3),0,IF(G815&lt;=0,0,MAX(0,(G815-H815)/G815)))</f>
        <v>0.6755483366792765</v>
      </c>
      <c r="C816" s="18">
        <f>IF($A816&gt;('1-Input'!$B$26+3),0,(MAX(0,B781-IF($A816&gt;='1-Input'!$C$12,'1-Input'!$B$12,0))-MIN(MAX(F815,0),MAX(0,B781-IF($A816&gt;='1-Input'!$C$12,'1-Input'!$B$12,0))))*(1/(1-'P-Parametri'!$B$6*B816))+MIN(MAX(0,G815-(MAX(0,B781-IF($A816&gt;='1-Input'!$C$12,'1-Input'!$B$12,0))-MIN(MAX(F815,0),MAX(0,B781-IF($A816&gt;='1-Input'!$C$12,'1-Input'!$B$12,0))))*(1/(1-'P-Parametri'!$B$6*B816))),MAX(0,0*B781-(F815-MIN(MAX(F815,0),MAX(0,B781-IF($A816&gt;='1-Input'!$C$12,'1-Input'!$B$12,0)))))*(1/(1-'P-Parametri'!$B$6*B816))))</f>
        <v>6767.762495880188</v>
      </c>
      <c r="D816" s="18">
        <f>IF($A816&gt;('1-Input'!$B$26+3),F815,(F815-MAX(0,B781-IF($A816&gt;='1-Input'!$C$12,'1-Input'!$B$12,0))+C816*(1-'P-Parametri'!$B$6*B816))*(1+'1-Input'!$B$27))</f>
        <v>0</v>
      </c>
      <c r="E816" s="18">
        <f>IF($A816&gt;('1-Input'!$B$26+3),G815,(G815-C816)*(1+'5-Roberta'!$C$4))</f>
        <v>232902.8373626298</v>
      </c>
      <c r="F816" s="18">
        <f>IF($A816&gt;('1-Input'!$B$26+3),D816,D816-'P-Parametri'!$B$8*(E816+D816)+MIN(MAX(E816,0),'P-Parametri'!$B$8*(E816+D816)))</f>
        <v>0</v>
      </c>
      <c r="G816" s="18">
        <f>IF($A816&gt;('1-Input'!$B$26+3),E816,E816-MIN(MAX(E816,0),'P-Parametri'!$B$8*(E816+D816)))</f>
        <v>232437.03168790453</v>
      </c>
      <c r="H816" s="18">
        <f>IF($A816&gt;('1-Input'!$B$26+3),H815,H815-C816*(1-B816))</f>
        <v>73364.769878078805</v>
      </c>
      <c r="I816" s="11">
        <f>IF($A816&gt;('1-Input'!$B$26+3),0,IF(N815&lt;=0,0,MAX(0,(N815-O815)/N815)))</f>
        <v>0</v>
      </c>
      <c r="J816" s="18">
        <f>IF($A816&gt;('1-Input'!$B$26+3),0,(MAX(0,I781-IF($A816&gt;='1-Input'!$C$12,'1-Input'!$B$12,0))-MIN(MAX(M815,0),MAX(0,I781-IF($A816&gt;='1-Input'!$C$12,'1-Input'!$B$12,0))))*(1/(1-'P-Parametri'!$B$6*I816))+MIN(MAX(0,N815-(MAX(0,I781-IF($A816&gt;='1-Input'!$C$12,'1-Input'!$B$12,0))-MIN(MAX(M815,0),MAX(0,I781-IF($A816&gt;='1-Input'!$C$12,'1-Input'!$B$12,0))))*(1/(1-'P-Parametri'!$B$6*I816))),MAX(0,0*I781-(M815-MIN(MAX(M815,0),MAX(0,I781-IF($A816&gt;='1-Input'!$C$12,'1-Input'!$B$12,0)))))*(1/(1-'P-Parametri'!$B$6*I816))))</f>
        <v>10846.756992928691</v>
      </c>
      <c r="K816" s="18">
        <f>IF($A816&gt;('1-Input'!$B$26+3),M815,(M815-MAX(0,I781-IF($A816&gt;='1-Input'!$C$12,'1-Input'!$B$12,0))+J816*(1-'P-Parametri'!$B$6*I816))*(1+'1-Input'!$B$27))</f>
        <v>0</v>
      </c>
      <c r="L816" s="18">
        <f>IF($A816&gt;('1-Input'!$B$26+3),N815,(N815-J816)*(1+'5-Roberta'!$C$4))</f>
        <v>-78372.583682927027</v>
      </c>
      <c r="M816" s="18">
        <f>IF($A816&gt;('1-Input'!$B$26+3),K816,K816-'P-Parametri'!$B$8*(L816+K816)+MIN(MAX(L816,0),'P-Parametri'!$B$8*(L816+K816)))</f>
        <v>0</v>
      </c>
      <c r="N816" s="18">
        <f>IF($A816&gt;('1-Input'!$B$26+3),L816,L816-MIN(MAX(L816,0),'P-Parametri'!$B$8*(L816+K816)))</f>
        <v>-78215.838515561176</v>
      </c>
      <c r="O816" s="18">
        <f>IF($A816&gt;('1-Input'!$B$26+3),O815,O815-J816*(1-I816))</f>
        <v>-67121.515422697528</v>
      </c>
      <c r="P816" s="11">
        <f>IF($A816&gt;('1-Input'!$B$26+3),0,IF(U815&lt;=0,0,MAX(0,(U815-V815)/U815)))</f>
        <v>0.67554833667927705</v>
      </c>
      <c r="Q816" s="18">
        <f>IF($A816&gt;('1-Input'!$B$26+3),0,(MAX(0,P781-IF($A816&gt;='1-Input'!$C$12,'1-Input'!$B$12,0))-MIN(MAX(T815,0),MAX(0,P781-IF($A816&gt;='1-Input'!$C$12,'1-Input'!$B$12,0))))*(1/(1-'P-Parametri'!$B$6*P816))+MIN(MAX(0,U815-(MAX(0,P781-IF($A816&gt;='1-Input'!$C$12,'1-Input'!$B$12,0))-MIN(MAX(T815,0),MAX(0,P781-IF($A816&gt;='1-Input'!$C$12,'1-Input'!$B$12,0))))*(1/(1-'P-Parametri'!$B$6*P816))),MAX(0,0*P781-(T815-MIN(MAX(T815,0),MAX(0,P781-IF($A816&gt;='1-Input'!$C$12,'1-Input'!$B$12,0)))))*(1/(1-'P-Parametri'!$B$6*P816))))</f>
        <v>9369.821487052368</v>
      </c>
      <c r="R816" s="18">
        <f>IF($A816&gt;('1-Input'!$B$26+3),T815,(T815-MAX(0,P781-IF($A816&gt;='1-Input'!$C$12,'1-Input'!$B$12,0))+Q816*(1-'P-Parametri'!$B$6*P816))*(1+'1-Input'!$B$27))</f>
        <v>-9.0622052084654565E-13</v>
      </c>
      <c r="S816" s="18">
        <f>IF($A816&gt;('1-Input'!$B$26+3),U815,(U815-Q816)*(1+'5-Roberta'!$C$4))</f>
        <v>100181.96396383413</v>
      </c>
      <c r="T816" s="18">
        <f>IF($A816&gt;('1-Input'!$B$26+3),R816,R816-'P-Parametri'!$B$8*(S816+R816)+MIN(MAX(S816,0),'P-Parametri'!$B$8*(S816+R816)))</f>
        <v>-9.0949470177292824E-13</v>
      </c>
      <c r="U816" s="18">
        <f>IF($A816&gt;('1-Input'!$B$26+3),S816,S816-MIN(MAX(S816,0),'P-Parametri'!$B$8*(S816+R816)))</f>
        <v>99981.600035906464</v>
      </c>
      <c r="V816" s="18">
        <f>IF($A816&gt;('1-Input'!$B$26+3),V815,V815-Q816*(1-P816))</f>
        <v>31557.480429905543</v>
      </c>
      <c r="W816" s="11">
        <f>IF($A816&gt;('1-Input'!$B$26+3),0,IF(AB815&lt;=0,0,MAX(0,(AB815-AC815)/AB815)))</f>
        <v>0.67554833667927661</v>
      </c>
      <c r="X816" s="18">
        <f>IF($A816&gt;('1-Input'!$B$26+3),0,(MAX(0,W781-IF($A816&gt;='1-Input'!$C$12,'1-Input'!$B$12,0))-MIN(MAX(AA815,0),MAX(0,W781-IF($A816&gt;='1-Input'!$C$12,'1-Input'!$B$12,0))))*(1/(1-'P-Parametri'!$B$6*W816))+MIN(MAX(0,AB815-(MAX(0,W781-IF($A816&gt;='1-Input'!$C$12,'1-Input'!$B$12,0))-MIN(MAX(AA815,0),MAX(0,W781-IF($A816&gt;='1-Input'!$C$12,'1-Input'!$B$12,0))))*(1/(1-'P-Parametri'!$B$6*W816))),MAX(0,0*W781-(AA815-MIN(MAX(AA815,0),MAX(0,W781-IF($A816&gt;='1-Input'!$C$12,'1-Input'!$B$12,0)))))*(1/(1-'P-Parametri'!$B$6*W816))))</f>
        <v>9058.0272499885668</v>
      </c>
      <c r="Y816" s="18">
        <f>IF($A816&gt;('1-Input'!$B$26+3),AA815,(AA815-MAX(0,W781-IF($A816&gt;='1-Input'!$C$12,'1-Input'!$B$12,0))+X816*(1-'P-Parametri'!$B$6*W816))*(1+'1-Input'!$B$27))</f>
        <v>9.0622052084654565E-13</v>
      </c>
      <c r="Z816" s="18">
        <f>IF($A816&gt;('1-Input'!$B$26+3),AB815,(AB815-X816)*(1+'5-Roberta'!$C$4))</f>
        <v>116085.37107497588</v>
      </c>
      <c r="AA816" s="18">
        <f>IF($A816&gt;('1-Input'!$B$26+3),Y816,Y816-'P-Parametri'!$B$8*(Z816+Y816)+MIN(MAX(Z816,0),'P-Parametri'!$B$8*(Z816+Y816)))</f>
        <v>9.0949470177292824E-13</v>
      </c>
      <c r="AB816" s="18">
        <f>IF($A816&gt;('1-Input'!$B$26+3),Z816,Z816-MIN(MAX(Z816,0),'P-Parametri'!$B$8*(Z816+Y816)))</f>
        <v>115853.20033282593</v>
      </c>
      <c r="AC816" s="18">
        <f>IF($A816&gt;('1-Input'!$B$26+3),AC815,AC815-X816*(1-W816))</f>
        <v>36567.079351921653</v>
      </c>
      <c r="AD816" s="11">
        <f>IF($A816&gt;('1-Input'!$B$26+3),0,IF(AI815&lt;=0,0,MAX(0,(AI815-AJ815)/AI815)))</f>
        <v>0.67554833667927716</v>
      </c>
      <c r="AE816" s="18">
        <f>IF($A816&gt;('1-Input'!$B$26+3),0,(MAX(0,AD781-IF($A816&gt;='1-Input'!$C$12,'1-Input'!$B$12,0))-MIN(MAX(AH815,0),MAX(0,AD781-IF($A816&gt;='1-Input'!$C$12,'1-Input'!$B$12,0))))*(1/(1-'P-Parametri'!$B$6*AD816))+MIN(MAX(0,AI815-(MAX(0,AD781-IF($A816&gt;='1-Input'!$C$12,'1-Input'!$B$12,0))-MIN(MAX(AH815,0),MAX(0,AD781-IF($A816&gt;='1-Input'!$C$12,'1-Input'!$B$12,0))))*(1/(1-'P-Parametri'!$B$6*AD816))),MAX(0,0*AD781-(AH815-MIN(MAX(AH815,0),MAX(0,AD781-IF($A816&gt;='1-Input'!$C$12,'1-Input'!$B$12,0)))))*(1/(1-'P-Parametri'!$B$6*AD816))))</f>
        <v>9074.1679607552906</v>
      </c>
      <c r="AF816" s="18">
        <f>IF($A816&gt;('1-Input'!$B$26+3),AH815,(AH815-MAX(0,AD781-IF($A816&gt;='1-Input'!$C$12,'1-Input'!$B$12,0))+AE816*(1-'P-Parametri'!$B$6*AD816))*(1+'1-Input'!$B$27))</f>
        <v>-9.0622052084654565E-13</v>
      </c>
      <c r="AG816" s="18">
        <f>IF($A816&gt;('1-Input'!$B$26+3),AI815,(AI815-AE816)*(1+'5-Roberta'!$C$4))</f>
        <v>115262.09641536823</v>
      </c>
      <c r="AH816" s="18">
        <f>IF($A816&gt;('1-Input'!$B$26+3),AF816,AF816-'P-Parametri'!$B$8*(AG816+AF816)+MIN(MAX(AG816,0),'P-Parametri'!$B$8*(AG816+AF816)))</f>
        <v>-9.0949470177292824E-13</v>
      </c>
      <c r="AI816" s="18">
        <f>IF($A816&gt;('1-Input'!$B$26+3),AG816,AG816-MIN(MAX(AG816,0),'P-Parametri'!$B$8*(AG816+AF816)))</f>
        <v>115031.57222253749</v>
      </c>
      <c r="AJ816" s="18">
        <f>IF($A816&gt;('1-Input'!$B$26+3),AJ815,AJ815-AE816*(1-AD816))</f>
        <v>36307.746504659954</v>
      </c>
      <c r="AK816" s="11">
        <f>IF($A816&gt;('1-Input'!$B$26+3),0,IF(AP815&lt;=0,0,MAX(0,(AP815-AQ815)/AP815)))</f>
        <v>0.67554833667927694</v>
      </c>
      <c r="AL816" s="18">
        <f>IF($A816&gt;('1-Input'!$B$26+3),0,(MAX(0,AK781-IF($A816&gt;='1-Input'!$C$12,'1-Input'!$B$12,0))-MIN(MAX(AO815,0),MAX(0,AK781-IF($A816&gt;='1-Input'!$C$12,'1-Input'!$B$12,0))))*(1/(1-'P-Parametri'!$B$6*AK816))+MIN(MAX(0,AP815-(MAX(0,AK781-IF($A816&gt;='1-Input'!$C$12,'1-Input'!$B$12,0))-MIN(MAX(AO815,0),MAX(0,AK781-IF($A816&gt;='1-Input'!$C$12,'1-Input'!$B$12,0))))*(1/(1-'P-Parametri'!$B$6*AK816))),MAX(0,0*AK781-(AO815-MIN(MAX(AO815,0),MAX(0,AK781-IF($A816&gt;='1-Input'!$C$12,'1-Input'!$B$12,0)))))*(1/(1-'P-Parametri'!$B$6*AK816))))</f>
        <v>9071.9542366178302</v>
      </c>
      <c r="AM816" s="18">
        <f>IF($A816&gt;('1-Input'!$B$26+3),AO815,(AO815-MAX(0,AK781-IF($A816&gt;='1-Input'!$C$12,'1-Input'!$B$12,0))+AL816*(1-'P-Parametri'!$B$6*AK816))*(1+'1-Input'!$B$27))</f>
        <v>-9.0622052084654565E-13</v>
      </c>
      <c r="AN816" s="18">
        <f>IF($A816&gt;('1-Input'!$B$26+3),AP815,(AP815-AL816)*(1+'5-Roberta'!$C$4))</f>
        <v>115375.00984353576</v>
      </c>
      <c r="AO816" s="18">
        <f>IF($A816&gt;('1-Input'!$B$26+3),AM816,AM816-'P-Parametri'!$B$8*(AN816+AM816)+MIN(MAX(AN816,0),'P-Parametri'!$B$8*(AN816+AM816)))</f>
        <v>-9.0949470177292824E-13</v>
      </c>
      <c r="AP816" s="18">
        <f>IF($A816&gt;('1-Input'!$B$26+3),AN816,AN816-MIN(MAX(AN816,0),'P-Parametri'!$B$8*(AN816+AM816)))</f>
        <v>115144.2598238487</v>
      </c>
      <c r="AQ816" s="18">
        <f>IF($A816&gt;('1-Input'!$B$26+3),AQ815,AQ815-AL816*(1-AK816))</f>
        <v>36343.314416873771</v>
      </c>
    </row>
    <row r="817" spans="1:43">
      <c r="A817" s="10">
        <f>34</f>
        <v>34</v>
      </c>
      <c r="B817" s="11">
        <f>IF($A817&gt;('1-Input'!$B$26+3),0,IF(G816&lt;=0,0,MAX(0,(G816-H816)/G816)))</f>
        <v>0.68436711936423966</v>
      </c>
      <c r="C817" s="18">
        <f>IF($A817&gt;('1-Input'!$B$26+3),0,(MAX(0,B781-IF($A817&gt;='1-Input'!$C$12,'1-Input'!$B$12,0))-MIN(MAX(F816,0),MAX(0,B781-IF($A817&gt;='1-Input'!$C$12,'1-Input'!$B$12,0))))*(1/(1-'P-Parametri'!$B$6*B817))+MIN(MAX(0,G816-(MAX(0,B781-IF($A817&gt;='1-Input'!$C$12,'1-Input'!$B$12,0))-MIN(MAX(F816,0),MAX(0,B781-IF($A817&gt;='1-Input'!$C$12,'1-Input'!$B$12,0))))*(1/(1-'P-Parametri'!$B$6*B817))),MAX(0,0*B781-(F816-MIN(MAX(F816,0),MAX(0,B781-IF($A817&gt;='1-Input'!$C$12,'1-Input'!$B$12,0)))))*(1/(1-'P-Parametri'!$B$6*B817))))</f>
        <v>6786.6389830919652</v>
      </c>
      <c r="D817" s="18">
        <f>IF($A817&gt;('1-Input'!$B$26+3),F816,(F816-MAX(0,B781-IF($A817&gt;='1-Input'!$C$12,'1-Input'!$B$12,0))+C817*(1-'P-Parametri'!$B$6*B817))*(1+'1-Input'!$B$27))</f>
        <v>0</v>
      </c>
      <c r="E817" s="18">
        <f>IF($A817&gt;('1-Input'!$B$26+3),G816,(G816-C817)*(1+'5-Roberta'!$C$4))</f>
        <v>232419.90448595697</v>
      </c>
      <c r="F817" s="18">
        <f>IF($A817&gt;('1-Input'!$B$26+3),D817,D817-'P-Parametri'!$B$8*(E817+D817)+MIN(MAX(E817,0),'P-Parametri'!$B$8*(E817+D817)))</f>
        <v>0</v>
      </c>
      <c r="G817" s="18">
        <f>IF($A817&gt;('1-Input'!$B$26+3),E817,E817-MIN(MAX(E817,0),'P-Parametri'!$B$8*(E817+D817)))</f>
        <v>231955.06467698506</v>
      </c>
      <c r="H817" s="18">
        <f>IF($A817&gt;('1-Input'!$B$26+3),H816,H816-C817*(1-B817))</f>
        <v>71222.683466010538</v>
      </c>
      <c r="I817" s="11">
        <f>IF($A817&gt;('1-Input'!$B$26+3),0,IF(N816&lt;=0,0,MAX(0,(N816-O816)/N816)))</f>
        <v>0</v>
      </c>
      <c r="J817" s="18">
        <f>IF($A817&gt;('1-Input'!$B$26+3),0,(MAX(0,I781-IF($A817&gt;='1-Input'!$C$12,'1-Input'!$B$12,0))-MIN(MAX(M816,0),MAX(0,I781-IF($A817&gt;='1-Input'!$C$12,'1-Input'!$B$12,0))))*(1/(1-'P-Parametri'!$B$6*I817))+MIN(MAX(0,N816-(MAX(0,I781-IF($A817&gt;='1-Input'!$C$12,'1-Input'!$B$12,0))-MIN(MAX(M816,0),MAX(0,I781-IF($A817&gt;='1-Input'!$C$12,'1-Input'!$B$12,0))))*(1/(1-'P-Parametri'!$B$6*I817))),MAX(0,0*I781-(M816-MIN(MAX(M816,0),MAX(0,I781-IF($A817&gt;='1-Input'!$C$12,'1-Input'!$B$12,0)))))*(1/(1-'P-Parametri'!$B$6*I817))))</f>
        <v>10846.756992928691</v>
      </c>
      <c r="K817" s="18">
        <f>IF($A817&gt;('1-Input'!$B$26+3),M816,(M816-MAX(0,I781-IF($A817&gt;='1-Input'!$C$12,'1-Input'!$B$12,0))+J817*(1-'P-Parametri'!$B$6*I817))*(1+'1-Input'!$B$27))</f>
        <v>0</v>
      </c>
      <c r="L817" s="18">
        <f>IF($A817&gt;('1-Input'!$B$26+3),N816,(N816-J817)*(1+'5-Roberta'!$C$4))</f>
        <v>-91734.473373744579</v>
      </c>
      <c r="M817" s="18">
        <f>IF($A817&gt;('1-Input'!$B$26+3),K817,K817-'P-Parametri'!$B$8*(L817+K817)+MIN(MAX(L817,0),'P-Parametri'!$B$8*(L817+K817)))</f>
        <v>0</v>
      </c>
      <c r="N817" s="18">
        <f>IF($A817&gt;('1-Input'!$B$26+3),L817,L817-MIN(MAX(L817,0),'P-Parametri'!$B$8*(L817+K817)))</f>
        <v>-91551.004426997082</v>
      </c>
      <c r="O817" s="18">
        <f>IF($A817&gt;('1-Input'!$B$26+3),O816,O816-J817*(1-I817))</f>
        <v>-77968.272415626212</v>
      </c>
      <c r="P817" s="11">
        <f>IF($A817&gt;('1-Input'!$B$26+3),0,IF(U816&lt;=0,0,MAX(0,(U816-V816)/U816)))</f>
        <v>0.68436711936424022</v>
      </c>
      <c r="Q817" s="18">
        <f>IF($A817&gt;('1-Input'!$B$26+3),0,(MAX(0,P781-IF($A817&gt;='1-Input'!$C$12,'1-Input'!$B$12,0))-MIN(MAX(T816,0),MAX(0,P781-IF($A817&gt;='1-Input'!$C$12,'1-Input'!$B$12,0))))*(1/(1-'P-Parametri'!$B$6*P817))+MIN(MAX(0,U816-(MAX(0,P781-IF($A817&gt;='1-Input'!$C$12,'1-Input'!$B$12,0))-MIN(MAX(T816,0),MAX(0,P781-IF($A817&gt;='1-Input'!$C$12,'1-Input'!$B$12,0))))*(1/(1-'P-Parametri'!$B$6*P817))),MAX(0,0*P781-(T816-MIN(MAX(T816,0),MAX(0,P781-IF($A817&gt;='1-Input'!$C$12,'1-Input'!$B$12,0)))))*(1/(1-'P-Parametri'!$B$6*P817))))</f>
        <v>9395.9555772460862</v>
      </c>
      <c r="R817" s="18">
        <f>IF($A817&gt;('1-Input'!$B$26+3),T816,(T816-MAX(0,P781-IF($A817&gt;='1-Input'!$C$12,'1-Input'!$B$12,0))+Q817*(1-'P-Parametri'!$B$6*P817))*(1+'1-Input'!$B$27))</f>
        <v>-9.0622052084654565E-13</v>
      </c>
      <c r="S817" s="18">
        <f>IF($A817&gt;('1-Input'!$B$26+3),U816,(U816-Q817)*(1+'5-Roberta'!$C$4))</f>
        <v>93303.213792420196</v>
      </c>
      <c r="T817" s="18">
        <f>IF($A817&gt;('1-Input'!$B$26+3),R817,R817-'P-Parametri'!$B$8*(S817+R817)+MIN(MAX(S817,0),'P-Parametri'!$B$8*(S817+R817)))</f>
        <v>-9.0949470177292824E-13</v>
      </c>
      <c r="U817" s="18">
        <f>IF($A817&gt;('1-Input'!$B$26+3),S817,S817-MIN(MAX(S817,0),'P-Parametri'!$B$8*(S817+R817)))</f>
        <v>93116.607364835349</v>
      </c>
      <c r="V817" s="18">
        <f>IF($A817&gt;('1-Input'!$B$26+3),V816,V816-Q817*(1-P817))</f>
        <v>28591.807904733727</v>
      </c>
      <c r="W817" s="11">
        <f>IF($A817&gt;('1-Input'!$B$26+3),0,IF(AB816&lt;=0,0,MAX(0,(AB816-AC816)/AB816)))</f>
        <v>0.68436711936423988</v>
      </c>
      <c r="X817" s="18">
        <f>IF($A817&gt;('1-Input'!$B$26+3),0,(MAX(0,W781-IF($A817&gt;='1-Input'!$C$12,'1-Input'!$B$12,0))-MIN(MAX(AA816,0),MAX(0,W781-IF($A817&gt;='1-Input'!$C$12,'1-Input'!$B$12,0))))*(1/(1-'P-Parametri'!$B$6*W817))+MIN(MAX(0,AB816-(MAX(0,W781-IF($A817&gt;='1-Input'!$C$12,'1-Input'!$B$12,0))-MIN(MAX(AA816,0),MAX(0,W781-IF($A817&gt;='1-Input'!$C$12,'1-Input'!$B$12,0))))*(1/(1-'P-Parametri'!$B$6*W817))),MAX(0,0*W781-(AA816-MIN(MAX(AA816,0),MAX(0,W781-IF($A817&gt;='1-Input'!$C$12,'1-Input'!$B$12,0)))))*(1/(1-'P-Parametri'!$B$6*W817))))</f>
        <v>9083.2916908805782</v>
      </c>
      <c r="Y817" s="18">
        <f>IF($A817&gt;('1-Input'!$B$26+3),AA816,(AA816-MAX(0,W781-IF($A817&gt;='1-Input'!$C$12,'1-Input'!$B$12,0))+X817*(1-'P-Parametri'!$B$6*W817))*(1+'1-Input'!$B$27))</f>
        <v>0</v>
      </c>
      <c r="Z817" s="18">
        <f>IF($A817&gt;('1-Input'!$B$26+3),AB816,(AB816-X817)*(1+'5-Roberta'!$C$4))</f>
        <v>109973.00590120371</v>
      </c>
      <c r="AA817" s="18">
        <f>IF($A817&gt;('1-Input'!$B$26+3),Y817,Y817-'P-Parametri'!$B$8*(Z817+Y817)+MIN(MAX(Z817,0),'P-Parametri'!$B$8*(Z817+Y817)))</f>
        <v>0</v>
      </c>
      <c r="AB817" s="18">
        <f>IF($A817&gt;('1-Input'!$B$26+3),Z817,Z817-MIN(MAX(Z817,0),'P-Parametri'!$B$8*(Z817+Y817)))</f>
        <v>109753.05988940129</v>
      </c>
      <c r="AC817" s="18">
        <f>IF($A817&gt;('1-Input'!$B$26+3),AC816,AC816-X817*(1-W817))</f>
        <v>33700.093829874153</v>
      </c>
      <c r="AD817" s="11">
        <f>IF($A817&gt;('1-Input'!$B$26+3),0,IF(AI816&lt;=0,0,MAX(0,(AI816-AJ816)/AI816)))</f>
        <v>0.68436711936424022</v>
      </c>
      <c r="AE817" s="18">
        <f>IF($A817&gt;('1-Input'!$B$26+3),0,(MAX(0,AD781-IF($A817&gt;='1-Input'!$C$12,'1-Input'!$B$12,0))-MIN(MAX(AH816,0),MAX(0,AD781-IF($A817&gt;='1-Input'!$C$12,'1-Input'!$B$12,0))))*(1/(1-'P-Parametri'!$B$6*AD817))+MIN(MAX(0,AI816-(MAX(0,AD781-IF($A817&gt;='1-Input'!$C$12,'1-Input'!$B$12,0))-MIN(MAX(AH816,0),MAX(0,AD781-IF($A817&gt;='1-Input'!$C$12,'1-Input'!$B$12,0))))*(1/(1-'P-Parametri'!$B$6*AD817))),MAX(0,0*AD781-(AH816-MIN(MAX(AH816,0),MAX(0,AD781-IF($A817&gt;='1-Input'!$C$12,'1-Input'!$B$12,0)))))*(1/(1-'P-Parametri'!$B$6*AD817))))</f>
        <v>9099.4774209458647</v>
      </c>
      <c r="AF817" s="18">
        <f>IF($A817&gt;('1-Input'!$B$26+3),AH816,(AH816-MAX(0,AD781-IF($A817&gt;='1-Input'!$C$12,'1-Input'!$B$12,0))+AE817*(1-'P-Parametri'!$B$6*AD817))*(1+'1-Input'!$B$27))</f>
        <v>9.0622052084654565E-13</v>
      </c>
      <c r="AG817" s="18">
        <f>IF($A817&gt;('1-Input'!$B$26+3),AI816,(AI816-AE817)*(1+'5-Roberta'!$C$4))</f>
        <v>109110.05764563938</v>
      </c>
      <c r="AH817" s="18">
        <f>IF($A817&gt;('1-Input'!$B$26+3),AF817,AF817-'P-Parametri'!$B$8*(AG817+AF817)+MIN(MAX(AG817,0),'P-Parametri'!$B$8*(AG817+AF817)))</f>
        <v>9.0949470177292824E-13</v>
      </c>
      <c r="AI817" s="18">
        <f>IF($A817&gt;('1-Input'!$B$26+3),AG817,AG817-MIN(MAX(AG817,0),'P-Parametri'!$B$8*(AG817+AF817)))</f>
        <v>108891.8375303481</v>
      </c>
      <c r="AJ817" s="18">
        <f>IF($A817&gt;('1-Input'!$B$26+3),AJ816,AJ816-AE817*(1-AD817))</f>
        <v>33435.652234006753</v>
      </c>
      <c r="AK817" s="11">
        <f>IF($A817&gt;('1-Input'!$B$26+3),0,IF(AP816&lt;=0,0,MAX(0,(AP816-AQ816)/AP816)))</f>
        <v>0.68436711936424011</v>
      </c>
      <c r="AL817" s="18">
        <f>IF($A817&gt;('1-Input'!$B$26+3),0,(MAX(0,AK781-IF($A817&gt;='1-Input'!$C$12,'1-Input'!$B$12,0))-MIN(MAX(AO816,0),MAX(0,AK781-IF($A817&gt;='1-Input'!$C$12,'1-Input'!$B$12,0))))*(1/(1-'P-Parametri'!$B$6*AK817))+MIN(MAX(0,AP816-(MAX(0,AK781-IF($A817&gt;='1-Input'!$C$12,'1-Input'!$B$12,0))-MIN(MAX(AO816,0),MAX(0,AK781-IF($A817&gt;='1-Input'!$C$12,'1-Input'!$B$12,0))))*(1/(1-'P-Parametri'!$B$6*AK817))),MAX(0,0*AK781-(AO816-MIN(MAX(AO816,0),MAX(0,AK781-IF($A817&gt;='1-Input'!$C$12,'1-Input'!$B$12,0)))))*(1/(1-'P-Parametri'!$B$6*AK817))))</f>
        <v>9097.2575223400472</v>
      </c>
      <c r="AM817" s="18">
        <f>IF($A817&gt;('1-Input'!$B$26+3),AO816,(AO816-MAX(0,AK781-IF($A817&gt;='1-Input'!$C$12,'1-Input'!$B$12,0))+AL817*(1-'P-Parametri'!$B$6*AK817))*(1+'1-Input'!$B$27))</f>
        <v>0</v>
      </c>
      <c r="AN817" s="18">
        <f>IF($A817&gt;('1-Input'!$B$26+3),AP816,(AP816-AL817)*(1+'5-Roberta'!$C$4))</f>
        <v>109228.41237055391</v>
      </c>
      <c r="AO817" s="18">
        <f>IF($A817&gt;('1-Input'!$B$26+3),AM817,AM817-'P-Parametri'!$B$8*(AN817+AM817)+MIN(MAX(AN817,0),'P-Parametri'!$B$8*(AN817+AM817)))</f>
        <v>0</v>
      </c>
      <c r="AP817" s="18">
        <f>IF($A817&gt;('1-Input'!$B$26+3),AN817,AN817-MIN(MAX(AN817,0),'P-Parametri'!$B$8*(AN817+AM817)))</f>
        <v>109009.9555458128</v>
      </c>
      <c r="AQ817" s="18">
        <f>IF($A817&gt;('1-Input'!$B$26+3),AQ816,AQ816-AL817*(1-AK817))</f>
        <v>33471.920819212246</v>
      </c>
    </row>
    <row r="818" spans="1:43">
      <c r="A818" s="10">
        <f>35</f>
        <v>35</v>
      </c>
      <c r="B818" s="11">
        <f>IF($A818&gt;('1-Input'!$B$26+3),0,IF(G817&lt;=0,0,MAX(0,(G817-H817)/G817)))</f>
        <v>0.69294620246730332</v>
      </c>
      <c r="C818" s="18">
        <f>IF($A818&gt;('1-Input'!$B$26+3),0,(MAX(0,B781-IF($A818&gt;='1-Input'!$C$12,'1-Input'!$B$12,0))-MIN(MAX(F817,0),MAX(0,B781-IF($A818&gt;='1-Input'!$C$12,'1-Input'!$B$12,0))))*(1/(1-'P-Parametri'!$B$6*B818))+MIN(MAX(0,G817-(MAX(0,B781-IF($A818&gt;='1-Input'!$C$12,'1-Input'!$B$12,0))-MIN(MAX(F817,0),MAX(0,B781-IF($A818&gt;='1-Input'!$C$12,'1-Input'!$B$12,0))))*(1/(1-'P-Parametri'!$B$6*B818))),MAX(0,0*B781-(F817-MIN(MAX(F817,0),MAX(0,B781-IF($A818&gt;='1-Input'!$C$12,'1-Input'!$B$12,0)))))*(1/(1-'P-Parametri'!$B$6*B818))))</f>
        <v>6805.10371691405</v>
      </c>
      <c r="D818" s="18">
        <f>IF($A818&gt;('1-Input'!$B$26+3),F817,(F817-MAX(0,B781-IF($A818&gt;='1-Input'!$C$12,'1-Input'!$B$12,0))+C818*(1-'P-Parametri'!$B$6*B818))*(1+'1-Input'!$B$27))</f>
        <v>0</v>
      </c>
      <c r="E818" s="18">
        <f>IF($A818&gt;('1-Input'!$B$26+3),G817,(G817-C818)*(1+'5-Roberta'!$C$4))</f>
        <v>231904.45978887315</v>
      </c>
      <c r="F818" s="18">
        <f>IF($A818&gt;('1-Input'!$B$26+3),D818,D818-'P-Parametri'!$B$8*(E818+D818)+MIN(MAX(E818,0),'P-Parametri'!$B$8*(E818+D818)))</f>
        <v>0</v>
      </c>
      <c r="G818" s="18">
        <f>IF($A818&gt;('1-Input'!$B$26+3),E818,E818-MIN(MAX(E818,0),'P-Parametri'!$B$8*(E818+D818)))</f>
        <v>231440.65086929541</v>
      </c>
      <c r="H818" s="18">
        <f>IF($A818&gt;('1-Input'!$B$26+3),H817,H817-C818*(1-B818))</f>
        <v>69133.150527128208</v>
      </c>
      <c r="I818" s="11">
        <f>IF($A818&gt;('1-Input'!$B$26+3),0,IF(N817&lt;=0,0,MAX(0,(N817-O817)/N817)))</f>
        <v>0</v>
      </c>
      <c r="J818" s="18">
        <f>IF($A818&gt;('1-Input'!$B$26+3),0,(MAX(0,I781-IF($A818&gt;='1-Input'!$C$12,'1-Input'!$B$12,0))-MIN(MAX(M817,0),MAX(0,I781-IF($A818&gt;='1-Input'!$C$12,'1-Input'!$B$12,0))))*(1/(1-'P-Parametri'!$B$6*I818))+MIN(MAX(0,N817-(MAX(0,I781-IF($A818&gt;='1-Input'!$C$12,'1-Input'!$B$12,0))-MIN(MAX(M817,0),MAX(0,I781-IF($A818&gt;='1-Input'!$C$12,'1-Input'!$B$12,0))))*(1/(1-'P-Parametri'!$B$6*I818))),MAX(0,0*I781-(M817-MIN(MAX(M817,0),MAX(0,I781-IF($A818&gt;='1-Input'!$C$12,'1-Input'!$B$12,0)))))*(1/(1-'P-Parametri'!$B$6*I818))))</f>
        <v>10846.756992928691</v>
      </c>
      <c r="K818" s="18">
        <f>IF($A818&gt;('1-Input'!$B$26+3),M817,(M817-MAX(0,I781-IF($A818&gt;='1-Input'!$C$12,'1-Input'!$B$12,0))+J818*(1-'P-Parametri'!$B$6*I818))*(1+'1-Input'!$B$27))</f>
        <v>0</v>
      </c>
      <c r="L818" s="18">
        <f>IF($A818&gt;('1-Input'!$B$26+3),N817,(N817-J818)*(1+'5-Roberta'!$C$4))</f>
        <v>-105469.69426252355</v>
      </c>
      <c r="M818" s="18">
        <f>IF($A818&gt;('1-Input'!$B$26+3),K818,K818-'P-Parametri'!$B$8*(L818+K818)+MIN(MAX(L818,0),'P-Parametri'!$B$8*(L818+K818)))</f>
        <v>0</v>
      </c>
      <c r="N818" s="18">
        <f>IF($A818&gt;('1-Input'!$B$26+3),L818,L818-MIN(MAX(L818,0),'P-Parametri'!$B$8*(L818+K818)))</f>
        <v>-105258.75487399851</v>
      </c>
      <c r="O818" s="18">
        <f>IF($A818&gt;('1-Input'!$B$26+3),O817,O817-J818*(1-I818))</f>
        <v>-88815.029408554896</v>
      </c>
      <c r="P818" s="11">
        <f>IF($A818&gt;('1-Input'!$B$26+3),0,IF(U817&lt;=0,0,MAX(0,(U817-V817)/U817)))</f>
        <v>0.69294620246730376</v>
      </c>
      <c r="Q818" s="18">
        <f>IF($A818&gt;('1-Input'!$B$26+3),0,(MAX(0,P781-IF($A818&gt;='1-Input'!$C$12,'1-Input'!$B$12,0))-MIN(MAX(T817,0),MAX(0,P781-IF($A818&gt;='1-Input'!$C$12,'1-Input'!$B$12,0))))*(1/(1-'P-Parametri'!$B$6*P818))+MIN(MAX(0,U817-(MAX(0,P781-IF($A818&gt;='1-Input'!$C$12,'1-Input'!$B$12,0))-MIN(MAX(T817,0),MAX(0,P781-IF($A818&gt;='1-Input'!$C$12,'1-Input'!$B$12,0))))*(1/(1-'P-Parametri'!$B$6*P818))),MAX(0,0*P781-(T817-MIN(MAX(T817,0),MAX(0,P781-IF($A818&gt;='1-Input'!$C$12,'1-Input'!$B$12,0)))))*(1/(1-'P-Parametri'!$B$6*P818))))</f>
        <v>9421.5196037355217</v>
      </c>
      <c r="R818" s="18">
        <f>IF($A818&gt;('1-Input'!$B$26+3),T817,(T817-MAX(0,P781-IF($A818&gt;='1-Input'!$C$12,'1-Input'!$B$12,0))+Q818*(1-'P-Parametri'!$B$6*P818))*(1+'1-Input'!$B$27))</f>
        <v>9.0622052084654565E-13</v>
      </c>
      <c r="S818" s="18">
        <f>IF($A818&gt;('1-Input'!$B$26+3),U817,(U817-Q818)*(1+'5-Roberta'!$C$4))</f>
        <v>86205.940393932819</v>
      </c>
      <c r="T818" s="18">
        <f>IF($A818&gt;('1-Input'!$B$26+3),R818,R818-'P-Parametri'!$B$8*(S818+R818)+MIN(MAX(S818,0),'P-Parametri'!$B$8*(S818+R818)))</f>
        <v>9.0949470177292824E-13</v>
      </c>
      <c r="U818" s="18">
        <f>IF($A818&gt;('1-Input'!$B$26+3),S818,S818-MIN(MAX(S818,0),'P-Parametri'!$B$8*(S818+R818)))</f>
        <v>86033.528513144949</v>
      </c>
      <c r="V818" s="18">
        <f>IF($A818&gt;('1-Input'!$B$26+3),V817,V817-Q818*(1-P818))</f>
        <v>25698.894531877992</v>
      </c>
      <c r="W818" s="11">
        <f>IF($A818&gt;('1-Input'!$B$26+3),0,IF(AB817&lt;=0,0,MAX(0,(AB817-AC817)/AB817)))</f>
        <v>0.69294620246730332</v>
      </c>
      <c r="X818" s="18">
        <f>IF($A818&gt;('1-Input'!$B$26+3),0,(MAX(0,W781-IF($A818&gt;='1-Input'!$C$12,'1-Input'!$B$12,0))-MIN(MAX(AA817,0),MAX(0,W781-IF($A818&gt;='1-Input'!$C$12,'1-Input'!$B$12,0))))*(1/(1-'P-Parametri'!$B$6*W818))+MIN(MAX(0,AB817-(MAX(0,W781-IF($A818&gt;='1-Input'!$C$12,'1-Input'!$B$12,0))-MIN(MAX(AA817,0),MAX(0,W781-IF($A818&gt;='1-Input'!$C$12,'1-Input'!$B$12,0))))*(1/(1-'P-Parametri'!$B$6*W818))),MAX(0,0*W781-(AA817-MIN(MAX(AA817,0),MAX(0,W781-IF($A818&gt;='1-Input'!$C$12,'1-Input'!$B$12,0)))))*(1/(1-'P-Parametri'!$B$6*W818))))</f>
        <v>9108.005037754976</v>
      </c>
      <c r="Y818" s="18">
        <f>IF($A818&gt;('1-Input'!$B$26+3),AA817,(AA817-MAX(0,W781-IF($A818&gt;='1-Input'!$C$12,'1-Input'!$B$12,0))+X818*(1-'P-Parametri'!$B$6*W818))*(1+'1-Input'!$B$27))</f>
        <v>-9.0622052084654565E-13</v>
      </c>
      <c r="Z818" s="18">
        <f>IF($A818&gt;('1-Input'!$B$26+3),AB817,(AB817-X818)*(1+'5-Roberta'!$C$4))</f>
        <v>103664.40649719571</v>
      </c>
      <c r="AA818" s="18">
        <f>IF($A818&gt;('1-Input'!$B$26+3),Y818,Y818-'P-Parametri'!$B$8*(Z818+Y818)+MIN(MAX(Z818,0),'P-Parametri'!$B$8*(Z818+Y818)))</f>
        <v>-9.0949470177292824E-13</v>
      </c>
      <c r="AB818" s="18">
        <f>IF($A818&gt;('1-Input'!$B$26+3),Z818,Z818-MIN(MAX(Z818,0),'P-Parametri'!$B$8*(Z818+Y818)))</f>
        <v>103457.07768420131</v>
      </c>
      <c r="AC818" s="18">
        <f>IF($A818&gt;('1-Input'!$B$26+3),AC817,AC817-X818*(1-W818))</f>
        <v>30903.446295084555</v>
      </c>
      <c r="AD818" s="11">
        <f>IF($A818&gt;('1-Input'!$B$26+3),0,IF(AI817&lt;=0,0,MAX(0,(AI817-AJ817)/AI817)))</f>
        <v>0.69294620246730376</v>
      </c>
      <c r="AE818" s="18">
        <f>IF($A818&gt;('1-Input'!$B$26+3),0,(MAX(0,AD781-IF($A818&gt;='1-Input'!$C$12,'1-Input'!$B$12,0))-MIN(MAX(AH817,0),MAX(0,AD781-IF($A818&gt;='1-Input'!$C$12,'1-Input'!$B$12,0))))*(1/(1-'P-Parametri'!$B$6*AD818))+MIN(MAX(0,AI817-(MAX(0,AD781-IF($A818&gt;='1-Input'!$C$12,'1-Input'!$B$12,0))-MIN(MAX(AH817,0),MAX(0,AD781-IF($A818&gt;='1-Input'!$C$12,'1-Input'!$B$12,0))))*(1/(1-'P-Parametri'!$B$6*AD818))),MAX(0,0*AD781-(AH817-MIN(MAX(AH817,0),MAX(0,AD781-IF($A818&gt;='1-Input'!$C$12,'1-Input'!$B$12,0)))))*(1/(1-'P-Parametri'!$B$6*AD818))))</f>
        <v>9124.2348051114914</v>
      </c>
      <c r="AF818" s="18">
        <f>IF($A818&gt;('1-Input'!$B$26+3),AH817,(AH817-MAX(0,AD781-IF($A818&gt;='1-Input'!$C$12,'1-Input'!$B$12,0))+AE818*(1-'P-Parametri'!$B$6*AD818))*(1+'1-Input'!$B$27))</f>
        <v>0</v>
      </c>
      <c r="AG818" s="18">
        <f>IF($A818&gt;('1-Input'!$B$26+3),AI817,(AI817-AE818)*(1+'5-Roberta'!$C$4))</f>
        <v>102760.63080699371</v>
      </c>
      <c r="AH818" s="18">
        <f>IF($A818&gt;('1-Input'!$B$26+3),AF818,AF818-'P-Parametri'!$B$8*(AG818+AF818)+MIN(MAX(AG818,0),'P-Parametri'!$B$8*(AG818+AF818)))</f>
        <v>0</v>
      </c>
      <c r="AI818" s="18">
        <f>IF($A818&gt;('1-Input'!$B$26+3),AG818,AG818-MIN(MAX(AG818,0),'P-Parametri'!$B$8*(AG818+AF818)))</f>
        <v>102555.10954537972</v>
      </c>
      <c r="AJ818" s="18">
        <f>IF($A818&gt;('1-Input'!$B$26+3),AJ817,AJ817-AE818*(1-AD818))</f>
        <v>30634.021287517269</v>
      </c>
      <c r="AK818" s="11">
        <f>IF($A818&gt;('1-Input'!$B$26+3),0,IF(AP817&lt;=0,0,MAX(0,(AP817-AQ817)/AP817)))</f>
        <v>0.69294620246730354</v>
      </c>
      <c r="AL818" s="18">
        <f>IF($A818&gt;('1-Input'!$B$26+3),0,(MAX(0,AK781-IF($A818&gt;='1-Input'!$C$12,'1-Input'!$B$12,0))-MIN(MAX(AO817,0),MAX(0,AK781-IF($A818&gt;='1-Input'!$C$12,'1-Input'!$B$12,0))))*(1/(1-'P-Parametri'!$B$6*AK818))+MIN(MAX(0,AP817-(MAX(0,AK781-IF($A818&gt;='1-Input'!$C$12,'1-Input'!$B$12,0))-MIN(MAX(AO817,0),MAX(0,AK781-IF($A818&gt;='1-Input'!$C$12,'1-Input'!$B$12,0))))*(1/(1-'P-Parametri'!$B$6*AK818))),MAX(0,0*AK781-(AO817-MIN(MAX(AO817,0),MAX(0,AK781-IF($A818&gt;='1-Input'!$C$12,'1-Input'!$B$12,0)))))*(1/(1-'P-Parametri'!$B$6*AK818))))</f>
        <v>9122.0088667211839</v>
      </c>
      <c r="AM818" s="18">
        <f>IF($A818&gt;('1-Input'!$B$26+3),AO817,(AO817-MAX(0,AK781-IF($A818&gt;='1-Input'!$C$12,'1-Input'!$B$12,0))+AL818*(1-'P-Parametri'!$B$6*AK818))*(1+'1-Input'!$B$27))</f>
        <v>-9.0622052084654565E-13</v>
      </c>
      <c r="AN818" s="18">
        <f>IF($A818&gt;('1-Input'!$B$26+3),AP817,(AP817-AL818)*(1+'5-Roberta'!$C$4))</f>
        <v>102884.58507946438</v>
      </c>
      <c r="AO818" s="18">
        <f>IF($A818&gt;('1-Input'!$B$26+3),AM818,AM818-'P-Parametri'!$B$8*(AN818+AM818)+MIN(MAX(AN818,0),'P-Parametri'!$B$8*(AN818+AM818)))</f>
        <v>-9.0949470177292824E-13</v>
      </c>
      <c r="AP818" s="18">
        <f>IF($A818&gt;('1-Input'!$B$26+3),AN818,AN818-MIN(MAX(AN818,0),'P-Parametri'!$B$8*(AN818+AM818)))</f>
        <v>102678.81590930544</v>
      </c>
      <c r="AQ818" s="18">
        <f>IF($A818&gt;('1-Input'!$B$26+3),AQ817,AQ817-AL818*(1-AK818))</f>
        <v>30670.973355558577</v>
      </c>
    </row>
    <row r="819" spans="1:43">
      <c r="A819" s="10">
        <f>36</f>
        <v>36</v>
      </c>
      <c r="B819" s="11">
        <f>IF($A819&gt;('1-Input'!$B$26+3),0,IF(G818&lt;=0,0,MAX(0,(G818-H818)/G818)))</f>
        <v>0.70129210116086871</v>
      </c>
      <c r="C819" s="18">
        <f>IF($A819&gt;('1-Input'!$B$26+3),0,(MAX(0,B781-IF($A819&gt;='1-Input'!$C$12,'1-Input'!$B$12,0))-MIN(MAX(F818,0),MAX(0,B781-IF($A819&gt;='1-Input'!$C$12,'1-Input'!$B$12,0))))*(1/(1-'P-Parametri'!$B$6*B819))+MIN(MAX(0,G818-(MAX(0,B781-IF($A819&gt;='1-Input'!$C$12,'1-Input'!$B$12,0))-MIN(MAX(F818,0),MAX(0,B781-IF($A819&gt;='1-Input'!$C$12,'1-Input'!$B$12,0))))*(1/(1-'P-Parametri'!$B$6*B819))),MAX(0,0*B781-(F818-MIN(MAX(F818,0),MAX(0,B781-IF($A819&gt;='1-Input'!$C$12,'1-Input'!$B$12,0)))))*(1/(1-'P-Parametri'!$B$6*B819))))</f>
        <v>6823.1632409331896</v>
      </c>
      <c r="D819" s="18">
        <f>IF($A819&gt;('1-Input'!$B$26+3),F818,(F818-MAX(0,B781-IF($A819&gt;='1-Input'!$C$12,'1-Input'!$B$12,0))+C819*(1-'P-Parametri'!$B$6*B819))*(1+'1-Input'!$B$27))</f>
        <v>9.0622052084654565E-13</v>
      </c>
      <c r="E819" s="18">
        <f>IF($A819&gt;('1-Input'!$B$26+3),G818,(G818-C819)*(1+'5-Roberta'!$C$4))</f>
        <v>231356.01225721309</v>
      </c>
      <c r="F819" s="18">
        <f>IF($A819&gt;('1-Input'!$B$26+3),D819,D819-'P-Parametri'!$B$8*(E819+D819)+MIN(MAX(E819,0),'P-Parametri'!$B$8*(E819+D819)))</f>
        <v>9.0949470177292824E-13</v>
      </c>
      <c r="G819" s="18">
        <f>IF($A819&gt;('1-Input'!$B$26+3),E819,E819-MIN(MAX(E819,0),'P-Parametri'!$B$8*(E819+D819)))</f>
        <v>230893.30023269868</v>
      </c>
      <c r="H819" s="18">
        <f>IF($A819&gt;('1-Input'!$B$26+3),H818,H818-C819*(1-B819))</f>
        <v>67095.017771992658</v>
      </c>
      <c r="I819" s="11">
        <f>IF($A819&gt;('1-Input'!$B$26+3),0,IF(N818&lt;=0,0,MAX(0,(N818-O818)/N818)))</f>
        <v>0</v>
      </c>
      <c r="J819" s="18">
        <f>IF($A819&gt;('1-Input'!$B$26+3),0,(MAX(0,I781-IF($A819&gt;='1-Input'!$C$12,'1-Input'!$B$12,0))-MIN(MAX(M818,0),MAX(0,I781-IF($A819&gt;='1-Input'!$C$12,'1-Input'!$B$12,0))))*(1/(1-'P-Parametri'!$B$6*I819))+MIN(MAX(0,N818-(MAX(0,I781-IF($A819&gt;='1-Input'!$C$12,'1-Input'!$B$12,0))-MIN(MAX(M818,0),MAX(0,I781-IF($A819&gt;='1-Input'!$C$12,'1-Input'!$B$12,0))))*(1/(1-'P-Parametri'!$B$6*I819))),MAX(0,0*I781-(M818-MIN(MAX(M818,0),MAX(0,I781-IF($A819&gt;='1-Input'!$C$12,'1-Input'!$B$12,0)))))*(1/(1-'P-Parametri'!$B$6*I819))))</f>
        <v>10846.756992928691</v>
      </c>
      <c r="K819" s="18">
        <f>IF($A819&gt;('1-Input'!$B$26+3),M818,(M818-MAX(0,I781-IF($A819&gt;='1-Input'!$C$12,'1-Input'!$B$12,0))+J819*(1-'P-Parametri'!$B$6*I819))*(1+'1-Input'!$B$27))</f>
        <v>0</v>
      </c>
      <c r="L819" s="18">
        <f>IF($A819&gt;('1-Input'!$B$26+3),N818,(N818-J819)*(1+'5-Roberta'!$C$4))</f>
        <v>-119588.67722293502</v>
      </c>
      <c r="M819" s="18">
        <f>IF($A819&gt;('1-Input'!$B$26+3),K819,K819-'P-Parametri'!$B$8*(L819+K819)+MIN(MAX(L819,0),'P-Parametri'!$B$8*(L819+K819)))</f>
        <v>0</v>
      </c>
      <c r="N819" s="18">
        <f>IF($A819&gt;('1-Input'!$B$26+3),L819,L819-MIN(MAX(L819,0),'P-Parametri'!$B$8*(L819+K819)))</f>
        <v>-119349.49986848915</v>
      </c>
      <c r="O819" s="18">
        <f>IF($A819&gt;('1-Input'!$B$26+3),O818,O818-J819*(1-I819))</f>
        <v>-99661.78640148358</v>
      </c>
      <c r="P819" s="11">
        <f>IF($A819&gt;('1-Input'!$B$26+3),0,IF(U818&lt;=0,0,MAX(0,(U818-V818)/U818)))</f>
        <v>0.70129210116086904</v>
      </c>
      <c r="Q819" s="18">
        <f>IF($A819&gt;('1-Input'!$B$26+3),0,(MAX(0,P781-IF($A819&gt;='1-Input'!$C$12,'1-Input'!$B$12,0))-MIN(MAX(T818,0),MAX(0,P781-IF($A819&gt;='1-Input'!$C$12,'1-Input'!$B$12,0))))*(1/(1-'P-Parametri'!$B$6*P819))+MIN(MAX(0,U818-(MAX(0,P781-IF($A819&gt;='1-Input'!$C$12,'1-Input'!$B$12,0))-MIN(MAX(T818,0),MAX(0,P781-IF($A819&gt;='1-Input'!$C$12,'1-Input'!$B$12,0))))*(1/(1-'P-Parametri'!$B$6*P819))),MAX(0,0*P781-(T818-MIN(MAX(T818,0),MAX(0,P781-IF($A819&gt;='1-Input'!$C$12,'1-Input'!$B$12,0)))))*(1/(1-'P-Parametri'!$B$6*P819))))</f>
        <v>9446.5226259756564</v>
      </c>
      <c r="R819" s="18">
        <f>IF($A819&gt;('1-Input'!$B$26+3),T818,(T818-MAX(0,P781-IF($A819&gt;='1-Input'!$C$12,'1-Input'!$B$12,0))+Q819*(1-'P-Parametri'!$B$6*P819))*(1+'1-Input'!$B$27))</f>
        <v>9.0622052084654565E-13</v>
      </c>
      <c r="S819" s="18">
        <f>IF($A819&gt;('1-Input'!$B$26+3),U818,(U818-Q819)*(1+'5-Roberta'!$C$4))</f>
        <v>78884.616063784371</v>
      </c>
      <c r="T819" s="18">
        <f>IF($A819&gt;('1-Input'!$B$26+3),R819,R819-'P-Parametri'!$B$8*(S819+R819)+MIN(MAX(S819,0),'P-Parametri'!$B$8*(S819+R819)))</f>
        <v>9.0949470177292824E-13</v>
      </c>
      <c r="U819" s="18">
        <f>IF($A819&gt;('1-Input'!$B$26+3),S819,S819-MIN(MAX(S819,0),'P-Parametri'!$B$8*(S819+R819)))</f>
        <v>78726.846831656803</v>
      </c>
      <c r="V819" s="18">
        <f>IF($A819&gt;('1-Input'!$B$26+3),V818,V818-Q819*(1-P819))</f>
        <v>22877.143606936494</v>
      </c>
      <c r="W819" s="11">
        <f>IF($A819&gt;('1-Input'!$B$26+3),0,IF(AB818&lt;=0,0,MAX(0,(AB818-AC818)/AB818)))</f>
        <v>0.7012921011608686</v>
      </c>
      <c r="X819" s="18">
        <f>IF($A819&gt;('1-Input'!$B$26+3),0,(MAX(0,W781-IF($A819&gt;='1-Input'!$C$12,'1-Input'!$B$12,0))-MIN(MAX(AA818,0),MAX(0,W781-IF($A819&gt;='1-Input'!$C$12,'1-Input'!$B$12,0))))*(1/(1-'P-Parametri'!$B$6*W819))+MIN(MAX(0,AB818-(MAX(0,W781-IF($A819&gt;='1-Input'!$C$12,'1-Input'!$B$12,0))-MIN(MAX(AA818,0),MAX(0,W781-IF($A819&gt;='1-Input'!$C$12,'1-Input'!$B$12,0))))*(1/(1-'P-Parametri'!$B$6*W819))),MAX(0,0*W781-(AA818-MIN(MAX(AA818,0),MAX(0,W781-IF($A819&gt;='1-Input'!$C$12,'1-Input'!$B$12,0)))))*(1/(1-'P-Parametri'!$B$6*W819))))</f>
        <v>9132.1760486004023</v>
      </c>
      <c r="Y819" s="18">
        <f>IF($A819&gt;('1-Input'!$B$26+3),AA818,(AA818-MAX(0,W781-IF($A819&gt;='1-Input'!$C$12,'1-Input'!$B$12,0))+X819*(1-'P-Parametri'!$B$6*W819))*(1+'1-Input'!$B$27))</f>
        <v>0</v>
      </c>
      <c r="Z819" s="18">
        <f>IF($A819&gt;('1-Input'!$B$26+3),AB818,(AB818-X819)*(1+'5-Roberta'!$C$4))</f>
        <v>97154.648684668937</v>
      </c>
      <c r="AA819" s="18">
        <f>IF($A819&gt;('1-Input'!$B$26+3),Y819,Y819-'P-Parametri'!$B$8*(Z819+Y819)+MIN(MAX(Z819,0),'P-Parametri'!$B$8*(Z819+Y819)))</f>
        <v>0</v>
      </c>
      <c r="AB819" s="18">
        <f>IF($A819&gt;('1-Input'!$B$26+3),Z819,Z819-MIN(MAX(Z819,0),'P-Parametri'!$B$8*(Z819+Y819)))</f>
        <v>96960.339387299595</v>
      </c>
      <c r="AC819" s="18">
        <f>IF($A819&gt;('1-Input'!$B$26+3),AC818,AC818-X819*(1-W819))</f>
        <v>28175.593175778089</v>
      </c>
      <c r="AD819" s="11">
        <f>IF($A819&gt;('1-Input'!$B$26+3),0,IF(AI818&lt;=0,0,MAX(0,(AI818-AJ818)/AI818)))</f>
        <v>0.70129210116086904</v>
      </c>
      <c r="AE819" s="18">
        <f>IF($A819&gt;('1-Input'!$B$26+3),0,(MAX(0,AD781-IF($A819&gt;='1-Input'!$C$12,'1-Input'!$B$12,0))-MIN(MAX(AH818,0),MAX(0,AD781-IF($A819&gt;='1-Input'!$C$12,'1-Input'!$B$12,0))))*(1/(1-'P-Parametri'!$B$6*AD819))+MIN(MAX(0,AI818-(MAX(0,AD781-IF($A819&gt;='1-Input'!$C$12,'1-Input'!$B$12,0))-MIN(MAX(AH818,0),MAX(0,AD781-IF($A819&gt;='1-Input'!$C$12,'1-Input'!$B$12,0))))*(1/(1-'P-Parametri'!$B$6*AD819))),MAX(0,0*AD781-(AH818-MIN(MAX(AH818,0),MAX(0,AD781-IF($A819&gt;='1-Input'!$C$12,'1-Input'!$B$12,0)))))*(1/(1-'P-Parametri'!$B$6*AD819))))</f>
        <v>9148.4488868468834</v>
      </c>
      <c r="AF819" s="18">
        <f>IF($A819&gt;('1-Input'!$B$26+3),AH818,(AH818-MAX(0,AD781-IF($A819&gt;='1-Input'!$C$12,'1-Input'!$B$12,0))+AE819*(1-'P-Parametri'!$B$6*AD819))*(1+'1-Input'!$B$27))</f>
        <v>9.0622052084654565E-13</v>
      </c>
      <c r="AG819" s="18">
        <f>IF($A819&gt;('1-Input'!$B$26+3),AI818,(AI818-AE819)*(1+'5-Roberta'!$C$4))</f>
        <v>96208.860478288829</v>
      </c>
      <c r="AH819" s="18">
        <f>IF($A819&gt;('1-Input'!$B$26+3),AF819,AF819-'P-Parametri'!$B$8*(AG819+AF819)+MIN(MAX(AG819,0),'P-Parametri'!$B$8*(AG819+AF819)))</f>
        <v>9.0949470177292824E-13</v>
      </c>
      <c r="AI819" s="18">
        <f>IF($A819&gt;('1-Input'!$B$26+3),AG819,AG819-MIN(MAX(AG819,0),'P-Parametri'!$B$8*(AG819+AF819)))</f>
        <v>96016.442757332246</v>
      </c>
      <c r="AJ819" s="18">
        <f>IF($A819&gt;('1-Input'!$B$26+3),AJ818,AJ818-AE819*(1-AD819))</f>
        <v>27901.30734289005</v>
      </c>
      <c r="AK819" s="11">
        <f>IF($A819&gt;('1-Input'!$B$26+3),0,IF(AP818&lt;=0,0,MAX(0,(AP818-AQ818)/AP818)))</f>
        <v>0.70129210116086882</v>
      </c>
      <c r="AL819" s="18">
        <f>IF($A819&gt;('1-Input'!$B$26+3),0,(MAX(0,AK781-IF($A819&gt;='1-Input'!$C$12,'1-Input'!$B$12,0))-MIN(MAX(AO818,0),MAX(0,AK781-IF($A819&gt;='1-Input'!$C$12,'1-Input'!$B$12,0))))*(1/(1-'P-Parametri'!$B$6*AK819))+MIN(MAX(0,AP818-(MAX(0,AK781-IF($A819&gt;='1-Input'!$C$12,'1-Input'!$B$12,0))-MIN(MAX(AO818,0),MAX(0,AK781-IF($A819&gt;='1-Input'!$C$12,'1-Input'!$B$12,0))))*(1/(1-'P-Parametri'!$B$6*AK819))),MAX(0,0*AK781-(AO818-MIN(MAX(AO818,0),MAX(0,AK781-IF($A819&gt;='1-Input'!$C$12,'1-Input'!$B$12,0)))))*(1/(1-'P-Parametri'!$B$6*AK819))))</f>
        <v>9146.2170412155574</v>
      </c>
      <c r="AM819" s="18">
        <f>IF($A819&gt;('1-Input'!$B$26+3),AO818,(AO818-MAX(0,AK781-IF($A819&gt;='1-Input'!$C$12,'1-Input'!$B$12,0))+AL819*(1-'P-Parametri'!$B$6*AK819))*(1+'1-Input'!$B$27))</f>
        <v>9.0622052084654565E-13</v>
      </c>
      <c r="AN819" s="18">
        <f>IF($A819&gt;('1-Input'!$B$26+3),AP818,(AP818-AL819)*(1+'5-Roberta'!$C$4))</f>
        <v>96338.576834132589</v>
      </c>
      <c r="AO819" s="18">
        <f>IF($A819&gt;('1-Input'!$B$26+3),AM819,AM819-'P-Parametri'!$B$8*(AN819+AM819)+MIN(MAX(AN819,0),'P-Parametri'!$B$8*(AN819+AM819)))</f>
        <v>9.0949470177292824E-13</v>
      </c>
      <c r="AP819" s="18">
        <f>IF($A819&gt;('1-Input'!$B$26+3),AN819,AN819-MIN(MAX(AN819,0),'P-Parametri'!$B$8*(AN819+AM819)))</f>
        <v>96145.899680464325</v>
      </c>
      <c r="AQ819" s="18">
        <f>IF($A819&gt;('1-Input'!$B$26+3),AQ818,AQ818-AL819*(1-AK819))</f>
        <v>27938.926080850422</v>
      </c>
    </row>
    <row r="820" spans="1:43">
      <c r="A820" s="10">
        <f>37</f>
        <v>37</v>
      </c>
      <c r="B820" s="11">
        <f>IF($A820&gt;('1-Input'!$B$26+3),0,IF(G819&lt;=0,0,MAX(0,(G819-H819)/G819)))</f>
        <v>0.70941115353120676</v>
      </c>
      <c r="C820" s="18">
        <f>IF($A820&gt;('1-Input'!$B$26+3),0,(MAX(0,B781-IF($A820&gt;='1-Input'!$C$12,'1-Input'!$B$12,0))-MIN(MAX(F819,0),MAX(0,B781-IF($A820&gt;='1-Input'!$C$12,'1-Input'!$B$12,0))))*(1/(1-'P-Parametri'!$B$6*B820))+MIN(MAX(0,G819-(MAX(0,B781-IF($A820&gt;='1-Input'!$C$12,'1-Input'!$B$12,0))-MIN(MAX(F819,0),MAX(0,B781-IF($A820&gt;='1-Input'!$C$12,'1-Input'!$B$12,0))))*(1/(1-'P-Parametri'!$B$6*B820))),MAX(0,0*B781-(F819-MIN(MAX(F819,0),MAX(0,B781-IF($A820&gt;='1-Input'!$C$12,'1-Input'!$B$12,0)))))*(1/(1-'P-Parametri'!$B$6*B820))))</f>
        <v>6840.8241156408239</v>
      </c>
      <c r="D820" s="18">
        <f>IF($A820&gt;('1-Input'!$B$26+3),F819,(F819-MAX(0,B781-IF($A820&gt;='1-Input'!$C$12,'1-Input'!$B$12,0))+C820*(1-'P-Parametri'!$B$6*B820))*(1+'1-Input'!$B$27))</f>
        <v>0</v>
      </c>
      <c r="E820" s="18">
        <f>IF($A820&gt;('1-Input'!$B$26+3),G819,(G819-C820)*(1+'5-Roberta'!$C$4))</f>
        <v>230774.05040056957</v>
      </c>
      <c r="F820" s="18">
        <f>IF($A820&gt;('1-Input'!$B$26+3),D820,D820-'P-Parametri'!$B$8*(E820+D820)+MIN(MAX(E820,0),'P-Parametri'!$B$8*(E820+D820)))</f>
        <v>0</v>
      </c>
      <c r="G820" s="18">
        <f>IF($A820&gt;('1-Input'!$B$26+3),E820,E820-MIN(MAX(E820,0),'P-Parametri'!$B$8*(E820+D820)))</f>
        <v>230312.50229976844</v>
      </c>
      <c r="H820" s="18">
        <f>IF($A820&gt;('1-Input'!$B$26+3),H819,H819-C820*(1-B820))</f>
        <v>65107.150583332688</v>
      </c>
      <c r="I820" s="11">
        <f>IF($A820&gt;('1-Input'!$B$26+3),0,IF(N819&lt;=0,0,MAX(0,(N819-O819)/N819)))</f>
        <v>0</v>
      </c>
      <c r="J820" s="18">
        <f>IF($A820&gt;('1-Input'!$B$26+3),0,(MAX(0,I781-IF($A820&gt;='1-Input'!$C$12,'1-Input'!$B$12,0))-MIN(MAX(M819,0),MAX(0,I781-IF($A820&gt;='1-Input'!$C$12,'1-Input'!$B$12,0))))*(1/(1-'P-Parametri'!$B$6*I820))+MIN(MAX(0,N819-(MAX(0,I781-IF($A820&gt;='1-Input'!$C$12,'1-Input'!$B$12,0))-MIN(MAX(M819,0),MAX(0,I781-IF($A820&gt;='1-Input'!$C$12,'1-Input'!$B$12,0))))*(1/(1-'P-Parametri'!$B$6*I820))),MAX(0,0*I781-(M819-MIN(MAX(M819,0),MAX(0,I781-IF($A820&gt;='1-Input'!$C$12,'1-Input'!$B$12,0)))))*(1/(1-'P-Parametri'!$B$6*I820))))</f>
        <v>10846.756992928691</v>
      </c>
      <c r="K820" s="18">
        <f>IF($A820&gt;('1-Input'!$B$26+3),M819,(M819-MAX(0,I781-IF($A820&gt;='1-Input'!$C$12,'1-Input'!$B$12,0))+J820*(1-'P-Parametri'!$B$6*I820))*(1+'1-Input'!$B$27))</f>
        <v>0</v>
      </c>
      <c r="L820" s="18">
        <f>IF($A820&gt;('1-Input'!$B$26+3),N819,(N819-J820)*(1+'5-Roberta'!$C$4))</f>
        <v>-134102.14456726037</v>
      </c>
      <c r="M820" s="18">
        <f>IF($A820&gt;('1-Input'!$B$26+3),K820,K820-'P-Parametri'!$B$8*(L820+K820)+MIN(MAX(L820,0),'P-Parametri'!$B$8*(L820+K820)))</f>
        <v>0</v>
      </c>
      <c r="N820" s="18">
        <f>IF($A820&gt;('1-Input'!$B$26+3),L820,L820-MIN(MAX(L820,0),'P-Parametri'!$B$8*(L820+K820)))</f>
        <v>-133833.94027812584</v>
      </c>
      <c r="O820" s="18">
        <f>IF($A820&gt;('1-Input'!$B$26+3),O819,O819-J820*(1-I820))</f>
        <v>-110508.54339441226</v>
      </c>
      <c r="P820" s="11">
        <f>IF($A820&gt;('1-Input'!$B$26+3),0,IF(U819&lt;=0,0,MAX(0,(U819-V819)/U819)))</f>
        <v>0.70941115353120709</v>
      </c>
      <c r="Q820" s="18">
        <f>IF($A820&gt;('1-Input'!$B$26+3),0,(MAX(0,P781-IF($A820&gt;='1-Input'!$C$12,'1-Input'!$B$12,0))-MIN(MAX(T819,0),MAX(0,P781-IF($A820&gt;='1-Input'!$C$12,'1-Input'!$B$12,0))))*(1/(1-'P-Parametri'!$B$6*P820))+MIN(MAX(0,U819-(MAX(0,P781-IF($A820&gt;='1-Input'!$C$12,'1-Input'!$B$12,0))-MIN(MAX(T819,0),MAX(0,P781-IF($A820&gt;='1-Input'!$C$12,'1-Input'!$B$12,0))))*(1/(1-'P-Parametri'!$B$6*P820))),MAX(0,0*P781-(T819-MIN(MAX(T819,0),MAX(0,P781-IF($A820&gt;='1-Input'!$C$12,'1-Input'!$B$12,0)))))*(1/(1-'P-Parametri'!$B$6*P820))))</f>
        <v>9470.9737268256758</v>
      </c>
      <c r="R820" s="18">
        <f>IF($A820&gt;('1-Input'!$B$26+3),T819,(T819-MAX(0,P781-IF($A820&gt;='1-Input'!$C$12,'1-Input'!$B$12,0))+Q820*(1-'P-Parametri'!$B$6*P820))*(1+'1-Input'!$B$27))</f>
        <v>-9.0622052084654565E-13</v>
      </c>
      <c r="S820" s="18">
        <f>IF($A820&gt;('1-Input'!$B$26+3),U819,(U819-Q820)*(1+'5-Roberta'!$C$4))</f>
        <v>71333.54929797606</v>
      </c>
      <c r="T820" s="18">
        <f>IF($A820&gt;('1-Input'!$B$26+3),R820,R820-'P-Parametri'!$B$8*(S820+R820)+MIN(MAX(S820,0),'P-Parametri'!$B$8*(S820+R820)))</f>
        <v>-9.0949470177292824E-13</v>
      </c>
      <c r="U820" s="18">
        <f>IF($A820&gt;('1-Input'!$B$26+3),S820,S820-MIN(MAX(S820,0),'P-Parametri'!$B$8*(S820+R820)))</f>
        <v>71190.88219938011</v>
      </c>
      <c r="V820" s="18">
        <f>IF($A820&gt;('1-Input'!$B$26+3),V819,V819-Q820*(1-P820))</f>
        <v>20124.984276721974</v>
      </c>
      <c r="W820" s="11">
        <f>IF($A820&gt;('1-Input'!$B$26+3),0,IF(AB819&lt;=0,0,MAX(0,(AB819-AC819)/AB819)))</f>
        <v>0.70941115353120676</v>
      </c>
      <c r="X820" s="18">
        <f>IF($A820&gt;('1-Input'!$B$26+3),0,(MAX(0,W781-IF($A820&gt;='1-Input'!$C$12,'1-Input'!$B$12,0))-MIN(MAX(AA819,0),MAX(0,W781-IF($A820&gt;='1-Input'!$C$12,'1-Input'!$B$12,0))))*(1/(1-'P-Parametri'!$B$6*W820))+MIN(MAX(0,AB819-(MAX(0,W781-IF($A820&gt;='1-Input'!$C$12,'1-Input'!$B$12,0))-MIN(MAX(AA819,0),MAX(0,W781-IF($A820&gt;='1-Input'!$C$12,'1-Input'!$B$12,0))))*(1/(1-'P-Parametri'!$B$6*W820))),MAX(0,0*W781-(AA819-MIN(MAX(AA819,0),MAX(0,W781-IF($A820&gt;='1-Input'!$C$12,'1-Input'!$B$12,0)))))*(1/(1-'P-Parametri'!$B$6*W820))))</f>
        <v>9155.8135040308753</v>
      </c>
      <c r="Y820" s="18">
        <f>IF($A820&gt;('1-Input'!$B$26+3),AA819,(AA819-MAX(0,W781-IF($A820&gt;='1-Input'!$C$12,'1-Input'!$B$12,0))+X820*(1-'P-Parametri'!$B$6*W820))*(1+'1-Input'!$B$27))</f>
        <v>-9.0622052084654565E-13</v>
      </c>
      <c r="Z820" s="18">
        <f>IF($A820&gt;('1-Input'!$B$26+3),AB819,(AB819-X820)*(1+'5-Roberta'!$C$4))</f>
        <v>90438.661659766789</v>
      </c>
      <c r="AA820" s="18">
        <f>IF($A820&gt;('1-Input'!$B$26+3),Y820,Y820-'P-Parametri'!$B$8*(Z820+Y820)+MIN(MAX(Z820,0),'P-Parametri'!$B$8*(Z820+Y820)))</f>
        <v>-9.0949470177292824E-13</v>
      </c>
      <c r="AB820" s="18">
        <f>IF($A820&gt;('1-Input'!$B$26+3),Z820,Z820-MIN(MAX(Z820,0),'P-Parametri'!$B$8*(Z820+Y820)))</f>
        <v>90257.78433644725</v>
      </c>
      <c r="AC820" s="18">
        <f>IF($A820&gt;('1-Input'!$B$26+3),AC819,AC819-X820*(1-W820))</f>
        <v>25515.015891158357</v>
      </c>
      <c r="AD820" s="11">
        <f>IF($A820&gt;('1-Input'!$B$26+3),0,IF(AI819&lt;=0,0,MAX(0,(AI819-AJ819)/AI819)))</f>
        <v>0.70941115353120721</v>
      </c>
      <c r="AE820" s="18">
        <f>IF($A820&gt;('1-Input'!$B$26+3),0,(MAX(0,AD781-IF($A820&gt;='1-Input'!$C$12,'1-Input'!$B$12,0))-MIN(MAX(AH819,0),MAX(0,AD781-IF($A820&gt;='1-Input'!$C$12,'1-Input'!$B$12,0))))*(1/(1-'P-Parametri'!$B$6*AD820))+MIN(MAX(0,AI819-(MAX(0,AD781-IF($A820&gt;='1-Input'!$C$12,'1-Input'!$B$12,0))-MIN(MAX(AH819,0),MAX(0,AD781-IF($A820&gt;='1-Input'!$C$12,'1-Input'!$B$12,0))))*(1/(1-'P-Parametri'!$B$6*AD820))),MAX(0,0*AD781-(AH819-MIN(MAX(AH819,0),MAX(0,AD781-IF($A820&gt;='1-Input'!$C$12,'1-Input'!$B$12,0)))))*(1/(1-'P-Parametri'!$B$6*AD820))))</f>
        <v>9172.1284624124401</v>
      </c>
      <c r="AF820" s="18">
        <f>IF($A820&gt;('1-Input'!$B$26+3),AH819,(AH819-MAX(0,AD781-IF($A820&gt;='1-Input'!$C$12,'1-Input'!$B$12,0))+AE820*(1-'P-Parametri'!$B$6*AD820))*(1+'1-Input'!$B$27))</f>
        <v>0</v>
      </c>
      <c r="AG820" s="18">
        <f>IF($A820&gt;('1-Input'!$B$26+3),AI819,(AI819-AE820)*(1+'5-Roberta'!$C$4))</f>
        <v>89449.643723767411</v>
      </c>
      <c r="AH820" s="18">
        <f>IF($A820&gt;('1-Input'!$B$26+3),AF820,AF820-'P-Parametri'!$B$8*(AG820+AF820)+MIN(MAX(AG820,0),'P-Parametri'!$B$8*(AG820+AF820)))</f>
        <v>0</v>
      </c>
      <c r="AI820" s="18">
        <f>IF($A820&gt;('1-Input'!$B$26+3),AG820,AG820-MIN(MAX(AG820,0),'P-Parametri'!$B$8*(AG820+AF820)))</f>
        <v>89270.744436319874</v>
      </c>
      <c r="AJ820" s="18">
        <f>IF($A820&gt;('1-Input'!$B$26+3),AJ819,AJ819-AE820*(1-AD820))</f>
        <v>25235.989113334035</v>
      </c>
      <c r="AK820" s="11">
        <f>IF($A820&gt;('1-Input'!$B$26+3),0,IF(AP819&lt;=0,0,MAX(0,(AP819-AQ819)/AP819)))</f>
        <v>0.70941115353120698</v>
      </c>
      <c r="AL820" s="18">
        <f>IF($A820&gt;('1-Input'!$B$26+3),0,(MAX(0,AK781-IF($A820&gt;='1-Input'!$C$12,'1-Input'!$B$12,0))-MIN(MAX(AO819,0),MAX(0,AK781-IF($A820&gt;='1-Input'!$C$12,'1-Input'!$B$12,0))))*(1/(1-'P-Parametri'!$B$6*AK820))+MIN(MAX(0,AP819-(MAX(0,AK781-IF($A820&gt;='1-Input'!$C$12,'1-Input'!$B$12,0))-MIN(MAX(AO819,0),MAX(0,AK781-IF($A820&gt;='1-Input'!$C$12,'1-Input'!$B$12,0))))*(1/(1-'P-Parametri'!$B$6*AK820))),MAX(0,0*AK781-(AO819-MIN(MAX(AO819,0),MAX(0,AK781-IF($A820&gt;='1-Input'!$C$12,'1-Input'!$B$12,0)))))*(1/(1-'P-Parametri'!$B$6*AK820))))</f>
        <v>9169.8908399376342</v>
      </c>
      <c r="AM820" s="18">
        <f>IF($A820&gt;('1-Input'!$B$26+3),AO819,(AO819-MAX(0,AK781-IF($A820&gt;='1-Input'!$C$12,'1-Input'!$B$12,0))+AL820*(1-'P-Parametri'!$B$6*AK820))*(1+'1-Input'!$B$27))</f>
        <v>-9.0622052084654565E-13</v>
      </c>
      <c r="AN820" s="18">
        <f>IF($A820&gt;('1-Input'!$B$26+3),AP819,(AP819-AL820)*(1+'5-Roberta'!$C$4))</f>
        <v>89585.289105742486</v>
      </c>
      <c r="AO820" s="18">
        <f>IF($A820&gt;('1-Input'!$B$26+3),AM820,AM820-'P-Parametri'!$B$8*(AN820+AM820)+MIN(MAX(AN820,0),'P-Parametri'!$B$8*(AN820+AM820)))</f>
        <v>-9.0949470177292824E-13</v>
      </c>
      <c r="AP820" s="18">
        <f>IF($A820&gt;('1-Input'!$B$26+3),AN820,AN820-MIN(MAX(AN820,0),'P-Parametri'!$B$8*(AN820+AM820)))</f>
        <v>89406.118527530998</v>
      </c>
      <c r="AQ820" s="18">
        <f>IF($A820&gt;('1-Input'!$B$26+3),AQ819,AQ819-AL820*(1-AK820))</f>
        <v>25274.258079428193</v>
      </c>
    </row>
    <row r="821" spans="1:43">
      <c r="A821" s="10">
        <f>38</f>
        <v>38</v>
      </c>
      <c r="B821" s="11">
        <f>IF($A821&gt;('1-Input'!$B$26+3),0,IF(G820&lt;=0,0,MAX(0,(G820-H820)/G820)))</f>
        <v>0.71730952539176096</v>
      </c>
      <c r="C821" s="18">
        <f>IF($A821&gt;('1-Input'!$B$26+3),0,(MAX(0,B781-IF($A821&gt;='1-Input'!$C$12,'1-Input'!$B$12,0))-MIN(MAX(F820,0),MAX(0,B781-IF($A821&gt;='1-Input'!$C$12,'1-Input'!$B$12,0))))*(1/(1-'P-Parametri'!$B$6*B821))+MIN(MAX(0,G820-(MAX(0,B781-IF($A821&gt;='1-Input'!$C$12,'1-Input'!$B$12,0))-MIN(MAX(F820,0),MAX(0,B781-IF($A821&gt;='1-Input'!$C$12,'1-Input'!$B$12,0))))*(1/(1-'P-Parametri'!$B$6*B821))),MAX(0,0*B781-(F820-MIN(MAX(F820,0),MAX(0,B781-IF($A821&gt;='1-Input'!$C$12,'1-Input'!$B$12,0)))))*(1/(1-'P-Parametri'!$B$6*B821))))</f>
        <v>6858.0929111316846</v>
      </c>
      <c r="D821" s="18">
        <f>IF($A821&gt;('1-Input'!$B$26+3),F820,(F820-MAX(0,B781-IF($A821&gt;='1-Input'!$C$12,'1-Input'!$B$12,0))+C821*(1-'P-Parametri'!$B$6*B821))*(1+'1-Input'!$B$27))</f>
        <v>0</v>
      </c>
      <c r="E821" s="18">
        <f>IF($A821&gt;('1-Input'!$B$26+3),G820,(G820-C821)*(1+'5-Roberta'!$C$4))</f>
        <v>230158.04167029588</v>
      </c>
      <c r="F821" s="18">
        <f>IF($A821&gt;('1-Input'!$B$26+3),D821,D821-'P-Parametri'!$B$8*(E821+D821)+MIN(MAX(E821,0),'P-Parametri'!$B$8*(E821+D821)))</f>
        <v>0</v>
      </c>
      <c r="G821" s="18">
        <f>IF($A821&gt;('1-Input'!$B$26+3),E821,E821-MIN(MAX(E821,0),'P-Parametri'!$B$8*(E821+D821)))</f>
        <v>229697.72558695529</v>
      </c>
      <c r="H821" s="18">
        <f>IF($A821&gt;('1-Input'!$B$26+3),H820,H820-C821*(1-B821))</f>
        <v>63168.433043377474</v>
      </c>
      <c r="I821" s="11">
        <f>IF($A821&gt;('1-Input'!$B$26+3),0,IF(N820&lt;=0,0,MAX(0,(N820-O820)/N820)))</f>
        <v>0</v>
      </c>
      <c r="J821" s="18">
        <f>IF($A821&gt;('1-Input'!$B$26+3),0,(MAX(0,I781-IF($A821&gt;='1-Input'!$C$12,'1-Input'!$B$12,0))-MIN(MAX(M820,0),MAX(0,I781-IF($A821&gt;='1-Input'!$C$12,'1-Input'!$B$12,0))))*(1/(1-'P-Parametri'!$B$6*I821))+MIN(MAX(0,N820-(MAX(0,I781-IF($A821&gt;='1-Input'!$C$12,'1-Input'!$B$12,0))-MIN(MAX(M820,0),MAX(0,I781-IF($A821&gt;='1-Input'!$C$12,'1-Input'!$B$12,0))))*(1/(1-'P-Parametri'!$B$6*I821))),MAX(0,0*I781-(M820-MIN(MAX(M820,0),MAX(0,I781-IF($A821&gt;='1-Input'!$C$12,'1-Input'!$B$12,0)))))*(1/(1-'P-Parametri'!$B$6*I821))))</f>
        <v>10846.756992928691</v>
      </c>
      <c r="K821" s="18">
        <f>IF($A821&gt;('1-Input'!$B$26+3),M820,(M820-MAX(0,I781-IF($A821&gt;='1-Input'!$C$12,'1-Input'!$B$12,0))+J821*(1-'P-Parametri'!$B$6*I821))*(1+'1-Input'!$B$27))</f>
        <v>0</v>
      </c>
      <c r="L821" s="18">
        <f>IF($A821&gt;('1-Input'!$B$26+3),N820,(N820-J821)*(1+'5-Roberta'!$C$4))</f>
        <v>-149021.11818918615</v>
      </c>
      <c r="M821" s="18">
        <f>IF($A821&gt;('1-Input'!$B$26+3),K821,K821-'P-Parametri'!$B$8*(L821+K821)+MIN(MAX(L821,0),'P-Parametri'!$B$8*(L821+K821)))</f>
        <v>0</v>
      </c>
      <c r="N821" s="18">
        <f>IF($A821&gt;('1-Input'!$B$26+3),L821,L821-MIN(MAX(L821,0),'P-Parametri'!$B$8*(L821+K821)))</f>
        <v>-148723.07595280779</v>
      </c>
      <c r="O821" s="18">
        <f>IF($A821&gt;('1-Input'!$B$26+3),O820,O820-J821*(1-I821))</f>
        <v>-121355.30038734095</v>
      </c>
      <c r="P821" s="11">
        <f>IF($A821&gt;('1-Input'!$B$26+3),0,IF(U820&lt;=0,0,MAX(0,(U820-V820)/U820)))</f>
        <v>0.71730952539176129</v>
      </c>
      <c r="Q821" s="18">
        <f>IF($A821&gt;('1-Input'!$B$26+3),0,(MAX(0,P781-IF($A821&gt;='1-Input'!$C$12,'1-Input'!$B$12,0))-MIN(MAX(T820,0),MAX(0,P781-IF($A821&gt;='1-Input'!$C$12,'1-Input'!$B$12,0))))*(1/(1-'P-Parametri'!$B$6*P821))+MIN(MAX(0,U820-(MAX(0,P781-IF($A821&gt;='1-Input'!$C$12,'1-Input'!$B$12,0))-MIN(MAX(T820,0),MAX(0,P781-IF($A821&gt;='1-Input'!$C$12,'1-Input'!$B$12,0))))*(1/(1-'P-Parametri'!$B$6*P821))),MAX(0,0*P781-(T820-MIN(MAX(T820,0),MAX(0,P781-IF($A821&gt;='1-Input'!$C$12,'1-Input'!$B$12,0)))))*(1/(1-'P-Parametri'!$B$6*P821))))</f>
        <v>9494.8820024402958</v>
      </c>
      <c r="R821" s="18">
        <f>IF($A821&gt;('1-Input'!$B$26+3),T820,(T820-MAX(0,P781-IF($A821&gt;='1-Input'!$C$12,'1-Input'!$B$12,0))+Q821*(1-'P-Parametri'!$B$6*P821))*(1+'1-Input'!$B$27))</f>
        <v>0</v>
      </c>
      <c r="S821" s="18">
        <f>IF($A821&gt;('1-Input'!$B$26+3),U820,(U820-Q821)*(1+'5-Roberta'!$C$4))</f>
        <v>63546.880202848013</v>
      </c>
      <c r="T821" s="18">
        <f>IF($A821&gt;('1-Input'!$B$26+3),R821,R821-'P-Parametri'!$B$8*(S821+R821)+MIN(MAX(S821,0),'P-Parametri'!$B$8*(S821+R821)))</f>
        <v>0</v>
      </c>
      <c r="U821" s="18">
        <f>IF($A821&gt;('1-Input'!$B$26+3),S821,S821-MIN(MAX(S821,0),'P-Parametri'!$B$8*(S821+R821)))</f>
        <v>63419.786442442317</v>
      </c>
      <c r="V821" s="18">
        <f>IF($A821&gt;('1-Input'!$B$26+3),V820,V820-Q821*(1-P821))</f>
        <v>17440.871577102902</v>
      </c>
      <c r="W821" s="11">
        <f>IF($A821&gt;('1-Input'!$B$26+3),0,IF(AB820&lt;=0,0,MAX(0,(AB820-AC820)/AB820)))</f>
        <v>0.71730952539176096</v>
      </c>
      <c r="X821" s="18">
        <f>IF($A821&gt;('1-Input'!$B$26+3),0,(MAX(0,W781-IF($A821&gt;='1-Input'!$C$12,'1-Input'!$B$12,0))-MIN(MAX(AA820,0),MAX(0,W781-IF($A821&gt;='1-Input'!$C$12,'1-Input'!$B$12,0))))*(1/(1-'P-Parametri'!$B$6*W821))+MIN(MAX(0,AB820-(MAX(0,W781-IF($A821&gt;='1-Input'!$C$12,'1-Input'!$B$12,0))-MIN(MAX(AA820,0),MAX(0,W781-IF($A821&gt;='1-Input'!$C$12,'1-Input'!$B$12,0))))*(1/(1-'P-Parametri'!$B$6*W821))),MAX(0,0*W781-(AA820-MIN(MAX(AA820,0),MAX(0,W781-IF($A821&gt;='1-Input'!$C$12,'1-Input'!$B$12,0)))))*(1/(1-'P-Parametri'!$B$6*W821))))</f>
        <v>9178.9261975135323</v>
      </c>
      <c r="Y821" s="18">
        <f>IF($A821&gt;('1-Input'!$B$26+3),AA820,(AA820-MAX(0,W781-IF($A821&gt;='1-Input'!$C$12,'1-Input'!$B$12,0))+X821*(1-'P-Parametri'!$B$6*W821))*(1+'1-Input'!$B$27))</f>
        <v>0</v>
      </c>
      <c r="Z821" s="18">
        <f>IF($A821&gt;('1-Input'!$B$26+3),AB820,(AB820-X821)*(1+'5-Roberta'!$C$4))</f>
        <v>83511.223883101731</v>
      </c>
      <c r="AA821" s="18">
        <f>IF($A821&gt;('1-Input'!$B$26+3),Y821,Y821-'P-Parametri'!$B$8*(Z821+Y821)+MIN(MAX(Z821,0),'P-Parametri'!$B$8*(Z821+Y821)))</f>
        <v>0</v>
      </c>
      <c r="AB821" s="18">
        <f>IF($A821&gt;('1-Input'!$B$26+3),Z821,Z821-MIN(MAX(Z821,0),'P-Parametri'!$B$8*(Z821+Y821)))</f>
        <v>83344.201435335533</v>
      </c>
      <c r="AC821" s="18">
        <f>IF($A821&gt;('1-Input'!$B$26+3),AC820,AC820-X821*(1-W821))</f>
        <v>22920.220887989257</v>
      </c>
      <c r="AD821" s="11">
        <f>IF($A821&gt;('1-Input'!$B$26+3),0,IF(AI820&lt;=0,0,MAX(0,(AI820-AJ820)/AI820)))</f>
        <v>0.7173095253917614</v>
      </c>
      <c r="AE821" s="18">
        <f>IF($A821&gt;('1-Input'!$B$26+3),0,(MAX(0,AD781-IF($A821&gt;='1-Input'!$C$12,'1-Input'!$B$12,0))-MIN(MAX(AH820,0),MAX(0,AD781-IF($A821&gt;='1-Input'!$C$12,'1-Input'!$B$12,0))))*(1/(1-'P-Parametri'!$B$6*AD821))+MIN(MAX(0,AI820-(MAX(0,AD781-IF($A821&gt;='1-Input'!$C$12,'1-Input'!$B$12,0))-MIN(MAX(AH820,0),MAX(0,AD781-IF($A821&gt;='1-Input'!$C$12,'1-Input'!$B$12,0))))*(1/(1-'P-Parametri'!$B$6*AD821))),MAX(0,0*AD781-(AH820-MIN(MAX(AH820,0),MAX(0,AD781-IF($A821&gt;='1-Input'!$C$12,'1-Input'!$B$12,0)))))*(1/(1-'P-Parametri'!$B$6*AD821))))</f>
        <v>9195.2823409445828</v>
      </c>
      <c r="AF821" s="18">
        <f>IF($A821&gt;('1-Input'!$B$26+3),AH820,(AH820-MAX(0,AD781-IF($A821&gt;='1-Input'!$C$12,'1-Input'!$B$12,0))+AE821*(1-'P-Parametri'!$B$6*AD821))*(1+'1-Input'!$B$27))</f>
        <v>0</v>
      </c>
      <c r="AG821" s="18">
        <f>IF($A821&gt;('1-Input'!$B$26+3),AI820,(AI820-AE821)*(1+'5-Roberta'!$C$4))</f>
        <v>82477.725958236551</v>
      </c>
      <c r="AH821" s="18">
        <f>IF($A821&gt;('1-Input'!$B$26+3),AF821,AF821-'P-Parametri'!$B$8*(AG821+AF821)+MIN(MAX(AG821,0),'P-Parametri'!$B$8*(AG821+AF821)))</f>
        <v>0</v>
      </c>
      <c r="AI821" s="18">
        <f>IF($A821&gt;('1-Input'!$B$26+3),AG821,AG821-MIN(MAX(AG821,0),'P-Parametri'!$B$8*(AG821+AF821)))</f>
        <v>82312.770506320085</v>
      </c>
      <c r="AJ821" s="18">
        <f>IF($A821&gt;('1-Input'!$B$26+3),AJ820,AJ820-AE821*(1-AD821))</f>
        <v>22636.570384215654</v>
      </c>
      <c r="AK821" s="11">
        <f>IF($A821&gt;('1-Input'!$B$26+3),0,IF(AP820&lt;=0,0,MAX(0,(AP820-AQ820)/AP820)))</f>
        <v>0.71730952539176118</v>
      </c>
      <c r="AL821" s="18">
        <f>IF($A821&gt;('1-Input'!$B$26+3),0,(MAX(0,AK781-IF($A821&gt;='1-Input'!$C$12,'1-Input'!$B$12,0))-MIN(MAX(AO820,0),MAX(0,AK781-IF($A821&gt;='1-Input'!$C$12,'1-Input'!$B$12,0))))*(1/(1-'P-Parametri'!$B$6*AK821))+MIN(MAX(0,AP820-(MAX(0,AK781-IF($A821&gt;='1-Input'!$C$12,'1-Input'!$B$12,0))-MIN(MAX(AO820,0),MAX(0,AK781-IF($A821&gt;='1-Input'!$C$12,'1-Input'!$B$12,0))))*(1/(1-'P-Parametri'!$B$6*AK821))),MAX(0,0*AK781-(AO820-MIN(MAX(AO820,0),MAX(0,AK781-IF($A821&gt;='1-Input'!$C$12,'1-Input'!$B$12,0)))))*(1/(1-'P-Parametri'!$B$6*AK821))))</f>
        <v>9193.0390698747779</v>
      </c>
      <c r="AM821" s="18">
        <f>IF($A821&gt;('1-Input'!$B$26+3),AO820,(AO820-MAX(0,AK781-IF($A821&gt;='1-Input'!$C$12,'1-Input'!$B$12,0))+AL821*(1-'P-Parametri'!$B$6*AK821))*(1+'1-Input'!$B$27))</f>
        <v>0</v>
      </c>
      <c r="AN821" s="18">
        <f>IF($A821&gt;('1-Input'!$B$26+3),AP820,(AP820-AL821)*(1+'5-Roberta'!$C$4))</f>
        <v>82619.471841385908</v>
      </c>
      <c r="AO821" s="18">
        <f>IF($A821&gt;('1-Input'!$B$26+3),AM821,AM821-'P-Parametri'!$B$8*(AN821+AM821)+MIN(MAX(AN821,0),'P-Parametri'!$B$8*(AN821+AM821)))</f>
        <v>0</v>
      </c>
      <c r="AP821" s="18">
        <f>IF($A821&gt;('1-Input'!$B$26+3),AN821,AN821-MIN(MAX(AN821,0),'P-Parametri'!$B$8*(AN821+AM821)))</f>
        <v>82454.232897703143</v>
      </c>
      <c r="AQ821" s="18">
        <f>IF($A821&gt;('1-Input'!$B$26+3),AQ820,AQ820-AL821*(1-AK821))</f>
        <v>22675.473501673208</v>
      </c>
    </row>
    <row r="822" spans="1:43">
      <c r="A822" s="10">
        <f>39</f>
        <v>39</v>
      </c>
      <c r="B822" s="11">
        <f>IF($A822&gt;('1-Input'!$B$26+3),0,IF(G821&lt;=0,0,MAX(0,(G821-H821)/G821)))</f>
        <v>0.72499321496562152</v>
      </c>
      <c r="C822" s="18">
        <f>IF($A822&gt;('1-Input'!$B$26+3),0,(MAX(0,B781-IF($A822&gt;='1-Input'!$C$12,'1-Input'!$B$12,0))-MIN(MAX(F821,0),MAX(0,B781-IF($A822&gt;='1-Input'!$C$12,'1-Input'!$B$12,0))))*(1/(1-'P-Parametri'!$B$6*B822))+MIN(MAX(0,G821-(MAX(0,B781-IF($A822&gt;='1-Input'!$C$12,'1-Input'!$B$12,0))-MIN(MAX(F821,0),MAX(0,B781-IF($A822&gt;='1-Input'!$C$12,'1-Input'!$B$12,0))))*(1/(1-'P-Parametri'!$B$6*B822))),MAX(0,0*B781-(F821-MIN(MAX(F821,0),MAX(0,B781-IF($A822&gt;='1-Input'!$C$12,'1-Input'!$B$12,0)))))*(1/(1-'P-Parametri'!$B$6*B822))))</f>
        <v>6874.9762001464405</v>
      </c>
      <c r="D822" s="18">
        <f>IF($A822&gt;('1-Input'!$B$26+3),F821,(F821-MAX(0,B781-IF($A822&gt;='1-Input'!$C$12,'1-Input'!$B$12,0))+C822*(1-'P-Parametri'!$B$6*B822))*(1+'1-Input'!$B$27))</f>
        <v>0</v>
      </c>
      <c r="E822" s="18">
        <f>IF($A822&gt;('1-Input'!$B$26+3),G821,(G821-C822)*(1+'5-Roberta'!$C$4))</f>
        <v>229507.43186841311</v>
      </c>
      <c r="F822" s="18">
        <f>IF($A822&gt;('1-Input'!$B$26+3),D822,D822-'P-Parametri'!$B$8*(E822+D822)+MIN(MAX(E822,0),'P-Parametri'!$B$8*(E822+D822)))</f>
        <v>0</v>
      </c>
      <c r="G822" s="18">
        <f>IF($A822&gt;('1-Input'!$B$26+3),E822,E822-MIN(MAX(E822,0),'P-Parametri'!$B$8*(E822+D822)))</f>
        <v>229048.41700467627</v>
      </c>
      <c r="H822" s="18">
        <f>IF($A822&gt;('1-Input'!$B$26+3),H821,H821-C822*(1-B822))</f>
        <v>61277.767941387334</v>
      </c>
      <c r="I822" s="11">
        <f>IF($A822&gt;('1-Input'!$B$26+3),0,IF(N821&lt;=0,0,MAX(0,(N821-O821)/N821)))</f>
        <v>0</v>
      </c>
      <c r="J822" s="18">
        <f>IF($A822&gt;('1-Input'!$B$26+3),0,(MAX(0,I781-IF($A822&gt;='1-Input'!$C$12,'1-Input'!$B$12,0))-MIN(MAX(M821,0),MAX(0,I781-IF($A822&gt;='1-Input'!$C$12,'1-Input'!$B$12,0))))*(1/(1-'P-Parametri'!$B$6*I822))+MIN(MAX(0,N821-(MAX(0,I781-IF($A822&gt;='1-Input'!$C$12,'1-Input'!$B$12,0))-MIN(MAX(M821,0),MAX(0,I781-IF($A822&gt;='1-Input'!$C$12,'1-Input'!$B$12,0))))*(1/(1-'P-Parametri'!$B$6*I822))),MAX(0,0*I781-(M821-MIN(MAX(M821,0),MAX(0,I781-IF($A822&gt;='1-Input'!$C$12,'1-Input'!$B$12,0)))))*(1/(1-'P-Parametri'!$B$6*I822))))</f>
        <v>10846.756992928691</v>
      </c>
      <c r="K822" s="18">
        <f>IF($A822&gt;('1-Input'!$B$26+3),M821,(M821-MAX(0,I781-IF($A822&gt;='1-Input'!$C$12,'1-Input'!$B$12,0))+J822*(1-'P-Parametri'!$B$6*I822))*(1+'1-Input'!$B$27))</f>
        <v>0</v>
      </c>
      <c r="L822" s="18">
        <f>IF($A822&gt;('1-Input'!$B$26+3),N821,(N821-J822)*(1+'5-Roberta'!$C$4))</f>
        <v>-164356.92793410856</v>
      </c>
      <c r="M822" s="18">
        <f>IF($A822&gt;('1-Input'!$B$26+3),K822,K822-'P-Parametri'!$B$8*(L822+K822)+MIN(MAX(L822,0),'P-Parametri'!$B$8*(L822+K822)))</f>
        <v>0</v>
      </c>
      <c r="N822" s="18">
        <f>IF($A822&gt;('1-Input'!$B$26+3),L822,L822-MIN(MAX(L822,0),'P-Parametri'!$B$8*(L822+K822)))</f>
        <v>-164028.21407824036</v>
      </c>
      <c r="O822" s="18">
        <f>IF($A822&gt;('1-Input'!$B$26+3),O821,O821-J822*(1-I822))</f>
        <v>-132202.05738026963</v>
      </c>
      <c r="P822" s="11">
        <f>IF($A822&gt;('1-Input'!$B$26+3),0,IF(U821&lt;=0,0,MAX(0,(U821-V821)/U821)))</f>
        <v>0.72499321496562186</v>
      </c>
      <c r="Q822" s="18">
        <f>IF($A822&gt;('1-Input'!$B$26+3),0,(MAX(0,P781-IF($A822&gt;='1-Input'!$C$12,'1-Input'!$B$12,0))-MIN(MAX(T821,0),MAX(0,P781-IF($A822&gt;='1-Input'!$C$12,'1-Input'!$B$12,0))))*(1/(1-'P-Parametri'!$B$6*P822))+MIN(MAX(0,U821-(MAX(0,P781-IF($A822&gt;='1-Input'!$C$12,'1-Input'!$B$12,0))-MIN(MAX(T821,0),MAX(0,P781-IF($A822&gt;='1-Input'!$C$12,'1-Input'!$B$12,0))))*(1/(1-'P-Parametri'!$B$6*P822))),MAX(0,0*P781-(T821-MIN(MAX(T821,0),MAX(0,P781-IF($A822&gt;='1-Input'!$C$12,'1-Input'!$B$12,0)))))*(1/(1-'P-Parametri'!$B$6*P822))))</f>
        <v>9518.2565526374783</v>
      </c>
      <c r="R822" s="18">
        <f>IF($A822&gt;('1-Input'!$B$26+3),T821,(T821-MAX(0,P781-IF($A822&gt;='1-Input'!$C$12,'1-Input'!$B$12,0))+Q822*(1-'P-Parametri'!$B$6*P822))*(1+'1-Input'!$B$27))</f>
        <v>0</v>
      </c>
      <c r="S822" s="18">
        <f>IF($A822&gt;('1-Input'!$B$26+3),U821,(U821-Q822)*(1+'5-Roberta'!$C$4))</f>
        <v>55518.575786498979</v>
      </c>
      <c r="T822" s="18">
        <f>IF($A822&gt;('1-Input'!$B$26+3),R822,R822-'P-Parametri'!$B$8*(S822+R822)+MIN(MAX(S822,0),'P-Parametri'!$B$8*(S822+R822)))</f>
        <v>0</v>
      </c>
      <c r="U822" s="18">
        <f>IF($A822&gt;('1-Input'!$B$26+3),S822,S822-MIN(MAX(S822,0),'P-Parametri'!$B$8*(S822+R822)))</f>
        <v>55407.538634925979</v>
      </c>
      <c r="V822" s="18">
        <f>IF($A822&gt;('1-Input'!$B$26+3),V821,V821-Q822*(1-P822))</f>
        <v>14823.286443429666</v>
      </c>
      <c r="W822" s="11">
        <f>IF($A822&gt;('1-Input'!$B$26+3),0,IF(AB821&lt;=0,0,MAX(0,(AB821-AC821)/AB821)))</f>
        <v>0.72499321496562152</v>
      </c>
      <c r="X822" s="18">
        <f>IF($A822&gt;('1-Input'!$B$26+3),0,(MAX(0,W781-IF($A822&gt;='1-Input'!$C$12,'1-Input'!$B$12,0))-MIN(MAX(AA821,0),MAX(0,W781-IF($A822&gt;='1-Input'!$C$12,'1-Input'!$B$12,0))))*(1/(1-'P-Parametri'!$B$6*W822))+MIN(MAX(0,AB821-(MAX(0,W781-IF($A822&gt;='1-Input'!$C$12,'1-Input'!$B$12,0))-MIN(MAX(AA821,0),MAX(0,W781-IF($A822&gt;='1-Input'!$C$12,'1-Input'!$B$12,0))))*(1/(1-'P-Parametri'!$B$6*W822))),MAX(0,0*W781-(AA821-MIN(MAX(AA821,0),MAX(0,W781-IF($A822&gt;='1-Input'!$C$12,'1-Input'!$B$12,0)))))*(1/(1-'P-Parametri'!$B$6*W822))))</f>
        <v>9201.522926056854</v>
      </c>
      <c r="Y822" s="18">
        <f>IF($A822&gt;('1-Input'!$B$26+3),AA821,(AA821-MAX(0,W781-IF($A822&gt;='1-Input'!$C$12,'1-Input'!$B$12,0))+X822*(1-'P-Parametri'!$B$6*W822))*(1+'1-Input'!$B$27))</f>
        <v>-9.0622052084654565E-13</v>
      </c>
      <c r="Z822" s="18">
        <f>IF($A822&gt;('1-Input'!$B$26+3),AB821,(AB821-X822)*(1+'5-Roberta'!$C$4))</f>
        <v>76366.958864557033</v>
      </c>
      <c r="AA822" s="18">
        <f>IF($A822&gt;('1-Input'!$B$26+3),Y822,Y822-'P-Parametri'!$B$8*(Z822+Y822)+MIN(MAX(Z822,0),'P-Parametri'!$B$8*(Z822+Y822)))</f>
        <v>-9.0949470177292824E-13</v>
      </c>
      <c r="AB822" s="18">
        <f>IF($A822&gt;('1-Input'!$B$26+3),Z822,Z822-MIN(MAX(Z822,0),'P-Parametri'!$B$8*(Z822+Y822)))</f>
        <v>76214.224946827919</v>
      </c>
      <c r="AC822" s="18">
        <f>IF($A822&gt;('1-Input'!$B$26+3),AC821,AC821-X822*(1-W822))</f>
        <v>20389.739650674233</v>
      </c>
      <c r="AD822" s="11">
        <f>IF($A822&gt;('1-Input'!$B$26+3),0,IF(AI821&lt;=0,0,MAX(0,(AI821-AJ821)/AI821)))</f>
        <v>0.72499321496562208</v>
      </c>
      <c r="AE822" s="18">
        <f>IF($A822&gt;('1-Input'!$B$26+3),0,(MAX(0,AD781-IF($A822&gt;='1-Input'!$C$12,'1-Input'!$B$12,0))-MIN(MAX(AH821,0),MAX(0,AD781-IF($A822&gt;='1-Input'!$C$12,'1-Input'!$B$12,0))))*(1/(1-'P-Parametri'!$B$6*AD822))+MIN(MAX(0,AI821-(MAX(0,AD781-IF($A822&gt;='1-Input'!$C$12,'1-Input'!$B$12,0))-MIN(MAX(AH821,0),MAX(0,AD781-IF($A822&gt;='1-Input'!$C$12,'1-Input'!$B$12,0))))*(1/(1-'P-Parametri'!$B$6*AD822))),MAX(0,0*AD781-(AH821-MIN(MAX(AH821,0),MAX(0,AD781-IF($A822&gt;='1-Input'!$C$12,'1-Input'!$B$12,0)))))*(1/(1-'P-Parametri'!$B$6*AD822))))</f>
        <v>9217.9193351273916</v>
      </c>
      <c r="AF822" s="18">
        <f>IF($A822&gt;('1-Input'!$B$26+3),AH821,(AH821-MAX(0,AD781-IF($A822&gt;='1-Input'!$C$12,'1-Input'!$B$12,0))+AE822*(1-'P-Parametri'!$B$6*AD822))*(1+'1-Input'!$B$27))</f>
        <v>0</v>
      </c>
      <c r="AG822" s="18">
        <f>IF($A822&gt;('1-Input'!$B$26+3),AI821,(AI821-AE822)*(1+'5-Roberta'!$C$4))</f>
        <v>75287.696706328483</v>
      </c>
      <c r="AH822" s="18">
        <f>IF($A822&gt;('1-Input'!$B$26+3),AF822,AF822-'P-Parametri'!$B$8*(AG822+AF822)+MIN(MAX(AG822,0),'P-Parametri'!$B$8*(AG822+AF822)))</f>
        <v>0</v>
      </c>
      <c r="AI822" s="18">
        <f>IF($A822&gt;('1-Input'!$B$26+3),AG822,AG822-MIN(MAX(AG822,0),'P-Parametri'!$B$8*(AG822+AF822)))</f>
        <v>75137.121312915828</v>
      </c>
      <c r="AJ822" s="18">
        <f>IF($A822&gt;('1-Input'!$B$26+3),AJ821,AJ821-AE822*(1-AD822))</f>
        <v>20101.580023156039</v>
      </c>
      <c r="AK822" s="11">
        <f>IF($A822&gt;('1-Input'!$B$26+3),0,IF(AP821&lt;=0,0,MAX(0,(AP821-AQ821)/AP821)))</f>
        <v>0.72499321496562175</v>
      </c>
      <c r="AL822" s="18">
        <f>IF($A822&gt;('1-Input'!$B$26+3),0,(MAX(0,AK781-IF($A822&gt;='1-Input'!$C$12,'1-Input'!$B$12,0))-MIN(MAX(AO821,0),MAX(0,AK781-IF($A822&gt;='1-Input'!$C$12,'1-Input'!$B$12,0))))*(1/(1-'P-Parametri'!$B$6*AK822))+MIN(MAX(0,AP821-(MAX(0,AK781-IF($A822&gt;='1-Input'!$C$12,'1-Input'!$B$12,0))-MIN(MAX(AO821,0),MAX(0,AK781-IF($A822&gt;='1-Input'!$C$12,'1-Input'!$B$12,0))))*(1/(1-'P-Parametri'!$B$6*AK822))),MAX(0,0*AK781-(AO821-MIN(MAX(AO821,0),MAX(0,AK781-IF($A822&gt;='1-Input'!$C$12,'1-Input'!$B$12,0)))))*(1/(1-'P-Parametri'!$B$6*AK822))))</f>
        <v>9215.6705415611268</v>
      </c>
      <c r="AM822" s="18">
        <f>IF($A822&gt;('1-Input'!$B$26+3),AO821,(AO821-MAX(0,AK781-IF($A822&gt;='1-Input'!$C$12,'1-Input'!$B$12,0))+AL822*(1-'P-Parametri'!$B$6*AK822))*(1+'1-Input'!$B$27))</f>
        <v>-9.0622052084654565E-13</v>
      </c>
      <c r="AN822" s="18">
        <f>IF($A822&gt;('1-Input'!$B$26+3),AP821,(AP821-AL822)*(1+'5-Roberta'!$C$4))</f>
        <v>75435.719226826288</v>
      </c>
      <c r="AO822" s="18">
        <f>IF($A822&gt;('1-Input'!$B$26+3),AM822,AM822-'P-Parametri'!$B$8*(AN822+AM822)+MIN(MAX(AN822,0),'P-Parametri'!$B$8*(AN822+AM822)))</f>
        <v>-9.0949470177292824E-13</v>
      </c>
      <c r="AP822" s="18">
        <f>IF($A822&gt;('1-Input'!$B$26+3),AN822,AN822-MIN(MAX(AN822,0),'P-Parametri'!$B$8*(AN822+AM822)))</f>
        <v>75284.84778837263</v>
      </c>
      <c r="AQ822" s="18">
        <f>IF($A822&gt;('1-Input'!$B$26+3),AQ821,AQ821-AL822*(1-AK822))</f>
        <v>20141.101574102457</v>
      </c>
    </row>
    <row r="823" spans="1:43">
      <c r="A823" s="10">
        <f>40</f>
        <v>40</v>
      </c>
      <c r="B823" s="11">
        <f>IF($A823&gt;('1-Input'!$B$26+3),0,IF(G822&lt;=0,0,MAX(0,(G822-H822)/G822)))</f>
        <v>0.73246805744072752</v>
      </c>
      <c r="C823" s="18">
        <f>IF($A823&gt;('1-Input'!$B$26+3),0,(MAX(0,B781-IF($A823&gt;='1-Input'!$C$12,'1-Input'!$B$12,0))-MIN(MAX(F822,0),MAX(0,B781-IF($A823&gt;='1-Input'!$C$12,'1-Input'!$B$12,0))))*(1/(1-'P-Parametri'!$B$6*B823))+MIN(MAX(0,G822-(MAX(0,B781-IF($A823&gt;='1-Input'!$C$12,'1-Input'!$B$12,0))-MIN(MAX(F822,0),MAX(0,B781-IF($A823&gt;='1-Input'!$C$12,'1-Input'!$B$12,0))))*(1/(1-'P-Parametri'!$B$6*B823))),MAX(0,0*B781-(F822-MIN(MAX(F822,0),MAX(0,B781-IF($A823&gt;='1-Input'!$C$12,'1-Input'!$B$12,0)))))*(1/(1-'P-Parametri'!$B$6*B823))))</f>
        <v>6891.4805514533327</v>
      </c>
      <c r="D823" s="18">
        <f>IF($A823&gt;('1-Input'!$B$26+3),F822,(F822-MAX(0,B781-IF($A823&gt;='1-Input'!$C$12,'1-Input'!$B$12,0))+C823*(1-'P-Parametri'!$B$6*B823))*(1+'1-Input'!$B$27))</f>
        <v>0</v>
      </c>
      <c r="E823" s="18">
        <f>IF($A823&gt;('1-Input'!$B$26+3),G822,(G822-C823)*(1+'5-Roberta'!$C$4))</f>
        <v>228821.64454681962</v>
      </c>
      <c r="F823" s="18">
        <f>IF($A823&gt;('1-Input'!$B$26+3),D823,D823-'P-Parametri'!$B$8*(E823+D823)+MIN(MAX(E823,0),'P-Parametri'!$B$8*(E823+D823)))</f>
        <v>0</v>
      </c>
      <c r="G823" s="18">
        <f>IF($A823&gt;('1-Input'!$B$26+3),E823,E823-MIN(MAX(E823,0),'P-Parametri'!$B$8*(E823+D823)))</f>
        <v>228364.00125772599</v>
      </c>
      <c r="H823" s="18">
        <f>IF($A823&gt;('1-Input'!$B$26+3),H822,H822-C823*(1-B823))</f>
        <v>59434.076762347577</v>
      </c>
      <c r="I823" s="11">
        <f>IF($A823&gt;('1-Input'!$B$26+3),0,IF(N822&lt;=0,0,MAX(0,(N822-O822)/N822)))</f>
        <v>0</v>
      </c>
      <c r="J823" s="18">
        <f>IF($A823&gt;('1-Input'!$B$26+3),0,(MAX(0,I781-IF($A823&gt;='1-Input'!$C$12,'1-Input'!$B$12,0))-MIN(MAX(M822,0),MAX(0,I781-IF($A823&gt;='1-Input'!$C$12,'1-Input'!$B$12,0))))*(1/(1-'P-Parametri'!$B$6*I823))+MIN(MAX(0,N822-(MAX(0,I781-IF($A823&gt;='1-Input'!$C$12,'1-Input'!$B$12,0))-MIN(MAX(M822,0),MAX(0,I781-IF($A823&gt;='1-Input'!$C$12,'1-Input'!$B$12,0))))*(1/(1-'P-Parametri'!$B$6*I823))),MAX(0,0*I781-(M822-MIN(MAX(M822,0),MAX(0,I781-IF($A823&gt;='1-Input'!$C$12,'1-Input'!$B$12,0)))))*(1/(1-'P-Parametri'!$B$6*I823))))</f>
        <v>10846.756992928691</v>
      </c>
      <c r="K823" s="18">
        <f>IF($A823&gt;('1-Input'!$B$26+3),M822,(M822-MAX(0,I781-IF($A823&gt;='1-Input'!$C$12,'1-Input'!$B$12,0))+J823*(1-'P-Parametri'!$B$6*I823))*(1+'1-Input'!$B$27))</f>
        <v>0</v>
      </c>
      <c r="L823" s="18">
        <f>IF($A823&gt;('1-Input'!$B$26+3),N822,(N822-J823)*(1+'5-Roberta'!$C$4))</f>
        <v>-180121.22020330411</v>
      </c>
      <c r="M823" s="18">
        <f>IF($A823&gt;('1-Input'!$B$26+3),K823,K823-'P-Parametri'!$B$8*(L823+K823)+MIN(MAX(L823,0),'P-Parametri'!$B$8*(L823+K823)))</f>
        <v>0</v>
      </c>
      <c r="N823" s="18">
        <f>IF($A823&gt;('1-Input'!$B$26+3),L823,L823-MIN(MAX(L823,0),'P-Parametri'!$B$8*(L823+K823)))</f>
        <v>-179760.9777628975</v>
      </c>
      <c r="O823" s="18">
        <f>IF($A823&gt;('1-Input'!$B$26+3),O822,O822-J823*(1-I823))</f>
        <v>-143048.81437319831</v>
      </c>
      <c r="P823" s="11">
        <f>IF($A823&gt;('1-Input'!$B$26+3),0,IF(U822&lt;=0,0,MAX(0,(U822-V822)/U822)))</f>
        <v>0.73246805744072796</v>
      </c>
      <c r="Q823" s="18">
        <f>IF($A823&gt;('1-Input'!$B$26+3),0,(MAX(0,P781-IF($A823&gt;='1-Input'!$C$12,'1-Input'!$B$12,0))-MIN(MAX(T822,0),MAX(0,P781-IF($A823&gt;='1-Input'!$C$12,'1-Input'!$B$12,0))))*(1/(1-'P-Parametri'!$B$6*P823))+MIN(MAX(0,U822-(MAX(0,P781-IF($A823&gt;='1-Input'!$C$12,'1-Input'!$B$12,0))-MIN(MAX(T822,0),MAX(0,P781-IF($A823&gt;='1-Input'!$C$12,'1-Input'!$B$12,0))))*(1/(1-'P-Parametri'!$B$6*P823))),MAX(0,0*P781-(T822-MIN(MAX(T822,0),MAX(0,P781-IF($A823&gt;='1-Input'!$C$12,'1-Input'!$B$12,0)))))*(1/(1-'P-Parametri'!$B$6*P823))))</f>
        <v>9541.1064717354548</v>
      </c>
      <c r="R823" s="18">
        <f>IF($A823&gt;('1-Input'!$B$26+3),T822,(T822-MAX(0,P781-IF($A823&gt;='1-Input'!$C$12,'1-Input'!$B$12,0))+Q823*(1-'P-Parametri'!$B$6*P823))*(1+'1-Input'!$B$27))</f>
        <v>0</v>
      </c>
      <c r="S823" s="18">
        <f>IF($A823&gt;('1-Input'!$B$26+3),U822,(U822-Q823)*(1+'5-Roberta'!$C$4))</f>
        <v>47242.425128086245</v>
      </c>
      <c r="T823" s="18">
        <f>IF($A823&gt;('1-Input'!$B$26+3),R823,R823-'P-Parametri'!$B$8*(S823+R823)+MIN(MAX(S823,0),'P-Parametri'!$B$8*(S823+R823)))</f>
        <v>0</v>
      </c>
      <c r="U823" s="18">
        <f>IF($A823&gt;('1-Input'!$B$26+3),S823,S823-MIN(MAX(S823,0),'P-Parametri'!$B$8*(S823+R823)))</f>
        <v>47147.940277830072</v>
      </c>
      <c r="V823" s="18">
        <f>IF($A823&gt;('1-Input'!$B$26+3),V822,V822-Q823*(1-P823))</f>
        <v>12270.735694881438</v>
      </c>
      <c r="W823" s="11">
        <f>IF($A823&gt;('1-Input'!$B$26+3),0,IF(AB822&lt;=0,0,MAX(0,(AB822-AC822)/AB822)))</f>
        <v>0.73246805744072752</v>
      </c>
      <c r="X823" s="18">
        <f>IF($A823&gt;('1-Input'!$B$26+3),0,(MAX(0,W781-IF($A823&gt;='1-Input'!$C$12,'1-Input'!$B$12,0))-MIN(MAX(AA822,0),MAX(0,W781-IF($A823&gt;='1-Input'!$C$12,'1-Input'!$B$12,0))))*(1/(1-'P-Parametri'!$B$6*W823))+MIN(MAX(0,AB822-(MAX(0,W781-IF($A823&gt;='1-Input'!$C$12,'1-Input'!$B$12,0))-MIN(MAX(AA822,0),MAX(0,W781-IF($A823&gt;='1-Input'!$C$12,'1-Input'!$B$12,0))))*(1/(1-'P-Parametri'!$B$6*W823))),MAX(0,0*W781-(AA822-MIN(MAX(AA822,0),MAX(0,W781-IF($A823&gt;='1-Input'!$C$12,'1-Input'!$B$12,0)))))*(1/(1-'P-Parametri'!$B$6*W823))))</f>
        <v>9223.6124813526021</v>
      </c>
      <c r="Y823" s="18">
        <f>IF($A823&gt;('1-Input'!$B$26+3),AA822,(AA822-MAX(0,W781-IF($A823&gt;='1-Input'!$C$12,'1-Input'!$B$12,0))+X823*(1-'P-Parametri'!$B$6*W823))*(1+'1-Input'!$B$27))</f>
        <v>1.8124410416930913E-12</v>
      </c>
      <c r="Z823" s="18">
        <f>IF($A823&gt;('1-Input'!$B$26+3),AB822,(AB822-X823)*(1+'5-Roberta'!$C$4))</f>
        <v>69000.330839439586</v>
      </c>
      <c r="AA823" s="18">
        <f>IF($A823&gt;('1-Input'!$B$26+3),Y823,Y823-'P-Parametri'!$B$8*(Z823+Y823)+MIN(MAX(Z823,0),'P-Parametri'!$B$8*(Z823+Y823)))</f>
        <v>1.8189894035458565E-12</v>
      </c>
      <c r="AB823" s="18">
        <f>IF($A823&gt;('1-Input'!$B$26+3),Z823,Z823-MIN(MAX(Z823,0),'P-Parametri'!$B$8*(Z823+Y823)))</f>
        <v>68862.330177760712</v>
      </c>
      <c r="AC823" s="18">
        <f>IF($A823&gt;('1-Input'!$B$26+3),AC822,AC822-X823*(1-W823))</f>
        <v>17922.128686124022</v>
      </c>
      <c r="AD823" s="11">
        <f>IF($A823&gt;('1-Input'!$B$26+3),0,IF(AI822&lt;=0,0,MAX(0,(AI822-AJ822)/AI822)))</f>
        <v>0.73246805744072807</v>
      </c>
      <c r="AE823" s="18">
        <f>IF($A823&gt;('1-Input'!$B$26+3),0,(MAX(0,AD781-IF($A823&gt;='1-Input'!$C$12,'1-Input'!$B$12,0))-MIN(MAX(AH822,0),MAX(0,AD781-IF($A823&gt;='1-Input'!$C$12,'1-Input'!$B$12,0))))*(1/(1-'P-Parametri'!$B$6*AD823))+MIN(MAX(0,AI822-(MAX(0,AD781-IF($A823&gt;='1-Input'!$C$12,'1-Input'!$B$12,0))-MIN(MAX(AH822,0),MAX(0,AD781-IF($A823&gt;='1-Input'!$C$12,'1-Input'!$B$12,0))))*(1/(1-'P-Parametri'!$B$6*AD823))),MAX(0,0*AD781-(AH822-MIN(MAX(AH822,0),MAX(0,AD781-IF($A823&gt;='1-Input'!$C$12,'1-Input'!$B$12,0)))))*(1/(1-'P-Parametri'!$B$6*AD823))))</f>
        <v>9240.0482523187402</v>
      </c>
      <c r="AF823" s="18">
        <f>IF($A823&gt;('1-Input'!$B$26+3),AH822,(AH822-MAX(0,AD781-IF($A823&gt;='1-Input'!$C$12,'1-Input'!$B$12,0))+AE823*(1-'P-Parametri'!$B$6*AD823))*(1+'1-Input'!$B$27))</f>
        <v>0</v>
      </c>
      <c r="AG823" s="18">
        <f>IF($A823&gt;('1-Input'!$B$26+3),AI822,(AI822-AE823)*(1+'5-Roberta'!$C$4))</f>
        <v>67873.985252415005</v>
      </c>
      <c r="AH823" s="18">
        <f>IF($A823&gt;('1-Input'!$B$26+3),AF823,AF823-'P-Parametri'!$B$8*(AG823+AF823)+MIN(MAX(AG823,0),'P-Parametri'!$B$8*(AG823+AF823)))</f>
        <v>0</v>
      </c>
      <c r="AI823" s="18">
        <f>IF($A823&gt;('1-Input'!$B$26+3),AG823,AG823-MIN(MAX(AG823,0),'P-Parametri'!$B$8*(AG823+AF823)))</f>
        <v>67738.237281910173</v>
      </c>
      <c r="AJ823" s="18">
        <f>IF($A823&gt;('1-Input'!$B$26+3),AJ822,AJ822-AE823*(1-AD823))</f>
        <v>17629.5719648718</v>
      </c>
      <c r="AK823" s="11">
        <f>IF($A823&gt;('1-Input'!$B$26+3),0,IF(AP822&lt;=0,0,MAX(0,(AP822-AQ822)/AP822)))</f>
        <v>0.73246805744072774</v>
      </c>
      <c r="AL823" s="18">
        <f>IF($A823&gt;('1-Input'!$B$26+3),0,(MAX(0,AK781-IF($A823&gt;='1-Input'!$C$12,'1-Input'!$B$12,0))-MIN(MAX(AO822,0),MAX(0,AK781-IF($A823&gt;='1-Input'!$C$12,'1-Input'!$B$12,0))))*(1/(1-'P-Parametri'!$B$6*AK823))+MIN(MAX(0,AP822-(MAX(0,AK781-IF($A823&gt;='1-Input'!$C$12,'1-Input'!$B$12,0))-MIN(MAX(AO822,0),MAX(0,AK781-IF($A823&gt;='1-Input'!$C$12,'1-Input'!$B$12,0))))*(1/(1-'P-Parametri'!$B$6*AK823))),MAX(0,0*AK781-(AO822-MIN(MAX(AO822,0),MAX(0,AK781-IF($A823&gt;='1-Input'!$C$12,'1-Input'!$B$12,0)))))*(1/(1-'P-Parametri'!$B$6*AK823))))</f>
        <v>9237.7940602059298</v>
      </c>
      <c r="AM823" s="18">
        <f>IF($A823&gt;('1-Input'!$B$26+3),AO822,(AO822-MAX(0,AK781-IF($A823&gt;='1-Input'!$C$12,'1-Input'!$B$12,0))+AL823*(1-'P-Parametri'!$B$6*AK823))*(1+'1-Input'!$B$27))</f>
        <v>9.0622052084654565E-13</v>
      </c>
      <c r="AN823" s="18">
        <f>IF($A823&gt;('1-Input'!$B$26+3),AP822,(AP822-AL823)*(1+'5-Roberta'!$C$4))</f>
        <v>68028.465340011709</v>
      </c>
      <c r="AO823" s="18">
        <f>IF($A823&gt;('1-Input'!$B$26+3),AM823,AM823-'P-Parametri'!$B$8*(AN823+AM823)+MIN(MAX(AN823,0),'P-Parametri'!$B$8*(AN823+AM823)))</f>
        <v>9.0949470177292824E-13</v>
      </c>
      <c r="AP823" s="18">
        <f>IF($A823&gt;('1-Input'!$B$26+3),AN823,AN823-MIN(MAX(AN823,0),'P-Parametri'!$B$8*(AN823+AM823)))</f>
        <v>67892.408409331692</v>
      </c>
      <c r="AQ823" s="18">
        <f>IF($A823&gt;('1-Input'!$B$26+3),AQ822,AQ822-AL823*(1-AK823))</f>
        <v>17669.696584213059</v>
      </c>
    </row>
    <row r="824" spans="1:43">
      <c r="A824" s="10">
        <f>41</f>
        <v>41</v>
      </c>
      <c r="B824" s="11">
        <f>IF($A824&gt;('1-Input'!$B$26+3),0,IF(G823&lt;=0,0,MAX(0,(G823-H823)/G823)))</f>
        <v>0.73973972940125654</v>
      </c>
      <c r="C824" s="18">
        <f>IF($A824&gt;('1-Input'!$B$26+3),0,(MAX(0,B781-IF($A824&gt;='1-Input'!$C$12,'1-Input'!$B$12,0))-MIN(MAX(F823,0),MAX(0,B781-IF($A824&gt;='1-Input'!$C$12,'1-Input'!$B$12,0))))*(1/(1-'P-Parametri'!$B$6*B824))+MIN(MAX(0,G823-(MAX(0,B781-IF($A824&gt;='1-Input'!$C$12,'1-Input'!$B$12,0))-MIN(MAX(F823,0),MAX(0,B781-IF($A824&gt;='1-Input'!$C$12,'1-Input'!$B$12,0))))*(1/(1-'P-Parametri'!$B$6*B824))),MAX(0,0*B781-(F823-MIN(MAX(F823,0),MAX(0,B781-IF($A824&gt;='1-Input'!$C$12,'1-Input'!$B$12,0)))))*(1/(1-'P-Parametri'!$B$6*B824))))</f>
        <v>6907.6125235630007</v>
      </c>
      <c r="D824" s="18">
        <f>IF($A824&gt;('1-Input'!$B$26+3),F823,(F823-MAX(0,B781-IF($A824&gt;='1-Input'!$C$12,'1-Input'!$B$12,0))+C824*(1-'P-Parametri'!$B$6*B824))*(1+'1-Input'!$B$27))</f>
        <v>0</v>
      </c>
      <c r="E824" s="18">
        <f>IF($A824&gt;('1-Input'!$B$26+3),G823,(G823-C824)*(1+'5-Roberta'!$C$4))</f>
        <v>228100.08039618787</v>
      </c>
      <c r="F824" s="18">
        <f>IF($A824&gt;('1-Input'!$B$26+3),D824,D824-'P-Parametri'!$B$8*(E824+D824)+MIN(MAX(E824,0),'P-Parametri'!$B$8*(E824+D824)))</f>
        <v>0</v>
      </c>
      <c r="G824" s="18">
        <f>IF($A824&gt;('1-Input'!$B$26+3),E824,E824-MIN(MAX(E824,0),'P-Parametri'!$B$8*(E824+D824)))</f>
        <v>227643.88023539548</v>
      </c>
      <c r="H824" s="18">
        <f>IF($A824&gt;('1-Input'!$B$26+3),H823,H823-C824*(1-B824))</f>
        <v>57636.299657773801</v>
      </c>
      <c r="I824" s="11">
        <f>IF($A824&gt;('1-Input'!$B$26+3),0,IF(N823&lt;=0,0,MAX(0,(N823-O823)/N823)))</f>
        <v>0</v>
      </c>
      <c r="J824" s="18">
        <f>IF($A824&gt;('1-Input'!$B$26+3),0,(MAX(0,I781-IF($A824&gt;='1-Input'!$C$12,'1-Input'!$B$12,0))-MIN(MAX(M823,0),MAX(0,I781-IF($A824&gt;='1-Input'!$C$12,'1-Input'!$B$12,0))))*(1/(1-'P-Parametri'!$B$6*I824))+MIN(MAX(0,N823-(MAX(0,I781-IF($A824&gt;='1-Input'!$C$12,'1-Input'!$B$12,0))-MIN(MAX(M823,0),MAX(0,I781-IF($A824&gt;='1-Input'!$C$12,'1-Input'!$B$12,0))))*(1/(1-'P-Parametri'!$B$6*I824))),MAX(0,0*I781-(M823-MIN(MAX(M823,0),MAX(0,I781-IF($A824&gt;='1-Input'!$C$12,'1-Input'!$B$12,0)))))*(1/(1-'P-Parametri'!$B$6*I824))))</f>
        <v>10846.756992928691</v>
      </c>
      <c r="K824" s="18">
        <f>IF($A824&gt;('1-Input'!$B$26+3),M823,(M823-MAX(0,I781-IF($A824&gt;='1-Input'!$C$12,'1-Input'!$B$12,0))+J824*(1-'P-Parametri'!$B$6*I824))*(1+'1-Input'!$B$27))</f>
        <v>0</v>
      </c>
      <c r="L824" s="18">
        <f>IF($A824&gt;('1-Input'!$B$26+3),N823,(N823-J824)*(1+'5-Roberta'!$C$4))</f>
        <v>-196325.96679850097</v>
      </c>
      <c r="M824" s="18">
        <f>IF($A824&gt;('1-Input'!$B$26+3),K824,K824-'P-Parametri'!$B$8*(L824+K824)+MIN(MAX(L824,0),'P-Parametri'!$B$8*(L824+K824)))</f>
        <v>0</v>
      </c>
      <c r="N824" s="18">
        <f>IF($A824&gt;('1-Input'!$B$26+3),L824,L824-MIN(MAX(L824,0),'P-Parametri'!$B$8*(L824+K824)))</f>
        <v>-195933.31486490398</v>
      </c>
      <c r="O824" s="18">
        <f>IF($A824&gt;('1-Input'!$B$26+3),O823,O823-J824*(1-I824))</f>
        <v>-153895.571366127</v>
      </c>
      <c r="P824" s="11">
        <f>IF($A824&gt;('1-Input'!$B$26+3),0,IF(U823&lt;=0,0,MAX(0,(U823-V823)/U823)))</f>
        <v>0.73973972940125676</v>
      </c>
      <c r="Q824" s="18">
        <f>IF($A824&gt;('1-Input'!$B$26+3),0,(MAX(0,P781-IF($A824&gt;='1-Input'!$C$12,'1-Input'!$B$12,0))-MIN(MAX(T823,0),MAX(0,P781-IF($A824&gt;='1-Input'!$C$12,'1-Input'!$B$12,0))))*(1/(1-'P-Parametri'!$B$6*P824))+MIN(MAX(0,U823-(MAX(0,P781-IF($A824&gt;='1-Input'!$C$12,'1-Input'!$B$12,0))-MIN(MAX(T823,0),MAX(0,P781-IF($A824&gt;='1-Input'!$C$12,'1-Input'!$B$12,0))))*(1/(1-'P-Parametri'!$B$6*P824))),MAX(0,0*P781-(T823-MIN(MAX(T823,0),MAX(0,P781-IF($A824&gt;='1-Input'!$C$12,'1-Input'!$B$12,0)))))*(1/(1-'P-Parametri'!$B$6*P824))))</f>
        <v>9563.4408398510204</v>
      </c>
      <c r="R824" s="18">
        <f>IF($A824&gt;('1-Input'!$B$26+3),T823,(T823-MAX(0,P781-IF($A824&gt;='1-Input'!$C$12,'1-Input'!$B$12,0))+Q824*(1-'P-Parametri'!$B$6*P824))*(1+'1-Input'!$B$27))</f>
        <v>9.0622052084654565E-13</v>
      </c>
      <c r="S824" s="18">
        <f>IF($A824&gt;('1-Input'!$B$26+3),U823,(U823-Q824)*(1+'5-Roberta'!$C$4))</f>
        <v>38712.034421118427</v>
      </c>
      <c r="T824" s="18">
        <f>IF($A824&gt;('1-Input'!$B$26+3),R824,R824-'P-Parametri'!$B$8*(S824+R824)+MIN(MAX(S824,0),'P-Parametri'!$B$8*(S824+R824)))</f>
        <v>9.0949470177292824E-13</v>
      </c>
      <c r="U824" s="18">
        <f>IF($A824&gt;('1-Input'!$B$26+3),S824,S824-MIN(MAX(S824,0),'P-Parametri'!$B$8*(S824+R824)))</f>
        <v>38634.610352276191</v>
      </c>
      <c r="V824" s="18">
        <f>IF($A824&gt;('1-Input'!$B$26+3),V823,V823-Q824*(1-P824))</f>
        <v>9781.7519940467391</v>
      </c>
      <c r="W824" s="11">
        <f>IF($A824&gt;('1-Input'!$B$26+3),0,IF(AB823&lt;=0,0,MAX(0,(AB823-AC823)/AB823)))</f>
        <v>0.73973972940125654</v>
      </c>
      <c r="X824" s="18">
        <f>IF($A824&gt;('1-Input'!$B$26+3),0,(MAX(0,W781-IF($A824&gt;='1-Input'!$C$12,'1-Input'!$B$12,0))-MIN(MAX(AA823,0),MAX(0,W781-IF($A824&gt;='1-Input'!$C$12,'1-Input'!$B$12,0))))*(1/(1-'P-Parametri'!$B$6*W824))+MIN(MAX(0,AB823-(MAX(0,W781-IF($A824&gt;='1-Input'!$C$12,'1-Input'!$B$12,0))-MIN(MAX(AA823,0),MAX(0,W781-IF($A824&gt;='1-Input'!$C$12,'1-Input'!$B$12,0))))*(1/(1-'P-Parametri'!$B$6*W824))),MAX(0,0*W781-(AA823-MIN(MAX(AA823,0),MAX(0,W781-IF($A824&gt;='1-Input'!$C$12,'1-Input'!$B$12,0)))))*(1/(1-'P-Parametri'!$B$6*W824))))</f>
        <v>9245.2036413636615</v>
      </c>
      <c r="Y824" s="18">
        <f>IF($A824&gt;('1-Input'!$B$26+3),AA823,(AA823-MAX(0,W781-IF($A824&gt;='1-Input'!$C$12,'1-Input'!$B$12,0))+X824*(1-'P-Parametri'!$B$6*W824))*(1+'1-Input'!$B$27))</f>
        <v>0</v>
      </c>
      <c r="Z824" s="18">
        <f>IF($A824&gt;('1-Input'!$B$26+3),AB823,(AB823-X824)*(1+'5-Roberta'!$C$4))</f>
        <v>61405.640332488969</v>
      </c>
      <c r="AA824" s="18">
        <f>IF($A824&gt;('1-Input'!$B$26+3),Y824,Y824-'P-Parametri'!$B$8*(Z824+Y824)+MIN(MAX(Z824,0),'P-Parametri'!$B$8*(Z824+Y824)))</f>
        <v>0</v>
      </c>
      <c r="AB824" s="18">
        <f>IF($A824&gt;('1-Input'!$B$26+3),Z824,Z824-MIN(MAX(Z824,0),'P-Parametri'!$B$8*(Z824+Y824)))</f>
        <v>61282.829051823988</v>
      </c>
      <c r="AC824" s="18">
        <f>IF($A824&gt;('1-Input'!$B$26+3),AC823,AC823-X824*(1-W824))</f>
        <v>15515.969484682228</v>
      </c>
      <c r="AD824" s="11">
        <f>IF($A824&gt;('1-Input'!$B$26+3),0,IF(AI823&lt;=0,0,MAX(0,(AI823-AJ823)/AI823)))</f>
        <v>0.73973972940125698</v>
      </c>
      <c r="AE824" s="18">
        <f>IF($A824&gt;('1-Input'!$B$26+3),0,(MAX(0,AD781-IF($A824&gt;='1-Input'!$C$12,'1-Input'!$B$12,0))-MIN(MAX(AH823,0),MAX(0,AD781-IF($A824&gt;='1-Input'!$C$12,'1-Input'!$B$12,0))))*(1/(1-'P-Parametri'!$B$6*AD824))+MIN(MAX(0,AI823-(MAX(0,AD781-IF($A824&gt;='1-Input'!$C$12,'1-Input'!$B$12,0))-MIN(MAX(AH823,0),MAX(0,AD781-IF($A824&gt;='1-Input'!$C$12,'1-Input'!$B$12,0))))*(1/(1-'P-Parametri'!$B$6*AD824))),MAX(0,0*AD781-(AH823-MIN(MAX(AH823,0),MAX(0,AD781-IF($A824&gt;='1-Input'!$C$12,'1-Input'!$B$12,0)))))*(1/(1-'P-Parametri'!$B$6*AD824))))</f>
        <v>9261.6778861231869</v>
      </c>
      <c r="AF824" s="18">
        <f>IF($A824&gt;('1-Input'!$B$26+3),AH823,(AH823-MAX(0,AD781-IF($A824&gt;='1-Input'!$C$12,'1-Input'!$B$12,0))+AE824*(1-'P-Parametri'!$B$6*AD824))*(1+'1-Input'!$B$27))</f>
        <v>9.0622052084654565E-13</v>
      </c>
      <c r="AG824" s="18">
        <f>IF($A824&gt;('1-Input'!$B$26+3),AI823,(AI823-AE824)*(1+'5-Roberta'!$C$4))</f>
        <v>60230.8561776606</v>
      </c>
      <c r="AH824" s="18">
        <f>IF($A824&gt;('1-Input'!$B$26+3),AF824,AF824-'P-Parametri'!$B$8*(AG824+AF824)+MIN(MAX(AG824,0),'P-Parametri'!$B$8*(AG824+AF824)))</f>
        <v>9.0949470177292824E-13</v>
      </c>
      <c r="AI824" s="18">
        <f>IF($A824&gt;('1-Input'!$B$26+3),AG824,AG824-MIN(MAX(AG824,0),'P-Parametri'!$B$8*(AG824+AF824)))</f>
        <v>60110.394465305282</v>
      </c>
      <c r="AJ824" s="18">
        <f>IF($A824&gt;('1-Input'!$B$26+3),AJ823,AJ823-AE824*(1-AD824))</f>
        <v>15219.125172030985</v>
      </c>
      <c r="AK824" s="11">
        <f>IF($A824&gt;('1-Input'!$B$26+3),0,IF(AP823&lt;=0,0,MAX(0,(AP823-AQ823)/AP823)))</f>
        <v>0.73973972940125676</v>
      </c>
      <c r="AL824" s="18">
        <f>IF($A824&gt;('1-Input'!$B$26+3),0,(MAX(0,AK781-IF($A824&gt;='1-Input'!$C$12,'1-Input'!$B$12,0))-MIN(MAX(AO823,0),MAX(0,AK781-IF($A824&gt;='1-Input'!$C$12,'1-Input'!$B$12,0))))*(1/(1-'P-Parametri'!$B$6*AK824))+MIN(MAX(0,AP823-(MAX(0,AK781-IF($A824&gt;='1-Input'!$C$12,'1-Input'!$B$12,0))-MIN(MAX(AO823,0),MAX(0,AK781-IF($A824&gt;='1-Input'!$C$12,'1-Input'!$B$12,0))))*(1/(1-'P-Parametri'!$B$6*AK824))),MAX(0,0*AK781-(AO823-MIN(MAX(AO823,0),MAX(0,AK781-IF($A824&gt;='1-Input'!$C$12,'1-Input'!$B$12,0)))))*(1/(1-'P-Parametri'!$B$6*AK824))))</f>
        <v>9259.4184172684581</v>
      </c>
      <c r="AM824" s="18">
        <f>IF($A824&gt;('1-Input'!$B$26+3),AO823,(AO823-MAX(0,AK781-IF($A824&gt;='1-Input'!$C$12,'1-Input'!$B$12,0))+AL824*(1-'P-Parametri'!$B$6*AK824))*(1+'1-Input'!$B$27))</f>
        <v>9.0622052084654565E-13</v>
      </c>
      <c r="AN824" s="18">
        <f>IF($A824&gt;('1-Input'!$B$26+3),AP823,(AP823-AL824)*(1+'5-Roberta'!$C$4))</f>
        <v>60391.97969182513</v>
      </c>
      <c r="AO824" s="18">
        <f>IF($A824&gt;('1-Input'!$B$26+3),AM824,AM824-'P-Parametri'!$B$8*(AN824+AM824)+MIN(MAX(AN824,0),'P-Parametri'!$B$8*(AN824+AM824)))</f>
        <v>9.0949470177292824E-13</v>
      </c>
      <c r="AP824" s="18">
        <f>IF($A824&gt;('1-Input'!$B$26+3),AN824,AN824-MIN(MAX(AN824,0),'P-Parametri'!$B$8*(AN824+AM824)))</f>
        <v>60271.195732441483</v>
      </c>
      <c r="AQ824" s="18">
        <f>IF($A824&gt;('1-Input'!$B$26+3),AQ823,AQ823-AL824*(1-AK824))</f>
        <v>15259.837841347784</v>
      </c>
    </row>
    <row r="825" spans="1:43">
      <c r="A825" s="10">
        <f>42</f>
        <v>42</v>
      </c>
      <c r="B825" s="11">
        <f>IF($A825&gt;('1-Input'!$B$26+3),0,IF(G824&lt;=0,0,MAX(0,(G824-H824)/G824)))</f>
        <v>0.74681375313856491</v>
      </c>
      <c r="C825" s="18">
        <f>IF($A825&gt;('1-Input'!$B$26+3),0,(MAX(0,B781-IF($A825&gt;='1-Input'!$C$12,'1-Input'!$B$12,0))-MIN(MAX(F824,0),MAX(0,B781-IF($A825&gt;='1-Input'!$C$12,'1-Input'!$B$12,0))))*(1/(1-'P-Parametri'!$B$6*B825))+MIN(MAX(0,G824-(MAX(0,B781-IF($A825&gt;='1-Input'!$C$12,'1-Input'!$B$12,0))-MIN(MAX(F824,0),MAX(0,B781-IF($A825&gt;='1-Input'!$C$12,'1-Input'!$B$12,0))))*(1/(1-'P-Parametri'!$B$6*B825))),MAX(0,0*B781-(F824-MIN(MAX(F824,0),MAX(0,B781-IF($A825&gt;='1-Input'!$C$12,'1-Input'!$B$12,0)))))*(1/(1-'P-Parametri'!$B$6*B825))))</f>
        <v>6923.3786587702771</v>
      </c>
      <c r="D825" s="18">
        <f>IF($A825&gt;('1-Input'!$B$26+3),F824,(F824-MAX(0,B781-IF($A825&gt;='1-Input'!$C$12,'1-Input'!$B$12,0))+C825*(1-'P-Parametri'!$B$6*B825))*(1+'1-Input'!$B$27))</f>
        <v>-9.0622052084654565E-13</v>
      </c>
      <c r="E825" s="18">
        <f>IF($A825&gt;('1-Input'!$B$26+3),G824,(G824-C825)*(1+'5-Roberta'!$C$4))</f>
        <v>227342.11662392397</v>
      </c>
      <c r="F825" s="18">
        <f>IF($A825&gt;('1-Input'!$B$26+3),D825,D825-'P-Parametri'!$B$8*(E825+D825)+MIN(MAX(E825,0),'P-Parametri'!$B$8*(E825+D825)))</f>
        <v>-9.0949470177292824E-13</v>
      </c>
      <c r="G825" s="18">
        <f>IF($A825&gt;('1-Input'!$B$26+3),E825,E825-MIN(MAX(E825,0),'P-Parametri'!$B$8*(E825+D825)))</f>
        <v>226887.43239067611</v>
      </c>
      <c r="H825" s="18">
        <f>IF($A825&gt;('1-Input'!$B$26+3),H824,H824-C825*(1-B825))</f>
        <v>55883.395399559202</v>
      </c>
      <c r="I825" s="11">
        <f>IF($A825&gt;('1-Input'!$B$26+3),0,IF(N824&lt;=0,0,MAX(0,(N824-O824)/N824)))</f>
        <v>0</v>
      </c>
      <c r="J825" s="18">
        <f>IF($A825&gt;('1-Input'!$B$26+3),0,(MAX(0,I781-IF($A825&gt;='1-Input'!$C$12,'1-Input'!$B$12,0))-MIN(MAX(M824,0),MAX(0,I781-IF($A825&gt;='1-Input'!$C$12,'1-Input'!$B$12,0))))*(1/(1-'P-Parametri'!$B$6*I825))+MIN(MAX(0,N824-(MAX(0,I781-IF($A825&gt;='1-Input'!$C$12,'1-Input'!$B$12,0))-MIN(MAX(M824,0),MAX(0,I781-IF($A825&gt;='1-Input'!$C$12,'1-Input'!$B$12,0))))*(1/(1-'P-Parametri'!$B$6*I825))),MAX(0,0*I781-(M824-MIN(MAX(M824,0),MAX(0,I781-IF($A825&gt;='1-Input'!$C$12,'1-Input'!$B$12,0)))))*(1/(1-'P-Parametri'!$B$6*I825))))</f>
        <v>10846.756992928691</v>
      </c>
      <c r="K825" s="18">
        <f>IF($A825&gt;('1-Input'!$B$26+3),M824,(M824-MAX(0,I781-IF($A825&gt;='1-Input'!$C$12,'1-Input'!$B$12,0))+J825*(1-'P-Parametri'!$B$6*I825))*(1+'1-Input'!$B$27))</f>
        <v>0</v>
      </c>
      <c r="L825" s="18">
        <f>IF($A825&gt;('1-Input'!$B$26+3),N824,(N824-J825)*(1+'5-Roberta'!$C$4))</f>
        <v>-212983.47401356764</v>
      </c>
      <c r="M825" s="18">
        <f>IF($A825&gt;('1-Input'!$B$26+3),K825,K825-'P-Parametri'!$B$8*(L825+K825)+MIN(MAX(L825,0),'P-Parametri'!$B$8*(L825+K825)))</f>
        <v>0</v>
      </c>
      <c r="N825" s="18">
        <f>IF($A825&gt;('1-Input'!$B$26+3),L825,L825-MIN(MAX(L825,0),'P-Parametri'!$B$8*(L825+K825)))</f>
        <v>-212557.5070655405</v>
      </c>
      <c r="O825" s="18">
        <f>IF($A825&gt;('1-Input'!$B$26+3),O824,O824-J825*(1-I825))</f>
        <v>-164742.32835905568</v>
      </c>
      <c r="P825" s="11">
        <f>IF($A825&gt;('1-Input'!$B$26+3),0,IF(U824&lt;=0,0,MAX(0,(U824-V824)/U824)))</f>
        <v>0.74681375313856535</v>
      </c>
      <c r="Q825" s="18">
        <f>IF($A825&gt;('1-Input'!$B$26+3),0,(MAX(0,P781-IF($A825&gt;='1-Input'!$C$12,'1-Input'!$B$12,0))-MIN(MAX(T824,0),MAX(0,P781-IF($A825&gt;='1-Input'!$C$12,'1-Input'!$B$12,0))))*(1/(1-'P-Parametri'!$B$6*P825))+MIN(MAX(0,U824-(MAX(0,P781-IF($A825&gt;='1-Input'!$C$12,'1-Input'!$B$12,0))-MIN(MAX(T824,0),MAX(0,P781-IF($A825&gt;='1-Input'!$C$12,'1-Input'!$B$12,0))))*(1/(1-'P-Parametri'!$B$6*P825))),MAX(0,0*P781-(T824-MIN(MAX(T824,0),MAX(0,P781-IF($A825&gt;='1-Input'!$C$12,'1-Input'!$B$12,0)))))*(1/(1-'P-Parametri'!$B$6*P825))))</f>
        <v>9585.2687146505323</v>
      </c>
      <c r="R825" s="18">
        <f>IF($A825&gt;('1-Input'!$B$26+3),T824,(T824-MAX(0,P781-IF($A825&gt;='1-Input'!$C$12,'1-Input'!$B$12,0))+Q825*(1-'P-Parametri'!$B$6*P825))*(1+'1-Input'!$B$27))</f>
        <v>9.0622052084654565E-13</v>
      </c>
      <c r="S825" s="18">
        <f>IF($A825&gt;('1-Input'!$B$26+3),U824,(U824-Q825)*(1+'5-Roberta'!$C$4))</f>
        <v>29920.821886754427</v>
      </c>
      <c r="T825" s="18">
        <f>IF($A825&gt;('1-Input'!$B$26+3),R825,R825-'P-Parametri'!$B$8*(S825+R825)+MIN(MAX(S825,0),'P-Parametri'!$B$8*(S825+R825)))</f>
        <v>9.0949470177292824E-13</v>
      </c>
      <c r="U825" s="18">
        <f>IF($A825&gt;('1-Input'!$B$26+3),S825,S825-MIN(MAX(S825,0),'P-Parametri'!$B$8*(S825+R825)))</f>
        <v>29860.980242980917</v>
      </c>
      <c r="V825" s="18">
        <f>IF($A825&gt;('1-Input'!$B$26+3),V824,V824-Q825*(1-P825))</f>
        <v>7354.8937830260429</v>
      </c>
      <c r="W825" s="11">
        <f>IF($A825&gt;('1-Input'!$B$26+3),0,IF(AB824&lt;=0,0,MAX(0,(AB824-AC824)/AB824)))</f>
        <v>0.74681375313856491</v>
      </c>
      <c r="X825" s="18">
        <f>IF($A825&gt;('1-Input'!$B$26+3),0,(MAX(0,W781-IF($A825&gt;='1-Input'!$C$12,'1-Input'!$B$12,0))-MIN(MAX(AA824,0),MAX(0,W781-IF($A825&gt;='1-Input'!$C$12,'1-Input'!$B$12,0))))*(1/(1-'P-Parametri'!$B$6*W825))+MIN(MAX(0,AB824-(MAX(0,W781-IF($A825&gt;='1-Input'!$C$12,'1-Input'!$B$12,0))-MIN(MAX(AA824,0),MAX(0,W781-IF($A825&gt;='1-Input'!$C$12,'1-Input'!$B$12,0))))*(1/(1-'P-Parametri'!$B$6*W825))),MAX(0,0*W781-(AA824-MIN(MAX(AA824,0),MAX(0,W781-IF($A825&gt;='1-Input'!$C$12,'1-Input'!$B$12,0)))))*(1/(1-'P-Parametri'!$B$6*W825))))</f>
        <v>9266.3051623495812</v>
      </c>
      <c r="Y825" s="18">
        <f>IF($A825&gt;('1-Input'!$B$26+3),AA824,(AA824-MAX(0,W781-IF($A825&gt;='1-Input'!$C$12,'1-Input'!$B$12,0))+X825*(1-'P-Parametri'!$B$6*W825))*(1+'1-Input'!$B$27))</f>
        <v>0</v>
      </c>
      <c r="Z825" s="18">
        <f>IF($A825&gt;('1-Input'!$B$26+3),AB824,(AB824-X825)*(1+'5-Roberta'!$C$4))</f>
        <v>53577.019606158647</v>
      </c>
      <c r="AA825" s="18">
        <f>IF($A825&gt;('1-Input'!$B$26+3),Y825,Y825-'P-Parametri'!$B$8*(Z825+Y825)+MIN(MAX(Z825,0),'P-Parametri'!$B$8*(Z825+Y825)))</f>
        <v>0</v>
      </c>
      <c r="AB825" s="18">
        <f>IF($A825&gt;('1-Input'!$B$26+3),Z825,Z825-MIN(MAX(Z825,0),'P-Parametri'!$B$8*(Z825+Y825)))</f>
        <v>53469.865566946326</v>
      </c>
      <c r="AC825" s="18">
        <f>IF($A825&gt;('1-Input'!$B$26+3),AC824,AC824-X825*(1-W825))</f>
        <v>13169.868458354196</v>
      </c>
      <c r="AD825" s="11">
        <f>IF($A825&gt;('1-Input'!$B$26+3),0,IF(AI824&lt;=0,0,MAX(0,(AI824-AJ824)/AI824)))</f>
        <v>0.74681375313856546</v>
      </c>
      <c r="AE825" s="18">
        <f>IF($A825&gt;('1-Input'!$B$26+3),0,(MAX(0,AD781-IF($A825&gt;='1-Input'!$C$12,'1-Input'!$B$12,0))-MIN(MAX(AH824,0),MAX(0,AD781-IF($A825&gt;='1-Input'!$C$12,'1-Input'!$B$12,0))))*(1/(1-'P-Parametri'!$B$6*AD825))+MIN(MAX(0,AI824-(MAX(0,AD781-IF($A825&gt;='1-Input'!$C$12,'1-Input'!$B$12,0))-MIN(MAX(AH824,0),MAX(0,AD781-IF($A825&gt;='1-Input'!$C$12,'1-Input'!$B$12,0))))*(1/(1-'P-Parametri'!$B$6*AD825))),MAX(0,0*AD781-(AH824-MIN(MAX(AH824,0),MAX(0,AD781-IF($A825&gt;='1-Input'!$C$12,'1-Input'!$B$12,0)))))*(1/(1-'P-Parametri'!$B$6*AD825))))</f>
        <v>9282.8170084032463</v>
      </c>
      <c r="AF825" s="18">
        <f>IF($A825&gt;('1-Input'!$B$26+3),AH824,(AH824-MAX(0,AD781-IF($A825&gt;='1-Input'!$C$12,'1-Input'!$B$12,0))+AE825*(1-'P-Parametri'!$B$6*AD825))*(1+'1-Input'!$B$27))</f>
        <v>9.0622052084654565E-13</v>
      </c>
      <c r="AG825" s="18">
        <f>IF($A825&gt;('1-Input'!$B$26+3),AI824,(AI824-AE825)*(1+'5-Roberta'!$C$4))</f>
        <v>52352.404780609097</v>
      </c>
      <c r="AH825" s="18">
        <f>IF($A825&gt;('1-Input'!$B$26+3),AF825,AF825-'P-Parametri'!$B$8*(AG825+AF825)+MIN(MAX(AG825,0),'P-Parametri'!$B$8*(AG825+AF825)))</f>
        <v>9.0949470177292824E-13</v>
      </c>
      <c r="AI825" s="18">
        <f>IF($A825&gt;('1-Input'!$B$26+3),AG825,AG825-MIN(MAX(AG825,0),'P-Parametri'!$B$8*(AG825+AF825)))</f>
        <v>52247.699971047878</v>
      </c>
      <c r="AJ825" s="18">
        <f>IF($A825&gt;('1-Input'!$B$26+3),AJ824,AJ824-AE825*(1-AD825))</f>
        <v>12868.843573371876</v>
      </c>
      <c r="AK825" s="11">
        <f>IF($A825&gt;('1-Input'!$B$26+3),0,IF(AP824&lt;=0,0,MAX(0,(AP824-AQ824)/AP824)))</f>
        <v>0.74681375313856524</v>
      </c>
      <c r="AL825" s="18">
        <f>IF($A825&gt;('1-Input'!$B$26+3),0,(MAX(0,AK781-IF($A825&gt;='1-Input'!$C$12,'1-Input'!$B$12,0))-MIN(MAX(AO824,0),MAX(0,AK781-IF($A825&gt;='1-Input'!$C$12,'1-Input'!$B$12,0))))*(1/(1-'P-Parametri'!$B$6*AK825))+MIN(MAX(0,AP824-(MAX(0,AK781-IF($A825&gt;='1-Input'!$C$12,'1-Input'!$B$12,0))-MIN(MAX(AO824,0),MAX(0,AK781-IF($A825&gt;='1-Input'!$C$12,'1-Input'!$B$12,0))))*(1/(1-'P-Parametri'!$B$6*AK825))),MAX(0,0*AK781-(AO824-MIN(MAX(AO824,0),MAX(0,AK781-IF($A825&gt;='1-Input'!$C$12,'1-Input'!$B$12,0)))))*(1/(1-'P-Parametri'!$B$6*AK825))))</f>
        <v>9280.5523824712564</v>
      </c>
      <c r="AM825" s="18">
        <f>IF($A825&gt;('1-Input'!$B$26+3),AO824,(AO824-MAX(0,AK781-IF($A825&gt;='1-Input'!$C$12,'1-Input'!$B$12,0))+AL825*(1-'P-Parametri'!$B$6*AK825))*(1+'1-Input'!$B$27))</f>
        <v>0</v>
      </c>
      <c r="AN825" s="18">
        <f>IF($A825&gt;('1-Input'!$B$26+3),AP824,(AP824-AL825)*(1+'5-Roberta'!$C$4))</f>
        <v>52520.362650469331</v>
      </c>
      <c r="AO825" s="18">
        <f>IF($A825&gt;('1-Input'!$B$26+3),AM825,AM825-'P-Parametri'!$B$8*(AN825+AM825)+MIN(MAX(AN825,0),'P-Parametri'!$B$8*(AN825+AM825)))</f>
        <v>0</v>
      </c>
      <c r="AP825" s="18">
        <f>IF($A825&gt;('1-Input'!$B$26+3),AN825,AN825-MIN(MAX(AN825,0),'P-Parametri'!$B$8*(AN825+AM825)))</f>
        <v>52415.321925168391</v>
      </c>
      <c r="AQ825" s="18">
        <f>IF($A825&gt;('1-Input'!$B$26+3),AQ824,AQ824-AL825*(1-AK825))</f>
        <v>12910.12961482894</v>
      </c>
    </row>
    <row r="826" spans="1:43">
      <c r="A826" s="10">
        <f>43</f>
        <v>43</v>
      </c>
      <c r="B826" s="11">
        <f>IF($A826&gt;('1-Input'!$B$26+3),0,IF(G825&lt;=0,0,MAX(0,(G825-H825)/G825)))</f>
        <v>0.75369550084495684</v>
      </c>
      <c r="C826" s="18">
        <f>IF($A826&gt;('1-Input'!$B$26+3),0,(MAX(0,B781-IF($A826&gt;='1-Input'!$C$12,'1-Input'!$B$12,0))-MIN(MAX(F825,0),MAX(0,B781-IF($A826&gt;='1-Input'!$C$12,'1-Input'!$B$12,0))))*(1/(1-'P-Parametri'!$B$6*B826))+MIN(MAX(0,G825-(MAX(0,B781-IF($A826&gt;='1-Input'!$C$12,'1-Input'!$B$12,0))-MIN(MAX(F825,0),MAX(0,B781-IF($A826&gt;='1-Input'!$C$12,'1-Input'!$B$12,0))))*(1/(1-'P-Parametri'!$B$6*B826))),MAX(0,0*B781-(F825-MIN(MAX(F825,0),MAX(0,B781-IF($A826&gt;='1-Input'!$C$12,'1-Input'!$B$12,0)))))*(1/(1-'P-Parametri'!$B$6*B826))))</f>
        <v>6938.7854775161968</v>
      </c>
      <c r="D826" s="18">
        <f>IF($A826&gt;('1-Input'!$B$26+3),F825,(F825-MAX(0,B781-IF($A826&gt;='1-Input'!$C$12,'1-Input'!$B$12,0))+C826*(1-'P-Parametri'!$B$6*B826))*(1+'1-Input'!$B$27))</f>
        <v>0</v>
      </c>
      <c r="E826" s="18">
        <f>IF($A826&gt;('1-Input'!$B$26+3),G825,(G825-C826)*(1+'5-Roberta'!$C$4))</f>
        <v>226547.10632055474</v>
      </c>
      <c r="F826" s="18">
        <f>IF($A826&gt;('1-Input'!$B$26+3),D826,D826-'P-Parametri'!$B$8*(E826+D826)+MIN(MAX(E826,0),'P-Parametri'!$B$8*(E826+D826)))</f>
        <v>0</v>
      </c>
      <c r="G826" s="18">
        <f>IF($A826&gt;('1-Input'!$B$26+3),E826,E826-MIN(MAX(E826,0),'P-Parametri'!$B$8*(E826+D826)))</f>
        <v>226094.01210791364</v>
      </c>
      <c r="H826" s="18">
        <f>IF($A826&gt;('1-Input'!$B$26+3),H825,H825-C826*(1-B826))</f>
        <v>54174.341317775288</v>
      </c>
      <c r="I826" s="11">
        <f>IF($A826&gt;('1-Input'!$B$26+3),0,IF(N825&lt;=0,0,MAX(0,(N825-O825)/N825)))</f>
        <v>0</v>
      </c>
      <c r="J826" s="18">
        <f>IF($A826&gt;('1-Input'!$B$26+3),0,(MAX(0,I781-IF($A826&gt;='1-Input'!$C$12,'1-Input'!$B$12,0))-MIN(MAX(M825,0),MAX(0,I781-IF($A826&gt;='1-Input'!$C$12,'1-Input'!$B$12,0))))*(1/(1-'P-Parametri'!$B$6*I826))+MIN(MAX(0,N825-(MAX(0,I781-IF($A826&gt;='1-Input'!$C$12,'1-Input'!$B$12,0))-MIN(MAX(M825,0),MAX(0,I781-IF($A826&gt;='1-Input'!$C$12,'1-Input'!$B$12,0))))*(1/(1-'P-Parametri'!$B$6*I826))),MAX(0,0*I781-(M825-MIN(MAX(M825,0),MAX(0,I781-IF($A826&gt;='1-Input'!$C$12,'1-Input'!$B$12,0)))))*(1/(1-'P-Parametri'!$B$6*I826))))</f>
        <v>10846.756992928691</v>
      </c>
      <c r="K826" s="18">
        <f>IF($A826&gt;('1-Input'!$B$26+3),M825,(M825-MAX(0,I781-IF($A826&gt;='1-Input'!$C$12,'1-Input'!$B$12,0))+J826*(1-'P-Parametri'!$B$6*I826))*(1+'1-Input'!$B$27))</f>
        <v>0</v>
      </c>
      <c r="L826" s="18">
        <f>IF($A826&gt;('1-Input'!$B$26+3),N825,(N825-J826)*(1+'5-Roberta'!$C$4))</f>
        <v>-230106.39198022327</v>
      </c>
      <c r="M826" s="18">
        <f>IF($A826&gt;('1-Input'!$B$26+3),K826,K826-'P-Parametri'!$B$8*(L826+K826)+MIN(MAX(L826,0),'P-Parametri'!$B$8*(L826+K826)))</f>
        <v>0</v>
      </c>
      <c r="N826" s="18">
        <f>IF($A826&gt;('1-Input'!$B$26+3),L826,L826-MIN(MAX(L826,0),'P-Parametri'!$B$8*(L826+K826)))</f>
        <v>-229646.17919626282</v>
      </c>
      <c r="O826" s="18">
        <f>IF($A826&gt;('1-Input'!$B$26+3),O825,O825-J826*(1-I826))</f>
        <v>-175589.08535198437</v>
      </c>
      <c r="P826" s="11">
        <f>IF($A826&gt;('1-Input'!$B$26+3),0,IF(U825&lt;=0,0,MAX(0,(U825-V825)/U825)))</f>
        <v>0.75369550084495718</v>
      </c>
      <c r="Q826" s="18">
        <f>IF($A826&gt;('1-Input'!$B$26+3),0,(MAX(0,P781-IF($A826&gt;='1-Input'!$C$12,'1-Input'!$B$12,0))-MIN(MAX(T825,0),MAX(0,P781-IF($A826&gt;='1-Input'!$C$12,'1-Input'!$B$12,0))))*(1/(1-'P-Parametri'!$B$6*P826))+MIN(MAX(0,U825-(MAX(0,P781-IF($A826&gt;='1-Input'!$C$12,'1-Input'!$B$12,0))-MIN(MAX(T825,0),MAX(0,P781-IF($A826&gt;='1-Input'!$C$12,'1-Input'!$B$12,0))))*(1/(1-'P-Parametri'!$B$6*P826))),MAX(0,0*P781-(T825-MIN(MAX(T825,0),MAX(0,P781-IF($A826&gt;='1-Input'!$C$12,'1-Input'!$B$12,0)))))*(1/(1-'P-Parametri'!$B$6*P826))))</f>
        <v>9606.5991235442398</v>
      </c>
      <c r="R826" s="18">
        <f>IF($A826&gt;('1-Input'!$B$26+3),T825,(T825-MAX(0,P781-IF($A826&gt;='1-Input'!$C$12,'1-Input'!$B$12,0))+Q826*(1-'P-Parametri'!$B$6*P826))*(1+'1-Input'!$B$27))</f>
        <v>0</v>
      </c>
      <c r="S826" s="18">
        <f>IF($A826&gt;('1-Input'!$B$26+3),U825,(U825-Q826)*(1+'5-Roberta'!$C$4))</f>
        <v>20862.01255301978</v>
      </c>
      <c r="T826" s="18">
        <f>IF($A826&gt;('1-Input'!$B$26+3),R826,R826-'P-Parametri'!$B$8*(S826+R826)+MIN(MAX(S826,0),'P-Parametri'!$B$8*(S826+R826)))</f>
        <v>0</v>
      </c>
      <c r="U826" s="18">
        <f>IF($A826&gt;('1-Input'!$B$26+3),S826,S826-MIN(MAX(S826,0),'P-Parametri'!$B$8*(S826+R826)))</f>
        <v>20820.288527913741</v>
      </c>
      <c r="V826" s="18">
        <f>IF($A826&gt;('1-Input'!$B$26+3),V825,V825-Q826*(1-P826))</f>
        <v>4988.7451973182051</v>
      </c>
      <c r="W826" s="11">
        <f>IF($A826&gt;('1-Input'!$B$26+3),0,IF(AB825&lt;=0,0,MAX(0,(AB825-AC825)/AB825)))</f>
        <v>0.75369550084495696</v>
      </c>
      <c r="X826" s="18">
        <f>IF($A826&gt;('1-Input'!$B$26+3),0,(MAX(0,W781-IF($A826&gt;='1-Input'!$C$12,'1-Input'!$B$12,0))-MIN(MAX(AA825,0),MAX(0,W781-IF($A826&gt;='1-Input'!$C$12,'1-Input'!$B$12,0))))*(1/(1-'P-Parametri'!$B$6*W826))+MIN(MAX(0,AB825-(MAX(0,W781-IF($A826&gt;='1-Input'!$C$12,'1-Input'!$B$12,0))-MIN(MAX(AA825,0),MAX(0,W781-IF($A826&gt;='1-Input'!$C$12,'1-Input'!$B$12,0))))*(1/(1-'P-Parametri'!$B$6*W826))),MAX(0,0*W781-(AA825-MIN(MAX(AA825,0),MAX(0,W781-IF($A826&gt;='1-Input'!$C$12,'1-Input'!$B$12,0)))))*(1/(1-'P-Parametri'!$B$6*W826))))</f>
        <v>9286.9257713205843</v>
      </c>
      <c r="Y826" s="18">
        <f>IF($A826&gt;('1-Input'!$B$26+3),AA825,(AA825-MAX(0,W781-IF($A826&gt;='1-Input'!$C$12,'1-Input'!$B$12,0))+X826*(1-'P-Parametri'!$B$6*W826))*(1+'1-Input'!$B$27))</f>
        <v>9.0622052084654565E-13</v>
      </c>
      <c r="Z826" s="18">
        <f>IF($A826&gt;('1-Input'!$B$26+3),AB825,(AB825-X826)*(1+'5-Roberta'!$C$4))</f>
        <v>45508.427989494521</v>
      </c>
      <c r="AA826" s="18">
        <f>IF($A826&gt;('1-Input'!$B$26+3),Y826,Y826-'P-Parametri'!$B$8*(Z826+Y826)+MIN(MAX(Z826,0),'P-Parametri'!$B$8*(Z826+Y826)))</f>
        <v>9.0949470177292824E-13</v>
      </c>
      <c r="AB826" s="18">
        <f>IF($A826&gt;('1-Input'!$B$26+3),Z826,Z826-MIN(MAX(Z826,0),'P-Parametri'!$B$8*(Z826+Y826)))</f>
        <v>45417.411133515532</v>
      </c>
      <c r="AC826" s="18">
        <f>IF($A826&gt;('1-Input'!$B$26+3),AC825,AC825-X826*(1-W826))</f>
        <v>10882.456857559018</v>
      </c>
      <c r="AD826" s="11">
        <f>IF($A826&gt;('1-Input'!$B$26+3),0,IF(AI825&lt;=0,0,MAX(0,(AI825-AJ825)/AI825)))</f>
        <v>0.75369550084495762</v>
      </c>
      <c r="AE826" s="18">
        <f>IF($A826&gt;('1-Input'!$B$26+3),0,(MAX(0,AD781-IF($A826&gt;='1-Input'!$C$12,'1-Input'!$B$12,0))-MIN(MAX(AH825,0),MAX(0,AD781-IF($A826&gt;='1-Input'!$C$12,'1-Input'!$B$12,0))))*(1/(1-'P-Parametri'!$B$6*AD826))+MIN(MAX(0,AI825-(MAX(0,AD781-IF($A826&gt;='1-Input'!$C$12,'1-Input'!$B$12,0))-MIN(MAX(AH825,0),MAX(0,AD781-IF($A826&gt;='1-Input'!$C$12,'1-Input'!$B$12,0))))*(1/(1-'P-Parametri'!$B$6*AD826))),MAX(0,0*AD781-(AH825-MIN(MAX(AH825,0),MAX(0,AD781-IF($A826&gt;='1-Input'!$C$12,'1-Input'!$B$12,0)))))*(1/(1-'P-Parametri'!$B$6*AD826))))</f>
        <v>9303.4743617200147</v>
      </c>
      <c r="AF826" s="18">
        <f>IF($A826&gt;('1-Input'!$B$26+3),AH825,(AH825-MAX(0,AD781-IF($A826&gt;='1-Input'!$C$12,'1-Input'!$B$12,0))+AE826*(1-'P-Parametri'!$B$6*AD826))*(1+'1-Input'!$B$27))</f>
        <v>0</v>
      </c>
      <c r="AG826" s="18">
        <f>IF($A826&gt;('1-Input'!$B$26+3),AI825,(AI825-AE826)*(1+'5-Roberta'!$C$4))</f>
        <v>44232.552377607703</v>
      </c>
      <c r="AH826" s="18">
        <f>IF($A826&gt;('1-Input'!$B$26+3),AF826,AF826-'P-Parametri'!$B$8*(AG826+AF826)+MIN(MAX(AG826,0),'P-Parametri'!$B$8*(AG826+AF826)))</f>
        <v>0</v>
      </c>
      <c r="AI826" s="18">
        <f>IF($A826&gt;('1-Input'!$B$26+3),AG826,AG826-MIN(MAX(AG826,0),'P-Parametri'!$B$8*(AG826+AF826)))</f>
        <v>44144.087272852485</v>
      </c>
      <c r="AJ826" s="18">
        <f>IF($A826&gt;('1-Input'!$B$26+3),AJ825,AJ825-AE826*(1-AD826))</f>
        <v>10577.355980306651</v>
      </c>
      <c r="AK826" s="11">
        <f>IF($A826&gt;('1-Input'!$B$26+3),0,IF(AP825&lt;=0,0,MAX(0,(AP825-AQ825)/AP825)))</f>
        <v>0.75369550084495707</v>
      </c>
      <c r="AL826" s="18">
        <f>IF($A826&gt;('1-Input'!$B$26+3),0,(MAX(0,AK781-IF($A826&gt;='1-Input'!$C$12,'1-Input'!$B$12,0))-MIN(MAX(AO825,0),MAX(0,AK781-IF($A826&gt;='1-Input'!$C$12,'1-Input'!$B$12,0))))*(1/(1-'P-Parametri'!$B$6*AK826))+MIN(MAX(0,AP825-(MAX(0,AK781-IF($A826&gt;='1-Input'!$C$12,'1-Input'!$B$12,0))-MIN(MAX(AO825,0),MAX(0,AK781-IF($A826&gt;='1-Input'!$C$12,'1-Input'!$B$12,0))))*(1/(1-'P-Parametri'!$B$6*AK826))),MAX(0,0*AK781-(AO825-MIN(MAX(AO825,0),MAX(0,AK781-IF($A826&gt;='1-Input'!$C$12,'1-Input'!$B$12,0)))))*(1/(1-'P-Parametri'!$B$6*AK826))))</f>
        <v>9301.2046962425993</v>
      </c>
      <c r="AM826" s="18">
        <f>IF($A826&gt;('1-Input'!$B$26+3),AO825,(AO825-MAX(0,AK781-IF($A826&gt;='1-Input'!$C$12,'1-Input'!$B$12,0))+AL826*(1-'P-Parametri'!$B$6*AK826))*(1+'1-Input'!$B$27))</f>
        <v>0</v>
      </c>
      <c r="AN826" s="18">
        <f>IF($A826&gt;('1-Input'!$B$26+3),AP825,(AP825-AL826)*(1+'5-Roberta'!$C$4))</f>
        <v>44407.540745793573</v>
      </c>
      <c r="AO826" s="18">
        <f>IF($A826&gt;('1-Input'!$B$26+3),AM826,AM826-'P-Parametri'!$B$8*(AN826+AM826)+MIN(MAX(AN826,0),'P-Parametri'!$B$8*(AN826+AM826)))</f>
        <v>0</v>
      </c>
      <c r="AP826" s="18">
        <f>IF($A826&gt;('1-Input'!$B$26+3),AN826,AN826-MIN(MAX(AN826,0),'P-Parametri'!$B$8*(AN826+AM826)))</f>
        <v>44318.725664301986</v>
      </c>
      <c r="AQ826" s="18">
        <f>IF($A826&gt;('1-Input'!$B$26+3),AQ825,AQ825-AL826*(1-AK826))</f>
        <v>10619.201050582375</v>
      </c>
    </row>
    <row r="827" spans="1:43">
      <c r="A827" s="10">
        <f>44</f>
        <v>44</v>
      </c>
      <c r="B827" s="11">
        <f>IF($A827&gt;('1-Input'!$B$26+3),0,IF(G826&lt;=0,0,MAX(0,(G826-H826)/G826)))</f>
        <v>0.76039019869346158</v>
      </c>
      <c r="C827" s="18">
        <f>IF($A827&gt;('1-Input'!$B$26+3),0,(MAX(0,B781-IF($A827&gt;='1-Input'!$C$12,'1-Input'!$B$12,0))-MIN(MAX(F826,0),MAX(0,B781-IF($A827&gt;='1-Input'!$C$12,'1-Input'!$B$12,0))))*(1/(1-'P-Parametri'!$B$6*B827))+MIN(MAX(0,G826-(MAX(0,B781-IF($A827&gt;='1-Input'!$C$12,'1-Input'!$B$12,0))-MIN(MAX(F826,0),MAX(0,B781-IF($A827&gt;='1-Input'!$C$12,'1-Input'!$B$12,0))))*(1/(1-'P-Parametri'!$B$6*B827))),MAX(0,0*B781-(F826-MIN(MAX(F826,0),MAX(0,B781-IF($A827&gt;='1-Input'!$C$12,'1-Input'!$B$12,0)))))*(1/(1-'P-Parametri'!$B$6*B827))))</f>
        <v>6953.8394730630662</v>
      </c>
      <c r="D827" s="18">
        <f>IF($A827&gt;('1-Input'!$B$26+3),F826,(F826-MAX(0,B781-IF($A827&gt;='1-Input'!$C$12,'1-Input'!$B$12,0))+C827*(1-'P-Parametri'!$B$6*B827))*(1+'1-Input'!$B$27))</f>
        <v>0</v>
      </c>
      <c r="E827" s="18">
        <f>IF($A827&gt;('1-Input'!$B$26+3),G826,(G826-C827)*(1+'5-Roberta'!$C$4))</f>
        <v>225714.37781389611</v>
      </c>
      <c r="F827" s="18">
        <f>IF($A827&gt;('1-Input'!$B$26+3),D827,D827-'P-Parametri'!$B$8*(E827+D827)+MIN(MAX(E827,0),'P-Parametri'!$B$8*(E827+D827)))</f>
        <v>0</v>
      </c>
      <c r="G827" s="18">
        <f>IF($A827&gt;('1-Input'!$B$26+3),E827,E827-MIN(MAX(E827,0),'P-Parametri'!$B$8*(E827+D827)))</f>
        <v>225262.94905826831</v>
      </c>
      <c r="H827" s="18">
        <f>IF($A827&gt;('1-Input'!$B$26+3),H826,H826-C827*(1-B827))</f>
        <v>52508.133223317083</v>
      </c>
      <c r="I827" s="11">
        <f>IF($A827&gt;('1-Input'!$B$26+3),0,IF(N826&lt;=0,0,MAX(0,(N826-O826)/N826)))</f>
        <v>0</v>
      </c>
      <c r="J827" s="18">
        <f>IF($A827&gt;('1-Input'!$B$26+3),0,(MAX(0,I781-IF($A827&gt;='1-Input'!$C$12,'1-Input'!$B$12,0))-MIN(MAX(M826,0),MAX(0,I781-IF($A827&gt;='1-Input'!$C$12,'1-Input'!$B$12,0))))*(1/(1-'P-Parametri'!$B$6*I827))+MIN(MAX(0,N826-(MAX(0,I781-IF($A827&gt;='1-Input'!$C$12,'1-Input'!$B$12,0))-MIN(MAX(M826,0),MAX(0,I781-IF($A827&gt;='1-Input'!$C$12,'1-Input'!$B$12,0))))*(1/(1-'P-Parametri'!$B$6*I827))),MAX(0,0*I781-(M826-MIN(MAX(M826,0),MAX(0,I781-IF($A827&gt;='1-Input'!$C$12,'1-Input'!$B$12,0)))))*(1/(1-'P-Parametri'!$B$6*I827))))</f>
        <v>10846.756992928691</v>
      </c>
      <c r="K827" s="18">
        <f>IF($A827&gt;('1-Input'!$B$26+3),M826,(M826-MAX(0,I781-IF($A827&gt;='1-Input'!$C$12,'1-Input'!$B$12,0))+J827*(1-'P-Parametri'!$B$6*I827))*(1+'1-Input'!$B$27))</f>
        <v>0</v>
      </c>
      <c r="L827" s="18">
        <f>IF($A827&gt;('1-Input'!$B$26+3),N826,(N826-J827)*(1+'5-Roberta'!$C$4))</f>
        <v>-247707.72427486724</v>
      </c>
      <c r="M827" s="18">
        <f>IF($A827&gt;('1-Input'!$B$26+3),K827,K827-'P-Parametri'!$B$8*(L827+K827)+MIN(MAX(L827,0),'P-Parametri'!$B$8*(L827+K827)))</f>
        <v>0</v>
      </c>
      <c r="N827" s="18">
        <f>IF($A827&gt;('1-Input'!$B$26+3),L827,L827-MIN(MAX(L827,0),'P-Parametri'!$B$8*(L827+K827)))</f>
        <v>-247212.30882631752</v>
      </c>
      <c r="O827" s="18">
        <f>IF($A827&gt;('1-Input'!$B$26+3),O826,O826-J827*(1-I827))</f>
        <v>-186435.84234491305</v>
      </c>
      <c r="P827" s="11">
        <f>IF($A827&gt;('1-Input'!$B$26+3),0,IF(U826&lt;=0,0,MAX(0,(U826-V826)/U826)))</f>
        <v>0.76039019869346192</v>
      </c>
      <c r="Q827" s="18">
        <f>IF($A827&gt;('1-Input'!$B$26+3),0,(MAX(0,P781-IF($A827&gt;='1-Input'!$C$12,'1-Input'!$B$12,0))-MIN(MAX(T826,0),MAX(0,P781-IF($A827&gt;='1-Input'!$C$12,'1-Input'!$B$12,0))))*(1/(1-'P-Parametri'!$B$6*P827))+MIN(MAX(0,U826-(MAX(0,P781-IF($A827&gt;='1-Input'!$C$12,'1-Input'!$B$12,0))-MIN(MAX(T826,0),MAX(0,P781-IF($A827&gt;='1-Input'!$C$12,'1-Input'!$B$12,0))))*(1/(1-'P-Parametri'!$B$6*P827))),MAX(0,0*P781-(T826-MIN(MAX(T826,0),MAX(0,P781-IF($A827&gt;='1-Input'!$C$12,'1-Input'!$B$12,0)))))*(1/(1-'P-Parametri'!$B$6*P827))))</f>
        <v>9627.4410563140336</v>
      </c>
      <c r="R827" s="18">
        <f>IF($A827&gt;('1-Input'!$B$26+3),T826,(T826-MAX(0,P781-IF($A827&gt;='1-Input'!$C$12,'1-Input'!$B$12,0))+Q827*(1-'P-Parametri'!$B$6*P827))*(1+'1-Input'!$B$27))</f>
        <v>9.0622052084654565E-13</v>
      </c>
      <c r="S827" s="18">
        <f>IF($A827&gt;('1-Input'!$B$26+3),U826,(U826-Q827)*(1+'5-Roberta'!$C$4))</f>
        <v>11528.632895747698</v>
      </c>
      <c r="T827" s="18">
        <f>IF($A827&gt;('1-Input'!$B$26+3),R827,R827-'P-Parametri'!$B$8*(S827+R827)+MIN(MAX(S827,0),'P-Parametri'!$B$8*(S827+R827)))</f>
        <v>9.0594198809412774E-13</v>
      </c>
      <c r="U827" s="18">
        <f>IF($A827&gt;('1-Input'!$B$26+3),S827,S827-MIN(MAX(S827,0),'P-Parametri'!$B$8*(S827+R827)))</f>
        <v>11505.575629956204</v>
      </c>
      <c r="V827" s="18">
        <f>IF($A827&gt;('1-Input'!$B$26+3),V826,V826-Q827*(1-P827))</f>
        <v>2681.9159587243926</v>
      </c>
      <c r="W827" s="11">
        <f>IF($A827&gt;('1-Input'!$B$26+3),0,IF(AB826&lt;=0,0,MAX(0,(AB826-AC826)/AB826)))</f>
        <v>0.76039019869346169</v>
      </c>
      <c r="X827" s="18">
        <f>IF($A827&gt;('1-Input'!$B$26+3),0,(MAX(0,W781-IF($A827&gt;='1-Input'!$C$12,'1-Input'!$B$12,0))-MIN(MAX(AA826,0),MAX(0,W781-IF($A827&gt;='1-Input'!$C$12,'1-Input'!$B$12,0))))*(1/(1-'P-Parametri'!$B$6*W827))+MIN(MAX(0,AB826-(MAX(0,W781-IF($A827&gt;='1-Input'!$C$12,'1-Input'!$B$12,0))-MIN(MAX(AA826,0),MAX(0,W781-IF($A827&gt;='1-Input'!$C$12,'1-Input'!$B$12,0))))*(1/(1-'P-Parametri'!$B$6*W827))),MAX(0,0*W781-(AA826-MIN(MAX(AA826,0),MAX(0,W781-IF($A827&gt;='1-Input'!$C$12,'1-Input'!$B$12,0)))))*(1/(1-'P-Parametri'!$B$6*W827))))</f>
        <v>9307.0741589106874</v>
      </c>
      <c r="Y827" s="18">
        <f>IF($A827&gt;('1-Input'!$B$26+3),AA826,(AA826-MAX(0,W781-IF($A827&gt;='1-Input'!$C$12,'1-Input'!$B$12,0))+X827*(1-'P-Parametri'!$B$6*W827))*(1+'1-Input'!$B$27))</f>
        <v>9.0622052084654565E-13</v>
      </c>
      <c r="Z827" s="18">
        <f>IF($A827&gt;('1-Input'!$B$26+3),AB826,(AB826-X827)*(1+'5-Roberta'!$C$4))</f>
        <v>37193.647083842989</v>
      </c>
      <c r="AA827" s="18">
        <f>IF($A827&gt;('1-Input'!$B$26+3),Y827,Y827-'P-Parametri'!$B$8*(Z827+Y827)+MIN(MAX(Z827,0),'P-Parametri'!$B$8*(Z827+Y827)))</f>
        <v>9.0949470177292824E-13</v>
      </c>
      <c r="AB827" s="18">
        <f>IF($A827&gt;('1-Input'!$B$26+3),Z827,Z827-MIN(MAX(Z827,0),'P-Parametri'!$B$8*(Z827+Y827)))</f>
        <v>37119.2597896753</v>
      </c>
      <c r="AC827" s="18">
        <f>IF($A827&gt;('1-Input'!$B$26+3),AC826,AC826-X827*(1-W827))</f>
        <v>8652.3906675972103</v>
      </c>
      <c r="AD827" s="11">
        <f>IF($A827&gt;('1-Input'!$B$26+3),0,IF(AI826&lt;=0,0,MAX(0,(AI826-AJ826)/AI826)))</f>
        <v>0.76039019869346214</v>
      </c>
      <c r="AE827" s="18">
        <f>IF($A827&gt;('1-Input'!$B$26+3),0,(MAX(0,AD781-IF($A827&gt;='1-Input'!$C$12,'1-Input'!$B$12,0))-MIN(MAX(AH826,0),MAX(0,AD781-IF($A827&gt;='1-Input'!$C$12,'1-Input'!$B$12,0))))*(1/(1-'P-Parametri'!$B$6*AD827))+MIN(MAX(0,AI826-(MAX(0,AD781-IF($A827&gt;='1-Input'!$C$12,'1-Input'!$B$12,0))-MIN(MAX(AH826,0),MAX(0,AD781-IF($A827&gt;='1-Input'!$C$12,'1-Input'!$B$12,0))))*(1/(1-'P-Parametri'!$B$6*AD827))),MAX(0,0*AD781-(AH826-MIN(MAX(AH826,0),MAX(0,AD781-IF($A827&gt;='1-Input'!$C$12,'1-Input'!$B$12,0)))))*(1/(1-'P-Parametri'!$B$6*AD827))))</f>
        <v>9323.6586521935533</v>
      </c>
      <c r="AF827" s="18">
        <f>IF($A827&gt;('1-Input'!$B$26+3),AH826,(AH826-MAX(0,AD781-IF($A827&gt;='1-Input'!$C$12,'1-Input'!$B$12,0))+AE827*(1-'P-Parametri'!$B$6*AD827))*(1+'1-Input'!$B$27))</f>
        <v>0</v>
      </c>
      <c r="AG827" s="18">
        <f>IF($A827&gt;('1-Input'!$B$26+3),AI826,(AI826-AE827)*(1+'5-Roberta'!$C$4))</f>
        <v>35865.041479278698</v>
      </c>
      <c r="AH827" s="18">
        <f>IF($A827&gt;('1-Input'!$B$26+3),AF827,AF827-'P-Parametri'!$B$8*(AG827+AF827)+MIN(MAX(AG827,0),'P-Parametri'!$B$8*(AG827+AF827)))</f>
        <v>0</v>
      </c>
      <c r="AI827" s="18">
        <f>IF($A827&gt;('1-Input'!$B$26+3),AG827,AG827-MIN(MAX(AG827,0),'P-Parametri'!$B$8*(AG827+AF827)))</f>
        <v>35793.311396320139</v>
      </c>
      <c r="AJ827" s="18">
        <f>IF($A827&gt;('1-Input'!$B$26+3),AJ826,AJ826-AE827*(1-AD827))</f>
        <v>8343.3159832045712</v>
      </c>
      <c r="AK827" s="11">
        <f>IF($A827&gt;('1-Input'!$B$26+3),0,IF(AP826&lt;=0,0,MAX(0,(AP826-AQ826)/AP826)))</f>
        <v>0.76039019869346169</v>
      </c>
      <c r="AL827" s="18">
        <f>IF($A827&gt;('1-Input'!$B$26+3),0,(MAX(0,AK781-IF($A827&gt;='1-Input'!$C$12,'1-Input'!$B$12,0))-MIN(MAX(AO826,0),MAX(0,AK781-IF($A827&gt;='1-Input'!$C$12,'1-Input'!$B$12,0))))*(1/(1-'P-Parametri'!$B$6*AK827))+MIN(MAX(0,AP826-(MAX(0,AK781-IF($A827&gt;='1-Input'!$C$12,'1-Input'!$B$12,0))-MIN(MAX(AO826,0),MAX(0,AK781-IF($A827&gt;='1-Input'!$C$12,'1-Input'!$B$12,0))))*(1/(1-'P-Parametri'!$B$6*AK827))),MAX(0,0*AK781-(AO826-MIN(MAX(AO826,0),MAX(0,AK781-IF($A827&gt;='1-Input'!$C$12,'1-Input'!$B$12,0)))))*(1/(1-'P-Parametri'!$B$6*AK827))))</f>
        <v>9321.384062578607</v>
      </c>
      <c r="AM827" s="18">
        <f>IF($A827&gt;('1-Input'!$B$26+3),AO826,(AO826-MAX(0,AK781-IF($A827&gt;='1-Input'!$C$12,'1-Input'!$B$12,0))+AL827*(1-'P-Parametri'!$B$6*AK827))*(1+'1-Input'!$B$27))</f>
        <v>9.0622052084654565E-13</v>
      </c>
      <c r="AN827" s="18">
        <f>IF($A827&gt;('1-Input'!$B$26+3),AP826,(AP826-AL827)*(1+'5-Roberta'!$C$4))</f>
        <v>36047.261849775088</v>
      </c>
      <c r="AO827" s="18">
        <f>IF($A827&gt;('1-Input'!$B$26+3),AM827,AM827-'P-Parametri'!$B$8*(AN827+AM827)+MIN(MAX(AN827,0),'P-Parametri'!$B$8*(AN827+AM827)))</f>
        <v>9.0949470177292824E-13</v>
      </c>
      <c r="AP827" s="18">
        <f>IF($A827&gt;('1-Input'!$B$26+3),AN827,AN827-MIN(MAX(AN827,0),'P-Parametri'!$B$8*(AN827+AM827)))</f>
        <v>35975.167326075541</v>
      </c>
      <c r="AQ827" s="18">
        <f>IF($A827&gt;('1-Input'!$B$26+3),AQ826,AQ826-AL827*(1-AK827))</f>
        <v>8385.7060674459826</v>
      </c>
    </row>
    <row r="828" spans="1:43">
      <c r="A828" s="10">
        <f>45</f>
        <v>45</v>
      </c>
      <c r="B828" s="11">
        <f>IF($A828&gt;('1-Input'!$B$26+3),0,IF(G827&lt;=0,0,MAX(0,(G827-H827)/G827)))</f>
        <v>0.76690293080672178</v>
      </c>
      <c r="C828" s="18">
        <f>IF($A828&gt;('1-Input'!$B$26+3),0,(MAX(0,B781-IF($A828&gt;='1-Input'!$C$12,'1-Input'!$B$12,0))-MIN(MAX(F827,0),MAX(0,B781-IF($A828&gt;='1-Input'!$C$12,'1-Input'!$B$12,0))))*(1/(1-'P-Parametri'!$B$6*B828))+MIN(MAX(0,G827-(MAX(0,B781-IF($A828&gt;='1-Input'!$C$12,'1-Input'!$B$12,0))-MIN(MAX(F827,0),MAX(0,B781-IF($A828&gt;='1-Input'!$C$12,'1-Input'!$B$12,0))))*(1/(1-'P-Parametri'!$B$6*B828))),MAX(0,0*B781-(F827-MIN(MAX(F827,0),MAX(0,B781-IF($A828&gt;='1-Input'!$C$12,'1-Input'!$B$12,0)))))*(1/(1-'P-Parametri'!$B$6*B828))))</f>
        <v>6968.5471064751255</v>
      </c>
      <c r="D828" s="18">
        <f>IF($A828&gt;('1-Input'!$B$26+3),F827,(F827-MAX(0,B781-IF($A828&gt;='1-Input'!$C$12,'1-Input'!$B$12,0))+C828*(1-'P-Parametri'!$B$6*B828))*(1+'1-Input'!$B$27))</f>
        <v>-9.0622052084654565E-13</v>
      </c>
      <c r="E828" s="18">
        <f>IF($A828&gt;('1-Input'!$B$26+3),G827,(G827-C828)*(1+'5-Roberta'!$C$4))</f>
        <v>224843.23401034696</v>
      </c>
      <c r="F828" s="18">
        <f>IF($A828&gt;('1-Input'!$B$26+3),D828,D828-'P-Parametri'!$B$8*(E828+D828)+MIN(MAX(E828,0),'P-Parametri'!$B$8*(E828+D828)))</f>
        <v>-9.0949470177292824E-13</v>
      </c>
      <c r="G828" s="18">
        <f>IF($A828&gt;('1-Input'!$B$26+3),E828,E828-MIN(MAX(E828,0),'P-Parametri'!$B$8*(E828+D828)))</f>
        <v>224393.54754232627</v>
      </c>
      <c r="H828" s="18">
        <f>IF($A828&gt;('1-Input'!$B$26+3),H827,H827-C828*(1-B828))</f>
        <v>50883.785316262431</v>
      </c>
      <c r="I828" s="11">
        <f>IF($A828&gt;('1-Input'!$B$26+3),0,IF(N827&lt;=0,0,MAX(0,(N827-O827)/N827)))</f>
        <v>0</v>
      </c>
      <c r="J828" s="18">
        <f>IF($A828&gt;('1-Input'!$B$26+3),0,(MAX(0,I781-IF($A828&gt;='1-Input'!$C$12,'1-Input'!$B$12,0))-MIN(MAX(M827,0),MAX(0,I781-IF($A828&gt;='1-Input'!$C$12,'1-Input'!$B$12,0))))*(1/(1-'P-Parametri'!$B$6*I828))+MIN(MAX(0,N827-(MAX(0,I781-IF($A828&gt;='1-Input'!$C$12,'1-Input'!$B$12,0))-MIN(MAX(M827,0),MAX(0,I781-IF($A828&gt;='1-Input'!$C$12,'1-Input'!$B$12,0))))*(1/(1-'P-Parametri'!$B$6*I828))),MAX(0,0*I781-(M827-MIN(MAX(M827,0),MAX(0,I781-IF($A828&gt;='1-Input'!$C$12,'1-Input'!$B$12,0)))))*(1/(1-'P-Parametri'!$B$6*I828))))</f>
        <v>10846.756992928691</v>
      </c>
      <c r="K828" s="18">
        <f>IF($A828&gt;('1-Input'!$B$26+3),M827,(M827-MAX(0,I781-IF($A828&gt;='1-Input'!$C$12,'1-Input'!$B$12,0))+J828*(1-'P-Parametri'!$B$6*I828))*(1+'1-Input'!$B$27))</f>
        <v>0</v>
      </c>
      <c r="L828" s="18">
        <f>IF($A828&gt;('1-Input'!$B$26+3),N827,(N827-J828)*(1+'5-Roberta'!$C$4))</f>
        <v>-265800.83779382356</v>
      </c>
      <c r="M828" s="18">
        <f>IF($A828&gt;('1-Input'!$B$26+3),K828,K828-'P-Parametri'!$B$8*(L828+K828)+MIN(MAX(L828,0),'P-Parametri'!$B$8*(L828+K828)))</f>
        <v>0</v>
      </c>
      <c r="N828" s="18">
        <f>IF($A828&gt;('1-Input'!$B$26+3),L828,L828-MIN(MAX(L828,0),'P-Parametri'!$B$8*(L828+K828)))</f>
        <v>-265269.23611823592</v>
      </c>
      <c r="O828" s="18">
        <f>IF($A828&gt;('1-Input'!$B$26+3),O827,O827-J828*(1-I828))</f>
        <v>-197282.59933784173</v>
      </c>
      <c r="P828" s="11">
        <f>IF($A828&gt;('1-Input'!$B$26+3),0,IF(U827&lt;=0,0,MAX(0,(U827-V827)/U827)))</f>
        <v>0.76690293080672223</v>
      </c>
      <c r="Q828" s="18">
        <f>IF($A828&gt;('1-Input'!$B$26+3),0,(MAX(0,P781-IF($A828&gt;='1-Input'!$C$12,'1-Input'!$B$12,0))-MIN(MAX(T827,0),MAX(0,P781-IF($A828&gt;='1-Input'!$C$12,'1-Input'!$B$12,0))))*(1/(1-'P-Parametri'!$B$6*P828))+MIN(MAX(0,U827-(MAX(0,P781-IF($A828&gt;='1-Input'!$C$12,'1-Input'!$B$12,0))-MIN(MAX(T827,0),MAX(0,P781-IF($A828&gt;='1-Input'!$C$12,'1-Input'!$B$12,0))))*(1/(1-'P-Parametri'!$B$6*P828))),MAX(0,0*P781-(T827-MIN(MAX(T827,0),MAX(0,P781-IF($A828&gt;='1-Input'!$C$12,'1-Input'!$B$12,0)))))*(1/(1-'P-Parametri'!$B$6*P828))))</f>
        <v>9647.8034581642587</v>
      </c>
      <c r="R828" s="18">
        <f>IF($A828&gt;('1-Input'!$B$26+3),T827,(T827-MAX(0,P781-IF($A828&gt;='1-Input'!$C$12,'1-Input'!$B$12,0))+Q828*(1-'P-Parametri'!$B$6*P828))*(1+'1-Input'!$B$27))</f>
        <v>0</v>
      </c>
      <c r="S828" s="18">
        <f>IF($A828&gt;('1-Input'!$B$26+3),U827,(U827-Q828)*(1+'5-Roberta'!$C$4))</f>
        <v>1913.5053369457032</v>
      </c>
      <c r="T828" s="18">
        <f>IF($A828&gt;('1-Input'!$B$26+3),R828,R828-'P-Parametri'!$B$8*(S828+R828)+MIN(MAX(S828,0),'P-Parametri'!$B$8*(S828+R828)))</f>
        <v>0</v>
      </c>
      <c r="U828" s="18">
        <f>IF($A828&gt;('1-Input'!$B$26+3),S828,S828-MIN(MAX(S828,0),'P-Parametri'!$B$8*(S828+R828)))</f>
        <v>1909.6783262718118</v>
      </c>
      <c r="V828" s="18">
        <f>IF($A828&gt;('1-Input'!$B$26+3),V827,V827-Q828*(1-P828))</f>
        <v>433.04124847353387</v>
      </c>
      <c r="W828" s="11">
        <f>IF($A828&gt;('1-Input'!$B$26+3),0,IF(AB827&lt;=0,0,MAX(0,(AB827-AC827)/AB827)))</f>
        <v>0.76690293080672189</v>
      </c>
      <c r="X828" s="18">
        <f>IF($A828&gt;('1-Input'!$B$26+3),0,(MAX(0,W781-IF($A828&gt;='1-Input'!$C$12,'1-Input'!$B$12,0))-MIN(MAX(AA827,0),MAX(0,W781-IF($A828&gt;='1-Input'!$C$12,'1-Input'!$B$12,0))))*(1/(1-'P-Parametri'!$B$6*W828))+MIN(MAX(0,AB827-(MAX(0,W781-IF($A828&gt;='1-Input'!$C$12,'1-Input'!$B$12,0))-MIN(MAX(AA827,0),MAX(0,W781-IF($A828&gt;='1-Input'!$C$12,'1-Input'!$B$12,0))))*(1/(1-'P-Parametri'!$B$6*W828))),MAX(0,0*W781-(AA827-MIN(MAX(AA827,0),MAX(0,W781-IF($A828&gt;='1-Input'!$C$12,'1-Input'!$B$12,0)))))*(1/(1-'P-Parametri'!$B$6*W828))))</f>
        <v>9326.7589726597453</v>
      </c>
      <c r="Y828" s="18">
        <f>IF($A828&gt;('1-Input'!$B$26+3),AA827,(AA827-MAX(0,W781-IF($A828&gt;='1-Input'!$C$12,'1-Input'!$B$12,0))+X828*(1-'P-Parametri'!$B$6*W828))*(1+'1-Input'!$B$27))</f>
        <v>-9.0622052084654565E-13</v>
      </c>
      <c r="Z828" s="18">
        <f>IF($A828&gt;('1-Input'!$B$26+3),AB827,(AB827-X828)*(1+'5-Roberta'!$C$4))</f>
        <v>28626.275841526025</v>
      </c>
      <c r="AA828" s="18">
        <f>IF($A828&gt;('1-Input'!$B$26+3),Y828,Y828-'P-Parametri'!$B$8*(Z828+Y828)+MIN(MAX(Z828,0),'P-Parametri'!$B$8*(Z828+Y828)))</f>
        <v>-9.0949470177292824E-13</v>
      </c>
      <c r="AB828" s="18">
        <f>IF($A828&gt;('1-Input'!$B$26+3),Z828,Z828-MIN(MAX(Z828,0),'P-Parametri'!$B$8*(Z828+Y828)))</f>
        <v>28569.023289842971</v>
      </c>
      <c r="AC828" s="18">
        <f>IF($A828&gt;('1-Input'!$B$26+3),AC827,AC827-X828*(1-W828))</f>
        <v>6478.350485998114</v>
      </c>
      <c r="AD828" s="11">
        <f>IF($A828&gt;('1-Input'!$B$26+3),0,IF(AI827&lt;=0,0,MAX(0,(AI827-AJ827)/AI827)))</f>
        <v>0.76690293080672234</v>
      </c>
      <c r="AE828" s="18">
        <f>IF($A828&gt;('1-Input'!$B$26+3),0,(MAX(0,AD781-IF($A828&gt;='1-Input'!$C$12,'1-Input'!$B$12,0))-MIN(MAX(AH827,0),MAX(0,AD781-IF($A828&gt;='1-Input'!$C$12,'1-Input'!$B$12,0))))*(1/(1-'P-Parametri'!$B$6*AD828))+MIN(MAX(0,AI827-(MAX(0,AD781-IF($A828&gt;='1-Input'!$C$12,'1-Input'!$B$12,0))-MIN(MAX(AH827,0),MAX(0,AD781-IF($A828&gt;='1-Input'!$C$12,'1-Input'!$B$12,0))))*(1/(1-'P-Parametri'!$B$6*AD828))),MAX(0,0*AD781-(AH827-MIN(MAX(AH827,0),MAX(0,AD781-IF($A828&gt;='1-Input'!$C$12,'1-Input'!$B$12,0)))))*(1/(1-'P-Parametri'!$B$6*AD828))))</f>
        <v>9343.3785427729708</v>
      </c>
      <c r="AF828" s="18">
        <f>IF($A828&gt;('1-Input'!$B$26+3),AH827,(AH827-MAX(0,AD781-IF($A828&gt;='1-Input'!$C$12,'1-Input'!$B$12,0))+AE828*(1-'P-Parametri'!$B$6*AD828))*(1+'1-Input'!$B$27))</f>
        <v>0</v>
      </c>
      <c r="AG828" s="18">
        <f>IF($A828&gt;('1-Input'!$B$26+3),AI827,(AI827-AE828)*(1+'5-Roberta'!$C$4))</f>
        <v>27243.430839153585</v>
      </c>
      <c r="AH828" s="18">
        <f>IF($A828&gt;('1-Input'!$B$26+3),AF828,AF828-'P-Parametri'!$B$8*(AG828+AF828)+MIN(MAX(AG828,0),'P-Parametri'!$B$8*(AG828+AF828)))</f>
        <v>0</v>
      </c>
      <c r="AI828" s="18">
        <f>IF($A828&gt;('1-Input'!$B$26+3),AG828,AG828-MIN(MAX(AG828,0),'P-Parametri'!$B$8*(AG828+AF828)))</f>
        <v>27188.943977475279</v>
      </c>
      <c r="AJ828" s="18">
        <f>IF($A828&gt;('1-Input'!$B$26+3),AJ827,AJ827-AE828*(1-AD828))</f>
        <v>6165.4018285208349</v>
      </c>
      <c r="AK828" s="11">
        <f>IF($A828&gt;('1-Input'!$B$26+3),0,IF(AP827&lt;=0,0,MAX(0,(AP827-AQ827)/AP827)))</f>
        <v>0.76690293080672201</v>
      </c>
      <c r="AL828" s="18">
        <f>IF($A828&gt;('1-Input'!$B$26+3),0,(MAX(0,AK781-IF($A828&gt;='1-Input'!$C$12,'1-Input'!$B$12,0))-MIN(MAX(AO827,0),MAX(0,AK781-IF($A828&gt;='1-Input'!$C$12,'1-Input'!$B$12,0))))*(1/(1-'P-Parametri'!$B$6*AK828))+MIN(MAX(0,AP827-(MAX(0,AK781-IF($A828&gt;='1-Input'!$C$12,'1-Input'!$B$12,0))-MIN(MAX(AO827,0),MAX(0,AK781-IF($A828&gt;='1-Input'!$C$12,'1-Input'!$B$12,0))))*(1/(1-'P-Parametri'!$B$6*AK828))),MAX(0,0*AK781-(AO827-MIN(MAX(AO827,0),MAX(0,AK781-IF($A828&gt;='1-Input'!$C$12,'1-Input'!$B$12,0)))))*(1/(1-'P-Parametri'!$B$6*AK828))))</f>
        <v>9341.0991423149844</v>
      </c>
      <c r="AM828" s="18">
        <f>IF($A828&gt;('1-Input'!$B$26+3),AO827,(AO827-MAX(0,AK781-IF($A828&gt;='1-Input'!$C$12,'1-Input'!$B$12,0))+AL828*(1-'P-Parametri'!$B$6*AK828))*(1+'1-Input'!$B$27))</f>
        <v>0</v>
      </c>
      <c r="AN828" s="18">
        <f>IF($A828&gt;('1-Input'!$B$26+3),AP827,(AP827-AL828)*(1+'5-Roberta'!$C$4))</f>
        <v>27433.090229273377</v>
      </c>
      <c r="AO828" s="18">
        <f>IF($A828&gt;('1-Input'!$B$26+3),AM828,AM828-'P-Parametri'!$B$8*(AN828+AM828)+MIN(MAX(AN828,0),'P-Parametri'!$B$8*(AN828+AM828)))</f>
        <v>0</v>
      </c>
      <c r="AP828" s="18">
        <f>IF($A828&gt;('1-Input'!$B$26+3),AN828,AN828-MIN(MAX(AN828,0),'P-Parametri'!$B$8*(AN828+AM828)))</f>
        <v>27378.224048814831</v>
      </c>
      <c r="AQ828" s="18">
        <f>IF($A828&gt;('1-Input'!$B$26+3),AQ827,AQ827-AL828*(1-AK828))</f>
        <v>6208.3232343285172</v>
      </c>
    </row>
    <row r="829" spans="1:43">
      <c r="A829" s="10">
        <f>46</f>
        <v>46</v>
      </c>
      <c r="B829" s="11">
        <f>IF($A829&gt;('1-Input'!$B$26+3),0,IF(G828&lt;=0,0,MAX(0,(G828-H828)/G828)))</f>
        <v>0.77323864311800472</v>
      </c>
      <c r="C829" s="18">
        <f>IF($A829&gt;('1-Input'!$B$26+3),0,(MAX(0,B781-IF($A829&gt;='1-Input'!$C$12,'1-Input'!$B$12,0))-MIN(MAX(F828,0),MAX(0,B781-IF($A829&gt;='1-Input'!$C$12,'1-Input'!$B$12,0))))*(1/(1-'P-Parametri'!$B$6*B829))+MIN(MAX(0,G828-(MAX(0,B781-IF($A829&gt;='1-Input'!$C$12,'1-Input'!$B$12,0))-MIN(MAX(F828,0),MAX(0,B781-IF($A829&gt;='1-Input'!$C$12,'1-Input'!$B$12,0))))*(1/(1-'P-Parametri'!$B$6*B829))),MAX(0,0*B781-(F828-MIN(MAX(F828,0),MAX(0,B781-IF($A829&gt;='1-Input'!$C$12,'1-Input'!$B$12,0)))))*(1/(1-'P-Parametri'!$B$6*B829))))</f>
        <v>6982.9148018969308</v>
      </c>
      <c r="D829" s="18">
        <f>IF($A829&gt;('1-Input'!$B$26+3),F828,(F828-MAX(0,B781-IF($A829&gt;='1-Input'!$C$12,'1-Input'!$B$12,0))+C829*(1-'P-Parametri'!$B$6*B829))*(1+'1-Input'!$B$27))</f>
        <v>0</v>
      </c>
      <c r="E829" s="18">
        <f>IF($A829&gt;('1-Input'!$B$26+3),G828,(G828-C829)*(1+'5-Roberta'!$C$4))</f>
        <v>223932.95172264223</v>
      </c>
      <c r="F829" s="18">
        <f>IF($A829&gt;('1-Input'!$B$26+3),D829,D829-'P-Parametri'!$B$8*(E829+D829)+MIN(MAX(E829,0),'P-Parametri'!$B$8*(E829+D829)))</f>
        <v>0</v>
      </c>
      <c r="G829" s="18">
        <f>IF($A829&gt;('1-Input'!$B$26+3),E829,E829-MIN(MAX(E829,0),'P-Parametri'!$B$8*(E829+D829)))</f>
        <v>223485.08581919695</v>
      </c>
      <c r="H829" s="18">
        <f>IF($A829&gt;('1-Input'!$B$26+3),H828,H828-C829*(1-B829))</f>
        <v>49300.330080792912</v>
      </c>
      <c r="I829" s="11">
        <f>IF($A829&gt;('1-Input'!$B$26+3),0,IF(N828&lt;=0,0,MAX(0,(N828-O828)/N828)))</f>
        <v>0</v>
      </c>
      <c r="J829" s="18">
        <f>IF($A829&gt;('1-Input'!$B$26+3),0,(MAX(0,I781-IF($A829&gt;='1-Input'!$C$12,'1-Input'!$B$12,0))-MIN(MAX(M828,0),MAX(0,I781-IF($A829&gt;='1-Input'!$C$12,'1-Input'!$B$12,0))))*(1/(1-'P-Parametri'!$B$6*I829))+MIN(MAX(0,N828-(MAX(0,I781-IF($A829&gt;='1-Input'!$C$12,'1-Input'!$B$12,0))-MIN(MAX(M828,0),MAX(0,I781-IF($A829&gt;='1-Input'!$C$12,'1-Input'!$B$12,0))))*(1/(1-'P-Parametri'!$B$6*I829))),MAX(0,0*I781-(M828-MIN(MAX(M828,0),MAX(0,I781-IF($A829&gt;='1-Input'!$C$12,'1-Input'!$B$12,0)))))*(1/(1-'P-Parametri'!$B$6*I829))))</f>
        <v>10846.756992928691</v>
      </c>
      <c r="K829" s="18">
        <f>IF($A829&gt;('1-Input'!$B$26+3),M828,(M828-MAX(0,I781-IF($A829&gt;='1-Input'!$C$12,'1-Input'!$B$12,0))+J829*(1-'P-Parametri'!$B$6*I829))*(1+'1-Input'!$B$27))</f>
        <v>0</v>
      </c>
      <c r="L829" s="18">
        <f>IF($A829&gt;('1-Input'!$B$26+3),N828,(N828-J829)*(1+'5-Roberta'!$C$4))</f>
        <v>-284399.47290449956</v>
      </c>
      <c r="M829" s="18">
        <f>IF($A829&gt;('1-Input'!$B$26+3),K829,K829-'P-Parametri'!$B$8*(L829+K829)+MIN(MAX(L829,0),'P-Parametri'!$B$8*(L829+K829)))</f>
        <v>0</v>
      </c>
      <c r="N829" s="18">
        <f>IF($A829&gt;('1-Input'!$B$26+3),L829,L829-MIN(MAX(L829,0),'P-Parametri'!$B$8*(L829+K829)))</f>
        <v>-283830.67395869055</v>
      </c>
      <c r="O829" s="18">
        <f>IF($A829&gt;('1-Input'!$B$26+3),O828,O828-J829*(1-I829))</f>
        <v>-208129.35633077042</v>
      </c>
      <c r="P829" s="11">
        <f>IF($A829&gt;('1-Input'!$B$26+3),0,IF(U828&lt;=0,0,MAX(0,(U828-V828)/U828)))</f>
        <v>0.77323864311800461</v>
      </c>
      <c r="Q829" s="18">
        <f>IF($A829&gt;('1-Input'!$B$26+3),0,(MAX(0,P781-IF($A829&gt;='1-Input'!$C$12,'1-Input'!$B$12,0))-MIN(MAX(T828,0),MAX(0,P781-IF($A829&gt;='1-Input'!$C$12,'1-Input'!$B$12,0))))*(1/(1-'P-Parametri'!$B$6*P829))+MIN(MAX(0,U828-(MAX(0,P781-IF($A829&gt;='1-Input'!$C$12,'1-Input'!$B$12,0))-MIN(MAX(T828,0),MAX(0,P781-IF($A829&gt;='1-Input'!$C$12,'1-Input'!$B$12,0))))*(1/(1-'P-Parametri'!$B$6*P829))),MAX(0,0*P781-(T828-MIN(MAX(T828,0),MAX(0,P781-IF($A829&gt;='1-Input'!$C$12,'1-Input'!$B$12,0)))))*(1/(1-'P-Parametri'!$B$6*P829))))</f>
        <v>9667.6952231847645</v>
      </c>
      <c r="R829" s="18">
        <f>IF($A829&gt;('1-Input'!$B$26+3),T828,(T828-MAX(0,P781-IF($A829&gt;='1-Input'!$C$12,'1-Input'!$B$12,0))+Q829*(1-'P-Parametri'!$B$6*P829))*(1+'1-Input'!$B$27))</f>
        <v>0</v>
      </c>
      <c r="S829" s="18">
        <f>IF($A829&gt;('1-Input'!$B$26+3),U828,(U828-Q829)*(1+'5-Roberta'!$C$4))</f>
        <v>-7990.7574038203411</v>
      </c>
      <c r="T829" s="18">
        <f>IF($A829&gt;('1-Input'!$B$26+3),R829,R829-'P-Parametri'!$B$8*(S829+R829)+MIN(MAX(S829,0),'P-Parametri'!$B$8*(S829+R829)))</f>
        <v>0</v>
      </c>
      <c r="U829" s="18">
        <f>IF($A829&gt;('1-Input'!$B$26+3),S829,S829-MIN(MAX(S829,0),'P-Parametri'!$B$8*(S829+R829)))</f>
        <v>-7974.7758890127006</v>
      </c>
      <c r="V829" s="18">
        <f>IF($A829&gt;('1-Input'!$B$26+3),V828,V828-Q829*(1-P829))</f>
        <v>-1759.2184382574287</v>
      </c>
      <c r="W829" s="11">
        <f>IF($A829&gt;('1-Input'!$B$26+3),0,IF(AB828&lt;=0,0,MAX(0,(AB828-AC828)/AB828)))</f>
        <v>0.77323864311800483</v>
      </c>
      <c r="X829" s="18">
        <f>IF($A829&gt;('1-Input'!$B$26+3),0,(MAX(0,W781-IF($A829&gt;='1-Input'!$C$12,'1-Input'!$B$12,0))-MIN(MAX(AA828,0),MAX(0,W781-IF($A829&gt;='1-Input'!$C$12,'1-Input'!$B$12,0))))*(1/(1-'P-Parametri'!$B$6*W829))+MIN(MAX(0,AB828-(MAX(0,W781-IF($A829&gt;='1-Input'!$C$12,'1-Input'!$B$12,0))-MIN(MAX(AA828,0),MAX(0,W781-IF($A829&gt;='1-Input'!$C$12,'1-Input'!$B$12,0))))*(1/(1-'P-Parametri'!$B$6*W829))),MAX(0,0*W781-(AA828-MIN(MAX(AA828,0),MAX(0,W781-IF($A829&gt;='1-Input'!$C$12,'1-Input'!$B$12,0)))))*(1/(1-'P-Parametri'!$B$6*W829))))</f>
        <v>9345.9888106940289</v>
      </c>
      <c r="Y829" s="18">
        <f>IF($A829&gt;('1-Input'!$B$26+3),AA828,(AA828-MAX(0,W781-IF($A829&gt;='1-Input'!$C$12,'1-Input'!$B$12,0))+X829*(1-'P-Parametri'!$B$6*W829))*(1+'1-Input'!$B$27))</f>
        <v>1.8124410416930913E-12</v>
      </c>
      <c r="Z829" s="18">
        <f>IF($A829&gt;('1-Input'!$B$26+3),AB828,(AB828-X829)*(1+'5-Roberta'!$C$4))</f>
        <v>19799.725513523408</v>
      </c>
      <c r="AA829" s="18">
        <f>IF($A829&gt;('1-Input'!$B$26+3),Y829,Y829-'P-Parametri'!$B$8*(Z829+Y829)+MIN(MAX(Z829,0),'P-Parametri'!$B$8*(Z829+Y829)))</f>
        <v>1.8118839761882555E-12</v>
      </c>
      <c r="AB829" s="18">
        <f>IF($A829&gt;('1-Input'!$B$26+3),Z829,Z829-MIN(MAX(Z829,0),'P-Parametri'!$B$8*(Z829+Y829)))</f>
        <v>19760.126062496362</v>
      </c>
      <c r="AC829" s="18">
        <f>IF($A829&gt;('1-Input'!$B$26+3),AC828,AC828-X829*(1-W829))</f>
        <v>4359.0413818811921</v>
      </c>
      <c r="AD829" s="11">
        <f>IF($A829&gt;('1-Input'!$B$26+3),0,IF(AI828&lt;=0,0,MAX(0,(AI828-AJ828)/AI828)))</f>
        <v>0.77323864311800528</v>
      </c>
      <c r="AE829" s="18">
        <f>IF($A829&gt;('1-Input'!$B$26+3),0,(MAX(0,AD781-IF($A829&gt;='1-Input'!$C$12,'1-Input'!$B$12,0))-MIN(MAX(AH828,0),MAX(0,AD781-IF($A829&gt;='1-Input'!$C$12,'1-Input'!$B$12,0))))*(1/(1-'P-Parametri'!$B$6*AD829))+MIN(MAX(0,AI828-(MAX(0,AD781-IF($A829&gt;='1-Input'!$C$12,'1-Input'!$B$12,0))-MIN(MAX(AH828,0),MAX(0,AD781-IF($A829&gt;='1-Input'!$C$12,'1-Input'!$B$12,0))))*(1/(1-'P-Parametri'!$B$6*AD829))),MAX(0,0*AD781-(AH828-MIN(MAX(AH828,0),MAX(0,AD781-IF($A829&gt;='1-Input'!$C$12,'1-Input'!$B$12,0)))))*(1/(1-'P-Parametri'!$B$6*AD829))))</f>
        <v>9362.6426469057315</v>
      </c>
      <c r="AF829" s="18">
        <f>IF($A829&gt;('1-Input'!$B$26+3),AH828,(AH828-MAX(0,AD781-IF($A829&gt;='1-Input'!$C$12,'1-Input'!$B$12,0))+AE829*(1-'P-Parametri'!$B$6*AD829))*(1+'1-Input'!$B$27))</f>
        <v>0</v>
      </c>
      <c r="AG829" s="18">
        <f>IF($A829&gt;('1-Input'!$B$26+3),AI828,(AI828-AE829)*(1+'5-Roberta'!$C$4))</f>
        <v>18361.090370486636</v>
      </c>
      <c r="AH829" s="18">
        <f>IF($A829&gt;('1-Input'!$B$26+3),AF829,AF829-'P-Parametri'!$B$8*(AG829+AF829)+MIN(MAX(AG829,0),'P-Parametri'!$B$8*(AG829+AF829)))</f>
        <v>0</v>
      </c>
      <c r="AI829" s="18">
        <f>IF($A829&gt;('1-Input'!$B$26+3),AG829,AG829-MIN(MAX(AG829,0),'P-Parametri'!$B$8*(AG829+AF829)))</f>
        <v>18324.368189745663</v>
      </c>
      <c r="AJ829" s="18">
        <f>IF($A829&gt;('1-Input'!$B$26+3),AJ828,AJ828-AE829*(1-AD829))</f>
        <v>4042.3162779072604</v>
      </c>
      <c r="AK829" s="11">
        <f>IF($A829&gt;('1-Input'!$B$26+3),0,IF(AP828&lt;=0,0,MAX(0,(AP828-AQ828)/AP828)))</f>
        <v>0.77323864311800505</v>
      </c>
      <c r="AL829" s="18">
        <f>IF($A829&gt;('1-Input'!$B$26+3),0,(MAX(0,AK781-IF($A829&gt;='1-Input'!$C$12,'1-Input'!$B$12,0))-MIN(MAX(AO828,0),MAX(0,AK781-IF($A829&gt;='1-Input'!$C$12,'1-Input'!$B$12,0))))*(1/(1-'P-Parametri'!$B$6*AK829))+MIN(MAX(0,AP828-(MAX(0,AK781-IF($A829&gt;='1-Input'!$C$12,'1-Input'!$B$12,0))-MIN(MAX(AO828,0),MAX(0,AK781-IF($A829&gt;='1-Input'!$C$12,'1-Input'!$B$12,0))))*(1/(1-'P-Parametri'!$B$6*AK829))),MAX(0,0*AK781-(AO828-MIN(MAX(AO828,0),MAX(0,AK781-IF($A829&gt;='1-Input'!$C$12,'1-Input'!$B$12,0)))))*(1/(1-'P-Parametri'!$B$6*AK829))))</f>
        <v>9360.3585467978737</v>
      </c>
      <c r="AM829" s="18">
        <f>IF($A829&gt;('1-Input'!$B$26+3),AO828,(AO828-MAX(0,AK781-IF($A829&gt;='1-Input'!$C$12,'1-Input'!$B$12,0))+AL829*(1-'P-Parametri'!$B$6*AK829))*(1+'1-Input'!$B$27))</f>
        <v>9.0622052084654565E-13</v>
      </c>
      <c r="AN829" s="18">
        <f>IF($A829&gt;('1-Input'!$B$26+3),AP828,(AP828-AL829)*(1+'5-Roberta'!$C$4))</f>
        <v>18558.401467077467</v>
      </c>
      <c r="AO829" s="18">
        <f>IF($A829&gt;('1-Input'!$B$26+3),AM829,AM829-'P-Parametri'!$B$8*(AN829+AM829)+MIN(MAX(AN829,0),'P-Parametri'!$B$8*(AN829+AM829)))</f>
        <v>9.0949470177292824E-13</v>
      </c>
      <c r="AP829" s="18">
        <f>IF($A829&gt;('1-Input'!$B$26+3),AN829,AN829-MIN(MAX(AN829,0),'P-Parametri'!$B$8*(AN829+AM829)))</f>
        <v>18521.284664143313</v>
      </c>
      <c r="AQ829" s="18">
        <f>IF($A829&gt;('1-Input'!$B$26+3),AQ828,AQ828-AL829*(1-AK829))</f>
        <v>4085.7556293546531</v>
      </c>
    </row>
    <row r="830" spans="1:43">
      <c r="A830" s="10">
        <f>47</f>
        <v>47</v>
      </c>
      <c r="B830" s="11">
        <f>IF($A830&gt;('1-Input'!$B$26+3),0,IF(G829&lt;=0,0,MAX(0,(G829-H829)/G829)))</f>
        <v>0.77940214712726874</v>
      </c>
      <c r="C830" s="18">
        <f>IF($A830&gt;('1-Input'!$B$26+3),0,(MAX(0,B781-IF($A830&gt;='1-Input'!$C$12,'1-Input'!$B$12,0))-MIN(MAX(F829,0),MAX(0,B781-IF($A830&gt;='1-Input'!$C$12,'1-Input'!$B$12,0))))*(1/(1-'P-Parametri'!$B$6*B830))+MIN(MAX(0,G829-(MAX(0,B781-IF($A830&gt;='1-Input'!$C$12,'1-Input'!$B$12,0))-MIN(MAX(F829,0),MAX(0,B781-IF($A830&gt;='1-Input'!$C$12,'1-Input'!$B$12,0))))*(1/(1-'P-Parametri'!$B$6*B830))),MAX(0,0*B781-(F829-MIN(MAX(F829,0),MAX(0,B781-IF($A830&gt;='1-Input'!$C$12,'1-Input'!$B$12,0)))))*(1/(1-'P-Parametri'!$B$6*B830))))</f>
        <v>6996.948942121423</v>
      </c>
      <c r="D830" s="18">
        <f>IF($A830&gt;('1-Input'!$B$26+3),F829,(F829-MAX(0,B781-IF($A830&gt;='1-Input'!$C$12,'1-Input'!$B$12,0))+C830*(1-'P-Parametri'!$B$6*B830))*(1+'1-Input'!$B$27))</f>
        <v>0</v>
      </c>
      <c r="E830" s="18">
        <f>IF($A830&gt;('1-Input'!$B$26+3),G829,(G829-C830)*(1+'5-Roberta'!$C$4))</f>
        <v>222982.78098338781</v>
      </c>
      <c r="F830" s="18">
        <f>IF($A830&gt;('1-Input'!$B$26+3),D830,D830-'P-Parametri'!$B$8*(E830+D830)+MIN(MAX(E830,0),'P-Parametri'!$B$8*(E830+D830)))</f>
        <v>0</v>
      </c>
      <c r="G830" s="18">
        <f>IF($A830&gt;('1-Input'!$B$26+3),E830,E830-MIN(MAX(E830,0),'P-Parametri'!$B$8*(E830+D830)))</f>
        <v>222536.81542142102</v>
      </c>
      <c r="H830" s="18">
        <f>IF($A830&gt;('1-Input'!$B$26+3),H829,H829-C830*(1-B830))</f>
        <v>47756.818167500795</v>
      </c>
      <c r="I830" s="11">
        <f>IF($A830&gt;('1-Input'!$B$26+3),0,IF(N829&lt;=0,0,MAX(0,(N829-O829)/N829)))</f>
        <v>0</v>
      </c>
      <c r="J830" s="18">
        <f>IF($A830&gt;('1-Input'!$B$26+3),0,(MAX(0,I781-IF($A830&gt;='1-Input'!$C$12,'1-Input'!$B$12,0))-MIN(MAX(M829,0),MAX(0,I781-IF($A830&gt;='1-Input'!$C$12,'1-Input'!$B$12,0))))*(1/(1-'P-Parametri'!$B$6*I830))+MIN(MAX(0,N829-(MAX(0,I781-IF($A830&gt;='1-Input'!$C$12,'1-Input'!$B$12,0))-MIN(MAX(M829,0),MAX(0,I781-IF($A830&gt;='1-Input'!$C$12,'1-Input'!$B$12,0))))*(1/(1-'P-Parametri'!$B$6*I830))),MAX(0,0*I781-(M829-MIN(MAX(M829,0),MAX(0,I781-IF($A830&gt;='1-Input'!$C$12,'1-Input'!$B$12,0)))))*(1/(1-'P-Parametri'!$B$6*I830))))</f>
        <v>10846.756992928691</v>
      </c>
      <c r="K830" s="18">
        <f>IF($A830&gt;('1-Input'!$B$26+3),M829,(M829-MAX(0,I781-IF($A830&gt;='1-Input'!$C$12,'1-Input'!$B$12,0))+J830*(1-'P-Parametri'!$B$6*I830))*(1+'1-Input'!$B$27))</f>
        <v>0</v>
      </c>
      <c r="L830" s="18">
        <f>IF($A830&gt;('1-Input'!$B$26+3),N829,(N829-J830)*(1+'5-Roberta'!$C$4))</f>
        <v>-303517.75388016779</v>
      </c>
      <c r="M830" s="18">
        <f>IF($A830&gt;('1-Input'!$B$26+3),K830,K830-'P-Parametri'!$B$8*(L830+K830)+MIN(MAX(L830,0),'P-Parametri'!$B$8*(L830+K830)))</f>
        <v>0</v>
      </c>
      <c r="N830" s="18">
        <f>IF($A830&gt;('1-Input'!$B$26+3),L830,L830-MIN(MAX(L830,0),'P-Parametri'!$B$8*(L830+K830)))</f>
        <v>-302910.71837240743</v>
      </c>
      <c r="O830" s="18">
        <f>IF($A830&gt;('1-Input'!$B$26+3),O829,O829-J830*(1-I830))</f>
        <v>-218976.1133236991</v>
      </c>
      <c r="P830" s="11">
        <f>IF($A830&gt;('1-Input'!$B$26+3),0,IF(U829&lt;=0,0,MAX(0,(U829-V829)/U829)))</f>
        <v>0</v>
      </c>
      <c r="Q830" s="18">
        <f>IF($A830&gt;('1-Input'!$B$26+3),0,(MAX(0,P781-IF($A830&gt;='1-Input'!$C$12,'1-Input'!$B$12,0))-MIN(MAX(T829,0),MAX(0,P781-IF($A830&gt;='1-Input'!$C$12,'1-Input'!$B$12,0))))*(1/(1-'P-Parametri'!$B$6*P830))+MIN(MAX(0,U829-(MAX(0,P781-IF($A830&gt;='1-Input'!$C$12,'1-Input'!$B$12,0))-MIN(MAX(T829,0),MAX(0,P781-IF($A830&gt;='1-Input'!$C$12,'1-Input'!$B$12,0))))*(1/(1-'P-Parametri'!$B$6*P830))),MAX(0,0*P781-(T829-MIN(MAX(T829,0),MAX(0,P781-IF($A830&gt;='1-Input'!$C$12,'1-Input'!$B$12,0)))))*(1/(1-'P-Parametri'!$B$6*P830))))</f>
        <v>7724.0819837067756</v>
      </c>
      <c r="R830" s="18">
        <f>IF($A830&gt;('1-Input'!$B$26+3),T829,(T829-MAX(0,P781-IF($A830&gt;='1-Input'!$C$12,'1-Input'!$B$12,0))+Q830*(1-'P-Parametri'!$B$6*P830))*(1+'1-Input'!$B$27))</f>
        <v>0</v>
      </c>
      <c r="S830" s="18">
        <f>IF($A830&gt;('1-Input'!$B$26+3),U829,(U829-Q830)*(1+'5-Roberta'!$C$4))</f>
        <v>-16169.823608901061</v>
      </c>
      <c r="T830" s="18">
        <f>IF($A830&gt;('1-Input'!$B$26+3),R830,R830-'P-Parametri'!$B$8*(S830+R830)+MIN(MAX(S830,0),'P-Parametri'!$B$8*(S830+R830)))</f>
        <v>0</v>
      </c>
      <c r="U830" s="18">
        <f>IF($A830&gt;('1-Input'!$B$26+3),S830,S830-MIN(MAX(S830,0),'P-Parametri'!$B$8*(S830+R830)))</f>
        <v>-16137.483961683258</v>
      </c>
      <c r="V830" s="18">
        <f>IF($A830&gt;('1-Input'!$B$26+3),V829,V829-Q830*(1-P830))</f>
        <v>-9483.3004219642044</v>
      </c>
      <c r="W830" s="11">
        <f>IF($A830&gt;('1-Input'!$B$26+3),0,IF(AB829&lt;=0,0,MAX(0,(AB829-AC829)/AB829)))</f>
        <v>0.77940214712726885</v>
      </c>
      <c r="X830" s="18">
        <f>IF($A830&gt;('1-Input'!$B$26+3),0,(MAX(0,W781-IF($A830&gt;='1-Input'!$C$12,'1-Input'!$B$12,0))-MIN(MAX(AA829,0),MAX(0,W781-IF($A830&gt;='1-Input'!$C$12,'1-Input'!$B$12,0))))*(1/(1-'P-Parametri'!$B$6*W830))+MIN(MAX(0,AB829-(MAX(0,W781-IF($A830&gt;='1-Input'!$C$12,'1-Input'!$B$12,0))-MIN(MAX(AA829,0),MAX(0,W781-IF($A830&gt;='1-Input'!$C$12,'1-Input'!$B$12,0))))*(1/(1-'P-Parametri'!$B$6*W830))),MAX(0,0*W781-(AA829-MIN(MAX(AA829,0),MAX(0,W781-IF($A830&gt;='1-Input'!$C$12,'1-Input'!$B$12,0)))))*(1/(1-'P-Parametri'!$B$6*W830))))</f>
        <v>9364.7722157944536</v>
      </c>
      <c r="Y830" s="18">
        <f>IF($A830&gt;('1-Input'!$B$26+3),AA829,(AA829-MAX(0,W781-IF($A830&gt;='1-Input'!$C$12,'1-Input'!$B$12,0))+X830*(1-'P-Parametri'!$B$6*W830))*(1+'1-Input'!$B$27))</f>
        <v>0</v>
      </c>
      <c r="Z830" s="18">
        <f>IF($A830&gt;('1-Input'!$B$26+3),AB829,(AB829-X830)*(1+'5-Roberta'!$C$4))</f>
        <v>10707.214462102966</v>
      </c>
      <c r="AA830" s="18">
        <f>IF($A830&gt;('1-Input'!$B$26+3),Y830,Y830-'P-Parametri'!$B$8*(Z830+Y830)+MIN(MAX(Z830,0),'P-Parametri'!$B$8*(Z830+Y830)))</f>
        <v>0</v>
      </c>
      <c r="AB830" s="18">
        <f>IF($A830&gt;('1-Input'!$B$26+3),Z830,Z830-MIN(MAX(Z830,0),'P-Parametri'!$B$8*(Z830+Y830)))</f>
        <v>10685.800033178759</v>
      </c>
      <c r="AC830" s="18">
        <f>IF($A830&gt;('1-Input'!$B$26+3),AC829,AC829-X830*(1-W830))</f>
        <v>2293.1927384347268</v>
      </c>
      <c r="AD830" s="11">
        <f>IF($A830&gt;('1-Input'!$B$26+3),0,IF(AI829&lt;=0,0,MAX(0,(AI829-AJ829)/AI829)))</f>
        <v>0.7794021471272693</v>
      </c>
      <c r="AE830" s="18">
        <f>IF($A830&gt;('1-Input'!$B$26+3),0,(MAX(0,AD781-IF($A830&gt;='1-Input'!$C$12,'1-Input'!$B$12,0))-MIN(MAX(AH829,0),MAX(0,AD781-IF($A830&gt;='1-Input'!$C$12,'1-Input'!$B$12,0))))*(1/(1-'P-Parametri'!$B$6*AD830))+MIN(MAX(0,AI829-(MAX(0,AD781-IF($A830&gt;='1-Input'!$C$12,'1-Input'!$B$12,0))-MIN(MAX(AH829,0),MAX(0,AD781-IF($A830&gt;='1-Input'!$C$12,'1-Input'!$B$12,0))))*(1/(1-'P-Parametri'!$B$6*AD830))),MAX(0,0*AD781-(AH829-MIN(MAX(AH829,0),MAX(0,AD781-IF($A830&gt;='1-Input'!$C$12,'1-Input'!$B$12,0)))))*(1/(1-'P-Parametri'!$B$6*AD830))))</f>
        <v>9381.459522595349</v>
      </c>
      <c r="AF830" s="18">
        <f>IF($A830&gt;('1-Input'!$B$26+3),AH829,(AH829-MAX(0,AD781-IF($A830&gt;='1-Input'!$C$12,'1-Input'!$B$12,0))+AE830*(1-'P-Parametri'!$B$6*AD830))*(1+'1-Input'!$B$27))</f>
        <v>0</v>
      </c>
      <c r="AG830" s="18">
        <f>IF($A830&gt;('1-Input'!$B$26+3),AI829,(AI829-AE830)*(1+'5-Roberta'!$C$4))</f>
        <v>9211.1959271648229</v>
      </c>
      <c r="AH830" s="18">
        <f>IF($A830&gt;('1-Input'!$B$26+3),AF830,AF830-'P-Parametri'!$B$8*(AG830+AF830)+MIN(MAX(AG830,0),'P-Parametri'!$B$8*(AG830+AF830)))</f>
        <v>0</v>
      </c>
      <c r="AI830" s="18">
        <f>IF($A830&gt;('1-Input'!$B$26+3),AG830,AG830-MIN(MAX(AG830,0),'P-Parametri'!$B$8*(AG830+AF830)))</f>
        <v>9192.7735353104927</v>
      </c>
      <c r="AJ830" s="18">
        <f>IF($A830&gt;('1-Input'!$B$26+3),AJ829,AJ829-AE830*(1-AD830))</f>
        <v>1972.7864504102931</v>
      </c>
      <c r="AK830" s="11">
        <f>IF($A830&gt;('1-Input'!$B$26+3),0,IF(AP829&lt;=0,0,MAX(0,(AP829-AQ829)/AP829)))</f>
        <v>0.77940214712726918</v>
      </c>
      <c r="AL830" s="18">
        <f>IF($A830&gt;('1-Input'!$B$26+3),0,(MAX(0,AK781-IF($A830&gt;='1-Input'!$C$12,'1-Input'!$B$12,0))-MIN(MAX(AO829,0),MAX(0,AK781-IF($A830&gt;='1-Input'!$C$12,'1-Input'!$B$12,0))))*(1/(1-'P-Parametri'!$B$6*AK830))+MIN(MAX(0,AP829-(MAX(0,AK781-IF($A830&gt;='1-Input'!$C$12,'1-Input'!$B$12,0))-MIN(MAX(AO829,0),MAX(0,AK781-IF($A830&gt;='1-Input'!$C$12,'1-Input'!$B$12,0))))*(1/(1-'P-Parametri'!$B$6*AK830))),MAX(0,0*AK781-(AO829-MIN(MAX(AO829,0),MAX(0,AK781-IF($A830&gt;='1-Input'!$C$12,'1-Input'!$B$12,0)))))*(1/(1-'P-Parametri'!$B$6*AK830))))</f>
        <v>9379.1708319429817</v>
      </c>
      <c r="AM830" s="18">
        <f>IF($A830&gt;('1-Input'!$B$26+3),AO829,(AO829-MAX(0,AK781-IF($A830&gt;='1-Input'!$C$12,'1-Input'!$B$12,0))+AL830*(1-'P-Parametri'!$B$6*AK830))*(1+'1-Input'!$B$27))</f>
        <v>0</v>
      </c>
      <c r="AN830" s="18">
        <f>IF($A830&gt;('1-Input'!$B$26+3),AP829,(AP829-AL830)*(1+'5-Roberta'!$C$4))</f>
        <v>9416.3772471663415</v>
      </c>
      <c r="AO830" s="18">
        <f>IF($A830&gt;('1-Input'!$B$26+3),AM830,AM830-'P-Parametri'!$B$8*(AN830+AM830)+MIN(MAX(AN830,0),'P-Parametri'!$B$8*(AN830+AM830)))</f>
        <v>0</v>
      </c>
      <c r="AP830" s="18">
        <f>IF($A830&gt;('1-Input'!$B$26+3),AN830,AN830-MIN(MAX(AN830,0),'P-Parametri'!$B$8*(AN830+AM830)))</f>
        <v>9397.5444926720083</v>
      </c>
      <c r="AQ830" s="18">
        <f>IF($A830&gt;('1-Input'!$B$26+3),AQ829,AQ829-AL830*(1-AK830))</f>
        <v>2016.7306821014868</v>
      </c>
    </row>
    <row r="831" spans="1:43">
      <c r="A831" s="10">
        <f>48</f>
        <v>48</v>
      </c>
      <c r="B831" s="11">
        <f>IF($A831&gt;('1-Input'!$B$26+3),0,IF(G830&lt;=0,0,MAX(0,(G830-H830)/G830)))</f>
        <v>0.78539812355513838</v>
      </c>
      <c r="C831" s="18">
        <f>IF($A831&gt;('1-Input'!$B$26+3),0,(MAX(0,B781-IF($A831&gt;='1-Input'!$C$12,'1-Input'!$B$12,0))-MIN(MAX(F830,0),MAX(0,B781-IF($A831&gt;='1-Input'!$C$12,'1-Input'!$B$12,0))))*(1/(1-'P-Parametri'!$B$6*B831))+MIN(MAX(0,G830-(MAX(0,B781-IF($A831&gt;='1-Input'!$C$12,'1-Input'!$B$12,0))-MIN(MAX(F830,0),MAX(0,B781-IF($A831&gt;='1-Input'!$C$12,'1-Input'!$B$12,0))))*(1/(1-'P-Parametri'!$B$6*B831))),MAX(0,0*B781-(F830-MIN(MAX(F830,0),MAX(0,B781-IF($A831&gt;='1-Input'!$C$12,'1-Input'!$B$12,0)))))*(1/(1-'P-Parametri'!$B$6*B831))))</f>
        <v>7010.6558644394017</v>
      </c>
      <c r="D831" s="18">
        <f>IF($A831&gt;('1-Input'!$B$26+3),F830,(F830-MAX(0,B781-IF($A831&gt;='1-Input'!$C$12,'1-Input'!$B$12,0))+C831*(1-'P-Parametri'!$B$6*B831))*(1+'1-Input'!$B$27))</f>
        <v>9.0622052084654565E-13</v>
      </c>
      <c r="E831" s="18">
        <f>IF($A831&gt;('1-Input'!$B$26+3),G830,(G830-C831)*(1+'5-Roberta'!$C$4))</f>
        <v>221991.94434369108</v>
      </c>
      <c r="F831" s="18">
        <f>IF($A831&gt;('1-Input'!$B$26+3),D831,D831-'P-Parametri'!$B$8*(E831+D831)+MIN(MAX(E831,0),'P-Parametri'!$B$8*(E831+D831)))</f>
        <v>9.0949470177292824E-13</v>
      </c>
      <c r="G831" s="18">
        <f>IF($A831&gt;('1-Input'!$B$26+3),E831,E831-MIN(MAX(E831,0),'P-Parametri'!$B$8*(E831+D831)))</f>
        <v>221547.96045500369</v>
      </c>
      <c r="H831" s="18">
        <f>IF($A831&gt;('1-Input'!$B$26+3),H830,H830-C831*(1-B831))</f>
        <v>46252.318263882924</v>
      </c>
      <c r="I831" s="11">
        <f>IF($A831&gt;('1-Input'!$B$26+3),0,IF(N830&lt;=0,0,MAX(0,(N830-O830)/N830)))</f>
        <v>0</v>
      </c>
      <c r="J831" s="18">
        <f>IF($A831&gt;('1-Input'!$B$26+3),0,(MAX(0,I781-IF($A831&gt;='1-Input'!$C$12,'1-Input'!$B$12,0))-MIN(MAX(M830,0),MAX(0,I781-IF($A831&gt;='1-Input'!$C$12,'1-Input'!$B$12,0))))*(1/(1-'P-Parametri'!$B$6*I831))+MIN(MAX(0,N830-(MAX(0,I781-IF($A831&gt;='1-Input'!$C$12,'1-Input'!$B$12,0))-MIN(MAX(M830,0),MAX(0,I781-IF($A831&gt;='1-Input'!$C$12,'1-Input'!$B$12,0))))*(1/(1-'P-Parametri'!$B$6*I831))),MAX(0,0*I781-(M830-MIN(MAX(M830,0),MAX(0,I781-IF($A831&gt;='1-Input'!$C$12,'1-Input'!$B$12,0)))))*(1/(1-'P-Parametri'!$B$6*I831))))</f>
        <v>10846.756992928691</v>
      </c>
      <c r="K831" s="18">
        <f>IF($A831&gt;('1-Input'!$B$26+3),M830,(M830-MAX(0,I781-IF($A831&gt;='1-Input'!$C$12,'1-Input'!$B$12,0))+J831*(1-'P-Parametri'!$B$6*I831))*(1+'1-Input'!$B$27))</f>
        <v>0</v>
      </c>
      <c r="L831" s="18">
        <f>IF($A831&gt;('1-Input'!$B$26+3),N830,(N830-J831)*(1+'5-Roberta'!$C$4))</f>
        <v>-323170.19962629618</v>
      </c>
      <c r="M831" s="18">
        <f>IF($A831&gt;('1-Input'!$B$26+3),K831,K831-'P-Parametri'!$B$8*(L831+K831)+MIN(MAX(L831,0),'P-Parametri'!$B$8*(L831+K831)))</f>
        <v>0</v>
      </c>
      <c r="N831" s="18">
        <f>IF($A831&gt;('1-Input'!$B$26+3),L831,L831-MIN(MAX(L831,0),'P-Parametri'!$B$8*(L831+K831)))</f>
        <v>-322523.85922704358</v>
      </c>
      <c r="O831" s="18">
        <f>IF($A831&gt;('1-Input'!$B$26+3),O830,O830-J831*(1-I831))</f>
        <v>-229822.87031662778</v>
      </c>
      <c r="P831" s="11">
        <f>IF($A831&gt;('1-Input'!$B$26+3),0,IF(U830&lt;=0,0,MAX(0,(U830-V830)/U830)))</f>
        <v>0</v>
      </c>
      <c r="Q831" s="18">
        <f>IF($A831&gt;('1-Input'!$B$26+3),0,(MAX(0,P781-IF($A831&gt;='1-Input'!$C$12,'1-Input'!$B$12,0))-MIN(MAX(T830,0),MAX(0,P781-IF($A831&gt;='1-Input'!$C$12,'1-Input'!$B$12,0))))*(1/(1-'P-Parametri'!$B$6*P831))+MIN(MAX(0,U830-(MAX(0,P781-IF($A831&gt;='1-Input'!$C$12,'1-Input'!$B$12,0))-MIN(MAX(T830,0),MAX(0,P781-IF($A831&gt;='1-Input'!$C$12,'1-Input'!$B$12,0))))*(1/(1-'P-Parametri'!$B$6*P831))),MAX(0,0*P781-(T830-MIN(MAX(T830,0),MAX(0,P781-IF($A831&gt;='1-Input'!$C$12,'1-Input'!$B$12,0)))))*(1/(1-'P-Parametri'!$B$6*P831))))</f>
        <v>7724.0819837067756</v>
      </c>
      <c r="R831" s="18">
        <f>IF($A831&gt;('1-Input'!$B$26+3),T830,(T830-MAX(0,P781-IF($A831&gt;='1-Input'!$C$12,'1-Input'!$B$12,0))+Q831*(1-'P-Parametri'!$B$6*P831))*(1+'1-Input'!$B$27))</f>
        <v>0</v>
      </c>
      <c r="S831" s="18">
        <f>IF($A831&gt;('1-Input'!$B$26+3),U830,(U830-Q831)*(1+'5-Roberta'!$C$4))</f>
        <v>-24577.412923751734</v>
      </c>
      <c r="T831" s="18">
        <f>IF($A831&gt;('1-Input'!$B$26+3),R831,R831-'P-Parametri'!$B$8*(S831+R831)+MIN(MAX(S831,0),'P-Parametri'!$B$8*(S831+R831)))</f>
        <v>0</v>
      </c>
      <c r="U831" s="18">
        <f>IF($A831&gt;('1-Input'!$B$26+3),S831,S831-MIN(MAX(S831,0),'P-Parametri'!$B$8*(S831+R831)))</f>
        <v>-24528.258097904229</v>
      </c>
      <c r="V831" s="18">
        <f>IF($A831&gt;('1-Input'!$B$26+3),V830,V830-Q831*(1-P831))</f>
        <v>-17207.382405670978</v>
      </c>
      <c r="W831" s="11">
        <f>IF($A831&gt;('1-Input'!$B$26+3),0,IF(AB830&lt;=0,0,MAX(0,(AB830-AC830)/AB830)))</f>
        <v>0.78539812355513827</v>
      </c>
      <c r="X831" s="18">
        <f>IF($A831&gt;('1-Input'!$B$26+3),0,(MAX(0,W781-IF($A831&gt;='1-Input'!$C$12,'1-Input'!$B$12,0))-MIN(MAX(AA830,0),MAX(0,W781-IF($A831&gt;='1-Input'!$C$12,'1-Input'!$B$12,0))))*(1/(1-'P-Parametri'!$B$6*W831))+MIN(MAX(0,AB830-(MAX(0,W781-IF($A831&gt;='1-Input'!$C$12,'1-Input'!$B$12,0))-MIN(MAX(AA830,0),MAX(0,W781-IF($A831&gt;='1-Input'!$C$12,'1-Input'!$B$12,0))))*(1/(1-'P-Parametri'!$B$6*W831))),MAX(0,0*W781-(AA830-MIN(MAX(AA830,0),MAX(0,W781-IF($A831&gt;='1-Input'!$C$12,'1-Input'!$B$12,0)))))*(1/(1-'P-Parametri'!$B$6*W831))))</f>
        <v>9383.1176698415366</v>
      </c>
      <c r="Y831" s="18">
        <f>IF($A831&gt;('1-Input'!$B$26+3),AA830,(AA830-MAX(0,W781-IF($A831&gt;='1-Input'!$C$12,'1-Input'!$B$12,0))+X831*(1-'P-Parametri'!$B$6*W831))*(1+'1-Input'!$B$27))</f>
        <v>9.0622052084654565E-13</v>
      </c>
      <c r="Z831" s="18">
        <f>IF($A831&gt;('1-Input'!$B$26+3),AB830,(AB830-X831)*(1+'5-Roberta'!$C$4))</f>
        <v>1341.7628342373391</v>
      </c>
      <c r="AA831" s="18">
        <f>IF($A831&gt;('1-Input'!$B$26+3),Y831,Y831-'P-Parametri'!$B$8*(Z831+Y831)+MIN(MAX(Z831,0),'P-Parametri'!$B$8*(Z831+Y831)))</f>
        <v>9.063860773039778E-13</v>
      </c>
      <c r="AB831" s="18">
        <f>IF($A831&gt;('1-Input'!$B$26+3),Z831,Z831-MIN(MAX(Z831,0),'P-Parametri'!$B$8*(Z831+Y831)))</f>
        <v>1339.0793085688645</v>
      </c>
      <c r="AC831" s="18">
        <f>IF($A831&gt;('1-Input'!$B$26+3),AC830,AC830-X831*(1-W831))</f>
        <v>279.55807958379455</v>
      </c>
      <c r="AD831" s="11">
        <f>IF($A831&gt;('1-Input'!$B$26+3),0,IF(AI830&lt;=0,0,MAX(0,(AI830-AJ830)/AI830)))</f>
        <v>0.78539812355513872</v>
      </c>
      <c r="AE831" s="18">
        <f>IF($A831&gt;('1-Input'!$B$26+3),0,(MAX(0,AD781-IF($A831&gt;='1-Input'!$C$12,'1-Input'!$B$12,0))-MIN(MAX(AH830,0),MAX(0,AD781-IF($A831&gt;='1-Input'!$C$12,'1-Input'!$B$12,0))))*(1/(1-'P-Parametri'!$B$6*AD831))+MIN(MAX(0,AI830-(MAX(0,AD781-IF($A831&gt;='1-Input'!$C$12,'1-Input'!$B$12,0))-MIN(MAX(AH830,0),MAX(0,AD781-IF($A831&gt;='1-Input'!$C$12,'1-Input'!$B$12,0))))*(1/(1-'P-Parametri'!$B$6*AD831))),MAX(0,0*AD781-(AH830-MIN(MAX(AH830,0),MAX(0,AD781-IF($A831&gt;='1-Input'!$C$12,'1-Input'!$B$12,0)))))*(1/(1-'P-Parametri'!$B$6*AD831))))</f>
        <v>9399.8376668363835</v>
      </c>
      <c r="AF831" s="18">
        <f>IF($A831&gt;('1-Input'!$B$26+3),AH830,(AH830-MAX(0,AD781-IF($A831&gt;='1-Input'!$C$12,'1-Input'!$B$12,0))+AE831*(1-'P-Parametri'!$B$6*AD831))*(1+'1-Input'!$B$27))</f>
        <v>-9.0622052084654565E-13</v>
      </c>
      <c r="AG831" s="18">
        <f>IF($A831&gt;('1-Input'!$B$26+3),AI830,(AI830-AE831)*(1+'5-Roberta'!$C$4))</f>
        <v>-213.27605547166758</v>
      </c>
      <c r="AH831" s="18">
        <f>IF($A831&gt;('1-Input'!$B$26+3),AF831,AF831-'P-Parametri'!$B$8*(AG831+AF831)+MIN(MAX(AG831,0),'P-Parametri'!$B$8*(AG831+AF831)))</f>
        <v>-9.0621954385028403E-13</v>
      </c>
      <c r="AI831" s="18">
        <f>IF($A831&gt;('1-Input'!$B$26+3),AG831,AG831-MIN(MAX(AG831,0),'P-Parametri'!$B$8*(AG831+AF831)))</f>
        <v>-212.84950336072424</v>
      </c>
      <c r="AJ831" s="18">
        <f>IF($A831&gt;('1-Input'!$B$26+3),AJ830,AJ830-AE831*(1-AD831))</f>
        <v>-44.436351169881618</v>
      </c>
      <c r="AK831" s="11">
        <f>IF($A831&gt;('1-Input'!$B$26+3),0,IF(AP830&lt;=0,0,MAX(0,(AP830-AQ830)/AP830)))</f>
        <v>0.78539812355513861</v>
      </c>
      <c r="AL831" s="18">
        <f>IF($A831&gt;('1-Input'!$B$26+3),0,(MAX(0,AK781-IF($A831&gt;='1-Input'!$C$12,'1-Input'!$B$12,0))-MIN(MAX(AO830,0),MAX(0,AK781-IF($A831&gt;='1-Input'!$C$12,'1-Input'!$B$12,0))))*(1/(1-'P-Parametri'!$B$6*AK831))+MIN(MAX(0,AP830-(MAX(0,AK781-IF($A831&gt;='1-Input'!$C$12,'1-Input'!$B$12,0))-MIN(MAX(AO830,0),MAX(0,AK781-IF($A831&gt;='1-Input'!$C$12,'1-Input'!$B$12,0))))*(1/(1-'P-Parametri'!$B$6*AK831))),MAX(0,0*AK781-(AO830-MIN(MAX(AO830,0),MAX(0,AK781-IF($A831&gt;='1-Input'!$C$12,'1-Input'!$B$12,0)))))*(1/(1-'P-Parametri'!$B$6*AK831))))</f>
        <v>9397.5444926719556</v>
      </c>
      <c r="AM831" s="18">
        <f>IF($A831&gt;('1-Input'!$B$26+3),AO830,(AO830-MAX(0,AK781-IF($A831&gt;='1-Input'!$C$12,'1-Input'!$B$12,0))+AL831*(1-'P-Parametri'!$B$6*AK831))*(1+'1-Input'!$B$27))</f>
        <v>0</v>
      </c>
      <c r="AN831" s="18">
        <f>IF($A831&gt;('1-Input'!$B$26+3),AP830,(AP830-AL831)*(1+'5-Roberta'!$C$4))</f>
        <v>5.4333213483914735E-11</v>
      </c>
      <c r="AO831" s="18">
        <f>IF($A831&gt;('1-Input'!$B$26+3),AM831,AM831-'P-Parametri'!$B$8*(AN831+AM831)+MIN(MAX(AN831,0),'P-Parametri'!$B$8*(AN831+AM831)))</f>
        <v>0</v>
      </c>
      <c r="AP831" s="18">
        <f>IF($A831&gt;('1-Input'!$B$26+3),AN831,AN831-MIN(MAX(AN831,0),'P-Parametri'!$B$8*(AN831+AM831)))</f>
        <v>5.4224547056946903E-11</v>
      </c>
      <c r="AQ831" s="18">
        <f>IF($A831&gt;('1-Input'!$B$26+3),AQ830,AQ830-AL831*(1-AK831))</f>
        <v>1.2050804798491299E-11</v>
      </c>
    </row>
    <row r="832" spans="1:43">
      <c r="A832" s="4" t="s">
        <v>365</v>
      </c>
      <c r="B832" s="18">
        <f>F831+G831</f>
        <v>221547.96045500369</v>
      </c>
      <c r="I832" s="18">
        <f>M831+N831</f>
        <v>-322523.85922704358</v>
      </c>
      <c r="P832" s="18">
        <f>T831+U831</f>
        <v>-24528.258097904229</v>
      </c>
      <c r="W832" s="18">
        <f>AA831+AB831</f>
        <v>1339.0793085688654</v>
      </c>
      <c r="AD832" s="18">
        <f>AH831+AI831</f>
        <v>-212.84950336072515</v>
      </c>
      <c r="AK832" s="18">
        <f>AO831+AP831</f>
        <v>5.4224547056946903E-11</v>
      </c>
    </row>
    <row r="833" spans="1:43">
      <c r="A833" s="5" t="s">
        <v>266</v>
      </c>
      <c r="B833" s="18">
        <f>IFERROR(AK781-AK832*(AK781-AD781)/(AK832-AD832),AK781)</f>
        <v>18580.532901923631</v>
      </c>
    </row>
    <row r="835" spans="1:43">
      <c r="A835" s="2" t="s">
        <v>424</v>
      </c>
    </row>
    <row r="836" spans="1:43">
      <c r="A836" s="4" t="s">
        <v>360</v>
      </c>
      <c r="B836" s="9">
        <f>0.038*'2-Caso'!$B$12</f>
        <v>16681.055314625803</v>
      </c>
      <c r="I836" s="9">
        <f>0.05*'2-Caso'!$B$12</f>
        <v>21948.756992928691</v>
      </c>
      <c r="P836" s="18">
        <f>IFERROR(I836-I887*(I836-B836)/(I887-B887),I836)</f>
        <v>17858.534532847905</v>
      </c>
      <c r="W836" s="18">
        <f>IFERROR(P836-P887*(P836-I836)/(P887-I887),P836)</f>
        <v>17697.889554041994</v>
      </c>
      <c r="AD836" s="18">
        <f>IFERROR(W836-W887*(W836-P836)/(W887-P887),W836)</f>
        <v>17685.490370366326</v>
      </c>
      <c r="AK836" s="18">
        <f>IFERROR(AD836-AD887*(AD836-W836)/(AD887-W887),AD836)</f>
        <v>17685.517974310354</v>
      </c>
    </row>
    <row r="837" spans="1:43" ht="45">
      <c r="A837" s="25" t="s">
        <v>262</v>
      </c>
      <c r="B837" s="25" t="s">
        <v>361</v>
      </c>
      <c r="C837" s="25" t="s">
        <v>263</v>
      </c>
      <c r="D837" s="25" t="s">
        <v>362</v>
      </c>
      <c r="E837" s="25" t="s">
        <v>363</v>
      </c>
      <c r="F837" s="25" t="s">
        <v>264</v>
      </c>
      <c r="G837" s="25" t="s">
        <v>265</v>
      </c>
      <c r="H837" s="25" t="s">
        <v>364</v>
      </c>
      <c r="I837" s="25" t="s">
        <v>361</v>
      </c>
      <c r="J837" s="25" t="s">
        <v>263</v>
      </c>
      <c r="K837" s="25" t="s">
        <v>362</v>
      </c>
      <c r="L837" s="25" t="s">
        <v>363</v>
      </c>
      <c r="M837" s="25" t="s">
        <v>264</v>
      </c>
      <c r="N837" s="25" t="s">
        <v>265</v>
      </c>
      <c r="O837" s="25" t="s">
        <v>364</v>
      </c>
      <c r="P837" s="25" t="s">
        <v>361</v>
      </c>
      <c r="Q837" s="25" t="s">
        <v>263</v>
      </c>
      <c r="R837" s="25" t="s">
        <v>362</v>
      </c>
      <c r="S837" s="25" t="s">
        <v>363</v>
      </c>
      <c r="T837" s="25" t="s">
        <v>264</v>
      </c>
      <c r="U837" s="25" t="s">
        <v>265</v>
      </c>
      <c r="V837" s="25" t="s">
        <v>364</v>
      </c>
      <c r="W837" s="25" t="s">
        <v>361</v>
      </c>
      <c r="X837" s="25" t="s">
        <v>263</v>
      </c>
      <c r="Y837" s="25" t="s">
        <v>362</v>
      </c>
      <c r="Z837" s="25" t="s">
        <v>363</v>
      </c>
      <c r="AA837" s="25" t="s">
        <v>264</v>
      </c>
      <c r="AB837" s="25" t="s">
        <v>265</v>
      </c>
      <c r="AC837" s="25" t="s">
        <v>364</v>
      </c>
      <c r="AD837" s="25" t="s">
        <v>361</v>
      </c>
      <c r="AE837" s="25" t="s">
        <v>263</v>
      </c>
      <c r="AF837" s="25" t="s">
        <v>362</v>
      </c>
      <c r="AG837" s="25" t="s">
        <v>363</v>
      </c>
      <c r="AH837" s="25" t="s">
        <v>264</v>
      </c>
      <c r="AI837" s="25" t="s">
        <v>265</v>
      </c>
      <c r="AJ837" s="25" t="s">
        <v>364</v>
      </c>
      <c r="AK837" s="25" t="s">
        <v>361</v>
      </c>
      <c r="AL837" s="25" t="s">
        <v>263</v>
      </c>
      <c r="AM837" s="25" t="s">
        <v>362</v>
      </c>
      <c r="AN837" s="25" t="s">
        <v>363</v>
      </c>
      <c r="AO837" s="25" t="s">
        <v>264</v>
      </c>
      <c r="AP837" s="25" t="s">
        <v>265</v>
      </c>
      <c r="AQ837" s="25" t="s">
        <v>364</v>
      </c>
    </row>
    <row r="838" spans="1:43">
      <c r="A838" s="3">
        <v>0</v>
      </c>
      <c r="F838" s="18">
        <f>MIN(2*B836,'2-Caso'!$B$12)</f>
        <v>33362.110629251605</v>
      </c>
      <c r="G838" s="18">
        <f>'2-Caso'!$B$12-F838</f>
        <v>405613.02922932222</v>
      </c>
      <c r="H838" s="18">
        <f>'2-Caso'!$B$13*G838/'2-Caso'!$B$12</f>
        <v>317856</v>
      </c>
      <c r="M838" s="18">
        <f>MIN(2*I836,'2-Caso'!$B$12)</f>
        <v>43897.513985857382</v>
      </c>
      <c r="N838" s="18">
        <f>'2-Caso'!$B$12-M838</f>
        <v>395077.62587271642</v>
      </c>
      <c r="O838" s="18">
        <f>'2-Caso'!$B$13*N838/'2-Caso'!$B$12</f>
        <v>309600</v>
      </c>
      <c r="T838" s="18">
        <f>MIN(2*P836,'2-Caso'!$B$12)</f>
        <v>35717.06906569581</v>
      </c>
      <c r="U838" s="18">
        <f>'2-Caso'!$B$12-T838</f>
        <v>403258.07079287799</v>
      </c>
      <c r="V838" s="18">
        <f>'2-Caso'!$B$13*U838/'2-Caso'!$B$12</f>
        <v>316010.55220904358</v>
      </c>
      <c r="AA838" s="18">
        <f>MIN(2*W836,'2-Caso'!$B$12)</f>
        <v>35395.779108083989</v>
      </c>
      <c r="AB838" s="18">
        <f>'2-Caso'!$B$12-AA838</f>
        <v>403579.36075048981</v>
      </c>
      <c r="AC838" s="18">
        <f>'2-Caso'!$B$13*AB838/'2-Caso'!$B$12</f>
        <v>316262.32898495405</v>
      </c>
      <c r="AH838" s="18">
        <f>MIN(2*AD836,'2-Caso'!$B$12)</f>
        <v>35370.980740732652</v>
      </c>
      <c r="AI838" s="18">
        <f>'2-Caso'!$B$12-AH838</f>
        <v>403604.15911784116</v>
      </c>
      <c r="AJ838" s="18">
        <f>'2-Caso'!$B$13*AI838/'2-Caso'!$B$12</f>
        <v>316281.76206349151</v>
      </c>
      <c r="AO838" s="18">
        <f>MIN(2*AK836,'2-Caso'!$B$12)</f>
        <v>35371.035948620709</v>
      </c>
      <c r="AP838" s="18">
        <f>'2-Caso'!$B$12-AO838</f>
        <v>403604.10390995309</v>
      </c>
      <c r="AQ838" s="18">
        <f>'2-Caso'!$B$13*AP838/'2-Caso'!$B$12</f>
        <v>316281.71880019078</v>
      </c>
    </row>
    <row r="839" spans="1:43">
      <c r="A839" s="10">
        <f>1</f>
        <v>1</v>
      </c>
      <c r="B839" s="11">
        <f>IF($A839&gt;('1-Input'!$B$26+3),0,IF(G838&lt;=0,0,MAX(0,(G838-H838)/G838)))</f>
        <v>0.21635653419729486</v>
      </c>
      <c r="C839" s="18">
        <f>IF($A839&gt;('1-Input'!$B$26+3),0,(MAX(0,B836-IF($A839&gt;='1-Input'!$C$12,'1-Input'!$B$12,0))-MIN(MAX(F838,0),MAX(0,B836-IF($A839&gt;='1-Input'!$C$12,'1-Input'!$B$12,0))))*(1/(1-'P-Parametri'!$B$6*B839))+MIN(MAX(0,G838-(MAX(0,B836-IF($A839&gt;='1-Input'!$C$12,'1-Input'!$B$12,0))-MIN(MAX(F838,0),MAX(0,B836-IF($A839&gt;='1-Input'!$C$12,'1-Input'!$B$12,0))))*(1/(1-'P-Parametri'!$B$6*B839))),MAX(0,2*B836-(F838-MIN(MAX(F838,0),MAX(0,B836-IF($A839&gt;='1-Input'!$C$12,'1-Input'!$B$12,0)))))*(1/(1-'P-Parametri'!$B$6*B839))))</f>
        <v>17675.340946701614</v>
      </c>
      <c r="D839" s="18">
        <f>IF($A839&gt;('1-Input'!$B$26+3),F838,(F838-MAX(0,B836-IF($A839&gt;='1-Input'!$C$12,'1-Input'!$B$12,0))+C839*(1-'P-Parametri'!$B$6*B839))*(1+'1-Input'!$B$27))</f>
        <v>33242.0070309863</v>
      </c>
      <c r="E839" s="18">
        <f>IF($A839&gt;('1-Input'!$B$26+3),G838,(G838-C839)*(1+'5-Roberta'!$C$4))</f>
        <v>399575.81893109926</v>
      </c>
      <c r="F839" s="18">
        <f>IF($A839&gt;('1-Input'!$B$26+3),D839,D839-'P-Parametri'!$B$8*(E839+D839)+MIN(MAX(E839,0),'P-Parametri'!$B$8*(E839+D839)))</f>
        <v>33242.0070309863</v>
      </c>
      <c r="G839" s="18">
        <f>IF($A839&gt;('1-Input'!$B$26+3),E839,E839-MIN(MAX(E839,0),'P-Parametri'!$B$8*(E839+D839)))</f>
        <v>398710.18327917508</v>
      </c>
      <c r="H839" s="18">
        <f>IF($A839&gt;('1-Input'!$B$26+3),H838,H838-C839*(1-B839))</f>
        <v>304004.8345612823</v>
      </c>
      <c r="I839" s="11">
        <f>IF($A839&gt;('1-Input'!$B$26+3),0,IF(N838&lt;=0,0,MAX(0,(N838-O838)/N838)))</f>
        <v>0.21635653419729484</v>
      </c>
      <c r="J839" s="18">
        <f>IF($A839&gt;('1-Input'!$B$26+3),0,(MAX(0,I836-IF($A839&gt;='1-Input'!$C$12,'1-Input'!$B$12,0))-MIN(MAX(M838,0),MAX(0,I836-IF($A839&gt;='1-Input'!$C$12,'1-Input'!$B$12,0))))*(1/(1-'P-Parametri'!$B$6*I839))+MIN(MAX(0,N838-(MAX(0,I836-IF($A839&gt;='1-Input'!$C$12,'1-Input'!$B$12,0))-MIN(MAX(M838,0),MAX(0,I836-IF($A839&gt;='1-Input'!$C$12,'1-Input'!$B$12,0))))*(1/(1-'P-Parametri'!$B$6*I839))),MAX(0,2*I836-(M838-MIN(MAX(M838,0),MAX(0,I836-IF($A839&gt;='1-Input'!$C$12,'1-Input'!$B$12,0)))))*(1/(1-'P-Parametri'!$B$6*I839))))</f>
        <v>23257.027561449497</v>
      </c>
      <c r="K839" s="18">
        <f>IF($A839&gt;('1-Input'!$B$26+3),M838,(M838-MAX(0,I836-IF($A839&gt;='1-Input'!$C$12,'1-Input'!$B$12,0))+J839*(1-'P-Parametri'!$B$6*I839))*(1+'1-Input'!$B$27))</f>
        <v>43739.482935508291</v>
      </c>
      <c r="L839" s="18">
        <f>IF($A839&gt;('1-Input'!$B$26+3),N838,(N838-J839)*(1+'5-Roberta'!$C$4))</f>
        <v>382975.21626060491</v>
      </c>
      <c r="M839" s="18">
        <f>IF($A839&gt;('1-Input'!$B$26+3),K839,K839-'P-Parametri'!$B$8*(L839+K839)+MIN(MAX(L839,0),'P-Parametri'!$B$8*(L839+K839)))</f>
        <v>43739.482935508291</v>
      </c>
      <c r="N839" s="18">
        <f>IF($A839&gt;('1-Input'!$B$26+3),L839,L839-MIN(MAX(L839,0),'P-Parametri'!$B$8*(L839+K839)))</f>
        <v>382121.7868622127</v>
      </c>
      <c r="O839" s="18">
        <f>IF($A839&gt;('1-Input'!$B$26+3),O838,O838-J839*(1-I839))</f>
        <v>291374.7823174767</v>
      </c>
      <c r="P839" s="11">
        <f>IF($A839&gt;('1-Input'!$B$26+3),0,IF(U838&lt;=0,0,MAX(0,(U838-V838)/U838)))</f>
        <v>0.21635653419729473</v>
      </c>
      <c r="Q839" s="18">
        <f>IF($A839&gt;('1-Input'!$B$26+3),0,(MAX(0,P836-IF($A839&gt;='1-Input'!$C$12,'1-Input'!$B$12,0))-MIN(MAX(T838,0),MAX(0,P836-IF($A839&gt;='1-Input'!$C$12,'1-Input'!$B$12,0))))*(1/(1-'P-Parametri'!$B$6*P839))+MIN(MAX(0,U838-(MAX(0,P836-IF($A839&gt;='1-Input'!$C$12,'1-Input'!$B$12,0))-MIN(MAX(T838,0),MAX(0,P836-IF($A839&gt;='1-Input'!$C$12,'1-Input'!$B$12,0))))*(1/(1-'P-Parametri'!$B$6*P839))),MAX(0,2*P836-(T838-MIN(MAX(T838,0),MAX(0,P836-IF($A839&gt;='1-Input'!$C$12,'1-Input'!$B$12,0)))))*(1/(1-'P-Parametri'!$B$6*P839))))</f>
        <v>18923.004613489127</v>
      </c>
      <c r="R839" s="18">
        <f>IF($A839&gt;('1-Input'!$B$26+3),T838,(T838-MAX(0,P836-IF($A839&gt;='1-Input'!$C$12,'1-Input'!$B$12,0))+Q839*(1-'P-Parametri'!$B$6*P839))*(1+'1-Input'!$B$27))</f>
        <v>35588.487617059312</v>
      </c>
      <c r="S839" s="18">
        <f>IF($A839&gt;('1-Input'!$B$26+3),U838,(U838-Q839)*(1+'5-Roberta'!$C$4))</f>
        <v>395865.11816477054</v>
      </c>
      <c r="T839" s="18">
        <f>IF($A839&gt;('1-Input'!$B$26+3),R839,R839-'P-Parametri'!$B$8*(S839+R839)+MIN(MAX(S839,0),'P-Parametri'!$B$8*(S839+R839)))</f>
        <v>35588.487617059312</v>
      </c>
      <c r="U839" s="18">
        <f>IF($A839&gt;('1-Input'!$B$26+3),S839,S839-MIN(MAX(S839,0),'P-Parametri'!$B$8*(S839+R839)))</f>
        <v>395002.21095320687</v>
      </c>
      <c r="V839" s="18">
        <f>IF($A839&gt;('1-Input'!$B$26+3),V838,V838-Q839*(1-P839))</f>
        <v>301181.6632903284</v>
      </c>
      <c r="W839" s="11">
        <f>IF($A839&gt;('1-Input'!$B$26+3),0,IF(AB838&lt;=0,0,MAX(0,(AB838-AC838)/AB838)))</f>
        <v>0.21635653419729489</v>
      </c>
      <c r="X839" s="18">
        <f>IF($A839&gt;('1-Input'!$B$26+3),0,(MAX(0,W836-IF($A839&gt;='1-Input'!$C$12,'1-Input'!$B$12,0))-MIN(MAX(AA838,0),MAX(0,W836-IF($A839&gt;='1-Input'!$C$12,'1-Input'!$B$12,0))))*(1/(1-'P-Parametri'!$B$6*W839))+MIN(MAX(0,AB838-(MAX(0,W836-IF($A839&gt;='1-Input'!$C$12,'1-Input'!$B$12,0))-MIN(MAX(AA838,0),MAX(0,W836-IF($A839&gt;='1-Input'!$C$12,'1-Input'!$B$12,0))))*(1/(1-'P-Parametri'!$B$6*W839))),MAX(0,2*W836-(AA838-MIN(MAX(AA838,0),MAX(0,W836-IF($A839&gt;='1-Input'!$C$12,'1-Input'!$B$12,0)))))*(1/(1-'P-Parametri'!$B$6*W839))))</f>
        <v>18752.784281608772</v>
      </c>
      <c r="Y839" s="18">
        <f>IF($A839&gt;('1-Input'!$B$26+3),AA838,(AA838-MAX(0,W836-IF($A839&gt;='1-Input'!$C$12,'1-Input'!$B$12,0))+X839*(1-'P-Parametri'!$B$6*W839))*(1+'1-Input'!$B$27))</f>
        <v>35268.35430329488</v>
      </c>
      <c r="Z839" s="18">
        <f>IF($A839&gt;('1-Input'!$B$26+3),AB838,(AB838-X839)*(1+'5-Roberta'!$C$4))</f>
        <v>396371.37376294751</v>
      </c>
      <c r="AA839" s="18">
        <f>IF($A839&gt;('1-Input'!$B$26+3),Y839,Y839-'P-Parametri'!$B$8*(Z839+Y839)+MIN(MAX(Z839,0),'P-Parametri'!$B$8*(Z839+Y839)))</f>
        <v>35268.35430329488</v>
      </c>
      <c r="AB839" s="18">
        <f>IF($A839&gt;('1-Input'!$B$26+3),Z839,Z839-MIN(MAX(Z839,0),'P-Parametri'!$B$8*(Z839+Y839)))</f>
        <v>395508.09430681501</v>
      </c>
      <c r="AC839" s="18">
        <f>IF($A839&gt;('1-Input'!$B$26+3),AC838,AC838-X839*(1-W839))</f>
        <v>301566.83211706363</v>
      </c>
      <c r="AD839" s="11">
        <f>IF($A839&gt;('1-Input'!$B$26+3),0,IF(AI838&lt;=0,0,MAX(0,(AI838-AJ838)/AI838)))</f>
        <v>0.21635653419729489</v>
      </c>
      <c r="AE839" s="18">
        <f>IF($A839&gt;('1-Input'!$B$26+3),0,(MAX(0,AD836-IF($A839&gt;='1-Input'!$C$12,'1-Input'!$B$12,0))-MIN(MAX(AH838,0),MAX(0,AD836-IF($A839&gt;='1-Input'!$C$12,'1-Input'!$B$12,0))))*(1/(1-'P-Parametri'!$B$6*AD839))+MIN(MAX(0,AI838-(MAX(0,AD836-IF($A839&gt;='1-Input'!$C$12,'1-Input'!$B$12,0))-MIN(MAX(AH838,0),MAX(0,AD836-IF($A839&gt;='1-Input'!$C$12,'1-Input'!$B$12,0))))*(1/(1-'P-Parametri'!$B$6*AD839))),MAX(0,2*AD836-(AH838-MIN(MAX(AH838,0),MAX(0,AD836-IF($A839&gt;='1-Input'!$C$12,'1-Input'!$B$12,0)))))*(1/(1-'P-Parametri'!$B$6*AD839))))</f>
        <v>18739.646036168386</v>
      </c>
      <c r="AF839" s="18">
        <f>IF($A839&gt;('1-Input'!$B$26+3),AH838,(AH838-MAX(0,AD836-IF($A839&gt;='1-Input'!$C$12,'1-Input'!$B$12,0))+AE839*(1-'P-Parametri'!$B$6*AD839))*(1+'1-Input'!$B$27))</f>
        <v>35243.645210066003</v>
      </c>
      <c r="AG839" s="18">
        <f>IF($A839&gt;('1-Input'!$B$26+3),AI838,(AI838-AE839)*(1+'5-Roberta'!$C$4))</f>
        <v>396410.44847412297</v>
      </c>
      <c r="AH839" s="18">
        <f>IF($A839&gt;('1-Input'!$B$26+3),AF839,AF839-'P-Parametri'!$B$8*(AG839+AF839)+MIN(MAX(AG839,0),'P-Parametri'!$B$8*(AG839+AF839)))</f>
        <v>35243.645210066003</v>
      </c>
      <c r="AI839" s="18">
        <f>IF($A839&gt;('1-Input'!$B$26+3),AG839,AG839-MIN(MAX(AG839,0),'P-Parametri'!$B$8*(AG839+AF839)))</f>
        <v>395547.14028675458</v>
      </c>
      <c r="AJ839" s="18">
        <f>IF($A839&gt;('1-Input'!$B$26+3),AJ838,AJ838-AE839*(1-AD839))</f>
        <v>301596.56089579256</v>
      </c>
      <c r="AK839" s="11">
        <f>IF($A839&gt;('1-Input'!$B$26+3),0,IF(AP838&lt;=0,0,MAX(0,(AP838-AQ838)/AP838)))</f>
        <v>0.21635653419729486</v>
      </c>
      <c r="AL839" s="18">
        <f>IF($A839&gt;('1-Input'!$B$26+3),0,(MAX(0,AK836-IF($A839&gt;='1-Input'!$C$12,'1-Input'!$B$12,0))-MIN(MAX(AO838,0),MAX(0,AK836-IF($A839&gt;='1-Input'!$C$12,'1-Input'!$B$12,0))))*(1/(1-'P-Parametri'!$B$6*AK839))+MIN(MAX(0,AP838-(MAX(0,AK836-IF($A839&gt;='1-Input'!$C$12,'1-Input'!$B$12,0))-MIN(MAX(AO838,0),MAX(0,AK836-IF($A839&gt;='1-Input'!$C$12,'1-Input'!$B$12,0))))*(1/(1-'P-Parametri'!$B$6*AK839))),MAX(0,2*AK836-(AO838-MIN(MAX(AO838,0),MAX(0,AK836-IF($A839&gt;='1-Input'!$C$12,'1-Input'!$B$12,0)))))*(1/(1-'P-Parametri'!$B$6*AK839))))</f>
        <v>18739.675285464247</v>
      </c>
      <c r="AM839" s="18">
        <f>IF($A839&gt;('1-Input'!$B$26+3),AO838,(AO838-MAX(0,AK836-IF($A839&gt;='1-Input'!$C$12,'1-Input'!$B$12,0))+AL839*(1-'P-Parametri'!$B$6*AK839))*(1+'1-Input'!$B$27))</f>
        <v>35243.700219205668</v>
      </c>
      <c r="AN839" s="18">
        <f>IF($A839&gt;('1-Input'!$B$26+3),AP838,(AP838-AL839)*(1+'5-Roberta'!$C$4))</f>
        <v>396410.3614832235</v>
      </c>
      <c r="AO839" s="18">
        <f>IF($A839&gt;('1-Input'!$B$26+3),AM839,AM839-'P-Parametri'!$B$8*(AN839+AM839)+MIN(MAX(AN839,0),'P-Parametri'!$B$8*(AN839+AM839)))</f>
        <v>35243.700219205668</v>
      </c>
      <c r="AP839" s="18">
        <f>IF($A839&gt;('1-Input'!$B$26+3),AN839,AN839-MIN(MAX(AN839,0),'P-Parametri'!$B$8*(AN839+AM839)))</f>
        <v>395547.05335981864</v>
      </c>
      <c r="AQ839" s="18">
        <f>IF($A839&gt;('1-Input'!$B$26+3),AQ838,AQ838-AL839*(1-AK839))</f>
        <v>301596.4947114723</v>
      </c>
    </row>
    <row r="840" spans="1:43">
      <c r="A840" s="10">
        <f>2</f>
        <v>2</v>
      </c>
      <c r="B840" s="11">
        <f>IF($A840&gt;('1-Input'!$B$26+3),0,IF(G839&lt;=0,0,MAX(0,(G839-H839)/G839)))</f>
        <v>0.23752929493546573</v>
      </c>
      <c r="C840" s="18">
        <f>IF($A840&gt;('1-Input'!$B$26+3),0,(MAX(0,B836-IF($A840&gt;='1-Input'!$C$12,'1-Input'!$B$12,0))-MIN(MAX(F839,0),MAX(0,B836-IF($A840&gt;='1-Input'!$C$12,'1-Input'!$B$12,0))))*(1/(1-'P-Parametri'!$B$6*B840))+MIN(MAX(0,G839-(MAX(0,B836-IF($A840&gt;='1-Input'!$C$12,'1-Input'!$B$12,0))-MIN(MAX(F839,0),MAX(0,B836-IF($A840&gt;='1-Input'!$C$12,'1-Input'!$B$12,0))))*(1/(1-'P-Parametri'!$B$6*B840))),MAX(0,2*B836-(F839-MIN(MAX(F839,0),MAX(0,B836-IF($A840&gt;='1-Input'!$C$12,'1-Input'!$B$12,0)))))*(1/(1-'P-Parametri'!$B$6*B840))))</f>
        <v>17907.056014137157</v>
      </c>
      <c r="D840" s="18">
        <f>IF($A840&gt;('1-Input'!$B$26+3),F839,(F839-MAX(0,B836-IF($A840&gt;='1-Input'!$C$12,'1-Input'!$B$12,0))+C840*(1-'P-Parametri'!$B$6*B840))*(1+'1-Input'!$B$27))</f>
        <v>33242.0070309863</v>
      </c>
      <c r="E840" s="18">
        <f>IF($A840&gt;('1-Input'!$B$26+3),G839,(G839-C840)*(1+'5-Roberta'!$C$4))</f>
        <v>392227.22108298907</v>
      </c>
      <c r="F840" s="18">
        <f>IF($A840&gt;('1-Input'!$B$26+3),D840,D840-'P-Parametri'!$B$8*(E840+D840)+MIN(MAX(E840,0),'P-Parametri'!$B$8*(E840+D840)))</f>
        <v>33242.0070309863</v>
      </c>
      <c r="G840" s="18">
        <f>IF($A840&gt;('1-Input'!$B$26+3),E840,E840-MIN(MAX(E840,0),'P-Parametri'!$B$8*(E840+D840)))</f>
        <v>391376.28262676112</v>
      </c>
      <c r="H840" s="18">
        <f>IF($A840&gt;('1-Input'!$B$26+3),H839,H839-C840*(1-B840))</f>
        <v>290351.22893655306</v>
      </c>
      <c r="I840" s="11">
        <f>IF($A840&gt;('1-Input'!$B$26+3),0,IF(N839&lt;=0,0,MAX(0,(N839-O839)/N839)))</f>
        <v>0.23748189102197931</v>
      </c>
      <c r="J840" s="18">
        <f>IF($A840&gt;('1-Input'!$B$26+3),0,(MAX(0,I836-IF($A840&gt;='1-Input'!$C$12,'1-Input'!$B$12,0))-MIN(MAX(M839,0),MAX(0,I836-IF($A840&gt;='1-Input'!$C$12,'1-Input'!$B$12,0))))*(1/(1-'P-Parametri'!$B$6*I840))+MIN(MAX(0,N839-(MAX(0,I836-IF($A840&gt;='1-Input'!$C$12,'1-Input'!$B$12,0))-MIN(MAX(M839,0),MAX(0,I836-IF($A840&gt;='1-Input'!$C$12,'1-Input'!$B$12,0))))*(1/(1-'P-Parametri'!$B$6*I840))),MAX(0,2*I836-(M839-MIN(MAX(M839,0),MAX(0,I836-IF($A840&gt;='1-Input'!$C$12,'1-Input'!$B$12,0)))))*(1/(1-'P-Parametri'!$B$6*I840))))</f>
        <v>23561.606296146056</v>
      </c>
      <c r="K840" s="18">
        <f>IF($A840&gt;('1-Input'!$B$26+3),M839,(M839-MAX(0,I836-IF($A840&gt;='1-Input'!$C$12,'1-Input'!$B$12,0))+J840*(1-'P-Parametri'!$B$6*I840))*(1+'1-Input'!$B$27))</f>
        <v>43739.482935508291</v>
      </c>
      <c r="L840" s="18">
        <f>IF($A840&gt;('1-Input'!$B$26+3),N839,(N839-J840)*(1+'5-Roberta'!$C$4))</f>
        <v>369316.98598304862</v>
      </c>
      <c r="M840" s="18">
        <f>IF($A840&gt;('1-Input'!$B$26+3),K840,K840-'P-Parametri'!$B$8*(L840+K840)+MIN(MAX(L840,0),'P-Parametri'!$B$8*(L840+K840)))</f>
        <v>43739.482935508291</v>
      </c>
      <c r="N840" s="18">
        <f>IF($A840&gt;('1-Input'!$B$26+3),L840,L840-MIN(MAX(L840,0),'P-Parametri'!$B$8*(L840+K840)))</f>
        <v>368490.87304521148</v>
      </c>
      <c r="O840" s="18">
        <f>IF($A840&gt;('1-Input'!$B$26+3),O839,O839-J840*(1-I840))</f>
        <v>273408.63084005477</v>
      </c>
      <c r="P840" s="11">
        <f>IF($A840&gt;('1-Input'!$B$26+3),0,IF(U839&lt;=0,0,MAX(0,(U839-V839)/U839)))</f>
        <v>0.2375190443528751</v>
      </c>
      <c r="Q840" s="18">
        <f>IF($A840&gt;('1-Input'!$B$26+3),0,(MAX(0,P836-IF($A840&gt;='1-Input'!$C$12,'1-Input'!$B$12,0))-MIN(MAX(T839,0),MAX(0,P836-IF($A840&gt;='1-Input'!$C$12,'1-Input'!$B$12,0))))*(1/(1-'P-Parametri'!$B$6*P840))+MIN(MAX(0,U839-(MAX(0,P836-IF($A840&gt;='1-Input'!$C$12,'1-Input'!$B$12,0))-MIN(MAX(T839,0),MAX(0,P836-IF($A840&gt;='1-Input'!$C$12,'1-Input'!$B$12,0))))*(1/(1-'P-Parametri'!$B$6*P840))),MAX(0,2*P836-(T839-MIN(MAX(T839,0),MAX(0,P836-IF($A840&gt;='1-Input'!$C$12,'1-Input'!$B$12,0)))))*(1/(1-'P-Parametri'!$B$6*P840))))</f>
        <v>19171.021484045737</v>
      </c>
      <c r="R840" s="18">
        <f>IF($A840&gt;('1-Input'!$B$26+3),T839,(T839-MAX(0,P836-IF($A840&gt;='1-Input'!$C$12,'1-Input'!$B$12,0))+Q840*(1-'P-Parametri'!$B$6*P840))*(1+'1-Input'!$B$27))</f>
        <v>35588.487617059305</v>
      </c>
      <c r="S840" s="18">
        <f>IF($A840&gt;('1-Input'!$B$26+3),U839,(U839-Q840)*(1+'5-Roberta'!$C$4))</f>
        <v>387106.12515323597</v>
      </c>
      <c r="T840" s="18">
        <f>IF($A840&gt;('1-Input'!$B$26+3),R840,R840-'P-Parametri'!$B$8*(S840+R840)+MIN(MAX(S840,0),'P-Parametri'!$B$8*(S840+R840)))</f>
        <v>35588.487617059305</v>
      </c>
      <c r="U840" s="18">
        <f>IF($A840&gt;('1-Input'!$B$26+3),S840,S840-MIN(MAX(S840,0),'P-Parametri'!$B$8*(S840+R840)))</f>
        <v>386260.73592769541</v>
      </c>
      <c r="V840" s="18">
        <f>IF($A840&gt;('1-Input'!$B$26+3),V839,V839-Q840*(1-P840))</f>
        <v>286564.12450844166</v>
      </c>
      <c r="W840" s="11">
        <f>IF($A840&gt;('1-Input'!$B$26+3),0,IF(AB839&lt;=0,0,MAX(0,(AB839-AC839)/AB839)))</f>
        <v>0.23752045417527293</v>
      </c>
      <c r="X840" s="18">
        <f>IF($A840&gt;('1-Input'!$B$26+3),0,(MAX(0,W836-IF($A840&gt;='1-Input'!$C$12,'1-Input'!$B$12,0))-MIN(MAX(AA839,0),MAX(0,W836-IF($A840&gt;='1-Input'!$C$12,'1-Input'!$B$12,0))))*(1/(1-'P-Parametri'!$B$6*W840))+MIN(MAX(0,AB839-(MAX(0,W836-IF($A840&gt;='1-Input'!$C$12,'1-Input'!$B$12,0))-MIN(MAX(AA839,0),MAX(0,W836-IF($A840&gt;='1-Input'!$C$12,'1-Input'!$B$12,0))))*(1/(1-'P-Parametri'!$B$6*W840))),MAX(0,2*W836-(AA839-MIN(MAX(AA839,0),MAX(0,W836-IF($A840&gt;='1-Input'!$C$12,'1-Input'!$B$12,0)))))*(1/(1-'P-Parametri'!$B$6*W840))))</f>
        <v>18998.577559171106</v>
      </c>
      <c r="Y840" s="18">
        <f>IF($A840&gt;('1-Input'!$B$26+3),AA839,(AA839-MAX(0,W836-IF($A840&gt;='1-Input'!$C$12,'1-Input'!$B$12,0))+X840*(1-'P-Parametri'!$B$6*W840))*(1+'1-Input'!$B$27))</f>
        <v>35268.354303294887</v>
      </c>
      <c r="Z840" s="18">
        <f>IF($A840&gt;('1-Input'!$B$26+3),AB839,(AB839-X840)*(1+'5-Roberta'!$C$4))</f>
        <v>387804.80225007323</v>
      </c>
      <c r="AA840" s="18">
        <f>IF($A840&gt;('1-Input'!$B$26+3),Y840,Y840-'P-Parametri'!$B$8*(Z840+Y840)+MIN(MAX(Z840,0),'P-Parametri'!$B$8*(Z840+Y840)))</f>
        <v>35268.354303294887</v>
      </c>
      <c r="AB840" s="18">
        <f>IF($A840&gt;('1-Input'!$B$26+3),Z840,Z840-MIN(MAX(Z840,0),'P-Parametri'!$B$8*(Z840+Y840)))</f>
        <v>386958.65593696648</v>
      </c>
      <c r="AC840" s="18">
        <f>IF($A840&gt;('1-Input'!$B$26+3),AC839,AC839-X840*(1-W840))</f>
        <v>287080.80532843102</v>
      </c>
      <c r="AD840" s="11">
        <f>IF($A840&gt;('1-Input'!$B$26+3),0,IF(AI839&lt;=0,0,MAX(0,(AI839-AJ839)/AI839)))</f>
        <v>0.23752056284075754</v>
      </c>
      <c r="AE840" s="18">
        <f>IF($A840&gt;('1-Input'!$B$26+3),0,(MAX(0,AD836-IF($A840&gt;='1-Input'!$C$12,'1-Input'!$B$12,0))-MIN(MAX(AH839,0),MAX(0,AD836-IF($A840&gt;='1-Input'!$C$12,'1-Input'!$B$12,0))))*(1/(1-'P-Parametri'!$B$6*AD840))+MIN(MAX(0,AI839-(MAX(0,AD836-IF($A840&gt;='1-Input'!$C$12,'1-Input'!$B$12,0))-MIN(MAX(AH839,0),MAX(0,AD836-IF($A840&gt;='1-Input'!$C$12,'1-Input'!$B$12,0))))*(1/(1-'P-Parametri'!$B$6*AD840))),MAX(0,2*AD836-(AH839-MIN(MAX(AH839,0),MAX(0,AD836-IF($A840&gt;='1-Input'!$C$12,'1-Input'!$B$12,0)))))*(1/(1-'P-Parametri'!$B$6*AD840))))</f>
        <v>18985.267682070193</v>
      </c>
      <c r="AF840" s="18">
        <f>IF($A840&gt;('1-Input'!$B$26+3),AH839,(AH839-MAX(0,AD836-IF($A840&gt;='1-Input'!$C$12,'1-Input'!$B$12,0))+AE840*(1-'P-Parametri'!$B$6*AD840))*(1+'1-Input'!$B$27))</f>
        <v>35243.645210066017</v>
      </c>
      <c r="AG840" s="18">
        <f>IF($A840&gt;('1-Input'!$B$26+3),AI839,(AI839-AE840)*(1+'5-Roberta'!$C$4))</f>
        <v>387858.72878282494</v>
      </c>
      <c r="AH840" s="18">
        <f>IF($A840&gt;('1-Input'!$B$26+3),AF840,AF840-'P-Parametri'!$B$8*(AG840+AF840)+MIN(MAX(AG840,0),'P-Parametri'!$B$8*(AG840+AF840)))</f>
        <v>35243.645210066017</v>
      </c>
      <c r="AI840" s="18">
        <f>IF($A840&gt;('1-Input'!$B$26+3),AG840,AG840-MIN(MAX(AG840,0),'P-Parametri'!$B$8*(AG840+AF840)))</f>
        <v>387012.52403483918</v>
      </c>
      <c r="AJ840" s="18">
        <f>IF($A840&gt;('1-Input'!$B$26+3),AJ839,AJ839-AE840*(1-AD840))</f>
        <v>287120.68467925012</v>
      </c>
      <c r="AK840" s="11">
        <f>IF($A840&gt;('1-Input'!$B$26+3),0,IF(AP839&lt;=0,0,MAX(0,(AP839-AQ839)/AP839)))</f>
        <v>0.23752056259886234</v>
      </c>
      <c r="AL840" s="18">
        <f>IF($A840&gt;('1-Input'!$B$26+3),0,(MAX(0,AK836-IF($A840&gt;='1-Input'!$C$12,'1-Input'!$B$12,0))-MIN(MAX(AO839,0),MAX(0,AK836-IF($A840&gt;='1-Input'!$C$12,'1-Input'!$B$12,0))))*(1/(1-'P-Parametri'!$B$6*AK840))+MIN(MAX(0,AP839-(MAX(0,AK836-IF($A840&gt;='1-Input'!$C$12,'1-Input'!$B$12,0))-MIN(MAX(AO839,0),MAX(0,AK836-IF($A840&gt;='1-Input'!$C$12,'1-Input'!$B$12,0))))*(1/(1-'P-Parametri'!$B$6*AK840))),MAX(0,2*AK836-(AO839-MIN(MAX(AO839,0),MAX(0,AK836-IF($A840&gt;='1-Input'!$C$12,'1-Input'!$B$12,0)))))*(1/(1-'P-Parametri'!$B$6*AK840))))</f>
        <v>18985.297313465664</v>
      </c>
      <c r="AM840" s="18">
        <f>IF($A840&gt;('1-Input'!$B$26+3),AO839,(AO839-MAX(0,AK836-IF($A840&gt;='1-Input'!$C$12,'1-Input'!$B$12,0))+AL840*(1-'P-Parametri'!$B$6*AK840))*(1+'1-Input'!$B$27))</f>
        <v>35243.700219205675</v>
      </c>
      <c r="AN840" s="18">
        <f>IF($A840&gt;('1-Input'!$B$26+3),AP839,(AP839-AL840)*(1+'5-Roberta'!$C$4))</f>
        <v>387858.60872774356</v>
      </c>
      <c r="AO840" s="18">
        <f>IF($A840&gt;('1-Input'!$B$26+3),AM840,AM840-'P-Parametri'!$B$8*(AN840+AM840)+MIN(MAX(AN840,0),'P-Parametri'!$B$8*(AN840+AM840)))</f>
        <v>35243.700219205675</v>
      </c>
      <c r="AP840" s="18">
        <f>IF($A840&gt;('1-Input'!$B$26+3),AN840,AN840-MIN(MAX(AN840,0),'P-Parametri'!$B$8*(AN840+AM840)))</f>
        <v>387012.40410984965</v>
      </c>
      <c r="AQ840" s="18">
        <f>IF($A840&gt;('1-Input'!$B$26+3),AQ839,AQ839-AL840*(1-AK840))</f>
        <v>287120.59589700768</v>
      </c>
    </row>
    <row r="841" spans="1:43">
      <c r="A841" s="10">
        <f>3</f>
        <v>3</v>
      </c>
      <c r="B841" s="11">
        <f>IF($A841&gt;('1-Input'!$B$26+3),0,IF(G840&lt;=0,0,MAX(0,(G840-H840)/G840)))</f>
        <v>0.25812768472368408</v>
      </c>
      <c r="C841" s="18">
        <f>IF($A841&gt;('1-Input'!$B$26+3),0,(MAX(0,B836-IF($A841&gt;='1-Input'!$C$12,'1-Input'!$B$12,0))-MIN(MAX(F840,0),MAX(0,B836-IF($A841&gt;='1-Input'!$C$12,'1-Input'!$B$12,0))))*(1/(1-'P-Parametri'!$B$6*B841))+MIN(MAX(0,G840-(MAX(0,B836-IF($A841&gt;='1-Input'!$C$12,'1-Input'!$B$12,0))-MIN(MAX(F840,0),MAX(0,B836-IF($A841&gt;='1-Input'!$C$12,'1-Input'!$B$12,0))))*(1/(1-'P-Parametri'!$B$6*B841))),MAX(0,2*B836-(F840-MIN(MAX(F840,0),MAX(0,B836-IF($A841&gt;='1-Input'!$C$12,'1-Input'!$B$12,0)))))*(1/(1-'P-Parametri'!$B$6*B841))))</f>
        <v>18009.85808500936</v>
      </c>
      <c r="D841" s="18">
        <f>IF($A841&gt;('1-Input'!$B$26+3),F840,(F840-MAX(0,B836-IF($A841&gt;='1-Input'!$C$12,'1-Input'!$B$12,0))+C841*(1-'P-Parametri'!$B$6*B841))*(1+'1-Input'!$B$27))</f>
        <v>33242.0070309863</v>
      </c>
      <c r="E841" s="18">
        <f>IF($A841&gt;('1-Input'!$B$26+3),G840,(G840-C841)*(1+'5-Roberta'!$C$4))</f>
        <v>384567.41727800429</v>
      </c>
      <c r="F841" s="18">
        <f>IF($A841&gt;('1-Input'!$B$26+3),D841,D841-'P-Parametri'!$B$8*(E841+D841)+MIN(MAX(E841,0),'P-Parametri'!$B$8*(E841+D841)))</f>
        <v>33242.0070309863</v>
      </c>
      <c r="G841" s="18">
        <f>IF($A841&gt;('1-Input'!$B$26+3),E841,E841-MIN(MAX(E841,0),'P-Parametri'!$B$8*(E841+D841)))</f>
        <v>383731.79842938628</v>
      </c>
      <c r="H841" s="18">
        <f>IF($A841&gt;('1-Input'!$B$26+3),H840,H840-C841*(1-B841))</f>
        <v>276990.21382122929</v>
      </c>
      <c r="I841" s="11">
        <f>IF($A841&gt;('1-Input'!$B$26+3),0,IF(N840&lt;=0,0,MAX(0,(N840-O840)/N840)))</f>
        <v>0.25803147149723493</v>
      </c>
      <c r="J841" s="18">
        <f>IF($A841&gt;('1-Input'!$B$26+3),0,(MAX(0,I836-IF($A841&gt;='1-Input'!$C$12,'1-Input'!$B$12,0))-MIN(MAX(M840,0),MAX(0,I836-IF($A841&gt;='1-Input'!$C$12,'1-Input'!$B$12,0))))*(1/(1-'P-Parametri'!$B$6*I841))+MIN(MAX(0,N840-(MAX(0,I836-IF($A841&gt;='1-Input'!$C$12,'1-Input'!$B$12,0))-MIN(MAX(M840,0),MAX(0,I836-IF($A841&gt;='1-Input'!$C$12,'1-Input'!$B$12,0))))*(1/(1-'P-Parametri'!$B$6*I841))),MAX(0,2*I836-(M840-MIN(MAX(M840,0),MAX(0,I836-IF($A841&gt;='1-Input'!$C$12,'1-Input'!$B$12,0)))))*(1/(1-'P-Parametri'!$B$6*I841))))</f>
        <v>23696.546265899819</v>
      </c>
      <c r="K841" s="18">
        <f>IF($A841&gt;('1-Input'!$B$26+3),M840,(M840-MAX(0,I836-IF($A841&gt;='1-Input'!$C$12,'1-Input'!$B$12,0))+J841*(1-'P-Parametri'!$B$6*I841))*(1+'1-Input'!$B$27))</f>
        <v>43739.482935508291</v>
      </c>
      <c r="L841" s="18">
        <f>IF($A841&gt;('1-Input'!$B$26+3),N840,(N840-J841)*(1+'5-Roberta'!$C$4))</f>
        <v>355138.15658269101</v>
      </c>
      <c r="M841" s="18">
        <f>IF($A841&gt;('1-Input'!$B$26+3),K841,K841-'P-Parametri'!$B$8*(L841+K841)+MIN(MAX(L841,0),'P-Parametri'!$B$8*(L841+K841)))</f>
        <v>43739.482935508291</v>
      </c>
      <c r="N841" s="18">
        <f>IF($A841&gt;('1-Input'!$B$26+3),L841,L841-MIN(MAX(L841,0),'P-Parametri'!$B$8*(L841+K841)))</f>
        <v>354340.40130365459</v>
      </c>
      <c r="O841" s="18">
        <f>IF($A841&gt;('1-Input'!$B$26+3),O840,O840-J841*(1-I841))</f>
        <v>255826.53927654738</v>
      </c>
      <c r="P841" s="11">
        <f>IF($A841&gt;('1-Input'!$B$26+3),0,IF(U840&lt;=0,0,MAX(0,(U840-V840)/U840)))</f>
        <v>0.25810703016398767</v>
      </c>
      <c r="Q841" s="18">
        <f>IF($A841&gt;('1-Input'!$B$26+3),0,(MAX(0,P836-IF($A841&gt;='1-Input'!$C$12,'1-Input'!$B$12,0))-MIN(MAX(T840,0),MAX(0,P836-IF($A841&gt;='1-Input'!$C$12,'1-Input'!$B$12,0))))*(1/(1-'P-Parametri'!$B$6*P841))+MIN(MAX(0,U840-(MAX(0,P836-IF($A841&gt;='1-Input'!$C$12,'1-Input'!$B$12,0))-MIN(MAX(T840,0),MAX(0,P836-IF($A841&gt;='1-Input'!$C$12,'1-Input'!$B$12,0))))*(1/(1-'P-Parametri'!$B$6*P841))),MAX(0,2*P836-(T840-MIN(MAX(T840,0),MAX(0,P836-IF($A841&gt;='1-Input'!$C$12,'1-Input'!$B$12,0)))))*(1/(1-'P-Parametri'!$B$6*P841))))</f>
        <v>19281.023593421563</v>
      </c>
      <c r="R841" s="18">
        <f>IF($A841&gt;('1-Input'!$B$26+3),T840,(T840-MAX(0,P836-IF($A841&gt;='1-Input'!$C$12,'1-Input'!$B$12,0))+Q841*(1-'P-Parametri'!$B$6*P841))*(1+'1-Input'!$B$27))</f>
        <v>35588.487617059305</v>
      </c>
      <c r="S841" s="18">
        <f>IF($A841&gt;('1-Input'!$B$26+3),U840,(U840-Q841)*(1+'5-Roberta'!$C$4))</f>
        <v>377989.10370430205</v>
      </c>
      <c r="T841" s="18">
        <f>IF($A841&gt;('1-Input'!$B$26+3),R841,R841-'P-Parametri'!$B$8*(S841+R841)+MIN(MAX(S841,0),'P-Parametri'!$B$8*(S841+R841)))</f>
        <v>35588.487617059305</v>
      </c>
      <c r="U841" s="18">
        <f>IF($A841&gt;('1-Input'!$B$26+3),S841,S841-MIN(MAX(S841,0),'P-Parametri'!$B$8*(S841+R841)))</f>
        <v>377161.9485216593</v>
      </c>
      <c r="V841" s="18">
        <f>IF($A841&gt;('1-Input'!$B$26+3),V840,V840-Q841*(1-P841))</f>
        <v>272259.6686532399</v>
      </c>
      <c r="W841" s="11">
        <f>IF($A841&gt;('1-Input'!$B$26+3),0,IF(AB840&lt;=0,0,MAX(0,(AB840-AC840)/AB840)))</f>
        <v>0.25810987576100386</v>
      </c>
      <c r="X841" s="18">
        <f>IF($A841&gt;('1-Input'!$B$26+3),0,(MAX(0,W836-IF($A841&gt;='1-Input'!$C$12,'1-Input'!$B$12,0))-MIN(MAX(AA840,0),MAX(0,W836-IF($A841&gt;='1-Input'!$C$12,'1-Input'!$B$12,0))))*(1/(1-'P-Parametri'!$B$6*W841))+MIN(MAX(0,AB840-(MAX(0,W836-IF($A841&gt;='1-Input'!$C$12,'1-Input'!$B$12,0))-MIN(MAX(AA840,0),MAX(0,W836-IF($A841&gt;='1-Input'!$C$12,'1-Input'!$B$12,0))))*(1/(1-'P-Parametri'!$B$6*W841))),MAX(0,2*W836-(AA840-MIN(MAX(AA840,0),MAX(0,W836-IF($A841&gt;='1-Input'!$C$12,'1-Input'!$B$12,0)))))*(1/(1-'P-Parametri'!$B$6*W841))))</f>
        <v>19107.597885043011</v>
      </c>
      <c r="Y841" s="18">
        <f>IF($A841&gt;('1-Input'!$B$26+3),AA840,(AA840-MAX(0,W836-IF($A841&gt;='1-Input'!$C$12,'1-Input'!$B$12,0))+X841*(1-'P-Parametri'!$B$6*W841))*(1+'1-Input'!$B$27))</f>
        <v>35268.354303294887</v>
      </c>
      <c r="Z841" s="18">
        <f>IF($A841&gt;('1-Input'!$B$26+3),AB840,(AB840-X841)*(1+'5-Roberta'!$C$4))</f>
        <v>378886.58979348117</v>
      </c>
      <c r="AA841" s="18">
        <f>IF($A841&gt;('1-Input'!$B$26+3),Y841,Y841-'P-Parametri'!$B$8*(Z841+Y841)+MIN(MAX(Z841,0),'P-Parametri'!$B$8*(Z841+Y841)))</f>
        <v>35268.354303294887</v>
      </c>
      <c r="AB841" s="18">
        <f>IF($A841&gt;('1-Input'!$B$26+3),Z841,Z841-MIN(MAX(Z841,0),'P-Parametri'!$B$8*(Z841+Y841)))</f>
        <v>378058.27990528761</v>
      </c>
      <c r="AC841" s="18">
        <f>IF($A841&gt;('1-Input'!$B$26+3),AC840,AC840-X841*(1-W841))</f>
        <v>272905.06715958769</v>
      </c>
      <c r="AD841" s="11">
        <f>IF($A841&gt;('1-Input'!$B$26+3),0,IF(AI840&lt;=0,0,MAX(0,(AI840-AJ840)/AI840)))</f>
        <v>0.25811009502782067</v>
      </c>
      <c r="AE841" s="18">
        <f>IF($A841&gt;('1-Input'!$B$26+3),0,(MAX(0,AD836-IF($A841&gt;='1-Input'!$C$12,'1-Input'!$B$12,0))-MIN(MAX(AH840,0),MAX(0,AD836-IF($A841&gt;='1-Input'!$C$12,'1-Input'!$B$12,0))))*(1/(1-'P-Parametri'!$B$6*AD841))+MIN(MAX(0,AI840-(MAX(0,AD836-IF($A841&gt;='1-Input'!$C$12,'1-Input'!$B$12,0))-MIN(MAX(AH840,0),MAX(0,AD836-IF($A841&gt;='1-Input'!$C$12,'1-Input'!$B$12,0))))*(1/(1-'P-Parametri'!$B$6*AD841))),MAX(0,2*AD836-(AH840-MIN(MAX(AH840,0),MAX(0,AD836-IF($A841&gt;='1-Input'!$C$12,'1-Input'!$B$12,0)))))*(1/(1-'P-Parametri'!$B$6*AD841))))</f>
        <v>19094.212223199956</v>
      </c>
      <c r="AF841" s="18">
        <f>IF($A841&gt;('1-Input'!$B$26+3),AH840,(AH840-MAX(0,AD836-IF($A841&gt;='1-Input'!$C$12,'1-Input'!$B$12,0))+AE841*(1-'P-Parametri'!$B$6*AD841))*(1+'1-Input'!$B$27))</f>
        <v>35243.645210066017</v>
      </c>
      <c r="AG841" s="18">
        <f>IF($A841&gt;('1-Input'!$B$26+3),AI840,(AI840-AE841)*(1+'5-Roberta'!$C$4))</f>
        <v>378955.86116598843</v>
      </c>
      <c r="AH841" s="18">
        <f>IF($A841&gt;('1-Input'!$B$26+3),AF841,AF841-'P-Parametri'!$B$8*(AG841+AF841)+MIN(MAX(AG841,0),'P-Parametri'!$B$8*(AG841+AF841)))</f>
        <v>35243.645210066017</v>
      </c>
      <c r="AI841" s="18">
        <f>IF($A841&gt;('1-Input'!$B$26+3),AG841,AG841-MIN(MAX(AG841,0),'P-Parametri'!$B$8*(AG841+AF841)))</f>
        <v>378127.46215323632</v>
      </c>
      <c r="AJ841" s="18">
        <f>IF($A841&gt;('1-Input'!$B$26+3),AJ840,AJ840-AE841*(1-AD841))</f>
        <v>272954.88138746168</v>
      </c>
      <c r="AK841" s="11">
        <f>IF($A841&gt;('1-Input'!$B$26+3),0,IF(AP840&lt;=0,0,MAX(0,(AP840-AQ840)/AP840)))</f>
        <v>0.25811009453973127</v>
      </c>
      <c r="AL841" s="18">
        <f>IF($A841&gt;('1-Input'!$B$26+3),0,(MAX(0,AK836-IF($A841&gt;='1-Input'!$C$12,'1-Input'!$B$12,0))-MIN(MAX(AO840,0),MAX(0,AK836-IF($A841&gt;='1-Input'!$C$12,'1-Input'!$B$12,0))))*(1/(1-'P-Parametri'!$B$6*AK841))+MIN(MAX(0,AP840-(MAX(0,AK836-IF($A841&gt;='1-Input'!$C$12,'1-Input'!$B$12,0))-MIN(MAX(AO840,0),MAX(0,AK836-IF($A841&gt;='1-Input'!$C$12,'1-Input'!$B$12,0))))*(1/(1-'P-Parametri'!$B$6*AK841))),MAX(0,2*AK836-(AO840-MIN(MAX(AO840,0),MAX(0,AK836-IF($A841&gt;='1-Input'!$C$12,'1-Input'!$B$12,0)))))*(1/(1-'P-Parametri'!$B$6*AK841))))</f>
        <v>19094.242023313927</v>
      </c>
      <c r="AM841" s="18">
        <f>IF($A841&gt;('1-Input'!$B$26+3),AO840,(AO840-MAX(0,AK836-IF($A841&gt;='1-Input'!$C$12,'1-Input'!$B$12,0))+AL841*(1-'P-Parametri'!$B$6*AK841))*(1+'1-Input'!$B$27))</f>
        <v>35243.700219205675</v>
      </c>
      <c r="AN841" s="18">
        <f>IF($A841&gt;('1-Input'!$B$26+3),AP840,(AP840-AL841)*(1+'5-Roberta'!$C$4))</f>
        <v>378955.7069491318</v>
      </c>
      <c r="AO841" s="18">
        <f>IF($A841&gt;('1-Input'!$B$26+3),AM841,AM841-'P-Parametri'!$B$8*(AN841+AM841)+MIN(MAX(AN841,0),'P-Parametri'!$B$8*(AN841+AM841)))</f>
        <v>35243.700219205675</v>
      </c>
      <c r="AP841" s="18">
        <f>IF($A841&gt;('1-Input'!$B$26+3),AN841,AN841-MIN(MAX(AN841,0),'P-Parametri'!$B$8*(AN841+AM841)))</f>
        <v>378127.30813479511</v>
      </c>
      <c r="AQ841" s="18">
        <f>IF($A841&gt;('1-Input'!$B$26+3),AQ840,AQ840-AL841*(1-AK841))</f>
        <v>272954.77048749581</v>
      </c>
    </row>
    <row r="842" spans="1:43">
      <c r="A842" s="10">
        <f>4</f>
        <v>4</v>
      </c>
      <c r="B842" s="11">
        <f>IF($A842&gt;('1-Input'!$B$26+3),0,IF(G841&lt;=0,0,MAX(0,(G841-H841)/G841)))</f>
        <v>0.27816716009736525</v>
      </c>
      <c r="C842" s="18">
        <f>IF($A842&gt;('1-Input'!$B$26+3),0,(MAX(0,B836-IF($A842&gt;='1-Input'!$C$12,'1-Input'!$B$12,0))-MIN(MAX(F841,0),MAX(0,B836-IF($A842&gt;='1-Input'!$C$12,'1-Input'!$B$12,0))))*(1/(1-'P-Parametri'!$B$6*B842))+MIN(MAX(0,G841-(MAX(0,B836-IF($A842&gt;='1-Input'!$C$12,'1-Input'!$B$12,0))-MIN(MAX(F841,0),MAX(0,B836-IF($A842&gt;='1-Input'!$C$12,'1-Input'!$B$12,0))))*(1/(1-'P-Parametri'!$B$6*B842))),MAX(0,2*B836-(F841-MIN(MAX(F841,0),MAX(0,B836-IF($A842&gt;='1-Input'!$C$12,'1-Input'!$B$12,0)))))*(1/(1-'P-Parametri'!$B$6*B842))))</f>
        <v>18111.009837898029</v>
      </c>
      <c r="D842" s="18">
        <f>IF($A842&gt;('1-Input'!$B$26+3),F841,(F841-MAX(0,B836-IF($A842&gt;='1-Input'!$C$12,'1-Input'!$B$12,0))+C842*(1-'P-Parametri'!$B$6*B842))*(1+'1-Input'!$B$27))</f>
        <v>33242.0070309863</v>
      </c>
      <c r="E842" s="18">
        <f>IF($A842&gt;('1-Input'!$B$26+3),G841,(G841-C842)*(1+'5-Roberta'!$C$4))</f>
        <v>376589.41224923293</v>
      </c>
      <c r="F842" s="18">
        <f>IF($A842&gt;('1-Input'!$B$26+3),D842,D842-'P-Parametri'!$B$8*(E842+D842)+MIN(MAX(E842,0),'P-Parametri'!$B$8*(E842+D842)))</f>
        <v>33242.0070309863</v>
      </c>
      <c r="G842" s="18">
        <f>IF($A842&gt;('1-Input'!$B$26+3),E842,E842-MIN(MAX(E842,0),'P-Parametri'!$B$8*(E842+D842)))</f>
        <v>375769.74941067252</v>
      </c>
      <c r="H842" s="18">
        <f>IF($A842&gt;('1-Input'!$B$26+3),H841,H841-C842*(1-B842))</f>
        <v>263917.09215643478</v>
      </c>
      <c r="I842" s="11">
        <f>IF($A842&gt;('1-Input'!$B$26+3),0,IF(N841&lt;=0,0,MAX(0,(N841-O841)/N841)))</f>
        <v>0.27802040541994261</v>
      </c>
      <c r="J842" s="18">
        <f>IF($A842&gt;('1-Input'!$B$26+3),0,(MAX(0,I836-IF($A842&gt;='1-Input'!$C$12,'1-Input'!$B$12,0))-MIN(MAX(M841,0),MAX(0,I836-IF($A842&gt;='1-Input'!$C$12,'1-Input'!$B$12,0))))*(1/(1-'P-Parametri'!$B$6*I842))+MIN(MAX(0,N841-(MAX(0,I836-IF($A842&gt;='1-Input'!$C$12,'1-Input'!$B$12,0))-MIN(MAX(M841,0),MAX(0,I836-IF($A842&gt;='1-Input'!$C$12,'1-Input'!$B$12,0))))*(1/(1-'P-Parametri'!$B$6*I842))),MAX(0,2*I836-(M841-MIN(MAX(M841,0),MAX(0,I836-IF($A842&gt;='1-Input'!$C$12,'1-Input'!$B$12,0)))))*(1/(1-'P-Parametri'!$B$6*I842))))</f>
        <v>23829.295980946357</v>
      </c>
      <c r="K842" s="18">
        <f>IF($A842&gt;('1-Input'!$B$26+3),M841,(M841-MAX(0,I836-IF($A842&gt;='1-Input'!$C$12,'1-Input'!$B$12,0))+J842*(1-'P-Parametri'!$B$6*I842))*(1+'1-Input'!$B$27))</f>
        <v>43739.482935508291</v>
      </c>
      <c r="L842" s="18">
        <f>IF($A842&gt;('1-Input'!$B$26+3),N841,(N841-J842)*(1+'5-Roberta'!$C$4))</f>
        <v>340426.43848238949</v>
      </c>
      <c r="M842" s="18">
        <f>IF($A842&gt;('1-Input'!$B$26+3),K842,K842-'P-Parametri'!$B$8*(L842+K842)+MIN(MAX(L842,0),'P-Parametri'!$B$8*(L842+K842)))</f>
        <v>43739.482935508291</v>
      </c>
      <c r="N842" s="18">
        <f>IF($A842&gt;('1-Input'!$B$26+3),L842,L842-MIN(MAX(L842,0),'P-Parametri'!$B$8*(L842+K842)))</f>
        <v>339658.10663955368</v>
      </c>
      <c r="O842" s="18">
        <f>IF($A842&gt;('1-Input'!$B$26+3),O841,O841-J842*(1-I842))</f>
        <v>238622.27382509553</v>
      </c>
      <c r="P842" s="11">
        <f>IF($A842&gt;('1-Input'!$B$26+3),0,IF(U841&lt;=0,0,MAX(0,(U841-V841)/U841)))</f>
        <v>0.27813590495965734</v>
      </c>
      <c r="Q842" s="18">
        <f>IF($A842&gt;('1-Input'!$B$26+3),0,(MAX(0,P836-IF($A842&gt;='1-Input'!$C$12,'1-Input'!$B$12,0))-MIN(MAX(T841,0),MAX(0,P836-IF($A842&gt;='1-Input'!$C$12,'1-Input'!$B$12,0))))*(1/(1-'P-Parametri'!$B$6*P842))+MIN(MAX(0,U841-(MAX(0,P836-IF($A842&gt;='1-Input'!$C$12,'1-Input'!$B$12,0))-MIN(MAX(T841,0),MAX(0,P836-IF($A842&gt;='1-Input'!$C$12,'1-Input'!$B$12,0))))*(1/(1-'P-Parametri'!$B$6*P842))),MAX(0,2*P836-(T841-MIN(MAX(T841,0),MAX(0,P836-IF($A842&gt;='1-Input'!$C$12,'1-Input'!$B$12,0)))))*(1/(1-'P-Parametri'!$B$6*P842))))</f>
        <v>19389.256571464197</v>
      </c>
      <c r="R842" s="18">
        <f>IF($A842&gt;('1-Input'!$B$26+3),T841,(T841-MAX(0,P836-IF($A842&gt;='1-Input'!$C$12,'1-Input'!$B$12,0))+Q842*(1-'P-Parametri'!$B$6*P842))*(1+'1-Input'!$B$27))</f>
        <v>35588.487617059305</v>
      </c>
      <c r="S842" s="18">
        <f>IF($A842&gt;('1-Input'!$B$26+3),U841,(U841-Q842)*(1+'5-Roberta'!$C$4))</f>
        <v>368505.872708701</v>
      </c>
      <c r="T842" s="18">
        <f>IF($A842&gt;('1-Input'!$B$26+3),R842,R842-'P-Parametri'!$B$8*(S842+R842)+MIN(MAX(S842,0),'P-Parametri'!$B$8*(S842+R842)))</f>
        <v>35588.487617059305</v>
      </c>
      <c r="U842" s="18">
        <f>IF($A842&gt;('1-Input'!$B$26+3),S842,S842-MIN(MAX(S842,0),'P-Parametri'!$B$8*(S842+R842)))</f>
        <v>367697.68398804951</v>
      </c>
      <c r="V842" s="18">
        <f>IF($A842&gt;('1-Input'!$B$26+3),V841,V841-Q842*(1-P842))</f>
        <v>258263.26050477489</v>
      </c>
      <c r="W842" s="11">
        <f>IF($A842&gt;('1-Input'!$B$26+3),0,IF(AB841&lt;=0,0,MAX(0,(AB841-AC841)/AB841)))</f>
        <v>0.27814021894201929</v>
      </c>
      <c r="X842" s="18">
        <f>IF($A842&gt;('1-Input'!$B$26+3),0,(MAX(0,W836-IF($A842&gt;='1-Input'!$C$12,'1-Input'!$B$12,0))-MIN(MAX(AA841,0),MAX(0,W836-IF($A842&gt;='1-Input'!$C$12,'1-Input'!$B$12,0))))*(1/(1-'P-Parametri'!$B$6*W842))+MIN(MAX(0,AB841-(MAX(0,W836-IF($A842&gt;='1-Input'!$C$12,'1-Input'!$B$12,0))-MIN(MAX(AA841,0),MAX(0,W836-IF($A842&gt;='1-Input'!$C$12,'1-Input'!$B$12,0))))*(1/(1-'P-Parametri'!$B$6*W842))),MAX(0,2*W836-(AA841-MIN(MAX(AA841,0),MAX(0,W836-IF($A842&gt;='1-Input'!$C$12,'1-Input'!$B$12,0)))))*(1/(1-'P-Parametri'!$B$6*W842))))</f>
        <v>19214.865340549157</v>
      </c>
      <c r="Y842" s="18">
        <f>IF($A842&gt;('1-Input'!$B$26+3),AA841,(AA841-MAX(0,W836-IF($A842&gt;='1-Input'!$C$12,'1-Input'!$B$12,0))+X842*(1-'P-Parametri'!$B$6*W842))*(1+'1-Input'!$B$27))</f>
        <v>35268.354303294895</v>
      </c>
      <c r="Z842" s="18">
        <f>IF($A842&gt;('1-Input'!$B$26+3),AB841,(AB841-X842)*(1+'5-Roberta'!$C$4))</f>
        <v>369608.71700168063</v>
      </c>
      <c r="AA842" s="18">
        <f>IF($A842&gt;('1-Input'!$B$26+3),Y842,Y842-'P-Parametri'!$B$8*(Z842+Y842)+MIN(MAX(Z842,0),'P-Parametri'!$B$8*(Z842+Y842)))</f>
        <v>35268.354303294895</v>
      </c>
      <c r="AB842" s="18">
        <f>IF($A842&gt;('1-Input'!$B$26+3),Z842,Z842-MIN(MAX(Z842,0),'P-Parametri'!$B$8*(Z842+Y842)))</f>
        <v>368798.96285907069</v>
      </c>
      <c r="AC842" s="18">
        <f>IF($A842&gt;('1-Input'!$B$26+3),AC841,AC841-X842*(1-W842))</f>
        <v>259034.62867180028</v>
      </c>
      <c r="AD842" s="11">
        <f>IF($A842&gt;('1-Input'!$B$26+3),0,IF(AI841&lt;=0,0,MAX(0,(AI841-AJ841)/AI841)))</f>
        <v>0.27814055124923304</v>
      </c>
      <c r="AE842" s="18">
        <f>IF($A842&gt;('1-Input'!$B$26+3),0,(MAX(0,AD836-IF($A842&gt;='1-Input'!$C$12,'1-Input'!$B$12,0))-MIN(MAX(AH841,0),MAX(0,AD836-IF($A842&gt;='1-Input'!$C$12,'1-Input'!$B$12,0))))*(1/(1-'P-Parametri'!$B$6*AD842))+MIN(MAX(0,AI841-(MAX(0,AD836-IF($A842&gt;='1-Input'!$C$12,'1-Input'!$B$12,0))-MIN(MAX(AH841,0),MAX(0,AD836-IF($A842&gt;='1-Input'!$C$12,'1-Input'!$B$12,0))))*(1/(1-'P-Parametri'!$B$6*AD842))),MAX(0,2*AD836-(AH841-MIN(MAX(AH841,0),MAX(0,AD836-IF($A842&gt;='1-Input'!$C$12,'1-Input'!$B$12,0)))))*(1/(1-'P-Parametri'!$B$6*AD842))))</f>
        <v>19201.405148339934</v>
      </c>
      <c r="AF842" s="18">
        <f>IF($A842&gt;('1-Input'!$B$26+3),AH841,(AH841-MAX(0,AD836-IF($A842&gt;='1-Input'!$C$12,'1-Input'!$B$12,0))+AE842*(1-'P-Parametri'!$B$6*AD842))*(1+'1-Input'!$B$27))</f>
        <v>35243.64521006601</v>
      </c>
      <c r="AG842" s="18">
        <f>IF($A842&gt;('1-Input'!$B$26+3),AI841,(AI841-AE842)*(1+'5-Roberta'!$C$4))</f>
        <v>369693.83871504333</v>
      </c>
      <c r="AH842" s="18">
        <f>IF($A842&gt;('1-Input'!$B$26+3),AF842,AF842-'P-Parametri'!$B$8*(AG842+AF842)+MIN(MAX(AG842,0),'P-Parametri'!$B$8*(AG842+AF842)))</f>
        <v>35243.64521006601</v>
      </c>
      <c r="AI842" s="18">
        <f>IF($A842&gt;('1-Input'!$B$26+3),AG842,AG842-MIN(MAX(AG842,0),'P-Parametri'!$B$8*(AG842+AF842)))</f>
        <v>368883.96374719311</v>
      </c>
      <c r="AJ842" s="18">
        <f>IF($A842&gt;('1-Input'!$B$26+3),AJ841,AJ841-AE842*(1-AD842))</f>
        <v>259094.16565184086</v>
      </c>
      <c r="AK842" s="11">
        <f>IF($A842&gt;('1-Input'!$B$26+3),0,IF(AP841&lt;=0,0,MAX(0,(AP841-AQ841)/AP841)))</f>
        <v>0.27814055050953185</v>
      </c>
      <c r="AL842" s="18">
        <f>IF($A842&gt;('1-Input'!$B$26+3),0,(MAX(0,AK836-IF($A842&gt;='1-Input'!$C$12,'1-Input'!$B$12,0))-MIN(MAX(AO841,0),MAX(0,AK836-IF($A842&gt;='1-Input'!$C$12,'1-Input'!$B$12,0))))*(1/(1-'P-Parametri'!$B$6*AK842))+MIN(MAX(0,AP841-(MAX(0,AK836-IF($A842&gt;='1-Input'!$C$12,'1-Input'!$B$12,0))-MIN(MAX(AO841,0),MAX(0,AK836-IF($A842&gt;='1-Input'!$C$12,'1-Input'!$B$12,0))))*(1/(1-'P-Parametri'!$B$6*AK842))),MAX(0,2*AK836-(AO841-MIN(MAX(AO841,0),MAX(0,AK836-IF($A842&gt;='1-Input'!$C$12,'1-Input'!$B$12,0)))))*(1/(1-'P-Parametri'!$B$6*AK842))))</f>
        <v>19201.435114379925</v>
      </c>
      <c r="AM842" s="18">
        <f>IF($A842&gt;('1-Input'!$B$26+3),AO841,(AO841-MAX(0,AK836-IF($A842&gt;='1-Input'!$C$12,'1-Input'!$B$12,0))+AL842*(1-'P-Parametri'!$B$6*AK842))*(1+'1-Input'!$B$27))</f>
        <v>35243.700219205675</v>
      </c>
      <c r="AN842" s="18">
        <f>IF($A842&gt;('1-Input'!$B$26+3),AP841,(AP841-AL842)*(1+'5-Roberta'!$C$4))</f>
        <v>369693.64921102766</v>
      </c>
      <c r="AO842" s="18">
        <f>IF($A842&gt;('1-Input'!$B$26+3),AM842,AM842-'P-Parametri'!$B$8*(AN842+AM842)+MIN(MAX(AN842,0),'P-Parametri'!$B$8*(AN842+AM842)))</f>
        <v>35243.700219205675</v>
      </c>
      <c r="AP842" s="18">
        <f>IF($A842&gt;('1-Input'!$B$26+3),AN842,AN842-MIN(MAX(AN842,0),'P-Parametri'!$B$8*(AN842+AM842)))</f>
        <v>368883.77451216721</v>
      </c>
      <c r="AQ842" s="18">
        <f>IF($A842&gt;('1-Input'!$B$26+3),AQ841,AQ841-AL842*(1-AK842))</f>
        <v>259094.03310640258</v>
      </c>
    </row>
    <row r="843" spans="1:43">
      <c r="A843" s="10">
        <f>5</f>
        <v>5</v>
      </c>
      <c r="B843" s="11">
        <f>IF($A843&gt;('1-Input'!$B$26+3),0,IF(G842&lt;=0,0,MAX(0,(G842-H842)/G842)))</f>
        <v>0.29766275073940512</v>
      </c>
      <c r="C843" s="18">
        <f>IF($A843&gt;('1-Input'!$B$26+3),0,(MAX(0,B836-IF($A843&gt;='1-Input'!$C$12,'1-Input'!$B$12,0))-MIN(MAX(F842,0),MAX(0,B836-IF($A843&gt;='1-Input'!$C$12,'1-Input'!$B$12,0))))*(1/(1-'P-Parametri'!$B$6*B843))+MIN(MAX(0,G842-(MAX(0,B836-IF($A843&gt;='1-Input'!$C$12,'1-Input'!$B$12,0))-MIN(MAX(F842,0),MAX(0,B836-IF($A843&gt;='1-Input'!$C$12,'1-Input'!$B$12,0))))*(1/(1-'P-Parametri'!$B$6*B843))),MAX(0,2*B836-(F842-MIN(MAX(F842,0),MAX(0,B836-IF($A843&gt;='1-Input'!$C$12,'1-Input'!$B$12,0)))))*(1/(1-'P-Parametri'!$B$6*B843))))</f>
        <v>18210.512647520372</v>
      </c>
      <c r="D843" s="18">
        <f>IF($A843&gt;('1-Input'!$B$26+3),F842,(F842-MAX(0,B836-IF($A843&gt;='1-Input'!$C$12,'1-Input'!$B$12,0))+C843*(1-'P-Parametri'!$B$6*B843))*(1+'1-Input'!$B$27))</f>
        <v>33242.0070309863</v>
      </c>
      <c r="E843" s="18">
        <f>IF($A843&gt;('1-Input'!$B$26+3),G842,(G842-C843)*(1+'5-Roberta'!$C$4))</f>
        <v>368286.01386604673</v>
      </c>
      <c r="F843" s="18">
        <f>IF($A843&gt;('1-Input'!$B$26+3),D843,D843-'P-Parametri'!$B$8*(E843+D843)+MIN(MAX(E843,0),'P-Parametri'!$B$8*(E843+D843)))</f>
        <v>33242.0070309863</v>
      </c>
      <c r="G843" s="18">
        <f>IF($A843&gt;('1-Input'!$B$26+3),E843,E843-MIN(MAX(E843,0),'P-Parametri'!$B$8*(E843+D843)))</f>
        <v>367482.95782425266</v>
      </c>
      <c r="H843" s="18">
        <f>IF($A843&gt;('1-Input'!$B$26+3),H842,H842-C843*(1-B843))</f>
        <v>251127.17079595005</v>
      </c>
      <c r="I843" s="11">
        <f>IF($A843&gt;('1-Input'!$B$26+3),0,IF(N842&lt;=0,0,MAX(0,(N842-O842)/N842)))</f>
        <v>0.29746333398035957</v>
      </c>
      <c r="J843" s="18">
        <f>IF($A843&gt;('1-Input'!$B$26+3),0,(MAX(0,I836-IF($A843&gt;='1-Input'!$C$12,'1-Input'!$B$12,0))-MIN(MAX(M842,0),MAX(0,I836-IF($A843&gt;='1-Input'!$C$12,'1-Input'!$B$12,0))))*(1/(1-'P-Parametri'!$B$6*I843))+MIN(MAX(0,N842-(MAX(0,I836-IF($A843&gt;='1-Input'!$C$12,'1-Input'!$B$12,0))-MIN(MAX(M842,0),MAX(0,I836-IF($A843&gt;='1-Input'!$C$12,'1-Input'!$B$12,0))))*(1/(1-'P-Parametri'!$B$6*I843))),MAX(0,2*I836-(M842-MIN(MAX(M842,0),MAX(0,I836-IF($A843&gt;='1-Input'!$C$12,'1-Input'!$B$12,0)))))*(1/(1-'P-Parametri'!$B$6*I843))))</f>
        <v>23959.854365176598</v>
      </c>
      <c r="K843" s="18">
        <f>IF($A843&gt;('1-Input'!$B$26+3),M842,(M842-MAX(0,I836-IF($A843&gt;='1-Input'!$C$12,'1-Input'!$B$12,0))+J843*(1-'P-Parametri'!$B$6*I843))*(1+'1-Input'!$B$27))</f>
        <v>43739.482935508291</v>
      </c>
      <c r="L843" s="18">
        <f>IF($A843&gt;('1-Input'!$B$26+3),N842,(N842-J843)*(1+'5-Roberta'!$C$4))</f>
        <v>325169.19984260842</v>
      </c>
      <c r="M843" s="18">
        <f>IF($A843&gt;('1-Input'!$B$26+3),K843,K843-'P-Parametri'!$B$8*(L843+K843)+MIN(MAX(L843,0),'P-Parametri'!$B$8*(L843+K843)))</f>
        <v>43739.482935508291</v>
      </c>
      <c r="N843" s="18">
        <f>IF($A843&gt;('1-Input'!$B$26+3),L843,L843-MIN(MAX(L843,0),'P-Parametri'!$B$8*(L843+K843)))</f>
        <v>324431.38247705216</v>
      </c>
      <c r="O843" s="18">
        <f>IF($A843&gt;('1-Input'!$B$26+3),O842,O842-J843*(1-I843))</f>
        <v>221789.59762106824</v>
      </c>
      <c r="P843" s="11">
        <f>IF($A843&gt;('1-Input'!$B$26+3),0,IF(U842&lt;=0,0,MAX(0,(U842-V842)/U842)))</f>
        <v>0.29762064937790395</v>
      </c>
      <c r="Q843" s="18">
        <f>IF($A843&gt;('1-Input'!$B$26+3),0,(MAX(0,P836-IF($A843&gt;='1-Input'!$C$12,'1-Input'!$B$12,0))-MIN(MAX(T842,0),MAX(0,P836-IF($A843&gt;='1-Input'!$C$12,'1-Input'!$B$12,0))))*(1/(1-'P-Parametri'!$B$6*P843))+MIN(MAX(0,U842-(MAX(0,P836-IF($A843&gt;='1-Input'!$C$12,'1-Input'!$B$12,0))-MIN(MAX(T842,0),MAX(0,P836-IF($A843&gt;='1-Input'!$C$12,'1-Input'!$B$12,0))))*(1/(1-'P-Parametri'!$B$6*P843))),MAX(0,2*P836-(T842-MIN(MAX(T842,0),MAX(0,P836-IF($A843&gt;='1-Input'!$C$12,'1-Input'!$B$12,0)))))*(1/(1-'P-Parametri'!$B$6*P843))))</f>
        <v>19495.721605833336</v>
      </c>
      <c r="R843" s="18">
        <f>IF($A843&gt;('1-Input'!$B$26+3),T842,(T842-MAX(0,P836-IF($A843&gt;='1-Input'!$C$12,'1-Input'!$B$12,0))+Q843*(1-'P-Parametri'!$B$6*P843))*(1+'1-Input'!$B$27))</f>
        <v>35588.487617059305</v>
      </c>
      <c r="S843" s="18">
        <f>IF($A843&gt;('1-Input'!$B$26+3),U842,(U842-Q843)*(1+'5-Roberta'!$C$4))</f>
        <v>358648.02125368267</v>
      </c>
      <c r="T843" s="18">
        <f>IF($A843&gt;('1-Input'!$B$26+3),R843,R843-'P-Parametri'!$B$8*(S843+R843)+MIN(MAX(S843,0),'P-Parametri'!$B$8*(S843+R843)))</f>
        <v>35588.487617059305</v>
      </c>
      <c r="U843" s="18">
        <f>IF($A843&gt;('1-Input'!$B$26+3),S843,S843-MIN(MAX(S843,0),'P-Parametri'!$B$8*(S843+R843)))</f>
        <v>357859.54823594121</v>
      </c>
      <c r="V843" s="18">
        <f>IF($A843&gt;('1-Input'!$B$26+3),V842,V842-Q843*(1-P843))</f>
        <v>244569.86822336051</v>
      </c>
      <c r="W843" s="11">
        <f>IF($A843&gt;('1-Input'!$B$26+3),0,IF(AB842&lt;=0,0,MAX(0,(AB842-AC842)/AB842)))</f>
        <v>0.29762647198445269</v>
      </c>
      <c r="X843" s="18">
        <f>IF($A843&gt;('1-Input'!$B$26+3),0,(MAX(0,W836-IF($A843&gt;='1-Input'!$C$12,'1-Input'!$B$12,0))-MIN(MAX(AA842,0),MAX(0,W836-IF($A843&gt;='1-Input'!$C$12,'1-Input'!$B$12,0))))*(1/(1-'P-Parametri'!$B$6*W843))+MIN(MAX(0,AB842-(MAX(0,W836-IF($A843&gt;='1-Input'!$C$12,'1-Input'!$B$12,0))-MIN(MAX(AA842,0),MAX(0,W836-IF($A843&gt;='1-Input'!$C$12,'1-Input'!$B$12,0))))*(1/(1-'P-Parametri'!$B$6*W843))),MAX(0,2*W836-(AA842-MIN(MAX(AA842,0),MAX(0,W836-IF($A843&gt;='1-Input'!$C$12,'1-Input'!$B$12,0)))))*(1/(1-'P-Parametri'!$B$6*W843))))</f>
        <v>19320.381147170159</v>
      </c>
      <c r="Y843" s="18">
        <f>IF($A843&gt;('1-Input'!$B$26+3),AA842,(AA842-MAX(0,W836-IF($A843&gt;='1-Input'!$C$12,'1-Input'!$B$12,0))+X843*(1-'P-Parametri'!$B$6*W843))*(1+'1-Input'!$B$27))</f>
        <v>35268.354303294887</v>
      </c>
      <c r="Z843" s="18">
        <f>IF($A843&gt;('1-Input'!$B$26+3),AB842,(AB842-X843)*(1+'5-Roberta'!$C$4))</f>
        <v>359962.93916325754</v>
      </c>
      <c r="AA843" s="18">
        <f>IF($A843&gt;('1-Input'!$B$26+3),Y843,Y843-'P-Parametri'!$B$8*(Z843+Y843)+MIN(MAX(Z843,0),'P-Parametri'!$B$8*(Z843+Y843)))</f>
        <v>35268.354303294887</v>
      </c>
      <c r="AB843" s="18">
        <f>IF($A843&gt;('1-Input'!$B$26+3),Z843,Z843-MIN(MAX(Z843,0),'P-Parametri'!$B$8*(Z843+Y843)))</f>
        <v>359172.47657632444</v>
      </c>
      <c r="AC843" s="18">
        <f>IF($A843&gt;('1-Input'!$B$26+3),AC842,AC842-X843*(1-W843))</f>
        <v>245464.5044028573</v>
      </c>
      <c r="AD843" s="11">
        <f>IF($A843&gt;('1-Input'!$B$26+3),0,IF(AI842&lt;=0,0,MAX(0,(AI842-AJ842)/AI842)))</f>
        <v>0.29762692034667676</v>
      </c>
      <c r="AE843" s="18">
        <f>IF($A843&gt;('1-Input'!$B$26+3),0,(MAX(0,AD836-IF($A843&gt;='1-Input'!$C$12,'1-Input'!$B$12,0))-MIN(MAX(AH842,0),MAX(0,AD836-IF($A843&gt;='1-Input'!$C$12,'1-Input'!$B$12,0))))*(1/(1-'P-Parametri'!$B$6*AD843))+MIN(MAX(0,AI842-(MAX(0,AD836-IF($A843&gt;='1-Input'!$C$12,'1-Input'!$B$12,0))-MIN(MAX(AH842,0),MAX(0,AD836-IF($A843&gt;='1-Input'!$C$12,'1-Input'!$B$12,0))))*(1/(1-'P-Parametri'!$B$6*AD843))),MAX(0,2*AD836-(AH842-MIN(MAX(AH842,0),MAX(0,AD836-IF($A843&gt;='1-Input'!$C$12,'1-Input'!$B$12,0)))))*(1/(1-'P-Parametri'!$B$6*AD843))))</f>
        <v>19306.847681462328</v>
      </c>
      <c r="AF843" s="18">
        <f>IF($A843&gt;('1-Input'!$B$26+3),AH842,(AH842-MAX(0,AD836-IF($A843&gt;='1-Input'!$C$12,'1-Input'!$B$12,0))+AE843*(1-'P-Parametri'!$B$6*AD843))*(1+'1-Input'!$B$27))</f>
        <v>35243.64521006601</v>
      </c>
      <c r="AG843" s="18">
        <f>IF($A843&gt;('1-Input'!$B$26+3),AI842,(AI842-AE843)*(1+'5-Roberta'!$C$4))</f>
        <v>360064.42954770272</v>
      </c>
      <c r="AH843" s="18">
        <f>IF($A843&gt;('1-Input'!$B$26+3),AF843,AF843-'P-Parametri'!$B$8*(AG843+AF843)+MIN(MAX(AG843,0),'P-Parametri'!$B$8*(AG843+AF843)))</f>
        <v>35243.64521006601</v>
      </c>
      <c r="AI843" s="18">
        <f>IF($A843&gt;('1-Input'!$B$26+3),AG843,AG843-MIN(MAX(AG843,0),'P-Parametri'!$B$8*(AG843+AF843)))</f>
        <v>359273.81339818717</v>
      </c>
      <c r="AJ843" s="18">
        <f>IF($A843&gt;('1-Input'!$B$26+3),AJ842,AJ842-AE843*(1-AD843))</f>
        <v>245533.55558741454</v>
      </c>
      <c r="AK843" s="11">
        <f>IF($A843&gt;('1-Input'!$B$26+3),0,IF(AP842&lt;=0,0,MAX(0,(AP842-AQ842)/AP842)))</f>
        <v>0.29762691934866692</v>
      </c>
      <c r="AL843" s="18">
        <f>IF($A843&gt;('1-Input'!$B$26+3),0,(MAX(0,AK836-IF($A843&gt;='1-Input'!$C$12,'1-Input'!$B$12,0))-MIN(MAX(AO842,0),MAX(0,AK836-IF($A843&gt;='1-Input'!$C$12,'1-Input'!$B$12,0))))*(1/(1-'P-Parametri'!$B$6*AK843))+MIN(MAX(0,AP842-(MAX(0,AK836-IF($A843&gt;='1-Input'!$C$12,'1-Input'!$B$12,0))-MIN(MAX(AO842,0),MAX(0,AK836-IF($A843&gt;='1-Input'!$C$12,'1-Input'!$B$12,0))))*(1/(1-'P-Parametri'!$B$6*AK843))),MAX(0,2*AK836-(AO842-MIN(MAX(AO842,0),MAX(0,AK836-IF($A843&gt;='1-Input'!$C$12,'1-Input'!$B$12,0)))))*(1/(1-'P-Parametri'!$B$6*AK843))))</f>
        <v>19306.87781063034</v>
      </c>
      <c r="AM843" s="18">
        <f>IF($A843&gt;('1-Input'!$B$26+3),AO842,(AO842-MAX(0,AK836-IF($A843&gt;='1-Input'!$C$12,'1-Input'!$B$12,0))+AL843*(1-'P-Parametri'!$B$6*AK843))*(1+'1-Input'!$B$27))</f>
        <v>35243.700219205675</v>
      </c>
      <c r="AN843" s="18">
        <f>IF($A843&gt;('1-Input'!$B$26+3),AP842,(AP842-AL843)*(1+'5-Roberta'!$C$4))</f>
        <v>360064.20360258297</v>
      </c>
      <c r="AO843" s="18">
        <f>IF($A843&gt;('1-Input'!$B$26+3),AM843,AM843-'P-Parametri'!$B$8*(AN843+AM843)+MIN(MAX(AN843,0),'P-Parametri'!$B$8*(AN843+AM843)))</f>
        <v>35243.700219205675</v>
      </c>
      <c r="AP843" s="18">
        <f>IF($A843&gt;('1-Input'!$B$26+3),AN843,AN843-MIN(MAX(AN843,0),'P-Parametri'!$B$8*(AN843+AM843)))</f>
        <v>359273.58779493941</v>
      </c>
      <c r="AQ843" s="18">
        <f>IF($A843&gt;('1-Input'!$B$26+3),AQ842,AQ842-AL843*(1-AK843))</f>
        <v>245533.40186079129</v>
      </c>
    </row>
    <row r="844" spans="1:43">
      <c r="A844" s="10">
        <f>6</f>
        <v>6</v>
      </c>
      <c r="B844" s="11">
        <f>IF($A844&gt;('1-Input'!$B$26+3),0,IF(G843&lt;=0,0,MAX(0,(G843-H843)/G843)))</f>
        <v>0.31662906959606363</v>
      </c>
      <c r="C844" s="18">
        <f>IF($A844&gt;('1-Input'!$B$26+3),0,(MAX(0,B836-IF($A844&gt;='1-Input'!$C$12,'1-Input'!$B$12,0))-MIN(MAX(F843,0),MAX(0,B836-IF($A844&gt;='1-Input'!$C$12,'1-Input'!$B$12,0))))*(1/(1-'P-Parametri'!$B$6*B844))+MIN(MAX(0,G843-(MAX(0,B836-IF($A844&gt;='1-Input'!$C$12,'1-Input'!$B$12,0))-MIN(MAX(F843,0),MAX(0,B836-IF($A844&gt;='1-Input'!$C$12,'1-Input'!$B$12,0))))*(1/(1-'P-Parametri'!$B$6*B844))),MAX(0,2*B836-(F843-MIN(MAX(F843,0),MAX(0,B836-IF($A844&gt;='1-Input'!$C$12,'1-Input'!$B$12,0)))))*(1/(1-'P-Parametri'!$B$6*B844))))</f>
        <v>18308.368991159059</v>
      </c>
      <c r="D844" s="18">
        <f>IF($A844&gt;('1-Input'!$B$26+3),F843,(F843-MAX(0,B836-IF($A844&gt;='1-Input'!$C$12,'1-Input'!$B$12,0))+C844*(1-'P-Parametri'!$B$6*B844))*(1+'1-Input'!$B$27))</f>
        <v>33242.0070309863</v>
      </c>
      <c r="E844" s="18">
        <f>IF($A844&gt;('1-Input'!$B$26+3),G843,(G843-C844)*(1+'5-Roberta'!$C$4))</f>
        <v>359649.82649808639</v>
      </c>
      <c r="F844" s="18">
        <f>IF($A844&gt;('1-Input'!$B$26+3),D844,D844-'P-Parametri'!$B$8*(E844+D844)+MIN(MAX(E844,0),'P-Parametri'!$B$8*(E844+D844)))</f>
        <v>33242.0070309863</v>
      </c>
      <c r="G844" s="18">
        <f>IF($A844&gt;('1-Input'!$B$26+3),E844,E844-MIN(MAX(E844,0),'P-Parametri'!$B$8*(E844+D844)))</f>
        <v>358864.04283102823</v>
      </c>
      <c r="H844" s="18">
        <f>IF($A844&gt;('1-Input'!$B$26+3),H843,H843-C844*(1-B844))</f>
        <v>238615.76364428311</v>
      </c>
      <c r="I844" s="11">
        <f>IF($A844&gt;('1-Input'!$B$26+3),0,IF(N843&lt;=0,0,MAX(0,(N843-O843)/N843)))</f>
        <v>0.31637440272364536</v>
      </c>
      <c r="J844" s="18">
        <f>IF($A844&gt;('1-Input'!$B$26+3),0,(MAX(0,I836-IF($A844&gt;='1-Input'!$C$12,'1-Input'!$B$12,0))-MIN(MAX(M843,0),MAX(0,I836-IF($A844&gt;='1-Input'!$C$12,'1-Input'!$B$12,0))))*(1/(1-'P-Parametri'!$B$6*I844))+MIN(MAX(0,N843-(MAX(0,I836-IF($A844&gt;='1-Input'!$C$12,'1-Input'!$B$12,0))-MIN(MAX(M843,0),MAX(0,I836-IF($A844&gt;='1-Input'!$C$12,'1-Input'!$B$12,0))))*(1/(1-'P-Parametri'!$B$6*I844))),MAX(0,2*I836-(M843-MIN(MAX(M843,0),MAX(0,I836-IF($A844&gt;='1-Input'!$C$12,'1-Input'!$B$12,0)))))*(1/(1-'P-Parametri'!$B$6*I844))))</f>
        <v>24088.221154161765</v>
      </c>
      <c r="K844" s="18">
        <f>IF($A844&gt;('1-Input'!$B$26+3),M843,(M843-MAX(0,I836-IF($A844&gt;='1-Input'!$C$12,'1-Input'!$B$12,0))+J844*(1-'P-Parametri'!$B$6*I844))*(1+'1-Input'!$B$27))</f>
        <v>43739.482935508291</v>
      </c>
      <c r="L844" s="18">
        <f>IF($A844&gt;('1-Input'!$B$26+3),N843,(N843-J844)*(1+'5-Roberta'!$C$4))</f>
        <v>309353.45616257709</v>
      </c>
      <c r="M844" s="18">
        <f>IF($A844&gt;('1-Input'!$B$26+3),K844,K844-'P-Parametri'!$B$8*(L844+K844)+MIN(MAX(L844,0),'P-Parametri'!$B$8*(L844+K844)))</f>
        <v>43739.482935508291</v>
      </c>
      <c r="N844" s="18">
        <f>IF($A844&gt;('1-Input'!$B$26+3),L844,L844-MIN(MAX(L844,0),'P-Parametri'!$B$8*(L844+K844)))</f>
        <v>308647.27028438094</v>
      </c>
      <c r="O844" s="18">
        <f>IF($A844&gt;('1-Input'!$B$26+3),O843,O843-J844*(1-I844))</f>
        <v>205322.27304722948</v>
      </c>
      <c r="P844" s="11">
        <f>IF($A844&gt;('1-Input'!$B$26+3),0,IF(U843&lt;=0,0,MAX(0,(U843-V843)/U843)))</f>
        <v>0.31657582023740616</v>
      </c>
      <c r="Q844" s="18">
        <f>IF($A844&gt;('1-Input'!$B$26+3),0,(MAX(0,P836-IF($A844&gt;='1-Input'!$C$12,'1-Input'!$B$12,0))-MIN(MAX(T843,0),MAX(0,P836-IF($A844&gt;='1-Input'!$C$12,'1-Input'!$B$12,0))))*(1/(1-'P-Parametri'!$B$6*P844))+MIN(MAX(0,U843-(MAX(0,P836-IF($A844&gt;='1-Input'!$C$12,'1-Input'!$B$12,0))-MIN(MAX(T843,0),MAX(0,P836-IF($A844&gt;='1-Input'!$C$12,'1-Input'!$B$12,0))))*(1/(1-'P-Parametri'!$B$6*P844))),MAX(0,2*P836-(T843-MIN(MAX(T843,0),MAX(0,P836-IF($A844&gt;='1-Input'!$C$12,'1-Input'!$B$12,0)))))*(1/(1-'P-Parametri'!$B$6*P844))))</f>
        <v>19600.421015041586</v>
      </c>
      <c r="R844" s="18">
        <f>IF($A844&gt;('1-Input'!$B$26+3),T843,(T843-MAX(0,P836-IF($A844&gt;='1-Input'!$C$12,'1-Input'!$B$12,0))+Q844*(1-'P-Parametri'!$B$6*P844))*(1+'1-Input'!$B$27))</f>
        <v>35588.487617059305</v>
      </c>
      <c r="S844" s="18">
        <f>IF($A844&gt;('1-Input'!$B$26+3),U843,(U843-Q844)*(1+'5-Roberta'!$C$4))</f>
        <v>348406.90103752661</v>
      </c>
      <c r="T844" s="18">
        <f>IF($A844&gt;('1-Input'!$B$26+3),R844,R844-'P-Parametri'!$B$8*(S844+R844)+MIN(MAX(S844,0),'P-Parametri'!$B$8*(S844+R844)))</f>
        <v>35588.487617059305</v>
      </c>
      <c r="U844" s="18">
        <f>IF($A844&gt;('1-Input'!$B$26+3),S844,S844-MIN(MAX(S844,0),'P-Parametri'!$B$8*(S844+R844)))</f>
        <v>347638.91026021744</v>
      </c>
      <c r="V844" s="18">
        <f>IF($A844&gt;('1-Input'!$B$26+3),V843,V843-Q844*(1-P844))</f>
        <v>231174.4665681542</v>
      </c>
      <c r="W844" s="11">
        <f>IF($A844&gt;('1-Input'!$B$26+3),0,IF(AB843&lt;=0,0,MAX(0,(AB843-AC843)/AB843)))</f>
        <v>0.31658320052066713</v>
      </c>
      <c r="X844" s="18">
        <f>IF($A844&gt;('1-Input'!$B$26+3),0,(MAX(0,W836-IF($A844&gt;='1-Input'!$C$12,'1-Input'!$B$12,0))-MIN(MAX(AA843,0),MAX(0,W836-IF($A844&gt;='1-Input'!$C$12,'1-Input'!$B$12,0))))*(1/(1-'P-Parametri'!$B$6*W844))+MIN(MAX(0,AB843-(MAX(0,W836-IF($A844&gt;='1-Input'!$C$12,'1-Input'!$B$12,0))-MIN(MAX(AA843,0),MAX(0,W836-IF($A844&gt;='1-Input'!$C$12,'1-Input'!$B$12,0))))*(1/(1-'P-Parametri'!$B$6*W844))),MAX(0,2*W836-(AA843-MIN(MAX(AA843,0),MAX(0,W836-IF($A844&gt;='1-Input'!$C$12,'1-Input'!$B$12,0)))))*(1/(1-'P-Parametri'!$B$6*W844))))</f>
        <v>19424.147655166322</v>
      </c>
      <c r="Y844" s="18">
        <f>IF($A844&gt;('1-Input'!$B$26+3),AA843,(AA843-MAX(0,W836-IF($A844&gt;='1-Input'!$C$12,'1-Input'!$B$12,0))+X844*(1-'P-Parametri'!$B$6*W844))*(1+'1-Input'!$B$27))</f>
        <v>35268.354303294887</v>
      </c>
      <c r="Z844" s="18">
        <f>IF($A844&gt;('1-Input'!$B$26+3),AB843,(AB843-X844)*(1+'5-Roberta'!$C$4))</f>
        <v>349940.77878879284</v>
      </c>
      <c r="AA844" s="18">
        <f>IF($A844&gt;('1-Input'!$B$26+3),Y844,Y844-'P-Parametri'!$B$8*(Z844+Y844)+MIN(MAX(Z844,0),'P-Parametri'!$B$8*(Z844+Y844)))</f>
        <v>35268.354303294887</v>
      </c>
      <c r="AB844" s="18">
        <f>IF($A844&gt;('1-Input'!$B$26+3),Z844,Z844-MIN(MAX(Z844,0),'P-Parametri'!$B$8*(Z844+Y844)))</f>
        <v>349170.36052260868</v>
      </c>
      <c r="AC844" s="18">
        <f>IF($A844&gt;('1-Input'!$B$26+3),AC843,AC843-X844*(1-W844))</f>
        <v>232189.71557974955</v>
      </c>
      <c r="AD844" s="11">
        <f>IF($A844&gt;('1-Input'!$B$26+3),0,IF(AI843&lt;=0,0,MAX(0,(AI843-AJ843)/AI843)))</f>
        <v>0.31658376861637016</v>
      </c>
      <c r="AE844" s="18">
        <f>IF($A844&gt;('1-Input'!$B$26+3),0,(MAX(0,AD836-IF($A844&gt;='1-Input'!$C$12,'1-Input'!$B$12,0))-MIN(MAX(AH843,0),MAX(0,AD836-IF($A844&gt;='1-Input'!$C$12,'1-Input'!$B$12,0))))*(1/(1-'P-Parametri'!$B$6*AD844))+MIN(MAX(0,AI843-(MAX(0,AD836-IF($A844&gt;='1-Input'!$C$12,'1-Input'!$B$12,0))-MIN(MAX(AH843,0),MAX(0,AD836-IF($A844&gt;='1-Input'!$C$12,'1-Input'!$B$12,0))))*(1/(1-'P-Parametri'!$B$6*AD844))),MAX(0,2*AD836-(AH843-MIN(MAX(AH843,0),MAX(0,AD836-IF($A844&gt;='1-Input'!$C$12,'1-Input'!$B$12,0)))))*(1/(1-'P-Parametri'!$B$6*AD844))))</f>
        <v>19410.542175132479</v>
      </c>
      <c r="AF844" s="18">
        <f>IF($A844&gt;('1-Input'!$B$26+3),AH843,(AH843-MAX(0,AD836-IF($A844&gt;='1-Input'!$C$12,'1-Input'!$B$12,0))+AE844*(1-'P-Parametri'!$B$6*AD844))*(1+'1-Input'!$B$27))</f>
        <v>35243.645210066003</v>
      </c>
      <c r="AG844" s="18">
        <f>IF($A844&gt;('1-Input'!$B$26+3),AI843,(AI843-AE844)*(1+'5-Roberta'!$C$4))</f>
        <v>350059.16935974633</v>
      </c>
      <c r="AH844" s="18">
        <f>IF($A844&gt;('1-Input'!$B$26+3),AF844,AF844-'P-Parametri'!$B$8*(AG844+AF844)+MIN(MAX(AG844,0),'P-Parametri'!$B$8*(AG844+AF844)))</f>
        <v>35243.645210066003</v>
      </c>
      <c r="AI844" s="18">
        <f>IF($A844&gt;('1-Input'!$B$26+3),AG844,AG844-MIN(MAX(AG844,0),'P-Parametri'!$B$8*(AG844+AF844)))</f>
        <v>349288.56373060669</v>
      </c>
      <c r="AJ844" s="18">
        <f>IF($A844&gt;('1-Input'!$B$26+3),AJ843,AJ843-AE844*(1-AD844))</f>
        <v>232268.07600497251</v>
      </c>
      <c r="AK844" s="11">
        <f>IF($A844&gt;('1-Input'!$B$26+3),0,IF(AP843&lt;=0,0,MAX(0,(AP843-AQ843)/AP843)))</f>
        <v>0.31658376735187943</v>
      </c>
      <c r="AL844" s="18">
        <f>IF($A844&gt;('1-Input'!$B$26+3),0,(MAX(0,AK836-IF($A844&gt;='1-Input'!$C$12,'1-Input'!$B$12,0))-MIN(MAX(AO843,0),MAX(0,AK836-IF($A844&gt;='1-Input'!$C$12,'1-Input'!$B$12,0))))*(1/(1-'P-Parametri'!$B$6*AK844))+MIN(MAX(0,AP843-(MAX(0,AK836-IF($A844&gt;='1-Input'!$C$12,'1-Input'!$B$12,0))-MIN(MAX(AO843,0),MAX(0,AK836-IF($A844&gt;='1-Input'!$C$12,'1-Input'!$B$12,0))))*(1/(1-'P-Parametri'!$B$6*AK844))),MAX(0,2*AK836-(AO843-MIN(MAX(AO843,0),MAX(0,AK836-IF($A844&gt;='1-Input'!$C$12,'1-Input'!$B$12,0)))))*(1/(1-'P-Parametri'!$B$6*AK844))))</f>
        <v>19410.572464625409</v>
      </c>
      <c r="AM844" s="18">
        <f>IF($A844&gt;('1-Input'!$B$26+3),AO843,(AO843-MAX(0,AK836-IF($A844&gt;='1-Input'!$C$12,'1-Input'!$B$12,0))+AL844*(1-'P-Parametri'!$B$6*AK844))*(1+'1-Input'!$B$27))</f>
        <v>35243.700219205675</v>
      </c>
      <c r="AN844" s="18">
        <f>IF($A844&gt;('1-Input'!$B$26+3),AP843,(AP843-AL844)*(1+'5-Roberta'!$C$4))</f>
        <v>350058.90579022345</v>
      </c>
      <c r="AO844" s="18">
        <f>IF($A844&gt;('1-Input'!$B$26+3),AM844,AM844-'P-Parametri'!$B$8*(AN844+AM844)+MIN(MAX(AN844,0),'P-Parametri'!$B$8*(AN844+AM844)))</f>
        <v>35243.700219205675</v>
      </c>
      <c r="AP844" s="18">
        <f>IF($A844&gt;('1-Input'!$B$26+3),AN844,AN844-MIN(MAX(AN844,0),'P-Parametri'!$B$8*(AN844+AM844)))</f>
        <v>349288.30057820457</v>
      </c>
      <c r="AQ844" s="18">
        <f>IF($A844&gt;('1-Input'!$B$26+3),AQ843,AQ843-AL844*(1-AK844))</f>
        <v>232267.90155347364</v>
      </c>
    </row>
    <row r="845" spans="1:43">
      <c r="A845" s="10">
        <f>7</f>
        <v>7</v>
      </c>
      <c r="B845" s="11">
        <f>IF($A845&gt;('1-Input'!$B$26+3),0,IF(G844&lt;=0,0,MAX(0,(G844-H844)/G844)))</f>
        <v>0.33508032244780855</v>
      </c>
      <c r="C845" s="18">
        <f>IF($A845&gt;('1-Input'!$B$26+3),0,(MAX(0,B836-IF($A845&gt;='1-Input'!$C$12,'1-Input'!$B$12,0))-MIN(MAX(F844,0),MAX(0,B836-IF($A845&gt;='1-Input'!$C$12,'1-Input'!$B$12,0))))*(1/(1-'P-Parametri'!$B$6*B845))+MIN(MAX(0,G844-(MAX(0,B836-IF($A845&gt;='1-Input'!$C$12,'1-Input'!$B$12,0))-MIN(MAX(F844,0),MAX(0,B836-IF($A845&gt;='1-Input'!$C$12,'1-Input'!$B$12,0))))*(1/(1-'P-Parametri'!$B$6*B845))),MAX(0,2*B836-(F844-MIN(MAX(F844,0),MAX(0,B836-IF($A845&gt;='1-Input'!$C$12,'1-Input'!$B$12,0)))))*(1/(1-'P-Parametri'!$B$6*B845))))</f>
        <v>18404.582398049595</v>
      </c>
      <c r="D845" s="18">
        <f>IF($A845&gt;('1-Input'!$B$26+3),F844,(F844-MAX(0,B836-IF($A845&gt;='1-Input'!$C$12,'1-Input'!$B$12,0))+C845*(1-'P-Parametri'!$B$6*B845))*(1+'1-Input'!$B$27))</f>
        <v>33242.0070309863</v>
      </c>
      <c r="E845" s="18">
        <f>IF($A845&gt;('1-Input'!$B$26+3),G844,(G844-C845)*(1+'5-Roberta'!$C$4))</f>
        <v>350673.244245968</v>
      </c>
      <c r="F845" s="18">
        <f>IF($A845&gt;('1-Input'!$B$26+3),D845,D845-'P-Parametri'!$B$8*(E845+D845)+MIN(MAX(E845,0),'P-Parametri'!$B$8*(E845+D845)))</f>
        <v>33242.0070309863</v>
      </c>
      <c r="G845" s="18">
        <f>IF($A845&gt;('1-Input'!$B$26+3),E845,E845-MIN(MAX(E845,0),'P-Parametri'!$B$8*(E845+D845)))</f>
        <v>349905.4137434141</v>
      </c>
      <c r="H845" s="18">
        <f>IF($A845&gt;('1-Input'!$B$26+3),H844,H844-C845*(1-B845))</f>
        <v>226378.19465068923</v>
      </c>
      <c r="I845" s="11">
        <f>IF($A845&gt;('1-Input'!$B$26+3),0,IF(N844&lt;=0,0,MAX(0,(N844-O844)/N844)))</f>
        <v>0.33476724787473428</v>
      </c>
      <c r="J845" s="18">
        <f>IF($A845&gt;('1-Input'!$B$26+3),0,(MAX(0,I836-IF($A845&gt;='1-Input'!$C$12,'1-Input'!$B$12,0))-MIN(MAX(M844,0),MAX(0,I836-IF($A845&gt;='1-Input'!$C$12,'1-Input'!$B$12,0))))*(1/(1-'P-Parametri'!$B$6*I845))+MIN(MAX(0,N844-(MAX(0,I836-IF($A845&gt;='1-Input'!$C$12,'1-Input'!$B$12,0))-MIN(MAX(M844,0),MAX(0,I836-IF($A845&gt;='1-Input'!$C$12,'1-Input'!$B$12,0))))*(1/(1-'P-Parametri'!$B$6*I845))),MAX(0,2*I836-(M844-MIN(MAX(M844,0),MAX(0,I836-IF($A845&gt;='1-Input'!$C$12,'1-Input'!$B$12,0)))))*(1/(1-'P-Parametri'!$B$6*I845))))</f>
        <v>24214.396643317763</v>
      </c>
      <c r="K845" s="18">
        <f>IF($A845&gt;('1-Input'!$B$26+3),M844,(M844-MAX(0,I836-IF($A845&gt;='1-Input'!$C$12,'1-Input'!$B$12,0))+J845*(1-'P-Parametri'!$B$6*I845))*(1+'1-Input'!$B$27))</f>
        <v>43739.482935508291</v>
      </c>
      <c r="L845" s="18">
        <f>IF($A845&gt;('1-Input'!$B$26+3),N844,(N844-J845)*(1+'5-Roberta'!$C$4))</f>
        <v>292965.85985029506</v>
      </c>
      <c r="M845" s="18">
        <f>IF($A845&gt;('1-Input'!$B$26+3),K845,K845-'P-Parametri'!$B$8*(L845+K845)+MIN(MAX(L845,0),'P-Parametri'!$B$8*(L845+K845)))</f>
        <v>43739.482935508291</v>
      </c>
      <c r="N845" s="18">
        <f>IF($A845&gt;('1-Input'!$B$26+3),L845,L845-MIN(MAX(L845,0),'P-Parametri'!$B$8*(L845+K845)))</f>
        <v>292292.44916472345</v>
      </c>
      <c r="O845" s="18">
        <f>IF($A845&gt;('1-Input'!$B$26+3),O844,O844-J845*(1-I845))</f>
        <v>189214.06332714242</v>
      </c>
      <c r="P845" s="11">
        <f>IF($A845&gt;('1-Input'!$B$26+3),0,IF(U844&lt;=0,0,MAX(0,(U844-V844)/U844)))</f>
        <v>0.33501555854287529</v>
      </c>
      <c r="Q845" s="18">
        <f>IF($A845&gt;('1-Input'!$B$26+3),0,(MAX(0,P836-IF($A845&gt;='1-Input'!$C$12,'1-Input'!$B$12,0))-MIN(MAX(T844,0),MAX(0,P836-IF($A845&gt;='1-Input'!$C$12,'1-Input'!$B$12,0))))*(1/(1-'P-Parametri'!$B$6*P845))+MIN(MAX(0,U844-(MAX(0,P836-IF($A845&gt;='1-Input'!$C$12,'1-Input'!$B$12,0))-MIN(MAX(T844,0),MAX(0,P836-IF($A845&gt;='1-Input'!$C$12,'1-Input'!$B$12,0))))*(1/(1-'P-Parametri'!$B$6*P845))),MAX(0,2*P836-(T844-MIN(MAX(T844,0),MAX(0,P836-IF($A845&gt;='1-Input'!$C$12,'1-Input'!$B$12,0)))))*(1/(1-'P-Parametri'!$B$6*P845))))</f>
        <v>19703.358183728353</v>
      </c>
      <c r="R845" s="18">
        <f>IF($A845&gt;('1-Input'!$B$26+3),T844,(T844-MAX(0,P836-IF($A845&gt;='1-Input'!$C$12,'1-Input'!$B$12,0))+Q845*(1-'P-Parametri'!$B$6*P845))*(1+'1-Input'!$B$27))</f>
        <v>35588.487617059305</v>
      </c>
      <c r="S845" s="18">
        <f>IF($A845&gt;('1-Input'!$B$26+3),U844,(U844-Q845)*(1+'5-Roberta'!$C$4))</f>
        <v>337773.61863878375</v>
      </c>
      <c r="T845" s="18">
        <f>IF($A845&gt;('1-Input'!$B$26+3),R845,R845-'P-Parametri'!$B$8*(S845+R845)+MIN(MAX(S845,0),'P-Parametri'!$B$8*(S845+R845)))</f>
        <v>35588.487617059305</v>
      </c>
      <c r="U845" s="18">
        <f>IF($A845&gt;('1-Input'!$B$26+3),S845,S845-MIN(MAX(S845,0),'P-Parametri'!$B$8*(S845+R845)))</f>
        <v>337026.89442627208</v>
      </c>
      <c r="V845" s="18">
        <f>IF($A845&gt;('1-Input'!$B$26+3),V844,V844-Q845*(1-P845))</f>
        <v>218072.03993151794</v>
      </c>
      <c r="W845" s="11">
        <f>IF($A845&gt;('1-Input'!$B$26+3),0,IF(AB844&lt;=0,0,MAX(0,(AB844-AC844)/AB844)))</f>
        <v>0.33502455582934471</v>
      </c>
      <c r="X845" s="18">
        <f>IF($A845&gt;('1-Input'!$B$26+3),0,(MAX(0,W836-IF($A845&gt;='1-Input'!$C$12,'1-Input'!$B$12,0))-MIN(MAX(AA844,0),MAX(0,W836-IF($A845&gt;='1-Input'!$C$12,'1-Input'!$B$12,0))))*(1/(1-'P-Parametri'!$B$6*W845))+MIN(MAX(0,AB844-(MAX(0,W836-IF($A845&gt;='1-Input'!$C$12,'1-Input'!$B$12,0))-MIN(MAX(AA844,0),MAX(0,W836-IF($A845&gt;='1-Input'!$C$12,'1-Input'!$B$12,0))))*(1/(1-'P-Parametri'!$B$6*W845))),MAX(0,2*W836-(AA844-MIN(MAX(AA844,0),MAX(0,W836-IF($A845&gt;='1-Input'!$C$12,'1-Input'!$B$12,0)))))*(1/(1-'P-Parametri'!$B$6*W845))))</f>
        <v>19526.168281254984</v>
      </c>
      <c r="Y845" s="18">
        <f>IF($A845&gt;('1-Input'!$B$26+3),AA844,(AA844-MAX(0,W836-IF($A845&gt;='1-Input'!$C$12,'1-Input'!$B$12,0))+X845*(1-'P-Parametri'!$B$6*W845))*(1+'1-Input'!$B$27))</f>
        <v>35268.354303294887</v>
      </c>
      <c r="Z845" s="18">
        <f>IF($A845&gt;('1-Input'!$B$26+3),AB844,(AB844-X845)*(1+'5-Roberta'!$C$4))</f>
        <v>339533.51800859428</v>
      </c>
      <c r="AA845" s="18">
        <f>IF($A845&gt;('1-Input'!$B$26+3),Y845,Y845-'P-Parametri'!$B$8*(Z845+Y845)+MIN(MAX(Z845,0),'P-Parametri'!$B$8*(Z845+Y845)))</f>
        <v>35268.354303294887</v>
      </c>
      <c r="AB845" s="18">
        <f>IF($A845&gt;('1-Input'!$B$26+3),Z845,Z845-MIN(MAX(Z845,0),'P-Parametri'!$B$8*(Z845+Y845)))</f>
        <v>338783.91426397051</v>
      </c>
      <c r="AC845" s="18">
        <f>IF($A845&gt;('1-Input'!$B$26+3),AC844,AC844-X845*(1-W845))</f>
        <v>219205.29315397106</v>
      </c>
      <c r="AD845" s="11">
        <f>IF($A845&gt;('1-Input'!$B$26+3),0,IF(AI844&lt;=0,0,MAX(0,(AI844-AJ844)/AI844)))</f>
        <v>0.33502524810943352</v>
      </c>
      <c r="AE845" s="18">
        <f>IF($A845&gt;('1-Input'!$B$26+3),0,(MAX(0,AD836-IF($A845&gt;='1-Input'!$C$12,'1-Input'!$B$12,0))-MIN(MAX(AH844,0),MAX(0,AD836-IF($A845&gt;='1-Input'!$C$12,'1-Input'!$B$12,0))))*(1/(1-'P-Parametri'!$B$6*AD845))+MIN(MAX(0,AI844-(MAX(0,AD836-IF($A845&gt;='1-Input'!$C$12,'1-Input'!$B$12,0))-MIN(MAX(AH844,0),MAX(0,AD836-IF($A845&gt;='1-Input'!$C$12,'1-Input'!$B$12,0))))*(1/(1-'P-Parametri'!$B$6*AD845))),MAX(0,2*AD836-(AH844-MIN(MAX(AH844,0),MAX(0,AD836-IF($A845&gt;='1-Input'!$C$12,'1-Input'!$B$12,0)))))*(1/(1-'P-Parametri'!$B$6*AD845))))</f>
        <v>19512.492048364507</v>
      </c>
      <c r="AF845" s="18">
        <f>IF($A845&gt;('1-Input'!$B$26+3),AH844,(AH844-MAX(0,AD836-IF($A845&gt;='1-Input'!$C$12,'1-Input'!$B$12,0))+AE845*(1-'P-Parametri'!$B$6*AD845))*(1+'1-Input'!$B$27))</f>
        <v>35243.645210066003</v>
      </c>
      <c r="AG845" s="18">
        <f>IF($A845&gt;('1-Input'!$B$26+3),AI844,(AI844-AE845)*(1+'5-Roberta'!$C$4))</f>
        <v>339669.35383270949</v>
      </c>
      <c r="AH845" s="18">
        <f>IF($A845&gt;('1-Input'!$B$26+3),AF845,AF845-'P-Parametri'!$B$8*(AG845+AF845)+MIN(MAX(AG845,0),'P-Parametri'!$B$8*(AG845+AF845)))</f>
        <v>35243.645210066003</v>
      </c>
      <c r="AI845" s="18">
        <f>IF($A845&gt;('1-Input'!$B$26+3),AG845,AG845-MIN(MAX(AG845,0),'P-Parametri'!$B$8*(AG845+AF845)))</f>
        <v>338919.52783462394</v>
      </c>
      <c r="AJ845" s="18">
        <f>IF($A845&gt;('1-Input'!$B$26+3),AJ844,AJ844-AE845*(1-AD845))</f>
        <v>219292.76144634467</v>
      </c>
      <c r="AK845" s="11">
        <f>IF($A845&gt;('1-Input'!$B$26+3),0,IF(AP844&lt;=0,0,MAX(0,(AP844-AQ844)/AP844)))</f>
        <v>0.3350252465685733</v>
      </c>
      <c r="AL845" s="18">
        <f>IF($A845&gt;('1-Input'!$B$26+3),0,(MAX(0,AK836-IF($A845&gt;='1-Input'!$C$12,'1-Input'!$B$12,0))-MIN(MAX(AO844,0),MAX(0,AK836-IF($A845&gt;='1-Input'!$C$12,'1-Input'!$B$12,0))))*(1/(1-'P-Parametri'!$B$6*AK845))+MIN(MAX(0,AP844-(MAX(0,AK836-IF($A845&gt;='1-Input'!$C$12,'1-Input'!$B$12,0))-MIN(MAX(AO844,0),MAX(0,AK836-IF($A845&gt;='1-Input'!$C$12,'1-Input'!$B$12,0))))*(1/(1-'P-Parametri'!$B$6*AK845))),MAX(0,2*AK836-(AO844-MIN(MAX(AO844,0),MAX(0,AK836-IF($A845&gt;='1-Input'!$C$12,'1-Input'!$B$12,0)))))*(1/(1-'P-Parametri'!$B$6*AK845))))</f>
        <v>19512.522495374153</v>
      </c>
      <c r="AM845" s="18">
        <f>IF($A845&gt;('1-Input'!$B$26+3),AO844,(AO844-MAX(0,AK836-IF($A845&gt;='1-Input'!$C$12,'1-Input'!$B$12,0))+AL845*(1-'P-Parametri'!$B$6*AK845))*(1+'1-Input'!$B$27))</f>
        <v>35243.700219205675</v>
      </c>
      <c r="AN845" s="18">
        <f>IF($A845&gt;('1-Input'!$B$26+3),AP844,(AP844-AL845)*(1+'5-Roberta'!$C$4))</f>
        <v>339669.05142531532</v>
      </c>
      <c r="AO845" s="18">
        <f>IF($A845&gt;('1-Input'!$B$26+3),AM845,AM845-'P-Parametri'!$B$8*(AN845+AM845)+MIN(MAX(AN845,0),'P-Parametri'!$B$8*(AN845+AM845)))</f>
        <v>35243.700219205675</v>
      </c>
      <c r="AP845" s="18">
        <f>IF($A845&gt;('1-Input'!$B$26+3),AN845,AN845-MIN(MAX(AN845,0),'P-Parametri'!$B$8*(AN845+AM845)))</f>
        <v>338919.22592202626</v>
      </c>
      <c r="AQ845" s="18">
        <f>IF($A845&gt;('1-Input'!$B$26+3),AQ844,AQ844-AL845*(1-AK845))</f>
        <v>219292.56671828704</v>
      </c>
    </row>
    <row r="846" spans="1:43">
      <c r="A846" s="10">
        <f>8</f>
        <v>8</v>
      </c>
      <c r="B846" s="11">
        <f>IF($A846&gt;('1-Input'!$B$26+3),0,IF(G845&lt;=0,0,MAX(0,(G845-H845)/G845)))</f>
        <v>0.35303031688245751</v>
      </c>
      <c r="C846" s="18">
        <f>IF($A846&gt;('1-Input'!$B$26+3),0,(MAX(0,B836-IF($A846&gt;='1-Input'!$C$12,'1-Input'!$B$12,0))-MIN(MAX(F845,0),MAX(0,B836-IF($A846&gt;='1-Input'!$C$12,'1-Input'!$B$12,0))))*(1/(1-'P-Parametri'!$B$6*B846))+MIN(MAX(0,G845-(MAX(0,B836-IF($A846&gt;='1-Input'!$C$12,'1-Input'!$B$12,0))-MIN(MAX(F845,0),MAX(0,B836-IF($A846&gt;='1-Input'!$C$12,'1-Input'!$B$12,0))))*(1/(1-'P-Parametri'!$B$6*B846))),MAX(0,2*B836-(F845-MIN(MAX(F845,0),MAX(0,B836-IF($A846&gt;='1-Input'!$C$12,'1-Input'!$B$12,0)))))*(1/(1-'P-Parametri'!$B$6*B846))))</f>
        <v>18499.157396285038</v>
      </c>
      <c r="D846" s="18">
        <f>IF($A846&gt;('1-Input'!$B$26+3),F845,(F845-MAX(0,B836-IF($A846&gt;='1-Input'!$C$12,'1-Input'!$B$12,0))+C846*(1-'P-Parametri'!$B$6*B846))*(1+'1-Input'!$B$27))</f>
        <v>33242.0070309863</v>
      </c>
      <c r="E846" s="18">
        <f>IF($A846&gt;('1-Input'!$B$26+3),G845,(G845-C846)*(1+'5-Roberta'!$C$4))</f>
        <v>341348.44403754297</v>
      </c>
      <c r="F846" s="18">
        <f>IF($A846&gt;('1-Input'!$B$26+3),D846,D846-'P-Parametri'!$B$8*(E846+D846)+MIN(MAX(E846,0),'P-Parametri'!$B$8*(E846+D846)))</f>
        <v>33242.0070309863</v>
      </c>
      <c r="G846" s="18">
        <f>IF($A846&gt;('1-Input'!$B$26+3),E846,E846-MIN(MAX(E846,0),'P-Parametri'!$B$8*(E846+D846)))</f>
        <v>340599.2631354059</v>
      </c>
      <c r="H846" s="18">
        <f>IF($A846&gt;('1-Input'!$B$26+3),H845,H845-C846*(1-B846))</f>
        <v>214409.80065207314</v>
      </c>
      <c r="I846" s="11">
        <f>IF($A846&gt;('1-Input'!$B$26+3),0,IF(N845&lt;=0,0,MAX(0,(N845-O845)/N845)))</f>
        <v>0.35265497323706263</v>
      </c>
      <c r="J846" s="18">
        <f>IF($A846&gt;('1-Input'!$B$26+3),0,(MAX(0,I836-IF($A846&gt;='1-Input'!$C$12,'1-Input'!$B$12,0))-MIN(MAX(M845,0),MAX(0,I836-IF($A846&gt;='1-Input'!$C$12,'1-Input'!$B$12,0))))*(1/(1-'P-Parametri'!$B$6*I846))+MIN(MAX(0,N845-(MAX(0,I836-IF($A846&gt;='1-Input'!$C$12,'1-Input'!$B$12,0))-MIN(MAX(M845,0),MAX(0,I836-IF($A846&gt;='1-Input'!$C$12,'1-Input'!$B$12,0))))*(1/(1-'P-Parametri'!$B$6*I846))),MAX(0,2*I836-(M845-MIN(MAX(M845,0),MAX(0,I836-IF($A846&gt;='1-Input'!$C$12,'1-Input'!$B$12,0)))))*(1/(1-'P-Parametri'!$B$6*I846))))</f>
        <v>24338.381362571017</v>
      </c>
      <c r="K846" s="18">
        <f>IF($A846&gt;('1-Input'!$B$26+3),M845,(M845-MAX(0,I836-IF($A846&gt;='1-Input'!$C$12,'1-Input'!$B$12,0))+J846*(1-'P-Parametri'!$B$6*I846))*(1+'1-Input'!$B$27))</f>
        <v>43739.482935508291</v>
      </c>
      <c r="L846" s="18">
        <f>IF($A846&gt;('1-Input'!$B$26+3),N845,(N845-J846)*(1+'5-Roberta'!$C$4))</f>
        <v>275992.68983621697</v>
      </c>
      <c r="M846" s="18">
        <f>IF($A846&gt;('1-Input'!$B$26+3),K846,K846-'P-Parametri'!$B$8*(L846+K846)+MIN(MAX(L846,0),'P-Parametri'!$B$8*(L846+K846)))</f>
        <v>43739.482935508291</v>
      </c>
      <c r="N846" s="18">
        <f>IF($A846&gt;('1-Input'!$B$26+3),L846,L846-MIN(MAX(L846,0),'P-Parametri'!$B$8*(L846+K846)))</f>
        <v>275353.2254906735</v>
      </c>
      <c r="O846" s="18">
        <f>IF($A846&gt;('1-Input'!$B$26+3),O845,O845-J846*(1-I846))</f>
        <v>173458.73319262231</v>
      </c>
      <c r="P846" s="11">
        <f>IF($A846&gt;('1-Input'!$B$26+3),0,IF(U845&lt;=0,0,MAX(0,(U845-V845)/U845)))</f>
        <v>0.35295359646966296</v>
      </c>
      <c r="Q846" s="18">
        <f>IF($A846&gt;('1-Input'!$B$26+3),0,(MAX(0,P836-IF($A846&gt;='1-Input'!$C$12,'1-Input'!$B$12,0))-MIN(MAX(T845,0),MAX(0,P836-IF($A846&gt;='1-Input'!$C$12,'1-Input'!$B$12,0))))*(1/(1-'P-Parametri'!$B$6*P846))+MIN(MAX(0,U845-(MAX(0,P836-IF($A846&gt;='1-Input'!$C$12,'1-Input'!$B$12,0))-MIN(MAX(T845,0),MAX(0,P836-IF($A846&gt;='1-Input'!$C$12,'1-Input'!$B$12,0))))*(1/(1-'P-Parametri'!$B$6*P846))),MAX(0,2*P836-(T845-MIN(MAX(T845,0),MAX(0,P836-IF($A846&gt;='1-Input'!$C$12,'1-Input'!$B$12,0)))))*(1/(1-'P-Parametri'!$B$6*P846))))</f>
        <v>19804.537492420073</v>
      </c>
      <c r="R846" s="18">
        <f>IF($A846&gt;('1-Input'!$B$26+3),T845,(T845-MAX(0,P836-IF($A846&gt;='1-Input'!$C$12,'1-Input'!$B$12,0))+Q846*(1-'P-Parametri'!$B$6*P846))*(1+'1-Input'!$B$27))</f>
        <v>35588.487617059298</v>
      </c>
      <c r="S846" s="18">
        <f>IF($A846&gt;('1-Input'!$B$26+3),U845,(U845-Q846)*(1+'5-Roberta'!$C$4))</f>
        <v>326739.02764186758</v>
      </c>
      <c r="T846" s="18">
        <f>IF($A846&gt;('1-Input'!$B$26+3),R846,R846-'P-Parametri'!$B$8*(S846+R846)+MIN(MAX(S846,0),'P-Parametri'!$B$8*(S846+R846)))</f>
        <v>35588.487617059298</v>
      </c>
      <c r="U846" s="18">
        <f>IF($A846&gt;('1-Input'!$B$26+3),S846,S846-MIN(MAX(S846,0),'P-Parametri'!$B$8*(S846+R846)))</f>
        <v>326014.37261134974</v>
      </c>
      <c r="V846" s="18">
        <f>IF($A846&gt;('1-Input'!$B$26+3),V845,V845-Q846*(1-P846))</f>
        <v>205257.58517346581</v>
      </c>
      <c r="W846" s="11">
        <f>IF($A846&gt;('1-Input'!$B$26+3),0,IF(AB845&lt;=0,0,MAX(0,(AB845-AC845)/AB845)))</f>
        <v>0.352964282173171</v>
      </c>
      <c r="X846" s="18">
        <f>IF($A846&gt;('1-Input'!$B$26+3),0,(MAX(0,W836-IF($A846&gt;='1-Input'!$C$12,'1-Input'!$B$12,0))-MIN(MAX(AA845,0),MAX(0,W836-IF($A846&gt;='1-Input'!$C$12,'1-Input'!$B$12,0))))*(1/(1-'P-Parametri'!$B$6*W846))+MIN(MAX(0,AB845-(MAX(0,W836-IF($A846&gt;='1-Input'!$C$12,'1-Input'!$B$12,0))-MIN(MAX(AA845,0),MAX(0,W836-IF($A846&gt;='1-Input'!$C$12,'1-Input'!$B$12,0))))*(1/(1-'P-Parametri'!$B$6*W846))),MAX(0,2*W836-(AA845-MIN(MAX(AA845,0),MAX(0,W836-IF($A846&gt;='1-Input'!$C$12,'1-Input'!$B$12,0)))))*(1/(1-'P-Parametri'!$B$6*W846))))</f>
        <v>19626.447441344433</v>
      </c>
      <c r="Y846" s="18">
        <f>IF($A846&gt;('1-Input'!$B$26+3),AA845,(AA845-MAX(0,W836-IF($A846&gt;='1-Input'!$C$12,'1-Input'!$B$12,0))+X846*(1-'P-Parametri'!$B$6*W846))*(1+'1-Input'!$B$27))</f>
        <v>35268.354303294887</v>
      </c>
      <c r="Z846" s="18">
        <f>IF($A846&gt;('1-Input'!$B$26+3),AB845,(AB845-X846)*(1+'5-Roberta'!$C$4))</f>
        <v>328732.19082730485</v>
      </c>
      <c r="AA846" s="18">
        <f>IF($A846&gt;('1-Input'!$B$26+3),Y846,Y846-'P-Parametri'!$B$8*(Z846+Y846)+MIN(MAX(Z846,0),'P-Parametri'!$B$8*(Z846+Y846)))</f>
        <v>35268.354303294887</v>
      </c>
      <c r="AB846" s="18">
        <f>IF($A846&gt;('1-Input'!$B$26+3),Z846,Z846-MIN(MAX(Z846,0),'P-Parametri'!$B$8*(Z846+Y846)))</f>
        <v>328004.18973704363</v>
      </c>
      <c r="AC846" s="18">
        <f>IF($A846&gt;('1-Input'!$B$26+3),AC845,AC845-X846*(1-W846))</f>
        <v>206506.28064537022</v>
      </c>
      <c r="AD846" s="11">
        <f>IF($A846&gt;('1-Input'!$B$26+3),0,IF(AI845&lt;=0,0,MAX(0,(AI845-AJ845)/AI845)))</f>
        <v>0.35296510399557518</v>
      </c>
      <c r="AE846" s="18">
        <f>IF($A846&gt;('1-Input'!$B$26+3),0,(MAX(0,AD836-IF($A846&gt;='1-Input'!$C$12,'1-Input'!$B$12,0))-MIN(MAX(AH845,0),MAX(0,AD836-IF($A846&gt;='1-Input'!$C$12,'1-Input'!$B$12,0))))*(1/(1-'P-Parametri'!$B$6*AD846))+MIN(MAX(0,AI845-(MAX(0,AD836-IF($A846&gt;='1-Input'!$C$12,'1-Input'!$B$12,0))-MIN(MAX(AH845,0),MAX(0,AD836-IF($A846&gt;='1-Input'!$C$12,'1-Input'!$B$12,0))))*(1/(1-'P-Parametri'!$B$6*AD846))),MAX(0,2*AD836-(AH845-MIN(MAX(AH845,0),MAX(0,AD836-IF($A846&gt;='1-Input'!$C$12,'1-Input'!$B$12,0)))))*(1/(1-'P-Parametri'!$B$6*AD846))))</f>
        <v>19612.701719574794</v>
      </c>
      <c r="AF846" s="18">
        <f>IF($A846&gt;('1-Input'!$B$26+3),AH845,(AH845-MAX(0,AD836-IF($A846&gt;='1-Input'!$C$12,'1-Input'!$B$12,0))+AE846*(1-'P-Parametri'!$B$6*AD846))*(1+'1-Input'!$B$27))</f>
        <v>35243.64521006601</v>
      </c>
      <c r="AG846" s="18">
        <f>IF($A846&gt;('1-Input'!$B$26+3),AI845,(AI845-AE846)*(1+'5-Roberta'!$C$4))</f>
        <v>328886.03089850064</v>
      </c>
      <c r="AH846" s="18">
        <f>IF($A846&gt;('1-Input'!$B$26+3),AF846,AF846-'P-Parametri'!$B$8*(AG846+AF846)+MIN(MAX(AG846,0),'P-Parametri'!$B$8*(AG846+AF846)))</f>
        <v>35243.64521006601</v>
      </c>
      <c r="AI846" s="18">
        <f>IF($A846&gt;('1-Input'!$B$26+3),AG846,AG846-MIN(MAX(AG846,0),'P-Parametri'!$B$8*(AG846+AF846)))</f>
        <v>328157.7715462835</v>
      </c>
      <c r="AJ846" s="18">
        <f>IF($A846&gt;('1-Input'!$B$26+3),AJ845,AJ845-AE846*(1-AD846))</f>
        <v>206602.65902885378</v>
      </c>
      <c r="AK846" s="11">
        <f>IF($A846&gt;('1-Input'!$B$26+3),0,IF(AP845&lt;=0,0,MAX(0,(AP845-AQ845)/AP845)))</f>
        <v>0.35296510216644139</v>
      </c>
      <c r="AL846" s="18">
        <f>IF($A846&gt;('1-Input'!$B$26+3),0,(MAX(0,AK836-IF($A846&gt;='1-Input'!$C$12,'1-Input'!$B$12,0))-MIN(MAX(AO845,0),MAX(0,AK836-IF($A846&gt;='1-Input'!$C$12,'1-Input'!$B$12,0))))*(1/(1-'P-Parametri'!$B$6*AK846))+MIN(MAX(0,AP845-(MAX(0,AK836-IF($A846&gt;='1-Input'!$C$12,'1-Input'!$B$12,0))-MIN(MAX(AO845,0),MAX(0,AK836-IF($A846&gt;='1-Input'!$C$12,'1-Input'!$B$12,0))))*(1/(1-'P-Parametri'!$B$6*AK846))),MAX(0,2*AK836-(AO845-MIN(MAX(AO845,0),MAX(0,AK836-IF($A846&gt;='1-Input'!$C$12,'1-Input'!$B$12,0)))))*(1/(1-'P-Parametri'!$B$6*AK846))))</f>
        <v>19612.732321287422</v>
      </c>
      <c r="AM846" s="18">
        <f>IF($A846&gt;('1-Input'!$B$26+3),AO845,(AO845-MAX(0,AK836-IF($A846&gt;='1-Input'!$C$12,'1-Input'!$B$12,0))+AL846*(1-'P-Parametri'!$B$6*AK846))*(1+'1-Input'!$B$27))</f>
        <v>35243.700219205675</v>
      </c>
      <c r="AN846" s="18">
        <f>IF($A846&gt;('1-Input'!$B$26+3),AP845,(AP845-AL846)*(1+'5-Roberta'!$C$4))</f>
        <v>328885.68840876099</v>
      </c>
      <c r="AO846" s="18">
        <f>IF($A846&gt;('1-Input'!$B$26+3),AM846,AM846-'P-Parametri'!$B$8*(AN846+AM846)+MIN(MAX(AN846,0),'P-Parametri'!$B$8*(AN846+AM846)))</f>
        <v>35243.700219205675</v>
      </c>
      <c r="AP846" s="18">
        <f>IF($A846&gt;('1-Input'!$B$26+3),AN846,AN846-MIN(MAX(AN846,0),'P-Parametri'!$B$8*(AN846+AM846)))</f>
        <v>328157.42963150505</v>
      </c>
      <c r="AQ846" s="18">
        <f>IF($A846&gt;('1-Input'!$B$26+3),AQ845,AQ845-AL846*(1-AK846))</f>
        <v>206602.4444645459</v>
      </c>
    </row>
    <row r="847" spans="1:43">
      <c r="A847" s="10">
        <f>9</f>
        <v>9</v>
      </c>
      <c r="B847" s="11">
        <f>IF($A847&gt;('1-Input'!$B$26+3),0,IF(G846&lt;=0,0,MAX(0,(G846-H846)/G846)))</f>
        <v>0.37049247059928575</v>
      </c>
      <c r="C847" s="18">
        <f>IF($A847&gt;('1-Input'!$B$26+3),0,(MAX(0,B836-IF($A847&gt;='1-Input'!$C$12,'1-Input'!$B$12,0))-MIN(MAX(F846,0),MAX(0,B836-IF($A847&gt;='1-Input'!$C$12,'1-Input'!$B$12,0))))*(1/(1-'P-Parametri'!$B$6*B847))+MIN(MAX(0,G846-(MAX(0,B836-IF($A847&gt;='1-Input'!$C$12,'1-Input'!$B$12,0))-MIN(MAX(F846,0),MAX(0,B836-IF($A847&gt;='1-Input'!$C$12,'1-Input'!$B$12,0))))*(1/(1-'P-Parametri'!$B$6*B847))),MAX(0,2*B836-(F846-MIN(MAX(F846,0),MAX(0,B836-IF($A847&gt;='1-Input'!$C$12,'1-Input'!$B$12,0)))))*(1/(1-'P-Parametri'!$B$6*B847))))</f>
        <v>18592.099456854499</v>
      </c>
      <c r="D847" s="18">
        <f>IF($A847&gt;('1-Input'!$B$26+3),F846,(F846-MAX(0,B836-IF($A847&gt;='1-Input'!$C$12,'1-Input'!$B$12,0))+C847*(1-'P-Parametri'!$B$6*B847))*(1+'1-Input'!$B$27))</f>
        <v>33242.0070309863</v>
      </c>
      <c r="E847" s="18">
        <f>IF($A847&gt;('1-Input'!$B$26+3),G846,(G846-C847)*(1+'5-Roberta'!$C$4))</f>
        <v>331667.37858890794</v>
      </c>
      <c r="F847" s="18">
        <f>IF($A847&gt;('1-Input'!$B$26+3),D847,D847-'P-Parametri'!$B$8*(E847+D847)+MIN(MAX(E847,0),'P-Parametri'!$B$8*(E847+D847)))</f>
        <v>33242.0070309863</v>
      </c>
      <c r="G847" s="18">
        <f>IF($A847&gt;('1-Input'!$B$26+3),E847,E847-MIN(MAX(E847,0),'P-Parametri'!$B$8*(E847+D847)))</f>
        <v>330937.55981766817</v>
      </c>
      <c r="H847" s="18">
        <f>IF($A847&gt;('1-Input'!$B$26+3),H846,H846-C847*(1-B847))</f>
        <v>202705.9340566163</v>
      </c>
      <c r="I847" s="11">
        <f>IF($A847&gt;('1-Input'!$B$26+3),0,IF(N846&lt;=0,0,MAX(0,(N846-O846)/N846)))</f>
        <v>0.37005011332798954</v>
      </c>
      <c r="J847" s="18">
        <f>IF($A847&gt;('1-Input'!$B$26+3),0,(MAX(0,I836-IF($A847&gt;='1-Input'!$C$12,'1-Input'!$B$12,0))-MIN(MAX(M846,0),MAX(0,I836-IF($A847&gt;='1-Input'!$C$12,'1-Input'!$B$12,0))))*(1/(1-'P-Parametri'!$B$6*I847))+MIN(MAX(0,N846-(MAX(0,I836-IF($A847&gt;='1-Input'!$C$12,'1-Input'!$B$12,0))-MIN(MAX(M846,0),MAX(0,I836-IF($A847&gt;='1-Input'!$C$12,'1-Input'!$B$12,0))))*(1/(1-'P-Parametri'!$B$6*I847))),MAX(0,2*I836-(M846-MIN(MAX(M846,0),MAX(0,I836-IF($A847&gt;='1-Input'!$C$12,'1-Input'!$B$12,0)))))*(1/(1-'P-Parametri'!$B$6*I847))))</f>
        <v>24460.175643158884</v>
      </c>
      <c r="K847" s="18">
        <f>IF($A847&gt;('1-Input'!$B$26+3),M846,(M846-MAX(0,I836-IF($A847&gt;='1-Input'!$C$12,'1-Input'!$B$12,0))+J847*(1-'P-Parametri'!$B$6*I847))*(1+'1-Input'!$B$27))</f>
        <v>43739.482935508291</v>
      </c>
      <c r="L847" s="18">
        <f>IF($A847&gt;('1-Input'!$B$26+3),N846,(N846-J847)*(1+'5-Roberta'!$C$4))</f>
        <v>258419.84134294008</v>
      </c>
      <c r="M847" s="18">
        <f>IF($A847&gt;('1-Input'!$B$26+3),K847,K847-'P-Parametri'!$B$8*(L847+K847)+MIN(MAX(L847,0),'P-Parametri'!$B$8*(L847+K847)))</f>
        <v>43739.482935508291</v>
      </c>
      <c r="N847" s="18">
        <f>IF($A847&gt;('1-Input'!$B$26+3),L847,L847-MIN(MAX(L847,0),'P-Parametri'!$B$8*(L847+K847)))</f>
        <v>257815.52269438319</v>
      </c>
      <c r="O847" s="18">
        <f>IF($A847&gt;('1-Input'!$B$26+3),O846,O846-J847*(1-I847))</f>
        <v>158050.04831823689</v>
      </c>
      <c r="P847" s="11">
        <f>IF($A847&gt;('1-Input'!$B$26+3),0,IF(U846&lt;=0,0,MAX(0,(U846-V846)/U846)))</f>
        <v>0.37040326311576838</v>
      </c>
      <c r="Q847" s="18">
        <f>IF($A847&gt;('1-Input'!$B$26+3),0,(MAX(0,P836-IF($A847&gt;='1-Input'!$C$12,'1-Input'!$B$12,0))-MIN(MAX(T846,0),MAX(0,P836-IF($A847&gt;='1-Input'!$C$12,'1-Input'!$B$12,0))))*(1/(1-'P-Parametri'!$B$6*P847))+MIN(MAX(0,U846-(MAX(0,P836-IF($A847&gt;='1-Input'!$C$12,'1-Input'!$B$12,0))-MIN(MAX(T846,0),MAX(0,P836-IF($A847&gt;='1-Input'!$C$12,'1-Input'!$B$12,0))))*(1/(1-'P-Parametri'!$B$6*P847))),MAX(0,2*P836-(T846-MIN(MAX(T846,0),MAX(0,P836-IF($A847&gt;='1-Input'!$C$12,'1-Input'!$B$12,0)))))*(1/(1-'P-Parametri'!$B$6*P847))))</f>
        <v>19903.964240417914</v>
      </c>
      <c r="R847" s="18">
        <f>IF($A847&gt;('1-Input'!$B$26+3),T846,(T846-MAX(0,P836-IF($A847&gt;='1-Input'!$C$12,'1-Input'!$B$12,0))+Q847*(1-'P-Parametri'!$B$6*P847))*(1+'1-Input'!$B$27))</f>
        <v>35588.487617059312</v>
      </c>
      <c r="S847" s="18">
        <f>IF($A847&gt;('1-Input'!$B$26+3),U846,(U846-Q847)*(1+'5-Roberta'!$C$4))</f>
        <v>315293.72062205977</v>
      </c>
      <c r="T847" s="18">
        <f>IF($A847&gt;('1-Input'!$B$26+3),R847,R847-'P-Parametri'!$B$8*(S847+R847)+MIN(MAX(S847,0),'P-Parametri'!$B$8*(S847+R847)))</f>
        <v>35588.487617059312</v>
      </c>
      <c r="U847" s="18">
        <f>IF($A847&gt;('1-Input'!$B$26+3),S847,S847-MIN(MAX(S847,0),'P-Parametri'!$B$8*(S847+R847)))</f>
        <v>314591.95620558155</v>
      </c>
      <c r="V847" s="18">
        <f>IF($A847&gt;('1-Input'!$B$26+3),V846,V846-Q847*(1-P847))</f>
        <v>192726.11423663824</v>
      </c>
      <c r="W847" s="11">
        <f>IF($A847&gt;('1-Input'!$B$26+3),0,IF(AB846&lt;=0,0,MAX(0,(AB846-AC846)/AB846)))</f>
        <v>0.37041572300974751</v>
      </c>
      <c r="X847" s="18">
        <f>IF($A847&gt;('1-Input'!$B$26+3),0,(MAX(0,W836-IF($A847&gt;='1-Input'!$C$12,'1-Input'!$B$12,0))-MIN(MAX(AA846,0),MAX(0,W836-IF($A847&gt;='1-Input'!$C$12,'1-Input'!$B$12,0))))*(1/(1-'P-Parametri'!$B$6*W847))+MIN(MAX(0,AB846-(MAX(0,W836-IF($A847&gt;='1-Input'!$C$12,'1-Input'!$B$12,0))-MIN(MAX(AA846,0),MAX(0,W836-IF($A847&gt;='1-Input'!$C$12,'1-Input'!$B$12,0))))*(1/(1-'P-Parametri'!$B$6*W847))),MAX(0,2*W836-(AA846-MIN(MAX(AA846,0),MAX(0,W836-IF($A847&gt;='1-Input'!$C$12,'1-Input'!$B$12,0)))))*(1/(1-'P-Parametri'!$B$6*W847))))</f>
        <v>19724.990477160081</v>
      </c>
      <c r="Y847" s="18">
        <f>IF($A847&gt;('1-Input'!$B$26+3),AA846,(AA846-MAX(0,W836-IF($A847&gt;='1-Input'!$C$12,'1-Input'!$B$12,0))+X847*(1-'P-Parametri'!$B$6*W847))*(1+'1-Input'!$B$27))</f>
        <v>35268.354303294887</v>
      </c>
      <c r="Z847" s="18">
        <f>IF($A847&gt;('1-Input'!$B$26+3),AB846,(AB846-X847)*(1+'5-Roberta'!$C$4))</f>
        <v>317527.57523768005</v>
      </c>
      <c r="AA847" s="18">
        <f>IF($A847&gt;('1-Input'!$B$26+3),Y847,Y847-'P-Parametri'!$B$8*(Z847+Y847)+MIN(MAX(Z847,0),'P-Parametri'!$B$8*(Z847+Y847)))</f>
        <v>35268.354303294887</v>
      </c>
      <c r="AB847" s="18">
        <f>IF($A847&gt;('1-Input'!$B$26+3),Z847,Z847-MIN(MAX(Z847,0),'P-Parametri'!$B$8*(Z847+Y847)))</f>
        <v>316821.98337859812</v>
      </c>
      <c r="AC847" s="18">
        <f>IF($A847&gt;('1-Input'!$B$26+3),AC846,AC846-X847*(1-W847))</f>
        <v>194087.73677716777</v>
      </c>
      <c r="AD847" s="11">
        <f>IF($A847&gt;('1-Input'!$B$26+3),0,IF(AI846&lt;=0,0,MAX(0,(AI846-AJ846)/AI846)))</f>
        <v>0.37041668080771184</v>
      </c>
      <c r="AE847" s="18">
        <f>IF($A847&gt;('1-Input'!$B$26+3),0,(MAX(0,AD836-IF($A847&gt;='1-Input'!$C$12,'1-Input'!$B$12,0))-MIN(MAX(AH846,0),MAX(0,AD836-IF($A847&gt;='1-Input'!$C$12,'1-Input'!$B$12,0))))*(1/(1-'P-Parametri'!$B$6*AD847))+MIN(MAX(0,AI846-(MAX(0,AD836-IF($A847&gt;='1-Input'!$C$12,'1-Input'!$B$12,0))-MIN(MAX(AH846,0),MAX(0,AD836-IF($A847&gt;='1-Input'!$C$12,'1-Input'!$B$12,0))))*(1/(1-'P-Parametri'!$B$6*AD847))),MAX(0,2*AD836-(AH846-MIN(MAX(AH846,0),MAX(0,AD836-IF($A847&gt;='1-Input'!$C$12,'1-Input'!$B$12,0)))))*(1/(1-'P-Parametri'!$B$6*AD847))))</f>
        <v>19711.176533483391</v>
      </c>
      <c r="AF847" s="18">
        <f>IF($A847&gt;('1-Input'!$B$26+3),AH846,(AH846-MAX(0,AD836-IF($A847&gt;='1-Input'!$C$12,'1-Input'!$B$12,0))+AE847*(1-'P-Parametri'!$B$6*AD847))*(1+'1-Input'!$B$27))</f>
        <v>35243.64521006601</v>
      </c>
      <c r="AG847" s="18">
        <f>IF($A847&gt;('1-Input'!$B$26+3),AI846,(AI846-AE847)*(1+'5-Roberta'!$C$4))</f>
        <v>317699.99286318413</v>
      </c>
      <c r="AH847" s="18">
        <f>IF($A847&gt;('1-Input'!$B$26+3),AF847,AF847-'P-Parametri'!$B$8*(AG847+AF847)+MIN(MAX(AG847,0),'P-Parametri'!$B$8*(AG847+AF847)))</f>
        <v>35243.64521006601</v>
      </c>
      <c r="AI847" s="18">
        <f>IF($A847&gt;('1-Input'!$B$26+3),AG847,AG847-MIN(MAX(AG847,0),'P-Parametri'!$B$8*(AG847+AF847)))</f>
        <v>316994.10558703763</v>
      </c>
      <c r="AJ847" s="18">
        <f>IF($A847&gt;('1-Input'!$B$26+3),AJ846,AJ846-AE847*(1-AD847))</f>
        <v>194192.83108171818</v>
      </c>
      <c r="AK847" s="11">
        <f>IF($A847&gt;('1-Input'!$B$26+3),0,IF(AP846&lt;=0,0,MAX(0,(AP846-AQ846)/AP846)))</f>
        <v>0.37041667867601175</v>
      </c>
      <c r="AL847" s="18">
        <f>IF($A847&gt;('1-Input'!$B$26+3),0,(MAX(0,AK836-IF($A847&gt;='1-Input'!$C$12,'1-Input'!$B$12,0))-MIN(MAX(AO846,0),MAX(0,AK836-IF($A847&gt;='1-Input'!$C$12,'1-Input'!$B$12,0))))*(1/(1-'P-Parametri'!$B$6*AK847))+MIN(MAX(0,AP846-(MAX(0,AK836-IF($A847&gt;='1-Input'!$C$12,'1-Input'!$B$12,0))-MIN(MAX(AO846,0),MAX(0,AK836-IF($A847&gt;='1-Input'!$C$12,'1-Input'!$B$12,0))))*(1/(1-'P-Parametri'!$B$6*AK847))),MAX(0,2*AK836-(AO846-MIN(MAX(AO846,0),MAX(0,AK836-IF($A847&gt;='1-Input'!$C$12,'1-Input'!$B$12,0)))))*(1/(1-'P-Parametri'!$B$6*AK847))))</f>
        <v>19711.207287078647</v>
      </c>
      <c r="AM847" s="18">
        <f>IF($A847&gt;('1-Input'!$B$26+3),AO846,(AO846-MAX(0,AK836-IF($A847&gt;='1-Input'!$C$12,'1-Input'!$B$12,0))+AL847*(1-'P-Parametri'!$B$6*AK847))*(1+'1-Input'!$B$27))</f>
        <v>35243.700219205675</v>
      </c>
      <c r="AN847" s="18">
        <f>IF($A847&gt;('1-Input'!$B$26+3),AP846,(AP846-AL847)*(1+'5-Roberta'!$C$4))</f>
        <v>317699.60901475919</v>
      </c>
      <c r="AO847" s="18">
        <f>IF($A847&gt;('1-Input'!$B$26+3),AM847,AM847-'P-Parametri'!$B$8*(AN847+AM847)+MIN(MAX(AN847,0),'P-Parametri'!$B$8*(AN847+AM847)))</f>
        <v>35243.700219205675</v>
      </c>
      <c r="AP847" s="18">
        <f>IF($A847&gt;('1-Input'!$B$26+3),AN847,AN847-MIN(MAX(AN847,0),'P-Parametri'!$B$8*(AN847+AM847)))</f>
        <v>316993.72239629127</v>
      </c>
      <c r="AQ847" s="18">
        <f>IF($A847&gt;('1-Input'!$B$26+3),AQ846,AQ846-AL847*(1-AK847))</f>
        <v>194192.59711344133</v>
      </c>
    </row>
    <row r="848" spans="1:43">
      <c r="A848" s="10">
        <f>10</f>
        <v>10</v>
      </c>
      <c r="B848" s="11">
        <f>IF($A848&gt;('1-Input'!$B$26+3),0,IF(G847&lt;=0,0,MAX(0,(G847-H847)/G847)))</f>
        <v>0.38747981894742251</v>
      </c>
      <c r="C848" s="18">
        <f>IF($A848&gt;('1-Input'!$B$26+3),0,(MAX(0,B836-IF($A848&gt;='1-Input'!$C$12,'1-Input'!$B$12,0))-MIN(MAX(F847,0),MAX(0,B836-IF($A848&gt;='1-Input'!$C$12,'1-Input'!$B$12,0))))*(1/(1-'P-Parametri'!$B$6*B848))+MIN(MAX(0,G847-(MAX(0,B836-IF($A848&gt;='1-Input'!$C$12,'1-Input'!$B$12,0))-MIN(MAX(F847,0),MAX(0,B836-IF($A848&gt;='1-Input'!$C$12,'1-Input'!$B$12,0))))*(1/(1-'P-Parametri'!$B$6*B848))),MAX(0,2*B836-(F847-MIN(MAX(F847,0),MAX(0,B836-IF($A848&gt;='1-Input'!$C$12,'1-Input'!$B$12,0)))))*(1/(1-'P-Parametri'!$B$6*B848))))</f>
        <v>18683.414934263597</v>
      </c>
      <c r="D848" s="18">
        <f>IF($A848&gt;('1-Input'!$B$26+3),F847,(F847-MAX(0,B836-IF($A848&gt;='1-Input'!$C$12,'1-Input'!$B$12,0))+C848*(1-'P-Parametri'!$B$6*B848))*(1+'1-Input'!$B$27))</f>
        <v>33242.0070309863</v>
      </c>
      <c r="E848" s="18">
        <f>IF($A848&gt;('1-Input'!$B$26+3),G847,(G847-C848)*(1+'5-Roberta'!$C$4))</f>
        <v>321621.76922990667</v>
      </c>
      <c r="F848" s="18">
        <f>IF($A848&gt;('1-Input'!$B$26+3),D848,D848-'P-Parametri'!$B$8*(E848+D848)+MIN(MAX(E848,0),'P-Parametri'!$B$8*(E848+D848)))</f>
        <v>33242.0070309863</v>
      </c>
      <c r="G848" s="18">
        <f>IF($A848&gt;('1-Input'!$B$26+3),E848,E848-MIN(MAX(E848,0),'P-Parametri'!$B$8*(E848+D848)))</f>
        <v>320912.04167738487</v>
      </c>
      <c r="H848" s="18">
        <f>IF($A848&gt;('1-Input'!$B$26+3),H847,H847-C848*(1-B848))</f>
        <v>191261.96535840072</v>
      </c>
      <c r="I848" s="11">
        <f>IF($A848&gt;('1-Input'!$B$26+3),0,IF(N847&lt;=0,0,MAX(0,(N847-O847)/N847)))</f>
        <v>0.38696457580798649</v>
      </c>
      <c r="J848" s="18">
        <f>IF($A848&gt;('1-Input'!$B$26+3),0,(MAX(0,I836-IF($A848&gt;='1-Input'!$C$12,'1-Input'!$B$12,0))-MIN(MAX(M847,0),MAX(0,I836-IF($A848&gt;='1-Input'!$C$12,'1-Input'!$B$12,0))))*(1/(1-'P-Parametri'!$B$6*I848))+MIN(MAX(0,N847-(MAX(0,I836-IF($A848&gt;='1-Input'!$C$12,'1-Input'!$B$12,0))-MIN(MAX(M847,0),MAX(0,I836-IF($A848&gt;='1-Input'!$C$12,'1-Input'!$B$12,0))))*(1/(1-'P-Parametri'!$B$6*I848))),MAX(0,2*I836-(M847-MIN(MAX(M847,0),MAX(0,I836-IF($A848&gt;='1-Input'!$C$12,'1-Input'!$B$12,0)))))*(1/(1-'P-Parametri'!$B$6*I848))))</f>
        <v>24579.779021533435</v>
      </c>
      <c r="K848" s="18">
        <f>IF($A848&gt;('1-Input'!$B$26+3),M847,(M847-MAX(0,I836-IF($A848&gt;='1-Input'!$C$12,'1-Input'!$B$12,0))+J848*(1-'P-Parametri'!$B$6*I848))*(1+'1-Input'!$B$27))</f>
        <v>43739.482935508291</v>
      </c>
      <c r="L848" s="18">
        <f>IF($A848&gt;('1-Input'!$B$26+3),N847,(N847-J848)*(1+'5-Roberta'!$C$4))</f>
        <v>240232.81598303525</v>
      </c>
      <c r="M848" s="18">
        <f>IF($A848&gt;('1-Input'!$B$26+3),K848,K848-'P-Parametri'!$B$8*(L848+K848)+MIN(MAX(L848,0),'P-Parametri'!$B$8*(L848+K848)))</f>
        <v>43739.482935508291</v>
      </c>
      <c r="N848" s="18">
        <f>IF($A848&gt;('1-Input'!$B$26+3),L848,L848-MIN(MAX(L848,0),'P-Parametri'!$B$8*(L848+K848)))</f>
        <v>239664.87138519817</v>
      </c>
      <c r="O848" s="18">
        <f>IF($A848&gt;('1-Input'!$B$26+3),O847,O847-J848*(1-I848))</f>
        <v>142981.77305922518</v>
      </c>
      <c r="P848" s="11">
        <f>IF($A848&gt;('1-Input'!$B$26+3),0,IF(U847&lt;=0,0,MAX(0,(U847-V847)/U847)))</f>
        <v>0.38737748872798783</v>
      </c>
      <c r="Q848" s="18">
        <f>IF($A848&gt;('1-Input'!$B$26+3),0,(MAX(0,P836-IF($A848&gt;='1-Input'!$C$12,'1-Input'!$B$12,0))-MIN(MAX(T847,0),MAX(0,P836-IF($A848&gt;='1-Input'!$C$12,'1-Input'!$B$12,0))))*(1/(1-'P-Parametri'!$B$6*P848))+MIN(MAX(0,U847-(MAX(0,P836-IF($A848&gt;='1-Input'!$C$12,'1-Input'!$B$12,0))-MIN(MAX(T847,0),MAX(0,P836-IF($A848&gt;='1-Input'!$C$12,'1-Input'!$B$12,0))))*(1/(1-'P-Parametri'!$B$6*P848))),MAX(0,2*P836-(T847-MIN(MAX(T847,0),MAX(0,P836-IF($A848&gt;='1-Input'!$C$12,'1-Input'!$B$12,0)))))*(1/(1-'P-Parametri'!$B$6*P848))))</f>
        <v>20001.644559895343</v>
      </c>
      <c r="R848" s="18">
        <f>IF($A848&gt;('1-Input'!$B$26+3),T847,(T847-MAX(0,P836-IF($A848&gt;='1-Input'!$C$12,'1-Input'!$B$12,0))+Q848*(1-'P-Parametri'!$B$6*P848))*(1+'1-Input'!$B$27))</f>
        <v>35588.487617059305</v>
      </c>
      <c r="S848" s="18">
        <f>IF($A848&gt;('1-Input'!$B$26+3),U847,(U847-Q848)*(1+'5-Roberta'!$C$4))</f>
        <v>303428.02099505684</v>
      </c>
      <c r="T848" s="18">
        <f>IF($A848&gt;('1-Input'!$B$26+3),R848,R848-'P-Parametri'!$B$8*(S848+R848)+MIN(MAX(S848,0),'P-Parametri'!$B$8*(S848+R848)))</f>
        <v>35588.487617059305</v>
      </c>
      <c r="U848" s="18">
        <f>IF($A848&gt;('1-Input'!$B$26+3),S848,S848-MIN(MAX(S848,0),'P-Parametri'!$B$8*(S848+R848)))</f>
        <v>302749.98797783261</v>
      </c>
      <c r="V848" s="18">
        <f>IF($A848&gt;('1-Input'!$B$26+3),V847,V847-Q848*(1-P848))</f>
        <v>180472.65651678498</v>
      </c>
      <c r="W848" s="11">
        <f>IF($A848&gt;('1-Input'!$B$26+3),0,IF(AB847&lt;=0,0,MAX(0,(AB847-AC847)/AB847)))</f>
        <v>0.38739182582151988</v>
      </c>
      <c r="X848" s="18">
        <f>IF($A848&gt;('1-Input'!$B$26+3),0,(MAX(0,W836-IF($A848&gt;='1-Input'!$C$12,'1-Input'!$B$12,0))-MIN(MAX(AA847,0),MAX(0,W836-IF($A848&gt;='1-Input'!$C$12,'1-Input'!$B$12,0))))*(1/(1-'P-Parametri'!$B$6*W848))+MIN(MAX(0,AB847-(MAX(0,W836-IF($A848&gt;='1-Input'!$C$12,'1-Input'!$B$12,0))-MIN(MAX(AA847,0),MAX(0,W836-IF($A848&gt;='1-Input'!$C$12,'1-Input'!$B$12,0))))*(1/(1-'P-Parametri'!$B$6*W848))),MAX(0,2*W836-(AA847-MIN(MAX(AA847,0),MAX(0,W836-IF($A848&gt;='1-Input'!$C$12,'1-Input'!$B$12,0)))))*(1/(1-'P-Parametri'!$B$6*W848))))</f>
        <v>19821.80357512203</v>
      </c>
      <c r="Y848" s="18">
        <f>IF($A848&gt;('1-Input'!$B$26+3),AA847,(AA847-MAX(0,W836-IF($A848&gt;='1-Input'!$C$12,'1-Input'!$B$12,0))+X848*(1-'P-Parametri'!$B$6*W848))*(1+'1-Input'!$B$27))</f>
        <v>35268.354303294887</v>
      </c>
      <c r="Z848" s="18">
        <f>IF($A848&gt;('1-Input'!$B$26+3),AB847,(AB847-X848)*(1+'5-Roberta'!$C$4))</f>
        <v>305910.18519758037</v>
      </c>
      <c r="AA848" s="18">
        <f>IF($A848&gt;('1-Input'!$B$26+3),Y848,Y848-'P-Parametri'!$B$8*(Z848+Y848)+MIN(MAX(Z848,0),'P-Parametri'!$B$8*(Z848+Y848)))</f>
        <v>35268.354303294887</v>
      </c>
      <c r="AB848" s="18">
        <f>IF($A848&gt;('1-Input'!$B$26+3),Z848,Z848-MIN(MAX(Z848,0),'P-Parametri'!$B$8*(Z848+Y848)))</f>
        <v>305227.82811857865</v>
      </c>
      <c r="AC848" s="18">
        <f>IF($A848&gt;('1-Input'!$B$26+3),AC847,AC847-X848*(1-W848))</f>
        <v>181944.73788008778</v>
      </c>
      <c r="AD848" s="11">
        <f>IF($A848&gt;('1-Input'!$B$26+3),0,IF(AI847&lt;=0,0,MAX(0,(AI847-AJ847)/AI847)))</f>
        <v>0.3873929273161254</v>
      </c>
      <c r="AE848" s="18">
        <f>IF($A848&gt;('1-Input'!$B$26+3),0,(MAX(0,AD836-IF($A848&gt;='1-Input'!$C$12,'1-Input'!$B$12,0))-MIN(MAX(AH847,0),MAX(0,AD836-IF($A848&gt;='1-Input'!$C$12,'1-Input'!$B$12,0))))*(1/(1-'P-Parametri'!$B$6*AD848))+MIN(MAX(0,AI847-(MAX(0,AD836-IF($A848&gt;='1-Input'!$C$12,'1-Input'!$B$12,0))-MIN(MAX(AH847,0),MAX(0,AD836-IF($A848&gt;='1-Input'!$C$12,'1-Input'!$B$12,0))))*(1/(1-'P-Parametri'!$B$6*AD848))),MAX(0,2*AD836-(AH847-MIN(MAX(AH847,0),MAX(0,AD836-IF($A848&gt;='1-Input'!$C$12,'1-Input'!$B$12,0)))))*(1/(1-'P-Parametri'!$B$6*AD848))))</f>
        <v>19807.922680342162</v>
      </c>
      <c r="AF848" s="18">
        <f>IF($A848&gt;('1-Input'!$B$26+3),AH847,(AH847-MAX(0,AD836-IF($A848&gt;='1-Input'!$C$12,'1-Input'!$B$12,0))+AE848*(1-'P-Parametri'!$B$6*AD848))*(1+'1-Input'!$B$27))</f>
        <v>35243.645210066003</v>
      </c>
      <c r="AG848" s="18">
        <f>IF($A848&gt;('1-Input'!$B$26+3),AI847,(AI847-AE848)*(1+'5-Roberta'!$C$4))</f>
        <v>306101.76839389635</v>
      </c>
      <c r="AH848" s="18">
        <f>IF($A848&gt;('1-Input'!$B$26+3),AF848,AF848-'P-Parametri'!$B$8*(AG848+AF848)+MIN(MAX(AG848,0),'P-Parametri'!$B$8*(AG848+AF848)))</f>
        <v>35243.645210066003</v>
      </c>
      <c r="AI848" s="18">
        <f>IF($A848&gt;('1-Input'!$B$26+3),AG848,AG848-MIN(MAX(AG848,0),'P-Parametri'!$B$8*(AG848+AF848)))</f>
        <v>305419.07756668841</v>
      </c>
      <c r="AJ848" s="18">
        <f>IF($A848&gt;('1-Input'!$B$26+3),AJ847,AJ847-AE848*(1-AD848))</f>
        <v>182058.35755256523</v>
      </c>
      <c r="AK848" s="11">
        <f>IF($A848&gt;('1-Input'!$B$26+3),0,IF(AP847&lt;=0,0,MAX(0,(AP847-AQ847)/AP847)))</f>
        <v>0.387392924864706</v>
      </c>
      <c r="AL848" s="18">
        <f>IF($A848&gt;('1-Input'!$B$26+3),0,(MAX(0,AK836-IF($A848&gt;='1-Input'!$C$12,'1-Input'!$B$12,0))-MIN(MAX(AO847,0),MAX(0,AK836-IF($A848&gt;='1-Input'!$C$12,'1-Input'!$B$12,0))))*(1/(1-'P-Parametri'!$B$6*AK848))+MIN(MAX(0,AP847-(MAX(0,AK836-IF($A848&gt;='1-Input'!$C$12,'1-Input'!$B$12,0))-MIN(MAX(AO847,0),MAX(0,AK836-IF($A848&gt;='1-Input'!$C$12,'1-Input'!$B$12,0))))*(1/(1-'P-Parametri'!$B$6*AK848))),MAX(0,2*AK836-(AO847-MIN(MAX(AO847,0),MAX(0,AK836-IF($A848&gt;='1-Input'!$C$12,'1-Input'!$B$12,0)))))*(1/(1-'P-Parametri'!$B$6*AK848))))</f>
        <v>19807.953582991206</v>
      </c>
      <c r="AM848" s="18">
        <f>IF($A848&gt;('1-Input'!$B$26+3),AO847,(AO847-MAX(0,AK836-IF($A848&gt;='1-Input'!$C$12,'1-Input'!$B$12,0))+AL848*(1-'P-Parametri'!$B$6*AK848))*(1+'1-Input'!$B$27))</f>
        <v>35243.700219205675</v>
      </c>
      <c r="AN848" s="18">
        <f>IF($A848&gt;('1-Input'!$B$26+3),AP847,(AP847-AL848)*(1+'5-Roberta'!$C$4))</f>
        <v>306101.34187769907</v>
      </c>
      <c r="AO848" s="18">
        <f>IF($A848&gt;('1-Input'!$B$26+3),AM848,AM848-'P-Parametri'!$B$8*(AN848+AM848)+MIN(MAX(AN848,0),'P-Parametri'!$B$8*(AN848+AM848)))</f>
        <v>35243.700219205675</v>
      </c>
      <c r="AP848" s="18">
        <f>IF($A848&gt;('1-Input'!$B$26+3),AN848,AN848-MIN(MAX(AN848,0),'P-Parametri'!$B$8*(AN848+AM848)))</f>
        <v>305418.65179350524</v>
      </c>
      <c r="AQ848" s="18">
        <f>IF($A848&gt;('1-Input'!$B$26+3),AQ847,AQ847-AL848*(1-AK848))</f>
        <v>182058.10460454941</v>
      </c>
    </row>
    <row r="849" spans="1:43">
      <c r="A849" s="10">
        <f>11</f>
        <v>11</v>
      </c>
      <c r="B849" s="11">
        <f>IF($A849&gt;('1-Input'!$B$26+3),0,IF(G848&lt;=0,0,MAX(0,(G848-H848)/G848)))</f>
        <v>0.40400502156700707</v>
      </c>
      <c r="C849" s="18">
        <f>IF($A849&gt;('1-Input'!$B$26+3),0,(MAX(0,B836-IF($A849&gt;='1-Input'!$C$12,'1-Input'!$B$12,0))-MIN(MAX(F848,0),MAX(0,B836-IF($A849&gt;='1-Input'!$C$12,'1-Input'!$B$12,0))))*(1/(1-'P-Parametri'!$B$6*B849))+MIN(MAX(0,G848-(MAX(0,B836-IF($A849&gt;='1-Input'!$C$12,'1-Input'!$B$12,0))-MIN(MAX(F848,0),MAX(0,B836-IF($A849&gt;='1-Input'!$C$12,'1-Input'!$B$12,0))))*(1/(1-'P-Parametri'!$B$6*B849))),MAX(0,2*B836-(F848-MIN(MAX(F848,0),MAX(0,B836-IF($A849&gt;='1-Input'!$C$12,'1-Input'!$B$12,0)))))*(1/(1-'P-Parametri'!$B$6*B849))))</f>
        <v>18773.111002954505</v>
      </c>
      <c r="D849" s="18">
        <f>IF($A849&gt;('1-Input'!$B$26+3),F848,(F848-MAX(0,B836-IF($A849&gt;='1-Input'!$C$12,'1-Input'!$B$12,0))+C849*(1-'P-Parametri'!$B$6*B849))*(1+'1-Input'!$B$27))</f>
        <v>33242.0070309863</v>
      </c>
      <c r="E849" s="18">
        <f>IF($A849&gt;('1-Input'!$B$26+3),G848,(G848-C849)*(1+'5-Roberta'!$C$4))</f>
        <v>311203.09859466332</v>
      </c>
      <c r="F849" s="18">
        <f>IF($A849&gt;('1-Input'!$B$26+3),D849,D849-'P-Parametri'!$B$8*(E849+D849)+MIN(MAX(E849,0),'P-Parametri'!$B$8*(E849+D849)))</f>
        <v>33242.0070309863</v>
      </c>
      <c r="G849" s="18">
        <f>IF($A849&gt;('1-Input'!$B$26+3),E849,E849-MIN(MAX(E849,0),'P-Parametri'!$B$8*(E849+D849)))</f>
        <v>310514.20838341204</v>
      </c>
      <c r="H849" s="18">
        <f>IF($A849&gt;('1-Input'!$B$26+3),H848,H848-C849*(1-B849))</f>
        <v>180073.28547107466</v>
      </c>
      <c r="I849" s="11">
        <f>IF($A849&gt;('1-Input'!$B$26+3),0,IF(N848&lt;=0,0,MAX(0,(N848-O848)/N848)))</f>
        <v>0.4034095517093132</v>
      </c>
      <c r="J849" s="18">
        <f>IF($A849&gt;('1-Input'!$B$26+3),0,(MAX(0,I836-IF($A849&gt;='1-Input'!$C$12,'1-Input'!$B$12,0))-MIN(MAX(M848,0),MAX(0,I836-IF($A849&gt;='1-Input'!$C$12,'1-Input'!$B$12,0))))*(1/(1-'P-Parametri'!$B$6*I849))+MIN(MAX(0,N848-(MAX(0,I836-IF($A849&gt;='1-Input'!$C$12,'1-Input'!$B$12,0))-MIN(MAX(M848,0),MAX(0,I836-IF($A849&gt;='1-Input'!$C$12,'1-Input'!$B$12,0))))*(1/(1-'P-Parametri'!$B$6*I849))),MAX(0,2*I836-(M848-MIN(MAX(M848,0),MAX(0,I836-IF($A849&gt;='1-Input'!$C$12,'1-Input'!$B$12,0)))))*(1/(1-'P-Parametri'!$B$6*I849))))</f>
        <v>24697.189389280269</v>
      </c>
      <c r="K849" s="18">
        <f>IF($A849&gt;('1-Input'!$B$26+3),M848,(M848-MAX(0,I836-IF($A849&gt;='1-Input'!$C$12,'1-Input'!$B$12,0))+J849*(1-'P-Parametri'!$B$6*I849))*(1+'1-Input'!$B$27))</f>
        <v>43739.482935508291</v>
      </c>
      <c r="L849" s="18">
        <f>IF($A849&gt;('1-Input'!$B$26+3),N848,(N848-J849)*(1+'5-Roberta'!$C$4))</f>
        <v>221416.71245579544</v>
      </c>
      <c r="M849" s="18">
        <f>IF($A849&gt;('1-Input'!$B$26+3),K849,K849-'P-Parametri'!$B$8*(L849+K849)+MIN(MAX(L849,0),'P-Parametri'!$B$8*(L849+K849)))</f>
        <v>43739.482935508291</v>
      </c>
      <c r="N849" s="18">
        <f>IF($A849&gt;('1-Input'!$B$26+3),L849,L849-MIN(MAX(L849,0),'P-Parametri'!$B$8*(L849+K849)))</f>
        <v>220886.40006501283</v>
      </c>
      <c r="O849" s="18">
        <f>IF($A849&gt;('1-Input'!$B$26+3),O848,O848-J849*(1-I849))</f>
        <v>128247.66576995447</v>
      </c>
      <c r="P849" s="11">
        <f>IF($A849&gt;('1-Input'!$B$26+3),0,IF(U848&lt;=0,0,MAX(0,(U848-V848)/U848)))</f>
        <v>0.40388880699146651</v>
      </c>
      <c r="Q849" s="18">
        <f>IF($A849&gt;('1-Input'!$B$26+3),0,(MAX(0,P836-IF($A849&gt;='1-Input'!$C$12,'1-Input'!$B$12,0))-MIN(MAX(T848,0),MAX(0,P836-IF($A849&gt;='1-Input'!$C$12,'1-Input'!$B$12,0))))*(1/(1-'P-Parametri'!$B$6*P849))+MIN(MAX(0,U848-(MAX(0,P836-IF($A849&gt;='1-Input'!$C$12,'1-Input'!$B$12,0))-MIN(MAX(T848,0),MAX(0,P836-IF($A849&gt;='1-Input'!$C$12,'1-Input'!$B$12,0))))*(1/(1-'P-Parametri'!$B$6*P849))),MAX(0,2*P836-(T848-MIN(MAX(T848,0),MAX(0,P836-IF($A849&gt;='1-Input'!$C$12,'1-Input'!$B$12,0)))))*(1/(1-'P-Parametri'!$B$6*P849))))</f>
        <v>20097.585318484285</v>
      </c>
      <c r="R849" s="18">
        <f>IF($A849&gt;('1-Input'!$B$26+3),T848,(T848-MAX(0,P836-IF($A849&gt;='1-Input'!$C$12,'1-Input'!$B$12,0))+Q849*(1-'P-Parametri'!$B$6*P849))*(1+'1-Input'!$B$27))</f>
        <v>35588.487617059305</v>
      </c>
      <c r="S849" s="18">
        <f>IF($A849&gt;('1-Input'!$B$26+3),U848,(U848-Q849)*(1+'5-Roberta'!$C$4))</f>
        <v>291131.97473912878</v>
      </c>
      <c r="T849" s="18">
        <f>IF($A849&gt;('1-Input'!$B$26+3),R849,R849-'P-Parametri'!$B$8*(S849+R849)+MIN(MAX(S849,0),'P-Parametri'!$B$8*(S849+R849)))</f>
        <v>35588.487617059305</v>
      </c>
      <c r="U849" s="18">
        <f>IF($A849&gt;('1-Input'!$B$26+3),S849,S849-MIN(MAX(S849,0),'P-Parametri'!$B$8*(S849+R849)))</f>
        <v>290478.53381441638</v>
      </c>
      <c r="V849" s="18">
        <f>IF($A849&gt;('1-Input'!$B$26+3),V848,V848-Q849*(1-P849))</f>
        <v>168492.26095599253</v>
      </c>
      <c r="W849" s="11">
        <f>IF($A849&gt;('1-Input'!$B$26+3),0,IF(AB848&lt;=0,0,MAX(0,(AB848-AC848)/AB848)))</f>
        <v>0.40390514521040444</v>
      </c>
      <c r="X849" s="18">
        <f>IF($A849&gt;('1-Input'!$B$26+3),0,(MAX(0,W836-IF($A849&gt;='1-Input'!$C$12,'1-Input'!$B$12,0))-MIN(MAX(AA848,0),MAX(0,W836-IF($A849&gt;='1-Input'!$C$12,'1-Input'!$B$12,0))))*(1/(1-'P-Parametri'!$B$6*W849))+MIN(MAX(0,AB848-(MAX(0,W836-IF($A849&gt;='1-Input'!$C$12,'1-Input'!$B$12,0))-MIN(MAX(AA848,0),MAX(0,W836-IF($A849&gt;='1-Input'!$C$12,'1-Input'!$B$12,0))))*(1/(1-'P-Parametri'!$B$6*W849))),MAX(0,2*W836-(AA848-MIN(MAX(AA848,0),MAX(0,W836-IF($A849&gt;='1-Input'!$C$12,'1-Input'!$B$12,0)))))*(1/(1-'P-Parametri'!$B$6*W849))))</f>
        <v>19916.893675151703</v>
      </c>
      <c r="Y849" s="18">
        <f>IF($A849&gt;('1-Input'!$B$26+3),AA848,(AA848-MAX(0,W836-IF($A849&gt;='1-Input'!$C$12,'1-Input'!$B$12,0))+X849*(1-'P-Parametri'!$B$6*W849))*(1+'1-Input'!$B$27))</f>
        <v>35268.354303294887</v>
      </c>
      <c r="Z849" s="18">
        <f>IF($A849&gt;('1-Input'!$B$26+3),AB848,(AB848-X849)*(1+'5-Roberta'!$C$4))</f>
        <v>293870.26247672975</v>
      </c>
      <c r="AA849" s="18">
        <f>IF($A849&gt;('1-Input'!$B$26+3),Y849,Y849-'P-Parametri'!$B$8*(Z849+Y849)+MIN(MAX(Z849,0),'P-Parametri'!$B$8*(Z849+Y849)))</f>
        <v>35268.35430329488</v>
      </c>
      <c r="AB849" s="18">
        <f>IF($A849&gt;('1-Input'!$B$26+3),Z849,Z849-MIN(MAX(Z849,0),'P-Parametri'!$B$8*(Z849+Y849)))</f>
        <v>293211.98524316971</v>
      </c>
      <c r="AC849" s="18">
        <f>IF($A849&gt;('1-Input'!$B$26+3),AC848,AC848-X849*(1-W849))</f>
        <v>170072.38003693841</v>
      </c>
      <c r="AD849" s="11">
        <f>IF($A849&gt;('1-Input'!$B$26+3),0,IF(AI848&lt;=0,0,MAX(0,(AI848-AJ848)/AI848)))</f>
        <v>0.40390639968188402</v>
      </c>
      <c r="AE849" s="18">
        <f>IF($A849&gt;('1-Input'!$B$26+3),0,(MAX(0,AD836-IF($A849&gt;='1-Input'!$C$12,'1-Input'!$B$12,0))-MIN(MAX(AH848,0),MAX(0,AD836-IF($A849&gt;='1-Input'!$C$12,'1-Input'!$B$12,0))))*(1/(1-'P-Parametri'!$B$6*AD849))+MIN(MAX(0,AI848-(MAX(0,AD836-IF($A849&gt;='1-Input'!$C$12,'1-Input'!$B$12,0))-MIN(MAX(AH848,0),MAX(0,AD836-IF($A849&gt;='1-Input'!$C$12,'1-Input'!$B$12,0))))*(1/(1-'P-Parametri'!$B$6*AD849))),MAX(0,2*AD836-(AH848-MIN(MAX(AH848,0),MAX(0,AD836-IF($A849&gt;='1-Input'!$C$12,'1-Input'!$B$12,0)))))*(1/(1-'P-Parametri'!$B$6*AD849))))</f>
        <v>19902.947105195817</v>
      </c>
      <c r="AF849" s="18">
        <f>IF($A849&gt;('1-Input'!$B$26+3),AH848,(AH848-MAX(0,AD836-IF($A849&gt;='1-Input'!$C$12,'1-Input'!$B$12,0))+AE849*(1-'P-Parametri'!$B$6*AD849))*(1+'1-Input'!$B$27))</f>
        <v>35243.64521006601</v>
      </c>
      <c r="AG849" s="18">
        <f>IF($A849&gt;('1-Input'!$B$26+3),AI848,(AI848-AE849)*(1+'5-Roberta'!$C$4))</f>
        <v>294081.61437533738</v>
      </c>
      <c r="AH849" s="18">
        <f>IF($A849&gt;('1-Input'!$B$26+3),AF849,AF849-'P-Parametri'!$B$8*(AG849+AF849)+MIN(MAX(AG849,0),'P-Parametri'!$B$8*(AG849+AF849)))</f>
        <v>35243.64521006601</v>
      </c>
      <c r="AI849" s="18">
        <f>IF($A849&gt;('1-Input'!$B$26+3),AG849,AG849-MIN(MAX(AG849,0),'P-Parametri'!$B$8*(AG849+AF849)))</f>
        <v>293422.96385616658</v>
      </c>
      <c r="AJ849" s="18">
        <f>IF($A849&gt;('1-Input'!$B$26+3),AJ848,AJ848-AE849*(1-AD849))</f>
        <v>170194.33815568802</v>
      </c>
      <c r="AK849" s="11">
        <f>IF($A849&gt;('1-Input'!$B$26+3),0,IF(AP848&lt;=0,0,MAX(0,(AP848-AQ848)/AP848)))</f>
        <v>0.40390639689012964</v>
      </c>
      <c r="AL849" s="18">
        <f>IF($A849&gt;('1-Input'!$B$26+3),0,(MAX(0,AK836-IF($A849&gt;='1-Input'!$C$12,'1-Input'!$B$12,0))-MIN(MAX(AO848,0),MAX(0,AK836-IF($A849&gt;='1-Input'!$C$12,'1-Input'!$B$12,0))))*(1/(1-'P-Parametri'!$B$6*AK849))+MIN(MAX(0,AP848-(MAX(0,AK836-IF($A849&gt;='1-Input'!$C$12,'1-Input'!$B$12,0))-MIN(MAX(AO848,0),MAX(0,AK836-IF($A849&gt;='1-Input'!$C$12,'1-Input'!$B$12,0))))*(1/(1-'P-Parametri'!$B$6*AK849))),MAX(0,2*AK836-(AO848-MIN(MAX(AO848,0),MAX(0,AK836-IF($A849&gt;='1-Input'!$C$12,'1-Input'!$B$12,0)))))*(1/(1-'P-Parametri'!$B$6*AK849))))</f>
        <v>19902.978154058455</v>
      </c>
      <c r="AM849" s="18">
        <f>IF($A849&gt;('1-Input'!$B$26+3),AO848,(AO848-MAX(0,AK836-IF($A849&gt;='1-Input'!$C$12,'1-Input'!$B$12,0))+AL849*(1-'P-Parametri'!$B$6*AK849))*(1+'1-Input'!$B$27))</f>
        <v>35243.700219205675</v>
      </c>
      <c r="AN849" s="18">
        <f>IF($A849&gt;('1-Input'!$B$26+3),AP848,(AP848-AL849)*(1+'5-Roberta'!$C$4))</f>
        <v>294081.14384863019</v>
      </c>
      <c r="AO849" s="18">
        <f>IF($A849&gt;('1-Input'!$B$26+3),AM849,AM849-'P-Parametri'!$B$8*(AN849+AM849)+MIN(MAX(AN849,0),'P-Parametri'!$B$8*(AN849+AM849)))</f>
        <v>35243.700219205675</v>
      </c>
      <c r="AP849" s="18">
        <f>IF($A849&gt;('1-Input'!$B$26+3),AN849,AN849-MIN(MAX(AN849,0),'P-Parametri'!$B$8*(AN849+AM849)))</f>
        <v>293422.49416049453</v>
      </c>
      <c r="AQ849" s="18">
        <f>IF($A849&gt;('1-Input'!$B$26+3),AQ848,AQ848-AL849*(1-AK849))</f>
        <v>170194.06664407966</v>
      </c>
    </row>
    <row r="850" spans="1:43">
      <c r="A850" s="10">
        <f>12</f>
        <v>12</v>
      </c>
      <c r="B850" s="11">
        <f>IF($A850&gt;('1-Input'!$B$26+3),0,IF(G849&lt;=0,0,MAX(0,(G849-H849)/G849)))</f>
        <v>0.42008036795299719</v>
      </c>
      <c r="C850" s="18">
        <f>IF($A850&gt;('1-Input'!$B$26+3),0,(MAX(0,B836-IF($A850&gt;='1-Input'!$C$12,'1-Input'!$B$12,0))-MIN(MAX(F849,0),MAX(0,B836-IF($A850&gt;='1-Input'!$C$12,'1-Input'!$B$12,0))))*(1/(1-'P-Parametri'!$B$6*B850))+MIN(MAX(0,G849-(MAX(0,B836-IF($A850&gt;='1-Input'!$C$12,'1-Input'!$B$12,0))-MIN(MAX(F849,0),MAX(0,B836-IF($A850&gt;='1-Input'!$C$12,'1-Input'!$B$12,0))))*(1/(1-'P-Parametri'!$B$6*B850))),MAX(0,2*B836-(F849-MIN(MAX(F849,0),MAX(0,B836-IF($A850&gt;='1-Input'!$C$12,'1-Input'!$B$12,0)))))*(1/(1-'P-Parametri'!$B$6*B850))))</f>
        <v>18861.195588423936</v>
      </c>
      <c r="D850" s="18">
        <f>IF($A850&gt;('1-Input'!$B$26+3),F849,(F849-MAX(0,B836-IF($A850&gt;='1-Input'!$C$12,'1-Input'!$B$12,0))+C850*(1-'P-Parametri'!$B$6*B850))*(1+'1-Input'!$B$27))</f>
        <v>33242.0070309863</v>
      </c>
      <c r="E850" s="18">
        <f>IF($A850&gt;('1-Input'!$B$26+3),G849,(G849-C850)*(1+'5-Roberta'!$C$4))</f>
        <v>300402.60317883774</v>
      </c>
      <c r="F850" s="18">
        <f>IF($A850&gt;('1-Input'!$B$26+3),D850,D850-'P-Parametri'!$B$8*(E850+D850)+MIN(MAX(E850,0),'P-Parametri'!$B$8*(E850+D850)))</f>
        <v>33242.0070309863</v>
      </c>
      <c r="G850" s="18">
        <f>IF($A850&gt;('1-Input'!$B$26+3),E850,E850-MIN(MAX(E850,0),'P-Parametri'!$B$8*(E850+D850)))</f>
        <v>299735.31395841809</v>
      </c>
      <c r="H850" s="18">
        <f>IF($A850&gt;('1-Input'!$B$26+3),H849,H849-C850*(1-B850))</f>
        <v>169135.30786546931</v>
      </c>
      <c r="I850" s="11">
        <f>IF($A850&gt;('1-Input'!$B$26+3),0,IF(N849&lt;=0,0,MAX(0,(N849-O849)/N849)))</f>
        <v>0.41939537367530222</v>
      </c>
      <c r="J850" s="18">
        <f>IF($A850&gt;('1-Input'!$B$26+3),0,(MAX(0,I836-IF($A850&gt;='1-Input'!$C$12,'1-Input'!$B$12,0))-MIN(MAX(M849,0),MAX(0,I836-IF($A850&gt;='1-Input'!$C$12,'1-Input'!$B$12,0))))*(1/(1-'P-Parametri'!$B$6*I850))+MIN(MAX(0,N849-(MAX(0,I836-IF($A850&gt;='1-Input'!$C$12,'1-Input'!$B$12,0))-MIN(MAX(M849,0),MAX(0,I836-IF($A850&gt;='1-Input'!$C$12,'1-Input'!$B$12,0))))*(1/(1-'P-Parametri'!$B$6*I850))),MAX(0,2*I836-(M849-MIN(MAX(M849,0),MAX(0,I836-IF($A850&gt;='1-Input'!$C$12,'1-Input'!$B$12,0)))))*(1/(1-'P-Parametri'!$B$6*I850))))</f>
        <v>24812.401732317619</v>
      </c>
      <c r="K850" s="18">
        <f>IF($A850&gt;('1-Input'!$B$26+3),M849,(M849-MAX(0,I836-IF($A850&gt;='1-Input'!$C$12,'1-Input'!$B$12,0))+J850*(1-'P-Parametri'!$B$6*I850))*(1+'1-Input'!$B$27))</f>
        <v>43739.482935508291</v>
      </c>
      <c r="L850" s="18">
        <f>IF($A850&gt;('1-Input'!$B$26+3),N849,(N849-J850)*(1+'5-Roberta'!$C$4))</f>
        <v>201956.21828267607</v>
      </c>
      <c r="M850" s="18">
        <f>IF($A850&gt;('1-Input'!$B$26+3),K850,K850-'P-Parametri'!$B$8*(L850+K850)+MIN(MAX(L850,0),'P-Parametri'!$B$8*(L850+K850)))</f>
        <v>43739.482935508291</v>
      </c>
      <c r="N850" s="18">
        <f>IF($A850&gt;('1-Input'!$B$26+3),L850,L850-MIN(MAX(L850,0),'P-Parametri'!$B$8*(L850+K850)))</f>
        <v>201464.82688023971</v>
      </c>
      <c r="O850" s="18">
        <f>IF($A850&gt;('1-Input'!$B$26+3),O849,O849-J850*(1-I850))</f>
        <v>113841.47053394392</v>
      </c>
      <c r="P850" s="11">
        <f>IF($A850&gt;('1-Input'!$B$26+3),0,IF(U849&lt;=0,0,MAX(0,(U849-V849)/U849)))</f>
        <v>0.41994935479934492</v>
      </c>
      <c r="Q850" s="18">
        <f>IF($A850&gt;('1-Input'!$B$26+3),0,(MAX(0,P836-IF($A850&gt;='1-Input'!$C$12,'1-Input'!$B$12,0))-MIN(MAX(T849,0),MAX(0,P836-IF($A850&gt;='1-Input'!$C$12,'1-Input'!$B$12,0))))*(1/(1-'P-Parametri'!$B$6*P850))+MIN(MAX(0,U849-(MAX(0,P836-IF($A850&gt;='1-Input'!$C$12,'1-Input'!$B$12,0))-MIN(MAX(T849,0),MAX(0,P836-IF($A850&gt;='1-Input'!$C$12,'1-Input'!$B$12,0))))*(1/(1-'P-Parametri'!$B$6*P850))),MAX(0,2*P836-(T849-MIN(MAX(T849,0),MAX(0,P836-IF($A850&gt;='1-Input'!$C$12,'1-Input'!$B$12,0)))))*(1/(1-'P-Parametri'!$B$6*P850))))</f>
        <v>20191.794006449323</v>
      </c>
      <c r="R850" s="18">
        <f>IF($A850&gt;('1-Input'!$B$26+3),T849,(T849-MAX(0,P836-IF($A850&gt;='1-Input'!$C$12,'1-Input'!$B$12,0))+Q850*(1-'P-Parametri'!$B$6*P850))*(1+'1-Input'!$B$27))</f>
        <v>35588.487617059305</v>
      </c>
      <c r="S850" s="18">
        <f>IF($A850&gt;('1-Input'!$B$26+3),U849,(U849-Q850)*(1+'5-Roberta'!$C$4))</f>
        <v>278395.34200220607</v>
      </c>
      <c r="T850" s="18">
        <f>IF($A850&gt;('1-Input'!$B$26+3),R850,R850-'P-Parametri'!$B$8*(S850+R850)+MIN(MAX(S850,0),'P-Parametri'!$B$8*(S850+R850)))</f>
        <v>35588.487617059305</v>
      </c>
      <c r="U850" s="18">
        <f>IF($A850&gt;('1-Input'!$B$26+3),S850,S850-MIN(MAX(S850,0),'P-Parametri'!$B$8*(S850+R850)))</f>
        <v>277767.37434296752</v>
      </c>
      <c r="V850" s="18">
        <f>IF($A850&gt;('1-Input'!$B$26+3),V849,V849-Q850*(1-P850))</f>
        <v>156779.99781479288</v>
      </c>
      <c r="W850" s="11">
        <f>IF($A850&gt;('1-Input'!$B$26+3),0,IF(AB849&lt;=0,0,MAX(0,(AB849-AC849)/AB849)))</f>
        <v>0.41996784375682267</v>
      </c>
      <c r="X850" s="18">
        <f>IF($A850&gt;('1-Input'!$B$26+3),0,(MAX(0,W836-IF($A850&gt;='1-Input'!$C$12,'1-Input'!$B$12,0))-MIN(MAX(AA849,0),MAX(0,W836-IF($A850&gt;='1-Input'!$C$12,'1-Input'!$B$12,0))))*(1/(1-'P-Parametri'!$B$6*W850))+MIN(MAX(0,AB849-(MAX(0,W836-IF($A850&gt;='1-Input'!$C$12,'1-Input'!$B$12,0))-MIN(MAX(AA849,0),MAX(0,W836-IF($A850&gt;='1-Input'!$C$12,'1-Input'!$B$12,0))))*(1/(1-'P-Parametri'!$B$6*W850))),MAX(0,2*W836-(AA849-MIN(MAX(AA849,0),MAX(0,W836-IF($A850&gt;='1-Input'!$C$12,'1-Input'!$B$12,0)))))*(1/(1-'P-Parametri'!$B$6*W850))))</f>
        <v>20010.268366094118</v>
      </c>
      <c r="Y850" s="18">
        <f>IF($A850&gt;('1-Input'!$B$26+3),AA849,(AA849-MAX(0,W836-IF($A850&gt;='1-Input'!$C$12,'1-Input'!$B$12,0))+X850*(1-'P-Parametri'!$B$6*W850))*(1+'1-Input'!$B$27))</f>
        <v>35268.354303294887</v>
      </c>
      <c r="Z850" s="18">
        <f>IF($A850&gt;('1-Input'!$B$26+3),AB849,(AB849-X850)*(1+'5-Roberta'!$C$4))</f>
        <v>281397.76838338788</v>
      </c>
      <c r="AA850" s="18">
        <f>IF($A850&gt;('1-Input'!$B$26+3),Y850,Y850-'P-Parametri'!$B$8*(Z850+Y850)+MIN(MAX(Z850,0),'P-Parametri'!$B$8*(Z850+Y850)))</f>
        <v>35268.354303294887</v>
      </c>
      <c r="AB850" s="18">
        <f>IF($A850&gt;('1-Input'!$B$26+3),Z850,Z850-MIN(MAX(Z850,0),'P-Parametri'!$B$8*(Z850+Y850)))</f>
        <v>280764.43613801454</v>
      </c>
      <c r="AC850" s="18">
        <f>IF($A850&gt;('1-Input'!$B$26+3),AC849,AC849-X850*(1-W850))</f>
        <v>158465.7809295482</v>
      </c>
      <c r="AD850" s="11">
        <f>IF($A850&gt;('1-Input'!$B$26+3),0,IF(AI849&lt;=0,0,MAX(0,(AI849-AJ849)/AI849)))</f>
        <v>0.4199692623951688</v>
      </c>
      <c r="AE850" s="18">
        <f>IF($A850&gt;('1-Input'!$B$26+3),0,(MAX(0,AD836-IF($A850&gt;='1-Input'!$C$12,'1-Input'!$B$12,0))-MIN(MAX(AH849,0),MAX(0,AD836-IF($A850&gt;='1-Input'!$C$12,'1-Input'!$B$12,0))))*(1/(1-'P-Parametri'!$B$6*AD850))+MIN(MAX(0,AI849-(MAX(0,AD836-IF($A850&gt;='1-Input'!$C$12,'1-Input'!$B$12,0))-MIN(MAX(AH849,0),MAX(0,AD836-IF($A850&gt;='1-Input'!$C$12,'1-Input'!$B$12,0))))*(1/(1-'P-Parametri'!$B$6*AD850))),MAX(0,2*AD836-(AH849-MIN(MAX(AH849,0),MAX(0,AD836-IF($A850&gt;='1-Input'!$C$12,'1-Input'!$B$12,0)))))*(1/(1-'P-Parametri'!$B$6*AD850))))</f>
        <v>19996.257403904176</v>
      </c>
      <c r="AF850" s="18">
        <f>IF($A850&gt;('1-Input'!$B$26+3),AH849,(AH849-MAX(0,AD836-IF($A850&gt;='1-Input'!$C$12,'1-Input'!$B$12,0))+AE850*(1-'P-Parametri'!$B$6*AD850))*(1+'1-Input'!$B$27))</f>
        <v>35243.64521006601</v>
      </c>
      <c r="AG850" s="18">
        <f>IF($A850&gt;('1-Input'!$B$26+3),AI849,(AI849-AE850)*(1+'5-Roberta'!$C$4))</f>
        <v>281629.50764583028</v>
      </c>
      <c r="AH850" s="18">
        <f>IF($A850&gt;('1-Input'!$B$26+3),AF850,AF850-'P-Parametri'!$B$8*(AG850+AF850)+MIN(MAX(AG850,0),'P-Parametri'!$B$8*(AG850+AF850)))</f>
        <v>35243.64521006601</v>
      </c>
      <c r="AI850" s="18">
        <f>IF($A850&gt;('1-Input'!$B$26+3),AG850,AG850-MIN(MAX(AG850,0),'P-Parametri'!$B$8*(AG850+AF850)))</f>
        <v>280995.76134011848</v>
      </c>
      <c r="AJ850" s="18">
        <f>IF($A850&gt;('1-Input'!$B$26+3),AJ849,AJ849-AE850*(1-AD850))</f>
        <v>158595.89422436542</v>
      </c>
      <c r="AK850" s="11">
        <f>IF($A850&gt;('1-Input'!$B$26+3),0,IF(AP849&lt;=0,0,MAX(0,(AP849-AQ849)/AP849)))</f>
        <v>0.41996925923822359</v>
      </c>
      <c r="AL850" s="18">
        <f>IF($A850&gt;('1-Input'!$B$26+3),0,(MAX(0,AK836-IF($A850&gt;='1-Input'!$C$12,'1-Input'!$B$12,0))-MIN(MAX(AO849,0),MAX(0,AK836-IF($A850&gt;='1-Input'!$C$12,'1-Input'!$B$12,0))))*(1/(1-'P-Parametri'!$B$6*AK850))+MIN(MAX(0,AP849-(MAX(0,AK836-IF($A850&gt;='1-Input'!$C$12,'1-Input'!$B$12,0))-MIN(MAX(AO849,0),MAX(0,AK836-IF($A850&gt;='1-Input'!$C$12,'1-Input'!$B$12,0))))*(1/(1-'P-Parametri'!$B$6*AK850))),MAX(0,2*AK836-(AO849-MIN(MAX(AO849,0),MAX(0,AK836-IF($A850&gt;='1-Input'!$C$12,'1-Input'!$B$12,0)))))*(1/(1-'P-Parametri'!$B$6*AK850))))</f>
        <v>19996.28859612473</v>
      </c>
      <c r="AM850" s="18">
        <f>IF($A850&gt;('1-Input'!$B$26+3),AO849,(AO849-MAX(0,AK836-IF($A850&gt;='1-Input'!$C$12,'1-Input'!$B$12,0))+AL850*(1-'P-Parametri'!$B$6*AK850))*(1+'1-Input'!$B$27))</f>
        <v>35243.700219205675</v>
      </c>
      <c r="AN850" s="18">
        <f>IF($A850&gt;('1-Input'!$B$26+3),AP849,(AP849-AL850)*(1+'5-Roberta'!$C$4))</f>
        <v>281628.99173130089</v>
      </c>
      <c r="AO850" s="18">
        <f>IF($A850&gt;('1-Input'!$B$26+3),AM850,AM850-'P-Parametri'!$B$8*(AN850+AM850)+MIN(MAX(AN850,0),'P-Parametri'!$B$8*(AN850+AM850)))</f>
        <v>35243.700219205675</v>
      </c>
      <c r="AP850" s="18">
        <f>IF($A850&gt;('1-Input'!$B$26+3),AN850,AN850-MIN(MAX(AN850,0),'P-Parametri'!$B$8*(AN850+AM850)))</f>
        <v>280995.24634739989</v>
      </c>
      <c r="AQ850" s="18">
        <f>IF($A850&gt;('1-Input'!$B$26+3),AQ849,AQ849-AL850*(1-AK850))</f>
        <v>158595.60455718316</v>
      </c>
    </row>
    <row r="851" spans="1:43">
      <c r="A851" s="10">
        <f>13</f>
        <v>13</v>
      </c>
      <c r="B851" s="11">
        <f>IF($A851&gt;('1-Input'!$B$26+3),0,IF(G850&lt;=0,0,MAX(0,(G850-H850)/G850)))</f>
        <v>0.43571778169277298</v>
      </c>
      <c r="C851" s="18">
        <f>IF($A851&gt;('1-Input'!$B$26+3),0,(MAX(0,B836-IF($A851&gt;='1-Input'!$C$12,'1-Input'!$B$12,0))-MIN(MAX(F850,0),MAX(0,B836-IF($A851&gt;='1-Input'!$C$12,'1-Input'!$B$12,0))))*(1/(1-'P-Parametri'!$B$6*B851))+MIN(MAX(0,G850-(MAX(0,B836-IF($A851&gt;='1-Input'!$C$12,'1-Input'!$B$12,0))-MIN(MAX(F850,0),MAX(0,B836-IF($A851&gt;='1-Input'!$C$12,'1-Input'!$B$12,0))))*(1/(1-'P-Parametri'!$B$6*B851))),MAX(0,2*B836-(F850-MIN(MAX(F850,0),MAX(0,B836-IF($A851&gt;='1-Input'!$C$12,'1-Input'!$B$12,0)))))*(1/(1-'P-Parametri'!$B$6*B851))))</f>
        <v>18947.677291487216</v>
      </c>
      <c r="D851" s="18">
        <f>IF($A851&gt;('1-Input'!$B$26+3),F850,(F850-MAX(0,B836-IF($A851&gt;='1-Input'!$C$12,'1-Input'!$B$12,0))+C851*(1-'P-Parametri'!$B$6*B851))*(1+'1-Input'!$B$27))</f>
        <v>33242.0070309863</v>
      </c>
      <c r="E851" s="18">
        <f>IF($A851&gt;('1-Input'!$B$26+3),G850,(G850-C851)*(1+'5-Roberta'!$C$4))</f>
        <v>289211.2657669388</v>
      </c>
      <c r="F851" s="18">
        <f>IF($A851&gt;('1-Input'!$B$26+3),D851,D851-'P-Parametri'!$B$8*(E851+D851)+MIN(MAX(E851,0),'P-Parametri'!$B$8*(E851+D851)))</f>
        <v>33242.0070309863</v>
      </c>
      <c r="G851" s="18">
        <f>IF($A851&gt;('1-Input'!$B$26+3),E851,E851-MIN(MAX(E851,0),'P-Parametri'!$B$8*(E851+D851)))</f>
        <v>288566.35922134295</v>
      </c>
      <c r="H851" s="18">
        <f>IF($A851&gt;('1-Input'!$B$26+3),H850,H850-C851*(1-B851))</f>
        <v>158443.47049165942</v>
      </c>
      <c r="I851" s="11">
        <f>IF($A851&gt;('1-Input'!$B$26+3),0,IF(N850&lt;=0,0,MAX(0,(N850-O850)/N850)))</f>
        <v>0.43493128653362051</v>
      </c>
      <c r="J851" s="18">
        <f>IF($A851&gt;('1-Input'!$B$26+3),0,(MAX(0,I836-IF($A851&gt;='1-Input'!$C$12,'1-Input'!$B$12,0))-MIN(MAX(M850,0),MAX(0,I836-IF($A851&gt;='1-Input'!$C$12,'1-Input'!$B$12,0))))*(1/(1-'P-Parametri'!$B$6*I851))+MIN(MAX(0,N850-(MAX(0,I836-IF($A851&gt;='1-Input'!$C$12,'1-Input'!$B$12,0))-MIN(MAX(M850,0),MAX(0,I836-IF($A851&gt;='1-Input'!$C$12,'1-Input'!$B$12,0))))*(1/(1-'P-Parametri'!$B$6*I851))),MAX(0,2*I836-(M850-MIN(MAX(M850,0),MAX(0,I836-IF($A851&gt;='1-Input'!$C$12,'1-Input'!$B$12,0)))))*(1/(1-'P-Parametri'!$B$6*I851))))</f>
        <v>24925.406177023739</v>
      </c>
      <c r="K851" s="18">
        <f>IF($A851&gt;('1-Input'!$B$26+3),M850,(M850-MAX(0,I836-IF($A851&gt;='1-Input'!$C$12,'1-Input'!$B$12,0))+J851*(1-'P-Parametri'!$B$6*I851))*(1+'1-Input'!$B$27))</f>
        <v>43739.482935508291</v>
      </c>
      <c r="L851" s="18">
        <f>IF($A851&gt;('1-Input'!$B$26+3),N850,(N850-J851)*(1+'5-Roberta'!$C$4))</f>
        <v>181835.60332431245</v>
      </c>
      <c r="M851" s="18">
        <f>IF($A851&gt;('1-Input'!$B$26+3),K851,K851-'P-Parametri'!$B$8*(L851+K851)+MIN(MAX(L851,0),'P-Parametri'!$B$8*(L851+K851)))</f>
        <v>43739.482935508291</v>
      </c>
      <c r="N851" s="18">
        <f>IF($A851&gt;('1-Input'!$B$26+3),L851,L851-MIN(MAX(L851,0),'P-Parametri'!$B$8*(L851+K851)))</f>
        <v>181384.45315179281</v>
      </c>
      <c r="O851" s="18">
        <f>IF($A851&gt;('1-Input'!$B$26+3),O850,O850-J851*(1-I851))</f>
        <v>99756.903332866175</v>
      </c>
      <c r="P851" s="11">
        <f>IF($A851&gt;('1-Input'!$B$26+3),0,IF(U850&lt;=0,0,MAX(0,(U850-V850)/U850)))</f>
        <v>0.4355708686607232</v>
      </c>
      <c r="Q851" s="18">
        <f>IF($A851&gt;('1-Input'!$B$26+3),0,(MAX(0,P836-IF($A851&gt;='1-Input'!$C$12,'1-Input'!$B$12,0))-MIN(MAX(T850,0),MAX(0,P836-IF($A851&gt;='1-Input'!$C$12,'1-Input'!$B$12,0))))*(1/(1-'P-Parametri'!$B$6*P851))+MIN(MAX(0,U850-(MAX(0,P836-IF($A851&gt;='1-Input'!$C$12,'1-Input'!$B$12,0))-MIN(MAX(T850,0),MAX(0,P836-IF($A851&gt;='1-Input'!$C$12,'1-Input'!$B$12,0))))*(1/(1-'P-Parametri'!$B$6*P851))),MAX(0,2*P836-(T850-MIN(MAX(T850,0),MAX(0,P836-IF($A851&gt;='1-Input'!$C$12,'1-Input'!$B$12,0)))))*(1/(1-'P-Parametri'!$B$6*P851))))</f>
        <v>20284.278602789422</v>
      </c>
      <c r="R851" s="18">
        <f>IF($A851&gt;('1-Input'!$B$26+3),T850,(T850-MAX(0,P836-IF($A851&gt;='1-Input'!$C$12,'1-Input'!$B$12,0))+Q851*(1-'P-Parametri'!$B$6*P851))*(1+'1-Input'!$B$27))</f>
        <v>35588.487617059312</v>
      </c>
      <c r="S851" s="18">
        <f>IF($A851&gt;('1-Input'!$B$26+3),U850,(U850-Q851)*(1+'5-Roberta'!$C$4))</f>
        <v>265207.58861238346</v>
      </c>
      <c r="T851" s="18">
        <f>IF($A851&gt;('1-Input'!$B$26+3),R851,R851-'P-Parametri'!$B$8*(S851+R851)+MIN(MAX(S851,0),'P-Parametri'!$B$8*(S851+R851)))</f>
        <v>35588.487617059312</v>
      </c>
      <c r="U851" s="18">
        <f>IF($A851&gt;('1-Input'!$B$26+3),S851,S851-MIN(MAX(S851,0),'P-Parametri'!$B$8*(S851+R851)))</f>
        <v>264605.99645992456</v>
      </c>
      <c r="V851" s="18">
        <f>IF($A851&gt;('1-Input'!$B$26+3),V850,V850-Q851*(1-P851))</f>
        <v>145330.96006317658</v>
      </c>
      <c r="W851" s="11">
        <f>IF($A851&gt;('1-Input'!$B$26+3),0,IF(AB850&lt;=0,0,MAX(0,(AB850-AC850)/AB850)))</f>
        <v>0.43559168992595754</v>
      </c>
      <c r="X851" s="18">
        <f>IF($A851&gt;('1-Input'!$B$26+3),0,(MAX(0,W836-IF($A851&gt;='1-Input'!$C$12,'1-Input'!$B$12,0))-MIN(MAX(AA850,0),MAX(0,W836-IF($A851&gt;='1-Input'!$C$12,'1-Input'!$B$12,0))))*(1/(1-'P-Parametri'!$B$6*W851))+MIN(MAX(0,AB850-(MAX(0,W836-IF($A851&gt;='1-Input'!$C$12,'1-Input'!$B$12,0))-MIN(MAX(AA850,0),MAX(0,W836-IF($A851&gt;='1-Input'!$C$12,'1-Input'!$B$12,0))))*(1/(1-'P-Parametri'!$B$6*W851))),MAX(0,2*W836-(AA850-MIN(MAX(AA850,0),MAX(0,W836-IF($A851&gt;='1-Input'!$C$12,'1-Input'!$B$12,0)))))*(1/(1-'P-Parametri'!$B$6*W851))))</f>
        <v>20101.935762972967</v>
      </c>
      <c r="Y851" s="18">
        <f>IF($A851&gt;('1-Input'!$B$26+3),AA850,(AA850-MAX(0,W836-IF($A851&gt;='1-Input'!$C$12,'1-Input'!$B$12,0))+X851*(1-'P-Parametri'!$B$6*W851))*(1+'1-Input'!$B$27))</f>
        <v>35268.35430329488</v>
      </c>
      <c r="Z851" s="18">
        <f>IF($A851&gt;('1-Input'!$B$26+3),AB850,(AB850-X851)*(1+'5-Roberta'!$C$4))</f>
        <v>268482.37538629281</v>
      </c>
      <c r="AA851" s="18">
        <f>IF($A851&gt;('1-Input'!$B$26+3),Y851,Y851-'P-Parametri'!$B$8*(Z851+Y851)+MIN(MAX(Z851,0),'P-Parametri'!$B$8*(Z851+Y851)))</f>
        <v>35268.35430329488</v>
      </c>
      <c r="AB851" s="18">
        <f>IF($A851&gt;('1-Input'!$B$26+3),Z851,Z851-MIN(MAX(Z851,0),'P-Parametri'!$B$8*(Z851+Y851)))</f>
        <v>267874.87392691366</v>
      </c>
      <c r="AC851" s="18">
        <f>IF($A851&gt;('1-Input'!$B$26+3),AC850,AC850-X851*(1-W851))</f>
        <v>147120.08133635166</v>
      </c>
      <c r="AD851" s="11">
        <f>IF($A851&gt;('1-Input'!$B$26+3),0,IF(AI850&lt;=0,0,MAX(0,(AI850-AJ850)/AI850)))</f>
        <v>0.43559328629017907</v>
      </c>
      <c r="AE851" s="18">
        <f>IF($A851&gt;('1-Input'!$B$26+3),0,(MAX(0,AD836-IF($A851&gt;='1-Input'!$C$12,'1-Input'!$B$12,0))-MIN(MAX(AH850,0),MAX(0,AD836-IF($A851&gt;='1-Input'!$C$12,'1-Input'!$B$12,0))))*(1/(1-'P-Parametri'!$B$6*AD851))+MIN(MAX(0,AI850-(MAX(0,AD836-IF($A851&gt;='1-Input'!$C$12,'1-Input'!$B$12,0))-MIN(MAX(AH850,0),MAX(0,AD836-IF($A851&gt;='1-Input'!$C$12,'1-Input'!$B$12,0))))*(1/(1-'P-Parametri'!$B$6*AD851))),MAX(0,2*AD836-(AH850-MIN(MAX(AH850,0),MAX(0,AD836-IF($A851&gt;='1-Input'!$C$12,'1-Input'!$B$12,0)))))*(1/(1-'P-Parametri'!$B$6*AD851))))</f>
        <v>20087.86170120534</v>
      </c>
      <c r="AF851" s="18">
        <f>IF($A851&gt;('1-Input'!$B$26+3),AH850,(AH850-MAX(0,AD836-IF($A851&gt;='1-Input'!$C$12,'1-Input'!$B$12,0))+AE851*(1-'P-Parametri'!$B$6*AD851))*(1+'1-Input'!$B$27))</f>
        <v>35243.64521006601</v>
      </c>
      <c r="AG851" s="18">
        <f>IF($A851&gt;('1-Input'!$B$26+3),AI850,(AI850-AE851)*(1+'5-Roberta'!$C$4))</f>
        <v>268735.13662808051</v>
      </c>
      <c r="AH851" s="18">
        <f>IF($A851&gt;('1-Input'!$B$26+3),AF851,AF851-'P-Parametri'!$B$8*(AG851+AF851)+MIN(MAX(AG851,0),'P-Parametri'!$B$8*(AG851+AF851)))</f>
        <v>35243.64521006601</v>
      </c>
      <c r="AI851" s="18">
        <f>IF($A851&gt;('1-Input'!$B$26+3),AG851,AG851-MIN(MAX(AG851,0),'P-Parametri'!$B$8*(AG851+AF851)))</f>
        <v>268127.17906440422</v>
      </c>
      <c r="AJ851" s="18">
        <f>IF($A851&gt;('1-Input'!$B$26+3),AJ850,AJ850-AE851*(1-AD851))</f>
        <v>147258.17021613073</v>
      </c>
      <c r="AK851" s="11">
        <f>IF($A851&gt;('1-Input'!$B$26+3),0,IF(AP850&lt;=0,0,MAX(0,(AP850-AQ850)/AP850)))</f>
        <v>0.43559328273792813</v>
      </c>
      <c r="AL851" s="18">
        <f>IF($A851&gt;('1-Input'!$B$26+3),0,(MAX(0,AK836-IF($A851&gt;='1-Input'!$C$12,'1-Input'!$B$12,0))-MIN(MAX(AO850,0),MAX(0,AK836-IF($A851&gt;='1-Input'!$C$12,'1-Input'!$B$12,0))))*(1/(1-'P-Parametri'!$B$6*AK851))+MIN(MAX(0,AP850-(MAX(0,AK836-IF($A851&gt;='1-Input'!$C$12,'1-Input'!$B$12,0))-MIN(MAX(AO850,0),MAX(0,AK836-IF($A851&gt;='1-Input'!$C$12,'1-Input'!$B$12,0))))*(1/(1-'P-Parametri'!$B$6*AK851))),MAX(0,2*AK836-(AO850-MIN(MAX(AO850,0),MAX(0,AK836-IF($A851&gt;='1-Input'!$C$12,'1-Input'!$B$12,0)))))*(1/(1-'P-Parametri'!$B$6*AK851))))</f>
        <v>20087.893033906599</v>
      </c>
      <c r="AM851" s="18">
        <f>IF($A851&gt;('1-Input'!$B$26+3),AO850,(AO850-MAX(0,AK836-IF($A851&gt;='1-Input'!$C$12,'1-Input'!$B$12,0))+AL851*(1-'P-Parametri'!$B$6*AK851))*(1+'1-Input'!$B$27))</f>
        <v>35243.700219205675</v>
      </c>
      <c r="AN851" s="18">
        <f>IF($A851&gt;('1-Input'!$B$26+3),AP850,(AP850-AL851)*(1+'5-Roberta'!$C$4))</f>
        <v>268734.57391289814</v>
      </c>
      <c r="AO851" s="18">
        <f>IF($A851&gt;('1-Input'!$B$26+3),AM851,AM851-'P-Parametri'!$B$8*(AN851+AM851)+MIN(MAX(AN851,0),'P-Parametri'!$B$8*(AN851+AM851)))</f>
        <v>35243.700219205675</v>
      </c>
      <c r="AP851" s="18">
        <f>IF($A851&gt;('1-Input'!$B$26+3),AN851,AN851-MIN(MAX(AN851,0),'P-Parametri'!$B$8*(AN851+AM851)))</f>
        <v>268126.61736463394</v>
      </c>
      <c r="AQ851" s="18">
        <f>IF($A851&gt;('1-Input'!$B$26+3),AQ850,AQ850-AL851*(1-AK851))</f>
        <v>147257.86279320429</v>
      </c>
    </row>
    <row r="852" spans="1:43">
      <c r="A852" s="10">
        <f>14</f>
        <v>14</v>
      </c>
      <c r="B852" s="11">
        <f>IF($A852&gt;('1-Input'!$B$26+3),0,IF(G851&lt;=0,0,MAX(0,(G851-H851)/G851)))</f>
        <v>0.45092882302983078</v>
      </c>
      <c r="C852" s="18">
        <f>IF($A852&gt;('1-Input'!$B$26+3),0,(MAX(0,B836-IF($A852&gt;='1-Input'!$C$12,'1-Input'!$B$12,0))-MIN(MAX(F851,0),MAX(0,B836-IF($A852&gt;='1-Input'!$C$12,'1-Input'!$B$12,0))))*(1/(1-'P-Parametri'!$B$6*B852))+MIN(MAX(0,G851-(MAX(0,B836-IF($A852&gt;='1-Input'!$C$12,'1-Input'!$B$12,0))-MIN(MAX(F851,0),MAX(0,B836-IF($A852&gt;='1-Input'!$C$12,'1-Input'!$B$12,0))))*(1/(1-'P-Parametri'!$B$6*B852))),MAX(0,2*B836-(F851-MIN(MAX(F851,0),MAX(0,B836-IF($A852&gt;='1-Input'!$C$12,'1-Input'!$B$12,0)))))*(1/(1-'P-Parametri'!$B$6*B852))))</f>
        <v>19032.565303492043</v>
      </c>
      <c r="D852" s="18">
        <f>IF($A852&gt;('1-Input'!$B$26+3),F851,(F851-MAX(0,B836-IF($A852&gt;='1-Input'!$C$12,'1-Input'!$B$12,0))+C852*(1-'P-Parametri'!$B$6*B852))*(1+'1-Input'!$B$27))</f>
        <v>33242.0070309863</v>
      </c>
      <c r="E852" s="18">
        <f>IF($A852&gt;('1-Input'!$B$26+3),G851,(G851-C852)*(1+'5-Roberta'!$C$4))</f>
        <v>277619.80773538642</v>
      </c>
      <c r="F852" s="18">
        <f>IF($A852&gt;('1-Input'!$B$26+3),D852,D852-'P-Parametri'!$B$8*(E852+D852)+MIN(MAX(E852,0),'P-Parametri'!$B$8*(E852+D852)))</f>
        <v>33242.0070309863</v>
      </c>
      <c r="G852" s="18">
        <f>IF($A852&gt;('1-Input'!$B$26+3),E852,E852-MIN(MAX(E852,0),'P-Parametri'!$B$8*(E852+D852)))</f>
        <v>276998.08410585369</v>
      </c>
      <c r="H852" s="18">
        <f>IF($A852&gt;('1-Input'!$B$26+3),H851,H851-C852*(1-B852))</f>
        <v>147993.23745970943</v>
      </c>
      <c r="I852" s="11">
        <f>IF($A852&gt;('1-Input'!$B$26+3),0,IF(N851&lt;=0,0,MAX(0,(N851-O851)/N851)))</f>
        <v>0.45002506223957389</v>
      </c>
      <c r="J852" s="18">
        <f>IF($A852&gt;('1-Input'!$B$26+3),0,(MAX(0,I836-IF($A852&gt;='1-Input'!$C$12,'1-Input'!$B$12,0))-MIN(MAX(M851,0),MAX(0,I836-IF($A852&gt;='1-Input'!$C$12,'1-Input'!$B$12,0))))*(1/(1-'P-Parametri'!$B$6*I852))+MIN(MAX(0,N851-(MAX(0,I836-IF($A852&gt;='1-Input'!$C$12,'1-Input'!$B$12,0))-MIN(MAX(M851,0),MAX(0,I836-IF($A852&gt;='1-Input'!$C$12,'1-Input'!$B$12,0))))*(1/(1-'P-Parametri'!$B$6*I852))),MAX(0,2*I836-(M851-MIN(MAX(M851,0),MAX(0,I836-IF($A852&gt;='1-Input'!$C$12,'1-Input'!$B$12,0)))))*(1/(1-'P-Parametri'!$B$6*I852))))</f>
        <v>25036.184805913705</v>
      </c>
      <c r="K852" s="18">
        <f>IF($A852&gt;('1-Input'!$B$26+3),M851,(M851-MAX(0,I836-IF($A852&gt;='1-Input'!$C$12,'1-Input'!$B$12,0))+J852*(1-'P-Parametri'!$B$6*I852))*(1+'1-Input'!$B$27))</f>
        <v>43739.482935508291</v>
      </c>
      <c r="L852" s="18">
        <f>IF($A852&gt;('1-Input'!$B$26+3),N851,(N851-J852)*(1+'5-Roberta'!$C$4))</f>
        <v>161038.71639625548</v>
      </c>
      <c r="M852" s="18">
        <f>IF($A852&gt;('1-Input'!$B$26+3),K852,K852-'P-Parametri'!$B$8*(L852+K852)+MIN(MAX(L852,0),'P-Parametri'!$B$8*(L852+K852)))</f>
        <v>43739.482935508291</v>
      </c>
      <c r="N852" s="18">
        <f>IF($A852&gt;('1-Input'!$B$26+3),L852,L852-MIN(MAX(L852,0),'P-Parametri'!$B$8*(L852+K852)))</f>
        <v>160629.15999759195</v>
      </c>
      <c r="O852" s="18">
        <f>IF($A852&gt;('1-Input'!$B$26+3),O851,O851-J852*(1-I852))</f>
        <v>85987.62915247526</v>
      </c>
      <c r="P852" s="11">
        <f>IF($A852&gt;('1-Input'!$B$26+3),0,IF(U851&lt;=0,0,MAX(0,(U851-V851)/U851)))</f>
        <v>0.45076467650956115</v>
      </c>
      <c r="Q852" s="18">
        <f>IF($A852&gt;('1-Input'!$B$26+3),0,(MAX(0,P836-IF($A852&gt;='1-Input'!$C$12,'1-Input'!$B$12,0))-MIN(MAX(T851,0),MAX(0,P836-IF($A852&gt;='1-Input'!$C$12,'1-Input'!$B$12,0))))*(1/(1-'P-Parametri'!$B$6*P852))+MIN(MAX(0,U851-(MAX(0,P836-IF($A852&gt;='1-Input'!$C$12,'1-Input'!$B$12,0))-MIN(MAX(T851,0),MAX(0,P836-IF($A852&gt;='1-Input'!$C$12,'1-Input'!$B$12,0))))*(1/(1-'P-Parametri'!$B$6*P852))),MAX(0,2*P836-(T851-MIN(MAX(T851,0),MAX(0,P836-IF($A852&gt;='1-Input'!$C$12,'1-Input'!$B$12,0)))))*(1/(1-'P-Parametri'!$B$6*P852))))</f>
        <v>20375.04741191398</v>
      </c>
      <c r="R852" s="18">
        <f>IF($A852&gt;('1-Input'!$B$26+3),T851,(T851-MAX(0,P836-IF($A852&gt;='1-Input'!$C$12,'1-Input'!$B$12,0))+Q852*(1-'P-Parametri'!$B$6*P852))*(1+'1-Input'!$B$27))</f>
        <v>35588.487617059305</v>
      </c>
      <c r="S852" s="18">
        <f>IF($A852&gt;('1-Input'!$B$26+3),U851,(U851-Q852)*(1+'5-Roberta'!$C$4))</f>
        <v>251557.87751945091</v>
      </c>
      <c r="T852" s="18">
        <f>IF($A852&gt;('1-Input'!$B$26+3),R852,R852-'P-Parametri'!$B$8*(S852+R852)+MIN(MAX(S852,0),'P-Parametri'!$B$8*(S852+R852)))</f>
        <v>35588.487617059305</v>
      </c>
      <c r="U852" s="18">
        <f>IF($A852&gt;('1-Input'!$B$26+3),S852,S852-MIN(MAX(S852,0),'P-Parametri'!$B$8*(S852+R852)))</f>
        <v>250983.5847891779</v>
      </c>
      <c r="V852" s="18">
        <f>IF($A852&gt;('1-Input'!$B$26+3),V851,V851-Q852*(1-P852))</f>
        <v>134140.26430676098</v>
      </c>
      <c r="W852" s="11">
        <f>IF($A852&gt;('1-Input'!$B$26+3),0,IF(AB851&lt;=0,0,MAX(0,(AB851-AC851)/AB851)))</f>
        <v>0.45078805197499949</v>
      </c>
      <c r="X852" s="18">
        <f>IF($A852&gt;('1-Input'!$B$26+3),0,(MAX(0,W836-IF($A852&gt;='1-Input'!$C$12,'1-Input'!$B$12,0))-MIN(MAX(AA851,0),MAX(0,W836-IF($A852&gt;='1-Input'!$C$12,'1-Input'!$B$12,0))))*(1/(1-'P-Parametri'!$B$6*W852))+MIN(MAX(0,AB851-(MAX(0,W836-IF($A852&gt;='1-Input'!$C$12,'1-Input'!$B$12,0))-MIN(MAX(AA851,0),MAX(0,W836-IF($A852&gt;='1-Input'!$C$12,'1-Input'!$B$12,0))))*(1/(1-'P-Parametri'!$B$6*W852))),MAX(0,2*W836-(AA851-MIN(MAX(AA851,0),MAX(0,W836-IF($A852&gt;='1-Input'!$C$12,'1-Input'!$B$12,0)))))*(1/(1-'P-Parametri'!$B$6*W852))))</f>
        <v>20191.904359070762</v>
      </c>
      <c r="Y852" s="18">
        <f>IF($A852&gt;('1-Input'!$B$26+3),AA851,(AA851-MAX(0,W836-IF($A852&gt;='1-Input'!$C$12,'1-Input'!$B$12,0))+X852*(1-'P-Parametri'!$B$6*W852))*(1+'1-Input'!$B$27))</f>
        <v>35268.35430329488</v>
      </c>
      <c r="Z852" s="18">
        <f>IF($A852&gt;('1-Input'!$B$26+3),AB851,(AB851-X852)*(1+'5-Roberta'!$C$4))</f>
        <v>255113.4586548782</v>
      </c>
      <c r="AA852" s="18">
        <f>IF($A852&gt;('1-Input'!$B$26+3),Y852,Y852-'P-Parametri'!$B$8*(Z852+Y852)+MIN(MAX(Z852,0),'P-Parametri'!$B$8*(Z852+Y852)))</f>
        <v>35268.35430329488</v>
      </c>
      <c r="AB852" s="18">
        <f>IF($A852&gt;('1-Input'!$B$26+3),Z852,Z852-MIN(MAX(Z852,0),'P-Parametri'!$B$8*(Z852+Y852)))</f>
        <v>254532.69502896184</v>
      </c>
      <c r="AC852" s="18">
        <f>IF($A852&gt;('1-Input'!$B$26+3),AC851,AC851-X852*(1-W852))</f>
        <v>136030.4462089719</v>
      </c>
      <c r="AD852" s="11">
        <f>IF($A852&gt;('1-Input'!$B$26+3),0,IF(AI851&lt;=0,0,MAX(0,(AI851-AJ851)/AI851)))</f>
        <v>0.45078984260391119</v>
      </c>
      <c r="AE852" s="18">
        <f>IF($A852&gt;('1-Input'!$B$26+3),0,(MAX(0,AD836-IF($A852&gt;='1-Input'!$C$12,'1-Input'!$B$12,0))-MIN(MAX(AH851,0),MAX(0,AD836-IF($A852&gt;='1-Input'!$C$12,'1-Input'!$B$12,0))))*(1/(1-'P-Parametri'!$B$6*AD852))+MIN(MAX(0,AI851-(MAX(0,AD836-IF($A852&gt;='1-Input'!$C$12,'1-Input'!$B$12,0))-MIN(MAX(AH851,0),MAX(0,AD836-IF($A852&gt;='1-Input'!$C$12,'1-Input'!$B$12,0))))*(1/(1-'P-Parametri'!$B$6*AD852))),MAX(0,2*AD836-(AH851-MIN(MAX(AH851,0),MAX(0,AD836-IF($A852&gt;='1-Input'!$C$12,'1-Input'!$B$12,0)))))*(1/(1-'P-Parametri'!$B$6*AD852))))</f>
        <v>20177.768503906216</v>
      </c>
      <c r="AF852" s="18">
        <f>IF($A852&gt;('1-Input'!$B$26+3),AH851,(AH851-MAX(0,AD836-IF($A852&gt;='1-Input'!$C$12,'1-Input'!$B$12,0))+AE852*(1-'P-Parametri'!$B$6*AD852))*(1+'1-Input'!$B$27))</f>
        <v>35243.64521006601</v>
      </c>
      <c r="AG852" s="18">
        <f>IF($A852&gt;('1-Input'!$B$26+3),AI851,(AI851-AE852)*(1+'5-Roberta'!$C$4))</f>
        <v>255387.89287731296</v>
      </c>
      <c r="AH852" s="18">
        <f>IF($A852&gt;('1-Input'!$B$26+3),AF852,AF852-'P-Parametri'!$B$8*(AG852+AF852)+MIN(MAX(AG852,0),'P-Parametri'!$B$8*(AG852+AF852)))</f>
        <v>35243.64521006601</v>
      </c>
      <c r="AI852" s="18">
        <f>IF($A852&gt;('1-Input'!$B$26+3),AG852,AG852-MIN(MAX(AG852,0),'P-Parametri'!$B$8*(AG852+AF852)))</f>
        <v>254806.62980113819</v>
      </c>
      <c r="AJ852" s="18">
        <f>IF($A852&gt;('1-Input'!$B$26+3),AJ851,AJ851-AE852*(1-AD852))</f>
        <v>136176.33480019856</v>
      </c>
      <c r="AK852" s="11">
        <f>IF($A852&gt;('1-Input'!$B$26+3),0,IF(AP851&lt;=0,0,MAX(0,(AP851-AQ851)/AP851)))</f>
        <v>0.4507898386196264</v>
      </c>
      <c r="AL852" s="18">
        <f>IF($A852&gt;('1-Input'!$B$26+3),0,(MAX(0,AK836-IF($A852&gt;='1-Input'!$C$12,'1-Input'!$B$12,0))-MIN(MAX(AO851,0),MAX(0,AK836-IF($A852&gt;='1-Input'!$C$12,'1-Input'!$B$12,0))))*(1/(1-'P-Parametri'!$B$6*AK852))+MIN(MAX(0,AP851-(MAX(0,AK836-IF($A852&gt;='1-Input'!$C$12,'1-Input'!$B$12,0))-MIN(MAX(AO851,0),MAX(0,AK836-IF($A852&gt;='1-Input'!$C$12,'1-Input'!$B$12,0))))*(1/(1-'P-Parametri'!$B$6*AK852))),MAX(0,2*AK836-(AO851-MIN(MAX(AO851,0),MAX(0,AK836-IF($A852&gt;='1-Input'!$C$12,'1-Input'!$B$12,0)))))*(1/(1-'P-Parametri'!$B$6*AK852))))</f>
        <v>20177.799974181034</v>
      </c>
      <c r="AM852" s="18">
        <f>IF($A852&gt;('1-Input'!$B$26+3),AO851,(AO851-MAX(0,AK836-IF($A852&gt;='1-Input'!$C$12,'1-Input'!$B$12,0))+AL852*(1-'P-Parametri'!$B$6*AK852))*(1+'1-Input'!$B$27))</f>
        <v>35243.700219205675</v>
      </c>
      <c r="AN852" s="18">
        <f>IF($A852&gt;('1-Input'!$B$26+3),AP851,(AP851-AL852)*(1+'5-Roberta'!$C$4))</f>
        <v>255387.28191216648</v>
      </c>
      <c r="AO852" s="18">
        <f>IF($A852&gt;('1-Input'!$B$26+3),AM852,AM852-'P-Parametri'!$B$8*(AN852+AM852)+MIN(MAX(AN852,0),'P-Parametri'!$B$8*(AN852+AM852)))</f>
        <v>35243.700219205675</v>
      </c>
      <c r="AP852" s="18">
        <f>IF($A852&gt;('1-Input'!$B$26+3),AN852,AN852-MIN(MAX(AN852,0),'P-Parametri'!$B$8*(AN852+AM852)))</f>
        <v>254806.01994790373</v>
      </c>
      <c r="AQ852" s="18">
        <f>IF($A852&gt;('1-Input'!$B$26+3),AQ851,AQ851-AL852*(1-AK852))</f>
        <v>136176.01001308343</v>
      </c>
    </row>
    <row r="853" spans="1:43">
      <c r="A853" s="10">
        <f>15</f>
        <v>15</v>
      </c>
      <c r="B853" s="11">
        <f>IF($A853&gt;('1-Input'!$B$26+3),0,IF(G852&lt;=0,0,MAX(0,(G852-H852)/G852)))</f>
        <v>0.46572468926119209</v>
      </c>
      <c r="C853" s="18">
        <f>IF($A853&gt;('1-Input'!$B$26+3),0,(MAX(0,B836-IF($A853&gt;='1-Input'!$C$12,'1-Input'!$B$12,0))-MIN(MAX(F852,0),MAX(0,B836-IF($A853&gt;='1-Input'!$C$12,'1-Input'!$B$12,0))))*(1/(1-'P-Parametri'!$B$6*B853))+MIN(MAX(0,G852-(MAX(0,B836-IF($A853&gt;='1-Input'!$C$12,'1-Input'!$B$12,0))-MIN(MAX(F852,0),MAX(0,B836-IF($A853&gt;='1-Input'!$C$12,'1-Input'!$B$12,0))))*(1/(1-'P-Parametri'!$B$6*B853))),MAX(0,2*B836-(F852-MIN(MAX(F852,0),MAX(0,B836-IF($A853&gt;='1-Input'!$C$12,'1-Input'!$B$12,0)))))*(1/(1-'P-Parametri'!$B$6*B853))))</f>
        <v>19115.869309344653</v>
      </c>
      <c r="D853" s="18">
        <f>IF($A853&gt;('1-Input'!$B$26+3),F852,(F852-MAX(0,B836-IF($A853&gt;='1-Input'!$C$12,'1-Input'!$B$12,0))+C853*(1-'P-Parametri'!$B$6*B853))*(1+'1-Input'!$B$27))</f>
        <v>33242.0070309863</v>
      </c>
      <c r="E853" s="18">
        <f>IF($A853&gt;('1-Input'!$B$26+3),G852,(G852-C853)*(1+'5-Roberta'!$C$4))</f>
        <v>265618.68124040432</v>
      </c>
      <c r="F853" s="18">
        <f>IF($A853&gt;('1-Input'!$B$26+3),D853,D853-'P-Parametri'!$B$8*(E853+D853)+MIN(MAX(E853,0),'P-Parametri'!$B$8*(E853+D853)))</f>
        <v>33242.0070309863</v>
      </c>
      <c r="G853" s="18">
        <f>IF($A853&gt;('1-Input'!$B$26+3),E853,E853-MIN(MAX(E853,0),'P-Parametri'!$B$8*(E853+D853)))</f>
        <v>265020.95986386156</v>
      </c>
      <c r="H853" s="18">
        <f>IF($A853&gt;('1-Input'!$B$26+3),H852,H852-C853*(1-B853))</f>
        <v>137780.10044441686</v>
      </c>
      <c r="I853" s="11">
        <f>IF($A853&gt;('1-Input'!$B$26+3),0,IF(N852&lt;=0,0,MAX(0,(N852-O852)/N852)))</f>
        <v>0.46468232073326954</v>
      </c>
      <c r="J853" s="18">
        <f>IF($A853&gt;('1-Input'!$B$26+3),0,(MAX(0,I836-IF($A853&gt;='1-Input'!$C$12,'1-Input'!$B$12,0))-MIN(MAX(M852,0),MAX(0,I836-IF($A853&gt;='1-Input'!$C$12,'1-Input'!$B$12,0))))*(1/(1-'P-Parametri'!$B$6*I853))+MIN(MAX(0,N852-(MAX(0,I836-IF($A853&gt;='1-Input'!$C$12,'1-Input'!$B$12,0))-MIN(MAX(M852,0),MAX(0,I836-IF($A853&gt;='1-Input'!$C$12,'1-Input'!$B$12,0))))*(1/(1-'P-Parametri'!$B$6*I853))),MAX(0,2*I836-(M852-MIN(MAX(M852,0),MAX(0,I836-IF($A853&gt;='1-Input'!$C$12,'1-Input'!$B$12,0)))))*(1/(1-'P-Parametri'!$B$6*I853))))</f>
        <v>25144.706149251226</v>
      </c>
      <c r="K853" s="18">
        <f>IF($A853&gt;('1-Input'!$B$26+3),M852,(M852-MAX(0,I836-IF($A853&gt;='1-Input'!$C$12,'1-Input'!$B$12,0))+J853*(1-'P-Parametri'!$B$6*I853))*(1+'1-Input'!$B$27))</f>
        <v>43739.482935508291</v>
      </c>
      <c r="L853" s="18">
        <f>IF($A853&gt;('1-Input'!$B$26+3),N852,(N852-J853)*(1+'5-Roberta'!$C$4))</f>
        <v>139548.98746379095</v>
      </c>
      <c r="M853" s="18">
        <f>IF($A853&gt;('1-Input'!$B$26+3),K853,K853-'P-Parametri'!$B$8*(L853+K853)+MIN(MAX(L853,0),'P-Parametri'!$B$8*(L853+K853)))</f>
        <v>43739.482935508291</v>
      </c>
      <c r="N853" s="18">
        <f>IF($A853&gt;('1-Input'!$B$26+3),L853,L853-MIN(MAX(L853,0),'P-Parametri'!$B$8*(L853+K853)))</f>
        <v>139182.41052299234</v>
      </c>
      <c r="O853" s="18">
        <f>IF($A853&gt;('1-Input'!$B$26+3),O852,O852-J853*(1-I853))</f>
        <v>72527.223410814215</v>
      </c>
      <c r="P853" s="11">
        <f>IF($A853&gt;('1-Input'!$B$26+3),0,IF(U852&lt;=0,0,MAX(0,(U852-V852)/U852)))</f>
        <v>0.46554168305693538</v>
      </c>
      <c r="Q853" s="18">
        <f>IF($A853&gt;('1-Input'!$B$26+3),0,(MAX(0,P836-IF($A853&gt;='1-Input'!$C$12,'1-Input'!$B$12,0))-MIN(MAX(T852,0),MAX(0,P836-IF($A853&gt;='1-Input'!$C$12,'1-Input'!$B$12,0))))*(1/(1-'P-Parametri'!$B$6*P853))+MIN(MAX(0,U852-(MAX(0,P836-IF($A853&gt;='1-Input'!$C$12,'1-Input'!$B$12,0))-MIN(MAX(T852,0),MAX(0,P836-IF($A853&gt;='1-Input'!$C$12,'1-Input'!$B$12,0))))*(1/(1-'P-Parametri'!$B$6*P853))),MAX(0,2*P836-(T852-MIN(MAX(T852,0),MAX(0,P836-IF($A853&gt;='1-Input'!$C$12,'1-Input'!$B$12,0)))))*(1/(1-'P-Parametri'!$B$6*P853))))</f>
        <v>20464.108858327618</v>
      </c>
      <c r="R853" s="18">
        <f>IF($A853&gt;('1-Input'!$B$26+3),T852,(T852-MAX(0,P836-IF($A853&gt;='1-Input'!$C$12,'1-Input'!$B$12,0))+Q853*(1-'P-Parametri'!$B$6*P853))*(1+'1-Input'!$B$27))</f>
        <v>35588.487617059305</v>
      </c>
      <c r="S853" s="18">
        <f>IF($A853&gt;('1-Input'!$B$26+3),U852,(U852-Q853)*(1+'5-Roberta'!$C$4))</f>
        <v>237435.0602087758</v>
      </c>
      <c r="T853" s="18">
        <f>IF($A853&gt;('1-Input'!$B$26+3),R853,R853-'P-Parametri'!$B$8*(S853+R853)+MIN(MAX(S853,0),'P-Parametri'!$B$8*(S853+R853)))</f>
        <v>35588.487617059305</v>
      </c>
      <c r="U853" s="18">
        <f>IF($A853&gt;('1-Input'!$B$26+3),S853,S853-MIN(MAX(S853,0),'P-Parametri'!$B$8*(S853+R853)))</f>
        <v>236889.01311312412</v>
      </c>
      <c r="V853" s="18">
        <f>IF($A853&gt;('1-Input'!$B$26+3),V852,V852-Q853*(1-P853))</f>
        <v>123203.05112859953</v>
      </c>
      <c r="W853" s="11">
        <f>IF($A853&gt;('1-Input'!$B$26+3),0,IF(AB852&lt;=0,0,MAX(0,(AB852-AC852)/AB852)))</f>
        <v>0.46556788630437529</v>
      </c>
      <c r="X853" s="18">
        <f>IF($A853&gt;('1-Input'!$B$26+3),0,(MAX(0,W836-IF($A853&gt;='1-Input'!$C$12,'1-Input'!$B$12,0))-MIN(MAX(AA852,0),MAX(0,W836-IF($A853&gt;='1-Input'!$C$12,'1-Input'!$B$12,0))))*(1/(1-'P-Parametri'!$B$6*W853))+MIN(MAX(0,AB852-(MAX(0,W836-IF($A853&gt;='1-Input'!$C$12,'1-Input'!$B$12,0))-MIN(MAX(AA852,0),MAX(0,W836-IF($A853&gt;='1-Input'!$C$12,'1-Input'!$B$12,0))))*(1/(1-'P-Parametri'!$B$6*W853))),MAX(0,2*W836-(AA852-MIN(MAX(AA852,0),MAX(0,W836-IF($A853&gt;='1-Input'!$C$12,'1-Input'!$B$12,0)))))*(1/(1-'P-Parametri'!$B$6*W853))))</f>
        <v>20280.182842376944</v>
      </c>
      <c r="Y853" s="18">
        <f>IF($A853&gt;('1-Input'!$B$26+3),AA852,(AA852-MAX(0,W836-IF($A853&gt;='1-Input'!$C$12,'1-Input'!$B$12,0))+X853*(1-'P-Parametri'!$B$6*W853))*(1+'1-Input'!$B$27))</f>
        <v>35268.354303294887</v>
      </c>
      <c r="Z853" s="18">
        <f>IF($A853&gt;('1-Input'!$B$26+3),AB852,(AB852-X853)*(1+'5-Roberta'!$C$4))</f>
        <v>241280.08755218246</v>
      </c>
      <c r="AA853" s="18">
        <f>IF($A853&gt;('1-Input'!$B$26+3),Y853,Y853-'P-Parametri'!$B$8*(Z853+Y853)+MIN(MAX(Z853,0),'P-Parametri'!$B$8*(Z853+Y853)))</f>
        <v>35268.354303294887</v>
      </c>
      <c r="AB853" s="18">
        <f>IF($A853&gt;('1-Input'!$B$26+3),Z853,Z853-MIN(MAX(Z853,0),'P-Parametri'!$B$8*(Z853+Y853)))</f>
        <v>240726.9906684715</v>
      </c>
      <c r="AC853" s="18">
        <f>IF($A853&gt;('1-Input'!$B$26+3),AC852,AC852-X853*(1-W853))</f>
        <v>125192.06522638665</v>
      </c>
      <c r="AD853" s="11">
        <f>IF($A853&gt;('1-Input'!$B$26+3),0,IF(AI852&lt;=0,0,MAX(0,(AI852-AJ852)/AI852)))</f>
        <v>0.46556989154294653</v>
      </c>
      <c r="AE853" s="18">
        <f>IF($A853&gt;('1-Input'!$B$26+3),0,(MAX(0,AD836-IF($A853&gt;='1-Input'!$C$12,'1-Input'!$B$12,0))-MIN(MAX(AH852,0),MAX(0,AD836-IF($A853&gt;='1-Input'!$C$12,'1-Input'!$B$12,0))))*(1/(1-'P-Parametri'!$B$6*AD853))+MIN(MAX(0,AI852-(MAX(0,AD836-IF($A853&gt;='1-Input'!$C$12,'1-Input'!$B$12,0))-MIN(MAX(AH852,0),MAX(0,AD836-IF($A853&gt;='1-Input'!$C$12,'1-Input'!$B$12,0))))*(1/(1-'P-Parametri'!$B$6*AD853))),MAX(0,2*AD836-(AH852-MIN(MAX(AH852,0),MAX(0,AD836-IF($A853&gt;='1-Input'!$C$12,'1-Input'!$B$12,0)))))*(1/(1-'P-Parametri'!$B$6*AD853))))</f>
        <v>20265.986518891914</v>
      </c>
      <c r="AF853" s="18">
        <f>IF($A853&gt;('1-Input'!$B$26+3),AH852,(AH852-MAX(0,AD836-IF($A853&gt;='1-Input'!$C$12,'1-Input'!$B$12,0))+AE853*(1-'P-Parametri'!$B$6*AD853))*(1+'1-Input'!$B$27))</f>
        <v>35243.64521006601</v>
      </c>
      <c r="AG853" s="18">
        <f>IF($A853&gt;('1-Input'!$B$26+3),AI852,(AI852-AE853)*(1+'5-Roberta'!$C$4))</f>
        <v>241576.86258071367</v>
      </c>
      <c r="AH853" s="18">
        <f>IF($A853&gt;('1-Input'!$B$26+3),AF853,AF853-'P-Parametri'!$B$8*(AG853+AF853)+MIN(MAX(AG853,0),'P-Parametri'!$B$8*(AG853+AF853)))</f>
        <v>35243.64521006601</v>
      </c>
      <c r="AI853" s="18">
        <f>IF($A853&gt;('1-Input'!$B$26+3),AG853,AG853-MIN(MAX(AG853,0),'P-Parametri'!$B$8*(AG853+AF853)))</f>
        <v>241023.22156513212</v>
      </c>
      <c r="AJ853" s="18">
        <f>IF($A853&gt;('1-Input'!$B$26+3),AJ852,AJ852-AE853*(1-AD853))</f>
        <v>125345.58142691797</v>
      </c>
      <c r="AK853" s="11">
        <f>IF($A853&gt;('1-Input'!$B$26+3),0,IF(AP852&lt;=0,0,MAX(0,(AP852-AQ852)/AP852)))</f>
        <v>0.46556988708145414</v>
      </c>
      <c r="AL853" s="18">
        <f>IF($A853&gt;('1-Input'!$B$26+3),0,(MAX(0,AK836-IF($A853&gt;='1-Input'!$C$12,'1-Input'!$B$12,0))-MIN(MAX(AO852,0),MAX(0,AK836-IF($A853&gt;='1-Input'!$C$12,'1-Input'!$B$12,0))))*(1/(1-'P-Parametri'!$B$6*AK853))+MIN(MAX(0,AP852-(MAX(0,AK836-IF($A853&gt;='1-Input'!$C$12,'1-Input'!$B$12,0))-MIN(MAX(AO852,0),MAX(0,AK836-IF($A853&gt;='1-Input'!$C$12,'1-Input'!$B$12,0))))*(1/(1-'P-Parametri'!$B$6*AK853))),MAX(0,2*AK836-(AO852-MIN(MAX(AO852,0),MAX(0,AK836-IF($A853&gt;='1-Input'!$C$12,'1-Input'!$B$12,0)))))*(1/(1-'P-Parametri'!$B$6*AK853))))</f>
        <v>20266.018123791284</v>
      </c>
      <c r="AM853" s="18">
        <f>IF($A853&gt;('1-Input'!$B$26+3),AO852,(AO852-MAX(0,AK836-IF($A853&gt;='1-Input'!$C$12,'1-Input'!$B$12,0))+AL853*(1-'P-Parametri'!$B$6*AK853))*(1+'1-Input'!$B$27))</f>
        <v>35243.700219205675</v>
      </c>
      <c r="AN853" s="18">
        <f>IF($A853&gt;('1-Input'!$B$26+3),AP852,(AP852-AL853)*(1+'5-Roberta'!$C$4))</f>
        <v>241576.20187883583</v>
      </c>
      <c r="AO853" s="18">
        <f>IF($A853&gt;('1-Input'!$B$26+3),AM853,AM853-'P-Parametri'!$B$8*(AN853+AM853)+MIN(MAX(AN853,0),'P-Parametri'!$B$8*(AN853+AM853)))</f>
        <v>35243.700219205675</v>
      </c>
      <c r="AP853" s="18">
        <f>IF($A853&gt;('1-Input'!$B$26+3),AN853,AN853-MIN(MAX(AN853,0),'P-Parametri'!$B$8*(AN853+AM853)))</f>
        <v>241022.56207463975</v>
      </c>
      <c r="AQ853" s="18">
        <f>IF($A853&gt;('1-Input'!$B$26+3),AQ852,AQ852-AL853*(1-AK853))</f>
        <v>125345.23965877637</v>
      </c>
    </row>
    <row r="854" spans="1:43">
      <c r="A854" s="10">
        <f>16</f>
        <v>16</v>
      </c>
      <c r="B854" s="11">
        <f>IF($A854&gt;('1-Input'!$B$26+3),0,IF(G853&lt;=0,0,MAX(0,(G853-H853)/G853)))</f>
        <v>0.48011621226036977</v>
      </c>
      <c r="C854" s="18">
        <f>IF($A854&gt;('1-Input'!$B$26+3),0,(MAX(0,B836-IF($A854&gt;='1-Input'!$C$12,'1-Input'!$B$12,0))-MIN(MAX(F853,0),MAX(0,B836-IF($A854&gt;='1-Input'!$C$12,'1-Input'!$B$12,0))))*(1/(1-'P-Parametri'!$B$6*B854))+MIN(MAX(0,G853-(MAX(0,B836-IF($A854&gt;='1-Input'!$C$12,'1-Input'!$B$12,0))-MIN(MAX(F853,0),MAX(0,B836-IF($A854&gt;='1-Input'!$C$12,'1-Input'!$B$12,0))))*(1/(1-'P-Parametri'!$B$6*B854))),MAX(0,2*B836-(F853-MIN(MAX(F853,0),MAX(0,B836-IF($A854&gt;='1-Input'!$C$12,'1-Input'!$B$12,0)))))*(1/(1-'P-Parametri'!$B$6*B854))))</f>
        <v>19197.599373811132</v>
      </c>
      <c r="D854" s="18">
        <f>IF($A854&gt;('1-Input'!$B$26+3),F853,(F853-MAX(0,B836-IF($A854&gt;='1-Input'!$C$12,'1-Input'!$B$12,0))+C854*(1-'P-Parametri'!$B$6*B854))*(1+'1-Input'!$B$27))</f>
        <v>33242.0070309863</v>
      </c>
      <c r="E854" s="18">
        <f>IF($A854&gt;('1-Input'!$B$26+3),G853,(G853-C854)*(1+'5-Roberta'!$C$4))</f>
        <v>253198.06130475196</v>
      </c>
      <c r="F854" s="18">
        <f>IF($A854&gt;('1-Input'!$B$26+3),D854,D854-'P-Parametri'!$B$8*(E854+D854)+MIN(MAX(E854,0),'P-Parametri'!$B$8*(E854+D854)))</f>
        <v>33242.0070309863</v>
      </c>
      <c r="G854" s="18">
        <f>IF($A854&gt;('1-Input'!$B$26+3),E854,E854-MIN(MAX(E854,0),'P-Parametri'!$B$8*(E854+D854)))</f>
        <v>252625.18116808048</v>
      </c>
      <c r="H854" s="18">
        <f>IF($A854&gt;('1-Input'!$B$26+3),H853,H853-C854*(1-B854))</f>
        <v>127799.57976645198</v>
      </c>
      <c r="I854" s="11">
        <f>IF($A854&gt;('1-Input'!$B$26+3),0,IF(N853&lt;=0,0,MAX(0,(N853-O853)/N853)))</f>
        <v>0.47890525003636847</v>
      </c>
      <c r="J854" s="18">
        <f>IF($A854&gt;('1-Input'!$B$26+3),0,(MAX(0,I836-IF($A854&gt;='1-Input'!$C$12,'1-Input'!$B$12,0))-MIN(MAX(M853,0),MAX(0,I836-IF($A854&gt;='1-Input'!$C$12,'1-Input'!$B$12,0))))*(1/(1-'P-Parametri'!$B$6*I854))+MIN(MAX(0,N853-(MAX(0,I836-IF($A854&gt;='1-Input'!$C$12,'1-Input'!$B$12,0))-MIN(MAX(M853,0),MAX(0,I836-IF($A854&gt;='1-Input'!$C$12,'1-Input'!$B$12,0))))*(1/(1-'P-Parametri'!$B$6*I854))),MAX(0,2*I836-(M853-MIN(MAX(M853,0),MAX(0,I836-IF($A854&gt;='1-Input'!$C$12,'1-Input'!$B$12,0)))))*(1/(1-'P-Parametri'!$B$6*I854))))</f>
        <v>25250.914932980577</v>
      </c>
      <c r="K854" s="18">
        <f>IF($A854&gt;('1-Input'!$B$26+3),M853,(M853-MAX(0,I836-IF($A854&gt;='1-Input'!$C$12,'1-Input'!$B$12,0))+J854*(1-'P-Parametri'!$B$6*I854))*(1+'1-Input'!$B$27))</f>
        <v>43739.482935508291</v>
      </c>
      <c r="L854" s="18">
        <f>IF($A854&gt;('1-Input'!$B$26+3),N853,(N853-J854)*(1+'5-Roberta'!$C$4))</f>
        <v>117349.44045771212</v>
      </c>
      <c r="M854" s="18">
        <f>IF($A854&gt;('1-Input'!$B$26+3),K854,K854-'P-Parametri'!$B$8*(L854+K854)+MIN(MAX(L854,0),'P-Parametri'!$B$8*(L854+K854)))</f>
        <v>43739.482935508291</v>
      </c>
      <c r="N854" s="18">
        <f>IF($A854&gt;('1-Input'!$B$26+3),L854,L854-MIN(MAX(L854,0),'P-Parametri'!$B$8*(L854+K854)))</f>
        <v>117027.26261092568</v>
      </c>
      <c r="O854" s="18">
        <f>IF($A854&gt;('1-Input'!$B$26+3),O853,O853-J854*(1-I854))</f>
        <v>59369.104207459772</v>
      </c>
      <c r="P854" s="11">
        <f>IF($A854&gt;('1-Input'!$B$26+3),0,IF(U853&lt;=0,0,MAX(0,(U853-V853)/U853)))</f>
        <v>0.47991234583021769</v>
      </c>
      <c r="Q854" s="18">
        <f>IF($A854&gt;('1-Input'!$B$26+3),0,(MAX(0,P836-IF($A854&gt;='1-Input'!$C$12,'1-Input'!$B$12,0))-MIN(MAX(T853,0),MAX(0,P836-IF($A854&gt;='1-Input'!$C$12,'1-Input'!$B$12,0))))*(1/(1-'P-Parametri'!$B$6*P854))+MIN(MAX(0,U853-(MAX(0,P836-IF($A854&gt;='1-Input'!$C$12,'1-Input'!$B$12,0))-MIN(MAX(T853,0),MAX(0,P836-IF($A854&gt;='1-Input'!$C$12,'1-Input'!$B$12,0))))*(1/(1-'P-Parametri'!$B$6*P854))),MAX(0,2*P836-(T853-MIN(MAX(T853,0),MAX(0,P836-IF($A854&gt;='1-Input'!$C$12,'1-Input'!$B$12,0)))))*(1/(1-'P-Parametri'!$B$6*P854))))</f>
        <v>20551.471219979478</v>
      </c>
      <c r="R854" s="18">
        <f>IF($A854&gt;('1-Input'!$B$26+3),T853,(T853-MAX(0,P836-IF($A854&gt;='1-Input'!$C$12,'1-Input'!$B$12,0))+Q854*(1-'P-Parametri'!$B$6*P854))*(1+'1-Input'!$B$27))</f>
        <v>35588.487617059312</v>
      </c>
      <c r="S854" s="18">
        <f>IF($A854&gt;('1-Input'!$B$26+3),U853,(U853-Q854)*(1+'5-Roberta'!$C$4))</f>
        <v>222827.66814993898</v>
      </c>
      <c r="T854" s="18">
        <f>IF($A854&gt;('1-Input'!$B$26+3),R854,R854-'P-Parametri'!$B$8*(S854+R854)+MIN(MAX(S854,0),'P-Parametri'!$B$8*(S854+R854)))</f>
        <v>35588.487617059312</v>
      </c>
      <c r="U854" s="18">
        <f>IF($A854&gt;('1-Input'!$B$26+3),S854,S854-MIN(MAX(S854,0),'P-Parametri'!$B$8*(S854+R854)))</f>
        <v>222310.83583840498</v>
      </c>
      <c r="V854" s="18">
        <f>IF($A854&gt;('1-Input'!$B$26+3),V853,V853-Q854*(1-P854))</f>
        <v>112514.48467206261</v>
      </c>
      <c r="W854" s="11">
        <f>IF($A854&gt;('1-Input'!$B$26+3),0,IF(AB853&lt;=0,0,MAX(0,(AB853-AC853)/AB853)))</f>
        <v>0.47994171788239237</v>
      </c>
      <c r="X854" s="18">
        <f>IF($A854&gt;('1-Input'!$B$26+3),0,(MAX(0,W836-IF($A854&gt;='1-Input'!$C$12,'1-Input'!$B$12,0))-MIN(MAX(AA853,0),MAX(0,W836-IF($A854&gt;='1-Input'!$C$12,'1-Input'!$B$12,0))))*(1/(1-'P-Parametri'!$B$6*W854))+MIN(MAX(0,AB853-(MAX(0,W836-IF($A854&gt;='1-Input'!$C$12,'1-Input'!$B$12,0))-MIN(MAX(AA853,0),MAX(0,W836-IF($A854&gt;='1-Input'!$C$12,'1-Input'!$B$12,0))))*(1/(1-'P-Parametri'!$B$6*W854))),MAX(0,2*W836-(AA853-MIN(MAX(AA853,0),MAX(0,W836-IF($A854&gt;='1-Input'!$C$12,'1-Input'!$B$12,0)))))*(1/(1-'P-Parametri'!$B$6*W854))))</f>
        <v>20366.779860461298</v>
      </c>
      <c r="Y854" s="18">
        <f>IF($A854&gt;('1-Input'!$B$26+3),AA853,(AA853-MAX(0,W836-IF($A854&gt;='1-Input'!$C$12,'1-Input'!$B$12,0))+X854*(1-'P-Parametri'!$B$6*W854))*(1+'1-Input'!$B$27))</f>
        <v>35268.354303294895</v>
      </c>
      <c r="Z854" s="18">
        <f>IF($A854&gt;('1-Input'!$B$26+3),AB853,(AB853-X854)*(1+'5-Roberta'!$C$4))</f>
        <v>226971.0171322505</v>
      </c>
      <c r="AA854" s="18">
        <f>IF($A854&gt;('1-Input'!$B$26+3),Y854,Y854-'P-Parametri'!$B$8*(Z854+Y854)+MIN(MAX(Z854,0),'P-Parametri'!$B$8*(Z854+Y854)))</f>
        <v>35268.354303294895</v>
      </c>
      <c r="AB854" s="18">
        <f>IF($A854&gt;('1-Input'!$B$26+3),Z854,Z854-MIN(MAX(Z854,0),'P-Parametri'!$B$8*(Z854+Y854)))</f>
        <v>226446.53838937942</v>
      </c>
      <c r="AC854" s="18">
        <f>IF($A854&gt;('1-Input'!$B$26+3),AC853,AC853-X854*(1-W854))</f>
        <v>114600.15267988766</v>
      </c>
      <c r="AD854" s="11">
        <f>IF($A854&gt;('1-Input'!$B$26+3),0,IF(AI853&lt;=0,0,MAX(0,(AI853-AJ853)/AI853)))</f>
        <v>0.4799439630216476</v>
      </c>
      <c r="AE854" s="18">
        <f>IF($A854&gt;('1-Input'!$B$26+3),0,(MAX(0,AD836-IF($A854&gt;='1-Input'!$C$12,'1-Input'!$B$12,0))-MIN(MAX(AH853,0),MAX(0,AD836-IF($A854&gt;='1-Input'!$C$12,'1-Input'!$B$12,0))))*(1/(1-'P-Parametri'!$B$6*AD854))+MIN(MAX(0,AI853-(MAX(0,AD836-IF($A854&gt;='1-Input'!$C$12,'1-Input'!$B$12,0))-MIN(MAX(AH853,0),MAX(0,AD836-IF($A854&gt;='1-Input'!$C$12,'1-Input'!$B$12,0))))*(1/(1-'P-Parametri'!$B$6*AD854))),MAX(0,2*AD836-(AH853-MIN(MAX(AH853,0),MAX(0,AD836-IF($A854&gt;='1-Input'!$C$12,'1-Input'!$B$12,0)))))*(1/(1-'P-Parametri'!$B$6*AD854))))</f>
        <v>20352.524420247573</v>
      </c>
      <c r="AF854" s="18">
        <f>IF($A854&gt;('1-Input'!$B$26+3),AH853,(AH853-MAX(0,AD836-IF($A854&gt;='1-Input'!$C$12,'1-Input'!$B$12,0))+AE854*(1-'P-Parametri'!$B$6*AD854))*(1+'1-Input'!$B$27))</f>
        <v>35243.64521006601</v>
      </c>
      <c r="AG854" s="18">
        <f>IF($A854&gt;('1-Input'!$B$26+3),AI853,(AI853-AE854)*(1+'5-Roberta'!$C$4))</f>
        <v>227290.8180592311</v>
      </c>
      <c r="AH854" s="18">
        <f>IF($A854&gt;('1-Input'!$B$26+3),AF854,AF854-'P-Parametri'!$B$8*(AG854+AF854)+MIN(MAX(AG854,0),'P-Parametri'!$B$8*(AG854+AF854)))</f>
        <v>35243.64521006601</v>
      </c>
      <c r="AI854" s="18">
        <f>IF($A854&gt;('1-Input'!$B$26+3),AG854,AG854-MIN(MAX(AG854,0),'P-Parametri'!$B$8*(AG854+AF854)))</f>
        <v>226765.74913269249</v>
      </c>
      <c r="AJ854" s="18">
        <f>IF($A854&gt;('1-Input'!$B$26+3),AJ853,AJ853-AE854*(1-AD854))</f>
        <v>114761.12823441888</v>
      </c>
      <c r="AK854" s="11">
        <f>IF($A854&gt;('1-Input'!$B$26+3),0,IF(AP853&lt;=0,0,MAX(0,(AP853-AQ853)/AP853)))</f>
        <v>0.47994395802680284</v>
      </c>
      <c r="AL854" s="18">
        <f>IF($A854&gt;('1-Input'!$B$26+3),0,(MAX(0,AK836-IF($A854&gt;='1-Input'!$C$12,'1-Input'!$B$12,0))-MIN(MAX(AO853,0),MAX(0,AK836-IF($A854&gt;='1-Input'!$C$12,'1-Input'!$B$12,0))))*(1/(1-'P-Parametri'!$B$6*AK854))+MIN(MAX(0,AP853-(MAX(0,AK836-IF($A854&gt;='1-Input'!$C$12,'1-Input'!$B$12,0))-MIN(MAX(AO853,0),MAX(0,AK836-IF($A854&gt;='1-Input'!$C$12,'1-Input'!$B$12,0))))*(1/(1-'P-Parametri'!$B$6*AK854))),MAX(0,2*AK836-(AO853-MIN(MAX(AO853,0),MAX(0,AK836-IF($A854&gt;='1-Input'!$C$12,'1-Input'!$B$12,0)))))*(1/(1-'P-Parametri'!$B$6*AK854))))</f>
        <v>20352.556156763785</v>
      </c>
      <c r="AM854" s="18">
        <f>IF($A854&gt;('1-Input'!$B$26+3),AO853,(AO853-MAX(0,AK836-IF($A854&gt;='1-Input'!$C$12,'1-Input'!$B$12,0))+AL854*(1-'P-Parametri'!$B$6*AK854))*(1+'1-Input'!$B$27))</f>
        <v>35243.700219205675</v>
      </c>
      <c r="AN854" s="18">
        <f>IF($A854&gt;('1-Input'!$B$26+3),AP853,(AP853-AL854)*(1+'5-Roberta'!$C$4))</f>
        <v>227290.10609541225</v>
      </c>
      <c r="AO854" s="18">
        <f>IF($A854&gt;('1-Input'!$B$26+3),AM854,AM854-'P-Parametri'!$B$8*(AN854+AM854)+MIN(MAX(AN854,0),'P-Parametri'!$B$8*(AN854+AM854)))</f>
        <v>35243.700219205675</v>
      </c>
      <c r="AP854" s="18">
        <f>IF($A854&gt;('1-Input'!$B$26+3),AN854,AN854-MIN(MAX(AN854,0),'P-Parametri'!$B$8*(AN854+AM854)))</f>
        <v>226765.03848278301</v>
      </c>
      <c r="AQ854" s="18">
        <f>IF($A854&gt;('1-Input'!$B$26+3),AQ853,AQ853-AL854*(1-AK854))</f>
        <v>114760.76985985256</v>
      </c>
    </row>
    <row r="855" spans="1:43">
      <c r="A855" s="10">
        <f>17</f>
        <v>17</v>
      </c>
      <c r="B855" s="11">
        <f>IF($A855&gt;('1-Input'!$B$26+3),0,IF(G854&lt;=0,0,MAX(0,(G854-H854)/G854)))</f>
        <v>0.49411385208894759</v>
      </c>
      <c r="C855" s="18">
        <f>IF($A855&gt;('1-Input'!$B$26+3),0,(MAX(0,B836-IF($A855&gt;='1-Input'!$C$12,'1-Input'!$B$12,0))-MIN(MAX(F854,0),MAX(0,B836-IF($A855&gt;='1-Input'!$C$12,'1-Input'!$B$12,0))))*(1/(1-'P-Parametri'!$B$6*B855))+MIN(MAX(0,G854-(MAX(0,B836-IF($A855&gt;='1-Input'!$C$12,'1-Input'!$B$12,0))-MIN(MAX(F854,0),MAX(0,B836-IF($A855&gt;='1-Input'!$C$12,'1-Input'!$B$12,0))))*(1/(1-'P-Parametri'!$B$6*B855))),MAX(0,2*B836-(F854-MIN(MAX(F854,0),MAX(0,B836-IF($A855&gt;='1-Input'!$C$12,'1-Input'!$B$12,0)))))*(1/(1-'P-Parametri'!$B$6*B855))))</f>
        <v>19277.765804427632</v>
      </c>
      <c r="D855" s="18">
        <f>IF($A855&gt;('1-Input'!$B$26+3),F854,(F854-MAX(0,B836-IF($A855&gt;='1-Input'!$C$12,'1-Input'!$B$12,0))+C855*(1-'P-Parametri'!$B$6*B855))*(1+'1-Input'!$B$27))</f>
        <v>33242.0070309863</v>
      </c>
      <c r="E855" s="18">
        <f>IF($A855&gt;('1-Input'!$B$26+3),G854,(G854-C855)*(1+'5-Roberta'!$C$4))</f>
        <v>240347.83782456245</v>
      </c>
      <c r="F855" s="18">
        <f>IF($A855&gt;('1-Input'!$B$26+3),D855,D855-'P-Parametri'!$B$8*(E855+D855)+MIN(MAX(E855,0),'P-Parametri'!$B$8*(E855+D855)))</f>
        <v>33242.0070309863</v>
      </c>
      <c r="G855" s="18">
        <f>IF($A855&gt;('1-Input'!$B$26+3),E855,E855-MIN(MAX(E855,0),'P-Parametri'!$B$8*(E855+D855)))</f>
        <v>239800.65813485134</v>
      </c>
      <c r="H855" s="18">
        <f>IF($A855&gt;('1-Input'!$B$26+3),H854,H854-C855*(1-B855))</f>
        <v>118047.22508331867</v>
      </c>
      <c r="I855" s="11">
        <f>IF($A855&gt;('1-Input'!$B$26+3),0,IF(N854&lt;=0,0,MAX(0,(N854-O854)/N854)))</f>
        <v>0.49268996913273894</v>
      </c>
      <c r="J855" s="18">
        <f>IF($A855&gt;('1-Input'!$B$26+3),0,(MAX(0,I836-IF($A855&gt;='1-Input'!$C$12,'1-Input'!$B$12,0))-MIN(MAX(M854,0),MAX(0,I836-IF($A855&gt;='1-Input'!$C$12,'1-Input'!$B$12,0))))*(1/(1-'P-Parametri'!$B$6*I855))+MIN(MAX(0,N854-(MAX(0,I836-IF($A855&gt;='1-Input'!$C$12,'1-Input'!$B$12,0))-MIN(MAX(M854,0),MAX(0,I836-IF($A855&gt;='1-Input'!$C$12,'1-Input'!$B$12,0))))*(1/(1-'P-Parametri'!$B$6*I855))),MAX(0,2*I836-(M854-MIN(MAX(M854,0),MAX(0,I836-IF($A855&gt;='1-Input'!$C$12,'1-Input'!$B$12,0)))))*(1/(1-'P-Parametri'!$B$6*I855))))</f>
        <v>25354.711121650627</v>
      </c>
      <c r="K855" s="18">
        <f>IF($A855&gt;('1-Input'!$B$26+3),M854,(M854-MAX(0,I836-IF($A855&gt;='1-Input'!$C$12,'1-Input'!$B$12,0))+J855*(1-'P-Parametri'!$B$6*I855))*(1+'1-Input'!$B$27))</f>
        <v>43739.482935508291</v>
      </c>
      <c r="L855" s="18">
        <f>IF($A855&gt;('1-Input'!$B$26+3),N854,(N854-J855)*(1+'5-Roberta'!$C$4))</f>
        <v>94422.728033953303</v>
      </c>
      <c r="M855" s="18">
        <f>IF($A855&gt;('1-Input'!$B$26+3),K855,K855-'P-Parametri'!$B$8*(L855+K855)+MIN(MAX(L855,0),'P-Parametri'!$B$8*(L855+K855)))</f>
        <v>43739.482935508291</v>
      </c>
      <c r="N855" s="18">
        <f>IF($A855&gt;('1-Input'!$B$26+3),L855,L855-MIN(MAX(L855,0),'P-Parametri'!$B$8*(L855+K855)))</f>
        <v>94146.403612014386</v>
      </c>
      <c r="O855" s="18">
        <f>IF($A855&gt;('1-Input'!$B$26+3),O854,O854-J855*(1-I855))</f>
        <v>46506.404925704701</v>
      </c>
      <c r="P855" s="11">
        <f>IF($A855&gt;('1-Input'!$B$26+3),0,IF(U854&lt;=0,0,MAX(0,(U854-V854)/U854)))</f>
        <v>0.49388663738438732</v>
      </c>
      <c r="Q855" s="18">
        <f>IF($A855&gt;('1-Input'!$B$26+3),0,(MAX(0,P836-IF($A855&gt;='1-Input'!$C$12,'1-Input'!$B$12,0))-MIN(MAX(T854,0),MAX(0,P836-IF($A855&gt;='1-Input'!$C$12,'1-Input'!$B$12,0))))*(1/(1-'P-Parametri'!$B$6*P855))+MIN(MAX(0,U854-(MAX(0,P836-IF($A855&gt;='1-Input'!$C$12,'1-Input'!$B$12,0))-MIN(MAX(T854,0),MAX(0,P836-IF($A855&gt;='1-Input'!$C$12,'1-Input'!$B$12,0))))*(1/(1-'P-Parametri'!$B$6*P855))),MAX(0,2*P836-(T854-MIN(MAX(T854,0),MAX(0,P836-IF($A855&gt;='1-Input'!$C$12,'1-Input'!$B$12,0)))))*(1/(1-'P-Parametri'!$B$6*P855))))</f>
        <v>20637.142269692875</v>
      </c>
      <c r="R855" s="18">
        <f>IF($A855&gt;('1-Input'!$B$26+3),T854,(T854-MAX(0,P836-IF($A855&gt;='1-Input'!$C$12,'1-Input'!$B$12,0))+Q855*(1-'P-Parametri'!$B$6*P855))*(1+'1-Input'!$B$27))</f>
        <v>35588.487617059305</v>
      </c>
      <c r="S855" s="18">
        <f>IF($A855&gt;('1-Input'!$B$26+3),U854,(U854-Q855)*(1+'5-Roberta'!$C$4))</f>
        <v>207723.90437577348</v>
      </c>
      <c r="T855" s="18">
        <f>IF($A855&gt;('1-Input'!$B$26+3),R855,R855-'P-Parametri'!$B$8*(S855+R855)+MIN(MAX(S855,0),'P-Parametri'!$B$8*(S855+R855)))</f>
        <v>35588.487617059305</v>
      </c>
      <c r="U855" s="18">
        <f>IF($A855&gt;('1-Input'!$B$26+3),S855,S855-MIN(MAX(S855,0),'P-Parametri'!$B$8*(S855+R855)))</f>
        <v>207237.27959178781</v>
      </c>
      <c r="V855" s="18">
        <f>IF($A855&gt;('1-Input'!$B$26+3),V854,V854-Q855*(1-P855))</f>
        <v>102069.75120317155</v>
      </c>
      <c r="W855" s="11">
        <f>IF($A855&gt;('1-Input'!$B$26+3),0,IF(AB854&lt;=0,0,MAX(0,(AB854-AC854)/AB854)))</f>
        <v>0.49391960903888771</v>
      </c>
      <c r="X855" s="18">
        <f>IF($A855&gt;('1-Input'!$B$26+3),0,(MAX(0,W836-IF($A855&gt;='1-Input'!$C$12,'1-Input'!$B$12,0))-MIN(MAX(AA854,0),MAX(0,W836-IF($A855&gt;='1-Input'!$C$12,'1-Input'!$B$12,0))))*(1/(1-'P-Parametri'!$B$6*W855))+MIN(MAX(0,AB854-(MAX(0,W836-IF($A855&gt;='1-Input'!$C$12,'1-Input'!$B$12,0))-MIN(MAX(AA854,0),MAX(0,W836-IF($A855&gt;='1-Input'!$C$12,'1-Input'!$B$12,0))))*(1/(1-'P-Parametri'!$B$6*W855))),MAX(0,2*W836-(AA854-MIN(MAX(AA854,0),MAX(0,W836-IF($A855&gt;='1-Input'!$C$12,'1-Input'!$B$12,0)))))*(1/(1-'P-Parametri'!$B$6*W855))))</f>
        <v>20451.703708844518</v>
      </c>
      <c r="Y855" s="18">
        <f>IF($A855&gt;('1-Input'!$B$26+3),AA854,(AA854-MAX(0,W836-IF($A855&gt;='1-Input'!$C$12,'1-Input'!$B$12,0))+X855*(1-'P-Parametri'!$B$6*W855))*(1+'1-Input'!$B$27))</f>
        <v>35268.354303294887</v>
      </c>
      <c r="Z855" s="18">
        <f>IF($A855&gt;('1-Input'!$B$26+3),AB854,(AB854-X855)*(1+'5-Roberta'!$C$4))</f>
        <v>212174.67972095095</v>
      </c>
      <c r="AA855" s="18">
        <f>IF($A855&gt;('1-Input'!$B$26+3),Y855,Y855-'P-Parametri'!$B$8*(Z855+Y855)+MIN(MAX(Z855,0),'P-Parametri'!$B$8*(Z855+Y855)))</f>
        <v>35268.354303294887</v>
      </c>
      <c r="AB855" s="18">
        <f>IF($A855&gt;('1-Input'!$B$26+3),Z855,Z855-MIN(MAX(Z855,0),'P-Parametri'!$B$8*(Z855+Y855)))</f>
        <v>211679.79365290247</v>
      </c>
      <c r="AC855" s="18">
        <f>IF($A855&gt;('1-Input'!$B$26+3),AC854,AC854-X855*(1-W855))</f>
        <v>104249.94647109479</v>
      </c>
      <c r="AD855" s="11">
        <f>IF($A855&gt;('1-Input'!$B$26+3),0,IF(AI854&lt;=0,0,MAX(0,(AI854-AJ854)/AI854)))</f>
        <v>0.49392212592358403</v>
      </c>
      <c r="AE855" s="18">
        <f>IF($A855&gt;('1-Input'!$B$26+3),0,(MAX(0,AD836-IF($A855&gt;='1-Input'!$C$12,'1-Input'!$B$12,0))-MIN(MAX(AH854,0),MAX(0,AD836-IF($A855&gt;='1-Input'!$C$12,'1-Input'!$B$12,0))))*(1/(1-'P-Parametri'!$B$6*AD855))+MIN(MAX(0,AI854-(MAX(0,AD836-IF($A855&gt;='1-Input'!$C$12,'1-Input'!$B$12,0))-MIN(MAX(AH854,0),MAX(0,AD836-IF($A855&gt;='1-Input'!$C$12,'1-Input'!$B$12,0))))*(1/(1-'P-Parametri'!$B$6*AD855))),MAX(0,2*AD836-(AH854-MIN(MAX(AH854,0),MAX(0,AD836-IF($A855&gt;='1-Input'!$C$12,'1-Input'!$B$12,0)))))*(1/(1-'P-Parametri'!$B$6*AD855))))</f>
        <v>20437.390540956054</v>
      </c>
      <c r="AF855" s="18">
        <f>IF($A855&gt;('1-Input'!$B$26+3),AH854,(AH854-MAX(0,AD836-IF($A855&gt;='1-Input'!$C$12,'1-Input'!$B$12,0))+AE855*(1-'P-Parametri'!$B$6*AD855))*(1+'1-Input'!$B$27))</f>
        <v>35243.64521006601</v>
      </c>
      <c r="AG855" s="18">
        <f>IF($A855&gt;('1-Input'!$B$26+3),AI854,(AI854-AE855)*(1+'5-Roberta'!$C$4))</f>
        <v>212518.20934948855</v>
      </c>
      <c r="AH855" s="18">
        <f>IF($A855&gt;('1-Input'!$B$26+3),AF855,AF855-'P-Parametri'!$B$8*(AG855+AF855)+MIN(MAX(AG855,0),'P-Parametri'!$B$8*(AG855+AF855)))</f>
        <v>35243.64521006601</v>
      </c>
      <c r="AI855" s="18">
        <f>IF($A855&gt;('1-Input'!$B$26+3),AG855,AG855-MIN(MAX(AG855,0),'P-Parametri'!$B$8*(AG855+AF855)))</f>
        <v>212022.68564036943</v>
      </c>
      <c r="AJ855" s="18">
        <f>IF($A855&gt;('1-Input'!$B$26+3),AJ854,AJ854-AE855*(1-AD855))</f>
        <v>104418.21707778239</v>
      </c>
      <c r="AK855" s="11">
        <f>IF($A855&gt;('1-Input'!$B$26+3),0,IF(AP854&lt;=0,0,MAX(0,(AP854-AQ854)/AP854)))</f>
        <v>0.49392212032470917</v>
      </c>
      <c r="AL855" s="18">
        <f>IF($A855&gt;('1-Input'!$B$26+3),0,(MAX(0,AK836-IF($A855&gt;='1-Input'!$C$12,'1-Input'!$B$12,0))-MIN(MAX(AO854,0),MAX(0,AK836-IF($A855&gt;='1-Input'!$C$12,'1-Input'!$B$12,0))))*(1/(1-'P-Parametri'!$B$6*AK855))+MIN(MAX(0,AP854-(MAX(0,AK836-IF($A855&gt;='1-Input'!$C$12,'1-Input'!$B$12,0))-MIN(MAX(AO854,0),MAX(0,AK836-IF($A855&gt;='1-Input'!$C$12,'1-Input'!$B$12,0))))*(1/(1-'P-Parametri'!$B$6*AK855))),MAX(0,2*AK836-(AO854-MIN(MAX(AO854,0),MAX(0,AK836-IF($A855&gt;='1-Input'!$C$12,'1-Input'!$B$12,0)))))*(1/(1-'P-Parametri'!$B$6*AK855))))</f>
        <v>20437.42240599843</v>
      </c>
      <c r="AM855" s="18">
        <f>IF($A855&gt;('1-Input'!$B$26+3),AO854,(AO854-MAX(0,AK836-IF($A855&gt;='1-Input'!$C$12,'1-Input'!$B$12,0))+AL855*(1-'P-Parametri'!$B$6*AK855))*(1+'1-Input'!$B$27))</f>
        <v>35243.700219205675</v>
      </c>
      <c r="AN855" s="18">
        <f>IF($A855&gt;('1-Input'!$B$26+3),AP854,(AP854-AL855)*(1+'5-Roberta'!$C$4))</f>
        <v>212517.44455908812</v>
      </c>
      <c r="AO855" s="18">
        <f>IF($A855&gt;('1-Input'!$B$26+3),AM855,AM855-'P-Parametri'!$B$8*(AN855+AM855)+MIN(MAX(AN855,0),'P-Parametri'!$B$8*(AN855+AM855)))</f>
        <v>35243.700219205675</v>
      </c>
      <c r="AP855" s="18">
        <f>IF($A855&gt;('1-Input'!$B$26+3),AN855,AN855-MIN(MAX(AN855,0),'P-Parametri'!$B$8*(AN855+AM855)))</f>
        <v>212021.92226953153</v>
      </c>
      <c r="AQ855" s="18">
        <f>IF($A855&gt;('1-Input'!$B$26+3),AQ854,AQ854-AL855*(1-AK855))</f>
        <v>104417.8424625966</v>
      </c>
    </row>
    <row r="856" spans="1:43">
      <c r="A856" s="10">
        <f>18</f>
        <v>18</v>
      </c>
      <c r="B856" s="11">
        <f>IF($A856&gt;('1-Input'!$B$26+3),0,IF(G855&lt;=0,0,MAX(0,(G855-H855)/G855)))</f>
        <v>0.50772768514698952</v>
      </c>
      <c r="C856" s="18">
        <f>IF($A856&gt;('1-Input'!$B$26+3),0,(MAX(0,B836-IF($A856&gt;='1-Input'!$C$12,'1-Input'!$B$12,0))-MIN(MAX(F855,0),MAX(0,B836-IF($A856&gt;='1-Input'!$C$12,'1-Input'!$B$12,0))))*(1/(1-'P-Parametri'!$B$6*B856))+MIN(MAX(0,G855-(MAX(0,B836-IF($A856&gt;='1-Input'!$C$12,'1-Input'!$B$12,0))-MIN(MAX(F855,0),MAX(0,B836-IF($A856&gt;='1-Input'!$C$12,'1-Input'!$B$12,0))))*(1/(1-'P-Parametri'!$B$6*B856))),MAX(0,2*B836-(F855-MIN(MAX(F855,0),MAX(0,B836-IF($A856&gt;='1-Input'!$C$12,'1-Input'!$B$12,0)))))*(1/(1-'P-Parametri'!$B$6*B856))))</f>
        <v>19356.37898103728</v>
      </c>
      <c r="D856" s="18">
        <f>IF($A856&gt;('1-Input'!$B$26+3),F855,(F855-MAX(0,B836-IF($A856&gt;='1-Input'!$C$12,'1-Input'!$B$12,0))+C856*(1-'P-Parametri'!$B$6*B856))*(1+'1-Input'!$B$27))</f>
        <v>33242.0070309863</v>
      </c>
      <c r="E856" s="18">
        <f>IF($A856&gt;('1-Input'!$B$26+3),G855,(G855-C856)*(1+'5-Roberta'!$C$4))</f>
        <v>227057.60752842849</v>
      </c>
      <c r="F856" s="18">
        <f>IF($A856&gt;('1-Input'!$B$26+3),D856,D856-'P-Parametri'!$B$8*(E856+D856)+MIN(MAX(E856,0),'P-Parametri'!$B$8*(E856+D856)))</f>
        <v>33242.0070309863</v>
      </c>
      <c r="G856" s="18">
        <f>IF($A856&gt;('1-Input'!$B$26+3),E856,E856-MIN(MAX(E856,0),'P-Parametri'!$B$8*(E856+D856)))</f>
        <v>226537.00829930967</v>
      </c>
      <c r="H856" s="18">
        <f>IF($A856&gt;('1-Input'!$B$26+3),H855,H855-C856*(1-B856))</f>
        <v>108518.61559515129</v>
      </c>
      <c r="I856" s="11">
        <f>IF($A856&gt;('1-Input'!$B$26+3),0,IF(N855&lt;=0,0,MAX(0,(N855-O855)/N855)))</f>
        <v>0.50602037739687133</v>
      </c>
      <c r="J856" s="18">
        <f>IF($A856&gt;('1-Input'!$B$26+3),0,(MAX(0,I836-IF($A856&gt;='1-Input'!$C$12,'1-Input'!$B$12,0))-MIN(MAX(M855,0),MAX(0,I836-IF($A856&gt;='1-Input'!$C$12,'1-Input'!$B$12,0))))*(1/(1-'P-Parametri'!$B$6*I856))+MIN(MAX(0,N855-(MAX(0,I836-IF($A856&gt;='1-Input'!$C$12,'1-Input'!$B$12,0))-MIN(MAX(M855,0),MAX(0,I836-IF($A856&gt;='1-Input'!$C$12,'1-Input'!$B$12,0))))*(1/(1-'P-Parametri'!$B$6*I856))),MAX(0,2*I836-(M855-MIN(MAX(M855,0),MAX(0,I836-IF($A856&gt;='1-Input'!$C$12,'1-Input'!$B$12,0)))))*(1/(1-'P-Parametri'!$B$6*I856))))</f>
        <v>25455.901284807944</v>
      </c>
      <c r="K856" s="18">
        <f>IF($A856&gt;('1-Input'!$B$26+3),M855,(M855-MAX(0,I836-IF($A856&gt;='1-Input'!$C$12,'1-Input'!$B$12,0))+J856*(1-'P-Parametri'!$B$6*I856))*(1+'1-Input'!$B$27))</f>
        <v>43739.482935508291</v>
      </c>
      <c r="L856" s="18">
        <f>IF($A856&gt;('1-Input'!$B$26+3),N855,(N855-J856)*(1+'5-Roberta'!$C$4))</f>
        <v>70751.217397022643</v>
      </c>
      <c r="M856" s="18">
        <f>IF($A856&gt;('1-Input'!$B$26+3),K856,K856-'P-Parametri'!$B$8*(L856+K856)+MIN(MAX(L856,0),'P-Parametri'!$B$8*(L856+K856)))</f>
        <v>43739.482935508291</v>
      </c>
      <c r="N856" s="18">
        <f>IF($A856&gt;('1-Input'!$B$26+3),L856,L856-MIN(MAX(L856,0),'P-Parametri'!$B$8*(L856+K856)))</f>
        <v>70522.235996357587</v>
      </c>
      <c r="O856" s="18">
        <f>IF($A856&gt;('1-Input'!$B$26+3),O855,O855-J856*(1-I856))</f>
        <v>33931.708416012771</v>
      </c>
      <c r="P856" s="11">
        <f>IF($A856&gt;('1-Input'!$B$26+3),0,IF(U855&lt;=0,0,MAX(0,(U855-V855)/U855)))</f>
        <v>0.50747398632028629</v>
      </c>
      <c r="Q856" s="18">
        <f>IF($A856&gt;('1-Input'!$B$26+3),0,(MAX(0,P836-IF($A856&gt;='1-Input'!$C$12,'1-Input'!$B$12,0))-MIN(MAX(T855,0),MAX(0,P836-IF($A856&gt;='1-Input'!$C$12,'1-Input'!$B$12,0))))*(1/(1-'P-Parametri'!$B$6*P856))+MIN(MAX(0,U855-(MAX(0,P836-IF($A856&gt;='1-Input'!$C$12,'1-Input'!$B$12,0))-MIN(MAX(T855,0),MAX(0,P836-IF($A856&gt;='1-Input'!$C$12,'1-Input'!$B$12,0))))*(1/(1-'P-Parametri'!$B$6*P856))),MAX(0,2*P836-(T855-MIN(MAX(T855,0),MAX(0,P836-IF($A856&gt;='1-Input'!$C$12,'1-Input'!$B$12,0)))))*(1/(1-'P-Parametri'!$B$6*P856))))</f>
        <v>20721.128774787769</v>
      </c>
      <c r="R856" s="18">
        <f>IF($A856&gt;('1-Input'!$B$26+3),T855,(T855-MAX(0,P836-IF($A856&gt;='1-Input'!$C$12,'1-Input'!$B$12,0))+Q856*(1-'P-Parametri'!$B$6*P856))*(1+'1-Input'!$B$27))</f>
        <v>35588.487617059298</v>
      </c>
      <c r="S856" s="18">
        <f>IF($A856&gt;('1-Input'!$B$26+3),U855,(U855-Q856)*(1+'5-Roberta'!$C$4))</f>
        <v>192111.63534151006</v>
      </c>
      <c r="T856" s="18">
        <f>IF($A856&gt;('1-Input'!$B$26+3),R856,R856-'P-Parametri'!$B$8*(S856+R856)+MIN(MAX(S856,0),'P-Parametri'!$B$8*(S856+R856)))</f>
        <v>35588.487617059298</v>
      </c>
      <c r="U856" s="18">
        <f>IF($A856&gt;('1-Input'!$B$26+3),S856,S856-MIN(MAX(S856,0),'P-Parametri'!$B$8*(S856+R856)))</f>
        <v>191656.23509559291</v>
      </c>
      <c r="V856" s="18">
        <f>IF($A856&gt;('1-Input'!$B$26+3),V855,V855-Q856*(1-P856))</f>
        <v>91864.056248781315</v>
      </c>
      <c r="W856" s="11">
        <f>IF($A856&gt;('1-Input'!$B$26+3),0,IF(AB855&lt;=0,0,MAX(0,(AB855-AC855)/AB855)))</f>
        <v>0.50751111066351251</v>
      </c>
      <c r="X856" s="18">
        <f>IF($A856&gt;('1-Input'!$B$26+3),0,(MAX(0,W836-IF($A856&gt;='1-Input'!$C$12,'1-Input'!$B$12,0))-MIN(MAX(AA855,0),MAX(0,W836-IF($A856&gt;='1-Input'!$C$12,'1-Input'!$B$12,0))))*(1/(1-'P-Parametri'!$B$6*W856))+MIN(MAX(0,AB855-(MAX(0,W836-IF($A856&gt;='1-Input'!$C$12,'1-Input'!$B$12,0))-MIN(MAX(AA855,0),MAX(0,W836-IF($A856&gt;='1-Input'!$C$12,'1-Input'!$B$12,0))))*(1/(1-'P-Parametri'!$B$6*W856))),MAX(0,2*W836-(AA855-MIN(MAX(AA855,0),MAX(0,W836-IF($A856&gt;='1-Input'!$C$12,'1-Input'!$B$12,0)))))*(1/(1-'P-Parametri'!$B$6*W856))))</f>
        <v>20534.961902729799</v>
      </c>
      <c r="Y856" s="18">
        <f>IF($A856&gt;('1-Input'!$B$26+3),AA855,(AA855-MAX(0,W836-IF($A856&gt;='1-Input'!$C$12,'1-Input'!$B$12,0))+X856*(1-'P-Parametri'!$B$6*W856))*(1+'1-Input'!$B$27))</f>
        <v>35268.354303294895</v>
      </c>
      <c r="Z856" s="18">
        <f>IF($A856&gt;('1-Input'!$B$26+3),AB855,(AB855-X856)*(1+'5-Roberta'!$C$4))</f>
        <v>196879.17670267788</v>
      </c>
      <c r="AA856" s="18">
        <f>IF($A856&gt;('1-Input'!$B$26+3),Y856,Y856-'P-Parametri'!$B$8*(Z856+Y856)+MIN(MAX(Z856,0),'P-Parametri'!$B$8*(Z856+Y856)))</f>
        <v>35268.354303294895</v>
      </c>
      <c r="AB856" s="18">
        <f>IF($A856&gt;('1-Input'!$B$26+3),Z856,Z856-MIN(MAX(Z856,0),'P-Parametri'!$B$8*(Z856+Y856)))</f>
        <v>196414.88164066593</v>
      </c>
      <c r="AC856" s="18">
        <f>IF($A856&gt;('1-Input'!$B$26+3),AC855,AC855-X856*(1-W856))</f>
        <v>94136.705891052319</v>
      </c>
      <c r="AD856" s="11">
        <f>IF($A856&gt;('1-Input'!$B$26+3),0,IF(AI855&lt;=0,0,MAX(0,(AI855-AJ855)/AI855)))</f>
        <v>0.50751394001821371</v>
      </c>
      <c r="AE856" s="18">
        <f>IF($A856&gt;('1-Input'!$B$26+3),0,(MAX(0,AD836-IF($A856&gt;='1-Input'!$C$12,'1-Input'!$B$12,0))-MIN(MAX(AH855,0),MAX(0,AD836-IF($A856&gt;='1-Input'!$C$12,'1-Input'!$B$12,0))))*(1/(1-'P-Parametri'!$B$6*AD856))+MIN(MAX(0,AI855-(MAX(0,AD836-IF($A856&gt;='1-Input'!$C$12,'1-Input'!$B$12,0))-MIN(MAX(AH855,0),MAX(0,AD836-IF($A856&gt;='1-Input'!$C$12,'1-Input'!$B$12,0))))*(1/(1-'P-Parametri'!$B$6*AD856))),MAX(0,2*AD836-(AH855-MIN(MAX(AH855,0),MAX(0,AD836-IF($A856&gt;='1-Input'!$C$12,'1-Input'!$B$12,0)))))*(1/(1-'P-Parametri'!$B$6*AD856))))</f>
        <v>20520.59244970384</v>
      </c>
      <c r="AF856" s="18">
        <f>IF($A856&gt;('1-Input'!$B$26+3),AH855,(AH855-MAX(0,AD836-IF($A856&gt;='1-Input'!$C$12,'1-Input'!$B$12,0))+AE856*(1-'P-Parametri'!$B$6*AD856))*(1+'1-Input'!$B$27))</f>
        <v>35243.64521006601</v>
      </c>
      <c r="AG856" s="18">
        <f>IF($A856&gt;('1-Input'!$B$26+3),AI855,(AI855-AE856)*(1+'5-Roberta'!$C$4))</f>
        <v>197247.15598638557</v>
      </c>
      <c r="AH856" s="18">
        <f>IF($A856&gt;('1-Input'!$B$26+3),AF856,AF856-'P-Parametri'!$B$8*(AG856+AF856)+MIN(MAX(AG856,0),'P-Parametri'!$B$8*(AG856+AF856)))</f>
        <v>35243.64521006601</v>
      </c>
      <c r="AI856" s="18">
        <f>IF($A856&gt;('1-Input'!$B$26+3),AG856,AG856-MIN(MAX(AG856,0),'P-Parametri'!$B$8*(AG856+AF856)))</f>
        <v>196782.17438399265</v>
      </c>
      <c r="AJ856" s="18">
        <f>IF($A856&gt;('1-Input'!$B$26+3),AJ855,AJ855-AE856*(1-AD856))</f>
        <v>94312.11135373576</v>
      </c>
      <c r="AK856" s="11">
        <f>IF($A856&gt;('1-Input'!$B$26+3),0,IF(AP855&lt;=0,0,MAX(0,(AP855-AQ855)/AP855)))</f>
        <v>0.50751393372494713</v>
      </c>
      <c r="AL856" s="18">
        <f>IF($A856&gt;('1-Input'!$B$26+3),0,(MAX(0,AK836-IF($A856&gt;='1-Input'!$C$12,'1-Input'!$B$12,0))-MIN(MAX(AO855,0),MAX(0,AK836-IF($A856&gt;='1-Input'!$C$12,'1-Input'!$B$12,0))))*(1/(1-'P-Parametri'!$B$6*AK856))+MIN(MAX(0,AP855-(MAX(0,AK836-IF($A856&gt;='1-Input'!$C$12,'1-Input'!$B$12,0))-MIN(MAX(AO855,0),MAX(0,AK836-IF($A856&gt;='1-Input'!$C$12,'1-Input'!$B$12,0))))*(1/(1-'P-Parametri'!$B$6*AK856))),MAX(0,2*AK836-(AO855-MIN(MAX(AO855,0),MAX(0,AK836-IF($A856&gt;='1-Input'!$C$12,'1-Input'!$B$12,0)))))*(1/(1-'P-Parametri'!$B$6*AK856))))</f>
        <v>20520.624440063279</v>
      </c>
      <c r="AM856" s="18">
        <f>IF($A856&gt;('1-Input'!$B$26+3),AO855,(AO855-MAX(0,AK836-IF($A856&gt;='1-Input'!$C$12,'1-Input'!$B$12,0))+AL856*(1-'P-Parametri'!$B$6*AK856))*(1+'1-Input'!$B$27))</f>
        <v>35243.700219205675</v>
      </c>
      <c r="AN856" s="18">
        <f>IF($A856&gt;('1-Input'!$B$26+3),AP855,(AP855-AL856)*(1+'5-Roberta'!$C$4))</f>
        <v>197246.33676435228</v>
      </c>
      <c r="AO856" s="18">
        <f>IF($A856&gt;('1-Input'!$B$26+3),AM856,AM856-'P-Parametri'!$B$8*(AN856+AM856)+MIN(MAX(AN856,0),'P-Parametri'!$B$8*(AN856+AM856)))</f>
        <v>35243.700219205675</v>
      </c>
      <c r="AP856" s="18">
        <f>IF($A856&gt;('1-Input'!$B$26+3),AN856,AN856-MIN(MAX(AN856,0),'P-Parametri'!$B$8*(AN856+AM856)))</f>
        <v>196781.35669038518</v>
      </c>
      <c r="AQ856" s="18">
        <f>IF($A856&gt;('1-Input'!$B$26+3),AQ855,AQ855-AL856*(1-AK856))</f>
        <v>94311.720854602128</v>
      </c>
    </row>
    <row r="857" spans="1:43">
      <c r="A857" s="10">
        <f>19</f>
        <v>19</v>
      </c>
      <c r="B857" s="11">
        <f>IF($A857&gt;('1-Input'!$B$26+3),0,IF(G856&lt;=0,0,MAX(0,(G856-H856)/G856)))</f>
        <v>0.52096738449122537</v>
      </c>
      <c r="C857" s="18">
        <f>IF($A857&gt;('1-Input'!$B$26+3),0,(MAX(0,B836-IF($A857&gt;='1-Input'!$C$12,'1-Input'!$B$12,0))-MIN(MAX(F856,0),MAX(0,B836-IF($A857&gt;='1-Input'!$C$12,'1-Input'!$B$12,0))))*(1/(1-'P-Parametri'!$B$6*B857))+MIN(MAX(0,G856-(MAX(0,B836-IF($A857&gt;='1-Input'!$C$12,'1-Input'!$B$12,0))-MIN(MAX(F856,0),MAX(0,B836-IF($A857&gt;='1-Input'!$C$12,'1-Input'!$B$12,0))))*(1/(1-'P-Parametri'!$B$6*B857))),MAX(0,2*B836-(F856-MIN(MAX(F856,0),MAX(0,B836-IF($A857&gt;='1-Input'!$C$12,'1-Input'!$B$12,0)))))*(1/(1-'P-Parametri'!$B$6*B857))))</f>
        <v>19433.449136668161</v>
      </c>
      <c r="D857" s="18">
        <f>IF($A857&gt;('1-Input'!$B$26+3),F856,(F856-MAX(0,B836-IF($A857&gt;='1-Input'!$C$12,'1-Input'!$B$12,0))+C857*(1-'P-Parametri'!$B$6*B857))*(1+'1-Input'!$B$27))</f>
        <v>33242.0070309863</v>
      </c>
      <c r="E857" s="18">
        <f>IF($A857&gt;('1-Input'!$B$26+3),G856,(G856-C857)*(1+'5-Roberta'!$C$4))</f>
        <v>213316.66593752077</v>
      </c>
      <c r="F857" s="18">
        <f>IF($A857&gt;('1-Input'!$B$26+3),D857,D857-'P-Parametri'!$B$8*(E857+D857)+MIN(MAX(E857,0),'P-Parametri'!$B$8*(E857+D857)))</f>
        <v>33242.0070309863</v>
      </c>
      <c r="G857" s="18">
        <f>IF($A857&gt;('1-Input'!$B$26+3),E857,E857-MIN(MAX(E857,0),'P-Parametri'!$B$8*(E857+D857)))</f>
        <v>212823.54859158376</v>
      </c>
      <c r="H857" s="18">
        <f>IF($A857&gt;('1-Input'!$B$26+3),H856,H856-C857*(1-B857))</f>
        <v>99209.3596268564</v>
      </c>
      <c r="I857" s="11">
        <f>IF($A857&gt;('1-Input'!$B$26+3),0,IF(N856&lt;=0,0,MAX(0,(N856-O856)/N856)))</f>
        <v>0.51885092784401621</v>
      </c>
      <c r="J857" s="18">
        <f>IF($A857&gt;('1-Input'!$B$26+3),0,(MAX(0,I836-IF($A857&gt;='1-Input'!$C$12,'1-Input'!$B$12,0))-MIN(MAX(M856,0),MAX(0,I836-IF($A857&gt;='1-Input'!$C$12,'1-Input'!$B$12,0))))*(1/(1-'P-Parametri'!$B$6*I857))+MIN(MAX(0,N856-(MAX(0,I836-IF($A857&gt;='1-Input'!$C$12,'1-Input'!$B$12,0))-MIN(MAX(M856,0),MAX(0,I836-IF($A857&gt;='1-Input'!$C$12,'1-Input'!$B$12,0))))*(1/(1-'P-Parametri'!$B$6*I857))),MAX(0,2*I836-(M856-MIN(MAX(M856,0),MAX(0,I836-IF($A857&gt;='1-Input'!$C$12,'1-Input'!$B$12,0)))))*(1/(1-'P-Parametri'!$B$6*I857))))</f>
        <v>25554.062838964903</v>
      </c>
      <c r="K857" s="18">
        <f>IF($A857&gt;('1-Input'!$B$26+3),M856,(M856-MAX(0,I836-IF($A857&gt;='1-Input'!$C$12,'1-Input'!$B$12,0))+J857*(1-'P-Parametri'!$B$6*I857))*(1+'1-Input'!$B$27))</f>
        <v>43739.482935508291</v>
      </c>
      <c r="L857" s="18">
        <f>IF($A857&gt;('1-Input'!$B$26+3),N856,(N856-J857)*(1+'5-Roberta'!$C$4))</f>
        <v>46317.218352114462</v>
      </c>
      <c r="M857" s="18">
        <f>IF($A857&gt;('1-Input'!$B$26+3),K857,K857-'P-Parametri'!$B$8*(L857+K857)+MIN(MAX(L857,0),'P-Parametri'!$B$8*(L857+K857)))</f>
        <v>43739.482935508291</v>
      </c>
      <c r="N857" s="18">
        <f>IF($A857&gt;('1-Input'!$B$26+3),L857,L857-MIN(MAX(L857,0),'P-Parametri'!$B$8*(L857+K857)))</f>
        <v>46137.104949539214</v>
      </c>
      <c r="O857" s="18">
        <f>IF($A857&gt;('1-Input'!$B$26+3),O856,O856-J857*(1-I857))</f>
        <v>21636.394791229104</v>
      </c>
      <c r="P857" s="11">
        <f>IF($A857&gt;('1-Input'!$B$26+3),0,IF(U856&lt;=0,0,MAX(0,(U856-V856)/U856)))</f>
        <v>0.52068318464587382</v>
      </c>
      <c r="Q857" s="18">
        <f>IF($A857&gt;('1-Input'!$B$26+3),0,(MAX(0,P836-IF($A857&gt;='1-Input'!$C$12,'1-Input'!$B$12,0))-MIN(MAX(T856,0),MAX(0,P836-IF($A857&gt;='1-Input'!$C$12,'1-Input'!$B$12,0))))*(1/(1-'P-Parametri'!$B$6*P857))+MIN(MAX(0,U856-(MAX(0,P836-IF($A857&gt;='1-Input'!$C$12,'1-Input'!$B$12,0))-MIN(MAX(T856,0),MAX(0,P836-IF($A857&gt;='1-Input'!$C$12,'1-Input'!$B$12,0))))*(1/(1-'P-Parametri'!$B$6*P857))),MAX(0,2*P836-(T856-MIN(MAX(T856,0),MAX(0,P836-IF($A857&gt;='1-Input'!$C$12,'1-Input'!$B$12,0)))))*(1/(1-'P-Parametri'!$B$6*P857))))</f>
        <v>20803.435770511536</v>
      </c>
      <c r="R857" s="18">
        <f>IF($A857&gt;('1-Input'!$B$26+3),T856,(T856-MAX(0,P836-IF($A857&gt;='1-Input'!$C$12,'1-Input'!$B$12,0))+Q857*(1-'P-Parametri'!$B$6*P857))*(1+'1-Input'!$B$27))</f>
        <v>35588.487617059305</v>
      </c>
      <c r="S857" s="18">
        <f>IF($A857&gt;('1-Input'!$B$26+3),U856,(U856-Q857)*(1+'5-Roberta'!$C$4))</f>
        <v>175978.38330483381</v>
      </c>
      <c r="T857" s="18">
        <f>IF($A857&gt;('1-Input'!$B$26+3),R857,R857-'P-Parametri'!$B$8*(S857+R857)+MIN(MAX(S857,0),'P-Parametri'!$B$8*(S857+R857)))</f>
        <v>35588.487617059305</v>
      </c>
      <c r="U857" s="18">
        <f>IF($A857&gt;('1-Input'!$B$26+3),S857,S857-MIN(MAX(S857,0),'P-Parametri'!$B$8*(S857+R857)))</f>
        <v>175555.24956299004</v>
      </c>
      <c r="V857" s="18">
        <f>IF($A857&gt;('1-Input'!$B$26+3),V856,V856-Q857*(1-P857))</f>
        <v>81892.619666835613</v>
      </c>
      <c r="W857" s="11">
        <f>IF($A857&gt;('1-Input'!$B$26+3),0,IF(AB856&lt;=0,0,MAX(0,(AB856-AC856)/AB856)))</f>
        <v>0.5207251858681865</v>
      </c>
      <c r="X857" s="18">
        <f>IF($A857&gt;('1-Input'!$B$26+3),0,(MAX(0,W836-IF($A857&gt;='1-Input'!$C$12,'1-Input'!$B$12,0))-MIN(MAX(AA856,0),MAX(0,W836-IF($A857&gt;='1-Input'!$C$12,'1-Input'!$B$12,0))))*(1/(1-'P-Parametri'!$B$6*W857))+MIN(MAX(0,AB856-(MAX(0,W836-IF($A857&gt;='1-Input'!$C$12,'1-Input'!$B$12,0))-MIN(MAX(AA856,0),MAX(0,W836-IF($A857&gt;='1-Input'!$C$12,'1-Input'!$B$12,0))))*(1/(1-'P-Parametri'!$B$6*W857))),MAX(0,2*W836-(AA856-MIN(MAX(AA856,0),MAX(0,W836-IF($A857&gt;='1-Input'!$C$12,'1-Input'!$B$12,0)))))*(1/(1-'P-Parametri'!$B$6*W857))))</f>
        <v>20616.560565226573</v>
      </c>
      <c r="Y857" s="18">
        <f>IF($A857&gt;('1-Input'!$B$26+3),AA856,(AA856-MAX(0,W836-IF($A857&gt;='1-Input'!$C$12,'1-Input'!$B$12,0))+X857*(1-'P-Parametri'!$B$6*W857))*(1+'1-Input'!$B$27))</f>
        <v>35268.354303294887</v>
      </c>
      <c r="Z857" s="18">
        <f>IF($A857&gt;('1-Input'!$B$26+3),AB856,(AB856-X857)*(1+'5-Roberta'!$C$4))</f>
        <v>181072.27070770256</v>
      </c>
      <c r="AA857" s="18">
        <f>IF($A857&gt;('1-Input'!$B$26+3),Y857,Y857-'P-Parametri'!$B$8*(Z857+Y857)+MIN(MAX(Z857,0),'P-Parametri'!$B$8*(Z857+Y857)))</f>
        <v>35268.354303294887</v>
      </c>
      <c r="AB857" s="18">
        <f>IF($A857&gt;('1-Input'!$B$26+3),Z857,Z857-MIN(MAX(Z857,0),'P-Parametri'!$B$8*(Z857+Y857)))</f>
        <v>180639.58945768056</v>
      </c>
      <c r="AC857" s="18">
        <f>IF($A857&gt;('1-Input'!$B$26+3),AC856,AC856-X857*(1-W857))</f>
        <v>84255.70765811608</v>
      </c>
      <c r="AD857" s="11">
        <f>IF($A857&gt;('1-Input'!$B$26+3),0,IF(AI856&lt;=0,0,MAX(0,(AI856-AJ856)/AI856)))</f>
        <v>0.5207283807643116</v>
      </c>
      <c r="AE857" s="18">
        <f>IF($A857&gt;('1-Input'!$B$26+3),0,(MAX(0,AD836-IF($A857&gt;='1-Input'!$C$12,'1-Input'!$B$12,0))-MIN(MAX(AH856,0),MAX(0,AD836-IF($A857&gt;='1-Input'!$C$12,'1-Input'!$B$12,0))))*(1/(1-'P-Parametri'!$B$6*AD857))+MIN(MAX(0,AI856-(MAX(0,AD836-IF($A857&gt;='1-Input'!$C$12,'1-Input'!$B$12,0))-MIN(MAX(AH856,0),MAX(0,AD836-IF($A857&gt;='1-Input'!$C$12,'1-Input'!$B$12,0))))*(1/(1-'P-Parametri'!$B$6*AD857))),MAX(0,2*AD836-(AH856-MIN(MAX(AH856,0),MAX(0,AD836-IF($A857&gt;='1-Input'!$C$12,'1-Input'!$B$12,0)))))*(1/(1-'P-Parametri'!$B$6*AD857))))</f>
        <v>20602.136347115978</v>
      </c>
      <c r="AF857" s="18">
        <f>IF($A857&gt;('1-Input'!$B$26+3),AH856,(AH856-MAX(0,AD836-IF($A857&gt;='1-Input'!$C$12,'1-Input'!$B$12,0))+AE857*(1-'P-Parametri'!$B$6*AD857))*(1+'1-Input'!$B$27))</f>
        <v>35243.64521006601</v>
      </c>
      <c r="AG857" s="18">
        <f>IF($A857&gt;('1-Input'!$B$26+3),AI856,(AI856-AE857)*(1+'5-Roberta'!$C$4))</f>
        <v>181465.43917798297</v>
      </c>
      <c r="AH857" s="18">
        <f>IF($A857&gt;('1-Input'!$B$26+3),AF857,AF857-'P-Parametri'!$B$8*(AG857+AF857)+MIN(MAX(AG857,0),'P-Parametri'!$B$8*(AG857+AF857)))</f>
        <v>35243.64521006601</v>
      </c>
      <c r="AI857" s="18">
        <f>IF($A857&gt;('1-Input'!$B$26+3),AG857,AG857-MIN(MAX(AG857,0),'P-Parametri'!$B$8*(AG857+AF857)))</f>
        <v>181032.02100920689</v>
      </c>
      <c r="AJ857" s="18">
        <f>IF($A857&gt;('1-Input'!$B$26+3),AJ856,AJ856-AE857*(1-AD857))</f>
        <v>84438.092106939061</v>
      </c>
      <c r="AK857" s="11">
        <f>IF($A857&gt;('1-Input'!$B$26+3),0,IF(AP856&lt;=0,0,MAX(0,(AP856-AQ856)/AP856)))</f>
        <v>0.52072837365893498</v>
      </c>
      <c r="AL857" s="18">
        <f>IF($A857&gt;('1-Input'!$B$26+3),0,(MAX(0,AK836-IF($A857&gt;='1-Input'!$C$12,'1-Input'!$B$12,0))-MIN(MAX(AO856,0),MAX(0,AK836-IF($A857&gt;='1-Input'!$C$12,'1-Input'!$B$12,0))))*(1/(1-'P-Parametri'!$B$6*AK857))+MIN(MAX(0,AP856-(MAX(0,AK836-IF($A857&gt;='1-Input'!$C$12,'1-Input'!$B$12,0))-MIN(MAX(AO856,0),MAX(0,AK836-IF($A857&gt;='1-Input'!$C$12,'1-Input'!$B$12,0))))*(1/(1-'P-Parametri'!$B$6*AK857))),MAX(0,2*AK836-(AO856-MIN(MAX(AO856,0),MAX(0,AK836-IF($A857&gt;='1-Input'!$C$12,'1-Input'!$B$12,0)))))*(1/(1-'P-Parametri'!$B$6*AK857))))</f>
        <v>20602.16845941178</v>
      </c>
      <c r="AM857" s="18">
        <f>IF($A857&gt;('1-Input'!$B$26+3),AO856,(AO856-MAX(0,AK836-IF($A857&gt;='1-Input'!$C$12,'1-Input'!$B$12,0))+AL857*(1-'P-Parametri'!$B$6*AK857))*(1+'1-Input'!$B$27))</f>
        <v>35243.700219205668</v>
      </c>
      <c r="AN857" s="18">
        <f>IF($A857&gt;('1-Input'!$B$26+3),AP856,(AP856-AL857)*(1+'5-Roberta'!$C$4))</f>
        <v>181464.5638779026</v>
      </c>
      <c r="AO857" s="18">
        <f>IF($A857&gt;('1-Input'!$B$26+3),AM857,AM857-'P-Parametri'!$B$8*(AN857+AM857)+MIN(MAX(AN857,0),'P-Parametri'!$B$8*(AN857+AM857)))</f>
        <v>35243.700219205668</v>
      </c>
      <c r="AP857" s="18">
        <f>IF($A857&gt;('1-Input'!$B$26+3),AN857,AN857-MIN(MAX(AN857,0),'P-Parametri'!$B$8*(AN857+AM857)))</f>
        <v>181031.14734970839</v>
      </c>
      <c r="AQ857" s="18">
        <f>IF($A857&gt;('1-Input'!$B$26+3),AQ856,AQ856-AL857*(1-AK857))</f>
        <v>84437.68607090725</v>
      </c>
    </row>
    <row r="858" spans="1:43">
      <c r="A858" s="10">
        <f>20</f>
        <v>20</v>
      </c>
      <c r="B858" s="11">
        <f>IF($A858&gt;('1-Input'!$B$26+3),0,IF(G857&lt;=0,0,MAX(0,(G857-H857)/G857)))</f>
        <v>0.53384218859519716</v>
      </c>
      <c r="C858" s="18">
        <f>IF($A858&gt;('1-Input'!$B$26+3),0,(MAX(0,B836-IF($A858&gt;='1-Input'!$C$12,'1-Input'!$B$12,0))-MIN(MAX(F857,0),MAX(0,B836-IF($A858&gt;='1-Input'!$C$12,'1-Input'!$B$12,0))))*(1/(1-'P-Parametri'!$B$6*B858))+MIN(MAX(0,G857-(MAX(0,B836-IF($A858&gt;='1-Input'!$C$12,'1-Input'!$B$12,0))-MIN(MAX(F857,0),MAX(0,B836-IF($A858&gt;='1-Input'!$C$12,'1-Input'!$B$12,0))))*(1/(1-'P-Parametri'!$B$6*B858))),MAX(0,2*B836-(F857-MIN(MAX(F857,0),MAX(0,B836-IF($A858&gt;='1-Input'!$C$12,'1-Input'!$B$12,0)))))*(1/(1-'P-Parametri'!$B$6*B858))))</f>
        <v>19508.9860657274</v>
      </c>
      <c r="D858" s="18">
        <f>IF($A858&gt;('1-Input'!$B$26+3),F857,(F857-MAX(0,B836-IF($A858&gt;='1-Input'!$C$12,'1-Input'!$B$12,0))+C858*(1-'P-Parametri'!$B$6*B858))*(1+'1-Input'!$B$27))</f>
        <v>33242.0070309863</v>
      </c>
      <c r="E858" s="18">
        <f>IF($A858&gt;('1-Input'!$B$26+3),G857,(G857-C858)*(1+'5-Roberta'!$C$4))</f>
        <v>199113.99940163206</v>
      </c>
      <c r="F858" s="18">
        <f>IF($A858&gt;('1-Input'!$B$26+3),D858,D858-'P-Parametri'!$B$8*(E858+D858)+MIN(MAX(E858,0),'P-Parametri'!$B$8*(E858+D858)))</f>
        <v>33242.0070309863</v>
      </c>
      <c r="G858" s="18">
        <f>IF($A858&gt;('1-Input'!$B$26+3),E858,E858-MIN(MAX(E858,0),'P-Parametri'!$B$8*(E858+D858)))</f>
        <v>198649.28738876682</v>
      </c>
      <c r="H858" s="18">
        <f>IF($A858&gt;('1-Input'!$B$26+3),H857,H857-C858*(1-B858))</f>
        <v>90115.093379730126</v>
      </c>
      <c r="I858" s="11">
        <f>IF($A858&gt;('1-Input'!$B$26+3),0,IF(N857&lt;=0,0,MAX(0,(N857-O857)/N857)))</f>
        <v>0.5310413426483277</v>
      </c>
      <c r="J858" s="18">
        <f>IF($A858&gt;('1-Input'!$B$26+3),0,(MAX(0,I836-IF($A858&gt;='1-Input'!$C$12,'1-Input'!$B$12,0))-MIN(MAX(M857,0),MAX(0,I836-IF($A858&gt;='1-Input'!$C$12,'1-Input'!$B$12,0))))*(1/(1-'P-Parametri'!$B$6*I858))+MIN(MAX(0,N857-(MAX(0,I836-IF($A858&gt;='1-Input'!$C$12,'1-Input'!$B$12,0))-MIN(MAX(M857,0),MAX(0,I836-IF($A858&gt;='1-Input'!$C$12,'1-Input'!$B$12,0))))*(1/(1-'P-Parametri'!$B$6*I858))),MAX(0,2*I836-(M857-MIN(MAX(M857,0),MAX(0,I836-IF($A858&gt;='1-Input'!$C$12,'1-Input'!$B$12,0)))))*(1/(1-'P-Parametri'!$B$6*I858))))</f>
        <v>25648.030879450111</v>
      </c>
      <c r="K858" s="18">
        <f>IF($A858&gt;('1-Input'!$B$26+3),M857,(M857-MAX(0,I836-IF($A858&gt;='1-Input'!$C$12,'1-Input'!$B$12,0))+J858*(1-'P-Parametri'!$B$6*I858))*(1+'1-Input'!$B$27))</f>
        <v>43739.482935508291</v>
      </c>
      <c r="L858" s="18">
        <f>IF($A858&gt;('1-Input'!$B$26+3),N857,(N857-J858)*(1+'5-Roberta'!$C$4))</f>
        <v>21103.746292191776</v>
      </c>
      <c r="M858" s="18">
        <f>IF($A858&gt;('1-Input'!$B$26+3),K858,K858-'P-Parametri'!$B$8*(L858+K858)+MIN(MAX(L858,0),'P-Parametri'!$B$8*(L858+K858)))</f>
        <v>43739.482935508291</v>
      </c>
      <c r="N858" s="18">
        <f>IF($A858&gt;('1-Input'!$B$26+3),L858,L858-MIN(MAX(L858,0),'P-Parametri'!$B$8*(L858+K858)))</f>
        <v>20974.059833736377</v>
      </c>
      <c r="O858" s="18">
        <f>IF($A858&gt;('1-Input'!$B$26+3),O857,O857-J858*(1-I858))</f>
        <v>9608.5286662879498</v>
      </c>
      <c r="P858" s="11">
        <f>IF($A858&gt;('1-Input'!$B$26+3),0,IF(U857&lt;=0,0,MAX(0,(U857-V857)/U857)))</f>
        <v>0.53352223946198685</v>
      </c>
      <c r="Q858" s="18">
        <f>IF($A858&gt;('1-Input'!$B$26+3),0,(MAX(0,P836-IF($A858&gt;='1-Input'!$C$12,'1-Input'!$B$12,0))-MIN(MAX(T857,0),MAX(0,P836-IF($A858&gt;='1-Input'!$C$12,'1-Input'!$B$12,0))))*(1/(1-'P-Parametri'!$B$6*P858))+MIN(MAX(0,U857-(MAX(0,P836-IF($A858&gt;='1-Input'!$C$12,'1-Input'!$B$12,0))-MIN(MAX(T857,0),MAX(0,P836-IF($A858&gt;='1-Input'!$C$12,'1-Input'!$B$12,0))))*(1/(1-'P-Parametri'!$B$6*P858))),MAX(0,2*P836-(T857-MIN(MAX(T857,0),MAX(0,P836-IF($A858&gt;='1-Input'!$C$12,'1-Input'!$B$12,0)))))*(1/(1-'P-Parametri'!$B$6*P858))))</f>
        <v>20884.065458304616</v>
      </c>
      <c r="R858" s="18">
        <f>IF($A858&gt;('1-Input'!$B$26+3),T857,(T857-MAX(0,P836-IF($A858&gt;='1-Input'!$C$12,'1-Input'!$B$12,0))+Q858*(1-'P-Parametri'!$B$6*P858))*(1+'1-Input'!$B$27))</f>
        <v>35588.487617059305</v>
      </c>
      <c r="S858" s="18">
        <f>IF($A858&gt;('1-Input'!$B$26+3),U857,(U857-Q858)*(1+'5-Roberta'!$C$4))</f>
        <v>159311.31962782599</v>
      </c>
      <c r="T858" s="18">
        <f>IF($A858&gt;('1-Input'!$B$26+3),R858,R858-'P-Parametri'!$B$8*(S858+R858)+MIN(MAX(S858,0),'P-Parametri'!$B$8*(S858+R858)))</f>
        <v>35588.487617059305</v>
      </c>
      <c r="U858" s="18">
        <f>IF($A858&gt;('1-Input'!$B$26+3),S858,S858-MIN(MAX(S858,0),'P-Parametri'!$B$8*(S858+R858)))</f>
        <v>158921.52001333621</v>
      </c>
      <c r="V858" s="18">
        <f>IF($A858&gt;('1-Input'!$B$26+3),V857,V857-Q858*(1-P858))</f>
        <v>72150.667580916401</v>
      </c>
      <c r="W858" s="11">
        <f>IF($A858&gt;('1-Input'!$B$26+3),0,IF(AB857&lt;=0,0,MAX(0,(AB857-AC857)/AB857)))</f>
        <v>0.53357008886551338</v>
      </c>
      <c r="X858" s="18">
        <f>IF($A858&gt;('1-Input'!$B$26+3),0,(MAX(0,W836-IF($A858&gt;='1-Input'!$C$12,'1-Input'!$B$12,0))-MIN(MAX(AA857,0),MAX(0,W836-IF($A858&gt;='1-Input'!$C$12,'1-Input'!$B$12,0))))*(1/(1-'P-Parametri'!$B$6*W858))+MIN(MAX(0,AB857-(MAX(0,W836-IF($A858&gt;='1-Input'!$C$12,'1-Input'!$B$12,0))-MIN(MAX(AA857,0),MAX(0,W836-IF($A858&gt;='1-Input'!$C$12,'1-Input'!$B$12,0))))*(1/(1-'P-Parametri'!$B$6*W858))),MAX(0,2*W836-(AA857-MIN(MAX(AA857,0),MAX(0,W836-IF($A858&gt;='1-Input'!$C$12,'1-Input'!$B$12,0)))))*(1/(1-'P-Parametri'!$B$6*W858))))</f>
        <v>20696.503516107812</v>
      </c>
      <c r="Y858" s="18">
        <f>IF($A858&gt;('1-Input'!$B$26+3),AA857,(AA857-MAX(0,W836-IF($A858&gt;='1-Input'!$C$12,'1-Input'!$B$12,0))+X858*(1-'P-Parametri'!$B$6*W858))*(1+'1-Input'!$B$27))</f>
        <v>35268.354303294887</v>
      </c>
      <c r="Z858" s="18">
        <f>IF($A858&gt;('1-Input'!$B$26+3),AB857,(AB857-X858)*(1+'5-Roberta'!$C$4))</f>
        <v>164741.3785198199</v>
      </c>
      <c r="AA858" s="18">
        <f>IF($A858&gt;('1-Input'!$B$26+3),Y858,Y858-'P-Parametri'!$B$8*(Z858+Y858)+MIN(MAX(Z858,0),'P-Parametri'!$B$8*(Z858+Y858)))</f>
        <v>35268.354303294887</v>
      </c>
      <c r="AB858" s="18">
        <f>IF($A858&gt;('1-Input'!$B$26+3),Z858,Z858-MIN(MAX(Z858,0),'P-Parametri'!$B$8*(Z858+Y858)))</f>
        <v>164341.35905417366</v>
      </c>
      <c r="AC858" s="18">
        <f>IF($A858&gt;('1-Input'!$B$26+3),AC857,AC857-X858*(1-W858))</f>
        <v>74602.239362303328</v>
      </c>
      <c r="AD858" s="11">
        <f>IF($A858&gt;('1-Input'!$B$26+3),0,IF(AI857&lt;=0,0,MAX(0,(AI857-AJ857)/AI857)))</f>
        <v>0.53357372007328618</v>
      </c>
      <c r="AE858" s="18">
        <f>IF($A858&gt;('1-Input'!$B$26+3),0,(MAX(0,AD836-IF($A858&gt;='1-Input'!$C$12,'1-Input'!$B$12,0))-MIN(MAX(AH857,0),MAX(0,AD836-IF($A858&gt;='1-Input'!$C$12,'1-Input'!$B$12,0))))*(1/(1-'P-Parametri'!$B$6*AD858))+MIN(MAX(0,AI857-(MAX(0,AD836-IF($A858&gt;='1-Input'!$C$12,'1-Input'!$B$12,0))-MIN(MAX(AH857,0),MAX(0,AD836-IF($A858&gt;='1-Input'!$C$12,'1-Input'!$B$12,0))))*(1/(1-'P-Parametri'!$B$6*AD858))),MAX(0,2*AD836-(AH857-MIN(MAX(AH857,0),MAX(0,AD836-IF($A858&gt;='1-Input'!$C$12,'1-Input'!$B$12,0)))))*(1/(1-'P-Parametri'!$B$6*AD858))))</f>
        <v>20682.02616767757</v>
      </c>
      <c r="AF858" s="18">
        <f>IF($A858&gt;('1-Input'!$B$26+3),AH857,(AH857-MAX(0,AD836-IF($A858&gt;='1-Input'!$C$12,'1-Input'!$B$12,0))+AE858*(1-'P-Parametri'!$B$6*AD858))*(1+'1-Input'!$B$27))</f>
        <v>35243.645210066017</v>
      </c>
      <c r="AG858" s="18">
        <f>IF($A858&gt;('1-Input'!$B$26+3),AI857,(AI857-AE858)*(1+'5-Roberta'!$C$4))</f>
        <v>165160.4946867752</v>
      </c>
      <c r="AH858" s="18">
        <f>IF($A858&gt;('1-Input'!$B$26+3),AF858,AF858-'P-Parametri'!$B$8*(AG858+AF858)+MIN(MAX(AG858,0),'P-Parametri'!$B$8*(AG858+AF858)))</f>
        <v>35243.645210066017</v>
      </c>
      <c r="AI858" s="18">
        <f>IF($A858&gt;('1-Input'!$B$26+3),AG858,AG858-MIN(MAX(AG858,0),'P-Parametri'!$B$8*(AG858+AF858)))</f>
        <v>164759.68640698152</v>
      </c>
      <c r="AJ858" s="18">
        <f>IF($A858&gt;('1-Input'!$B$26+3),AJ857,AJ857-AE858*(1-AD858))</f>
        <v>74791.451580202265</v>
      </c>
      <c r="AK858" s="11">
        <f>IF($A858&gt;('1-Input'!$B$26+3),0,IF(AP857&lt;=0,0,MAX(0,(AP857-AQ857)/AP857)))</f>
        <v>0.5335737119988857</v>
      </c>
      <c r="AL858" s="18">
        <f>IF($A858&gt;('1-Input'!$B$26+3),0,(MAX(0,AK836-IF($A858&gt;='1-Input'!$C$12,'1-Input'!$B$12,0))-MIN(MAX(AO857,0),MAX(0,AK836-IF($A858&gt;='1-Input'!$C$12,'1-Input'!$B$12,0))))*(1/(1-'P-Parametri'!$B$6*AK858))+MIN(MAX(0,AP857-(MAX(0,AK836-IF($A858&gt;='1-Input'!$C$12,'1-Input'!$B$12,0))-MIN(MAX(AO857,0),MAX(0,AK836-IF($A858&gt;='1-Input'!$C$12,'1-Input'!$B$12,0))))*(1/(1-'P-Parametri'!$B$6*AK858))),MAX(0,2*AK836-(AO857-MIN(MAX(AO857,0),MAX(0,AK836-IF($A858&gt;='1-Input'!$C$12,'1-Input'!$B$12,0)))))*(1/(1-'P-Parametri'!$B$6*AK858))))</f>
        <v>20682.058398275207</v>
      </c>
      <c r="AM858" s="18">
        <f>IF($A858&gt;('1-Input'!$B$26+3),AO857,(AO857-MAX(0,AK836-IF($A858&gt;='1-Input'!$C$12,'1-Input'!$B$12,0))+AL858*(1-'P-Parametri'!$B$6*AK858))*(1+'1-Input'!$B$27))</f>
        <v>35243.700219205675</v>
      </c>
      <c r="AN858" s="18">
        <f>IF($A858&gt;('1-Input'!$B$26+3),AP857,(AP857-AL858)*(1+'5-Roberta'!$C$4))</f>
        <v>165159.56161997619</v>
      </c>
      <c r="AO858" s="18">
        <f>IF($A858&gt;('1-Input'!$B$26+3),AM858,AM858-'P-Parametri'!$B$8*(AN858+AM858)+MIN(MAX(AN858,0),'P-Parametri'!$B$8*(AN858+AM858)))</f>
        <v>35243.700219205675</v>
      </c>
      <c r="AP858" s="18">
        <f>IF($A858&gt;('1-Input'!$B$26+3),AN858,AN858-MIN(MAX(AN858,0),'P-Parametri'!$B$8*(AN858+AM858)))</f>
        <v>164758.75509629783</v>
      </c>
      <c r="AQ858" s="18">
        <f>IF($A858&gt;('1-Input'!$B$26+3),AQ857,AQ857-AL858*(1-AK858))</f>
        <v>74791.030343977473</v>
      </c>
    </row>
    <row r="859" spans="1:43">
      <c r="A859" s="10">
        <f>21</f>
        <v>21</v>
      </c>
      <c r="B859" s="11">
        <f>IF($A859&gt;('1-Input'!$B$26+3),0,IF(G858&lt;=0,0,MAX(0,(G858-H858)/G858)))</f>
        <v>0.54636085251405775</v>
      </c>
      <c r="C859" s="18">
        <f>IF($A859&gt;('1-Input'!$B$26+3),0,(MAX(0,B836-IF($A859&gt;='1-Input'!$C$12,'1-Input'!$B$12,0))-MIN(MAX(F858,0),MAX(0,B836-IF($A859&gt;='1-Input'!$C$12,'1-Input'!$B$12,0))))*(1/(1-'P-Parametri'!$B$6*B859))+MIN(MAX(0,G858-(MAX(0,B836-IF($A859&gt;='1-Input'!$C$12,'1-Input'!$B$12,0))-MIN(MAX(F858,0),MAX(0,B836-IF($A859&gt;='1-Input'!$C$12,'1-Input'!$B$12,0))))*(1/(1-'P-Parametri'!$B$6*B859))),MAX(0,2*B836-(F858-MIN(MAX(F858,0),MAX(0,B836-IF($A859&gt;='1-Input'!$C$12,'1-Input'!$B$12,0)))))*(1/(1-'P-Parametri'!$B$6*B859))))</f>
        <v>19582.998720589479</v>
      </c>
      <c r="D859" s="18">
        <f>IF($A859&gt;('1-Input'!$B$26+3),F858,(F858-MAX(0,B836-IF($A859&gt;='1-Input'!$C$12,'1-Input'!$B$12,0))+C859*(1-'P-Parametri'!$B$6*B859))*(1+'1-Input'!$B$27))</f>
        <v>33242.0070309863</v>
      </c>
      <c r="E859" s="18">
        <f>IF($A859&gt;('1-Input'!$B$26+3),G858,(G858-C859)*(1+'5-Roberta'!$C$4))</f>
        <v>184438.27732822267</v>
      </c>
      <c r="F859" s="18">
        <f>IF($A859&gt;('1-Input'!$B$26+3),D859,D859-'P-Parametri'!$B$8*(E859+D859)+MIN(MAX(E859,0),'P-Parametri'!$B$8*(E859+D859)))</f>
        <v>33242.0070309863</v>
      </c>
      <c r="G859" s="18">
        <f>IF($A859&gt;('1-Input'!$B$26+3),E859,E859-MIN(MAX(E859,0),'P-Parametri'!$B$8*(E859+D859)))</f>
        <v>184002.91675950424</v>
      </c>
      <c r="H859" s="18">
        <f>IF($A859&gt;('1-Input'!$B$26+3),H858,H858-C859*(1-B859))</f>
        <v>81231.47853490361</v>
      </c>
      <c r="I859" s="11">
        <f>IF($A859&gt;('1-Input'!$B$26+3),0,IF(N858&lt;=0,0,MAX(0,(N858-O858)/N858)))</f>
        <v>0.54188513132622929</v>
      </c>
      <c r="J859" s="18">
        <f>IF($A859&gt;('1-Input'!$B$26+3),0,(MAX(0,I836-IF($A859&gt;='1-Input'!$C$12,'1-Input'!$B$12,0))-MIN(MAX(M858,0),MAX(0,I836-IF($A859&gt;='1-Input'!$C$12,'1-Input'!$B$12,0))))*(1/(1-'P-Parametri'!$B$6*I859))+MIN(MAX(0,N858-(MAX(0,I836-IF($A859&gt;='1-Input'!$C$12,'1-Input'!$B$12,0))-MIN(MAX(M858,0),MAX(0,I836-IF($A859&gt;='1-Input'!$C$12,'1-Input'!$B$12,0))))*(1/(1-'P-Parametri'!$B$6*I859))),MAX(0,2*I836-(M858-MIN(MAX(M858,0),MAX(0,I836-IF($A859&gt;='1-Input'!$C$12,'1-Input'!$B$12,0)))))*(1/(1-'P-Parametri'!$B$6*I859))))</f>
        <v>20974.059833736377</v>
      </c>
      <c r="K859" s="18">
        <f>IF($A859&gt;('1-Input'!$B$26+3),M858,(M858-MAX(0,I836-IF($A859&gt;='1-Input'!$C$12,'1-Input'!$B$12,0))+J859*(1-'P-Parametri'!$B$6*I859))*(1+'1-Input'!$B$27))</f>
        <v>39666.432581157373</v>
      </c>
      <c r="L859" s="18">
        <f>IF($A859&gt;('1-Input'!$B$26+3),N858,(N858-J859)*(1+'5-Roberta'!$C$4))</f>
        <v>0</v>
      </c>
      <c r="M859" s="18">
        <f>IF($A859&gt;('1-Input'!$B$26+3),K859,K859-'P-Parametri'!$B$8*(L859+K859)+MIN(MAX(L859,0),'P-Parametri'!$B$8*(L859+K859)))</f>
        <v>39587.099715995057</v>
      </c>
      <c r="N859" s="18">
        <f>IF($A859&gt;('1-Input'!$B$26+3),L859,L859-MIN(MAX(L859,0),'P-Parametri'!$B$8*(L859+K859)))</f>
        <v>0</v>
      </c>
      <c r="O859" s="18">
        <f>IF($A859&gt;('1-Input'!$B$26+3),O858,O858-J859*(1-I859))</f>
        <v>0</v>
      </c>
      <c r="P859" s="11">
        <f>IF($A859&gt;('1-Input'!$B$26+3),0,IF(U858&lt;=0,0,MAX(0,(U858-V858)/U858)))</f>
        <v>0.54599812803916214</v>
      </c>
      <c r="Q859" s="18">
        <f>IF($A859&gt;('1-Input'!$B$26+3),0,(MAX(0,P836-IF($A859&gt;='1-Input'!$C$12,'1-Input'!$B$12,0))-MIN(MAX(T858,0),MAX(0,P836-IF($A859&gt;='1-Input'!$C$12,'1-Input'!$B$12,0))))*(1/(1-'P-Parametri'!$B$6*P859))+MIN(MAX(0,U858-(MAX(0,P836-IF($A859&gt;='1-Input'!$C$12,'1-Input'!$B$12,0))-MIN(MAX(T858,0),MAX(0,P836-IF($A859&gt;='1-Input'!$C$12,'1-Input'!$B$12,0))))*(1/(1-'P-Parametri'!$B$6*P859))),MAX(0,2*P836-(T858-MIN(MAX(T858,0),MAX(0,P836-IF($A859&gt;='1-Input'!$C$12,'1-Input'!$B$12,0)))))*(1/(1-'P-Parametri'!$B$6*P859))))</f>
        <v>20963.015452168871</v>
      </c>
      <c r="R859" s="18">
        <f>IF($A859&gt;('1-Input'!$B$26+3),T858,(T858-MAX(0,P836-IF($A859&gt;='1-Input'!$C$12,'1-Input'!$B$12,0))+Q859*(1-'P-Parametri'!$B$6*P859))*(1+'1-Input'!$B$27))</f>
        <v>35588.487617059305</v>
      </c>
      <c r="S859" s="18">
        <f>IF($A859&gt;('1-Input'!$B$26+3),U858,(U858-Q859)*(1+'5-Roberta'!$C$4))</f>
        <v>142097.25969800234</v>
      </c>
      <c r="T859" s="18">
        <f>IF($A859&gt;('1-Input'!$B$26+3),R859,R859-'P-Parametri'!$B$8*(S859+R859)+MIN(MAX(S859,0),'P-Parametri'!$B$8*(S859+R859)))</f>
        <v>35588.487617059305</v>
      </c>
      <c r="U859" s="18">
        <f>IF($A859&gt;('1-Input'!$B$26+3),S859,S859-MIN(MAX(S859,0),'P-Parametri'!$B$8*(S859+R859)))</f>
        <v>141741.88820337222</v>
      </c>
      <c r="V859" s="18">
        <f>IF($A859&gt;('1-Input'!$B$26+3),V858,V858-Q859*(1-P859))</f>
        <v>62633.419323687762</v>
      </c>
      <c r="W859" s="11">
        <f>IF($A859&gt;('1-Input'!$B$26+3),0,IF(AB858&lt;=0,0,MAX(0,(AB858-AC858)/AB858)))</f>
        <v>0.54605316767697309</v>
      </c>
      <c r="X859" s="18">
        <f>IF($A859&gt;('1-Input'!$B$26+3),0,(MAX(0,W836-IF($A859&gt;='1-Input'!$C$12,'1-Input'!$B$12,0))-MIN(MAX(AA858,0),MAX(0,W836-IF($A859&gt;='1-Input'!$C$12,'1-Input'!$B$12,0))))*(1/(1-'P-Parametri'!$B$6*W859))+MIN(MAX(0,AB858-(MAX(0,W836-IF($A859&gt;='1-Input'!$C$12,'1-Input'!$B$12,0))-MIN(MAX(AA858,0),MAX(0,W836-IF($A859&gt;='1-Input'!$C$12,'1-Input'!$B$12,0))))*(1/(1-'P-Parametri'!$B$6*W859))),MAX(0,2*W836-(AA858-MIN(MAX(AA858,0),MAX(0,W836-IF($A859&gt;='1-Input'!$C$12,'1-Input'!$B$12,0)))))*(1/(1-'P-Parametri'!$B$6*W859))))</f>
        <v>20774.790850248315</v>
      </c>
      <c r="Y859" s="18">
        <f>IF($A859&gt;('1-Input'!$B$26+3),AA858,(AA858-MAX(0,W836-IF($A859&gt;='1-Input'!$C$12,'1-Input'!$B$12,0))+X859*(1-'P-Parametri'!$B$6*W859))*(1+'1-Input'!$B$27))</f>
        <v>35268.354303294887</v>
      </c>
      <c r="Z859" s="18">
        <f>IF($A859&gt;('1-Input'!$B$26+3),AB858,(AB858-X859)*(1+'5-Roberta'!$C$4))</f>
        <v>147873.56525004312</v>
      </c>
      <c r="AA859" s="18">
        <f>IF($A859&gt;('1-Input'!$B$26+3),Y859,Y859-'P-Parametri'!$B$8*(Z859+Y859)+MIN(MAX(Z859,0),'P-Parametri'!$B$8*(Z859+Y859)))</f>
        <v>35268.354303294887</v>
      </c>
      <c r="AB859" s="18">
        <f>IF($A859&gt;('1-Input'!$B$26+3),Z859,Z859-MIN(MAX(Z859,0),'P-Parametri'!$B$8*(Z859+Y859)))</f>
        <v>147507.28141093644</v>
      </c>
      <c r="AC859" s="18">
        <f>IF($A859&gt;('1-Input'!$B$26+3),AC858,AC858-X859*(1-W859))</f>
        <v>65171.588863659701</v>
      </c>
      <c r="AD859" s="11">
        <f>IF($A859&gt;('1-Input'!$B$26+3),0,IF(AI858&lt;=0,0,MAX(0,(AI858-AJ858)/AI858)))</f>
        <v>0.54605733228056774</v>
      </c>
      <c r="AE859" s="18">
        <f>IF($A859&gt;('1-Input'!$B$26+3),0,(MAX(0,AD836-IF($A859&gt;='1-Input'!$C$12,'1-Input'!$B$12,0))-MIN(MAX(AH858,0),MAX(0,AD836-IF($A859&gt;='1-Input'!$C$12,'1-Input'!$B$12,0))))*(1/(1-'P-Parametri'!$B$6*AD859))+MIN(MAX(0,AI858-(MAX(0,AD836-IF($A859&gt;='1-Input'!$C$12,'1-Input'!$B$12,0))-MIN(MAX(AH858,0),MAX(0,AD836-IF($A859&gt;='1-Input'!$C$12,'1-Input'!$B$12,0))))*(1/(1-'P-Parametri'!$B$6*AD859))),MAX(0,2*AD836-(AH858-MIN(MAX(AH858,0),MAX(0,AD836-IF($A859&gt;='1-Input'!$C$12,'1-Input'!$B$12,0)))))*(1/(1-'P-Parametri'!$B$6*AD859))))</f>
        <v>20760.262180852551</v>
      </c>
      <c r="AF859" s="18">
        <f>IF($A859&gt;('1-Input'!$B$26+3),AH858,(AH858-MAX(0,AD836-IF($A859&gt;='1-Input'!$C$12,'1-Input'!$B$12,0))+AE859*(1-'P-Parametri'!$B$6*AD859))*(1+'1-Input'!$B$27))</f>
        <v>35243.64521006601</v>
      </c>
      <c r="AG859" s="18">
        <f>IF($A859&gt;('1-Input'!$B$26+3),AI858,(AI858-AE859)*(1+'5-Roberta'!$C$4))</f>
        <v>148319.40695291283</v>
      </c>
      <c r="AH859" s="18">
        <f>IF($A859&gt;('1-Input'!$B$26+3),AF859,AF859-'P-Parametri'!$B$8*(AG859+AF859)+MIN(MAX(AG859,0),'P-Parametri'!$B$8*(AG859+AF859)))</f>
        <v>35243.64521006601</v>
      </c>
      <c r="AI859" s="18">
        <f>IF($A859&gt;('1-Input'!$B$26+3),AG859,AG859-MIN(MAX(AG859,0),'P-Parametri'!$B$8*(AG859+AF859)))</f>
        <v>147952.28084858687</v>
      </c>
      <c r="AJ859" s="18">
        <f>IF($A859&gt;('1-Input'!$B$26+3),AJ858,AJ858-AE859*(1-AD859))</f>
        <v>65367.482783271218</v>
      </c>
      <c r="AK859" s="11">
        <f>IF($A859&gt;('1-Input'!$B$26+3),0,IF(AP858&lt;=0,0,MAX(0,(AP858-AQ858)/AP858)))</f>
        <v>0.54605732302199184</v>
      </c>
      <c r="AL859" s="18">
        <f>IF($A859&gt;('1-Input'!$B$26+3),0,(MAX(0,AK836-IF($A859&gt;='1-Input'!$C$12,'1-Input'!$B$12,0))-MIN(MAX(AO858,0),MAX(0,AK836-IF($A859&gt;='1-Input'!$C$12,'1-Input'!$B$12,0))))*(1/(1-'P-Parametri'!$B$6*AK859))+MIN(MAX(0,AP858-(MAX(0,AK836-IF($A859&gt;='1-Input'!$C$12,'1-Input'!$B$12,0))-MIN(MAX(AO858,0),MAX(0,AK836-IF($A859&gt;='1-Input'!$C$12,'1-Input'!$B$12,0))))*(1/(1-'P-Parametri'!$B$6*AK859))),MAX(0,2*AK836-(AO858-MIN(MAX(AO858,0),MAX(0,AK836-IF($A859&gt;='1-Input'!$C$12,'1-Input'!$B$12,0)))))*(1/(1-'P-Parametri'!$B$6*AK859))))</f>
        <v>20760.294525731315</v>
      </c>
      <c r="AM859" s="18">
        <f>IF($A859&gt;('1-Input'!$B$26+3),AO858,(AO858-MAX(0,AK836-IF($A859&gt;='1-Input'!$C$12,'1-Input'!$B$12,0))+AL859*(1-'P-Parametri'!$B$6*AK859))*(1+'1-Input'!$B$27))</f>
        <v>35243.700219205675</v>
      </c>
      <c r="AN859" s="18">
        <f>IF($A859&gt;('1-Input'!$B$26+3),AP858,(AP858-AL859)*(1+'5-Roberta'!$C$4))</f>
        <v>148318.4143876835</v>
      </c>
      <c r="AO859" s="18">
        <f>IF($A859&gt;('1-Input'!$B$26+3),AM859,AM859-'P-Parametri'!$B$8*(AN859+AM859)+MIN(MAX(AN859,0),'P-Parametri'!$B$8*(AN859+AM859)))</f>
        <v>35243.700219205675</v>
      </c>
      <c r="AP859" s="18">
        <f>IF($A859&gt;('1-Input'!$B$26+3),AN859,AN859-MIN(MAX(AN859,0),'P-Parametri'!$B$8*(AN859+AM859)))</f>
        <v>147951.29015846972</v>
      </c>
      <c r="AQ859" s="18">
        <f>IF($A859&gt;('1-Input'!$B$26+3),AQ858,AQ858-AL859*(1-AK859))</f>
        <v>65367.04667211511</v>
      </c>
    </row>
    <row r="860" spans="1:43">
      <c r="A860" s="10">
        <f>22</f>
        <v>22</v>
      </c>
      <c r="B860" s="11">
        <f>IF($A860&gt;('1-Input'!$B$26+3),0,IF(G859&lt;=0,0,MAX(0,(G859-H859)/G859)))</f>
        <v>0.55853157131701936</v>
      </c>
      <c r="C860" s="18">
        <f>IF($A860&gt;('1-Input'!$B$26+3),0,(MAX(0,B836-IF($A860&gt;='1-Input'!$C$12,'1-Input'!$B$12,0))-MIN(MAX(F859,0),MAX(0,B836-IF($A860&gt;='1-Input'!$C$12,'1-Input'!$B$12,0))))*(1/(1-'P-Parametri'!$B$6*B860))+MIN(MAX(0,G859-(MAX(0,B836-IF($A860&gt;='1-Input'!$C$12,'1-Input'!$B$12,0))-MIN(MAX(F859,0),MAX(0,B836-IF($A860&gt;='1-Input'!$C$12,'1-Input'!$B$12,0))))*(1/(1-'P-Parametri'!$B$6*B860))),MAX(0,2*B836-(F859-MIN(MAX(F859,0),MAX(0,B836-IF($A860&gt;='1-Input'!$C$12,'1-Input'!$B$12,0)))))*(1/(1-'P-Parametri'!$B$6*B860))))</f>
        <v>19655.494631257585</v>
      </c>
      <c r="D860" s="18">
        <f>IF($A860&gt;('1-Input'!$B$26+3),F859,(F859-MAX(0,B836-IF($A860&gt;='1-Input'!$C$12,'1-Input'!$B$12,0))+C860*(1-'P-Parametri'!$B$6*B860))*(1+'1-Input'!$B$27))</f>
        <v>33242.0070309863</v>
      </c>
      <c r="E860" s="18">
        <f>IF($A860&gt;('1-Input'!$B$26+3),G859,(G859-C860)*(1+'5-Roberta'!$C$4))</f>
        <v>169277.84479209405</v>
      </c>
      <c r="F860" s="18">
        <f>IF($A860&gt;('1-Input'!$B$26+3),D860,D860-'P-Parametri'!$B$8*(E860+D860)+MIN(MAX(E860,0),'P-Parametri'!$B$8*(E860+D860)))</f>
        <v>33242.0070309863</v>
      </c>
      <c r="G860" s="18">
        <f>IF($A860&gt;('1-Input'!$B$26+3),E860,E860-MIN(MAX(E860,0),'P-Parametri'!$B$8*(E860+D860)))</f>
        <v>168872.8050884479</v>
      </c>
      <c r="H860" s="18">
        <f>IF($A860&gt;('1-Input'!$B$26+3),H859,H859-C860*(1-B860))</f>
        <v>72554.198205055567</v>
      </c>
      <c r="I860" s="11">
        <f>IF($A860&gt;('1-Input'!$B$26+3),0,IF(N859&lt;=0,0,MAX(0,(N859-O859)/N859)))</f>
        <v>0</v>
      </c>
      <c r="J860" s="18">
        <f>IF($A860&gt;('1-Input'!$B$26+3),0,(MAX(0,I836-IF($A860&gt;='1-Input'!$C$12,'1-Input'!$B$12,0))-MIN(MAX(M859,0),MAX(0,I836-IF($A860&gt;='1-Input'!$C$12,'1-Input'!$B$12,0))))*(1/(1-'P-Parametri'!$B$6*I860))+MIN(MAX(0,N859-(MAX(0,I836-IF($A860&gt;='1-Input'!$C$12,'1-Input'!$B$12,0))-MIN(MAX(M859,0),MAX(0,I836-IF($A860&gt;='1-Input'!$C$12,'1-Input'!$B$12,0))))*(1/(1-'P-Parametri'!$B$6*I860))),MAX(0,2*I836-(M859-MIN(MAX(M859,0),MAX(0,I836-IF($A860&gt;='1-Input'!$C$12,'1-Input'!$B$12,0)))))*(1/(1-'P-Parametri'!$B$6*I860))))</f>
        <v>0</v>
      </c>
      <c r="K860" s="18">
        <f>IF($A860&gt;('1-Input'!$B$26+3),M859,(M859-MAX(0,I836-IF($A860&gt;='1-Input'!$C$12,'1-Input'!$B$12,0))+J860*(1-'P-Parametri'!$B$6*I860))*(1+'1-Input'!$B$27))</f>
        <v>17574.844689263326</v>
      </c>
      <c r="L860" s="18">
        <f>IF($A860&gt;('1-Input'!$B$26+3),N859,(N859-J860)*(1+'5-Roberta'!$C$4))</f>
        <v>0</v>
      </c>
      <c r="M860" s="18">
        <f>IF($A860&gt;('1-Input'!$B$26+3),K860,K860-'P-Parametri'!$B$8*(L860+K860)+MIN(MAX(L860,0),'P-Parametri'!$B$8*(L860+K860)))</f>
        <v>17539.694999884799</v>
      </c>
      <c r="N860" s="18">
        <f>IF($A860&gt;('1-Input'!$B$26+3),L860,L860-MIN(MAX(L860,0),'P-Parametri'!$B$8*(L860+K860)))</f>
        <v>0</v>
      </c>
      <c r="O860" s="18">
        <f>IF($A860&gt;('1-Input'!$B$26+3),O859,O859-J860*(1-I860))</f>
        <v>0</v>
      </c>
      <c r="P860" s="11">
        <f>IF($A860&gt;('1-Input'!$B$26+3),0,IF(U859&lt;=0,0,MAX(0,(U859-V859)/U859)))</f>
        <v>0.55811637535249348</v>
      </c>
      <c r="Q860" s="18">
        <f>IF($A860&gt;('1-Input'!$B$26+3),0,(MAX(0,P836-IF($A860&gt;='1-Input'!$C$12,'1-Input'!$B$12,0))-MIN(MAX(T859,0),MAX(0,P836-IF($A860&gt;='1-Input'!$C$12,'1-Input'!$B$12,0))))*(1/(1-'P-Parametri'!$B$6*P860))+MIN(MAX(0,U859-(MAX(0,P836-IF($A860&gt;='1-Input'!$C$12,'1-Input'!$B$12,0))-MIN(MAX(T859,0),MAX(0,P836-IF($A860&gt;='1-Input'!$C$12,'1-Input'!$B$12,0))))*(1/(1-'P-Parametri'!$B$6*P860))),MAX(0,2*P836-(T859-MIN(MAX(T859,0),MAX(0,P836-IF($A860&gt;='1-Input'!$C$12,'1-Input'!$B$12,0)))))*(1/(1-'P-Parametri'!$B$6*P860))))</f>
        <v>21040.27582646158</v>
      </c>
      <c r="R860" s="18">
        <f>IF($A860&gt;('1-Input'!$B$26+3),T859,(T859-MAX(0,P836-IF($A860&gt;='1-Input'!$C$12,'1-Input'!$B$12,0))+Q860*(1-'P-Parametri'!$B$6*P860))*(1+'1-Input'!$B$27))</f>
        <v>35588.487617059305</v>
      </c>
      <c r="S860" s="18">
        <f>IF($A860&gt;('1-Input'!$B$26+3),U859,(U859-Q860)*(1+'5-Roberta'!$C$4))</f>
        <v>124322.66074821795</v>
      </c>
      <c r="T860" s="18">
        <f>IF($A860&gt;('1-Input'!$B$26+3),R860,R860-'P-Parametri'!$B$8*(S860+R860)+MIN(MAX(S860,0),'P-Parametri'!$B$8*(S860+R860)))</f>
        <v>35588.487617059305</v>
      </c>
      <c r="U860" s="18">
        <f>IF($A860&gt;('1-Input'!$B$26+3),S860,S860-MIN(MAX(S860,0),'P-Parametri'!$B$8*(S860+R860)))</f>
        <v>124002.83845148741</v>
      </c>
      <c r="V860" s="18">
        <f>IF($A860&gt;('1-Input'!$B$26+3),V859,V859-Q860*(1-P860))</f>
        <v>53336.065977907609</v>
      </c>
      <c r="W860" s="11">
        <f>IF($A860&gt;('1-Input'!$B$26+3),0,IF(AB859&lt;=0,0,MAX(0,(AB859-AC859)/AB859)))</f>
        <v>0.5581805302065056</v>
      </c>
      <c r="X860" s="18">
        <f>IF($A860&gt;('1-Input'!$B$26+3),0,(MAX(0,W836-IF($A860&gt;='1-Input'!$C$12,'1-Input'!$B$12,0))-MIN(MAX(AA859,0),MAX(0,W836-IF($A860&gt;='1-Input'!$C$12,'1-Input'!$B$12,0))))*(1/(1-'P-Parametri'!$B$6*W860))+MIN(MAX(0,AB859-(MAX(0,W836-IF($A860&gt;='1-Input'!$C$12,'1-Input'!$B$12,0))-MIN(MAX(AA859,0),MAX(0,W836-IF($A860&gt;='1-Input'!$C$12,'1-Input'!$B$12,0))))*(1/(1-'P-Parametri'!$B$6*W860))),MAX(0,2*W836-(AA859-MIN(MAX(AA859,0),MAX(0,W836-IF($A860&gt;='1-Input'!$C$12,'1-Input'!$B$12,0)))))*(1/(1-'P-Parametri'!$B$6*W860))))</f>
        <v>20851.416599883873</v>
      </c>
      <c r="Y860" s="18">
        <f>IF($A860&gt;('1-Input'!$B$26+3),AA859,(AA859-MAX(0,W836-IF($A860&gt;='1-Input'!$C$12,'1-Input'!$B$12,0))+X860*(1-'P-Parametri'!$B$6*W860))*(1+'1-Input'!$B$27))</f>
        <v>35268.354303294887</v>
      </c>
      <c r="Z860" s="18">
        <f>IF($A860&gt;('1-Input'!$B$26+3),AB859,(AB859-X860)*(1+'5-Roberta'!$C$4))</f>
        <v>130455.54075538415</v>
      </c>
      <c r="AA860" s="18">
        <f>IF($A860&gt;('1-Input'!$B$26+3),Y860,Y860-'P-Parametri'!$B$8*(Z860+Y860)+MIN(MAX(Z860,0),'P-Parametri'!$B$8*(Z860+Y860)))</f>
        <v>35268.354303294887</v>
      </c>
      <c r="AB860" s="18">
        <f>IF($A860&gt;('1-Input'!$B$26+3),Z860,Z860-MIN(MAX(Z860,0),'P-Parametri'!$B$8*(Z860+Y860)))</f>
        <v>130124.0929652668</v>
      </c>
      <c r="AC860" s="18">
        <f>IF($A860&gt;('1-Input'!$B$26+3),AC859,AC859-X860*(1-W860))</f>
        <v>55959.027037055741</v>
      </c>
      <c r="AD860" s="11">
        <f>IF($A860&gt;('1-Input'!$B$26+3),0,IF(AI859&lt;=0,0,MAX(0,(AI859-AJ859)/AI859)))</f>
        <v>0.55818536619812065</v>
      </c>
      <c r="AE860" s="18">
        <f>IF($A860&gt;('1-Input'!$B$26+3),0,(MAX(0,AD836-IF($A860&gt;='1-Input'!$C$12,'1-Input'!$B$12,0))-MIN(MAX(AH859,0),MAX(0,AD836-IF($A860&gt;='1-Input'!$C$12,'1-Input'!$B$12,0))))*(1/(1-'P-Parametri'!$B$6*AD860))+MIN(MAX(0,AI859-(MAX(0,AD836-IF($A860&gt;='1-Input'!$C$12,'1-Input'!$B$12,0))-MIN(MAX(AH859,0),MAX(0,AD836-IF($A860&gt;='1-Input'!$C$12,'1-Input'!$B$12,0))))*(1/(1-'P-Parametri'!$B$6*AD860))),MAX(0,2*AD836-(AH859-MIN(MAX(AH859,0),MAX(0,AD836-IF($A860&gt;='1-Input'!$C$12,'1-Input'!$B$12,0)))))*(1/(1-'P-Parametri'!$B$6*AD860))))</f>
        <v>20836.838694709546</v>
      </c>
      <c r="AF860" s="18">
        <f>IF($A860&gt;('1-Input'!$B$26+3),AH859,(AH859-MAX(0,AD836-IF($A860&gt;='1-Input'!$C$12,'1-Input'!$B$12,0))+AE860*(1-'P-Parametri'!$B$6*AD860))*(1+'1-Input'!$B$27))</f>
        <v>35243.64521006601</v>
      </c>
      <c r="AG860" s="18">
        <f>IF($A860&gt;('1-Input'!$B$26+3),AI859,(AI859-AE860)*(1+'5-Roberta'!$C$4))</f>
        <v>130928.90541849365</v>
      </c>
      <c r="AH860" s="18">
        <f>IF($A860&gt;('1-Input'!$B$26+3),AF860,AF860-'P-Parametri'!$B$8*(AG860+AF860)+MIN(MAX(AG860,0),'P-Parametri'!$B$8*(AG860+AF860)))</f>
        <v>35243.64521006601</v>
      </c>
      <c r="AI860" s="18">
        <f>IF($A860&gt;('1-Input'!$B$26+3),AG860,AG860-MIN(MAX(AG860,0),'P-Parametri'!$B$8*(AG860+AF860)))</f>
        <v>130596.56031723654</v>
      </c>
      <c r="AJ860" s="18">
        <f>IF($A860&gt;('1-Input'!$B$26+3),AJ859,AJ859-AE860*(1-AD860))</f>
        <v>56161.462525779294</v>
      </c>
      <c r="AK860" s="11">
        <f>IF($A860&gt;('1-Input'!$B$26+3),0,IF(AP859&lt;=0,0,MAX(0,(AP859-AQ859)/AP859)))</f>
        <v>0.55818535544975068</v>
      </c>
      <c r="AL860" s="18">
        <f>IF($A860&gt;('1-Input'!$B$26+3),0,(MAX(0,AK836-IF($A860&gt;='1-Input'!$C$12,'1-Input'!$B$12,0))-MIN(MAX(AO859,0),MAX(0,AK836-IF($A860&gt;='1-Input'!$C$12,'1-Input'!$B$12,0))))*(1/(1-'P-Parametri'!$B$6*AK860))+MIN(MAX(0,AP859-(MAX(0,AK836-IF($A860&gt;='1-Input'!$C$12,'1-Input'!$B$12,0))-MIN(MAX(AO859,0),MAX(0,AK836-IF($A860&gt;='1-Input'!$C$12,'1-Input'!$B$12,0))))*(1/(1-'P-Parametri'!$B$6*AK860))),MAX(0,2*AK836-(AO859-MIN(MAX(AO859,0),MAX(0,AK836-IF($A860&gt;='1-Input'!$C$12,'1-Input'!$B$12,0)))))*(1/(1-'P-Parametri'!$B$6*AK860))))</f>
        <v>20836.871149239036</v>
      </c>
      <c r="AM860" s="18">
        <f>IF($A860&gt;('1-Input'!$B$26+3),AO859,(AO859-MAX(0,AK836-IF($A860&gt;='1-Input'!$C$12,'1-Input'!$B$12,0))+AL860*(1-'P-Parametri'!$B$6*AK860))*(1+'1-Input'!$B$27))</f>
        <v>35243.700219205675</v>
      </c>
      <c r="AN860" s="18">
        <f>IF($A860&gt;('1-Input'!$B$26+3),AP859,(AP859-AL860)*(1+'5-Roberta'!$C$4))</f>
        <v>130927.85157950761</v>
      </c>
      <c r="AO860" s="18">
        <f>IF($A860&gt;('1-Input'!$B$26+3),AM860,AM860-'P-Parametri'!$B$8*(AN860+AM860)+MIN(MAX(AN860,0),'P-Parametri'!$B$8*(AN860+AM860)))</f>
        <v>35243.700219205675</v>
      </c>
      <c r="AP860" s="18">
        <f>IF($A860&gt;('1-Input'!$B$26+3),AN860,AN860-MIN(MAX(AN860,0),'P-Parametri'!$B$8*(AN860+AM860)))</f>
        <v>130595.50847591019</v>
      </c>
      <c r="AQ860" s="18">
        <f>IF($A860&gt;('1-Input'!$B$26+3),AQ859,AQ859-AL860*(1-AK860))</f>
        <v>56161.011851774718</v>
      </c>
    </row>
    <row r="861" spans="1:43">
      <c r="A861" s="10">
        <f>23</f>
        <v>23</v>
      </c>
      <c r="B861" s="11">
        <f>IF($A861&gt;('1-Input'!$B$26+3),0,IF(G860&lt;=0,0,MAX(0,(G860-H860)/G860)))</f>
        <v>0.57036185804425421</v>
      </c>
      <c r="C861" s="18">
        <f>IF($A861&gt;('1-Input'!$B$26+3),0,(MAX(0,B836-IF($A861&gt;='1-Input'!$C$12,'1-Input'!$B$12,0))-MIN(MAX(F860,0),MAX(0,B836-IF($A861&gt;='1-Input'!$C$12,'1-Input'!$B$12,0))))*(1/(1-'P-Parametri'!$B$6*B861))+MIN(MAX(0,G860-(MAX(0,B836-IF($A861&gt;='1-Input'!$C$12,'1-Input'!$B$12,0))-MIN(MAX(F860,0),MAX(0,B836-IF($A861&gt;='1-Input'!$C$12,'1-Input'!$B$12,0))))*(1/(1-'P-Parametri'!$B$6*B861))),MAX(0,2*B836-(F860-MIN(MAX(F860,0),MAX(0,B836-IF($A861&gt;='1-Input'!$C$12,'1-Input'!$B$12,0)))))*(1/(1-'P-Parametri'!$B$6*B861))))</f>
        <v>6691.4633322940936</v>
      </c>
      <c r="D861" s="18">
        <f>IF($A861&gt;('1-Input'!$B$26+3),F860,(F860-MAX(0,B836-IF($A861&gt;='1-Input'!$C$12,'1-Input'!$B$12,0))+C861*(1-'P-Parametri'!$B$6*B861))*(1+'1-Input'!$B$27))</f>
        <v>33242.0070309863</v>
      </c>
      <c r="E861" s="18">
        <f>IF($A861&gt;('1-Input'!$B$26+3),G860,(G860-C861)*(1+'5-Roberta'!$C$4))</f>
        <v>167046.7820088384</v>
      </c>
      <c r="F861" s="18">
        <f>IF($A861&gt;('1-Input'!$B$26+3),D861,D861-'P-Parametri'!$B$8*(E861+D861)+MIN(MAX(E861,0),'P-Parametri'!$B$8*(E861+D861)))</f>
        <v>33242.0070309863</v>
      </c>
      <c r="G861" s="18">
        <f>IF($A861&gt;('1-Input'!$B$26+3),E861,E861-MIN(MAX(E861,0),'P-Parametri'!$B$8*(E861+D861)))</f>
        <v>166646.20443075875</v>
      </c>
      <c r="H861" s="18">
        <f>IF($A861&gt;('1-Input'!$B$26+3),H860,H860-C861*(1-B861))</f>
        <v>69679.290332003729</v>
      </c>
      <c r="I861" s="11">
        <f>IF($A861&gt;('1-Input'!$B$26+3),0,IF(N860&lt;=0,0,MAX(0,(N860-O860)/N860)))</f>
        <v>0</v>
      </c>
      <c r="J861" s="18">
        <f>IF($A861&gt;('1-Input'!$B$26+3),0,(MAX(0,I836-IF($A861&gt;='1-Input'!$C$12,'1-Input'!$B$12,0))-MIN(MAX(M860,0),MAX(0,I836-IF($A861&gt;='1-Input'!$C$12,'1-Input'!$B$12,0))))*(1/(1-'P-Parametri'!$B$6*I861))+MIN(MAX(0,N860-(MAX(0,I836-IF($A861&gt;='1-Input'!$C$12,'1-Input'!$B$12,0))-MIN(MAX(M860,0),MAX(0,I836-IF($A861&gt;='1-Input'!$C$12,'1-Input'!$B$12,0))))*(1/(1-'P-Parametri'!$B$6*I861))),MAX(0,2*I836-(M860-MIN(MAX(M860,0),MAX(0,I836-IF($A861&gt;='1-Input'!$C$12,'1-Input'!$B$12,0)))))*(1/(1-'P-Parametri'!$B$6*I861))))</f>
        <v>0</v>
      </c>
      <c r="K861" s="18">
        <f>IF($A861&gt;('1-Input'!$B$26+3),M860,(M860-MAX(0,I836-IF($A861&gt;='1-Input'!$C$12,'1-Input'!$B$12,0))+J861*(1-'P-Parametri'!$B$6*I861))*(1+'1-Input'!$B$27))</f>
        <v>6668.8434301310663</v>
      </c>
      <c r="L861" s="18">
        <f>IF($A861&gt;('1-Input'!$B$26+3),N860,(N860-J861)*(1+'5-Roberta'!$C$4))</f>
        <v>0</v>
      </c>
      <c r="M861" s="18">
        <f>IF($A861&gt;('1-Input'!$B$26+3),K861,K861-'P-Parametri'!$B$8*(L861+K861)+MIN(MAX(L861,0),'P-Parametri'!$B$8*(L861+K861)))</f>
        <v>6655.5057432708045</v>
      </c>
      <c r="N861" s="18">
        <f>IF($A861&gt;('1-Input'!$B$26+3),L861,L861-MIN(MAX(L861,0),'P-Parametri'!$B$8*(L861+K861)))</f>
        <v>0</v>
      </c>
      <c r="O861" s="18">
        <f>IF($A861&gt;('1-Input'!$B$26+3),O860,O860-J861*(1-I861))</f>
        <v>0</v>
      </c>
      <c r="P861" s="11">
        <f>IF($A861&gt;('1-Input'!$B$26+3),0,IF(U860&lt;=0,0,MAX(0,(U860-V860)/U860)))</f>
        <v>0.56988028141973679</v>
      </c>
      <c r="Q861" s="18">
        <f>IF($A861&gt;('1-Input'!$B$26+3),0,(MAX(0,P836-IF($A861&gt;='1-Input'!$C$12,'1-Input'!$B$12,0))-MIN(MAX(T860,0),MAX(0,P836-IF($A861&gt;='1-Input'!$C$12,'1-Input'!$B$12,0))))*(1/(1-'P-Parametri'!$B$6*P861))+MIN(MAX(0,U860-(MAX(0,P836-IF($A861&gt;='1-Input'!$C$12,'1-Input'!$B$12,0))-MIN(MAX(T860,0),MAX(0,P836-IF($A861&gt;='1-Input'!$C$12,'1-Input'!$B$12,0))))*(1/(1-'P-Parametri'!$B$6*P861))),MAX(0,2*P836-(T860-MIN(MAX(T860,0),MAX(0,P836-IF($A861&gt;='1-Input'!$C$12,'1-Input'!$B$12,0)))))*(1/(1-'P-Parametri'!$B$6*P861))))</f>
        <v>8082.7241041303878</v>
      </c>
      <c r="R861" s="18">
        <f>IF($A861&gt;('1-Input'!$B$26+3),T860,(T860-MAX(0,P836-IF($A861&gt;='1-Input'!$C$12,'1-Input'!$B$12,0))+Q861*(1-'P-Parametri'!$B$6*P861))*(1+'1-Input'!$B$27))</f>
        <v>35588.487617059305</v>
      </c>
      <c r="S861" s="18">
        <f>IF($A861&gt;('1-Input'!$B$26+3),U860,(U860-Q861)*(1+'5-Roberta'!$C$4))</f>
        <v>119397.71777777773</v>
      </c>
      <c r="T861" s="18">
        <f>IF($A861&gt;('1-Input'!$B$26+3),R861,R861-'P-Parametri'!$B$8*(S861+R861)+MIN(MAX(S861,0),'P-Parametri'!$B$8*(S861+R861)))</f>
        <v>35588.487617059305</v>
      </c>
      <c r="U861" s="18">
        <f>IF($A861&gt;('1-Input'!$B$26+3),S861,S861-MIN(MAX(S861,0),'P-Parametri'!$B$8*(S861+R861)))</f>
        <v>119087.74536698805</v>
      </c>
      <c r="V861" s="18">
        <f>IF($A861&gt;('1-Input'!$B$26+3),V860,V860-Q861*(1-P861))</f>
        <v>49859.526960877134</v>
      </c>
      <c r="W861" s="11">
        <f>IF($A861&gt;('1-Input'!$B$26+3),0,IF(AB860&lt;=0,0,MAX(0,(AB860-AC860)/AB860)))</f>
        <v>0.5699564487877542</v>
      </c>
      <c r="X861" s="18">
        <f>IF($A861&gt;('1-Input'!$B$26+3),0,(MAX(0,W836-IF($A861&gt;='1-Input'!$C$12,'1-Input'!$B$12,0))-MIN(MAX(AA860,0),MAX(0,W836-IF($A861&gt;='1-Input'!$C$12,'1-Input'!$B$12,0))))*(1/(1-'P-Parametri'!$B$6*W861))+MIN(MAX(0,AB860-(MAX(0,W836-IF($A861&gt;='1-Input'!$C$12,'1-Input'!$B$12,0))-MIN(MAX(AA860,0),MAX(0,W836-IF($A861&gt;='1-Input'!$C$12,'1-Input'!$B$12,0))))*(1/(1-'P-Parametri'!$B$6*W861))),MAX(0,2*W836-(AA860-MIN(MAX(AA860,0),MAX(0,W836-IF($A861&gt;='1-Input'!$C$12,'1-Input'!$B$12,0)))))*(1/(1-'P-Parametri'!$B$6*W861))))</f>
        <v>7892.9619445119324</v>
      </c>
      <c r="Y861" s="18">
        <f>IF($A861&gt;('1-Input'!$B$26+3),AA860,(AA860-MAX(0,W836-IF($A861&gt;='1-Input'!$C$12,'1-Input'!$B$12,0))+X861*(1-'P-Parametri'!$B$6*W861))*(1+'1-Input'!$B$27))</f>
        <v>35268.354303294887</v>
      </c>
      <c r="Z861" s="18">
        <f>IF($A861&gt;('1-Input'!$B$26+3),AB860,(AB860-X861)*(1+'5-Roberta'!$C$4))</f>
        <v>125898.06495137751</v>
      </c>
      <c r="AA861" s="18">
        <f>IF($A861&gt;('1-Input'!$B$26+3),Y861,Y861-'P-Parametri'!$B$8*(Z861+Y861)+MIN(MAX(Z861,0),'P-Parametri'!$B$8*(Z861+Y861)))</f>
        <v>35268.354303294887</v>
      </c>
      <c r="AB861" s="18">
        <f>IF($A861&gt;('1-Input'!$B$26+3),Z861,Z861-MIN(MAX(Z861,0),'P-Parametri'!$B$8*(Z861+Y861)))</f>
        <v>125575.73211286817</v>
      </c>
      <c r="AC861" s="18">
        <f>IF($A861&gt;('1-Input'!$B$26+3),AC860,AC860-X861*(1-W861))</f>
        <v>52564.709652854719</v>
      </c>
      <c r="AD861" s="11">
        <f>IF($A861&gt;('1-Input'!$B$26+3),0,IF(AI860&lt;=0,0,MAX(0,(AI860-AJ860)/AI860)))</f>
        <v>0.56996216141255496</v>
      </c>
      <c r="AE861" s="18">
        <f>IF($A861&gt;('1-Input'!$B$26+3),0,(MAX(0,AD836-IF($A861&gt;='1-Input'!$C$12,'1-Input'!$B$12,0))-MIN(MAX(AH860,0),MAX(0,AD836-IF($A861&gt;='1-Input'!$C$12,'1-Input'!$B$12,0))))*(1/(1-'P-Parametri'!$B$6*AD861))+MIN(MAX(0,AI860-(MAX(0,AD836-IF($A861&gt;='1-Input'!$C$12,'1-Input'!$B$12,0))-MIN(MAX(AH860,0),MAX(0,AD836-IF($A861&gt;='1-Input'!$C$12,'1-Input'!$B$12,0))))*(1/(1-'P-Parametri'!$B$6*AD861))),MAX(0,2*AD836-(AH860-MIN(MAX(AH860,0),MAX(0,AD836-IF($A861&gt;='1-Input'!$C$12,'1-Input'!$B$12,0)))))*(1/(1-'P-Parametri'!$B$6*AD861))))</f>
        <v>7878.3146207041873</v>
      </c>
      <c r="AF861" s="18">
        <f>IF($A861&gt;('1-Input'!$B$26+3),AH860,(AH860-MAX(0,AD836-IF($A861&gt;='1-Input'!$C$12,'1-Input'!$B$12,0))+AE861*(1-'P-Parametri'!$B$6*AD861))*(1+'1-Input'!$B$27))</f>
        <v>35243.64521006601</v>
      </c>
      <c r="AG861" s="18">
        <f>IF($A861&gt;('1-Input'!$B$26+3),AI860,(AI860-AE861)*(1+'5-Roberta'!$C$4))</f>
        <v>126399.79306742833</v>
      </c>
      <c r="AH861" s="18">
        <f>IF($A861&gt;('1-Input'!$B$26+3),AF861,AF861-'P-Parametri'!$B$8*(AG861+AF861)+MIN(MAX(AG861,0),'P-Parametri'!$B$8*(AG861+AF861)))</f>
        <v>35243.64521006601</v>
      </c>
      <c r="AI861" s="18">
        <f>IF($A861&gt;('1-Input'!$B$26+3),AG861,AG861-MIN(MAX(AG861,0),'P-Parametri'!$B$8*(AG861+AF861)))</f>
        <v>126076.50619087333</v>
      </c>
      <c r="AJ861" s="18">
        <f>IF($A861&gt;('1-Input'!$B$26+3),AJ860,AJ860-AE861*(1-AD861))</f>
        <v>52773.489134579795</v>
      </c>
      <c r="AK861" s="11">
        <f>IF($A861&gt;('1-Input'!$B$26+3),0,IF(AP860&lt;=0,0,MAX(0,(AP860-AQ860)/AP860)))</f>
        <v>0.56996214872018935</v>
      </c>
      <c r="AL861" s="18">
        <f>IF($A861&gt;('1-Input'!$B$26+3),0,(MAX(0,AK836-IF($A861&gt;='1-Input'!$C$12,'1-Input'!$B$12,0))-MIN(MAX(AO860,0),MAX(0,AK836-IF($A861&gt;='1-Input'!$C$12,'1-Input'!$B$12,0))))*(1/(1-'P-Parametri'!$B$6*AK861))+MIN(MAX(0,AP860-(MAX(0,AK836-IF($A861&gt;='1-Input'!$C$12,'1-Input'!$B$12,0))-MIN(MAX(AO860,0),MAX(0,AK836-IF($A861&gt;='1-Input'!$C$12,'1-Input'!$B$12,0))))*(1/(1-'P-Parametri'!$B$6*AK861))),MAX(0,2*AK836-(AO860-MIN(MAX(AO860,0),MAX(0,AK836-IF($A861&gt;='1-Input'!$C$12,'1-Input'!$B$12,0)))))*(1/(1-'P-Parametri'!$B$6*AK861))))</f>
        <v>7878.3472297355893</v>
      </c>
      <c r="AM861" s="18">
        <f>IF($A861&gt;('1-Input'!$B$26+3),AO860,(AO860-MAX(0,AK836-IF($A861&gt;='1-Input'!$C$12,'1-Input'!$B$12,0))+AL861*(1-'P-Parametri'!$B$6*AK861))*(1+'1-Input'!$B$27))</f>
        <v>35243.700219205675</v>
      </c>
      <c r="AN861" s="18">
        <f>IF($A861&gt;('1-Input'!$B$26+3),AP860,(AP860-AL861)*(1+'5-Roberta'!$C$4))</f>
        <v>126398.67608355984</v>
      </c>
      <c r="AO861" s="18">
        <f>IF($A861&gt;('1-Input'!$B$26+3),AM861,AM861-'P-Parametri'!$B$8*(AN861+AM861)+MIN(MAX(AN861,0),'P-Parametri'!$B$8*(AN861+AM861)))</f>
        <v>35243.700219205675</v>
      </c>
      <c r="AP861" s="18">
        <f>IF($A861&gt;('1-Input'!$B$26+3),AN861,AN861-MIN(MAX(AN861,0),'P-Parametri'!$B$8*(AN861+AM861)))</f>
        <v>126075.39133095431</v>
      </c>
      <c r="AQ861" s="18">
        <f>IF($A861&gt;('1-Input'!$B$26+3),AQ860,AQ860-AL861*(1-AK861))</f>
        <v>52773.024337462979</v>
      </c>
    </row>
    <row r="862" spans="1:43">
      <c r="A862" s="10">
        <f>24</f>
        <v>24</v>
      </c>
      <c r="B862" s="11">
        <f>IF($A862&gt;('1-Input'!$B$26+3),0,IF(G861&lt;=0,0,MAX(0,(G861-H861)/G861)))</f>
        <v>0.58187292311865779</v>
      </c>
      <c r="C862" s="18">
        <f>IF($A862&gt;('1-Input'!$B$26+3),0,(MAX(0,B836-IF($A862&gt;='1-Input'!$C$12,'1-Input'!$B$12,0))-MIN(MAX(F861,0),MAX(0,B836-IF($A862&gt;='1-Input'!$C$12,'1-Input'!$B$12,0))))*(1/(1-'P-Parametri'!$B$6*B862))+MIN(MAX(0,G861-(MAX(0,B836-IF($A862&gt;='1-Input'!$C$12,'1-Input'!$B$12,0))-MIN(MAX(F861,0),MAX(0,B836-IF($A862&gt;='1-Input'!$C$12,'1-Input'!$B$12,0))))*(1/(1-'P-Parametri'!$B$6*B862))),MAX(0,2*B836-(F861-MIN(MAX(F861,0),MAX(0,B836-IF($A862&gt;='1-Input'!$C$12,'1-Input'!$B$12,0)))))*(1/(1-'P-Parametri'!$B$6*B862))))</f>
        <v>6715.059913494405</v>
      </c>
      <c r="D862" s="18">
        <f>IF($A862&gt;('1-Input'!$B$26+3),F861,(F861-MAX(0,B836-IF($A862&gt;='1-Input'!$C$12,'1-Input'!$B$12,0))+C862*(1-'P-Parametri'!$B$6*B862))*(1+'1-Input'!$B$27))</f>
        <v>33242.0070309863</v>
      </c>
      <c r="E862" s="18">
        <f>IF($A862&gt;('1-Input'!$B$26+3),G861,(G861-C862)*(1+'5-Roberta'!$C$4))</f>
        <v>164729.07885278229</v>
      </c>
      <c r="F862" s="18">
        <f>IF($A862&gt;('1-Input'!$B$26+3),D862,D862-'P-Parametri'!$B$8*(E862+D862)+MIN(MAX(E862,0),'P-Parametri'!$B$8*(E862+D862)))</f>
        <v>33242.0070309863</v>
      </c>
      <c r="G862" s="18">
        <f>IF($A862&gt;('1-Input'!$B$26+3),E862,E862-MIN(MAX(E862,0),'P-Parametri'!$B$8*(E862+D862)))</f>
        <v>164333.13668101476</v>
      </c>
      <c r="H862" s="18">
        <f>IF($A862&gt;('1-Input'!$B$26+3),H861,H861-C862*(1-B862))</f>
        <v>66871.541959291237</v>
      </c>
      <c r="I862" s="11">
        <f>IF($A862&gt;('1-Input'!$B$26+3),0,IF(N861&lt;=0,0,MAX(0,(N861-O861)/N861)))</f>
        <v>0</v>
      </c>
      <c r="J862" s="18">
        <f>IF($A862&gt;('1-Input'!$B$26+3),0,(MAX(0,I836-IF($A862&gt;='1-Input'!$C$12,'1-Input'!$B$12,0))-MIN(MAX(M861,0),MAX(0,I836-IF($A862&gt;='1-Input'!$C$12,'1-Input'!$B$12,0))))*(1/(1-'P-Parametri'!$B$6*I862))+MIN(MAX(0,N861-(MAX(0,I836-IF($A862&gt;='1-Input'!$C$12,'1-Input'!$B$12,0))-MIN(MAX(M861,0),MAX(0,I836-IF($A862&gt;='1-Input'!$C$12,'1-Input'!$B$12,0))))*(1/(1-'P-Parametri'!$B$6*I862))),MAX(0,2*I836-(M861-MIN(MAX(M861,0),MAX(0,I836-IF($A862&gt;='1-Input'!$C$12,'1-Input'!$B$12,0)))))*(1/(1-'P-Parametri'!$B$6*I862))))</f>
        <v>4191.2512496578865</v>
      </c>
      <c r="K862" s="18">
        <f>IF($A862&gt;('1-Input'!$B$26+3),M861,(M861-MAX(0,I836-IF($A862&gt;='1-Input'!$C$12,'1-Input'!$B$12,0))+J862*(1-'P-Parametri'!$B$6*I862))*(1+'1-Input'!$B$27))</f>
        <v>0</v>
      </c>
      <c r="L862" s="18">
        <f>IF($A862&gt;('1-Input'!$B$26+3),N861,(N861-J862)*(1+'5-Roberta'!$C$4))</f>
        <v>-4316.988787147623</v>
      </c>
      <c r="M862" s="18">
        <f>IF($A862&gt;('1-Input'!$B$26+3),K862,K862-'P-Parametri'!$B$8*(L862+K862)+MIN(MAX(L862,0),'P-Parametri'!$B$8*(L862+K862)))</f>
        <v>0</v>
      </c>
      <c r="N862" s="18">
        <f>IF($A862&gt;('1-Input'!$B$26+3),L862,L862-MIN(MAX(L862,0),'P-Parametri'!$B$8*(L862+K862)))</f>
        <v>-4308.3548095733277</v>
      </c>
      <c r="O862" s="18">
        <f>IF($A862&gt;('1-Input'!$B$26+3),O861,O861-J862*(1-I862))</f>
        <v>-4191.2512496578865</v>
      </c>
      <c r="P862" s="11">
        <f>IF($A862&gt;('1-Input'!$B$26+3),0,IF(U861&lt;=0,0,MAX(0,(U861-V861)/U861)))</f>
        <v>0.58132109389402764</v>
      </c>
      <c r="Q862" s="18">
        <f>IF($A862&gt;('1-Input'!$B$26+3),0,(MAX(0,P836-IF($A862&gt;='1-Input'!$C$12,'1-Input'!$B$12,0))-MIN(MAX(T861,0),MAX(0,P836-IF($A862&gt;='1-Input'!$C$12,'1-Input'!$B$12,0))))*(1/(1-'P-Parametri'!$B$6*P862))+MIN(MAX(0,U861-(MAX(0,P836-IF($A862&gt;='1-Input'!$C$12,'1-Input'!$B$12,0))-MIN(MAX(T861,0),MAX(0,P836-IF($A862&gt;='1-Input'!$C$12,'1-Input'!$B$12,0))))*(1/(1-'P-Parametri'!$B$6*P862))),MAX(0,2*P836-(T861-MIN(MAX(T861,0),MAX(0,P836-IF($A862&gt;='1-Input'!$C$12,'1-Input'!$B$12,0)))))*(1/(1-'P-Parametri'!$B$6*P862))))</f>
        <v>8111.0480452856527</v>
      </c>
      <c r="R862" s="18">
        <f>IF($A862&gt;('1-Input'!$B$26+3),T861,(T861-MAX(0,P836-IF($A862&gt;='1-Input'!$C$12,'1-Input'!$B$12,0))+Q862*(1-'P-Parametri'!$B$6*P862))*(1+'1-Input'!$B$27))</f>
        <v>35588.487617059305</v>
      </c>
      <c r="S862" s="18">
        <f>IF($A862&gt;('1-Input'!$B$26+3),U861,(U861-Q862)*(1+'5-Roberta'!$C$4))</f>
        <v>114305.99824135346</v>
      </c>
      <c r="T862" s="18">
        <f>IF($A862&gt;('1-Input'!$B$26+3),R862,R862-'P-Parametri'!$B$8*(S862+R862)+MIN(MAX(S862,0),'P-Parametri'!$B$8*(S862+R862)))</f>
        <v>35588.487617059305</v>
      </c>
      <c r="U862" s="18">
        <f>IF($A862&gt;('1-Input'!$B$26+3),S862,S862-MIN(MAX(S862,0),'P-Parametri'!$B$8*(S862+R862)))</f>
        <v>114006.20926963663</v>
      </c>
      <c r="V862" s="18">
        <f>IF($A862&gt;('1-Input'!$B$26+3),V861,V861-Q862*(1-P862))</f>
        <v>46463.60223790395</v>
      </c>
      <c r="W862" s="11">
        <f>IF($A862&gt;('1-Input'!$B$26+3),0,IF(AB861&lt;=0,0,MAX(0,(AB861-AC861)/AB861)))</f>
        <v>0.58141028709584386</v>
      </c>
      <c r="X862" s="18">
        <f>IF($A862&gt;('1-Input'!$B$26+3),0,(MAX(0,W836-IF($A862&gt;='1-Input'!$C$12,'1-Input'!$B$12,0))-MIN(MAX(AA861,0),MAX(0,W836-IF($A862&gt;='1-Input'!$C$12,'1-Input'!$B$12,0))))*(1/(1-'P-Parametri'!$B$6*W862))+MIN(MAX(0,AB861-(MAX(0,W836-IF($A862&gt;='1-Input'!$C$12,'1-Input'!$B$12,0))-MIN(MAX(AA861,0),MAX(0,W836-IF($A862&gt;='1-Input'!$C$12,'1-Input'!$B$12,0))))*(1/(1-'P-Parametri'!$B$6*W862))),MAX(0,2*W836-(AA861-MIN(MAX(AA861,0),MAX(0,W836-IF($A862&gt;='1-Input'!$C$12,'1-Input'!$B$12,0)))))*(1/(1-'P-Parametri'!$B$6*W862))))</f>
        <v>7920.6531576957414</v>
      </c>
      <c r="Y862" s="18">
        <f>IF($A862&gt;('1-Input'!$B$26+3),AA861,(AA861-MAX(0,W836-IF($A862&gt;='1-Input'!$C$12,'1-Input'!$B$12,0))+X862*(1-'P-Parametri'!$B$6*W862))*(1+'1-Input'!$B$27))</f>
        <v>35268.354303294887</v>
      </c>
      <c r="Z862" s="18">
        <f>IF($A862&gt;('1-Input'!$B$26+3),AB861,(AB861-X862)*(1+'5-Roberta'!$C$4))</f>
        <v>121184.73132382761</v>
      </c>
      <c r="AA862" s="18">
        <f>IF($A862&gt;('1-Input'!$B$26+3),Y862,Y862-'P-Parametri'!$B$8*(Z862+Y862)+MIN(MAX(Z862,0),'P-Parametri'!$B$8*(Z862+Y862)))</f>
        <v>35268.354303294887</v>
      </c>
      <c r="AB862" s="18">
        <f>IF($A862&gt;('1-Input'!$B$26+3),Z862,Z862-MIN(MAX(Z862,0),'P-Parametri'!$B$8*(Z862+Y862)))</f>
        <v>120871.82515257336</v>
      </c>
      <c r="AC862" s="18">
        <f>IF($A862&gt;('1-Input'!$B$26+3),AC861,AC861-X862*(1-W862))</f>
        <v>49249.205721561462</v>
      </c>
      <c r="AD862" s="11">
        <f>IF($A862&gt;('1-Input'!$B$26+3),0,IF(AI861&lt;=0,0,MAX(0,(AI861-AJ861)/AI861)))</f>
        <v>0.58141694492482643</v>
      </c>
      <c r="AE862" s="18">
        <f>IF($A862&gt;('1-Input'!$B$26+3),0,(MAX(0,AD836-IF($A862&gt;='1-Input'!$C$12,'1-Input'!$B$12,0))-MIN(MAX(AH861,0),MAX(0,AD836-IF($A862&gt;='1-Input'!$C$12,'1-Input'!$B$12,0))))*(1/(1-'P-Parametri'!$B$6*AD862))+MIN(MAX(0,AI861-(MAX(0,AD836-IF($A862&gt;='1-Input'!$C$12,'1-Input'!$B$12,0))-MIN(MAX(AH861,0),MAX(0,AD836-IF($A862&gt;='1-Input'!$C$12,'1-Input'!$B$12,0))))*(1/(1-'P-Parametri'!$B$6*AD862))),MAX(0,2*AD836-(AH861-MIN(MAX(AH861,0),MAX(0,AD836-IF($A862&gt;='1-Input'!$C$12,'1-Input'!$B$12,0)))))*(1/(1-'P-Parametri'!$B$6*AD862))))</f>
        <v>7905.9567833506653</v>
      </c>
      <c r="AF862" s="18">
        <f>IF($A862&gt;('1-Input'!$B$26+3),AH861,(AH861-MAX(0,AD836-IF($A862&gt;='1-Input'!$C$12,'1-Input'!$B$12,0))+AE862*(1-'P-Parametri'!$B$6*AD862))*(1+'1-Input'!$B$27))</f>
        <v>35243.64521006601</v>
      </c>
      <c r="AG862" s="18">
        <f>IF($A862&gt;('1-Input'!$B$26+3),AI861,(AI861-AE862)*(1+'5-Roberta'!$C$4))</f>
        <v>121715.66588974836</v>
      </c>
      <c r="AH862" s="18">
        <f>IF($A862&gt;('1-Input'!$B$26+3),AF862,AF862-'P-Parametri'!$B$8*(AG862+AF862)+MIN(MAX(AG862,0),'P-Parametri'!$B$8*(AG862+AF862)))</f>
        <v>35243.64521006601</v>
      </c>
      <c r="AI862" s="18">
        <f>IF($A862&gt;('1-Input'!$B$26+3),AG862,AG862-MIN(MAX(AG862,0),'P-Parametri'!$B$8*(AG862+AF862)))</f>
        <v>121401.74726754872</v>
      </c>
      <c r="AJ862" s="18">
        <f>IF($A862&gt;('1-Input'!$B$26+3),AJ861,AJ861-AE862*(1-AD862))</f>
        <v>49464.189590912581</v>
      </c>
      <c r="AK862" s="11">
        <f>IF($A862&gt;('1-Input'!$B$26+3),0,IF(AP861&lt;=0,0,MAX(0,(AP861-AQ861)/AP861)))</f>
        <v>0.58141693013721363</v>
      </c>
      <c r="AL862" s="18">
        <f>IF($A862&gt;('1-Input'!$B$26+3),0,(MAX(0,AK836-IF($A862&gt;='1-Input'!$C$12,'1-Input'!$B$12,0))-MIN(MAX(AO861,0),MAX(0,AK836-IF($A862&gt;='1-Input'!$C$12,'1-Input'!$B$12,0))))*(1/(1-'P-Parametri'!$B$6*AK862))+MIN(MAX(0,AP861-(MAX(0,AK836-IF($A862&gt;='1-Input'!$C$12,'1-Input'!$B$12,0))-MIN(MAX(AO861,0),MAX(0,AK836-IF($A862&gt;='1-Input'!$C$12,'1-Input'!$B$12,0))))*(1/(1-'P-Parametri'!$B$6*AK862))),MAX(0,2*AK836-(AO861-MIN(MAX(AO861,0),MAX(0,AK836-IF($A862&gt;='1-Input'!$C$12,'1-Input'!$B$12,0)))))*(1/(1-'P-Parametri'!$B$6*AK862))))</f>
        <v>7905.9895016140063</v>
      </c>
      <c r="AM862" s="18">
        <f>IF($A862&gt;('1-Input'!$B$26+3),AO861,(AO861-MAX(0,AK836-IF($A862&gt;='1-Input'!$C$12,'1-Input'!$B$12,0))+AL862*(1-'P-Parametri'!$B$6*AK862))*(1+'1-Input'!$B$27))</f>
        <v>35243.700219205675</v>
      </c>
      <c r="AN862" s="18">
        <f>IF($A862&gt;('1-Input'!$B$26+3),AP861,(AP861-AL862)*(1+'5-Roberta'!$C$4))</f>
        <v>121714.48388422052</v>
      </c>
      <c r="AO862" s="18">
        <f>IF($A862&gt;('1-Input'!$B$26+3),AM862,AM862-'P-Parametri'!$B$8*(AN862+AM862)+MIN(MAX(AN862,0),'P-Parametri'!$B$8*(AN862+AM862)))</f>
        <v>35243.700219205675</v>
      </c>
      <c r="AP862" s="18">
        <f>IF($A862&gt;('1-Input'!$B$26+3),AN862,AN862-MIN(MAX(AN862,0),'P-Parametri'!$B$8*(AN862+AM862)))</f>
        <v>121400.56751601367</v>
      </c>
      <c r="AQ862" s="18">
        <f>IF($A862&gt;('1-Input'!$B$26+3),AQ861,AQ861-AL862*(1-AK862))</f>
        <v>49463.710981574426</v>
      </c>
    </row>
    <row r="863" spans="1:43">
      <c r="A863" s="10">
        <f>25</f>
        <v>25</v>
      </c>
      <c r="B863" s="11">
        <f>IF($A863&gt;('1-Input'!$B$26+3),0,IF(G862&lt;=0,0,MAX(0,(G862-H862)/G862)))</f>
        <v>0.59307329422492039</v>
      </c>
      <c r="C863" s="18">
        <f>IF($A863&gt;('1-Input'!$B$26+3),0,(MAX(0,B836-IF($A863&gt;='1-Input'!$C$12,'1-Input'!$B$12,0))-MIN(MAX(F862,0),MAX(0,B836-IF($A863&gt;='1-Input'!$C$12,'1-Input'!$B$12,0))))*(1/(1-'P-Parametri'!$B$6*B863))+MIN(MAX(0,G862-(MAX(0,B836-IF($A863&gt;='1-Input'!$C$12,'1-Input'!$B$12,0))-MIN(MAX(F862,0),MAX(0,B836-IF($A863&gt;='1-Input'!$C$12,'1-Input'!$B$12,0))))*(1/(1-'P-Parametri'!$B$6*B863))),MAX(0,2*B836-(F862-MIN(MAX(F862,0),MAX(0,B836-IF($A863&gt;='1-Input'!$C$12,'1-Input'!$B$12,0)))))*(1/(1-'P-Parametri'!$B$6*B863))))</f>
        <v>6738.1798952567151</v>
      </c>
      <c r="D863" s="18">
        <f>IF($A863&gt;('1-Input'!$B$26+3),F862,(F862-MAX(0,B836-IF($A863&gt;='1-Input'!$C$12,'1-Input'!$B$12,0))+C863*(1-'P-Parametri'!$B$6*B863))*(1+'1-Input'!$B$27))</f>
        <v>33242.0070309863</v>
      </c>
      <c r="E863" s="18">
        <f>IF($A863&gt;('1-Input'!$B$26+3),G862,(G862-C863)*(1+'5-Roberta'!$C$4))</f>
        <v>162322.80548933081</v>
      </c>
      <c r="F863" s="18">
        <f>IF($A863&gt;('1-Input'!$B$26+3),D863,D863-'P-Parametri'!$B$8*(E863+D863)+MIN(MAX(E863,0),'P-Parametri'!$B$8*(E863+D863)))</f>
        <v>33242.0070309863</v>
      </c>
      <c r="G863" s="18">
        <f>IF($A863&gt;('1-Input'!$B$26+3),E863,E863-MIN(MAX(E863,0),'P-Parametri'!$B$8*(E863+D863)))</f>
        <v>161931.67586429018</v>
      </c>
      <c r="H863" s="18">
        <f>IF($A863&gt;('1-Input'!$B$26+3),H862,H862-C863*(1-B863))</f>
        <v>64129.596611594548</v>
      </c>
      <c r="I863" s="11">
        <f>IF($A863&gt;('1-Input'!$B$26+3),0,IF(N862&lt;=0,0,MAX(0,(N862-O862)/N862)))</f>
        <v>0</v>
      </c>
      <c r="J863" s="18">
        <f>IF($A863&gt;('1-Input'!$B$26+3),0,(MAX(0,I836-IF($A863&gt;='1-Input'!$C$12,'1-Input'!$B$12,0))-MIN(MAX(M862,0),MAX(0,I836-IF($A863&gt;='1-Input'!$C$12,'1-Input'!$B$12,0))))*(1/(1-'P-Parametri'!$B$6*I863))+MIN(MAX(0,N862-(MAX(0,I836-IF($A863&gt;='1-Input'!$C$12,'1-Input'!$B$12,0))-MIN(MAX(M862,0),MAX(0,I836-IF($A863&gt;='1-Input'!$C$12,'1-Input'!$B$12,0))))*(1/(1-'P-Parametri'!$B$6*I863))),MAX(0,2*I836-(M862-MIN(MAX(M862,0),MAX(0,I836-IF($A863&gt;='1-Input'!$C$12,'1-Input'!$B$12,0)))))*(1/(1-'P-Parametri'!$B$6*I863))))</f>
        <v>10846.756992928691</v>
      </c>
      <c r="K863" s="18">
        <f>IF($A863&gt;('1-Input'!$B$26+3),M862,(M862-MAX(0,I836-IF($A863&gt;='1-Input'!$C$12,'1-Input'!$B$12,0))+J863*(1-'P-Parametri'!$B$6*I863))*(1+'1-Input'!$B$27))</f>
        <v>0</v>
      </c>
      <c r="L863" s="18">
        <f>IF($A863&gt;('1-Input'!$B$26+3),N862,(N862-J863)*(1+'5-Roberta'!$C$4))</f>
        <v>-15609.765156577079</v>
      </c>
      <c r="M863" s="18">
        <f>IF($A863&gt;('1-Input'!$B$26+3),K863,K863-'P-Parametri'!$B$8*(L863+K863)+MIN(MAX(L863,0),'P-Parametri'!$B$8*(L863+K863)))</f>
        <v>0</v>
      </c>
      <c r="N863" s="18">
        <f>IF($A863&gt;('1-Input'!$B$26+3),L863,L863-MIN(MAX(L863,0),'P-Parametri'!$B$8*(L863+K863)))</f>
        <v>-15578.545626263925</v>
      </c>
      <c r="O863" s="18">
        <f>IF($A863&gt;('1-Input'!$B$26+3),O862,O862-J863*(1-I863))</f>
        <v>-15038.008242586577</v>
      </c>
      <c r="P863" s="11">
        <f>IF($A863&gt;('1-Input'!$B$26+3),0,IF(U862&lt;=0,0,MAX(0,(U862-V862)/U862)))</f>
        <v>0.59244674008928178</v>
      </c>
      <c r="Q863" s="18">
        <f>IF($A863&gt;('1-Input'!$B$26+3),0,(MAX(0,P836-IF($A863&gt;='1-Input'!$C$12,'1-Input'!$B$12,0))-MIN(MAX(T862,0),MAX(0,P836-IF($A863&gt;='1-Input'!$C$12,'1-Input'!$B$12,0))))*(1/(1-'P-Parametri'!$B$6*P863))+MIN(MAX(0,U862-(MAX(0,P836-IF($A863&gt;='1-Input'!$C$12,'1-Input'!$B$12,0))-MIN(MAX(T862,0),MAX(0,P836-IF($A863&gt;='1-Input'!$C$12,'1-Input'!$B$12,0))))*(1/(1-'P-Parametri'!$B$6*P863))),MAX(0,2*P836-(T862-MIN(MAX(T862,0),MAX(0,P836-IF($A863&gt;='1-Input'!$C$12,'1-Input'!$B$12,0)))))*(1/(1-'P-Parametri'!$B$6*P863))))</f>
        <v>8138.7827638337221</v>
      </c>
      <c r="R863" s="18">
        <f>IF($A863&gt;('1-Input'!$B$26+3),T862,(T862-MAX(0,P836-IF($A863&gt;='1-Input'!$C$12,'1-Input'!$B$12,0))+Q863*(1-'P-Parametri'!$B$6*P863))*(1+'1-Input'!$B$27))</f>
        <v>35588.487617059305</v>
      </c>
      <c r="S863" s="18">
        <f>IF($A863&gt;('1-Input'!$B$26+3),U862,(U862-Q863)*(1+'5-Roberta'!$C$4))</f>
        <v>109043.44930097701</v>
      </c>
      <c r="T863" s="18">
        <f>IF($A863&gt;('1-Input'!$B$26+3),R863,R863-'P-Parametri'!$B$8*(S863+R863)+MIN(MAX(S863,0),'P-Parametri'!$B$8*(S863+R863)))</f>
        <v>35588.487617059305</v>
      </c>
      <c r="U863" s="18">
        <f>IF($A863&gt;('1-Input'!$B$26+3),S863,S863-MIN(MAX(S863,0),'P-Parametri'!$B$8*(S863+R863)))</f>
        <v>108754.18542714094</v>
      </c>
      <c r="V863" s="18">
        <f>IF($A863&gt;('1-Input'!$B$26+3),V862,V862-Q863*(1-P863))</f>
        <v>43146.614790798354</v>
      </c>
      <c r="W863" s="11">
        <f>IF($A863&gt;('1-Input'!$B$26+3),0,IF(AB862&lt;=0,0,MAX(0,(AB862-AC862)/AB862)))</f>
        <v>0.59255016080550227</v>
      </c>
      <c r="X863" s="18">
        <f>IF($A863&gt;('1-Input'!$B$26+3),0,(MAX(0,W836-IF($A863&gt;='1-Input'!$C$12,'1-Input'!$B$12,0))-MIN(MAX(AA862,0),MAX(0,W836-IF($A863&gt;='1-Input'!$C$12,'1-Input'!$B$12,0))))*(1/(1-'P-Parametri'!$B$6*W863))+MIN(MAX(0,AB862-(MAX(0,W836-IF($A863&gt;='1-Input'!$C$12,'1-Input'!$B$12,0))-MIN(MAX(AA862,0),MAX(0,W836-IF($A863&gt;='1-Input'!$C$12,'1-Input'!$B$12,0))))*(1/(1-'P-Parametri'!$B$6*W863))),MAX(0,2*W836-(AA862-MIN(MAX(AA862,0),MAX(0,W836-IF($A863&gt;='1-Input'!$C$12,'1-Input'!$B$12,0)))))*(1/(1-'P-Parametri'!$B$6*W863))))</f>
        <v>7947.7723413480344</v>
      </c>
      <c r="Y863" s="18">
        <f>IF($A863&gt;('1-Input'!$B$26+3),AA862,(AA862-MAX(0,W836-IF($A863&gt;='1-Input'!$C$12,'1-Input'!$B$12,0))+X863*(1-'P-Parametri'!$B$6*W863))*(1+'1-Input'!$B$27))</f>
        <v>35268.354303294887</v>
      </c>
      <c r="Z863" s="18">
        <f>IF($A863&gt;('1-Input'!$B$26+3),AB862,(AB862-X863)*(1+'5-Roberta'!$C$4))</f>
        <v>116311.77439556208</v>
      </c>
      <c r="AA863" s="18">
        <f>IF($A863&gt;('1-Input'!$B$26+3),Y863,Y863-'P-Parametri'!$B$8*(Z863+Y863)+MIN(MAX(Z863,0),'P-Parametri'!$B$8*(Z863+Y863)))</f>
        <v>35268.354303294887</v>
      </c>
      <c r="AB863" s="18">
        <f>IF($A863&gt;('1-Input'!$B$26+3),Z863,Z863-MIN(MAX(Z863,0),'P-Parametri'!$B$8*(Z863+Y863)))</f>
        <v>116008.61413816437</v>
      </c>
      <c r="AC863" s="18">
        <f>IF($A863&gt;('1-Input'!$B$26+3),AC862,AC862-X863*(1-W863))</f>
        <v>46010.88715912473</v>
      </c>
      <c r="AD863" s="11">
        <f>IF($A863&gt;('1-Input'!$B$26+3),0,IF(AI862&lt;=0,0,MAX(0,(AI862-AJ862)/AI862)))</f>
        <v>0.59255784447729609</v>
      </c>
      <c r="AE863" s="18">
        <f>IF($A863&gt;('1-Input'!$B$26+3),0,(MAX(0,AD836-IF($A863&gt;='1-Input'!$C$12,'1-Input'!$B$12,0))-MIN(MAX(AH862,0),MAX(0,AD836-IF($A863&gt;='1-Input'!$C$12,'1-Input'!$B$12,0))))*(1/(1-'P-Parametri'!$B$6*AD863))+MIN(MAX(0,AI862-(MAX(0,AD836-IF($A863&gt;='1-Input'!$C$12,'1-Input'!$B$12,0))-MIN(MAX(AH862,0),MAX(0,AD836-IF($A863&gt;='1-Input'!$C$12,'1-Input'!$B$12,0))))*(1/(1-'P-Parametri'!$B$6*AD863))),MAX(0,2*AD836-(AH862-MIN(MAX(AH862,0),MAX(0,AD836-IF($A863&gt;='1-Input'!$C$12,'1-Input'!$B$12,0)))))*(1/(1-'P-Parametri'!$B$6*AD863))))</f>
        <v>7933.0282053539167</v>
      </c>
      <c r="AF863" s="18">
        <f>IF($A863&gt;('1-Input'!$B$26+3),AH862,(AH862-MAX(0,AD836-IF($A863&gt;='1-Input'!$C$12,'1-Input'!$B$12,0))+AE863*(1-'P-Parametri'!$B$6*AD863))*(1+'1-Input'!$B$27))</f>
        <v>35243.64521006601</v>
      </c>
      <c r="AG863" s="18">
        <f>IF($A863&gt;('1-Input'!$B$26+3),AI862,(AI862-AE863)*(1+'5-Roberta'!$C$4))</f>
        <v>116872.78063406066</v>
      </c>
      <c r="AH863" s="18">
        <f>IF($A863&gt;('1-Input'!$B$26+3),AF863,AF863-'P-Parametri'!$B$8*(AG863+AF863)+MIN(MAX(AG863,0),'P-Parametri'!$B$8*(AG863+AF863)))</f>
        <v>35243.64521006601</v>
      </c>
      <c r="AI863" s="18">
        <f>IF($A863&gt;('1-Input'!$B$26+3),AG863,AG863-MIN(MAX(AG863,0),'P-Parametri'!$B$8*(AG863+AF863)))</f>
        <v>116568.54778237241</v>
      </c>
      <c r="AJ863" s="18">
        <f>IF($A863&gt;('1-Input'!$B$26+3),AJ862,AJ862-AE863*(1-AD863))</f>
        <v>46231.939479100773</v>
      </c>
      <c r="AK863" s="11">
        <f>IF($A863&gt;('1-Input'!$B$26+3),0,IF(AP862&lt;=0,0,MAX(0,(AP862-AQ862)/AP862)))</f>
        <v>0.59255782741666529</v>
      </c>
      <c r="AL863" s="18">
        <f>IF($A863&gt;('1-Input'!$B$26+3),0,(MAX(0,AK836-IF($A863&gt;='1-Input'!$C$12,'1-Input'!$B$12,0))-MIN(MAX(AO862,0),MAX(0,AK836-IF($A863&gt;='1-Input'!$C$12,'1-Input'!$B$12,0))))*(1/(1-'P-Parametri'!$B$6*AK863))+MIN(MAX(0,AP862-(MAX(0,AK836-IF($A863&gt;='1-Input'!$C$12,'1-Input'!$B$12,0))-MIN(MAX(AO862,0),MAX(0,AK836-IF($A863&gt;='1-Input'!$C$12,'1-Input'!$B$12,0))))*(1/(1-'P-Parametri'!$B$6*AK863))),MAX(0,2*AK836-(AO862-MIN(MAX(AO862,0),MAX(0,AK836-IF($A863&gt;='1-Input'!$C$12,'1-Input'!$B$12,0)))))*(1/(1-'P-Parametri'!$B$6*AK863))))</f>
        <v>7933.0610299852797</v>
      </c>
      <c r="AM863" s="18">
        <f>IF($A863&gt;('1-Input'!$B$26+3),AO862,(AO862-MAX(0,AK836-IF($A863&gt;='1-Input'!$C$12,'1-Input'!$B$12,0))+AL863*(1-'P-Parametri'!$B$6*AK863))*(1+'1-Input'!$B$27))</f>
        <v>35243.700219205675</v>
      </c>
      <c r="AN863" s="18">
        <f>IF($A863&gt;('1-Input'!$B$26+3),AP862,(AP862-AL863)*(1+'5-Roberta'!$C$4))</f>
        <v>116871.53168060925</v>
      </c>
      <c r="AO863" s="18">
        <f>IF($A863&gt;('1-Input'!$B$26+3),AM863,AM863-'P-Parametri'!$B$8*(AN863+AM863)+MIN(MAX(AN863,0),'P-Parametri'!$B$8*(AN863+AM863)))</f>
        <v>35243.700219205675</v>
      </c>
      <c r="AP863" s="18">
        <f>IF($A863&gt;('1-Input'!$B$26+3),AN863,AN863-MIN(MAX(AN863,0),'P-Parametri'!$B$8*(AN863+AM863)))</f>
        <v>116567.30121680962</v>
      </c>
      <c r="AQ863" s="18">
        <f>IF($A863&gt;('1-Input'!$B$26+3),AQ862,AQ862-AL863*(1-AK863))</f>
        <v>46231.447360281039</v>
      </c>
    </row>
    <row r="864" spans="1:43">
      <c r="A864" s="10">
        <f>26</f>
        <v>26</v>
      </c>
      <c r="B864" s="11">
        <f>IF($A864&gt;('1-Input'!$B$26+3),0,IF(G863&lt;=0,0,MAX(0,(G863-H863)/G863)))</f>
        <v>0.60397126584832272</v>
      </c>
      <c r="C864" s="18">
        <f>IF($A864&gt;('1-Input'!$B$26+3),0,(MAX(0,B836-IF($A864&gt;='1-Input'!$C$12,'1-Input'!$B$12,0))-MIN(MAX(F863,0),MAX(0,B836-IF($A864&gt;='1-Input'!$C$12,'1-Input'!$B$12,0))))*(1/(1-'P-Parametri'!$B$6*B864))+MIN(MAX(0,G863-(MAX(0,B836-IF($A864&gt;='1-Input'!$C$12,'1-Input'!$B$12,0))-MIN(MAX(F863,0),MAX(0,B836-IF($A864&gt;='1-Input'!$C$12,'1-Input'!$B$12,0))))*(1/(1-'P-Parametri'!$B$6*B864))),MAX(0,2*B836-(F863-MIN(MAX(F863,0),MAX(0,B836-IF($A864&gt;='1-Input'!$C$12,'1-Input'!$B$12,0)))))*(1/(1-'P-Parametri'!$B$6*B864))))</f>
        <v>6760.8289877963971</v>
      </c>
      <c r="D864" s="18">
        <f>IF($A864&gt;('1-Input'!$B$26+3),F863,(F863-MAX(0,B836-IF($A864&gt;='1-Input'!$C$12,'1-Input'!$B$12,0))+C864*(1-'P-Parametri'!$B$6*B864))*(1+'1-Input'!$B$27))</f>
        <v>33242.0070309863</v>
      </c>
      <c r="E864" s="18">
        <f>IF($A864&gt;('1-Input'!$B$26+3),G863,(G863-C864)*(1+'5-Roberta'!$C$4))</f>
        <v>159825.97228278863</v>
      </c>
      <c r="F864" s="18">
        <f>IF($A864&gt;('1-Input'!$B$26+3),D864,D864-'P-Parametri'!$B$8*(E864+D864)+MIN(MAX(E864,0),'P-Parametri'!$B$8*(E864+D864)))</f>
        <v>33242.0070309863</v>
      </c>
      <c r="G864" s="18">
        <f>IF($A864&gt;('1-Input'!$B$26+3),E864,E864-MIN(MAX(E864,0),'P-Parametri'!$B$8*(E864+D864)))</f>
        <v>159439.83632416109</v>
      </c>
      <c r="H864" s="18">
        <f>IF($A864&gt;('1-Input'!$B$26+3),H863,H863-C864*(1-B864))</f>
        <v>61452.114065741574</v>
      </c>
      <c r="I864" s="11">
        <f>IF($A864&gt;('1-Input'!$B$26+3),0,IF(N863&lt;=0,0,MAX(0,(N863-O863)/N863)))</f>
        <v>0</v>
      </c>
      <c r="J864" s="18">
        <f>IF($A864&gt;('1-Input'!$B$26+3),0,(MAX(0,I836-IF($A864&gt;='1-Input'!$C$12,'1-Input'!$B$12,0))-MIN(MAX(M863,0),MAX(0,I836-IF($A864&gt;='1-Input'!$C$12,'1-Input'!$B$12,0))))*(1/(1-'P-Parametri'!$B$6*I864))+MIN(MAX(0,N863-(MAX(0,I836-IF($A864&gt;='1-Input'!$C$12,'1-Input'!$B$12,0))-MIN(MAX(M863,0),MAX(0,I836-IF($A864&gt;='1-Input'!$C$12,'1-Input'!$B$12,0))))*(1/(1-'P-Parametri'!$B$6*I864))),MAX(0,2*I836-(M863-MIN(MAX(M863,0),MAX(0,I836-IF($A864&gt;='1-Input'!$C$12,'1-Input'!$B$12,0)))))*(1/(1-'P-Parametri'!$B$6*I864))))</f>
        <v>10846.756992928691</v>
      </c>
      <c r="K864" s="18">
        <f>IF($A864&gt;('1-Input'!$B$26+3),M863,(M863-MAX(0,I836-IF($A864&gt;='1-Input'!$C$12,'1-Input'!$B$12,0))+J864*(1-'P-Parametri'!$B$6*I864))*(1+'1-Input'!$B$27))</f>
        <v>0</v>
      </c>
      <c r="L864" s="18">
        <f>IF($A864&gt;('1-Input'!$B$26+3),N863,(N863-J864)*(1+'5-Roberta'!$C$4))</f>
        <v>-27218.061697768397</v>
      </c>
      <c r="M864" s="18">
        <f>IF($A864&gt;('1-Input'!$B$26+3),K864,K864-'P-Parametri'!$B$8*(L864+K864)+MIN(MAX(L864,0),'P-Parametri'!$B$8*(L864+K864)))</f>
        <v>0</v>
      </c>
      <c r="N864" s="18">
        <f>IF($A864&gt;('1-Input'!$B$26+3),L864,L864-MIN(MAX(L864,0),'P-Parametri'!$B$8*(L864+K864)))</f>
        <v>-27163.625574372862</v>
      </c>
      <c r="O864" s="18">
        <f>IF($A864&gt;('1-Input'!$B$26+3),O863,O863-J864*(1-I864))</f>
        <v>-25884.765235515268</v>
      </c>
      <c r="P864" s="11">
        <f>IF($A864&gt;('1-Input'!$B$26+3),0,IF(U863&lt;=0,0,MAX(0,(U863-V863)/U863)))</f>
        <v>0.60326478818873497</v>
      </c>
      <c r="Q864" s="18">
        <f>IF($A864&gt;('1-Input'!$B$26+3),0,(MAX(0,P836-IF($A864&gt;='1-Input'!$C$12,'1-Input'!$B$12,0))-MIN(MAX(T863,0),MAX(0,P836-IF($A864&gt;='1-Input'!$C$12,'1-Input'!$B$12,0))))*(1/(1-'P-Parametri'!$B$6*P864))+MIN(MAX(0,U863-(MAX(0,P836-IF($A864&gt;='1-Input'!$C$12,'1-Input'!$B$12,0))-MIN(MAX(T863,0),MAX(0,P836-IF($A864&gt;='1-Input'!$C$12,'1-Input'!$B$12,0))))*(1/(1-'P-Parametri'!$B$6*P864))),MAX(0,2*P836-(T863-MIN(MAX(T863,0),MAX(0,P836-IF($A864&gt;='1-Input'!$C$12,'1-Input'!$B$12,0)))))*(1/(1-'P-Parametri'!$B$6*P864))))</f>
        <v>8165.9331664026595</v>
      </c>
      <c r="R864" s="18">
        <f>IF($A864&gt;('1-Input'!$B$26+3),T863,(T863-MAX(0,P836-IF($A864&gt;='1-Input'!$C$12,'1-Input'!$B$12,0))+Q864*(1-'P-Parametri'!$B$6*P864))*(1+'1-Input'!$B$27))</f>
        <v>35588.487617059305</v>
      </c>
      <c r="S864" s="18">
        <f>IF($A864&gt;('1-Input'!$B$26+3),U863,(U863-Q864)*(1+'5-Roberta'!$C$4))</f>
        <v>103605.89982856043</v>
      </c>
      <c r="T864" s="18">
        <f>IF($A864&gt;('1-Input'!$B$26+3),R864,R864-'P-Parametri'!$B$8*(S864+R864)+MIN(MAX(S864,0),'P-Parametri'!$B$8*(S864+R864)))</f>
        <v>35588.487617059305</v>
      </c>
      <c r="U864" s="18">
        <f>IF($A864&gt;('1-Input'!$B$26+3),S864,S864-MIN(MAX(S864,0),'P-Parametri'!$B$8*(S864+R864)))</f>
        <v>103327.51105366919</v>
      </c>
      <c r="V864" s="18">
        <f>IF($A864&gt;('1-Input'!$B$26+3),V863,V863-Q864*(1-P864))</f>
        <v>39906.901566388959</v>
      </c>
      <c r="W864" s="11">
        <f>IF($A864&gt;('1-Input'!$B$26+3),0,IF(AB863&lt;=0,0,MAX(0,(AB863-AC863)/AB863)))</f>
        <v>0.60338387368091029</v>
      </c>
      <c r="X864" s="18">
        <f>IF($A864&gt;('1-Input'!$B$26+3),0,(MAX(0,W836-IF($A864&gt;='1-Input'!$C$12,'1-Input'!$B$12,0))-MIN(MAX(AA863,0),MAX(0,W836-IF($A864&gt;='1-Input'!$C$12,'1-Input'!$B$12,0))))*(1/(1-'P-Parametri'!$B$6*W864))+MIN(MAX(0,AB863-(MAX(0,W836-IF($A864&gt;='1-Input'!$C$12,'1-Input'!$B$12,0))-MIN(MAX(AA863,0),MAX(0,W836-IF($A864&gt;='1-Input'!$C$12,'1-Input'!$B$12,0))))*(1/(1-'P-Parametri'!$B$6*W864))),MAX(0,2*W836-(AA863-MIN(MAX(AA863,0),MAX(0,W836-IF($A864&gt;='1-Input'!$C$12,'1-Input'!$B$12,0)))))*(1/(1-'P-Parametri'!$B$6*W864))))</f>
        <v>7974.3249134626722</v>
      </c>
      <c r="Y864" s="18">
        <f>IF($A864&gt;('1-Input'!$B$26+3),AA863,(AA863-MAX(0,W836-IF($A864&gt;='1-Input'!$C$12,'1-Input'!$B$12,0))+X864*(1-'P-Parametri'!$B$6*W864))*(1+'1-Input'!$B$27))</f>
        <v>35268.354303294887</v>
      </c>
      <c r="Z864" s="18">
        <f>IF($A864&gt;('1-Input'!$B$26+3),AB863,(AB863-X864)*(1+'5-Roberta'!$C$4))</f>
        <v>111275.31790144276</v>
      </c>
      <c r="AA864" s="18">
        <f>IF($A864&gt;('1-Input'!$B$26+3),Y864,Y864-'P-Parametri'!$B$8*(Z864+Y864)+MIN(MAX(Z864,0),'P-Parametri'!$B$8*(Z864+Y864)))</f>
        <v>35268.354303294887</v>
      </c>
      <c r="AB864" s="18">
        <f>IF($A864&gt;('1-Input'!$B$26+3),Z864,Z864-MIN(MAX(Z864,0),'P-Parametri'!$B$8*(Z864+Y864)))</f>
        <v>110982.23055703328</v>
      </c>
      <c r="AC864" s="18">
        <f>IF($A864&gt;('1-Input'!$B$26+3),AC863,AC863-X864*(1-W864))</f>
        <v>42848.141301937358</v>
      </c>
      <c r="AD864" s="11">
        <f>IF($A864&gt;('1-Input'!$B$26+3),0,IF(AI863&lt;=0,0,MAX(0,(AI863-AJ863)/AI863)))</f>
        <v>0.60339267874029401</v>
      </c>
      <c r="AE864" s="18">
        <f>IF($A864&gt;('1-Input'!$B$26+3),0,(MAX(0,AD836-IF($A864&gt;='1-Input'!$C$12,'1-Input'!$B$12,0))-MIN(MAX(AH863,0),MAX(0,AD836-IF($A864&gt;='1-Input'!$C$12,'1-Input'!$B$12,0))))*(1/(1-'P-Parametri'!$B$6*AD864))+MIN(MAX(0,AI863-(MAX(0,AD836-IF($A864&gt;='1-Input'!$C$12,'1-Input'!$B$12,0))-MIN(MAX(AH863,0),MAX(0,AD836-IF($A864&gt;='1-Input'!$C$12,'1-Input'!$B$12,0))))*(1/(1-'P-Parametri'!$B$6*AD864))),MAX(0,2*AD836-(AH863-MIN(MAX(AH863,0),MAX(0,AD836-IF($A864&gt;='1-Input'!$C$12,'1-Input'!$B$12,0)))))*(1/(1-'P-Parametri'!$B$6*AD864))))</f>
        <v>7959.5343343505374</v>
      </c>
      <c r="AF864" s="18">
        <f>IF($A864&gt;('1-Input'!$B$26+3),AH863,(AH863-MAX(0,AD836-IF($A864&gt;='1-Input'!$C$12,'1-Input'!$B$12,0))+AE864*(1-'P-Parametri'!$B$6*AD864))*(1+'1-Input'!$B$27))</f>
        <v>35243.64521006601</v>
      </c>
      <c r="AG864" s="18">
        <f>IF($A864&gt;('1-Input'!$B$26+3),AI863,(AI863-AE864)*(1+'5-Roberta'!$C$4))</f>
        <v>111867.28385146253</v>
      </c>
      <c r="AH864" s="18">
        <f>IF($A864&gt;('1-Input'!$B$26+3),AF864,AF864-'P-Parametri'!$B$8*(AG864+AF864)+MIN(MAX(AG864,0),'P-Parametri'!$B$8*(AG864+AF864)))</f>
        <v>35243.64521006601</v>
      </c>
      <c r="AI864" s="18">
        <f>IF($A864&gt;('1-Input'!$B$26+3),AG864,AG864-MIN(MAX(AG864,0),'P-Parametri'!$B$8*(AG864+AF864)))</f>
        <v>111573.06199333948</v>
      </c>
      <c r="AJ864" s="18">
        <f>IF($A864&gt;('1-Input'!$B$26+3),AJ863,AJ863-AE864*(1-AD864))</f>
        <v>43075.129888279349</v>
      </c>
      <c r="AK864" s="11">
        <f>IF($A864&gt;('1-Input'!$B$26+3),0,IF(AP863&lt;=0,0,MAX(0,(AP863-AQ863)/AP863)))</f>
        <v>0.60339265919614327</v>
      </c>
      <c r="AL864" s="18">
        <f>IF($A864&gt;('1-Input'!$B$26+3),0,(MAX(0,AK836-IF($A864&gt;='1-Input'!$C$12,'1-Input'!$B$12,0))-MIN(MAX(AO863,0),MAX(0,AK836-IF($A864&gt;='1-Input'!$C$12,'1-Input'!$B$12,0))))*(1/(1-'P-Parametri'!$B$6*AK864))+MIN(MAX(0,AP863-(MAX(0,AK836-IF($A864&gt;='1-Input'!$C$12,'1-Input'!$B$12,0))-MIN(MAX(AO863,0),MAX(0,AK836-IF($A864&gt;='1-Input'!$C$12,'1-Input'!$B$12,0))))*(1/(1-'P-Parametri'!$B$6*AK864))),MAX(0,2*AK836-(AO863-MIN(MAX(AO863,0),MAX(0,AK836-IF($A864&gt;='1-Input'!$C$12,'1-Input'!$B$12,0)))))*(1/(1-'P-Parametri'!$B$6*AK864))))</f>
        <v>7959.5672624213676</v>
      </c>
      <c r="AM864" s="18">
        <f>IF($A864&gt;('1-Input'!$B$26+3),AO863,(AO863-MAX(0,AK836-IF($A864&gt;='1-Input'!$C$12,'1-Input'!$B$12,0))+AL864*(1-'P-Parametri'!$B$6*AK864))*(1+'1-Input'!$B$27))</f>
        <v>35243.700219205675</v>
      </c>
      <c r="AN864" s="18">
        <f>IF($A864&gt;('1-Input'!$B$26+3),AP863,(AP863-AL864)*(1+'5-Roberta'!$C$4))</f>
        <v>111865.96597301991</v>
      </c>
      <c r="AO864" s="18">
        <f>IF($A864&gt;('1-Input'!$B$26+3),AM864,AM864-'P-Parametri'!$B$8*(AN864+AM864)+MIN(MAX(AN864,0),'P-Parametri'!$B$8*(AN864+AM864)))</f>
        <v>35243.700219205675</v>
      </c>
      <c r="AP864" s="18">
        <f>IF($A864&gt;('1-Input'!$B$26+3),AN864,AN864-MIN(MAX(AN864,0),'P-Parametri'!$B$8*(AN864+AM864)))</f>
        <v>111571.74664063545</v>
      </c>
      <c r="AQ864" s="18">
        <f>IF($A864&gt;('1-Input'!$B$26+3),AQ863,AQ863-AL864*(1-AK864))</f>
        <v>43074.624554382666</v>
      </c>
    </row>
    <row r="865" spans="1:43">
      <c r="A865" s="10">
        <f>27</f>
        <v>27</v>
      </c>
      <c r="B865" s="11">
        <f>IF($A865&gt;('1-Input'!$B$26+3),0,IF(G864&lt;=0,0,MAX(0,(G864-H864)/G864)))</f>
        <v>0.6145749049766851</v>
      </c>
      <c r="C865" s="18">
        <f>IF($A865&gt;('1-Input'!$B$26+3),0,(MAX(0,B836-IF($A865&gt;='1-Input'!$C$12,'1-Input'!$B$12,0))-MIN(MAX(F864,0),MAX(0,B836-IF($A865&gt;='1-Input'!$C$12,'1-Input'!$B$12,0))))*(1/(1-'P-Parametri'!$B$6*B865))+MIN(MAX(0,G864-(MAX(0,B836-IF($A865&gt;='1-Input'!$C$12,'1-Input'!$B$12,0))-MIN(MAX(F864,0),MAX(0,B836-IF($A865&gt;='1-Input'!$C$12,'1-Input'!$B$12,0))))*(1/(1-'P-Parametri'!$B$6*B865))),MAX(0,2*B836-(F864-MIN(MAX(F864,0),MAX(0,B836-IF($A865&gt;='1-Input'!$C$12,'1-Input'!$B$12,0)))))*(1/(1-'P-Parametri'!$B$6*B865))))</f>
        <v>6783.0130012771424</v>
      </c>
      <c r="D865" s="18">
        <f>IF($A865&gt;('1-Input'!$B$26+3),F864,(F864-MAX(0,B836-IF($A865&gt;='1-Input'!$C$12,'1-Input'!$B$12,0))+C865*(1-'P-Parametri'!$B$6*B865))*(1+'1-Input'!$B$27))</f>
        <v>33242.0070309863</v>
      </c>
      <c r="E865" s="18">
        <f>IF($A865&gt;('1-Input'!$B$26+3),G864,(G864-C865)*(1+'5-Roberta'!$C$4))</f>
        <v>157236.52802257048</v>
      </c>
      <c r="F865" s="18">
        <f>IF($A865&gt;('1-Input'!$B$26+3),D865,D865-'P-Parametri'!$B$8*(E865+D865)+MIN(MAX(E865,0),'P-Parametri'!$B$8*(E865+D865)))</f>
        <v>33242.0070309863</v>
      </c>
      <c r="G865" s="18">
        <f>IF($A865&gt;('1-Input'!$B$26+3),E865,E865-MIN(MAX(E865,0),'P-Parametri'!$B$8*(E865+D865)))</f>
        <v>156855.57095246337</v>
      </c>
      <c r="H865" s="18">
        <f>IF($A865&gt;('1-Input'!$B$26+3),H864,H864-C865*(1-B865))</f>
        <v>58837.77063517995</v>
      </c>
      <c r="I865" s="11">
        <f>IF($A865&gt;('1-Input'!$B$26+3),0,IF(N864&lt;=0,0,MAX(0,(N864-O864)/N864)))</f>
        <v>0</v>
      </c>
      <c r="J865" s="18">
        <f>IF($A865&gt;('1-Input'!$B$26+3),0,(MAX(0,I836-IF($A865&gt;='1-Input'!$C$12,'1-Input'!$B$12,0))-MIN(MAX(M864,0),MAX(0,I836-IF($A865&gt;='1-Input'!$C$12,'1-Input'!$B$12,0))))*(1/(1-'P-Parametri'!$B$6*I865))+MIN(MAX(0,N864-(MAX(0,I836-IF($A865&gt;='1-Input'!$C$12,'1-Input'!$B$12,0))-MIN(MAX(M864,0),MAX(0,I836-IF($A865&gt;='1-Input'!$C$12,'1-Input'!$B$12,0))))*(1/(1-'P-Parametri'!$B$6*I865))),MAX(0,2*I836-(M864-MIN(MAX(M864,0),MAX(0,I836-IF($A865&gt;='1-Input'!$C$12,'1-Input'!$B$12,0)))))*(1/(1-'P-Parametri'!$B$6*I865))))</f>
        <v>10846.756992928691</v>
      </c>
      <c r="K865" s="18">
        <f>IF($A865&gt;('1-Input'!$B$26+3),M864,(M864-MAX(0,I836-IF($A865&gt;='1-Input'!$C$12,'1-Input'!$B$12,0))+J865*(1-'P-Parametri'!$B$6*I865))*(1+'1-Input'!$B$27))</f>
        <v>0</v>
      </c>
      <c r="L865" s="18">
        <f>IF($A865&gt;('1-Input'!$B$26+3),N864,(N864-J865)*(1+'5-Roberta'!$C$4))</f>
        <v>-39150.694044320597</v>
      </c>
      <c r="M865" s="18">
        <f>IF($A865&gt;('1-Input'!$B$26+3),K865,K865-'P-Parametri'!$B$8*(L865+K865)+MIN(MAX(L865,0),'P-Parametri'!$B$8*(L865+K865)))</f>
        <v>0</v>
      </c>
      <c r="N865" s="18">
        <f>IF($A865&gt;('1-Input'!$B$26+3),L865,L865-MIN(MAX(L865,0),'P-Parametri'!$B$8*(L865+K865)))</f>
        <v>-39072.392656231954</v>
      </c>
      <c r="O865" s="18">
        <f>IF($A865&gt;('1-Input'!$B$26+3),O864,O864-J865*(1-I865))</f>
        <v>-36731.522228443959</v>
      </c>
      <c r="P865" s="11">
        <f>IF($A865&gt;('1-Input'!$B$26+3),0,IF(U864&lt;=0,0,MAX(0,(U864-V864)/U864)))</f>
        <v>0.61378241709837589</v>
      </c>
      <c r="Q865" s="18">
        <f>IF($A865&gt;('1-Input'!$B$26+3),0,(MAX(0,P836-IF($A865&gt;='1-Input'!$C$12,'1-Input'!$B$12,0))-MIN(MAX(T864,0),MAX(0,P836-IF($A865&gt;='1-Input'!$C$12,'1-Input'!$B$12,0))))*(1/(1-'P-Parametri'!$B$6*P865))+MIN(MAX(0,U864-(MAX(0,P836-IF($A865&gt;='1-Input'!$C$12,'1-Input'!$B$12,0))-MIN(MAX(T864,0),MAX(0,P836-IF($A865&gt;='1-Input'!$C$12,'1-Input'!$B$12,0))))*(1/(1-'P-Parametri'!$B$6*P865))),MAX(0,2*P836-(T864-MIN(MAX(T864,0),MAX(0,P836-IF($A865&gt;='1-Input'!$C$12,'1-Input'!$B$12,0)))))*(1/(1-'P-Parametri'!$B$6*P865))))</f>
        <v>8192.5038302728844</v>
      </c>
      <c r="R865" s="18">
        <f>IF($A865&gt;('1-Input'!$B$26+3),T864,(T864-MAX(0,P836-IF($A865&gt;='1-Input'!$C$12,'1-Input'!$B$12,0))+Q865*(1-'P-Parametri'!$B$6*P865))*(1+'1-Input'!$B$27))</f>
        <v>35588.487617059305</v>
      </c>
      <c r="S865" s="18">
        <f>IF($A865&gt;('1-Input'!$B$26+3),U864,(U864-Q865)*(1+'5-Roberta'!$C$4))</f>
        <v>97989.0574400982</v>
      </c>
      <c r="T865" s="18">
        <f>IF($A865&gt;('1-Input'!$B$26+3),R865,R865-'P-Parametri'!$B$8*(S865+R865)+MIN(MAX(S865,0),'P-Parametri'!$B$8*(S865+R865)))</f>
        <v>35588.487617059305</v>
      </c>
      <c r="U865" s="18">
        <f>IF($A865&gt;('1-Input'!$B$26+3),S865,S865-MIN(MAX(S865,0),'P-Parametri'!$B$8*(S865+R865)))</f>
        <v>97721.90234998388</v>
      </c>
      <c r="V865" s="18">
        <f>IF($A865&gt;('1-Input'!$B$26+3),V864,V864-Q865*(1-P865))</f>
        <v>36742.812539148668</v>
      </c>
      <c r="W865" s="11">
        <f>IF($A865&gt;('1-Input'!$B$26+3),0,IF(AB864&lt;=0,0,MAX(0,(AB864-AC864)/AB864)))</f>
        <v>0.61391890317145958</v>
      </c>
      <c r="X865" s="18">
        <f>IF($A865&gt;('1-Input'!$B$26+3),0,(MAX(0,W836-IF($A865&gt;='1-Input'!$C$12,'1-Input'!$B$12,0))-MIN(MAX(AA864,0),MAX(0,W836-IF($A865&gt;='1-Input'!$C$12,'1-Input'!$B$12,0))))*(1/(1-'P-Parametri'!$B$6*W865))+MIN(MAX(0,AB864-(MAX(0,W836-IF($A865&gt;='1-Input'!$C$12,'1-Input'!$B$12,0))-MIN(MAX(AA864,0),MAX(0,W836-IF($A865&gt;='1-Input'!$C$12,'1-Input'!$B$12,0))))*(1/(1-'P-Parametri'!$B$6*W865))),MAX(0,2*W836-(AA864-MIN(MAX(AA864,0),MAX(0,W836-IF($A865&gt;='1-Input'!$C$12,'1-Input'!$B$12,0)))))*(1/(1-'P-Parametri'!$B$6*W865))))</f>
        <v>8000.3161392282846</v>
      </c>
      <c r="Y865" s="18">
        <f>IF($A865&gt;('1-Input'!$B$26+3),AA864,(AA864-MAX(0,W836-IF($A865&gt;='1-Input'!$C$12,'1-Input'!$B$12,0))+X865*(1-'P-Parametri'!$B$6*W865))*(1+'1-Input'!$B$27))</f>
        <v>35268.354303294887</v>
      </c>
      <c r="Z865" s="18">
        <f>IF($A865&gt;('1-Input'!$B$26+3),AB864,(AB864-X865)*(1+'5-Roberta'!$C$4))</f>
        <v>106071.37185033916</v>
      </c>
      <c r="AA865" s="18">
        <f>IF($A865&gt;('1-Input'!$B$26+3),Y865,Y865-'P-Parametri'!$B$8*(Z865+Y865)+MIN(MAX(Z865,0),'P-Parametri'!$B$8*(Z865+Y865)))</f>
        <v>35268.354303294887</v>
      </c>
      <c r="AB865" s="18">
        <f>IF($A865&gt;('1-Input'!$B$26+3),Z865,Z865-MIN(MAX(Z865,0),'P-Parametri'!$B$8*(Z865+Y865)))</f>
        <v>105788.69239803188</v>
      </c>
      <c r="AC865" s="18">
        <f>IF($A865&gt;('1-Input'!$B$26+3),AC864,AC864-X865*(1-W865))</f>
        <v>39759.370471929025</v>
      </c>
      <c r="AD865" s="11">
        <f>IF($A865&gt;('1-Input'!$B$26+3),0,IF(AI864&lt;=0,0,MAX(0,(AI864-AJ864)/AI864)))</f>
        <v>0.61392894379065455</v>
      </c>
      <c r="AE865" s="18">
        <f>IF($A865&gt;('1-Input'!$B$26+3),0,(MAX(0,AD836-IF($A865&gt;='1-Input'!$C$12,'1-Input'!$B$12,0))-MIN(MAX(AH864,0),MAX(0,AD836-IF($A865&gt;='1-Input'!$C$12,'1-Input'!$B$12,0))))*(1/(1-'P-Parametri'!$B$6*AD865))+MIN(MAX(0,AI864-(MAX(0,AD836-IF($A865&gt;='1-Input'!$C$12,'1-Input'!$B$12,0))-MIN(MAX(AH864,0),MAX(0,AD836-IF($A865&gt;='1-Input'!$C$12,'1-Input'!$B$12,0))))*(1/(1-'P-Parametri'!$B$6*AD865))),MAX(0,2*AD836-(AH864-MIN(MAX(AH864,0),MAX(0,AD836-IF($A865&gt;='1-Input'!$C$12,'1-Input'!$B$12,0)))))*(1/(1-'P-Parametri'!$B$6*AD865))))</f>
        <v>7985.4804754630713</v>
      </c>
      <c r="AF865" s="18">
        <f>IF($A865&gt;('1-Input'!$B$26+3),AH864,(AH864-MAX(0,AD836-IF($A865&gt;='1-Input'!$C$12,'1-Input'!$B$12,0))+AE865*(1-'P-Parametri'!$B$6*AD865))*(1+'1-Input'!$B$27))</f>
        <v>35243.64521006601</v>
      </c>
      <c r="AG865" s="18">
        <f>IF($A865&gt;('1-Input'!$B$26+3),AI864,(AI864-AE865)*(1+'5-Roberta'!$C$4))</f>
        <v>106695.2089634127</v>
      </c>
      <c r="AH865" s="18">
        <f>IF($A865&gt;('1-Input'!$B$26+3),AF865,AF865-'P-Parametri'!$B$8*(AG865+AF865)+MIN(MAX(AG865,0),'P-Parametri'!$B$8*(AG865+AF865)))</f>
        <v>35243.64521006601</v>
      </c>
      <c r="AI865" s="18">
        <f>IF($A865&gt;('1-Input'!$B$26+3),AG865,AG865-MIN(MAX(AG865,0),'P-Parametri'!$B$8*(AG865+AF865)))</f>
        <v>106411.33125506574</v>
      </c>
      <c r="AJ865" s="18">
        <f>IF($A865&gt;('1-Input'!$B$26+3),AJ864,AJ864-AE865*(1-AD865))</f>
        <v>39992.167006778218</v>
      </c>
      <c r="AK865" s="11">
        <f>IF($A865&gt;('1-Input'!$B$26+3),0,IF(AP864&lt;=0,0,MAX(0,(AP864-AQ864)/AP864)))</f>
        <v>0.61392892151161771</v>
      </c>
      <c r="AL865" s="18">
        <f>IF($A865&gt;('1-Input'!$B$26+3),0,(MAX(0,AK836-IF($A865&gt;='1-Input'!$C$12,'1-Input'!$B$12,0))-MIN(MAX(AO864,0),MAX(0,AK836-IF($A865&gt;='1-Input'!$C$12,'1-Input'!$B$12,0))))*(1/(1-'P-Parametri'!$B$6*AK865))+MIN(MAX(0,AP864-(MAX(0,AK836-IF($A865&gt;='1-Input'!$C$12,'1-Input'!$B$12,0))-MIN(MAX(AO864,0),MAX(0,AK836-IF($A865&gt;='1-Input'!$C$12,'1-Input'!$B$12,0))))*(1/(1-'P-Parametri'!$B$6*AK865))),MAX(0,2*AK836-(AO864-MIN(MAX(AO864,0),MAX(0,AK836-IF($A865&gt;='1-Input'!$C$12,'1-Input'!$B$12,0)))))*(1/(1-'P-Parametri'!$B$6*AK865))))</f>
        <v>7985.5135039577035</v>
      </c>
      <c r="AM865" s="18">
        <f>IF($A865&gt;('1-Input'!$B$26+3),AO864,(AO864-MAX(0,AK836-IF($A865&gt;='1-Input'!$C$12,'1-Input'!$B$12,0))+AL865*(1-'P-Parametri'!$B$6*AK865))*(1+'1-Input'!$B$27))</f>
        <v>35243.700219205675</v>
      </c>
      <c r="AN865" s="18">
        <f>IF($A865&gt;('1-Input'!$B$26+3),AP864,(AP864-AL865)*(1+'5-Roberta'!$C$4))</f>
        <v>106693.82013077808</v>
      </c>
      <c r="AO865" s="18">
        <f>IF($A865&gt;('1-Input'!$B$26+3),AM865,AM865-'P-Parametri'!$B$8*(AN865+AM865)+MIN(MAX(AN865,0),'P-Parametri'!$B$8*(AN865+AM865)))</f>
        <v>35243.700219205675</v>
      </c>
      <c r="AP865" s="18">
        <f>IF($A865&gt;('1-Input'!$B$26+3),AN865,AN865-MIN(MAX(AN865,0),'P-Parametri'!$B$8*(AN865+AM865)))</f>
        <v>106409.94509007812</v>
      </c>
      <c r="AQ865" s="18">
        <f>IF($A865&gt;('1-Input'!$B$26+3),AQ864,AQ864-AL865*(1-AK865))</f>
        <v>39991.648743626174</v>
      </c>
    </row>
    <row r="866" spans="1:43">
      <c r="A866" s="10">
        <f>28</f>
        <v>28</v>
      </c>
      <c r="B866" s="11">
        <f>IF($A866&gt;('1-Input'!$B$26+3),0,IF(G865&lt;=0,0,MAX(0,(G865-H865)/G865)))</f>
        <v>0.62489205657214875</v>
      </c>
      <c r="C866" s="18">
        <f>IF($A866&gt;('1-Input'!$B$26+3),0,(MAX(0,B836-IF($A866&gt;='1-Input'!$C$12,'1-Input'!$B$12,0))-MIN(MAX(F865,0),MAX(0,B836-IF($A866&gt;='1-Input'!$C$12,'1-Input'!$B$12,0))))*(1/(1-'P-Parametri'!$B$6*B866))+MIN(MAX(0,G865-(MAX(0,B836-IF($A866&gt;='1-Input'!$C$12,'1-Input'!$B$12,0))-MIN(MAX(F865,0),MAX(0,B836-IF($A866&gt;='1-Input'!$C$12,'1-Input'!$B$12,0))))*(1/(1-'P-Parametri'!$B$6*B866))),MAX(0,2*B836-(F865-MIN(MAX(F865,0),MAX(0,B836-IF($A866&gt;='1-Input'!$C$12,'1-Input'!$B$12,0)))))*(1/(1-'P-Parametri'!$B$6*B866))))</f>
        <v>6804.7378339605693</v>
      </c>
      <c r="D866" s="18">
        <f>IF($A866&gt;('1-Input'!$B$26+3),F865,(F865-MAX(0,B836-IF($A866&gt;='1-Input'!$C$12,'1-Input'!$B$12,0))+C866*(1-'P-Parametri'!$B$6*B866))*(1+'1-Input'!$B$27))</f>
        <v>33242.0070309863</v>
      </c>
      <c r="E866" s="18">
        <f>IF($A866&gt;('1-Input'!$B$26+3),G865,(G865-C866)*(1+'5-Roberta'!$C$4))</f>
        <v>154552.3581120579</v>
      </c>
      <c r="F866" s="18">
        <f>IF($A866&gt;('1-Input'!$B$26+3),D866,D866-'P-Parametri'!$B$8*(E866+D866)+MIN(MAX(E866,0),'P-Parametri'!$B$8*(E866+D866)))</f>
        <v>33242.0070309863</v>
      </c>
      <c r="G866" s="18">
        <f>IF($A866&gt;('1-Input'!$B$26+3),E866,E866-MIN(MAX(E866,0),'P-Parametri'!$B$8*(E866+D866)))</f>
        <v>154176.76938177182</v>
      </c>
      <c r="H866" s="18">
        <f>IF($A866&gt;('1-Input'!$B$26+3),H865,H865-C866*(1-B866))</f>
        <v>56285.25942071731</v>
      </c>
      <c r="I866" s="11">
        <f>IF($A866&gt;('1-Input'!$B$26+3),0,IF(N865&lt;=0,0,MAX(0,(N865-O865)/N865)))</f>
        <v>0</v>
      </c>
      <c r="J866" s="18">
        <f>IF($A866&gt;('1-Input'!$B$26+3),0,(MAX(0,I836-IF($A866&gt;='1-Input'!$C$12,'1-Input'!$B$12,0))-MIN(MAX(M865,0),MAX(0,I836-IF($A866&gt;='1-Input'!$C$12,'1-Input'!$B$12,0))))*(1/(1-'P-Parametri'!$B$6*I866))+MIN(MAX(0,N865-(MAX(0,I836-IF($A866&gt;='1-Input'!$C$12,'1-Input'!$B$12,0))-MIN(MAX(M865,0),MAX(0,I836-IF($A866&gt;='1-Input'!$C$12,'1-Input'!$B$12,0))))*(1/(1-'P-Parametri'!$B$6*I866))),MAX(0,2*I836-(M865-MIN(MAX(M865,0),MAX(0,I836-IF($A866&gt;='1-Input'!$C$12,'1-Input'!$B$12,0)))))*(1/(1-'P-Parametri'!$B$6*I866))))</f>
        <v>10846.756992928691</v>
      </c>
      <c r="K866" s="18">
        <f>IF($A866&gt;('1-Input'!$B$26+3),M865,(M865-MAX(0,I836-IF($A866&gt;='1-Input'!$C$12,'1-Input'!$B$12,0))+J866*(1-'P-Parametri'!$B$6*I866))*(1+'1-Input'!$B$27))</f>
        <v>0</v>
      </c>
      <c r="L866" s="18">
        <f>IF($A866&gt;('1-Input'!$B$26+3),N865,(N865-J866)*(1+'5-Roberta'!$C$4))</f>
        <v>-51416.724138635465</v>
      </c>
      <c r="M866" s="18">
        <f>IF($A866&gt;('1-Input'!$B$26+3),K866,K866-'P-Parametri'!$B$8*(L866+K866)+MIN(MAX(L866,0),'P-Parametri'!$B$8*(L866+K866)))</f>
        <v>0</v>
      </c>
      <c r="N866" s="18">
        <f>IF($A866&gt;('1-Input'!$B$26+3),L866,L866-MIN(MAX(L866,0),'P-Parametri'!$B$8*(L866+K866)))</f>
        <v>-51313.890690358196</v>
      </c>
      <c r="O866" s="18">
        <f>IF($A866&gt;('1-Input'!$B$26+3),O865,O865-J866*(1-I866))</f>
        <v>-47578.27922137265</v>
      </c>
      <c r="P866" s="11">
        <f>IF($A866&gt;('1-Input'!$B$26+3),0,IF(U865&lt;=0,0,MAX(0,(U865-V865)/U865)))</f>
        <v>0.62400637261893488</v>
      </c>
      <c r="Q866" s="18">
        <f>IF($A866&gt;('1-Input'!$B$26+3),0,(MAX(0,P836-IF($A866&gt;='1-Input'!$C$12,'1-Input'!$B$12,0))-MIN(MAX(T865,0),MAX(0,P836-IF($A866&gt;='1-Input'!$C$12,'1-Input'!$B$12,0))))*(1/(1-'P-Parametri'!$B$6*P866))+MIN(MAX(0,U865-(MAX(0,P836-IF($A866&gt;='1-Input'!$C$12,'1-Input'!$B$12,0))-MIN(MAX(T865,0),MAX(0,P836-IF($A866&gt;='1-Input'!$C$12,'1-Input'!$B$12,0))))*(1/(1-'P-Parametri'!$B$6*P866))),MAX(0,2*P836-(T865-MIN(MAX(T865,0),MAX(0,P836-IF($A866&gt;='1-Input'!$C$12,'1-Input'!$B$12,0)))))*(1/(1-'P-Parametri'!$B$6*P866))))</f>
        <v>8218.4988523662796</v>
      </c>
      <c r="R866" s="18">
        <f>IF($A866&gt;('1-Input'!$B$26+3),T865,(T865-MAX(0,P836-IF($A866&gt;='1-Input'!$C$12,'1-Input'!$B$12,0))+Q866*(1-'P-Parametri'!$B$6*P866))*(1+'1-Input'!$B$27))</f>
        <v>35588.487617059305</v>
      </c>
      <c r="S866" s="18">
        <f>IF($A866&gt;('1-Input'!$B$26+3),U865,(U865-Q866)*(1+'5-Roberta'!$C$4))</f>
        <v>92188.505602546138</v>
      </c>
      <c r="T866" s="18">
        <f>IF($A866&gt;('1-Input'!$B$26+3),R866,R866-'P-Parametri'!$B$8*(S866+R866)+MIN(MAX(S866,0),'P-Parametri'!$B$8*(S866+R866)))</f>
        <v>35588.487617059305</v>
      </c>
      <c r="U866" s="18">
        <f>IF($A866&gt;('1-Input'!$B$26+3),S866,S866-MIN(MAX(S866,0),'P-Parametri'!$B$8*(S866+R866)))</f>
        <v>91932.951616106933</v>
      </c>
      <c r="V866" s="18">
        <f>IF($A866&gt;('1-Input'!$B$26+3),V865,V865-Q866*(1-P866))</f>
        <v>33652.709344020346</v>
      </c>
      <c r="W866" s="11">
        <f>IF($A866&gt;('1-Input'!$B$26+3),0,IF(AB865&lt;=0,0,MAX(0,(AB865-AC865)/AB865)))</f>
        <v>0.62416237907229566</v>
      </c>
      <c r="X866" s="18">
        <f>IF($A866&gt;('1-Input'!$B$26+3),0,(MAX(0,W836-IF($A866&gt;='1-Input'!$C$12,'1-Input'!$B$12,0))-MIN(MAX(AA865,0),MAX(0,W836-IF($A866&gt;='1-Input'!$C$12,'1-Input'!$B$12,0))))*(1/(1-'P-Parametri'!$B$6*W866))+MIN(MAX(0,AB865-(MAX(0,W836-IF($A866&gt;='1-Input'!$C$12,'1-Input'!$B$12,0))-MIN(MAX(AA865,0),MAX(0,W836-IF($A866&gt;='1-Input'!$C$12,'1-Input'!$B$12,0))))*(1/(1-'P-Parametri'!$B$6*W866))),MAX(0,2*W836-(AA865-MIN(MAX(AA865,0),MAX(0,W836-IF($A866&gt;='1-Input'!$C$12,'1-Input'!$B$12,0)))))*(1/(1-'P-Parametri'!$B$6*W866))))</f>
        <v>8025.7510438233257</v>
      </c>
      <c r="Y866" s="18">
        <f>IF($A866&gt;('1-Input'!$B$26+3),AA865,(AA865-MAX(0,W836-IF($A866&gt;='1-Input'!$C$12,'1-Input'!$B$12,0))+X866*(1-'P-Parametri'!$B$6*W866))*(1+'1-Input'!$B$27))</f>
        <v>35268.354303294887</v>
      </c>
      <c r="Z866" s="18">
        <f>IF($A866&gt;('1-Input'!$B$26+3),AB865,(AB865-X866)*(1+'5-Roberta'!$C$4))</f>
        <v>100695.82959483481</v>
      </c>
      <c r="AA866" s="18">
        <f>IF($A866&gt;('1-Input'!$B$26+3),Y866,Y866-'P-Parametri'!$B$8*(Z866+Y866)+MIN(MAX(Z866,0),'P-Parametri'!$B$8*(Z866+Y866)))</f>
        <v>35268.354303294887</v>
      </c>
      <c r="AB866" s="18">
        <f>IF($A866&gt;('1-Input'!$B$26+3),Z866,Z866-MIN(MAX(Z866,0),'P-Parametri'!$B$8*(Z866+Y866)))</f>
        <v>100423.90122703856</v>
      </c>
      <c r="AC866" s="18">
        <f>IF($A866&gt;('1-Input'!$B$26+3),AC865,AC865-X866*(1-W866))</f>
        <v>36742.991293460429</v>
      </c>
      <c r="AD866" s="11">
        <f>IF($A866&gt;('1-Input'!$B$26+3),0,IF(AI865&lt;=0,0,MAX(0,(AI865-AJ865)/AI865)))</f>
        <v>0.62417379300595521</v>
      </c>
      <c r="AE866" s="18">
        <f>IF($A866&gt;('1-Input'!$B$26+3),0,(MAX(0,AD836-IF($A866&gt;='1-Input'!$C$12,'1-Input'!$B$12,0))-MIN(MAX(AH865,0),MAX(0,AD836-IF($A866&gt;='1-Input'!$C$12,'1-Input'!$B$12,0))))*(1/(1-'P-Parametri'!$B$6*AD866))+MIN(MAX(0,AI865-(MAX(0,AD836-IF($A866&gt;='1-Input'!$C$12,'1-Input'!$B$12,0))-MIN(MAX(AH865,0),MAX(0,AD836-IF($A866&gt;='1-Input'!$C$12,'1-Input'!$B$12,0))))*(1/(1-'P-Parametri'!$B$6*AD866))),MAX(0,2*AD836-(AH865-MIN(MAX(AH865,0),MAX(0,AD836-IF($A866&gt;='1-Input'!$C$12,'1-Input'!$B$12,0)))))*(1/(1-'P-Parametri'!$B$6*AD866))))</f>
        <v>8010.871707572941</v>
      </c>
      <c r="AF866" s="18">
        <f>IF($A866&gt;('1-Input'!$B$26+3),AH865,(AH865-MAX(0,AD836-IF($A866&gt;='1-Input'!$C$12,'1-Input'!$B$12,0))+AE866*(1-'P-Parametri'!$B$6*AD866))*(1+'1-Input'!$B$27))</f>
        <v>35243.64521006601</v>
      </c>
      <c r="AG866" s="18">
        <f>IF($A866&gt;('1-Input'!$B$26+3),AI865,(AI865-AE866)*(1+'5-Roberta'!$C$4))</f>
        <v>101352.47333391759</v>
      </c>
      <c r="AH866" s="18">
        <f>IF($A866&gt;('1-Input'!$B$26+3),AF866,AF866-'P-Parametri'!$B$8*(AG866+AF866)+MIN(MAX(AG866,0),'P-Parametri'!$B$8*(AG866+AF866)))</f>
        <v>35243.64521006601</v>
      </c>
      <c r="AI866" s="18">
        <f>IF($A866&gt;('1-Input'!$B$26+3),AG866,AG866-MIN(MAX(AG866,0),'P-Parametri'!$B$8*(AG866+AF866)))</f>
        <v>101079.28109682963</v>
      </c>
      <c r="AJ866" s="18">
        <f>IF($A866&gt;('1-Input'!$B$26+3),AJ865,AJ865-AE866*(1-AD866))</f>
        <v>36981.471478205174</v>
      </c>
      <c r="AK866" s="11">
        <f>IF($A866&gt;('1-Input'!$B$26+3),0,IF(AP865&lt;=0,0,MAX(0,(AP865-AQ865)/AP865)))</f>
        <v>0.6241737676889838</v>
      </c>
      <c r="AL866" s="18">
        <f>IF($A866&gt;('1-Input'!$B$26+3),0,(MAX(0,AK836-IF($A866&gt;='1-Input'!$C$12,'1-Input'!$B$12,0))-MIN(MAX(AO865,0),MAX(0,AK836-IF($A866&gt;='1-Input'!$C$12,'1-Input'!$B$12,0))))*(1/(1-'P-Parametri'!$B$6*AK866))+MIN(MAX(0,AP865-(MAX(0,AK836-IF($A866&gt;='1-Input'!$C$12,'1-Input'!$B$12,0))-MIN(MAX(AO865,0),MAX(0,AK836-IF($A866&gt;='1-Input'!$C$12,'1-Input'!$B$12,0))))*(1/(1-'P-Parametri'!$B$6*AK866))),MAX(0,2*AK836-(AO865-MIN(MAX(AO865,0),MAX(0,AK836-IF($A866&gt;='1-Input'!$C$12,'1-Input'!$B$12,0)))))*(1/(1-'P-Parametri'!$B$6*AK866))))</f>
        <v>8010.9048333585688</v>
      </c>
      <c r="AM866" s="18">
        <f>IF($A866&gt;('1-Input'!$B$26+3),AO865,(AO865-MAX(0,AK836-IF($A866&gt;='1-Input'!$C$12,'1-Input'!$B$12,0))+AL866*(1-'P-Parametri'!$B$6*AK866))*(1+'1-Input'!$B$27))</f>
        <v>35243.700219205675</v>
      </c>
      <c r="AN866" s="18">
        <f>IF($A866&gt;('1-Input'!$B$26+3),AP865,(AP865-AL866)*(1+'5-Roberta'!$C$4))</f>
        <v>101351.01146442114</v>
      </c>
      <c r="AO866" s="18">
        <f>IF($A866&gt;('1-Input'!$B$26+3),AM866,AM866-'P-Parametri'!$B$8*(AN866+AM866)+MIN(MAX(AN866,0),'P-Parametri'!$B$8*(AN866+AM866)))</f>
        <v>35243.700219205675</v>
      </c>
      <c r="AP866" s="18">
        <f>IF($A866&gt;('1-Input'!$B$26+3),AN866,AN866-MIN(MAX(AN866,0),'P-Parametri'!$B$8*(AN866+AM866)))</f>
        <v>101077.82204105389</v>
      </c>
      <c r="AQ866" s="18">
        <f>IF($A866&gt;('1-Input'!$B$26+3),AQ865,AQ865-AL866*(1-AK866))</f>
        <v>36980.940562702912</v>
      </c>
    </row>
    <row r="867" spans="1:43">
      <c r="A867" s="10">
        <f>29</f>
        <v>29</v>
      </c>
      <c r="B867" s="11">
        <f>IF($A867&gt;('1-Input'!$B$26+3),0,IF(G866&lt;=0,0,MAX(0,(G866-H866)/G866)))</f>
        <v>0.6349303488040795</v>
      </c>
      <c r="C867" s="18">
        <f>IF($A867&gt;('1-Input'!$B$26+3),0,(MAX(0,B836-IF($A867&gt;='1-Input'!$C$12,'1-Input'!$B$12,0))-MIN(MAX(F866,0),MAX(0,B836-IF($A867&gt;='1-Input'!$C$12,'1-Input'!$B$12,0))))*(1/(1-'P-Parametri'!$B$6*B867))+MIN(MAX(0,G866-(MAX(0,B836-IF($A867&gt;='1-Input'!$C$12,'1-Input'!$B$12,0))-MIN(MAX(F866,0),MAX(0,B836-IF($A867&gt;='1-Input'!$C$12,'1-Input'!$B$12,0))))*(1/(1-'P-Parametri'!$B$6*B867))),MAX(0,2*B836-(F866-MIN(MAX(F866,0),MAX(0,B836-IF($A867&gt;='1-Input'!$C$12,'1-Input'!$B$12,0)))))*(1/(1-'P-Parametri'!$B$6*B867))))</f>
        <v>6826.0094604902524</v>
      </c>
      <c r="D867" s="18">
        <f>IF($A867&gt;('1-Input'!$B$26+3),F866,(F866-MAX(0,B836-IF($A867&gt;='1-Input'!$C$12,'1-Input'!$B$12,0))+C867*(1-'P-Parametri'!$B$6*B867))*(1+'1-Input'!$B$27))</f>
        <v>33242.0070309863</v>
      </c>
      <c r="E867" s="18">
        <f>IF($A867&gt;('1-Input'!$B$26+3),G866,(G866-C867)*(1+'5-Roberta'!$C$4))</f>
        <v>151771.28271892003</v>
      </c>
      <c r="F867" s="18">
        <f>IF($A867&gt;('1-Input'!$B$26+3),D867,D867-'P-Parametri'!$B$8*(E867+D867)+MIN(MAX(E867,0),'P-Parametri'!$B$8*(E867+D867)))</f>
        <v>33242.0070309863</v>
      </c>
      <c r="G867" s="18">
        <f>IF($A867&gt;('1-Input'!$B$26+3),E867,E867-MIN(MAX(E867,0),'P-Parametri'!$B$8*(E867+D867)))</f>
        <v>151401.25613942021</v>
      </c>
      <c r="H867" s="18">
        <f>IF($A867&gt;('1-Input'!$B$26+3),H866,H866-C867*(1-B867))</f>
        <v>53793.290527916077</v>
      </c>
      <c r="I867" s="11">
        <f>IF($A867&gt;('1-Input'!$B$26+3),0,IF(N866&lt;=0,0,MAX(0,(N866-O866)/N866)))</f>
        <v>0</v>
      </c>
      <c r="J867" s="18">
        <f>IF($A867&gt;('1-Input'!$B$26+3),0,(MAX(0,I836-IF($A867&gt;='1-Input'!$C$12,'1-Input'!$B$12,0))-MIN(MAX(M866,0),MAX(0,I836-IF($A867&gt;='1-Input'!$C$12,'1-Input'!$B$12,0))))*(1/(1-'P-Parametri'!$B$6*I867))+MIN(MAX(0,N866-(MAX(0,I836-IF($A867&gt;='1-Input'!$C$12,'1-Input'!$B$12,0))-MIN(MAX(M866,0),MAX(0,I836-IF($A867&gt;='1-Input'!$C$12,'1-Input'!$B$12,0))))*(1/(1-'P-Parametri'!$B$6*I867))),MAX(0,2*I836-(M866-MIN(MAX(M866,0),MAX(0,I836-IF($A867&gt;='1-Input'!$C$12,'1-Input'!$B$12,0)))))*(1/(1-'P-Parametri'!$B$6*I867))))</f>
        <v>10846.756992928691</v>
      </c>
      <c r="K867" s="18">
        <f>IF($A867&gt;('1-Input'!$B$26+3),M866,(M866-MAX(0,I836-IF($A867&gt;='1-Input'!$C$12,'1-Input'!$B$12,0))+J867*(1-'P-Parametri'!$B$6*I867))*(1+'1-Input'!$B$27))</f>
        <v>0</v>
      </c>
      <c r="L867" s="18">
        <f>IF($A867&gt;('1-Input'!$B$26+3),N866,(N866-J867)*(1+'5-Roberta'!$C$4))</f>
        <v>-64025.467113785497</v>
      </c>
      <c r="M867" s="18">
        <f>IF($A867&gt;('1-Input'!$B$26+3),K867,K867-'P-Parametri'!$B$8*(L867+K867)+MIN(MAX(L867,0),'P-Parametri'!$B$8*(L867+K867)))</f>
        <v>0</v>
      </c>
      <c r="N867" s="18">
        <f>IF($A867&gt;('1-Input'!$B$26+3),L867,L867-MIN(MAX(L867,0),'P-Parametri'!$B$8*(L867+K867)))</f>
        <v>-63897.416179557928</v>
      </c>
      <c r="O867" s="18">
        <f>IF($A867&gt;('1-Input'!$B$26+3),O866,O866-J867*(1-I867))</f>
        <v>-58425.036214301341</v>
      </c>
      <c r="P867" s="11">
        <f>IF($A867&gt;('1-Input'!$B$26+3),0,IF(U866&lt;=0,0,MAX(0,(U866-V866)/U866)))</f>
        <v>0.63394290347005144</v>
      </c>
      <c r="Q867" s="18">
        <f>IF($A867&gt;('1-Input'!$B$26+3),0,(MAX(0,P836-IF($A867&gt;='1-Input'!$C$12,'1-Input'!$B$12,0))-MIN(MAX(T866,0),MAX(0,P836-IF($A867&gt;='1-Input'!$C$12,'1-Input'!$B$12,0))))*(1/(1-'P-Parametri'!$B$6*P867))+MIN(MAX(0,U866-(MAX(0,P836-IF($A867&gt;='1-Input'!$C$12,'1-Input'!$B$12,0))-MIN(MAX(T866,0),MAX(0,P836-IF($A867&gt;='1-Input'!$C$12,'1-Input'!$B$12,0))))*(1/(1-'P-Parametri'!$B$6*P867))),MAX(0,2*P836-(T866-MIN(MAX(T866,0),MAX(0,P836-IF($A867&gt;='1-Input'!$C$12,'1-Input'!$B$12,0)))))*(1/(1-'P-Parametri'!$B$6*P867))))</f>
        <v>8243.9216433515357</v>
      </c>
      <c r="R867" s="18">
        <f>IF($A867&gt;('1-Input'!$B$26+3),T866,(T866-MAX(0,P836-IF($A867&gt;='1-Input'!$C$12,'1-Input'!$B$12,0))+Q867*(1-'P-Parametri'!$B$6*P867))*(1+'1-Input'!$B$27))</f>
        <v>35588.487617059305</v>
      </c>
      <c r="S867" s="18">
        <f>IF($A867&gt;('1-Input'!$B$26+3),U866,(U866-Q867)*(1+'5-Roberta'!$C$4))</f>
        <v>86199.700871938054</v>
      </c>
      <c r="T867" s="18">
        <f>IF($A867&gt;('1-Input'!$B$26+3),R867,R867-'P-Parametri'!$B$8*(S867+R867)+MIN(MAX(S867,0),'P-Parametri'!$B$8*(S867+R867)))</f>
        <v>35588.487617059305</v>
      </c>
      <c r="U867" s="18">
        <f>IF($A867&gt;('1-Input'!$B$26+3),S867,S867-MIN(MAX(S867,0),'P-Parametri'!$B$8*(S867+R867)))</f>
        <v>85956.124494960066</v>
      </c>
      <c r="V867" s="18">
        <f>IF($A867&gt;('1-Input'!$B$26+3),V866,V866-Q867*(1-P867))</f>
        <v>30634.963323234682</v>
      </c>
      <c r="W867" s="11">
        <f>IF($A867&gt;('1-Input'!$B$26+3),0,IF(AB866&lt;=0,0,MAX(0,(AB866-AC866)/AB866)))</f>
        <v>0.63412105241368988</v>
      </c>
      <c r="X867" s="18">
        <f>IF($A867&gt;('1-Input'!$B$26+3),0,(MAX(0,W836-IF($A867&gt;='1-Input'!$C$12,'1-Input'!$B$12,0))-MIN(MAX(AA866,0),MAX(0,W836-IF($A867&gt;='1-Input'!$C$12,'1-Input'!$B$12,0))))*(1/(1-'P-Parametri'!$B$6*W867))+MIN(MAX(0,AB866-(MAX(0,W836-IF($A867&gt;='1-Input'!$C$12,'1-Input'!$B$12,0))-MIN(MAX(AA866,0),MAX(0,W836-IF($A867&gt;='1-Input'!$C$12,'1-Input'!$B$12,0))))*(1/(1-'P-Parametri'!$B$6*W867))),MAX(0,2*W836-(AA866-MIN(MAX(AA866,0),MAX(0,W836-IF($A867&gt;='1-Input'!$C$12,'1-Input'!$B$12,0)))))*(1/(1-'P-Parametri'!$B$6*W867))))</f>
        <v>8050.6342994116731</v>
      </c>
      <c r="Y867" s="18">
        <f>IF($A867&gt;('1-Input'!$B$26+3),AA866,(AA866-MAX(0,W836-IF($A867&gt;='1-Input'!$C$12,'1-Input'!$B$12,0))+X867*(1-'P-Parametri'!$B$6*W867))*(1+'1-Input'!$B$27))</f>
        <v>35268.354303294887</v>
      </c>
      <c r="Z867" s="18">
        <f>IF($A867&gt;('1-Input'!$B$26+3),AB866,(AB866-X867)*(1+'5-Roberta'!$C$4))</f>
        <v>95144.46493545569</v>
      </c>
      <c r="AA867" s="18">
        <f>IF($A867&gt;('1-Input'!$B$26+3),Y867,Y867-'P-Parametri'!$B$8*(Z867+Y867)+MIN(MAX(Z867,0),'P-Parametri'!$B$8*(Z867+Y867)))</f>
        <v>35268.354303294887</v>
      </c>
      <c r="AB867" s="18">
        <f>IF($A867&gt;('1-Input'!$B$26+3),Z867,Z867-MIN(MAX(Z867,0),'P-Parametri'!$B$8*(Z867+Y867)))</f>
        <v>94883.639296978188</v>
      </c>
      <c r="AC867" s="18">
        <f>IF($A867&gt;('1-Input'!$B$26+3),AC866,AC866-X867*(1-W867))</f>
        <v>33797.433688589437</v>
      </c>
      <c r="AD867" s="11">
        <f>IF($A867&gt;('1-Input'!$B$26+3),0,IF(AI866&lt;=0,0,MAX(0,(AI866-AJ866)/AI866)))</f>
        <v>0.63413400771243611</v>
      </c>
      <c r="AE867" s="18">
        <f>IF($A867&gt;('1-Input'!$B$26+3),0,(MAX(0,AD836-IF($A867&gt;='1-Input'!$C$12,'1-Input'!$B$12,0))-MIN(MAX(AH866,0),MAX(0,AD836-IF($A867&gt;='1-Input'!$C$12,'1-Input'!$B$12,0))))*(1/(1-'P-Parametri'!$B$6*AD867))+MIN(MAX(0,AI866-(MAX(0,AD836-IF($A867&gt;='1-Input'!$C$12,'1-Input'!$B$12,0))-MIN(MAX(AH866,0),MAX(0,AD836-IF($A867&gt;='1-Input'!$C$12,'1-Input'!$B$12,0))))*(1/(1-'P-Parametri'!$B$6*AD867))),MAX(0,2*AD836-(AH866-MIN(MAX(AH866,0),MAX(0,AD836-IF($A867&gt;='1-Input'!$C$12,'1-Input'!$B$12,0)))))*(1/(1-'P-Parametri'!$B$6*AD867))))</f>
        <v>8035.7127752520919</v>
      </c>
      <c r="AF867" s="18">
        <f>IF($A867&gt;('1-Input'!$B$26+3),AH866,(AH866-MAX(0,AD836-IF($A867&gt;='1-Input'!$C$12,'1-Input'!$B$12,0))+AE867*(1-'P-Parametri'!$B$6*AD867))*(1+'1-Input'!$B$27))</f>
        <v>35243.64521006601</v>
      </c>
      <c r="AG867" s="18">
        <f>IF($A867&gt;('1-Input'!$B$26+3),AI866,(AI866-AE867)*(1+'5-Roberta'!$C$4))</f>
        <v>95834.875371224858</v>
      </c>
      <c r="AH867" s="18">
        <f>IF($A867&gt;('1-Input'!$B$26+3),AF867,AF867-'P-Parametri'!$B$8*(AG867+AF867)+MIN(MAX(AG867,0),'P-Parametri'!$B$8*(AG867+AF867)))</f>
        <v>35243.64521006601</v>
      </c>
      <c r="AI867" s="18">
        <f>IF($A867&gt;('1-Input'!$B$26+3),AG867,AG867-MIN(MAX(AG867,0),'P-Parametri'!$B$8*(AG867+AF867)))</f>
        <v>95572.718330062271</v>
      </c>
      <c r="AJ867" s="18">
        <f>IF($A867&gt;('1-Input'!$B$26+3),AJ866,AJ866-AE867*(1-AD867))</f>
        <v>34041.477449949714</v>
      </c>
      <c r="AK867" s="11">
        <f>IF($A867&gt;('1-Input'!$B$26+3),0,IF(AP866&lt;=0,0,MAX(0,(AP866-AQ866)/AP866)))</f>
        <v>0.63413397898816337</v>
      </c>
      <c r="AL867" s="18">
        <f>IF($A867&gt;('1-Input'!$B$26+3),0,(MAX(0,AK836-IF($A867&gt;='1-Input'!$C$12,'1-Input'!$B$12,0))-MIN(MAX(AO866,0),MAX(0,AK836-IF($A867&gt;='1-Input'!$C$12,'1-Input'!$B$12,0))))*(1/(1-'P-Parametri'!$B$6*AK867))+MIN(MAX(0,AP866-(MAX(0,AK836-IF($A867&gt;='1-Input'!$C$12,'1-Input'!$B$12,0))-MIN(MAX(AO866,0),MAX(0,AK836-IF($A867&gt;='1-Input'!$C$12,'1-Input'!$B$12,0))))*(1/(1-'P-Parametri'!$B$6*AK867))),MAX(0,2*AK836-(AO866-MIN(MAX(AO866,0),MAX(0,AK836-IF($A867&gt;='1-Input'!$C$12,'1-Input'!$B$12,0)))))*(1/(1-'P-Parametri'!$B$6*AK867))))</f>
        <v>8035.745995038018</v>
      </c>
      <c r="AM867" s="18">
        <f>IF($A867&gt;('1-Input'!$B$26+3),AO866,(AO866-MAX(0,AK836-IF($A867&gt;='1-Input'!$C$12,'1-Input'!$B$12,0))+AL867*(1-'P-Parametri'!$B$6*AK867))*(1+'1-Input'!$B$27))</f>
        <v>35243.700219205675</v>
      </c>
      <c r="AN867" s="18">
        <f>IF($A867&gt;('1-Input'!$B$26+3),AP866,(AP866-AL867)*(1+'5-Roberta'!$C$4))</f>
        <v>95833.338327396355</v>
      </c>
      <c r="AO867" s="18">
        <f>IF($A867&gt;('1-Input'!$B$26+3),AM867,AM867-'P-Parametri'!$B$8*(AN867+AM867)+MIN(MAX(AN867,0),'P-Parametri'!$B$8*(AN867+AM867)))</f>
        <v>35243.700219205675</v>
      </c>
      <c r="AP867" s="18">
        <f>IF($A867&gt;('1-Input'!$B$26+3),AN867,AN867-MIN(MAX(AN867,0),'P-Parametri'!$B$8*(AN867+AM867)))</f>
        <v>95571.184250303151</v>
      </c>
      <c r="AQ867" s="18">
        <f>IF($A867&gt;('1-Input'!$B$26+3),AQ866,AQ866-AL867*(1-AK867))</f>
        <v>34040.934149636552</v>
      </c>
    </row>
    <row r="868" spans="1:43">
      <c r="A868" s="10">
        <f>30</f>
        <v>30</v>
      </c>
      <c r="B868" s="11">
        <f>IF($A868&gt;('1-Input'!$B$26+3),0,IF(G867&lt;=0,0,MAX(0,(G867-H867)/G867)))</f>
        <v>0.6446971980313051</v>
      </c>
      <c r="C868" s="18">
        <f>IF($A868&gt;('1-Input'!$B$26+3),0,(MAX(0,B836-IF($A868&gt;='1-Input'!$C$12,'1-Input'!$B$12,0))-MIN(MAX(F867,0),MAX(0,B836-IF($A868&gt;='1-Input'!$C$12,'1-Input'!$B$12,0))))*(1/(1-'P-Parametri'!$B$6*B868))+MIN(MAX(0,G867-(MAX(0,B836-IF($A868&gt;='1-Input'!$C$12,'1-Input'!$B$12,0))-MIN(MAX(F867,0),MAX(0,B836-IF($A868&gt;='1-Input'!$C$12,'1-Input'!$B$12,0))))*(1/(1-'P-Parametri'!$B$6*B868))),MAX(0,2*B836-(F867-MIN(MAX(F867,0),MAX(0,B836-IF($A868&gt;='1-Input'!$C$12,'1-Input'!$B$12,0)))))*(1/(1-'P-Parametri'!$B$6*B868))))</f>
        <v>6846.8339202758698</v>
      </c>
      <c r="D868" s="18">
        <f>IF($A868&gt;('1-Input'!$B$26+3),F867,(F867-MAX(0,B836-IF($A868&gt;='1-Input'!$C$12,'1-Input'!$B$12,0))+C868*(1-'P-Parametri'!$B$6*B868))*(1+'1-Input'!$B$27))</f>
        <v>33242.0070309863</v>
      </c>
      <c r="E868" s="18">
        <f>IF($A868&gt;('1-Input'!$B$26+3),G867,(G867-C868)*(1+'5-Roberta'!$C$4))</f>
        <v>148891.05488571865</v>
      </c>
      <c r="F868" s="18">
        <f>IF($A868&gt;('1-Input'!$B$26+3),D868,D868-'P-Parametri'!$B$8*(E868+D868)+MIN(MAX(E868,0),'P-Parametri'!$B$8*(E868+D868)))</f>
        <v>33242.0070309863</v>
      </c>
      <c r="G868" s="18">
        <f>IF($A868&gt;('1-Input'!$B$26+3),E868,E868-MIN(MAX(E868,0),'P-Parametri'!$B$8*(E868+D868)))</f>
        <v>148526.78876188525</v>
      </c>
      <c r="H868" s="18">
        <f>IF($A868&gt;('1-Input'!$B$26+3),H867,H867-C868*(1-B868))</f>
        <v>51360.591251427759</v>
      </c>
      <c r="I868" s="11">
        <f>IF($A868&gt;('1-Input'!$B$26+3),0,IF(N867&lt;=0,0,MAX(0,(N867-O867)/N867)))</f>
        <v>0</v>
      </c>
      <c r="J868" s="18">
        <f>IF($A868&gt;('1-Input'!$B$26+3),0,(MAX(0,I836-IF($A868&gt;='1-Input'!$C$12,'1-Input'!$B$12,0))-MIN(MAX(M867,0),MAX(0,I836-IF($A868&gt;='1-Input'!$C$12,'1-Input'!$B$12,0))))*(1/(1-'P-Parametri'!$B$6*I868))+MIN(MAX(0,N867-(MAX(0,I836-IF($A868&gt;='1-Input'!$C$12,'1-Input'!$B$12,0))-MIN(MAX(M867,0),MAX(0,I836-IF($A868&gt;='1-Input'!$C$12,'1-Input'!$B$12,0))))*(1/(1-'P-Parametri'!$B$6*I868))),MAX(0,2*I836-(M867-MIN(MAX(M867,0),MAX(0,I836-IF($A868&gt;='1-Input'!$C$12,'1-Input'!$B$12,0)))))*(1/(1-'P-Parametri'!$B$6*I868))))</f>
        <v>10846.756992928691</v>
      </c>
      <c r="K868" s="18">
        <f>IF($A868&gt;('1-Input'!$B$26+3),M867,(M867-MAX(0,I836-IF($A868&gt;='1-Input'!$C$12,'1-Input'!$B$12,0))+J868*(1-'P-Parametri'!$B$6*I868))*(1+'1-Input'!$B$27))</f>
        <v>0</v>
      </c>
      <c r="L868" s="18">
        <f>IF($A868&gt;('1-Input'!$B$26+3),N867,(N867-J868)*(1+'5-Roberta'!$C$4))</f>
        <v>-76986.498367661232</v>
      </c>
      <c r="M868" s="18">
        <f>IF($A868&gt;('1-Input'!$B$26+3),K868,K868-'P-Parametri'!$B$8*(L868+K868)+MIN(MAX(L868,0),'P-Parametri'!$B$8*(L868+K868)))</f>
        <v>0</v>
      </c>
      <c r="N868" s="18">
        <f>IF($A868&gt;('1-Input'!$B$26+3),L868,L868-MIN(MAX(L868,0),'P-Parametri'!$B$8*(L868+K868)))</f>
        <v>-76832.525370925912</v>
      </c>
      <c r="O868" s="18">
        <f>IF($A868&gt;('1-Input'!$B$26+3),O867,O867-J868*(1-I868))</f>
        <v>-69271.793207230032</v>
      </c>
      <c r="P868" s="11">
        <f>IF($A868&gt;('1-Input'!$B$26+3),0,IF(U867&lt;=0,0,MAX(0,(U867-V867)/U867)))</f>
        <v>0.64359766679533204</v>
      </c>
      <c r="Q868" s="18">
        <f>IF($A868&gt;('1-Input'!$B$26+3),0,(MAX(0,P836-IF($A868&gt;='1-Input'!$C$12,'1-Input'!$B$12,0))-MIN(MAX(T867,0),MAX(0,P836-IF($A868&gt;='1-Input'!$C$12,'1-Input'!$B$12,0))))*(1/(1-'P-Parametri'!$B$6*P868))+MIN(MAX(0,U867-(MAX(0,P836-IF($A868&gt;='1-Input'!$C$12,'1-Input'!$B$12,0))-MIN(MAX(T867,0),MAX(0,P836-IF($A868&gt;='1-Input'!$C$12,'1-Input'!$B$12,0))))*(1/(1-'P-Parametri'!$B$6*P868))),MAX(0,2*P836-(T867-MIN(MAX(T867,0),MAX(0,P836-IF($A868&gt;='1-Input'!$C$12,'1-Input'!$B$12,0)))))*(1/(1-'P-Parametri'!$B$6*P868))))</f>
        <v>8268.774638234725</v>
      </c>
      <c r="R868" s="18">
        <f>IF($A868&gt;('1-Input'!$B$26+3),T867,(T867-MAX(0,P836-IF($A868&gt;='1-Input'!$C$12,'1-Input'!$B$12,0))+Q868*(1-'P-Parametri'!$B$6*P868))*(1+'1-Input'!$B$27))</f>
        <v>35588.487617059305</v>
      </c>
      <c r="S868" s="18">
        <f>IF($A868&gt;('1-Input'!$B$26+3),U867,(U867-Q868)*(1+'5-Roberta'!$C$4))</f>
        <v>80017.970352427103</v>
      </c>
      <c r="T868" s="18">
        <f>IF($A868&gt;('1-Input'!$B$26+3),R868,R868-'P-Parametri'!$B$8*(S868+R868)+MIN(MAX(S868,0),'P-Parametri'!$B$8*(S868+R868)))</f>
        <v>35588.487617059305</v>
      </c>
      <c r="U868" s="18">
        <f>IF($A868&gt;('1-Input'!$B$26+3),S868,S868-MIN(MAX(S868,0),'P-Parametri'!$B$8*(S868+R868)))</f>
        <v>79786.757436488129</v>
      </c>
      <c r="V868" s="18">
        <f>IF($A868&gt;('1-Input'!$B$26+3),V867,V867-Q868*(1-P868))</f>
        <v>27687.952749424243</v>
      </c>
      <c r="W868" s="11">
        <f>IF($A868&gt;('1-Input'!$B$26+3),0,IF(AB867&lt;=0,0,MAX(0,(AB867-AC867)/AB867)))</f>
        <v>0.64380125025763213</v>
      </c>
      <c r="X868" s="18">
        <f>IF($A868&gt;('1-Input'!$B$26+3),0,(MAX(0,W836-IF($A868&gt;='1-Input'!$C$12,'1-Input'!$B$12,0))-MIN(MAX(AA867,0),MAX(0,W836-IF($A868&gt;='1-Input'!$C$12,'1-Input'!$B$12,0))))*(1/(1-'P-Parametri'!$B$6*W868))+MIN(MAX(0,AB867-(MAX(0,W836-IF($A868&gt;='1-Input'!$C$12,'1-Input'!$B$12,0))-MIN(MAX(AA867,0),MAX(0,W836-IF($A868&gt;='1-Input'!$C$12,'1-Input'!$B$12,0))))*(1/(1-'P-Parametri'!$B$6*W868))),MAX(0,2*W836-(AA867-MIN(MAX(AA867,0),MAX(0,W836-IF($A868&gt;='1-Input'!$C$12,'1-Input'!$B$12,0)))))*(1/(1-'P-Parametri'!$B$6*W868))))</f>
        <v>8074.970074581277</v>
      </c>
      <c r="Y868" s="18">
        <f>IF($A868&gt;('1-Input'!$B$26+3),AA867,(AA867-MAX(0,W836-IF($A868&gt;='1-Input'!$C$12,'1-Input'!$B$12,0))+X868*(1-'P-Parametri'!$B$6*W868))*(1+'1-Input'!$B$27))</f>
        <v>35268.354303294887</v>
      </c>
      <c r="Z868" s="18">
        <f>IF($A868&gt;('1-Input'!$B$26+3),AB867,(AB867-X868)*(1+'5-Roberta'!$C$4))</f>
        <v>89412.929299068826</v>
      </c>
      <c r="AA868" s="18">
        <f>IF($A868&gt;('1-Input'!$B$26+3),Y868,Y868-'P-Parametri'!$B$8*(Z868+Y868)+MIN(MAX(Z868,0),'P-Parametri'!$B$8*(Z868+Y868)))</f>
        <v>35268.354303294887</v>
      </c>
      <c r="AB868" s="18">
        <f>IF($A868&gt;('1-Input'!$B$26+3),Z868,Z868-MIN(MAX(Z868,0),'P-Parametri'!$B$8*(Z868+Y868)))</f>
        <v>89163.566731864092</v>
      </c>
      <c r="AC868" s="18">
        <f>IF($A868&gt;('1-Input'!$B$26+3),AC867,AC867-X868*(1-W868))</f>
        <v>30921.139443816552</v>
      </c>
      <c r="AD868" s="11">
        <f>IF($A868&gt;('1-Input'!$B$26+3),0,IF(AI867&lt;=0,0,MAX(0,(AI867-AJ867)/AI867)))</f>
        <v>0.6438159545448231</v>
      </c>
      <c r="AE868" s="18">
        <f>IF($A868&gt;('1-Input'!$B$26+3),0,(MAX(0,AD836-IF($A868&gt;='1-Input'!$C$12,'1-Input'!$B$12,0))-MIN(MAX(AH867,0),MAX(0,AD836-IF($A868&gt;='1-Input'!$C$12,'1-Input'!$B$12,0))))*(1/(1-'P-Parametri'!$B$6*AD868))+MIN(MAX(0,AI867-(MAX(0,AD836-IF($A868&gt;='1-Input'!$C$12,'1-Input'!$B$12,0))-MIN(MAX(AH867,0),MAX(0,AD836-IF($A868&gt;='1-Input'!$C$12,'1-Input'!$B$12,0))))*(1/(1-'P-Parametri'!$B$6*AD868))),MAX(0,2*AD836-(AH867-MIN(MAX(AH867,0),MAX(0,AD836-IF($A868&gt;='1-Input'!$C$12,'1-Input'!$B$12,0)))))*(1/(1-'P-Parametri'!$B$6*AD868))))</f>
        <v>8060.0079453695807</v>
      </c>
      <c r="AF868" s="18">
        <f>IF($A868&gt;('1-Input'!$B$26+3),AH867,(AH867-MAX(0,AD836-IF($A868&gt;='1-Input'!$C$12,'1-Input'!$B$12,0))+AE868*(1-'P-Parametri'!$B$6*AD868))*(1+'1-Input'!$B$27))</f>
        <v>35243.64521006601</v>
      </c>
      <c r="AG868" s="18">
        <f>IF($A868&gt;('1-Input'!$B$26+3),AI867,(AI867-AE868)*(1+'5-Roberta'!$C$4))</f>
        <v>90138.091696233474</v>
      </c>
      <c r="AH868" s="18">
        <f>IF($A868&gt;('1-Input'!$B$26+3),AF868,AF868-'P-Parametri'!$B$8*(AG868+AF868)+MIN(MAX(AG868,0),'P-Parametri'!$B$8*(AG868+AF868)))</f>
        <v>35243.64521006601</v>
      </c>
      <c r="AI868" s="18">
        <f>IF($A868&gt;('1-Input'!$B$26+3),AG868,AG868-MIN(MAX(AG868,0),'P-Parametri'!$B$8*(AG868+AF868)))</f>
        <v>89887.328222420882</v>
      </c>
      <c r="AJ868" s="18">
        <f>IF($A868&gt;('1-Input'!$B$26+3),AJ867,AJ867-AE868*(1-AD868))</f>
        <v>31170.631213567111</v>
      </c>
      <c r="AK868" s="11">
        <f>IF($A868&gt;('1-Input'!$B$26+3),0,IF(AP867&lt;=0,0,MAX(0,(AP867-AQ867)/AP867)))</f>
        <v>0.64381592195736992</v>
      </c>
      <c r="AL868" s="18">
        <f>IF($A868&gt;('1-Input'!$B$26+3),0,(MAX(0,AK836-IF($A868&gt;='1-Input'!$C$12,'1-Input'!$B$12,0))-MIN(MAX(AO867,0),MAX(0,AK836-IF($A868&gt;='1-Input'!$C$12,'1-Input'!$B$12,0))))*(1/(1-'P-Parametri'!$B$6*AK868))+MIN(MAX(0,AP867-(MAX(0,AK836-IF($A868&gt;='1-Input'!$C$12,'1-Input'!$B$12,0))-MIN(MAX(AO867,0),MAX(0,AK836-IF($A868&gt;='1-Input'!$C$12,'1-Input'!$B$12,0))))*(1/(1-'P-Parametri'!$B$6*AK868))),MAX(0,2*AK836-(AO867-MIN(MAX(AO867,0),MAX(0,AK836-IF($A868&gt;='1-Input'!$C$12,'1-Input'!$B$12,0)))))*(1/(1-'P-Parametri'!$B$6*AK868))))</f>
        <v>8060.0412556509391</v>
      </c>
      <c r="AM868" s="18">
        <f>IF($A868&gt;('1-Input'!$B$26+3),AO867,(AO867-MAX(0,AK836-IF($A868&gt;='1-Input'!$C$12,'1-Input'!$B$12,0))+AL868*(1-'P-Parametri'!$B$6*AK868))*(1+'1-Input'!$B$27))</f>
        <v>35243.700219205675</v>
      </c>
      <c r="AN868" s="18">
        <f>IF($A868&gt;('1-Input'!$B$26+3),AP867,(AP867-AL868)*(1+'5-Roberta'!$C$4))</f>
        <v>90136.477284491775</v>
      </c>
      <c r="AO868" s="18">
        <f>IF($A868&gt;('1-Input'!$B$26+3),AM868,AM868-'P-Parametri'!$B$8*(AN868+AM868)+MIN(MAX(AN868,0),'P-Parametri'!$B$8*(AN868+AM868)))</f>
        <v>35243.700219205675</v>
      </c>
      <c r="AP868" s="18">
        <f>IF($A868&gt;('1-Input'!$B$26+3),AN868,AN868-MIN(MAX(AN868,0),'P-Parametri'!$B$8*(AN868+AM868)))</f>
        <v>89885.716929484377</v>
      </c>
      <c r="AQ868" s="18">
        <f>IF($A868&gt;('1-Input'!$B$26+3),AQ867,AQ867-AL868*(1-AK868))</f>
        <v>31170.075786006961</v>
      </c>
    </row>
    <row r="869" spans="1:43">
      <c r="A869" s="10">
        <f>31</f>
        <v>31</v>
      </c>
      <c r="B869" s="11">
        <f>IF($A869&gt;('1-Input'!$B$26+3),0,IF(G868&lt;=0,0,MAX(0,(G868-H868)/G868)))</f>
        <v>0.65419981351803225</v>
      </c>
      <c r="C869" s="18">
        <f>IF($A869&gt;('1-Input'!$B$26+3),0,(MAX(0,B836-IF($A869&gt;='1-Input'!$C$12,'1-Input'!$B$12,0))-MIN(MAX(F868,0),MAX(0,B836-IF($A869&gt;='1-Input'!$C$12,'1-Input'!$B$12,0))))*(1/(1-'P-Parametri'!$B$6*B869))+MIN(MAX(0,G868-(MAX(0,B836-IF($A869&gt;='1-Input'!$C$12,'1-Input'!$B$12,0))-MIN(MAX(F868,0),MAX(0,B836-IF($A869&gt;='1-Input'!$C$12,'1-Input'!$B$12,0))))*(1/(1-'P-Parametri'!$B$6*B869))),MAX(0,2*B836-(F868-MIN(MAX(F868,0),MAX(0,B836-IF($A869&gt;='1-Input'!$C$12,'1-Input'!$B$12,0)))))*(1/(1-'P-Parametri'!$B$6*B869))))</f>
        <v>6867.2173059326296</v>
      </c>
      <c r="D869" s="18">
        <f>IF($A869&gt;('1-Input'!$B$26+3),F868,(F868-MAX(0,B836-IF($A869&gt;='1-Input'!$C$12,'1-Input'!$B$12,0))+C869*(1-'P-Parametri'!$B$6*B869))*(1+'1-Input'!$B$27))</f>
        <v>33242.0070309863</v>
      </c>
      <c r="E869" s="18">
        <f>IF($A869&gt;('1-Input'!$B$26+3),G868,(G868-C869)*(1+'5-Roberta'!$C$4))</f>
        <v>145909.3585996312</v>
      </c>
      <c r="F869" s="18">
        <f>IF($A869&gt;('1-Input'!$B$26+3),D869,D869-'P-Parametri'!$B$8*(E869+D869)+MIN(MAX(E869,0),'P-Parametri'!$B$8*(E869+D869)))</f>
        <v>33242.0070309863</v>
      </c>
      <c r="G869" s="18">
        <f>IF($A869&gt;('1-Input'!$B$26+3),E869,E869-MIN(MAX(E869,0),'P-Parametri'!$B$8*(E869+D869)))</f>
        <v>145551.05586836996</v>
      </c>
      <c r="H869" s="18">
        <f>IF($A869&gt;('1-Input'!$B$26+3),H868,H868-C869*(1-B869))</f>
        <v>48985.906226424057</v>
      </c>
      <c r="I869" s="11">
        <f>IF($A869&gt;('1-Input'!$B$26+3),0,IF(N868&lt;=0,0,MAX(0,(N868-O868)/N868)))</f>
        <v>0</v>
      </c>
      <c r="J869" s="18">
        <f>IF($A869&gt;('1-Input'!$B$26+3),0,(MAX(0,I836-IF($A869&gt;='1-Input'!$C$12,'1-Input'!$B$12,0))-MIN(MAX(M868,0),MAX(0,I836-IF($A869&gt;='1-Input'!$C$12,'1-Input'!$B$12,0))))*(1/(1-'P-Parametri'!$B$6*I869))+MIN(MAX(0,N868-(MAX(0,I836-IF($A869&gt;='1-Input'!$C$12,'1-Input'!$B$12,0))-MIN(MAX(M868,0),MAX(0,I836-IF($A869&gt;='1-Input'!$C$12,'1-Input'!$B$12,0))))*(1/(1-'P-Parametri'!$B$6*I869))),MAX(0,2*I836-(M868-MIN(MAX(M868,0),MAX(0,I836-IF($A869&gt;='1-Input'!$C$12,'1-Input'!$B$12,0)))))*(1/(1-'P-Parametri'!$B$6*I869))))</f>
        <v>10846.756992928691</v>
      </c>
      <c r="K869" s="18">
        <f>IF($A869&gt;('1-Input'!$B$26+3),M868,(M868-MAX(0,I836-IF($A869&gt;='1-Input'!$C$12,'1-Input'!$B$12,0))+J869*(1-'P-Parametri'!$B$6*I869))*(1+'1-Input'!$B$27))</f>
        <v>0</v>
      </c>
      <c r="L869" s="18">
        <f>IF($A869&gt;('1-Input'!$B$26+3),N868,(N868-J869)*(1+'5-Roberta'!$C$4))</f>
        <v>-90309.660834770257</v>
      </c>
      <c r="M869" s="18">
        <f>IF($A869&gt;('1-Input'!$B$26+3),K869,K869-'P-Parametri'!$B$8*(L869+K869)+MIN(MAX(L869,0),'P-Parametri'!$B$8*(L869+K869)))</f>
        <v>0</v>
      </c>
      <c r="N869" s="18">
        <f>IF($A869&gt;('1-Input'!$B$26+3),L869,L869-MIN(MAX(L869,0),'P-Parametri'!$B$8*(L869+K869)))</f>
        <v>-90129.041513100718</v>
      </c>
      <c r="O869" s="18">
        <f>IF($A869&gt;('1-Input'!$B$26+3),O868,O868-J869*(1-I869))</f>
        <v>-80118.55020015873</v>
      </c>
      <c r="P869" s="11">
        <f>IF($A869&gt;('1-Input'!$B$26+3),0,IF(U868&lt;=0,0,MAX(0,(U868-V868)/U868)))</f>
        <v>0.65297558593649563</v>
      </c>
      <c r="Q869" s="18">
        <f>IF($A869&gt;('1-Input'!$B$26+3),0,(MAX(0,P836-IF($A869&gt;='1-Input'!$C$12,'1-Input'!$B$12,0))-MIN(MAX(T868,0),MAX(0,P836-IF($A869&gt;='1-Input'!$C$12,'1-Input'!$B$12,0))))*(1/(1-'P-Parametri'!$B$6*P869))+MIN(MAX(0,U868-(MAX(0,P836-IF($A869&gt;='1-Input'!$C$12,'1-Input'!$B$12,0))-MIN(MAX(T868,0),MAX(0,P836-IF($A869&gt;='1-Input'!$C$12,'1-Input'!$B$12,0))))*(1/(1-'P-Parametri'!$B$6*P869))),MAX(0,2*P836-(T868-MIN(MAX(T868,0),MAX(0,P836-IF($A869&gt;='1-Input'!$C$12,'1-Input'!$B$12,0)))))*(1/(1-'P-Parametri'!$B$6*P869))))</f>
        <v>8293.0588759548536</v>
      </c>
      <c r="R869" s="18">
        <f>IF($A869&gt;('1-Input'!$B$26+3),T868,(T868-MAX(0,P836-IF($A869&gt;='1-Input'!$C$12,'1-Input'!$B$12,0))+Q869*(1-'P-Parametri'!$B$6*P869))*(1+'1-Input'!$B$27))</f>
        <v>35588.487617059305</v>
      </c>
      <c r="S869" s="18">
        <f>IF($A869&gt;('1-Input'!$B$26+3),U868,(U868-Q869)*(1+'5-Roberta'!$C$4))</f>
        <v>73638.509517349274</v>
      </c>
      <c r="T869" s="18">
        <f>IF($A869&gt;('1-Input'!$B$26+3),R869,R869-'P-Parametri'!$B$8*(S869+R869)+MIN(MAX(S869,0),'P-Parametri'!$B$8*(S869+R869)))</f>
        <v>35588.487617059305</v>
      </c>
      <c r="U869" s="18">
        <f>IF($A869&gt;('1-Input'!$B$26+3),S869,S869-MIN(MAX(S869,0),'P-Parametri'!$B$8*(S869+R869)))</f>
        <v>73420.05552308046</v>
      </c>
      <c r="V869" s="18">
        <f>IF($A869&gt;('1-Input'!$B$26+3),V868,V868-Q869*(1-P869))</f>
        <v>24810.058852201866</v>
      </c>
      <c r="W869" s="11">
        <f>IF($A869&gt;('1-Input'!$B$26+3),0,IF(AB868&lt;=0,0,MAX(0,(AB868-AC868)/AB868)))</f>
        <v>0.65320880963854078</v>
      </c>
      <c r="X869" s="18">
        <f>IF($A869&gt;('1-Input'!$B$26+3),0,(MAX(0,W836-IF($A869&gt;='1-Input'!$C$12,'1-Input'!$B$12,0))-MIN(MAX(AA868,0),MAX(0,W836-IF($A869&gt;='1-Input'!$C$12,'1-Input'!$B$12,0))))*(1/(1-'P-Parametri'!$B$6*W869))+MIN(MAX(0,AB868-(MAX(0,W836-IF($A869&gt;='1-Input'!$C$12,'1-Input'!$B$12,0))-MIN(MAX(AA868,0),MAX(0,W836-IF($A869&gt;='1-Input'!$C$12,'1-Input'!$B$12,0))))*(1/(1-'P-Parametri'!$B$6*W869))),MAX(0,2*W836-(AA868-MIN(MAX(AA868,0),MAX(0,W836-IF($A869&gt;='1-Input'!$C$12,'1-Input'!$B$12,0)))))*(1/(1-'P-Parametri'!$B$6*W869))))</f>
        <v>8098.7618278394521</v>
      </c>
      <c r="Y869" s="18">
        <f>IF($A869&gt;('1-Input'!$B$26+3),AA868,(AA868-MAX(0,W836-IF($A869&gt;='1-Input'!$C$12,'1-Input'!$B$12,0))+X869*(1-'P-Parametri'!$B$6*W869))*(1+'1-Input'!$B$27))</f>
        <v>35268.354303294887</v>
      </c>
      <c r="Z869" s="18">
        <f>IF($A869&gt;('1-Input'!$B$26+3),AB868,(AB868-X869)*(1+'5-Roberta'!$C$4))</f>
        <v>83496.74905114538</v>
      </c>
      <c r="AA869" s="18">
        <f>IF($A869&gt;('1-Input'!$B$26+3),Y869,Y869-'P-Parametri'!$B$8*(Z869+Y869)+MIN(MAX(Z869,0),'P-Parametri'!$B$8*(Z869+Y869)))</f>
        <v>35268.354303294887</v>
      </c>
      <c r="AB869" s="18">
        <f>IF($A869&gt;('1-Input'!$B$26+3),Z869,Z869-MIN(MAX(Z869,0),'P-Parametri'!$B$8*(Z869+Y869)))</f>
        <v>83259.218844436502</v>
      </c>
      <c r="AC869" s="18">
        <f>IF($A869&gt;('1-Input'!$B$26+3),AC868,AC868-X869*(1-W869))</f>
        <v>28112.560189086162</v>
      </c>
      <c r="AD869" s="11">
        <f>IF($A869&gt;('1-Input'!$B$26+3),0,IF(AI868&lt;=0,0,MAX(0,(AI868-AJ868)/AI868)))</f>
        <v>0.65322552321905458</v>
      </c>
      <c r="AE869" s="18">
        <f>IF($A869&gt;('1-Input'!$B$26+3),0,(MAX(0,AD836-IF($A869&gt;='1-Input'!$C$12,'1-Input'!$B$12,0))-MIN(MAX(AH868,0),MAX(0,AD836-IF($A869&gt;='1-Input'!$C$12,'1-Input'!$B$12,0))))*(1/(1-'P-Parametri'!$B$6*AD869))+MIN(MAX(0,AI868-(MAX(0,AD836-IF($A869&gt;='1-Input'!$C$12,'1-Input'!$B$12,0))-MIN(MAX(AH868,0),MAX(0,AD836-IF($A869&gt;='1-Input'!$C$12,'1-Input'!$B$12,0))))*(1/(1-'P-Parametri'!$B$6*AD869))),MAX(0,2*AD836-(AH868-MIN(MAX(AH868,0),MAX(0,AD836-IF($A869&gt;='1-Input'!$C$12,'1-Input'!$B$12,0)))))*(1/(1-'P-Parametri'!$B$6*AD869))))</f>
        <v>8083.7608112676471</v>
      </c>
      <c r="AF869" s="18">
        <f>IF($A869&gt;('1-Input'!$B$26+3),AH868,(AH868-MAX(0,AD836-IF($A869&gt;='1-Input'!$C$12,'1-Input'!$B$12,0))+AE869*(1-'P-Parametri'!$B$6*AD869))*(1+'1-Input'!$B$27))</f>
        <v>35243.64521006601</v>
      </c>
      <c r="AG869" s="18">
        <f>IF($A869&gt;('1-Input'!$B$26+3),AI868,(AI868-AE869)*(1+'5-Roberta'!$C$4))</f>
        <v>84257.674433487831</v>
      </c>
      <c r="AH869" s="18">
        <f>IF($A869&gt;('1-Input'!$B$26+3),AF869,AF869-'P-Parametri'!$B$8*(AG869+AF869)+MIN(MAX(AG869,0),'P-Parametri'!$B$8*(AG869+AF869)))</f>
        <v>35243.64521006601</v>
      </c>
      <c r="AI869" s="18">
        <f>IF($A869&gt;('1-Input'!$B$26+3),AG869,AG869-MIN(MAX(AG869,0),'P-Parametri'!$B$8*(AG869+AF869)))</f>
        <v>84018.671794200724</v>
      </c>
      <c r="AJ869" s="18">
        <f>IF($A869&gt;('1-Input'!$B$26+3),AJ868,AJ868-AE869*(1-AD869))</f>
        <v>28367.389287817463</v>
      </c>
      <c r="AK869" s="11">
        <f>IF($A869&gt;('1-Input'!$B$26+3),0,IF(AP868&lt;=0,0,MAX(0,(AP868-AQ868)/AP868)))</f>
        <v>0.65322548619754595</v>
      </c>
      <c r="AL869" s="18">
        <f>IF($A869&gt;('1-Input'!$B$26+3),0,(MAX(0,AK836-IF($A869&gt;='1-Input'!$C$12,'1-Input'!$B$12,0))-MIN(MAX(AO868,0),MAX(0,AK836-IF($A869&gt;='1-Input'!$C$12,'1-Input'!$B$12,0))))*(1/(1-'P-Parametri'!$B$6*AK869))+MIN(MAX(0,AP868-(MAX(0,AK836-IF($A869&gt;='1-Input'!$C$12,'1-Input'!$B$12,0))-MIN(MAX(AO868,0),MAX(0,AK836-IF($A869&gt;='1-Input'!$C$12,'1-Input'!$B$12,0))))*(1/(1-'P-Parametri'!$B$6*AK869))),MAX(0,2*AK836-(AO868-MIN(MAX(AO868,0),MAX(0,AK836-IF($A869&gt;='1-Input'!$C$12,'1-Input'!$B$12,0)))))*(1/(1-'P-Parametri'!$B$6*AK869))))</f>
        <v>8083.794208246014</v>
      </c>
      <c r="AM869" s="18">
        <f>IF($A869&gt;('1-Input'!$B$26+3),AO868,(AO868-MAX(0,AK836-IF($A869&gt;='1-Input'!$C$12,'1-Input'!$B$12,0))+AL869*(1-'P-Parametri'!$B$6*AK869))*(1+'1-Input'!$B$27))</f>
        <v>35243.700219205675</v>
      </c>
      <c r="AN869" s="18">
        <f>IF($A869&gt;('1-Input'!$B$26+3),AP868,(AP868-AL869)*(1+'5-Roberta'!$C$4))</f>
        <v>84255.980402875517</v>
      </c>
      <c r="AO869" s="18">
        <f>IF($A869&gt;('1-Input'!$B$26+3),AM869,AM869-'P-Parametri'!$B$8*(AN869+AM869)+MIN(MAX(AN869,0),'P-Parametri'!$B$8*(AN869+AM869)))</f>
        <v>35243.700219205675</v>
      </c>
      <c r="AP869" s="18">
        <f>IF($A869&gt;('1-Input'!$B$26+3),AN869,AN869-MIN(MAX(AN869,0),'P-Parametri'!$B$8*(AN869+AM869)))</f>
        <v>84016.981041631356</v>
      </c>
      <c r="AQ869" s="18">
        <f>IF($A869&gt;('1-Input'!$B$26+3),AQ868,AQ868-AL869*(1-AK869))</f>
        <v>28366.821979763354</v>
      </c>
    </row>
    <row r="870" spans="1:43">
      <c r="A870" s="10">
        <f>32</f>
        <v>32</v>
      </c>
      <c r="B870" s="11">
        <f>IF($A870&gt;('1-Input'!$B$26+3),0,IF(G869&lt;=0,0,MAX(0,(G869-H869)/G869)))</f>
        <v>0.66344520186287903</v>
      </c>
      <c r="C870" s="18">
        <f>IF($A870&gt;('1-Input'!$B$26+3),0,(MAX(0,B836-IF($A870&gt;='1-Input'!$C$12,'1-Input'!$B$12,0))-MIN(MAX(F869,0),MAX(0,B836-IF($A870&gt;='1-Input'!$C$12,'1-Input'!$B$12,0))))*(1/(1-'P-Parametri'!$B$6*B870))+MIN(MAX(0,G869-(MAX(0,B836-IF($A870&gt;='1-Input'!$C$12,'1-Input'!$B$12,0))-MIN(MAX(F869,0),MAX(0,B836-IF($A870&gt;='1-Input'!$C$12,'1-Input'!$B$12,0))))*(1/(1-'P-Parametri'!$B$6*B870))),MAX(0,2*B836-(F869-MIN(MAX(F869,0),MAX(0,B836-IF($A870&gt;='1-Input'!$C$12,'1-Input'!$B$12,0)))))*(1/(1-'P-Parametri'!$B$6*B870))))</f>
        <v>6887.1657517181657</v>
      </c>
      <c r="D870" s="18">
        <f>IF($A870&gt;('1-Input'!$B$26+3),F869,(F869-MAX(0,B836-IF($A870&gt;='1-Input'!$C$12,'1-Input'!$B$12,0))+C870*(1-'P-Parametri'!$B$6*B870))*(1+'1-Input'!$B$27))</f>
        <v>33242.0070309863</v>
      </c>
      <c r="E870" s="18">
        <f>IF($A870&gt;('1-Input'!$B$26+3),G869,(G869-C870)*(1+'5-Roberta'!$C$4))</f>
        <v>142823.80682015137</v>
      </c>
      <c r="F870" s="18">
        <f>IF($A870&gt;('1-Input'!$B$26+3),D870,D870-'P-Parametri'!$B$8*(E870+D870)+MIN(MAX(E870,0),'P-Parametri'!$B$8*(E870+D870)))</f>
        <v>33242.0070309863</v>
      </c>
      <c r="G870" s="18">
        <f>IF($A870&gt;('1-Input'!$B$26+3),E870,E870-MIN(MAX(E870,0),'P-Parametri'!$B$8*(E870+D870)))</f>
        <v>142471.6751924491</v>
      </c>
      <c r="H870" s="18">
        <f>IF($A870&gt;('1-Input'!$B$26+3),H869,H869-C870*(1-B870))</f>
        <v>46667.997547117659</v>
      </c>
      <c r="I870" s="11">
        <f>IF($A870&gt;('1-Input'!$B$26+3),0,IF(N869&lt;=0,0,MAX(0,(N869-O869)/N869)))</f>
        <v>0</v>
      </c>
      <c r="J870" s="18">
        <f>IF($A870&gt;('1-Input'!$B$26+3),0,(MAX(0,I836-IF($A870&gt;='1-Input'!$C$12,'1-Input'!$B$12,0))-MIN(MAX(M869,0),MAX(0,I836-IF($A870&gt;='1-Input'!$C$12,'1-Input'!$B$12,0))))*(1/(1-'P-Parametri'!$B$6*I870))+MIN(MAX(0,N869-(MAX(0,I836-IF($A870&gt;='1-Input'!$C$12,'1-Input'!$B$12,0))-MIN(MAX(M869,0),MAX(0,I836-IF($A870&gt;='1-Input'!$C$12,'1-Input'!$B$12,0))))*(1/(1-'P-Parametri'!$B$6*I870))),MAX(0,2*I836-(M869-MIN(MAX(M869,0),MAX(0,I836-IF($A870&gt;='1-Input'!$C$12,'1-Input'!$B$12,0)))))*(1/(1-'P-Parametri'!$B$6*I870))))</f>
        <v>10846.756992928691</v>
      </c>
      <c r="K870" s="18">
        <f>IF($A870&gt;('1-Input'!$B$26+3),M869,(M869-MAX(0,I836-IF($A870&gt;='1-Input'!$C$12,'1-Input'!$B$12,0))+J870*(1-'P-Parametri'!$B$6*I870))*(1+'1-Input'!$B$27))</f>
        <v>0</v>
      </c>
      <c r="L870" s="18">
        <f>IF($A870&gt;('1-Input'!$B$26+3),N869,(N869-J870)*(1+'5-Roberta'!$C$4))</f>
        <v>-104005.07246121031</v>
      </c>
      <c r="M870" s="18">
        <f>IF($A870&gt;('1-Input'!$B$26+3),K870,K870-'P-Parametri'!$B$8*(L870+K870)+MIN(MAX(L870,0),'P-Parametri'!$B$8*(L870+K870)))</f>
        <v>0</v>
      </c>
      <c r="N870" s="18">
        <f>IF($A870&gt;('1-Input'!$B$26+3),L870,L870-MIN(MAX(L870,0),'P-Parametri'!$B$8*(L870+K870)))</f>
        <v>-103797.06231628789</v>
      </c>
      <c r="O870" s="18">
        <f>IF($A870&gt;('1-Input'!$B$26+3),O869,O869-J870*(1-I870))</f>
        <v>-90965.307193087414</v>
      </c>
      <c r="P870" s="11">
        <f>IF($A870&gt;('1-Input'!$B$26+3),0,IF(U869&lt;=0,0,MAX(0,(U869-V869)/U869)))</f>
        <v>0.66208063075623069</v>
      </c>
      <c r="Q870" s="18">
        <f>IF($A870&gt;('1-Input'!$B$26+3),0,(MAX(0,P836-IF($A870&gt;='1-Input'!$C$12,'1-Input'!$B$12,0))-MIN(MAX(T869,0),MAX(0,P836-IF($A870&gt;='1-Input'!$C$12,'1-Input'!$B$12,0))))*(1/(1-'P-Parametri'!$B$6*P870))+MIN(MAX(0,U869-(MAX(0,P836-IF($A870&gt;='1-Input'!$C$12,'1-Input'!$B$12,0))-MIN(MAX(T869,0),MAX(0,P836-IF($A870&gt;='1-Input'!$C$12,'1-Input'!$B$12,0))))*(1/(1-'P-Parametri'!$B$6*P870))),MAX(0,2*P836-(T869-MIN(MAX(T869,0),MAX(0,P836-IF($A870&gt;='1-Input'!$C$12,'1-Input'!$B$12,0)))))*(1/(1-'P-Parametri'!$B$6*P870))))</f>
        <v>8316.7733660592676</v>
      </c>
      <c r="R870" s="18">
        <f>IF($A870&gt;('1-Input'!$B$26+3),T869,(T869-MAX(0,P836-IF($A870&gt;='1-Input'!$C$12,'1-Input'!$B$12,0))+Q870*(1-'P-Parametri'!$B$6*P870))*(1+'1-Input'!$B$27))</f>
        <v>35588.487617059305</v>
      </c>
      <c r="S870" s="18">
        <f>IF($A870&gt;('1-Input'!$B$26+3),U869,(U869-Q870)*(1+'5-Roberta'!$C$4))</f>
        <v>67056.380621731834</v>
      </c>
      <c r="T870" s="18">
        <f>IF($A870&gt;('1-Input'!$B$26+3),R870,R870-'P-Parametri'!$B$8*(S870+R870)+MIN(MAX(S870,0),'P-Parametri'!$B$8*(S870+R870)))</f>
        <v>35588.487617059305</v>
      </c>
      <c r="U870" s="18">
        <f>IF($A870&gt;('1-Input'!$B$26+3),S870,S870-MIN(MAX(S870,0),'P-Parametri'!$B$8*(S870+R870)))</f>
        <v>66851.090885254249</v>
      </c>
      <c r="V870" s="18">
        <f>IF($A870&gt;('1-Input'!$B$26+3),V869,V869-Q870*(1-P870))</f>
        <v>21999.660042199739</v>
      </c>
      <c r="W870" s="11">
        <f>IF($A870&gt;('1-Input'!$B$26+3),0,IF(AB869&lt;=0,0,MAX(0,(AB869-AC869)/AB869)))</f>
        <v>0.6623489797374591</v>
      </c>
      <c r="X870" s="18">
        <f>IF($A870&gt;('1-Input'!$B$26+3),0,(MAX(0,W836-IF($A870&gt;='1-Input'!$C$12,'1-Input'!$B$12,0))-MIN(MAX(AA869,0),MAX(0,W836-IF($A870&gt;='1-Input'!$C$12,'1-Input'!$B$12,0))))*(1/(1-'P-Parametri'!$B$6*W870))+MIN(MAX(0,AB869-(MAX(0,W836-IF($A870&gt;='1-Input'!$C$12,'1-Input'!$B$12,0))-MIN(MAX(AA869,0),MAX(0,W836-IF($A870&gt;='1-Input'!$C$12,'1-Input'!$B$12,0))))*(1/(1-'P-Parametri'!$B$6*W870))),MAX(0,2*W836-(AA869-MIN(MAX(AA869,0),MAX(0,W836-IF($A870&gt;='1-Input'!$C$12,'1-Input'!$B$12,0)))))*(1/(1-'P-Parametri'!$B$6*W870))))</f>
        <v>8122.0120155246041</v>
      </c>
      <c r="Y870" s="18">
        <f>IF($A870&gt;('1-Input'!$B$26+3),AA869,(AA869-MAX(0,W836-IF($A870&gt;='1-Input'!$C$12,'1-Input'!$B$12,0))+X870*(1-'P-Parametri'!$B$6*W870))*(1+'1-Input'!$B$27))</f>
        <v>35268.354303294887</v>
      </c>
      <c r="Z870" s="18">
        <f>IF($A870&gt;('1-Input'!$B$26+3),AB869,(AB869-X870)*(1+'5-Roberta'!$C$4))</f>
        <v>77391.323033779263</v>
      </c>
      <c r="AA870" s="18">
        <f>IF($A870&gt;('1-Input'!$B$26+3),Y870,Y870-'P-Parametri'!$B$8*(Z870+Y870)+MIN(MAX(Z870,0),'P-Parametri'!$B$8*(Z870+Y870)))</f>
        <v>35268.354303294887</v>
      </c>
      <c r="AB870" s="18">
        <f>IF($A870&gt;('1-Input'!$B$26+3),Z870,Z870-MIN(MAX(Z870,0),'P-Parametri'!$B$8*(Z870+Y870)))</f>
        <v>77166.00367910511</v>
      </c>
      <c r="AC870" s="18">
        <f>IF($A870&gt;('1-Input'!$B$26+3),AC869,AC869-X870*(1-W870))</f>
        <v>25370.154545459663</v>
      </c>
      <c r="AD870" s="11">
        <f>IF($A870&gt;('1-Input'!$B$26+3),0,IF(AI869&lt;=0,0,MAX(0,(AI869-AJ869)/AI869)))</f>
        <v>0.66236803460423799</v>
      </c>
      <c r="AE870" s="18">
        <f>IF($A870&gt;('1-Input'!$B$26+3),0,(MAX(0,AD836-IF($A870&gt;='1-Input'!$C$12,'1-Input'!$B$12,0))-MIN(MAX(AH869,0),MAX(0,AD836-IF($A870&gt;='1-Input'!$C$12,'1-Input'!$B$12,0))))*(1/(1-'P-Parametri'!$B$6*AD870))+MIN(MAX(0,AI869-(MAX(0,AD836-IF($A870&gt;='1-Input'!$C$12,'1-Input'!$B$12,0))-MIN(MAX(AH869,0),MAX(0,AD836-IF($A870&gt;='1-Input'!$C$12,'1-Input'!$B$12,0))))*(1/(1-'P-Parametri'!$B$6*AD870))),MAX(0,2*AD836-(AH869-MIN(MAX(AH869,0),MAX(0,AD836-IF($A870&gt;='1-Input'!$C$12,'1-Input'!$B$12,0)))))*(1/(1-'P-Parametri'!$B$6*AD870))))</f>
        <v>8106.9740170630894</v>
      </c>
      <c r="AF870" s="18">
        <f>IF($A870&gt;('1-Input'!$B$26+3),AH869,(AH869-MAX(0,AD836-IF($A870&gt;='1-Input'!$C$12,'1-Input'!$B$12,0))+AE870*(1-'P-Parametri'!$B$6*AD870))*(1+'1-Input'!$B$27))</f>
        <v>35243.64521006601</v>
      </c>
      <c r="AG870" s="18">
        <f>IF($A870&gt;('1-Input'!$B$26+3),AI869,(AI869-AE870)*(1+'5-Roberta'!$C$4))</f>
        <v>78189.048710451767</v>
      </c>
      <c r="AH870" s="18">
        <f>IF($A870&gt;('1-Input'!$B$26+3),AF870,AF870-'P-Parametri'!$B$8*(AG870+AF870)+MIN(MAX(AG870,0),'P-Parametri'!$B$8*(AG870+AF870)))</f>
        <v>35243.64521006601</v>
      </c>
      <c r="AI870" s="18">
        <f>IF($A870&gt;('1-Input'!$B$26+3),AG870,AG870-MIN(MAX(AG870,0),'P-Parametri'!$B$8*(AG870+AF870)))</f>
        <v>77962.183322610726</v>
      </c>
      <c r="AJ870" s="18">
        <f>IF($A870&gt;('1-Input'!$B$26+3),AJ869,AJ869-AE870*(1-AD870))</f>
        <v>25630.215717024075</v>
      </c>
      <c r="AK870" s="11">
        <f>IF($A870&gt;('1-Input'!$B$26+3),0,IF(AP869&lt;=0,0,MAX(0,(AP869-AQ869)/AP869)))</f>
        <v>0.66236799242158828</v>
      </c>
      <c r="AL870" s="18">
        <f>IF($A870&gt;('1-Input'!$B$26+3),0,(MAX(0,AK836-IF($A870&gt;='1-Input'!$C$12,'1-Input'!$B$12,0))-MIN(MAX(AO869,0),MAX(0,AK836-IF($A870&gt;='1-Input'!$C$12,'1-Input'!$B$12,0))))*(1/(1-'P-Parametri'!$B$6*AK870))+MIN(MAX(0,AP869-(MAX(0,AK836-IF($A870&gt;='1-Input'!$C$12,'1-Input'!$B$12,0))-MIN(MAX(AO869,0),MAX(0,AK836-IF($A870&gt;='1-Input'!$C$12,'1-Input'!$B$12,0))))*(1/(1-'P-Parametri'!$B$6*AK870))),MAX(0,2*AK836-(AO869-MIN(MAX(AO869,0),MAX(0,AK836-IF($A870&gt;='1-Input'!$C$12,'1-Input'!$B$12,0)))))*(1/(1-'P-Parametri'!$B$6*AK870))))</f>
        <v>8107.0074965317608</v>
      </c>
      <c r="AM870" s="18">
        <f>IF($A870&gt;('1-Input'!$B$26+3),AO869,(AO869-MAX(0,AK836-IF($A870&gt;='1-Input'!$C$12,'1-Input'!$B$12,0))+AL870*(1-'P-Parametri'!$B$6*AK870))*(1+'1-Input'!$B$27))</f>
        <v>35243.700219205675</v>
      </c>
      <c r="AN870" s="18">
        <f>IF($A870&gt;('1-Input'!$B$26+3),AP869,(AP869-AL870)*(1+'5-Roberta'!$C$4))</f>
        <v>78187.27275145259</v>
      </c>
      <c r="AO870" s="18">
        <f>IF($A870&gt;('1-Input'!$B$26+3),AM870,AM870-'P-Parametri'!$B$8*(AN870+AM870)+MIN(MAX(AN870,0),'P-Parametri'!$B$8*(AN870+AM870)))</f>
        <v>35243.700219205675</v>
      </c>
      <c r="AP870" s="18">
        <f>IF($A870&gt;('1-Input'!$B$26+3),AN870,AN870-MIN(MAX(AN870,0),'P-Parametri'!$B$8*(AN870+AM870)))</f>
        <v>77960.410805511274</v>
      </c>
      <c r="AQ870" s="18">
        <f>IF($A870&gt;('1-Input'!$B$26+3),AQ869,AQ869-AL870*(1-AK870))</f>
        <v>25629.636763256101</v>
      </c>
    </row>
    <row r="871" spans="1:43">
      <c r="A871" s="10">
        <f>33</f>
        <v>33</v>
      </c>
      <c r="B871" s="11">
        <f>IF($A871&gt;('1-Input'!$B$26+3),0,IF(G870&lt;=0,0,MAX(0,(G870-H870)/G870)))</f>
        <v>0.67244017111415955</v>
      </c>
      <c r="C871" s="18">
        <f>IF($A871&gt;('1-Input'!$B$26+3),0,(MAX(0,B836-IF($A871&gt;='1-Input'!$C$12,'1-Input'!$B$12,0))-MIN(MAX(F870,0),MAX(0,B836-IF($A871&gt;='1-Input'!$C$12,'1-Input'!$B$12,0))))*(1/(1-'P-Parametri'!$B$6*B871))+MIN(MAX(0,G870-(MAX(0,B836-IF($A871&gt;='1-Input'!$C$12,'1-Input'!$B$12,0))-MIN(MAX(F870,0),MAX(0,B836-IF($A871&gt;='1-Input'!$C$12,'1-Input'!$B$12,0))))*(1/(1-'P-Parametri'!$B$6*B871))),MAX(0,2*B836-(F870-MIN(MAX(F870,0),MAX(0,B836-IF($A871&gt;='1-Input'!$C$12,'1-Input'!$B$12,0)))))*(1/(1-'P-Parametri'!$B$6*B871))))</f>
        <v>6906.6854218926992</v>
      </c>
      <c r="D871" s="18">
        <f>IF($A871&gt;('1-Input'!$B$26+3),F870,(F870-MAX(0,B836-IF($A871&gt;='1-Input'!$C$12,'1-Input'!$B$12,0))+C871*(1-'P-Parametri'!$B$6*B871))*(1+'1-Input'!$B$27))</f>
        <v>33242.0070309863</v>
      </c>
      <c r="E871" s="18">
        <f>IF($A871&gt;('1-Input'!$B$26+3),G870,(G870-C871)*(1+'5-Roberta'!$C$4))</f>
        <v>139631.9394636731</v>
      </c>
      <c r="F871" s="18">
        <f>IF($A871&gt;('1-Input'!$B$26+3),D871,D871-'P-Parametri'!$B$8*(E871+D871)+MIN(MAX(E871,0),'P-Parametri'!$B$8*(E871+D871)))</f>
        <v>33242.0070309863</v>
      </c>
      <c r="G871" s="18">
        <f>IF($A871&gt;('1-Input'!$B$26+3),E871,E871-MIN(MAX(E871,0),'P-Parametri'!$B$8*(E871+D871)))</f>
        <v>139286.19157068379</v>
      </c>
      <c r="H871" s="18">
        <f>IF($A871&gt;('1-Input'!$B$26+3),H870,H870-C871*(1-B871))</f>
        <v>44405.644852154161</v>
      </c>
      <c r="I871" s="11">
        <f>IF($A871&gt;('1-Input'!$B$26+3),0,IF(N870&lt;=0,0,MAX(0,(N870-O870)/N870)))</f>
        <v>0</v>
      </c>
      <c r="J871" s="18">
        <f>IF($A871&gt;('1-Input'!$B$26+3),0,(MAX(0,I836-IF($A871&gt;='1-Input'!$C$12,'1-Input'!$B$12,0))-MIN(MAX(M870,0),MAX(0,I836-IF($A871&gt;='1-Input'!$C$12,'1-Input'!$B$12,0))))*(1/(1-'P-Parametri'!$B$6*I871))+MIN(MAX(0,N870-(MAX(0,I836-IF($A871&gt;='1-Input'!$C$12,'1-Input'!$B$12,0))-MIN(MAX(M870,0),MAX(0,I836-IF($A871&gt;='1-Input'!$C$12,'1-Input'!$B$12,0))))*(1/(1-'P-Parametri'!$B$6*I871))),MAX(0,2*I836-(M870-MIN(MAX(M870,0),MAX(0,I836-IF($A871&gt;='1-Input'!$C$12,'1-Input'!$B$12,0)))))*(1/(1-'P-Parametri'!$B$6*I871))))</f>
        <v>10846.756992928691</v>
      </c>
      <c r="K871" s="18">
        <f>IF($A871&gt;('1-Input'!$B$26+3),M870,(M870-MAX(0,I836-IF($A871&gt;='1-Input'!$C$12,'1-Input'!$B$12,0))+J871*(1-'P-Parametri'!$B$6*I871))*(1+'1-Input'!$B$27))</f>
        <v>0</v>
      </c>
      <c r="L871" s="18">
        <f>IF($A871&gt;('1-Input'!$B$26+3),N870,(N870-J871)*(1+'5-Roberta'!$C$4))</f>
        <v>-118083.13388849307</v>
      </c>
      <c r="M871" s="18">
        <f>IF($A871&gt;('1-Input'!$B$26+3),K871,K871-'P-Parametri'!$B$8*(L871+K871)+MIN(MAX(L871,0),'P-Parametri'!$B$8*(L871+K871)))</f>
        <v>0</v>
      </c>
      <c r="N871" s="18">
        <f>IF($A871&gt;('1-Input'!$B$26+3),L871,L871-MIN(MAX(L871,0),'P-Parametri'!$B$8*(L871+K871)))</f>
        <v>-117846.96762071608</v>
      </c>
      <c r="O871" s="18">
        <f>IF($A871&gt;('1-Input'!$B$26+3),O870,O870-J871*(1-I871))</f>
        <v>-101812.0641860161</v>
      </c>
      <c r="P871" s="11">
        <f>IF($A871&gt;('1-Input'!$B$26+3),0,IF(U870&lt;=0,0,MAX(0,(U870-V870)/U870)))</f>
        <v>0.67091546673545244</v>
      </c>
      <c r="Q871" s="18">
        <f>IF($A871&gt;('1-Input'!$B$26+3),0,(MAX(0,P836-IF($A871&gt;='1-Input'!$C$12,'1-Input'!$B$12,0))-MIN(MAX(T870,0),MAX(0,P836-IF($A871&gt;='1-Input'!$C$12,'1-Input'!$B$12,0))))*(1/(1-'P-Parametri'!$B$6*P871))+MIN(MAX(0,U870-(MAX(0,P836-IF($A871&gt;='1-Input'!$C$12,'1-Input'!$B$12,0))-MIN(MAX(T870,0),MAX(0,P836-IF($A871&gt;='1-Input'!$C$12,'1-Input'!$B$12,0))))*(1/(1-'P-Parametri'!$B$6*P871))),MAX(0,2*P836-(T870-MIN(MAX(T870,0),MAX(0,P836-IF($A871&gt;='1-Input'!$C$12,'1-Input'!$B$12,0)))))*(1/(1-'P-Parametri'!$B$6*P871))))</f>
        <v>8339.9140943402581</v>
      </c>
      <c r="R871" s="18">
        <f>IF($A871&gt;('1-Input'!$B$26+3),T870,(T870-MAX(0,P836-IF($A871&gt;='1-Input'!$C$12,'1-Input'!$B$12,0))+Q871*(1-'P-Parametri'!$B$6*P871))*(1+'1-Input'!$B$27))</f>
        <v>35588.487617059305</v>
      </c>
      <c r="S871" s="18">
        <f>IF($A871&gt;('1-Input'!$B$26+3),U870,(U870-Q871)*(1+'5-Roberta'!$C$4))</f>
        <v>60266.51209464141</v>
      </c>
      <c r="T871" s="18">
        <f>IF($A871&gt;('1-Input'!$B$26+3),R871,R871-'P-Parametri'!$B$8*(S871+R871)+MIN(MAX(S871,0),'P-Parametri'!$B$8*(S871+R871)))</f>
        <v>35588.487617059305</v>
      </c>
      <c r="U871" s="18">
        <f>IF($A871&gt;('1-Input'!$B$26+3),S871,S871-MIN(MAX(S871,0),'P-Parametri'!$B$8*(S871+R871)))</f>
        <v>60074.802095218009</v>
      </c>
      <c r="V871" s="18">
        <f>IF($A871&gt;('1-Input'!$B$26+3),V870,V870-Q871*(1-P871))</f>
        <v>19255.123304997353</v>
      </c>
      <c r="W871" s="11">
        <f>IF($A871&gt;('1-Input'!$B$26+3),0,IF(AB870&lt;=0,0,MAX(0,(AB870-AC870)/AB870)))</f>
        <v>0.67122627406025237</v>
      </c>
      <c r="X871" s="18">
        <f>IF($A871&gt;('1-Input'!$B$26+3),0,(MAX(0,W836-IF($A871&gt;='1-Input'!$C$12,'1-Input'!$B$12,0))-MIN(MAX(AA870,0),MAX(0,W836-IF($A871&gt;='1-Input'!$C$12,'1-Input'!$B$12,0))))*(1/(1-'P-Parametri'!$B$6*W871))+MIN(MAX(0,AB870-(MAX(0,W836-IF($A871&gt;='1-Input'!$C$12,'1-Input'!$B$12,0))-MIN(MAX(AA870,0),MAX(0,W836-IF($A871&gt;='1-Input'!$C$12,'1-Input'!$B$12,0))))*(1/(1-'P-Parametri'!$B$6*W871))),MAX(0,2*W836-(AA870-MIN(MAX(AA870,0),MAX(0,W836-IF($A871&gt;='1-Input'!$C$12,'1-Input'!$B$12,0)))))*(1/(1-'P-Parametri'!$B$6*W871))))</f>
        <v>8144.7216646481984</v>
      </c>
      <c r="Y871" s="18">
        <f>IF($A871&gt;('1-Input'!$B$26+3),AA870,(AA870-MAX(0,W836-IF($A871&gt;='1-Input'!$C$12,'1-Input'!$B$12,0))+X871*(1-'P-Parametri'!$B$6*W871))*(1+'1-Input'!$B$27))</f>
        <v>35268.354303294887</v>
      </c>
      <c r="Z871" s="18">
        <f>IF($A871&gt;('1-Input'!$B$26+3),AB870,(AB870-X871)*(1+'5-Roberta'!$C$4))</f>
        <v>71091.92047489062</v>
      </c>
      <c r="AA871" s="18">
        <f>IF($A871&gt;('1-Input'!$B$26+3),Y871,Y871-'P-Parametri'!$B$8*(Z871+Y871)+MIN(MAX(Z871,0),'P-Parametri'!$B$8*(Z871+Y871)))</f>
        <v>35268.354303294887</v>
      </c>
      <c r="AB871" s="18">
        <f>IF($A871&gt;('1-Input'!$B$26+3),Z871,Z871-MIN(MAX(Z871,0),'P-Parametri'!$B$8*(Z871+Y871)))</f>
        <v>70879.199925334251</v>
      </c>
      <c r="AC871" s="18">
        <f>IF($A871&gt;('1-Input'!$B$26+3),AC870,AC870-X871*(1-W871))</f>
        <v>22692.384057031093</v>
      </c>
      <c r="AD871" s="11">
        <f>IF($A871&gt;('1-Input'!$B$26+3),0,IF(AI870&lt;=0,0,MAX(0,(AI870-AJ870)/AI870)))</f>
        <v>0.67124810228870602</v>
      </c>
      <c r="AE871" s="18">
        <f>IF($A871&gt;('1-Input'!$B$26+3),0,(MAX(0,AD836-IF($A871&gt;='1-Input'!$C$12,'1-Input'!$B$12,0))-MIN(MAX(AH870,0),MAX(0,AD836-IF($A871&gt;='1-Input'!$C$12,'1-Input'!$B$12,0))))*(1/(1-'P-Parametri'!$B$6*AD871))+MIN(MAX(0,AI870-(MAX(0,AD836-IF($A871&gt;='1-Input'!$C$12,'1-Input'!$B$12,0))-MIN(MAX(AH870,0),MAX(0,AD836-IF($A871&gt;='1-Input'!$C$12,'1-Input'!$B$12,0))))*(1/(1-'P-Parametri'!$B$6*AD871))),MAX(0,2*AD836-(AH870-MIN(MAX(AH870,0),MAX(0,AD836-IF($A871&gt;='1-Input'!$C$12,'1-Input'!$B$12,0)))))*(1/(1-'P-Parametri'!$B$6*AD871))))</f>
        <v>8129.648856505758</v>
      </c>
      <c r="AF871" s="18">
        <f>IF($A871&gt;('1-Input'!$B$26+3),AH870,(AH870-MAX(0,AD836-IF($A871&gt;='1-Input'!$C$12,'1-Input'!$B$12,0))+AE871*(1-'P-Parametri'!$B$6*AD871))*(1+'1-Input'!$B$27))</f>
        <v>35243.64521006601</v>
      </c>
      <c r="AG871" s="18">
        <f>IF($A871&gt;('1-Input'!$B$26+3),AI870,(AI870-AE871)*(1+'5-Roberta'!$C$4))</f>
        <v>71927.51050008813</v>
      </c>
      <c r="AH871" s="18">
        <f>IF($A871&gt;('1-Input'!$B$26+3),AF871,AF871-'P-Parametri'!$B$8*(AG871+AF871)+MIN(MAX(AG871,0),'P-Parametri'!$B$8*(AG871+AF871)))</f>
        <v>35243.64521006601</v>
      </c>
      <c r="AI871" s="18">
        <f>IF($A871&gt;('1-Input'!$B$26+3),AG871,AG871-MIN(MAX(AG871,0),'P-Parametri'!$B$8*(AG871+AF871)))</f>
        <v>71713.168188667827</v>
      </c>
      <c r="AJ871" s="18">
        <f>IF($A871&gt;('1-Input'!$B$26+3),AJ870,AJ870-AE871*(1-AD871))</f>
        <v>22957.578227721355</v>
      </c>
      <c r="AK871" s="11">
        <f>IF($A871&gt;('1-Input'!$B$26+3),0,IF(AP870&lt;=0,0,MAX(0,(AP870-AQ870)/AP870)))</f>
        <v>0.67124805400019438</v>
      </c>
      <c r="AL871" s="18">
        <f>IF($A871&gt;('1-Input'!$B$26+3),0,(MAX(0,AK836-IF($A871&gt;='1-Input'!$C$12,'1-Input'!$B$12,0))-MIN(MAX(AO870,0),MAX(0,AK836-IF($A871&gt;='1-Input'!$C$12,'1-Input'!$B$12,0))))*(1/(1-'P-Parametri'!$B$6*AK871))+MIN(MAX(0,AP870-(MAX(0,AK836-IF($A871&gt;='1-Input'!$C$12,'1-Input'!$B$12,0))-MIN(MAX(AO870,0),MAX(0,AK836-IF($A871&gt;='1-Input'!$C$12,'1-Input'!$B$12,0))))*(1/(1-'P-Parametri'!$B$6*AK871))),MAX(0,2*AK836-(AO870-MIN(MAX(AO870,0),MAX(0,AK836-IF($A871&gt;='1-Input'!$C$12,'1-Input'!$B$12,0)))))*(1/(1-'P-Parametri'!$B$6*AK871))))</f>
        <v>8129.6824136790156</v>
      </c>
      <c r="AM871" s="18">
        <f>IF($A871&gt;('1-Input'!$B$26+3),AO870,(AO870-MAX(0,AK836-IF($A871&gt;='1-Input'!$C$12,'1-Input'!$B$12,0))+AL871*(1-'P-Parametri'!$B$6*AK871))*(1+'1-Input'!$B$27))</f>
        <v>35243.700219205675</v>
      </c>
      <c r="AN871" s="18">
        <f>IF($A871&gt;('1-Input'!$B$26+3),AP870,(AP870-AL871)*(1+'5-Roberta'!$C$4))</f>
        <v>71925.650243587239</v>
      </c>
      <c r="AO871" s="18">
        <f>IF($A871&gt;('1-Input'!$B$26+3),AM871,AM871-'P-Parametri'!$B$8*(AN871+AM871)+MIN(MAX(AN871,0),'P-Parametri'!$B$8*(AN871+AM871)))</f>
        <v>35243.700219205675</v>
      </c>
      <c r="AP871" s="18">
        <f>IF($A871&gt;('1-Input'!$B$26+3),AN871,AN871-MIN(MAX(AN871,0),'P-Parametri'!$B$8*(AN871+AM871)))</f>
        <v>71711.311542661657</v>
      </c>
      <c r="AQ871" s="18">
        <f>IF($A871&gt;('1-Input'!$B$26+3),AQ870,AQ870-AL871*(1-AK871))</f>
        <v>22956.987849398727</v>
      </c>
    </row>
    <row r="872" spans="1:43">
      <c r="A872" s="10">
        <f>34</f>
        <v>34</v>
      </c>
      <c r="B872" s="11">
        <f>IF($A872&gt;('1-Input'!$B$26+3),0,IF(G871&lt;=0,0,MAX(0,(G871-H871)/G871)))</f>
        <v>0.68119133453642056</v>
      </c>
      <c r="C872" s="18">
        <f>IF($A872&gt;('1-Input'!$B$26+3),0,(MAX(0,B836-IF($A872&gt;='1-Input'!$C$12,'1-Input'!$B$12,0))-MIN(MAX(F871,0),MAX(0,B836-IF($A872&gt;='1-Input'!$C$12,'1-Input'!$B$12,0))))*(1/(1-'P-Parametri'!$B$6*B872))+MIN(MAX(0,G871-(MAX(0,B836-IF($A872&gt;='1-Input'!$C$12,'1-Input'!$B$12,0))-MIN(MAX(F871,0),MAX(0,B836-IF($A872&gt;='1-Input'!$C$12,'1-Input'!$B$12,0))))*(1/(1-'P-Parametri'!$B$6*B872))),MAX(0,2*B836-(F871-MIN(MAX(F871,0),MAX(0,B836-IF($A872&gt;='1-Input'!$C$12,'1-Input'!$B$12,0)))))*(1/(1-'P-Parametri'!$B$6*B872))))</f>
        <v>6925.7824989074415</v>
      </c>
      <c r="D872" s="18">
        <f>IF($A872&gt;('1-Input'!$B$26+3),F871,(F871-MAX(0,B836-IF($A872&gt;='1-Input'!$C$12,'1-Input'!$B$12,0))+C872*(1-'P-Parametri'!$B$6*B872))*(1+'1-Input'!$B$27))</f>
        <v>33242.0070309863</v>
      </c>
      <c r="E872" s="18">
        <f>IF($A872&gt;('1-Input'!$B$26+3),G871,(G871-C872)*(1+'5-Roberta'!$C$4))</f>
        <v>136331.22134392965</v>
      </c>
      <c r="F872" s="18">
        <f>IF($A872&gt;('1-Input'!$B$26+3),D872,D872-'P-Parametri'!$B$8*(E872+D872)+MIN(MAX(E872,0),'P-Parametri'!$B$8*(E872+D872)))</f>
        <v>33242.0070309863</v>
      </c>
      <c r="G872" s="18">
        <f>IF($A872&gt;('1-Input'!$B$26+3),E872,E872-MIN(MAX(E872,0),'P-Parametri'!$B$8*(E872+D872)))</f>
        <v>135992.07488717983</v>
      </c>
      <c r="H872" s="18">
        <f>IF($A872&gt;('1-Input'!$B$26+3),H871,H871-C872*(1-B872))</f>
        <v>42197.645376386463</v>
      </c>
      <c r="I872" s="11">
        <f>IF($A872&gt;('1-Input'!$B$26+3),0,IF(N871&lt;=0,0,MAX(0,(N871-O871)/N871)))</f>
        <v>0</v>
      </c>
      <c r="J872" s="18">
        <f>IF($A872&gt;('1-Input'!$B$26+3),0,(MAX(0,I836-IF($A872&gt;='1-Input'!$C$12,'1-Input'!$B$12,0))-MIN(MAX(M871,0),MAX(0,I836-IF($A872&gt;='1-Input'!$C$12,'1-Input'!$B$12,0))))*(1/(1-'P-Parametri'!$B$6*I872))+MIN(MAX(0,N871-(MAX(0,I836-IF($A872&gt;='1-Input'!$C$12,'1-Input'!$B$12,0))-MIN(MAX(M871,0),MAX(0,I836-IF($A872&gt;='1-Input'!$C$12,'1-Input'!$B$12,0))))*(1/(1-'P-Parametri'!$B$6*I872))),MAX(0,2*I836-(M871-MIN(MAX(M871,0),MAX(0,I836-IF($A872&gt;='1-Input'!$C$12,'1-Input'!$B$12,0)))))*(1/(1-'P-Parametri'!$B$6*I872))))</f>
        <v>10846.756992928691</v>
      </c>
      <c r="K872" s="18">
        <f>IF($A872&gt;('1-Input'!$B$26+3),M871,(M871-MAX(0,I836-IF($A872&gt;='1-Input'!$C$12,'1-Input'!$B$12,0))+J872*(1-'P-Parametri'!$B$6*I872))*(1+'1-Input'!$B$27))</f>
        <v>0</v>
      </c>
      <c r="L872" s="18">
        <f>IF($A872&gt;('1-Input'!$B$26+3),N871,(N871-J872)*(1+'5-Roberta'!$C$4))</f>
        <v>-132554.5363520541</v>
      </c>
      <c r="M872" s="18">
        <f>IF($A872&gt;('1-Input'!$B$26+3),K872,K872-'P-Parametri'!$B$8*(L872+K872)+MIN(MAX(L872,0),'P-Parametri'!$B$8*(L872+K872)))</f>
        <v>0</v>
      </c>
      <c r="N872" s="18">
        <f>IF($A872&gt;('1-Input'!$B$26+3),L872,L872-MIN(MAX(L872,0),'P-Parametri'!$B$8*(L872+K872)))</f>
        <v>-132289.42727935</v>
      </c>
      <c r="O872" s="18">
        <f>IF($A872&gt;('1-Input'!$B$26+3),O871,O871-J872*(1-I872))</f>
        <v>-112658.82117894478</v>
      </c>
      <c r="P872" s="11">
        <f>IF($A872&gt;('1-Input'!$B$26+3),0,IF(U871&lt;=0,0,MAX(0,(U871-V871)/U871)))</f>
        <v>0.67948086995812051</v>
      </c>
      <c r="Q872" s="18">
        <f>IF($A872&gt;('1-Input'!$B$26+3),0,(MAX(0,P836-IF($A872&gt;='1-Input'!$C$12,'1-Input'!$B$12,0))-MIN(MAX(T871,0),MAX(0,P836-IF($A872&gt;='1-Input'!$C$12,'1-Input'!$B$12,0))))*(1/(1-'P-Parametri'!$B$6*P872))+MIN(MAX(0,U871-(MAX(0,P836-IF($A872&gt;='1-Input'!$C$12,'1-Input'!$B$12,0))-MIN(MAX(T871,0),MAX(0,P836-IF($A872&gt;='1-Input'!$C$12,'1-Input'!$B$12,0))))*(1/(1-'P-Parametri'!$B$6*P872))),MAX(0,2*P836-(T871-MIN(MAX(T871,0),MAX(0,P836-IF($A872&gt;='1-Input'!$C$12,'1-Input'!$B$12,0)))))*(1/(1-'P-Parametri'!$B$6*P872))))</f>
        <v>8362.4723842544427</v>
      </c>
      <c r="R872" s="18">
        <f>IF($A872&gt;('1-Input'!$B$26+3),T871,(T871-MAX(0,P836-IF($A872&gt;='1-Input'!$C$12,'1-Input'!$B$12,0))+Q872*(1-'P-Parametri'!$B$6*P872))*(1+'1-Input'!$B$27))</f>
        <v>35588.487617059305</v>
      </c>
      <c r="S872" s="18">
        <f>IF($A872&gt;('1-Input'!$B$26+3),U871,(U871-Q872)*(1+'5-Roberta'!$C$4))</f>
        <v>53263.69960229248</v>
      </c>
      <c r="T872" s="18">
        <f>IF($A872&gt;('1-Input'!$B$26+3),R872,R872-'P-Parametri'!$B$8*(S872+R872)+MIN(MAX(S872,0),'P-Parametri'!$B$8*(S872+R872)))</f>
        <v>35588.487617059305</v>
      </c>
      <c r="U872" s="18">
        <f>IF($A872&gt;('1-Input'!$B$26+3),S872,S872-MIN(MAX(S872,0),'P-Parametri'!$B$8*(S872+R872)))</f>
        <v>53085.995227853775</v>
      </c>
      <c r="V872" s="18">
        <f>IF($A872&gt;('1-Input'!$B$26+3),V871,V871-Q872*(1-P872))</f>
        <v>16574.790931396878</v>
      </c>
      <c r="W872" s="11">
        <f>IF($A872&gt;('1-Input'!$B$26+3),0,IF(AB871&lt;=0,0,MAX(0,(AB871-AC871)/AB871)))</f>
        <v>0.67984424089245132</v>
      </c>
      <c r="X872" s="18">
        <f>IF($A872&gt;('1-Input'!$B$26+3),0,(MAX(0,W836-IF($A872&gt;='1-Input'!$C$12,'1-Input'!$B$12,0))-MIN(MAX(AA871,0),MAX(0,W836-IF($A872&gt;='1-Input'!$C$12,'1-Input'!$B$12,0))))*(1/(1-'P-Parametri'!$B$6*W872))+MIN(MAX(0,AB871-(MAX(0,W836-IF($A872&gt;='1-Input'!$C$12,'1-Input'!$B$12,0))-MIN(MAX(AA871,0),MAX(0,W836-IF($A872&gt;='1-Input'!$C$12,'1-Input'!$B$12,0))))*(1/(1-'P-Parametri'!$B$6*W872))),MAX(0,2*W836-(AA871-MIN(MAX(AA871,0),MAX(0,W836-IF($A872&gt;='1-Input'!$C$12,'1-Input'!$B$12,0)))))*(1/(1-'P-Parametri'!$B$6*W872))))</f>
        <v>8166.8897246025372</v>
      </c>
      <c r="Y872" s="18">
        <f>IF($A872&gt;('1-Input'!$B$26+3),AA871,(AA871-MAX(0,W836-IF($A872&gt;='1-Input'!$C$12,'1-Input'!$B$12,0))+X872*(1-'P-Parametri'!$B$6*W872))*(1+'1-Input'!$B$27))</f>
        <v>35268.354303294887</v>
      </c>
      <c r="Z872" s="18">
        <f>IF($A872&gt;('1-Input'!$B$26+3),AB871,(AB871-X872)*(1+'5-Roberta'!$C$4))</f>
        <v>64593.679506753666</v>
      </c>
      <c r="AA872" s="18">
        <f>IF($A872&gt;('1-Input'!$B$26+3),Y872,Y872-'P-Parametri'!$B$8*(Z872+Y872)+MIN(MAX(Z872,0),'P-Parametri'!$B$8*(Z872+Y872)))</f>
        <v>35268.354303294887</v>
      </c>
      <c r="AB872" s="18">
        <f>IF($A872&gt;('1-Input'!$B$26+3),Z872,Z872-MIN(MAX(Z872,0),'P-Parametri'!$B$8*(Z872+Y872)))</f>
        <v>64393.95543913357</v>
      </c>
      <c r="AC872" s="18">
        <f>IF($A872&gt;('1-Input'!$B$26+3),AC871,AC871-X872*(1-W872))</f>
        <v>20077.707277703328</v>
      </c>
      <c r="AD872" s="11">
        <f>IF($A872&gt;('1-Input'!$B$26+3),0,IF(AI871&lt;=0,0,MAX(0,(AI871-AJ871)/AI871)))</f>
        <v>0.67986941857982042</v>
      </c>
      <c r="AE872" s="18">
        <f>IF($A872&gt;('1-Input'!$B$26+3),0,(MAX(0,AD836-IF($A872&gt;='1-Input'!$C$12,'1-Input'!$B$12,0))-MIN(MAX(AH871,0),MAX(0,AD836-IF($A872&gt;='1-Input'!$C$12,'1-Input'!$B$12,0))))*(1/(1-'P-Parametri'!$B$6*AD872))+MIN(MAX(0,AI871-(MAX(0,AD836-IF($A872&gt;='1-Input'!$C$12,'1-Input'!$B$12,0))-MIN(MAX(AH871,0),MAX(0,AD836-IF($A872&gt;='1-Input'!$C$12,'1-Input'!$B$12,0))))*(1/(1-'P-Parametri'!$B$6*AD872))),MAX(0,2*AD836-(AH871-MIN(MAX(AH871,0),MAX(0,AD836-IF($A872&gt;='1-Input'!$C$12,'1-Input'!$B$12,0)))))*(1/(1-'P-Parametri'!$B$6*AD872))))</f>
        <v>8151.7846676531262</v>
      </c>
      <c r="AF872" s="18">
        <f>IF($A872&gt;('1-Input'!$B$26+3),AH871,(AH871-MAX(0,AD836-IF($A872&gt;='1-Input'!$C$12,'1-Input'!$B$12,0))+AE872*(1-'P-Parametri'!$B$6*AD872))*(1+'1-Input'!$B$27))</f>
        <v>35243.64521006601</v>
      </c>
      <c r="AG872" s="18">
        <f>IF($A872&gt;('1-Input'!$B$26+3),AI871,(AI871-AE872)*(1+'5-Roberta'!$C$4))</f>
        <v>65468.225026645145</v>
      </c>
      <c r="AH872" s="18">
        <f>IF($A872&gt;('1-Input'!$B$26+3),AF872,AF872-'P-Parametri'!$B$8*(AG872+AF872)+MIN(MAX(AG872,0),'P-Parametri'!$B$8*(AG872+AF872)))</f>
        <v>35243.64521006601</v>
      </c>
      <c r="AI872" s="18">
        <f>IF($A872&gt;('1-Input'!$B$26+3),AG872,AG872-MIN(MAX(AG872,0),'P-Parametri'!$B$8*(AG872+AF872)))</f>
        <v>65266.801286171722</v>
      </c>
      <c r="AJ872" s="18">
        <f>IF($A872&gt;('1-Input'!$B$26+3),AJ871,AJ871-AE872*(1-AD872))</f>
        <v>20347.942662453454</v>
      </c>
      <c r="AK872" s="11">
        <f>IF($A872&gt;('1-Input'!$B$26+3),0,IF(AP871&lt;=0,0,MAX(0,(AP871-AQ871)/AP871)))</f>
        <v>0.6798693629283098</v>
      </c>
      <c r="AL872" s="18">
        <f>IF($A872&gt;('1-Input'!$B$26+3),0,(MAX(0,AK836-IF($A872&gt;='1-Input'!$C$12,'1-Input'!$B$12,0))-MIN(MAX(AO871,0),MAX(0,AK836-IF($A872&gt;='1-Input'!$C$12,'1-Input'!$B$12,0))))*(1/(1-'P-Parametri'!$B$6*AK872))+MIN(MAX(0,AP871-(MAX(0,AK836-IF($A872&gt;='1-Input'!$C$12,'1-Input'!$B$12,0))-MIN(MAX(AO871,0),MAX(0,AK836-IF($A872&gt;='1-Input'!$C$12,'1-Input'!$B$12,0))))*(1/(1-'P-Parametri'!$B$6*AK872))),MAX(0,2*AK836-(AO871-MIN(MAX(AO871,0),MAX(0,AK836-IF($A872&gt;='1-Input'!$C$12,'1-Input'!$B$12,0)))))*(1/(1-'P-Parametri'!$B$6*AK872))))</f>
        <v>8151.8182969033787</v>
      </c>
      <c r="AM872" s="18">
        <f>IF($A872&gt;('1-Input'!$B$26+3),AO871,(AO871-MAX(0,AK836-IF($A872&gt;='1-Input'!$C$12,'1-Input'!$B$12,0))+AL872*(1-'P-Parametri'!$B$6*AK872))*(1+'1-Input'!$B$27))</f>
        <v>35243.700219205675</v>
      </c>
      <c r="AN872" s="18">
        <f>IF($A872&gt;('1-Input'!$B$26+3),AP871,(AP871-AL872)*(1+'5-Roberta'!$C$4))</f>
        <v>65466.278043131024</v>
      </c>
      <c r="AO872" s="18">
        <f>IF($A872&gt;('1-Input'!$B$26+3),AM872,AM872-'P-Parametri'!$B$8*(AN872+AM872)+MIN(MAX(AN872,0),'P-Parametri'!$B$8*(AN872+AM872)))</f>
        <v>35243.700219205675</v>
      </c>
      <c r="AP872" s="18">
        <f>IF($A872&gt;('1-Input'!$B$26+3),AN872,AN872-MIN(MAX(AN872,0),'P-Parametri'!$B$8*(AN872+AM872)))</f>
        <v>65264.858086606349</v>
      </c>
      <c r="AQ872" s="18">
        <f>IF($A872&gt;('1-Input'!$B$26+3),AQ871,AQ871-AL872*(1-AK872))</f>
        <v>20347.341064718388</v>
      </c>
    </row>
    <row r="873" spans="1:43">
      <c r="A873" s="10">
        <f>35</f>
        <v>35</v>
      </c>
      <c r="B873" s="11">
        <f>IF($A873&gt;('1-Input'!$B$26+3),0,IF(G872&lt;=0,0,MAX(0,(G872-H872)/G872)))</f>
        <v>0.68970511398260526</v>
      </c>
      <c r="C873" s="18">
        <f>IF($A873&gt;('1-Input'!$B$26+3),0,(MAX(0,B836-IF($A873&gt;='1-Input'!$C$12,'1-Input'!$B$12,0))-MIN(MAX(F872,0),MAX(0,B836-IF($A873&gt;='1-Input'!$C$12,'1-Input'!$B$12,0))))*(1/(1-'P-Parametri'!$B$6*B873))+MIN(MAX(0,G872-(MAX(0,B836-IF($A873&gt;='1-Input'!$C$12,'1-Input'!$B$12,0))-MIN(MAX(F872,0),MAX(0,B836-IF($A873&gt;='1-Input'!$C$12,'1-Input'!$B$12,0))))*(1/(1-'P-Parametri'!$B$6*B873))),MAX(0,2*B836-(F872-MIN(MAX(F872,0),MAX(0,B836-IF($A873&gt;='1-Input'!$C$12,'1-Input'!$B$12,0)))))*(1/(1-'P-Parametri'!$B$6*B873))))</f>
        <v>6944.463171299476</v>
      </c>
      <c r="D873" s="18">
        <f>IF($A873&gt;('1-Input'!$B$26+3),F872,(F872-MAX(0,B836-IF($A873&gt;='1-Input'!$C$12,'1-Input'!$B$12,0))+C873*(1-'P-Parametri'!$B$6*B873))*(1+'1-Input'!$B$27))</f>
        <v>33242.0070309863</v>
      </c>
      <c r="E873" s="18">
        <f>IF($A873&gt;('1-Input'!$B$26+3),G872,(G872-C873)*(1+'5-Roberta'!$C$4))</f>
        <v>132919.04006735678</v>
      </c>
      <c r="F873" s="18">
        <f>IF($A873&gt;('1-Input'!$B$26+3),D873,D873-'P-Parametri'!$B$8*(E873+D873)+MIN(MAX(E873,0),'P-Parametri'!$B$8*(E873+D873)))</f>
        <v>33242.0070309863</v>
      </c>
      <c r="G873" s="18">
        <f>IF($A873&gt;('1-Input'!$B$26+3),E873,E873-MIN(MAX(E873,0),'P-Parametri'!$B$8*(E873+D873)))</f>
        <v>132586.71797316009</v>
      </c>
      <c r="H873" s="18">
        <f>IF($A873&gt;('1-Input'!$B$26+3),H872,H872-C873*(1-B873))</f>
        <v>40042.813968196097</v>
      </c>
      <c r="I873" s="11">
        <f>IF($A873&gt;('1-Input'!$B$26+3),0,IF(N872&lt;=0,0,MAX(0,(N872-O872)/N872)))</f>
        <v>0</v>
      </c>
      <c r="J873" s="18">
        <f>IF($A873&gt;('1-Input'!$B$26+3),0,(MAX(0,I836-IF($A873&gt;='1-Input'!$C$12,'1-Input'!$B$12,0))-MIN(MAX(M872,0),MAX(0,I836-IF($A873&gt;='1-Input'!$C$12,'1-Input'!$B$12,0))))*(1/(1-'P-Parametri'!$B$6*I873))+MIN(MAX(0,N872-(MAX(0,I836-IF($A873&gt;='1-Input'!$C$12,'1-Input'!$B$12,0))-MIN(MAX(M872,0),MAX(0,I836-IF($A873&gt;='1-Input'!$C$12,'1-Input'!$B$12,0))))*(1/(1-'P-Parametri'!$B$6*I873))),MAX(0,2*I836-(M872-MIN(MAX(M872,0),MAX(0,I836-IF($A873&gt;='1-Input'!$C$12,'1-Input'!$B$12,0)))))*(1/(1-'P-Parametri'!$B$6*I873))))</f>
        <v>10846.756992928691</v>
      </c>
      <c r="K873" s="18">
        <f>IF($A873&gt;('1-Input'!$B$26+3),M872,(M872-MAX(0,I836-IF($A873&gt;='1-Input'!$C$12,'1-Input'!$B$12,0))+J873*(1-'P-Parametri'!$B$6*I873))*(1+'1-Input'!$B$27))</f>
        <v>0</v>
      </c>
      <c r="L873" s="18">
        <f>IF($A873&gt;('1-Input'!$B$26+3),N872,(N872-J873)*(1+'5-Roberta'!$C$4))</f>
        <v>-147430.26980044704</v>
      </c>
      <c r="M873" s="18">
        <f>IF($A873&gt;('1-Input'!$B$26+3),K873,K873-'P-Parametri'!$B$8*(L873+K873)+MIN(MAX(L873,0),'P-Parametri'!$B$8*(L873+K873)))</f>
        <v>0</v>
      </c>
      <c r="N873" s="18">
        <f>IF($A873&gt;('1-Input'!$B$26+3),L873,L873-MIN(MAX(L873,0),'P-Parametri'!$B$8*(L873+K873)))</f>
        <v>-147135.40926084615</v>
      </c>
      <c r="O873" s="18">
        <f>IF($A873&gt;('1-Input'!$B$26+3),O872,O872-J873*(1-I873))</f>
        <v>-123505.57817187347</v>
      </c>
      <c r="P873" s="11">
        <f>IF($A873&gt;('1-Input'!$B$26+3),0,IF(U872&lt;=0,0,MAX(0,(U872-V872)/U872)))</f>
        <v>0.68777469725762574</v>
      </c>
      <c r="Q873" s="18">
        <f>IF($A873&gt;('1-Input'!$B$26+3),0,(MAX(0,P836-IF($A873&gt;='1-Input'!$C$12,'1-Input'!$B$12,0))-MIN(MAX(T872,0),MAX(0,P836-IF($A873&gt;='1-Input'!$C$12,'1-Input'!$B$12,0))))*(1/(1-'P-Parametri'!$B$6*P873))+MIN(MAX(0,U872-(MAX(0,P836-IF($A873&gt;='1-Input'!$C$12,'1-Input'!$B$12,0))-MIN(MAX(T872,0),MAX(0,P836-IF($A873&gt;='1-Input'!$C$12,'1-Input'!$B$12,0))))*(1/(1-'P-Parametri'!$B$6*P873))),MAX(0,2*P836-(T872-MIN(MAX(T872,0),MAX(0,P836-IF($A873&gt;='1-Input'!$C$12,'1-Input'!$B$12,0)))))*(1/(1-'P-Parametri'!$B$6*P873))))</f>
        <v>8384.4320345947526</v>
      </c>
      <c r="R873" s="18">
        <f>IF($A873&gt;('1-Input'!$B$26+3),T872,(T872-MAX(0,P836-IF($A873&gt;='1-Input'!$C$12,'1-Input'!$B$12,0))+Q873*(1-'P-Parametri'!$B$6*P873))*(1+'1-Input'!$B$27))</f>
        <v>35588.487617059305</v>
      </c>
      <c r="S873" s="18">
        <f>IF($A873&gt;('1-Input'!$B$26+3),U872,(U872-Q873)*(1+'5-Roberta'!$C$4))</f>
        <v>46042.61008905679</v>
      </c>
      <c r="T873" s="18">
        <f>IF($A873&gt;('1-Input'!$B$26+3),R873,R873-'P-Parametri'!$B$8*(S873+R873)+MIN(MAX(S873,0),'P-Parametri'!$B$8*(S873+R873)))</f>
        <v>35588.487617059305</v>
      </c>
      <c r="U873" s="18">
        <f>IF($A873&gt;('1-Input'!$B$26+3),S873,S873-MIN(MAX(S873,0),'P-Parametri'!$B$8*(S873+R873)))</f>
        <v>45879.347893644561</v>
      </c>
      <c r="V873" s="18">
        <f>IF($A873&gt;('1-Input'!$B$26+3),V872,V872-Q873*(1-P873))</f>
        <v>13956.959101072669</v>
      </c>
      <c r="W873" s="11">
        <f>IF($A873&gt;('1-Input'!$B$26+3),0,IF(AB872&lt;=0,0,MAX(0,(AB872-AC872)/AB872)))</f>
        <v>0.68820509408400643</v>
      </c>
      <c r="X873" s="18">
        <f>IF($A873&gt;('1-Input'!$B$26+3),0,(MAX(0,W836-IF($A873&gt;='1-Input'!$C$12,'1-Input'!$B$12,0))-MIN(MAX(AA872,0),MAX(0,W836-IF($A873&gt;='1-Input'!$C$12,'1-Input'!$B$12,0))))*(1/(1-'P-Parametri'!$B$6*W873))+MIN(MAX(0,AB872-(MAX(0,W836-IF($A873&gt;='1-Input'!$C$12,'1-Input'!$B$12,0))-MIN(MAX(AA872,0),MAX(0,W836-IF($A873&gt;='1-Input'!$C$12,'1-Input'!$B$12,0))))*(1/(1-'P-Parametri'!$B$6*W873))),MAX(0,2*W836-(AA872-MIN(MAX(AA872,0),MAX(0,W836-IF($A873&gt;='1-Input'!$C$12,'1-Input'!$B$12,0)))))*(1/(1-'P-Parametri'!$B$6*W873))))</f>
        <v>8188.5120406626893</v>
      </c>
      <c r="Y873" s="18">
        <f>IF($A873&gt;('1-Input'!$B$26+3),AA872,(AA872-MAX(0,W836-IF($A873&gt;='1-Input'!$C$12,'1-Input'!$B$12,0))+X873*(1-'P-Parametri'!$B$6*W873))*(1+'1-Input'!$B$27))</f>
        <v>35268.354303294887</v>
      </c>
      <c r="Z873" s="18">
        <f>IF($A873&gt;('1-Input'!$B$26+3),AB872,(AB872-X873)*(1+'5-Roberta'!$C$4))</f>
        <v>57891.606700425007</v>
      </c>
      <c r="AA873" s="18">
        <f>IF($A873&gt;('1-Input'!$B$26+3),Y873,Y873-'P-Parametri'!$B$8*(Z873+Y873)+MIN(MAX(Z873,0),'P-Parametri'!$B$8*(Z873+Y873)))</f>
        <v>35268.354303294887</v>
      </c>
      <c r="AB873" s="18">
        <f>IF($A873&gt;('1-Input'!$B$26+3),Z873,Z873-MIN(MAX(Z873,0),'P-Parametri'!$B$8*(Z873+Y873)))</f>
        <v>57705.286778417569</v>
      </c>
      <c r="AC873" s="18">
        <f>IF($A873&gt;('1-Input'!$B$26+3),AC872,AC872-X873*(1-W873))</f>
        <v>17524.570936392924</v>
      </c>
      <c r="AD873" s="11">
        <f>IF($A873&gt;('1-Input'!$B$26+3),0,IF(AI872&lt;=0,0,MAX(0,(AI872-AJ872)/AI872)))</f>
        <v>0.68823441226673632</v>
      </c>
      <c r="AE873" s="18">
        <f>IF($A873&gt;('1-Input'!$B$26+3),0,(MAX(0,AD836-IF($A873&gt;='1-Input'!$C$12,'1-Input'!$B$12,0))-MIN(MAX(AH872,0),MAX(0,AD836-IF($A873&gt;='1-Input'!$C$12,'1-Input'!$B$12,0))))*(1/(1-'P-Parametri'!$B$6*AD873))+MIN(MAX(0,AI872-(MAX(0,AD836-IF($A873&gt;='1-Input'!$C$12,'1-Input'!$B$12,0))-MIN(MAX(AH872,0),MAX(0,AD836-IF($A873&gt;='1-Input'!$C$12,'1-Input'!$B$12,0))))*(1/(1-'P-Parametri'!$B$6*AD873))),MAX(0,2*AD836-(AH872-MIN(MAX(AH872,0),MAX(0,AD836-IF($A873&gt;='1-Input'!$C$12,'1-Input'!$B$12,0)))))*(1/(1-'P-Parametri'!$B$6*AD873))))</f>
        <v>8173.3778807510553</v>
      </c>
      <c r="AF873" s="18">
        <f>IF($A873&gt;('1-Input'!$B$26+3),AH872,(AH872-MAX(0,AD836-IF($A873&gt;='1-Input'!$C$12,'1-Input'!$B$12,0))+AE873*(1-'P-Parametri'!$B$6*AD873))*(1+'1-Input'!$B$27))</f>
        <v>35243.64521006601</v>
      </c>
      <c r="AG873" s="18">
        <f>IF($A873&gt;('1-Input'!$B$26+3),AI872,(AI872-AE873)*(1+'5-Roberta'!$C$4))</f>
        <v>58806.226107583287</v>
      </c>
      <c r="AH873" s="18">
        <f>IF($A873&gt;('1-Input'!$B$26+3),AF873,AF873-'P-Parametri'!$B$8*(AG873+AF873)+MIN(MAX(AG873,0),'P-Parametri'!$B$8*(AG873+AF873)))</f>
        <v>35243.64521006601</v>
      </c>
      <c r="AI873" s="18">
        <f>IF($A873&gt;('1-Input'!$B$26+3),AG873,AG873-MIN(MAX(AG873,0),'P-Parametri'!$B$8*(AG873+AF873)))</f>
        <v>58618.126364947988</v>
      </c>
      <c r="AJ873" s="18">
        <f>IF($A873&gt;('1-Input'!$B$26+3),AJ872,AJ872-AE873*(1-AD873))</f>
        <v>17799.764703695044</v>
      </c>
      <c r="AK873" s="11">
        <f>IF($A873&gt;('1-Input'!$B$26+3),0,IF(AP872&lt;=0,0,MAX(0,(AP872-AQ872)/AP872)))</f>
        <v>0.68823434753022061</v>
      </c>
      <c r="AL873" s="18">
        <f>IF($A873&gt;('1-Input'!$B$26+3),0,(MAX(0,AK836-IF($A873&gt;='1-Input'!$C$12,'1-Input'!$B$12,0))-MIN(MAX(AO872,0),MAX(0,AK836-IF($A873&gt;='1-Input'!$C$12,'1-Input'!$B$12,0))))*(1/(1-'P-Parametri'!$B$6*AK873))+MIN(MAX(0,AP872-(MAX(0,AK836-IF($A873&gt;='1-Input'!$C$12,'1-Input'!$B$12,0))-MIN(MAX(AO872,0),MAX(0,AK836-IF($A873&gt;='1-Input'!$C$12,'1-Input'!$B$12,0))))*(1/(1-'P-Parametri'!$B$6*AK873))),MAX(0,2*AK836-(AO872-MIN(MAX(AO872,0),MAX(0,AK836-IF($A873&gt;='1-Input'!$C$12,'1-Input'!$B$12,0)))))*(1/(1-'P-Parametri'!$B$6*AK873))))</f>
        <v>8173.4115751870359</v>
      </c>
      <c r="AM873" s="18">
        <f>IF($A873&gt;('1-Input'!$B$26+3),AO872,(AO872-MAX(0,AK836-IF($A873&gt;='1-Input'!$C$12,'1-Input'!$B$12,0))+AL873*(1-'P-Parametri'!$B$6*AK873))*(1+'1-Input'!$B$27))</f>
        <v>35243.700219205675</v>
      </c>
      <c r="AN873" s="18">
        <f>IF($A873&gt;('1-Input'!$B$26+3),AP872,(AP872-AL873)*(1+'5-Roberta'!$C$4))</f>
        <v>58804.189906761894</v>
      </c>
      <c r="AO873" s="18">
        <f>IF($A873&gt;('1-Input'!$B$26+3),AM873,AM873-'P-Parametri'!$B$8*(AN873+AM873)+MIN(MAX(AN873,0),'P-Parametri'!$B$8*(AN873+AM873)))</f>
        <v>35243.700219205675</v>
      </c>
      <c r="AP873" s="18">
        <f>IF($A873&gt;('1-Input'!$B$26+3),AN873,AN873-MIN(MAX(AN873,0),'P-Parametri'!$B$8*(AN873+AM873)))</f>
        <v>58616.094126509961</v>
      </c>
      <c r="AQ873" s="18">
        <f>IF($A873&gt;('1-Input'!$B$26+3),AQ872,AQ872-AL873*(1-AK873))</f>
        <v>17799.152072076155</v>
      </c>
    </row>
    <row r="874" spans="1:43">
      <c r="A874" s="10">
        <f>36</f>
        <v>36</v>
      </c>
      <c r="B874" s="11">
        <f>IF($A874&gt;('1-Input'!$B$26+3),0,IF(G873&lt;=0,0,MAX(0,(G873-H873)/G873)))</f>
        <v>0.69798774281220166</v>
      </c>
      <c r="C874" s="18">
        <f>IF($A874&gt;('1-Input'!$B$26+3),0,(MAX(0,B836-IF($A874&gt;='1-Input'!$C$12,'1-Input'!$B$12,0))-MIN(MAX(F873,0),MAX(0,B836-IF($A874&gt;='1-Input'!$C$12,'1-Input'!$B$12,0))))*(1/(1-'P-Parametri'!$B$6*B874))+MIN(MAX(0,G873-(MAX(0,B836-IF($A874&gt;='1-Input'!$C$12,'1-Input'!$B$12,0))-MIN(MAX(F873,0),MAX(0,B836-IF($A874&gt;='1-Input'!$C$12,'1-Input'!$B$12,0))))*(1/(1-'P-Parametri'!$B$6*B874))),MAX(0,2*B836-(F873-MIN(MAX(F873,0),MAX(0,B836-IF($A874&gt;='1-Input'!$C$12,'1-Input'!$B$12,0)))))*(1/(1-'P-Parametri'!$B$6*B874))))</f>
        <v>6962.7336211361671</v>
      </c>
      <c r="D874" s="18">
        <f>IF($A874&gt;('1-Input'!$B$26+3),F873,(F873-MAX(0,B836-IF($A874&gt;='1-Input'!$C$12,'1-Input'!$B$12,0))+C874*(1-'P-Parametri'!$B$6*B874))*(1+'1-Input'!$B$27))</f>
        <v>33242.0070309863</v>
      </c>
      <c r="E874" s="18">
        <f>IF($A874&gt;('1-Input'!$B$26+3),G873,(G873-C874)*(1+'5-Roberta'!$C$4))</f>
        <v>129392.70388258464</v>
      </c>
      <c r="F874" s="18">
        <f>IF($A874&gt;('1-Input'!$B$26+3),D874,D874-'P-Parametri'!$B$8*(E874+D874)+MIN(MAX(E874,0),'P-Parametri'!$B$8*(E874+D874)))</f>
        <v>33242.0070309863</v>
      </c>
      <c r="G874" s="18">
        <f>IF($A874&gt;('1-Input'!$B$26+3),E874,E874-MIN(MAX(E874,0),'P-Parametri'!$B$8*(E874+D874)))</f>
        <v>129067.4344607575</v>
      </c>
      <c r="H874" s="18">
        <f>IF($A874&gt;('1-Input'!$B$26+3),H873,H873-C874*(1-B874))</f>
        <v>37939.98307107939</v>
      </c>
      <c r="I874" s="11">
        <f>IF($A874&gt;('1-Input'!$B$26+3),0,IF(N873&lt;=0,0,MAX(0,(N873-O873)/N873)))</f>
        <v>0</v>
      </c>
      <c r="J874" s="18">
        <f>IF($A874&gt;('1-Input'!$B$26+3),0,(MAX(0,I836-IF($A874&gt;='1-Input'!$C$12,'1-Input'!$B$12,0))-MIN(MAX(M873,0),MAX(0,I836-IF($A874&gt;='1-Input'!$C$12,'1-Input'!$B$12,0))))*(1/(1-'P-Parametri'!$B$6*I874))+MIN(MAX(0,N873-(MAX(0,I836-IF($A874&gt;='1-Input'!$C$12,'1-Input'!$B$12,0))-MIN(MAX(M873,0),MAX(0,I836-IF($A874&gt;='1-Input'!$C$12,'1-Input'!$B$12,0))))*(1/(1-'P-Parametri'!$B$6*I874))),MAX(0,2*I836-(M873-MIN(MAX(M873,0),MAX(0,I836-IF($A874&gt;='1-Input'!$C$12,'1-Input'!$B$12,0)))))*(1/(1-'P-Parametri'!$B$6*I874))))</f>
        <v>10846.756992928691</v>
      </c>
      <c r="K874" s="18">
        <f>IF($A874&gt;('1-Input'!$B$26+3),M873,(M873-MAX(0,I836-IF($A874&gt;='1-Input'!$C$12,'1-Input'!$B$12,0))+J874*(1-'P-Parametri'!$B$6*I874))*(1+'1-Input'!$B$27))</f>
        <v>0</v>
      </c>
      <c r="L874" s="18">
        <f>IF($A874&gt;('1-Input'!$B$26+3),N873,(N873-J874)*(1+'5-Roberta'!$C$4))</f>
        <v>-162721.6312413881</v>
      </c>
      <c r="M874" s="18">
        <f>IF($A874&gt;('1-Input'!$B$26+3),K874,K874-'P-Parametri'!$B$8*(L874+K874)+MIN(MAX(L874,0),'P-Parametri'!$B$8*(L874+K874)))</f>
        <v>0</v>
      </c>
      <c r="N874" s="18">
        <f>IF($A874&gt;('1-Input'!$B$26+3),L874,L874-MIN(MAX(L874,0),'P-Parametri'!$B$8*(L874+K874)))</f>
        <v>-162396.18797890531</v>
      </c>
      <c r="O874" s="18">
        <f>IF($A874&gt;('1-Input'!$B$26+3),O873,O873-J874*(1-I874))</f>
        <v>-134352.33516480215</v>
      </c>
      <c r="P874" s="11">
        <f>IF($A874&gt;('1-Input'!$B$26+3),0,IF(U873&lt;=0,0,MAX(0,(U873-V873)/U873)))</f>
        <v>0.69578994162194585</v>
      </c>
      <c r="Q874" s="18">
        <f>IF($A874&gt;('1-Input'!$B$26+3),0,(MAX(0,P836-IF($A874&gt;='1-Input'!$C$12,'1-Input'!$B$12,0))-MIN(MAX(T873,0),MAX(0,P836-IF($A874&gt;='1-Input'!$C$12,'1-Input'!$B$12,0))))*(1/(1-'P-Parametri'!$B$6*P874))+MIN(MAX(0,U873-(MAX(0,P836-IF($A874&gt;='1-Input'!$C$12,'1-Input'!$B$12,0))-MIN(MAX(T873,0),MAX(0,P836-IF($A874&gt;='1-Input'!$C$12,'1-Input'!$B$12,0))))*(1/(1-'P-Parametri'!$B$6*P874))),MAX(0,2*P836-(T873-MIN(MAX(T873,0),MAX(0,P836-IF($A874&gt;='1-Input'!$C$12,'1-Input'!$B$12,0)))))*(1/(1-'P-Parametri'!$B$6*P874))))</f>
        <v>8405.7639421615695</v>
      </c>
      <c r="R874" s="18">
        <f>IF($A874&gt;('1-Input'!$B$26+3),T873,(T873-MAX(0,P836-IF($A874&gt;='1-Input'!$C$12,'1-Input'!$B$12,0))+Q874*(1-'P-Parametri'!$B$6*P874))*(1+'1-Input'!$B$27))</f>
        <v>35588.487617059305</v>
      </c>
      <c r="S874" s="18">
        <f>IF($A874&gt;('1-Input'!$B$26+3),U873,(U873-Q874)*(1+'5-Roberta'!$C$4))</f>
        <v>38597.791470027485</v>
      </c>
      <c r="T874" s="18">
        <f>IF($A874&gt;('1-Input'!$B$26+3),R874,R874-'P-Parametri'!$B$8*(S874+R874)+MIN(MAX(S874,0),'P-Parametri'!$B$8*(S874+R874)))</f>
        <v>35588.487617059305</v>
      </c>
      <c r="U874" s="18">
        <f>IF($A874&gt;('1-Input'!$B$26+3),S874,S874-MIN(MAX(S874,0),'P-Parametri'!$B$8*(S874+R874)))</f>
        <v>38449.41891185331</v>
      </c>
      <c r="V874" s="18">
        <f>IF($A874&gt;('1-Input'!$B$26+3),V873,V873-Q874*(1-P874))</f>
        <v>11399.841161515556</v>
      </c>
      <c r="W874" s="11">
        <f>IF($A874&gt;('1-Input'!$B$26+3),0,IF(AB873&lt;=0,0,MAX(0,(AB873-AC873)/AB873)))</f>
        <v>0.69630909203024161</v>
      </c>
      <c r="X874" s="18">
        <f>IF($A874&gt;('1-Input'!$B$26+3),0,(MAX(0,W836-IF($A874&gt;='1-Input'!$C$12,'1-Input'!$B$12,0))-MIN(MAX(AA873,0),MAX(0,W836-IF($A874&gt;='1-Input'!$C$12,'1-Input'!$B$12,0))))*(1/(1-'P-Parametri'!$B$6*W874))+MIN(MAX(0,AB873-(MAX(0,W836-IF($A874&gt;='1-Input'!$C$12,'1-Input'!$B$12,0))-MIN(MAX(AA873,0),MAX(0,W836-IF($A874&gt;='1-Input'!$C$12,'1-Input'!$B$12,0))))*(1/(1-'P-Parametri'!$B$6*W874))),MAX(0,2*W836-(AA873-MIN(MAX(AA873,0),MAX(0,W836-IF($A874&gt;='1-Input'!$C$12,'1-Input'!$B$12,0)))))*(1/(1-'P-Parametri'!$B$6*W874))))</f>
        <v>8209.5796455576219</v>
      </c>
      <c r="Y874" s="18">
        <f>IF($A874&gt;('1-Input'!$B$26+3),AA873,(AA873-MAX(0,W836-IF($A874&gt;='1-Input'!$C$12,'1-Input'!$B$12,0))+X874*(1-'P-Parametri'!$B$6*W874))*(1+'1-Input'!$B$27))</f>
        <v>35268.354303294887</v>
      </c>
      <c r="Z874" s="18">
        <f>IF($A874&gt;('1-Input'!$B$26+3),AB873,(AB873-X874)*(1+'5-Roberta'!$C$4))</f>
        <v>50980.578346845745</v>
      </c>
      <c r="AA874" s="18">
        <f>IF($A874&gt;('1-Input'!$B$26+3),Y874,Y874-'P-Parametri'!$B$8*(Z874+Y874)+MIN(MAX(Z874,0),'P-Parametri'!$B$8*(Z874+Y874)))</f>
        <v>35268.354303294887</v>
      </c>
      <c r="AB874" s="18">
        <f>IF($A874&gt;('1-Input'!$B$26+3),Z874,Z874-MIN(MAX(Z874,0),'P-Parametri'!$B$8*(Z874+Y874)))</f>
        <v>50808.080481545461</v>
      </c>
      <c r="AC874" s="18">
        <f>IF($A874&gt;('1-Input'!$B$26+3),AC873,AC873-X874*(1-W874))</f>
        <v>15031.396239783482</v>
      </c>
      <c r="AD874" s="11">
        <f>IF($A874&gt;('1-Input'!$B$26+3),0,IF(AI873&lt;=0,0,MAX(0,(AI873-AJ873)/AI873)))</f>
        <v>0.69634367716094714</v>
      </c>
      <c r="AE874" s="18">
        <f>IF($A874&gt;('1-Input'!$B$26+3),0,(MAX(0,AD836-IF($A874&gt;='1-Input'!$C$12,'1-Input'!$B$12,0))-MIN(MAX(AH873,0),MAX(0,AD836-IF($A874&gt;='1-Input'!$C$12,'1-Input'!$B$12,0))))*(1/(1-'P-Parametri'!$B$6*AD874))+MIN(MAX(0,AI873-(MAX(0,AD836-IF($A874&gt;='1-Input'!$C$12,'1-Input'!$B$12,0))-MIN(MAX(AH873,0),MAX(0,AD836-IF($A874&gt;='1-Input'!$C$12,'1-Input'!$B$12,0))))*(1/(1-'P-Parametri'!$B$6*AD874))),MAX(0,2*AD836-(AH873-MIN(MAX(AH873,0),MAX(0,AD836-IF($A874&gt;='1-Input'!$C$12,'1-Input'!$B$12,0)))))*(1/(1-'P-Parametri'!$B$6*AD874))))</f>
        <v>8194.4204460992678</v>
      </c>
      <c r="AF874" s="18">
        <f>IF($A874&gt;('1-Input'!$B$26+3),AH873,(AH873-MAX(0,AD836-IF($A874&gt;='1-Input'!$C$12,'1-Input'!$B$12,0))+AE874*(1-'P-Parametri'!$B$6*AD874))*(1+'1-Input'!$B$27))</f>
        <v>35243.64521006601</v>
      </c>
      <c r="AG874" s="18">
        <f>IF($A874&gt;('1-Input'!$B$26+3),AI873,(AI873-AE874)*(1+'5-Roberta'!$C$4))</f>
        <v>51936.417096414181</v>
      </c>
      <c r="AH874" s="18">
        <f>IF($A874&gt;('1-Input'!$B$26+3),AF874,AF874-'P-Parametri'!$B$8*(AG874+AF874)+MIN(MAX(AG874,0),'P-Parametri'!$B$8*(AG874+AF874)))</f>
        <v>35243.64521006601</v>
      </c>
      <c r="AI874" s="18">
        <f>IF($A874&gt;('1-Input'!$B$26+3),AG874,AG874-MIN(MAX(AG874,0),'P-Parametri'!$B$8*(AG874+AF874)))</f>
        <v>51762.056971801219</v>
      </c>
      <c r="AJ874" s="18">
        <f>IF($A874&gt;('1-Input'!$B$26+3),AJ873,AJ873-AE874*(1-AD874))</f>
        <v>15311.477123235389</v>
      </c>
      <c r="AK874" s="11">
        <f>IF($A874&gt;('1-Input'!$B$26+3),0,IF(AP873&lt;=0,0,MAX(0,(AP873-AQ873)/AP873)))</f>
        <v>0.69634360089465197</v>
      </c>
      <c r="AL874" s="18">
        <f>IF($A874&gt;('1-Input'!$B$26+3),0,(MAX(0,AK836-IF($A874&gt;='1-Input'!$C$12,'1-Input'!$B$12,0))-MIN(MAX(AO873,0),MAX(0,AK836-IF($A874&gt;='1-Input'!$C$12,'1-Input'!$B$12,0))))*(1/(1-'P-Parametri'!$B$6*AK874))+MIN(MAX(0,AP873-(MAX(0,AK836-IF($A874&gt;='1-Input'!$C$12,'1-Input'!$B$12,0))-MIN(MAX(AO873,0),MAX(0,AK836-IF($A874&gt;='1-Input'!$C$12,'1-Input'!$B$12,0))))*(1/(1-'P-Parametri'!$B$6*AK874))),MAX(0,2*AK836-(AO873-MIN(MAX(AO873,0),MAX(0,AK836-IF($A874&gt;='1-Input'!$C$12,'1-Input'!$B$12,0)))))*(1/(1-'P-Parametri'!$B$6*AK874))))</f>
        <v>8194.4541968543999</v>
      </c>
      <c r="AM874" s="18">
        <f>IF($A874&gt;('1-Input'!$B$26+3),AO873,(AO873-MAX(0,AK836-IF($A874&gt;='1-Input'!$C$12,'1-Input'!$B$12,0))+AL874*(1-'P-Parametri'!$B$6*AK874))*(1+'1-Input'!$B$27))</f>
        <v>35243.700219205675</v>
      </c>
      <c r="AN874" s="18">
        <f>IF($A874&gt;('1-Input'!$B$26+3),AP873,(AP873-AL874)*(1+'5-Roberta'!$C$4))</f>
        <v>51934.289127545228</v>
      </c>
      <c r="AO874" s="18">
        <f>IF($A874&gt;('1-Input'!$B$26+3),AM874,AM874-'P-Parametri'!$B$8*(AN874+AM874)+MIN(MAX(AN874,0),'P-Parametri'!$B$8*(AN874+AM874)))</f>
        <v>35243.700219205675</v>
      </c>
      <c r="AP874" s="18">
        <f>IF($A874&gt;('1-Input'!$B$26+3),AN874,AN874-MIN(MAX(AN874,0),'P-Parametri'!$B$8*(AN874+AM874)))</f>
        <v>51759.933148851727</v>
      </c>
      <c r="AQ874" s="18">
        <f>IF($A874&gt;('1-Input'!$B$26+3),AQ873,AQ873-AL874*(1-AK874))</f>
        <v>15310.853618025641</v>
      </c>
    </row>
    <row r="875" spans="1:43">
      <c r="A875" s="10">
        <f>37</f>
        <v>37</v>
      </c>
      <c r="B875" s="11">
        <f>IF($A875&gt;('1-Input'!$B$26+3),0,IF(G874&lt;=0,0,MAX(0,(G874-H874)/G874)))</f>
        <v>0.7060452682770656</v>
      </c>
      <c r="C875" s="18">
        <f>IF($A875&gt;('1-Input'!$B$26+3),0,(MAX(0,B836-IF($A875&gt;='1-Input'!$C$12,'1-Input'!$B$12,0))-MIN(MAX(F874,0),MAX(0,B836-IF($A875&gt;='1-Input'!$C$12,'1-Input'!$B$12,0))))*(1/(1-'P-Parametri'!$B$6*B875))+MIN(MAX(0,G874-(MAX(0,B836-IF($A875&gt;='1-Input'!$C$12,'1-Input'!$B$12,0))-MIN(MAX(F874,0),MAX(0,B836-IF($A875&gt;='1-Input'!$C$12,'1-Input'!$B$12,0))))*(1/(1-'P-Parametri'!$B$6*B875))),MAX(0,2*B836-(F874-MIN(MAX(F874,0),MAX(0,B836-IF($A875&gt;='1-Input'!$C$12,'1-Input'!$B$12,0)))))*(1/(1-'P-Parametri'!$B$6*B875))))</f>
        <v>6980.6000108058215</v>
      </c>
      <c r="D875" s="18">
        <f>IF($A875&gt;('1-Input'!$B$26+3),F874,(F874-MAX(0,B836-IF($A875&gt;='1-Input'!$C$12,'1-Input'!$B$12,0))+C875*(1-'P-Parametri'!$B$6*B875))*(1+'1-Input'!$B$27))</f>
        <v>33242.0070309863</v>
      </c>
      <c r="E875" s="18">
        <f>IF($A875&gt;('1-Input'!$B$26+3),G874,(G874-C875)*(1+'5-Roberta'!$C$4))</f>
        <v>125749.43948345023</v>
      </c>
      <c r="F875" s="18">
        <f>IF($A875&gt;('1-Input'!$B$26+3),D875,D875-'P-Parametri'!$B$8*(E875+D875)+MIN(MAX(E875,0),'P-Parametri'!$B$8*(E875+D875)))</f>
        <v>33242.0070309863</v>
      </c>
      <c r="G875" s="18">
        <f>IF($A875&gt;('1-Input'!$B$26+3),E875,E875-MIN(MAX(E875,0),'P-Parametri'!$B$8*(E875+D875)))</f>
        <v>125431.45659042135</v>
      </c>
      <c r="H875" s="18">
        <f>IF($A875&gt;('1-Input'!$B$26+3),H874,H874-C875*(1-B875))</f>
        <v>35888.002667637855</v>
      </c>
      <c r="I875" s="11">
        <f>IF($A875&gt;('1-Input'!$B$26+3),0,IF(N874&lt;=0,0,MAX(0,(N874-O874)/N874)))</f>
        <v>0</v>
      </c>
      <c r="J875" s="18">
        <f>IF($A875&gt;('1-Input'!$B$26+3),0,(MAX(0,I836-IF($A875&gt;='1-Input'!$C$12,'1-Input'!$B$12,0))-MIN(MAX(M874,0),MAX(0,I836-IF($A875&gt;='1-Input'!$C$12,'1-Input'!$B$12,0))))*(1/(1-'P-Parametri'!$B$6*I875))+MIN(MAX(0,N874-(MAX(0,I836-IF($A875&gt;='1-Input'!$C$12,'1-Input'!$B$12,0))-MIN(MAX(M874,0),MAX(0,I836-IF($A875&gt;='1-Input'!$C$12,'1-Input'!$B$12,0))))*(1/(1-'P-Parametri'!$B$6*I875))),MAX(0,2*I836-(M874-MIN(MAX(M874,0),MAX(0,I836-IF($A875&gt;='1-Input'!$C$12,'1-Input'!$B$12,0)))))*(1/(1-'P-Parametri'!$B$6*I875))))</f>
        <v>10846.756992928691</v>
      </c>
      <c r="K875" s="18">
        <f>IF($A875&gt;('1-Input'!$B$26+3),M874,(M874-MAX(0,I836-IF($A875&gt;='1-Input'!$C$12,'1-Input'!$B$12,0))+J875*(1-'P-Parametri'!$B$6*I875))*(1+'1-Input'!$B$27))</f>
        <v>0</v>
      </c>
      <c r="L875" s="18">
        <f>IF($A875&gt;('1-Input'!$B$26+3),N874,(N874-J875)*(1+'5-Roberta'!$C$4))</f>
        <v>-178440.23332098901</v>
      </c>
      <c r="M875" s="18">
        <f>IF($A875&gt;('1-Input'!$B$26+3),K875,K875-'P-Parametri'!$B$8*(L875+K875)+MIN(MAX(L875,0),'P-Parametri'!$B$8*(L875+K875)))</f>
        <v>0</v>
      </c>
      <c r="N875" s="18">
        <f>IF($A875&gt;('1-Input'!$B$26+3),L875,L875-MIN(MAX(L875,0),'P-Parametri'!$B$8*(L875+K875)))</f>
        <v>-178083.35285434703</v>
      </c>
      <c r="O875" s="18">
        <f>IF($A875&gt;('1-Input'!$B$26+3),O874,O874-J875*(1-I875))</f>
        <v>-145199.09215773083</v>
      </c>
      <c r="P875" s="11">
        <f>IF($A875&gt;('1-Input'!$B$26+3),0,IF(U874&lt;=0,0,MAX(0,(U874-V874)/U874)))</f>
        <v>0.70351070356485479</v>
      </c>
      <c r="Q875" s="18">
        <f>IF($A875&gt;('1-Input'!$B$26+3),0,(MAX(0,P836-IF($A875&gt;='1-Input'!$C$12,'1-Input'!$B$12,0))-MIN(MAX(T874,0),MAX(0,P836-IF($A875&gt;='1-Input'!$C$12,'1-Input'!$B$12,0))))*(1/(1-'P-Parametri'!$B$6*P875))+MIN(MAX(0,U874-(MAX(0,P836-IF($A875&gt;='1-Input'!$C$12,'1-Input'!$B$12,0))-MIN(MAX(T874,0),MAX(0,P836-IF($A875&gt;='1-Input'!$C$12,'1-Input'!$B$12,0))))*(1/(1-'P-Parametri'!$B$6*P875))),MAX(0,2*P836-(T874-MIN(MAX(T874,0),MAX(0,P836-IF($A875&gt;='1-Input'!$C$12,'1-Input'!$B$12,0)))))*(1/(1-'P-Parametri'!$B$6*P875))))</f>
        <v>8426.4149990589322</v>
      </c>
      <c r="R875" s="18">
        <f>IF($A875&gt;('1-Input'!$B$26+3),T874,(T874-MAX(0,P836-IF($A875&gt;='1-Input'!$C$12,'1-Input'!$B$12,0))+Q875*(1-'P-Parametri'!$B$6*P875))*(1+'1-Input'!$B$27))</f>
        <v>35588.487617059305</v>
      </c>
      <c r="S875" s="18">
        <f>IF($A875&gt;('1-Input'!$B$26+3),U874,(U874-Q875)*(1+'5-Roberta'!$C$4))</f>
        <v>30923.694030178209</v>
      </c>
      <c r="T875" s="18">
        <f>IF($A875&gt;('1-Input'!$B$26+3),R875,R875-'P-Parametri'!$B$8*(S875+R875)+MIN(MAX(S875,0),'P-Parametri'!$B$8*(S875+R875)))</f>
        <v>35588.487617059305</v>
      </c>
      <c r="U875" s="18">
        <f>IF($A875&gt;('1-Input'!$B$26+3),S875,S875-MIN(MAX(S875,0),'P-Parametri'!$B$8*(S875+R875)))</f>
        <v>30790.669666883732</v>
      </c>
      <c r="V875" s="18">
        <f>IF($A875&gt;('1-Input'!$B$26+3),V874,V874-Q875*(1-P875))</f>
        <v>8901.4993069740194</v>
      </c>
      <c r="W875" s="11">
        <f>IF($A875&gt;('1-Input'!$B$26+3),0,IF(AB874&lt;=0,0,MAX(0,(AB874-AC874)/AB874)))</f>
        <v>0.70415343194783364</v>
      </c>
      <c r="X875" s="18">
        <f>IF($A875&gt;('1-Input'!$B$26+3),0,(MAX(0,W836-IF($A875&gt;='1-Input'!$C$12,'1-Input'!$B$12,0))-MIN(MAX(AA874,0),MAX(0,W836-IF($A875&gt;='1-Input'!$C$12,'1-Input'!$B$12,0))))*(1/(1-'P-Parametri'!$B$6*W875))+MIN(MAX(0,AB874-(MAX(0,W836-IF($A875&gt;='1-Input'!$C$12,'1-Input'!$B$12,0))-MIN(MAX(AA874,0),MAX(0,W836-IF($A875&gt;='1-Input'!$C$12,'1-Input'!$B$12,0))))*(1/(1-'P-Parametri'!$B$6*W875))),MAX(0,2*W836-(AA874-MIN(MAX(AA874,0),MAX(0,W836-IF($A875&gt;='1-Input'!$C$12,'1-Input'!$B$12,0)))))*(1/(1-'P-Parametri'!$B$6*W875))))</f>
        <v>8230.0757387564445</v>
      </c>
      <c r="Y875" s="18">
        <f>IF($A875&gt;('1-Input'!$B$26+3),AA874,(AA874-MAX(0,W836-IF($A875&gt;='1-Input'!$C$12,'1-Input'!$B$12,0))+X875*(1-'P-Parametri'!$B$6*W875))*(1+'1-Input'!$B$27))</f>
        <v>35268.354303294887</v>
      </c>
      <c r="Z875" s="18">
        <f>IF($A875&gt;('1-Input'!$B$26+3),AB874,(AB874-X875)*(1+'5-Roberta'!$C$4))</f>
        <v>43855.344885072685</v>
      </c>
      <c r="AA875" s="18">
        <f>IF($A875&gt;('1-Input'!$B$26+3),Y875,Y875-'P-Parametri'!$B$8*(Z875+Y875)+MIN(MAX(Z875,0),'P-Parametri'!$B$8*(Z875+Y875)))</f>
        <v>35268.354303294887</v>
      </c>
      <c r="AB875" s="18">
        <f>IF($A875&gt;('1-Input'!$B$26+3),Z875,Z875-MIN(MAX(Z875,0),'P-Parametri'!$B$8*(Z875+Y875)))</f>
        <v>43697.097486695951</v>
      </c>
      <c r="AC875" s="18">
        <f>IF($A875&gt;('1-Input'!$B$26+3),AC874,AC874-X875*(1-W875))</f>
        <v>12596.55657766299</v>
      </c>
      <c r="AD875" s="11">
        <f>IF($A875&gt;('1-Input'!$B$26+3),0,IF(AI874&lt;=0,0,MAX(0,(AI874-AJ874)/AI874)))</f>
        <v>0.70419496405297943</v>
      </c>
      <c r="AE875" s="18">
        <f>IF($A875&gt;('1-Input'!$B$26+3),0,(MAX(0,AD836-IF($A875&gt;='1-Input'!$C$12,'1-Input'!$B$12,0))-MIN(MAX(AH874,0),MAX(0,AD836-IF($A875&gt;='1-Input'!$C$12,'1-Input'!$B$12,0))))*(1/(1-'P-Parametri'!$B$6*AD875))+MIN(MAX(0,AI874-(MAX(0,AD836-IF($A875&gt;='1-Input'!$C$12,'1-Input'!$B$12,0))-MIN(MAX(AH874,0),MAX(0,AD836-IF($A875&gt;='1-Input'!$C$12,'1-Input'!$B$12,0))))*(1/(1-'P-Parametri'!$B$6*AD875))),MAX(0,2*AD836-(AH874-MIN(MAX(AH874,0),MAX(0,AD836-IF($A875&gt;='1-Input'!$C$12,'1-Input'!$B$12,0)))))*(1/(1-'P-Parametri'!$B$6*AD875))))</f>
        <v>8214.8970812973821</v>
      </c>
      <c r="AF875" s="18">
        <f>IF($A875&gt;('1-Input'!$B$26+3),AH874,(AH874-MAX(0,AD836-IF($A875&gt;='1-Input'!$C$12,'1-Input'!$B$12,0))+AE875*(1-'P-Parametri'!$B$6*AD875))*(1+'1-Input'!$B$27))</f>
        <v>35243.64521006601</v>
      </c>
      <c r="AG875" s="18">
        <f>IF($A875&gt;('1-Input'!$B$26+3),AI874,(AI874-AE875)*(1+'5-Roberta'!$C$4))</f>
        <v>44853.574687218956</v>
      </c>
      <c r="AH875" s="18">
        <f>IF($A875&gt;('1-Input'!$B$26+3),AF875,AF875-'P-Parametri'!$B$8*(AG875+AF875)+MIN(MAX(AG875,0),'P-Parametri'!$B$8*(AG875+AF875)))</f>
        <v>35243.64521006601</v>
      </c>
      <c r="AI875" s="18">
        <f>IF($A875&gt;('1-Input'!$B$26+3),AG875,AG875-MIN(MAX(AG875,0),'P-Parametri'!$B$8*(AG875+AF875)))</f>
        <v>44693.380247424386</v>
      </c>
      <c r="AJ875" s="18">
        <f>IF($A875&gt;('1-Input'!$B$26+3),AJ874,AJ874-AE875*(1-AD875))</f>
        <v>12881.469196801143</v>
      </c>
      <c r="AK875" s="11">
        <f>IF($A875&gt;('1-Input'!$B$26+3),0,IF(AP874&lt;=0,0,MAX(0,(AP874-AQ874)/AP874)))</f>
        <v>0.70419487262484404</v>
      </c>
      <c r="AL875" s="18">
        <f>IF($A875&gt;('1-Input'!$B$26+3),0,(MAX(0,AK836-IF($A875&gt;='1-Input'!$C$12,'1-Input'!$B$12,0))-MIN(MAX(AO874,0),MAX(0,AK836-IF($A875&gt;='1-Input'!$C$12,'1-Input'!$B$12,0))))*(1/(1-'P-Parametri'!$B$6*AK875))+MIN(MAX(0,AP874-(MAX(0,AK836-IF($A875&gt;='1-Input'!$C$12,'1-Input'!$B$12,0))-MIN(MAX(AO874,0),MAX(0,AK836-IF($A875&gt;='1-Input'!$C$12,'1-Input'!$B$12,0))))*(1/(1-'P-Parametri'!$B$6*AK875))),MAX(0,2*AK836-(AO874-MIN(MAX(AO874,0),MAX(0,AK836-IF($A875&gt;='1-Input'!$C$12,'1-Input'!$B$12,0)))))*(1/(1-'P-Parametri'!$B$6*AK875))))</f>
        <v>8214.9308762515993</v>
      </c>
      <c r="AM875" s="18">
        <f>IF($A875&gt;('1-Input'!$B$26+3),AO874,(AO874-MAX(0,AK836-IF($A875&gt;='1-Input'!$C$12,'1-Input'!$B$12,0))+AL875*(1-'P-Parametri'!$B$6*AK875))*(1+'1-Input'!$B$27))</f>
        <v>35243.700219205675</v>
      </c>
      <c r="AN875" s="18">
        <f>IF($A875&gt;('1-Input'!$B$26+3),AP874,(AP874-AL875)*(1+'5-Roberta'!$C$4))</f>
        <v>44851.352340778132</v>
      </c>
      <c r="AO875" s="18">
        <f>IF($A875&gt;('1-Input'!$B$26+3),AM875,AM875-'P-Parametri'!$B$8*(AN875+AM875)+MIN(MAX(AN875,0),'P-Parametri'!$B$8*(AN875+AM875)))</f>
        <v>35243.700219205675</v>
      </c>
      <c r="AP875" s="18">
        <f>IF($A875&gt;('1-Input'!$B$26+3),AN875,AN875-MIN(MAX(AN875,0),'P-Parametri'!$B$8*(AN875+AM875)))</f>
        <v>44691.162235658165</v>
      </c>
      <c r="AQ875" s="18">
        <f>IF($A875&gt;('1-Input'!$B$26+3),AQ874,AQ874-AL875*(1-AK875))</f>
        <v>12880.834943797936</v>
      </c>
    </row>
    <row r="876" spans="1:43">
      <c r="A876" s="10">
        <f>38</f>
        <v>38</v>
      </c>
      <c r="B876" s="11">
        <f>IF($A876&gt;('1-Input'!$B$26+3),0,IF(G875&lt;=0,0,MAX(0,(G875-H875)/G875)))</f>
        <v>0.71388355327144892</v>
      </c>
      <c r="C876" s="18">
        <f>IF($A876&gt;('1-Input'!$B$26+3),0,(MAX(0,B836-IF($A876&gt;='1-Input'!$C$12,'1-Input'!$B$12,0))-MIN(MAX(F875,0),MAX(0,B836-IF($A876&gt;='1-Input'!$C$12,'1-Input'!$B$12,0))))*(1/(1-'P-Parametri'!$B$6*B876))+MIN(MAX(0,G875-(MAX(0,B836-IF($A876&gt;='1-Input'!$C$12,'1-Input'!$B$12,0))-MIN(MAX(F875,0),MAX(0,B836-IF($A876&gt;='1-Input'!$C$12,'1-Input'!$B$12,0))))*(1/(1-'P-Parametri'!$B$6*B876))),MAX(0,2*B836-(F875-MIN(MAX(F875,0),MAX(0,B836-IF($A876&gt;='1-Input'!$C$12,'1-Input'!$B$12,0)))))*(1/(1-'P-Parametri'!$B$6*B876))))</f>
        <v>6998.0684688890278</v>
      </c>
      <c r="D876" s="18">
        <f>IF($A876&gt;('1-Input'!$B$26+3),F875,(F875-MAX(0,B836-IF($A876&gt;='1-Input'!$C$12,'1-Input'!$B$12,0))+C876*(1-'P-Parametri'!$B$6*B876))*(1+'1-Input'!$B$27))</f>
        <v>33242.0070309863</v>
      </c>
      <c r="E876" s="18">
        <f>IF($A876&gt;('1-Input'!$B$26+3),G875,(G875-C876)*(1+'5-Roberta'!$C$4))</f>
        <v>121986.38976517829</v>
      </c>
      <c r="F876" s="18">
        <f>IF($A876&gt;('1-Input'!$B$26+3),D876,D876-'P-Parametri'!$B$8*(E876+D876)+MIN(MAX(E876,0),'P-Parametri'!$B$8*(E876+D876)))</f>
        <v>33242.0070309863</v>
      </c>
      <c r="G876" s="18">
        <f>IF($A876&gt;('1-Input'!$B$26+3),E876,E876-MIN(MAX(E876,0),'P-Parametri'!$B$8*(E876+D876)))</f>
        <v>121675.93297158596</v>
      </c>
      <c r="H876" s="18">
        <f>IF($A876&gt;('1-Input'!$B$26+3),H875,H875-C876*(1-B876))</f>
        <v>33885.740183356211</v>
      </c>
      <c r="I876" s="11">
        <f>IF($A876&gt;('1-Input'!$B$26+3),0,IF(N875&lt;=0,0,MAX(0,(N875-O875)/N875)))</f>
        <v>0</v>
      </c>
      <c r="J876" s="18">
        <f>IF($A876&gt;('1-Input'!$B$26+3),0,(MAX(0,I836-IF($A876&gt;='1-Input'!$C$12,'1-Input'!$B$12,0))-MIN(MAX(M875,0),MAX(0,I836-IF($A876&gt;='1-Input'!$C$12,'1-Input'!$B$12,0))))*(1/(1-'P-Parametri'!$B$6*I876))+MIN(MAX(0,N875-(MAX(0,I836-IF($A876&gt;='1-Input'!$C$12,'1-Input'!$B$12,0))-MIN(MAX(M875,0),MAX(0,I836-IF($A876&gt;='1-Input'!$C$12,'1-Input'!$B$12,0))))*(1/(1-'P-Parametri'!$B$6*I876))),MAX(0,2*I836-(M875-MIN(MAX(M875,0),MAX(0,I836-IF($A876&gt;='1-Input'!$C$12,'1-Input'!$B$12,0)))))*(1/(1-'P-Parametri'!$B$6*I876))))</f>
        <v>10846.756992928691</v>
      </c>
      <c r="K876" s="18">
        <f>IF($A876&gt;('1-Input'!$B$26+3),M875,(M875-MAX(0,I836-IF($A876&gt;='1-Input'!$C$12,'1-Input'!$B$12,0))+J876*(1-'P-Parametri'!$B$6*I876))*(1+'1-Input'!$B$27))</f>
        <v>0</v>
      </c>
      <c r="L876" s="18">
        <f>IF($A876&gt;('1-Input'!$B$26+3),N875,(N875-J876)*(1+'5-Roberta'!$C$4))</f>
        <v>-194598.01314269399</v>
      </c>
      <c r="M876" s="18">
        <f>IF($A876&gt;('1-Input'!$B$26+3),K876,K876-'P-Parametri'!$B$8*(L876+K876)+MIN(MAX(L876,0),'P-Parametri'!$B$8*(L876+K876)))</f>
        <v>0</v>
      </c>
      <c r="N876" s="18">
        <f>IF($A876&gt;('1-Input'!$B$26+3),L876,L876-MIN(MAX(L876,0),'P-Parametri'!$B$8*(L876+K876)))</f>
        <v>-194208.81711640861</v>
      </c>
      <c r="O876" s="18">
        <f>IF($A876&gt;('1-Input'!$B$26+3),O875,O875-J876*(1-I876))</f>
        <v>-156045.84915065952</v>
      </c>
      <c r="P876" s="11">
        <f>IF($A876&gt;('1-Input'!$B$26+3),0,IF(U875&lt;=0,0,MAX(0,(U875-V875)/U875)))</f>
        <v>0.71090270516110787</v>
      </c>
      <c r="Q876" s="18">
        <f>IF($A876&gt;('1-Input'!$B$26+3),0,(MAX(0,P836-IF($A876&gt;='1-Input'!$C$12,'1-Input'!$B$12,0))-MIN(MAX(T875,0),MAX(0,P836-IF($A876&gt;='1-Input'!$C$12,'1-Input'!$B$12,0))))*(1/(1-'P-Parametri'!$B$6*P876))+MIN(MAX(0,U875-(MAX(0,P836-IF($A876&gt;='1-Input'!$C$12,'1-Input'!$B$12,0))-MIN(MAX(T875,0),MAX(0,P836-IF($A876&gt;='1-Input'!$C$12,'1-Input'!$B$12,0))))*(1/(1-'P-Parametri'!$B$6*P876))),MAX(0,2*P836-(T875-MIN(MAX(T875,0),MAX(0,P836-IF($A876&gt;='1-Input'!$C$12,'1-Input'!$B$12,0)))))*(1/(1-'P-Parametri'!$B$6*P876))))</f>
        <v>8446.282011404237</v>
      </c>
      <c r="R876" s="18">
        <f>IF($A876&gt;('1-Input'!$B$26+3),T875,(T875-MAX(0,P836-IF($A876&gt;='1-Input'!$C$12,'1-Input'!$B$12,0))+Q876*(1-'P-Parametri'!$B$6*P876))*(1+'1-Input'!$B$27))</f>
        <v>35588.487617059305</v>
      </c>
      <c r="S876" s="18">
        <f>IF($A876&gt;('1-Input'!$B$26+3),U875,(U875-Q876)*(1+'5-Roberta'!$C$4))</f>
        <v>23014.719285143881</v>
      </c>
      <c r="T876" s="18">
        <f>IF($A876&gt;('1-Input'!$B$26+3),R876,R876-'P-Parametri'!$B$8*(S876+R876)+MIN(MAX(S876,0),'P-Parametri'!$B$8*(S876+R876)))</f>
        <v>35588.487617059305</v>
      </c>
      <c r="U876" s="18">
        <f>IF($A876&gt;('1-Input'!$B$26+3),S876,S876-MIN(MAX(S876,0),'P-Parametri'!$B$8*(S876+R876)))</f>
        <v>22897.512871339473</v>
      </c>
      <c r="V876" s="18">
        <f>IF($A876&gt;('1-Input'!$B$26+3),V875,V875-Q876*(1-P876))</f>
        <v>6459.7020260306581</v>
      </c>
      <c r="W876" s="11">
        <f>IF($A876&gt;('1-Input'!$B$26+3),0,IF(AB875&lt;=0,0,MAX(0,(AB875-AC875)/AB875)))</f>
        <v>0.71173013078275638</v>
      </c>
      <c r="X876" s="18">
        <f>IF($A876&gt;('1-Input'!$B$26+3),0,(MAX(0,W836-IF($A876&gt;='1-Input'!$C$12,'1-Input'!$B$12,0))-MIN(MAX(AA875,0),MAX(0,W836-IF($A876&gt;='1-Input'!$C$12,'1-Input'!$B$12,0))))*(1/(1-'P-Parametri'!$B$6*W876))+MIN(MAX(0,AB875-(MAX(0,W836-IF($A876&gt;='1-Input'!$C$12,'1-Input'!$B$12,0))-MIN(MAX(AA875,0),MAX(0,W836-IF($A876&gt;='1-Input'!$C$12,'1-Input'!$B$12,0))))*(1/(1-'P-Parametri'!$B$6*W876))),MAX(0,2*W836-(AA875-MIN(MAX(AA875,0),MAX(0,W836-IF($A876&gt;='1-Input'!$C$12,'1-Input'!$B$12,0)))))*(1/(1-'P-Parametri'!$B$6*W876))))</f>
        <v>8249.9699237561817</v>
      </c>
      <c r="Y876" s="18">
        <f>IF($A876&gt;('1-Input'!$B$26+3),AA875,(AA875-MAX(0,W836-IF($A876&gt;='1-Input'!$C$12,'1-Input'!$B$12,0))+X876*(1-'P-Parametri'!$B$6*W876))*(1+'1-Input'!$B$27))</f>
        <v>35268.354303294887</v>
      </c>
      <c r="Z876" s="18">
        <f>IF($A876&gt;('1-Input'!$B$26+3),AB875,(AB875-X876)*(1+'5-Roberta'!$C$4))</f>
        <v>36510.541389827966</v>
      </c>
      <c r="AA876" s="18">
        <f>IF($A876&gt;('1-Input'!$B$26+3),Y876,Y876-'P-Parametri'!$B$8*(Z876+Y876)+MIN(MAX(Z876,0),'P-Parametri'!$B$8*(Z876+Y876)))</f>
        <v>35268.354303294887</v>
      </c>
      <c r="AB876" s="18">
        <f>IF($A876&gt;('1-Input'!$B$26+3),Z876,Z876-MIN(MAX(Z876,0),'P-Parametri'!$B$8*(Z876+Y876)))</f>
        <v>36366.983598441722</v>
      </c>
      <c r="AC876" s="18">
        <f>IF($A876&gt;('1-Input'!$B$26+3),AC875,AC875-X876*(1-W876))</f>
        <v>10218.338826695603</v>
      </c>
      <c r="AD876" s="11">
        <f>IF($A876&gt;('1-Input'!$B$26+3),0,IF(AI875&lt;=0,0,MAX(0,(AI875-AJ875)/AI875)))</f>
        <v>0.71178127218194731</v>
      </c>
      <c r="AE876" s="18">
        <f>IF($A876&gt;('1-Input'!$B$26+3),0,(MAX(0,AD836-IF($A876&gt;='1-Input'!$C$12,'1-Input'!$B$12,0))-MIN(MAX(AH875,0),MAX(0,AD836-IF($A876&gt;='1-Input'!$C$12,'1-Input'!$B$12,0))))*(1/(1-'P-Parametri'!$B$6*AD876))+MIN(MAX(0,AI875-(MAX(0,AD836-IF($A876&gt;='1-Input'!$C$12,'1-Input'!$B$12,0))-MIN(MAX(AH875,0),MAX(0,AD836-IF($A876&gt;='1-Input'!$C$12,'1-Input'!$B$12,0))))*(1/(1-'P-Parametri'!$B$6*AD876))),MAX(0,2*AD836-(AH875-MIN(MAX(AH875,0),MAX(0,AD836-IF($A876&gt;='1-Input'!$C$12,'1-Input'!$B$12,0)))))*(1/(1-'P-Parametri'!$B$6*AD876))))</f>
        <v>8234.7800846850459</v>
      </c>
      <c r="AF876" s="18">
        <f>IF($A876&gt;('1-Input'!$B$26+3),AH875,(AH875-MAX(0,AD836-IF($A876&gt;='1-Input'!$C$12,'1-Input'!$B$12,0))+AE876*(1-'P-Parametri'!$B$6*AD876))*(1+'1-Input'!$B$27))</f>
        <v>35243.64521006601</v>
      </c>
      <c r="AG876" s="18">
        <f>IF($A876&gt;('1-Input'!$B$26+3),AI875,(AI875-AE876)*(1+'5-Roberta'!$C$4))</f>
        <v>37552.358167621525</v>
      </c>
      <c r="AH876" s="18">
        <f>IF($A876&gt;('1-Input'!$B$26+3),AF876,AF876-'P-Parametri'!$B$8*(AG876+AF876)+MIN(MAX(AG876,0),'P-Parametri'!$B$8*(AG876+AF876)))</f>
        <v>35243.64521006601</v>
      </c>
      <c r="AI876" s="18">
        <f>IF($A876&gt;('1-Input'!$B$26+3),AG876,AG876-MIN(MAX(AG876,0),'P-Parametri'!$B$8*(AG876+AF876)))</f>
        <v>37406.766160866151</v>
      </c>
      <c r="AJ876" s="18">
        <f>IF($A876&gt;('1-Input'!$B$26+3),AJ875,AJ875-AE876*(1-AD876))</f>
        <v>10508.051356931783</v>
      </c>
      <c r="AK876" s="11">
        <f>IF($A876&gt;('1-Input'!$B$26+3),0,IF(AP875&lt;=0,0,MAX(0,(AP875-AQ875)/AP875)))</f>
        <v>0.71178115986608692</v>
      </c>
      <c r="AL876" s="18">
        <f>IF($A876&gt;('1-Input'!$B$26+3),0,(MAX(0,AK836-IF($A876&gt;='1-Input'!$C$12,'1-Input'!$B$12,0))-MIN(MAX(AO875,0),MAX(0,AK836-IF($A876&gt;='1-Input'!$C$12,'1-Input'!$B$12,0))))*(1/(1-'P-Parametri'!$B$6*AK876))+MIN(MAX(0,AP875-(MAX(0,AK836-IF($A876&gt;='1-Input'!$C$12,'1-Input'!$B$12,0))-MIN(MAX(AO875,0),MAX(0,AK836-IF($A876&gt;='1-Input'!$C$12,'1-Input'!$B$12,0))))*(1/(1-'P-Parametri'!$B$6*AK876))),MAX(0,2*AK836-(AO875-MIN(MAX(AO875,0),MAX(0,AK836-IF($A876&gt;='1-Input'!$C$12,'1-Input'!$B$12,0)))))*(1/(1-'P-Parametri'!$B$6*AK876))))</f>
        <v>8234.8139059777204</v>
      </c>
      <c r="AM876" s="18">
        <f>IF($A876&gt;('1-Input'!$B$26+3),AO875,(AO875-MAX(0,AK836-IF($A876&gt;='1-Input'!$C$12,'1-Input'!$B$12,0))+AL876*(1-'P-Parametri'!$B$6*AK876))*(1+'1-Input'!$B$27))</f>
        <v>35243.700219205675</v>
      </c>
      <c r="AN876" s="18">
        <f>IF($A876&gt;('1-Input'!$B$26+3),AP875,(AP875-AL876)*(1+'5-Roberta'!$C$4))</f>
        <v>37550.038779570859</v>
      </c>
      <c r="AO876" s="18">
        <f>IF($A876&gt;('1-Input'!$B$26+3),AM876,AM876-'P-Parametri'!$B$8*(AN876+AM876)+MIN(MAX(AN876,0),'P-Parametri'!$B$8*(AN876+AM876)))</f>
        <v>35243.700219205675</v>
      </c>
      <c r="AP876" s="18">
        <f>IF($A876&gt;('1-Input'!$B$26+3),AN876,AN876-MIN(MAX(AN876,0),'P-Parametri'!$B$8*(AN876+AM876)))</f>
        <v>37404.451301573303</v>
      </c>
      <c r="AQ876" s="18">
        <f>IF($A876&gt;('1-Input'!$B$26+3),AQ875,AQ875-AL876*(1-AK876))</f>
        <v>10507.406431098419</v>
      </c>
    </row>
    <row r="877" spans="1:43">
      <c r="A877" s="10">
        <f>39</f>
        <v>39</v>
      </c>
      <c r="B877" s="11">
        <f>IF($A877&gt;('1-Input'!$B$26+3),0,IF(G876&lt;=0,0,MAX(0,(G876-H876)/G876)))</f>
        <v>0.72150827730846923</v>
      </c>
      <c r="C877" s="18">
        <f>IF($A877&gt;('1-Input'!$B$26+3),0,(MAX(0,B836-IF($A877&gt;='1-Input'!$C$12,'1-Input'!$B$12,0))-MIN(MAX(F876,0),MAX(0,B836-IF($A877&gt;='1-Input'!$C$12,'1-Input'!$B$12,0))))*(1/(1-'P-Parametri'!$B$6*B877))+MIN(MAX(0,G876-(MAX(0,B836-IF($A877&gt;='1-Input'!$C$12,'1-Input'!$B$12,0))-MIN(MAX(F876,0),MAX(0,B836-IF($A877&gt;='1-Input'!$C$12,'1-Input'!$B$12,0))))*(1/(1-'P-Parametri'!$B$6*B877))),MAX(0,2*B836-(F876-MIN(MAX(F876,0),MAX(0,B836-IF($A877&gt;='1-Input'!$C$12,'1-Input'!$B$12,0)))))*(1/(1-'P-Parametri'!$B$6*B877))))</f>
        <v>7015.1450747605759</v>
      </c>
      <c r="D877" s="18">
        <f>IF($A877&gt;('1-Input'!$B$26+3),F876,(F876-MAX(0,B836-IF($A877&gt;='1-Input'!$C$12,'1-Input'!$B$12,0))+C877*(1-'P-Parametri'!$B$6*B877))*(1+'1-Input'!$B$27))</f>
        <v>33242.0070309863</v>
      </c>
      <c r="E877" s="18">
        <f>IF($A877&gt;('1-Input'!$B$26+3),G876,(G876-C877)*(1+'5-Roberta'!$C$4))</f>
        <v>118100.61153373016</v>
      </c>
      <c r="F877" s="18">
        <f>IF($A877&gt;('1-Input'!$B$26+3),D877,D877-'P-Parametri'!$B$8*(E877+D877)+MIN(MAX(E877,0),'P-Parametri'!$B$8*(E877+D877)))</f>
        <v>33242.0070309863</v>
      </c>
      <c r="G877" s="18">
        <f>IF($A877&gt;('1-Input'!$B$26+3),E877,E877-MIN(MAX(E877,0),'P-Parametri'!$B$8*(E877+D877)))</f>
        <v>117797.92629660072</v>
      </c>
      <c r="H877" s="18">
        <f>IF($A877&gt;('1-Input'!$B$26+3),H876,H876-C877*(1-B877))</f>
        <v>31932.080346555129</v>
      </c>
      <c r="I877" s="11">
        <f>IF($A877&gt;('1-Input'!$B$26+3),0,IF(N876&lt;=0,0,MAX(0,(N876-O876)/N876)))</f>
        <v>0</v>
      </c>
      <c r="J877" s="18">
        <f>IF($A877&gt;('1-Input'!$B$26+3),0,(MAX(0,I836-IF($A877&gt;='1-Input'!$C$12,'1-Input'!$B$12,0))-MIN(MAX(M876,0),MAX(0,I836-IF($A877&gt;='1-Input'!$C$12,'1-Input'!$B$12,0))))*(1/(1-'P-Parametri'!$B$6*I877))+MIN(MAX(0,N876-(MAX(0,I836-IF($A877&gt;='1-Input'!$C$12,'1-Input'!$B$12,0))-MIN(MAX(M876,0),MAX(0,I836-IF($A877&gt;='1-Input'!$C$12,'1-Input'!$B$12,0))))*(1/(1-'P-Parametri'!$B$6*I877))),MAX(0,2*I836-(M876-MIN(MAX(M876,0),MAX(0,I836-IF($A877&gt;='1-Input'!$C$12,'1-Input'!$B$12,0)))))*(1/(1-'P-Parametri'!$B$6*I877))))</f>
        <v>10846.756992928691</v>
      </c>
      <c r="K877" s="18">
        <f>IF($A877&gt;('1-Input'!$B$26+3),M876,(M876-MAX(0,I836-IF($A877&gt;='1-Input'!$C$12,'1-Input'!$B$12,0))+J877*(1-'P-Parametri'!$B$6*I877))*(1+'1-Input'!$B$27))</f>
        <v>0</v>
      </c>
      <c r="L877" s="18">
        <f>IF($A877&gt;('1-Input'!$B$26+3),N876,(N876-J877)*(1+'5-Roberta'!$C$4))</f>
        <v>-211207.24133261741</v>
      </c>
      <c r="M877" s="18">
        <f>IF($A877&gt;('1-Input'!$B$26+3),K877,K877-'P-Parametri'!$B$8*(L877+K877)+MIN(MAX(L877,0),'P-Parametri'!$B$8*(L877+K877)))</f>
        <v>0</v>
      </c>
      <c r="N877" s="18">
        <f>IF($A877&gt;('1-Input'!$B$26+3),L877,L877-MIN(MAX(L877,0),'P-Parametri'!$B$8*(L877+K877)))</f>
        <v>-210784.82684995217</v>
      </c>
      <c r="O877" s="18">
        <f>IF($A877&gt;('1-Input'!$B$26+3),O876,O876-J877*(1-I877))</f>
        <v>-166892.6061435882</v>
      </c>
      <c r="P877" s="11">
        <f>IF($A877&gt;('1-Input'!$B$26+3),0,IF(U876&lt;=0,0,MAX(0,(U876-V876)/U876)))</f>
        <v>0.71788630222297256</v>
      </c>
      <c r="Q877" s="18">
        <f>IF($A877&gt;('1-Input'!$B$26+3),0,(MAX(0,P836-IF($A877&gt;='1-Input'!$C$12,'1-Input'!$B$12,0))-MIN(MAX(T876,0),MAX(0,P836-IF($A877&gt;='1-Input'!$C$12,'1-Input'!$B$12,0))))*(1/(1-'P-Parametri'!$B$6*P877))+MIN(MAX(0,U876-(MAX(0,P836-IF($A877&gt;='1-Input'!$C$12,'1-Input'!$B$12,0))-MIN(MAX(T876,0),MAX(0,P836-IF($A877&gt;='1-Input'!$C$12,'1-Input'!$B$12,0))))*(1/(1-'P-Parametri'!$B$6*P877))),MAX(0,2*P836-(T876-MIN(MAX(T876,0),MAX(0,P836-IF($A877&gt;='1-Input'!$C$12,'1-Input'!$B$12,0)))))*(1/(1-'P-Parametri'!$B$6*P877))))</f>
        <v>8465.1376333771605</v>
      </c>
      <c r="R877" s="18">
        <f>IF($A877&gt;('1-Input'!$B$26+3),T876,(T876-MAX(0,P836-IF($A877&gt;='1-Input'!$C$12,'1-Input'!$B$12,0))+Q877*(1-'P-Parametri'!$B$6*P877))*(1+'1-Input'!$B$27))</f>
        <v>35588.487617059305</v>
      </c>
      <c r="S877" s="18">
        <f>IF($A877&gt;('1-Input'!$B$26+3),U876,(U876-Q877)*(1+'5-Roberta'!$C$4))</f>
        <v>14865.346495101183</v>
      </c>
      <c r="T877" s="18">
        <f>IF($A877&gt;('1-Input'!$B$26+3),R877,R877-'P-Parametri'!$B$8*(S877+R877)+MIN(MAX(S877,0),'P-Parametri'!$B$8*(S877+R877)))</f>
        <v>35588.487617059305</v>
      </c>
      <c r="U877" s="18">
        <f>IF($A877&gt;('1-Input'!$B$26+3),S877,S877-MIN(MAX(S877,0),'P-Parametri'!$B$8*(S877+R877)))</f>
        <v>14764.438826876862</v>
      </c>
      <c r="V877" s="18">
        <f>IF($A877&gt;('1-Input'!$B$26+3),V876,V876-Q877*(1-P877))</f>
        <v>4071.5707460871527</v>
      </c>
      <c r="W877" s="11">
        <f>IF($A877&gt;('1-Input'!$B$26+3),0,IF(AB876&lt;=0,0,MAX(0,(AB876-AC876)/AB876)))</f>
        <v>0.71902154603953883</v>
      </c>
      <c r="X877" s="18">
        <f>IF($A877&gt;('1-Input'!$B$26+3),0,(MAX(0,W836-IF($A877&gt;='1-Input'!$C$12,'1-Input'!$B$12,0))-MIN(MAX(AA876,0),MAX(0,W836-IF($A877&gt;='1-Input'!$C$12,'1-Input'!$B$12,0))))*(1/(1-'P-Parametri'!$B$6*W877))+MIN(MAX(0,AB876-(MAX(0,W836-IF($A877&gt;='1-Input'!$C$12,'1-Input'!$B$12,0))-MIN(MAX(AA876,0),MAX(0,W836-IF($A877&gt;='1-Input'!$C$12,'1-Input'!$B$12,0))))*(1/(1-'P-Parametri'!$B$6*W877))),MAX(0,2*W836-(AA876-MIN(MAX(AA876,0),MAX(0,W836-IF($A877&gt;='1-Input'!$C$12,'1-Input'!$B$12,0)))))*(1/(1-'P-Parametri'!$B$6*W877))))</f>
        <v>8269.2060643466757</v>
      </c>
      <c r="Y877" s="18">
        <f>IF($A877&gt;('1-Input'!$B$26+3),AA876,(AA876-MAX(0,W836-IF($A877&gt;='1-Input'!$C$12,'1-Input'!$B$12,0))+X877*(1-'P-Parametri'!$B$6*W877))*(1+'1-Input'!$B$27))</f>
        <v>35268.354303294887</v>
      </c>
      <c r="Z877" s="18">
        <f>IF($A877&gt;('1-Input'!$B$26+3),AB876,(AB876-X877)*(1+'5-Roberta'!$C$4))</f>
        <v>28940.710860117899</v>
      </c>
      <c r="AA877" s="18">
        <f>IF($A877&gt;('1-Input'!$B$26+3),Y877,Y877-'P-Parametri'!$B$8*(Z877+Y877)+MIN(MAX(Z877,0),'P-Parametri'!$B$8*(Z877+Y877)))</f>
        <v>35268.354303294887</v>
      </c>
      <c r="AB877" s="18">
        <f>IF($A877&gt;('1-Input'!$B$26+3),Z877,Z877-MIN(MAX(Z877,0),'P-Parametri'!$B$8*(Z877+Y877)))</f>
        <v>28812.292729791072</v>
      </c>
      <c r="AC877" s="18">
        <f>IF($A877&gt;('1-Input'!$B$26+3),AC876,AC876-X877*(1-W877))</f>
        <v>7894.8700912550039</v>
      </c>
      <c r="AD877" s="11">
        <f>IF($A877&gt;('1-Input'!$B$26+3),0,IF(AI876&lt;=0,0,MAX(0,(AI876-AJ876)/AI876)))</f>
        <v>0.71908688092035622</v>
      </c>
      <c r="AE877" s="18">
        <f>IF($A877&gt;('1-Input'!$B$26+3),0,(MAX(0,AD836-IF($A877&gt;='1-Input'!$C$12,'1-Input'!$B$12,0))-MIN(MAX(AH876,0),MAX(0,AD836-IF($A877&gt;='1-Input'!$C$12,'1-Input'!$B$12,0))))*(1/(1-'P-Parametri'!$B$6*AD877))+MIN(MAX(0,AI876-(MAX(0,AD836-IF($A877&gt;='1-Input'!$C$12,'1-Input'!$B$12,0))-MIN(MAX(AH876,0),MAX(0,AD836-IF($A877&gt;='1-Input'!$C$12,'1-Input'!$B$12,0))))*(1/(1-'P-Parametri'!$B$6*AD877))),MAX(0,2*AD836-(AH876-MIN(MAX(AH876,0),MAX(0,AD836-IF($A877&gt;='1-Input'!$C$12,'1-Input'!$B$12,0)))))*(1/(1-'P-Parametri'!$B$6*AD877))))</f>
        <v>8254.0185858154691</v>
      </c>
      <c r="AF877" s="18">
        <f>IF($A877&gt;('1-Input'!$B$26+3),AH876,(AH876-MAX(0,AD836-IF($A877&gt;='1-Input'!$C$12,'1-Input'!$B$12,0))+AE877*(1-'P-Parametri'!$B$6*AD877))*(1+'1-Input'!$B$27))</f>
        <v>35243.64521006601</v>
      </c>
      <c r="AG877" s="18">
        <f>IF($A877&gt;('1-Input'!$B$26+3),AI876,(AI876-AE877)*(1+'5-Roberta'!$C$4))</f>
        <v>30027.330002302202</v>
      </c>
      <c r="AH877" s="18">
        <f>IF($A877&gt;('1-Input'!$B$26+3),AF877,AF877-'P-Parametri'!$B$8*(AG877+AF877)+MIN(MAX(AG877,0),'P-Parametri'!$B$8*(AG877+AF877)))</f>
        <v>35243.64521006601</v>
      </c>
      <c r="AI877" s="18">
        <f>IF($A877&gt;('1-Input'!$B$26+3),AG877,AG877-MIN(MAX(AG877,0),'P-Parametri'!$B$8*(AG877+AF877)))</f>
        <v>29896.788051877465</v>
      </c>
      <c r="AJ877" s="18">
        <f>IF($A877&gt;('1-Input'!$B$26+3),AJ876,AJ876-AE877*(1-AD877))</f>
        <v>8189.3892510490095</v>
      </c>
      <c r="AK877" s="11">
        <f>IF($A877&gt;('1-Input'!$B$26+3),0,IF(AP876&lt;=0,0,MAX(0,(AP876-AQ876)/AP876)))</f>
        <v>0.71908673792906419</v>
      </c>
      <c r="AL877" s="18">
        <f>IF($A877&gt;('1-Input'!$B$26+3),0,(MAX(0,AK836-IF($A877&gt;='1-Input'!$C$12,'1-Input'!$B$12,0))-MIN(MAX(AO876,0),MAX(0,AK836-IF($A877&gt;='1-Input'!$C$12,'1-Input'!$B$12,0))))*(1/(1-'P-Parametri'!$B$6*AK877))+MIN(MAX(0,AP876-(MAX(0,AK836-IF($A877&gt;='1-Input'!$C$12,'1-Input'!$B$12,0))-MIN(MAX(AO876,0),MAX(0,AK836-IF($A877&gt;='1-Input'!$C$12,'1-Input'!$B$12,0))))*(1/(1-'P-Parametri'!$B$6*AK877))),MAX(0,2*AK836-(AO876-MIN(MAX(AO876,0),MAX(0,AK836-IF($A877&gt;='1-Input'!$C$12,'1-Input'!$B$12,0)))))*(1/(1-'P-Parametri'!$B$6*AK877))))</f>
        <v>8254.0524044627655</v>
      </c>
      <c r="AM877" s="18">
        <f>IF($A877&gt;('1-Input'!$B$26+3),AO876,(AO876-MAX(0,AK836-IF($A877&gt;='1-Input'!$C$12,'1-Input'!$B$12,0))+AL877*(1-'P-Parametri'!$B$6*AK877))*(1+'1-Input'!$B$27))</f>
        <v>35243.700219205675</v>
      </c>
      <c r="AN877" s="18">
        <f>IF($A877&gt;('1-Input'!$B$26+3),AP876,(AP876-AL877)*(1+'5-Roberta'!$C$4))</f>
        <v>30024.910864023852</v>
      </c>
      <c r="AO877" s="18">
        <f>IF($A877&gt;('1-Input'!$B$26+3),AM877,AM877-'P-Parametri'!$B$8*(AN877+AM877)+MIN(MAX(AN877,0),'P-Parametri'!$B$8*(AN877+AM877)))</f>
        <v>35243.700219205675</v>
      </c>
      <c r="AP877" s="18">
        <f>IF($A877&gt;('1-Input'!$B$26+3),AN877,AN877-MIN(MAX(AN877,0),'P-Parametri'!$B$8*(AN877+AM877)))</f>
        <v>29894.373641857394</v>
      </c>
      <c r="AQ877" s="18">
        <f>IF($A877&gt;('1-Input'!$B$26+3),AQ876,AQ876-AL877*(1-AK877))</f>
        <v>8188.7336448563328</v>
      </c>
    </row>
    <row r="878" spans="1:43">
      <c r="A878" s="10">
        <f>40</f>
        <v>40</v>
      </c>
      <c r="B878" s="11">
        <f>IF($A878&gt;('1-Input'!$B$26+3),0,IF(G877&lt;=0,0,MAX(0,(G877-H877)/G877)))</f>
        <v>0.72892493653789736</v>
      </c>
      <c r="C878" s="18">
        <f>IF($A878&gt;('1-Input'!$B$26+3),0,(MAX(0,B836-IF($A878&gt;='1-Input'!$C$12,'1-Input'!$B$12,0))-MIN(MAX(F877,0),MAX(0,B836-IF($A878&gt;='1-Input'!$C$12,'1-Input'!$B$12,0))))*(1/(1-'P-Parametri'!$B$6*B878))+MIN(MAX(0,G877-(MAX(0,B836-IF($A878&gt;='1-Input'!$C$12,'1-Input'!$B$12,0))-MIN(MAX(F877,0),MAX(0,B836-IF($A878&gt;='1-Input'!$C$12,'1-Input'!$B$12,0))))*(1/(1-'P-Parametri'!$B$6*B878))),MAX(0,2*B836-(F877-MIN(MAX(F877,0),MAX(0,B836-IF($A878&gt;='1-Input'!$C$12,'1-Input'!$B$12,0)))))*(1/(1-'P-Parametri'!$B$6*B878))))</f>
        <v>7031.8358414553168</v>
      </c>
      <c r="D878" s="18">
        <f>IF($A878&gt;('1-Input'!$B$26+3),F877,(F877-MAX(0,B836-IF($A878&gt;='1-Input'!$C$12,'1-Input'!$B$12,0))+C878*(1-'P-Parametri'!$B$6*B878))*(1+'1-Input'!$B$27))</f>
        <v>33242.0070309863</v>
      </c>
      <c r="E878" s="18">
        <f>IF($A878&gt;('1-Input'!$B$26+3),G877,(G877-C878)*(1+'5-Roberta'!$C$4))</f>
        <v>114089.07316879976</v>
      </c>
      <c r="F878" s="18">
        <f>IF($A878&gt;('1-Input'!$B$26+3),D878,D878-'P-Parametri'!$B$8*(E878+D878)+MIN(MAX(E878,0),'P-Parametri'!$B$8*(E878+D878)))</f>
        <v>33242.0070309863</v>
      </c>
      <c r="G878" s="18">
        <f>IF($A878&gt;('1-Input'!$B$26+3),E878,E878-MIN(MAX(E878,0),'P-Parametri'!$B$8*(E878+D878)))</f>
        <v>113794.41100840019</v>
      </c>
      <c r="H878" s="18">
        <f>IF($A878&gt;('1-Input'!$B$26+3),H877,H877-C878*(1-B878))</f>
        <v>30025.924999577543</v>
      </c>
      <c r="I878" s="11">
        <f>IF($A878&gt;('1-Input'!$B$26+3),0,IF(N877&lt;=0,0,MAX(0,(N877-O877)/N877)))</f>
        <v>0</v>
      </c>
      <c r="J878" s="18">
        <f>IF($A878&gt;('1-Input'!$B$26+3),0,(MAX(0,I836-IF($A878&gt;='1-Input'!$C$12,'1-Input'!$B$12,0))-MIN(MAX(M877,0),MAX(0,I836-IF($A878&gt;='1-Input'!$C$12,'1-Input'!$B$12,0))))*(1/(1-'P-Parametri'!$B$6*I878))+MIN(MAX(0,N877-(MAX(0,I836-IF($A878&gt;='1-Input'!$C$12,'1-Input'!$B$12,0))-MIN(MAX(M877,0),MAX(0,I836-IF($A878&gt;='1-Input'!$C$12,'1-Input'!$B$12,0))))*(1/(1-'P-Parametri'!$B$6*I878))),MAX(0,2*I836-(M877-MIN(MAX(M877,0),MAX(0,I836-IF($A878&gt;='1-Input'!$C$12,'1-Input'!$B$12,0)))))*(1/(1-'P-Parametri'!$B$6*I878))))</f>
        <v>10846.756992928691</v>
      </c>
      <c r="K878" s="18">
        <f>IF($A878&gt;('1-Input'!$B$26+3),M877,(M877-MAX(0,I836-IF($A878&gt;='1-Input'!$C$12,'1-Input'!$B$12,0))+J878*(1-'P-Parametri'!$B$6*I878))*(1+'1-Input'!$B$27))</f>
        <v>0</v>
      </c>
      <c r="L878" s="18">
        <f>IF($A878&gt;('1-Input'!$B$26+3),N877,(N877-J878)*(1+'5-Roberta'!$C$4))</f>
        <v>-228280.53135816727</v>
      </c>
      <c r="M878" s="18">
        <f>IF($A878&gt;('1-Input'!$B$26+3),K878,K878-'P-Parametri'!$B$8*(L878+K878)+MIN(MAX(L878,0),'P-Parametri'!$B$8*(L878+K878)))</f>
        <v>0</v>
      </c>
      <c r="N878" s="18">
        <f>IF($A878&gt;('1-Input'!$B$26+3),L878,L878-MIN(MAX(L878,0),'P-Parametri'!$B$8*(L878+K878)))</f>
        <v>-227823.97029545094</v>
      </c>
      <c r="O878" s="18">
        <f>IF($A878&gt;('1-Input'!$B$26+3),O877,O877-J878*(1-I878))</f>
        <v>-177739.36313651688</v>
      </c>
      <c r="P878" s="11">
        <f>IF($A878&gt;('1-Input'!$B$26+3),0,IF(U877&lt;=0,0,MAX(0,(U877-V877)/U877)))</f>
        <v>0.72423125634308871</v>
      </c>
      <c r="Q878" s="18">
        <f>IF($A878&gt;('1-Input'!$B$26+3),0,(MAX(0,P836-IF($A878&gt;='1-Input'!$C$12,'1-Input'!$B$12,0))-MIN(MAX(T877,0),MAX(0,P836-IF($A878&gt;='1-Input'!$C$12,'1-Input'!$B$12,0))))*(1/(1-'P-Parametri'!$B$6*P878))+MIN(MAX(0,U877-(MAX(0,P836-IF($A878&gt;='1-Input'!$C$12,'1-Input'!$B$12,0))-MIN(MAX(T877,0),MAX(0,P836-IF($A878&gt;='1-Input'!$C$12,'1-Input'!$B$12,0))))*(1/(1-'P-Parametri'!$B$6*P878))),MAX(0,2*P836-(T877-MIN(MAX(T877,0),MAX(0,P836-IF($A878&gt;='1-Input'!$C$12,'1-Input'!$B$12,0)))))*(1/(1-'P-Parametri'!$B$6*P878))))</f>
        <v>8482.3420669782845</v>
      </c>
      <c r="R878" s="18">
        <f>IF($A878&gt;('1-Input'!$B$26+3),T877,(T877-MAX(0,P836-IF($A878&gt;='1-Input'!$C$12,'1-Input'!$B$12,0))+Q878*(1-'P-Parametri'!$B$6*P878))*(1+'1-Input'!$B$27))</f>
        <v>35588.487617059305</v>
      </c>
      <c r="S878" s="18">
        <f>IF($A878&gt;('1-Input'!$B$26+3),U877,(U877-Q878)*(1+'5-Roberta'!$C$4))</f>
        <v>6470.5596626955348</v>
      </c>
      <c r="T878" s="18">
        <f>IF($A878&gt;('1-Input'!$B$26+3),R878,R878-'P-Parametri'!$B$8*(S878+R878)+MIN(MAX(S878,0),'P-Parametri'!$B$8*(S878+R878)))</f>
        <v>35588.487617059305</v>
      </c>
      <c r="U878" s="18">
        <f>IF($A878&gt;('1-Input'!$B$26+3),S878,S878-MIN(MAX(S878,0),'P-Parametri'!$B$8*(S878+R878)))</f>
        <v>6386.4415681360251</v>
      </c>
      <c r="V878" s="18">
        <f>IF($A878&gt;('1-Input'!$B$26+3),V877,V877-Q878*(1-P878))</f>
        <v>1732.405931008383</v>
      </c>
      <c r="W878" s="11">
        <f>IF($A878&gt;('1-Input'!$B$26+3),0,IF(AB877&lt;=0,0,MAX(0,(AB877-AC877)/AB877)))</f>
        <v>0.72598952241339898</v>
      </c>
      <c r="X878" s="18">
        <f>IF($A878&gt;('1-Input'!$B$26+3),0,(MAX(0,W836-IF($A878&gt;='1-Input'!$C$12,'1-Input'!$B$12,0))-MIN(MAX(AA877,0),MAX(0,W836-IF($A878&gt;='1-Input'!$C$12,'1-Input'!$B$12,0))))*(1/(1-'P-Parametri'!$B$6*W878))+MIN(MAX(0,AB877-(MAX(0,W836-IF($A878&gt;='1-Input'!$C$12,'1-Input'!$B$12,0))-MIN(MAX(AA877,0),MAX(0,W836-IF($A878&gt;='1-Input'!$C$12,'1-Input'!$B$12,0))))*(1/(1-'P-Parametri'!$B$6*W878))),MAX(0,2*W836-(AA877-MIN(MAX(AA877,0),MAX(0,W836-IF($A878&gt;='1-Input'!$C$12,'1-Input'!$B$12,0)))))*(1/(1-'P-Parametri'!$B$6*W878))))</f>
        <v>8287.67292266197</v>
      </c>
      <c r="Y878" s="18">
        <f>IF($A878&gt;('1-Input'!$B$26+3),AA877,(AA877-MAX(0,W836-IF($A878&gt;='1-Input'!$C$12,'1-Input'!$B$12,0))+X878*(1-'P-Parametri'!$B$6*W878))*(1+'1-Input'!$B$27))</f>
        <v>35268.354303294887</v>
      </c>
      <c r="Z878" s="18">
        <f>IF($A878&gt;('1-Input'!$B$26+3),AB877,(AB877-X878)*(1+'5-Roberta'!$C$4))</f>
        <v>21140.358401342975</v>
      </c>
      <c r="AA878" s="18">
        <f>IF($A878&gt;('1-Input'!$B$26+3),Y878,Y878-'P-Parametri'!$B$8*(Z878+Y878)+MIN(MAX(Z878,0),'P-Parametri'!$B$8*(Z878+Y878)))</f>
        <v>35268.354303294887</v>
      </c>
      <c r="AB878" s="18">
        <f>IF($A878&gt;('1-Input'!$B$26+3),Z878,Z878-MIN(MAX(Z878,0),'P-Parametri'!$B$8*(Z878+Y878)))</f>
        <v>21027.540975933698</v>
      </c>
      <c r="AC878" s="18">
        <f>IF($A878&gt;('1-Input'!$B$26+3),AC877,AC877-X878*(1-W878))</f>
        <v>5623.9608756348562</v>
      </c>
      <c r="AD878" s="11">
        <f>IF($A878&gt;('1-Input'!$B$26+3),0,IF(AI877&lt;=0,0,MAX(0,(AI877-AJ877)/AI877)))</f>
        <v>0.7260779573766043</v>
      </c>
      <c r="AE878" s="18">
        <f>IF($A878&gt;('1-Input'!$B$26+3),0,(MAX(0,AD836-IF($A878&gt;='1-Input'!$C$12,'1-Input'!$B$12,0))-MIN(MAX(AH877,0),MAX(0,AD836-IF($A878&gt;='1-Input'!$C$12,'1-Input'!$B$12,0))))*(1/(1-'P-Parametri'!$B$6*AD878))+MIN(MAX(0,AI877-(MAX(0,AD836-IF($A878&gt;='1-Input'!$C$12,'1-Input'!$B$12,0))-MIN(MAX(AH877,0),MAX(0,AD836-IF($A878&gt;='1-Input'!$C$12,'1-Input'!$B$12,0))))*(1/(1-'P-Parametri'!$B$6*AD878))),MAX(0,2*AD836-(AH877-MIN(MAX(AH877,0),MAX(0,AD836-IF($A878&gt;='1-Input'!$C$12,'1-Input'!$B$12,0)))))*(1/(1-'P-Parametri'!$B$6*AD878))))</f>
        <v>8272.5131600058867</v>
      </c>
      <c r="AF878" s="18">
        <f>IF($A878&gt;('1-Input'!$B$26+3),AH877,(AH877-MAX(0,AD836-IF($A878&gt;='1-Input'!$C$12,'1-Input'!$B$12,0))+AE878*(1-'P-Parametri'!$B$6*AD878))*(1+'1-Input'!$B$27))</f>
        <v>35243.64521006601</v>
      </c>
      <c r="AG878" s="18">
        <f>IF($A878&gt;('1-Input'!$B$26+3),AI877,(AI877-AE878)*(1+'5-Roberta'!$C$4))</f>
        <v>22273.00313862773</v>
      </c>
      <c r="AH878" s="18">
        <f>IF($A878&gt;('1-Input'!$B$26+3),AF878,AF878-'P-Parametri'!$B$8*(AG878+AF878)+MIN(MAX(AG878,0),'P-Parametri'!$B$8*(AG878+AF878)))</f>
        <v>35243.64521006601</v>
      </c>
      <c r="AI878" s="18">
        <f>IF($A878&gt;('1-Input'!$B$26+3),AG878,AG878-MIN(MAX(AG878,0),'P-Parametri'!$B$8*(AG878+AF878)))</f>
        <v>22157.969841930342</v>
      </c>
      <c r="AJ878" s="18">
        <f>IF($A878&gt;('1-Input'!$B$26+3),AJ877,AJ877-AE878*(1-AD878))</f>
        <v>5923.3655486312746</v>
      </c>
      <c r="AK878" s="11">
        <f>IF($A878&gt;('1-Input'!$B$26+3),0,IF(AP877&lt;=0,0,MAX(0,(AP877-AQ877)/AP877)))</f>
        <v>0.72607776490119658</v>
      </c>
      <c r="AL878" s="18">
        <f>IF($A878&gt;('1-Input'!$B$26+3),0,(MAX(0,AK836-IF($A878&gt;='1-Input'!$C$12,'1-Input'!$B$12,0))-MIN(MAX(AO877,0),MAX(0,AK836-IF($A878&gt;='1-Input'!$C$12,'1-Input'!$B$12,0))))*(1/(1-'P-Parametri'!$B$6*AK878))+MIN(MAX(0,AP877-(MAX(0,AK836-IF($A878&gt;='1-Input'!$C$12,'1-Input'!$B$12,0))-MIN(MAX(AO877,0),MAX(0,AK836-IF($A878&gt;='1-Input'!$C$12,'1-Input'!$B$12,0))))*(1/(1-'P-Parametri'!$B$6*AK878))),MAX(0,2*AK836-(AO877-MIN(MAX(AO877,0),MAX(0,AK836-IF($A878&gt;='1-Input'!$C$12,'1-Input'!$B$12,0)))))*(1/(1-'P-Parametri'!$B$6*AK878))))</f>
        <v>8272.5469223803611</v>
      </c>
      <c r="AM878" s="18">
        <f>IF($A878&gt;('1-Input'!$B$26+3),AO877,(AO877-MAX(0,AK836-IF($A878&gt;='1-Input'!$C$12,'1-Input'!$B$12,0))+AL878*(1-'P-Parametri'!$B$6*AK878))*(1+'1-Input'!$B$27))</f>
        <v>35243.700219205675</v>
      </c>
      <c r="AN878" s="18">
        <f>IF($A878&gt;('1-Input'!$B$26+3),AP877,(AP877-AL878)*(1+'5-Roberta'!$C$4))</f>
        <v>22270.481521061341</v>
      </c>
      <c r="AO878" s="18">
        <f>IF($A878&gt;('1-Input'!$B$26+3),AM878,AM878-'P-Parametri'!$B$8*(AN878+AM878)+MIN(MAX(AN878,0),'P-Parametri'!$B$8*(AN878+AM878)))</f>
        <v>35243.700219205675</v>
      </c>
      <c r="AP878" s="18">
        <f>IF($A878&gt;('1-Input'!$B$26+3),AN878,AN878-MIN(MAX(AN878,0),'P-Parametri'!$B$8*(AN878+AM878)))</f>
        <v>22155.453157580807</v>
      </c>
      <c r="AQ878" s="18">
        <f>IF($A878&gt;('1-Input'!$B$26+3),AQ877,AQ877-AL878*(1-AK878))</f>
        <v>5922.6991019181769</v>
      </c>
    </row>
    <row r="879" spans="1:43">
      <c r="A879" s="10">
        <f>41</f>
        <v>41</v>
      </c>
      <c r="B879" s="11">
        <f>IF($A879&gt;('1-Input'!$B$26+3),0,IF(G878&lt;=0,0,MAX(0,(G878-H878)/G878)))</f>
        <v>0.73613884255386619</v>
      </c>
      <c r="C879" s="18">
        <f>IF($A879&gt;('1-Input'!$B$26+3),0,(MAX(0,B836-IF($A879&gt;='1-Input'!$C$12,'1-Input'!$B$12,0))-MIN(MAX(F878,0),MAX(0,B836-IF($A879&gt;='1-Input'!$C$12,'1-Input'!$B$12,0))))*(1/(1-'P-Parametri'!$B$6*B879))+MIN(MAX(0,G878-(MAX(0,B836-IF($A879&gt;='1-Input'!$C$12,'1-Input'!$B$12,0))-MIN(MAX(F878,0),MAX(0,B836-IF($A879&gt;='1-Input'!$C$12,'1-Input'!$B$12,0))))*(1/(1-'P-Parametri'!$B$6*B879))),MAX(0,2*B836-(F878-MIN(MAX(F878,0),MAX(0,B836-IF($A879&gt;='1-Input'!$C$12,'1-Input'!$B$12,0)))))*(1/(1-'P-Parametri'!$B$6*B879))))</f>
        <v>7048.1466961686428</v>
      </c>
      <c r="D879" s="18">
        <f>IF($A879&gt;('1-Input'!$B$26+3),F878,(F878-MAX(0,B836-IF($A879&gt;='1-Input'!$C$12,'1-Input'!$B$12,0))+C879*(1-'P-Parametri'!$B$6*B879))*(1+'1-Input'!$B$27))</f>
        <v>33242.0070309863</v>
      </c>
      <c r="E879" s="18">
        <f>IF($A879&gt;('1-Input'!$B$26+3),G878,(G878-C879)*(1+'5-Roberta'!$C$4))</f>
        <v>109948.65224159849</v>
      </c>
      <c r="F879" s="18">
        <f>IF($A879&gt;('1-Input'!$B$26+3),D879,D879-'P-Parametri'!$B$8*(E879+D879)+MIN(MAX(E879,0),'P-Parametri'!$B$8*(E879+D879)))</f>
        <v>33242.0070309863</v>
      </c>
      <c r="G879" s="18">
        <f>IF($A879&gt;('1-Input'!$B$26+3),E879,E879-MIN(MAX(E879,0),'P-Parametri'!$B$8*(E879+D879)))</f>
        <v>109662.27092305332</v>
      </c>
      <c r="H879" s="18">
        <f>IF($A879&gt;('1-Input'!$B$26+3),H878,H878-C879*(1-B879))</f>
        <v>28166.19285447634</v>
      </c>
      <c r="I879" s="11">
        <f>IF($A879&gt;('1-Input'!$B$26+3),0,IF(N878&lt;=0,0,MAX(0,(N878-O878)/N878)))</f>
        <v>0</v>
      </c>
      <c r="J879" s="18">
        <f>IF($A879&gt;('1-Input'!$B$26+3),0,(MAX(0,I836-IF($A879&gt;='1-Input'!$C$12,'1-Input'!$B$12,0))-MIN(MAX(M878,0),MAX(0,I836-IF($A879&gt;='1-Input'!$C$12,'1-Input'!$B$12,0))))*(1/(1-'P-Parametri'!$B$6*I879))+MIN(MAX(0,N878-(MAX(0,I836-IF($A879&gt;='1-Input'!$C$12,'1-Input'!$B$12,0))-MIN(MAX(M878,0),MAX(0,I836-IF($A879&gt;='1-Input'!$C$12,'1-Input'!$B$12,0))))*(1/(1-'P-Parametri'!$B$6*I879))),MAX(0,2*I836-(M878-MIN(MAX(M878,0),MAX(0,I836-IF($A879&gt;='1-Input'!$C$12,'1-Input'!$B$12,0)))))*(1/(1-'P-Parametri'!$B$6*I879))))</f>
        <v>10846.756992928691</v>
      </c>
      <c r="K879" s="18">
        <f>IF($A879&gt;('1-Input'!$B$26+3),M878,(M878-MAX(0,I836-IF($A879&gt;='1-Input'!$C$12,'1-Input'!$B$12,0))+J879*(1-'P-Parametri'!$B$6*I879))*(1+'1-Input'!$B$27))</f>
        <v>0</v>
      </c>
      <c r="L879" s="18">
        <f>IF($A879&gt;('1-Input'!$B$26+3),N878,(N878-J879)*(1+'5-Roberta'!$C$4))</f>
        <v>-245830.84910703101</v>
      </c>
      <c r="M879" s="18">
        <f>IF($A879&gt;('1-Input'!$B$26+3),K879,K879-'P-Parametri'!$B$8*(L879+K879)+MIN(MAX(L879,0),'P-Parametri'!$B$8*(L879+K879)))</f>
        <v>0</v>
      </c>
      <c r="N879" s="18">
        <f>IF($A879&gt;('1-Input'!$B$26+3),L879,L879-MIN(MAX(L879,0),'P-Parametri'!$B$8*(L879+K879)))</f>
        <v>-245339.18740881694</v>
      </c>
      <c r="O879" s="18">
        <f>IF($A879&gt;('1-Input'!$B$26+3),O878,O878-J879*(1-I879))</f>
        <v>-188586.12012944557</v>
      </c>
      <c r="P879" s="11">
        <f>IF($A879&gt;('1-Input'!$B$26+3),0,IF(U878&lt;=0,0,MAX(0,(U878-V878)/U878)))</f>
        <v>0.72873690105427358</v>
      </c>
      <c r="Q879" s="18">
        <f>IF($A879&gt;('1-Input'!$B$26+3),0,(MAX(0,P836-IF($A879&gt;='1-Input'!$C$12,'1-Input'!$B$12,0))-MIN(MAX(T878,0),MAX(0,P836-IF($A879&gt;='1-Input'!$C$12,'1-Input'!$B$12,0))))*(1/(1-'P-Parametri'!$B$6*P879))+MIN(MAX(0,U878-(MAX(0,P836-IF($A879&gt;='1-Input'!$C$12,'1-Input'!$B$12,0))-MIN(MAX(T878,0),MAX(0,P836-IF($A879&gt;='1-Input'!$C$12,'1-Input'!$B$12,0))))*(1/(1-'P-Parametri'!$B$6*P879))),MAX(0,2*P836-(T878-MIN(MAX(T878,0),MAX(0,P836-IF($A879&gt;='1-Input'!$C$12,'1-Input'!$B$12,0)))))*(1/(1-'P-Parametri'!$B$6*P879))))</f>
        <v>6386.4415681360251</v>
      </c>
      <c r="R879" s="18">
        <f>IF($A879&gt;('1-Input'!$B$26+3),T878,(T878-MAX(0,P836-IF($A879&gt;='1-Input'!$C$12,'1-Input'!$B$12,0))+Q879*(1-'P-Parametri'!$B$6*P879))*(1+'1-Input'!$B$27))</f>
        <v>33885.915343302135</v>
      </c>
      <c r="S879" s="18">
        <f>IF($A879&gt;('1-Input'!$B$26+3),U878,(U878-Q879)*(1+'5-Roberta'!$C$4))</f>
        <v>0</v>
      </c>
      <c r="T879" s="18">
        <f>IF($A879&gt;('1-Input'!$B$26+3),R879,R879-'P-Parametri'!$B$8*(S879+R879)+MIN(MAX(S879,0),'P-Parametri'!$B$8*(S879+R879)))</f>
        <v>33818.143512615534</v>
      </c>
      <c r="U879" s="18">
        <f>IF($A879&gt;('1-Input'!$B$26+3),S879,S879-MIN(MAX(S879,0),'P-Parametri'!$B$8*(S879+R879)))</f>
        <v>0</v>
      </c>
      <c r="V879" s="18">
        <f>IF($A879&gt;('1-Input'!$B$26+3),V878,V878-Q879*(1-P879))</f>
        <v>2.2737367544323206E-13</v>
      </c>
      <c r="W879" s="11">
        <f>IF($A879&gt;('1-Input'!$B$26+3),0,IF(AB878&lt;=0,0,MAX(0,(AB878-AC878)/AB878)))</f>
        <v>0.7325431023022827</v>
      </c>
      <c r="X879" s="18">
        <f>IF($A879&gt;('1-Input'!$B$26+3),0,(MAX(0,W836-IF($A879&gt;='1-Input'!$C$12,'1-Input'!$B$12,0))-MIN(MAX(AA878,0),MAX(0,W836-IF($A879&gt;='1-Input'!$C$12,'1-Input'!$B$12,0))))*(1/(1-'P-Parametri'!$B$6*W879))+MIN(MAX(0,AB878-(MAX(0,W836-IF($A879&gt;='1-Input'!$C$12,'1-Input'!$B$12,0))-MIN(MAX(AA878,0),MAX(0,W836-IF($A879&gt;='1-Input'!$C$12,'1-Input'!$B$12,0))))*(1/(1-'P-Parametri'!$B$6*W879))),MAX(0,2*W836-(AA878-MIN(MAX(AA878,0),MAX(0,W836-IF($A879&gt;='1-Input'!$C$12,'1-Input'!$B$12,0)))))*(1/(1-'P-Parametri'!$B$6*W879))))</f>
        <v>8305.1169550282066</v>
      </c>
      <c r="Y879" s="18">
        <f>IF($A879&gt;('1-Input'!$B$26+3),AA878,(AA878-MAX(0,W836-IF($A879&gt;='1-Input'!$C$12,'1-Input'!$B$12,0))+X879*(1-'P-Parametri'!$B$6*W879))*(1+'1-Input'!$B$27))</f>
        <v>35268.354303294887</v>
      </c>
      <c r="Z879" s="18">
        <f>IF($A879&gt;('1-Input'!$B$26+3),AB878,(AB878-X879)*(1+'5-Roberta'!$C$4))</f>
        <v>13104.096741532656</v>
      </c>
      <c r="AA879" s="18">
        <f>IF($A879&gt;('1-Input'!$B$26+3),Y879,Y879-'P-Parametri'!$B$8*(Z879+Y879)+MIN(MAX(Z879,0),'P-Parametri'!$B$8*(Z879+Y879)))</f>
        <v>35268.354303294887</v>
      </c>
      <c r="AB879" s="18">
        <f>IF($A879&gt;('1-Input'!$B$26+3),Z879,Z879-MIN(MAX(Z879,0),'P-Parametri'!$B$8*(Z879+Y879)))</f>
        <v>13007.351839443001</v>
      </c>
      <c r="AC879" s="18">
        <f>IF($A879&gt;('1-Input'!$B$26+3),AC878,AC878-X879*(1-W879))</f>
        <v>3402.7000598262998</v>
      </c>
      <c r="AD879" s="11">
        <f>IF($A879&gt;('1-Input'!$B$26+3),0,IF(AI878&lt;=0,0,MAX(0,(AI878-AJ878)/AI878)))</f>
        <v>0.73267562006415088</v>
      </c>
      <c r="AE879" s="18">
        <f>IF($A879&gt;('1-Input'!$B$26+3),0,(MAX(0,AD836-IF($A879&gt;='1-Input'!$C$12,'1-Input'!$B$12,0))-MIN(MAX(AH878,0),MAX(0,AD836-IF($A879&gt;='1-Input'!$C$12,'1-Input'!$B$12,0))))*(1/(1-'P-Parametri'!$B$6*AD879))+MIN(MAX(0,AI878-(MAX(0,AD836-IF($A879&gt;='1-Input'!$C$12,'1-Input'!$B$12,0))-MIN(MAX(AH878,0),MAX(0,AD836-IF($A879&gt;='1-Input'!$C$12,'1-Input'!$B$12,0))))*(1/(1-'P-Parametri'!$B$6*AD879))),MAX(0,2*AD836-(AH878-MIN(MAX(AH878,0),MAX(0,AD836-IF($A879&gt;='1-Input'!$C$12,'1-Input'!$B$12,0)))))*(1/(1-'P-Parametri'!$B$6*AD879))))</f>
        <v>8290.0431529734487</v>
      </c>
      <c r="AF879" s="18">
        <f>IF($A879&gt;('1-Input'!$B$26+3),AH878,(AH878-MAX(0,AD836-IF($A879&gt;='1-Input'!$C$12,'1-Input'!$B$12,0))+AE879*(1-'P-Parametri'!$B$6*AD879))*(1+'1-Input'!$B$27))</f>
        <v>35243.64521006601</v>
      </c>
      <c r="AG879" s="18">
        <f>IF($A879&gt;('1-Input'!$B$26+3),AI878,(AI878-AE879)*(1+'5-Roberta'!$C$4))</f>
        <v>14283.964489625601</v>
      </c>
      <c r="AH879" s="18">
        <f>IF($A879&gt;('1-Input'!$B$26+3),AF879,AF879-'P-Parametri'!$B$8*(AG879+AF879)+MIN(MAX(AG879,0),'P-Parametri'!$B$8*(AG879+AF879)))</f>
        <v>35243.64521006601</v>
      </c>
      <c r="AI879" s="18">
        <f>IF($A879&gt;('1-Input'!$B$26+3),AG879,AG879-MIN(MAX(AG879,0),'P-Parametri'!$B$8*(AG879+AF879)))</f>
        <v>14184.909270226219</v>
      </c>
      <c r="AJ879" s="18">
        <f>IF($A879&gt;('1-Input'!$B$26+3),AJ878,AJ878-AE879*(1-AD879))</f>
        <v>3707.2349031212157</v>
      </c>
      <c r="AK879" s="11">
        <f>IF($A879&gt;('1-Input'!$B$26+3),0,IF(AP878&lt;=0,0,MAX(0,(AP878-AQ878)/AP878)))</f>
        <v>0.73267533460981638</v>
      </c>
      <c r="AL879" s="18">
        <f>IF($A879&gt;('1-Input'!$B$26+3),0,(MAX(0,AK836-IF($A879&gt;='1-Input'!$C$12,'1-Input'!$B$12,0))-MIN(MAX(AO878,0),MAX(0,AK836-IF($A879&gt;='1-Input'!$C$12,'1-Input'!$B$12,0))))*(1/(1-'P-Parametri'!$B$6*AK879))+MIN(MAX(0,AP878-(MAX(0,AK836-IF($A879&gt;='1-Input'!$C$12,'1-Input'!$B$12,0))-MIN(MAX(AO878,0),MAX(0,AK836-IF($A879&gt;='1-Input'!$C$12,'1-Input'!$B$12,0))))*(1/(1-'P-Parametri'!$B$6*AK879))),MAX(0,2*AK836-(AO878-MIN(MAX(AO878,0),MAX(0,AK836-IF($A879&gt;='1-Input'!$C$12,'1-Input'!$B$12,0)))))*(1/(1-'P-Parametri'!$B$6*AK879))))</f>
        <v>8290.0767382393333</v>
      </c>
      <c r="AM879" s="18">
        <f>IF($A879&gt;('1-Input'!$B$26+3),AO878,(AO878-MAX(0,AK836-IF($A879&gt;='1-Input'!$C$12,'1-Input'!$B$12,0))+AL879*(1-'P-Parametri'!$B$6*AK879))*(1+'1-Input'!$B$27))</f>
        <v>35243.700219205675</v>
      </c>
      <c r="AN879" s="18">
        <f>IF($A879&gt;('1-Input'!$B$26+3),AP878,(AP878-AL879)*(1+'5-Roberta'!$C$4))</f>
        <v>14281.337711921718</v>
      </c>
      <c r="AO879" s="18">
        <f>IF($A879&gt;('1-Input'!$B$26+3),AM879,AM879-'P-Parametri'!$B$8*(AN879+AM879)+MIN(MAX(AN879,0),'P-Parametri'!$B$8*(AN879+AM879)))</f>
        <v>35243.700219205675</v>
      </c>
      <c r="AP879" s="18">
        <f>IF($A879&gt;('1-Input'!$B$26+3),AN879,AN879-MIN(MAX(AN879,0),'P-Parametri'!$B$8*(AN879+AM879)))</f>
        <v>14182.287636059464</v>
      </c>
      <c r="AQ879" s="18">
        <f>IF($A879&gt;('1-Input'!$B$26+3),AQ878,AQ878-AL879*(1-AK879))</f>
        <v>3706.5571118094022</v>
      </c>
    </row>
    <row r="880" spans="1:43">
      <c r="A880" s="10">
        <f>42</f>
        <v>42</v>
      </c>
      <c r="B880" s="11">
        <f>IF($A880&gt;('1-Input'!$B$26+3),0,IF(G879&lt;=0,0,MAX(0,(G879-H879)/G879)))</f>
        <v>0.74315511964694136</v>
      </c>
      <c r="C880" s="18">
        <f>IF($A880&gt;('1-Input'!$B$26+3),0,(MAX(0,B836-IF($A880&gt;='1-Input'!$C$12,'1-Input'!$B$12,0))-MIN(MAX(F879,0),MAX(0,B836-IF($A880&gt;='1-Input'!$C$12,'1-Input'!$B$12,0))))*(1/(1-'P-Parametri'!$B$6*B880))+MIN(MAX(0,G879-(MAX(0,B836-IF($A880&gt;='1-Input'!$C$12,'1-Input'!$B$12,0))-MIN(MAX(F879,0),MAX(0,B836-IF($A880&gt;='1-Input'!$C$12,'1-Input'!$B$12,0))))*(1/(1-'P-Parametri'!$B$6*B880))),MAX(0,2*B836-(F879-MIN(MAX(F879,0),MAX(0,B836-IF($A880&gt;='1-Input'!$C$12,'1-Input'!$B$12,0)))))*(1/(1-'P-Parametri'!$B$6*B880))))</f>
        <v>7064.0834575312965</v>
      </c>
      <c r="D880" s="18">
        <f>IF($A880&gt;('1-Input'!$B$26+3),F879,(F879-MAX(0,B836-IF($A880&gt;='1-Input'!$C$12,'1-Input'!$B$12,0))+C880*(1-'P-Parametri'!$B$6*B880))*(1+'1-Input'!$B$27))</f>
        <v>33242.0070309863</v>
      </c>
      <c r="E880" s="18">
        <f>IF($A880&gt;('1-Input'!$B$26+3),G879,(G879-C880)*(1+'5-Roberta'!$C$4))</f>
        <v>105676.13308948769</v>
      </c>
      <c r="F880" s="18">
        <f>IF($A880&gt;('1-Input'!$B$26+3),D880,D880-'P-Parametri'!$B$8*(E880+D880)+MIN(MAX(E880,0),'P-Parametri'!$B$8*(E880+D880)))</f>
        <v>33242.0070309863</v>
      </c>
      <c r="G880" s="18">
        <f>IF($A880&gt;('1-Input'!$B$26+3),E880,E880-MIN(MAX(E880,0),'P-Parametri'!$B$8*(E880+D880)))</f>
        <v>105398.29680924673</v>
      </c>
      <c r="H880" s="18">
        <f>IF($A880&gt;('1-Input'!$B$26+3),H879,H879-C880*(1-B880))</f>
        <v>26351.819184022694</v>
      </c>
      <c r="I880" s="11">
        <f>IF($A880&gt;('1-Input'!$B$26+3),0,IF(N879&lt;=0,0,MAX(0,(N879-O879)/N879)))</f>
        <v>0</v>
      </c>
      <c r="J880" s="18">
        <f>IF($A880&gt;('1-Input'!$B$26+3),0,(MAX(0,I836-IF($A880&gt;='1-Input'!$C$12,'1-Input'!$B$12,0))-MIN(MAX(M879,0),MAX(0,I836-IF($A880&gt;='1-Input'!$C$12,'1-Input'!$B$12,0))))*(1/(1-'P-Parametri'!$B$6*I880))+MIN(MAX(0,N879-(MAX(0,I836-IF($A880&gt;='1-Input'!$C$12,'1-Input'!$B$12,0))-MIN(MAX(M879,0),MAX(0,I836-IF($A880&gt;='1-Input'!$C$12,'1-Input'!$B$12,0))))*(1/(1-'P-Parametri'!$B$6*I880))),MAX(0,2*I836-(M879-MIN(MAX(M879,0),MAX(0,I836-IF($A880&gt;='1-Input'!$C$12,'1-Input'!$B$12,0)))))*(1/(1-'P-Parametri'!$B$6*I880))))</f>
        <v>10846.756992928691</v>
      </c>
      <c r="K880" s="18">
        <f>IF($A880&gt;('1-Input'!$B$26+3),M879,(M879-MAX(0,I836-IF($A880&gt;='1-Input'!$C$12,'1-Input'!$B$12,0))+J880*(1-'P-Parametri'!$B$6*I880))*(1+'1-Input'!$B$27))</f>
        <v>0</v>
      </c>
      <c r="L880" s="18">
        <f>IF($A880&gt;('1-Input'!$B$26+3),N879,(N879-J880)*(1+'5-Roberta'!$C$4))</f>
        <v>-263871.52273379802</v>
      </c>
      <c r="M880" s="18">
        <f>IF($A880&gt;('1-Input'!$B$26+3),K880,K880-'P-Parametri'!$B$8*(L880+K880)+MIN(MAX(L880,0),'P-Parametri'!$B$8*(L880+K880)))</f>
        <v>0</v>
      </c>
      <c r="N880" s="18">
        <f>IF($A880&gt;('1-Input'!$B$26+3),L880,L880-MIN(MAX(L880,0),'P-Parametri'!$B$8*(L880+K880)))</f>
        <v>-263343.77968833043</v>
      </c>
      <c r="O880" s="18">
        <f>IF($A880&gt;('1-Input'!$B$26+3),O879,O879-J880*(1-I880))</f>
        <v>-199432.87712237425</v>
      </c>
      <c r="P880" s="11">
        <f>IF($A880&gt;('1-Input'!$B$26+3),0,IF(U879&lt;=0,0,MAX(0,(U879-V879)/U879)))</f>
        <v>0</v>
      </c>
      <c r="Q880" s="18">
        <f>IF($A880&gt;('1-Input'!$B$26+3),0,(MAX(0,P836-IF($A880&gt;='1-Input'!$C$12,'1-Input'!$B$12,0))-MIN(MAX(T879,0),MAX(0,P836-IF($A880&gt;='1-Input'!$C$12,'1-Input'!$B$12,0))))*(1/(1-'P-Parametri'!$B$6*P880))+MIN(MAX(0,U879-(MAX(0,P836-IF($A880&gt;='1-Input'!$C$12,'1-Input'!$B$12,0))-MIN(MAX(T879,0),MAX(0,P836-IF($A880&gt;='1-Input'!$C$12,'1-Input'!$B$12,0))))*(1/(1-'P-Parametri'!$B$6*P880))),MAX(0,2*P836-(T879-MIN(MAX(T879,0),MAX(0,P836-IF($A880&gt;='1-Input'!$C$12,'1-Input'!$B$12,0)))))*(1/(1-'P-Parametri'!$B$6*P880))))</f>
        <v>0</v>
      </c>
      <c r="R880" s="18">
        <f>IF($A880&gt;('1-Input'!$B$26+3),T879,(T879-MAX(0,P836-IF($A880&gt;='1-Input'!$C$12,'1-Input'!$B$12,0))+Q880*(1-'P-Parametri'!$B$6*P880))*(1+'1-Input'!$B$27))</f>
        <v>26964.187187440464</v>
      </c>
      <c r="S880" s="18">
        <f>IF($A880&gt;('1-Input'!$B$26+3),U879,(U879-Q880)*(1+'5-Roberta'!$C$4))</f>
        <v>0</v>
      </c>
      <c r="T880" s="18">
        <f>IF($A880&gt;('1-Input'!$B$26+3),R880,R880-'P-Parametri'!$B$8*(S880+R880)+MIN(MAX(S880,0),'P-Parametri'!$B$8*(S880+R880)))</f>
        <v>26910.258813065582</v>
      </c>
      <c r="U880" s="18">
        <f>IF($A880&gt;('1-Input'!$B$26+3),S880,S880-MIN(MAX(S880,0),'P-Parametri'!$B$8*(S880+R880)))</f>
        <v>0</v>
      </c>
      <c r="V880" s="18">
        <f>IF($A880&gt;('1-Input'!$B$26+3),V879,V879-Q880*(1-P880))</f>
        <v>2.2737367544323206E-13</v>
      </c>
      <c r="W880" s="11">
        <f>IF($A880&gt;('1-Input'!$B$26+3),0,IF(AB879&lt;=0,0,MAX(0,(AB879-AC879)/AB879)))</f>
        <v>0.7384017821745944</v>
      </c>
      <c r="X880" s="18">
        <f>IF($A880&gt;('1-Input'!$B$26+3),0,(MAX(0,W836-IF($A880&gt;='1-Input'!$C$12,'1-Input'!$B$12,0))-MIN(MAX(AA879,0),MAX(0,W836-IF($A880&gt;='1-Input'!$C$12,'1-Input'!$B$12,0))))*(1/(1-'P-Parametri'!$B$6*W880))+MIN(MAX(0,AB879-(MAX(0,W836-IF($A880&gt;='1-Input'!$C$12,'1-Input'!$B$12,0))-MIN(MAX(AA879,0),MAX(0,W836-IF($A880&gt;='1-Input'!$C$12,'1-Input'!$B$12,0))))*(1/(1-'P-Parametri'!$B$6*W880))),MAX(0,2*W836-(AA879-MIN(MAX(AA879,0),MAX(0,W836-IF($A880&gt;='1-Input'!$C$12,'1-Input'!$B$12,0)))))*(1/(1-'P-Parametri'!$B$6*W880))))</f>
        <v>8320.7736163512182</v>
      </c>
      <c r="Y880" s="18">
        <f>IF($A880&gt;('1-Input'!$B$26+3),AA879,(AA879-MAX(0,W836-IF($A880&gt;='1-Input'!$C$12,'1-Input'!$B$12,0))+X880*(1-'P-Parametri'!$B$6*W880))*(1+'1-Input'!$B$27))</f>
        <v>35268.354303294887</v>
      </c>
      <c r="Z880" s="18">
        <f>IF($A880&gt;('1-Input'!$B$26+3),AB879,(AB879-X880)*(1+'5-Roberta'!$C$4))</f>
        <v>4827.1755697845365</v>
      </c>
      <c r="AA880" s="18">
        <f>IF($A880&gt;('1-Input'!$B$26+3),Y880,Y880-'P-Parametri'!$B$8*(Z880+Y880)+MIN(MAX(Z880,0),'P-Parametri'!$B$8*(Z880+Y880)))</f>
        <v>35268.354303294887</v>
      </c>
      <c r="AB880" s="18">
        <f>IF($A880&gt;('1-Input'!$B$26+3),Z880,Z880-MIN(MAX(Z880,0),'P-Parametri'!$B$8*(Z880+Y880)))</f>
        <v>4746.9845100383773</v>
      </c>
      <c r="AC880" s="18">
        <f>IF($A880&gt;('1-Input'!$B$26+3),AC879,AC879-X880*(1-W880))</f>
        <v>1226.0005108601658</v>
      </c>
      <c r="AD880" s="11">
        <f>IF($A880&gt;('1-Input'!$B$26+3),0,IF(AI879&lt;=0,0,MAX(0,(AI879-AJ879)/AI879)))</f>
        <v>0.73864937501555883</v>
      </c>
      <c r="AE880" s="18">
        <f>IF($A880&gt;('1-Input'!$B$26+3),0,(MAX(0,AD836-IF($A880&gt;='1-Input'!$C$12,'1-Input'!$B$12,0))-MIN(MAX(AH879,0),MAX(0,AD836-IF($A880&gt;='1-Input'!$C$12,'1-Input'!$B$12,0))))*(1/(1-'P-Parametri'!$B$6*AD880))+MIN(MAX(0,AI879-(MAX(0,AD836-IF($A880&gt;='1-Input'!$C$12,'1-Input'!$B$12,0))-MIN(MAX(AH879,0),MAX(0,AD836-IF($A880&gt;='1-Input'!$C$12,'1-Input'!$B$12,0))))*(1/(1-'P-Parametri'!$B$6*AD880))),MAX(0,2*AD836-(AH879-MIN(MAX(AH879,0),MAX(0,AD836-IF($A880&gt;='1-Input'!$C$12,'1-Input'!$B$12,0)))))*(1/(1-'P-Parametri'!$B$6*AD880))))</f>
        <v>8305.9796340927569</v>
      </c>
      <c r="AF880" s="18">
        <f>IF($A880&gt;('1-Input'!$B$26+3),AH879,(AH879-MAX(0,AD836-IF($A880&gt;='1-Input'!$C$12,'1-Input'!$B$12,0))+AE880*(1-'P-Parametri'!$B$6*AD880))*(1+'1-Input'!$B$27))</f>
        <v>35243.64521006601</v>
      </c>
      <c r="AG880" s="18">
        <f>IF($A880&gt;('1-Input'!$B$26+3),AI879,(AI879-AE880)*(1+'5-Roberta'!$C$4))</f>
        <v>6055.2975252174656</v>
      </c>
      <c r="AH880" s="18">
        <f>IF($A880&gt;('1-Input'!$B$26+3),AF880,AF880-'P-Parametri'!$B$8*(AG880+AF880)+MIN(MAX(AG880,0),'P-Parametri'!$B$8*(AG880+AF880)))</f>
        <v>35243.64521006601</v>
      </c>
      <c r="AI880" s="18">
        <f>IF($A880&gt;('1-Input'!$B$26+3),AG880,AG880-MIN(MAX(AG880,0),'P-Parametri'!$B$8*(AG880+AF880)))</f>
        <v>5972.6996397468984</v>
      </c>
      <c r="AJ880" s="18">
        <f>IF($A880&gt;('1-Input'!$B$26+3),AJ879,AJ879-AE880*(1-AD880))</f>
        <v>1536.4619346430336</v>
      </c>
      <c r="AK880" s="11">
        <f>IF($A880&gt;('1-Input'!$B$26+3),0,IF(AP879&lt;=0,0,MAX(0,(AP879-AQ879)/AP879)))</f>
        <v>0.73864885504188904</v>
      </c>
      <c r="AL880" s="18">
        <f>IF($A880&gt;('1-Input'!$B$26+3),0,(MAX(0,AK836-IF($A880&gt;='1-Input'!$C$12,'1-Input'!$B$12,0))-MIN(MAX(AO879,0),MAX(0,AK836-IF($A880&gt;='1-Input'!$C$12,'1-Input'!$B$12,0))))*(1/(1-'P-Parametri'!$B$6*AK880))+MIN(MAX(0,AP879-(MAX(0,AK836-IF($A880&gt;='1-Input'!$C$12,'1-Input'!$B$12,0))-MIN(MAX(AO879,0),MAX(0,AK836-IF($A880&gt;='1-Input'!$C$12,'1-Input'!$B$12,0))))*(1/(1-'P-Parametri'!$B$6*AK880))),MAX(0,2*AK836-(AO879-MIN(MAX(AO879,0),MAX(0,AK836-IF($A880&gt;='1-Input'!$C$12,'1-Input'!$B$12,0)))))*(1/(1-'P-Parametri'!$B$6*AK880))))</f>
        <v>8306.0126556138712</v>
      </c>
      <c r="AM880" s="18">
        <f>IF($A880&gt;('1-Input'!$B$26+3),AO879,(AO879-MAX(0,AK836-IF($A880&gt;='1-Input'!$C$12,'1-Input'!$B$12,0))+AL880*(1-'P-Parametri'!$B$6*AK880))*(1+'1-Input'!$B$27))</f>
        <v>35243.700219205675</v>
      </c>
      <c r="AN880" s="18">
        <f>IF($A880&gt;('1-Input'!$B$26+3),AP879,(AP879-AL880)*(1+'5-Roberta'!$C$4))</f>
        <v>6052.5632298589608</v>
      </c>
      <c r="AO880" s="18">
        <f>IF($A880&gt;('1-Input'!$B$26+3),AM880,AM880-'P-Parametri'!$B$8*(AN880+AM880)+MIN(MAX(AN880,0),'P-Parametri'!$B$8*(AN880+AM880)))</f>
        <v>35243.700219205675</v>
      </c>
      <c r="AP880" s="18">
        <f>IF($A880&gt;('1-Input'!$B$26+3),AN880,AN880-MIN(MAX(AN880,0),'P-Parametri'!$B$8*(AN880+AM880)))</f>
        <v>5969.9707029608317</v>
      </c>
      <c r="AQ880" s="18">
        <f>IF($A880&gt;('1-Input'!$B$26+3),AQ879,AQ879-AL880*(1-AK880))</f>
        <v>1535.7711942281571</v>
      </c>
    </row>
    <row r="881" spans="1:43">
      <c r="A881" s="10">
        <f>43</f>
        <v>43</v>
      </c>
      <c r="B881" s="11">
        <f>IF($A881&gt;('1-Input'!$B$26+3),0,IF(G880&lt;=0,0,MAX(0,(G880-H880)/G880)))</f>
        <v>0.74997870001908029</v>
      </c>
      <c r="C881" s="18">
        <f>IF($A881&gt;('1-Input'!$B$26+3),0,(MAX(0,B836-IF($A881&gt;='1-Input'!$C$12,'1-Input'!$B$12,0))-MIN(MAX(F880,0),MAX(0,B836-IF($A881&gt;='1-Input'!$C$12,'1-Input'!$B$12,0))))*(1/(1-'P-Parametri'!$B$6*B881))+MIN(MAX(0,G880-(MAX(0,B836-IF($A881&gt;='1-Input'!$C$12,'1-Input'!$B$12,0))-MIN(MAX(F880,0),MAX(0,B836-IF($A881&gt;='1-Input'!$C$12,'1-Input'!$B$12,0))))*(1/(1-'P-Parametri'!$B$6*B881))),MAX(0,2*B836-(F880-MIN(MAX(F880,0),MAX(0,B836-IF($A881&gt;='1-Input'!$C$12,'1-Input'!$B$12,0)))))*(1/(1-'P-Parametri'!$B$6*B881))))</f>
        <v>7079.6518084652344</v>
      </c>
      <c r="D881" s="18">
        <f>IF($A881&gt;('1-Input'!$B$26+3),F880,(F880-MAX(0,B836-IF($A881&gt;='1-Input'!$C$12,'1-Input'!$B$12,0))+C881*(1-'P-Parametri'!$B$6*B881))*(1+'1-Input'!$B$27))</f>
        <v>33242.0070309863</v>
      </c>
      <c r="E881" s="18">
        <f>IF($A881&gt;('1-Input'!$B$26+3),G880,(G880-C881)*(1+'5-Roberta'!$C$4))</f>
        <v>101268.20435080495</v>
      </c>
      <c r="F881" s="18">
        <f>IF($A881&gt;('1-Input'!$B$26+3),D881,D881-'P-Parametri'!$B$8*(E881+D881)+MIN(MAX(E881,0),'P-Parametri'!$B$8*(E881+D881)))</f>
        <v>33242.0070309863</v>
      </c>
      <c r="G881" s="18">
        <f>IF($A881&gt;('1-Input'!$B$26+3),E881,E881-MIN(MAX(E881,0),'P-Parametri'!$B$8*(E881+D881)))</f>
        <v>100999.18392804137</v>
      </c>
      <c r="H881" s="18">
        <f>IF($A881&gt;('1-Input'!$B$26+3),H880,H880-C881*(1-B881))</f>
        <v>24581.755435457948</v>
      </c>
      <c r="I881" s="11">
        <f>IF($A881&gt;('1-Input'!$B$26+3),0,IF(N880&lt;=0,0,MAX(0,(N880-O880)/N880)))</f>
        <v>0</v>
      </c>
      <c r="J881" s="18">
        <f>IF($A881&gt;('1-Input'!$B$26+3),0,(MAX(0,I836-IF($A881&gt;='1-Input'!$C$12,'1-Input'!$B$12,0))-MIN(MAX(M880,0),MAX(0,I836-IF($A881&gt;='1-Input'!$C$12,'1-Input'!$B$12,0))))*(1/(1-'P-Parametri'!$B$6*I881))+MIN(MAX(0,N880-(MAX(0,I836-IF($A881&gt;='1-Input'!$C$12,'1-Input'!$B$12,0))-MIN(MAX(M880,0),MAX(0,I836-IF($A881&gt;='1-Input'!$C$12,'1-Input'!$B$12,0))))*(1/(1-'P-Parametri'!$B$6*I881))),MAX(0,2*I836-(M880-MIN(MAX(M880,0),MAX(0,I836-IF($A881&gt;='1-Input'!$C$12,'1-Input'!$B$12,0)))))*(1/(1-'P-Parametri'!$B$6*I881))))</f>
        <v>10846.756992928691</v>
      </c>
      <c r="K881" s="18">
        <f>IF($A881&gt;('1-Input'!$B$26+3),M880,(M880-MAX(0,I836-IF($A881&gt;='1-Input'!$C$12,'1-Input'!$B$12,0))+J881*(1-'P-Parametri'!$B$6*I881))*(1+'1-Input'!$B$27))</f>
        <v>0</v>
      </c>
      <c r="L881" s="18">
        <f>IF($A881&gt;('1-Input'!$B$26+3),N880,(N880-J881)*(1+'5-Roberta'!$C$4))</f>
        <v>-282416.25278169691</v>
      </c>
      <c r="M881" s="18">
        <f>IF($A881&gt;('1-Input'!$B$26+3),K881,K881-'P-Parametri'!$B$8*(L881+K881)+MIN(MAX(L881,0),'P-Parametri'!$B$8*(L881+K881)))</f>
        <v>0</v>
      </c>
      <c r="N881" s="18">
        <f>IF($A881&gt;('1-Input'!$B$26+3),L881,L881-MIN(MAX(L881,0),'P-Parametri'!$B$8*(L881+K881)))</f>
        <v>-281851.42027613352</v>
      </c>
      <c r="O881" s="18">
        <f>IF($A881&gt;('1-Input'!$B$26+3),O880,O880-J881*(1-I881))</f>
        <v>-210279.63411530294</v>
      </c>
      <c r="P881" s="11">
        <f>IF($A881&gt;('1-Input'!$B$26+3),0,IF(U880&lt;=0,0,MAX(0,(U880-V880)/U880)))</f>
        <v>0</v>
      </c>
      <c r="Q881" s="18">
        <f>IF($A881&gt;('1-Input'!$B$26+3),0,(MAX(0,P836-IF($A881&gt;='1-Input'!$C$12,'1-Input'!$B$12,0))-MIN(MAX(T880,0),MAX(0,P836-IF($A881&gt;='1-Input'!$C$12,'1-Input'!$B$12,0))))*(1/(1-'P-Parametri'!$B$6*P881))+MIN(MAX(0,U880-(MAX(0,P836-IF($A881&gt;='1-Input'!$C$12,'1-Input'!$B$12,0))-MIN(MAX(T880,0),MAX(0,P836-IF($A881&gt;='1-Input'!$C$12,'1-Input'!$B$12,0))))*(1/(1-'P-Parametri'!$B$6*P881))),MAX(0,2*P836-(T880-MIN(MAX(T880,0),MAX(0,P836-IF($A881&gt;='1-Input'!$C$12,'1-Input'!$B$12,0)))))*(1/(1-'P-Parametri'!$B$6*P881))))</f>
        <v>0</v>
      </c>
      <c r="R881" s="18">
        <f>IF($A881&gt;('1-Input'!$B$26+3),T880,(T880-MAX(0,P836-IF($A881&gt;='1-Input'!$C$12,'1-Input'!$B$12,0))+Q881*(1-'P-Parametri'!$B$6*P881))*(1+'1-Input'!$B$27))</f>
        <v>20081.170872808892</v>
      </c>
      <c r="S881" s="18">
        <f>IF($A881&gt;('1-Input'!$B$26+3),U880,(U880-Q881)*(1+'5-Roberta'!$C$4))</f>
        <v>0</v>
      </c>
      <c r="T881" s="18">
        <f>IF($A881&gt;('1-Input'!$B$26+3),R881,R881-'P-Parametri'!$B$8*(S881+R881)+MIN(MAX(S881,0),'P-Parametri'!$B$8*(S881+R881)))</f>
        <v>20041.008531063275</v>
      </c>
      <c r="U881" s="18">
        <f>IF($A881&gt;('1-Input'!$B$26+3),S881,S881-MIN(MAX(S881,0),'P-Parametri'!$B$8*(S881+R881)))</f>
        <v>0</v>
      </c>
      <c r="V881" s="18">
        <f>IF($A881&gt;('1-Input'!$B$26+3),V880,V880-Q881*(1-P881))</f>
        <v>2.2737367544323206E-13</v>
      </c>
      <c r="W881" s="11">
        <f>IF($A881&gt;('1-Input'!$B$26+3),0,IF(AB880&lt;=0,0,MAX(0,(AB880-AC880)/AB880)))</f>
        <v>0.74173066959296774</v>
      </c>
      <c r="X881" s="18">
        <f>IF($A881&gt;('1-Input'!$B$26+3),0,(MAX(0,W836-IF($A881&gt;='1-Input'!$C$12,'1-Input'!$B$12,0))-MIN(MAX(AA880,0),MAX(0,W836-IF($A881&gt;='1-Input'!$C$12,'1-Input'!$B$12,0))))*(1/(1-'P-Parametri'!$B$6*W881))+MIN(MAX(0,AB880-(MAX(0,W836-IF($A881&gt;='1-Input'!$C$12,'1-Input'!$B$12,0))-MIN(MAX(AA880,0),MAX(0,W836-IF($A881&gt;='1-Input'!$C$12,'1-Input'!$B$12,0))))*(1/(1-'P-Parametri'!$B$6*W881))),MAX(0,2*W836-(AA880-MIN(MAX(AA880,0),MAX(0,W836-IF($A881&gt;='1-Input'!$C$12,'1-Input'!$B$12,0)))))*(1/(1-'P-Parametri'!$B$6*W881))))</f>
        <v>4746.9845100383773</v>
      </c>
      <c r="Y881" s="18">
        <f>IF($A881&gt;('1-Input'!$B$26+3),AA880,(AA880-MAX(0,W836-IF($A881&gt;='1-Input'!$C$12,'1-Input'!$B$12,0))+X881*(1-'P-Parametri'!$B$6*W881))*(1+'1-Input'!$B$27))</f>
        <v>32386.979043194715</v>
      </c>
      <c r="Z881" s="18">
        <f>IF($A881&gt;('1-Input'!$B$26+3),AB880,(AB880-X881)*(1+'5-Roberta'!$C$4))</f>
        <v>0</v>
      </c>
      <c r="AA881" s="18">
        <f>IF($A881&gt;('1-Input'!$B$26+3),Y881,Y881-'P-Parametri'!$B$8*(Z881+Y881)+MIN(MAX(Z881,0),'P-Parametri'!$B$8*(Z881+Y881)))</f>
        <v>32322.205085108326</v>
      </c>
      <c r="AB881" s="18">
        <f>IF($A881&gt;('1-Input'!$B$26+3),Z881,Z881-MIN(MAX(Z881,0),'P-Parametri'!$B$8*(Z881+Y881)))</f>
        <v>0</v>
      </c>
      <c r="AC881" s="18">
        <f>IF($A881&gt;('1-Input'!$B$26+3),AC880,AC880-X881*(1-W881))</f>
        <v>0</v>
      </c>
      <c r="AD881" s="11">
        <f>IF($A881&gt;('1-Input'!$B$26+3),0,IF(AI880&lt;=0,0,MAX(0,(AI880-AJ880)/AI880)))</f>
        <v>0.74275251941044484</v>
      </c>
      <c r="AE881" s="18">
        <f>IF($A881&gt;('1-Input'!$B$26+3),0,(MAX(0,AD836-IF($A881&gt;='1-Input'!$C$12,'1-Input'!$B$12,0))-MIN(MAX(AH880,0),MAX(0,AD836-IF($A881&gt;='1-Input'!$C$12,'1-Input'!$B$12,0))))*(1/(1-'P-Parametri'!$B$6*AD881))+MIN(MAX(0,AI880-(MAX(0,AD836-IF($A881&gt;='1-Input'!$C$12,'1-Input'!$B$12,0))-MIN(MAX(AH880,0),MAX(0,AD836-IF($A881&gt;='1-Input'!$C$12,'1-Input'!$B$12,0))))*(1/(1-'P-Parametri'!$B$6*AD881))),MAX(0,2*AD836-(AH880-MIN(MAX(AH880,0),MAX(0,AD836-IF($A881&gt;='1-Input'!$C$12,'1-Input'!$B$12,0)))))*(1/(1-'P-Parametri'!$B$6*AD881))))</f>
        <v>5972.6996397468984</v>
      </c>
      <c r="AF881" s="18">
        <f>IF($A881&gt;('1-Input'!$B$26+3),AH880,(AH880-MAX(0,AD836-IF($A881&gt;='1-Input'!$C$12,'1-Input'!$B$12,0))+AE881*(1-'P-Parametri'!$B$6*AD881))*(1+'1-Input'!$B$27))</f>
        <v>33358.906718485545</v>
      </c>
      <c r="AG881" s="18">
        <f>IF($A881&gt;('1-Input'!$B$26+3),AI880,(AI880-AE881)*(1+'5-Roberta'!$C$4))</f>
        <v>0</v>
      </c>
      <c r="AH881" s="18">
        <f>IF($A881&gt;('1-Input'!$B$26+3),AF881,AF881-'P-Parametri'!$B$8*(AG881+AF881)+MIN(MAX(AG881,0),'P-Parametri'!$B$8*(AG881+AF881)))</f>
        <v>33292.188905048577</v>
      </c>
      <c r="AI881" s="18">
        <f>IF($A881&gt;('1-Input'!$B$26+3),AG881,AG881-MIN(MAX(AG881,0),'P-Parametri'!$B$8*(AG881+AF881)))</f>
        <v>0</v>
      </c>
      <c r="AJ881" s="18">
        <f>IF($A881&gt;('1-Input'!$B$26+3),AJ880,AJ880-AE881*(1-AD881))</f>
        <v>2.2737367544323206E-13</v>
      </c>
      <c r="AK881" s="11">
        <f>IF($A881&gt;('1-Input'!$B$26+3),0,IF(AP880&lt;=0,0,MAX(0,(AP880-AQ880)/AP880)))</f>
        <v>0.74275063134455832</v>
      </c>
      <c r="AL881" s="18">
        <f>IF($A881&gt;('1-Input'!$B$26+3),0,(MAX(0,AK836-IF($A881&gt;='1-Input'!$C$12,'1-Input'!$B$12,0))-MIN(MAX(AO880,0),MAX(0,AK836-IF($A881&gt;='1-Input'!$C$12,'1-Input'!$B$12,0))))*(1/(1-'P-Parametri'!$B$6*AK881))+MIN(MAX(0,AP880-(MAX(0,AK836-IF($A881&gt;='1-Input'!$C$12,'1-Input'!$B$12,0))-MIN(MAX(AO880,0),MAX(0,AK836-IF($A881&gt;='1-Input'!$C$12,'1-Input'!$B$12,0))))*(1/(1-'P-Parametri'!$B$6*AK881))),MAX(0,2*AK836-(AO880-MIN(MAX(AO880,0),MAX(0,AK836-IF($A881&gt;='1-Input'!$C$12,'1-Input'!$B$12,0)))))*(1/(1-'P-Parametri'!$B$6*AK881))))</f>
        <v>5969.9707029608317</v>
      </c>
      <c r="AM881" s="18">
        <f>IF($A881&gt;('1-Input'!$B$26+3),AO880,(AO880-MAX(0,AK836-IF($A881&gt;='1-Input'!$C$12,'1-Input'!$B$12,0))+AL881*(1-'P-Parametri'!$B$6*AK881))*(1+'1-Input'!$B$27))</f>
        <v>33356.742935713548</v>
      </c>
      <c r="AN881" s="18">
        <f>IF($A881&gt;('1-Input'!$B$26+3),AP880,(AP880-AL881)*(1+'5-Roberta'!$C$4))</f>
        <v>0</v>
      </c>
      <c r="AO881" s="18">
        <f>IF($A881&gt;('1-Input'!$B$26+3),AM881,AM881-'P-Parametri'!$B$8*(AN881+AM881)+MIN(MAX(AN881,0),'P-Parametri'!$B$8*(AN881+AM881)))</f>
        <v>33290.029449842121</v>
      </c>
      <c r="AP881" s="18">
        <f>IF($A881&gt;('1-Input'!$B$26+3),AN881,AN881-MIN(MAX(AN881,0),'P-Parametri'!$B$8*(AN881+AM881)))</f>
        <v>0</v>
      </c>
      <c r="AQ881" s="18">
        <f>IF($A881&gt;('1-Input'!$B$26+3),AQ880,AQ880-AL881*(1-AK881))</f>
        <v>-2.2737367544323206E-13</v>
      </c>
    </row>
    <row r="882" spans="1:43">
      <c r="A882" s="10">
        <f>44</f>
        <v>44</v>
      </c>
      <c r="B882" s="11">
        <f>IF($A882&gt;('1-Input'!$B$26+3),0,IF(G881&lt;=0,0,MAX(0,(G881-H881)/G881)))</f>
        <v>0.7566143162803014</v>
      </c>
      <c r="C882" s="18">
        <f>IF($A882&gt;('1-Input'!$B$26+3),0,(MAX(0,B836-IF($A882&gt;='1-Input'!$C$12,'1-Input'!$B$12,0))-MIN(MAX(F881,0),MAX(0,B836-IF($A882&gt;='1-Input'!$C$12,'1-Input'!$B$12,0))))*(1/(1-'P-Parametri'!$B$6*B882))+MIN(MAX(0,G881-(MAX(0,B836-IF($A882&gt;='1-Input'!$C$12,'1-Input'!$B$12,0))-MIN(MAX(F881,0),MAX(0,B836-IF($A882&gt;='1-Input'!$C$12,'1-Input'!$B$12,0))))*(1/(1-'P-Parametri'!$B$6*B882))),MAX(0,2*B836-(F881-MIN(MAX(F881,0),MAX(0,B836-IF($A882&gt;='1-Input'!$C$12,'1-Input'!$B$12,0)))))*(1/(1-'P-Parametri'!$B$6*B882))))</f>
        <v>7094.857262938237</v>
      </c>
      <c r="D882" s="18">
        <f>IF($A882&gt;('1-Input'!$B$26+3),F881,(F881-MAX(0,B836-IF($A882&gt;='1-Input'!$C$12,'1-Input'!$B$12,0))+C882*(1-'P-Parametri'!$B$6*B882))*(1+'1-Input'!$B$27))</f>
        <v>33242.0070309863</v>
      </c>
      <c r="E882" s="18">
        <f>IF($A882&gt;('1-Input'!$B$26+3),G881,(G881-C882)*(1+'5-Roberta'!$C$4))</f>
        <v>96721.456465056224</v>
      </c>
      <c r="F882" s="18">
        <f>IF($A882&gt;('1-Input'!$B$26+3),D882,D882-'P-Parametri'!$B$8*(E882+D882)+MIN(MAX(E882,0),'P-Parametri'!$B$8*(E882+D882)))</f>
        <v>33242.0070309863</v>
      </c>
      <c r="G882" s="18">
        <f>IF($A882&gt;('1-Input'!$B$26+3),E882,E882-MIN(MAX(E882,0),'P-Parametri'!$B$8*(E882+D882)))</f>
        <v>96461.529538064133</v>
      </c>
      <c r="H882" s="18">
        <f>IF($A882&gt;('1-Input'!$B$26+3),H881,H881-C882*(1-B882))</f>
        <v>22854.968749624055</v>
      </c>
      <c r="I882" s="11">
        <f>IF($A882&gt;('1-Input'!$B$26+3),0,IF(N881&lt;=0,0,MAX(0,(N881-O881)/N881)))</f>
        <v>0</v>
      </c>
      <c r="J882" s="18">
        <f>IF($A882&gt;('1-Input'!$B$26+3),0,(MAX(0,I836-IF($A882&gt;='1-Input'!$C$12,'1-Input'!$B$12,0))-MIN(MAX(M881,0),MAX(0,I836-IF($A882&gt;='1-Input'!$C$12,'1-Input'!$B$12,0))))*(1/(1-'P-Parametri'!$B$6*I882))+MIN(MAX(0,N881-(MAX(0,I836-IF($A882&gt;='1-Input'!$C$12,'1-Input'!$B$12,0))-MIN(MAX(M881,0),MAX(0,I836-IF($A882&gt;='1-Input'!$C$12,'1-Input'!$B$12,0))))*(1/(1-'P-Parametri'!$B$6*I882))),MAX(0,2*I836-(M881-MIN(MAX(M881,0),MAX(0,I836-IF($A882&gt;='1-Input'!$C$12,'1-Input'!$B$12,0)))))*(1/(1-'P-Parametri'!$B$6*I882))))</f>
        <v>10846.756992928691</v>
      </c>
      <c r="K882" s="18">
        <f>IF($A882&gt;('1-Input'!$B$26+3),M881,(M881-MAX(0,I836-IF($A882&gt;='1-Input'!$C$12,'1-Input'!$B$12,0))+J882*(1-'P-Parametri'!$B$6*I882))*(1+'1-Input'!$B$27))</f>
        <v>0</v>
      </c>
      <c r="L882" s="18">
        <f>IF($A882&gt;('1-Input'!$B$26+3),N881,(N881-J882)*(1+'5-Roberta'!$C$4))</f>
        <v>-301479.12258713407</v>
      </c>
      <c r="M882" s="18">
        <f>IF($A882&gt;('1-Input'!$B$26+3),K882,K882-'P-Parametri'!$B$8*(L882+K882)+MIN(MAX(L882,0),'P-Parametri'!$B$8*(L882+K882)))</f>
        <v>0</v>
      </c>
      <c r="N882" s="18">
        <f>IF($A882&gt;('1-Input'!$B$26+3),L882,L882-MIN(MAX(L882,0),'P-Parametri'!$B$8*(L882+K882)))</f>
        <v>-300876.16434195981</v>
      </c>
      <c r="O882" s="18">
        <f>IF($A882&gt;('1-Input'!$B$26+3),O881,O881-J882*(1-I882))</f>
        <v>-221126.39110823162</v>
      </c>
      <c r="P882" s="11">
        <f>IF($A882&gt;('1-Input'!$B$26+3),0,IF(U881&lt;=0,0,MAX(0,(U881-V881)/U881)))</f>
        <v>0</v>
      </c>
      <c r="Q882" s="18">
        <f>IF($A882&gt;('1-Input'!$B$26+3),0,(MAX(0,P836-IF($A882&gt;='1-Input'!$C$12,'1-Input'!$B$12,0))-MIN(MAX(T881,0),MAX(0,P836-IF($A882&gt;='1-Input'!$C$12,'1-Input'!$B$12,0))))*(1/(1-'P-Parametri'!$B$6*P882))+MIN(MAX(0,U881-(MAX(0,P836-IF($A882&gt;='1-Input'!$C$12,'1-Input'!$B$12,0))-MIN(MAX(T881,0),MAX(0,P836-IF($A882&gt;='1-Input'!$C$12,'1-Input'!$B$12,0))))*(1/(1-'P-Parametri'!$B$6*P882))),MAX(0,2*P836-(T881-MIN(MAX(T881,0),MAX(0,P836-IF($A882&gt;='1-Input'!$C$12,'1-Input'!$B$12,0)))))*(1/(1-'P-Parametri'!$B$6*P882))))</f>
        <v>0</v>
      </c>
      <c r="R882" s="18">
        <f>IF($A882&gt;('1-Input'!$B$26+3),T881,(T881-MAX(0,P836-IF($A882&gt;='1-Input'!$C$12,'1-Input'!$B$12,0))+Q882*(1-'P-Parametri'!$B$6*P882))*(1+'1-Input'!$B$27))</f>
        <v>13236.649891821793</v>
      </c>
      <c r="S882" s="18">
        <f>IF($A882&gt;('1-Input'!$B$26+3),U881,(U881-Q882)*(1+'5-Roberta'!$C$4))</f>
        <v>0</v>
      </c>
      <c r="T882" s="18">
        <f>IF($A882&gt;('1-Input'!$B$26+3),R882,R882-'P-Parametri'!$B$8*(S882+R882)+MIN(MAX(S882,0),'P-Parametri'!$B$8*(S882+R882)))</f>
        <v>13210.176592038149</v>
      </c>
      <c r="U882" s="18">
        <f>IF($A882&gt;('1-Input'!$B$26+3),S882,S882-MIN(MAX(S882,0),'P-Parametri'!$B$8*(S882+R882)))</f>
        <v>0</v>
      </c>
      <c r="V882" s="18">
        <f>IF($A882&gt;('1-Input'!$B$26+3),V881,V881-Q882*(1-P882))</f>
        <v>2.2737367544323206E-13</v>
      </c>
      <c r="W882" s="11">
        <f>IF($A882&gt;('1-Input'!$B$26+3),0,IF(AB881&lt;=0,0,MAX(0,(AB881-AC881)/AB881)))</f>
        <v>0</v>
      </c>
      <c r="X882" s="18">
        <f>IF($A882&gt;('1-Input'!$B$26+3),0,(MAX(0,W836-IF($A882&gt;='1-Input'!$C$12,'1-Input'!$B$12,0))-MIN(MAX(AA881,0),MAX(0,W836-IF($A882&gt;='1-Input'!$C$12,'1-Input'!$B$12,0))))*(1/(1-'P-Parametri'!$B$6*W882))+MIN(MAX(0,AB881-(MAX(0,W836-IF($A882&gt;='1-Input'!$C$12,'1-Input'!$B$12,0))-MIN(MAX(AA881,0),MAX(0,W836-IF($A882&gt;='1-Input'!$C$12,'1-Input'!$B$12,0))))*(1/(1-'P-Parametri'!$B$6*W882))),MAX(0,2*W836-(AA881-MIN(MAX(AA881,0),MAX(0,W836-IF($A882&gt;='1-Input'!$C$12,'1-Input'!$B$12,0)))))*(1/(1-'P-Parametri'!$B$6*W882))))</f>
        <v>0</v>
      </c>
      <c r="Y882" s="18">
        <f>IF($A882&gt;('1-Input'!$B$26+3),AA881,(AA881-MAX(0,W836-IF($A882&gt;='1-Input'!$C$12,'1-Input'!$B$12,0))+X882*(1-'P-Parametri'!$B$6*W882))*(1+'1-Input'!$B$27))</f>
        <v>25633.700795154491</v>
      </c>
      <c r="Z882" s="18">
        <f>IF($A882&gt;('1-Input'!$B$26+3),AB881,(AB881-X882)*(1+'5-Roberta'!$C$4))</f>
        <v>0</v>
      </c>
      <c r="AA882" s="18">
        <f>IF($A882&gt;('1-Input'!$B$26+3),Y882,Y882-'P-Parametri'!$B$8*(Z882+Y882)+MIN(MAX(Z882,0),'P-Parametri'!$B$8*(Z882+Y882)))</f>
        <v>25582.433393564181</v>
      </c>
      <c r="AB882" s="18">
        <f>IF($A882&gt;('1-Input'!$B$26+3),Z882,Z882-MIN(MAX(Z882,0),'P-Parametri'!$B$8*(Z882+Y882)))</f>
        <v>0</v>
      </c>
      <c r="AC882" s="18">
        <f>IF($A882&gt;('1-Input'!$B$26+3),AC881,AC881-X882*(1-W882))</f>
        <v>0</v>
      </c>
      <c r="AD882" s="11">
        <f>IF($A882&gt;('1-Input'!$B$26+3),0,IF(AI881&lt;=0,0,MAX(0,(AI881-AJ881)/AI881)))</f>
        <v>0</v>
      </c>
      <c r="AE882" s="18">
        <f>IF($A882&gt;('1-Input'!$B$26+3),0,(MAX(0,AD836-IF($A882&gt;='1-Input'!$C$12,'1-Input'!$B$12,0))-MIN(MAX(AH881,0),MAX(0,AD836-IF($A882&gt;='1-Input'!$C$12,'1-Input'!$B$12,0))))*(1/(1-'P-Parametri'!$B$6*AD882))+MIN(MAX(0,AI881-(MAX(0,AD836-IF($A882&gt;='1-Input'!$C$12,'1-Input'!$B$12,0))-MIN(MAX(AH881,0),MAX(0,AD836-IF($A882&gt;='1-Input'!$C$12,'1-Input'!$B$12,0))))*(1/(1-'P-Parametri'!$B$6*AD882))),MAX(0,2*AD836-(AH881-MIN(MAX(AH881,0),MAX(0,AD836-IF($A882&gt;='1-Input'!$C$12,'1-Input'!$B$12,0)))))*(1/(1-'P-Parametri'!$B$6*AD882))))</f>
        <v>0</v>
      </c>
      <c r="AF882" s="18">
        <f>IF($A882&gt;('1-Input'!$B$26+3),AH881,(AH881-MAX(0,AD836-IF($A882&gt;='1-Input'!$C$12,'1-Input'!$B$12,0))+AE882*(1-'P-Parametri'!$B$6*AD882))*(1+'1-Input'!$B$27))</f>
        <v>26612.547219957392</v>
      </c>
      <c r="AG882" s="18">
        <f>IF($A882&gt;('1-Input'!$B$26+3),AI881,(AI881-AE882)*(1+'5-Roberta'!$C$4))</f>
        <v>0</v>
      </c>
      <c r="AH882" s="18">
        <f>IF($A882&gt;('1-Input'!$B$26+3),AF882,AF882-'P-Parametri'!$B$8*(AG882+AF882)+MIN(MAX(AG882,0),'P-Parametri'!$B$8*(AG882+AF882)))</f>
        <v>26559.322125517476</v>
      </c>
      <c r="AI882" s="18">
        <f>IF($A882&gt;('1-Input'!$B$26+3),AG882,AG882-MIN(MAX(AG882,0),'P-Parametri'!$B$8*(AG882+AF882)))</f>
        <v>0</v>
      </c>
      <c r="AJ882" s="18">
        <f>IF($A882&gt;('1-Input'!$B$26+3),AJ881,AJ881-AE882*(1-AD882))</f>
        <v>2.2737367544323206E-13</v>
      </c>
      <c r="AK882" s="11">
        <f>IF($A882&gt;('1-Input'!$B$26+3),0,IF(AP881&lt;=0,0,MAX(0,(AP881-AQ881)/AP881)))</f>
        <v>0</v>
      </c>
      <c r="AL882" s="18">
        <f>IF($A882&gt;('1-Input'!$B$26+3),0,(MAX(0,AK836-IF($A882&gt;='1-Input'!$C$12,'1-Input'!$B$12,0))-MIN(MAX(AO881,0),MAX(0,AK836-IF($A882&gt;='1-Input'!$C$12,'1-Input'!$B$12,0))))*(1/(1-'P-Parametri'!$B$6*AK882))+MIN(MAX(0,AP881-(MAX(0,AK836-IF($A882&gt;='1-Input'!$C$12,'1-Input'!$B$12,0))-MIN(MAX(AO881,0),MAX(0,AK836-IF($A882&gt;='1-Input'!$C$12,'1-Input'!$B$12,0))))*(1/(1-'P-Parametri'!$B$6*AK882))),MAX(0,2*AK836-(AO881-MIN(MAX(AO881,0),MAX(0,AK836-IF($A882&gt;='1-Input'!$C$12,'1-Input'!$B$12,0)))))*(1/(1-'P-Parametri'!$B$6*AK882))))</f>
        <v>0</v>
      </c>
      <c r="AM882" s="18">
        <f>IF($A882&gt;('1-Input'!$B$26+3),AO881,(AO881-MAX(0,AK836-IF($A882&gt;='1-Input'!$C$12,'1-Input'!$B$12,0))+AL882*(1-'P-Parametri'!$B$6*AK882))*(1+'1-Input'!$B$27))</f>
        <v>26610.36803421985</v>
      </c>
      <c r="AN882" s="18">
        <f>IF($A882&gt;('1-Input'!$B$26+3),AP881,(AP881-AL882)*(1+'5-Roberta'!$C$4))</f>
        <v>0</v>
      </c>
      <c r="AO882" s="18">
        <f>IF($A882&gt;('1-Input'!$B$26+3),AM882,AM882-'P-Parametri'!$B$8*(AN882+AM882)+MIN(MAX(AN882,0),'P-Parametri'!$B$8*(AN882+AM882)))</f>
        <v>26557.147298151409</v>
      </c>
      <c r="AP882" s="18">
        <f>IF($A882&gt;('1-Input'!$B$26+3),AN882,AN882-MIN(MAX(AN882,0),'P-Parametri'!$B$8*(AN882+AM882)))</f>
        <v>0</v>
      </c>
      <c r="AQ882" s="18">
        <f>IF($A882&gt;('1-Input'!$B$26+3),AQ881,AQ881-AL882*(1-AK882))</f>
        <v>-2.2737367544323206E-13</v>
      </c>
    </row>
    <row r="883" spans="1:43">
      <c r="A883" s="10">
        <f>45</f>
        <v>45</v>
      </c>
      <c r="B883" s="11">
        <f>IF($A883&gt;('1-Input'!$B$26+3),0,IF(G882&lt;=0,0,MAX(0,(G882-H882)/G882)))</f>
        <v>0.76306649024671147</v>
      </c>
      <c r="C883" s="18">
        <f>IF($A883&gt;('1-Input'!$B$26+3),0,(MAX(0,B836-IF($A883&gt;='1-Input'!$C$12,'1-Input'!$B$12,0))-MIN(MAX(F882,0),MAX(0,B836-IF($A883&gt;='1-Input'!$C$12,'1-Input'!$B$12,0))))*(1/(1-'P-Parametri'!$B$6*B883))+MIN(MAX(0,G882-(MAX(0,B836-IF($A883&gt;='1-Input'!$C$12,'1-Input'!$B$12,0))-MIN(MAX(F882,0),MAX(0,B836-IF($A883&gt;='1-Input'!$C$12,'1-Input'!$B$12,0))))*(1/(1-'P-Parametri'!$B$6*B883))),MAX(0,2*B836-(F882-MIN(MAX(F882,0),MAX(0,B836-IF($A883&gt;='1-Input'!$C$12,'1-Input'!$B$12,0)))))*(1/(1-'P-Parametri'!$B$6*B883))))</f>
        <v>7109.7051242028929</v>
      </c>
      <c r="D883" s="18">
        <f>IF($A883&gt;('1-Input'!$B$26+3),F882,(F882-MAX(0,B836-IF($A883&gt;='1-Input'!$C$12,'1-Input'!$B$12,0))+C883*(1-'P-Parametri'!$B$6*B883))*(1+'1-Input'!$B$27))</f>
        <v>33242.0070309863</v>
      </c>
      <c r="E883" s="18">
        <f>IF($A883&gt;('1-Input'!$B$26+3),G882,(G882-C883)*(1+'5-Roberta'!$C$4))</f>
        <v>92032.379146277075</v>
      </c>
      <c r="F883" s="18">
        <f>IF($A883&gt;('1-Input'!$B$26+3),D883,D883-'P-Parametri'!$B$8*(E883+D883)+MIN(MAX(E883,0),'P-Parametri'!$B$8*(E883+D883)))</f>
        <v>33242.0070309863</v>
      </c>
      <c r="G883" s="18">
        <f>IF($A883&gt;('1-Input'!$B$26+3),E883,E883-MIN(MAX(E883,0),'P-Parametri'!$B$8*(E883+D883)))</f>
        <v>91781.830373922552</v>
      </c>
      <c r="H883" s="18">
        <f>IF($A883&gt;('1-Input'!$B$26+3),H882,H882-C883*(1-B883))</f>
        <v>21170.441361235724</v>
      </c>
      <c r="I883" s="11">
        <f>IF($A883&gt;('1-Input'!$B$26+3),0,IF(N882&lt;=0,0,MAX(0,(N882-O882)/N882)))</f>
        <v>0</v>
      </c>
      <c r="J883" s="18">
        <f>IF($A883&gt;('1-Input'!$B$26+3),0,(MAX(0,I836-IF($A883&gt;='1-Input'!$C$12,'1-Input'!$B$12,0))-MIN(MAX(M882,0),MAX(0,I836-IF($A883&gt;='1-Input'!$C$12,'1-Input'!$B$12,0))))*(1/(1-'P-Parametri'!$B$6*I883))+MIN(MAX(0,N882-(MAX(0,I836-IF($A883&gt;='1-Input'!$C$12,'1-Input'!$B$12,0))-MIN(MAX(M882,0),MAX(0,I836-IF($A883&gt;='1-Input'!$C$12,'1-Input'!$B$12,0))))*(1/(1-'P-Parametri'!$B$6*I883))),MAX(0,2*I836-(M882-MIN(MAX(M882,0),MAX(0,I836-IF($A883&gt;='1-Input'!$C$12,'1-Input'!$B$12,0)))))*(1/(1-'P-Parametri'!$B$6*I883))))</f>
        <v>10846.756992928691</v>
      </c>
      <c r="K883" s="18">
        <f>IF($A883&gt;('1-Input'!$B$26+3),M882,(M882-MAX(0,I836-IF($A883&gt;='1-Input'!$C$12,'1-Input'!$B$12,0))+J883*(1-'P-Parametri'!$B$6*I883))*(1+'1-Input'!$B$27))</f>
        <v>0</v>
      </c>
      <c r="L883" s="18">
        <f>IF($A883&gt;('1-Input'!$B$26+3),N882,(N882-J883)*(1+'5-Roberta'!$C$4))</f>
        <v>-321074.60897493514</v>
      </c>
      <c r="M883" s="18">
        <f>IF($A883&gt;('1-Input'!$B$26+3),K883,K883-'P-Parametri'!$B$8*(L883+K883)+MIN(MAX(L883,0),'P-Parametri'!$B$8*(L883+K883)))</f>
        <v>0</v>
      </c>
      <c r="N883" s="18">
        <f>IF($A883&gt;('1-Input'!$B$26+3),L883,L883-MIN(MAX(L883,0),'P-Parametri'!$B$8*(L883+K883)))</f>
        <v>-320432.45975698525</v>
      </c>
      <c r="O883" s="18">
        <f>IF($A883&gt;('1-Input'!$B$26+3),O882,O882-J883*(1-I883))</f>
        <v>-231973.1481011603</v>
      </c>
      <c r="P883" s="11">
        <f>IF($A883&gt;('1-Input'!$B$26+3),0,IF(U882&lt;=0,0,MAX(0,(U882-V882)/U882)))</f>
        <v>0</v>
      </c>
      <c r="Q883" s="18">
        <f>IF($A883&gt;('1-Input'!$B$26+3),0,(MAX(0,P836-IF($A883&gt;='1-Input'!$C$12,'1-Input'!$B$12,0))-MIN(MAX(T882,0),MAX(0,P836-IF($A883&gt;='1-Input'!$C$12,'1-Input'!$B$12,0))))*(1/(1-'P-Parametri'!$B$6*P883))+MIN(MAX(0,U882-(MAX(0,P836-IF($A883&gt;='1-Input'!$C$12,'1-Input'!$B$12,0))-MIN(MAX(T882,0),MAX(0,P836-IF($A883&gt;='1-Input'!$C$12,'1-Input'!$B$12,0))))*(1/(1-'P-Parametri'!$B$6*P883))),MAX(0,2*P836-(T882-MIN(MAX(T882,0),MAX(0,P836-IF($A883&gt;='1-Input'!$C$12,'1-Input'!$B$12,0)))))*(1/(1-'P-Parametri'!$B$6*P883))))</f>
        <v>0</v>
      </c>
      <c r="R883" s="18">
        <f>IF($A883&gt;('1-Input'!$B$26+3),T882,(T882-MAX(0,P836-IF($A883&gt;='1-Input'!$C$12,'1-Input'!$B$12,0))+Q883*(1-'P-Parametri'!$B$6*P883))*(1+'1-Input'!$B$27))</f>
        <v>6430.4089477771595</v>
      </c>
      <c r="S883" s="18">
        <f>IF($A883&gt;('1-Input'!$B$26+3),U882,(U882-Q883)*(1+'5-Roberta'!$C$4))</f>
        <v>0</v>
      </c>
      <c r="T883" s="18">
        <f>IF($A883&gt;('1-Input'!$B$26+3),R883,R883-'P-Parametri'!$B$8*(S883+R883)+MIN(MAX(S883,0),'P-Parametri'!$B$8*(S883+R883)))</f>
        <v>6417.5481298816048</v>
      </c>
      <c r="U883" s="18">
        <f>IF($A883&gt;('1-Input'!$B$26+3),S883,S883-MIN(MAX(S883,0),'P-Parametri'!$B$8*(S883+R883)))</f>
        <v>0</v>
      </c>
      <c r="V883" s="18">
        <f>IF($A883&gt;('1-Input'!$B$26+3),V882,V882-Q883*(1-P883))</f>
        <v>2.2737367544323206E-13</v>
      </c>
      <c r="W883" s="11">
        <f>IF($A883&gt;('1-Input'!$B$26+3),0,IF(AB882&lt;=0,0,MAX(0,(AB882-AC882)/AB882)))</f>
        <v>0</v>
      </c>
      <c r="X883" s="18">
        <f>IF($A883&gt;('1-Input'!$B$26+3),0,(MAX(0,W836-IF($A883&gt;='1-Input'!$C$12,'1-Input'!$B$12,0))-MIN(MAX(AA882,0),MAX(0,W836-IF($A883&gt;='1-Input'!$C$12,'1-Input'!$B$12,0))))*(1/(1-'P-Parametri'!$B$6*W883))+MIN(MAX(0,AB882-(MAX(0,W836-IF($A883&gt;='1-Input'!$C$12,'1-Input'!$B$12,0))-MIN(MAX(AA882,0),MAX(0,W836-IF($A883&gt;='1-Input'!$C$12,'1-Input'!$B$12,0))))*(1/(1-'P-Parametri'!$B$6*W883))),MAX(0,2*W836-(AA882-MIN(MAX(AA882,0),MAX(0,W836-IF($A883&gt;='1-Input'!$C$12,'1-Input'!$B$12,0)))))*(1/(1-'P-Parametri'!$B$6*W883))))</f>
        <v>0</v>
      </c>
      <c r="Y883" s="18">
        <f>IF($A883&gt;('1-Input'!$B$26+3),AA882,(AA882-MAX(0,W836-IF($A883&gt;='1-Input'!$C$12,'1-Input'!$B$12,0))+X883*(1-'P-Parametri'!$B$6*W883))*(1+'1-Input'!$B$27))</f>
        <v>18918.192281699907</v>
      </c>
      <c r="Z883" s="18">
        <f>IF($A883&gt;('1-Input'!$B$26+3),AB882,(AB882-X883)*(1+'5-Roberta'!$C$4))</f>
        <v>0</v>
      </c>
      <c r="AA883" s="18">
        <f>IF($A883&gt;('1-Input'!$B$26+3),Y883,Y883-'P-Parametri'!$B$8*(Z883+Y883)+MIN(MAX(Z883,0),'P-Parametri'!$B$8*(Z883+Y883)))</f>
        <v>18880.355897136506</v>
      </c>
      <c r="AB883" s="18">
        <f>IF($A883&gt;('1-Input'!$B$26+3),Z883,Z883-MIN(MAX(Z883,0),'P-Parametri'!$B$8*(Z883+Y883)))</f>
        <v>0</v>
      </c>
      <c r="AC883" s="18">
        <f>IF($A883&gt;('1-Input'!$B$26+3),AC882,AC882-X883*(1-W883))</f>
        <v>0</v>
      </c>
      <c r="AD883" s="11">
        <f>IF($A883&gt;('1-Input'!$B$26+3),0,IF(AI882&lt;=0,0,MAX(0,(AI882-AJ882)/AI882)))</f>
        <v>0</v>
      </c>
      <c r="AE883" s="18">
        <f>IF($A883&gt;('1-Input'!$B$26+3),0,(MAX(0,AD836-IF($A883&gt;='1-Input'!$C$12,'1-Input'!$B$12,0))-MIN(MAX(AH882,0),MAX(0,AD836-IF($A883&gt;='1-Input'!$C$12,'1-Input'!$B$12,0))))*(1/(1-'P-Parametri'!$B$6*AD883))+MIN(MAX(0,AI882-(MAX(0,AD836-IF($A883&gt;='1-Input'!$C$12,'1-Input'!$B$12,0))-MIN(MAX(AH882,0),MAX(0,AD836-IF($A883&gt;='1-Input'!$C$12,'1-Input'!$B$12,0))))*(1/(1-'P-Parametri'!$B$6*AD883))),MAX(0,2*AD836-(AH882-MIN(MAX(AH882,0),MAX(0,AD836-IF($A883&gt;='1-Input'!$C$12,'1-Input'!$B$12,0)))))*(1/(1-'P-Parametri'!$B$6*AD883))))</f>
        <v>0</v>
      </c>
      <c r="AF883" s="18">
        <f>IF($A883&gt;('1-Input'!$B$26+3),AH882,(AH882-MAX(0,AD836-IF($A883&gt;='1-Input'!$C$12,'1-Input'!$B$12,0))+AE883*(1-'P-Parametri'!$B$6*AD883))*(1+'1-Input'!$B$27))</f>
        <v>19903.918760832606</v>
      </c>
      <c r="AG883" s="18">
        <f>IF($A883&gt;('1-Input'!$B$26+3),AI882,(AI882-AE883)*(1+'5-Roberta'!$C$4))</f>
        <v>0</v>
      </c>
      <c r="AH883" s="18">
        <f>IF($A883&gt;('1-Input'!$B$26+3),AF883,AF883-'P-Parametri'!$B$8*(AG883+AF883)+MIN(MAX(AG883,0),'P-Parametri'!$B$8*(AG883+AF883)))</f>
        <v>19864.110923310942</v>
      </c>
      <c r="AI883" s="18">
        <f>IF($A883&gt;('1-Input'!$B$26+3),AG883,AG883-MIN(MAX(AG883,0),'P-Parametri'!$B$8*(AG883+AF883)))</f>
        <v>0</v>
      </c>
      <c r="AJ883" s="18">
        <f>IF($A883&gt;('1-Input'!$B$26+3),AJ882,AJ882-AE883*(1-AD883))</f>
        <v>2.2737367544323206E-13</v>
      </c>
      <c r="AK883" s="11">
        <f>IF($A883&gt;('1-Input'!$B$26+3),0,IF(AP882&lt;=0,0,MAX(0,(AP882-AQ882)/AP882)))</f>
        <v>0</v>
      </c>
      <c r="AL883" s="18">
        <f>IF($A883&gt;('1-Input'!$B$26+3),0,(MAX(0,AK836-IF($A883&gt;='1-Input'!$C$12,'1-Input'!$B$12,0))-MIN(MAX(AO882,0),MAX(0,AK836-IF($A883&gt;='1-Input'!$C$12,'1-Input'!$B$12,0))))*(1/(1-'P-Parametri'!$B$6*AK883))+MIN(MAX(0,AP882-(MAX(0,AK836-IF($A883&gt;='1-Input'!$C$12,'1-Input'!$B$12,0))-MIN(MAX(AO882,0),MAX(0,AK836-IF($A883&gt;='1-Input'!$C$12,'1-Input'!$B$12,0))))*(1/(1-'P-Parametri'!$B$6*AK883))),MAX(0,2*AK836-(AO882-MIN(MAX(AO882,0),MAX(0,AK836-IF($A883&gt;='1-Input'!$C$12,'1-Input'!$B$12,0)))))*(1/(1-'P-Parametri'!$B$6*AK883))))</f>
        <v>0</v>
      </c>
      <c r="AM883" s="18">
        <f>IF($A883&gt;('1-Input'!$B$26+3),AO882,(AO882-MAX(0,AK836-IF($A883&gt;='1-Input'!$C$12,'1-Input'!$B$12,0))+AL883*(1-'P-Parametri'!$B$6*AK883))*(1+'1-Input'!$B$27))</f>
        <v>19901.724258275226</v>
      </c>
      <c r="AN883" s="18">
        <f>IF($A883&gt;('1-Input'!$B$26+3),AP882,(AP882-AL883)*(1+'5-Roberta'!$C$4))</f>
        <v>0</v>
      </c>
      <c r="AO883" s="18">
        <f>IF($A883&gt;('1-Input'!$B$26+3),AM883,AM883-'P-Parametri'!$B$8*(AN883+AM883)+MIN(MAX(AN883,0),'P-Parametri'!$B$8*(AN883+AM883)))</f>
        <v>19861.920809758674</v>
      </c>
      <c r="AP883" s="18">
        <f>IF($A883&gt;('1-Input'!$B$26+3),AN883,AN883-MIN(MAX(AN883,0),'P-Parametri'!$B$8*(AN883+AM883)))</f>
        <v>0</v>
      </c>
      <c r="AQ883" s="18">
        <f>IF($A883&gt;('1-Input'!$B$26+3),AQ882,AQ882-AL883*(1-AK883))</f>
        <v>-2.2737367544323206E-13</v>
      </c>
    </row>
    <row r="884" spans="1:43">
      <c r="A884" s="10">
        <f>46</f>
        <v>46</v>
      </c>
      <c r="B884" s="11">
        <f>IF($A884&gt;('1-Input'!$B$26+3),0,IF(G883&lt;=0,0,MAX(0,(G883-H883)/G883)))</f>
        <v>0.7693395166016348</v>
      </c>
      <c r="C884" s="18">
        <f>IF($A884&gt;('1-Input'!$B$26+3),0,(MAX(0,B836-IF($A884&gt;='1-Input'!$C$12,'1-Input'!$B$12,0))-MIN(MAX(F883,0),MAX(0,B836-IF($A884&gt;='1-Input'!$C$12,'1-Input'!$B$12,0))))*(1/(1-'P-Parametri'!$B$6*B884))+MIN(MAX(0,G883-(MAX(0,B836-IF($A884&gt;='1-Input'!$C$12,'1-Input'!$B$12,0))-MIN(MAX(F883,0),MAX(0,B836-IF($A884&gt;='1-Input'!$C$12,'1-Input'!$B$12,0))))*(1/(1-'P-Parametri'!$B$6*B884))),MAX(0,2*B836-(F883-MIN(MAX(F883,0),MAX(0,B836-IF($A884&gt;='1-Input'!$C$12,'1-Input'!$B$12,0)))))*(1/(1-'P-Parametri'!$B$6*B884))))</f>
        <v>7124.2004309854592</v>
      </c>
      <c r="D884" s="18">
        <f>IF($A884&gt;('1-Input'!$B$26+3),F883,(F883-MAX(0,B836-IF($A884&gt;='1-Input'!$C$12,'1-Input'!$B$12,0))+C884*(1-'P-Parametri'!$B$6*B884))*(1+'1-Input'!$B$27))</f>
        <v>33242.0070309863</v>
      </c>
      <c r="E884" s="18">
        <f>IF($A884&gt;('1-Input'!$B$26+3),G883,(G883-C884)*(1+'5-Roberta'!$C$4))</f>
        <v>87197.358841225214</v>
      </c>
      <c r="F884" s="18">
        <f>IF($A884&gt;('1-Input'!$B$26+3),D884,D884-'P-Parametri'!$B$8*(E884+D884)+MIN(MAX(E884,0),'P-Parametri'!$B$8*(E884+D884)))</f>
        <v>33242.0070309863</v>
      </c>
      <c r="G884" s="18">
        <f>IF($A884&gt;('1-Input'!$B$26+3),E884,E884-MIN(MAX(E884,0),'P-Parametri'!$B$8*(E884+D884)))</f>
        <v>86956.480109480792</v>
      </c>
      <c r="H884" s="18">
        <f>IF($A884&gt;('1-Input'!$B$26+3),H883,H883-C884*(1-B884))</f>
        <v>19527.169845997778</v>
      </c>
      <c r="I884" s="11">
        <f>IF($A884&gt;('1-Input'!$B$26+3),0,IF(N883&lt;=0,0,MAX(0,(N883-O883)/N883)))</f>
        <v>0</v>
      </c>
      <c r="J884" s="18">
        <f>IF($A884&gt;('1-Input'!$B$26+3),0,(MAX(0,I836-IF($A884&gt;='1-Input'!$C$12,'1-Input'!$B$12,0))-MIN(MAX(M883,0),MAX(0,I836-IF($A884&gt;='1-Input'!$C$12,'1-Input'!$B$12,0))))*(1/(1-'P-Parametri'!$B$6*I884))+MIN(MAX(0,N883-(MAX(0,I836-IF($A884&gt;='1-Input'!$C$12,'1-Input'!$B$12,0))-MIN(MAX(M883,0),MAX(0,I836-IF($A884&gt;='1-Input'!$C$12,'1-Input'!$B$12,0))))*(1/(1-'P-Parametri'!$B$6*I884))),MAX(0,2*I836-(M883-MIN(MAX(M883,0),MAX(0,I836-IF($A884&gt;='1-Input'!$C$12,'1-Input'!$B$12,0)))))*(1/(1-'P-Parametri'!$B$6*I884))))</f>
        <v>10846.756992928691</v>
      </c>
      <c r="K884" s="18">
        <f>IF($A884&gt;('1-Input'!$B$26+3),M883,(M883-MAX(0,I836-IF($A884&gt;='1-Input'!$C$12,'1-Input'!$B$12,0))+J884*(1-'P-Parametri'!$B$6*I884))*(1+'1-Input'!$B$27))</f>
        <v>0</v>
      </c>
      <c r="L884" s="18">
        <f>IF($A884&gt;('1-Input'!$B$26+3),N883,(N883-J884)*(1+'5-Roberta'!$C$4))</f>
        <v>-341217.59325241135</v>
      </c>
      <c r="M884" s="18">
        <f>IF($A884&gt;('1-Input'!$B$26+3),K884,K884-'P-Parametri'!$B$8*(L884+K884)+MIN(MAX(L884,0),'P-Parametri'!$B$8*(L884+K884)))</f>
        <v>0</v>
      </c>
      <c r="N884" s="18">
        <f>IF($A884&gt;('1-Input'!$B$26+3),L884,L884-MIN(MAX(L884,0),'P-Parametri'!$B$8*(L884+K884)))</f>
        <v>-340535.15806590655</v>
      </c>
      <c r="O884" s="18">
        <f>IF($A884&gt;('1-Input'!$B$26+3),O883,O883-J884*(1-I884))</f>
        <v>-242819.90509408899</v>
      </c>
      <c r="P884" s="11">
        <f>IF($A884&gt;('1-Input'!$B$26+3),0,IF(U883&lt;=0,0,MAX(0,(U883-V883)/U883)))</f>
        <v>0</v>
      </c>
      <c r="Q884" s="18">
        <f>IF($A884&gt;('1-Input'!$B$26+3),0,(MAX(0,P836-IF($A884&gt;='1-Input'!$C$12,'1-Input'!$B$12,0))-MIN(MAX(T883,0),MAX(0,P836-IF($A884&gt;='1-Input'!$C$12,'1-Input'!$B$12,0))))*(1/(1-'P-Parametri'!$B$6*P884))+MIN(MAX(0,U883-(MAX(0,P836-IF($A884&gt;='1-Input'!$C$12,'1-Input'!$B$12,0))-MIN(MAX(T883,0),MAX(0,P836-IF($A884&gt;='1-Input'!$C$12,'1-Input'!$B$12,0))))*(1/(1-'P-Parametri'!$B$6*P884))),MAX(0,2*P836-(T883-MIN(MAX(T883,0),MAX(0,P836-IF($A884&gt;='1-Input'!$C$12,'1-Input'!$B$12,0)))))*(1/(1-'P-Parametri'!$B$6*P884))))</f>
        <v>338.98640296630037</v>
      </c>
      <c r="R884" s="18">
        <f>IF($A884&gt;('1-Input'!$B$26+3),T883,(T883-MAX(0,P836-IF($A884&gt;='1-Input'!$C$12,'1-Input'!$B$12,0))+Q884*(1-'P-Parametri'!$B$6*P884))*(1+'1-Input'!$B$27))</f>
        <v>0</v>
      </c>
      <c r="S884" s="18">
        <f>IF($A884&gt;('1-Input'!$B$26+3),U883,(U883-Q884)*(1+'5-Roberta'!$C$4))</f>
        <v>-349.1559950552894</v>
      </c>
      <c r="T884" s="18">
        <f>IF($A884&gt;('1-Input'!$B$26+3),R884,R884-'P-Parametri'!$B$8*(S884+R884)+MIN(MAX(S884,0),'P-Parametri'!$B$8*(S884+R884)))</f>
        <v>0</v>
      </c>
      <c r="U884" s="18">
        <f>IF($A884&gt;('1-Input'!$B$26+3),S884,S884-MIN(MAX(S884,0),'P-Parametri'!$B$8*(S884+R884)))</f>
        <v>-348.4576830651788</v>
      </c>
      <c r="V884" s="18">
        <f>IF($A884&gt;('1-Input'!$B$26+3),V883,V883-Q884*(1-P884))</f>
        <v>-338.98640296630015</v>
      </c>
      <c r="W884" s="11">
        <f>IF($A884&gt;('1-Input'!$B$26+3),0,IF(AB883&lt;=0,0,MAX(0,(AB883-AC883)/AB883)))</f>
        <v>0</v>
      </c>
      <c r="X884" s="18">
        <f>IF($A884&gt;('1-Input'!$B$26+3),0,(MAX(0,W836-IF($A884&gt;='1-Input'!$C$12,'1-Input'!$B$12,0))-MIN(MAX(AA883,0),MAX(0,W836-IF($A884&gt;='1-Input'!$C$12,'1-Input'!$B$12,0))))*(1/(1-'P-Parametri'!$B$6*W884))+MIN(MAX(0,AB883-(MAX(0,W836-IF($A884&gt;='1-Input'!$C$12,'1-Input'!$B$12,0))-MIN(MAX(AA883,0),MAX(0,W836-IF($A884&gt;='1-Input'!$C$12,'1-Input'!$B$12,0))))*(1/(1-'P-Parametri'!$B$6*W884))),MAX(0,2*W836-(AA883-MIN(MAX(AA883,0),MAX(0,W836-IF($A884&gt;='1-Input'!$C$12,'1-Input'!$B$12,0)))))*(1/(1-'P-Parametri'!$B$6*W884))))</f>
        <v>0</v>
      </c>
      <c r="Y884" s="18">
        <f>IF($A884&gt;('1-Input'!$B$26+3),AA883,(AA883-MAX(0,W836-IF($A884&gt;='1-Input'!$C$12,'1-Input'!$B$12,0))+X884*(1-'P-Parametri'!$B$6*W884))*(1+'1-Input'!$B$27))</f>
        <v>12240.24226425937</v>
      </c>
      <c r="Z884" s="18">
        <f>IF($A884&gt;('1-Input'!$B$26+3),AB883,(AB883-X884)*(1+'5-Roberta'!$C$4))</f>
        <v>0</v>
      </c>
      <c r="AA884" s="18">
        <f>IF($A884&gt;('1-Input'!$B$26+3),Y884,Y884-'P-Parametri'!$B$8*(Z884+Y884)+MIN(MAX(Z884,0),'P-Parametri'!$B$8*(Z884+Y884)))</f>
        <v>12215.761779730852</v>
      </c>
      <c r="AB884" s="18">
        <f>IF($A884&gt;('1-Input'!$B$26+3),Z884,Z884-MIN(MAX(Z884,0),'P-Parametri'!$B$8*(Z884+Y884)))</f>
        <v>0</v>
      </c>
      <c r="AC884" s="18">
        <f>IF($A884&gt;('1-Input'!$B$26+3),AC883,AC883-X884*(1-W884))</f>
        <v>0</v>
      </c>
      <c r="AD884" s="11">
        <f>IF($A884&gt;('1-Input'!$B$26+3),0,IF(AI883&lt;=0,0,MAX(0,(AI883-AJ883)/AI883)))</f>
        <v>0</v>
      </c>
      <c r="AE884" s="18">
        <f>IF($A884&gt;('1-Input'!$B$26+3),0,(MAX(0,AD836-IF($A884&gt;='1-Input'!$C$12,'1-Input'!$B$12,0))-MIN(MAX(AH883,0),MAX(0,AD836-IF($A884&gt;='1-Input'!$C$12,'1-Input'!$B$12,0))))*(1/(1-'P-Parametri'!$B$6*AD884))+MIN(MAX(0,AI883-(MAX(0,AD836-IF($A884&gt;='1-Input'!$C$12,'1-Input'!$B$12,0))-MIN(MAX(AH883,0),MAX(0,AD836-IF($A884&gt;='1-Input'!$C$12,'1-Input'!$B$12,0))))*(1/(1-'P-Parametri'!$B$6*AD884))),MAX(0,2*AD836-(AH883-MIN(MAX(AH883,0),MAX(0,AD836-IF($A884&gt;='1-Input'!$C$12,'1-Input'!$B$12,0)))))*(1/(1-'P-Parametri'!$B$6*AD884))))</f>
        <v>0</v>
      </c>
      <c r="AF884" s="18">
        <f>IF($A884&gt;('1-Input'!$B$26+3),AH883,(AH883-MAX(0,AD836-IF($A884&gt;='1-Input'!$C$12,'1-Input'!$B$12,0))+AE884*(1-'P-Parametri'!$B$6*AD884))*(1+'1-Input'!$B$27))</f>
        <v>13232.810318954014</v>
      </c>
      <c r="AG884" s="18">
        <f>IF($A884&gt;('1-Input'!$B$26+3),AI883,(AI883-AE884)*(1+'5-Roberta'!$C$4))</f>
        <v>0</v>
      </c>
      <c r="AH884" s="18">
        <f>IF($A884&gt;('1-Input'!$B$26+3),AF884,AF884-'P-Parametri'!$B$8*(AG884+AF884)+MIN(MAX(AG884,0),'P-Parametri'!$B$8*(AG884+AF884)))</f>
        <v>13206.344698316107</v>
      </c>
      <c r="AI884" s="18">
        <f>IF($A884&gt;('1-Input'!$B$26+3),AG884,AG884-MIN(MAX(AG884,0),'P-Parametri'!$B$8*(AG884+AF884)))</f>
        <v>0</v>
      </c>
      <c r="AJ884" s="18">
        <f>IF($A884&gt;('1-Input'!$B$26+3),AJ883,AJ883-AE884*(1-AD884))</f>
        <v>2.2737367544323206E-13</v>
      </c>
      <c r="AK884" s="11">
        <f>IF($A884&gt;('1-Input'!$B$26+3),0,IF(AP883&lt;=0,0,MAX(0,(AP883-AQ883)/AP883)))</f>
        <v>0</v>
      </c>
      <c r="AL884" s="18">
        <f>IF($A884&gt;('1-Input'!$B$26+3),0,(MAX(0,AK836-IF($A884&gt;='1-Input'!$C$12,'1-Input'!$B$12,0))-MIN(MAX(AO883,0),MAX(0,AK836-IF($A884&gt;='1-Input'!$C$12,'1-Input'!$B$12,0))))*(1/(1-'P-Parametri'!$B$6*AK884))+MIN(MAX(0,AP883-(MAX(0,AK836-IF($A884&gt;='1-Input'!$C$12,'1-Input'!$B$12,0))-MIN(MAX(AO883,0),MAX(0,AK836-IF($A884&gt;='1-Input'!$C$12,'1-Input'!$B$12,0))))*(1/(1-'P-Parametri'!$B$6*AK884))),MAX(0,2*AK836-(AO883-MIN(MAX(AO883,0),MAX(0,AK836-IF($A884&gt;='1-Input'!$C$12,'1-Input'!$B$12,0)))))*(1/(1-'P-Parametri'!$B$6*AK884))))</f>
        <v>0</v>
      </c>
      <c r="AM884" s="18">
        <f>IF($A884&gt;('1-Input'!$B$26+3),AO883,(AO883-MAX(0,AK836-IF($A884&gt;='1-Input'!$C$12,'1-Input'!$B$12,0))+AL884*(1-'P-Parametri'!$B$6*AK884))*(1+'1-Input'!$B$27))</f>
        <v>13230.600585240705</v>
      </c>
      <c r="AN884" s="18">
        <f>IF($A884&gt;('1-Input'!$B$26+3),AP883,(AP883-AL884)*(1+'5-Roberta'!$C$4))</f>
        <v>0</v>
      </c>
      <c r="AO884" s="18">
        <f>IF($A884&gt;('1-Input'!$B$26+3),AM884,AM884-'P-Parametri'!$B$8*(AN884+AM884)+MIN(MAX(AN884,0),'P-Parametri'!$B$8*(AN884+AM884)))</f>
        <v>13204.139384070224</v>
      </c>
      <c r="AP884" s="18">
        <f>IF($A884&gt;('1-Input'!$B$26+3),AN884,AN884-MIN(MAX(AN884,0),'P-Parametri'!$B$8*(AN884+AM884)))</f>
        <v>0</v>
      </c>
      <c r="AQ884" s="18">
        <f>IF($A884&gt;('1-Input'!$B$26+3),AQ883,AQ883-AL884*(1-AK884))</f>
        <v>-2.2737367544323206E-13</v>
      </c>
    </row>
    <row r="885" spans="1:43">
      <c r="A885" s="10">
        <f>47</f>
        <v>47</v>
      </c>
      <c r="B885" s="11">
        <f>IF($A885&gt;('1-Input'!$B$26+3),0,IF(G884&lt;=0,0,MAX(0,(G884-H884)/G884)))</f>
        <v>0.77543743926372721</v>
      </c>
      <c r="C885" s="18">
        <f>IF($A885&gt;('1-Input'!$B$26+3),0,(MAX(0,B836-IF($A885&gt;='1-Input'!$C$12,'1-Input'!$B$12,0))-MIN(MAX(F884,0),MAX(0,B836-IF($A885&gt;='1-Input'!$C$12,'1-Input'!$B$12,0))))*(1/(1-'P-Parametri'!$B$6*B885))+MIN(MAX(0,G884-(MAX(0,B836-IF($A885&gt;='1-Input'!$C$12,'1-Input'!$B$12,0))-MIN(MAX(F884,0),MAX(0,B836-IF($A885&gt;='1-Input'!$C$12,'1-Input'!$B$12,0))))*(1/(1-'P-Parametri'!$B$6*B885))),MAX(0,2*B836-(F884-MIN(MAX(F884,0),MAX(0,B836-IF($A885&gt;='1-Input'!$C$12,'1-Input'!$B$12,0)))))*(1/(1-'P-Parametri'!$B$6*B885))))</f>
        <v>7138.347886334941</v>
      </c>
      <c r="D885" s="18">
        <f>IF($A885&gt;('1-Input'!$B$26+3),F884,(F884-MAX(0,B836-IF($A885&gt;='1-Input'!$C$12,'1-Input'!$B$12,0))+C885*(1-'P-Parametri'!$B$6*B885))*(1+'1-Input'!$B$27))</f>
        <v>33242.0070309863</v>
      </c>
      <c r="E885" s="18">
        <f>IF($A885&gt;('1-Input'!$B$26+3),G884,(G884-C885)*(1+'5-Roberta'!$C$4))</f>
        <v>82212.676189840218</v>
      </c>
      <c r="F885" s="18">
        <f>IF($A885&gt;('1-Input'!$B$26+3),D885,D885-'P-Parametri'!$B$8*(E885+D885)+MIN(MAX(E885,0),'P-Parametri'!$B$8*(E885+D885)))</f>
        <v>33242.0070309863</v>
      </c>
      <c r="G885" s="18">
        <f>IF($A885&gt;('1-Input'!$B$26+3),E885,E885-MIN(MAX(E885,0),'P-Parametri'!$B$8*(E885+D885)))</f>
        <v>81981.766823398561</v>
      </c>
      <c r="H885" s="18">
        <f>IF($A885&gt;('1-Input'!$B$26+3),H884,H884-C885*(1-B885))</f>
        <v>17924.164165216043</v>
      </c>
      <c r="I885" s="11">
        <f>IF($A885&gt;('1-Input'!$B$26+3),0,IF(N884&lt;=0,0,MAX(0,(N884-O884)/N884)))</f>
        <v>0</v>
      </c>
      <c r="J885" s="18">
        <f>IF($A885&gt;('1-Input'!$B$26+3),0,(MAX(0,I836-IF($A885&gt;='1-Input'!$C$12,'1-Input'!$B$12,0))-MIN(MAX(M884,0),MAX(0,I836-IF($A885&gt;='1-Input'!$C$12,'1-Input'!$B$12,0))))*(1/(1-'P-Parametri'!$B$6*I885))+MIN(MAX(0,N884-(MAX(0,I836-IF($A885&gt;='1-Input'!$C$12,'1-Input'!$B$12,0))-MIN(MAX(M884,0),MAX(0,I836-IF($A885&gt;='1-Input'!$C$12,'1-Input'!$B$12,0))))*(1/(1-'P-Parametri'!$B$6*I885))),MAX(0,2*I836-(M884-MIN(MAX(M884,0),MAX(0,I836-IF($A885&gt;='1-Input'!$C$12,'1-Input'!$B$12,0)))))*(1/(1-'P-Parametri'!$B$6*I885))))</f>
        <v>10846.756992928691</v>
      </c>
      <c r="K885" s="18">
        <f>IF($A885&gt;('1-Input'!$B$26+3),M884,(M884-MAX(0,I836-IF($A885&gt;='1-Input'!$C$12,'1-Input'!$B$12,0))+J885*(1-'P-Parametri'!$B$6*I885))*(1+'1-Input'!$B$27))</f>
        <v>0</v>
      </c>
      <c r="L885" s="18">
        <f>IF($A885&gt;('1-Input'!$B$26+3),N884,(N884-J885)*(1+'5-Roberta'!$C$4))</f>
        <v>-361923.37251060031</v>
      </c>
      <c r="M885" s="18">
        <f>IF($A885&gt;('1-Input'!$B$26+3),K885,K885-'P-Parametri'!$B$8*(L885+K885)+MIN(MAX(L885,0),'P-Parametri'!$B$8*(L885+K885)))</f>
        <v>0</v>
      </c>
      <c r="N885" s="18">
        <f>IF($A885&gt;('1-Input'!$B$26+3),L885,L885-MIN(MAX(L885,0),'P-Parametri'!$B$8*(L885+K885)))</f>
        <v>-361199.52576557914</v>
      </c>
      <c r="O885" s="18">
        <f>IF($A885&gt;('1-Input'!$B$26+3),O884,O884-J885*(1-I885))</f>
        <v>-253666.66208701767</v>
      </c>
      <c r="P885" s="11">
        <f>IF($A885&gt;('1-Input'!$B$26+3),0,IF(U884&lt;=0,0,MAX(0,(U884-V884)/U884)))</f>
        <v>0</v>
      </c>
      <c r="Q885" s="18">
        <f>IF($A885&gt;('1-Input'!$B$26+3),0,(MAX(0,P836-IF($A885&gt;='1-Input'!$C$12,'1-Input'!$B$12,0))-MIN(MAX(T884,0),MAX(0,P836-IF($A885&gt;='1-Input'!$C$12,'1-Input'!$B$12,0))))*(1/(1-'P-Parametri'!$B$6*P885))+MIN(MAX(0,U884-(MAX(0,P836-IF($A885&gt;='1-Input'!$C$12,'1-Input'!$B$12,0))-MIN(MAX(T884,0),MAX(0,P836-IF($A885&gt;='1-Input'!$C$12,'1-Input'!$B$12,0))))*(1/(1-'P-Parametri'!$B$6*P885))),MAX(0,2*P836-(T884-MIN(MAX(T884,0),MAX(0,P836-IF($A885&gt;='1-Input'!$C$12,'1-Input'!$B$12,0)))))*(1/(1-'P-Parametri'!$B$6*P885))))</f>
        <v>6756.5345328479052</v>
      </c>
      <c r="R885" s="18">
        <f>IF($A885&gt;('1-Input'!$B$26+3),T884,(T884-MAX(0,P836-IF($A885&gt;='1-Input'!$C$12,'1-Input'!$B$12,0))+Q885*(1-'P-Parametri'!$B$6*P885))*(1+'1-Input'!$B$27))</f>
        <v>0</v>
      </c>
      <c r="S885" s="18">
        <f>IF($A885&gt;('1-Input'!$B$26+3),U884,(U884-Q885)*(1+'5-Roberta'!$C$4))</f>
        <v>-7318.1419823904762</v>
      </c>
      <c r="T885" s="18">
        <f>IF($A885&gt;('1-Input'!$B$26+3),R885,R885-'P-Parametri'!$B$8*(S885+R885)+MIN(MAX(S885,0),'P-Parametri'!$B$8*(S885+R885)))</f>
        <v>0</v>
      </c>
      <c r="U885" s="18">
        <f>IF($A885&gt;('1-Input'!$B$26+3),S885,S885-MIN(MAX(S885,0),'P-Parametri'!$B$8*(S885+R885)))</f>
        <v>-7303.5056984256953</v>
      </c>
      <c r="V885" s="18">
        <f>IF($A885&gt;('1-Input'!$B$26+3),V884,V884-Q885*(1-P885))</f>
        <v>-7095.5209358142056</v>
      </c>
      <c r="W885" s="11">
        <f>IF($A885&gt;('1-Input'!$B$26+3),0,IF(AB884&lt;=0,0,MAX(0,(AB884-AC884)/AB884)))</f>
        <v>0</v>
      </c>
      <c r="X885" s="18">
        <f>IF($A885&gt;('1-Input'!$B$26+3),0,(MAX(0,W836-IF($A885&gt;='1-Input'!$C$12,'1-Input'!$B$12,0))-MIN(MAX(AA884,0),MAX(0,W836-IF($A885&gt;='1-Input'!$C$12,'1-Input'!$B$12,0))))*(1/(1-'P-Parametri'!$B$6*W885))+MIN(MAX(0,AB884-(MAX(0,W836-IF($A885&gt;='1-Input'!$C$12,'1-Input'!$B$12,0))-MIN(MAX(AA884,0),MAX(0,W836-IF($A885&gt;='1-Input'!$C$12,'1-Input'!$B$12,0))))*(1/(1-'P-Parametri'!$B$6*W885))),MAX(0,2*W836-(AA884-MIN(MAX(AA884,0),MAX(0,W836-IF($A885&gt;='1-Input'!$C$12,'1-Input'!$B$12,0)))))*(1/(1-'P-Parametri'!$B$6*W885))))</f>
        <v>0</v>
      </c>
      <c r="Y885" s="18">
        <f>IF($A885&gt;('1-Input'!$B$26+3),AA884,(AA884-MAX(0,W836-IF($A885&gt;='1-Input'!$C$12,'1-Input'!$B$12,0))+X885*(1-'P-Parametri'!$B$6*W885))*(1+'1-Input'!$B$27))</f>
        <v>5599.6406856763779</v>
      </c>
      <c r="Z885" s="18">
        <f>IF($A885&gt;('1-Input'!$B$26+3),AB884,(AB884-X885)*(1+'5-Roberta'!$C$4))</f>
        <v>0</v>
      </c>
      <c r="AA885" s="18">
        <f>IF($A885&gt;('1-Input'!$B$26+3),Y885,Y885-'P-Parametri'!$B$8*(Z885+Y885)+MIN(MAX(Z885,0),'P-Parametri'!$B$8*(Z885+Y885)))</f>
        <v>5588.4414043050247</v>
      </c>
      <c r="AB885" s="18">
        <f>IF($A885&gt;('1-Input'!$B$26+3),Z885,Z885-MIN(MAX(Z885,0),'P-Parametri'!$B$8*(Z885+Y885)))</f>
        <v>0</v>
      </c>
      <c r="AC885" s="18">
        <f>IF($A885&gt;('1-Input'!$B$26+3),AC884,AC884-X885*(1-W885))</f>
        <v>0</v>
      </c>
      <c r="AD885" s="11">
        <f>IF($A885&gt;('1-Input'!$B$26+3),0,IF(AI884&lt;=0,0,MAX(0,(AI884-AJ884)/AI884)))</f>
        <v>0</v>
      </c>
      <c r="AE885" s="18">
        <f>IF($A885&gt;('1-Input'!$B$26+3),0,(MAX(0,AD836-IF($A885&gt;='1-Input'!$C$12,'1-Input'!$B$12,0))-MIN(MAX(AH884,0),MAX(0,AD836-IF($A885&gt;='1-Input'!$C$12,'1-Input'!$B$12,0))))*(1/(1-'P-Parametri'!$B$6*AD885))+MIN(MAX(0,AI884-(MAX(0,AD836-IF($A885&gt;='1-Input'!$C$12,'1-Input'!$B$12,0))-MIN(MAX(AH884,0),MAX(0,AD836-IF($A885&gt;='1-Input'!$C$12,'1-Input'!$B$12,0))))*(1/(1-'P-Parametri'!$B$6*AD885))),MAX(0,2*AD836-(AH884-MIN(MAX(AH884,0),MAX(0,AD836-IF($A885&gt;='1-Input'!$C$12,'1-Input'!$B$12,0)))))*(1/(1-'P-Parametri'!$B$6*AD885))))</f>
        <v>0</v>
      </c>
      <c r="AF885" s="18">
        <f>IF($A885&gt;('1-Input'!$B$26+3),AH884,(AH884-MAX(0,AD836-IF($A885&gt;='1-Input'!$C$12,'1-Input'!$B$12,0))+AE885*(1-'P-Parametri'!$B$6*AD885))*(1+'1-Input'!$B$27))</f>
        <v>6599.0120523691612</v>
      </c>
      <c r="AG885" s="18">
        <f>IF($A885&gt;('1-Input'!$B$26+3),AI884,(AI884-AE885)*(1+'5-Roberta'!$C$4))</f>
        <v>0</v>
      </c>
      <c r="AH885" s="18">
        <f>IF($A885&gt;('1-Input'!$B$26+3),AF885,AF885-'P-Parametri'!$B$8*(AG885+AF885)+MIN(MAX(AG885,0),'P-Parametri'!$B$8*(AG885+AF885)))</f>
        <v>6585.8140282644226</v>
      </c>
      <c r="AI885" s="18">
        <f>IF($A885&gt;('1-Input'!$B$26+3),AG885,AG885-MIN(MAX(AG885,0),'P-Parametri'!$B$8*(AG885+AF885)))</f>
        <v>0</v>
      </c>
      <c r="AJ885" s="18">
        <f>IF($A885&gt;('1-Input'!$B$26+3),AJ884,AJ884-AE885*(1-AD885))</f>
        <v>2.2737367544323206E-13</v>
      </c>
      <c r="AK885" s="11">
        <f>IF($A885&gt;('1-Input'!$B$26+3),0,IF(AP884&lt;=0,0,MAX(0,(AP884-AQ884)/AP884)))</f>
        <v>0</v>
      </c>
      <c r="AL885" s="18">
        <f>IF($A885&gt;('1-Input'!$B$26+3),0,(MAX(0,AK836-IF($A885&gt;='1-Input'!$C$12,'1-Input'!$B$12,0))-MIN(MAX(AO884,0),MAX(0,AK836-IF($A885&gt;='1-Input'!$C$12,'1-Input'!$B$12,0))))*(1/(1-'P-Parametri'!$B$6*AK885))+MIN(MAX(0,AP884-(MAX(0,AK836-IF($A885&gt;='1-Input'!$C$12,'1-Input'!$B$12,0))-MIN(MAX(AO884,0),MAX(0,AK836-IF($A885&gt;='1-Input'!$C$12,'1-Input'!$B$12,0))))*(1/(1-'P-Parametri'!$B$6*AK885))),MAX(0,2*AK836-(AO884-MIN(MAX(AO884,0),MAX(0,AK836-IF($A885&gt;='1-Input'!$C$12,'1-Input'!$B$12,0)))))*(1/(1-'P-Parametri'!$B$6*AK885))))</f>
        <v>0</v>
      </c>
      <c r="AM885" s="18">
        <f>IF($A885&gt;('1-Input'!$B$26+3),AO884,(AO884-MAX(0,AK836-IF($A885&gt;='1-Input'!$C$12,'1-Input'!$B$12,0))+AL885*(1-'P-Parametri'!$B$6*AK885))*(1+'1-Input'!$B$27))</f>
        <v>6596.7871726847334</v>
      </c>
      <c r="AN885" s="18">
        <f>IF($A885&gt;('1-Input'!$B$26+3),AP884,(AP884-AL885)*(1+'5-Roberta'!$C$4))</f>
        <v>0</v>
      </c>
      <c r="AO885" s="18">
        <f>IF($A885&gt;('1-Input'!$B$26+3),AM885,AM885-'P-Parametri'!$B$8*(AN885+AM885)+MIN(MAX(AN885,0),'P-Parametri'!$B$8*(AN885+AM885)))</f>
        <v>6583.5935983393638</v>
      </c>
      <c r="AP885" s="18">
        <f>IF($A885&gt;('1-Input'!$B$26+3),AN885,AN885-MIN(MAX(AN885,0),'P-Parametri'!$B$8*(AN885+AM885)))</f>
        <v>0</v>
      </c>
      <c r="AQ885" s="18">
        <f>IF($A885&gt;('1-Input'!$B$26+3),AQ884,AQ884-AL885*(1-AK885))</f>
        <v>-2.2737367544323206E-13</v>
      </c>
    </row>
    <row r="886" spans="1:43">
      <c r="A886" s="10">
        <f>48</f>
        <v>48</v>
      </c>
      <c r="B886" s="11">
        <f>IF($A886&gt;('1-Input'!$B$26+3),0,IF(G885&lt;=0,0,MAX(0,(G885-H885)/G885)))</f>
        <v>0.78136401714996606</v>
      </c>
      <c r="C886" s="18">
        <f>IF($A886&gt;('1-Input'!$B$26+3),0,(MAX(0,B836-IF($A886&gt;='1-Input'!$C$12,'1-Input'!$B$12,0))-MIN(MAX(F885,0),MAX(0,B836-IF($A886&gt;='1-Input'!$C$12,'1-Input'!$B$12,0))))*(1/(1-'P-Parametri'!$B$6*B886))+MIN(MAX(0,G885-(MAX(0,B836-IF($A886&gt;='1-Input'!$C$12,'1-Input'!$B$12,0))-MIN(MAX(F885,0),MAX(0,B836-IF($A886&gt;='1-Input'!$C$12,'1-Input'!$B$12,0))))*(1/(1-'P-Parametri'!$B$6*B886))),MAX(0,2*B836-(F885-MIN(MAX(F885,0),MAX(0,B836-IF($A886&gt;='1-Input'!$C$12,'1-Input'!$B$12,0)))))*(1/(1-'P-Parametri'!$B$6*B886))))</f>
        <v>7152.1517610173305</v>
      </c>
      <c r="D886" s="18">
        <f>IF($A886&gt;('1-Input'!$B$26+3),F885,(F885-MAX(0,B836-IF($A886&gt;='1-Input'!$C$12,'1-Input'!$B$12,0))+C886*(1-'P-Parametri'!$B$6*B886))*(1+'1-Input'!$B$27))</f>
        <v>33242.0070309863</v>
      </c>
      <c r="E886" s="18">
        <f>IF($A886&gt;('1-Input'!$B$26+3),G885,(G885-C886)*(1+'5-Roberta'!$C$4))</f>
        <v>77074.503514252661</v>
      </c>
      <c r="F886" s="18">
        <f>IF($A886&gt;('1-Input'!$B$26+3),D886,D886-'P-Parametri'!$B$8*(E886+D886)+MIN(MAX(E886,0),'P-Parametri'!$B$8*(E886+D886)))</f>
        <v>33242.0070309863</v>
      </c>
      <c r="G886" s="18">
        <f>IF($A886&gt;('1-Input'!$B$26+3),E886,E886-MIN(MAX(E886,0),'P-Parametri'!$B$8*(E886+D886)))</f>
        <v>76853.870493162191</v>
      </c>
      <c r="H886" s="18">
        <f>IF($A886&gt;('1-Input'!$B$26+3),H885,H885-C886*(1-B886))</f>
        <v>16360.446435453418</v>
      </c>
      <c r="I886" s="11">
        <f>IF($A886&gt;('1-Input'!$B$26+3),0,IF(N885&lt;=0,0,MAX(0,(N885-O885)/N885)))</f>
        <v>0</v>
      </c>
      <c r="J886" s="18">
        <f>IF($A886&gt;('1-Input'!$B$26+3),0,(MAX(0,I836-IF($A886&gt;='1-Input'!$C$12,'1-Input'!$B$12,0))-MIN(MAX(M885,0),MAX(0,I836-IF($A886&gt;='1-Input'!$C$12,'1-Input'!$B$12,0))))*(1/(1-'P-Parametri'!$B$6*I886))+MIN(MAX(0,N885-(MAX(0,I836-IF($A886&gt;='1-Input'!$C$12,'1-Input'!$B$12,0))-MIN(MAX(M885,0),MAX(0,I836-IF($A886&gt;='1-Input'!$C$12,'1-Input'!$B$12,0))))*(1/(1-'P-Parametri'!$B$6*I886))),MAX(0,2*I836-(M885-MIN(MAX(M885,0),MAX(0,I836-IF($A886&gt;='1-Input'!$C$12,'1-Input'!$B$12,0)))))*(1/(1-'P-Parametri'!$B$6*I886))))</f>
        <v>10846.756992928691</v>
      </c>
      <c r="K886" s="18">
        <f>IF($A886&gt;('1-Input'!$B$26+3),M885,(M885-MAX(0,I836-IF($A886&gt;='1-Input'!$C$12,'1-Input'!$B$12,0))+J886*(1-'P-Parametri'!$B$6*I886))*(1+'1-Input'!$B$27))</f>
        <v>0</v>
      </c>
      <c r="L886" s="18">
        <f>IF($A886&gt;('1-Input'!$B$26+3),N885,(N885-J886)*(1+'5-Roberta'!$C$4))</f>
        <v>-383207.67124126304</v>
      </c>
      <c r="M886" s="18">
        <f>IF($A886&gt;('1-Input'!$B$26+3),K886,K886-'P-Parametri'!$B$8*(L886+K886)+MIN(MAX(L886,0),'P-Parametri'!$B$8*(L886+K886)))</f>
        <v>0</v>
      </c>
      <c r="N886" s="18">
        <f>IF($A886&gt;('1-Input'!$B$26+3),L886,L886-MIN(MAX(L886,0),'P-Parametri'!$B$8*(L886+K886)))</f>
        <v>-382441.25589878054</v>
      </c>
      <c r="O886" s="18">
        <f>IF($A886&gt;('1-Input'!$B$26+3),O885,O885-J886*(1-I886))</f>
        <v>-264513.41907994635</v>
      </c>
      <c r="P886" s="11">
        <f>IF($A886&gt;('1-Input'!$B$26+3),0,IF(U885&lt;=0,0,MAX(0,(U885-V885)/U885)))</f>
        <v>0</v>
      </c>
      <c r="Q886" s="18">
        <f>IF($A886&gt;('1-Input'!$B$26+3),0,(MAX(0,P836-IF($A886&gt;='1-Input'!$C$12,'1-Input'!$B$12,0))-MIN(MAX(T885,0),MAX(0,P836-IF($A886&gt;='1-Input'!$C$12,'1-Input'!$B$12,0))))*(1/(1-'P-Parametri'!$B$6*P886))+MIN(MAX(0,U885-(MAX(0,P836-IF($A886&gt;='1-Input'!$C$12,'1-Input'!$B$12,0))-MIN(MAX(T885,0),MAX(0,P836-IF($A886&gt;='1-Input'!$C$12,'1-Input'!$B$12,0))))*(1/(1-'P-Parametri'!$B$6*P886))),MAX(0,2*P836-(T885-MIN(MAX(T885,0),MAX(0,P836-IF($A886&gt;='1-Input'!$C$12,'1-Input'!$B$12,0)))))*(1/(1-'P-Parametri'!$B$6*P886))))</f>
        <v>6756.5345328479052</v>
      </c>
      <c r="R886" s="18">
        <f>IF($A886&gt;('1-Input'!$B$26+3),T885,(T885-MAX(0,P836-IF($A886&gt;='1-Input'!$C$12,'1-Input'!$B$12,0))+Q886*(1-'P-Parametri'!$B$6*P886))*(1+'1-Input'!$B$27))</f>
        <v>0</v>
      </c>
      <c r="S886" s="18">
        <f>IF($A886&gt;('1-Input'!$B$26+3),U885,(U885-Q886)*(1+'5-Roberta'!$C$4))</f>
        <v>-14481.841438211808</v>
      </c>
      <c r="T886" s="18">
        <f>IF($A886&gt;('1-Input'!$B$26+3),R886,R886-'P-Parametri'!$B$8*(S886+R886)+MIN(MAX(S886,0),'P-Parametri'!$B$8*(S886+R886)))</f>
        <v>0</v>
      </c>
      <c r="U886" s="18">
        <f>IF($A886&gt;('1-Input'!$B$26+3),S886,S886-MIN(MAX(S886,0),'P-Parametri'!$B$8*(S886+R886)))</f>
        <v>-14452.877755335385</v>
      </c>
      <c r="V886" s="18">
        <f>IF($A886&gt;('1-Input'!$B$26+3),V885,V885-Q886*(1-P886))</f>
        <v>-13852.055468662111</v>
      </c>
      <c r="W886" s="11">
        <f>IF($A886&gt;('1-Input'!$B$26+3),0,IF(AB885&lt;=0,0,MAX(0,(AB885-AC885)/AB885)))</f>
        <v>0</v>
      </c>
      <c r="X886" s="18">
        <f>IF($A886&gt;('1-Input'!$B$26+3),0,(MAX(0,W836-IF($A886&gt;='1-Input'!$C$12,'1-Input'!$B$12,0))-MIN(MAX(AA885,0),MAX(0,W836-IF($A886&gt;='1-Input'!$C$12,'1-Input'!$B$12,0))))*(1/(1-'P-Parametri'!$B$6*W886))+MIN(MAX(0,AB885-(MAX(0,W836-IF($A886&gt;='1-Input'!$C$12,'1-Input'!$B$12,0))-MIN(MAX(AA885,0),MAX(0,W836-IF($A886&gt;='1-Input'!$C$12,'1-Input'!$B$12,0))))*(1/(1-'P-Parametri'!$B$6*W886))),MAX(0,2*W836-(AA885-MIN(MAX(AA885,0),MAX(0,W836-IF($A886&gt;='1-Input'!$C$12,'1-Input'!$B$12,0)))))*(1/(1-'P-Parametri'!$B$6*W886))))</f>
        <v>1007.4481497369698</v>
      </c>
      <c r="Y886" s="18">
        <f>IF($A886&gt;('1-Input'!$B$26+3),AA885,(AA885-MAX(0,W836-IF($A886&gt;='1-Input'!$C$12,'1-Input'!$B$12,0))+X886*(1-'P-Parametri'!$B$6*W886))*(1+'1-Input'!$B$27))</f>
        <v>0</v>
      </c>
      <c r="Z886" s="18">
        <f>IF($A886&gt;('1-Input'!$B$26+3),AB885,(AB885-X886)*(1+'5-Roberta'!$C$4))</f>
        <v>-1037.6715942290789</v>
      </c>
      <c r="AA886" s="18">
        <f>IF($A886&gt;('1-Input'!$B$26+3),Y886,Y886-'P-Parametri'!$B$8*(Z886+Y886)+MIN(MAX(Z886,0),'P-Parametri'!$B$8*(Z886+Y886)))</f>
        <v>0</v>
      </c>
      <c r="AB886" s="18">
        <f>IF($A886&gt;('1-Input'!$B$26+3),Z886,Z886-MIN(MAX(Z886,0),'P-Parametri'!$B$8*(Z886+Y886)))</f>
        <v>-1035.5962510406207</v>
      </c>
      <c r="AC886" s="18">
        <f>IF($A886&gt;('1-Input'!$B$26+3),AC885,AC885-X886*(1-W886))</f>
        <v>-1007.4481497369698</v>
      </c>
      <c r="AD886" s="11">
        <f>IF($A886&gt;('1-Input'!$B$26+3),0,IF(AI885&lt;=0,0,MAX(0,(AI885-AJ885)/AI885)))</f>
        <v>0</v>
      </c>
      <c r="AE886" s="18">
        <f>IF($A886&gt;('1-Input'!$B$26+3),0,(MAX(0,AD836-IF($A886&gt;='1-Input'!$C$12,'1-Input'!$B$12,0))-MIN(MAX(AH885,0),MAX(0,AD836-IF($A886&gt;='1-Input'!$C$12,'1-Input'!$B$12,0))))*(1/(1-'P-Parametri'!$B$6*AD886))+MIN(MAX(0,AI885-(MAX(0,AD836-IF($A886&gt;='1-Input'!$C$12,'1-Input'!$B$12,0))-MIN(MAX(AH885,0),MAX(0,AD836-IF($A886&gt;='1-Input'!$C$12,'1-Input'!$B$12,0))))*(1/(1-'P-Parametri'!$B$6*AD886))),MAX(0,2*AD836-(AH885-MIN(MAX(AH885,0),MAX(0,AD836-IF($A886&gt;='1-Input'!$C$12,'1-Input'!$B$12,0)))))*(1/(1-'P-Parametri'!$B$6*AD886))))</f>
        <v>0</v>
      </c>
      <c r="AF886" s="18">
        <f>IF($A886&gt;('1-Input'!$B$26+3),AH885,(AH885-MAX(0,AD836-IF($A886&gt;='1-Input'!$C$12,'1-Input'!$B$12,0))+AE886*(1-'P-Parametri'!$B$6*AD886))*(1+'1-Input'!$B$27))</f>
        <v>2.3152927296636774</v>
      </c>
      <c r="AG886" s="18">
        <f>IF($A886&gt;('1-Input'!$B$26+3),AI885,(AI885-AE886)*(1+'5-Roberta'!$C$4))</f>
        <v>0</v>
      </c>
      <c r="AH886" s="18">
        <f>IF($A886&gt;('1-Input'!$B$26+3),AF886,AF886-'P-Parametri'!$B$8*(AG886+AF886)+MIN(MAX(AG886,0),'P-Parametri'!$B$8*(AG886+AF886)))</f>
        <v>2.31066214420435</v>
      </c>
      <c r="AI886" s="18">
        <f>IF($A886&gt;('1-Input'!$B$26+3),AG886,AG886-MIN(MAX(AG886,0),'P-Parametri'!$B$8*(AG886+AF886)))</f>
        <v>0</v>
      </c>
      <c r="AJ886" s="18">
        <f>IF($A886&gt;('1-Input'!$B$26+3),AJ885,AJ885-AE886*(1-AD886))</f>
        <v>2.2737367544323206E-13</v>
      </c>
      <c r="AK886" s="11">
        <f>IF($A886&gt;('1-Input'!$B$26+3),0,IF(AP885&lt;=0,0,MAX(0,(AP885-AQ885)/AP885)))</f>
        <v>0</v>
      </c>
      <c r="AL886" s="18">
        <f>IF($A886&gt;('1-Input'!$B$26+3),0,(MAX(0,AK836-IF($A886&gt;='1-Input'!$C$12,'1-Input'!$B$12,0))-MIN(MAX(AO885,0),MAX(0,AK836-IF($A886&gt;='1-Input'!$C$12,'1-Input'!$B$12,0))))*(1/(1-'P-Parametri'!$B$6*AK886))+MIN(MAX(0,AP885-(MAX(0,AK836-IF($A886&gt;='1-Input'!$C$12,'1-Input'!$B$12,0))-MIN(MAX(AO885,0),MAX(0,AK836-IF($A886&gt;='1-Input'!$C$12,'1-Input'!$B$12,0))))*(1/(1-'P-Parametri'!$B$6*AK886))),MAX(0,2*AK836-(AO885-MIN(MAX(AO885,0),MAX(0,AK836-IF($A886&gt;='1-Input'!$C$12,'1-Input'!$B$12,0)))))*(1/(1-'P-Parametri'!$B$6*AK886))))</f>
        <v>0</v>
      </c>
      <c r="AM886" s="18">
        <f>IF($A886&gt;('1-Input'!$B$26+3),AO885,(AO885-MAX(0,AK836-IF($A886&gt;='1-Input'!$C$12,'1-Input'!$B$12,0))+AL886*(1-'P-Parametri'!$B$6*AK886))*(1+'1-Input'!$B$27))</f>
        <v>7.5351782504871151E-2</v>
      </c>
      <c r="AN886" s="18">
        <f>IF($A886&gt;('1-Input'!$B$26+3),AP885,(AP885-AL886)*(1+'5-Roberta'!$C$4))</f>
        <v>0</v>
      </c>
      <c r="AO886" s="18">
        <f>IF($A886&gt;('1-Input'!$B$26+3),AM886,AM886-'P-Parametri'!$B$8*(AN886+AM886)+MIN(MAX(AN886,0),'P-Parametri'!$B$8*(AN886+AM886)))</f>
        <v>7.5201078939861415E-2</v>
      </c>
      <c r="AP886" s="18">
        <f>IF($A886&gt;('1-Input'!$B$26+3),AN886,AN886-MIN(MAX(AN886,0),'P-Parametri'!$B$8*(AN886+AM886)))</f>
        <v>0</v>
      </c>
      <c r="AQ886" s="18">
        <f>IF($A886&gt;('1-Input'!$B$26+3),AQ885,AQ885-AL886*(1-AK886))</f>
        <v>-2.2737367544323206E-13</v>
      </c>
    </row>
    <row r="887" spans="1:43">
      <c r="A887" s="4" t="s">
        <v>365</v>
      </c>
      <c r="B887" s="18">
        <f>F886+G886</f>
        <v>110095.8775241485</v>
      </c>
      <c r="I887" s="18">
        <f>M886+N886</f>
        <v>-382441.25589878054</v>
      </c>
      <c r="P887" s="18">
        <f>T886+U886</f>
        <v>-14452.877755335385</v>
      </c>
      <c r="W887" s="18">
        <f>AA886+AB886</f>
        <v>-1035.5962510406207</v>
      </c>
      <c r="AD887" s="18">
        <f>AH886+AI886</f>
        <v>2.31066214420435</v>
      </c>
      <c r="AK887" s="18">
        <f>AO886+AP886</f>
        <v>7.5201078939861415E-2</v>
      </c>
    </row>
    <row r="888" spans="1:43">
      <c r="A888" s="5" t="s">
        <v>266</v>
      </c>
      <c r="B888" s="18">
        <f>IFERROR(AK836-AK887*(AK836-AD836)/(AK887-AD887),AK836)</f>
        <v>17685.518902909116</v>
      </c>
    </row>
    <row r="890" spans="1:43">
      <c r="A890" s="2" t="s">
        <v>425</v>
      </c>
    </row>
    <row r="891" spans="1:43">
      <c r="A891" s="4" t="s">
        <v>360</v>
      </c>
      <c r="B891" s="9">
        <f>0.038*'2-Caso'!$B$12</f>
        <v>16681.055314625803</v>
      </c>
      <c r="I891" s="9">
        <f>0.05*'2-Caso'!$B$12</f>
        <v>21948.756992928691</v>
      </c>
      <c r="P891" s="18">
        <f>IFERROR(I891-I942*(I891-B891)/(I942-B942),I891)</f>
        <v>19725.551691518267</v>
      </c>
      <c r="W891" s="18">
        <f>IFERROR(P891-P942*(P891-I891)/(P942-I942),P891)</f>
        <v>19494.864763322297</v>
      </c>
      <c r="AD891" s="18">
        <f>IFERROR(W891-W942*(W891-P891)/(W942-P942),W891)</f>
        <v>19492.035368356563</v>
      </c>
      <c r="AK891" s="18">
        <f>IFERROR(AD891-AD942*(AD891-W891)/(AD942-W942),AD891)</f>
        <v>19492.526240902658</v>
      </c>
    </row>
    <row r="892" spans="1:43" ht="45">
      <c r="A892" s="25" t="s">
        <v>262</v>
      </c>
      <c r="B892" s="25" t="s">
        <v>361</v>
      </c>
      <c r="C892" s="25" t="s">
        <v>263</v>
      </c>
      <c r="D892" s="25" t="s">
        <v>362</v>
      </c>
      <c r="E892" s="25" t="s">
        <v>363</v>
      </c>
      <c r="F892" s="25" t="s">
        <v>264</v>
      </c>
      <c r="G892" s="25" t="s">
        <v>265</v>
      </c>
      <c r="H892" s="25" t="s">
        <v>364</v>
      </c>
      <c r="I892" s="25" t="s">
        <v>361</v>
      </c>
      <c r="J892" s="25" t="s">
        <v>263</v>
      </c>
      <c r="K892" s="25" t="s">
        <v>362</v>
      </c>
      <c r="L892" s="25" t="s">
        <v>363</v>
      </c>
      <c r="M892" s="25" t="s">
        <v>264</v>
      </c>
      <c r="N892" s="25" t="s">
        <v>265</v>
      </c>
      <c r="O892" s="25" t="s">
        <v>364</v>
      </c>
      <c r="P892" s="25" t="s">
        <v>361</v>
      </c>
      <c r="Q892" s="25" t="s">
        <v>263</v>
      </c>
      <c r="R892" s="25" t="s">
        <v>362</v>
      </c>
      <c r="S892" s="25" t="s">
        <v>363</v>
      </c>
      <c r="T892" s="25" t="s">
        <v>264</v>
      </c>
      <c r="U892" s="25" t="s">
        <v>265</v>
      </c>
      <c r="V892" s="25" t="s">
        <v>364</v>
      </c>
      <c r="W892" s="25" t="s">
        <v>361</v>
      </c>
      <c r="X892" s="25" t="s">
        <v>263</v>
      </c>
      <c r="Y892" s="25" t="s">
        <v>362</v>
      </c>
      <c r="Z892" s="25" t="s">
        <v>363</v>
      </c>
      <c r="AA892" s="25" t="s">
        <v>264</v>
      </c>
      <c r="AB892" s="25" t="s">
        <v>265</v>
      </c>
      <c r="AC892" s="25" t="s">
        <v>364</v>
      </c>
      <c r="AD892" s="25" t="s">
        <v>361</v>
      </c>
      <c r="AE892" s="25" t="s">
        <v>263</v>
      </c>
      <c r="AF892" s="25" t="s">
        <v>362</v>
      </c>
      <c r="AG892" s="25" t="s">
        <v>363</v>
      </c>
      <c r="AH892" s="25" t="s">
        <v>264</v>
      </c>
      <c r="AI892" s="25" t="s">
        <v>265</v>
      </c>
      <c r="AJ892" s="25" t="s">
        <v>364</v>
      </c>
      <c r="AK892" s="25" t="s">
        <v>361</v>
      </c>
      <c r="AL892" s="25" t="s">
        <v>263</v>
      </c>
      <c r="AM892" s="25" t="s">
        <v>362</v>
      </c>
      <c r="AN892" s="25" t="s">
        <v>363</v>
      </c>
      <c r="AO892" s="25" t="s">
        <v>264</v>
      </c>
      <c r="AP892" s="25" t="s">
        <v>265</v>
      </c>
      <c r="AQ892" s="25" t="s">
        <v>364</v>
      </c>
    </row>
    <row r="893" spans="1:43">
      <c r="A893" s="3">
        <v>0</v>
      </c>
      <c r="F893" s="18">
        <f>MIN(0*B891,'2-Caso'!$B$12)</f>
        <v>0</v>
      </c>
      <c r="G893" s="18">
        <f>'2-Caso'!$B$12-F893</f>
        <v>438975.13985857379</v>
      </c>
      <c r="H893" s="18">
        <f>'2-Caso'!$B$12*G893/'2-Caso'!$B$12</f>
        <v>438975.13985857379</v>
      </c>
      <c r="M893" s="18">
        <f>MIN(0*I891,'2-Caso'!$B$12)</f>
        <v>0</v>
      </c>
      <c r="N893" s="18">
        <f>'2-Caso'!$B$12-M893</f>
        <v>438975.13985857379</v>
      </c>
      <c r="O893" s="18">
        <f>'2-Caso'!$B$12*N893/'2-Caso'!$B$12</f>
        <v>438975.13985857379</v>
      </c>
      <c r="T893" s="18">
        <f>MIN(0*P891,'2-Caso'!$B$12)</f>
        <v>0</v>
      </c>
      <c r="U893" s="18">
        <f>'2-Caso'!$B$12-T893</f>
        <v>438975.13985857379</v>
      </c>
      <c r="V893" s="18">
        <f>'2-Caso'!$B$12*U893/'2-Caso'!$B$12</f>
        <v>438975.13985857379</v>
      </c>
      <c r="AA893" s="18">
        <f>MIN(0*W891,'2-Caso'!$B$12)</f>
        <v>0</v>
      </c>
      <c r="AB893" s="18">
        <f>'2-Caso'!$B$12-AA893</f>
        <v>438975.13985857379</v>
      </c>
      <c r="AC893" s="18">
        <f>'2-Caso'!$B$12*AB893/'2-Caso'!$B$12</f>
        <v>438975.13985857379</v>
      </c>
      <c r="AH893" s="18">
        <f>MIN(0*AD891,'2-Caso'!$B$12)</f>
        <v>0</v>
      </c>
      <c r="AI893" s="18">
        <f>'2-Caso'!$B$12-AH893</f>
        <v>438975.13985857379</v>
      </c>
      <c r="AJ893" s="18">
        <f>'2-Caso'!$B$12*AI893/'2-Caso'!$B$12</f>
        <v>438975.13985857379</v>
      </c>
      <c r="AO893" s="18">
        <f>MIN(0*AK891,'2-Caso'!$B$12)</f>
        <v>0</v>
      </c>
      <c r="AP893" s="18">
        <f>'2-Caso'!$B$12-AO893</f>
        <v>438975.13985857379</v>
      </c>
      <c r="AQ893" s="18">
        <f>'2-Caso'!$B$12*AP893/'2-Caso'!$B$12</f>
        <v>438975.13985857379</v>
      </c>
    </row>
    <row r="894" spans="1:43">
      <c r="A894" s="10">
        <f>1</f>
        <v>1</v>
      </c>
      <c r="B894" s="11">
        <f>IF($A894&gt;'1-Input'!$B$26,0,IF(G893&lt;=0,0,MAX(0,(G893-H893)/G893)))</f>
        <v>0</v>
      </c>
      <c r="C894" s="18">
        <f>IF($A894&gt;'1-Input'!$B$26,0,(MAX(0,B891-IF($A894&gt;='1-Input'!$C$12,'1-Input'!$B$12,0))-MIN(MAX(F893,0),MAX(0,B891-IF($A894&gt;='1-Input'!$C$12,'1-Input'!$B$12,0))))*(1/(1-'P-Parametri'!$B$6*B894))+MIN(MAX(0,G893-(MAX(0,B891-IF($A894&gt;='1-Input'!$C$12,'1-Input'!$B$12,0))-MIN(MAX(F893,0),MAX(0,B891-IF($A894&gt;='1-Input'!$C$12,'1-Input'!$B$12,0))))*(1/(1-'P-Parametri'!$B$6*B894))),MAX(0,0*B891-(F893-MIN(MAX(F893,0),MAX(0,B891-IF($A894&gt;='1-Input'!$C$12,'1-Input'!$B$12,0)))))*(1/(1-'P-Parametri'!$B$6*B894))))</f>
        <v>16681.055314625803</v>
      </c>
      <c r="D894" s="18">
        <f>IF($A894&gt;'1-Input'!$B$26,F893,(F893-MAX(0,B891-IF($A894&gt;='1-Input'!$C$12,'1-Input'!$B$12,0))+C894*(1-'P-Parametri'!$B$6*B894))*(1+'1-Input'!$B$27))</f>
        <v>0</v>
      </c>
      <c r="E894" s="18">
        <f>IF($A894&gt;'1-Input'!$B$26,G893,(G893-C894)*(1+'5-Roberta'!$C$4))</f>
        <v>434962.90708026645</v>
      </c>
      <c r="F894" s="18">
        <f>IF($A894&gt;'1-Input'!$B$26,D894,D894-'P-Parametri'!$B$8*(E894+D894)+MIN(MAX(E894,0),'P-Parametri'!$B$8*(E894+D894)))</f>
        <v>0</v>
      </c>
      <c r="G894" s="18">
        <f>IF($A894&gt;'1-Input'!$B$26,E894,E894-MIN(MAX(E894,0),'P-Parametri'!$B$8*(E894+D894)))</f>
        <v>434092.9812661059</v>
      </c>
      <c r="H894" s="18">
        <f>IF($A894&gt;'1-Input'!$B$26,H893,H893-C894*(1-B894))</f>
        <v>422294.084543948</v>
      </c>
      <c r="I894" s="11">
        <f>IF($A894&gt;'1-Input'!$B$26,0,IF(N893&lt;=0,0,MAX(0,(N893-O893)/N893)))</f>
        <v>0</v>
      </c>
      <c r="J894" s="18">
        <f>IF($A894&gt;'1-Input'!$B$26,0,(MAX(0,I891-IF($A894&gt;='1-Input'!$C$12,'1-Input'!$B$12,0))-MIN(MAX(M893,0),MAX(0,I891-IF($A894&gt;='1-Input'!$C$12,'1-Input'!$B$12,0))))*(1/(1-'P-Parametri'!$B$6*I894))+MIN(MAX(0,N893-(MAX(0,I891-IF($A894&gt;='1-Input'!$C$12,'1-Input'!$B$12,0))-MIN(MAX(M893,0),MAX(0,I891-IF($A894&gt;='1-Input'!$C$12,'1-Input'!$B$12,0))))*(1/(1-'P-Parametri'!$B$6*I894))),MAX(0,0*I891-(M893-MIN(MAX(M893,0),MAX(0,I891-IF($A894&gt;='1-Input'!$C$12,'1-Input'!$B$12,0)))))*(1/(1-'P-Parametri'!$B$6*I894))))</f>
        <v>21948.756992928691</v>
      </c>
      <c r="K894" s="18">
        <f>IF($A894&gt;'1-Input'!$B$26,M893,(M893-MAX(0,I891-IF($A894&gt;='1-Input'!$C$12,'1-Input'!$B$12,0))+J894*(1-'P-Parametri'!$B$6*I894))*(1+'1-Input'!$B$27))</f>
        <v>0</v>
      </c>
      <c r="L894" s="18">
        <f>IF($A894&gt;'1-Input'!$B$26,N893,(N893-J894)*(1+'5-Roberta'!$C$4))</f>
        <v>429537.17435161449</v>
      </c>
      <c r="M894" s="18">
        <f>IF($A894&gt;'1-Input'!$B$26,K894,K894-'P-Parametri'!$B$8*(L894+K894)+MIN(MAX(L894,0),'P-Parametri'!$B$8*(L894+K894)))</f>
        <v>0</v>
      </c>
      <c r="N894" s="18">
        <f>IF($A894&gt;'1-Input'!$B$26,L894,L894-MIN(MAX(L894,0),'P-Parametri'!$B$8*(L894+K894)))</f>
        <v>428678.10000291129</v>
      </c>
      <c r="O894" s="18">
        <f>IF($A894&gt;'1-Input'!$B$26,O893,O893-J894*(1-I894))</f>
        <v>417026.38286564511</v>
      </c>
      <c r="P894" s="11">
        <f>IF($A894&gt;'1-Input'!$B$26,0,IF(U893&lt;=0,0,MAX(0,(U893-V893)/U893)))</f>
        <v>0</v>
      </c>
      <c r="Q894" s="18">
        <f>IF($A894&gt;'1-Input'!$B$26,0,(MAX(0,P891-IF($A894&gt;='1-Input'!$C$12,'1-Input'!$B$12,0))-MIN(MAX(T893,0),MAX(0,P891-IF($A894&gt;='1-Input'!$C$12,'1-Input'!$B$12,0))))*(1/(1-'P-Parametri'!$B$6*P894))+MIN(MAX(0,U893-(MAX(0,P891-IF($A894&gt;='1-Input'!$C$12,'1-Input'!$B$12,0))-MIN(MAX(T893,0),MAX(0,P891-IF($A894&gt;='1-Input'!$C$12,'1-Input'!$B$12,0))))*(1/(1-'P-Parametri'!$B$6*P894))),MAX(0,0*P891-(T893-MIN(MAX(T893,0),MAX(0,P891-IF($A894&gt;='1-Input'!$C$12,'1-Input'!$B$12,0)))))*(1/(1-'P-Parametri'!$B$6*P894))))</f>
        <v>19725.551691518267</v>
      </c>
      <c r="R894" s="18">
        <f>IF($A894&gt;'1-Input'!$B$26,T893,(T893-MAX(0,P891-IF($A894&gt;='1-Input'!$C$12,'1-Input'!$B$12,0))+Q894*(1-'P-Parametri'!$B$6*P894))*(1+'1-Input'!$B$27))</f>
        <v>0</v>
      </c>
      <c r="S894" s="18">
        <f>IF($A894&gt;'1-Input'!$B$26,U893,(U893-Q894)*(1+'5-Roberta'!$C$4))</f>
        <v>431827.0758120672</v>
      </c>
      <c r="T894" s="18">
        <f>IF($A894&gt;'1-Input'!$B$26,R894,R894-'P-Parametri'!$B$8*(S894+R894)+MIN(MAX(S894,0),'P-Parametri'!$B$8*(S894+R894)))</f>
        <v>0</v>
      </c>
      <c r="U894" s="18">
        <f>IF($A894&gt;'1-Input'!$B$26,S894,S894-MIN(MAX(S894,0),'P-Parametri'!$B$8*(S894+R894)))</f>
        <v>430963.42166044307</v>
      </c>
      <c r="V894" s="18">
        <f>IF($A894&gt;'1-Input'!$B$26,V893,V893-Q894*(1-P894))</f>
        <v>419249.58816705551</v>
      </c>
      <c r="W894" s="11">
        <f>IF($A894&gt;'1-Input'!$B$26,0,IF(AB893&lt;=0,0,MAX(0,(AB893-AC893)/AB893)))</f>
        <v>0</v>
      </c>
      <c r="X894" s="18">
        <f>IF($A894&gt;'1-Input'!$B$26,0,(MAX(0,W891-IF($A894&gt;='1-Input'!$C$12,'1-Input'!$B$12,0))-MIN(MAX(AA893,0),MAX(0,W891-IF($A894&gt;='1-Input'!$C$12,'1-Input'!$B$12,0))))*(1/(1-'P-Parametri'!$B$6*W894))+MIN(MAX(0,AB893-(MAX(0,W891-IF($A894&gt;='1-Input'!$C$12,'1-Input'!$B$12,0))-MIN(MAX(AA893,0),MAX(0,W891-IF($A894&gt;='1-Input'!$C$12,'1-Input'!$B$12,0))))*(1/(1-'P-Parametri'!$B$6*W894))),MAX(0,0*W891-(AA893-MIN(MAX(AA893,0),MAX(0,W891-IF($A894&gt;='1-Input'!$C$12,'1-Input'!$B$12,0)))))*(1/(1-'P-Parametri'!$B$6*W894))))</f>
        <v>19494.864763322297</v>
      </c>
      <c r="Y894" s="18">
        <f>IF($A894&gt;'1-Input'!$B$26,AA893,(AA893-MAX(0,W891-IF($A894&gt;='1-Input'!$C$12,'1-Input'!$B$12,0))+X894*(1-'P-Parametri'!$B$6*W894))*(1+'1-Input'!$B$27))</f>
        <v>0</v>
      </c>
      <c r="Z894" s="18">
        <f>IF($A894&gt;'1-Input'!$B$26,AB893,(AB893-X894)*(1+'5-Roberta'!$C$4))</f>
        <v>432064.68334810907</v>
      </c>
      <c r="AA894" s="18">
        <f>IF($A894&gt;'1-Input'!$B$26,Y894,Y894-'P-Parametri'!$B$8*(Z894+Y894)+MIN(MAX(Z894,0),'P-Parametri'!$B$8*(Z894+Y894)))</f>
        <v>0</v>
      </c>
      <c r="AB894" s="18">
        <f>IF($A894&gt;'1-Input'!$B$26,Z894,Z894-MIN(MAX(Z894,0),'P-Parametri'!$B$8*(Z894+Y894)))</f>
        <v>431200.55398141284</v>
      </c>
      <c r="AC894" s="18">
        <f>IF($A894&gt;'1-Input'!$B$26,AC893,AC893-X894*(1-W894))</f>
        <v>419480.27509525151</v>
      </c>
      <c r="AD894" s="11">
        <f>IF($A894&gt;'1-Input'!$B$26,0,IF(AI893&lt;=0,0,MAX(0,(AI893-AJ893)/AI893)))</f>
        <v>0</v>
      </c>
      <c r="AE894" s="18">
        <f>IF($A894&gt;'1-Input'!$B$26,0,(MAX(0,AD891-IF($A894&gt;='1-Input'!$C$12,'1-Input'!$B$12,0))-MIN(MAX(AH893,0),MAX(0,AD891-IF($A894&gt;='1-Input'!$C$12,'1-Input'!$B$12,0))))*(1/(1-'P-Parametri'!$B$6*AD894))+MIN(MAX(0,AI893-(MAX(0,AD891-IF($A894&gt;='1-Input'!$C$12,'1-Input'!$B$12,0))-MIN(MAX(AH893,0),MAX(0,AD891-IF($A894&gt;='1-Input'!$C$12,'1-Input'!$B$12,0))))*(1/(1-'P-Parametri'!$B$6*AD894))),MAX(0,0*AD891-(AH893-MIN(MAX(AH893,0),MAX(0,AD891-IF($A894&gt;='1-Input'!$C$12,'1-Input'!$B$12,0)))))*(1/(1-'P-Parametri'!$B$6*AD894))))</f>
        <v>19492.035368356563</v>
      </c>
      <c r="AF894" s="18">
        <f>IF($A894&gt;'1-Input'!$B$26,AH893,(AH893-MAX(0,AD891-IF($A894&gt;='1-Input'!$C$12,'1-Input'!$B$12,0))+AE894*(1-'P-Parametri'!$B$6*AD894))*(1+'1-Input'!$B$27))</f>
        <v>0</v>
      </c>
      <c r="AG894" s="18">
        <f>IF($A894&gt;'1-Input'!$B$26,AI893,(AI893-AE894)*(1+'5-Roberta'!$C$4))</f>
        <v>432067.59762492374</v>
      </c>
      <c r="AH894" s="18">
        <f>IF($A894&gt;'1-Input'!$B$26,AF894,AF894-'P-Parametri'!$B$8*(AG894+AF894)+MIN(MAX(AG894,0),'P-Parametri'!$B$8*(AG894+AF894)))</f>
        <v>0</v>
      </c>
      <c r="AI894" s="18">
        <f>IF($A894&gt;'1-Input'!$B$26,AG894,AG894-MIN(MAX(AG894,0),'P-Parametri'!$B$8*(AG894+AF894)))</f>
        <v>431203.46242967388</v>
      </c>
      <c r="AJ894" s="18">
        <f>IF($A894&gt;'1-Input'!$B$26,AJ893,AJ893-AE894*(1-AD894))</f>
        <v>419483.10449021723</v>
      </c>
      <c r="AK894" s="11">
        <f>IF($A894&gt;'1-Input'!$B$26,0,IF(AP893&lt;=0,0,MAX(0,(AP893-AQ893)/AP893)))</f>
        <v>0</v>
      </c>
      <c r="AL894" s="18">
        <f>IF($A894&gt;'1-Input'!$B$26,0,(MAX(0,AK891-IF($A894&gt;='1-Input'!$C$12,'1-Input'!$B$12,0))-MIN(MAX(AO893,0),MAX(0,AK891-IF($A894&gt;='1-Input'!$C$12,'1-Input'!$B$12,0))))*(1/(1-'P-Parametri'!$B$6*AK894))+MIN(MAX(0,AP893-(MAX(0,AK891-IF($A894&gt;='1-Input'!$C$12,'1-Input'!$B$12,0))-MIN(MAX(AO893,0),MAX(0,AK891-IF($A894&gt;='1-Input'!$C$12,'1-Input'!$B$12,0))))*(1/(1-'P-Parametri'!$B$6*AK894))),MAX(0,0*AK891-(AO893-MIN(MAX(AO893,0),MAX(0,AK891-IF($A894&gt;='1-Input'!$C$12,'1-Input'!$B$12,0)))))*(1/(1-'P-Parametri'!$B$6*AK894))))</f>
        <v>19492.526240902658</v>
      </c>
      <c r="AM894" s="18">
        <f>IF($A894&gt;'1-Input'!$B$26,AO893,(AO893-MAX(0,AK891-IF($A894&gt;='1-Input'!$C$12,'1-Input'!$B$12,0))+AL894*(1-'P-Parametri'!$B$6*AK894))*(1+'1-Input'!$B$27))</f>
        <v>0</v>
      </c>
      <c r="AN894" s="18">
        <f>IF($A894&gt;'1-Input'!$B$26,AP893,(AP893-AL894)*(1+'5-Roberta'!$C$4))</f>
        <v>432067.09202620125</v>
      </c>
      <c r="AO894" s="18">
        <f>IF($A894&gt;'1-Input'!$B$26,AM894,AM894-'P-Parametri'!$B$8*(AN894+AM894)+MIN(MAX(AN894,0),'P-Parametri'!$B$8*(AN894+AM894)))</f>
        <v>0</v>
      </c>
      <c r="AP894" s="18">
        <f>IF($A894&gt;'1-Input'!$B$26,AN894,AN894-MIN(MAX(AN894,0),'P-Parametri'!$B$8*(AN894+AM894)))</f>
        <v>431202.95784214884</v>
      </c>
      <c r="AQ894" s="18">
        <f>IF($A894&gt;'1-Input'!$B$26,AQ893,AQ893-AL894*(1-AK894))</f>
        <v>419482.61361767113</v>
      </c>
    </row>
    <row r="895" spans="1:43">
      <c r="A895" s="10">
        <f>2</f>
        <v>2</v>
      </c>
      <c r="B895" s="11">
        <f>IF($A895&gt;'1-Input'!$B$26,0,IF(G894&lt;=0,0,MAX(0,(G894-H894)/G894)))</f>
        <v>2.718057474171641E-2</v>
      </c>
      <c r="C895" s="18">
        <f>IF($A895&gt;'1-Input'!$B$26,0,(MAX(0,B891-IF($A895&gt;='1-Input'!$C$12,'1-Input'!$B$12,0))-MIN(MAX(F894,0),MAX(0,B891-IF($A895&gt;='1-Input'!$C$12,'1-Input'!$B$12,0))))*(1/(1-'P-Parametri'!$B$6*B895))+MIN(MAX(0,G894-(MAX(0,B891-IF($A895&gt;='1-Input'!$C$12,'1-Input'!$B$12,0))-MIN(MAX(F894,0),MAX(0,B891-IF($A895&gt;='1-Input'!$C$12,'1-Input'!$B$12,0))))*(1/(1-'P-Parametri'!$B$6*B895))),MAX(0,0*B891-(F894-MIN(MAX(F894,0),MAX(0,B891-IF($A895&gt;='1-Input'!$C$12,'1-Input'!$B$12,0)))))*(1/(1-'P-Parametri'!$B$6*B895))))</f>
        <v>16799.778499766671</v>
      </c>
      <c r="D895" s="18">
        <f>IF($A895&gt;'1-Input'!$B$26,F894,(F894-MAX(0,B891-IF($A895&gt;='1-Input'!$C$12,'1-Input'!$B$12,0))+C895*(1-'P-Parametri'!$B$6*B895))*(1+'1-Input'!$B$27))</f>
        <v>0</v>
      </c>
      <c r="E895" s="18">
        <f>IF($A895&gt;'1-Input'!$B$26,G894,(G894-C895)*(1+'5-Roberta'!$C$4))</f>
        <v>429811.99884932942</v>
      </c>
      <c r="F895" s="18">
        <f>IF($A895&gt;'1-Input'!$B$26,D895,D895-'P-Parametri'!$B$8*(E895+D895)+MIN(MAX(E895,0),'P-Parametri'!$B$8*(E895+D895)))</f>
        <v>0</v>
      </c>
      <c r="G895" s="18">
        <f>IF($A895&gt;'1-Input'!$B$26,E895,E895-MIN(MAX(E895,0),'P-Parametri'!$B$8*(E895+D895)))</f>
        <v>428952.37485163077</v>
      </c>
      <c r="H895" s="18">
        <f>IF($A895&gt;'1-Input'!$B$26,H894,H894-C895*(1-B895))</f>
        <v>405950.93367933854</v>
      </c>
      <c r="I895" s="11">
        <f>IF($A895&gt;'1-Input'!$B$26,0,IF(N894&lt;=0,0,MAX(0,(N894-O894)/N894)))</f>
        <v>2.7180574741716576E-2</v>
      </c>
      <c r="J895" s="18">
        <f>IF($A895&gt;'1-Input'!$B$26,0,(MAX(0,I891-IF($A895&gt;='1-Input'!$C$12,'1-Input'!$B$12,0))-MIN(MAX(M894,0),MAX(0,I891-IF($A895&gt;='1-Input'!$C$12,'1-Input'!$B$12,0))))*(1/(1-'P-Parametri'!$B$6*I895))+MIN(MAX(0,N894-(MAX(0,I891-IF($A895&gt;='1-Input'!$C$12,'1-Input'!$B$12,0))-MIN(MAX(M894,0),MAX(0,I891-IF($A895&gt;='1-Input'!$C$12,'1-Input'!$B$12,0))))*(1/(1-'P-Parametri'!$B$6*I895))),MAX(0,0*I891-(M894-MIN(MAX(M894,0),MAX(0,I891-IF($A895&gt;='1-Input'!$C$12,'1-Input'!$B$12,0)))))*(1/(1-'P-Parametri'!$B$6*I895))))</f>
        <v>22104.971710219314</v>
      </c>
      <c r="K895" s="18">
        <f>IF($A895&gt;'1-Input'!$B$26,M894,(M894-MAX(0,I891-IF($A895&gt;='1-Input'!$C$12,'1-Input'!$B$12,0))+J895*(1-'P-Parametri'!$B$6*I895))*(1+'1-Input'!$B$27))</f>
        <v>3.6248820833861826E-12</v>
      </c>
      <c r="L895" s="18">
        <f>IF($A895&gt;'1-Input'!$B$26,N894,(N894-J895)*(1+'5-Roberta'!$C$4))</f>
        <v>418770.32214147272</v>
      </c>
      <c r="M895" s="18">
        <f>IF($A895&gt;'1-Input'!$B$26,K895,K895-'P-Parametri'!$B$8*(L895+K895)+MIN(MAX(L895,0),'P-Parametri'!$B$8*(L895+K895)))</f>
        <v>3.637978807091713E-12</v>
      </c>
      <c r="N895" s="18">
        <f>IF($A895&gt;'1-Input'!$B$26,L895,L895-MIN(MAX(L895,0),'P-Parametri'!$B$8*(L895+K895)))</f>
        <v>417932.78149718978</v>
      </c>
      <c r="O895" s="18">
        <f>IF($A895&gt;'1-Input'!$B$26,O894,O894-J895*(1-I895))</f>
        <v>395522.23699115892</v>
      </c>
      <c r="P895" s="11">
        <f>IF($A895&gt;'1-Input'!$B$26,0,IF(U894&lt;=0,0,MAX(0,(U894-V894)/U894)))</f>
        <v>2.7180574741716507E-2</v>
      </c>
      <c r="Q895" s="18">
        <f>IF($A895&gt;'1-Input'!$B$26,0,(MAX(0,P891-IF($A895&gt;='1-Input'!$C$12,'1-Input'!$B$12,0))-MIN(MAX(T894,0),MAX(0,P891-IF($A895&gt;='1-Input'!$C$12,'1-Input'!$B$12,0))))*(1/(1-'P-Parametri'!$B$6*P895))+MIN(MAX(0,U894-(MAX(0,P891-IF($A895&gt;='1-Input'!$C$12,'1-Input'!$B$12,0))-MIN(MAX(T894,0),MAX(0,P891-IF($A895&gt;='1-Input'!$C$12,'1-Input'!$B$12,0))))*(1/(1-'P-Parametri'!$B$6*P895))),MAX(0,0*P891-(T894-MIN(MAX(T894,0),MAX(0,P891-IF($A895&gt;='1-Input'!$C$12,'1-Input'!$B$12,0)))))*(1/(1-'P-Parametri'!$B$6*P895))))</f>
        <v>19865.943308313912</v>
      </c>
      <c r="R895" s="18">
        <f>IF($A895&gt;'1-Input'!$B$26,T894,(T894-MAX(0,P891-IF($A895&gt;='1-Input'!$C$12,'1-Input'!$B$12,0))+Q895*(1-'P-Parametri'!$B$6*P895))*(1+'1-Input'!$B$27))</f>
        <v>0</v>
      </c>
      <c r="S895" s="18">
        <f>IF($A895&gt;'1-Input'!$B$26,U894,(U894-Q895)*(1+'5-Roberta'!$C$4))</f>
        <v>423430.40270269307</v>
      </c>
      <c r="T895" s="18">
        <f>IF($A895&gt;'1-Input'!$B$26,R895,R895-'P-Parametri'!$B$8*(S895+R895)+MIN(MAX(S895,0),'P-Parametri'!$B$8*(S895+R895)))</f>
        <v>0</v>
      </c>
      <c r="U895" s="18">
        <f>IF($A895&gt;'1-Input'!$B$26,S895,S895-MIN(MAX(S895,0),'P-Parametri'!$B$8*(S895+R895)))</f>
        <v>422583.54189728771</v>
      </c>
      <c r="V895" s="18">
        <f>IF($A895&gt;'1-Input'!$B$26,V894,V894-Q895*(1-P895))</f>
        <v>399923.61261564796</v>
      </c>
      <c r="W895" s="11">
        <f>IF($A895&gt;'1-Input'!$B$26,0,IF(AB894&lt;=0,0,MAX(0,(AB894-AC894)/AB894)))</f>
        <v>2.7180574741716465E-2</v>
      </c>
      <c r="X895" s="18">
        <f>IF($A895&gt;'1-Input'!$B$26,0,(MAX(0,W891-IF($A895&gt;='1-Input'!$C$12,'1-Input'!$B$12,0))-MIN(MAX(AA894,0),MAX(0,W891-IF($A895&gt;='1-Input'!$C$12,'1-Input'!$B$12,0))))*(1/(1-'P-Parametri'!$B$6*W895))+MIN(MAX(0,AB894-(MAX(0,W891-IF($A895&gt;='1-Input'!$C$12,'1-Input'!$B$12,0))-MIN(MAX(AA894,0),MAX(0,W891-IF($A895&gt;='1-Input'!$C$12,'1-Input'!$B$12,0))))*(1/(1-'P-Parametri'!$B$6*W895))),MAX(0,0*W891-(AA894-MIN(MAX(AA894,0),MAX(0,W891-IF($A895&gt;='1-Input'!$C$12,'1-Input'!$B$12,0)))))*(1/(1-'P-Parametri'!$B$6*W895))))</f>
        <v>19633.614524349872</v>
      </c>
      <c r="Y895" s="18">
        <f>IF($A895&gt;'1-Input'!$B$26,AA894,(AA894-MAX(0,W891-IF($A895&gt;='1-Input'!$C$12,'1-Input'!$B$12,0))+X895*(1-'P-Parametri'!$B$6*W895))*(1+'1-Input'!$B$27))</f>
        <v>0</v>
      </c>
      <c r="Z895" s="18">
        <f>IF($A895&gt;'1-Input'!$B$26,AB894,(AB894-X895)*(1+'5-Roberta'!$C$4))</f>
        <v>423913.94764077489</v>
      </c>
      <c r="AA895" s="18">
        <f>IF($A895&gt;'1-Input'!$B$26,Y895,Y895-'P-Parametri'!$B$8*(Z895+Y895)+MIN(MAX(Z895,0),'P-Parametri'!$B$8*(Z895+Y895)))</f>
        <v>0</v>
      </c>
      <c r="AB895" s="18">
        <f>IF($A895&gt;'1-Input'!$B$26,Z895,Z895-MIN(MAX(Z895,0),'P-Parametri'!$B$8*(Z895+Y895)))</f>
        <v>423066.11974549334</v>
      </c>
      <c r="AC895" s="18">
        <f>IF($A895&gt;'1-Input'!$B$26,AC894,AC894-X895*(1-W895))</f>
        <v>400380.31349793077</v>
      </c>
      <c r="AD895" s="11">
        <f>IF($A895&gt;'1-Input'!$B$26,0,IF(AI894&lt;=0,0,MAX(0,(AI894-AJ894)/AI894)))</f>
        <v>2.7180574741716392E-2</v>
      </c>
      <c r="AE895" s="18">
        <f>IF($A895&gt;'1-Input'!$B$26,0,(MAX(0,AD891-IF($A895&gt;='1-Input'!$C$12,'1-Input'!$B$12,0))-MIN(MAX(AH894,0),MAX(0,AD891-IF($A895&gt;='1-Input'!$C$12,'1-Input'!$B$12,0))))*(1/(1-'P-Parametri'!$B$6*AD895))+MIN(MAX(0,AI894-(MAX(0,AD891-IF($A895&gt;='1-Input'!$C$12,'1-Input'!$B$12,0))-MIN(MAX(AH894,0),MAX(0,AD891-IF($A895&gt;='1-Input'!$C$12,'1-Input'!$B$12,0))))*(1/(1-'P-Parametri'!$B$6*AD895))),MAX(0,0*AD891-(AH894-MIN(MAX(AH894,0),MAX(0,AD891-IF($A895&gt;='1-Input'!$C$12,'1-Input'!$B$12,0)))))*(1/(1-'P-Parametri'!$B$6*AD895))))</f>
        <v>19630.764991882283</v>
      </c>
      <c r="AF895" s="18">
        <f>IF($A895&gt;'1-Input'!$B$26,AH894,(AH894-MAX(0,AD891-IF($A895&gt;='1-Input'!$C$12,'1-Input'!$B$12,0))+AE895*(1-'P-Parametri'!$B$6*AD895))*(1+'1-Input'!$B$27))</f>
        <v>0</v>
      </c>
      <c r="AG895" s="18">
        <f>IF($A895&gt;'1-Input'!$B$26,AI894,(AI894-AE895)*(1+'5-Roberta'!$C$4))</f>
        <v>423919.87836092536</v>
      </c>
      <c r="AH895" s="18">
        <f>IF($A895&gt;'1-Input'!$B$26,AF895,AF895-'P-Parametri'!$B$8*(AG895+AF895)+MIN(MAX(AG895,0),'P-Parametri'!$B$8*(AG895+AF895)))</f>
        <v>0</v>
      </c>
      <c r="AI895" s="18">
        <f>IF($A895&gt;'1-Input'!$B$26,AG895,AG895-MIN(MAX(AG895,0),'P-Parametri'!$B$8*(AG895+AF895)))</f>
        <v>423072.0386042035</v>
      </c>
      <c r="AJ895" s="18">
        <f>IF($A895&gt;'1-Input'!$B$26,AJ894,AJ894-AE895*(1-AD895))</f>
        <v>400385.91497343389</v>
      </c>
      <c r="AK895" s="11">
        <f>IF($A895&gt;'1-Input'!$B$26,0,IF(AP894&lt;=0,0,MAX(0,(AP894-AQ894)/AP894)))</f>
        <v>2.7180574741716396E-2</v>
      </c>
      <c r="AL895" s="18">
        <f>IF($A895&gt;'1-Input'!$B$26,0,(MAX(0,AK891-IF($A895&gt;='1-Input'!$C$12,'1-Input'!$B$12,0))-MIN(MAX(AO894,0),MAX(0,AK891-IF($A895&gt;='1-Input'!$C$12,'1-Input'!$B$12,0))))*(1/(1-'P-Parametri'!$B$6*AK895))+MIN(MAX(0,AP894-(MAX(0,AK891-IF($A895&gt;='1-Input'!$C$12,'1-Input'!$B$12,0))-MIN(MAX(AO894,0),MAX(0,AK891-IF($A895&gt;='1-Input'!$C$12,'1-Input'!$B$12,0))))*(1/(1-'P-Parametri'!$B$6*AK895))),MAX(0,0*AK891-(AO894-MIN(MAX(AO894,0),MAX(0,AK891-IF($A895&gt;='1-Input'!$C$12,'1-Input'!$B$12,0)))))*(1/(1-'P-Parametri'!$B$6*AK895))))</f>
        <v>19631.259358089366</v>
      </c>
      <c r="AM895" s="18">
        <f>IF($A895&gt;'1-Input'!$B$26,AO894,(AO894-MAX(0,AK891-IF($A895&gt;='1-Input'!$C$12,'1-Input'!$B$12,0))+AL895*(1-'P-Parametri'!$B$6*AK895))*(1+'1-Input'!$B$27))</f>
        <v>0</v>
      </c>
      <c r="AN895" s="18">
        <f>IF($A895&gt;'1-Input'!$B$26,AP894,(AP894-AL895)*(1+'5-Roberta'!$C$4))</f>
        <v>423918.84943858127</v>
      </c>
      <c r="AO895" s="18">
        <f>IF($A895&gt;'1-Input'!$B$26,AM895,AM895-'P-Parametri'!$B$8*(AN895+AM895)+MIN(MAX(AN895,0),'P-Parametri'!$B$8*(AN895+AM895)))</f>
        <v>0</v>
      </c>
      <c r="AP895" s="18">
        <f>IF($A895&gt;'1-Input'!$B$26,AN895,AN895-MIN(MAX(AN895,0),'P-Parametri'!$B$8*(AN895+AM895)))</f>
        <v>423071.01173970412</v>
      </c>
      <c r="AQ895" s="18">
        <f>IF($A895&gt;'1-Input'!$B$26,AQ894,AQ894-AL895*(1-AK895))</f>
        <v>400384.94317183836</v>
      </c>
    </row>
    <row r="896" spans="1:43">
      <c r="A896" s="10">
        <f>3</f>
        <v>3</v>
      </c>
      <c r="B896" s="11">
        <f>IF($A896&gt;'1-Input'!$B$26,0,IF(G895&lt;=0,0,MAX(0,(G895-H895)/G895)))</f>
        <v>5.3622365840142822E-2</v>
      </c>
      <c r="C896" s="18">
        <f>IF($A896&gt;'1-Input'!$B$26,0,(MAX(0,B891-IF($A896&gt;='1-Input'!$C$12,'1-Input'!$B$12,0))-MIN(MAX(F895,0),MAX(0,B891-IF($A896&gt;='1-Input'!$C$12,'1-Input'!$B$12,0))))*(1/(1-'P-Parametri'!$B$6*B896))+MIN(MAX(0,G895-(MAX(0,B891-IF($A896&gt;='1-Input'!$C$12,'1-Input'!$B$12,0))-MIN(MAX(F895,0),MAX(0,B891-IF($A896&gt;='1-Input'!$C$12,'1-Input'!$B$12,0))))*(1/(1-'P-Parametri'!$B$6*B896))),MAX(0,0*B891-(F895-MIN(MAX(F895,0),MAX(0,B891-IF($A896&gt;='1-Input'!$C$12,'1-Input'!$B$12,0)))))*(1/(1-'P-Parametri'!$B$6*B896))))</f>
        <v>16916.907714355002</v>
      </c>
      <c r="D896" s="18">
        <f>IF($A896&gt;'1-Input'!$B$26,F895,(F895-MAX(0,B891-IF($A896&gt;='1-Input'!$C$12,'1-Input'!$B$12,0))+C896*(1-'P-Parametri'!$B$6*B896))*(1+'1-Input'!$B$27))</f>
        <v>0</v>
      </c>
      <c r="E896" s="18">
        <f>IF($A896&gt;'1-Input'!$B$26,G895,(G895-C896)*(1+'5-Roberta'!$C$4))</f>
        <v>424396.53115139407</v>
      </c>
      <c r="F896" s="18">
        <f>IF($A896&gt;'1-Input'!$B$26,D896,D896-'P-Parametri'!$B$8*(E896+D896)+MIN(MAX(E896,0),'P-Parametri'!$B$8*(E896+D896)))</f>
        <v>0</v>
      </c>
      <c r="G896" s="18">
        <f>IF($A896&gt;'1-Input'!$B$26,E896,E896-MIN(MAX(E896,0),'P-Parametri'!$B$8*(E896+D896)))</f>
        <v>423547.73808909126</v>
      </c>
      <c r="H896" s="18">
        <f>IF($A896&gt;'1-Input'!$B$26,H895,H895-C896*(1-B896))</f>
        <v>389941.15057932661</v>
      </c>
      <c r="I896" s="11">
        <f>IF($A896&gt;'1-Input'!$B$26,0,IF(N895&lt;=0,0,MAX(0,(N895-O895)/N895)))</f>
        <v>5.3622365840142995E-2</v>
      </c>
      <c r="J896" s="18">
        <f>IF($A896&gt;'1-Input'!$B$26,0,(MAX(0,I891-IF($A896&gt;='1-Input'!$C$12,'1-Input'!$B$12,0))-MIN(MAX(M895,0),MAX(0,I891-IF($A896&gt;='1-Input'!$C$12,'1-Input'!$B$12,0))))*(1/(1-'P-Parametri'!$B$6*I896))+MIN(MAX(0,N895-(MAX(0,I891-IF($A896&gt;='1-Input'!$C$12,'1-Input'!$B$12,0))-MIN(MAX(M895,0),MAX(0,I891-IF($A896&gt;='1-Input'!$C$12,'1-Input'!$B$12,0))))*(1/(1-'P-Parametri'!$B$6*I896))),MAX(0,0*I891-(M895-MIN(MAX(M895,0),MAX(0,I891-IF($A896&gt;='1-Input'!$C$12,'1-Input'!$B$12,0)))))*(1/(1-'P-Parametri'!$B$6*I896))))</f>
        <v>22259.089097835527</v>
      </c>
      <c r="K896" s="18">
        <f>IF($A896&gt;'1-Input'!$B$26,M895,(M895-MAX(0,I891-IF($A896&gt;='1-Input'!$C$12,'1-Input'!$B$12,0))+J896*(1-'P-Parametri'!$B$6*I896))*(1+'1-Input'!$B$27))</f>
        <v>-3.6248820833861826E-12</v>
      </c>
      <c r="L896" s="18">
        <f>IF($A896&gt;'1-Input'!$B$26,N895,(N895-J896)*(1+'5-Roberta'!$C$4))</f>
        <v>407543.90317133488</v>
      </c>
      <c r="M896" s="18">
        <f>IF($A896&gt;'1-Input'!$B$26,K896,K896-'P-Parametri'!$B$8*(L896+K896)+MIN(MAX(L896,0),'P-Parametri'!$B$8*(L896+K896)))</f>
        <v>-3.637978807091713E-12</v>
      </c>
      <c r="N896" s="18">
        <f>IF($A896&gt;'1-Input'!$B$26,L896,L896-MIN(MAX(L896,0),'P-Parametri'!$B$8*(L896+K896)))</f>
        <v>406728.81536499219</v>
      </c>
      <c r="O896" s="18">
        <f>IF($A896&gt;'1-Input'!$B$26,O895,O895-J896*(1-I896))</f>
        <v>374456.73291219585</v>
      </c>
      <c r="P896" s="11">
        <f>IF($A896&gt;'1-Input'!$B$26,0,IF(U895&lt;=0,0,MAX(0,(U895-V895)/U895)))</f>
        <v>5.3622365840142981E-2</v>
      </c>
      <c r="Q896" s="18">
        <f>IF($A896&gt;'1-Input'!$B$26,0,(MAX(0,P891-IF($A896&gt;='1-Input'!$C$12,'1-Input'!$B$12,0))-MIN(MAX(T895,0),MAX(0,P891-IF($A896&gt;='1-Input'!$C$12,'1-Input'!$B$12,0))))*(1/(1-'P-Parametri'!$B$6*P896))+MIN(MAX(0,U895-(MAX(0,P891-IF($A896&gt;='1-Input'!$C$12,'1-Input'!$B$12,0))-MIN(MAX(T895,0),MAX(0,P891-IF($A896&gt;='1-Input'!$C$12,'1-Input'!$B$12,0))))*(1/(1-'P-Parametri'!$B$6*P896))),MAX(0,0*P891-(T895-MIN(MAX(T895,0),MAX(0,P891-IF($A896&gt;='1-Input'!$C$12,'1-Input'!$B$12,0)))))*(1/(1-'P-Parametri'!$B$6*P896))))</f>
        <v>20004.450035458642</v>
      </c>
      <c r="R896" s="18">
        <f>IF($A896&gt;'1-Input'!$B$26,T895,(T895-MAX(0,P891-IF($A896&gt;='1-Input'!$C$12,'1-Input'!$B$12,0))+Q896*(1-'P-Parametri'!$B$6*P896))*(1+'1-Input'!$B$27))</f>
        <v>-3.6248820833861826E-12</v>
      </c>
      <c r="S896" s="18">
        <f>IF($A896&gt;'1-Input'!$B$26,U895,(U895-Q896)*(1+'5-Roberta'!$C$4))</f>
        <v>414656.4646176839</v>
      </c>
      <c r="T896" s="18">
        <f>IF($A896&gt;'1-Input'!$B$26,R896,R896-'P-Parametri'!$B$8*(S896+R896)+MIN(MAX(S896,0),'P-Parametri'!$B$8*(S896+R896)))</f>
        <v>-3.637978807091713E-12</v>
      </c>
      <c r="U896" s="18">
        <f>IF($A896&gt;'1-Input'!$B$26,S896,S896-MIN(MAX(S896,0),'P-Parametri'!$B$8*(S896+R896)))</f>
        <v>413827.15168844856</v>
      </c>
      <c r="V896" s="18">
        <f>IF($A896&gt;'1-Input'!$B$26,V895,V895-Q896*(1-P896))</f>
        <v>380991.84851842152</v>
      </c>
      <c r="W896" s="11">
        <f>IF($A896&gt;'1-Input'!$B$26,0,IF(AB895&lt;=0,0,MAX(0,(AB895-AC895)/AB895)))</f>
        <v>5.3622365840142967E-2</v>
      </c>
      <c r="X896" s="18">
        <f>IF($A896&gt;'1-Input'!$B$26,0,(MAX(0,W891-IF($A896&gt;='1-Input'!$C$12,'1-Input'!$B$12,0))-MIN(MAX(AA895,0),MAX(0,W891-IF($A896&gt;='1-Input'!$C$12,'1-Input'!$B$12,0))))*(1/(1-'P-Parametri'!$B$6*W896))+MIN(MAX(0,AB895-(MAX(0,W891-IF($A896&gt;='1-Input'!$C$12,'1-Input'!$B$12,0))-MIN(MAX(AA895,0),MAX(0,W891-IF($A896&gt;='1-Input'!$C$12,'1-Input'!$B$12,0))))*(1/(1-'P-Parametri'!$B$6*W896))),MAX(0,0*W891-(AA895-MIN(MAX(AA895,0),MAX(0,W891-IF($A896&gt;='1-Input'!$C$12,'1-Input'!$B$12,0)))))*(1/(1-'P-Parametri'!$B$6*W896))))</f>
        <v>19770.501439186224</v>
      </c>
      <c r="Y896" s="18">
        <f>IF($A896&gt;'1-Input'!$B$26,AA895,(AA895-MAX(0,W891-IF($A896&gt;='1-Input'!$C$12,'1-Input'!$B$12,0))+X896*(1-'P-Parametri'!$B$6*W896))*(1+'1-Input'!$B$27))</f>
        <v>-3.6248820833861826E-12</v>
      </c>
      <c r="Z896" s="18">
        <f>IF($A896&gt;'1-Input'!$B$26,AB895,(AB895-X896)*(1+'5-Roberta'!$C$4))</f>
        <v>415394.48685549636</v>
      </c>
      <c r="AA896" s="18">
        <f>IF($A896&gt;'1-Input'!$B$26,Y896,Y896-'P-Parametri'!$B$8*(Z896+Y896)+MIN(MAX(Z896,0),'P-Parametri'!$B$8*(Z896+Y896)))</f>
        <v>-3.637978807091713E-12</v>
      </c>
      <c r="AB896" s="18">
        <f>IF($A896&gt;'1-Input'!$B$26,Z896,Z896-MIN(MAX(Z896,0),'P-Parametri'!$B$8*(Z896+Y896)))</f>
        <v>414563.6978817854</v>
      </c>
      <c r="AC896" s="18">
        <f>IF($A896&gt;'1-Input'!$B$26,AC895,AC895-X896*(1-W896))</f>
        <v>381669.95311975968</v>
      </c>
      <c r="AD896" s="11">
        <f>IF($A896&gt;'1-Input'!$B$26,0,IF(AI895&lt;=0,0,MAX(0,(AI895-AJ895)/AI895)))</f>
        <v>5.362236584014278E-2</v>
      </c>
      <c r="AE896" s="18">
        <f>IF($A896&gt;'1-Input'!$B$26,0,(MAX(0,AD891-IF($A896&gt;='1-Input'!$C$12,'1-Input'!$B$12,0))-MIN(MAX(AH895,0),MAX(0,AD891-IF($A896&gt;='1-Input'!$C$12,'1-Input'!$B$12,0))))*(1/(1-'P-Parametri'!$B$6*AD896))+MIN(MAX(0,AI895-(MAX(0,AD891-IF($A896&gt;='1-Input'!$C$12,'1-Input'!$B$12,0))-MIN(MAX(AH895,0),MAX(0,AD891-IF($A896&gt;='1-Input'!$C$12,'1-Input'!$B$12,0))))*(1/(1-'P-Parametri'!$B$6*AD896))),MAX(0,0*AD891-(AH895-MIN(MAX(AH895,0),MAX(0,AD891-IF($A896&gt;='1-Input'!$C$12,'1-Input'!$B$12,0)))))*(1/(1-'P-Parametri'!$B$6*AD896))))</f>
        <v>19767.632039581706</v>
      </c>
      <c r="AF896" s="18">
        <f>IF($A896&gt;'1-Input'!$B$26,AH895,(AH895-MAX(0,AD891-IF($A896&gt;='1-Input'!$C$12,'1-Input'!$B$12,0))+AE896*(1-'P-Parametri'!$B$6*AD896))*(1+'1-Input'!$B$27))</f>
        <v>0</v>
      </c>
      <c r="AG896" s="18">
        <f>IF($A896&gt;'1-Input'!$B$26,AI895,(AI895-AE896)*(1+'5-Roberta'!$C$4))</f>
        <v>415403.53876156046</v>
      </c>
      <c r="AH896" s="18">
        <f>IF($A896&gt;'1-Input'!$B$26,AF896,AF896-'P-Parametri'!$B$8*(AG896+AF896)+MIN(MAX(AG896,0),'P-Parametri'!$B$8*(AG896+AF896)))</f>
        <v>0</v>
      </c>
      <c r="AI896" s="18">
        <f>IF($A896&gt;'1-Input'!$B$26,AG896,AG896-MIN(MAX(AG896,0),'P-Parametri'!$B$8*(AG896+AF896)))</f>
        <v>414572.73168403731</v>
      </c>
      <c r="AJ896" s="18">
        <f>IF($A896&gt;'1-Input'!$B$26,AJ895,AJ895-AE896*(1-AD896))</f>
        <v>381678.27013087197</v>
      </c>
      <c r="AK896" s="11">
        <f>IF($A896&gt;'1-Input'!$B$26,0,IF(AP895&lt;=0,0,MAX(0,(AP895-AQ895)/AP895)))</f>
        <v>5.3622365840142794E-2</v>
      </c>
      <c r="AL896" s="18">
        <f>IF($A896&gt;'1-Input'!$B$26,0,(MAX(0,AK891-IF($A896&gt;='1-Input'!$C$12,'1-Input'!$B$12,0))-MIN(MAX(AO895,0),MAX(0,AK891-IF($A896&gt;='1-Input'!$C$12,'1-Input'!$B$12,0))))*(1/(1-'P-Parametri'!$B$6*AK896))+MIN(MAX(0,AP895-(MAX(0,AK891-IF($A896&gt;='1-Input'!$C$12,'1-Input'!$B$12,0))-MIN(MAX(AO895,0),MAX(0,AK891-IF($A896&gt;='1-Input'!$C$12,'1-Input'!$B$12,0))))*(1/(1-'P-Parametri'!$B$6*AK896))),MAX(0,0*AK891-(AO895-MIN(MAX(AO895,0),MAX(0,AK891-IF($A896&gt;='1-Input'!$C$12,'1-Input'!$B$12,0)))))*(1/(1-'P-Parametri'!$B$6*AK896))))</f>
        <v>19768.129852544083</v>
      </c>
      <c r="AM896" s="18">
        <f>IF($A896&gt;'1-Input'!$B$26,AO895,(AO895-MAX(0,AK891-IF($A896&gt;='1-Input'!$C$12,'1-Input'!$B$12,0))+AL896*(1-'P-Parametri'!$B$6*AK896))*(1+'1-Input'!$B$27))</f>
        <v>-3.6248820833861826E-12</v>
      </c>
      <c r="AN896" s="18">
        <f>IF($A896&gt;'1-Input'!$B$26,AP895,(AP895-AL896)*(1+'5-Roberta'!$C$4))</f>
        <v>415401.96834377485</v>
      </c>
      <c r="AO896" s="18">
        <f>IF($A896&gt;'1-Input'!$B$26,AM896,AM896-'P-Parametri'!$B$8*(AN896+AM896)+MIN(MAX(AN896,0),'P-Parametri'!$B$8*(AN896+AM896)))</f>
        <v>-3.637978807091713E-12</v>
      </c>
      <c r="AP896" s="18">
        <f>IF($A896&gt;'1-Input'!$B$26,AN896,AN896-MIN(MAX(AN896,0),'P-Parametri'!$B$8*(AN896+AM896)))</f>
        <v>414571.16440708732</v>
      </c>
      <c r="AQ896" s="18">
        <f>IF($A896&gt;'1-Input'!$B$26,AQ895,AQ895-AL896*(1-AK896))</f>
        <v>381676.82721022284</v>
      </c>
    </row>
    <row r="897" spans="1:43">
      <c r="A897" s="10">
        <f>4</f>
        <v>4</v>
      </c>
      <c r="B897" s="11">
        <f>IF($A897&gt;'1-Input'!$B$26,0,IF(G896&lt;=0,0,MAX(0,(G896-H896)/G896)))</f>
        <v>7.9345453859313644E-2</v>
      </c>
      <c r="C897" s="18">
        <f>IF($A897&gt;'1-Input'!$B$26,0,(MAX(0,B891-IF($A897&gt;='1-Input'!$C$12,'1-Input'!$B$12,0))-MIN(MAX(F896,0),MAX(0,B891-IF($A897&gt;='1-Input'!$C$12,'1-Input'!$B$12,0))))*(1/(1-'P-Parametri'!$B$6*B897))+MIN(MAX(0,G896-(MAX(0,B891-IF($A897&gt;='1-Input'!$C$12,'1-Input'!$B$12,0))-MIN(MAX(F896,0),MAX(0,B891-IF($A897&gt;='1-Input'!$C$12,'1-Input'!$B$12,0))))*(1/(1-'P-Parametri'!$B$6*B897))),MAX(0,0*B891-(F896-MIN(MAX(F896,0),MAX(0,B891-IF($A897&gt;='1-Input'!$C$12,'1-Input'!$B$12,0)))))*(1/(1-'P-Parametri'!$B$6*B897))))</f>
        <v>17032.431271921327</v>
      </c>
      <c r="D897" s="18">
        <f>IF($A897&gt;'1-Input'!$B$26,F896,(F896-MAX(0,B891-IF($A897&gt;='1-Input'!$C$12,'1-Input'!$B$12,0))+C897*(1-'P-Parametri'!$B$6*B897))*(1+'1-Input'!$B$27))</f>
        <v>0</v>
      </c>
      <c r="E897" s="18">
        <f>IF($A897&gt;'1-Input'!$B$26,G896,(G896-C897)*(1+'5-Roberta'!$C$4))</f>
        <v>418710.76602168503</v>
      </c>
      <c r="F897" s="18">
        <f>IF($A897&gt;'1-Input'!$B$26,D897,D897-'P-Parametri'!$B$8*(E897+D897)+MIN(MAX(E897,0),'P-Parametri'!$B$8*(E897+D897)))</f>
        <v>0</v>
      </c>
      <c r="G897" s="18">
        <f>IF($A897&gt;'1-Input'!$B$26,E897,E897-MIN(MAX(E897,0),'P-Parametri'!$B$8*(E897+D897)))</f>
        <v>417873.34448964166</v>
      </c>
      <c r="H897" s="18">
        <f>IF($A897&gt;'1-Input'!$B$26,H896,H896-C897*(1-B897))</f>
        <v>374260.16529700346</v>
      </c>
      <c r="I897" s="11">
        <f>IF($A897&gt;'1-Input'!$B$26,0,IF(N896&lt;=0,0,MAX(0,(N896-O896)/N896)))</f>
        <v>7.9345453859313783E-2</v>
      </c>
      <c r="J897" s="18">
        <f>IF($A897&gt;'1-Input'!$B$26,0,(MAX(0,I891-IF($A897&gt;='1-Input'!$C$12,'1-Input'!$B$12,0))-MIN(MAX(M896,0),MAX(0,I891-IF($A897&gt;='1-Input'!$C$12,'1-Input'!$B$12,0))))*(1/(1-'P-Parametri'!$B$6*I897))+MIN(MAX(0,N896-(MAX(0,I891-IF($A897&gt;='1-Input'!$C$12,'1-Input'!$B$12,0))-MIN(MAX(M896,0),MAX(0,I891-IF($A897&gt;='1-Input'!$C$12,'1-Input'!$B$12,0))))*(1/(1-'P-Parametri'!$B$6*I897))),MAX(0,0*I891-(M896-MIN(MAX(M896,0),MAX(0,I891-IF($A897&gt;='1-Input'!$C$12,'1-Input'!$B$12,0)))))*(1/(1-'P-Parametri'!$B$6*I897))))</f>
        <v>22411.093778843857</v>
      </c>
      <c r="K897" s="18">
        <f>IF($A897&gt;'1-Input'!$B$26,M896,(M896-MAX(0,I891-IF($A897&gt;='1-Input'!$C$12,'1-Input'!$B$12,0))+J897*(1-'P-Parametri'!$B$6*I897))*(1+'1-Input'!$B$27))</f>
        <v>0</v>
      </c>
      <c r="L897" s="18">
        <f>IF($A897&gt;'1-Input'!$B$26,N896,(N896-J897)*(1+'5-Roberta'!$C$4))</f>
        <v>395847.25323373277</v>
      </c>
      <c r="M897" s="18">
        <f>IF($A897&gt;'1-Input'!$B$26,K897,K897-'P-Parametri'!$B$8*(L897+K897)+MIN(MAX(L897,0),'P-Parametri'!$B$8*(L897+K897)))</f>
        <v>0</v>
      </c>
      <c r="N897" s="18">
        <f>IF($A897&gt;'1-Input'!$B$26,L897,L897-MIN(MAX(L897,0),'P-Parametri'!$B$8*(L897+K897)))</f>
        <v>395055.55872726534</v>
      </c>
      <c r="O897" s="18">
        <f>IF($A897&gt;'1-Input'!$B$26,O896,O896-J897*(1-I897))</f>
        <v>353823.85754071799</v>
      </c>
      <c r="P897" s="11">
        <f>IF($A897&gt;'1-Input'!$B$26,0,IF(U896&lt;=0,0,MAX(0,(U896-V896)/U896)))</f>
        <v>7.9345453859313769E-2</v>
      </c>
      <c r="Q897" s="18">
        <f>IF($A897&gt;'1-Input'!$B$26,0,(MAX(0,P891-IF($A897&gt;='1-Input'!$C$12,'1-Input'!$B$12,0))-MIN(MAX(T896,0),MAX(0,P891-IF($A897&gt;='1-Input'!$C$12,'1-Input'!$B$12,0))))*(1/(1-'P-Parametri'!$B$6*P897))+MIN(MAX(0,U896-(MAX(0,P891-IF($A897&gt;='1-Input'!$C$12,'1-Input'!$B$12,0))-MIN(MAX(T896,0),MAX(0,P891-IF($A897&gt;='1-Input'!$C$12,'1-Input'!$B$12,0))))*(1/(1-'P-Parametri'!$B$6*P897))),MAX(0,0*P891-(T896-MIN(MAX(T896,0),MAX(0,P891-IF($A897&gt;='1-Input'!$C$12,'1-Input'!$B$12,0)))))*(1/(1-'P-Parametri'!$B$6*P897))))</f>
        <v>20141.058053559551</v>
      </c>
      <c r="R897" s="18">
        <f>IF($A897&gt;'1-Input'!$B$26,T896,(T896-MAX(0,P891-IF($A897&gt;='1-Input'!$C$12,'1-Input'!$B$12,0))+Q897*(1-'P-Parametri'!$B$6*P897))*(1+'1-Input'!$B$27))</f>
        <v>0</v>
      </c>
      <c r="S897" s="18">
        <f>IF($A897&gt;'1-Input'!$B$26,U896,(U896-Q897)*(1+'5-Roberta'!$C$4))</f>
        <v>405496.67644393566</v>
      </c>
      <c r="T897" s="18">
        <f>IF($A897&gt;'1-Input'!$B$26,R897,R897-'P-Parametri'!$B$8*(S897+R897)+MIN(MAX(S897,0),'P-Parametri'!$B$8*(S897+R897)))</f>
        <v>0</v>
      </c>
      <c r="U897" s="18">
        <f>IF($A897&gt;'1-Input'!$B$26,S897,S897-MIN(MAX(S897,0),'P-Parametri'!$B$8*(S897+R897)))</f>
        <v>404685.6830910478</v>
      </c>
      <c r="V897" s="18">
        <f>IF($A897&gt;'1-Input'!$B$26,V896,V896-Q897*(1-P897))</f>
        <v>362448.89185732842</v>
      </c>
      <c r="W897" s="11">
        <f>IF($A897&gt;'1-Input'!$B$26,0,IF(AB896&lt;=0,0,MAX(0,(AB896-AC896)/AB896)))</f>
        <v>7.9345453859313811E-2</v>
      </c>
      <c r="X897" s="18">
        <f>IF($A897&gt;'1-Input'!$B$26,0,(MAX(0,W891-IF($A897&gt;='1-Input'!$C$12,'1-Input'!$B$12,0))-MIN(MAX(AA896,0),MAX(0,W891-IF($A897&gt;='1-Input'!$C$12,'1-Input'!$B$12,0))))*(1/(1-'P-Parametri'!$B$6*W897))+MIN(MAX(0,AB896-(MAX(0,W891-IF($A897&gt;='1-Input'!$C$12,'1-Input'!$B$12,0))-MIN(MAX(AA896,0),MAX(0,W891-IF($A897&gt;='1-Input'!$C$12,'1-Input'!$B$12,0))))*(1/(1-'P-Parametri'!$B$6*W897))),MAX(0,0*W891-(AA896-MIN(MAX(AA896,0),MAX(0,W891-IF($A897&gt;='1-Input'!$C$12,'1-Input'!$B$12,0)))))*(1/(1-'P-Parametri'!$B$6*W897))))</f>
        <v>19905.511850053863</v>
      </c>
      <c r="Y897" s="18">
        <f>IF($A897&gt;'1-Input'!$B$26,AA896,(AA896-MAX(0,W891-IF($A897&gt;='1-Input'!$C$12,'1-Input'!$B$12,0))+X897*(1-'P-Parametri'!$B$6*W897))*(1+'1-Input'!$B$27))</f>
        <v>0</v>
      </c>
      <c r="Z897" s="18">
        <f>IF($A897&gt;'1-Input'!$B$26,AB896,(AB896-X897)*(1+'5-Roberta'!$C$4))</f>
        <v>406497.93161268352</v>
      </c>
      <c r="AA897" s="18">
        <f>IF($A897&gt;'1-Input'!$B$26,Y897,Y897-'P-Parametri'!$B$8*(Z897+Y897)+MIN(MAX(Z897,0),'P-Parametri'!$B$8*(Z897+Y897)))</f>
        <v>0</v>
      </c>
      <c r="AB897" s="18">
        <f>IF($A897&gt;'1-Input'!$B$26,Z897,Z897-MIN(MAX(Z897,0),'P-Parametri'!$B$8*(Z897+Y897)))</f>
        <v>405684.93574945815</v>
      </c>
      <c r="AC897" s="18">
        <f>IF($A897&gt;'1-Input'!$B$26,AC896,AC896-X897*(1-W897))</f>
        <v>363343.85314175027</v>
      </c>
      <c r="AD897" s="11">
        <f>IF($A897&gt;'1-Input'!$B$26,0,IF(AI896&lt;=0,0,MAX(0,(AI896-AJ896)/AI896)))</f>
        <v>7.9345453859313506E-2</v>
      </c>
      <c r="AE897" s="18">
        <f>IF($A897&gt;'1-Input'!$B$26,0,(MAX(0,AD891-IF($A897&gt;='1-Input'!$C$12,'1-Input'!$B$12,0))-MIN(MAX(AH896,0),MAX(0,AD891-IF($A897&gt;='1-Input'!$C$12,'1-Input'!$B$12,0))))*(1/(1-'P-Parametri'!$B$6*AD897))+MIN(MAX(0,AI896-(MAX(0,AD891-IF($A897&gt;='1-Input'!$C$12,'1-Input'!$B$12,0))-MIN(MAX(AH896,0),MAX(0,AD891-IF($A897&gt;='1-Input'!$C$12,'1-Input'!$B$12,0))))*(1/(1-'P-Parametri'!$B$6*AD897))),MAX(0,0*AD891-(AH896-MIN(MAX(AH896,0),MAX(0,AD891-IF($A897&gt;='1-Input'!$C$12,'1-Input'!$B$12,0)))))*(1/(1-'P-Parametri'!$B$6*AD897))))</f>
        <v>19902.622855659556</v>
      </c>
      <c r="AF897" s="18">
        <f>IF($A897&gt;'1-Input'!$B$26,AH896,(AH896-MAX(0,AD891-IF($A897&gt;='1-Input'!$C$12,'1-Input'!$B$12,0))+AE897*(1-'P-Parametri'!$B$6*AD897))*(1+'1-Input'!$B$27))</f>
        <v>0</v>
      </c>
      <c r="AG897" s="18">
        <f>IF($A897&gt;'1-Input'!$B$26,AI896,(AI896-AE897)*(1+'5-Roberta'!$C$4))</f>
        <v>406510.21209322906</v>
      </c>
      <c r="AH897" s="18">
        <f>IF($A897&gt;'1-Input'!$B$26,AF897,AF897-'P-Parametri'!$B$8*(AG897+AF897)+MIN(MAX(AG897,0),'P-Parametri'!$B$8*(AG897+AF897)))</f>
        <v>0</v>
      </c>
      <c r="AI897" s="18">
        <f>IF($A897&gt;'1-Input'!$B$26,AG897,AG897-MIN(MAX(AG897,0),'P-Parametri'!$B$8*(AG897+AF897)))</f>
        <v>405697.19166904257</v>
      </c>
      <c r="AJ897" s="18">
        <f>IF($A897&gt;'1-Input'!$B$26,AJ896,AJ896-AE897*(1-AD897))</f>
        <v>363354.82991868549</v>
      </c>
      <c r="AK897" s="11">
        <f>IF($A897&gt;'1-Input'!$B$26,0,IF(AP896&lt;=0,0,MAX(0,(AP896-AQ896)/AP896)))</f>
        <v>7.9345453859313644E-2</v>
      </c>
      <c r="AL897" s="18">
        <f>IF($A897&gt;'1-Input'!$B$26,0,(MAX(0,AK891-IF($A897&gt;='1-Input'!$C$12,'1-Input'!$B$12,0))-MIN(MAX(AO896,0),MAX(0,AK891-IF($A897&gt;='1-Input'!$C$12,'1-Input'!$B$12,0))))*(1/(1-'P-Parametri'!$B$6*AK897))+MIN(MAX(0,AP896-(MAX(0,AK891-IF($A897&gt;='1-Input'!$C$12,'1-Input'!$B$12,0))-MIN(MAX(AO896,0),MAX(0,AK891-IF($A897&gt;='1-Input'!$C$12,'1-Input'!$B$12,0))))*(1/(1-'P-Parametri'!$B$6*AK897))),MAX(0,0*AK891-(AO896-MIN(MAX(AO896,0),MAX(0,AK891-IF($A897&gt;='1-Input'!$C$12,'1-Input'!$B$12,0)))))*(1/(1-'P-Parametri'!$B$6*AK897))))</f>
        <v>19903.124068127654</v>
      </c>
      <c r="AM897" s="18">
        <f>IF($A897&gt;'1-Input'!$B$26,AO896,(AO896-MAX(0,AK891-IF($A897&gt;='1-Input'!$C$12,'1-Input'!$B$12,0))+AL897*(1-'P-Parametri'!$B$6*AK897))*(1+'1-Input'!$B$27))</f>
        <v>0</v>
      </c>
      <c r="AN897" s="18">
        <f>IF($A897&gt;'1-Input'!$B$26,AP896,(AP896-AL897)*(1+'5-Roberta'!$C$4))</f>
        <v>406508.08154912846</v>
      </c>
      <c r="AO897" s="18">
        <f>IF($A897&gt;'1-Input'!$B$26,AM897,AM897-'P-Parametri'!$B$8*(AN897+AM897)+MIN(MAX(AN897,0),'P-Parametri'!$B$8*(AN897+AM897)))</f>
        <v>0</v>
      </c>
      <c r="AP897" s="18">
        <f>IF($A897&gt;'1-Input'!$B$26,AN897,AN897-MIN(MAX(AN897,0),'P-Parametri'!$B$8*(AN897+AM897)))</f>
        <v>405695.06538603018</v>
      </c>
      <c r="AQ897" s="18">
        <f>IF($A897&gt;'1-Input'!$B$26,AQ896,AQ896-AL897*(1-AK897))</f>
        <v>363352.92555449903</v>
      </c>
    </row>
    <row r="898" spans="1:43">
      <c r="A898" s="10">
        <f>5</f>
        <v>5</v>
      </c>
      <c r="B898" s="11">
        <f>IF($A898&gt;'1-Input'!$B$26,0,IF(G897&lt;=0,0,MAX(0,(G897-H897)/G897)))</f>
        <v>0.10436937356199157</v>
      </c>
      <c r="C898" s="18">
        <f>IF($A898&gt;'1-Input'!$B$26,0,(MAX(0,B891-IF($A898&gt;='1-Input'!$C$12,'1-Input'!$B$12,0))-MIN(MAX(F897,0),MAX(0,B891-IF($A898&gt;='1-Input'!$C$12,'1-Input'!$B$12,0))))*(1/(1-'P-Parametri'!$B$6*B898))+MIN(MAX(0,G897-(MAX(0,B891-IF($A898&gt;='1-Input'!$C$12,'1-Input'!$B$12,0))-MIN(MAX(F897,0),MAX(0,B891-IF($A898&gt;='1-Input'!$C$12,'1-Input'!$B$12,0))))*(1/(1-'P-Parametri'!$B$6*B898))),MAX(0,0*B891-(F897-MIN(MAX(F897,0),MAX(0,B891-IF($A898&gt;='1-Input'!$C$12,'1-Input'!$B$12,0)))))*(1/(1-'P-Parametri'!$B$6*B898))))</f>
        <v>17146.339006482718</v>
      </c>
      <c r="D898" s="18">
        <f>IF($A898&gt;'1-Input'!$B$26,F897,(F897-MAX(0,B891-IF($A898&gt;='1-Input'!$C$12,'1-Input'!$B$12,0))+C898*(1-'P-Parametri'!$B$6*B898))*(1+'1-Input'!$B$27))</f>
        <v>0</v>
      </c>
      <c r="E898" s="18">
        <f>IF($A898&gt;'1-Input'!$B$26,G897,(G897-C898)*(1+'5-Roberta'!$C$4))</f>
        <v>412748.81564765371</v>
      </c>
      <c r="F898" s="18">
        <f>IF($A898&gt;'1-Input'!$B$26,D898,D898-'P-Parametri'!$B$8*(E898+D898)+MIN(MAX(E898,0),'P-Parametri'!$B$8*(E898+D898)))</f>
        <v>0</v>
      </c>
      <c r="G898" s="18">
        <f>IF($A898&gt;'1-Input'!$B$26,E898,E898-MIN(MAX(E898,0),'P-Parametri'!$B$8*(E898+D898)))</f>
        <v>411923.31801635842</v>
      </c>
      <c r="H898" s="18">
        <f>IF($A898&gt;'1-Input'!$B$26,H897,H897-C898*(1-B898))</f>
        <v>358903.3789515089</v>
      </c>
      <c r="I898" s="11">
        <f>IF($A898&gt;'1-Input'!$B$26,0,IF(N897&lt;=0,0,MAX(0,(N897-O897)/N897)))</f>
        <v>0.1043693735619918</v>
      </c>
      <c r="J898" s="18">
        <f>IF($A898&gt;'1-Input'!$B$26,0,(MAX(0,I891-IF($A898&gt;='1-Input'!$C$12,'1-Input'!$B$12,0))-MIN(MAX(M897,0),MAX(0,I891-IF($A898&gt;='1-Input'!$C$12,'1-Input'!$B$12,0))))*(1/(1-'P-Parametri'!$B$6*I898))+MIN(MAX(0,N897-(MAX(0,I891-IF($A898&gt;='1-Input'!$C$12,'1-Input'!$B$12,0))-MIN(MAX(M897,0),MAX(0,I891-IF($A898&gt;='1-Input'!$C$12,'1-Input'!$B$12,0))))*(1/(1-'P-Parametri'!$B$6*I898))),MAX(0,0*I891-(M897-MIN(MAX(M897,0),MAX(0,I891-IF($A898&gt;='1-Input'!$C$12,'1-Input'!$B$12,0)))))*(1/(1-'P-Parametri'!$B$6*I898))))</f>
        <v>22560.972376950951</v>
      </c>
      <c r="K898" s="18">
        <f>IF($A898&gt;'1-Input'!$B$26,M897,(M897-MAX(0,I891-IF($A898&gt;='1-Input'!$C$12,'1-Input'!$B$12,0))+J898*(1-'P-Parametri'!$B$6*I898))*(1+'1-Input'!$B$27))</f>
        <v>0</v>
      </c>
      <c r="L898" s="18">
        <f>IF($A898&gt;'1-Input'!$B$26,N897,(N897-J898)*(1+'5-Roberta'!$C$4))</f>
        <v>383669.42394082382</v>
      </c>
      <c r="M898" s="18">
        <f>IF($A898&gt;'1-Input'!$B$26,K898,K898-'P-Parametri'!$B$8*(L898+K898)+MIN(MAX(L898,0),'P-Parametri'!$B$8*(L898+K898)))</f>
        <v>0</v>
      </c>
      <c r="N898" s="18">
        <f>IF($A898&gt;'1-Input'!$B$26,L898,L898-MIN(MAX(L898,0),'P-Parametri'!$B$8*(L898+K898)))</f>
        <v>382902.08509294217</v>
      </c>
      <c r="O898" s="18">
        <f>IF($A898&gt;'1-Input'!$B$26,O897,O897-J898*(1-I898))</f>
        <v>333617.55971769884</v>
      </c>
      <c r="P898" s="11">
        <f>IF($A898&gt;'1-Input'!$B$26,0,IF(U897&lt;=0,0,MAX(0,(U897-V897)/U897)))</f>
        <v>0.10436937356199177</v>
      </c>
      <c r="Q898" s="18">
        <f>IF($A898&gt;'1-Input'!$B$26,0,(MAX(0,P891-IF($A898&gt;='1-Input'!$C$12,'1-Input'!$B$12,0))-MIN(MAX(T897,0),MAX(0,P891-IF($A898&gt;='1-Input'!$C$12,'1-Input'!$B$12,0))))*(1/(1-'P-Parametri'!$B$6*P898))+MIN(MAX(0,U897-(MAX(0,P891-IF($A898&gt;='1-Input'!$C$12,'1-Input'!$B$12,0))-MIN(MAX(T897,0),MAX(0,P891-IF($A898&gt;='1-Input'!$C$12,'1-Input'!$B$12,0))))*(1/(1-'P-Parametri'!$B$6*P898))),MAX(0,0*P891-(T897-MIN(MAX(T897,0),MAX(0,P891-IF($A898&gt;='1-Input'!$C$12,'1-Input'!$B$12,0)))))*(1/(1-'P-Parametri'!$B$6*P898))))</f>
        <v>20275.755341217631</v>
      </c>
      <c r="R898" s="18">
        <f>IF($A898&gt;'1-Input'!$B$26,T897,(T897-MAX(0,P891-IF($A898&gt;='1-Input'!$C$12,'1-Input'!$B$12,0))+Q898*(1-'P-Parametri'!$B$6*P898))*(1+'1-Input'!$B$27))</f>
        <v>0</v>
      </c>
      <c r="S898" s="18">
        <f>IF($A898&gt;'1-Input'!$B$26,U897,(U897-Q898)*(1+'5-Roberta'!$C$4))</f>
        <v>395942.22558232507</v>
      </c>
      <c r="T898" s="18">
        <f>IF($A898&gt;'1-Input'!$B$26,R898,R898-'P-Parametri'!$B$8*(S898+R898)+MIN(MAX(S898,0),'P-Parametri'!$B$8*(S898+R898)))</f>
        <v>0</v>
      </c>
      <c r="U898" s="18">
        <f>IF($A898&gt;'1-Input'!$B$26,S898,S898-MIN(MAX(S898,0),'P-Parametri'!$B$8*(S898+R898)))</f>
        <v>395150.34113116044</v>
      </c>
      <c r="V898" s="18">
        <f>IF($A898&gt;'1-Input'!$B$26,V897,V897-Q898*(1-P898))</f>
        <v>344289.30439956987</v>
      </c>
      <c r="W898" s="11">
        <f>IF($A898&gt;'1-Input'!$B$26,0,IF(AB897&lt;=0,0,MAX(0,(AB897-AC897)/AB897)))</f>
        <v>0.1043693735619919</v>
      </c>
      <c r="X898" s="18">
        <f>IF($A898&gt;'1-Input'!$B$26,0,(MAX(0,W891-IF($A898&gt;='1-Input'!$C$12,'1-Input'!$B$12,0))-MIN(MAX(AA897,0),MAX(0,W891-IF($A898&gt;='1-Input'!$C$12,'1-Input'!$B$12,0))))*(1/(1-'P-Parametri'!$B$6*W898))+MIN(MAX(0,AB897-(MAX(0,W891-IF($A898&gt;='1-Input'!$C$12,'1-Input'!$B$12,0))-MIN(MAX(AA897,0),MAX(0,W891-IF($A898&gt;='1-Input'!$C$12,'1-Input'!$B$12,0))))*(1/(1-'P-Parametri'!$B$6*W898))),MAX(0,0*W891-(AA897-MIN(MAX(AA897,0),MAX(0,W891-IF($A898&gt;='1-Input'!$C$12,'1-Input'!$B$12,0)))))*(1/(1-'P-Parametri'!$B$6*W898))))</f>
        <v>20038.633876141968</v>
      </c>
      <c r="Y898" s="18">
        <f>IF($A898&gt;'1-Input'!$B$26,AA897,(AA897-MAX(0,W891-IF($A898&gt;='1-Input'!$C$12,'1-Input'!$B$12,0))+X898*(1-'P-Parametri'!$B$6*W898))*(1+'1-Input'!$B$27))</f>
        <v>0</v>
      </c>
      <c r="Z898" s="18">
        <f>IF($A898&gt;'1-Input'!$B$26,AB897,(AB897-X898)*(1+'5-Roberta'!$C$4))</f>
        <v>397215.69092951569</v>
      </c>
      <c r="AA898" s="18">
        <f>IF($A898&gt;'1-Input'!$B$26,Y898,Y898-'P-Parametri'!$B$8*(Z898+Y898)+MIN(MAX(Z898,0),'P-Parametri'!$B$8*(Z898+Y898)))</f>
        <v>0</v>
      </c>
      <c r="AB898" s="18">
        <f>IF($A898&gt;'1-Input'!$B$26,Z898,Z898-MIN(MAX(Z898,0),'P-Parametri'!$B$8*(Z898+Y898)))</f>
        <v>396421.25954765663</v>
      </c>
      <c r="AC898" s="18">
        <f>IF($A898&gt;'1-Input'!$B$26,AC897,AC897-X898*(1-W898))</f>
        <v>345396.63893029932</v>
      </c>
      <c r="AD898" s="11">
        <f>IF($A898&gt;'1-Input'!$B$26,0,IF(AI897&lt;=0,0,MAX(0,(AI897-AJ897)/AI897)))</f>
        <v>0.10436937356199129</v>
      </c>
      <c r="AE898" s="18">
        <f>IF($A898&gt;'1-Input'!$B$26,0,(MAX(0,AD891-IF($A898&gt;='1-Input'!$C$12,'1-Input'!$B$12,0))-MIN(MAX(AH897,0),MAX(0,AD891-IF($A898&gt;='1-Input'!$C$12,'1-Input'!$B$12,0))))*(1/(1-'P-Parametri'!$B$6*AD898))+MIN(MAX(0,AI897-(MAX(0,AD891-IF($A898&gt;='1-Input'!$C$12,'1-Input'!$B$12,0))-MIN(MAX(AH897,0),MAX(0,AD891-IF($A898&gt;='1-Input'!$C$12,'1-Input'!$B$12,0))))*(1/(1-'P-Parametri'!$B$6*AD898))),MAX(0,0*AD891-(AH897-MIN(MAX(AH897,0),MAX(0,AD891-IF($A898&gt;='1-Input'!$C$12,'1-Input'!$B$12,0)))))*(1/(1-'P-Parametri'!$B$6*AD898))))</f>
        <v>20035.725561029365</v>
      </c>
      <c r="AF898" s="18">
        <f>IF($A898&gt;'1-Input'!$B$26,AH897,(AH897-MAX(0,AD891-IF($A898&gt;='1-Input'!$C$12,'1-Input'!$B$12,0))+AE898*(1-'P-Parametri'!$B$6*AD898))*(1+'1-Input'!$B$27))</f>
        <v>3.6248820833861826E-12</v>
      </c>
      <c r="AG898" s="18">
        <f>IF($A898&gt;'1-Input'!$B$26,AI897,(AI897-AE898)*(1+'5-Roberta'!$C$4))</f>
        <v>397231.3100912536</v>
      </c>
      <c r="AH898" s="18">
        <f>IF($A898&gt;'1-Input'!$B$26,AF898,AF898-'P-Parametri'!$B$8*(AG898+AF898)+MIN(MAX(AG898,0),'P-Parametri'!$B$8*(AG898+AF898)))</f>
        <v>3.637978807091713E-12</v>
      </c>
      <c r="AI898" s="18">
        <f>IF($A898&gt;'1-Input'!$B$26,AG898,AG898-MIN(MAX(AG898,0),'P-Parametri'!$B$8*(AG898+AF898)))</f>
        <v>396436.84747107112</v>
      </c>
      <c r="AJ898" s="18">
        <f>IF($A898&gt;'1-Input'!$B$26,AJ897,AJ897-AE898*(1-AD898))</f>
        <v>345410.22048332071</v>
      </c>
      <c r="AK898" s="11">
        <f>IF($A898&gt;'1-Input'!$B$26,0,IF(AP897&lt;=0,0,MAX(0,(AP897-AQ897)/AP897)))</f>
        <v>0.1043693735619915</v>
      </c>
      <c r="AL898" s="18">
        <f>IF($A898&gt;'1-Input'!$B$26,0,(MAX(0,AK891-IF($A898&gt;='1-Input'!$C$12,'1-Input'!$B$12,0))-MIN(MAX(AO897,0),MAX(0,AK891-IF($A898&gt;='1-Input'!$C$12,'1-Input'!$B$12,0))))*(1/(1-'P-Parametri'!$B$6*AK898))+MIN(MAX(0,AP897-(MAX(0,AK891-IF($A898&gt;='1-Input'!$C$12,'1-Input'!$B$12,0))-MIN(MAX(AO897,0),MAX(0,AK891-IF($A898&gt;='1-Input'!$C$12,'1-Input'!$B$12,0))))*(1/(1-'P-Parametri'!$B$6*AK898))),MAX(0,0*AK891-(AO897-MIN(MAX(AO897,0),MAX(0,AK891-IF($A898&gt;='1-Input'!$C$12,'1-Input'!$B$12,0)))))*(1/(1-'P-Parametri'!$B$6*AK898))))</f>
        <v>20036.230125454429</v>
      </c>
      <c r="AM898" s="18">
        <f>IF($A898&gt;'1-Input'!$B$26,AO897,(AO897-MAX(0,AK891-IF($A898&gt;='1-Input'!$C$12,'1-Input'!$B$12,0))+AL898*(1-'P-Parametri'!$B$6*AK898))*(1+'1-Input'!$B$27))</f>
        <v>0</v>
      </c>
      <c r="AN898" s="18">
        <f>IF($A898&gt;'1-Input'!$B$26,AP897,(AP897-AL898)*(1+'5-Roberta'!$C$4))</f>
        <v>397228.60031839303</v>
      </c>
      <c r="AO898" s="18">
        <f>IF($A898&gt;'1-Input'!$B$26,AM898,AM898-'P-Parametri'!$B$8*(AN898+AM898)+MIN(MAX(AN898,0),'P-Parametri'!$B$8*(AN898+AM898)))</f>
        <v>0</v>
      </c>
      <c r="AP898" s="18">
        <f>IF($A898&gt;'1-Input'!$B$26,AN898,AN898-MIN(MAX(AN898,0),'P-Parametri'!$B$8*(AN898+AM898)))</f>
        <v>396434.14311775623</v>
      </c>
      <c r="AQ898" s="18">
        <f>IF($A898&gt;'1-Input'!$B$26,AQ897,AQ897-AL898*(1-AK898))</f>
        <v>345407.8642157822</v>
      </c>
    </row>
    <row r="899" spans="1:43">
      <c r="A899" s="10">
        <f>6</f>
        <v>6</v>
      </c>
      <c r="B899" s="11">
        <f>IF($A899&gt;'1-Input'!$B$26,0,IF(G898&lt;=0,0,MAX(0,(G898-H898)/G898)))</f>
        <v>0.12871312874486016</v>
      </c>
      <c r="C899" s="18">
        <f>IF($A899&gt;'1-Input'!$B$26,0,(MAX(0,B891-IF($A899&gt;='1-Input'!$C$12,'1-Input'!$B$12,0))-MIN(MAX(F898,0),MAX(0,B891-IF($A899&gt;='1-Input'!$C$12,'1-Input'!$B$12,0))))*(1/(1-'P-Parametri'!$B$6*B899))+MIN(MAX(0,G898-(MAX(0,B891-IF($A899&gt;='1-Input'!$C$12,'1-Input'!$B$12,0))-MIN(MAX(F898,0),MAX(0,B891-IF($A899&gt;='1-Input'!$C$12,'1-Input'!$B$12,0))))*(1/(1-'P-Parametri'!$B$6*B899))),MAX(0,0*B891-(F898-MIN(MAX(F898,0),MAX(0,B891-IF($A899&gt;='1-Input'!$C$12,'1-Input'!$B$12,0)))))*(1/(1-'P-Parametri'!$B$6*B899))))</f>
        <v>17258.622244007274</v>
      </c>
      <c r="D899" s="18">
        <f>IF($A899&gt;'1-Input'!$B$26,F898,(F898-MAX(0,B891-IF($A899&gt;='1-Input'!$C$12,'1-Input'!$B$12,0))+C899*(1-'P-Parametri'!$B$6*B899))*(1+'1-Input'!$B$27))</f>
        <v>0</v>
      </c>
      <c r="E899" s="18">
        <f>IF($A899&gt;'1-Input'!$B$26,G898,(G898-C899)*(1+'5-Roberta'!$C$4))</f>
        <v>406504.63664552168</v>
      </c>
      <c r="F899" s="18">
        <f>IF($A899&gt;'1-Input'!$B$26,D899,D899-'P-Parametri'!$B$8*(E899+D899)+MIN(MAX(E899,0),'P-Parametri'!$B$8*(E899+D899)))</f>
        <v>0</v>
      </c>
      <c r="G899" s="18">
        <f>IF($A899&gt;'1-Input'!$B$26,E899,E899-MIN(MAX(E899,0),'P-Parametri'!$B$8*(E899+D899)))</f>
        <v>405691.62737223064</v>
      </c>
      <c r="H899" s="18">
        <f>IF($A899&gt;'1-Input'!$B$26,H898,H898-C899*(1-B899))</f>
        <v>343866.16797435342</v>
      </c>
      <c r="I899" s="11">
        <f>IF($A899&gt;'1-Input'!$B$26,0,IF(N898&lt;=0,0,MAX(0,(N898-O898)/N898)))</f>
        <v>0.12871312874486035</v>
      </c>
      <c r="J899" s="18">
        <f>IF($A899&gt;'1-Input'!$B$26,0,(MAX(0,I891-IF($A899&gt;='1-Input'!$C$12,'1-Input'!$B$12,0))-MIN(MAX(M898,0),MAX(0,I891-IF($A899&gt;='1-Input'!$C$12,'1-Input'!$B$12,0))))*(1/(1-'P-Parametri'!$B$6*I899))+MIN(MAX(0,N898-(MAX(0,I891-IF($A899&gt;='1-Input'!$C$12,'1-Input'!$B$12,0))-MIN(MAX(M898,0),MAX(0,I891-IF($A899&gt;='1-Input'!$C$12,'1-Input'!$B$12,0))))*(1/(1-'P-Parametri'!$B$6*I899))),MAX(0,0*I891-(M898-MIN(MAX(M898,0),MAX(0,I891-IF($A899&gt;='1-Input'!$C$12,'1-Input'!$B$12,0)))))*(1/(1-'P-Parametri'!$B$6*I899))))</f>
        <v>22708.713478956943</v>
      </c>
      <c r="K899" s="18">
        <f>IF($A899&gt;'1-Input'!$B$26,M898,(M898-MAX(0,I891-IF($A899&gt;='1-Input'!$C$12,'1-Input'!$B$12,0))+J899*(1-'P-Parametri'!$B$6*I899))*(1+'1-Input'!$B$27))</f>
        <v>-3.6248820833861826E-12</v>
      </c>
      <c r="L899" s="18">
        <f>IF($A899&gt;'1-Input'!$B$26,N898,(N898-J899)*(1+'5-Roberta'!$C$4))</f>
        <v>370999.17276240478</v>
      </c>
      <c r="M899" s="18">
        <f>IF($A899&gt;'1-Input'!$B$26,K899,K899-'P-Parametri'!$B$8*(L899+K899)+MIN(MAX(L899,0),'P-Parametri'!$B$8*(L899+K899)))</f>
        <v>-3.637978807091713E-12</v>
      </c>
      <c r="N899" s="18">
        <f>IF($A899&gt;'1-Input'!$B$26,L899,L899-MIN(MAX(L899,0),'P-Parametri'!$B$8*(L899+K899)))</f>
        <v>370257.17441687995</v>
      </c>
      <c r="O899" s="18">
        <f>IF($A899&gt;'1-Input'!$B$26,O898,O898-J899*(1-I899))</f>
        <v>313831.75580038904</v>
      </c>
      <c r="P899" s="11">
        <f>IF($A899&gt;'1-Input'!$B$26,0,IF(U898&lt;=0,0,MAX(0,(U898-V898)/U898)))</f>
        <v>0.12871312874486043</v>
      </c>
      <c r="Q899" s="18">
        <f>IF($A899&gt;'1-Input'!$B$26,0,(MAX(0,P891-IF($A899&gt;='1-Input'!$C$12,'1-Input'!$B$12,0))-MIN(MAX(T898,0),MAX(0,P891-IF($A899&gt;='1-Input'!$C$12,'1-Input'!$B$12,0))))*(1/(1-'P-Parametri'!$B$6*P899))+MIN(MAX(0,U898-(MAX(0,P891-IF($A899&gt;='1-Input'!$C$12,'1-Input'!$B$12,0))-MIN(MAX(T898,0),MAX(0,P891-IF($A899&gt;='1-Input'!$C$12,'1-Input'!$B$12,0))))*(1/(1-'P-Parametri'!$B$6*P899))),MAX(0,0*P891-(T898-MIN(MAX(T898,0),MAX(0,P891-IF($A899&gt;='1-Input'!$C$12,'1-Input'!$B$12,0)))))*(1/(1-'P-Parametri'!$B$6*P899))))</f>
        <v>20408.531641284189</v>
      </c>
      <c r="R899" s="18">
        <f>IF($A899&gt;'1-Input'!$B$26,T898,(T898-MAX(0,P891-IF($A899&gt;='1-Input'!$C$12,'1-Input'!$B$12,0))+Q899*(1-'P-Parametri'!$B$6*P899))*(1+'1-Input'!$B$27))</f>
        <v>-3.6248820833861826E-12</v>
      </c>
      <c r="S899" s="18">
        <f>IF($A899&gt;'1-Input'!$B$26,U898,(U898-Q899)*(1+'5-Roberta'!$C$4))</f>
        <v>385984.06377457257</v>
      </c>
      <c r="T899" s="18">
        <f>IF($A899&gt;'1-Input'!$B$26,R899,R899-'P-Parametri'!$B$8*(S899+R899)+MIN(MAX(S899,0),'P-Parametri'!$B$8*(S899+R899)))</f>
        <v>-3.637978807091713E-12</v>
      </c>
      <c r="U899" s="18">
        <f>IF($A899&gt;'1-Input'!$B$26,S899,S899-MIN(MAX(S899,0),'P-Parametri'!$B$8*(S899+R899)))</f>
        <v>385212.09564702341</v>
      </c>
      <c r="V899" s="18">
        <f>IF($A899&gt;'1-Input'!$B$26,V898,V898-Q899*(1-P899))</f>
        <v>326507.61871892383</v>
      </c>
      <c r="W899" s="11">
        <f>IF($A899&gt;'1-Input'!$B$26,0,IF(AB898&lt;=0,0,MAX(0,(AB898-AC898)/AB898)))</f>
        <v>0.12871312874486057</v>
      </c>
      <c r="X899" s="18">
        <f>IF($A899&gt;'1-Input'!$B$26,0,(MAX(0,W891-IF($A899&gt;='1-Input'!$C$12,'1-Input'!$B$12,0))-MIN(MAX(AA898,0),MAX(0,W891-IF($A899&gt;='1-Input'!$C$12,'1-Input'!$B$12,0))))*(1/(1-'P-Parametri'!$B$6*W899))+MIN(MAX(0,AB898-(MAX(0,W891-IF($A899&gt;='1-Input'!$C$12,'1-Input'!$B$12,0))-MIN(MAX(AA898,0),MAX(0,W891-IF($A899&gt;='1-Input'!$C$12,'1-Input'!$B$12,0))))*(1/(1-'P-Parametri'!$B$6*W899))),MAX(0,0*W891-(AA898-MIN(MAX(AA898,0),MAX(0,W891-IF($A899&gt;='1-Input'!$C$12,'1-Input'!$B$12,0)))))*(1/(1-'P-Parametri'!$B$6*W899))))</f>
        <v>20169.857380257439</v>
      </c>
      <c r="Y899" s="18">
        <f>IF($A899&gt;'1-Input'!$B$26,AA898,(AA898-MAX(0,W891-IF($A899&gt;='1-Input'!$C$12,'1-Input'!$B$12,0))+X899*(1-'P-Parametri'!$B$6*W899))*(1+'1-Input'!$B$27))</f>
        <v>0</v>
      </c>
      <c r="Z899" s="18">
        <f>IF($A899&gt;'1-Input'!$B$26,AB898,(AB898-X899)*(1+'5-Roberta'!$C$4))</f>
        <v>387538.94423242117</v>
      </c>
      <c r="AA899" s="18">
        <f>IF($A899&gt;'1-Input'!$B$26,Y899,Y899-'P-Parametri'!$B$8*(Z899+Y899)+MIN(MAX(Z899,0),'P-Parametri'!$B$8*(Z899+Y899)))</f>
        <v>0</v>
      </c>
      <c r="AB899" s="18">
        <f>IF($A899&gt;'1-Input'!$B$26,Z899,Z899-MIN(MAX(Z899,0),'P-Parametri'!$B$8*(Z899+Y899)))</f>
        <v>386763.86634395632</v>
      </c>
      <c r="AC899" s="18">
        <f>IF($A899&gt;'1-Input'!$B$26,AC898,AC898-X899*(1-W899))</f>
        <v>327822.90699979244</v>
      </c>
      <c r="AD899" s="11">
        <f>IF($A899&gt;'1-Input'!$B$26,0,IF(AI898&lt;=0,0,MAX(0,(AI898-AJ898)/AI898)))</f>
        <v>0.12871312874486002</v>
      </c>
      <c r="AE899" s="18">
        <f>IF($A899&gt;'1-Input'!$B$26,0,(MAX(0,AD891-IF($A899&gt;='1-Input'!$C$12,'1-Input'!$B$12,0))-MIN(MAX(AH898,0),MAX(0,AD891-IF($A899&gt;='1-Input'!$C$12,'1-Input'!$B$12,0))))*(1/(1-'P-Parametri'!$B$6*AD899))+MIN(MAX(0,AI898-(MAX(0,AD891-IF($A899&gt;='1-Input'!$C$12,'1-Input'!$B$12,0))-MIN(MAX(AH898,0),MAX(0,AD891-IF($A899&gt;='1-Input'!$C$12,'1-Input'!$B$12,0))))*(1/(1-'P-Parametri'!$B$6*AD899))),MAX(0,0*AD891-(AH898-MIN(MAX(AH898,0),MAX(0,AD891-IF($A899&gt;='1-Input'!$C$12,'1-Input'!$B$12,0)))))*(1/(1-'P-Parametri'!$B$6*AD899))))</f>
        <v>20166.93001996927</v>
      </c>
      <c r="AF899" s="18">
        <f>IF($A899&gt;'1-Input'!$B$26,AH898,(AH898-MAX(0,AD891-IF($A899&gt;='1-Input'!$C$12,'1-Input'!$B$12,0))+AE899*(1-'P-Parametri'!$B$6*AD899))*(1+'1-Input'!$B$27))</f>
        <v>0</v>
      </c>
      <c r="AG899" s="18">
        <f>IF($A899&gt;'1-Input'!$B$26,AI898,(AI898-AE899)*(1+'5-Roberta'!$C$4))</f>
        <v>387558.01497463486</v>
      </c>
      <c r="AH899" s="18">
        <f>IF($A899&gt;'1-Input'!$B$26,AF899,AF899-'P-Parametri'!$B$8*(AG899+AF899)+MIN(MAX(AG899,0),'P-Parametri'!$B$8*(AG899+AF899)))</f>
        <v>0</v>
      </c>
      <c r="AI899" s="18">
        <f>IF($A899&gt;'1-Input'!$B$26,AG899,AG899-MIN(MAX(AG899,0),'P-Parametri'!$B$8*(AG899+AF899)))</f>
        <v>386782.89894468558</v>
      </c>
      <c r="AJ899" s="18">
        <f>IF($A899&gt;'1-Input'!$B$26,AJ898,AJ898-AE899*(1-AD899))</f>
        <v>327839.03912340035</v>
      </c>
      <c r="AK899" s="11">
        <f>IF($A899&gt;'1-Input'!$B$26,0,IF(AP898&lt;=0,0,MAX(0,(AP898-AQ898)/AP898)))</f>
        <v>0.12871312874486004</v>
      </c>
      <c r="AL899" s="18">
        <f>IF($A899&gt;'1-Input'!$B$26,0,(MAX(0,AK891-IF($A899&gt;='1-Input'!$C$12,'1-Input'!$B$12,0))-MIN(MAX(AO898,0),MAX(0,AK891-IF($A899&gt;='1-Input'!$C$12,'1-Input'!$B$12,0))))*(1/(1-'P-Parametri'!$B$6*AK899))+MIN(MAX(0,AP898-(MAX(0,AK891-IF($A899&gt;='1-Input'!$C$12,'1-Input'!$B$12,0))-MIN(MAX(AO898,0),MAX(0,AK891-IF($A899&gt;='1-Input'!$C$12,'1-Input'!$B$12,0))))*(1/(1-'P-Parametri'!$B$6*AK899))),MAX(0,0*AK891-(AO898-MIN(MAX(AO898,0),MAX(0,AK891-IF($A899&gt;='1-Input'!$C$12,'1-Input'!$B$12,0)))))*(1/(1-'P-Parametri'!$B$6*AK899))))</f>
        <v>20167.437888547323</v>
      </c>
      <c r="AM899" s="18">
        <f>IF($A899&gt;'1-Input'!$B$26,AO898,(AO898-MAX(0,AK891-IF($A899&gt;='1-Input'!$C$12,'1-Input'!$B$12,0))+AL899*(1-'P-Parametri'!$B$6*AK899))*(1+'1-Input'!$B$27))</f>
        <v>0</v>
      </c>
      <c r="AN899" s="18">
        <f>IF($A899&gt;'1-Input'!$B$26,AP898,(AP898-AL899)*(1+'5-Roberta'!$C$4))</f>
        <v>387554.70638608519</v>
      </c>
      <c r="AO899" s="18">
        <f>IF($A899&gt;'1-Input'!$B$26,AM899,AM899-'P-Parametri'!$B$8*(AN899+AM899)+MIN(MAX(AN899,0),'P-Parametri'!$B$8*(AN899+AM899)))</f>
        <v>0</v>
      </c>
      <c r="AP899" s="18">
        <f>IF($A899&gt;'1-Input'!$B$26,AN899,AN899-MIN(MAX(AN899,0),'P-Parametri'!$B$8*(AN899+AM899)))</f>
        <v>386779.59697331302</v>
      </c>
      <c r="AQ899" s="18">
        <f>IF($A899&gt;'1-Input'!$B$26,AQ898,AQ898-AL899*(1-AK899))</f>
        <v>327836.24035663746</v>
      </c>
    </row>
    <row r="900" spans="1:43">
      <c r="A900" s="10">
        <f>7</f>
        <v>7</v>
      </c>
      <c r="B900" s="11">
        <f>IF($A900&gt;'1-Input'!$B$26,0,IF(G899&lt;=0,0,MAX(0,(G899-H899)/G899)))</f>
        <v>0.15239520667048684</v>
      </c>
      <c r="C900" s="18">
        <f>IF($A900&gt;'1-Input'!$B$26,0,(MAX(0,B891-IF($A900&gt;='1-Input'!$C$12,'1-Input'!$B$12,0))-MIN(MAX(F899,0),MAX(0,B891-IF($A900&gt;='1-Input'!$C$12,'1-Input'!$B$12,0))))*(1/(1-'P-Parametri'!$B$6*B900))+MIN(MAX(0,G899-(MAX(0,B891-IF($A900&gt;='1-Input'!$C$12,'1-Input'!$B$12,0))-MIN(MAX(F899,0),MAX(0,B891-IF($A900&gt;='1-Input'!$C$12,'1-Input'!$B$12,0))))*(1/(1-'P-Parametri'!$B$6*B900))),MAX(0,0*B891-(F899-MIN(MAX(F899,0),MAX(0,B891-IF($A900&gt;='1-Input'!$C$12,'1-Input'!$B$12,0)))))*(1/(1-'P-Parametri'!$B$6*B900))))</f>
        <v>17369.273771831166</v>
      </c>
      <c r="D900" s="18">
        <f>IF($A900&gt;'1-Input'!$B$26,F899,(F899-MAX(0,B891-IF($A900&gt;='1-Input'!$C$12,'1-Input'!$B$12,0))+C900*(1-'P-Parametri'!$B$6*B900))*(1+'1-Input'!$B$27))</f>
        <v>0</v>
      </c>
      <c r="E900" s="18">
        <f>IF($A900&gt;'1-Input'!$B$26,G899,(G899-C900)*(1+'5-Roberta'!$C$4))</f>
        <v>399972.02420841146</v>
      </c>
      <c r="F900" s="18">
        <f>IF($A900&gt;'1-Input'!$B$26,D900,D900-'P-Parametri'!$B$8*(E900+D900)+MIN(MAX(E900,0),'P-Parametri'!$B$8*(E900+D900)))</f>
        <v>0</v>
      </c>
      <c r="G900" s="18">
        <f>IF($A900&gt;'1-Input'!$B$26,E900,E900-MIN(MAX(E900,0),'P-Parametri'!$B$8*(E900+D900)))</f>
        <v>399172.08015999466</v>
      </c>
      <c r="H900" s="18">
        <f>IF($A900&gt;'1-Input'!$B$26,H899,H899-C900*(1-B900))</f>
        <v>329143.88826869673</v>
      </c>
      <c r="I900" s="11">
        <f>IF($A900&gt;'1-Input'!$B$26,0,IF(N899&lt;=0,0,MAX(0,(N899-O899)/N899)))</f>
        <v>0.15239520667048681</v>
      </c>
      <c r="J900" s="18">
        <f>IF($A900&gt;'1-Input'!$B$26,0,(MAX(0,I891-IF($A900&gt;='1-Input'!$C$12,'1-Input'!$B$12,0))-MIN(MAX(M899,0),MAX(0,I891-IF($A900&gt;='1-Input'!$C$12,'1-Input'!$B$12,0))))*(1/(1-'P-Parametri'!$B$6*I900))+MIN(MAX(0,N899-(MAX(0,I891-IF($A900&gt;='1-Input'!$C$12,'1-Input'!$B$12,0))-MIN(MAX(M899,0),MAX(0,I891-IF($A900&gt;='1-Input'!$C$12,'1-Input'!$B$12,0))))*(1/(1-'P-Parametri'!$B$6*I900))),MAX(0,0*I891-(M899-MIN(MAX(M899,0),MAX(0,I891-IF($A900&gt;='1-Input'!$C$12,'1-Input'!$B$12,0)))))*(1/(1-'P-Parametri'!$B$6*I900))))</f>
        <v>22854.307594514699</v>
      </c>
      <c r="K900" s="18">
        <f>IF($A900&gt;'1-Input'!$B$26,M899,(M899-MAX(0,I891-IF($A900&gt;='1-Input'!$C$12,'1-Input'!$B$12,0))+J900*(1-'P-Parametri'!$B$6*I900))*(1+'1-Input'!$B$27))</f>
        <v>0</v>
      </c>
      <c r="L900" s="18">
        <f>IF($A900&gt;'1-Input'!$B$26,N899,(N899-J900)*(1+'5-Roberta'!$C$4))</f>
        <v>357824.95282703621</v>
      </c>
      <c r="M900" s="18">
        <f>IF($A900&gt;'1-Input'!$B$26,K900,K900-'P-Parametri'!$B$8*(L900+K900)+MIN(MAX(L900,0),'P-Parametri'!$B$8*(L900+K900)))</f>
        <v>0</v>
      </c>
      <c r="N900" s="18">
        <f>IF($A900&gt;'1-Input'!$B$26,L900,L900-MIN(MAX(L900,0),'P-Parametri'!$B$8*(L900+K900)))</f>
        <v>357109.30292138213</v>
      </c>
      <c r="O900" s="18">
        <f>IF($A900&gt;'1-Input'!$B$26,O899,O899-J900*(1-I900))</f>
        <v>294460.33513505128</v>
      </c>
      <c r="P900" s="11">
        <f>IF($A900&gt;'1-Input'!$B$26,0,IF(U899&lt;=0,0,MAX(0,(U899-V899)/U899)))</f>
        <v>0.15239520667048712</v>
      </c>
      <c r="Q900" s="18">
        <f>IF($A900&gt;'1-Input'!$B$26,0,(MAX(0,P891-IF($A900&gt;='1-Input'!$C$12,'1-Input'!$B$12,0))-MIN(MAX(T899,0),MAX(0,P891-IF($A900&gt;='1-Input'!$C$12,'1-Input'!$B$12,0))))*(1/(1-'P-Parametri'!$B$6*P900))+MIN(MAX(0,U899-(MAX(0,P891-IF($A900&gt;='1-Input'!$C$12,'1-Input'!$B$12,0))-MIN(MAX(T899,0),MAX(0,P891-IF($A900&gt;='1-Input'!$C$12,'1-Input'!$B$12,0))))*(1/(1-'P-Parametri'!$B$6*P900))),MAX(0,0*P891-(T899-MIN(MAX(T899,0),MAX(0,P891-IF($A900&gt;='1-Input'!$C$12,'1-Input'!$B$12,0)))))*(1/(1-'P-Parametri'!$B$6*P900))))</f>
        <v>20539.378424696148</v>
      </c>
      <c r="R900" s="18">
        <f>IF($A900&gt;'1-Input'!$B$26,T899,(T899-MAX(0,P891-IF($A900&gt;='1-Input'!$C$12,'1-Input'!$B$12,0))+Q900*(1-'P-Parametri'!$B$6*P900))*(1+'1-Input'!$B$27))</f>
        <v>0</v>
      </c>
      <c r="S900" s="18">
        <f>IF($A900&gt;'1-Input'!$B$26,U899,(U899-Q900)*(1+'5-Roberta'!$C$4))</f>
        <v>375612.89873899706</v>
      </c>
      <c r="T900" s="18">
        <f>IF($A900&gt;'1-Input'!$B$26,R900,R900-'P-Parametri'!$B$8*(S900+R900)+MIN(MAX(S900,0),'P-Parametri'!$B$8*(S900+R900)))</f>
        <v>0</v>
      </c>
      <c r="U900" s="18">
        <f>IF($A900&gt;'1-Input'!$B$26,S900,S900-MIN(MAX(S900,0),'P-Parametri'!$B$8*(S900+R900)))</f>
        <v>374861.67294151906</v>
      </c>
      <c r="V900" s="18">
        <f>IF($A900&gt;'1-Input'!$B$26,V899,V899-Q900*(1-P900))</f>
        <v>309098.3431141426</v>
      </c>
      <c r="W900" s="11">
        <f>IF($A900&gt;'1-Input'!$B$26,0,IF(AB899&lt;=0,0,MAX(0,(AB899-AC899)/AB899)))</f>
        <v>0.15239520667048714</v>
      </c>
      <c r="X900" s="18">
        <f>IF($A900&gt;'1-Input'!$B$26,0,(MAX(0,W891-IF($A900&gt;='1-Input'!$C$12,'1-Input'!$B$12,0))-MIN(MAX(AA899,0),MAX(0,W891-IF($A900&gt;='1-Input'!$C$12,'1-Input'!$B$12,0))))*(1/(1-'P-Parametri'!$B$6*W900))+MIN(MAX(0,AB899-(MAX(0,W891-IF($A900&gt;='1-Input'!$C$12,'1-Input'!$B$12,0))-MIN(MAX(AA899,0),MAX(0,W891-IF($A900&gt;='1-Input'!$C$12,'1-Input'!$B$12,0))))*(1/(1-'P-Parametri'!$B$6*W900))),MAX(0,0*W891-(AA899-MIN(MAX(AA899,0),MAX(0,W891-IF($A900&gt;='1-Input'!$C$12,'1-Input'!$B$12,0)))))*(1/(1-'P-Parametri'!$B$6*W900))))</f>
        <v>20299.173933083111</v>
      </c>
      <c r="Y900" s="18">
        <f>IF($A900&gt;'1-Input'!$B$26,AA899,(AA899-MAX(0,W891-IF($A900&gt;='1-Input'!$C$12,'1-Input'!$B$12,0))+X900*(1-'P-Parametri'!$B$6*W900))*(1+'1-Input'!$B$27))</f>
        <v>0</v>
      </c>
      <c r="Z900" s="18">
        <f>IF($A900&gt;'1-Input'!$B$26,AB899,(AB899-X900)*(1+'5-Roberta'!$C$4))</f>
        <v>377458.63318319939</v>
      </c>
      <c r="AA900" s="18">
        <f>IF($A900&gt;'1-Input'!$B$26,Y900,Y900-'P-Parametri'!$B$8*(Z900+Y900)+MIN(MAX(Z900,0),'P-Parametri'!$B$8*(Z900+Y900)))</f>
        <v>0</v>
      </c>
      <c r="AB900" s="18">
        <f>IF($A900&gt;'1-Input'!$B$26,Z900,Z900-MIN(MAX(Z900,0),'P-Parametri'!$B$8*(Z900+Y900)))</f>
        <v>376703.71591683297</v>
      </c>
      <c r="AC900" s="18">
        <f>IF($A900&gt;'1-Input'!$B$26,AC899,AC899-X900*(1-W900))</f>
        <v>310617.22987348167</v>
      </c>
      <c r="AD900" s="11">
        <f>IF($A900&gt;'1-Input'!$B$26,0,IF(AI899&lt;=0,0,MAX(0,(AI899-AJ899)/AI899)))</f>
        <v>0.15239520667048645</v>
      </c>
      <c r="AE900" s="18">
        <f>IF($A900&gt;'1-Input'!$B$26,0,(MAX(0,AD891-IF($A900&gt;='1-Input'!$C$12,'1-Input'!$B$12,0))-MIN(MAX(AH899,0),MAX(0,AD891-IF($A900&gt;='1-Input'!$C$12,'1-Input'!$B$12,0))))*(1/(1-'P-Parametri'!$B$6*AD900))+MIN(MAX(0,AI899-(MAX(0,AD891-IF($A900&gt;='1-Input'!$C$12,'1-Input'!$B$12,0))-MIN(MAX(AH899,0),MAX(0,AD891-IF($A900&gt;='1-Input'!$C$12,'1-Input'!$B$12,0))))*(1/(1-'P-Parametri'!$B$6*AD900))),MAX(0,0*AD891-(AH899-MIN(MAX(AH899,0),MAX(0,AD891-IF($A900&gt;='1-Input'!$C$12,'1-Input'!$B$12,0)))))*(1/(1-'P-Parametri'!$B$6*AD900))))</f>
        <v>20296.227804385519</v>
      </c>
      <c r="AF900" s="18">
        <f>IF($A900&gt;'1-Input'!$B$26,AH899,(AH899-MAX(0,AD891-IF($A900&gt;='1-Input'!$C$12,'1-Input'!$B$12,0))+AE900*(1-'P-Parametri'!$B$6*AD900))*(1+'1-Input'!$B$27))</f>
        <v>0</v>
      </c>
      <c r="AG900" s="18">
        <f>IF($A900&gt;'1-Input'!$B$26,AI899,(AI899-AE900)*(1+'5-Roberta'!$C$4))</f>
        <v>377481.27127450908</v>
      </c>
      <c r="AH900" s="18">
        <f>IF($A900&gt;'1-Input'!$B$26,AF900,AF900-'P-Parametri'!$B$8*(AG900+AF900)+MIN(MAX(AG900,0),'P-Parametri'!$B$8*(AG900+AF900)))</f>
        <v>0</v>
      </c>
      <c r="AI900" s="18">
        <f>IF($A900&gt;'1-Input'!$B$26,AG900,AG900-MIN(MAX(AG900,0),'P-Parametri'!$B$8*(AG900+AF900)))</f>
        <v>376726.30873196007</v>
      </c>
      <c r="AJ900" s="18">
        <f>IF($A900&gt;'1-Input'!$B$26,AJ899,AJ899-AE900*(1-AD900))</f>
        <v>310635.85914989543</v>
      </c>
      <c r="AK900" s="11">
        <f>IF($A900&gt;'1-Input'!$B$26,0,IF(AP899&lt;=0,0,MAX(0,(AP899-AQ899)/AP899)))</f>
        <v>0.15239520667048664</v>
      </c>
      <c r="AL900" s="18">
        <f>IF($A900&gt;'1-Input'!$B$26,0,(MAX(0,AK891-IF($A900&gt;='1-Input'!$C$12,'1-Input'!$B$12,0))-MIN(MAX(AO899,0),MAX(0,AK891-IF($A900&gt;='1-Input'!$C$12,'1-Input'!$B$12,0))))*(1/(1-'P-Parametri'!$B$6*AK900))+MIN(MAX(0,AP899-(MAX(0,AK891-IF($A900&gt;='1-Input'!$C$12,'1-Input'!$B$12,0))-MIN(MAX(AO899,0),MAX(0,AK891-IF($A900&gt;='1-Input'!$C$12,'1-Input'!$B$12,0))))*(1/(1-'P-Parametri'!$B$6*AK900))),MAX(0,0*AK891-(AO899-MIN(MAX(AO899,0),MAX(0,AK891-IF($A900&gt;='1-Input'!$C$12,'1-Input'!$B$12,0)))))*(1/(1-'P-Parametri'!$B$6*AK900))))</f>
        <v>20296.73892910032</v>
      </c>
      <c r="AM900" s="18">
        <f>IF($A900&gt;'1-Input'!$B$26,AO899,(AO899-MAX(0,AK891-IF($A900&gt;='1-Input'!$C$12,'1-Input'!$B$12,0))+AL900*(1-'P-Parametri'!$B$6*AK900))*(1+'1-Input'!$B$27))</f>
        <v>0</v>
      </c>
      <c r="AN900" s="18">
        <f>IF($A900&gt;'1-Input'!$B$26,AP899,(AP899-AL900)*(1+'5-Roberta'!$C$4))</f>
        <v>377477.34378553909</v>
      </c>
      <c r="AO900" s="18">
        <f>IF($A900&gt;'1-Input'!$B$26,AM900,AM900-'P-Parametri'!$B$8*(AN900+AM900)+MIN(MAX(AN900,0),'P-Parametri'!$B$8*(AN900+AM900)))</f>
        <v>0</v>
      </c>
      <c r="AP900" s="18">
        <f>IF($A900&gt;'1-Input'!$B$26,AN900,AN900-MIN(MAX(AN900,0),'P-Parametri'!$B$8*(AN900+AM900)))</f>
        <v>376722.389097968</v>
      </c>
      <c r="AQ900" s="18">
        <f>IF($A900&gt;'1-Input'!$B$26,AQ899,AQ899-AL900*(1-AK900))</f>
        <v>310632.6271513743</v>
      </c>
    </row>
    <row r="901" spans="1:43">
      <c r="A901" s="10">
        <f>8</f>
        <v>8</v>
      </c>
      <c r="B901" s="11">
        <f>IF($A901&gt;'1-Input'!$B$26,0,IF(G900&lt;=0,0,MAX(0,(G900-H900)/G900)))</f>
        <v>0.17543359210701684</v>
      </c>
      <c r="C901" s="18">
        <f>IF($A901&gt;'1-Input'!$B$26,0,(MAX(0,B891-IF($A901&gt;='1-Input'!$C$12,'1-Input'!$B$12,0))-MIN(MAX(F900,0),MAX(0,B891-IF($A901&gt;='1-Input'!$C$12,'1-Input'!$B$12,0))))*(1/(1-'P-Parametri'!$B$6*B901))+MIN(MAX(0,G900-(MAX(0,B891-IF($A901&gt;='1-Input'!$C$12,'1-Input'!$B$12,0))-MIN(MAX(F900,0),MAX(0,B891-IF($A901&gt;='1-Input'!$C$12,'1-Input'!$B$12,0))))*(1/(1-'P-Parametri'!$B$6*B901))),MAX(0,0*B891-(F900-MIN(MAX(F900,0),MAX(0,B891-IF($A901&gt;='1-Input'!$C$12,'1-Input'!$B$12,0)))))*(1/(1-'P-Parametri'!$B$6*B901))))</f>
        <v>17478.287806193195</v>
      </c>
      <c r="D901" s="18">
        <f>IF($A901&gt;'1-Input'!$B$26,F900,(F900-MAX(0,B891-IF($A901&gt;='1-Input'!$C$12,'1-Input'!$B$12,0))+C901*(1-'P-Parametri'!$B$6*B901))*(1+'1-Input'!$B$27))</f>
        <v>0</v>
      </c>
      <c r="E901" s="18">
        <f>IF($A901&gt;'1-Input'!$B$26,G900,(G900-C901)*(1+'5-Roberta'!$C$4))</f>
        <v>393144.60612441553</v>
      </c>
      <c r="F901" s="18">
        <f>IF($A901&gt;'1-Input'!$B$26,D901,D901-'P-Parametri'!$B$8*(E901+D901)+MIN(MAX(E901,0),'P-Parametri'!$B$8*(E901+D901)))</f>
        <v>0</v>
      </c>
      <c r="G901" s="18">
        <f>IF($A901&gt;'1-Input'!$B$26,E901,E901-MIN(MAX(E901,0),'P-Parametri'!$B$8*(E901+D901)))</f>
        <v>392358.31691216672</v>
      </c>
      <c r="H901" s="18">
        <f>IF($A901&gt;'1-Input'!$B$26,H900,H900-C901*(1-B901))</f>
        <v>314731.8792762243</v>
      </c>
      <c r="I901" s="11">
        <f>IF($A901&gt;'1-Input'!$B$26,0,IF(N900&lt;=0,0,MAX(0,(N900-O900)/N900)))</f>
        <v>0.17543359210701678</v>
      </c>
      <c r="J901" s="18">
        <f>IF($A901&gt;'1-Input'!$B$26,0,(MAX(0,I891-IF($A901&gt;='1-Input'!$C$12,'1-Input'!$B$12,0))-MIN(MAX(M900,0),MAX(0,I891-IF($A901&gt;='1-Input'!$C$12,'1-Input'!$B$12,0))))*(1/(1-'P-Parametri'!$B$6*I901))+MIN(MAX(0,N900-(MAX(0,I891-IF($A901&gt;='1-Input'!$C$12,'1-Input'!$B$12,0))-MIN(MAX(M900,0),MAX(0,I891-IF($A901&gt;='1-Input'!$C$12,'1-Input'!$B$12,0))))*(1/(1-'P-Parametri'!$B$6*I901))),MAX(0,0*I891-(M900-MIN(MAX(M900,0),MAX(0,I891-IF($A901&gt;='1-Input'!$C$12,'1-Input'!$B$12,0)))))*(1/(1-'P-Parametri'!$B$6*I901))))</f>
        <v>22997.747113412101</v>
      </c>
      <c r="K901" s="18">
        <f>IF($A901&gt;'1-Input'!$B$26,M900,(M900-MAX(0,I891-IF($A901&gt;='1-Input'!$C$12,'1-Input'!$B$12,0))+J901*(1-'P-Parametri'!$B$6*I901))*(1+'1-Input'!$B$27))</f>
        <v>-3.6248820833861826E-12</v>
      </c>
      <c r="L901" s="18">
        <f>IF($A901&gt;'1-Input'!$B$26,N900,(N900-J901)*(1+'5-Roberta'!$C$4))</f>
        <v>344134.90248220909</v>
      </c>
      <c r="M901" s="18">
        <f>IF($A901&gt;'1-Input'!$B$26,K901,K901-'P-Parametri'!$B$8*(L901+K901)+MIN(MAX(L901,0),'P-Parametri'!$B$8*(L901+K901)))</f>
        <v>-3.637978807091713E-12</v>
      </c>
      <c r="N901" s="18">
        <f>IF($A901&gt;'1-Input'!$B$26,L901,L901-MIN(MAX(L901,0),'P-Parametri'!$B$8*(L901+K901)))</f>
        <v>343446.63267724466</v>
      </c>
      <c r="O901" s="18">
        <f>IF($A901&gt;'1-Input'!$B$26,O900,O900-J901*(1-I901))</f>
        <v>275497.16540811385</v>
      </c>
      <c r="P901" s="11">
        <f>IF($A901&gt;'1-Input'!$B$26,0,IF(U900&lt;=0,0,MAX(0,(U900-V900)/U900)))</f>
        <v>0.17543359210701701</v>
      </c>
      <c r="Q901" s="18">
        <f>IF($A901&gt;'1-Input'!$B$26,0,(MAX(0,P891-IF($A901&gt;='1-Input'!$C$12,'1-Input'!$B$12,0))-MIN(MAX(T900,0),MAX(0,P891-IF($A901&gt;='1-Input'!$C$12,'1-Input'!$B$12,0))))*(1/(1-'P-Parametri'!$B$6*P901))+MIN(MAX(0,U900-(MAX(0,P891-IF($A901&gt;='1-Input'!$C$12,'1-Input'!$B$12,0))-MIN(MAX(T900,0),MAX(0,P891-IF($A901&gt;='1-Input'!$C$12,'1-Input'!$B$12,0))))*(1/(1-'P-Parametri'!$B$6*P901))),MAX(0,0*P891-(T900-MIN(MAX(T900,0),MAX(0,P891-IF($A901&gt;='1-Input'!$C$12,'1-Input'!$B$12,0)))))*(1/(1-'P-Parametri'!$B$6*P901))))</f>
        <v>20668.288852085214</v>
      </c>
      <c r="R901" s="18">
        <f>IF($A901&gt;'1-Input'!$B$26,T900,(T900-MAX(0,P891-IF($A901&gt;='1-Input'!$C$12,'1-Input'!$B$12,0))+Q901*(1-'P-Parametri'!$B$6*P901))*(1+'1-Input'!$B$27))</f>
        <v>0</v>
      </c>
      <c r="S901" s="18">
        <f>IF($A901&gt;'1-Input'!$B$26,U900,(U900-Q901)*(1+'5-Roberta'!$C$4))</f>
        <v>364819.18561211682</v>
      </c>
      <c r="T901" s="18">
        <f>IF($A901&gt;'1-Input'!$B$26,R901,R901-'P-Parametri'!$B$8*(S901+R901)+MIN(MAX(S901,0),'P-Parametri'!$B$8*(S901+R901)))</f>
        <v>0</v>
      </c>
      <c r="U901" s="18">
        <f>IF($A901&gt;'1-Input'!$B$26,S901,S901-MIN(MAX(S901,0),'P-Parametri'!$B$8*(S901+R901)))</f>
        <v>364089.5472408926</v>
      </c>
      <c r="V901" s="18">
        <f>IF($A901&gt;'1-Input'!$B$26,V900,V900-Q901*(1-P901))</f>
        <v>292055.96641808411</v>
      </c>
      <c r="W901" s="11">
        <f>IF($A901&gt;'1-Input'!$B$26,0,IF(AB900&lt;=0,0,MAX(0,(AB900-AC900)/AB900)))</f>
        <v>0.17543359210701703</v>
      </c>
      <c r="X901" s="18">
        <f>IF($A901&gt;'1-Input'!$B$26,0,(MAX(0,W891-IF($A901&gt;='1-Input'!$C$12,'1-Input'!$B$12,0))-MIN(MAX(AA900,0),MAX(0,W891-IF($A901&gt;='1-Input'!$C$12,'1-Input'!$B$12,0))))*(1/(1-'P-Parametri'!$B$6*W901))+MIN(MAX(0,AB900-(MAX(0,W891-IF($A901&gt;='1-Input'!$C$12,'1-Input'!$B$12,0))-MIN(MAX(AA900,0),MAX(0,W891-IF($A901&gt;='1-Input'!$C$12,'1-Input'!$B$12,0))))*(1/(1-'P-Parametri'!$B$6*W901))),MAX(0,0*W891-(AA900-MIN(MAX(AA900,0),MAX(0,W891-IF($A901&gt;='1-Input'!$C$12,'1-Input'!$B$12,0)))))*(1/(1-'P-Parametri'!$B$6*W901))))</f>
        <v>20426.576775235942</v>
      </c>
      <c r="Y901" s="18">
        <f>IF($A901&gt;'1-Input'!$B$26,AA900,(AA900-MAX(0,W891-IF($A901&gt;='1-Input'!$C$12,'1-Input'!$B$12,0))+X901*(1-'P-Parametri'!$B$6*W901))*(1+'1-Input'!$B$27))</f>
        <v>0</v>
      </c>
      <c r="Z901" s="18">
        <f>IF($A901&gt;'1-Input'!$B$26,AB900,(AB900-X901)*(1+'5-Roberta'!$C$4))</f>
        <v>366965.45331584493</v>
      </c>
      <c r="AA901" s="18">
        <f>IF($A901&gt;'1-Input'!$B$26,Y901,Y901-'P-Parametri'!$B$8*(Z901+Y901)+MIN(MAX(Z901,0),'P-Parametri'!$B$8*(Z901+Y901)))</f>
        <v>0</v>
      </c>
      <c r="AB901" s="18">
        <f>IF($A901&gt;'1-Input'!$B$26,Z901,Z901-MIN(MAX(Z901,0),'P-Parametri'!$B$8*(Z901+Y901)))</f>
        <v>366231.52240921324</v>
      </c>
      <c r="AC901" s="18">
        <f>IF($A901&gt;'1-Input'!$B$26,AC900,AC900-X901*(1-W901))</f>
        <v>293774.16083637514</v>
      </c>
      <c r="AD901" s="11">
        <f>IF($A901&gt;'1-Input'!$B$26,0,IF(AI900&lt;=0,0,MAX(0,(AI900-AJ900)/AI900)))</f>
        <v>0.17543359210701648</v>
      </c>
      <c r="AE901" s="18">
        <f>IF($A901&gt;'1-Input'!$B$26,0,(MAX(0,AD891-IF($A901&gt;='1-Input'!$C$12,'1-Input'!$B$12,0))-MIN(MAX(AH900,0),MAX(0,AD891-IF($A901&gt;='1-Input'!$C$12,'1-Input'!$B$12,0))))*(1/(1-'P-Parametri'!$B$6*AD901))+MIN(MAX(0,AI900-(MAX(0,AD891-IF($A901&gt;='1-Input'!$C$12,'1-Input'!$B$12,0))-MIN(MAX(AH900,0),MAX(0,AD891-IF($A901&gt;='1-Input'!$C$12,'1-Input'!$B$12,0))))*(1/(1-'P-Parametri'!$B$6*AD901))),MAX(0,0*AD891-(AH900-MIN(MAX(AH900,0),MAX(0,AD891-IF($A901&gt;='1-Input'!$C$12,'1-Input'!$B$12,0)))))*(1/(1-'P-Parametri'!$B$6*AD901))))</f>
        <v>20423.61215587609</v>
      </c>
      <c r="AF901" s="18">
        <f>IF($A901&gt;'1-Input'!$B$26,AH900,(AH900-MAX(0,AD891-IF($A901&gt;='1-Input'!$C$12,'1-Input'!$B$12,0))+AE901*(1-'P-Parametri'!$B$6*AD901))*(1+'1-Input'!$B$27))</f>
        <v>0</v>
      </c>
      <c r="AG901" s="18">
        <f>IF($A901&gt;'1-Input'!$B$26,AI900,(AI900-AE901)*(1+'5-Roberta'!$C$4))</f>
        <v>366991.77747336653</v>
      </c>
      <c r="AH901" s="18">
        <f>IF($A901&gt;'1-Input'!$B$26,AF901,AF901-'P-Parametri'!$B$8*(AG901+AF901)+MIN(MAX(AG901,0),'P-Parametri'!$B$8*(AG901+AF901)))</f>
        <v>0</v>
      </c>
      <c r="AI901" s="18">
        <f>IF($A901&gt;'1-Input'!$B$26,AG901,AG901-MIN(MAX(AG901,0),'P-Parametri'!$B$8*(AG901+AF901)))</f>
        <v>366257.7939184198</v>
      </c>
      <c r="AJ901" s="18">
        <f>IF($A901&gt;'1-Input'!$B$26,AJ900,AJ900-AE901*(1-AD901))</f>
        <v>293795.23463832523</v>
      </c>
      <c r="AK901" s="11">
        <f>IF($A901&gt;'1-Input'!$B$26,0,IF(AP900&lt;=0,0,MAX(0,(AP900-AQ900)/AP900)))</f>
        <v>0.17543359210701656</v>
      </c>
      <c r="AL901" s="18">
        <f>IF($A901&gt;'1-Input'!$B$26,0,(MAX(0,AK891-IF($A901&gt;='1-Input'!$C$12,'1-Input'!$B$12,0))-MIN(MAX(AO900,0),MAX(0,AK891-IF($A901&gt;='1-Input'!$C$12,'1-Input'!$B$12,0))))*(1/(1-'P-Parametri'!$B$6*AK901))+MIN(MAX(0,AP900-(MAX(0,AK891-IF($A901&gt;='1-Input'!$C$12,'1-Input'!$B$12,0))-MIN(MAX(AO900,0),MAX(0,AK891-IF($A901&gt;='1-Input'!$C$12,'1-Input'!$B$12,0))))*(1/(1-'P-Parametri'!$B$6*AK901))),MAX(0,0*AK891-(AO900-MIN(MAX(AO900,0),MAX(0,AK891-IF($A901&gt;='1-Input'!$C$12,'1-Input'!$B$12,0)))))*(1/(1-'P-Parametri'!$B$6*AK901))))</f>
        <v>20424.126488541198</v>
      </c>
      <c r="AM901" s="18">
        <f>IF($A901&gt;'1-Input'!$B$26,AO900,(AO900-MAX(0,AK891-IF($A901&gt;='1-Input'!$C$12,'1-Input'!$B$12,0))+AL901*(1-'P-Parametri'!$B$6*AK901))*(1+'1-Input'!$B$27))</f>
        <v>0</v>
      </c>
      <c r="AN901" s="18">
        <f>IF($A901&gt;'1-Input'!$B$26,AP900,(AP900-AL901)*(1+'5-Roberta'!$C$4))</f>
        <v>366987.21048770961</v>
      </c>
      <c r="AO901" s="18">
        <f>IF($A901&gt;'1-Input'!$B$26,AM901,AM901-'P-Parametri'!$B$8*(AN901+AM901)+MIN(MAX(AN901,0),'P-Parametri'!$B$8*(AN901+AM901)))</f>
        <v>0</v>
      </c>
      <c r="AP901" s="18">
        <f>IF($A901&gt;'1-Input'!$B$26,AN901,AN901-MIN(MAX(AN901,0),'P-Parametri'!$B$8*(AN901+AM901)))</f>
        <v>366253.23606673419</v>
      </c>
      <c r="AQ901" s="18">
        <f>IF($A901&gt;'1-Input'!$B$26,AQ900,AQ900-AL901*(1-AK901))</f>
        <v>293791.57853836595</v>
      </c>
    </row>
    <row r="902" spans="1:43">
      <c r="A902" s="10">
        <f>9</f>
        <v>9</v>
      </c>
      <c r="B902" s="11">
        <f>IF($A902&gt;'1-Input'!$B$26,0,IF(G901&lt;=0,0,MAX(0,(G901-H901)/G901)))</f>
        <v>0.19784578098626074</v>
      </c>
      <c r="C902" s="18">
        <f>IF($A902&gt;'1-Input'!$B$26,0,(MAX(0,B891-IF($A902&gt;='1-Input'!$C$12,'1-Input'!$B$12,0))-MIN(MAX(F901,0),MAX(0,B891-IF($A902&gt;='1-Input'!$C$12,'1-Input'!$B$12,0))))*(1/(1-'P-Parametri'!$B$6*B902))+MIN(MAX(0,G901-(MAX(0,B891-IF($A902&gt;='1-Input'!$C$12,'1-Input'!$B$12,0))-MIN(MAX(F901,0),MAX(0,B891-IF($A902&gt;='1-Input'!$C$12,'1-Input'!$B$12,0))))*(1/(1-'P-Parametri'!$B$6*B902))),MAX(0,0*B891-(F901-MIN(MAX(F901,0),MAX(0,B891-IF($A902&gt;='1-Input'!$C$12,'1-Input'!$B$12,0)))))*(1/(1-'P-Parametri'!$B$6*B902))))</f>
        <v>17585.659958051267</v>
      </c>
      <c r="D902" s="18">
        <f>IF($A902&gt;'1-Input'!$B$26,F901,(F901-MAX(0,B891-IF($A902&gt;='1-Input'!$C$12,'1-Input'!$B$12,0))+C902*(1-'P-Parametri'!$B$6*B902))*(1+'1-Input'!$B$27))</f>
        <v>3.6248820833861826E-12</v>
      </c>
      <c r="E902" s="18">
        <f>IF($A902&gt;'1-Input'!$B$26,G901,(G901-C902)*(1+'5-Roberta'!$C$4))</f>
        <v>386015.83666273893</v>
      </c>
      <c r="F902" s="18">
        <f>IF($A902&gt;'1-Input'!$B$26,D902,D902-'P-Parametri'!$B$8*(E902+D902)+MIN(MAX(E902,0),'P-Parametri'!$B$8*(E902+D902)))</f>
        <v>3.637978807091713E-12</v>
      </c>
      <c r="G902" s="18">
        <f>IF($A902&gt;'1-Input'!$B$26,E902,E902-MIN(MAX(E902,0),'P-Parametri'!$B$8*(E902+D902)))</f>
        <v>385243.80498941347</v>
      </c>
      <c r="H902" s="18">
        <f>IF($A902&gt;'1-Input'!$B$26,H901,H901-C902*(1-B902))</f>
        <v>300625.46794673247</v>
      </c>
      <c r="I902" s="11">
        <f>IF($A902&gt;'1-Input'!$B$26,0,IF(N901&lt;=0,0,MAX(0,(N901-O901)/N901)))</f>
        <v>0.19784578098626052</v>
      </c>
      <c r="J902" s="18">
        <f>IF($A902&gt;'1-Input'!$B$26,0,(MAX(0,I891-IF($A902&gt;='1-Input'!$C$12,'1-Input'!$B$12,0))-MIN(MAX(M901,0),MAX(0,I891-IF($A902&gt;='1-Input'!$C$12,'1-Input'!$B$12,0))))*(1/(1-'P-Parametri'!$B$6*I902))+MIN(MAX(0,N901-(MAX(0,I891-IF($A902&gt;='1-Input'!$C$12,'1-Input'!$B$12,0))-MIN(MAX(M901,0),MAX(0,I891-IF($A902&gt;='1-Input'!$C$12,'1-Input'!$B$12,0))))*(1/(1-'P-Parametri'!$B$6*I902))),MAX(0,0*I891-(M901-MIN(MAX(M901,0),MAX(0,I891-IF($A902&gt;='1-Input'!$C$12,'1-Input'!$B$12,0)))))*(1/(1-'P-Parametri'!$B$6*I902))))</f>
        <v>23139.026260593775</v>
      </c>
      <c r="K902" s="18">
        <f>IF($A902&gt;'1-Input'!$B$26,M901,(M901-MAX(0,I891-IF($A902&gt;='1-Input'!$C$12,'1-Input'!$B$12,0))+J902*(1-'P-Parametri'!$B$6*I902))*(1+'1-Input'!$B$27))</f>
        <v>0</v>
      </c>
      <c r="L902" s="18">
        <f>IF($A902&gt;'1-Input'!$B$26,N901,(N901-J902)*(1+'5-Roberta'!$C$4))</f>
        <v>329916.83460915042</v>
      </c>
      <c r="M902" s="18">
        <f>IF($A902&gt;'1-Input'!$B$26,K902,K902-'P-Parametri'!$B$8*(L902+K902)+MIN(MAX(L902,0),'P-Parametri'!$B$8*(L902+K902)))</f>
        <v>0</v>
      </c>
      <c r="N902" s="18">
        <f>IF($A902&gt;'1-Input'!$B$26,L902,L902-MIN(MAX(L902,0),'P-Parametri'!$B$8*(L902+K902)))</f>
        <v>329257.00093993213</v>
      </c>
      <c r="O902" s="18">
        <f>IF($A902&gt;'1-Input'!$B$26,O901,O901-J902*(1-I902))</f>
        <v>256936.09786930884</v>
      </c>
      <c r="P902" s="11">
        <f>IF($A902&gt;'1-Input'!$B$26,0,IF(U901&lt;=0,0,MAX(0,(U901-V901)/U901)))</f>
        <v>0.19784578098626079</v>
      </c>
      <c r="Q902" s="18">
        <f>IF($A902&gt;'1-Input'!$B$26,0,(MAX(0,P891-IF($A902&gt;='1-Input'!$C$12,'1-Input'!$B$12,0))-MIN(MAX(T901,0),MAX(0,P891-IF($A902&gt;='1-Input'!$C$12,'1-Input'!$B$12,0))))*(1/(1-'P-Parametri'!$B$6*P902))+MIN(MAX(0,U901-(MAX(0,P891-IF($A902&gt;='1-Input'!$C$12,'1-Input'!$B$12,0))-MIN(MAX(T901,0),MAX(0,P891-IF($A902&gt;='1-Input'!$C$12,'1-Input'!$B$12,0))))*(1/(1-'P-Parametri'!$B$6*P902))),MAX(0,0*P891-(T901-MIN(MAX(T901,0),MAX(0,P891-IF($A902&gt;='1-Input'!$C$12,'1-Input'!$B$12,0)))))*(1/(1-'P-Parametri'!$B$6*P902))))</f>
        <v>20795.257733355505</v>
      </c>
      <c r="R902" s="18">
        <f>IF($A902&gt;'1-Input'!$B$26,T901,(T901-MAX(0,P891-IF($A902&gt;='1-Input'!$C$12,'1-Input'!$B$12,0))+Q902*(1-'P-Parametri'!$B$6*P902))*(1+'1-Input'!$B$27))</f>
        <v>0</v>
      </c>
      <c r="S902" s="18">
        <f>IF($A902&gt;'1-Input'!$B$26,U901,(U901-Q902)*(1+'5-Roberta'!$C$4))</f>
        <v>353593.11819276318</v>
      </c>
      <c r="T902" s="18">
        <f>IF($A902&gt;'1-Input'!$B$26,R902,R902-'P-Parametri'!$B$8*(S902+R902)+MIN(MAX(S902,0),'P-Parametri'!$B$8*(S902+R902)))</f>
        <v>0</v>
      </c>
      <c r="U902" s="18">
        <f>IF($A902&gt;'1-Input'!$B$26,S902,S902-MIN(MAX(S902,0),'P-Parametri'!$B$8*(S902+R902)))</f>
        <v>352885.93195637764</v>
      </c>
      <c r="V902" s="18">
        <f>IF($A902&gt;'1-Input'!$B$26,V901,V901-Q902*(1-P902))</f>
        <v>275374.96269179491</v>
      </c>
      <c r="W902" s="11">
        <f>IF($A902&gt;'1-Input'!$B$26,0,IF(AB901&lt;=0,0,MAX(0,(AB901-AC901)/AB901)))</f>
        <v>0.19784578098626088</v>
      </c>
      <c r="X902" s="18">
        <f>IF($A902&gt;'1-Input'!$B$26,0,(MAX(0,W891-IF($A902&gt;='1-Input'!$C$12,'1-Input'!$B$12,0))-MIN(MAX(AA901,0),MAX(0,W891-IF($A902&gt;='1-Input'!$C$12,'1-Input'!$B$12,0))))*(1/(1-'P-Parametri'!$B$6*W902))+MIN(MAX(0,AB901-(MAX(0,W891-IF($A902&gt;='1-Input'!$C$12,'1-Input'!$B$12,0))-MIN(MAX(AA901,0),MAX(0,W891-IF($A902&gt;='1-Input'!$C$12,'1-Input'!$B$12,0))))*(1/(1-'P-Parametri'!$B$6*W902))),MAX(0,0*W891-(AA901-MIN(MAX(AA901,0),MAX(0,W891-IF($A902&gt;='1-Input'!$C$12,'1-Input'!$B$12,0)))))*(1/(1-'P-Parametri'!$B$6*W902))))</f>
        <v>20552.060777317314</v>
      </c>
      <c r="Y902" s="18">
        <f>IF($A902&gt;'1-Input'!$B$26,AA901,(AA901-MAX(0,W891-IF($A902&gt;='1-Input'!$C$12,'1-Input'!$B$12,0))+X902*(1-'P-Parametri'!$B$6*W902))*(1+'1-Input'!$B$27))</f>
        <v>0</v>
      </c>
      <c r="Z902" s="18">
        <f>IF($A902&gt;'1-Input'!$B$26,AB901,(AB901-X902)*(1+'5-Roberta'!$C$4))</f>
        <v>356049.84548085282</v>
      </c>
      <c r="AA902" s="18">
        <f>IF($A902&gt;'1-Input'!$B$26,Y902,Y902-'P-Parametri'!$B$8*(Z902+Y902)+MIN(MAX(Z902,0),'P-Parametri'!$B$8*(Z902+Y902)))</f>
        <v>0</v>
      </c>
      <c r="AB902" s="18">
        <f>IF($A902&gt;'1-Input'!$B$26,Z902,Z902-MIN(MAX(Z902,0),'P-Parametri'!$B$8*(Z902+Y902)))</f>
        <v>355337.74578989111</v>
      </c>
      <c r="AC902" s="18">
        <f>IF($A902&gt;'1-Input'!$B$26,AC901,AC901-X902*(1-W902))</f>
        <v>277288.23857442325</v>
      </c>
      <c r="AD902" s="11">
        <f>IF($A902&gt;'1-Input'!$B$26,0,IF(AI901&lt;=0,0,MAX(0,(AI901-AJ901)/AI901)))</f>
        <v>0.19784578098626038</v>
      </c>
      <c r="AE902" s="18">
        <f>IF($A902&gt;'1-Input'!$B$26,0,(MAX(0,AD891-IF($A902&gt;='1-Input'!$C$12,'1-Input'!$B$12,0))-MIN(MAX(AH901,0),MAX(0,AD891-IF($A902&gt;='1-Input'!$C$12,'1-Input'!$B$12,0))))*(1/(1-'P-Parametri'!$B$6*AD902))+MIN(MAX(0,AI901-(MAX(0,AD891-IF($A902&gt;='1-Input'!$C$12,'1-Input'!$B$12,0))-MIN(MAX(AH901,0),MAX(0,AD891-IF($A902&gt;='1-Input'!$C$12,'1-Input'!$B$12,0))))*(1/(1-'P-Parametri'!$B$6*AD902))),MAX(0,0*AD891-(AH901-MIN(MAX(AH901,0),MAX(0,AD891-IF($A902&gt;='1-Input'!$C$12,'1-Input'!$B$12,0)))))*(1/(1-'P-Parametri'!$B$6*AD902))))</f>
        <v>20549.077945786812</v>
      </c>
      <c r="AF902" s="18">
        <f>IF($A902&gt;'1-Input'!$B$26,AH901,(AH901-MAX(0,AD891-IF($A902&gt;='1-Input'!$C$12,'1-Input'!$B$12,0))+AE902*(1-'P-Parametri'!$B$6*AD902))*(1+'1-Input'!$B$27))</f>
        <v>0</v>
      </c>
      <c r="AG902" s="18">
        <f>IF($A902&gt;'1-Input'!$B$26,AI901,(AI901-AE902)*(1+'5-Roberta'!$C$4))</f>
        <v>356079.97745181201</v>
      </c>
      <c r="AH902" s="18">
        <f>IF($A902&gt;'1-Input'!$B$26,AF902,AF902-'P-Parametri'!$B$8*(AG902+AF902)+MIN(MAX(AG902,0),'P-Parametri'!$B$8*(AG902+AF902)))</f>
        <v>0</v>
      </c>
      <c r="AI902" s="18">
        <f>IF($A902&gt;'1-Input'!$B$26,AG902,AG902-MIN(MAX(AG902,0),'P-Parametri'!$B$8*(AG902+AF902)))</f>
        <v>355367.81749690836</v>
      </c>
      <c r="AJ902" s="18">
        <f>IF($A902&gt;'1-Input'!$B$26,AJ901,AJ901-AE902*(1-AD902))</f>
        <v>277311.70506727014</v>
      </c>
      <c r="AK902" s="11">
        <f>IF($A902&gt;'1-Input'!$B$26,0,IF(AP901&lt;=0,0,MAX(0,(AP901-AQ901)/AP901)))</f>
        <v>0.19784578098626043</v>
      </c>
      <c r="AL902" s="18">
        <f>IF($A902&gt;'1-Input'!$B$26,0,(MAX(0,AK891-IF($A902&gt;='1-Input'!$C$12,'1-Input'!$B$12,0))-MIN(MAX(AO901,0),MAX(0,AK891-IF($A902&gt;='1-Input'!$C$12,'1-Input'!$B$12,0))))*(1/(1-'P-Parametri'!$B$6*AK902))+MIN(MAX(0,AP901-(MAX(0,AK891-IF($A902&gt;='1-Input'!$C$12,'1-Input'!$B$12,0))-MIN(MAX(AO901,0),MAX(0,AK891-IF($A902&gt;='1-Input'!$C$12,'1-Input'!$B$12,0))))*(1/(1-'P-Parametri'!$B$6*AK902))),MAX(0,0*AK891-(AO901-MIN(MAX(AO901,0),MAX(0,AK891-IF($A902&gt;='1-Input'!$C$12,'1-Input'!$B$12,0)))))*(1/(1-'P-Parametri'!$B$6*AK902))))</f>
        <v>20549.595438086646</v>
      </c>
      <c r="AM902" s="18">
        <f>IF($A902&gt;'1-Input'!$B$26,AO901,(AO901-MAX(0,AK891-IF($A902&gt;='1-Input'!$C$12,'1-Input'!$B$12,0))+AL902*(1-'P-Parametri'!$B$6*AK902))*(1+'1-Input'!$B$27))</f>
        <v>0</v>
      </c>
      <c r="AN902" s="18">
        <f>IF($A902&gt;'1-Input'!$B$26,AP901,(AP901-AL902)*(1+'5-Roberta'!$C$4))</f>
        <v>356074.74984750699</v>
      </c>
      <c r="AO902" s="18">
        <f>IF($A902&gt;'1-Input'!$B$26,AM902,AM902-'P-Parametri'!$B$8*(AN902+AM902)+MIN(MAX(AN902,0),'P-Parametri'!$B$8*(AN902+AM902)))</f>
        <v>0</v>
      </c>
      <c r="AP902" s="18">
        <f>IF($A902&gt;'1-Input'!$B$26,AN902,AN902-MIN(MAX(AN902,0),'P-Parametri'!$B$8*(AN902+AM902)))</f>
        <v>355362.600347812</v>
      </c>
      <c r="AQ902" s="18">
        <f>IF($A902&gt;'1-Input'!$B$26,AQ901,AQ901-AL902*(1-AK902))</f>
        <v>277307.63385867927</v>
      </c>
    </row>
    <row r="903" spans="1:43">
      <c r="A903" s="10">
        <f>10</f>
        <v>10</v>
      </c>
      <c r="B903" s="11">
        <f>IF($A903&gt;'1-Input'!$B$26,0,IF(G902&lt;=0,0,MAX(0,(G902-H902)/G902)))</f>
        <v>0.21964879369054699</v>
      </c>
      <c r="C903" s="18">
        <f>IF($A903&gt;'1-Input'!$B$26,0,(MAX(0,B891-IF($A903&gt;='1-Input'!$C$12,'1-Input'!$B$12,0))-MIN(MAX(F902,0),MAX(0,B891-IF($A903&gt;='1-Input'!$C$12,'1-Input'!$B$12,0))))*(1/(1-'P-Parametri'!$B$6*B903))+MIN(MAX(0,G902-(MAX(0,B891-IF($A903&gt;='1-Input'!$C$12,'1-Input'!$B$12,0))-MIN(MAX(F902,0),MAX(0,B891-IF($A903&gt;='1-Input'!$C$12,'1-Input'!$B$12,0))))*(1/(1-'P-Parametri'!$B$6*B903))),MAX(0,0*B891-(F902-MIN(MAX(F902,0),MAX(0,B891-IF($A903&gt;='1-Input'!$C$12,'1-Input'!$B$12,0)))))*(1/(1-'P-Parametri'!$B$6*B903))))</f>
        <v>17691.387197344149</v>
      </c>
      <c r="D903" s="18">
        <f>IF($A903&gt;'1-Input'!$B$26,F902,(F902-MAX(0,B891-IF($A903&gt;='1-Input'!$C$12,'1-Input'!$B$12,0))+C903*(1-'P-Parametri'!$B$6*B903))*(1+'1-Input'!$B$27))</f>
        <v>3.6248820833861826E-12</v>
      </c>
      <c r="E903" s="18">
        <f>IF($A903&gt;'1-Input'!$B$26,G902,(G902-C903)*(1+'5-Roberta'!$C$4))</f>
        <v>378578.9903258314</v>
      </c>
      <c r="F903" s="18">
        <f>IF($A903&gt;'1-Input'!$B$26,D903,D903-'P-Parametri'!$B$8*(E903+D903)+MIN(MAX(E903,0),'P-Parametri'!$B$8*(E903+D903)))</f>
        <v>3.637978807091713E-12</v>
      </c>
      <c r="G903" s="18">
        <f>IF($A903&gt;'1-Input'!$B$26,E903,E903-MIN(MAX(E903,0),'P-Parametri'!$B$8*(E903+D903)))</f>
        <v>377821.83234517975</v>
      </c>
      <c r="H903" s="18">
        <f>IF($A903&gt;'1-Input'!$B$26,H902,H902-C903*(1-B903))</f>
        <v>286819.97260599735</v>
      </c>
      <c r="I903" s="11">
        <f>IF($A903&gt;'1-Input'!$B$26,0,IF(N902&lt;=0,0,MAX(0,(N902-O902)/N902)))</f>
        <v>0.21964879369054668</v>
      </c>
      <c r="J903" s="18">
        <f>IF($A903&gt;'1-Input'!$B$26,0,(MAX(0,I891-IF($A903&gt;='1-Input'!$C$12,'1-Input'!$B$12,0))-MIN(MAX(M902,0),MAX(0,I891-IF($A903&gt;='1-Input'!$C$12,'1-Input'!$B$12,0))))*(1/(1-'P-Parametri'!$B$6*I903))+MIN(MAX(0,N902-(MAX(0,I891-IF($A903&gt;='1-Input'!$C$12,'1-Input'!$B$12,0))-MIN(MAX(M902,0),MAX(0,I891-IF($A903&gt;='1-Input'!$C$12,'1-Input'!$B$12,0))))*(1/(1-'P-Parametri'!$B$6*I903))),MAX(0,0*I891-(M902-MIN(MAX(M902,0),MAX(0,I891-IF($A903&gt;='1-Input'!$C$12,'1-Input'!$B$12,0)))))*(1/(1-'P-Parametri'!$B$6*I903))))</f>
        <v>23278.141049137041</v>
      </c>
      <c r="K903" s="18">
        <f>IF($A903&gt;'1-Input'!$B$26,M902,(M902-MAX(0,I891-IF($A903&gt;='1-Input'!$C$12,'1-Input'!$B$12,0))+J903*(1-'P-Parametri'!$B$6*I903))*(1+'1-Input'!$B$27))</f>
        <v>0</v>
      </c>
      <c r="L903" s="18">
        <f>IF($A903&gt;'1-Input'!$B$26,N902,(N902-J903)*(1+'5-Roberta'!$C$4))</f>
        <v>315158.22568751895</v>
      </c>
      <c r="M903" s="18">
        <f>IF($A903&gt;'1-Input'!$B$26,K903,K903-'P-Parametri'!$B$8*(L903+K903)+MIN(MAX(L903,0),'P-Parametri'!$B$8*(L903+K903)))</f>
        <v>0</v>
      </c>
      <c r="N903" s="18">
        <f>IF($A903&gt;'1-Input'!$B$26,L903,L903-MIN(MAX(L903,0),'P-Parametri'!$B$8*(L903+K903)))</f>
        <v>314527.90923614393</v>
      </c>
      <c r="O903" s="18">
        <f>IF($A903&gt;'1-Input'!$B$26,O902,O902-J903*(1-I903))</f>
        <v>238770.97242097315</v>
      </c>
      <c r="P903" s="11">
        <f>IF($A903&gt;'1-Input'!$B$26,0,IF(U902&lt;=0,0,MAX(0,(U902-V902)/U902)))</f>
        <v>0.2196487936905468</v>
      </c>
      <c r="Q903" s="18">
        <f>IF($A903&gt;'1-Input'!$B$26,0,(MAX(0,P891-IF($A903&gt;='1-Input'!$C$12,'1-Input'!$B$12,0))-MIN(MAX(T902,0),MAX(0,P891-IF($A903&gt;='1-Input'!$C$12,'1-Input'!$B$12,0))))*(1/(1-'P-Parametri'!$B$6*P903))+MIN(MAX(0,U902-(MAX(0,P891-IF($A903&gt;='1-Input'!$C$12,'1-Input'!$B$12,0))-MIN(MAX(T902,0),MAX(0,P891-IF($A903&gt;='1-Input'!$C$12,'1-Input'!$B$12,0))))*(1/(1-'P-Parametri'!$B$6*P903))),MAX(0,0*P891-(T902-MIN(MAX(T902,0),MAX(0,P891-IF($A903&gt;='1-Input'!$C$12,'1-Input'!$B$12,0)))))*(1/(1-'P-Parametri'!$B$6*P903))))</f>
        <v>20920.281485422602</v>
      </c>
      <c r="R903" s="18">
        <f>IF($A903&gt;'1-Input'!$B$26,T902,(T902-MAX(0,P891-IF($A903&gt;='1-Input'!$C$12,'1-Input'!$B$12,0))+Q903*(1-'P-Parametri'!$B$6*P903))*(1+'1-Input'!$B$27))</f>
        <v>0</v>
      </c>
      <c r="S903" s="18">
        <f>IF($A903&gt;'1-Input'!$B$26,U902,(U902-Q903)*(1+'5-Roberta'!$C$4))</f>
        <v>341924.6199850837</v>
      </c>
      <c r="T903" s="18">
        <f>IF($A903&gt;'1-Input'!$B$26,R903,R903-'P-Parametri'!$B$8*(S903+R903)+MIN(MAX(S903,0),'P-Parametri'!$B$8*(S903+R903)))</f>
        <v>0</v>
      </c>
      <c r="U903" s="18">
        <f>IF($A903&gt;'1-Input'!$B$26,S903,S903-MIN(MAX(S903,0),'P-Parametri'!$B$8*(S903+R903)))</f>
        <v>341240.77074511355</v>
      </c>
      <c r="V903" s="18">
        <f>IF($A903&gt;'1-Input'!$B$26,V902,V902-Q903*(1-P903))</f>
        <v>259049.79579831206</v>
      </c>
      <c r="W903" s="11">
        <f>IF($A903&gt;'1-Input'!$B$26,0,IF(AB902&lt;=0,0,MAX(0,(AB902-AC902)/AB902)))</f>
        <v>0.2196487936905471</v>
      </c>
      <c r="X903" s="18">
        <f>IF($A903&gt;'1-Input'!$B$26,0,(MAX(0,W891-IF($A903&gt;='1-Input'!$C$12,'1-Input'!$B$12,0))-MIN(MAX(AA902,0),MAX(0,W891-IF($A903&gt;='1-Input'!$C$12,'1-Input'!$B$12,0))))*(1/(1-'P-Parametri'!$B$6*W903))+MIN(MAX(0,AB902-(MAX(0,W891-IF($A903&gt;='1-Input'!$C$12,'1-Input'!$B$12,0))-MIN(MAX(AA902,0),MAX(0,W891-IF($A903&gt;='1-Input'!$C$12,'1-Input'!$B$12,0))))*(1/(1-'P-Parametri'!$B$6*W903))),MAX(0,0*W891-(AA902-MIN(MAX(AA902,0),MAX(0,W891-IF($A903&gt;='1-Input'!$C$12,'1-Input'!$B$12,0)))))*(1/(1-'P-Parametri'!$B$6*W903))))</f>
        <v>20675.622398146366</v>
      </c>
      <c r="Y903" s="18">
        <f>IF($A903&gt;'1-Input'!$B$26,AA902,(AA902-MAX(0,W891-IF($A903&gt;='1-Input'!$C$12,'1-Input'!$B$12,0))+X903*(1-'P-Parametri'!$B$6*W903))*(1+'1-Input'!$B$27))</f>
        <v>0</v>
      </c>
      <c r="Z903" s="18">
        <f>IF($A903&gt;'1-Input'!$B$26,AB902,(AB902-X903)*(1+'5-Roberta'!$C$4))</f>
        <v>344701.98709349707</v>
      </c>
      <c r="AA903" s="18">
        <f>IF($A903&gt;'1-Input'!$B$26,Y903,Y903-'P-Parametri'!$B$8*(Z903+Y903)+MIN(MAX(Z903,0),'P-Parametri'!$B$8*(Z903+Y903)))</f>
        <v>0</v>
      </c>
      <c r="AB903" s="18">
        <f>IF($A903&gt;'1-Input'!$B$26,Z903,Z903-MIN(MAX(Z903,0),'P-Parametri'!$B$8*(Z903+Y903)))</f>
        <v>344012.58311931009</v>
      </c>
      <c r="AC903" s="18">
        <f>IF($A903&gt;'1-Input'!$B$26,AC902,AC902-X903*(1-W903))</f>
        <v>261153.991694831</v>
      </c>
      <c r="AD903" s="11">
        <f>IF($A903&gt;'1-Input'!$B$26,0,IF(AI902&lt;=0,0,MAX(0,(AI902-AJ902)/AI902)))</f>
        <v>0.21964879369054655</v>
      </c>
      <c r="AE903" s="18">
        <f>IF($A903&gt;'1-Input'!$B$26,0,(MAX(0,AD891-IF($A903&gt;='1-Input'!$C$12,'1-Input'!$B$12,0))-MIN(MAX(AH902,0),MAX(0,AD891-IF($A903&gt;='1-Input'!$C$12,'1-Input'!$B$12,0))))*(1/(1-'P-Parametri'!$B$6*AD903))+MIN(MAX(0,AI902-(MAX(0,AD891-IF($A903&gt;='1-Input'!$C$12,'1-Input'!$B$12,0))-MIN(MAX(AH902,0),MAX(0,AD891-IF($A903&gt;='1-Input'!$C$12,'1-Input'!$B$12,0))))*(1/(1-'P-Parametri'!$B$6*AD903))),MAX(0,0*AD891-(AH902-MIN(MAX(AH902,0),MAX(0,AD891-IF($A903&gt;='1-Input'!$C$12,'1-Input'!$B$12,0)))))*(1/(1-'P-Parametri'!$B$6*AD903))))</f>
        <v>20672.621633450788</v>
      </c>
      <c r="AF903" s="18">
        <f>IF($A903&gt;'1-Input'!$B$26,AH902,(AH902-MAX(0,AD891-IF($A903&gt;='1-Input'!$C$12,'1-Input'!$B$12,0))+AE903*(1-'P-Parametri'!$B$6*AD903))*(1+'1-Input'!$B$27))</f>
        <v>0</v>
      </c>
      <c r="AG903" s="18">
        <f>IF($A903&gt;'1-Input'!$B$26,AI902,(AI902-AE903)*(1+'5-Roberta'!$C$4))</f>
        <v>344736.05173936131</v>
      </c>
      <c r="AH903" s="18">
        <f>IF($A903&gt;'1-Input'!$B$26,AF903,AF903-'P-Parametri'!$B$8*(AG903+AF903)+MIN(MAX(AG903,0),'P-Parametri'!$B$8*(AG903+AF903)))</f>
        <v>0</v>
      </c>
      <c r="AI903" s="18">
        <f>IF($A903&gt;'1-Input'!$B$26,AG903,AG903-MIN(MAX(AG903,0),'P-Parametri'!$B$8*(AG903+AF903)))</f>
        <v>344046.57963588258</v>
      </c>
      <c r="AJ903" s="18">
        <f>IF($A903&gt;'1-Input'!$B$26,AJ902,AJ902-AE903*(1-AD903))</f>
        <v>261179.79983802792</v>
      </c>
      <c r="AK903" s="11">
        <f>IF($A903&gt;'1-Input'!$B$26,0,IF(AP902&lt;=0,0,MAX(0,(AP902-AQ902)/AP902)))</f>
        <v>0.21964879369054663</v>
      </c>
      <c r="AL903" s="18">
        <f>IF($A903&gt;'1-Input'!$B$26,0,(MAX(0,AK891-IF($A903&gt;='1-Input'!$C$12,'1-Input'!$B$12,0))-MIN(MAX(AO902,0),MAX(0,AK891-IF($A903&gt;='1-Input'!$C$12,'1-Input'!$B$12,0))))*(1/(1-'P-Parametri'!$B$6*AK903))+MIN(MAX(0,AP902-(MAX(0,AK891-IF($A903&gt;='1-Input'!$C$12,'1-Input'!$B$12,0))-MIN(MAX(AO902,0),MAX(0,AK891-IF($A903&gt;='1-Input'!$C$12,'1-Input'!$B$12,0))))*(1/(1-'P-Parametri'!$B$6*AK903))),MAX(0,0*AK891-(AO902-MIN(MAX(AO902,0),MAX(0,AK891-IF($A903&gt;='1-Input'!$C$12,'1-Input'!$B$12,0)))))*(1/(1-'P-Parametri'!$B$6*AK903))))</f>
        <v>20673.142236980584</v>
      </c>
      <c r="AM903" s="18">
        <f>IF($A903&gt;'1-Input'!$B$26,AO902,(AO902-MAX(0,AK891-IF($A903&gt;='1-Input'!$C$12,'1-Input'!$B$12,0))+AL903*(1-'P-Parametri'!$B$6*AK903))*(1+'1-Input'!$B$27))</f>
        <v>0</v>
      </c>
      <c r="AN903" s="18">
        <f>IF($A903&gt;'1-Input'!$B$26,AP902,(AP902-AL903)*(1+'5-Roberta'!$C$4))</f>
        <v>344730.14185415633</v>
      </c>
      <c r="AO903" s="18">
        <f>IF($A903&gt;'1-Input'!$B$26,AM903,AM903-'P-Parametri'!$B$8*(AN903+AM903)+MIN(MAX(AN903,0),'P-Parametri'!$B$8*(AN903+AM903)))</f>
        <v>0</v>
      </c>
      <c r="AP903" s="18">
        <f>IF($A903&gt;'1-Input'!$B$26,AN903,AN903-MIN(MAX(AN903,0),'P-Parametri'!$B$8*(AN903+AM903)))</f>
        <v>344040.68157044804</v>
      </c>
      <c r="AQ903" s="18">
        <f>IF($A903&gt;'1-Input'!$B$26,AQ902,AQ902-AL903*(1-AK903))</f>
        <v>261175.32237584455</v>
      </c>
    </row>
    <row r="904" spans="1:43">
      <c r="A904" s="10">
        <f>11</f>
        <v>11</v>
      </c>
      <c r="B904" s="11">
        <f>IF($A904&gt;'1-Input'!$B$26,0,IF(G903&lt;=0,0,MAX(0,(G903-H903)/G903)))</f>
        <v>0.2408591879784297</v>
      </c>
      <c r="C904" s="18">
        <f>IF($A904&gt;'1-Input'!$B$26,0,(MAX(0,B891-IF($A904&gt;='1-Input'!$C$12,'1-Input'!$B$12,0))-MIN(MAX(F903,0),MAX(0,B891-IF($A904&gt;='1-Input'!$C$12,'1-Input'!$B$12,0))))*(1/(1-'P-Parametri'!$B$6*B904))+MIN(MAX(0,G903-(MAX(0,B891-IF($A904&gt;='1-Input'!$C$12,'1-Input'!$B$12,0))-MIN(MAX(F903,0),MAX(0,B891-IF($A904&gt;='1-Input'!$C$12,'1-Input'!$B$12,0))))*(1/(1-'P-Parametri'!$B$6*B904))),MAX(0,0*B891-(F903-MIN(MAX(F903,0),MAX(0,B891-IF($A904&gt;='1-Input'!$C$12,'1-Input'!$B$12,0)))))*(1/(1-'P-Parametri'!$B$6*B904))))</f>
        <v>17795.467815860131</v>
      </c>
      <c r="D904" s="18">
        <f>IF($A904&gt;'1-Input'!$B$26,F903,(F903-MAX(0,B891-IF($A904&gt;='1-Input'!$C$12,'1-Input'!$B$12,0))+C904*(1-'P-Parametri'!$B$6*B904))*(1+'1-Input'!$B$27))</f>
        <v>0</v>
      </c>
      <c r="E904" s="18">
        <f>IF($A904&gt;'1-Input'!$B$26,G903,(G903-C904)*(1+'5-Roberta'!$C$4))</f>
        <v>370827.1554651992</v>
      </c>
      <c r="F904" s="18">
        <f>IF($A904&gt;'1-Input'!$B$26,D904,D904-'P-Parametri'!$B$8*(E904+D904)+MIN(MAX(E904,0),'P-Parametri'!$B$8*(E904+D904)))</f>
        <v>0</v>
      </c>
      <c r="G904" s="18">
        <f>IF($A904&gt;'1-Input'!$B$26,E904,E904-MIN(MAX(E904,0),'P-Parametri'!$B$8*(E904+D904)))</f>
        <v>370085.5011542688</v>
      </c>
      <c r="H904" s="18">
        <f>IF($A904&gt;'1-Input'!$B$26,H903,H903-C904*(1-B904))</f>
        <v>273310.70671796158</v>
      </c>
      <c r="I904" s="11">
        <f>IF($A904&gt;'1-Input'!$B$26,0,IF(N903&lt;=0,0,MAX(0,(N903-O903)/N903)))</f>
        <v>0.24085918797842942</v>
      </c>
      <c r="J904" s="18">
        <f>IF($A904&gt;'1-Input'!$B$26,0,(MAX(0,I891-IF($A904&gt;='1-Input'!$C$12,'1-Input'!$B$12,0))-MIN(MAX(M903,0),MAX(0,I891-IF($A904&gt;='1-Input'!$C$12,'1-Input'!$B$12,0))))*(1/(1-'P-Parametri'!$B$6*I904))+MIN(MAX(0,N903-(MAX(0,I891-IF($A904&gt;='1-Input'!$C$12,'1-Input'!$B$12,0))-MIN(MAX(M903,0),MAX(0,I891-IF($A904&gt;='1-Input'!$C$12,'1-Input'!$B$12,0))))*(1/(1-'P-Parametri'!$B$6*I904))),MAX(0,0*I891-(M903-MIN(MAX(M903,0),MAX(0,I891-IF($A904&gt;='1-Input'!$C$12,'1-Input'!$B$12,0)))))*(1/(1-'P-Parametri'!$B$6*I904))))</f>
        <v>23415.089231394915</v>
      </c>
      <c r="K904" s="18">
        <f>IF($A904&gt;'1-Input'!$B$26,M903,(M903-MAX(0,I891-IF($A904&gt;='1-Input'!$C$12,'1-Input'!$B$12,0))+J904*(1-'P-Parametri'!$B$6*I904))*(1+'1-Input'!$B$27))</f>
        <v>0</v>
      </c>
      <c r="L904" s="18">
        <f>IF($A904&gt;'1-Input'!$B$26,N903,(N903-J904)*(1+'5-Roberta'!$C$4))</f>
        <v>299846.20460489148</v>
      </c>
      <c r="M904" s="18">
        <f>IF($A904&gt;'1-Input'!$B$26,K904,K904-'P-Parametri'!$B$8*(L904+K904)+MIN(MAX(L904,0),'P-Parametri'!$B$8*(L904+K904)))</f>
        <v>0</v>
      </c>
      <c r="N904" s="18">
        <f>IF($A904&gt;'1-Input'!$B$26,L904,L904-MIN(MAX(L904,0),'P-Parametri'!$B$8*(L904+K904)))</f>
        <v>299246.51219568169</v>
      </c>
      <c r="O904" s="18">
        <f>IF($A904&gt;'1-Input'!$B$26,O903,O903-J904*(1-I904))</f>
        <v>220995.62256829449</v>
      </c>
      <c r="P904" s="11">
        <f>IF($A904&gt;'1-Input'!$B$26,0,IF(U903&lt;=0,0,MAX(0,(U903-V903)/U903)))</f>
        <v>0.24085918797842956</v>
      </c>
      <c r="Q904" s="18">
        <f>IF($A904&gt;'1-Input'!$B$26,0,(MAX(0,P891-IF($A904&gt;='1-Input'!$C$12,'1-Input'!$B$12,0))-MIN(MAX(T903,0),MAX(0,P891-IF($A904&gt;='1-Input'!$C$12,'1-Input'!$B$12,0))))*(1/(1-'P-Parametri'!$B$6*P904))+MIN(MAX(0,U903-(MAX(0,P891-IF($A904&gt;='1-Input'!$C$12,'1-Input'!$B$12,0))-MIN(MAX(T903,0),MAX(0,P891-IF($A904&gt;='1-Input'!$C$12,'1-Input'!$B$12,0))))*(1/(1-'P-Parametri'!$B$6*P904))),MAX(0,0*P891-(T903-MIN(MAX(T903,0),MAX(0,P891-IF($A904&gt;='1-Input'!$C$12,'1-Input'!$B$12,0)))))*(1/(1-'P-Parametri'!$B$6*P904))))</f>
        <v>21043.358088305285</v>
      </c>
      <c r="R904" s="18">
        <f>IF($A904&gt;'1-Input'!$B$26,T903,(T903-MAX(0,P891-IF($A904&gt;='1-Input'!$C$12,'1-Input'!$B$12,0))+Q904*(1-'P-Parametri'!$B$6*P904))*(1+'1-Input'!$B$27))</f>
        <v>0</v>
      </c>
      <c r="S904" s="18">
        <f>IF($A904&gt;'1-Input'!$B$26,U903,(U903-Q904)*(1+'5-Roberta'!$C$4))</f>
        <v>329803.33503651252</v>
      </c>
      <c r="T904" s="18">
        <f>IF($A904&gt;'1-Input'!$B$26,R904,R904-'P-Parametri'!$B$8*(S904+R904)+MIN(MAX(S904,0),'P-Parametri'!$B$8*(S904+R904)))</f>
        <v>0</v>
      </c>
      <c r="U904" s="18">
        <f>IF($A904&gt;'1-Input'!$B$26,S904,S904-MIN(MAX(S904,0),'P-Parametri'!$B$8*(S904+R904)))</f>
        <v>329143.72836643952</v>
      </c>
      <c r="V904" s="18">
        <f>IF($A904&gt;'1-Input'!$B$26,V903,V903-Q904*(1-P904))</f>
        <v>243074.92385149529</v>
      </c>
      <c r="W904" s="11">
        <f>IF($A904&gt;'1-Input'!$B$26,0,IF(AB903&lt;=0,0,MAX(0,(AB903-AC903)/AB903)))</f>
        <v>0.24085918797842973</v>
      </c>
      <c r="X904" s="18">
        <f>IF($A904&gt;'1-Input'!$B$26,0,(MAX(0,W891-IF($A904&gt;='1-Input'!$C$12,'1-Input'!$B$12,0))-MIN(MAX(AA903,0),MAX(0,W891-IF($A904&gt;='1-Input'!$C$12,'1-Input'!$B$12,0))))*(1/(1-'P-Parametri'!$B$6*W904))+MIN(MAX(0,AB903-(MAX(0,W891-IF($A904&gt;='1-Input'!$C$12,'1-Input'!$B$12,0))-MIN(MAX(AA903,0),MAX(0,W891-IF($A904&gt;='1-Input'!$C$12,'1-Input'!$B$12,0))))*(1/(1-'P-Parametri'!$B$6*W904))),MAX(0,0*W891-(AA903-MIN(MAX(AA903,0),MAX(0,W891-IF($A904&gt;='1-Input'!$C$12,'1-Input'!$B$12,0)))))*(1/(1-'P-Parametri'!$B$6*W904))))</f>
        <v>20797.259641365203</v>
      </c>
      <c r="Y904" s="18">
        <f>IF($A904&gt;'1-Input'!$B$26,AA903,(AA903-MAX(0,W891-IF($A904&gt;='1-Input'!$C$12,'1-Input'!$B$12,0))+X904*(1-'P-Parametri'!$B$6*W904))*(1+'1-Input'!$B$27))</f>
        <v>0</v>
      </c>
      <c r="Z904" s="18">
        <f>IF($A904&gt;'1-Input'!$B$26,AB903,(AB903-X904)*(1+'5-Roberta'!$C$4))</f>
        <v>332911.78318228322</v>
      </c>
      <c r="AA904" s="18">
        <f>IF($A904&gt;'1-Input'!$B$26,Y904,Y904-'P-Parametri'!$B$8*(Z904+Y904)+MIN(MAX(Z904,0),'P-Parametri'!$B$8*(Z904+Y904)))</f>
        <v>0</v>
      </c>
      <c r="AB904" s="18">
        <f>IF($A904&gt;'1-Input'!$B$26,Z904,Z904-MIN(MAX(Z904,0),'P-Parametri'!$B$8*(Z904+Y904)))</f>
        <v>332245.95961591863</v>
      </c>
      <c r="AC904" s="18">
        <f>IF($A904&gt;'1-Input'!$B$26,AC903,AC903-X904*(1-W904))</f>
        <v>245365.94312286159</v>
      </c>
      <c r="AD904" s="11">
        <f>IF($A904&gt;'1-Input'!$B$26,0,IF(AI903&lt;=0,0,MAX(0,(AI903-AJ903)/AI903)))</f>
        <v>0.24085918797842923</v>
      </c>
      <c r="AE904" s="18">
        <f>IF($A904&gt;'1-Input'!$B$26,0,(MAX(0,AD891-IF($A904&gt;='1-Input'!$C$12,'1-Input'!$B$12,0))-MIN(MAX(AH903,0),MAX(0,AD891-IF($A904&gt;='1-Input'!$C$12,'1-Input'!$B$12,0))))*(1/(1-'P-Parametri'!$B$6*AD904))+MIN(MAX(0,AI903-(MAX(0,AD891-IF($A904&gt;='1-Input'!$C$12,'1-Input'!$B$12,0))-MIN(MAX(AH903,0),MAX(0,AD891-IF($A904&gt;='1-Input'!$C$12,'1-Input'!$B$12,0))))*(1/(1-'P-Parametri'!$B$6*AD904))),MAX(0,0*AD891-(AH903-MIN(MAX(AH903,0),MAX(0,AD891-IF($A904&gt;='1-Input'!$C$12,'1-Input'!$B$12,0)))))*(1/(1-'P-Parametri'!$B$6*AD904))))</f>
        <v>20794.241222799861</v>
      </c>
      <c r="AF904" s="18">
        <f>IF($A904&gt;'1-Input'!$B$26,AH903,(AH903-MAX(0,AD891-IF($A904&gt;='1-Input'!$C$12,'1-Input'!$B$12,0))+AE904*(1-'P-Parametri'!$B$6*AD904))*(1+'1-Input'!$B$27))</f>
        <v>0</v>
      </c>
      <c r="AG904" s="18">
        <f>IF($A904&gt;'1-Input'!$B$26,AI903,(AI903-AE904)*(1+'5-Roberta'!$C$4))</f>
        <v>332949.9085654752</v>
      </c>
      <c r="AH904" s="18">
        <f>IF($A904&gt;'1-Input'!$B$26,AF904,AF904-'P-Parametri'!$B$8*(AG904+AF904)+MIN(MAX(AG904,0),'P-Parametri'!$B$8*(AG904+AF904)))</f>
        <v>0</v>
      </c>
      <c r="AI904" s="18">
        <f>IF($A904&gt;'1-Input'!$B$26,AG904,AG904-MIN(MAX(AG904,0),'P-Parametri'!$B$8*(AG904+AF904)))</f>
        <v>332284.00874834426</v>
      </c>
      <c r="AJ904" s="18">
        <f>IF($A904&gt;'1-Input'!$B$26,AJ903,AJ903-AE904*(1-AD904))</f>
        <v>245394.04267077922</v>
      </c>
      <c r="AK904" s="11">
        <f>IF($A904&gt;'1-Input'!$B$26,0,IF(AP903&lt;=0,0,MAX(0,(AP903-AQ903)/AP903)))</f>
        <v>0.24085918797842931</v>
      </c>
      <c r="AL904" s="18">
        <f>IF($A904&gt;'1-Input'!$B$26,0,(MAX(0,AK891-IF($A904&gt;='1-Input'!$C$12,'1-Input'!$B$12,0))-MIN(MAX(AO903,0),MAX(0,AK891-IF($A904&gt;='1-Input'!$C$12,'1-Input'!$B$12,0))))*(1/(1-'P-Parametri'!$B$6*AK904))+MIN(MAX(0,AP903-(MAX(0,AK891-IF($A904&gt;='1-Input'!$C$12,'1-Input'!$B$12,0))-MIN(MAX(AO903,0),MAX(0,AK891-IF($A904&gt;='1-Input'!$C$12,'1-Input'!$B$12,0))))*(1/(1-'P-Parametri'!$B$6*AK904))),MAX(0,0*AK891-(AO903-MIN(MAX(AO903,0),MAX(0,AK891-IF($A904&gt;='1-Input'!$C$12,'1-Input'!$B$12,0)))))*(1/(1-'P-Parametri'!$B$6*AK904))))</f>
        <v>20794.764889104601</v>
      </c>
      <c r="AM904" s="18">
        <f>IF($A904&gt;'1-Input'!$B$26,AO903,(AO903-MAX(0,AK891-IF($A904&gt;='1-Input'!$C$12,'1-Input'!$B$12,0))+AL904*(1-'P-Parametri'!$B$6*AK904))*(1+'1-Input'!$B$27))</f>
        <v>0</v>
      </c>
      <c r="AN904" s="18">
        <f>IF($A904&gt;'1-Input'!$B$26,AP903,(AP903-AL904)*(1+'5-Roberta'!$C$4))</f>
        <v>332943.29418178374</v>
      </c>
      <c r="AO904" s="18">
        <f>IF($A904&gt;'1-Input'!$B$26,AM904,AM904-'P-Parametri'!$B$8*(AN904+AM904)+MIN(MAX(AN904,0),'P-Parametri'!$B$8*(AN904+AM904)))</f>
        <v>0</v>
      </c>
      <c r="AP904" s="18">
        <f>IF($A904&gt;'1-Input'!$B$26,AN904,AN904-MIN(MAX(AN904,0),'P-Parametri'!$B$8*(AN904+AM904)))</f>
        <v>332277.40759342018</v>
      </c>
      <c r="AQ904" s="18">
        <f>IF($A904&gt;'1-Input'!$B$26,AQ903,AQ903-AL904*(1-AK904))</f>
        <v>245389.16767213203</v>
      </c>
    </row>
    <row r="905" spans="1:43">
      <c r="A905" s="10">
        <f>12</f>
        <v>12</v>
      </c>
      <c r="B905" s="11">
        <f>IF($A905&gt;'1-Input'!$B$26,0,IF(G904&lt;=0,0,MAX(0,(G904-H904)/G904)))</f>
        <v>0.26149307155906926</v>
      </c>
      <c r="C905" s="18">
        <f>IF($A905&gt;'1-Input'!$B$26,0,(MAX(0,B891-IF($A905&gt;='1-Input'!$C$12,'1-Input'!$B$12,0))-MIN(MAX(F904,0),MAX(0,B891-IF($A905&gt;='1-Input'!$C$12,'1-Input'!$B$12,0))))*(1/(1-'P-Parametri'!$B$6*B905))+MIN(MAX(0,G904-(MAX(0,B891-IF($A905&gt;='1-Input'!$C$12,'1-Input'!$B$12,0))-MIN(MAX(F904,0),MAX(0,B891-IF($A905&gt;='1-Input'!$C$12,'1-Input'!$B$12,0))))*(1/(1-'P-Parametri'!$B$6*B905))),MAX(0,0*B891-(F904-MIN(MAX(F904,0),MAX(0,B891-IF($A905&gt;='1-Input'!$C$12,'1-Input'!$B$12,0)))))*(1/(1-'P-Parametri'!$B$6*B905))))</f>
        <v>17897.901388871509</v>
      </c>
      <c r="D905" s="18">
        <f>IF($A905&gt;'1-Input'!$B$26,F904,(F904-MAX(0,B891-IF($A905&gt;='1-Input'!$C$12,'1-Input'!$B$12,0))+C905*(1-'P-Parametri'!$B$6*B905))*(1+'1-Input'!$B$27))</f>
        <v>-3.6248820833861826E-12</v>
      </c>
      <c r="E905" s="18">
        <f>IF($A905&gt;'1-Input'!$B$26,G904,(G904-C905)*(1+'5-Roberta'!$C$4))</f>
        <v>362753.22775835922</v>
      </c>
      <c r="F905" s="18">
        <f>IF($A905&gt;'1-Input'!$B$26,D905,D905-'P-Parametri'!$B$8*(E905+D905)+MIN(MAX(E905,0),'P-Parametri'!$B$8*(E905+D905)))</f>
        <v>-3.637978807091713E-12</v>
      </c>
      <c r="G905" s="18">
        <f>IF($A905&gt;'1-Input'!$B$26,E905,E905-MIN(MAX(E905,0),'P-Parametri'!$B$8*(E905+D905)))</f>
        <v>362027.72130284249</v>
      </c>
      <c r="H905" s="18">
        <f>IF($A905&gt;'1-Input'!$B$26,H904,H904-C905*(1-B905))</f>
        <v>260092.98253772742</v>
      </c>
      <c r="I905" s="11">
        <f>IF($A905&gt;'1-Input'!$B$26,0,IF(N904&lt;=0,0,MAX(0,(N904-O904)/N904)))</f>
        <v>0.26149307155906898</v>
      </c>
      <c r="J905" s="18">
        <f>IF($A905&gt;'1-Input'!$B$26,0,(MAX(0,I891-IF($A905&gt;='1-Input'!$C$12,'1-Input'!$B$12,0))-MIN(MAX(M904,0),MAX(0,I891-IF($A905&gt;='1-Input'!$C$12,'1-Input'!$B$12,0))))*(1/(1-'P-Parametri'!$B$6*I905))+MIN(MAX(0,N904-(MAX(0,I891-IF($A905&gt;='1-Input'!$C$12,'1-Input'!$B$12,0))-MIN(MAX(M904,0),MAX(0,I891-IF($A905&gt;='1-Input'!$C$12,'1-Input'!$B$12,0))))*(1/(1-'P-Parametri'!$B$6*I905))),MAX(0,0*I891-(M904-MIN(MAX(M904,0),MAX(0,I891-IF($A905&gt;='1-Input'!$C$12,'1-Input'!$B$12,0)))))*(1/(1-'P-Parametri'!$B$6*I905))))</f>
        <v>23549.870248515148</v>
      </c>
      <c r="K905" s="18">
        <f>IF($A905&gt;'1-Input'!$B$26,M904,(M904-MAX(0,I891-IF($A905&gt;='1-Input'!$C$12,'1-Input'!$B$12,0))+J905*(1-'P-Parametri'!$B$6*I905))*(1+'1-Input'!$B$27))</f>
        <v>0</v>
      </c>
      <c r="L905" s="18">
        <f>IF($A905&gt;'1-Input'!$B$26,N904,(N904-J905)*(1+'5-Roberta'!$C$4))</f>
        <v>283967.54120558151</v>
      </c>
      <c r="M905" s="18">
        <f>IF($A905&gt;'1-Input'!$B$26,K905,K905-'P-Parametri'!$B$8*(L905+K905)+MIN(MAX(L905,0),'P-Parametri'!$B$8*(L905+K905)))</f>
        <v>0</v>
      </c>
      <c r="N905" s="18">
        <f>IF($A905&gt;'1-Input'!$B$26,L905,L905-MIN(MAX(L905,0),'P-Parametri'!$B$8*(L905+K905)))</f>
        <v>283399.60612317035</v>
      </c>
      <c r="O905" s="18">
        <f>IF($A905&gt;'1-Input'!$B$26,O904,O904-J905*(1-I905))</f>
        <v>203603.88022588112</v>
      </c>
      <c r="P905" s="11">
        <f>IF($A905&gt;'1-Input'!$B$26,0,IF(U904&lt;=0,0,MAX(0,(U904-V904)/U904)))</f>
        <v>0.26149307155906931</v>
      </c>
      <c r="Q905" s="18">
        <f>IF($A905&gt;'1-Input'!$B$26,0,(MAX(0,P891-IF($A905&gt;='1-Input'!$C$12,'1-Input'!$B$12,0))-MIN(MAX(T904,0),MAX(0,P891-IF($A905&gt;='1-Input'!$C$12,'1-Input'!$B$12,0))))*(1/(1-'P-Parametri'!$B$6*P905))+MIN(MAX(0,U904-(MAX(0,P891-IF($A905&gt;='1-Input'!$C$12,'1-Input'!$B$12,0))-MIN(MAX(T904,0),MAX(0,P891-IF($A905&gt;='1-Input'!$C$12,'1-Input'!$B$12,0))))*(1/(1-'P-Parametri'!$B$6*P905))),MAX(0,0*P891-(T904-MIN(MAX(T904,0),MAX(0,P891-IF($A905&gt;='1-Input'!$C$12,'1-Input'!$B$12,0)))))*(1/(1-'P-Parametri'!$B$6*P905))))</f>
        <v>21164.487039757845</v>
      </c>
      <c r="R905" s="18">
        <f>IF($A905&gt;'1-Input'!$B$26,T904,(T904-MAX(0,P891-IF($A905&gt;='1-Input'!$C$12,'1-Input'!$B$12,0))+Q905*(1-'P-Parametri'!$B$6*P905))*(1+'1-Input'!$B$27))</f>
        <v>-3.6248820833861826E-12</v>
      </c>
      <c r="S905" s="18">
        <f>IF($A905&gt;'1-Input'!$B$26,U904,(U904-Q905)*(1+'5-Roberta'!$C$4))</f>
        <v>317218.61856648215</v>
      </c>
      <c r="T905" s="18">
        <f>IF($A905&gt;'1-Input'!$B$26,R905,R905-'P-Parametri'!$B$8*(S905+R905)+MIN(MAX(S905,0),'P-Parametri'!$B$8*(S905+R905)))</f>
        <v>-3.637978807091713E-12</v>
      </c>
      <c r="U905" s="18">
        <f>IF($A905&gt;'1-Input'!$B$26,S905,S905-MIN(MAX(S905,0),'P-Parametri'!$B$8*(S905+R905)))</f>
        <v>316584.18132934917</v>
      </c>
      <c r="V905" s="18">
        <f>IF($A905&gt;'1-Input'!$B$26,V904,V904-Q905*(1-P905))</f>
        <v>227444.80353573585</v>
      </c>
      <c r="W905" s="11">
        <f>IF($A905&gt;'1-Input'!$B$26,0,IF(AB904&lt;=0,0,MAX(0,(AB904-AC904)/AB904)))</f>
        <v>0.26149307155906926</v>
      </c>
      <c r="X905" s="18">
        <f>IF($A905&gt;'1-Input'!$B$26,0,(MAX(0,W891-IF($A905&gt;='1-Input'!$C$12,'1-Input'!$B$12,0))-MIN(MAX(AA904,0),MAX(0,W891-IF($A905&gt;='1-Input'!$C$12,'1-Input'!$B$12,0))))*(1/(1-'P-Parametri'!$B$6*W905))+MIN(MAX(0,AB904-(MAX(0,W891-IF($A905&gt;='1-Input'!$C$12,'1-Input'!$B$12,0))-MIN(MAX(AA904,0),MAX(0,W891-IF($A905&gt;='1-Input'!$C$12,'1-Input'!$B$12,0))))*(1/(1-'P-Parametri'!$B$6*W905))),MAX(0,0*W891-(AA904-MIN(MAX(AA904,0),MAX(0,W891-IF($A905&gt;='1-Input'!$C$12,'1-Input'!$B$12,0)))))*(1/(1-'P-Parametri'!$B$6*W905))))</f>
        <v>20916.972010601807</v>
      </c>
      <c r="Y905" s="18">
        <f>IF($A905&gt;'1-Input'!$B$26,AA904,(AA904-MAX(0,W891-IF($A905&gt;='1-Input'!$C$12,'1-Input'!$B$12,0))+X905*(1-'P-Parametri'!$B$6*W905))*(1+'1-Input'!$B$27))</f>
        <v>0</v>
      </c>
      <c r="Z905" s="18">
        <f>IF($A905&gt;'1-Input'!$B$26,AB904,(AB904-X905)*(1+'5-Roberta'!$C$4))</f>
        <v>320668.8572334763</v>
      </c>
      <c r="AA905" s="18">
        <f>IF($A905&gt;'1-Input'!$B$26,Y905,Y905-'P-Parametri'!$B$8*(Z905+Y905)+MIN(MAX(Z905,0),'P-Parametri'!$B$8*(Z905+Y905)))</f>
        <v>0</v>
      </c>
      <c r="AB905" s="18">
        <f>IF($A905&gt;'1-Input'!$B$26,Z905,Z905-MIN(MAX(Z905,0),'P-Parametri'!$B$8*(Z905+Y905)))</f>
        <v>320027.51951900934</v>
      </c>
      <c r="AC905" s="18">
        <f>IF($A905&gt;'1-Input'!$B$26,AC904,AC904-X905*(1-W905))</f>
        <v>229918.61437102713</v>
      </c>
      <c r="AD905" s="11">
        <f>IF($A905&gt;'1-Input'!$B$26,0,IF(AI904&lt;=0,0,MAX(0,(AI904-AJ904)/AI904)))</f>
        <v>0.26149307155906881</v>
      </c>
      <c r="AE905" s="18">
        <f>IF($A905&gt;'1-Input'!$B$26,0,(MAX(0,AD891-IF($A905&gt;='1-Input'!$C$12,'1-Input'!$B$12,0))-MIN(MAX(AH904,0),MAX(0,AD891-IF($A905&gt;='1-Input'!$C$12,'1-Input'!$B$12,0))))*(1/(1-'P-Parametri'!$B$6*AD905))+MIN(MAX(0,AI904-(MAX(0,AD891-IF($A905&gt;='1-Input'!$C$12,'1-Input'!$B$12,0))-MIN(MAX(AH904,0),MAX(0,AD891-IF($A905&gt;='1-Input'!$C$12,'1-Input'!$B$12,0))))*(1/(1-'P-Parametri'!$B$6*AD905))),MAX(0,0*AD891-(AH904-MIN(MAX(AH904,0),MAX(0,AD891-IF($A905&gt;='1-Input'!$C$12,'1-Input'!$B$12,0)))))*(1/(1-'P-Parametri'!$B$6*AD905))))</f>
        <v>20913.936217534054</v>
      </c>
      <c r="AF905" s="18">
        <f>IF($A905&gt;'1-Input'!$B$26,AH904,(AH904-MAX(0,AD891-IF($A905&gt;='1-Input'!$C$12,'1-Input'!$B$12,0))+AE905*(1-'P-Parametri'!$B$6*AD905))*(1+'1-Input'!$B$27))</f>
        <v>0</v>
      </c>
      <c r="AG905" s="18">
        <f>IF($A905&gt;'1-Input'!$B$26,AI904,(AI904-AE905)*(1+'5-Roberta'!$C$4))</f>
        <v>320711.17470673448</v>
      </c>
      <c r="AH905" s="18">
        <f>IF($A905&gt;'1-Input'!$B$26,AF905,AF905-'P-Parametri'!$B$8*(AG905+AF905)+MIN(MAX(AG905,0),'P-Parametri'!$B$8*(AG905+AF905)))</f>
        <v>0</v>
      </c>
      <c r="AI905" s="18">
        <f>IF($A905&gt;'1-Input'!$B$26,AG905,AG905-MIN(MAX(AG905,0),'P-Parametri'!$B$8*(AG905+AF905)))</f>
        <v>320069.75235732103</v>
      </c>
      <c r="AJ905" s="18">
        <f>IF($A905&gt;'1-Input'!$B$26,AJ904,AJ904-AE905*(1-AD905))</f>
        <v>229948.95587315861</v>
      </c>
      <c r="AK905" s="11">
        <f>IF($A905&gt;'1-Input'!$B$26,0,IF(AP904&lt;=0,0,MAX(0,(AP904-AQ904)/AP904)))</f>
        <v>0.26149307155906898</v>
      </c>
      <c r="AL905" s="18">
        <f>IF($A905&gt;'1-Input'!$B$26,0,(MAX(0,AK891-IF($A905&gt;='1-Input'!$C$12,'1-Input'!$B$12,0))-MIN(MAX(AO904,0),MAX(0,AK891-IF($A905&gt;='1-Input'!$C$12,'1-Input'!$B$12,0))))*(1/(1-'P-Parametri'!$B$6*AK905))+MIN(MAX(0,AP904-(MAX(0,AK891-IF($A905&gt;='1-Input'!$C$12,'1-Input'!$B$12,0))-MIN(MAX(AO904,0),MAX(0,AK891-IF($A905&gt;='1-Input'!$C$12,'1-Input'!$B$12,0))))*(1/(1-'P-Parametri'!$B$6*AK905))),MAX(0,0*AK891-(AO904-MIN(MAX(AO904,0),MAX(0,AK891-IF($A905&gt;='1-Input'!$C$12,'1-Input'!$B$12,0)))))*(1/(1-'P-Parametri'!$B$6*AK905))))</f>
        <v>20914.462898146212</v>
      </c>
      <c r="AM905" s="18">
        <f>IF($A905&gt;'1-Input'!$B$26,AO904,(AO904-MAX(0,AK891-IF($A905&gt;='1-Input'!$C$12,'1-Input'!$B$12,0))+AL905*(1-'P-Parametri'!$B$6*AK905))*(1+'1-Input'!$B$27))</f>
        <v>0</v>
      </c>
      <c r="AN905" s="18">
        <f>IF($A905&gt;'1-Input'!$B$26,AP904,(AP904-AL905)*(1+'5-Roberta'!$C$4))</f>
        <v>320703.83303613222</v>
      </c>
      <c r="AO905" s="18">
        <f>IF($A905&gt;'1-Input'!$B$26,AM905,AM905-'P-Parametri'!$B$8*(AN905+AM905)+MIN(MAX(AN905,0),'P-Parametri'!$B$8*(AN905+AM905)))</f>
        <v>0</v>
      </c>
      <c r="AP905" s="18">
        <f>IF($A905&gt;'1-Input'!$B$26,AN905,AN905-MIN(MAX(AN905,0),'P-Parametri'!$B$8*(AN905+AM905)))</f>
        <v>320062.42537005997</v>
      </c>
      <c r="AQ905" s="18">
        <f>IF($A905&gt;'1-Input'!$B$26,AQ904,AQ904-AL905*(1-AK905))</f>
        <v>229943.69191723026</v>
      </c>
    </row>
    <row r="906" spans="1:43">
      <c r="A906" s="10">
        <f>13</f>
        <v>13</v>
      </c>
      <c r="B906" s="11">
        <f>IF($A906&gt;'1-Input'!$B$26,0,IF(G905&lt;=0,0,MAX(0,(G905-H905)/G905)))</f>
        <v>0.28156611432483336</v>
      </c>
      <c r="C906" s="18">
        <f>IF($A906&gt;'1-Input'!$B$26,0,(MAX(0,B891-IF($A906&gt;='1-Input'!$C$12,'1-Input'!$B$12,0))-MIN(MAX(F905,0),MAX(0,B891-IF($A906&gt;='1-Input'!$C$12,'1-Input'!$B$12,0))))*(1/(1-'P-Parametri'!$B$6*B906))+MIN(MAX(0,G905-(MAX(0,B891-IF($A906&gt;='1-Input'!$C$12,'1-Input'!$B$12,0))-MIN(MAX(F905,0),MAX(0,B891-IF($A906&gt;='1-Input'!$C$12,'1-Input'!$B$12,0))))*(1/(1-'P-Parametri'!$B$6*B906))),MAX(0,0*B891-(F905-MIN(MAX(F905,0),MAX(0,B891-IF($A906&gt;='1-Input'!$C$12,'1-Input'!$B$12,0)))))*(1/(1-'P-Parametri'!$B$6*B906))))</f>
        <v>17998.688735690976</v>
      </c>
      <c r="D906" s="18">
        <f>IF($A906&gt;'1-Input'!$B$26,F905,(F905-MAX(0,B891-IF($A906&gt;='1-Input'!$C$12,'1-Input'!$B$12,0))+C906*(1-'P-Parametri'!$B$6*B906))*(1+'1-Input'!$B$27))</f>
        <v>-3.6248820833861826E-12</v>
      </c>
      <c r="E906" s="18">
        <f>IF($A906&gt;'1-Input'!$B$26,G905,(G905-C906)*(1+'5-Roberta'!$C$4))</f>
        <v>354349.90354416607</v>
      </c>
      <c r="F906" s="18">
        <f>IF($A906&gt;'1-Input'!$B$26,D906,D906-'P-Parametri'!$B$8*(E906+D906)+MIN(MAX(E906,0),'P-Parametri'!$B$8*(E906+D906)))</f>
        <v>-3.637978807091713E-12</v>
      </c>
      <c r="G906" s="18">
        <f>IF($A906&gt;'1-Input'!$B$26,E906,E906-MIN(MAX(E906,0),'P-Parametri'!$B$8*(E906+D906)))</f>
        <v>353641.20373707771</v>
      </c>
      <c r="H906" s="18">
        <f>IF($A906&gt;'1-Input'!$B$26,H905,H905-C906*(1-B906))</f>
        <v>247162.1146522871</v>
      </c>
      <c r="I906" s="11">
        <f>IF($A906&gt;'1-Input'!$B$26,0,IF(N905&lt;=0,0,MAX(0,(N905-O905)/N905)))</f>
        <v>0.28156611432483303</v>
      </c>
      <c r="J906" s="18">
        <f>IF($A906&gt;'1-Input'!$B$26,0,(MAX(0,I891-IF($A906&gt;='1-Input'!$C$12,'1-Input'!$B$12,0))-MIN(MAX(M905,0),MAX(0,I891-IF($A906&gt;='1-Input'!$C$12,'1-Input'!$B$12,0))))*(1/(1-'P-Parametri'!$B$6*I906))+MIN(MAX(0,N905-(MAX(0,I891-IF($A906&gt;='1-Input'!$C$12,'1-Input'!$B$12,0))-MIN(MAX(M905,0),MAX(0,I891-IF($A906&gt;='1-Input'!$C$12,'1-Input'!$B$12,0))))*(1/(1-'P-Parametri'!$B$6*I906))),MAX(0,0*I891-(M905-MIN(MAX(M905,0),MAX(0,I891-IF($A906&gt;='1-Input'!$C$12,'1-Input'!$B$12,0)))))*(1/(1-'P-Parametri'!$B$6*I906))))</f>
        <v>23682.485178540759</v>
      </c>
      <c r="K906" s="18">
        <f>IF($A906&gt;'1-Input'!$B$26,M905,(M905-MAX(0,I891-IF($A906&gt;='1-Input'!$C$12,'1-Input'!$B$12,0))+J906*(1-'P-Parametri'!$B$6*I906))*(1+'1-Input'!$B$27))</f>
        <v>3.6248820833861826E-12</v>
      </c>
      <c r="L906" s="18">
        <f>IF($A906&gt;'1-Input'!$B$26,N905,(N905-J906)*(1+'5-Roberta'!$C$4))</f>
        <v>267508.63457296847</v>
      </c>
      <c r="M906" s="18">
        <f>IF($A906&gt;'1-Input'!$B$26,K906,K906-'P-Parametri'!$B$8*(L906+K906)+MIN(MAX(L906,0),'P-Parametri'!$B$8*(L906+K906)))</f>
        <v>3.637978807091713E-12</v>
      </c>
      <c r="N906" s="18">
        <f>IF($A906&gt;'1-Input'!$B$26,L906,L906-MIN(MAX(L906,0),'P-Parametri'!$B$8*(L906+K906)))</f>
        <v>266973.61730382254</v>
      </c>
      <c r="O906" s="18">
        <f>IF($A906&gt;'1-Input'!$B$26,O905,O905-J906*(1-I906))</f>
        <v>186589.58037661752</v>
      </c>
      <c r="P906" s="11">
        <f>IF($A906&gt;'1-Input'!$B$26,0,IF(U905&lt;=0,0,MAX(0,(U905-V905)/U905)))</f>
        <v>0.28156611432483342</v>
      </c>
      <c r="Q906" s="18">
        <f>IF($A906&gt;'1-Input'!$B$26,0,(MAX(0,P891-IF($A906&gt;='1-Input'!$C$12,'1-Input'!$B$12,0))-MIN(MAX(T905,0),MAX(0,P891-IF($A906&gt;='1-Input'!$C$12,'1-Input'!$B$12,0))))*(1/(1-'P-Parametri'!$B$6*P906))+MIN(MAX(0,U905-(MAX(0,P891-IF($A906&gt;='1-Input'!$C$12,'1-Input'!$B$12,0))-MIN(MAX(T905,0),MAX(0,P891-IF($A906&gt;='1-Input'!$C$12,'1-Input'!$B$12,0))))*(1/(1-'P-Parametri'!$B$6*P906))),MAX(0,0*P891-(T905-MIN(MAX(T905,0),MAX(0,P891-IF($A906&gt;='1-Input'!$C$12,'1-Input'!$B$12,0)))))*(1/(1-'P-Parametri'!$B$6*P906))))</f>
        <v>21283.669308627563</v>
      </c>
      <c r="R906" s="18">
        <f>IF($A906&gt;'1-Input'!$B$26,T905,(T905-MAX(0,P891-IF($A906&gt;='1-Input'!$C$12,'1-Input'!$B$12,0))+Q906*(1-'P-Parametri'!$B$6*P906))*(1+'1-Input'!$B$27))</f>
        <v>-3.6248820833861826E-12</v>
      </c>
      <c r="S906" s="18">
        <f>IF($A906&gt;'1-Input'!$B$26,U905,(U905-Q906)*(1+'5-Roberta'!$C$4))</f>
        <v>304159.5273813433</v>
      </c>
      <c r="T906" s="18">
        <f>IF($A906&gt;'1-Input'!$B$26,R906,R906-'P-Parametri'!$B$8*(S906+R906)+MIN(MAX(S906,0),'P-Parametri'!$B$8*(S906+R906)))</f>
        <v>-3.637978807091713E-12</v>
      </c>
      <c r="U906" s="18">
        <f>IF($A906&gt;'1-Input'!$B$26,S906,S906-MIN(MAX(S906,0),'P-Parametri'!$B$8*(S906+R906)))</f>
        <v>303551.20832658064</v>
      </c>
      <c r="V906" s="18">
        <f>IF($A906&gt;'1-Input'!$B$26,V905,V905-Q906*(1-P906))</f>
        <v>212153.89429291326</v>
      </c>
      <c r="W906" s="11">
        <f>IF($A906&gt;'1-Input'!$B$26,0,IF(AB905&lt;=0,0,MAX(0,(AB905-AC905)/AB905)))</f>
        <v>0.28156611432483331</v>
      </c>
      <c r="X906" s="18">
        <f>IF($A906&gt;'1-Input'!$B$26,0,(MAX(0,W891-IF($A906&gt;='1-Input'!$C$12,'1-Input'!$B$12,0))-MIN(MAX(AA905,0),MAX(0,W891-IF($A906&gt;='1-Input'!$C$12,'1-Input'!$B$12,0))))*(1/(1-'P-Parametri'!$B$6*W906))+MIN(MAX(0,AB905-(MAX(0,W891-IF($A906&gt;='1-Input'!$C$12,'1-Input'!$B$12,0))-MIN(MAX(AA905,0),MAX(0,W891-IF($A906&gt;='1-Input'!$C$12,'1-Input'!$B$12,0))))*(1/(1-'P-Parametri'!$B$6*W906))),MAX(0,0*W891-(AA905-MIN(MAX(AA905,0),MAX(0,W891-IF($A906&gt;='1-Input'!$C$12,'1-Input'!$B$12,0)))))*(1/(1-'P-Parametri'!$B$6*W906))))</f>
        <v>21034.760463372939</v>
      </c>
      <c r="Y906" s="18">
        <f>IF($A906&gt;'1-Input'!$B$26,AA905,(AA905-MAX(0,W891-IF($A906&gt;='1-Input'!$C$12,'1-Input'!$B$12,0))+X906*(1-'P-Parametri'!$B$6*W906))*(1+'1-Input'!$B$27))</f>
        <v>0</v>
      </c>
      <c r="Z906" s="18">
        <f>IF($A906&gt;'1-Input'!$B$26,AB905,(AB905-X906)*(1+'5-Roberta'!$C$4))</f>
        <v>307962.54182730551</v>
      </c>
      <c r="AA906" s="18">
        <f>IF($A906&gt;'1-Input'!$B$26,Y906,Y906-'P-Parametri'!$B$8*(Z906+Y906)+MIN(MAX(Z906,0),'P-Parametri'!$B$8*(Z906+Y906)))</f>
        <v>0</v>
      </c>
      <c r="AB906" s="18">
        <f>IF($A906&gt;'1-Input'!$B$26,Z906,Z906-MIN(MAX(Z906,0),'P-Parametri'!$B$8*(Z906+Y906)))</f>
        <v>307346.61674365093</v>
      </c>
      <c r="AC906" s="18">
        <f>IF($A906&gt;'1-Input'!$B$26,AC905,AC905-X906*(1-W906))</f>
        <v>214806.52967707973</v>
      </c>
      <c r="AD906" s="11">
        <f>IF($A906&gt;'1-Input'!$B$26,0,IF(AI905&lt;=0,0,MAX(0,(AI905-AJ905)/AI905)))</f>
        <v>0.28156611432483292</v>
      </c>
      <c r="AE906" s="18">
        <f>IF($A906&gt;'1-Input'!$B$26,0,(MAX(0,AD891-IF($A906&gt;='1-Input'!$C$12,'1-Input'!$B$12,0))-MIN(MAX(AH905,0),MAX(0,AD891-IF($A906&gt;='1-Input'!$C$12,'1-Input'!$B$12,0))))*(1/(1-'P-Parametri'!$B$6*AD906))+MIN(MAX(0,AI905-(MAX(0,AD891-IF($A906&gt;='1-Input'!$C$12,'1-Input'!$B$12,0))-MIN(MAX(AH905,0),MAX(0,AD891-IF($A906&gt;='1-Input'!$C$12,'1-Input'!$B$12,0))))*(1/(1-'P-Parametri'!$B$6*AD906))),MAX(0,0*AD891-(AH905-MIN(MAX(AH905,0),MAX(0,AD891-IF($A906&gt;='1-Input'!$C$12,'1-Input'!$B$12,0)))))*(1/(1-'P-Parametri'!$B$6*AD906))))</f>
        <v>21031.707575031163</v>
      </c>
      <c r="AF906" s="18">
        <f>IF($A906&gt;'1-Input'!$B$26,AH905,(AH905-MAX(0,AD891-IF($A906&gt;='1-Input'!$C$12,'1-Input'!$B$12,0))+AE906*(1-'P-Parametri'!$B$6*AD906))*(1+'1-Input'!$B$27))</f>
        <v>3.6248820833861826E-12</v>
      </c>
      <c r="AG906" s="18">
        <f>IF($A906&gt;'1-Input'!$B$26,AI905,(AI905-AE906)*(1+'5-Roberta'!$C$4))</f>
        <v>308009.18612575857</v>
      </c>
      <c r="AH906" s="18">
        <f>IF($A906&gt;'1-Input'!$B$26,AF906,AF906-'P-Parametri'!$B$8*(AG906+AF906)+MIN(MAX(AG906,0),'P-Parametri'!$B$8*(AG906+AF906)))</f>
        <v>3.637978807091713E-12</v>
      </c>
      <c r="AI906" s="18">
        <f>IF($A906&gt;'1-Input'!$B$26,AG906,AG906-MIN(MAX(AG906,0),'P-Parametri'!$B$8*(AG906+AF906)))</f>
        <v>307393.16775350703</v>
      </c>
      <c r="AJ906" s="18">
        <f>IF($A906&gt;'1-Input'!$B$26,AJ905,AJ905-AE906*(1-AD906))</f>
        <v>214839.06447764512</v>
      </c>
      <c r="AK906" s="11">
        <f>IF($A906&gt;'1-Input'!$B$26,0,IF(AP905&lt;=0,0,MAX(0,(AP905-AQ905)/AP905)))</f>
        <v>0.28156611432483325</v>
      </c>
      <c r="AL906" s="18">
        <f>IF($A906&gt;'1-Input'!$B$26,0,(MAX(0,AK891-IF($A906&gt;='1-Input'!$C$12,'1-Input'!$B$12,0))-MIN(MAX(AO905,0),MAX(0,AK891-IF($A906&gt;='1-Input'!$C$12,'1-Input'!$B$12,0))))*(1/(1-'P-Parametri'!$B$6*AK906))+MIN(MAX(0,AP905-(MAX(0,AK891-IF($A906&gt;='1-Input'!$C$12,'1-Input'!$B$12,0))-MIN(MAX(AO905,0),MAX(0,AK891-IF($A906&gt;='1-Input'!$C$12,'1-Input'!$B$12,0))))*(1/(1-'P-Parametri'!$B$6*AK906))),MAX(0,0*AK891-(AO905-MIN(MAX(AO905,0),MAX(0,AK891-IF($A906&gt;='1-Input'!$C$12,'1-Input'!$B$12,0)))))*(1/(1-'P-Parametri'!$B$6*AK906))))</f>
        <v>21032.237221507323</v>
      </c>
      <c r="AM906" s="18">
        <f>IF($A906&gt;'1-Input'!$B$26,AO905,(AO905-MAX(0,AK891-IF($A906&gt;='1-Input'!$C$12,'1-Input'!$B$12,0))+AL906*(1-'P-Parametri'!$B$6*AK906))*(1+'1-Input'!$B$27))</f>
        <v>0</v>
      </c>
      <c r="AN906" s="18">
        <f>IF($A906&gt;'1-Input'!$B$26,AP905,(AP905-AL906)*(1+'5-Roberta'!$C$4))</f>
        <v>308001.09379300923</v>
      </c>
      <c r="AO906" s="18">
        <f>IF($A906&gt;'1-Input'!$B$26,AM906,AM906-'P-Parametri'!$B$8*(AN906+AM906)+MIN(MAX(AN906,0),'P-Parametri'!$B$8*(AN906+AM906)))</f>
        <v>0</v>
      </c>
      <c r="AP906" s="18">
        <f>IF($A906&gt;'1-Input'!$B$26,AN906,AN906-MIN(MAX(AN906,0),'P-Parametri'!$B$8*(AN906+AM906)))</f>
        <v>307385.09160542319</v>
      </c>
      <c r="AQ906" s="18">
        <f>IF($A906&gt;'1-Input'!$B$26,AQ905,AQ905-AL906*(1-AK906))</f>
        <v>214833.42000574089</v>
      </c>
    </row>
    <row r="907" spans="1:43">
      <c r="A907" s="10">
        <f>14</f>
        <v>14</v>
      </c>
      <c r="B907" s="11">
        <f>IF($A907&gt;'1-Input'!$B$26,0,IF(G906&lt;=0,0,MAX(0,(G906-H906)/G906)))</f>
        <v>0.30109356025140899</v>
      </c>
      <c r="C907" s="18">
        <f>IF($A907&gt;'1-Input'!$B$26,0,(MAX(0,B891-IF($A907&gt;='1-Input'!$C$12,'1-Input'!$B$12,0))-MIN(MAX(F906,0),MAX(0,B891-IF($A907&gt;='1-Input'!$C$12,'1-Input'!$B$12,0))))*(1/(1-'P-Parametri'!$B$6*B907))+MIN(MAX(0,G906-(MAX(0,B891-IF($A907&gt;='1-Input'!$C$12,'1-Input'!$B$12,0))-MIN(MAX(F906,0),MAX(0,B891-IF($A907&gt;='1-Input'!$C$12,'1-Input'!$B$12,0))))*(1/(1-'P-Parametri'!$B$6*B907))),MAX(0,0*B891-(F906-MIN(MAX(F906,0),MAX(0,B891-IF($A907&gt;='1-Input'!$C$12,'1-Input'!$B$12,0)))))*(1/(1-'P-Parametri'!$B$6*B907))))</f>
        <v>18097.831879302143</v>
      </c>
      <c r="D907" s="18">
        <f>IF($A907&gt;'1-Input'!$B$26,F906,(F906-MAX(0,B891-IF($A907&gt;='1-Input'!$C$12,'1-Input'!$B$12,0))+C907*(1-'P-Parametri'!$B$6*B907))*(1+'1-Input'!$B$27))</f>
        <v>-3.6248820833861826E-12</v>
      </c>
      <c r="E907" s="18">
        <f>IF($A907&gt;'1-Input'!$B$26,G906,(G906-C907)*(1+'5-Roberta'!$C$4))</f>
        <v>345609.67301350884</v>
      </c>
      <c r="F907" s="18">
        <f>IF($A907&gt;'1-Input'!$B$26,D907,D907-'P-Parametri'!$B$8*(E907+D907)+MIN(MAX(E907,0),'P-Parametri'!$B$8*(E907+D907)))</f>
        <v>-3.637978807091713E-12</v>
      </c>
      <c r="G907" s="18">
        <f>IF($A907&gt;'1-Input'!$B$26,E907,E907-MIN(MAX(E907,0),'P-Parametri'!$B$8*(E907+D907)))</f>
        <v>344918.45366748184</v>
      </c>
      <c r="H907" s="18">
        <f>IF($A907&gt;'1-Input'!$B$26,H906,H906-C907*(1-B907))</f>
        <v>234513.42340635549</v>
      </c>
      <c r="I907" s="11">
        <f>IF($A907&gt;'1-Input'!$B$26,0,IF(N906&lt;=0,0,MAX(0,(N906-O906)/N906)))</f>
        <v>0.30109356025140871</v>
      </c>
      <c r="J907" s="18">
        <f>IF($A907&gt;'1-Input'!$B$26,0,(MAX(0,I891-IF($A907&gt;='1-Input'!$C$12,'1-Input'!$B$12,0))-MIN(MAX(M906,0),MAX(0,I891-IF($A907&gt;='1-Input'!$C$12,'1-Input'!$B$12,0))))*(1/(1-'P-Parametri'!$B$6*I907))+MIN(MAX(0,N906-(MAX(0,I891-IF($A907&gt;='1-Input'!$C$12,'1-Input'!$B$12,0))-MIN(MAX(M906,0),MAX(0,I891-IF($A907&gt;='1-Input'!$C$12,'1-Input'!$B$12,0))))*(1/(1-'P-Parametri'!$B$6*I907))),MAX(0,0*I891-(M906-MIN(MAX(M906,0),MAX(0,I891-IF($A907&gt;='1-Input'!$C$12,'1-Input'!$B$12,0)))))*(1/(1-'P-Parametri'!$B$6*I907))))</f>
        <v>23812.93668329229</v>
      </c>
      <c r="K907" s="18">
        <f>IF($A907&gt;'1-Input'!$B$26,M906,(M906-MAX(0,I891-IF($A907&gt;='1-Input'!$C$12,'1-Input'!$B$12,0))+J907*(1-'P-Parametri'!$B$6*I907))*(1+'1-Input'!$B$27))</f>
        <v>3.6248820833861826E-12</v>
      </c>
      <c r="L907" s="18">
        <f>IF($A907&gt;'1-Input'!$B$26,N906,(N906-J907)*(1+'5-Roberta'!$C$4))</f>
        <v>250455.50103914615</v>
      </c>
      <c r="M907" s="18">
        <f>IF($A907&gt;'1-Input'!$B$26,K907,K907-'P-Parametri'!$B$8*(L907+K907)+MIN(MAX(L907,0),'P-Parametri'!$B$8*(L907+K907)))</f>
        <v>3.637978807091713E-12</v>
      </c>
      <c r="N907" s="18">
        <f>IF($A907&gt;'1-Input'!$B$26,L907,L907-MIN(MAX(L907,0),'P-Parametri'!$B$8*(L907+K907)))</f>
        <v>249954.59003706786</v>
      </c>
      <c r="O907" s="18">
        <f>IF($A907&gt;'1-Input'!$B$26,O906,O906-J907*(1-I907))</f>
        <v>169946.56557933908</v>
      </c>
      <c r="P907" s="11">
        <f>IF($A907&gt;'1-Input'!$B$26,0,IF(U906&lt;=0,0,MAX(0,(U906-V906)/U906)))</f>
        <v>0.30109356025140921</v>
      </c>
      <c r="Q907" s="18">
        <f>IF($A907&gt;'1-Input'!$B$26,0,(MAX(0,P891-IF($A907&gt;='1-Input'!$C$12,'1-Input'!$B$12,0))-MIN(MAX(T906,0),MAX(0,P891-IF($A907&gt;='1-Input'!$C$12,'1-Input'!$B$12,0))))*(1/(1-'P-Parametri'!$B$6*P907))+MIN(MAX(0,U906-(MAX(0,P891-IF($A907&gt;='1-Input'!$C$12,'1-Input'!$B$12,0))-MIN(MAX(T906,0),MAX(0,P891-IF($A907&gt;='1-Input'!$C$12,'1-Input'!$B$12,0))))*(1/(1-'P-Parametri'!$B$6*P907))),MAX(0,0*P891-(T906-MIN(MAX(T906,0),MAX(0,P891-IF($A907&gt;='1-Input'!$C$12,'1-Input'!$B$12,0)))))*(1/(1-'P-Parametri'!$B$6*P907))))</f>
        <v>21400.907287117268</v>
      </c>
      <c r="R907" s="18">
        <f>IF($A907&gt;'1-Input'!$B$26,T906,(T906-MAX(0,P891-IF($A907&gt;='1-Input'!$C$12,'1-Input'!$B$12,0))+Q907*(1-'P-Parametri'!$B$6*P907))*(1+'1-Input'!$B$27))</f>
        <v>-3.6248820833861826E-12</v>
      </c>
      <c r="S907" s="18">
        <f>IF($A907&gt;'1-Input'!$B$26,U906,(U906-Q907)*(1+'5-Roberta'!$C$4))</f>
        <v>290614.81007064728</v>
      </c>
      <c r="T907" s="18">
        <f>IF($A907&gt;'1-Input'!$B$26,R907,R907-'P-Parametri'!$B$8*(S907+R907)+MIN(MAX(S907,0),'P-Parametri'!$B$8*(S907+R907)))</f>
        <v>-3.637978807091713E-12</v>
      </c>
      <c r="U907" s="18">
        <f>IF($A907&gt;'1-Input'!$B$26,S907,S907-MIN(MAX(S907,0),'P-Parametri'!$B$8*(S907+R907)))</f>
        <v>290033.58045050601</v>
      </c>
      <c r="V907" s="18">
        <f>IF($A907&gt;'1-Input'!$B$26,V906,V906-Q907*(1-P907))</f>
        <v>197196.66237348446</v>
      </c>
      <c r="W907" s="11">
        <f>IF($A907&gt;'1-Input'!$B$26,0,IF(AB906&lt;=0,0,MAX(0,(AB906-AC906)/AB906)))</f>
        <v>0.3010935602514091</v>
      </c>
      <c r="X907" s="18">
        <f>IF($A907&gt;'1-Input'!$B$26,0,(MAX(0,W891-IF($A907&gt;='1-Input'!$C$12,'1-Input'!$B$12,0))-MIN(MAX(AA906,0),MAX(0,W891-IF($A907&gt;='1-Input'!$C$12,'1-Input'!$B$12,0))))*(1/(1-'P-Parametri'!$B$6*W907))+MIN(MAX(0,AB906-(MAX(0,W891-IF($A907&gt;='1-Input'!$C$12,'1-Input'!$B$12,0))-MIN(MAX(AA906,0),MAX(0,W891-IF($A907&gt;='1-Input'!$C$12,'1-Input'!$B$12,0))))*(1/(1-'P-Parametri'!$B$6*W907))),MAX(0,0*W891-(AA906-MIN(MAX(AA906,0),MAX(0,W891-IF($A907&gt;='1-Input'!$C$12,'1-Input'!$B$12,0)))))*(1/(1-'P-Parametri'!$B$6*W907))))</f>
        <v>21150.627363905049</v>
      </c>
      <c r="Y907" s="18">
        <f>IF($A907&gt;'1-Input'!$B$26,AA906,(AA906-MAX(0,W891-IF($A907&gt;='1-Input'!$C$12,'1-Input'!$B$12,0))+X907*(1-'P-Parametri'!$B$6*W907))*(1+'1-Input'!$B$27))</f>
        <v>0</v>
      </c>
      <c r="Z907" s="18">
        <f>IF($A907&gt;'1-Input'!$B$26,AB906,(AB906-X907)*(1+'5-Roberta'!$C$4))</f>
        <v>294781.86906113831</v>
      </c>
      <c r="AA907" s="18">
        <f>IF($A907&gt;'1-Input'!$B$26,Y907,Y907-'P-Parametri'!$B$8*(Z907+Y907)+MIN(MAX(Z907,0),'P-Parametri'!$B$8*(Z907+Y907)))</f>
        <v>0</v>
      </c>
      <c r="AB907" s="18">
        <f>IF($A907&gt;'1-Input'!$B$26,Z907,Z907-MIN(MAX(Z907,0),'P-Parametri'!$B$8*(Z907+Y907)))</f>
        <v>294192.30532301601</v>
      </c>
      <c r="AC907" s="18">
        <f>IF($A907&gt;'1-Input'!$B$26,AC906,AC906-X907*(1-W907))</f>
        <v>200024.22000772372</v>
      </c>
      <c r="AD907" s="11">
        <f>IF($A907&gt;'1-Input'!$B$26,0,IF(AI906&lt;=0,0,MAX(0,(AI906-AJ906)/AI906)))</f>
        <v>0.30109356025140854</v>
      </c>
      <c r="AE907" s="18">
        <f>IF($A907&gt;'1-Input'!$B$26,0,(MAX(0,AD891-IF($A907&gt;='1-Input'!$C$12,'1-Input'!$B$12,0))-MIN(MAX(AH906,0),MAX(0,AD891-IF($A907&gt;='1-Input'!$C$12,'1-Input'!$B$12,0))))*(1/(1-'P-Parametri'!$B$6*AD907))+MIN(MAX(0,AI906-(MAX(0,AD891-IF($A907&gt;='1-Input'!$C$12,'1-Input'!$B$12,0))-MIN(MAX(AH906,0),MAX(0,AD891-IF($A907&gt;='1-Input'!$C$12,'1-Input'!$B$12,0))))*(1/(1-'P-Parametri'!$B$6*AD907))),MAX(0,0*AD891-(AH906-MIN(MAX(AH906,0),MAX(0,AD891-IF($A907&gt;='1-Input'!$C$12,'1-Input'!$B$12,0)))))*(1/(1-'P-Parametri'!$B$6*AD907))))</f>
        <v>21147.557659174487</v>
      </c>
      <c r="AF907" s="18">
        <f>IF($A907&gt;'1-Input'!$B$26,AH906,(AH906-MAX(0,AD891-IF($A907&gt;='1-Input'!$C$12,'1-Input'!$B$12,0))+AE907*(1-'P-Parametri'!$B$6*AD907))*(1+'1-Input'!$B$27))</f>
        <v>0</v>
      </c>
      <c r="AG907" s="18">
        <f>IF($A907&gt;'1-Input'!$B$26,AI906,(AI906-AE907)*(1+'5-Roberta'!$C$4))</f>
        <v>294832.97839716251</v>
      </c>
      <c r="AH907" s="18">
        <f>IF($A907&gt;'1-Input'!$B$26,AF907,AF907-'P-Parametri'!$B$8*(AG907+AF907)+MIN(MAX(AG907,0),'P-Parametri'!$B$8*(AG907+AF907)))</f>
        <v>0</v>
      </c>
      <c r="AI907" s="18">
        <f>IF($A907&gt;'1-Input'!$B$26,AG907,AG907-MIN(MAX(AG907,0),'P-Parametri'!$B$8*(AG907+AF907)))</f>
        <v>294243.31244036817</v>
      </c>
      <c r="AJ907" s="18">
        <f>IF($A907&gt;'1-Input'!$B$26,AJ906,AJ906-AE907*(1-AD907))</f>
        <v>200058.90024469342</v>
      </c>
      <c r="AK907" s="11">
        <f>IF($A907&gt;'1-Input'!$B$26,0,IF(AP906&lt;=0,0,MAX(0,(AP906-AQ906)/AP906)))</f>
        <v>0.30109356025140882</v>
      </c>
      <c r="AL907" s="18">
        <f>IF($A907&gt;'1-Input'!$B$26,0,(MAX(0,AK891-IF($A907&gt;='1-Input'!$C$12,'1-Input'!$B$12,0))-MIN(MAX(AO906,0),MAX(0,AK891-IF($A907&gt;='1-Input'!$C$12,'1-Input'!$B$12,0))))*(1/(1-'P-Parametri'!$B$6*AK907))+MIN(MAX(0,AP906-(MAX(0,AK891-IF($A907&gt;='1-Input'!$C$12,'1-Input'!$B$12,0))-MIN(MAX(AO906,0),MAX(0,AK891-IF($A907&gt;='1-Input'!$C$12,'1-Input'!$B$12,0))))*(1/(1-'P-Parametri'!$B$6*AK907))),MAX(0,0*AK891-(AO906-MIN(MAX(AO906,0),MAX(0,AK891-IF($A907&gt;='1-Input'!$C$12,'1-Input'!$B$12,0)))))*(1/(1-'P-Parametri'!$B$6*AK907))))</f>
        <v>21148.090223130777</v>
      </c>
      <c r="AM907" s="18">
        <f>IF($A907&gt;'1-Input'!$B$26,AO906,(AO906-MAX(0,AK891-IF($A907&gt;='1-Input'!$C$12,'1-Input'!$B$12,0))+AL907*(1-'P-Parametri'!$B$6*AK907))*(1+'1-Input'!$B$27))</f>
        <v>0</v>
      </c>
      <c r="AN907" s="18">
        <f>IF($A907&gt;'1-Input'!$B$26,AP906,(AP906-AL907)*(1+'5-Roberta'!$C$4))</f>
        <v>294824.11142376118</v>
      </c>
      <c r="AO907" s="18">
        <f>IF($A907&gt;'1-Input'!$B$26,AM907,AM907-'P-Parametri'!$B$8*(AN907+AM907)+MIN(MAX(AN907,0),'P-Parametri'!$B$8*(AN907+AM907)))</f>
        <v>0</v>
      </c>
      <c r="AP907" s="18">
        <f>IF($A907&gt;'1-Input'!$B$26,AN907,AN907-MIN(MAX(AN907,0),'P-Parametri'!$B$8*(AN907+AM907)))</f>
        <v>294234.46320091363</v>
      </c>
      <c r="AQ907" s="18">
        <f>IF($A907&gt;'1-Input'!$B$26,AQ906,AQ906-AL907*(1-AK907))</f>
        <v>200052.88356041058</v>
      </c>
    </row>
    <row r="908" spans="1:43">
      <c r="A908" s="10">
        <f>15</f>
        <v>15</v>
      </c>
      <c r="B908" s="11">
        <f>IF($A908&gt;'1-Input'!$B$26,0,IF(G907&lt;=0,0,MAX(0,(G907-H907)/G907)))</f>
        <v>0.32009023897446254</v>
      </c>
      <c r="C908" s="18">
        <f>IF($A908&gt;'1-Input'!$B$26,0,(MAX(0,B891-IF($A908&gt;='1-Input'!$C$12,'1-Input'!$B$12,0))-MIN(MAX(F907,0),MAX(0,B891-IF($A908&gt;='1-Input'!$C$12,'1-Input'!$B$12,0))))*(1/(1-'P-Parametri'!$B$6*B908))+MIN(MAX(0,G907-(MAX(0,B891-IF($A908&gt;='1-Input'!$C$12,'1-Input'!$B$12,0))-MIN(MAX(F907,0),MAX(0,B891-IF($A908&gt;='1-Input'!$C$12,'1-Input'!$B$12,0))))*(1/(1-'P-Parametri'!$B$6*B908))),MAX(0,0*B891-(F907-MIN(MAX(F907,0),MAX(0,B891-IF($A908&gt;='1-Input'!$C$12,'1-Input'!$B$12,0)))))*(1/(1-'P-Parametri'!$B$6*B908))))</f>
        <v>18195.334005212448</v>
      </c>
      <c r="D908" s="18">
        <f>IF($A908&gt;'1-Input'!$B$26,F907,(F907-MAX(0,B891-IF($A908&gt;='1-Input'!$C$12,'1-Input'!$B$12,0))+C908*(1-'P-Parametri'!$B$6*B908))*(1+'1-Input'!$B$27))</f>
        <v>0</v>
      </c>
      <c r="E908" s="18">
        <f>IF($A908&gt;'1-Input'!$B$26,G907,(G907-C908)*(1+'5-Roberta'!$C$4))</f>
        <v>336524.81325213745</v>
      </c>
      <c r="F908" s="18">
        <f>IF($A908&gt;'1-Input'!$B$26,D908,D908-'P-Parametri'!$B$8*(E908+D908)+MIN(MAX(E908,0),'P-Parametri'!$B$8*(E908+D908)))</f>
        <v>0</v>
      </c>
      <c r="G908" s="18">
        <f>IF($A908&gt;'1-Input'!$B$26,E908,E908-MIN(MAX(E908,0),'P-Parametri'!$B$8*(E908+D908)))</f>
        <v>335851.76362563315</v>
      </c>
      <c r="H908" s="18">
        <f>IF($A908&gt;'1-Input'!$B$26,H907,H907-C908*(1-B908))</f>
        <v>222142.23821109167</v>
      </c>
      <c r="I908" s="11">
        <f>IF($A908&gt;'1-Input'!$B$26,0,IF(N907&lt;=0,0,MAX(0,(N907-O907)/N907)))</f>
        <v>0.3200902389744622</v>
      </c>
      <c r="J908" s="18">
        <f>IF($A908&gt;'1-Input'!$B$26,0,(MAX(0,I891-IF($A908&gt;='1-Input'!$C$12,'1-Input'!$B$12,0))-MIN(MAX(M907,0),MAX(0,I891-IF($A908&gt;='1-Input'!$C$12,'1-Input'!$B$12,0))))*(1/(1-'P-Parametri'!$B$6*I908))+MIN(MAX(0,N907-(MAX(0,I891-IF($A908&gt;='1-Input'!$C$12,'1-Input'!$B$12,0))-MIN(MAX(M907,0),MAX(0,I891-IF($A908&gt;='1-Input'!$C$12,'1-Input'!$B$12,0))))*(1/(1-'P-Parametri'!$B$6*I908))),MAX(0,0*I891-(M907-MIN(MAX(M907,0),MAX(0,I891-IF($A908&gt;='1-Input'!$C$12,'1-Input'!$B$12,0)))))*(1/(1-'P-Parametri'!$B$6*I908))))</f>
        <v>23941.228954226895</v>
      </c>
      <c r="K908" s="18">
        <f>IF($A908&gt;'1-Input'!$B$26,M907,(M907-MAX(0,I891-IF($A908&gt;='1-Input'!$C$12,'1-Input'!$B$12,0))+J908*(1-'P-Parametri'!$B$6*I908))*(1+'1-Input'!$B$27))</f>
        <v>0</v>
      </c>
      <c r="L908" s="18">
        <f>IF($A908&gt;'1-Input'!$B$26,N907,(N907-J908)*(1+'5-Roberta'!$C$4))</f>
        <v>232793.76191532621</v>
      </c>
      <c r="M908" s="18">
        <f>IF($A908&gt;'1-Input'!$B$26,K908,K908-'P-Parametri'!$B$8*(L908+K908)+MIN(MAX(L908,0),'P-Parametri'!$B$8*(L908+K908)))</f>
        <v>0</v>
      </c>
      <c r="N908" s="18">
        <f>IF($A908&gt;'1-Input'!$B$26,L908,L908-MIN(MAX(L908,0),'P-Parametri'!$B$8*(L908+K908)))</f>
        <v>232328.17439149556</v>
      </c>
      <c r="O908" s="18">
        <f>IF($A908&gt;'1-Input'!$B$26,O907,O907-J908*(1-I908))</f>
        <v>153668.69032241299</v>
      </c>
      <c r="P908" s="11">
        <f>IF($A908&gt;'1-Input'!$B$26,0,IF(U907&lt;=0,0,MAX(0,(U907-V907)/U907)))</f>
        <v>0.32009023897446276</v>
      </c>
      <c r="Q908" s="18">
        <f>IF($A908&gt;'1-Input'!$B$26,0,(MAX(0,P891-IF($A908&gt;='1-Input'!$C$12,'1-Input'!$B$12,0))-MIN(MAX(T907,0),MAX(0,P891-IF($A908&gt;='1-Input'!$C$12,'1-Input'!$B$12,0))))*(1/(1-'P-Parametri'!$B$6*P908))+MIN(MAX(0,U907-(MAX(0,P891-IF($A908&gt;='1-Input'!$C$12,'1-Input'!$B$12,0))-MIN(MAX(T907,0),MAX(0,P891-IF($A908&gt;='1-Input'!$C$12,'1-Input'!$B$12,0))))*(1/(1-'P-Parametri'!$B$6*P908))),MAX(0,0*P891-(T907-MIN(MAX(T907,0),MAX(0,P891-IF($A908&gt;='1-Input'!$C$12,'1-Input'!$B$12,0)))))*(1/(1-'P-Parametri'!$B$6*P908))))</f>
        <v>21516.204742128422</v>
      </c>
      <c r="R908" s="18">
        <f>IF($A908&gt;'1-Input'!$B$26,T907,(T907-MAX(0,P891-IF($A908&gt;='1-Input'!$C$12,'1-Input'!$B$12,0))+Q908*(1-'P-Parametri'!$B$6*P908))*(1+'1-Input'!$B$27))</f>
        <v>0</v>
      </c>
      <c r="S908" s="18">
        <f>IF($A908&gt;'1-Input'!$B$26,U907,(U907-Q908)*(1+'5-Roberta'!$C$4))</f>
        <v>276572.89697962889</v>
      </c>
      <c r="T908" s="18">
        <f>IF($A908&gt;'1-Input'!$B$26,R908,R908-'P-Parametri'!$B$8*(S908+R908)+MIN(MAX(S908,0),'P-Parametri'!$B$8*(S908+R908)))</f>
        <v>0</v>
      </c>
      <c r="U908" s="18">
        <f>IF($A908&gt;'1-Input'!$B$26,S908,S908-MIN(MAX(S908,0),'P-Parametri'!$B$8*(S908+R908)))</f>
        <v>276019.75118566962</v>
      </c>
      <c r="V908" s="18">
        <f>IF($A908&gt;'1-Input'!$B$26,V907,V907-Q908*(1-P908))</f>
        <v>182567.5847490874</v>
      </c>
      <c r="W908" s="11">
        <f>IF($A908&gt;'1-Input'!$B$26,0,IF(AB907&lt;=0,0,MAX(0,(AB907-AC907)/AB907)))</f>
        <v>0.3200902389744627</v>
      </c>
      <c r="X908" s="18">
        <f>IF($A908&gt;'1-Input'!$B$26,0,(MAX(0,W891-IF($A908&gt;='1-Input'!$C$12,'1-Input'!$B$12,0))-MIN(MAX(AA907,0),MAX(0,W891-IF($A908&gt;='1-Input'!$C$12,'1-Input'!$B$12,0))))*(1/(1-'P-Parametri'!$B$6*W908))+MIN(MAX(0,AB907-(MAX(0,W891-IF($A908&gt;='1-Input'!$C$12,'1-Input'!$B$12,0))-MIN(MAX(AA907,0),MAX(0,W891-IF($A908&gt;='1-Input'!$C$12,'1-Input'!$B$12,0))))*(1/(1-'P-Parametri'!$B$6*W908))),MAX(0,0*W891-(AA907-MIN(MAX(AA907,0),MAX(0,W891-IF($A908&gt;='1-Input'!$C$12,'1-Input'!$B$12,0)))))*(1/(1-'P-Parametri'!$B$6*W908))))</f>
        <v>21264.576435046321</v>
      </c>
      <c r="Y908" s="18">
        <f>IF($A908&gt;'1-Input'!$B$26,AA907,(AA907-MAX(0,W891-IF($A908&gt;='1-Input'!$C$12,'1-Input'!$B$12,0))+X908*(1-'P-Parametri'!$B$6*W908))*(1+'1-Input'!$B$27))</f>
        <v>0</v>
      </c>
      <c r="Z908" s="18">
        <f>IF($A908&gt;'1-Input'!$B$26,AB907,(AB907-X908)*(1+'5-Roberta'!$C$4))</f>
        <v>281115.56075460877</v>
      </c>
      <c r="AA908" s="18">
        <f>IF($A908&gt;'1-Input'!$B$26,Y908,Y908-'P-Parametri'!$B$8*(Z908+Y908)+MIN(MAX(Z908,0),'P-Parametri'!$B$8*(Z908+Y908)))</f>
        <v>0</v>
      </c>
      <c r="AB908" s="18">
        <f>IF($A908&gt;'1-Input'!$B$26,Z908,Z908-MIN(MAX(Z908,0),'P-Parametri'!$B$8*(Z908+Y908)))</f>
        <v>280553.32963309955</v>
      </c>
      <c r="AC908" s="18">
        <f>IF($A908&gt;'1-Input'!$B$26,AC907,AC907-X908*(1-W908))</f>
        <v>185566.22692546211</v>
      </c>
      <c r="AD908" s="11">
        <f>IF($A908&gt;'1-Input'!$B$26,0,IF(AI907&lt;=0,0,MAX(0,(AI907-AJ907)/AI907)))</f>
        <v>0.32009023897446204</v>
      </c>
      <c r="AE908" s="18">
        <f>IF($A908&gt;'1-Input'!$B$26,0,(MAX(0,AD891-IF($A908&gt;='1-Input'!$C$12,'1-Input'!$B$12,0))-MIN(MAX(AH907,0),MAX(0,AD891-IF($A908&gt;='1-Input'!$C$12,'1-Input'!$B$12,0))))*(1/(1-'P-Parametri'!$B$6*AD908))+MIN(MAX(0,AI907-(MAX(0,AD891-IF($A908&gt;='1-Input'!$C$12,'1-Input'!$B$12,0))-MIN(MAX(AH907,0),MAX(0,AD891-IF($A908&gt;='1-Input'!$C$12,'1-Input'!$B$12,0))))*(1/(1-'P-Parametri'!$B$6*AD908))),MAX(0,0*AD891-(AH907-MIN(MAX(AH907,0),MAX(0,AD891-IF($A908&gt;='1-Input'!$C$12,'1-Input'!$B$12,0)))))*(1/(1-'P-Parametri'!$B$6*AD908))))</f>
        <v>21261.490192271911</v>
      </c>
      <c r="AF908" s="18">
        <f>IF($A908&gt;'1-Input'!$B$26,AH907,(AH907-MAX(0,AD891-IF($A908&gt;='1-Input'!$C$12,'1-Input'!$B$12,0))+AE908*(1-'P-Parametri'!$B$6*AD908))*(1+'1-Input'!$B$27))</f>
        <v>0</v>
      </c>
      <c r="AG908" s="18">
        <f>IF($A908&gt;'1-Input'!$B$26,AI907,(AI907-AE908)*(1+'5-Roberta'!$C$4))</f>
        <v>281171.27691553917</v>
      </c>
      <c r="AH908" s="18">
        <f>IF($A908&gt;'1-Input'!$B$26,AF908,AF908-'P-Parametri'!$B$8*(AG908+AF908)+MIN(MAX(AG908,0),'P-Parametri'!$B$8*(AG908+AF908)))</f>
        <v>0</v>
      </c>
      <c r="AI908" s="18">
        <f>IF($A908&gt;'1-Input'!$B$26,AG908,AG908-MIN(MAX(AG908,0),'P-Parametri'!$B$8*(AG908+AF908)))</f>
        <v>280608.93436170812</v>
      </c>
      <c r="AJ908" s="18">
        <f>IF($A908&gt;'1-Input'!$B$26,AJ907,AJ907-AE908*(1-AD908))</f>
        <v>185603.00552901899</v>
      </c>
      <c r="AK908" s="11">
        <f>IF($A908&gt;'1-Input'!$B$26,0,IF(AP907&lt;=0,0,MAX(0,(AP907-AQ907)/AP907)))</f>
        <v>0.3200902389744622</v>
      </c>
      <c r="AL908" s="18">
        <f>IF($A908&gt;'1-Input'!$B$26,0,(MAX(0,AK891-IF($A908&gt;='1-Input'!$C$12,'1-Input'!$B$12,0))-MIN(MAX(AO907,0),MAX(0,AK891-IF($A908&gt;='1-Input'!$C$12,'1-Input'!$B$12,0))))*(1/(1-'P-Parametri'!$B$6*AK908))+MIN(MAX(0,AP907-(MAX(0,AK891-IF($A908&gt;='1-Input'!$C$12,'1-Input'!$B$12,0))-MIN(MAX(AO907,0),MAX(0,AK891-IF($A908&gt;='1-Input'!$C$12,'1-Input'!$B$12,0))))*(1/(1-'P-Parametri'!$B$6*AK908))),MAX(0,0*AK891-(AO907-MIN(MAX(AO907,0),MAX(0,AK891-IF($A908&gt;='1-Input'!$C$12,'1-Input'!$B$12,0)))))*(1/(1-'P-Parametri'!$B$6*AK908))))</f>
        <v>21262.02562541818</v>
      </c>
      <c r="AM908" s="18">
        <f>IF($A908&gt;'1-Input'!$B$26,AO907,(AO907-MAX(0,AK891-IF($A908&gt;='1-Input'!$C$12,'1-Input'!$B$12,0))+AL908*(1-'P-Parametri'!$B$6*AK908))*(1+'1-Input'!$B$27))</f>
        <v>0</v>
      </c>
      <c r="AN908" s="18">
        <f>IF($A908&gt;'1-Input'!$B$26,AP907,(AP907-AL908)*(1+'5-Roberta'!$C$4))</f>
        <v>281161.61070276034</v>
      </c>
      <c r="AO908" s="18">
        <f>IF($A908&gt;'1-Input'!$B$26,AM908,AM908-'P-Parametri'!$B$8*(AN908+AM908)+MIN(MAX(AN908,0),'P-Parametri'!$B$8*(AN908+AM908)))</f>
        <v>0</v>
      </c>
      <c r="AP908" s="18">
        <f>IF($A908&gt;'1-Input'!$B$26,AN908,AN908-MIN(MAX(AN908,0),'P-Parametri'!$B$8*(AN908+AM908)))</f>
        <v>280599.28748135484</v>
      </c>
      <c r="AQ908" s="18">
        <f>IF($A908&gt;'1-Input'!$B$26,AQ907,AQ907-AL908*(1-AK908))</f>
        <v>185596.62479851366</v>
      </c>
    </row>
    <row r="909" spans="1:43">
      <c r="A909" s="10">
        <f>16</f>
        <v>16</v>
      </c>
      <c r="B909" s="11">
        <f>IF($A909&gt;'1-Input'!$B$26,0,IF(G908&lt;=0,0,MAX(0,(G908-H908)/G908)))</f>
        <v>0.33857057705163962</v>
      </c>
      <c r="C909" s="18">
        <f>IF($A909&gt;'1-Input'!$B$26,0,(MAX(0,B891-IF($A909&gt;='1-Input'!$C$12,'1-Input'!$B$12,0))-MIN(MAX(F908,0),MAX(0,B891-IF($A909&gt;='1-Input'!$C$12,'1-Input'!$B$12,0))))*(1/(1-'P-Parametri'!$B$6*B909))+MIN(MAX(0,G908-(MAX(0,B891-IF($A909&gt;='1-Input'!$C$12,'1-Input'!$B$12,0))-MIN(MAX(F908,0),MAX(0,B891-IF($A909&gt;='1-Input'!$C$12,'1-Input'!$B$12,0))))*(1/(1-'P-Parametri'!$B$6*B909))),MAX(0,0*B891-(F908-MIN(MAX(F908,0),MAX(0,B891-IF($A909&gt;='1-Input'!$C$12,'1-Input'!$B$12,0)))))*(1/(1-'P-Parametri'!$B$6*B909))))</f>
        <v>18291.199419671884</v>
      </c>
      <c r="D909" s="18">
        <f>IF($A909&gt;'1-Input'!$B$26,F908,(F908-MAX(0,B891-IF($A909&gt;='1-Input'!$C$12,'1-Input'!$B$12,0))+C909*(1-'P-Parametri'!$B$6*B909))*(1+'1-Input'!$B$27))</f>
        <v>0</v>
      </c>
      <c r="E909" s="18">
        <f>IF($A909&gt;'1-Input'!$B$26,G908,(G908-C909)*(1+'5-Roberta'!$C$4))</f>
        <v>327087.38113214012</v>
      </c>
      <c r="F909" s="18">
        <f>IF($A909&gt;'1-Input'!$B$26,D909,D909-'P-Parametri'!$B$8*(E909+D909)+MIN(MAX(E909,0),'P-Parametri'!$B$8*(E909+D909)))</f>
        <v>0</v>
      </c>
      <c r="G909" s="18">
        <f>IF($A909&gt;'1-Input'!$B$26,E909,E909-MIN(MAX(E909,0),'P-Parametri'!$B$8*(E909+D909)))</f>
        <v>326433.20636987581</v>
      </c>
      <c r="H909" s="18">
        <f>IF($A909&gt;'1-Input'!$B$26,H908,H908-C909*(1-B909))</f>
        <v>210043.90073390471</v>
      </c>
      <c r="I909" s="11">
        <f>IF($A909&gt;'1-Input'!$B$26,0,IF(N908&lt;=0,0,MAX(0,(N908-O908)/N908)))</f>
        <v>0.3385705770516394</v>
      </c>
      <c r="J909" s="18">
        <f>IF($A909&gt;'1-Input'!$B$26,0,(MAX(0,I891-IF($A909&gt;='1-Input'!$C$12,'1-Input'!$B$12,0))-MIN(MAX(M908,0),MAX(0,I891-IF($A909&gt;='1-Input'!$C$12,'1-Input'!$B$12,0))))*(1/(1-'P-Parametri'!$B$6*I909))+MIN(MAX(0,N908-(MAX(0,I891-IF($A909&gt;='1-Input'!$C$12,'1-Input'!$B$12,0))-MIN(MAX(M908,0),MAX(0,I891-IF($A909&gt;='1-Input'!$C$12,'1-Input'!$B$12,0))))*(1/(1-'P-Parametri'!$B$6*I909))),MAX(0,0*I891-(M908-MIN(MAX(M908,0),MAX(0,I891-IF($A909&gt;='1-Input'!$C$12,'1-Input'!$B$12,0)))))*(1/(1-'P-Parametri'!$B$6*I909))))</f>
        <v>24067.367657463004</v>
      </c>
      <c r="K909" s="18">
        <f>IF($A909&gt;'1-Input'!$B$26,M908,(M908-MAX(0,I891-IF($A909&gt;='1-Input'!$C$12,'1-Input'!$B$12,0))+J909*(1-'P-Parametri'!$B$6*I909))*(1+'1-Input'!$B$27))</f>
        <v>0</v>
      </c>
      <c r="L909" s="18">
        <f>IF($A909&gt;'1-Input'!$B$26,N908,(N908-J909)*(1+'5-Roberta'!$C$4))</f>
        <v>214508.63093605352</v>
      </c>
      <c r="M909" s="18">
        <f>IF($A909&gt;'1-Input'!$B$26,K909,K909-'P-Parametri'!$B$8*(L909+K909)+MIN(MAX(L909,0),'P-Parametri'!$B$8*(L909+K909)))</f>
        <v>0</v>
      </c>
      <c r="N909" s="18">
        <f>IF($A909&gt;'1-Input'!$B$26,L909,L909-MIN(MAX(L909,0),'P-Parametri'!$B$8*(L909+K909)))</f>
        <v>214079.61367418143</v>
      </c>
      <c r="O909" s="18">
        <f>IF($A909&gt;'1-Input'!$B$26,O908,O908-J909*(1-I909))</f>
        <v>137749.8252208512</v>
      </c>
      <c r="P909" s="11">
        <f>IF($A909&gt;'1-Input'!$B$26,0,IF(U908&lt;=0,0,MAX(0,(U908-V908)/U908)))</f>
        <v>0.33857057705163984</v>
      </c>
      <c r="Q909" s="18">
        <f>IF($A909&gt;'1-Input'!$B$26,0,(MAX(0,P891-IF($A909&gt;='1-Input'!$C$12,'1-Input'!$B$12,0))-MIN(MAX(T908,0),MAX(0,P891-IF($A909&gt;='1-Input'!$C$12,'1-Input'!$B$12,0))))*(1/(1-'P-Parametri'!$B$6*P909))+MIN(MAX(0,U908-(MAX(0,P891-IF($A909&gt;='1-Input'!$C$12,'1-Input'!$B$12,0))-MIN(MAX(T908,0),MAX(0,P891-IF($A909&gt;='1-Input'!$C$12,'1-Input'!$B$12,0))))*(1/(1-'P-Parametri'!$B$6*P909))),MAX(0,0*P891-(T908-MIN(MAX(T908,0),MAX(0,P891-IF($A909&gt;='1-Input'!$C$12,'1-Input'!$B$12,0)))))*(1/(1-'P-Parametri'!$B$6*P909))))</f>
        <v>21629.566765854252</v>
      </c>
      <c r="R909" s="18">
        <f>IF($A909&gt;'1-Input'!$B$26,T908,(T908-MAX(0,P891-IF($A909&gt;='1-Input'!$C$12,'1-Input'!$B$12,0))+Q909*(1-'P-Parametri'!$B$6*P909))*(1+'1-Input'!$B$27))</f>
        <v>0</v>
      </c>
      <c r="S909" s="18">
        <f>IF($A909&gt;'1-Input'!$B$26,U908,(U908-Q909)*(1+'5-Roberta'!$C$4))</f>
        <v>262021.88995240984</v>
      </c>
      <c r="T909" s="18">
        <f>IF($A909&gt;'1-Input'!$B$26,R909,R909-'P-Parametri'!$B$8*(S909+R909)+MIN(MAX(S909,0),'P-Parametri'!$B$8*(S909+R909)))</f>
        <v>0</v>
      </c>
      <c r="U909" s="18">
        <f>IF($A909&gt;'1-Input'!$B$26,S909,S909-MIN(MAX(S909,0),'P-Parametri'!$B$8*(S909+R909)))</f>
        <v>261497.84617250503</v>
      </c>
      <c r="V909" s="18">
        <f>IF($A909&gt;'1-Input'!$B$26,V908,V908-Q909*(1-P909))</f>
        <v>168261.15288452539</v>
      </c>
      <c r="W909" s="11">
        <f>IF($A909&gt;'1-Input'!$B$26,0,IF(AB908&lt;=0,0,MAX(0,(AB908-AC908)/AB908)))</f>
        <v>0.33857057705163984</v>
      </c>
      <c r="X909" s="18">
        <f>IF($A909&gt;'1-Input'!$B$26,0,(MAX(0,W891-IF($A909&gt;='1-Input'!$C$12,'1-Input'!$B$12,0))-MIN(MAX(AA908,0),MAX(0,W891-IF($A909&gt;='1-Input'!$C$12,'1-Input'!$B$12,0))))*(1/(1-'P-Parametri'!$B$6*W909))+MIN(MAX(0,AB908-(MAX(0,W891-IF($A909&gt;='1-Input'!$C$12,'1-Input'!$B$12,0))-MIN(MAX(AA908,0),MAX(0,W891-IF($A909&gt;='1-Input'!$C$12,'1-Input'!$B$12,0))))*(1/(1-'P-Parametri'!$B$6*W909))),MAX(0,0*W891-(AA908-MIN(MAX(AA908,0),MAX(0,W891-IF($A909&gt;='1-Input'!$C$12,'1-Input'!$B$12,0)))))*(1/(1-'P-Parametri'!$B$6*W909))))</f>
        <v>21376.612709437668</v>
      </c>
      <c r="Y909" s="18">
        <f>IF($A909&gt;'1-Input'!$B$26,AA908,(AA908-MAX(0,W891-IF($A909&gt;='1-Input'!$C$12,'1-Input'!$B$12,0))+X909*(1-'P-Parametri'!$B$6*W909))*(1+'1-Input'!$B$27))</f>
        <v>0</v>
      </c>
      <c r="Z909" s="18">
        <f>IF($A909&gt;'1-Input'!$B$26,AB908,(AB908-X909)*(1+'5-Roberta'!$C$4))</f>
        <v>266952.01843137172</v>
      </c>
      <c r="AA909" s="18">
        <f>IF($A909&gt;'1-Input'!$B$26,Y909,Y909-'P-Parametri'!$B$8*(Z909+Y909)+MIN(MAX(Z909,0),'P-Parametri'!$B$8*(Z909+Y909)))</f>
        <v>0</v>
      </c>
      <c r="AB909" s="18">
        <f>IF($A909&gt;'1-Input'!$B$26,Z909,Z909-MIN(MAX(Z909,0),'P-Parametri'!$B$8*(Z909+Y909)))</f>
        <v>266418.114394509</v>
      </c>
      <c r="AC909" s="18">
        <f>IF($A909&gt;'1-Input'!$B$26,AC908,AC908-X909*(1-W909))</f>
        <v>171427.10631646815</v>
      </c>
      <c r="AD909" s="11">
        <f>IF($A909&gt;'1-Input'!$B$26,0,IF(AI908&lt;=0,0,MAX(0,(AI908-AJ908)/AI908)))</f>
        <v>0.3385705770516394</v>
      </c>
      <c r="AE909" s="18">
        <f>IF($A909&gt;'1-Input'!$B$26,0,(MAX(0,AD891-IF($A909&gt;='1-Input'!$C$12,'1-Input'!$B$12,0))-MIN(MAX(AH908,0),MAX(0,AD891-IF($A909&gt;='1-Input'!$C$12,'1-Input'!$B$12,0))))*(1/(1-'P-Parametri'!$B$6*AD909))+MIN(MAX(0,AI908-(MAX(0,AD891-IF($A909&gt;='1-Input'!$C$12,'1-Input'!$B$12,0))-MIN(MAX(AH908,0),MAX(0,AD891-IF($A909&gt;='1-Input'!$C$12,'1-Input'!$B$12,0))))*(1/(1-'P-Parametri'!$B$6*AD909))),MAX(0,0*AD891-(AH908-MIN(MAX(AH908,0),MAX(0,AD891-IF($A909&gt;='1-Input'!$C$12,'1-Input'!$B$12,0)))))*(1/(1-'P-Parametri'!$B$6*AD909))))</f>
        <v>21373.510206233928</v>
      </c>
      <c r="AF909" s="18">
        <f>IF($A909&gt;'1-Input'!$B$26,AH908,(AH908-MAX(0,AD891-IF($A909&gt;='1-Input'!$C$12,'1-Input'!$B$12,0))+AE909*(1-'P-Parametri'!$B$6*AD909))*(1+'1-Input'!$B$27))</f>
        <v>-3.6248820833861826E-12</v>
      </c>
      <c r="AG909" s="18">
        <f>IF($A909&gt;'1-Input'!$B$26,AI908,(AI908-AE909)*(1+'5-Roberta'!$C$4))</f>
        <v>267012.4868801384</v>
      </c>
      <c r="AH909" s="18">
        <f>IF($A909&gt;'1-Input'!$B$26,AF909,AF909-'P-Parametri'!$B$8*(AG909+AF909)+MIN(MAX(AG909,0),'P-Parametri'!$B$8*(AG909+AF909)))</f>
        <v>-3.637978807091713E-12</v>
      </c>
      <c r="AI909" s="18">
        <f>IF($A909&gt;'1-Input'!$B$26,AG909,AG909-MIN(MAX(AG909,0),'P-Parametri'!$B$8*(AG909+AF909)))</f>
        <v>266478.4619063781</v>
      </c>
      <c r="AJ909" s="18">
        <f>IF($A909&gt;'1-Input'!$B$26,AJ908,AJ908-AE909*(1-AD909))</f>
        <v>171465.93700692878</v>
      </c>
      <c r="AK909" s="11">
        <f>IF($A909&gt;'1-Input'!$B$26,0,IF(AP908&lt;=0,0,MAX(0,(AP908-AQ908)/AP908)))</f>
        <v>0.33857057705163945</v>
      </c>
      <c r="AL909" s="18">
        <f>IF($A909&gt;'1-Input'!$B$26,0,(MAX(0,AK891-IF($A909&gt;='1-Input'!$C$12,'1-Input'!$B$12,0))-MIN(MAX(AO908,0),MAX(0,AK891-IF($A909&gt;='1-Input'!$C$12,'1-Input'!$B$12,0))))*(1/(1-'P-Parametri'!$B$6*AK909))+MIN(MAX(0,AP908-(MAX(0,AK891-IF($A909&gt;='1-Input'!$C$12,'1-Input'!$B$12,0))-MIN(MAX(AO908,0),MAX(0,AK891-IF($A909&gt;='1-Input'!$C$12,'1-Input'!$B$12,0))))*(1/(1-'P-Parametri'!$B$6*AK909))),MAX(0,0*AK891-(AO908-MIN(MAX(AO908,0),MAX(0,AK891-IF($A909&gt;='1-Input'!$C$12,'1-Input'!$B$12,0)))))*(1/(1-'P-Parametri'!$B$6*AK909))))</f>
        <v>21374.048460406757</v>
      </c>
      <c r="AM909" s="18">
        <f>IF($A909&gt;'1-Input'!$B$26,AO908,(AO908-MAX(0,AK891-IF($A909&gt;='1-Input'!$C$12,'1-Input'!$B$12,0))+AL909*(1-'P-Parametri'!$B$6*AK909))*(1+'1-Input'!$B$27))</f>
        <v>-3.6248820833861826E-12</v>
      </c>
      <c r="AN909" s="18">
        <f>IF($A909&gt;'1-Input'!$B$26,AP908,(AP908-AL909)*(1+'5-Roberta'!$C$4))</f>
        <v>267001.99619157653</v>
      </c>
      <c r="AO909" s="18">
        <f>IF($A909&gt;'1-Input'!$B$26,AM909,AM909-'P-Parametri'!$B$8*(AN909+AM909)+MIN(MAX(AN909,0),'P-Parametri'!$B$8*(AN909+AM909)))</f>
        <v>-3.637978807091713E-12</v>
      </c>
      <c r="AP909" s="18">
        <f>IF($A909&gt;'1-Input'!$B$26,AN909,AN909-MIN(MAX(AN909,0),'P-Parametri'!$B$8*(AN909+AM909)))</f>
        <v>266467.9921991934</v>
      </c>
      <c r="AQ909" s="18">
        <f>IF($A909&gt;'1-Input'!$B$26,AQ908,AQ908-AL909*(1-AK909))</f>
        <v>171459.20025927652</v>
      </c>
    </row>
    <row r="910" spans="1:43">
      <c r="A910" s="10">
        <f>17</f>
        <v>17</v>
      </c>
      <c r="B910" s="11">
        <f>IF($A910&gt;'1-Input'!$B$26,0,IF(G909&lt;=0,0,MAX(0,(G909-H909)/G909)))</f>
        <v>0.35654860891845785</v>
      </c>
      <c r="C910" s="18">
        <f>IF($A910&gt;'1-Input'!$B$26,0,(MAX(0,B891-IF($A910&gt;='1-Input'!$C$12,'1-Input'!$B$12,0))-MIN(MAX(F909,0),MAX(0,B891-IF($A910&gt;='1-Input'!$C$12,'1-Input'!$B$12,0))))*(1/(1-'P-Parametri'!$B$6*B910))+MIN(MAX(0,G909-(MAX(0,B891-IF($A910&gt;='1-Input'!$C$12,'1-Input'!$B$12,0))-MIN(MAX(F909,0),MAX(0,B891-IF($A910&gt;='1-Input'!$C$12,'1-Input'!$B$12,0))))*(1/(1-'P-Parametri'!$B$6*B910))),MAX(0,0*B891-(F909-MIN(MAX(F909,0),MAX(0,B891-IF($A910&gt;='1-Input'!$C$12,'1-Input'!$B$12,0)))))*(1/(1-'P-Parametri'!$B$6*B910))))</f>
        <v>18385.433507396287</v>
      </c>
      <c r="D910" s="18">
        <f>IF($A910&gt;'1-Input'!$B$26,F909,(F909-MAX(0,B891-IF($A910&gt;='1-Input'!$C$12,'1-Input'!$B$12,0))+C910*(1-'P-Parametri'!$B$6*B910))*(1+'1-Input'!$B$27))</f>
        <v>-3.6248820833861826E-12</v>
      </c>
      <c r="E910" s="18">
        <f>IF($A910&gt;'1-Input'!$B$26,G909,(G909-C910)*(1+'5-Roberta'!$C$4))</f>
        <v>317289.20604835392</v>
      </c>
      <c r="F910" s="18">
        <f>IF($A910&gt;'1-Input'!$B$26,D910,D910-'P-Parametri'!$B$8*(E910+D910)+MIN(MAX(E910,0),'P-Parametri'!$B$8*(E910+D910)))</f>
        <v>-3.637978807091713E-12</v>
      </c>
      <c r="G910" s="18">
        <f>IF($A910&gt;'1-Input'!$B$26,E910,E910-MIN(MAX(E910,0),'P-Parametri'!$B$8*(E910+D910)))</f>
        <v>316654.62763625721</v>
      </c>
      <c r="H910" s="18">
        <f>IF($A910&gt;'1-Input'!$B$26,H909,H909-C910*(1-B910))</f>
        <v>198213.76796793338</v>
      </c>
      <c r="I910" s="11">
        <f>IF($A910&gt;'1-Input'!$B$26,0,IF(N909&lt;=0,0,MAX(0,(N909-O909)/N909)))</f>
        <v>0.35654860891845774</v>
      </c>
      <c r="J910" s="18">
        <f>IF($A910&gt;'1-Input'!$B$26,0,(MAX(0,I891-IF($A910&gt;='1-Input'!$C$12,'1-Input'!$B$12,0))-MIN(MAX(M909,0),MAX(0,I891-IF($A910&gt;='1-Input'!$C$12,'1-Input'!$B$12,0))))*(1/(1-'P-Parametri'!$B$6*I910))+MIN(MAX(0,N909-(MAX(0,I891-IF($A910&gt;='1-Input'!$C$12,'1-Input'!$B$12,0))-MIN(MAX(M909,0),MAX(0,I891-IF($A910&gt;='1-Input'!$C$12,'1-Input'!$B$12,0))))*(1/(1-'P-Parametri'!$B$6*I910))),MAX(0,0*I891-(M909-MIN(MAX(M909,0),MAX(0,I891-IF($A910&gt;='1-Input'!$C$12,'1-Input'!$B$12,0)))))*(1/(1-'P-Parametri'!$B$6*I910))))</f>
        <v>24191.359878153013</v>
      </c>
      <c r="K910" s="18">
        <f>IF($A910&gt;'1-Input'!$B$26,M909,(M909-MAX(0,I891-IF($A910&gt;='1-Input'!$C$12,'1-Input'!$B$12,0))+J910*(1-'P-Parametri'!$B$6*I910))*(1+'1-Input'!$B$27))</f>
        <v>-3.6248820833861826E-12</v>
      </c>
      <c r="L910" s="18">
        <f>IF($A910&gt;'1-Input'!$B$26,N909,(N909-J910)*(1+'5-Roberta'!$C$4))</f>
        <v>195584.90140990927</v>
      </c>
      <c r="M910" s="18">
        <f>IF($A910&gt;'1-Input'!$B$26,K910,K910-'P-Parametri'!$B$8*(L910+K910)+MIN(MAX(L910,0),'P-Parametri'!$B$8*(L910+K910)))</f>
        <v>-3.637978807091713E-12</v>
      </c>
      <c r="N910" s="18">
        <f>IF($A910&gt;'1-Input'!$B$26,L910,L910-MIN(MAX(L910,0),'P-Parametri'!$B$8*(L910+K910)))</f>
        <v>195193.73160708946</v>
      </c>
      <c r="O910" s="18">
        <f>IF($A910&gt;'1-Input'!$B$26,O909,O909-J910*(1-I910))</f>
        <v>122183.86105509943</v>
      </c>
      <c r="P910" s="11">
        <f>IF($A910&gt;'1-Input'!$B$26,0,IF(U909&lt;=0,0,MAX(0,(U909-V909)/U909)))</f>
        <v>0.35654860891845819</v>
      </c>
      <c r="Q910" s="18">
        <f>IF($A910&gt;'1-Input'!$B$26,0,(MAX(0,P891-IF($A910&gt;='1-Input'!$C$12,'1-Input'!$B$12,0))-MIN(MAX(T909,0),MAX(0,P891-IF($A910&gt;='1-Input'!$C$12,'1-Input'!$B$12,0))))*(1/(1-'P-Parametri'!$B$6*P910))+MIN(MAX(0,U909-(MAX(0,P891-IF($A910&gt;='1-Input'!$C$12,'1-Input'!$B$12,0))-MIN(MAX(T909,0),MAX(0,P891-IF($A910&gt;='1-Input'!$C$12,'1-Input'!$B$12,0))))*(1/(1-'P-Parametri'!$B$6*P910))),MAX(0,0*P891-(T909-MIN(MAX(T909,0),MAX(0,P891-IF($A910&gt;='1-Input'!$C$12,'1-Input'!$B$12,0)))))*(1/(1-'P-Parametri'!$B$6*P910))))</f>
        <v>21740.999725787013</v>
      </c>
      <c r="R910" s="18">
        <f>IF($A910&gt;'1-Input'!$B$26,T909,(T909-MAX(0,P891-IF($A910&gt;='1-Input'!$C$12,'1-Input'!$B$12,0))+Q910*(1-'P-Parametri'!$B$6*P910))*(1+'1-Input'!$B$27))</f>
        <v>0</v>
      </c>
      <c r="S910" s="18">
        <f>IF($A910&gt;'1-Input'!$B$26,U909,(U909-Q910)*(1+'5-Roberta'!$C$4))</f>
        <v>246949.55184011959</v>
      </c>
      <c r="T910" s="18">
        <f>IF($A910&gt;'1-Input'!$B$26,R910,R910-'P-Parametri'!$B$8*(S910+R910)+MIN(MAX(S910,0),'P-Parametri'!$B$8*(S910+R910)))</f>
        <v>0</v>
      </c>
      <c r="U910" s="18">
        <f>IF($A910&gt;'1-Input'!$B$26,S910,S910-MIN(MAX(S910,0),'P-Parametri'!$B$8*(S910+R910)))</f>
        <v>246455.65273643934</v>
      </c>
      <c r="V910" s="18">
        <f>IF($A910&gt;'1-Input'!$B$26,V909,V909-Q910*(1-P910))</f>
        <v>154271.87636746431</v>
      </c>
      <c r="W910" s="11">
        <f>IF($A910&gt;'1-Input'!$B$26,0,IF(AB909&lt;=0,0,MAX(0,(AB909-AC909)/AB909)))</f>
        <v>0.35654860891845819</v>
      </c>
      <c r="X910" s="18">
        <f>IF($A910&gt;'1-Input'!$B$26,0,(MAX(0,W891-IF($A910&gt;='1-Input'!$C$12,'1-Input'!$B$12,0))-MIN(MAX(AA909,0),MAX(0,W891-IF($A910&gt;='1-Input'!$C$12,'1-Input'!$B$12,0))))*(1/(1-'P-Parametri'!$B$6*W910))+MIN(MAX(0,AB909-(MAX(0,W891-IF($A910&gt;='1-Input'!$C$12,'1-Input'!$B$12,0))-MIN(MAX(AA909,0),MAX(0,W891-IF($A910&gt;='1-Input'!$C$12,'1-Input'!$B$12,0))))*(1/(1-'P-Parametri'!$B$6*W910))),MAX(0,0*W891-(AA909-MIN(MAX(AA909,0),MAX(0,W891-IF($A910&gt;='1-Input'!$C$12,'1-Input'!$B$12,0)))))*(1/(1-'P-Parametri'!$B$6*W910))))</f>
        <v>21486.742480104611</v>
      </c>
      <c r="Y910" s="18">
        <f>IF($A910&gt;'1-Input'!$B$26,AA909,(AA909-MAX(0,W891-IF($A910&gt;='1-Input'!$C$12,'1-Input'!$B$12,0))+X910*(1-'P-Parametri'!$B$6*W910))*(1+'1-Input'!$B$27))</f>
        <v>0</v>
      </c>
      <c r="Z910" s="18">
        <f>IF($A910&gt;'1-Input'!$B$26,AB909,(AB909-X910)*(1+'5-Roberta'!$C$4))</f>
        <v>252279.31307183651</v>
      </c>
      <c r="AA910" s="18">
        <f>IF($A910&gt;'1-Input'!$B$26,Y910,Y910-'P-Parametri'!$B$8*(Z910+Y910)+MIN(MAX(Z910,0),'P-Parametri'!$B$8*(Z910+Y910)))</f>
        <v>0</v>
      </c>
      <c r="AB910" s="18">
        <f>IF($A910&gt;'1-Input'!$B$26,Z910,Z910-MIN(MAX(Z910,0),'P-Parametri'!$B$8*(Z910+Y910)))</f>
        <v>251774.75444569284</v>
      </c>
      <c r="AC910" s="18">
        <f>IF($A910&gt;'1-Input'!$B$26,AC909,AC909-X910*(1-W910))</f>
        <v>157601.43197783397</v>
      </c>
      <c r="AD910" s="11">
        <f>IF($A910&gt;'1-Input'!$B$26,0,IF(AI909&lt;=0,0,MAX(0,(AI909-AJ909)/AI909)))</f>
        <v>0.35654860891845763</v>
      </c>
      <c r="AE910" s="18">
        <f>IF($A910&gt;'1-Input'!$B$26,0,(MAX(0,AD891-IF($A910&gt;='1-Input'!$C$12,'1-Input'!$B$12,0))-MIN(MAX(AH909,0),MAX(0,AD891-IF($A910&gt;='1-Input'!$C$12,'1-Input'!$B$12,0))))*(1/(1-'P-Parametri'!$B$6*AD910))+MIN(MAX(0,AI909-(MAX(0,AD891-IF($A910&gt;='1-Input'!$C$12,'1-Input'!$B$12,0))-MIN(MAX(AH909,0),MAX(0,AD891-IF($A910&gt;='1-Input'!$C$12,'1-Input'!$B$12,0))))*(1/(1-'P-Parametri'!$B$6*AD910))),MAX(0,0*AD891-(AH909-MIN(MAX(AH909,0),MAX(0,AD891-IF($A910&gt;='1-Input'!$C$12,'1-Input'!$B$12,0)))))*(1/(1-'P-Parametri'!$B$6*AD910))))</f>
        <v>21483.623993172729</v>
      </c>
      <c r="AF910" s="18">
        <f>IF($A910&gt;'1-Input'!$B$26,AH909,(AH909-MAX(0,AD891-IF($A910&gt;='1-Input'!$C$12,'1-Input'!$B$12,0))+AE910*(1-'P-Parametri'!$B$6*AD910))*(1+'1-Input'!$B$27))</f>
        <v>0</v>
      </c>
      <c r="AG910" s="18">
        <f>IF($A910&gt;'1-Input'!$B$26,AI909,(AI909-AE910)*(1+'5-Roberta'!$C$4))</f>
        <v>252344.68305060154</v>
      </c>
      <c r="AH910" s="18">
        <f>IF($A910&gt;'1-Input'!$B$26,AF910,AF910-'P-Parametri'!$B$8*(AG910+AF910)+MIN(MAX(AG910,0),'P-Parametri'!$B$8*(AG910+AF910)))</f>
        <v>0</v>
      </c>
      <c r="AI910" s="18">
        <f>IF($A910&gt;'1-Input'!$B$26,AG910,AG910-MIN(MAX(AG910,0),'P-Parametri'!$B$8*(AG910+AF910)))</f>
        <v>251839.99368450034</v>
      </c>
      <c r="AJ910" s="18">
        <f>IF($A910&gt;'1-Input'!$B$26,AJ909,AJ909-AE910*(1-AD910))</f>
        <v>157642.26926304901</v>
      </c>
      <c r="AK910" s="11">
        <f>IF($A910&gt;'1-Input'!$B$26,0,IF(AP909&lt;=0,0,MAX(0,(AP909-AQ909)/AP909)))</f>
        <v>0.3565486089184578</v>
      </c>
      <c r="AL910" s="18">
        <f>IF($A910&gt;'1-Input'!$B$26,0,(MAX(0,AK891-IF($A910&gt;='1-Input'!$C$12,'1-Input'!$B$12,0))-MIN(MAX(AO909,0),MAX(0,AK891-IF($A910&gt;='1-Input'!$C$12,'1-Input'!$B$12,0))))*(1/(1-'P-Parametri'!$B$6*AK910))+MIN(MAX(0,AP909-(MAX(0,AK891-IF($A910&gt;='1-Input'!$C$12,'1-Input'!$B$12,0))-MIN(MAX(AO909,0),MAX(0,AK891-IF($A910&gt;='1-Input'!$C$12,'1-Input'!$B$12,0))))*(1/(1-'P-Parametri'!$B$6*AK910))),MAX(0,0*AK891-(AO909-MIN(MAX(AO909,0),MAX(0,AK891-IF($A910&gt;='1-Input'!$C$12,'1-Input'!$B$12,0)))))*(1/(1-'P-Parametri'!$B$6*AK910))))</f>
        <v>21484.165020367149</v>
      </c>
      <c r="AM910" s="18">
        <f>IF($A910&gt;'1-Input'!$B$26,AO909,(AO909-MAX(0,AK891-IF($A910&gt;='1-Input'!$C$12,'1-Input'!$B$12,0))+AL910*(1-'P-Parametri'!$B$6*AK910))*(1+'1-Input'!$B$27))</f>
        <v>0</v>
      </c>
      <c r="AN910" s="18">
        <f>IF($A910&gt;'1-Input'!$B$26,AP909,(AP909-AL910)*(1+'5-Roberta'!$C$4))</f>
        <v>252333.34199419103</v>
      </c>
      <c r="AO910" s="18">
        <f>IF($A910&gt;'1-Input'!$B$26,AM910,AM910-'P-Parametri'!$B$8*(AN910+AM910)+MIN(MAX(AN910,0),'P-Parametri'!$B$8*(AN910+AM910)))</f>
        <v>0</v>
      </c>
      <c r="AP910" s="18">
        <f>IF($A910&gt;'1-Input'!$B$26,AN910,AN910-MIN(MAX(AN910,0),'P-Parametri'!$B$8*(AN910+AM910)))</f>
        <v>251828.67531020264</v>
      </c>
      <c r="AQ910" s="18">
        <f>IF($A910&gt;'1-Input'!$B$26,AQ909,AQ909-AL910*(1-AK910))</f>
        <v>157635.18439069588</v>
      </c>
    </row>
    <row r="911" spans="1:43">
      <c r="A911" s="10">
        <f>18</f>
        <v>18</v>
      </c>
      <c r="B911" s="11">
        <f>IF($A911&gt;'1-Input'!$B$26,0,IF(G910&lt;=0,0,MAX(0,(G910-H910)/G910)))</f>
        <v>0.37403798754641115</v>
      </c>
      <c r="C911" s="18">
        <f>IF($A911&gt;'1-Input'!$B$26,0,(MAX(0,B891-IF($A911&gt;='1-Input'!$C$12,'1-Input'!$B$12,0))-MIN(MAX(F910,0),MAX(0,B891-IF($A911&gt;='1-Input'!$C$12,'1-Input'!$B$12,0))))*(1/(1-'P-Parametri'!$B$6*B911))+MIN(MAX(0,G910-(MAX(0,B891-IF($A911&gt;='1-Input'!$C$12,'1-Input'!$B$12,0))-MIN(MAX(F910,0),MAX(0,B891-IF($A911&gt;='1-Input'!$C$12,'1-Input'!$B$12,0))))*(1/(1-'P-Parametri'!$B$6*B911))),MAX(0,0*B891-(F910-MIN(MAX(F910,0),MAX(0,B891-IF($A911&gt;='1-Input'!$C$12,'1-Input'!$B$12,0)))))*(1/(1-'P-Parametri'!$B$6*B911))))</f>
        <v>18478.042688928294</v>
      </c>
      <c r="D911" s="18">
        <f>IF($A911&gt;'1-Input'!$B$26,F910,(F910-MAX(0,B891-IF($A911&gt;='1-Input'!$C$12,'1-Input'!$B$12,0))+C911*(1-'P-Parametri'!$B$6*B911))*(1+'1-Input'!$B$27))</f>
        <v>0</v>
      </c>
      <c r="E911" s="18">
        <f>IF($A911&gt;'1-Input'!$B$26,G910,(G910-C911)*(1+'5-Roberta'!$C$4))</f>
        <v>307121.88249574875</v>
      </c>
      <c r="F911" s="18">
        <f>IF($A911&gt;'1-Input'!$B$26,D911,D911-'P-Parametri'!$B$8*(E911+D911)+MIN(MAX(E911,0),'P-Parametri'!$B$8*(E911+D911)))</f>
        <v>0</v>
      </c>
      <c r="G911" s="18">
        <f>IF($A911&gt;'1-Input'!$B$26,E911,E911-MIN(MAX(E911,0),'P-Parametri'!$B$8*(E911+D911)))</f>
        <v>306507.63873075723</v>
      </c>
      <c r="H911" s="18">
        <f>IF($A911&gt;'1-Input'!$B$26,H910,H910-C911*(1-B911))</f>
        <v>186647.21518016851</v>
      </c>
      <c r="I911" s="11">
        <f>IF($A911&gt;'1-Input'!$B$26,0,IF(N910&lt;=0,0,MAX(0,(N910-O910)/N910)))</f>
        <v>0.37403798754641104</v>
      </c>
      <c r="J911" s="18">
        <f>IF($A911&gt;'1-Input'!$B$26,0,(MAX(0,I891-IF($A911&gt;='1-Input'!$C$12,'1-Input'!$B$12,0))-MIN(MAX(M910,0),MAX(0,I891-IF($A911&gt;='1-Input'!$C$12,'1-Input'!$B$12,0))))*(1/(1-'P-Parametri'!$B$6*I911))+MIN(MAX(0,N910-(MAX(0,I891-IF($A911&gt;='1-Input'!$C$12,'1-Input'!$B$12,0))-MIN(MAX(M910,0),MAX(0,I891-IF($A911&gt;='1-Input'!$C$12,'1-Input'!$B$12,0))))*(1/(1-'P-Parametri'!$B$6*I911))),MAX(0,0*I891-(M910-MIN(MAX(M910,0),MAX(0,I891-IF($A911&gt;='1-Input'!$C$12,'1-Input'!$B$12,0)))))*(1/(1-'P-Parametri'!$B$6*I911))))</f>
        <v>24313.214064379335</v>
      </c>
      <c r="K911" s="18">
        <f>IF($A911&gt;'1-Input'!$B$26,M910,(M910-MAX(0,I891-IF($A911&gt;='1-Input'!$C$12,'1-Input'!$B$12,0))+J911*(1-'P-Parametri'!$B$6*I911))*(1+'1-Input'!$B$27))</f>
        <v>0</v>
      </c>
      <c r="L911" s="18">
        <f>IF($A911&gt;'1-Input'!$B$26,N910,(N910-J911)*(1+'5-Roberta'!$C$4))</f>
        <v>176006.93306899143</v>
      </c>
      <c r="M911" s="18">
        <f>IF($A911&gt;'1-Input'!$B$26,K911,K911-'P-Parametri'!$B$8*(L911+K911)+MIN(MAX(L911,0),'P-Parametri'!$B$8*(L911+K911)))</f>
        <v>0</v>
      </c>
      <c r="N911" s="18">
        <f>IF($A911&gt;'1-Input'!$B$26,L911,L911-MIN(MAX(L911,0),'P-Parametri'!$B$8*(L911+K911)))</f>
        <v>175654.91920285346</v>
      </c>
      <c r="O911" s="18">
        <f>IF($A911&gt;'1-Input'!$B$26,O910,O910-J911*(1-I911))</f>
        <v>106964.71265014564</v>
      </c>
      <c r="P911" s="11">
        <f>IF($A911&gt;'1-Input'!$B$26,0,IF(U910&lt;=0,0,MAX(0,(U910-V910)/U910)))</f>
        <v>0.37403798754641154</v>
      </c>
      <c r="Q911" s="18">
        <f>IF($A911&gt;'1-Input'!$B$26,0,(MAX(0,P891-IF($A911&gt;='1-Input'!$C$12,'1-Input'!$B$12,0))-MIN(MAX(T910,0),MAX(0,P891-IF($A911&gt;='1-Input'!$C$12,'1-Input'!$B$12,0))))*(1/(1-'P-Parametri'!$B$6*P911))+MIN(MAX(0,U910-(MAX(0,P891-IF($A911&gt;='1-Input'!$C$12,'1-Input'!$B$12,0))-MIN(MAX(T910,0),MAX(0,P891-IF($A911&gt;='1-Input'!$C$12,'1-Input'!$B$12,0))))*(1/(1-'P-Parametri'!$B$6*P911))),MAX(0,0*P891-(T910-MIN(MAX(T910,0),MAX(0,P891-IF($A911&gt;='1-Input'!$C$12,'1-Input'!$B$12,0)))))*(1/(1-'P-Parametri'!$B$6*P911))))</f>
        <v>21850.511214296792</v>
      </c>
      <c r="R911" s="18">
        <f>IF($A911&gt;'1-Input'!$B$26,T910,(T910-MAX(0,P891-IF($A911&gt;='1-Input'!$C$12,'1-Input'!$B$12,0))+Q911*(1-'P-Parametri'!$B$6*P911))*(1+'1-Input'!$B$27))</f>
        <v>0</v>
      </c>
      <c r="S911" s="18">
        <f>IF($A911&gt;'1-Input'!$B$26,U910,(U910-Q911)*(1+'5-Roberta'!$C$4))</f>
        <v>231343.29576780682</v>
      </c>
      <c r="T911" s="18">
        <f>IF($A911&gt;'1-Input'!$B$26,R911,R911-'P-Parametri'!$B$8*(S911+R911)+MIN(MAX(S911,0),'P-Parametri'!$B$8*(S911+R911)))</f>
        <v>0</v>
      </c>
      <c r="U911" s="18">
        <f>IF($A911&gt;'1-Input'!$B$26,S911,S911-MIN(MAX(S911,0),'P-Parametri'!$B$8*(S911+R911)))</f>
        <v>230880.60917627122</v>
      </c>
      <c r="V911" s="18">
        <f>IF($A911&gt;'1-Input'!$B$26,V910,V910-Q911*(1-P911))</f>
        <v>140594.2863946234</v>
      </c>
      <c r="W911" s="11">
        <f>IF($A911&gt;'1-Input'!$B$26,0,IF(AB910&lt;=0,0,MAX(0,(AB910-AC910)/AB910)))</f>
        <v>0.37403798754641149</v>
      </c>
      <c r="X911" s="18">
        <f>IF($A911&gt;'1-Input'!$B$26,0,(MAX(0,W891-IF($A911&gt;='1-Input'!$C$12,'1-Input'!$B$12,0))-MIN(MAX(AA910,0),MAX(0,W891-IF($A911&gt;='1-Input'!$C$12,'1-Input'!$B$12,0))))*(1/(1-'P-Parametri'!$B$6*W911))+MIN(MAX(0,AB910-(MAX(0,W891-IF($A911&gt;='1-Input'!$C$12,'1-Input'!$B$12,0))-MIN(MAX(AA910,0),MAX(0,W891-IF($A911&gt;='1-Input'!$C$12,'1-Input'!$B$12,0))))*(1/(1-'P-Parametri'!$B$6*W911))),MAX(0,0*W891-(AA910-MIN(MAX(AA910,0),MAX(0,W891-IF($A911&gt;='1-Input'!$C$12,'1-Input'!$B$12,0)))))*(1/(1-'P-Parametri'!$B$6*W911))))</f>
        <v>21594.97325062579</v>
      </c>
      <c r="Y911" s="18">
        <f>IF($A911&gt;'1-Input'!$B$26,AA910,(AA910-MAX(0,W891-IF($A911&gt;='1-Input'!$C$12,'1-Input'!$B$12,0))+X911*(1-'P-Parametri'!$B$6*W911))*(1+'1-Input'!$B$27))</f>
        <v>0</v>
      </c>
      <c r="Z911" s="18">
        <f>IF($A911&gt;'1-Input'!$B$26,AB910,(AB910-X911)*(1+'5-Roberta'!$C$4))</f>
        <v>237085.17463091906</v>
      </c>
      <c r="AA911" s="18">
        <f>IF($A911&gt;'1-Input'!$B$26,Y911,Y911-'P-Parametri'!$B$8*(Z911+Y911)+MIN(MAX(Z911,0),'P-Parametri'!$B$8*(Z911+Y911)))</f>
        <v>0</v>
      </c>
      <c r="AB911" s="18">
        <f>IF($A911&gt;'1-Input'!$B$26,Z911,Z911-MIN(MAX(Z911,0),'P-Parametri'!$B$8*(Z911+Y911)))</f>
        <v>236611.00428165722</v>
      </c>
      <c r="AC911" s="18">
        <f>IF($A911&gt;'1-Input'!$B$26,AC910,AC910-X911*(1-W911))</f>
        <v>144083.79906299085</v>
      </c>
      <c r="AD911" s="11">
        <f>IF($A911&gt;'1-Input'!$B$26,0,IF(AI910&lt;=0,0,MAX(0,(AI910-AJ910)/AI910)))</f>
        <v>0.37403798754641088</v>
      </c>
      <c r="AE911" s="18">
        <f>IF($A911&gt;'1-Input'!$B$26,0,(MAX(0,AD891-IF($A911&gt;='1-Input'!$C$12,'1-Input'!$B$12,0))-MIN(MAX(AH910,0),MAX(0,AD891-IF($A911&gt;='1-Input'!$C$12,'1-Input'!$B$12,0))))*(1/(1-'P-Parametri'!$B$6*AD911))+MIN(MAX(0,AI910-(MAX(0,AD891-IF($A911&gt;='1-Input'!$C$12,'1-Input'!$B$12,0))-MIN(MAX(AH910,0),MAX(0,AD891-IF($A911&gt;='1-Input'!$C$12,'1-Input'!$B$12,0))))*(1/(1-'P-Parametri'!$B$6*AD911))),MAX(0,0*AD891-(AH910-MIN(MAX(AH910,0),MAX(0,AD891-IF($A911&gt;='1-Input'!$C$12,'1-Input'!$B$12,0)))))*(1/(1-'P-Parametri'!$B$6*AD911))))</f>
        <v>21591.839055577893</v>
      </c>
      <c r="AF911" s="18">
        <f>IF($A911&gt;'1-Input'!$B$26,AH910,(AH910-MAX(0,AD891-IF($A911&gt;='1-Input'!$C$12,'1-Input'!$B$12,0))+AE911*(1-'P-Parametri'!$B$6*AD911))*(1+'1-Input'!$B$27))</f>
        <v>0</v>
      </c>
      <c r="AG911" s="18">
        <f>IF($A911&gt;'1-Input'!$B$26,AI910,(AI910-AE911)*(1+'5-Roberta'!$C$4))</f>
        <v>237155.59926779012</v>
      </c>
      <c r="AH911" s="18">
        <f>IF($A911&gt;'1-Input'!$B$26,AF911,AF911-'P-Parametri'!$B$8*(AG911+AF911)+MIN(MAX(AG911,0),'P-Parametri'!$B$8*(AG911+AF911)))</f>
        <v>0</v>
      </c>
      <c r="AI911" s="18">
        <f>IF($A911&gt;'1-Input'!$B$26,AG911,AG911-MIN(MAX(AG911,0),'P-Parametri'!$B$8*(AG911+AF911)))</f>
        <v>236681.28806925454</v>
      </c>
      <c r="AJ911" s="18">
        <f>IF($A911&gt;'1-Input'!$B$26,AJ910,AJ910-AE911*(1-AD911))</f>
        <v>144126.59823524547</v>
      </c>
      <c r="AK911" s="11">
        <f>IF($A911&gt;'1-Input'!$B$26,0,IF(AP910&lt;=0,0,MAX(0,(AP910-AQ910)/AP910)))</f>
        <v>0.37403798754641104</v>
      </c>
      <c r="AL911" s="18">
        <f>IF($A911&gt;'1-Input'!$B$26,0,(MAX(0,AK891-IF($A911&gt;='1-Input'!$C$12,'1-Input'!$B$12,0))-MIN(MAX(AO910,0),MAX(0,AK891-IF($A911&gt;='1-Input'!$C$12,'1-Input'!$B$12,0))))*(1/(1-'P-Parametri'!$B$6*AK911))+MIN(MAX(0,AP910-(MAX(0,AK891-IF($A911&gt;='1-Input'!$C$12,'1-Input'!$B$12,0))-MIN(MAX(AO910,0),MAX(0,AK891-IF($A911&gt;='1-Input'!$C$12,'1-Input'!$B$12,0))))*(1/(1-'P-Parametri'!$B$6*AK911))),MAX(0,0*AK891-(AO910-MIN(MAX(AO910,0),MAX(0,AK891-IF($A911&gt;='1-Input'!$C$12,'1-Input'!$B$12,0)))))*(1/(1-'P-Parametri'!$B$6*AK911))))</f>
        <v>21592.382807977876</v>
      </c>
      <c r="AM911" s="18">
        <f>IF($A911&gt;'1-Input'!$B$26,AO910,(AO910-MAX(0,AK891-IF($A911&gt;='1-Input'!$C$12,'1-Input'!$B$12,0))+AL911*(1-'P-Parametri'!$B$6*AK911))*(1+'1-Input'!$B$27))</f>
        <v>-3.6248820833861826E-12</v>
      </c>
      <c r="AN911" s="18">
        <f>IF($A911&gt;'1-Input'!$B$26,AP910,(AP910-AL911)*(1+'5-Roberta'!$C$4))</f>
        <v>237143.38127729151</v>
      </c>
      <c r="AO911" s="18">
        <f>IF($A911&gt;'1-Input'!$B$26,AM911,AM911-'P-Parametri'!$B$8*(AN911+AM911)+MIN(MAX(AN911,0),'P-Parametri'!$B$8*(AN911+AM911)))</f>
        <v>-3.637978807091713E-12</v>
      </c>
      <c r="AP911" s="18">
        <f>IF($A911&gt;'1-Input'!$B$26,AN911,AN911-MIN(MAX(AN911,0),'P-Parametri'!$B$8*(AN911+AM911)))</f>
        <v>236669.09451473693</v>
      </c>
      <c r="AQ911" s="18">
        <f>IF($A911&gt;'1-Input'!$B$26,AQ910,AQ910-AL911*(1-AK911))</f>
        <v>144119.17299454578</v>
      </c>
    </row>
    <row r="912" spans="1:43">
      <c r="A912" s="10">
        <f>19</f>
        <v>19</v>
      </c>
      <c r="B912" s="11">
        <f>IF($A912&gt;'1-Input'!$B$26,0,IF(G911&lt;=0,0,MAX(0,(G911-H911)/G911)))</f>
        <v>0.39105199481138098</v>
      </c>
      <c r="C912" s="18">
        <f>IF($A912&gt;'1-Input'!$B$26,0,(MAX(0,B891-IF($A912&gt;='1-Input'!$C$12,'1-Input'!$B$12,0))-MIN(MAX(F911,0),MAX(0,B891-IF($A912&gt;='1-Input'!$C$12,'1-Input'!$B$12,0))))*(1/(1-'P-Parametri'!$B$6*B912))+MIN(MAX(0,G911-(MAX(0,B891-IF($A912&gt;='1-Input'!$C$12,'1-Input'!$B$12,0))-MIN(MAX(F911,0),MAX(0,B891-IF($A912&gt;='1-Input'!$C$12,'1-Input'!$B$12,0))))*(1/(1-'P-Parametri'!$B$6*B912))),MAX(0,0*B891-(F911-MIN(MAX(F911,0),MAX(0,B891-IF($A912&gt;='1-Input'!$C$12,'1-Input'!$B$12,0)))))*(1/(1-'P-Parametri'!$B$6*B912))))</f>
        <v>18569.034377763659</v>
      </c>
      <c r="D912" s="18">
        <f>IF($A912&gt;'1-Input'!$B$26,F911,(F911-MAX(0,B891-IF($A912&gt;='1-Input'!$C$12,'1-Input'!$B$12,0))+C912*(1-'P-Parametri'!$B$6*B912))*(1+'1-Input'!$B$27))</f>
        <v>3.6248820833861826E-12</v>
      </c>
      <c r="E912" s="18">
        <f>IF($A912&gt;'1-Input'!$B$26,G911,(G911-C912)*(1+'5-Roberta'!$C$4))</f>
        <v>296576.76248358336</v>
      </c>
      <c r="F912" s="18">
        <f>IF($A912&gt;'1-Input'!$B$26,D912,D912-'P-Parametri'!$B$8*(E912+D912)+MIN(MAX(E912,0),'P-Parametri'!$B$8*(E912+D912)))</f>
        <v>3.637978807091713E-12</v>
      </c>
      <c r="G912" s="18">
        <f>IF($A912&gt;'1-Input'!$B$26,E912,E912-MIN(MAX(E912,0),'P-Parametri'!$B$8*(E912+D912)))</f>
        <v>295983.60895861621</v>
      </c>
      <c r="H912" s="18">
        <f>IF($A912&gt;'1-Input'!$B$26,H911,H911-C912*(1-B912))</f>
        <v>175339.63873755044</v>
      </c>
      <c r="I912" s="11">
        <f>IF($A912&gt;'1-Input'!$B$26,0,IF(N911&lt;=0,0,MAX(0,(N911-O911)/N911)))</f>
        <v>0.39105199481138114</v>
      </c>
      <c r="J912" s="18">
        <f>IF($A912&gt;'1-Input'!$B$26,0,(MAX(0,I891-IF($A912&gt;='1-Input'!$C$12,'1-Input'!$B$12,0))-MIN(MAX(M911,0),MAX(0,I891-IF($A912&gt;='1-Input'!$C$12,'1-Input'!$B$12,0))))*(1/(1-'P-Parametri'!$B$6*I912))+MIN(MAX(0,N911-(MAX(0,I891-IF($A912&gt;='1-Input'!$C$12,'1-Input'!$B$12,0))-MIN(MAX(M911,0),MAX(0,I891-IF($A912&gt;='1-Input'!$C$12,'1-Input'!$B$12,0))))*(1/(1-'P-Parametri'!$B$6*I912))),MAX(0,0*I891-(M911-MIN(MAX(M911,0),MAX(0,I891-IF($A912&gt;='1-Input'!$C$12,'1-Input'!$B$12,0)))))*(1/(1-'P-Parametri'!$B$6*I912))))</f>
        <v>24432.93997074166</v>
      </c>
      <c r="K912" s="18">
        <f>IF($A912&gt;'1-Input'!$B$26,M911,(M911-MAX(0,I891-IF($A912&gt;='1-Input'!$C$12,'1-Input'!$B$12,0))+J912*(1-'P-Parametri'!$B$6*I912))*(1+'1-Input'!$B$27))</f>
        <v>3.6248820833861826E-12</v>
      </c>
      <c r="L912" s="18">
        <f>IF($A912&gt;'1-Input'!$B$26,N911,(N911-J912)*(1+'5-Roberta'!$C$4))</f>
        <v>155758.63860907516</v>
      </c>
      <c r="M912" s="18">
        <f>IF($A912&gt;'1-Input'!$B$26,K912,K912-'P-Parametri'!$B$8*(L912+K912)+MIN(MAX(L912,0),'P-Parametri'!$B$8*(L912+K912)))</f>
        <v>3.637978807091713E-12</v>
      </c>
      <c r="N912" s="18">
        <f>IF($A912&gt;'1-Input'!$B$26,L912,L912-MIN(MAX(L912,0),'P-Parametri'!$B$8*(L912+K912)))</f>
        <v>155447.12133185702</v>
      </c>
      <c r="O912" s="18">
        <f>IF($A912&gt;'1-Input'!$B$26,O911,O911-J912*(1-I912))</f>
        <v>92086.322594069235</v>
      </c>
      <c r="P912" s="11">
        <f>IF($A912&gt;'1-Input'!$B$26,0,IF(U911&lt;=0,0,MAX(0,(U911-V911)/U911)))</f>
        <v>0.39105199481138153</v>
      </c>
      <c r="Q912" s="18">
        <f>IF($A912&gt;'1-Input'!$B$26,0,(MAX(0,P891-IF($A912&gt;='1-Input'!$C$12,'1-Input'!$B$12,0))-MIN(MAX(T911,0),MAX(0,P891-IF($A912&gt;='1-Input'!$C$12,'1-Input'!$B$12,0))))*(1/(1-'P-Parametri'!$B$6*P912))+MIN(MAX(0,U911-(MAX(0,P891-IF($A912&gt;='1-Input'!$C$12,'1-Input'!$B$12,0))-MIN(MAX(T911,0),MAX(0,P891-IF($A912&gt;='1-Input'!$C$12,'1-Input'!$B$12,0))))*(1/(1-'P-Parametri'!$B$6*P912))),MAX(0,0*P891-(T911-MIN(MAX(T911,0),MAX(0,P891-IF($A912&gt;='1-Input'!$C$12,'1-Input'!$B$12,0)))))*(1/(1-'P-Parametri'!$B$6*P912))))</f>
        <v>21958.109997932912</v>
      </c>
      <c r="R912" s="18">
        <f>IF($A912&gt;'1-Input'!$B$26,T911,(T911-MAX(0,P891-IF($A912&gt;='1-Input'!$C$12,'1-Input'!$B$12,0))+Q912*(1-'P-Parametri'!$B$6*P912))*(1+'1-Input'!$B$27))</f>
        <v>0</v>
      </c>
      <c r="S912" s="18">
        <f>IF($A912&gt;'1-Input'!$B$26,U911,(U911-Q912)*(1+'5-Roberta'!$C$4))</f>
        <v>215190.17415368845</v>
      </c>
      <c r="T912" s="18">
        <f>IF($A912&gt;'1-Input'!$B$26,R912,R912-'P-Parametri'!$B$8*(S912+R912)+MIN(MAX(S912,0),'P-Parametri'!$B$8*(S912+R912)))</f>
        <v>0</v>
      </c>
      <c r="U912" s="18">
        <f>IF($A912&gt;'1-Input'!$B$26,S912,S912-MIN(MAX(S912,0),'P-Parametri'!$B$8*(S912+R912)))</f>
        <v>214759.79380538108</v>
      </c>
      <c r="V912" s="18">
        <f>IF($A912&gt;'1-Input'!$B$26,V911,V911-Q912*(1-P912))</f>
        <v>127222.9391136699</v>
      </c>
      <c r="W912" s="11">
        <f>IF($A912&gt;'1-Input'!$B$26,0,IF(AB911&lt;=0,0,MAX(0,(AB911-AC911)/AB911)))</f>
        <v>0.39105199481138148</v>
      </c>
      <c r="X912" s="18">
        <f>IF($A912&gt;'1-Input'!$B$26,0,(MAX(0,W891-IF($A912&gt;='1-Input'!$C$12,'1-Input'!$B$12,0))-MIN(MAX(AA911,0),MAX(0,W891-IF($A912&gt;='1-Input'!$C$12,'1-Input'!$B$12,0))))*(1/(1-'P-Parametri'!$B$6*W912))+MIN(MAX(0,AB911-(MAX(0,W891-IF($A912&gt;='1-Input'!$C$12,'1-Input'!$B$12,0))-MIN(MAX(AA911,0),MAX(0,W891-IF($A912&gt;='1-Input'!$C$12,'1-Input'!$B$12,0))))*(1/(1-'P-Parametri'!$B$6*W912))),MAX(0,0*W891-(AA911-MIN(MAX(AA911,0),MAX(0,W891-IF($A912&gt;='1-Input'!$C$12,'1-Input'!$B$12,0)))))*(1/(1-'P-Parametri'!$B$6*W912))))</f>
        <v>21701.313685027228</v>
      </c>
      <c r="Y912" s="18">
        <f>IF($A912&gt;'1-Input'!$B$26,AA911,(AA911-MAX(0,W891-IF($A912&gt;='1-Input'!$C$12,'1-Input'!$B$12,0))+X912*(1-'P-Parametri'!$B$6*W912))*(1+'1-Input'!$B$27))</f>
        <v>0</v>
      </c>
      <c r="Z912" s="18">
        <f>IF($A912&gt;'1-Input'!$B$26,AB911,(AB911-X912)*(1+'5-Roberta'!$C$4))</f>
        <v>221356.98131452888</v>
      </c>
      <c r="AA912" s="18">
        <f>IF($A912&gt;'1-Input'!$B$26,Y912,Y912-'P-Parametri'!$B$8*(Z912+Y912)+MIN(MAX(Z912,0),'P-Parametri'!$B$8*(Z912+Y912)))</f>
        <v>0</v>
      </c>
      <c r="AB912" s="18">
        <f>IF($A912&gt;'1-Input'!$B$26,Z912,Z912-MIN(MAX(Z912,0),'P-Parametri'!$B$8*(Z912+Y912)))</f>
        <v>220914.26735189982</v>
      </c>
      <c r="AC912" s="18">
        <f>IF($A912&gt;'1-Input'!$B$26,AC911,AC911-X912*(1-W912))</f>
        <v>130868.82738452105</v>
      </c>
      <c r="AD912" s="11">
        <f>IF($A912&gt;'1-Input'!$B$26,0,IF(AI911&lt;=0,0,MAX(0,(AI911-AJ911)/AI911)))</f>
        <v>0.39105199481138087</v>
      </c>
      <c r="AE912" s="18">
        <f>IF($A912&gt;'1-Input'!$B$26,0,(MAX(0,AD891-IF($A912&gt;='1-Input'!$C$12,'1-Input'!$B$12,0))-MIN(MAX(AH911,0),MAX(0,AD891-IF($A912&gt;='1-Input'!$C$12,'1-Input'!$B$12,0))))*(1/(1-'P-Parametri'!$B$6*AD912))+MIN(MAX(0,AI911-(MAX(0,AD891-IF($A912&gt;='1-Input'!$C$12,'1-Input'!$B$12,0))-MIN(MAX(AH911,0),MAX(0,AD891-IF($A912&gt;='1-Input'!$C$12,'1-Input'!$B$12,0))))*(1/(1-'P-Parametri'!$B$6*AD912))),MAX(0,0*AD891-(AH911-MIN(MAX(AH911,0),MAX(0,AD891-IF($A912&gt;='1-Input'!$C$12,'1-Input'!$B$12,0)))))*(1/(1-'P-Parametri'!$B$6*AD912))))</f>
        <v>21698.164056218011</v>
      </c>
      <c r="AF912" s="18">
        <f>IF($A912&gt;'1-Input'!$B$26,AH911,(AH911-MAX(0,AD891-IF($A912&gt;='1-Input'!$C$12,'1-Input'!$B$12,0))+AE912*(1-'P-Parametri'!$B$6*AD912))*(1+'1-Input'!$B$27))</f>
        <v>0</v>
      </c>
      <c r="AG912" s="18">
        <f>IF($A912&gt;'1-Input'!$B$26,AI911,(AI911-AE912)*(1+'5-Roberta'!$C$4))</f>
        <v>221432.61773342764</v>
      </c>
      <c r="AH912" s="18">
        <f>IF($A912&gt;'1-Input'!$B$26,AF912,AF912-'P-Parametri'!$B$8*(AG912+AF912)+MIN(MAX(AG912,0),'P-Parametri'!$B$8*(AG912+AF912)))</f>
        <v>0</v>
      </c>
      <c r="AI912" s="18">
        <f>IF($A912&gt;'1-Input'!$B$26,AG912,AG912-MIN(MAX(AG912,0),'P-Parametri'!$B$8*(AG912+AF912)))</f>
        <v>220989.75249796078</v>
      </c>
      <c r="AJ912" s="18">
        <f>IF($A912&gt;'1-Input'!$B$26,AJ911,AJ911-AE912*(1-AD912))</f>
        <v>130913.54451695611</v>
      </c>
      <c r="AK912" s="11">
        <f>IF($A912&gt;'1-Input'!$B$26,0,IF(AP911&lt;=0,0,MAX(0,(AP911-AQ911)/AP911)))</f>
        <v>0.39105199481138103</v>
      </c>
      <c r="AL912" s="18">
        <f>IF($A912&gt;'1-Input'!$B$26,0,(MAX(0,AK891-IF($A912&gt;='1-Input'!$C$12,'1-Input'!$B$12,0))-MIN(MAX(AO911,0),MAX(0,AK891-IF($A912&gt;='1-Input'!$C$12,'1-Input'!$B$12,0))))*(1/(1-'P-Parametri'!$B$6*AK912))+MIN(MAX(0,AP911-(MAX(0,AK891-IF($A912&gt;='1-Input'!$C$12,'1-Input'!$B$12,0))-MIN(MAX(AO911,0),MAX(0,AK891-IF($A912&gt;='1-Input'!$C$12,'1-Input'!$B$12,0))))*(1/(1-'P-Parametri'!$B$6*AK912))),MAX(0,0*AK891-(AO911-MIN(MAX(AO911,0),MAX(0,AK891-IF($A912&gt;='1-Input'!$C$12,'1-Input'!$B$12,0)))))*(1/(1-'P-Parametri'!$B$6*AK912))))</f>
        <v>21698.710486225693</v>
      </c>
      <c r="AM912" s="18">
        <f>IF($A912&gt;'1-Input'!$B$26,AO911,(AO911-MAX(0,AK891-IF($A912&gt;='1-Input'!$C$12,'1-Input'!$B$12,0))+AL912*(1-'P-Parametri'!$B$6*AK912))*(1+'1-Input'!$B$27))</f>
        <v>0</v>
      </c>
      <c r="AN912" s="18">
        <f>IF($A912&gt;'1-Input'!$B$26,AP911,(AP911-AL912)*(1+'5-Roberta'!$C$4))</f>
        <v>221419.49554936658</v>
      </c>
      <c r="AO912" s="18">
        <f>IF($A912&gt;'1-Input'!$B$26,AM912,AM912-'P-Parametri'!$B$8*(AN912+AM912)+MIN(MAX(AN912,0),'P-Parametri'!$B$8*(AN912+AM912)))</f>
        <v>0</v>
      </c>
      <c r="AP912" s="18">
        <f>IF($A912&gt;'1-Input'!$B$26,AN912,AN912-MIN(MAX(AN912,0),'P-Parametri'!$B$8*(AN912+AM912)))</f>
        <v>220976.65655826783</v>
      </c>
      <c r="AQ912" s="18">
        <f>IF($A912&gt;'1-Input'!$B$26,AQ911,AQ911-AL912*(1-AK912))</f>
        <v>130905.78652879328</v>
      </c>
    </row>
    <row r="913" spans="1:43">
      <c r="A913" s="10">
        <f>20</f>
        <v>20</v>
      </c>
      <c r="B913" s="11">
        <f>IF($A913&gt;'1-Input'!$B$26,0,IF(G912&lt;=0,0,MAX(0,(G912-H912)/G912)))</f>
        <v>0.40760355158022937</v>
      </c>
      <c r="C913" s="18">
        <f>IF($A913&gt;'1-Input'!$B$26,0,(MAX(0,B891-IF($A913&gt;='1-Input'!$C$12,'1-Input'!$B$12,0))-MIN(MAX(F912,0),MAX(0,B891-IF($A913&gt;='1-Input'!$C$12,'1-Input'!$B$12,0))))*(1/(1-'P-Parametri'!$B$6*B913))+MIN(MAX(0,G912-(MAX(0,B891-IF($A913&gt;='1-Input'!$C$12,'1-Input'!$B$12,0))-MIN(MAX(F912,0),MAX(0,B891-IF($A913&gt;='1-Input'!$C$12,'1-Input'!$B$12,0))))*(1/(1-'P-Parametri'!$B$6*B913))),MAX(0,0*B891-(F912-MIN(MAX(F912,0),MAX(0,B891-IF($A913&gt;='1-Input'!$C$12,'1-Input'!$B$12,0)))))*(1/(1-'P-Parametri'!$B$6*B913))))</f>
        <v>18658.416937364793</v>
      </c>
      <c r="D913" s="18">
        <f>IF($A913&gt;'1-Input'!$B$26,F912,(F912-MAX(0,B891-IF($A913&gt;='1-Input'!$C$12,'1-Input'!$B$12,0))+C913*(1-'P-Parametri'!$B$6*B913))*(1+'1-Input'!$B$27))</f>
        <v>0</v>
      </c>
      <c r="E913" s="18">
        <f>IF($A913&gt;'1-Input'!$B$26,G912,(G912-C913)*(1+'5-Roberta'!$C$4))</f>
        <v>285644.947781889</v>
      </c>
      <c r="F913" s="18">
        <f>IF($A913&gt;'1-Input'!$B$26,D913,D913-'P-Parametri'!$B$8*(E913+D913)+MIN(MAX(E913,0),'P-Parametri'!$B$8*(E913+D913)))</f>
        <v>0</v>
      </c>
      <c r="G913" s="18">
        <f>IF($A913&gt;'1-Input'!$B$26,E913,E913-MIN(MAX(E913,0),'P-Parametri'!$B$8*(E913+D913)))</f>
        <v>285073.65788632521</v>
      </c>
      <c r="H913" s="18">
        <f>IF($A913&gt;'1-Input'!$B$26,H912,H912-C913*(1-B913))</f>
        <v>164286.45881072024</v>
      </c>
      <c r="I913" s="11">
        <f>IF($A913&gt;'1-Input'!$B$26,0,IF(N912&lt;=0,0,MAX(0,(N912-O912)/N912)))</f>
        <v>0.40760355158022954</v>
      </c>
      <c r="J913" s="18">
        <f>IF($A913&gt;'1-Input'!$B$26,0,(MAX(0,I891-IF($A913&gt;='1-Input'!$C$12,'1-Input'!$B$12,0))-MIN(MAX(M912,0),MAX(0,I891-IF($A913&gt;='1-Input'!$C$12,'1-Input'!$B$12,0))))*(1/(1-'P-Parametri'!$B$6*I913))+MIN(MAX(0,N912-(MAX(0,I891-IF($A913&gt;='1-Input'!$C$12,'1-Input'!$B$12,0))-MIN(MAX(M912,0),MAX(0,I891-IF($A913&gt;='1-Input'!$C$12,'1-Input'!$B$12,0))))*(1/(1-'P-Parametri'!$B$6*I913))),MAX(0,0*I891-(M912-MIN(MAX(M912,0),MAX(0,I891-IF($A913&gt;='1-Input'!$C$12,'1-Input'!$B$12,0)))))*(1/(1-'P-Parametri'!$B$6*I913))))</f>
        <v>24550.548601795788</v>
      </c>
      <c r="K913" s="18">
        <f>IF($A913&gt;'1-Input'!$B$26,M912,(M912-MAX(0,I891-IF($A913&gt;='1-Input'!$C$12,'1-Input'!$B$12,0))+J913*(1-'P-Parametri'!$B$6*I913))*(1+'1-Input'!$B$27))</f>
        <v>0</v>
      </c>
      <c r="L913" s="18">
        <f>IF($A913&gt;'1-Input'!$B$26,N912,(N912-J913)*(1+'5-Roberta'!$C$4))</f>
        <v>134823.46991196307</v>
      </c>
      <c r="M913" s="18">
        <f>IF($A913&gt;'1-Input'!$B$26,K913,K913-'P-Parametri'!$B$8*(L913+K913)+MIN(MAX(L913,0),'P-Parametri'!$B$8*(L913+K913)))</f>
        <v>0</v>
      </c>
      <c r="N913" s="18">
        <f>IF($A913&gt;'1-Input'!$B$26,L913,L913-MIN(MAX(L913,0),'P-Parametri'!$B$8*(L913+K913)))</f>
        <v>134553.82297213914</v>
      </c>
      <c r="O913" s="18">
        <f>IF($A913&gt;'1-Input'!$B$26,O912,O912-J913*(1-I913))</f>
        <v>77542.664795608449</v>
      </c>
      <c r="P913" s="11">
        <f>IF($A913&gt;'1-Input'!$B$26,0,IF(U912&lt;=0,0,MAX(0,(U912-V912)/U912)))</f>
        <v>0.40760355158022987</v>
      </c>
      <c r="Q913" s="18">
        <f>IF($A913&gt;'1-Input'!$B$26,0,(MAX(0,P891-IF($A913&gt;='1-Input'!$C$12,'1-Input'!$B$12,0))-MIN(MAX(T912,0),MAX(0,P891-IF($A913&gt;='1-Input'!$C$12,'1-Input'!$B$12,0))))*(1/(1-'P-Parametri'!$B$6*P913))+MIN(MAX(0,U912-(MAX(0,P891-IF($A913&gt;='1-Input'!$C$12,'1-Input'!$B$12,0))-MIN(MAX(T912,0),MAX(0,P891-IF($A913&gt;='1-Input'!$C$12,'1-Input'!$B$12,0))))*(1/(1-'P-Parametri'!$B$6*P913))),MAX(0,0*P891-(T912-MIN(MAX(T912,0),MAX(0,P891-IF($A913&gt;='1-Input'!$C$12,'1-Input'!$B$12,0)))))*(1/(1-'P-Parametri'!$B$6*P913))))</f>
        <v>22063.805966591841</v>
      </c>
      <c r="R913" s="18">
        <f>IF($A913&gt;'1-Input'!$B$26,T912,(T912-MAX(0,P891-IF($A913&gt;='1-Input'!$C$12,'1-Input'!$B$12,0))+Q913*(1-'P-Parametri'!$B$6*P913))*(1+'1-Input'!$B$27))</f>
        <v>0</v>
      </c>
      <c r="S913" s="18">
        <f>IF($A913&gt;'1-Input'!$B$26,U912,(U912-Q913)*(1+'5-Roberta'!$C$4))</f>
        <v>198476.86747395291</v>
      </c>
      <c r="T913" s="18">
        <f>IF($A913&gt;'1-Input'!$B$26,R913,R913-'P-Parametri'!$B$8*(S913+R913)+MIN(MAX(S913,0),'P-Parametri'!$B$8*(S913+R913)))</f>
        <v>0</v>
      </c>
      <c r="U913" s="18">
        <f>IF($A913&gt;'1-Input'!$B$26,S913,S913-MIN(MAX(S913,0),'P-Parametri'!$B$8*(S913+R913)))</f>
        <v>198079.91373900502</v>
      </c>
      <c r="V913" s="18">
        <f>IF($A913&gt;'1-Input'!$B$26,V912,V912-Q913*(1-P913))</f>
        <v>114152.41882043796</v>
      </c>
      <c r="W913" s="11">
        <f>IF($A913&gt;'1-Input'!$B$26,0,IF(AB912&lt;=0,0,MAX(0,(AB912-AC912)/AB912)))</f>
        <v>0.40760355158022976</v>
      </c>
      <c r="X913" s="18">
        <f>IF($A913&gt;'1-Input'!$B$26,0,(MAX(0,W891-IF($A913&gt;='1-Input'!$C$12,'1-Input'!$B$12,0))-MIN(MAX(AA912,0),MAX(0,W891-IF($A913&gt;='1-Input'!$C$12,'1-Input'!$B$12,0))))*(1/(1-'P-Parametri'!$B$6*W913))+MIN(MAX(0,AB912-(MAX(0,W891-IF($A913&gt;='1-Input'!$C$12,'1-Input'!$B$12,0))-MIN(MAX(AA912,0),MAX(0,W891-IF($A913&gt;='1-Input'!$C$12,'1-Input'!$B$12,0))))*(1/(1-'P-Parametri'!$B$6*W913))),MAX(0,0*W891-(AA912-MIN(MAX(AA912,0),MAX(0,W891-IF($A913&gt;='1-Input'!$C$12,'1-Input'!$B$12,0)))))*(1/(1-'P-Parametri'!$B$6*W913))))</f>
        <v>21805.773557544773</v>
      </c>
      <c r="Y913" s="18">
        <f>IF($A913&gt;'1-Input'!$B$26,AA912,(AA912-MAX(0,W891-IF($A913&gt;='1-Input'!$C$12,'1-Input'!$B$12,0))+X913*(1-'P-Parametri'!$B$6*W913))*(1+'1-Input'!$B$27))</f>
        <v>3.6248820833861826E-12</v>
      </c>
      <c r="Z913" s="18">
        <f>IF($A913&gt;'1-Input'!$B$26,AB912,(AB912-X913)*(1+'5-Roberta'!$C$4))</f>
        <v>205081.74860818571</v>
      </c>
      <c r="AA913" s="18">
        <f>IF($A913&gt;'1-Input'!$B$26,Y913,Y913-'P-Parametri'!$B$8*(Z913+Y913)+MIN(MAX(Z913,0),'P-Parametri'!$B$8*(Z913+Y913)))</f>
        <v>3.637978807091713E-12</v>
      </c>
      <c r="AB913" s="18">
        <f>IF($A913&gt;'1-Input'!$B$26,Z913,Z913-MIN(MAX(Z913,0),'P-Parametri'!$B$8*(Z913+Y913)))</f>
        <v>204671.58511096935</v>
      </c>
      <c r="AC913" s="18">
        <f>IF($A913&gt;'1-Input'!$B$26,AC912,AC912-X913*(1-W913))</f>
        <v>117951.16457398579</v>
      </c>
      <c r="AD913" s="11">
        <f>IF($A913&gt;'1-Input'!$B$26,0,IF(AI912&lt;=0,0,MAX(0,(AI912-AJ912)/AI912)))</f>
        <v>0.40760355158022932</v>
      </c>
      <c r="AE913" s="18">
        <f>IF($A913&gt;'1-Input'!$B$26,0,(MAX(0,AD891-IF($A913&gt;='1-Input'!$C$12,'1-Input'!$B$12,0))-MIN(MAX(AH912,0),MAX(0,AD891-IF($A913&gt;='1-Input'!$C$12,'1-Input'!$B$12,0))))*(1/(1-'P-Parametri'!$B$6*AD913))+MIN(MAX(0,AI912-(MAX(0,AD891-IF($A913&gt;='1-Input'!$C$12,'1-Input'!$B$12,0))-MIN(MAX(AH912,0),MAX(0,AD891-IF($A913&gt;='1-Input'!$C$12,'1-Input'!$B$12,0))))*(1/(1-'P-Parametri'!$B$6*AD913))),MAX(0,0*AD891-(AH912-MIN(MAX(AH912,0),MAX(0,AD891-IF($A913&gt;='1-Input'!$C$12,'1-Input'!$B$12,0)))))*(1/(1-'P-Parametri'!$B$6*AD913))))</f>
        <v>21802.608767910333</v>
      </c>
      <c r="AF913" s="18">
        <f>IF($A913&gt;'1-Input'!$B$26,AH912,(AH912-MAX(0,AD891-IF($A913&gt;='1-Input'!$C$12,'1-Input'!$B$12,0))+AE913*(1-'P-Parametri'!$B$6*AD913))*(1+'1-Input'!$B$27))</f>
        <v>0</v>
      </c>
      <c r="AG913" s="18">
        <f>IF($A913&gt;'1-Input'!$B$26,AI912,(AI912-AE913)*(1+'5-Roberta'!$C$4))</f>
        <v>205162.75804195198</v>
      </c>
      <c r="AH913" s="18">
        <f>IF($A913&gt;'1-Input'!$B$26,AF913,AF913-'P-Parametri'!$B$8*(AG913+AF913)+MIN(MAX(AG913,0),'P-Parametri'!$B$8*(AG913+AF913)))</f>
        <v>0</v>
      </c>
      <c r="AI913" s="18">
        <f>IF($A913&gt;'1-Input'!$B$26,AG913,AG913-MIN(MAX(AG913,0),'P-Parametri'!$B$8*(AG913+AF913)))</f>
        <v>204752.43252586806</v>
      </c>
      <c r="AJ913" s="18">
        <f>IF($A913&gt;'1-Input'!$B$26,AJ912,AJ912-AE913*(1-AD913))</f>
        <v>117997.75651656027</v>
      </c>
      <c r="AK913" s="11">
        <f>IF($A913&gt;'1-Input'!$B$26,0,IF(AP912&lt;=0,0,MAX(0,(AP912-AQ912)/AP912)))</f>
        <v>0.40760355158022937</v>
      </c>
      <c r="AL913" s="18">
        <f>IF($A913&gt;'1-Input'!$B$26,0,(MAX(0,AK891-IF($A913&gt;='1-Input'!$C$12,'1-Input'!$B$12,0))-MIN(MAX(AO912,0),MAX(0,AK891-IF($A913&gt;='1-Input'!$C$12,'1-Input'!$B$12,0))))*(1/(1-'P-Parametri'!$B$6*AK913))+MIN(MAX(0,AP912-(MAX(0,AK891-IF($A913&gt;='1-Input'!$C$12,'1-Input'!$B$12,0))-MIN(MAX(AO912,0),MAX(0,AK891-IF($A913&gt;='1-Input'!$C$12,'1-Input'!$B$12,0))))*(1/(1-'P-Parametri'!$B$6*AK913))),MAX(0,0*AK891-(AO912-MIN(MAX(AO912,0),MAX(0,AK891-IF($A913&gt;='1-Input'!$C$12,'1-Input'!$B$12,0)))))*(1/(1-'P-Parametri'!$B$6*AK913))))</f>
        <v>21803.157828173931</v>
      </c>
      <c r="AM913" s="18">
        <f>IF($A913&gt;'1-Input'!$B$26,AO912,(AO912-MAX(0,AK891-IF($A913&gt;='1-Input'!$C$12,'1-Input'!$B$12,0))+AL913*(1-'P-Parametri'!$B$6*AK913))*(1+'1-Input'!$B$27))</f>
        <v>0</v>
      </c>
      <c r="AN913" s="18">
        <f>IF($A913&gt;'1-Input'!$B$26,AP912,(AP912-AL913)*(1+'5-Roberta'!$C$4))</f>
        <v>205148.70369199672</v>
      </c>
      <c r="AO913" s="18">
        <f>IF($A913&gt;'1-Input'!$B$26,AM913,AM913-'P-Parametri'!$B$8*(AN913+AM913)+MIN(MAX(AN913,0),'P-Parametri'!$B$8*(AN913+AM913)))</f>
        <v>0</v>
      </c>
      <c r="AP913" s="18">
        <f>IF($A913&gt;'1-Input'!$B$26,AN913,AN913-MIN(MAX(AN913,0),'P-Parametri'!$B$8*(AN913+AM913)))</f>
        <v>204738.40628461272</v>
      </c>
      <c r="AQ913" s="18">
        <f>IF($A913&gt;'1-Input'!$B$26,AQ912,AQ912-AL913*(1-AK913))</f>
        <v>117989.67326704733</v>
      </c>
    </row>
    <row r="914" spans="1:43">
      <c r="A914" s="10">
        <f>21</f>
        <v>21</v>
      </c>
      <c r="B914" s="11">
        <f>IF($A914&gt;'1-Input'!$B$26,0,IF(G913&lt;=0,0,MAX(0,(G913-H913)/G913)))</f>
        <v>0.42370522752323037</v>
      </c>
      <c r="C914" s="18">
        <f>IF($A914&gt;'1-Input'!$B$26,0,(MAX(0,B891-IF($A914&gt;='1-Input'!$C$12,'1-Input'!$B$12,0))-MIN(MAX(F913,0),MAX(0,B891-IF($A914&gt;='1-Input'!$C$12,'1-Input'!$B$12,0))))*(1/(1-'P-Parametri'!$B$6*B914))+MIN(MAX(0,G913-(MAX(0,B891-IF($A914&gt;='1-Input'!$C$12,'1-Input'!$B$12,0))-MIN(MAX(F913,0),MAX(0,B891-IF($A914&gt;='1-Input'!$C$12,'1-Input'!$B$12,0))))*(1/(1-'P-Parametri'!$B$6*B914))),MAX(0,0*B891-(F913-MIN(MAX(F913,0),MAX(0,B891-IF($A914&gt;='1-Input'!$C$12,'1-Input'!$B$12,0)))))*(1/(1-'P-Parametri'!$B$6*B914))))</f>
        <v>18746.199638177135</v>
      </c>
      <c r="D914" s="18">
        <f>IF($A914&gt;'1-Input'!$B$26,F913,(F913-MAX(0,B891-IF($A914&gt;='1-Input'!$C$12,'1-Input'!$B$12,0))+C914*(1-'P-Parametri'!$B$6*B914))*(1+'1-Input'!$B$27))</f>
        <v>0</v>
      </c>
      <c r="E914" s="18">
        <f>IF($A914&gt;'1-Input'!$B$26,G913,(G913-C914)*(1+'5-Roberta'!$C$4))</f>
        <v>274317.28199559252</v>
      </c>
      <c r="F914" s="18">
        <f>IF($A914&gt;'1-Input'!$B$26,D914,D914-'P-Parametri'!$B$8*(E914+D914)+MIN(MAX(E914,0),'P-Parametri'!$B$8*(E914+D914)))</f>
        <v>0</v>
      </c>
      <c r="G914" s="18">
        <f>IF($A914&gt;'1-Input'!$B$26,E914,E914-MIN(MAX(E914,0),'P-Parametri'!$B$8*(E914+D914)))</f>
        <v>273768.64743160136</v>
      </c>
      <c r="H914" s="18">
        <f>IF($A914&gt;'1-Input'!$B$26,H913,H913-C914*(1-B914))</f>
        <v>153483.12195543284</v>
      </c>
      <c r="I914" s="11">
        <f>IF($A914&gt;'1-Input'!$B$26,0,IF(N913&lt;=0,0,MAX(0,(N913-O913)/N913)))</f>
        <v>0.42370522752323048</v>
      </c>
      <c r="J914" s="18">
        <f>IF($A914&gt;'1-Input'!$B$26,0,(MAX(0,I891-IF($A914&gt;='1-Input'!$C$12,'1-Input'!$B$12,0))-MIN(MAX(M913,0),MAX(0,I891-IF($A914&gt;='1-Input'!$C$12,'1-Input'!$B$12,0))))*(1/(1-'P-Parametri'!$B$6*I914))+MIN(MAX(0,N913-(MAX(0,I891-IF($A914&gt;='1-Input'!$C$12,'1-Input'!$B$12,0))-MIN(MAX(M913,0),MAX(0,I891-IF($A914&gt;='1-Input'!$C$12,'1-Input'!$B$12,0))))*(1/(1-'P-Parametri'!$B$6*I914))),MAX(0,0*I891-(M913-MIN(MAX(M913,0),MAX(0,I891-IF($A914&gt;='1-Input'!$C$12,'1-Input'!$B$12,0)))))*(1/(1-'P-Parametri'!$B$6*I914))))</f>
        <v>24666.052155496236</v>
      </c>
      <c r="K914" s="18">
        <f>IF($A914&gt;'1-Input'!$B$26,M913,(M913-MAX(0,I891-IF($A914&gt;='1-Input'!$C$12,'1-Input'!$B$12,0))+J914*(1-'P-Parametri'!$B$6*I914))*(1+'1-Input'!$B$27))</f>
        <v>0</v>
      </c>
      <c r="L914" s="18">
        <f>IF($A914&gt;'1-Input'!$B$26,N913,(N913-J914)*(1+'5-Roberta'!$C$4))</f>
        <v>113184.4039411422</v>
      </c>
      <c r="M914" s="18">
        <f>IF($A914&gt;'1-Input'!$B$26,K914,K914-'P-Parametri'!$B$8*(L914+K914)+MIN(MAX(L914,0),'P-Parametri'!$B$8*(L914+K914)))</f>
        <v>0</v>
      </c>
      <c r="N914" s="18">
        <f>IF($A914&gt;'1-Input'!$B$26,L914,L914-MIN(MAX(L914,0),'P-Parametri'!$B$8*(L914+K914)))</f>
        <v>112958.03513325991</v>
      </c>
      <c r="O914" s="18">
        <f>IF($A914&gt;'1-Input'!$B$26,O913,O913-J914*(1-I914))</f>
        <v>63327.747880756615</v>
      </c>
      <c r="P914" s="11">
        <f>IF($A914&gt;'1-Input'!$B$26,0,IF(U913&lt;=0,0,MAX(0,(U913-V913)/U913)))</f>
        <v>0.42370522752323081</v>
      </c>
      <c r="Q914" s="18">
        <f>IF($A914&gt;'1-Input'!$B$26,0,(MAX(0,P891-IF($A914&gt;='1-Input'!$C$12,'1-Input'!$B$12,0))-MIN(MAX(T913,0),MAX(0,P891-IF($A914&gt;='1-Input'!$C$12,'1-Input'!$B$12,0))))*(1/(1-'P-Parametri'!$B$6*P914))+MIN(MAX(0,U913-(MAX(0,P891-IF($A914&gt;='1-Input'!$C$12,'1-Input'!$B$12,0))-MIN(MAX(T913,0),MAX(0,P891-IF($A914&gt;='1-Input'!$C$12,'1-Input'!$B$12,0))))*(1/(1-'P-Parametri'!$B$6*P914))),MAX(0,0*P891-(T913-MIN(MAX(T913,0),MAX(0,P891-IF($A914&gt;='1-Input'!$C$12,'1-Input'!$B$12,0)))))*(1/(1-'P-Parametri'!$B$6*P914))))</f>
        <v>22167.610082688541</v>
      </c>
      <c r="R914" s="18">
        <f>IF($A914&gt;'1-Input'!$B$26,T913,(T913-MAX(0,P891-IF($A914&gt;='1-Input'!$C$12,'1-Input'!$B$12,0))+Q914*(1-'P-Parametri'!$B$6*P914))*(1+'1-Input'!$B$27))</f>
        <v>3.6248820833861826E-12</v>
      </c>
      <c r="S914" s="18">
        <f>IF($A914&gt;'1-Input'!$B$26,U913,(U913-Q914)*(1+'5-Roberta'!$C$4))</f>
        <v>181189.67276600597</v>
      </c>
      <c r="T914" s="18">
        <f>IF($A914&gt;'1-Input'!$B$26,R914,R914-'P-Parametri'!$B$8*(S914+R914)+MIN(MAX(S914,0),'P-Parametri'!$B$8*(S914+R914)))</f>
        <v>3.637978807091713E-12</v>
      </c>
      <c r="U914" s="18">
        <f>IF($A914&gt;'1-Input'!$B$26,S914,S914-MIN(MAX(S914,0),'P-Parametri'!$B$8*(S914+R914)))</f>
        <v>180827.29342047396</v>
      </c>
      <c r="V914" s="18">
        <f>IF($A914&gt;'1-Input'!$B$26,V913,V913-Q914*(1-P914))</f>
        <v>101377.34101148123</v>
      </c>
      <c r="W914" s="11">
        <f>IF($A914&gt;'1-Input'!$B$26,0,IF(AB913&lt;=0,0,MAX(0,(AB913-AC913)/AB913)))</f>
        <v>0.42370522752323075</v>
      </c>
      <c r="X914" s="18">
        <f>IF($A914&gt;'1-Input'!$B$26,0,(MAX(0,W891-IF($A914&gt;='1-Input'!$C$12,'1-Input'!$B$12,0))-MIN(MAX(AA913,0),MAX(0,W891-IF($A914&gt;='1-Input'!$C$12,'1-Input'!$B$12,0))))*(1/(1-'P-Parametri'!$B$6*W914))+MIN(MAX(0,AB913-(MAX(0,W891-IF($A914&gt;='1-Input'!$C$12,'1-Input'!$B$12,0))-MIN(MAX(AA913,0),MAX(0,W891-IF($A914&gt;='1-Input'!$C$12,'1-Input'!$B$12,0))))*(1/(1-'P-Parametri'!$B$6*W914))),MAX(0,0*W891-(AA913-MIN(MAX(AA913,0),MAX(0,W891-IF($A914&gt;='1-Input'!$C$12,'1-Input'!$B$12,0)))))*(1/(1-'P-Parametri'!$B$6*W914))))</f>
        <v>21908.363702389815</v>
      </c>
      <c r="Y914" s="18">
        <f>IF($A914&gt;'1-Input'!$B$26,AA913,(AA913-MAX(0,W891-IF($A914&gt;='1-Input'!$C$12,'1-Input'!$B$12,0))+X914*(1-'P-Parametri'!$B$6*W914))*(1+'1-Input'!$B$27))</f>
        <v>0</v>
      </c>
      <c r="Z914" s="18">
        <f>IF($A914&gt;'1-Input'!$B$26,AB913,(AB913-X914)*(1+'5-Roberta'!$C$4))</f>
        <v>188246.11805083693</v>
      </c>
      <c r="AA914" s="18">
        <f>IF($A914&gt;'1-Input'!$B$26,Y914,Y914-'P-Parametri'!$B$8*(Z914+Y914)+MIN(MAX(Z914,0),'P-Parametri'!$B$8*(Z914+Y914)))</f>
        <v>0</v>
      </c>
      <c r="AB914" s="18">
        <f>IF($A914&gt;'1-Input'!$B$26,Z914,Z914-MIN(MAX(Z914,0),'P-Parametri'!$B$8*(Z914+Y914)))</f>
        <v>187869.62581473525</v>
      </c>
      <c r="AC914" s="18">
        <f>IF($A914&gt;'1-Input'!$B$26,AC913,AC913-X914*(1-W914))</f>
        <v>105325.48909877874</v>
      </c>
      <c r="AD914" s="11">
        <f>IF($A914&gt;'1-Input'!$B$26,0,IF(AI913&lt;=0,0,MAX(0,(AI913-AJ913)/AI913)))</f>
        <v>0.42370522752323031</v>
      </c>
      <c r="AE914" s="18">
        <f>IF($A914&gt;'1-Input'!$B$26,0,(MAX(0,AD891-IF($A914&gt;='1-Input'!$C$12,'1-Input'!$B$12,0))-MIN(MAX(AH913,0),MAX(0,AD891-IF($A914&gt;='1-Input'!$C$12,'1-Input'!$B$12,0))))*(1/(1-'P-Parametri'!$B$6*AD914))+MIN(MAX(0,AI913-(MAX(0,AD891-IF($A914&gt;='1-Input'!$C$12,'1-Input'!$B$12,0))-MIN(MAX(AH913,0),MAX(0,AD891-IF($A914&gt;='1-Input'!$C$12,'1-Input'!$B$12,0))))*(1/(1-'P-Parametri'!$B$6*AD914))),MAX(0,0*AD891-(AH913-MIN(MAX(AH913,0),MAX(0,AD891-IF($A914&gt;='1-Input'!$C$12,'1-Input'!$B$12,0)))))*(1/(1-'P-Parametri'!$B$6*AD914))))</f>
        <v>21905.184023293827</v>
      </c>
      <c r="AF914" s="18">
        <f>IF($A914&gt;'1-Input'!$B$26,AH913,(AH913-MAX(0,AD891-IF($A914&gt;='1-Input'!$C$12,'1-Input'!$B$12,0))+AE914*(1-'P-Parametri'!$B$6*AD914))*(1+'1-Input'!$B$27))</f>
        <v>0</v>
      </c>
      <c r="AG914" s="18">
        <f>IF($A914&gt;'1-Input'!$B$26,AI913,(AI913-AE914)*(1+'5-Roberta'!$C$4))</f>
        <v>188332.66595765145</v>
      </c>
      <c r="AH914" s="18">
        <f>IF($A914&gt;'1-Input'!$B$26,AF914,AF914-'P-Parametri'!$B$8*(AG914+AF914)+MIN(MAX(AG914,0),'P-Parametri'!$B$8*(AG914+AF914)))</f>
        <v>0</v>
      </c>
      <c r="AI914" s="18">
        <f>IF($A914&gt;'1-Input'!$B$26,AG914,AG914-MIN(MAX(AG914,0),'P-Parametri'!$B$8*(AG914+AF914)))</f>
        <v>187956.00062573614</v>
      </c>
      <c r="AJ914" s="18">
        <f>IF($A914&gt;'1-Input'!$B$26,AJ913,AJ913-AE914*(1-AD914))</f>
        <v>105373.91347379438</v>
      </c>
      <c r="AK914" s="11">
        <f>IF($A914&gt;'1-Input'!$B$26,0,IF(AP913&lt;=0,0,MAX(0,(AP913-AQ913)/AP913)))</f>
        <v>0.42370522752323025</v>
      </c>
      <c r="AL914" s="18">
        <f>IF($A914&gt;'1-Input'!$B$26,0,(MAX(0,AK891-IF($A914&gt;='1-Input'!$C$12,'1-Input'!$B$12,0))-MIN(MAX(AO913,0),MAX(0,AK891-IF($A914&gt;='1-Input'!$C$12,'1-Input'!$B$12,0))))*(1/(1-'P-Parametri'!$B$6*AK914))+MIN(MAX(0,AP913-(MAX(0,AK891-IF($A914&gt;='1-Input'!$C$12,'1-Input'!$B$12,0))-MIN(MAX(AO913,0),MAX(0,AK891-IF($A914&gt;='1-Input'!$C$12,'1-Input'!$B$12,0))))*(1/(1-'P-Parametri'!$B$6*AK914))),MAX(0,0*AK891-(AO913-MIN(MAX(AO913,0),MAX(0,AK891-IF($A914&gt;='1-Input'!$C$12,'1-Input'!$B$12,0)))))*(1/(1-'P-Parametri'!$B$6*AK914))))</f>
        <v>21905.735666734388</v>
      </c>
      <c r="AM914" s="18">
        <f>IF($A914&gt;'1-Input'!$B$26,AO913,(AO913-MAX(0,AK891-IF($A914&gt;='1-Input'!$C$12,'1-Input'!$B$12,0))+AL914*(1-'P-Parametri'!$B$6*AK914))*(1+'1-Input'!$B$27))</f>
        <v>0</v>
      </c>
      <c r="AN914" s="18">
        <f>IF($A914&gt;'1-Input'!$B$26,AP913,(AP913-AL914)*(1+'5-Roberta'!$C$4))</f>
        <v>188317.65073641468</v>
      </c>
      <c r="AO914" s="18">
        <f>IF($A914&gt;'1-Input'!$B$26,AM914,AM914-'P-Parametri'!$B$8*(AN914+AM914)+MIN(MAX(AN914,0),'P-Parametri'!$B$8*(AN914+AM914)))</f>
        <v>0</v>
      </c>
      <c r="AP914" s="18">
        <f>IF($A914&gt;'1-Input'!$B$26,AN914,AN914-MIN(MAX(AN914,0),'P-Parametri'!$B$8*(AN914+AM914)))</f>
        <v>187941.01543494186</v>
      </c>
      <c r="AQ914" s="18">
        <f>IF($A914&gt;'1-Input'!$B$26,AQ913,AQ913-AL914*(1-AK914))</f>
        <v>105365.51231505038</v>
      </c>
    </row>
    <row r="915" spans="1:43">
      <c r="A915" s="10">
        <f>22</f>
        <v>22</v>
      </c>
      <c r="B915" s="11">
        <f>IF($A915&gt;'1-Input'!$B$26,0,IF(G914&lt;=0,0,MAX(0,(G914-H914)/G914)))</f>
        <v>0.43936925065979582</v>
      </c>
      <c r="C915" s="18">
        <f>IF($A915&gt;'1-Input'!$B$26,0,(MAX(0,B891-IF($A915&gt;='1-Input'!$C$12,'1-Input'!$B$12,0))-MIN(MAX(F914,0),MAX(0,B891-IF($A915&gt;='1-Input'!$C$12,'1-Input'!$B$12,0))))*(1/(1-'P-Parametri'!$B$6*B915))+MIN(MAX(0,G914-(MAX(0,B891-IF($A915&gt;='1-Input'!$C$12,'1-Input'!$B$12,0))-MIN(MAX(F914,0),MAX(0,B891-IF($A915&gt;='1-Input'!$C$12,'1-Input'!$B$12,0))))*(1/(1-'P-Parametri'!$B$6*B915))),MAX(0,0*B891-(F914-MIN(MAX(F914,0),MAX(0,B891-IF($A915&gt;='1-Input'!$C$12,'1-Input'!$B$12,0)))))*(1/(1-'P-Parametri'!$B$6*B915))))</f>
        <v>18832.392614757886</v>
      </c>
      <c r="D915" s="18">
        <f>IF($A915&gt;'1-Input'!$B$26,F914,(F914-MAX(0,B891-IF($A915&gt;='1-Input'!$C$12,'1-Input'!$B$12,0))+C915*(1-'P-Parametri'!$B$6*B915))*(1+'1-Input'!$B$27))</f>
        <v>0</v>
      </c>
      <c r="E915" s="18">
        <f>IF($A915&gt;'1-Input'!$B$26,G914,(G914-C915)*(1+'5-Roberta'!$C$4))</f>
        <v>262584.3424613488</v>
      </c>
      <c r="F915" s="18">
        <f>IF($A915&gt;'1-Input'!$B$26,D915,D915-'P-Parametri'!$B$8*(E915+D915)+MIN(MAX(E915,0),'P-Parametri'!$B$8*(E915+D915)))</f>
        <v>0</v>
      </c>
      <c r="G915" s="18">
        <f>IF($A915&gt;'1-Input'!$B$26,E915,E915-MIN(MAX(E915,0),'P-Parametri'!$B$8*(E915+D915)))</f>
        <v>262059.17377642609</v>
      </c>
      <c r="H915" s="18">
        <f>IF($A915&gt;'1-Input'!$B$26,H914,H914-C915*(1-B915))</f>
        <v>142925.1035719522</v>
      </c>
      <c r="I915" s="11">
        <f>IF($A915&gt;'1-Input'!$B$26,0,IF(N914&lt;=0,0,MAX(0,(N914-O914)/N914)))</f>
        <v>0.43936925065979582</v>
      </c>
      <c r="J915" s="18">
        <f>IF($A915&gt;'1-Input'!$B$26,0,(MAX(0,I891-IF($A915&gt;='1-Input'!$C$12,'1-Input'!$B$12,0))-MIN(MAX(M914,0),MAX(0,I891-IF($A915&gt;='1-Input'!$C$12,'1-Input'!$B$12,0))))*(1/(1-'P-Parametri'!$B$6*I915))+MIN(MAX(0,N914-(MAX(0,I891-IF($A915&gt;='1-Input'!$C$12,'1-Input'!$B$12,0))-MIN(MAX(M914,0),MAX(0,I891-IF($A915&gt;='1-Input'!$C$12,'1-Input'!$B$12,0))))*(1/(1-'P-Parametri'!$B$6*I915))),MAX(0,0*I891-(M914-MIN(MAX(M914,0),MAX(0,I891-IF($A915&gt;='1-Input'!$C$12,'1-Input'!$B$12,0)))))*(1/(1-'P-Parametri'!$B$6*I915))))</f>
        <v>24779.463966786698</v>
      </c>
      <c r="K915" s="18">
        <f>IF($A915&gt;'1-Input'!$B$26,M914,(M914-MAX(0,I891-IF($A915&gt;='1-Input'!$C$12,'1-Input'!$B$12,0))+J915*(1-'P-Parametri'!$B$6*I915))*(1+'1-Input'!$B$27))</f>
        <v>0</v>
      </c>
      <c r="L915" s="18">
        <f>IF($A915&gt;'1-Input'!$B$26,N914,(N914-J915)*(1+'5-Roberta'!$C$4))</f>
        <v>90823.9283014674</v>
      </c>
      <c r="M915" s="18">
        <f>IF($A915&gt;'1-Input'!$B$26,K915,K915-'P-Parametri'!$B$8*(L915+K915)+MIN(MAX(L915,0),'P-Parametri'!$B$8*(L915+K915)))</f>
        <v>0</v>
      </c>
      <c r="N915" s="18">
        <f>IF($A915&gt;'1-Input'!$B$26,L915,L915-MIN(MAX(L915,0),'P-Parametri'!$B$8*(L915+K915)))</f>
        <v>90642.28044486446</v>
      </c>
      <c r="O915" s="18">
        <f>IF($A915&gt;'1-Input'!$B$26,O914,O914-J915*(1-I915))</f>
        <v>49435.618428808404</v>
      </c>
      <c r="P915" s="11">
        <f>IF($A915&gt;'1-Input'!$B$26,0,IF(U914&lt;=0,0,MAX(0,(U914-V914)/U914)))</f>
        <v>0.43936925065979615</v>
      </c>
      <c r="Q915" s="18">
        <f>IF($A915&gt;'1-Input'!$B$26,0,(MAX(0,P891-IF($A915&gt;='1-Input'!$C$12,'1-Input'!$B$12,0))-MIN(MAX(T914,0),MAX(0,P891-IF($A915&gt;='1-Input'!$C$12,'1-Input'!$B$12,0))))*(1/(1-'P-Parametri'!$B$6*P915))+MIN(MAX(0,U914-(MAX(0,P891-IF($A915&gt;='1-Input'!$C$12,'1-Input'!$B$12,0))-MIN(MAX(T914,0),MAX(0,P891-IF($A915&gt;='1-Input'!$C$12,'1-Input'!$B$12,0))))*(1/(1-'P-Parametri'!$B$6*P915))),MAX(0,0*P891-(T914-MIN(MAX(T914,0),MAX(0,P891-IF($A915&gt;='1-Input'!$C$12,'1-Input'!$B$12,0)))))*(1/(1-'P-Parametri'!$B$6*P915))))</f>
        <v>22269.534330460716</v>
      </c>
      <c r="R915" s="18">
        <f>IF($A915&gt;'1-Input'!$B$26,T914,(T914-MAX(0,P891-IF($A915&gt;='1-Input'!$C$12,'1-Input'!$B$12,0))+Q915*(1-'P-Parametri'!$B$6*P915))*(1+'1-Input'!$B$27))</f>
        <v>0</v>
      </c>
      <c r="S915" s="18">
        <f>IF($A915&gt;'1-Input'!$B$26,U914,(U914-Q915)*(1+'5-Roberta'!$C$4))</f>
        <v>163314.49186271365</v>
      </c>
      <c r="T915" s="18">
        <f>IF($A915&gt;'1-Input'!$B$26,R915,R915-'P-Parametri'!$B$8*(S915+R915)+MIN(MAX(S915,0),'P-Parametri'!$B$8*(S915+R915)))</f>
        <v>0</v>
      </c>
      <c r="U915" s="18">
        <f>IF($A915&gt;'1-Input'!$B$26,S915,S915-MIN(MAX(S915,0),'P-Parametri'!$B$8*(S915+R915)))</f>
        <v>162987.86287898824</v>
      </c>
      <c r="V915" s="18">
        <f>IF($A915&gt;'1-Input'!$B$26,V914,V914-Q915*(1-P915))</f>
        <v>88892.355292337641</v>
      </c>
      <c r="W915" s="11">
        <f>IF($A915&gt;'1-Input'!$B$26,0,IF(AB914&lt;=0,0,MAX(0,(AB914-AC914)/AB914)))</f>
        <v>0.4393692506597961</v>
      </c>
      <c r="X915" s="18">
        <f>IF($A915&gt;'1-Input'!$B$26,0,(MAX(0,W891-IF($A915&gt;='1-Input'!$C$12,'1-Input'!$B$12,0))-MIN(MAX(AA914,0),MAX(0,W891-IF($A915&gt;='1-Input'!$C$12,'1-Input'!$B$12,0))))*(1/(1-'P-Parametri'!$B$6*W915))+MIN(MAX(0,AB914-(MAX(0,W891-IF($A915&gt;='1-Input'!$C$12,'1-Input'!$B$12,0))-MIN(MAX(AA914,0),MAX(0,W891-IF($A915&gt;='1-Input'!$C$12,'1-Input'!$B$12,0))))*(1/(1-'P-Parametri'!$B$6*W915))),MAX(0,0*W891-(AA914-MIN(MAX(AA914,0),MAX(0,W891-IF($A915&gt;='1-Input'!$C$12,'1-Input'!$B$12,0)))))*(1/(1-'P-Parametri'!$B$6*W915))))</f>
        <v>22009.09596364649</v>
      </c>
      <c r="Y915" s="18">
        <f>IF($A915&gt;'1-Input'!$B$26,AA914,(AA914-MAX(0,W891-IF($A915&gt;='1-Input'!$C$12,'1-Input'!$B$12,0))+X915*(1-'P-Parametri'!$B$6*W915))*(1+'1-Input'!$B$27))</f>
        <v>0</v>
      </c>
      <c r="Z915" s="18">
        <f>IF($A915&gt;'1-Input'!$B$26,AB914,(AB914-X915)*(1+'5-Roberta'!$C$4))</f>
        <v>170836.34574662143</v>
      </c>
      <c r="AA915" s="18">
        <f>IF($A915&gt;'1-Input'!$B$26,Y915,Y915-'P-Parametri'!$B$8*(Z915+Y915)+MIN(MAX(Z915,0),'P-Parametri'!$B$8*(Z915+Y915)))</f>
        <v>0</v>
      </c>
      <c r="AB915" s="18">
        <f>IF($A915&gt;'1-Input'!$B$26,Z915,Z915-MIN(MAX(Z915,0),'P-Parametri'!$B$8*(Z915+Y915)))</f>
        <v>170494.67305512819</v>
      </c>
      <c r="AC915" s="18">
        <f>IF($A915&gt;'1-Input'!$B$26,AC914,AC914-X915*(1-W915))</f>
        <v>92986.513136379144</v>
      </c>
      <c r="AD915" s="11">
        <f>IF($A915&gt;'1-Input'!$B$26,0,IF(AI914&lt;=0,0,MAX(0,(AI914-AJ914)/AI914)))</f>
        <v>0.4393692506597956</v>
      </c>
      <c r="AE915" s="18">
        <f>IF($A915&gt;'1-Input'!$B$26,0,(MAX(0,AD891-IF($A915&gt;='1-Input'!$C$12,'1-Input'!$B$12,0))-MIN(MAX(AH914,0),MAX(0,AD891-IF($A915&gt;='1-Input'!$C$12,'1-Input'!$B$12,0))))*(1/(1-'P-Parametri'!$B$6*AD915))+MIN(MAX(0,AI914-(MAX(0,AD891-IF($A915&gt;='1-Input'!$C$12,'1-Input'!$B$12,0))-MIN(MAX(AH914,0),MAX(0,AD891-IF($A915&gt;='1-Input'!$C$12,'1-Input'!$B$12,0))))*(1/(1-'P-Parametri'!$B$6*AD915))),MAX(0,0*AD891-(AH914-MIN(MAX(AH914,0),MAX(0,AD891-IF($A915&gt;='1-Input'!$C$12,'1-Input'!$B$12,0)))))*(1/(1-'P-Parametri'!$B$6*AD915))))</f>
        <v>22005.901664733625</v>
      </c>
      <c r="AF915" s="18">
        <f>IF($A915&gt;'1-Input'!$B$26,AH914,(AH914-MAX(0,AD891-IF($A915&gt;='1-Input'!$C$12,'1-Input'!$B$12,0))+AE915*(1-'P-Parametri'!$B$6*AD915))*(1+'1-Input'!$B$27))</f>
        <v>0</v>
      </c>
      <c r="AG915" s="18">
        <f>IF($A915&gt;'1-Input'!$B$26,AI914,(AI914-AE915)*(1+'5-Roberta'!$C$4))</f>
        <v>170928.6019298326</v>
      </c>
      <c r="AH915" s="18">
        <f>IF($A915&gt;'1-Input'!$B$26,AF915,AF915-'P-Parametri'!$B$8*(AG915+AF915)+MIN(MAX(AG915,0),'P-Parametri'!$B$8*(AG915+AF915)))</f>
        <v>0</v>
      </c>
      <c r="AI915" s="18">
        <f>IF($A915&gt;'1-Input'!$B$26,AG915,AG915-MIN(MAX(AG915,0),'P-Parametri'!$B$8*(AG915+AF915)))</f>
        <v>170586.74472597294</v>
      </c>
      <c r="AJ915" s="18">
        <f>IF($A915&gt;'1-Input'!$B$26,AJ914,AJ914-AE915*(1-AD915))</f>
        <v>93036.728333587918</v>
      </c>
      <c r="AK915" s="11">
        <f>IF($A915&gt;'1-Input'!$B$26,0,IF(AP914&lt;=0,0,MAX(0,(AP914-AQ914)/AP914)))</f>
        <v>0.4393692506597956</v>
      </c>
      <c r="AL915" s="18">
        <f>IF($A915&gt;'1-Input'!$B$26,0,(MAX(0,AK891-IF($A915&gt;='1-Input'!$C$12,'1-Input'!$B$12,0))-MIN(MAX(AO914,0),MAX(0,AK891-IF($A915&gt;='1-Input'!$C$12,'1-Input'!$B$12,0))))*(1/(1-'P-Parametri'!$B$6*AK915))+MIN(MAX(0,AP914-(MAX(0,AK891-IF($A915&gt;='1-Input'!$C$12,'1-Input'!$B$12,0))-MIN(MAX(AO914,0),MAX(0,AK891-IF($A915&gt;='1-Input'!$C$12,'1-Input'!$B$12,0))))*(1/(1-'P-Parametri'!$B$6*AK915))),MAX(0,0*AK891-(AO914-MIN(MAX(AO914,0),MAX(0,AK891-IF($A915&gt;='1-Input'!$C$12,'1-Input'!$B$12,0)))))*(1/(1-'P-Parametri'!$B$6*AK915))))</f>
        <v>22006.455844570424</v>
      </c>
      <c r="AM915" s="18">
        <f>IF($A915&gt;'1-Input'!$B$26,AO914,(AO914-MAX(0,AK891-IF($A915&gt;='1-Input'!$C$12,'1-Input'!$B$12,0))+AL915*(1-'P-Parametri'!$B$6*AK915))*(1+'1-Input'!$B$27))</f>
        <v>0</v>
      </c>
      <c r="AN915" s="18">
        <f>IF($A915&gt;'1-Input'!$B$26,AP914,(AP914-AL915)*(1+'5-Roberta'!$C$4))</f>
        <v>170912.59637808258</v>
      </c>
      <c r="AO915" s="18">
        <f>IF($A915&gt;'1-Input'!$B$26,AM915,AM915-'P-Parametri'!$B$8*(AN915+AM915)+MIN(MAX(AN915,0),'P-Parametri'!$B$8*(AN915+AM915)))</f>
        <v>0</v>
      </c>
      <c r="AP915" s="18">
        <f>IF($A915&gt;'1-Input'!$B$26,AN915,AN915-MIN(MAX(AN915,0),'P-Parametri'!$B$8*(AN915+AM915)))</f>
        <v>170570.77118532642</v>
      </c>
      <c r="AQ915" s="18">
        <f>IF($A915&gt;'1-Input'!$B$26,AQ914,AQ914-AL915*(1-AK915))</f>
        <v>93028.01648458674</v>
      </c>
    </row>
    <row r="916" spans="1:43">
      <c r="A916" s="10">
        <f>23</f>
        <v>23</v>
      </c>
      <c r="B916" s="11">
        <f>IF($A916&gt;'1-Input'!$B$26,0,IF(G915&lt;=0,0,MAX(0,(G915-H915)/G915)))</f>
        <v>0.45460751664474169</v>
      </c>
      <c r="C916" s="18">
        <f>IF($A916&gt;'1-Input'!$B$26,0,(MAX(0,B891-IF($A916&gt;='1-Input'!$C$12,'1-Input'!$B$12,0))-MIN(MAX(F915,0),MAX(0,B891-IF($A916&gt;='1-Input'!$C$12,'1-Input'!$B$12,0))))*(1/(1-'P-Parametri'!$B$6*B916))+MIN(MAX(0,G915-(MAX(0,B891-IF($A916&gt;='1-Input'!$C$12,'1-Input'!$B$12,0))-MIN(MAX(F915,0),MAX(0,B891-IF($A916&gt;='1-Input'!$C$12,'1-Input'!$B$12,0))))*(1/(1-'P-Parametri'!$B$6*B916))),MAX(0,0*B891-(F915-MIN(MAX(F915,0),MAX(0,B891-IF($A916&gt;='1-Input'!$C$12,'1-Input'!$B$12,0)))))*(1/(1-'P-Parametri'!$B$6*B916))))</f>
        <v>6326.8795326640648</v>
      </c>
      <c r="D916" s="18">
        <f>IF($A916&gt;'1-Input'!$B$26,F915,(F915-MAX(0,B891-IF($A916&gt;='1-Input'!$C$12,'1-Input'!$B$12,0))+C916*(1-'P-Parametri'!$B$6*B916))*(1+'1-Input'!$B$27))</f>
        <v>0</v>
      </c>
      <c r="E916" s="18">
        <f>IF($A916&gt;'1-Input'!$B$26,G915,(G915-C916)*(1+'5-Roberta'!$C$4))</f>
        <v>263404.26307107491</v>
      </c>
      <c r="F916" s="18">
        <f>IF($A916&gt;'1-Input'!$B$26,D916,D916-'P-Parametri'!$B$8*(E916+D916)+MIN(MAX(E916,0),'P-Parametri'!$B$8*(E916+D916)))</f>
        <v>0</v>
      </c>
      <c r="G916" s="18">
        <f>IF($A916&gt;'1-Input'!$B$26,E916,E916-MIN(MAX(E916,0),'P-Parametri'!$B$8*(E916+D916)))</f>
        <v>262877.45454493276</v>
      </c>
      <c r="H916" s="18">
        <f>IF($A916&gt;'1-Input'!$B$26,H915,H915-C916*(1-B916))</f>
        <v>139474.47103174299</v>
      </c>
      <c r="I916" s="11">
        <f>IF($A916&gt;'1-Input'!$B$26,0,IF(N915&lt;=0,0,MAX(0,(N915-O915)/N915)))</f>
        <v>0.45460751664474158</v>
      </c>
      <c r="J916" s="18">
        <f>IF($A916&gt;'1-Input'!$B$26,0,(MAX(0,I891-IF($A916&gt;='1-Input'!$C$12,'1-Input'!$B$12,0))-MIN(MAX(M915,0),MAX(0,I891-IF($A916&gt;='1-Input'!$C$12,'1-Input'!$B$12,0))))*(1/(1-'P-Parametri'!$B$6*I916))+MIN(MAX(0,N915-(MAX(0,I891-IF($A916&gt;='1-Input'!$C$12,'1-Input'!$B$12,0))-MIN(MAX(M915,0),MAX(0,I891-IF($A916&gt;='1-Input'!$C$12,'1-Input'!$B$12,0))))*(1/(1-'P-Parametri'!$B$6*I916))),MAX(0,0*I891-(M915-MIN(MAX(M915,0),MAX(0,I891-IF($A916&gt;='1-Input'!$C$12,'1-Input'!$B$12,0)))))*(1/(1-'P-Parametri'!$B$6*I916))))</f>
        <v>12300.671161017917</v>
      </c>
      <c r="K916" s="18">
        <f>IF($A916&gt;'1-Input'!$B$26,M915,(M915-MAX(0,I891-IF($A916&gt;='1-Input'!$C$12,'1-Input'!$B$12,0))+J916*(1-'P-Parametri'!$B$6*I916))*(1+'1-Input'!$B$27))</f>
        <v>0</v>
      </c>
      <c r="L916" s="18">
        <f>IF($A916&gt;'1-Input'!$B$26,N915,(N915-J916)*(1+'5-Roberta'!$C$4))</f>
        <v>80691.85756236194</v>
      </c>
      <c r="M916" s="18">
        <f>IF($A916&gt;'1-Input'!$B$26,K916,K916-'P-Parametri'!$B$8*(L916+K916)+MIN(MAX(L916,0),'P-Parametri'!$B$8*(L916+K916)))</f>
        <v>0</v>
      </c>
      <c r="N916" s="18">
        <f>IF($A916&gt;'1-Input'!$B$26,L916,L916-MIN(MAX(L916,0),'P-Parametri'!$B$8*(L916+K916)))</f>
        <v>80530.473847237212</v>
      </c>
      <c r="O916" s="18">
        <f>IF($A916&gt;'1-Input'!$B$26,O915,O915-J916*(1-I916))</f>
        <v>42726.924837364437</v>
      </c>
      <c r="P916" s="11">
        <f>IF($A916&gt;'1-Input'!$B$26,0,IF(U915&lt;=0,0,MAX(0,(U915-V915)/U915)))</f>
        <v>0.45460751664474214</v>
      </c>
      <c r="Q916" s="18">
        <f>IF($A916&gt;'1-Input'!$B$26,0,(MAX(0,P891-IF($A916&gt;='1-Input'!$C$12,'1-Input'!$B$12,0))-MIN(MAX(T915,0),MAX(0,P891-IF($A916&gt;='1-Input'!$C$12,'1-Input'!$B$12,0))))*(1/(1-'P-Parametri'!$B$6*P916))+MIN(MAX(0,U915-(MAX(0,P891-IF($A916&gt;='1-Input'!$C$12,'1-Input'!$B$12,0))-MIN(MAX(T915,0),MAX(0,P891-IF($A916&gt;='1-Input'!$C$12,'1-Input'!$B$12,0))))*(1/(1-'P-Parametri'!$B$6*P916))),MAX(0,0*P891-(T915-MIN(MAX(T915,0),MAX(0,P891-IF($A916&gt;='1-Input'!$C$12,'1-Input'!$B$12,0)))))*(1/(1-'P-Parametri'!$B$6*P916))))</f>
        <v>9779.4643750717059</v>
      </c>
      <c r="R916" s="18">
        <f>IF($A916&gt;'1-Input'!$B$26,T915,(T915-MAX(0,P891-IF($A916&gt;='1-Input'!$C$12,'1-Input'!$B$12,0))+Q916*(1-'P-Parametri'!$B$6*P916))*(1+'1-Input'!$B$27))</f>
        <v>0</v>
      </c>
      <c r="S916" s="18">
        <f>IF($A916&gt;'1-Input'!$B$26,U915,(U915-Q916)*(1+'5-Roberta'!$C$4))</f>
        <v>157804.65045903405</v>
      </c>
      <c r="T916" s="18">
        <f>IF($A916&gt;'1-Input'!$B$26,R916,R916-'P-Parametri'!$B$8*(S916+R916)+MIN(MAX(S916,0),'P-Parametri'!$B$8*(S916+R916)))</f>
        <v>0</v>
      </c>
      <c r="U916" s="18">
        <f>IF($A916&gt;'1-Input'!$B$26,S916,S916-MIN(MAX(S916,0),'P-Parametri'!$B$8*(S916+R916)))</f>
        <v>157489.04115811599</v>
      </c>
      <c r="V916" s="18">
        <f>IF($A916&gt;'1-Input'!$B$26,V915,V915-Q916*(1-P916))</f>
        <v>83558.708930933004</v>
      </c>
      <c r="W916" s="11">
        <f>IF($A916&gt;'1-Input'!$B$26,0,IF(AB915&lt;=0,0,MAX(0,(AB915-AC915)/AB915)))</f>
        <v>0.45460751664474208</v>
      </c>
      <c r="X916" s="18">
        <f>IF($A916&gt;'1-Input'!$B$26,0,(MAX(0,W891-IF($A916&gt;='1-Input'!$C$12,'1-Input'!$B$12,0))-MIN(MAX(AA915,0),MAX(0,W891-IF($A916&gt;='1-Input'!$C$12,'1-Input'!$B$12,0))))*(1/(1-'P-Parametri'!$B$6*W916))+MIN(MAX(0,AB915-(MAX(0,W891-IF($A916&gt;='1-Input'!$C$12,'1-Input'!$B$12,0))-MIN(MAX(AA915,0),MAX(0,W891-IF($A916&gt;='1-Input'!$C$12,'1-Input'!$B$12,0))))*(1/(1-'P-Parametri'!$B$6*W916))),MAX(0,0*W891-(AA915-MIN(MAX(AA915,0),MAX(0,W891-IF($A916&gt;='1-Input'!$C$12,'1-Input'!$B$12,0)))))*(1/(1-'P-Parametri'!$B$6*W916))))</f>
        <v>9517.8558549643694</v>
      </c>
      <c r="Y916" s="18">
        <f>IF($A916&gt;'1-Input'!$B$26,AA915,(AA915-MAX(0,W891-IF($A916&gt;='1-Input'!$C$12,'1-Input'!$B$12,0))+X916*(1-'P-Parametri'!$B$6*W916))*(1+'1-Input'!$B$27))</f>
        <v>0</v>
      </c>
      <c r="Z916" s="18">
        <f>IF($A916&gt;'1-Input'!$B$26,AB915,(AB915-X916)*(1+'5-Roberta'!$C$4))</f>
        <v>165806.12171616874</v>
      </c>
      <c r="AA916" s="18">
        <f>IF($A916&gt;'1-Input'!$B$26,Y916,Y916-'P-Parametri'!$B$8*(Z916+Y916)+MIN(MAX(Z916,0),'P-Parametri'!$B$8*(Z916+Y916)))</f>
        <v>0</v>
      </c>
      <c r="AB916" s="18">
        <f>IF($A916&gt;'1-Input'!$B$26,Z916,Z916-MIN(MAX(Z916,0),'P-Parametri'!$B$8*(Z916+Y916)))</f>
        <v>165474.50947273639</v>
      </c>
      <c r="AC916" s="18">
        <f>IF($A916&gt;'1-Input'!$B$26,AC915,AC915-X916*(1-W916))</f>
        <v>87795.546095422746</v>
      </c>
      <c r="AD916" s="11">
        <f>IF($A916&gt;'1-Input'!$B$26,0,IF(AI915&lt;=0,0,MAX(0,(AI915-AJ915)/AI915)))</f>
        <v>0.45460751664474153</v>
      </c>
      <c r="AE916" s="18">
        <f>IF($A916&gt;'1-Input'!$B$26,0,(MAX(0,AD891-IF($A916&gt;='1-Input'!$C$12,'1-Input'!$B$12,0))-MIN(MAX(AH915,0),MAX(0,AD891-IF($A916&gt;='1-Input'!$C$12,'1-Input'!$B$12,0))))*(1/(1-'P-Parametri'!$B$6*AD916))+MIN(MAX(0,AI915-(MAX(0,AD891-IF($A916&gt;='1-Input'!$C$12,'1-Input'!$B$12,0))-MIN(MAX(AH915,0),MAX(0,AD891-IF($A916&gt;='1-Input'!$C$12,'1-Input'!$B$12,0))))*(1/(1-'P-Parametri'!$B$6*AD916))),MAX(0,0*AD891-(AH915-MIN(MAX(AH915,0),MAX(0,AD891-IF($A916&gt;='1-Input'!$C$12,'1-Input'!$B$12,0)))))*(1/(1-'P-Parametri'!$B$6*AD916))))</f>
        <v>9514.6472040209737</v>
      </c>
      <c r="AF916" s="18">
        <f>IF($A916&gt;'1-Input'!$B$26,AH915,(AH915-MAX(0,AD891-IF($A916&gt;='1-Input'!$C$12,'1-Input'!$B$12,0))+AE916*(1-'P-Parametri'!$B$6*AD916))*(1+'1-Input'!$B$27))</f>
        <v>0</v>
      </c>
      <c r="AG916" s="18">
        <f>IF($A916&gt;'1-Input'!$B$26,AI915,(AI915-AE916)*(1+'5-Roberta'!$C$4))</f>
        <v>165904.26044761055</v>
      </c>
      <c r="AH916" s="18">
        <f>IF($A916&gt;'1-Input'!$B$26,AF916,AF916-'P-Parametri'!$B$8*(AG916+AF916)+MIN(MAX(AG916,0),'P-Parametri'!$B$8*(AG916+AF916)))</f>
        <v>0</v>
      </c>
      <c r="AI916" s="18">
        <f>IF($A916&gt;'1-Input'!$B$26,AG916,AG916-MIN(MAX(AG916,0),'P-Parametri'!$B$8*(AG916+AF916)))</f>
        <v>165572.45192671532</v>
      </c>
      <c r="AJ916" s="18">
        <f>IF($A916&gt;'1-Input'!$B$26,AJ915,AJ915-AE916*(1-AD916))</f>
        <v>87847.511266737754</v>
      </c>
      <c r="AK916" s="11">
        <f>IF($A916&gt;'1-Input'!$B$26,0,IF(AP915&lt;=0,0,MAX(0,(AP915-AQ915)/AP915)))</f>
        <v>0.45460751664474153</v>
      </c>
      <c r="AL916" s="18">
        <f>IF($A916&gt;'1-Input'!$B$26,0,(MAX(0,AK891-IF($A916&gt;='1-Input'!$C$12,'1-Input'!$B$12,0))-MIN(MAX(AO915,0),MAX(0,AK891-IF($A916&gt;='1-Input'!$C$12,'1-Input'!$B$12,0))))*(1/(1-'P-Parametri'!$B$6*AK916))+MIN(MAX(0,AP915-(MAX(0,AK891-IF($A916&gt;='1-Input'!$C$12,'1-Input'!$B$12,0))-MIN(MAX(AO915,0),MAX(0,AK891-IF($A916&gt;='1-Input'!$C$12,'1-Input'!$B$12,0))))*(1/(1-'P-Parametri'!$B$6*AK916))),MAX(0,0*AK891-(AO915-MIN(MAX(AO915,0),MAX(0,AK891-IF($A916&gt;='1-Input'!$C$12,'1-Input'!$B$12,0)))))*(1/(1-'P-Parametri'!$B$6*AK916))))</f>
        <v>9515.2038737956755</v>
      </c>
      <c r="AM916" s="18">
        <f>IF($A916&gt;'1-Input'!$B$26,AO915,(AO915-MAX(0,AK891-IF($A916&gt;='1-Input'!$C$12,'1-Input'!$B$12,0))+AL916*(1-'P-Parametri'!$B$6*AK916))*(1+'1-Input'!$B$27))</f>
        <v>1.8124410416930913E-12</v>
      </c>
      <c r="AN916" s="18">
        <f>IF($A916&gt;'1-Input'!$B$26,AP915,(AP915-AL916)*(1+'5-Roberta'!$C$4))</f>
        <v>165887.23433087667</v>
      </c>
      <c r="AO916" s="18">
        <f>IF($A916&gt;'1-Input'!$B$26,AM916,AM916-'P-Parametri'!$B$8*(AN916+AM916)+MIN(MAX(AN916,0),'P-Parametri'!$B$8*(AN916+AM916)))</f>
        <v>1.8189894035458565E-12</v>
      </c>
      <c r="AP916" s="18">
        <f>IF($A916&gt;'1-Input'!$B$26,AN916,AN916-MIN(MAX(AN916,0),'P-Parametri'!$B$8*(AN916+AM916)))</f>
        <v>165555.45986221492</v>
      </c>
      <c r="AQ916" s="18">
        <f>IF($A916&gt;'1-Input'!$B$26,AQ915,AQ915-AL916*(1-AK916))</f>
        <v>87838.495814225738</v>
      </c>
    </row>
    <row r="917" spans="1:43">
      <c r="A917" s="10">
        <f>24</f>
        <v>24</v>
      </c>
      <c r="B917" s="11">
        <f>IF($A917&gt;'1-Input'!$B$26,0,IF(G916&lt;=0,0,MAX(0,(G916-H916)/G916)))</f>
        <v>0.46943159780214971</v>
      </c>
      <c r="C917" s="18">
        <f>IF($A917&gt;'1-Input'!$B$26,0,(MAX(0,B891-IF($A917&gt;='1-Input'!$C$12,'1-Input'!$B$12,0))-MIN(MAX(F916,0),MAX(0,B891-IF($A917&gt;='1-Input'!$C$12,'1-Input'!$B$12,0))))*(1/(1-'P-Parametri'!$B$6*B917))+MIN(MAX(0,G916-(MAX(0,B891-IF($A917&gt;='1-Input'!$C$12,'1-Input'!$B$12,0))-MIN(MAX(F916,0),MAX(0,B891-IF($A917&gt;='1-Input'!$C$12,'1-Input'!$B$12,0))))*(1/(1-'P-Parametri'!$B$6*B917))),MAX(0,0*B891-(F916-MIN(MAX(F916,0),MAX(0,B891-IF($A917&gt;='1-Input'!$C$12,'1-Input'!$B$12,0)))))*(1/(1-'P-Parametri'!$B$6*B917))))</f>
        <v>6354.6550406174174</v>
      </c>
      <c r="D917" s="18">
        <f>IF($A917&gt;'1-Input'!$B$26,F916,(F916-MAX(0,B891-IF($A917&gt;='1-Input'!$C$12,'1-Input'!$B$12,0))+C917*(1-'P-Parametri'!$B$6*B917))*(1+'1-Input'!$B$27))</f>
        <v>0</v>
      </c>
      <c r="E917" s="18">
        <f>IF($A917&gt;'1-Input'!$B$26,G916,(G916-C917)*(1+'5-Roberta'!$C$4))</f>
        <v>264218.48348944483</v>
      </c>
      <c r="F917" s="18">
        <f>IF($A917&gt;'1-Input'!$B$26,D917,D917-'P-Parametri'!$B$8*(E917+D917)+MIN(MAX(E917,0),'P-Parametri'!$B$8*(E917+D917)))</f>
        <v>0</v>
      </c>
      <c r="G917" s="18">
        <f>IF($A917&gt;'1-Input'!$B$26,E917,E917-MIN(MAX(E917,0),'P-Parametri'!$B$8*(E917+D917)))</f>
        <v>263690.04652246594</v>
      </c>
      <c r="H917" s="18">
        <f>IF($A917&gt;'1-Input'!$B$26,H916,H916-C917*(1-B917))</f>
        <v>136102.89186032407</v>
      </c>
      <c r="I917" s="11">
        <f>IF($A917&gt;'1-Input'!$B$26,0,IF(N916&lt;=0,0,MAX(0,(N916-O916)/N916)))</f>
        <v>0.46943159780214949</v>
      </c>
      <c r="J917" s="18">
        <f>IF($A917&gt;'1-Input'!$B$26,0,(MAX(0,I891-IF($A917&gt;='1-Input'!$C$12,'1-Input'!$B$12,0))-MIN(MAX(M916,0),MAX(0,I891-IF($A917&gt;='1-Input'!$C$12,'1-Input'!$B$12,0))))*(1/(1-'P-Parametri'!$B$6*I917))+MIN(MAX(0,N916-(MAX(0,I891-IF($A917&gt;='1-Input'!$C$12,'1-Input'!$B$12,0))-MIN(MAX(M916,0),MAX(0,I891-IF($A917&gt;='1-Input'!$C$12,'1-Input'!$B$12,0))))*(1/(1-'P-Parametri'!$B$6*I917))),MAX(0,0*I891-(M916-MIN(MAX(M916,0),MAX(0,I891-IF($A917&gt;='1-Input'!$C$12,'1-Input'!$B$12,0)))))*(1/(1-'P-Parametri'!$B$6*I917))))</f>
        <v>12354.672092741137</v>
      </c>
      <c r="K917" s="18">
        <f>IF($A917&gt;'1-Input'!$B$26,M916,(M916-MAX(0,I891-IF($A917&gt;='1-Input'!$C$12,'1-Input'!$B$12,0))+J917*(1-'P-Parametri'!$B$6*I917))*(1+'1-Input'!$B$27))</f>
        <v>1.8124410416930913E-12</v>
      </c>
      <c r="L917" s="18">
        <f>IF($A917&gt;'1-Input'!$B$26,N916,(N916-J917)*(1+'5-Roberta'!$C$4))</f>
        <v>70221.075807130954</v>
      </c>
      <c r="M917" s="18">
        <f>IF($A917&gt;'1-Input'!$B$26,K917,K917-'P-Parametri'!$B$8*(L917+K917)+MIN(MAX(L917,0),'P-Parametri'!$B$8*(L917+K917)))</f>
        <v>1.8189894035458565E-12</v>
      </c>
      <c r="N917" s="18">
        <f>IF($A917&gt;'1-Input'!$B$26,L917,L917-MIN(MAX(L917,0),'P-Parametri'!$B$8*(L917+K917)))</f>
        <v>70080.633655516693</v>
      </c>
      <c r="O917" s="18">
        <f>IF($A917&gt;'1-Input'!$B$26,O916,O916-J917*(1-I917))</f>
        <v>36171.926205440395</v>
      </c>
      <c r="P917" s="11">
        <f>IF($A917&gt;'1-Input'!$B$26,0,IF(U916&lt;=0,0,MAX(0,(U916-V916)/U916)))</f>
        <v>0.46943159780215021</v>
      </c>
      <c r="Q917" s="18">
        <f>IF($A917&gt;'1-Input'!$B$26,0,(MAX(0,P891-IF($A917&gt;='1-Input'!$C$12,'1-Input'!$B$12,0))-MIN(MAX(T916,0),MAX(0,P891-IF($A917&gt;='1-Input'!$C$12,'1-Input'!$B$12,0))))*(1/(1-'P-Parametri'!$B$6*P917))+MIN(MAX(0,U916-(MAX(0,P891-IF($A917&gt;='1-Input'!$C$12,'1-Input'!$B$12,0))-MIN(MAX(T916,0),MAX(0,P891-IF($A917&gt;='1-Input'!$C$12,'1-Input'!$B$12,0))))*(1/(1-'P-Parametri'!$B$6*P917))),MAX(0,0*P891-(T916-MIN(MAX(T916,0),MAX(0,P891-IF($A917&gt;='1-Input'!$C$12,'1-Input'!$B$12,0)))))*(1/(1-'P-Parametri'!$B$6*P917))))</f>
        <v>9822.3970070472296</v>
      </c>
      <c r="R917" s="18">
        <f>IF($A917&gt;'1-Input'!$B$26,T916,(T916-MAX(0,P891-IF($A917&gt;='1-Input'!$C$12,'1-Input'!$B$12,0))+Q917*(1-'P-Parametri'!$B$6*P917))*(1+'1-Input'!$B$27))</f>
        <v>0</v>
      </c>
      <c r="S917" s="18">
        <f>IF($A917&gt;'1-Input'!$B$26,U916,(U916-Q917)*(1+'5-Roberta'!$C$4))</f>
        <v>152096.64347560084</v>
      </c>
      <c r="T917" s="18">
        <f>IF($A917&gt;'1-Input'!$B$26,R917,R917-'P-Parametri'!$B$8*(S917+R917)+MIN(MAX(S917,0),'P-Parametri'!$B$8*(S917+R917)))</f>
        <v>0</v>
      </c>
      <c r="U917" s="18">
        <f>IF($A917&gt;'1-Input'!$B$26,S917,S917-MIN(MAX(S917,0),'P-Parametri'!$B$8*(S917+R917)))</f>
        <v>151792.45018864964</v>
      </c>
      <c r="V917" s="18">
        <f>IF($A917&gt;'1-Input'!$B$26,V916,V916-Q917*(1-P917))</f>
        <v>78347.255445151008</v>
      </c>
      <c r="W917" s="11">
        <f>IF($A917&gt;'1-Input'!$B$26,0,IF(AB916&lt;=0,0,MAX(0,(AB916-AC916)/AB916)))</f>
        <v>0.46943159780214999</v>
      </c>
      <c r="X917" s="18">
        <f>IF($A917&gt;'1-Input'!$B$26,0,(MAX(0,W891-IF($A917&gt;='1-Input'!$C$12,'1-Input'!$B$12,0))-MIN(MAX(AA916,0),MAX(0,W891-IF($A917&gt;='1-Input'!$C$12,'1-Input'!$B$12,0))))*(1/(1-'P-Parametri'!$B$6*W917))+MIN(MAX(0,AB916-(MAX(0,W891-IF($A917&gt;='1-Input'!$C$12,'1-Input'!$B$12,0))-MIN(MAX(AA916,0),MAX(0,W891-IF($A917&gt;='1-Input'!$C$12,'1-Input'!$B$12,0))))*(1/(1-'P-Parametri'!$B$6*W917))),MAX(0,0*W891-(AA916-MIN(MAX(AA916,0),MAX(0,W891-IF($A917&gt;='1-Input'!$C$12,'1-Input'!$B$12,0)))))*(1/(1-'P-Parametri'!$B$6*W917))))</f>
        <v>9559.6400045808732</v>
      </c>
      <c r="Y917" s="18">
        <f>IF($A917&gt;'1-Input'!$B$26,AA916,(AA916-MAX(0,W891-IF($A917&gt;='1-Input'!$C$12,'1-Input'!$B$12,0))+X917*(1-'P-Parametri'!$B$6*W917))*(1+'1-Input'!$B$27))</f>
        <v>0</v>
      </c>
      <c r="Z917" s="18">
        <f>IF($A917&gt;'1-Input'!$B$26,AB916,(AB916-X917)*(1+'5-Roberta'!$C$4))</f>
        <v>160592.31555220019</v>
      </c>
      <c r="AA917" s="18">
        <f>IF($A917&gt;'1-Input'!$B$26,Y917,Y917-'P-Parametri'!$B$8*(Z917+Y917)+MIN(MAX(Z917,0),'P-Parametri'!$B$8*(Z917+Y917)))</f>
        <v>0</v>
      </c>
      <c r="AB917" s="18">
        <f>IF($A917&gt;'1-Input'!$B$26,Z917,Z917-MIN(MAX(Z917,0),'P-Parametri'!$B$8*(Z917+Y917)))</f>
        <v>160271.13092109578</v>
      </c>
      <c r="AC917" s="18">
        <f>IF($A917&gt;'1-Input'!$B$26,AC916,AC916-X917*(1-W917))</f>
        <v>82723.503172605619</v>
      </c>
      <c r="AD917" s="11">
        <f>IF($A917&gt;'1-Input'!$B$26,0,IF(AI916&lt;=0,0,MAX(0,(AI916-AJ916)/AI916)))</f>
        <v>0.46943159780214955</v>
      </c>
      <c r="AE917" s="18">
        <f>IF($A917&gt;'1-Input'!$B$26,0,(MAX(0,AD891-IF($A917&gt;='1-Input'!$C$12,'1-Input'!$B$12,0))-MIN(MAX(AH916,0),MAX(0,AD891-IF($A917&gt;='1-Input'!$C$12,'1-Input'!$B$12,0))))*(1/(1-'P-Parametri'!$B$6*AD917))+MIN(MAX(0,AI916-(MAX(0,AD891-IF($A917&gt;='1-Input'!$C$12,'1-Input'!$B$12,0))-MIN(MAX(AH916,0),MAX(0,AD891-IF($A917&gt;='1-Input'!$C$12,'1-Input'!$B$12,0))))*(1/(1-'P-Parametri'!$B$6*AD917))),MAX(0,0*AD891-(AH916-MIN(MAX(AH916,0),MAX(0,AD891-IF($A917&gt;='1-Input'!$C$12,'1-Input'!$B$12,0)))))*(1/(1-'P-Parametri'!$B$6*AD917))))</f>
        <v>9556.4172674028105</v>
      </c>
      <c r="AF917" s="18">
        <f>IF($A917&gt;'1-Input'!$B$26,AH916,(AH916-MAX(0,AD891-IF($A917&gt;='1-Input'!$C$12,'1-Input'!$B$12,0))+AE917*(1-'P-Parametri'!$B$6*AD917))*(1+'1-Input'!$B$27))</f>
        <v>0</v>
      </c>
      <c r="AG917" s="18">
        <f>IF($A917&gt;'1-Input'!$B$26,AI916,(AI916-AE917)*(1+'5-Roberta'!$C$4))</f>
        <v>160696.51569909189</v>
      </c>
      <c r="AH917" s="18">
        <f>IF($A917&gt;'1-Input'!$B$26,AF917,AF917-'P-Parametri'!$B$8*(AG917+AF917)+MIN(MAX(AG917,0),'P-Parametri'!$B$8*(AG917+AF917)))</f>
        <v>0</v>
      </c>
      <c r="AI917" s="18">
        <f>IF($A917&gt;'1-Input'!$B$26,AG917,AG917-MIN(MAX(AG917,0),'P-Parametri'!$B$8*(AG917+AF917)))</f>
        <v>160375.12266769371</v>
      </c>
      <c r="AJ917" s="18">
        <f>IF($A917&gt;'1-Input'!$B$26,AJ916,AJ916-AE917*(1-AD917))</f>
        <v>82777.178226435892</v>
      </c>
      <c r="AK917" s="11">
        <f>IF($A917&gt;'1-Input'!$B$26,0,IF(AP916&lt;=0,0,MAX(0,(AP916-AQ916)/AP916)))</f>
        <v>0.46943159780214949</v>
      </c>
      <c r="AL917" s="18">
        <f>IF($A917&gt;'1-Input'!$B$26,0,(MAX(0,AK891-IF($A917&gt;='1-Input'!$C$12,'1-Input'!$B$12,0))-MIN(MAX(AO916,0),MAX(0,AK891-IF($A917&gt;='1-Input'!$C$12,'1-Input'!$B$12,0))))*(1/(1-'P-Parametri'!$B$6*AK917))+MIN(MAX(0,AP916-(MAX(0,AK891-IF($A917&gt;='1-Input'!$C$12,'1-Input'!$B$12,0))-MIN(MAX(AO916,0),MAX(0,AK891-IF($A917&gt;='1-Input'!$C$12,'1-Input'!$B$12,0))))*(1/(1-'P-Parametri'!$B$6*AK917))),MAX(0,0*AK891-(AO916-MIN(MAX(AO916,0),MAX(0,AK891-IF($A917&gt;='1-Input'!$C$12,'1-Input'!$B$12,0)))))*(1/(1-'P-Parametri'!$B$6*AK917))))</f>
        <v>9556.9763810024124</v>
      </c>
      <c r="AM917" s="18">
        <f>IF($A917&gt;'1-Input'!$B$26,AO916,(AO916-MAX(0,AK891-IF($A917&gt;='1-Input'!$C$12,'1-Input'!$B$12,0))+AL917*(1-'P-Parametri'!$B$6*AK917))*(1+'1-Input'!$B$27))</f>
        <v>1.8124410416930913E-12</v>
      </c>
      <c r="AN917" s="18">
        <f>IF($A917&gt;'1-Input'!$B$26,AP916,(AP916-AL917)*(1+'5-Roberta'!$C$4))</f>
        <v>160678.4379856489</v>
      </c>
      <c r="AO917" s="18">
        <f>IF($A917&gt;'1-Input'!$B$26,AM917,AM917-'P-Parametri'!$B$8*(AN917+AM917)+MIN(MAX(AN917,0),'P-Parametri'!$B$8*(AN917+AM917)))</f>
        <v>1.8189894035458565E-12</v>
      </c>
      <c r="AP917" s="18">
        <f>IF($A917&gt;'1-Input'!$B$26,AN917,AN917-MIN(MAX(AN917,0),'P-Parametri'!$B$8*(AN917+AM917)))</f>
        <v>160357.08110967759</v>
      </c>
      <c r="AQ917" s="18">
        <f>IF($A917&gt;'1-Input'!$B$26,AQ916,AQ916-AL917*(1-AK917))</f>
        <v>82767.86612591469</v>
      </c>
    </row>
    <row r="918" spans="1:43">
      <c r="A918" s="10">
        <f>25</f>
        <v>25</v>
      </c>
      <c r="B918" s="11">
        <f>IF($A918&gt;'1-Input'!$B$26,0,IF(G917&lt;=0,0,MAX(0,(G917-H917)/G917)))</f>
        <v>0.4838527519136816</v>
      </c>
      <c r="C918" s="18">
        <f>IF($A918&gt;'1-Input'!$B$26,0,(MAX(0,B891-IF($A918&gt;='1-Input'!$C$12,'1-Input'!$B$12,0))-MIN(MAX(F917,0),MAX(0,B891-IF($A918&gt;='1-Input'!$C$12,'1-Input'!$B$12,0))))*(1/(1-'P-Parametri'!$B$6*B918))+MIN(MAX(0,G917-(MAX(0,B891-IF($A918&gt;='1-Input'!$C$12,'1-Input'!$B$12,0))-MIN(MAX(F917,0),MAX(0,B891-IF($A918&gt;='1-Input'!$C$12,'1-Input'!$B$12,0))))*(1/(1-'P-Parametri'!$B$6*B918))),MAX(0,0*B891-(F917-MIN(MAX(F917,0),MAX(0,B891-IF($A918&gt;='1-Input'!$C$12,'1-Input'!$B$12,0)))))*(1/(1-'P-Parametri'!$B$6*B918))))</f>
        <v>6381.910618597437</v>
      </c>
      <c r="D918" s="18">
        <f>IF($A918&gt;'1-Input'!$B$26,F917,(F917-MAX(0,B891-IF($A918&gt;='1-Input'!$C$12,'1-Input'!$B$12,0))+C918*(1-'P-Parametri'!$B$6*B918))*(1+'1-Input'!$B$27))</f>
        <v>0</v>
      </c>
      <c r="E918" s="18">
        <f>IF($A918&gt;'1-Input'!$B$26,G917,(G917-C918)*(1+'5-Roberta'!$C$4))</f>
        <v>265027.37998098455</v>
      </c>
      <c r="F918" s="18">
        <f>IF($A918&gt;'1-Input'!$B$26,D918,D918-'P-Parametri'!$B$8*(E918+D918)+MIN(MAX(E918,0),'P-Parametri'!$B$8*(E918+D918)))</f>
        <v>0</v>
      </c>
      <c r="G918" s="18">
        <f>IF($A918&gt;'1-Input'!$B$26,E918,E918-MIN(MAX(E918,0),'P-Parametri'!$B$8*(E918+D918)))</f>
        <v>264497.32522102259</v>
      </c>
      <c r="H918" s="18">
        <f>IF($A918&gt;'1-Input'!$B$26,H917,H917-C918*(1-B918))</f>
        <v>132808.88625700216</v>
      </c>
      <c r="I918" s="11">
        <f>IF($A918&gt;'1-Input'!$B$26,0,IF(N917&lt;=0,0,MAX(0,(N917-O917)/N917)))</f>
        <v>0.48385275191368121</v>
      </c>
      <c r="J918" s="18">
        <f>IF($A918&gt;'1-Input'!$B$26,0,(MAX(0,I891-IF($A918&gt;='1-Input'!$C$12,'1-Input'!$B$12,0))-MIN(MAX(M917,0),MAX(0,I891-IF($A918&gt;='1-Input'!$C$12,'1-Input'!$B$12,0))))*(1/(1-'P-Parametri'!$B$6*I918))+MIN(MAX(0,N917-(MAX(0,I891-IF($A918&gt;='1-Input'!$C$12,'1-Input'!$B$12,0))-MIN(MAX(M917,0),MAX(0,I891-IF($A918&gt;='1-Input'!$C$12,'1-Input'!$B$12,0))))*(1/(1-'P-Parametri'!$B$6*I918))),MAX(0,0*I891-(M917-MIN(MAX(M917,0),MAX(0,I891-IF($A918&gt;='1-Input'!$C$12,'1-Input'!$B$12,0)))))*(1/(1-'P-Parametri'!$B$6*I918))))</f>
        <v>12407.66218055691</v>
      </c>
      <c r="K918" s="18">
        <f>IF($A918&gt;'1-Input'!$B$26,M917,(M917-MAX(0,I891-IF($A918&gt;='1-Input'!$C$12,'1-Input'!$B$12,0))+J918*(1-'P-Parametri'!$B$6*I918))*(1+'1-Input'!$B$27))</f>
        <v>1.8124410416930913E-12</v>
      </c>
      <c r="L918" s="18">
        <f>IF($A918&gt;'1-Input'!$B$26,N917,(N917-J918)*(1+'5-Roberta'!$C$4))</f>
        <v>59403.160619208582</v>
      </c>
      <c r="M918" s="18">
        <f>IF($A918&gt;'1-Input'!$B$26,K918,K918-'P-Parametri'!$B$8*(L918+K918)+MIN(MAX(L918,0),'P-Parametri'!$B$8*(L918+K918)))</f>
        <v>1.8189894035458565E-12</v>
      </c>
      <c r="N918" s="18">
        <f>IF($A918&gt;'1-Input'!$B$26,L918,L918-MIN(MAX(L918,0),'P-Parametri'!$B$8*(L918+K918)))</f>
        <v>59284.354297970167</v>
      </c>
      <c r="O918" s="18">
        <f>IF($A918&gt;'1-Input'!$B$26,O917,O917-J918*(1-I918))</f>
        <v>29767.745515761253</v>
      </c>
      <c r="P918" s="11">
        <f>IF($A918&gt;'1-Input'!$B$26,0,IF(U917&lt;=0,0,MAX(0,(U917-V917)/U917)))</f>
        <v>0.48385275191368204</v>
      </c>
      <c r="Q918" s="18">
        <f>IF($A918&gt;'1-Input'!$B$26,0,(MAX(0,P891-IF($A918&gt;='1-Input'!$C$12,'1-Input'!$B$12,0))-MIN(MAX(T917,0),MAX(0,P891-IF($A918&gt;='1-Input'!$C$12,'1-Input'!$B$12,0))))*(1/(1-'P-Parametri'!$B$6*P918))+MIN(MAX(0,U917-(MAX(0,P891-IF($A918&gt;='1-Input'!$C$12,'1-Input'!$B$12,0))-MIN(MAX(T917,0),MAX(0,P891-IF($A918&gt;='1-Input'!$C$12,'1-Input'!$B$12,0))))*(1/(1-'P-Parametri'!$B$6*P918))),MAX(0,0*P891-(T917-MIN(MAX(T917,0),MAX(0,P891-IF($A918&gt;='1-Input'!$C$12,'1-Input'!$B$12,0)))))*(1/(1-'P-Parametri'!$B$6*P918))))</f>
        <v>9864.5259827139034</v>
      </c>
      <c r="R918" s="18">
        <f>IF($A918&gt;'1-Input'!$B$26,T917,(T917-MAX(0,P891-IF($A918&gt;='1-Input'!$C$12,'1-Input'!$B$12,0))+Q918*(1-'P-Parametri'!$B$6*P918))*(1+'1-Input'!$B$27))</f>
        <v>0</v>
      </c>
      <c r="S918" s="18">
        <f>IF($A918&gt;'1-Input'!$B$26,U917,(U917-Q918)*(1+'5-Roberta'!$C$4))</f>
        <v>146185.76193211382</v>
      </c>
      <c r="T918" s="18">
        <f>IF($A918&gt;'1-Input'!$B$26,R918,R918-'P-Parametri'!$B$8*(S918+R918)+MIN(MAX(S918,0),'P-Parametri'!$B$8*(S918+R918)))</f>
        <v>0</v>
      </c>
      <c r="U918" s="18">
        <f>IF($A918&gt;'1-Input'!$B$26,S918,S918-MIN(MAX(S918,0),'P-Parametri'!$B$8*(S918+R918)))</f>
        <v>145893.3904082496</v>
      </c>
      <c r="V918" s="18">
        <f>IF($A918&gt;'1-Input'!$B$26,V917,V917-Q918*(1-P918))</f>
        <v>73255.707505497252</v>
      </c>
      <c r="W918" s="11">
        <f>IF($A918&gt;'1-Input'!$B$26,0,IF(AB917&lt;=0,0,MAX(0,(AB917-AC917)/AB917)))</f>
        <v>0.48385275191368177</v>
      </c>
      <c r="X918" s="18">
        <f>IF($A918&gt;'1-Input'!$B$26,0,(MAX(0,W891-IF($A918&gt;='1-Input'!$C$12,'1-Input'!$B$12,0))-MIN(MAX(AA917,0),MAX(0,W891-IF($A918&gt;='1-Input'!$C$12,'1-Input'!$B$12,0))))*(1/(1-'P-Parametri'!$B$6*W918))+MIN(MAX(0,AB917-(MAX(0,W891-IF($A918&gt;='1-Input'!$C$12,'1-Input'!$B$12,0))-MIN(MAX(AA917,0),MAX(0,W891-IF($A918&gt;='1-Input'!$C$12,'1-Input'!$B$12,0))))*(1/(1-'P-Parametri'!$B$6*W918))),MAX(0,0*W891-(AA917-MIN(MAX(AA917,0),MAX(0,W891-IF($A918&gt;='1-Input'!$C$12,'1-Input'!$B$12,0)))))*(1/(1-'P-Parametri'!$B$6*W918))))</f>
        <v>9600.6419963397275</v>
      </c>
      <c r="Y918" s="18">
        <f>IF($A918&gt;'1-Input'!$B$26,AA917,(AA917-MAX(0,W891-IF($A918&gt;='1-Input'!$C$12,'1-Input'!$B$12,0))+X918*(1-'P-Parametri'!$B$6*W918))*(1+'1-Input'!$B$27))</f>
        <v>0</v>
      </c>
      <c r="Z918" s="18">
        <f>IF($A918&gt;'1-Input'!$B$26,AB917,(AB917-X918)*(1+'5-Roberta'!$C$4))</f>
        <v>155190.60359249875</v>
      </c>
      <c r="AA918" s="18">
        <f>IF($A918&gt;'1-Input'!$B$26,Y918,Y918-'P-Parametri'!$B$8*(Z918+Y918)+MIN(MAX(Z918,0),'P-Parametri'!$B$8*(Z918+Y918)))</f>
        <v>0</v>
      </c>
      <c r="AB918" s="18">
        <f>IF($A918&gt;'1-Input'!$B$26,Z918,Z918-MIN(MAX(Z918,0),'P-Parametri'!$B$8*(Z918+Y918)))</f>
        <v>154880.22238531374</v>
      </c>
      <c r="AC918" s="18">
        <f>IF($A918&gt;'1-Input'!$B$26,AC917,AC917-X918*(1-W918))</f>
        <v>77768.158226332933</v>
      </c>
      <c r="AD918" s="11">
        <f>IF($A918&gt;'1-Input'!$B$26,0,IF(AI917&lt;=0,0,MAX(0,(AI917-AJ917)/AI917)))</f>
        <v>0.48385275191368132</v>
      </c>
      <c r="AE918" s="18">
        <f>IF($A918&gt;'1-Input'!$B$26,0,(MAX(0,AD891-IF($A918&gt;='1-Input'!$C$12,'1-Input'!$B$12,0))-MIN(MAX(AH917,0),MAX(0,AD891-IF($A918&gt;='1-Input'!$C$12,'1-Input'!$B$12,0))))*(1/(1-'P-Parametri'!$B$6*AD918))+MIN(MAX(0,AI917-(MAX(0,AD891-IF($A918&gt;='1-Input'!$C$12,'1-Input'!$B$12,0))-MIN(MAX(AH917,0),MAX(0,AD891-IF($A918&gt;='1-Input'!$C$12,'1-Input'!$B$12,0))))*(1/(1-'P-Parametri'!$B$6*AD918))),MAX(0,0*AD891-(AH917-MIN(MAX(AH917,0),MAX(0,AD891-IF($A918&gt;='1-Input'!$C$12,'1-Input'!$B$12,0)))))*(1/(1-'P-Parametri'!$B$6*AD918))))</f>
        <v>9597.4054366073487</v>
      </c>
      <c r="AF918" s="18">
        <f>IF($A918&gt;'1-Input'!$B$26,AH917,(AH917-MAX(0,AD891-IF($A918&gt;='1-Input'!$C$12,'1-Input'!$B$12,0))+AE918*(1-'P-Parametri'!$B$6*AD918))*(1+'1-Input'!$B$27))</f>
        <v>0</v>
      </c>
      <c r="AG918" s="18">
        <f>IF($A918&gt;'1-Input'!$B$26,AI917,(AI917-AE918)*(1+'5-Roberta'!$C$4))</f>
        <v>155301.04874801898</v>
      </c>
      <c r="AH918" s="18">
        <f>IF($A918&gt;'1-Input'!$B$26,AF918,AF918-'P-Parametri'!$B$8*(AG918+AF918)+MIN(MAX(AG918,0),'P-Parametri'!$B$8*(AG918+AF918)))</f>
        <v>0</v>
      </c>
      <c r="AI918" s="18">
        <f>IF($A918&gt;'1-Input'!$B$26,AG918,AG918-MIN(MAX(AG918,0),'P-Parametri'!$B$8*(AG918+AF918)))</f>
        <v>154990.44665052294</v>
      </c>
      <c r="AJ918" s="18">
        <f>IF($A918&gt;'1-Input'!$B$26,AJ917,AJ917-AE918*(1-AD918))</f>
        <v>77823.503821562335</v>
      </c>
      <c r="AK918" s="11">
        <f>IF($A918&gt;'1-Input'!$B$26,0,IF(AP917&lt;=0,0,MAX(0,(AP917-AQ917)/AP917)))</f>
        <v>0.48385275191368127</v>
      </c>
      <c r="AL918" s="18">
        <f>IF($A918&gt;'1-Input'!$B$26,0,(MAX(0,AK891-IF($A918&gt;='1-Input'!$C$12,'1-Input'!$B$12,0))-MIN(MAX(AO917,0),MAX(0,AK891-IF($A918&gt;='1-Input'!$C$12,'1-Input'!$B$12,0))))*(1/(1-'P-Parametri'!$B$6*AK918))+MIN(MAX(0,AP917-(MAX(0,AK891-IF($A918&gt;='1-Input'!$C$12,'1-Input'!$B$12,0))-MIN(MAX(AO917,0),MAX(0,AK891-IF($A918&gt;='1-Input'!$C$12,'1-Input'!$B$12,0))))*(1/(1-'P-Parametri'!$B$6*AK918))),MAX(0,0*AK891-(AO917-MIN(MAX(AO917,0),MAX(0,AK891-IF($A918&gt;='1-Input'!$C$12,'1-Input'!$B$12,0)))))*(1/(1-'P-Parametri'!$B$6*AK918))))</f>
        <v>9597.9669482858735</v>
      </c>
      <c r="AM918" s="18">
        <f>IF($A918&gt;'1-Input'!$B$26,AO917,(AO917-MAX(0,AK891-IF($A918&gt;='1-Input'!$C$12,'1-Input'!$B$12,0))+AL918*(1-'P-Parametri'!$B$6*AK918))*(1+'1-Input'!$B$27))</f>
        <v>1.8124410416930913E-12</v>
      </c>
      <c r="AN918" s="18">
        <f>IF($A918&gt;'1-Input'!$B$26,AP917,(AP917-AL918)*(1+'5-Roberta'!$C$4))</f>
        <v>155281.88758623347</v>
      </c>
      <c r="AO918" s="18">
        <f>IF($A918&gt;'1-Input'!$B$26,AM918,AM918-'P-Parametri'!$B$8*(AN918+AM918)+MIN(MAX(AN918,0),'P-Parametri'!$B$8*(AN918+AM918)))</f>
        <v>1.8189894035458565E-12</v>
      </c>
      <c r="AP918" s="18">
        <f>IF($A918&gt;'1-Input'!$B$26,AN918,AN918-MIN(MAX(AN918,0),'P-Parametri'!$B$8*(AN918+AM918)))</f>
        <v>154971.32381106101</v>
      </c>
      <c r="AQ918" s="18">
        <f>IF($A918&gt;'1-Input'!$B$26,AQ917,AQ917-AL918*(1-AK918))</f>
        <v>77813.901898333497</v>
      </c>
    </row>
    <row r="919" spans="1:43">
      <c r="A919" s="10">
        <f>26</f>
        <v>26</v>
      </c>
      <c r="B919" s="11">
        <f>IF($A919&gt;'1-Input'!$B$26,0,IF(G918&lt;=0,0,MAX(0,(G918-H918)/G918)))</f>
        <v>0.49788193076802301</v>
      </c>
      <c r="C919" s="18">
        <f>IF($A919&gt;'1-Input'!$B$26,0,(MAX(0,B891-IF($A919&gt;='1-Input'!$C$12,'1-Input'!$B$12,0))-MIN(MAX(F918,0),MAX(0,B891-IF($A919&gt;='1-Input'!$C$12,'1-Input'!$B$12,0))))*(1/(1-'P-Parametri'!$B$6*B919))+MIN(MAX(0,G918-(MAX(0,B891-IF($A919&gt;='1-Input'!$C$12,'1-Input'!$B$12,0))-MIN(MAX(F918,0),MAX(0,B891-IF($A919&gt;='1-Input'!$C$12,'1-Input'!$B$12,0))))*(1/(1-'P-Parametri'!$B$6*B919))),MAX(0,0*B891-(F918-MIN(MAX(F918,0),MAX(0,B891-IF($A919&gt;='1-Input'!$C$12,'1-Input'!$B$12,0)))))*(1/(1-'P-Parametri'!$B$6*B919))))</f>
        <v>6408.6506707088874</v>
      </c>
      <c r="D919" s="18">
        <f>IF($A919&gt;'1-Input'!$B$26,F918,(F918-MAX(0,B891-IF($A919&gt;='1-Input'!$C$12,'1-Input'!$B$12,0))+C919*(1-'P-Parametri'!$B$6*B919))*(1+'1-Input'!$B$27))</f>
        <v>0</v>
      </c>
      <c r="E919" s="18">
        <f>IF($A919&gt;'1-Input'!$B$26,G918,(G918-C919)*(1+'5-Roberta'!$C$4))</f>
        <v>265831.33478682314</v>
      </c>
      <c r="F919" s="18">
        <f>IF($A919&gt;'1-Input'!$B$26,D919,D919-'P-Parametri'!$B$8*(E919+D919)+MIN(MAX(E919,0),'P-Parametri'!$B$8*(E919+D919)))</f>
        <v>0</v>
      </c>
      <c r="G919" s="18">
        <f>IF($A919&gt;'1-Input'!$B$26,E919,E919-MIN(MAX(E919,0),'P-Parametri'!$B$8*(E919+D919)))</f>
        <v>265299.67211724952</v>
      </c>
      <c r="H919" s="18">
        <f>IF($A919&gt;'1-Input'!$B$26,H918,H918-C919*(1-B919))</f>
        <v>129590.9869558436</v>
      </c>
      <c r="I919" s="11">
        <f>IF($A919&gt;'1-Input'!$B$26,0,IF(N918&lt;=0,0,MAX(0,(N918-O918)/N918)))</f>
        <v>0.49788193076802273</v>
      </c>
      <c r="J919" s="18">
        <f>IF($A919&gt;'1-Input'!$B$26,0,(MAX(0,I891-IF($A919&gt;='1-Input'!$C$12,'1-Input'!$B$12,0))-MIN(MAX(M918,0),MAX(0,I891-IF($A919&gt;='1-Input'!$C$12,'1-Input'!$B$12,0))))*(1/(1-'P-Parametri'!$B$6*I919))+MIN(MAX(0,N918-(MAX(0,I891-IF($A919&gt;='1-Input'!$C$12,'1-Input'!$B$12,0))-MIN(MAX(M918,0),MAX(0,I891-IF($A919&gt;='1-Input'!$C$12,'1-Input'!$B$12,0))))*(1/(1-'P-Parametri'!$B$6*I919))),MAX(0,0*I891-(M918-MIN(MAX(M918,0),MAX(0,I891-IF($A919&gt;='1-Input'!$C$12,'1-Input'!$B$12,0)))))*(1/(1-'P-Parametri'!$B$6*I919))))</f>
        <v>12459.649986892293</v>
      </c>
      <c r="K919" s="18">
        <f>IF($A919&gt;'1-Input'!$B$26,M918,(M918-MAX(0,I891-IF($A919&gt;='1-Input'!$C$12,'1-Input'!$B$12,0))+J919*(1-'P-Parametri'!$B$6*I919))*(1+'1-Input'!$B$27))</f>
        <v>1.8124410416930913E-12</v>
      </c>
      <c r="L919" s="18">
        <f>IF($A919&gt;'1-Input'!$B$26,N918,(N918-J919)*(1+'5-Roberta'!$C$4))</f>
        <v>48229.445440410214</v>
      </c>
      <c r="M919" s="18">
        <f>IF($A919&gt;'1-Input'!$B$26,K919,K919-'P-Parametri'!$B$8*(L919+K919)+MIN(MAX(L919,0),'P-Parametri'!$B$8*(L919+K919)))</f>
        <v>1.8189894035458565E-12</v>
      </c>
      <c r="N919" s="18">
        <f>IF($A919&gt;'1-Input'!$B$26,L919,L919-MIN(MAX(L919,0),'P-Parametri'!$B$8*(L919+K919)))</f>
        <v>48132.986549529393</v>
      </c>
      <c r="O919" s="18">
        <f>IF($A919&gt;'1-Input'!$B$26,O918,O918-J919*(1-I919))</f>
        <v>23511.530121036663</v>
      </c>
      <c r="P919" s="11">
        <f>IF($A919&gt;'1-Input'!$B$26,0,IF(U918&lt;=0,0,MAX(0,(U918-V918)/U918)))</f>
        <v>0.49788193076802351</v>
      </c>
      <c r="Q919" s="18">
        <f>IF($A919&gt;'1-Input'!$B$26,0,(MAX(0,P891-IF($A919&gt;='1-Input'!$C$12,'1-Input'!$B$12,0))-MIN(MAX(T918,0),MAX(0,P891-IF($A919&gt;='1-Input'!$C$12,'1-Input'!$B$12,0))))*(1/(1-'P-Parametri'!$B$6*P919))+MIN(MAX(0,U918-(MAX(0,P891-IF($A919&gt;='1-Input'!$C$12,'1-Input'!$B$12,0))-MIN(MAX(T918,0),MAX(0,P891-IF($A919&gt;='1-Input'!$C$12,'1-Input'!$B$12,0))))*(1/(1-'P-Parametri'!$B$6*P919))),MAX(0,0*P891-(T918-MIN(MAX(T918,0),MAX(0,P891-IF($A919&gt;='1-Input'!$C$12,'1-Input'!$B$12,0)))))*(1/(1-'P-Parametri'!$B$6*P919))))</f>
        <v>9905.8581095011159</v>
      </c>
      <c r="R919" s="18">
        <f>IF($A919&gt;'1-Input'!$B$26,T918,(T918-MAX(0,P891-IF($A919&gt;='1-Input'!$C$12,'1-Input'!$B$12,0))+Q919*(1-'P-Parametri'!$B$6*P919))*(1+'1-Input'!$B$27))</f>
        <v>0</v>
      </c>
      <c r="S919" s="18">
        <f>IF($A919&gt;'1-Input'!$B$26,U918,(U918-Q919)*(1+'5-Roberta'!$C$4))</f>
        <v>140067.15826771097</v>
      </c>
      <c r="T919" s="18">
        <f>IF($A919&gt;'1-Input'!$B$26,R919,R919-'P-Parametri'!$B$8*(S919+R919)+MIN(MAX(S919,0),'P-Parametri'!$B$8*(S919+R919)))</f>
        <v>0</v>
      </c>
      <c r="U919" s="18">
        <f>IF($A919&gt;'1-Input'!$B$26,S919,S919-MIN(MAX(S919,0),'P-Parametri'!$B$8*(S919+R919)))</f>
        <v>139787.02395117554</v>
      </c>
      <c r="V919" s="18">
        <f>IF($A919&gt;'1-Input'!$B$26,V918,V918-Q919*(1-P919))</f>
        <v>68281.797157468638</v>
      </c>
      <c r="W919" s="11">
        <f>IF($A919&gt;'1-Input'!$B$26,0,IF(AB918&lt;=0,0,MAX(0,(AB918-AC918)/AB918)))</f>
        <v>0.49788193076802317</v>
      </c>
      <c r="X919" s="18">
        <f>IF($A919&gt;'1-Input'!$B$26,0,(MAX(0,W891-IF($A919&gt;='1-Input'!$C$12,'1-Input'!$B$12,0))-MIN(MAX(AA918,0),MAX(0,W891-IF($A919&gt;='1-Input'!$C$12,'1-Input'!$B$12,0))))*(1/(1-'P-Parametri'!$B$6*W919))+MIN(MAX(0,AB918-(MAX(0,W891-IF($A919&gt;='1-Input'!$C$12,'1-Input'!$B$12,0))-MIN(MAX(AA918,0),MAX(0,W891-IF($A919&gt;='1-Input'!$C$12,'1-Input'!$B$12,0))))*(1/(1-'P-Parametri'!$B$6*W919))),MAX(0,0*W891-(AA918-MIN(MAX(AA918,0),MAX(0,W891-IF($A919&gt;='1-Input'!$C$12,'1-Input'!$B$12,0)))))*(1/(1-'P-Parametri'!$B$6*W919))))</f>
        <v>9640.8684555661239</v>
      </c>
      <c r="Y919" s="18">
        <f>IF($A919&gt;'1-Input'!$B$26,AA918,(AA918-MAX(0,W891-IF($A919&gt;='1-Input'!$C$12,'1-Input'!$B$12,0))+X919*(1-'P-Parametri'!$B$6*W919))*(1+'1-Input'!$B$27))</f>
        <v>0</v>
      </c>
      <c r="Z919" s="18">
        <f>IF($A919&gt;'1-Input'!$B$26,AB918,(AB918-X919)*(1+'5-Roberta'!$C$4))</f>
        <v>149596.53454764007</v>
      </c>
      <c r="AA919" s="18">
        <f>IF($A919&gt;'1-Input'!$B$26,Y919,Y919-'P-Parametri'!$B$8*(Z919+Y919)+MIN(MAX(Z919,0),'P-Parametri'!$B$8*(Z919+Y919)))</f>
        <v>0</v>
      </c>
      <c r="AB919" s="18">
        <f>IF($A919&gt;'1-Input'!$B$26,Z919,Z919-MIN(MAX(Z919,0),'P-Parametri'!$B$8*(Z919+Y919)))</f>
        <v>149297.34147854478</v>
      </c>
      <c r="AC919" s="18">
        <f>IF($A919&gt;'1-Input'!$B$26,AC918,AC918-X919*(1-W919))</f>
        <v>72927.303971704605</v>
      </c>
      <c r="AD919" s="11">
        <f>IF($A919&gt;'1-Input'!$B$26,0,IF(AI918&lt;=0,0,MAX(0,(AI918-AJ918)/AI918)))</f>
        <v>0.49788193076802284</v>
      </c>
      <c r="AE919" s="18">
        <f>IF($A919&gt;'1-Input'!$B$26,0,(MAX(0,AD891-IF($A919&gt;='1-Input'!$C$12,'1-Input'!$B$12,0))-MIN(MAX(AH918,0),MAX(0,AD891-IF($A919&gt;='1-Input'!$C$12,'1-Input'!$B$12,0))))*(1/(1-'P-Parametri'!$B$6*AD919))+MIN(MAX(0,AI918-(MAX(0,AD891-IF($A919&gt;='1-Input'!$C$12,'1-Input'!$B$12,0))-MIN(MAX(AH918,0),MAX(0,AD891-IF($A919&gt;='1-Input'!$C$12,'1-Input'!$B$12,0))))*(1/(1-'P-Parametri'!$B$6*AD919))),MAX(0,0*AD891-(AH918-MIN(MAX(AH918,0),MAX(0,AD891-IF($A919&gt;='1-Input'!$C$12,'1-Input'!$B$12,0)))))*(1/(1-'P-Parametri'!$B$6*AD919))))</f>
        <v>9637.6183347262522</v>
      </c>
      <c r="AF919" s="18">
        <f>IF($A919&gt;'1-Input'!$B$26,AH918,(AH918-MAX(0,AD891-IF($A919&gt;='1-Input'!$C$12,'1-Input'!$B$12,0))+AE919*(1-'P-Parametri'!$B$6*AD919))*(1+'1-Input'!$B$27))</f>
        <v>0</v>
      </c>
      <c r="AG919" s="18">
        <f>IF($A919&gt;'1-Input'!$B$26,AI918,(AI918-AE919)*(1+'5-Roberta'!$C$4))</f>
        <v>149713.41316527058</v>
      </c>
      <c r="AH919" s="18">
        <f>IF($A919&gt;'1-Input'!$B$26,AF919,AF919-'P-Parametri'!$B$8*(AG919+AF919)+MIN(MAX(AG919,0),'P-Parametri'!$B$8*(AG919+AF919)))</f>
        <v>0</v>
      </c>
      <c r="AI919" s="18">
        <f>IF($A919&gt;'1-Input'!$B$26,AG919,AG919-MIN(MAX(AG919,0),'P-Parametri'!$B$8*(AG919+AF919)))</f>
        <v>149413.98633894004</v>
      </c>
      <c r="AJ919" s="18">
        <f>IF($A919&gt;'1-Input'!$B$26,AJ918,AJ918-AE919*(1-AD919))</f>
        <v>72984.281511334892</v>
      </c>
      <c r="AK919" s="11">
        <f>IF($A919&gt;'1-Input'!$B$26,0,IF(AP918&lt;=0,0,MAX(0,(AP918-AQ918)/AP918)))</f>
        <v>0.49788193076802273</v>
      </c>
      <c r="AL919" s="18">
        <f>IF($A919&gt;'1-Input'!$B$26,0,(MAX(0,AK891-IF($A919&gt;='1-Input'!$C$12,'1-Input'!$B$12,0))-MIN(MAX(AO918,0),MAX(0,AK891-IF($A919&gt;='1-Input'!$C$12,'1-Input'!$B$12,0))))*(1/(1-'P-Parametri'!$B$6*AK919))+MIN(MAX(0,AP918-(MAX(0,AK891-IF($A919&gt;='1-Input'!$C$12,'1-Input'!$B$12,0))-MIN(MAX(AO918,0),MAX(0,AK891-IF($A919&gt;='1-Input'!$C$12,'1-Input'!$B$12,0))))*(1/(1-'P-Parametri'!$B$6*AK919))),MAX(0,0*AK891-(AO918-MIN(MAX(AO918,0),MAX(0,AK891-IF($A919&gt;='1-Input'!$C$12,'1-Input'!$B$12,0)))))*(1/(1-'P-Parametri'!$B$6*AK919))))</f>
        <v>9638.1821991252127</v>
      </c>
      <c r="AM919" s="18">
        <f>IF($A919&gt;'1-Input'!$B$26,AO918,(AO918-MAX(0,AK891-IF($A919&gt;='1-Input'!$C$12,'1-Input'!$B$12,0))+AL919*(1-'P-Parametri'!$B$6*AK919))*(1+'1-Input'!$B$27))</f>
        <v>0</v>
      </c>
      <c r="AN919" s="18">
        <f>IF($A919&gt;'1-Input'!$B$26,AP918,(AP918-AL919)*(1+'5-Roberta'!$C$4))</f>
        <v>149693.13586029387</v>
      </c>
      <c r="AO919" s="18">
        <f>IF($A919&gt;'1-Input'!$B$26,AM919,AM919-'P-Parametri'!$B$8*(AN919+AM919)+MIN(MAX(AN919,0),'P-Parametri'!$B$8*(AN919+AM919)))</f>
        <v>0</v>
      </c>
      <c r="AP919" s="18">
        <f>IF($A919&gt;'1-Input'!$B$26,AN919,AN919-MIN(MAX(AN919,0),'P-Parametri'!$B$8*(AN919+AM919)))</f>
        <v>149393.74958857329</v>
      </c>
      <c r="AQ919" s="18">
        <f>IF($A919&gt;'1-Input'!$B$26,AQ918,AQ918-AL919*(1-AK919))</f>
        <v>72974.396461602737</v>
      </c>
    </row>
    <row r="920" spans="1:43">
      <c r="A920" s="10">
        <f>27</f>
        <v>27</v>
      </c>
      <c r="B920" s="11">
        <f>IF($A920&gt;'1-Input'!$B$26,0,IF(G919&lt;=0,0,MAX(0,(G919-H919)/G919)))</f>
        <v>0.51152978847794917</v>
      </c>
      <c r="C920" s="18">
        <f>IF($A920&gt;'1-Input'!$B$26,0,(MAX(0,B891-IF($A920&gt;='1-Input'!$C$12,'1-Input'!$B$12,0))-MIN(MAX(F919,0),MAX(0,B891-IF($A920&gt;='1-Input'!$C$12,'1-Input'!$B$12,0))))*(1/(1-'P-Parametri'!$B$6*B920))+MIN(MAX(0,G919-(MAX(0,B891-IF($A920&gt;='1-Input'!$C$12,'1-Input'!$B$12,0))-MIN(MAX(F919,0),MAX(0,B891-IF($A920&gt;='1-Input'!$C$12,'1-Input'!$B$12,0))))*(1/(1-'P-Parametri'!$B$6*B920))),MAX(0,0*B891-(F919-MIN(MAX(F919,0),MAX(0,B891-IF($A920&gt;='1-Input'!$C$12,'1-Input'!$B$12,0)))))*(1/(1-'P-Parametri'!$B$6*B920))))</f>
        <v>6434.8798200683559</v>
      </c>
      <c r="D920" s="18">
        <f>IF($A920&gt;'1-Input'!$B$26,F919,(F919-MAX(0,B891-IF($A920&gt;='1-Input'!$C$12,'1-Input'!$B$12,0))+C920*(1-'P-Parametri'!$B$6*B920))*(1+'1-Input'!$B$27))</f>
        <v>0</v>
      </c>
      <c r="E920" s="18">
        <f>IF($A920&gt;'1-Input'!$B$26,G919,(G919-C920)*(1+'5-Roberta'!$C$4))</f>
        <v>266630.73606609658</v>
      </c>
      <c r="F920" s="18">
        <f>IF($A920&gt;'1-Input'!$B$26,D920,D920-'P-Parametri'!$B$8*(E920+D920)+MIN(MAX(E920,0),'P-Parametri'!$B$8*(E920+D920)))</f>
        <v>0</v>
      </c>
      <c r="G920" s="18">
        <f>IF($A920&gt;'1-Input'!$B$26,E920,E920-MIN(MAX(E920,0),'P-Parametri'!$B$8*(E920+D920)))</f>
        <v>266097.47459396441</v>
      </c>
      <c r="H920" s="18">
        <f>IF($A920&gt;'1-Input'!$B$26,H919,H919-C920*(1-B920))</f>
        <v>126447.73984901584</v>
      </c>
      <c r="I920" s="11">
        <f>IF($A920&gt;'1-Input'!$B$26,0,IF(N919&lt;=0,0,MAX(0,(N919-O919)/N919)))</f>
        <v>0.51152978847794894</v>
      </c>
      <c r="J920" s="18">
        <f>IF($A920&gt;'1-Input'!$B$26,0,(MAX(0,I891-IF($A920&gt;='1-Input'!$C$12,'1-Input'!$B$12,0))-MIN(MAX(M919,0),MAX(0,I891-IF($A920&gt;='1-Input'!$C$12,'1-Input'!$B$12,0))))*(1/(1-'P-Parametri'!$B$6*I920))+MIN(MAX(0,N919-(MAX(0,I891-IF($A920&gt;='1-Input'!$C$12,'1-Input'!$B$12,0))-MIN(MAX(M919,0),MAX(0,I891-IF($A920&gt;='1-Input'!$C$12,'1-Input'!$B$12,0))))*(1/(1-'P-Parametri'!$B$6*I920))),MAX(0,0*I891-(M919-MIN(MAX(M919,0),MAX(0,I891-IF($A920&gt;='1-Input'!$C$12,'1-Input'!$B$12,0)))))*(1/(1-'P-Parametri'!$B$6*I920))))</f>
        <v>12510.644499975459</v>
      </c>
      <c r="K920" s="18">
        <f>IF($A920&gt;'1-Input'!$B$26,M919,(M919-MAX(0,I891-IF($A920&gt;='1-Input'!$C$12,'1-Input'!$B$12,0))+J920*(1-'P-Parametri'!$B$6*I920))*(1+'1-Input'!$B$27))</f>
        <v>1.8124410416930913E-12</v>
      </c>
      <c r="L920" s="18">
        <f>IF($A920&gt;'1-Input'!$B$26,N919,(N919-J920)*(1+'5-Roberta'!$C$4))</f>
        <v>36691.012311040548</v>
      </c>
      <c r="M920" s="18">
        <f>IF($A920&gt;'1-Input'!$B$26,K920,K920-'P-Parametri'!$B$8*(L920+K920)+MIN(MAX(L920,0),'P-Parametri'!$B$8*(L920+K920)))</f>
        <v>1.8189894035458565E-12</v>
      </c>
      <c r="N920" s="18">
        <f>IF($A920&gt;'1-Input'!$B$26,L920,L920-MIN(MAX(L920,0),'P-Parametri'!$B$8*(L920+K920)))</f>
        <v>36617.630286418469</v>
      </c>
      <c r="O920" s="18">
        <f>IF($A920&gt;'1-Input'!$B$26,O919,O919-J920*(1-I920))</f>
        <v>17400.452955856468</v>
      </c>
      <c r="P920" s="11">
        <f>IF($A920&gt;'1-Input'!$B$26,0,IF(U919&lt;=0,0,MAX(0,(U919-V919)/U919)))</f>
        <v>0.51152978847794961</v>
      </c>
      <c r="Q920" s="18">
        <f>IF($A920&gt;'1-Input'!$B$26,0,(MAX(0,P891-IF($A920&gt;='1-Input'!$C$12,'1-Input'!$B$12,0))-MIN(MAX(T919,0),MAX(0,P891-IF($A920&gt;='1-Input'!$C$12,'1-Input'!$B$12,0))))*(1/(1-'P-Parametri'!$B$6*P920))+MIN(MAX(0,U919-(MAX(0,P891-IF($A920&gt;='1-Input'!$C$12,'1-Input'!$B$12,0))-MIN(MAX(T919,0),MAX(0,P891-IF($A920&gt;='1-Input'!$C$12,'1-Input'!$B$12,0))))*(1/(1-'P-Parametri'!$B$6*P920))),MAX(0,0*P891-(T919-MIN(MAX(T919,0),MAX(0,P891-IF($A920&gt;='1-Input'!$C$12,'1-Input'!$B$12,0)))))*(1/(1-'P-Parametri'!$B$6*P920))))</f>
        <v>9946.4005333650584</v>
      </c>
      <c r="R920" s="18">
        <f>IF($A920&gt;'1-Input'!$B$26,T919,(T919-MAX(0,P891-IF($A920&gt;='1-Input'!$C$12,'1-Input'!$B$12,0))+Q920*(1-'P-Parametri'!$B$6*P920))*(1+'1-Input'!$B$27))</f>
        <v>1.8124410416930913E-12</v>
      </c>
      <c r="S920" s="18">
        <f>IF($A920&gt;'1-Input'!$B$26,U919,(U919-Q920)*(1+'5-Roberta'!$C$4))</f>
        <v>133735.84212034481</v>
      </c>
      <c r="T920" s="18">
        <f>IF($A920&gt;'1-Input'!$B$26,R920,R920-'P-Parametri'!$B$8*(S920+R920)+MIN(MAX(S920,0),'P-Parametri'!$B$8*(S920+R920)))</f>
        <v>1.8189894035458565E-12</v>
      </c>
      <c r="U920" s="18">
        <f>IF($A920&gt;'1-Input'!$B$26,S920,S920-MIN(MAX(S920,0),'P-Parametri'!$B$8*(S920+R920)))</f>
        <v>133468.37043610413</v>
      </c>
      <c r="V920" s="18">
        <f>IF($A920&gt;'1-Input'!$B$26,V919,V919-Q920*(1-P920))</f>
        <v>63423.276785052774</v>
      </c>
      <c r="W920" s="11">
        <f>IF($A920&gt;'1-Input'!$B$26,0,IF(AB919&lt;=0,0,MAX(0,(AB919-AC919)/AB919)))</f>
        <v>0.51152978847794928</v>
      </c>
      <c r="X920" s="18">
        <f>IF($A920&gt;'1-Input'!$B$26,0,(MAX(0,W891-IF($A920&gt;='1-Input'!$C$12,'1-Input'!$B$12,0))-MIN(MAX(AA919,0),MAX(0,W891-IF($A920&gt;='1-Input'!$C$12,'1-Input'!$B$12,0))))*(1/(1-'P-Parametri'!$B$6*W920))+MIN(MAX(0,AB919-(MAX(0,W891-IF($A920&gt;='1-Input'!$C$12,'1-Input'!$B$12,0))-MIN(MAX(AA919,0),MAX(0,W891-IF($A920&gt;='1-Input'!$C$12,'1-Input'!$B$12,0))))*(1/(1-'P-Parametri'!$B$6*W920))),MAX(0,0*W891-(AA919-MIN(MAX(AA919,0),MAX(0,W891-IF($A920&gt;='1-Input'!$C$12,'1-Input'!$B$12,0)))))*(1/(1-'P-Parametri'!$B$6*W920))))</f>
        <v>9680.3263370561835</v>
      </c>
      <c r="Y920" s="18">
        <f>IF($A920&gt;'1-Input'!$B$26,AA919,(AA919-MAX(0,W891-IF($A920&gt;='1-Input'!$C$12,'1-Input'!$B$12,0))+X920*(1-'P-Parametri'!$B$6*W920))*(1+'1-Input'!$B$27))</f>
        <v>0</v>
      </c>
      <c r="Z920" s="18">
        <f>IF($A920&gt;'1-Input'!$B$26,AB919,(AB919-X920)*(1+'5-Roberta'!$C$4))</f>
        <v>143805.52559573326</v>
      </c>
      <c r="AA920" s="18">
        <f>IF($A920&gt;'1-Input'!$B$26,Y920,Y920-'P-Parametri'!$B$8*(Z920+Y920)+MIN(MAX(Z920,0),'P-Parametri'!$B$8*(Z920+Y920)))</f>
        <v>0</v>
      </c>
      <c r="AB920" s="18">
        <f>IF($A920&gt;'1-Input'!$B$26,Z920,Z920-MIN(MAX(Z920,0),'P-Parametri'!$B$8*(Z920+Y920)))</f>
        <v>143517.9145445418</v>
      </c>
      <c r="AC920" s="18">
        <f>IF($A920&gt;'1-Input'!$B$26,AC919,AC919-X920*(1-W920))</f>
        <v>68198.752918240294</v>
      </c>
      <c r="AD920" s="11">
        <f>IF($A920&gt;'1-Input'!$B$26,0,IF(AI919&lt;=0,0,MAX(0,(AI919-AJ919)/AI919)))</f>
        <v>0.51152978847794894</v>
      </c>
      <c r="AE920" s="18">
        <f>IF($A920&gt;'1-Input'!$B$26,0,(MAX(0,AD891-IF($A920&gt;='1-Input'!$C$12,'1-Input'!$B$12,0))-MIN(MAX(AH919,0),MAX(0,AD891-IF($A920&gt;='1-Input'!$C$12,'1-Input'!$B$12,0))))*(1/(1-'P-Parametri'!$B$6*AD920))+MIN(MAX(0,AI919-(MAX(0,AD891-IF($A920&gt;='1-Input'!$C$12,'1-Input'!$B$12,0))-MIN(MAX(AH919,0),MAX(0,AD891-IF($A920&gt;='1-Input'!$C$12,'1-Input'!$B$12,0))))*(1/(1-'P-Parametri'!$B$6*AD920))),MAX(0,0*AD891-(AH919-MIN(MAX(AH919,0),MAX(0,AD891-IF($A920&gt;='1-Input'!$C$12,'1-Input'!$B$12,0)))))*(1/(1-'P-Parametri'!$B$6*AD920))))</f>
        <v>9677.0629142110502</v>
      </c>
      <c r="AF920" s="18">
        <f>IF($A920&gt;'1-Input'!$B$26,AH919,(AH919-MAX(0,AD891-IF($A920&gt;='1-Input'!$C$12,'1-Input'!$B$12,0))+AE920*(1-'P-Parametri'!$B$6*AD920))*(1+'1-Input'!$B$27))</f>
        <v>0</v>
      </c>
      <c r="AG920" s="18">
        <f>IF($A920&gt;'1-Input'!$B$26,AI919,(AI919-AE920)*(1+'5-Roberta'!$C$4))</f>
        <v>143929.03112747087</v>
      </c>
      <c r="AH920" s="18">
        <f>IF($A920&gt;'1-Input'!$B$26,AF920,AF920-'P-Parametri'!$B$8*(AG920+AF920)+MIN(MAX(AG920,0),'P-Parametri'!$B$8*(AG920+AF920)))</f>
        <v>0</v>
      </c>
      <c r="AI920" s="18">
        <f>IF($A920&gt;'1-Input'!$B$26,AG920,AG920-MIN(MAX(AG920,0),'P-Parametri'!$B$8*(AG920+AF920)))</f>
        <v>143641.17306521593</v>
      </c>
      <c r="AJ920" s="18">
        <f>IF($A920&gt;'1-Input'!$B$26,AJ919,AJ919-AE920*(1-AD920))</f>
        <v>68257.324542718023</v>
      </c>
      <c r="AK920" s="11">
        <f>IF($A920&gt;'1-Input'!$B$26,0,IF(AP919&lt;=0,0,MAX(0,(AP919-AQ919)/AP919)))</f>
        <v>0.51152978847794883</v>
      </c>
      <c r="AL920" s="18">
        <f>IF($A920&gt;'1-Input'!$B$26,0,(MAX(0,AK891-IF($A920&gt;='1-Input'!$C$12,'1-Input'!$B$12,0))-MIN(MAX(AO919,0),MAX(0,AK891-IF($A920&gt;='1-Input'!$C$12,'1-Input'!$B$12,0))))*(1/(1-'P-Parametri'!$B$6*AK920))+MIN(MAX(0,AP919-(MAX(0,AK891-IF($A920&gt;='1-Input'!$C$12,'1-Input'!$B$12,0))-MIN(MAX(AO919,0),MAX(0,AK891-IF($A920&gt;='1-Input'!$C$12,'1-Input'!$B$12,0))))*(1/(1-'P-Parametri'!$B$6*AK920))),MAX(0,0*AK891-(AO919-MIN(MAX(AO919,0),MAX(0,AK891-IF($A920&gt;='1-Input'!$C$12,'1-Input'!$B$12,0)))))*(1/(1-'P-Parametri'!$B$6*AK920))))</f>
        <v>9677.6290863787326</v>
      </c>
      <c r="AM920" s="18">
        <f>IF($A920&gt;'1-Input'!$B$26,AO919,(AO919-MAX(0,AK891-IF($A920&gt;='1-Input'!$C$12,'1-Input'!$B$12,0))+AL920*(1-'P-Parametri'!$B$6*AK920))*(1+'1-Input'!$B$27))</f>
        <v>0</v>
      </c>
      <c r="AN920" s="18">
        <f>IF($A920&gt;'1-Input'!$B$26,AP919,(AP919-AL920)*(1+'5-Roberta'!$C$4))</f>
        <v>143907.6041172604</v>
      </c>
      <c r="AO920" s="18">
        <f>IF($A920&gt;'1-Input'!$B$26,AM920,AM920-'P-Parametri'!$B$8*(AN920+AM920)+MIN(MAX(AN920,0),'P-Parametri'!$B$8*(AN920+AM920)))</f>
        <v>0</v>
      </c>
      <c r="AP920" s="18">
        <f>IF($A920&gt;'1-Input'!$B$26,AN920,AN920-MIN(MAX(AN920,0),'P-Parametri'!$B$8*(AN920+AM920)))</f>
        <v>143619.78890902587</v>
      </c>
      <c r="AQ920" s="18">
        <f>IF($A920&gt;'1-Input'!$B$26,AQ919,AQ919-AL920*(1-AK920))</f>
        <v>68247.162934747364</v>
      </c>
    </row>
    <row r="921" spans="1:43">
      <c r="A921" s="10">
        <f>28</f>
        <v>28</v>
      </c>
      <c r="B921" s="11">
        <f>IF($A921&gt;'1-Input'!$B$26,0,IF(G920&lt;=0,0,MAX(0,(G920-H920)/G920)))</f>
        <v>0.52480668957132626</v>
      </c>
      <c r="C921" s="18">
        <f>IF($A921&gt;'1-Input'!$B$26,0,(MAX(0,B891-IF($A921&gt;='1-Input'!$C$12,'1-Input'!$B$12,0))-MIN(MAX(F920,0),MAX(0,B891-IF($A921&gt;='1-Input'!$C$12,'1-Input'!$B$12,0))))*(1/(1-'P-Parametri'!$B$6*B921))+MIN(MAX(0,G920-(MAX(0,B891-IF($A921&gt;='1-Input'!$C$12,'1-Input'!$B$12,0))-MIN(MAX(F920,0),MAX(0,B891-IF($A921&gt;='1-Input'!$C$12,'1-Input'!$B$12,0))))*(1/(1-'P-Parametri'!$B$6*B921))),MAX(0,0*B891-(F920-MIN(MAX(F920,0),MAX(0,B891-IF($A921&gt;='1-Input'!$C$12,'1-Input'!$B$12,0)))))*(1/(1-'P-Parametri'!$B$6*B921))))</f>
        <v>6460.6028953420428</v>
      </c>
      <c r="D921" s="18">
        <f>IF($A921&gt;'1-Input'!$B$26,F920,(F920-MAX(0,B891-IF($A921&gt;='1-Input'!$C$12,'1-Input'!$B$12,0))+C921*(1-'P-Parametri'!$B$6*B921))*(1+'1-Input'!$B$27))</f>
        <v>0</v>
      </c>
      <c r="E921" s="18">
        <f>IF($A921&gt;'1-Input'!$B$26,G920,(G920-C921)*(1+'5-Roberta'!$C$4))</f>
        <v>267425.97784958105</v>
      </c>
      <c r="F921" s="18">
        <f>IF($A921&gt;'1-Input'!$B$26,D921,D921-'P-Parametri'!$B$8*(E921+D921)+MIN(MAX(E921,0),'P-Parametri'!$B$8*(E921+D921)))</f>
        <v>0</v>
      </c>
      <c r="G921" s="18">
        <f>IF($A921&gt;'1-Input'!$B$26,E921,E921-MIN(MAX(E921,0),'P-Parametri'!$B$8*(E921+D921)))</f>
        <v>266891.12589388189</v>
      </c>
      <c r="H921" s="18">
        <f>IF($A921&gt;'1-Input'!$B$26,H920,H920-C921*(1-B921))</f>
        <v>123377.70457181317</v>
      </c>
      <c r="I921" s="11">
        <f>IF($A921&gt;'1-Input'!$B$26,0,IF(N920&lt;=0,0,MAX(0,(N920-O920)/N920)))</f>
        <v>0.52480668957132592</v>
      </c>
      <c r="J921" s="18">
        <f>IF($A921&gt;'1-Input'!$B$26,0,(MAX(0,I891-IF($A921&gt;='1-Input'!$C$12,'1-Input'!$B$12,0))-MIN(MAX(M920,0),MAX(0,I891-IF($A921&gt;='1-Input'!$C$12,'1-Input'!$B$12,0))))*(1/(1-'P-Parametri'!$B$6*I921))+MIN(MAX(0,N920-(MAX(0,I891-IF($A921&gt;='1-Input'!$C$12,'1-Input'!$B$12,0))-MIN(MAX(M920,0),MAX(0,I891-IF($A921&gt;='1-Input'!$C$12,'1-Input'!$B$12,0))))*(1/(1-'P-Parametri'!$B$6*I921))),MAX(0,0*I891-(M920-MIN(MAX(M920,0),MAX(0,I891-IF($A921&gt;='1-Input'!$C$12,'1-Input'!$B$12,0)))))*(1/(1-'P-Parametri'!$B$6*I921))))</f>
        <v>12560.655107662575</v>
      </c>
      <c r="K921" s="18">
        <f>IF($A921&gt;'1-Input'!$B$26,M920,(M920-MAX(0,I891-IF($A921&gt;='1-Input'!$C$12,'1-Input'!$B$12,0))+J921*(1-'P-Parametri'!$B$6*I921))*(1+'1-Input'!$B$27))</f>
        <v>-1.8124410416930913E-12</v>
      </c>
      <c r="L921" s="18">
        <f>IF($A921&gt;'1-Input'!$B$26,N920,(N920-J921)*(1+'5-Roberta'!$C$4))</f>
        <v>24778.684434118572</v>
      </c>
      <c r="M921" s="18">
        <f>IF($A921&gt;'1-Input'!$B$26,K921,K921-'P-Parametri'!$B$8*(L921+K921)+MIN(MAX(L921,0),'P-Parametri'!$B$8*(L921+K921)))</f>
        <v>-1.8118839761882555E-12</v>
      </c>
      <c r="N921" s="18">
        <f>IF($A921&gt;'1-Input'!$B$26,L921,L921-MIN(MAX(L921,0),'P-Parametri'!$B$8*(L921+K921)))</f>
        <v>24729.127065250334</v>
      </c>
      <c r="O921" s="18">
        <f>IF($A921&gt;'1-Input'!$B$26,O920,O920-J921*(1-I921))</f>
        <v>11431.713674093455</v>
      </c>
      <c r="P921" s="11">
        <f>IF($A921&gt;'1-Input'!$B$26,0,IF(U920&lt;=0,0,MAX(0,(U920-V920)/U920)))</f>
        <v>0.52480668957132681</v>
      </c>
      <c r="Q921" s="18">
        <f>IF($A921&gt;'1-Input'!$B$26,0,(MAX(0,P891-IF($A921&gt;='1-Input'!$C$12,'1-Input'!$B$12,0))-MIN(MAX(T920,0),MAX(0,P891-IF($A921&gt;='1-Input'!$C$12,'1-Input'!$B$12,0))))*(1/(1-'P-Parametri'!$B$6*P921))+MIN(MAX(0,U920-(MAX(0,P891-IF($A921&gt;='1-Input'!$C$12,'1-Input'!$B$12,0))-MIN(MAX(T920,0),MAX(0,P891-IF($A921&gt;='1-Input'!$C$12,'1-Input'!$B$12,0))))*(1/(1-'P-Parametri'!$B$6*P921))),MAX(0,0*P891-(T920-MIN(MAX(T920,0),MAX(0,P891-IF($A921&gt;='1-Input'!$C$12,'1-Input'!$B$12,0)))))*(1/(1-'P-Parametri'!$B$6*P921))))</f>
        <v>9986.1607179801686</v>
      </c>
      <c r="R921" s="18">
        <f>IF($A921&gt;'1-Input'!$B$26,T920,(T920-MAX(0,P891-IF($A921&gt;='1-Input'!$C$12,'1-Input'!$B$12,0))+Q921*(1-'P-Parametri'!$B$6*P921))*(1+'1-Input'!$B$27))</f>
        <v>0</v>
      </c>
      <c r="S921" s="18">
        <f>IF($A921&gt;'1-Input'!$B$26,U920,(U920-Q921)*(1+'5-Roberta'!$C$4))</f>
        <v>127186.67600966769</v>
      </c>
      <c r="T921" s="18">
        <f>IF($A921&gt;'1-Input'!$B$26,R921,R921-'P-Parametri'!$B$8*(S921+R921)+MIN(MAX(S921,0),'P-Parametri'!$B$8*(S921+R921)))</f>
        <v>0</v>
      </c>
      <c r="U921" s="18">
        <f>IF($A921&gt;'1-Input'!$B$26,S921,S921-MIN(MAX(S921,0),'P-Parametri'!$B$8*(S921+R921)))</f>
        <v>126932.30265764835</v>
      </c>
      <c r="V921" s="18">
        <f>IF($A921&gt;'1-Input'!$B$26,V920,V920-Q921*(1-P921))</f>
        <v>58677.920015003001</v>
      </c>
      <c r="W921" s="11">
        <f>IF($A921&gt;'1-Input'!$B$26,0,IF(AB920&lt;=0,0,MAX(0,(AB920-AC920)/AB920)))</f>
        <v>0.52480668957132648</v>
      </c>
      <c r="X921" s="18">
        <f>IF($A921&gt;'1-Input'!$B$26,0,(MAX(0,W891-IF($A921&gt;='1-Input'!$C$12,'1-Input'!$B$12,0))-MIN(MAX(AA920,0),MAX(0,W891-IF($A921&gt;='1-Input'!$C$12,'1-Input'!$B$12,0))))*(1/(1-'P-Parametri'!$B$6*W921))+MIN(MAX(0,AB920-(MAX(0,W891-IF($A921&gt;='1-Input'!$C$12,'1-Input'!$B$12,0))-MIN(MAX(AA920,0),MAX(0,W891-IF($A921&gt;='1-Input'!$C$12,'1-Input'!$B$12,0))))*(1/(1-'P-Parametri'!$B$6*W921))),MAX(0,0*W891-(AA920-MIN(MAX(AA920,0),MAX(0,W891-IF($A921&gt;='1-Input'!$C$12,'1-Input'!$B$12,0)))))*(1/(1-'P-Parametri'!$B$6*W921))))</f>
        <v>9719.0229048250749</v>
      </c>
      <c r="Y921" s="18">
        <f>IF($A921&gt;'1-Input'!$B$26,AA920,(AA920-MAX(0,W891-IF($A921&gt;='1-Input'!$C$12,'1-Input'!$B$12,0))+X921*(1-'P-Parametri'!$B$6*W921))*(1+'1-Input'!$B$27))</f>
        <v>0</v>
      </c>
      <c r="Z921" s="18">
        <f>IF($A921&gt;'1-Input'!$B$26,AB920,(AB920-X921)*(1+'5-Roberta'!$C$4))</f>
        <v>137812.85838890824</v>
      </c>
      <c r="AA921" s="18">
        <f>IF($A921&gt;'1-Input'!$B$26,Y921,Y921-'P-Parametri'!$B$8*(Z921+Y921)+MIN(MAX(Z921,0),'P-Parametri'!$B$8*(Z921+Y921)))</f>
        <v>0</v>
      </c>
      <c r="AB921" s="18">
        <f>IF($A921&gt;'1-Input'!$B$26,Z921,Z921-MIN(MAX(Z921,0),'P-Parametri'!$B$8*(Z921+Y921)))</f>
        <v>137537.23267213043</v>
      </c>
      <c r="AC921" s="18">
        <f>IF($A921&gt;'1-Input'!$B$26,AC920,AC920-X921*(1-W921))</f>
        <v>63580.338249964363</v>
      </c>
      <c r="AD921" s="11">
        <f>IF($A921&gt;'1-Input'!$B$26,0,IF(AI920&lt;=0,0,MAX(0,(AI920-AJ920)/AI920)))</f>
        <v>0.52480668957132615</v>
      </c>
      <c r="AE921" s="18">
        <f>IF($A921&gt;'1-Input'!$B$26,0,(MAX(0,AD891-IF($A921&gt;='1-Input'!$C$12,'1-Input'!$B$12,0))-MIN(MAX(AH920,0),MAX(0,AD891-IF($A921&gt;='1-Input'!$C$12,'1-Input'!$B$12,0))))*(1/(1-'P-Parametri'!$B$6*AD921))+MIN(MAX(0,AI920-(MAX(0,AD891-IF($A921&gt;='1-Input'!$C$12,'1-Input'!$B$12,0))-MIN(MAX(AH920,0),MAX(0,AD891-IF($A921&gt;='1-Input'!$C$12,'1-Input'!$B$12,0))))*(1/(1-'P-Parametri'!$B$6*AD921))),MAX(0,0*AD891-(AH920-MIN(MAX(AH920,0),MAX(0,AD891-IF($A921&gt;='1-Input'!$C$12,'1-Input'!$B$12,0)))))*(1/(1-'P-Parametri'!$B$6*AD921))))</f>
        <v>9715.7464366280728</v>
      </c>
      <c r="AF921" s="18">
        <f>IF($A921&gt;'1-Input'!$B$26,AH920,(AH920-MAX(0,AD891-IF($A921&gt;='1-Input'!$C$12,'1-Input'!$B$12,0))+AE921*(1-'P-Parametri'!$B$6*AD921))*(1+'1-Input'!$B$27))</f>
        <v>0</v>
      </c>
      <c r="AG921" s="18">
        <f>IF($A921&gt;'1-Input'!$B$26,AI920,(AI920-AE921)*(1+'5-Roberta'!$C$4))</f>
        <v>137943.1894274455</v>
      </c>
      <c r="AH921" s="18">
        <f>IF($A921&gt;'1-Input'!$B$26,AF921,AF921-'P-Parametri'!$B$8*(AG921+AF921)+MIN(MAX(AG921,0),'P-Parametri'!$B$8*(AG921+AF921)))</f>
        <v>0</v>
      </c>
      <c r="AI921" s="18">
        <f>IF($A921&gt;'1-Input'!$B$26,AG921,AG921-MIN(MAX(AG921,0),'P-Parametri'!$B$8*(AG921+AF921)))</f>
        <v>137667.30304859061</v>
      </c>
      <c r="AJ921" s="18">
        <f>IF($A921&gt;'1-Input'!$B$26,AJ920,AJ920-AE921*(1-AD921))</f>
        <v>63640.466830211139</v>
      </c>
      <c r="AK921" s="11">
        <f>IF($A921&gt;'1-Input'!$B$26,0,IF(AP920&lt;=0,0,MAX(0,(AP920-AQ920)/AP920)))</f>
        <v>0.52480668957132592</v>
      </c>
      <c r="AL921" s="18">
        <f>IF($A921&gt;'1-Input'!$B$26,0,(MAX(0,AK891-IF($A921&gt;='1-Input'!$C$12,'1-Input'!$B$12,0))-MIN(MAX(AO920,0),MAX(0,AK891-IF($A921&gt;='1-Input'!$C$12,'1-Input'!$B$12,0))))*(1/(1-'P-Parametri'!$B$6*AK921))+MIN(MAX(0,AP920-(MAX(0,AK891-IF($A921&gt;='1-Input'!$C$12,'1-Input'!$B$12,0))-MIN(MAX(AO920,0),MAX(0,AK891-IF($A921&gt;='1-Input'!$C$12,'1-Input'!$B$12,0))))*(1/(1-'P-Parametri'!$B$6*AK921))),MAX(0,0*AK891-(AO920-MIN(MAX(AO920,0),MAX(0,AK891-IF($A921&gt;='1-Input'!$C$12,'1-Input'!$B$12,0)))))*(1/(1-'P-Parametri'!$B$6*AK921))))</f>
        <v>9716.3148720375975</v>
      </c>
      <c r="AM921" s="18">
        <f>IF($A921&gt;'1-Input'!$B$26,AO920,(AO920-MAX(0,AK891-IF($A921&gt;='1-Input'!$C$12,'1-Input'!$B$12,0))+AL921*(1-'P-Parametri'!$B$6*AK921))*(1+'1-Input'!$B$27))</f>
        <v>-1.8124410416930913E-12</v>
      </c>
      <c r="AN921" s="18">
        <f>IF($A921&gt;'1-Input'!$B$26,AP920,(AP920-AL921)*(1+'5-Roberta'!$C$4))</f>
        <v>137920.57825809793</v>
      </c>
      <c r="AO921" s="18">
        <f>IF($A921&gt;'1-Input'!$B$26,AM921,AM921-'P-Parametri'!$B$8*(AN921+AM921)+MIN(MAX(AN921,0),'P-Parametri'!$B$8*(AN921+AM921)))</f>
        <v>-1.8189894035458565E-12</v>
      </c>
      <c r="AP921" s="18">
        <f>IF($A921&gt;'1-Input'!$B$26,AN921,AN921-MIN(MAX(AN921,0),'P-Parametri'!$B$8*(AN921+AM921)))</f>
        <v>137644.73710158173</v>
      </c>
      <c r="AQ921" s="18">
        <f>IF($A921&gt;'1-Input'!$B$26,AQ920,AQ920-AL921*(1-AK921))</f>
        <v>63630.035105536459</v>
      </c>
    </row>
    <row r="922" spans="1:43">
      <c r="A922" s="10">
        <f>29</f>
        <v>29</v>
      </c>
      <c r="B922" s="11">
        <f>IF($A922&gt;'1-Input'!$B$26,0,IF(G921&lt;=0,0,MAX(0,(G921-H921)/G921)))</f>
        <v>0.53772271686219664</v>
      </c>
      <c r="C922" s="18">
        <f>IF($A922&gt;'1-Input'!$B$26,0,(MAX(0,B891-IF($A922&gt;='1-Input'!$C$12,'1-Input'!$B$12,0))-MIN(MAX(F921,0),MAX(0,B891-IF($A922&gt;='1-Input'!$C$12,'1-Input'!$B$12,0))))*(1/(1-'P-Parametri'!$B$6*B922))+MIN(MAX(0,G921-(MAX(0,B891-IF($A922&gt;='1-Input'!$C$12,'1-Input'!$B$12,0))-MIN(MAX(F921,0),MAX(0,B891-IF($A922&gt;='1-Input'!$C$12,'1-Input'!$B$12,0))))*(1/(1-'P-Parametri'!$B$6*B922))),MAX(0,0*B891-(F921-MIN(MAX(F921,0),MAX(0,B891-IF($A922&gt;='1-Input'!$C$12,'1-Input'!$B$12,0)))))*(1/(1-'P-Parametri'!$B$6*B922))))</f>
        <v>6485.8249175183291</v>
      </c>
      <c r="D922" s="18">
        <f>IF($A922&gt;'1-Input'!$B$26,F921,(F921-MAX(0,B891-IF($A922&gt;='1-Input'!$C$12,'1-Input'!$B$12,0))+C922*(1-'P-Parametri'!$B$6*B922))*(1+'1-Input'!$B$27))</f>
        <v>0</v>
      </c>
      <c r="E922" s="18">
        <f>IF($A922&gt;'1-Input'!$B$26,G921,(G921-C922)*(1+'5-Roberta'!$C$4))</f>
        <v>268217.46000565449</v>
      </c>
      <c r="F922" s="18">
        <f>IF($A922&gt;'1-Input'!$B$26,D922,D922-'P-Parametri'!$B$8*(E922+D922)+MIN(MAX(E922,0),'P-Parametri'!$B$8*(E922+D922)))</f>
        <v>0</v>
      </c>
      <c r="G922" s="18">
        <f>IF($A922&gt;'1-Input'!$B$26,E922,E922-MIN(MAX(E922,0),'P-Parametri'!$B$8*(E922+D922)))</f>
        <v>267681.02508564317</v>
      </c>
      <c r="H922" s="18">
        <f>IF($A922&gt;'1-Input'!$B$26,H921,H921-C922*(1-B922))</f>
        <v>120379.45505003534</v>
      </c>
      <c r="I922" s="11">
        <f>IF($A922&gt;'1-Input'!$B$26,0,IF(N921&lt;=0,0,MAX(0,(N921-O921)/N921)))</f>
        <v>0.53772271686219619</v>
      </c>
      <c r="J922" s="18">
        <f>IF($A922&gt;'1-Input'!$B$26,0,(MAX(0,I891-IF($A922&gt;='1-Input'!$C$12,'1-Input'!$B$12,0))-MIN(MAX(M921,0),MAX(0,I891-IF($A922&gt;='1-Input'!$C$12,'1-Input'!$B$12,0))))*(1/(1-'P-Parametri'!$B$6*I922))+MIN(MAX(0,N921-(MAX(0,I891-IF($A922&gt;='1-Input'!$C$12,'1-Input'!$B$12,0))-MIN(MAX(M921,0),MAX(0,I891-IF($A922&gt;='1-Input'!$C$12,'1-Input'!$B$12,0))))*(1/(1-'P-Parametri'!$B$6*I922))),MAX(0,0*I891-(M921-MIN(MAX(M921,0),MAX(0,I891-IF($A922&gt;='1-Input'!$C$12,'1-Input'!$B$12,0)))))*(1/(1-'P-Parametri'!$B$6*I922))))</f>
        <v>12609.691571721154</v>
      </c>
      <c r="K922" s="18">
        <f>IF($A922&gt;'1-Input'!$B$26,M921,(M921-MAX(0,I891-IF($A922&gt;='1-Input'!$C$12,'1-Input'!$B$12,0))+J922*(1-'P-Parametri'!$B$6*I922))*(1+'1-Input'!$B$27))</f>
        <v>0</v>
      </c>
      <c r="L922" s="18">
        <f>IF($A922&gt;'1-Input'!$B$26,N921,(N921-J922)*(1+'5-Roberta'!$C$4))</f>
        <v>12483.018558335056</v>
      </c>
      <c r="M922" s="18">
        <f>IF($A922&gt;'1-Input'!$B$26,K922,K922-'P-Parametri'!$B$8*(L922+K922)+MIN(MAX(L922,0),'P-Parametri'!$B$8*(L922+K922)))</f>
        <v>0</v>
      </c>
      <c r="N922" s="18">
        <f>IF($A922&gt;'1-Input'!$B$26,L922,L922-MIN(MAX(L922,0),'P-Parametri'!$B$8*(L922+K922)))</f>
        <v>12458.052521218386</v>
      </c>
      <c r="O922" s="18">
        <f>IF($A922&gt;'1-Input'!$B$26,O921,O921-J922*(1-I922))</f>
        <v>5602.5397131125364</v>
      </c>
      <c r="P922" s="11">
        <f>IF($A922&gt;'1-Input'!$B$26,0,IF(U921&lt;=0,0,MAX(0,(U921-V921)/U921)))</f>
        <v>0.53772271686219719</v>
      </c>
      <c r="Q922" s="18">
        <f>IF($A922&gt;'1-Input'!$B$26,0,(MAX(0,P891-IF($A922&gt;='1-Input'!$C$12,'1-Input'!$B$12,0))-MIN(MAX(T921,0),MAX(0,P891-IF($A922&gt;='1-Input'!$C$12,'1-Input'!$B$12,0))))*(1/(1-'P-Parametri'!$B$6*P922))+MIN(MAX(0,U921-(MAX(0,P891-IF($A922&gt;='1-Input'!$C$12,'1-Input'!$B$12,0))-MIN(MAX(T921,0),MAX(0,P891-IF($A922&gt;='1-Input'!$C$12,'1-Input'!$B$12,0))))*(1/(1-'P-Parametri'!$B$6*P922))),MAX(0,0*P891-(T921-MIN(MAX(T921,0),MAX(0,P891-IF($A922&gt;='1-Input'!$C$12,'1-Input'!$B$12,0)))))*(1/(1-'P-Parametri'!$B$6*P922))))</f>
        <v>10025.146424293502</v>
      </c>
      <c r="R922" s="18">
        <f>IF($A922&gt;'1-Input'!$B$26,T921,(T921-MAX(0,P891-IF($A922&gt;='1-Input'!$C$12,'1-Input'!$B$12,0))+Q922*(1-'P-Parametri'!$B$6*P922))*(1+'1-Input'!$B$27))</f>
        <v>0</v>
      </c>
      <c r="S922" s="18">
        <f>IF($A922&gt;'1-Input'!$B$26,U921,(U921-Q922)*(1+'5-Roberta'!$C$4))</f>
        <v>120414.3709203555</v>
      </c>
      <c r="T922" s="18">
        <f>IF($A922&gt;'1-Input'!$B$26,R922,R922-'P-Parametri'!$B$8*(S922+R922)+MIN(MAX(S922,0),'P-Parametri'!$B$8*(S922+R922)))</f>
        <v>0</v>
      </c>
      <c r="U922" s="18">
        <f>IF($A922&gt;'1-Input'!$B$26,S922,S922-MIN(MAX(S922,0),'P-Parametri'!$B$8*(S922+R922)))</f>
        <v>120173.54217851479</v>
      </c>
      <c r="V922" s="18">
        <f>IF($A922&gt;'1-Input'!$B$26,V921,V921-Q922*(1-P922))</f>
        <v>54043.522562921942</v>
      </c>
      <c r="W922" s="11">
        <f>IF($A922&gt;'1-Input'!$B$26,0,IF(AB921&lt;=0,0,MAX(0,(AB921-AC921)/AB921)))</f>
        <v>0.53772271686219675</v>
      </c>
      <c r="X922" s="18">
        <f>IF($A922&gt;'1-Input'!$B$26,0,(MAX(0,W891-IF($A922&gt;='1-Input'!$C$12,'1-Input'!$B$12,0))-MIN(MAX(AA921,0),MAX(0,W891-IF($A922&gt;='1-Input'!$C$12,'1-Input'!$B$12,0))))*(1/(1-'P-Parametri'!$B$6*W922))+MIN(MAX(0,AB921-(MAX(0,W891-IF($A922&gt;='1-Input'!$C$12,'1-Input'!$B$12,0))-MIN(MAX(AA921,0),MAX(0,W891-IF($A922&gt;='1-Input'!$C$12,'1-Input'!$B$12,0))))*(1/(1-'P-Parametri'!$B$6*W922))),MAX(0,0*W891-(AA921-MIN(MAX(AA921,0),MAX(0,W891-IF($A922&gt;='1-Input'!$C$12,'1-Input'!$B$12,0)))))*(1/(1-'P-Parametri'!$B$6*W922))))</f>
        <v>9756.9657122082808</v>
      </c>
      <c r="Y922" s="18">
        <f>IF($A922&gt;'1-Input'!$B$26,AA921,(AA921-MAX(0,W891-IF($A922&gt;='1-Input'!$C$12,'1-Input'!$B$12,0))+X922*(1-'P-Parametri'!$B$6*W922))*(1+'1-Input'!$B$27))</f>
        <v>0</v>
      </c>
      <c r="Z922" s="18">
        <f>IF($A922&gt;'1-Input'!$B$26,AB921,(AB921-X922)*(1+'5-Roberta'!$C$4))</f>
        <v>131613.6749687198</v>
      </c>
      <c r="AA922" s="18">
        <f>IF($A922&gt;'1-Input'!$B$26,Y922,Y922-'P-Parametri'!$B$8*(Z922+Y922)+MIN(MAX(Z922,0),'P-Parametri'!$B$8*(Z922+Y922)))</f>
        <v>0</v>
      </c>
      <c r="AB922" s="18">
        <f>IF($A922&gt;'1-Input'!$B$26,Z922,Z922-MIN(MAX(Z922,0),'P-Parametri'!$B$8*(Z922+Y922)))</f>
        <v>131350.44761878237</v>
      </c>
      <c r="AC922" s="18">
        <f>IF($A922&gt;'1-Input'!$B$26,AC921,AC921-X922*(1-W922))</f>
        <v>59069.914648856015</v>
      </c>
      <c r="AD922" s="11">
        <f>IF($A922&gt;'1-Input'!$B$26,0,IF(AI921&lt;=0,0,MAX(0,(AI921-AJ921)/AI921)))</f>
        <v>0.5377227168621963</v>
      </c>
      <c r="AE922" s="18">
        <f>IF($A922&gt;'1-Input'!$B$26,0,(MAX(0,AD891-IF($A922&gt;='1-Input'!$C$12,'1-Input'!$B$12,0))-MIN(MAX(AH921,0),MAX(0,AD891-IF($A922&gt;='1-Input'!$C$12,'1-Input'!$B$12,0))))*(1/(1-'P-Parametri'!$B$6*AD922))+MIN(MAX(0,AI921-(MAX(0,AD891-IF($A922&gt;='1-Input'!$C$12,'1-Input'!$B$12,0))-MIN(MAX(AH921,0),MAX(0,AD891-IF($A922&gt;='1-Input'!$C$12,'1-Input'!$B$12,0))))*(1/(1-'P-Parametri'!$B$6*AD922))),MAX(0,0*AD891-(AH921-MIN(MAX(AH921,0),MAX(0,AD891-IF($A922&gt;='1-Input'!$C$12,'1-Input'!$B$12,0)))))*(1/(1-'P-Parametri'!$B$6*AD922))))</f>
        <v>9753.6764527664254</v>
      </c>
      <c r="AF922" s="18">
        <f>IF($A922&gt;'1-Input'!$B$26,AH921,(AH921-MAX(0,AD891-IF($A922&gt;='1-Input'!$C$12,'1-Input'!$B$12,0))+AE922*(1-'P-Parametri'!$B$6*AD922))*(1+'1-Input'!$B$27))</f>
        <v>0</v>
      </c>
      <c r="AG922" s="18">
        <f>IF($A922&gt;'1-Input'!$B$26,AI921,(AI921-AE922)*(1+'5-Roberta'!$C$4))</f>
        <v>131751.03539369893</v>
      </c>
      <c r="AH922" s="18">
        <f>IF($A922&gt;'1-Input'!$B$26,AF922,AF922-'P-Parametri'!$B$8*(AG922+AF922)+MIN(MAX(AG922,0),'P-Parametri'!$B$8*(AG922+AF922)))</f>
        <v>0</v>
      </c>
      <c r="AI922" s="18">
        <f>IF($A922&gt;'1-Input'!$B$26,AG922,AG922-MIN(MAX(AG922,0),'P-Parametri'!$B$8*(AG922+AF922)))</f>
        <v>131487.53332291153</v>
      </c>
      <c r="AJ922" s="18">
        <f>IF($A922&gt;'1-Input'!$B$26,AJ921,AJ921-AE922*(1-AD922))</f>
        <v>59131.563779021104</v>
      </c>
      <c r="AK922" s="11">
        <f>IF($A922&gt;'1-Input'!$B$26,0,IF(AP921&lt;=0,0,MAX(0,(AP921-AQ921)/AP921)))</f>
        <v>0.5377227168621963</v>
      </c>
      <c r="AL922" s="18">
        <f>IF($A922&gt;'1-Input'!$B$26,0,(MAX(0,AK891-IF($A922&gt;='1-Input'!$C$12,'1-Input'!$B$12,0))-MIN(MAX(AO921,0),MAX(0,AK891-IF($A922&gt;='1-Input'!$C$12,'1-Input'!$B$12,0))))*(1/(1-'P-Parametri'!$B$6*AK922))+MIN(MAX(0,AP921-(MAX(0,AK891-IF($A922&gt;='1-Input'!$C$12,'1-Input'!$B$12,0))-MIN(MAX(AO921,0),MAX(0,AK891-IF($A922&gt;='1-Input'!$C$12,'1-Input'!$B$12,0))))*(1/(1-'P-Parametri'!$B$6*AK922))),MAX(0,0*AK891-(AO921-MIN(MAX(AO921,0),MAX(0,AK891-IF($A922&gt;='1-Input'!$C$12,'1-Input'!$B$12,0)))))*(1/(1-'P-Parametri'!$B$6*AK922))))</f>
        <v>9754.2471073327015</v>
      </c>
      <c r="AM922" s="18">
        <f>IF($A922&gt;'1-Input'!$B$26,AO921,(AO921-MAX(0,AK891-IF($A922&gt;='1-Input'!$C$12,'1-Input'!$B$12,0))+AL922*(1-'P-Parametri'!$B$6*AK922))*(1+'1-Input'!$B$27))</f>
        <v>0</v>
      </c>
      <c r="AN922" s="18">
        <f>IF($A922&gt;'1-Input'!$B$26,AP921,(AP921-AL922)*(1+'5-Roberta'!$C$4))</f>
        <v>131727.2046940765</v>
      </c>
      <c r="AO922" s="18">
        <f>IF($A922&gt;'1-Input'!$B$26,AM922,AM922-'P-Parametri'!$B$8*(AN922+AM922)+MIN(MAX(AN922,0),'P-Parametri'!$B$8*(AN922+AM922)))</f>
        <v>0</v>
      </c>
      <c r="AP922" s="18">
        <f>IF($A922&gt;'1-Input'!$B$26,AN922,AN922-MIN(MAX(AN922,0),'P-Parametri'!$B$8*(AN922+AM922)))</f>
        <v>131463.75028468834</v>
      </c>
      <c r="AQ922" s="18">
        <f>IF($A922&gt;'1-Input'!$B$26,AQ921,AQ921-AL922*(1-AK922))</f>
        <v>59120.868253703913</v>
      </c>
    </row>
    <row r="923" spans="1:43">
      <c r="A923" s="10">
        <f>30</f>
        <v>30</v>
      </c>
      <c r="B923" s="11">
        <f>IF($A923&gt;'1-Input'!$B$26,0,IF(G922&lt;=0,0,MAX(0,(G922-H922)/G922)))</f>
        <v>0.55028767910792131</v>
      </c>
      <c r="C923" s="18">
        <f>IF($A923&gt;'1-Input'!$B$26,0,(MAX(0,B891-IF($A923&gt;='1-Input'!$C$12,'1-Input'!$B$12,0))-MIN(MAX(F922,0),MAX(0,B891-IF($A923&gt;='1-Input'!$C$12,'1-Input'!$B$12,0))))*(1/(1-'P-Parametri'!$B$6*B923))+MIN(MAX(0,G922-(MAX(0,B891-IF($A923&gt;='1-Input'!$C$12,'1-Input'!$B$12,0))-MIN(MAX(F922,0),MAX(0,B891-IF($A923&gt;='1-Input'!$C$12,'1-Input'!$B$12,0))))*(1/(1-'P-Parametri'!$B$6*B923))),MAX(0,0*B891-(F922-MIN(MAX(F922,0),MAX(0,B891-IF($A923&gt;='1-Input'!$C$12,'1-Input'!$B$12,0)))))*(1/(1-'P-Parametri'!$B$6*B923))))</f>
        <v>6510.5510869349846</v>
      </c>
      <c r="D923" s="18">
        <f>IF($A923&gt;'1-Input'!$B$26,F922,(F922-MAX(0,B891-IF($A923&gt;='1-Input'!$C$12,'1-Input'!$B$12,0))+C923*(1-'P-Parametri'!$B$6*B923))*(1+'1-Input'!$B$27))</f>
        <v>0</v>
      </c>
      <c r="E923" s="18">
        <f>IF($A923&gt;'1-Input'!$B$26,G922,(G922-C923)*(1+'5-Roberta'!$C$4))</f>
        <v>269005.58821866947</v>
      </c>
      <c r="F923" s="18">
        <f>IF($A923&gt;'1-Input'!$B$26,D923,D923-'P-Parametri'!$B$8*(E923+D923)+MIN(MAX(E923,0),'P-Parametri'!$B$8*(E923+D923)))</f>
        <v>0</v>
      </c>
      <c r="G923" s="18">
        <f>IF($A923&gt;'1-Input'!$B$26,E923,E923-MIN(MAX(E923,0),'P-Parametri'!$B$8*(E923+D923)))</f>
        <v>268467.57704223215</v>
      </c>
      <c r="H923" s="18">
        <f>IF($A923&gt;'1-Input'!$B$26,H922,H922-C923*(1-B923))</f>
        <v>117451.58001044336</v>
      </c>
      <c r="I923" s="11">
        <f>IF($A923&gt;'1-Input'!$B$26,0,IF(N922&lt;=0,0,MAX(0,(N922-O922)/N922)))</f>
        <v>0.55028767910792098</v>
      </c>
      <c r="J923" s="18">
        <f>IF($A923&gt;'1-Input'!$B$26,0,(MAX(0,I891-IF($A923&gt;='1-Input'!$C$12,'1-Input'!$B$12,0))-MIN(MAX(M922,0),MAX(0,I891-IF($A923&gt;='1-Input'!$C$12,'1-Input'!$B$12,0))))*(1/(1-'P-Parametri'!$B$6*I923))+MIN(MAX(0,N922-(MAX(0,I891-IF($A923&gt;='1-Input'!$C$12,'1-Input'!$B$12,0))-MIN(MAX(M922,0),MAX(0,I891-IF($A923&gt;='1-Input'!$C$12,'1-Input'!$B$12,0))))*(1/(1-'P-Parametri'!$B$6*I923))),MAX(0,0*I891-(M922-MIN(MAX(M922,0),MAX(0,I891-IF($A923&gt;='1-Input'!$C$12,'1-Input'!$B$12,0)))))*(1/(1-'P-Parametri'!$B$6*I923))))</f>
        <v>12657.764002608392</v>
      </c>
      <c r="K923" s="18">
        <f>IF($A923&gt;'1-Input'!$B$26,M922,(M922-MAX(0,I891-IF($A923&gt;='1-Input'!$C$12,'1-Input'!$B$12,0))+J923*(1-'P-Parametri'!$B$6*I923))*(1+'1-Input'!$B$27))</f>
        <v>0</v>
      </c>
      <c r="L923" s="18">
        <f>IF($A923&gt;'1-Input'!$B$26,N922,(N922-J923)*(1+'5-Roberta'!$C$4))</f>
        <v>-205.70282583170635</v>
      </c>
      <c r="M923" s="18">
        <f>IF($A923&gt;'1-Input'!$B$26,K923,K923-'P-Parametri'!$B$8*(L923+K923)+MIN(MAX(L923,0),'P-Parametri'!$B$8*(L923+K923)))</f>
        <v>0</v>
      </c>
      <c r="N923" s="18">
        <f>IF($A923&gt;'1-Input'!$B$26,L923,L923-MIN(MAX(L923,0),'P-Parametri'!$B$8*(L923+K923)))</f>
        <v>-205.29142018004293</v>
      </c>
      <c r="O923" s="18">
        <f>IF($A923&gt;'1-Input'!$B$26,O922,O922-J923*(1-I923))</f>
        <v>-89.812713804694795</v>
      </c>
      <c r="P923" s="11">
        <f>IF($A923&gt;'1-Input'!$B$26,0,IF(U922&lt;=0,0,MAX(0,(U922-V922)/U922)))</f>
        <v>0.55028767910792176</v>
      </c>
      <c r="Q923" s="18">
        <f>IF($A923&gt;'1-Input'!$B$26,0,(MAX(0,P891-IF($A923&gt;='1-Input'!$C$12,'1-Input'!$B$12,0))-MIN(MAX(T922,0),MAX(0,P891-IF($A923&gt;='1-Input'!$C$12,'1-Input'!$B$12,0))))*(1/(1-'P-Parametri'!$B$6*P923))+MIN(MAX(0,U922-(MAX(0,P891-IF($A923&gt;='1-Input'!$C$12,'1-Input'!$B$12,0))-MIN(MAX(T922,0),MAX(0,P891-IF($A923&gt;='1-Input'!$C$12,'1-Input'!$B$12,0))))*(1/(1-'P-Parametri'!$B$6*P923))),MAX(0,0*P891-(T922-MIN(MAX(T922,0),MAX(0,P891-IF($A923&gt;='1-Input'!$C$12,'1-Input'!$B$12,0)))))*(1/(1-'P-Parametri'!$B$6*P923))))</f>
        <v>10063.36569047263</v>
      </c>
      <c r="R923" s="18">
        <f>IF($A923&gt;'1-Input'!$B$26,T922,(T922-MAX(0,P891-IF($A923&gt;='1-Input'!$C$12,'1-Input'!$B$12,0))+Q923*(1-'P-Parametri'!$B$6*P923))*(1+'1-Input'!$B$27))</f>
        <v>0</v>
      </c>
      <c r="S923" s="18">
        <f>IF($A923&gt;'1-Input'!$B$26,U922,(U922-Q923)*(1+'5-Roberta'!$C$4))</f>
        <v>113413.48178268343</v>
      </c>
      <c r="T923" s="18">
        <f>IF($A923&gt;'1-Input'!$B$26,R923,R923-'P-Parametri'!$B$8*(S923+R923)+MIN(MAX(S923,0),'P-Parametri'!$B$8*(S923+R923)))</f>
        <v>0</v>
      </c>
      <c r="U923" s="18">
        <f>IF($A923&gt;'1-Input'!$B$26,S923,S923-MIN(MAX(S923,0),'P-Parametri'!$B$8*(S923+R923)))</f>
        <v>113186.65481911806</v>
      </c>
      <c r="V923" s="18">
        <f>IF($A923&gt;'1-Input'!$B$26,V922,V922-Q923*(1-P923))</f>
        <v>49517.903022273786</v>
      </c>
      <c r="W923" s="11">
        <f>IF($A923&gt;'1-Input'!$B$26,0,IF(AB922&lt;=0,0,MAX(0,(AB922-AC922)/AB922)))</f>
        <v>0.55028767910792153</v>
      </c>
      <c r="X923" s="18">
        <f>IF($A923&gt;'1-Input'!$B$26,0,(MAX(0,W891-IF($A923&gt;='1-Input'!$C$12,'1-Input'!$B$12,0))-MIN(MAX(AA922,0),MAX(0,W891-IF($A923&gt;='1-Input'!$C$12,'1-Input'!$B$12,0))))*(1/(1-'P-Parametri'!$B$6*W923))+MIN(MAX(0,AB922-(MAX(0,W891-IF($A923&gt;='1-Input'!$C$12,'1-Input'!$B$12,0))-MIN(MAX(AA922,0),MAX(0,W891-IF($A923&gt;='1-Input'!$C$12,'1-Input'!$B$12,0))))*(1/(1-'P-Parametri'!$B$6*W923))),MAX(0,0*W891-(AA922-MIN(MAX(AA922,0),MAX(0,W891-IF($A923&gt;='1-Input'!$C$12,'1-Input'!$B$12,0)))))*(1/(1-'P-Parametri'!$B$6*W923))))</f>
        <v>9794.1625823459453</v>
      </c>
      <c r="Y923" s="18">
        <f>IF($A923&gt;'1-Input'!$B$26,AA922,(AA922-MAX(0,W891-IF($A923&gt;='1-Input'!$C$12,'1-Input'!$B$12,0))+X923*(1-'P-Parametri'!$B$6*W923))*(1+'1-Input'!$B$27))</f>
        <v>0</v>
      </c>
      <c r="Z923" s="18">
        <f>IF($A923&gt;'1-Input'!$B$26,AB922,(AB922-X923)*(1+'5-Roberta'!$C$4))</f>
        <v>125202.97358752953</v>
      </c>
      <c r="AA923" s="18">
        <f>IF($A923&gt;'1-Input'!$B$26,Y923,Y923-'P-Parametri'!$B$8*(Z923+Y923)+MIN(MAX(Z923,0),'P-Parametri'!$B$8*(Z923+Y923)))</f>
        <v>0</v>
      </c>
      <c r="AB923" s="18">
        <f>IF($A923&gt;'1-Input'!$B$26,Z923,Z923-MIN(MAX(Z923,0),'P-Parametri'!$B$8*(Z923+Y923)))</f>
        <v>124952.56764035446</v>
      </c>
      <c r="AC923" s="18">
        <f>IF($A923&gt;'1-Input'!$B$26,AC922,AC922-X923*(1-W923))</f>
        <v>54665.359062754869</v>
      </c>
      <c r="AD923" s="11">
        <f>IF($A923&gt;'1-Input'!$B$26,0,IF(AI922&lt;=0,0,MAX(0,(AI922-AJ922)/AI922)))</f>
        <v>0.55028767910792109</v>
      </c>
      <c r="AE923" s="18">
        <f>IF($A923&gt;'1-Input'!$B$26,0,(MAX(0,AD891-IF($A923&gt;='1-Input'!$C$12,'1-Input'!$B$12,0))-MIN(MAX(AH922,0),MAX(0,AD891-IF($A923&gt;='1-Input'!$C$12,'1-Input'!$B$12,0))))*(1/(1-'P-Parametri'!$B$6*AD923))+MIN(MAX(0,AI922-(MAX(0,AD891-IF($A923&gt;='1-Input'!$C$12,'1-Input'!$B$12,0))-MIN(MAX(AH922,0),MAX(0,AD891-IF($A923&gt;='1-Input'!$C$12,'1-Input'!$B$12,0))))*(1/(1-'P-Parametri'!$B$6*AD923))),MAX(0,0*AD891-(AH922-MIN(MAX(AH922,0),MAX(0,AD891-IF($A923&gt;='1-Input'!$C$12,'1-Input'!$B$12,0)))))*(1/(1-'P-Parametri'!$B$6*AD923))))</f>
        <v>9790.8607831289246</v>
      </c>
      <c r="AF923" s="18">
        <f>IF($A923&gt;'1-Input'!$B$26,AH922,(AH922-MAX(0,AD891-IF($A923&gt;='1-Input'!$C$12,'1-Input'!$B$12,0))+AE923*(1-'P-Parametri'!$B$6*AD923))*(1+'1-Input'!$B$27))</f>
        <v>0</v>
      </c>
      <c r="AG923" s="18">
        <f>IF($A923&gt;'1-Input'!$B$26,AI922,(AI922-AE923)*(1+'5-Roberta'!$C$4))</f>
        <v>125347.57271597609</v>
      </c>
      <c r="AH923" s="18">
        <f>IF($A923&gt;'1-Input'!$B$26,AF923,AF923-'P-Parametri'!$B$8*(AG923+AF923)+MIN(MAX(AG923,0),'P-Parametri'!$B$8*(AG923+AF923)))</f>
        <v>0</v>
      </c>
      <c r="AI923" s="18">
        <f>IF($A923&gt;'1-Input'!$B$26,AG923,AG923-MIN(MAX(AG923,0),'P-Parametri'!$B$8*(AG923+AF923)))</f>
        <v>125096.87757054414</v>
      </c>
      <c r="AJ923" s="18">
        <f>IF($A923&gt;'1-Input'!$B$26,AJ922,AJ922-AE923*(1-AD923))</f>
        <v>54728.49305270896</v>
      </c>
      <c r="AK923" s="11">
        <f>IF($A923&gt;'1-Input'!$B$26,0,IF(AP922&lt;=0,0,MAX(0,(AP922-AQ922)/AP922)))</f>
        <v>0.55028767910792098</v>
      </c>
      <c r="AL923" s="18">
        <f>IF($A923&gt;'1-Input'!$B$26,0,(MAX(0,AK891-IF($A923&gt;='1-Input'!$C$12,'1-Input'!$B$12,0))-MIN(MAX(AO922,0),MAX(0,AK891-IF($A923&gt;='1-Input'!$C$12,'1-Input'!$B$12,0))))*(1/(1-'P-Parametri'!$B$6*AK923))+MIN(MAX(0,AP922-(MAX(0,AK891-IF($A923&gt;='1-Input'!$C$12,'1-Input'!$B$12,0))-MIN(MAX(AO922,0),MAX(0,AK891-IF($A923&gt;='1-Input'!$C$12,'1-Input'!$B$12,0))))*(1/(1-'P-Parametri'!$B$6*AK923))),MAX(0,0*AK891-(AO922-MIN(MAX(AO922,0),MAX(0,AK891-IF($A923&gt;='1-Input'!$C$12,'1-Input'!$B$12,0)))))*(1/(1-'P-Parametri'!$B$6*AK923))))</f>
        <v>9791.433613224397</v>
      </c>
      <c r="AM923" s="18">
        <f>IF($A923&gt;'1-Input'!$B$26,AO922,(AO922-MAX(0,AK891-IF($A923&gt;='1-Input'!$C$12,'1-Input'!$B$12,0))+AL923*(1-'P-Parametri'!$B$6*AK923))*(1+'1-Input'!$B$27))</f>
        <v>0</v>
      </c>
      <c r="AN923" s="18">
        <f>IF($A923&gt;'1-Input'!$B$26,AP922,(AP922-AL923)*(1+'5-Roberta'!$C$4))</f>
        <v>125322.48617160787</v>
      </c>
      <c r="AO923" s="18">
        <f>IF($A923&gt;'1-Input'!$B$26,AM923,AM923-'P-Parametri'!$B$8*(AN923+AM923)+MIN(MAX(AN923,0),'P-Parametri'!$B$8*(AN923+AM923)))</f>
        <v>0</v>
      </c>
      <c r="AP923" s="18">
        <f>IF($A923&gt;'1-Input'!$B$26,AN923,AN923-MIN(MAX(AN923,0),'P-Parametri'!$B$8*(AN923+AM923)))</f>
        <v>125071.84119926466</v>
      </c>
      <c r="AQ923" s="18">
        <f>IF($A923&gt;'1-Input'!$B$26,AQ922,AQ922-AL923*(1-AK923))</f>
        <v>54717.539918640054</v>
      </c>
    </row>
    <row r="924" spans="1:43">
      <c r="A924" s="10">
        <f>31</f>
        <v>31</v>
      </c>
      <c r="B924" s="11">
        <f>IF($A924&gt;'1-Input'!$B$26,0,IF(G923&lt;=0,0,MAX(0,(G923-H923)/G923)))</f>
        <v>0.56251111845819934</v>
      </c>
      <c r="C924" s="18">
        <f>IF($A924&gt;'1-Input'!$B$26,0,(MAX(0,B891-IF($A924&gt;='1-Input'!$C$12,'1-Input'!$B$12,0))-MIN(MAX(F923,0),MAX(0,B891-IF($A924&gt;='1-Input'!$C$12,'1-Input'!$B$12,0))))*(1/(1-'P-Parametri'!$B$6*B924))+MIN(MAX(0,G923-(MAX(0,B891-IF($A924&gt;='1-Input'!$C$12,'1-Input'!$B$12,0))-MIN(MAX(F923,0),MAX(0,B891-IF($A924&gt;='1-Input'!$C$12,'1-Input'!$B$12,0))))*(1/(1-'P-Parametri'!$B$6*B924))),MAX(0,0*B891-(F923-MIN(MAX(F923,0),MAX(0,B891-IF($A924&gt;='1-Input'!$C$12,'1-Input'!$B$12,0)))))*(1/(1-'P-Parametri'!$B$6*B924))))</f>
        <v>6534.7867705788876</v>
      </c>
      <c r="D924" s="18">
        <f>IF($A924&gt;'1-Input'!$B$26,F923,(F923-MAX(0,B891-IF($A924&gt;='1-Input'!$C$12,'1-Input'!$B$12,0))+C924*(1-'P-Parametri'!$B$6*B924))*(1+'1-Input'!$B$27))</f>
        <v>0</v>
      </c>
      <c r="E924" s="18">
        <f>IF($A924&gt;'1-Input'!$B$26,G923,(G923-C924)*(1+'5-Roberta'!$C$4))</f>
        <v>269790.77397980285</v>
      </c>
      <c r="F924" s="18">
        <f>IF($A924&gt;'1-Input'!$B$26,D924,D924-'P-Parametri'!$B$8*(E924+D924)+MIN(MAX(E924,0),'P-Parametri'!$B$8*(E924+D924)))</f>
        <v>0</v>
      </c>
      <c r="G924" s="18">
        <f>IF($A924&gt;'1-Input'!$B$26,E924,E924-MIN(MAX(E924,0),'P-Parametri'!$B$8*(E924+D924)))</f>
        <v>269251.19243184326</v>
      </c>
      <c r="H924" s="18">
        <f>IF($A924&gt;'1-Input'!$B$26,H923,H923-C924*(1-B924))</f>
        <v>114592.68345506865</v>
      </c>
      <c r="I924" s="11">
        <f>IF($A924&gt;'1-Input'!$B$26,0,IF(N923&lt;=0,0,MAX(0,(N923-O923)/N923)))</f>
        <v>0</v>
      </c>
      <c r="J924" s="18">
        <f>IF($A924&gt;'1-Input'!$B$26,0,(MAX(0,I891-IF($A924&gt;='1-Input'!$C$12,'1-Input'!$B$12,0))-MIN(MAX(M923,0),MAX(0,I891-IF($A924&gt;='1-Input'!$C$12,'1-Input'!$B$12,0))))*(1/(1-'P-Parametri'!$B$6*I924))+MIN(MAX(0,N923-(MAX(0,I891-IF($A924&gt;='1-Input'!$C$12,'1-Input'!$B$12,0))-MIN(MAX(M923,0),MAX(0,I891-IF($A924&gt;='1-Input'!$C$12,'1-Input'!$B$12,0))))*(1/(1-'P-Parametri'!$B$6*I924))),MAX(0,0*I891-(M923-MIN(MAX(M923,0),MAX(0,I891-IF($A924&gt;='1-Input'!$C$12,'1-Input'!$B$12,0)))))*(1/(1-'P-Parametri'!$B$6*I924))))</f>
        <v>10846.756992928691</v>
      </c>
      <c r="K924" s="18">
        <f>IF($A924&gt;'1-Input'!$B$26,M923,(M923-MAX(0,I891-IF($A924&gt;='1-Input'!$C$12,'1-Input'!$B$12,0))+J924*(1-'P-Parametri'!$B$6*I924))*(1+'1-Input'!$B$27))</f>
        <v>0</v>
      </c>
      <c r="L924" s="18">
        <f>IF($A924&gt;'1-Input'!$B$26,N923,(N923-J924)*(1+'5-Roberta'!$C$4))</f>
        <v>-11383.609865501996</v>
      </c>
      <c r="M924" s="18">
        <f>IF($A924&gt;'1-Input'!$B$26,K924,K924-'P-Parametri'!$B$8*(L924+K924)+MIN(MAX(L924,0),'P-Parametri'!$B$8*(L924+K924)))</f>
        <v>0</v>
      </c>
      <c r="N924" s="18">
        <f>IF($A924&gt;'1-Input'!$B$26,L924,L924-MIN(MAX(L924,0),'P-Parametri'!$B$8*(L924+K924)))</f>
        <v>-11360.842645770992</v>
      </c>
      <c r="O924" s="18">
        <f>IF($A924&gt;'1-Input'!$B$26,O923,O923-J924*(1-I924))</f>
        <v>-10936.569706733386</v>
      </c>
      <c r="P924" s="11">
        <f>IF($A924&gt;'1-Input'!$B$26,0,IF(U923&lt;=0,0,MAX(0,(U923-V923)/U923)))</f>
        <v>0.56251111845819968</v>
      </c>
      <c r="Q924" s="18">
        <f>IF($A924&gt;'1-Input'!$B$26,0,(MAX(0,P891-IF($A924&gt;='1-Input'!$C$12,'1-Input'!$B$12,0))-MIN(MAX(T923,0),MAX(0,P891-IF($A924&gt;='1-Input'!$C$12,'1-Input'!$B$12,0))))*(1/(1-'P-Parametri'!$B$6*P924))+MIN(MAX(0,U923-(MAX(0,P891-IF($A924&gt;='1-Input'!$C$12,'1-Input'!$B$12,0))-MIN(MAX(T923,0),MAX(0,P891-IF($A924&gt;='1-Input'!$C$12,'1-Input'!$B$12,0))))*(1/(1-'P-Parametri'!$B$6*P924))),MAX(0,0*P891-(T923-MIN(MAX(T923,0),MAX(0,P891-IF($A924&gt;='1-Input'!$C$12,'1-Input'!$B$12,0)))))*(1/(1-'P-Parametri'!$B$6*P924))))</f>
        <v>10100.826812274843</v>
      </c>
      <c r="R924" s="18">
        <f>IF($A924&gt;'1-Input'!$B$26,T923,(T923-MAX(0,P891-IF($A924&gt;='1-Input'!$C$12,'1-Input'!$B$12,0))+Q924*(1-'P-Parametri'!$B$6*P924))*(1+'1-Input'!$B$27))</f>
        <v>0</v>
      </c>
      <c r="S924" s="18">
        <f>IF($A924&gt;'1-Input'!$B$26,U923,(U923-Q924)*(1+'5-Roberta'!$C$4))</f>
        <v>106178.40284704852</v>
      </c>
      <c r="T924" s="18">
        <f>IF($A924&gt;'1-Input'!$B$26,R924,R924-'P-Parametri'!$B$8*(S924+R924)+MIN(MAX(S924,0),'P-Parametri'!$B$8*(S924+R924)))</f>
        <v>0</v>
      </c>
      <c r="U924" s="18">
        <f>IF($A924&gt;'1-Input'!$B$26,S924,S924-MIN(MAX(S924,0),'P-Parametri'!$B$8*(S924+R924)))</f>
        <v>105966.04604135442</v>
      </c>
      <c r="V924" s="18">
        <f>IF($A924&gt;'1-Input'!$B$26,V923,V923-Q924*(1-P924))</f>
        <v>45098.903597524237</v>
      </c>
      <c r="W924" s="11">
        <f>IF($A924&gt;'1-Input'!$B$26,0,IF(AB923&lt;=0,0,MAX(0,(AB923-AC923)/AB923)))</f>
        <v>0.56251111845819934</v>
      </c>
      <c r="X924" s="18">
        <f>IF($A924&gt;'1-Input'!$B$26,0,(MAX(0,W891-IF($A924&gt;='1-Input'!$C$12,'1-Input'!$B$12,0))-MIN(MAX(AA923,0),MAX(0,W891-IF($A924&gt;='1-Input'!$C$12,'1-Input'!$B$12,0))))*(1/(1-'P-Parametri'!$B$6*W924))+MIN(MAX(0,AB923-(MAX(0,W891-IF($A924&gt;='1-Input'!$C$12,'1-Input'!$B$12,0))-MIN(MAX(AA923,0),MAX(0,W891-IF($A924&gt;='1-Input'!$C$12,'1-Input'!$B$12,0))))*(1/(1-'P-Parametri'!$B$6*W924))),MAX(0,0*W891-(AA923-MIN(MAX(AA923,0),MAX(0,W891-IF($A924&gt;='1-Input'!$C$12,'1-Input'!$B$12,0)))))*(1/(1-'P-Parametri'!$B$6*W924))))</f>
        <v>9830.6215890771909</v>
      </c>
      <c r="Y924" s="18">
        <f>IF($A924&gt;'1-Input'!$B$26,AA923,(AA923-MAX(0,W891-IF($A924&gt;='1-Input'!$C$12,'1-Input'!$B$12,0))+X924*(1-'P-Parametri'!$B$6*W924))*(1+'1-Input'!$B$27))</f>
        <v>0</v>
      </c>
      <c r="Z924" s="18">
        <f>IF($A924&gt;'1-Input'!$B$26,AB923,(AB923-X924)*(1+'5-Roberta'!$C$4))</f>
        <v>118575.6044328156</v>
      </c>
      <c r="AA924" s="18">
        <f>IF($A924&gt;'1-Input'!$B$26,Y924,Y924-'P-Parametri'!$B$8*(Z924+Y924)+MIN(MAX(Z924,0),'P-Parametri'!$B$8*(Z924+Y924)))</f>
        <v>0</v>
      </c>
      <c r="AB924" s="18">
        <f>IF($A924&gt;'1-Input'!$B$26,Z924,Z924-MIN(MAX(Z924,0),'P-Parametri'!$B$8*(Z924+Y924)))</f>
        <v>118338.45322394997</v>
      </c>
      <c r="AC924" s="18">
        <f>IF($A924&gt;'1-Input'!$B$26,AC923,AC923-X924*(1-W924))</f>
        <v>50364.571418888809</v>
      </c>
      <c r="AD924" s="11">
        <f>IF($A924&gt;'1-Input'!$B$26,0,IF(AI923&lt;=0,0,MAX(0,(AI923-AJ923)/AI923)))</f>
        <v>0.56251111845819901</v>
      </c>
      <c r="AE924" s="18">
        <f>IF($A924&gt;'1-Input'!$B$26,0,(MAX(0,AD891-IF($A924&gt;='1-Input'!$C$12,'1-Input'!$B$12,0))-MIN(MAX(AH923,0),MAX(0,AD891-IF($A924&gt;='1-Input'!$C$12,'1-Input'!$B$12,0))))*(1/(1-'P-Parametri'!$B$6*AD924))+MIN(MAX(0,AI923-(MAX(0,AD891-IF($A924&gt;='1-Input'!$C$12,'1-Input'!$B$12,0))-MIN(MAX(AH923,0),MAX(0,AD891-IF($A924&gt;='1-Input'!$C$12,'1-Input'!$B$12,0))))*(1/(1-'P-Parametri'!$B$6*AD924))),MAX(0,0*AD891-(AH923-MIN(MAX(AH923,0),MAX(0,AD891-IF($A924&gt;='1-Input'!$C$12,'1-Input'!$B$12,0)))))*(1/(1-'P-Parametri'!$B$6*AD924))))</f>
        <v>9827.3074988328535</v>
      </c>
      <c r="AF924" s="18">
        <f>IF($A924&gt;'1-Input'!$B$26,AH923,(AH923-MAX(0,AD891-IF($A924&gt;='1-Input'!$C$12,'1-Input'!$B$12,0))+AE924*(1-'P-Parametri'!$B$6*AD924))*(1+'1-Input'!$B$27))</f>
        <v>1.8124410416930913E-12</v>
      </c>
      <c r="AG924" s="18">
        <f>IF($A924&gt;'1-Input'!$B$26,AI923,(AI923-AE924)*(1+'5-Roberta'!$C$4))</f>
        <v>118727.65717386262</v>
      </c>
      <c r="AH924" s="18">
        <f>IF($A924&gt;'1-Input'!$B$26,AF924,AF924-'P-Parametri'!$B$8*(AG924+AF924)+MIN(MAX(AG924,0),'P-Parametri'!$B$8*(AG924+AF924)))</f>
        <v>1.8189894035458565E-12</v>
      </c>
      <c r="AI924" s="18">
        <f>IF($A924&gt;'1-Input'!$B$26,AG924,AG924-MIN(MAX(AG924,0),'P-Parametri'!$B$8*(AG924+AF924)))</f>
        <v>118490.2018595149</v>
      </c>
      <c r="AJ924" s="18">
        <f>IF($A924&gt;'1-Input'!$B$26,AJ923,AJ923-AE924*(1-AD924))</f>
        <v>50429.155286477224</v>
      </c>
      <c r="AK924" s="11">
        <f>IF($A924&gt;'1-Input'!$B$26,0,IF(AP923&lt;=0,0,MAX(0,(AP923-AQ923)/AP923)))</f>
        <v>0.56251111845819901</v>
      </c>
      <c r="AL924" s="18">
        <f>IF($A924&gt;'1-Input'!$B$26,0,(MAX(0,AK891-IF($A924&gt;='1-Input'!$C$12,'1-Input'!$B$12,0))-MIN(MAX(AO923,0),MAX(0,AK891-IF($A924&gt;='1-Input'!$C$12,'1-Input'!$B$12,0))))*(1/(1-'P-Parametri'!$B$6*AK924))+MIN(MAX(0,AP923-(MAX(0,AK891-IF($A924&gt;='1-Input'!$C$12,'1-Input'!$B$12,0))-MIN(MAX(AO923,0),MAX(0,AK891-IF($A924&gt;='1-Input'!$C$12,'1-Input'!$B$12,0))))*(1/(1-'P-Parametri'!$B$6*AK924))),MAX(0,0*AK891-(AO923-MIN(MAX(AO923,0),MAX(0,AK891-IF($A924&gt;='1-Input'!$C$12,'1-Input'!$B$12,0)))))*(1/(1-'P-Parametri'!$B$6*AK924))))</f>
        <v>9827.8824613021898</v>
      </c>
      <c r="AM924" s="18">
        <f>IF($A924&gt;'1-Input'!$B$26,AO923,(AO923-MAX(0,AK891-IF($A924&gt;='1-Input'!$C$12,'1-Input'!$B$12,0))+AL924*(1-'P-Parametri'!$B$6*AK924))*(1+'1-Input'!$B$27))</f>
        <v>0</v>
      </c>
      <c r="AN924" s="18">
        <f>IF($A924&gt;'1-Input'!$B$26,AP923,(AP923-AL924)*(1+'5-Roberta'!$C$4))</f>
        <v>118701.27750010135</v>
      </c>
      <c r="AO924" s="18">
        <f>IF($A924&gt;'1-Input'!$B$26,AM924,AM924-'P-Parametri'!$B$8*(AN924+AM924)+MIN(MAX(AN924,0),'P-Parametri'!$B$8*(AN924+AM924)))</f>
        <v>0</v>
      </c>
      <c r="AP924" s="18">
        <f>IF($A924&gt;'1-Input'!$B$26,AN924,AN924-MIN(MAX(AN924,0),'P-Parametri'!$B$8*(AN924+AM924)))</f>
        <v>118463.87494510115</v>
      </c>
      <c r="AQ924" s="18">
        <f>IF($A924&gt;'1-Input'!$B$26,AQ923,AQ923-AL924*(1-AK924))</f>
        <v>50417.950612720677</v>
      </c>
    </row>
    <row r="925" spans="1:43">
      <c r="A925" s="10">
        <f>32</f>
        <v>32</v>
      </c>
      <c r="B925" s="11">
        <f>IF($A925&gt;'1-Input'!$B$26,0,IF(G924&lt;=0,0,MAX(0,(G924-H924)/G924)))</f>
        <v>0.57440231770161609</v>
      </c>
      <c r="C925" s="18">
        <f>IF($A925&gt;'1-Input'!$B$26,0,(MAX(0,B891-IF($A925&gt;='1-Input'!$C$12,'1-Input'!$B$12,0))-MIN(MAX(F924,0),MAX(0,B891-IF($A925&gt;='1-Input'!$C$12,'1-Input'!$B$12,0))))*(1/(1-'P-Parametri'!$B$6*B925))+MIN(MAX(0,G924-(MAX(0,B891-IF($A925&gt;='1-Input'!$C$12,'1-Input'!$B$12,0))-MIN(MAX(F924,0),MAX(0,B891-IF($A925&gt;='1-Input'!$C$12,'1-Input'!$B$12,0))))*(1/(1-'P-Parametri'!$B$6*B925))),MAX(0,0*B891-(F924-MIN(MAX(F924,0),MAX(0,B891-IF($A925&gt;='1-Input'!$C$12,'1-Input'!$B$12,0)))))*(1/(1-'P-Parametri'!$B$6*B925))))</f>
        <v>6558.5374896742824</v>
      </c>
      <c r="D925" s="18">
        <f>IF($A925&gt;'1-Input'!$B$26,F924,(F924-MAX(0,B891-IF($A925&gt;='1-Input'!$C$12,'1-Input'!$B$12,0))+C925*(1-'P-Parametri'!$B$6*B925))*(1+'1-Input'!$B$27))</f>
        <v>-9.0622052084654565E-13</v>
      </c>
      <c r="E925" s="18">
        <f>IF($A925&gt;'1-Input'!$B$26,G924,(G924-C925)*(1+'5-Roberta'!$C$4))</f>
        <v>270573.43459043407</v>
      </c>
      <c r="F925" s="18">
        <f>IF($A925&gt;'1-Input'!$B$26,D925,D925-'P-Parametri'!$B$8*(E925+D925)+MIN(MAX(E925,0),'P-Parametri'!$B$8*(E925+D925)))</f>
        <v>-9.0949470177292824E-13</v>
      </c>
      <c r="G925" s="18">
        <f>IF($A925&gt;'1-Input'!$B$26,E925,E925-MIN(MAX(E925,0),'P-Parametri'!$B$8*(E925+D925)))</f>
        <v>270032.28772125323</v>
      </c>
      <c r="H925" s="18">
        <f>IF($A925&gt;'1-Input'!$B$26,H924,H924-C925*(1-B925))</f>
        <v>111801.38510019622</v>
      </c>
      <c r="I925" s="11">
        <f>IF($A925&gt;'1-Input'!$B$26,0,IF(N924&lt;=0,0,MAX(0,(N924-O924)/N924)))</f>
        <v>0</v>
      </c>
      <c r="J925" s="18">
        <f>IF($A925&gt;'1-Input'!$B$26,0,(MAX(0,I891-IF($A925&gt;='1-Input'!$C$12,'1-Input'!$B$12,0))-MIN(MAX(M924,0),MAX(0,I891-IF($A925&gt;='1-Input'!$C$12,'1-Input'!$B$12,0))))*(1/(1-'P-Parametri'!$B$6*I925))+MIN(MAX(0,N924-(MAX(0,I891-IF($A925&gt;='1-Input'!$C$12,'1-Input'!$B$12,0))-MIN(MAX(M924,0),MAX(0,I891-IF($A925&gt;='1-Input'!$C$12,'1-Input'!$B$12,0))))*(1/(1-'P-Parametri'!$B$6*I925))),MAX(0,0*I891-(M924-MIN(MAX(M924,0),MAX(0,I891-IF($A925&gt;='1-Input'!$C$12,'1-Input'!$B$12,0)))))*(1/(1-'P-Parametri'!$B$6*I925))))</f>
        <v>10846.756992928691</v>
      </c>
      <c r="K925" s="18">
        <f>IF($A925&gt;'1-Input'!$B$26,M924,(M924-MAX(0,I891-IF($A925&gt;='1-Input'!$C$12,'1-Input'!$B$12,0))+J925*(1-'P-Parametri'!$B$6*I925))*(1+'1-Input'!$B$27))</f>
        <v>0</v>
      </c>
      <c r="L925" s="18">
        <f>IF($A925&gt;'1-Input'!$B$26,N924,(N924-J925)*(1+'5-Roberta'!$C$4))</f>
        <v>-22873.827627860675</v>
      </c>
      <c r="M925" s="18">
        <f>IF($A925&gt;'1-Input'!$B$26,K925,K925-'P-Parametri'!$B$8*(L925+K925)+MIN(MAX(L925,0),'P-Parametri'!$B$8*(L925+K925)))</f>
        <v>0</v>
      </c>
      <c r="N925" s="18">
        <f>IF($A925&gt;'1-Input'!$B$26,L925,L925-MIN(MAX(L925,0),'P-Parametri'!$B$8*(L925+K925)))</f>
        <v>-22828.079972604955</v>
      </c>
      <c r="O925" s="18">
        <f>IF($A925&gt;'1-Input'!$B$26,O924,O924-J925*(1-I925))</f>
        <v>-21783.326699662077</v>
      </c>
      <c r="P925" s="11">
        <f>IF($A925&gt;'1-Input'!$B$26,0,IF(U924&lt;=0,0,MAX(0,(U924-V924)/U924)))</f>
        <v>0.57440231770161654</v>
      </c>
      <c r="Q925" s="18">
        <f>IF($A925&gt;'1-Input'!$B$26,0,(MAX(0,P891-IF($A925&gt;='1-Input'!$C$12,'1-Input'!$B$12,0))-MIN(MAX(T924,0),MAX(0,P891-IF($A925&gt;='1-Input'!$C$12,'1-Input'!$B$12,0))))*(1/(1-'P-Parametri'!$B$6*P925))+MIN(MAX(0,U924-(MAX(0,P891-IF($A925&gt;='1-Input'!$C$12,'1-Input'!$B$12,0))-MIN(MAX(T924,0),MAX(0,P891-IF($A925&gt;='1-Input'!$C$12,'1-Input'!$B$12,0))))*(1/(1-'P-Parametri'!$B$6*P925))),MAX(0,0*P891-(T924-MIN(MAX(T924,0),MAX(0,P891-IF($A925&gt;='1-Input'!$C$12,'1-Input'!$B$12,0)))))*(1/(1-'P-Parametri'!$B$6*P925))))</f>
        <v>10137.538323862287</v>
      </c>
      <c r="R925" s="18">
        <f>IF($A925&gt;'1-Input'!$B$26,T924,(T924-MAX(0,P891-IF($A925&gt;='1-Input'!$C$12,'1-Input'!$B$12,0))+Q925*(1-'P-Parametri'!$B$6*P925))*(1+'1-Input'!$B$27))</f>
        <v>0</v>
      </c>
      <c r="S925" s="18">
        <f>IF($A925&gt;'1-Input'!$B$26,U924,(U924-Q925)*(1+'5-Roberta'!$C$4))</f>
        <v>98703.362949016897</v>
      </c>
      <c r="T925" s="18">
        <f>IF($A925&gt;'1-Input'!$B$26,R925,R925-'P-Parametri'!$B$8*(S925+R925)+MIN(MAX(S925,0),'P-Parametri'!$B$8*(S925+R925)))</f>
        <v>0</v>
      </c>
      <c r="U925" s="18">
        <f>IF($A925&gt;'1-Input'!$B$26,S925,S925-MIN(MAX(S925,0),'P-Parametri'!$B$8*(S925+R925)))</f>
        <v>98505.956223118861</v>
      </c>
      <c r="V925" s="18">
        <f>IF($A925&gt;'1-Input'!$B$26,V924,V924-Q925*(1-P925))</f>
        <v>40784.390782677408</v>
      </c>
      <c r="W925" s="11">
        <f>IF($A925&gt;'1-Input'!$B$26,0,IF(AB924&lt;=0,0,MAX(0,(AB924-AC924)/AB924)))</f>
        <v>0.57440231770161621</v>
      </c>
      <c r="X925" s="18">
        <f>IF($A925&gt;'1-Input'!$B$26,0,(MAX(0,W891-IF($A925&gt;='1-Input'!$C$12,'1-Input'!$B$12,0))-MIN(MAX(AA924,0),MAX(0,W891-IF($A925&gt;='1-Input'!$C$12,'1-Input'!$B$12,0))))*(1/(1-'P-Parametri'!$B$6*W925))+MIN(MAX(0,AB924-(MAX(0,W891-IF($A925&gt;='1-Input'!$C$12,'1-Input'!$B$12,0))-MIN(MAX(AA924,0),MAX(0,W891-IF($A925&gt;='1-Input'!$C$12,'1-Input'!$B$12,0))))*(1/(1-'P-Parametri'!$B$6*W925))),MAX(0,0*W891-(AA924-MIN(MAX(AA924,0),MAX(0,W891-IF($A925&gt;='1-Input'!$C$12,'1-Input'!$B$12,0)))))*(1/(1-'P-Parametri'!$B$6*W925))))</f>
        <v>9866.3510382684781</v>
      </c>
      <c r="Y925" s="18">
        <f>IF($A925&gt;'1-Input'!$B$26,AA924,(AA924-MAX(0,W891-IF($A925&gt;='1-Input'!$C$12,'1-Input'!$B$12,0))+X925*(1-'P-Parametri'!$B$6*W925))*(1+'1-Input'!$B$27))</f>
        <v>-1.8124410416930913E-12</v>
      </c>
      <c r="Z925" s="18">
        <f>IF($A925&gt;'1-Input'!$B$26,AB924,(AB924-X925)*(1+'5-Roberta'!$C$4))</f>
        <v>111726.26525125194</v>
      </c>
      <c r="AA925" s="18">
        <f>IF($A925&gt;'1-Input'!$B$26,Y925,Y925-'P-Parametri'!$B$8*(Z925+Y925)+MIN(MAX(Z925,0),'P-Parametri'!$B$8*(Z925+Y925)))</f>
        <v>-1.8189894035458565E-12</v>
      </c>
      <c r="AB925" s="18">
        <f>IF($A925&gt;'1-Input'!$B$26,Z925,Z925-MIN(MAX(Z925,0),'P-Parametri'!$B$8*(Z925+Y925)))</f>
        <v>111502.81272074944</v>
      </c>
      <c r="AC925" s="18">
        <f>IF($A925&gt;'1-Input'!$B$26,AC924,AC924-X925*(1-W925))</f>
        <v>46165.47528425949</v>
      </c>
      <c r="AD925" s="11">
        <f>IF($A925&gt;'1-Input'!$B$26,0,IF(AI924&lt;=0,0,MAX(0,(AI924-AJ924)/AI924)))</f>
        <v>0.57440231770161587</v>
      </c>
      <c r="AE925" s="18">
        <f>IF($A925&gt;'1-Input'!$B$26,0,(MAX(0,AD891-IF($A925&gt;='1-Input'!$C$12,'1-Input'!$B$12,0))-MIN(MAX(AH924,0),MAX(0,AD891-IF($A925&gt;='1-Input'!$C$12,'1-Input'!$B$12,0))))*(1/(1-'P-Parametri'!$B$6*AD925))+MIN(MAX(0,AI924-(MAX(0,AD891-IF($A925&gt;='1-Input'!$C$12,'1-Input'!$B$12,0))-MIN(MAX(AH924,0),MAX(0,AD891-IF($A925&gt;='1-Input'!$C$12,'1-Input'!$B$12,0))))*(1/(1-'P-Parametri'!$B$6*AD925))),MAX(0,0*AD891-(AH924-MIN(MAX(AH924,0),MAX(0,AD891-IF($A925&gt;='1-Input'!$C$12,'1-Input'!$B$12,0)))))*(1/(1-'P-Parametri'!$B$6*AD925))))</f>
        <v>9863.0249029445949</v>
      </c>
      <c r="AF925" s="18">
        <f>IF($A925&gt;'1-Input'!$B$26,AH924,(AH924-MAX(0,AD891-IF($A925&gt;='1-Input'!$C$12,'1-Input'!$B$12,0))+AE925*(1-'P-Parametri'!$B$6*AD925))*(1+'1-Input'!$B$27))</f>
        <v>0</v>
      </c>
      <c r="AG925" s="18">
        <f>IF($A925&gt;'1-Input'!$B$26,AI924,(AI924-AE925)*(1+'5-Roberta'!$C$4))</f>
        <v>111885.99226526741</v>
      </c>
      <c r="AH925" s="18">
        <f>IF($A925&gt;'1-Input'!$B$26,AF925,AF925-'P-Parametri'!$B$8*(AG925+AF925)+MIN(MAX(AG925,0),'P-Parametri'!$B$8*(AG925+AF925)))</f>
        <v>0</v>
      </c>
      <c r="AI925" s="18">
        <f>IF($A925&gt;'1-Input'!$B$26,AG925,AG925-MIN(MAX(AG925,0),'P-Parametri'!$B$8*(AG925+AF925)))</f>
        <v>111662.22028073687</v>
      </c>
      <c r="AJ925" s="18">
        <f>IF($A925&gt;'1-Input'!$B$26,AJ924,AJ924-AE925*(1-AD925))</f>
        <v>46231.474747332759</v>
      </c>
      <c r="AK925" s="11">
        <f>IF($A925&gt;'1-Input'!$B$26,0,IF(AP924&lt;=0,0,MAX(0,(AP924-AQ924)/AP924)))</f>
        <v>0.57440231770161576</v>
      </c>
      <c r="AL925" s="18">
        <f>IF($A925&gt;'1-Input'!$B$26,0,(MAX(0,AK891-IF($A925&gt;='1-Input'!$C$12,'1-Input'!$B$12,0))-MIN(MAX(AO924,0),MAX(0,AK891-IF($A925&gt;='1-Input'!$C$12,'1-Input'!$B$12,0))))*(1/(1-'P-Parametri'!$B$6*AK925))+MIN(MAX(0,AP924-(MAX(0,AK891-IF($A925&gt;='1-Input'!$C$12,'1-Input'!$B$12,0))-MIN(MAX(AO924,0),MAX(0,AK891-IF($A925&gt;='1-Input'!$C$12,'1-Input'!$B$12,0))))*(1/(1-'P-Parametri'!$B$6*AK925))),MAX(0,0*AK891-(AO924-MIN(MAX(AO924,0),MAX(0,AK891-IF($A925&gt;='1-Input'!$C$12,'1-Input'!$B$12,0)))))*(1/(1-'P-Parametri'!$B$6*AK925))))</f>
        <v>9863.6019551182471</v>
      </c>
      <c r="AM925" s="18">
        <f>IF($A925&gt;'1-Input'!$B$26,AO924,(AO924-MAX(0,AK891-IF($A925&gt;='1-Input'!$C$12,'1-Input'!$B$12,0))+AL925*(1-'P-Parametri'!$B$6*AK925))*(1+'1-Input'!$B$27))</f>
        <v>0</v>
      </c>
      <c r="AN925" s="18">
        <f>IF($A925&gt;'1-Input'!$B$26,AP924,(AP924-AL925)*(1+'5-Roberta'!$C$4))</f>
        <v>111858.28117968241</v>
      </c>
      <c r="AO925" s="18">
        <f>IF($A925&gt;'1-Input'!$B$26,AM925,AM925-'P-Parametri'!$B$8*(AN925+AM925)+MIN(MAX(AN925,0),'P-Parametri'!$B$8*(AN925+AM925)))</f>
        <v>0</v>
      </c>
      <c r="AP925" s="18">
        <f>IF($A925&gt;'1-Input'!$B$26,AN925,AN925-MIN(MAX(AN925,0),'P-Parametri'!$B$8*(AN925+AM925)))</f>
        <v>111634.56461732305</v>
      </c>
      <c r="AQ925" s="18">
        <f>IF($A925&gt;'1-Input'!$B$26,AQ924,AQ924-AL925*(1-AK925))</f>
        <v>46220.024481508539</v>
      </c>
    </row>
    <row r="926" spans="1:43">
      <c r="A926" s="10">
        <f>33</f>
        <v>33</v>
      </c>
      <c r="B926" s="11">
        <f>IF($A926&gt;'1-Input'!$B$26,0,IF(G925&lt;=0,0,MAX(0,(G925-H925)/G925)))</f>
        <v>0.5859703073152287</v>
      </c>
      <c r="C926" s="18">
        <f>IF($A926&gt;'1-Input'!$B$26,0,(MAX(0,B891-IF($A926&gt;='1-Input'!$C$12,'1-Input'!$B$12,0))-MIN(MAX(F925,0),MAX(0,B891-IF($A926&gt;='1-Input'!$C$12,'1-Input'!$B$12,0))))*(1/(1-'P-Parametri'!$B$6*B926))+MIN(MAX(0,G925-(MAX(0,B891-IF($A926&gt;='1-Input'!$C$12,'1-Input'!$B$12,0))-MIN(MAX(F925,0),MAX(0,B891-IF($A926&gt;='1-Input'!$C$12,'1-Input'!$B$12,0))))*(1/(1-'P-Parametri'!$B$6*B926))),MAX(0,0*B891-(F925-MIN(MAX(F925,0),MAX(0,B891-IF($A926&gt;='1-Input'!$C$12,'1-Input'!$B$12,0)))))*(1/(1-'P-Parametri'!$B$6*B926))))</f>
        <v>6581.808907573678</v>
      </c>
      <c r="D926" s="18">
        <f>IF($A926&gt;'1-Input'!$B$26,F925,(F925-MAX(0,B891-IF($A926&gt;='1-Input'!$C$12,'1-Input'!$B$12,0))+C926*(1-'P-Parametri'!$B$6*B926))*(1+'1-Input'!$B$27))</f>
        <v>0</v>
      </c>
      <c r="E926" s="18">
        <f>IF($A926&gt;'1-Input'!$B$26,G925,(G925-C926)*(1+'5-Roberta'!$C$4))</f>
        <v>271353.99317808991</v>
      </c>
      <c r="F926" s="18">
        <f>IF($A926&gt;'1-Input'!$B$26,D926,D926-'P-Parametri'!$B$8*(E926+D926)+MIN(MAX(E926,0),'P-Parametri'!$B$8*(E926+D926)))</f>
        <v>0</v>
      </c>
      <c r="G926" s="18">
        <f>IF($A926&gt;'1-Input'!$B$26,E926,E926-MIN(MAX(E926,0),'P-Parametri'!$B$8*(E926+D926)))</f>
        <v>270811.28519173374</v>
      </c>
      <c r="H926" s="18">
        <f>IF($A926&gt;'1-Input'!$B$26,H925,H925-C926*(1-B926))</f>
        <v>109076.3207808836</v>
      </c>
      <c r="I926" s="11">
        <f>IF($A926&gt;'1-Input'!$B$26,0,IF(N925&lt;=0,0,MAX(0,(N925-O925)/N925)))</f>
        <v>0</v>
      </c>
      <c r="J926" s="18">
        <f>IF($A926&gt;'1-Input'!$B$26,0,(MAX(0,I891-IF($A926&gt;='1-Input'!$C$12,'1-Input'!$B$12,0))-MIN(MAX(M925,0),MAX(0,I891-IF($A926&gt;='1-Input'!$C$12,'1-Input'!$B$12,0))))*(1/(1-'P-Parametri'!$B$6*I926))+MIN(MAX(0,N925-(MAX(0,I891-IF($A926&gt;='1-Input'!$C$12,'1-Input'!$B$12,0))-MIN(MAX(M925,0),MAX(0,I891-IF($A926&gt;='1-Input'!$C$12,'1-Input'!$B$12,0))))*(1/(1-'P-Parametri'!$B$6*I926))),MAX(0,0*I891-(M925-MIN(MAX(M925,0),MAX(0,I891-IF($A926&gt;='1-Input'!$C$12,'1-Input'!$B$12,0)))))*(1/(1-'P-Parametri'!$B$6*I926))))</f>
        <v>10846.756992928691</v>
      </c>
      <c r="K926" s="18">
        <f>IF($A926&gt;'1-Input'!$B$26,M925,(M925-MAX(0,I891-IF($A926&gt;='1-Input'!$C$12,'1-Input'!$B$12,0))+J926*(1-'P-Parametri'!$B$6*I926))*(1+'1-Input'!$B$27))</f>
        <v>0</v>
      </c>
      <c r="L926" s="18">
        <f>IF($A926&gt;'1-Input'!$B$26,N925,(N925-J926)*(1+'5-Roberta'!$C$4))</f>
        <v>-34685.082074499653</v>
      </c>
      <c r="M926" s="18">
        <f>IF($A926&gt;'1-Input'!$B$26,K926,K926-'P-Parametri'!$B$8*(L926+K926)+MIN(MAX(L926,0),'P-Parametri'!$B$8*(L926+K926)))</f>
        <v>0</v>
      </c>
      <c r="N926" s="18">
        <f>IF($A926&gt;'1-Input'!$B$26,L926,L926-MIN(MAX(L926,0),'P-Parametri'!$B$8*(L926+K926)))</f>
        <v>-34615.711910350656</v>
      </c>
      <c r="O926" s="18">
        <f>IF($A926&gt;'1-Input'!$B$26,O925,O925-J926*(1-I926))</f>
        <v>-32630.083692590768</v>
      </c>
      <c r="P926" s="11">
        <f>IF($A926&gt;'1-Input'!$B$26,0,IF(U925&lt;=0,0,MAX(0,(U925-V925)/U925)))</f>
        <v>0.58597030731522903</v>
      </c>
      <c r="Q926" s="18">
        <f>IF($A926&gt;'1-Input'!$B$26,0,(MAX(0,P891-IF($A926&gt;='1-Input'!$C$12,'1-Input'!$B$12,0))-MIN(MAX(T925,0),MAX(0,P891-IF($A926&gt;='1-Input'!$C$12,'1-Input'!$B$12,0))))*(1/(1-'P-Parametri'!$B$6*P926))+MIN(MAX(0,U925-(MAX(0,P891-IF($A926&gt;='1-Input'!$C$12,'1-Input'!$B$12,0))-MIN(MAX(T925,0),MAX(0,P891-IF($A926&gt;='1-Input'!$C$12,'1-Input'!$B$12,0))))*(1/(1-'P-Parametri'!$B$6*P926))),MAX(0,0*P891-(T925-MIN(MAX(T925,0),MAX(0,P891-IF($A926&gt;='1-Input'!$C$12,'1-Input'!$B$12,0)))))*(1/(1-'P-Parametri'!$B$6*P926))))</f>
        <v>10173.508979084909</v>
      </c>
      <c r="R926" s="18">
        <f>IF($A926&gt;'1-Input'!$B$26,T925,(T925-MAX(0,P891-IF($A926&gt;='1-Input'!$C$12,'1-Input'!$B$12,0))+Q926*(1-'P-Parametri'!$B$6*P926))*(1+'1-Input'!$B$27))</f>
        <v>-1.8124410416930913E-12</v>
      </c>
      <c r="S926" s="18">
        <f>IF($A926&gt;'1-Input'!$B$26,U925,(U925-Q926)*(1+'5-Roberta'!$C$4))</f>
        <v>90982.420661354961</v>
      </c>
      <c r="T926" s="18">
        <f>IF($A926&gt;'1-Input'!$B$26,R926,R926-'P-Parametri'!$B$8*(S926+R926)+MIN(MAX(S926,0),'P-Parametri'!$B$8*(S926+R926)))</f>
        <v>-1.8189894035458565E-12</v>
      </c>
      <c r="U926" s="18">
        <f>IF($A926&gt;'1-Input'!$B$26,S926,S926-MIN(MAX(S926,0),'P-Parametri'!$B$8*(S926+R926)))</f>
        <v>90800.45582003225</v>
      </c>
      <c r="V926" s="18">
        <f>IF($A926&gt;'1-Input'!$B$26,V925,V925-Q926*(1-P926))</f>
        <v>36572.255986541124</v>
      </c>
      <c r="W926" s="11">
        <f>IF($A926&gt;'1-Input'!$B$26,0,IF(AB925&lt;=0,0,MAX(0,(AB925-AC925)/AB925)))</f>
        <v>0.58597030731522881</v>
      </c>
      <c r="X926" s="18">
        <f>IF($A926&gt;'1-Input'!$B$26,0,(MAX(0,W891-IF($A926&gt;='1-Input'!$C$12,'1-Input'!$B$12,0))-MIN(MAX(AA925,0),MAX(0,W891-IF($A926&gt;='1-Input'!$C$12,'1-Input'!$B$12,0))))*(1/(1-'P-Parametri'!$B$6*W926))+MIN(MAX(0,AB925-(MAX(0,W891-IF($A926&gt;='1-Input'!$C$12,'1-Input'!$B$12,0))-MIN(MAX(AA925,0),MAX(0,W891-IF($A926&gt;='1-Input'!$C$12,'1-Input'!$B$12,0))))*(1/(1-'P-Parametri'!$B$6*W926))),MAX(0,0*W891-(AA925-MIN(MAX(AA925,0),MAX(0,W891-IF($A926&gt;='1-Input'!$C$12,'1-Input'!$B$12,0)))))*(1/(1-'P-Parametri'!$B$6*W926))))</f>
        <v>9901.3594495972484</v>
      </c>
      <c r="Y926" s="18">
        <f>IF($A926&gt;'1-Input'!$B$26,AA925,(AA925-MAX(0,W891-IF($A926&gt;='1-Input'!$C$12,'1-Input'!$B$12,0))+X926*(1-'P-Parametri'!$B$6*W926))*(1+'1-Input'!$B$27))</f>
        <v>-1.8124410416930913E-12</v>
      </c>
      <c r="Z926" s="18">
        <f>IF($A926&gt;'1-Input'!$B$26,AB925,(AB925-X926)*(1+'5-Roberta'!$C$4))</f>
        <v>104649.49686928676</v>
      </c>
      <c r="AA926" s="18">
        <f>IF($A926&gt;'1-Input'!$B$26,Y926,Y926-'P-Parametri'!$B$8*(Z926+Y926)+MIN(MAX(Z926,0),'P-Parametri'!$B$8*(Z926+Y926)))</f>
        <v>-1.8189894035458565E-12</v>
      </c>
      <c r="AB926" s="18">
        <f>IF($A926&gt;'1-Input'!$B$26,Z926,Z926-MIN(MAX(Z926,0),'P-Parametri'!$B$8*(Z926+Y926)))</f>
        <v>104440.19787554818</v>
      </c>
      <c r="AC926" s="18">
        <f>IF($A926&gt;'1-Input'!$B$26,AC925,AC925-X926*(1-W926))</f>
        <v>42066.018474181285</v>
      </c>
      <c r="AD926" s="11">
        <f>IF($A926&gt;'1-Input'!$B$26,0,IF(AI925&lt;=0,0,MAX(0,(AI925-AJ925)/AI925)))</f>
        <v>0.58597030731522837</v>
      </c>
      <c r="AE926" s="18">
        <f>IF($A926&gt;'1-Input'!$B$26,0,(MAX(0,AD891-IF($A926&gt;='1-Input'!$C$12,'1-Input'!$B$12,0))-MIN(MAX(AH925,0),MAX(0,AD891-IF($A926&gt;='1-Input'!$C$12,'1-Input'!$B$12,0))))*(1/(1-'P-Parametri'!$B$6*AD926))+MIN(MAX(0,AI925-(MAX(0,AD891-IF($A926&gt;='1-Input'!$C$12,'1-Input'!$B$12,0))-MIN(MAX(AH925,0),MAX(0,AD891-IF($A926&gt;='1-Input'!$C$12,'1-Input'!$B$12,0))))*(1/(1-'P-Parametri'!$B$6*AD926))),MAX(0,0*AD891-(AH925-MIN(MAX(AH925,0),MAX(0,AD891-IF($A926&gt;='1-Input'!$C$12,'1-Input'!$B$12,0)))))*(1/(1-'P-Parametri'!$B$6*AD926))))</f>
        <v>9898.0215122694535</v>
      </c>
      <c r="AF926" s="18">
        <f>IF($A926&gt;'1-Input'!$B$26,AH925,(AH925-MAX(0,AD891-IF($A926&gt;='1-Input'!$C$12,'1-Input'!$B$12,0))+AE926*(1-'P-Parametri'!$B$6*AD926))*(1+'1-Input'!$B$27))</f>
        <v>0</v>
      </c>
      <c r="AG926" s="18">
        <f>IF($A926&gt;'1-Input'!$B$26,AI925,(AI925-AE926)*(1+'5-Roberta'!$C$4))</f>
        <v>104817.12473152144</v>
      </c>
      <c r="AH926" s="18">
        <f>IF($A926&gt;'1-Input'!$B$26,AF926,AF926-'P-Parametri'!$B$8*(AG926+AF926)+MIN(MAX(AG926,0),'P-Parametri'!$B$8*(AG926+AF926)))</f>
        <v>0</v>
      </c>
      <c r="AI926" s="18">
        <f>IF($A926&gt;'1-Input'!$B$26,AG926,AG926-MIN(MAX(AG926,0),'P-Parametri'!$B$8*(AG926+AF926)))</f>
        <v>104607.49048205841</v>
      </c>
      <c r="AJ926" s="18">
        <f>IF($A926&gt;'1-Input'!$B$26,AJ925,AJ925-AE926*(1-AD926))</f>
        <v>42133.399942420576</v>
      </c>
      <c r="AK926" s="11">
        <f>IF($A926&gt;'1-Input'!$B$26,0,IF(AP925&lt;=0,0,MAX(0,(AP925-AQ925)/AP925)))</f>
        <v>0.58597030731522837</v>
      </c>
      <c r="AL926" s="18">
        <f>IF($A926&gt;'1-Input'!$B$26,0,(MAX(0,AK891-IF($A926&gt;='1-Input'!$C$12,'1-Input'!$B$12,0))-MIN(MAX(AO925,0),MAX(0,AK891-IF($A926&gt;='1-Input'!$C$12,'1-Input'!$B$12,0))))*(1/(1-'P-Parametri'!$B$6*AK926))+MIN(MAX(0,AP925-(MAX(0,AK891-IF($A926&gt;='1-Input'!$C$12,'1-Input'!$B$12,0))-MIN(MAX(AO925,0),MAX(0,AK891-IF($A926&gt;='1-Input'!$C$12,'1-Input'!$B$12,0))))*(1/(1-'P-Parametri'!$B$6*AK926))),MAX(0,0*AK891-(AO925-MIN(MAX(AO925,0),MAX(0,AK891-IF($A926&gt;='1-Input'!$C$12,'1-Input'!$B$12,0)))))*(1/(1-'P-Parametri'!$B$6*AK926))))</f>
        <v>9898.6006119761551</v>
      </c>
      <c r="AM926" s="18">
        <f>IF($A926&gt;'1-Input'!$B$26,AO925,(AO925-MAX(0,AK891-IF($A926&gt;='1-Input'!$C$12,'1-Input'!$B$12,0))+AL926*(1-'P-Parametri'!$B$6*AK926))*(1+'1-Input'!$B$27))</f>
        <v>-1.8124410416930913E-12</v>
      </c>
      <c r="AN926" s="18">
        <f>IF($A926&gt;'1-Input'!$B$26,AP925,(AP925-AL926)*(1+'5-Roberta'!$C$4))</f>
        <v>104788.0429255073</v>
      </c>
      <c r="AO926" s="18">
        <f>IF($A926&gt;'1-Input'!$B$26,AM926,AM926-'P-Parametri'!$B$8*(AN926+AM926)+MIN(MAX(AN926,0),'P-Parametri'!$B$8*(AN926+AM926)))</f>
        <v>-1.8189894035458565E-12</v>
      </c>
      <c r="AP926" s="18">
        <f>IF($A926&gt;'1-Input'!$B$26,AN926,AN926-MIN(MAX(AN926,0),'P-Parametri'!$B$8*(AN926+AM926)))</f>
        <v>104578.46683965628</v>
      </c>
      <c r="AQ926" s="18">
        <f>IF($A926&gt;'1-Input'!$B$26,AQ925,AQ925-AL926*(1-AK926))</f>
        <v>42121.709912122758</v>
      </c>
    </row>
    <row r="927" spans="1:43">
      <c r="A927" s="10">
        <f>34</f>
        <v>34</v>
      </c>
      <c r="B927" s="11">
        <f>IF($A927&gt;'1-Input'!$B$26,0,IF(G926&lt;=0,0,MAX(0,(G926-H926)/G926)))</f>
        <v>0.59722387232253693</v>
      </c>
      <c r="C927" s="18">
        <f>IF($A927&gt;'1-Input'!$B$26,0,(MAX(0,B891-IF($A927&gt;='1-Input'!$C$12,'1-Input'!$B$12,0))-MIN(MAX(F926,0),MAX(0,B891-IF($A927&gt;='1-Input'!$C$12,'1-Input'!$B$12,0))))*(1/(1-'P-Parametri'!$B$6*B927))+MIN(MAX(0,G926-(MAX(0,B891-IF($A927&gt;='1-Input'!$C$12,'1-Input'!$B$12,0))-MIN(MAX(F926,0),MAX(0,B891-IF($A927&gt;='1-Input'!$C$12,'1-Input'!$B$12,0))))*(1/(1-'P-Parametri'!$B$6*B927))),MAX(0,0*B891-(F926-MIN(MAX(F926,0),MAX(0,B891-IF($A927&gt;='1-Input'!$C$12,'1-Input'!$B$12,0)))))*(1/(1-'P-Parametri'!$B$6*B927))))</f>
        <v>6604.6068179637605</v>
      </c>
      <c r="D927" s="18">
        <f>IF($A927&gt;'1-Input'!$B$26,F926,(F926-MAX(0,B891-IF($A927&gt;='1-Input'!$C$12,'1-Input'!$B$12,0))+C927*(1-'P-Parametri'!$B$6*B927))*(1+'1-Input'!$B$27))</f>
        <v>0</v>
      </c>
      <c r="E927" s="18">
        <f>IF($A927&gt;'1-Input'!$B$26,G926,(G926-C927)*(1+'5-Roberta'!$C$4))</f>
        <v>272132.87872498308</v>
      </c>
      <c r="F927" s="18">
        <f>IF($A927&gt;'1-Input'!$B$26,D927,D927-'P-Parametri'!$B$8*(E927+D927)+MIN(MAX(E927,0),'P-Parametri'!$B$8*(E927+D927)))</f>
        <v>0</v>
      </c>
      <c r="G927" s="18">
        <f>IF($A927&gt;'1-Input'!$B$26,E927,E927-MIN(MAX(E927,0),'P-Parametri'!$B$8*(E927+D927)))</f>
        <v>271588.61296753312</v>
      </c>
      <c r="H927" s="18">
        <f>IF($A927&gt;'1-Input'!$B$26,H926,H926-C927*(1-B927))</f>
        <v>106416.14282191198</v>
      </c>
      <c r="I927" s="11">
        <f>IF($A927&gt;'1-Input'!$B$26,0,IF(N926&lt;=0,0,MAX(0,(N926-O926)/N926)))</f>
        <v>0</v>
      </c>
      <c r="J927" s="18">
        <f>IF($A927&gt;'1-Input'!$B$26,0,(MAX(0,I891-IF($A927&gt;='1-Input'!$C$12,'1-Input'!$B$12,0))-MIN(MAX(M926,0),MAX(0,I891-IF($A927&gt;='1-Input'!$C$12,'1-Input'!$B$12,0))))*(1/(1-'P-Parametri'!$B$6*I927))+MIN(MAX(0,N926-(MAX(0,I891-IF($A927&gt;='1-Input'!$C$12,'1-Input'!$B$12,0))-MIN(MAX(M926,0),MAX(0,I891-IF($A927&gt;='1-Input'!$C$12,'1-Input'!$B$12,0))))*(1/(1-'P-Parametri'!$B$6*I927))),MAX(0,0*I891-(M926-MIN(MAX(M926,0),MAX(0,I891-IF($A927&gt;='1-Input'!$C$12,'1-Input'!$B$12,0)))))*(1/(1-'P-Parametri'!$B$6*I927))))</f>
        <v>10846.756992928691</v>
      </c>
      <c r="K927" s="18">
        <f>IF($A927&gt;'1-Input'!$B$26,M926,(M926-MAX(0,I891-IF($A927&gt;='1-Input'!$C$12,'1-Input'!$B$12,0))+J927*(1-'P-Parametri'!$B$6*I927))*(1+'1-Input'!$B$27))</f>
        <v>0</v>
      </c>
      <c r="L927" s="18">
        <f>IF($A927&gt;'1-Input'!$B$26,N926,(N926-J927)*(1+'5-Roberta'!$C$4))</f>
        <v>-46826.342970377729</v>
      </c>
      <c r="M927" s="18">
        <f>IF($A927&gt;'1-Input'!$B$26,K927,K927-'P-Parametri'!$B$8*(L927+K927)+MIN(MAX(L927,0),'P-Parametri'!$B$8*(L927+K927)))</f>
        <v>0</v>
      </c>
      <c r="N927" s="18">
        <f>IF($A927&gt;'1-Input'!$B$26,L927,L927-MIN(MAX(L927,0),'P-Parametri'!$B$8*(L927+K927)))</f>
        <v>-46732.690284436976</v>
      </c>
      <c r="O927" s="18">
        <f>IF($A927&gt;'1-Input'!$B$26,O926,O926-J927*(1-I927))</f>
        <v>-43476.840685519463</v>
      </c>
      <c r="P927" s="11">
        <f>IF($A927&gt;'1-Input'!$B$26,0,IF(U926&lt;=0,0,MAX(0,(U926-V926)/U926)))</f>
        <v>0.59722387232253726</v>
      </c>
      <c r="Q927" s="18">
        <f>IF($A927&gt;'1-Input'!$B$26,0,(MAX(0,P891-IF($A927&gt;='1-Input'!$C$12,'1-Input'!$B$12,0))-MIN(MAX(T926,0),MAX(0,P891-IF($A927&gt;='1-Input'!$C$12,'1-Input'!$B$12,0))))*(1/(1-'P-Parametri'!$B$6*P927))+MIN(MAX(0,U926-(MAX(0,P891-IF($A927&gt;='1-Input'!$C$12,'1-Input'!$B$12,0))-MIN(MAX(T926,0),MAX(0,P891-IF($A927&gt;='1-Input'!$C$12,'1-Input'!$B$12,0))))*(1/(1-'P-Parametri'!$B$6*P927))),MAX(0,0*P891-(T926-MIN(MAX(T926,0),MAX(0,P891-IF($A927&gt;='1-Input'!$C$12,'1-Input'!$B$12,0)))))*(1/(1-'P-Parametri'!$B$6*P927))))</f>
        <v>10208.747733250351</v>
      </c>
      <c r="R927" s="18">
        <f>IF($A927&gt;'1-Input'!$B$26,T926,(T926-MAX(0,P891-IF($A927&gt;='1-Input'!$C$12,'1-Input'!$B$12,0))+Q927*(1-'P-Parametri'!$B$6*P927))*(1+'1-Input'!$B$27))</f>
        <v>0</v>
      </c>
      <c r="S927" s="18">
        <f>IF($A927&gt;'1-Input'!$B$26,U926,(U926-Q927)*(1+'5-Roberta'!$C$4))</f>
        <v>83009.459329385369</v>
      </c>
      <c r="T927" s="18">
        <f>IF($A927&gt;'1-Input'!$B$26,R927,R927-'P-Parametri'!$B$8*(S927+R927)+MIN(MAX(S927,0),'P-Parametri'!$B$8*(S927+R927)))</f>
        <v>0</v>
      </c>
      <c r="U927" s="18">
        <f>IF($A927&gt;'1-Input'!$B$26,S927,S927-MIN(MAX(S927,0),'P-Parametri'!$B$8*(S927+R927)))</f>
        <v>82843.440410726602</v>
      </c>
      <c r="V927" s="18">
        <f>IF($A927&gt;'1-Input'!$B$26,V926,V926-Q927*(1-P927))</f>
        <v>32460.416106106473</v>
      </c>
      <c r="W927" s="11">
        <f>IF($A927&gt;'1-Input'!$B$26,0,IF(AB926&lt;=0,0,MAX(0,(AB926-AC926)/AB926)))</f>
        <v>0.59722387232253715</v>
      </c>
      <c r="X927" s="18">
        <f>IF($A927&gt;'1-Input'!$B$26,0,(MAX(0,W891-IF($A927&gt;='1-Input'!$C$12,'1-Input'!$B$12,0))-MIN(MAX(AA926,0),MAX(0,W891-IF($A927&gt;='1-Input'!$C$12,'1-Input'!$B$12,0))))*(1/(1-'P-Parametri'!$B$6*W927))+MIN(MAX(0,AB926-(MAX(0,W891-IF($A927&gt;='1-Input'!$C$12,'1-Input'!$B$12,0))-MIN(MAX(AA926,0),MAX(0,W891-IF($A927&gt;='1-Input'!$C$12,'1-Input'!$B$12,0))))*(1/(1-'P-Parametri'!$B$6*W927))),MAX(0,0*W891-(AA926-MIN(MAX(AA926,0),MAX(0,W891-IF($A927&gt;='1-Input'!$C$12,'1-Input'!$B$12,0)))))*(1/(1-'P-Parametri'!$B$6*W927))))</f>
        <v>9935.6555388094694</v>
      </c>
      <c r="Y927" s="18">
        <f>IF($A927&gt;'1-Input'!$B$26,AA926,(AA926-MAX(0,W891-IF($A927&gt;='1-Input'!$C$12,'1-Input'!$B$12,0))+X927*(1-'P-Parametri'!$B$6*W927))*(1+'1-Input'!$B$27))</f>
        <v>0</v>
      </c>
      <c r="Z927" s="18">
        <f>IF($A927&gt;'1-Input'!$B$26,AB926,(AB926-X927)*(1+'5-Roberta'!$C$4))</f>
        <v>97339.678606840869</v>
      </c>
      <c r="AA927" s="18">
        <f>IF($A927&gt;'1-Input'!$B$26,Y927,Y927-'P-Parametri'!$B$8*(Z927+Y927)+MIN(MAX(Z927,0),'P-Parametri'!$B$8*(Z927+Y927)))</f>
        <v>0</v>
      </c>
      <c r="AB927" s="18">
        <f>IF($A927&gt;'1-Input'!$B$26,Z927,Z927-MIN(MAX(Z927,0),'P-Parametri'!$B$8*(Z927+Y927)))</f>
        <v>97144.999249627188</v>
      </c>
      <c r="AC927" s="18">
        <f>IF($A927&gt;'1-Input'!$B$26,AC926,AC926-X927*(1-W927))</f>
        <v>38064.173610322468</v>
      </c>
      <c r="AD927" s="11">
        <f>IF($A927&gt;'1-Input'!$B$26,0,IF(AI926&lt;=0,0,MAX(0,(AI926-AJ926)/AI926)))</f>
        <v>0.59722387232253682</v>
      </c>
      <c r="AE927" s="18">
        <f>IF($A927&gt;'1-Input'!$B$26,0,(MAX(0,AD891-IF($A927&gt;='1-Input'!$C$12,'1-Input'!$B$12,0))-MIN(MAX(AH926,0),MAX(0,AD891-IF($A927&gt;='1-Input'!$C$12,'1-Input'!$B$12,0))))*(1/(1-'P-Parametri'!$B$6*AD927))+MIN(MAX(0,AI926-(MAX(0,AD891-IF($A927&gt;='1-Input'!$C$12,'1-Input'!$B$12,0))-MIN(MAX(AH926,0),MAX(0,AD891-IF($A927&gt;='1-Input'!$C$12,'1-Input'!$B$12,0))))*(1/(1-'P-Parametri'!$B$6*AD927))),MAX(0,0*AD891-(AH926-MIN(MAX(AH926,0),MAX(0,AD891-IF($A927&gt;='1-Input'!$C$12,'1-Input'!$B$12,0)))))*(1/(1-'P-Parametri'!$B$6*AD927))))</f>
        <v>9932.3060396151468</v>
      </c>
      <c r="AF927" s="18">
        <f>IF($A927&gt;'1-Input'!$B$26,AH926,(AH926-MAX(0,AD891-IF($A927&gt;='1-Input'!$C$12,'1-Input'!$B$12,0))+AE927*(1-'P-Parametri'!$B$6*AD927))*(1+'1-Input'!$B$27))</f>
        <v>0</v>
      </c>
      <c r="AG927" s="18">
        <f>IF($A927&gt;'1-Input'!$B$26,AI926,(AI926-AE927)*(1+'5-Roberta'!$C$4))</f>
        <v>97515.439975716567</v>
      </c>
      <c r="AH927" s="18">
        <f>IF($A927&gt;'1-Input'!$B$26,AF927,AF927-'P-Parametri'!$B$8*(AG927+AF927)+MIN(MAX(AG927,0),'P-Parametri'!$B$8*(AG927+AF927)))</f>
        <v>0</v>
      </c>
      <c r="AI927" s="18">
        <f>IF($A927&gt;'1-Input'!$B$26,AG927,AG927-MIN(MAX(AG927,0),'P-Parametri'!$B$8*(AG927+AF927)))</f>
        <v>97320.409095765135</v>
      </c>
      <c r="AJ927" s="18">
        <f>IF($A927&gt;'1-Input'!$B$26,AJ926,AJ926-AE927*(1-AD927))</f>
        <v>38132.904176876909</v>
      </c>
      <c r="AK927" s="11">
        <f>IF($A927&gt;'1-Input'!$B$26,0,IF(AP926&lt;=0,0,MAX(0,(AP926-AQ926)/AP926)))</f>
        <v>0.59722387232253671</v>
      </c>
      <c r="AL927" s="18">
        <f>IF($A927&gt;'1-Input'!$B$26,0,(MAX(0,AK891-IF($A927&gt;='1-Input'!$C$12,'1-Input'!$B$12,0))-MIN(MAX(AO926,0),MAX(0,AK891-IF($A927&gt;='1-Input'!$C$12,'1-Input'!$B$12,0))))*(1/(1-'P-Parametri'!$B$6*AK927))+MIN(MAX(0,AP926-(MAX(0,AK891-IF($A927&gt;='1-Input'!$C$12,'1-Input'!$B$12,0))-MIN(MAX(AO926,0),MAX(0,AK891-IF($A927&gt;='1-Input'!$C$12,'1-Input'!$B$12,0))))*(1/(1-'P-Parametri'!$B$6*AK927))),MAX(0,0*AK891-(AO926-MIN(MAX(AO926,0),MAX(0,AK891-IF($A927&gt;='1-Input'!$C$12,'1-Input'!$B$12,0)))))*(1/(1-'P-Parametri'!$B$6*AK927))))</f>
        <v>9932.8871451933974</v>
      </c>
      <c r="AM927" s="18">
        <f>IF($A927&gt;'1-Input'!$B$26,AO926,(AO926-MAX(0,AK891-IF($A927&gt;='1-Input'!$C$12,'1-Input'!$B$12,0))+AL927*(1-'P-Parametri'!$B$6*AK927))*(1+'1-Input'!$B$27))</f>
        <v>0</v>
      </c>
      <c r="AN927" s="18">
        <f>IF($A927&gt;'1-Input'!$B$26,AP926,(AP926-AL927)*(1+'5-Roberta'!$C$4))</f>
        <v>97484.947085296764</v>
      </c>
      <c r="AO927" s="18">
        <f>IF($A927&gt;'1-Input'!$B$26,AM927,AM927-'P-Parametri'!$B$8*(AN927+AM927)+MIN(MAX(AN927,0),'P-Parametri'!$B$8*(AN927+AM927)))</f>
        <v>0</v>
      </c>
      <c r="AP927" s="18">
        <f>IF($A927&gt;'1-Input'!$B$26,AN927,AN927-MIN(MAX(AN927,0),'P-Parametri'!$B$8*(AN927+AM927)))</f>
        <v>97289.977191126178</v>
      </c>
      <c r="AQ927" s="18">
        <f>IF($A927&gt;'1-Input'!$B$26,AQ926,AQ926-AL927*(1-AK927))</f>
        <v>38120.980091124511</v>
      </c>
    </row>
    <row r="928" spans="1:43">
      <c r="A928" s="10">
        <f>35</f>
        <v>35</v>
      </c>
      <c r="B928" s="11">
        <f>IF($A928&gt;'1-Input'!$B$26,0,IF(G927&lt;=0,0,MAX(0,(G927-H927)/G927)))</f>
        <v>0.60817155896505337</v>
      </c>
      <c r="C928" s="18">
        <f>IF($A928&gt;'1-Input'!$B$26,0,(MAX(0,B891-IF($A928&gt;='1-Input'!$C$12,'1-Input'!$B$12,0))-MIN(MAX(F927,0),MAX(0,B891-IF($A928&gt;='1-Input'!$C$12,'1-Input'!$B$12,0))))*(1/(1-'P-Parametri'!$B$6*B928))+MIN(MAX(0,G927-(MAX(0,B891-IF($A928&gt;='1-Input'!$C$12,'1-Input'!$B$12,0))-MIN(MAX(F927,0),MAX(0,B891-IF($A928&gt;='1-Input'!$C$12,'1-Input'!$B$12,0))))*(1/(1-'P-Parametri'!$B$6*B928))),MAX(0,0*B891-(F927-MIN(MAX(F927,0),MAX(0,B891-IF($A928&gt;='1-Input'!$C$12,'1-Input'!$B$12,0)))))*(1/(1-'P-Parametri'!$B$6*B928))))</f>
        <v>6626.9371333969766</v>
      </c>
      <c r="D928" s="18">
        <f>IF($A928&gt;'1-Input'!$B$26,F927,(F927-MAX(0,B891-IF($A928&gt;='1-Input'!$C$12,'1-Input'!$B$12,0))+C928*(1-'P-Parametri'!$B$6*B928))*(1+'1-Input'!$B$27))</f>
        <v>-9.0622052084654565E-13</v>
      </c>
      <c r="E928" s="18">
        <f>IF($A928&gt;'1-Input'!$B$26,G927,(G927-C928)*(1+'5-Roberta'!$C$4))</f>
        <v>272910.52610916022</v>
      </c>
      <c r="F928" s="18">
        <f>IF($A928&gt;'1-Input'!$B$26,D928,D928-'P-Parametri'!$B$8*(E928+D928)+MIN(MAX(E928,0),'P-Parametri'!$B$8*(E928+D928)))</f>
        <v>-9.0949470177292824E-13</v>
      </c>
      <c r="G928" s="18">
        <f>IF($A928&gt;'1-Input'!$B$26,E928,E928-MIN(MAX(E928,0),'P-Parametri'!$B$8*(E928+D928)))</f>
        <v>272364.70505694189</v>
      </c>
      <c r="H928" s="18">
        <f>IF($A928&gt;'1-Input'!$B$26,H927,H927-C928*(1-B928))</f>
        <v>103819.52037609645</v>
      </c>
      <c r="I928" s="11">
        <f>IF($A928&gt;'1-Input'!$B$26,0,IF(N927&lt;=0,0,MAX(0,(N927-O927)/N927)))</f>
        <v>0</v>
      </c>
      <c r="J928" s="18">
        <f>IF($A928&gt;'1-Input'!$B$26,0,(MAX(0,I891-IF($A928&gt;='1-Input'!$C$12,'1-Input'!$B$12,0))-MIN(MAX(M927,0),MAX(0,I891-IF($A928&gt;='1-Input'!$C$12,'1-Input'!$B$12,0))))*(1/(1-'P-Parametri'!$B$6*I928))+MIN(MAX(0,N927-(MAX(0,I891-IF($A928&gt;='1-Input'!$C$12,'1-Input'!$B$12,0))-MIN(MAX(M927,0),MAX(0,I891-IF($A928&gt;='1-Input'!$C$12,'1-Input'!$B$12,0))))*(1/(1-'P-Parametri'!$B$6*I928))),MAX(0,0*I891-(M927-MIN(MAX(M927,0),MAX(0,I891-IF($A928&gt;='1-Input'!$C$12,'1-Input'!$B$12,0)))))*(1/(1-'P-Parametri'!$B$6*I928))))</f>
        <v>10846.756992928691</v>
      </c>
      <c r="K928" s="18">
        <f>IF($A928&gt;'1-Input'!$B$26,M927,(M927-MAX(0,I891-IF($A928&gt;='1-Input'!$C$12,'1-Input'!$B$12,0))+J928*(1-'P-Parametri'!$B$6*I928))*(1+'1-Input'!$B$27))</f>
        <v>0</v>
      </c>
      <c r="L928" s="18">
        <f>IF($A928&gt;'1-Input'!$B$26,N927,(N927-J928)*(1+'5-Roberta'!$C$4))</f>
        <v>-59306.830695686636</v>
      </c>
      <c r="M928" s="18">
        <f>IF($A928&gt;'1-Input'!$B$26,K928,K928-'P-Parametri'!$B$8*(L928+K928)+MIN(MAX(L928,0),'P-Parametri'!$B$8*(L928+K928)))</f>
        <v>0</v>
      </c>
      <c r="N928" s="18">
        <f>IF($A928&gt;'1-Input'!$B$26,L928,L928-MIN(MAX(L928,0),'P-Parametri'!$B$8*(L928+K928)))</f>
        <v>-59188.21703429526</v>
      </c>
      <c r="O928" s="18">
        <f>IF($A928&gt;'1-Input'!$B$26,O927,O927-J928*(1-I928))</f>
        <v>-54323.597678448154</v>
      </c>
      <c r="P928" s="11">
        <f>IF($A928&gt;'1-Input'!$B$26,0,IF(U927&lt;=0,0,MAX(0,(U927-V927)/U927)))</f>
        <v>0.6081715589650537</v>
      </c>
      <c r="Q928" s="18">
        <f>IF($A928&gt;'1-Input'!$B$26,0,(MAX(0,P891-IF($A928&gt;='1-Input'!$C$12,'1-Input'!$B$12,0))-MIN(MAX(T927,0),MAX(0,P891-IF($A928&gt;='1-Input'!$C$12,'1-Input'!$B$12,0))))*(1/(1-'P-Parametri'!$B$6*P928))+MIN(MAX(0,U927-(MAX(0,P891-IF($A928&gt;='1-Input'!$C$12,'1-Input'!$B$12,0))-MIN(MAX(T927,0),MAX(0,P891-IF($A928&gt;='1-Input'!$C$12,'1-Input'!$B$12,0))))*(1/(1-'P-Parametri'!$B$6*P928))),MAX(0,0*P891-(T927-MIN(MAX(T927,0),MAX(0,P891-IF($A928&gt;='1-Input'!$C$12,'1-Input'!$B$12,0)))))*(1/(1-'P-Parametri'!$B$6*P928))))</f>
        <v>10243.263725397161</v>
      </c>
      <c r="R928" s="18">
        <f>IF($A928&gt;'1-Input'!$B$26,T927,(T927-MAX(0,P891-IF($A928&gt;='1-Input'!$C$12,'1-Input'!$B$12,0))+Q928*(1-'P-Parametri'!$B$6*P928))*(1+'1-Input'!$B$27))</f>
        <v>0</v>
      </c>
      <c r="S928" s="18">
        <f>IF($A928&gt;'1-Input'!$B$26,U927,(U927-Q928)*(1+'5-Roberta'!$C$4))</f>
        <v>74778.181985889329</v>
      </c>
      <c r="T928" s="18">
        <f>IF($A928&gt;'1-Input'!$B$26,R928,R928-'P-Parametri'!$B$8*(S928+R928)+MIN(MAX(S928,0),'P-Parametri'!$B$8*(S928+R928)))</f>
        <v>0</v>
      </c>
      <c r="U928" s="18">
        <f>IF($A928&gt;'1-Input'!$B$26,S928,S928-MIN(MAX(S928,0),'P-Parametri'!$B$8*(S928+R928)))</f>
        <v>74628.625621917556</v>
      </c>
      <c r="V928" s="18">
        <f>IF($A928&gt;'1-Input'!$B$26,V927,V927-Q928*(1-P928))</f>
        <v>28446.814049474287</v>
      </c>
      <c r="W928" s="11">
        <f>IF($A928&gt;'1-Input'!$B$26,0,IF(AB927&lt;=0,0,MAX(0,(AB927-AC927)/AB927)))</f>
        <v>0.60817155896505348</v>
      </c>
      <c r="X928" s="18">
        <f>IF($A928&gt;'1-Input'!$B$26,0,(MAX(0,W891-IF($A928&gt;='1-Input'!$C$12,'1-Input'!$B$12,0))-MIN(MAX(AA927,0),MAX(0,W891-IF($A928&gt;='1-Input'!$C$12,'1-Input'!$B$12,0))))*(1/(1-'P-Parametri'!$B$6*W928))+MIN(MAX(0,AB927-(MAX(0,W891-IF($A928&gt;='1-Input'!$C$12,'1-Input'!$B$12,0))-MIN(MAX(AA927,0),MAX(0,W891-IF($A928&gt;='1-Input'!$C$12,'1-Input'!$B$12,0))))*(1/(1-'P-Parametri'!$B$6*W928))),MAX(0,0*W891-(AA927-MIN(MAX(AA927,0),MAX(0,W891-IF($A928&gt;='1-Input'!$C$12,'1-Input'!$B$12,0)))))*(1/(1-'P-Parametri'!$B$6*W928))))</f>
        <v>9969.2482004670765</v>
      </c>
      <c r="Y928" s="18">
        <f>IF($A928&gt;'1-Input'!$B$26,AA927,(AA927-MAX(0,W891-IF($A928&gt;='1-Input'!$C$12,'1-Input'!$B$12,0))+X928*(1-'P-Parametri'!$B$6*W928))*(1+'1-Input'!$B$27))</f>
        <v>0</v>
      </c>
      <c r="Z928" s="18">
        <f>IF($A928&gt;'1-Input'!$B$26,AB927,(AB927-X928)*(1+'5-Roberta'!$C$4))</f>
        <v>89791.023580634923</v>
      </c>
      <c r="AA928" s="18">
        <f>IF($A928&gt;'1-Input'!$B$26,Y928,Y928-'P-Parametri'!$B$8*(Z928+Y928)+MIN(MAX(Z928,0),'P-Parametri'!$B$8*(Z928+Y928)))</f>
        <v>0</v>
      </c>
      <c r="AB928" s="18">
        <f>IF($A928&gt;'1-Input'!$B$26,Z928,Z928-MIN(MAX(Z928,0),'P-Parametri'!$B$8*(Z928+Y928)))</f>
        <v>89611.441533473655</v>
      </c>
      <c r="AC928" s="18">
        <f>IF($A928&gt;'1-Input'!$B$26,AC927,AC927-X928*(1-W928))</f>
        <v>34157.938629643009</v>
      </c>
      <c r="AD928" s="11">
        <f>IF($A928&gt;'1-Input'!$B$26,0,IF(AI927&lt;=0,0,MAX(0,(AI927-AJ927)/AI927)))</f>
        <v>0.60817155896505315</v>
      </c>
      <c r="AE928" s="18">
        <f>IF($A928&gt;'1-Input'!$B$26,0,(MAX(0,AD891-IF($A928&gt;='1-Input'!$C$12,'1-Input'!$B$12,0))-MIN(MAX(AH927,0),MAX(0,AD891-IF($A928&gt;='1-Input'!$C$12,'1-Input'!$B$12,0))))*(1/(1-'P-Parametri'!$B$6*AD928))+MIN(MAX(0,AI927-(MAX(0,AD891-IF($A928&gt;='1-Input'!$C$12,'1-Input'!$B$12,0))-MIN(MAX(AH927,0),MAX(0,AD891-IF($A928&gt;='1-Input'!$C$12,'1-Input'!$B$12,0))))*(1/(1-'P-Parametri'!$B$6*AD928))),MAX(0,0*AD891-(AH927-MIN(MAX(AH927,0),MAX(0,AD891-IF($A928&gt;='1-Input'!$C$12,'1-Input'!$B$12,0)))))*(1/(1-'P-Parametri'!$B$6*AD928))))</f>
        <v>9965.8873765450917</v>
      </c>
      <c r="AF928" s="18">
        <f>IF($A928&gt;'1-Input'!$B$26,AH927,(AH927-MAX(0,AD891-IF($A928&gt;='1-Input'!$C$12,'1-Input'!$B$12,0))+AE928*(1-'P-Parametri'!$B$6*AD928))*(1+'1-Input'!$B$27))</f>
        <v>0</v>
      </c>
      <c r="AG928" s="18">
        <f>IF($A928&gt;'1-Input'!$B$26,AI927,(AI927-AE928)*(1+'5-Roberta'!$C$4))</f>
        <v>89975.157370796645</v>
      </c>
      <c r="AH928" s="18">
        <f>IF($A928&gt;'1-Input'!$B$26,AF928,AF928-'P-Parametri'!$B$8*(AG928+AF928)+MIN(MAX(AG928,0),'P-Parametri'!$B$8*(AG928+AF928)))</f>
        <v>0</v>
      </c>
      <c r="AI928" s="18">
        <f>IF($A928&gt;'1-Input'!$B$26,AG928,AG928-MIN(MAX(AG928,0),'P-Parametri'!$B$8*(AG928+AF928)))</f>
        <v>89795.207056055049</v>
      </c>
      <c r="AJ928" s="18">
        <f>IF($A928&gt;'1-Input'!$B$26,AJ927,AJ927-AE928*(1-AD928))</f>
        <v>34227.986062595388</v>
      </c>
      <c r="AK928" s="11">
        <f>IF($A928&gt;'1-Input'!$B$26,0,IF(AP927&lt;=0,0,MAX(0,(AP927-AQ927)/AP927)))</f>
        <v>0.60817155896505315</v>
      </c>
      <c r="AL928" s="18">
        <f>IF($A928&gt;'1-Input'!$B$26,0,(MAX(0,AK891-IF($A928&gt;='1-Input'!$C$12,'1-Input'!$B$12,0))-MIN(MAX(AO927,0),MAX(0,AK891-IF($A928&gt;='1-Input'!$C$12,'1-Input'!$B$12,0))))*(1/(1-'P-Parametri'!$B$6*AK928))+MIN(MAX(0,AP927-(MAX(0,AK891-IF($A928&gt;='1-Input'!$C$12,'1-Input'!$B$12,0))-MIN(MAX(AO927,0),MAX(0,AK891-IF($A928&gt;='1-Input'!$C$12,'1-Input'!$B$12,0))))*(1/(1-'P-Parametri'!$B$6*AK928))),MAX(0,0*AK891-(AO927-MIN(MAX(AO927,0),MAX(0,AK891-IF($A928&gt;='1-Input'!$C$12,'1-Input'!$B$12,0)))))*(1/(1-'P-Parametri'!$B$6*AK928))))</f>
        <v>9966.4704468536002</v>
      </c>
      <c r="AM928" s="18">
        <f>IF($A928&gt;'1-Input'!$B$26,AO927,(AO927-MAX(0,AK891-IF($A928&gt;='1-Input'!$C$12,'1-Input'!$B$12,0))+AL928*(1-'P-Parametri'!$B$6*AK928))*(1+'1-Input'!$B$27))</f>
        <v>0</v>
      </c>
      <c r="AN928" s="18">
        <f>IF($A928&gt;'1-Input'!$B$26,AP927,(AP927-AL928)*(1+'5-Roberta'!$C$4))</f>
        <v>89943.211946600757</v>
      </c>
      <c r="AO928" s="18">
        <f>IF($A928&gt;'1-Input'!$B$26,AM928,AM928-'P-Parametri'!$B$8*(AN928+AM928)+MIN(MAX(AN928,0),'P-Parametri'!$B$8*(AN928+AM928)))</f>
        <v>0</v>
      </c>
      <c r="AP928" s="18">
        <f>IF($A928&gt;'1-Input'!$B$26,AN928,AN928-MIN(MAX(AN928,0),'P-Parametri'!$B$8*(AN928+AM928)))</f>
        <v>89763.325522707557</v>
      </c>
      <c r="AQ928" s="18">
        <f>IF($A928&gt;'1-Input'!$B$26,AQ927,AQ927-AL928*(1-AK928))</f>
        <v>34215.833513312995</v>
      </c>
    </row>
    <row r="929" spans="1:43">
      <c r="A929" s="10">
        <f>36</f>
        <v>36</v>
      </c>
      <c r="B929" s="11">
        <f>IF($A929&gt;'1-Input'!$B$26,0,IF(G928&lt;=0,0,MAX(0,(G928-H928)/G928)))</f>
        <v>0.618821681192534</v>
      </c>
      <c r="C929" s="18">
        <f>IF($A929&gt;'1-Input'!$B$26,0,(MAX(0,B891-IF($A929&gt;='1-Input'!$C$12,'1-Input'!$B$12,0))-MIN(MAX(F928,0),MAX(0,B891-IF($A929&gt;='1-Input'!$C$12,'1-Input'!$B$12,0))))*(1/(1-'P-Parametri'!$B$6*B929))+MIN(MAX(0,G928-(MAX(0,B891-IF($A929&gt;='1-Input'!$C$12,'1-Input'!$B$12,0))-MIN(MAX(F928,0),MAX(0,B891-IF($A929&gt;='1-Input'!$C$12,'1-Input'!$B$12,0))))*(1/(1-'P-Parametri'!$B$6*B929))),MAX(0,0*B891-(F928-MIN(MAX(F928,0),MAX(0,B891-IF($A929&gt;='1-Input'!$C$12,'1-Input'!$B$12,0)))))*(1/(1-'P-Parametri'!$B$6*B929))))</f>
        <v>6648.8058741577725</v>
      </c>
      <c r="D929" s="18">
        <f>IF($A929&gt;'1-Input'!$B$26,F928,(F928-MAX(0,B891-IF($A929&gt;='1-Input'!$C$12,'1-Input'!$B$12,0))+C929*(1-'P-Parametri'!$B$6*B929))*(1+'1-Input'!$B$27))</f>
        <v>9.0622052084654565E-13</v>
      </c>
      <c r="E929" s="18">
        <f>IF($A929&gt;'1-Input'!$B$26,G928,(G928-C929)*(1+'5-Roberta'!$C$4))</f>
        <v>273687.37615826767</v>
      </c>
      <c r="F929" s="18">
        <f>IF($A929&gt;'1-Input'!$B$26,D929,D929-'P-Parametri'!$B$8*(E929+D929)+MIN(MAX(E929,0),'P-Parametri'!$B$8*(E929+D929)))</f>
        <v>9.0949470177292824E-13</v>
      </c>
      <c r="G929" s="18">
        <f>IF($A929&gt;'1-Input'!$B$26,E929,E929-MIN(MAX(E929,0),'P-Parametri'!$B$8*(E929+D929)))</f>
        <v>273140.00140595116</v>
      </c>
      <c r="H929" s="18">
        <f>IF($A929&gt;'1-Input'!$B$26,H928,H928-C929*(1-B929))</f>
        <v>101285.13973090779</v>
      </c>
      <c r="I929" s="11">
        <f>IF($A929&gt;'1-Input'!$B$26,0,IF(N928&lt;=0,0,MAX(0,(N928-O928)/N928)))</f>
        <v>0</v>
      </c>
      <c r="J929" s="18">
        <f>IF($A929&gt;'1-Input'!$B$26,0,(MAX(0,I891-IF($A929&gt;='1-Input'!$C$12,'1-Input'!$B$12,0))-MIN(MAX(M928,0),MAX(0,I891-IF($A929&gt;='1-Input'!$C$12,'1-Input'!$B$12,0))))*(1/(1-'P-Parametri'!$B$6*I929))+MIN(MAX(0,N928-(MAX(0,I891-IF($A929&gt;='1-Input'!$C$12,'1-Input'!$B$12,0))-MIN(MAX(M928,0),MAX(0,I891-IF($A929&gt;='1-Input'!$C$12,'1-Input'!$B$12,0))))*(1/(1-'P-Parametri'!$B$6*I929))),MAX(0,0*I891-(M928-MIN(MAX(M928,0),MAX(0,I891-IF($A929&gt;='1-Input'!$C$12,'1-Input'!$B$12,0)))))*(1/(1-'P-Parametri'!$B$6*I929))))</f>
        <v>10846.756992928691</v>
      </c>
      <c r="K929" s="18">
        <f>IF($A929&gt;'1-Input'!$B$26,M928,(M928-MAX(0,I891-IF($A929&gt;='1-Input'!$C$12,'1-Input'!$B$12,0))+J929*(1-'P-Parametri'!$B$6*I929))*(1+'1-Input'!$B$27))</f>
        <v>0</v>
      </c>
      <c r="L929" s="18">
        <f>IF($A929&gt;'1-Input'!$B$26,N928,(N928-J929)*(1+'5-Roberta'!$C$4))</f>
        <v>-72136.02324804067</v>
      </c>
      <c r="M929" s="18">
        <f>IF($A929&gt;'1-Input'!$B$26,K929,K929-'P-Parametri'!$B$8*(L929+K929)+MIN(MAX(L929,0),'P-Parametri'!$B$8*(L929+K929)))</f>
        <v>0</v>
      </c>
      <c r="N929" s="18">
        <f>IF($A929&gt;'1-Input'!$B$26,L929,L929-MIN(MAX(L929,0),'P-Parametri'!$B$8*(L929+K929)))</f>
        <v>-71991.751201544583</v>
      </c>
      <c r="O929" s="18">
        <f>IF($A929&gt;'1-Input'!$B$26,O928,O928-J929*(1-I929))</f>
        <v>-65170.354671376845</v>
      </c>
      <c r="P929" s="11">
        <f>IF($A929&gt;'1-Input'!$B$26,0,IF(U928&lt;=0,0,MAX(0,(U928-V928)/U928)))</f>
        <v>0.61882168119253445</v>
      </c>
      <c r="Q929" s="18">
        <f>IF($A929&gt;'1-Input'!$B$26,0,(MAX(0,P891-IF($A929&gt;='1-Input'!$C$12,'1-Input'!$B$12,0))-MIN(MAX(T928,0),MAX(0,P891-IF($A929&gt;='1-Input'!$C$12,'1-Input'!$B$12,0))))*(1/(1-'P-Parametri'!$B$6*P929))+MIN(MAX(0,U928-(MAX(0,P891-IF($A929&gt;='1-Input'!$C$12,'1-Input'!$B$12,0))-MIN(MAX(T928,0),MAX(0,P891-IF($A929&gt;='1-Input'!$C$12,'1-Input'!$B$12,0))))*(1/(1-'P-Parametri'!$B$6*P929))),MAX(0,0*P891-(T928-MIN(MAX(T928,0),MAX(0,P891-IF($A929&gt;='1-Input'!$C$12,'1-Input'!$B$12,0)))))*(1/(1-'P-Parametri'!$B$6*P929))))</f>
        <v>10277.066261085367</v>
      </c>
      <c r="R929" s="18">
        <f>IF($A929&gt;'1-Input'!$B$26,T928,(T928-MAX(0,P891-IF($A929&gt;='1-Input'!$C$12,'1-Input'!$B$12,0))+Q929*(1-'P-Parametri'!$B$6*P929))*(1+'1-Input'!$B$27))</f>
        <v>0</v>
      </c>
      <c r="S929" s="18">
        <f>IF($A929&gt;'1-Input'!$B$26,U928,(U928-Q929)*(1+'5-Roberta'!$C$4))</f>
        <v>66282.106141657161</v>
      </c>
      <c r="T929" s="18">
        <f>IF($A929&gt;'1-Input'!$B$26,R929,R929-'P-Parametri'!$B$8*(S929+R929)+MIN(MAX(S929,0),'P-Parametri'!$B$8*(S929+R929)))</f>
        <v>0</v>
      </c>
      <c r="U929" s="18">
        <f>IF($A929&gt;'1-Input'!$B$26,S929,S929-MIN(MAX(S929,0),'P-Parametri'!$B$8*(S929+R929)))</f>
        <v>66149.541929373852</v>
      </c>
      <c r="V929" s="18">
        <f>IF($A929&gt;'1-Input'!$B$26,V928,V928-Q929*(1-P929))</f>
        <v>24529.419209800843</v>
      </c>
      <c r="W929" s="11">
        <f>IF($A929&gt;'1-Input'!$B$26,0,IF(AB928&lt;=0,0,MAX(0,(AB928-AC928)/AB928)))</f>
        <v>0.61882168119253411</v>
      </c>
      <c r="X929" s="18">
        <f>IF($A929&gt;'1-Input'!$B$26,0,(MAX(0,W891-IF($A929&gt;='1-Input'!$C$12,'1-Input'!$B$12,0))-MIN(MAX(AA928,0),MAX(0,W891-IF($A929&gt;='1-Input'!$C$12,'1-Input'!$B$12,0))))*(1/(1-'P-Parametri'!$B$6*W929))+MIN(MAX(0,AB928-(MAX(0,W891-IF($A929&gt;='1-Input'!$C$12,'1-Input'!$B$12,0))-MIN(MAX(AA928,0),MAX(0,W891-IF($A929&gt;='1-Input'!$C$12,'1-Input'!$B$12,0))))*(1/(1-'P-Parametri'!$B$6*W929))),MAX(0,0*W891-(AA928-MIN(MAX(AA928,0),MAX(0,W891-IF($A929&gt;='1-Input'!$C$12,'1-Input'!$B$12,0)))))*(1/(1-'P-Parametri'!$B$6*W929))))</f>
        <v>10002.146491198902</v>
      </c>
      <c r="Y929" s="18">
        <f>IF($A929&gt;'1-Input'!$B$26,AA928,(AA928-MAX(0,W891-IF($A929&gt;='1-Input'!$C$12,'1-Input'!$B$12,0))+X929*(1-'P-Parametri'!$B$6*W929))*(1+'1-Input'!$B$27))</f>
        <v>0</v>
      </c>
      <c r="Z929" s="18">
        <f>IF($A929&gt;'1-Input'!$B$26,AB928,(AB928-X929)*(1+'5-Roberta'!$C$4))</f>
        <v>81997.573893542998</v>
      </c>
      <c r="AA929" s="18">
        <f>IF($A929&gt;'1-Input'!$B$26,Y929,Y929-'P-Parametri'!$B$8*(Z929+Y929)+MIN(MAX(Z929,0),'P-Parametri'!$B$8*(Z929+Y929)))</f>
        <v>0</v>
      </c>
      <c r="AB929" s="18">
        <f>IF($A929&gt;'1-Input'!$B$26,Z929,Z929-MIN(MAX(Z929,0),'P-Parametri'!$B$8*(Z929+Y929)))</f>
        <v>81833.578745755905</v>
      </c>
      <c r="AC929" s="18">
        <f>IF($A929&gt;'1-Input'!$B$26,AC928,AC928-X929*(1-W929))</f>
        <v>30345.337245661816</v>
      </c>
      <c r="AD929" s="11">
        <f>IF($A929&gt;'1-Input'!$B$26,0,IF(AI928&lt;=0,0,MAX(0,(AI928-AJ928)/AI928)))</f>
        <v>0.61882168119253378</v>
      </c>
      <c r="AE929" s="18">
        <f>IF($A929&gt;'1-Input'!$B$26,0,(MAX(0,AD891-IF($A929&gt;='1-Input'!$C$12,'1-Input'!$B$12,0))-MIN(MAX(AH928,0),MAX(0,AD891-IF($A929&gt;='1-Input'!$C$12,'1-Input'!$B$12,0))))*(1/(1-'P-Parametri'!$B$6*AD929))+MIN(MAX(0,AI928-(MAX(0,AD891-IF($A929&gt;='1-Input'!$C$12,'1-Input'!$B$12,0))-MIN(MAX(AH928,0),MAX(0,AD891-IF($A929&gt;='1-Input'!$C$12,'1-Input'!$B$12,0))))*(1/(1-'P-Parametri'!$B$6*AD929))),MAX(0,0*AD891-(AH928-MIN(MAX(AH928,0),MAX(0,AD891-IF($A929&gt;='1-Input'!$C$12,'1-Input'!$B$12,0)))))*(1/(1-'P-Parametri'!$B$6*AD929))))</f>
        <v>9998.7745766349472</v>
      </c>
      <c r="AF929" s="18">
        <f>IF($A929&gt;'1-Input'!$B$26,AH928,(AH928-MAX(0,AD891-IF($A929&gt;='1-Input'!$C$12,'1-Input'!$B$12,0))+AE929*(1-'P-Parametri'!$B$6*AD929))*(1+'1-Input'!$B$27))</f>
        <v>0</v>
      </c>
      <c r="AG929" s="18">
        <f>IF($A929&gt;'1-Input'!$B$26,AI928,(AI928-AE929)*(1+'5-Roberta'!$C$4))</f>
        <v>82190.325453802696</v>
      </c>
      <c r="AH929" s="18">
        <f>IF($A929&gt;'1-Input'!$B$26,AF929,AF929-'P-Parametri'!$B$8*(AG929+AF929)+MIN(MAX(AG929,0),'P-Parametri'!$B$8*(AG929+AF929)))</f>
        <v>0</v>
      </c>
      <c r="AI929" s="18">
        <f>IF($A929&gt;'1-Input'!$B$26,AG929,AG929-MIN(MAX(AG929,0),'P-Parametri'!$B$8*(AG929+AF929)))</f>
        <v>82025.944802895086</v>
      </c>
      <c r="AJ929" s="18">
        <f>IF($A929&gt;'1-Input'!$B$26,AJ928,AJ928-AE929*(1-AD929))</f>
        <v>30416.669979338843</v>
      </c>
      <c r="AK929" s="11">
        <f>IF($A929&gt;'1-Input'!$B$26,0,IF(AP928&lt;=0,0,MAX(0,(AP928-AQ928)/AP928)))</f>
        <v>0.61882168119253378</v>
      </c>
      <c r="AL929" s="18">
        <f>IF($A929&gt;'1-Input'!$B$26,0,(MAX(0,AK891-IF($A929&gt;='1-Input'!$C$12,'1-Input'!$B$12,0))-MIN(MAX(AO928,0),MAX(0,AK891-IF($A929&gt;='1-Input'!$C$12,'1-Input'!$B$12,0))))*(1/(1-'P-Parametri'!$B$6*AK929))+MIN(MAX(0,AP928-(MAX(0,AK891-IF($A929&gt;='1-Input'!$C$12,'1-Input'!$B$12,0))-MIN(MAX(AO928,0),MAX(0,AK891-IF($A929&gt;='1-Input'!$C$12,'1-Input'!$B$12,0))))*(1/(1-'P-Parametri'!$B$6*AK929))),MAX(0,0*AK891-(AO928-MIN(MAX(AO928,0),MAX(0,AK891-IF($A929&gt;='1-Input'!$C$12,'1-Input'!$B$12,0)))))*(1/(1-'P-Parametri'!$B$6*AK929))))</f>
        <v>9999.3595710621194</v>
      </c>
      <c r="AM929" s="18">
        <f>IF($A929&gt;'1-Input'!$B$26,AO928,(AO928-MAX(0,AK891-IF($A929&gt;='1-Input'!$C$12,'1-Input'!$B$12,0))+AL929*(1-'P-Parametri'!$B$6*AK929))*(1+'1-Input'!$B$27))</f>
        <v>0</v>
      </c>
      <c r="AN929" s="18">
        <f>IF($A929&gt;'1-Input'!$B$26,AP928,(AP928-AL929)*(1+'5-Roberta'!$C$4))</f>
        <v>82156.884930194807</v>
      </c>
      <c r="AO929" s="18">
        <f>IF($A929&gt;'1-Input'!$B$26,AM929,AM929-'P-Parametri'!$B$8*(AN929+AM929)+MIN(MAX(AN929,0),'P-Parametri'!$B$8*(AN929+AM929)))</f>
        <v>0</v>
      </c>
      <c r="AP929" s="18">
        <f>IF($A929&gt;'1-Input'!$B$26,AN929,AN929-MIN(MAX(AN929,0),'P-Parametri'!$B$8*(AN929+AM929)))</f>
        <v>81992.57116033441</v>
      </c>
      <c r="AQ929" s="18">
        <f>IF($A929&gt;'1-Input'!$B$26,AQ928,AQ928-AL929*(1-AK929))</f>
        <v>30404.294442864189</v>
      </c>
    </row>
    <row r="930" spans="1:43">
      <c r="A930" s="10">
        <f>37</f>
        <v>37</v>
      </c>
      <c r="B930" s="11">
        <f>IF($A930&gt;'1-Input'!$B$26,0,IF(G929&lt;=0,0,MAX(0,(G929-H929)/G929)))</f>
        <v>0.6291823269768021</v>
      </c>
      <c r="C930" s="18">
        <f>IF($A930&gt;'1-Input'!$B$26,0,(MAX(0,B891-IF($A930&gt;='1-Input'!$C$12,'1-Input'!$B$12,0))-MIN(MAX(F929,0),MAX(0,B891-IF($A930&gt;='1-Input'!$C$12,'1-Input'!$B$12,0))))*(1/(1-'P-Parametri'!$B$6*B930))+MIN(MAX(0,G929-(MAX(0,B891-IF($A930&gt;='1-Input'!$C$12,'1-Input'!$B$12,0))-MIN(MAX(F929,0),MAX(0,B891-IF($A930&gt;='1-Input'!$C$12,'1-Input'!$B$12,0))))*(1/(1-'P-Parametri'!$B$6*B930))),MAX(0,0*B891-(F929-MIN(MAX(F929,0),MAX(0,B891-IF($A930&gt;='1-Input'!$C$12,'1-Input'!$B$12,0)))))*(1/(1-'P-Parametri'!$B$6*B930))))</f>
        <v>6670.2191574709304</v>
      </c>
      <c r="D930" s="18">
        <f>IF($A930&gt;'1-Input'!$B$26,F929,(F929-MAX(0,B891-IF($A930&gt;='1-Input'!$C$12,'1-Input'!$B$12,0))+C930*(1-'P-Parametri'!$B$6*B930))*(1+'1-Input'!$B$27))</f>
        <v>0</v>
      </c>
      <c r="E930" s="18">
        <f>IF($A930&gt;'1-Input'!$B$26,G929,(G929-C930)*(1+'5-Roberta'!$C$4))</f>
        <v>274463.87571593467</v>
      </c>
      <c r="F930" s="18">
        <f>IF($A930&gt;'1-Input'!$B$26,D930,D930-'P-Parametri'!$B$8*(E930+D930)+MIN(MAX(E930,0),'P-Parametri'!$B$8*(E930+D930)))</f>
        <v>0</v>
      </c>
      <c r="G930" s="18">
        <f>IF($A930&gt;'1-Input'!$B$26,E930,E930-MIN(MAX(E930,0),'P-Parametri'!$B$8*(E930+D930)))</f>
        <v>273914.94796450279</v>
      </c>
      <c r="H930" s="18">
        <f>IF($A930&gt;'1-Input'!$B$26,H929,H929-C930*(1-B930))</f>
        <v>98811.704584379666</v>
      </c>
      <c r="I930" s="11">
        <f>IF($A930&gt;'1-Input'!$B$26,0,IF(N929&lt;=0,0,MAX(0,(N929-O929)/N929)))</f>
        <v>0</v>
      </c>
      <c r="J930" s="18">
        <f>IF($A930&gt;'1-Input'!$B$26,0,(MAX(0,I891-IF($A930&gt;='1-Input'!$C$12,'1-Input'!$B$12,0))-MIN(MAX(M929,0),MAX(0,I891-IF($A930&gt;='1-Input'!$C$12,'1-Input'!$B$12,0))))*(1/(1-'P-Parametri'!$B$6*I930))+MIN(MAX(0,N929-(MAX(0,I891-IF($A930&gt;='1-Input'!$C$12,'1-Input'!$B$12,0))-MIN(MAX(M929,0),MAX(0,I891-IF($A930&gt;='1-Input'!$C$12,'1-Input'!$B$12,0))))*(1/(1-'P-Parametri'!$B$6*I930))),MAX(0,0*I891-(M929-MIN(MAX(M929,0),MAX(0,I891-IF($A930&gt;='1-Input'!$C$12,'1-Input'!$B$12,0)))))*(1/(1-'P-Parametri'!$B$6*I930))))</f>
        <v>10846.756992928691</v>
      </c>
      <c r="K930" s="18">
        <f>IF($A930&gt;'1-Input'!$B$26,M929,(M929-MAX(0,I891-IF($A930&gt;='1-Input'!$C$12,'1-Input'!$B$12,0))+J930*(1-'P-Parametri'!$B$6*I930))*(1+'1-Input'!$B$27))</f>
        <v>0</v>
      </c>
      <c r="L930" s="18">
        <f>IF($A930&gt;'1-Input'!$B$26,N929,(N929-J930)*(1+'5-Roberta'!$C$4))</f>
        <v>-85323.663440307486</v>
      </c>
      <c r="M930" s="18">
        <f>IF($A930&gt;'1-Input'!$B$26,K930,K930-'P-Parametri'!$B$8*(L930+K930)+MIN(MAX(L930,0),'P-Parametri'!$B$8*(L930+K930)))</f>
        <v>0</v>
      </c>
      <c r="N930" s="18">
        <f>IF($A930&gt;'1-Input'!$B$26,L930,L930-MIN(MAX(L930,0),'P-Parametri'!$B$8*(L930+K930)))</f>
        <v>-85153.016113426871</v>
      </c>
      <c r="O930" s="18">
        <f>IF($A930&gt;'1-Input'!$B$26,O929,O929-J930*(1-I930))</f>
        <v>-76017.111664305528</v>
      </c>
      <c r="P930" s="11">
        <f>IF($A930&gt;'1-Input'!$B$26,0,IF(U929&lt;=0,0,MAX(0,(U929-V929)/U929)))</f>
        <v>0.62918232697680254</v>
      </c>
      <c r="Q930" s="18">
        <f>IF($A930&gt;'1-Input'!$B$26,0,(MAX(0,P891-IF($A930&gt;='1-Input'!$C$12,'1-Input'!$B$12,0))-MIN(MAX(T929,0),MAX(0,P891-IF($A930&gt;='1-Input'!$C$12,'1-Input'!$B$12,0))))*(1/(1-'P-Parametri'!$B$6*P930))+MIN(MAX(0,U929-(MAX(0,P891-IF($A930&gt;='1-Input'!$C$12,'1-Input'!$B$12,0))-MIN(MAX(T929,0),MAX(0,P891-IF($A930&gt;='1-Input'!$C$12,'1-Input'!$B$12,0))))*(1/(1-'P-Parametri'!$B$6*P930))),MAX(0,0*P891-(T929-MIN(MAX(T929,0),MAX(0,P891-IF($A930&gt;='1-Input'!$C$12,'1-Input'!$B$12,0)))))*(1/(1-'P-Parametri'!$B$6*P930))))</f>
        <v>10310.164795715787</v>
      </c>
      <c r="R930" s="18">
        <f>IF($A930&gt;'1-Input'!$B$26,T929,(T929-MAX(0,P891-IF($A930&gt;='1-Input'!$C$12,'1-Input'!$B$12,0))+Q930*(1-'P-Parametri'!$B$6*P930))*(1+'1-Input'!$B$27))</f>
        <v>0</v>
      </c>
      <c r="S930" s="18">
        <f>IF($A930&gt;'1-Input'!$B$26,U929,(U929-Q930)*(1+'5-Roberta'!$C$4))</f>
        <v>57514.558447667812</v>
      </c>
      <c r="T930" s="18">
        <f>IF($A930&gt;'1-Input'!$B$26,R930,R930-'P-Parametri'!$B$8*(S930+R930)+MIN(MAX(S930,0),'P-Parametri'!$B$8*(S930+R930)))</f>
        <v>0</v>
      </c>
      <c r="U930" s="18">
        <f>IF($A930&gt;'1-Input'!$B$26,S930,S930-MIN(MAX(S930,0),'P-Parametri'!$B$8*(S930+R930)))</f>
        <v>57399.529330772479</v>
      </c>
      <c r="V930" s="18">
        <f>IF($A930&gt;'1-Input'!$B$26,V929,V929-Q930*(1-P930))</f>
        <v>20706.227891767823</v>
      </c>
      <c r="W930" s="11">
        <f>IF($A930&gt;'1-Input'!$B$26,0,IF(AB929&lt;=0,0,MAX(0,(AB929-AC929)/AB929)))</f>
        <v>0.62918232697680232</v>
      </c>
      <c r="X930" s="18">
        <f>IF($A930&gt;'1-Input'!$B$26,0,(MAX(0,W891-IF($A930&gt;='1-Input'!$C$12,'1-Input'!$B$12,0))-MIN(MAX(AA929,0),MAX(0,W891-IF($A930&gt;='1-Input'!$C$12,'1-Input'!$B$12,0))))*(1/(1-'P-Parametri'!$B$6*W930))+MIN(MAX(0,AB929-(MAX(0,W891-IF($A930&gt;='1-Input'!$C$12,'1-Input'!$B$12,0))-MIN(MAX(AA929,0),MAX(0,W891-IF($A930&gt;='1-Input'!$C$12,'1-Input'!$B$12,0))))*(1/(1-'P-Parametri'!$B$6*W930))),MAX(0,0*W891-(AA929-MIN(MAX(AA929,0),MAX(0,W891-IF($A930&gt;='1-Input'!$C$12,'1-Input'!$B$12,0)))))*(1/(1-'P-Parametri'!$B$6*W930))))</f>
        <v>10034.359613466202</v>
      </c>
      <c r="Y930" s="18">
        <f>IF($A930&gt;'1-Input'!$B$26,AA929,(AA929-MAX(0,W891-IF($A930&gt;='1-Input'!$C$12,'1-Input'!$B$12,0))+X930*(1-'P-Parametri'!$B$6*W930))*(1+'1-Input'!$B$27))</f>
        <v>0</v>
      </c>
      <c r="Z930" s="18">
        <f>IF($A930&gt;'1-Input'!$B$26,AB929,(AB929-X930)*(1+'5-Roberta'!$C$4))</f>
        <v>73953.195706258397</v>
      </c>
      <c r="AA930" s="18">
        <f>IF($A930&gt;'1-Input'!$B$26,Y930,Y930-'P-Parametri'!$B$8*(Z930+Y930)+MIN(MAX(Z930,0),'P-Parametri'!$B$8*(Z930+Y930)))</f>
        <v>0</v>
      </c>
      <c r="AB930" s="18">
        <f>IF($A930&gt;'1-Input'!$B$26,Z930,Z930-MIN(MAX(Z930,0),'P-Parametri'!$B$8*(Z930+Y930)))</f>
        <v>73805.289314845882</v>
      </c>
      <c r="AC930" s="18">
        <f>IF($A930&gt;'1-Input'!$B$26,AC929,AC929-X930*(1-W930))</f>
        <v>26624.419363518326</v>
      </c>
      <c r="AD930" s="11">
        <f>IF($A930&gt;'1-Input'!$B$26,0,IF(AI929&lt;=0,0,MAX(0,(AI929-AJ929)/AI929)))</f>
        <v>0.62918232697680199</v>
      </c>
      <c r="AE930" s="18">
        <f>IF($A930&gt;'1-Input'!$B$26,0,(MAX(0,AD891-IF($A930&gt;='1-Input'!$C$12,'1-Input'!$B$12,0))-MIN(MAX(AH929,0),MAX(0,AD891-IF($A930&gt;='1-Input'!$C$12,'1-Input'!$B$12,0))))*(1/(1-'P-Parametri'!$B$6*AD930))+MIN(MAX(0,AI929-(MAX(0,AD891-IF($A930&gt;='1-Input'!$C$12,'1-Input'!$B$12,0))-MIN(MAX(AH929,0),MAX(0,AD891-IF($A930&gt;='1-Input'!$C$12,'1-Input'!$B$12,0))))*(1/(1-'P-Parametri'!$B$6*AD930))),MAX(0,0*AD891-(AH929-MIN(MAX(AH929,0),MAX(0,AD891-IF($A930&gt;='1-Input'!$C$12,'1-Input'!$B$12,0)))))*(1/(1-'P-Parametri'!$B$6*AD930))))</f>
        <v>10030.976839243651</v>
      </c>
      <c r="AF930" s="18">
        <f>IF($A930&gt;'1-Input'!$B$26,AH929,(AH929-MAX(0,AD891-IF($A930&gt;='1-Input'!$C$12,'1-Input'!$B$12,0))+AE930*(1-'P-Parametri'!$B$6*AD930))*(1+'1-Input'!$B$27))</f>
        <v>0</v>
      </c>
      <c r="AG930" s="18">
        <f>IF($A930&gt;'1-Input'!$B$26,AI929,(AI929-AE930)*(1+'5-Roberta'!$C$4))</f>
        <v>74154.817002560972</v>
      </c>
      <c r="AH930" s="18">
        <f>IF($A930&gt;'1-Input'!$B$26,AF930,AF930-'P-Parametri'!$B$8*(AG930+AF930)+MIN(MAX(AG930,0),'P-Parametri'!$B$8*(AG930+AF930)))</f>
        <v>0</v>
      </c>
      <c r="AI930" s="18">
        <f>IF($A930&gt;'1-Input'!$B$26,AG930,AG930-MIN(MAX(AG930,0),'P-Parametri'!$B$8*(AG930+AF930)))</f>
        <v>74006.507368555845</v>
      </c>
      <c r="AJ930" s="18">
        <f>IF($A930&gt;'1-Input'!$B$26,AJ929,AJ929-AE930*(1-AD930))</f>
        <v>26697.006489660918</v>
      </c>
      <c r="AK930" s="11">
        <f>IF($A930&gt;'1-Input'!$B$26,0,IF(AP929&lt;=0,0,MAX(0,(AP929-AQ929)/AP929)))</f>
        <v>0.62918232697680188</v>
      </c>
      <c r="AL930" s="18">
        <f>IF($A930&gt;'1-Input'!$B$26,0,(MAX(0,AK891-IF($A930&gt;='1-Input'!$C$12,'1-Input'!$B$12,0))-MIN(MAX(AO929,0),MAX(0,AK891-IF($A930&gt;='1-Input'!$C$12,'1-Input'!$B$12,0))))*(1/(1-'P-Parametri'!$B$6*AK930))+MIN(MAX(0,AP929-(MAX(0,AK891-IF($A930&gt;='1-Input'!$C$12,'1-Input'!$B$12,0))-MIN(MAX(AO929,0),MAX(0,AK891-IF($A930&gt;='1-Input'!$C$12,'1-Input'!$B$12,0))))*(1/(1-'P-Parametri'!$B$6*AK930))),MAX(0,0*AK891-(AO929-MIN(MAX(AO929,0),MAX(0,AK891-IF($A930&gt;='1-Input'!$C$12,'1-Input'!$B$12,0)))))*(1/(1-'P-Parametri'!$B$6*AK930))))</f>
        <v>10031.563717716115</v>
      </c>
      <c r="AM930" s="18">
        <f>IF($A930&gt;'1-Input'!$B$26,AO929,(AO929-MAX(0,AK891-IF($A930&gt;='1-Input'!$C$12,'1-Input'!$B$12,0))+AL930*(1-'P-Parametri'!$B$6*AK930))*(1+'1-Input'!$B$27))</f>
        <v>0</v>
      </c>
      <c r="AN930" s="18">
        <f>IF($A930&gt;'1-Input'!$B$26,AP929,(AP929-AL930)*(1+'5-Roberta'!$C$4))</f>
        <v>74119.837665896848</v>
      </c>
      <c r="AO930" s="18">
        <f>IF($A930&gt;'1-Input'!$B$26,AM930,AM930-'P-Parametri'!$B$8*(AN930+AM930)+MIN(MAX(AN930,0),'P-Parametri'!$B$8*(AN930+AM930)))</f>
        <v>0</v>
      </c>
      <c r="AP930" s="18">
        <f>IF($A930&gt;'1-Input'!$B$26,AN930,AN930-MIN(MAX(AN930,0),'P-Parametri'!$B$8*(AN930+AM930)))</f>
        <v>73971.59799056506</v>
      </c>
      <c r="AQ930" s="18">
        <f>IF($A930&gt;'1-Input'!$B$26,AQ929,AQ929-AL930*(1-AK930))</f>
        <v>26684.413328276758</v>
      </c>
    </row>
    <row r="931" spans="1:43">
      <c r="A931" s="10">
        <f>38</f>
        <v>38</v>
      </c>
      <c r="B931" s="11">
        <f>IF($A931&gt;'1-Input'!$B$26,0,IF(G930&lt;=0,0,MAX(0,(G930-H930)/G930)))</f>
        <v>0.63926136445395854</v>
      </c>
      <c r="C931" s="18">
        <f>IF($A931&gt;'1-Input'!$B$26,0,(MAX(0,B891-IF($A931&gt;='1-Input'!$C$12,'1-Input'!$B$12,0))-MIN(MAX(F930,0),MAX(0,B891-IF($A931&gt;='1-Input'!$C$12,'1-Input'!$B$12,0))))*(1/(1-'P-Parametri'!$B$6*B931))+MIN(MAX(0,G930-(MAX(0,B891-IF($A931&gt;='1-Input'!$C$12,'1-Input'!$B$12,0))-MIN(MAX(F930,0),MAX(0,B891-IF($A931&gt;='1-Input'!$C$12,'1-Input'!$B$12,0))))*(1/(1-'P-Parametri'!$B$6*B931))),MAX(0,0*B891-(F930-MIN(MAX(F930,0),MAX(0,B891-IF($A931&gt;='1-Input'!$C$12,'1-Input'!$B$12,0)))))*(1/(1-'P-Parametri'!$B$6*B931))))</f>
        <v>6691.183187058029</v>
      </c>
      <c r="D931" s="18">
        <f>IF($A931&gt;'1-Input'!$B$26,F930,(F930-MAX(0,B891-IF($A931&gt;='1-Input'!$C$12,'1-Input'!$B$12,0))+C931*(1-'P-Parametri'!$B$6*B931))*(1+'1-Input'!$B$27))</f>
        <v>0</v>
      </c>
      <c r="E931" s="18">
        <f>IF($A931&gt;'1-Input'!$B$26,G930,(G930-C931)*(1+'5-Roberta'!$C$4))</f>
        <v>275240.47772076813</v>
      </c>
      <c r="F931" s="18">
        <f>IF($A931&gt;'1-Input'!$B$26,D931,D931-'P-Parametri'!$B$8*(E931+D931)+MIN(MAX(E931,0),'P-Parametri'!$B$8*(E931+D931)))</f>
        <v>0</v>
      </c>
      <c r="G931" s="18">
        <f>IF($A931&gt;'1-Input'!$B$26,E931,E931-MIN(MAX(E931,0),'P-Parametri'!$B$8*(E931+D931)))</f>
        <v>274689.99676532659</v>
      </c>
      <c r="H931" s="18">
        <f>IF($A931&gt;'1-Input'!$B$26,H930,H930-C931*(1-B931))</f>
        <v>96397.936291291742</v>
      </c>
      <c r="I931" s="11">
        <f>IF($A931&gt;'1-Input'!$B$26,0,IF(N930&lt;=0,0,MAX(0,(N930-O930)/N930)))</f>
        <v>0</v>
      </c>
      <c r="J931" s="18">
        <f>IF($A931&gt;'1-Input'!$B$26,0,(MAX(0,I891-IF($A931&gt;='1-Input'!$C$12,'1-Input'!$B$12,0))-MIN(MAX(M930,0),MAX(0,I891-IF($A931&gt;='1-Input'!$C$12,'1-Input'!$B$12,0))))*(1/(1-'P-Parametri'!$B$6*I931))+MIN(MAX(0,N930-(MAX(0,I891-IF($A931&gt;='1-Input'!$C$12,'1-Input'!$B$12,0))-MIN(MAX(M930,0),MAX(0,I891-IF($A931&gt;='1-Input'!$C$12,'1-Input'!$B$12,0))))*(1/(1-'P-Parametri'!$B$6*I931))),MAX(0,0*I891-(M930-MIN(MAX(M930,0),MAX(0,I891-IF($A931&gt;='1-Input'!$C$12,'1-Input'!$B$12,0)))))*(1/(1-'P-Parametri'!$B$6*I931))))</f>
        <v>10846.756992928691</v>
      </c>
      <c r="K931" s="18">
        <f>IF($A931&gt;'1-Input'!$B$26,M930,(M930-MAX(0,I891-IF($A931&gt;='1-Input'!$C$12,'1-Input'!$B$12,0))+J931*(1-'P-Parametri'!$B$6*I931))*(1+'1-Input'!$B$27))</f>
        <v>0</v>
      </c>
      <c r="L931" s="18">
        <f>IF($A931&gt;'1-Input'!$B$26,N930,(N930-J931)*(1+'5-Roberta'!$C$4))</f>
        <v>-98879.766299546245</v>
      </c>
      <c r="M931" s="18">
        <f>IF($A931&gt;'1-Input'!$B$26,K931,K931-'P-Parametri'!$B$8*(L931+K931)+MIN(MAX(L931,0),'P-Parametri'!$B$8*(L931+K931)))</f>
        <v>0</v>
      </c>
      <c r="N931" s="18">
        <f>IF($A931&gt;'1-Input'!$B$26,L931,L931-MIN(MAX(L931,0),'P-Parametri'!$B$8*(L931+K931)))</f>
        <v>-98682.006766947146</v>
      </c>
      <c r="O931" s="18">
        <f>IF($A931&gt;'1-Input'!$B$26,O930,O930-J931*(1-I931))</f>
        <v>-86863.868657234212</v>
      </c>
      <c r="P931" s="11">
        <f>IF($A931&gt;'1-Input'!$B$26,0,IF(U930&lt;=0,0,MAX(0,(U930-V930)/U930)))</f>
        <v>0.63926136445395909</v>
      </c>
      <c r="Q931" s="18">
        <f>IF($A931&gt;'1-Input'!$B$26,0,(MAX(0,P891-IF($A931&gt;='1-Input'!$C$12,'1-Input'!$B$12,0))-MIN(MAX(T930,0),MAX(0,P891-IF($A931&gt;='1-Input'!$C$12,'1-Input'!$B$12,0))))*(1/(1-'P-Parametri'!$B$6*P931))+MIN(MAX(0,U930-(MAX(0,P891-IF($A931&gt;='1-Input'!$C$12,'1-Input'!$B$12,0))-MIN(MAX(T930,0),MAX(0,P891-IF($A931&gt;='1-Input'!$C$12,'1-Input'!$B$12,0))))*(1/(1-'P-Parametri'!$B$6*P931))),MAX(0,0*P891-(T930-MIN(MAX(T930,0),MAX(0,P891-IF($A931&gt;='1-Input'!$C$12,'1-Input'!$B$12,0)))))*(1/(1-'P-Parametri'!$B$6*P931))))</f>
        <v>10342.568918387402</v>
      </c>
      <c r="R931" s="18">
        <f>IF($A931&gt;'1-Input'!$B$26,T930,(T930-MAX(0,P891-IF($A931&gt;='1-Input'!$C$12,'1-Input'!$B$12,0))+Q931*(1-'P-Parametri'!$B$6*P931))*(1+'1-Input'!$B$27))</f>
        <v>0</v>
      </c>
      <c r="S931" s="18">
        <f>IF($A931&gt;'1-Input'!$B$26,U930,(U930-Q931)*(1+'5-Roberta'!$C$4))</f>
        <v>48468.669224756624</v>
      </c>
      <c r="T931" s="18">
        <f>IF($A931&gt;'1-Input'!$B$26,R931,R931-'P-Parametri'!$B$8*(S931+R931)+MIN(MAX(S931,0),'P-Parametri'!$B$8*(S931+R931)))</f>
        <v>0</v>
      </c>
      <c r="U931" s="18">
        <f>IF($A931&gt;'1-Input'!$B$26,S931,S931-MIN(MAX(S931,0),'P-Parametri'!$B$8*(S931+R931)))</f>
        <v>48371.731886307112</v>
      </c>
      <c r="V931" s="18">
        <f>IF($A931&gt;'1-Input'!$B$26,V930,V930-Q931*(1-P931))</f>
        <v>16975.263692107859</v>
      </c>
      <c r="W931" s="11">
        <f>IF($A931&gt;'1-Input'!$B$26,0,IF(AB930&lt;=0,0,MAX(0,(AB930-AC930)/AB930)))</f>
        <v>0.63926136445395865</v>
      </c>
      <c r="X931" s="18">
        <f>IF($A931&gt;'1-Input'!$B$26,0,(MAX(0,W891-IF($A931&gt;='1-Input'!$C$12,'1-Input'!$B$12,0))-MIN(MAX(AA930,0),MAX(0,W891-IF($A931&gt;='1-Input'!$C$12,'1-Input'!$B$12,0))))*(1/(1-'P-Parametri'!$B$6*W931))+MIN(MAX(0,AB930-(MAX(0,W891-IF($A931&gt;='1-Input'!$C$12,'1-Input'!$B$12,0))-MIN(MAX(AA930,0),MAX(0,W891-IF($A931&gt;='1-Input'!$C$12,'1-Input'!$B$12,0))))*(1/(1-'P-Parametri'!$B$6*W931))),MAX(0,0*W891-(AA930-MIN(MAX(AA930,0),MAX(0,W891-IF($A931&gt;='1-Input'!$C$12,'1-Input'!$B$12,0)))))*(1/(1-'P-Parametri'!$B$6*W931))))</f>
        <v>10065.896899851863</v>
      </c>
      <c r="Y931" s="18">
        <f>IF($A931&gt;'1-Input'!$B$26,AA930,(AA930-MAX(0,W891-IF($A931&gt;='1-Input'!$C$12,'1-Input'!$B$12,0))+X931*(1-'P-Parametri'!$B$6*W931))*(1+'1-Input'!$B$27))</f>
        <v>0</v>
      </c>
      <c r="Z931" s="18">
        <f>IF($A931&gt;'1-Input'!$B$26,AB930,(AB930-X931)*(1+'5-Roberta'!$C$4))</f>
        <v>65651.574187443839</v>
      </c>
      <c r="AA931" s="18">
        <f>IF($A931&gt;'1-Input'!$B$26,Y931,Y931-'P-Parametri'!$B$8*(Z931+Y931)+MIN(MAX(Z931,0),'P-Parametri'!$B$8*(Z931+Y931)))</f>
        <v>0</v>
      </c>
      <c r="AB931" s="18">
        <f>IF($A931&gt;'1-Input'!$B$26,Z931,Z931-MIN(MAX(Z931,0),'P-Parametri'!$B$8*(Z931+Y931)))</f>
        <v>65520.271039068954</v>
      </c>
      <c r="AC931" s="18">
        <f>IF($A931&gt;'1-Input'!$B$26,AC930,AC930-X931*(1-W931))</f>
        <v>22993.261450318638</v>
      </c>
      <c r="AD931" s="11">
        <f>IF($A931&gt;'1-Input'!$B$26,0,IF(AI930&lt;=0,0,MAX(0,(AI930-AJ930)/AI930)))</f>
        <v>0.63926136445395831</v>
      </c>
      <c r="AE931" s="18">
        <f>IF($A931&gt;'1-Input'!$B$26,0,(MAX(0,AD891-IF($A931&gt;='1-Input'!$C$12,'1-Input'!$B$12,0))-MIN(MAX(AH930,0),MAX(0,AD891-IF($A931&gt;='1-Input'!$C$12,'1-Input'!$B$12,0))))*(1/(1-'P-Parametri'!$B$6*AD931))+MIN(MAX(0,AI930-(MAX(0,AD891-IF($A931&gt;='1-Input'!$C$12,'1-Input'!$B$12,0))-MIN(MAX(AH930,0),MAX(0,AD891-IF($A931&gt;='1-Input'!$C$12,'1-Input'!$B$12,0))))*(1/(1-'P-Parametri'!$B$6*AD931))),MAX(0,0*AD891-(AH930-MIN(MAX(AH930,0),MAX(0,AD891-IF($A931&gt;='1-Input'!$C$12,'1-Input'!$B$12,0)))))*(1/(1-'P-Parametri'!$B$6*AD931))))</f>
        <v>10062.503493807895</v>
      </c>
      <c r="AF931" s="18">
        <f>IF($A931&gt;'1-Input'!$B$26,AH930,(AH930-MAX(0,AD891-IF($A931&gt;='1-Input'!$C$12,'1-Input'!$B$12,0))+AE931*(1-'P-Parametri'!$B$6*AD931))*(1+'1-Input'!$B$27))</f>
        <v>0</v>
      </c>
      <c r="AG931" s="18">
        <f>IF($A931&gt;'1-Input'!$B$26,AI930,(AI930-AE931)*(1+'5-Roberta'!$C$4))</f>
        <v>65862.323990990393</v>
      </c>
      <c r="AH931" s="18">
        <f>IF($A931&gt;'1-Input'!$B$26,AF931,AF931-'P-Parametri'!$B$8*(AG931+AF931)+MIN(MAX(AG931,0),'P-Parametri'!$B$8*(AG931+AF931)))</f>
        <v>0</v>
      </c>
      <c r="AI931" s="18">
        <f>IF($A931&gt;'1-Input'!$B$26,AG931,AG931-MIN(MAX(AG931,0),'P-Parametri'!$B$8*(AG931+AF931)))</f>
        <v>65730.599343008405</v>
      </c>
      <c r="AJ931" s="18">
        <f>IF($A931&gt;'1-Input'!$B$26,AJ930,AJ930-AE931*(1-AD931))</f>
        <v>23067.07270912738</v>
      </c>
      <c r="AK931" s="11">
        <f>IF($A931&gt;'1-Input'!$B$26,0,IF(AP930&lt;=0,0,MAX(0,(AP930-AQ930)/AP930)))</f>
        <v>0.63926136445395831</v>
      </c>
      <c r="AL931" s="18">
        <f>IF($A931&gt;'1-Input'!$B$26,0,(MAX(0,AK891-IF($A931&gt;='1-Input'!$C$12,'1-Input'!$B$12,0))-MIN(MAX(AO930,0),MAX(0,AK891-IF($A931&gt;='1-Input'!$C$12,'1-Input'!$B$12,0))))*(1/(1-'P-Parametri'!$B$6*AK931))+MIN(MAX(0,AP930-(MAX(0,AK891-IF($A931&gt;='1-Input'!$C$12,'1-Input'!$B$12,0))-MIN(MAX(AO930,0),MAX(0,AK891-IF($A931&gt;='1-Input'!$C$12,'1-Input'!$B$12,0))))*(1/(1-'P-Parametri'!$B$6*AK931))),MAX(0,0*AK891-(AO930-MIN(MAX(AO930,0),MAX(0,AK891-IF($A931&gt;='1-Input'!$C$12,'1-Input'!$B$12,0)))))*(1/(1-'P-Parametri'!$B$6*AK931))))</f>
        <v>10063.092216798113</v>
      </c>
      <c r="AM931" s="18">
        <f>IF($A931&gt;'1-Input'!$B$26,AO930,(AO930-MAX(0,AK891-IF($A931&gt;='1-Input'!$C$12,'1-Input'!$B$12,0))+AL931*(1-'P-Parametri'!$B$6*AK931))*(1+'1-Input'!$B$27))</f>
        <v>-1.8124410416930913E-12</v>
      </c>
      <c r="AN931" s="18">
        <f>IF($A931&gt;'1-Input'!$B$26,AP930,(AP930-AL931)*(1+'5-Roberta'!$C$4))</f>
        <v>65825.760946979965</v>
      </c>
      <c r="AO931" s="18">
        <f>IF($A931&gt;'1-Input'!$B$26,AM931,AM931-'P-Parametri'!$B$8*(AN931+AM931)+MIN(MAX(AN931,0),'P-Parametri'!$B$8*(AN931+AM931)))</f>
        <v>-1.8189894035458565E-12</v>
      </c>
      <c r="AP931" s="18">
        <f>IF($A931&gt;'1-Input'!$B$26,AN931,AN931-MIN(MAX(AN931,0),'P-Parametri'!$B$8*(AN931+AM931)))</f>
        <v>65694.109425086004</v>
      </c>
      <c r="AQ931" s="18">
        <f>IF($A931&gt;'1-Input'!$B$26,AQ930,AQ930-AL931*(1-AK931))</f>
        <v>23054.267172615015</v>
      </c>
    </row>
    <row r="932" spans="1:43">
      <c r="A932" s="10">
        <f>39</f>
        <v>39</v>
      </c>
      <c r="B932" s="11">
        <f>IF($A932&gt;'1-Input'!$B$26,0,IF(G931&lt;=0,0,MAX(0,(G931-H931)/G931)))</f>
        <v>0.64906644789964263</v>
      </c>
      <c r="C932" s="18">
        <f>IF($A932&gt;'1-Input'!$B$26,0,(MAX(0,B891-IF($A932&gt;='1-Input'!$C$12,'1-Input'!$B$12,0))-MIN(MAX(F931,0),MAX(0,B891-IF($A932&gt;='1-Input'!$C$12,'1-Input'!$B$12,0))))*(1/(1-'P-Parametri'!$B$6*B932))+MIN(MAX(0,G931-(MAX(0,B891-IF($A932&gt;='1-Input'!$C$12,'1-Input'!$B$12,0))-MIN(MAX(F931,0),MAX(0,B891-IF($A932&gt;='1-Input'!$C$12,'1-Input'!$B$12,0))))*(1/(1-'P-Parametri'!$B$6*B932))),MAX(0,0*B891-(F931-MIN(MAX(F931,0),MAX(0,B891-IF($A932&gt;='1-Input'!$C$12,'1-Input'!$B$12,0)))))*(1/(1-'P-Parametri'!$B$6*B932))))</f>
        <v>6711.7042430464553</v>
      </c>
      <c r="D932" s="18">
        <f>IF($A932&gt;'1-Input'!$B$26,F931,(F931-MAX(0,B891-IF($A932&gt;='1-Input'!$C$12,'1-Input'!$B$12,0))+C932*(1-'P-Parametri'!$B$6*B932))*(1+'1-Input'!$B$27))</f>
        <v>9.0622052084654565E-13</v>
      </c>
      <c r="E932" s="18">
        <f>IF($A932&gt;'1-Input'!$B$26,G931,(G931-C932)*(1+'5-Roberta'!$C$4))</f>
        <v>276017.64129794855</v>
      </c>
      <c r="F932" s="18">
        <f>IF($A932&gt;'1-Input'!$B$26,D932,D932-'P-Parametri'!$B$8*(E932+D932)+MIN(MAX(E932,0),'P-Parametri'!$B$8*(E932+D932)))</f>
        <v>9.0949470177292824E-13</v>
      </c>
      <c r="G932" s="18">
        <f>IF($A932&gt;'1-Input'!$B$26,E932,E932-MIN(MAX(E932,0),'P-Parametri'!$B$8*(E932+D932)))</f>
        <v>275465.60601535265</v>
      </c>
      <c r="H932" s="18">
        <f>IF($A932&gt;'1-Input'!$B$26,H931,H931-C932*(1-B932))</f>
        <v>94042.574080632403</v>
      </c>
      <c r="I932" s="11">
        <f>IF($A932&gt;'1-Input'!$B$26,0,IF(N931&lt;=0,0,MAX(0,(N931-O931)/N931)))</f>
        <v>0</v>
      </c>
      <c r="J932" s="18">
        <f>IF($A932&gt;'1-Input'!$B$26,0,(MAX(0,I891-IF($A932&gt;='1-Input'!$C$12,'1-Input'!$B$12,0))-MIN(MAX(M931,0),MAX(0,I891-IF($A932&gt;='1-Input'!$C$12,'1-Input'!$B$12,0))))*(1/(1-'P-Parametri'!$B$6*I932))+MIN(MAX(0,N931-(MAX(0,I891-IF($A932&gt;='1-Input'!$C$12,'1-Input'!$B$12,0))-MIN(MAX(M931,0),MAX(0,I891-IF($A932&gt;='1-Input'!$C$12,'1-Input'!$B$12,0))))*(1/(1-'P-Parametri'!$B$6*I932))),MAX(0,0*I891-(M931-MIN(MAX(M931,0),MAX(0,I891-IF($A932&gt;='1-Input'!$C$12,'1-Input'!$B$12,0)))))*(1/(1-'P-Parametri'!$B$6*I932))))</f>
        <v>10846.756992928691</v>
      </c>
      <c r="K932" s="18">
        <f>IF($A932&gt;'1-Input'!$B$26,M931,(M931-MAX(0,I891-IF($A932&gt;='1-Input'!$C$12,'1-Input'!$B$12,0))+J932*(1-'P-Parametri'!$B$6*I932))*(1+'1-Input'!$B$27))</f>
        <v>0</v>
      </c>
      <c r="L932" s="18">
        <f>IF($A932&gt;'1-Input'!$B$26,N931,(N931-J932)*(1+'5-Roberta'!$C$4))</f>
        <v>-112814.62667267212</v>
      </c>
      <c r="M932" s="18">
        <f>IF($A932&gt;'1-Input'!$B$26,K932,K932-'P-Parametri'!$B$8*(L932+K932)+MIN(MAX(L932,0),'P-Parametri'!$B$8*(L932+K932)))</f>
        <v>0</v>
      </c>
      <c r="N932" s="18">
        <f>IF($A932&gt;'1-Input'!$B$26,L932,L932-MIN(MAX(L932,0),'P-Parametri'!$B$8*(L932+K932)))</f>
        <v>-112588.99741932678</v>
      </c>
      <c r="O932" s="18">
        <f>IF($A932&gt;'1-Input'!$B$26,O931,O931-J932*(1-I932))</f>
        <v>-97710.625650162896</v>
      </c>
      <c r="P932" s="11">
        <f>IF($A932&gt;'1-Input'!$B$26,0,IF(U931&lt;=0,0,MAX(0,(U931-V931)/U931)))</f>
        <v>0.64906644789964296</v>
      </c>
      <c r="Q932" s="18">
        <f>IF($A932&gt;'1-Input'!$B$26,0,(MAX(0,P891-IF($A932&gt;='1-Input'!$C$12,'1-Input'!$B$12,0))-MIN(MAX(T931,0),MAX(0,P891-IF($A932&gt;='1-Input'!$C$12,'1-Input'!$B$12,0))))*(1/(1-'P-Parametri'!$B$6*P932))+MIN(MAX(0,U931-(MAX(0,P891-IF($A932&gt;='1-Input'!$C$12,'1-Input'!$B$12,0))-MIN(MAX(T931,0),MAX(0,P891-IF($A932&gt;='1-Input'!$C$12,'1-Input'!$B$12,0))))*(1/(1-'P-Parametri'!$B$6*P932))),MAX(0,0*P891-(T931-MIN(MAX(T931,0),MAX(0,P891-IF($A932&gt;='1-Input'!$C$12,'1-Input'!$B$12,0)))))*(1/(1-'P-Parametri'!$B$6*P932))))</f>
        <v>10374.288336299749</v>
      </c>
      <c r="R932" s="18">
        <f>IF($A932&gt;'1-Input'!$B$26,T931,(T931-MAX(0,P891-IF($A932&gt;='1-Input'!$C$12,'1-Input'!$B$12,0))+Q932*(1-'P-Parametri'!$B$6*P932))*(1+'1-Input'!$B$27))</f>
        <v>0</v>
      </c>
      <c r="S932" s="18">
        <f>IF($A932&gt;'1-Input'!$B$26,U931,(U931-Q932)*(1+'5-Roberta'!$C$4))</f>
        <v>39137.366856507579</v>
      </c>
      <c r="T932" s="18">
        <f>IF($A932&gt;'1-Input'!$B$26,R932,R932-'P-Parametri'!$B$8*(S932+R932)+MIN(MAX(S932,0),'P-Parametri'!$B$8*(S932+R932)))</f>
        <v>0</v>
      </c>
      <c r="U932" s="18">
        <f>IF($A932&gt;'1-Input'!$B$26,S932,S932-MIN(MAX(S932,0),'P-Parametri'!$B$8*(S932+R932)))</f>
        <v>39059.092122794566</v>
      </c>
      <c r="V932" s="18">
        <f>IF($A932&gt;'1-Input'!$B$26,V931,V931-Q932*(1-P932))</f>
        <v>13334.577835736885</v>
      </c>
      <c r="W932" s="11">
        <f>IF($A932&gt;'1-Input'!$B$26,0,IF(AB931&lt;=0,0,MAX(0,(AB931-AC931)/AB931)))</f>
        <v>0.64906644789964263</v>
      </c>
      <c r="X932" s="18">
        <f>IF($A932&gt;'1-Input'!$B$26,0,(MAX(0,W891-IF($A932&gt;='1-Input'!$C$12,'1-Input'!$B$12,0))-MIN(MAX(AA931,0),MAX(0,W891-IF($A932&gt;='1-Input'!$C$12,'1-Input'!$B$12,0))))*(1/(1-'P-Parametri'!$B$6*W932))+MIN(MAX(0,AB931-(MAX(0,W891-IF($A932&gt;='1-Input'!$C$12,'1-Input'!$B$12,0))-MIN(MAX(AA931,0),MAX(0,W891-IF($A932&gt;='1-Input'!$C$12,'1-Input'!$B$12,0))))*(1/(1-'P-Parametri'!$B$6*W932))),MAX(0,0*W891-(AA931-MIN(MAX(AA931,0),MAX(0,W891-IF($A932&gt;='1-Input'!$C$12,'1-Input'!$B$12,0)))))*(1/(1-'P-Parametri'!$B$6*W932))))</f>
        <v>10096.767797880048</v>
      </c>
      <c r="Y932" s="18">
        <f>IF($A932&gt;'1-Input'!$B$26,AA931,(AA931-MAX(0,W891-IF($A932&gt;='1-Input'!$C$12,'1-Input'!$B$12,0))+X932*(1-'P-Parametri'!$B$6*W932))*(1+'1-Input'!$B$27))</f>
        <v>0</v>
      </c>
      <c r="Z932" s="18">
        <f>IF($A932&gt;'1-Input'!$B$26,AB931,(AB931-X932)*(1+'5-Roberta'!$C$4))</f>
        <v>57086.208338424571</v>
      </c>
      <c r="AA932" s="18">
        <f>IF($A932&gt;'1-Input'!$B$26,Y932,Y932-'P-Parametri'!$B$8*(Z932+Y932)+MIN(MAX(Z932,0),'P-Parametri'!$B$8*(Z932+Y932)))</f>
        <v>0</v>
      </c>
      <c r="AB932" s="18">
        <f>IF($A932&gt;'1-Input'!$B$26,Z932,Z932-MIN(MAX(Z932,0),'P-Parametri'!$B$8*(Z932+Y932)))</f>
        <v>56972.035921747723</v>
      </c>
      <c r="AC932" s="18">
        <f>IF($A932&gt;'1-Input'!$B$26,AC931,AC931-X932*(1-W932))</f>
        <v>19449.966862276091</v>
      </c>
      <c r="AD932" s="11">
        <f>IF($A932&gt;'1-Input'!$B$26,0,IF(AI931&lt;=0,0,MAX(0,(AI931-AJ931)/AI931)))</f>
        <v>0.6490664478996423</v>
      </c>
      <c r="AE932" s="18">
        <f>IF($A932&gt;'1-Input'!$B$26,0,(MAX(0,AD891-IF($A932&gt;='1-Input'!$C$12,'1-Input'!$B$12,0))-MIN(MAX(AH931,0),MAX(0,AD891-IF($A932&gt;='1-Input'!$C$12,'1-Input'!$B$12,0))))*(1/(1-'P-Parametri'!$B$6*AD932))+MIN(MAX(0,AI931-(MAX(0,AD891-IF($A932&gt;='1-Input'!$C$12,'1-Input'!$B$12,0))-MIN(MAX(AH931,0),MAX(0,AD891-IF($A932&gt;='1-Input'!$C$12,'1-Input'!$B$12,0))))*(1/(1-'P-Parametri'!$B$6*AD932))),MAX(0,0*AD891-(AH931-MIN(MAX(AH931,0),MAX(0,AD891-IF($A932&gt;='1-Input'!$C$12,'1-Input'!$B$12,0)))))*(1/(1-'P-Parametri'!$B$6*AD932))))</f>
        <v>10093.363984666903</v>
      </c>
      <c r="AF932" s="18">
        <f>IF($A932&gt;'1-Input'!$B$26,AH931,(AH931-MAX(0,AD891-IF($A932&gt;='1-Input'!$C$12,'1-Input'!$B$12,0))+AE932*(1-'P-Parametri'!$B$6*AD932))*(1+'1-Input'!$B$27))</f>
        <v>-1.8124410416930913E-12</v>
      </c>
      <c r="AG932" s="18">
        <f>IF($A932&gt;'1-Input'!$B$26,AI931,(AI931-AE932)*(1+'5-Roberta'!$C$4))</f>
        <v>57306.352419091752</v>
      </c>
      <c r="AH932" s="18">
        <f>IF($A932&gt;'1-Input'!$B$26,AF932,AF932-'P-Parametri'!$B$8*(AG932+AF932)+MIN(MAX(AG932,0),'P-Parametri'!$B$8*(AG932+AF932)))</f>
        <v>-1.8189894035458565E-12</v>
      </c>
      <c r="AI932" s="18">
        <f>IF($A932&gt;'1-Input'!$B$26,AG932,AG932-MIN(MAX(AG932,0),'P-Parametri'!$B$8*(AG932+AF932)))</f>
        <v>57191.73971425357</v>
      </c>
      <c r="AJ932" s="18">
        <f>IF($A932&gt;'1-Input'!$B$26,AJ931,AJ931-AE932*(1-AD932))</f>
        <v>19524.972633346402</v>
      </c>
      <c r="AK932" s="11">
        <f>IF($A932&gt;'1-Input'!$B$26,0,IF(AP931&lt;=0,0,MAX(0,(AP931-AQ931)/AP931)))</f>
        <v>0.64906644789964241</v>
      </c>
      <c r="AL932" s="18">
        <f>IF($A932&gt;'1-Input'!$B$26,0,(MAX(0,AK891-IF($A932&gt;='1-Input'!$C$12,'1-Input'!$B$12,0))-MIN(MAX(AO931,0),MAX(0,AK891-IF($A932&gt;='1-Input'!$C$12,'1-Input'!$B$12,0))))*(1/(1-'P-Parametri'!$B$6*AK932))+MIN(MAX(0,AP931-(MAX(0,AK891-IF($A932&gt;='1-Input'!$C$12,'1-Input'!$B$12,0))-MIN(MAX(AO931,0),MAX(0,AK891-IF($A932&gt;='1-Input'!$C$12,'1-Input'!$B$12,0))))*(1/(1-'P-Parametri'!$B$6*AK932))),MAX(0,0*AK891-(AO931-MIN(MAX(AO931,0),MAX(0,AK891-IF($A932&gt;='1-Input'!$C$12,'1-Input'!$B$12,0)))))*(1/(1-'P-Parametri'!$B$6*AK932))))</f>
        <v>10093.954513199897</v>
      </c>
      <c r="AM932" s="18">
        <f>IF($A932&gt;'1-Input'!$B$26,AO931,(AO931-MAX(0,AK891-IF($A932&gt;='1-Input'!$C$12,'1-Input'!$B$12,0))+AL932*(1-'P-Parametri'!$B$6*AK932))*(1+'1-Input'!$B$27))</f>
        <v>-1.8124410416930913E-12</v>
      </c>
      <c r="AN932" s="18">
        <f>IF($A932&gt;'1-Input'!$B$26,AP931,(AP931-AL932)*(1+'5-Roberta'!$C$4))</f>
        <v>57268.159559242689</v>
      </c>
      <c r="AO932" s="18">
        <f>IF($A932&gt;'1-Input'!$B$26,AM932,AM932-'P-Parametri'!$B$8*(AN932+AM932)+MIN(MAX(AN932,0),'P-Parametri'!$B$8*(AN932+AM932)))</f>
        <v>-1.8189894035458565E-12</v>
      </c>
      <c r="AP932" s="18">
        <f>IF($A932&gt;'1-Input'!$B$26,AN932,AN932-MIN(MAX(AN932,0),'P-Parametri'!$B$8*(AN932+AM932)))</f>
        <v>57153.623240124201</v>
      </c>
      <c r="AQ932" s="18">
        <f>IF($A932&gt;'1-Input'!$B$26,AQ931,AQ931-AL932*(1-AK932))</f>
        <v>19511.959860558338</v>
      </c>
    </row>
    <row r="933" spans="1:43">
      <c r="A933" s="10">
        <f>40</f>
        <v>40</v>
      </c>
      <c r="B933" s="11">
        <f>IF($A933&gt;'1-Input'!$B$26,0,IF(G932&lt;=0,0,MAX(0,(G932-H932)/G932)))</f>
        <v>0.65860502354188244</v>
      </c>
      <c r="C933" s="18">
        <f>IF($A933&gt;'1-Input'!$B$26,0,(MAX(0,B891-IF($A933&gt;='1-Input'!$C$12,'1-Input'!$B$12,0))-MIN(MAX(F932,0),MAX(0,B891-IF($A933&gt;='1-Input'!$C$12,'1-Input'!$B$12,0))))*(1/(1-'P-Parametri'!$B$6*B933))+MIN(MAX(0,G932-(MAX(0,B891-IF($A933&gt;='1-Input'!$C$12,'1-Input'!$B$12,0))-MIN(MAX(F932,0),MAX(0,B891-IF($A933&gt;='1-Input'!$C$12,'1-Input'!$B$12,0))))*(1/(1-'P-Parametri'!$B$6*B933))),MAX(0,0*B891-(F932-MIN(MAX(F932,0),MAX(0,B891-IF($A933&gt;='1-Input'!$C$12,'1-Input'!$B$12,0)))))*(1/(1-'P-Parametri'!$B$6*B933))))</f>
        <v>6731.7886722343264</v>
      </c>
      <c r="D933" s="18">
        <f>IF($A933&gt;'1-Input'!$B$26,F932,(F932-MAX(0,B891-IF($A933&gt;='1-Input'!$C$12,'1-Input'!$B$12,0))+C933*(1-'P-Parametri'!$B$6*B933))*(1+'1-Input'!$B$27))</f>
        <v>0</v>
      </c>
      <c r="E933" s="18">
        <f>IF($A933&gt;'1-Input'!$B$26,G932,(G932-C933)*(1+'5-Roberta'!$C$4))</f>
        <v>276795.83186341188</v>
      </c>
      <c r="F933" s="18">
        <f>IF($A933&gt;'1-Input'!$B$26,D933,D933-'P-Parametri'!$B$8*(E933+D933)+MIN(MAX(E933,0),'P-Parametri'!$B$8*(E933+D933)))</f>
        <v>0</v>
      </c>
      <c r="G933" s="18">
        <f>IF($A933&gt;'1-Input'!$B$26,E933,E933-MIN(MAX(E933,0),'P-Parametri'!$B$8*(E933+D933)))</f>
        <v>276242.24019968504</v>
      </c>
      <c r="H933" s="18">
        <f>IF($A933&gt;'1-Input'!$B$26,H932,H932-C933*(1-B933))</f>
        <v>91744.375245353949</v>
      </c>
      <c r="I933" s="11">
        <f>IF($A933&gt;'1-Input'!$B$26,0,IF(N932&lt;=0,0,MAX(0,(N932-O932)/N932)))</f>
        <v>0</v>
      </c>
      <c r="J933" s="18">
        <f>IF($A933&gt;'1-Input'!$B$26,0,(MAX(0,I891-IF($A933&gt;='1-Input'!$C$12,'1-Input'!$B$12,0))-MIN(MAX(M932,0),MAX(0,I891-IF($A933&gt;='1-Input'!$C$12,'1-Input'!$B$12,0))))*(1/(1-'P-Parametri'!$B$6*I933))+MIN(MAX(0,N932-(MAX(0,I891-IF($A933&gt;='1-Input'!$C$12,'1-Input'!$B$12,0))-MIN(MAX(M932,0),MAX(0,I891-IF($A933&gt;='1-Input'!$C$12,'1-Input'!$B$12,0))))*(1/(1-'P-Parametri'!$B$6*I933))),MAX(0,0*I891-(M932-MIN(MAX(M932,0),MAX(0,I891-IF($A933&gt;='1-Input'!$C$12,'1-Input'!$B$12,0)))))*(1/(1-'P-Parametri'!$B$6*I933))))</f>
        <v>10846.756992928691</v>
      </c>
      <c r="K933" s="18">
        <f>IF($A933&gt;'1-Input'!$B$26,M932,(M932-MAX(0,I891-IF($A933&gt;='1-Input'!$C$12,'1-Input'!$B$12,0))+J933*(1-'P-Parametri'!$B$6*I933))*(1+'1-Input'!$B$27))</f>
        <v>0</v>
      </c>
      <c r="L933" s="18">
        <f>IF($A933&gt;'1-Input'!$B$26,N932,(N932-J933)*(1+'5-Roberta'!$C$4))</f>
        <v>-127138.82704462315</v>
      </c>
      <c r="M933" s="18">
        <f>IF($A933&gt;'1-Input'!$B$26,K933,K933-'P-Parametri'!$B$8*(L933+K933)+MIN(MAX(L933,0),'P-Parametri'!$B$8*(L933+K933)))</f>
        <v>0</v>
      </c>
      <c r="N933" s="18">
        <f>IF($A933&gt;'1-Input'!$B$26,L933,L933-MIN(MAX(L933,0),'P-Parametri'!$B$8*(L933+K933)))</f>
        <v>-126884.5493905339</v>
      </c>
      <c r="O933" s="18">
        <f>IF($A933&gt;'1-Input'!$B$26,O932,O932-J933*(1-I933))</f>
        <v>-108557.38264309158</v>
      </c>
      <c r="P933" s="11">
        <f>IF($A933&gt;'1-Input'!$B$26,0,IF(U932&lt;=0,0,MAX(0,(U932-V932)/U932)))</f>
        <v>0.65860502354188277</v>
      </c>
      <c r="Q933" s="18">
        <f>IF($A933&gt;'1-Input'!$B$26,0,(MAX(0,P891-IF($A933&gt;='1-Input'!$C$12,'1-Input'!$B$12,0))-MIN(MAX(T932,0),MAX(0,P891-IF($A933&gt;='1-Input'!$C$12,'1-Input'!$B$12,0))))*(1/(1-'P-Parametri'!$B$6*P933))+MIN(MAX(0,U932-(MAX(0,P891-IF($A933&gt;='1-Input'!$C$12,'1-Input'!$B$12,0))-MIN(MAX(T932,0),MAX(0,P891-IF($A933&gt;='1-Input'!$C$12,'1-Input'!$B$12,0))))*(1/(1-'P-Parametri'!$B$6*P933))),MAX(0,0*P891-(T932-MIN(MAX(T932,0),MAX(0,P891-IF($A933&gt;='1-Input'!$C$12,'1-Input'!$B$12,0)))))*(1/(1-'P-Parametri'!$B$6*P933))))</f>
        <v>10405.33285970539</v>
      </c>
      <c r="R933" s="18">
        <f>IF($A933&gt;'1-Input'!$B$26,T932,(T932-MAX(0,P891-IF($A933&gt;='1-Input'!$C$12,'1-Input'!$B$12,0))+Q933*(1-'P-Parametri'!$B$6*P933))*(1+'1-Input'!$B$27))</f>
        <v>0</v>
      </c>
      <c r="S933" s="18">
        <f>IF($A933&gt;'1-Input'!$B$26,U932,(U932-Q933)*(1+'5-Roberta'!$C$4))</f>
        <v>29513.372040981849</v>
      </c>
      <c r="T933" s="18">
        <f>IF($A933&gt;'1-Input'!$B$26,R933,R933-'P-Parametri'!$B$8*(S933+R933)+MIN(MAX(S933,0),'P-Parametri'!$B$8*(S933+R933)))</f>
        <v>0</v>
      </c>
      <c r="U933" s="18">
        <f>IF($A933&gt;'1-Input'!$B$26,S933,S933-MIN(MAX(S933,0),'P-Parametri'!$B$8*(S933+R933)))</f>
        <v>29454.345296899886</v>
      </c>
      <c r="V933" s="18">
        <f>IF($A933&gt;'1-Input'!$B$26,V932,V932-Q933*(1-P933))</f>
        <v>9782.2494690588901</v>
      </c>
      <c r="W933" s="11">
        <f>IF($A933&gt;'1-Input'!$B$26,0,IF(AB932&lt;=0,0,MAX(0,(AB932-AC932)/AB932)))</f>
        <v>0.65860502354188244</v>
      </c>
      <c r="X933" s="18">
        <f>IF($A933&gt;'1-Input'!$B$26,0,(MAX(0,W891-IF($A933&gt;='1-Input'!$C$12,'1-Input'!$B$12,0))-MIN(MAX(AA932,0),MAX(0,W891-IF($A933&gt;='1-Input'!$C$12,'1-Input'!$B$12,0))))*(1/(1-'P-Parametri'!$B$6*W933))+MIN(MAX(0,AB932-(MAX(0,W891-IF($A933&gt;='1-Input'!$C$12,'1-Input'!$B$12,0))-MIN(MAX(AA932,0),MAX(0,W891-IF($A933&gt;='1-Input'!$C$12,'1-Input'!$B$12,0))))*(1/(1-'P-Parametri'!$B$6*W933))),MAX(0,0*W891-(AA932-MIN(MAX(AA932,0),MAX(0,W891-IF($A933&gt;='1-Input'!$C$12,'1-Input'!$B$12,0)))))*(1/(1-'P-Parametri'!$B$6*W933))))</f>
        <v>10126.981855371185</v>
      </c>
      <c r="Y933" s="18">
        <f>IF($A933&gt;'1-Input'!$B$26,AA932,(AA932-MAX(0,W891-IF($A933&gt;='1-Input'!$C$12,'1-Input'!$B$12,0))+X933*(1-'P-Parametri'!$B$6*W933))*(1+'1-Input'!$B$27))</f>
        <v>0</v>
      </c>
      <c r="Z933" s="18">
        <f>IF($A933&gt;'1-Input'!$B$26,AB932,(AB932-X933)*(1+'5-Roberta'!$C$4))</f>
        <v>48250.405688367842</v>
      </c>
      <c r="AA933" s="18">
        <f>IF($A933&gt;'1-Input'!$B$26,Y933,Y933-'P-Parametri'!$B$8*(Z933+Y933)+MIN(MAX(Z933,0),'P-Parametri'!$B$8*(Z933+Y933)))</f>
        <v>0</v>
      </c>
      <c r="AB933" s="18">
        <f>IF($A933&gt;'1-Input'!$B$26,Z933,Z933-MIN(MAX(Z933,0),'P-Parametri'!$B$8*(Z933+Y933)))</f>
        <v>48153.90487699111</v>
      </c>
      <c r="AC933" s="18">
        <f>IF($A933&gt;'1-Input'!$B$26,AC932,AC932-X933*(1-W933))</f>
        <v>15992.666130169862</v>
      </c>
      <c r="AD933" s="11">
        <f>IF($A933&gt;'1-Input'!$B$26,0,IF(AI932&lt;=0,0,MAX(0,(AI932-AJ932)/AI932)))</f>
        <v>0.65860502354188222</v>
      </c>
      <c r="AE933" s="18">
        <f>IF($A933&gt;'1-Input'!$B$26,0,(MAX(0,AD891-IF($A933&gt;='1-Input'!$C$12,'1-Input'!$B$12,0))-MIN(MAX(AH932,0),MAX(0,AD891-IF($A933&gt;='1-Input'!$C$12,'1-Input'!$B$12,0))))*(1/(1-'P-Parametri'!$B$6*AD933))+MIN(MAX(0,AI932-(MAX(0,AD891-IF($A933&gt;='1-Input'!$C$12,'1-Input'!$B$12,0))-MIN(MAX(AH932,0),MAX(0,AD891-IF($A933&gt;='1-Input'!$C$12,'1-Input'!$B$12,0))))*(1/(1-'P-Parametri'!$B$6*AD933))),MAX(0,0*AD891-(AH932-MIN(MAX(AH932,0),MAX(0,AD891-IF($A933&gt;='1-Input'!$C$12,'1-Input'!$B$12,0)))))*(1/(1-'P-Parametri'!$B$6*AD933))))</f>
        <v>10123.567856422354</v>
      </c>
      <c r="AF933" s="18">
        <f>IF($A933&gt;'1-Input'!$B$26,AH932,(AH932-MAX(0,AD891-IF($A933&gt;='1-Input'!$C$12,'1-Input'!$B$12,0))+AE933*(1-'P-Parametri'!$B$6*AD933))*(1+'1-Input'!$B$27))</f>
        <v>0</v>
      </c>
      <c r="AG933" s="18">
        <f>IF($A933&gt;'1-Input'!$B$26,AI932,(AI932-AE933)*(1+'5-Roberta'!$C$4))</f>
        <v>48480.217013566151</v>
      </c>
      <c r="AH933" s="18">
        <f>IF($A933&gt;'1-Input'!$B$26,AF933,AF933-'P-Parametri'!$B$8*(AG933+AF933)+MIN(MAX(AG933,0),'P-Parametri'!$B$8*(AG933+AF933)))</f>
        <v>0</v>
      </c>
      <c r="AI933" s="18">
        <f>IF($A933&gt;'1-Input'!$B$26,AG933,AG933-MIN(MAX(AG933,0),'P-Parametri'!$B$8*(AG933+AF933)))</f>
        <v>48383.256579539018</v>
      </c>
      <c r="AJ933" s="18">
        <f>IF($A933&gt;'1-Input'!$B$26,AJ932,AJ932-AE933*(1-AD933))</f>
        <v>16068.837423330935</v>
      </c>
      <c r="AK933" s="11">
        <f>IF($A933&gt;'1-Input'!$B$26,0,IF(AP932&lt;=0,0,MAX(0,(AP932-AQ932)/AP932)))</f>
        <v>0.65860502354188222</v>
      </c>
      <c r="AL933" s="18">
        <f>IF($A933&gt;'1-Input'!$B$26,0,(MAX(0,AK891-IF($A933&gt;='1-Input'!$C$12,'1-Input'!$B$12,0))-MIN(MAX(AO932,0),MAX(0,AK891-IF($A933&gt;='1-Input'!$C$12,'1-Input'!$B$12,0))))*(1/(1-'P-Parametri'!$B$6*AK933))+MIN(MAX(0,AP932-(MAX(0,AK891-IF($A933&gt;='1-Input'!$C$12,'1-Input'!$B$12,0))-MIN(MAX(AO932,0),MAX(0,AK891-IF($A933&gt;='1-Input'!$C$12,'1-Input'!$B$12,0))))*(1/(1-'P-Parametri'!$B$6*AK933))),MAX(0,0*AK891-(AO932-MIN(MAX(AO932,0),MAX(0,AK891-IF($A933&gt;='1-Input'!$C$12,'1-Input'!$B$12,0)))))*(1/(1-'P-Parametri'!$B$6*AK933))))</f>
        <v>10124.16015208156</v>
      </c>
      <c r="AM933" s="18">
        <f>IF($A933&gt;'1-Input'!$B$26,AO932,(AO932-MAX(0,AK891-IF($A933&gt;='1-Input'!$C$12,'1-Input'!$B$12,0))+AL933*(1-'P-Parametri'!$B$6*AK933))*(1+'1-Input'!$B$27))</f>
        <v>0</v>
      </c>
      <c r="AN933" s="18">
        <f>IF($A933&gt;'1-Input'!$B$26,AP932,(AP932-AL933)*(1+'5-Roberta'!$C$4))</f>
        <v>48440.34698068392</v>
      </c>
      <c r="AO933" s="18">
        <f>IF($A933&gt;'1-Input'!$B$26,AM933,AM933-'P-Parametri'!$B$8*(AN933+AM933)+MIN(MAX(AN933,0),'P-Parametri'!$B$8*(AN933+AM933)))</f>
        <v>0</v>
      </c>
      <c r="AP933" s="18">
        <f>IF($A933&gt;'1-Input'!$B$26,AN933,AN933-MIN(MAX(AN933,0),'P-Parametri'!$B$8*(AN933+AM933)))</f>
        <v>48343.466286722549</v>
      </c>
      <c r="AQ933" s="18">
        <f>IF($A933&gt;'1-Input'!$B$26,AQ932,AQ932-AL933*(1-AK933))</f>
        <v>16055.622443780239</v>
      </c>
    </row>
    <row r="934" spans="1:43">
      <c r="A934" s="10">
        <f>41</f>
        <v>41</v>
      </c>
      <c r="B934" s="11">
        <f>IF($A934&gt;'1-Input'!$B$26,0,IF(G933&lt;=0,0,MAX(0,(G933-H933)/G933)))</f>
        <v>0.6678843352159487</v>
      </c>
      <c r="C934" s="18">
        <f>IF($A934&gt;'1-Input'!$B$26,0,(MAX(0,B891-IF($A934&gt;='1-Input'!$C$12,'1-Input'!$B$12,0))-MIN(MAX(F933,0),MAX(0,B891-IF($A934&gt;='1-Input'!$C$12,'1-Input'!$B$12,0))))*(1/(1-'P-Parametri'!$B$6*B934))+MIN(MAX(0,G933-(MAX(0,B891-IF($A934&gt;='1-Input'!$C$12,'1-Input'!$B$12,0))-MIN(MAX(F933,0),MAX(0,B891-IF($A934&gt;='1-Input'!$C$12,'1-Input'!$B$12,0))))*(1/(1-'P-Parametri'!$B$6*B934))),MAX(0,0*B891-(F933-MIN(MAX(F933,0),MAX(0,B891-IF($A934&gt;='1-Input'!$C$12,'1-Input'!$B$12,0)))))*(1/(1-'P-Parametri'!$B$6*B934))))</f>
        <v>6751.4428787132429</v>
      </c>
      <c r="D934" s="18">
        <f>IF($A934&gt;'1-Input'!$B$26,F933,(F933-MAX(0,B891-IF($A934&gt;='1-Input'!$C$12,'1-Input'!$B$12,0))+C934*(1-'P-Parametri'!$B$6*B934))*(1+'1-Input'!$B$27))</f>
        <v>0</v>
      </c>
      <c r="E934" s="18">
        <f>IF($A934&gt;'1-Input'!$B$26,G933,(G933-C934)*(1+'5-Roberta'!$C$4))</f>
        <v>277575.52124060097</v>
      </c>
      <c r="F934" s="18">
        <f>IF($A934&gt;'1-Input'!$B$26,D934,D934-'P-Parametri'!$B$8*(E934+D934)+MIN(MAX(E934,0),'P-Parametri'!$B$8*(E934+D934)))</f>
        <v>0</v>
      </c>
      <c r="G934" s="18">
        <f>IF($A934&gt;'1-Input'!$B$26,E934,E934-MIN(MAX(E934,0),'P-Parametri'!$B$8*(E934+D934)))</f>
        <v>277020.37019811978</v>
      </c>
      <c r="H934" s="18">
        <f>IF($A934&gt;'1-Input'!$B$26,H933,H933-C934*(1-B934))</f>
        <v>89502.11530543855</v>
      </c>
      <c r="I934" s="11">
        <f>IF($A934&gt;'1-Input'!$B$26,0,IF(N933&lt;=0,0,MAX(0,(N933-O933)/N933)))</f>
        <v>0</v>
      </c>
      <c r="J934" s="18">
        <f>IF($A934&gt;'1-Input'!$B$26,0,(MAX(0,I891-IF($A934&gt;='1-Input'!$C$12,'1-Input'!$B$12,0))-MIN(MAX(M933,0),MAX(0,I891-IF($A934&gt;='1-Input'!$C$12,'1-Input'!$B$12,0))))*(1/(1-'P-Parametri'!$B$6*I934))+MIN(MAX(0,N933-(MAX(0,I891-IF($A934&gt;='1-Input'!$C$12,'1-Input'!$B$12,0))-MIN(MAX(M933,0),MAX(0,I891-IF($A934&gt;='1-Input'!$C$12,'1-Input'!$B$12,0))))*(1/(1-'P-Parametri'!$B$6*I934))),MAX(0,0*I891-(M933-MIN(MAX(M933,0),MAX(0,I891-IF($A934&gt;='1-Input'!$C$12,'1-Input'!$B$12,0)))))*(1/(1-'P-Parametri'!$B$6*I934))))</f>
        <v>10846.756992928691</v>
      </c>
      <c r="K934" s="18">
        <f>IF($A934&gt;'1-Input'!$B$26,M933,(M933-MAX(0,I891-IF($A934&gt;='1-Input'!$C$12,'1-Input'!$B$12,0))+J934*(1-'P-Parametri'!$B$6*I934))*(1+'1-Input'!$B$27))</f>
        <v>0</v>
      </c>
      <c r="L934" s="18">
        <f>IF($A934&gt;'1-Input'!$B$26,N933,(N933-J934)*(1+'5-Roberta'!$C$4))</f>
        <v>-141863.24557496648</v>
      </c>
      <c r="M934" s="18">
        <f>IF($A934&gt;'1-Input'!$B$26,K934,K934-'P-Parametri'!$B$8*(L934+K934)+MIN(MAX(L934,0),'P-Parametri'!$B$8*(L934+K934)))</f>
        <v>0</v>
      </c>
      <c r="N934" s="18">
        <f>IF($A934&gt;'1-Input'!$B$26,L934,L934-MIN(MAX(L934,0),'P-Parametri'!$B$8*(L934+K934)))</f>
        <v>-141579.51908381656</v>
      </c>
      <c r="O934" s="18">
        <f>IF($A934&gt;'1-Input'!$B$26,O933,O933-J934*(1-I934))</f>
        <v>-119404.13963602026</v>
      </c>
      <c r="P934" s="11">
        <f>IF($A934&gt;'1-Input'!$B$26,0,IF(U933&lt;=0,0,MAX(0,(U933-V933)/U933)))</f>
        <v>0.66788433521594903</v>
      </c>
      <c r="Q934" s="18">
        <f>IF($A934&gt;'1-Input'!$B$26,0,(MAX(0,P891-IF($A934&gt;='1-Input'!$C$12,'1-Input'!$B$12,0))-MIN(MAX(T933,0),MAX(0,P891-IF($A934&gt;='1-Input'!$C$12,'1-Input'!$B$12,0))))*(1/(1-'P-Parametri'!$B$6*P934))+MIN(MAX(0,U933-(MAX(0,P891-IF($A934&gt;='1-Input'!$C$12,'1-Input'!$B$12,0))-MIN(MAX(T933,0),MAX(0,P891-IF($A934&gt;='1-Input'!$C$12,'1-Input'!$B$12,0))))*(1/(1-'P-Parametri'!$B$6*P934))),MAX(0,0*P891-(T933-MIN(MAX(T933,0),MAX(0,P891-IF($A934&gt;='1-Input'!$C$12,'1-Input'!$B$12,0)))))*(1/(1-'P-Parametri'!$B$6*P934))))</f>
        <v>10435.71238741546</v>
      </c>
      <c r="R934" s="18">
        <f>IF($A934&gt;'1-Input'!$B$26,T933,(T933-MAX(0,P891-IF($A934&gt;='1-Input'!$C$12,'1-Input'!$B$12,0))+Q934*(1-'P-Parametri'!$B$6*P934))*(1+'1-Input'!$B$27))</f>
        <v>1.8124410416930913E-12</v>
      </c>
      <c r="S934" s="18">
        <f>IF($A934&gt;'1-Input'!$B$26,U933,(U933-Q934)*(1+'5-Roberta'!$C$4))</f>
        <v>19589.19189676896</v>
      </c>
      <c r="T934" s="18">
        <f>IF($A934&gt;'1-Input'!$B$26,R934,R934-'P-Parametri'!$B$8*(S934+R934)+MIN(MAX(S934,0),'P-Parametri'!$B$8*(S934+R934)))</f>
        <v>1.8118839761882555E-12</v>
      </c>
      <c r="U934" s="18">
        <f>IF($A934&gt;'1-Input'!$B$26,S934,S934-MIN(MAX(S934,0),'P-Parametri'!$B$8*(S934+R934)))</f>
        <v>19550.013512975424</v>
      </c>
      <c r="V934" s="18">
        <f>IF($A934&gt;'1-Input'!$B$26,V933,V933-Q934*(1-P934))</f>
        <v>6316.3859120172492</v>
      </c>
      <c r="W934" s="11">
        <f>IF($A934&gt;'1-Input'!$B$26,0,IF(AB933&lt;=0,0,MAX(0,(AB933-AC933)/AB933)))</f>
        <v>0.66788433521594892</v>
      </c>
      <c r="X934" s="18">
        <f>IF($A934&gt;'1-Input'!$B$26,0,(MAX(0,W891-IF($A934&gt;='1-Input'!$C$12,'1-Input'!$B$12,0))-MIN(MAX(AA933,0),MAX(0,W891-IF($A934&gt;='1-Input'!$C$12,'1-Input'!$B$12,0))))*(1/(1-'P-Parametri'!$B$6*W934))+MIN(MAX(0,AB933-(MAX(0,W891-IF($A934&gt;='1-Input'!$C$12,'1-Input'!$B$12,0))-MIN(MAX(AA933,0),MAX(0,W891-IF($A934&gt;='1-Input'!$C$12,'1-Input'!$B$12,0))))*(1/(1-'P-Parametri'!$B$6*W934))),MAX(0,0*W891-(AA933-MIN(MAX(AA933,0),MAX(0,W891-IF($A934&gt;='1-Input'!$C$12,'1-Input'!$B$12,0)))))*(1/(1-'P-Parametri'!$B$6*W934))))</f>
        <v>10156.548706335274</v>
      </c>
      <c r="Y934" s="18">
        <f>IF($A934&gt;'1-Input'!$B$26,AA933,(AA933-MAX(0,W891-IF($A934&gt;='1-Input'!$C$12,'1-Input'!$B$12,0))+X934*(1-'P-Parametri'!$B$6*W934))*(1+'1-Input'!$B$27))</f>
        <v>0</v>
      </c>
      <c r="Z934" s="18">
        <f>IF($A934&gt;'1-Input'!$B$26,AB933,(AB933-X934)*(1+'5-Roberta'!$C$4))</f>
        <v>39137.276855775519</v>
      </c>
      <c r="AA934" s="18">
        <f>IF($A934&gt;'1-Input'!$B$26,Y934,Y934-'P-Parametri'!$B$8*(Z934+Y934)+MIN(MAX(Z934,0),'P-Parametri'!$B$8*(Z934+Y934)))</f>
        <v>0</v>
      </c>
      <c r="AB934" s="18">
        <f>IF($A934&gt;'1-Input'!$B$26,Z934,Z934-MIN(MAX(Z934,0),'P-Parametri'!$B$8*(Z934+Y934)))</f>
        <v>39059.002302063971</v>
      </c>
      <c r="AC934" s="18">
        <f>IF($A934&gt;'1-Input'!$B$26,AC933,AC933-X934*(1-W934))</f>
        <v>12619.517204653728</v>
      </c>
      <c r="AD934" s="11">
        <f>IF($A934&gt;'1-Input'!$B$26,0,IF(AI933&lt;=0,0,MAX(0,(AI933-AJ933)/AI933)))</f>
        <v>0.66788433521594848</v>
      </c>
      <c r="AE934" s="18">
        <f>IF($A934&gt;'1-Input'!$B$26,0,(MAX(0,AD891-IF($A934&gt;='1-Input'!$C$12,'1-Input'!$B$12,0))-MIN(MAX(AH933,0),MAX(0,AD891-IF($A934&gt;='1-Input'!$C$12,'1-Input'!$B$12,0))))*(1/(1-'P-Parametri'!$B$6*AD934))+MIN(MAX(0,AI933-(MAX(0,AD891-IF($A934&gt;='1-Input'!$C$12,'1-Input'!$B$12,0))-MIN(MAX(AH933,0),MAX(0,AD891-IF($A934&gt;='1-Input'!$C$12,'1-Input'!$B$12,0))))*(1/(1-'P-Parametri'!$B$6*AD934))),MAX(0,0*AD891-(AH933-MIN(MAX(AH933,0),MAX(0,AD891-IF($A934&gt;='1-Input'!$C$12,'1-Input'!$B$12,0)))))*(1/(1-'P-Parametri'!$B$6*AD934))))</f>
        <v>10153.124739836428</v>
      </c>
      <c r="AF934" s="18">
        <f>IF($A934&gt;'1-Input'!$B$26,AH933,(AH933-MAX(0,AD891-IF($A934&gt;='1-Input'!$C$12,'1-Input'!$B$12,0))+AE934*(1-'P-Parametri'!$B$6*AD934))*(1+'1-Input'!$B$27))</f>
        <v>0</v>
      </c>
      <c r="AG934" s="18">
        <f>IF($A934&gt;'1-Input'!$B$26,AI933,(AI933-AE934)*(1+'5-Roberta'!$C$4))</f>
        <v>39377.035794893665</v>
      </c>
      <c r="AH934" s="18">
        <f>IF($A934&gt;'1-Input'!$B$26,AF934,AF934-'P-Parametri'!$B$8*(AG934+AF934)+MIN(MAX(AG934,0),'P-Parametri'!$B$8*(AG934+AF934)))</f>
        <v>0</v>
      </c>
      <c r="AI934" s="18">
        <f>IF($A934&gt;'1-Input'!$B$26,AG934,AG934-MIN(MAX(AG934,0),'P-Parametri'!$B$8*(AG934+AF934)))</f>
        <v>39298.28172330388</v>
      </c>
      <c r="AJ934" s="18">
        <f>IF($A934&gt;'1-Input'!$B$26,AJ933,AJ933-AE934*(1-AD934))</f>
        <v>12696.825650724759</v>
      </c>
      <c r="AK934" s="11">
        <f>IF($A934&gt;'1-Input'!$B$26,0,IF(AP933&lt;=0,0,MAX(0,(AP933-AQ933)/AP933)))</f>
        <v>0.66788433521594859</v>
      </c>
      <c r="AL934" s="18">
        <f>IF($A934&gt;'1-Input'!$B$26,0,(MAX(0,AK891-IF($A934&gt;='1-Input'!$C$12,'1-Input'!$B$12,0))-MIN(MAX(AO933,0),MAX(0,AK891-IF($A934&gt;='1-Input'!$C$12,'1-Input'!$B$12,0))))*(1/(1-'P-Parametri'!$B$6*AK934))+MIN(MAX(0,AP933-(MAX(0,AK891-IF($A934&gt;='1-Input'!$C$12,'1-Input'!$B$12,0))-MIN(MAX(AO933,0),MAX(0,AK891-IF($A934&gt;='1-Input'!$C$12,'1-Input'!$B$12,0))))*(1/(1-'P-Parametri'!$B$6*AK934))),MAX(0,0*AK891-(AO933-MIN(MAX(AO933,0),MAX(0,AK891-IF($A934&gt;='1-Input'!$C$12,'1-Input'!$B$12,0)))))*(1/(1-'P-Parametri'!$B$6*AK934))))</f>
        <v>10153.718764768751</v>
      </c>
      <c r="AM934" s="18">
        <f>IF($A934&gt;'1-Input'!$B$26,AO933,(AO933-MAX(0,AK891-IF($A934&gt;='1-Input'!$C$12,'1-Input'!$B$12,0))+AL934*(1-'P-Parametri'!$B$6*AK934))*(1+'1-Input'!$B$27))</f>
        <v>0</v>
      </c>
      <c r="AN934" s="18">
        <f>IF($A934&gt;'1-Input'!$B$26,AP933,(AP933-AL934)*(1+'5-Roberta'!$C$4))</f>
        <v>39335.439947612409</v>
      </c>
      <c r="AO934" s="18">
        <f>IF($A934&gt;'1-Input'!$B$26,AM934,AM934-'P-Parametri'!$B$8*(AN934+AM934)+MIN(MAX(AN934,0),'P-Parametri'!$B$8*(AN934+AM934)))</f>
        <v>0</v>
      </c>
      <c r="AP934" s="18">
        <f>IF($A934&gt;'1-Input'!$B$26,AN934,AN934-MIN(MAX(AN934,0),'P-Parametri'!$B$8*(AN934+AM934)))</f>
        <v>39256.769067717185</v>
      </c>
      <c r="AQ934" s="18">
        <f>IF($A934&gt;'1-Input'!$B$26,AQ933,AQ933-AL934*(1-AK934))</f>
        <v>12683.413386188768</v>
      </c>
    </row>
    <row r="935" spans="1:43">
      <c r="A935" s="10">
        <f>42</f>
        <v>42</v>
      </c>
      <c r="B935" s="11">
        <f>IF($A935&gt;'1-Input'!$B$26,0,IF(G934&lt;=0,0,MAX(0,(G934-H934)/G934)))</f>
        <v>0.67691142986550656</v>
      </c>
      <c r="C935" s="18">
        <f>IF($A935&gt;'1-Input'!$B$26,0,(MAX(0,B891-IF($A935&gt;='1-Input'!$C$12,'1-Input'!$B$12,0))-MIN(MAX(F934,0),MAX(0,B891-IF($A935&gt;='1-Input'!$C$12,'1-Input'!$B$12,0))))*(1/(1-'P-Parametri'!$B$6*B935))+MIN(MAX(0,G934-(MAX(0,B891-IF($A935&gt;='1-Input'!$C$12,'1-Input'!$B$12,0))-MIN(MAX(F934,0),MAX(0,B891-IF($A935&gt;='1-Input'!$C$12,'1-Input'!$B$12,0))))*(1/(1-'P-Parametri'!$B$6*B935))),MAX(0,0*B891-(F934-MIN(MAX(F934,0),MAX(0,B891-IF($A935&gt;='1-Input'!$C$12,'1-Input'!$B$12,0)))))*(1/(1-'P-Parametri'!$B$6*B935))))</f>
        <v>6770.6733148496496</v>
      </c>
      <c r="D935" s="18">
        <f>IF($A935&gt;'1-Input'!$B$26,F934,(F934-MAX(0,B891-IF($A935&gt;='1-Input'!$C$12,'1-Input'!$B$12,0))+C935*(1-'P-Parametri'!$B$6*B935))*(1+'1-Input'!$B$27))</f>
        <v>0</v>
      </c>
      <c r="E935" s="18">
        <f>IF($A935&gt;'1-Input'!$B$26,G934,(G934-C935)*(1+'5-Roberta'!$C$4))</f>
        <v>278357.18778976821</v>
      </c>
      <c r="F935" s="18">
        <f>IF($A935&gt;'1-Input'!$B$26,D935,D935-'P-Parametri'!$B$8*(E935+D935)+MIN(MAX(E935,0),'P-Parametri'!$B$8*(E935+D935)))</f>
        <v>0</v>
      </c>
      <c r="G935" s="18">
        <f>IF($A935&gt;'1-Input'!$B$26,E935,E935-MIN(MAX(E935,0),'P-Parametri'!$B$8*(E935+D935)))</f>
        <v>277800.47341418866</v>
      </c>
      <c r="H935" s="18">
        <f>IF($A935&gt;'1-Input'!$B$26,H934,H934-C935*(1-B935))</f>
        <v>87314.588145296002</v>
      </c>
      <c r="I935" s="11">
        <f>IF($A935&gt;'1-Input'!$B$26,0,IF(N934&lt;=0,0,MAX(0,(N934-O934)/N934)))</f>
        <v>0</v>
      </c>
      <c r="J935" s="18">
        <f>IF($A935&gt;'1-Input'!$B$26,0,(MAX(0,I891-IF($A935&gt;='1-Input'!$C$12,'1-Input'!$B$12,0))-MIN(MAX(M934,0),MAX(0,I891-IF($A935&gt;='1-Input'!$C$12,'1-Input'!$B$12,0))))*(1/(1-'P-Parametri'!$B$6*I935))+MIN(MAX(0,N934-(MAX(0,I891-IF($A935&gt;='1-Input'!$C$12,'1-Input'!$B$12,0))-MIN(MAX(M934,0),MAX(0,I891-IF($A935&gt;='1-Input'!$C$12,'1-Input'!$B$12,0))))*(1/(1-'P-Parametri'!$B$6*I935))),MAX(0,0*I891-(M934-MIN(MAX(M934,0),MAX(0,I891-IF($A935&gt;='1-Input'!$C$12,'1-Input'!$B$12,0)))))*(1/(1-'P-Parametri'!$B$6*I935))))</f>
        <v>10846.756992928691</v>
      </c>
      <c r="K935" s="18">
        <f>IF($A935&gt;'1-Input'!$B$26,M934,(M934-MAX(0,I891-IF($A935&gt;='1-Input'!$C$12,'1-Input'!$B$12,0))+J935*(1-'P-Parametri'!$B$6*I935))*(1+'1-Input'!$B$27))</f>
        <v>0</v>
      </c>
      <c r="L935" s="18">
        <f>IF($A935&gt;'1-Input'!$B$26,N934,(N934-J935)*(1+'5-Roberta'!$C$4))</f>
        <v>-156999.0643590476</v>
      </c>
      <c r="M935" s="18">
        <f>IF($A935&gt;'1-Input'!$B$26,K935,K935-'P-Parametri'!$B$8*(L935+K935)+MIN(MAX(L935,0),'P-Parametri'!$B$8*(L935+K935)))</f>
        <v>0</v>
      </c>
      <c r="N935" s="18">
        <f>IF($A935&gt;'1-Input'!$B$26,L935,L935-MIN(MAX(L935,0),'P-Parametri'!$B$8*(L935+K935)))</f>
        <v>-156685.06623032951</v>
      </c>
      <c r="O935" s="18">
        <f>IF($A935&gt;'1-Input'!$B$26,O934,O934-J935*(1-I935))</f>
        <v>-130250.89662894895</v>
      </c>
      <c r="P935" s="11">
        <f>IF($A935&gt;'1-Input'!$B$26,0,IF(U934&lt;=0,0,MAX(0,(U934-V934)/U934)))</f>
        <v>0.67691142986550679</v>
      </c>
      <c r="Q935" s="18">
        <f>IF($A935&gt;'1-Input'!$B$26,0,(MAX(0,P891-IF($A935&gt;='1-Input'!$C$12,'1-Input'!$B$12,0))-MIN(MAX(T934,0),MAX(0,P891-IF($A935&gt;='1-Input'!$C$12,'1-Input'!$B$12,0))))*(1/(1-'P-Parametri'!$B$6*P935))+MIN(MAX(0,U934-(MAX(0,P891-IF($A935&gt;='1-Input'!$C$12,'1-Input'!$B$12,0))-MIN(MAX(T934,0),MAX(0,P891-IF($A935&gt;='1-Input'!$C$12,'1-Input'!$B$12,0))))*(1/(1-'P-Parametri'!$B$6*P935))),MAX(0,0*P891-(T934-MIN(MAX(T934,0),MAX(0,P891-IF($A935&gt;='1-Input'!$C$12,'1-Input'!$B$12,0)))))*(1/(1-'P-Parametri'!$B$6*P935))))</f>
        <v>10465.436892859598</v>
      </c>
      <c r="R935" s="18">
        <f>IF($A935&gt;'1-Input'!$B$26,T934,(T934-MAX(0,P891-IF($A935&gt;='1-Input'!$C$12,'1-Input'!$B$12,0))+Q935*(1-'P-Parametri'!$B$6*P935))*(1+'1-Input'!$B$27))</f>
        <v>0</v>
      </c>
      <c r="S935" s="18">
        <f>IF($A935&gt;'1-Input'!$B$26,U934,(U934-Q935)*(1+'5-Roberta'!$C$4))</f>
        <v>9357.1139187193003</v>
      </c>
      <c r="T935" s="18">
        <f>IF($A935&gt;'1-Input'!$B$26,R935,R935-'P-Parametri'!$B$8*(S935+R935)+MIN(MAX(S935,0),'P-Parametri'!$B$8*(S935+R935)))</f>
        <v>0</v>
      </c>
      <c r="U935" s="18">
        <f>IF($A935&gt;'1-Input'!$B$26,S935,S935-MIN(MAX(S935,0),'P-Parametri'!$B$8*(S935+R935)))</f>
        <v>9338.3996908818608</v>
      </c>
      <c r="V935" s="18">
        <f>IF($A935&gt;'1-Input'!$B$26,V934,V934-Q935*(1-P935))</f>
        <v>2935.1228704704681</v>
      </c>
      <c r="W935" s="11">
        <f>IF($A935&gt;'1-Input'!$B$26,0,IF(AB934&lt;=0,0,MAX(0,(AB934-AC934)/AB934)))</f>
        <v>0.67691142986550679</v>
      </c>
      <c r="X935" s="18">
        <f>IF($A935&gt;'1-Input'!$B$26,0,(MAX(0,W891-IF($A935&gt;='1-Input'!$C$12,'1-Input'!$B$12,0))-MIN(MAX(AA934,0),MAX(0,W891-IF($A935&gt;='1-Input'!$C$12,'1-Input'!$B$12,0))))*(1/(1-'P-Parametri'!$B$6*W935))+MIN(MAX(0,AB934-(MAX(0,W891-IF($A935&gt;='1-Input'!$C$12,'1-Input'!$B$12,0))-MIN(MAX(AA934,0),MAX(0,W891-IF($A935&gt;='1-Input'!$C$12,'1-Input'!$B$12,0))))*(1/(1-'P-Parametri'!$B$6*W935))),MAX(0,0*W891-(AA934-MIN(MAX(AA934,0),MAX(0,W891-IF($A935&gt;='1-Input'!$C$12,'1-Input'!$B$12,0)))))*(1/(1-'P-Parametri'!$B$6*W935))))</f>
        <v>10185.478057404704</v>
      </c>
      <c r="Y935" s="18">
        <f>IF($A935&gt;'1-Input'!$B$26,AA934,(AA934-MAX(0,W891-IF($A935&gt;='1-Input'!$C$12,'1-Input'!$B$12,0))+X935*(1-'P-Parametri'!$B$6*W935))*(1+'1-Input'!$B$27))</f>
        <v>0</v>
      </c>
      <c r="Z935" s="18">
        <f>IF($A935&gt;'1-Input'!$B$26,AB934,(AB934-X935)*(1+'5-Roberta'!$C$4))</f>
        <v>29739.729971999048</v>
      </c>
      <c r="AA935" s="18">
        <f>IF($A935&gt;'1-Input'!$B$26,Y935,Y935-'P-Parametri'!$B$8*(Z935+Y935)+MIN(MAX(Z935,0),'P-Parametri'!$B$8*(Z935+Y935)))</f>
        <v>0</v>
      </c>
      <c r="AB935" s="18">
        <f>IF($A935&gt;'1-Input'!$B$26,Z935,Z935-MIN(MAX(Z935,0),'P-Parametri'!$B$8*(Z935+Y935)))</f>
        <v>29680.250512055049</v>
      </c>
      <c r="AC935" s="18">
        <f>IF($A935&gt;'1-Input'!$B$26,AC934,AC934-X935*(1-W935))</f>
        <v>9328.705662950586</v>
      </c>
      <c r="AD935" s="11">
        <f>IF($A935&gt;'1-Input'!$B$26,0,IF(AI934&lt;=0,0,MAX(0,(AI934-AJ934)/AI934)))</f>
        <v>0.67691142986550634</v>
      </c>
      <c r="AE935" s="18">
        <f>IF($A935&gt;'1-Input'!$B$26,0,(MAX(0,AD891-IF($A935&gt;='1-Input'!$C$12,'1-Input'!$B$12,0))-MIN(MAX(AH934,0),MAX(0,AD891-IF($A935&gt;='1-Input'!$C$12,'1-Input'!$B$12,0))))*(1/(1-'P-Parametri'!$B$6*AD935))+MIN(MAX(0,AI934-(MAX(0,AD891-IF($A935&gt;='1-Input'!$C$12,'1-Input'!$B$12,0))-MIN(MAX(AH934,0),MAX(0,AD891-IF($A935&gt;='1-Input'!$C$12,'1-Input'!$B$12,0))))*(1/(1-'P-Parametri'!$B$6*AD935))),MAX(0,0*AD891-(AH934-MIN(MAX(AH934,0),MAX(0,AD891-IF($A935&gt;='1-Input'!$C$12,'1-Input'!$B$12,0)))))*(1/(1-'P-Parametri'!$B$6*AD935))))</f>
        <v>10182.044338269234</v>
      </c>
      <c r="AF935" s="18">
        <f>IF($A935&gt;'1-Input'!$B$26,AH934,(AH934-MAX(0,AD891-IF($A935&gt;='1-Input'!$C$12,'1-Input'!$B$12,0))+AE935*(1-'P-Parametri'!$B$6*AD935))*(1+'1-Input'!$B$27))</f>
        <v>1.8124410416930913E-12</v>
      </c>
      <c r="AG935" s="18">
        <f>IF($A935&gt;'1-Input'!$B$26,AI934,(AI934-AE935)*(1+'5-Roberta'!$C$4))</f>
        <v>29989.724506585688</v>
      </c>
      <c r="AH935" s="18">
        <f>IF($A935&gt;'1-Input'!$B$26,AF935,AF935-'P-Parametri'!$B$8*(AG935+AF935)+MIN(MAX(AG935,0),'P-Parametri'!$B$8*(AG935+AF935)))</f>
        <v>1.8118839761882555E-12</v>
      </c>
      <c r="AI935" s="18">
        <f>IF($A935&gt;'1-Input'!$B$26,AG935,AG935-MIN(MAX(AG935,0),'P-Parametri'!$B$8*(AG935+AF935)))</f>
        <v>29929.745057572516</v>
      </c>
      <c r="AJ935" s="18">
        <f>IF($A935&gt;'1-Input'!$B$26,AJ934,AJ934-AE935*(1-AD935))</f>
        <v>9407.1235044273344</v>
      </c>
      <c r="AK935" s="11">
        <f>IF($A935&gt;'1-Input'!$B$26,0,IF(AP934&lt;=0,0,MAX(0,(AP934-AQ934)/AP934)))</f>
        <v>0.67691142986550623</v>
      </c>
      <c r="AL935" s="18">
        <f>IF($A935&gt;'1-Input'!$B$26,0,(MAX(0,AK891-IF($A935&gt;='1-Input'!$C$12,'1-Input'!$B$12,0))-MIN(MAX(AO934,0),MAX(0,AK891-IF($A935&gt;='1-Input'!$C$12,'1-Input'!$B$12,0))))*(1/(1-'P-Parametri'!$B$6*AK935))+MIN(MAX(0,AP934-(MAX(0,AK891-IF($A935&gt;='1-Input'!$C$12,'1-Input'!$B$12,0))-MIN(MAX(AO934,0),MAX(0,AK891-IF($A935&gt;='1-Input'!$C$12,'1-Input'!$B$12,0))))*(1/(1-'P-Parametri'!$B$6*AK935))),MAX(0,0*AK891-(AO934-MIN(MAX(AO934,0),MAX(0,AK891-IF($A935&gt;='1-Input'!$C$12,'1-Input'!$B$12,0)))))*(1/(1-'P-Parametri'!$B$6*AK935))))</f>
        <v>10182.640055189288</v>
      </c>
      <c r="AM935" s="18">
        <f>IF($A935&gt;'1-Input'!$B$26,AO934,(AO934-MAX(0,AK891-IF($A935&gt;='1-Input'!$C$12,'1-Input'!$B$12,0))+AL935*(1-'P-Parametri'!$B$6*AK935))*(1+'1-Input'!$B$27))</f>
        <v>0</v>
      </c>
      <c r="AN935" s="18">
        <f>IF($A935&gt;'1-Input'!$B$26,AP934,(AP934-AL935)*(1+'5-Roberta'!$C$4))</f>
        <v>29946.352882903735</v>
      </c>
      <c r="AO935" s="18">
        <f>IF($A935&gt;'1-Input'!$B$26,AM935,AM935-'P-Parametri'!$B$8*(AN935+AM935)+MIN(MAX(AN935,0),'P-Parametri'!$B$8*(AN935+AM935)))</f>
        <v>0</v>
      </c>
      <c r="AP935" s="18">
        <f>IF($A935&gt;'1-Input'!$B$26,AN935,AN935-MIN(MAX(AN935,0),'P-Parametri'!$B$8*(AN935+AM935)))</f>
        <v>29886.460177137928</v>
      </c>
      <c r="AQ935" s="18">
        <f>IF($A935&gt;'1-Input'!$B$26,AQ934,AQ934-AL935*(1-AK935))</f>
        <v>9393.518770563438</v>
      </c>
    </row>
    <row r="936" spans="1:43">
      <c r="A936" s="10">
        <f>43</f>
        <v>43</v>
      </c>
      <c r="B936" s="11">
        <f>IF($A936&gt;'1-Input'!$B$26,0,IF(G935&lt;=0,0,MAX(0,(G935-H935)/G935)))</f>
        <v>0.68569316289424143</v>
      </c>
      <c r="C936" s="18">
        <f>IF($A936&gt;'1-Input'!$B$26,0,(MAX(0,B891-IF($A936&gt;='1-Input'!$C$12,'1-Input'!$B$12,0))-MIN(MAX(F935,0),MAX(0,B891-IF($A936&gt;='1-Input'!$C$12,'1-Input'!$B$12,0))))*(1/(1-'P-Parametri'!$B$6*B936))+MIN(MAX(0,G935-(MAX(0,B891-IF($A936&gt;='1-Input'!$C$12,'1-Input'!$B$12,0))-MIN(MAX(F935,0),MAX(0,B891-IF($A936&gt;='1-Input'!$C$12,'1-Input'!$B$12,0))))*(1/(1-'P-Parametri'!$B$6*B936))),MAX(0,0*B891-(F935-MIN(MAX(F935,0),MAX(0,B891-IF($A936&gt;='1-Input'!$C$12,'1-Input'!$B$12,0)))))*(1/(1-'P-Parametri'!$B$6*B936))))</f>
        <v>6789.4864726246315</v>
      </c>
      <c r="D936" s="18">
        <f>IF($A936&gt;'1-Input'!$B$26,F935,(F935-MAX(0,B891-IF($A936&gt;='1-Input'!$C$12,'1-Input'!$B$12,0))+C936*(1-'P-Parametri'!$B$6*B936))*(1+'1-Input'!$B$27))</f>
        <v>0</v>
      </c>
      <c r="E936" s="18">
        <f>IF($A936&gt;'1-Input'!$B$26,G935,(G935-C936)*(1+'5-Roberta'!$C$4))</f>
        <v>279141.31654981093</v>
      </c>
      <c r="F936" s="18">
        <f>IF($A936&gt;'1-Input'!$B$26,D936,D936-'P-Parametri'!$B$8*(E936+D936)+MIN(MAX(E936,0),'P-Parametri'!$B$8*(E936+D936)))</f>
        <v>0</v>
      </c>
      <c r="G936" s="18">
        <f>IF($A936&gt;'1-Input'!$B$26,E936,E936-MIN(MAX(E936,0),'P-Parametri'!$B$8*(E936+D936)))</f>
        <v>278583.03391671128</v>
      </c>
      <c r="H936" s="18">
        <f>IF($A936&gt;'1-Input'!$B$26,H935,H935-C936*(1-B936))</f>
        <v>85180.606126513027</v>
      </c>
      <c r="I936" s="11">
        <f>IF($A936&gt;'1-Input'!$B$26,0,IF(N935&lt;=0,0,MAX(0,(N935-O935)/N935)))</f>
        <v>0</v>
      </c>
      <c r="J936" s="18">
        <f>IF($A936&gt;'1-Input'!$B$26,0,(MAX(0,I891-IF($A936&gt;='1-Input'!$C$12,'1-Input'!$B$12,0))-MIN(MAX(M935,0),MAX(0,I891-IF($A936&gt;='1-Input'!$C$12,'1-Input'!$B$12,0))))*(1/(1-'P-Parametri'!$B$6*I936))+MIN(MAX(0,N935-(MAX(0,I891-IF($A936&gt;='1-Input'!$C$12,'1-Input'!$B$12,0))-MIN(MAX(M935,0),MAX(0,I891-IF($A936&gt;='1-Input'!$C$12,'1-Input'!$B$12,0))))*(1/(1-'P-Parametri'!$B$6*I936))),MAX(0,0*I891-(M935-MIN(MAX(M935,0),MAX(0,I891-IF($A936&gt;='1-Input'!$C$12,'1-Input'!$B$12,0)))))*(1/(1-'P-Parametri'!$B$6*I936))))</f>
        <v>10846.756992928691</v>
      </c>
      <c r="K936" s="18">
        <f>IF($A936&gt;'1-Input'!$B$26,M935,(M935-MAX(0,I891-IF($A936&gt;='1-Input'!$C$12,'1-Input'!$B$12,0))+J936*(1-'P-Parametri'!$B$6*I936))*(1+'1-Input'!$B$27))</f>
        <v>0</v>
      </c>
      <c r="L936" s="18">
        <f>IF($A936&gt;'1-Input'!$B$26,N935,(N935-J936)*(1+'5-Roberta'!$C$4))</f>
        <v>-172557.77791995593</v>
      </c>
      <c r="M936" s="18">
        <f>IF($A936&gt;'1-Input'!$B$26,K936,K936-'P-Parametri'!$B$8*(L936+K936)+MIN(MAX(L936,0),'P-Parametri'!$B$8*(L936+K936)))</f>
        <v>0</v>
      </c>
      <c r="N936" s="18">
        <f>IF($A936&gt;'1-Input'!$B$26,L936,L936-MIN(MAX(L936,0),'P-Parametri'!$B$8*(L936+K936)))</f>
        <v>-172212.66236411603</v>
      </c>
      <c r="O936" s="18">
        <f>IF($A936&gt;'1-Input'!$B$26,O935,O935-J936*(1-I936))</f>
        <v>-141097.65362187763</v>
      </c>
      <c r="P936" s="11">
        <f>IF($A936&gt;'1-Input'!$B$26,0,IF(U935&lt;=0,0,MAX(0,(U935-V935)/U935)))</f>
        <v>0.68569316289424176</v>
      </c>
      <c r="Q936" s="18">
        <f>IF($A936&gt;'1-Input'!$B$26,0,(MAX(0,P891-IF($A936&gt;='1-Input'!$C$12,'1-Input'!$B$12,0))-MIN(MAX(T935,0),MAX(0,P891-IF($A936&gt;='1-Input'!$C$12,'1-Input'!$B$12,0))))*(1/(1-'P-Parametri'!$B$6*P936))+MIN(MAX(0,U935-(MAX(0,P891-IF($A936&gt;='1-Input'!$C$12,'1-Input'!$B$12,0))-MIN(MAX(T935,0),MAX(0,P891-IF($A936&gt;='1-Input'!$C$12,'1-Input'!$B$12,0))))*(1/(1-'P-Parametri'!$B$6*P936))),MAX(0,0*P891-(T935-MIN(MAX(T935,0),MAX(0,P891-IF($A936&gt;='1-Input'!$C$12,'1-Input'!$B$12,0)))))*(1/(1-'P-Parametri'!$B$6*P936))))</f>
        <v>10494.516410699822</v>
      </c>
      <c r="R936" s="18">
        <f>IF($A936&gt;'1-Input'!$B$26,T935,(T935-MAX(0,P891-IF($A936&gt;='1-Input'!$C$12,'1-Input'!$B$12,0))+Q936*(1-'P-Parametri'!$B$6*P936))*(1+'1-Input'!$B$27))</f>
        <v>0</v>
      </c>
      <c r="S936" s="18">
        <f>IF($A936&gt;'1-Input'!$B$26,U935,(U935-Q936)*(1+'5-Roberta'!$C$4))</f>
        <v>-1190.8002214124999</v>
      </c>
      <c r="T936" s="18">
        <f>IF($A936&gt;'1-Input'!$B$26,R936,R936-'P-Parametri'!$B$8*(S936+R936)+MIN(MAX(S936,0),'P-Parametri'!$B$8*(S936+R936)))</f>
        <v>0</v>
      </c>
      <c r="U936" s="18">
        <f>IF($A936&gt;'1-Input'!$B$26,S936,S936-MIN(MAX(S936,0),'P-Parametri'!$B$8*(S936+R936)))</f>
        <v>-1188.418620969675</v>
      </c>
      <c r="V936" s="18">
        <f>IF($A936&gt;'1-Input'!$B$26,V935,V935-Q936*(1-P936))</f>
        <v>-363.37538953106741</v>
      </c>
      <c r="W936" s="11">
        <f>IF($A936&gt;'1-Input'!$B$26,0,IF(AB935&lt;=0,0,MAX(0,(AB935-AC935)/AB935)))</f>
        <v>0.68569316289424165</v>
      </c>
      <c r="X936" s="18">
        <f>IF($A936&gt;'1-Input'!$B$26,0,(MAX(0,W891-IF($A936&gt;='1-Input'!$C$12,'1-Input'!$B$12,0))-MIN(MAX(AA935,0),MAX(0,W891-IF($A936&gt;='1-Input'!$C$12,'1-Input'!$B$12,0))))*(1/(1-'P-Parametri'!$B$6*W936))+MIN(MAX(0,AB935-(MAX(0,W891-IF($A936&gt;='1-Input'!$C$12,'1-Input'!$B$12,0))-MIN(MAX(AA935,0),MAX(0,W891-IF($A936&gt;='1-Input'!$C$12,'1-Input'!$B$12,0))))*(1/(1-'P-Parametri'!$B$6*W936))),MAX(0,0*W891-(AA935-MIN(MAX(AA935,0),MAX(0,W891-IF($A936&gt;='1-Input'!$C$12,'1-Input'!$B$12,0)))))*(1/(1-'P-Parametri'!$B$6*W936))))</f>
        <v>10213.779674806226</v>
      </c>
      <c r="Y936" s="18">
        <f>IF($A936&gt;'1-Input'!$B$26,AA935,(AA935-MAX(0,W891-IF($A936&gt;='1-Input'!$C$12,'1-Input'!$B$12,0))+X936*(1-'P-Parametri'!$B$6*W936))*(1+'1-Input'!$B$27))</f>
        <v>1.8124410416930913E-12</v>
      </c>
      <c r="Z936" s="18">
        <f>IF($A936&gt;'1-Input'!$B$26,AB935,(AB935-X936)*(1+'5-Roberta'!$C$4))</f>
        <v>20050.464962366288</v>
      </c>
      <c r="AA936" s="18">
        <f>IF($A936&gt;'1-Input'!$B$26,Y936,Y936-'P-Parametri'!$B$8*(Z936+Y936)+MIN(MAX(Z936,0),'P-Parametri'!$B$8*(Z936+Y936)))</f>
        <v>1.8118839761882555E-12</v>
      </c>
      <c r="AB936" s="18">
        <f>IF($A936&gt;'1-Input'!$B$26,Z936,Z936-MIN(MAX(Z936,0),'P-Parametri'!$B$8*(Z936+Y936)))</f>
        <v>20010.364032441554</v>
      </c>
      <c r="AC936" s="18">
        <f>IF($A936&gt;'1-Input'!$B$26,AC935,AC935-X936*(1-W936))</f>
        <v>6118.4448784671604</v>
      </c>
      <c r="AD936" s="11">
        <f>IF($A936&gt;'1-Input'!$B$26,0,IF(AI935&lt;=0,0,MAX(0,(AI935-AJ935)/AI935)))</f>
        <v>0.6856931628942412</v>
      </c>
      <c r="AE936" s="18">
        <f>IF($A936&gt;'1-Input'!$B$26,0,(MAX(0,AD891-IF($A936&gt;='1-Input'!$C$12,'1-Input'!$B$12,0))-MIN(MAX(AH935,0),MAX(0,AD891-IF($A936&gt;='1-Input'!$C$12,'1-Input'!$B$12,0))))*(1/(1-'P-Parametri'!$B$6*AD936))+MIN(MAX(0,AI935-(MAX(0,AD891-IF($A936&gt;='1-Input'!$C$12,'1-Input'!$B$12,0))-MIN(MAX(AH935,0),MAX(0,AD891-IF($A936&gt;='1-Input'!$C$12,'1-Input'!$B$12,0))))*(1/(1-'P-Parametri'!$B$6*AD936))),MAX(0,0*AD891-(AH935-MIN(MAX(AH935,0),MAX(0,AD891-IF($A936&gt;='1-Input'!$C$12,'1-Input'!$B$12,0)))))*(1/(1-'P-Parametri'!$B$6*AD936))))</f>
        <v>10210.336414655134</v>
      </c>
      <c r="AF936" s="18">
        <f>IF($A936&gt;'1-Input'!$B$26,AH935,(AH935-MAX(0,AD891-IF($A936&gt;='1-Input'!$C$12,'1-Input'!$B$12,0))+AE936*(1-'P-Parametri'!$B$6*AD936))*(1+'1-Input'!$B$27))</f>
        <v>0</v>
      </c>
      <c r="AG936" s="18">
        <f>IF($A936&gt;'1-Input'!$B$26,AI935,(AI935-AE936)*(1+'5-Roberta'!$C$4))</f>
        <v>20310.990902204907</v>
      </c>
      <c r="AH936" s="18">
        <f>IF($A936&gt;'1-Input'!$B$26,AF936,AF936-'P-Parametri'!$B$8*(AG936+AF936)+MIN(MAX(AG936,0),'P-Parametri'!$B$8*(AG936+AF936)))</f>
        <v>0</v>
      </c>
      <c r="AI936" s="18">
        <f>IF($A936&gt;'1-Input'!$B$26,AG936,AG936-MIN(MAX(AG936,0),'P-Parametri'!$B$8*(AG936+AF936)))</f>
        <v>20270.368920400499</v>
      </c>
      <c r="AJ936" s="18">
        <f>IF($A936&gt;'1-Input'!$B$26,AJ935,AJ935-AE936*(1-AD936))</f>
        <v>6197.9449601513261</v>
      </c>
      <c r="AK936" s="11">
        <f>IF($A936&gt;'1-Input'!$B$26,0,IF(AP935&lt;=0,0,MAX(0,(AP935-AQ935)/AP935)))</f>
        <v>0.6856931628942412</v>
      </c>
      <c r="AL936" s="18">
        <f>IF($A936&gt;'1-Input'!$B$26,0,(MAX(0,AK891-IF($A936&gt;='1-Input'!$C$12,'1-Input'!$B$12,0))-MIN(MAX(AO935,0),MAX(0,AK891-IF($A936&gt;='1-Input'!$C$12,'1-Input'!$B$12,0))))*(1/(1-'P-Parametri'!$B$6*AK936))+MIN(MAX(0,AP935-(MAX(0,AK891-IF($A936&gt;='1-Input'!$C$12,'1-Input'!$B$12,0))-MIN(MAX(AO935,0),MAX(0,AK891-IF($A936&gt;='1-Input'!$C$12,'1-Input'!$B$12,0))))*(1/(1-'P-Parametri'!$B$6*AK936))),MAX(0,0*AK891-(AO935-MIN(MAX(AO935,0),MAX(0,AK891-IF($A936&gt;='1-Input'!$C$12,'1-Input'!$B$12,0)))))*(1/(1-'P-Parametri'!$B$6*AK936))))</f>
        <v>10210.933786848733</v>
      </c>
      <c r="AM936" s="18">
        <f>IF($A936&gt;'1-Input'!$B$26,AO935,(AO935-MAX(0,AK891-IF($A936&gt;='1-Input'!$C$12,'1-Input'!$B$12,0))+AL936*(1-'P-Parametri'!$B$6*AK936))*(1+'1-Input'!$B$27))</f>
        <v>0</v>
      </c>
      <c r="AN936" s="18">
        <f>IF($A936&gt;'1-Input'!$B$26,AP935,(AP935-AL936)*(1+'5-Roberta'!$C$4))</f>
        <v>20265.792181997873</v>
      </c>
      <c r="AO936" s="18">
        <f>IF($A936&gt;'1-Input'!$B$26,AM936,AM936-'P-Parametri'!$B$8*(AN936+AM936)+MIN(MAX(AN936,0),'P-Parametri'!$B$8*(AN936+AM936)))</f>
        <v>0</v>
      </c>
      <c r="AP936" s="18">
        <f>IF($A936&gt;'1-Input'!$B$26,AN936,AN936-MIN(MAX(AN936,0),'P-Parametri'!$B$8*(AN936+AM936)))</f>
        <v>20225.260597633878</v>
      </c>
      <c r="AQ936" s="18">
        <f>IF($A936&gt;'1-Input'!$B$26,AQ935,AQ935-AL936*(1-AK936))</f>
        <v>6184.1524681226847</v>
      </c>
    </row>
    <row r="937" spans="1:43">
      <c r="A937" s="10">
        <f>44</f>
        <v>44</v>
      </c>
      <c r="B937" s="11">
        <f>IF($A937&gt;'1-Input'!$B$26,0,IF(G936&lt;=0,0,MAX(0,(G936-H936)/G936)))</f>
        <v>0.69423620337202685</v>
      </c>
      <c r="C937" s="18">
        <f>IF($A937&gt;'1-Input'!$B$26,0,(MAX(0,B891-IF($A937&gt;='1-Input'!$C$12,'1-Input'!$B$12,0))-MIN(MAX(F936,0),MAX(0,B891-IF($A937&gt;='1-Input'!$C$12,'1-Input'!$B$12,0))))*(1/(1-'P-Parametri'!$B$6*B937))+MIN(MAX(0,G936-(MAX(0,B891-IF($A937&gt;='1-Input'!$C$12,'1-Input'!$B$12,0))-MIN(MAX(F936,0),MAX(0,B891-IF($A937&gt;='1-Input'!$C$12,'1-Input'!$B$12,0))))*(1/(1-'P-Parametri'!$B$6*B937))),MAX(0,0*B891-(F936-MIN(MAX(F936,0),MAX(0,B891-IF($A937&gt;='1-Input'!$C$12,'1-Input'!$B$12,0)))))*(1/(1-'P-Parametri'!$B$6*B937))))</f>
        <v>6807.8888753307565</v>
      </c>
      <c r="D937" s="18">
        <f>IF($A937&gt;'1-Input'!$B$26,F936,(F936-MAX(0,B891-IF($A937&gt;='1-Input'!$C$12,'1-Input'!$B$12,0))+C937*(1-'P-Parametri'!$B$6*B937))*(1+'1-Input'!$B$27))</f>
        <v>0</v>
      </c>
      <c r="E937" s="18">
        <f>IF($A937&gt;'1-Input'!$B$26,G936,(G936-C937)*(1+'5-Roberta'!$C$4))</f>
        <v>279928.39939262194</v>
      </c>
      <c r="F937" s="18">
        <f>IF($A937&gt;'1-Input'!$B$26,D937,D937-'P-Parametri'!$B$8*(E937+D937)+MIN(MAX(E937,0),'P-Parametri'!$B$8*(E937+D937)))</f>
        <v>0</v>
      </c>
      <c r="G937" s="18">
        <f>IF($A937&gt;'1-Input'!$B$26,E937,E937-MIN(MAX(E937,0),'P-Parametri'!$B$8*(E937+D937)))</f>
        <v>279368.54259383667</v>
      </c>
      <c r="H937" s="18">
        <f>IF($A937&gt;'1-Input'!$B$26,H936,H936-C937*(1-B937))</f>
        <v>83099.000176970556</v>
      </c>
      <c r="I937" s="11">
        <f>IF($A937&gt;'1-Input'!$B$26,0,IF(N936&lt;=0,0,MAX(0,(N936-O936)/N936)))</f>
        <v>0</v>
      </c>
      <c r="J937" s="18">
        <f>IF($A937&gt;'1-Input'!$B$26,0,(MAX(0,I891-IF($A937&gt;='1-Input'!$C$12,'1-Input'!$B$12,0))-MIN(MAX(M936,0),MAX(0,I891-IF($A937&gt;='1-Input'!$C$12,'1-Input'!$B$12,0))))*(1/(1-'P-Parametri'!$B$6*I937))+MIN(MAX(0,N936-(MAX(0,I891-IF($A937&gt;='1-Input'!$C$12,'1-Input'!$B$12,0))-MIN(MAX(M936,0),MAX(0,I891-IF($A937&gt;='1-Input'!$C$12,'1-Input'!$B$12,0))))*(1/(1-'P-Parametri'!$B$6*I937))),MAX(0,0*I891-(M936-MIN(MAX(M936,0),MAX(0,I891-IF($A937&gt;='1-Input'!$C$12,'1-Input'!$B$12,0)))))*(1/(1-'P-Parametri'!$B$6*I937))))</f>
        <v>10846.756992928691</v>
      </c>
      <c r="K937" s="18">
        <f>IF($A937&gt;'1-Input'!$B$26,M936,(M936-MAX(0,I891-IF($A937&gt;='1-Input'!$C$12,'1-Input'!$B$12,0))+J937*(1-'P-Parametri'!$B$6*I937))*(1+'1-Input'!$B$27))</f>
        <v>0</v>
      </c>
      <c r="L937" s="18">
        <f>IF($A937&gt;'1-Input'!$B$26,N936,(N936-J937)*(1+'5-Roberta'!$C$4))</f>
        <v>-188551.20193775606</v>
      </c>
      <c r="M937" s="18">
        <f>IF($A937&gt;'1-Input'!$B$26,K937,K937-'P-Parametri'!$B$8*(L937+K937)+MIN(MAX(L937,0),'P-Parametri'!$B$8*(L937+K937)))</f>
        <v>0</v>
      </c>
      <c r="N937" s="18">
        <f>IF($A937&gt;'1-Input'!$B$26,L937,L937-MIN(MAX(L937,0),'P-Parametri'!$B$8*(L937+K937)))</f>
        <v>-188174.09953388057</v>
      </c>
      <c r="O937" s="18">
        <f>IF($A937&gt;'1-Input'!$B$26,O936,O936-J937*(1-I937))</f>
        <v>-151944.41061480631</v>
      </c>
      <c r="P937" s="11">
        <f>IF($A937&gt;'1-Input'!$B$26,0,IF(U936&lt;=0,0,MAX(0,(U936-V936)/U936)))</f>
        <v>0</v>
      </c>
      <c r="Q937" s="18">
        <f>IF($A937&gt;'1-Input'!$B$26,0,(MAX(0,P891-IF($A937&gt;='1-Input'!$C$12,'1-Input'!$B$12,0))-MIN(MAX(T936,0),MAX(0,P891-IF($A937&gt;='1-Input'!$C$12,'1-Input'!$B$12,0))))*(1/(1-'P-Parametri'!$B$6*P937))+MIN(MAX(0,U936-(MAX(0,P891-IF($A937&gt;='1-Input'!$C$12,'1-Input'!$B$12,0))-MIN(MAX(T936,0),MAX(0,P891-IF($A937&gt;='1-Input'!$C$12,'1-Input'!$B$12,0))))*(1/(1-'P-Parametri'!$B$6*P937))),MAX(0,0*P891-(T936-MIN(MAX(T936,0),MAX(0,P891-IF($A937&gt;='1-Input'!$C$12,'1-Input'!$B$12,0)))))*(1/(1-'P-Parametri'!$B$6*P937))))</f>
        <v>8623.551691518267</v>
      </c>
      <c r="R937" s="18">
        <f>IF($A937&gt;'1-Input'!$B$26,T936,(T936-MAX(0,P891-IF($A937&gt;='1-Input'!$C$12,'1-Input'!$B$12,0))+Q937*(1-'P-Parametri'!$B$6*P937))*(1+'1-Input'!$B$27))</f>
        <v>0</v>
      </c>
      <c r="S937" s="18">
        <f>IF($A937&gt;'1-Input'!$B$26,U936,(U936-Q937)*(1+'5-Roberta'!$C$4))</f>
        <v>-10106.32942186258</v>
      </c>
      <c r="T937" s="18">
        <f>IF($A937&gt;'1-Input'!$B$26,R937,R937-'P-Parametri'!$B$8*(S937+R937)+MIN(MAX(S937,0),'P-Parametri'!$B$8*(S937+R937)))</f>
        <v>0</v>
      </c>
      <c r="U937" s="18">
        <f>IF($A937&gt;'1-Input'!$B$26,S937,S937-MIN(MAX(S937,0),'P-Parametri'!$B$8*(S937+R937)))</f>
        <v>-10086.116763018854</v>
      </c>
      <c r="V937" s="18">
        <f>IF($A937&gt;'1-Input'!$B$26,V936,V936-Q937*(1-P937))</f>
        <v>-8986.9270810493344</v>
      </c>
      <c r="W937" s="11">
        <f>IF($A937&gt;'1-Input'!$B$26,0,IF(AB936&lt;=0,0,MAX(0,(AB936-AC936)/AB936)))</f>
        <v>0.69423620337202718</v>
      </c>
      <c r="X937" s="18">
        <f>IF($A937&gt;'1-Input'!$B$26,0,(MAX(0,W891-IF($A937&gt;='1-Input'!$C$12,'1-Input'!$B$12,0))-MIN(MAX(AA936,0),MAX(0,W891-IF($A937&gt;='1-Input'!$C$12,'1-Input'!$B$12,0))))*(1/(1-'P-Parametri'!$B$6*W937))+MIN(MAX(0,AB936-(MAX(0,W891-IF($A937&gt;='1-Input'!$C$12,'1-Input'!$B$12,0))-MIN(MAX(AA936,0),MAX(0,W891-IF($A937&gt;='1-Input'!$C$12,'1-Input'!$B$12,0))))*(1/(1-'P-Parametri'!$B$6*W937))),MAX(0,0*W891-(AA936-MIN(MAX(AA936,0),MAX(0,W891-IF($A937&gt;='1-Input'!$C$12,'1-Input'!$B$12,0)))))*(1/(1-'P-Parametri'!$B$6*W937))))</f>
        <v>10241.463371870097</v>
      </c>
      <c r="Y937" s="18">
        <f>IF($A937&gt;'1-Input'!$B$26,AA936,(AA936-MAX(0,W891-IF($A937&gt;='1-Input'!$C$12,'1-Input'!$B$12,0))+X937*(1-'P-Parametri'!$B$6*W937))*(1+'1-Input'!$B$27))</f>
        <v>0</v>
      </c>
      <c r="Z937" s="18">
        <f>IF($A937&gt;'1-Input'!$B$26,AB936,(AB936-X937)*(1+'5-Roberta'!$C$4))</f>
        <v>10061.967680388601</v>
      </c>
      <c r="AA937" s="18">
        <f>IF($A937&gt;'1-Input'!$B$26,Y937,Y937-'P-Parametri'!$B$8*(Z937+Y937)+MIN(MAX(Z937,0),'P-Parametri'!$B$8*(Z937+Y937)))</f>
        <v>0</v>
      </c>
      <c r="AB937" s="18">
        <f>IF($A937&gt;'1-Input'!$B$26,Z937,Z937-MIN(MAX(Z937,0),'P-Parametri'!$B$8*(Z937+Y937)))</f>
        <v>10041.843745027823</v>
      </c>
      <c r="AC937" s="18">
        <f>IF($A937&gt;'1-Input'!$B$26,AC936,AC936-X937*(1-W937))</f>
        <v>2986.9761548578394</v>
      </c>
      <c r="AD937" s="11">
        <f>IF($A937&gt;'1-Input'!$B$26,0,IF(AI936&lt;=0,0,MAX(0,(AI936-AJ936)/AI936)))</f>
        <v>0.69423620337202685</v>
      </c>
      <c r="AE937" s="18">
        <f>IF($A937&gt;'1-Input'!$B$26,0,(MAX(0,AD891-IF($A937&gt;='1-Input'!$C$12,'1-Input'!$B$12,0))-MIN(MAX(AH936,0),MAX(0,AD891-IF($A937&gt;='1-Input'!$C$12,'1-Input'!$B$12,0))))*(1/(1-'P-Parametri'!$B$6*AD937))+MIN(MAX(0,AI936-(MAX(0,AD891-IF($A937&gt;='1-Input'!$C$12,'1-Input'!$B$12,0))-MIN(MAX(AH936,0),MAX(0,AD891-IF($A937&gt;='1-Input'!$C$12,'1-Input'!$B$12,0))))*(1/(1-'P-Parametri'!$B$6*AD937))),MAX(0,0*AD891-(AH936-MIN(MAX(AH936,0),MAX(0,AD891-IF($A937&gt;='1-Input'!$C$12,'1-Input'!$B$12,0)))))*(1/(1-'P-Parametri'!$B$6*AD937))))</f>
        <v>10238.010779016136</v>
      </c>
      <c r="AF937" s="18">
        <f>IF($A937&gt;'1-Input'!$B$26,AH936,(AH936-MAX(0,AD891-IF($A937&gt;='1-Input'!$C$12,'1-Input'!$B$12,0))+AE937*(1-'P-Parametri'!$B$6*AD937))*(1+'1-Input'!$B$27))</f>
        <v>0</v>
      </c>
      <c r="AG937" s="18">
        <f>IF($A937&gt;'1-Input'!$B$26,AI936,(AI936-AE937)*(1+'5-Roberta'!$C$4))</f>
        <v>10333.328885625893</v>
      </c>
      <c r="AH937" s="18">
        <f>IF($A937&gt;'1-Input'!$B$26,AF937,AF937-'P-Parametri'!$B$8*(AG937+AF937)+MIN(MAX(AG937,0),'P-Parametri'!$B$8*(AG937+AF937)))</f>
        <v>0</v>
      </c>
      <c r="AI937" s="18">
        <f>IF($A937&gt;'1-Input'!$B$26,AG937,AG937-MIN(MAX(AG937,0),'P-Parametri'!$B$8*(AG937+AF937)))</f>
        <v>10312.662227854642</v>
      </c>
      <c r="AJ937" s="18">
        <f>IF($A937&gt;'1-Input'!$B$26,AJ936,AJ936-AE937*(1-AD937))</f>
        <v>3067.5319144412392</v>
      </c>
      <c r="AK937" s="11">
        <f>IF($A937&gt;'1-Input'!$B$26,0,IF(AP936&lt;=0,0,MAX(0,(AP936-AQ936)/AP936)))</f>
        <v>0.69423620337202685</v>
      </c>
      <c r="AL937" s="18">
        <f>IF($A937&gt;'1-Input'!$B$26,0,(MAX(0,AK891-IF($A937&gt;='1-Input'!$C$12,'1-Input'!$B$12,0))-MIN(MAX(AO936,0),MAX(0,AK891-IF($A937&gt;='1-Input'!$C$12,'1-Input'!$B$12,0))))*(1/(1-'P-Parametri'!$B$6*AK937))+MIN(MAX(0,AP936-(MAX(0,AK891-IF($A937&gt;='1-Input'!$C$12,'1-Input'!$B$12,0))-MIN(MAX(AO936,0),MAX(0,AK891-IF($A937&gt;='1-Input'!$C$12,'1-Input'!$B$12,0))))*(1/(1-'P-Parametri'!$B$6*AK937))),MAX(0,0*AK891-(AO936-MIN(MAX(AO936,0),MAX(0,AK891-IF($A937&gt;='1-Input'!$C$12,'1-Input'!$B$12,0)))))*(1/(1-'P-Parametri'!$B$6*AK937))))</f>
        <v>10238.609770343039</v>
      </c>
      <c r="AM937" s="18">
        <f>IF($A937&gt;'1-Input'!$B$26,AO936,(AO936-MAX(0,AK891-IF($A937&gt;='1-Input'!$C$12,'1-Input'!$B$12,0))+AL937*(1-'P-Parametri'!$B$6*AK937))*(1+'1-Input'!$B$27))</f>
        <v>0</v>
      </c>
      <c r="AN937" s="18">
        <f>IF($A937&gt;'1-Input'!$B$26,AP936,(AP936-AL937)*(1+'5-Roberta'!$C$4))</f>
        <v>10286.250352109564</v>
      </c>
      <c r="AO937" s="18">
        <f>IF($A937&gt;'1-Input'!$B$26,AM937,AM937-'P-Parametri'!$B$8*(AN937+AM937)+MIN(MAX(AN937,0),'P-Parametri'!$B$8*(AN937+AM937)))</f>
        <v>0</v>
      </c>
      <c r="AP937" s="18">
        <f>IF($A937&gt;'1-Input'!$B$26,AN937,AN937-MIN(MAX(AN937,0),'P-Parametri'!$B$8*(AN937+AM937)))</f>
        <v>10265.677851405346</v>
      </c>
      <c r="AQ937" s="18">
        <f>IF($A937&gt;'1-Input'!$B$26,AQ936,AQ936-AL937*(1-AK937))</f>
        <v>3053.5562725503369</v>
      </c>
    </row>
    <row r="938" spans="1:43">
      <c r="A938" s="10">
        <f>45</f>
        <v>45</v>
      </c>
      <c r="B938" s="11">
        <f>IF($A938&gt;'1-Input'!$B$26,0,IF(G937&lt;=0,0,MAX(0,(G937-H937)/G937)))</f>
        <v>0.70254703909958449</v>
      </c>
      <c r="C938" s="18">
        <f>IF($A938&gt;'1-Input'!$B$26,0,(MAX(0,B891-IF($A938&gt;='1-Input'!$C$12,'1-Input'!$B$12,0))-MIN(MAX(F937,0),MAX(0,B891-IF($A938&gt;='1-Input'!$C$12,'1-Input'!$B$12,0))))*(1/(1-'P-Parametri'!$B$6*B938))+MIN(MAX(0,G937-(MAX(0,B891-IF($A938&gt;='1-Input'!$C$12,'1-Input'!$B$12,0))-MIN(MAX(F937,0),MAX(0,B891-IF($A938&gt;='1-Input'!$C$12,'1-Input'!$B$12,0))))*(1/(1-'P-Parametri'!$B$6*B938))),MAX(0,0*B891-(F937-MIN(MAX(F937,0),MAX(0,B891-IF($A938&gt;='1-Input'!$C$12,'1-Input'!$B$12,0)))))*(1/(1-'P-Parametri'!$B$6*B938))))</f>
        <v>6825.8870696238146</v>
      </c>
      <c r="D938" s="18">
        <f>IF($A938&gt;'1-Input'!$B$26,F937,(F937-MAX(0,B891-IF($A938&gt;='1-Input'!$C$12,'1-Input'!$B$12,0))+C938*(1-'P-Parametri'!$B$6*B938))*(1+'1-Input'!$B$27))</f>
        <v>9.0622052084654565E-13</v>
      </c>
      <c r="E938" s="18">
        <f>IF($A938&gt;'1-Input'!$B$26,G937,(G937-C938)*(1+'5-Roberta'!$C$4))</f>
        <v>280718.93518993928</v>
      </c>
      <c r="F938" s="18">
        <f>IF($A938&gt;'1-Input'!$B$26,D938,D938-'P-Parametri'!$B$8*(E938+D938)+MIN(MAX(E938,0),'P-Parametri'!$B$8*(E938+D938)))</f>
        <v>9.0949470177292824E-13</v>
      </c>
      <c r="G938" s="18">
        <f>IF($A938&gt;'1-Input'!$B$26,E938,E938-MIN(MAX(E938,0),'P-Parametri'!$B$8*(E938+D938)))</f>
        <v>280157.49731955939</v>
      </c>
      <c r="H938" s="18">
        <f>IF($A938&gt;'1-Input'!$B$26,H937,H937-C938*(1-B938))</f>
        <v>81068.619857339087</v>
      </c>
      <c r="I938" s="11">
        <f>IF($A938&gt;'1-Input'!$B$26,0,IF(N937&lt;=0,0,MAX(0,(N937-O937)/N937)))</f>
        <v>0</v>
      </c>
      <c r="J938" s="18">
        <f>IF($A938&gt;'1-Input'!$B$26,0,(MAX(0,I891-IF($A938&gt;='1-Input'!$C$12,'1-Input'!$B$12,0))-MIN(MAX(M937,0),MAX(0,I891-IF($A938&gt;='1-Input'!$C$12,'1-Input'!$B$12,0))))*(1/(1-'P-Parametri'!$B$6*I938))+MIN(MAX(0,N937-(MAX(0,I891-IF($A938&gt;='1-Input'!$C$12,'1-Input'!$B$12,0))-MIN(MAX(M937,0),MAX(0,I891-IF($A938&gt;='1-Input'!$C$12,'1-Input'!$B$12,0))))*(1/(1-'P-Parametri'!$B$6*I938))),MAX(0,0*I891-(M937-MIN(MAX(M937,0),MAX(0,I891-IF($A938&gt;='1-Input'!$C$12,'1-Input'!$B$12,0)))))*(1/(1-'P-Parametri'!$B$6*I938))))</f>
        <v>10846.756992928691</v>
      </c>
      <c r="K938" s="18">
        <f>IF($A938&gt;'1-Input'!$B$26,M937,(M937-MAX(0,I891-IF($A938&gt;='1-Input'!$C$12,'1-Input'!$B$12,0))+J938*(1-'P-Parametri'!$B$6*I938))*(1+'1-Input'!$B$27))</f>
        <v>0</v>
      </c>
      <c r="L938" s="18">
        <f>IF($A938&gt;'1-Input'!$B$26,N937,(N937-J938)*(1+'5-Roberta'!$C$4))</f>
        <v>-204991.48222261353</v>
      </c>
      <c r="M938" s="18">
        <f>IF($A938&gt;'1-Input'!$B$26,K938,K938-'P-Parametri'!$B$8*(L938+K938)+MIN(MAX(L938,0),'P-Parametri'!$B$8*(L938+K938)))</f>
        <v>0</v>
      </c>
      <c r="N938" s="18">
        <f>IF($A938&gt;'1-Input'!$B$26,L938,L938-MIN(MAX(L938,0),'P-Parametri'!$B$8*(L938+K938)))</f>
        <v>-204581.4992581683</v>
      </c>
      <c r="O938" s="18">
        <f>IF($A938&gt;'1-Input'!$B$26,O937,O937-J938*(1-I938))</f>
        <v>-162791.167607735</v>
      </c>
      <c r="P938" s="11">
        <f>IF($A938&gt;'1-Input'!$B$26,0,IF(U937&lt;=0,0,MAX(0,(U937-V937)/U937)))</f>
        <v>0</v>
      </c>
      <c r="Q938" s="18">
        <f>IF($A938&gt;'1-Input'!$B$26,0,(MAX(0,P891-IF($A938&gt;='1-Input'!$C$12,'1-Input'!$B$12,0))-MIN(MAX(T937,0),MAX(0,P891-IF($A938&gt;='1-Input'!$C$12,'1-Input'!$B$12,0))))*(1/(1-'P-Parametri'!$B$6*P938))+MIN(MAX(0,U937-(MAX(0,P891-IF($A938&gt;='1-Input'!$C$12,'1-Input'!$B$12,0))-MIN(MAX(T937,0),MAX(0,P891-IF($A938&gt;='1-Input'!$C$12,'1-Input'!$B$12,0))))*(1/(1-'P-Parametri'!$B$6*P938))),MAX(0,0*P891-(T937-MIN(MAX(T937,0),MAX(0,P891-IF($A938&gt;='1-Input'!$C$12,'1-Input'!$B$12,0)))))*(1/(1-'P-Parametri'!$B$6*P938))))</f>
        <v>8623.551691518267</v>
      </c>
      <c r="R938" s="18">
        <f>IF($A938&gt;'1-Input'!$B$26,T937,(T937-MAX(0,P891-IF($A938&gt;='1-Input'!$C$12,'1-Input'!$B$12,0))+Q938*(1-'P-Parametri'!$B$6*P938))*(1+'1-Input'!$B$27))</f>
        <v>0</v>
      </c>
      <c r="S938" s="18">
        <f>IF($A938&gt;'1-Input'!$B$26,U937,(U937-Q938)*(1+'5-Roberta'!$C$4))</f>
        <v>-19270.958508173237</v>
      </c>
      <c r="T938" s="18">
        <f>IF($A938&gt;'1-Input'!$B$26,R938,R938-'P-Parametri'!$B$8*(S938+R938)+MIN(MAX(S938,0),'P-Parametri'!$B$8*(S938+R938)))</f>
        <v>0</v>
      </c>
      <c r="U938" s="18">
        <f>IF($A938&gt;'1-Input'!$B$26,S938,S938-MIN(MAX(S938,0),'P-Parametri'!$B$8*(S938+R938)))</f>
        <v>-19232.416591156889</v>
      </c>
      <c r="V938" s="18">
        <f>IF($A938&gt;'1-Input'!$B$26,V937,V937-Q938*(1-P938))</f>
        <v>-17610.4787725676</v>
      </c>
      <c r="W938" s="11">
        <f>IF($A938&gt;'1-Input'!$B$26,0,IF(AB937&lt;=0,0,MAX(0,(AB937-AC937)/AB937)))</f>
        <v>0.70254703909958494</v>
      </c>
      <c r="X938" s="18">
        <f>IF($A938&gt;'1-Input'!$B$26,0,(MAX(0,W891-IF($A938&gt;='1-Input'!$C$12,'1-Input'!$B$12,0))-MIN(MAX(AA937,0),MAX(0,W891-IF($A938&gt;='1-Input'!$C$12,'1-Input'!$B$12,0))))*(1/(1-'P-Parametri'!$B$6*W938))+MIN(MAX(0,AB937-(MAX(0,W891-IF($A938&gt;='1-Input'!$C$12,'1-Input'!$B$12,0))-MIN(MAX(AA937,0),MAX(0,W891-IF($A938&gt;='1-Input'!$C$12,'1-Input'!$B$12,0))))*(1/(1-'P-Parametri'!$B$6*W938))),MAX(0,0*W891-(AA937-MIN(MAX(AA937,0),MAX(0,W891-IF($A938&gt;='1-Input'!$C$12,'1-Input'!$B$12,0)))))*(1/(1-'P-Parametri'!$B$6*W938))))</f>
        <v>10268.538997073103</v>
      </c>
      <c r="Y938" s="18">
        <f>IF($A938&gt;'1-Input'!$B$26,AA937,(AA937-MAX(0,W891-IF($A938&gt;='1-Input'!$C$12,'1-Input'!$B$12,0))+X938*(1-'P-Parametri'!$B$6*W938))*(1+'1-Input'!$B$27))</f>
        <v>0</v>
      </c>
      <c r="Z938" s="18">
        <f>IF($A938&gt;'1-Input'!$B$26,AB937,(AB937-X938)*(1+'5-Roberta'!$C$4))</f>
        <v>-233.49610960663802</v>
      </c>
      <c r="AA938" s="18">
        <f>IF($A938&gt;'1-Input'!$B$26,Y938,Y938-'P-Parametri'!$B$8*(Z938+Y938)+MIN(MAX(Z938,0),'P-Parametri'!$B$8*(Z938+Y938)))</f>
        <v>0</v>
      </c>
      <c r="AB938" s="18">
        <f>IF($A938&gt;'1-Input'!$B$26,Z938,Z938-MIN(MAX(Z938,0),'P-Parametri'!$B$8*(Z938+Y938)))</f>
        <v>-233.02911738742475</v>
      </c>
      <c r="AC938" s="18">
        <f>IF($A938&gt;'1-Input'!$B$26,AC937,AC937-X938*(1-W938))</f>
        <v>-67.431173942933583</v>
      </c>
      <c r="AD938" s="11">
        <f>IF($A938&gt;'1-Input'!$B$26,0,IF(AI937&lt;=0,0,MAX(0,(AI937-AJ937)/AI937)))</f>
        <v>0.70254703909958449</v>
      </c>
      <c r="AE938" s="18">
        <f>IF($A938&gt;'1-Input'!$B$26,0,(MAX(0,AD891-IF($A938&gt;='1-Input'!$C$12,'1-Input'!$B$12,0))-MIN(MAX(AH937,0),MAX(0,AD891-IF($A938&gt;='1-Input'!$C$12,'1-Input'!$B$12,0))))*(1/(1-'P-Parametri'!$B$6*AD938))+MIN(MAX(0,AI937-(MAX(0,AD891-IF($A938&gt;='1-Input'!$C$12,'1-Input'!$B$12,0))-MIN(MAX(AH937,0),MAX(0,AD891-IF($A938&gt;='1-Input'!$C$12,'1-Input'!$B$12,0))))*(1/(1-'P-Parametri'!$B$6*AD938))),MAX(0,0*AD891-(AH937-MIN(MAX(AH937,0),MAX(0,AD891-IF($A938&gt;='1-Input'!$C$12,'1-Input'!$B$12,0)))))*(1/(1-'P-Parametri'!$B$6*AD938))))</f>
        <v>10265.0772765089</v>
      </c>
      <c r="AF938" s="18">
        <f>IF($A938&gt;'1-Input'!$B$26,AH937,(AH937-MAX(0,AD891-IF($A938&gt;='1-Input'!$C$12,'1-Input'!$B$12,0))+AE938*(1-'P-Parametri'!$B$6*AD938))*(1+'1-Input'!$B$27))</f>
        <v>1.8124410416930913E-12</v>
      </c>
      <c r="AG938" s="18">
        <f>IF($A938&gt;'1-Input'!$B$26,AI937,(AI937-AE938)*(1+'5-Roberta'!$C$4))</f>
        <v>49.012499886113744</v>
      </c>
      <c r="AH938" s="18">
        <f>IF($A938&gt;'1-Input'!$B$26,AF938,AF938-'P-Parametri'!$B$8*(AG938+AF938)+MIN(MAX(AG938,0),'P-Parametri'!$B$8*(AG938+AF938)))</f>
        <v>1.8124390877005681E-12</v>
      </c>
      <c r="AI938" s="18">
        <f>IF($A938&gt;'1-Input'!$B$26,AG938,AG938-MIN(MAX(AG938,0),'P-Parametri'!$B$8*(AG938+AF938)))</f>
        <v>48.914474886341516</v>
      </c>
      <c r="AJ938" s="18">
        <f>IF($A938&gt;'1-Input'!$B$26,AJ937,AJ937-AE938*(1-AD938))</f>
        <v>14.154284672093581</v>
      </c>
      <c r="AK938" s="11">
        <f>IF($A938&gt;'1-Input'!$B$26,0,IF(AP937&lt;=0,0,MAX(0,(AP937-AQ937)/AP937)))</f>
        <v>0.70254703909958438</v>
      </c>
      <c r="AL938" s="18">
        <f>IF($A938&gt;'1-Input'!$B$26,0,(MAX(0,AK891-IF($A938&gt;='1-Input'!$C$12,'1-Input'!$B$12,0))-MIN(MAX(AO937,0),MAX(0,AK891-IF($A938&gt;='1-Input'!$C$12,'1-Input'!$B$12,0))))*(1/(1-'P-Parametri'!$B$6*AK938))+MIN(MAX(0,AP937-(MAX(0,AK891-IF($A938&gt;='1-Input'!$C$12,'1-Input'!$B$12,0))-MIN(MAX(AO937,0),MAX(0,AK891-IF($A938&gt;='1-Input'!$C$12,'1-Input'!$B$12,0))))*(1/(1-'P-Parametri'!$B$6*AK938))),MAX(0,0*AK891-(AO937-MIN(MAX(AO937,0),MAX(0,AK891-IF($A938&gt;='1-Input'!$C$12,'1-Input'!$B$12,0)))))*(1/(1-'P-Parametri'!$B$6*AK938))))</f>
        <v>10265.677851404876</v>
      </c>
      <c r="AM938" s="18">
        <f>IF($A938&gt;'1-Input'!$B$26,AO937,(AO937-MAX(0,AK891-IF($A938&gt;='1-Input'!$C$12,'1-Input'!$B$12,0))+AL938*(1-'P-Parametri'!$B$6*AK938))*(1+'1-Input'!$B$27))</f>
        <v>1.8124410416930913E-12</v>
      </c>
      <c r="AN938" s="18">
        <f>IF($A938&gt;'1-Input'!$B$26,AP937,(AP937-AL938)*(1+'5-Roberta'!$C$4))</f>
        <v>4.8337824409827592E-10</v>
      </c>
      <c r="AO938" s="18">
        <f>IF($A938&gt;'1-Input'!$B$26,AM938,AM938-'P-Parametri'!$B$8*(AN938+AM938)+MIN(MAX(AN938,0),'P-Parametri'!$B$8*(AN938+AM938)))</f>
        <v>1.8124410416930913E-12</v>
      </c>
      <c r="AP938" s="18">
        <f>IF($A938&gt;'1-Input'!$B$26,AN938,AN938-MIN(MAX(AN938,0),'P-Parametri'!$B$8*(AN938+AM938)))</f>
        <v>4.8240786272799593E-10</v>
      </c>
      <c r="AQ938" s="18">
        <f>IF($A938&gt;'1-Input'!$B$26,AQ937,AQ937-AL938*(1-AK938))</f>
        <v>1.3960743672214448E-10</v>
      </c>
    </row>
    <row r="939" spans="1:43">
      <c r="A939" s="10">
        <f>46</f>
        <v>46</v>
      </c>
      <c r="B939" s="11">
        <f>IF($A939&gt;'1-Input'!$B$26,0,IF(G938&lt;=0,0,MAX(0,(G938-H938)/G938)))</f>
        <v>0</v>
      </c>
      <c r="C939" s="18">
        <f>IF($A939&gt;'1-Input'!$B$26,0,(MAX(0,B891-IF($A939&gt;='1-Input'!$C$12,'1-Input'!$B$12,0))-MIN(MAX(F938,0),MAX(0,B891-IF($A939&gt;='1-Input'!$C$12,'1-Input'!$B$12,0))))*(1/(1-'P-Parametri'!$B$6*B939))+MIN(MAX(0,G938-(MAX(0,B891-IF($A939&gt;='1-Input'!$C$12,'1-Input'!$B$12,0))-MIN(MAX(F938,0),MAX(0,B891-IF($A939&gt;='1-Input'!$C$12,'1-Input'!$B$12,0))))*(1/(1-'P-Parametri'!$B$6*B939))),MAX(0,0*B891-(F938-MIN(MAX(F938,0),MAX(0,B891-IF($A939&gt;='1-Input'!$C$12,'1-Input'!$B$12,0)))))*(1/(1-'P-Parametri'!$B$6*B939))))</f>
        <v>0</v>
      </c>
      <c r="D939" s="18">
        <f>IF($A939&gt;'1-Input'!$B$26,F938,(F938-MAX(0,B891-IF($A939&gt;='1-Input'!$C$12,'1-Input'!$B$12,0))+C939*(1-'P-Parametri'!$B$6*B939))*(1+'1-Input'!$B$27))</f>
        <v>9.0949470177292824E-13</v>
      </c>
      <c r="E939" s="18">
        <f>IF($A939&gt;'1-Input'!$B$26,G938,(G938-C939)*(1+'5-Roberta'!$C$4))</f>
        <v>280157.49731955939</v>
      </c>
      <c r="F939" s="18">
        <f>IF($A939&gt;'1-Input'!$B$26,D939,D939-'P-Parametri'!$B$8*(E939+D939)+MIN(MAX(E939,0),'P-Parametri'!$B$8*(E939+D939)))</f>
        <v>9.0949470177292824E-13</v>
      </c>
      <c r="G939" s="18">
        <f>IF($A939&gt;'1-Input'!$B$26,E939,E939-MIN(MAX(E939,0),'P-Parametri'!$B$8*(E939+D939)))</f>
        <v>280157.49731955939</v>
      </c>
      <c r="H939" s="18">
        <f>IF($A939&gt;'1-Input'!$B$26,H938,H938-C939*(1-B939))</f>
        <v>81068.619857339087</v>
      </c>
      <c r="I939" s="11">
        <f>IF($A939&gt;'1-Input'!$B$26,0,IF(N938&lt;=0,0,MAX(0,(N938-O938)/N938)))</f>
        <v>0</v>
      </c>
      <c r="J939" s="18">
        <f>IF($A939&gt;'1-Input'!$B$26,0,(MAX(0,I891-IF($A939&gt;='1-Input'!$C$12,'1-Input'!$B$12,0))-MIN(MAX(M938,0),MAX(0,I891-IF($A939&gt;='1-Input'!$C$12,'1-Input'!$B$12,0))))*(1/(1-'P-Parametri'!$B$6*I939))+MIN(MAX(0,N938-(MAX(0,I891-IF($A939&gt;='1-Input'!$C$12,'1-Input'!$B$12,0))-MIN(MAX(M938,0),MAX(0,I891-IF($A939&gt;='1-Input'!$C$12,'1-Input'!$B$12,0))))*(1/(1-'P-Parametri'!$B$6*I939))),MAX(0,0*I891-(M938-MIN(MAX(M938,0),MAX(0,I891-IF($A939&gt;='1-Input'!$C$12,'1-Input'!$B$12,0)))))*(1/(1-'P-Parametri'!$B$6*I939))))</f>
        <v>0</v>
      </c>
      <c r="K939" s="18">
        <f>IF($A939&gt;'1-Input'!$B$26,M938,(M938-MAX(0,I891-IF($A939&gt;='1-Input'!$C$12,'1-Input'!$B$12,0))+J939*(1-'P-Parametri'!$B$6*I939))*(1+'1-Input'!$B$27))</f>
        <v>0</v>
      </c>
      <c r="L939" s="18">
        <f>IF($A939&gt;'1-Input'!$B$26,N938,(N938-J939)*(1+'5-Roberta'!$C$4))</f>
        <v>-204581.4992581683</v>
      </c>
      <c r="M939" s="18">
        <f>IF($A939&gt;'1-Input'!$B$26,K939,K939-'P-Parametri'!$B$8*(L939+K939)+MIN(MAX(L939,0),'P-Parametri'!$B$8*(L939+K939)))</f>
        <v>0</v>
      </c>
      <c r="N939" s="18">
        <f>IF($A939&gt;'1-Input'!$B$26,L939,L939-MIN(MAX(L939,0),'P-Parametri'!$B$8*(L939+K939)))</f>
        <v>-204581.4992581683</v>
      </c>
      <c r="O939" s="18">
        <f>IF($A939&gt;'1-Input'!$B$26,O938,O938-J939*(1-I939))</f>
        <v>-162791.167607735</v>
      </c>
      <c r="P939" s="11">
        <f>IF($A939&gt;'1-Input'!$B$26,0,IF(U938&lt;=0,0,MAX(0,(U938-V938)/U938)))</f>
        <v>0</v>
      </c>
      <c r="Q939" s="18">
        <f>IF($A939&gt;'1-Input'!$B$26,0,(MAX(0,P891-IF($A939&gt;='1-Input'!$C$12,'1-Input'!$B$12,0))-MIN(MAX(T938,0),MAX(0,P891-IF($A939&gt;='1-Input'!$C$12,'1-Input'!$B$12,0))))*(1/(1-'P-Parametri'!$B$6*P939))+MIN(MAX(0,U938-(MAX(0,P891-IF($A939&gt;='1-Input'!$C$12,'1-Input'!$B$12,0))-MIN(MAX(T938,0),MAX(0,P891-IF($A939&gt;='1-Input'!$C$12,'1-Input'!$B$12,0))))*(1/(1-'P-Parametri'!$B$6*P939))),MAX(0,0*P891-(T938-MIN(MAX(T938,0),MAX(0,P891-IF($A939&gt;='1-Input'!$C$12,'1-Input'!$B$12,0)))))*(1/(1-'P-Parametri'!$B$6*P939))))</f>
        <v>0</v>
      </c>
      <c r="R939" s="18">
        <f>IF($A939&gt;'1-Input'!$B$26,T938,(T938-MAX(0,P891-IF($A939&gt;='1-Input'!$C$12,'1-Input'!$B$12,0))+Q939*(1-'P-Parametri'!$B$6*P939))*(1+'1-Input'!$B$27))</f>
        <v>0</v>
      </c>
      <c r="S939" s="18">
        <f>IF($A939&gt;'1-Input'!$B$26,U938,(U938-Q939)*(1+'5-Roberta'!$C$4))</f>
        <v>-19232.416591156889</v>
      </c>
      <c r="T939" s="18">
        <f>IF($A939&gt;'1-Input'!$B$26,R939,R939-'P-Parametri'!$B$8*(S939+R939)+MIN(MAX(S939,0),'P-Parametri'!$B$8*(S939+R939)))</f>
        <v>0</v>
      </c>
      <c r="U939" s="18">
        <f>IF($A939&gt;'1-Input'!$B$26,S939,S939-MIN(MAX(S939,0),'P-Parametri'!$B$8*(S939+R939)))</f>
        <v>-19232.416591156889</v>
      </c>
      <c r="V939" s="18">
        <f>IF($A939&gt;'1-Input'!$B$26,V938,V938-Q939*(1-P939))</f>
        <v>-17610.4787725676</v>
      </c>
      <c r="W939" s="11">
        <f>IF($A939&gt;'1-Input'!$B$26,0,IF(AB938&lt;=0,0,MAX(0,(AB938-AC938)/AB938)))</f>
        <v>0</v>
      </c>
      <c r="X939" s="18">
        <f>IF($A939&gt;'1-Input'!$B$26,0,(MAX(0,W891-IF($A939&gt;='1-Input'!$C$12,'1-Input'!$B$12,0))-MIN(MAX(AA938,0),MAX(0,W891-IF($A939&gt;='1-Input'!$C$12,'1-Input'!$B$12,0))))*(1/(1-'P-Parametri'!$B$6*W939))+MIN(MAX(0,AB938-(MAX(0,W891-IF($A939&gt;='1-Input'!$C$12,'1-Input'!$B$12,0))-MIN(MAX(AA938,0),MAX(0,W891-IF($A939&gt;='1-Input'!$C$12,'1-Input'!$B$12,0))))*(1/(1-'P-Parametri'!$B$6*W939))),MAX(0,0*W891-(AA938-MIN(MAX(AA938,0),MAX(0,W891-IF($A939&gt;='1-Input'!$C$12,'1-Input'!$B$12,0)))))*(1/(1-'P-Parametri'!$B$6*W939))))</f>
        <v>0</v>
      </c>
      <c r="Y939" s="18">
        <f>IF($A939&gt;'1-Input'!$B$26,AA938,(AA938-MAX(0,W891-IF($A939&gt;='1-Input'!$C$12,'1-Input'!$B$12,0))+X939*(1-'P-Parametri'!$B$6*W939))*(1+'1-Input'!$B$27))</f>
        <v>0</v>
      </c>
      <c r="Z939" s="18">
        <f>IF($A939&gt;'1-Input'!$B$26,AB938,(AB938-X939)*(1+'5-Roberta'!$C$4))</f>
        <v>-233.02911738742475</v>
      </c>
      <c r="AA939" s="18">
        <f>IF($A939&gt;'1-Input'!$B$26,Y939,Y939-'P-Parametri'!$B$8*(Z939+Y939)+MIN(MAX(Z939,0),'P-Parametri'!$B$8*(Z939+Y939)))</f>
        <v>0</v>
      </c>
      <c r="AB939" s="18">
        <f>IF($A939&gt;'1-Input'!$B$26,Z939,Z939-MIN(MAX(Z939,0),'P-Parametri'!$B$8*(Z939+Y939)))</f>
        <v>-233.02911738742475</v>
      </c>
      <c r="AC939" s="18">
        <f>IF($A939&gt;'1-Input'!$B$26,AC938,AC938-X939*(1-W939))</f>
        <v>-67.431173942933583</v>
      </c>
      <c r="AD939" s="11">
        <f>IF($A939&gt;'1-Input'!$B$26,0,IF(AI938&lt;=0,0,MAX(0,(AI938-AJ938)/AI938)))</f>
        <v>0</v>
      </c>
      <c r="AE939" s="18">
        <f>IF($A939&gt;'1-Input'!$B$26,0,(MAX(0,AD891-IF($A939&gt;='1-Input'!$C$12,'1-Input'!$B$12,0))-MIN(MAX(AH938,0),MAX(0,AD891-IF($A939&gt;='1-Input'!$C$12,'1-Input'!$B$12,0))))*(1/(1-'P-Parametri'!$B$6*AD939))+MIN(MAX(0,AI938-(MAX(0,AD891-IF($A939&gt;='1-Input'!$C$12,'1-Input'!$B$12,0))-MIN(MAX(AH938,0),MAX(0,AD891-IF($A939&gt;='1-Input'!$C$12,'1-Input'!$B$12,0))))*(1/(1-'P-Parametri'!$B$6*AD939))),MAX(0,0*AD891-(AH938-MIN(MAX(AH938,0),MAX(0,AD891-IF($A939&gt;='1-Input'!$C$12,'1-Input'!$B$12,0)))))*(1/(1-'P-Parametri'!$B$6*AD939))))</f>
        <v>0</v>
      </c>
      <c r="AF939" s="18">
        <f>IF($A939&gt;'1-Input'!$B$26,AH938,(AH938-MAX(0,AD891-IF($A939&gt;='1-Input'!$C$12,'1-Input'!$B$12,0))+AE939*(1-'P-Parametri'!$B$6*AD939))*(1+'1-Input'!$B$27))</f>
        <v>1.8124390877005681E-12</v>
      </c>
      <c r="AG939" s="18">
        <f>IF($A939&gt;'1-Input'!$B$26,AI938,(AI938-AE939)*(1+'5-Roberta'!$C$4))</f>
        <v>48.914474886341516</v>
      </c>
      <c r="AH939" s="18">
        <f>IF($A939&gt;'1-Input'!$B$26,AF939,AF939-'P-Parametri'!$B$8*(AG939+AF939)+MIN(MAX(AG939,0),'P-Parametri'!$B$8*(AG939+AF939)))</f>
        <v>1.8124390877005681E-12</v>
      </c>
      <c r="AI939" s="18">
        <f>IF($A939&gt;'1-Input'!$B$26,AG939,AG939-MIN(MAX(AG939,0),'P-Parametri'!$B$8*(AG939+AF939)))</f>
        <v>48.914474886341516</v>
      </c>
      <c r="AJ939" s="18">
        <f>IF($A939&gt;'1-Input'!$B$26,AJ938,AJ938-AE939*(1-AD939))</f>
        <v>14.154284672093581</v>
      </c>
      <c r="AK939" s="11">
        <f>IF($A939&gt;'1-Input'!$B$26,0,IF(AP938&lt;=0,0,MAX(0,(AP938-AQ938)/AP938)))</f>
        <v>0</v>
      </c>
      <c r="AL939" s="18">
        <f>IF($A939&gt;'1-Input'!$B$26,0,(MAX(0,AK891-IF($A939&gt;='1-Input'!$C$12,'1-Input'!$B$12,0))-MIN(MAX(AO938,0),MAX(0,AK891-IF($A939&gt;='1-Input'!$C$12,'1-Input'!$B$12,0))))*(1/(1-'P-Parametri'!$B$6*AK939))+MIN(MAX(0,AP938-(MAX(0,AK891-IF($A939&gt;='1-Input'!$C$12,'1-Input'!$B$12,0))-MIN(MAX(AO938,0),MAX(0,AK891-IF($A939&gt;='1-Input'!$C$12,'1-Input'!$B$12,0))))*(1/(1-'P-Parametri'!$B$6*AK939))),MAX(0,0*AK891-(AO938-MIN(MAX(AO938,0),MAX(0,AK891-IF($A939&gt;='1-Input'!$C$12,'1-Input'!$B$12,0)))))*(1/(1-'P-Parametri'!$B$6*AK939))))</f>
        <v>0</v>
      </c>
      <c r="AM939" s="18">
        <f>IF($A939&gt;'1-Input'!$B$26,AO938,(AO938-MAX(0,AK891-IF($A939&gt;='1-Input'!$C$12,'1-Input'!$B$12,0))+AL939*(1-'P-Parametri'!$B$6*AK939))*(1+'1-Input'!$B$27))</f>
        <v>1.8124410416930913E-12</v>
      </c>
      <c r="AN939" s="18">
        <f>IF($A939&gt;'1-Input'!$B$26,AP938,(AP938-AL939)*(1+'5-Roberta'!$C$4))</f>
        <v>4.8240786272799593E-10</v>
      </c>
      <c r="AO939" s="18">
        <f>IF($A939&gt;'1-Input'!$B$26,AM939,AM939-'P-Parametri'!$B$8*(AN939+AM939)+MIN(MAX(AN939,0),'P-Parametri'!$B$8*(AN939+AM939)))</f>
        <v>1.8124410416930913E-12</v>
      </c>
      <c r="AP939" s="18">
        <f>IF($A939&gt;'1-Input'!$B$26,AN939,AN939-MIN(MAX(AN939,0),'P-Parametri'!$B$8*(AN939+AM939)))</f>
        <v>4.8240786272799593E-10</v>
      </c>
      <c r="AQ939" s="18">
        <f>IF($A939&gt;'1-Input'!$B$26,AQ938,AQ938-AL939*(1-AK939))</f>
        <v>1.3960743672214448E-10</v>
      </c>
    </row>
    <row r="940" spans="1:43">
      <c r="A940" s="10">
        <f>47</f>
        <v>47</v>
      </c>
      <c r="B940" s="11">
        <f>IF($A940&gt;'1-Input'!$B$26,0,IF(G939&lt;=0,0,MAX(0,(G939-H939)/G939)))</f>
        <v>0</v>
      </c>
      <c r="C940" s="18">
        <f>IF($A940&gt;'1-Input'!$B$26,0,(MAX(0,B891-IF($A940&gt;='1-Input'!$C$12,'1-Input'!$B$12,0))-MIN(MAX(F939,0),MAX(0,B891-IF($A940&gt;='1-Input'!$C$12,'1-Input'!$B$12,0))))*(1/(1-'P-Parametri'!$B$6*B940))+MIN(MAX(0,G939-(MAX(0,B891-IF($A940&gt;='1-Input'!$C$12,'1-Input'!$B$12,0))-MIN(MAX(F939,0),MAX(0,B891-IF($A940&gt;='1-Input'!$C$12,'1-Input'!$B$12,0))))*(1/(1-'P-Parametri'!$B$6*B940))),MAX(0,0*B891-(F939-MIN(MAX(F939,0),MAX(0,B891-IF($A940&gt;='1-Input'!$C$12,'1-Input'!$B$12,0)))))*(1/(1-'P-Parametri'!$B$6*B940))))</f>
        <v>0</v>
      </c>
      <c r="D940" s="18">
        <f>IF($A940&gt;'1-Input'!$B$26,F939,(F939-MAX(0,B891-IF($A940&gt;='1-Input'!$C$12,'1-Input'!$B$12,0))+C940*(1-'P-Parametri'!$B$6*B940))*(1+'1-Input'!$B$27))</f>
        <v>9.0949470177292824E-13</v>
      </c>
      <c r="E940" s="18">
        <f>IF($A940&gt;'1-Input'!$B$26,G939,(G939-C940)*(1+'5-Roberta'!$C$4))</f>
        <v>280157.49731955939</v>
      </c>
      <c r="F940" s="18">
        <f>IF($A940&gt;'1-Input'!$B$26,D940,D940-'P-Parametri'!$B$8*(E940+D940)+MIN(MAX(E940,0),'P-Parametri'!$B$8*(E940+D940)))</f>
        <v>9.0949470177292824E-13</v>
      </c>
      <c r="G940" s="18">
        <f>IF($A940&gt;'1-Input'!$B$26,E940,E940-MIN(MAX(E940,0),'P-Parametri'!$B$8*(E940+D940)))</f>
        <v>280157.49731955939</v>
      </c>
      <c r="H940" s="18">
        <f>IF($A940&gt;'1-Input'!$B$26,H939,H939-C940*(1-B940))</f>
        <v>81068.619857339087</v>
      </c>
      <c r="I940" s="11">
        <f>IF($A940&gt;'1-Input'!$B$26,0,IF(N939&lt;=0,0,MAX(0,(N939-O939)/N939)))</f>
        <v>0</v>
      </c>
      <c r="J940" s="18">
        <f>IF($A940&gt;'1-Input'!$B$26,0,(MAX(0,I891-IF($A940&gt;='1-Input'!$C$12,'1-Input'!$B$12,0))-MIN(MAX(M939,0),MAX(0,I891-IF($A940&gt;='1-Input'!$C$12,'1-Input'!$B$12,0))))*(1/(1-'P-Parametri'!$B$6*I940))+MIN(MAX(0,N939-(MAX(0,I891-IF($A940&gt;='1-Input'!$C$12,'1-Input'!$B$12,0))-MIN(MAX(M939,0),MAX(0,I891-IF($A940&gt;='1-Input'!$C$12,'1-Input'!$B$12,0))))*(1/(1-'P-Parametri'!$B$6*I940))),MAX(0,0*I891-(M939-MIN(MAX(M939,0),MAX(0,I891-IF($A940&gt;='1-Input'!$C$12,'1-Input'!$B$12,0)))))*(1/(1-'P-Parametri'!$B$6*I940))))</f>
        <v>0</v>
      </c>
      <c r="K940" s="18">
        <f>IF($A940&gt;'1-Input'!$B$26,M939,(M939-MAX(0,I891-IF($A940&gt;='1-Input'!$C$12,'1-Input'!$B$12,0))+J940*(1-'P-Parametri'!$B$6*I940))*(1+'1-Input'!$B$27))</f>
        <v>0</v>
      </c>
      <c r="L940" s="18">
        <f>IF($A940&gt;'1-Input'!$B$26,N939,(N939-J940)*(1+'5-Roberta'!$C$4))</f>
        <v>-204581.4992581683</v>
      </c>
      <c r="M940" s="18">
        <f>IF($A940&gt;'1-Input'!$B$26,K940,K940-'P-Parametri'!$B$8*(L940+K940)+MIN(MAX(L940,0),'P-Parametri'!$B$8*(L940+K940)))</f>
        <v>0</v>
      </c>
      <c r="N940" s="18">
        <f>IF($A940&gt;'1-Input'!$B$26,L940,L940-MIN(MAX(L940,0),'P-Parametri'!$B$8*(L940+K940)))</f>
        <v>-204581.4992581683</v>
      </c>
      <c r="O940" s="18">
        <f>IF($A940&gt;'1-Input'!$B$26,O939,O939-J940*(1-I940))</f>
        <v>-162791.167607735</v>
      </c>
      <c r="P940" s="11">
        <f>IF($A940&gt;'1-Input'!$B$26,0,IF(U939&lt;=0,0,MAX(0,(U939-V939)/U939)))</f>
        <v>0</v>
      </c>
      <c r="Q940" s="18">
        <f>IF($A940&gt;'1-Input'!$B$26,0,(MAX(0,P891-IF($A940&gt;='1-Input'!$C$12,'1-Input'!$B$12,0))-MIN(MAX(T939,0),MAX(0,P891-IF($A940&gt;='1-Input'!$C$12,'1-Input'!$B$12,0))))*(1/(1-'P-Parametri'!$B$6*P940))+MIN(MAX(0,U939-(MAX(0,P891-IF($A940&gt;='1-Input'!$C$12,'1-Input'!$B$12,0))-MIN(MAX(T939,0),MAX(0,P891-IF($A940&gt;='1-Input'!$C$12,'1-Input'!$B$12,0))))*(1/(1-'P-Parametri'!$B$6*P940))),MAX(0,0*P891-(T939-MIN(MAX(T939,0),MAX(0,P891-IF($A940&gt;='1-Input'!$C$12,'1-Input'!$B$12,0)))))*(1/(1-'P-Parametri'!$B$6*P940))))</f>
        <v>0</v>
      </c>
      <c r="R940" s="18">
        <f>IF($A940&gt;'1-Input'!$B$26,T939,(T939-MAX(0,P891-IF($A940&gt;='1-Input'!$C$12,'1-Input'!$B$12,0))+Q940*(1-'P-Parametri'!$B$6*P940))*(1+'1-Input'!$B$27))</f>
        <v>0</v>
      </c>
      <c r="S940" s="18">
        <f>IF($A940&gt;'1-Input'!$B$26,U939,(U939-Q940)*(1+'5-Roberta'!$C$4))</f>
        <v>-19232.416591156889</v>
      </c>
      <c r="T940" s="18">
        <f>IF($A940&gt;'1-Input'!$B$26,R940,R940-'P-Parametri'!$B$8*(S940+R940)+MIN(MAX(S940,0),'P-Parametri'!$B$8*(S940+R940)))</f>
        <v>0</v>
      </c>
      <c r="U940" s="18">
        <f>IF($A940&gt;'1-Input'!$B$26,S940,S940-MIN(MAX(S940,0),'P-Parametri'!$B$8*(S940+R940)))</f>
        <v>-19232.416591156889</v>
      </c>
      <c r="V940" s="18">
        <f>IF($A940&gt;'1-Input'!$B$26,V939,V939-Q940*(1-P940))</f>
        <v>-17610.4787725676</v>
      </c>
      <c r="W940" s="11">
        <f>IF($A940&gt;'1-Input'!$B$26,0,IF(AB939&lt;=0,0,MAX(0,(AB939-AC939)/AB939)))</f>
        <v>0</v>
      </c>
      <c r="X940" s="18">
        <f>IF($A940&gt;'1-Input'!$B$26,0,(MAX(0,W891-IF($A940&gt;='1-Input'!$C$12,'1-Input'!$B$12,0))-MIN(MAX(AA939,0),MAX(0,W891-IF($A940&gt;='1-Input'!$C$12,'1-Input'!$B$12,0))))*(1/(1-'P-Parametri'!$B$6*W940))+MIN(MAX(0,AB939-(MAX(0,W891-IF($A940&gt;='1-Input'!$C$12,'1-Input'!$B$12,0))-MIN(MAX(AA939,0),MAX(0,W891-IF($A940&gt;='1-Input'!$C$12,'1-Input'!$B$12,0))))*(1/(1-'P-Parametri'!$B$6*W940))),MAX(0,0*W891-(AA939-MIN(MAX(AA939,0),MAX(0,W891-IF($A940&gt;='1-Input'!$C$12,'1-Input'!$B$12,0)))))*(1/(1-'P-Parametri'!$B$6*W940))))</f>
        <v>0</v>
      </c>
      <c r="Y940" s="18">
        <f>IF($A940&gt;'1-Input'!$B$26,AA939,(AA939-MAX(0,W891-IF($A940&gt;='1-Input'!$C$12,'1-Input'!$B$12,0))+X940*(1-'P-Parametri'!$B$6*W940))*(1+'1-Input'!$B$27))</f>
        <v>0</v>
      </c>
      <c r="Z940" s="18">
        <f>IF($A940&gt;'1-Input'!$B$26,AB939,(AB939-X940)*(1+'5-Roberta'!$C$4))</f>
        <v>-233.02911738742475</v>
      </c>
      <c r="AA940" s="18">
        <f>IF($A940&gt;'1-Input'!$B$26,Y940,Y940-'P-Parametri'!$B$8*(Z940+Y940)+MIN(MAX(Z940,0),'P-Parametri'!$B$8*(Z940+Y940)))</f>
        <v>0</v>
      </c>
      <c r="AB940" s="18">
        <f>IF($A940&gt;'1-Input'!$B$26,Z940,Z940-MIN(MAX(Z940,0),'P-Parametri'!$B$8*(Z940+Y940)))</f>
        <v>-233.02911738742475</v>
      </c>
      <c r="AC940" s="18">
        <f>IF($A940&gt;'1-Input'!$B$26,AC939,AC939-X940*(1-W940))</f>
        <v>-67.431173942933583</v>
      </c>
      <c r="AD940" s="11">
        <f>IF($A940&gt;'1-Input'!$B$26,0,IF(AI939&lt;=0,0,MAX(0,(AI939-AJ939)/AI939)))</f>
        <v>0</v>
      </c>
      <c r="AE940" s="18">
        <f>IF($A940&gt;'1-Input'!$B$26,0,(MAX(0,AD891-IF($A940&gt;='1-Input'!$C$12,'1-Input'!$B$12,0))-MIN(MAX(AH939,0),MAX(0,AD891-IF($A940&gt;='1-Input'!$C$12,'1-Input'!$B$12,0))))*(1/(1-'P-Parametri'!$B$6*AD940))+MIN(MAX(0,AI939-(MAX(0,AD891-IF($A940&gt;='1-Input'!$C$12,'1-Input'!$B$12,0))-MIN(MAX(AH939,0),MAX(0,AD891-IF($A940&gt;='1-Input'!$C$12,'1-Input'!$B$12,0))))*(1/(1-'P-Parametri'!$B$6*AD940))),MAX(0,0*AD891-(AH939-MIN(MAX(AH939,0),MAX(0,AD891-IF($A940&gt;='1-Input'!$C$12,'1-Input'!$B$12,0)))))*(1/(1-'P-Parametri'!$B$6*AD940))))</f>
        <v>0</v>
      </c>
      <c r="AF940" s="18">
        <f>IF($A940&gt;'1-Input'!$B$26,AH939,(AH939-MAX(0,AD891-IF($A940&gt;='1-Input'!$C$12,'1-Input'!$B$12,0))+AE940*(1-'P-Parametri'!$B$6*AD940))*(1+'1-Input'!$B$27))</f>
        <v>1.8124390877005681E-12</v>
      </c>
      <c r="AG940" s="18">
        <f>IF($A940&gt;'1-Input'!$B$26,AI939,(AI939-AE940)*(1+'5-Roberta'!$C$4))</f>
        <v>48.914474886341516</v>
      </c>
      <c r="AH940" s="18">
        <f>IF($A940&gt;'1-Input'!$B$26,AF940,AF940-'P-Parametri'!$B$8*(AG940+AF940)+MIN(MAX(AG940,0),'P-Parametri'!$B$8*(AG940+AF940)))</f>
        <v>1.8124390877005681E-12</v>
      </c>
      <c r="AI940" s="18">
        <f>IF($A940&gt;'1-Input'!$B$26,AG940,AG940-MIN(MAX(AG940,0),'P-Parametri'!$B$8*(AG940+AF940)))</f>
        <v>48.914474886341516</v>
      </c>
      <c r="AJ940" s="18">
        <f>IF($A940&gt;'1-Input'!$B$26,AJ939,AJ939-AE940*(1-AD940))</f>
        <v>14.154284672093581</v>
      </c>
      <c r="AK940" s="11">
        <f>IF($A940&gt;'1-Input'!$B$26,0,IF(AP939&lt;=0,0,MAX(0,(AP939-AQ939)/AP939)))</f>
        <v>0</v>
      </c>
      <c r="AL940" s="18">
        <f>IF($A940&gt;'1-Input'!$B$26,0,(MAX(0,AK891-IF($A940&gt;='1-Input'!$C$12,'1-Input'!$B$12,0))-MIN(MAX(AO939,0),MAX(0,AK891-IF($A940&gt;='1-Input'!$C$12,'1-Input'!$B$12,0))))*(1/(1-'P-Parametri'!$B$6*AK940))+MIN(MAX(0,AP939-(MAX(0,AK891-IF($A940&gt;='1-Input'!$C$12,'1-Input'!$B$12,0))-MIN(MAX(AO939,0),MAX(0,AK891-IF($A940&gt;='1-Input'!$C$12,'1-Input'!$B$12,0))))*(1/(1-'P-Parametri'!$B$6*AK940))),MAX(0,0*AK891-(AO939-MIN(MAX(AO939,0),MAX(0,AK891-IF($A940&gt;='1-Input'!$C$12,'1-Input'!$B$12,0)))))*(1/(1-'P-Parametri'!$B$6*AK940))))</f>
        <v>0</v>
      </c>
      <c r="AM940" s="18">
        <f>IF($A940&gt;'1-Input'!$B$26,AO939,(AO939-MAX(0,AK891-IF($A940&gt;='1-Input'!$C$12,'1-Input'!$B$12,0))+AL940*(1-'P-Parametri'!$B$6*AK940))*(1+'1-Input'!$B$27))</f>
        <v>1.8124410416930913E-12</v>
      </c>
      <c r="AN940" s="18">
        <f>IF($A940&gt;'1-Input'!$B$26,AP939,(AP939-AL940)*(1+'5-Roberta'!$C$4))</f>
        <v>4.8240786272799593E-10</v>
      </c>
      <c r="AO940" s="18">
        <f>IF($A940&gt;'1-Input'!$B$26,AM940,AM940-'P-Parametri'!$B$8*(AN940+AM940)+MIN(MAX(AN940,0),'P-Parametri'!$B$8*(AN940+AM940)))</f>
        <v>1.8124410416930913E-12</v>
      </c>
      <c r="AP940" s="18">
        <f>IF($A940&gt;'1-Input'!$B$26,AN940,AN940-MIN(MAX(AN940,0),'P-Parametri'!$B$8*(AN940+AM940)))</f>
        <v>4.8240786272799593E-10</v>
      </c>
      <c r="AQ940" s="18">
        <f>IF($A940&gt;'1-Input'!$B$26,AQ939,AQ939-AL940*(1-AK940))</f>
        <v>1.3960743672214448E-10</v>
      </c>
    </row>
    <row r="941" spans="1:43">
      <c r="A941" s="10">
        <f>48</f>
        <v>48</v>
      </c>
      <c r="B941" s="11">
        <f>IF($A941&gt;'1-Input'!$B$26,0,IF(G940&lt;=0,0,MAX(0,(G940-H940)/G940)))</f>
        <v>0</v>
      </c>
      <c r="C941" s="18">
        <f>IF($A941&gt;'1-Input'!$B$26,0,(MAX(0,B891-IF($A941&gt;='1-Input'!$C$12,'1-Input'!$B$12,0))-MIN(MAX(F940,0),MAX(0,B891-IF($A941&gt;='1-Input'!$C$12,'1-Input'!$B$12,0))))*(1/(1-'P-Parametri'!$B$6*B941))+MIN(MAX(0,G940-(MAX(0,B891-IF($A941&gt;='1-Input'!$C$12,'1-Input'!$B$12,0))-MIN(MAX(F940,0),MAX(0,B891-IF($A941&gt;='1-Input'!$C$12,'1-Input'!$B$12,0))))*(1/(1-'P-Parametri'!$B$6*B941))),MAX(0,0*B891-(F940-MIN(MAX(F940,0),MAX(0,B891-IF($A941&gt;='1-Input'!$C$12,'1-Input'!$B$12,0)))))*(1/(1-'P-Parametri'!$B$6*B941))))</f>
        <v>0</v>
      </c>
      <c r="D941" s="18">
        <f>IF($A941&gt;'1-Input'!$B$26,F940,(F940-MAX(0,B891-IF($A941&gt;='1-Input'!$C$12,'1-Input'!$B$12,0))+C941*(1-'P-Parametri'!$B$6*B941))*(1+'1-Input'!$B$27))</f>
        <v>9.0949470177292824E-13</v>
      </c>
      <c r="E941" s="18">
        <f>IF($A941&gt;'1-Input'!$B$26,G940,(G940-C941)*(1+'5-Roberta'!$C$4))</f>
        <v>280157.49731955939</v>
      </c>
      <c r="F941" s="18">
        <f>IF($A941&gt;'1-Input'!$B$26,D941,D941-'P-Parametri'!$B$8*(E941+D941)+MIN(MAX(E941,0),'P-Parametri'!$B$8*(E941+D941)))</f>
        <v>9.0949470177292824E-13</v>
      </c>
      <c r="G941" s="18">
        <f>IF($A941&gt;'1-Input'!$B$26,E941,E941-MIN(MAX(E941,0),'P-Parametri'!$B$8*(E941+D941)))</f>
        <v>280157.49731955939</v>
      </c>
      <c r="H941" s="18">
        <f>IF($A941&gt;'1-Input'!$B$26,H940,H940-C941*(1-B941))</f>
        <v>81068.619857339087</v>
      </c>
      <c r="I941" s="11">
        <f>IF($A941&gt;'1-Input'!$B$26,0,IF(N940&lt;=0,0,MAX(0,(N940-O940)/N940)))</f>
        <v>0</v>
      </c>
      <c r="J941" s="18">
        <f>IF($A941&gt;'1-Input'!$B$26,0,(MAX(0,I891-IF($A941&gt;='1-Input'!$C$12,'1-Input'!$B$12,0))-MIN(MAX(M940,0),MAX(0,I891-IF($A941&gt;='1-Input'!$C$12,'1-Input'!$B$12,0))))*(1/(1-'P-Parametri'!$B$6*I941))+MIN(MAX(0,N940-(MAX(0,I891-IF($A941&gt;='1-Input'!$C$12,'1-Input'!$B$12,0))-MIN(MAX(M940,0),MAX(0,I891-IF($A941&gt;='1-Input'!$C$12,'1-Input'!$B$12,0))))*(1/(1-'P-Parametri'!$B$6*I941))),MAX(0,0*I891-(M940-MIN(MAX(M940,0),MAX(0,I891-IF($A941&gt;='1-Input'!$C$12,'1-Input'!$B$12,0)))))*(1/(1-'P-Parametri'!$B$6*I941))))</f>
        <v>0</v>
      </c>
      <c r="K941" s="18">
        <f>IF($A941&gt;'1-Input'!$B$26,M940,(M940-MAX(0,I891-IF($A941&gt;='1-Input'!$C$12,'1-Input'!$B$12,0))+J941*(1-'P-Parametri'!$B$6*I941))*(1+'1-Input'!$B$27))</f>
        <v>0</v>
      </c>
      <c r="L941" s="18">
        <f>IF($A941&gt;'1-Input'!$B$26,N940,(N940-J941)*(1+'5-Roberta'!$C$4))</f>
        <v>-204581.4992581683</v>
      </c>
      <c r="M941" s="18">
        <f>IF($A941&gt;'1-Input'!$B$26,K941,K941-'P-Parametri'!$B$8*(L941+K941)+MIN(MAX(L941,0),'P-Parametri'!$B$8*(L941+K941)))</f>
        <v>0</v>
      </c>
      <c r="N941" s="18">
        <f>IF($A941&gt;'1-Input'!$B$26,L941,L941-MIN(MAX(L941,0),'P-Parametri'!$B$8*(L941+K941)))</f>
        <v>-204581.4992581683</v>
      </c>
      <c r="O941" s="18">
        <f>IF($A941&gt;'1-Input'!$B$26,O940,O940-J941*(1-I941))</f>
        <v>-162791.167607735</v>
      </c>
      <c r="P941" s="11">
        <f>IF($A941&gt;'1-Input'!$B$26,0,IF(U940&lt;=0,0,MAX(0,(U940-V940)/U940)))</f>
        <v>0</v>
      </c>
      <c r="Q941" s="18">
        <f>IF($A941&gt;'1-Input'!$B$26,0,(MAX(0,P891-IF($A941&gt;='1-Input'!$C$12,'1-Input'!$B$12,0))-MIN(MAX(T940,0),MAX(0,P891-IF($A941&gt;='1-Input'!$C$12,'1-Input'!$B$12,0))))*(1/(1-'P-Parametri'!$B$6*P941))+MIN(MAX(0,U940-(MAX(0,P891-IF($A941&gt;='1-Input'!$C$12,'1-Input'!$B$12,0))-MIN(MAX(T940,0),MAX(0,P891-IF($A941&gt;='1-Input'!$C$12,'1-Input'!$B$12,0))))*(1/(1-'P-Parametri'!$B$6*P941))),MAX(0,0*P891-(T940-MIN(MAX(T940,0),MAX(0,P891-IF($A941&gt;='1-Input'!$C$12,'1-Input'!$B$12,0)))))*(1/(1-'P-Parametri'!$B$6*P941))))</f>
        <v>0</v>
      </c>
      <c r="R941" s="18">
        <f>IF($A941&gt;'1-Input'!$B$26,T940,(T940-MAX(0,P891-IF($A941&gt;='1-Input'!$C$12,'1-Input'!$B$12,0))+Q941*(1-'P-Parametri'!$B$6*P941))*(1+'1-Input'!$B$27))</f>
        <v>0</v>
      </c>
      <c r="S941" s="18">
        <f>IF($A941&gt;'1-Input'!$B$26,U940,(U940-Q941)*(1+'5-Roberta'!$C$4))</f>
        <v>-19232.416591156889</v>
      </c>
      <c r="T941" s="18">
        <f>IF($A941&gt;'1-Input'!$B$26,R941,R941-'P-Parametri'!$B$8*(S941+R941)+MIN(MAX(S941,0),'P-Parametri'!$B$8*(S941+R941)))</f>
        <v>0</v>
      </c>
      <c r="U941" s="18">
        <f>IF($A941&gt;'1-Input'!$B$26,S941,S941-MIN(MAX(S941,0),'P-Parametri'!$B$8*(S941+R941)))</f>
        <v>-19232.416591156889</v>
      </c>
      <c r="V941" s="18">
        <f>IF($A941&gt;'1-Input'!$B$26,V940,V940-Q941*(1-P941))</f>
        <v>-17610.4787725676</v>
      </c>
      <c r="W941" s="11">
        <f>IF($A941&gt;'1-Input'!$B$26,0,IF(AB940&lt;=0,0,MAX(0,(AB940-AC940)/AB940)))</f>
        <v>0</v>
      </c>
      <c r="X941" s="18">
        <f>IF($A941&gt;'1-Input'!$B$26,0,(MAX(0,W891-IF($A941&gt;='1-Input'!$C$12,'1-Input'!$B$12,0))-MIN(MAX(AA940,0),MAX(0,W891-IF($A941&gt;='1-Input'!$C$12,'1-Input'!$B$12,0))))*(1/(1-'P-Parametri'!$B$6*W941))+MIN(MAX(0,AB940-(MAX(0,W891-IF($A941&gt;='1-Input'!$C$12,'1-Input'!$B$12,0))-MIN(MAX(AA940,0),MAX(0,W891-IF($A941&gt;='1-Input'!$C$12,'1-Input'!$B$12,0))))*(1/(1-'P-Parametri'!$B$6*W941))),MAX(0,0*W891-(AA940-MIN(MAX(AA940,0),MAX(0,W891-IF($A941&gt;='1-Input'!$C$12,'1-Input'!$B$12,0)))))*(1/(1-'P-Parametri'!$B$6*W941))))</f>
        <v>0</v>
      </c>
      <c r="Y941" s="18">
        <f>IF($A941&gt;'1-Input'!$B$26,AA940,(AA940-MAX(0,W891-IF($A941&gt;='1-Input'!$C$12,'1-Input'!$B$12,0))+X941*(1-'P-Parametri'!$B$6*W941))*(1+'1-Input'!$B$27))</f>
        <v>0</v>
      </c>
      <c r="Z941" s="18">
        <f>IF($A941&gt;'1-Input'!$B$26,AB940,(AB940-X941)*(1+'5-Roberta'!$C$4))</f>
        <v>-233.02911738742475</v>
      </c>
      <c r="AA941" s="18">
        <f>IF($A941&gt;'1-Input'!$B$26,Y941,Y941-'P-Parametri'!$B$8*(Z941+Y941)+MIN(MAX(Z941,0),'P-Parametri'!$B$8*(Z941+Y941)))</f>
        <v>0</v>
      </c>
      <c r="AB941" s="18">
        <f>IF($A941&gt;'1-Input'!$B$26,Z941,Z941-MIN(MAX(Z941,0),'P-Parametri'!$B$8*(Z941+Y941)))</f>
        <v>-233.02911738742475</v>
      </c>
      <c r="AC941" s="18">
        <f>IF($A941&gt;'1-Input'!$B$26,AC940,AC940-X941*(1-W941))</f>
        <v>-67.431173942933583</v>
      </c>
      <c r="AD941" s="11">
        <f>IF($A941&gt;'1-Input'!$B$26,0,IF(AI940&lt;=0,0,MAX(0,(AI940-AJ940)/AI940)))</f>
        <v>0</v>
      </c>
      <c r="AE941" s="18">
        <f>IF($A941&gt;'1-Input'!$B$26,0,(MAX(0,AD891-IF($A941&gt;='1-Input'!$C$12,'1-Input'!$B$12,0))-MIN(MAX(AH940,0),MAX(0,AD891-IF($A941&gt;='1-Input'!$C$12,'1-Input'!$B$12,0))))*(1/(1-'P-Parametri'!$B$6*AD941))+MIN(MAX(0,AI940-(MAX(0,AD891-IF($A941&gt;='1-Input'!$C$12,'1-Input'!$B$12,0))-MIN(MAX(AH940,0),MAX(0,AD891-IF($A941&gt;='1-Input'!$C$12,'1-Input'!$B$12,0))))*(1/(1-'P-Parametri'!$B$6*AD941))),MAX(0,0*AD891-(AH940-MIN(MAX(AH940,0),MAX(0,AD891-IF($A941&gt;='1-Input'!$C$12,'1-Input'!$B$12,0)))))*(1/(1-'P-Parametri'!$B$6*AD941))))</f>
        <v>0</v>
      </c>
      <c r="AF941" s="18">
        <f>IF($A941&gt;'1-Input'!$B$26,AH940,(AH940-MAX(0,AD891-IF($A941&gt;='1-Input'!$C$12,'1-Input'!$B$12,0))+AE941*(1-'P-Parametri'!$B$6*AD941))*(1+'1-Input'!$B$27))</f>
        <v>1.8124390877005681E-12</v>
      </c>
      <c r="AG941" s="18">
        <f>IF($A941&gt;'1-Input'!$B$26,AI940,(AI940-AE941)*(1+'5-Roberta'!$C$4))</f>
        <v>48.914474886341516</v>
      </c>
      <c r="AH941" s="18">
        <f>IF($A941&gt;'1-Input'!$B$26,AF941,AF941-'P-Parametri'!$B$8*(AG941+AF941)+MIN(MAX(AG941,0),'P-Parametri'!$B$8*(AG941+AF941)))</f>
        <v>1.8124390877005681E-12</v>
      </c>
      <c r="AI941" s="18">
        <f>IF($A941&gt;'1-Input'!$B$26,AG941,AG941-MIN(MAX(AG941,0),'P-Parametri'!$B$8*(AG941+AF941)))</f>
        <v>48.914474886341516</v>
      </c>
      <c r="AJ941" s="18">
        <f>IF($A941&gt;'1-Input'!$B$26,AJ940,AJ940-AE941*(1-AD941))</f>
        <v>14.154284672093581</v>
      </c>
      <c r="AK941" s="11">
        <f>IF($A941&gt;'1-Input'!$B$26,0,IF(AP940&lt;=0,0,MAX(0,(AP940-AQ940)/AP940)))</f>
        <v>0</v>
      </c>
      <c r="AL941" s="18">
        <f>IF($A941&gt;'1-Input'!$B$26,0,(MAX(0,AK891-IF($A941&gt;='1-Input'!$C$12,'1-Input'!$B$12,0))-MIN(MAX(AO940,0),MAX(0,AK891-IF($A941&gt;='1-Input'!$C$12,'1-Input'!$B$12,0))))*(1/(1-'P-Parametri'!$B$6*AK941))+MIN(MAX(0,AP940-(MAX(0,AK891-IF($A941&gt;='1-Input'!$C$12,'1-Input'!$B$12,0))-MIN(MAX(AO940,0),MAX(0,AK891-IF($A941&gt;='1-Input'!$C$12,'1-Input'!$B$12,0))))*(1/(1-'P-Parametri'!$B$6*AK941))),MAX(0,0*AK891-(AO940-MIN(MAX(AO940,0),MAX(0,AK891-IF($A941&gt;='1-Input'!$C$12,'1-Input'!$B$12,0)))))*(1/(1-'P-Parametri'!$B$6*AK941))))</f>
        <v>0</v>
      </c>
      <c r="AM941" s="18">
        <f>IF($A941&gt;'1-Input'!$B$26,AO940,(AO940-MAX(0,AK891-IF($A941&gt;='1-Input'!$C$12,'1-Input'!$B$12,0))+AL941*(1-'P-Parametri'!$B$6*AK941))*(1+'1-Input'!$B$27))</f>
        <v>1.8124410416930913E-12</v>
      </c>
      <c r="AN941" s="18">
        <f>IF($A941&gt;'1-Input'!$B$26,AP940,(AP940-AL941)*(1+'5-Roberta'!$C$4))</f>
        <v>4.8240786272799593E-10</v>
      </c>
      <c r="AO941" s="18">
        <f>IF($A941&gt;'1-Input'!$B$26,AM941,AM941-'P-Parametri'!$B$8*(AN941+AM941)+MIN(MAX(AN941,0),'P-Parametri'!$B$8*(AN941+AM941)))</f>
        <v>1.8124410416930913E-12</v>
      </c>
      <c r="AP941" s="18">
        <f>IF($A941&gt;'1-Input'!$B$26,AN941,AN941-MIN(MAX(AN941,0),'P-Parametri'!$B$8*(AN941+AM941)))</f>
        <v>4.8240786272799593E-10</v>
      </c>
      <c r="AQ941" s="18">
        <f>IF($A941&gt;'1-Input'!$B$26,AQ940,AQ940-AL941*(1-AK941))</f>
        <v>1.3960743672214448E-10</v>
      </c>
    </row>
    <row r="942" spans="1:43">
      <c r="A942" s="4" t="s">
        <v>365</v>
      </c>
      <c r="B942" s="18">
        <f>F941+G941</f>
        <v>280157.49731955939</v>
      </c>
      <c r="I942" s="18">
        <f>M941+N941</f>
        <v>-204581.4992581683</v>
      </c>
      <c r="P942" s="18">
        <f>T941+U941</f>
        <v>-19232.416591156889</v>
      </c>
      <c r="W942" s="18">
        <f>AA941+AB941</f>
        <v>-233.02911738742475</v>
      </c>
      <c r="AD942" s="18">
        <f>AH941+AI941</f>
        <v>48.914474886343328</v>
      </c>
      <c r="AK942" s="18">
        <f>AO941+AP941</f>
        <v>4.8422030376968901E-10</v>
      </c>
    </row>
    <row r="943" spans="1:43">
      <c r="A943" s="5" t="s">
        <v>266</v>
      </c>
      <c r="B943" s="18">
        <f>IFERROR(AK891-AK942*(AK891-AD891)/(AK942-AD942),AK891)</f>
        <v>19492.526240902662</v>
      </c>
    </row>
    <row r="945" spans="1:43">
      <c r="A945" s="2" t="s">
        <v>426</v>
      </c>
    </row>
    <row r="946" spans="1:43">
      <c r="A946" s="4" t="s">
        <v>360</v>
      </c>
      <c r="B946" s="9">
        <f>0.038*'2-Caso'!$B$12</f>
        <v>16681.055314625803</v>
      </c>
      <c r="I946" s="9">
        <f>0.05*'2-Caso'!$B$12</f>
        <v>21948.756992928691</v>
      </c>
      <c r="P946" s="18">
        <f>IFERROR(I946-I997*(I946-B946)/(I997-B997),I946)</f>
        <v>18797.440575865032</v>
      </c>
      <c r="W946" s="18">
        <f>IFERROR(P946-P997*(P946-I946)/(P997-I997),P946)</f>
        <v>18535.686801199601</v>
      </c>
      <c r="AD946" s="18">
        <f>IFERROR(W946-W997*(W946-P946)/(W997-P997),W946)</f>
        <v>18519.821504255127</v>
      </c>
      <c r="AK946" s="18">
        <f>IFERROR(AD946-AD997*(AD946-W946)/(AD997-W997),AD946)</f>
        <v>18520.182363958858</v>
      </c>
    </row>
    <row r="947" spans="1:43" ht="45">
      <c r="A947" s="25" t="s">
        <v>262</v>
      </c>
      <c r="B947" s="25" t="s">
        <v>361</v>
      </c>
      <c r="C947" s="25" t="s">
        <v>263</v>
      </c>
      <c r="D947" s="25" t="s">
        <v>362</v>
      </c>
      <c r="E947" s="25" t="s">
        <v>363</v>
      </c>
      <c r="F947" s="25" t="s">
        <v>264</v>
      </c>
      <c r="G947" s="25" t="s">
        <v>265</v>
      </c>
      <c r="H947" s="25" t="s">
        <v>364</v>
      </c>
      <c r="I947" s="25" t="s">
        <v>361</v>
      </c>
      <c r="J947" s="25" t="s">
        <v>263</v>
      </c>
      <c r="K947" s="25" t="s">
        <v>362</v>
      </c>
      <c r="L947" s="25" t="s">
        <v>363</v>
      </c>
      <c r="M947" s="25" t="s">
        <v>264</v>
      </c>
      <c r="N947" s="25" t="s">
        <v>265</v>
      </c>
      <c r="O947" s="25" t="s">
        <v>364</v>
      </c>
      <c r="P947" s="25" t="s">
        <v>361</v>
      </c>
      <c r="Q947" s="25" t="s">
        <v>263</v>
      </c>
      <c r="R947" s="25" t="s">
        <v>362</v>
      </c>
      <c r="S947" s="25" t="s">
        <v>363</v>
      </c>
      <c r="T947" s="25" t="s">
        <v>264</v>
      </c>
      <c r="U947" s="25" t="s">
        <v>265</v>
      </c>
      <c r="V947" s="25" t="s">
        <v>364</v>
      </c>
      <c r="W947" s="25" t="s">
        <v>361</v>
      </c>
      <c r="X947" s="25" t="s">
        <v>263</v>
      </c>
      <c r="Y947" s="25" t="s">
        <v>362</v>
      </c>
      <c r="Z947" s="25" t="s">
        <v>363</v>
      </c>
      <c r="AA947" s="25" t="s">
        <v>264</v>
      </c>
      <c r="AB947" s="25" t="s">
        <v>265</v>
      </c>
      <c r="AC947" s="25" t="s">
        <v>364</v>
      </c>
      <c r="AD947" s="25" t="s">
        <v>361</v>
      </c>
      <c r="AE947" s="25" t="s">
        <v>263</v>
      </c>
      <c r="AF947" s="25" t="s">
        <v>362</v>
      </c>
      <c r="AG947" s="25" t="s">
        <v>363</v>
      </c>
      <c r="AH947" s="25" t="s">
        <v>264</v>
      </c>
      <c r="AI947" s="25" t="s">
        <v>265</v>
      </c>
      <c r="AJ947" s="25" t="s">
        <v>364</v>
      </c>
      <c r="AK947" s="25" t="s">
        <v>361</v>
      </c>
      <c r="AL947" s="25" t="s">
        <v>263</v>
      </c>
      <c r="AM947" s="25" t="s">
        <v>362</v>
      </c>
      <c r="AN947" s="25" t="s">
        <v>363</v>
      </c>
      <c r="AO947" s="25" t="s">
        <v>264</v>
      </c>
      <c r="AP947" s="25" t="s">
        <v>265</v>
      </c>
      <c r="AQ947" s="25" t="s">
        <v>364</v>
      </c>
    </row>
    <row r="948" spans="1:43">
      <c r="A948" s="3">
        <v>0</v>
      </c>
      <c r="F948" s="18">
        <f>MIN(2*B946,'2-Caso'!$B$12)</f>
        <v>33362.110629251605</v>
      </c>
      <c r="G948" s="18">
        <f>'2-Caso'!$B$12-F948</f>
        <v>405613.02922932222</v>
      </c>
      <c r="H948" s="18">
        <f>'2-Caso'!$B$12*G948/'2-Caso'!$B$12</f>
        <v>405613.02922932222</v>
      </c>
      <c r="M948" s="18">
        <f>MIN(2*I946,'2-Caso'!$B$12)</f>
        <v>43897.513985857382</v>
      </c>
      <c r="N948" s="18">
        <f>'2-Caso'!$B$12-M948</f>
        <v>395077.62587271642</v>
      </c>
      <c r="O948" s="18">
        <f>'2-Caso'!$B$12*N948/'2-Caso'!$B$12</f>
        <v>395077.62587271642</v>
      </c>
      <c r="T948" s="18">
        <f>MIN(2*P946,'2-Caso'!$B$12)</f>
        <v>37594.881151730064</v>
      </c>
      <c r="U948" s="18">
        <f>'2-Caso'!$B$12-T948</f>
        <v>401380.25870684371</v>
      </c>
      <c r="V948" s="18">
        <f>'2-Caso'!$B$12*U948/'2-Caso'!$B$12</f>
        <v>401380.25870684371</v>
      </c>
      <c r="AA948" s="18">
        <f>MIN(2*W946,'2-Caso'!$B$12)</f>
        <v>37071.373602399202</v>
      </c>
      <c r="AB948" s="18">
        <f>'2-Caso'!$B$12-AA948</f>
        <v>401903.7662561746</v>
      </c>
      <c r="AC948" s="18">
        <f>'2-Caso'!$B$12*AB948/'2-Caso'!$B$12</f>
        <v>401903.7662561746</v>
      </c>
      <c r="AH948" s="18">
        <f>MIN(2*AD946,'2-Caso'!$B$12)</f>
        <v>37039.643008510255</v>
      </c>
      <c r="AI948" s="18">
        <f>'2-Caso'!$B$12-AH948</f>
        <v>401935.49685006356</v>
      </c>
      <c r="AJ948" s="18">
        <f>'2-Caso'!$B$12*AI948/'2-Caso'!$B$12</f>
        <v>401935.49685006356</v>
      </c>
      <c r="AO948" s="18">
        <f>MIN(2*AK946,'2-Caso'!$B$12)</f>
        <v>37040.364727917717</v>
      </c>
      <c r="AP948" s="18">
        <f>'2-Caso'!$B$12-AO948</f>
        <v>401934.77513065608</v>
      </c>
      <c r="AQ948" s="18">
        <f>'2-Caso'!$B$12*AP948/'2-Caso'!$B$12</f>
        <v>401934.77513065608</v>
      </c>
    </row>
    <row r="949" spans="1:43">
      <c r="A949" s="10">
        <f>1</f>
        <v>1</v>
      </c>
      <c r="B949" s="11">
        <f>IF($A949&gt;'1-Input'!$B$26,0,IF(G948&lt;=0,0,MAX(0,(G948-H948)/G948)))</f>
        <v>0</v>
      </c>
      <c r="C949" s="18">
        <f>IF($A949&gt;'1-Input'!$B$26,0,(MAX(0,B946-IF($A949&gt;='1-Input'!$C$12,'1-Input'!$B$12,0))-MIN(MAX(F948,0),MAX(0,B946-IF($A949&gt;='1-Input'!$C$12,'1-Input'!$B$12,0))))*(1/(1-'P-Parametri'!$B$6*B949))+MIN(MAX(0,G948-(MAX(0,B946-IF($A949&gt;='1-Input'!$C$12,'1-Input'!$B$12,0))-MIN(MAX(F948,0),MAX(0,B946-IF($A949&gt;='1-Input'!$C$12,'1-Input'!$B$12,0))))*(1/(1-'P-Parametri'!$B$6*B949))),MAX(0,2*B946-(F948-MIN(MAX(F948,0),MAX(0,B946-IF($A949&gt;='1-Input'!$C$12,'1-Input'!$B$12,0)))))*(1/(1-'P-Parametri'!$B$6*B949))))</f>
        <v>16681.055314625803</v>
      </c>
      <c r="D949" s="18">
        <f>IF($A949&gt;'1-Input'!$B$26,F948,(F948-MAX(0,B946-IF($A949&gt;='1-Input'!$C$12,'1-Input'!$B$12,0))+C949*(1-'P-Parametri'!$B$6*B949))*(1+'1-Input'!$B$27))</f>
        <v>33242.0070309863</v>
      </c>
      <c r="E949" s="18">
        <f>IF($A949&gt;'1-Input'!$B$26,G948,(G948-C949)*(1+'5-Roberta'!$C$4))</f>
        <v>400599.93313213735</v>
      </c>
      <c r="F949" s="18">
        <f>IF($A949&gt;'1-Input'!$B$26,D949,D949-'P-Parametri'!$B$8*(E949+D949)+MIN(MAX(E949,0),'P-Parametri'!$B$8*(E949+D949)))</f>
        <v>33242.0070309863</v>
      </c>
      <c r="G949" s="18">
        <f>IF($A949&gt;'1-Input'!$B$26,E949,E949-MIN(MAX(E949,0),'P-Parametri'!$B$8*(E949+D949)))</f>
        <v>399732.24925181112</v>
      </c>
      <c r="H949" s="18">
        <f>IF($A949&gt;'1-Input'!$B$26,H948,H948-C949*(1-B949))</f>
        <v>388931.97391469643</v>
      </c>
      <c r="I949" s="11">
        <f>IF($A949&gt;'1-Input'!$B$26,0,IF(N948&lt;=0,0,MAX(0,(N948-O948)/N948)))</f>
        <v>0</v>
      </c>
      <c r="J949" s="18">
        <f>IF($A949&gt;'1-Input'!$B$26,0,(MAX(0,I946-IF($A949&gt;='1-Input'!$C$12,'1-Input'!$B$12,0))-MIN(MAX(M948,0),MAX(0,I946-IF($A949&gt;='1-Input'!$C$12,'1-Input'!$B$12,0))))*(1/(1-'P-Parametri'!$B$6*I949))+MIN(MAX(0,N948-(MAX(0,I946-IF($A949&gt;='1-Input'!$C$12,'1-Input'!$B$12,0))-MIN(MAX(M948,0),MAX(0,I946-IF($A949&gt;='1-Input'!$C$12,'1-Input'!$B$12,0))))*(1/(1-'P-Parametri'!$B$6*I949))),MAX(0,2*I946-(M948-MIN(MAX(M948,0),MAX(0,I946-IF($A949&gt;='1-Input'!$C$12,'1-Input'!$B$12,0)))))*(1/(1-'P-Parametri'!$B$6*I949))))</f>
        <v>21948.756992928691</v>
      </c>
      <c r="K949" s="18">
        <f>IF($A949&gt;'1-Input'!$B$26,M948,(M948-MAX(0,I946-IF($A949&gt;='1-Input'!$C$12,'1-Input'!$B$12,0))+J949*(1-'P-Parametri'!$B$6*I949))*(1+'1-Input'!$B$27))</f>
        <v>43739.482935508291</v>
      </c>
      <c r="L949" s="18">
        <f>IF($A949&gt;'1-Input'!$B$26,N948,(N948-J949)*(1+'5-Roberta'!$C$4))</f>
        <v>384322.73494618136</v>
      </c>
      <c r="M949" s="18">
        <f>IF($A949&gt;'1-Input'!$B$26,K949,K949-'P-Parametri'!$B$8*(L949+K949)+MIN(MAX(L949,0),'P-Parametri'!$B$8*(L949+K949)))</f>
        <v>43739.482935508291</v>
      </c>
      <c r="N949" s="18">
        <f>IF($A949&gt;'1-Input'!$B$26,L949,L949-MIN(MAX(L949,0),'P-Parametri'!$B$8*(L949+K949)))</f>
        <v>383466.61051041796</v>
      </c>
      <c r="O949" s="18">
        <f>IF($A949&gt;'1-Input'!$B$26,O948,O948-J949*(1-I949))</f>
        <v>373128.86887978774</v>
      </c>
      <c r="P949" s="11">
        <f>IF($A949&gt;'1-Input'!$B$26,0,IF(U948&lt;=0,0,MAX(0,(U948-V948)/U948)))</f>
        <v>0</v>
      </c>
      <c r="Q949" s="18">
        <f>IF($A949&gt;'1-Input'!$B$26,0,(MAX(0,P946-IF($A949&gt;='1-Input'!$C$12,'1-Input'!$B$12,0))-MIN(MAX(T948,0),MAX(0,P946-IF($A949&gt;='1-Input'!$C$12,'1-Input'!$B$12,0))))*(1/(1-'P-Parametri'!$B$6*P949))+MIN(MAX(0,U948-(MAX(0,P946-IF($A949&gt;='1-Input'!$C$12,'1-Input'!$B$12,0))-MIN(MAX(T948,0),MAX(0,P946-IF($A949&gt;='1-Input'!$C$12,'1-Input'!$B$12,0))))*(1/(1-'P-Parametri'!$B$6*P949))),MAX(0,2*P946-(T948-MIN(MAX(T948,0),MAX(0,P946-IF($A949&gt;='1-Input'!$C$12,'1-Input'!$B$12,0)))))*(1/(1-'P-Parametri'!$B$6*P949))))</f>
        <v>18797.440575865032</v>
      </c>
      <c r="R949" s="18">
        <f>IF($A949&gt;'1-Input'!$B$26,T948,(T948-MAX(0,P946-IF($A949&gt;='1-Input'!$C$12,'1-Input'!$B$12,0))+Q949*(1-'P-Parametri'!$B$6*P949))*(1+'1-Input'!$B$27))</f>
        <v>37459.539579583834</v>
      </c>
      <c r="S949" s="18">
        <f>IF($A949&gt;'1-Input'!$B$26,U948,(U948-Q949)*(1+'5-Roberta'!$C$4))</f>
        <v>394060.30267490802</v>
      </c>
      <c r="T949" s="18">
        <f>IF($A949&gt;'1-Input'!$B$26,R949,R949-'P-Parametri'!$B$8*(S949+R949)+MIN(MAX(S949,0),'P-Parametri'!$B$8*(S949+R949)))</f>
        <v>37459.539579583834</v>
      </c>
      <c r="U949" s="18">
        <f>IF($A949&gt;'1-Input'!$B$26,S949,S949-MIN(MAX(S949,0),'P-Parametri'!$B$8*(S949+R949)))</f>
        <v>393197.26299039903</v>
      </c>
      <c r="V949" s="18">
        <f>IF($A949&gt;'1-Input'!$B$26,V948,V948-Q949*(1-P949))</f>
        <v>382582.81813097867</v>
      </c>
      <c r="W949" s="11">
        <f>IF($A949&gt;'1-Input'!$B$26,0,IF(AB948&lt;=0,0,MAX(0,(AB948-AC948)/AB948)))</f>
        <v>0</v>
      </c>
      <c r="X949" s="18">
        <f>IF($A949&gt;'1-Input'!$B$26,0,(MAX(0,W946-IF($A949&gt;='1-Input'!$C$12,'1-Input'!$B$12,0))-MIN(MAX(AA948,0),MAX(0,W946-IF($A949&gt;='1-Input'!$C$12,'1-Input'!$B$12,0))))*(1/(1-'P-Parametri'!$B$6*W949))+MIN(MAX(0,AB948-(MAX(0,W946-IF($A949&gt;='1-Input'!$C$12,'1-Input'!$B$12,0))-MIN(MAX(AA948,0),MAX(0,W946-IF($A949&gt;='1-Input'!$C$12,'1-Input'!$B$12,0))))*(1/(1-'P-Parametri'!$B$6*W949))),MAX(0,2*W946-(AA948-MIN(MAX(AA948,0),MAX(0,W946-IF($A949&gt;='1-Input'!$C$12,'1-Input'!$B$12,0)))))*(1/(1-'P-Parametri'!$B$6*W949))))</f>
        <v>18535.686801199601</v>
      </c>
      <c r="Y949" s="18">
        <f>IF($A949&gt;'1-Input'!$B$26,AA948,(AA948-MAX(0,W946-IF($A949&gt;='1-Input'!$C$12,'1-Input'!$B$12,0))+X949*(1-'P-Parametri'!$B$6*W949))*(1+'1-Input'!$B$27))</f>
        <v>36937.916657430564</v>
      </c>
      <c r="Z949" s="18">
        <f>IF($A949&gt;'1-Input'!$B$26,AB948,(AB948-X949)*(1+'5-Roberta'!$C$4))</f>
        <v>394869.12183862424</v>
      </c>
      <c r="AA949" s="18">
        <f>IF($A949&gt;'1-Input'!$B$26,Y949,Y949-'P-Parametri'!$B$8*(Z949+Y949)+MIN(MAX(Z949,0),'P-Parametri'!$B$8*(Z949+Y949)))</f>
        <v>36937.916657430564</v>
      </c>
      <c r="AB949" s="18">
        <f>IF($A949&gt;'1-Input'!$B$26,Z949,Z949-MIN(MAX(Z949,0),'P-Parametri'!$B$8*(Z949+Y949)))</f>
        <v>394005.50776163215</v>
      </c>
      <c r="AC949" s="18">
        <f>IF($A949&gt;'1-Input'!$B$26,AC948,AC948-X949*(1-W949))</f>
        <v>383368.07945497497</v>
      </c>
      <c r="AD949" s="11">
        <f>IF($A949&gt;'1-Input'!$B$26,0,IF(AI948&lt;=0,0,MAX(0,(AI948-AJ948)/AI948)))</f>
        <v>0</v>
      </c>
      <c r="AE949" s="18">
        <f>IF($A949&gt;'1-Input'!$B$26,0,(MAX(0,AD946-IF($A949&gt;='1-Input'!$C$12,'1-Input'!$B$12,0))-MIN(MAX(AH948,0),MAX(0,AD946-IF($A949&gt;='1-Input'!$C$12,'1-Input'!$B$12,0))))*(1/(1-'P-Parametri'!$B$6*AD949))+MIN(MAX(0,AI948-(MAX(0,AD946-IF($A949&gt;='1-Input'!$C$12,'1-Input'!$B$12,0))-MIN(MAX(AH948,0),MAX(0,AD946-IF($A949&gt;='1-Input'!$C$12,'1-Input'!$B$12,0))))*(1/(1-'P-Parametri'!$B$6*AD949))),MAX(0,2*AD946-(AH948-MIN(MAX(AH948,0),MAX(0,AD946-IF($A949&gt;='1-Input'!$C$12,'1-Input'!$B$12,0)))))*(1/(1-'P-Parametri'!$B$6*AD949))))</f>
        <v>18519.821504255127</v>
      </c>
      <c r="AF949" s="18">
        <f>IF($A949&gt;'1-Input'!$B$26,AH948,(AH948-MAX(0,AD946-IF($A949&gt;='1-Input'!$C$12,'1-Input'!$B$12,0))+AE949*(1-'P-Parametri'!$B$6*AD949))*(1+'1-Input'!$B$27))</f>
        <v>36906.300293679618</v>
      </c>
      <c r="AG949" s="18">
        <f>IF($A949&gt;'1-Input'!$B$26,AI948,(AI948-AE949)*(1+'5-Roberta'!$C$4))</f>
        <v>394918.14560618269</v>
      </c>
      <c r="AH949" s="18">
        <f>IF($A949&gt;'1-Input'!$B$26,AF949,AF949-'P-Parametri'!$B$8*(AG949+AF949)+MIN(MAX(AG949,0),'P-Parametri'!$B$8*(AG949+AF949)))</f>
        <v>36906.300293679618</v>
      </c>
      <c r="AI949" s="18">
        <f>IF($A949&gt;'1-Input'!$B$26,AG949,AG949-MIN(MAX(AG949,0),'P-Parametri'!$B$8*(AG949+AF949)))</f>
        <v>394054.49671438296</v>
      </c>
      <c r="AJ949" s="18">
        <f>IF($A949&gt;'1-Input'!$B$26,AJ948,AJ948-AE949*(1-AD949))</f>
        <v>383415.67534580844</v>
      </c>
      <c r="AK949" s="11">
        <f>IF($A949&gt;'1-Input'!$B$26,0,IF(AP948&lt;=0,0,MAX(0,(AP948-AQ948)/AP948)))</f>
        <v>0</v>
      </c>
      <c r="AL949" s="18">
        <f>IF($A949&gt;'1-Input'!$B$26,0,(MAX(0,AK946-IF($A949&gt;='1-Input'!$C$12,'1-Input'!$B$12,0))-MIN(MAX(AO948,0),MAX(0,AK946-IF($A949&gt;='1-Input'!$C$12,'1-Input'!$B$12,0))))*(1/(1-'P-Parametri'!$B$6*AK949))+MIN(MAX(0,AP948-(MAX(0,AK946-IF($A949&gt;='1-Input'!$C$12,'1-Input'!$B$12,0))-MIN(MAX(AO948,0),MAX(0,AK946-IF($A949&gt;='1-Input'!$C$12,'1-Input'!$B$12,0))))*(1/(1-'P-Parametri'!$B$6*AK949))),MAX(0,2*AK946-(AO948-MIN(MAX(AO948,0),MAX(0,AK946-IF($A949&gt;='1-Input'!$C$12,'1-Input'!$B$12,0)))))*(1/(1-'P-Parametri'!$B$6*AK949))))</f>
        <v>18520.182363958858</v>
      </c>
      <c r="AM949" s="18">
        <f>IF($A949&gt;'1-Input'!$B$26,AO948,(AO948-MAX(0,AK946-IF($A949&gt;='1-Input'!$C$12,'1-Input'!$B$12,0))+AL949*(1-'P-Parametri'!$B$6*AK949))*(1+'1-Input'!$B$27))</f>
        <v>36907.019414897208</v>
      </c>
      <c r="AN949" s="18">
        <f>IF($A949&gt;'1-Input'!$B$26,AP948,(AP948-AL949)*(1+'5-Roberta'!$C$4))</f>
        <v>394917.03054969816</v>
      </c>
      <c r="AO949" s="18">
        <f>IF($A949&gt;'1-Input'!$B$26,AM949,AM949-'P-Parametri'!$B$8*(AN949+AM949)+MIN(MAX(AN949,0),'P-Parametri'!$B$8*(AN949+AM949)))</f>
        <v>36907.019414897208</v>
      </c>
      <c r="AP949" s="18">
        <f>IF($A949&gt;'1-Input'!$B$26,AN949,AN949-MIN(MAX(AN949,0),'P-Parametri'!$B$8*(AN949+AM949)))</f>
        <v>394053.38244976895</v>
      </c>
      <c r="AQ949" s="18">
        <f>IF($A949&gt;'1-Input'!$B$26,AQ948,AQ948-AL949*(1-AK949))</f>
        <v>383414.59276669723</v>
      </c>
    </row>
    <row r="950" spans="1:43">
      <c r="A950" s="10">
        <f>2</f>
        <v>2</v>
      </c>
      <c r="B950" s="11">
        <f>IF($A950&gt;'1-Input'!$B$26,0,IF(G949&lt;=0,0,MAX(0,(G949-H949)/G949)))</f>
        <v>2.7018774085227907E-2</v>
      </c>
      <c r="C950" s="18">
        <f>IF($A950&gt;'1-Input'!$B$26,0,(MAX(0,B946-IF($A950&gt;='1-Input'!$C$12,'1-Input'!$B$12,0))-MIN(MAX(F949,0),MAX(0,B946-IF($A950&gt;='1-Input'!$C$12,'1-Input'!$B$12,0))))*(1/(1-'P-Parametri'!$B$6*B950))+MIN(MAX(0,G949-(MAX(0,B946-IF($A950&gt;='1-Input'!$C$12,'1-Input'!$B$12,0))-MIN(MAX(F949,0),MAX(0,B946-IF($A950&gt;='1-Input'!$C$12,'1-Input'!$B$12,0))))*(1/(1-'P-Parametri'!$B$6*B950))),MAX(0,2*B946-(F949-MIN(MAX(F949,0),MAX(0,B946-IF($A950&gt;='1-Input'!$C$12,'1-Input'!$B$12,0)))))*(1/(1-'P-Parametri'!$B$6*B950))))</f>
        <v>16920.020044658184</v>
      </c>
      <c r="D950" s="18">
        <f>IF($A950&gt;'1-Input'!$B$26,F949,(F949-MAX(0,B946-IF($A950&gt;='1-Input'!$C$12,'1-Input'!$B$12,0))+C950*(1-'P-Parametri'!$B$6*B950))*(1+'1-Input'!$B$27))</f>
        <v>33242.0070309863</v>
      </c>
      <c r="E950" s="18">
        <f>IF($A950&gt;'1-Input'!$B$26,G949,(G949-C950)*(1+'5-Roberta'!$C$4))</f>
        <v>394296.59608336759</v>
      </c>
      <c r="F950" s="18">
        <f>IF($A950&gt;'1-Input'!$B$26,D950,D950-'P-Parametri'!$B$8*(E950+D950)+MIN(MAX(E950,0),'P-Parametri'!$B$8*(E950+D950)))</f>
        <v>33242.0070309863</v>
      </c>
      <c r="G950" s="18">
        <f>IF($A950&gt;'1-Input'!$B$26,E950,E950-MIN(MAX(E950,0),'P-Parametri'!$B$8*(E950+D950)))</f>
        <v>393441.51887713891</v>
      </c>
      <c r="H950" s="18">
        <f>IF($A950&gt;'1-Input'!$B$26,H949,H949-C950*(1-B950))</f>
        <v>372469.1120691424</v>
      </c>
      <c r="I950" s="11">
        <f>IF($A950&gt;'1-Input'!$B$26,0,IF(N949&lt;=0,0,MAX(0,(N949-O949)/N949)))</f>
        <v>2.6958648673140122E-2</v>
      </c>
      <c r="J950" s="18">
        <f>IF($A950&gt;'1-Input'!$B$26,0,(MAX(0,I946-IF($A950&gt;='1-Input'!$C$12,'1-Input'!$B$12,0))-MIN(MAX(M949,0),MAX(0,I946-IF($A950&gt;='1-Input'!$C$12,'1-Input'!$B$12,0))))*(1/(1-'P-Parametri'!$B$6*I950))+MIN(MAX(0,N949-(MAX(0,I946-IF($A950&gt;='1-Input'!$C$12,'1-Input'!$B$12,0))-MIN(MAX(M949,0),MAX(0,I946-IF($A950&gt;='1-Input'!$C$12,'1-Input'!$B$12,0))))*(1/(1-'P-Parametri'!$B$6*I950))),MAX(0,2*I946-(M949-MIN(MAX(M949,0),MAX(0,I946-IF($A950&gt;='1-Input'!$C$12,'1-Input'!$B$12,0)))))*(1/(1-'P-Parametri'!$B$6*I950))))</f>
        <v>22262.833781014207</v>
      </c>
      <c r="K950" s="18">
        <f>IF($A950&gt;'1-Input'!$B$26,M949,(M949-MAX(0,I946-IF($A950&gt;='1-Input'!$C$12,'1-Input'!$B$12,0))+J950*(1-'P-Parametri'!$B$6*I950))*(1+'1-Input'!$B$27))</f>
        <v>43739.482935508291</v>
      </c>
      <c r="L950" s="18">
        <f>IF($A950&gt;'1-Input'!$B$26,N949,(N949-J950)*(1+'5-Roberta'!$C$4))</f>
        <v>372039.89003128588</v>
      </c>
      <c r="M950" s="18">
        <f>IF($A950&gt;'1-Input'!$B$26,K950,K950-'P-Parametri'!$B$8*(L950+K950)+MIN(MAX(L950,0),'P-Parametri'!$B$8*(L950+K950)))</f>
        <v>43739.482935508291</v>
      </c>
      <c r="N950" s="18">
        <f>IF($A950&gt;'1-Input'!$B$26,L950,L950-MIN(MAX(L950,0),'P-Parametri'!$B$8*(L950+K950)))</f>
        <v>371208.33128535229</v>
      </c>
      <c r="O950" s="18">
        <f>IF($A950&gt;'1-Input'!$B$26,O949,O949-J950*(1-I950))</f>
        <v>351466.21101314441</v>
      </c>
      <c r="P950" s="11">
        <f>IF($A950&gt;'1-Input'!$B$26,0,IF(U949&lt;=0,0,MAX(0,(U949-V949)/U949)))</f>
        <v>2.6995215527936003E-2</v>
      </c>
      <c r="Q950" s="18">
        <f>IF($A950&gt;'1-Input'!$B$26,0,(MAX(0,P946-IF($A950&gt;='1-Input'!$C$12,'1-Input'!$B$12,0))-MIN(MAX(T949,0),MAX(0,P946-IF($A950&gt;='1-Input'!$C$12,'1-Input'!$B$12,0))))*(1/(1-'P-Parametri'!$B$6*P950))+MIN(MAX(0,U949-(MAX(0,P946-IF($A950&gt;='1-Input'!$C$12,'1-Input'!$B$12,0))-MIN(MAX(T949,0),MAX(0,P946-IF($A950&gt;='1-Input'!$C$12,'1-Input'!$B$12,0))))*(1/(1-'P-Parametri'!$B$6*P950))),MAX(0,2*P946-(T949-MIN(MAX(T949,0),MAX(0,P946-IF($A950&gt;='1-Input'!$C$12,'1-Input'!$B$12,0)))))*(1/(1-'P-Parametri'!$B$6*P950))))</f>
        <v>19066.606004012043</v>
      </c>
      <c r="R950" s="18">
        <f>IF($A950&gt;'1-Input'!$B$26,T949,(T949-MAX(0,P946-IF($A950&gt;='1-Input'!$C$12,'1-Input'!$B$12,0))+Q950*(1-'P-Parametri'!$B$6*P950))*(1+'1-Input'!$B$27))</f>
        <v>37459.539579583834</v>
      </c>
      <c r="S950" s="18">
        <f>IF($A950&gt;'1-Input'!$B$26,U949,(U949-Q950)*(1+'5-Roberta'!$C$4))</f>
        <v>385354.57669597858</v>
      </c>
      <c r="T950" s="18">
        <f>IF($A950&gt;'1-Input'!$B$26,R950,R950-'P-Parametri'!$B$8*(S950+R950)+MIN(MAX(S950,0),'P-Parametri'!$B$8*(S950+R950)))</f>
        <v>37459.539579583834</v>
      </c>
      <c r="U950" s="18">
        <f>IF($A950&gt;'1-Input'!$B$26,S950,S950-MIN(MAX(S950,0),'P-Parametri'!$B$8*(S950+R950)))</f>
        <v>384508.94846342748</v>
      </c>
      <c r="V950" s="18">
        <f>IF($A950&gt;'1-Input'!$B$26,V949,V949-Q950*(1-P950))</f>
        <v>364030.91926543118</v>
      </c>
      <c r="W950" s="11">
        <f>IF($A950&gt;'1-Input'!$B$26,0,IF(AB949&lt;=0,0,MAX(0,(AB949-AC949)/AB949)))</f>
        <v>2.6998171591785657E-2</v>
      </c>
      <c r="X950" s="18">
        <f>IF($A950&gt;'1-Input'!$B$26,0,(MAX(0,W946-IF($A950&gt;='1-Input'!$C$12,'1-Input'!$B$12,0))-MIN(MAX(AA949,0),MAX(0,W946-IF($A950&gt;='1-Input'!$C$12,'1-Input'!$B$12,0))))*(1/(1-'P-Parametri'!$B$6*W950))+MIN(MAX(0,AB949-(MAX(0,W946-IF($A950&gt;='1-Input'!$C$12,'1-Input'!$B$12,0))-MIN(MAX(AA949,0),MAX(0,W946-IF($A950&gt;='1-Input'!$C$12,'1-Input'!$B$12,0))))*(1/(1-'P-Parametri'!$B$6*W950))),MAX(0,2*W946-(AA949-MIN(MAX(AA949,0),MAX(0,W946-IF($A950&gt;='1-Input'!$C$12,'1-Input'!$B$12,0)))))*(1/(1-'P-Parametri'!$B$6*W950))))</f>
        <v>18801.118661379976</v>
      </c>
      <c r="Y950" s="18">
        <f>IF($A950&gt;'1-Input'!$B$26,AA949,(AA949-MAX(0,W946-IF($A950&gt;='1-Input'!$C$12,'1-Input'!$B$12,0))+X950*(1-'P-Parametri'!$B$6*W950))*(1+'1-Input'!$B$27))</f>
        <v>36937.916657430556</v>
      </c>
      <c r="Z950" s="18">
        <f>IF($A950&gt;'1-Input'!$B$26,AB949,(AB949-X950)*(1+'5-Roberta'!$C$4))</f>
        <v>386460.52077325975</v>
      </c>
      <c r="AA950" s="18">
        <f>IF($A950&gt;'1-Input'!$B$26,Y950,Y950-'P-Parametri'!$B$8*(Z950+Y950)+MIN(MAX(Z950,0),'P-Parametri'!$B$8*(Z950+Y950)))</f>
        <v>36937.916657430556</v>
      </c>
      <c r="AB950" s="18">
        <f>IF($A950&gt;'1-Input'!$B$26,Z950,Z950-MIN(MAX(Z950,0),'P-Parametri'!$B$8*(Z950+Y950)))</f>
        <v>385613.72389839834</v>
      </c>
      <c r="AC950" s="18">
        <f>IF($A950&gt;'1-Input'!$B$26,AC949,AC949-X950*(1-W950))</f>
        <v>365074.55662133248</v>
      </c>
      <c r="AD950" s="11">
        <f>IF($A950&gt;'1-Input'!$B$26,0,IF(AI949&lt;=0,0,MAX(0,(AI949-AJ949)/AI949)))</f>
        <v>2.6998350373566991E-2</v>
      </c>
      <c r="AE950" s="18">
        <f>IF($A950&gt;'1-Input'!$B$26,0,(MAX(0,AD946-IF($A950&gt;='1-Input'!$C$12,'1-Input'!$B$12,0))-MIN(MAX(AH949,0),MAX(0,AD946-IF($A950&gt;='1-Input'!$C$12,'1-Input'!$B$12,0))))*(1/(1-'P-Parametri'!$B$6*AD950))+MIN(MAX(0,AI949-(MAX(0,AD946-IF($A950&gt;='1-Input'!$C$12,'1-Input'!$B$12,0))-MIN(MAX(AH949,0),MAX(0,AD946-IF($A950&gt;='1-Input'!$C$12,'1-Input'!$B$12,0))))*(1/(1-'P-Parametri'!$B$6*AD950))),MAX(0,2*AD946-(AH949-MIN(MAX(AH949,0),MAX(0,AD946-IF($A950&gt;='1-Input'!$C$12,'1-Input'!$B$12,0)))))*(1/(1-'P-Parametri'!$B$6*AD950))))</f>
        <v>18785.027052039015</v>
      </c>
      <c r="AF950" s="18">
        <f>IF($A950&gt;'1-Input'!$B$26,AH949,(AH949-MAX(0,AD946-IF($A950&gt;='1-Input'!$C$12,'1-Input'!$B$12,0))+AE950*(1-'P-Parametri'!$B$6*AD950))*(1+'1-Input'!$B$27))</f>
        <v>36906.300293679626</v>
      </c>
      <c r="AG950" s="18">
        <f>IF($A950&gt;'1-Input'!$B$26,AI949,(AI949-AE950)*(1+'5-Roberta'!$C$4))</f>
        <v>386527.5537522143</v>
      </c>
      <c r="AH950" s="18">
        <f>IF($A950&gt;'1-Input'!$B$26,AF950,AF950-'P-Parametri'!$B$8*(AG950+AF950)+MIN(MAX(AG950,0),'P-Parametri'!$B$8*(AG950+AF950)))</f>
        <v>36906.300293679626</v>
      </c>
      <c r="AI950" s="18">
        <f>IF($A950&gt;'1-Input'!$B$26,AG950,AG950-MIN(MAX(AG950,0),'P-Parametri'!$B$8*(AG950+AF950)))</f>
        <v>385680.6860441225</v>
      </c>
      <c r="AJ950" s="18">
        <f>IF($A950&gt;'1-Input'!$B$26,AJ949,AJ949-AE950*(1-AD950))</f>
        <v>365137.81303589733</v>
      </c>
      <c r="AK950" s="11">
        <f>IF($A950&gt;'1-Input'!$B$26,0,IF(AP949&lt;=0,0,MAX(0,(AP949-AQ949)/AP949)))</f>
        <v>2.699834630762972E-2</v>
      </c>
      <c r="AL950" s="18">
        <f>IF($A950&gt;'1-Input'!$B$26,0,(MAX(0,AK946-IF($A950&gt;='1-Input'!$C$12,'1-Input'!$B$12,0))-MIN(MAX(AO949,0),MAX(0,AK946-IF($A950&gt;='1-Input'!$C$12,'1-Input'!$B$12,0))))*(1/(1-'P-Parametri'!$B$6*AK950))+MIN(MAX(0,AP949-(MAX(0,AK946-IF($A950&gt;='1-Input'!$C$12,'1-Input'!$B$12,0))-MIN(MAX(AO949,0),MAX(0,AK946-IF($A950&gt;='1-Input'!$C$12,'1-Input'!$B$12,0))))*(1/(1-'P-Parametri'!$B$6*AK950))),MAX(0,2*AK946-(AO949-MIN(MAX(AO949,0),MAX(0,AK946-IF($A950&gt;='1-Input'!$C$12,'1-Input'!$B$12,0)))))*(1/(1-'P-Parametri'!$B$6*AK950))))</f>
        <v>18785.39305928766</v>
      </c>
      <c r="AM950" s="18">
        <f>IF($A950&gt;'1-Input'!$B$26,AO949,(AO949-MAX(0,AK946-IF($A950&gt;='1-Input'!$C$12,'1-Input'!$B$12,0))+AL950*(1-'P-Parametri'!$B$6*AK950))*(1+'1-Input'!$B$27))</f>
        <v>36907.019414897208</v>
      </c>
      <c r="AN950" s="18">
        <f>IF($A950&gt;'1-Input'!$B$26,AP949,(AP949-AL950)*(1+'5-Roberta'!$C$4))</f>
        <v>386526.0290721957</v>
      </c>
      <c r="AO950" s="18">
        <f>IF($A950&gt;'1-Input'!$B$26,AM950,AM950-'P-Parametri'!$B$8*(AN950+AM950)+MIN(MAX(AN950,0),'P-Parametri'!$B$8*(AN950+AM950)))</f>
        <v>36907.019414897208</v>
      </c>
      <c r="AP950" s="18">
        <f>IF($A950&gt;'1-Input'!$B$26,AN950,AN950-MIN(MAX(AN950,0),'P-Parametri'!$B$8*(AN950+AM950)))</f>
        <v>385679.16297522152</v>
      </c>
      <c r="AQ950" s="18">
        <f>IF($A950&gt;'1-Input'!$B$26,AQ949,AQ949-AL950*(1-AK950))</f>
        <v>365136.37425474916</v>
      </c>
    </row>
    <row r="951" spans="1:43">
      <c r="A951" s="10">
        <f>3</f>
        <v>3</v>
      </c>
      <c r="B951" s="11">
        <f>IF($A951&gt;'1-Input'!$B$26,0,IF(G950&lt;=0,0,MAX(0,(G950-H950)/G950)))</f>
        <v>5.3305016887517709E-2</v>
      </c>
      <c r="C951" s="18">
        <f>IF($A951&gt;'1-Input'!$B$26,0,(MAX(0,B946-IF($A951&gt;='1-Input'!$C$12,'1-Input'!$B$12,0))-MIN(MAX(F950,0),MAX(0,B946-IF($A951&gt;='1-Input'!$C$12,'1-Input'!$B$12,0))))*(1/(1-'P-Parametri'!$B$6*B951))+MIN(MAX(0,G950-(MAX(0,B946-IF($A951&gt;='1-Input'!$C$12,'1-Input'!$B$12,0))-MIN(MAX(F950,0),MAX(0,B946-IF($A951&gt;='1-Input'!$C$12,'1-Input'!$B$12,0))))*(1/(1-'P-Parametri'!$B$6*B951))),MAX(0,2*B946-(F950-MIN(MAX(F950,0),MAX(0,B946-IF($A951&gt;='1-Input'!$C$12,'1-Input'!$B$12,0)))))*(1/(1-'P-Parametri'!$B$6*B951))))</f>
        <v>17037.28381527873</v>
      </c>
      <c r="D951" s="18">
        <f>IF($A951&gt;'1-Input'!$B$26,F950,(F950-MAX(0,B946-IF($A951&gt;='1-Input'!$C$12,'1-Input'!$B$12,0))+C951*(1-'P-Parametri'!$B$6*B951))*(1+'1-Input'!$B$27))</f>
        <v>33242.0070309863</v>
      </c>
      <c r="E951" s="18">
        <f>IF($A951&gt;'1-Input'!$B$26,G950,(G950-C951)*(1+'5-Roberta'!$C$4))</f>
        <v>387696.36211371596</v>
      </c>
      <c r="F951" s="18">
        <f>IF($A951&gt;'1-Input'!$B$26,D951,D951-'P-Parametri'!$B$8*(E951+D951)+MIN(MAX(E951,0),'P-Parametri'!$B$8*(E951+D951)))</f>
        <v>33242.0070309863</v>
      </c>
      <c r="G951" s="18">
        <f>IF($A951&gt;'1-Input'!$B$26,E951,E951-MIN(MAX(E951,0),'P-Parametri'!$B$8*(E951+D951)))</f>
        <v>386854.48537542654</v>
      </c>
      <c r="H951" s="18">
        <f>IF($A951&gt;'1-Input'!$B$26,H950,H950-C951*(1-B951))</f>
        <v>356340.00095535454</v>
      </c>
      <c r="I951" s="11">
        <f>IF($A951&gt;'1-Input'!$B$26,0,IF(N950&lt;=0,0,MAX(0,(N950-O950)/N950)))</f>
        <v>5.3183397591989617E-2</v>
      </c>
      <c r="J951" s="18">
        <f>IF($A951&gt;'1-Input'!$B$26,0,(MAX(0,I946-IF($A951&gt;='1-Input'!$C$12,'1-Input'!$B$12,0))-MIN(MAX(M950,0),MAX(0,I946-IF($A951&gt;='1-Input'!$C$12,'1-Input'!$B$12,0))))*(1/(1-'P-Parametri'!$B$6*I951))+MIN(MAX(0,N950-(MAX(0,I946-IF($A951&gt;='1-Input'!$C$12,'1-Input'!$B$12,0))-MIN(MAX(M950,0),MAX(0,I946-IF($A951&gt;='1-Input'!$C$12,'1-Input'!$B$12,0))))*(1/(1-'P-Parametri'!$B$6*I951))),MAX(0,2*I946-(M950-MIN(MAX(M950,0),MAX(0,I946-IF($A951&gt;='1-Input'!$C$12,'1-Input'!$B$12,0)))))*(1/(1-'P-Parametri'!$B$6*I951))))</f>
        <v>22416.759901464357</v>
      </c>
      <c r="K951" s="18">
        <f>IF($A951&gt;'1-Input'!$B$26,M950,(M950-MAX(0,I946-IF($A951&gt;='1-Input'!$C$12,'1-Input'!$B$12,0))+J951*(1-'P-Parametri'!$B$6*I951))*(1+'1-Input'!$B$27))</f>
        <v>43739.482935508291</v>
      </c>
      <c r="L951" s="18">
        <f>IF($A951&gt;'1-Input'!$B$26,N950,(N950-J951)*(1+'5-Roberta'!$C$4))</f>
        <v>359255.31852540461</v>
      </c>
      <c r="M951" s="18">
        <f>IF($A951&gt;'1-Input'!$B$26,K951,K951-'P-Parametri'!$B$8*(L951+K951)+MIN(MAX(L951,0),'P-Parametri'!$B$8*(L951+K951)))</f>
        <v>43739.482935508291</v>
      </c>
      <c r="N951" s="18">
        <f>IF($A951&gt;'1-Input'!$B$26,L951,L951-MIN(MAX(L951,0),'P-Parametri'!$B$8*(L951+K951)))</f>
        <v>358449.32892248279</v>
      </c>
      <c r="O951" s="18">
        <f>IF($A951&gt;'1-Input'!$B$26,O950,O950-J951*(1-I951))</f>
        <v>330241.6505662438</v>
      </c>
      <c r="P951" s="11">
        <f>IF($A951&gt;'1-Input'!$B$26,0,IF(U950&lt;=0,0,MAX(0,(U950-V950)/U950)))</f>
        <v>5.3257614107111141E-2</v>
      </c>
      <c r="Q951" s="18">
        <f>IF($A951&gt;'1-Input'!$B$26,0,(MAX(0,P946-IF($A951&gt;='1-Input'!$C$12,'1-Input'!$B$12,0))-MIN(MAX(T950,0),MAX(0,P946-IF($A951&gt;='1-Input'!$C$12,'1-Input'!$B$12,0))))*(1/(1-'P-Parametri'!$B$6*P951))+MIN(MAX(0,U950-(MAX(0,P946-IF($A951&gt;='1-Input'!$C$12,'1-Input'!$B$12,0))-MIN(MAX(T950,0),MAX(0,P946-IF($A951&gt;='1-Input'!$C$12,'1-Input'!$B$12,0))))*(1/(1-'P-Parametri'!$B$6*P951))),MAX(0,2*P946-(T950-MIN(MAX(T950,0),MAX(0,P946-IF($A951&gt;='1-Input'!$C$12,'1-Input'!$B$12,0)))))*(1/(1-'P-Parametri'!$B$6*P951))))</f>
        <v>19198.625119694319</v>
      </c>
      <c r="R951" s="18">
        <f>IF($A951&gt;'1-Input'!$B$26,T950,(T950-MAX(0,P946-IF($A951&gt;='1-Input'!$C$12,'1-Input'!$B$12,0))+Q951*(1-'P-Parametri'!$B$6*P951))*(1+'1-Input'!$B$27))</f>
        <v>37459.539579583834</v>
      </c>
      <c r="S951" s="18">
        <f>IF($A951&gt;'1-Input'!$B$26,U950,(U950-Q951)*(1+'5-Roberta'!$C$4))</f>
        <v>376269.63304404513</v>
      </c>
      <c r="T951" s="18">
        <f>IF($A951&gt;'1-Input'!$B$26,R951,R951-'P-Parametri'!$B$8*(S951+R951)+MIN(MAX(S951,0),'P-Parametri'!$B$8*(S951+R951)))</f>
        <v>37459.539579583834</v>
      </c>
      <c r="U951" s="18">
        <f>IF($A951&gt;'1-Input'!$B$26,S951,S951-MIN(MAX(S951,0),'P-Parametri'!$B$8*(S951+R951)))</f>
        <v>375442.17469879787</v>
      </c>
      <c r="V951" s="18">
        <f>IF($A951&gt;'1-Input'!$B$26,V950,V950-Q951*(1-P951))</f>
        <v>345854.76711374865</v>
      </c>
      <c r="W951" s="11">
        <f>IF($A951&gt;'1-Input'!$B$26,0,IF(AB950&lt;=0,0,MAX(0,(AB950-AC950)/AB950)))</f>
        <v>5.3263579598317227E-2</v>
      </c>
      <c r="X951" s="18">
        <f>IF($A951&gt;'1-Input'!$B$26,0,(MAX(0,W946-IF($A951&gt;='1-Input'!$C$12,'1-Input'!$B$12,0))-MIN(MAX(AA950,0),MAX(0,W946-IF($A951&gt;='1-Input'!$C$12,'1-Input'!$B$12,0))))*(1/(1-'P-Parametri'!$B$6*W951))+MIN(MAX(0,AB950-(MAX(0,W946-IF($A951&gt;='1-Input'!$C$12,'1-Input'!$B$12,0))-MIN(MAX(AA950,0),MAX(0,W946-IF($A951&gt;='1-Input'!$C$12,'1-Input'!$B$12,0))))*(1/(1-'P-Parametri'!$B$6*W951))),MAX(0,2*W946-(AA950-MIN(MAX(AA950,0),MAX(0,W946-IF($A951&gt;='1-Input'!$C$12,'1-Input'!$B$12,0)))))*(1/(1-'P-Parametri'!$B$6*W951))))</f>
        <v>18931.314638040501</v>
      </c>
      <c r="Y951" s="18">
        <f>IF($A951&gt;'1-Input'!$B$26,AA950,(AA950-MAX(0,W946-IF($A951&gt;='1-Input'!$C$12,'1-Input'!$B$12,0))+X951*(1-'P-Parametri'!$B$6*W951))*(1+'1-Input'!$B$27))</f>
        <v>36937.916657430564</v>
      </c>
      <c r="Z951" s="18">
        <f>IF($A951&gt;'1-Input'!$B$26,AB950,(AB950-X951)*(1+'5-Roberta'!$C$4))</f>
        <v>377682.88153816859</v>
      </c>
      <c r="AA951" s="18">
        <f>IF($A951&gt;'1-Input'!$B$26,Y951,Y951-'P-Parametri'!$B$8*(Z951+Y951)+MIN(MAX(Z951,0),'P-Parametri'!$B$8*(Z951+Y951)))</f>
        <v>36937.916657430564</v>
      </c>
      <c r="AB951" s="18">
        <f>IF($A951&gt;'1-Input'!$B$26,Z951,Z951-MIN(MAX(Z951,0),'P-Parametri'!$B$8*(Z951+Y951)))</f>
        <v>376853.63994177739</v>
      </c>
      <c r="AC951" s="18">
        <f>IF($A951&gt;'1-Input'!$B$26,AC950,AC950-X951*(1-W951))</f>
        <v>347151.59156741604</v>
      </c>
      <c r="AD951" s="11">
        <f>IF($A951&gt;'1-Input'!$B$26,0,IF(AI950&lt;=0,0,MAX(0,(AI950-AJ950)/AI950)))</f>
        <v>5.3263940227162514E-2</v>
      </c>
      <c r="AE951" s="18">
        <f>IF($A951&gt;'1-Input'!$B$26,0,(MAX(0,AD946-IF($A951&gt;='1-Input'!$C$12,'1-Input'!$B$12,0))-MIN(MAX(AH950,0),MAX(0,AD946-IF($A951&gt;='1-Input'!$C$12,'1-Input'!$B$12,0))))*(1/(1-'P-Parametri'!$B$6*AD951))+MIN(MAX(0,AI950-(MAX(0,AD946-IF($A951&gt;='1-Input'!$C$12,'1-Input'!$B$12,0))-MIN(MAX(AH950,0),MAX(0,AD946-IF($A951&gt;='1-Input'!$C$12,'1-Input'!$B$12,0))))*(1/(1-'P-Parametri'!$B$6*AD951))),MAX(0,2*AD946-(AH950-MIN(MAX(AH950,0),MAX(0,AD946-IF($A951&gt;='1-Input'!$C$12,'1-Input'!$B$12,0)))))*(1/(1-'P-Parametri'!$B$6*AD951))))</f>
        <v>18915.112508821334</v>
      </c>
      <c r="AF951" s="18">
        <f>IF($A951&gt;'1-Input'!$B$26,AH950,(AH950-MAX(0,AD946-IF($A951&gt;='1-Input'!$C$12,'1-Input'!$B$12,0))+AE951*(1-'P-Parametri'!$B$6*AD951))*(1+'1-Input'!$B$27))</f>
        <v>36906.300293679618</v>
      </c>
      <c r="AG951" s="18">
        <f>IF($A951&gt;'1-Input'!$B$26,AI950,(AI950-AE951)*(1+'5-Roberta'!$C$4))</f>
        <v>377768.54074136016</v>
      </c>
      <c r="AH951" s="18">
        <f>IF($A951&gt;'1-Input'!$B$26,AF951,AF951-'P-Parametri'!$B$8*(AG951+AF951)+MIN(MAX(AG951,0),'P-Parametri'!$B$8*(AG951+AF951)))</f>
        <v>36906.300293679618</v>
      </c>
      <c r="AI951" s="18">
        <f>IF($A951&gt;'1-Input'!$B$26,AG951,AG951-MIN(MAX(AG951,0),'P-Parametri'!$B$8*(AG951+AF951)))</f>
        <v>376939.19105929008</v>
      </c>
      <c r="AJ951" s="18">
        <f>IF($A951&gt;'1-Input'!$B$26,AJ950,AJ950-AE951*(1-AD951))</f>
        <v>347230.19394913589</v>
      </c>
      <c r="AK951" s="11">
        <f>IF($A951&gt;'1-Input'!$B$26,0,IF(AP950&lt;=0,0,MAX(0,(AP950-AQ950)/AP950)))</f>
        <v>5.3263932025781141E-2</v>
      </c>
      <c r="AL951" s="18">
        <f>IF($A951&gt;'1-Input'!$B$26,0,(MAX(0,AK946-IF($A951&gt;='1-Input'!$C$12,'1-Input'!$B$12,0))-MIN(MAX(AO950,0),MAX(0,AK946-IF($A951&gt;='1-Input'!$C$12,'1-Input'!$B$12,0))))*(1/(1-'P-Parametri'!$B$6*AK951))+MIN(MAX(0,AP950-(MAX(0,AK946-IF($A951&gt;='1-Input'!$C$12,'1-Input'!$B$12,0))-MIN(MAX(AO950,0),MAX(0,AK946-IF($A951&gt;='1-Input'!$C$12,'1-Input'!$B$12,0))))*(1/(1-'P-Parametri'!$B$6*AK951))),MAX(0,2*AK946-(AO950-MIN(MAX(AO950,0),MAX(0,AK946-IF($A951&gt;='1-Input'!$C$12,'1-Input'!$B$12,0)))))*(1/(1-'P-Parametri'!$B$6*AK951))))</f>
        <v>18915.481029890234</v>
      </c>
      <c r="AM951" s="18">
        <f>IF($A951&gt;'1-Input'!$B$26,AO950,(AO950-MAX(0,AK946-IF($A951&gt;='1-Input'!$C$12,'1-Input'!$B$12,0))+AL951*(1-'P-Parametri'!$B$6*AK951))*(1+'1-Input'!$B$27))</f>
        <v>36907.019414897208</v>
      </c>
      <c r="AN951" s="18">
        <f>IF($A951&gt;'1-Input'!$B$26,AP950,(AP950-AL951)*(1+'5-Roberta'!$C$4))</f>
        <v>377766.5924036912</v>
      </c>
      <c r="AO951" s="18">
        <f>IF($A951&gt;'1-Input'!$B$26,AM951,AM951-'P-Parametri'!$B$8*(AN951+AM951)+MIN(MAX(AN951,0),'P-Parametri'!$B$8*(AN951+AM951)))</f>
        <v>36907.019414897208</v>
      </c>
      <c r="AP951" s="18">
        <f>IF($A951&gt;'1-Input'!$B$26,AN951,AN951-MIN(MAX(AN951,0),'P-Parametri'!$B$8*(AN951+AM951)))</f>
        <v>376937.24518005404</v>
      </c>
      <c r="AQ951" s="18">
        <f>IF($A951&gt;'1-Input'!$B$26,AQ950,AQ950-AL951*(1-AK951))</f>
        <v>347228.40612066997</v>
      </c>
    </row>
    <row r="952" spans="1:43">
      <c r="A952" s="10">
        <f>4</f>
        <v>4</v>
      </c>
      <c r="B952" s="11">
        <f>IF($A952&gt;'1-Input'!$B$26,0,IF(G951&lt;=0,0,MAX(0,(G951-H951)/G951)))</f>
        <v>7.8878455785407087E-2</v>
      </c>
      <c r="C952" s="18">
        <f>IF($A952&gt;'1-Input'!$B$26,0,(MAX(0,B946-IF($A952&gt;='1-Input'!$C$12,'1-Input'!$B$12,0))-MIN(MAX(F951,0),MAX(0,B946-IF($A952&gt;='1-Input'!$C$12,'1-Input'!$B$12,0))))*(1/(1-'P-Parametri'!$B$6*B952))+MIN(MAX(0,G951-(MAX(0,B946-IF($A952&gt;='1-Input'!$C$12,'1-Input'!$B$12,0))-MIN(MAX(F951,0),MAX(0,B946-IF($A952&gt;='1-Input'!$C$12,'1-Input'!$B$12,0))))*(1/(1-'P-Parametri'!$B$6*B952))),MAX(0,2*B946-(F951-MIN(MAX(F951,0),MAX(0,B946-IF($A952&gt;='1-Input'!$C$12,'1-Input'!$B$12,0)))))*(1/(1-'P-Parametri'!$B$6*B952))))</f>
        <v>17152.938205119721</v>
      </c>
      <c r="D952" s="18">
        <f>IF($A952&gt;'1-Input'!$B$26,F951,(F951-MAX(0,B946-IF($A952&gt;='1-Input'!$C$12,'1-Input'!$B$12,0))+C952*(1-'P-Parametri'!$B$6*B952))*(1+'1-Input'!$B$27))</f>
        <v>33242.0070309863</v>
      </c>
      <c r="E952" s="18">
        <f>IF($A952&gt;'1-Input'!$B$26,G951,(G951-C952)*(1+'5-Roberta'!$C$4))</f>
        <v>380792.59358541598</v>
      </c>
      <c r="F952" s="18">
        <f>IF($A952&gt;'1-Input'!$B$26,D952,D952-'P-Parametri'!$B$8*(E952+D952)+MIN(MAX(E952,0),'P-Parametri'!$B$8*(E952+D952)))</f>
        <v>33242.0070309863</v>
      </c>
      <c r="G952" s="18">
        <f>IF($A952&gt;'1-Input'!$B$26,E952,E952-MIN(MAX(E952,0),'P-Parametri'!$B$8*(E952+D952)))</f>
        <v>379964.52438418317</v>
      </c>
      <c r="H952" s="18">
        <f>IF($A952&gt;'1-Input'!$B$26,H951,H951-C952*(1-B952))</f>
        <v>340540.06002803717</v>
      </c>
      <c r="I952" s="11">
        <f>IF($A952&gt;'1-Input'!$B$26,0,IF(N951&lt;=0,0,MAX(0,(N951-O951)/N951)))</f>
        <v>7.8693628583523176E-2</v>
      </c>
      <c r="J952" s="18">
        <f>IF($A952&gt;'1-Input'!$B$26,0,(MAX(0,I946-IF($A952&gt;='1-Input'!$C$12,'1-Input'!$B$12,0))-MIN(MAX(M951,0),MAX(0,I946-IF($A952&gt;='1-Input'!$C$12,'1-Input'!$B$12,0))))*(1/(1-'P-Parametri'!$B$6*I952))+MIN(MAX(0,N951-(MAX(0,I946-IF($A952&gt;='1-Input'!$C$12,'1-Input'!$B$12,0))-MIN(MAX(M951,0),MAX(0,I946-IF($A952&gt;='1-Input'!$C$12,'1-Input'!$B$12,0))))*(1/(1-'P-Parametri'!$B$6*I952))),MAX(0,2*I946-(M951-MIN(MAX(M951,0),MAX(0,I946-IF($A952&gt;='1-Input'!$C$12,'1-Input'!$B$12,0)))))*(1/(1-'P-Parametri'!$B$6*I952))))</f>
        <v>22568.548292089195</v>
      </c>
      <c r="K952" s="18">
        <f>IF($A952&gt;'1-Input'!$B$26,M951,(M951-MAX(0,I946-IF($A952&gt;='1-Input'!$C$12,'1-Input'!$B$12,0))+J952*(1-'P-Parametri'!$B$6*I952))*(1+'1-Input'!$B$27))</f>
        <v>43739.482935508291</v>
      </c>
      <c r="L952" s="18">
        <f>IF($A952&gt;'1-Input'!$B$26,N951,(N951-J952)*(1+'5-Roberta'!$C$4))</f>
        <v>345957.20404930541</v>
      </c>
      <c r="M952" s="18">
        <f>IF($A952&gt;'1-Input'!$B$26,K952,K952-'P-Parametri'!$B$8*(L952+K952)+MIN(MAX(L952,0),'P-Parametri'!$B$8*(L952+K952)))</f>
        <v>43739.482935508291</v>
      </c>
      <c r="N952" s="18">
        <f>IF($A952&gt;'1-Input'!$B$26,L952,L952-MIN(MAX(L952,0),'P-Parametri'!$B$8*(L952+K952)))</f>
        <v>345177.81067533576</v>
      </c>
      <c r="O952" s="18">
        <f>IF($A952&gt;'1-Input'!$B$26,O951,O951-J952*(1-I952))</f>
        <v>309449.10323112155</v>
      </c>
      <c r="P952" s="11">
        <f>IF($A952&gt;'1-Input'!$B$26,0,IF(U951&lt;=0,0,MAX(0,(U951-V951)/U951)))</f>
        <v>7.8806829863443034E-2</v>
      </c>
      <c r="Q952" s="18">
        <f>IF($A952&gt;'1-Input'!$B$26,0,(MAX(0,P946-IF($A952&gt;='1-Input'!$C$12,'1-Input'!$B$12,0))-MIN(MAX(T951,0),MAX(0,P946-IF($A952&gt;='1-Input'!$C$12,'1-Input'!$B$12,0))))*(1/(1-'P-Parametri'!$B$6*P952))+MIN(MAX(0,U951-(MAX(0,P946-IF($A952&gt;='1-Input'!$C$12,'1-Input'!$B$12,0))-MIN(MAX(T951,0),MAX(0,P946-IF($A952&gt;='1-Input'!$C$12,'1-Input'!$B$12,0))))*(1/(1-'P-Parametri'!$B$6*P952))),MAX(0,2*P946-(T951-MIN(MAX(T951,0),MAX(0,P946-IF($A952&gt;='1-Input'!$C$12,'1-Input'!$B$12,0)))))*(1/(1-'P-Parametri'!$B$6*P952))))</f>
        <v>19328.825447215782</v>
      </c>
      <c r="R952" s="18">
        <f>IF($A952&gt;'1-Input'!$B$26,T951,(T951-MAX(0,P946-IF($A952&gt;='1-Input'!$C$12,'1-Input'!$B$12,0))+Q952*(1-'P-Parametri'!$B$6*P952))*(1+'1-Input'!$B$27))</f>
        <v>37459.539579583834</v>
      </c>
      <c r="S952" s="18">
        <f>IF($A952&gt;'1-Input'!$B$26,U951,(U951-Q952)*(1+'5-Roberta'!$C$4))</f>
        <v>366796.7497291296</v>
      </c>
      <c r="T952" s="18">
        <f>IF($A952&gt;'1-Input'!$B$26,R952,R952-'P-Parametri'!$B$8*(S952+R952)+MIN(MAX(S952,0),'P-Parametri'!$B$8*(S952+R952)))</f>
        <v>37459.539579583834</v>
      </c>
      <c r="U952" s="18">
        <f>IF($A952&gt;'1-Input'!$B$26,S952,S952-MIN(MAX(S952,0),'P-Parametri'!$B$8*(S952+R952)))</f>
        <v>365988.23715051217</v>
      </c>
      <c r="V952" s="18">
        <f>IF($A952&gt;'1-Input'!$B$26,V951,V951-Q952*(1-P952))</f>
        <v>328049.18512501178</v>
      </c>
      <c r="W952" s="11">
        <f>IF($A952&gt;'1-Input'!$B$26,0,IF(AB951&lt;=0,0,MAX(0,(AB951-AC951)/AB951)))</f>
        <v>7.8815872334283998E-2</v>
      </c>
      <c r="X952" s="18">
        <f>IF($A952&gt;'1-Input'!$B$26,0,(MAX(0,W946-IF($A952&gt;='1-Input'!$C$12,'1-Input'!$B$12,0))-MIN(MAX(AA951,0),MAX(0,W946-IF($A952&gt;='1-Input'!$C$12,'1-Input'!$B$12,0))))*(1/(1-'P-Parametri'!$B$6*W952))+MIN(MAX(0,AB951-(MAX(0,W946-IF($A952&gt;='1-Input'!$C$12,'1-Input'!$B$12,0))-MIN(MAX(AA951,0),MAX(0,W946-IF($A952&gt;='1-Input'!$C$12,'1-Input'!$B$12,0))))*(1/(1-'P-Parametri'!$B$6*W952))),MAX(0,2*W946-(AA951-MIN(MAX(AA951,0),MAX(0,W946-IF($A952&gt;='1-Input'!$C$12,'1-Input'!$B$12,0)))))*(1/(1-'P-Parametri'!$B$6*W952))))</f>
        <v>19059.717902326727</v>
      </c>
      <c r="Y952" s="18">
        <f>IF($A952&gt;'1-Input'!$B$26,AA951,(AA951-MAX(0,W946-IF($A952&gt;='1-Input'!$C$12,'1-Input'!$B$12,0))+X952*(1-'P-Parametri'!$B$6*W952))*(1+'1-Input'!$B$27))</f>
        <v>36937.916657430571</v>
      </c>
      <c r="Z952" s="18">
        <f>IF($A952&gt;'1-Input'!$B$26,AB951,(AB951-X952)*(1+'5-Roberta'!$C$4))</f>
        <v>368527.73970063421</v>
      </c>
      <c r="AA952" s="18">
        <f>IF($A952&gt;'1-Input'!$B$26,Y952,Y952-'P-Parametri'!$B$8*(Z952+Y952)+MIN(MAX(Z952,0),'P-Parametri'!$B$8*(Z952+Y952)))</f>
        <v>36937.916657430571</v>
      </c>
      <c r="AB952" s="18">
        <f>IF($A952&gt;'1-Input'!$B$26,Z952,Z952-MIN(MAX(Z952,0),'P-Parametri'!$B$8*(Z952+Y952)))</f>
        <v>367716.80838791805</v>
      </c>
      <c r="AC952" s="18">
        <f>IF($A952&gt;'1-Input'!$B$26,AC951,AC951-X952*(1-W952))</f>
        <v>329594.08195800654</v>
      </c>
      <c r="AD952" s="11">
        <f>IF($A952&gt;'1-Input'!$B$26,0,IF(AI951&lt;=0,0,MAX(0,(AI951-AJ951)/AI951)))</f>
        <v>7.8816418708451991E-2</v>
      </c>
      <c r="AE952" s="18">
        <f>IF($A952&gt;'1-Input'!$B$26,0,(MAX(0,AD946-IF($A952&gt;='1-Input'!$C$12,'1-Input'!$B$12,0))-MIN(MAX(AH951,0),MAX(0,AD946-IF($A952&gt;='1-Input'!$C$12,'1-Input'!$B$12,0))))*(1/(1-'P-Parametri'!$B$6*AD952))+MIN(MAX(0,AI951-(MAX(0,AD946-IF($A952&gt;='1-Input'!$C$12,'1-Input'!$B$12,0))-MIN(MAX(AH951,0),MAX(0,AD946-IF($A952&gt;='1-Input'!$C$12,'1-Input'!$B$12,0))))*(1/(1-'P-Parametri'!$B$6*AD952))),MAX(0,2*AD946-(AH951-MIN(MAX(AH951,0),MAX(0,AD946-IF($A952&gt;='1-Input'!$C$12,'1-Input'!$B$12,0)))))*(1/(1-'P-Parametri'!$B$6*AD952))))</f>
        <v>19043.406831976932</v>
      </c>
      <c r="AF952" s="18">
        <f>IF($A952&gt;'1-Input'!$B$26,AH951,(AH951-MAX(0,AD946-IF($A952&gt;='1-Input'!$C$12,'1-Input'!$B$12,0))+AE952*(1-'P-Parametri'!$B$6*AD952))*(1+'1-Input'!$B$27))</f>
        <v>36906.300293679618</v>
      </c>
      <c r="AG952" s="18">
        <f>IF($A952&gt;'1-Input'!$B$26,AI951,(AI951-AE952)*(1+'5-Roberta'!$C$4))</f>
        <v>368632.65775413252</v>
      </c>
      <c r="AH952" s="18">
        <f>IF($A952&gt;'1-Input'!$B$26,AF952,AF952-'P-Parametri'!$B$8*(AG952+AF952)+MIN(MAX(AG952,0),'P-Parametri'!$B$8*(AG952+AF952)))</f>
        <v>36906.300293679618</v>
      </c>
      <c r="AI952" s="18">
        <f>IF($A952&gt;'1-Input'!$B$26,AG952,AG952-MIN(MAX(AG952,0),'P-Parametri'!$B$8*(AG952+AF952)))</f>
        <v>367821.57983803691</v>
      </c>
      <c r="AJ952" s="18">
        <f>IF($A952&gt;'1-Input'!$B$26,AJ951,AJ951-AE952*(1-AD952))</f>
        <v>329687.72024366347</v>
      </c>
      <c r="AK952" s="11">
        <f>IF($A952&gt;'1-Input'!$B$26,0,IF(AP951&lt;=0,0,MAX(0,(AP951-AQ951)/AP951)))</f>
        <v>7.8816406283207338E-2</v>
      </c>
      <c r="AL952" s="18">
        <f>IF($A952&gt;'1-Input'!$B$26,0,(MAX(0,AK946-IF($A952&gt;='1-Input'!$C$12,'1-Input'!$B$12,0))-MIN(MAX(AO951,0),MAX(0,AK946-IF($A952&gt;='1-Input'!$C$12,'1-Input'!$B$12,0))))*(1/(1-'P-Parametri'!$B$6*AK952))+MIN(MAX(0,AP951-(MAX(0,AK946-IF($A952&gt;='1-Input'!$C$12,'1-Input'!$B$12,0))-MIN(MAX(AO951,0),MAX(0,AK946-IF($A952&gt;='1-Input'!$C$12,'1-Input'!$B$12,0))))*(1/(1-'P-Parametri'!$B$6*AK952))),MAX(0,2*AK946-(AO951-MIN(MAX(AO951,0),MAX(0,AK946-IF($A952&gt;='1-Input'!$C$12,'1-Input'!$B$12,0)))))*(1/(1-'P-Parametri'!$B$6*AK952))))</f>
        <v>19043.777830959294</v>
      </c>
      <c r="AM952" s="18">
        <f>IF($A952&gt;'1-Input'!$B$26,AO951,(AO951-MAX(0,AK946-IF($A952&gt;='1-Input'!$C$12,'1-Input'!$B$12,0))+AL952*(1-'P-Parametri'!$B$6*AK952))*(1+'1-Input'!$B$27))</f>
        <v>36907.019414897208</v>
      </c>
      <c r="AN952" s="18">
        <f>IF($A952&gt;'1-Input'!$B$26,AP951,(AP951-AL952)*(1+'5-Roberta'!$C$4))</f>
        <v>368630.27136956761</v>
      </c>
      <c r="AO952" s="18">
        <f>IF($A952&gt;'1-Input'!$B$26,AM952,AM952-'P-Parametri'!$B$8*(AN952+AM952)+MIN(MAX(AN952,0),'P-Parametri'!$B$8*(AN952+AM952)))</f>
        <v>36907.019414897208</v>
      </c>
      <c r="AP952" s="18">
        <f>IF($A952&gt;'1-Input'!$B$26,AN952,AN952-MIN(MAX(AN952,0),'P-Parametri'!$B$8*(AN952+AM952)))</f>
        <v>367819.19678799866</v>
      </c>
      <c r="AQ952" s="18">
        <f>IF($A952&gt;'1-Input'!$B$26,AQ951,AQ951-AL952*(1-AK952))</f>
        <v>329685.5904204027</v>
      </c>
    </row>
    <row r="953" spans="1:43">
      <c r="A953" s="10">
        <f>5</f>
        <v>5</v>
      </c>
      <c r="B953" s="11">
        <f>IF($A953&gt;'1-Input'!$B$26,0,IF(G952&lt;=0,0,MAX(0,(G952-H952)/G952)))</f>
        <v>0.10375827696030857</v>
      </c>
      <c r="C953" s="18">
        <f>IF($A953&gt;'1-Input'!$B$26,0,(MAX(0,B946-IF($A953&gt;='1-Input'!$C$12,'1-Input'!$B$12,0))-MIN(MAX(F952,0),MAX(0,B946-IF($A953&gt;='1-Input'!$C$12,'1-Input'!$B$12,0))))*(1/(1-'P-Parametri'!$B$6*B953))+MIN(MAX(0,G952-(MAX(0,B946-IF($A953&gt;='1-Input'!$C$12,'1-Input'!$B$12,0))-MIN(MAX(F952,0),MAX(0,B946-IF($A953&gt;='1-Input'!$C$12,'1-Input'!$B$12,0))))*(1/(1-'P-Parametri'!$B$6*B953))),MAX(0,2*B946-(F952-MIN(MAX(F952,0),MAX(0,B946-IF($A953&gt;='1-Input'!$C$12,'1-Input'!$B$12,0)))))*(1/(1-'P-Parametri'!$B$6*B953))))</f>
        <v>17266.972659061605</v>
      </c>
      <c r="D953" s="18">
        <f>IF($A953&gt;'1-Input'!$B$26,F952,(F952-MAX(0,B946-IF($A953&gt;='1-Input'!$C$12,'1-Input'!$B$12,0))+C953*(1-'P-Parametri'!$B$6*B953))*(1+'1-Input'!$B$27))</f>
        <v>33242.0070309863</v>
      </c>
      <c r="E953" s="18">
        <f>IF($A953&gt;'1-Input'!$B$26,G952,(G952-C953)*(1+'5-Roberta'!$C$4))</f>
        <v>373578.47827687522</v>
      </c>
      <c r="F953" s="18">
        <f>IF($A953&gt;'1-Input'!$B$26,D953,D953-'P-Parametri'!$B$8*(E953+D953)+MIN(MAX(E953,0),'P-Parametri'!$B$8*(E953+D953)))</f>
        <v>33242.0070309863</v>
      </c>
      <c r="G953" s="18">
        <f>IF($A953&gt;'1-Input'!$B$26,E953,E953-MIN(MAX(E953,0),'P-Parametri'!$B$8*(E953+D953)))</f>
        <v>372764.83730625949</v>
      </c>
      <c r="H953" s="18">
        <f>IF($A953&gt;'1-Input'!$B$26,H952,H952-C953*(1-B953))</f>
        <v>325064.67870040057</v>
      </c>
      <c r="I953" s="11">
        <f>IF($A953&gt;'1-Input'!$B$26,0,IF(N952&lt;=0,0,MAX(0,(N952-O952)/N952)))</f>
        <v>0.10350812346341576</v>
      </c>
      <c r="J953" s="18">
        <f>IF($A953&gt;'1-Input'!$B$26,0,(MAX(0,I946-IF($A953&gt;='1-Input'!$C$12,'1-Input'!$B$12,0))-MIN(MAX(M952,0),MAX(0,I946-IF($A953&gt;='1-Input'!$C$12,'1-Input'!$B$12,0))))*(1/(1-'P-Parametri'!$B$6*I953))+MIN(MAX(0,N952-(MAX(0,I946-IF($A953&gt;='1-Input'!$C$12,'1-Input'!$B$12,0))-MIN(MAX(M952,0),MAX(0,I946-IF($A953&gt;='1-Input'!$C$12,'1-Input'!$B$12,0))))*(1/(1-'P-Parametri'!$B$6*I953))),MAX(0,2*I946-(M952-MIN(MAX(M952,0),MAX(0,I946-IF($A953&gt;='1-Input'!$C$12,'1-Input'!$B$12,0)))))*(1/(1-'P-Parametri'!$B$6*I953))))</f>
        <v>22718.182312388093</v>
      </c>
      <c r="K953" s="18">
        <f>IF($A953&gt;'1-Input'!$B$26,M952,(M952-MAX(0,I946-IF($A953&gt;='1-Input'!$C$12,'1-Input'!$B$12,0))+J953*(1-'P-Parametri'!$B$6*I953))*(1+'1-Input'!$B$27))</f>
        <v>43739.482935508291</v>
      </c>
      <c r="L953" s="18">
        <f>IF($A953&gt;'1-Input'!$B$26,N952,(N952-J953)*(1+'5-Roberta'!$C$4))</f>
        <v>332133.4172138361</v>
      </c>
      <c r="M953" s="18">
        <f>IF($A953&gt;'1-Input'!$B$26,K953,K953-'P-Parametri'!$B$8*(L953+K953)+MIN(MAX(L953,0),'P-Parametri'!$B$8*(L953+K953)))</f>
        <v>43739.482935508291</v>
      </c>
      <c r="N953" s="18">
        <f>IF($A953&gt;'1-Input'!$B$26,L953,L953-MIN(MAX(L953,0),'P-Parametri'!$B$8*(L953+K953)))</f>
        <v>331381.67141353741</v>
      </c>
      <c r="O953" s="18">
        <f>IF($A953&gt;'1-Input'!$B$26,O952,O952-J953*(1-I953))</f>
        <v>289082.43733838852</v>
      </c>
      <c r="P953" s="11">
        <f>IF($A953&gt;'1-Input'!$B$26,0,IF(U952&lt;=0,0,MAX(0,(U952-V952)/U952)))</f>
        <v>0.10366194367579636</v>
      </c>
      <c r="Q953" s="18">
        <f>IF($A953&gt;'1-Input'!$B$26,0,(MAX(0,P946-IF($A953&gt;='1-Input'!$C$12,'1-Input'!$B$12,0))-MIN(MAX(T952,0),MAX(0,P946-IF($A953&gt;='1-Input'!$C$12,'1-Input'!$B$12,0))))*(1/(1-'P-Parametri'!$B$6*P953))+MIN(MAX(0,U952-(MAX(0,P946-IF($A953&gt;='1-Input'!$C$12,'1-Input'!$B$12,0))-MIN(MAX(T952,0),MAX(0,P946-IF($A953&gt;='1-Input'!$C$12,'1-Input'!$B$12,0))))*(1/(1-'P-Parametri'!$B$6*P953))),MAX(0,2*P946-(T952-MIN(MAX(T952,0),MAX(0,P946-IF($A953&gt;='1-Input'!$C$12,'1-Input'!$B$12,0)))))*(1/(1-'P-Parametri'!$B$6*P953))))</f>
        <v>19457.194504215357</v>
      </c>
      <c r="R953" s="18">
        <f>IF($A953&gt;'1-Input'!$B$26,T952,(T952-MAX(0,P946-IF($A953&gt;='1-Input'!$C$12,'1-Input'!$B$12,0))+Q953*(1-'P-Parametri'!$B$6*P953))*(1+'1-Input'!$B$27))</f>
        <v>37459.539579583834</v>
      </c>
      <c r="S953" s="18">
        <f>IF($A953&gt;'1-Input'!$B$26,U952,(U952-Q953)*(1+'5-Roberta'!$C$4))</f>
        <v>356926.97392568568</v>
      </c>
      <c r="T953" s="18">
        <f>IF($A953&gt;'1-Input'!$B$26,R953,R953-'P-Parametri'!$B$8*(S953+R953)+MIN(MAX(S953,0),'P-Parametri'!$B$8*(S953+R953)))</f>
        <v>37459.539579583834</v>
      </c>
      <c r="U953" s="18">
        <f>IF($A953&gt;'1-Input'!$B$26,S953,S953-MIN(MAX(S953,0),'P-Parametri'!$B$8*(S953+R953)))</f>
        <v>356138.20089867513</v>
      </c>
      <c r="V953" s="18">
        <f>IF($A953&gt;'1-Input'!$B$26,V952,V952-Q953*(1-P953))</f>
        <v>310608.96122158138</v>
      </c>
      <c r="W953" s="11">
        <f>IF($A953&gt;'1-Input'!$B$26,0,IF(AB952&lt;=0,0,MAX(0,(AB952-AC952)/AB952)))</f>
        <v>0.10367414695303902</v>
      </c>
      <c r="X953" s="18">
        <f>IF($A953&gt;'1-Input'!$B$26,0,(MAX(0,W946-IF($A953&gt;='1-Input'!$C$12,'1-Input'!$B$12,0))-MIN(MAX(AA952,0),MAX(0,W946-IF($A953&gt;='1-Input'!$C$12,'1-Input'!$B$12,0))))*(1/(1-'P-Parametri'!$B$6*W953))+MIN(MAX(0,AB952-(MAX(0,W946-IF($A953&gt;='1-Input'!$C$12,'1-Input'!$B$12,0))-MIN(MAX(AA952,0),MAX(0,W946-IF($A953&gt;='1-Input'!$C$12,'1-Input'!$B$12,0))))*(1/(1-'P-Parametri'!$B$6*W953))),MAX(0,2*W946-(AA952-MIN(MAX(AA952,0),MAX(0,W946-IF($A953&gt;='1-Input'!$C$12,'1-Input'!$B$12,0)))))*(1/(1-'P-Parametri'!$B$6*W953))))</f>
        <v>19186.316238150212</v>
      </c>
      <c r="Y953" s="18">
        <f>IF($A953&gt;'1-Input'!$B$26,AA952,(AA952-MAX(0,W946-IF($A953&gt;='1-Input'!$C$12,'1-Input'!$B$12,0))+X953*(1-'P-Parametri'!$B$6*W953))*(1+'1-Input'!$B$27))</f>
        <v>36937.916657430556</v>
      </c>
      <c r="Z953" s="18">
        <f>IF($A953&gt;'1-Input'!$B$26,AB952,(AB952-X953)*(1+'5-Roberta'!$C$4))</f>
        <v>358986.40691426088</v>
      </c>
      <c r="AA953" s="18">
        <f>IF($A953&gt;'1-Input'!$B$26,Y953,Y953-'P-Parametri'!$B$8*(Z953+Y953)+MIN(MAX(Z953,0),'P-Parametri'!$B$8*(Z953+Y953)))</f>
        <v>36937.916657430556</v>
      </c>
      <c r="AB953" s="18">
        <f>IF($A953&gt;'1-Input'!$B$26,Z953,Z953-MIN(MAX(Z953,0),'P-Parametri'!$B$8*(Z953+Y953)))</f>
        <v>358194.55826711748</v>
      </c>
      <c r="AC953" s="18">
        <f>IF($A953&gt;'1-Input'!$B$26,AC952,AC952-X953*(1-W953))</f>
        <v>312396.89068901778</v>
      </c>
      <c r="AD953" s="11">
        <f>IF($A953&gt;'1-Input'!$B$26,0,IF(AI952&lt;=0,0,MAX(0,(AI952-AJ952)/AI952)))</f>
        <v>0.10367488392378975</v>
      </c>
      <c r="AE953" s="18">
        <f>IF($A953&gt;'1-Input'!$B$26,0,(MAX(0,AD946-IF($A953&gt;='1-Input'!$C$12,'1-Input'!$B$12,0))-MIN(MAX(AH952,0),MAX(0,AD946-IF($A953&gt;='1-Input'!$C$12,'1-Input'!$B$12,0))))*(1/(1-'P-Parametri'!$B$6*AD953))+MIN(MAX(0,AI952-(MAX(0,AD946-IF($A953&gt;='1-Input'!$C$12,'1-Input'!$B$12,0))-MIN(MAX(AH952,0),MAX(0,AD946-IF($A953&gt;='1-Input'!$C$12,'1-Input'!$B$12,0))))*(1/(1-'P-Parametri'!$B$6*AD953))),MAX(0,2*AD946-(AH952-MIN(MAX(AH952,0),MAX(0,AD946-IF($A953&gt;='1-Input'!$C$12,'1-Input'!$B$12,0)))))*(1/(1-'P-Parametri'!$B$6*AD953))))</f>
        <v>19169.89782126285</v>
      </c>
      <c r="AF953" s="18">
        <f>IF($A953&gt;'1-Input'!$B$26,AH952,(AH952-MAX(0,AD946-IF($A953&gt;='1-Input'!$C$12,'1-Input'!$B$12,0))+AE953*(1-'P-Parametri'!$B$6*AD953))*(1+'1-Input'!$B$27))</f>
        <v>36906.300293679611</v>
      </c>
      <c r="AG953" s="18">
        <f>IF($A953&gt;'1-Input'!$B$26,AI952,(AI952-AE953)*(1+'5-Roberta'!$C$4))</f>
        <v>359111.23247727728</v>
      </c>
      <c r="AH953" s="18">
        <f>IF($A953&gt;'1-Input'!$B$26,AF953,AF953-'P-Parametri'!$B$8*(AG953+AF953)+MIN(MAX(AG953,0),'P-Parametri'!$B$8*(AG953+AF953)))</f>
        <v>36906.300293679611</v>
      </c>
      <c r="AI953" s="18">
        <f>IF($A953&gt;'1-Input'!$B$26,AG953,AG953-MIN(MAX(AG953,0),'P-Parametri'!$B$8*(AG953+AF953)))</f>
        <v>358319.19741173537</v>
      </c>
      <c r="AJ953" s="18">
        <f>IF($A953&gt;'1-Input'!$B$26,AJ952,AJ952-AE953*(1-AD953))</f>
        <v>312505.25935385097</v>
      </c>
      <c r="AK953" s="11">
        <f>IF($A953&gt;'1-Input'!$B$26,0,IF(AP952&lt;=0,0,MAX(0,(AP952-AQ952)/AP952)))</f>
        <v>0.10367486716462809</v>
      </c>
      <c r="AL953" s="18">
        <f>IF($A953&gt;'1-Input'!$B$26,0,(MAX(0,AK946-IF($A953&gt;='1-Input'!$C$12,'1-Input'!$B$12,0))-MIN(MAX(AO952,0),MAX(0,AK946-IF($A953&gt;='1-Input'!$C$12,'1-Input'!$B$12,0))))*(1/(1-'P-Parametri'!$B$6*AK953))+MIN(MAX(0,AP952-(MAX(0,AK946-IF($A953&gt;='1-Input'!$C$12,'1-Input'!$B$12,0))-MIN(MAX(AO952,0),MAX(0,AK946-IF($A953&gt;='1-Input'!$C$12,'1-Input'!$B$12,0))))*(1/(1-'P-Parametri'!$B$6*AK953))),MAX(0,2*AK946-(AO952-MIN(MAX(AO952,0),MAX(0,AK946-IF($A953&gt;='1-Input'!$C$12,'1-Input'!$B$12,0)))))*(1/(1-'P-Parametri'!$B$6*AK953))))</f>
        <v>19170.271261891863</v>
      </c>
      <c r="AM953" s="18">
        <f>IF($A953&gt;'1-Input'!$B$26,AO952,(AO952-MAX(0,AK946-IF($A953&gt;='1-Input'!$C$12,'1-Input'!$B$12,0))+AL953*(1-'P-Parametri'!$B$6*AK953))*(1+'1-Input'!$B$27))</f>
        <v>36907.019414897208</v>
      </c>
      <c r="AN953" s="18">
        <f>IF($A953&gt;'1-Input'!$B$26,AP952,(AP952-AL953)*(1+'5-Roberta'!$C$4))</f>
        <v>359108.39329188998</v>
      </c>
      <c r="AO953" s="18">
        <f>IF($A953&gt;'1-Input'!$B$26,AM953,AM953-'P-Parametri'!$B$8*(AN953+AM953)+MIN(MAX(AN953,0),'P-Parametri'!$B$8*(AN953+AM953)))</f>
        <v>36907.019414897208</v>
      </c>
      <c r="AP953" s="18">
        <f>IF($A953&gt;'1-Input'!$B$26,AN953,AN953-MIN(MAX(AN953,0),'P-Parametri'!$B$8*(AN953+AM953)))</f>
        <v>358316.36246647639</v>
      </c>
      <c r="AQ953" s="18">
        <f>IF($A953&gt;'1-Input'!$B$26,AQ952,AQ952-AL953*(1-AK953))</f>
        <v>312502.79448509734</v>
      </c>
    </row>
    <row r="954" spans="1:43">
      <c r="A954" s="10">
        <f>6</f>
        <v>6</v>
      </c>
      <c r="B954" s="11">
        <f>IF($A954&gt;'1-Input'!$B$26,0,IF(G953&lt;=0,0,MAX(0,(G953-H953)/G953)))</f>
        <v>0.12796313877284779</v>
      </c>
      <c r="C954" s="18">
        <f>IF($A954&gt;'1-Input'!$B$26,0,(MAX(0,B946-IF($A954&gt;='1-Input'!$C$12,'1-Input'!$B$12,0))-MIN(MAX(F953,0),MAX(0,B946-IF($A954&gt;='1-Input'!$C$12,'1-Input'!$B$12,0))))*(1/(1-'P-Parametri'!$B$6*B954))+MIN(MAX(0,G953-(MAX(0,B946-IF($A954&gt;='1-Input'!$C$12,'1-Input'!$B$12,0))-MIN(MAX(F953,0),MAX(0,B946-IF($A954&gt;='1-Input'!$C$12,'1-Input'!$B$12,0))))*(1/(1-'P-Parametri'!$B$6*B954))),MAX(0,2*B946-(F953-MIN(MAX(F953,0),MAX(0,B946-IF($A954&gt;='1-Input'!$C$12,'1-Input'!$B$12,0)))))*(1/(1-'P-Parametri'!$B$6*B954))))</f>
        <v>17379.378051905984</v>
      </c>
      <c r="D954" s="18">
        <f>IF($A954&gt;'1-Input'!$B$26,F953,(F953-MAX(0,B946-IF($A954&gt;='1-Input'!$C$12,'1-Input'!$B$12,0))+C954*(1-'P-Parametri'!$B$6*B954))*(1+'1-Input'!$B$27))</f>
        <v>33242.0070309863</v>
      </c>
      <c r="E954" s="18">
        <f>IF($A954&gt;'1-Input'!$B$26,G953,(G953-C954)*(1+'5-Roberta'!$C$4))</f>
        <v>366047.02303198411</v>
      </c>
      <c r="F954" s="18">
        <f>IF($A954&gt;'1-Input'!$B$26,D954,D954-'P-Parametri'!$B$8*(E954+D954)+MIN(MAX(E954,0),'P-Parametri'!$B$8*(E954+D954)))</f>
        <v>33242.0070309863</v>
      </c>
      <c r="G954" s="18">
        <f>IF($A954&gt;'1-Input'!$B$26,E954,E954-MIN(MAX(E954,0),'P-Parametri'!$B$8*(E954+D954)))</f>
        <v>365248.44497185817</v>
      </c>
      <c r="H954" s="18">
        <f>IF($A954&gt;'1-Input'!$B$26,H953,H953-C954*(1-B954))</f>
        <v>309909.22041393642</v>
      </c>
      <c r="I954" s="11">
        <f>IF($A954&gt;'1-Input'!$B$26,0,IF(N953&lt;=0,0,MAX(0,(N953-O953)/N953)))</f>
        <v>0.12764506224715993</v>
      </c>
      <c r="J954" s="18">
        <f>IF($A954&gt;'1-Input'!$B$26,0,(MAX(0,I946-IF($A954&gt;='1-Input'!$C$12,'1-Input'!$B$12,0))-MIN(MAX(M953,0),MAX(0,I946-IF($A954&gt;='1-Input'!$C$12,'1-Input'!$B$12,0))))*(1/(1-'P-Parametri'!$B$6*I954))+MIN(MAX(0,N953-(MAX(0,I946-IF($A954&gt;='1-Input'!$C$12,'1-Input'!$B$12,0))-MIN(MAX(M953,0),MAX(0,I946-IF($A954&gt;='1-Input'!$C$12,'1-Input'!$B$12,0))))*(1/(1-'P-Parametri'!$B$6*I954))),MAX(0,2*I946-(M953-MIN(MAX(M953,0),MAX(0,I946-IF($A954&gt;='1-Input'!$C$12,'1-Input'!$B$12,0)))))*(1/(1-'P-Parametri'!$B$6*I954))))</f>
        <v>22865.646634141278</v>
      </c>
      <c r="K954" s="18">
        <f>IF($A954&gt;'1-Input'!$B$26,M953,(M953-MAX(0,I946-IF($A954&gt;='1-Input'!$C$12,'1-Input'!$B$12,0))+J954*(1-'P-Parametri'!$B$6*I954))*(1+'1-Input'!$B$27))</f>
        <v>43739.482935508291</v>
      </c>
      <c r="L954" s="18">
        <f>IF($A954&gt;'1-Input'!$B$26,N953,(N953-J954)*(1+'5-Roberta'!$C$4))</f>
        <v>317771.50552277802</v>
      </c>
      <c r="M954" s="18">
        <f>IF($A954&gt;'1-Input'!$B$26,K954,K954-'P-Parametri'!$B$8*(L954+K954)+MIN(MAX(L954,0),'P-Parametri'!$B$8*(L954+K954)))</f>
        <v>43739.482935508291</v>
      </c>
      <c r="N954" s="18">
        <f>IF($A954&gt;'1-Input'!$B$26,L954,L954-MIN(MAX(L954,0),'P-Parametri'!$B$8*(L954+K954)))</f>
        <v>317048.48354586144</v>
      </c>
      <c r="O954" s="18">
        <f>IF($A954&gt;'1-Input'!$B$26,O953,O953-J954*(1-I954))</f>
        <v>269135.47759218374</v>
      </c>
      <c r="P954" s="11">
        <f>IF($A954&gt;'1-Input'!$B$26,0,IF(U953&lt;=0,0,MAX(0,(U953-V953)/U953)))</f>
        <v>0.12784149401048744</v>
      </c>
      <c r="Q954" s="18">
        <f>IF($A954&gt;'1-Input'!$B$26,0,(MAX(0,P946-IF($A954&gt;='1-Input'!$C$12,'1-Input'!$B$12,0))-MIN(MAX(T953,0),MAX(0,P946-IF($A954&gt;='1-Input'!$C$12,'1-Input'!$B$12,0))))*(1/(1-'P-Parametri'!$B$6*P954))+MIN(MAX(0,U953-(MAX(0,P946-IF($A954&gt;='1-Input'!$C$12,'1-Input'!$B$12,0))-MIN(MAX(T953,0),MAX(0,P946-IF($A954&gt;='1-Input'!$C$12,'1-Input'!$B$12,0))))*(1/(1-'P-Parametri'!$B$6*P954))),MAX(0,2*P946-(T953-MIN(MAX(T953,0),MAX(0,P946-IF($A954&gt;='1-Input'!$C$12,'1-Input'!$B$12,0)))))*(1/(1-'P-Parametri'!$B$6*P954))))</f>
        <v>19583.721317815449</v>
      </c>
      <c r="R954" s="18">
        <f>IF($A954&gt;'1-Input'!$B$26,T953,(T953-MAX(0,P946-IF($A954&gt;='1-Input'!$C$12,'1-Input'!$B$12,0))+Q954*(1-'P-Parametri'!$B$6*P954))*(1+'1-Input'!$B$27))</f>
        <v>37459.539579583834</v>
      </c>
      <c r="S954" s="18">
        <f>IF($A954&gt;'1-Input'!$B$26,U953,(U953-Q954)*(1+'5-Roberta'!$C$4))</f>
        <v>346651.11396828544</v>
      </c>
      <c r="T954" s="18">
        <f>IF($A954&gt;'1-Input'!$B$26,R954,R954-'P-Parametri'!$B$8*(S954+R954)+MIN(MAX(S954,0),'P-Parametri'!$B$8*(S954+R954)))</f>
        <v>37459.539579583834</v>
      </c>
      <c r="U954" s="18">
        <f>IF($A954&gt;'1-Input'!$B$26,S954,S954-MIN(MAX(S954,0),'P-Parametri'!$B$8*(S954+R954)))</f>
        <v>345882.89266118972</v>
      </c>
      <c r="V954" s="18">
        <f>IF($A954&gt;'1-Input'!$B$26,V953,V953-Q954*(1-P954))</f>
        <v>293528.85209532047</v>
      </c>
      <c r="W954" s="11">
        <f>IF($A954&gt;'1-Input'!$B$26,0,IF(AB953&lt;=0,0,MAX(0,(AB953-AC953)/AB953)))</f>
        <v>0.12785696075244915</v>
      </c>
      <c r="X954" s="18">
        <f>IF($A954&gt;'1-Input'!$B$26,0,(MAX(0,W946-IF($A954&gt;='1-Input'!$C$12,'1-Input'!$B$12,0))-MIN(MAX(AA953,0),MAX(0,W946-IF($A954&gt;='1-Input'!$C$12,'1-Input'!$B$12,0))))*(1/(1-'P-Parametri'!$B$6*W954))+MIN(MAX(0,AB953-(MAX(0,W946-IF($A954&gt;='1-Input'!$C$12,'1-Input'!$B$12,0))-MIN(MAX(AA953,0),MAX(0,W946-IF($A954&gt;='1-Input'!$C$12,'1-Input'!$B$12,0))))*(1/(1-'P-Parametri'!$B$6*W954))),MAX(0,2*W946-(AA953-MIN(MAX(AA953,0),MAX(0,W946-IF($A954&gt;='1-Input'!$C$12,'1-Input'!$B$12,0)))))*(1/(1-'P-Parametri'!$B$6*W954))))</f>
        <v>19311.098935009493</v>
      </c>
      <c r="Y954" s="18">
        <f>IF($A954&gt;'1-Input'!$B$26,AA953,(AA953-MAX(0,W946-IF($A954&gt;='1-Input'!$C$12,'1-Input'!$B$12,0))+X954*(1-'P-Parametri'!$B$6*W954))*(1+'1-Input'!$B$27))</f>
        <v>36937.916657430571</v>
      </c>
      <c r="Z954" s="18">
        <f>IF($A954&gt;'1-Input'!$B$26,AB953,(AB953-X954)*(1+'5-Roberta'!$C$4))</f>
        <v>349049.96311207121</v>
      </c>
      <c r="AA954" s="18">
        <f>IF($A954&gt;'1-Input'!$B$26,Y954,Y954-'P-Parametri'!$B$8*(Z954+Y954)+MIN(MAX(Z954,0),'P-Parametri'!$B$8*(Z954+Y954)))</f>
        <v>36937.916657430571</v>
      </c>
      <c r="AB954" s="18">
        <f>IF($A954&gt;'1-Input'!$B$26,Z954,Z954-MIN(MAX(Z954,0),'P-Parametri'!$B$8*(Z954+Y954)))</f>
        <v>348277.98735253222</v>
      </c>
      <c r="AC954" s="18">
        <f>IF($A954&gt;'1-Input'!$B$26,AC953,AC953-X954*(1-W954))</f>
        <v>295554.85017262847</v>
      </c>
      <c r="AD954" s="11">
        <f>IF($A954&gt;'1-Input'!$B$26,0,IF(AI953&lt;=0,0,MAX(0,(AI953-AJ953)/AI953)))</f>
        <v>0.12785789427084696</v>
      </c>
      <c r="AE954" s="18">
        <f>IF($A954&gt;'1-Input'!$B$26,0,(MAX(0,AD946-IF($A954&gt;='1-Input'!$C$12,'1-Input'!$B$12,0))-MIN(MAX(AH953,0),MAX(0,AD946-IF($A954&gt;='1-Input'!$C$12,'1-Input'!$B$12,0))))*(1/(1-'P-Parametri'!$B$6*AD954))+MIN(MAX(0,AI953-(MAX(0,AD946-IF($A954&gt;='1-Input'!$C$12,'1-Input'!$B$12,0))-MIN(MAX(AH953,0),MAX(0,AD946-IF($A954&gt;='1-Input'!$C$12,'1-Input'!$B$12,0))))*(1/(1-'P-Parametri'!$B$6*AD954))),MAX(0,2*AD946-(AH953-MIN(MAX(AH953,0),MAX(0,AD946-IF($A954&gt;='1-Input'!$C$12,'1-Input'!$B$12,0)))))*(1/(1-'P-Parametri'!$B$6*AD954))))</f>
        <v>19294.574781720741</v>
      </c>
      <c r="AF954" s="18">
        <f>IF($A954&gt;'1-Input'!$B$26,AH953,(AH953-MAX(0,AD946-IF($A954&gt;='1-Input'!$C$12,'1-Input'!$B$12,0))+AE954*(1-'P-Parametri'!$B$6*AD954))*(1+'1-Input'!$B$27))</f>
        <v>36906.300293679611</v>
      </c>
      <c r="AG954" s="18">
        <f>IF($A954&gt;'1-Input'!$B$26,AI953,(AI953-AE954)*(1+'5-Roberta'!$C$4))</f>
        <v>349195.36130891507</v>
      </c>
      <c r="AH954" s="18">
        <f>IF($A954&gt;'1-Input'!$B$26,AF954,AF954-'P-Parametri'!$B$8*(AG954+AF954)+MIN(MAX(AG954,0),'P-Parametri'!$B$8*(AG954+AF954)))</f>
        <v>36906.300293679611</v>
      </c>
      <c r="AI954" s="18">
        <f>IF($A954&gt;'1-Input'!$B$26,AG954,AG954-MIN(MAX(AG954,0),'P-Parametri'!$B$8*(AG954+AF954)))</f>
        <v>348423.1579857099</v>
      </c>
      <c r="AJ954" s="18">
        <f>IF($A954&gt;'1-Input'!$B$26,AJ953,AJ953-AE954*(1-AD954))</f>
        <v>295677.64827457245</v>
      </c>
      <c r="AK954" s="11">
        <f>IF($A954&gt;'1-Input'!$B$26,0,IF(AP953&lt;=0,0,MAX(0,(AP953-AQ953)/AP953)))</f>
        <v>0.1278578730427509</v>
      </c>
      <c r="AL954" s="18">
        <f>IF($A954&gt;'1-Input'!$B$26,0,(MAX(0,AK946-IF($A954&gt;='1-Input'!$C$12,'1-Input'!$B$12,0))-MIN(MAX(AO953,0),MAX(0,AK946-IF($A954&gt;='1-Input'!$C$12,'1-Input'!$B$12,0))))*(1/(1-'P-Parametri'!$B$6*AK954))+MIN(MAX(0,AP953-(MAX(0,AK946-IF($A954&gt;='1-Input'!$C$12,'1-Input'!$B$12,0))-MIN(MAX(AO953,0),MAX(0,AK946-IF($A954&gt;='1-Input'!$C$12,'1-Input'!$B$12,0))))*(1/(1-'P-Parametri'!$B$6*AK954))),MAX(0,2*AK946-(AO953-MIN(MAX(AO953,0),MAX(0,AK946-IF($A954&gt;='1-Input'!$C$12,'1-Input'!$B$12,0)))))*(1/(1-'P-Parametri'!$B$6*AK954))))</f>
        <v>19294.950627376493</v>
      </c>
      <c r="AM954" s="18">
        <f>IF($A954&gt;'1-Input'!$B$26,AO953,(AO953-MAX(0,AK946-IF($A954&gt;='1-Input'!$C$12,'1-Input'!$B$12,0))+AL954*(1-'P-Parametri'!$B$6*AK954))*(1+'1-Input'!$B$27))</f>
        <v>36907.019414897208</v>
      </c>
      <c r="AN954" s="18">
        <f>IF($A954&gt;'1-Input'!$B$26,AP953,(AP953-AL954)*(1+'5-Roberta'!$C$4))</f>
        <v>349192.0541942729</v>
      </c>
      <c r="AO954" s="18">
        <f>IF($A954&gt;'1-Input'!$B$26,AM954,AM954-'P-Parametri'!$B$8*(AN954+AM954)+MIN(MAX(AN954,0),'P-Parametri'!$B$8*(AN954+AM954)))</f>
        <v>36907.019414897208</v>
      </c>
      <c r="AP954" s="18">
        <f>IF($A954&gt;'1-Input'!$B$26,AN954,AN954-MIN(MAX(AN954,0),'P-Parametri'!$B$8*(AN954+AM954)))</f>
        <v>348419.85604705458</v>
      </c>
      <c r="AQ954" s="18">
        <f>IF($A954&gt;'1-Input'!$B$26,AQ953,AQ953-AL954*(1-AK954))</f>
        <v>295674.85520540213</v>
      </c>
    </row>
    <row r="955" spans="1:43">
      <c r="A955" s="10">
        <f>7</f>
        <v>7</v>
      </c>
      <c r="B955" s="11">
        <f>IF($A955&gt;'1-Input'!$B$26,0,IF(G954&lt;=0,0,MAX(0,(G954-H954)/G954)))</f>
        <v>0.15151118456420959</v>
      </c>
      <c r="C955" s="18">
        <f>IF($A955&gt;'1-Input'!$B$26,0,(MAX(0,B946-IF($A955&gt;='1-Input'!$C$12,'1-Input'!$B$12,0))-MIN(MAX(F954,0),MAX(0,B946-IF($A955&gt;='1-Input'!$C$12,'1-Input'!$B$12,0))))*(1/(1-'P-Parametri'!$B$6*B955))+MIN(MAX(0,G954-(MAX(0,B946-IF($A955&gt;='1-Input'!$C$12,'1-Input'!$B$12,0))-MIN(MAX(F954,0),MAX(0,B946-IF($A955&gt;='1-Input'!$C$12,'1-Input'!$B$12,0))))*(1/(1-'P-Parametri'!$B$6*B955))),MAX(0,2*B946-(F954-MIN(MAX(F954,0),MAX(0,B946-IF($A955&gt;='1-Input'!$C$12,'1-Input'!$B$12,0)))))*(1/(1-'P-Parametri'!$B$6*B955))))</f>
        <v>17490.146650570838</v>
      </c>
      <c r="D955" s="18">
        <f>IF($A955&gt;'1-Input'!$B$26,F954,(F954-MAX(0,B946-IF($A955&gt;='1-Input'!$C$12,'1-Input'!$B$12,0))+C955*(1-'P-Parametri'!$B$6*B955))*(1+'1-Input'!$B$27))</f>
        <v>33242.0070309863</v>
      </c>
      <c r="E955" s="18">
        <f>IF($A955&gt;'1-Input'!$B$26,G954,(G954-C955)*(1+'5-Roberta'!$C$4))</f>
        <v>358191.04727092595</v>
      </c>
      <c r="F955" s="18">
        <f>IF($A955&gt;'1-Input'!$B$26,D955,D955-'P-Parametri'!$B$8*(E955+D955)+MIN(MAX(E955,0),'P-Parametri'!$B$8*(E955+D955)))</f>
        <v>33242.0070309863</v>
      </c>
      <c r="G955" s="18">
        <f>IF($A955&gt;'1-Input'!$B$26,E955,E955-MIN(MAX(E955,0),'P-Parametri'!$B$8*(E955+D955)))</f>
        <v>357408.18116232211</v>
      </c>
      <c r="H955" s="18">
        <f>IF($A955&gt;'1-Input'!$B$26,H954,H954-C955*(1-B955))</f>
        <v>295069.02660059533</v>
      </c>
      <c r="I955" s="11">
        <f>IF($A955&gt;'1-Input'!$B$26,0,IF(N954&lt;=0,0,MAX(0,(N954-O954)/N954)))</f>
        <v>0.1511220158438229</v>
      </c>
      <c r="J955" s="18">
        <f>IF($A955&gt;'1-Input'!$B$26,0,(MAX(0,I946-IF($A955&gt;='1-Input'!$C$12,'1-Input'!$B$12,0))-MIN(MAX(M954,0),MAX(0,I946-IF($A955&gt;='1-Input'!$C$12,'1-Input'!$B$12,0))))*(1/(1-'P-Parametri'!$B$6*I955))+MIN(MAX(0,N954-(MAX(0,I946-IF($A955&gt;='1-Input'!$C$12,'1-Input'!$B$12,0))-MIN(MAX(M954,0),MAX(0,I946-IF($A955&gt;='1-Input'!$C$12,'1-Input'!$B$12,0))))*(1/(1-'P-Parametri'!$B$6*I955))),MAX(0,2*I946-(M954-MIN(MAX(M954,0),MAX(0,I946-IF($A955&gt;='1-Input'!$C$12,'1-Input'!$B$12,0)))))*(1/(1-'P-Parametri'!$B$6*I955))))</f>
        <v>23010.927040275801</v>
      </c>
      <c r="K955" s="18">
        <f>IF($A955&gt;'1-Input'!$B$26,M954,(M954-MAX(0,I946-IF($A955&gt;='1-Input'!$C$12,'1-Input'!$B$12,0))+J955*(1-'P-Parametri'!$B$6*I955))*(1+'1-Input'!$B$27))</f>
        <v>43739.482935508291</v>
      </c>
      <c r="L955" s="18">
        <f>IF($A955&gt;'1-Input'!$B$26,N954,(N954-J955)*(1+'5-Roberta'!$C$4))</f>
        <v>302858.68320075318</v>
      </c>
      <c r="M955" s="18">
        <f>IF($A955&gt;'1-Input'!$B$26,K955,K955-'P-Parametri'!$B$8*(L955+K955)+MIN(MAX(L955,0),'P-Parametri'!$B$8*(L955+K955)))</f>
        <v>43739.482935508291</v>
      </c>
      <c r="N955" s="18">
        <f>IF($A955&gt;'1-Input'!$B$26,L955,L955-MIN(MAX(L955,0),'P-Parametri'!$B$8*(L955+K955)))</f>
        <v>302165.48686848063</v>
      </c>
      <c r="O955" s="18">
        <f>IF($A955&gt;'1-Input'!$B$26,O954,O954-J955*(1-I955))</f>
        <v>249602.00823266956</v>
      </c>
      <c r="P955" s="11">
        <f>IF($A955&gt;'1-Input'!$B$26,0,IF(U954&lt;=0,0,MAX(0,(U954-V954)/U954)))</f>
        <v>0.15136348653459641</v>
      </c>
      <c r="Q955" s="18">
        <f>IF($A955&gt;'1-Input'!$B$26,0,(MAX(0,P946-IF($A955&gt;='1-Input'!$C$12,'1-Input'!$B$12,0))-MIN(MAX(T954,0),MAX(0,P946-IF($A955&gt;='1-Input'!$C$12,'1-Input'!$B$12,0))))*(1/(1-'P-Parametri'!$B$6*P955))+MIN(MAX(0,U954-(MAX(0,P946-IF($A955&gt;='1-Input'!$C$12,'1-Input'!$B$12,0))-MIN(MAX(T954,0),MAX(0,P946-IF($A955&gt;='1-Input'!$C$12,'1-Input'!$B$12,0))))*(1/(1-'P-Parametri'!$B$6*P955))),MAX(0,2*P946-(T954-MIN(MAX(T954,0),MAX(0,P946-IF($A955&gt;='1-Input'!$C$12,'1-Input'!$B$12,0)))))*(1/(1-'P-Parametri'!$B$6*P955))))</f>
        <v>19708.396360672104</v>
      </c>
      <c r="R955" s="18">
        <f>IF($A955&gt;'1-Input'!$B$26,T954,(T954-MAX(0,P946-IF($A955&gt;='1-Input'!$C$12,'1-Input'!$B$12,0))+Q955*(1-'P-Parametri'!$B$6*P955))*(1+'1-Input'!$B$27))</f>
        <v>37459.539579583834</v>
      </c>
      <c r="S955" s="18">
        <f>IF($A955&gt;'1-Input'!$B$26,U954,(U954-Q955)*(1+'5-Roberta'!$C$4))</f>
        <v>335959.73118953319</v>
      </c>
      <c r="T955" s="18">
        <f>IF($A955&gt;'1-Input'!$B$26,R955,R955-'P-Parametri'!$B$8*(S955+R955)+MIN(MAX(S955,0),'P-Parametri'!$B$8*(S955+R955)))</f>
        <v>37459.539579583834</v>
      </c>
      <c r="U955" s="18">
        <f>IF($A955&gt;'1-Input'!$B$26,S955,S955-MIN(MAX(S955,0),'P-Parametri'!$B$8*(S955+R955)))</f>
        <v>335212.89264799497</v>
      </c>
      <c r="V955" s="18">
        <f>IF($A955&gt;'1-Input'!$B$26,V954,V954-Q955*(1-P955))</f>
        <v>276803.58732180542</v>
      </c>
      <c r="W955" s="11">
        <f>IF($A955&gt;'1-Input'!$B$26,0,IF(AB954&lt;=0,0,MAX(0,(AB954-AC954)/AB954)))</f>
        <v>0.1513823413896572</v>
      </c>
      <c r="X955" s="18">
        <f>IF($A955&gt;'1-Input'!$B$26,0,(MAX(0,W946-IF($A955&gt;='1-Input'!$C$12,'1-Input'!$B$12,0))-MIN(MAX(AA954,0),MAX(0,W946-IF($A955&gt;='1-Input'!$C$12,'1-Input'!$B$12,0))))*(1/(1-'P-Parametri'!$B$6*W955))+MIN(MAX(0,AB954-(MAX(0,W946-IF($A955&gt;='1-Input'!$C$12,'1-Input'!$B$12,0))-MIN(MAX(AA954,0),MAX(0,W946-IF($A955&gt;='1-Input'!$C$12,'1-Input'!$B$12,0))))*(1/(1-'P-Parametri'!$B$6*W955))),MAX(0,2*W946-(AA954-MIN(MAX(AA954,0),MAX(0,W946-IF($A955&gt;='1-Input'!$C$12,'1-Input'!$B$12,0)))))*(1/(1-'P-Parametri'!$B$6*W955))))</f>
        <v>19434.056728849526</v>
      </c>
      <c r="Y955" s="18">
        <f>IF($A955&gt;'1-Input'!$B$26,AA954,(AA954-MAX(0,W946-IF($A955&gt;='1-Input'!$C$12,'1-Input'!$B$12,0))+X955*(1-'P-Parametri'!$B$6*W955))*(1+'1-Input'!$B$27))</f>
        <v>36937.916657430564</v>
      </c>
      <c r="Z955" s="18">
        <f>IF($A955&gt;'1-Input'!$B$26,AB954,(AB954-X955)*(1+'5-Roberta'!$C$4))</f>
        <v>338709.24854239315</v>
      </c>
      <c r="AA955" s="18">
        <f>IF($A955&gt;'1-Input'!$B$26,Y955,Y955-'P-Parametri'!$B$8*(Z955+Y955)+MIN(MAX(Z955,0),'P-Parametri'!$B$8*(Z955+Y955)))</f>
        <v>36937.916657430564</v>
      </c>
      <c r="AB955" s="18">
        <f>IF($A955&gt;'1-Input'!$B$26,Z955,Z955-MIN(MAX(Z955,0),'P-Parametri'!$B$8*(Z955+Y955)))</f>
        <v>337957.95421199349</v>
      </c>
      <c r="AC955" s="18">
        <f>IF($A955&gt;'1-Input'!$B$26,AC954,AC954-X955*(1-W955))</f>
        <v>279062.76645409159</v>
      </c>
      <c r="AD955" s="11">
        <f>IF($A955&gt;'1-Input'!$B$26,0,IF(AI954&lt;=0,0,MAX(0,(AI954-AJ954)/AI954)))</f>
        <v>0.15138347868743196</v>
      </c>
      <c r="AE955" s="18">
        <f>IF($A955&gt;'1-Input'!$B$26,0,(MAX(0,AD946-IF($A955&gt;='1-Input'!$C$12,'1-Input'!$B$12,0))-MIN(MAX(AH954,0),MAX(0,AD946-IF($A955&gt;='1-Input'!$C$12,'1-Input'!$B$12,0))))*(1/(1-'P-Parametri'!$B$6*AD955))+MIN(MAX(0,AI954-(MAX(0,AD946-IF($A955&gt;='1-Input'!$C$12,'1-Input'!$B$12,0))-MIN(MAX(AH954,0),MAX(0,AD946-IF($A955&gt;='1-Input'!$C$12,'1-Input'!$B$12,0))))*(1/(1-'P-Parametri'!$B$6*AD955))),MAX(0,2*AD946-(AH954-MIN(MAX(AH954,0),MAX(0,AD946-IF($A955&gt;='1-Input'!$C$12,'1-Input'!$B$12,0)))))*(1/(1-'P-Parametri'!$B$6*AD955))))</f>
        <v>19417.42846480924</v>
      </c>
      <c r="AF955" s="18">
        <f>IF($A955&gt;'1-Input'!$B$26,AH954,(AH954-MAX(0,AD946-IF($A955&gt;='1-Input'!$C$12,'1-Input'!$B$12,0))+AE955*(1-'P-Parametri'!$B$6*AD955))*(1+'1-Input'!$B$27))</f>
        <v>36906.300293679618</v>
      </c>
      <c r="AG955" s="18">
        <f>IF($A955&gt;'1-Input'!$B$26,AI954,(AI954-AE955)*(1+'5-Roberta'!$C$4))</f>
        <v>338875.90140652767</v>
      </c>
      <c r="AH955" s="18">
        <f>IF($A955&gt;'1-Input'!$B$26,AF955,AF955-'P-Parametri'!$B$8*(AG955+AF955)+MIN(MAX(AG955,0),'P-Parametri'!$B$8*(AG955+AF955)))</f>
        <v>36906.300293679618</v>
      </c>
      <c r="AI955" s="18">
        <f>IF($A955&gt;'1-Input'!$B$26,AG955,AG955-MIN(MAX(AG955,0),'P-Parametri'!$B$8*(AG955+AF955)))</f>
        <v>338124.33700312726</v>
      </c>
      <c r="AJ955" s="18">
        <f>IF($A955&gt;'1-Input'!$B$26,AJ954,AJ954-AE955*(1-AD955))</f>
        <v>279199.69767793041</v>
      </c>
      <c r="AK955" s="11">
        <f>IF($A955&gt;'1-Input'!$B$26,0,IF(AP954&lt;=0,0,MAX(0,(AP954-AQ954)/AP954)))</f>
        <v>0.15138345282631988</v>
      </c>
      <c r="AL955" s="18">
        <f>IF($A955&gt;'1-Input'!$B$26,0,(MAX(0,AK946-IF($A955&gt;='1-Input'!$C$12,'1-Input'!$B$12,0))-MIN(MAX(AO954,0),MAX(0,AK946-IF($A955&gt;='1-Input'!$C$12,'1-Input'!$B$12,0))))*(1/(1-'P-Parametri'!$B$6*AK955))+MIN(MAX(0,AP954-(MAX(0,AK946-IF($A955&gt;='1-Input'!$C$12,'1-Input'!$B$12,0))-MIN(MAX(AO954,0),MAX(0,AK946-IF($A955&gt;='1-Input'!$C$12,'1-Input'!$B$12,0))))*(1/(1-'P-Parametri'!$B$6*AK955))),MAX(0,2*AK946-(AO954-MIN(MAX(AO954,0),MAX(0,AK946-IF($A955&gt;='1-Input'!$C$12,'1-Input'!$B$12,0)))))*(1/(1-'P-Parametri'!$B$6*AK955))))</f>
        <v>19417.806678519511</v>
      </c>
      <c r="AM955" s="18">
        <f>IF($A955&gt;'1-Input'!$B$26,AO954,(AO954-MAX(0,AK946-IF($A955&gt;='1-Input'!$C$12,'1-Input'!$B$12,0))+AL955*(1-'P-Parametri'!$B$6*AK955))*(1+'1-Input'!$B$27))</f>
        <v>36907.0194148972</v>
      </c>
      <c r="AN955" s="18">
        <f>IF($A955&gt;'1-Input'!$B$26,AP954,(AP954-AL955)*(1+'5-Roberta'!$C$4))</f>
        <v>338872.11084959109</v>
      </c>
      <c r="AO955" s="18">
        <f>IF($A955&gt;'1-Input'!$B$26,AM955,AM955-'P-Parametri'!$B$8*(AN955+AM955)+MIN(MAX(AN955,0),'P-Parametri'!$B$8*(AN955+AM955)))</f>
        <v>36907.0194148972</v>
      </c>
      <c r="AP955" s="18">
        <f>IF($A955&gt;'1-Input'!$B$26,AN955,AN955-MIN(MAX(AN955,0),'P-Parametri'!$B$8*(AN955+AM955)))</f>
        <v>338120.55258906214</v>
      </c>
      <c r="AQ955" s="18">
        <f>IF($A955&gt;'1-Input'!$B$26,AQ954,AQ954-AL955*(1-AK955))</f>
        <v>279196.58314819087</v>
      </c>
    </row>
    <row r="956" spans="1:43">
      <c r="A956" s="10">
        <f>8</f>
        <v>8</v>
      </c>
      <c r="B956" s="11">
        <f>IF($A956&gt;'1-Input'!$B$26,0,IF(G955&lt;=0,0,MAX(0,(G955-H955)/G955)))</f>
        <v>0.17442005484875722</v>
      </c>
      <c r="C956" s="18">
        <f>IF($A956&gt;'1-Input'!$B$26,0,(MAX(0,B946-IF($A956&gt;='1-Input'!$C$12,'1-Input'!$B$12,0))-MIN(MAX(F955,0),MAX(0,B946-IF($A956&gt;='1-Input'!$C$12,'1-Input'!$B$12,0))))*(1/(1-'P-Parametri'!$B$6*B956))+MIN(MAX(0,G955-(MAX(0,B946-IF($A956&gt;='1-Input'!$C$12,'1-Input'!$B$12,0))-MIN(MAX(F955,0),MAX(0,B946-IF($A956&gt;='1-Input'!$C$12,'1-Input'!$B$12,0))))*(1/(1-'P-Parametri'!$B$6*B956))),MAX(0,2*B946-(F955-MIN(MAX(F955,0),MAX(0,B946-IF($A956&gt;='1-Input'!$C$12,'1-Input'!$B$12,0)))))*(1/(1-'P-Parametri'!$B$6*B956))))</f>
        <v>17599.272072959702</v>
      </c>
      <c r="D956" s="18">
        <f>IF($A956&gt;'1-Input'!$B$26,F955,(F955-MAX(0,B946-IF($A956&gt;='1-Input'!$C$12,'1-Input'!$B$12,0))+C956*(1-'P-Parametri'!$B$6*B956))*(1+'1-Input'!$B$27))</f>
        <v>33242.0070309863</v>
      </c>
      <c r="E956" s="18">
        <f>IF($A956&gt;'1-Input'!$B$26,G955,(G955-C956)*(1+'5-Roberta'!$C$4))</f>
        <v>350003.1763620433</v>
      </c>
      <c r="F956" s="18">
        <f>IF($A956&gt;'1-Input'!$B$26,D956,D956-'P-Parametri'!$B$8*(E956+D956)+MIN(MAX(E956,0),'P-Parametri'!$B$8*(E956+D956)))</f>
        <v>33242.0070309863</v>
      </c>
      <c r="G956" s="18">
        <f>IF($A956&gt;'1-Input'!$B$26,E956,E956-MIN(MAX(E956,0),'P-Parametri'!$B$8*(E956+D956)))</f>
        <v>349236.68599525723</v>
      </c>
      <c r="H956" s="18">
        <f>IF($A956&gt;'1-Input'!$B$26,H955,H955-C956*(1-B956))</f>
        <v>280539.42052789946</v>
      </c>
      <c r="I956" s="11">
        <f>IF($A956&gt;'1-Input'!$B$26,0,IF(N955&lt;=0,0,MAX(0,(N955-O955)/N955)))</f>
        <v>0.17395593117055638</v>
      </c>
      <c r="J956" s="18">
        <f>IF($A956&gt;'1-Input'!$B$26,0,(MAX(0,I946-IF($A956&gt;='1-Input'!$C$12,'1-Input'!$B$12,0))-MIN(MAX(M955,0),MAX(0,I946-IF($A956&gt;='1-Input'!$C$12,'1-Input'!$B$12,0))))*(1/(1-'P-Parametri'!$B$6*I956))+MIN(MAX(0,N955-(MAX(0,I946-IF($A956&gt;='1-Input'!$C$12,'1-Input'!$B$12,0))-MIN(MAX(M955,0),MAX(0,I946-IF($A956&gt;='1-Input'!$C$12,'1-Input'!$B$12,0))))*(1/(1-'P-Parametri'!$B$6*I956))),MAX(0,2*I946-(M955-MIN(MAX(M955,0),MAX(0,I946-IF($A956&gt;='1-Input'!$C$12,'1-Input'!$B$12,0)))))*(1/(1-'P-Parametri'!$B$6*I956))))</f>
        <v>23154.010167000382</v>
      </c>
      <c r="K956" s="18">
        <f>IF($A956&gt;'1-Input'!$B$26,M955,(M955-MAX(0,I946-IF($A956&gt;='1-Input'!$C$12,'1-Input'!$B$12,0))+J956*(1-'P-Parametri'!$B$6*I956))*(1+'1-Input'!$B$27))</f>
        <v>43739.482935508291</v>
      </c>
      <c r="L956" s="18">
        <f>IF($A956&gt;'1-Input'!$B$26,N955,(N955-J956)*(1+'5-Roberta'!$C$4))</f>
        <v>287381.82100252464</v>
      </c>
      <c r="M956" s="18">
        <f>IF($A956&gt;'1-Input'!$B$26,K956,K956-'P-Parametri'!$B$8*(L956+K956)+MIN(MAX(L956,0),'P-Parametri'!$B$8*(L956+K956)))</f>
        <v>43739.482935508291</v>
      </c>
      <c r="N956" s="18">
        <f>IF($A956&gt;'1-Input'!$B$26,L956,L956-MIN(MAX(L956,0),'P-Parametri'!$B$8*(L956+K956)))</f>
        <v>286719.57839464856</v>
      </c>
      <c r="O956" s="18">
        <f>IF($A956&gt;'1-Input'!$B$26,O955,O955-J956*(1-I956))</f>
        <v>230475.77546460225</v>
      </c>
      <c r="P956" s="11">
        <f>IF($A956&gt;'1-Input'!$B$26,0,IF(U955&lt;=0,0,MAX(0,(U955-V955)/U955)))</f>
        <v>0.17424540227193711</v>
      </c>
      <c r="Q956" s="18">
        <f>IF($A956&gt;'1-Input'!$B$26,0,(MAX(0,P946-IF($A956&gt;='1-Input'!$C$12,'1-Input'!$B$12,0))-MIN(MAX(T955,0),MAX(0,P946-IF($A956&gt;='1-Input'!$C$12,'1-Input'!$B$12,0))))*(1/(1-'P-Parametri'!$B$6*P956))+MIN(MAX(0,U955-(MAX(0,P946-IF($A956&gt;='1-Input'!$C$12,'1-Input'!$B$12,0))-MIN(MAX(T955,0),MAX(0,P946-IF($A956&gt;='1-Input'!$C$12,'1-Input'!$B$12,0))))*(1/(1-'P-Parametri'!$B$6*P956))),MAX(0,2*P946-(T955-MIN(MAX(T955,0),MAX(0,P946-IF($A956&gt;='1-Input'!$C$12,'1-Input'!$B$12,0)))))*(1/(1-'P-Parametri'!$B$6*P956))))</f>
        <v>19831.211477588866</v>
      </c>
      <c r="R956" s="18">
        <f>IF($A956&gt;'1-Input'!$B$26,T955,(T955-MAX(0,P946-IF($A956&gt;='1-Input'!$C$12,'1-Input'!$B$12,0))+Q956*(1-'P-Parametri'!$B$6*P956))*(1+'1-Input'!$B$27))</f>
        <v>37459.539579583834</v>
      </c>
      <c r="S956" s="18">
        <f>IF($A956&gt;'1-Input'!$B$26,U955,(U955-Q956)*(1+'5-Roberta'!$C$4))</f>
        <v>324843.13160551828</v>
      </c>
      <c r="T956" s="18">
        <f>IF($A956&gt;'1-Input'!$B$26,R956,R956-'P-Parametri'!$B$8*(S956+R956)+MIN(MAX(S956,0),'P-Parametri'!$B$8*(S956+R956)))</f>
        <v>37459.539579583834</v>
      </c>
      <c r="U956" s="18">
        <f>IF($A956&gt;'1-Input'!$B$26,S956,S956-MIN(MAX(S956,0),'P-Parametri'!$B$8*(S956+R956)))</f>
        <v>324118.52626314806</v>
      </c>
      <c r="V956" s="18">
        <f>IF($A956&gt;'1-Input'!$B$26,V955,V955-Q956*(1-P956))</f>
        <v>260427.87326566887</v>
      </c>
      <c r="W956" s="11">
        <f>IF($A956&gt;'1-Input'!$B$26,0,IF(AB955&lt;=0,0,MAX(0,(AB955-AC955)/AB955)))</f>
        <v>0.17426779581272489</v>
      </c>
      <c r="X956" s="18">
        <f>IF($A956&gt;'1-Input'!$B$26,0,(MAX(0,W946-IF($A956&gt;='1-Input'!$C$12,'1-Input'!$B$12,0))-MIN(MAX(AA955,0),MAX(0,W946-IF($A956&gt;='1-Input'!$C$12,'1-Input'!$B$12,0))))*(1/(1-'P-Parametri'!$B$6*W956))+MIN(MAX(0,AB955-(MAX(0,W946-IF($A956&gt;='1-Input'!$C$12,'1-Input'!$B$12,0))-MIN(MAX(AA955,0),MAX(0,W946-IF($A956&gt;='1-Input'!$C$12,'1-Input'!$B$12,0))))*(1/(1-'P-Parametri'!$B$6*W956))),MAX(0,2*W946-(AA955-MIN(MAX(AA955,0),MAX(0,W946-IF($A956&gt;='1-Input'!$C$12,'1-Input'!$B$12,0)))))*(1/(1-'P-Parametri'!$B$6*W956))))</f>
        <v>19555.181734752721</v>
      </c>
      <c r="Y956" s="18">
        <f>IF($A956&gt;'1-Input'!$B$26,AA955,(AA955-MAX(0,W946-IF($A956&gt;='1-Input'!$C$12,'1-Input'!$B$12,0))+X956*(1-'P-Parametri'!$B$6*W956))*(1+'1-Input'!$B$27))</f>
        <v>36937.916657430564</v>
      </c>
      <c r="Z956" s="18">
        <f>IF($A956&gt;'1-Input'!$B$26,AB955,(AB955-X956)*(1+'5-Roberta'!$C$4))</f>
        <v>327954.85565155803</v>
      </c>
      <c r="AA956" s="18">
        <f>IF($A956&gt;'1-Input'!$B$26,Y956,Y956-'P-Parametri'!$B$8*(Z956+Y956)+MIN(MAX(Z956,0),'P-Parametri'!$B$8*(Z956+Y956)))</f>
        <v>36937.916657430564</v>
      </c>
      <c r="AB956" s="18">
        <f>IF($A956&gt;'1-Input'!$B$26,Z956,Z956-MIN(MAX(Z956,0),'P-Parametri'!$B$8*(Z956+Y956)))</f>
        <v>327225.07010694005</v>
      </c>
      <c r="AC956" s="18">
        <f>IF($A956&gt;'1-Input'!$B$26,AC955,AC955-X956*(1-W956))</f>
        <v>262915.42313697148</v>
      </c>
      <c r="AD956" s="11">
        <f>IF($A956&gt;'1-Input'!$B$26,0,IF(AI955&lt;=0,0,MAX(0,(AI955-AJ955)/AI955)))</f>
        <v>0.17426914562689957</v>
      </c>
      <c r="AE956" s="18">
        <f>IF($A956&gt;'1-Input'!$B$26,0,(MAX(0,AD946-IF($A956&gt;='1-Input'!$C$12,'1-Input'!$B$12,0))-MIN(MAX(AH955,0),MAX(0,AD946-IF($A956&gt;='1-Input'!$C$12,'1-Input'!$B$12,0))))*(1/(1-'P-Parametri'!$B$6*AD956))+MIN(MAX(0,AI955-(MAX(0,AD946-IF($A956&gt;='1-Input'!$C$12,'1-Input'!$B$12,0))-MIN(MAX(AH955,0),MAX(0,AD946-IF($A956&gt;='1-Input'!$C$12,'1-Input'!$B$12,0))))*(1/(1-'P-Parametri'!$B$6*AD956))),MAX(0,2*AD946-(AH955-MIN(MAX(AH955,0),MAX(0,AD946-IF($A956&gt;='1-Input'!$C$12,'1-Input'!$B$12,0)))))*(1/(1-'P-Parametri'!$B$6*AD956))))</f>
        <v>19538.451001438116</v>
      </c>
      <c r="AF956" s="18">
        <f>IF($A956&gt;'1-Input'!$B$26,AH955,(AH955-MAX(0,AD946-IF($A956&gt;='1-Input'!$C$12,'1-Input'!$B$12,0))+AE956*(1-'P-Parametri'!$B$6*AD956))*(1+'1-Input'!$B$27))</f>
        <v>36906.300293679618</v>
      </c>
      <c r="AG956" s="18">
        <f>IF($A956&gt;'1-Input'!$B$26,AI955,(AI955-AE956)*(1+'5-Roberta'!$C$4))</f>
        <v>328143.46258173982</v>
      </c>
      <c r="AH956" s="18">
        <f>IF($A956&gt;'1-Input'!$B$26,AF956,AF956-'P-Parametri'!$B$8*(AG956+AF956)+MIN(MAX(AG956,0),'P-Parametri'!$B$8*(AG956+AF956)))</f>
        <v>36906.300293679618</v>
      </c>
      <c r="AI956" s="18">
        <f>IF($A956&gt;'1-Input'!$B$26,AG956,AG956-MIN(MAX(AG956,0),'P-Parametri'!$B$8*(AG956+AF956)))</f>
        <v>327413.36305598897</v>
      </c>
      <c r="AJ956" s="18">
        <f>IF($A956&gt;'1-Input'!$B$26,AJ955,AJ955-AE956*(1-AD956))</f>
        <v>263066.19583938597</v>
      </c>
      <c r="AK956" s="11">
        <f>IF($A956&gt;'1-Input'!$B$26,0,IF(AP955&lt;=0,0,MAX(0,(AP955-AQ955)/AP955)))</f>
        <v>0.17426911493453356</v>
      </c>
      <c r="AL956" s="18">
        <f>IF($A956&gt;'1-Input'!$B$26,0,(MAX(0,AK946-IF($A956&gt;='1-Input'!$C$12,'1-Input'!$B$12,0))-MIN(MAX(AO955,0),MAX(0,AK946-IF($A956&gt;='1-Input'!$C$12,'1-Input'!$B$12,0))))*(1/(1-'P-Parametri'!$B$6*AK956))+MIN(MAX(0,AP955-(MAX(0,AK946-IF($A956&gt;='1-Input'!$C$12,'1-Input'!$B$12,0))-MIN(MAX(AO955,0),MAX(0,AK946-IF($A956&gt;='1-Input'!$C$12,'1-Input'!$B$12,0))))*(1/(1-'P-Parametri'!$B$6*AK956))),MAX(0,2*AK946-(AO955-MIN(MAX(AO955,0),MAX(0,AK946-IF($A956&gt;='1-Input'!$C$12,'1-Input'!$B$12,0)))))*(1/(1-'P-Parametri'!$B$6*AK956))))</f>
        <v>19538.831545871402</v>
      </c>
      <c r="AM956" s="18">
        <f>IF($A956&gt;'1-Input'!$B$26,AO955,(AO955-MAX(0,AK946-IF($A956&gt;='1-Input'!$C$12,'1-Input'!$B$12,0))+AL956*(1-'P-Parametri'!$B$6*AK956))*(1+'1-Input'!$B$27))</f>
        <v>36907.019414897208</v>
      </c>
      <c r="AN956" s="18">
        <f>IF($A956&gt;'1-Input'!$B$26,AP955,(AP955-AL956)*(1+'5-Roberta'!$C$4))</f>
        <v>328139.17267448647</v>
      </c>
      <c r="AO956" s="18">
        <f>IF($A956&gt;'1-Input'!$B$26,AM956,AM956-'P-Parametri'!$B$8*(AN956+AM956)+MIN(MAX(AN956,0),'P-Parametri'!$B$8*(AN956+AM956)))</f>
        <v>36907.019414897208</v>
      </c>
      <c r="AP956" s="18">
        <f>IF($A956&gt;'1-Input'!$B$26,AN956,AN956-MIN(MAX(AN956,0),'P-Parametri'!$B$8*(AN956+AM956)))</f>
        <v>327409.0802903077</v>
      </c>
      <c r="AQ956" s="18">
        <f>IF($A956&gt;'1-Input'!$B$26,AQ955,AQ955-AL956*(1-AK956))</f>
        <v>263062.76648267341</v>
      </c>
    </row>
    <row r="957" spans="1:43">
      <c r="A957" s="10">
        <f>9</f>
        <v>9</v>
      </c>
      <c r="B957" s="11">
        <f>IF($A957&gt;'1-Input'!$B$26,0,IF(G956&lt;=0,0,MAX(0,(G956-H956)/G956)))</f>
        <v>0.19670689885165929</v>
      </c>
      <c r="C957" s="18">
        <f>IF($A957&gt;'1-Input'!$B$26,0,(MAX(0,B946-IF($A957&gt;='1-Input'!$C$12,'1-Input'!$B$12,0))-MIN(MAX(F956,0),MAX(0,B946-IF($A957&gt;='1-Input'!$C$12,'1-Input'!$B$12,0))))*(1/(1-'P-Parametri'!$B$6*B957))+MIN(MAX(0,G956-(MAX(0,B946-IF($A957&gt;='1-Input'!$C$12,'1-Input'!$B$12,0))-MIN(MAX(F956,0),MAX(0,B946-IF($A957&gt;='1-Input'!$C$12,'1-Input'!$B$12,0))))*(1/(1-'P-Parametri'!$B$6*B957))),MAX(0,2*B946-(F956-MIN(MAX(F956,0),MAX(0,B946-IF($A957&gt;='1-Input'!$C$12,'1-Input'!$B$12,0)))))*(1/(1-'P-Parametri'!$B$6*B957))))</f>
        <v>17706.749243314141</v>
      </c>
      <c r="D957" s="18">
        <f>IF($A957&gt;'1-Input'!$B$26,F956,(F956-MAX(0,B946-IF($A957&gt;='1-Input'!$C$12,'1-Input'!$B$12,0))+C957*(1-'P-Parametri'!$B$6*B957))*(1+'1-Input'!$B$27))</f>
        <v>33242.0070309863</v>
      </c>
      <c r="E957" s="18">
        <f>IF($A957&gt;'1-Input'!$B$26,G956,(G956-C957)*(1+'5-Roberta'!$C$4))</f>
        <v>341475.83485450136</v>
      </c>
      <c r="F957" s="18">
        <f>IF($A957&gt;'1-Input'!$B$26,D957,D957-'P-Parametri'!$B$8*(E957+D957)+MIN(MAX(E957,0),'P-Parametri'!$B$8*(E957+D957)))</f>
        <v>33242.0070309863</v>
      </c>
      <c r="G957" s="18">
        <f>IF($A957&gt;'1-Input'!$B$26,E957,E957-MIN(MAX(E957,0),'P-Parametri'!$B$8*(E957+D957)))</f>
        <v>340726.39917073038</v>
      </c>
      <c r="H957" s="18">
        <f>IF($A957&gt;'1-Input'!$B$26,H956,H956-C957*(1-B957))</f>
        <v>266315.71101698163</v>
      </c>
      <c r="I957" s="11">
        <f>IF($A957&gt;'1-Input'!$B$26,0,IF(N956&lt;=0,0,MAX(0,(N956-O956)/N956)))</f>
        <v>0.19616310558545402</v>
      </c>
      <c r="J957" s="18">
        <f>IF($A957&gt;'1-Input'!$B$26,0,(MAX(0,I946-IF($A957&gt;='1-Input'!$C$12,'1-Input'!$B$12,0))-MIN(MAX(M956,0),MAX(0,I946-IF($A957&gt;='1-Input'!$C$12,'1-Input'!$B$12,0))))*(1/(1-'P-Parametri'!$B$6*I957))+MIN(MAX(0,N956-(MAX(0,I946-IF($A957&gt;='1-Input'!$C$12,'1-Input'!$B$12,0))-MIN(MAX(M956,0),MAX(0,I946-IF($A957&gt;='1-Input'!$C$12,'1-Input'!$B$12,0))))*(1/(1-'P-Parametri'!$B$6*I957))),MAX(0,2*I946-(M956-MIN(MAX(M956,0),MAX(0,I946-IF($A957&gt;='1-Input'!$C$12,'1-Input'!$B$12,0)))))*(1/(1-'P-Parametri'!$B$6*I957))))</f>
        <v>23294.883166065258</v>
      </c>
      <c r="K957" s="18">
        <f>IF($A957&gt;'1-Input'!$B$26,M956,(M956-MAX(0,I946-IF($A957&gt;='1-Input'!$C$12,'1-Input'!$B$12,0))+J957*(1-'P-Parametri'!$B$6*I957))*(1+'1-Input'!$B$27))</f>
        <v>43739.482935508291</v>
      </c>
      <c r="L957" s="18">
        <f>IF($A957&gt;'1-Input'!$B$26,N956,(N956-J957)*(1+'5-Roberta'!$C$4))</f>
        <v>271327.4360854408</v>
      </c>
      <c r="M957" s="18">
        <f>IF($A957&gt;'1-Input'!$B$26,K957,K957-'P-Parametri'!$B$8*(L957+K957)+MIN(MAX(L957,0),'P-Parametri'!$B$8*(L957+K957)))</f>
        <v>43739.482935508291</v>
      </c>
      <c r="N957" s="18">
        <f>IF($A957&gt;'1-Input'!$B$26,L957,L957-MIN(MAX(L957,0),'P-Parametri'!$B$8*(L957+K957)))</f>
        <v>270697.30224739888</v>
      </c>
      <c r="O957" s="18">
        <f>IF($A957&gt;'1-Input'!$B$26,O956,O956-J957*(1-I957))</f>
        <v>211750.48892464268</v>
      </c>
      <c r="P957" s="11">
        <f>IF($A957&gt;'1-Input'!$B$26,0,IF(U956&lt;=0,0,MAX(0,(U956-V956)/U956)))</f>
        <v>0.1965042039768177</v>
      </c>
      <c r="Q957" s="18">
        <f>IF($A957&gt;'1-Input'!$B$26,0,(MAX(0,P946-IF($A957&gt;='1-Input'!$C$12,'1-Input'!$B$12,0))-MIN(MAX(T956,0),MAX(0,P946-IF($A957&gt;='1-Input'!$C$12,'1-Input'!$B$12,0))))*(1/(1-'P-Parametri'!$B$6*P957))+MIN(MAX(0,U956-(MAX(0,P946-IF($A957&gt;='1-Input'!$C$12,'1-Input'!$B$12,0))-MIN(MAX(T956,0),MAX(0,P946-IF($A957&gt;='1-Input'!$C$12,'1-Input'!$B$12,0))))*(1/(1-'P-Parametri'!$B$6*P957))),MAX(0,2*P946-(T956-MIN(MAX(T956,0),MAX(0,P946-IF($A957&gt;='1-Input'!$C$12,'1-Input'!$B$12,0)))))*(1/(1-'P-Parametri'!$B$6*P957))))</f>
        <v>19952.159800613073</v>
      </c>
      <c r="R957" s="18">
        <f>IF($A957&gt;'1-Input'!$B$26,T956,(T956-MAX(0,P946-IF($A957&gt;='1-Input'!$C$12,'1-Input'!$B$12,0))+Q957*(1-'P-Parametri'!$B$6*P957))*(1+'1-Input'!$B$27))</f>
        <v>37459.539579583834</v>
      </c>
      <c r="S957" s="18">
        <f>IF($A957&gt;'1-Input'!$B$26,U956,(U956-Q957)*(1+'5-Roberta'!$C$4))</f>
        <v>313291.35745641106</v>
      </c>
      <c r="T957" s="18">
        <f>IF($A957&gt;'1-Input'!$B$26,R957,R957-'P-Parametri'!$B$8*(S957+R957)+MIN(MAX(S957,0),'P-Parametri'!$B$8*(S957+R957)))</f>
        <v>37459.539579583834</v>
      </c>
      <c r="U957" s="18">
        <f>IF($A957&gt;'1-Input'!$B$26,S957,S957-MIN(MAX(S957,0),'P-Parametri'!$B$8*(S957+R957)))</f>
        <v>312589.85566233908</v>
      </c>
      <c r="V957" s="18">
        <f>IF($A957&gt;'1-Input'!$B$26,V956,V956-Q957*(1-P957))</f>
        <v>244396.39674429354</v>
      </c>
      <c r="W957" s="11">
        <f>IF($A957&gt;'1-Input'!$B$26,0,IF(AB956&lt;=0,0,MAX(0,(AB956-AC956)/AB956)))</f>
        <v>0.19653031764635762</v>
      </c>
      <c r="X957" s="18">
        <f>IF($A957&gt;'1-Input'!$B$26,0,(MAX(0,W946-IF($A957&gt;='1-Input'!$C$12,'1-Input'!$B$12,0))-MIN(MAX(AA956,0),MAX(0,W946-IF($A957&gt;='1-Input'!$C$12,'1-Input'!$B$12,0))))*(1/(1-'P-Parametri'!$B$6*W957))+MIN(MAX(0,AB956-(MAX(0,W946-IF($A957&gt;='1-Input'!$C$12,'1-Input'!$B$12,0))-MIN(MAX(AA956,0),MAX(0,W946-IF($A957&gt;='1-Input'!$C$12,'1-Input'!$B$12,0))))*(1/(1-'P-Parametri'!$B$6*W957))),MAX(0,2*W946-(AA956-MIN(MAX(AA956,0),MAX(0,W946-IF($A957&gt;='1-Input'!$C$12,'1-Input'!$B$12,0)))))*(1/(1-'P-Parametri'!$B$6*W957))))</f>
        <v>19674.467369813447</v>
      </c>
      <c r="Y957" s="18">
        <f>IF($A957&gt;'1-Input'!$B$26,AA956,(AA956-MAX(0,W946-IF($A957&gt;='1-Input'!$C$12,'1-Input'!$B$12,0))+X957*(1-'P-Parametri'!$B$6*W957))*(1+'1-Input'!$B$27))</f>
        <v>36937.916657430564</v>
      </c>
      <c r="Z957" s="18">
        <f>IF($A957&gt;'1-Input'!$B$26,AB956,(AB956-X957)*(1+'5-Roberta'!$C$4))</f>
        <v>316777.1208192404</v>
      </c>
      <c r="AA957" s="18">
        <f>IF($A957&gt;'1-Input'!$B$26,Y957,Y957-'P-Parametri'!$B$8*(Z957+Y957)+MIN(MAX(Z957,0),'P-Parametri'!$B$8*(Z957+Y957)))</f>
        <v>36937.916657430564</v>
      </c>
      <c r="AB957" s="18">
        <f>IF($A957&gt;'1-Input'!$B$26,Z957,Z957-MIN(MAX(Z957,0),'P-Parametri'!$B$8*(Z957+Y957)))</f>
        <v>316069.69074428704</v>
      </c>
      <c r="AC957" s="18">
        <f>IF($A957&gt;'1-Input'!$B$26,AC956,AC956-X957*(1-W957))</f>
        <v>247107.58508887037</v>
      </c>
      <c r="AD957" s="11">
        <f>IF($A957&gt;'1-Input'!$B$26,0,IF(AI956&lt;=0,0,MAX(0,(AI956-AJ956)/AI956)))</f>
        <v>0.19653189050075329</v>
      </c>
      <c r="AE957" s="18">
        <f>IF($A957&gt;'1-Input'!$B$26,0,(MAX(0,AD946-IF($A957&gt;='1-Input'!$C$12,'1-Input'!$B$12,0))-MIN(MAX(AH956,0),MAX(0,AD946-IF($A957&gt;='1-Input'!$C$12,'1-Input'!$B$12,0))))*(1/(1-'P-Parametri'!$B$6*AD957))+MIN(MAX(0,AI956-(MAX(0,AD946-IF($A957&gt;='1-Input'!$C$12,'1-Input'!$B$12,0))-MIN(MAX(AH956,0),MAX(0,AD946-IF($A957&gt;='1-Input'!$C$12,'1-Input'!$B$12,0))))*(1/(1-'P-Parametri'!$B$6*AD957))),MAX(0,2*AD946-(AH956-MIN(MAX(AH956,0),MAX(0,AD946-IF($A957&gt;='1-Input'!$C$12,'1-Input'!$B$12,0)))))*(1/(1-'P-Parametri'!$B$6*AD957))))</f>
        <v>19657.635825280362</v>
      </c>
      <c r="AF957" s="18">
        <f>IF($A957&gt;'1-Input'!$B$26,AH956,(AH956-MAX(0,AD946-IF($A957&gt;='1-Input'!$C$12,'1-Input'!$B$12,0))+AE957*(1-'P-Parametri'!$B$6*AD957))*(1+'1-Input'!$B$27))</f>
        <v>36906.300293679618</v>
      </c>
      <c r="AG957" s="18">
        <f>IF($A957&gt;'1-Input'!$B$26,AI956,(AI956-AE957)*(1+'5-Roberta'!$C$4))</f>
        <v>316988.39904762985</v>
      </c>
      <c r="AH957" s="18">
        <f>IF($A957&gt;'1-Input'!$B$26,AF957,AF957-'P-Parametri'!$B$8*(AG957+AF957)+MIN(MAX(AG957,0),'P-Parametri'!$B$8*(AG957+AF957)))</f>
        <v>36906.300293679618</v>
      </c>
      <c r="AI957" s="18">
        <f>IF($A957&gt;'1-Input'!$B$26,AG957,AG957-MIN(MAX(AG957,0),'P-Parametri'!$B$8*(AG957+AF957)))</f>
        <v>316280.60964894725</v>
      </c>
      <c r="AJ957" s="18">
        <f>IF($A957&gt;'1-Input'!$B$26,AJ956,AJ956-AE957*(1-AD957))</f>
        <v>247271.91234562328</v>
      </c>
      <c r="AK957" s="11">
        <f>IF($A957&gt;'1-Input'!$B$26,0,IF(AP956&lt;=0,0,MAX(0,(AP956-AQ956)/AP956)))</f>
        <v>0.19653185473835844</v>
      </c>
      <c r="AL957" s="18">
        <f>IF($A957&gt;'1-Input'!$B$26,0,(MAX(0,AK946-IF($A957&gt;='1-Input'!$C$12,'1-Input'!$B$12,0))-MIN(MAX(AO956,0),MAX(0,AK946-IF($A957&gt;='1-Input'!$C$12,'1-Input'!$B$12,0))))*(1/(1-'P-Parametri'!$B$6*AK957))+MIN(MAX(0,AP956-(MAX(0,AK946-IF($A957&gt;='1-Input'!$C$12,'1-Input'!$B$12,0))-MIN(MAX(AO956,0),MAX(0,AK946-IF($A957&gt;='1-Input'!$C$12,'1-Input'!$B$12,0))))*(1/(1-'P-Parametri'!$B$6*AK957))),MAX(0,2*AK946-(AO956-MIN(MAX(AO956,0),MAX(0,AK946-IF($A957&gt;='1-Input'!$C$12,'1-Input'!$B$12,0)))))*(1/(1-'P-Parametri'!$B$6*AK957))))</f>
        <v>19658.018662728886</v>
      </c>
      <c r="AM957" s="18">
        <f>IF($A957&gt;'1-Input'!$B$26,AO956,(AO956-MAX(0,AK946-IF($A957&gt;='1-Input'!$C$12,'1-Input'!$B$12,0))+AL957*(1-'P-Parametri'!$B$6*AK957))*(1+'1-Input'!$B$27))</f>
        <v>36907.019414897208</v>
      </c>
      <c r="AN957" s="18">
        <f>IF($A957&gt;'1-Input'!$B$26,AP956,(AP956-AL957)*(1+'5-Roberta'!$C$4))</f>
        <v>316983.59347640618</v>
      </c>
      <c r="AO957" s="18">
        <f>IF($A957&gt;'1-Input'!$B$26,AM957,AM957-'P-Parametri'!$B$8*(AN957+AM957)+MIN(MAX(AN957,0),'P-Parametri'!$B$8*(AN957+AM957)))</f>
        <v>36907.019414897208</v>
      </c>
      <c r="AP957" s="18">
        <f>IF($A957&gt;'1-Input'!$B$26,AN957,AN957-MIN(MAX(AN957,0),'P-Parametri'!$B$8*(AN957+AM957)))</f>
        <v>316275.8122506236</v>
      </c>
      <c r="AQ957" s="18">
        <f>IF($A957&gt;'1-Input'!$B$26,AQ956,AQ956-AL957*(1-AK957))</f>
        <v>247268.1746882119</v>
      </c>
    </row>
    <row r="958" spans="1:43">
      <c r="A958" s="10">
        <f>10</f>
        <v>10</v>
      </c>
      <c r="B958" s="11">
        <f>IF($A958&gt;'1-Input'!$B$26,0,IF(G957&lt;=0,0,MAX(0,(G957-H957)/G957)))</f>
        <v>0.21838838532867311</v>
      </c>
      <c r="C958" s="18">
        <f>IF($A958&gt;'1-Input'!$B$26,0,(MAX(0,B946-IF($A958&gt;='1-Input'!$C$12,'1-Input'!$B$12,0))-MIN(MAX(F957,0),MAX(0,B946-IF($A958&gt;='1-Input'!$C$12,'1-Input'!$B$12,0))))*(1/(1-'P-Parametri'!$B$6*B958))+MIN(MAX(0,G957-(MAX(0,B946-IF($A958&gt;='1-Input'!$C$12,'1-Input'!$B$12,0))-MIN(MAX(F957,0),MAX(0,B946-IF($A958&gt;='1-Input'!$C$12,'1-Input'!$B$12,0))))*(1/(1-'P-Parametri'!$B$6*B958))),MAX(0,2*B946-(F957-MIN(MAX(F957,0),MAX(0,B946-IF($A958&gt;='1-Input'!$C$12,'1-Input'!$B$12,0)))))*(1/(1-'P-Parametri'!$B$6*B958))))</f>
        <v>17812.574343755852</v>
      </c>
      <c r="D958" s="18">
        <f>IF($A958&gt;'1-Input'!$B$26,F957,(F957-MAX(0,B946-IF($A958&gt;='1-Input'!$C$12,'1-Input'!$B$12,0))+C958*(1-'P-Parametri'!$B$6*B958))*(1+'1-Input'!$B$27))</f>
        <v>33242.0070309863</v>
      </c>
      <c r="E958" s="18">
        <f>IF($A958&gt;'1-Input'!$B$26,G957,(G957-C958)*(1+'5-Roberta'!$C$4))</f>
        <v>332601.23957178381</v>
      </c>
      <c r="F958" s="18">
        <f>IF($A958&gt;'1-Input'!$B$26,D958,D958-'P-Parametri'!$B$8*(E958+D958)+MIN(MAX(E958,0),'P-Parametri'!$B$8*(E958+D958)))</f>
        <v>33242.0070309863</v>
      </c>
      <c r="G958" s="18">
        <f>IF($A958&gt;'1-Input'!$B$26,E958,E958-MIN(MAX(E958,0),'P-Parametri'!$B$8*(E958+D958)))</f>
        <v>331869.55307857826</v>
      </c>
      <c r="H958" s="18">
        <f>IF($A958&gt;'1-Input'!$B$26,H957,H957-C958*(1-B958))</f>
        <v>252393.19602270558</v>
      </c>
      <c r="I958" s="11">
        <f>IF($A958&gt;'1-Input'!$B$26,0,IF(N957&lt;=0,0,MAX(0,(N957-O957)/N957)))</f>
        <v>0.21775914585540582</v>
      </c>
      <c r="J958" s="18">
        <f>IF($A958&gt;'1-Input'!$B$26,0,(MAX(0,I946-IF($A958&gt;='1-Input'!$C$12,'1-Input'!$B$12,0))-MIN(MAX(M957,0),MAX(0,I946-IF($A958&gt;='1-Input'!$C$12,'1-Input'!$B$12,0))))*(1/(1-'P-Parametri'!$B$6*I958))+MIN(MAX(0,N957-(MAX(0,I946-IF($A958&gt;='1-Input'!$C$12,'1-Input'!$B$12,0))-MIN(MAX(M957,0),MAX(0,I946-IF($A958&gt;='1-Input'!$C$12,'1-Input'!$B$12,0))))*(1/(1-'P-Parametri'!$B$6*I958))),MAX(0,2*I946-(M957-MIN(MAX(M957,0),MAX(0,I946-IF($A958&gt;='1-Input'!$C$12,'1-Input'!$B$12,0)))))*(1/(1-'P-Parametri'!$B$6*I958))))</f>
        <v>23433.533251431323</v>
      </c>
      <c r="K958" s="18">
        <f>IF($A958&gt;'1-Input'!$B$26,M957,(M957-MAX(0,I946-IF($A958&gt;='1-Input'!$C$12,'1-Input'!$B$12,0))+J958*(1-'P-Parametri'!$B$6*I958))*(1+'1-Input'!$B$27))</f>
        <v>43739.482935508291</v>
      </c>
      <c r="L958" s="18">
        <f>IF($A958&gt;'1-Input'!$B$26,N957,(N957-J958)*(1+'5-Roberta'!$C$4))</f>
        <v>254681.68206584657</v>
      </c>
      <c r="M958" s="18">
        <f>IF($A958&gt;'1-Input'!$B$26,K958,K958-'P-Parametri'!$B$8*(L958+K958)+MIN(MAX(L958,0),'P-Parametri'!$B$8*(L958+K958)))</f>
        <v>43739.482935508291</v>
      </c>
      <c r="N958" s="18">
        <f>IF($A958&gt;'1-Input'!$B$26,L958,L958-MIN(MAX(L958,0),'P-Parametri'!$B$8*(L958+K958)))</f>
        <v>254084.83973584385</v>
      </c>
      <c r="O958" s="18">
        <f>IF($A958&gt;'1-Input'!$B$26,O957,O957-J958*(1-I958))</f>
        <v>193419.8218584173</v>
      </c>
      <c r="P958" s="11">
        <f>IF($A958&gt;'1-Input'!$B$26,0,IF(U957&lt;=0,0,MAX(0,(U957-V957)/U957)))</f>
        <v>0.21815634027390962</v>
      </c>
      <c r="Q958" s="18">
        <f>IF($A958&gt;'1-Input'!$B$26,0,(MAX(0,P946-IF($A958&gt;='1-Input'!$C$12,'1-Input'!$B$12,0))-MIN(MAX(T957,0),MAX(0,P946-IF($A958&gt;='1-Input'!$C$12,'1-Input'!$B$12,0))))*(1/(1-'P-Parametri'!$B$6*P958))+MIN(MAX(0,U957-(MAX(0,P946-IF($A958&gt;='1-Input'!$C$12,'1-Input'!$B$12,0))-MIN(MAX(T957,0),MAX(0,P946-IF($A958&gt;='1-Input'!$C$12,'1-Input'!$B$12,0))))*(1/(1-'P-Parametri'!$B$6*P958))),MAX(0,2*P946-(T957-MIN(MAX(T957,0),MAX(0,P946-IF($A958&gt;='1-Input'!$C$12,'1-Input'!$B$12,0)))))*(1/(1-'P-Parametri'!$B$6*P958))))</f>
        <v>20071.235649679693</v>
      </c>
      <c r="R958" s="18">
        <f>IF($A958&gt;'1-Input'!$B$26,T957,(T957-MAX(0,P946-IF($A958&gt;='1-Input'!$C$12,'1-Input'!$B$12,0))+Q958*(1-'P-Parametri'!$B$6*P958))*(1+'1-Input'!$B$27))</f>
        <v>37459.539579583834</v>
      </c>
      <c r="S958" s="18">
        <f>IF($A958&gt;'1-Input'!$B$26,U957,(U957-Q958)*(1+'5-Roberta'!$C$4))</f>
        <v>301294.1786130392</v>
      </c>
      <c r="T958" s="18">
        <f>IF($A958&gt;'1-Input'!$B$26,R958,R958-'P-Parametri'!$B$8*(S958+R958)+MIN(MAX(S958,0),'P-Parametri'!$B$8*(S958+R958)))</f>
        <v>37459.539579583834</v>
      </c>
      <c r="U958" s="18">
        <f>IF($A958&gt;'1-Input'!$B$26,S958,S958-MIN(MAX(S958,0),'P-Parametri'!$B$8*(S958+R958)))</f>
        <v>300616.67117665394</v>
      </c>
      <c r="V958" s="18">
        <f>IF($A958&gt;'1-Input'!$B$26,V957,V957-Q958*(1-P958))</f>
        <v>228703.8284087232</v>
      </c>
      <c r="W958" s="11">
        <f>IF($A958&gt;'1-Input'!$B$26,0,IF(AB957&lt;=0,0,MAX(0,(AB957-AC957)/AB957)))</f>
        <v>0.21818639266872875</v>
      </c>
      <c r="X958" s="18">
        <f>IF($A958&gt;'1-Input'!$B$26,0,(MAX(0,W946-IF($A958&gt;='1-Input'!$C$12,'1-Input'!$B$12,0))-MIN(MAX(AA957,0),MAX(0,W946-IF($A958&gt;='1-Input'!$C$12,'1-Input'!$B$12,0))))*(1/(1-'P-Parametri'!$B$6*W958))+MIN(MAX(0,AB957-(MAX(0,W946-IF($A958&gt;='1-Input'!$C$12,'1-Input'!$B$12,0))-MIN(MAX(AA957,0),MAX(0,W946-IF($A958&gt;='1-Input'!$C$12,'1-Input'!$B$12,0))))*(1/(1-'P-Parametri'!$B$6*W958))),MAX(0,2*W946-(AA957-MIN(MAX(AA957,0),MAX(0,W946-IF($A958&gt;='1-Input'!$C$12,'1-Input'!$B$12,0)))))*(1/(1-'P-Parametri'!$B$6*W958))))</f>
        <v>19791.908263881163</v>
      </c>
      <c r="Y958" s="18">
        <f>IF($A958&gt;'1-Input'!$B$26,AA957,(AA957-MAX(0,W946-IF($A958&gt;='1-Input'!$C$12,'1-Input'!$B$12,0))+X958*(1-'P-Parametri'!$B$6*W958))*(1+'1-Input'!$B$27))</f>
        <v>36937.916657430564</v>
      </c>
      <c r="Z958" s="18">
        <f>IF($A958&gt;'1-Input'!$B$26,AB957,(AB957-X958)*(1+'5-Roberta'!$C$4))</f>
        <v>305166.11595481809</v>
      </c>
      <c r="AA958" s="18">
        <f>IF($A958&gt;'1-Input'!$B$26,Y958,Y958-'P-Parametri'!$B$8*(Z958+Y958)+MIN(MAX(Z958,0),'P-Parametri'!$B$8*(Z958+Y958)))</f>
        <v>36937.916657430564</v>
      </c>
      <c r="AB958" s="18">
        <f>IF($A958&gt;'1-Input'!$B$26,Z958,Z958-MIN(MAX(Z958,0),'P-Parametri'!$B$8*(Z958+Y958)))</f>
        <v>304481.90788959357</v>
      </c>
      <c r="AC958" s="18">
        <f>IF($A958&gt;'1-Input'!$B$26,AC957,AC957-X958*(1-W958))</f>
        <v>231634.00189311584</v>
      </c>
      <c r="AD958" s="11">
        <f>IF($A958&gt;'1-Input'!$B$26,0,IF(AI957&lt;=0,0,MAX(0,(AI957-AJ957)/AI957)))</f>
        <v>0.21818820123029212</v>
      </c>
      <c r="AE958" s="18">
        <f>IF($A958&gt;'1-Input'!$B$26,0,(MAX(0,AD946-IF($A958&gt;='1-Input'!$C$12,'1-Input'!$B$12,0))-MIN(MAX(AH957,0),MAX(0,AD946-IF($A958&gt;='1-Input'!$C$12,'1-Input'!$B$12,0))))*(1/(1-'P-Parametri'!$B$6*AD958))+MIN(MAX(0,AI957-(MAX(0,AD946-IF($A958&gt;='1-Input'!$C$12,'1-Input'!$B$12,0))-MIN(MAX(AH957,0),MAX(0,AD946-IF($A958&gt;='1-Input'!$C$12,'1-Input'!$B$12,0))))*(1/(1-'P-Parametri'!$B$6*AD958))),MAX(0,2*AD946-(AH957-MIN(MAX(AH957,0),MAX(0,AD946-IF($A958&gt;='1-Input'!$C$12,'1-Input'!$B$12,0)))))*(1/(1-'P-Parametri'!$B$6*AD958))))</f>
        <v>19774.977584080108</v>
      </c>
      <c r="AF958" s="18">
        <f>IF($A958&gt;'1-Input'!$B$26,AH957,(AH957-MAX(0,AD946-IF($A958&gt;='1-Input'!$C$12,'1-Input'!$B$12,0))+AE958*(1-'P-Parametri'!$B$6*AD958))*(1+'1-Input'!$B$27))</f>
        <v>36906.300293679618</v>
      </c>
      <c r="AG958" s="18">
        <f>IF($A958&gt;'1-Input'!$B$26,AI957,(AI957-AE958)*(1+'5-Roberta'!$C$4))</f>
        <v>305400.80102681316</v>
      </c>
      <c r="AH958" s="18">
        <f>IF($A958&gt;'1-Input'!$B$26,AF958,AF958-'P-Parametri'!$B$8*(AG958+AF958)+MIN(MAX(AG958,0),'P-Parametri'!$B$8*(AG958+AF958)))</f>
        <v>36906.300293679618</v>
      </c>
      <c r="AI958" s="18">
        <f>IF($A958&gt;'1-Input'!$B$26,AG958,AG958-MIN(MAX(AG958,0),'P-Parametri'!$B$8*(AG958+AF958)))</f>
        <v>304716.18682417215</v>
      </c>
      <c r="AJ958" s="18">
        <f>IF($A958&gt;'1-Input'!$B$26,AJ957,AJ957-AE958*(1-AD958))</f>
        <v>231811.60154998297</v>
      </c>
      <c r="AK958" s="11">
        <f>IF($A958&gt;'1-Input'!$B$26,0,IF(AP957&lt;=0,0,MAX(0,(AP957-AQ957)/AP957)))</f>
        <v>0.21818816011048164</v>
      </c>
      <c r="AL958" s="18">
        <f>IF($A958&gt;'1-Input'!$B$26,0,(MAX(0,AK946-IF($A958&gt;='1-Input'!$C$12,'1-Input'!$B$12,0))-MIN(MAX(AO957,0),MAX(0,AK946-IF($A958&gt;='1-Input'!$C$12,'1-Input'!$B$12,0))))*(1/(1-'P-Parametri'!$B$6*AK958))+MIN(MAX(0,AP957-(MAX(0,AK946-IF($A958&gt;='1-Input'!$C$12,'1-Input'!$B$12,0))-MIN(MAX(AO957,0),MAX(0,AK946-IF($A958&gt;='1-Input'!$C$12,'1-Input'!$B$12,0))))*(1/(1-'P-Parametri'!$B$6*AK958))),MAX(0,2*AK946-(AO957-MIN(MAX(AO957,0),MAX(0,AK946-IF($A958&gt;='1-Input'!$C$12,'1-Input'!$B$12,0)))))*(1/(1-'P-Parametri'!$B$6*AK958))))</f>
        <v>19775.362676430195</v>
      </c>
      <c r="AM958" s="18">
        <f>IF($A958&gt;'1-Input'!$B$26,AO957,(AO957-MAX(0,AK946-IF($A958&gt;='1-Input'!$C$12,'1-Input'!$B$12,0))+AL958*(1-'P-Parametri'!$B$6*AK958))*(1+'1-Input'!$B$27))</f>
        <v>36907.019414897208</v>
      </c>
      <c r="AN958" s="18">
        <f>IF($A958&gt;'1-Input'!$B$26,AP957,(AP957-AL958)*(1+'5-Roberta'!$C$4))</f>
        <v>305395.4630614192</v>
      </c>
      <c r="AO958" s="18">
        <f>IF($A958&gt;'1-Input'!$B$26,AM958,AM958-'P-Parametri'!$B$8*(AN958+AM958)+MIN(MAX(AN958,0),'P-Parametri'!$B$8*(AN958+AM958)))</f>
        <v>36907.019414897208</v>
      </c>
      <c r="AP958" s="18">
        <f>IF($A958&gt;'1-Input'!$B$26,AN958,AN958-MIN(MAX(AN958,0),'P-Parametri'!$B$8*(AN958+AM958)))</f>
        <v>304710.85809646657</v>
      </c>
      <c r="AQ958" s="18">
        <f>IF($A958&gt;'1-Input'!$B$26,AQ957,AQ957-AL958*(1-AK958))</f>
        <v>231807.56200966949</v>
      </c>
    </row>
    <row r="959" spans="1:43">
      <c r="A959" s="10">
        <f>11</f>
        <v>11</v>
      </c>
      <c r="B959" s="11">
        <f>IF($A959&gt;'1-Input'!$B$26,0,IF(G958&lt;=0,0,MAX(0,(G958-H958)/G958)))</f>
        <v>0.23948071258303921</v>
      </c>
      <c r="C959" s="18">
        <f>IF($A959&gt;'1-Input'!$B$26,0,(MAX(0,B946-IF($A959&gt;='1-Input'!$C$12,'1-Input'!$B$12,0))-MIN(MAX(F958,0),MAX(0,B946-IF($A959&gt;='1-Input'!$C$12,'1-Input'!$B$12,0))))*(1/(1-'P-Parametri'!$B$6*B959))+MIN(MAX(0,G958-(MAX(0,B946-IF($A959&gt;='1-Input'!$C$12,'1-Input'!$B$12,0))-MIN(MAX(F958,0),MAX(0,B946-IF($A959&gt;='1-Input'!$C$12,'1-Input'!$B$12,0))))*(1/(1-'P-Parametri'!$B$6*B959))),MAX(0,2*B946-(F958-MIN(MAX(F958,0),MAX(0,B946-IF($A959&gt;='1-Input'!$C$12,'1-Input'!$B$12,0)))))*(1/(1-'P-Parametri'!$B$6*B959))))</f>
        <v>17916.744761586109</v>
      </c>
      <c r="D959" s="18">
        <f>IF($A959&gt;'1-Input'!$B$26,F958,(F958-MAX(0,B946-IF($A959&gt;='1-Input'!$C$12,'1-Input'!$B$12,0))+C959*(1-'P-Parametri'!$B$6*B959))*(1+'1-Input'!$B$27))</f>
        <v>33242.0070309863</v>
      </c>
      <c r="E959" s="18">
        <f>IF($A959&gt;'1-Input'!$B$26,G958,(G958-C959)*(1+'5-Roberta'!$C$4))</f>
        <v>323371.39256650192</v>
      </c>
      <c r="F959" s="18">
        <f>IF($A959&gt;'1-Input'!$B$26,D959,D959-'P-Parametri'!$B$8*(E959+D959)+MIN(MAX(E959,0),'P-Parametri'!$B$8*(E959+D959)))</f>
        <v>33242.0070309863</v>
      </c>
      <c r="G959" s="18">
        <f>IF($A959&gt;'1-Input'!$B$26,E959,E959-MIN(MAX(E959,0),'P-Parametri'!$B$8*(E959+D959)))</f>
        <v>322658.16576730693</v>
      </c>
      <c r="H959" s="18">
        <f>IF($A959&gt;'1-Input'!$B$26,H958,H958-C959*(1-B959))</f>
        <v>238767.16606379254</v>
      </c>
      <c r="I959" s="11">
        <f>IF($A959&gt;'1-Input'!$B$26,0,IF(N958&lt;=0,0,MAX(0,(N958-O958)/N958)))</f>
        <v>0.23875890407509626</v>
      </c>
      <c r="J959" s="18">
        <f>IF($A959&gt;'1-Input'!$B$26,0,(MAX(0,I946-IF($A959&gt;='1-Input'!$C$12,'1-Input'!$B$12,0))-MIN(MAX(M958,0),MAX(0,I946-IF($A959&gt;='1-Input'!$C$12,'1-Input'!$B$12,0))))*(1/(1-'P-Parametri'!$B$6*I959))+MIN(MAX(0,N958-(MAX(0,I946-IF($A959&gt;='1-Input'!$C$12,'1-Input'!$B$12,0))-MIN(MAX(M958,0),MAX(0,I946-IF($A959&gt;='1-Input'!$C$12,'1-Input'!$B$12,0))))*(1/(1-'P-Parametri'!$B$6*I959))),MAX(0,2*I946-(M958-MIN(MAX(M958,0),MAX(0,I946-IF($A959&gt;='1-Input'!$C$12,'1-Input'!$B$12,0)))))*(1/(1-'P-Parametri'!$B$6*I959))))</f>
        <v>23569.947073708729</v>
      </c>
      <c r="K959" s="18">
        <f>IF($A959&gt;'1-Input'!$B$26,M958,(M958-MAX(0,I946-IF($A959&gt;='1-Input'!$C$12,'1-Input'!$B$12,0))+J959*(1-'P-Parametri'!$B$6*I959))*(1+'1-Input'!$B$27))</f>
        <v>43739.482935508291</v>
      </c>
      <c r="L959" s="18">
        <f>IF($A959&gt;'1-Input'!$B$26,N958,(N958-J959)*(1+'5-Roberta'!$C$4))</f>
        <v>237430.33944199918</v>
      </c>
      <c r="M959" s="18">
        <f>IF($A959&gt;'1-Input'!$B$26,K959,K959-'P-Parametri'!$B$8*(L959+K959)+MIN(MAX(L959,0),'P-Parametri'!$B$8*(L959+K959)))</f>
        <v>43739.482935508291</v>
      </c>
      <c r="N959" s="18">
        <f>IF($A959&gt;'1-Input'!$B$26,L959,L959-MIN(MAX(L959,0),'P-Parametri'!$B$8*(L959+K959)))</f>
        <v>236867.99979724418</v>
      </c>
      <c r="O959" s="18">
        <f>IF($A959&gt;'1-Input'!$B$26,O958,O958-J959*(1-I959))</f>
        <v>175477.4095171353</v>
      </c>
      <c r="P959" s="11">
        <f>IF($A959&gt;'1-Input'!$B$26,0,IF(U958&lt;=0,0,MAX(0,(U958-V958)/U958)))</f>
        <v>0.23921774692818676</v>
      </c>
      <c r="Q959" s="18">
        <f>IF($A959&gt;'1-Input'!$B$26,0,(MAX(0,P946-IF($A959&gt;='1-Input'!$C$12,'1-Input'!$B$12,0))-MIN(MAX(T958,0),MAX(0,P946-IF($A959&gt;='1-Input'!$C$12,'1-Input'!$B$12,0))))*(1/(1-'P-Parametri'!$B$6*P959))+MIN(MAX(0,U958-(MAX(0,P946-IF($A959&gt;='1-Input'!$C$12,'1-Input'!$B$12,0))-MIN(MAX(T958,0),MAX(0,P946-IF($A959&gt;='1-Input'!$C$12,'1-Input'!$B$12,0))))*(1/(1-'P-Parametri'!$B$6*P959))),MAX(0,2*P946-(T958-MIN(MAX(T958,0),MAX(0,P946-IF($A959&gt;='1-Input'!$C$12,'1-Input'!$B$12,0)))))*(1/(1-'P-Parametri'!$B$6*P959))))</f>
        <v>20188.434414626619</v>
      </c>
      <c r="R959" s="18">
        <f>IF($A959&gt;'1-Input'!$B$26,T958,(T958-MAX(0,P946-IF($A959&gt;='1-Input'!$C$12,'1-Input'!$B$12,0))+Q959*(1-'P-Parametri'!$B$6*P959))*(1+'1-Input'!$B$27))</f>
        <v>37459.539579583834</v>
      </c>
      <c r="S959" s="18">
        <f>IF($A959&gt;'1-Input'!$B$26,U958,(U958-Q959)*(1+'5-Roberta'!$C$4))</f>
        <v>288841.08386488812</v>
      </c>
      <c r="T959" s="18">
        <f>IF($A959&gt;'1-Input'!$B$26,R959,R959-'P-Parametri'!$B$8*(S959+R959)+MIN(MAX(S959,0),'P-Parametri'!$B$8*(S959+R959)))</f>
        <v>37459.539579583834</v>
      </c>
      <c r="U959" s="18">
        <f>IF($A959&gt;'1-Input'!$B$26,S959,S959-MIN(MAX(S959,0),'P-Parametri'!$B$8*(S959+R959)))</f>
        <v>288188.48261799919</v>
      </c>
      <c r="V959" s="18">
        <f>IF($A959&gt;'1-Input'!$B$26,V958,V958-Q959*(1-P959))</f>
        <v>213344.82578877104</v>
      </c>
      <c r="W959" s="11">
        <f>IF($A959&gt;'1-Input'!$B$26,0,IF(AB958&lt;=0,0,MAX(0,(AB958-AC958)/AB958)))</f>
        <v>0.23925200187228426</v>
      </c>
      <c r="X959" s="18">
        <f>IF($A959&gt;'1-Input'!$B$26,0,(MAX(0,W946-IF($A959&gt;='1-Input'!$C$12,'1-Input'!$B$12,0))-MIN(MAX(AA958,0),MAX(0,W946-IF($A959&gt;='1-Input'!$C$12,'1-Input'!$B$12,0))))*(1/(1-'P-Parametri'!$B$6*W959))+MIN(MAX(0,AB958-(MAX(0,W946-IF($A959&gt;='1-Input'!$C$12,'1-Input'!$B$12,0))-MIN(MAX(AA958,0),MAX(0,W946-IF($A959&gt;='1-Input'!$C$12,'1-Input'!$B$12,0))))*(1/(1-'P-Parametri'!$B$6*W959))),MAX(0,2*W946-(AA958-MIN(MAX(AA958,0),MAX(0,W946-IF($A959&gt;='1-Input'!$C$12,'1-Input'!$B$12,0)))))*(1/(1-'P-Parametri'!$B$6*W959))))</f>
        <v>19907.500154894373</v>
      </c>
      <c r="Y959" s="18">
        <f>IF($A959&gt;'1-Input'!$B$26,AA958,(AA958-MAX(0,W946-IF($A959&gt;='1-Input'!$C$12,'1-Input'!$B$12,0))+X959*(1-'P-Parametri'!$B$6*W959))*(1+'1-Input'!$B$27))</f>
        <v>36937.916657430556</v>
      </c>
      <c r="Z959" s="18">
        <f>IF($A959&gt;'1-Input'!$B$26,AB958,(AB958-X959)*(1+'5-Roberta'!$C$4))</f>
        <v>293111.63996674016</v>
      </c>
      <c r="AA959" s="18">
        <f>IF($A959&gt;'1-Input'!$B$26,Y959,Y959-'P-Parametri'!$B$8*(Z959+Y959)+MIN(MAX(Z959,0),'P-Parametri'!$B$8*(Z959+Y959)))</f>
        <v>36937.916657430556</v>
      </c>
      <c r="AB959" s="18">
        <f>IF($A959&gt;'1-Input'!$B$26,Z959,Z959-MIN(MAX(Z959,0),'P-Parametri'!$B$8*(Z959+Y959)))</f>
        <v>292451.54085349181</v>
      </c>
      <c r="AC959" s="18">
        <f>IF($A959&gt;'1-Input'!$B$26,AC958,AC958-X959*(1-W959))</f>
        <v>216489.41100255275</v>
      </c>
      <c r="AD959" s="11">
        <f>IF($A959&gt;'1-Input'!$B$26,0,IF(AI958&lt;=0,0,MAX(0,(AI958-AJ958)/AI958)))</f>
        <v>0.23925406140717007</v>
      </c>
      <c r="AE959" s="18">
        <f>IF($A959&gt;'1-Input'!$B$26,0,(MAX(0,AD946-IF($A959&gt;='1-Input'!$C$12,'1-Input'!$B$12,0))-MIN(MAX(AH958,0),MAX(0,AD946-IF($A959&gt;='1-Input'!$C$12,'1-Input'!$B$12,0))))*(1/(1-'P-Parametri'!$B$6*AD959))+MIN(MAX(0,AI958-(MAX(0,AD946-IF($A959&gt;='1-Input'!$C$12,'1-Input'!$B$12,0))-MIN(MAX(AH958,0),MAX(0,AD946-IF($A959&gt;='1-Input'!$C$12,'1-Input'!$B$12,0))))*(1/(1-'P-Parametri'!$B$6*AD959))),MAX(0,2*AD946-(AH958-MIN(MAX(AH958,0),MAX(0,AD946-IF($A959&gt;='1-Input'!$C$12,'1-Input'!$B$12,0)))))*(1/(1-'P-Parametri'!$B$6*AD959))))</f>
        <v>19890.472035727696</v>
      </c>
      <c r="AF959" s="18">
        <f>IF($A959&gt;'1-Input'!$B$26,AH958,(AH958-MAX(0,AD946-IF($A959&gt;='1-Input'!$C$12,'1-Input'!$B$12,0))+AE959*(1-'P-Parametri'!$B$6*AD959))*(1+'1-Input'!$B$27))</f>
        <v>36906.300293679611</v>
      </c>
      <c r="AG959" s="18">
        <f>IF($A959&gt;'1-Input'!$B$26,AI958,(AI958-AE959)*(1+'5-Roberta'!$C$4))</f>
        <v>293370.48623209778</v>
      </c>
      <c r="AH959" s="18">
        <f>IF($A959&gt;'1-Input'!$B$26,AF959,AF959-'P-Parametri'!$B$8*(AG959+AF959)+MIN(MAX(AG959,0),'P-Parametri'!$B$8*(AG959+AF959)))</f>
        <v>36906.300293679611</v>
      </c>
      <c r="AI959" s="18">
        <f>IF($A959&gt;'1-Input'!$B$26,AG959,AG959-MIN(MAX(AG959,0),'P-Parametri'!$B$8*(AG959+AF959)))</f>
        <v>292709.93265904626</v>
      </c>
      <c r="AJ959" s="18">
        <f>IF($A959&gt;'1-Input'!$B$26,AJ958,AJ958-AE959*(1-AD959))</f>
        <v>216680.00573210887</v>
      </c>
      <c r="AK959" s="11">
        <f>IF($A959&gt;'1-Input'!$B$26,0,IF(AP958&lt;=0,0,MAX(0,(AP958-AQ958)/AP958)))</f>
        <v>0.23925401458361248</v>
      </c>
      <c r="AL959" s="18">
        <f>IF($A959&gt;'1-Input'!$B$26,0,(MAX(0,AK946-IF($A959&gt;='1-Input'!$C$12,'1-Input'!$B$12,0))-MIN(MAX(AO958,0),MAX(0,AK946-IF($A959&gt;='1-Input'!$C$12,'1-Input'!$B$12,0))))*(1/(1-'P-Parametri'!$B$6*AK959))+MIN(MAX(0,AP958-(MAX(0,AK946-IF($A959&gt;='1-Input'!$C$12,'1-Input'!$B$12,0))-MIN(MAX(AO958,0),MAX(0,AK946-IF($A959&gt;='1-Input'!$C$12,'1-Input'!$B$12,0))))*(1/(1-'P-Parametri'!$B$6*AK959))),MAX(0,2*AK946-(AO958-MIN(MAX(AO958,0),MAX(0,AK946-IF($A959&gt;='1-Input'!$C$12,'1-Input'!$B$12,0)))))*(1/(1-'P-Parametri'!$B$6*AK959))))</f>
        <v>19890.859344413268</v>
      </c>
      <c r="AM959" s="18">
        <f>IF($A959&gt;'1-Input'!$B$26,AO958,(AO958-MAX(0,AK946-IF($A959&gt;='1-Input'!$C$12,'1-Input'!$B$12,0))+AL959*(1-'P-Parametri'!$B$6*AK959))*(1+'1-Input'!$B$27))</f>
        <v>36907.019414897215</v>
      </c>
      <c r="AN959" s="18">
        <f>IF($A959&gt;'1-Input'!$B$26,AP958,(AP958-AL959)*(1+'5-Roberta'!$C$4))</f>
        <v>293364.59871461493</v>
      </c>
      <c r="AO959" s="18">
        <f>IF($A959&gt;'1-Input'!$B$26,AM959,AM959-'P-Parametri'!$B$8*(AN959+AM959)+MIN(MAX(AN959,0),'P-Parametri'!$B$8*(AN959+AM959)))</f>
        <v>36907.019414897215</v>
      </c>
      <c r="AP959" s="18">
        <f>IF($A959&gt;'1-Input'!$B$26,AN959,AN959-MIN(MAX(AN959,0),'P-Parametri'!$B$8*(AN959+AM959)))</f>
        <v>292704.05547835591</v>
      </c>
      <c r="AQ959" s="18">
        <f>IF($A959&gt;'1-Input'!$B$26,AQ958,AQ958-AL959*(1-AK959))</f>
        <v>216675.67061692505</v>
      </c>
    </row>
    <row r="960" spans="1:43">
      <c r="A960" s="10">
        <f>12</f>
        <v>12</v>
      </c>
      <c r="B960" s="11">
        <f>IF($A960&gt;'1-Input'!$B$26,0,IF(G959&lt;=0,0,MAX(0,(G959-H959)/G959)))</f>
        <v>0.25999961756434981</v>
      </c>
      <c r="C960" s="18">
        <f>IF($A960&gt;'1-Input'!$B$26,0,(MAX(0,B946-IF($A960&gt;='1-Input'!$C$12,'1-Input'!$B$12,0))-MIN(MAX(F959,0),MAX(0,B946-IF($A960&gt;='1-Input'!$C$12,'1-Input'!$B$12,0))))*(1/(1-'P-Parametri'!$B$6*B960))+MIN(MAX(0,G959-(MAX(0,B946-IF($A960&gt;='1-Input'!$C$12,'1-Input'!$B$12,0))-MIN(MAX(F959,0),MAX(0,B946-IF($A960&gt;='1-Input'!$C$12,'1-Input'!$B$12,0))))*(1/(1-'P-Parametri'!$B$6*B960))),MAX(0,2*B946-(F959-MIN(MAX(F959,0),MAX(0,B946-IF($A960&gt;='1-Input'!$C$12,'1-Input'!$B$12,0)))))*(1/(1-'P-Parametri'!$B$6*B960))))</f>
        <v>18019.25903172166</v>
      </c>
      <c r="D960" s="18">
        <f>IF($A960&gt;'1-Input'!$B$26,F959,(F959-MAX(0,B946-IF($A960&gt;='1-Input'!$C$12,'1-Input'!$B$12,0))+C960*(1-'P-Parametri'!$B$6*B960))*(1+'1-Input'!$B$27))</f>
        <v>33242.0070309863</v>
      </c>
      <c r="E960" s="18">
        <f>IF($A960&gt;'1-Input'!$B$26,G959,(G959-C960)*(1+'5-Roberta'!$C$4))</f>
        <v>313778.07393765281</v>
      </c>
      <c r="F960" s="18">
        <f>IF($A960&gt;'1-Input'!$B$26,D960,D960-'P-Parametri'!$B$8*(E960+D960)+MIN(MAX(E960,0),'P-Parametri'!$B$8*(E960+D960)))</f>
        <v>33242.0070309863</v>
      </c>
      <c r="G960" s="18">
        <f>IF($A960&gt;'1-Input'!$B$26,E960,E960-MIN(MAX(E960,0),'P-Parametri'!$B$8*(E960+D960)))</f>
        <v>313084.03377571551</v>
      </c>
      <c r="H960" s="18">
        <f>IF($A960&gt;'1-Input'!$B$26,H959,H959-C960*(1-B960))</f>
        <v>225432.90748911147</v>
      </c>
      <c r="I960" s="11">
        <f>IF($A960&gt;'1-Input'!$B$26,0,IF(N959&lt;=0,0,MAX(0,(N959-O959)/N959)))</f>
        <v>0.25917637812054983</v>
      </c>
      <c r="J960" s="18">
        <f>IF($A960&gt;'1-Input'!$B$26,0,(MAX(0,I946-IF($A960&gt;='1-Input'!$C$12,'1-Input'!$B$12,0))-MIN(MAX(M959,0),MAX(0,I946-IF($A960&gt;='1-Input'!$C$12,'1-Input'!$B$12,0))))*(1/(1-'P-Parametri'!$B$6*I960))+MIN(MAX(0,N959-(MAX(0,I946-IF($A960&gt;='1-Input'!$C$12,'1-Input'!$B$12,0))-MIN(MAX(M959,0),MAX(0,I946-IF($A960&gt;='1-Input'!$C$12,'1-Input'!$B$12,0))))*(1/(1-'P-Parametri'!$B$6*I960))),MAX(0,2*I946-(M959-MIN(MAX(M959,0),MAX(0,I946-IF($A960&gt;='1-Input'!$C$12,'1-Input'!$B$12,0)))))*(1/(1-'P-Parametri'!$B$6*I960))))</f>
        <v>23704.109829655456</v>
      </c>
      <c r="K960" s="18">
        <f>IF($A960&gt;'1-Input'!$B$26,M959,(M959-MAX(0,I946-IF($A960&gt;='1-Input'!$C$12,'1-Input'!$B$12,0))+J960*(1-'P-Parametri'!$B$6*I960))*(1+'1-Input'!$B$27))</f>
        <v>43739.482935508291</v>
      </c>
      <c r="L960" s="18">
        <f>IF($A960&gt;'1-Input'!$B$26,N959,(N959-J960)*(1+'5-Roberta'!$C$4))</f>
        <v>219558.80666661638</v>
      </c>
      <c r="M960" s="18">
        <f>IF($A960&gt;'1-Input'!$B$26,K960,K960-'P-Parametri'!$B$8*(L960+K960)+MIN(MAX(L960,0),'P-Parametri'!$B$8*(L960+K960)))</f>
        <v>43739.482935508291</v>
      </c>
      <c r="N960" s="18">
        <f>IF($A960&gt;'1-Input'!$B$26,L960,L960-MIN(MAX(L960,0),'P-Parametri'!$B$8*(L960+K960)))</f>
        <v>219032.21008741212</v>
      </c>
      <c r="O960" s="18">
        <f>IF($A960&gt;'1-Input'!$B$26,O959,O959-J960*(1-I960))</f>
        <v>157916.84501970166</v>
      </c>
      <c r="P960" s="11">
        <f>IF($A960&gt;'1-Input'!$B$26,0,IF(U959&lt;=0,0,MAX(0,(U959-V959)/U959)))</f>
        <v>0.25970384433591415</v>
      </c>
      <c r="Q960" s="18">
        <f>IF($A960&gt;'1-Input'!$B$26,0,(MAX(0,P946-IF($A960&gt;='1-Input'!$C$12,'1-Input'!$B$12,0))-MIN(MAX(T959,0),MAX(0,P946-IF($A960&gt;='1-Input'!$C$12,'1-Input'!$B$12,0))))*(1/(1-'P-Parametri'!$B$6*P960))+MIN(MAX(0,U959-(MAX(0,P946-IF($A960&gt;='1-Input'!$C$12,'1-Input'!$B$12,0))-MIN(MAX(T959,0),MAX(0,P946-IF($A960&gt;='1-Input'!$C$12,'1-Input'!$B$12,0))))*(1/(1-'P-Parametri'!$B$6*P960))),MAX(0,2*P946-(T959-MIN(MAX(T959,0),MAX(0,P946-IF($A960&gt;='1-Input'!$C$12,'1-Input'!$B$12,0)))))*(1/(1-'P-Parametri'!$B$6*P960))))</f>
        <v>20303.752412568294</v>
      </c>
      <c r="R960" s="18">
        <f>IF($A960&gt;'1-Input'!$B$26,T959,(T959-MAX(0,P946-IF($A960&gt;='1-Input'!$C$12,'1-Input'!$B$12,0))+Q960*(1-'P-Parametri'!$B$6*P960))*(1+'1-Input'!$B$27))</f>
        <v>37459.539579583834</v>
      </c>
      <c r="S960" s="18">
        <f>IF($A960&gt;'1-Input'!$B$26,U959,(U959-Q960)*(1+'5-Roberta'!$C$4))</f>
        <v>275921.2721115938</v>
      </c>
      <c r="T960" s="18">
        <f>IF($A960&gt;'1-Input'!$B$26,R960,R960-'P-Parametri'!$B$8*(S960+R960)+MIN(MAX(S960,0),'P-Parametri'!$B$8*(S960+R960)))</f>
        <v>37459.539579583834</v>
      </c>
      <c r="U960" s="18">
        <f>IF($A960&gt;'1-Input'!$B$26,S960,S960-MIN(MAX(S960,0),'P-Parametri'!$B$8*(S960+R960)))</f>
        <v>275294.51048821147</v>
      </c>
      <c r="V960" s="18">
        <f>IF($A960&gt;'1-Input'!$B$26,V959,V959-Q960*(1-P960))</f>
        <v>198314.03593219133</v>
      </c>
      <c r="W960" s="11">
        <f>IF($A960&gt;'1-Input'!$B$26,0,IF(AB959&lt;=0,0,MAX(0,(AB959-AC959)/AB959)))</f>
        <v>0.25974262139037074</v>
      </c>
      <c r="X960" s="18">
        <f>IF($A960&gt;'1-Input'!$B$26,0,(MAX(0,W946-IF($A960&gt;='1-Input'!$C$12,'1-Input'!$B$12,0))-MIN(MAX(AA959,0),MAX(0,W946-IF($A960&gt;='1-Input'!$C$12,'1-Input'!$B$12,0))))*(1/(1-'P-Parametri'!$B$6*W960))+MIN(MAX(0,AB959-(MAX(0,W946-IF($A960&gt;='1-Input'!$C$12,'1-Input'!$B$12,0))-MIN(MAX(AA959,0),MAX(0,W946-IF($A960&gt;='1-Input'!$C$12,'1-Input'!$B$12,0))))*(1/(1-'P-Parametri'!$B$6*W960))),MAX(0,2*W946-(AA959-MIN(MAX(AA959,0),MAX(0,W946-IF($A960&gt;='1-Input'!$C$12,'1-Input'!$B$12,0)))))*(1/(1-'P-Parametri'!$B$6*W960))))</f>
        <v>20021.239764120899</v>
      </c>
      <c r="Y960" s="18">
        <f>IF($A960&gt;'1-Input'!$B$26,AA959,(AA959-MAX(0,W946-IF($A960&gt;='1-Input'!$C$12,'1-Input'!$B$12,0))+X960*(1-'P-Parametri'!$B$6*W960))*(1+'1-Input'!$B$27))</f>
        <v>36937.916657430564</v>
      </c>
      <c r="Z960" s="18">
        <f>IF($A960&gt;'1-Input'!$B$26,AB959,(AB959-X960)*(1+'5-Roberta'!$C$4))</f>
        <v>280603.21012205206</v>
      </c>
      <c r="AA960" s="18">
        <f>IF($A960&gt;'1-Input'!$B$26,Y960,Y960-'P-Parametri'!$B$8*(Z960+Y960)+MIN(MAX(Z960,0),'P-Parametri'!$B$8*(Z960+Y960)))</f>
        <v>36937.916657430564</v>
      </c>
      <c r="AB960" s="18">
        <f>IF($A960&gt;'1-Input'!$B$26,Z960,Z960-MIN(MAX(Z960,0),'P-Parametri'!$B$8*(Z960+Y960)))</f>
        <v>279968.12786849309</v>
      </c>
      <c r="AC960" s="18">
        <f>IF($A960&gt;'1-Input'!$B$26,AC959,AC959-X960*(1-W960))</f>
        <v>201668.54053824974</v>
      </c>
      <c r="AD960" s="11">
        <f>IF($A960&gt;'1-Input'!$B$26,0,IF(AI959&lt;=0,0,MAX(0,(AI959-AJ959)/AI959)))</f>
        <v>0.25974495035499329</v>
      </c>
      <c r="AE960" s="18">
        <f>IF($A960&gt;'1-Input'!$B$26,0,(MAX(0,AD946-IF($A960&gt;='1-Input'!$C$12,'1-Input'!$B$12,0))-MIN(MAX(AH959,0),MAX(0,AD946-IF($A960&gt;='1-Input'!$C$12,'1-Input'!$B$12,0))))*(1/(1-'P-Parametri'!$B$6*AD960))+MIN(MAX(0,AI959-(MAX(0,AD946-IF($A960&gt;='1-Input'!$C$12,'1-Input'!$B$12,0))-MIN(MAX(AH959,0),MAX(0,AD946-IF($A960&gt;='1-Input'!$C$12,'1-Input'!$B$12,0))))*(1/(1-'P-Parametri'!$B$6*AD960))),MAX(0,2*AD946-(AH959-MIN(MAX(AH959,0),MAX(0,AD946-IF($A960&gt;='1-Input'!$C$12,'1-Input'!$B$12,0)))))*(1/(1-'P-Parametri'!$B$6*AD960))))</f>
        <v>20004.115924488218</v>
      </c>
      <c r="AF960" s="18">
        <f>IF($A960&gt;'1-Input'!$B$26,AH959,(AH959-MAX(0,AD946-IF($A960&gt;='1-Input'!$C$12,'1-Input'!$B$12,0))+AE960*(1-'P-Parametri'!$B$6*AD960))*(1+'1-Input'!$B$27))</f>
        <v>36906.300293679618</v>
      </c>
      <c r="AG960" s="18">
        <f>IF($A960&gt;'1-Input'!$B$26,AI959,(AI959-AE960)*(1+'5-Roberta'!$C$4))</f>
        <v>280886.9912365948</v>
      </c>
      <c r="AH960" s="18">
        <f>IF($A960&gt;'1-Input'!$B$26,AF960,AF960-'P-Parametri'!$B$8*(AG960+AF960)+MIN(MAX(AG960,0),'P-Parametri'!$B$8*(AG960+AF960)))</f>
        <v>36906.300293679618</v>
      </c>
      <c r="AI960" s="18">
        <f>IF($A960&gt;'1-Input'!$B$26,AG960,AG960-MIN(MAX(AG960,0),'P-Parametri'!$B$8*(AG960+AF960)))</f>
        <v>280251.40465353423</v>
      </c>
      <c r="AJ960" s="18">
        <f>IF($A960&gt;'1-Input'!$B$26,AJ959,AJ959-AE960*(1-AD960))</f>
        <v>201871.85790532237</v>
      </c>
      <c r="AK960" s="11">
        <f>IF($A960&gt;'1-Input'!$B$26,0,IF(AP959&lt;=0,0,MAX(0,(AP959-AQ959)/AP959)))</f>
        <v>0.25974489740902412</v>
      </c>
      <c r="AL960" s="18">
        <f>IF($A960&gt;'1-Input'!$B$26,0,(MAX(0,AK946-IF($A960&gt;='1-Input'!$C$12,'1-Input'!$B$12,0))-MIN(MAX(AO959,0),MAX(0,AK946-IF($A960&gt;='1-Input'!$C$12,'1-Input'!$B$12,0))))*(1/(1-'P-Parametri'!$B$6*AK960))+MIN(MAX(0,AP959-(MAX(0,AK946-IF($A960&gt;='1-Input'!$C$12,'1-Input'!$B$12,0))-MIN(MAX(AO959,0),MAX(0,AK946-IF($A960&gt;='1-Input'!$C$12,'1-Input'!$B$12,0))))*(1/(1-'P-Parametri'!$B$6*AK960))),MAX(0,2*AK946-(AO959-MIN(MAX(AO959,0),MAX(0,AK946-IF($A960&gt;='1-Input'!$C$12,'1-Input'!$B$12,0)))))*(1/(1-'P-Parametri'!$B$6*AK960))))</f>
        <v>20004.505410421923</v>
      </c>
      <c r="AM960" s="18">
        <f>IF($A960&gt;'1-Input'!$B$26,AO959,(AO959-MAX(0,AK946-IF($A960&gt;='1-Input'!$C$12,'1-Input'!$B$12,0))+AL960*(1-'P-Parametri'!$B$6*AK960))*(1+'1-Input'!$B$27))</f>
        <v>36907.019414897215</v>
      </c>
      <c r="AN960" s="18">
        <f>IF($A960&gt;'1-Input'!$B$26,AP959,(AP959-AL960)*(1+'5-Roberta'!$C$4))</f>
        <v>280880.536569972</v>
      </c>
      <c r="AO960" s="18">
        <f>IF($A960&gt;'1-Input'!$B$26,AM960,AM960-'P-Parametri'!$B$8*(AN960+AM960)+MIN(MAX(AN960,0),'P-Parametri'!$B$8*(AN960+AM960)))</f>
        <v>36907.019414897215</v>
      </c>
      <c r="AP960" s="18">
        <f>IF($A960&gt;'1-Input'!$B$26,AN960,AN960-MIN(MAX(AN960,0),'P-Parametri'!$B$8*(AN960+AM960)))</f>
        <v>280244.96145800228</v>
      </c>
      <c r="AQ960" s="18">
        <f>IF($A960&gt;'1-Input'!$B$26,AQ959,AQ959-AL960*(1-AK960))</f>
        <v>201867.23341205146</v>
      </c>
    </row>
    <row r="961" spans="1:43">
      <c r="A961" s="10">
        <f>13</f>
        <v>13</v>
      </c>
      <c r="B961" s="11">
        <f>IF($A961&gt;'1-Input'!$B$26,0,IF(G960&lt;=0,0,MAX(0,(G960-H960)/G960)))</f>
        <v>0.27996038389295447</v>
      </c>
      <c r="C961" s="18">
        <f>IF($A961&gt;'1-Input'!$B$26,0,(MAX(0,B946-IF($A961&gt;='1-Input'!$C$12,'1-Input'!$B$12,0))-MIN(MAX(F960,0),MAX(0,B946-IF($A961&gt;='1-Input'!$C$12,'1-Input'!$B$12,0))))*(1/(1-'P-Parametri'!$B$6*B961))+MIN(MAX(0,G960-(MAX(0,B946-IF($A961&gt;='1-Input'!$C$12,'1-Input'!$B$12,0))-MIN(MAX(F960,0),MAX(0,B946-IF($A961&gt;='1-Input'!$C$12,'1-Input'!$B$12,0))))*(1/(1-'P-Parametri'!$B$6*B961))),MAX(0,2*B946-(F960-MIN(MAX(F960,0),MAX(0,B946-IF($A961&gt;='1-Input'!$C$12,'1-Input'!$B$12,0)))))*(1/(1-'P-Parametri'!$B$6*B961))))</f>
        <v>18120.116773387414</v>
      </c>
      <c r="D961" s="18">
        <f>IF($A961&gt;'1-Input'!$B$26,F960,(F960-MAX(0,B946-IF($A961&gt;='1-Input'!$C$12,'1-Input'!$B$12,0))+C961*(1-'P-Parametri'!$B$6*B961))*(1+'1-Input'!$B$27))</f>
        <v>33242.0070309863</v>
      </c>
      <c r="E961" s="18">
        <f>IF($A961&gt;'1-Input'!$B$26,G960,(G960-C961)*(1+'5-Roberta'!$C$4))</f>
        <v>303812.83451239794</v>
      </c>
      <c r="F961" s="18">
        <f>IF($A961&gt;'1-Input'!$B$26,D961,D961-'P-Parametri'!$B$8*(E961+D961)+MIN(MAX(E961,0),'P-Parametri'!$B$8*(E961+D961)))</f>
        <v>33242.0070309863</v>
      </c>
      <c r="G961" s="18">
        <f>IF($A961&gt;'1-Input'!$B$26,E961,E961-MIN(MAX(E961,0),'P-Parametri'!$B$8*(E961+D961)))</f>
        <v>303138.72482931119</v>
      </c>
      <c r="H961" s="18">
        <f>IF($A961&gt;'1-Input'!$B$26,H960,H960-C961*(1-B961))</f>
        <v>212385.70556378676</v>
      </c>
      <c r="I961" s="11">
        <f>IF($A961&gt;'1-Input'!$B$26,0,IF(N960&lt;=0,0,MAX(0,(N960-O960)/N960)))</f>
        <v>0.27902455553601146</v>
      </c>
      <c r="J961" s="18">
        <f>IF($A961&gt;'1-Input'!$B$26,0,(MAX(0,I946-IF($A961&gt;='1-Input'!$C$12,'1-Input'!$B$12,0))-MIN(MAX(M960,0),MAX(0,I946-IF($A961&gt;='1-Input'!$C$12,'1-Input'!$B$12,0))))*(1/(1-'P-Parametri'!$B$6*I961))+MIN(MAX(0,N960-(MAX(0,I946-IF($A961&gt;='1-Input'!$C$12,'1-Input'!$B$12,0))-MIN(MAX(M960,0),MAX(0,I946-IF($A961&gt;='1-Input'!$C$12,'1-Input'!$B$12,0))))*(1/(1-'P-Parametri'!$B$6*I961))),MAX(0,2*I946-(M960-MIN(MAX(M960,0),MAX(0,I946-IF($A961&gt;='1-Input'!$C$12,'1-Input'!$B$12,0)))))*(1/(1-'P-Parametri'!$B$6*I961))))</f>
        <v>23836.003949280454</v>
      </c>
      <c r="K961" s="18">
        <f>IF($A961&gt;'1-Input'!$B$26,M960,(M960-MAX(0,I946-IF($A961&gt;='1-Input'!$C$12,'1-Input'!$B$12,0))+J961*(1-'P-Parametri'!$B$6*I961))*(1+'1-Input'!$B$27))</f>
        <v>43739.482935508291</v>
      </c>
      <c r="L961" s="18">
        <f>IF($A961&gt;'1-Input'!$B$26,N960,(N960-J961)*(1+'5-Roberta'!$C$4))</f>
        <v>201052.09232227562</v>
      </c>
      <c r="M961" s="18">
        <f>IF($A961&gt;'1-Input'!$B$26,K961,K961-'P-Parametri'!$B$8*(L961+K961)+MIN(MAX(L961,0),'P-Parametri'!$B$8*(L961+K961)))</f>
        <v>43739.482935508291</v>
      </c>
      <c r="N961" s="18">
        <f>IF($A961&gt;'1-Input'!$B$26,L961,L961-MIN(MAX(L961,0),'P-Parametri'!$B$8*(L961+K961)))</f>
        <v>200562.50917176006</v>
      </c>
      <c r="O961" s="18">
        <f>IF($A961&gt;'1-Input'!$B$26,O960,O960-J961*(1-I961))</f>
        <v>140731.67147812381</v>
      </c>
      <c r="P961" s="11">
        <f>IF($A961&gt;'1-Input'!$B$26,0,IF(U960&lt;=0,0,MAX(0,(U960-V960)/U960)))</f>
        <v>0.27962952991507822</v>
      </c>
      <c r="Q961" s="18">
        <f>IF($A961&gt;'1-Input'!$B$26,0,(MAX(0,P946-IF($A961&gt;='1-Input'!$C$12,'1-Input'!$B$12,0))-MIN(MAX(T960,0),MAX(0,P946-IF($A961&gt;='1-Input'!$C$12,'1-Input'!$B$12,0))))*(1/(1-'P-Parametri'!$B$6*P961))+MIN(MAX(0,U960-(MAX(0,P946-IF($A961&gt;='1-Input'!$C$12,'1-Input'!$B$12,0))-MIN(MAX(T960,0),MAX(0,P946-IF($A961&gt;='1-Input'!$C$12,'1-Input'!$B$12,0))))*(1/(1-'P-Parametri'!$B$6*P961))),MAX(0,2*P946-(T960-MIN(MAX(T960,0),MAX(0,P946-IF($A961&gt;='1-Input'!$C$12,'1-Input'!$B$12,0)))))*(1/(1-'P-Parametri'!$B$6*P961))))</f>
        <v>20417.186711840553</v>
      </c>
      <c r="R961" s="18">
        <f>IF($A961&gt;'1-Input'!$B$26,T960,(T960-MAX(0,P946-IF($A961&gt;='1-Input'!$C$12,'1-Input'!$B$12,0))+Q961*(1-'P-Parametri'!$B$6*P961))*(1+'1-Input'!$B$27))</f>
        <v>37459.539579583834</v>
      </c>
      <c r="S961" s="18">
        <f>IF($A961&gt;'1-Input'!$B$26,U960,(U960-Q961)*(1+'5-Roberta'!$C$4))</f>
        <v>262523.64348966203</v>
      </c>
      <c r="T961" s="18">
        <f>IF($A961&gt;'1-Input'!$B$26,R961,R961-'P-Parametri'!$B$8*(S961+R961)+MIN(MAX(S961,0),'P-Parametri'!$B$8*(S961+R961)))</f>
        <v>37459.539579583834</v>
      </c>
      <c r="U961" s="18">
        <f>IF($A961&gt;'1-Input'!$B$26,S961,S961-MIN(MAX(S961,0),'P-Parametri'!$B$8*(S961+R961)))</f>
        <v>261923.67712352355</v>
      </c>
      <c r="V961" s="18">
        <f>IF($A961&gt;'1-Input'!$B$26,V960,V960-Q961*(1-P961))</f>
        <v>183606.09754277114</v>
      </c>
      <c r="W961" s="11">
        <f>IF($A961&gt;'1-Input'!$B$26,0,IF(AB960&lt;=0,0,MAX(0,(AB960-AC960)/AB960)))</f>
        <v>0.27967321825655206</v>
      </c>
      <c r="X961" s="18">
        <f>IF($A961&gt;'1-Input'!$B$26,0,(MAX(0,W946-IF($A961&gt;='1-Input'!$C$12,'1-Input'!$B$12,0))-MIN(MAX(AA960,0),MAX(0,W946-IF($A961&gt;='1-Input'!$C$12,'1-Input'!$B$12,0))))*(1/(1-'P-Parametri'!$B$6*W961))+MIN(MAX(0,AB960-(MAX(0,W946-IF($A961&gt;='1-Input'!$C$12,'1-Input'!$B$12,0))-MIN(MAX(AA960,0),MAX(0,W946-IF($A961&gt;='1-Input'!$C$12,'1-Input'!$B$12,0))))*(1/(1-'P-Parametri'!$B$6*W961))),MAX(0,2*W946-(AA960-MIN(MAX(AA960,0),MAX(0,W946-IF($A961&gt;='1-Input'!$C$12,'1-Input'!$B$12,0)))))*(1/(1-'P-Parametri'!$B$6*W961))))</f>
        <v>20133.124644520511</v>
      </c>
      <c r="Y961" s="18">
        <f>IF($A961&gt;'1-Input'!$B$26,AA960,(AA960-MAX(0,W946-IF($A961&gt;='1-Input'!$C$12,'1-Input'!$B$12,0))+X961*(1-'P-Parametri'!$B$6*W961))*(1+'1-Input'!$B$27))</f>
        <v>36937.916657430564</v>
      </c>
      <c r="Z961" s="18">
        <f>IF($A961&gt;'1-Input'!$B$26,AB960,(AB960-X961)*(1+'5-Roberta'!$C$4))</f>
        <v>267630.05332069175</v>
      </c>
      <c r="AA961" s="18">
        <f>IF($A961&gt;'1-Input'!$B$26,Y961,Y961-'P-Parametri'!$B$8*(Z961+Y961)+MIN(MAX(Z961,0),'P-Parametri'!$B$8*(Z961+Y961)))</f>
        <v>36937.916657430564</v>
      </c>
      <c r="AB961" s="18">
        <f>IF($A961&gt;'1-Input'!$B$26,Z961,Z961-MIN(MAX(Z961,0),'P-Parametri'!$B$8*(Z961+Y961)))</f>
        <v>267020.91738073551</v>
      </c>
      <c r="AC961" s="18">
        <f>IF($A961&gt;'1-Input'!$B$26,AC960,AC960-X961*(1-W961))</f>
        <v>187166.11165662258</v>
      </c>
      <c r="AD961" s="11">
        <f>IF($A961&gt;'1-Input'!$B$26,0,IF(AI960&lt;=0,0,MAX(0,(AI960-AJ960)/AI960)))</f>
        <v>0.27967583907424109</v>
      </c>
      <c r="AE961" s="18">
        <f>IF($A961&gt;'1-Input'!$B$26,0,(MAX(0,AD946-IF($A961&gt;='1-Input'!$C$12,'1-Input'!$B$12,0))-MIN(MAX(AH960,0),MAX(0,AD946-IF($A961&gt;='1-Input'!$C$12,'1-Input'!$B$12,0))))*(1/(1-'P-Parametri'!$B$6*AD961))+MIN(MAX(0,AI960-(MAX(0,AD946-IF($A961&gt;='1-Input'!$C$12,'1-Input'!$B$12,0))-MIN(MAX(AH960,0),MAX(0,AD946-IF($A961&gt;='1-Input'!$C$12,'1-Input'!$B$12,0))))*(1/(1-'P-Parametri'!$B$6*AD961))),MAX(0,2*AD946-(AH960-MIN(MAX(AH960,0),MAX(0,AD946-IF($A961&gt;='1-Input'!$C$12,'1-Input'!$B$12,0)))))*(1/(1-'P-Parametri'!$B$6*AD961))))</f>
        <v>20115.906830706186</v>
      </c>
      <c r="AF961" s="18">
        <f>IF($A961&gt;'1-Input'!$B$26,AH960,(AH960-MAX(0,AD946-IF($A961&gt;='1-Input'!$C$12,'1-Input'!$B$12,0))+AE961*(1-'P-Parametri'!$B$6*AD961))*(1+'1-Input'!$B$27))</f>
        <v>36906.300293679618</v>
      </c>
      <c r="AG961" s="18">
        <f>IF($A961&gt;'1-Input'!$B$26,AI960,(AI960-AE961)*(1+'5-Roberta'!$C$4))</f>
        <v>267939.5627575129</v>
      </c>
      <c r="AH961" s="18">
        <f>IF($A961&gt;'1-Input'!$B$26,AF961,AF961-'P-Parametri'!$B$8*(AG961+AF961)+MIN(MAX(AG961,0),'P-Parametri'!$B$8*(AG961+AF961)))</f>
        <v>36906.300293679618</v>
      </c>
      <c r="AI961" s="18">
        <f>IF($A961&gt;'1-Input'!$B$26,AG961,AG961-MIN(MAX(AG961,0),'P-Parametri'!$B$8*(AG961+AF961)))</f>
        <v>267329.87103141053</v>
      </c>
      <c r="AJ961" s="18">
        <f>IF($A961&gt;'1-Input'!$B$26,AJ960,AJ960-AE961*(1-AD961))</f>
        <v>187381.88419623318</v>
      </c>
      <c r="AK961" s="11">
        <f>IF($A961&gt;'1-Input'!$B$26,0,IF(AP960&lt;=0,0,MAX(0,(AP960-AQ960)/AP960)))</f>
        <v>0.27967577949727584</v>
      </c>
      <c r="AL961" s="18">
        <f>IF($A961&gt;'1-Input'!$B$26,0,(MAX(0,AK946-IF($A961&gt;='1-Input'!$C$12,'1-Input'!$B$12,0))-MIN(MAX(AO960,0),MAX(0,AK946-IF($A961&gt;='1-Input'!$C$12,'1-Input'!$B$12,0))))*(1/(1-'P-Parametri'!$B$6*AK961))+MIN(MAX(0,AP960-(MAX(0,AK946-IF($A961&gt;='1-Input'!$C$12,'1-Input'!$B$12,0))-MIN(MAX(AO960,0),MAX(0,AK946-IF($A961&gt;='1-Input'!$C$12,'1-Input'!$B$12,0))))*(1/(1-'P-Parametri'!$B$6*AK961))),MAX(0,2*AK946-(AO960-MIN(MAX(AO960,0),MAX(0,AK946-IF($A961&gt;='1-Input'!$C$12,'1-Input'!$B$12,0)))))*(1/(1-'P-Parametri'!$B$6*AK961))))</f>
        <v>20116.298454180265</v>
      </c>
      <c r="AM961" s="18">
        <f>IF($A961&gt;'1-Input'!$B$26,AO960,(AO960-MAX(0,AK946-IF($A961&gt;='1-Input'!$C$12,'1-Input'!$B$12,0))+AL961*(1-'P-Parametri'!$B$6*AK961))*(1+'1-Input'!$B$27))</f>
        <v>36907.019414897208</v>
      </c>
      <c r="AN961" s="18">
        <f>IF($A961&gt;'1-Input'!$B$26,AP960,(AP960-AL961)*(1+'5-Roberta'!$C$4))</f>
        <v>267932.52289393666</v>
      </c>
      <c r="AO961" s="18">
        <f>IF($A961&gt;'1-Input'!$B$26,AM961,AM961-'P-Parametri'!$B$8*(AN961+AM961)+MIN(MAX(AN961,0),'P-Parametri'!$B$8*(AN961+AM961)))</f>
        <v>36907.019414897208</v>
      </c>
      <c r="AP961" s="18">
        <f>IF($A961&gt;'1-Input'!$B$26,AN961,AN961-MIN(MAX(AN961,0),'P-Parametri'!$B$8*(AN961+AM961)))</f>
        <v>267322.84380931902</v>
      </c>
      <c r="AQ961" s="18">
        <f>IF($A961&gt;'1-Input'!$B$26,AQ960,AQ960-AL961*(1-AK961))</f>
        <v>187376.97640864391</v>
      </c>
    </row>
    <row r="962" spans="1:43">
      <c r="A962" s="10">
        <f>14</f>
        <v>14</v>
      </c>
      <c r="B962" s="11">
        <f>IF($A962&gt;'1-Input'!$B$26,0,IF(G961&lt;=0,0,MAX(0,(G961-H961)/G961)))</f>
        <v>0.29937784859596833</v>
      </c>
      <c r="C962" s="18">
        <f>IF($A962&gt;'1-Input'!$B$26,0,(MAX(0,B946-IF($A962&gt;='1-Input'!$C$12,'1-Input'!$B$12,0))-MIN(MAX(F961,0),MAX(0,B946-IF($A962&gt;='1-Input'!$C$12,'1-Input'!$B$12,0))))*(1/(1-'P-Parametri'!$B$6*B962))+MIN(MAX(0,G961-(MAX(0,B946-IF($A962&gt;='1-Input'!$C$12,'1-Input'!$B$12,0))-MIN(MAX(F961,0),MAX(0,B946-IF($A962&gt;='1-Input'!$C$12,'1-Input'!$B$12,0))))*(1/(1-'P-Parametri'!$B$6*B962))),MAX(0,2*B946-(F961-MIN(MAX(F961,0),MAX(0,B946-IF($A962&gt;='1-Input'!$C$12,'1-Input'!$B$12,0)))))*(1/(1-'P-Parametri'!$B$6*B962))))</f>
        <v>18219.318619825979</v>
      </c>
      <c r="D962" s="18">
        <f>IF($A962&gt;'1-Input'!$B$26,F961,(F961-MAX(0,B946-IF($A962&gt;='1-Input'!$C$12,'1-Input'!$B$12,0))+C962*(1-'P-Parametri'!$B$6*B962))*(1+'1-Input'!$B$27))</f>
        <v>33242.0070309863</v>
      </c>
      <c r="E962" s="18">
        <f>IF($A962&gt;'1-Input'!$B$26,G961,(G961-C962)*(1+'5-Roberta'!$C$4))</f>
        <v>293466.98839576979</v>
      </c>
      <c r="F962" s="18">
        <f>IF($A962&gt;'1-Input'!$B$26,D962,D962-'P-Parametri'!$B$8*(E962+D962)+MIN(MAX(E962,0),'P-Parametri'!$B$8*(E962+D962)))</f>
        <v>33242.0070309863</v>
      </c>
      <c r="G962" s="18">
        <f>IF($A962&gt;'1-Input'!$B$26,E962,E962-MIN(MAX(E962,0),'P-Parametri'!$B$8*(E962+D962)))</f>
        <v>292813.5704049163</v>
      </c>
      <c r="H962" s="18">
        <f>IF($A962&gt;'1-Input'!$B$26,H961,H961-C962*(1-B962))</f>
        <v>199620.84735524876</v>
      </c>
      <c r="I962" s="11">
        <f>IF($A962&gt;'1-Input'!$B$26,0,IF(N961&lt;=0,0,MAX(0,(N961-O961)/N961)))</f>
        <v>0.29831516339076919</v>
      </c>
      <c r="J962" s="18">
        <f>IF($A962&gt;'1-Input'!$B$26,0,(MAX(0,I946-IF($A962&gt;='1-Input'!$C$12,'1-Input'!$B$12,0))-MIN(MAX(M961,0),MAX(0,I946-IF($A962&gt;='1-Input'!$C$12,'1-Input'!$B$12,0))))*(1/(1-'P-Parametri'!$B$6*I962))+MIN(MAX(0,N961-(MAX(0,I946-IF($A962&gt;='1-Input'!$C$12,'1-Input'!$B$12,0))-MIN(MAX(M961,0),MAX(0,I946-IF($A962&gt;='1-Input'!$C$12,'1-Input'!$B$12,0))))*(1/(1-'P-Parametri'!$B$6*I962))),MAX(0,2*I946-(M961-MIN(MAX(M961,0),MAX(0,I946-IF($A962&gt;='1-Input'!$C$12,'1-Input'!$B$12,0)))))*(1/(1-'P-Parametri'!$B$6*I962))))</f>
        <v>23965.607081250346</v>
      </c>
      <c r="K962" s="18">
        <f>IF($A962&gt;'1-Input'!$B$26,M961,(M961-MAX(0,I946-IF($A962&gt;='1-Input'!$C$12,'1-Input'!$B$12,0))+J962*(1-'P-Parametri'!$B$6*I962))*(1+'1-Input'!$B$27))</f>
        <v>43739.482935508291</v>
      </c>
      <c r="L962" s="18">
        <f>IF($A962&gt;'1-Input'!$B$26,N961,(N961-J962)*(1+'5-Roberta'!$C$4))</f>
        <v>181894.80915322501</v>
      </c>
      <c r="M962" s="18">
        <f>IF($A962&gt;'1-Input'!$B$26,K962,K962-'P-Parametri'!$B$8*(L962+K962)+MIN(MAX(L962,0),'P-Parametri'!$B$8*(L962+K962)))</f>
        <v>43739.482935508291</v>
      </c>
      <c r="N962" s="18">
        <f>IF($A962&gt;'1-Input'!$B$26,L962,L962-MIN(MAX(L962,0),'P-Parametri'!$B$8*(L962+K962)))</f>
        <v>181443.54056904753</v>
      </c>
      <c r="O962" s="18">
        <f>IF($A962&gt;'1-Input'!$B$26,O961,O961-J962*(1-I962))</f>
        <v>123915.36838907564</v>
      </c>
      <c r="P962" s="11">
        <f>IF($A962&gt;'1-Input'!$B$26,0,IF(U961&lt;=0,0,MAX(0,(U961-V961)/U961)))</f>
        <v>0.29900916343587275</v>
      </c>
      <c r="Q962" s="18">
        <f>IF($A962&gt;'1-Input'!$B$26,0,(MAX(0,P946-IF($A962&gt;='1-Input'!$C$12,'1-Input'!$B$12,0))-MIN(MAX(T961,0),MAX(0,P946-IF($A962&gt;='1-Input'!$C$12,'1-Input'!$B$12,0))))*(1/(1-'P-Parametri'!$B$6*P962))+MIN(MAX(0,U961-(MAX(0,P946-IF($A962&gt;='1-Input'!$C$12,'1-Input'!$B$12,0))-MIN(MAX(T961,0),MAX(0,P946-IF($A962&gt;='1-Input'!$C$12,'1-Input'!$B$12,0))))*(1/(1-'P-Parametri'!$B$6*P962))),MAX(0,2*P946-(T961-MIN(MAX(T961,0),MAX(0,P946-IF($A962&gt;='1-Input'!$C$12,'1-Input'!$B$12,0)))))*(1/(1-'P-Parametri'!$B$6*P962))))</f>
        <v>20528.734909445484</v>
      </c>
      <c r="R962" s="18">
        <f>IF($A962&gt;'1-Input'!$B$26,T961,(T961-MAX(0,P946-IF($A962&gt;='1-Input'!$C$12,'1-Input'!$B$12,0))+Q962*(1-'P-Parametri'!$B$6*P962))*(1+'1-Input'!$B$27))</f>
        <v>37459.539579583834</v>
      </c>
      <c r="S962" s="18">
        <f>IF($A962&gt;'1-Input'!$B$26,U961,(U961-Q962)*(1+'5-Roberta'!$C$4))</f>
        <v>248636.79048050041</v>
      </c>
      <c r="T962" s="18">
        <f>IF($A962&gt;'1-Input'!$B$26,R962,R962-'P-Parametri'!$B$8*(S962+R962)+MIN(MAX(S962,0),'P-Parametri'!$B$8*(S962+R962)))</f>
        <v>37459.539579583834</v>
      </c>
      <c r="U962" s="18">
        <f>IF($A962&gt;'1-Input'!$B$26,S962,S962-MIN(MAX(S962,0),'P-Parametri'!$B$8*(S962+R962)))</f>
        <v>248064.59782038024</v>
      </c>
      <c r="V962" s="18">
        <f>IF($A962&gt;'1-Input'!$B$26,V961,V961-Q962*(1-P962))</f>
        <v>169215.64248499574</v>
      </c>
      <c r="W962" s="11">
        <f>IF($A962&gt;'1-Input'!$B$26,0,IF(AB961&lt;=0,0,MAX(0,(AB961-AC961)/AB961)))</f>
        <v>0.29905824048327584</v>
      </c>
      <c r="X962" s="18">
        <f>IF($A962&gt;'1-Input'!$B$26,0,(MAX(0,W946-IF($A962&gt;='1-Input'!$C$12,'1-Input'!$B$12,0))-MIN(MAX(AA961,0),MAX(0,W946-IF($A962&gt;='1-Input'!$C$12,'1-Input'!$B$12,0))))*(1/(1-'P-Parametri'!$B$6*W962))+MIN(MAX(0,AB961-(MAX(0,W946-IF($A962&gt;='1-Input'!$C$12,'1-Input'!$B$12,0))-MIN(MAX(AA961,0),MAX(0,W946-IF($A962&gt;='1-Input'!$C$12,'1-Input'!$B$12,0))))*(1/(1-'P-Parametri'!$B$6*W962))),MAX(0,2*W946-(AA961-MIN(MAX(AA961,0),MAX(0,W946-IF($A962&gt;='1-Input'!$C$12,'1-Input'!$B$12,0)))))*(1/(1-'P-Parametri'!$B$6*W962))))</f>
        <v>20243.152992249146</v>
      </c>
      <c r="Y962" s="18">
        <f>IF($A962&gt;'1-Input'!$B$26,AA961,(AA961-MAX(0,W946-IF($A962&gt;='1-Input'!$C$12,'1-Input'!$B$12,0))+X962*(1-'P-Parametri'!$B$6*W962))*(1+'1-Input'!$B$27))</f>
        <v>36937.916657430564</v>
      </c>
      <c r="Z962" s="18">
        <f>IF($A962&gt;'1-Input'!$B$26,AB961,(AB961-X962)*(1+'5-Roberta'!$C$4))</f>
        <v>254181.09732014095</v>
      </c>
      <c r="AA962" s="18">
        <f>IF($A962&gt;'1-Input'!$B$26,Y962,Y962-'P-Parametri'!$B$8*(Z962+Y962)+MIN(MAX(Z962,0),'P-Parametri'!$B$8*(Z962+Y962)))</f>
        <v>36937.916657430564</v>
      </c>
      <c r="AB962" s="18">
        <f>IF($A962&gt;'1-Input'!$B$26,Z962,Z962-MIN(MAX(Z962,0),'P-Parametri'!$B$8*(Z962+Y962)))</f>
        <v>253598.85929218581</v>
      </c>
      <c r="AC962" s="18">
        <f>IF($A962&gt;'1-Input'!$B$26,AC961,AC961-X962*(1-W962))</f>
        <v>172976.84038006922</v>
      </c>
      <c r="AD962" s="11">
        <f>IF($A962&gt;'1-Input'!$B$26,0,IF(AI961&lt;=0,0,MAX(0,(AI961-AJ961)/AI961)))</f>
        <v>0.29906118058084008</v>
      </c>
      <c r="AE962" s="18">
        <f>IF($A962&gt;'1-Input'!$B$26,0,(MAX(0,AD946-IF($A962&gt;='1-Input'!$C$12,'1-Input'!$B$12,0))-MIN(MAX(AH961,0),MAX(0,AD946-IF($A962&gt;='1-Input'!$C$12,'1-Input'!$B$12,0))))*(1/(1-'P-Parametri'!$B$6*AD962))+MIN(MAX(0,AI961-(MAX(0,AD946-IF($A962&gt;='1-Input'!$C$12,'1-Input'!$B$12,0))-MIN(MAX(AH961,0),MAX(0,AD946-IF($A962&gt;='1-Input'!$C$12,'1-Input'!$B$12,0))))*(1/(1-'P-Parametri'!$B$6*AD962))),MAX(0,2*AD946-(AH961-MIN(MAX(AH961,0),MAX(0,AD946-IF($A962&gt;='1-Input'!$C$12,'1-Input'!$B$12,0)))))*(1/(1-'P-Parametri'!$B$6*AD962))))</f>
        <v>20225.842984168692</v>
      </c>
      <c r="AF962" s="18">
        <f>IF($A962&gt;'1-Input'!$B$26,AH961,(AH961-MAX(0,AD946-IF($A962&gt;='1-Input'!$C$12,'1-Input'!$B$12,0))+AE962*(1-'P-Parametri'!$B$6*AD962))*(1+'1-Input'!$B$27))</f>
        <v>36906.300293679618</v>
      </c>
      <c r="AG962" s="18">
        <f>IF($A962&gt;'1-Input'!$B$26,AI961,(AI961-AE962)*(1+'5-Roberta'!$C$4))</f>
        <v>254517.14888865908</v>
      </c>
      <c r="AH962" s="18">
        <f>IF($A962&gt;'1-Input'!$B$26,AF962,AF962-'P-Parametri'!$B$8*(AG962+AF962)+MIN(MAX(AG962,0),'P-Parametri'!$B$8*(AG962+AF962)))</f>
        <v>36906.300293679618</v>
      </c>
      <c r="AI962" s="18">
        <f>IF($A962&gt;'1-Input'!$B$26,AG962,AG962-MIN(MAX(AG962,0),'P-Parametri'!$B$8*(AG962+AF962)))</f>
        <v>253934.30199029439</v>
      </c>
      <c r="AJ962" s="18">
        <f>IF($A962&gt;'1-Input'!$B$26,AJ961,AJ961-AE962*(1-AD962))</f>
        <v>173204.80569315268</v>
      </c>
      <c r="AK962" s="11">
        <f>IF($A962&gt;'1-Input'!$B$26,0,IF(AP961&lt;=0,0,MAX(0,(AP961-AQ961)/AP961)))</f>
        <v>0.29906111375090855</v>
      </c>
      <c r="AL962" s="18">
        <f>IF($A962&gt;'1-Input'!$B$26,0,(MAX(0,AK946-IF($A962&gt;='1-Input'!$C$12,'1-Input'!$B$12,0))-MIN(MAX(AO961,0),MAX(0,AK946-IF($A962&gt;='1-Input'!$C$12,'1-Input'!$B$12,0))))*(1/(1-'P-Parametri'!$B$6*AK962))+MIN(MAX(0,AP961-(MAX(0,AK946-IF($A962&gt;='1-Input'!$C$12,'1-Input'!$B$12,0))-MIN(MAX(AO961,0),MAX(0,AK946-IF($A962&gt;='1-Input'!$C$12,'1-Input'!$B$12,0))))*(1/(1-'P-Parametri'!$B$6*AK962))),MAX(0,2*AK946-(AO961-MIN(MAX(AO961,0),MAX(0,AK946-IF($A962&gt;='1-Input'!$C$12,'1-Input'!$B$12,0)))))*(1/(1-'P-Parametri'!$B$6*AK962))))</f>
        <v>20226.236704713672</v>
      </c>
      <c r="AM962" s="18">
        <f>IF($A962&gt;'1-Input'!$B$26,AO961,(AO961-MAX(0,AK946-IF($A962&gt;='1-Input'!$C$12,'1-Input'!$B$12,0))+AL962*(1-'P-Parametri'!$B$6*AK962))*(1+'1-Input'!$B$27))</f>
        <v>36907.0194148972</v>
      </c>
      <c r="AN962" s="18">
        <f>IF($A962&gt;'1-Input'!$B$26,AP961,(AP961-AL962)*(1+'5-Roberta'!$C$4))</f>
        <v>254509.50531774352</v>
      </c>
      <c r="AO962" s="18">
        <f>IF($A962&gt;'1-Input'!$B$26,AM962,AM962-'P-Parametri'!$B$8*(AN962+AM962)+MIN(MAX(AN962,0),'P-Parametri'!$B$8*(AN962+AM962)))</f>
        <v>36907.0194148972</v>
      </c>
      <c r="AP962" s="18">
        <f>IF($A962&gt;'1-Input'!$B$26,AN962,AN962-MIN(MAX(AN962,0),'P-Parametri'!$B$8*(AN962+AM962)))</f>
        <v>253926.67226827823</v>
      </c>
      <c r="AQ962" s="18">
        <f>IF($A962&gt;'1-Input'!$B$26,AQ961,AQ961-AL962*(1-AK962))</f>
        <v>173199.62057983142</v>
      </c>
    </row>
    <row r="963" spans="1:43">
      <c r="A963" s="10">
        <f>15</f>
        <v>15</v>
      </c>
      <c r="B963" s="11">
        <f>IF($A963&gt;'1-Input'!$B$26,0,IF(G962&lt;=0,0,MAX(0,(G962-H962)/G962)))</f>
        <v>0.31826640725973282</v>
      </c>
      <c r="C963" s="18">
        <f>IF($A963&gt;'1-Input'!$B$26,0,(MAX(0,B946-IF($A963&gt;='1-Input'!$C$12,'1-Input'!$B$12,0))-MIN(MAX(F962,0),MAX(0,B946-IF($A963&gt;='1-Input'!$C$12,'1-Input'!$B$12,0))))*(1/(1-'P-Parametri'!$B$6*B963))+MIN(MAX(0,G962-(MAX(0,B946-IF($A963&gt;='1-Input'!$C$12,'1-Input'!$B$12,0))-MIN(MAX(F962,0),MAX(0,B946-IF($A963&gt;='1-Input'!$C$12,'1-Input'!$B$12,0))))*(1/(1-'P-Parametri'!$B$6*B963))),MAX(0,2*B946-(F962-MIN(MAX(F962,0),MAX(0,B946-IF($A963&gt;='1-Input'!$C$12,'1-Input'!$B$12,0)))))*(1/(1-'P-Parametri'!$B$6*B963))))</f>
        <v>18316.866139276397</v>
      </c>
      <c r="D963" s="18">
        <f>IF($A963&gt;'1-Input'!$B$26,F962,(F962-MAX(0,B946-IF($A963&gt;='1-Input'!$C$12,'1-Input'!$B$12,0))+C963*(1-'P-Parametri'!$B$6*B963))*(1+'1-Input'!$B$27))</f>
        <v>33242.0070309863</v>
      </c>
      <c r="E963" s="18">
        <f>IF($A963&gt;'1-Input'!$B$26,G962,(G962-C963)*(1+'5-Roberta'!$C$4))</f>
        <v>282731.60539360909</v>
      </c>
      <c r="F963" s="18">
        <f>IF($A963&gt;'1-Input'!$B$26,D963,D963-'P-Parametri'!$B$8*(E963+D963)+MIN(MAX(E963,0),'P-Parametri'!$B$8*(E963+D963)))</f>
        <v>33242.0070309863</v>
      </c>
      <c r="G963" s="18">
        <f>IF($A963&gt;'1-Input'!$B$26,E963,E963-MIN(MAX(E963,0),'P-Parametri'!$B$8*(E963+D963)))</f>
        <v>282099.6581687599</v>
      </c>
      <c r="H963" s="18">
        <f>IF($A963&gt;'1-Input'!$B$26,H962,H962-C963*(1-B963))</f>
        <v>187133.62439437732</v>
      </c>
      <c r="I963" s="11">
        <f>IF($A963&gt;'1-Input'!$B$26,0,IF(N962&lt;=0,0,MAX(0,(N962-O962)/N962)))</f>
        <v>0.31705825404172933</v>
      </c>
      <c r="J963" s="18">
        <f>IF($A963&gt;'1-Input'!$B$26,0,(MAX(0,I946-IF($A963&gt;='1-Input'!$C$12,'1-Input'!$B$12,0))-MIN(MAX(M962,0),MAX(0,I946-IF($A963&gt;='1-Input'!$C$12,'1-Input'!$B$12,0))))*(1/(1-'P-Parametri'!$B$6*I963))+MIN(MAX(0,N962-(MAX(0,I946-IF($A963&gt;='1-Input'!$C$12,'1-Input'!$B$12,0))-MIN(MAX(M962,0),MAX(0,I946-IF($A963&gt;='1-Input'!$C$12,'1-Input'!$B$12,0))))*(1/(1-'P-Parametri'!$B$6*I963))),MAX(0,2*I946-(M962-MIN(MAX(M962,0),MAX(0,I946-IF($A963&gt;='1-Input'!$C$12,'1-Input'!$B$12,0)))))*(1/(1-'P-Parametri'!$B$6*I963))))</f>
        <v>24092.888854811015</v>
      </c>
      <c r="K963" s="18">
        <f>IF($A963&gt;'1-Input'!$B$26,M962,(M962-MAX(0,I946-IF($A963&gt;='1-Input'!$C$12,'1-Input'!$B$12,0))+J963*(1-'P-Parametri'!$B$6*I963))*(1+'1-Input'!$B$27))</f>
        <v>43739.482935508291</v>
      </c>
      <c r="L963" s="18">
        <f>IF($A963&gt;'1-Input'!$B$26,N962,(N962-J963)*(1+'5-Roberta'!$C$4))</f>
        <v>162071.17126566361</v>
      </c>
      <c r="M963" s="18">
        <f>IF($A963&gt;'1-Input'!$B$26,K963,K963-'P-Parametri'!$B$8*(L963+K963)+MIN(MAX(L963,0),'P-Parametri'!$B$8*(L963+K963)))</f>
        <v>43739.482935508291</v>
      </c>
      <c r="N963" s="18">
        <f>IF($A963&gt;'1-Input'!$B$26,L963,L963-MIN(MAX(L963,0),'P-Parametri'!$B$8*(L963+K963)))</f>
        <v>161659.54995726128</v>
      </c>
      <c r="O963" s="18">
        <f>IF($A963&gt;'1-Input'!$B$26,O962,O962-J963*(1-I963))</f>
        <v>107461.32880939243</v>
      </c>
      <c r="P963" s="11">
        <f>IF($A963&gt;'1-Input'!$B$26,0,IF(U962&lt;=0,0,MAX(0,(U962-V962)/U962)))</f>
        <v>0.31785654232079424</v>
      </c>
      <c r="Q963" s="18">
        <f>IF($A963&gt;'1-Input'!$B$26,0,(MAX(0,P946-IF($A963&gt;='1-Input'!$C$12,'1-Input'!$B$12,0))-MIN(MAX(T962,0),MAX(0,P946-IF($A963&gt;='1-Input'!$C$12,'1-Input'!$B$12,0))))*(1/(1-'P-Parametri'!$B$6*P963))+MIN(MAX(0,U962-(MAX(0,P946-IF($A963&gt;='1-Input'!$C$12,'1-Input'!$B$12,0))-MIN(MAX(T962,0),MAX(0,P946-IF($A963&gt;='1-Input'!$C$12,'1-Input'!$B$12,0))))*(1/(1-'P-Parametri'!$B$6*P963))),MAX(0,2*P946-(T962-MIN(MAX(T962,0),MAX(0,P946-IF($A963&gt;='1-Input'!$C$12,'1-Input'!$B$12,0)))))*(1/(1-'P-Parametri'!$B$6*P963))))</f>
        <v>20638.394842140529</v>
      </c>
      <c r="R963" s="18">
        <f>IF($A963&gt;'1-Input'!$B$26,T962,(T962-MAX(0,P946-IF($A963&gt;='1-Input'!$C$12,'1-Input'!$B$12,0))+Q963*(1-'P-Parametri'!$B$6*P963))*(1+'1-Input'!$B$27))</f>
        <v>37459.539579583834</v>
      </c>
      <c r="S963" s="18">
        <f>IF($A963&gt;'1-Input'!$B$26,U962,(U962-Q963)*(1+'5-Roberta'!$C$4))</f>
        <v>234248.98906758692</v>
      </c>
      <c r="T963" s="18">
        <f>IF($A963&gt;'1-Input'!$B$26,R963,R963-'P-Parametri'!$B$8*(S963+R963)+MIN(MAX(S963,0),'P-Parametri'!$B$8*(S963+R963)))</f>
        <v>37459.539579583834</v>
      </c>
      <c r="U963" s="18">
        <f>IF($A963&gt;'1-Input'!$B$26,S963,S963-MIN(MAX(S963,0),'P-Parametri'!$B$8*(S963+R963)))</f>
        <v>233705.57201029258</v>
      </c>
      <c r="V963" s="18">
        <f>IF($A963&gt;'1-Input'!$B$26,V962,V962-Q963*(1-P963))</f>
        <v>155137.29646642931</v>
      </c>
      <c r="W963" s="11">
        <f>IF($A963&gt;'1-Input'!$B$26,0,IF(AB962&lt;=0,0,MAX(0,(AB962-AC962)/AB962)))</f>
        <v>0.31791159919701112</v>
      </c>
      <c r="X963" s="18">
        <f>IF($A963&gt;'1-Input'!$B$26,0,(MAX(0,W946-IF($A963&gt;='1-Input'!$C$12,'1-Input'!$B$12,0))-MIN(MAX(AA962,0),MAX(0,W946-IF($A963&gt;='1-Input'!$C$12,'1-Input'!$B$12,0))))*(1/(1-'P-Parametri'!$B$6*W963))+MIN(MAX(0,AB962-(MAX(0,W946-IF($A963&gt;='1-Input'!$C$12,'1-Input'!$B$12,0))-MIN(MAX(AA962,0),MAX(0,W946-IF($A963&gt;='1-Input'!$C$12,'1-Input'!$B$12,0))))*(1/(1-'P-Parametri'!$B$6*W963))),MAX(0,2*W946-(AA962-MIN(MAX(AA962,0),MAX(0,W946-IF($A963&gt;='1-Input'!$C$12,'1-Input'!$B$12,0)))))*(1/(1-'P-Parametri'!$B$6*W963))))</f>
        <v>20351.323406338219</v>
      </c>
      <c r="Y963" s="18">
        <f>IF($A963&gt;'1-Input'!$B$26,AA962,(AA962-MAX(0,W946-IF($A963&gt;='1-Input'!$C$12,'1-Input'!$B$12,0))+X963*(1-'P-Parametri'!$B$6*W963))*(1+'1-Input'!$B$27))</f>
        <v>36937.916657430556</v>
      </c>
      <c r="Z963" s="18">
        <f>IF($A963&gt;'1-Input'!$B$26,AB962,(AB962-X963)*(1+'5-Roberta'!$C$4))</f>
        <v>240244.96196242303</v>
      </c>
      <c r="AA963" s="18">
        <f>IF($A963&gt;'1-Input'!$B$26,Y963,Y963-'P-Parametri'!$B$8*(Z963+Y963)+MIN(MAX(Z963,0),'P-Parametri'!$B$8*(Z963+Y963)))</f>
        <v>36937.916657430556</v>
      </c>
      <c r="AB963" s="18">
        <f>IF($A963&gt;'1-Input'!$B$26,Z963,Z963-MIN(MAX(Z963,0),'P-Parametri'!$B$8*(Z963+Y963)))</f>
        <v>239690.5962051833</v>
      </c>
      <c r="AC963" s="18">
        <f>IF($A963&gt;'1-Input'!$B$26,AC962,AC962-X963*(1-W963))</f>
        <v>159095.43874361555</v>
      </c>
      <c r="AD963" s="11">
        <f>IF($A963&gt;'1-Input'!$B$26,0,IF(AI962&lt;=0,0,MAX(0,(AI962-AJ962)/AI962)))</f>
        <v>0.31791489241271259</v>
      </c>
      <c r="AE963" s="18">
        <f>IF($A963&gt;'1-Input'!$B$26,0,(MAX(0,AD946-IF($A963&gt;='1-Input'!$C$12,'1-Input'!$B$12,0))-MIN(MAX(AH962,0),MAX(0,AD946-IF($A963&gt;='1-Input'!$C$12,'1-Input'!$B$12,0))))*(1/(1-'P-Parametri'!$B$6*AD963))+MIN(MAX(0,AI962-(MAX(0,AD946-IF($A963&gt;='1-Input'!$C$12,'1-Input'!$B$12,0))-MIN(MAX(AH962,0),MAX(0,AD946-IF($A963&gt;='1-Input'!$C$12,'1-Input'!$B$12,0))))*(1/(1-'P-Parametri'!$B$6*AD963))),MAX(0,2*AD946-(AH962-MIN(MAX(AH962,0),MAX(0,AD946-IF($A963&gt;='1-Input'!$C$12,'1-Input'!$B$12,0)))))*(1/(1-'P-Parametri'!$B$6*AD963))))</f>
        <v>20333.923026416363</v>
      </c>
      <c r="AF963" s="18">
        <f>IF($A963&gt;'1-Input'!$B$26,AH962,(AH962-MAX(0,AD946-IF($A963&gt;='1-Input'!$C$12,'1-Input'!$B$12,0))+AE963*(1-'P-Parametri'!$B$6*AD963))*(1+'1-Input'!$B$27))</f>
        <v>36906.300293679618</v>
      </c>
      <c r="AG963" s="18">
        <f>IF($A963&gt;'1-Input'!$B$26,AI962,(AI962-AE963)*(1+'5-Roberta'!$C$4))</f>
        <v>240608.39033279437</v>
      </c>
      <c r="AH963" s="18">
        <f>IF($A963&gt;'1-Input'!$B$26,AF963,AF963-'P-Parametri'!$B$8*(AG963+AF963)+MIN(MAX(AG963,0),'P-Parametri'!$B$8*(AG963+AF963)))</f>
        <v>36906.300293679618</v>
      </c>
      <c r="AI963" s="18">
        <f>IF($A963&gt;'1-Input'!$B$26,AG963,AG963-MIN(MAX(AG963,0),'P-Parametri'!$B$8*(AG963+AF963)))</f>
        <v>240053.36095154143</v>
      </c>
      <c r="AJ963" s="18">
        <f>IF($A963&gt;'1-Input'!$B$26,AJ962,AJ962-AE963*(1-AD963))</f>
        <v>159335.33961800786</v>
      </c>
      <c r="AK963" s="11">
        <f>IF($A963&gt;'1-Input'!$B$26,0,IF(AP962&lt;=0,0,MAX(0,(AP962-AQ962)/AP962)))</f>
        <v>0.3179148175625961</v>
      </c>
      <c r="AL963" s="18">
        <f>IF($A963&gt;'1-Input'!$B$26,0,(MAX(0,AK946-IF($A963&gt;='1-Input'!$C$12,'1-Input'!$B$12,0))-MIN(MAX(AO962,0),MAX(0,AK946-IF($A963&gt;='1-Input'!$C$12,'1-Input'!$B$12,0))))*(1/(1-'P-Parametri'!$B$6*AK963))+MIN(MAX(0,AP962-(MAX(0,AK946-IF($A963&gt;='1-Input'!$C$12,'1-Input'!$B$12,0))-MIN(MAX(AO962,0),MAX(0,AK946-IF($A963&gt;='1-Input'!$C$12,'1-Input'!$B$12,0))))*(1/(1-'P-Parametri'!$B$6*AK963))),MAX(0,2*AK946-(AO962-MIN(MAX(AO962,0),MAX(0,AK946-IF($A963&gt;='1-Input'!$C$12,'1-Input'!$B$12,0)))))*(1/(1-'P-Parametri'!$B$6*AK963))))</f>
        <v>20334.318802600348</v>
      </c>
      <c r="AM963" s="18">
        <f>IF($A963&gt;'1-Input'!$B$26,AO962,(AO962-MAX(0,AK946-IF($A963&gt;='1-Input'!$C$12,'1-Input'!$B$12,0))+AL963*(1-'P-Parametri'!$B$6*AK963))*(1+'1-Input'!$B$27))</f>
        <v>36907.019414897208</v>
      </c>
      <c r="AN963" s="18">
        <f>IF($A963&gt;'1-Input'!$B$26,AP962,(AP962-AL963)*(1+'5-Roberta'!$C$4))</f>
        <v>240600.12406964821</v>
      </c>
      <c r="AO963" s="18">
        <f>IF($A963&gt;'1-Input'!$B$26,AM963,AM963-'P-Parametri'!$B$8*(AN963+AM963)+MIN(MAX(AN963,0),'P-Parametri'!$B$8*(AN963+AM963)))</f>
        <v>36907.019414897208</v>
      </c>
      <c r="AP963" s="18">
        <f>IF($A963&gt;'1-Input'!$B$26,AN963,AN963-MIN(MAX(AN963,0),'P-Parametri'!$B$8*(AN963+AM963)))</f>
        <v>240045.10978267912</v>
      </c>
      <c r="AQ963" s="18">
        <f>IF($A963&gt;'1-Input'!$B$26,AQ962,AQ962-AL963*(1-AK963))</f>
        <v>159329.88302961944</v>
      </c>
    </row>
    <row r="964" spans="1:43">
      <c r="A964" s="10">
        <f>16</f>
        <v>16</v>
      </c>
      <c r="B964" s="11">
        <f>IF($A964&gt;'1-Input'!$B$26,0,IF(G963&lt;=0,0,MAX(0,(G963-H963)/G963)))</f>
        <v>0.33664001718701569</v>
      </c>
      <c r="C964" s="18">
        <f>IF($A964&gt;'1-Input'!$B$26,0,(MAX(0,B946-IF($A964&gt;='1-Input'!$C$12,'1-Input'!$B$12,0))-MIN(MAX(F963,0),MAX(0,B946-IF($A964&gt;='1-Input'!$C$12,'1-Input'!$B$12,0))))*(1/(1-'P-Parametri'!$B$6*B964))+MIN(MAX(0,G963-(MAX(0,B946-IF($A964&gt;='1-Input'!$C$12,'1-Input'!$B$12,0))-MIN(MAX(F963,0),MAX(0,B946-IF($A964&gt;='1-Input'!$C$12,'1-Input'!$B$12,0))))*(1/(1-'P-Parametri'!$B$6*B964))),MAX(0,2*B946-(F963-MIN(MAX(F963,0),MAX(0,B946-IF($A964&gt;='1-Input'!$C$12,'1-Input'!$B$12,0)))))*(1/(1-'P-Parametri'!$B$6*B964))))</f>
        <v>18412.761744746171</v>
      </c>
      <c r="D964" s="18">
        <f>IF($A964&gt;'1-Input'!$B$26,F963,(F963-MAX(0,B946-IF($A964&gt;='1-Input'!$C$12,'1-Input'!$B$12,0))+C964*(1-'P-Parametri'!$B$6*B964))*(1+'1-Input'!$B$27))</f>
        <v>33242.0070309863</v>
      </c>
      <c r="E964" s="18">
        <f>IF($A964&gt;'1-Input'!$B$26,G963,(G963-C964)*(1+'5-Roberta'!$C$4))</f>
        <v>271597.50331673416</v>
      </c>
      <c r="F964" s="18">
        <f>IF($A964&gt;'1-Input'!$B$26,D964,D964-'P-Parametri'!$B$8*(E964+D964)+MIN(MAX(E964,0),'P-Parametri'!$B$8*(E964+D964)))</f>
        <v>33242.0070309863</v>
      </c>
      <c r="G964" s="18">
        <f>IF($A964&gt;'1-Input'!$B$26,E964,E964-MIN(MAX(E964,0),'P-Parametri'!$B$8*(E964+D964)))</f>
        <v>270987.82429603871</v>
      </c>
      <c r="H964" s="18">
        <f>IF($A964&gt;'1-Input'!$B$26,H963,H963-C964*(1-B964))</f>
        <v>174919.33507984292</v>
      </c>
      <c r="I964" s="11">
        <f>IF($A964&gt;'1-Input'!$B$26,0,IF(N963&lt;=0,0,MAX(0,(N963-O963)/N963)))</f>
        <v>0.33526148725638227</v>
      </c>
      <c r="J964" s="18">
        <f>IF($A964&gt;'1-Input'!$B$26,0,(MAX(0,I946-IF($A964&gt;='1-Input'!$C$12,'1-Input'!$B$12,0))-MIN(MAX(M963,0),MAX(0,I946-IF($A964&gt;='1-Input'!$C$12,'1-Input'!$B$12,0))))*(1/(1-'P-Parametri'!$B$6*I964))+MIN(MAX(0,N963-(MAX(0,I946-IF($A964&gt;='1-Input'!$C$12,'1-Input'!$B$12,0))-MIN(MAX(M963,0),MAX(0,I946-IF($A964&gt;='1-Input'!$C$12,'1-Input'!$B$12,0))))*(1/(1-'P-Parametri'!$B$6*I964))),MAX(0,2*I946-(M963-MIN(MAX(M963,0),MAX(0,I946-IF($A964&gt;='1-Input'!$C$12,'1-Input'!$B$12,0)))))*(1/(1-'P-Parametri'!$B$6*I964))))</f>
        <v>24217.805380242906</v>
      </c>
      <c r="K964" s="18">
        <f>IF($A964&gt;'1-Input'!$B$26,M963,(M963-MAX(0,I946-IF($A964&gt;='1-Input'!$C$12,'1-Input'!$B$12,0))+J964*(1-'P-Parametri'!$B$6*I964))*(1+'1-Input'!$B$27))</f>
        <v>43739.482935508291</v>
      </c>
      <c r="L964" s="18">
        <f>IF($A964&gt;'1-Input'!$B$26,N963,(N963-J964)*(1+'5-Roberta'!$C$4))</f>
        <v>141564.99691432892</v>
      </c>
      <c r="M964" s="18">
        <f>IF($A964&gt;'1-Input'!$B$26,K964,K964-'P-Parametri'!$B$8*(L964+K964)+MIN(MAX(L964,0),'P-Parametri'!$B$8*(L964+K964)))</f>
        <v>43739.482935508291</v>
      </c>
      <c r="N964" s="18">
        <f>IF($A964&gt;'1-Input'!$B$26,L964,L964-MIN(MAX(L964,0),'P-Parametri'!$B$8*(L964+K964)))</f>
        <v>141194.38795462926</v>
      </c>
      <c r="O964" s="18">
        <f>IF($A964&gt;'1-Input'!$B$26,O963,O963-J964*(1-I964))</f>
        <v>91362.820879015388</v>
      </c>
      <c r="P964" s="11">
        <f>IF($A964&gt;'1-Input'!$B$26,0,IF(U963&lt;=0,0,MAX(0,(U963-V963)/U963)))</f>
        <v>0.33618486229503791</v>
      </c>
      <c r="Q964" s="18">
        <f>IF($A964&gt;'1-Input'!$B$26,0,(MAX(0,P946-IF($A964&gt;='1-Input'!$C$12,'1-Input'!$B$12,0))-MIN(MAX(T963,0),MAX(0,P946-IF($A964&gt;='1-Input'!$C$12,'1-Input'!$B$12,0))))*(1/(1-'P-Parametri'!$B$6*P964))+MIN(MAX(0,U963-(MAX(0,P946-IF($A964&gt;='1-Input'!$C$12,'1-Input'!$B$12,0))-MIN(MAX(T963,0),MAX(0,P946-IF($A964&gt;='1-Input'!$C$12,'1-Input'!$B$12,0))))*(1/(1-'P-Parametri'!$B$6*P964))),MAX(0,2*P946-(T963-MIN(MAX(T963,0),MAX(0,P946-IF($A964&gt;='1-Input'!$C$12,'1-Input'!$B$12,0)))))*(1/(1-'P-Parametri'!$B$6*P964))))</f>
        <v>20746.164200263367</v>
      </c>
      <c r="R964" s="18">
        <f>IF($A964&gt;'1-Input'!$B$26,T963,(T963-MAX(0,P946-IF($A964&gt;='1-Input'!$C$12,'1-Input'!$B$12,0))+Q964*(1-'P-Parametri'!$B$6*P964))*(1+'1-Input'!$B$27))</f>
        <v>37459.539579583834</v>
      </c>
      <c r="S964" s="18">
        <f>IF($A964&gt;'1-Input'!$B$26,U963,(U963-Q964)*(1+'5-Roberta'!$C$4))</f>
        <v>219348.19004433011</v>
      </c>
      <c r="T964" s="18">
        <f>IF($A964&gt;'1-Input'!$B$26,R964,R964-'P-Parametri'!$B$8*(S964+R964)+MIN(MAX(S964,0),'P-Parametri'!$B$8*(S964+R964)))</f>
        <v>37459.539579583834</v>
      </c>
      <c r="U964" s="18">
        <f>IF($A964&gt;'1-Input'!$B$26,S964,S964-MIN(MAX(S964,0),'P-Parametri'!$B$8*(S964+R964)))</f>
        <v>218834.57458508227</v>
      </c>
      <c r="V964" s="18">
        <f>IF($A964&gt;'1-Input'!$B$26,V963,V963-Q964*(1-P964))</f>
        <v>141365.67862098172</v>
      </c>
      <c r="W964" s="11">
        <f>IF($A964&gt;'1-Input'!$B$26,0,IF(AB963&lt;=0,0,MAX(0,(AB963-AC963)/AB963)))</f>
        <v>0.33624663936575783</v>
      </c>
      <c r="X964" s="18">
        <f>IF($A964&gt;'1-Input'!$B$26,0,(MAX(0,W946-IF($A964&gt;='1-Input'!$C$12,'1-Input'!$B$12,0))-MIN(MAX(AA963,0),MAX(0,W946-IF($A964&gt;='1-Input'!$C$12,'1-Input'!$B$12,0))))*(1/(1-'P-Parametri'!$B$6*W964))+MIN(MAX(0,AB963-(MAX(0,W946-IF($A964&gt;='1-Input'!$C$12,'1-Input'!$B$12,0))-MIN(MAX(AA963,0),MAX(0,W946-IF($A964&gt;='1-Input'!$C$12,'1-Input'!$B$12,0))))*(1/(1-'P-Parametri'!$B$6*W964))),MAX(0,2*W946-(AA963-MIN(MAX(AA963,0),MAX(0,W946-IF($A964&gt;='1-Input'!$C$12,'1-Input'!$B$12,0)))))*(1/(1-'P-Parametri'!$B$6*W964))))</f>
        <v>20457.634573602343</v>
      </c>
      <c r="Y964" s="18">
        <f>IF($A964&gt;'1-Input'!$B$26,AA963,(AA963-MAX(0,W946-IF($A964&gt;='1-Input'!$C$12,'1-Input'!$B$12,0))+X964*(1-'P-Parametri'!$B$6*W964))*(1+'1-Input'!$B$27))</f>
        <v>36937.916657430564</v>
      </c>
      <c r="Z964" s="18">
        <f>IF($A964&gt;'1-Input'!$B$26,AB963,(AB963-X964)*(1+'5-Roberta'!$C$4))</f>
        <v>225809.95048052838</v>
      </c>
      <c r="AA964" s="18">
        <f>IF($A964&gt;'1-Input'!$B$26,Y964,Y964-'P-Parametri'!$B$8*(Z964+Y964)+MIN(MAX(Z964,0),'P-Parametri'!$B$8*(Z964+Y964)))</f>
        <v>36937.916657430564</v>
      </c>
      <c r="AB964" s="18">
        <f>IF($A964&gt;'1-Input'!$B$26,Z964,Z964-MIN(MAX(Z964,0),'P-Parametri'!$B$8*(Z964+Y964)))</f>
        <v>225284.45474625245</v>
      </c>
      <c r="AC964" s="18">
        <f>IF($A964&gt;'1-Input'!$B$26,AC963,AC963-X964*(1-W964))</f>
        <v>145516.61504475973</v>
      </c>
      <c r="AD964" s="11">
        <f>IF($A964&gt;'1-Input'!$B$26,0,IF(AI963&lt;=0,0,MAX(0,(AI963-AJ963)/AI963)))</f>
        <v>0.33625032790033621</v>
      </c>
      <c r="AE964" s="18">
        <f>IF($A964&gt;'1-Input'!$B$26,0,(MAX(0,AD946-IF($A964&gt;='1-Input'!$C$12,'1-Input'!$B$12,0))-MIN(MAX(AH963,0),MAX(0,AD946-IF($A964&gt;='1-Input'!$C$12,'1-Input'!$B$12,0))))*(1/(1-'P-Parametri'!$B$6*AD964))+MIN(MAX(0,AI963-(MAX(0,AD946-IF($A964&gt;='1-Input'!$C$12,'1-Input'!$B$12,0))-MIN(MAX(AH963,0),MAX(0,AD946-IF($A964&gt;='1-Input'!$C$12,'1-Input'!$B$12,0))))*(1/(1-'P-Parametri'!$B$6*AD964))),MAX(0,2*AD946-(AH963-MIN(MAX(AH963,0),MAX(0,AD946-IF($A964&gt;='1-Input'!$C$12,'1-Input'!$B$12,0)))))*(1/(1-'P-Parametri'!$B$6*AD964))))</f>
        <v>20440.145699467696</v>
      </c>
      <c r="AF964" s="18">
        <f>IF($A964&gt;'1-Input'!$B$26,AH963,(AH963-MAX(0,AD946-IF($A964&gt;='1-Input'!$C$12,'1-Input'!$B$12,0))+AE964*(1-'P-Parametri'!$B$6*AD964))*(1+'1-Input'!$B$27))</f>
        <v>36906.300293679618</v>
      </c>
      <c r="AG964" s="18">
        <f>IF($A964&gt;'1-Input'!$B$26,AI963,(AI963-AE964)*(1+'5-Roberta'!$C$4))</f>
        <v>226201.61170963597</v>
      </c>
      <c r="AH964" s="18">
        <f>IF($A964&gt;'1-Input'!$B$26,AF964,AF964-'P-Parametri'!$B$8*(AG964+AF964)+MIN(MAX(AG964,0),'P-Parametri'!$B$8*(AG964+AF964)))</f>
        <v>36906.300293679618</v>
      </c>
      <c r="AI964" s="18">
        <f>IF($A964&gt;'1-Input'!$B$26,AG964,AG964-MIN(MAX(AG964,0),'P-Parametri'!$B$8*(AG964+AF964)))</f>
        <v>225675.39588562935</v>
      </c>
      <c r="AJ964" s="18">
        <f>IF($A964&gt;'1-Input'!$B$26,AJ963,AJ963-AE964*(1-AD964))</f>
        <v>145768.19961231682</v>
      </c>
      <c r="AK964" s="11">
        <f>IF($A964&gt;'1-Input'!$B$26,0,IF(AP963&lt;=0,0,MAX(0,(AP963-AQ963)/AP963)))</f>
        <v>0.33625024407343224</v>
      </c>
      <c r="AL964" s="18">
        <f>IF($A964&gt;'1-Input'!$B$26,0,(MAX(0,AK946-IF($A964&gt;='1-Input'!$C$12,'1-Input'!$B$12,0))-MIN(MAX(AO963,0),MAX(0,AK946-IF($A964&gt;='1-Input'!$C$12,'1-Input'!$B$12,0))))*(1/(1-'P-Parametri'!$B$6*AK964))+MIN(MAX(0,AP963-(MAX(0,AK946-IF($A964&gt;='1-Input'!$C$12,'1-Input'!$B$12,0))-MIN(MAX(AO963,0),MAX(0,AK946-IF($A964&gt;='1-Input'!$C$12,'1-Input'!$B$12,0))))*(1/(1-'P-Parametri'!$B$6*AK964))),MAX(0,2*AK946-(AO963-MIN(MAX(AO963,0),MAX(0,AK946-IF($A964&gt;='1-Input'!$C$12,'1-Input'!$B$12,0)))))*(1/(1-'P-Parametri'!$B$6*AK964))))</f>
        <v>20440.543488609383</v>
      </c>
      <c r="AM964" s="18">
        <f>IF($A964&gt;'1-Input'!$B$26,AO963,(AO963-MAX(0,AK946-IF($A964&gt;='1-Input'!$C$12,'1-Input'!$B$12,0))+AL964*(1-'P-Parametri'!$B$6*AK964))*(1+'1-Input'!$B$27))</f>
        <v>36907.019414897215</v>
      </c>
      <c r="AN964" s="18">
        <f>IF($A964&gt;'1-Input'!$B$26,AP963,(AP963-AL964)*(1+'5-Roberta'!$C$4))</f>
        <v>226192.70328289186</v>
      </c>
      <c r="AO964" s="18">
        <f>IF($A964&gt;'1-Input'!$B$26,AM964,AM964-'P-Parametri'!$B$8*(AN964+AM964)+MIN(MAX(AN964,0),'P-Parametri'!$B$8*(AN964+AM964)))</f>
        <v>36907.019414897215</v>
      </c>
      <c r="AP964" s="18">
        <f>IF($A964&gt;'1-Input'!$B$26,AN964,AN964-MIN(MAX(AN964,0),'P-Parametri'!$B$8*(AN964+AM964)))</f>
        <v>225666.50383749628</v>
      </c>
      <c r="AQ964" s="18">
        <f>IF($A964&gt;'1-Input'!$B$26,AQ963,AQ963-AL964*(1-AK964))</f>
        <v>145762.47727804858</v>
      </c>
    </row>
    <row r="965" spans="1:43">
      <c r="A965" s="10">
        <f>17</f>
        <v>17</v>
      </c>
      <c r="B965" s="11">
        <f>IF($A965&gt;'1-Input'!$B$26,0,IF(G964&lt;=0,0,MAX(0,(G964-H964)/G964)))</f>
        <v>0.3545121979770075</v>
      </c>
      <c r="C965" s="18">
        <f>IF($A965&gt;'1-Input'!$B$26,0,(MAX(0,B946-IF($A965&gt;='1-Input'!$C$12,'1-Input'!$B$12,0))-MIN(MAX(F964,0),MAX(0,B946-IF($A965&gt;='1-Input'!$C$12,'1-Input'!$B$12,0))))*(1/(1-'P-Parametri'!$B$6*B965))+MIN(MAX(0,G964-(MAX(0,B946-IF($A965&gt;='1-Input'!$C$12,'1-Input'!$B$12,0))-MIN(MAX(F964,0),MAX(0,B946-IF($A965&gt;='1-Input'!$C$12,'1-Input'!$B$12,0))))*(1/(1-'P-Parametri'!$B$6*B965))),MAX(0,2*B946-(F964-MIN(MAX(F964,0),MAX(0,B946-IF($A965&gt;='1-Input'!$C$12,'1-Input'!$B$12,0)))))*(1/(1-'P-Parametri'!$B$6*B965))))</f>
        <v>18507.008589039877</v>
      </c>
      <c r="D965" s="18">
        <f>IF($A965&gt;'1-Input'!$B$26,F964,(F964-MAX(0,B946-IF($A965&gt;='1-Input'!$C$12,'1-Input'!$B$12,0))+C965*(1-'P-Parametri'!$B$6*B965))*(1+'1-Input'!$B$27))</f>
        <v>33242.0070309863</v>
      </c>
      <c r="E965" s="18">
        <f>IF($A965&gt;'1-Input'!$B$26,G964,(G964-C965)*(1+'5-Roberta'!$C$4))</f>
        <v>260055.2401782088</v>
      </c>
      <c r="F965" s="18">
        <f>IF($A965&gt;'1-Input'!$B$26,D965,D965-'P-Parametri'!$B$8*(E965+D965)+MIN(MAX(E965,0),'P-Parametri'!$B$8*(E965+D965)))</f>
        <v>33242.0070309863</v>
      </c>
      <c r="G965" s="18">
        <f>IF($A965&gt;'1-Input'!$B$26,E965,E965-MIN(MAX(E965,0),'P-Parametri'!$B$8*(E965+D965)))</f>
        <v>259468.64568379041</v>
      </c>
      <c r="H965" s="18">
        <f>IF($A965&gt;'1-Input'!$B$26,H964,H964-C965*(1-B965))</f>
        <v>162973.28678368291</v>
      </c>
      <c r="I965" s="11">
        <f>IF($A965&gt;'1-Input'!$B$26,0,IF(N964&lt;=0,0,MAX(0,(N964-O964)/N964)))</f>
        <v>0.35292880827265255</v>
      </c>
      <c r="J965" s="18">
        <f>IF($A965&gt;'1-Input'!$B$26,0,(MAX(0,I946-IF($A965&gt;='1-Input'!$C$12,'1-Input'!$B$12,0))-MIN(MAX(M964,0),MAX(0,I946-IF($A965&gt;='1-Input'!$C$12,'1-Input'!$B$12,0))))*(1/(1-'P-Parametri'!$B$6*I965))+MIN(MAX(0,N964-(MAX(0,I946-IF($A965&gt;='1-Input'!$C$12,'1-Input'!$B$12,0))-MIN(MAX(M964,0),MAX(0,I946-IF($A965&gt;='1-Input'!$C$12,'1-Input'!$B$12,0))))*(1/(1-'P-Parametri'!$B$6*I965))),MAX(0,2*I946-(M964-MIN(MAX(M964,0),MAX(0,I946-IF($A965&gt;='1-Input'!$C$12,'1-Input'!$B$12,0)))))*(1/(1-'P-Parametri'!$B$6*I965))))</f>
        <v>24340.289256123349</v>
      </c>
      <c r="K965" s="18">
        <f>IF($A965&gt;'1-Input'!$B$26,M964,(M964-MAX(0,I946-IF($A965&gt;='1-Input'!$C$12,'1-Input'!$B$12,0))+J965*(1-'P-Parametri'!$B$6*I965))*(1+'1-Input'!$B$27))</f>
        <v>43739.482935508291</v>
      </c>
      <c r="L965" s="18">
        <f>IF($A965&gt;'1-Input'!$B$26,N964,(N964-J965)*(1+'5-Roberta'!$C$4))</f>
        <v>120359.72165946109</v>
      </c>
      <c r="M965" s="18">
        <f>IF($A965&gt;'1-Input'!$B$26,K965,K965-'P-Parametri'!$B$8*(L965+K965)+MIN(MAX(L965,0),'P-Parametri'!$B$8*(L965+K965)))</f>
        <v>43739.482935508291</v>
      </c>
      <c r="N965" s="18">
        <f>IF($A965&gt;'1-Input'!$B$26,L965,L965-MIN(MAX(L965,0),'P-Parametri'!$B$8*(L965+K965)))</f>
        <v>120031.52325027116</v>
      </c>
      <c r="O965" s="18">
        <f>IF($A965&gt;'1-Input'!$B$26,O964,O964-J965*(1-I965))</f>
        <v>75612.920903067294</v>
      </c>
      <c r="P965" s="11">
        <f>IF($A965&gt;'1-Input'!$B$26,0,IF(U964&lt;=0,0,MAX(0,(U964-V964)/U964)))</f>
        <v>0.35400665599110281</v>
      </c>
      <c r="Q965" s="18">
        <f>IF($A965&gt;'1-Input'!$B$26,0,(MAX(0,P946-IF($A965&gt;='1-Input'!$C$12,'1-Input'!$B$12,0))-MIN(MAX(T964,0),MAX(0,P946-IF($A965&gt;='1-Input'!$C$12,'1-Input'!$B$12,0))))*(1/(1-'P-Parametri'!$B$6*P965))+MIN(MAX(0,U964-(MAX(0,P946-IF($A965&gt;='1-Input'!$C$12,'1-Input'!$B$12,0))-MIN(MAX(T964,0),MAX(0,P946-IF($A965&gt;='1-Input'!$C$12,'1-Input'!$B$12,0))))*(1/(1-'P-Parametri'!$B$6*P965))),MAX(0,2*P946-(T964-MIN(MAX(T964,0),MAX(0,P946-IF($A965&gt;='1-Input'!$C$12,'1-Input'!$B$12,0)))))*(1/(1-'P-Parametri'!$B$6*P965))))</f>
        <v>20852.039994789811</v>
      </c>
      <c r="R965" s="18">
        <f>IF($A965&gt;'1-Input'!$B$26,T964,(T964-MAX(0,P946-IF($A965&gt;='1-Input'!$C$12,'1-Input'!$B$12,0))+Q965*(1-'P-Parametri'!$B$6*P965))*(1+'1-Input'!$B$27))</f>
        <v>37459.539579583834</v>
      </c>
      <c r="S965" s="18">
        <f>IF($A965&gt;'1-Input'!$B$26,U964,(U964-Q965)*(1+'5-Roberta'!$C$4))</f>
        <v>203922.01062800124</v>
      </c>
      <c r="T965" s="18">
        <f>IF($A965&gt;'1-Input'!$B$26,R965,R965-'P-Parametri'!$B$8*(S965+R965)+MIN(MAX(S965,0),'P-Parametri'!$B$8*(S965+R965)))</f>
        <v>37459.539579583834</v>
      </c>
      <c r="U965" s="18">
        <f>IF($A965&gt;'1-Input'!$B$26,S965,S965-MIN(MAX(S965,0),'P-Parametri'!$B$8*(S965+R965)))</f>
        <v>203439.24752758606</v>
      </c>
      <c r="V965" s="18">
        <f>IF($A965&gt;'1-Input'!$B$26,V964,V964-Q965*(1-P965))</f>
        <v>127895.39957534018</v>
      </c>
      <c r="W965" s="11">
        <f>IF($A965&gt;'1-Input'!$B$26,0,IF(AB964&lt;=0,0,MAX(0,(AB964-AC964)/AB964)))</f>
        <v>0.35407609367161469</v>
      </c>
      <c r="X965" s="18">
        <f>IF($A965&gt;'1-Input'!$B$26,0,(MAX(0,W946-IF($A965&gt;='1-Input'!$C$12,'1-Input'!$B$12,0))-MIN(MAX(AA964,0),MAX(0,W946-IF($A965&gt;='1-Input'!$C$12,'1-Input'!$B$12,0))))*(1/(1-'P-Parametri'!$B$6*W965))+MIN(MAX(0,AB964-(MAX(0,W946-IF($A965&gt;='1-Input'!$C$12,'1-Input'!$B$12,0))-MIN(MAX(AA964,0),MAX(0,W946-IF($A965&gt;='1-Input'!$C$12,'1-Input'!$B$12,0))))*(1/(1-'P-Parametri'!$B$6*W965))),MAX(0,2*W946-(AA964-MIN(MAX(AA964,0),MAX(0,W946-IF($A965&gt;='1-Input'!$C$12,'1-Input'!$B$12,0)))))*(1/(1-'P-Parametri'!$B$6*W965))))</f>
        <v>20562.084842665416</v>
      </c>
      <c r="Y965" s="18">
        <f>IF($A965&gt;'1-Input'!$B$26,AA964,(AA964-MAX(0,W946-IF($A965&gt;='1-Input'!$C$12,'1-Input'!$B$12,0))+X965*(1-'P-Parametri'!$B$6*W965))*(1+'1-Input'!$B$27))</f>
        <v>36937.916657430564</v>
      </c>
      <c r="Z965" s="18">
        <f>IF($A965&gt;'1-Input'!$B$26,AB964,(AB964-X965)*(1+'5-Roberta'!$C$4))</f>
        <v>210864.04100069465</v>
      </c>
      <c r="AA965" s="18">
        <f>IF($A965&gt;'1-Input'!$B$26,Y965,Y965-'P-Parametri'!$B$8*(Z965+Y965)+MIN(MAX(Z965,0),'P-Parametri'!$B$8*(Z965+Y965)))</f>
        <v>36937.916657430564</v>
      </c>
      <c r="AB965" s="18">
        <f>IF($A965&gt;'1-Input'!$B$26,Z965,Z965-MIN(MAX(Z965,0),'P-Parametri'!$B$8*(Z965+Y965)))</f>
        <v>210368.43708537839</v>
      </c>
      <c r="AC965" s="18">
        <f>IF($A965&gt;'1-Input'!$B$26,AC964,AC964-X965*(1-W965))</f>
        <v>132235.0728809296</v>
      </c>
      <c r="AD965" s="11">
        <f>IF($A965&gt;'1-Input'!$B$26,0,IF(AI964&lt;=0,0,MAX(0,(AI964-AJ964)/AI964)))</f>
        <v>0.35408023085427048</v>
      </c>
      <c r="AE965" s="18">
        <f>IF($A965&gt;'1-Input'!$B$26,0,(MAX(0,AD946-IF($A965&gt;='1-Input'!$C$12,'1-Input'!$B$12,0))-MIN(MAX(AH964,0),MAX(0,AD946-IF($A965&gt;='1-Input'!$C$12,'1-Input'!$B$12,0))))*(1/(1-'P-Parametri'!$B$6*AD965))+MIN(MAX(0,AI964-(MAX(0,AD946-IF($A965&gt;='1-Input'!$C$12,'1-Input'!$B$12,0))-MIN(MAX(AH964,0),MAX(0,AD946-IF($A965&gt;='1-Input'!$C$12,'1-Input'!$B$12,0))))*(1/(1-'P-Parametri'!$B$6*AD965))),MAX(0,2*AD946-(AH964-MIN(MAX(AH964,0),MAX(0,AD946-IF($A965&gt;='1-Input'!$C$12,'1-Input'!$B$12,0)))))*(1/(1-'P-Parametri'!$B$6*AD965))))</f>
        <v>20544.509425532651</v>
      </c>
      <c r="AF965" s="18">
        <f>IF($A965&gt;'1-Input'!$B$26,AH964,(AH964-MAX(0,AD946-IF($A965&gt;='1-Input'!$C$12,'1-Input'!$B$12,0))+AE965*(1-'P-Parametri'!$B$6*AD965))*(1+'1-Input'!$B$27))</f>
        <v>36906.300293679618</v>
      </c>
      <c r="AG965" s="18">
        <f>IF($A965&gt;'1-Input'!$B$26,AI964,(AI964-AE965)*(1+'5-Roberta'!$C$4))</f>
        <v>211284.81305389959</v>
      </c>
      <c r="AH965" s="18">
        <f>IF($A965&gt;'1-Input'!$B$26,AF965,AF965-'P-Parametri'!$B$8*(AG965+AF965)+MIN(MAX(AG965,0),'P-Parametri'!$B$8*(AG965+AF965)))</f>
        <v>36906.300293679618</v>
      </c>
      <c r="AI965" s="18">
        <f>IF($A965&gt;'1-Input'!$B$26,AG965,AG965-MIN(MAX(AG965,0),'P-Parametri'!$B$8*(AG965+AF965)))</f>
        <v>210788.43082720443</v>
      </c>
      <c r="AJ965" s="18">
        <f>IF($A965&gt;'1-Input'!$B$26,AJ964,AJ964-AE965*(1-AD965))</f>
        <v>132498.09482696452</v>
      </c>
      <c r="AK965" s="11">
        <f>IF($A965&gt;'1-Input'!$B$26,0,IF(AP964&lt;=0,0,MAX(0,(AP964-AQ964)/AP964)))</f>
        <v>0.35408013684205003</v>
      </c>
      <c r="AL965" s="18">
        <f>IF($A965&gt;'1-Input'!$B$26,0,(MAX(0,AK946-IF($A965&gt;='1-Input'!$C$12,'1-Input'!$B$12,0))-MIN(MAX(AO964,0),MAX(0,AK946-IF($A965&gt;='1-Input'!$C$12,'1-Input'!$B$12,0))))*(1/(1-'P-Parametri'!$B$6*AK965))+MIN(MAX(0,AP964-(MAX(0,AK946-IF($A965&gt;='1-Input'!$C$12,'1-Input'!$B$12,0))-MIN(MAX(AO964,0),MAX(0,AK946-IF($A965&gt;='1-Input'!$C$12,'1-Input'!$B$12,0))))*(1/(1-'P-Parametri'!$B$6*AK965))),MAX(0,2*AK946-(AO964-MIN(MAX(AO964,0),MAX(0,AK946-IF($A965&gt;='1-Input'!$C$12,'1-Input'!$B$12,0)))))*(1/(1-'P-Parametri'!$B$6*AK965))))</f>
        <v>20544.909183285956</v>
      </c>
      <c r="AM965" s="18">
        <f>IF($A965&gt;'1-Input'!$B$26,AO964,(AO964-MAX(0,AK946-IF($A965&gt;='1-Input'!$C$12,'1-Input'!$B$12,0))+AL965*(1-'P-Parametri'!$B$6*AK965))*(1+'1-Input'!$B$27))</f>
        <v>36907.0194148972</v>
      </c>
      <c r="AN965" s="18">
        <f>IF($A965&gt;'1-Input'!$B$26,AP964,(AP964-AL965)*(1+'5-Roberta'!$C$4))</f>
        <v>211275.24249383665</v>
      </c>
      <c r="AO965" s="18">
        <f>IF($A965&gt;'1-Input'!$B$26,AM965,AM965-'P-Parametri'!$B$8*(AN965+AM965)+MIN(MAX(AN965,0),'P-Parametri'!$B$8*(AN965+AM965)))</f>
        <v>36907.0194148972</v>
      </c>
      <c r="AP965" s="18">
        <f>IF($A965&gt;'1-Input'!$B$26,AN965,AN965-MIN(MAX(AN965,0),'P-Parametri'!$B$8*(AN965+AM965)))</f>
        <v>210778.87797001918</v>
      </c>
      <c r="AQ965" s="18">
        <f>IF($A965&gt;'1-Input'!$B$26,AQ964,AQ964-AL965*(1-AK965))</f>
        <v>132492.11234978802</v>
      </c>
    </row>
    <row r="966" spans="1:43">
      <c r="A966" s="10">
        <f>18</f>
        <v>18</v>
      </c>
      <c r="B966" s="11">
        <f>IF($A966&gt;'1-Input'!$B$26,0,IF(G965&lt;=0,0,MAX(0,(G965-H965)/G965)))</f>
        <v>0.37189602869282551</v>
      </c>
      <c r="C966" s="18">
        <f>IF($A966&gt;'1-Input'!$B$26,0,(MAX(0,B946-IF($A966&gt;='1-Input'!$C$12,'1-Input'!$B$12,0))-MIN(MAX(F965,0),MAX(0,B946-IF($A966&gt;='1-Input'!$C$12,'1-Input'!$B$12,0))))*(1/(1-'P-Parametri'!$B$6*B966))+MIN(MAX(0,G965-(MAX(0,B946-IF($A966&gt;='1-Input'!$C$12,'1-Input'!$B$12,0))-MIN(MAX(F965,0),MAX(0,B946-IF($A966&gt;='1-Input'!$C$12,'1-Input'!$B$12,0))))*(1/(1-'P-Parametri'!$B$6*B966))),MAX(0,2*B946-(F965-MIN(MAX(F965,0),MAX(0,B946-IF($A966&gt;='1-Input'!$C$12,'1-Input'!$B$12,0)))))*(1/(1-'P-Parametri'!$B$6*B966))))</f>
        <v>18599.61043993049</v>
      </c>
      <c r="D966" s="18">
        <f>IF($A966&gt;'1-Input'!$B$26,F965,(F965-MAX(0,B946-IF($A966&gt;='1-Input'!$C$12,'1-Input'!$B$12,0))+C966*(1-'P-Parametri'!$B$6*B966))*(1+'1-Input'!$B$27))</f>
        <v>33242.0070309863</v>
      </c>
      <c r="E966" s="18">
        <f>IF($A966&gt;'1-Input'!$B$26,G965,(G965-C966)*(1+'5-Roberta'!$C$4))</f>
        <v>248095.10630117572</v>
      </c>
      <c r="F966" s="18">
        <f>IF($A966&gt;'1-Input'!$B$26,D966,D966-'P-Parametri'!$B$8*(E966+D966)+MIN(MAX(E966,0),'P-Parametri'!$B$8*(E966+D966)))</f>
        <v>33242.0070309863</v>
      </c>
      <c r="G966" s="18">
        <f>IF($A966&gt;'1-Input'!$B$26,E966,E966-MIN(MAX(E966,0),'P-Parametri'!$B$8*(E966+D966)))</f>
        <v>247532.43207451139</v>
      </c>
      <c r="H966" s="18">
        <f>IF($A966&gt;'1-Input'!$B$26,H965,H965-C966*(1-B966))</f>
        <v>151290.79760159619</v>
      </c>
      <c r="I966" s="11">
        <f>IF($A966&gt;'1-Input'!$B$26,0,IF(N965&lt;=0,0,MAX(0,(N965-O965)/N965)))</f>
        <v>0.37005780768597818</v>
      </c>
      <c r="J966" s="18">
        <f>IF($A966&gt;'1-Input'!$B$26,0,(MAX(0,I946-IF($A966&gt;='1-Input'!$C$12,'1-Input'!$B$12,0))-MIN(MAX(M965,0),MAX(0,I946-IF($A966&gt;='1-Input'!$C$12,'1-Input'!$B$12,0))))*(1/(1-'P-Parametri'!$B$6*I966))+MIN(MAX(0,N965-(MAX(0,I946-IF($A966&gt;='1-Input'!$C$12,'1-Input'!$B$12,0))-MIN(MAX(M965,0),MAX(0,I946-IF($A966&gt;='1-Input'!$C$12,'1-Input'!$B$12,0))))*(1/(1-'P-Parametri'!$B$6*I966))),MAX(0,2*I946-(M965-MIN(MAX(M965,0),MAX(0,I946-IF($A966&gt;='1-Input'!$C$12,'1-Input'!$B$12,0)))))*(1/(1-'P-Parametri'!$B$6*I966))))</f>
        <v>24460.229785894237</v>
      </c>
      <c r="K966" s="18">
        <f>IF($A966&gt;'1-Input'!$B$26,M965,(M965-MAX(0,I946-IF($A966&gt;='1-Input'!$C$12,'1-Input'!$B$12,0))+J966*(1-'P-Parametri'!$B$6*I966))*(1+'1-Input'!$B$27))</f>
        <v>43739.482935508291</v>
      </c>
      <c r="L966" s="18">
        <f>IF($A966&gt;'1-Input'!$B$26,N965,(N965-J966)*(1+'5-Roberta'!$C$4))</f>
        <v>98438.432268308243</v>
      </c>
      <c r="M966" s="18">
        <f>IF($A966&gt;'1-Input'!$B$26,K966,K966-'P-Parametri'!$B$8*(L966+K966)+MIN(MAX(L966,0),'P-Parametri'!$B$8*(L966+K966)))</f>
        <v>43739.482935508291</v>
      </c>
      <c r="N966" s="18">
        <f>IF($A966&gt;'1-Input'!$B$26,L966,L966-MIN(MAX(L966,0),'P-Parametri'!$B$8*(L966+K966)))</f>
        <v>98154.076437900614</v>
      </c>
      <c r="O966" s="18">
        <f>IF($A966&gt;'1-Input'!$B$26,O965,O965-J966*(1-I966))</f>
        <v>60204.390127236344</v>
      </c>
      <c r="P966" s="11">
        <f>IF($A966&gt;'1-Input'!$B$26,0,IF(U965&lt;=0,0,MAX(0,(U965-V965)/U965)))</f>
        <v>0.37133369726017218</v>
      </c>
      <c r="Q966" s="18">
        <f>IF($A966&gt;'1-Input'!$B$26,0,(MAX(0,P946-IF($A966&gt;='1-Input'!$C$12,'1-Input'!$B$12,0))-MIN(MAX(T965,0),MAX(0,P946-IF($A966&gt;='1-Input'!$C$12,'1-Input'!$B$12,0))))*(1/(1-'P-Parametri'!$B$6*P966))+MIN(MAX(0,U965-(MAX(0,P946-IF($A966&gt;='1-Input'!$C$12,'1-Input'!$B$12,0))-MIN(MAX(T965,0),MAX(0,P946-IF($A966&gt;='1-Input'!$C$12,'1-Input'!$B$12,0))))*(1/(1-'P-Parametri'!$B$6*P966))),MAX(0,2*P946-(T965-MIN(MAX(T965,0),MAX(0,P946-IF($A966&gt;='1-Input'!$C$12,'1-Input'!$B$12,0)))))*(1/(1-'P-Parametri'!$B$6*P966))))</f>
        <v>20956.017795669388</v>
      </c>
      <c r="R966" s="18">
        <f>IF($A966&gt;'1-Input'!$B$26,T965,(T965-MAX(0,P946-IF($A966&gt;='1-Input'!$C$12,'1-Input'!$B$12,0))+Q966*(1-'P-Parametri'!$B$6*P966))*(1+'1-Input'!$B$27))</f>
        <v>37459.539579583834</v>
      </c>
      <c r="S966" s="18">
        <f>IF($A966&gt;'1-Input'!$B$26,U965,(U965-Q966)*(1+'5-Roberta'!$C$4))</f>
        <v>187957.72662387419</v>
      </c>
      <c r="T966" s="18">
        <f>IF($A966&gt;'1-Input'!$B$26,R966,R966-'P-Parametri'!$B$8*(S966+R966)+MIN(MAX(S966,0),'P-Parametri'!$B$8*(S966+R966)))</f>
        <v>37459.539579583834</v>
      </c>
      <c r="U966" s="18">
        <f>IF($A966&gt;'1-Input'!$B$26,S966,S966-MIN(MAX(S966,0),'P-Parametri'!$B$8*(S966+R966)))</f>
        <v>187506.89209146728</v>
      </c>
      <c r="V966" s="18">
        <f>IF($A966&gt;'1-Input'!$B$26,V965,V965-Q966*(1-P966))</f>
        <v>114721.05734758667</v>
      </c>
      <c r="W966" s="11">
        <f>IF($A966&gt;'1-Input'!$B$26,0,IF(AB965&lt;=0,0,MAX(0,(AB965-AC965)/AB965)))</f>
        <v>0.37141201069406737</v>
      </c>
      <c r="X966" s="18">
        <f>IF($A966&gt;'1-Input'!$B$26,0,(MAX(0,W946-IF($A966&gt;='1-Input'!$C$12,'1-Input'!$B$12,0))-MIN(MAX(AA965,0),MAX(0,W946-IF($A966&gt;='1-Input'!$C$12,'1-Input'!$B$12,0))))*(1/(1-'P-Parametri'!$B$6*W966))+MIN(MAX(0,AB965-(MAX(0,W946-IF($A966&gt;='1-Input'!$C$12,'1-Input'!$B$12,0))-MIN(MAX(AA965,0),MAX(0,W946-IF($A966&gt;='1-Input'!$C$12,'1-Input'!$B$12,0))))*(1/(1-'P-Parametri'!$B$6*W966))),MAX(0,2*W946-(AA965-MIN(MAX(AA965,0),MAX(0,W946-IF($A966&gt;='1-Input'!$C$12,'1-Input'!$B$12,0)))))*(1/(1-'P-Parametri'!$B$6*W966))))</f>
        <v>20664.671628539225</v>
      </c>
      <c r="Y966" s="18">
        <f>IF($A966&gt;'1-Input'!$B$26,AA965,(AA965-MAX(0,W946-IF($A966&gt;='1-Input'!$C$12,'1-Input'!$B$12,0))+X966*(1-'P-Parametri'!$B$6*W966))*(1+'1-Input'!$B$27))</f>
        <v>36937.916657430564</v>
      </c>
      <c r="Z966" s="18">
        <f>IF($A966&gt;'1-Input'!$B$26,AB965,(AB965-X966)*(1+'5-Roberta'!$C$4))</f>
        <v>195394.87842054435</v>
      </c>
      <c r="AA966" s="18">
        <f>IF($A966&gt;'1-Input'!$B$26,Y966,Y966-'P-Parametri'!$B$8*(Z966+Y966)+MIN(MAX(Z966,0),'P-Parametri'!$B$8*(Z966+Y966)))</f>
        <v>36937.916657430564</v>
      </c>
      <c r="AB966" s="18">
        <f>IF($A966&gt;'1-Input'!$B$26,Z966,Z966-MIN(MAX(Z966,0),'P-Parametri'!$B$8*(Z966+Y966)))</f>
        <v>194930.21283038839</v>
      </c>
      <c r="AC966" s="18">
        <f>IF($A966&gt;'1-Input'!$B$26,AC965,AC965-X966*(1-W966))</f>
        <v>119245.50849227878</v>
      </c>
      <c r="AD966" s="11">
        <f>IF($A966&gt;'1-Input'!$B$26,0,IF(AI965&lt;=0,0,MAX(0,(AI965-AJ965)/AI965)))</f>
        <v>0.37141666500861742</v>
      </c>
      <c r="AE966" s="18">
        <f>IF($A966&gt;'1-Input'!$B$26,0,(MAX(0,AD946-IF($A966&gt;='1-Input'!$C$12,'1-Input'!$B$12,0))-MIN(MAX(AH965,0),MAX(0,AD946-IF($A966&gt;='1-Input'!$C$12,'1-Input'!$B$12,0))))*(1/(1-'P-Parametri'!$B$6*AD966))+MIN(MAX(0,AI965-(MAX(0,AD946-IF($A966&gt;='1-Input'!$C$12,'1-Input'!$B$12,0))-MIN(MAX(AH965,0),MAX(0,AD946-IF($A966&gt;='1-Input'!$C$12,'1-Input'!$B$12,0))))*(1/(1-'P-Parametri'!$B$6*AD966))),MAX(0,2*AD946-(AH965-MIN(MAX(AH965,0),MAX(0,AD946-IF($A966&gt;='1-Input'!$C$12,'1-Input'!$B$12,0)))))*(1/(1-'P-Parametri'!$B$6*AD966))))</f>
        <v>20647.011720331167</v>
      </c>
      <c r="AF966" s="18">
        <f>IF($A966&gt;'1-Input'!$B$26,AH965,(AH965-MAX(0,AD946-IF($A966&gt;='1-Input'!$C$12,'1-Input'!$B$12,0))+AE966*(1-'P-Parametri'!$B$6*AD966))*(1+'1-Input'!$B$27))</f>
        <v>36906.300293679618</v>
      </c>
      <c r="AG966" s="18">
        <f>IF($A966&gt;'1-Input'!$B$26,AI965,(AI965-AE966)*(1+'5-Roberta'!$C$4))</f>
        <v>195845.66168007947</v>
      </c>
      <c r="AH966" s="18">
        <f>IF($A966&gt;'1-Input'!$B$26,AF966,AF966-'P-Parametri'!$B$8*(AG966+AF966)+MIN(MAX(AG966,0),'P-Parametri'!$B$8*(AG966+AF966)))</f>
        <v>36906.300293679618</v>
      </c>
      <c r="AI966" s="18">
        <f>IF($A966&gt;'1-Input'!$B$26,AG966,AG966-MIN(MAX(AG966,0),'P-Parametri'!$B$8*(AG966+AF966)))</f>
        <v>195380.15775613196</v>
      </c>
      <c r="AJ966" s="18">
        <f>IF($A966&gt;'1-Input'!$B$26,AJ965,AJ965-AE966*(1-AD966))</f>
        <v>119519.72734219259</v>
      </c>
      <c r="AK966" s="11">
        <f>IF($A966&gt;'1-Input'!$B$26,0,IF(AP965&lt;=0,0,MAX(0,(AP965-AQ965)/AP965)))</f>
        <v>0.37141655925963574</v>
      </c>
      <c r="AL966" s="18">
        <f>IF($A966&gt;'1-Input'!$B$26,0,(MAX(0,AK946-IF($A966&gt;='1-Input'!$C$12,'1-Input'!$B$12,0))-MIN(MAX(AO965,0),MAX(0,AK946-IF($A966&gt;='1-Input'!$C$12,'1-Input'!$B$12,0))))*(1/(1-'P-Parametri'!$B$6*AK966))+MIN(MAX(0,AP965-(MAX(0,AK946-IF($A966&gt;='1-Input'!$C$12,'1-Input'!$B$12,0))-MIN(MAX(AO965,0),MAX(0,AK946-IF($A966&gt;='1-Input'!$C$12,'1-Input'!$B$12,0))))*(1/(1-'P-Parametri'!$B$6*AK966))),MAX(0,2*AK946-(AO965-MIN(MAX(AO965,0),MAX(0,AK946-IF($A966&gt;='1-Input'!$C$12,'1-Input'!$B$12,0)))))*(1/(1-'P-Parametri'!$B$6*AK966))))</f>
        <v>20647.413400072604</v>
      </c>
      <c r="AM966" s="18">
        <f>IF($A966&gt;'1-Input'!$B$26,AO965,(AO965-MAX(0,AK946-IF($A966&gt;='1-Input'!$C$12,'1-Input'!$B$12,0))+AL966*(1-'P-Parametri'!$B$6*AK966))*(1+'1-Input'!$B$27))</f>
        <v>36907.019414897208</v>
      </c>
      <c r="AN966" s="18">
        <f>IF($A966&gt;'1-Input'!$B$26,AP965,(AP965-AL966)*(1+'5-Roberta'!$C$4))</f>
        <v>195835.40850704498</v>
      </c>
      <c r="AO966" s="18">
        <f>IF($A966&gt;'1-Input'!$B$26,AM966,AM966-'P-Parametri'!$B$8*(AN966+AM966)+MIN(MAX(AN966,0),'P-Parametri'!$B$8*(AN966+AM966)))</f>
        <v>36907.019414897208</v>
      </c>
      <c r="AP966" s="18">
        <f>IF($A966&gt;'1-Input'!$B$26,AN966,AN966-MIN(MAX(AN966,0),'P-Parametri'!$B$8*(AN966+AM966)))</f>
        <v>195369.9236512011</v>
      </c>
      <c r="AQ966" s="18">
        <f>IF($A966&gt;'1-Input'!$B$26,AQ965,AQ965-AL966*(1-AK966))</f>
        <v>119513.49019238168</v>
      </c>
    </row>
    <row r="967" spans="1:43">
      <c r="A967" s="10">
        <f>19</f>
        <v>19</v>
      </c>
      <c r="B967" s="11">
        <f>IF($A967&gt;'1-Input'!$B$26,0,IF(G966&lt;=0,0,MAX(0,(G966-H966)/G966)))</f>
        <v>0.3888041403962163</v>
      </c>
      <c r="C967" s="18">
        <f>IF($A967&gt;'1-Input'!$B$26,0,(MAX(0,B946-IF($A967&gt;='1-Input'!$C$12,'1-Input'!$B$12,0))-MIN(MAX(F966,0),MAX(0,B946-IF($A967&gt;='1-Input'!$C$12,'1-Input'!$B$12,0))))*(1/(1-'P-Parametri'!$B$6*B967))+MIN(MAX(0,G966-(MAX(0,B946-IF($A967&gt;='1-Input'!$C$12,'1-Input'!$B$12,0))-MIN(MAX(F966,0),MAX(0,B946-IF($A967&gt;='1-Input'!$C$12,'1-Input'!$B$12,0))))*(1/(1-'P-Parametri'!$B$6*B967))),MAX(0,2*B946-(F966-MIN(MAX(F966,0),MAX(0,B946-IF($A967&gt;='1-Input'!$C$12,'1-Input'!$B$12,0)))))*(1/(1-'P-Parametri'!$B$6*B967))))</f>
        <v>18690.571527966844</v>
      </c>
      <c r="D967" s="18">
        <f>IF($A967&gt;'1-Input'!$B$26,F966,(F966-MAX(0,B946-IF($A967&gt;='1-Input'!$C$12,'1-Input'!$B$12,0))+C967*(1-'P-Parametri'!$B$6*B967))*(1+'1-Input'!$B$27))</f>
        <v>33242.0070309863</v>
      </c>
      <c r="E967" s="18">
        <f>IF($A967&gt;'1-Input'!$B$26,G966,(G966-C967)*(1+'5-Roberta'!$C$4))</f>
        <v>235707.1163629409</v>
      </c>
      <c r="F967" s="18">
        <f>IF($A967&gt;'1-Input'!$B$26,D967,D967-'P-Parametri'!$B$8*(E967+D967)+MIN(MAX(E967,0),'P-Parametri'!$B$8*(E967+D967)))</f>
        <v>33242.0070309863</v>
      </c>
      <c r="G967" s="18">
        <f>IF($A967&gt;'1-Input'!$B$26,E967,E967-MIN(MAX(E967,0),'P-Parametri'!$B$8*(E967+D967)))</f>
        <v>235169.21811615303</v>
      </c>
      <c r="H967" s="18">
        <f>IF($A967&gt;'1-Input'!$B$26,H966,H966-C967*(1-B967))</f>
        <v>139867.1976700745</v>
      </c>
      <c r="I967" s="11">
        <f>IF($A967&gt;'1-Input'!$B$26,0,IF(N966&lt;=0,0,MAX(0,(N966-O966)/N966)))</f>
        <v>0.38663382803743251</v>
      </c>
      <c r="J967" s="18">
        <f>IF($A967&gt;'1-Input'!$B$26,0,(MAX(0,I946-IF($A967&gt;='1-Input'!$C$12,'1-Input'!$B$12,0))-MIN(MAX(M966,0),MAX(0,I946-IF($A967&gt;='1-Input'!$C$12,'1-Input'!$B$12,0))))*(1/(1-'P-Parametri'!$B$6*I967))+MIN(MAX(0,N966-(MAX(0,I946-IF($A967&gt;='1-Input'!$C$12,'1-Input'!$B$12,0))-MIN(MAX(M966,0),MAX(0,I946-IF($A967&gt;='1-Input'!$C$12,'1-Input'!$B$12,0))))*(1/(1-'P-Parametri'!$B$6*I967))),MAX(0,2*I946-(M966-MIN(MAX(M966,0),MAX(0,I946-IF($A967&gt;='1-Input'!$C$12,'1-Input'!$B$12,0)))))*(1/(1-'P-Parametri'!$B$6*I967))))</f>
        <v>24577.429069207818</v>
      </c>
      <c r="K967" s="18">
        <f>IF($A967&gt;'1-Input'!$B$26,M966,(M966-MAX(0,I946-IF($A967&gt;='1-Input'!$C$12,'1-Input'!$B$12,0))+J967*(1-'P-Parametri'!$B$6*I967))*(1+'1-Input'!$B$27))</f>
        <v>43739.482935508291</v>
      </c>
      <c r="L967" s="18">
        <f>IF($A967&gt;'1-Input'!$B$26,N966,(N966-J967)*(1+'5-Roberta'!$C$4))</f>
        <v>75783.94678975358</v>
      </c>
      <c r="M967" s="18">
        <f>IF($A967&gt;'1-Input'!$B$26,K967,K967-'P-Parametri'!$B$8*(L967+K967)+MIN(MAX(L967,0),'P-Parametri'!$B$8*(L967+K967)))</f>
        <v>43739.482935508291</v>
      </c>
      <c r="N967" s="18">
        <f>IF($A967&gt;'1-Input'!$B$26,L967,L967-MIN(MAX(L967,0),'P-Parametri'!$B$8*(L967+K967)))</f>
        <v>75544.899930303058</v>
      </c>
      <c r="O967" s="18">
        <f>IF($A967&gt;'1-Input'!$B$26,O966,O966-J967*(1-I967))</f>
        <v>45129.426542374815</v>
      </c>
      <c r="P967" s="11">
        <f>IF($A967&gt;'1-Input'!$B$26,0,IF(U966&lt;=0,0,MAX(0,(U966-V966)/U966)))</f>
        <v>0.38817685009879599</v>
      </c>
      <c r="Q967" s="18">
        <f>IF($A967&gt;'1-Input'!$B$26,0,(MAX(0,P946-IF($A967&gt;='1-Input'!$C$12,'1-Input'!$B$12,0))-MIN(MAX(T966,0),MAX(0,P946-IF($A967&gt;='1-Input'!$C$12,'1-Input'!$B$12,0))))*(1/(1-'P-Parametri'!$B$6*P967))+MIN(MAX(0,U966-(MAX(0,P946-IF($A967&gt;='1-Input'!$C$12,'1-Input'!$B$12,0))-MIN(MAX(T966,0),MAX(0,P946-IF($A967&gt;='1-Input'!$C$12,'1-Input'!$B$12,0))))*(1/(1-'P-Parametri'!$B$6*P967))),MAX(0,2*P946-(T966-MIN(MAX(T966,0),MAX(0,P946-IF($A967&gt;='1-Input'!$C$12,'1-Input'!$B$12,0)))))*(1/(1-'P-Parametri'!$B$6*P967))))</f>
        <v>21058.090600382682</v>
      </c>
      <c r="R967" s="18">
        <f>IF($A967&gt;'1-Input'!$B$26,T966,(T966-MAX(0,P946-IF($A967&gt;='1-Input'!$C$12,'1-Input'!$B$12,0))+Q967*(1-'P-Parametri'!$B$6*P967))*(1+'1-Input'!$B$27))</f>
        <v>37459.539579583834</v>
      </c>
      <c r="S967" s="18">
        <f>IF($A967&gt;'1-Input'!$B$26,U966,(U966-Q967)*(1+'5-Roberta'!$C$4))</f>
        <v>171442.26553581713</v>
      </c>
      <c r="T967" s="18">
        <f>IF($A967&gt;'1-Input'!$B$26,R967,R967-'P-Parametri'!$B$8*(S967+R967)+MIN(MAX(S967,0),'P-Parametri'!$B$8*(S967+R967)))</f>
        <v>37459.539579583834</v>
      </c>
      <c r="U967" s="18">
        <f>IF($A967&gt;'1-Input'!$B$26,S967,S967-MIN(MAX(S967,0),'P-Parametri'!$B$8*(S967+R967)))</f>
        <v>171024.46192558634</v>
      </c>
      <c r="V967" s="18">
        <f>IF($A967&gt;'1-Input'!$B$26,V966,V966-Q967*(1-P967))</f>
        <v>101837.2300255556</v>
      </c>
      <c r="W967" s="11">
        <f>IF($A967&gt;'1-Input'!$B$26,0,IF(AB966&lt;=0,0,MAX(0,(AB966-AC966)/AB966)))</f>
        <v>0.38826564255569745</v>
      </c>
      <c r="X967" s="18">
        <f>IF($A967&gt;'1-Input'!$B$26,0,(MAX(0,W946-IF($A967&gt;='1-Input'!$C$12,'1-Input'!$B$12,0))-MIN(MAX(AA966,0),MAX(0,W946-IF($A967&gt;='1-Input'!$C$12,'1-Input'!$B$12,0))))*(1/(1-'P-Parametri'!$B$6*W967))+MIN(MAX(0,AB966-(MAX(0,W946-IF($A967&gt;='1-Input'!$C$12,'1-Input'!$B$12,0))-MIN(MAX(AA966,0),MAX(0,W946-IF($A967&gt;='1-Input'!$C$12,'1-Input'!$B$12,0))))*(1/(1-'P-Parametri'!$B$6*W967))),MAX(0,2*W946-(AA966-MIN(MAX(AA966,0),MAX(0,W946-IF($A967&gt;='1-Input'!$C$12,'1-Input'!$B$12,0)))))*(1/(1-'P-Parametri'!$B$6*W967))))</f>
        <v>20765.390549355252</v>
      </c>
      <c r="Y967" s="18">
        <f>IF($A967&gt;'1-Input'!$B$26,AA966,(AA966-MAX(0,W946-IF($A967&gt;='1-Input'!$C$12,'1-Input'!$B$12,0))+X967*(1-'P-Parametri'!$B$6*W967))*(1+'1-Input'!$B$27))</f>
        <v>36937.916657430564</v>
      </c>
      <c r="Z967" s="18">
        <f>IF($A967&gt;'1-Input'!$B$26,AB966,(AB966-X967)*(1+'5-Roberta'!$C$4))</f>
        <v>179389.76694946416</v>
      </c>
      <c r="AA967" s="18">
        <f>IF($A967&gt;'1-Input'!$B$26,Y967,Y967-'P-Parametri'!$B$8*(Z967+Y967)+MIN(MAX(Z967,0),'P-Parametri'!$B$8*(Z967+Y967)))</f>
        <v>36937.916657430564</v>
      </c>
      <c r="AB967" s="18">
        <f>IF($A967&gt;'1-Input'!$B$26,Z967,Z967-MIN(MAX(Z967,0),'P-Parametri'!$B$8*(Z967+Y967)))</f>
        <v>178957.11158225036</v>
      </c>
      <c r="AC967" s="18">
        <f>IF($A967&gt;'1-Input'!$B$26,AC966,AC966-X967*(1-W967))</f>
        <v>106542.60564748895</v>
      </c>
      <c r="AD967" s="11">
        <f>IF($A967&gt;'1-Input'!$B$26,0,IF(AI966&lt;=0,0,MAX(0,(AI966-AJ966)/AI966)))</f>
        <v>0.38827090368422279</v>
      </c>
      <c r="AE967" s="18">
        <f>IF($A967&gt;'1-Input'!$B$26,0,(MAX(0,AD946-IF($A967&gt;='1-Input'!$C$12,'1-Input'!$B$12,0))-MIN(MAX(AH966,0),MAX(0,AD946-IF($A967&gt;='1-Input'!$C$12,'1-Input'!$B$12,0))))*(1/(1-'P-Parametri'!$B$6*AD967))+MIN(MAX(0,AI966-(MAX(0,AD946-IF($A967&gt;='1-Input'!$C$12,'1-Input'!$B$12,0))-MIN(MAX(AH966,0),MAX(0,AD946-IF($A967&gt;='1-Input'!$C$12,'1-Input'!$B$12,0))))*(1/(1-'P-Parametri'!$B$6*AD967))),MAX(0,2*AD946-(AH966-MIN(MAX(AH966,0),MAX(0,AD946-IF($A967&gt;='1-Input'!$C$12,'1-Input'!$B$12,0)))))*(1/(1-'P-Parametri'!$B$6*AD967))))</f>
        <v>20747.648343739806</v>
      </c>
      <c r="AF967" s="18">
        <f>IF($A967&gt;'1-Input'!$B$26,AH966,(AH966-MAX(0,AD946-IF($A967&gt;='1-Input'!$C$12,'1-Input'!$B$12,0))+AE967*(1-'P-Parametri'!$B$6*AD967))*(1+'1-Input'!$B$27))</f>
        <v>36906.300293679618</v>
      </c>
      <c r="AG967" s="18">
        <f>IF($A967&gt;'1-Input'!$B$26,AI966,(AI966-AE967)*(1+'5-Roberta'!$C$4))</f>
        <v>179871.48469476393</v>
      </c>
      <c r="AH967" s="18">
        <f>IF($A967&gt;'1-Input'!$B$26,AF967,AF967-'P-Parametri'!$B$8*(AG967+AF967)+MIN(MAX(AG967,0),'P-Parametri'!$B$8*(AG967+AF967)))</f>
        <v>36906.300293679618</v>
      </c>
      <c r="AI967" s="18">
        <f>IF($A967&gt;'1-Input'!$B$26,AG967,AG967-MIN(MAX(AG967,0),'P-Parametri'!$B$8*(AG967+AF967)))</f>
        <v>179437.92912478704</v>
      </c>
      <c r="AJ967" s="18">
        <f>IF($A967&gt;'1-Input'!$B$26,AJ966,AJ966-AE967*(1-AD967))</f>
        <v>106827.78717019911</v>
      </c>
      <c r="AK967" s="11">
        <f>IF($A967&gt;'1-Input'!$B$26,0,IF(AP966&lt;=0,0,MAX(0,(AP966-AQ966)/AP966)))</f>
        <v>0.38827078416761751</v>
      </c>
      <c r="AL967" s="18">
        <f>IF($A967&gt;'1-Input'!$B$26,0,(MAX(0,AK946-IF($A967&gt;='1-Input'!$C$12,'1-Input'!$B$12,0))-MIN(MAX(AO966,0),MAX(0,AK946-IF($A967&gt;='1-Input'!$C$12,'1-Input'!$B$12,0))))*(1/(1-'P-Parametri'!$B$6*AK967))+MIN(MAX(0,AP966-(MAX(0,AK946-IF($A967&gt;='1-Input'!$C$12,'1-Input'!$B$12,0))-MIN(MAX(AO966,0),MAX(0,AK946-IF($A967&gt;='1-Input'!$C$12,'1-Input'!$B$12,0))))*(1/(1-'P-Parametri'!$B$6*AK967))),MAX(0,2*AK946-(AO966-MIN(MAX(AO966,0),MAX(0,AK946-IF($A967&gt;='1-Input'!$C$12,'1-Input'!$B$12,0)))))*(1/(1-'P-Parametri'!$B$6*AK967))))</f>
        <v>20748.051895641907</v>
      </c>
      <c r="AM967" s="18">
        <f>IF($A967&gt;'1-Input'!$B$26,AO966,(AO966-MAX(0,AK946-IF($A967&gt;='1-Input'!$C$12,'1-Input'!$B$12,0))+AL967*(1-'P-Parametri'!$B$6*AK967))*(1+'1-Input'!$B$27))</f>
        <v>36907.019414897208</v>
      </c>
      <c r="AN967" s="18">
        <f>IF($A967&gt;'1-Input'!$B$26,AP966,(AP966-AL967)*(1+'5-Roberta'!$C$4))</f>
        <v>179860.52790822598</v>
      </c>
      <c r="AO967" s="18">
        <f>IF($A967&gt;'1-Input'!$B$26,AM967,AM967-'P-Parametri'!$B$8*(AN967+AM967)+MIN(MAX(AN967,0),'P-Parametri'!$B$8*(AN967+AM967)))</f>
        <v>36907.019414897208</v>
      </c>
      <c r="AP967" s="18">
        <f>IF($A967&gt;'1-Input'!$B$26,AN967,AN967-MIN(MAX(AN967,0),'P-Parametri'!$B$8*(AN967+AM967)))</f>
        <v>179426.99281357974</v>
      </c>
      <c r="AQ967" s="18">
        <f>IF($A967&gt;'1-Input'!$B$26,AQ966,AQ966-AL967*(1-AK967))</f>
        <v>106821.30067621107</v>
      </c>
    </row>
    <row r="968" spans="1:43">
      <c r="A968" s="10">
        <f>20</f>
        <v>20</v>
      </c>
      <c r="B968" s="11">
        <f>IF($A968&gt;'1-Input'!$B$26,0,IF(G967&lt;=0,0,MAX(0,(G967-H967)/G967)))</f>
        <v>0.40524870223027093</v>
      </c>
      <c r="C968" s="18">
        <f>IF($A968&gt;'1-Input'!$B$26,0,(MAX(0,B946-IF($A968&gt;='1-Input'!$C$12,'1-Input'!$B$12,0))-MIN(MAX(F967,0),MAX(0,B946-IF($A968&gt;='1-Input'!$C$12,'1-Input'!$B$12,0))))*(1/(1-'P-Parametri'!$B$6*B968))+MIN(MAX(0,G967-(MAX(0,B946-IF($A968&gt;='1-Input'!$C$12,'1-Input'!$B$12,0))-MIN(MAX(F967,0),MAX(0,B946-IF($A968&gt;='1-Input'!$C$12,'1-Input'!$B$12,0))))*(1/(1-'P-Parametri'!$B$6*B968))),MAX(0,2*B946-(F967-MIN(MAX(F967,0),MAX(0,B946-IF($A968&gt;='1-Input'!$C$12,'1-Input'!$B$12,0)))))*(1/(1-'P-Parametri'!$B$6*B968))))</f>
        <v>18779.896355693712</v>
      </c>
      <c r="D968" s="18">
        <f>IF($A968&gt;'1-Input'!$B$26,F967,(F967-MAX(0,B946-IF($A968&gt;='1-Input'!$C$12,'1-Input'!$B$12,0))+C968*(1-'P-Parametri'!$B$6*B968))*(1+'1-Input'!$B$27))</f>
        <v>33242.0070309863</v>
      </c>
      <c r="E968" s="18">
        <f>IF($A968&gt;'1-Input'!$B$26,G967,(G967-C968)*(1+'5-Roberta'!$C$4))</f>
        <v>222881.0014132731</v>
      </c>
      <c r="F968" s="18">
        <f>IF($A968&gt;'1-Input'!$B$26,D968,D968-'P-Parametri'!$B$8*(E968+D968)+MIN(MAX(E968,0),'P-Parametri'!$B$8*(E968+D968)))</f>
        <v>33242.0070309863</v>
      </c>
      <c r="G968" s="18">
        <f>IF($A968&gt;'1-Input'!$B$26,E968,E968-MIN(MAX(E968,0),'P-Parametri'!$B$8*(E968+D968)))</f>
        <v>222368.75539638457</v>
      </c>
      <c r="H968" s="18">
        <f>IF($A968&gt;'1-Input'!$B$26,H967,H967-C968*(1-B968))</f>
        <v>128697.82994054466</v>
      </c>
      <c r="I968" s="11">
        <f>IF($A968&gt;'1-Input'!$B$26,0,IF(N967&lt;=0,0,MAX(0,(N967-O967)/N967)))</f>
        <v>0.40261451687657596</v>
      </c>
      <c r="J968" s="18">
        <f>IF($A968&gt;'1-Input'!$B$26,0,(MAX(0,I946-IF($A968&gt;='1-Input'!$C$12,'1-Input'!$B$12,0))-MIN(MAX(M967,0),MAX(0,I946-IF($A968&gt;='1-Input'!$C$12,'1-Input'!$B$12,0))))*(1/(1-'P-Parametri'!$B$6*I968))+MIN(MAX(0,N967-(MAX(0,I946-IF($A968&gt;='1-Input'!$C$12,'1-Input'!$B$12,0))-MIN(MAX(M967,0),MAX(0,I946-IF($A968&gt;='1-Input'!$C$12,'1-Input'!$B$12,0))))*(1/(1-'P-Parametri'!$B$6*I968))),MAX(0,2*I946-(M967-MIN(MAX(M967,0),MAX(0,I946-IF($A968&gt;='1-Input'!$C$12,'1-Input'!$B$12,0)))))*(1/(1-'P-Parametri'!$B$6*I968))))</f>
        <v>24691.487370526411</v>
      </c>
      <c r="K968" s="18">
        <f>IF($A968&gt;'1-Input'!$B$26,M967,(M967-MAX(0,I946-IF($A968&gt;='1-Input'!$C$12,'1-Input'!$B$12,0))+J968*(1-'P-Parametri'!$B$6*I968))*(1+'1-Input'!$B$27))</f>
        <v>43739.482935508291</v>
      </c>
      <c r="L968" s="18">
        <f>IF($A968&gt;'1-Input'!$B$26,N967,(N967-J968)*(1+'5-Roberta'!$C$4))</f>
        <v>52379.014936569947</v>
      </c>
      <c r="M968" s="18">
        <f>IF($A968&gt;'1-Input'!$B$26,K968,K968-'P-Parametri'!$B$8*(L968+K968)+MIN(MAX(L968,0),'P-Parametri'!$B$8*(L968+K968)))</f>
        <v>43739.482935508291</v>
      </c>
      <c r="N968" s="18">
        <f>IF($A968&gt;'1-Input'!$B$26,L968,L968-MIN(MAX(L968,0),'P-Parametri'!$B$8*(L968+K968)))</f>
        <v>52186.777940825792</v>
      </c>
      <c r="O968" s="18">
        <f>IF($A968&gt;'1-Input'!$B$26,O967,O967-J968*(1-I968))</f>
        <v>30379.090430496974</v>
      </c>
      <c r="P968" s="11">
        <f>IF($A968&gt;'1-Input'!$B$26,0,IF(U967&lt;=0,0,MAX(0,(U967-V967)/U967)))</f>
        <v>0.40454582415312301</v>
      </c>
      <c r="Q968" s="18">
        <f>IF($A968&gt;'1-Input'!$B$26,0,(MAX(0,P946-IF($A968&gt;='1-Input'!$C$12,'1-Input'!$B$12,0))-MIN(MAX(T967,0),MAX(0,P946-IF($A968&gt;='1-Input'!$C$12,'1-Input'!$B$12,0))))*(1/(1-'P-Parametri'!$B$6*P968))+MIN(MAX(0,U967-(MAX(0,P946-IF($A968&gt;='1-Input'!$C$12,'1-Input'!$B$12,0))-MIN(MAX(T967,0),MAX(0,P946-IF($A968&gt;='1-Input'!$C$12,'1-Input'!$B$12,0))))*(1/(1-'P-Parametri'!$B$6*P968))),MAX(0,2*P946-(T967-MIN(MAX(T967,0),MAX(0,P946-IF($A968&gt;='1-Input'!$C$12,'1-Input'!$B$12,0)))))*(1/(1-'P-Parametri'!$B$6*P968))))</f>
        <v>21158.247078537028</v>
      </c>
      <c r="R968" s="18">
        <f>IF($A968&gt;'1-Input'!$B$26,T967,(T967-MAX(0,P946-IF($A968&gt;='1-Input'!$C$12,'1-Input'!$B$12,0))+Q968*(1-'P-Parametri'!$B$6*P968))*(1+'1-Input'!$B$27))</f>
        <v>37459.539579583834</v>
      </c>
      <c r="S968" s="18">
        <f>IF($A968&gt;'1-Input'!$B$26,U967,(U967-Q968)*(1+'5-Roberta'!$C$4))</f>
        <v>154362.20129246078</v>
      </c>
      <c r="T968" s="18">
        <f>IF($A968&gt;'1-Input'!$B$26,R968,R968-'P-Parametri'!$B$8*(S968+R968)+MIN(MAX(S968,0),'P-Parametri'!$B$8*(S968+R968)))</f>
        <v>37459.539579583834</v>
      </c>
      <c r="U968" s="18">
        <f>IF($A968&gt;'1-Input'!$B$26,S968,S968-MIN(MAX(S968,0),'P-Parametri'!$B$8*(S968+R968)))</f>
        <v>153978.55781071671</v>
      </c>
      <c r="V968" s="18">
        <f>IF($A968&gt;'1-Input'!$B$26,V967,V967-Q968*(1-P968))</f>
        <v>89238.463449040748</v>
      </c>
      <c r="W968" s="11">
        <f>IF($A968&gt;'1-Input'!$B$26,0,IF(AB967&lt;=0,0,MAX(0,(AB967-AC967)/AB967)))</f>
        <v>0.40464726600976142</v>
      </c>
      <c r="X968" s="18">
        <f>IF($A968&gt;'1-Input'!$B$26,0,(MAX(0,W946-IF($A968&gt;='1-Input'!$C$12,'1-Input'!$B$12,0))-MIN(MAX(AA967,0),MAX(0,W946-IF($A968&gt;='1-Input'!$C$12,'1-Input'!$B$12,0))))*(1/(1-'P-Parametri'!$B$6*W968))+MIN(MAX(0,AB967-(MAX(0,W946-IF($A968&gt;='1-Input'!$C$12,'1-Input'!$B$12,0))-MIN(MAX(AA967,0),MAX(0,W946-IF($A968&gt;='1-Input'!$C$12,'1-Input'!$B$12,0))))*(1/(1-'P-Parametri'!$B$6*W968))),MAX(0,2*W946-(AA967-MIN(MAX(AA967,0),MAX(0,W946-IF($A968&gt;='1-Input'!$C$12,'1-Input'!$B$12,0)))))*(1/(1-'P-Parametri'!$B$6*W968))))</f>
        <v>20864.234122928156</v>
      </c>
      <c r="Y968" s="18">
        <f>IF($A968&gt;'1-Input'!$B$26,AA967,(AA967-MAX(0,W946-IF($A968&gt;='1-Input'!$C$12,'1-Input'!$B$12,0))+X968*(1-'P-Parametri'!$B$6*W968))*(1+'1-Input'!$B$27))</f>
        <v>36937.916657430556</v>
      </c>
      <c r="Z968" s="18">
        <f>IF($A968&gt;'1-Input'!$B$26,AB967,(AB967-X968)*(1+'5-Roberta'!$C$4))</f>
        <v>162835.66378310189</v>
      </c>
      <c r="AA968" s="18">
        <f>IF($A968&gt;'1-Input'!$B$26,Y968,Y968-'P-Parametri'!$B$8*(Z968+Y968)+MIN(MAX(Z968,0),'P-Parametri'!$B$8*(Z968+Y968)))</f>
        <v>36937.916657430556</v>
      </c>
      <c r="AB968" s="18">
        <f>IF($A968&gt;'1-Input'!$B$26,Z968,Z968-MIN(MAX(Z968,0),'P-Parametri'!$B$8*(Z968+Y968)))</f>
        <v>162436.11662222081</v>
      </c>
      <c r="AC968" s="18">
        <f>IF($A968&gt;'1-Input'!$B$26,AC967,AC967-X968*(1-W968))</f>
        <v>94121.026819791237</v>
      </c>
      <c r="AD968" s="11">
        <f>IF($A968&gt;'1-Input'!$B$26,0,IF(AI967&lt;=0,0,MAX(0,(AI967-AJ967)/AI967)))</f>
        <v>0.40465325424087151</v>
      </c>
      <c r="AE968" s="18">
        <f>IF($A968&gt;'1-Input'!$B$26,0,(MAX(0,AD946-IF($A968&gt;='1-Input'!$C$12,'1-Input'!$B$12,0))-MIN(MAX(AH967,0),MAX(0,AD946-IF($A968&gt;='1-Input'!$C$12,'1-Input'!$B$12,0))))*(1/(1-'P-Parametri'!$B$6*AD968))+MIN(MAX(0,AI967-(MAX(0,AD946-IF($A968&gt;='1-Input'!$C$12,'1-Input'!$B$12,0))-MIN(MAX(AH967,0),MAX(0,AD946-IF($A968&gt;='1-Input'!$C$12,'1-Input'!$B$12,0))))*(1/(1-'P-Parametri'!$B$6*AD968))),MAX(0,2*AD946-(AH967-MIN(MAX(AH967,0),MAX(0,AD946-IF($A968&gt;='1-Input'!$C$12,'1-Input'!$B$12,0)))))*(1/(1-'P-Parametri'!$B$6*AD968))))</f>
        <v>20846.412019443345</v>
      </c>
      <c r="AF968" s="18">
        <f>IF($A968&gt;'1-Input'!$B$26,AH967,(AH967-MAX(0,AD946-IF($A968&gt;='1-Input'!$C$12,'1-Input'!$B$12,0))+AE968*(1-'P-Parametri'!$B$6*AD968))*(1+'1-Input'!$B$27))</f>
        <v>36906.300293679618</v>
      </c>
      <c r="AG968" s="18">
        <f>IF($A968&gt;'1-Input'!$B$26,AI967,(AI967-AE968)*(1+'5-Roberta'!$C$4))</f>
        <v>163349.262618504</v>
      </c>
      <c r="AH968" s="18">
        <f>IF($A968&gt;'1-Input'!$B$26,AF968,AF968-'P-Parametri'!$B$8*(AG968+AF968)+MIN(MAX(AG968,0),'P-Parametri'!$B$8*(AG968+AF968)))</f>
        <v>36906.300293679618</v>
      </c>
      <c r="AI968" s="18">
        <f>IF($A968&gt;'1-Input'!$B$26,AG968,AG968-MIN(MAX(AG968,0),'P-Parametri'!$B$8*(AG968+AF968)))</f>
        <v>162948.75149267964</v>
      </c>
      <c r="AJ968" s="18">
        <f>IF($A968&gt;'1-Input'!$B$26,AJ967,AJ967-AE968*(1-AD968))</f>
        <v>94416.943613669529</v>
      </c>
      <c r="AK968" s="11">
        <f>IF($A968&gt;'1-Input'!$B$26,0,IF(AP967&lt;=0,0,MAX(0,(AP967-AQ967)/AP967)))</f>
        <v>0.40465311823402295</v>
      </c>
      <c r="AL968" s="18">
        <f>IF($A968&gt;'1-Input'!$B$26,0,(MAX(0,AK946-IF($A968&gt;='1-Input'!$C$12,'1-Input'!$B$12,0))-MIN(MAX(AO967,0),MAX(0,AK946-IF($A968&gt;='1-Input'!$C$12,'1-Input'!$B$12,0))))*(1/(1-'P-Parametri'!$B$6*AK968))+MIN(MAX(0,AP967-(MAX(0,AK946-IF($A968&gt;='1-Input'!$C$12,'1-Input'!$B$12,0))-MIN(MAX(AO967,0),MAX(0,AK946-IF($A968&gt;='1-Input'!$C$12,'1-Input'!$B$12,0))))*(1/(1-'P-Parametri'!$B$6*AK968))),MAX(0,2*AK946-(AO967-MIN(MAX(AO967,0),MAX(0,AK946-IF($A968&gt;='1-Input'!$C$12,'1-Input'!$B$12,0)))))*(1/(1-'P-Parametri'!$B$6*AK968))))</f>
        <v>20846.81738902798</v>
      </c>
      <c r="AM968" s="18">
        <f>IF($A968&gt;'1-Input'!$B$26,AO967,(AO967-MAX(0,AK946-IF($A968&gt;='1-Input'!$C$12,'1-Input'!$B$12,0))+AL968*(1-'P-Parametri'!$B$6*AK968))*(1+'1-Input'!$B$27))</f>
        <v>36907.019414897208</v>
      </c>
      <c r="AN968" s="18">
        <f>IF($A968&gt;'1-Input'!$B$26,AP967,(AP967-AL968)*(1+'5-Roberta'!$C$4))</f>
        <v>163337.58068728831</v>
      </c>
      <c r="AO968" s="18">
        <f>IF($A968&gt;'1-Input'!$B$26,AM968,AM968-'P-Parametri'!$B$8*(AN968+AM968)+MIN(MAX(AN968,0),'P-Parametri'!$B$8*(AN968+AM968)))</f>
        <v>36907.019414897208</v>
      </c>
      <c r="AP968" s="18">
        <f>IF($A968&gt;'1-Input'!$B$26,AN968,AN968-MIN(MAX(AN968,0),'P-Parametri'!$B$8*(AN968+AM968)))</f>
        <v>162937.09148708393</v>
      </c>
      <c r="AQ968" s="18">
        <f>IF($A968&gt;'1-Input'!$B$26,AQ967,AQ967-AL968*(1-AK968))</f>
        <v>94410.21294890852</v>
      </c>
    </row>
    <row r="969" spans="1:43">
      <c r="A969" s="10">
        <f>21</f>
        <v>21</v>
      </c>
      <c r="B969" s="11">
        <f>IF($A969&gt;'1-Input'!$B$26,0,IF(G968&lt;=0,0,MAX(0,(G968-H968)/G968)))</f>
        <v>0.42124139827497942</v>
      </c>
      <c r="C969" s="18">
        <f>IF($A969&gt;'1-Input'!$B$26,0,(MAX(0,B946-IF($A969&gt;='1-Input'!$C$12,'1-Input'!$B$12,0))-MIN(MAX(F968,0),MAX(0,B946-IF($A969&gt;='1-Input'!$C$12,'1-Input'!$B$12,0))))*(1/(1-'P-Parametri'!$B$6*B969))+MIN(MAX(0,G968-(MAX(0,B946-IF($A969&gt;='1-Input'!$C$12,'1-Input'!$B$12,0))-MIN(MAX(F968,0),MAX(0,B946-IF($A969&gt;='1-Input'!$C$12,'1-Input'!$B$12,0))))*(1/(1-'P-Parametri'!$B$6*B969))),MAX(0,2*B946-(F968-MIN(MAX(F968,0),MAX(0,B946-IF($A969&gt;='1-Input'!$C$12,'1-Input'!$B$12,0)))))*(1/(1-'P-Parametri'!$B$6*B969))))</f>
        <v>18867.589451134372</v>
      </c>
      <c r="D969" s="18">
        <f>IF($A969&gt;'1-Input'!$B$26,F968,(F968-MAX(0,B946-IF($A969&gt;='1-Input'!$C$12,'1-Input'!$B$12,0))+C969*(1-'P-Parametri'!$B$6*B969))*(1+'1-Input'!$B$27))</f>
        <v>33242.0070309863</v>
      </c>
      <c r="E969" s="18">
        <f>IF($A969&gt;'1-Input'!$B$26,G968,(G968-C969)*(1+'5-Roberta'!$C$4))</f>
        <v>209606.20092360771</v>
      </c>
      <c r="F969" s="18">
        <f>IF($A969&gt;'1-Input'!$B$26,D969,D969-'P-Parametri'!$B$8*(E969+D969)+MIN(MAX(E969,0),'P-Parametri'!$B$8*(E969+D969)))</f>
        <v>33242.0070309863</v>
      </c>
      <c r="G969" s="18">
        <f>IF($A969&gt;'1-Input'!$B$26,E969,E969-MIN(MAX(E969,0),'P-Parametri'!$B$8*(E969+D969)))</f>
        <v>209120.50450769853</v>
      </c>
      <c r="H969" s="18">
        <f>IF($A969&gt;'1-Input'!$B$26,H968,H968-C969*(1-B969))</f>
        <v>117778.05025188439</v>
      </c>
      <c r="I969" s="11">
        <f>IF($A969&gt;'1-Input'!$B$26,0,IF(N968&lt;=0,0,MAX(0,(N968-O968)/N968)))</f>
        <v>0.41787763818368701</v>
      </c>
      <c r="J969" s="18">
        <f>IF($A969&gt;'1-Input'!$B$26,0,(MAX(0,I946-IF($A969&gt;='1-Input'!$C$12,'1-Input'!$B$12,0))-MIN(MAX(M968,0),MAX(0,I946-IF($A969&gt;='1-Input'!$C$12,'1-Input'!$B$12,0))))*(1/(1-'P-Parametri'!$B$6*I969))+MIN(MAX(0,N968-(MAX(0,I946-IF($A969&gt;='1-Input'!$C$12,'1-Input'!$B$12,0))-MIN(MAX(M968,0),MAX(0,I946-IF($A969&gt;='1-Input'!$C$12,'1-Input'!$B$12,0))))*(1/(1-'P-Parametri'!$B$6*I969))),MAX(0,2*I946-(M968-MIN(MAX(M968,0),MAX(0,I946-IF($A969&gt;='1-Input'!$C$12,'1-Input'!$B$12,0)))))*(1/(1-'P-Parametri'!$B$6*I969))))</f>
        <v>24801.417009834113</v>
      </c>
      <c r="K969" s="18">
        <f>IF($A969&gt;'1-Input'!$B$26,M968,(M968-MAX(0,I946-IF($A969&gt;='1-Input'!$C$12,'1-Input'!$B$12,0))+J969*(1-'P-Parametri'!$B$6*I969))*(1+'1-Input'!$B$27))</f>
        <v>43739.482935508291</v>
      </c>
      <c r="L969" s="18">
        <f>IF($A969&gt;'1-Input'!$B$26,N968,(N968-J969)*(1+'5-Roberta'!$C$4))</f>
        <v>28206.921758921431</v>
      </c>
      <c r="M969" s="18">
        <f>IF($A969&gt;'1-Input'!$B$26,K969,K969-'P-Parametri'!$B$8*(L969+K969)+MIN(MAX(L969,0),'P-Parametri'!$B$8*(L969+K969)))</f>
        <v>43739.482935508291</v>
      </c>
      <c r="N969" s="18">
        <f>IF($A969&gt;'1-Input'!$B$26,L969,L969-MIN(MAX(L969,0),'P-Parametri'!$B$8*(L969+K969)))</f>
        <v>28063.028949532571</v>
      </c>
      <c r="O969" s="18">
        <f>IF($A969&gt;'1-Input'!$B$26,O968,O968-J969*(1-I969))</f>
        <v>15941.630984341062</v>
      </c>
      <c r="P969" s="11">
        <f>IF($A969&gt;'1-Input'!$B$26,0,IF(U968&lt;=0,0,MAX(0,(U968-V968)/U968)))</f>
        <v>0.42044876430950789</v>
      </c>
      <c r="Q969" s="18">
        <f>IF($A969&gt;'1-Input'!$B$26,0,(MAX(0,P946-IF($A969&gt;='1-Input'!$C$12,'1-Input'!$B$12,0))-MIN(MAX(T968,0),MAX(0,P946-IF($A969&gt;='1-Input'!$C$12,'1-Input'!$B$12,0))))*(1/(1-'P-Parametri'!$B$6*P969))+MIN(MAX(0,U968-(MAX(0,P946-IF($A969&gt;='1-Input'!$C$12,'1-Input'!$B$12,0))-MIN(MAX(T968,0),MAX(0,P946-IF($A969&gt;='1-Input'!$C$12,'1-Input'!$B$12,0))))*(1/(1-'P-Parametri'!$B$6*P969))),MAX(0,2*P946-(T968-MIN(MAX(T968,0),MAX(0,P946-IF($A969&gt;='1-Input'!$C$12,'1-Input'!$B$12,0)))))*(1/(1-'P-Parametri'!$B$6*P969))))</f>
        <v>21256.468708556276</v>
      </c>
      <c r="R969" s="18">
        <f>IF($A969&gt;'1-Input'!$B$26,T968,(T968-MAX(0,P946-IF($A969&gt;='1-Input'!$C$12,'1-Input'!$B$12,0))+Q969*(1-'P-Parametri'!$B$6*P969))*(1+'1-Input'!$B$27))</f>
        <v>37459.539579583834</v>
      </c>
      <c r="S969" s="18">
        <f>IF($A969&gt;'1-Input'!$B$26,U968,(U968-Q969)*(1+'5-Roberta'!$C$4))</f>
        <v>136703.75177522525</v>
      </c>
      <c r="T969" s="18">
        <f>IF($A969&gt;'1-Input'!$B$26,R969,R969-'P-Parametri'!$B$8*(S969+R969)+MIN(MAX(S969,0),'P-Parametri'!$B$8*(S969+R969)))</f>
        <v>37459.539579583834</v>
      </c>
      <c r="U969" s="18">
        <f>IF($A969&gt;'1-Input'!$B$26,S969,S969-MIN(MAX(S969,0),'P-Parametri'!$B$8*(S969+R969)))</f>
        <v>136355.42519251563</v>
      </c>
      <c r="V969" s="18">
        <f>IF($A969&gt;'1-Input'!$B$26,V968,V968-Q969*(1-P969))</f>
        <v>76919.250742580683</v>
      </c>
      <c r="W969" s="11">
        <f>IF($A969&gt;'1-Input'!$B$26,0,IF(AB968&lt;=0,0,MAX(0,(AB968-AC968)/AB968)))</f>
        <v>0.42056588905846976</v>
      </c>
      <c r="X969" s="18">
        <f>IF($A969&gt;'1-Input'!$B$26,0,(MAX(0,W946-IF($A969&gt;='1-Input'!$C$12,'1-Input'!$B$12,0))-MIN(MAX(AA968,0),MAX(0,W946-IF($A969&gt;='1-Input'!$C$12,'1-Input'!$B$12,0))))*(1/(1-'P-Parametri'!$B$6*W969))+MIN(MAX(0,AB968-(MAX(0,W946-IF($A969&gt;='1-Input'!$C$12,'1-Input'!$B$12,0))-MIN(MAX(AA968,0),MAX(0,W946-IF($A969&gt;='1-Input'!$C$12,'1-Input'!$B$12,0))))*(1/(1-'P-Parametri'!$B$6*W969))),MAX(0,2*W946-(AA968-MIN(MAX(AA968,0),MAX(0,W946-IF($A969&gt;='1-Input'!$C$12,'1-Input'!$B$12,0)))))*(1/(1-'P-Parametri'!$B$6*W969))))</f>
        <v>20961.189706133948</v>
      </c>
      <c r="Y969" s="18">
        <f>IF($A969&gt;'1-Input'!$B$26,AA968,(AA968-MAX(0,W946-IF($A969&gt;='1-Input'!$C$12,'1-Input'!$B$12,0))+X969*(1-'P-Parametri'!$B$6*W969))*(1+'1-Input'!$B$27))</f>
        <v>36937.916657430564</v>
      </c>
      <c r="Z969" s="18">
        <f>IF($A969&gt;'1-Input'!$B$26,AB968,(AB968-X969)*(1+'5-Roberta'!$C$4))</f>
        <v>145719.17472356948</v>
      </c>
      <c r="AA969" s="18">
        <f>IF($A969&gt;'1-Input'!$B$26,Y969,Y969-'P-Parametri'!$B$8*(Z969+Y969)+MIN(MAX(Z969,0),'P-Parametri'!$B$8*(Z969+Y969)))</f>
        <v>36937.916657430564</v>
      </c>
      <c r="AB969" s="18">
        <f>IF($A969&gt;'1-Input'!$B$26,Z969,Z969-MIN(MAX(Z969,0),'P-Parametri'!$B$8*(Z969+Y969)))</f>
        <v>145353.86054080748</v>
      </c>
      <c r="AC969" s="18">
        <f>IF($A969&gt;'1-Input'!$B$26,AC968,AC968-X969*(1-W969))</f>
        <v>81975.398498140756</v>
      </c>
      <c r="AD969" s="11">
        <f>IF($A969&gt;'1-Input'!$B$26,0,IF(AI968&lt;=0,0,MAX(0,(AI968-AJ968)/AI968)))</f>
        <v>0.42057277058725334</v>
      </c>
      <c r="AE969" s="18">
        <f>IF($A969&gt;'1-Input'!$B$26,0,(MAX(0,AD946-IF($A969&gt;='1-Input'!$C$12,'1-Input'!$B$12,0))-MIN(MAX(AH968,0),MAX(0,AD946-IF($A969&gt;='1-Input'!$C$12,'1-Input'!$B$12,0))))*(1/(1-'P-Parametri'!$B$6*AD969))+MIN(MAX(0,AI968-(MAX(0,AD946-IF($A969&gt;='1-Input'!$C$12,'1-Input'!$B$12,0))-MIN(MAX(AH968,0),MAX(0,AD946-IF($A969&gt;='1-Input'!$C$12,'1-Input'!$B$12,0))))*(1/(1-'P-Parametri'!$B$6*AD969))),MAX(0,2*AD946-(AH968-MIN(MAX(AH968,0),MAX(0,AD946-IF($A969&gt;='1-Input'!$C$12,'1-Input'!$B$12,0)))))*(1/(1-'P-Parametri'!$B$6*AD969))))</f>
        <v>20943.290414549509</v>
      </c>
      <c r="AF969" s="18">
        <f>IF($A969&gt;'1-Input'!$B$26,AH968,(AH968-MAX(0,AD946-IF($A969&gt;='1-Input'!$C$12,'1-Input'!$B$12,0))+AE969*(1-'P-Parametri'!$B$6*AD969))*(1+'1-Input'!$B$27))</f>
        <v>36906.300293679618</v>
      </c>
      <c r="AG969" s="18">
        <f>IF($A969&gt;'1-Input'!$B$26,AI968,(AI968-AE969)*(1+'5-Roberta'!$C$4))</f>
        <v>146265.62491047406</v>
      </c>
      <c r="AH969" s="18">
        <f>IF($A969&gt;'1-Input'!$B$26,AF969,AF969-'P-Parametri'!$B$8*(AG969+AF969)+MIN(MAX(AG969,0),'P-Parametri'!$B$8*(AG969+AF969)))</f>
        <v>36906.300293679618</v>
      </c>
      <c r="AI969" s="18">
        <f>IF($A969&gt;'1-Input'!$B$26,AG969,AG969-MIN(MAX(AG969,0),'P-Parametri'!$B$8*(AG969+AF969)))</f>
        <v>145899.28106006575</v>
      </c>
      <c r="AJ969" s="18">
        <f>IF($A969&gt;'1-Input'!$B$26,AJ968,AJ968-AE969*(1-AD969))</f>
        <v>82281.830873980565</v>
      </c>
      <c r="AK969" s="11">
        <f>IF($A969&gt;'1-Input'!$B$26,0,IF(AP968&lt;=0,0,MAX(0,(AP968-AQ968)/AP968)))</f>
        <v>0.42057261433077414</v>
      </c>
      <c r="AL969" s="18">
        <f>IF($A969&gt;'1-Input'!$B$26,0,(MAX(0,AK946-IF($A969&gt;='1-Input'!$C$12,'1-Input'!$B$12,0))-MIN(MAX(AO968,0),MAX(0,AK946-IF($A969&gt;='1-Input'!$C$12,'1-Input'!$B$12,0))))*(1/(1-'P-Parametri'!$B$6*AK969))+MIN(MAX(0,AP968-(MAX(0,AK946-IF($A969&gt;='1-Input'!$C$12,'1-Input'!$B$12,0))-MIN(MAX(AO968,0),MAX(0,AK946-IF($A969&gt;='1-Input'!$C$12,'1-Input'!$B$12,0))))*(1/(1-'P-Parametri'!$B$6*AK969))),MAX(0,2*AK946-(AO968-MIN(MAX(AO968,0),MAX(0,AK946-IF($A969&gt;='1-Input'!$C$12,'1-Input'!$B$12,0)))))*(1/(1-'P-Parametri'!$B$6*AK969))))</f>
        <v>20943.697540335233</v>
      </c>
      <c r="AM969" s="18">
        <f>IF($A969&gt;'1-Input'!$B$26,AO968,(AO968-MAX(0,AK946-IF($A969&gt;='1-Input'!$C$12,'1-Input'!$B$12,0))+AL969*(1-'P-Parametri'!$B$6*AK969))*(1+'1-Input'!$B$27))</f>
        <v>36907.019414897208</v>
      </c>
      <c r="AN969" s="18">
        <f>IF($A969&gt;'1-Input'!$B$26,AP968,(AP968-AL969)*(1+'5-Roberta'!$C$4))</f>
        <v>146253.19576515115</v>
      </c>
      <c r="AO969" s="18">
        <f>IF($A969&gt;'1-Input'!$B$26,AM969,AM969-'P-Parametri'!$B$8*(AN969+AM969)+MIN(MAX(AN969,0),'P-Parametri'!$B$8*(AN969+AM969)))</f>
        <v>36907.019414897208</v>
      </c>
      <c r="AP969" s="18">
        <f>IF($A969&gt;'1-Input'!$B$26,AN969,AN969-MIN(MAX(AN969,0),'P-Parametri'!$B$8*(AN969+AM969)))</f>
        <v>145886.87533479105</v>
      </c>
      <c r="AQ969" s="18">
        <f>IF($A969&gt;'1-Input'!$B$26,AQ968,AQ968-AL969*(1-AK969))</f>
        <v>82274.861036865084</v>
      </c>
    </row>
    <row r="970" spans="1:43">
      <c r="A970" s="10">
        <f>22</f>
        <v>22</v>
      </c>
      <c r="B970" s="11">
        <f>IF($A970&gt;'1-Input'!$B$26,0,IF(G969&lt;=0,0,MAX(0,(G969-H969)/G969)))</f>
        <v>0.43679339082912111</v>
      </c>
      <c r="C970" s="18">
        <f>IF($A970&gt;'1-Input'!$B$26,0,(MAX(0,B946-IF($A970&gt;='1-Input'!$C$12,'1-Input'!$B$12,0))-MIN(MAX(F969,0),MAX(0,B946-IF($A970&gt;='1-Input'!$C$12,'1-Input'!$B$12,0))))*(1/(1-'P-Parametri'!$B$6*B970))+MIN(MAX(0,G969-(MAX(0,B946-IF($A970&gt;='1-Input'!$C$12,'1-Input'!$B$12,0))-MIN(MAX(F969,0),MAX(0,B946-IF($A970&gt;='1-Input'!$C$12,'1-Input'!$B$12,0))))*(1/(1-'P-Parametri'!$B$6*B970))),MAX(0,2*B946-(F969-MIN(MAX(F969,0),MAX(0,B946-IF($A970&gt;='1-Input'!$C$12,'1-Input'!$B$12,0)))))*(1/(1-'P-Parametri'!$B$6*B970))))</f>
        <v>18953.655038655448</v>
      </c>
      <c r="D970" s="18">
        <f>IF($A970&gt;'1-Input'!$B$26,F969,(F969-MAX(0,B946-IF($A970&gt;='1-Input'!$C$12,'1-Input'!$B$12,0))+C970*(1-'P-Parametri'!$B$6*B970))*(1+'1-Input'!$B$27))</f>
        <v>33242.0070309863</v>
      </c>
      <c r="E970" s="18">
        <f>IF($A970&gt;'1-Input'!$B$26,G969,(G969-C970)*(1+'5-Roberta'!$C$4))</f>
        <v>195871.85495311438</v>
      </c>
      <c r="F970" s="18">
        <f>IF($A970&gt;'1-Input'!$B$26,D970,D970-'P-Parametri'!$B$8*(E970+D970)+MIN(MAX(E970,0),'P-Parametri'!$B$8*(E970+D970)))</f>
        <v>33242.0070309863</v>
      </c>
      <c r="G970" s="18">
        <f>IF($A970&gt;'1-Input'!$B$26,E970,E970-MIN(MAX(E970,0),'P-Parametri'!$B$8*(E970+D970)))</f>
        <v>195413.62722914616</v>
      </c>
      <c r="H970" s="18">
        <f>IF($A970&gt;'1-Input'!$B$26,H969,H969-C970*(1-B970))</f>
        <v>107103.22646616871</v>
      </c>
      <c r="I970" s="11">
        <f>IF($A970&gt;'1-Input'!$B$26,0,IF(N969&lt;=0,0,MAX(0,(N969-O969)/N969)))</f>
        <v>0.43193477036959005</v>
      </c>
      <c r="J970" s="18">
        <f>IF($A970&gt;'1-Input'!$B$26,0,(MAX(0,I946-IF($A970&gt;='1-Input'!$C$12,'1-Input'!$B$12,0))-MIN(MAX(M969,0),MAX(0,I946-IF($A970&gt;='1-Input'!$C$12,'1-Input'!$B$12,0))))*(1/(1-'P-Parametri'!$B$6*I970))+MIN(MAX(0,N969-(MAX(0,I946-IF($A970&gt;='1-Input'!$C$12,'1-Input'!$B$12,0))-MIN(MAX(M969,0),MAX(0,I946-IF($A970&gt;='1-Input'!$C$12,'1-Input'!$B$12,0))))*(1/(1-'P-Parametri'!$B$6*I970))),MAX(0,2*I946-(M969-MIN(MAX(M969,0),MAX(0,I946-IF($A970&gt;='1-Input'!$C$12,'1-Input'!$B$12,0)))))*(1/(1-'P-Parametri'!$B$6*I970))))</f>
        <v>24903.530198697033</v>
      </c>
      <c r="K970" s="18">
        <f>IF($A970&gt;'1-Input'!$B$26,M969,(M969-MAX(0,I946-IF($A970&gt;='1-Input'!$C$12,'1-Input'!$B$12,0))+J970*(1-'P-Parametri'!$B$6*I970))*(1+'1-Input'!$B$27))</f>
        <v>43739.482935508291</v>
      </c>
      <c r="L970" s="18">
        <f>IF($A970&gt;'1-Input'!$B$26,N969,(N969-J970)*(1+'5-Roberta'!$C$4))</f>
        <v>3254.2837133606031</v>
      </c>
      <c r="M970" s="18">
        <f>IF($A970&gt;'1-Input'!$B$26,K970,K970-'P-Parametri'!$B$8*(L970+K970)+MIN(MAX(L970,0),'P-Parametri'!$B$8*(L970+K970)))</f>
        <v>43739.482935508291</v>
      </c>
      <c r="N970" s="18">
        <f>IF($A970&gt;'1-Input'!$B$26,L970,L970-MIN(MAX(L970,0),'P-Parametri'!$B$8*(L970+K970)))</f>
        <v>3160.2961800628655</v>
      </c>
      <c r="O970" s="18">
        <f>IF($A970&gt;'1-Input'!$B$26,O969,O969-J970*(1-I970))</f>
        <v>1794.8013834103822</v>
      </c>
      <c r="P970" s="11">
        <f>IF($A970&gt;'1-Input'!$B$26,0,IF(U969&lt;=0,0,MAX(0,(U969-V969)/U969)))</f>
        <v>0.43589152661890068</v>
      </c>
      <c r="Q970" s="18">
        <f>IF($A970&gt;'1-Input'!$B$26,0,(MAX(0,P946-IF($A970&gt;='1-Input'!$C$12,'1-Input'!$B$12,0))-MIN(MAX(T969,0),MAX(0,P946-IF($A970&gt;='1-Input'!$C$12,'1-Input'!$B$12,0))))*(1/(1-'P-Parametri'!$B$6*P970))+MIN(MAX(0,U969-(MAX(0,P946-IF($A970&gt;='1-Input'!$C$12,'1-Input'!$B$12,0))-MIN(MAX(T969,0),MAX(0,P946-IF($A970&gt;='1-Input'!$C$12,'1-Input'!$B$12,0))))*(1/(1-'P-Parametri'!$B$6*P970))),MAX(0,2*P946-(T969-MIN(MAX(T969,0),MAX(0,P946-IF($A970&gt;='1-Input'!$C$12,'1-Input'!$B$12,0)))))*(1/(1-'P-Parametri'!$B$6*P970))))</f>
        <v>21352.724821149997</v>
      </c>
      <c r="R970" s="18">
        <f>IF($A970&gt;'1-Input'!$B$26,T969,(T969-MAX(0,P946-IF($A970&gt;='1-Input'!$C$12,'1-Input'!$B$12,0))+Q970*(1-'P-Parametri'!$B$6*P970))*(1+'1-Input'!$B$27))</f>
        <v>37459.539579583834</v>
      </c>
      <c r="S970" s="18">
        <f>IF($A970&gt;'1-Input'!$B$26,U969,(U969-Q970)*(1+'5-Roberta'!$C$4))</f>
        <v>118452.7813825066</v>
      </c>
      <c r="T970" s="18">
        <f>IF($A970&gt;'1-Input'!$B$26,R970,R970-'P-Parametri'!$B$8*(S970+R970)+MIN(MAX(S970,0),'P-Parametri'!$B$8*(S970+R970)))</f>
        <v>37459.539579583834</v>
      </c>
      <c r="U970" s="18">
        <f>IF($A970&gt;'1-Input'!$B$26,S970,S970-MIN(MAX(S970,0),'P-Parametri'!$B$8*(S970+R970)))</f>
        <v>118140.95674058242</v>
      </c>
      <c r="V970" s="18">
        <f>IF($A970&gt;'1-Input'!$B$26,V969,V969-Q970*(1-P970))</f>
        <v>64873.997741195053</v>
      </c>
      <c r="W970" s="11">
        <f>IF($A970&gt;'1-Input'!$B$26,0,IF(AB969&lt;=0,0,MAX(0,(AB969-AC969)/AB969)))</f>
        <v>0.43602874947290093</v>
      </c>
      <c r="X970" s="18">
        <f>IF($A970&gt;'1-Input'!$B$26,0,(MAX(0,W946-IF($A970&gt;='1-Input'!$C$12,'1-Input'!$B$12,0))-MIN(MAX(AA969,0),MAX(0,W946-IF($A970&gt;='1-Input'!$C$12,'1-Input'!$B$12,0))))*(1/(1-'P-Parametri'!$B$6*W970))+MIN(MAX(0,AB969-(MAX(0,W946-IF($A970&gt;='1-Input'!$C$12,'1-Input'!$B$12,0))-MIN(MAX(AA969,0),MAX(0,W946-IF($A970&gt;='1-Input'!$C$12,'1-Input'!$B$12,0))))*(1/(1-'P-Parametri'!$B$6*W970))),MAX(0,2*W946-(AA969-MIN(MAX(AA969,0),MAX(0,W946-IF($A970&gt;='1-Input'!$C$12,'1-Input'!$B$12,0)))))*(1/(1-'P-Parametri'!$B$6*W970))))</f>
        <v>21056.236058205257</v>
      </c>
      <c r="Y970" s="18">
        <f>IF($A970&gt;'1-Input'!$B$26,AA969,(AA969-MAX(0,W946-IF($A970&gt;='1-Input'!$C$12,'1-Input'!$B$12,0))+X970*(1-'P-Parametri'!$B$6*W970))*(1+'1-Input'!$B$27))</f>
        <v>36937.916657430564</v>
      </c>
      <c r="Z970" s="18">
        <f>IF($A970&gt;'1-Input'!$B$26,AB969,(AB969-X970)*(1+'5-Roberta'!$C$4))</f>
        <v>128026.55321708031</v>
      </c>
      <c r="AA970" s="18">
        <f>IF($A970&gt;'1-Input'!$B$26,Y970,Y970-'P-Parametri'!$B$8*(Z970+Y970)+MIN(MAX(Z970,0),'P-Parametri'!$B$8*(Z970+Y970)))</f>
        <v>36937.916657430564</v>
      </c>
      <c r="AB970" s="18">
        <f>IF($A970&gt;'1-Input'!$B$26,Z970,Z970-MIN(MAX(Z970,0),'P-Parametri'!$B$8*(Z970+Y970)))</f>
        <v>127696.62427733128</v>
      </c>
      <c r="AC970" s="18">
        <f>IF($A970&gt;'1-Input'!$B$26,AC969,AC969-X970*(1-W970))</f>
        <v>70100.286717000941</v>
      </c>
      <c r="AD970" s="11">
        <f>IF($A970&gt;'1-Input'!$B$26,0,IF(AI969&lt;=0,0,MAX(0,(AI969-AJ969)/AI969)))</f>
        <v>0.4360367626478866</v>
      </c>
      <c r="AE970" s="18">
        <f>IF($A970&gt;'1-Input'!$B$26,0,(MAX(0,AD946-IF($A970&gt;='1-Input'!$C$12,'1-Input'!$B$12,0))-MIN(MAX(AH969,0),MAX(0,AD946-IF($A970&gt;='1-Input'!$C$12,'1-Input'!$B$12,0))))*(1/(1-'P-Parametri'!$B$6*AD970))+MIN(MAX(0,AI969-(MAX(0,AD946-IF($A970&gt;='1-Input'!$C$12,'1-Input'!$B$12,0))-MIN(MAX(AH969,0),MAX(0,AD946-IF($A970&gt;='1-Input'!$C$12,'1-Input'!$B$12,0))))*(1/(1-'P-Parametri'!$B$6*AD970))),MAX(0,2*AD946-(AH969-MIN(MAX(AH969,0),MAX(0,AD946-IF($A970&gt;='1-Input'!$C$12,'1-Input'!$B$12,0)))))*(1/(1-'P-Parametri'!$B$6*AD970))))</f>
        <v>21038.262777305208</v>
      </c>
      <c r="AF970" s="18">
        <f>IF($A970&gt;'1-Input'!$B$26,AH969,(AH969-MAX(0,AD946-IF($A970&gt;='1-Input'!$C$12,'1-Input'!$B$12,0))+AE970*(1-'P-Parametri'!$B$6*AD970))*(1+'1-Input'!$B$27))</f>
        <v>36906.300293679626</v>
      </c>
      <c r="AG970" s="18">
        <f>IF($A970&gt;'1-Input'!$B$26,AI969,(AI969-AE970)*(1+'5-Roberta'!$C$4))</f>
        <v>128606.84883124336</v>
      </c>
      <c r="AH970" s="18">
        <f>IF($A970&gt;'1-Input'!$B$26,AF970,AF970-'P-Parametri'!$B$8*(AG970+AF970)+MIN(MAX(AG970,0),'P-Parametri'!$B$8*(AG970+AF970)))</f>
        <v>36906.300293679626</v>
      </c>
      <c r="AI970" s="18">
        <f>IF($A970&gt;'1-Input'!$B$26,AG970,AG970-MIN(MAX(AG970,0),'P-Parametri'!$B$8*(AG970+AF970)))</f>
        <v>128275.82253299352</v>
      </c>
      <c r="AJ970" s="18">
        <f>IF($A970&gt;'1-Input'!$B$26,AJ969,AJ969-AE970*(1-AD970))</f>
        <v>70417.024089827057</v>
      </c>
      <c r="AK970" s="11">
        <f>IF($A970&gt;'1-Input'!$B$26,0,IF(AP969&lt;=0,0,MAX(0,(AP969-AQ969)/AP969)))</f>
        <v>0.43603658075440183</v>
      </c>
      <c r="AL970" s="18">
        <f>IF($A970&gt;'1-Input'!$B$26,0,(MAX(0,AK946-IF($A970&gt;='1-Input'!$C$12,'1-Input'!$B$12,0))-MIN(MAX(AO969,0),MAX(0,AK946-IF($A970&gt;='1-Input'!$C$12,'1-Input'!$B$12,0))))*(1/(1-'P-Parametri'!$B$6*AK970))+MIN(MAX(0,AP969-(MAX(0,AK946-IF($A970&gt;='1-Input'!$C$12,'1-Input'!$B$12,0))-MIN(MAX(AO969,0),MAX(0,AK946-IF($A970&gt;='1-Input'!$C$12,'1-Input'!$B$12,0))))*(1/(1-'P-Parametri'!$B$6*AK970))),MAX(0,2*AK946-(AO969-MIN(MAX(AO969,0),MAX(0,AK946-IF($A970&gt;='1-Input'!$C$12,'1-Input'!$B$12,0)))))*(1/(1-'P-Parametri'!$B$6*AK970))))</f>
        <v>21038.671586781231</v>
      </c>
      <c r="AM970" s="18">
        <f>IF($A970&gt;'1-Input'!$B$26,AO969,(AO969-MAX(0,AK946-IF($A970&gt;='1-Input'!$C$12,'1-Input'!$B$12,0))+AL970*(1-'P-Parametri'!$B$6*AK970))*(1+'1-Input'!$B$27))</f>
        <v>36907.0194148972</v>
      </c>
      <c r="AN970" s="18">
        <f>IF($A970&gt;'1-Input'!$B$26,AP969,(AP969-AL970)*(1+'5-Roberta'!$C$4))</f>
        <v>128593.64986045012</v>
      </c>
      <c r="AO970" s="18">
        <f>IF($A970&gt;'1-Input'!$B$26,AM970,AM970-'P-Parametri'!$B$8*(AN970+AM970)+MIN(MAX(AN970,0),'P-Parametri'!$B$8*(AN970+AM970)))</f>
        <v>36907.0194148972</v>
      </c>
      <c r="AP970" s="18">
        <f>IF($A970&gt;'1-Input'!$B$26,AN970,AN970-MIN(MAX(AN970,0),'P-Parametri'!$B$8*(AN970+AM970)))</f>
        <v>128262.64852189943</v>
      </c>
      <c r="AQ970" s="18">
        <f>IF($A970&gt;'1-Input'!$B$26,AQ969,AQ969-AL970*(1-AK970))</f>
        <v>70409.81987239873</v>
      </c>
    </row>
    <row r="971" spans="1:43">
      <c r="A971" s="10">
        <f>23</f>
        <v>23</v>
      </c>
      <c r="B971" s="11">
        <f>IF($A971&gt;'1-Input'!$B$26,0,IF(G970&lt;=0,0,MAX(0,(G970-H970)/G970)))</f>
        <v>0.4519152631020088</v>
      </c>
      <c r="C971" s="18">
        <f>IF($A971&gt;'1-Input'!$B$26,0,(MAX(0,B946-IF($A971&gt;='1-Input'!$C$12,'1-Input'!$B$12,0))-MIN(MAX(F970,0),MAX(0,B946-IF($A971&gt;='1-Input'!$C$12,'1-Input'!$B$12,0))))*(1/(1-'P-Parametri'!$B$6*B971))+MIN(MAX(0,G970-(MAX(0,B946-IF($A971&gt;='1-Input'!$C$12,'1-Input'!$B$12,0))-MIN(MAX(F970,0),MAX(0,B946-IF($A971&gt;='1-Input'!$C$12,'1-Input'!$B$12,0))))*(1/(1-'P-Parametri'!$B$6*B971))),MAX(0,2*B946-(F970-MIN(MAX(F970,0),MAX(0,B946-IF($A971&gt;='1-Input'!$C$12,'1-Input'!$B$12,0)))))*(1/(1-'P-Parametri'!$B$6*B971))))</f>
        <v>6457.9555727486531</v>
      </c>
      <c r="D971" s="18">
        <f>IF($A971&gt;'1-Input'!$B$26,F970,(F970-MAX(0,B946-IF($A971&gt;='1-Input'!$C$12,'1-Input'!$B$12,0))+C971*(1-'P-Parametri'!$B$6*B971))*(1+'1-Input'!$B$27))</f>
        <v>33242.0070309863</v>
      </c>
      <c r="E971" s="18">
        <f>IF($A971&gt;'1-Input'!$B$26,G970,(G970-C971)*(1+'5-Roberta'!$C$4))</f>
        <v>194624.34180608945</v>
      </c>
      <c r="F971" s="18">
        <f>IF($A971&gt;'1-Input'!$B$26,D971,D971-'P-Parametri'!$B$8*(E971+D971)+MIN(MAX(E971,0),'P-Parametri'!$B$8*(E971+D971)))</f>
        <v>33242.0070309863</v>
      </c>
      <c r="G971" s="18">
        <f>IF($A971&gt;'1-Input'!$B$26,E971,E971-MIN(MAX(E971,0),'P-Parametri'!$B$8*(E971+D971)))</f>
        <v>194168.60910841529</v>
      </c>
      <c r="H971" s="18">
        <f>IF($A971&gt;'1-Input'!$B$26,H970,H970-C971*(1-B971))</f>
        <v>103563.71958517985</v>
      </c>
      <c r="I971" s="11">
        <f>IF($A971&gt;'1-Input'!$B$26,0,IF(N970&lt;=0,0,MAX(0,(N970-O970)/N970)))</f>
        <v>0.43207810877565295</v>
      </c>
      <c r="J971" s="18">
        <f>IF($A971&gt;'1-Input'!$B$26,0,(MAX(0,I946-IF($A971&gt;='1-Input'!$C$12,'1-Input'!$B$12,0))-MIN(MAX(M970,0),MAX(0,I946-IF($A971&gt;='1-Input'!$C$12,'1-Input'!$B$12,0))))*(1/(1-'P-Parametri'!$B$6*I971))+MIN(MAX(0,N970-(MAX(0,I946-IF($A971&gt;='1-Input'!$C$12,'1-Input'!$B$12,0))-MIN(MAX(M970,0),MAX(0,I946-IF($A971&gt;='1-Input'!$C$12,'1-Input'!$B$12,0))))*(1/(1-'P-Parametri'!$B$6*I971))),MAX(0,2*I946-(M970-MIN(MAX(M970,0),MAX(0,I946-IF($A971&gt;='1-Input'!$C$12,'1-Input'!$B$12,0)))))*(1/(1-'P-Parametri'!$B$6*I971))))</f>
        <v>3160.2961800628655</v>
      </c>
      <c r="K971" s="18">
        <f>IF($A971&gt;'1-Input'!$B$26,M970,(M970-MAX(0,I946-IF($A971&gt;='1-Input'!$C$12,'1-Input'!$B$12,0))+J971*(1-'P-Parametri'!$B$6*I971))*(1+'1-Input'!$B$27))</f>
        <v>35569.480699000975</v>
      </c>
      <c r="L971" s="18">
        <f>IF($A971&gt;'1-Input'!$B$26,N970,(N970-J971)*(1+'5-Roberta'!$C$4))</f>
        <v>0</v>
      </c>
      <c r="M971" s="18">
        <f>IF($A971&gt;'1-Input'!$B$26,K971,K971-'P-Parametri'!$B$8*(L971+K971)+MIN(MAX(L971,0),'P-Parametri'!$B$8*(L971+K971)))</f>
        <v>35498.341737602976</v>
      </c>
      <c r="N971" s="18">
        <f>IF($A971&gt;'1-Input'!$B$26,L971,L971-MIN(MAX(L971,0),'P-Parametri'!$B$8*(L971+K971)))</f>
        <v>0</v>
      </c>
      <c r="O971" s="18">
        <f>IF($A971&gt;'1-Input'!$B$26,O970,O970-J971*(1-I971))</f>
        <v>-2.2737367544323206E-13</v>
      </c>
      <c r="P971" s="11">
        <f>IF($A971&gt;'1-Input'!$B$26,0,IF(U970&lt;=0,0,MAX(0,(U970-V970)/U970)))</f>
        <v>0.45087631308380727</v>
      </c>
      <c r="Q971" s="18">
        <f>IF($A971&gt;'1-Input'!$B$26,0,(MAX(0,P946-IF($A971&gt;='1-Input'!$C$12,'1-Input'!$B$12,0))-MIN(MAX(T970,0),MAX(0,P946-IF($A971&gt;='1-Input'!$C$12,'1-Input'!$B$12,0))))*(1/(1-'P-Parametri'!$B$6*P971))+MIN(MAX(0,U970-(MAX(0,P946-IF($A971&gt;='1-Input'!$C$12,'1-Input'!$B$12,0))-MIN(MAX(T970,0),MAX(0,P946-IF($A971&gt;='1-Input'!$C$12,'1-Input'!$B$12,0))))*(1/(1-'P-Parametri'!$B$6*P971))),MAX(0,2*P946-(T970-MIN(MAX(T970,0),MAX(0,P946-IF($A971&gt;='1-Input'!$C$12,'1-Input'!$B$12,0)))))*(1/(1-'P-Parametri'!$B$6*P971))))</f>
        <v>8870.6718622006392</v>
      </c>
      <c r="R971" s="18">
        <f>IF($A971&gt;'1-Input'!$B$26,T970,(T970-MAX(0,P946-IF($A971&gt;='1-Input'!$C$12,'1-Input'!$B$12,0))+Q971*(1-'P-Parametri'!$B$6*P971))*(1+'1-Input'!$B$27))</f>
        <v>37459.539579583834</v>
      </c>
      <c r="S971" s="18">
        <f>IF($A971&gt;'1-Input'!$B$26,U970,(U970-Q971)*(1+'5-Roberta'!$C$4))</f>
        <v>112548.39342473324</v>
      </c>
      <c r="T971" s="18">
        <f>IF($A971&gt;'1-Input'!$B$26,R971,R971-'P-Parametri'!$B$8*(S971+R971)+MIN(MAX(S971,0),'P-Parametri'!$B$8*(S971+R971)))</f>
        <v>37459.539579583834</v>
      </c>
      <c r="U971" s="18">
        <f>IF($A971&gt;'1-Input'!$B$26,S971,S971-MIN(MAX(S971,0),'P-Parametri'!$B$8*(S971+R971)))</f>
        <v>112248.37755872461</v>
      </c>
      <c r="V971" s="18">
        <f>IF($A971&gt;'1-Input'!$B$26,V970,V970-Q971*(1-P971))</f>
        <v>60002.901702799711</v>
      </c>
      <c r="W971" s="11">
        <f>IF($A971&gt;'1-Input'!$B$26,0,IF(AB970&lt;=0,0,MAX(0,(AB970-AC970)/AB970)))</f>
        <v>0.4510404083606997</v>
      </c>
      <c r="X971" s="18">
        <f>IF($A971&gt;'1-Input'!$B$26,0,(MAX(0,W946-IF($A971&gt;='1-Input'!$C$12,'1-Input'!$B$12,0))-MIN(MAX(AA970,0),MAX(0,W946-IF($A971&gt;='1-Input'!$C$12,'1-Input'!$B$12,0))))*(1/(1-'P-Parametri'!$B$6*W971))+MIN(MAX(0,AB970-(MAX(0,W946-IF($A971&gt;='1-Input'!$C$12,'1-Input'!$B$12,0))-MIN(MAX(AA970,0),MAX(0,W946-IF($A971&gt;='1-Input'!$C$12,'1-Input'!$B$12,0))))*(1/(1-'P-Parametri'!$B$6*W971))),MAX(0,2*W946-(AA970-MIN(MAX(AA970,0),MAX(0,W946-IF($A971&gt;='1-Input'!$C$12,'1-Input'!$B$12,0)))))*(1/(1-'P-Parametri'!$B$6*W971))))</f>
        <v>8572.4378749012049</v>
      </c>
      <c r="Y971" s="18">
        <f>IF($A971&gt;'1-Input'!$B$26,AA970,(AA970-MAX(0,W946-IF($A971&gt;='1-Input'!$C$12,'1-Input'!$B$12,0))+X971*(1-'P-Parametri'!$B$6*W971))*(1+'1-Input'!$B$27))</f>
        <v>36937.916657430564</v>
      </c>
      <c r="Z971" s="18">
        <f>IF($A971&gt;'1-Input'!$B$26,AB970,(AB970-X971)*(1+'5-Roberta'!$C$4))</f>
        <v>122697.91199450298</v>
      </c>
      <c r="AA971" s="18">
        <f>IF($A971&gt;'1-Input'!$B$26,Y971,Y971-'P-Parametri'!$B$8*(Z971+Y971)+MIN(MAX(Z971,0),'P-Parametri'!$B$8*(Z971+Y971)))</f>
        <v>36937.916657430564</v>
      </c>
      <c r="AB971" s="18">
        <f>IF($A971&gt;'1-Input'!$B$26,Z971,Z971-MIN(MAX(Z971,0),'P-Parametri'!$B$8*(Z971+Y971)))</f>
        <v>122378.64033719912</v>
      </c>
      <c r="AC971" s="18">
        <f>IF($A971&gt;'1-Input'!$B$26,AC970,AC970-X971*(1-W971))</f>
        <v>65394.364721841906</v>
      </c>
      <c r="AD971" s="11">
        <f>IF($A971&gt;'1-Input'!$B$26,0,IF(AI970&lt;=0,0,MAX(0,(AI970-AJ970)/AI970)))</f>
        <v>0.45104991182796539</v>
      </c>
      <c r="AE971" s="18">
        <f>IF($A971&gt;'1-Input'!$B$26,0,(MAX(0,AD946-IF($A971&gt;='1-Input'!$C$12,'1-Input'!$B$12,0))-MIN(MAX(AH970,0),MAX(0,AD946-IF($A971&gt;='1-Input'!$C$12,'1-Input'!$B$12,0))))*(1/(1-'P-Parametri'!$B$6*AD971))+MIN(MAX(0,AI970-(MAX(0,AD946-IF($A971&gt;='1-Input'!$C$12,'1-Input'!$B$12,0))-MIN(MAX(AH970,0),MAX(0,AD946-IF($A971&gt;='1-Input'!$C$12,'1-Input'!$B$12,0))))*(1/(1-'P-Parametri'!$B$6*AD971))),MAX(0,2*AD946-(AH970-MIN(MAX(AH970,0),MAX(0,AD946-IF($A971&gt;='1-Input'!$C$12,'1-Input'!$B$12,0)))))*(1/(1-'P-Parametri'!$B$6*AD971))))</f>
        <v>8554.3594146088017</v>
      </c>
      <c r="AF971" s="18">
        <f>IF($A971&gt;'1-Input'!$B$26,AH970,(AH970-MAX(0,AD946-IF($A971&gt;='1-Input'!$C$12,'1-Input'!$B$12,0))+AE971*(1-'P-Parametri'!$B$6*AD971))*(1+'1-Input'!$B$27))</f>
        <v>36906.300293679618</v>
      </c>
      <c r="AG971" s="18">
        <f>IF($A971&gt;'1-Input'!$B$26,AI970,(AI970-AE971)*(1+'5-Roberta'!$C$4))</f>
        <v>123313.10701193627</v>
      </c>
      <c r="AH971" s="18">
        <f>IF($A971&gt;'1-Input'!$B$26,AF971,AF971-'P-Parametri'!$B$8*(AG971+AF971)+MIN(MAX(AG971,0),'P-Parametri'!$B$8*(AG971+AF971)))</f>
        <v>36906.300293679618</v>
      </c>
      <c r="AI971" s="18">
        <f>IF($A971&gt;'1-Input'!$B$26,AG971,AG971-MIN(MAX(AG971,0),'P-Parametri'!$B$8*(AG971+AF971)))</f>
        <v>122992.66819732504</v>
      </c>
      <c r="AJ971" s="18">
        <f>IF($A971&gt;'1-Input'!$B$26,AJ970,AJ970-AE971*(1-AD971))</f>
        <v>65721.107734922276</v>
      </c>
      <c r="AK971" s="11">
        <f>IF($A971&gt;'1-Input'!$B$26,0,IF(AP970&lt;=0,0,MAX(0,(AP970-AQ970)/AP970)))</f>
        <v>0.45104969619914698</v>
      </c>
      <c r="AL971" s="18">
        <f>IF($A971&gt;'1-Input'!$B$26,0,(MAX(0,AK946-IF($A971&gt;='1-Input'!$C$12,'1-Input'!$B$12,0))-MIN(MAX(AO970,0),MAX(0,AK946-IF($A971&gt;='1-Input'!$C$12,'1-Input'!$B$12,0))))*(1/(1-'P-Parametri'!$B$6*AK971))+MIN(MAX(0,AP970-(MAX(0,AK946-IF($A971&gt;='1-Input'!$C$12,'1-Input'!$B$12,0))-MIN(MAX(AO970,0),MAX(0,AK946-IF($A971&gt;='1-Input'!$C$12,'1-Input'!$B$12,0))))*(1/(1-'P-Parametri'!$B$6*AK971))),MAX(0,2*AK946-(AO970-MIN(MAX(AO970,0),MAX(0,AK946-IF($A971&gt;='1-Input'!$C$12,'1-Input'!$B$12,0)))))*(1/(1-'P-Parametri'!$B$6*AK971))))</f>
        <v>8554.7706156640234</v>
      </c>
      <c r="AM971" s="18">
        <f>IF($A971&gt;'1-Input'!$B$26,AO970,(AO970-MAX(0,AK946-IF($A971&gt;='1-Input'!$C$12,'1-Input'!$B$12,0))+AL971*(1-'P-Parametri'!$B$6*AK971))*(1+'1-Input'!$B$27))</f>
        <v>36907.019414897208</v>
      </c>
      <c r="AN971" s="18">
        <f>IF($A971&gt;'1-Input'!$B$26,AP970,(AP970-AL971)*(1+'5-Roberta'!$C$4))</f>
        <v>123299.11424342247</v>
      </c>
      <c r="AO971" s="18">
        <f>IF($A971&gt;'1-Input'!$B$26,AM971,AM971-'P-Parametri'!$B$8*(AN971+AM971)+MIN(MAX(AN971,0),'P-Parametri'!$B$8*(AN971+AM971)))</f>
        <v>36907.019414897208</v>
      </c>
      <c r="AP971" s="18">
        <f>IF($A971&gt;'1-Input'!$B$26,AN971,AN971-MIN(MAX(AN971,0),'P-Parametri'!$B$8*(AN971+AM971)))</f>
        <v>122978.70197610583</v>
      </c>
      <c r="AQ971" s="18">
        <f>IF($A971&gt;'1-Input'!$B$26,AQ970,AQ970-AL971*(1-AK971))</f>
        <v>65713.675943983355</v>
      </c>
    </row>
    <row r="972" spans="1:43">
      <c r="A972" s="10">
        <f>24</f>
        <v>24</v>
      </c>
      <c r="B972" s="11">
        <f>IF($A972&gt;'1-Input'!$B$26,0,IF(G971&lt;=0,0,MAX(0,(G971-H971)/G971)))</f>
        <v>0.46662995599173096</v>
      </c>
      <c r="C972" s="18">
        <f>IF($A972&gt;'1-Input'!$B$26,0,(MAX(0,B946-IF($A972&gt;='1-Input'!$C$12,'1-Input'!$B$12,0))-MIN(MAX(F971,0),MAX(0,B946-IF($A972&gt;='1-Input'!$C$12,'1-Input'!$B$12,0))))*(1/(1-'P-Parametri'!$B$6*B972))+MIN(MAX(0,G971-(MAX(0,B946-IF($A972&gt;='1-Input'!$C$12,'1-Input'!$B$12,0))-MIN(MAX(F971,0),MAX(0,B946-IF($A972&gt;='1-Input'!$C$12,'1-Input'!$B$12,0))))*(1/(1-'P-Parametri'!$B$6*B972))),MAX(0,2*B946-(F971-MIN(MAX(F971,0),MAX(0,B946-IF($A972&gt;='1-Input'!$C$12,'1-Input'!$B$12,0)))))*(1/(1-'P-Parametri'!$B$6*B972))))</f>
        <v>6486.073981150822</v>
      </c>
      <c r="D972" s="18">
        <f>IF($A972&gt;'1-Input'!$B$26,F971,(F971-MAX(0,B946-IF($A972&gt;='1-Input'!$C$12,'1-Input'!$B$12,0))+C972*(1-'P-Parametri'!$B$6*B972))*(1+'1-Input'!$B$27))</f>
        <v>33242.0070309863</v>
      </c>
      <c r="E972" s="18">
        <f>IF($A972&gt;'1-Input'!$B$26,G971,(G971-C972)*(1+'5-Roberta'!$C$4))</f>
        <v>193313.0111810824</v>
      </c>
      <c r="F972" s="18">
        <f>IF($A972&gt;'1-Input'!$B$26,D972,D972-'P-Parametri'!$B$8*(E972+D972)+MIN(MAX(E972,0),'P-Parametri'!$B$8*(E972+D972)))</f>
        <v>33242.0070309863</v>
      </c>
      <c r="G972" s="18">
        <f>IF($A972&gt;'1-Input'!$B$26,E972,E972-MIN(MAX(E972,0),'P-Parametri'!$B$8*(E972+D972)))</f>
        <v>192859.90114465827</v>
      </c>
      <c r="H972" s="18">
        <f>IF($A972&gt;'1-Input'!$B$26,H971,H971-C972*(1-B972))</f>
        <v>100104.24202041254</v>
      </c>
      <c r="I972" s="11">
        <f>IF($A972&gt;'1-Input'!$B$26,0,IF(N971&lt;=0,0,MAX(0,(N971-O971)/N971)))</f>
        <v>0</v>
      </c>
      <c r="J972" s="18">
        <f>IF($A972&gt;'1-Input'!$B$26,0,(MAX(0,I946-IF($A972&gt;='1-Input'!$C$12,'1-Input'!$B$12,0))-MIN(MAX(M971,0),MAX(0,I946-IF($A972&gt;='1-Input'!$C$12,'1-Input'!$B$12,0))))*(1/(1-'P-Parametri'!$B$6*I972))+MIN(MAX(0,N971-(MAX(0,I946-IF($A972&gt;='1-Input'!$C$12,'1-Input'!$B$12,0))-MIN(MAX(M971,0),MAX(0,I946-IF($A972&gt;='1-Input'!$C$12,'1-Input'!$B$12,0))))*(1/(1-'P-Parametri'!$B$6*I972))),MAX(0,2*I946-(M971-MIN(MAX(M971,0),MAX(0,I946-IF($A972&gt;='1-Input'!$C$12,'1-Input'!$B$12,0)))))*(1/(1-'P-Parametri'!$B$6*I972))))</f>
        <v>0</v>
      </c>
      <c r="K972" s="18">
        <f>IF($A972&gt;'1-Input'!$B$26,M971,(M971-MAX(0,I946-IF($A972&gt;='1-Input'!$C$12,'1-Input'!$B$12,0))+J972*(1-'P-Parametri'!$B$6*I972))*(1+'1-Input'!$B$27))</f>
        <v>24562.839039593455</v>
      </c>
      <c r="L972" s="18">
        <f>IF($A972&gt;'1-Input'!$B$26,N971,(N971-J972)*(1+'5-Roberta'!$C$4))</f>
        <v>0</v>
      </c>
      <c r="M972" s="18">
        <f>IF($A972&gt;'1-Input'!$B$26,K972,K972-'P-Parametri'!$B$8*(L972+K972)+MIN(MAX(L972,0),'P-Parametri'!$B$8*(L972+K972)))</f>
        <v>24513.713361514267</v>
      </c>
      <c r="N972" s="18">
        <f>IF($A972&gt;'1-Input'!$B$26,L972,L972-MIN(MAX(L972,0),'P-Parametri'!$B$8*(L972+K972)))</f>
        <v>0</v>
      </c>
      <c r="O972" s="18">
        <f>IF($A972&gt;'1-Input'!$B$26,O971,O971-J972*(1-I972))</f>
        <v>-2.2737367544323206E-13</v>
      </c>
      <c r="P972" s="11">
        <f>IF($A972&gt;'1-Input'!$B$26,0,IF(U971&lt;=0,0,MAX(0,(U971-V971)/U971)))</f>
        <v>0.46544526515398232</v>
      </c>
      <c r="Q972" s="18">
        <f>IF($A972&gt;'1-Input'!$B$26,0,(MAX(0,P946-IF($A972&gt;='1-Input'!$C$12,'1-Input'!$B$12,0))-MIN(MAX(T971,0),MAX(0,P946-IF($A972&gt;='1-Input'!$C$12,'1-Input'!$B$12,0))))*(1/(1-'P-Parametri'!$B$6*P972))+MIN(MAX(0,U971-(MAX(0,P946-IF($A972&gt;='1-Input'!$C$12,'1-Input'!$B$12,0))-MIN(MAX(T971,0),MAX(0,P946-IF($A972&gt;='1-Input'!$C$12,'1-Input'!$B$12,0))))*(1/(1-'P-Parametri'!$B$6*P972))),MAX(0,2*P946-(T971-MIN(MAX(T971,0),MAX(0,P946-IF($A972&gt;='1-Input'!$C$12,'1-Input'!$B$12,0)))))*(1/(1-'P-Parametri'!$B$6*P972))))</f>
        <v>8908.8994674775277</v>
      </c>
      <c r="R972" s="18">
        <f>IF($A972&gt;'1-Input'!$B$26,T971,(T971-MAX(0,P946-IF($A972&gt;='1-Input'!$C$12,'1-Input'!$B$12,0))+Q972*(1-'P-Parametri'!$B$6*P972))*(1+'1-Input'!$B$27))</f>
        <v>37459.539579583834</v>
      </c>
      <c r="S972" s="18">
        <f>IF($A972&gt;'1-Input'!$B$26,U971,(U971-Q972)*(1+'5-Roberta'!$C$4))</f>
        <v>106439.66243398449</v>
      </c>
      <c r="T972" s="18">
        <f>IF($A972&gt;'1-Input'!$B$26,R972,R972-'P-Parametri'!$B$8*(S972+R972)+MIN(MAX(S972,0),'P-Parametri'!$B$8*(S972+R972)))</f>
        <v>37459.539579583834</v>
      </c>
      <c r="U972" s="18">
        <f>IF($A972&gt;'1-Input'!$B$26,S972,S972-MIN(MAX(S972,0),'P-Parametri'!$B$8*(S972+R972)))</f>
        <v>106151.86402995735</v>
      </c>
      <c r="V972" s="18">
        <f>IF($A972&gt;'1-Input'!$B$26,V971,V971-Q972*(1-P972))</f>
        <v>55240.607310192434</v>
      </c>
      <c r="W972" s="11">
        <f>IF($A972&gt;'1-Input'!$B$26,0,IF(AB971&lt;=0,0,MAX(0,(AB971-AC971)/AB971)))</f>
        <v>0.46563906461408733</v>
      </c>
      <c r="X972" s="18">
        <f>IF($A972&gt;'1-Input'!$B$26,0,(MAX(0,W946-IF($A972&gt;='1-Input'!$C$12,'1-Input'!$B$12,0))-MIN(MAX(AA971,0),MAX(0,W946-IF($A972&gt;='1-Input'!$C$12,'1-Input'!$B$12,0))))*(1/(1-'P-Parametri'!$B$6*W972))+MIN(MAX(0,AB971-(MAX(0,W946-IF($A972&gt;='1-Input'!$C$12,'1-Input'!$B$12,0))-MIN(MAX(AA971,0),MAX(0,W946-IF($A972&gt;='1-Input'!$C$12,'1-Input'!$B$12,0))))*(1/(1-'P-Parametri'!$B$6*W972))),MAX(0,2*W946-(AA971-MIN(MAX(AA971,0),MAX(0,W946-IF($A972&gt;='1-Input'!$C$12,'1-Input'!$B$12,0)))))*(1/(1-'P-Parametri'!$B$6*W972))))</f>
        <v>8609.457702317015</v>
      </c>
      <c r="Y972" s="18">
        <f>IF($A972&gt;'1-Input'!$B$26,AA971,(AA971-MAX(0,W946-IF($A972&gt;='1-Input'!$C$12,'1-Input'!$B$12,0))+X972*(1-'P-Parametri'!$B$6*W972))*(1+'1-Input'!$B$27))</f>
        <v>36937.916657430564</v>
      </c>
      <c r="Z972" s="18">
        <f>IF($A972&gt;'1-Input'!$B$26,AB971,(AB971-X972)*(1+'5-Roberta'!$C$4))</f>
        <v>117182.25811392858</v>
      </c>
      <c r="AA972" s="18">
        <f>IF($A972&gt;'1-Input'!$B$26,Y972,Y972-'P-Parametri'!$B$8*(Z972+Y972)+MIN(MAX(Z972,0),'P-Parametri'!$B$8*(Z972+Y972)))</f>
        <v>36937.916657430564</v>
      </c>
      <c r="AB972" s="18">
        <f>IF($A972&gt;'1-Input'!$B$26,Z972,Z972-MIN(MAX(Z972,0),'P-Parametri'!$B$8*(Z972+Y972)))</f>
        <v>116874.01776438586</v>
      </c>
      <c r="AC972" s="18">
        <f>IF($A972&gt;'1-Input'!$B$26,AC971,AC971-X972*(1-W972))</f>
        <v>60793.806850866335</v>
      </c>
      <c r="AD972" s="11">
        <f>IF($A972&gt;'1-Input'!$B$26,0,IF(AI971&lt;=0,0,MAX(0,(AI971-AJ971)/AI971)))</f>
        <v>0.46565019933154322</v>
      </c>
      <c r="AE972" s="18">
        <f>IF($A972&gt;'1-Input'!$B$26,0,(MAX(0,AD946-IF($A972&gt;='1-Input'!$C$12,'1-Input'!$B$12,0))-MIN(MAX(AH971,0),MAX(0,AD946-IF($A972&gt;='1-Input'!$C$12,'1-Input'!$B$12,0))))*(1/(1-'P-Parametri'!$B$6*AD972))+MIN(MAX(0,AI971-(MAX(0,AD946-IF($A972&gt;='1-Input'!$C$12,'1-Input'!$B$12,0))-MIN(MAX(AH971,0),MAX(0,AD946-IF($A972&gt;='1-Input'!$C$12,'1-Input'!$B$12,0))))*(1/(1-'P-Parametri'!$B$6*AD972))),MAX(0,2*AD946-(AH971-MIN(MAX(AH971,0),MAX(0,AD946-IF($A972&gt;='1-Input'!$C$12,'1-Input'!$B$12,0)))))*(1/(1-'P-Parametri'!$B$6*AD972))))</f>
        <v>8591.3054202667645</v>
      </c>
      <c r="AF972" s="18">
        <f>IF($A972&gt;'1-Input'!$B$26,AH971,(AH971-MAX(0,AD946-IF($A972&gt;='1-Input'!$C$12,'1-Input'!$B$12,0))+AE972*(1-'P-Parametri'!$B$6*AD972))*(1+'1-Input'!$B$27))</f>
        <v>36906.300293679618</v>
      </c>
      <c r="AG972" s="18">
        <f>IF($A972&gt;'1-Input'!$B$26,AI971,(AI971-AE972)*(1+'5-Roberta'!$C$4))</f>
        <v>117833.40366037002</v>
      </c>
      <c r="AH972" s="18">
        <f>IF($A972&gt;'1-Input'!$B$26,AF972,AF972-'P-Parametri'!$B$8*(AG972+AF972)+MIN(MAX(AG972,0),'P-Parametri'!$B$8*(AG972+AF972)))</f>
        <v>36906.300293679618</v>
      </c>
      <c r="AI972" s="18">
        <f>IF($A972&gt;'1-Input'!$B$26,AG972,AG972-MIN(MAX(AG972,0),'P-Parametri'!$B$8*(AG972+AF972)))</f>
        <v>117523.92425246192</v>
      </c>
      <c r="AJ972" s="18">
        <f>IF($A972&gt;'1-Input'!$B$26,AJ971,AJ971-AE972*(1-AD972))</f>
        <v>61130.345396120902</v>
      </c>
      <c r="AK972" s="11">
        <f>IF($A972&gt;'1-Input'!$B$26,0,IF(AP971&lt;=0,0,MAX(0,(AP971-AQ971)/AP971)))</f>
        <v>0.46564994679524913</v>
      </c>
      <c r="AL972" s="18">
        <f>IF($A972&gt;'1-Input'!$B$26,0,(MAX(0,AK946-IF($A972&gt;='1-Input'!$C$12,'1-Input'!$B$12,0))-MIN(MAX(AO971,0),MAX(0,AK946-IF($A972&gt;='1-Input'!$C$12,'1-Input'!$B$12,0))))*(1/(1-'P-Parametri'!$B$6*AK972))+MIN(MAX(0,AP971-(MAX(0,AK946-IF($A972&gt;='1-Input'!$C$12,'1-Input'!$B$12,0))-MIN(MAX(AO971,0),MAX(0,AK946-IF($A972&gt;='1-Input'!$C$12,'1-Input'!$B$12,0))))*(1/(1-'P-Parametri'!$B$6*AK972))),MAX(0,2*AK946-(AO971-MIN(MAX(AO971,0),MAX(0,AK946-IF($A972&gt;='1-Input'!$C$12,'1-Input'!$B$12,0)))))*(1/(1-'P-Parametri'!$B$6*AK972))))</f>
        <v>8591.7183011272864</v>
      </c>
      <c r="AM972" s="18">
        <f>IF($A972&gt;'1-Input'!$B$26,AO971,(AO971-MAX(0,AK946-IF($A972&gt;='1-Input'!$C$12,'1-Input'!$B$12,0))+AL972*(1-'P-Parametri'!$B$6*AK972))*(1+'1-Input'!$B$27))</f>
        <v>36907.019414897208</v>
      </c>
      <c r="AN972" s="18">
        <f>IF($A972&gt;'1-Input'!$B$26,AP971,(AP971-AL972)*(1+'5-Roberta'!$C$4))</f>
        <v>117818.5931852279</v>
      </c>
      <c r="AO972" s="18">
        <f>IF($A972&gt;'1-Input'!$B$26,AM972,AM972-'P-Parametri'!$B$8*(AN972+AM972)+MIN(MAX(AN972,0),'P-Parametri'!$B$8*(AN972+AM972)))</f>
        <v>36907.019414897208</v>
      </c>
      <c r="AP972" s="18">
        <f>IF($A972&gt;'1-Input'!$B$26,AN972,AN972-MIN(MAX(AN972,0),'P-Parametri'!$B$8*(AN972+AM972)))</f>
        <v>117509.14196002766</v>
      </c>
      <c r="AQ972" s="18">
        <f>IF($A972&gt;'1-Input'!$B$26,AQ971,AQ971-AL972*(1-AK972))</f>
        <v>61122.690812655754</v>
      </c>
    </row>
    <row r="973" spans="1:43">
      <c r="A973" s="10">
        <f>25</f>
        <v>25</v>
      </c>
      <c r="B973" s="11">
        <f>IF($A973&gt;'1-Input'!$B$26,0,IF(G972&lt;=0,0,MAX(0,(G972-H972)/G972)))</f>
        <v>0.48094839089787034</v>
      </c>
      <c r="C973" s="18">
        <f>IF($A973&gt;'1-Input'!$B$26,0,(MAX(0,B946-IF($A973&gt;='1-Input'!$C$12,'1-Input'!$B$12,0))-MIN(MAX(F972,0),MAX(0,B946-IF($A973&gt;='1-Input'!$C$12,'1-Input'!$B$12,0))))*(1/(1-'P-Parametri'!$B$6*B973))+MIN(MAX(0,G972-(MAX(0,B946-IF($A973&gt;='1-Input'!$C$12,'1-Input'!$B$12,0))-MIN(MAX(F972,0),MAX(0,B946-IF($A973&gt;='1-Input'!$C$12,'1-Input'!$B$12,0))))*(1/(1-'P-Parametri'!$B$6*B973))),MAX(0,2*B946-(F972-MIN(MAX(F972,0),MAX(0,B946-IF($A973&gt;='1-Input'!$C$12,'1-Input'!$B$12,0)))))*(1/(1-'P-Parametri'!$B$6*B973))))</f>
        <v>6513.6712346708</v>
      </c>
      <c r="D973" s="18">
        <f>IF($A973&gt;'1-Input'!$B$26,F972,(F972-MAX(0,B946-IF($A973&gt;='1-Input'!$C$12,'1-Input'!$B$12,0))+C973*(1-'P-Parametri'!$B$6*B973))*(1+'1-Input'!$B$27))</f>
        <v>33242.0070309863</v>
      </c>
      <c r="E973" s="18">
        <f>IF($A973&gt;'1-Input'!$B$26,G972,(G972-C973)*(1+'5-Roberta'!$C$4))</f>
        <v>191936.61680728712</v>
      </c>
      <c r="F973" s="18">
        <f>IF($A973&gt;'1-Input'!$B$26,D973,D973-'P-Parametri'!$B$8*(E973+D973)+MIN(MAX(E973,0),'P-Parametri'!$B$8*(E973+D973)))</f>
        <v>33242.0070309863</v>
      </c>
      <c r="G973" s="18">
        <f>IF($A973&gt;'1-Input'!$B$26,E973,E973-MIN(MAX(E973,0),'P-Parametri'!$B$8*(E973+D973)))</f>
        <v>191486.25955961057</v>
      </c>
      <c r="H973" s="18">
        <f>IF($A973&gt;'1-Input'!$B$26,H972,H972-C973*(1-B973))</f>
        <v>96723.310484894406</v>
      </c>
      <c r="I973" s="11">
        <f>IF($A973&gt;'1-Input'!$B$26,0,IF(N972&lt;=0,0,MAX(0,(N972-O972)/N972)))</f>
        <v>0</v>
      </c>
      <c r="J973" s="18">
        <f>IF($A973&gt;'1-Input'!$B$26,0,(MAX(0,I946-IF($A973&gt;='1-Input'!$C$12,'1-Input'!$B$12,0))-MIN(MAX(M972,0),MAX(0,I946-IF($A973&gt;='1-Input'!$C$12,'1-Input'!$B$12,0))))*(1/(1-'P-Parametri'!$B$6*I973))+MIN(MAX(0,N972-(MAX(0,I946-IF($A973&gt;='1-Input'!$C$12,'1-Input'!$B$12,0))-MIN(MAX(M972,0),MAX(0,I946-IF($A973&gt;='1-Input'!$C$12,'1-Input'!$B$12,0))))*(1/(1-'P-Parametri'!$B$6*I973))),MAX(0,2*I946-(M972-MIN(MAX(M972,0),MAX(0,I946-IF($A973&gt;='1-Input'!$C$12,'1-Input'!$B$12,0)))))*(1/(1-'P-Parametri'!$B$6*I973))))</f>
        <v>0</v>
      </c>
      <c r="K973" s="18">
        <f>IF($A973&gt;'1-Input'!$B$26,M972,(M972-MAX(0,I946-IF($A973&gt;='1-Input'!$C$12,'1-Input'!$B$12,0))+J973*(1-'P-Parametri'!$B$6*I973))*(1+'1-Input'!$B$27))</f>
        <v>13617.755325658667</v>
      </c>
      <c r="L973" s="18">
        <f>IF($A973&gt;'1-Input'!$B$26,N972,(N972-J973)*(1+'5-Roberta'!$C$4))</f>
        <v>0</v>
      </c>
      <c r="M973" s="18">
        <f>IF($A973&gt;'1-Input'!$B$26,K973,K973-'P-Parametri'!$B$8*(L973+K973)+MIN(MAX(L973,0),'P-Parametri'!$B$8*(L973+K973)))</f>
        <v>13590.51981500735</v>
      </c>
      <c r="N973" s="18">
        <f>IF($A973&gt;'1-Input'!$B$26,L973,L973-MIN(MAX(L973,0),'P-Parametri'!$B$8*(L973+K973)))</f>
        <v>0</v>
      </c>
      <c r="O973" s="18">
        <f>IF($A973&gt;'1-Input'!$B$26,O972,O972-J973*(1-I973))</f>
        <v>-2.2737367544323206E-13</v>
      </c>
      <c r="P973" s="11">
        <f>IF($A973&gt;'1-Input'!$B$26,0,IF(U972&lt;=0,0,MAX(0,(U972-V972)/U972)))</f>
        <v>0.47960775050918686</v>
      </c>
      <c r="Q973" s="18">
        <f>IF($A973&gt;'1-Input'!$B$26,0,(MAX(0,P946-IF($A973&gt;='1-Input'!$C$12,'1-Input'!$B$12,0))-MIN(MAX(T972,0),MAX(0,P946-IF($A973&gt;='1-Input'!$C$12,'1-Input'!$B$12,0))))*(1/(1-'P-Parametri'!$B$6*P973))+MIN(MAX(0,U972-(MAX(0,P946-IF($A973&gt;='1-Input'!$C$12,'1-Input'!$B$12,0))-MIN(MAX(T972,0),MAX(0,P946-IF($A973&gt;='1-Input'!$C$12,'1-Input'!$B$12,0))))*(1/(1-'P-Parametri'!$B$6*P973))),MAX(0,2*P946-(T972-MIN(MAX(T972,0),MAX(0,P946-IF($A973&gt;='1-Input'!$C$12,'1-Input'!$B$12,0)))))*(1/(1-'P-Parametri'!$B$6*P973))))</f>
        <v>8946.3776883764986</v>
      </c>
      <c r="R973" s="18">
        <f>IF($A973&gt;'1-Input'!$B$26,T972,(T972-MAX(0,P946-IF($A973&gt;='1-Input'!$C$12,'1-Input'!$B$12,0))+Q973*(1-'P-Parametri'!$B$6*P973))*(1+'1-Input'!$B$27))</f>
        <v>37459.539579583834</v>
      </c>
      <c r="S973" s="18">
        <f>IF($A973&gt;'1-Input'!$B$26,U972,(U972-Q973)*(1+'5-Roberta'!$C$4))</f>
        <v>100121.65093182828</v>
      </c>
      <c r="T973" s="18">
        <f>IF($A973&gt;'1-Input'!$B$26,R973,R973-'P-Parametri'!$B$8*(S973+R973)+MIN(MAX(S973,0),'P-Parametri'!$B$8*(S973+R973)))</f>
        <v>37459.539579583834</v>
      </c>
      <c r="U973" s="18">
        <f>IF($A973&gt;'1-Input'!$B$26,S973,S973-MIN(MAX(S973,0),'P-Parametri'!$B$8*(S973+R973)))</f>
        <v>99846.488550805458</v>
      </c>
      <c r="V973" s="18">
        <f>IF($A973&gt;'1-Input'!$B$26,V972,V972-Q973*(1-P973))</f>
        <v>50584.98170014377</v>
      </c>
      <c r="W973" s="11">
        <f>IF($A973&gt;'1-Input'!$B$26,0,IF(AB972&lt;=0,0,MAX(0,(AB972-AC972)/AB972)))</f>
        <v>0.47983471421830787</v>
      </c>
      <c r="X973" s="18">
        <f>IF($A973&gt;'1-Input'!$B$26,0,(MAX(0,W946-IF($A973&gt;='1-Input'!$C$12,'1-Input'!$B$12,0))-MIN(MAX(AA972,0),MAX(0,W946-IF($A973&gt;='1-Input'!$C$12,'1-Input'!$B$12,0))))*(1/(1-'P-Parametri'!$B$6*W973))+MIN(MAX(0,AB972-(MAX(0,W946-IF($A973&gt;='1-Input'!$C$12,'1-Input'!$B$12,0))-MIN(MAX(AA972,0),MAX(0,W946-IF($A973&gt;='1-Input'!$C$12,'1-Input'!$B$12,0))))*(1/(1-'P-Parametri'!$B$6*W973))),MAX(0,2*W946-(AA972-MIN(MAX(AA972,0),MAX(0,W946-IF($A973&gt;='1-Input'!$C$12,'1-Input'!$B$12,0)))))*(1/(1-'P-Parametri'!$B$6*W973))))</f>
        <v>8645.7634832113472</v>
      </c>
      <c r="Y973" s="18">
        <f>IF($A973&gt;'1-Input'!$B$26,AA972,(AA972-MAX(0,W946-IF($A973&gt;='1-Input'!$C$12,'1-Input'!$B$12,0))+X973*(1-'P-Parametri'!$B$6*W973))*(1+'1-Input'!$B$27))</f>
        <v>36937.916657430564</v>
      </c>
      <c r="Z973" s="18">
        <f>IF($A973&gt;'1-Input'!$B$26,AB972,(AB972-X973)*(1+'5-Roberta'!$C$4))</f>
        <v>111475.10190960974</v>
      </c>
      <c r="AA973" s="18">
        <f>IF($A973&gt;'1-Input'!$B$26,Y973,Y973-'P-Parametri'!$B$8*(Z973+Y973)+MIN(MAX(Z973,0),'P-Parametri'!$B$8*(Z973+Y973)))</f>
        <v>36937.916657430564</v>
      </c>
      <c r="AB973" s="18">
        <f>IF($A973&gt;'1-Input'!$B$26,Z973,Z973-MIN(MAX(Z973,0),'P-Parametri'!$B$8*(Z973+Y973)))</f>
        <v>111178.27587247566</v>
      </c>
      <c r="AC973" s="18">
        <f>IF($A973&gt;'1-Input'!$B$26,AC972,AC972-X973*(1-W973))</f>
        <v>56296.580817820788</v>
      </c>
      <c r="AD973" s="11">
        <f>IF($A973&gt;'1-Input'!$B$26,0,IF(AI972&lt;=0,0,MAX(0,(AI972-AJ972)/AI972)))</f>
        <v>0.47984764987252942</v>
      </c>
      <c r="AE973" s="18">
        <f>IF($A973&gt;'1-Input'!$B$26,0,(MAX(0,AD946-IF($A973&gt;='1-Input'!$C$12,'1-Input'!$B$12,0))-MIN(MAX(AH972,0),MAX(0,AD946-IF($A973&gt;='1-Input'!$C$12,'1-Input'!$B$12,0))))*(1/(1-'P-Parametri'!$B$6*AD973))+MIN(MAX(0,AI972-(MAX(0,AD946-IF($A973&gt;='1-Input'!$C$12,'1-Input'!$B$12,0))-MIN(MAX(AH972,0),MAX(0,AD946-IF($A973&gt;='1-Input'!$C$12,'1-Input'!$B$12,0))))*(1/(1-'P-Parametri'!$B$6*AD973))),MAX(0,2*AD946-(AH972-MIN(MAX(AH972,0),MAX(0,AD946-IF($A973&gt;='1-Input'!$C$12,'1-Input'!$B$12,0)))))*(1/(1-'P-Parametri'!$B$6*AD973))))</f>
        <v>8627.5393890963041</v>
      </c>
      <c r="AF973" s="18">
        <f>IF($A973&gt;'1-Input'!$B$26,AH972,(AH972-MAX(0,AD946-IF($A973&gt;='1-Input'!$C$12,'1-Input'!$B$12,0))+AE973*(1-'P-Parametri'!$B$6*AD973))*(1+'1-Input'!$B$27))</f>
        <v>36906.300293679618</v>
      </c>
      <c r="AG973" s="18">
        <f>IF($A973&gt;'1-Input'!$B$26,AI972,(AI972-AE973)*(1+'5-Roberta'!$C$4))</f>
        <v>112163.27640926659</v>
      </c>
      <c r="AH973" s="18">
        <f>IF($A973&gt;'1-Input'!$B$26,AF973,AF973-'P-Parametri'!$B$8*(AG973+AF973)+MIN(MAX(AG973,0),'P-Parametri'!$B$8*(AG973+AF973)))</f>
        <v>36906.300293679618</v>
      </c>
      <c r="AI973" s="18">
        <f>IF($A973&gt;'1-Input'!$B$26,AG973,AG973-MIN(MAX(AG973,0),'P-Parametri'!$B$8*(AG973+AF973)))</f>
        <v>111865.1372558607</v>
      </c>
      <c r="AJ973" s="18">
        <f>IF($A973&gt;'1-Input'!$B$26,AJ972,AJ972-AE973*(1-AD973))</f>
        <v>56642.710507065138</v>
      </c>
      <c r="AK973" s="11">
        <f>IF($A973&gt;'1-Input'!$B$26,0,IF(AP972&lt;=0,0,MAX(0,(AP972-AQ972)/AP972)))</f>
        <v>0.47984735661292233</v>
      </c>
      <c r="AL973" s="18">
        <f>IF($A973&gt;'1-Input'!$B$26,0,(MAX(0,AK946-IF($A973&gt;='1-Input'!$C$12,'1-Input'!$B$12,0))-MIN(MAX(AO972,0),MAX(0,AK946-IF($A973&gt;='1-Input'!$C$12,'1-Input'!$B$12,0))))*(1/(1-'P-Parametri'!$B$6*AK973))+MIN(MAX(0,AP972-(MAX(0,AK946-IF($A973&gt;='1-Input'!$C$12,'1-Input'!$B$12,0))-MIN(MAX(AO972,0),MAX(0,AK946-IF($A973&gt;='1-Input'!$C$12,'1-Input'!$B$12,0))))*(1/(1-'P-Parametri'!$B$6*AK973))),MAX(0,2*AK946-(AO972-MIN(MAX(AO972,0),MAX(0,AK946-IF($A973&gt;='1-Input'!$C$12,'1-Input'!$B$12,0)))))*(1/(1-'P-Parametri'!$B$6*AK973))))</f>
        <v>8627.953904194952</v>
      </c>
      <c r="AM973" s="18">
        <f>IF($A973&gt;'1-Input'!$B$26,AO972,(AO972-MAX(0,AK946-IF($A973&gt;='1-Input'!$C$12,'1-Input'!$B$12,0))+AL973*(1-'P-Parametri'!$B$6*AK973))*(1+'1-Input'!$B$27))</f>
        <v>36907.019414897208</v>
      </c>
      <c r="AN973" s="18">
        <f>IF($A973&gt;'1-Input'!$B$26,AP972,(AP972-AL973)*(1+'5-Roberta'!$C$4))</f>
        <v>112147.62369750769</v>
      </c>
      <c r="AO973" s="18">
        <f>IF($A973&gt;'1-Input'!$B$26,AM973,AM973-'P-Parametri'!$B$8*(AN973+AM973)+MIN(MAX(AN973,0),'P-Parametri'!$B$8*(AN973+AM973)))</f>
        <v>36907.019414897208</v>
      </c>
      <c r="AP973" s="18">
        <f>IF($A973&gt;'1-Input'!$B$26,AN973,AN973-MIN(MAX(AN973,0),'P-Parametri'!$B$8*(AN973+AM973)))</f>
        <v>111849.51441128289</v>
      </c>
      <c r="AQ973" s="18">
        <f>IF($A973&gt;'1-Input'!$B$26,AQ972,AQ972-AL973*(1-AK973))</f>
        <v>56634.837782366892</v>
      </c>
    </row>
    <row r="974" spans="1:43">
      <c r="A974" s="10">
        <f>26</f>
        <v>26</v>
      </c>
      <c r="B974" s="11">
        <f>IF($A974&gt;'1-Input'!$B$26,0,IF(G973&lt;=0,0,MAX(0,(G973-H973)/G973)))</f>
        <v>0.49488119561506194</v>
      </c>
      <c r="C974" s="18">
        <f>IF($A974&gt;'1-Input'!$B$26,0,(MAX(0,B946-IF($A974&gt;='1-Input'!$C$12,'1-Input'!$B$12,0))-MIN(MAX(F973,0),MAX(0,B946-IF($A974&gt;='1-Input'!$C$12,'1-Input'!$B$12,0))))*(1/(1-'P-Parametri'!$B$6*B974))+MIN(MAX(0,G973-(MAX(0,B946-IF($A974&gt;='1-Input'!$C$12,'1-Input'!$B$12,0))-MIN(MAX(F973,0),MAX(0,B946-IF($A974&gt;='1-Input'!$C$12,'1-Input'!$B$12,0))))*(1/(1-'P-Parametri'!$B$6*B974))),MAX(0,2*B946-(F973-MIN(MAX(F973,0),MAX(0,B946-IF($A974&gt;='1-Input'!$C$12,'1-Input'!$B$12,0)))))*(1/(1-'P-Parametri'!$B$6*B974))))</f>
        <v>6540.7516064483889</v>
      </c>
      <c r="D974" s="18">
        <f>IF($A974&gt;'1-Input'!$B$26,F973,(F973-MAX(0,B946-IF($A974&gt;='1-Input'!$C$12,'1-Input'!$B$12,0))+C974*(1-'P-Parametri'!$B$6*B974))*(1+'1-Input'!$B$27))</f>
        <v>33242.0070309863</v>
      </c>
      <c r="E974" s="18">
        <f>IF($A974&gt;'1-Input'!$B$26,G973,(G973-C974)*(1+'5-Roberta'!$C$4))</f>
        <v>190493.87319175707</v>
      </c>
      <c r="F974" s="18">
        <f>IF($A974&gt;'1-Input'!$B$26,D974,D974-'P-Parametri'!$B$8*(E974+D974)+MIN(MAX(E974,0),'P-Parametri'!$B$8*(E974+D974)))</f>
        <v>33242.0070309863</v>
      </c>
      <c r="G974" s="18">
        <f>IF($A974&gt;'1-Input'!$B$26,E974,E974-MIN(MAX(E974,0),'P-Parametri'!$B$8*(E974+D974)))</f>
        <v>190046.40143131159</v>
      </c>
      <c r="H974" s="18">
        <f>IF($A974&gt;'1-Input'!$B$26,H973,H973-C974*(1-B974))</f>
        <v>93419.453853666331</v>
      </c>
      <c r="I974" s="11">
        <f>IF($A974&gt;'1-Input'!$B$26,0,IF(N973&lt;=0,0,MAX(0,(N973-O973)/N973)))</f>
        <v>0</v>
      </c>
      <c r="J974" s="18">
        <f>IF($A974&gt;'1-Input'!$B$26,0,(MAX(0,I946-IF($A974&gt;='1-Input'!$C$12,'1-Input'!$B$12,0))-MIN(MAX(M973,0),MAX(0,I946-IF($A974&gt;='1-Input'!$C$12,'1-Input'!$B$12,0))))*(1/(1-'P-Parametri'!$B$6*I974))+MIN(MAX(0,N973-(MAX(0,I946-IF($A974&gt;='1-Input'!$C$12,'1-Input'!$B$12,0))-MIN(MAX(M973,0),MAX(0,I946-IF($A974&gt;='1-Input'!$C$12,'1-Input'!$B$12,0))))*(1/(1-'P-Parametri'!$B$6*I974))),MAX(0,2*I946-(M973-MIN(MAX(M973,0),MAX(0,I946-IF($A974&gt;='1-Input'!$C$12,'1-Input'!$B$12,0)))))*(1/(1-'P-Parametri'!$B$6*I974))))</f>
        <v>0</v>
      </c>
      <c r="K974" s="18">
        <f>IF($A974&gt;'1-Input'!$B$26,M973,(M973-MAX(0,I946-IF($A974&gt;='1-Input'!$C$12,'1-Input'!$B$12,0))+J974*(1-'P-Parametri'!$B$6*I974))*(1+'1-Input'!$B$27))</f>
        <v>2733.8852759191759</v>
      </c>
      <c r="L974" s="18">
        <f>IF($A974&gt;'1-Input'!$B$26,N973,(N973-J974)*(1+'5-Roberta'!$C$4))</f>
        <v>0</v>
      </c>
      <c r="M974" s="18">
        <f>IF($A974&gt;'1-Input'!$B$26,K974,K974-'P-Parametri'!$B$8*(L974+K974)+MIN(MAX(L974,0),'P-Parametri'!$B$8*(L974+K974)))</f>
        <v>2728.4175053673375</v>
      </c>
      <c r="N974" s="18">
        <f>IF($A974&gt;'1-Input'!$B$26,L974,L974-MIN(MAX(L974,0),'P-Parametri'!$B$8*(L974+K974)))</f>
        <v>0</v>
      </c>
      <c r="O974" s="18">
        <f>IF($A974&gt;'1-Input'!$B$26,O973,O973-J974*(1-I974))</f>
        <v>-2.2737367544323206E-13</v>
      </c>
      <c r="P974" s="11">
        <f>IF($A974&gt;'1-Input'!$B$26,0,IF(U973&lt;=0,0,MAX(0,(U973-V973)/U973)))</f>
        <v>0.49337245170715921</v>
      </c>
      <c r="Q974" s="18">
        <f>IF($A974&gt;'1-Input'!$B$26,0,(MAX(0,P946-IF($A974&gt;='1-Input'!$C$12,'1-Input'!$B$12,0))-MIN(MAX(T973,0),MAX(0,P946-IF($A974&gt;='1-Input'!$C$12,'1-Input'!$B$12,0))))*(1/(1-'P-Parametri'!$B$6*P974))+MIN(MAX(0,U973-(MAX(0,P946-IF($A974&gt;='1-Input'!$C$12,'1-Input'!$B$12,0))-MIN(MAX(T973,0),MAX(0,P946-IF($A974&gt;='1-Input'!$C$12,'1-Input'!$B$12,0))))*(1/(1-'P-Parametri'!$B$6*P974))),MAX(0,2*P946-(T973-MIN(MAX(T973,0),MAX(0,P946-IF($A974&gt;='1-Input'!$C$12,'1-Input'!$B$12,0)))))*(1/(1-'P-Parametri'!$B$6*P974))))</f>
        <v>8983.1066608912824</v>
      </c>
      <c r="R974" s="18">
        <f>IF($A974&gt;'1-Input'!$B$26,T973,(T973-MAX(0,P946-IF($A974&gt;='1-Input'!$C$12,'1-Input'!$B$12,0))+Q974*(1-'P-Parametri'!$B$6*P974))*(1+'1-Input'!$B$27))</f>
        <v>37459.539579583834</v>
      </c>
      <c r="S974" s="18">
        <f>IF($A974&gt;'1-Input'!$B$26,U973,(U973-Q974)*(1+'5-Roberta'!$C$4))</f>
        <v>93589.283346611599</v>
      </c>
      <c r="T974" s="18">
        <f>IF($A974&gt;'1-Input'!$B$26,R974,R974-'P-Parametri'!$B$8*(S974+R974)+MIN(MAX(S974,0),'P-Parametri'!$B$8*(S974+R974)))</f>
        <v>37459.539579583834</v>
      </c>
      <c r="U974" s="18">
        <f>IF($A974&gt;'1-Input'!$B$26,S974,S974-MIN(MAX(S974,0),'P-Parametri'!$B$8*(S974+R974)))</f>
        <v>93327.185700759204</v>
      </c>
      <c r="V974" s="18">
        <f>IF($A974&gt;'1-Input'!$B$26,V973,V973-Q974*(1-P974))</f>
        <v>46033.89239648333</v>
      </c>
      <c r="W974" s="11">
        <f>IF($A974&gt;'1-Input'!$B$26,0,IF(AB973&lt;=0,0,MAX(0,(AB973-AC973)/AB973)))</f>
        <v>0.49363686047448319</v>
      </c>
      <c r="X974" s="18">
        <f>IF($A974&gt;'1-Input'!$B$26,0,(MAX(0,W946-IF($A974&gt;='1-Input'!$C$12,'1-Input'!$B$12,0))-MIN(MAX(AA973,0),MAX(0,W946-IF($A974&gt;='1-Input'!$C$12,'1-Input'!$B$12,0))))*(1/(1-'P-Parametri'!$B$6*W974))+MIN(MAX(0,AB973-(MAX(0,W946-IF($A974&gt;='1-Input'!$C$12,'1-Input'!$B$12,0))-MIN(MAX(AA973,0),MAX(0,W946-IF($A974&gt;='1-Input'!$C$12,'1-Input'!$B$12,0))))*(1/(1-'P-Parametri'!$B$6*W974))),MAX(0,2*W946-(AA973-MIN(MAX(AA973,0),MAX(0,W946-IF($A974&gt;='1-Input'!$C$12,'1-Input'!$B$12,0)))))*(1/(1-'P-Parametri'!$B$6*W974))))</f>
        <v>8681.3576629280542</v>
      </c>
      <c r="Y974" s="18">
        <f>IF($A974&gt;'1-Input'!$B$26,AA973,(AA973-MAX(0,W946-IF($A974&gt;='1-Input'!$C$12,'1-Input'!$B$12,0))+X974*(1-'P-Parametri'!$B$6*W974))*(1+'1-Input'!$B$27))</f>
        <v>36937.916657430564</v>
      </c>
      <c r="Z974" s="18">
        <f>IF($A974&gt;'1-Input'!$B$26,AB973,(AB973-X974)*(1+'5-Roberta'!$C$4))</f>
        <v>105571.82575583403</v>
      </c>
      <c r="AA974" s="18">
        <f>IF($A974&gt;'1-Input'!$B$26,Y974,Y974-'P-Parametri'!$B$8*(Z974+Y974)+MIN(MAX(Z974,0),'P-Parametri'!$B$8*(Z974+Y974)))</f>
        <v>36937.916657430564</v>
      </c>
      <c r="AB974" s="18">
        <f>IF($A974&gt;'1-Input'!$B$26,Z974,Z974-MIN(MAX(Z974,0),'P-Parametri'!$B$8*(Z974+Y974)))</f>
        <v>105286.8062710075</v>
      </c>
      <c r="AC974" s="18">
        <f>IF($A974&gt;'1-Input'!$B$26,AC973,AC973-X974*(1-W974))</f>
        <v>51900.661296276638</v>
      </c>
      <c r="AD974" s="11">
        <f>IF($A974&gt;'1-Input'!$B$26,0,IF(AI973&lt;=0,0,MAX(0,(AI973-AJ973)/AI973)))</f>
        <v>0.49365180344336829</v>
      </c>
      <c r="AE974" s="18">
        <f>IF($A974&gt;'1-Input'!$B$26,0,(MAX(0,AD946-IF($A974&gt;='1-Input'!$C$12,'1-Input'!$B$12,0))-MIN(MAX(AH973,0),MAX(0,AD946-IF($A974&gt;='1-Input'!$C$12,'1-Input'!$B$12,0))))*(1/(1-'P-Parametri'!$B$6*AD974))+MIN(MAX(0,AI973-(MAX(0,AD946-IF($A974&gt;='1-Input'!$C$12,'1-Input'!$B$12,0))-MIN(MAX(AH973,0),MAX(0,AD946-IF($A974&gt;='1-Input'!$C$12,'1-Input'!$B$12,0))))*(1/(1-'P-Parametri'!$B$6*AD974))),MAX(0,2*AD946-(AH973-MIN(MAX(AH973,0),MAX(0,AD946-IF($A974&gt;='1-Input'!$C$12,'1-Input'!$B$12,0)))))*(1/(1-'P-Parametri'!$B$6*AD974))))</f>
        <v>8663.0638651885729</v>
      </c>
      <c r="AF974" s="18">
        <f>IF($A974&gt;'1-Input'!$B$26,AH973,(AH973-MAX(0,AD946-IF($A974&gt;='1-Input'!$C$12,'1-Input'!$B$12,0))+AE974*(1-'P-Parametri'!$B$6*AD974))*(1+'1-Input'!$B$27))</f>
        <v>36906.300293679618</v>
      </c>
      <c r="AG974" s="18">
        <f>IF($A974&gt;'1-Input'!$B$26,AI973,(AI973-AE974)*(1+'5-Roberta'!$C$4))</f>
        <v>106298.1355923923</v>
      </c>
      <c r="AH974" s="18">
        <f>IF($A974&gt;'1-Input'!$B$26,AF974,AF974-'P-Parametri'!$B$8*(AG974+AF974)+MIN(MAX(AG974,0),'P-Parametri'!$B$8*(AG974+AF974)))</f>
        <v>36906.300293679618</v>
      </c>
      <c r="AI974" s="18">
        <f>IF($A974&gt;'1-Input'!$B$26,AG974,AG974-MIN(MAX(AG974,0),'P-Parametri'!$B$8*(AG974+AF974)))</f>
        <v>106011.72672062015</v>
      </c>
      <c r="AJ974" s="18">
        <f>IF($A974&gt;'1-Input'!$B$26,AJ973,AJ973-AE974*(1-AD974))</f>
        <v>52256.183742271984</v>
      </c>
      <c r="AK974" s="11">
        <f>IF($A974&gt;'1-Input'!$B$26,0,IF(AP973&lt;=0,0,MAX(0,(AP973-AQ973)/AP973)))</f>
        <v>0.49365146482340189</v>
      </c>
      <c r="AL974" s="18">
        <f>IF($A974&gt;'1-Input'!$B$26,0,(MAX(0,AK946-IF($A974&gt;='1-Input'!$C$12,'1-Input'!$B$12,0))-MIN(MAX(AO973,0),MAX(0,AK946-IF($A974&gt;='1-Input'!$C$12,'1-Input'!$B$12,0))))*(1/(1-'P-Parametri'!$B$6*AK974))+MIN(MAX(0,AP973-(MAX(0,AK946-IF($A974&gt;='1-Input'!$C$12,'1-Input'!$B$12,0))-MIN(MAX(AO973,0),MAX(0,AK946-IF($A974&gt;='1-Input'!$C$12,'1-Input'!$B$12,0))))*(1/(1-'P-Parametri'!$B$6*AK974))),MAX(0,2*AK946-(AO973-MIN(MAX(AO973,0),MAX(0,AK946-IF($A974&gt;='1-Input'!$C$12,'1-Input'!$B$12,0)))))*(1/(1-'P-Parametri'!$B$6*AK974))))</f>
        <v>8663.4799667540083</v>
      </c>
      <c r="AM974" s="18">
        <f>IF($A974&gt;'1-Input'!$B$26,AO973,(AO973-MAX(0,AK946-IF($A974&gt;='1-Input'!$C$12,'1-Input'!$B$12,0))+AL974*(1-'P-Parametri'!$B$6*AK974))*(1+'1-Input'!$B$27))</f>
        <v>36907.019414897208</v>
      </c>
      <c r="AN974" s="18">
        <f>IF($A974&gt;'1-Input'!$B$26,AP973,(AP973-AL974)*(1+'5-Roberta'!$C$4))</f>
        <v>106281.61547786475</v>
      </c>
      <c r="AO974" s="18">
        <f>IF($A974&gt;'1-Input'!$B$26,AM974,AM974-'P-Parametri'!$B$8*(AN974+AM974)+MIN(MAX(AN974,0),'P-Parametri'!$B$8*(AN974+AM974)))</f>
        <v>36907.019414897208</v>
      </c>
      <c r="AP974" s="18">
        <f>IF($A974&gt;'1-Input'!$B$26,AN974,AN974-MIN(MAX(AN974,0),'P-Parametri'!$B$8*(AN974+AM974)))</f>
        <v>105995.23820807922</v>
      </c>
      <c r="AQ974" s="18">
        <f>IF($A974&gt;'1-Input'!$B$26,AQ973,AQ973-AL974*(1-AK974))</f>
        <v>52248.097391669195</v>
      </c>
    </row>
    <row r="975" spans="1:43">
      <c r="A975" s="10">
        <f>27</f>
        <v>27</v>
      </c>
      <c r="B975" s="11">
        <f>IF($A975&gt;'1-Input'!$B$26,0,IF(G974&lt;=0,0,MAX(0,(G974-H974)/G974)))</f>
        <v>0.50843871207195213</v>
      </c>
      <c r="C975" s="18">
        <f>IF($A975&gt;'1-Input'!$B$26,0,(MAX(0,B946-IF($A975&gt;='1-Input'!$C$12,'1-Input'!$B$12,0))-MIN(MAX(F974,0),MAX(0,B946-IF($A975&gt;='1-Input'!$C$12,'1-Input'!$B$12,0))))*(1/(1-'P-Parametri'!$B$6*B975))+MIN(MAX(0,G974-(MAX(0,B946-IF($A975&gt;='1-Input'!$C$12,'1-Input'!$B$12,0))-MIN(MAX(F974,0),MAX(0,B946-IF($A975&gt;='1-Input'!$C$12,'1-Input'!$B$12,0))))*(1/(1-'P-Parametri'!$B$6*B975))),MAX(0,2*B946-(F974-MIN(MAX(F974,0),MAX(0,B946-IF($A975&gt;='1-Input'!$C$12,'1-Input'!$B$12,0)))))*(1/(1-'P-Parametri'!$B$6*B975))))</f>
        <v>6567.3195860339956</v>
      </c>
      <c r="D975" s="18">
        <f>IF($A975&gt;'1-Input'!$B$26,F974,(F974-MAX(0,B946-IF($A975&gt;='1-Input'!$C$12,'1-Input'!$B$12,0))+C975*(1-'P-Parametri'!$B$6*B975))*(1+'1-Input'!$B$27))</f>
        <v>33242.0070309863</v>
      </c>
      <c r="E975" s="18">
        <f>IF($A975&gt;'1-Input'!$B$26,G974,(G974-C975)*(1+'5-Roberta'!$C$4))</f>
        <v>188983.45430063593</v>
      </c>
      <c r="F975" s="18">
        <f>IF($A975&gt;'1-Input'!$B$26,D975,D975-'P-Parametri'!$B$8*(E975+D975)+MIN(MAX(E975,0),'P-Parametri'!$B$8*(E975+D975)))</f>
        <v>33242.0070309863</v>
      </c>
      <c r="G975" s="18">
        <f>IF($A975&gt;'1-Input'!$B$26,E975,E975-MIN(MAX(E975,0),'P-Parametri'!$B$8*(E975+D975)))</f>
        <v>188539.00337797269</v>
      </c>
      <c r="H975" s="18">
        <f>IF($A975&gt;'1-Input'!$B$26,H974,H974-C975*(1-B975))</f>
        <v>90191.213779720361</v>
      </c>
      <c r="I975" s="11">
        <f>IF($A975&gt;'1-Input'!$B$26,0,IF(N974&lt;=0,0,MAX(0,(N974-O974)/N974)))</f>
        <v>0</v>
      </c>
      <c r="J975" s="18">
        <f>IF($A975&gt;'1-Input'!$B$26,0,(MAX(0,I946-IF($A975&gt;='1-Input'!$C$12,'1-Input'!$B$12,0))-MIN(MAX(M974,0),MAX(0,I946-IF($A975&gt;='1-Input'!$C$12,'1-Input'!$B$12,0))))*(1/(1-'P-Parametri'!$B$6*I975))+MIN(MAX(0,N974-(MAX(0,I946-IF($A975&gt;='1-Input'!$C$12,'1-Input'!$B$12,0))-MIN(MAX(M974,0),MAX(0,I946-IF($A975&gt;='1-Input'!$C$12,'1-Input'!$B$12,0))))*(1/(1-'P-Parametri'!$B$6*I975))),MAX(0,2*I946-(M974-MIN(MAX(M974,0),MAX(0,I946-IF($A975&gt;='1-Input'!$C$12,'1-Input'!$B$12,0)))))*(1/(1-'P-Parametri'!$B$6*I975))))</f>
        <v>8118.339487561354</v>
      </c>
      <c r="K975" s="18">
        <f>IF($A975&gt;'1-Input'!$B$26,M974,(M974-MAX(0,I946-IF($A975&gt;='1-Input'!$C$12,'1-Input'!$B$12,0))+J975*(1-'P-Parametri'!$B$6*I975))*(1+'1-Input'!$B$27))</f>
        <v>0</v>
      </c>
      <c r="L975" s="18">
        <f>IF($A975&gt;'1-Input'!$B$26,N974,(N974-J975)*(1+'5-Roberta'!$C$4))</f>
        <v>-8361.8896721881956</v>
      </c>
      <c r="M975" s="18">
        <f>IF($A975&gt;'1-Input'!$B$26,K975,K975-'P-Parametri'!$B$8*(L975+K975)+MIN(MAX(L975,0),'P-Parametri'!$B$8*(L975+K975)))</f>
        <v>0</v>
      </c>
      <c r="N975" s="18">
        <f>IF($A975&gt;'1-Input'!$B$26,L975,L975-MIN(MAX(L975,0),'P-Parametri'!$B$8*(L975+K975)))</f>
        <v>-8345.1658928438192</v>
      </c>
      <c r="O975" s="18">
        <f>IF($A975&gt;'1-Input'!$B$26,O974,O974-J975*(1-I975))</f>
        <v>-8118.339487561354</v>
      </c>
      <c r="P975" s="11">
        <f>IF($A975&gt;'1-Input'!$B$26,0,IF(U974&lt;=0,0,MAX(0,(U974-V974)/U974)))</f>
        <v>0.50674723500090657</v>
      </c>
      <c r="Q975" s="18">
        <f>IF($A975&gt;'1-Input'!$B$26,0,(MAX(0,P946-IF($A975&gt;='1-Input'!$C$12,'1-Input'!$B$12,0))-MIN(MAX(T974,0),MAX(0,P946-IF($A975&gt;='1-Input'!$C$12,'1-Input'!$B$12,0))))*(1/(1-'P-Parametri'!$B$6*P975))+MIN(MAX(0,U974-(MAX(0,P946-IF($A975&gt;='1-Input'!$C$12,'1-Input'!$B$12,0))-MIN(MAX(T974,0),MAX(0,P946-IF($A975&gt;='1-Input'!$C$12,'1-Input'!$B$12,0))))*(1/(1-'P-Parametri'!$B$6*P975))),MAX(0,2*P946-(T974-MIN(MAX(T974,0),MAX(0,P946-IF($A975&gt;='1-Input'!$C$12,'1-Input'!$B$12,0)))))*(1/(1-'P-Parametri'!$B$6*P975))))</f>
        <v>9019.0852399875712</v>
      </c>
      <c r="R975" s="18">
        <f>IF($A975&gt;'1-Input'!$B$26,T974,(T974-MAX(0,P946-IF($A975&gt;='1-Input'!$C$12,'1-Input'!$B$12,0))+Q975*(1-'P-Parametri'!$B$6*P975))*(1+'1-Input'!$B$27))</f>
        <v>37459.539579583834</v>
      </c>
      <c r="S975" s="18">
        <f>IF($A975&gt;'1-Input'!$B$26,U974,(U974-Q975)*(1+'5-Roberta'!$C$4))</f>
        <v>86837.343474594789</v>
      </c>
      <c r="T975" s="18">
        <f>IF($A975&gt;'1-Input'!$B$26,R975,R975-'P-Parametri'!$B$8*(S975+R975)+MIN(MAX(S975,0),'P-Parametri'!$B$8*(S975+R975)))</f>
        <v>37459.539579583834</v>
      </c>
      <c r="U975" s="18">
        <f>IF($A975&gt;'1-Input'!$B$26,S975,S975-MIN(MAX(S975,0),'P-Parametri'!$B$8*(S975+R975)))</f>
        <v>86588.74970848643</v>
      </c>
      <c r="V975" s="18">
        <f>IF($A975&gt;'1-Input'!$B$26,V974,V974-Q975*(1-P975))</f>
        <v>41585.203664096945</v>
      </c>
      <c r="W975" s="11">
        <f>IF($A975&gt;'1-Input'!$B$26,0,IF(AB974&lt;=0,0,MAX(0,(AB974-AC974)/AB974)))</f>
        <v>0.50705446262008658</v>
      </c>
      <c r="X975" s="18">
        <f>IF($A975&gt;'1-Input'!$B$26,0,(MAX(0,W946-IF($A975&gt;='1-Input'!$C$12,'1-Input'!$B$12,0))-MIN(MAX(AA974,0),MAX(0,W946-IF($A975&gt;='1-Input'!$C$12,'1-Input'!$B$12,0))))*(1/(1-'P-Parametri'!$B$6*W975))+MIN(MAX(0,AB974-(MAX(0,W946-IF($A975&gt;='1-Input'!$C$12,'1-Input'!$B$12,0))-MIN(MAX(AA974,0),MAX(0,W946-IF($A975&gt;='1-Input'!$C$12,'1-Input'!$B$12,0))))*(1/(1-'P-Parametri'!$B$6*W975))),MAX(0,2*W946-(AA974-MIN(MAX(AA974,0),MAX(0,W946-IF($A975&gt;='1-Input'!$C$12,'1-Input'!$B$12,0)))))*(1/(1-'P-Parametri'!$B$6*W975))))</f>
        <v>8716.2422200572219</v>
      </c>
      <c r="Y975" s="18">
        <f>IF($A975&gt;'1-Input'!$B$26,AA974,(AA974-MAX(0,W946-IF($A975&gt;='1-Input'!$C$12,'1-Input'!$B$12,0))+X975*(1-'P-Parametri'!$B$6*W975))*(1+'1-Input'!$B$27))</f>
        <v>36937.916657430564</v>
      </c>
      <c r="Z975" s="18">
        <f>IF($A975&gt;'1-Input'!$B$26,AB974,(AB974-X975)*(1+'5-Roberta'!$C$4))</f>
        <v>99467.680972478789</v>
      </c>
      <c r="AA975" s="18">
        <f>IF($A975&gt;'1-Input'!$B$26,Y975,Y975-'P-Parametri'!$B$8*(Z975+Y975)+MIN(MAX(Z975,0),'P-Parametri'!$B$8*(Z975+Y975)))</f>
        <v>36937.916657430564</v>
      </c>
      <c r="AB975" s="18">
        <f>IF($A975&gt;'1-Input'!$B$26,Z975,Z975-MIN(MAX(Z975,0),'P-Parametri'!$B$8*(Z975+Y975)))</f>
        <v>99194.869777218977</v>
      </c>
      <c r="AC975" s="18">
        <f>IF($A975&gt;'1-Input'!$B$26,AC974,AC974-X975*(1-W975))</f>
        <v>47604.028591177041</v>
      </c>
      <c r="AD975" s="11">
        <f>IF($A975&gt;'1-Input'!$B$26,0,IF(AI974&lt;=0,0,MAX(0,(AI974-AJ974)/AI974)))</f>
        <v>0.5070716668922276</v>
      </c>
      <c r="AE975" s="18">
        <f>IF($A975&gt;'1-Input'!$B$26,0,(MAX(0,AD946-IF($A975&gt;='1-Input'!$C$12,'1-Input'!$B$12,0))-MIN(MAX(AH974,0),MAX(0,AD946-IF($A975&gt;='1-Input'!$C$12,'1-Input'!$B$12,0))))*(1/(1-'P-Parametri'!$B$6*AD975))+MIN(MAX(0,AI974-(MAX(0,AD946-IF($A975&gt;='1-Input'!$C$12,'1-Input'!$B$12,0))-MIN(MAX(AH974,0),MAX(0,AD946-IF($A975&gt;='1-Input'!$C$12,'1-Input'!$B$12,0))))*(1/(1-'P-Parametri'!$B$6*AD975))),MAX(0,2*AD946-(AH974-MIN(MAX(AH974,0),MAX(0,AD946-IF($A975&gt;='1-Input'!$C$12,'1-Input'!$B$12,0)))))*(1/(1-'P-Parametri'!$B$6*AD975))))</f>
        <v>8697.8809579937824</v>
      </c>
      <c r="AF975" s="18">
        <f>IF($A975&gt;'1-Input'!$B$26,AH974,(AH974-MAX(0,AD946-IF($A975&gt;='1-Input'!$C$12,'1-Input'!$B$12,0))+AE975*(1-'P-Parametri'!$B$6*AD975))*(1+'1-Input'!$B$27))</f>
        <v>36906.300293679618</v>
      </c>
      <c r="AG975" s="18">
        <f>IF($A975&gt;'1-Input'!$B$26,AI974,(AI974-AE975)*(1+'5-Roberta'!$C$4))</f>
        <v>100233.26113550516</v>
      </c>
      <c r="AH975" s="18">
        <f>IF($A975&gt;'1-Input'!$B$26,AF975,AF975-'P-Parametri'!$B$8*(AG975+AF975)+MIN(MAX(AG975,0),'P-Parametri'!$B$8*(AG975+AF975)))</f>
        <v>36906.300293679618</v>
      </c>
      <c r="AI975" s="18">
        <f>IF($A975&gt;'1-Input'!$B$26,AG975,AG975-MIN(MAX(AG975,0),'P-Parametri'!$B$8*(AG975+AF975)))</f>
        <v>99958.982012646797</v>
      </c>
      <c r="AJ975" s="18">
        <f>IF($A975&gt;'1-Input'!$B$26,AJ974,AJ974-AE975*(1-AD975))</f>
        <v>47968.751780078273</v>
      </c>
      <c r="AK975" s="11">
        <f>IF($A975&gt;'1-Input'!$B$26,0,IF(AP974&lt;=0,0,MAX(0,(AP974-AQ974)/AP974)))</f>
        <v>0.50707127721057643</v>
      </c>
      <c r="AL975" s="18">
        <f>IF($A975&gt;'1-Input'!$B$26,0,(MAX(0,AK946-IF($A975&gt;='1-Input'!$C$12,'1-Input'!$B$12,0))-MIN(MAX(AO974,0),MAX(0,AK946-IF($A975&gt;='1-Input'!$C$12,'1-Input'!$B$12,0))))*(1/(1-'P-Parametri'!$B$6*AK975))+MIN(MAX(0,AP974-(MAX(0,AK946-IF($A975&gt;='1-Input'!$C$12,'1-Input'!$B$12,0))-MIN(MAX(AO974,0),MAX(0,AK946-IF($A975&gt;='1-Input'!$C$12,'1-Input'!$B$12,0))))*(1/(1-'P-Parametri'!$B$6*AK975))),MAX(0,2*AK946-(AO974-MIN(MAX(AO974,0),MAX(0,AK946-IF($A975&gt;='1-Input'!$C$12,'1-Input'!$B$12,0)))))*(1/(1-'P-Parametri'!$B$6*AK975))))</f>
        <v>8698.2985953363732</v>
      </c>
      <c r="AM975" s="18">
        <f>IF($A975&gt;'1-Input'!$B$26,AO974,(AO974-MAX(0,AK946-IF($A975&gt;='1-Input'!$C$12,'1-Input'!$B$12,0))+AL975*(1-'P-Parametri'!$B$6*AK975))*(1+'1-Input'!$B$27))</f>
        <v>36907.019414897208</v>
      </c>
      <c r="AN975" s="18">
        <f>IF($A975&gt;'1-Input'!$B$26,AP974,(AP974-AL975)*(1+'5-Roberta'!$C$4))</f>
        <v>100215.84780112514</v>
      </c>
      <c r="AO975" s="18">
        <f>IF($A975&gt;'1-Input'!$B$26,AM975,AM975-'P-Parametri'!$B$8*(AN975+AM975)+MIN(MAX(AN975,0),'P-Parametri'!$B$8*(AN975+AM975)))</f>
        <v>36907.019414897208</v>
      </c>
      <c r="AP975" s="18">
        <f>IF($A975&gt;'1-Input'!$B$26,AN975,AN975-MIN(MAX(AN975,0),'P-Parametri'!$B$8*(AN975+AM975)))</f>
        <v>99941.6020666931</v>
      </c>
      <c r="AQ975" s="18">
        <f>IF($A975&gt;'1-Input'!$B$26,AQ974,AQ974-AL975*(1-AK975))</f>
        <v>47960.456174628998</v>
      </c>
    </row>
    <row r="976" spans="1:43">
      <c r="A976" s="10">
        <f>28</f>
        <v>28</v>
      </c>
      <c r="B976" s="11">
        <f>IF($A976&gt;'1-Input'!$B$26,0,IF(G975&lt;=0,0,MAX(0,(G975-H975)/G975)))</f>
        <v>0.52163100385701122</v>
      </c>
      <c r="C976" s="18">
        <f>IF($A976&gt;'1-Input'!$B$26,0,(MAX(0,B946-IF($A976&gt;='1-Input'!$C$12,'1-Input'!$B$12,0))-MIN(MAX(F975,0),MAX(0,B946-IF($A976&gt;='1-Input'!$C$12,'1-Input'!$B$12,0))))*(1/(1-'P-Parametri'!$B$6*B976))+MIN(MAX(0,G975-(MAX(0,B946-IF($A976&gt;='1-Input'!$C$12,'1-Input'!$B$12,0))-MIN(MAX(F975,0),MAX(0,B946-IF($A976&gt;='1-Input'!$C$12,'1-Input'!$B$12,0))))*(1/(1-'P-Parametri'!$B$6*B976))),MAX(0,2*B946-(F975-MIN(MAX(F975,0),MAX(0,B946-IF($A976&gt;='1-Input'!$C$12,'1-Input'!$B$12,0)))))*(1/(1-'P-Parametri'!$B$6*B976))))</f>
        <v>6593.379866060478</v>
      </c>
      <c r="D976" s="18">
        <f>IF($A976&gt;'1-Input'!$B$26,F975,(F975-MAX(0,B946-IF($A976&gt;='1-Input'!$C$12,'1-Input'!$B$12,0))+C976*(1-'P-Parametri'!$B$6*B976))*(1+'1-Input'!$B$27))</f>
        <v>33242.0070309863</v>
      </c>
      <c r="E976" s="18">
        <f>IF($A976&gt;'1-Input'!$B$26,G975,(G975-C976)*(1+'5-Roberta'!$C$4))</f>
        <v>187403.99221726958</v>
      </c>
      <c r="F976" s="18">
        <f>IF($A976&gt;'1-Input'!$B$26,D976,D976-'P-Parametri'!$B$8*(E976+D976)+MIN(MAX(E976,0),'P-Parametri'!$B$8*(E976+D976)))</f>
        <v>33242.0070309863</v>
      </c>
      <c r="G976" s="18">
        <f>IF($A976&gt;'1-Input'!$B$26,E976,E976-MIN(MAX(E976,0),'P-Parametri'!$B$8*(E976+D976)))</f>
        <v>186962.70021877307</v>
      </c>
      <c r="H976" s="18">
        <f>IF($A976&gt;'1-Input'!$B$26,H975,H975-C976*(1-B976))</f>
        <v>87037.145272003618</v>
      </c>
      <c r="I976" s="11">
        <f>IF($A976&gt;'1-Input'!$B$26,0,IF(N975&lt;=0,0,MAX(0,(N975-O975)/N975)))</f>
        <v>0</v>
      </c>
      <c r="J976" s="18">
        <f>IF($A976&gt;'1-Input'!$B$26,0,(MAX(0,I946-IF($A976&gt;='1-Input'!$C$12,'1-Input'!$B$12,0))-MIN(MAX(M975,0),MAX(0,I946-IF($A976&gt;='1-Input'!$C$12,'1-Input'!$B$12,0))))*(1/(1-'P-Parametri'!$B$6*I976))+MIN(MAX(0,N975-(MAX(0,I946-IF($A976&gt;='1-Input'!$C$12,'1-Input'!$B$12,0))-MIN(MAX(M975,0),MAX(0,I946-IF($A976&gt;='1-Input'!$C$12,'1-Input'!$B$12,0))))*(1/(1-'P-Parametri'!$B$6*I976))),MAX(0,2*I946-(M975-MIN(MAX(M975,0),MAX(0,I946-IF($A976&gt;='1-Input'!$C$12,'1-Input'!$B$12,0)))))*(1/(1-'P-Parametri'!$B$6*I976))))</f>
        <v>10846.756992928691</v>
      </c>
      <c r="K976" s="18">
        <f>IF($A976&gt;'1-Input'!$B$26,M975,(M975-MAX(0,I946-IF($A976&gt;='1-Input'!$C$12,'1-Input'!$B$12,0))+J976*(1-'P-Parametri'!$B$6*I976))*(1+'1-Input'!$B$27))</f>
        <v>0</v>
      </c>
      <c r="L976" s="18">
        <f>IF($A976&gt;'1-Input'!$B$26,N975,(N975-J976)*(1+'5-Roberta'!$C$4))</f>
        <v>-19767.680572345686</v>
      </c>
      <c r="M976" s="18">
        <f>IF($A976&gt;'1-Input'!$B$26,K976,K976-'P-Parametri'!$B$8*(L976+K976)+MIN(MAX(L976,0),'P-Parametri'!$B$8*(L976+K976)))</f>
        <v>0</v>
      </c>
      <c r="N976" s="18">
        <f>IF($A976&gt;'1-Input'!$B$26,L976,L976-MIN(MAX(L976,0),'P-Parametri'!$B$8*(L976+K976)))</f>
        <v>-19728.145211200994</v>
      </c>
      <c r="O976" s="18">
        <f>IF($A976&gt;'1-Input'!$B$26,O975,O975-J976*(1-I976))</f>
        <v>-18965.096480490043</v>
      </c>
      <c r="P976" s="11">
        <f>IF($A976&gt;'1-Input'!$B$26,0,IF(U975&lt;=0,0,MAX(0,(U975-V975)/U975)))</f>
        <v>0.51973895218374722</v>
      </c>
      <c r="Q976" s="18">
        <f>IF($A976&gt;'1-Input'!$B$26,0,(MAX(0,P946-IF($A976&gt;='1-Input'!$C$12,'1-Input'!$B$12,0))-MIN(MAX(T975,0),MAX(0,P946-IF($A976&gt;='1-Input'!$C$12,'1-Input'!$B$12,0))))*(1/(1-'P-Parametri'!$B$6*P976))+MIN(MAX(0,U975-(MAX(0,P946-IF($A976&gt;='1-Input'!$C$12,'1-Input'!$B$12,0))-MIN(MAX(T975,0),MAX(0,P946-IF($A976&gt;='1-Input'!$C$12,'1-Input'!$B$12,0))))*(1/(1-'P-Parametri'!$B$6*P976))),MAX(0,2*P946-(T975-MIN(MAX(T975,0),MAX(0,P946-IF($A976&gt;='1-Input'!$C$12,'1-Input'!$B$12,0)))))*(1/(1-'P-Parametri'!$B$6*P976))))</f>
        <v>9054.310372275866</v>
      </c>
      <c r="R976" s="18">
        <f>IF($A976&gt;'1-Input'!$B$26,T975,(T975-MAX(0,P946-IF($A976&gt;='1-Input'!$C$12,'1-Input'!$B$12,0))+Q976*(1-'P-Parametri'!$B$6*P976))*(1+'1-Input'!$B$27))</f>
        <v>37459.539579583834</v>
      </c>
      <c r="S976" s="18">
        <f>IF($A976&gt;'1-Input'!$B$26,U975,(U975-Q976)*(1+'5-Roberta'!$C$4))</f>
        <v>79860.472516296883</v>
      </c>
      <c r="T976" s="18">
        <f>IF($A976&gt;'1-Input'!$B$26,R976,R976-'P-Parametri'!$B$8*(S976+R976)+MIN(MAX(S976,0),'P-Parametri'!$B$8*(S976+R976)))</f>
        <v>37459.539579583834</v>
      </c>
      <c r="U976" s="18">
        <f>IF($A976&gt;'1-Input'!$B$26,S976,S976-MIN(MAX(S976,0),'P-Parametri'!$B$8*(S976+R976)))</f>
        <v>79625.832492105124</v>
      </c>
      <c r="V976" s="18">
        <f>IF($A976&gt;'1-Input'!$B$26,V975,V975-Q976*(1-P976))</f>
        <v>37236.77107745417</v>
      </c>
      <c r="W976" s="11">
        <f>IF($A976&gt;'1-Input'!$B$26,0,IF(AB975&lt;=0,0,MAX(0,(AB975-AC975)/AB975)))</f>
        <v>0.52009586082334125</v>
      </c>
      <c r="X976" s="18">
        <f>IF($A976&gt;'1-Input'!$B$26,0,(MAX(0,W946-IF($A976&gt;='1-Input'!$C$12,'1-Input'!$B$12,0))-MIN(MAX(AA975,0),MAX(0,W946-IF($A976&gt;='1-Input'!$C$12,'1-Input'!$B$12,0))))*(1/(1-'P-Parametri'!$B$6*W976))+MIN(MAX(0,AB975-(MAX(0,W946-IF($A976&gt;='1-Input'!$C$12,'1-Input'!$B$12,0))-MIN(MAX(AA975,0),MAX(0,W946-IF($A976&gt;='1-Input'!$C$12,'1-Input'!$B$12,0))))*(1/(1-'P-Parametri'!$B$6*W976))),MAX(0,2*W946-(AA975-MIN(MAX(AA975,0),MAX(0,W946-IF($A976&gt;='1-Input'!$C$12,'1-Input'!$B$12,0)))))*(1/(1-'P-Parametri'!$B$6*W976))))</f>
        <v>8750.4184088456132</v>
      </c>
      <c r="Y976" s="18">
        <f>IF($A976&gt;'1-Input'!$B$26,AA975,(AA975-MAX(0,W946-IF($A976&gt;='1-Input'!$C$12,'1-Input'!$B$12,0))+X976*(1-'P-Parametri'!$B$6*W976))*(1+'1-Input'!$B$27))</f>
        <v>36937.916657430564</v>
      </c>
      <c r="Z976" s="18">
        <f>IF($A976&gt;'1-Input'!$B$26,AB975,(AB975-X976)*(1+'5-Roberta'!$C$4))</f>
        <v>93157.784909424576</v>
      </c>
      <c r="AA976" s="18">
        <f>IF($A976&gt;'1-Input'!$B$26,Y976,Y976-'P-Parametri'!$B$8*(Z976+Y976)+MIN(MAX(Z976,0),'P-Parametri'!$B$8*(Z976+Y976)))</f>
        <v>36937.916657430564</v>
      </c>
      <c r="AB976" s="18">
        <f>IF($A976&gt;'1-Input'!$B$26,Z976,Z976-MIN(MAX(Z976,0),'P-Parametri'!$B$8*(Z976+Y976)))</f>
        <v>92897.593506290868</v>
      </c>
      <c r="AC976" s="18">
        <f>IF($A976&gt;'1-Input'!$B$26,AC975,AC975-X976*(1-W976))</f>
        <v>43404.666577244396</v>
      </c>
      <c r="AD976" s="11">
        <f>IF($A976&gt;'1-Input'!$B$26,0,IF(AI975&lt;=0,0,MAX(0,(AI975-AJ975)/AI975)))</f>
        <v>0.5201156432944738</v>
      </c>
      <c r="AE976" s="18">
        <f>IF($A976&gt;'1-Input'!$B$26,0,(MAX(0,AD946-IF($A976&gt;='1-Input'!$C$12,'1-Input'!$B$12,0))-MIN(MAX(AH975,0),MAX(0,AD946-IF($A976&gt;='1-Input'!$C$12,'1-Input'!$B$12,0))))*(1/(1-'P-Parametri'!$B$6*AD976))+MIN(MAX(0,AI975-(MAX(0,AD946-IF($A976&gt;='1-Input'!$C$12,'1-Input'!$B$12,0))-MIN(MAX(AH975,0),MAX(0,AD946-IF($A976&gt;='1-Input'!$C$12,'1-Input'!$B$12,0))))*(1/(1-'P-Parametri'!$B$6*AD976))),MAX(0,2*AD946-(AH975-MIN(MAX(AH975,0),MAX(0,AD946-IF($A976&gt;='1-Input'!$C$12,'1-Input'!$B$12,0)))))*(1/(1-'P-Parametri'!$B$6*AD976))))</f>
        <v>8731.9920977480051</v>
      </c>
      <c r="AF976" s="18">
        <f>IF($A976&gt;'1-Input'!$B$26,AH975,(AH975-MAX(0,AD946-IF($A976&gt;='1-Input'!$C$12,'1-Input'!$B$12,0))+AE976*(1-'P-Parametri'!$B$6*AD976))*(1+'1-Input'!$B$27))</f>
        <v>36906.300293679618</v>
      </c>
      <c r="AG976" s="18">
        <f>IF($A976&gt;'1-Input'!$B$26,AI975,(AI975-AE976)*(1+'5-Roberta'!$C$4))</f>
        <v>93963.799612345756</v>
      </c>
      <c r="AH976" s="18">
        <f>IF($A976&gt;'1-Input'!$B$26,AF976,AF976-'P-Parametri'!$B$8*(AG976+AF976)+MIN(MAX(AG976,0),'P-Parametri'!$B$8*(AG976+AF976)))</f>
        <v>36906.300293679618</v>
      </c>
      <c r="AI976" s="18">
        <f>IF($A976&gt;'1-Input'!$B$26,AG976,AG976-MIN(MAX(AG976,0),'P-Parametri'!$B$8*(AG976+AF976)))</f>
        <v>93702.059412533708</v>
      </c>
      <c r="AJ976" s="18">
        <f>IF($A976&gt;'1-Input'!$B$26,AJ975,AJ975-AE976*(1-AD976))</f>
        <v>43778.405369492735</v>
      </c>
      <c r="AK976" s="11">
        <f>IF($A976&gt;'1-Input'!$B$26,0,IF(AP975&lt;=0,0,MAX(0,(AP975-AQ975)/AP975)))</f>
        <v>0.52011519544559637</v>
      </c>
      <c r="AL976" s="18">
        <f>IF($A976&gt;'1-Input'!$B$26,0,(MAX(0,AK946-IF($A976&gt;='1-Input'!$C$12,'1-Input'!$B$12,0))-MIN(MAX(AO975,0),MAX(0,AK946-IF($A976&gt;='1-Input'!$C$12,'1-Input'!$B$12,0))))*(1/(1-'P-Parametri'!$B$6*AK976))+MIN(MAX(0,AP975-(MAX(0,AK946-IF($A976&gt;='1-Input'!$C$12,'1-Input'!$B$12,0))-MIN(MAX(AO975,0),MAX(0,AK946-IF($A976&gt;='1-Input'!$C$12,'1-Input'!$B$12,0))))*(1/(1-'P-Parametri'!$B$6*AK976))),MAX(0,2*AK946-(AO975-MIN(MAX(AO975,0),MAX(0,AK946-IF($A976&gt;='1-Input'!$C$12,'1-Input'!$B$12,0)))))*(1/(1-'P-Parametri'!$B$6*AK976))))</f>
        <v>8732.4112162577203</v>
      </c>
      <c r="AM976" s="18">
        <f>IF($A976&gt;'1-Input'!$B$26,AO975,(AO975-MAX(0,AK946-IF($A976&gt;='1-Input'!$C$12,'1-Input'!$B$12,0))+AL976*(1-'P-Parametri'!$B$6*AK976))*(1+'1-Input'!$B$27))</f>
        <v>36907.019414897208</v>
      </c>
      <c r="AN976" s="18">
        <f>IF($A976&gt;'1-Input'!$B$26,AP975,(AP975-AL976)*(1+'5-Roberta'!$C$4))</f>
        <v>93945.466575948449</v>
      </c>
      <c r="AO976" s="18">
        <f>IF($A976&gt;'1-Input'!$B$26,AM976,AM976-'P-Parametri'!$B$8*(AN976+AM976)+MIN(MAX(AN976,0),'P-Parametri'!$B$8*(AN976+AM976)))</f>
        <v>36907.019414897208</v>
      </c>
      <c r="AP976" s="18">
        <f>IF($A976&gt;'1-Input'!$B$26,AN976,AN976-MIN(MAX(AN976,0),'P-Parametri'!$B$8*(AN976+AM976)))</f>
        <v>93683.761603966763</v>
      </c>
      <c r="AQ976" s="18">
        <f>IF($A976&gt;'1-Input'!$B$26,AQ975,AQ975-AL976*(1-AK976))</f>
        <v>43769.904724826483</v>
      </c>
    </row>
    <row r="977" spans="1:43">
      <c r="A977" s="10">
        <f>29</f>
        <v>29</v>
      </c>
      <c r="B977" s="11">
        <f>IF($A977&gt;'1-Input'!$B$26,0,IF(G976&lt;=0,0,MAX(0,(G976-H976)/G976)))</f>
        <v>0.53446786353557296</v>
      </c>
      <c r="C977" s="18">
        <f>IF($A977&gt;'1-Input'!$B$26,0,(MAX(0,B946-IF($A977&gt;='1-Input'!$C$12,'1-Input'!$B$12,0))-MIN(MAX(F976,0),MAX(0,B946-IF($A977&gt;='1-Input'!$C$12,'1-Input'!$B$12,0))))*(1/(1-'P-Parametri'!$B$6*B977))+MIN(MAX(0,G976-(MAX(0,B946-IF($A977&gt;='1-Input'!$C$12,'1-Input'!$B$12,0))-MIN(MAX(F976,0),MAX(0,B946-IF($A977&gt;='1-Input'!$C$12,'1-Input'!$B$12,0))))*(1/(1-'P-Parametri'!$B$6*B977))),MAX(0,2*B946-(F976-MIN(MAX(F976,0),MAX(0,B946-IF($A977&gt;='1-Input'!$C$12,'1-Input'!$B$12,0)))))*(1/(1-'P-Parametri'!$B$6*B977))))</f>
        <v>6618.9373291147367</v>
      </c>
      <c r="D977" s="18">
        <f>IF($A977&gt;'1-Input'!$B$26,F976,(F976-MAX(0,B946-IF($A977&gt;='1-Input'!$C$12,'1-Input'!$B$12,0))+C977*(1-'P-Parametri'!$B$6*B977))*(1+'1-Input'!$B$27))</f>
        <v>33242.0070309863</v>
      </c>
      <c r="E977" s="18">
        <f>IF($A977&gt;'1-Input'!$B$26,G976,(G976-C977)*(1+'5-Roberta'!$C$4))</f>
        <v>185754.07577634809</v>
      </c>
      <c r="F977" s="18">
        <f>IF($A977&gt;'1-Input'!$B$26,D977,D977-'P-Parametri'!$B$8*(E977+D977)+MIN(MAX(E977,0),'P-Parametri'!$B$8*(E977+D977)))</f>
        <v>33242.0070309863</v>
      </c>
      <c r="G977" s="18">
        <f>IF($A977&gt;'1-Input'!$B$26,E977,E977-MIN(MAX(E977,0),'P-Parametri'!$B$8*(E977+D977)))</f>
        <v>185316.08361073342</v>
      </c>
      <c r="H977" s="18">
        <f>IF($A977&gt;'1-Input'!$B$26,H976,H976-C977*(1-B977))</f>
        <v>83955.817236056682</v>
      </c>
      <c r="I977" s="11">
        <f>IF($A977&gt;'1-Input'!$B$26,0,IF(N976&lt;=0,0,MAX(0,(N976-O976)/N976)))</f>
        <v>0</v>
      </c>
      <c r="J977" s="18">
        <f>IF($A977&gt;'1-Input'!$B$26,0,(MAX(0,I946-IF($A977&gt;='1-Input'!$C$12,'1-Input'!$B$12,0))-MIN(MAX(M976,0),MAX(0,I946-IF($A977&gt;='1-Input'!$C$12,'1-Input'!$B$12,0))))*(1/(1-'P-Parametri'!$B$6*I977))+MIN(MAX(0,N976-(MAX(0,I946-IF($A977&gt;='1-Input'!$C$12,'1-Input'!$B$12,0))-MIN(MAX(M976,0),MAX(0,I946-IF($A977&gt;='1-Input'!$C$12,'1-Input'!$B$12,0))))*(1/(1-'P-Parametri'!$B$6*I977))),MAX(0,2*I946-(M976-MIN(MAX(M976,0),MAX(0,I946-IF($A977&gt;='1-Input'!$C$12,'1-Input'!$B$12,0)))))*(1/(1-'P-Parametri'!$B$6*I977))))</f>
        <v>10846.756992928691</v>
      </c>
      <c r="K977" s="18">
        <f>IF($A977&gt;'1-Input'!$B$26,M976,(M976-MAX(0,I946-IF($A977&gt;='1-Input'!$C$12,'1-Input'!$B$12,0))+J977*(1-'P-Parametri'!$B$6*I977))*(1+'1-Input'!$B$27))</f>
        <v>0</v>
      </c>
      <c r="L977" s="18">
        <f>IF($A977&gt;'1-Input'!$B$26,N976,(N976-J977)*(1+'5-Roberta'!$C$4))</f>
        <v>-31492.149270253576</v>
      </c>
      <c r="M977" s="18">
        <f>IF($A977&gt;'1-Input'!$B$26,K977,K977-'P-Parametri'!$B$8*(L977+K977)+MIN(MAX(L977,0),'P-Parametri'!$B$8*(L977+K977)))</f>
        <v>0</v>
      </c>
      <c r="N977" s="18">
        <f>IF($A977&gt;'1-Input'!$B$26,L977,L977-MIN(MAX(L977,0),'P-Parametri'!$B$8*(L977+K977)))</f>
        <v>-31429.164971713068</v>
      </c>
      <c r="O977" s="18">
        <f>IF($A977&gt;'1-Input'!$B$26,O976,O976-J977*(1-I977))</f>
        <v>-29811.853473418734</v>
      </c>
      <c r="P977" s="11">
        <f>IF($A977&gt;'1-Input'!$B$26,0,IF(U976&lt;=0,0,MAX(0,(U976-V976)/U976)))</f>
        <v>0.53235313324797973</v>
      </c>
      <c r="Q977" s="18">
        <f>IF($A977&gt;'1-Input'!$B$26,0,(MAX(0,P946-IF($A977&gt;='1-Input'!$C$12,'1-Input'!$B$12,0))-MIN(MAX(T976,0),MAX(0,P946-IF($A977&gt;='1-Input'!$C$12,'1-Input'!$B$12,0))))*(1/(1-'P-Parametri'!$B$6*P977))+MIN(MAX(0,U976-(MAX(0,P946-IF($A977&gt;='1-Input'!$C$12,'1-Input'!$B$12,0))-MIN(MAX(T976,0),MAX(0,P946-IF($A977&gt;='1-Input'!$C$12,'1-Input'!$B$12,0))))*(1/(1-'P-Parametri'!$B$6*P977))),MAX(0,2*P946-(T976-MIN(MAX(T976,0),MAX(0,P946-IF($A977&gt;='1-Input'!$C$12,'1-Input'!$B$12,0)))))*(1/(1-'P-Parametri'!$B$6*P977))))</f>
        <v>9088.7761474816089</v>
      </c>
      <c r="R977" s="18">
        <f>IF($A977&gt;'1-Input'!$B$26,T976,(T976-MAX(0,P946-IF($A977&gt;='1-Input'!$C$12,'1-Input'!$B$12,0))+Q977*(1-'P-Parametri'!$B$6*P977))*(1+'1-Input'!$B$27))</f>
        <v>37459.539579583834</v>
      </c>
      <c r="S977" s="18">
        <f>IF($A977&gt;'1-Input'!$B$26,U976,(U976-Q977)*(1+'5-Roberta'!$C$4))</f>
        <v>72653.168034962218</v>
      </c>
      <c r="T977" s="18">
        <f>IF($A977&gt;'1-Input'!$B$26,R977,R977-'P-Parametri'!$B$8*(S977+R977)+MIN(MAX(S977,0),'P-Parametri'!$B$8*(S977+R977)))</f>
        <v>37459.539579583834</v>
      </c>
      <c r="U977" s="18">
        <f>IF($A977&gt;'1-Input'!$B$26,S977,S977-MIN(MAX(S977,0),'P-Parametri'!$B$8*(S977+R977)))</f>
        <v>72432.942619733119</v>
      </c>
      <c r="V977" s="18">
        <f>IF($A977&gt;'1-Input'!$B$26,V976,V976-Q977*(1-P977))</f>
        <v>32986.433389473896</v>
      </c>
      <c r="W977" s="11">
        <f>IF($A977&gt;'1-Input'!$B$26,0,IF(AB976&lt;=0,0,MAX(0,(AB976-AC976)/AB976)))</f>
        <v>0.53276866559191216</v>
      </c>
      <c r="X977" s="18">
        <f>IF($A977&gt;'1-Input'!$B$26,0,(MAX(0,W946-IF($A977&gt;='1-Input'!$C$12,'1-Input'!$B$12,0))-MIN(MAX(AA976,0),MAX(0,W946-IF($A977&gt;='1-Input'!$C$12,'1-Input'!$B$12,0))))*(1/(1-'P-Parametri'!$B$6*W977))+MIN(MAX(0,AB976-(MAX(0,W946-IF($A977&gt;='1-Input'!$C$12,'1-Input'!$B$12,0))-MIN(MAX(AA976,0),MAX(0,W946-IF($A977&gt;='1-Input'!$C$12,'1-Input'!$B$12,0))))*(1/(1-'P-Parametri'!$B$6*W977))),MAX(0,2*W946-(AA976-MIN(MAX(AA976,0),MAX(0,W946-IF($A977&gt;='1-Input'!$C$12,'1-Input'!$B$12,0)))))*(1/(1-'P-Parametri'!$B$6*W977))))</f>
        <v>8783.8863994641379</v>
      </c>
      <c r="Y977" s="18">
        <f>IF($A977&gt;'1-Input'!$B$26,AA976,(AA976-MAX(0,W946-IF($A977&gt;='1-Input'!$C$12,'1-Input'!$B$12,0))+X977*(1-'P-Parametri'!$B$6*W977))*(1+'1-Input'!$B$27))</f>
        <v>36937.916657430564</v>
      </c>
      <c r="Z977" s="18">
        <f>IF($A977&gt;'1-Input'!$B$26,AB976,(AB976-X977)*(1+'5-Roberta'!$C$4))</f>
        <v>86637.118320031528</v>
      </c>
      <c r="AA977" s="18">
        <f>IF($A977&gt;'1-Input'!$B$26,Y977,Y977-'P-Parametri'!$B$8*(Z977+Y977)+MIN(MAX(Z977,0),'P-Parametri'!$B$8*(Z977+Y977)))</f>
        <v>36937.916657430564</v>
      </c>
      <c r="AB977" s="18">
        <f>IF($A977&gt;'1-Input'!$B$26,Z977,Z977-MIN(MAX(Z977,0),'P-Parametri'!$B$8*(Z977+Y977)))</f>
        <v>86389.968250076607</v>
      </c>
      <c r="AC977" s="18">
        <f>IF($A977&gt;'1-Input'!$B$26,AC976,AC976-X977*(1-W977))</f>
        <v>39300.559613533711</v>
      </c>
      <c r="AD977" s="11">
        <f>IF($A977&gt;'1-Input'!$B$26,0,IF(AI976&lt;=0,0,MAX(0,(AI976-AJ976)/AI976)))</f>
        <v>0.53279142802237189</v>
      </c>
      <c r="AE977" s="18">
        <f>IF($A977&gt;'1-Input'!$B$26,0,(MAX(0,AD946-IF($A977&gt;='1-Input'!$C$12,'1-Input'!$B$12,0))-MIN(MAX(AH976,0),MAX(0,AD946-IF($A977&gt;='1-Input'!$C$12,'1-Input'!$B$12,0))))*(1/(1-'P-Parametri'!$B$6*AD977))+MIN(MAX(0,AI976-(MAX(0,AD946-IF($A977&gt;='1-Input'!$C$12,'1-Input'!$B$12,0))-MIN(MAX(AH976,0),MAX(0,AD946-IF($A977&gt;='1-Input'!$C$12,'1-Input'!$B$12,0))))*(1/(1-'P-Parametri'!$B$6*AD977))),MAX(0,2*AD946-(AH976-MIN(MAX(AH976,0),MAX(0,AD946-IF($A977&gt;='1-Input'!$C$12,'1-Input'!$B$12,0)))))*(1/(1-'P-Parametri'!$B$6*AD977))))</f>
        <v>8765.3976954788977</v>
      </c>
      <c r="AF977" s="18">
        <f>IF($A977&gt;'1-Input'!$B$26,AH976,(AH976-MAX(0,AD946-IF($A977&gt;='1-Input'!$C$12,'1-Input'!$B$12,0))+AE977*(1-'P-Parametri'!$B$6*AD977))*(1+'1-Input'!$B$27))</f>
        <v>36906.300293679618</v>
      </c>
      <c r="AG977" s="18">
        <f>IF($A977&gt;'1-Input'!$B$26,AI976,(AI976-AE977)*(1+'5-Roberta'!$C$4))</f>
        <v>87484.761568566464</v>
      </c>
      <c r="AH977" s="18">
        <f>IF($A977&gt;'1-Input'!$B$26,AF977,AF977-'P-Parametri'!$B$8*(AG977+AF977)+MIN(MAX(AG977,0),'P-Parametri'!$B$8*(AG977+AF977)))</f>
        <v>36906.300293679618</v>
      </c>
      <c r="AI977" s="18">
        <f>IF($A977&gt;'1-Input'!$B$26,AG977,AG977-MIN(MAX(AG977,0),'P-Parametri'!$B$8*(AG977+AF977)))</f>
        <v>87235.979444841971</v>
      </c>
      <c r="AJ977" s="18">
        <f>IF($A977&gt;'1-Input'!$B$26,AJ976,AJ976-AE977*(1-AD977))</f>
        <v>39683.136429372047</v>
      </c>
      <c r="AK977" s="11">
        <f>IF($A977&gt;'1-Input'!$B$26,0,IF(AP976&lt;=0,0,MAX(0,(AP976-AQ976)/AP976)))</f>
        <v>0.53279091300948389</v>
      </c>
      <c r="AL977" s="18">
        <f>IF($A977&gt;'1-Input'!$B$26,0,(MAX(0,AK946-IF($A977&gt;='1-Input'!$C$12,'1-Input'!$B$12,0))-MIN(MAX(AO976,0),MAX(0,AK946-IF($A977&gt;='1-Input'!$C$12,'1-Input'!$B$12,0))))*(1/(1-'P-Parametri'!$B$6*AK977))+MIN(MAX(0,AP976-(MAX(0,AK946-IF($A977&gt;='1-Input'!$C$12,'1-Input'!$B$12,0))-MIN(MAX(AO976,0),MAX(0,AK946-IF($A977&gt;='1-Input'!$C$12,'1-Input'!$B$12,0))))*(1/(1-'P-Parametri'!$B$6*AK977))),MAX(0,2*AK946-(AO976-MIN(MAX(AO976,0),MAX(0,AK946-IF($A977&gt;='1-Input'!$C$12,'1-Input'!$B$12,0)))))*(1/(1-'P-Parametri'!$B$6*AK977))))</f>
        <v>8765.8182351875676</v>
      </c>
      <c r="AM977" s="18">
        <f>IF($A977&gt;'1-Input'!$B$26,AO976,(AO976-MAX(0,AK946-IF($A977&gt;='1-Input'!$C$12,'1-Input'!$B$12,0))+AL977*(1-'P-Parametri'!$B$6*AK977))*(1+'1-Input'!$B$27))</f>
        <v>36907.019414897208</v>
      </c>
      <c r="AN977" s="18">
        <f>IF($A977&gt;'1-Input'!$B$26,AP976,(AP976-AL977)*(1+'5-Roberta'!$C$4))</f>
        <v>87465.481669842571</v>
      </c>
      <c r="AO977" s="18">
        <f>IF($A977&gt;'1-Input'!$B$26,AM977,AM977-'P-Parametri'!$B$8*(AN977+AM977)+MIN(MAX(AN977,0),'P-Parametri'!$B$8*(AN977+AM977)))</f>
        <v>36907.019414897208</v>
      </c>
      <c r="AP977" s="18">
        <f>IF($A977&gt;'1-Input'!$B$26,AN977,AN977-MIN(MAX(AN977,0),'P-Parametri'!$B$8*(AN977+AM977)))</f>
        <v>87216.736667673089</v>
      </c>
      <c r="AQ977" s="18">
        <f>IF($A977&gt;'1-Input'!$B$26,AQ976,AQ976-AL977*(1-AK977))</f>
        <v>39674.434790439685</v>
      </c>
    </row>
    <row r="978" spans="1:43">
      <c r="A978" s="10">
        <f>30</f>
        <v>30</v>
      </c>
      <c r="B978" s="11">
        <f>IF($A978&gt;'1-Input'!$B$26,0,IF(G977&lt;=0,0,MAX(0,(G977-H977)/G977)))</f>
        <v>0.54695881976218275</v>
      </c>
      <c r="C978" s="18">
        <f>IF($A978&gt;'1-Input'!$B$26,0,(MAX(0,B946-IF($A978&gt;='1-Input'!$C$12,'1-Input'!$B$12,0))-MIN(MAX(F977,0),MAX(0,B946-IF($A978&gt;='1-Input'!$C$12,'1-Input'!$B$12,0))))*(1/(1-'P-Parametri'!$B$6*B978))+MIN(MAX(0,G977-(MAX(0,B946-IF($A978&gt;='1-Input'!$C$12,'1-Input'!$B$12,0))-MIN(MAX(F977,0),MAX(0,B946-IF($A978&gt;='1-Input'!$C$12,'1-Input'!$B$12,0))))*(1/(1-'P-Parametri'!$B$6*B978))),MAX(0,2*B946-(F977-MIN(MAX(F977,0),MAX(0,B946-IF($A978&gt;='1-Input'!$C$12,'1-Input'!$B$12,0)))))*(1/(1-'P-Parametri'!$B$6*B978))))</f>
        <v>6643.9970348257602</v>
      </c>
      <c r="D978" s="18">
        <f>IF($A978&gt;'1-Input'!$B$26,F977,(F977-MAX(0,B946-IF($A978&gt;='1-Input'!$C$12,'1-Input'!$B$12,0))+C978*(1-'P-Parametri'!$B$6*B978))*(1+'1-Input'!$B$27))</f>
        <v>33242.0070309863</v>
      </c>
      <c r="E978" s="18">
        <f>IF($A978&gt;'1-Input'!$B$26,G977,(G977-C978)*(1+'5-Roberta'!$C$4))</f>
        <v>184032.24917318489</v>
      </c>
      <c r="F978" s="18">
        <f>IF($A978&gt;'1-Input'!$B$26,D978,D978-'P-Parametri'!$B$8*(E978+D978)+MIN(MAX(E978,0),'P-Parametri'!$B$8*(E978+D978)))</f>
        <v>33242.0070309863</v>
      </c>
      <c r="G978" s="18">
        <f>IF($A978&gt;'1-Input'!$B$26,E978,E978-MIN(MAX(E978,0),'P-Parametri'!$B$8*(E978+D978)))</f>
        <v>183597.70066077655</v>
      </c>
      <c r="H978" s="18">
        <f>IF($A978&gt;'1-Input'!$B$26,H977,H977-C978*(1-B978))</f>
        <v>80945.812977902664</v>
      </c>
      <c r="I978" s="11">
        <f>IF($A978&gt;'1-Input'!$B$26,0,IF(N977&lt;=0,0,MAX(0,(N977-O977)/N977)))</f>
        <v>0</v>
      </c>
      <c r="J978" s="18">
        <f>IF($A978&gt;'1-Input'!$B$26,0,(MAX(0,I946-IF($A978&gt;='1-Input'!$C$12,'1-Input'!$B$12,0))-MIN(MAX(M977,0),MAX(0,I946-IF($A978&gt;='1-Input'!$C$12,'1-Input'!$B$12,0))))*(1/(1-'P-Parametri'!$B$6*I978))+MIN(MAX(0,N977-(MAX(0,I946-IF($A978&gt;='1-Input'!$C$12,'1-Input'!$B$12,0))-MIN(MAX(M977,0),MAX(0,I946-IF($A978&gt;='1-Input'!$C$12,'1-Input'!$B$12,0))))*(1/(1-'P-Parametri'!$B$6*I978))),MAX(0,2*I946-(M977-MIN(MAX(M977,0),MAX(0,I946-IF($A978&gt;='1-Input'!$C$12,'1-Input'!$B$12,0)))))*(1/(1-'P-Parametri'!$B$6*I978))))</f>
        <v>10846.756992928691</v>
      </c>
      <c r="K978" s="18">
        <f>IF($A978&gt;'1-Input'!$B$26,M977,(M977-MAX(0,I946-IF($A978&gt;='1-Input'!$C$12,'1-Input'!$B$12,0))+J978*(1-'P-Parametri'!$B$6*I978))*(1+'1-Input'!$B$27))</f>
        <v>0</v>
      </c>
      <c r="L978" s="18">
        <f>IF($A978&gt;'1-Input'!$B$26,N977,(N977-J978)*(1+'5-Roberta'!$C$4))</f>
        <v>-43544.199623581015</v>
      </c>
      <c r="M978" s="18">
        <f>IF($A978&gt;'1-Input'!$B$26,K978,K978-'P-Parametri'!$B$8*(L978+K978)+MIN(MAX(L978,0),'P-Parametri'!$B$8*(L978+K978)))</f>
        <v>0</v>
      </c>
      <c r="N978" s="18">
        <f>IF($A978&gt;'1-Input'!$B$26,L978,L978-MIN(MAX(L978,0),'P-Parametri'!$B$8*(L978+K978)))</f>
        <v>-43457.11122433385</v>
      </c>
      <c r="O978" s="18">
        <f>IF($A978&gt;'1-Input'!$B$26,O977,O977-J978*(1-I978))</f>
        <v>-40658.610466347425</v>
      </c>
      <c r="P978" s="11">
        <f>IF($A978&gt;'1-Input'!$B$26,0,IF(U977&lt;=0,0,MAX(0,(U977-V977)/U977)))</f>
        <v>0.54459349300980486</v>
      </c>
      <c r="Q978" s="18">
        <f>IF($A978&gt;'1-Input'!$B$26,0,(MAX(0,P946-IF($A978&gt;='1-Input'!$C$12,'1-Input'!$B$12,0))-MIN(MAX(T977,0),MAX(0,P946-IF($A978&gt;='1-Input'!$C$12,'1-Input'!$B$12,0))))*(1/(1-'P-Parametri'!$B$6*P978))+MIN(MAX(0,U977-(MAX(0,P946-IF($A978&gt;='1-Input'!$C$12,'1-Input'!$B$12,0))-MIN(MAX(T977,0),MAX(0,P946-IF($A978&gt;='1-Input'!$C$12,'1-Input'!$B$12,0))))*(1/(1-'P-Parametri'!$B$6*P978))),MAX(0,2*P946-(T977-MIN(MAX(T977,0),MAX(0,P946-IF($A978&gt;='1-Input'!$C$12,'1-Input'!$B$12,0)))))*(1/(1-'P-Parametri'!$B$6*P978))))</f>
        <v>9122.4723026144184</v>
      </c>
      <c r="R978" s="18">
        <f>IF($A978&gt;'1-Input'!$B$26,T977,(T977-MAX(0,P946-IF($A978&gt;='1-Input'!$C$12,'1-Input'!$B$12,0))+Q978*(1-'P-Parametri'!$B$6*P978))*(1+'1-Input'!$B$27))</f>
        <v>37459.539579583834</v>
      </c>
      <c r="S978" s="18">
        <f>IF($A978&gt;'1-Input'!$B$26,U977,(U977-Q978)*(1+'5-Roberta'!$C$4))</f>
        <v>65209.784426632265</v>
      </c>
      <c r="T978" s="18">
        <f>IF($A978&gt;'1-Input'!$B$26,R978,R978-'P-Parametri'!$B$8*(S978+R978)+MIN(MAX(S978,0),'P-Parametri'!$B$8*(S978+R978)))</f>
        <v>37459.539579583834</v>
      </c>
      <c r="U978" s="18">
        <f>IF($A978&gt;'1-Input'!$B$26,S978,S978-MIN(MAX(S978,0),'P-Parametri'!$B$8*(S978+R978)))</f>
        <v>65004.445778619833</v>
      </c>
      <c r="V978" s="18">
        <f>IF($A978&gt;'1-Input'!$B$26,V977,V977-Q978*(1-P978))</f>
        <v>28832.00014302546</v>
      </c>
      <c r="W978" s="11">
        <f>IF($A978&gt;'1-Input'!$B$26,0,IF(AB977&lt;=0,0,MAX(0,(AB977-AC977)/AB977)))</f>
        <v>0.54507959188306732</v>
      </c>
      <c r="X978" s="18">
        <f>IF($A978&gt;'1-Input'!$B$26,0,(MAX(0,W946-IF($A978&gt;='1-Input'!$C$12,'1-Input'!$B$12,0))-MIN(MAX(AA977,0),MAX(0,W946-IF($A978&gt;='1-Input'!$C$12,'1-Input'!$B$12,0))))*(1/(1-'P-Parametri'!$B$6*W978))+MIN(MAX(0,AB977-(MAX(0,W946-IF($A978&gt;='1-Input'!$C$12,'1-Input'!$B$12,0))-MIN(MAX(AA977,0),MAX(0,W946-IF($A978&gt;='1-Input'!$C$12,'1-Input'!$B$12,0))))*(1/(1-'P-Parametri'!$B$6*W978))),MAX(0,2*W946-(AA977-MIN(MAX(AA977,0),MAX(0,W946-IF($A978&gt;='1-Input'!$C$12,'1-Input'!$B$12,0)))))*(1/(1-'P-Parametri'!$B$6*W978))))</f>
        <v>8816.6447592234745</v>
      </c>
      <c r="Y978" s="18">
        <f>IF($A978&gt;'1-Input'!$B$26,AA977,(AA977-MAX(0,W946-IF($A978&gt;='1-Input'!$C$12,'1-Input'!$B$12,0))+X978*(1-'P-Parametri'!$B$6*W978))*(1+'1-Input'!$B$27))</f>
        <v>36937.916657430564</v>
      </c>
      <c r="Z978" s="18">
        <f>IF($A978&gt;'1-Input'!$B$26,AB977,(AB977-X978)*(1+'5-Roberta'!$C$4))</f>
        <v>79900.523195578731</v>
      </c>
      <c r="AA978" s="18">
        <f>IF($A978&gt;'1-Input'!$B$26,Y978,Y978-'P-Parametri'!$B$8*(Z978+Y978)+MIN(MAX(Z978,0),'P-Parametri'!$B$8*(Z978+Y978)))</f>
        <v>36937.916657430564</v>
      </c>
      <c r="AB978" s="18">
        <f>IF($A978&gt;'1-Input'!$B$26,Z978,Z978-MIN(MAX(Z978,0),'P-Parametri'!$B$8*(Z978+Y978)))</f>
        <v>79666.84631587271</v>
      </c>
      <c r="AC978" s="18">
        <f>IF($A978&gt;'1-Input'!$B$26,AC977,AC977-X978*(1-W978))</f>
        <v>35289.68798144575</v>
      </c>
      <c r="AD978" s="11">
        <f>IF($A978&gt;'1-Input'!$B$26,0,IF(AI977&lt;=0,0,MAX(0,(AI977-AJ977)/AI977)))</f>
        <v>0.54510585331980932</v>
      </c>
      <c r="AE978" s="18">
        <f>IF($A978&gt;'1-Input'!$B$26,0,(MAX(0,AD946-IF($A978&gt;='1-Input'!$C$12,'1-Input'!$B$12,0))-MIN(MAX(AH977,0),MAX(0,AD946-IF($A978&gt;='1-Input'!$C$12,'1-Input'!$B$12,0))))*(1/(1-'P-Parametri'!$B$6*AD978))+MIN(MAX(0,AI977-(MAX(0,AD946-IF($A978&gt;='1-Input'!$C$12,'1-Input'!$B$12,0))-MIN(MAX(AH977,0),MAX(0,AD946-IF($A978&gt;='1-Input'!$C$12,'1-Input'!$B$12,0))))*(1/(1-'P-Parametri'!$B$6*AD978))),MAX(0,2*AD946-(AH977-MIN(MAX(AH977,0),MAX(0,AD946-IF($A978&gt;='1-Input'!$C$12,'1-Input'!$B$12,0)))))*(1/(1-'P-Parametri'!$B$6*AD978))))</f>
        <v>8798.0966551297806</v>
      </c>
      <c r="AF978" s="18">
        <f>IF($A978&gt;'1-Input'!$B$26,AH977,(AH977-MAX(0,AD946-IF($A978&gt;='1-Input'!$C$12,'1-Input'!$B$12,0))+AE978*(1-'P-Parametri'!$B$6*AD978))*(1+'1-Input'!$B$27))</f>
        <v>36906.300293679618</v>
      </c>
      <c r="AG978" s="18">
        <f>IF($A978&gt;'1-Input'!$B$26,AI977,(AI977-AE978)*(1+'5-Roberta'!$C$4))</f>
        <v>80791.019273403566</v>
      </c>
      <c r="AH978" s="18">
        <f>IF($A978&gt;'1-Input'!$B$26,AF978,AF978-'P-Parametri'!$B$8*(AG978+AF978)+MIN(MAX(AG978,0),'P-Parametri'!$B$8*(AG978+AF978)))</f>
        <v>36906.300293679618</v>
      </c>
      <c r="AI978" s="18">
        <f>IF($A978&gt;'1-Input'!$B$26,AG978,AG978-MIN(MAX(AG978,0),'P-Parametri'!$B$8*(AG978+AF978)))</f>
        <v>80555.624634269407</v>
      </c>
      <c r="AJ978" s="18">
        <f>IF($A978&gt;'1-Input'!$B$26,AJ977,AJ977-AE978*(1-AD978))</f>
        <v>35680.933759026942</v>
      </c>
      <c r="AK978" s="11">
        <f>IF($A978&gt;'1-Input'!$B$26,0,IF(AP977&lt;=0,0,MAX(0,(AP977-AQ977)/AP977)))</f>
        <v>0.54510525953735867</v>
      </c>
      <c r="AL978" s="18">
        <f>IF($A978&gt;'1-Input'!$B$26,0,(MAX(0,AK946-IF($A978&gt;='1-Input'!$C$12,'1-Input'!$B$12,0))-MIN(MAX(AO977,0),MAX(0,AK946-IF($A978&gt;='1-Input'!$C$12,'1-Input'!$B$12,0))))*(1/(1-'P-Parametri'!$B$6*AK978))+MIN(MAX(0,AP977-(MAX(0,AK946-IF($A978&gt;='1-Input'!$C$12,'1-Input'!$B$12,0))-MIN(MAX(AO977,0),MAX(0,AK946-IF($A978&gt;='1-Input'!$C$12,'1-Input'!$B$12,0))))*(1/(1-'P-Parametri'!$B$6*AK978))),MAX(0,2*AK946-(AO977-MIN(MAX(AO977,0),MAX(0,AK946-IF($A978&gt;='1-Input'!$C$12,'1-Input'!$B$12,0)))))*(1/(1-'P-Parametri'!$B$6*AK978))))</f>
        <v>8798.5185485928614</v>
      </c>
      <c r="AM978" s="18">
        <f>IF($A978&gt;'1-Input'!$B$26,AO977,(AO977-MAX(0,AK946-IF($A978&gt;='1-Input'!$C$12,'1-Input'!$B$12,0))+AL978*(1-'P-Parametri'!$B$6*AK978))*(1+'1-Input'!$B$27))</f>
        <v>36907.019414897208</v>
      </c>
      <c r="AN978" s="18">
        <f>IF($A978&gt;'1-Input'!$B$26,AP977,(AP977-AL978)*(1+'5-Roberta'!$C$4))</f>
        <v>80770.764662652626</v>
      </c>
      <c r="AO978" s="18">
        <f>IF($A978&gt;'1-Input'!$B$26,AM978,AM978-'P-Parametri'!$B$8*(AN978+AM978)+MIN(MAX(AN978,0),'P-Parametri'!$B$8*(AN978+AM978)))</f>
        <v>36907.019414897208</v>
      </c>
      <c r="AP978" s="18">
        <f>IF($A978&gt;'1-Input'!$B$26,AN978,AN978-MIN(MAX(AN978,0),'P-Parametri'!$B$8*(AN978+AM978)))</f>
        <v>80535.409094497532</v>
      </c>
      <c r="AQ978" s="18">
        <f>IF($A978&gt;'1-Input'!$B$26,AQ977,AQ977-AL978*(1-AK978))</f>
        <v>35672.034978821801</v>
      </c>
    </row>
    <row r="979" spans="1:43">
      <c r="A979" s="10">
        <f>31</f>
        <v>31</v>
      </c>
      <c r="B979" s="11">
        <f>IF($A979&gt;'1-Input'!$B$26,0,IF(G978&lt;=0,0,MAX(0,(G978-H978)/G978)))</f>
        <v>0.55911314419202984</v>
      </c>
      <c r="C979" s="18">
        <f>IF($A979&gt;'1-Input'!$B$26,0,(MAX(0,B946-IF($A979&gt;='1-Input'!$C$12,'1-Input'!$B$12,0))-MIN(MAX(F978,0),MAX(0,B946-IF($A979&gt;='1-Input'!$C$12,'1-Input'!$B$12,0))))*(1/(1-'P-Parametri'!$B$6*B979))+MIN(MAX(0,G978-(MAX(0,B946-IF($A979&gt;='1-Input'!$C$12,'1-Input'!$B$12,0))-MIN(MAX(F978,0),MAX(0,B946-IF($A979&gt;='1-Input'!$C$12,'1-Input'!$B$12,0))))*(1/(1-'P-Parametri'!$B$6*B979))),MAX(0,2*B946-(F978-MIN(MAX(F978,0),MAX(0,B946-IF($A979&gt;='1-Input'!$C$12,'1-Input'!$B$12,0)))))*(1/(1-'P-Parametri'!$B$6*B979))))</f>
        <v>6668.5642071835646</v>
      </c>
      <c r="D979" s="18">
        <f>IF($A979&gt;'1-Input'!$B$26,F978,(F978-MAX(0,B946-IF($A979&gt;='1-Input'!$C$12,'1-Input'!$B$12,0))+C979*(1-'P-Parametri'!$B$6*B979))*(1+'1-Input'!$B$27))</f>
        <v>33242.0070309863</v>
      </c>
      <c r="E979" s="18">
        <f>IF($A979&gt;'1-Input'!$B$26,G978,(G978-C979)*(1+'5-Roberta'!$C$4))</f>
        <v>182237.01054720077</v>
      </c>
      <c r="F979" s="18">
        <f>IF($A979&gt;'1-Input'!$B$26,D979,D979-'P-Parametri'!$B$8*(E979+D979)+MIN(MAX(E979,0),'P-Parametri'!$B$8*(E979+D979)))</f>
        <v>33242.0070309863</v>
      </c>
      <c r="G979" s="18">
        <f>IF($A979&gt;'1-Input'!$B$26,E979,E979-MIN(MAX(E979,0),'P-Parametri'!$B$8*(E979+D979)))</f>
        <v>181806.05251204441</v>
      </c>
      <c r="H979" s="18">
        <f>IF($A979&gt;'1-Input'!$B$26,H978,H978-C979*(1-B979))</f>
        <v>78005.730671843936</v>
      </c>
      <c r="I979" s="11">
        <f>IF($A979&gt;'1-Input'!$B$26,0,IF(N978&lt;=0,0,MAX(0,(N978-O978)/N978)))</f>
        <v>0</v>
      </c>
      <c r="J979" s="18">
        <f>IF($A979&gt;'1-Input'!$B$26,0,(MAX(0,I946-IF($A979&gt;='1-Input'!$C$12,'1-Input'!$B$12,0))-MIN(MAX(M978,0),MAX(0,I946-IF($A979&gt;='1-Input'!$C$12,'1-Input'!$B$12,0))))*(1/(1-'P-Parametri'!$B$6*I979))+MIN(MAX(0,N978-(MAX(0,I946-IF($A979&gt;='1-Input'!$C$12,'1-Input'!$B$12,0))-MIN(MAX(M978,0),MAX(0,I946-IF($A979&gt;='1-Input'!$C$12,'1-Input'!$B$12,0))))*(1/(1-'P-Parametri'!$B$6*I979))),MAX(0,2*I946-(M978-MIN(MAX(M978,0),MAX(0,I946-IF($A979&gt;='1-Input'!$C$12,'1-Input'!$B$12,0)))))*(1/(1-'P-Parametri'!$B$6*I979))))</f>
        <v>10846.756992928691</v>
      </c>
      <c r="K979" s="18">
        <f>IF($A979&gt;'1-Input'!$B$26,M978,(M978-MAX(0,I946-IF($A979&gt;='1-Input'!$C$12,'1-Input'!$B$12,0))+J979*(1-'P-Parametri'!$B$6*I979))*(1+'1-Input'!$B$27))</f>
        <v>0</v>
      </c>
      <c r="L979" s="18">
        <f>IF($A979&gt;'1-Input'!$B$26,N978,(N978-J979)*(1+'5-Roberta'!$C$4))</f>
        <v>-55932.984263780418</v>
      </c>
      <c r="M979" s="18">
        <f>IF($A979&gt;'1-Input'!$B$26,K979,K979-'P-Parametri'!$B$8*(L979+K979)+MIN(MAX(L979,0),'P-Parametri'!$B$8*(L979+K979)))</f>
        <v>0</v>
      </c>
      <c r="N979" s="18">
        <f>IF($A979&gt;'1-Input'!$B$26,L979,L979-MIN(MAX(L979,0),'P-Parametri'!$B$8*(L979+K979)))</f>
        <v>-55821.118295252854</v>
      </c>
      <c r="O979" s="18">
        <f>IF($A979&gt;'1-Input'!$B$26,O978,O978-J979*(1-I979))</f>
        <v>-51505.367459276116</v>
      </c>
      <c r="P979" s="11">
        <f>IF($A979&gt;'1-Input'!$B$26,0,IF(U978&lt;=0,0,MAX(0,(U978-V978)/U978)))</f>
        <v>0.55646110358026624</v>
      </c>
      <c r="Q979" s="18">
        <f>IF($A979&gt;'1-Input'!$B$26,0,(MAX(0,P946-IF($A979&gt;='1-Input'!$C$12,'1-Input'!$B$12,0))-MIN(MAX(T978,0),MAX(0,P946-IF($A979&gt;='1-Input'!$C$12,'1-Input'!$B$12,0))))*(1/(1-'P-Parametri'!$B$6*P979))+MIN(MAX(0,U978-(MAX(0,P946-IF($A979&gt;='1-Input'!$C$12,'1-Input'!$B$12,0))-MIN(MAX(T978,0),MAX(0,P946-IF($A979&gt;='1-Input'!$C$12,'1-Input'!$B$12,0))))*(1/(1-'P-Parametri'!$B$6*P979))),MAX(0,2*P946-(T978-MIN(MAX(T978,0),MAX(0,P946-IF($A979&gt;='1-Input'!$C$12,'1-Input'!$B$12,0)))))*(1/(1-'P-Parametri'!$B$6*P979))))</f>
        <v>9155.3817434646753</v>
      </c>
      <c r="R979" s="18">
        <f>IF($A979&gt;'1-Input'!$B$26,T978,(T978-MAX(0,P946-IF($A979&gt;='1-Input'!$C$12,'1-Input'!$B$12,0))+Q979*(1-'P-Parametri'!$B$6*P979))*(1+'1-Input'!$B$27))</f>
        <v>37459.539579583834</v>
      </c>
      <c r="S979" s="18">
        <f>IF($A979&gt;'1-Input'!$B$26,U978,(U978-Q979)*(1+'5-Roberta'!$C$4))</f>
        <v>57524.535956209809</v>
      </c>
      <c r="T979" s="18">
        <f>IF($A979&gt;'1-Input'!$B$26,R979,R979-'P-Parametri'!$B$8*(S979+R979)+MIN(MAX(S979,0),'P-Parametri'!$B$8*(S979+R979)))</f>
        <v>37459.539579583834</v>
      </c>
      <c r="U979" s="18">
        <f>IF($A979&gt;'1-Input'!$B$26,S979,S979-MIN(MAX(S979,0),'P-Parametri'!$B$8*(S979+R979)))</f>
        <v>57334.56780513822</v>
      </c>
      <c r="V979" s="18">
        <f>IF($A979&gt;'1-Input'!$B$26,V978,V978-Q979*(1-P979))</f>
        <v>24771.23222822776</v>
      </c>
      <c r="W979" s="11">
        <f>IF($A979&gt;'1-Input'!$B$26,0,IF(AB978&lt;=0,0,MAX(0,(AB978-AC978)/AB978)))</f>
        <v>0.55703420414654115</v>
      </c>
      <c r="X979" s="18">
        <f>IF($A979&gt;'1-Input'!$B$26,0,(MAX(0,W946-IF($A979&gt;='1-Input'!$C$12,'1-Input'!$B$12,0))-MIN(MAX(AA978,0),MAX(0,W946-IF($A979&gt;='1-Input'!$C$12,'1-Input'!$B$12,0))))*(1/(1-'P-Parametri'!$B$6*W979))+MIN(MAX(0,AB978-(MAX(0,W946-IF($A979&gt;='1-Input'!$C$12,'1-Input'!$B$12,0))-MIN(MAX(AA978,0),MAX(0,W946-IF($A979&gt;='1-Input'!$C$12,'1-Input'!$B$12,0))))*(1/(1-'P-Parametri'!$B$6*W979))),MAX(0,2*W946-(AA978-MIN(MAX(AA978,0),MAX(0,W946-IF($A979&gt;='1-Input'!$C$12,'1-Input'!$B$12,0)))))*(1/(1-'P-Parametri'!$B$6*W979))))</f>
        <v>8848.6896773271474</v>
      </c>
      <c r="Y979" s="18">
        <f>IF($A979&gt;'1-Input'!$B$26,AA978,(AA978-MAX(0,W946-IF($A979&gt;='1-Input'!$C$12,'1-Input'!$B$12,0))+X979*(1-'P-Parametri'!$B$6*W979))*(1+'1-Input'!$B$27))</f>
        <v>36937.916657430564</v>
      </c>
      <c r="Z979" s="18">
        <f>IF($A979&gt;'1-Input'!$B$26,AB978,(AB978-X979)*(1+'5-Roberta'!$C$4))</f>
        <v>72942.701337701932</v>
      </c>
      <c r="AA979" s="18">
        <f>IF($A979&gt;'1-Input'!$B$26,Y979,Y979-'P-Parametri'!$B$8*(Z979+Y979)+MIN(MAX(Z979,0),'P-Parametri'!$B$8*(Z979+Y979)))</f>
        <v>36937.916657430564</v>
      </c>
      <c r="AB979" s="18">
        <f>IF($A979&gt;'1-Input'!$B$26,Z979,Z979-MIN(MAX(Z979,0),'P-Parametri'!$B$8*(Z979+Y979)))</f>
        <v>72722.940101711662</v>
      </c>
      <c r="AC979" s="18">
        <f>IF($A979&gt;'1-Input'!$B$26,AC978,AC978-X979*(1-W979))</f>
        <v>31370.021116268243</v>
      </c>
      <c r="AD979" s="11">
        <f>IF($A979&gt;'1-Input'!$B$26,0,IF(AI978&lt;=0,0,MAX(0,(AI978-AJ978)/AI978)))</f>
        <v>0.55706465040744269</v>
      </c>
      <c r="AE979" s="18">
        <f>IF($A979&gt;'1-Input'!$B$26,0,(MAX(0,AD946-IF($A979&gt;='1-Input'!$C$12,'1-Input'!$B$12,0))-MIN(MAX(AH978,0),MAX(0,AD946-IF($A979&gt;='1-Input'!$C$12,'1-Input'!$B$12,0))))*(1/(1-'P-Parametri'!$B$6*AD979))+MIN(MAX(0,AI978-(MAX(0,AD946-IF($A979&gt;='1-Input'!$C$12,'1-Input'!$B$12,0))-MIN(MAX(AH978,0),MAX(0,AD946-IF($A979&gt;='1-Input'!$C$12,'1-Input'!$B$12,0))))*(1/(1-'P-Parametri'!$B$6*AD979))),MAX(0,2*AD946-(AH978-MIN(MAX(AH978,0),MAX(0,AD946-IF($A979&gt;='1-Input'!$C$12,'1-Input'!$B$12,0)))))*(1/(1-'P-Parametri'!$B$6*AD979))))</f>
        <v>8830.0856485545119</v>
      </c>
      <c r="AF979" s="18">
        <f>IF($A979&gt;'1-Input'!$B$26,AH978,(AH978-MAX(0,AD946-IF($A979&gt;='1-Input'!$C$12,'1-Input'!$B$12,0))+AE979*(1-'P-Parametri'!$B$6*AD979))*(1+'1-Input'!$B$27))</f>
        <v>36906.300293679618</v>
      </c>
      <c r="AG979" s="18">
        <f>IF($A979&gt;'1-Input'!$B$26,AI978,(AI978-AE979)*(1+'5-Roberta'!$C$4))</f>
        <v>73877.305155286347</v>
      </c>
      <c r="AH979" s="18">
        <f>IF($A979&gt;'1-Input'!$B$26,AF979,AF979-'P-Parametri'!$B$8*(AG979+AF979)+MIN(MAX(AG979,0),'P-Parametri'!$B$8*(AG979+AF979)))</f>
        <v>36906.300293679618</v>
      </c>
      <c r="AI979" s="18">
        <f>IF($A979&gt;'1-Input'!$B$26,AG979,AG979-MIN(MAX(AG979,0),'P-Parametri'!$B$8*(AG979+AF979)))</f>
        <v>73655.737944388413</v>
      </c>
      <c r="AJ979" s="18">
        <f>IF($A979&gt;'1-Input'!$B$26,AJ978,AJ978-AE979*(1-AD979))</f>
        <v>31769.776685352226</v>
      </c>
      <c r="AK979" s="11">
        <f>IF($A979&gt;'1-Input'!$B$26,0,IF(AP978&lt;=0,0,MAX(0,(AP978-AQ978)/AP978)))</f>
        <v>0.55706396254887791</v>
      </c>
      <c r="AL979" s="18">
        <f>IF($A979&gt;'1-Input'!$B$26,0,(MAX(0,AK946-IF($A979&gt;='1-Input'!$C$12,'1-Input'!$B$12,0))-MIN(MAX(AO978,0),MAX(0,AK946-IF($A979&gt;='1-Input'!$C$12,'1-Input'!$B$12,0))))*(1/(1-'P-Parametri'!$B$6*AK979))+MIN(MAX(0,AP978-(MAX(0,AK946-IF($A979&gt;='1-Input'!$C$12,'1-Input'!$B$12,0))-MIN(MAX(AO978,0),MAX(0,AK946-IF($A979&gt;='1-Input'!$C$12,'1-Input'!$B$12,0))))*(1/(1-'P-Parametri'!$B$6*AK979))),MAX(0,2*AK946-(AO978-MIN(MAX(AO978,0),MAX(0,AK946-IF($A979&gt;='1-Input'!$C$12,'1-Input'!$B$12,0)))))*(1/(1-'P-Parametri'!$B$6*AK979))))</f>
        <v>8830.5088176300324</v>
      </c>
      <c r="AM979" s="18">
        <f>IF($A979&gt;'1-Input'!$B$26,AO978,(AO978-MAX(0,AK946-IF($A979&gt;='1-Input'!$C$12,'1-Input'!$B$12,0))+AL979*(1-'P-Parametri'!$B$6*AK979))*(1+'1-Input'!$B$27))</f>
        <v>36907.019414897208</v>
      </c>
      <c r="AN979" s="18">
        <f>IF($A979&gt;'1-Input'!$B$26,AP978,(AP978-AL979)*(1+'5-Roberta'!$C$4))</f>
        <v>73856.047285173525</v>
      </c>
      <c r="AO979" s="18">
        <f>IF($A979&gt;'1-Input'!$B$26,AM979,AM979-'P-Parametri'!$B$8*(AN979+AM979)+MIN(MAX(AN979,0),'P-Parametri'!$B$8*(AN979+AM979)))</f>
        <v>36907.019414897208</v>
      </c>
      <c r="AP979" s="18">
        <f>IF($A979&gt;'1-Input'!$B$26,AN979,AN979-MIN(MAX(AN979,0),'P-Parametri'!$B$8*(AN979+AM979)))</f>
        <v>73634.521151773384</v>
      </c>
      <c r="AQ979" s="18">
        <f>IF($A979&gt;'1-Input'!$B$26,AQ978,AQ978-AL979*(1-AK979))</f>
        <v>31760.684394463562</v>
      </c>
    </row>
    <row r="980" spans="1:43">
      <c r="A980" s="10">
        <f>32</f>
        <v>32</v>
      </c>
      <c r="B980" s="11">
        <f>IF($A980&gt;'1-Input'!$B$26,0,IF(G979&lt;=0,0,MAX(0,(G979-H979)/G979)))</f>
        <v>0.57093985819489612</v>
      </c>
      <c r="C980" s="18">
        <f>IF($A980&gt;'1-Input'!$B$26,0,(MAX(0,B946-IF($A980&gt;='1-Input'!$C$12,'1-Input'!$B$12,0))-MIN(MAX(F979,0),MAX(0,B946-IF($A980&gt;='1-Input'!$C$12,'1-Input'!$B$12,0))))*(1/(1-'P-Parametri'!$B$6*B980))+MIN(MAX(0,G979-(MAX(0,B946-IF($A980&gt;='1-Input'!$C$12,'1-Input'!$B$12,0))-MIN(MAX(F979,0),MAX(0,B946-IF($A980&gt;='1-Input'!$C$12,'1-Input'!$B$12,0))))*(1/(1-'P-Parametri'!$B$6*B980))),MAX(0,2*B946-(F979-MIN(MAX(F979,0),MAX(0,B946-IF($A980&gt;='1-Input'!$C$12,'1-Input'!$B$12,0)))))*(1/(1-'P-Parametri'!$B$6*B980))))</f>
        <v>6692.6442221010811</v>
      </c>
      <c r="D980" s="18">
        <f>IF($A980&gt;'1-Input'!$B$26,F979,(F979-MAX(0,B946-IF($A980&gt;='1-Input'!$C$12,'1-Input'!$B$12,0))+C980*(1-'P-Parametri'!$B$6*B980))*(1+'1-Input'!$B$27))</f>
        <v>33242.0070309863</v>
      </c>
      <c r="E980" s="18">
        <f>IF($A980&gt;'1-Input'!$B$26,G979,(G979-C980)*(1+'5-Roberta'!$C$4))</f>
        <v>180366.81053864164</v>
      </c>
      <c r="F980" s="18">
        <f>IF($A980&gt;'1-Input'!$B$26,D980,D980-'P-Parametri'!$B$8*(E980+D980)+MIN(MAX(E980,0),'P-Parametri'!$B$8*(E980+D980)))</f>
        <v>33242.0070309863</v>
      </c>
      <c r="G980" s="18">
        <f>IF($A980&gt;'1-Input'!$B$26,E980,E980-MIN(MAX(E980,0),'P-Parametri'!$B$8*(E980+D980)))</f>
        <v>179939.59290350237</v>
      </c>
      <c r="H980" s="18">
        <f>IF($A980&gt;'1-Input'!$B$26,H979,H979-C980*(1-B980))</f>
        <v>75134.183792858137</v>
      </c>
      <c r="I980" s="11">
        <f>IF($A980&gt;'1-Input'!$B$26,0,IF(N979&lt;=0,0,MAX(0,(N979-O979)/N979)))</f>
        <v>0</v>
      </c>
      <c r="J980" s="18">
        <f>IF($A980&gt;'1-Input'!$B$26,0,(MAX(0,I946-IF($A980&gt;='1-Input'!$C$12,'1-Input'!$B$12,0))-MIN(MAX(M979,0),MAX(0,I946-IF($A980&gt;='1-Input'!$C$12,'1-Input'!$B$12,0))))*(1/(1-'P-Parametri'!$B$6*I980))+MIN(MAX(0,N979-(MAX(0,I946-IF($A980&gt;='1-Input'!$C$12,'1-Input'!$B$12,0))-MIN(MAX(M979,0),MAX(0,I946-IF($A980&gt;='1-Input'!$C$12,'1-Input'!$B$12,0))))*(1/(1-'P-Parametri'!$B$6*I980))),MAX(0,2*I946-(M979-MIN(MAX(M979,0),MAX(0,I946-IF($A980&gt;='1-Input'!$C$12,'1-Input'!$B$12,0)))))*(1/(1-'P-Parametri'!$B$6*I980))))</f>
        <v>10846.756992928691</v>
      </c>
      <c r="K980" s="18">
        <f>IF($A980&gt;'1-Input'!$B$26,M979,(M979-MAX(0,I946-IF($A980&gt;='1-Input'!$C$12,'1-Input'!$B$12,0))+J980*(1-'P-Parametri'!$B$6*I980))*(1+'1-Input'!$B$27))</f>
        <v>0</v>
      </c>
      <c r="L980" s="18">
        <f>IF($A980&gt;'1-Input'!$B$26,N979,(N979-J980)*(1+'5-Roberta'!$C$4))</f>
        <v>-68667.911546826988</v>
      </c>
      <c r="M980" s="18">
        <f>IF($A980&gt;'1-Input'!$B$26,K980,K980-'P-Parametri'!$B$8*(L980+K980)+MIN(MAX(L980,0),'P-Parametri'!$B$8*(L980+K980)))</f>
        <v>0</v>
      </c>
      <c r="N980" s="18">
        <f>IF($A980&gt;'1-Input'!$B$26,L980,L980-MIN(MAX(L980,0),'P-Parametri'!$B$8*(L980+K980)))</f>
        <v>-68530.575723733331</v>
      </c>
      <c r="O980" s="18">
        <f>IF($A980&gt;'1-Input'!$B$26,O979,O979-J980*(1-I980))</f>
        <v>-62352.124452204807</v>
      </c>
      <c r="P980" s="11">
        <f>IF($A980&gt;'1-Input'!$B$26,0,IF(U979&lt;=0,0,MAX(0,(U979-V979)/U979)))</f>
        <v>0.56795292654132801</v>
      </c>
      <c r="Q980" s="18">
        <f>IF($A980&gt;'1-Input'!$B$26,0,(MAX(0,P946-IF($A980&gt;='1-Input'!$C$12,'1-Input'!$B$12,0))-MIN(MAX(T979,0),MAX(0,P946-IF($A980&gt;='1-Input'!$C$12,'1-Input'!$B$12,0))))*(1/(1-'P-Parametri'!$B$6*P980))+MIN(MAX(0,U979-(MAX(0,P946-IF($A980&gt;='1-Input'!$C$12,'1-Input'!$B$12,0))-MIN(MAX(T979,0),MAX(0,P946-IF($A980&gt;='1-Input'!$C$12,'1-Input'!$B$12,0))))*(1/(1-'P-Parametri'!$B$6*P980))),MAX(0,2*P946-(T979-MIN(MAX(T979,0),MAX(0,P946-IF($A980&gt;='1-Input'!$C$12,'1-Input'!$B$12,0)))))*(1/(1-'P-Parametri'!$B$6*P980))))</f>
        <v>9187.4761845062167</v>
      </c>
      <c r="R980" s="18">
        <f>IF($A980&gt;'1-Input'!$B$26,T979,(T979-MAX(0,P946-IF($A980&gt;='1-Input'!$C$12,'1-Input'!$B$12,0))+Q980*(1-'P-Parametri'!$B$6*P980))*(1+'1-Input'!$B$27))</f>
        <v>37459.539579583834</v>
      </c>
      <c r="S980" s="18">
        <f>IF($A980&gt;'1-Input'!$B$26,U979,(U979-Q980)*(1+'5-Roberta'!$C$4))</f>
        <v>49591.504369250964</v>
      </c>
      <c r="T980" s="18">
        <f>IF($A980&gt;'1-Input'!$B$26,R980,R980-'P-Parametri'!$B$8*(S980+R980)+MIN(MAX(S980,0),'P-Parametri'!$B$8*(S980+R980)))</f>
        <v>37459.539579583834</v>
      </c>
      <c r="U980" s="18">
        <f>IF($A980&gt;'1-Input'!$B$26,S980,S980-MIN(MAX(S980,0),'P-Parametri'!$B$8*(S980+R980)))</f>
        <v>49417.402281353294</v>
      </c>
      <c r="V980" s="18">
        <f>IF($A980&gt;'1-Input'!$B$26,V979,V979-Q980*(1-P980))</f>
        <v>20801.810030240602</v>
      </c>
      <c r="W980" s="11">
        <f>IF($A980&gt;'1-Input'!$B$26,0,IF(AB979&lt;=0,0,MAX(0,(AB979-AC979)/AB979)))</f>
        <v>0.56863651177477781</v>
      </c>
      <c r="X980" s="18">
        <f>IF($A980&gt;'1-Input'!$B$26,0,(MAX(0,W946-IF($A980&gt;='1-Input'!$C$12,'1-Input'!$B$12,0))-MIN(MAX(AA979,0),MAX(0,W946-IF($A980&gt;='1-Input'!$C$12,'1-Input'!$B$12,0))))*(1/(1-'P-Parametri'!$B$6*W980))+MIN(MAX(0,AB979-(MAX(0,W946-IF($A980&gt;='1-Input'!$C$12,'1-Input'!$B$12,0))-MIN(MAX(AA979,0),MAX(0,W946-IF($A980&gt;='1-Input'!$C$12,'1-Input'!$B$12,0))))*(1/(1-'P-Parametri'!$B$6*W980))),MAX(0,2*W946-(AA979-MIN(MAX(AA979,0),MAX(0,W946-IF($A980&gt;='1-Input'!$C$12,'1-Input'!$B$12,0)))))*(1/(1-'P-Parametri'!$B$6*W980))))</f>
        <v>8880.0137587183453</v>
      </c>
      <c r="Y980" s="18">
        <f>IF($A980&gt;'1-Input'!$B$26,AA979,(AA979-MAX(0,W946-IF($A980&gt;='1-Input'!$C$12,'1-Input'!$B$12,0))+X980*(1-'P-Parametri'!$B$6*W980))*(1+'1-Input'!$B$27))</f>
        <v>36937.916657430564</v>
      </c>
      <c r="Z980" s="18">
        <f>IF($A980&gt;'1-Input'!$B$26,AB979,(AB979-X980)*(1+'5-Roberta'!$C$4))</f>
        <v>65758.214133283123</v>
      </c>
      <c r="AA980" s="18">
        <f>IF($A980&gt;'1-Input'!$B$26,Y980,Y980-'P-Parametri'!$B$8*(Z980+Y980)+MIN(MAX(Z980,0),'P-Parametri'!$B$8*(Z980+Y980)))</f>
        <v>36937.916657430564</v>
      </c>
      <c r="AB980" s="18">
        <f>IF($A980&gt;'1-Input'!$B$26,Z980,Z980-MIN(MAX(Z980,0),'P-Parametri'!$B$8*(Z980+Y980)))</f>
        <v>65552.821871701701</v>
      </c>
      <c r="AC980" s="18">
        <f>IF($A980&gt;'1-Input'!$B$26,AC979,AC979-X980*(1-W980))</f>
        <v>27539.507405819531</v>
      </c>
      <c r="AD980" s="11">
        <f>IF($A980&gt;'1-Input'!$B$26,0,IF(AI979&lt;=0,0,MAX(0,(AI979-AJ979)/AI979)))</f>
        <v>0.5686720740027198</v>
      </c>
      <c r="AE980" s="18">
        <f>IF($A980&gt;'1-Input'!$B$26,0,(MAX(0,AD946-IF($A980&gt;='1-Input'!$C$12,'1-Input'!$B$12,0))-MIN(MAX(AH979,0),MAX(0,AD946-IF($A980&gt;='1-Input'!$C$12,'1-Input'!$B$12,0))))*(1/(1-'P-Parametri'!$B$6*AD980))+MIN(MAX(0,AI979-(MAX(0,AD946-IF($A980&gt;='1-Input'!$C$12,'1-Input'!$B$12,0))-MIN(MAX(AH979,0),MAX(0,AD946-IF($A980&gt;='1-Input'!$C$12,'1-Input'!$B$12,0))))*(1/(1-'P-Parametri'!$B$6*AD980))),MAX(0,2*AD946-(AH979-MIN(MAX(AH979,0),MAX(0,AD946-IF($A980&gt;='1-Input'!$C$12,'1-Input'!$B$12,0)))))*(1/(1-'P-Parametri'!$B$6*AD980))))</f>
        <v>8861.3579947125418</v>
      </c>
      <c r="AF980" s="18">
        <f>IF($A980&gt;'1-Input'!$B$26,AH979,(AH979-MAX(0,AD946-IF($A980&gt;='1-Input'!$C$12,'1-Input'!$B$12,0))+AE980*(1-'P-Parametri'!$B$6*AD980))*(1+'1-Input'!$B$27))</f>
        <v>36906.300293679618</v>
      </c>
      <c r="AG980" s="18">
        <f>IF($A980&gt;'1-Input'!$B$26,AI979,(AI979-AE980)*(1+'5-Roberta'!$C$4))</f>
        <v>66738.211348166151</v>
      </c>
      <c r="AH980" s="18">
        <f>IF($A980&gt;'1-Input'!$B$26,AF980,AF980-'P-Parametri'!$B$8*(AG980+AF980)+MIN(MAX(AG980,0),'P-Parametri'!$B$8*(AG980+AF980)))</f>
        <v>36906.300293679618</v>
      </c>
      <c r="AI980" s="18">
        <f>IF($A980&gt;'1-Input'!$B$26,AG980,AG980-MIN(MAX(AG980,0),'P-Parametri'!$B$8*(AG980+AF980)))</f>
        <v>66530.922324882456</v>
      </c>
      <c r="AJ980" s="18">
        <f>IF($A980&gt;'1-Input'!$B$26,AJ979,AJ979-AE980*(1-AD980))</f>
        <v>27947.625519973448</v>
      </c>
      <c r="AK980" s="11">
        <f>IF($A980&gt;'1-Input'!$B$26,0,IF(AP979&lt;=0,0,MAX(0,(AP979-AQ979)/AP979)))</f>
        <v>0.56867127133210604</v>
      </c>
      <c r="AL980" s="18">
        <f>IF($A980&gt;'1-Input'!$B$26,0,(MAX(0,AK946-IF($A980&gt;='1-Input'!$C$12,'1-Input'!$B$12,0))-MIN(MAX(AO979,0),MAX(0,AK946-IF($A980&gt;='1-Input'!$C$12,'1-Input'!$B$12,0))))*(1/(1-'P-Parametri'!$B$6*AK980))+MIN(MAX(0,AP979-(MAX(0,AK946-IF($A980&gt;='1-Input'!$C$12,'1-Input'!$B$12,0))-MIN(MAX(AO979,0),MAX(0,AK946-IF($A980&gt;='1-Input'!$C$12,'1-Input'!$B$12,0))))*(1/(1-'P-Parametri'!$B$6*AK980))),MAX(0,2*AK946-(AO979-MIN(MAX(AO979,0),MAX(0,AK946-IF($A980&gt;='1-Input'!$C$12,'1-Input'!$B$12,0)))))*(1/(1-'P-Parametri'!$B$6*AK980))))</f>
        <v>8861.7823454732206</v>
      </c>
      <c r="AM980" s="18">
        <f>IF($A980&gt;'1-Input'!$B$26,AO979,(AO979-MAX(0,AK946-IF($A980&gt;='1-Input'!$C$12,'1-Input'!$B$12,0))+AL980*(1-'P-Parametri'!$B$6*AK980))*(1+'1-Input'!$B$27))</f>
        <v>36907.019414897208</v>
      </c>
      <c r="AN980" s="18">
        <f>IF($A980&gt;'1-Input'!$B$26,AP979,(AP979-AL980)*(1+'5-Roberta'!$C$4))</f>
        <v>66715.920970489169</v>
      </c>
      <c r="AO980" s="18">
        <f>IF($A980&gt;'1-Input'!$B$26,AM980,AM980-'P-Parametri'!$B$8*(AN980+AM980)+MIN(MAX(AN980,0),'P-Parametri'!$B$8*(AN980+AM980)))</f>
        <v>36907.019414897208</v>
      </c>
      <c r="AP980" s="18">
        <f>IF($A980&gt;'1-Input'!$B$26,AN980,AN980-MIN(MAX(AN980,0),'P-Parametri'!$B$8*(AN980+AM980)))</f>
        <v>66508.675089718396</v>
      </c>
      <c r="AQ980" s="18">
        <f>IF($A980&gt;'1-Input'!$B$26,AQ979,AQ979-AL980*(1-AK980))</f>
        <v>27938.343081659012</v>
      </c>
    </row>
    <row r="981" spans="1:43">
      <c r="A981" s="10">
        <f>33</f>
        <v>33</v>
      </c>
      <c r="B981" s="11">
        <f>IF($A981&gt;'1-Input'!$B$26,0,IF(G980&lt;=0,0,MAX(0,(G980-H980)/G980)))</f>
        <v>0.58244773937467487</v>
      </c>
      <c r="C981" s="18">
        <f>IF($A981&gt;'1-Input'!$B$26,0,(MAX(0,B946-IF($A981&gt;='1-Input'!$C$12,'1-Input'!$B$12,0))-MIN(MAX(F980,0),MAX(0,B946-IF($A981&gt;='1-Input'!$C$12,'1-Input'!$B$12,0))))*(1/(1-'P-Parametri'!$B$6*B981))+MIN(MAX(0,G980-(MAX(0,B946-IF($A981&gt;='1-Input'!$C$12,'1-Input'!$B$12,0))-MIN(MAX(F980,0),MAX(0,B946-IF($A981&gt;='1-Input'!$C$12,'1-Input'!$B$12,0))))*(1/(1-'P-Parametri'!$B$6*B981))),MAX(0,2*B946-(F980-MIN(MAX(F980,0),MAX(0,B946-IF($A981&gt;='1-Input'!$C$12,'1-Input'!$B$12,0)))))*(1/(1-'P-Parametri'!$B$6*B981))))</f>
        <v>6716.2425952286412</v>
      </c>
      <c r="D981" s="18">
        <f>IF($A981&gt;'1-Input'!$B$26,F980,(F980-MAX(0,B946-IF($A981&gt;='1-Input'!$C$12,'1-Input'!$B$12,0))+C981*(1-'P-Parametri'!$B$6*B981))*(1+'1-Input'!$B$27))</f>
        <v>33242.0070309863</v>
      </c>
      <c r="E981" s="18">
        <f>IF($A981&gt;'1-Input'!$B$26,G980,(G980-C981)*(1+'5-Roberta'!$C$4))</f>
        <v>178420.05081752196</v>
      </c>
      <c r="F981" s="18">
        <f>IF($A981&gt;'1-Input'!$B$26,D981,D981-'P-Parametri'!$B$8*(E981+D981)+MIN(MAX(E981,0),'P-Parametri'!$B$8*(E981+D981)))</f>
        <v>33242.0070309863</v>
      </c>
      <c r="G981" s="18">
        <f>IF($A981&gt;'1-Input'!$B$26,E981,E981-MIN(MAX(E981,0),'P-Parametri'!$B$8*(E981+D981)))</f>
        <v>177996.72670182495</v>
      </c>
      <c r="H981" s="18">
        <f>IF($A981&gt;'1-Input'!$B$26,H980,H980-C981*(1-B981))</f>
        <v>72329.801514312319</v>
      </c>
      <c r="I981" s="11">
        <f>IF($A981&gt;'1-Input'!$B$26,0,IF(N980&lt;=0,0,MAX(0,(N980-O980)/N980)))</f>
        <v>0</v>
      </c>
      <c r="J981" s="18">
        <f>IF($A981&gt;'1-Input'!$B$26,0,(MAX(0,I946-IF($A981&gt;='1-Input'!$C$12,'1-Input'!$B$12,0))-MIN(MAX(M980,0),MAX(0,I946-IF($A981&gt;='1-Input'!$C$12,'1-Input'!$B$12,0))))*(1/(1-'P-Parametri'!$B$6*I981))+MIN(MAX(0,N980-(MAX(0,I946-IF($A981&gt;='1-Input'!$C$12,'1-Input'!$B$12,0))-MIN(MAX(M980,0),MAX(0,I946-IF($A981&gt;='1-Input'!$C$12,'1-Input'!$B$12,0))))*(1/(1-'P-Parametri'!$B$6*I981))),MAX(0,2*I946-(M980-MIN(MAX(M980,0),MAX(0,I946-IF($A981&gt;='1-Input'!$C$12,'1-Input'!$B$12,0)))))*(1/(1-'P-Parametri'!$B$6*I981))))</f>
        <v>10846.756992928691</v>
      </c>
      <c r="K981" s="18">
        <f>IF($A981&gt;'1-Input'!$B$26,M980,(M980-MAX(0,I946-IF($A981&gt;='1-Input'!$C$12,'1-Input'!$B$12,0))+J981*(1-'P-Parametri'!$B$6*I981))*(1+'1-Input'!$B$27))</f>
        <v>0</v>
      </c>
      <c r="L981" s="18">
        <f>IF($A981&gt;'1-Input'!$B$26,N980,(N980-J981)*(1+'5-Roberta'!$C$4))</f>
        <v>-81758.652698161895</v>
      </c>
      <c r="M981" s="18">
        <f>IF($A981&gt;'1-Input'!$B$26,K981,K981-'P-Parametri'!$B$8*(L981+K981)+MIN(MAX(L981,0),'P-Parametri'!$B$8*(L981+K981)))</f>
        <v>0</v>
      </c>
      <c r="N981" s="18">
        <f>IF($A981&gt;'1-Input'!$B$26,L981,L981-MIN(MAX(L981,0),'P-Parametri'!$B$8*(L981+K981)))</f>
        <v>-81595.135392765573</v>
      </c>
      <c r="O981" s="18">
        <f>IF($A981&gt;'1-Input'!$B$26,O980,O980-J981*(1-I981))</f>
        <v>-73198.881445133506</v>
      </c>
      <c r="P981" s="11">
        <f>IF($A981&gt;'1-Input'!$B$26,0,IF(U980&lt;=0,0,MAX(0,(U980-V980)/U980)))</f>
        <v>0.57905901423536044</v>
      </c>
      <c r="Q981" s="18">
        <f>IF($A981&gt;'1-Input'!$B$26,0,(MAX(0,P946-IF($A981&gt;='1-Input'!$C$12,'1-Input'!$B$12,0))-MIN(MAX(T980,0),MAX(0,P946-IF($A981&gt;='1-Input'!$C$12,'1-Input'!$B$12,0))))*(1/(1-'P-Parametri'!$B$6*P981))+MIN(MAX(0,U980-(MAX(0,P946-IF($A981&gt;='1-Input'!$C$12,'1-Input'!$B$12,0))-MIN(MAX(T980,0),MAX(0,P946-IF($A981&gt;='1-Input'!$C$12,'1-Input'!$B$12,0))))*(1/(1-'P-Parametri'!$B$6*P981))),MAX(0,2*P946-(T980-MIN(MAX(T980,0),MAX(0,P946-IF($A981&gt;='1-Input'!$C$12,'1-Input'!$B$12,0)))))*(1/(1-'P-Parametri'!$B$6*P981))))</f>
        <v>9218.7078816075973</v>
      </c>
      <c r="R981" s="18">
        <f>IF($A981&gt;'1-Input'!$B$26,T980,(T980-MAX(0,P946-IF($A981&gt;='1-Input'!$C$12,'1-Input'!$B$12,0))+Q981*(1-'P-Parametri'!$B$6*P981))*(1+'1-Input'!$B$27))</f>
        <v>37459.539579583834</v>
      </c>
      <c r="S981" s="18">
        <f>IF($A981&gt;'1-Input'!$B$26,U980,(U980-Q981)*(1+'5-Roberta'!$C$4))</f>
        <v>41404.65523173807</v>
      </c>
      <c r="T981" s="18">
        <f>IF($A981&gt;'1-Input'!$B$26,R981,R981-'P-Parametri'!$B$8*(S981+R981)+MIN(MAX(S981,0),'P-Parametri'!$B$8*(S981+R981)))</f>
        <v>37459.539579583834</v>
      </c>
      <c r="U981" s="18">
        <f>IF($A981&gt;'1-Input'!$B$26,S981,S981-MIN(MAX(S981,0),'P-Parametri'!$B$8*(S981+R981)))</f>
        <v>41246.926842115427</v>
      </c>
      <c r="V981" s="18">
        <f>IF($A981&gt;'1-Input'!$B$26,V980,V980-Q981*(1-P981))</f>
        <v>16921.278047080446</v>
      </c>
      <c r="W981" s="11">
        <f>IF($A981&gt;'1-Input'!$B$26,0,IF(AB980&lt;=0,0,MAX(0,(AB980-AC980)/AB980)))</f>
        <v>0.57988830046524698</v>
      </c>
      <c r="X981" s="18">
        <f>IF($A981&gt;'1-Input'!$B$26,0,(MAX(0,W946-IF($A981&gt;='1-Input'!$C$12,'1-Input'!$B$12,0))-MIN(MAX(AA980,0),MAX(0,W946-IF($A981&gt;='1-Input'!$C$12,'1-Input'!$B$12,0))))*(1/(1-'P-Parametri'!$B$6*W981))+MIN(MAX(0,AB980-(MAX(0,W946-IF($A981&gt;='1-Input'!$C$12,'1-Input'!$B$12,0))-MIN(MAX(AA980,0),MAX(0,W946-IF($A981&gt;='1-Input'!$C$12,'1-Input'!$B$12,0))))*(1/(1-'P-Parametri'!$B$6*W981))),MAX(0,2*W946-(AA980-MIN(MAX(AA980,0),MAX(0,W946-IF($A981&gt;='1-Input'!$C$12,'1-Input'!$B$12,0)))))*(1/(1-'P-Parametri'!$B$6*W981))))</f>
        <v>8910.6040573281571</v>
      </c>
      <c r="Y981" s="18">
        <f>IF($A981&gt;'1-Input'!$B$26,AA980,(AA980-MAX(0,W946-IF($A981&gt;='1-Input'!$C$12,'1-Input'!$B$12,0))+X981*(1-'P-Parametri'!$B$6*W981))*(1+'1-Input'!$B$27))</f>
        <v>36937.916657430564</v>
      </c>
      <c r="Z981" s="18">
        <f>IF($A981&gt;'1-Input'!$B$26,AB980,(AB980-X981)*(1+'5-Roberta'!$C$4))</f>
        <v>58341.484348804748</v>
      </c>
      <c r="AA981" s="18">
        <f>IF($A981&gt;'1-Input'!$B$26,Y981,Y981-'P-Parametri'!$B$8*(Z981+Y981)+MIN(MAX(Z981,0),'P-Parametri'!$B$8*(Z981+Y981)))</f>
        <v>36937.916657430564</v>
      </c>
      <c r="AB981" s="18">
        <f>IF($A981&gt;'1-Input'!$B$26,Z981,Z981-MIN(MAX(Z981,0),'P-Parametri'!$B$8*(Z981+Y981)))</f>
        <v>58150.925546792278</v>
      </c>
      <c r="AC981" s="18">
        <f>IF($A981&gt;'1-Input'!$B$26,AC980,AC980-X981*(1-W981))</f>
        <v>23796.058391414132</v>
      </c>
      <c r="AD981" s="11">
        <f>IF($A981&gt;'1-Input'!$B$26,0,IF(AI980&lt;=0,0,MAX(0,(AI980-AJ980)/AI980)))</f>
        <v>0.57993028589773399</v>
      </c>
      <c r="AE981" s="18">
        <f>IF($A981&gt;'1-Input'!$B$26,0,(MAX(0,AD946-IF($A981&gt;='1-Input'!$C$12,'1-Input'!$B$12,0))-MIN(MAX(AH980,0),MAX(0,AD946-IF($A981&gt;='1-Input'!$C$12,'1-Input'!$B$12,0))))*(1/(1-'P-Parametri'!$B$6*AD981))+MIN(MAX(0,AI980-(MAX(0,AD946-IF($A981&gt;='1-Input'!$C$12,'1-Input'!$B$12,0))-MIN(MAX(AH980,0),MAX(0,AD946-IF($A981&gt;='1-Input'!$C$12,'1-Input'!$B$12,0))))*(1/(1-'P-Parametri'!$B$6*AD981))),MAX(0,2*AD946-(AH980-MIN(MAX(AH980,0),MAX(0,AD946-IF($A981&gt;='1-Input'!$C$12,'1-Input'!$B$12,0)))))*(1/(1-'P-Parametri'!$B$6*AD981))))</f>
        <v>8891.9018457813982</v>
      </c>
      <c r="AF981" s="18">
        <f>IF($A981&gt;'1-Input'!$B$26,AH980,(AH980-MAX(0,AD946-IF($A981&gt;='1-Input'!$C$12,'1-Input'!$B$12,0))+AE981*(1-'P-Parametri'!$B$6*AD981))*(1+'1-Input'!$B$27))</f>
        <v>36906.300293679618</v>
      </c>
      <c r="AG981" s="18">
        <f>IF($A981&gt;'1-Input'!$B$26,AI980,(AI980-AE981)*(1+'5-Roberta'!$C$4))</f>
        <v>59368.191093474095</v>
      </c>
      <c r="AH981" s="18">
        <f>IF($A981&gt;'1-Input'!$B$26,AF981,AF981-'P-Parametri'!$B$8*(AG981+AF981)+MIN(MAX(AG981,0),'P-Parametri'!$B$8*(AG981+AF981)))</f>
        <v>36906.300293679618</v>
      </c>
      <c r="AI981" s="18">
        <f>IF($A981&gt;'1-Input'!$B$26,AG981,AG981-MIN(MAX(AG981,0),'P-Parametri'!$B$8*(AG981+AF981)))</f>
        <v>59175.642110699788</v>
      </c>
      <c r="AJ981" s="18">
        <f>IF($A981&gt;'1-Input'!$B$26,AJ980,AJ980-AE981*(1-AD981))</f>
        <v>24212.406853790646</v>
      </c>
      <c r="AK981" s="11">
        <f>IF($A981&gt;'1-Input'!$B$26,0,IF(AP980&lt;=0,0,MAX(0,(AP980-AQ980)/AP980)))</f>
        <v>0.57992933938360758</v>
      </c>
      <c r="AL981" s="18">
        <f>IF($A981&gt;'1-Input'!$B$26,0,(MAX(0,AK946-IF($A981&gt;='1-Input'!$C$12,'1-Input'!$B$12,0))-MIN(MAX(AO980,0),MAX(0,AK946-IF($A981&gt;='1-Input'!$C$12,'1-Input'!$B$12,0))))*(1/(1-'P-Parametri'!$B$6*AK981))+MIN(MAX(0,AP980-(MAX(0,AK946-IF($A981&gt;='1-Input'!$C$12,'1-Input'!$B$12,0))-MIN(MAX(AO980,0),MAX(0,AK946-IF($A981&gt;='1-Input'!$C$12,'1-Input'!$B$12,0))))*(1/(1-'P-Parametri'!$B$6*AK981))),MAX(0,2*AK946-(AO980-MIN(MAX(AO980,0),MAX(0,AK946-IF($A981&gt;='1-Input'!$C$12,'1-Input'!$B$12,0)))))*(1/(1-'P-Parametri'!$B$6*AK981))))</f>
        <v>8892.3272600974706</v>
      </c>
      <c r="AM981" s="18">
        <f>IF($A981&gt;'1-Input'!$B$26,AO980,(AO980-MAX(0,AK946-IF($A981&gt;='1-Input'!$C$12,'1-Input'!$B$12,0))+AL981*(1-'P-Parametri'!$B$6*AK981))*(1+'1-Input'!$B$27))</f>
        <v>36907.019414897208</v>
      </c>
      <c r="AN981" s="18">
        <f>IF($A981&gt;'1-Input'!$B$26,AP980,(AP980-AL981)*(1+'5-Roberta'!$C$4))</f>
        <v>59344.838264509548</v>
      </c>
      <c r="AO981" s="18">
        <f>IF($A981&gt;'1-Input'!$B$26,AM981,AM981-'P-Parametri'!$B$8*(AN981+AM981)+MIN(MAX(AN981,0),'P-Parametri'!$B$8*(AN981+AM981)))</f>
        <v>36907.019414897208</v>
      </c>
      <c r="AP981" s="18">
        <f>IF($A981&gt;'1-Input'!$B$26,AN981,AN981-MIN(MAX(AN981,0),'P-Parametri'!$B$8*(AN981+AM981)))</f>
        <v>59152.334549150735</v>
      </c>
      <c r="AQ981" s="18">
        <f>IF($A981&gt;'1-Input'!$B$26,AQ980,AQ980-AL981*(1-AK981))</f>
        <v>24202.937295092714</v>
      </c>
    </row>
    <row r="982" spans="1:43">
      <c r="A982" s="10">
        <f>34</f>
        <v>34</v>
      </c>
      <c r="B982" s="11">
        <f>IF($A982&gt;'1-Input'!$B$26,0,IF(G981&lt;=0,0,MAX(0,(G981-H981)/G981)))</f>
        <v>0.59364532789708468</v>
      </c>
      <c r="C982" s="18">
        <f>IF($A982&gt;'1-Input'!$B$26,0,(MAX(0,B946-IF($A982&gt;='1-Input'!$C$12,'1-Input'!$B$12,0))-MIN(MAX(F981,0),MAX(0,B946-IF($A982&gt;='1-Input'!$C$12,'1-Input'!$B$12,0))))*(1/(1-'P-Parametri'!$B$6*B982))+MIN(MAX(0,G981-(MAX(0,B946-IF($A982&gt;='1-Input'!$C$12,'1-Input'!$B$12,0))-MIN(MAX(F981,0),MAX(0,B946-IF($A982&gt;='1-Input'!$C$12,'1-Input'!$B$12,0))))*(1/(1-'P-Parametri'!$B$6*B982))),MAX(0,2*B946-(F981-MIN(MAX(F981,0),MAX(0,B946-IF($A982&gt;='1-Input'!$C$12,'1-Input'!$B$12,0)))))*(1/(1-'P-Parametri'!$B$6*B982))))</f>
        <v>6739.3649700282494</v>
      </c>
      <c r="D982" s="18">
        <f>IF($A982&gt;'1-Input'!$B$26,F981,(F981-MAX(0,B946-IF($A982&gt;='1-Input'!$C$12,'1-Input'!$B$12,0))+C982*(1-'P-Parametri'!$B$6*B982))*(1+'1-Input'!$B$27))</f>
        <v>33242.0070309863</v>
      </c>
      <c r="E982" s="18">
        <f>IF($A982&gt;'1-Input'!$B$26,G981,(G981-C982)*(1+'5-Roberta'!$C$4))</f>
        <v>176395.0825837506</v>
      </c>
      <c r="F982" s="18">
        <f>IF($A982&gt;'1-Input'!$B$26,D982,D982-'P-Parametri'!$B$8*(E982+D982)+MIN(MAX(E982,0),'P-Parametri'!$B$8*(E982+D982)))</f>
        <v>33242.0070309863</v>
      </c>
      <c r="G982" s="18">
        <f>IF($A982&gt;'1-Input'!$B$26,E982,E982-MIN(MAX(E982,0),'P-Parametri'!$B$8*(E982+D982)))</f>
        <v>175975.80840452111</v>
      </c>
      <c r="H982" s="18">
        <f>IF($A982&gt;'1-Input'!$B$26,H981,H981-C982*(1-B982))</f>
        <v>69591.229071734619</v>
      </c>
      <c r="I982" s="11">
        <f>IF($A982&gt;'1-Input'!$B$26,0,IF(N981&lt;=0,0,MAX(0,(N981-O981)/N981)))</f>
        <v>0</v>
      </c>
      <c r="J982" s="18">
        <f>IF($A982&gt;'1-Input'!$B$26,0,(MAX(0,I946-IF($A982&gt;='1-Input'!$C$12,'1-Input'!$B$12,0))-MIN(MAX(M981,0),MAX(0,I946-IF($A982&gt;='1-Input'!$C$12,'1-Input'!$B$12,0))))*(1/(1-'P-Parametri'!$B$6*I982))+MIN(MAX(0,N981-(MAX(0,I946-IF($A982&gt;='1-Input'!$C$12,'1-Input'!$B$12,0))-MIN(MAX(M981,0),MAX(0,I946-IF($A982&gt;='1-Input'!$C$12,'1-Input'!$B$12,0))))*(1/(1-'P-Parametri'!$B$6*I982))),MAX(0,2*I946-(M981-MIN(MAX(M981,0),MAX(0,I946-IF($A982&gt;='1-Input'!$C$12,'1-Input'!$B$12,0)))))*(1/(1-'P-Parametri'!$B$6*I982))))</f>
        <v>10846.756992928691</v>
      </c>
      <c r="K982" s="18">
        <f>IF($A982&gt;'1-Input'!$B$26,M981,(M981-MAX(0,I946-IF($A982&gt;='1-Input'!$C$12,'1-Input'!$B$12,0))+J982*(1-'P-Parametri'!$B$6*I982))*(1+'1-Input'!$B$27))</f>
        <v>0</v>
      </c>
      <c r="L982" s="18">
        <f>IF($A982&gt;'1-Input'!$B$26,N981,(N981-J982)*(1+'5-Roberta'!$C$4))</f>
        <v>-95215.149157265085</v>
      </c>
      <c r="M982" s="18">
        <f>IF($A982&gt;'1-Input'!$B$26,K982,K982-'P-Parametri'!$B$8*(L982+K982)+MIN(MAX(L982,0),'P-Parametri'!$B$8*(L982+K982)))</f>
        <v>0</v>
      </c>
      <c r="N982" s="18">
        <f>IF($A982&gt;'1-Input'!$B$26,L982,L982-MIN(MAX(L982,0),'P-Parametri'!$B$8*(L982+K982)))</f>
        <v>-95024.718858950553</v>
      </c>
      <c r="O982" s="18">
        <f>IF($A982&gt;'1-Input'!$B$26,O981,O981-J982*(1-I982))</f>
        <v>-84045.638438062189</v>
      </c>
      <c r="P982" s="11">
        <f>IF($A982&gt;'1-Input'!$B$26,0,IF(U981&lt;=0,0,MAX(0,(U981-V981)/U981)))</f>
        <v>0.58975663540094647</v>
      </c>
      <c r="Q982" s="18">
        <f>IF($A982&gt;'1-Input'!$B$26,0,(MAX(0,P946-IF($A982&gt;='1-Input'!$C$12,'1-Input'!$B$12,0))-MIN(MAX(T981,0),MAX(0,P946-IF($A982&gt;='1-Input'!$C$12,'1-Input'!$B$12,0))))*(1/(1-'P-Parametri'!$B$6*P982))+MIN(MAX(0,U981-(MAX(0,P946-IF($A982&gt;='1-Input'!$C$12,'1-Input'!$B$12,0))-MIN(MAX(T981,0),MAX(0,P946-IF($A982&gt;='1-Input'!$C$12,'1-Input'!$B$12,0))))*(1/(1-'P-Parametri'!$B$6*P982))),MAX(0,2*P946-(T981-MIN(MAX(T981,0),MAX(0,P946-IF($A982&gt;='1-Input'!$C$12,'1-Input'!$B$12,0)))))*(1/(1-'P-Parametri'!$B$6*P982))))</f>
        <v>9248.9923457472905</v>
      </c>
      <c r="R982" s="18">
        <f>IF($A982&gt;'1-Input'!$B$26,T981,(T981-MAX(0,P946-IF($A982&gt;='1-Input'!$C$12,'1-Input'!$B$12,0))+Q982*(1-'P-Parametri'!$B$6*P982))*(1+'1-Input'!$B$27))</f>
        <v>37459.539579583834</v>
      </c>
      <c r="S982" s="18">
        <f>IF($A982&gt;'1-Input'!$B$26,U981,(U981-Q982)*(1+'5-Roberta'!$C$4))</f>
        <v>32957.872531259178</v>
      </c>
      <c r="T982" s="18">
        <f>IF($A982&gt;'1-Input'!$B$26,R982,R982-'P-Parametri'!$B$8*(S982+R982)+MIN(MAX(S982,0),'P-Parametri'!$B$8*(S982+R982)))</f>
        <v>37459.539579583834</v>
      </c>
      <c r="U982" s="18">
        <f>IF($A982&gt;'1-Input'!$B$26,S982,S982-MIN(MAX(S982,0),'P-Parametri'!$B$8*(S982+R982)))</f>
        <v>32817.037707037489</v>
      </c>
      <c r="V982" s="18">
        <f>IF($A982&gt;'1-Input'!$B$26,V981,V981-Q982*(1-P982))</f>
        <v>13126.940308010186</v>
      </c>
      <c r="W982" s="11">
        <f>IF($A982&gt;'1-Input'!$B$26,0,IF(AB981&lt;=0,0,MAX(0,(AB981-AC981)/AB981)))</f>
        <v>0.59078796824538637</v>
      </c>
      <c r="X982" s="18">
        <f>IF($A982&gt;'1-Input'!$B$26,0,(MAX(0,W946-IF($A982&gt;='1-Input'!$C$12,'1-Input'!$B$12,0))-MIN(MAX(AA981,0),MAX(0,W946-IF($A982&gt;='1-Input'!$C$12,'1-Input'!$B$12,0))))*(1/(1-'P-Parametri'!$B$6*W982))+MIN(MAX(0,AB981-(MAX(0,W946-IF($A982&gt;='1-Input'!$C$12,'1-Input'!$B$12,0))-MIN(MAX(AA981,0),MAX(0,W946-IF($A982&gt;='1-Input'!$C$12,'1-Input'!$B$12,0))))*(1/(1-'P-Parametri'!$B$6*W982))),MAX(0,2*W946-(AA981-MIN(MAX(AA981,0),MAX(0,W946-IF($A982&gt;='1-Input'!$C$12,'1-Input'!$B$12,0)))))*(1/(1-'P-Parametri'!$B$6*W982))))</f>
        <v>8940.438683477043</v>
      </c>
      <c r="Y982" s="18">
        <f>IF($A982&gt;'1-Input'!$B$26,AA981,(AA981-MAX(0,W946-IF($A982&gt;='1-Input'!$C$12,'1-Input'!$B$12,0))+X982*(1-'P-Parametri'!$B$6*W982))*(1+'1-Input'!$B$27))</f>
        <v>36937.916657430564</v>
      </c>
      <c r="Z982" s="18">
        <f>IF($A982&gt;'1-Input'!$B$26,AB981,(AB981-X982)*(1+'5-Roberta'!$C$4))</f>
        <v>50686.801469214697</v>
      </c>
      <c r="AA982" s="18">
        <f>IF($A982&gt;'1-Input'!$B$26,Y982,Y982-'P-Parametri'!$B$8*(Z982+Y982)+MIN(MAX(Z982,0),'P-Parametri'!$B$8*(Z982+Y982)))</f>
        <v>36937.916657430564</v>
      </c>
      <c r="AB982" s="18">
        <f>IF($A982&gt;'1-Input'!$B$26,Z982,Z982-MIN(MAX(Z982,0),'P-Parametri'!$B$8*(Z982+Y982)))</f>
        <v>50511.552032961408</v>
      </c>
      <c r="AC982" s="18">
        <f>IF($A982&gt;'1-Input'!$B$26,AC981,AC981-X982*(1-W982))</f>
        <v>20137.523312970949</v>
      </c>
      <c r="AD982" s="11">
        <f>IF($A982&gt;'1-Input'!$B$26,0,IF(AI981&lt;=0,0,MAX(0,(AI981-AJ981)/AI981)))</f>
        <v>0.59083829105738261</v>
      </c>
      <c r="AE982" s="18">
        <f>IF($A982&gt;'1-Input'!$B$26,0,(MAX(0,AD946-IF($A982&gt;='1-Input'!$C$12,'1-Input'!$B$12,0))-MIN(MAX(AH981,0),MAX(0,AD946-IF($A982&gt;='1-Input'!$C$12,'1-Input'!$B$12,0))))*(1/(1-'P-Parametri'!$B$6*AD982))+MIN(MAX(0,AI981-(MAX(0,AD946-IF($A982&gt;='1-Input'!$C$12,'1-Input'!$B$12,0))-MIN(MAX(AH981,0),MAX(0,AD946-IF($A982&gt;='1-Input'!$C$12,'1-Input'!$B$12,0))))*(1/(1-'P-Parametri'!$B$6*AD982))),MAX(0,2*AD946-(AH981-MIN(MAX(AH981,0),MAX(0,AD946-IF($A982&gt;='1-Input'!$C$12,'1-Input'!$B$12,0)))))*(1/(1-'P-Parametri'!$B$6*AD982))))</f>
        <v>8921.6970866946867</v>
      </c>
      <c r="AF982" s="18">
        <f>IF($A982&gt;'1-Input'!$B$26,AH981,(AH981-MAX(0,AD946-IF($A982&gt;='1-Input'!$C$12,'1-Input'!$B$12,0))+AE982*(1-'P-Parametri'!$B$6*AD982))*(1+'1-Input'!$B$27))</f>
        <v>36906.300293679618</v>
      </c>
      <c r="AG982" s="18">
        <f>IF($A982&gt;'1-Input'!$B$26,AI981,(AI981-AE982)*(1+'5-Roberta'!$C$4))</f>
        <v>51761.563374725258</v>
      </c>
      <c r="AH982" s="18">
        <f>IF($A982&gt;'1-Input'!$B$26,AF982,AF982-'P-Parametri'!$B$8*(AG982+AF982)+MIN(MAX(AG982,0),'P-Parametri'!$B$8*(AG982+AF982)))</f>
        <v>36906.300293679618</v>
      </c>
      <c r="AI982" s="18">
        <f>IF($A982&gt;'1-Input'!$B$26,AG982,AG982-MIN(MAX(AG982,0),'P-Parametri'!$B$8*(AG982+AF982)))</f>
        <v>51584.227647388449</v>
      </c>
      <c r="AJ982" s="18">
        <f>IF($A982&gt;'1-Input'!$B$26,AJ981,AJ981-AE982*(1-AD982))</f>
        <v>20561.990027130276</v>
      </c>
      <c r="AK982" s="11">
        <f>IF($A982&gt;'1-Input'!$B$26,0,IF(AP981&lt;=0,0,MAX(0,(AP981-AQ981)/AP981)))</f>
        <v>0.59083715833764672</v>
      </c>
      <c r="AL982" s="18">
        <f>IF($A982&gt;'1-Input'!$B$26,0,(MAX(0,AK946-IF($A982&gt;='1-Input'!$C$12,'1-Input'!$B$12,0))-MIN(MAX(AO981,0),MAX(0,AK946-IF($A982&gt;='1-Input'!$C$12,'1-Input'!$B$12,0))))*(1/(1-'P-Parametri'!$B$6*AK982))+MIN(MAX(0,AP981-(MAX(0,AK946-IF($A982&gt;='1-Input'!$C$12,'1-Input'!$B$12,0))-MIN(MAX(AO981,0),MAX(0,AK946-IF($A982&gt;='1-Input'!$C$12,'1-Input'!$B$12,0))))*(1/(1-'P-Parametri'!$B$6*AK982))),MAX(0,2*AK946-(AO981-MIN(MAX(AO981,0),MAX(0,AK946-IF($A982&gt;='1-Input'!$C$12,'1-Input'!$B$12,0)))))*(1/(1-'P-Parametri'!$B$6*AK982))))</f>
        <v>8922.1234074880595</v>
      </c>
      <c r="AM982" s="18">
        <f>IF($A982&gt;'1-Input'!$B$26,AO981,(AO981-MAX(0,AK946-IF($A982&gt;='1-Input'!$C$12,'1-Input'!$B$12,0))+AL982*(1-'P-Parametri'!$B$6*AK982))*(1+'1-Input'!$B$27))</f>
        <v>36907.019414897208</v>
      </c>
      <c r="AN982" s="18">
        <f>IF($A982&gt;'1-Input'!$B$26,AP981,(AP981-AL982)*(1+'5-Roberta'!$C$4))</f>
        <v>51737.117475912557</v>
      </c>
      <c r="AO982" s="18">
        <f>IF($A982&gt;'1-Input'!$B$26,AM982,AM982-'P-Parametri'!$B$8*(AN982+AM982)+MIN(MAX(AN982,0),'P-Parametri'!$B$8*(AN982+AM982)))</f>
        <v>36907.019414897208</v>
      </c>
      <c r="AP982" s="18">
        <f>IF($A982&gt;'1-Input'!$B$26,AN982,AN982-MIN(MAX(AN982,0),'P-Parametri'!$B$8*(AN982+AM982)))</f>
        <v>51559.829202130939</v>
      </c>
      <c r="AQ982" s="18">
        <f>IF($A982&gt;'1-Input'!$B$26,AQ981,AQ981-AL982*(1-AK982))</f>
        <v>20552.335928022701</v>
      </c>
    </row>
    <row r="983" spans="1:43">
      <c r="A983" s="10">
        <f>35</f>
        <v>35</v>
      </c>
      <c r="B983" s="11">
        <f>IF($A983&gt;'1-Input'!$B$26,0,IF(G982&lt;=0,0,MAX(0,(G982-H982)/G982)))</f>
        <v>0.60454093262772191</v>
      </c>
      <c r="C983" s="18">
        <f>IF($A983&gt;'1-Input'!$B$26,0,(MAX(0,B946-IF($A983&gt;='1-Input'!$C$12,'1-Input'!$B$12,0))-MIN(MAX(F982,0),MAX(0,B946-IF($A983&gt;='1-Input'!$C$12,'1-Input'!$B$12,0))))*(1/(1-'P-Parametri'!$B$6*B983))+MIN(MAX(0,G982-(MAX(0,B946-IF($A983&gt;='1-Input'!$C$12,'1-Input'!$B$12,0))-MIN(MAX(F982,0),MAX(0,B946-IF($A983&gt;='1-Input'!$C$12,'1-Input'!$B$12,0))))*(1/(1-'P-Parametri'!$B$6*B983))),MAX(0,2*B946-(F982-MIN(MAX(F982,0),MAX(0,B946-IF($A983&gt;='1-Input'!$C$12,'1-Input'!$B$12,0)))))*(1/(1-'P-Parametri'!$B$6*B983))))</f>
        <v>6762.0171061122765</v>
      </c>
      <c r="D983" s="18">
        <f>IF($A983&gt;'1-Input'!$B$26,F982,(F982-MAX(0,B946-IF($A983&gt;='1-Input'!$C$12,'1-Input'!$B$12,0))+C983*(1-'P-Parametri'!$B$6*B983))*(1+'1-Input'!$B$27))</f>
        <v>33242.0070309863</v>
      </c>
      <c r="E983" s="18">
        <f>IF($A983&gt;'1-Input'!$B$26,G982,(G982-C983)*(1+'5-Roberta'!$C$4))</f>
        <v>174290.20503736113</v>
      </c>
      <c r="F983" s="18">
        <f>IF($A983&gt;'1-Input'!$B$26,D983,D983-'P-Parametri'!$B$8*(E983+D983)+MIN(MAX(E983,0),'P-Parametri'!$B$8*(E983+D983)))</f>
        <v>33242.0070309863</v>
      </c>
      <c r="G983" s="18">
        <f>IF($A983&gt;'1-Input'!$B$26,E983,E983-MIN(MAX(E983,0),'P-Parametri'!$B$8*(E983+D983)))</f>
        <v>173875.14061322444</v>
      </c>
      <c r="H983" s="18">
        <f>IF($A983&gt;'1-Input'!$B$26,H982,H982-C983*(1-B983))</f>
        <v>66917.128093396066</v>
      </c>
      <c r="I983" s="11">
        <f>IF($A983&gt;'1-Input'!$B$26,0,IF(N982&lt;=0,0,MAX(0,(N982-O982)/N982)))</f>
        <v>0</v>
      </c>
      <c r="J983" s="18">
        <f>IF($A983&gt;'1-Input'!$B$26,0,(MAX(0,I946-IF($A983&gt;='1-Input'!$C$12,'1-Input'!$B$12,0))-MIN(MAX(M982,0),MAX(0,I946-IF($A983&gt;='1-Input'!$C$12,'1-Input'!$B$12,0))))*(1/(1-'P-Parametri'!$B$6*I983))+MIN(MAX(0,N982-(MAX(0,I946-IF($A983&gt;='1-Input'!$C$12,'1-Input'!$B$12,0))-MIN(MAX(M982,0),MAX(0,I946-IF($A983&gt;='1-Input'!$C$12,'1-Input'!$B$12,0))))*(1/(1-'P-Parametri'!$B$6*I983))),MAX(0,2*I946-(M982-MIN(MAX(M982,0),MAX(0,I946-IF($A983&gt;='1-Input'!$C$12,'1-Input'!$B$12,0)))))*(1/(1-'P-Parametri'!$B$6*I983))))</f>
        <v>10846.756992928691</v>
      </c>
      <c r="K983" s="18">
        <f>IF($A983&gt;'1-Input'!$B$26,M982,(M982-MAX(0,I946-IF($A983&gt;='1-Input'!$C$12,'1-Input'!$B$12,0))+J983*(1-'P-Parametri'!$B$6*I983))*(1+'1-Input'!$B$27))</f>
        <v>0</v>
      </c>
      <c r="L983" s="18">
        <f>IF($A983&gt;'1-Input'!$B$26,N982,(N982-J983)*(1+'5-Roberta'!$C$4))</f>
        <v>-109047.62012743563</v>
      </c>
      <c r="M983" s="18">
        <f>IF($A983&gt;'1-Input'!$B$26,K983,K983-'P-Parametri'!$B$8*(L983+K983)+MIN(MAX(L983,0),'P-Parametri'!$B$8*(L983+K983)))</f>
        <v>0</v>
      </c>
      <c r="N983" s="18">
        <f>IF($A983&gt;'1-Input'!$B$26,L983,L983-MIN(MAX(L983,0),'P-Parametri'!$B$8*(L983+K983)))</f>
        <v>-108829.52488718076</v>
      </c>
      <c r="O983" s="18">
        <f>IF($A983&gt;'1-Input'!$B$26,O982,O982-J983*(1-I983))</f>
        <v>-94892.395430990873</v>
      </c>
      <c r="P983" s="11">
        <f>IF($A983&gt;'1-Input'!$B$26,0,IF(U982&lt;=0,0,MAX(0,(U982-V982)/U982)))</f>
        <v>0.59999618414080191</v>
      </c>
      <c r="Q983" s="18">
        <f>IF($A983&gt;'1-Input'!$B$26,0,(MAX(0,P946-IF($A983&gt;='1-Input'!$C$12,'1-Input'!$B$12,0))-MIN(MAX(T982,0),MAX(0,P946-IF($A983&gt;='1-Input'!$C$12,'1-Input'!$B$12,0))))*(1/(1-'P-Parametri'!$B$6*P983))+MIN(MAX(0,U982-(MAX(0,P946-IF($A983&gt;='1-Input'!$C$12,'1-Input'!$B$12,0))-MIN(MAX(T982,0),MAX(0,P946-IF($A983&gt;='1-Input'!$C$12,'1-Input'!$B$12,0))))*(1/(1-'P-Parametri'!$B$6*P983))),MAX(0,2*P946-(T982-MIN(MAX(T982,0),MAX(0,P946-IF($A983&gt;='1-Input'!$C$12,'1-Input'!$B$12,0)))))*(1/(1-'P-Parametri'!$B$6*P983))))</f>
        <v>9278.166993986677</v>
      </c>
      <c r="R983" s="18">
        <f>IF($A983&gt;'1-Input'!$B$26,T982,(T982-MAX(0,P946-IF($A983&gt;='1-Input'!$C$12,'1-Input'!$B$12,0))+Q983*(1-'P-Parametri'!$B$6*P983))*(1+'1-Input'!$B$27))</f>
        <v>37459.539579583834</v>
      </c>
      <c r="S983" s="18">
        <f>IF($A983&gt;'1-Input'!$B$26,U982,(U982-Q983)*(1+'5-Roberta'!$C$4))</f>
        <v>24245.036834442337</v>
      </c>
      <c r="T983" s="18">
        <f>IF($A983&gt;'1-Input'!$B$26,R983,R983-'P-Parametri'!$B$8*(S983+R983)+MIN(MAX(S983,0),'P-Parametri'!$B$8*(S983+R983)))</f>
        <v>37459.539579583834</v>
      </c>
      <c r="U983" s="18">
        <f>IF($A983&gt;'1-Input'!$B$26,S983,S983-MIN(MAX(S983,0),'P-Parametri'!$B$8*(S983+R983)))</f>
        <v>24121.627681614285</v>
      </c>
      <c r="V983" s="18">
        <f>IF($A983&gt;'1-Input'!$B$26,V982,V982-Q983*(1-P983))</f>
        <v>9415.638106236649</v>
      </c>
      <c r="W983" s="11">
        <f>IF($A983&gt;'1-Input'!$B$26,0,IF(AB982&lt;=0,0,MAX(0,(AB982-AC982)/AB982)))</f>
        <v>0.60132835950417496</v>
      </c>
      <c r="X983" s="18">
        <f>IF($A983&gt;'1-Input'!$B$26,0,(MAX(0,W946-IF($A983&gt;='1-Input'!$C$12,'1-Input'!$B$12,0))-MIN(MAX(AA982,0),MAX(0,W946-IF($A983&gt;='1-Input'!$C$12,'1-Input'!$B$12,0))))*(1/(1-'P-Parametri'!$B$6*W983))+MIN(MAX(0,AB982-(MAX(0,W946-IF($A983&gt;='1-Input'!$C$12,'1-Input'!$B$12,0))-MIN(MAX(AA982,0),MAX(0,W946-IF($A983&gt;='1-Input'!$C$12,'1-Input'!$B$12,0))))*(1/(1-'P-Parametri'!$B$6*W983))),MAX(0,2*W946-(AA982-MIN(MAX(AA982,0),MAX(0,W946-IF($A983&gt;='1-Input'!$C$12,'1-Input'!$B$12,0)))))*(1/(1-'P-Parametri'!$B$6*W983))))</f>
        <v>8969.4805293750032</v>
      </c>
      <c r="Y983" s="18">
        <f>IF($A983&gt;'1-Input'!$B$26,AA982,(AA982-MAX(0,W946-IF($A983&gt;='1-Input'!$C$12,'1-Input'!$B$12,0))+X983*(1-'P-Parametri'!$B$6*W983))*(1+'1-Input'!$B$27))</f>
        <v>36937.916657430564</v>
      </c>
      <c r="Z983" s="18">
        <f>IF($A983&gt;'1-Input'!$B$26,AB982,(AB982-X983)*(1+'5-Roberta'!$C$4))</f>
        <v>42788.333648693995</v>
      </c>
      <c r="AA983" s="18">
        <f>IF($A983&gt;'1-Input'!$B$26,Y983,Y983-'P-Parametri'!$B$8*(Z983+Y983)+MIN(MAX(Z983,0),'P-Parametri'!$B$8*(Z983+Y983)))</f>
        <v>36937.916657430564</v>
      </c>
      <c r="AB983" s="18">
        <f>IF($A983&gt;'1-Input'!$B$26,Z983,Z983-MIN(MAX(Z983,0),'P-Parametri'!$B$8*(Z983+Y983)))</f>
        <v>42628.881148081746</v>
      </c>
      <c r="AC983" s="18">
        <f>IF($A983&gt;'1-Input'!$B$26,AC982,AC982-X983*(1-W983))</f>
        <v>16561.645795929653</v>
      </c>
      <c r="AD983" s="11">
        <f>IF($A983&gt;'1-Input'!$B$26,0,IF(AI982&lt;=0,0,MAX(0,(AI982-AJ982)/AI982)))</f>
        <v>0.60138997974953168</v>
      </c>
      <c r="AE983" s="18">
        <f>IF($A983&gt;'1-Input'!$B$26,0,(MAX(0,AD946-IF($A983&gt;='1-Input'!$C$12,'1-Input'!$B$12,0))-MIN(MAX(AH982,0),MAX(0,AD946-IF($A983&gt;='1-Input'!$C$12,'1-Input'!$B$12,0))))*(1/(1-'P-Parametri'!$B$6*AD983))+MIN(MAX(0,AI982-(MAX(0,AD946-IF($A983&gt;='1-Input'!$C$12,'1-Input'!$B$12,0))-MIN(MAX(AH982,0),MAX(0,AD946-IF($A983&gt;='1-Input'!$C$12,'1-Input'!$B$12,0))))*(1/(1-'P-Parametri'!$B$6*AD983))),MAX(0,2*AD946-(AH982-MIN(MAX(AH982,0),MAX(0,AD946-IF($A983&gt;='1-Input'!$C$12,'1-Input'!$B$12,0)))))*(1/(1-'P-Parametri'!$B$6*AD983))))</f>
        <v>8950.7096663893608</v>
      </c>
      <c r="AF983" s="18">
        <f>IF($A983&gt;'1-Input'!$B$26,AH982,(AH982-MAX(0,AD946-IF($A983&gt;='1-Input'!$C$12,'1-Input'!$B$12,0))+AE983*(1-'P-Parametri'!$B$6*AD983))*(1+'1-Input'!$B$27))</f>
        <v>36906.300293679618</v>
      </c>
      <c r="AG983" s="18">
        <f>IF($A983&gt;'1-Input'!$B$26,AI982,(AI982-AE983)*(1+'5-Roberta'!$C$4))</f>
        <v>43912.523520429058</v>
      </c>
      <c r="AH983" s="18">
        <f>IF($A983&gt;'1-Input'!$B$26,AF983,AF983-'P-Parametri'!$B$8*(AG983+AF983)+MIN(MAX(AG983,0),'P-Parametri'!$B$8*(AG983+AF983)))</f>
        <v>36906.300293679618</v>
      </c>
      <c r="AI983" s="18">
        <f>IF($A983&gt;'1-Input'!$B$26,AG983,AG983-MIN(MAX(AG983,0),'P-Parametri'!$B$8*(AG983+AF983)))</f>
        <v>43750.885872800842</v>
      </c>
      <c r="AJ983" s="18">
        <f>IF($A983&gt;'1-Input'!$B$26,AJ982,AJ982-AE983*(1-AD983))</f>
        <v>16994.147465754751</v>
      </c>
      <c r="AK983" s="11">
        <f>IF($A983&gt;'1-Input'!$B$26,0,IF(AP982&lt;=0,0,MAX(0,(AP982-AQ982)/AP982)))</f>
        <v>0.60138859561673486</v>
      </c>
      <c r="AL983" s="18">
        <f>IF($A983&gt;'1-Input'!$B$26,0,(MAX(0,AK946-IF($A983&gt;='1-Input'!$C$12,'1-Input'!$B$12,0))-MIN(MAX(AO982,0),MAX(0,AK946-IF($A983&gt;='1-Input'!$C$12,'1-Input'!$B$12,0))))*(1/(1-'P-Parametri'!$B$6*AK983))+MIN(MAX(0,AP982-(MAX(0,AK946-IF($A983&gt;='1-Input'!$C$12,'1-Input'!$B$12,0))-MIN(MAX(AO982,0),MAX(0,AK946-IF($A983&gt;='1-Input'!$C$12,'1-Input'!$B$12,0))))*(1/(1-'P-Parametri'!$B$6*AK983))),MAX(0,2*AK946-(AO982-MIN(MAX(AO982,0),MAX(0,AK946-IF($A983&gt;='1-Input'!$C$12,'1-Input'!$B$12,0)))))*(1/(1-'P-Parametri'!$B$6*AK983))))</f>
        <v>8951.1366698542079</v>
      </c>
      <c r="AM983" s="18">
        <f>IF($A983&gt;'1-Input'!$B$26,AO982,(AO982-MAX(0,AK946-IF($A983&gt;='1-Input'!$C$12,'1-Input'!$B$12,0))+AL983*(1-'P-Parametri'!$B$6*AK983))*(1+'1-Input'!$B$27))</f>
        <v>36907.019414897208</v>
      </c>
      <c r="AN983" s="18">
        <f>IF($A983&gt;'1-Input'!$B$26,AP982,(AP982-AL983)*(1+'5-Roberta'!$C$4))</f>
        <v>43886.953308245036</v>
      </c>
      <c r="AO983" s="18">
        <f>IF($A983&gt;'1-Input'!$B$26,AM983,AM983-'P-Parametri'!$B$8*(AN983+AM983)+MIN(MAX(AN983,0),'P-Parametri'!$B$8*(AN983+AM983)))</f>
        <v>36907.019414897208</v>
      </c>
      <c r="AP983" s="18">
        <f>IF($A983&gt;'1-Input'!$B$26,AN983,AN983-MIN(MAX(AN983,0),'P-Parametri'!$B$8*(AN983+AM983)))</f>
        <v>43725.365362798751</v>
      </c>
      <c r="AQ983" s="18">
        <f>IF($A983&gt;'1-Input'!$B$26,AQ982,AQ982-AL983*(1-AK983))</f>
        <v>16984.310769225573</v>
      </c>
    </row>
    <row r="984" spans="1:43">
      <c r="A984" s="10">
        <f>36</f>
        <v>36</v>
      </c>
      <c r="B984" s="11">
        <f>IF($A984&gt;'1-Input'!$B$26,0,IF(G983&lt;=0,0,MAX(0,(G983-H983)/G983)))</f>
        <v>0.61514263708203409</v>
      </c>
      <c r="C984" s="18">
        <f>IF($A984&gt;'1-Input'!$B$26,0,(MAX(0,B946-IF($A984&gt;='1-Input'!$C$12,'1-Input'!$B$12,0))-MIN(MAX(F983,0),MAX(0,B946-IF($A984&gt;='1-Input'!$C$12,'1-Input'!$B$12,0))))*(1/(1-'P-Parametri'!$B$6*B984))+MIN(MAX(0,G983-(MAX(0,B946-IF($A984&gt;='1-Input'!$C$12,'1-Input'!$B$12,0))-MIN(MAX(F983,0),MAX(0,B946-IF($A984&gt;='1-Input'!$C$12,'1-Input'!$B$12,0))))*(1/(1-'P-Parametri'!$B$6*B984))),MAX(0,2*B946-(F983-MIN(MAX(F983,0),MAX(0,B946-IF($A984&gt;='1-Input'!$C$12,'1-Input'!$B$12,0)))))*(1/(1-'P-Parametri'!$B$6*B984))))</f>
        <v>6784.2048678485162</v>
      </c>
      <c r="D984" s="18">
        <f>IF($A984&gt;'1-Input'!$B$26,F983,(F983-MAX(0,B946-IF($A984&gt;='1-Input'!$C$12,'1-Input'!$B$12,0))+C984*(1-'P-Parametri'!$B$6*B984))*(1+'1-Input'!$B$27))</f>
        <v>33242.0070309863</v>
      </c>
      <c r="E984" s="18">
        <f>IF($A984&gt;'1-Input'!$B$26,G983,(G983-C984)*(1+'5-Roberta'!$C$4))</f>
        <v>172103.66381773722</v>
      </c>
      <c r="F984" s="18">
        <f>IF($A984&gt;'1-Input'!$B$26,D984,D984-'P-Parametri'!$B$8*(E984+D984)+MIN(MAX(E984,0),'P-Parametri'!$B$8*(E984+D984)))</f>
        <v>33242.0070309863</v>
      </c>
      <c r="G984" s="18">
        <f>IF($A984&gt;'1-Input'!$B$26,E984,E984-MIN(MAX(E984,0),'P-Parametri'!$B$8*(E984+D984)))</f>
        <v>171692.97247603978</v>
      </c>
      <c r="H984" s="18">
        <f>IF($A984&gt;'1-Input'!$B$26,H983,H983-C984*(1-B984))</f>
        <v>64306.176898460661</v>
      </c>
      <c r="I984" s="11">
        <f>IF($A984&gt;'1-Input'!$B$26,0,IF(N983&lt;=0,0,MAX(0,(N983-O983)/N983)))</f>
        <v>0</v>
      </c>
      <c r="J984" s="18">
        <f>IF($A984&gt;'1-Input'!$B$26,0,(MAX(0,I946-IF($A984&gt;='1-Input'!$C$12,'1-Input'!$B$12,0))-MIN(MAX(M983,0),MAX(0,I946-IF($A984&gt;='1-Input'!$C$12,'1-Input'!$B$12,0))))*(1/(1-'P-Parametri'!$B$6*I984))+MIN(MAX(0,N983-(MAX(0,I946-IF($A984&gt;='1-Input'!$C$12,'1-Input'!$B$12,0))-MIN(MAX(M983,0),MAX(0,I946-IF($A984&gt;='1-Input'!$C$12,'1-Input'!$B$12,0))))*(1/(1-'P-Parametri'!$B$6*I984))),MAX(0,2*I946-(M983-MIN(MAX(M983,0),MAX(0,I946-IF($A984&gt;='1-Input'!$C$12,'1-Input'!$B$12,0)))))*(1/(1-'P-Parametri'!$B$6*I984))))</f>
        <v>10846.756992928691</v>
      </c>
      <c r="K984" s="18">
        <f>IF($A984&gt;'1-Input'!$B$26,M983,(M983-MAX(0,I946-IF($A984&gt;='1-Input'!$C$12,'1-Input'!$B$12,0))+J984*(1-'P-Parametri'!$B$6*I984))*(1+'1-Input'!$B$27))</f>
        <v>0</v>
      </c>
      <c r="L984" s="18">
        <f>IF($A984&gt;'1-Input'!$B$26,N983,(N983-J984)*(1+'5-Roberta'!$C$4))</f>
        <v>-123266.57033651274</v>
      </c>
      <c r="M984" s="18">
        <f>IF($A984&gt;'1-Input'!$B$26,K984,K984-'P-Parametri'!$B$8*(L984+K984)+MIN(MAX(L984,0),'P-Parametri'!$B$8*(L984+K984)))</f>
        <v>0</v>
      </c>
      <c r="N984" s="18">
        <f>IF($A984&gt;'1-Input'!$B$26,L984,L984-MIN(MAX(L984,0),'P-Parametri'!$B$8*(L984+K984)))</f>
        <v>-123020.03719583972</v>
      </c>
      <c r="O984" s="18">
        <f>IF($A984&gt;'1-Input'!$B$26,O983,O983-J984*(1-I984))</f>
        <v>-105739.15242391956</v>
      </c>
      <c r="P984" s="11">
        <f>IF($A984&gt;'1-Input'!$B$26,0,IF(U983&lt;=0,0,MAX(0,(U983-V983)/U983)))</f>
        <v>0.60965991886968185</v>
      </c>
      <c r="Q984" s="18">
        <f>IF($A984&gt;'1-Input'!$B$26,0,(MAX(0,P946-IF($A984&gt;='1-Input'!$C$12,'1-Input'!$B$12,0))-MIN(MAX(T983,0),MAX(0,P946-IF($A984&gt;='1-Input'!$C$12,'1-Input'!$B$12,0))))*(1/(1-'P-Parametri'!$B$6*P984))+MIN(MAX(0,U983-(MAX(0,P946-IF($A984&gt;='1-Input'!$C$12,'1-Input'!$B$12,0))-MIN(MAX(T983,0),MAX(0,P946-IF($A984&gt;='1-Input'!$C$12,'1-Input'!$B$12,0))))*(1/(1-'P-Parametri'!$B$6*P984))),MAX(0,2*P946-(T983-MIN(MAX(T983,0),MAX(0,P946-IF($A984&gt;='1-Input'!$C$12,'1-Input'!$B$12,0)))))*(1/(1-'P-Parametri'!$B$6*P984))))</f>
        <v>9305.8703503391425</v>
      </c>
      <c r="R984" s="18">
        <f>IF($A984&gt;'1-Input'!$B$26,T983,(T983-MAX(0,P946-IF($A984&gt;='1-Input'!$C$12,'1-Input'!$B$12,0))+Q984*(1-'P-Parametri'!$B$6*P984))*(1+'1-Input'!$B$27))</f>
        <v>37459.539579583834</v>
      </c>
      <c r="S984" s="18">
        <f>IF($A984&gt;'1-Input'!$B$26,U983,(U983-Q984)*(1+'5-Roberta'!$C$4))</f>
        <v>15260.230051213397</v>
      </c>
      <c r="T984" s="18">
        <f>IF($A984&gt;'1-Input'!$B$26,R984,R984-'P-Parametri'!$B$8*(S984+R984)+MIN(MAX(S984,0),'P-Parametri'!$B$8*(S984+R984)))</f>
        <v>37459.539579583834</v>
      </c>
      <c r="U984" s="18">
        <f>IF($A984&gt;'1-Input'!$B$26,S984,S984-MIN(MAX(S984,0),'P-Parametri'!$B$8*(S984+R984)))</f>
        <v>15154.790511951802</v>
      </c>
      <c r="V984" s="18">
        <f>IF($A984&gt;'1-Input'!$B$26,V983,V983-Q984*(1-P984))</f>
        <v>5783.1839186970465</v>
      </c>
      <c r="W984" s="11">
        <f>IF($A984&gt;'1-Input'!$B$26,0,IF(AB983&lt;=0,0,MAX(0,(AB983-AC983)/AB983)))</f>
        <v>0.6114923650377132</v>
      </c>
      <c r="X984" s="18">
        <f>IF($A984&gt;'1-Input'!$B$26,0,(MAX(0,W946-IF($A984&gt;='1-Input'!$C$12,'1-Input'!$B$12,0))-MIN(MAX(AA983,0),MAX(0,W946-IF($A984&gt;='1-Input'!$C$12,'1-Input'!$B$12,0))))*(1/(1-'P-Parametri'!$B$6*W984))+MIN(MAX(0,AB983-(MAX(0,W946-IF($A984&gt;='1-Input'!$C$12,'1-Input'!$B$12,0))-MIN(MAX(AA983,0),MAX(0,W946-IF($A984&gt;='1-Input'!$C$12,'1-Input'!$B$12,0))))*(1/(1-'P-Parametri'!$B$6*W984))),MAX(0,2*W946-(AA983-MIN(MAX(AA983,0),MAX(0,W946-IF($A984&gt;='1-Input'!$C$12,'1-Input'!$B$12,0)))))*(1/(1-'P-Parametri'!$B$6*W984))))</f>
        <v>8997.6645759176645</v>
      </c>
      <c r="Y984" s="18">
        <f>IF($A984&gt;'1-Input'!$B$26,AA983,(AA983-MAX(0,W946-IF($A984&gt;='1-Input'!$C$12,'1-Input'!$B$12,0))+X984*(1-'P-Parametri'!$B$6*W984))*(1+'1-Input'!$B$27))</f>
        <v>36937.916657430564</v>
      </c>
      <c r="Z984" s="18">
        <f>IF($A984&gt;'1-Input'!$B$26,AB983,(AB983-X984)*(1+'5-Roberta'!$C$4))</f>
        <v>34640.153069329004</v>
      </c>
      <c r="AA984" s="18">
        <f>IF($A984&gt;'1-Input'!$B$26,Y984,Y984-'P-Parametri'!$B$8*(Z984+Y984)+MIN(MAX(Z984,0),'P-Parametri'!$B$8*(Z984+Y984)))</f>
        <v>36937.916657430564</v>
      </c>
      <c r="AB984" s="18">
        <f>IF($A984&gt;'1-Input'!$B$26,Z984,Z984-MIN(MAX(Z984,0),'P-Parametri'!$B$8*(Z984+Y984)))</f>
        <v>34496.996929875488</v>
      </c>
      <c r="AC984" s="18">
        <f>IF($A984&gt;'1-Input'!$B$26,AC983,AC983-X984*(1-W984))</f>
        <v>13065.984411355934</v>
      </c>
      <c r="AD984" s="11">
        <f>IF($A984&gt;'1-Input'!$B$26,0,IF(AI983&lt;=0,0,MAX(0,(AI983-AJ983)/AI983)))</f>
        <v>0.61157020876873913</v>
      </c>
      <c r="AE984" s="18">
        <f>IF($A984&gt;'1-Input'!$B$26,0,(MAX(0,AD946-IF($A984&gt;='1-Input'!$C$12,'1-Input'!$B$12,0))-MIN(MAX(AH983,0),MAX(0,AD946-IF($A984&gt;='1-Input'!$C$12,'1-Input'!$B$12,0))))*(1/(1-'P-Parametri'!$B$6*AD984))+MIN(MAX(0,AI983-(MAX(0,AD946-IF($A984&gt;='1-Input'!$C$12,'1-Input'!$B$12,0))-MIN(MAX(AH983,0),MAX(0,AD946-IF($A984&gt;='1-Input'!$C$12,'1-Input'!$B$12,0))))*(1/(1-'P-Parametri'!$B$6*AD984))),MAX(0,2*AD946-(AH983-MIN(MAX(AH983,0),MAX(0,AD946-IF($A984&gt;='1-Input'!$C$12,'1-Input'!$B$12,0)))))*(1/(1-'P-Parametri'!$B$6*AD984))))</f>
        <v>8978.8803011613672</v>
      </c>
      <c r="AF984" s="18">
        <f>IF($A984&gt;'1-Input'!$B$26,AH983,(AH983-MAX(0,AD946-IF($A984&gt;='1-Input'!$C$12,'1-Input'!$B$12,0))+AE984*(1-'P-Parametri'!$B$6*AD984))*(1+'1-Input'!$B$27))</f>
        <v>36906.300293679618</v>
      </c>
      <c r="AG984" s="18">
        <f>IF($A984&gt;'1-Input'!$B$26,AI983,(AI983-AE984)*(1+'5-Roberta'!$C$4))</f>
        <v>35815.165738788659</v>
      </c>
      <c r="AH984" s="18">
        <f>IF($A984&gt;'1-Input'!$B$26,AF984,AF984-'P-Parametri'!$B$8*(AG984+AF984)+MIN(MAX(AG984,0),'P-Parametri'!$B$8*(AG984+AF984)))</f>
        <v>36906.300293679618</v>
      </c>
      <c r="AI984" s="18">
        <f>IF($A984&gt;'1-Input'!$B$26,AG984,AG984-MIN(MAX(AG984,0),'P-Parametri'!$B$8*(AG984+AF984)))</f>
        <v>35669.722806723723</v>
      </c>
      <c r="AJ984" s="18">
        <f>IF($A984&gt;'1-Input'!$B$26,AJ983,AJ983-AE984*(1-AD984))</f>
        <v>13506.482864884161</v>
      </c>
      <c r="AK984" s="11">
        <f>IF($A984&gt;'1-Input'!$B$26,0,IF(AP983&lt;=0,0,MAX(0,(AP983-AQ983)/AP983)))</f>
        <v>0.61156846539066978</v>
      </c>
      <c r="AL984" s="18">
        <f>IF($A984&gt;'1-Input'!$B$26,0,(MAX(0,AK946-IF($A984&gt;='1-Input'!$C$12,'1-Input'!$B$12,0))-MIN(MAX(AO983,0),MAX(0,AK946-IF($A984&gt;='1-Input'!$C$12,'1-Input'!$B$12,0))))*(1/(1-'P-Parametri'!$B$6*AK984))+MIN(MAX(0,AP983-(MAX(0,AK946-IF($A984&gt;='1-Input'!$C$12,'1-Input'!$B$12,0))-MIN(MAX(AO983,0),MAX(0,AK946-IF($A984&gt;='1-Input'!$C$12,'1-Input'!$B$12,0))))*(1/(1-'P-Parametri'!$B$6*AK984))),MAX(0,2*AK946-(AO983-MIN(MAX(AO983,0),MAX(0,AK946-IF($A984&gt;='1-Input'!$C$12,'1-Input'!$B$12,0)))))*(1/(1-'P-Parametri'!$B$6*AK984))))</f>
        <v>8979.3076392061776</v>
      </c>
      <c r="AM984" s="18">
        <f>IF($A984&gt;'1-Input'!$B$26,AO983,(AO983-MAX(0,AK946-IF($A984&gt;='1-Input'!$C$12,'1-Input'!$B$12,0))+AL984*(1-'P-Parametri'!$B$6*AK984))*(1+'1-Input'!$B$27))</f>
        <v>36907.019414897208</v>
      </c>
      <c r="AN984" s="18">
        <f>IF($A984&gt;'1-Input'!$B$26,AP983,(AP983-AL984)*(1+'5-Roberta'!$C$4))</f>
        <v>35788.439455300351</v>
      </c>
      <c r="AO984" s="18">
        <f>IF($A984&gt;'1-Input'!$B$26,AM984,AM984-'P-Parametri'!$B$8*(AN984+AM984)+MIN(MAX(AN984,0),'P-Parametri'!$B$8*(AN984+AM984)))</f>
        <v>36907.019414897208</v>
      </c>
      <c r="AP984" s="18">
        <f>IF($A984&gt;'1-Input'!$B$26,AN984,AN984-MIN(MAX(AN984,0),'P-Parametri'!$B$8*(AN984+AM984)))</f>
        <v>35643.048537559953</v>
      </c>
      <c r="AQ984" s="18">
        <f>IF($A984&gt;'1-Input'!$B$26,AQ983,AQ983-AL984*(1-AK984))</f>
        <v>13496.464523199435</v>
      </c>
    </row>
    <row r="985" spans="1:43">
      <c r="A985" s="10">
        <f>37</f>
        <v>37</v>
      </c>
      <c r="B985" s="11">
        <f>IF($A985&gt;'1-Input'!$B$26,0,IF(G984&lt;=0,0,MAX(0,(G984-H984)/G984)))</f>
        <v>0.6254583051881476</v>
      </c>
      <c r="C985" s="18">
        <f>IF($A985&gt;'1-Input'!$B$26,0,(MAX(0,B946-IF($A985&gt;='1-Input'!$C$12,'1-Input'!$B$12,0))-MIN(MAX(F984,0),MAX(0,B946-IF($A985&gt;='1-Input'!$C$12,'1-Input'!$B$12,0))))*(1/(1-'P-Parametri'!$B$6*B985))+MIN(MAX(0,G984-(MAX(0,B946-IF($A985&gt;='1-Input'!$C$12,'1-Input'!$B$12,0))-MIN(MAX(F984,0),MAX(0,B946-IF($A985&gt;='1-Input'!$C$12,'1-Input'!$B$12,0))))*(1/(1-'P-Parametri'!$B$6*B985))),MAX(0,2*B946-(F984-MIN(MAX(F984,0),MAX(0,B946-IF($A985&gt;='1-Input'!$C$12,'1-Input'!$B$12,0)))))*(1/(1-'P-Parametri'!$B$6*B985))))</f>
        <v>6805.9342132307302</v>
      </c>
      <c r="D985" s="18">
        <f>IF($A985&gt;'1-Input'!$B$26,F984,(F984-MAX(0,B946-IF($A985&gt;='1-Input'!$C$12,'1-Input'!$B$12,0))+C985*(1-'P-Parametri'!$B$6*B985))*(1+'1-Input'!$B$27))</f>
        <v>33242.0070309863</v>
      </c>
      <c r="E985" s="18">
        <f>IF($A985&gt;'1-Input'!$B$26,G984,(G984-C985)*(1+'5-Roberta'!$C$4))</f>
        <v>169833.64941069332</v>
      </c>
      <c r="F985" s="18">
        <f>IF($A985&gt;'1-Input'!$B$26,D985,D985-'P-Parametri'!$B$8*(E985+D985)+MIN(MAX(E985,0),'P-Parametri'!$B$8*(E985+D985)))</f>
        <v>33242.0070309863</v>
      </c>
      <c r="G985" s="18">
        <f>IF($A985&gt;'1-Input'!$B$26,E985,E985-MIN(MAX(E985,0),'P-Parametri'!$B$8*(E985+D985)))</f>
        <v>169427.49809780996</v>
      </c>
      <c r="H985" s="18">
        <f>IF($A985&gt;'1-Input'!$B$26,H984,H984-C985*(1-B985))</f>
        <v>61757.070763459255</v>
      </c>
      <c r="I985" s="11">
        <f>IF($A985&gt;'1-Input'!$B$26,0,IF(N984&lt;=0,0,MAX(0,(N984-O984)/N984)))</f>
        <v>0</v>
      </c>
      <c r="J985" s="18">
        <f>IF($A985&gt;'1-Input'!$B$26,0,(MAX(0,I946-IF($A985&gt;='1-Input'!$C$12,'1-Input'!$B$12,0))-MIN(MAX(M984,0),MAX(0,I946-IF($A985&gt;='1-Input'!$C$12,'1-Input'!$B$12,0))))*(1/(1-'P-Parametri'!$B$6*I985))+MIN(MAX(0,N984-(MAX(0,I946-IF($A985&gt;='1-Input'!$C$12,'1-Input'!$B$12,0))-MIN(MAX(M984,0),MAX(0,I946-IF($A985&gt;='1-Input'!$C$12,'1-Input'!$B$12,0))))*(1/(1-'P-Parametri'!$B$6*I985))),MAX(0,2*I946-(M984-MIN(MAX(M984,0),MAX(0,I946-IF($A985&gt;='1-Input'!$C$12,'1-Input'!$B$12,0)))))*(1/(1-'P-Parametri'!$B$6*I985))))</f>
        <v>10846.756992928691</v>
      </c>
      <c r="K985" s="18">
        <f>IF($A985&gt;'1-Input'!$B$26,M984,(M984-MAX(0,I946-IF($A985&gt;='1-Input'!$C$12,'1-Input'!$B$12,0))+J985*(1-'P-Parametri'!$B$6*I985))*(1+'1-Input'!$B$27))</f>
        <v>0</v>
      </c>
      <c r="L985" s="18">
        <f>IF($A985&gt;'1-Input'!$B$26,N984,(N984-J985)*(1+'5-Roberta'!$C$4))</f>
        <v>-137882.79801443146</v>
      </c>
      <c r="M985" s="18">
        <f>IF($A985&gt;'1-Input'!$B$26,K985,K985-'P-Parametri'!$B$8*(L985+K985)+MIN(MAX(L985,0),'P-Parametri'!$B$8*(L985+K985)))</f>
        <v>0</v>
      </c>
      <c r="N985" s="18">
        <f>IF($A985&gt;'1-Input'!$B$26,L985,L985-MIN(MAX(L985,0),'P-Parametri'!$B$8*(L985+K985)))</f>
        <v>-137607.03241840261</v>
      </c>
      <c r="O985" s="18">
        <f>IF($A985&gt;'1-Input'!$B$26,O984,O984-J985*(1-I985))</f>
        <v>-116585.90941684824</v>
      </c>
      <c r="P985" s="11">
        <f>IF($A985&gt;'1-Input'!$B$26,0,IF(U984&lt;=0,0,MAX(0,(U984-V984)/U984)))</f>
        <v>0.6183923549364706</v>
      </c>
      <c r="Q985" s="18">
        <f>IF($A985&gt;'1-Input'!$B$26,0,(MAX(0,P946-IF($A985&gt;='1-Input'!$C$12,'1-Input'!$B$12,0))-MIN(MAX(T984,0),MAX(0,P946-IF($A985&gt;='1-Input'!$C$12,'1-Input'!$B$12,0))))*(1/(1-'P-Parametri'!$B$6*P985))+MIN(MAX(0,U984-(MAX(0,P946-IF($A985&gt;='1-Input'!$C$12,'1-Input'!$B$12,0))-MIN(MAX(T984,0),MAX(0,P946-IF($A985&gt;='1-Input'!$C$12,'1-Input'!$B$12,0))))*(1/(1-'P-Parametri'!$B$6*P985))),MAX(0,2*P946-(T984-MIN(MAX(T984,0),MAX(0,P946-IF($A985&gt;='1-Input'!$C$12,'1-Input'!$B$12,0)))))*(1/(1-'P-Parametri'!$B$6*P985))))</f>
        <v>9331.0465965089024</v>
      </c>
      <c r="R985" s="18">
        <f>IF($A985&gt;'1-Input'!$B$26,T984,(T984-MAX(0,P946-IF($A985&gt;='1-Input'!$C$12,'1-Input'!$B$12,0))+Q985*(1-'P-Parametri'!$B$6*P985))*(1+'1-Input'!$B$27))</f>
        <v>37459.539579583834</v>
      </c>
      <c r="S985" s="18">
        <f>IF($A985&gt;'1-Input'!$B$26,U984,(U984-Q985)*(1+'5-Roberta'!$C$4))</f>
        <v>5998.4562329061864</v>
      </c>
      <c r="T985" s="18">
        <f>IF($A985&gt;'1-Input'!$B$26,R985,R985-'P-Parametri'!$B$8*(S985+R985)+MIN(MAX(S985,0),'P-Parametri'!$B$8*(S985+R985)))</f>
        <v>37459.539579583834</v>
      </c>
      <c r="U985" s="18">
        <f>IF($A985&gt;'1-Input'!$B$26,S985,S985-MIN(MAX(S985,0),'P-Parametri'!$B$8*(S985+R985)))</f>
        <v>5911.5402412812064</v>
      </c>
      <c r="V985" s="18">
        <f>IF($A985&gt;'1-Input'!$B$26,V984,V984-Q985*(1-P985))</f>
        <v>2222.3852010252231</v>
      </c>
      <c r="W985" s="11">
        <f>IF($A985&gt;'1-Input'!$B$26,0,IF(AB984&lt;=0,0,MAX(0,(AB984-AC984)/AB984)))</f>
        <v>0.62124284505355365</v>
      </c>
      <c r="X985" s="18">
        <f>IF($A985&gt;'1-Input'!$B$26,0,(MAX(0,W946-IF($A985&gt;='1-Input'!$C$12,'1-Input'!$B$12,0))-MIN(MAX(AA984,0),MAX(0,W946-IF($A985&gt;='1-Input'!$C$12,'1-Input'!$B$12,0))))*(1/(1-'P-Parametri'!$B$6*W985))+MIN(MAX(0,AB984-(MAX(0,W946-IF($A985&gt;='1-Input'!$C$12,'1-Input'!$B$12,0))-MIN(MAX(AA984,0),MAX(0,W946-IF($A985&gt;='1-Input'!$C$12,'1-Input'!$B$12,0))))*(1/(1-'P-Parametri'!$B$6*W985))),MAX(0,2*W946-(AA984-MIN(MAX(AA984,0),MAX(0,W946-IF($A985&gt;='1-Input'!$C$12,'1-Input'!$B$12,0)))))*(1/(1-'P-Parametri'!$B$6*W985))))</f>
        <v>9024.8689076362134</v>
      </c>
      <c r="Y985" s="18">
        <f>IF($A985&gt;'1-Input'!$B$26,AA984,(AA984-MAX(0,W946-IF($A985&gt;='1-Input'!$C$12,'1-Input'!$B$12,0))+X985*(1-'P-Parametri'!$B$6*W985))*(1+'1-Input'!$B$27))</f>
        <v>36937.916657430564</v>
      </c>
      <c r="Z985" s="18">
        <f>IF($A985&gt;'1-Input'!$B$26,AB984,(AB984-X985)*(1+'5-Roberta'!$C$4))</f>
        <v>26236.291862906452</v>
      </c>
      <c r="AA985" s="18">
        <f>IF($A985&gt;'1-Input'!$B$26,Y985,Y985-'P-Parametri'!$B$8*(Z985+Y985)+MIN(MAX(Z985,0),'P-Parametri'!$B$8*(Z985+Y985)))</f>
        <v>36937.916657430564</v>
      </c>
      <c r="AB985" s="18">
        <f>IF($A985&gt;'1-Input'!$B$26,Z985,Z985-MIN(MAX(Z985,0),'P-Parametri'!$B$8*(Z985+Y985)))</f>
        <v>26109.943445865778</v>
      </c>
      <c r="AC985" s="18">
        <f>IF($A985&gt;'1-Input'!$B$26,AC984,AC984-X985*(1-W985))</f>
        <v>9647.7507401349976</v>
      </c>
      <c r="AD985" s="11">
        <f>IF($A985&gt;'1-Input'!$B$26,0,IF(AI984&lt;=0,0,MAX(0,(AI984-AJ984)/AI984)))</f>
        <v>0.62134600994605438</v>
      </c>
      <c r="AE985" s="18">
        <f>IF($A985&gt;'1-Input'!$B$26,0,(MAX(0,AD946-IF($A985&gt;='1-Input'!$C$12,'1-Input'!$B$12,0))-MIN(MAX(AH984,0),MAX(0,AD946-IF($A985&gt;='1-Input'!$C$12,'1-Input'!$B$12,0))))*(1/(1-'P-Parametri'!$B$6*AD985))+MIN(MAX(0,AI984-(MAX(0,AD946-IF($A985&gt;='1-Input'!$C$12,'1-Input'!$B$12,0))-MIN(MAX(AH984,0),MAX(0,AD946-IF($A985&gt;='1-Input'!$C$12,'1-Input'!$B$12,0))))*(1/(1-'P-Parametri'!$B$6*AD985))),MAX(0,2*AD946-(AH984-MIN(MAX(AH984,0),MAX(0,AD946-IF($A985&gt;='1-Input'!$C$12,'1-Input'!$B$12,0)))))*(1/(1-'P-Parametri'!$B$6*AD985))))</f>
        <v>9006.0992094118137</v>
      </c>
      <c r="AF985" s="18">
        <f>IF($A985&gt;'1-Input'!$B$26,AH984,(AH984-MAX(0,AD946-IF($A985&gt;='1-Input'!$C$12,'1-Input'!$B$12,0))+AE985*(1-'P-Parametri'!$B$6*AD985))*(1+'1-Input'!$B$27))</f>
        <v>36906.300293679618</v>
      </c>
      <c r="AG985" s="18">
        <f>IF($A985&gt;'1-Input'!$B$26,AI984,(AI984-AE985)*(1+'5-Roberta'!$C$4))</f>
        <v>27463.532305231271</v>
      </c>
      <c r="AH985" s="18">
        <f>IF($A985&gt;'1-Input'!$B$26,AF985,AF985-'P-Parametri'!$B$8*(AG985+AF985)+MIN(MAX(AG985,0),'P-Parametri'!$B$8*(AG985+AF985)))</f>
        <v>36906.300293679618</v>
      </c>
      <c r="AI985" s="18">
        <f>IF($A985&gt;'1-Input'!$B$26,AG985,AG985-MIN(MAX(AG985,0),'P-Parametri'!$B$8*(AG985+AF985)))</f>
        <v>27334.792640033447</v>
      </c>
      <c r="AJ985" s="18">
        <f>IF($A985&gt;'1-Input'!$B$26,AJ984,AJ984-AE985*(1-AD985))</f>
        <v>10096.287464418692</v>
      </c>
      <c r="AK985" s="11">
        <f>IF($A985&gt;'1-Input'!$B$26,0,IF(AP984&lt;=0,0,MAX(0,(AP984-AQ984)/AP984)))</f>
        <v>0.62134371000906041</v>
      </c>
      <c r="AL985" s="18">
        <f>IF($A985&gt;'1-Input'!$B$26,0,(MAX(0,AK946-IF($A985&gt;='1-Input'!$C$12,'1-Input'!$B$12,0))-MIN(MAX(AO984,0),MAX(0,AK946-IF($A985&gt;='1-Input'!$C$12,'1-Input'!$B$12,0))))*(1/(1-'P-Parametri'!$B$6*AK985))+MIN(MAX(0,AP984-(MAX(0,AK946-IF($A985&gt;='1-Input'!$C$12,'1-Input'!$B$12,0))-MIN(MAX(AO984,0),MAX(0,AK946-IF($A985&gt;='1-Input'!$C$12,'1-Input'!$B$12,0))))*(1/(1-'P-Parametri'!$B$6*AK985))),MAX(0,2*AK946-(AO984-MIN(MAX(AO984,0),MAX(0,AK946-IF($A985&gt;='1-Input'!$C$12,'1-Input'!$B$12,0)))))*(1/(1-'P-Parametri'!$B$6*AK985))))</f>
        <v>9006.5262737835164</v>
      </c>
      <c r="AM985" s="18">
        <f>IF($A985&gt;'1-Input'!$B$26,AO984,(AO984-MAX(0,AK946-IF($A985&gt;='1-Input'!$C$12,'1-Input'!$B$12,0))+AL985*(1-'P-Parametri'!$B$6*AK985))*(1+'1-Input'!$B$27))</f>
        <v>36907.019414897208</v>
      </c>
      <c r="AN985" s="18">
        <f>IF($A985&gt;'1-Input'!$B$26,AP984,(AP984-AL985)*(1+'5-Roberta'!$C$4))</f>
        <v>27435.617931689732</v>
      </c>
      <c r="AO985" s="18">
        <f>IF($A985&gt;'1-Input'!$B$26,AM985,AM985-'P-Parametri'!$B$8*(AN985+AM985)+MIN(MAX(AN985,0),'P-Parametri'!$B$8*(AN985+AM985)))</f>
        <v>36907.019414897208</v>
      </c>
      <c r="AP985" s="18">
        <f>IF($A985&gt;'1-Input'!$B$26,AN985,AN985-MIN(MAX(AN985,0),'P-Parametri'!$B$8*(AN985+AM985)))</f>
        <v>27306.93265699656</v>
      </c>
      <c r="AQ985" s="18">
        <f>IF($A985&gt;'1-Input'!$B$26,AQ984,AQ984-AL985*(1-AK985))</f>
        <v>10086.086698662646</v>
      </c>
    </row>
    <row r="986" spans="1:43">
      <c r="A986" s="10">
        <f>38</f>
        <v>38</v>
      </c>
      <c r="B986" s="11">
        <f>IF($A986&gt;'1-Input'!$B$26,0,IF(G985&lt;=0,0,MAX(0,(G985-H985)/G985)))</f>
        <v>0.63549558686272345</v>
      </c>
      <c r="C986" s="18">
        <f>IF($A986&gt;'1-Input'!$B$26,0,(MAX(0,B946-IF($A986&gt;='1-Input'!$C$12,'1-Input'!$B$12,0))-MIN(MAX(F985,0),MAX(0,B946-IF($A986&gt;='1-Input'!$C$12,'1-Input'!$B$12,0))))*(1/(1-'P-Parametri'!$B$6*B986))+MIN(MAX(0,G985-(MAX(0,B946-IF($A986&gt;='1-Input'!$C$12,'1-Input'!$B$12,0))-MIN(MAX(F985,0),MAX(0,B946-IF($A986&gt;='1-Input'!$C$12,'1-Input'!$B$12,0))))*(1/(1-'P-Parametri'!$B$6*B986))),MAX(0,2*B946-(F985-MIN(MAX(F985,0),MAX(0,B946-IF($A986&gt;='1-Input'!$C$12,'1-Input'!$B$12,0)))))*(1/(1-'P-Parametri'!$B$6*B986))))</f>
        <v>6827.211183010726</v>
      </c>
      <c r="D986" s="18">
        <f>IF($A986&gt;'1-Input'!$B$26,F985,(F985-MAX(0,B946-IF($A986&gt;='1-Input'!$C$12,'1-Input'!$B$12,0))+C986*(1-'P-Parametri'!$B$6*B986))*(1+'1-Input'!$B$27))</f>
        <v>33242.0070309863</v>
      </c>
      <c r="E986" s="18">
        <f>IF($A986&gt;'1-Input'!$B$26,G985,(G985-C986)*(1+'5-Roberta'!$C$4))</f>
        <v>167478.29552224322</v>
      </c>
      <c r="F986" s="18">
        <f>IF($A986&gt;'1-Input'!$B$26,D986,D986-'P-Parametri'!$B$8*(E986+D986)+MIN(MAX(E986,0),'P-Parametri'!$B$8*(E986+D986)))</f>
        <v>33242.0070309863</v>
      </c>
      <c r="G986" s="18">
        <f>IF($A986&gt;'1-Input'!$B$26,E986,E986-MIN(MAX(E986,0),'P-Parametri'!$B$8*(E986+D986)))</f>
        <v>167076.85491713675</v>
      </c>
      <c r="H986" s="18">
        <f>IF($A986&gt;'1-Input'!$B$26,H985,H985-C986*(1-B986))</f>
        <v>59268.522157831678</v>
      </c>
      <c r="I986" s="11">
        <f>IF($A986&gt;'1-Input'!$B$26,0,IF(N985&lt;=0,0,MAX(0,(N985-O985)/N985)))</f>
        <v>0</v>
      </c>
      <c r="J986" s="18">
        <f>IF($A986&gt;'1-Input'!$B$26,0,(MAX(0,I946-IF($A986&gt;='1-Input'!$C$12,'1-Input'!$B$12,0))-MIN(MAX(M985,0),MAX(0,I946-IF($A986&gt;='1-Input'!$C$12,'1-Input'!$B$12,0))))*(1/(1-'P-Parametri'!$B$6*I986))+MIN(MAX(0,N985-(MAX(0,I946-IF($A986&gt;='1-Input'!$C$12,'1-Input'!$B$12,0))-MIN(MAX(M985,0),MAX(0,I946-IF($A986&gt;='1-Input'!$C$12,'1-Input'!$B$12,0))))*(1/(1-'P-Parametri'!$B$6*I986))),MAX(0,2*I946-(M985-MIN(MAX(M985,0),MAX(0,I946-IF($A986&gt;='1-Input'!$C$12,'1-Input'!$B$12,0)))))*(1/(1-'P-Parametri'!$B$6*I986))))</f>
        <v>10846.756992928691</v>
      </c>
      <c r="K986" s="18">
        <f>IF($A986&gt;'1-Input'!$B$26,M985,(M985-MAX(0,I946-IF($A986&gt;='1-Input'!$C$12,'1-Input'!$B$12,0))+J986*(1-'P-Parametri'!$B$6*I986))*(1+'1-Input'!$B$27))</f>
        <v>0</v>
      </c>
      <c r="L986" s="18">
        <f>IF($A986&gt;'1-Input'!$B$26,N985,(N985-J986)*(1+'5-Roberta'!$C$4))</f>
        <v>-152907.40309367122</v>
      </c>
      <c r="M986" s="18">
        <f>IF($A986&gt;'1-Input'!$B$26,K986,K986-'P-Parametri'!$B$8*(L986+K986)+MIN(MAX(L986,0),'P-Parametri'!$B$8*(L986+K986)))</f>
        <v>0</v>
      </c>
      <c r="N986" s="18">
        <f>IF($A986&gt;'1-Input'!$B$26,L986,L986-MIN(MAX(L986,0),'P-Parametri'!$B$8*(L986+K986)))</f>
        <v>-152601.58828748387</v>
      </c>
      <c r="O986" s="18">
        <f>IF($A986&gt;'1-Input'!$B$26,O985,O985-J986*(1-I986))</f>
        <v>-127432.66640977692</v>
      </c>
      <c r="P986" s="11">
        <f>IF($A986&gt;'1-Input'!$B$26,0,IF(U985&lt;=0,0,MAX(0,(U985-V985)/U985)))</f>
        <v>0.62405987097813176</v>
      </c>
      <c r="Q986" s="18">
        <f>IF($A986&gt;'1-Input'!$B$26,0,(MAX(0,P946-IF($A986&gt;='1-Input'!$C$12,'1-Input'!$B$12,0))-MIN(MAX(T985,0),MAX(0,P946-IF($A986&gt;='1-Input'!$C$12,'1-Input'!$B$12,0))))*(1/(1-'P-Parametri'!$B$6*P986))+MIN(MAX(0,U985-(MAX(0,P946-IF($A986&gt;='1-Input'!$C$12,'1-Input'!$B$12,0))-MIN(MAX(T985,0),MAX(0,P946-IF($A986&gt;='1-Input'!$C$12,'1-Input'!$B$12,0))))*(1/(1-'P-Parametri'!$B$6*P986))),MAX(0,2*P946-(T985-MIN(MAX(T985,0),MAX(0,P946-IF($A986&gt;='1-Input'!$C$12,'1-Input'!$B$12,0)))))*(1/(1-'P-Parametri'!$B$6*P986))))</f>
        <v>5911.5402412812064</v>
      </c>
      <c r="R986" s="18">
        <f>IF($A986&gt;'1-Input'!$B$26,T985,(T985-MAX(0,P946-IF($A986&gt;='1-Input'!$C$12,'1-Input'!$B$12,0))+Q986*(1-'P-Parametri'!$B$6*P986))*(1+'1-Input'!$B$27))</f>
        <v>34591.479682369129</v>
      </c>
      <c r="S986" s="18">
        <f>IF($A986&gt;'1-Input'!$B$26,U985,(U985-Q986)*(1+'5-Roberta'!$C$4))</f>
        <v>0</v>
      </c>
      <c r="T986" s="18">
        <f>IF($A986&gt;'1-Input'!$B$26,R986,R986-'P-Parametri'!$B$8*(S986+R986)+MIN(MAX(S986,0),'P-Parametri'!$B$8*(S986+R986)))</f>
        <v>34522.296723004387</v>
      </c>
      <c r="U986" s="18">
        <f>IF($A986&gt;'1-Input'!$B$26,S986,S986-MIN(MAX(S986,0),'P-Parametri'!$B$8*(S986+R986)))</f>
        <v>0</v>
      </c>
      <c r="V986" s="18">
        <f>IF($A986&gt;'1-Input'!$B$26,V985,V985-Q986*(1-P986))</f>
        <v>4.5474735088646412E-13</v>
      </c>
      <c r="W986" s="11">
        <f>IF($A986&gt;'1-Input'!$B$26,0,IF(AB985&lt;=0,0,MAX(0,(AB985-AC985)/AB985)))</f>
        <v>0.63049514985975152</v>
      </c>
      <c r="X986" s="18">
        <f>IF($A986&gt;'1-Input'!$B$26,0,(MAX(0,W946-IF($A986&gt;='1-Input'!$C$12,'1-Input'!$B$12,0))-MIN(MAX(AA985,0),MAX(0,W946-IF($A986&gt;='1-Input'!$C$12,'1-Input'!$B$12,0))))*(1/(1-'P-Parametri'!$B$6*W986))+MIN(MAX(0,AB985-(MAX(0,W946-IF($A986&gt;='1-Input'!$C$12,'1-Input'!$B$12,0))-MIN(MAX(AA985,0),MAX(0,W946-IF($A986&gt;='1-Input'!$C$12,'1-Input'!$B$12,0))))*(1/(1-'P-Parametri'!$B$6*W986))),MAX(0,2*W946-(AA985-MIN(MAX(AA985,0),MAX(0,W946-IF($A986&gt;='1-Input'!$C$12,'1-Input'!$B$12,0)))))*(1/(1-'P-Parametri'!$B$6*W986))))</f>
        <v>9050.8358543353934</v>
      </c>
      <c r="Y986" s="18">
        <f>IF($A986&gt;'1-Input'!$B$26,AA985,(AA985-MAX(0,W946-IF($A986&gt;='1-Input'!$C$12,'1-Input'!$B$12,0))+X986*(1-'P-Parametri'!$B$6*W986))*(1+'1-Input'!$B$27))</f>
        <v>36937.916657430564</v>
      </c>
      <c r="Z986" s="18">
        <f>IF($A986&gt;'1-Input'!$B$26,AB985,(AB985-X986)*(1+'5-Roberta'!$C$4))</f>
        <v>17570.880819276295</v>
      </c>
      <c r="AA986" s="18">
        <f>IF($A986&gt;'1-Input'!$B$26,Y986,Y986-'P-Parametri'!$B$8*(Z986+Y986)+MIN(MAX(Z986,0),'P-Parametri'!$B$8*(Z986+Y986)))</f>
        <v>36937.916657430564</v>
      </c>
      <c r="AB986" s="18">
        <f>IF($A986&gt;'1-Input'!$B$26,Z986,Z986-MIN(MAX(Z986,0),'P-Parametri'!$B$8*(Z986+Y986)))</f>
        <v>17461.863224322882</v>
      </c>
      <c r="AC986" s="18">
        <f>IF($A986&gt;'1-Input'!$B$26,AC985,AC985-X986*(1-W986))</f>
        <v>6303.4229941348103</v>
      </c>
      <c r="AD986" s="11">
        <f>IF($A986&gt;'1-Input'!$B$26,0,IF(AI985&lt;=0,0,MAX(0,(AI985-AJ985)/AI985)))</f>
        <v>0.63064334903232178</v>
      </c>
      <c r="AE986" s="18">
        <f>IF($A986&gt;'1-Input'!$B$26,0,(MAX(0,AD946-IF($A986&gt;='1-Input'!$C$12,'1-Input'!$B$12,0))-MIN(MAX(AH985,0),MAX(0,AD946-IF($A986&gt;='1-Input'!$C$12,'1-Input'!$B$12,0))))*(1/(1-'P-Parametri'!$B$6*AD986))+MIN(MAX(0,AI985-(MAX(0,AD946-IF($A986&gt;='1-Input'!$C$12,'1-Input'!$B$12,0))-MIN(MAX(AH985,0),MAX(0,AD946-IF($A986&gt;='1-Input'!$C$12,'1-Input'!$B$12,0))))*(1/(1-'P-Parametri'!$B$6*AD986))),MAX(0,2*AD946-(AH985-MIN(MAX(AH985,0),MAX(0,AD946-IF($A986&gt;='1-Input'!$C$12,'1-Input'!$B$12,0)))))*(1/(1-'P-Parametri'!$B$6*AD986))))</f>
        <v>9032.1394783735923</v>
      </c>
      <c r="AF986" s="18">
        <f>IF($A986&gt;'1-Input'!$B$26,AH985,(AH985-MAX(0,AD946-IF($A986&gt;='1-Input'!$C$12,'1-Input'!$B$12,0))+AE986*(1-'P-Parametri'!$B$6*AD986))*(1+'1-Input'!$B$27))</f>
        <v>36906.300293679618</v>
      </c>
      <c r="AG986" s="18">
        <f>IF($A986&gt;'1-Input'!$B$26,AI985,(AI985-AE986)*(1+'5-Roberta'!$C$4))</f>
        <v>18851.732756509649</v>
      </c>
      <c r="AH986" s="18">
        <f>IF($A986&gt;'1-Input'!$B$26,AF986,AF986-'P-Parametri'!$B$8*(AG986+AF986)+MIN(MAX(AG986,0),'P-Parametri'!$B$8*(AG986+AF986)))</f>
        <v>36906.300293679618</v>
      </c>
      <c r="AI986" s="18">
        <f>IF($A986&gt;'1-Input'!$B$26,AG986,AG986-MIN(MAX(AG986,0),'P-Parametri'!$B$8*(AG986+AF986)))</f>
        <v>18740.21669040927</v>
      </c>
      <c r="AJ986" s="18">
        <f>IF($A986&gt;'1-Input'!$B$26,AJ985,AJ985-AE986*(1-AD986))</f>
        <v>6760.2066756136701</v>
      </c>
      <c r="AK986" s="11">
        <f>IF($A986&gt;'1-Input'!$B$26,0,IF(AP985&lt;=0,0,MAX(0,(AP985-AQ985)/AP985)))</f>
        <v>0.63064007131982303</v>
      </c>
      <c r="AL986" s="18">
        <f>IF($A986&gt;'1-Input'!$B$26,0,(MAX(0,AK946-IF($A986&gt;='1-Input'!$C$12,'1-Input'!$B$12,0))-MIN(MAX(AO985,0),MAX(0,AK946-IF($A986&gt;='1-Input'!$C$12,'1-Input'!$B$12,0))))*(1/(1-'P-Parametri'!$B$6*AK986))+MIN(MAX(0,AP985-(MAX(0,AK946-IF($A986&gt;='1-Input'!$C$12,'1-Input'!$B$12,0))-MIN(MAX(AO985,0),MAX(0,AK946-IF($A986&gt;='1-Input'!$C$12,'1-Input'!$B$12,0))))*(1/(1-'P-Parametri'!$B$6*AK986))),MAX(0,2*AK946-(AO985-MIN(MAX(AO985,0),MAX(0,AK946-IF($A986&gt;='1-Input'!$C$12,'1-Input'!$B$12,0)))))*(1/(1-'P-Parametri'!$B$6*AK986))))</f>
        <v>9032.5650123052601</v>
      </c>
      <c r="AM986" s="18">
        <f>IF($A986&gt;'1-Input'!$B$26,AO985,(AO985-MAX(0,AK946-IF($A986&gt;='1-Input'!$C$12,'1-Input'!$B$12,0))+AL986*(1-'P-Parametri'!$B$6*AK986))*(1+'1-Input'!$B$27))</f>
        <v>36907.019414897208</v>
      </c>
      <c r="AN986" s="18">
        <f>IF($A986&gt;'1-Input'!$B$26,AP985,(AP985-AL986)*(1+'5-Roberta'!$C$4))</f>
        <v>18822.59867403204</v>
      </c>
      <c r="AO986" s="18">
        <f>IF($A986&gt;'1-Input'!$B$26,AM986,AM986-'P-Parametri'!$B$8*(AN986+AM986)+MIN(MAX(AN986,0),'P-Parametri'!$B$8*(AN986+AM986)))</f>
        <v>36907.019414897208</v>
      </c>
      <c r="AP986" s="18">
        <f>IF($A986&gt;'1-Input'!$B$26,AN986,AN986-MIN(MAX(AN986,0),'P-Parametri'!$B$8*(AN986+AM986)))</f>
        <v>18711.139437854181</v>
      </c>
      <c r="AQ986" s="18">
        <f>IF($A986&gt;'1-Input'!$B$26,AQ985,AQ985-AL986*(1-AK986))</f>
        <v>6749.8191299185128</v>
      </c>
    </row>
    <row r="987" spans="1:43">
      <c r="A987" s="10">
        <f>39</f>
        <v>39</v>
      </c>
      <c r="B987" s="11">
        <f>IF($A987&gt;'1-Input'!$B$26,0,IF(G986&lt;=0,0,MAX(0,(G986-H986)/G986)))</f>
        <v>0.64526192339910626</v>
      </c>
      <c r="C987" s="18">
        <f>IF($A987&gt;'1-Input'!$B$26,0,(MAX(0,B946-IF($A987&gt;='1-Input'!$C$12,'1-Input'!$B$12,0))-MIN(MAX(F986,0),MAX(0,B946-IF($A987&gt;='1-Input'!$C$12,'1-Input'!$B$12,0))))*(1/(1-'P-Parametri'!$B$6*B987))+MIN(MAX(0,G986-(MAX(0,B946-IF($A987&gt;='1-Input'!$C$12,'1-Input'!$B$12,0))-MIN(MAX(F986,0),MAX(0,B946-IF($A987&gt;='1-Input'!$C$12,'1-Input'!$B$12,0))))*(1/(1-'P-Parametri'!$B$6*B987))),MAX(0,2*B946-(F986-MIN(MAX(F986,0),MAX(0,B946-IF($A987&gt;='1-Input'!$C$12,'1-Input'!$B$12,0)))))*(1/(1-'P-Parametri'!$B$6*B987))))</f>
        <v>6848.0418900846653</v>
      </c>
      <c r="D987" s="18">
        <f>IF($A987&gt;'1-Input'!$B$26,F986,(F986-MAX(0,B946-IF($A987&gt;='1-Input'!$C$12,'1-Input'!$B$12,0))+C987*(1-'P-Parametri'!$B$6*B987))*(1+'1-Input'!$B$27))</f>
        <v>33242.0070309863</v>
      </c>
      <c r="E987" s="18">
        <f>IF($A987&gt;'1-Input'!$B$26,G986,(G986-C987)*(1+'5-Roberta'!$C$4))</f>
        <v>165035.67741786366</v>
      </c>
      <c r="F987" s="18">
        <f>IF($A987&gt;'1-Input'!$B$26,D987,D987-'P-Parametri'!$B$8*(E987+D987)+MIN(MAX(E987,0),'P-Parametri'!$B$8*(E987+D987)))</f>
        <v>33242.0070309863</v>
      </c>
      <c r="G987" s="18">
        <f>IF($A987&gt;'1-Input'!$B$26,E987,E987-MIN(MAX(E987,0),'P-Parametri'!$B$8*(E987+D987)))</f>
        <v>164639.12204896595</v>
      </c>
      <c r="H987" s="18">
        <f>IF($A987&gt;'1-Input'!$B$26,H986,H986-C987*(1-B987))</f>
        <v>56839.260949260693</v>
      </c>
      <c r="I987" s="11">
        <f>IF($A987&gt;'1-Input'!$B$26,0,IF(N986&lt;=0,0,MAX(0,(N986-O986)/N986)))</f>
        <v>0</v>
      </c>
      <c r="J987" s="18">
        <f>IF($A987&gt;'1-Input'!$B$26,0,(MAX(0,I946-IF($A987&gt;='1-Input'!$C$12,'1-Input'!$B$12,0))-MIN(MAX(M986,0),MAX(0,I946-IF($A987&gt;='1-Input'!$C$12,'1-Input'!$B$12,0))))*(1/(1-'P-Parametri'!$B$6*I987))+MIN(MAX(0,N986-(MAX(0,I946-IF($A987&gt;='1-Input'!$C$12,'1-Input'!$B$12,0))-MIN(MAX(M986,0),MAX(0,I946-IF($A987&gt;='1-Input'!$C$12,'1-Input'!$B$12,0))))*(1/(1-'P-Parametri'!$B$6*I987))),MAX(0,2*I946-(M986-MIN(MAX(M986,0),MAX(0,I946-IF($A987&gt;='1-Input'!$C$12,'1-Input'!$B$12,0)))))*(1/(1-'P-Parametri'!$B$6*I987))))</f>
        <v>10846.756992928691</v>
      </c>
      <c r="K987" s="18">
        <f>IF($A987&gt;'1-Input'!$B$26,M986,(M986-MAX(0,I946-IF($A987&gt;='1-Input'!$C$12,'1-Input'!$B$12,0))+J987*(1-'P-Parametri'!$B$6*I987))*(1+'1-Input'!$B$27))</f>
        <v>0</v>
      </c>
      <c r="L987" s="18">
        <f>IF($A987&gt;'1-Input'!$B$26,N986,(N986-J987)*(1+'5-Roberta'!$C$4))</f>
        <v>-168351.79563882493</v>
      </c>
      <c r="M987" s="18">
        <f>IF($A987&gt;'1-Input'!$B$26,K987,K987-'P-Parametri'!$B$8*(L987+K987)+MIN(MAX(L987,0),'P-Parametri'!$B$8*(L987+K987)))</f>
        <v>0</v>
      </c>
      <c r="N987" s="18">
        <f>IF($A987&gt;'1-Input'!$B$26,L987,L987-MIN(MAX(L987,0),'P-Parametri'!$B$8*(L987+K987)))</f>
        <v>-168015.09204754728</v>
      </c>
      <c r="O987" s="18">
        <f>IF($A987&gt;'1-Input'!$B$26,O986,O986-J987*(1-I987))</f>
        <v>-138279.42340270561</v>
      </c>
      <c r="P987" s="11">
        <f>IF($A987&gt;'1-Input'!$B$26,0,IF(U986&lt;=0,0,MAX(0,(U986-V986)/U986)))</f>
        <v>0</v>
      </c>
      <c r="Q987" s="18">
        <f>IF($A987&gt;'1-Input'!$B$26,0,(MAX(0,P946-IF($A987&gt;='1-Input'!$C$12,'1-Input'!$B$12,0))-MIN(MAX(T986,0),MAX(0,P946-IF($A987&gt;='1-Input'!$C$12,'1-Input'!$B$12,0))))*(1/(1-'P-Parametri'!$B$6*P987))+MIN(MAX(0,U986-(MAX(0,P946-IF($A987&gt;='1-Input'!$C$12,'1-Input'!$B$12,0))-MIN(MAX(T986,0),MAX(0,P946-IF($A987&gt;='1-Input'!$C$12,'1-Input'!$B$12,0))))*(1/(1-'P-Parametri'!$B$6*P987))),MAX(0,2*P946-(T986-MIN(MAX(T986,0),MAX(0,P946-IF($A987&gt;='1-Input'!$C$12,'1-Input'!$B$12,0)))))*(1/(1-'P-Parametri'!$B$6*P987))))</f>
        <v>0</v>
      </c>
      <c r="R987" s="18">
        <f>IF($A987&gt;'1-Input'!$B$26,T986,(T986-MAX(0,P946-IF($A987&gt;='1-Input'!$C$12,'1-Input'!$B$12,0))+Q987*(1-'P-Parametri'!$B$6*P987))*(1+'1-Input'!$B$27))</f>
        <v>26730.279465009651</v>
      </c>
      <c r="S987" s="18">
        <f>IF($A987&gt;'1-Input'!$B$26,U986,(U986-Q987)*(1+'5-Roberta'!$C$4))</f>
        <v>0</v>
      </c>
      <c r="T987" s="18">
        <f>IF($A987&gt;'1-Input'!$B$26,R987,R987-'P-Parametri'!$B$8*(S987+R987)+MIN(MAX(S987,0),'P-Parametri'!$B$8*(S987+R987)))</f>
        <v>26676.818906079632</v>
      </c>
      <c r="U987" s="18">
        <f>IF($A987&gt;'1-Input'!$B$26,S987,S987-MIN(MAX(S987,0),'P-Parametri'!$B$8*(S987+R987)))</f>
        <v>0</v>
      </c>
      <c r="V987" s="18">
        <f>IF($A987&gt;'1-Input'!$B$26,V986,V986-Q987*(1-P987))</f>
        <v>4.5474735088646412E-13</v>
      </c>
      <c r="W987" s="11">
        <f>IF($A987&gt;'1-Input'!$B$26,0,IF(AB986&lt;=0,0,MAX(0,(AB986-AC986)/AB986)))</f>
        <v>0.63901773177591492</v>
      </c>
      <c r="X987" s="18">
        <f>IF($A987&gt;'1-Input'!$B$26,0,(MAX(0,W946-IF($A987&gt;='1-Input'!$C$12,'1-Input'!$B$12,0))-MIN(MAX(AA986,0),MAX(0,W946-IF($A987&gt;='1-Input'!$C$12,'1-Input'!$B$12,0))))*(1/(1-'P-Parametri'!$B$6*W987))+MIN(MAX(0,AB986-(MAX(0,W946-IF($A987&gt;='1-Input'!$C$12,'1-Input'!$B$12,0))-MIN(MAX(AA986,0),MAX(0,W946-IF($A987&gt;='1-Input'!$C$12,'1-Input'!$B$12,0))))*(1/(1-'P-Parametri'!$B$6*W987))),MAX(0,2*W946-(AA986-MIN(MAX(AA986,0),MAX(0,W946-IF($A987&gt;='1-Input'!$C$12,'1-Input'!$B$12,0)))))*(1/(1-'P-Parametri'!$B$6*W987))))</f>
        <v>9074.8873717101978</v>
      </c>
      <c r="Y987" s="18">
        <f>IF($A987&gt;'1-Input'!$B$26,AA986,(AA986-MAX(0,W946-IF($A987&gt;='1-Input'!$C$12,'1-Input'!$B$12,0))+X987*(1-'P-Parametri'!$B$6*W987))*(1+'1-Input'!$B$27))</f>
        <v>36937.916657430564</v>
      </c>
      <c r="Z987" s="18">
        <f>IF($A987&gt;'1-Input'!$B$26,AB986,(AB986-X987)*(1+'5-Roberta'!$C$4))</f>
        <v>8638.5851281910655</v>
      </c>
      <c r="AA987" s="18">
        <f>IF($A987&gt;'1-Input'!$B$26,Y987,Y987-'P-Parametri'!$B$8*(Z987+Y987)+MIN(MAX(Z987,0),'P-Parametri'!$B$8*(Z987+Y987)))</f>
        <v>36937.916657430564</v>
      </c>
      <c r="AB987" s="18">
        <f>IF($A987&gt;'1-Input'!$B$26,Z987,Z987-MIN(MAX(Z987,0),'P-Parametri'!$B$8*(Z987+Y987)))</f>
        <v>8547.4321246198215</v>
      </c>
      <c r="AC987" s="18">
        <f>IF($A987&gt;'1-Input'!$B$26,AC986,AC986-X987*(1-W987))</f>
        <v>3027.5495668167573</v>
      </c>
      <c r="AD987" s="11">
        <f>IF($A987&gt;'1-Input'!$B$26,0,IF(AI986&lt;=0,0,MAX(0,(AI986-AJ986)/AI986)))</f>
        <v>0.63926742218123023</v>
      </c>
      <c r="AE987" s="18">
        <f>IF($A987&gt;'1-Input'!$B$26,0,(MAX(0,AD946-IF($A987&gt;='1-Input'!$C$12,'1-Input'!$B$12,0))-MIN(MAX(AH986,0),MAX(0,AD946-IF($A987&gt;='1-Input'!$C$12,'1-Input'!$B$12,0))))*(1/(1-'P-Parametri'!$B$6*AD987))+MIN(MAX(0,AI986-(MAX(0,AD946-IF($A987&gt;='1-Input'!$C$12,'1-Input'!$B$12,0))-MIN(MAX(AH986,0),MAX(0,AD946-IF($A987&gt;='1-Input'!$C$12,'1-Input'!$B$12,0))))*(1/(1-'P-Parametri'!$B$6*AD987))),MAX(0,2*AD946-(AH986-MIN(MAX(AH986,0),MAX(0,AD946-IF($A987&gt;='1-Input'!$C$12,'1-Input'!$B$12,0)))))*(1/(1-'P-Parametri'!$B$6*AD987))))</f>
        <v>9056.4290294379389</v>
      </c>
      <c r="AF987" s="18">
        <f>IF($A987&gt;'1-Input'!$B$26,AH986,(AH986-MAX(0,AD946-IF($A987&gt;='1-Input'!$C$12,'1-Input'!$B$12,0))+AE987*(1-'P-Parametri'!$B$6*AD987))*(1+'1-Input'!$B$27))</f>
        <v>36906.300293679618</v>
      </c>
      <c r="AG987" s="18">
        <f>IF($A987&gt;'1-Input'!$B$26,AI986,(AI986-AE987)*(1+'5-Roberta'!$C$4))</f>
        <v>9974.3012908004712</v>
      </c>
      <c r="AH987" s="18">
        <f>IF($A987&gt;'1-Input'!$B$26,AF987,AF987-'P-Parametri'!$B$8*(AG987+AF987)+MIN(MAX(AG987,0),'P-Parametri'!$B$8*(AG987+AF987)))</f>
        <v>36906.300293679618</v>
      </c>
      <c r="AI987" s="18">
        <f>IF($A987&gt;'1-Input'!$B$26,AG987,AG987-MIN(MAX(AG987,0),'P-Parametri'!$B$8*(AG987+AF987)))</f>
        <v>9880.5400876315107</v>
      </c>
      <c r="AJ987" s="18">
        <f>IF($A987&gt;'1-Input'!$B$26,AJ986,AJ986-AE987*(1-AD987))</f>
        <v>3493.2576859917831</v>
      </c>
      <c r="AK987" s="11">
        <f>IF($A987&gt;'1-Input'!$B$26,0,IF(AP986&lt;=0,0,MAX(0,(AP986-AQ986)/AP986)))</f>
        <v>0.63926199404708239</v>
      </c>
      <c r="AL987" s="18">
        <f>IF($A987&gt;'1-Input'!$B$26,0,(MAX(0,AK946-IF($A987&gt;='1-Input'!$C$12,'1-Input'!$B$12,0))-MIN(MAX(AO986,0),MAX(0,AK946-IF($A987&gt;='1-Input'!$C$12,'1-Input'!$B$12,0))))*(1/(1-'P-Parametri'!$B$6*AK987))+MIN(MAX(0,AP986-(MAX(0,AK946-IF($A987&gt;='1-Input'!$C$12,'1-Input'!$B$12,0))-MIN(MAX(AO986,0),MAX(0,AK946-IF($A987&gt;='1-Input'!$C$12,'1-Input'!$B$12,0))))*(1/(1-'P-Parametri'!$B$6*AK987))),MAX(0,2*AK946-(AO986-MIN(MAX(AO986,0),MAX(0,AK946-IF($A987&gt;='1-Input'!$C$12,'1-Input'!$B$12,0)))))*(1/(1-'P-Parametri'!$B$6*AK987))))</f>
        <v>9056.8496097150182</v>
      </c>
      <c r="AM987" s="18">
        <f>IF($A987&gt;'1-Input'!$B$26,AO986,(AO986-MAX(0,AK946-IF($A987&gt;='1-Input'!$C$12,'1-Input'!$B$12,0))+AL987*(1-'P-Parametri'!$B$6*AK987))*(1+'1-Input'!$B$27))</f>
        <v>36907.019414897208</v>
      </c>
      <c r="AN987" s="18">
        <f>IF($A987&gt;'1-Input'!$B$26,AP986,(AP986-AL987)*(1+'5-Roberta'!$C$4))</f>
        <v>9943.9185229833383</v>
      </c>
      <c r="AO987" s="18">
        <f>IF($A987&gt;'1-Input'!$B$26,AM987,AM987-'P-Parametri'!$B$8*(AN987+AM987)+MIN(MAX(AN987,0),'P-Parametri'!$B$8*(AN987+AM987)))</f>
        <v>36907.019414897208</v>
      </c>
      <c r="AP987" s="18">
        <f>IF($A987&gt;'1-Input'!$B$26,AN987,AN987-MIN(MAX(AN987,0),'P-Parametri'!$B$8*(AN987+AM987)))</f>
        <v>9850.216647107578</v>
      </c>
      <c r="AQ987" s="18">
        <f>IF($A987&gt;'1-Input'!$B$26,AQ986,AQ986-AL987*(1-AK987))</f>
        <v>3482.6692614944568</v>
      </c>
    </row>
    <row r="988" spans="1:43">
      <c r="A988" s="10">
        <f>40</f>
        <v>40</v>
      </c>
      <c r="B988" s="11">
        <f>IF($A988&gt;'1-Input'!$B$26,0,IF(G987&lt;=0,0,MAX(0,(G987-H987)/G987)))</f>
        <v>0.6547645526659458</v>
      </c>
      <c r="C988" s="18">
        <f>IF($A988&gt;'1-Input'!$B$26,0,(MAX(0,B946-IF($A988&gt;='1-Input'!$C$12,'1-Input'!$B$12,0))-MIN(MAX(F987,0),MAX(0,B946-IF($A988&gt;='1-Input'!$C$12,'1-Input'!$B$12,0))))*(1/(1-'P-Parametri'!$B$6*B988))+MIN(MAX(0,G987-(MAX(0,B946-IF($A988&gt;='1-Input'!$C$12,'1-Input'!$B$12,0))-MIN(MAX(F987,0),MAX(0,B946-IF($A988&gt;='1-Input'!$C$12,'1-Input'!$B$12,0))))*(1/(1-'P-Parametri'!$B$6*B988))),MAX(0,2*B946-(F987-MIN(MAX(F987,0),MAX(0,B946-IF($A988&gt;='1-Input'!$C$12,'1-Input'!$B$12,0)))))*(1/(1-'P-Parametri'!$B$6*B988))))</f>
        <v>6868.4325091226019</v>
      </c>
      <c r="D988" s="18">
        <f>IF($A988&gt;'1-Input'!$B$26,F987,(F987-MAX(0,B946-IF($A988&gt;='1-Input'!$C$12,'1-Input'!$B$12,0))+C988*(1-'P-Parametri'!$B$6*B988))*(1+'1-Input'!$B$27))</f>
        <v>33242.0070309863</v>
      </c>
      <c r="E988" s="18">
        <f>IF($A988&gt;'1-Input'!$B$26,G987,(G987-C988)*(1+'5-Roberta'!$C$4))</f>
        <v>162503.81022603865</v>
      </c>
      <c r="F988" s="18">
        <f>IF($A988&gt;'1-Input'!$B$26,D988,D988-'P-Parametri'!$B$8*(E988+D988)+MIN(MAX(E988,0),'P-Parametri'!$B$8*(E988+D988)))</f>
        <v>33242.0070309863</v>
      </c>
      <c r="G988" s="18">
        <f>IF($A988&gt;'1-Input'!$B$26,E988,E988-MIN(MAX(E988,0),'P-Parametri'!$B$8*(E988+D988)))</f>
        <v>162112.31859152461</v>
      </c>
      <c r="H988" s="18">
        <f>IF($A988&gt;'1-Input'!$B$26,H987,H987-C988*(1-B988))</f>
        <v>54468.034579489991</v>
      </c>
      <c r="I988" s="11">
        <f>IF($A988&gt;'1-Input'!$B$26,0,IF(N987&lt;=0,0,MAX(0,(N987-O987)/N987)))</f>
        <v>0</v>
      </c>
      <c r="J988" s="18">
        <f>IF($A988&gt;'1-Input'!$B$26,0,(MAX(0,I946-IF($A988&gt;='1-Input'!$C$12,'1-Input'!$B$12,0))-MIN(MAX(M987,0),MAX(0,I946-IF($A988&gt;='1-Input'!$C$12,'1-Input'!$B$12,0))))*(1/(1-'P-Parametri'!$B$6*I988))+MIN(MAX(0,N987-(MAX(0,I946-IF($A988&gt;='1-Input'!$C$12,'1-Input'!$B$12,0))-MIN(MAX(M987,0),MAX(0,I946-IF($A988&gt;='1-Input'!$C$12,'1-Input'!$B$12,0))))*(1/(1-'P-Parametri'!$B$6*I988))),MAX(0,2*I946-(M987-MIN(MAX(M987,0),MAX(0,I946-IF($A988&gt;='1-Input'!$C$12,'1-Input'!$B$12,0)))))*(1/(1-'P-Parametri'!$B$6*I988))))</f>
        <v>10846.756992928691</v>
      </c>
      <c r="K988" s="18">
        <f>IF($A988&gt;'1-Input'!$B$26,M987,(M987-MAX(0,I946-IF($A988&gt;='1-Input'!$C$12,'1-Input'!$B$12,0))+J988*(1-'P-Parametri'!$B$6*I988))*(1+'1-Input'!$B$27))</f>
        <v>0</v>
      </c>
      <c r="L988" s="18">
        <f>IF($A988&gt;'1-Input'!$B$26,N987,(N987-J988)*(1+'5-Roberta'!$C$4))</f>
        <v>-184227.70451169024</v>
      </c>
      <c r="M988" s="18">
        <f>IF($A988&gt;'1-Input'!$B$26,K988,K988-'P-Parametri'!$B$8*(L988+K988)+MIN(MAX(L988,0),'P-Parametri'!$B$8*(L988+K988)))</f>
        <v>0</v>
      </c>
      <c r="N988" s="18">
        <f>IF($A988&gt;'1-Input'!$B$26,L988,L988-MIN(MAX(L988,0),'P-Parametri'!$B$8*(L988+K988)))</f>
        <v>-183859.24910266686</v>
      </c>
      <c r="O988" s="18">
        <f>IF($A988&gt;'1-Input'!$B$26,O987,O987-J988*(1-I988))</f>
        <v>-149126.18039563429</v>
      </c>
      <c r="P988" s="11">
        <f>IF($A988&gt;'1-Input'!$B$26,0,IF(U987&lt;=0,0,MAX(0,(U987-V987)/U987)))</f>
        <v>0</v>
      </c>
      <c r="Q988" s="18">
        <f>IF($A988&gt;'1-Input'!$B$26,0,(MAX(0,P946-IF($A988&gt;='1-Input'!$C$12,'1-Input'!$B$12,0))-MIN(MAX(T987,0),MAX(0,P946-IF($A988&gt;='1-Input'!$C$12,'1-Input'!$B$12,0))))*(1/(1-'P-Parametri'!$B$6*P988))+MIN(MAX(0,U987-(MAX(0,P946-IF($A988&gt;='1-Input'!$C$12,'1-Input'!$B$12,0))-MIN(MAX(T987,0),MAX(0,P946-IF($A988&gt;='1-Input'!$C$12,'1-Input'!$B$12,0))))*(1/(1-'P-Parametri'!$B$6*P988))),MAX(0,2*P946-(T987-MIN(MAX(T987,0),MAX(0,P946-IF($A988&gt;='1-Input'!$C$12,'1-Input'!$B$12,0)))))*(1/(1-'P-Parametri'!$B$6*P988))))</f>
        <v>0</v>
      </c>
      <c r="R988" s="18">
        <f>IF($A988&gt;'1-Input'!$B$26,T987,(T987-MAX(0,P946-IF($A988&gt;='1-Input'!$C$12,'1-Input'!$B$12,0))+Q988*(1-'P-Parametri'!$B$6*P988))*(1+'1-Input'!$B$27))</f>
        <v>18913.045368225827</v>
      </c>
      <c r="S988" s="18">
        <f>IF($A988&gt;'1-Input'!$B$26,U987,(U987-Q988)*(1+'5-Roberta'!$C$4))</f>
        <v>0</v>
      </c>
      <c r="T988" s="18">
        <f>IF($A988&gt;'1-Input'!$B$26,R988,R988-'P-Parametri'!$B$8*(S988+R988)+MIN(MAX(S988,0),'P-Parametri'!$B$8*(S988+R988)))</f>
        <v>18875.219277489374</v>
      </c>
      <c r="U988" s="18">
        <f>IF($A988&gt;'1-Input'!$B$26,S988,S988-MIN(MAX(S988,0),'P-Parametri'!$B$8*(S988+R988)))</f>
        <v>0</v>
      </c>
      <c r="V988" s="18">
        <f>IF($A988&gt;'1-Input'!$B$26,V987,V987-Q988*(1-P988))</f>
        <v>4.5474735088646412E-13</v>
      </c>
      <c r="W988" s="11">
        <f>IF($A988&gt;'1-Input'!$B$26,0,IF(AB987&lt;=0,0,MAX(0,(AB987-AC987)/AB987)))</f>
        <v>0.64579425461639239</v>
      </c>
      <c r="X988" s="18">
        <f>IF($A988&gt;'1-Input'!$B$26,0,(MAX(0,W946-IF($A988&gt;='1-Input'!$C$12,'1-Input'!$B$12,0))-MIN(MAX(AA987,0),MAX(0,W946-IF($A988&gt;='1-Input'!$C$12,'1-Input'!$B$12,0))))*(1/(1-'P-Parametri'!$B$6*W988))+MIN(MAX(0,AB987-(MAX(0,W946-IF($A988&gt;='1-Input'!$C$12,'1-Input'!$B$12,0))-MIN(MAX(AA987,0),MAX(0,W946-IF($A988&gt;='1-Input'!$C$12,'1-Input'!$B$12,0))))*(1/(1-'P-Parametri'!$B$6*W988))),MAX(0,2*W946-(AA987-MIN(MAX(AA987,0),MAX(0,W946-IF($A988&gt;='1-Input'!$C$12,'1-Input'!$B$12,0)))))*(1/(1-'P-Parametri'!$B$6*W988))))</f>
        <v>8547.4321246198215</v>
      </c>
      <c r="Y988" s="18">
        <f>IF($A988&gt;'1-Input'!$B$26,AA987,(AA987-MAX(0,W946-IF($A988&gt;='1-Input'!$C$12,'1-Input'!$B$12,0))+X988*(1-'P-Parametri'!$B$6*W988))*(1+'1-Input'!$B$27))</f>
        <v>36484.673142765023</v>
      </c>
      <c r="Z988" s="18">
        <f>IF($A988&gt;'1-Input'!$B$26,AB987,(AB987-X988)*(1+'5-Roberta'!$C$4))</f>
        <v>0</v>
      </c>
      <c r="AA988" s="18">
        <f>IF($A988&gt;'1-Input'!$B$26,Y988,Y988-'P-Parametri'!$B$8*(Z988+Y988)+MIN(MAX(Z988,0),'P-Parametri'!$B$8*(Z988+Y988)))</f>
        <v>36411.703796479494</v>
      </c>
      <c r="AB988" s="18">
        <f>IF($A988&gt;'1-Input'!$B$26,Z988,Z988-MIN(MAX(Z988,0),'P-Parametri'!$B$8*(Z988+Y988)))</f>
        <v>0</v>
      </c>
      <c r="AC988" s="18">
        <f>IF($A988&gt;'1-Input'!$B$26,AC987,AC987-X988*(1-W988))</f>
        <v>4.5474735088646412E-13</v>
      </c>
      <c r="AD988" s="11">
        <f>IF($A988&gt;'1-Input'!$B$26,0,IF(AI987&lt;=0,0,MAX(0,(AI987-AJ987)/AI987)))</f>
        <v>0.64645073497908756</v>
      </c>
      <c r="AE988" s="18">
        <f>IF($A988&gt;'1-Input'!$B$26,0,(MAX(0,AD946-IF($A988&gt;='1-Input'!$C$12,'1-Input'!$B$12,0))-MIN(MAX(AH987,0),MAX(0,AD946-IF($A988&gt;='1-Input'!$C$12,'1-Input'!$B$12,0))))*(1/(1-'P-Parametri'!$B$6*AD988))+MIN(MAX(0,AI987-(MAX(0,AD946-IF($A988&gt;='1-Input'!$C$12,'1-Input'!$B$12,0))-MIN(MAX(AH987,0),MAX(0,AD946-IF($A988&gt;='1-Input'!$C$12,'1-Input'!$B$12,0))))*(1/(1-'P-Parametri'!$B$6*AD988))),MAX(0,2*AD946-(AH987-MIN(MAX(AH987,0),MAX(0,AD946-IF($A988&gt;='1-Input'!$C$12,'1-Input'!$B$12,0)))))*(1/(1-'P-Parametri'!$B$6*AD988))))</f>
        <v>9076.7606540573724</v>
      </c>
      <c r="AF988" s="18">
        <f>IF($A988&gt;'1-Input'!$B$26,AH987,(AH987-MAX(0,AD946-IF($A988&gt;='1-Input'!$C$12,'1-Input'!$B$12,0))+AE988*(1-'P-Parametri'!$B$6*AD988))*(1+'1-Input'!$B$27))</f>
        <v>36906.300293679618</v>
      </c>
      <c r="AG988" s="18">
        <f>IF($A988&gt;'1-Input'!$B$26,AI987,(AI987-AE988)*(1+'5-Roberta'!$C$4))</f>
        <v>827.89281658136235</v>
      </c>
      <c r="AH988" s="18">
        <f>IF($A988&gt;'1-Input'!$B$26,AF988,AF988-'P-Parametri'!$B$8*(AG988+AF988)+MIN(MAX(AG988,0),'P-Parametri'!$B$8*(AG988+AF988)))</f>
        <v>36906.300293679618</v>
      </c>
      <c r="AI988" s="18">
        <f>IF($A988&gt;'1-Input'!$B$26,AG988,AG988-MIN(MAX(AG988,0),'P-Parametri'!$B$8*(AG988+AF988)))</f>
        <v>752.42443036084035</v>
      </c>
      <c r="AJ988" s="18">
        <f>IF($A988&gt;'1-Input'!$B$26,AJ987,AJ987-AE988*(1-AD988))</f>
        <v>284.17562797906248</v>
      </c>
      <c r="AK988" s="11">
        <f>IF($A988&gt;'1-Input'!$B$26,0,IF(AP987&lt;=0,0,MAX(0,(AP987-AQ987)/AP987)))</f>
        <v>0.64643729308054265</v>
      </c>
      <c r="AL988" s="18">
        <f>IF($A988&gt;'1-Input'!$B$26,0,(MAX(0,AK946-IF($A988&gt;='1-Input'!$C$12,'1-Input'!$B$12,0))-MIN(MAX(AO987,0),MAX(0,AK946-IF($A988&gt;='1-Input'!$C$12,'1-Input'!$B$12,0))))*(1/(1-'P-Parametri'!$B$6*AK988))+MIN(MAX(0,AP987-(MAX(0,AK946-IF($A988&gt;='1-Input'!$C$12,'1-Input'!$B$12,0))-MIN(MAX(AO987,0),MAX(0,AK946-IF($A988&gt;='1-Input'!$C$12,'1-Input'!$B$12,0))))*(1/(1-'P-Parametri'!$B$6*AK988))),MAX(0,2*AK946-(AO987-MIN(MAX(AO987,0),MAX(0,AK946-IF($A988&gt;='1-Input'!$C$12,'1-Input'!$B$12,0)))))*(1/(1-'P-Parametri'!$B$6*AK988))))</f>
        <v>9077.1594100279108</v>
      </c>
      <c r="AM988" s="18">
        <f>IF($A988&gt;'1-Input'!$B$26,AO987,(AO987-MAX(0,AK946-IF($A988&gt;='1-Input'!$C$12,'1-Input'!$B$12,0))+AL988*(1-'P-Parametri'!$B$6*AK988))*(1+'1-Input'!$B$27))</f>
        <v>36907.019414897208</v>
      </c>
      <c r="AN988" s="18">
        <f>IF($A988&gt;'1-Input'!$B$26,AP987,(AP987-AL988)*(1+'5-Roberta'!$C$4))</f>
        <v>796.24895419205723</v>
      </c>
      <c r="AO988" s="18">
        <f>IF($A988&gt;'1-Input'!$B$26,AM988,AM988-'P-Parametri'!$B$8*(AN988+AM988)+MIN(MAX(AN988,0),'P-Parametri'!$B$8*(AN988+AM988)))</f>
        <v>36907.019414897208</v>
      </c>
      <c r="AP988" s="18">
        <f>IF($A988&gt;'1-Input'!$B$26,AN988,AN988-MIN(MAX(AN988,0),'P-Parametri'!$B$8*(AN988+AM988)))</f>
        <v>720.84241745387874</v>
      </c>
      <c r="AQ988" s="18">
        <f>IF($A988&gt;'1-Input'!$B$26,AQ987,AQ987-AL988*(1-AK988))</f>
        <v>273.32420934556421</v>
      </c>
    </row>
    <row r="989" spans="1:43">
      <c r="A989" s="10">
        <f>41</f>
        <v>41</v>
      </c>
      <c r="B989" s="11">
        <f>IF($A989&gt;'1-Input'!$B$26,0,IF(G988&lt;=0,0,MAX(0,(G988-H988)/G988)))</f>
        <v>0.66401051411315981</v>
      </c>
      <c r="C989" s="18">
        <f>IF($A989&gt;'1-Input'!$B$26,0,(MAX(0,B946-IF($A989&gt;='1-Input'!$C$12,'1-Input'!$B$12,0))-MIN(MAX(F988,0),MAX(0,B946-IF($A989&gt;='1-Input'!$C$12,'1-Input'!$B$12,0))))*(1/(1-'P-Parametri'!$B$6*B989))+MIN(MAX(0,G988-(MAX(0,B946-IF($A989&gt;='1-Input'!$C$12,'1-Input'!$B$12,0))-MIN(MAX(F988,0),MAX(0,B946-IF($A989&gt;='1-Input'!$C$12,'1-Input'!$B$12,0))))*(1/(1-'P-Parametri'!$B$6*B989))),MAX(0,2*B946-(F988-MIN(MAX(F988,0),MAX(0,B946-IF($A989&gt;='1-Input'!$C$12,'1-Input'!$B$12,0)))))*(1/(1-'P-Parametri'!$B$6*B989))))</f>
        <v>6888.389266425992</v>
      </c>
      <c r="D989" s="18">
        <f>IF($A989&gt;'1-Input'!$B$26,F988,(F988-MAX(0,B946-IF($A989&gt;='1-Input'!$C$12,'1-Input'!$B$12,0))+C989*(1-'P-Parametri'!$B$6*B989))*(1+'1-Input'!$B$27))</f>
        <v>33242.0070309863</v>
      </c>
      <c r="E989" s="18">
        <f>IF($A989&gt;'1-Input'!$B$26,G988,(G988-C989)*(1+'5-Roberta'!$C$4))</f>
        <v>159880.64720485156</v>
      </c>
      <c r="F989" s="18">
        <f>IF($A989&gt;'1-Input'!$B$26,D989,D989-'P-Parametri'!$B$8*(E989+D989)+MIN(MAX(E989,0),'P-Parametri'!$B$8*(E989+D989)))</f>
        <v>33242.0070309863</v>
      </c>
      <c r="G989" s="18">
        <f>IF($A989&gt;'1-Input'!$B$26,E989,E989-MIN(MAX(E989,0),'P-Parametri'!$B$8*(E989+D989)))</f>
        <v>159494.40189637989</v>
      </c>
      <c r="H989" s="18">
        <f>IF($A989&gt;'1-Input'!$B$26,H988,H988-C989*(1-B989))</f>
        <v>52153.608211275096</v>
      </c>
      <c r="I989" s="11">
        <f>IF($A989&gt;'1-Input'!$B$26,0,IF(N988&lt;=0,0,MAX(0,(N988-O988)/N988)))</f>
        <v>0</v>
      </c>
      <c r="J989" s="18">
        <f>IF($A989&gt;'1-Input'!$B$26,0,(MAX(0,I946-IF($A989&gt;='1-Input'!$C$12,'1-Input'!$B$12,0))-MIN(MAX(M988,0),MAX(0,I946-IF($A989&gt;='1-Input'!$C$12,'1-Input'!$B$12,0))))*(1/(1-'P-Parametri'!$B$6*I989))+MIN(MAX(0,N988-(MAX(0,I946-IF($A989&gt;='1-Input'!$C$12,'1-Input'!$B$12,0))-MIN(MAX(M988,0),MAX(0,I946-IF($A989&gt;='1-Input'!$C$12,'1-Input'!$B$12,0))))*(1/(1-'P-Parametri'!$B$6*I989))),MAX(0,2*I946-(M988-MIN(MAX(M988,0),MAX(0,I946-IF($A989&gt;='1-Input'!$C$12,'1-Input'!$B$12,0)))))*(1/(1-'P-Parametri'!$B$6*I989))))</f>
        <v>10846.756992928691</v>
      </c>
      <c r="K989" s="18">
        <f>IF($A989&gt;'1-Input'!$B$26,M988,(M988-MAX(0,I946-IF($A989&gt;='1-Input'!$C$12,'1-Input'!$B$12,0))+J989*(1-'P-Parametri'!$B$6*I989))*(1+'1-Input'!$B$27))</f>
        <v>0</v>
      </c>
      <c r="L989" s="18">
        <f>IF($A989&gt;'1-Input'!$B$26,N988,(N988-J989)*(1+'5-Roberta'!$C$4))</f>
        <v>-200547.1862784634</v>
      </c>
      <c r="M989" s="18">
        <f>IF($A989&gt;'1-Input'!$B$26,K989,K989-'P-Parametri'!$B$8*(L989+K989)+MIN(MAX(L989,0),'P-Parametri'!$B$8*(L989+K989)))</f>
        <v>0</v>
      </c>
      <c r="N989" s="18">
        <f>IF($A989&gt;'1-Input'!$B$26,L989,L989-MIN(MAX(L989,0),'P-Parametri'!$B$8*(L989+K989)))</f>
        <v>-200146.09190590648</v>
      </c>
      <c r="O989" s="18">
        <f>IF($A989&gt;'1-Input'!$B$26,O988,O988-J989*(1-I989))</f>
        <v>-159972.93738856298</v>
      </c>
      <c r="P989" s="11">
        <f>IF($A989&gt;'1-Input'!$B$26,0,IF(U988&lt;=0,0,MAX(0,(U988-V988)/U988)))</f>
        <v>0</v>
      </c>
      <c r="Q989" s="18">
        <f>IF($A989&gt;'1-Input'!$B$26,0,(MAX(0,P946-IF($A989&gt;='1-Input'!$C$12,'1-Input'!$B$12,0))-MIN(MAX(T988,0),MAX(0,P946-IF($A989&gt;='1-Input'!$C$12,'1-Input'!$B$12,0))))*(1/(1-'P-Parametri'!$B$6*P989))+MIN(MAX(0,U988-(MAX(0,P946-IF($A989&gt;='1-Input'!$C$12,'1-Input'!$B$12,0))-MIN(MAX(T988,0),MAX(0,P946-IF($A989&gt;='1-Input'!$C$12,'1-Input'!$B$12,0))))*(1/(1-'P-Parametri'!$B$6*P989))),MAX(0,2*P946-(T988-MIN(MAX(T988,0),MAX(0,P946-IF($A989&gt;='1-Input'!$C$12,'1-Input'!$B$12,0)))))*(1/(1-'P-Parametri'!$B$6*P989))))</f>
        <v>0</v>
      </c>
      <c r="R989" s="18">
        <f>IF($A989&gt;'1-Input'!$B$26,T988,(T988-MAX(0,P946-IF($A989&gt;='1-Input'!$C$12,'1-Input'!$B$12,0))+Q989*(1-'P-Parametri'!$B$6*P989))*(1+'1-Input'!$B$27))</f>
        <v>11139.531498298495</v>
      </c>
      <c r="S989" s="18">
        <f>IF($A989&gt;'1-Input'!$B$26,U988,(U988-Q989)*(1+'5-Roberta'!$C$4))</f>
        <v>0</v>
      </c>
      <c r="T989" s="18">
        <f>IF($A989&gt;'1-Input'!$B$26,R989,R989-'P-Parametri'!$B$8*(S989+R989)+MIN(MAX(S989,0),'P-Parametri'!$B$8*(S989+R989)))</f>
        <v>11117.252435301898</v>
      </c>
      <c r="U989" s="18">
        <f>IF($A989&gt;'1-Input'!$B$26,S989,S989-MIN(MAX(S989,0),'P-Parametri'!$B$8*(S989+R989)))</f>
        <v>0</v>
      </c>
      <c r="V989" s="18">
        <f>IF($A989&gt;'1-Input'!$B$26,V988,V988-Q989*(1-P989))</f>
        <v>4.5474735088646412E-13</v>
      </c>
      <c r="W989" s="11">
        <f>IF($A989&gt;'1-Input'!$B$26,0,IF(AB988&lt;=0,0,MAX(0,(AB988-AC988)/AB988)))</f>
        <v>0</v>
      </c>
      <c r="X989" s="18">
        <f>IF($A989&gt;'1-Input'!$B$26,0,(MAX(0,W946-IF($A989&gt;='1-Input'!$C$12,'1-Input'!$B$12,0))-MIN(MAX(AA988,0),MAX(0,W946-IF($A989&gt;='1-Input'!$C$12,'1-Input'!$B$12,0))))*(1/(1-'P-Parametri'!$B$6*W989))+MIN(MAX(0,AB988-(MAX(0,W946-IF($A989&gt;='1-Input'!$C$12,'1-Input'!$B$12,0))-MIN(MAX(AA988,0),MAX(0,W946-IF($A989&gt;='1-Input'!$C$12,'1-Input'!$B$12,0))))*(1/(1-'P-Parametri'!$B$6*W989))),MAX(0,2*W946-(AA988-MIN(MAX(AA988,0),MAX(0,W946-IF($A989&gt;='1-Input'!$C$12,'1-Input'!$B$12,0)))))*(1/(1-'P-Parametri'!$B$6*W989))))</f>
        <v>0</v>
      </c>
      <c r="Y989" s="18">
        <f>IF($A989&gt;'1-Input'!$B$26,AA988,(AA988-MAX(0,W946-IF($A989&gt;='1-Input'!$C$12,'1-Input'!$B$12,0))+X989*(1-'P-Parametri'!$B$6*W989))*(1+'1-Input'!$B$27))</f>
        <v>28873.696134096885</v>
      </c>
      <c r="Z989" s="18">
        <f>IF($A989&gt;'1-Input'!$B$26,AB988,(AB988-X989)*(1+'5-Roberta'!$C$4))</f>
        <v>0</v>
      </c>
      <c r="AA989" s="18">
        <f>IF($A989&gt;'1-Input'!$B$26,Y989,Y989-'P-Parametri'!$B$8*(Z989+Y989)+MIN(MAX(Z989,0),'P-Parametri'!$B$8*(Z989+Y989)))</f>
        <v>28815.948741828692</v>
      </c>
      <c r="AB989" s="18">
        <f>IF($A989&gt;'1-Input'!$B$26,Z989,Z989-MIN(MAX(Z989,0),'P-Parametri'!$B$8*(Z989+Y989)))</f>
        <v>0</v>
      </c>
      <c r="AC989" s="18">
        <f>IF($A989&gt;'1-Input'!$B$26,AC988,AC988-X989*(1-W989))</f>
        <v>4.5474735088646412E-13</v>
      </c>
      <c r="AD989" s="11">
        <f>IF($A989&gt;'1-Input'!$B$26,0,IF(AI988&lt;=0,0,MAX(0,(AI988-AJ988)/AI988)))</f>
        <v>0.62232004104016092</v>
      </c>
      <c r="AE989" s="18">
        <f>IF($A989&gt;'1-Input'!$B$26,0,(MAX(0,AD946-IF($A989&gt;='1-Input'!$C$12,'1-Input'!$B$12,0))-MIN(MAX(AH988,0),MAX(0,AD946-IF($A989&gt;='1-Input'!$C$12,'1-Input'!$B$12,0))))*(1/(1-'P-Parametri'!$B$6*AD989))+MIN(MAX(0,AI988-(MAX(0,AD946-IF($A989&gt;='1-Input'!$C$12,'1-Input'!$B$12,0))-MIN(MAX(AH988,0),MAX(0,AD946-IF($A989&gt;='1-Input'!$C$12,'1-Input'!$B$12,0))))*(1/(1-'P-Parametri'!$B$6*AD989))),MAX(0,2*AD946-(AH988-MIN(MAX(AH988,0),MAX(0,AD946-IF($A989&gt;='1-Input'!$C$12,'1-Input'!$B$12,0)))))*(1/(1-'P-Parametri'!$B$6*AD989))))</f>
        <v>752.42443036084035</v>
      </c>
      <c r="AF989" s="18">
        <f>IF($A989&gt;'1-Input'!$B$26,AH988,(AH988-MAX(0,AD946-IF($A989&gt;='1-Input'!$C$12,'1-Input'!$B$12,0))+AE989*(1-'P-Parametri'!$B$6*AD989))*(1+'1-Input'!$B$27))</f>
        <v>30010.729560453867</v>
      </c>
      <c r="AG989" s="18">
        <f>IF($A989&gt;'1-Input'!$B$26,AI988,(AI988-AE989)*(1+'5-Roberta'!$C$4))</f>
        <v>0</v>
      </c>
      <c r="AH989" s="18">
        <f>IF($A989&gt;'1-Input'!$B$26,AF989,AF989-'P-Parametri'!$B$8*(AG989+AF989)+MIN(MAX(AG989,0),'P-Parametri'!$B$8*(AG989+AF989)))</f>
        <v>29950.708101332959</v>
      </c>
      <c r="AI989" s="18">
        <f>IF($A989&gt;'1-Input'!$B$26,AG989,AG989-MIN(MAX(AG989,0),'P-Parametri'!$B$8*(AG989+AF989)))</f>
        <v>0</v>
      </c>
      <c r="AJ989" s="18">
        <f>IF($A989&gt;'1-Input'!$B$26,AJ988,AJ988-AE989*(1-AD989))</f>
        <v>0</v>
      </c>
      <c r="AK989" s="11">
        <f>IF($A989&gt;'1-Input'!$B$26,0,IF(AP988&lt;=0,0,MAX(0,(AP988-AQ988)/AP988)))</f>
        <v>0.62082668454641521</v>
      </c>
      <c r="AL989" s="18">
        <f>IF($A989&gt;'1-Input'!$B$26,0,(MAX(0,AK946-IF($A989&gt;='1-Input'!$C$12,'1-Input'!$B$12,0))-MIN(MAX(AO988,0),MAX(0,AK946-IF($A989&gt;='1-Input'!$C$12,'1-Input'!$B$12,0))))*(1/(1-'P-Parametri'!$B$6*AK989))+MIN(MAX(0,AP988-(MAX(0,AK946-IF($A989&gt;='1-Input'!$C$12,'1-Input'!$B$12,0))-MIN(MAX(AO988,0),MAX(0,AK946-IF($A989&gt;='1-Input'!$C$12,'1-Input'!$B$12,0))))*(1/(1-'P-Parametri'!$B$6*AK989))),MAX(0,2*AK946-(AO988-MIN(MAX(AO988,0),MAX(0,AK946-IF($A989&gt;='1-Input'!$C$12,'1-Input'!$B$12,0)))))*(1/(1-'P-Parametri'!$B$6*AK989))))</f>
        <v>720.84241745387874</v>
      </c>
      <c r="AM989" s="18">
        <f>IF($A989&gt;'1-Input'!$B$26,AO988,(AO988-MAX(0,AK946-IF($A989&gt;='1-Input'!$C$12,'1-Input'!$B$12,0))+AL989*(1-'P-Parametri'!$B$6*AK989))*(1+'1-Input'!$B$27))</f>
        <v>29984.988765240643</v>
      </c>
      <c r="AN989" s="18">
        <f>IF($A989&gt;'1-Input'!$B$26,AP988,(AP988-AL989)*(1+'5-Roberta'!$C$4))</f>
        <v>0</v>
      </c>
      <c r="AO989" s="18">
        <f>IF($A989&gt;'1-Input'!$B$26,AM989,AM989-'P-Parametri'!$B$8*(AN989+AM989)+MIN(MAX(AN989,0),'P-Parametri'!$B$8*(AN989+AM989)))</f>
        <v>29925.018787710163</v>
      </c>
      <c r="AP989" s="18">
        <f>IF($A989&gt;'1-Input'!$B$26,AN989,AN989-MIN(MAX(AN989,0),'P-Parametri'!$B$8*(AN989+AM989)))</f>
        <v>0</v>
      </c>
      <c r="AQ989" s="18">
        <f>IF($A989&gt;'1-Input'!$B$26,AQ988,AQ988-AL989*(1-AK989))</f>
        <v>0</v>
      </c>
    </row>
    <row r="990" spans="1:43">
      <c r="A990" s="10">
        <f>42</f>
        <v>42</v>
      </c>
      <c r="B990" s="11">
        <f>IF($A990&gt;'1-Input'!$B$26,0,IF(G989&lt;=0,0,MAX(0,(G989-H989)/G989)))</f>
        <v>0.6730066535804925</v>
      </c>
      <c r="C990" s="18">
        <f>IF($A990&gt;'1-Input'!$B$26,0,(MAX(0,B946-IF($A990&gt;='1-Input'!$C$12,'1-Input'!$B$12,0))-MIN(MAX(F989,0),MAX(0,B946-IF($A990&gt;='1-Input'!$C$12,'1-Input'!$B$12,0))))*(1/(1-'P-Parametri'!$B$6*B990))+MIN(MAX(0,G989-(MAX(0,B946-IF($A990&gt;='1-Input'!$C$12,'1-Input'!$B$12,0))-MIN(MAX(F989,0),MAX(0,B946-IF($A990&gt;='1-Input'!$C$12,'1-Input'!$B$12,0))))*(1/(1-'P-Parametri'!$B$6*B990))),MAX(0,2*B946-(F989-MIN(MAX(F989,0),MAX(0,B946-IF($A990&gt;='1-Input'!$C$12,'1-Input'!$B$12,0)))))*(1/(1-'P-Parametri'!$B$6*B990))))</f>
        <v>6907.9184299930284</v>
      </c>
      <c r="D990" s="18">
        <f>IF($A990&gt;'1-Input'!$B$26,F989,(F989-MAX(0,B946-IF($A990&gt;='1-Input'!$C$12,'1-Input'!$B$12,0))+C990*(1-'P-Parametri'!$B$6*B990))*(1+'1-Input'!$B$27))</f>
        <v>33242.0070309863</v>
      </c>
      <c r="E990" s="18">
        <f>IF($A990&gt;'1-Input'!$B$26,G989,(G989-C990)*(1+'5-Roberta'!$C$4))</f>
        <v>157164.07797037845</v>
      </c>
      <c r="F990" s="18">
        <f>IF($A990&gt;'1-Input'!$B$26,D990,D990-'P-Parametri'!$B$8*(E990+D990)+MIN(MAX(E990,0),'P-Parametri'!$B$8*(E990+D990)))</f>
        <v>33242.007030986293</v>
      </c>
      <c r="G990" s="18">
        <f>IF($A990&gt;'1-Input'!$B$26,E990,E990-MIN(MAX(E990,0),'P-Parametri'!$B$8*(E990+D990)))</f>
        <v>156783.26580037572</v>
      </c>
      <c r="H990" s="18">
        <f>IF($A990&gt;'1-Input'!$B$26,H989,H989-C990*(1-B990))</f>
        <v>49894.764847058686</v>
      </c>
      <c r="I990" s="11">
        <f>IF($A990&gt;'1-Input'!$B$26,0,IF(N989&lt;=0,0,MAX(0,(N989-O989)/N989)))</f>
        <v>0</v>
      </c>
      <c r="J990" s="18">
        <f>IF($A990&gt;'1-Input'!$B$26,0,(MAX(0,I946-IF($A990&gt;='1-Input'!$C$12,'1-Input'!$B$12,0))-MIN(MAX(M989,0),MAX(0,I946-IF($A990&gt;='1-Input'!$C$12,'1-Input'!$B$12,0))))*(1/(1-'P-Parametri'!$B$6*I990))+MIN(MAX(0,N989-(MAX(0,I946-IF($A990&gt;='1-Input'!$C$12,'1-Input'!$B$12,0))-MIN(MAX(M989,0),MAX(0,I946-IF($A990&gt;='1-Input'!$C$12,'1-Input'!$B$12,0))))*(1/(1-'P-Parametri'!$B$6*I990))),MAX(0,2*I946-(M989-MIN(MAX(M989,0),MAX(0,I946-IF($A990&gt;='1-Input'!$C$12,'1-Input'!$B$12,0)))))*(1/(1-'P-Parametri'!$B$6*I990))))</f>
        <v>10846.756992928691</v>
      </c>
      <c r="K990" s="18">
        <f>IF($A990&gt;'1-Input'!$B$26,M989,(M989-MAX(0,I946-IF($A990&gt;='1-Input'!$C$12,'1-Input'!$B$12,0))+J990*(1-'P-Parametri'!$B$6*I990))*(1+'1-Input'!$B$27))</f>
        <v>0</v>
      </c>
      <c r="L990" s="18">
        <f>IF($A990&gt;'1-Input'!$B$26,N989,(N989-J990)*(1+'5-Roberta'!$C$4))</f>
        <v>-217322.63436580022</v>
      </c>
      <c r="M990" s="18">
        <f>IF($A990&gt;'1-Input'!$B$26,K990,K990-'P-Parametri'!$B$8*(L990+K990)+MIN(MAX(L990,0),'P-Parametri'!$B$8*(L990+K990)))</f>
        <v>0</v>
      </c>
      <c r="N990" s="18">
        <f>IF($A990&gt;'1-Input'!$B$26,L990,L990-MIN(MAX(L990,0),'P-Parametri'!$B$8*(L990+K990)))</f>
        <v>-216887.98909706861</v>
      </c>
      <c r="O990" s="18">
        <f>IF($A990&gt;'1-Input'!$B$26,O989,O989-J990*(1-I990))</f>
        <v>-170819.69438149166</v>
      </c>
      <c r="P990" s="11">
        <f>IF($A990&gt;'1-Input'!$B$26,0,IF(U989&lt;=0,0,MAX(0,(U989-V989)/U989)))</f>
        <v>0</v>
      </c>
      <c r="Q990" s="18">
        <f>IF($A990&gt;'1-Input'!$B$26,0,(MAX(0,P946-IF($A990&gt;='1-Input'!$C$12,'1-Input'!$B$12,0))-MIN(MAX(T989,0),MAX(0,P946-IF($A990&gt;='1-Input'!$C$12,'1-Input'!$B$12,0))))*(1/(1-'P-Parametri'!$B$6*P990))+MIN(MAX(0,U989-(MAX(0,P946-IF($A990&gt;='1-Input'!$C$12,'1-Input'!$B$12,0))-MIN(MAX(T989,0),MAX(0,P946-IF($A990&gt;='1-Input'!$C$12,'1-Input'!$B$12,0))))*(1/(1-'P-Parametri'!$B$6*P990))),MAX(0,2*P946-(T989-MIN(MAX(T989,0),MAX(0,P946-IF($A990&gt;='1-Input'!$C$12,'1-Input'!$B$12,0)))))*(1/(1-'P-Parametri'!$B$6*P990))))</f>
        <v>0</v>
      </c>
      <c r="R990" s="18">
        <f>IF($A990&gt;'1-Input'!$B$26,T989,(T989-MAX(0,P946-IF($A990&gt;='1-Input'!$C$12,'1-Input'!$B$12,0))+Q990*(1-'P-Parametri'!$B$6*P990))*(1+'1-Input'!$B$27))</f>
        <v>3409.4933367428935</v>
      </c>
      <c r="S990" s="18">
        <f>IF($A990&gt;'1-Input'!$B$26,U989,(U989-Q990)*(1+'5-Roberta'!$C$4))</f>
        <v>0</v>
      </c>
      <c r="T990" s="18">
        <f>IF($A990&gt;'1-Input'!$B$26,R990,R990-'P-Parametri'!$B$8*(S990+R990)+MIN(MAX(S990,0),'P-Parametri'!$B$8*(S990+R990)))</f>
        <v>3402.6743500694079</v>
      </c>
      <c r="U990" s="18">
        <f>IF($A990&gt;'1-Input'!$B$26,S990,S990-MIN(MAX(S990,0),'P-Parametri'!$B$8*(S990+R990)))</f>
        <v>0</v>
      </c>
      <c r="V990" s="18">
        <f>IF($A990&gt;'1-Input'!$B$26,V989,V989-Q990*(1-P990))</f>
        <v>4.5474735088646412E-13</v>
      </c>
      <c r="W990" s="11">
        <f>IF($A990&gt;'1-Input'!$B$26,0,IF(AB989&lt;=0,0,MAX(0,(AB989-AC989)/AB989)))</f>
        <v>0</v>
      </c>
      <c r="X990" s="18">
        <f>IF($A990&gt;'1-Input'!$B$26,0,(MAX(0,W946-IF($A990&gt;='1-Input'!$C$12,'1-Input'!$B$12,0))-MIN(MAX(AA989,0),MAX(0,W946-IF($A990&gt;='1-Input'!$C$12,'1-Input'!$B$12,0))))*(1/(1-'P-Parametri'!$B$6*W990))+MIN(MAX(0,AB989-(MAX(0,W946-IF($A990&gt;='1-Input'!$C$12,'1-Input'!$B$12,0))-MIN(MAX(AA989,0),MAX(0,W946-IF($A990&gt;='1-Input'!$C$12,'1-Input'!$B$12,0))))*(1/(1-'P-Parametri'!$B$6*W990))),MAX(0,2*W946-(AA989-MIN(MAX(AA989,0),MAX(0,W946-IF($A990&gt;='1-Input'!$C$12,'1-Input'!$B$12,0)))))*(1/(1-'P-Parametri'!$B$6*W990))))</f>
        <v>0</v>
      </c>
      <c r="Y990" s="18">
        <f>IF($A990&gt;'1-Input'!$B$26,AA989,(AA989-MAX(0,W946-IF($A990&gt;='1-Input'!$C$12,'1-Input'!$B$12,0))+X990*(1-'P-Parametri'!$B$6*W990))*(1+'1-Input'!$B$27))</f>
        <v>21305.285797642824</v>
      </c>
      <c r="Z990" s="18">
        <f>IF($A990&gt;'1-Input'!$B$26,AB989,(AB989-X990)*(1+'5-Roberta'!$C$4))</f>
        <v>0</v>
      </c>
      <c r="AA990" s="18">
        <f>IF($A990&gt;'1-Input'!$B$26,Y990,Y990-'P-Parametri'!$B$8*(Z990+Y990)+MIN(MAX(Z990,0),'P-Parametri'!$B$8*(Z990+Y990)))</f>
        <v>21262.675226047537</v>
      </c>
      <c r="AB990" s="18">
        <f>IF($A990&gt;'1-Input'!$B$26,Z990,Z990-MIN(MAX(Z990,0),'P-Parametri'!$B$8*(Z990+Y990)))</f>
        <v>0</v>
      </c>
      <c r="AC990" s="18">
        <f>IF($A990&gt;'1-Input'!$B$26,AC989,AC989-X990*(1-W990))</f>
        <v>4.5474735088646412E-13</v>
      </c>
      <c r="AD990" s="11">
        <f>IF($A990&gt;'1-Input'!$B$26,0,IF(AI989&lt;=0,0,MAX(0,(AI989-AJ989)/AI989)))</f>
        <v>0</v>
      </c>
      <c r="AE990" s="18">
        <f>IF($A990&gt;'1-Input'!$B$26,0,(MAX(0,AD946-IF($A990&gt;='1-Input'!$C$12,'1-Input'!$B$12,0))-MIN(MAX(AH989,0),MAX(0,AD946-IF($A990&gt;='1-Input'!$C$12,'1-Input'!$B$12,0))))*(1/(1-'P-Parametri'!$B$6*AD990))+MIN(MAX(0,AI989-(MAX(0,AD946-IF($A990&gt;='1-Input'!$C$12,'1-Input'!$B$12,0))-MIN(MAX(AH989,0),MAX(0,AD946-IF($A990&gt;='1-Input'!$C$12,'1-Input'!$B$12,0))))*(1/(1-'P-Parametri'!$B$6*AD990))),MAX(0,2*AD946-(AH989-MIN(MAX(AH989,0),MAX(0,AD946-IF($A990&gt;='1-Input'!$C$12,'1-Input'!$B$12,0)))))*(1/(1-'P-Parametri'!$B$6*AD990))))</f>
        <v>0</v>
      </c>
      <c r="AF990" s="18">
        <f>IF($A990&gt;'1-Input'!$B$26,AH989,(AH989-MAX(0,AD946-IF($A990&gt;='1-Input'!$C$12,'1-Input'!$B$12,0))+AE990*(1-'P-Parametri'!$B$6*AD990))*(1+'1-Input'!$B$27))</f>
        <v>22451.76820532835</v>
      </c>
      <c r="AG990" s="18">
        <f>IF($A990&gt;'1-Input'!$B$26,AI989,(AI989-AE990)*(1+'5-Roberta'!$C$4))</f>
        <v>0</v>
      </c>
      <c r="AH990" s="18">
        <f>IF($A990&gt;'1-Input'!$B$26,AF990,AF990-'P-Parametri'!$B$8*(AG990+AF990)+MIN(MAX(AG990,0),'P-Parametri'!$B$8*(AG990+AF990)))</f>
        <v>22406.864668917693</v>
      </c>
      <c r="AI990" s="18">
        <f>IF($A990&gt;'1-Input'!$B$26,AG990,AG990-MIN(MAX(AG990,0),'P-Parametri'!$B$8*(AG990+AF990)))</f>
        <v>0</v>
      </c>
      <c r="AJ990" s="18">
        <f>IF($A990&gt;'1-Input'!$B$26,AJ989,AJ989-AE990*(1-AD990))</f>
        <v>0</v>
      </c>
      <c r="AK990" s="11">
        <f>IF($A990&gt;'1-Input'!$B$26,0,IF(AP989&lt;=0,0,MAX(0,(AP989-AQ989)/AP989)))</f>
        <v>0</v>
      </c>
      <c r="AL990" s="18">
        <f>IF($A990&gt;'1-Input'!$B$26,0,(MAX(0,AK946-IF($A990&gt;='1-Input'!$C$12,'1-Input'!$B$12,0))-MIN(MAX(AO989,0),MAX(0,AK946-IF($A990&gt;='1-Input'!$C$12,'1-Input'!$B$12,0))))*(1/(1-'P-Parametri'!$B$6*AK990))+MIN(MAX(0,AP989-(MAX(0,AK946-IF($A990&gt;='1-Input'!$C$12,'1-Input'!$B$12,0))-MIN(MAX(AO989,0),MAX(0,AK946-IF($A990&gt;='1-Input'!$C$12,'1-Input'!$B$12,0))))*(1/(1-'P-Parametri'!$B$6*AK990))),MAX(0,2*AK946-(AO989-MIN(MAX(AO989,0),MAX(0,AK946-IF($A990&gt;='1-Input'!$C$12,'1-Input'!$B$12,0)))))*(1/(1-'P-Parametri'!$B$6*AK990))))</f>
        <v>0</v>
      </c>
      <c r="AM990" s="18">
        <f>IF($A990&gt;'1-Input'!$B$26,AO989,(AO989-MAX(0,AK946-IF($A990&gt;='1-Input'!$C$12,'1-Input'!$B$12,0))+AL990*(1-'P-Parametri'!$B$6*AK990))*(1+'1-Input'!$B$27))</f>
        <v>22425.811812625798</v>
      </c>
      <c r="AN990" s="18">
        <f>IF($A990&gt;'1-Input'!$B$26,AP989,(AP989-AL990)*(1+'5-Roberta'!$C$4))</f>
        <v>0</v>
      </c>
      <c r="AO990" s="18">
        <f>IF($A990&gt;'1-Input'!$B$26,AM990,AM990-'P-Parametri'!$B$8*(AN990+AM990)+MIN(MAX(AN990,0),'P-Parametri'!$B$8*(AN990+AM990)))</f>
        <v>22380.960189000547</v>
      </c>
      <c r="AP990" s="18">
        <f>IF($A990&gt;'1-Input'!$B$26,AN990,AN990-MIN(MAX(AN990,0),'P-Parametri'!$B$8*(AN990+AM990)))</f>
        <v>0</v>
      </c>
      <c r="AQ990" s="18">
        <f>IF($A990&gt;'1-Input'!$B$26,AQ989,AQ989-AL990*(1-AK990))</f>
        <v>0</v>
      </c>
    </row>
    <row r="991" spans="1:43">
      <c r="A991" s="10">
        <f>43</f>
        <v>43</v>
      </c>
      <c r="B991" s="11">
        <f>IF($A991&gt;'1-Input'!$B$26,0,IF(G990&lt;=0,0,MAX(0,(G990-H990)/G990)))</f>
        <v>0.68175962790195233</v>
      </c>
      <c r="C991" s="18">
        <f>IF($A991&gt;'1-Input'!$B$26,0,(MAX(0,B946-IF($A991&gt;='1-Input'!$C$12,'1-Input'!$B$12,0))-MIN(MAX(F990,0),MAX(0,B946-IF($A991&gt;='1-Input'!$C$12,'1-Input'!$B$12,0))))*(1/(1-'P-Parametri'!$B$6*B991))+MIN(MAX(0,G990-(MAX(0,B946-IF($A991&gt;='1-Input'!$C$12,'1-Input'!$B$12,0))-MIN(MAX(F990,0),MAX(0,B946-IF($A991&gt;='1-Input'!$C$12,'1-Input'!$B$12,0))))*(1/(1-'P-Parametri'!$B$6*B991))),MAX(0,2*B946-(F990-MIN(MAX(F990,0),MAX(0,B946-IF($A991&gt;='1-Input'!$C$12,'1-Input'!$B$12,0)))))*(1/(1-'P-Parametri'!$B$6*B991))))</f>
        <v>6927.0262997659347</v>
      </c>
      <c r="D991" s="18">
        <f>IF($A991&gt;'1-Input'!$B$26,F990,(F990-MAX(0,B946-IF($A991&gt;='1-Input'!$C$12,'1-Input'!$B$12,0))+C991*(1-'P-Parametri'!$B$6*B991))*(1+'1-Input'!$B$27))</f>
        <v>33242.0070309863</v>
      </c>
      <c r="E991" s="18">
        <f>IF($A991&gt;'1-Input'!$B$26,G990,(G990-C991)*(1+'5-Roberta'!$C$4))</f>
        <v>154351.92668562807</v>
      </c>
      <c r="F991" s="18">
        <f>IF($A991&gt;'1-Input'!$B$26,D991,D991-'P-Parametri'!$B$8*(E991+D991)+MIN(MAX(E991,0),'P-Parametri'!$B$8*(E991+D991)))</f>
        <v>33242.0070309863</v>
      </c>
      <c r="G991" s="18">
        <f>IF($A991&gt;'1-Input'!$B$26,E991,E991-MIN(MAX(E991,0),'P-Parametri'!$B$8*(E991+D991)))</f>
        <v>153976.73881819483</v>
      </c>
      <c r="H991" s="18">
        <f>IF($A991&gt;'1-Input'!$B$26,H990,H990-C991*(1-B991))</f>
        <v>47690.305419888216</v>
      </c>
      <c r="I991" s="11">
        <f>IF($A991&gt;'1-Input'!$B$26,0,IF(N990&lt;=0,0,MAX(0,(N990-O990)/N990)))</f>
        <v>0</v>
      </c>
      <c r="J991" s="18">
        <f>IF($A991&gt;'1-Input'!$B$26,0,(MAX(0,I946-IF($A991&gt;='1-Input'!$C$12,'1-Input'!$B$12,0))-MIN(MAX(M990,0),MAX(0,I946-IF($A991&gt;='1-Input'!$C$12,'1-Input'!$B$12,0))))*(1/(1-'P-Parametri'!$B$6*I991))+MIN(MAX(0,N990-(MAX(0,I946-IF($A991&gt;='1-Input'!$C$12,'1-Input'!$B$12,0))-MIN(MAX(M990,0),MAX(0,I946-IF($A991&gt;='1-Input'!$C$12,'1-Input'!$B$12,0))))*(1/(1-'P-Parametri'!$B$6*I991))),MAX(0,2*I946-(M990-MIN(MAX(M990,0),MAX(0,I946-IF($A991&gt;='1-Input'!$C$12,'1-Input'!$B$12,0)))))*(1/(1-'P-Parametri'!$B$6*I991))))</f>
        <v>10846.756992928691</v>
      </c>
      <c r="K991" s="18">
        <f>IF($A991&gt;'1-Input'!$B$26,M990,(M990-MAX(0,I946-IF($A991&gt;='1-Input'!$C$12,'1-Input'!$B$12,0))+J991*(1-'P-Parametri'!$B$6*I991))*(1+'1-Input'!$B$27))</f>
        <v>0</v>
      </c>
      <c r="L991" s="18">
        <f>IF($A991&gt;'1-Input'!$B$26,N990,(N990-J991)*(1+'5-Roberta'!$C$4))</f>
        <v>-234566.78847269723</v>
      </c>
      <c r="M991" s="18">
        <f>IF($A991&gt;'1-Input'!$B$26,K991,K991-'P-Parametri'!$B$8*(L991+K991)+MIN(MAX(L991,0),'P-Parametri'!$B$8*(L991+K991)))</f>
        <v>0</v>
      </c>
      <c r="N991" s="18">
        <f>IF($A991&gt;'1-Input'!$B$26,L991,L991-MIN(MAX(L991,0),'P-Parametri'!$B$8*(L991+K991)))</f>
        <v>-234097.65489575182</v>
      </c>
      <c r="O991" s="18">
        <f>IF($A991&gt;'1-Input'!$B$26,O990,O990-J991*(1-I991))</f>
        <v>-181666.45137442034</v>
      </c>
      <c r="P991" s="11">
        <f>IF($A991&gt;'1-Input'!$B$26,0,IF(U990&lt;=0,0,MAX(0,(U990-V990)/U990)))</f>
        <v>0</v>
      </c>
      <c r="Q991" s="18">
        <f>IF($A991&gt;'1-Input'!$B$26,0,(MAX(0,P946-IF($A991&gt;='1-Input'!$C$12,'1-Input'!$B$12,0))-MIN(MAX(T990,0),MAX(0,P946-IF($A991&gt;='1-Input'!$C$12,'1-Input'!$B$12,0))))*(1/(1-'P-Parametri'!$B$6*P991))+MIN(MAX(0,U990-(MAX(0,P946-IF($A991&gt;='1-Input'!$C$12,'1-Input'!$B$12,0))-MIN(MAX(T990,0),MAX(0,P946-IF($A991&gt;='1-Input'!$C$12,'1-Input'!$B$12,0))))*(1/(1-'P-Parametri'!$B$6*P991))),MAX(0,2*P946-(T990-MIN(MAX(T990,0),MAX(0,P946-IF($A991&gt;='1-Input'!$C$12,'1-Input'!$B$12,0)))))*(1/(1-'P-Parametri'!$B$6*P991))))</f>
        <v>4292.7662257956235</v>
      </c>
      <c r="R991" s="18">
        <f>IF($A991&gt;'1-Input'!$B$26,T990,(T990-MAX(0,P946-IF($A991&gt;='1-Input'!$C$12,'1-Input'!$B$12,0))+Q991*(1-'P-Parametri'!$B$6*P991))*(1+'1-Input'!$B$27))</f>
        <v>0</v>
      </c>
      <c r="S991" s="18">
        <f>IF($A991&gt;'1-Input'!$B$26,U990,(U990-Q991)*(1+'5-Roberta'!$C$4))</f>
        <v>-4421.5492125694927</v>
      </c>
      <c r="T991" s="18">
        <f>IF($A991&gt;'1-Input'!$B$26,R991,R991-'P-Parametri'!$B$8*(S991+R991)+MIN(MAX(S991,0),'P-Parametri'!$B$8*(S991+R991)))</f>
        <v>0</v>
      </c>
      <c r="U991" s="18">
        <f>IF($A991&gt;'1-Input'!$B$26,S991,S991-MIN(MAX(S991,0),'P-Parametri'!$B$8*(S991+R991)))</f>
        <v>-4412.7061141443537</v>
      </c>
      <c r="V991" s="18">
        <f>IF($A991&gt;'1-Input'!$B$26,V990,V990-Q991*(1-P991))</f>
        <v>-4292.7662257956235</v>
      </c>
      <c r="W991" s="11">
        <f>IF($A991&gt;'1-Input'!$B$26,0,IF(AB990&lt;=0,0,MAX(0,(AB990-AC990)/AB990)))</f>
        <v>0</v>
      </c>
      <c r="X991" s="18">
        <f>IF($A991&gt;'1-Input'!$B$26,0,(MAX(0,W946-IF($A991&gt;='1-Input'!$C$12,'1-Input'!$B$12,0))-MIN(MAX(AA990,0),MAX(0,W946-IF($A991&gt;='1-Input'!$C$12,'1-Input'!$B$12,0))))*(1/(1-'P-Parametri'!$B$6*W991))+MIN(MAX(0,AB990-(MAX(0,W946-IF($A991&gt;='1-Input'!$C$12,'1-Input'!$B$12,0))-MIN(MAX(AA990,0),MAX(0,W946-IF($A991&gt;='1-Input'!$C$12,'1-Input'!$B$12,0))))*(1/(1-'P-Parametri'!$B$6*W991))),MAX(0,2*W946-(AA990-MIN(MAX(AA990,0),MAX(0,W946-IF($A991&gt;='1-Input'!$C$12,'1-Input'!$B$12,0)))))*(1/(1-'P-Parametri'!$B$6*W991))))</f>
        <v>0</v>
      </c>
      <c r="Y991" s="18">
        <f>IF($A991&gt;'1-Input'!$B$26,AA990,(AA990-MAX(0,W946-IF($A991&gt;='1-Input'!$C$12,'1-Input'!$B$12,0))+X991*(1-'P-Parametri'!$B$6*W991))*(1+'1-Input'!$B$27))</f>
        <v>13779.204066518483</v>
      </c>
      <c r="Z991" s="18">
        <f>IF($A991&gt;'1-Input'!$B$26,AB990,(AB990-X991)*(1+'5-Roberta'!$C$4))</f>
        <v>0</v>
      </c>
      <c r="AA991" s="18">
        <f>IF($A991&gt;'1-Input'!$B$26,Y991,Y991-'P-Parametri'!$B$8*(Z991+Y991)+MIN(MAX(Z991,0),'P-Parametri'!$B$8*(Z991+Y991)))</f>
        <v>13751.645658385447</v>
      </c>
      <c r="AB991" s="18">
        <f>IF($A991&gt;'1-Input'!$B$26,Z991,Z991-MIN(MAX(Z991,0),'P-Parametri'!$B$8*(Z991+Y991)))</f>
        <v>0</v>
      </c>
      <c r="AC991" s="18">
        <f>IF($A991&gt;'1-Input'!$B$26,AC990,AC990-X991*(1-W991))</f>
        <v>4.5474735088646412E-13</v>
      </c>
      <c r="AD991" s="11">
        <f>IF($A991&gt;'1-Input'!$B$26,0,IF(AI990&lt;=0,0,MAX(0,(AI990-AJ990)/AI990)))</f>
        <v>0</v>
      </c>
      <c r="AE991" s="18">
        <f>IF($A991&gt;'1-Input'!$B$26,0,(MAX(0,AD946-IF($A991&gt;='1-Input'!$C$12,'1-Input'!$B$12,0))-MIN(MAX(AH990,0),MAX(0,AD946-IF($A991&gt;='1-Input'!$C$12,'1-Input'!$B$12,0))))*(1/(1-'P-Parametri'!$B$6*AD991))+MIN(MAX(0,AI990-(MAX(0,AD946-IF($A991&gt;='1-Input'!$C$12,'1-Input'!$B$12,0))-MIN(MAX(AH990,0),MAX(0,AD946-IF($A991&gt;='1-Input'!$C$12,'1-Input'!$B$12,0))))*(1/(1-'P-Parametri'!$B$6*AD991))),MAX(0,2*AD946-(AH990-MIN(MAX(AH990,0),MAX(0,AD946-IF($A991&gt;='1-Input'!$C$12,'1-Input'!$B$12,0)))))*(1/(1-'P-Parametri'!$B$6*AD991))))</f>
        <v>0</v>
      </c>
      <c r="AF991" s="18">
        <f>IF($A991&gt;'1-Input'!$B$26,AH990,(AH990-MAX(0,AD946-IF($A991&gt;='1-Input'!$C$12,'1-Input'!$B$12,0))+AE991*(1-'P-Parametri'!$B$6*AD991))*(1+'1-Input'!$B$27))</f>
        <v>14935.082609269779</v>
      </c>
      <c r="AG991" s="18">
        <f>IF($A991&gt;'1-Input'!$B$26,AI990,(AI990-AE991)*(1+'5-Roberta'!$C$4))</f>
        <v>0</v>
      </c>
      <c r="AH991" s="18">
        <f>IF($A991&gt;'1-Input'!$B$26,AF991,AF991-'P-Parametri'!$B$8*(AG991+AF991)+MIN(MAX(AG991,0),'P-Parametri'!$B$8*(AG991+AF991)))</f>
        <v>14905.21244405124</v>
      </c>
      <c r="AI991" s="18">
        <f>IF($A991&gt;'1-Input'!$B$26,AG991,AG991-MIN(MAX(AG991,0),'P-Parametri'!$B$8*(AG991+AF991)))</f>
        <v>0</v>
      </c>
      <c r="AJ991" s="18">
        <f>IF($A991&gt;'1-Input'!$B$26,AJ990,AJ990-AE991*(1-AD991))</f>
        <v>0</v>
      </c>
      <c r="AK991" s="11">
        <f>IF($A991&gt;'1-Input'!$B$26,0,IF(AP990&lt;=0,0,MAX(0,(AP990-AQ990)/AP990)))</f>
        <v>0</v>
      </c>
      <c r="AL991" s="18">
        <f>IF($A991&gt;'1-Input'!$B$26,0,(MAX(0,AK946-IF($A991&gt;='1-Input'!$C$12,'1-Input'!$B$12,0))-MIN(MAX(AO990,0),MAX(0,AK946-IF($A991&gt;='1-Input'!$C$12,'1-Input'!$B$12,0))))*(1/(1-'P-Parametri'!$B$6*AK991))+MIN(MAX(0,AP990-(MAX(0,AK946-IF($A991&gt;='1-Input'!$C$12,'1-Input'!$B$12,0))-MIN(MAX(AO990,0),MAX(0,AK946-IF($A991&gt;='1-Input'!$C$12,'1-Input'!$B$12,0))))*(1/(1-'P-Parametri'!$B$6*AK991))),MAX(0,2*AK946-(AO990-MIN(MAX(AO990,0),MAX(0,AK946-IF($A991&gt;='1-Input'!$C$12,'1-Input'!$B$12,0)))))*(1/(1-'P-Parametri'!$B$6*AK991))))</f>
        <v>0</v>
      </c>
      <c r="AM991" s="18">
        <f>IF($A991&gt;'1-Input'!$B$26,AO990,(AO990-MAX(0,AK946-IF($A991&gt;='1-Input'!$C$12,'1-Input'!$B$12,0))+AL991*(1-'P-Parametri'!$B$6*AK991))*(1+'1-Input'!$B$27))</f>
        <v>14908.911824871539</v>
      </c>
      <c r="AN991" s="18">
        <f>IF($A991&gt;'1-Input'!$B$26,AP990,(AP990-AL991)*(1+'5-Roberta'!$C$4))</f>
        <v>0</v>
      </c>
      <c r="AO991" s="18">
        <f>IF($A991&gt;'1-Input'!$B$26,AM991,AM991-'P-Parametri'!$B$8*(AN991+AM991)+MIN(MAX(AN991,0),'P-Parametri'!$B$8*(AN991+AM991)))</f>
        <v>14879.094001221796</v>
      </c>
      <c r="AP991" s="18">
        <f>IF($A991&gt;'1-Input'!$B$26,AN991,AN991-MIN(MAX(AN991,0),'P-Parametri'!$B$8*(AN991+AM991)))</f>
        <v>0</v>
      </c>
      <c r="AQ991" s="18">
        <f>IF($A991&gt;'1-Input'!$B$26,AQ990,AQ990-AL991*(1-AK991))</f>
        <v>0</v>
      </c>
    </row>
    <row r="992" spans="1:43">
      <c r="A992" s="10">
        <f>44</f>
        <v>44</v>
      </c>
      <c r="B992" s="11">
        <f>IF($A992&gt;'1-Input'!$B$26,0,IF(G991&lt;=0,0,MAX(0,(G991-H991)/G991)))</f>
        <v>0.69027590929693827</v>
      </c>
      <c r="C992" s="18">
        <f>IF($A992&gt;'1-Input'!$B$26,0,(MAX(0,B946-IF($A992&gt;='1-Input'!$C$12,'1-Input'!$B$12,0))-MIN(MAX(F991,0),MAX(0,B946-IF($A992&gt;='1-Input'!$C$12,'1-Input'!$B$12,0))))*(1/(1-'P-Parametri'!$B$6*B992))+MIN(MAX(0,G991-(MAX(0,B946-IF($A992&gt;='1-Input'!$C$12,'1-Input'!$B$12,0))-MIN(MAX(F991,0),MAX(0,B946-IF($A992&gt;='1-Input'!$C$12,'1-Input'!$B$12,0))))*(1/(1-'P-Parametri'!$B$6*B992))),MAX(0,2*B946-(F991-MIN(MAX(F991,0),MAX(0,B946-IF($A992&gt;='1-Input'!$C$12,'1-Input'!$B$12,0)))))*(1/(1-'P-Parametri'!$B$6*B992))))</f>
        <v>6945.7191980273928</v>
      </c>
      <c r="D992" s="18">
        <f>IF($A992&gt;'1-Input'!$B$26,F991,(F991-MAX(0,B946-IF($A992&gt;='1-Input'!$C$12,'1-Input'!$B$12,0))+C992*(1-'P-Parametri'!$B$6*B992))*(1+'1-Input'!$B$27))</f>
        <v>33242.0070309863</v>
      </c>
      <c r="E992" s="18">
        <f>IF($A992&gt;'1-Input'!$B$26,G991,(G991-C992)*(1+'5-Roberta'!$C$4))</f>
        <v>151441.95020877247</v>
      </c>
      <c r="F992" s="18">
        <f>IF($A992&gt;'1-Input'!$B$26,D992,D992-'P-Parametri'!$B$8*(E992+D992)+MIN(MAX(E992,0),'P-Parametri'!$B$8*(E992+D992)))</f>
        <v>33242.0070309863</v>
      </c>
      <c r="G992" s="18">
        <f>IF($A992&gt;'1-Input'!$B$26,E992,E992-MIN(MAX(E992,0),'P-Parametri'!$B$8*(E992+D992)))</f>
        <v>151072.58229429295</v>
      </c>
      <c r="H992" s="18">
        <f>IF($A992&gt;'1-Input'!$B$26,H991,H991-C992*(1-B992))</f>
        <v>45539.04885700038</v>
      </c>
      <c r="I992" s="11">
        <f>IF($A992&gt;'1-Input'!$B$26,0,IF(N991&lt;=0,0,MAX(0,(N991-O991)/N991)))</f>
        <v>0</v>
      </c>
      <c r="J992" s="18">
        <f>IF($A992&gt;'1-Input'!$B$26,0,(MAX(0,I946-IF($A992&gt;='1-Input'!$C$12,'1-Input'!$B$12,0))-MIN(MAX(M991,0),MAX(0,I946-IF($A992&gt;='1-Input'!$C$12,'1-Input'!$B$12,0))))*(1/(1-'P-Parametri'!$B$6*I992))+MIN(MAX(0,N991-(MAX(0,I946-IF($A992&gt;='1-Input'!$C$12,'1-Input'!$B$12,0))-MIN(MAX(M991,0),MAX(0,I946-IF($A992&gt;='1-Input'!$C$12,'1-Input'!$B$12,0))))*(1/(1-'P-Parametri'!$B$6*I992))),MAX(0,2*I946-(M991-MIN(MAX(M991,0),MAX(0,I946-IF($A992&gt;='1-Input'!$C$12,'1-Input'!$B$12,0)))))*(1/(1-'P-Parametri'!$B$6*I992))))</f>
        <v>10846.756992928691</v>
      </c>
      <c r="K992" s="18">
        <f>IF($A992&gt;'1-Input'!$B$26,M991,(M991-MAX(0,I946-IF($A992&gt;='1-Input'!$C$12,'1-Input'!$B$12,0))+J992*(1-'P-Parametri'!$B$6*I992))*(1+'1-Input'!$B$27))</f>
        <v>0</v>
      </c>
      <c r="L992" s="18">
        <f>IF($A992&gt;'1-Input'!$B$26,N991,(N991-J992)*(1+'5-Roberta'!$C$4))</f>
        <v>-252292.74424534093</v>
      </c>
      <c r="M992" s="18">
        <f>IF($A992&gt;'1-Input'!$B$26,K992,K992-'P-Parametri'!$B$8*(L992+K992)+MIN(MAX(L992,0),'P-Parametri'!$B$8*(L992+K992)))</f>
        <v>0</v>
      </c>
      <c r="N992" s="18">
        <f>IF($A992&gt;'1-Input'!$B$26,L992,L992-MIN(MAX(L992,0),'P-Parametri'!$B$8*(L992+K992)))</f>
        <v>-251788.15875685026</v>
      </c>
      <c r="O992" s="18">
        <f>IF($A992&gt;'1-Input'!$B$26,O991,O991-J992*(1-I992))</f>
        <v>-192513.20836734903</v>
      </c>
      <c r="P992" s="11">
        <f>IF($A992&gt;'1-Input'!$B$26,0,IF(U991&lt;=0,0,MAX(0,(U991-V991)/U991)))</f>
        <v>0</v>
      </c>
      <c r="Q992" s="18">
        <f>IF($A992&gt;'1-Input'!$B$26,0,(MAX(0,P946-IF($A992&gt;='1-Input'!$C$12,'1-Input'!$B$12,0))-MIN(MAX(T991,0),MAX(0,P946-IF($A992&gt;='1-Input'!$C$12,'1-Input'!$B$12,0))))*(1/(1-'P-Parametri'!$B$6*P992))+MIN(MAX(0,U991-(MAX(0,P946-IF($A992&gt;='1-Input'!$C$12,'1-Input'!$B$12,0))-MIN(MAX(T991,0),MAX(0,P946-IF($A992&gt;='1-Input'!$C$12,'1-Input'!$B$12,0))))*(1/(1-'P-Parametri'!$B$6*P992))),MAX(0,2*P946-(T991-MIN(MAX(T991,0),MAX(0,P946-IF($A992&gt;='1-Input'!$C$12,'1-Input'!$B$12,0)))))*(1/(1-'P-Parametri'!$B$6*P992))))</f>
        <v>7695.4405758650319</v>
      </c>
      <c r="R992" s="18">
        <f>IF($A992&gt;'1-Input'!$B$26,T991,(T991-MAX(0,P946-IF($A992&gt;='1-Input'!$C$12,'1-Input'!$B$12,0))+Q992*(1-'P-Parametri'!$B$6*P992))*(1+'1-Input'!$B$27))</f>
        <v>0</v>
      </c>
      <c r="S992" s="18">
        <f>IF($A992&gt;'1-Input'!$B$26,U991,(U991-Q992)*(1+'5-Roberta'!$C$4))</f>
        <v>-12471.391090709667</v>
      </c>
      <c r="T992" s="18">
        <f>IF($A992&gt;'1-Input'!$B$26,R992,R992-'P-Parametri'!$B$8*(S992+R992)+MIN(MAX(S992,0),'P-Parametri'!$B$8*(S992+R992)))</f>
        <v>0</v>
      </c>
      <c r="U992" s="18">
        <f>IF($A992&gt;'1-Input'!$B$26,S992,S992-MIN(MAX(S992,0),'P-Parametri'!$B$8*(S992+R992)))</f>
        <v>-12446.448308528248</v>
      </c>
      <c r="V992" s="18">
        <f>IF($A992&gt;'1-Input'!$B$26,V991,V991-Q992*(1-P992))</f>
        <v>-11988.206801660655</v>
      </c>
      <c r="W992" s="11">
        <f>IF($A992&gt;'1-Input'!$B$26,0,IF(AB991&lt;=0,0,MAX(0,(AB991-AC991)/AB991)))</f>
        <v>0</v>
      </c>
      <c r="X992" s="18">
        <f>IF($A992&gt;'1-Input'!$B$26,0,(MAX(0,W946-IF($A992&gt;='1-Input'!$C$12,'1-Input'!$B$12,0))-MIN(MAX(AA991,0),MAX(0,W946-IF($A992&gt;='1-Input'!$C$12,'1-Input'!$B$12,0))))*(1/(1-'P-Parametri'!$B$6*W992))+MIN(MAX(0,AB991-(MAX(0,W946-IF($A992&gt;='1-Input'!$C$12,'1-Input'!$B$12,0))-MIN(MAX(AA991,0),MAX(0,W946-IF($A992&gt;='1-Input'!$C$12,'1-Input'!$B$12,0))))*(1/(1-'P-Parametri'!$B$6*W992))),MAX(0,2*W946-(AA991-MIN(MAX(AA991,0),MAX(0,W946-IF($A992&gt;='1-Input'!$C$12,'1-Input'!$B$12,0)))))*(1/(1-'P-Parametri'!$B$6*W992))))</f>
        <v>0</v>
      </c>
      <c r="Y992" s="18">
        <f>IF($A992&gt;'1-Input'!$B$26,AA991,(AA991-MAX(0,W946-IF($A992&gt;='1-Input'!$C$12,'1-Input'!$B$12,0))+X992*(1-'P-Parametri'!$B$6*W992))*(1+'1-Input'!$B$27))</f>
        <v>6295.2142052999761</v>
      </c>
      <c r="Z992" s="18">
        <f>IF($A992&gt;'1-Input'!$B$26,AB991,(AB991-X992)*(1+'5-Roberta'!$C$4))</f>
        <v>0</v>
      </c>
      <c r="AA992" s="18">
        <f>IF($A992&gt;'1-Input'!$B$26,Y992,Y992-'P-Parametri'!$B$8*(Z992+Y992)+MIN(MAX(Z992,0),'P-Parametri'!$B$8*(Z992+Y992)))</f>
        <v>6282.6237768893761</v>
      </c>
      <c r="AB992" s="18">
        <f>IF($A992&gt;'1-Input'!$B$26,Z992,Z992-MIN(MAX(Z992,0),'P-Parametri'!$B$8*(Z992+Y992)))</f>
        <v>0</v>
      </c>
      <c r="AC992" s="18">
        <f>IF($A992&gt;'1-Input'!$B$26,AC991,AC991-X992*(1-W992))</f>
        <v>4.5474735088646412E-13</v>
      </c>
      <c r="AD992" s="11">
        <f>IF($A992&gt;'1-Input'!$B$26,0,IF(AI991&lt;=0,0,MAX(0,(AI991-AJ991)/AI991)))</f>
        <v>0</v>
      </c>
      <c r="AE992" s="18">
        <f>IF($A992&gt;'1-Input'!$B$26,0,(MAX(0,AD946-IF($A992&gt;='1-Input'!$C$12,'1-Input'!$B$12,0))-MIN(MAX(AH991,0),MAX(0,AD946-IF($A992&gt;='1-Input'!$C$12,'1-Input'!$B$12,0))))*(1/(1-'P-Parametri'!$B$6*AD992))+MIN(MAX(0,AI991-(MAX(0,AD946-IF($A992&gt;='1-Input'!$C$12,'1-Input'!$B$12,0))-MIN(MAX(AH991,0),MAX(0,AD946-IF($A992&gt;='1-Input'!$C$12,'1-Input'!$B$12,0))))*(1/(1-'P-Parametri'!$B$6*AD992))),MAX(0,2*AD946-(AH991-MIN(MAX(AH991,0),MAX(0,AD946-IF($A992&gt;='1-Input'!$C$12,'1-Input'!$B$12,0)))))*(1/(1-'P-Parametri'!$B$6*AD992))))</f>
        <v>0</v>
      </c>
      <c r="AF992" s="18">
        <f>IF($A992&gt;'1-Input'!$B$26,AH991,(AH991-MAX(0,AD946-IF($A992&gt;='1-Input'!$C$12,'1-Input'!$B$12,0))+AE992*(1-'P-Parametri'!$B$6*AD992))*(1+'1-Input'!$B$27))</f>
        <v>7460.4363324128462</v>
      </c>
      <c r="AG992" s="18">
        <f>IF($A992&gt;'1-Input'!$B$26,AI991,(AI991-AE992)*(1+'5-Roberta'!$C$4))</f>
        <v>0</v>
      </c>
      <c r="AH992" s="18">
        <f>IF($A992&gt;'1-Input'!$B$26,AF992,AF992-'P-Parametri'!$B$8*(AG992+AF992)+MIN(MAX(AG992,0),'P-Parametri'!$B$8*(AG992+AF992)))</f>
        <v>7445.5154597480205</v>
      </c>
      <c r="AI992" s="18">
        <f>IF($A992&gt;'1-Input'!$B$26,AG992,AG992-MIN(MAX(AG992,0),'P-Parametri'!$B$8*(AG992+AF992)))</f>
        <v>0</v>
      </c>
      <c r="AJ992" s="18">
        <f>IF($A992&gt;'1-Input'!$B$26,AJ991,AJ991-AE992*(1-AD992))</f>
        <v>0</v>
      </c>
      <c r="AK992" s="11">
        <f>IF($A992&gt;'1-Input'!$B$26,0,IF(AP991&lt;=0,0,MAX(0,(AP991-AQ991)/AP991)))</f>
        <v>0</v>
      </c>
      <c r="AL992" s="18">
        <f>IF($A992&gt;'1-Input'!$B$26,0,(MAX(0,AK946-IF($A992&gt;='1-Input'!$C$12,'1-Input'!$B$12,0))-MIN(MAX(AO991,0),MAX(0,AK946-IF($A992&gt;='1-Input'!$C$12,'1-Input'!$B$12,0))))*(1/(1-'P-Parametri'!$B$6*AK992))+MIN(MAX(0,AP991-(MAX(0,AK946-IF($A992&gt;='1-Input'!$C$12,'1-Input'!$B$12,0))-MIN(MAX(AO991,0),MAX(0,AK946-IF($A992&gt;='1-Input'!$C$12,'1-Input'!$B$12,0))))*(1/(1-'P-Parametri'!$B$6*AK992))),MAX(0,2*AK946-(AO991-MIN(MAX(AO991,0),MAX(0,AK946-IF($A992&gt;='1-Input'!$C$12,'1-Input'!$B$12,0)))))*(1/(1-'P-Parametri'!$B$6*AK992))))</f>
        <v>0</v>
      </c>
      <c r="AM992" s="18">
        <f>IF($A992&gt;'1-Input'!$B$26,AO991,(AO991-MAX(0,AK946-IF($A992&gt;='1-Input'!$C$12,'1-Input'!$B$12,0))+AL992*(1-'P-Parametri'!$B$6*AK992))*(1+'1-Input'!$B$27))</f>
        <v>7434.0523553687908</v>
      </c>
      <c r="AN992" s="18">
        <f>IF($A992&gt;'1-Input'!$B$26,AP991,(AP991-AL992)*(1+'5-Roberta'!$C$4))</f>
        <v>0</v>
      </c>
      <c r="AO992" s="18">
        <f>IF($A992&gt;'1-Input'!$B$26,AM992,AM992-'P-Parametri'!$B$8*(AN992+AM992)+MIN(MAX(AN992,0),'P-Parametri'!$B$8*(AN992+AM992)))</f>
        <v>7419.1842506580533</v>
      </c>
      <c r="AP992" s="18">
        <f>IF($A992&gt;'1-Input'!$B$26,AN992,AN992-MIN(MAX(AN992,0),'P-Parametri'!$B$8*(AN992+AM992)))</f>
        <v>0</v>
      </c>
      <c r="AQ992" s="18">
        <f>IF($A992&gt;'1-Input'!$B$26,AQ991,AQ991-AL992*(1-AK992))</f>
        <v>0</v>
      </c>
    </row>
    <row r="993" spans="1:43">
      <c r="A993" s="10">
        <f>45</f>
        <v>45</v>
      </c>
      <c r="B993" s="11">
        <f>IF($A993&gt;'1-Input'!$B$26,0,IF(G992&lt;=0,0,MAX(0,(G992-H992)/G992)))</f>
        <v>0.6985617895357793</v>
      </c>
      <c r="C993" s="18">
        <f>IF($A993&gt;'1-Input'!$B$26,0,(MAX(0,B946-IF($A993&gt;='1-Input'!$C$12,'1-Input'!$B$12,0))-MIN(MAX(F992,0),MAX(0,B946-IF($A993&gt;='1-Input'!$C$12,'1-Input'!$B$12,0))))*(1/(1-'P-Parametri'!$B$6*B993))+MIN(MAX(0,G992-(MAX(0,B946-IF($A993&gt;='1-Input'!$C$12,'1-Input'!$B$12,0))-MIN(MAX(F992,0),MAX(0,B946-IF($A993&gt;='1-Input'!$C$12,'1-Input'!$B$12,0))))*(1/(1-'P-Parametri'!$B$6*B993))),MAX(0,2*B946-(F992-MIN(MAX(F992,0),MAX(0,B946-IF($A993&gt;='1-Input'!$C$12,'1-Input'!$B$12,0)))))*(1/(1-'P-Parametri'!$B$6*B993))))</f>
        <v>6964.0034599051251</v>
      </c>
      <c r="D993" s="18">
        <f>IF($A993&gt;'1-Input'!$B$26,F992,(F992-MAX(0,B946-IF($A993&gt;='1-Input'!$C$12,'1-Input'!$B$12,0))+C993*(1-'P-Parametri'!$B$6*B993))*(1+'1-Input'!$B$27))</f>
        <v>33242.0070309863</v>
      </c>
      <c r="E993" s="18">
        <f>IF($A993&gt;'1-Input'!$B$26,G992,(G992-C993)*(1+'5-Roberta'!$C$4))</f>
        <v>148431.83619941946</v>
      </c>
      <c r="F993" s="18">
        <f>IF($A993&gt;'1-Input'!$B$26,D993,D993-'P-Parametri'!$B$8*(E993+D993)+MIN(MAX(E993,0),'P-Parametri'!$B$8*(E993+D993)))</f>
        <v>33242.0070309863</v>
      </c>
      <c r="G993" s="18">
        <f>IF($A993&gt;'1-Input'!$B$26,E993,E993-MIN(MAX(E993,0),'P-Parametri'!$B$8*(E993+D993)))</f>
        <v>148068.48851295863</v>
      </c>
      <c r="H993" s="18">
        <f>IF($A993&gt;'1-Input'!$B$26,H992,H992-C993*(1-B993))</f>
        <v>43439.832116379941</v>
      </c>
      <c r="I993" s="11">
        <f>IF($A993&gt;'1-Input'!$B$26,0,IF(N992&lt;=0,0,MAX(0,(N992-O992)/N992)))</f>
        <v>0</v>
      </c>
      <c r="J993" s="18">
        <f>IF($A993&gt;'1-Input'!$B$26,0,(MAX(0,I946-IF($A993&gt;='1-Input'!$C$12,'1-Input'!$B$12,0))-MIN(MAX(M992,0),MAX(0,I946-IF($A993&gt;='1-Input'!$C$12,'1-Input'!$B$12,0))))*(1/(1-'P-Parametri'!$B$6*I993))+MIN(MAX(0,N992-(MAX(0,I946-IF($A993&gt;='1-Input'!$C$12,'1-Input'!$B$12,0))-MIN(MAX(M992,0),MAX(0,I946-IF($A993&gt;='1-Input'!$C$12,'1-Input'!$B$12,0))))*(1/(1-'P-Parametri'!$B$6*I993))),MAX(0,2*I946-(M992-MIN(MAX(M992,0),MAX(0,I946-IF($A993&gt;='1-Input'!$C$12,'1-Input'!$B$12,0)))))*(1/(1-'P-Parametri'!$B$6*I993))))</f>
        <v>10846.756992928691</v>
      </c>
      <c r="K993" s="18">
        <f>IF($A993&gt;'1-Input'!$B$26,M992,(M992-MAX(0,I946-IF($A993&gt;='1-Input'!$C$12,'1-Input'!$B$12,0))+J993*(1-'P-Parametri'!$B$6*I993))*(1+'1-Input'!$B$27))</f>
        <v>0</v>
      </c>
      <c r="L993" s="18">
        <f>IF($A993&gt;'1-Input'!$B$26,N992,(N992-J993)*(1+'5-Roberta'!$C$4))</f>
        <v>-270513.96322227234</v>
      </c>
      <c r="M993" s="18">
        <f>IF($A993&gt;'1-Input'!$B$26,K993,K993-'P-Parametri'!$B$8*(L993+K993)+MIN(MAX(L993,0),'P-Parametri'!$B$8*(L993+K993)))</f>
        <v>0</v>
      </c>
      <c r="N993" s="18">
        <f>IF($A993&gt;'1-Input'!$B$26,L993,L993-MIN(MAX(L993,0),'P-Parametri'!$B$8*(L993+K993)))</f>
        <v>-269972.9352958278</v>
      </c>
      <c r="O993" s="18">
        <f>IF($A993&gt;'1-Input'!$B$26,O992,O992-J993*(1-I993))</f>
        <v>-203359.96536027771</v>
      </c>
      <c r="P993" s="11">
        <f>IF($A993&gt;'1-Input'!$B$26,0,IF(U992&lt;=0,0,MAX(0,(U992-V992)/U992)))</f>
        <v>0</v>
      </c>
      <c r="Q993" s="18">
        <f>IF($A993&gt;'1-Input'!$B$26,0,(MAX(0,P946-IF($A993&gt;='1-Input'!$C$12,'1-Input'!$B$12,0))-MIN(MAX(T992,0),MAX(0,P946-IF($A993&gt;='1-Input'!$C$12,'1-Input'!$B$12,0))))*(1/(1-'P-Parametri'!$B$6*P993))+MIN(MAX(0,U992-(MAX(0,P946-IF($A993&gt;='1-Input'!$C$12,'1-Input'!$B$12,0))-MIN(MAX(T992,0),MAX(0,P946-IF($A993&gt;='1-Input'!$C$12,'1-Input'!$B$12,0))))*(1/(1-'P-Parametri'!$B$6*P993))),MAX(0,2*P946-(T992-MIN(MAX(T992,0),MAX(0,P946-IF($A993&gt;='1-Input'!$C$12,'1-Input'!$B$12,0)))))*(1/(1-'P-Parametri'!$B$6*P993))))</f>
        <v>7695.4405758650319</v>
      </c>
      <c r="R993" s="18">
        <f>IF($A993&gt;'1-Input'!$B$26,T992,(T992-MAX(0,P946-IF($A993&gt;='1-Input'!$C$12,'1-Input'!$B$12,0))+Q993*(1-'P-Parametri'!$B$6*P993))*(1+'1-Input'!$B$27))</f>
        <v>0</v>
      </c>
      <c r="S993" s="18">
        <f>IF($A993&gt;'1-Input'!$B$26,U992,(U992-Q993)*(1+'5-Roberta'!$C$4))</f>
        <v>-20746.145550925077</v>
      </c>
      <c r="T993" s="18">
        <f>IF($A993&gt;'1-Input'!$B$26,R993,R993-'P-Parametri'!$B$8*(S993+R993)+MIN(MAX(S993,0),'P-Parametri'!$B$8*(S993+R993)))</f>
        <v>0</v>
      </c>
      <c r="U993" s="18">
        <f>IF($A993&gt;'1-Input'!$B$26,S993,S993-MIN(MAX(S993,0),'P-Parametri'!$B$8*(S993+R993)))</f>
        <v>-20704.653259823226</v>
      </c>
      <c r="V993" s="18">
        <f>IF($A993&gt;'1-Input'!$B$26,V992,V992-Q993*(1-P993))</f>
        <v>-19683.647377525689</v>
      </c>
      <c r="W993" s="11">
        <f>IF($A993&gt;'1-Input'!$B$26,0,IF(AB992&lt;=0,0,MAX(0,(AB992-AC992)/AB992)))</f>
        <v>0</v>
      </c>
      <c r="X993" s="18">
        <f>IF($A993&gt;'1-Input'!$B$26,0,(MAX(0,W946-IF($A993&gt;='1-Input'!$C$12,'1-Input'!$B$12,0))-MIN(MAX(AA992,0),MAX(0,W946-IF($A993&gt;='1-Input'!$C$12,'1-Input'!$B$12,0))))*(1/(1-'P-Parametri'!$B$6*W993))+MIN(MAX(0,AB992-(MAX(0,W946-IF($A993&gt;='1-Input'!$C$12,'1-Input'!$B$12,0))-MIN(MAX(AA992,0),MAX(0,W946-IF($A993&gt;='1-Input'!$C$12,'1-Input'!$B$12,0))))*(1/(1-'P-Parametri'!$B$6*W993))),MAX(0,2*W946-(AA992-MIN(MAX(AA992,0),MAX(0,W946-IF($A993&gt;='1-Input'!$C$12,'1-Input'!$B$12,0)))))*(1/(1-'P-Parametri'!$B$6*W993))))</f>
        <v>1151.063024310225</v>
      </c>
      <c r="Y993" s="18">
        <f>IF($A993&gt;'1-Input'!$B$26,AA992,(AA992-MAX(0,W946-IF($A993&gt;='1-Input'!$C$12,'1-Input'!$B$12,0))+X993*(1-'P-Parametri'!$B$6*W993))*(1+'1-Input'!$B$27))</f>
        <v>0</v>
      </c>
      <c r="Z993" s="18">
        <f>IF($A993&gt;'1-Input'!$B$26,AB992,(AB992-X993)*(1+'5-Roberta'!$C$4))</f>
        <v>-1185.5949150395318</v>
      </c>
      <c r="AA993" s="18">
        <f>IF($A993&gt;'1-Input'!$B$26,Y993,Y993-'P-Parametri'!$B$8*(Z993+Y993)+MIN(MAX(Z993,0),'P-Parametri'!$B$8*(Z993+Y993)))</f>
        <v>0</v>
      </c>
      <c r="AB993" s="18">
        <f>IF($A993&gt;'1-Input'!$B$26,Z993,Z993-MIN(MAX(Z993,0),'P-Parametri'!$B$8*(Z993+Y993)))</f>
        <v>-1183.2237252094526</v>
      </c>
      <c r="AC993" s="18">
        <f>IF($A993&gt;'1-Input'!$B$26,AC992,AC992-X993*(1-W993))</f>
        <v>-1151.0630243102246</v>
      </c>
      <c r="AD993" s="11">
        <f>IF($A993&gt;'1-Input'!$B$26,0,IF(AI992&lt;=0,0,MAX(0,(AI992-AJ992)/AI992)))</f>
        <v>0</v>
      </c>
      <c r="AE993" s="18">
        <f>IF($A993&gt;'1-Input'!$B$26,0,(MAX(0,AD946-IF($A993&gt;='1-Input'!$C$12,'1-Input'!$B$12,0))-MIN(MAX(AH992,0),MAX(0,AD946-IF($A993&gt;='1-Input'!$C$12,'1-Input'!$B$12,0))))*(1/(1-'P-Parametri'!$B$6*AD993))+MIN(MAX(0,AI992-(MAX(0,AD946-IF($A993&gt;='1-Input'!$C$12,'1-Input'!$B$12,0))-MIN(MAX(AH992,0),MAX(0,AD946-IF($A993&gt;='1-Input'!$C$12,'1-Input'!$B$12,0))))*(1/(1-'P-Parametri'!$B$6*AD993))),MAX(0,2*AD946-(AH992-MIN(MAX(AH992,0),MAX(0,AD946-IF($A993&gt;='1-Input'!$C$12,'1-Input'!$B$12,0)))))*(1/(1-'P-Parametri'!$B$6*AD993))))</f>
        <v>0</v>
      </c>
      <c r="AF993" s="18">
        <f>IF($A993&gt;'1-Input'!$B$26,AH992,(AH992-MAX(0,AD946-IF($A993&gt;='1-Input'!$C$12,'1-Input'!$B$12,0))+AE993*(1-'P-Parametri'!$B$6*AD993))*(1+'1-Input'!$B$27))</f>
        <v>27.594257253118695</v>
      </c>
      <c r="AG993" s="18">
        <f>IF($A993&gt;'1-Input'!$B$26,AI992,(AI992-AE993)*(1+'5-Roberta'!$C$4))</f>
        <v>0</v>
      </c>
      <c r="AH993" s="18">
        <f>IF($A993&gt;'1-Input'!$B$26,AF993,AF993-'P-Parametri'!$B$8*(AG993+AF993)+MIN(MAX(AG993,0),'P-Parametri'!$B$8*(AG993+AF993)))</f>
        <v>27.539068738612457</v>
      </c>
      <c r="AI993" s="18">
        <f>IF($A993&gt;'1-Input'!$B$26,AG993,AG993-MIN(MAX(AG993,0),'P-Parametri'!$B$8*(AG993+AF993)))</f>
        <v>0</v>
      </c>
      <c r="AJ993" s="18">
        <f>IF($A993&gt;'1-Input'!$B$26,AJ992,AJ992-AE993*(1-AD993))</f>
        <v>0</v>
      </c>
      <c r="AK993" s="11">
        <f>IF($A993&gt;'1-Input'!$B$26,0,IF(AP992&lt;=0,0,MAX(0,(AP992-AQ992)/AP992)))</f>
        <v>0</v>
      </c>
      <c r="AL993" s="18">
        <f>IF($A993&gt;'1-Input'!$B$26,0,(MAX(0,AK946-IF($A993&gt;='1-Input'!$C$12,'1-Input'!$B$12,0))-MIN(MAX(AO992,0),MAX(0,AK946-IF($A993&gt;='1-Input'!$C$12,'1-Input'!$B$12,0))))*(1/(1-'P-Parametri'!$B$6*AK993))+MIN(MAX(0,AP992-(MAX(0,AK946-IF($A993&gt;='1-Input'!$C$12,'1-Input'!$B$12,0))-MIN(MAX(AO992,0),MAX(0,AK946-IF($A993&gt;='1-Input'!$C$12,'1-Input'!$B$12,0))))*(1/(1-'P-Parametri'!$B$6*AK993))),MAX(0,2*AK946-(AO992-MIN(MAX(AO992,0),MAX(0,AK946-IF($A993&gt;='1-Input'!$C$12,'1-Input'!$B$12,0)))))*(1/(1-'P-Parametri'!$B$6*AK993))))</f>
        <v>0</v>
      </c>
      <c r="AM993" s="18">
        <f>IF($A993&gt;'1-Input'!$B$26,AO992,(AO992-MAX(0,AK946-IF($A993&gt;='1-Input'!$C$12,'1-Input'!$B$12,0))+AL993*(1-'P-Parametri'!$B$6*AK993))*(1+'1-Input'!$B$27))</f>
        <v>0.9982799070778815</v>
      </c>
      <c r="AN993" s="18">
        <f>IF($A993&gt;'1-Input'!$B$26,AP992,(AP992-AL993)*(1+'5-Roberta'!$C$4))</f>
        <v>0</v>
      </c>
      <c r="AO993" s="18">
        <f>IF($A993&gt;'1-Input'!$B$26,AM993,AM993-'P-Parametri'!$B$8*(AN993+AM993)+MIN(MAX(AN993,0),'P-Parametri'!$B$8*(AN993+AM993)))</f>
        <v>0.99628334726372569</v>
      </c>
      <c r="AP993" s="18">
        <f>IF($A993&gt;'1-Input'!$B$26,AN993,AN993-MIN(MAX(AN993,0),'P-Parametri'!$B$8*(AN993+AM993)))</f>
        <v>0</v>
      </c>
      <c r="AQ993" s="18">
        <f>IF($A993&gt;'1-Input'!$B$26,AQ992,AQ992-AL993*(1-AK993))</f>
        <v>0</v>
      </c>
    </row>
    <row r="994" spans="1:43">
      <c r="A994" s="10">
        <f>46</f>
        <v>46</v>
      </c>
      <c r="B994" s="11">
        <f>IF($A994&gt;'1-Input'!$B$26,0,IF(G993&lt;=0,0,MAX(0,(G993-H993)/G993)))</f>
        <v>0</v>
      </c>
      <c r="C994" s="18">
        <f>IF($A994&gt;'1-Input'!$B$26,0,(MAX(0,B946-IF($A994&gt;='1-Input'!$C$12,'1-Input'!$B$12,0))-MIN(MAX(F993,0),MAX(0,B946-IF($A994&gt;='1-Input'!$C$12,'1-Input'!$B$12,0))))*(1/(1-'P-Parametri'!$B$6*B994))+MIN(MAX(0,G993-(MAX(0,B946-IF($A994&gt;='1-Input'!$C$12,'1-Input'!$B$12,0))-MIN(MAX(F993,0),MAX(0,B946-IF($A994&gt;='1-Input'!$C$12,'1-Input'!$B$12,0))))*(1/(1-'P-Parametri'!$B$6*B994))),MAX(0,2*B946-(F993-MIN(MAX(F993,0),MAX(0,B946-IF($A994&gt;='1-Input'!$C$12,'1-Input'!$B$12,0)))))*(1/(1-'P-Parametri'!$B$6*B994))))</f>
        <v>0</v>
      </c>
      <c r="D994" s="18">
        <f>IF($A994&gt;'1-Input'!$B$26,F993,(F993-MAX(0,B946-IF($A994&gt;='1-Input'!$C$12,'1-Input'!$B$12,0))+C994*(1-'P-Parametri'!$B$6*B994))*(1+'1-Input'!$B$27))</f>
        <v>33242.0070309863</v>
      </c>
      <c r="E994" s="18">
        <f>IF($A994&gt;'1-Input'!$B$26,G993,(G993-C994)*(1+'5-Roberta'!$C$4))</f>
        <v>148068.48851295863</v>
      </c>
      <c r="F994" s="18">
        <f>IF($A994&gt;'1-Input'!$B$26,D994,D994-'P-Parametri'!$B$8*(E994+D994)+MIN(MAX(E994,0),'P-Parametri'!$B$8*(E994+D994)))</f>
        <v>33242.0070309863</v>
      </c>
      <c r="G994" s="18">
        <f>IF($A994&gt;'1-Input'!$B$26,E994,E994-MIN(MAX(E994,0),'P-Parametri'!$B$8*(E994+D994)))</f>
        <v>148068.48851295863</v>
      </c>
      <c r="H994" s="18">
        <f>IF($A994&gt;'1-Input'!$B$26,H993,H993-C994*(1-B994))</f>
        <v>43439.832116379941</v>
      </c>
      <c r="I994" s="11">
        <f>IF($A994&gt;'1-Input'!$B$26,0,IF(N993&lt;=0,0,MAX(0,(N993-O993)/N993)))</f>
        <v>0</v>
      </c>
      <c r="J994" s="18">
        <f>IF($A994&gt;'1-Input'!$B$26,0,(MAX(0,I946-IF($A994&gt;='1-Input'!$C$12,'1-Input'!$B$12,0))-MIN(MAX(M993,0),MAX(0,I946-IF($A994&gt;='1-Input'!$C$12,'1-Input'!$B$12,0))))*(1/(1-'P-Parametri'!$B$6*I994))+MIN(MAX(0,N993-(MAX(0,I946-IF($A994&gt;='1-Input'!$C$12,'1-Input'!$B$12,0))-MIN(MAX(M993,0),MAX(0,I946-IF($A994&gt;='1-Input'!$C$12,'1-Input'!$B$12,0))))*(1/(1-'P-Parametri'!$B$6*I994))),MAX(0,2*I946-(M993-MIN(MAX(M993,0),MAX(0,I946-IF($A994&gt;='1-Input'!$C$12,'1-Input'!$B$12,0)))))*(1/(1-'P-Parametri'!$B$6*I994))))</f>
        <v>0</v>
      </c>
      <c r="K994" s="18">
        <f>IF($A994&gt;'1-Input'!$B$26,M993,(M993-MAX(0,I946-IF($A994&gt;='1-Input'!$C$12,'1-Input'!$B$12,0))+J994*(1-'P-Parametri'!$B$6*I994))*(1+'1-Input'!$B$27))</f>
        <v>0</v>
      </c>
      <c r="L994" s="18">
        <f>IF($A994&gt;'1-Input'!$B$26,N993,(N993-J994)*(1+'5-Roberta'!$C$4))</f>
        <v>-269972.9352958278</v>
      </c>
      <c r="M994" s="18">
        <f>IF($A994&gt;'1-Input'!$B$26,K994,K994-'P-Parametri'!$B$8*(L994+K994)+MIN(MAX(L994,0),'P-Parametri'!$B$8*(L994+K994)))</f>
        <v>0</v>
      </c>
      <c r="N994" s="18">
        <f>IF($A994&gt;'1-Input'!$B$26,L994,L994-MIN(MAX(L994,0),'P-Parametri'!$B$8*(L994+K994)))</f>
        <v>-269972.9352958278</v>
      </c>
      <c r="O994" s="18">
        <f>IF($A994&gt;'1-Input'!$B$26,O993,O993-J994*(1-I994))</f>
        <v>-203359.96536027771</v>
      </c>
      <c r="P994" s="11">
        <f>IF($A994&gt;'1-Input'!$B$26,0,IF(U993&lt;=0,0,MAX(0,(U993-V993)/U993)))</f>
        <v>0</v>
      </c>
      <c r="Q994" s="18">
        <f>IF($A994&gt;'1-Input'!$B$26,0,(MAX(0,P946-IF($A994&gt;='1-Input'!$C$12,'1-Input'!$B$12,0))-MIN(MAX(T993,0),MAX(0,P946-IF($A994&gt;='1-Input'!$C$12,'1-Input'!$B$12,0))))*(1/(1-'P-Parametri'!$B$6*P994))+MIN(MAX(0,U993-(MAX(0,P946-IF($A994&gt;='1-Input'!$C$12,'1-Input'!$B$12,0))-MIN(MAX(T993,0),MAX(0,P946-IF($A994&gt;='1-Input'!$C$12,'1-Input'!$B$12,0))))*(1/(1-'P-Parametri'!$B$6*P994))),MAX(0,2*P946-(T993-MIN(MAX(T993,0),MAX(0,P946-IF($A994&gt;='1-Input'!$C$12,'1-Input'!$B$12,0)))))*(1/(1-'P-Parametri'!$B$6*P994))))</f>
        <v>0</v>
      </c>
      <c r="R994" s="18">
        <f>IF($A994&gt;'1-Input'!$B$26,T993,(T993-MAX(0,P946-IF($A994&gt;='1-Input'!$C$12,'1-Input'!$B$12,0))+Q994*(1-'P-Parametri'!$B$6*P994))*(1+'1-Input'!$B$27))</f>
        <v>0</v>
      </c>
      <c r="S994" s="18">
        <f>IF($A994&gt;'1-Input'!$B$26,U993,(U993-Q994)*(1+'5-Roberta'!$C$4))</f>
        <v>-20704.653259823226</v>
      </c>
      <c r="T994" s="18">
        <f>IF($A994&gt;'1-Input'!$B$26,R994,R994-'P-Parametri'!$B$8*(S994+R994)+MIN(MAX(S994,0),'P-Parametri'!$B$8*(S994+R994)))</f>
        <v>0</v>
      </c>
      <c r="U994" s="18">
        <f>IF($A994&gt;'1-Input'!$B$26,S994,S994-MIN(MAX(S994,0),'P-Parametri'!$B$8*(S994+R994)))</f>
        <v>-20704.653259823226</v>
      </c>
      <c r="V994" s="18">
        <f>IF($A994&gt;'1-Input'!$B$26,V993,V993-Q994*(1-P994))</f>
        <v>-19683.647377525689</v>
      </c>
      <c r="W994" s="11">
        <f>IF($A994&gt;'1-Input'!$B$26,0,IF(AB993&lt;=0,0,MAX(0,(AB993-AC993)/AB993)))</f>
        <v>0</v>
      </c>
      <c r="X994" s="18">
        <f>IF($A994&gt;'1-Input'!$B$26,0,(MAX(0,W946-IF($A994&gt;='1-Input'!$C$12,'1-Input'!$B$12,0))-MIN(MAX(AA993,0),MAX(0,W946-IF($A994&gt;='1-Input'!$C$12,'1-Input'!$B$12,0))))*(1/(1-'P-Parametri'!$B$6*W994))+MIN(MAX(0,AB993-(MAX(0,W946-IF($A994&gt;='1-Input'!$C$12,'1-Input'!$B$12,0))-MIN(MAX(AA993,0),MAX(0,W946-IF($A994&gt;='1-Input'!$C$12,'1-Input'!$B$12,0))))*(1/(1-'P-Parametri'!$B$6*W994))),MAX(0,2*W946-(AA993-MIN(MAX(AA993,0),MAX(0,W946-IF($A994&gt;='1-Input'!$C$12,'1-Input'!$B$12,0)))))*(1/(1-'P-Parametri'!$B$6*W994))))</f>
        <v>0</v>
      </c>
      <c r="Y994" s="18">
        <f>IF($A994&gt;'1-Input'!$B$26,AA993,(AA993-MAX(0,W946-IF($A994&gt;='1-Input'!$C$12,'1-Input'!$B$12,0))+X994*(1-'P-Parametri'!$B$6*W994))*(1+'1-Input'!$B$27))</f>
        <v>0</v>
      </c>
      <c r="Z994" s="18">
        <f>IF($A994&gt;'1-Input'!$B$26,AB993,(AB993-X994)*(1+'5-Roberta'!$C$4))</f>
        <v>-1183.2237252094526</v>
      </c>
      <c r="AA994" s="18">
        <f>IF($A994&gt;'1-Input'!$B$26,Y994,Y994-'P-Parametri'!$B$8*(Z994+Y994)+MIN(MAX(Z994,0),'P-Parametri'!$B$8*(Z994+Y994)))</f>
        <v>0</v>
      </c>
      <c r="AB994" s="18">
        <f>IF($A994&gt;'1-Input'!$B$26,Z994,Z994-MIN(MAX(Z994,0),'P-Parametri'!$B$8*(Z994+Y994)))</f>
        <v>-1183.2237252094526</v>
      </c>
      <c r="AC994" s="18">
        <f>IF($A994&gt;'1-Input'!$B$26,AC993,AC993-X994*(1-W994))</f>
        <v>-1151.0630243102246</v>
      </c>
      <c r="AD994" s="11">
        <f>IF($A994&gt;'1-Input'!$B$26,0,IF(AI993&lt;=0,0,MAX(0,(AI993-AJ993)/AI993)))</f>
        <v>0</v>
      </c>
      <c r="AE994" s="18">
        <f>IF($A994&gt;'1-Input'!$B$26,0,(MAX(0,AD946-IF($A994&gt;='1-Input'!$C$12,'1-Input'!$B$12,0))-MIN(MAX(AH993,0),MAX(0,AD946-IF($A994&gt;='1-Input'!$C$12,'1-Input'!$B$12,0))))*(1/(1-'P-Parametri'!$B$6*AD994))+MIN(MAX(0,AI993-(MAX(0,AD946-IF($A994&gt;='1-Input'!$C$12,'1-Input'!$B$12,0))-MIN(MAX(AH993,0),MAX(0,AD946-IF($A994&gt;='1-Input'!$C$12,'1-Input'!$B$12,0))))*(1/(1-'P-Parametri'!$B$6*AD994))),MAX(0,2*AD946-(AH993-MIN(MAX(AH993,0),MAX(0,AD946-IF($A994&gt;='1-Input'!$C$12,'1-Input'!$B$12,0)))))*(1/(1-'P-Parametri'!$B$6*AD994))))</f>
        <v>0</v>
      </c>
      <c r="AF994" s="18">
        <f>IF($A994&gt;'1-Input'!$B$26,AH993,(AH993-MAX(0,AD946-IF($A994&gt;='1-Input'!$C$12,'1-Input'!$B$12,0))+AE994*(1-'P-Parametri'!$B$6*AD994))*(1+'1-Input'!$B$27))</f>
        <v>27.539068738612457</v>
      </c>
      <c r="AG994" s="18">
        <f>IF($A994&gt;'1-Input'!$B$26,AI993,(AI993-AE994)*(1+'5-Roberta'!$C$4))</f>
        <v>0</v>
      </c>
      <c r="AH994" s="18">
        <f>IF($A994&gt;'1-Input'!$B$26,AF994,AF994-'P-Parametri'!$B$8*(AG994+AF994)+MIN(MAX(AG994,0),'P-Parametri'!$B$8*(AG994+AF994)))</f>
        <v>27.539068738612457</v>
      </c>
      <c r="AI994" s="18">
        <f>IF($A994&gt;'1-Input'!$B$26,AG994,AG994-MIN(MAX(AG994,0),'P-Parametri'!$B$8*(AG994+AF994)))</f>
        <v>0</v>
      </c>
      <c r="AJ994" s="18">
        <f>IF($A994&gt;'1-Input'!$B$26,AJ993,AJ993-AE994*(1-AD994))</f>
        <v>0</v>
      </c>
      <c r="AK994" s="11">
        <f>IF($A994&gt;'1-Input'!$B$26,0,IF(AP993&lt;=0,0,MAX(0,(AP993-AQ993)/AP993)))</f>
        <v>0</v>
      </c>
      <c r="AL994" s="18">
        <f>IF($A994&gt;'1-Input'!$B$26,0,(MAX(0,AK946-IF($A994&gt;='1-Input'!$C$12,'1-Input'!$B$12,0))-MIN(MAX(AO993,0),MAX(0,AK946-IF($A994&gt;='1-Input'!$C$12,'1-Input'!$B$12,0))))*(1/(1-'P-Parametri'!$B$6*AK994))+MIN(MAX(0,AP993-(MAX(0,AK946-IF($A994&gt;='1-Input'!$C$12,'1-Input'!$B$12,0))-MIN(MAX(AO993,0),MAX(0,AK946-IF($A994&gt;='1-Input'!$C$12,'1-Input'!$B$12,0))))*(1/(1-'P-Parametri'!$B$6*AK994))),MAX(0,2*AK946-(AO993-MIN(MAX(AO993,0),MAX(0,AK946-IF($A994&gt;='1-Input'!$C$12,'1-Input'!$B$12,0)))))*(1/(1-'P-Parametri'!$B$6*AK994))))</f>
        <v>0</v>
      </c>
      <c r="AM994" s="18">
        <f>IF($A994&gt;'1-Input'!$B$26,AO993,(AO993-MAX(0,AK946-IF($A994&gt;='1-Input'!$C$12,'1-Input'!$B$12,0))+AL994*(1-'P-Parametri'!$B$6*AK994))*(1+'1-Input'!$B$27))</f>
        <v>0.99628334726372569</v>
      </c>
      <c r="AN994" s="18">
        <f>IF($A994&gt;'1-Input'!$B$26,AP993,(AP993-AL994)*(1+'5-Roberta'!$C$4))</f>
        <v>0</v>
      </c>
      <c r="AO994" s="18">
        <f>IF($A994&gt;'1-Input'!$B$26,AM994,AM994-'P-Parametri'!$B$8*(AN994+AM994)+MIN(MAX(AN994,0),'P-Parametri'!$B$8*(AN994+AM994)))</f>
        <v>0.99628334726372569</v>
      </c>
      <c r="AP994" s="18">
        <f>IF($A994&gt;'1-Input'!$B$26,AN994,AN994-MIN(MAX(AN994,0),'P-Parametri'!$B$8*(AN994+AM994)))</f>
        <v>0</v>
      </c>
      <c r="AQ994" s="18">
        <f>IF($A994&gt;'1-Input'!$B$26,AQ993,AQ993-AL994*(1-AK994))</f>
        <v>0</v>
      </c>
    </row>
    <row r="995" spans="1:43">
      <c r="A995" s="10">
        <f>47</f>
        <v>47</v>
      </c>
      <c r="B995" s="11">
        <f>IF($A995&gt;'1-Input'!$B$26,0,IF(G994&lt;=0,0,MAX(0,(G994-H994)/G994)))</f>
        <v>0</v>
      </c>
      <c r="C995" s="18">
        <f>IF($A995&gt;'1-Input'!$B$26,0,(MAX(0,B946-IF($A995&gt;='1-Input'!$C$12,'1-Input'!$B$12,0))-MIN(MAX(F994,0),MAX(0,B946-IF($A995&gt;='1-Input'!$C$12,'1-Input'!$B$12,0))))*(1/(1-'P-Parametri'!$B$6*B995))+MIN(MAX(0,G994-(MAX(0,B946-IF($A995&gt;='1-Input'!$C$12,'1-Input'!$B$12,0))-MIN(MAX(F994,0),MAX(0,B946-IF($A995&gt;='1-Input'!$C$12,'1-Input'!$B$12,0))))*(1/(1-'P-Parametri'!$B$6*B995))),MAX(0,2*B946-(F994-MIN(MAX(F994,0),MAX(0,B946-IF($A995&gt;='1-Input'!$C$12,'1-Input'!$B$12,0)))))*(1/(1-'P-Parametri'!$B$6*B995))))</f>
        <v>0</v>
      </c>
      <c r="D995" s="18">
        <f>IF($A995&gt;'1-Input'!$B$26,F994,(F994-MAX(0,B946-IF($A995&gt;='1-Input'!$C$12,'1-Input'!$B$12,0))+C995*(1-'P-Parametri'!$B$6*B995))*(1+'1-Input'!$B$27))</f>
        <v>33242.0070309863</v>
      </c>
      <c r="E995" s="18">
        <f>IF($A995&gt;'1-Input'!$B$26,G994,(G994-C995)*(1+'5-Roberta'!$C$4))</f>
        <v>148068.48851295863</v>
      </c>
      <c r="F995" s="18">
        <f>IF($A995&gt;'1-Input'!$B$26,D995,D995-'P-Parametri'!$B$8*(E995+D995)+MIN(MAX(E995,0),'P-Parametri'!$B$8*(E995+D995)))</f>
        <v>33242.0070309863</v>
      </c>
      <c r="G995" s="18">
        <f>IF($A995&gt;'1-Input'!$B$26,E995,E995-MIN(MAX(E995,0),'P-Parametri'!$B$8*(E995+D995)))</f>
        <v>148068.48851295863</v>
      </c>
      <c r="H995" s="18">
        <f>IF($A995&gt;'1-Input'!$B$26,H994,H994-C995*(1-B995))</f>
        <v>43439.832116379941</v>
      </c>
      <c r="I995" s="11">
        <f>IF($A995&gt;'1-Input'!$B$26,0,IF(N994&lt;=0,0,MAX(0,(N994-O994)/N994)))</f>
        <v>0</v>
      </c>
      <c r="J995" s="18">
        <f>IF($A995&gt;'1-Input'!$B$26,0,(MAX(0,I946-IF($A995&gt;='1-Input'!$C$12,'1-Input'!$B$12,0))-MIN(MAX(M994,0),MAX(0,I946-IF($A995&gt;='1-Input'!$C$12,'1-Input'!$B$12,0))))*(1/(1-'P-Parametri'!$B$6*I995))+MIN(MAX(0,N994-(MAX(0,I946-IF($A995&gt;='1-Input'!$C$12,'1-Input'!$B$12,0))-MIN(MAX(M994,0),MAX(0,I946-IF($A995&gt;='1-Input'!$C$12,'1-Input'!$B$12,0))))*(1/(1-'P-Parametri'!$B$6*I995))),MAX(0,2*I946-(M994-MIN(MAX(M994,0),MAX(0,I946-IF($A995&gt;='1-Input'!$C$12,'1-Input'!$B$12,0)))))*(1/(1-'P-Parametri'!$B$6*I995))))</f>
        <v>0</v>
      </c>
      <c r="K995" s="18">
        <f>IF($A995&gt;'1-Input'!$B$26,M994,(M994-MAX(0,I946-IF($A995&gt;='1-Input'!$C$12,'1-Input'!$B$12,0))+J995*(1-'P-Parametri'!$B$6*I995))*(1+'1-Input'!$B$27))</f>
        <v>0</v>
      </c>
      <c r="L995" s="18">
        <f>IF($A995&gt;'1-Input'!$B$26,N994,(N994-J995)*(1+'5-Roberta'!$C$4))</f>
        <v>-269972.9352958278</v>
      </c>
      <c r="M995" s="18">
        <f>IF($A995&gt;'1-Input'!$B$26,K995,K995-'P-Parametri'!$B$8*(L995+K995)+MIN(MAX(L995,0),'P-Parametri'!$B$8*(L995+K995)))</f>
        <v>0</v>
      </c>
      <c r="N995" s="18">
        <f>IF($A995&gt;'1-Input'!$B$26,L995,L995-MIN(MAX(L995,0),'P-Parametri'!$B$8*(L995+K995)))</f>
        <v>-269972.9352958278</v>
      </c>
      <c r="O995" s="18">
        <f>IF($A995&gt;'1-Input'!$B$26,O994,O994-J995*(1-I995))</f>
        <v>-203359.96536027771</v>
      </c>
      <c r="P995" s="11">
        <f>IF($A995&gt;'1-Input'!$B$26,0,IF(U994&lt;=0,0,MAX(0,(U994-V994)/U994)))</f>
        <v>0</v>
      </c>
      <c r="Q995" s="18">
        <f>IF($A995&gt;'1-Input'!$B$26,0,(MAX(0,P946-IF($A995&gt;='1-Input'!$C$12,'1-Input'!$B$12,0))-MIN(MAX(T994,0),MAX(0,P946-IF($A995&gt;='1-Input'!$C$12,'1-Input'!$B$12,0))))*(1/(1-'P-Parametri'!$B$6*P995))+MIN(MAX(0,U994-(MAX(0,P946-IF($A995&gt;='1-Input'!$C$12,'1-Input'!$B$12,0))-MIN(MAX(T994,0),MAX(0,P946-IF($A995&gt;='1-Input'!$C$12,'1-Input'!$B$12,0))))*(1/(1-'P-Parametri'!$B$6*P995))),MAX(0,2*P946-(T994-MIN(MAX(T994,0),MAX(0,P946-IF($A995&gt;='1-Input'!$C$12,'1-Input'!$B$12,0)))))*(1/(1-'P-Parametri'!$B$6*P995))))</f>
        <v>0</v>
      </c>
      <c r="R995" s="18">
        <f>IF($A995&gt;'1-Input'!$B$26,T994,(T994-MAX(0,P946-IF($A995&gt;='1-Input'!$C$12,'1-Input'!$B$12,0))+Q995*(1-'P-Parametri'!$B$6*P995))*(1+'1-Input'!$B$27))</f>
        <v>0</v>
      </c>
      <c r="S995" s="18">
        <f>IF($A995&gt;'1-Input'!$B$26,U994,(U994-Q995)*(1+'5-Roberta'!$C$4))</f>
        <v>-20704.653259823226</v>
      </c>
      <c r="T995" s="18">
        <f>IF($A995&gt;'1-Input'!$B$26,R995,R995-'P-Parametri'!$B$8*(S995+R995)+MIN(MAX(S995,0),'P-Parametri'!$B$8*(S995+R995)))</f>
        <v>0</v>
      </c>
      <c r="U995" s="18">
        <f>IF($A995&gt;'1-Input'!$B$26,S995,S995-MIN(MAX(S995,0),'P-Parametri'!$B$8*(S995+R995)))</f>
        <v>-20704.653259823226</v>
      </c>
      <c r="V995" s="18">
        <f>IF($A995&gt;'1-Input'!$B$26,V994,V994-Q995*(1-P995))</f>
        <v>-19683.647377525689</v>
      </c>
      <c r="W995" s="11">
        <f>IF($A995&gt;'1-Input'!$B$26,0,IF(AB994&lt;=0,0,MAX(0,(AB994-AC994)/AB994)))</f>
        <v>0</v>
      </c>
      <c r="X995" s="18">
        <f>IF($A995&gt;'1-Input'!$B$26,0,(MAX(0,W946-IF($A995&gt;='1-Input'!$C$12,'1-Input'!$B$12,0))-MIN(MAX(AA994,0),MAX(0,W946-IF($A995&gt;='1-Input'!$C$12,'1-Input'!$B$12,0))))*(1/(1-'P-Parametri'!$B$6*W995))+MIN(MAX(0,AB994-(MAX(0,W946-IF($A995&gt;='1-Input'!$C$12,'1-Input'!$B$12,0))-MIN(MAX(AA994,0),MAX(0,W946-IF($A995&gt;='1-Input'!$C$12,'1-Input'!$B$12,0))))*(1/(1-'P-Parametri'!$B$6*W995))),MAX(0,2*W946-(AA994-MIN(MAX(AA994,0),MAX(0,W946-IF($A995&gt;='1-Input'!$C$12,'1-Input'!$B$12,0)))))*(1/(1-'P-Parametri'!$B$6*W995))))</f>
        <v>0</v>
      </c>
      <c r="Y995" s="18">
        <f>IF($A995&gt;'1-Input'!$B$26,AA994,(AA994-MAX(0,W946-IF($A995&gt;='1-Input'!$C$12,'1-Input'!$B$12,0))+X995*(1-'P-Parametri'!$B$6*W995))*(1+'1-Input'!$B$27))</f>
        <v>0</v>
      </c>
      <c r="Z995" s="18">
        <f>IF($A995&gt;'1-Input'!$B$26,AB994,(AB994-X995)*(1+'5-Roberta'!$C$4))</f>
        <v>-1183.2237252094526</v>
      </c>
      <c r="AA995" s="18">
        <f>IF($A995&gt;'1-Input'!$B$26,Y995,Y995-'P-Parametri'!$B$8*(Z995+Y995)+MIN(MAX(Z995,0),'P-Parametri'!$B$8*(Z995+Y995)))</f>
        <v>0</v>
      </c>
      <c r="AB995" s="18">
        <f>IF($A995&gt;'1-Input'!$B$26,Z995,Z995-MIN(MAX(Z995,0),'P-Parametri'!$B$8*(Z995+Y995)))</f>
        <v>-1183.2237252094526</v>
      </c>
      <c r="AC995" s="18">
        <f>IF($A995&gt;'1-Input'!$B$26,AC994,AC994-X995*(1-W995))</f>
        <v>-1151.0630243102246</v>
      </c>
      <c r="AD995" s="11">
        <f>IF($A995&gt;'1-Input'!$B$26,0,IF(AI994&lt;=0,0,MAX(0,(AI994-AJ994)/AI994)))</f>
        <v>0</v>
      </c>
      <c r="AE995" s="18">
        <f>IF($A995&gt;'1-Input'!$B$26,0,(MAX(0,AD946-IF($A995&gt;='1-Input'!$C$12,'1-Input'!$B$12,0))-MIN(MAX(AH994,0),MAX(0,AD946-IF($A995&gt;='1-Input'!$C$12,'1-Input'!$B$12,0))))*(1/(1-'P-Parametri'!$B$6*AD995))+MIN(MAX(0,AI994-(MAX(0,AD946-IF($A995&gt;='1-Input'!$C$12,'1-Input'!$B$12,0))-MIN(MAX(AH994,0),MAX(0,AD946-IF($A995&gt;='1-Input'!$C$12,'1-Input'!$B$12,0))))*(1/(1-'P-Parametri'!$B$6*AD995))),MAX(0,2*AD946-(AH994-MIN(MAX(AH994,0),MAX(0,AD946-IF($A995&gt;='1-Input'!$C$12,'1-Input'!$B$12,0)))))*(1/(1-'P-Parametri'!$B$6*AD995))))</f>
        <v>0</v>
      </c>
      <c r="AF995" s="18">
        <f>IF($A995&gt;'1-Input'!$B$26,AH994,(AH994-MAX(0,AD946-IF($A995&gt;='1-Input'!$C$12,'1-Input'!$B$12,0))+AE995*(1-'P-Parametri'!$B$6*AD995))*(1+'1-Input'!$B$27))</f>
        <v>27.539068738612457</v>
      </c>
      <c r="AG995" s="18">
        <f>IF($A995&gt;'1-Input'!$B$26,AI994,(AI994-AE995)*(1+'5-Roberta'!$C$4))</f>
        <v>0</v>
      </c>
      <c r="AH995" s="18">
        <f>IF($A995&gt;'1-Input'!$B$26,AF995,AF995-'P-Parametri'!$B$8*(AG995+AF995)+MIN(MAX(AG995,0),'P-Parametri'!$B$8*(AG995+AF995)))</f>
        <v>27.539068738612457</v>
      </c>
      <c r="AI995" s="18">
        <f>IF($A995&gt;'1-Input'!$B$26,AG995,AG995-MIN(MAX(AG995,0),'P-Parametri'!$B$8*(AG995+AF995)))</f>
        <v>0</v>
      </c>
      <c r="AJ995" s="18">
        <f>IF($A995&gt;'1-Input'!$B$26,AJ994,AJ994-AE995*(1-AD995))</f>
        <v>0</v>
      </c>
      <c r="AK995" s="11">
        <f>IF($A995&gt;'1-Input'!$B$26,0,IF(AP994&lt;=0,0,MAX(0,(AP994-AQ994)/AP994)))</f>
        <v>0</v>
      </c>
      <c r="AL995" s="18">
        <f>IF($A995&gt;'1-Input'!$B$26,0,(MAX(0,AK946-IF($A995&gt;='1-Input'!$C$12,'1-Input'!$B$12,0))-MIN(MAX(AO994,0),MAX(0,AK946-IF($A995&gt;='1-Input'!$C$12,'1-Input'!$B$12,0))))*(1/(1-'P-Parametri'!$B$6*AK995))+MIN(MAX(0,AP994-(MAX(0,AK946-IF($A995&gt;='1-Input'!$C$12,'1-Input'!$B$12,0))-MIN(MAX(AO994,0),MAX(0,AK946-IF($A995&gt;='1-Input'!$C$12,'1-Input'!$B$12,0))))*(1/(1-'P-Parametri'!$B$6*AK995))),MAX(0,2*AK946-(AO994-MIN(MAX(AO994,0),MAX(0,AK946-IF($A995&gt;='1-Input'!$C$12,'1-Input'!$B$12,0)))))*(1/(1-'P-Parametri'!$B$6*AK995))))</f>
        <v>0</v>
      </c>
      <c r="AM995" s="18">
        <f>IF($A995&gt;'1-Input'!$B$26,AO994,(AO994-MAX(0,AK946-IF($A995&gt;='1-Input'!$C$12,'1-Input'!$B$12,0))+AL995*(1-'P-Parametri'!$B$6*AK995))*(1+'1-Input'!$B$27))</f>
        <v>0.99628334726372569</v>
      </c>
      <c r="AN995" s="18">
        <f>IF($A995&gt;'1-Input'!$B$26,AP994,(AP994-AL995)*(1+'5-Roberta'!$C$4))</f>
        <v>0</v>
      </c>
      <c r="AO995" s="18">
        <f>IF($A995&gt;'1-Input'!$B$26,AM995,AM995-'P-Parametri'!$B$8*(AN995+AM995)+MIN(MAX(AN995,0),'P-Parametri'!$B$8*(AN995+AM995)))</f>
        <v>0.99628334726372569</v>
      </c>
      <c r="AP995" s="18">
        <f>IF($A995&gt;'1-Input'!$B$26,AN995,AN995-MIN(MAX(AN995,0),'P-Parametri'!$B$8*(AN995+AM995)))</f>
        <v>0</v>
      </c>
      <c r="AQ995" s="18">
        <f>IF($A995&gt;'1-Input'!$B$26,AQ994,AQ994-AL995*(1-AK995))</f>
        <v>0</v>
      </c>
    </row>
    <row r="996" spans="1:43">
      <c r="A996" s="10">
        <f>48</f>
        <v>48</v>
      </c>
      <c r="B996" s="11">
        <f>IF($A996&gt;'1-Input'!$B$26,0,IF(G995&lt;=0,0,MAX(0,(G995-H995)/G995)))</f>
        <v>0</v>
      </c>
      <c r="C996" s="18">
        <f>IF($A996&gt;'1-Input'!$B$26,0,(MAX(0,B946-IF($A996&gt;='1-Input'!$C$12,'1-Input'!$B$12,0))-MIN(MAX(F995,0),MAX(0,B946-IF($A996&gt;='1-Input'!$C$12,'1-Input'!$B$12,0))))*(1/(1-'P-Parametri'!$B$6*B996))+MIN(MAX(0,G995-(MAX(0,B946-IF($A996&gt;='1-Input'!$C$12,'1-Input'!$B$12,0))-MIN(MAX(F995,0),MAX(0,B946-IF($A996&gt;='1-Input'!$C$12,'1-Input'!$B$12,0))))*(1/(1-'P-Parametri'!$B$6*B996))),MAX(0,2*B946-(F995-MIN(MAX(F995,0),MAX(0,B946-IF($A996&gt;='1-Input'!$C$12,'1-Input'!$B$12,0)))))*(1/(1-'P-Parametri'!$B$6*B996))))</f>
        <v>0</v>
      </c>
      <c r="D996" s="18">
        <f>IF($A996&gt;'1-Input'!$B$26,F995,(F995-MAX(0,B946-IF($A996&gt;='1-Input'!$C$12,'1-Input'!$B$12,0))+C996*(1-'P-Parametri'!$B$6*B996))*(1+'1-Input'!$B$27))</f>
        <v>33242.0070309863</v>
      </c>
      <c r="E996" s="18">
        <f>IF($A996&gt;'1-Input'!$B$26,G995,(G995-C996)*(1+'5-Roberta'!$C$4))</f>
        <v>148068.48851295863</v>
      </c>
      <c r="F996" s="18">
        <f>IF($A996&gt;'1-Input'!$B$26,D996,D996-'P-Parametri'!$B$8*(E996+D996)+MIN(MAX(E996,0),'P-Parametri'!$B$8*(E996+D996)))</f>
        <v>33242.0070309863</v>
      </c>
      <c r="G996" s="18">
        <f>IF($A996&gt;'1-Input'!$B$26,E996,E996-MIN(MAX(E996,0),'P-Parametri'!$B$8*(E996+D996)))</f>
        <v>148068.48851295863</v>
      </c>
      <c r="H996" s="18">
        <f>IF($A996&gt;'1-Input'!$B$26,H995,H995-C996*(1-B996))</f>
        <v>43439.832116379941</v>
      </c>
      <c r="I996" s="11">
        <f>IF($A996&gt;'1-Input'!$B$26,0,IF(N995&lt;=0,0,MAX(0,(N995-O995)/N995)))</f>
        <v>0</v>
      </c>
      <c r="J996" s="18">
        <f>IF($A996&gt;'1-Input'!$B$26,0,(MAX(0,I946-IF($A996&gt;='1-Input'!$C$12,'1-Input'!$B$12,0))-MIN(MAX(M995,0),MAX(0,I946-IF($A996&gt;='1-Input'!$C$12,'1-Input'!$B$12,0))))*(1/(1-'P-Parametri'!$B$6*I996))+MIN(MAX(0,N995-(MAX(0,I946-IF($A996&gt;='1-Input'!$C$12,'1-Input'!$B$12,0))-MIN(MAX(M995,0),MAX(0,I946-IF($A996&gt;='1-Input'!$C$12,'1-Input'!$B$12,0))))*(1/(1-'P-Parametri'!$B$6*I996))),MAX(0,2*I946-(M995-MIN(MAX(M995,0),MAX(0,I946-IF($A996&gt;='1-Input'!$C$12,'1-Input'!$B$12,0)))))*(1/(1-'P-Parametri'!$B$6*I996))))</f>
        <v>0</v>
      </c>
      <c r="K996" s="18">
        <f>IF($A996&gt;'1-Input'!$B$26,M995,(M995-MAX(0,I946-IF($A996&gt;='1-Input'!$C$12,'1-Input'!$B$12,0))+J996*(1-'P-Parametri'!$B$6*I996))*(1+'1-Input'!$B$27))</f>
        <v>0</v>
      </c>
      <c r="L996" s="18">
        <f>IF($A996&gt;'1-Input'!$B$26,N995,(N995-J996)*(1+'5-Roberta'!$C$4))</f>
        <v>-269972.9352958278</v>
      </c>
      <c r="M996" s="18">
        <f>IF($A996&gt;'1-Input'!$B$26,K996,K996-'P-Parametri'!$B$8*(L996+K996)+MIN(MAX(L996,0),'P-Parametri'!$B$8*(L996+K996)))</f>
        <v>0</v>
      </c>
      <c r="N996" s="18">
        <f>IF($A996&gt;'1-Input'!$B$26,L996,L996-MIN(MAX(L996,0),'P-Parametri'!$B$8*(L996+K996)))</f>
        <v>-269972.9352958278</v>
      </c>
      <c r="O996" s="18">
        <f>IF($A996&gt;'1-Input'!$B$26,O995,O995-J996*(1-I996))</f>
        <v>-203359.96536027771</v>
      </c>
      <c r="P996" s="11">
        <f>IF($A996&gt;'1-Input'!$B$26,0,IF(U995&lt;=0,0,MAX(0,(U995-V995)/U995)))</f>
        <v>0</v>
      </c>
      <c r="Q996" s="18">
        <f>IF($A996&gt;'1-Input'!$B$26,0,(MAX(0,P946-IF($A996&gt;='1-Input'!$C$12,'1-Input'!$B$12,0))-MIN(MAX(T995,0),MAX(0,P946-IF($A996&gt;='1-Input'!$C$12,'1-Input'!$B$12,0))))*(1/(1-'P-Parametri'!$B$6*P996))+MIN(MAX(0,U995-(MAX(0,P946-IF($A996&gt;='1-Input'!$C$12,'1-Input'!$B$12,0))-MIN(MAX(T995,0),MAX(0,P946-IF($A996&gt;='1-Input'!$C$12,'1-Input'!$B$12,0))))*(1/(1-'P-Parametri'!$B$6*P996))),MAX(0,2*P946-(T995-MIN(MAX(T995,0),MAX(0,P946-IF($A996&gt;='1-Input'!$C$12,'1-Input'!$B$12,0)))))*(1/(1-'P-Parametri'!$B$6*P996))))</f>
        <v>0</v>
      </c>
      <c r="R996" s="18">
        <f>IF($A996&gt;'1-Input'!$B$26,T995,(T995-MAX(0,P946-IF($A996&gt;='1-Input'!$C$12,'1-Input'!$B$12,0))+Q996*(1-'P-Parametri'!$B$6*P996))*(1+'1-Input'!$B$27))</f>
        <v>0</v>
      </c>
      <c r="S996" s="18">
        <f>IF($A996&gt;'1-Input'!$B$26,U995,(U995-Q996)*(1+'5-Roberta'!$C$4))</f>
        <v>-20704.653259823226</v>
      </c>
      <c r="T996" s="18">
        <f>IF($A996&gt;'1-Input'!$B$26,R996,R996-'P-Parametri'!$B$8*(S996+R996)+MIN(MAX(S996,0),'P-Parametri'!$B$8*(S996+R996)))</f>
        <v>0</v>
      </c>
      <c r="U996" s="18">
        <f>IF($A996&gt;'1-Input'!$B$26,S996,S996-MIN(MAX(S996,0),'P-Parametri'!$B$8*(S996+R996)))</f>
        <v>-20704.653259823226</v>
      </c>
      <c r="V996" s="18">
        <f>IF($A996&gt;'1-Input'!$B$26,V995,V995-Q996*(1-P996))</f>
        <v>-19683.647377525689</v>
      </c>
      <c r="W996" s="11">
        <f>IF($A996&gt;'1-Input'!$B$26,0,IF(AB995&lt;=0,0,MAX(0,(AB995-AC995)/AB995)))</f>
        <v>0</v>
      </c>
      <c r="X996" s="18">
        <f>IF($A996&gt;'1-Input'!$B$26,0,(MAX(0,W946-IF($A996&gt;='1-Input'!$C$12,'1-Input'!$B$12,0))-MIN(MAX(AA995,0),MAX(0,W946-IF($A996&gt;='1-Input'!$C$12,'1-Input'!$B$12,0))))*(1/(1-'P-Parametri'!$B$6*W996))+MIN(MAX(0,AB995-(MAX(0,W946-IF($A996&gt;='1-Input'!$C$12,'1-Input'!$B$12,0))-MIN(MAX(AA995,0),MAX(0,W946-IF($A996&gt;='1-Input'!$C$12,'1-Input'!$B$12,0))))*(1/(1-'P-Parametri'!$B$6*W996))),MAX(0,2*W946-(AA995-MIN(MAX(AA995,0),MAX(0,W946-IF($A996&gt;='1-Input'!$C$12,'1-Input'!$B$12,0)))))*(1/(1-'P-Parametri'!$B$6*W996))))</f>
        <v>0</v>
      </c>
      <c r="Y996" s="18">
        <f>IF($A996&gt;'1-Input'!$B$26,AA995,(AA995-MAX(0,W946-IF($A996&gt;='1-Input'!$C$12,'1-Input'!$B$12,0))+X996*(1-'P-Parametri'!$B$6*W996))*(1+'1-Input'!$B$27))</f>
        <v>0</v>
      </c>
      <c r="Z996" s="18">
        <f>IF($A996&gt;'1-Input'!$B$26,AB995,(AB995-X996)*(1+'5-Roberta'!$C$4))</f>
        <v>-1183.2237252094526</v>
      </c>
      <c r="AA996" s="18">
        <f>IF($A996&gt;'1-Input'!$B$26,Y996,Y996-'P-Parametri'!$B$8*(Z996+Y996)+MIN(MAX(Z996,0),'P-Parametri'!$B$8*(Z996+Y996)))</f>
        <v>0</v>
      </c>
      <c r="AB996" s="18">
        <f>IF($A996&gt;'1-Input'!$B$26,Z996,Z996-MIN(MAX(Z996,0),'P-Parametri'!$B$8*(Z996+Y996)))</f>
        <v>-1183.2237252094526</v>
      </c>
      <c r="AC996" s="18">
        <f>IF($A996&gt;'1-Input'!$B$26,AC995,AC995-X996*(1-W996))</f>
        <v>-1151.0630243102246</v>
      </c>
      <c r="AD996" s="11">
        <f>IF($A996&gt;'1-Input'!$B$26,0,IF(AI995&lt;=0,0,MAX(0,(AI995-AJ995)/AI995)))</f>
        <v>0</v>
      </c>
      <c r="AE996" s="18">
        <f>IF($A996&gt;'1-Input'!$B$26,0,(MAX(0,AD946-IF($A996&gt;='1-Input'!$C$12,'1-Input'!$B$12,0))-MIN(MAX(AH995,0),MAX(0,AD946-IF($A996&gt;='1-Input'!$C$12,'1-Input'!$B$12,0))))*(1/(1-'P-Parametri'!$B$6*AD996))+MIN(MAX(0,AI995-(MAX(0,AD946-IF($A996&gt;='1-Input'!$C$12,'1-Input'!$B$12,0))-MIN(MAX(AH995,0),MAX(0,AD946-IF($A996&gt;='1-Input'!$C$12,'1-Input'!$B$12,0))))*(1/(1-'P-Parametri'!$B$6*AD996))),MAX(0,2*AD946-(AH995-MIN(MAX(AH995,0),MAX(0,AD946-IF($A996&gt;='1-Input'!$C$12,'1-Input'!$B$12,0)))))*(1/(1-'P-Parametri'!$B$6*AD996))))</f>
        <v>0</v>
      </c>
      <c r="AF996" s="18">
        <f>IF($A996&gt;'1-Input'!$B$26,AH995,(AH995-MAX(0,AD946-IF($A996&gt;='1-Input'!$C$12,'1-Input'!$B$12,0))+AE996*(1-'P-Parametri'!$B$6*AD996))*(1+'1-Input'!$B$27))</f>
        <v>27.539068738612457</v>
      </c>
      <c r="AG996" s="18">
        <f>IF($A996&gt;'1-Input'!$B$26,AI995,(AI995-AE996)*(1+'5-Roberta'!$C$4))</f>
        <v>0</v>
      </c>
      <c r="AH996" s="18">
        <f>IF($A996&gt;'1-Input'!$B$26,AF996,AF996-'P-Parametri'!$B$8*(AG996+AF996)+MIN(MAX(AG996,0),'P-Parametri'!$B$8*(AG996+AF996)))</f>
        <v>27.539068738612457</v>
      </c>
      <c r="AI996" s="18">
        <f>IF($A996&gt;'1-Input'!$B$26,AG996,AG996-MIN(MAX(AG996,0),'P-Parametri'!$B$8*(AG996+AF996)))</f>
        <v>0</v>
      </c>
      <c r="AJ996" s="18">
        <f>IF($A996&gt;'1-Input'!$B$26,AJ995,AJ995-AE996*(1-AD996))</f>
        <v>0</v>
      </c>
      <c r="AK996" s="11">
        <f>IF($A996&gt;'1-Input'!$B$26,0,IF(AP995&lt;=0,0,MAX(0,(AP995-AQ995)/AP995)))</f>
        <v>0</v>
      </c>
      <c r="AL996" s="18">
        <f>IF($A996&gt;'1-Input'!$B$26,0,(MAX(0,AK946-IF($A996&gt;='1-Input'!$C$12,'1-Input'!$B$12,0))-MIN(MAX(AO995,0),MAX(0,AK946-IF($A996&gt;='1-Input'!$C$12,'1-Input'!$B$12,0))))*(1/(1-'P-Parametri'!$B$6*AK996))+MIN(MAX(0,AP995-(MAX(0,AK946-IF($A996&gt;='1-Input'!$C$12,'1-Input'!$B$12,0))-MIN(MAX(AO995,0),MAX(0,AK946-IF($A996&gt;='1-Input'!$C$12,'1-Input'!$B$12,0))))*(1/(1-'P-Parametri'!$B$6*AK996))),MAX(0,2*AK946-(AO995-MIN(MAX(AO995,0),MAX(0,AK946-IF($A996&gt;='1-Input'!$C$12,'1-Input'!$B$12,0)))))*(1/(1-'P-Parametri'!$B$6*AK996))))</f>
        <v>0</v>
      </c>
      <c r="AM996" s="18">
        <f>IF($A996&gt;'1-Input'!$B$26,AO995,(AO995-MAX(0,AK946-IF($A996&gt;='1-Input'!$C$12,'1-Input'!$B$12,0))+AL996*(1-'P-Parametri'!$B$6*AK996))*(1+'1-Input'!$B$27))</f>
        <v>0.99628334726372569</v>
      </c>
      <c r="AN996" s="18">
        <f>IF($A996&gt;'1-Input'!$B$26,AP995,(AP995-AL996)*(1+'5-Roberta'!$C$4))</f>
        <v>0</v>
      </c>
      <c r="AO996" s="18">
        <f>IF($A996&gt;'1-Input'!$B$26,AM996,AM996-'P-Parametri'!$B$8*(AN996+AM996)+MIN(MAX(AN996,0),'P-Parametri'!$B$8*(AN996+AM996)))</f>
        <v>0.99628334726372569</v>
      </c>
      <c r="AP996" s="18">
        <f>IF($A996&gt;'1-Input'!$B$26,AN996,AN996-MIN(MAX(AN996,0),'P-Parametri'!$B$8*(AN996+AM996)))</f>
        <v>0</v>
      </c>
      <c r="AQ996" s="18">
        <f>IF($A996&gt;'1-Input'!$B$26,AQ995,AQ995-AL996*(1-AK996))</f>
        <v>0</v>
      </c>
    </row>
    <row r="997" spans="1:43">
      <c r="A997" s="4" t="s">
        <v>365</v>
      </c>
      <c r="B997" s="18">
        <f>F996+G996</f>
        <v>181310.49554394494</v>
      </c>
      <c r="I997" s="18">
        <f>M996+N996</f>
        <v>-269972.9352958278</v>
      </c>
      <c r="P997" s="18">
        <f>T996+U996</f>
        <v>-20704.653259823226</v>
      </c>
      <c r="W997" s="18">
        <f>AA996+AB996</f>
        <v>-1183.2237252094526</v>
      </c>
      <c r="AD997" s="18">
        <f>AH996+AI996</f>
        <v>27.539068738612457</v>
      </c>
      <c r="AK997" s="18">
        <f>AO996+AP996</f>
        <v>0.99628334726372569</v>
      </c>
    </row>
    <row r="998" spans="1:43">
      <c r="A998" s="5" t="s">
        <v>266</v>
      </c>
      <c r="B998" s="18">
        <f>IFERROR(AK946-AK997*(AK946-AD946)/(AK997-AD997),AK946)</f>
        <v>18520.195908826445</v>
      </c>
    </row>
    <row r="1000" spans="1:43">
      <c r="A1000" s="2" t="s">
        <v>427</v>
      </c>
    </row>
    <row r="1001" spans="1:43">
      <c r="A1001" s="4" t="s">
        <v>360</v>
      </c>
      <c r="B1001" s="9">
        <f>0.038*'2-Caso'!$B$12</f>
        <v>16681.055314625803</v>
      </c>
      <c r="I1001" s="9">
        <f>0.05*'2-Caso'!$B$12</f>
        <v>21948.756992928691</v>
      </c>
      <c r="P1001" s="18">
        <f>IFERROR(I1001-I1052*(I1001-B1001)/(I1052-B1052),I1001)</f>
        <v>18607.376761776497</v>
      </c>
      <c r="W1001" s="18">
        <f>IFERROR(P1001-P1052*(P1001-I1001)/(P1052-I1052),P1001)</f>
        <v>18356.666974306827</v>
      </c>
      <c r="AD1001" s="18">
        <f>IFERROR(W1001-W1052*(W1001-P1001)/(W1052-P1052),W1001)</f>
        <v>18365.895035364767</v>
      </c>
      <c r="AK1001" s="18">
        <f>IFERROR(AD1001-AD1052*(AD1001-W1001)/(AD1052-W1052),AD1001)</f>
        <v>18364.455130964441</v>
      </c>
    </row>
    <row r="1002" spans="1:43" ht="45">
      <c r="A1002" s="25" t="s">
        <v>262</v>
      </c>
      <c r="B1002" s="25" t="s">
        <v>361</v>
      </c>
      <c r="C1002" s="25" t="s">
        <v>263</v>
      </c>
      <c r="D1002" s="25" t="s">
        <v>362</v>
      </c>
      <c r="E1002" s="25" t="s">
        <v>363</v>
      </c>
      <c r="F1002" s="25" t="s">
        <v>264</v>
      </c>
      <c r="G1002" s="25" t="s">
        <v>265</v>
      </c>
      <c r="H1002" s="25" t="s">
        <v>364</v>
      </c>
      <c r="I1002" s="25" t="s">
        <v>361</v>
      </c>
      <c r="J1002" s="25" t="s">
        <v>263</v>
      </c>
      <c r="K1002" s="25" t="s">
        <v>362</v>
      </c>
      <c r="L1002" s="25" t="s">
        <v>363</v>
      </c>
      <c r="M1002" s="25" t="s">
        <v>264</v>
      </c>
      <c r="N1002" s="25" t="s">
        <v>265</v>
      </c>
      <c r="O1002" s="25" t="s">
        <v>364</v>
      </c>
      <c r="P1002" s="25" t="s">
        <v>361</v>
      </c>
      <c r="Q1002" s="25" t="s">
        <v>263</v>
      </c>
      <c r="R1002" s="25" t="s">
        <v>362</v>
      </c>
      <c r="S1002" s="25" t="s">
        <v>363</v>
      </c>
      <c r="T1002" s="25" t="s">
        <v>264</v>
      </c>
      <c r="U1002" s="25" t="s">
        <v>265</v>
      </c>
      <c r="V1002" s="25" t="s">
        <v>364</v>
      </c>
      <c r="W1002" s="25" t="s">
        <v>361</v>
      </c>
      <c r="X1002" s="25" t="s">
        <v>263</v>
      </c>
      <c r="Y1002" s="25" t="s">
        <v>362</v>
      </c>
      <c r="Z1002" s="25" t="s">
        <v>363</v>
      </c>
      <c r="AA1002" s="25" t="s">
        <v>264</v>
      </c>
      <c r="AB1002" s="25" t="s">
        <v>265</v>
      </c>
      <c r="AC1002" s="25" t="s">
        <v>364</v>
      </c>
      <c r="AD1002" s="25" t="s">
        <v>361</v>
      </c>
      <c r="AE1002" s="25" t="s">
        <v>263</v>
      </c>
      <c r="AF1002" s="25" t="s">
        <v>362</v>
      </c>
      <c r="AG1002" s="25" t="s">
        <v>363</v>
      </c>
      <c r="AH1002" s="25" t="s">
        <v>264</v>
      </c>
      <c r="AI1002" s="25" t="s">
        <v>265</v>
      </c>
      <c r="AJ1002" s="25" t="s">
        <v>364</v>
      </c>
      <c r="AK1002" s="25" t="s">
        <v>361</v>
      </c>
      <c r="AL1002" s="25" t="s">
        <v>263</v>
      </c>
      <c r="AM1002" s="25" t="s">
        <v>362</v>
      </c>
      <c r="AN1002" s="25" t="s">
        <v>363</v>
      </c>
      <c r="AO1002" s="25" t="s">
        <v>264</v>
      </c>
      <c r="AP1002" s="25" t="s">
        <v>265</v>
      </c>
      <c r="AQ1002" s="25" t="s">
        <v>364</v>
      </c>
    </row>
    <row r="1003" spans="1:43">
      <c r="A1003" s="3">
        <v>0</v>
      </c>
      <c r="F1003" s="18">
        <f>MIN(0*B1001,'2-Caso'!$B$12)</f>
        <v>0</v>
      </c>
      <c r="G1003" s="18">
        <f>'2-Caso'!$B$12-F1003</f>
        <v>438975.13985857379</v>
      </c>
      <c r="H1003" s="18">
        <f>('2-Caso'!$B$12*0.625)*G1003/'2-Caso'!$B$12</f>
        <v>274359.46241160861</v>
      </c>
      <c r="M1003" s="18">
        <f>MIN(0*I1001,'2-Caso'!$B$12)</f>
        <v>0</v>
      </c>
      <c r="N1003" s="18">
        <f>'2-Caso'!$B$12-M1003</f>
        <v>438975.13985857379</v>
      </c>
      <c r="O1003" s="18">
        <f>('2-Caso'!$B$12*0.625)*N1003/'2-Caso'!$B$12</f>
        <v>274359.46241160861</v>
      </c>
      <c r="T1003" s="18">
        <f>MIN(0*P1001,'2-Caso'!$B$12)</f>
        <v>0</v>
      </c>
      <c r="U1003" s="18">
        <f>'2-Caso'!$B$12-T1003</f>
        <v>438975.13985857379</v>
      </c>
      <c r="V1003" s="18">
        <f>('2-Caso'!$B$12*0.625)*U1003/'2-Caso'!$B$12</f>
        <v>274359.46241160861</v>
      </c>
      <c r="AA1003" s="18">
        <f>MIN(0*W1001,'2-Caso'!$B$12)</f>
        <v>0</v>
      </c>
      <c r="AB1003" s="18">
        <f>'2-Caso'!$B$12-AA1003</f>
        <v>438975.13985857379</v>
      </c>
      <c r="AC1003" s="18">
        <f>('2-Caso'!$B$12*0.625)*AB1003/'2-Caso'!$B$12</f>
        <v>274359.46241160861</v>
      </c>
      <c r="AH1003" s="18">
        <f>MIN(0*AD1001,'2-Caso'!$B$12)</f>
        <v>0</v>
      </c>
      <c r="AI1003" s="18">
        <f>'2-Caso'!$B$12-AH1003</f>
        <v>438975.13985857379</v>
      </c>
      <c r="AJ1003" s="18">
        <f>('2-Caso'!$B$12*0.625)*AI1003/'2-Caso'!$B$12</f>
        <v>274359.46241160861</v>
      </c>
      <c r="AO1003" s="18">
        <f>MIN(0*AK1001,'2-Caso'!$B$12)</f>
        <v>0</v>
      </c>
      <c r="AP1003" s="18">
        <f>'2-Caso'!$B$12-AO1003</f>
        <v>438975.13985857379</v>
      </c>
      <c r="AQ1003" s="18">
        <f>('2-Caso'!$B$12*0.625)*AP1003/'2-Caso'!$B$12</f>
        <v>274359.46241160861</v>
      </c>
    </row>
    <row r="1004" spans="1:43">
      <c r="A1004" s="10">
        <f>1</f>
        <v>1</v>
      </c>
      <c r="B1004" s="11">
        <f>IF($A1004&gt;'1-Input'!$B$26,0,IF(G1003&lt;=0,0,MAX(0,(G1003-H1003)/G1003)))</f>
        <v>0.37500000000000006</v>
      </c>
      <c r="C1004" s="18">
        <f>IF($A1004&gt;'1-Input'!$B$26,0,(MAX(0,B1001-IF($A1004&gt;='1-Input'!$C$12,'1-Input'!$B$12,0))-MIN(MAX(F1003,0),MAX(0,B1001-IF($A1004&gt;='1-Input'!$C$12,'1-Input'!$B$12,0))))*(1/(1-'P-Parametri'!$B$6*B1004))+MIN(MAX(0,G1003-(MAX(0,B1001-IF($A1004&gt;='1-Input'!$C$12,'1-Input'!$B$12,0))-MIN(MAX(F1003,0),MAX(0,B1001-IF($A1004&gt;='1-Input'!$C$12,'1-Input'!$B$12,0))))*(1/(1-'P-Parametri'!$B$6*B1004))),MAX(0,0*B1001-(F1003-MIN(MAX(F1003,0),MAX(0,B1001-IF($A1004&gt;='1-Input'!$C$12,'1-Input'!$B$12,0)))))*(1/(1-'P-Parametri'!$B$6*B1004))))</f>
        <v>18483.163783518896</v>
      </c>
      <c r="D1004" s="18">
        <f>IF($A1004&gt;'1-Input'!$B$26,F1003,(F1003-MAX(0,B1001-IF($A1004&gt;='1-Input'!$C$12,'1-Input'!$B$12,0))+C1004*(1-'P-Parametri'!$B$6*B1004))*(1+'1-Input'!$B$27))</f>
        <v>0</v>
      </c>
      <c r="E1004" s="18">
        <f>IF($A1004&gt;'1-Input'!$B$26,G1003,(G1003-C1004)*(1+'5-Roberta'!$C$4))</f>
        <v>433106.73535730655</v>
      </c>
      <c r="F1004" s="18">
        <f>IF($A1004&gt;'1-Input'!$B$26,D1004,D1004-'P-Parametri'!$B$8*(E1004+D1004)+MIN(MAX(E1004,0),'P-Parametri'!$B$8*(E1004+D1004)))</f>
        <v>0</v>
      </c>
      <c r="G1004" s="18">
        <f>IF($A1004&gt;'1-Input'!$B$26,E1004,E1004-MIN(MAX(E1004,0),'P-Parametri'!$B$8*(E1004+D1004)))</f>
        <v>432240.52188659192</v>
      </c>
      <c r="H1004" s="18">
        <f>IF($A1004&gt;'1-Input'!$B$26,H1003,H1003-C1004*(1-B1004))</f>
        <v>262807.48504690931</v>
      </c>
      <c r="I1004" s="11">
        <f>IF($A1004&gt;'1-Input'!$B$26,0,IF(N1003&lt;=0,0,MAX(0,(N1003-O1003)/N1003)))</f>
        <v>0.37500000000000006</v>
      </c>
      <c r="J1004" s="18">
        <f>IF($A1004&gt;'1-Input'!$B$26,0,(MAX(0,I1001-IF($A1004&gt;='1-Input'!$C$12,'1-Input'!$B$12,0))-MIN(MAX(M1003,0),MAX(0,I1001-IF($A1004&gt;='1-Input'!$C$12,'1-Input'!$B$12,0))))*(1/(1-'P-Parametri'!$B$6*I1004))+MIN(MAX(0,N1003-(MAX(0,I1001-IF($A1004&gt;='1-Input'!$C$12,'1-Input'!$B$12,0))-MIN(MAX(M1003,0),MAX(0,I1001-IF($A1004&gt;='1-Input'!$C$12,'1-Input'!$B$12,0))))*(1/(1-'P-Parametri'!$B$6*I1004))),MAX(0,0*I1001-(M1003-MIN(MAX(M1003,0),MAX(0,I1001-IF($A1004&gt;='1-Input'!$C$12,'1-Input'!$B$12,0)))))*(1/(1-'P-Parametri'!$B$6*I1004))))</f>
        <v>24319.952346735394</v>
      </c>
      <c r="K1004" s="18">
        <f>IF($A1004&gt;'1-Input'!$B$26,M1003,(M1003-MAX(0,I1001-IF($A1004&gt;='1-Input'!$C$12,'1-Input'!$B$12,0))+J1004*(1-'P-Parametri'!$B$6*I1004))*(1+'1-Input'!$B$27))</f>
        <v>0</v>
      </c>
      <c r="L1004" s="18">
        <f>IF($A1004&gt;'1-Input'!$B$26,N1003,(N1003-J1004)*(1+'5-Roberta'!$C$4))</f>
        <v>427094.84313719353</v>
      </c>
      <c r="M1004" s="18">
        <f>IF($A1004&gt;'1-Input'!$B$26,K1004,K1004-'P-Parametri'!$B$8*(L1004+K1004)+MIN(MAX(L1004,0),'P-Parametri'!$B$8*(L1004+K1004)))</f>
        <v>0</v>
      </c>
      <c r="N1004" s="18">
        <f>IF($A1004&gt;'1-Input'!$B$26,L1004,L1004-MIN(MAX(L1004,0),'P-Parametri'!$B$8*(L1004+K1004)))</f>
        <v>426240.65345091914</v>
      </c>
      <c r="O1004" s="18">
        <f>IF($A1004&gt;'1-Input'!$B$26,O1003,O1003-J1004*(1-I1004))</f>
        <v>259159.49219489898</v>
      </c>
      <c r="P1004" s="11">
        <f>IF($A1004&gt;'1-Input'!$B$26,0,IF(U1003&lt;=0,0,MAX(0,(U1003-V1003)/U1003)))</f>
        <v>0.37500000000000006</v>
      </c>
      <c r="Q1004" s="18">
        <f>IF($A1004&gt;'1-Input'!$B$26,0,(MAX(0,P1001-IF($A1004&gt;='1-Input'!$C$12,'1-Input'!$B$12,0))-MIN(MAX(T1003,0),MAX(0,P1001-IF($A1004&gt;='1-Input'!$C$12,'1-Input'!$B$12,0))))*(1/(1-'P-Parametri'!$B$6*P1004))+MIN(MAX(0,U1003-(MAX(0,P1001-IF($A1004&gt;='1-Input'!$C$12,'1-Input'!$B$12,0))-MIN(MAX(T1003,0),MAX(0,P1001-IF($A1004&gt;='1-Input'!$C$12,'1-Input'!$B$12,0))))*(1/(1-'P-Parametri'!$B$6*P1004))),MAX(0,0*P1001-(T1003-MIN(MAX(T1003,0),MAX(0,P1001-IF($A1004&gt;='1-Input'!$C$12,'1-Input'!$B$12,0)))))*(1/(1-'P-Parametri'!$B$6*P1004))))</f>
        <v>20617.591979807756</v>
      </c>
      <c r="R1004" s="18">
        <f>IF($A1004&gt;'1-Input'!$B$26,T1003,(T1003-MAX(0,P1001-IF($A1004&gt;='1-Input'!$C$12,'1-Input'!$B$12,0))+Q1004*(1-'P-Parametri'!$B$6*P1004))*(1+'1-Input'!$B$27))</f>
        <v>3.6248820833861826E-12</v>
      </c>
      <c r="S1004" s="18">
        <f>IF($A1004&gt;'1-Input'!$B$26,U1003,(U1003-Q1004)*(1+'5-Roberta'!$C$4))</f>
        <v>430908.27431512903</v>
      </c>
      <c r="T1004" s="18">
        <f>IF($A1004&gt;'1-Input'!$B$26,R1004,R1004-'P-Parametri'!$B$8*(S1004+R1004)+MIN(MAX(S1004,0),'P-Parametri'!$B$8*(S1004+R1004)))</f>
        <v>3.637978807091713E-12</v>
      </c>
      <c r="U1004" s="18">
        <f>IF($A1004&gt;'1-Input'!$B$26,S1004,S1004-MIN(MAX(S1004,0),'P-Parametri'!$B$8*(S1004+R1004)))</f>
        <v>430046.45776649879</v>
      </c>
      <c r="V1004" s="18">
        <f>IF($A1004&gt;'1-Input'!$B$26,V1003,V1003-Q1004*(1-P1004))</f>
        <v>261473.46742422876</v>
      </c>
      <c r="W1004" s="11">
        <f>IF($A1004&gt;'1-Input'!$B$26,0,IF(AB1003&lt;=0,0,MAX(0,(AB1003-AC1003)/AB1003)))</f>
        <v>0.37500000000000006</v>
      </c>
      <c r="X1004" s="18">
        <f>IF($A1004&gt;'1-Input'!$B$26,0,(MAX(0,W1001-IF($A1004&gt;='1-Input'!$C$12,'1-Input'!$B$12,0))-MIN(MAX(AA1003,0),MAX(0,W1001-IF($A1004&gt;='1-Input'!$C$12,'1-Input'!$B$12,0))))*(1/(1-'P-Parametri'!$B$6*W1004))+MIN(MAX(0,AB1003-(MAX(0,W1001-IF($A1004&gt;='1-Input'!$C$12,'1-Input'!$B$12,0))-MIN(MAX(AA1003,0),MAX(0,W1001-IF($A1004&gt;='1-Input'!$C$12,'1-Input'!$B$12,0))))*(1/(1-'P-Parametri'!$B$6*W1004))),MAX(0,0*W1001-(AA1003-MIN(MAX(AA1003,0),MAX(0,W1001-IF($A1004&gt;='1-Input'!$C$12,'1-Input'!$B$12,0)))))*(1/(1-'P-Parametri'!$B$6*W1004))))</f>
        <v>20339.797201448007</v>
      </c>
      <c r="Y1004" s="18">
        <f>IF($A1004&gt;'1-Input'!$B$26,AA1003,(AA1003-MAX(0,W1001-IF($A1004&gt;='1-Input'!$C$12,'1-Input'!$B$12,0))+X1004*(1-'P-Parametri'!$B$6*W1004))*(1+'1-Input'!$B$27))</f>
        <v>0</v>
      </c>
      <c r="Z1004" s="18">
        <f>IF($A1004&gt;'1-Input'!$B$26,AB1003,(AB1003-X1004)*(1+'5-Roberta'!$C$4))</f>
        <v>431194.40293683956</v>
      </c>
      <c r="AA1004" s="18">
        <f>IF($A1004&gt;'1-Input'!$B$26,Y1004,Y1004-'P-Parametri'!$B$8*(Z1004+Y1004)+MIN(MAX(Z1004,0),'P-Parametri'!$B$8*(Z1004+Y1004)))</f>
        <v>0</v>
      </c>
      <c r="AB1004" s="18">
        <f>IF($A1004&gt;'1-Input'!$B$26,Z1004,Z1004-MIN(MAX(Z1004,0),'P-Parametri'!$B$8*(Z1004+Y1004)))</f>
        <v>430332.01413096586</v>
      </c>
      <c r="AC1004" s="18">
        <f>IF($A1004&gt;'1-Input'!$B$26,AC1003,AC1003-X1004*(1-W1004))</f>
        <v>261647.08916070359</v>
      </c>
      <c r="AD1004" s="11">
        <f>IF($A1004&gt;'1-Input'!$B$26,0,IF(AI1003&lt;=0,0,MAX(0,(AI1003-AJ1003)/AI1003)))</f>
        <v>0.37500000000000006</v>
      </c>
      <c r="AE1004" s="18">
        <f>IF($A1004&gt;'1-Input'!$B$26,0,(MAX(0,AD1001-IF($A1004&gt;='1-Input'!$C$12,'1-Input'!$B$12,0))-MIN(MAX(AH1003,0),MAX(0,AD1001-IF($A1004&gt;='1-Input'!$C$12,'1-Input'!$B$12,0))))*(1/(1-'P-Parametri'!$B$6*AD1004))+MIN(MAX(0,AI1003-(MAX(0,AD1001-IF($A1004&gt;='1-Input'!$C$12,'1-Input'!$B$12,0))-MIN(MAX(AH1003,0),MAX(0,AD1001-IF($A1004&gt;='1-Input'!$C$12,'1-Input'!$B$12,0))))*(1/(1-'P-Parametri'!$B$6*AD1004))),MAX(0,0*AD1001-(AH1003-MIN(MAX(AH1003,0),MAX(0,AD1001-IF($A1004&gt;='1-Input'!$C$12,'1-Input'!$B$12,0)))))*(1/(1-'P-Parametri'!$B$6*AD1004))))</f>
        <v>20350.022199850158</v>
      </c>
      <c r="AF1004" s="18">
        <f>IF($A1004&gt;'1-Input'!$B$26,AH1003,(AH1003-MAX(0,AD1001-IF($A1004&gt;='1-Input'!$C$12,'1-Input'!$B$12,0))+AE1004*(1-'P-Parametri'!$B$6*AD1004))*(1+'1-Input'!$B$27))</f>
        <v>0</v>
      </c>
      <c r="AG1004" s="18">
        <f>IF($A1004&gt;'1-Input'!$B$26,AI1003,(AI1003-AE1004)*(1+'5-Roberta'!$C$4))</f>
        <v>431183.87118848535</v>
      </c>
      <c r="AH1004" s="18">
        <f>IF($A1004&gt;'1-Input'!$B$26,AF1004,AF1004-'P-Parametri'!$B$8*(AG1004+AF1004)+MIN(MAX(AG1004,0),'P-Parametri'!$B$8*(AG1004+AF1004)))</f>
        <v>0</v>
      </c>
      <c r="AI1004" s="18">
        <f>IF($A1004&gt;'1-Input'!$B$26,AG1004,AG1004-MIN(MAX(AG1004,0),'P-Parametri'!$B$8*(AG1004+AF1004)))</f>
        <v>430321.50344610837</v>
      </c>
      <c r="AJ1004" s="18">
        <f>IF($A1004&gt;'1-Input'!$B$26,AJ1003,AJ1003-AE1004*(1-AD1004))</f>
        <v>261640.69853670226</v>
      </c>
      <c r="AK1004" s="11">
        <f>IF($A1004&gt;'1-Input'!$B$26,0,IF(AP1003&lt;=0,0,MAX(0,(AP1003-AQ1003)/AP1003)))</f>
        <v>0.37500000000000006</v>
      </c>
      <c r="AL1004" s="18">
        <f>IF($A1004&gt;'1-Input'!$B$26,0,(MAX(0,AK1001-IF($A1004&gt;='1-Input'!$C$12,'1-Input'!$B$12,0))-MIN(MAX(AO1003,0),MAX(0,AK1001-IF($A1004&gt;='1-Input'!$C$12,'1-Input'!$B$12,0))))*(1/(1-'P-Parametri'!$B$6*AK1004))+MIN(MAX(0,AP1003-(MAX(0,AK1001-IF($A1004&gt;='1-Input'!$C$12,'1-Input'!$B$12,0))-MIN(MAX(AO1003,0),MAX(0,AK1001-IF($A1004&gt;='1-Input'!$C$12,'1-Input'!$B$12,0))))*(1/(1-'P-Parametri'!$B$6*AK1004))),MAX(0,0*AK1001-(AO1003-MIN(MAX(AO1003,0),MAX(0,AK1001-IF($A1004&gt;='1-Input'!$C$12,'1-Input'!$B$12,0)))))*(1/(1-'P-Parametri'!$B$6*AK1004))))</f>
        <v>20348.42673791074</v>
      </c>
      <c r="AM1004" s="18">
        <f>IF($A1004&gt;'1-Input'!$B$26,AO1003,(AO1003-MAX(0,AK1001-IF($A1004&gt;='1-Input'!$C$12,'1-Input'!$B$12,0))+AL1004*(1-'P-Parametri'!$B$6*AK1004))*(1+'1-Input'!$B$27))</f>
        <v>0</v>
      </c>
      <c r="AN1004" s="18">
        <f>IF($A1004&gt;'1-Input'!$B$26,AP1003,(AP1003-AL1004)*(1+'5-Roberta'!$C$4))</f>
        <v>431185.51451428299</v>
      </c>
      <c r="AO1004" s="18">
        <f>IF($A1004&gt;'1-Input'!$B$26,AM1004,AM1004-'P-Parametri'!$B$8*(AN1004+AM1004)+MIN(MAX(AN1004,0),'P-Parametri'!$B$8*(AN1004+AM1004)))</f>
        <v>0</v>
      </c>
      <c r="AP1004" s="18">
        <f>IF($A1004&gt;'1-Input'!$B$26,AN1004,AN1004-MIN(MAX(AN1004,0),'P-Parametri'!$B$8*(AN1004+AM1004)))</f>
        <v>430323.14348525443</v>
      </c>
      <c r="AQ1004" s="18">
        <f>IF($A1004&gt;'1-Input'!$B$26,AQ1003,AQ1003-AL1004*(1-AK1004))</f>
        <v>261641.69570041439</v>
      </c>
    </row>
    <row r="1005" spans="1:43">
      <c r="A1005" s="10">
        <f>2</f>
        <v>2</v>
      </c>
      <c r="B1005" s="11">
        <f>IF($A1005&gt;'1-Input'!$B$26,0,IF(G1004&lt;=0,0,MAX(0,(G1004-H1004)/G1004)))</f>
        <v>0.39198785921357276</v>
      </c>
      <c r="C1005" s="18">
        <f>IF($A1005&gt;'1-Input'!$B$26,0,(MAX(0,B1001-IF($A1005&gt;='1-Input'!$C$12,'1-Input'!$B$12,0))-MIN(MAX(F1004,0),MAX(0,B1001-IF($A1005&gt;='1-Input'!$C$12,'1-Input'!$B$12,0))))*(1/(1-'P-Parametri'!$B$6*B1005))+MIN(MAX(0,G1004-(MAX(0,B1001-IF($A1005&gt;='1-Input'!$C$12,'1-Input'!$B$12,0))-MIN(MAX(F1004,0),MAX(0,B1001-IF($A1005&gt;='1-Input'!$C$12,'1-Input'!$B$12,0))))*(1/(1-'P-Parametri'!$B$6*B1005))),MAX(0,0*B1001-(F1004-MIN(MAX(F1004,0),MAX(0,B1001-IF($A1005&gt;='1-Input'!$C$12,'1-Input'!$B$12,0)))))*(1/(1-'P-Parametri'!$B$6*B1005))))</f>
        <v>18574.065432531414</v>
      </c>
      <c r="D1005" s="18">
        <f>IF($A1005&gt;'1-Input'!$B$26,F1004,(F1004-MAX(0,B1001-IF($A1005&gt;='1-Input'!$C$12,'1-Input'!$B$12,0))+C1005*(1-'P-Parametri'!$B$6*B1005))*(1+'1-Input'!$B$27))</f>
        <v>0</v>
      </c>
      <c r="E1005" s="18">
        <f>IF($A1005&gt;'1-Input'!$B$26,G1004,(G1004-C1005)*(1+'5-Roberta'!$C$4))</f>
        <v>426076.45014768234</v>
      </c>
      <c r="F1005" s="18">
        <f>IF($A1005&gt;'1-Input'!$B$26,D1005,D1005-'P-Parametri'!$B$8*(E1005+D1005)+MIN(MAX(E1005,0),'P-Parametri'!$B$8*(E1005+D1005)))</f>
        <v>0</v>
      </c>
      <c r="G1005" s="18">
        <f>IF($A1005&gt;'1-Input'!$B$26,E1005,E1005-MIN(MAX(E1005,0),'P-Parametri'!$B$8*(E1005+D1005)))</f>
        <v>425224.29724738694</v>
      </c>
      <c r="H1005" s="18">
        <f>IF($A1005&gt;'1-Input'!$B$26,H1004,H1004-C1005*(1-B1005))</f>
        <v>251514.22776016869</v>
      </c>
      <c r="I1005" s="11">
        <f>IF($A1005&gt;'1-Input'!$B$26,0,IF(N1004&lt;=0,0,MAX(0,(N1004-O1004)/N1004)))</f>
        <v>0.39198785921357276</v>
      </c>
      <c r="J1005" s="18">
        <f>IF($A1005&gt;'1-Input'!$B$26,0,(MAX(0,I1001-IF($A1005&gt;='1-Input'!$C$12,'1-Input'!$B$12,0))-MIN(MAX(M1004,0),MAX(0,I1001-IF($A1005&gt;='1-Input'!$C$12,'1-Input'!$B$12,0))))*(1/(1-'P-Parametri'!$B$6*I1005))+MIN(MAX(0,N1004-(MAX(0,I1001-IF($A1005&gt;='1-Input'!$C$12,'1-Input'!$B$12,0))-MIN(MAX(M1004,0),MAX(0,I1001-IF($A1005&gt;='1-Input'!$C$12,'1-Input'!$B$12,0))))*(1/(1-'P-Parametri'!$B$6*I1005))),MAX(0,0*I1001-(M1004-MIN(MAX(M1004,0),MAX(0,I1001-IF($A1005&gt;='1-Input'!$C$12,'1-Input'!$B$12,0)))))*(1/(1-'P-Parametri'!$B$6*I1005))))</f>
        <v>24439.559779646599</v>
      </c>
      <c r="K1005" s="18">
        <f>IF($A1005&gt;'1-Input'!$B$26,M1004,(M1004-MAX(0,I1001-IF($A1005&gt;='1-Input'!$C$12,'1-Input'!$B$12,0))+J1005*(1-'P-Parametri'!$B$6*I1005))*(1+'1-Input'!$B$27))</f>
        <v>0</v>
      </c>
      <c r="L1005" s="18">
        <f>IF($A1005&gt;'1-Input'!$B$26,N1004,(N1004-J1005)*(1+'5-Roberta'!$C$4))</f>
        <v>413855.12648141076</v>
      </c>
      <c r="M1005" s="18">
        <f>IF($A1005&gt;'1-Input'!$B$26,K1005,K1005-'P-Parametri'!$B$8*(L1005+K1005)+MIN(MAX(L1005,0),'P-Parametri'!$B$8*(L1005+K1005)))</f>
        <v>0</v>
      </c>
      <c r="N1005" s="18">
        <f>IF($A1005&gt;'1-Input'!$B$26,L1005,L1005-MIN(MAX(L1005,0),'P-Parametri'!$B$8*(L1005+K1005)))</f>
        <v>413027.41622844792</v>
      </c>
      <c r="O1005" s="18">
        <f>IF($A1005&gt;'1-Input'!$B$26,O1004,O1004-J1005*(1-I1005))</f>
        <v>244299.94313339819</v>
      </c>
      <c r="P1005" s="11">
        <f>IF($A1005&gt;'1-Input'!$B$26,0,IF(U1004&lt;=0,0,MAX(0,(U1004-V1004)/U1004)))</f>
        <v>0.39198785921357288</v>
      </c>
      <c r="Q1005" s="18">
        <f>IF($A1005&gt;'1-Input'!$B$26,0,(MAX(0,P1001-IF($A1005&gt;='1-Input'!$C$12,'1-Input'!$B$12,0))-MIN(MAX(T1004,0),MAX(0,P1001-IF($A1005&gt;='1-Input'!$C$12,'1-Input'!$B$12,0))))*(1/(1-'P-Parametri'!$B$6*P1005))+MIN(MAX(0,U1004-(MAX(0,P1001-IF($A1005&gt;='1-Input'!$C$12,'1-Input'!$B$12,0))-MIN(MAX(T1004,0),MAX(0,P1001-IF($A1005&gt;='1-Input'!$C$12,'1-Input'!$B$12,0))))*(1/(1-'P-Parametri'!$B$6*P1005))),MAX(0,0*P1001-(T1004-MIN(MAX(T1004,0),MAX(0,P1001-IF($A1005&gt;='1-Input'!$C$12,'1-Input'!$B$12,0)))))*(1/(1-'P-Parametri'!$B$6*P1005))))</f>
        <v>20718.990914080194</v>
      </c>
      <c r="R1005" s="18">
        <f>IF($A1005&gt;'1-Input'!$B$26,T1004,(T1004-MAX(0,P1001-IF($A1005&gt;='1-Input'!$C$12,'1-Input'!$B$12,0))+Q1005*(1-'P-Parametri'!$B$6*P1005))*(1+'1-Input'!$B$27))</f>
        <v>0</v>
      </c>
      <c r="S1005" s="18">
        <f>IF($A1005&gt;'1-Input'!$B$26,U1004,(U1004-Q1005)*(1+'5-Roberta'!$C$4))</f>
        <v>421607.2908579912</v>
      </c>
      <c r="T1005" s="18">
        <f>IF($A1005&gt;'1-Input'!$B$26,R1005,R1005-'P-Parametri'!$B$8*(S1005+R1005)+MIN(MAX(S1005,0),'P-Parametri'!$B$8*(S1005+R1005)))</f>
        <v>0</v>
      </c>
      <c r="U1005" s="18">
        <f>IF($A1005&gt;'1-Input'!$B$26,S1005,S1005-MIN(MAX(S1005,0),'P-Parametri'!$B$8*(S1005+R1005)))</f>
        <v>420764.07627627521</v>
      </c>
      <c r="V1005" s="18">
        <f>IF($A1005&gt;'1-Input'!$B$26,V1004,V1004-Q1005*(1-P1005))</f>
        <v>248876.06940362434</v>
      </c>
      <c r="W1005" s="11">
        <f>IF($A1005&gt;'1-Input'!$B$26,0,IF(AB1004&lt;=0,0,MAX(0,(AB1004-AC1004)/AB1004)))</f>
        <v>0.39198785921357282</v>
      </c>
      <c r="X1005" s="18">
        <f>IF($A1005&gt;'1-Input'!$B$26,0,(MAX(0,W1001-IF($A1005&gt;='1-Input'!$C$12,'1-Input'!$B$12,0))-MIN(MAX(AA1004,0),MAX(0,W1001-IF($A1005&gt;='1-Input'!$C$12,'1-Input'!$B$12,0))))*(1/(1-'P-Parametri'!$B$6*W1005))+MIN(MAX(0,AB1004-(MAX(0,W1001-IF($A1005&gt;='1-Input'!$C$12,'1-Input'!$B$12,0))-MIN(MAX(AA1004,0),MAX(0,W1001-IF($A1005&gt;='1-Input'!$C$12,'1-Input'!$B$12,0))))*(1/(1-'P-Parametri'!$B$6*W1005))),MAX(0,0*W1001-(AA1004-MIN(MAX(AA1004,0),MAX(0,W1001-IF($A1005&gt;='1-Input'!$C$12,'1-Input'!$B$12,0)))))*(1/(1-'P-Parametri'!$B$6*W1005))))</f>
        <v>20439.829919214677</v>
      </c>
      <c r="Y1005" s="18">
        <f>IF($A1005&gt;'1-Input'!$B$26,AA1004,(AA1004-MAX(0,W1001-IF($A1005&gt;='1-Input'!$C$12,'1-Input'!$B$12,0))+X1005*(1-'P-Parametri'!$B$6*W1005))*(1+'1-Input'!$B$27))</f>
        <v>0</v>
      </c>
      <c r="Z1005" s="18">
        <f>IF($A1005&gt;'1-Input'!$B$26,AB1004,(AB1004-X1005)*(1+'5-Roberta'!$C$4))</f>
        <v>422188.94973810378</v>
      </c>
      <c r="AA1005" s="18">
        <f>IF($A1005&gt;'1-Input'!$B$26,Y1005,Y1005-'P-Parametri'!$B$8*(Z1005+Y1005)+MIN(MAX(Z1005,0),'P-Parametri'!$B$8*(Z1005+Y1005)))</f>
        <v>0</v>
      </c>
      <c r="AB1005" s="18">
        <f>IF($A1005&gt;'1-Input'!$B$26,Z1005,Z1005-MIN(MAX(Z1005,0),'P-Parametri'!$B$8*(Z1005+Y1005)))</f>
        <v>421344.57183862757</v>
      </c>
      <c r="AC1005" s="18">
        <f>IF($A1005&gt;'1-Input'!$B$26,AC1004,AC1004-X1005*(1-W1005))</f>
        <v>249219.42441421142</v>
      </c>
      <c r="AD1005" s="11">
        <f>IF($A1005&gt;'1-Input'!$B$26,0,IF(AI1004&lt;=0,0,MAX(0,(AI1004-AJ1004)/AI1004)))</f>
        <v>0.39198785921357282</v>
      </c>
      <c r="AE1005" s="18">
        <f>IF($A1005&gt;'1-Input'!$B$26,0,(MAX(0,AD1001-IF($A1005&gt;='1-Input'!$C$12,'1-Input'!$B$12,0))-MIN(MAX(AH1004,0),MAX(0,AD1001-IF($A1005&gt;='1-Input'!$C$12,'1-Input'!$B$12,0))))*(1/(1-'P-Parametri'!$B$6*AD1005))+MIN(MAX(0,AI1004-(MAX(0,AD1001-IF($A1005&gt;='1-Input'!$C$12,'1-Input'!$B$12,0))-MIN(MAX(AH1004,0),MAX(0,AD1001-IF($A1005&gt;='1-Input'!$C$12,'1-Input'!$B$12,0))))*(1/(1-'P-Parametri'!$B$6*AD1005))),MAX(0,0*AD1001-(AH1004-MIN(MAX(AH1004,0),MAX(0,AD1001-IF($A1005&gt;='1-Input'!$C$12,'1-Input'!$B$12,0)))))*(1/(1-'P-Parametri'!$B$6*AD1005))))</f>
        <v>20450.105204960855</v>
      </c>
      <c r="AF1005" s="18">
        <f>IF($A1005&gt;'1-Input'!$B$26,AH1004,(AH1004-MAX(0,AD1001-IF($A1005&gt;='1-Input'!$C$12,'1-Input'!$B$12,0))+AE1005*(1-'P-Parametri'!$B$6*AD1005))*(1+'1-Input'!$B$27))</f>
        <v>0</v>
      </c>
      <c r="AG1005" s="18">
        <f>IF($A1005&gt;'1-Input'!$B$26,AI1004,(AI1004-AE1005)*(1+'5-Roberta'!$C$4))</f>
        <v>422167.54018838197</v>
      </c>
      <c r="AH1005" s="18">
        <f>IF($A1005&gt;'1-Input'!$B$26,AF1005,AF1005-'P-Parametri'!$B$8*(AG1005+AF1005)+MIN(MAX(AG1005,0),'P-Parametri'!$B$8*(AG1005+AF1005)))</f>
        <v>0</v>
      </c>
      <c r="AI1005" s="18">
        <f>IF($A1005&gt;'1-Input'!$B$26,AG1005,AG1005-MIN(MAX(AG1005,0),'P-Parametri'!$B$8*(AG1005+AF1005)))</f>
        <v>421323.2051080052</v>
      </c>
      <c r="AJ1005" s="18">
        <f>IF($A1005&gt;'1-Input'!$B$26,AJ1004,AJ1004-AE1005*(1-AD1005))</f>
        <v>249206.78629172634</v>
      </c>
      <c r="AK1005" s="11">
        <f>IF($A1005&gt;'1-Input'!$B$26,0,IF(AP1004&lt;=0,0,MAX(0,(AP1004-AQ1004)/AP1004)))</f>
        <v>0.39198785921357288</v>
      </c>
      <c r="AL1005" s="18">
        <f>IF($A1005&gt;'1-Input'!$B$26,0,(MAX(0,AK1001-IF($A1005&gt;='1-Input'!$C$12,'1-Input'!$B$12,0))-MIN(MAX(AO1004,0),MAX(0,AK1001-IF($A1005&gt;='1-Input'!$C$12,'1-Input'!$B$12,0))))*(1/(1-'P-Parametri'!$B$6*AK1005))+MIN(MAX(0,AP1004-(MAX(0,AK1001-IF($A1005&gt;='1-Input'!$C$12,'1-Input'!$B$12,0))-MIN(MAX(AO1004,0),MAX(0,AK1001-IF($A1005&gt;='1-Input'!$C$12,'1-Input'!$B$12,0))))*(1/(1-'P-Parametri'!$B$6*AK1005))),MAX(0,0*AK1001-(AO1004-MIN(MAX(AO1004,0),MAX(0,AK1001-IF($A1005&gt;='1-Input'!$C$12,'1-Input'!$B$12,0)))))*(1/(1-'P-Parametri'!$B$6*AK1005))))</f>
        <v>20448.501896414495</v>
      </c>
      <c r="AM1005" s="18">
        <f>IF($A1005&gt;'1-Input'!$B$26,AO1004,(AO1004-MAX(0,AK1001-IF($A1005&gt;='1-Input'!$C$12,'1-Input'!$B$12,0))+AL1005*(1-'P-Parametri'!$B$6*AK1005))*(1+'1-Input'!$B$27))</f>
        <v>0</v>
      </c>
      <c r="AN1005" s="18">
        <f>IF($A1005&gt;'1-Input'!$B$26,AP1004,(AP1004-AL1005)*(1+'5-Roberta'!$C$4))</f>
        <v>422170.88083650515</v>
      </c>
      <c r="AO1005" s="18">
        <f>IF($A1005&gt;'1-Input'!$B$26,AM1005,AM1005-'P-Parametri'!$B$8*(AN1005+AM1005)+MIN(MAX(AN1005,0),'P-Parametri'!$B$8*(AN1005+AM1005)))</f>
        <v>0</v>
      </c>
      <c r="AP1005" s="18">
        <f>IF($A1005&gt;'1-Input'!$B$26,AN1005,AN1005-MIN(MAX(AN1005,0),'P-Parametri'!$B$8*(AN1005+AM1005)))</f>
        <v>421326.53907483217</v>
      </c>
      <c r="AQ1005" s="18">
        <f>IF($A1005&gt;'1-Input'!$B$26,AQ1004,AQ1004-AL1005*(1-AK1005))</f>
        <v>249208.75828650009</v>
      </c>
    </row>
    <row r="1006" spans="1:43">
      <c r="A1006" s="10">
        <f>3</f>
        <v>3</v>
      </c>
      <c r="B1006" s="11">
        <f>IF($A1006&gt;'1-Input'!$B$26,0,IF(G1005&lt;=0,0,MAX(0,(G1005-H1005)/G1005)))</f>
        <v>0.40851397865008926</v>
      </c>
      <c r="C1006" s="18">
        <f>IF($A1006&gt;'1-Input'!$B$26,0,(MAX(0,B1001-IF($A1006&gt;='1-Input'!$C$12,'1-Input'!$B$12,0))-MIN(MAX(F1005,0),MAX(0,B1001-IF($A1006&gt;='1-Input'!$C$12,'1-Input'!$B$12,0))))*(1/(1-'P-Parametri'!$B$6*B1006))+MIN(MAX(0,G1005-(MAX(0,B1001-IF($A1006&gt;='1-Input'!$C$12,'1-Input'!$B$12,0))-MIN(MAX(F1005,0),MAX(0,B1001-IF($A1006&gt;='1-Input'!$C$12,'1-Input'!$B$12,0))))*(1/(1-'P-Parametri'!$B$6*B1006))),MAX(0,0*B1001-(F1005-MIN(MAX(F1005,0),MAX(0,B1001-IF($A1006&gt;='1-Input'!$C$12,'1-Input'!$B$12,0)))))*(1/(1-'P-Parametri'!$B$6*B1006))))</f>
        <v>18663.358446224145</v>
      </c>
      <c r="D1006" s="18">
        <f>IF($A1006&gt;'1-Input'!$B$26,F1005,(F1005-MAX(0,B1001-IF($A1006&gt;='1-Input'!$C$12,'1-Input'!$B$12,0))+C1006*(1-'P-Parametri'!$B$6*B1006))*(1+'1-Input'!$B$27))</f>
        <v>0</v>
      </c>
      <c r="E1006" s="18">
        <f>IF($A1006&gt;'1-Input'!$B$26,G1005,(G1005-C1006)*(1+'5-Roberta'!$C$4))</f>
        <v>418757.76696519769</v>
      </c>
      <c r="F1006" s="18">
        <f>IF($A1006&gt;'1-Input'!$B$26,D1006,D1006-'P-Parametri'!$B$8*(E1006+D1006)+MIN(MAX(E1006,0),'P-Parametri'!$B$8*(E1006+D1006)))</f>
        <v>0</v>
      </c>
      <c r="G1006" s="18">
        <f>IF($A1006&gt;'1-Input'!$B$26,E1006,E1006-MIN(MAX(E1006,0),'P-Parametri'!$B$8*(E1006+D1006)))</f>
        <v>417920.2514312673</v>
      </c>
      <c r="H1006" s="18">
        <f>IF($A1006&gt;'1-Input'!$B$26,H1005,H1005-C1006*(1-B1006))</f>
        <v>240475.11212778432</v>
      </c>
      <c r="I1006" s="11">
        <f>IF($A1006&gt;'1-Input'!$B$26,0,IF(N1005&lt;=0,0,MAX(0,(N1005-O1005)/N1005)))</f>
        <v>0.40851397865008932</v>
      </c>
      <c r="J1006" s="18">
        <f>IF($A1006&gt;'1-Input'!$B$26,0,(MAX(0,I1001-IF($A1006&gt;='1-Input'!$C$12,'1-Input'!$B$12,0))-MIN(MAX(M1005,0),MAX(0,I1001-IF($A1006&gt;='1-Input'!$C$12,'1-Input'!$B$12,0))))*(1/(1-'P-Parametri'!$B$6*I1006))+MIN(MAX(0,N1005-(MAX(0,I1001-IF($A1006&gt;='1-Input'!$C$12,'1-Input'!$B$12,0))-MIN(MAX(M1005,0),MAX(0,I1001-IF($A1006&gt;='1-Input'!$C$12,'1-Input'!$B$12,0))))*(1/(1-'P-Parametri'!$B$6*I1006))),MAX(0,0*I1001-(M1005-MIN(MAX(M1005,0),MAX(0,I1001-IF($A1006&gt;='1-Input'!$C$12,'1-Input'!$B$12,0)))))*(1/(1-'P-Parametri'!$B$6*I1006))))</f>
        <v>24557.050587137037</v>
      </c>
      <c r="K1006" s="18">
        <f>IF($A1006&gt;'1-Input'!$B$26,M1005,(M1005-MAX(0,I1001-IF($A1006&gt;='1-Input'!$C$12,'1-Input'!$B$12,0))+J1006*(1-'P-Parametri'!$B$6*I1006))*(1+'1-Input'!$B$27))</f>
        <v>3.6248820833861826E-12</v>
      </c>
      <c r="L1006" s="18">
        <f>IF($A1006&gt;'1-Input'!$B$26,N1005,(N1005-J1006)*(1+'5-Roberta'!$C$4))</f>
        <v>400124.47661055019</v>
      </c>
      <c r="M1006" s="18">
        <f>IF($A1006&gt;'1-Input'!$B$26,K1006,K1006-'P-Parametri'!$B$8*(L1006+K1006)+MIN(MAX(L1006,0),'P-Parametri'!$B$8*(L1006+K1006)))</f>
        <v>3.637978807091713E-12</v>
      </c>
      <c r="N1006" s="18">
        <f>IF($A1006&gt;'1-Input'!$B$26,L1006,L1006-MIN(MAX(L1006,0),'P-Parametri'!$B$8*(L1006+K1006)))</f>
        <v>399324.22765732912</v>
      </c>
      <c r="O1006" s="18">
        <f>IF($A1006&gt;'1-Input'!$B$26,O1005,O1005-J1006*(1-I1006))</f>
        <v>229774.79098552401</v>
      </c>
      <c r="P1006" s="11">
        <f>IF($A1006&gt;'1-Input'!$B$26,0,IF(U1005&lt;=0,0,MAX(0,(U1005-V1005)/U1005)))</f>
        <v>0.40851397865008937</v>
      </c>
      <c r="Q1006" s="18">
        <f>IF($A1006&gt;'1-Input'!$B$26,0,(MAX(0,P1001-IF($A1006&gt;='1-Input'!$C$12,'1-Input'!$B$12,0))-MIN(MAX(T1005,0),MAX(0,P1001-IF($A1006&gt;='1-Input'!$C$12,'1-Input'!$B$12,0))))*(1/(1-'P-Parametri'!$B$6*P1006))+MIN(MAX(0,U1005-(MAX(0,P1001-IF($A1006&gt;='1-Input'!$C$12,'1-Input'!$B$12,0))-MIN(MAX(T1005,0),MAX(0,P1001-IF($A1006&gt;='1-Input'!$C$12,'1-Input'!$B$12,0))))*(1/(1-'P-Parametri'!$B$6*P1006))),MAX(0,0*P1001-(T1005-MIN(MAX(T1005,0),MAX(0,P1001-IF($A1006&gt;='1-Input'!$C$12,'1-Input'!$B$12,0)))))*(1/(1-'P-Parametri'!$B$6*P1006))))</f>
        <v>20818.595448483862</v>
      </c>
      <c r="R1006" s="18">
        <f>IF($A1006&gt;'1-Input'!$B$26,T1005,(T1005-MAX(0,P1001-IF($A1006&gt;='1-Input'!$C$12,'1-Input'!$B$12,0))+Q1006*(1-'P-Parametri'!$B$6*P1006))*(1+'1-Input'!$B$27))</f>
        <v>0</v>
      </c>
      <c r="S1006" s="18">
        <f>IF($A1006&gt;'1-Input'!$B$26,U1005,(U1005-Q1006)*(1+'5-Roberta'!$C$4))</f>
        <v>411943.84525262506</v>
      </c>
      <c r="T1006" s="18">
        <f>IF($A1006&gt;'1-Input'!$B$26,R1006,R1006-'P-Parametri'!$B$8*(S1006+R1006)+MIN(MAX(S1006,0),'P-Parametri'!$B$8*(S1006+R1006)))</f>
        <v>0</v>
      </c>
      <c r="U1006" s="18">
        <f>IF($A1006&gt;'1-Input'!$B$26,S1006,S1006-MIN(MAX(S1006,0),'P-Parametri'!$B$8*(S1006+R1006)))</f>
        <v>411119.95756211982</v>
      </c>
      <c r="V1006" s="18">
        <f>IF($A1006&gt;'1-Input'!$B$26,V1005,V1005-Q1006*(1-P1006))</f>
        <v>236562.16121170725</v>
      </c>
      <c r="W1006" s="11">
        <f>IF($A1006&gt;'1-Input'!$B$26,0,IF(AB1005&lt;=0,0,MAX(0,(AB1005-AC1005)/AB1005)))</f>
        <v>0.40851397865008937</v>
      </c>
      <c r="X1006" s="18">
        <f>IF($A1006&gt;'1-Input'!$B$26,0,(MAX(0,W1001-IF($A1006&gt;='1-Input'!$C$12,'1-Input'!$B$12,0))-MIN(MAX(AA1005,0),MAX(0,W1001-IF($A1006&gt;='1-Input'!$C$12,'1-Input'!$B$12,0))))*(1/(1-'P-Parametri'!$B$6*W1006))+MIN(MAX(0,AB1005-(MAX(0,W1001-IF($A1006&gt;='1-Input'!$C$12,'1-Input'!$B$12,0))-MIN(MAX(AA1005,0),MAX(0,W1001-IF($A1006&gt;='1-Input'!$C$12,'1-Input'!$B$12,0))))*(1/(1-'P-Parametri'!$B$6*W1006))),MAX(0,0*W1001-(AA1005-MIN(MAX(AA1005,0),MAX(0,W1001-IF($A1006&gt;='1-Input'!$C$12,'1-Input'!$B$12,0)))))*(1/(1-'P-Parametri'!$B$6*W1006))))</f>
        <v>20538.092414277115</v>
      </c>
      <c r="Y1006" s="18">
        <f>IF($A1006&gt;'1-Input'!$B$26,AA1005,(AA1005-MAX(0,W1001-IF($A1006&gt;='1-Input'!$C$12,'1-Input'!$B$12,0))+X1006*(1-'P-Parametri'!$B$6*W1006))*(1+'1-Input'!$B$27))</f>
        <v>0</v>
      </c>
      <c r="Z1006" s="18">
        <f>IF($A1006&gt;'1-Input'!$B$26,AB1005,(AB1005-X1006)*(1+'5-Roberta'!$C$4))</f>
        <v>412830.67380708095</v>
      </c>
      <c r="AA1006" s="18">
        <f>IF($A1006&gt;'1-Input'!$B$26,Y1006,Y1006-'P-Parametri'!$B$8*(Z1006+Y1006)+MIN(MAX(Z1006,0),'P-Parametri'!$B$8*(Z1006+Y1006)))</f>
        <v>0</v>
      </c>
      <c r="AB1006" s="18">
        <f>IF($A1006&gt;'1-Input'!$B$26,Z1006,Z1006-MIN(MAX(Z1006,0),'P-Parametri'!$B$8*(Z1006+Y1006)))</f>
        <v>412005.01245946682</v>
      </c>
      <c r="AC1006" s="18">
        <f>IF($A1006&gt;'1-Input'!$B$26,AC1005,AC1005-X1006*(1-W1006))</f>
        <v>237071.42984597388</v>
      </c>
      <c r="AD1006" s="11">
        <f>IF($A1006&gt;'1-Input'!$B$26,0,IF(AI1005&lt;=0,0,MAX(0,(AI1005-AJ1005)/AI1005)))</f>
        <v>0.40851397865008937</v>
      </c>
      <c r="AE1006" s="18">
        <f>IF($A1006&gt;'1-Input'!$B$26,0,(MAX(0,AD1001-IF($A1006&gt;='1-Input'!$C$12,'1-Input'!$B$12,0))-MIN(MAX(AH1005,0),MAX(0,AD1001-IF($A1006&gt;='1-Input'!$C$12,'1-Input'!$B$12,0))))*(1/(1-'P-Parametri'!$B$6*AD1006))+MIN(MAX(0,AI1005-(MAX(0,AD1001-IF($A1006&gt;='1-Input'!$C$12,'1-Input'!$B$12,0))-MIN(MAX(AH1005,0),MAX(0,AD1001-IF($A1006&gt;='1-Input'!$C$12,'1-Input'!$B$12,0))))*(1/(1-'P-Parametri'!$B$6*AD1006))),MAX(0,0*AD1001-(AH1005-MIN(MAX(AH1005,0),MAX(0,AD1001-IF($A1006&gt;='1-Input'!$C$12,'1-Input'!$B$12,0)))))*(1/(1-'P-Parametri'!$B$6*AD1006))))</f>
        <v>20548.417097460497</v>
      </c>
      <c r="AF1006" s="18">
        <f>IF($A1006&gt;'1-Input'!$B$26,AH1005,(AH1005-MAX(0,AD1001-IF($A1006&gt;='1-Input'!$C$12,'1-Input'!$B$12,0))+AE1006*(1-'P-Parametri'!$B$6*AD1006))*(1+'1-Input'!$B$27))</f>
        <v>3.6248820833861826E-12</v>
      </c>
      <c r="AG1006" s="18">
        <f>IF($A1006&gt;'1-Input'!$B$26,AI1005,(AI1005-AE1006)*(1+'5-Roberta'!$C$4))</f>
        <v>412798.03165086108</v>
      </c>
      <c r="AH1006" s="18">
        <f>IF($A1006&gt;'1-Input'!$B$26,AF1006,AF1006-'P-Parametri'!$B$8*(AG1006+AF1006)+MIN(MAX(AG1006,0),'P-Parametri'!$B$8*(AG1006+AF1006)))</f>
        <v>3.637978807091713E-12</v>
      </c>
      <c r="AI1006" s="18">
        <f>IF($A1006&gt;'1-Input'!$B$26,AG1006,AG1006-MIN(MAX(AG1006,0),'P-Parametri'!$B$8*(AG1006+AF1006)))</f>
        <v>411972.43558755936</v>
      </c>
      <c r="AJ1006" s="18">
        <f>IF($A1006&gt;'1-Input'!$B$26,AJ1005,AJ1005-AE1006*(1-AD1006))</f>
        <v>237052.68481771095</v>
      </c>
      <c r="AK1006" s="11">
        <f>IF($A1006&gt;'1-Input'!$B$26,0,IF(AP1005&lt;=0,0,MAX(0,(AP1005-AQ1005)/AP1005)))</f>
        <v>0.40851397865008948</v>
      </c>
      <c r="AL1006" s="18">
        <f>IF($A1006&gt;'1-Input'!$B$26,0,(MAX(0,AK1001-IF($A1006&gt;='1-Input'!$C$12,'1-Input'!$B$12,0))-MIN(MAX(AO1005,0),MAX(0,AK1001-IF($A1006&gt;='1-Input'!$C$12,'1-Input'!$B$12,0))))*(1/(1-'P-Parametri'!$B$6*AK1006))+MIN(MAX(0,AP1005-(MAX(0,AK1001-IF($A1006&gt;='1-Input'!$C$12,'1-Input'!$B$12,0))-MIN(MAX(AO1005,0),MAX(0,AK1001-IF($A1006&gt;='1-Input'!$C$12,'1-Input'!$B$12,0))))*(1/(1-'P-Parametri'!$B$6*AK1006))),MAX(0,0*AK1001-(AO1005-MIN(MAX(AO1005,0),MAX(0,AK1001-IF($A1006&gt;='1-Input'!$C$12,'1-Input'!$B$12,0)))))*(1/(1-'P-Parametri'!$B$6*AK1006))))</f>
        <v>20546.806081164181</v>
      </c>
      <c r="AM1006" s="18">
        <f>IF($A1006&gt;'1-Input'!$B$26,AO1005,(AO1005-MAX(0,AK1001-IF($A1006&gt;='1-Input'!$C$12,'1-Input'!$B$12,0))+AL1006*(1-'P-Parametri'!$B$6*AK1006))*(1+'1-Input'!$B$27))</f>
        <v>0</v>
      </c>
      <c r="AN1006" s="18">
        <f>IF($A1006&gt;'1-Input'!$B$26,AP1005,(AP1005-AL1006)*(1+'5-Roberta'!$C$4))</f>
        <v>412803.12498347805</v>
      </c>
      <c r="AO1006" s="18">
        <f>IF($A1006&gt;'1-Input'!$B$26,AM1006,AM1006-'P-Parametri'!$B$8*(AN1006+AM1006)+MIN(MAX(AN1006,0),'P-Parametri'!$B$8*(AN1006+AM1006)))</f>
        <v>0</v>
      </c>
      <c r="AP1006" s="18">
        <f>IF($A1006&gt;'1-Input'!$B$26,AN1006,AN1006-MIN(MAX(AN1006,0),'P-Parametri'!$B$8*(AN1006+AM1006)))</f>
        <v>411977.5187335111</v>
      </c>
      <c r="AQ1006" s="18">
        <f>IF($A1006&gt;'1-Input'!$B$26,AQ1005,AQ1005-AL1006*(1-AK1006))</f>
        <v>237055.60970610415</v>
      </c>
    </row>
    <row r="1007" spans="1:43">
      <c r="A1007" s="10">
        <f>4</f>
        <v>4</v>
      </c>
      <c r="B1007" s="11">
        <f>IF($A1007&gt;'1-Input'!$B$26,0,IF(G1006&lt;=0,0,MAX(0,(G1006-H1006)/G1006)))</f>
        <v>0.42459090866207105</v>
      </c>
      <c r="C1007" s="18">
        <f>IF($A1007&gt;'1-Input'!$B$26,0,(MAX(0,B1001-IF($A1007&gt;='1-Input'!$C$12,'1-Input'!$B$12,0))-MIN(MAX(F1006,0),MAX(0,B1001-IF($A1007&gt;='1-Input'!$C$12,'1-Input'!$B$12,0))))*(1/(1-'P-Parametri'!$B$6*B1007))+MIN(MAX(0,G1006-(MAX(0,B1001-IF($A1007&gt;='1-Input'!$C$12,'1-Input'!$B$12,0))-MIN(MAX(F1006,0),MAX(0,B1001-IF($A1007&gt;='1-Input'!$C$12,'1-Input'!$B$12,0))))*(1/(1-'P-Parametri'!$B$6*B1007))),MAX(0,0*B1001-(F1006-MIN(MAX(F1006,0),MAX(0,B1001-IF($A1007&gt;='1-Input'!$C$12,'1-Input'!$B$12,0)))))*(1/(1-'P-Parametri'!$B$6*B1007))))</f>
        <v>18751.052144399524</v>
      </c>
      <c r="D1007" s="18">
        <f>IF($A1007&gt;'1-Input'!$B$26,F1006,(F1006-MAX(0,B1001-IF($A1007&gt;='1-Input'!$C$12,'1-Input'!$B$12,0))+C1007*(1-'P-Parametri'!$B$6*B1007))*(1+'1-Input'!$B$27))</f>
        <v>0</v>
      </c>
      <c r="E1007" s="18">
        <f>IF($A1007&gt;'1-Input'!$B$26,G1006,(G1006-C1007)*(1+'5-Roberta'!$C$4))</f>
        <v>411144.27526547381</v>
      </c>
      <c r="F1007" s="18">
        <f>IF($A1007&gt;'1-Input'!$B$26,D1007,D1007-'P-Parametri'!$B$8*(E1007+D1007)+MIN(MAX(E1007,0),'P-Parametri'!$B$8*(E1007+D1007)))</f>
        <v>0</v>
      </c>
      <c r="G1007" s="18">
        <f>IF($A1007&gt;'1-Input'!$B$26,E1007,E1007-MIN(MAX(E1007,0),'P-Parametri'!$B$8*(E1007+D1007)))</f>
        <v>410321.98671494285</v>
      </c>
      <c r="H1007" s="18">
        <f>IF($A1007&gt;'1-Input'!$B$26,H1006,H1006-C1007*(1-B1007))</f>
        <v>229685.58625174526</v>
      </c>
      <c r="I1007" s="11">
        <f>IF($A1007&gt;'1-Input'!$B$26,0,IF(N1006&lt;=0,0,MAX(0,(N1006-O1006)/N1006)))</f>
        <v>0.42459090866207105</v>
      </c>
      <c r="J1007" s="18">
        <f>IF($A1007&gt;'1-Input'!$B$26,0,(MAX(0,I1001-IF($A1007&gt;='1-Input'!$C$12,'1-Input'!$B$12,0))-MIN(MAX(M1006,0),MAX(0,I1001-IF($A1007&gt;='1-Input'!$C$12,'1-Input'!$B$12,0))))*(1/(1-'P-Parametri'!$B$6*I1007))+MIN(MAX(0,N1006-(MAX(0,I1001-IF($A1007&gt;='1-Input'!$C$12,'1-Input'!$B$12,0))-MIN(MAX(M1006,0),MAX(0,I1001-IF($A1007&gt;='1-Input'!$C$12,'1-Input'!$B$12,0))))*(1/(1-'P-Parametri'!$B$6*I1007))),MAX(0,0*I1001-(M1006-MIN(MAX(M1006,0),MAX(0,I1001-IF($A1007&gt;='1-Input'!$C$12,'1-Input'!$B$12,0)))))*(1/(1-'P-Parametri'!$B$6*I1007))))</f>
        <v>24672.437032104637</v>
      </c>
      <c r="K1007" s="18">
        <f>IF($A1007&gt;'1-Input'!$B$26,M1006,(M1006-MAX(0,I1001-IF($A1007&gt;='1-Input'!$C$12,'1-Input'!$B$12,0))+J1007*(1-'P-Parametri'!$B$6*I1007))*(1+'1-Input'!$B$27))</f>
        <v>0</v>
      </c>
      <c r="L1007" s="18">
        <f>IF($A1007&gt;'1-Input'!$B$26,N1006,(N1006-J1007)*(1+'5-Roberta'!$C$4))</f>
        <v>385891.34434398124</v>
      </c>
      <c r="M1007" s="18">
        <f>IF($A1007&gt;'1-Input'!$B$26,K1007,K1007-'P-Parametri'!$B$8*(L1007+K1007)+MIN(MAX(L1007,0),'P-Parametri'!$B$8*(L1007+K1007)))</f>
        <v>0</v>
      </c>
      <c r="N1007" s="18">
        <f>IF($A1007&gt;'1-Input'!$B$26,L1007,L1007-MIN(MAX(L1007,0),'P-Parametri'!$B$8*(L1007+K1007)))</f>
        <v>385119.56165529328</v>
      </c>
      <c r="O1007" s="18">
        <f>IF($A1007&gt;'1-Input'!$B$26,O1006,O1006-J1007*(1-I1007))</f>
        <v>215578.04641178841</v>
      </c>
      <c r="P1007" s="11">
        <f>IF($A1007&gt;'1-Input'!$B$26,0,IF(U1006&lt;=0,0,MAX(0,(U1006-V1006)/U1006)))</f>
        <v>0.42459090866207111</v>
      </c>
      <c r="Q1007" s="18">
        <f>IF($A1007&gt;'1-Input'!$B$26,0,(MAX(0,P1001-IF($A1007&gt;='1-Input'!$C$12,'1-Input'!$B$12,0))-MIN(MAX(T1006,0),MAX(0,P1001-IF($A1007&gt;='1-Input'!$C$12,'1-Input'!$B$12,0))))*(1/(1-'P-Parametri'!$B$6*P1007))+MIN(MAX(0,U1006-(MAX(0,P1001-IF($A1007&gt;='1-Input'!$C$12,'1-Input'!$B$12,0))-MIN(MAX(T1006,0),MAX(0,P1001-IF($A1007&gt;='1-Input'!$C$12,'1-Input'!$B$12,0))))*(1/(1-'P-Parametri'!$B$6*P1007))),MAX(0,0*P1001-(T1006-MIN(MAX(T1006,0),MAX(0,P1001-IF($A1007&gt;='1-Input'!$C$12,'1-Input'!$B$12,0)))))*(1/(1-'P-Parametri'!$B$6*P1007))))</f>
        <v>20916.415979068166</v>
      </c>
      <c r="R1007" s="18">
        <f>IF($A1007&gt;'1-Input'!$B$26,T1006,(T1006-MAX(0,P1001-IF($A1007&gt;='1-Input'!$C$12,'1-Input'!$B$12,0))+Q1007*(1-'P-Parametri'!$B$6*P1007))*(1+'1-Input'!$B$27))</f>
        <v>0</v>
      </c>
      <c r="S1007" s="18">
        <f>IF($A1007&gt;'1-Input'!$B$26,U1006,(U1006-Q1007)*(1+'5-Roberta'!$C$4))</f>
        <v>401909.64783054322</v>
      </c>
      <c r="T1007" s="18">
        <f>IF($A1007&gt;'1-Input'!$B$26,R1007,R1007-'P-Parametri'!$B$8*(S1007+R1007)+MIN(MAX(S1007,0),'P-Parametri'!$B$8*(S1007+R1007)))</f>
        <v>0</v>
      </c>
      <c r="U1007" s="18">
        <f>IF($A1007&gt;'1-Input'!$B$26,S1007,S1007-MIN(MAX(S1007,0),'P-Parametri'!$B$8*(S1007+R1007)))</f>
        <v>401105.82853488217</v>
      </c>
      <c r="V1007" s="18">
        <f>IF($A1007&gt;'1-Input'!$B$26,V1006,V1006-Q1007*(1-P1007))</f>
        <v>224526.6652991455</v>
      </c>
      <c r="W1007" s="11">
        <f>IF($A1007&gt;'1-Input'!$B$26,0,IF(AB1006&lt;=0,0,MAX(0,(AB1006-AC1006)/AB1006)))</f>
        <v>0.42459090866207111</v>
      </c>
      <c r="X1007" s="18">
        <f>IF($A1007&gt;'1-Input'!$B$26,0,(MAX(0,W1001-IF($A1007&gt;='1-Input'!$C$12,'1-Input'!$B$12,0))-MIN(MAX(AA1006,0),MAX(0,W1001-IF($A1007&gt;='1-Input'!$C$12,'1-Input'!$B$12,0))))*(1/(1-'P-Parametri'!$B$6*W1007))+MIN(MAX(0,AB1006-(MAX(0,W1001-IF($A1007&gt;='1-Input'!$C$12,'1-Input'!$B$12,0))-MIN(MAX(AA1006,0),MAX(0,W1001-IF($A1007&gt;='1-Input'!$C$12,'1-Input'!$B$12,0))))*(1/(1-'P-Parametri'!$B$6*W1007))),MAX(0,0*W1001-(AA1006-MIN(MAX(AA1006,0),MAX(0,W1001-IF($A1007&gt;='1-Input'!$C$12,'1-Input'!$B$12,0)))))*(1/(1-'P-Parametri'!$B$6*W1007))))</f>
        <v>20634.594942611722</v>
      </c>
      <c r="Y1007" s="18">
        <f>IF($A1007&gt;'1-Input'!$B$26,AA1006,(AA1006-MAX(0,W1001-IF($A1007&gt;='1-Input'!$C$12,'1-Input'!$B$12,0))+X1007*(1-'P-Parametri'!$B$6*W1007))*(1+'1-Input'!$B$27))</f>
        <v>0</v>
      </c>
      <c r="Z1007" s="18">
        <f>IF($A1007&gt;'1-Input'!$B$26,AB1006,(AB1006-X1007)*(1+'5-Roberta'!$C$4))</f>
        <v>403111.53004236077</v>
      </c>
      <c r="AA1007" s="18">
        <f>IF($A1007&gt;'1-Input'!$B$26,Y1007,Y1007-'P-Parametri'!$B$8*(Z1007+Y1007)+MIN(MAX(Z1007,0),'P-Parametri'!$B$8*(Z1007+Y1007)))</f>
        <v>0</v>
      </c>
      <c r="AB1007" s="18">
        <f>IF($A1007&gt;'1-Input'!$B$26,Z1007,Z1007-MIN(MAX(Z1007,0),'P-Parametri'!$B$8*(Z1007+Y1007)))</f>
        <v>402305.30698227603</v>
      </c>
      <c r="AC1007" s="18">
        <f>IF($A1007&gt;'1-Input'!$B$26,AC1006,AC1006-X1007*(1-W1007))</f>
        <v>225198.09631991945</v>
      </c>
      <c r="AD1007" s="11">
        <f>IF($A1007&gt;'1-Input'!$B$26,0,IF(AI1006&lt;=0,0,MAX(0,(AI1006-AJ1006)/AI1006)))</f>
        <v>0.42459090866207116</v>
      </c>
      <c r="AE1007" s="18">
        <f>IF($A1007&gt;'1-Input'!$B$26,0,(MAX(0,AD1001-IF($A1007&gt;='1-Input'!$C$12,'1-Input'!$B$12,0))-MIN(MAX(AH1006,0),MAX(0,AD1001-IF($A1007&gt;='1-Input'!$C$12,'1-Input'!$B$12,0))))*(1/(1-'P-Parametri'!$B$6*AD1007))+MIN(MAX(0,AI1006-(MAX(0,AD1001-IF($A1007&gt;='1-Input'!$C$12,'1-Input'!$B$12,0))-MIN(MAX(AH1006,0),MAX(0,AD1001-IF($A1007&gt;='1-Input'!$C$12,'1-Input'!$B$12,0))))*(1/(1-'P-Parametri'!$B$6*AD1007))),MAX(0,0*AD1001-(AH1006-MIN(MAX(AH1006,0),MAX(0,AD1001-IF($A1007&gt;='1-Input'!$C$12,'1-Input'!$B$12,0)))))*(1/(1-'P-Parametri'!$B$6*AD1007))))</f>
        <v>20644.96813848125</v>
      </c>
      <c r="AF1007" s="18">
        <f>IF($A1007&gt;'1-Input'!$B$26,AH1006,(AH1006-MAX(0,AD1001-IF($A1007&gt;='1-Input'!$C$12,'1-Input'!$B$12,0))+AE1007*(1-'P-Parametri'!$B$6*AD1007))*(1+'1-Input'!$B$27))</f>
        <v>0</v>
      </c>
      <c r="AG1007" s="18">
        <f>IF($A1007&gt;'1-Input'!$B$26,AI1006,(AI1006-AE1007)*(1+'5-Roberta'!$C$4))</f>
        <v>403067.29147255048</v>
      </c>
      <c r="AH1007" s="18">
        <f>IF($A1007&gt;'1-Input'!$B$26,AF1007,AF1007-'P-Parametri'!$B$8*(AG1007+AF1007)+MIN(MAX(AG1007,0),'P-Parametri'!$B$8*(AG1007+AF1007)))</f>
        <v>0</v>
      </c>
      <c r="AI1007" s="18">
        <f>IF($A1007&gt;'1-Input'!$B$26,AG1007,AG1007-MIN(MAX(AG1007,0),'P-Parametri'!$B$8*(AG1007+AF1007)))</f>
        <v>402261.15688960539</v>
      </c>
      <c r="AJ1007" s="18">
        <f>IF($A1007&gt;'1-Input'!$B$26,AJ1006,AJ1006-AE1007*(1-AD1007))</f>
        <v>225173.38246044697</v>
      </c>
      <c r="AK1007" s="11">
        <f>IF($A1007&gt;'1-Input'!$B$26,0,IF(AP1006&lt;=0,0,MAX(0,(AP1006-AQ1006)/AP1006)))</f>
        <v>0.42459090866207122</v>
      </c>
      <c r="AL1007" s="18">
        <f>IF($A1007&gt;'1-Input'!$B$26,0,(MAX(0,AK1001-IF($A1007&gt;='1-Input'!$C$12,'1-Input'!$B$12,0))-MIN(MAX(AO1006,0),MAX(0,AK1001-IF($A1007&gt;='1-Input'!$C$12,'1-Input'!$B$12,0))))*(1/(1-'P-Parametri'!$B$6*AK1007))+MIN(MAX(0,AP1006-(MAX(0,AK1001-IF($A1007&gt;='1-Input'!$C$12,'1-Input'!$B$12,0))-MIN(MAX(AO1006,0),MAX(0,AK1001-IF($A1007&gt;='1-Input'!$C$12,'1-Input'!$B$12,0))))*(1/(1-'P-Parametri'!$B$6*AK1007))),MAX(0,0*AK1001-(AO1006-MIN(MAX(AO1006,0),MAX(0,AK1001-IF($A1007&gt;='1-Input'!$C$12,'1-Input'!$B$12,0)))))*(1/(1-'P-Parametri'!$B$6*AK1007))))</f>
        <v>20643.349552487492</v>
      </c>
      <c r="AM1007" s="18">
        <f>IF($A1007&gt;'1-Input'!$B$26,AO1006,(AO1006-MAX(0,AK1001-IF($A1007&gt;='1-Input'!$C$12,'1-Input'!$B$12,0))+AL1007*(1-'P-Parametri'!$B$6*AK1007))*(1+'1-Input'!$B$27))</f>
        <v>0</v>
      </c>
      <c r="AN1007" s="18">
        <f>IF($A1007&gt;'1-Input'!$B$26,AP1006,(AP1006-AL1007)*(1+'5-Roberta'!$C$4))</f>
        <v>403074.1942564543</v>
      </c>
      <c r="AO1007" s="18">
        <f>IF($A1007&gt;'1-Input'!$B$26,AM1007,AM1007-'P-Parametri'!$B$8*(AN1007+AM1007)+MIN(MAX(AN1007,0),'P-Parametri'!$B$8*(AN1007+AM1007)))</f>
        <v>0</v>
      </c>
      <c r="AP1007" s="18">
        <f>IF($A1007&gt;'1-Input'!$B$26,AN1007,AN1007-MIN(MAX(AN1007,0),'P-Parametri'!$B$8*(AN1007+AM1007)))</f>
        <v>402268.0458679414</v>
      </c>
      <c r="AQ1007" s="18">
        <f>IF($A1007&gt;'1-Input'!$B$26,AQ1006,AQ1006-AL1007*(1-AK1007))</f>
        <v>225177.23869793609</v>
      </c>
    </row>
    <row r="1008" spans="1:43">
      <c r="A1008" s="10">
        <f>5</f>
        <v>5</v>
      </c>
      <c r="B1008" s="11">
        <f>IF($A1008&gt;'1-Input'!$B$26,0,IF(G1007&lt;=0,0,MAX(0,(G1007-H1007)/G1007)))</f>
        <v>0.44023085847624477</v>
      </c>
      <c r="C1008" s="18">
        <f>IF($A1008&gt;'1-Input'!$B$26,0,(MAX(0,B1001-IF($A1008&gt;='1-Input'!$C$12,'1-Input'!$B$12,0))-MIN(MAX(F1007,0),MAX(0,B1001-IF($A1008&gt;='1-Input'!$C$12,'1-Input'!$B$12,0))))*(1/(1-'P-Parametri'!$B$6*B1008))+MIN(MAX(0,G1007-(MAX(0,B1001-IF($A1008&gt;='1-Input'!$C$12,'1-Input'!$B$12,0))-MIN(MAX(F1007,0),MAX(0,B1001-IF($A1008&gt;='1-Input'!$C$12,'1-Input'!$B$12,0))))*(1/(1-'P-Parametri'!$B$6*B1008))),MAX(0,0*B1001-(F1007-MIN(MAX(F1007,0),MAX(0,B1001-IF($A1008&gt;='1-Input'!$C$12,'1-Input'!$B$12,0)))))*(1/(1-'P-Parametri'!$B$6*B1008))))</f>
        <v>18837.15670858444</v>
      </c>
      <c r="D1008" s="18">
        <f>IF($A1008&gt;'1-Input'!$B$26,F1007,(F1007-MAX(0,B1001-IF($A1008&gt;='1-Input'!$C$12,'1-Input'!$B$12,0))+C1008*(1-'P-Parametri'!$B$6*B1008))*(1+'1-Input'!$B$27))</f>
        <v>0</v>
      </c>
      <c r="E1008" s="18">
        <f>IF($A1008&gt;'1-Input'!$B$26,G1007,(G1007-C1008)*(1+'5-Roberta'!$C$4))</f>
        <v>403229.37490654917</v>
      </c>
      <c r="F1008" s="18">
        <f>IF($A1008&gt;'1-Input'!$B$26,D1008,D1008-'P-Parametri'!$B$8*(E1008+D1008)+MIN(MAX(E1008,0),'P-Parametri'!$B$8*(E1008+D1008)))</f>
        <v>0</v>
      </c>
      <c r="G1008" s="18">
        <f>IF($A1008&gt;'1-Input'!$B$26,E1008,E1008-MIN(MAX(E1008,0),'P-Parametri'!$B$8*(E1008+D1008)))</f>
        <v>402422.91615673609</v>
      </c>
      <c r="H1008" s="18">
        <f>IF($A1008&gt;'1-Input'!$B$26,H1007,H1007-C1008*(1-B1008))</f>
        <v>219141.1272122325</v>
      </c>
      <c r="I1008" s="11">
        <f>IF($A1008&gt;'1-Input'!$B$26,0,IF(N1007&lt;=0,0,MAX(0,(N1007-O1007)/N1007)))</f>
        <v>0.44023085847624482</v>
      </c>
      <c r="J1008" s="18">
        <f>IF($A1008&gt;'1-Input'!$B$26,0,(MAX(0,I1001-IF($A1008&gt;='1-Input'!$C$12,'1-Input'!$B$12,0))-MIN(MAX(M1007,0),MAX(0,I1001-IF($A1008&gt;='1-Input'!$C$12,'1-Input'!$B$12,0))))*(1/(1-'P-Parametri'!$B$6*I1008))+MIN(MAX(0,N1007-(MAX(0,I1001-IF($A1008&gt;='1-Input'!$C$12,'1-Input'!$B$12,0))-MIN(MAX(M1007,0),MAX(0,I1001-IF($A1008&gt;='1-Input'!$C$12,'1-Input'!$B$12,0))))*(1/(1-'P-Parametri'!$B$6*I1008))),MAX(0,0*I1001-(M1007-MIN(MAX(M1007,0),MAX(0,I1001-IF($A1008&gt;='1-Input'!$C$12,'1-Input'!$B$12,0)))))*(1/(1-'P-Parametri'!$B$6*I1008))))</f>
        <v>24785.732511295319</v>
      </c>
      <c r="K1008" s="18">
        <f>IF($A1008&gt;'1-Input'!$B$26,M1007,(M1007-MAX(0,I1001-IF($A1008&gt;='1-Input'!$C$12,'1-Input'!$B$12,0))+J1008*(1-'P-Parametri'!$B$6*I1008))*(1+'1-Input'!$B$27))</f>
        <v>0</v>
      </c>
      <c r="L1008" s="18">
        <f>IF($A1008&gt;'1-Input'!$B$26,N1007,(N1007-J1008)*(1+'5-Roberta'!$C$4))</f>
        <v>371143.84401831793</v>
      </c>
      <c r="M1008" s="18">
        <f>IF($A1008&gt;'1-Input'!$B$26,K1008,K1008-'P-Parametri'!$B$8*(L1008+K1008)+MIN(MAX(L1008,0),'P-Parametri'!$B$8*(L1008+K1008)))</f>
        <v>0</v>
      </c>
      <c r="N1008" s="18">
        <f>IF($A1008&gt;'1-Input'!$B$26,L1008,L1008-MIN(MAX(L1008,0),'P-Parametri'!$B$8*(L1008+K1008)))</f>
        <v>370401.55633028131</v>
      </c>
      <c r="O1008" s="18">
        <f>IF($A1008&gt;'1-Input'!$B$26,O1007,O1007-J1008*(1-I1008))</f>
        <v>201703.7582019032</v>
      </c>
      <c r="P1008" s="11">
        <f>IF($A1008&gt;'1-Input'!$B$26,0,IF(U1007&lt;=0,0,MAX(0,(U1007-V1007)/U1007)))</f>
        <v>0.44023085847624488</v>
      </c>
      <c r="Q1008" s="18">
        <f>IF($A1008&gt;'1-Input'!$B$26,0,(MAX(0,P1001-IF($A1008&gt;='1-Input'!$C$12,'1-Input'!$B$12,0))-MIN(MAX(T1007,0),MAX(0,P1001-IF($A1008&gt;='1-Input'!$C$12,'1-Input'!$B$12,0))))*(1/(1-'P-Parametri'!$B$6*P1008))+MIN(MAX(0,U1007-(MAX(0,P1001-IF($A1008&gt;='1-Input'!$C$12,'1-Input'!$B$12,0))-MIN(MAX(T1007,0),MAX(0,P1001-IF($A1008&gt;='1-Input'!$C$12,'1-Input'!$B$12,0))))*(1/(1-'P-Parametri'!$B$6*P1008))),MAX(0,0*P1001-(T1007-MIN(MAX(T1007,0),MAX(0,P1001-IF($A1008&gt;='1-Input'!$C$12,'1-Input'!$B$12,0)))))*(1/(1-'P-Parametri'!$B$6*P1008))))</f>
        <v>21012.463863118552</v>
      </c>
      <c r="R1008" s="18">
        <f>IF($A1008&gt;'1-Input'!$B$26,T1007,(T1007-MAX(0,P1001-IF($A1008&gt;='1-Input'!$C$12,'1-Input'!$B$12,0))+Q1008*(1-'P-Parametri'!$B$6*P1008))*(1+'1-Input'!$B$27))</f>
        <v>0</v>
      </c>
      <c r="S1008" s="18">
        <f>IF($A1008&gt;'1-Input'!$B$26,U1007,(U1007-Q1008)*(1+'5-Roberta'!$C$4))</f>
        <v>391496.16561191651</v>
      </c>
      <c r="T1008" s="18">
        <f>IF($A1008&gt;'1-Input'!$B$26,R1008,R1008-'P-Parametri'!$B$8*(S1008+R1008)+MIN(MAX(S1008,0),'P-Parametri'!$B$8*(S1008+R1008)))</f>
        <v>0</v>
      </c>
      <c r="U1008" s="18">
        <f>IF($A1008&gt;'1-Input'!$B$26,S1008,S1008-MIN(MAX(S1008,0),'P-Parametri'!$B$8*(S1008+R1008)))</f>
        <v>390713.17328069266</v>
      </c>
      <c r="V1008" s="18">
        <f>IF($A1008&gt;'1-Input'!$B$26,V1007,V1007-Q1008*(1-P1008))</f>
        <v>212764.53644118871</v>
      </c>
      <c r="W1008" s="11">
        <f>IF($A1008&gt;'1-Input'!$B$26,0,IF(AB1007&lt;=0,0,MAX(0,(AB1007-AC1007)/AB1007)))</f>
        <v>0.44023085847624482</v>
      </c>
      <c r="X1008" s="18">
        <f>IF($A1008&gt;'1-Input'!$B$26,0,(MAX(0,W1001-IF($A1008&gt;='1-Input'!$C$12,'1-Input'!$B$12,0))-MIN(MAX(AA1007,0),MAX(0,W1001-IF($A1008&gt;='1-Input'!$C$12,'1-Input'!$B$12,0))))*(1/(1-'P-Parametri'!$B$6*W1008))+MIN(MAX(0,AB1007-(MAX(0,W1001-IF($A1008&gt;='1-Input'!$C$12,'1-Input'!$B$12,0))-MIN(MAX(AA1007,0),MAX(0,W1001-IF($A1008&gt;='1-Input'!$C$12,'1-Input'!$B$12,0))))*(1/(1-'P-Parametri'!$B$6*W1008))),MAX(0,0*W1001-(AA1007-MIN(MAX(AA1007,0),MAX(0,W1001-IF($A1008&gt;='1-Input'!$C$12,'1-Input'!$B$12,0)))))*(1/(1-'P-Parametri'!$B$6*W1008))))</f>
        <v>20729.348708479545</v>
      </c>
      <c r="Y1008" s="18">
        <f>IF($A1008&gt;'1-Input'!$B$26,AA1007,(AA1007-MAX(0,W1001-IF($A1008&gt;='1-Input'!$C$12,'1-Input'!$B$12,0))+X1008*(1-'P-Parametri'!$B$6*W1008))*(1+'1-Input'!$B$27))</f>
        <v>-3.6248820833861826E-12</v>
      </c>
      <c r="Z1008" s="18">
        <f>IF($A1008&gt;'1-Input'!$B$26,AB1007,(AB1007-X1008)*(1+'5-Roberta'!$C$4))</f>
        <v>393023.23702201038</v>
      </c>
      <c r="AA1008" s="18">
        <f>IF($A1008&gt;'1-Input'!$B$26,Y1008,Y1008-'P-Parametri'!$B$8*(Z1008+Y1008)+MIN(MAX(Z1008,0),'P-Parametri'!$B$8*(Z1008+Y1008)))</f>
        <v>-3.637978807091713E-12</v>
      </c>
      <c r="AB1008" s="18">
        <f>IF($A1008&gt;'1-Input'!$B$26,Z1008,Z1008-MIN(MAX(Z1008,0),'P-Parametri'!$B$8*(Z1008+Y1008)))</f>
        <v>392237.19054796634</v>
      </c>
      <c r="AC1008" s="18">
        <f>IF($A1008&gt;'1-Input'!$B$26,AC1007,AC1007-X1008*(1-W1008))</f>
        <v>213594.4465890273</v>
      </c>
      <c r="AD1008" s="11">
        <f>IF($A1008&gt;'1-Input'!$B$26,0,IF(AI1007&lt;=0,0,MAX(0,(AI1007-AJ1007)/AI1007)))</f>
        <v>0.44023085847624494</v>
      </c>
      <c r="AE1008" s="18">
        <f>IF($A1008&gt;'1-Input'!$B$26,0,(MAX(0,AD1001-IF($A1008&gt;='1-Input'!$C$12,'1-Input'!$B$12,0))-MIN(MAX(AH1007,0),MAX(0,AD1001-IF($A1008&gt;='1-Input'!$C$12,'1-Input'!$B$12,0))))*(1/(1-'P-Parametri'!$B$6*AD1008))+MIN(MAX(0,AI1007-(MAX(0,AD1001-IF($A1008&gt;='1-Input'!$C$12,'1-Input'!$B$12,0))-MIN(MAX(AH1007,0),MAX(0,AD1001-IF($A1008&gt;='1-Input'!$C$12,'1-Input'!$B$12,0))))*(1/(1-'P-Parametri'!$B$6*AD1008))),MAX(0,0*AD1001-(AH1007-MIN(MAX(AH1007,0),MAX(0,AD1001-IF($A1008&gt;='1-Input'!$C$12,'1-Input'!$B$12,0)))))*(1/(1-'P-Parametri'!$B$6*AD1008))))</f>
        <v>20739.769537916662</v>
      </c>
      <c r="AF1008" s="18">
        <f>IF($A1008&gt;'1-Input'!$B$26,AH1007,(AH1007-MAX(0,AD1001-IF($A1008&gt;='1-Input'!$C$12,'1-Input'!$B$12,0))+AE1008*(1-'P-Parametri'!$B$6*AD1008))*(1+'1-Input'!$B$27))</f>
        <v>0</v>
      </c>
      <c r="AG1008" s="18">
        <f>IF($A1008&gt;'1-Input'!$B$26,AI1007,(AI1007-AE1008)*(1+'5-Roberta'!$C$4))</f>
        <v>392967.02897223941</v>
      </c>
      <c r="AH1008" s="18">
        <f>IF($A1008&gt;'1-Input'!$B$26,AF1008,AF1008-'P-Parametri'!$B$8*(AG1008+AF1008)+MIN(MAX(AG1008,0),'P-Parametri'!$B$8*(AG1008+AF1008)))</f>
        <v>0</v>
      </c>
      <c r="AI1008" s="18">
        <f>IF($A1008&gt;'1-Input'!$B$26,AG1008,AG1008-MIN(MAX(AG1008,0),'P-Parametri'!$B$8*(AG1008+AF1008)))</f>
        <v>392181.09491429495</v>
      </c>
      <c r="AJ1008" s="18">
        <f>IF($A1008&gt;'1-Input'!$B$26,AJ1007,AJ1007-AE1008*(1-AD1008))</f>
        <v>213563.89947080682</v>
      </c>
      <c r="AK1008" s="11">
        <f>IF($A1008&gt;'1-Input'!$B$26,0,IF(AP1007&lt;=0,0,MAX(0,(AP1007-AQ1007)/AP1007)))</f>
        <v>0.44023085847624494</v>
      </c>
      <c r="AL1008" s="18">
        <f>IF($A1008&gt;'1-Input'!$B$26,0,(MAX(0,AK1001-IF($A1008&gt;='1-Input'!$C$12,'1-Input'!$B$12,0))-MIN(MAX(AO1007,0),MAX(0,AK1001-IF($A1008&gt;='1-Input'!$C$12,'1-Input'!$B$12,0))))*(1/(1-'P-Parametri'!$B$6*AK1008))+MIN(MAX(0,AP1007-(MAX(0,AK1001-IF($A1008&gt;='1-Input'!$C$12,'1-Input'!$B$12,0))-MIN(MAX(AO1007,0),MAX(0,AK1001-IF($A1008&gt;='1-Input'!$C$12,'1-Input'!$B$12,0))))*(1/(1-'P-Parametri'!$B$6*AK1008))),MAX(0,0*AK1001-(AO1007-MIN(MAX(AO1007,0),MAX(0,AK1001-IF($A1008&gt;='1-Input'!$C$12,'1-Input'!$B$12,0)))))*(1/(1-'P-Parametri'!$B$6*AK1008))))</f>
        <v>20738.143519399084</v>
      </c>
      <c r="AM1008" s="18">
        <f>IF($A1008&gt;'1-Input'!$B$26,AO1007,(AO1007-MAX(0,AK1001-IF($A1008&gt;='1-Input'!$C$12,'1-Input'!$B$12,0))+AL1008*(1-'P-Parametri'!$B$6*AK1008))*(1+'1-Input'!$B$27))</f>
        <v>0</v>
      </c>
      <c r="AN1008" s="18">
        <f>IF($A1008&gt;'1-Input'!$B$26,AP1007,(AP1007-AL1008)*(1+'5-Roberta'!$C$4))</f>
        <v>392975.79941899859</v>
      </c>
      <c r="AO1008" s="18">
        <f>IF($A1008&gt;'1-Input'!$B$26,AM1008,AM1008-'P-Parametri'!$B$8*(AN1008+AM1008)+MIN(MAX(AN1008,0),'P-Parametri'!$B$8*(AN1008+AM1008)))</f>
        <v>0</v>
      </c>
      <c r="AP1008" s="18">
        <f>IF($A1008&gt;'1-Input'!$B$26,AN1008,AN1008-MIN(MAX(AN1008,0),'P-Parametri'!$B$8*(AN1008+AM1008)))</f>
        <v>392189.84782016062</v>
      </c>
      <c r="AQ1008" s="18">
        <f>IF($A1008&gt;'1-Input'!$B$26,AQ1007,AQ1007-AL1008*(1-AK1008))</f>
        <v>213568.66590328564</v>
      </c>
    </row>
    <row r="1009" spans="1:43">
      <c r="A1009" s="10">
        <f>6</f>
        <v>6</v>
      </c>
      <c r="B1009" s="11">
        <f>IF($A1009&gt;'1-Input'!$B$26,0,IF(G1008&lt;=0,0,MAX(0,(G1008-H1008)/G1008)))</f>
        <v>0.45544570546553764</v>
      </c>
      <c r="C1009" s="18">
        <f>IF($A1009&gt;'1-Input'!$B$26,0,(MAX(0,B1001-IF($A1009&gt;='1-Input'!$C$12,'1-Input'!$B$12,0))-MIN(MAX(F1008,0),MAX(0,B1001-IF($A1009&gt;='1-Input'!$C$12,'1-Input'!$B$12,0))))*(1/(1-'P-Parametri'!$B$6*B1009))+MIN(MAX(0,G1008-(MAX(0,B1001-IF($A1009&gt;='1-Input'!$C$12,'1-Input'!$B$12,0))-MIN(MAX(F1008,0),MAX(0,B1001-IF($A1009&gt;='1-Input'!$C$12,'1-Input'!$B$12,0))))*(1/(1-'P-Parametri'!$B$6*B1009))),MAX(0,0*B1001-(F1008-MIN(MAX(F1008,0),MAX(0,B1001-IF($A1009&gt;='1-Input'!$C$12,'1-Input'!$B$12,0)))))*(1/(1-'P-Parametri'!$B$6*B1009))))</f>
        <v>18921.683139389617</v>
      </c>
      <c r="D1009" s="18">
        <f>IF($A1009&gt;'1-Input'!$B$26,F1008,(F1008-MAX(0,B1001-IF($A1009&gt;='1-Input'!$C$12,'1-Input'!$B$12,0))+C1009*(1-'P-Parametri'!$B$6*B1009))*(1+'1-Input'!$B$27))</f>
        <v>0</v>
      </c>
      <c r="E1009" s="18">
        <f>IF($A1009&gt;'1-Input'!$B$26,G1008,(G1008-C1009)*(1+'5-Roberta'!$C$4))</f>
        <v>395006.2700078669</v>
      </c>
      <c r="F1009" s="18">
        <f>IF($A1009&gt;'1-Input'!$B$26,D1009,D1009-'P-Parametri'!$B$8*(E1009+D1009)+MIN(MAX(E1009,0),'P-Parametri'!$B$8*(E1009+D1009)))</f>
        <v>0</v>
      </c>
      <c r="G1009" s="18">
        <f>IF($A1009&gt;'1-Input'!$B$26,E1009,E1009-MIN(MAX(E1009,0),'P-Parametri'!$B$8*(E1009+D1009)))</f>
        <v>394216.25746785116</v>
      </c>
      <c r="H1009" s="18">
        <f>IF($A1009&gt;'1-Input'!$B$26,H1008,H1008-C1009*(1-B1009))</f>
        <v>208837.24339885756</v>
      </c>
      <c r="I1009" s="11">
        <f>IF($A1009&gt;'1-Input'!$B$26,0,IF(N1008&lt;=0,0,MAX(0,(N1008-O1008)/N1008)))</f>
        <v>0.45544570546553781</v>
      </c>
      <c r="J1009" s="18">
        <f>IF($A1009&gt;'1-Input'!$B$26,0,(MAX(0,I1001-IF($A1009&gt;='1-Input'!$C$12,'1-Input'!$B$12,0))-MIN(MAX(M1008,0),MAX(0,I1001-IF($A1009&gt;='1-Input'!$C$12,'1-Input'!$B$12,0))))*(1/(1-'P-Parametri'!$B$6*I1009))+MIN(MAX(0,N1008-(MAX(0,I1001-IF($A1009&gt;='1-Input'!$C$12,'1-Input'!$B$12,0))-MIN(MAX(M1008,0),MAX(0,I1001-IF($A1009&gt;='1-Input'!$C$12,'1-Input'!$B$12,0))))*(1/(1-'P-Parametri'!$B$6*I1009))),MAX(0,0*I1001-(M1008-MIN(MAX(M1008,0),MAX(0,I1001-IF($A1009&gt;='1-Input'!$C$12,'1-Input'!$B$12,0)))))*(1/(1-'P-Parametri'!$B$6*I1009))))</f>
        <v>24896.951499196868</v>
      </c>
      <c r="K1009" s="18">
        <f>IF($A1009&gt;'1-Input'!$B$26,M1008,(M1008-MAX(0,I1001-IF($A1009&gt;='1-Input'!$C$12,'1-Input'!$B$12,0))+J1009*(1-'P-Parametri'!$B$6*I1009))*(1+'1-Input'!$B$27))</f>
        <v>0</v>
      </c>
      <c r="L1009" s="18">
        <f>IF($A1009&gt;'1-Input'!$B$26,N1008,(N1008-J1009)*(1+'5-Roberta'!$C$4))</f>
        <v>355869.74297601701</v>
      </c>
      <c r="M1009" s="18">
        <f>IF($A1009&gt;'1-Input'!$B$26,K1009,K1009-'P-Parametri'!$B$8*(L1009+K1009)+MIN(MAX(L1009,0),'P-Parametri'!$B$8*(L1009+K1009)))</f>
        <v>0</v>
      </c>
      <c r="N1009" s="18">
        <f>IF($A1009&gt;'1-Input'!$B$26,L1009,L1009-MIN(MAX(L1009,0),'P-Parametri'!$B$8*(L1009+K1009)))</f>
        <v>355158.00349006499</v>
      </c>
      <c r="O1009" s="18">
        <f>IF($A1009&gt;'1-Input'!$B$26,O1008,O1008-J1009*(1-I1009))</f>
        <v>188146.01634219932</v>
      </c>
      <c r="P1009" s="11">
        <f>IF($A1009&gt;'1-Input'!$B$26,0,IF(U1008&lt;=0,0,MAX(0,(U1008-V1008)/U1008)))</f>
        <v>0.4554457054655377</v>
      </c>
      <c r="Q1009" s="18">
        <f>IF($A1009&gt;'1-Input'!$B$26,0,(MAX(0,P1001-IF($A1009&gt;='1-Input'!$C$12,'1-Input'!$B$12,0))-MIN(MAX(T1008,0),MAX(0,P1001-IF($A1009&gt;='1-Input'!$C$12,'1-Input'!$B$12,0))))*(1/(1-'P-Parametri'!$B$6*P1009))+MIN(MAX(0,U1008-(MAX(0,P1001-IF($A1009&gt;='1-Input'!$C$12,'1-Input'!$B$12,0))-MIN(MAX(T1008,0),MAX(0,P1001-IF($A1009&gt;='1-Input'!$C$12,'1-Input'!$B$12,0))))*(1/(1-'P-Parametri'!$B$6*P1009))),MAX(0,0*P1001-(T1008-MIN(MAX(T1008,0),MAX(0,P1001-IF($A1009&gt;='1-Input'!$C$12,'1-Input'!$B$12,0)))))*(1/(1-'P-Parametri'!$B$6*P1009))))</f>
        <v>21106.751371591781</v>
      </c>
      <c r="R1009" s="18">
        <f>IF($A1009&gt;'1-Input'!$B$26,T1008,(T1008-MAX(0,P1001-IF($A1009&gt;='1-Input'!$C$12,'1-Input'!$B$12,0))+Q1009*(1-'P-Parametri'!$B$6*P1009))*(1+'1-Input'!$B$27))</f>
        <v>0</v>
      </c>
      <c r="S1009" s="18">
        <f>IF($A1009&gt;'1-Input'!$B$26,U1008,(U1008-Q1009)*(1+'5-Roberta'!$C$4))</f>
        <v>380694.61456637393</v>
      </c>
      <c r="T1009" s="18">
        <f>IF($A1009&gt;'1-Input'!$B$26,R1009,R1009-'P-Parametri'!$B$8*(S1009+R1009)+MIN(MAX(S1009,0),'P-Parametri'!$B$8*(S1009+R1009)))</f>
        <v>0</v>
      </c>
      <c r="U1009" s="18">
        <f>IF($A1009&gt;'1-Input'!$B$26,S1009,S1009-MIN(MAX(S1009,0),'P-Parametri'!$B$8*(S1009+R1009)))</f>
        <v>379933.22533724119</v>
      </c>
      <c r="V1009" s="18">
        <f>IF($A1009&gt;'1-Input'!$B$26,V1008,V1008-Q1009*(1-P1009))</f>
        <v>201270.76433811727</v>
      </c>
      <c r="W1009" s="11">
        <f>IF($A1009&gt;'1-Input'!$B$26,0,IF(AB1008&lt;=0,0,MAX(0,(AB1008-AC1008)/AB1008)))</f>
        <v>0.45544570546553764</v>
      </c>
      <c r="X1009" s="18">
        <f>IF($A1009&gt;'1-Input'!$B$26,0,(MAX(0,W1001-IF($A1009&gt;='1-Input'!$C$12,'1-Input'!$B$12,0))-MIN(MAX(AA1008,0),MAX(0,W1001-IF($A1009&gt;='1-Input'!$C$12,'1-Input'!$B$12,0))))*(1/(1-'P-Parametri'!$B$6*W1009))+MIN(MAX(0,AB1008-(MAX(0,W1001-IF($A1009&gt;='1-Input'!$C$12,'1-Input'!$B$12,0))-MIN(MAX(AA1008,0),MAX(0,W1001-IF($A1009&gt;='1-Input'!$C$12,'1-Input'!$B$12,0))))*(1/(1-'P-Parametri'!$B$6*W1009))),MAX(0,0*W1001-(AA1008-MIN(MAX(AA1008,0),MAX(0,W1001-IF($A1009&gt;='1-Input'!$C$12,'1-Input'!$B$12,0)))))*(1/(1-'P-Parametri'!$B$6*W1009))))</f>
        <v>20822.365817502443</v>
      </c>
      <c r="Y1009" s="18">
        <f>IF($A1009&gt;'1-Input'!$B$26,AA1008,(AA1008-MAX(0,W1001-IF($A1009&gt;='1-Input'!$C$12,'1-Input'!$B$12,0))+X1009*(1-'P-Parametri'!$B$6*W1009))*(1+'1-Input'!$B$27))</f>
        <v>0</v>
      </c>
      <c r="Z1009" s="18">
        <f>IF($A1009&gt;'1-Input'!$B$26,AB1008,(AB1008-X1009)*(1+'5-Roberta'!$C$4))</f>
        <v>382557.26947237784</v>
      </c>
      <c r="AA1009" s="18">
        <f>IF($A1009&gt;'1-Input'!$B$26,Y1009,Y1009-'P-Parametri'!$B$8*(Z1009+Y1009)+MIN(MAX(Z1009,0),'P-Parametri'!$B$8*(Z1009+Y1009)))</f>
        <v>0</v>
      </c>
      <c r="AB1009" s="18">
        <f>IF($A1009&gt;'1-Input'!$B$26,Z1009,Z1009-MIN(MAX(Z1009,0),'P-Parametri'!$B$8*(Z1009+Y1009)))</f>
        <v>381792.15493343311</v>
      </c>
      <c r="AC1009" s="18">
        <f>IF($A1009&gt;'1-Input'!$B$26,AC1008,AC1008-X1009*(1-W1009))</f>
        <v>202255.53786073875</v>
      </c>
      <c r="AD1009" s="11">
        <f>IF($A1009&gt;'1-Input'!$B$26,0,IF(AI1008&lt;=0,0,MAX(0,(AI1008-AJ1008)/AI1008)))</f>
        <v>0.45544570546553786</v>
      </c>
      <c r="AE1009" s="18">
        <f>IF($A1009&gt;'1-Input'!$B$26,0,(MAX(0,AD1001-IF($A1009&gt;='1-Input'!$C$12,'1-Input'!$B$12,0))-MIN(MAX(AH1008,0),MAX(0,AD1001-IF($A1009&gt;='1-Input'!$C$12,'1-Input'!$B$12,0))))*(1/(1-'P-Parametri'!$B$6*AD1009))+MIN(MAX(0,AI1008-(MAX(0,AD1001-IF($A1009&gt;='1-Input'!$C$12,'1-Input'!$B$12,0))-MIN(MAX(AH1008,0),MAX(0,AD1001-IF($A1009&gt;='1-Input'!$C$12,'1-Input'!$B$12,0))))*(1/(1-'P-Parametri'!$B$6*AD1009))),MAX(0,0*AD1001-(AH1008-MIN(MAX(AH1008,0),MAX(0,AD1001-IF($A1009&gt;='1-Input'!$C$12,'1-Input'!$B$12,0)))))*(1/(1-'P-Parametri'!$B$6*AD1009))))</f>
        <v>20832.833407474172</v>
      </c>
      <c r="AF1009" s="18">
        <f>IF($A1009&gt;'1-Input'!$B$26,AH1008,(AH1008-MAX(0,AD1001-IF($A1009&gt;='1-Input'!$C$12,'1-Input'!$B$12,0))+AE1009*(1-'P-Parametri'!$B$6*AD1009))*(1+'1-Input'!$B$27))</f>
        <v>0</v>
      </c>
      <c r="AG1009" s="18">
        <f>IF($A1009&gt;'1-Input'!$B$26,AI1008,(AI1008-AE1009)*(1+'5-Roberta'!$C$4))</f>
        <v>382488.70935202541</v>
      </c>
      <c r="AH1009" s="18">
        <f>IF($A1009&gt;'1-Input'!$B$26,AF1009,AF1009-'P-Parametri'!$B$8*(AG1009+AF1009)+MIN(MAX(AG1009,0),'P-Parametri'!$B$8*(AG1009+AF1009)))</f>
        <v>0</v>
      </c>
      <c r="AI1009" s="18">
        <f>IF($A1009&gt;'1-Input'!$B$26,AG1009,AG1009-MIN(MAX(AG1009,0),'P-Parametri'!$B$8*(AG1009+AF1009)))</f>
        <v>381723.73193332134</v>
      </c>
      <c r="AJ1009" s="18">
        <f>IF($A1009&gt;'1-Input'!$B$26,AJ1008,AJ1008-AE1009*(1-AD1009))</f>
        <v>202219.29057144574</v>
      </c>
      <c r="AK1009" s="11">
        <f>IF($A1009&gt;'1-Input'!$B$26,0,IF(AP1008&lt;=0,0,MAX(0,(AP1008-AQ1008)/AP1008)))</f>
        <v>0.45544570546553781</v>
      </c>
      <c r="AL1009" s="18">
        <f>IF($A1009&gt;'1-Input'!$B$26,0,(MAX(0,AK1001-IF($A1009&gt;='1-Input'!$C$12,'1-Input'!$B$12,0))-MIN(MAX(AO1008,0),MAX(0,AK1001-IF($A1009&gt;='1-Input'!$C$12,'1-Input'!$B$12,0))))*(1/(1-'P-Parametri'!$B$6*AK1009))+MIN(MAX(0,AP1008-(MAX(0,AK1001-IF($A1009&gt;='1-Input'!$C$12,'1-Input'!$B$12,0))-MIN(MAX(AO1008,0),MAX(0,AK1001-IF($A1009&gt;='1-Input'!$C$12,'1-Input'!$B$12,0))))*(1/(1-'P-Parametri'!$B$6*AK1009))),MAX(0,0*AK1001-(AO1008-MIN(MAX(AO1008,0),MAX(0,AK1001-IF($A1009&gt;='1-Input'!$C$12,'1-Input'!$B$12,0)))))*(1/(1-'P-Parametri'!$B$6*AK1009))))</f>
        <v>20831.200092656847</v>
      </c>
      <c r="AM1009" s="18">
        <f>IF($A1009&gt;'1-Input'!$B$26,AO1008,(AO1008-MAX(0,AK1001-IF($A1009&gt;='1-Input'!$C$12,'1-Input'!$B$12,0))+AL1009*(1-'P-Parametri'!$B$6*AK1009))*(1+'1-Input'!$B$27))</f>
        <v>0</v>
      </c>
      <c r="AN1009" s="18">
        <f>IF($A1009&gt;'1-Input'!$B$26,AP1008,(AP1008-AL1009)*(1+'5-Roberta'!$C$4))</f>
        <v>382499.40715932893</v>
      </c>
      <c r="AO1009" s="18">
        <f>IF($A1009&gt;'1-Input'!$B$26,AM1009,AM1009-'P-Parametri'!$B$8*(AN1009+AM1009)+MIN(MAX(AN1009,0),'P-Parametri'!$B$8*(AN1009+AM1009)))</f>
        <v>0</v>
      </c>
      <c r="AP1009" s="18">
        <f>IF($A1009&gt;'1-Input'!$B$26,AN1009,AN1009-MIN(MAX(AN1009,0),'P-Parametri'!$B$8*(AN1009+AM1009)))</f>
        <v>381734.40834501025</v>
      </c>
      <c r="AQ1009" s="18">
        <f>IF($A1009&gt;'1-Input'!$B$26,AQ1008,AQ1008-AL1009*(1-AK1009))</f>
        <v>202224.94643252267</v>
      </c>
    </row>
    <row r="1010" spans="1:43">
      <c r="A1010" s="10">
        <f>7</f>
        <v>7</v>
      </c>
      <c r="B1010" s="11">
        <f>IF($A1010&gt;'1-Input'!$B$26,0,IF(G1009&lt;=0,0,MAX(0,(G1009-H1009)/G1009)))</f>
        <v>0.47024700416905429</v>
      </c>
      <c r="C1010" s="18">
        <f>IF($A1010&gt;'1-Input'!$B$26,0,(MAX(0,B1001-IF($A1010&gt;='1-Input'!$C$12,'1-Input'!$B$12,0))-MIN(MAX(F1009,0),MAX(0,B1001-IF($A1010&gt;='1-Input'!$C$12,'1-Input'!$B$12,0))))*(1/(1-'P-Parametri'!$B$6*B1010))+MIN(MAX(0,G1009-(MAX(0,B1001-IF($A1010&gt;='1-Input'!$C$12,'1-Input'!$B$12,0))-MIN(MAX(F1009,0),MAX(0,B1001-IF($A1010&gt;='1-Input'!$C$12,'1-Input'!$B$12,0))))*(1/(1-'P-Parametri'!$B$6*B1010))),MAX(0,0*B1001-(F1009-MIN(MAX(F1009,0),MAX(0,B1001-IF($A1010&gt;='1-Input'!$C$12,'1-Input'!$B$12,0)))))*(1/(1-'P-Parametri'!$B$6*B1010))))</f>
        <v>19004.64321418681</v>
      </c>
      <c r="D1010" s="18">
        <f>IF($A1010&gt;'1-Input'!$B$26,F1009,(F1009-MAX(0,B1001-IF($A1010&gt;='1-Input'!$C$12,'1-Input'!$B$12,0))+C1010*(1-'P-Parametri'!$B$6*B1010))*(1+'1-Input'!$B$27))</f>
        <v>0</v>
      </c>
      <c r="E1010" s="18">
        <f>IF($A1010&gt;'1-Input'!$B$26,G1009,(G1009-C1010)*(1+'5-Roberta'!$C$4))</f>
        <v>386467.96268127428</v>
      </c>
      <c r="F1010" s="18">
        <f>IF($A1010&gt;'1-Input'!$B$26,D1010,D1010-'P-Parametri'!$B$8*(E1010+D1010)+MIN(MAX(E1010,0),'P-Parametri'!$B$8*(E1010+D1010)))</f>
        <v>0</v>
      </c>
      <c r="G1010" s="18">
        <f>IF($A1010&gt;'1-Input'!$B$26,E1010,E1010-MIN(MAX(E1010,0),'P-Parametri'!$B$8*(E1010+D1010)))</f>
        <v>385695.02675591171</v>
      </c>
      <c r="H1010" s="18">
        <f>IF($A1010&gt;'1-Input'!$B$26,H1009,H1009-C1010*(1-B1010))</f>
        <v>198769.47672144385</v>
      </c>
      <c r="I1010" s="11">
        <f>IF($A1010&gt;'1-Input'!$B$26,0,IF(N1009&lt;=0,0,MAX(0,(N1009-O1009)/N1009)))</f>
        <v>0.47024700416905452</v>
      </c>
      <c r="J1010" s="18">
        <f>IF($A1010&gt;'1-Input'!$B$26,0,(MAX(0,I1001-IF($A1010&gt;='1-Input'!$C$12,'1-Input'!$B$12,0))-MIN(MAX(M1009,0),MAX(0,I1001-IF($A1010&gt;='1-Input'!$C$12,'1-Input'!$B$12,0))))*(1/(1-'P-Parametri'!$B$6*I1010))+MIN(MAX(0,N1009-(MAX(0,I1001-IF($A1010&gt;='1-Input'!$C$12,'1-Input'!$B$12,0))-MIN(MAX(M1009,0),MAX(0,I1001-IF($A1010&gt;='1-Input'!$C$12,'1-Input'!$B$12,0))))*(1/(1-'P-Parametri'!$B$6*I1010))),MAX(0,0*I1001-(M1009-MIN(MAX(M1009,0),MAX(0,I1001-IF($A1010&gt;='1-Input'!$C$12,'1-Input'!$B$12,0)))))*(1/(1-'P-Parametri'!$B$6*I1010))))</f>
        <v>25006.109492351068</v>
      </c>
      <c r="K1010" s="18">
        <f>IF($A1010&gt;'1-Input'!$B$26,M1009,(M1009-MAX(0,I1001-IF($A1010&gt;='1-Input'!$C$12,'1-Input'!$B$12,0))+J1010*(1-'P-Parametri'!$B$6*I1010))*(1+'1-Input'!$B$27))</f>
        <v>0</v>
      </c>
      <c r="L1010" s="18">
        <f>IF($A1010&gt;'1-Input'!$B$26,N1009,(N1009-J1010)*(1+'5-Roberta'!$C$4))</f>
        <v>340056.45081764535</v>
      </c>
      <c r="M1010" s="18">
        <f>IF($A1010&gt;'1-Input'!$B$26,K1010,K1010-'P-Parametri'!$B$8*(L1010+K1010)+MIN(MAX(L1010,0),'P-Parametri'!$B$8*(L1010+K1010)))</f>
        <v>0</v>
      </c>
      <c r="N1010" s="18">
        <f>IF($A1010&gt;'1-Input'!$B$26,L1010,L1010-MIN(MAX(L1010,0),'P-Parametri'!$B$8*(L1010+K1010)))</f>
        <v>339376.33791601006</v>
      </c>
      <c r="O1010" s="18">
        <f>IF($A1010&gt;'1-Input'!$B$26,O1009,O1009-J1010*(1-I1010))</f>
        <v>174898.9549245497</v>
      </c>
      <c r="P1010" s="11">
        <f>IF($A1010&gt;'1-Input'!$B$26,0,IF(U1009&lt;=0,0,MAX(0,(U1009-V1009)/U1009)))</f>
        <v>0.47024700416905435</v>
      </c>
      <c r="Q1010" s="18">
        <f>IF($A1010&gt;'1-Input'!$B$26,0,(MAX(0,P1001-IF($A1010&gt;='1-Input'!$C$12,'1-Input'!$B$12,0))-MIN(MAX(T1009,0),MAX(0,P1001-IF($A1010&gt;='1-Input'!$C$12,'1-Input'!$B$12,0))))*(1/(1-'P-Parametri'!$B$6*P1010))+MIN(MAX(0,U1009-(MAX(0,P1001-IF($A1010&gt;='1-Input'!$C$12,'1-Input'!$B$12,0))-MIN(MAX(T1009,0),MAX(0,P1001-IF($A1010&gt;='1-Input'!$C$12,'1-Input'!$B$12,0))))*(1/(1-'P-Parametri'!$B$6*P1010))),MAX(0,0*P1001-(T1009-MIN(MAX(T1009,0),MAX(0,P1001-IF($A1010&gt;='1-Input'!$C$12,'1-Input'!$B$12,0)))))*(1/(1-'P-Parametri'!$B$6*P1010))))</f>
        <v>21199.291641905675</v>
      </c>
      <c r="R1010" s="18">
        <f>IF($A1010&gt;'1-Input'!$B$26,T1009,(T1009-MAX(0,P1001-IF($A1010&gt;='1-Input'!$C$12,'1-Input'!$B$12,0))+Q1010*(1-'P-Parametri'!$B$6*P1010))*(1+'1-Input'!$B$27))</f>
        <v>0</v>
      </c>
      <c r="S1010" s="18">
        <f>IF($A1010&gt;'1-Input'!$B$26,U1009,(U1009-Q1010)*(1+'5-Roberta'!$C$4))</f>
        <v>369495.9517061956</v>
      </c>
      <c r="T1010" s="18">
        <f>IF($A1010&gt;'1-Input'!$B$26,R1010,R1010-'P-Parametri'!$B$8*(S1010+R1010)+MIN(MAX(S1010,0),'P-Parametri'!$B$8*(S1010+R1010)))</f>
        <v>0</v>
      </c>
      <c r="U1010" s="18">
        <f>IF($A1010&gt;'1-Input'!$B$26,S1010,S1010-MIN(MAX(S1010,0),'P-Parametri'!$B$8*(S1010+R1010)))</f>
        <v>368756.95980278321</v>
      </c>
      <c r="V1010" s="18">
        <f>IF($A1010&gt;'1-Input'!$B$26,V1009,V1009-Q1010*(1-P1010))</f>
        <v>190040.3760813238</v>
      </c>
      <c r="W1010" s="11">
        <f>IF($A1010&gt;'1-Input'!$B$26,0,IF(AB1009&lt;=0,0,MAX(0,(AB1009-AC1009)/AB1009)))</f>
        <v>0.47024700416905435</v>
      </c>
      <c r="X1010" s="18">
        <f>IF($A1010&gt;'1-Input'!$B$26,0,(MAX(0,W1001-IF($A1010&gt;='1-Input'!$C$12,'1-Input'!$B$12,0))-MIN(MAX(AA1009,0),MAX(0,W1001-IF($A1010&gt;='1-Input'!$C$12,'1-Input'!$B$12,0))))*(1/(1-'P-Parametri'!$B$6*W1010))+MIN(MAX(0,AB1009-(MAX(0,W1001-IF($A1010&gt;='1-Input'!$C$12,'1-Input'!$B$12,0))-MIN(MAX(AA1009,0),MAX(0,W1001-IF($A1010&gt;='1-Input'!$C$12,'1-Input'!$B$12,0))))*(1/(1-'P-Parametri'!$B$6*W1010))),MAX(0,0*W1001-(AA1009-MIN(MAX(AA1009,0),MAX(0,W1001-IF($A1010&gt;='1-Input'!$C$12,'1-Input'!$B$12,0)))))*(1/(1-'P-Parametri'!$B$6*W1010))))</f>
        <v>20913.659230088895</v>
      </c>
      <c r="Y1010" s="18">
        <f>IF($A1010&gt;'1-Input'!$B$26,AA1009,(AA1009-MAX(0,W1001-IF($A1010&gt;='1-Input'!$C$12,'1-Input'!$B$12,0))+X1010*(1-'P-Parametri'!$B$6*W1010))*(1+'1-Input'!$B$27))</f>
        <v>0</v>
      </c>
      <c r="Z1010" s="18">
        <f>IF($A1010&gt;'1-Input'!$B$26,AB1009,(AB1009-X1010)*(1+'5-Roberta'!$C$4))</f>
        <v>371704.85057444457</v>
      </c>
      <c r="AA1010" s="18">
        <f>IF($A1010&gt;'1-Input'!$B$26,Y1010,Y1010-'P-Parametri'!$B$8*(Z1010+Y1010)+MIN(MAX(Z1010,0),'P-Parametri'!$B$8*(Z1010+Y1010)))</f>
        <v>0</v>
      </c>
      <c r="AB1010" s="18">
        <f>IF($A1010&gt;'1-Input'!$B$26,Z1010,Z1010-MIN(MAX(Z1010,0),'P-Parametri'!$B$8*(Z1010+Y1010)))</f>
        <v>370961.44087329571</v>
      </c>
      <c r="AC1010" s="18">
        <f>IF($A1010&gt;'1-Input'!$B$26,AC1009,AC1009-X1010*(1-W1010))</f>
        <v>191176.46422981165</v>
      </c>
      <c r="AD1010" s="11">
        <f>IF($A1010&gt;'1-Input'!$B$26,0,IF(AI1009&lt;=0,0,MAX(0,(AI1009-AJ1009)/AI1009)))</f>
        <v>0.47024700416905446</v>
      </c>
      <c r="AE1010" s="18">
        <f>IF($A1010&gt;'1-Input'!$B$26,0,(MAX(0,AD1001-IF($A1010&gt;='1-Input'!$C$12,'1-Input'!$B$12,0))-MIN(MAX(AH1009,0),MAX(0,AD1001-IF($A1010&gt;='1-Input'!$C$12,'1-Input'!$B$12,0))))*(1/(1-'P-Parametri'!$B$6*AD1010))+MIN(MAX(0,AI1009-(MAX(0,AD1001-IF($A1010&gt;='1-Input'!$C$12,'1-Input'!$B$12,0))-MIN(MAX(AH1009,0),MAX(0,AD1001-IF($A1010&gt;='1-Input'!$C$12,'1-Input'!$B$12,0))))*(1/(1-'P-Parametri'!$B$6*AD1010))),MAX(0,0*AD1001-(AH1009-MIN(MAX(AH1009,0),MAX(0,AD1001-IF($A1010&gt;='1-Input'!$C$12,'1-Input'!$B$12,0)))))*(1/(1-'P-Parametri'!$B$6*AD1010))))</f>
        <v>20924.172714077591</v>
      </c>
      <c r="AF1010" s="18">
        <f>IF($A1010&gt;'1-Input'!$B$26,AH1009,(AH1009-MAX(0,AD1001-IF($A1010&gt;='1-Input'!$C$12,'1-Input'!$B$12,0))+AE1010*(1-'P-Parametri'!$B$6*AD1010))*(1+'1-Input'!$B$27))</f>
        <v>0</v>
      </c>
      <c r="AG1010" s="18">
        <f>IF($A1010&gt;'1-Input'!$B$26,AI1009,(AI1009-AE1010)*(1+'5-Roberta'!$C$4))</f>
        <v>371623.54599582107</v>
      </c>
      <c r="AH1010" s="18">
        <f>IF($A1010&gt;'1-Input'!$B$26,AF1010,AF1010-'P-Parametri'!$B$8*(AG1010+AF1010)+MIN(MAX(AG1010,0),'P-Parametri'!$B$8*(AG1010+AF1010)))</f>
        <v>0</v>
      </c>
      <c r="AI1010" s="18">
        <f>IF($A1010&gt;'1-Input'!$B$26,AG1010,AG1010-MIN(MAX(AG1010,0),'P-Parametri'!$B$8*(AG1010+AF1010)))</f>
        <v>370880.29890382942</v>
      </c>
      <c r="AJ1010" s="18">
        <f>IF($A1010&gt;'1-Input'!$B$26,AJ1009,AJ1009-AE1010*(1-AD1010))</f>
        <v>191134.64739087902</v>
      </c>
      <c r="AK1010" s="11">
        <f>IF($A1010&gt;'1-Input'!$B$26,0,IF(AP1009&lt;=0,0,MAX(0,(AP1009-AQ1009)/AP1009)))</f>
        <v>0.47024700416905446</v>
      </c>
      <c r="AL1010" s="18">
        <f>IF($A1010&gt;'1-Input'!$B$26,0,(MAX(0,AK1001-IF($A1010&gt;='1-Input'!$C$12,'1-Input'!$B$12,0))-MIN(MAX(AO1009,0),MAX(0,AK1001-IF($A1010&gt;='1-Input'!$C$12,'1-Input'!$B$12,0))))*(1/(1-'P-Parametri'!$B$6*AK1010))+MIN(MAX(0,AP1009-(MAX(0,AK1001-IF($A1010&gt;='1-Input'!$C$12,'1-Input'!$B$12,0))-MIN(MAX(AO1009,0),MAX(0,AK1001-IF($A1010&gt;='1-Input'!$C$12,'1-Input'!$B$12,0))))*(1/(1-'P-Parametri'!$B$6*AK1010))),MAX(0,0*AK1001-(AO1009-MIN(MAX(AO1009,0),MAX(0,AK1001-IF($A1010&gt;='1-Input'!$C$12,'1-Input'!$B$12,0)))))*(1/(1-'P-Parametri'!$B$6*AK1010))))</f>
        <v>20922.532238167969</v>
      </c>
      <c r="AM1010" s="18">
        <f>IF($A1010&gt;'1-Input'!$B$26,AO1009,(AO1009-MAX(0,AK1001-IF($A1010&gt;='1-Input'!$C$12,'1-Input'!$B$12,0))+AL1010*(1-'P-Parametri'!$B$6*AK1010))*(1+'1-Input'!$B$27))</f>
        <v>0</v>
      </c>
      <c r="AN1010" s="18">
        <f>IF($A1010&gt;'1-Input'!$B$26,AP1009,(AP1009-AL1010)*(1+'5-Roberta'!$C$4))</f>
        <v>371636.23239004757</v>
      </c>
      <c r="AO1010" s="18">
        <f>IF($A1010&gt;'1-Input'!$B$26,AM1010,AM1010-'P-Parametri'!$B$8*(AN1010+AM1010)+MIN(MAX(AN1010,0),'P-Parametri'!$B$8*(AN1010+AM1010)))</f>
        <v>0</v>
      </c>
      <c r="AP1010" s="18">
        <f>IF($A1010&gt;'1-Input'!$B$26,AN1010,AN1010-MIN(MAX(AN1010,0),'P-Parametri'!$B$8*(AN1010+AM1010)))</f>
        <v>370892.9599252675</v>
      </c>
      <c r="AQ1010" s="18">
        <f>IF($A1010&gt;'1-Input'!$B$26,AQ1009,AQ1009-AL1010*(1-AK1010))</f>
        <v>191141.17229898364</v>
      </c>
    </row>
    <row r="1011" spans="1:43">
      <c r="A1011" s="10">
        <f>8</f>
        <v>8</v>
      </c>
      <c r="B1011" s="11">
        <f>IF($A1011&gt;'1-Input'!$B$26,0,IF(G1010&lt;=0,0,MAX(0,(G1010-H1010)/G1010)))</f>
        <v>0.48464599506688549</v>
      </c>
      <c r="C1011" s="18">
        <f>IF($A1011&gt;'1-Input'!$B$26,0,(MAX(0,B1001-IF($A1011&gt;='1-Input'!$C$12,'1-Input'!$B$12,0))-MIN(MAX(F1010,0),MAX(0,B1001-IF($A1011&gt;='1-Input'!$C$12,'1-Input'!$B$12,0))))*(1/(1-'P-Parametri'!$B$6*B1011))+MIN(MAX(0,G1010-(MAX(0,B1001-IF($A1011&gt;='1-Input'!$C$12,'1-Input'!$B$12,0))-MIN(MAX(F1010,0),MAX(0,B1001-IF($A1011&gt;='1-Input'!$C$12,'1-Input'!$B$12,0))))*(1/(1-'P-Parametri'!$B$6*B1011))),MAX(0,0*B1001-(F1010-MIN(MAX(F1010,0),MAX(0,B1001-IF($A1011&gt;='1-Input'!$C$12,'1-Input'!$B$12,0)))))*(1/(1-'P-Parametri'!$B$6*B1011))))</f>
        <v>19086.049445193858</v>
      </c>
      <c r="D1011" s="18">
        <f>IF($A1011&gt;'1-Input'!$B$26,F1010,(F1010-MAX(0,B1001-IF($A1011&gt;='1-Input'!$C$12,'1-Input'!$B$12,0))+C1011*(1-'P-Parametri'!$B$6*B1011))*(1+'1-Input'!$B$27))</f>
        <v>0</v>
      </c>
      <c r="E1011" s="18">
        <f>IF($A1011&gt;'1-Input'!$B$26,G1010,(G1010-C1011)*(1+'5-Roberta'!$C$4))</f>
        <v>377607.24663003942</v>
      </c>
      <c r="F1011" s="18">
        <f>IF($A1011&gt;'1-Input'!$B$26,D1011,D1011-'P-Parametri'!$B$8*(E1011+D1011)+MIN(MAX(E1011,0),'P-Parametri'!$B$8*(E1011+D1011)))</f>
        <v>0</v>
      </c>
      <c r="G1011" s="18">
        <f>IF($A1011&gt;'1-Input'!$B$26,E1011,E1011-MIN(MAX(E1011,0),'P-Parametri'!$B$8*(E1011+D1011)))</f>
        <v>376852.03213677934</v>
      </c>
      <c r="H1011" s="18">
        <f>IF($A1011&gt;'1-Input'!$B$26,H1010,H1010-C1011*(1-B1011))</f>
        <v>188933.40470151175</v>
      </c>
      <c r="I1011" s="11">
        <f>IF($A1011&gt;'1-Input'!$B$26,0,IF(N1010&lt;=0,0,MAX(0,(N1010-O1010)/N1010)))</f>
        <v>0.48464599506688572</v>
      </c>
      <c r="J1011" s="18">
        <f>IF($A1011&gt;'1-Input'!$B$26,0,(MAX(0,I1001-IF($A1011&gt;='1-Input'!$C$12,'1-Input'!$B$12,0))-MIN(MAX(M1010,0),MAX(0,I1001-IF($A1011&gt;='1-Input'!$C$12,'1-Input'!$B$12,0))))*(1/(1-'P-Parametri'!$B$6*I1011))+MIN(MAX(0,N1010-(MAX(0,I1001-IF($A1011&gt;='1-Input'!$C$12,'1-Input'!$B$12,0))-MIN(MAX(M1010,0),MAX(0,I1001-IF($A1011&gt;='1-Input'!$C$12,'1-Input'!$B$12,0))))*(1/(1-'P-Parametri'!$B$6*I1011))),MAX(0,0*I1001-(M1010-MIN(MAX(M1010,0),MAX(0,I1001-IF($A1011&gt;='1-Input'!$C$12,'1-Input'!$B$12,0)))))*(1/(1-'P-Parametri'!$B$6*I1011))))</f>
        <v>25113.222954202454</v>
      </c>
      <c r="K1011" s="18">
        <f>IF($A1011&gt;'1-Input'!$B$26,M1010,(M1010-MAX(0,I1001-IF($A1011&gt;='1-Input'!$C$12,'1-Input'!$B$12,0))+J1011*(1-'P-Parametri'!$B$6*I1011))*(1+'1-Input'!$B$27))</f>
        <v>0</v>
      </c>
      <c r="L1011" s="18">
        <f>IF($A1011&gt;'1-Input'!$B$26,N1010,(N1010-J1011)*(1+'5-Roberta'!$C$4))</f>
        <v>323691.00841066183</v>
      </c>
      <c r="M1011" s="18">
        <f>IF($A1011&gt;'1-Input'!$B$26,K1011,K1011-'P-Parametri'!$B$8*(L1011+K1011)+MIN(MAX(L1011,0),'P-Parametri'!$B$8*(L1011+K1011)))</f>
        <v>0</v>
      </c>
      <c r="N1011" s="18">
        <f>IF($A1011&gt;'1-Input'!$B$26,L1011,L1011-MIN(MAX(L1011,0),'P-Parametri'!$B$8*(L1011+K1011)))</f>
        <v>323043.62639384053</v>
      </c>
      <c r="O1011" s="18">
        <f>IF($A1011&gt;'1-Input'!$B$26,O1010,O1010-J1011*(1-I1011))</f>
        <v>161956.75489832327</v>
      </c>
      <c r="P1011" s="11">
        <f>IF($A1011&gt;'1-Input'!$B$26,0,IF(U1010&lt;=0,0,MAX(0,(U1010-V1010)/U1010)))</f>
        <v>0.4846459950668856</v>
      </c>
      <c r="Q1011" s="18">
        <f>IF($A1011&gt;'1-Input'!$B$26,0,(MAX(0,P1001-IF($A1011&gt;='1-Input'!$C$12,'1-Input'!$B$12,0))-MIN(MAX(T1010,0),MAX(0,P1001-IF($A1011&gt;='1-Input'!$C$12,'1-Input'!$B$12,0))))*(1/(1-'P-Parametri'!$B$6*P1011))+MIN(MAX(0,U1010-(MAX(0,P1001-IF($A1011&gt;='1-Input'!$C$12,'1-Input'!$B$12,0))-MIN(MAX(T1010,0),MAX(0,P1001-IF($A1011&gt;='1-Input'!$C$12,'1-Input'!$B$12,0))))*(1/(1-'P-Parametri'!$B$6*P1011))),MAX(0,0*P1001-(T1010-MIN(MAX(T1010,0),MAX(0,P1001-IF($A1011&gt;='1-Input'!$C$12,'1-Input'!$B$12,0)))))*(1/(1-'P-Parametri'!$B$6*P1011))))</f>
        <v>21290.098631183882</v>
      </c>
      <c r="R1011" s="18">
        <f>IF($A1011&gt;'1-Input'!$B$26,T1010,(T1010-MAX(0,P1001-IF($A1011&gt;='1-Input'!$C$12,'1-Input'!$B$12,0))+Q1011*(1-'P-Parametri'!$B$6*P1011))*(1+'1-Input'!$B$27))</f>
        <v>0</v>
      </c>
      <c r="S1011" s="18">
        <f>IF($A1011&gt;'1-Input'!$B$26,U1010,(U1010-Q1011)*(1+'5-Roberta'!$C$4))</f>
        <v>357890.86700674728</v>
      </c>
      <c r="T1011" s="18">
        <f>IF($A1011&gt;'1-Input'!$B$26,R1011,R1011-'P-Parametri'!$B$8*(S1011+R1011)+MIN(MAX(S1011,0),'P-Parametri'!$B$8*(S1011+R1011)))</f>
        <v>0</v>
      </c>
      <c r="U1011" s="18">
        <f>IF($A1011&gt;'1-Input'!$B$26,S1011,S1011-MIN(MAX(S1011,0),'P-Parametri'!$B$8*(S1011+R1011)))</f>
        <v>357175.08527273376</v>
      </c>
      <c r="V1011" s="18">
        <f>IF($A1011&gt;'1-Input'!$B$26,V1010,V1010-Q1011*(1-P1011))</f>
        <v>179068.43848632218</v>
      </c>
      <c r="W1011" s="11">
        <f>IF($A1011&gt;'1-Input'!$B$26,0,IF(AB1010&lt;=0,0,MAX(0,(AB1010-AC1010)/AB1010)))</f>
        <v>0.4846459950668856</v>
      </c>
      <c r="X1011" s="18">
        <f>IF($A1011&gt;'1-Input'!$B$26,0,(MAX(0,W1001-IF($A1011&gt;='1-Input'!$C$12,'1-Input'!$B$12,0))-MIN(MAX(AA1010,0),MAX(0,W1001-IF($A1011&gt;='1-Input'!$C$12,'1-Input'!$B$12,0))))*(1/(1-'P-Parametri'!$B$6*W1011))+MIN(MAX(0,AB1010-(MAX(0,W1001-IF($A1011&gt;='1-Input'!$C$12,'1-Input'!$B$12,0))-MIN(MAX(AA1010,0),MAX(0,W1001-IF($A1011&gt;='1-Input'!$C$12,'1-Input'!$B$12,0))))*(1/(1-'P-Parametri'!$B$6*W1011))),MAX(0,0*W1001-(AA1010-MIN(MAX(AA1010,0),MAX(0,W1001-IF($A1011&gt;='1-Input'!$C$12,'1-Input'!$B$12,0)))))*(1/(1-'P-Parametri'!$B$6*W1011))))</f>
        <v>21003.242715308781</v>
      </c>
      <c r="Y1011" s="18">
        <f>IF($A1011&gt;'1-Input'!$B$26,AA1010,(AA1010-MAX(0,W1001-IF($A1011&gt;='1-Input'!$C$12,'1-Input'!$B$12,0))+X1011*(1-'P-Parametri'!$B$6*W1011))*(1+'1-Input'!$B$27))</f>
        <v>-3.6248820833861826E-12</v>
      </c>
      <c r="Z1011" s="18">
        <f>IF($A1011&gt;'1-Input'!$B$26,AB1010,(AB1010-X1011)*(1+'5-Roberta'!$C$4))</f>
        <v>360456.94410272653</v>
      </c>
      <c r="AA1011" s="18">
        <f>IF($A1011&gt;'1-Input'!$B$26,Y1011,Y1011-'P-Parametri'!$B$8*(Z1011+Y1011)+MIN(MAX(Z1011,0),'P-Parametri'!$B$8*(Z1011+Y1011)))</f>
        <v>-3.637978807091713E-12</v>
      </c>
      <c r="AB1011" s="18">
        <f>IF($A1011&gt;'1-Input'!$B$26,Z1011,Z1011-MIN(MAX(Z1011,0),'P-Parametri'!$B$8*(Z1011+Y1011)))</f>
        <v>359736.0302145211</v>
      </c>
      <c r="AC1011" s="18">
        <f>IF($A1011&gt;'1-Input'!$B$26,AC1010,AC1010-X1011*(1-W1011))</f>
        <v>180352.35897989501</v>
      </c>
      <c r="AD1011" s="11">
        <f>IF($A1011&gt;'1-Input'!$B$26,0,IF(AI1010&lt;=0,0,MAX(0,(AI1010-AJ1010)/AI1010)))</f>
        <v>0.48464599506688566</v>
      </c>
      <c r="AE1011" s="18">
        <f>IF($A1011&gt;'1-Input'!$B$26,0,(MAX(0,AD1001-IF($A1011&gt;='1-Input'!$C$12,'1-Input'!$B$12,0))-MIN(MAX(AH1010,0),MAX(0,AD1001-IF($A1011&gt;='1-Input'!$C$12,'1-Input'!$B$12,0))))*(1/(1-'P-Parametri'!$B$6*AD1011))+MIN(MAX(0,AI1010-(MAX(0,AD1001-IF($A1011&gt;='1-Input'!$C$12,'1-Input'!$B$12,0))-MIN(MAX(AH1010,0),MAX(0,AD1001-IF($A1011&gt;='1-Input'!$C$12,'1-Input'!$B$12,0))))*(1/(1-'P-Parametri'!$B$6*AD1011))),MAX(0,0*AD1001-(AH1010-MIN(MAX(AH1010,0),MAX(0,AD1001-IF($A1011&gt;='1-Input'!$C$12,'1-Input'!$B$12,0)))))*(1/(1-'P-Parametri'!$B$6*AD1011))))</f>
        <v>21013.80123371863</v>
      </c>
      <c r="AF1011" s="18">
        <f>IF($A1011&gt;'1-Input'!$B$26,AH1010,(AH1010-MAX(0,AD1001-IF($A1011&gt;='1-Input'!$C$12,'1-Input'!$B$12,0))+AE1011*(1-'P-Parametri'!$B$6*AD1011))*(1+'1-Input'!$B$27))</f>
        <v>0</v>
      </c>
      <c r="AG1011" s="18">
        <f>IF($A1011&gt;'1-Input'!$B$26,AI1010,(AI1010-AE1011)*(1+'5-Roberta'!$C$4))</f>
        <v>360362.49260021409</v>
      </c>
      <c r="AH1011" s="18">
        <f>IF($A1011&gt;'1-Input'!$B$26,AF1011,AF1011-'P-Parametri'!$B$8*(AG1011+AF1011)+MIN(MAX(AG1011,0),'P-Parametri'!$B$8*(AG1011+AF1011)))</f>
        <v>0</v>
      </c>
      <c r="AI1011" s="18">
        <f>IF($A1011&gt;'1-Input'!$B$26,AG1011,AG1011-MIN(MAX(AG1011,0),'P-Parametri'!$B$8*(AG1011+AF1011)))</f>
        <v>359641.76761501364</v>
      </c>
      <c r="AJ1011" s="18">
        <f>IF($A1011&gt;'1-Input'!$B$26,AJ1010,AJ1010-AE1011*(1-AD1011))</f>
        <v>180305.1007662137</v>
      </c>
      <c r="AK1011" s="11">
        <f>IF($A1011&gt;'1-Input'!$B$26,0,IF(AP1010&lt;=0,0,MAX(0,(AP1010-AQ1010)/AP1010)))</f>
        <v>0.48464599506688577</v>
      </c>
      <c r="AL1011" s="18">
        <f>IF($A1011&gt;'1-Input'!$B$26,0,(MAX(0,AK1001-IF($A1011&gt;='1-Input'!$C$12,'1-Input'!$B$12,0))-MIN(MAX(AO1010,0),MAX(0,AK1001-IF($A1011&gt;='1-Input'!$C$12,'1-Input'!$B$12,0))))*(1/(1-'P-Parametri'!$B$6*AK1011))+MIN(MAX(0,AP1010-(MAX(0,AK1001-IF($A1011&gt;='1-Input'!$C$12,'1-Input'!$B$12,0))-MIN(MAX(AO1010,0),MAX(0,AK1001-IF($A1011&gt;='1-Input'!$C$12,'1-Input'!$B$12,0))))*(1/(1-'P-Parametri'!$B$6*AK1011))),MAX(0,0*AK1001-(AO1010-MIN(MAX(AO1010,0),MAX(0,AK1001-IF($A1011&gt;='1-Input'!$C$12,'1-Input'!$B$12,0)))))*(1/(1-'P-Parametri'!$B$6*AK1011))))</f>
        <v>21012.153730844104</v>
      </c>
      <c r="AM1011" s="18">
        <f>IF($A1011&gt;'1-Input'!$B$26,AO1010,(AO1010-MAX(0,AK1001-IF($A1011&gt;='1-Input'!$C$12,'1-Input'!$B$12,0))+AL1011*(1-'P-Parametri'!$B$6*AK1011))*(1+'1-Input'!$B$27))</f>
        <v>0</v>
      </c>
      <c r="AN1011" s="18">
        <f>IF($A1011&gt;'1-Input'!$B$26,AP1010,(AP1010-AL1011)*(1+'5-Roberta'!$C$4))</f>
        <v>360377.23038025614</v>
      </c>
      <c r="AO1011" s="18">
        <f>IF($A1011&gt;'1-Input'!$B$26,AM1011,AM1011-'P-Parametri'!$B$8*(AN1011+AM1011)+MIN(MAX(AN1011,0),'P-Parametri'!$B$8*(AN1011+AM1011)))</f>
        <v>0</v>
      </c>
      <c r="AP1011" s="18">
        <f>IF($A1011&gt;'1-Input'!$B$26,AN1011,AN1011-MIN(MAX(AN1011,0),'P-Parametri'!$B$8*(AN1011+AM1011)))</f>
        <v>359656.47591949563</v>
      </c>
      <c r="AQ1011" s="18">
        <f>IF($A1011&gt;'1-Input'!$B$26,AQ1010,AQ1010-AL1011*(1-AK1011))</f>
        <v>180312.47472152286</v>
      </c>
    </row>
    <row r="1012" spans="1:43">
      <c r="A1012" s="10">
        <f>9</f>
        <v>9</v>
      </c>
      <c r="B1012" s="11">
        <f>IF($A1012&gt;'1-Input'!$B$26,0,IF(G1011&lt;=0,0,MAX(0,(G1011-H1011)/G1011)))</f>
        <v>0.49865361311641293</v>
      </c>
      <c r="C1012" s="18">
        <f>IF($A1012&gt;'1-Input'!$B$26,0,(MAX(0,B1001-IF($A1012&gt;='1-Input'!$C$12,'1-Input'!$B$12,0))-MIN(MAX(F1011,0),MAX(0,B1001-IF($A1012&gt;='1-Input'!$C$12,'1-Input'!$B$12,0))))*(1/(1-'P-Parametri'!$B$6*B1012))+MIN(MAX(0,G1011-(MAX(0,B1001-IF($A1012&gt;='1-Input'!$C$12,'1-Input'!$B$12,0))-MIN(MAX(F1011,0),MAX(0,B1001-IF($A1012&gt;='1-Input'!$C$12,'1-Input'!$B$12,0))))*(1/(1-'P-Parametri'!$B$6*B1012))),MAX(0,0*B1001-(F1011-MIN(MAX(F1011,0),MAX(0,B1001-IF($A1012&gt;='1-Input'!$C$12,'1-Input'!$B$12,0)))))*(1/(1-'P-Parametri'!$B$6*B1012))))</f>
        <v>19165.915038051513</v>
      </c>
      <c r="D1012" s="18">
        <f>IF($A1012&gt;'1-Input'!$B$26,F1011,(F1011-MAX(0,B1001-IF($A1012&gt;='1-Input'!$C$12,'1-Input'!$B$12,0))+C1012*(1-'P-Parametri'!$B$6*B1012))*(1+'1-Input'!$B$27))</f>
        <v>0</v>
      </c>
      <c r="E1012" s="18">
        <f>IF($A1012&gt;'1-Input'!$B$26,G1011,(G1011-C1012)*(1+'5-Roberta'!$C$4))</f>
        <v>368416.70061168971</v>
      </c>
      <c r="F1012" s="18">
        <f>IF($A1012&gt;'1-Input'!$B$26,D1012,D1012-'P-Parametri'!$B$8*(E1012+D1012)+MIN(MAX(E1012,0),'P-Parametri'!$B$8*(E1012+D1012)))</f>
        <v>0</v>
      </c>
      <c r="G1012" s="18">
        <f>IF($A1012&gt;'1-Input'!$B$26,E1012,E1012-MIN(MAX(E1012,0),'P-Parametri'!$B$8*(E1012+D1012)))</f>
        <v>367679.86721046636</v>
      </c>
      <c r="H1012" s="18">
        <f>IF($A1012&gt;'1-Input'!$B$26,H1011,H1011-C1012*(1-B1012))</f>
        <v>179324.64244586683</v>
      </c>
      <c r="I1012" s="11">
        <f>IF($A1012&gt;'1-Input'!$B$26,0,IF(N1011&lt;=0,0,MAX(0,(N1011-O1011)/N1011)))</f>
        <v>0.49865361311641315</v>
      </c>
      <c r="J1012" s="18">
        <f>IF($A1012&gt;'1-Input'!$B$26,0,(MAX(0,I1001-IF($A1012&gt;='1-Input'!$C$12,'1-Input'!$B$12,0))-MIN(MAX(M1011,0),MAX(0,I1001-IF($A1012&gt;='1-Input'!$C$12,'1-Input'!$B$12,0))))*(1/(1-'P-Parametri'!$B$6*I1012))+MIN(MAX(0,N1011-(MAX(0,I1001-IF($A1012&gt;='1-Input'!$C$12,'1-Input'!$B$12,0))-MIN(MAX(M1011,0),MAX(0,I1001-IF($A1012&gt;='1-Input'!$C$12,'1-Input'!$B$12,0))))*(1/(1-'P-Parametri'!$B$6*I1012))),MAX(0,0*I1001-(M1011-MIN(MAX(M1011,0),MAX(0,I1001-IF($A1012&gt;='1-Input'!$C$12,'1-Input'!$B$12,0)))))*(1/(1-'P-Parametri'!$B$6*I1012))))</f>
        <v>25218.309260594106</v>
      </c>
      <c r="K1012" s="18">
        <f>IF($A1012&gt;'1-Input'!$B$26,M1011,(M1011-MAX(0,I1001-IF($A1012&gt;='1-Input'!$C$12,'1-Input'!$B$12,0))+J1012*(1-'P-Parametri'!$B$6*I1012))*(1+'1-Input'!$B$27))</f>
        <v>0</v>
      </c>
      <c r="L1012" s="18">
        <f>IF($A1012&gt;'1-Input'!$B$26,N1011,(N1011-J1012)*(1+'5-Roberta'!$C$4))</f>
        <v>306760.07664724387</v>
      </c>
      <c r="M1012" s="18">
        <f>IF($A1012&gt;'1-Input'!$B$26,K1012,K1012-'P-Parametri'!$B$8*(L1012+K1012)+MIN(MAX(L1012,0),'P-Parametri'!$B$8*(L1012+K1012)))</f>
        <v>0</v>
      </c>
      <c r="N1012" s="18">
        <f>IF($A1012&gt;'1-Input'!$B$26,L1012,L1012-MIN(MAX(L1012,0),'P-Parametri'!$B$8*(L1012+K1012)))</f>
        <v>306146.55649394938</v>
      </c>
      <c r="O1012" s="18">
        <f>IF($A1012&gt;'1-Input'!$B$26,O1011,O1011-J1012*(1-I1012))</f>
        <v>149313.64666721152</v>
      </c>
      <c r="P1012" s="11">
        <f>IF($A1012&gt;'1-Input'!$B$26,0,IF(U1011&lt;=0,0,MAX(0,(U1011-V1011)/U1011)))</f>
        <v>0.49865361311641293</v>
      </c>
      <c r="Q1012" s="18">
        <f>IF($A1012&gt;'1-Input'!$B$26,0,(MAX(0,P1001-IF($A1012&gt;='1-Input'!$C$12,'1-Input'!$B$12,0))-MIN(MAX(T1011,0),MAX(0,P1001-IF($A1012&gt;='1-Input'!$C$12,'1-Input'!$B$12,0))))*(1/(1-'P-Parametri'!$B$6*P1012))+MIN(MAX(0,U1011-(MAX(0,P1001-IF($A1012&gt;='1-Input'!$C$12,'1-Input'!$B$12,0))-MIN(MAX(T1011,0),MAX(0,P1001-IF($A1012&gt;='1-Input'!$C$12,'1-Input'!$B$12,0))))*(1/(1-'P-Parametri'!$B$6*P1012))),MAX(0,0*P1001-(T1011-MIN(MAX(T1011,0),MAX(0,P1001-IF($A1012&gt;='1-Input'!$C$12,'1-Input'!$B$12,0)))))*(1/(1-'P-Parametri'!$B$6*P1012))))</f>
        <v>21379.187070049138</v>
      </c>
      <c r="R1012" s="18">
        <f>IF($A1012&gt;'1-Input'!$B$26,T1011,(T1011-MAX(0,P1001-IF($A1012&gt;='1-Input'!$C$12,'1-Input'!$B$12,0))+Q1012*(1-'P-Parametri'!$B$6*P1012))*(1+'1-Input'!$B$27))</f>
        <v>0</v>
      </c>
      <c r="S1012" s="18">
        <f>IF($A1012&gt;'1-Input'!$B$26,U1011,(U1011-Q1012)*(1+'5-Roberta'!$C$4))</f>
        <v>345869.77514876518</v>
      </c>
      <c r="T1012" s="18">
        <f>IF($A1012&gt;'1-Input'!$B$26,R1012,R1012-'P-Parametri'!$B$8*(S1012+R1012)+MIN(MAX(S1012,0),'P-Parametri'!$B$8*(S1012+R1012)))</f>
        <v>0</v>
      </c>
      <c r="U1012" s="18">
        <f>IF($A1012&gt;'1-Input'!$B$26,S1012,S1012-MIN(MAX(S1012,0),'P-Parametri'!$B$8*(S1012+R1012)))</f>
        <v>345178.03559846763</v>
      </c>
      <c r="V1012" s="18">
        <f>IF($A1012&gt;'1-Input'!$B$26,V1011,V1011-Q1012*(1-P1012))</f>
        <v>168350.06029424473</v>
      </c>
      <c r="W1012" s="11">
        <f>IF($A1012&gt;'1-Input'!$B$26,0,IF(AB1011&lt;=0,0,MAX(0,(AB1011-AC1011)/AB1011)))</f>
        <v>0.4986536131164131</v>
      </c>
      <c r="X1012" s="18">
        <f>IF($A1012&gt;'1-Input'!$B$26,0,(MAX(0,W1001-IF($A1012&gt;='1-Input'!$C$12,'1-Input'!$B$12,0))-MIN(MAX(AA1011,0),MAX(0,W1001-IF($A1012&gt;='1-Input'!$C$12,'1-Input'!$B$12,0))))*(1/(1-'P-Parametri'!$B$6*W1012))+MIN(MAX(0,AB1011-(MAX(0,W1001-IF($A1012&gt;='1-Input'!$C$12,'1-Input'!$B$12,0))-MIN(MAX(AA1011,0),MAX(0,W1001-IF($A1012&gt;='1-Input'!$C$12,'1-Input'!$B$12,0))))*(1/(1-'P-Parametri'!$B$6*W1012))),MAX(0,0*W1001-(AA1011-MIN(MAX(AA1011,0),MAX(0,W1001-IF($A1012&gt;='1-Input'!$C$12,'1-Input'!$B$12,0)))))*(1/(1-'P-Parametri'!$B$6*W1012))))</f>
        <v>21091.130805309193</v>
      </c>
      <c r="Y1012" s="18">
        <f>IF($A1012&gt;'1-Input'!$B$26,AA1011,(AA1011-MAX(0,W1001-IF($A1012&gt;='1-Input'!$C$12,'1-Input'!$B$12,0))+X1012*(1-'P-Parametri'!$B$6*W1012))*(1+'1-Input'!$B$27))</f>
        <v>0</v>
      </c>
      <c r="Z1012" s="18">
        <f>IF($A1012&gt;'1-Input'!$B$26,AB1011,(AB1011-X1012)*(1+'5-Roberta'!$C$4))</f>
        <v>348804.2463914883</v>
      </c>
      <c r="AA1012" s="18">
        <f>IF($A1012&gt;'1-Input'!$B$26,Y1012,Y1012-'P-Parametri'!$B$8*(Z1012+Y1012)+MIN(MAX(Z1012,0),'P-Parametri'!$B$8*(Z1012+Y1012)))</f>
        <v>0</v>
      </c>
      <c r="AB1012" s="18">
        <f>IF($A1012&gt;'1-Input'!$B$26,Z1012,Z1012-MIN(MAX(Z1012,0),'P-Parametri'!$B$8*(Z1012+Y1012)))</f>
        <v>348106.63789870532</v>
      </c>
      <c r="AC1012" s="18">
        <f>IF($A1012&gt;'1-Input'!$B$26,AC1011,AC1011-X1012*(1-W1012))</f>
        <v>169778.39675536414</v>
      </c>
      <c r="AD1012" s="11">
        <f>IF($A1012&gt;'1-Input'!$B$26,0,IF(AI1011&lt;=0,0,MAX(0,(AI1011-AJ1011)/AI1011)))</f>
        <v>0.49865361311641304</v>
      </c>
      <c r="AE1012" s="18">
        <f>IF($A1012&gt;'1-Input'!$B$26,0,(MAX(0,AD1001-IF($A1012&gt;='1-Input'!$C$12,'1-Input'!$B$12,0))-MIN(MAX(AH1011,0),MAX(0,AD1001-IF($A1012&gt;='1-Input'!$C$12,'1-Input'!$B$12,0))))*(1/(1-'P-Parametri'!$B$6*AD1012))+MIN(MAX(0,AI1011-(MAX(0,AD1001-IF($A1012&gt;='1-Input'!$C$12,'1-Input'!$B$12,0))-MIN(MAX(AH1011,0),MAX(0,AD1001-IF($A1012&gt;='1-Input'!$C$12,'1-Input'!$B$12,0))))*(1/(1-'P-Parametri'!$B$6*AD1012))),MAX(0,0*AD1001-(AH1011-MIN(MAX(AH1011,0),MAX(0,AD1001-IF($A1012&gt;='1-Input'!$C$12,'1-Input'!$B$12,0)))))*(1/(1-'P-Parametri'!$B$6*AD1012))))</f>
        <v>21101.733505849803</v>
      </c>
      <c r="AF1012" s="18">
        <f>IF($A1012&gt;'1-Input'!$B$26,AH1011,(AH1011-MAX(0,AD1001-IF($A1012&gt;='1-Input'!$C$12,'1-Input'!$B$12,0))+AE1012*(1-'P-Parametri'!$B$6*AD1012))*(1+'1-Input'!$B$27))</f>
        <v>0</v>
      </c>
      <c r="AG1012" s="18">
        <f>IF($A1012&gt;'1-Input'!$B$26,AI1011,(AI1011-AE1012)*(1+'5-Roberta'!$C$4))</f>
        <v>348696.23513243877</v>
      </c>
      <c r="AH1012" s="18">
        <f>IF($A1012&gt;'1-Input'!$B$26,AF1012,AF1012-'P-Parametri'!$B$8*(AG1012+AF1012)+MIN(MAX(AG1012,0),'P-Parametri'!$B$8*(AG1012+AF1012)))</f>
        <v>0</v>
      </c>
      <c r="AI1012" s="18">
        <f>IF($A1012&gt;'1-Input'!$B$26,AG1012,AG1012-MIN(MAX(AG1012,0),'P-Parametri'!$B$8*(AG1012+AF1012)))</f>
        <v>347998.84266217391</v>
      </c>
      <c r="AJ1012" s="18">
        <f>IF($A1012&gt;'1-Input'!$B$26,AJ1011,AJ1011-AE1012*(1-AD1012))</f>
        <v>169725.82291607559</v>
      </c>
      <c r="AK1012" s="11">
        <f>IF($A1012&gt;'1-Input'!$B$26,0,IF(AP1011&lt;=0,0,MAX(0,(AP1011-AQ1011)/AP1011)))</f>
        <v>0.49865361311641326</v>
      </c>
      <c r="AL1012" s="18">
        <f>IF($A1012&gt;'1-Input'!$B$26,0,(MAX(0,AK1001-IF($A1012&gt;='1-Input'!$C$12,'1-Input'!$B$12,0))-MIN(MAX(AO1011,0),MAX(0,AK1001-IF($A1012&gt;='1-Input'!$C$12,'1-Input'!$B$12,0))))*(1/(1-'P-Parametri'!$B$6*AK1012))+MIN(MAX(0,AP1011-(MAX(0,AK1001-IF($A1012&gt;='1-Input'!$C$12,'1-Input'!$B$12,0))-MIN(MAX(AO1011,0),MAX(0,AK1001-IF($A1012&gt;='1-Input'!$C$12,'1-Input'!$B$12,0))))*(1/(1-'P-Parametri'!$B$6*AK1012))),MAX(0,0*AK1001-(AO1011-MIN(MAX(AO1011,0),MAX(0,AK1001-IF($A1012&gt;='1-Input'!$C$12,'1-Input'!$B$12,0)))))*(1/(1-'P-Parametri'!$B$6*AK1012))))</f>
        <v>21100.079108997867</v>
      </c>
      <c r="AM1012" s="18">
        <f>IF($A1012&gt;'1-Input'!$B$26,AO1011,(AO1011-MAX(0,AK1001-IF($A1012&gt;='1-Input'!$C$12,'1-Input'!$B$12,0))+AL1012*(1-'P-Parametri'!$B$6*AK1012))*(1+'1-Input'!$B$27))</f>
        <v>0</v>
      </c>
      <c r="AN1012" s="18">
        <f>IF($A1012&gt;'1-Input'!$B$26,AP1011,(AP1011-AL1012)*(1+'5-Roberta'!$C$4))</f>
        <v>348713.08871481271</v>
      </c>
      <c r="AO1012" s="18">
        <f>IF($A1012&gt;'1-Input'!$B$26,AM1012,AM1012-'P-Parametri'!$B$8*(AN1012+AM1012)+MIN(MAX(AN1012,0),'P-Parametri'!$B$8*(AN1012+AM1012)))</f>
        <v>0</v>
      </c>
      <c r="AP1012" s="18">
        <f>IF($A1012&gt;'1-Input'!$B$26,AN1012,AN1012-MIN(MAX(AN1012,0),'P-Parametri'!$B$8*(AN1012+AM1012)))</f>
        <v>348015.66253738309</v>
      </c>
      <c r="AQ1012" s="18">
        <f>IF($A1012&gt;'1-Input'!$B$26,AQ1011,AQ1011-AL1012*(1-AK1012))</f>
        <v>169734.02629726892</v>
      </c>
    </row>
    <row r="1013" spans="1:43">
      <c r="A1013" s="10">
        <f>10</f>
        <v>10</v>
      </c>
      <c r="B1013" s="11">
        <f>IF($A1013&gt;'1-Input'!$B$26,0,IF(G1012&lt;=0,0,MAX(0,(G1012-H1012)/G1012)))</f>
        <v>0.51228049605659187</v>
      </c>
      <c r="C1013" s="18">
        <f>IF($A1013&gt;'1-Input'!$B$26,0,(MAX(0,B1001-IF($A1013&gt;='1-Input'!$C$12,'1-Input'!$B$12,0))-MIN(MAX(F1012,0),MAX(0,B1001-IF($A1013&gt;='1-Input'!$C$12,'1-Input'!$B$12,0))))*(1/(1-'P-Parametri'!$B$6*B1013))+MIN(MAX(0,G1012-(MAX(0,B1001-IF($A1013&gt;='1-Input'!$C$12,'1-Input'!$B$12,0))-MIN(MAX(F1012,0),MAX(0,B1001-IF($A1013&gt;='1-Input'!$C$12,'1-Input'!$B$12,0))))*(1/(1-'P-Parametri'!$B$6*B1013))),MAX(0,0*B1001-(F1012-MIN(MAX(F1012,0),MAX(0,B1001-IF($A1013&gt;='1-Input'!$C$12,'1-Input'!$B$12,0)))))*(1/(1-'P-Parametri'!$B$6*B1013))))</f>
        <v>19244.253850969322</v>
      </c>
      <c r="D1013" s="18">
        <f>IF($A1013&gt;'1-Input'!$B$26,F1012,(F1012-MAX(0,B1001-IF($A1013&gt;='1-Input'!$C$12,'1-Input'!$B$12,0))+C1013*(1-'P-Parametri'!$B$6*B1013))*(1+'1-Input'!$B$27))</f>
        <v>-3.6248820833861826E-12</v>
      </c>
      <c r="E1013" s="18">
        <f>IF($A1013&gt;'1-Input'!$B$26,G1012,(G1012-C1013)*(1+'5-Roberta'!$C$4))</f>
        <v>358888.68176028196</v>
      </c>
      <c r="F1013" s="18">
        <f>IF($A1013&gt;'1-Input'!$B$26,D1013,D1013-'P-Parametri'!$B$8*(E1013+D1013)+MIN(MAX(E1013,0),'P-Parametri'!$B$8*(E1013+D1013)))</f>
        <v>-3.637978807091713E-12</v>
      </c>
      <c r="G1013" s="18">
        <f>IF($A1013&gt;'1-Input'!$B$26,E1013,E1013-MIN(MAX(E1013,0),'P-Parametri'!$B$8*(E1013+D1013)))</f>
        <v>358170.90439676138</v>
      </c>
      <c r="H1013" s="18">
        <f>IF($A1013&gt;'1-Input'!$B$26,H1012,H1012-C1013*(1-B1013))</f>
        <v>169938.84450391107</v>
      </c>
      <c r="I1013" s="11">
        <f>IF($A1013&gt;'1-Input'!$B$26,0,IF(N1012&lt;=0,0,MAX(0,(N1012-O1012)/N1012)))</f>
        <v>0.51228049605659198</v>
      </c>
      <c r="J1013" s="18">
        <f>IF($A1013&gt;'1-Input'!$B$26,0,(MAX(0,I1001-IF($A1013&gt;='1-Input'!$C$12,'1-Input'!$B$12,0))-MIN(MAX(M1012,0),MAX(0,I1001-IF($A1013&gt;='1-Input'!$C$12,'1-Input'!$B$12,0))))*(1/(1-'P-Parametri'!$B$6*I1013))+MIN(MAX(0,N1012-(MAX(0,I1001-IF($A1013&gt;='1-Input'!$C$12,'1-Input'!$B$12,0))-MIN(MAX(M1012,0),MAX(0,I1001-IF($A1013&gt;='1-Input'!$C$12,'1-Input'!$B$12,0))))*(1/(1-'P-Parametri'!$B$6*I1013))),MAX(0,0*I1001-(M1012-MIN(MAX(M1012,0),MAX(0,I1001-IF($A1013&gt;='1-Input'!$C$12,'1-Input'!$B$12,0)))))*(1/(1-'P-Parametri'!$B$6*I1013))))</f>
        <v>25321.38664601227</v>
      </c>
      <c r="K1013" s="18">
        <f>IF($A1013&gt;'1-Input'!$B$26,M1012,(M1012-MAX(0,I1001-IF($A1013&gt;='1-Input'!$C$12,'1-Input'!$B$12,0))+J1013*(1-'P-Parametri'!$B$6*I1013))*(1+'1-Input'!$B$27))</f>
        <v>-3.6248820833861826E-12</v>
      </c>
      <c r="L1013" s="18">
        <f>IF($A1013&gt;'1-Input'!$B$26,N1012,(N1012-J1013)*(1+'5-Roberta'!$C$4))</f>
        <v>289249.92494337523</v>
      </c>
      <c r="M1013" s="18">
        <f>IF($A1013&gt;'1-Input'!$B$26,K1013,K1013-'P-Parametri'!$B$8*(L1013+K1013)+MIN(MAX(L1013,0),'P-Parametri'!$B$8*(L1013+K1013)))</f>
        <v>-3.637978807091713E-12</v>
      </c>
      <c r="N1013" s="18">
        <f>IF($A1013&gt;'1-Input'!$B$26,L1013,L1013-MIN(MAX(L1013,0),'P-Parametri'!$B$8*(L1013+K1013)))</f>
        <v>288671.42509348848</v>
      </c>
      <c r="O1013" s="18">
        <f>IF($A1013&gt;'1-Input'!$B$26,O1012,O1012-J1013*(1-I1013))</f>
        <v>136963.91253305919</v>
      </c>
      <c r="P1013" s="11">
        <f>IF($A1013&gt;'1-Input'!$B$26,0,IF(U1012&lt;=0,0,MAX(0,(U1012-V1012)/U1012)))</f>
        <v>0.51228049605659176</v>
      </c>
      <c r="Q1013" s="18">
        <f>IF($A1013&gt;'1-Input'!$B$26,0,(MAX(0,P1001-IF($A1013&gt;='1-Input'!$C$12,'1-Input'!$B$12,0))-MIN(MAX(T1012,0),MAX(0,P1001-IF($A1013&gt;='1-Input'!$C$12,'1-Input'!$B$12,0))))*(1/(1-'P-Parametri'!$B$6*P1013))+MIN(MAX(0,U1012-(MAX(0,P1001-IF($A1013&gt;='1-Input'!$C$12,'1-Input'!$B$12,0))-MIN(MAX(T1012,0),MAX(0,P1001-IF($A1013&gt;='1-Input'!$C$12,'1-Input'!$B$12,0))))*(1/(1-'P-Parametri'!$B$6*P1013))),MAX(0,0*P1001-(T1012-MIN(MAX(T1012,0),MAX(0,P1001-IF($A1013&gt;='1-Input'!$C$12,'1-Input'!$B$12,0)))))*(1/(1-'P-Parametri'!$B$6*P1013))))</f>
        <v>21466.572417051371</v>
      </c>
      <c r="R1013" s="18">
        <f>IF($A1013&gt;'1-Input'!$B$26,T1012,(T1012-MAX(0,P1001-IF($A1013&gt;='1-Input'!$C$12,'1-Input'!$B$12,0))+Q1013*(1-'P-Parametri'!$B$6*P1013))*(1+'1-Input'!$B$27))</f>
        <v>0</v>
      </c>
      <c r="S1013" s="18">
        <f>IF($A1013&gt;'1-Input'!$B$26,U1012,(U1012-Q1013)*(1+'5-Roberta'!$C$4))</f>
        <v>333422.80707685876</v>
      </c>
      <c r="T1013" s="18">
        <f>IF($A1013&gt;'1-Input'!$B$26,R1013,R1013-'P-Parametri'!$B$8*(S1013+R1013)+MIN(MAX(S1013,0),'P-Parametri'!$B$8*(S1013+R1013)))</f>
        <v>0</v>
      </c>
      <c r="U1013" s="18">
        <f>IF($A1013&gt;'1-Input'!$B$26,S1013,S1013-MIN(MAX(S1013,0),'P-Parametri'!$B$8*(S1013+R1013)))</f>
        <v>332755.96146270505</v>
      </c>
      <c r="V1013" s="18">
        <f>IF($A1013&gt;'1-Input'!$B$26,V1012,V1012-Q1013*(1-P1013))</f>
        <v>157880.39424363518</v>
      </c>
      <c r="W1013" s="11">
        <f>IF($A1013&gt;'1-Input'!$B$26,0,IF(AB1012&lt;=0,0,MAX(0,(AB1012-AC1012)/AB1012)))</f>
        <v>0.51228049605659187</v>
      </c>
      <c r="X1013" s="18">
        <f>IF($A1013&gt;'1-Input'!$B$26,0,(MAX(0,W1001-IF($A1013&gt;='1-Input'!$C$12,'1-Input'!$B$12,0))-MIN(MAX(AA1012,0),MAX(0,W1001-IF($A1013&gt;='1-Input'!$C$12,'1-Input'!$B$12,0))))*(1/(1-'P-Parametri'!$B$6*W1013))+MIN(MAX(0,AB1012-(MAX(0,W1001-IF($A1013&gt;='1-Input'!$C$12,'1-Input'!$B$12,0))-MIN(MAX(AA1012,0),MAX(0,W1001-IF($A1013&gt;='1-Input'!$C$12,'1-Input'!$B$12,0))))*(1/(1-'P-Parametri'!$B$6*W1013))),MAX(0,0*W1001-(AA1012-MIN(MAX(AA1012,0),MAX(0,W1001-IF($A1013&gt;='1-Input'!$C$12,'1-Input'!$B$12,0)))))*(1/(1-'P-Parametri'!$B$6*W1013))))</f>
        <v>21177.338750356517</v>
      </c>
      <c r="Y1013" s="18">
        <f>IF($A1013&gt;'1-Input'!$B$26,AA1012,(AA1012-MAX(0,W1001-IF($A1013&gt;='1-Input'!$C$12,'1-Input'!$B$12,0))+X1013*(1-'P-Parametri'!$B$6*W1013))*(1+'1-Input'!$B$27))</f>
        <v>-3.6248820833861826E-12</v>
      </c>
      <c r="Z1013" s="18">
        <f>IF($A1013&gt;'1-Input'!$B$26,AB1012,(AB1012-X1013)*(1+'5-Roberta'!$C$4))</f>
        <v>336737.17812279926</v>
      </c>
      <c r="AA1013" s="18">
        <f>IF($A1013&gt;'1-Input'!$B$26,Y1013,Y1013-'P-Parametri'!$B$8*(Z1013+Y1013)+MIN(MAX(Z1013,0),'P-Parametri'!$B$8*(Z1013+Y1013)))</f>
        <v>-3.637978807091713E-12</v>
      </c>
      <c r="AB1013" s="18">
        <f>IF($A1013&gt;'1-Input'!$B$26,Z1013,Z1013-MIN(MAX(Z1013,0),'P-Parametri'!$B$8*(Z1013+Y1013)))</f>
        <v>336063.70376655366</v>
      </c>
      <c r="AC1013" s="18">
        <f>IF($A1013&gt;'1-Input'!$B$26,AC1012,AC1012-X1013*(1-W1013))</f>
        <v>159449.79560519874</v>
      </c>
      <c r="AD1013" s="11">
        <f>IF($A1013&gt;'1-Input'!$B$26,0,IF(AI1012&lt;=0,0,MAX(0,(AI1012-AJ1012)/AI1012)))</f>
        <v>0.51228049605659187</v>
      </c>
      <c r="AE1013" s="18">
        <f>IF($A1013&gt;'1-Input'!$B$26,0,(MAX(0,AD1001-IF($A1013&gt;='1-Input'!$C$12,'1-Input'!$B$12,0))-MIN(MAX(AH1012,0),MAX(0,AD1001-IF($A1013&gt;='1-Input'!$C$12,'1-Input'!$B$12,0))))*(1/(1-'P-Parametri'!$B$6*AD1013))+MIN(MAX(0,AI1012-(MAX(0,AD1001-IF($A1013&gt;='1-Input'!$C$12,'1-Input'!$B$12,0))-MIN(MAX(AH1012,0),MAX(0,AD1001-IF($A1013&gt;='1-Input'!$C$12,'1-Input'!$B$12,0))))*(1/(1-'P-Parametri'!$B$6*AD1013))),MAX(0,0*AD1001-(AH1012-MIN(MAX(AH1012,0),MAX(0,AD1001-IF($A1013&gt;='1-Input'!$C$12,'1-Input'!$B$12,0)))))*(1/(1-'P-Parametri'!$B$6*AD1013))))</f>
        <v>21187.984788403974</v>
      </c>
      <c r="AF1013" s="18">
        <f>IF($A1013&gt;'1-Input'!$B$26,AH1012,(AH1012-MAX(0,AD1001-IF($A1013&gt;='1-Input'!$C$12,'1-Input'!$B$12,0))+AE1013*(1-'P-Parametri'!$B$6*AD1013))*(1+'1-Input'!$B$27))</f>
        <v>-3.6248820833861826E-12</v>
      </c>
      <c r="AG1013" s="18">
        <f>IF($A1013&gt;'1-Input'!$B$26,AI1012,(AI1012-AE1013)*(1+'5-Roberta'!$C$4))</f>
        <v>336615.18360998307</v>
      </c>
      <c r="AH1013" s="18">
        <f>IF($A1013&gt;'1-Input'!$B$26,AF1013,AF1013-'P-Parametri'!$B$8*(AG1013+AF1013)+MIN(MAX(AG1013,0),'P-Parametri'!$B$8*(AG1013+AF1013)))</f>
        <v>-3.637978807091713E-12</v>
      </c>
      <c r="AI1013" s="18">
        <f>IF($A1013&gt;'1-Input'!$B$26,AG1013,AG1013-MIN(MAX(AG1013,0),'P-Parametri'!$B$8*(AG1013+AF1013)))</f>
        <v>335941.95324276312</v>
      </c>
      <c r="AJ1013" s="18">
        <f>IF($A1013&gt;'1-Input'!$B$26,AJ1012,AJ1012-AE1013*(1-AD1013))</f>
        <v>159392.02948551474</v>
      </c>
      <c r="AK1013" s="11">
        <f>IF($A1013&gt;'1-Input'!$B$26,0,IF(AP1012&lt;=0,0,MAX(0,(AP1012-AQ1012)/AP1012)))</f>
        <v>0.51228049605659209</v>
      </c>
      <c r="AL1013" s="18">
        <f>IF($A1013&gt;'1-Input'!$B$26,0,(MAX(0,AK1001-IF($A1013&gt;='1-Input'!$C$12,'1-Input'!$B$12,0))-MIN(MAX(AO1012,0),MAX(0,AK1001-IF($A1013&gt;='1-Input'!$C$12,'1-Input'!$B$12,0))))*(1/(1-'P-Parametri'!$B$6*AK1013))+MIN(MAX(0,AP1012-(MAX(0,AK1001-IF($A1013&gt;='1-Input'!$C$12,'1-Input'!$B$12,0))-MIN(MAX(AO1012,0),MAX(0,AK1001-IF($A1013&gt;='1-Input'!$C$12,'1-Input'!$B$12,0))))*(1/(1-'P-Parametri'!$B$6*AK1013))),MAX(0,0*AK1001-(AO1012-MIN(MAX(AO1012,0),MAX(0,AK1001-IF($A1013&gt;='1-Input'!$C$12,'1-Input'!$B$12,0)))))*(1/(1-'P-Parametri'!$B$6*AK1013))))</f>
        <v>21186.32362936587</v>
      </c>
      <c r="AM1013" s="18">
        <f>IF($A1013&gt;'1-Input'!$B$26,AO1012,(AO1012-MAX(0,AK1001-IF($A1013&gt;='1-Input'!$C$12,'1-Input'!$B$12,0))+AL1013*(1-'P-Parametri'!$B$6*AK1013))*(1+'1-Input'!$B$27))</f>
        <v>-3.6248820833861826E-12</v>
      </c>
      <c r="AN1013" s="18">
        <f>IF($A1013&gt;'1-Input'!$B$26,AP1012,(AP1012-AL1013)*(1+'5-Roberta'!$C$4))</f>
        <v>336634.21907525772</v>
      </c>
      <c r="AO1013" s="18">
        <f>IF($A1013&gt;'1-Input'!$B$26,AM1013,AM1013-'P-Parametri'!$B$8*(AN1013+AM1013)+MIN(MAX(AN1013,0),'P-Parametri'!$B$8*(AN1013+AM1013)))</f>
        <v>-3.637978807091713E-12</v>
      </c>
      <c r="AP1013" s="18">
        <f>IF($A1013&gt;'1-Input'!$B$26,AN1013,AN1013-MIN(MAX(AN1013,0),'P-Parametri'!$B$8*(AN1013+AM1013)))</f>
        <v>335960.95063710719</v>
      </c>
      <c r="AQ1013" s="18">
        <f>IF($A1013&gt;'1-Input'!$B$26,AQ1012,AQ1012-AL1013*(1-AK1013))</f>
        <v>159401.04304637009</v>
      </c>
    </row>
    <row r="1014" spans="1:43">
      <c r="A1014" s="10">
        <f>11</f>
        <v>11</v>
      </c>
      <c r="B1014" s="11">
        <f>IF($A1014&gt;'1-Input'!$B$26,0,IF(G1013&lt;=0,0,MAX(0,(G1013-H1013)/G1013)))</f>
        <v>0.52553699248651853</v>
      </c>
      <c r="C1014" s="18">
        <f>IF($A1014&gt;'1-Input'!$B$26,0,(MAX(0,B1001-IF($A1014&gt;='1-Input'!$C$12,'1-Input'!$B$12,0))-MIN(MAX(F1013,0),MAX(0,B1001-IF($A1014&gt;='1-Input'!$C$12,'1-Input'!$B$12,0))))*(1/(1-'P-Parametri'!$B$6*B1014))+MIN(MAX(0,G1013-(MAX(0,B1001-IF($A1014&gt;='1-Input'!$C$12,'1-Input'!$B$12,0))-MIN(MAX(F1013,0),MAX(0,B1001-IF($A1014&gt;='1-Input'!$C$12,'1-Input'!$B$12,0))))*(1/(1-'P-Parametri'!$B$6*B1014))),MAX(0,0*B1001-(F1013-MIN(MAX(F1013,0),MAX(0,B1001-IF($A1014&gt;='1-Input'!$C$12,'1-Input'!$B$12,0)))))*(1/(1-'P-Parametri'!$B$6*B1014))))</f>
        <v>19321.080354511952</v>
      </c>
      <c r="D1014" s="18">
        <f>IF($A1014&gt;'1-Input'!$B$26,F1013,(F1013-MAX(0,B1001-IF($A1014&gt;='1-Input'!$C$12,'1-Input'!$B$12,0))+C1014*(1-'P-Parametri'!$B$6*B1014))*(1+'1-Input'!$B$27))</f>
        <v>0</v>
      </c>
      <c r="E1014" s="18">
        <f>IF($A1014&gt;'1-Input'!$B$26,G1013,(G1013-C1014)*(1+'5-Roberta'!$C$4))</f>
        <v>349015.3187635169</v>
      </c>
      <c r="F1014" s="18">
        <f>IF($A1014&gt;'1-Input'!$B$26,D1014,D1014-'P-Parametri'!$B$8*(E1014+D1014)+MIN(MAX(E1014,0),'P-Parametri'!$B$8*(E1014+D1014)))</f>
        <v>0</v>
      </c>
      <c r="G1014" s="18">
        <f>IF($A1014&gt;'1-Input'!$B$26,E1014,E1014-MIN(MAX(E1014,0),'P-Parametri'!$B$8*(E1014+D1014)))</f>
        <v>348317.28812598984</v>
      </c>
      <c r="H1014" s="18">
        <f>IF($A1014&gt;'1-Input'!$B$26,H1013,H1013-C1014*(1-B1014))</f>
        <v>160771.70661049968</v>
      </c>
      <c r="I1014" s="11">
        <f>IF($A1014&gt;'1-Input'!$B$26,0,IF(N1013&lt;=0,0,MAX(0,(N1013-O1013)/N1013)))</f>
        <v>0.52553699248651864</v>
      </c>
      <c r="J1014" s="18">
        <f>IF($A1014&gt;'1-Input'!$B$26,0,(MAX(0,I1001-IF($A1014&gt;='1-Input'!$C$12,'1-Input'!$B$12,0))-MIN(MAX(M1013,0),MAX(0,I1001-IF($A1014&gt;='1-Input'!$C$12,'1-Input'!$B$12,0))))*(1/(1-'P-Parametri'!$B$6*I1014))+MIN(MAX(0,N1013-(MAX(0,I1001-IF($A1014&gt;='1-Input'!$C$12,'1-Input'!$B$12,0))-MIN(MAX(M1013,0),MAX(0,I1001-IF($A1014&gt;='1-Input'!$C$12,'1-Input'!$B$12,0))))*(1/(1-'P-Parametri'!$B$6*I1014))),MAX(0,0*I1001-(M1013-MIN(MAX(M1013,0),MAX(0,I1001-IF($A1014&gt;='1-Input'!$C$12,'1-Input'!$B$12,0)))))*(1/(1-'P-Parametri'!$B$6*I1014))))</f>
        <v>25422.474150673625</v>
      </c>
      <c r="K1014" s="18">
        <f>IF($A1014&gt;'1-Input'!$B$26,M1013,(M1013-MAX(0,I1001-IF($A1014&gt;='1-Input'!$C$12,'1-Input'!$B$12,0))+J1014*(1-'P-Parametri'!$B$6*I1014))*(1+'1-Input'!$B$27))</f>
        <v>-3.6248820833861826E-12</v>
      </c>
      <c r="L1014" s="18">
        <f>IF($A1014&gt;'1-Input'!$B$26,N1013,(N1013-J1014)*(1+'5-Roberta'!$C$4))</f>
        <v>271146.41947109933</v>
      </c>
      <c r="M1014" s="18">
        <f>IF($A1014&gt;'1-Input'!$B$26,K1014,K1014-'P-Parametri'!$B$8*(L1014+K1014)+MIN(MAX(L1014,0),'P-Parametri'!$B$8*(L1014+K1014)))</f>
        <v>-3.637978807091713E-12</v>
      </c>
      <c r="N1014" s="18">
        <f>IF($A1014&gt;'1-Input'!$B$26,L1014,L1014-MIN(MAX(L1014,0),'P-Parametri'!$B$8*(L1014+K1014)))</f>
        <v>270604.12663215713</v>
      </c>
      <c r="O1014" s="18">
        <f>IF($A1014&gt;'1-Input'!$B$26,O1013,O1013-J1014*(1-I1014))</f>
        <v>124901.88898909684</v>
      </c>
      <c r="P1014" s="11">
        <f>IF($A1014&gt;'1-Input'!$B$26,0,IF(U1013&lt;=0,0,MAX(0,(U1013-V1013)/U1013)))</f>
        <v>0.52553699248651853</v>
      </c>
      <c r="Q1014" s="18">
        <f>IF($A1014&gt;'1-Input'!$B$26,0,(MAX(0,P1001-IF($A1014&gt;='1-Input'!$C$12,'1-Input'!$B$12,0))-MIN(MAX(T1013,0),MAX(0,P1001-IF($A1014&gt;='1-Input'!$C$12,'1-Input'!$B$12,0))))*(1/(1-'P-Parametri'!$B$6*P1014))+MIN(MAX(0,U1013-(MAX(0,P1001-IF($A1014&gt;='1-Input'!$C$12,'1-Input'!$B$12,0))-MIN(MAX(T1013,0),MAX(0,P1001-IF($A1014&gt;='1-Input'!$C$12,'1-Input'!$B$12,0))))*(1/(1-'P-Parametri'!$B$6*P1014))),MAX(0,0*P1001-(T1013-MIN(MAX(T1013,0),MAX(0,P1001-IF($A1014&gt;='1-Input'!$C$12,'1-Input'!$B$12,0)))))*(1/(1-'P-Parametri'!$B$6*P1014))))</f>
        <v>21552.27081381013</v>
      </c>
      <c r="R1014" s="18">
        <f>IF($A1014&gt;'1-Input'!$B$26,T1013,(T1013-MAX(0,P1001-IF($A1014&gt;='1-Input'!$C$12,'1-Input'!$B$12,0))+Q1014*(1-'P-Parametri'!$B$6*P1014))*(1+'1-Input'!$B$27))</f>
        <v>0</v>
      </c>
      <c r="S1014" s="18">
        <f>IF($A1014&gt;'1-Input'!$B$26,U1013,(U1013-Q1014)*(1+'5-Roberta'!$C$4))</f>
        <v>320539.8013683618</v>
      </c>
      <c r="T1014" s="18">
        <f>IF($A1014&gt;'1-Input'!$B$26,R1014,R1014-'P-Parametri'!$B$8*(S1014+R1014)+MIN(MAX(S1014,0),'P-Parametri'!$B$8*(S1014+R1014)))</f>
        <v>0</v>
      </c>
      <c r="U1014" s="18">
        <f>IF($A1014&gt;'1-Input'!$B$26,S1014,S1014-MIN(MAX(S1014,0),'P-Parametri'!$B$8*(S1014+R1014)))</f>
        <v>319898.72176562506</v>
      </c>
      <c r="V1014" s="18">
        <f>IF($A1014&gt;'1-Input'!$B$26,V1013,V1013-Q1014*(1-P1014))</f>
        <v>147654.63901456981</v>
      </c>
      <c r="W1014" s="11">
        <f>IF($A1014&gt;'1-Input'!$B$26,0,IF(AB1013&lt;=0,0,MAX(0,(AB1013-AC1013)/AB1013)))</f>
        <v>0.52553699248651864</v>
      </c>
      <c r="X1014" s="18">
        <f>IF($A1014&gt;'1-Input'!$B$26,0,(MAX(0,W1001-IF($A1014&gt;='1-Input'!$C$12,'1-Input'!$B$12,0))-MIN(MAX(AA1013,0),MAX(0,W1001-IF($A1014&gt;='1-Input'!$C$12,'1-Input'!$B$12,0))))*(1/(1-'P-Parametri'!$B$6*W1014))+MIN(MAX(0,AB1013-(MAX(0,W1001-IF($A1014&gt;='1-Input'!$C$12,'1-Input'!$B$12,0))-MIN(MAX(AA1013,0),MAX(0,W1001-IF($A1014&gt;='1-Input'!$C$12,'1-Input'!$B$12,0))))*(1/(1-'P-Parametri'!$B$6*W1014))),MAX(0,0*W1001-(AA1013-MIN(MAX(AA1013,0),MAX(0,W1001-IF($A1014&gt;='1-Input'!$C$12,'1-Input'!$B$12,0)))))*(1/(1-'P-Parametri'!$B$6*W1014))))</f>
        <v>21261.882474583363</v>
      </c>
      <c r="Y1014" s="18">
        <f>IF($A1014&gt;'1-Input'!$B$26,AA1013,(AA1013-MAX(0,W1001-IF($A1014&gt;='1-Input'!$C$12,'1-Input'!$B$12,0))+X1014*(1-'P-Parametri'!$B$6*W1014))*(1+'1-Input'!$B$27))</f>
        <v>0</v>
      </c>
      <c r="Z1014" s="18">
        <f>IF($A1014&gt;'1-Input'!$B$26,AB1013,(AB1013-X1014)*(1+'5-Roberta'!$C$4))</f>
        <v>324245.87593072944</v>
      </c>
      <c r="AA1014" s="18">
        <f>IF($A1014&gt;'1-Input'!$B$26,Y1014,Y1014-'P-Parametri'!$B$8*(Z1014+Y1014)+MIN(MAX(Z1014,0),'P-Parametri'!$B$8*(Z1014+Y1014)))</f>
        <v>0</v>
      </c>
      <c r="AB1014" s="18">
        <f>IF($A1014&gt;'1-Input'!$B$26,Z1014,Z1014-MIN(MAX(Z1014,0),'P-Parametri'!$B$8*(Z1014+Y1014)))</f>
        <v>323597.38417886797</v>
      </c>
      <c r="AC1014" s="18">
        <f>IF($A1014&gt;'1-Input'!$B$26,AC1013,AC1013-X1014*(1-W1014))</f>
        <v>149361.81890090974</v>
      </c>
      <c r="AD1014" s="11">
        <f>IF($A1014&gt;'1-Input'!$B$26,0,IF(AI1013&lt;=0,0,MAX(0,(AI1013-AJ1013)/AI1013)))</f>
        <v>0.52553699248651864</v>
      </c>
      <c r="AE1014" s="18">
        <f>IF($A1014&gt;'1-Input'!$B$26,0,(MAX(0,AD1001-IF($A1014&gt;='1-Input'!$C$12,'1-Input'!$B$12,0))-MIN(MAX(AH1013,0),MAX(0,AD1001-IF($A1014&gt;='1-Input'!$C$12,'1-Input'!$B$12,0))))*(1/(1-'P-Parametri'!$B$6*AD1014))+MIN(MAX(0,AI1013-(MAX(0,AD1001-IF($A1014&gt;='1-Input'!$C$12,'1-Input'!$B$12,0))-MIN(MAX(AH1013,0),MAX(0,AD1001-IF($A1014&gt;='1-Input'!$C$12,'1-Input'!$B$12,0))))*(1/(1-'P-Parametri'!$B$6*AD1014))),MAX(0,0*AD1001-(AH1013-MIN(MAX(AH1013,0),MAX(0,AD1001-IF($A1014&gt;='1-Input'!$C$12,'1-Input'!$B$12,0)))))*(1/(1-'P-Parametri'!$B$6*AD1014))))</f>
        <v>21272.571013518933</v>
      </c>
      <c r="AF1014" s="18">
        <f>IF($A1014&gt;'1-Input'!$B$26,AH1013,(AH1013-MAX(0,AD1001-IF($A1014&gt;='1-Input'!$C$12,'1-Input'!$B$12,0))+AE1014*(1-'P-Parametri'!$B$6*AD1014))*(1+'1-Input'!$B$27))</f>
        <v>-3.6248820833861826E-12</v>
      </c>
      <c r="AG1014" s="18">
        <f>IF($A1014&gt;'1-Input'!$B$26,AI1013,(AI1013-AE1014)*(1+'5-Roberta'!$C$4))</f>
        <v>324109.46369612147</v>
      </c>
      <c r="AH1014" s="18">
        <f>IF($A1014&gt;'1-Input'!$B$26,AF1014,AF1014-'P-Parametri'!$B$8*(AG1014+AF1014)+MIN(MAX(AG1014,0),'P-Parametri'!$B$8*(AG1014+AF1014)))</f>
        <v>-3.637978807091713E-12</v>
      </c>
      <c r="AI1014" s="18">
        <f>IF($A1014&gt;'1-Input'!$B$26,AG1014,AG1014-MIN(MAX(AG1014,0),'P-Parametri'!$B$8*(AG1014+AF1014)))</f>
        <v>323461.2447687292</v>
      </c>
      <c r="AJ1014" s="18">
        <f>IF($A1014&gt;'1-Input'!$B$26,AJ1013,AJ1013-AE1014*(1-AD1014))</f>
        <v>149298.98146489644</v>
      </c>
      <c r="AK1014" s="11">
        <f>IF($A1014&gt;'1-Input'!$B$26,0,IF(AP1013&lt;=0,0,MAX(0,(AP1013-AQ1013)/AP1013)))</f>
        <v>0.52553699248651875</v>
      </c>
      <c r="AL1014" s="18">
        <f>IF($A1014&gt;'1-Input'!$B$26,0,(MAX(0,AK1001-IF($A1014&gt;='1-Input'!$C$12,'1-Input'!$B$12,0))-MIN(MAX(AO1013,0),MAX(0,AK1001-IF($A1014&gt;='1-Input'!$C$12,'1-Input'!$B$12,0))))*(1/(1-'P-Parametri'!$B$6*AK1014))+MIN(MAX(0,AP1013-(MAX(0,AK1001-IF($A1014&gt;='1-Input'!$C$12,'1-Input'!$B$12,0))-MIN(MAX(AO1013,0),MAX(0,AK1001-IF($A1014&gt;='1-Input'!$C$12,'1-Input'!$B$12,0))))*(1/(1-'P-Parametri'!$B$6*AK1014))),MAX(0,0*AK1001-(AO1013-MIN(MAX(AO1013,0),MAX(0,AK1001-IF($A1014&gt;='1-Input'!$C$12,'1-Input'!$B$12,0)))))*(1/(1-'P-Parametri'!$B$6*AK1014))))</f>
        <v>21270.903222836823</v>
      </c>
      <c r="AM1014" s="18">
        <f>IF($A1014&gt;'1-Input'!$B$26,AO1013,(AO1013-MAX(0,AK1001-IF($A1014&gt;='1-Input'!$C$12,'1-Input'!$B$12,0))+AL1014*(1-'P-Parametri'!$B$6*AK1014))*(1+'1-Input'!$B$27))</f>
        <v>0</v>
      </c>
      <c r="AN1014" s="18">
        <f>IF($A1014&gt;'1-Input'!$B$26,AP1013,(AP1013-AL1014)*(1+'5-Roberta'!$C$4))</f>
        <v>324130.74883669848</v>
      </c>
      <c r="AO1014" s="18">
        <f>IF($A1014&gt;'1-Input'!$B$26,AM1014,AM1014-'P-Parametri'!$B$8*(AN1014+AM1014)+MIN(MAX(AN1014,0),'P-Parametri'!$B$8*(AN1014+AM1014)))</f>
        <v>0</v>
      </c>
      <c r="AP1014" s="18">
        <f>IF($A1014&gt;'1-Input'!$B$26,AN1014,AN1014-MIN(MAX(AN1014,0),'P-Parametri'!$B$8*(AN1014+AM1014)))</f>
        <v>323482.48733902507</v>
      </c>
      <c r="AQ1014" s="18">
        <f>IF($A1014&gt;'1-Input'!$B$26,AQ1013,AQ1013-AL1014*(1-AK1014))</f>
        <v>149308.78633073473</v>
      </c>
    </row>
    <row r="1015" spans="1:43">
      <c r="A1015" s="10">
        <f>12</f>
        <v>12</v>
      </c>
      <c r="B1015" s="11">
        <f>IF($A1015&gt;'1-Input'!$B$26,0,IF(G1014&lt;=0,0,MAX(0,(G1014-H1014)/G1014)))</f>
        <v>0.53843316972441824</v>
      </c>
      <c r="C1015" s="18">
        <f>IF($A1015&gt;'1-Input'!$B$26,0,(MAX(0,B1001-IF($A1015&gt;='1-Input'!$C$12,'1-Input'!$B$12,0))-MIN(MAX(F1014,0),MAX(0,B1001-IF($A1015&gt;='1-Input'!$C$12,'1-Input'!$B$12,0))))*(1/(1-'P-Parametri'!$B$6*B1015))+MIN(MAX(0,G1014-(MAX(0,B1001-IF($A1015&gt;='1-Input'!$C$12,'1-Input'!$B$12,0))-MIN(MAX(F1014,0),MAX(0,B1001-IF($A1015&gt;='1-Input'!$C$12,'1-Input'!$B$12,0))))*(1/(1-'P-Parametri'!$B$6*B1015))),MAX(0,0*B1001-(F1014-MIN(MAX(F1014,0),MAX(0,B1001-IF($A1015&gt;='1-Input'!$C$12,'1-Input'!$B$12,0)))))*(1/(1-'P-Parametri'!$B$6*B1015))))</f>
        <v>19396.40959209088</v>
      </c>
      <c r="D1015" s="18">
        <f>IF($A1015&gt;'1-Input'!$B$26,F1014,(F1014-MAX(0,B1001-IF($A1015&gt;='1-Input'!$C$12,'1-Input'!$B$12,0))+C1015*(1-'P-Parametri'!$B$6*B1015))*(1+'1-Input'!$B$27))</f>
        <v>0</v>
      </c>
      <c r="E1015" s="18">
        <f>IF($A1015&gt;'1-Input'!$B$26,G1014,(G1014-C1015)*(1+'5-Roberta'!$C$4))</f>
        <v>338788.50488991593</v>
      </c>
      <c r="F1015" s="18">
        <f>IF($A1015&gt;'1-Input'!$B$26,D1015,D1015-'P-Parametri'!$B$8*(E1015+D1015)+MIN(MAX(E1015,0),'P-Parametri'!$B$8*(E1015+D1015)))</f>
        <v>0</v>
      </c>
      <c r="G1015" s="18">
        <f>IF($A1015&gt;'1-Input'!$B$26,E1015,E1015-MIN(MAX(E1015,0),'P-Parametri'!$B$8*(E1015+D1015)))</f>
        <v>338110.92788013612</v>
      </c>
      <c r="H1015" s="18">
        <f>IF($A1015&gt;'1-Input'!$B$26,H1014,H1014-C1015*(1-B1015))</f>
        <v>151818.96731635139</v>
      </c>
      <c r="I1015" s="11">
        <f>IF($A1015&gt;'1-Input'!$B$26,0,IF(N1014&lt;=0,0,MAX(0,(N1014-O1014)/N1014)))</f>
        <v>0.53843316972441846</v>
      </c>
      <c r="J1015" s="18">
        <f>IF($A1015&gt;'1-Input'!$B$26,0,(MAX(0,I1001-IF($A1015&gt;='1-Input'!$C$12,'1-Input'!$B$12,0))-MIN(MAX(M1014,0),MAX(0,I1001-IF($A1015&gt;='1-Input'!$C$12,'1-Input'!$B$12,0))))*(1/(1-'P-Parametri'!$B$6*I1015))+MIN(MAX(0,N1014-(MAX(0,I1001-IF($A1015&gt;='1-Input'!$C$12,'1-Input'!$B$12,0))-MIN(MAX(M1014,0),MAX(0,I1001-IF($A1015&gt;='1-Input'!$C$12,'1-Input'!$B$12,0))))*(1/(1-'P-Parametri'!$B$6*I1015))),MAX(0,0*I1001-(M1014-MIN(MAX(M1014,0),MAX(0,I1001-IF($A1015&gt;='1-Input'!$C$12,'1-Input'!$B$12,0)))))*(1/(1-'P-Parametri'!$B$6*I1015))))</f>
        <v>25521.59156854064</v>
      </c>
      <c r="K1015" s="18">
        <f>IF($A1015&gt;'1-Input'!$B$26,M1014,(M1014-MAX(0,I1001-IF($A1015&gt;='1-Input'!$C$12,'1-Input'!$B$12,0))+J1015*(1-'P-Parametri'!$B$6*I1015))*(1+'1-Input'!$B$27))</f>
        <v>0</v>
      </c>
      <c r="L1015" s="18">
        <f>IF($A1015&gt;'1-Input'!$B$26,N1014,(N1014-J1015)*(1+'5-Roberta'!$C$4))</f>
        <v>252435.01111552501</v>
      </c>
      <c r="M1015" s="18">
        <f>IF($A1015&gt;'1-Input'!$B$26,K1015,K1015-'P-Parametri'!$B$8*(L1015+K1015)+MIN(MAX(L1015,0),'P-Parametri'!$B$8*(L1015+K1015)))</f>
        <v>0</v>
      </c>
      <c r="N1015" s="18">
        <f>IF($A1015&gt;'1-Input'!$B$26,L1015,L1015-MIN(MAX(L1015,0),'P-Parametri'!$B$8*(L1015+K1015)))</f>
        <v>251930.14109329396</v>
      </c>
      <c r="O1015" s="18">
        <f>IF($A1015&gt;'1-Input'!$B$26,O1014,O1014-J1015*(1-I1015))</f>
        <v>113121.96886521752</v>
      </c>
      <c r="P1015" s="11">
        <f>IF($A1015&gt;'1-Input'!$B$26,0,IF(U1014&lt;=0,0,MAX(0,(U1014-V1014)/U1014)))</f>
        <v>0.53843316972441824</v>
      </c>
      <c r="Q1015" s="18">
        <f>IF($A1015&gt;'1-Input'!$B$26,0,(MAX(0,P1001-IF($A1015&gt;='1-Input'!$C$12,'1-Input'!$B$12,0))-MIN(MAX(T1014,0),MAX(0,P1001-IF($A1015&gt;='1-Input'!$C$12,'1-Input'!$B$12,0))))*(1/(1-'P-Parametri'!$B$6*P1015))+MIN(MAX(0,U1014-(MAX(0,P1001-IF($A1015&gt;='1-Input'!$C$12,'1-Input'!$B$12,0))-MIN(MAX(T1014,0),MAX(0,P1001-IF($A1015&gt;='1-Input'!$C$12,'1-Input'!$B$12,0))))*(1/(1-'P-Parametri'!$B$6*P1015))),MAX(0,0*P1001-(T1014-MIN(MAX(T1014,0),MAX(0,P1001-IF($A1015&gt;='1-Input'!$C$12,'1-Input'!$B$12,0)))))*(1/(1-'P-Parametri'!$B$6*P1015))))</f>
        <v>21636.299040943912</v>
      </c>
      <c r="R1015" s="18">
        <f>IF($A1015&gt;'1-Input'!$B$26,T1014,(T1014-MAX(0,P1001-IF($A1015&gt;='1-Input'!$C$12,'1-Input'!$B$12,0))+Q1015*(1-'P-Parametri'!$B$6*P1015))*(1+'1-Input'!$B$27))</f>
        <v>0</v>
      </c>
      <c r="S1015" s="18">
        <f>IF($A1015&gt;'1-Input'!$B$26,U1014,(U1014-Q1015)*(1+'5-Roberta'!$C$4))</f>
        <v>307210.29540642159</v>
      </c>
      <c r="T1015" s="18">
        <f>IF($A1015&gt;'1-Input'!$B$26,R1015,R1015-'P-Parametri'!$B$8*(S1015+R1015)+MIN(MAX(S1015,0),'P-Parametri'!$B$8*(S1015+R1015)))</f>
        <v>0</v>
      </c>
      <c r="U1015" s="18">
        <f>IF($A1015&gt;'1-Input'!$B$26,S1015,S1015-MIN(MAX(S1015,0),'P-Parametri'!$B$8*(S1015+R1015)))</f>
        <v>306595.87481560872</v>
      </c>
      <c r="V1015" s="18">
        <f>IF($A1015&gt;'1-Input'!$B$26,V1014,V1014-Q1015*(1-P1015))</f>
        <v>137668.04104734672</v>
      </c>
      <c r="W1015" s="11">
        <f>IF($A1015&gt;'1-Input'!$B$26,0,IF(AB1014&lt;=0,0,MAX(0,(AB1014-AC1014)/AB1014)))</f>
        <v>0.53843316972441835</v>
      </c>
      <c r="X1015" s="18">
        <f>IF($A1015&gt;'1-Input'!$B$26,0,(MAX(0,W1001-IF($A1015&gt;='1-Input'!$C$12,'1-Input'!$B$12,0))-MIN(MAX(AA1014,0),MAX(0,W1001-IF($A1015&gt;='1-Input'!$C$12,'1-Input'!$B$12,0))))*(1/(1-'P-Parametri'!$B$6*W1015))+MIN(MAX(0,AB1014-(MAX(0,W1001-IF($A1015&gt;='1-Input'!$C$12,'1-Input'!$B$12,0))-MIN(MAX(AA1014,0),MAX(0,W1001-IF($A1015&gt;='1-Input'!$C$12,'1-Input'!$B$12,0))))*(1/(1-'P-Parametri'!$B$6*W1015))),MAX(0,0*W1001-(AA1014-MIN(MAX(AA1014,0),MAX(0,W1001-IF($A1015&gt;='1-Input'!$C$12,'1-Input'!$B$12,0)))))*(1/(1-'P-Parametri'!$B$6*W1015))))</f>
        <v>21344.778532511569</v>
      </c>
      <c r="Y1015" s="18">
        <f>IF($A1015&gt;'1-Input'!$B$26,AA1014,(AA1014-MAX(0,W1001-IF($A1015&gt;='1-Input'!$C$12,'1-Input'!$B$12,0))+X1015*(1-'P-Parametri'!$B$6*W1015))*(1+'1-Input'!$B$27))</f>
        <v>3.6248820833861826E-12</v>
      </c>
      <c r="Z1015" s="18">
        <f>IF($A1015&gt;'1-Input'!$B$26,AB1014,(AB1014-X1015)*(1+'5-Roberta'!$C$4))</f>
        <v>311320.18381574709</v>
      </c>
      <c r="AA1015" s="18">
        <f>IF($A1015&gt;'1-Input'!$B$26,Y1015,Y1015-'P-Parametri'!$B$8*(Z1015+Y1015)+MIN(MAX(Z1015,0),'P-Parametri'!$B$8*(Z1015+Y1015)))</f>
        <v>3.637978807091713E-12</v>
      </c>
      <c r="AB1015" s="18">
        <f>IF($A1015&gt;'1-Input'!$B$26,Z1015,Z1015-MIN(MAX(Z1015,0),'P-Parametri'!$B$8*(Z1015+Y1015)))</f>
        <v>310697.54344811558</v>
      </c>
      <c r="AC1015" s="18">
        <f>IF($A1015&gt;'1-Input'!$B$26,AC1014,AC1014-X1015*(1-W1015))</f>
        <v>139509.77713072411</v>
      </c>
      <c r="AD1015" s="11">
        <f>IF($A1015&gt;'1-Input'!$B$26,0,IF(AI1014&lt;=0,0,MAX(0,(AI1014-AJ1014)/AI1014)))</f>
        <v>0.53843316972441824</v>
      </c>
      <c r="AE1015" s="18">
        <f>IF($A1015&gt;'1-Input'!$B$26,0,(MAX(0,AD1001-IF($A1015&gt;='1-Input'!$C$12,'1-Input'!$B$12,0))-MIN(MAX(AH1014,0),MAX(0,AD1001-IF($A1015&gt;='1-Input'!$C$12,'1-Input'!$B$12,0))))*(1/(1-'P-Parametri'!$B$6*AD1015))+MIN(MAX(0,AI1014-(MAX(0,AD1001-IF($A1015&gt;='1-Input'!$C$12,'1-Input'!$B$12,0))-MIN(MAX(AH1014,0),MAX(0,AD1001-IF($A1015&gt;='1-Input'!$C$12,'1-Input'!$B$12,0))))*(1/(1-'P-Parametri'!$B$6*AD1015))),MAX(0,0*AD1001-(AH1014-MIN(MAX(AH1014,0),MAX(0,AD1001-IF($A1015&gt;='1-Input'!$C$12,'1-Input'!$B$12,0)))))*(1/(1-'P-Parametri'!$B$6*AD1015))))</f>
        <v>21355.508744038638</v>
      </c>
      <c r="AF1015" s="18">
        <f>IF($A1015&gt;'1-Input'!$B$26,AH1014,(AH1014-MAX(0,AD1001-IF($A1015&gt;='1-Input'!$C$12,'1-Input'!$B$12,0))+AE1015*(1-'P-Parametri'!$B$6*AD1015))*(1+'1-Input'!$B$27))</f>
        <v>0</v>
      </c>
      <c r="AG1015" s="18">
        <f>IF($A1015&gt;'1-Input'!$B$26,AI1014,(AI1014-AE1015)*(1+'5-Roberta'!$C$4))</f>
        <v>311168.9081054313</v>
      </c>
      <c r="AH1015" s="18">
        <f>IF($A1015&gt;'1-Input'!$B$26,AF1015,AF1015-'P-Parametri'!$B$8*(AG1015+AF1015)+MIN(MAX(AG1015,0),'P-Parametri'!$B$8*(AG1015+AF1015)))</f>
        <v>0</v>
      </c>
      <c r="AI1015" s="18">
        <f>IF($A1015&gt;'1-Input'!$B$26,AG1015,AG1015-MIN(MAX(AG1015,0),'P-Parametri'!$B$8*(AG1015+AF1015)))</f>
        <v>310546.57028922043</v>
      </c>
      <c r="AJ1015" s="18">
        <f>IF($A1015&gt;'1-Input'!$B$26,AJ1014,AJ1014-AE1015*(1-AD1015))</f>
        <v>139441.98698498806</v>
      </c>
      <c r="AK1015" s="11">
        <f>IF($A1015&gt;'1-Input'!$B$26,0,IF(AP1014&lt;=0,0,MAX(0,(AP1014-AQ1014)/AP1014)))</f>
        <v>0.53843316972441846</v>
      </c>
      <c r="AL1015" s="18">
        <f>IF($A1015&gt;'1-Input'!$B$26,0,(MAX(0,AK1001-IF($A1015&gt;='1-Input'!$C$12,'1-Input'!$B$12,0))-MIN(MAX(AO1014,0),MAX(0,AK1001-IF($A1015&gt;='1-Input'!$C$12,'1-Input'!$B$12,0))))*(1/(1-'P-Parametri'!$B$6*AK1015))+MIN(MAX(0,AP1014-(MAX(0,AK1001-IF($A1015&gt;='1-Input'!$C$12,'1-Input'!$B$12,0))-MIN(MAX(AO1014,0),MAX(0,AK1001-IF($A1015&gt;='1-Input'!$C$12,'1-Input'!$B$12,0))))*(1/(1-'P-Parametri'!$B$6*AK1015))),MAX(0,0*AK1001-(AO1014-MIN(MAX(AO1014,0),MAX(0,AK1001-IF($A1015&gt;='1-Input'!$C$12,'1-Input'!$B$12,0)))))*(1/(1-'P-Parametri'!$B$6*AK1015))))</f>
        <v>21353.834450956128</v>
      </c>
      <c r="AM1015" s="18">
        <f>IF($A1015&gt;'1-Input'!$B$26,AO1014,(AO1014-MAX(0,AK1001-IF($A1015&gt;='1-Input'!$C$12,'1-Input'!$B$12,0))+AL1015*(1-'P-Parametri'!$B$6*AK1015))*(1+'1-Input'!$B$27))</f>
        <v>0</v>
      </c>
      <c r="AN1015" s="18">
        <f>IF($A1015&gt;'1-Input'!$B$26,AP1014,(AP1014-AL1015)*(1+'5-Roberta'!$C$4))</f>
        <v>311192.51247471099</v>
      </c>
      <c r="AO1015" s="18">
        <f>IF($A1015&gt;'1-Input'!$B$26,AM1015,AM1015-'P-Parametri'!$B$8*(AN1015+AM1015)+MIN(MAX(AN1015,0),'P-Parametri'!$B$8*(AN1015+AM1015)))</f>
        <v>0</v>
      </c>
      <c r="AP1015" s="18">
        <f>IF($A1015&gt;'1-Input'!$B$26,AN1015,AN1015-MIN(MAX(AN1015,0),'P-Parametri'!$B$8*(AN1015+AM1015)))</f>
        <v>310570.12744976155</v>
      </c>
      <c r="AQ1015" s="18">
        <f>IF($A1015&gt;'1-Input'!$B$26,AQ1014,AQ1014-AL1015*(1-AK1015))</f>
        <v>139452.56464897739</v>
      </c>
    </row>
    <row r="1016" spans="1:43">
      <c r="A1016" s="10">
        <f>13</f>
        <v>13</v>
      </c>
      <c r="B1016" s="11">
        <f>IF($A1016&gt;'1-Input'!$B$26,0,IF(G1015&lt;=0,0,MAX(0,(G1015-H1015)/G1015)))</f>
        <v>0.5509788214530208</v>
      </c>
      <c r="C1016" s="18">
        <f>IF($A1016&gt;'1-Input'!$B$26,0,(MAX(0,B1001-IF($A1016&gt;='1-Input'!$C$12,'1-Input'!$B$12,0))-MIN(MAX(F1015,0),MAX(0,B1001-IF($A1016&gt;='1-Input'!$C$12,'1-Input'!$B$12,0))))*(1/(1-'P-Parametri'!$B$6*B1016))+MIN(MAX(0,G1015-(MAX(0,B1001-IF($A1016&gt;='1-Input'!$C$12,'1-Input'!$B$12,0))-MIN(MAX(F1015,0),MAX(0,B1001-IF($A1016&gt;='1-Input'!$C$12,'1-Input'!$B$12,0))))*(1/(1-'P-Parametri'!$B$6*B1016))),MAX(0,0*B1001-(F1015-MIN(MAX(F1015,0),MAX(0,B1001-IF($A1016&gt;='1-Input'!$C$12,'1-Input'!$B$12,0)))))*(1/(1-'P-Parametri'!$B$6*B1016))))</f>
        <v>19470.257141220623</v>
      </c>
      <c r="D1016" s="18">
        <f>IF($A1016&gt;'1-Input'!$B$26,F1015,(F1015-MAX(0,B1001-IF($A1016&gt;='1-Input'!$C$12,'1-Input'!$B$12,0))+C1016*(1-'P-Parametri'!$B$6*B1016))*(1+'1-Input'!$B$27))</f>
        <v>0</v>
      </c>
      <c r="E1016" s="18">
        <f>IF($A1016&gt;'1-Input'!$B$26,G1015,(G1015-C1016)*(1+'5-Roberta'!$C$4))</f>
        <v>328199.890861083</v>
      </c>
      <c r="F1016" s="18">
        <f>IF($A1016&gt;'1-Input'!$B$26,D1016,D1016-'P-Parametri'!$B$8*(E1016+D1016)+MIN(MAX(E1016,0),'P-Parametri'!$B$8*(E1016+D1016)))</f>
        <v>0</v>
      </c>
      <c r="G1016" s="18">
        <f>IF($A1016&gt;'1-Input'!$B$26,E1016,E1016-MIN(MAX(E1016,0),'P-Parametri'!$B$8*(E1016+D1016)))</f>
        <v>327543.49107936083</v>
      </c>
      <c r="H1016" s="18">
        <f>IF($A1016&gt;'1-Input'!$B$26,H1015,H1015-C1016*(1-B1016))</f>
        <v>143076.40950818776</v>
      </c>
      <c r="I1016" s="11">
        <f>IF($A1016&gt;'1-Input'!$B$26,0,IF(N1015&lt;=0,0,MAX(0,(N1015-O1015)/N1015)))</f>
        <v>0.55097882145302113</v>
      </c>
      <c r="J1016" s="18">
        <f>IF($A1016&gt;'1-Input'!$B$26,0,(MAX(0,I1001-IF($A1016&gt;='1-Input'!$C$12,'1-Input'!$B$12,0))-MIN(MAX(M1015,0),MAX(0,I1001-IF($A1016&gt;='1-Input'!$C$12,'1-Input'!$B$12,0))))*(1/(1-'P-Parametri'!$B$6*I1016))+MIN(MAX(0,N1015-(MAX(0,I1001-IF($A1016&gt;='1-Input'!$C$12,'1-Input'!$B$12,0))-MIN(MAX(M1015,0),MAX(0,I1001-IF($A1016&gt;='1-Input'!$C$12,'1-Input'!$B$12,0))))*(1/(1-'P-Parametri'!$B$6*I1016))),MAX(0,0*I1001-(M1015-MIN(MAX(M1015,0),MAX(0,I1001-IF($A1016&gt;='1-Input'!$C$12,'1-Input'!$B$12,0)))))*(1/(1-'P-Parametri'!$B$6*I1016))))</f>
        <v>25618.759396342932</v>
      </c>
      <c r="K1016" s="18">
        <f>IF($A1016&gt;'1-Input'!$B$26,M1015,(M1015-MAX(0,I1001-IF($A1016&gt;='1-Input'!$C$12,'1-Input'!$B$12,0))+J1016*(1-'P-Parametri'!$B$6*I1016))*(1+'1-Input'!$B$27))</f>
        <v>0</v>
      </c>
      <c r="L1016" s="18">
        <f>IF($A1016&gt;'1-Input'!$B$26,N1015,(N1015-J1016)*(1+'5-Roberta'!$C$4))</f>
        <v>233100.72314785956</v>
      </c>
      <c r="M1016" s="18">
        <f>IF($A1016&gt;'1-Input'!$B$26,K1016,K1016-'P-Parametri'!$B$8*(L1016+K1016)+MIN(MAX(L1016,0),'P-Parametri'!$B$8*(L1016+K1016)))</f>
        <v>0</v>
      </c>
      <c r="N1016" s="18">
        <f>IF($A1016&gt;'1-Input'!$B$26,L1016,L1016-MIN(MAX(L1016,0),'P-Parametri'!$B$8*(L1016+K1016)))</f>
        <v>232634.52170156385</v>
      </c>
      <c r="O1016" s="18">
        <f>IF($A1016&gt;'1-Input'!$B$26,O1015,O1015-J1016*(1-I1016))</f>
        <v>101618.60332816013</v>
      </c>
      <c r="P1016" s="11">
        <f>IF($A1016&gt;'1-Input'!$B$26,0,IF(U1015&lt;=0,0,MAX(0,(U1015-V1015)/U1015)))</f>
        <v>0.5509788214530208</v>
      </c>
      <c r="Q1016" s="18">
        <f>IF($A1016&gt;'1-Input'!$B$26,0,(MAX(0,P1001-IF($A1016&gt;='1-Input'!$C$12,'1-Input'!$B$12,0))-MIN(MAX(T1015,0),MAX(0,P1001-IF($A1016&gt;='1-Input'!$C$12,'1-Input'!$B$12,0))))*(1/(1-'P-Parametri'!$B$6*P1016))+MIN(MAX(0,U1015-(MAX(0,P1001-IF($A1016&gt;='1-Input'!$C$12,'1-Input'!$B$12,0))-MIN(MAX(T1015,0),MAX(0,P1001-IF($A1016&gt;='1-Input'!$C$12,'1-Input'!$B$12,0))))*(1/(1-'P-Parametri'!$B$6*P1016))),MAX(0,0*P1001-(T1015-MIN(MAX(T1015,0),MAX(0,P1001-IF($A1016&gt;='1-Input'!$C$12,'1-Input'!$B$12,0)))))*(1/(1-'P-Parametri'!$B$6*P1016))))</f>
        <v>21718.674474852225</v>
      </c>
      <c r="R1016" s="18">
        <f>IF($A1016&gt;'1-Input'!$B$26,T1015,(T1015-MAX(0,P1001-IF($A1016&gt;='1-Input'!$C$12,'1-Input'!$B$12,0))+Q1016*(1-'P-Parametri'!$B$6*P1016))*(1+'1-Input'!$B$27))</f>
        <v>-3.6248820833861826E-12</v>
      </c>
      <c r="S1016" s="18">
        <f>IF($A1016&gt;'1-Input'!$B$26,U1015,(U1015-Q1016)*(1+'5-Roberta'!$C$4))</f>
        <v>293423.51635097922</v>
      </c>
      <c r="T1016" s="18">
        <f>IF($A1016&gt;'1-Input'!$B$26,R1016,R1016-'P-Parametri'!$B$8*(S1016+R1016)+MIN(MAX(S1016,0),'P-Parametri'!$B$8*(S1016+R1016)))</f>
        <v>-3.637978807091713E-12</v>
      </c>
      <c r="U1016" s="18">
        <f>IF($A1016&gt;'1-Input'!$B$26,S1016,S1016-MIN(MAX(S1016,0),'P-Parametri'!$B$8*(S1016+R1016)))</f>
        <v>292836.66931827727</v>
      </c>
      <c r="V1016" s="18">
        <f>IF($A1016&gt;'1-Input'!$B$26,V1015,V1015-Q1016*(1-P1016))</f>
        <v>127915.89623817037</v>
      </c>
      <c r="W1016" s="11">
        <f>IF($A1016&gt;'1-Input'!$B$26,0,IF(AB1015&lt;=0,0,MAX(0,(AB1015-AC1015)/AB1015)))</f>
        <v>0.55097882145302091</v>
      </c>
      <c r="X1016" s="18">
        <f>IF($A1016&gt;'1-Input'!$B$26,0,(MAX(0,W1001-IF($A1016&gt;='1-Input'!$C$12,'1-Input'!$B$12,0))-MIN(MAX(AA1015,0),MAX(0,W1001-IF($A1016&gt;='1-Input'!$C$12,'1-Input'!$B$12,0))))*(1/(1-'P-Parametri'!$B$6*W1016))+MIN(MAX(0,AB1015-(MAX(0,W1001-IF($A1016&gt;='1-Input'!$C$12,'1-Input'!$B$12,0))-MIN(MAX(AA1015,0),MAX(0,W1001-IF($A1016&gt;='1-Input'!$C$12,'1-Input'!$B$12,0))))*(1/(1-'P-Parametri'!$B$6*W1016))),MAX(0,0*W1001-(AA1015-MIN(MAX(AA1015,0),MAX(0,W1001-IF($A1016&gt;='1-Input'!$C$12,'1-Input'!$B$12,0)))))*(1/(1-'P-Parametri'!$B$6*W1016))))</f>
        <v>21426.044066416653</v>
      </c>
      <c r="Y1016" s="18">
        <f>IF($A1016&gt;'1-Input'!$B$26,AA1015,(AA1015-MAX(0,W1001-IF($A1016&gt;='1-Input'!$C$12,'1-Input'!$B$12,0))+X1016*(1-'P-Parametri'!$B$6*W1016))*(1+'1-Input'!$B$27))</f>
        <v>-3.6248820833861826E-12</v>
      </c>
      <c r="Z1016" s="18">
        <f>IF($A1016&gt;'1-Input'!$B$26,AB1015,(AB1015-X1016)*(1+'5-Roberta'!$C$4))</f>
        <v>297949.64436314988</v>
      </c>
      <c r="AA1016" s="18">
        <f>IF($A1016&gt;'1-Input'!$B$26,Y1016,Y1016-'P-Parametri'!$B$8*(Z1016+Y1016)+MIN(MAX(Z1016,0),'P-Parametri'!$B$8*(Z1016+Y1016)))</f>
        <v>-3.637978807091713E-12</v>
      </c>
      <c r="AB1016" s="18">
        <f>IF($A1016&gt;'1-Input'!$B$26,Z1016,Z1016-MIN(MAX(Z1016,0),'P-Parametri'!$B$8*(Z1016+Y1016)))</f>
        <v>297353.74507442361</v>
      </c>
      <c r="AC1016" s="18">
        <f>IF($A1016&gt;'1-Input'!$B$26,AC1015,AC1015-X1016*(1-W1016))</f>
        <v>129889.02957242219</v>
      </c>
      <c r="AD1016" s="11">
        <f>IF($A1016&gt;'1-Input'!$B$26,0,IF(AI1015&lt;=0,0,MAX(0,(AI1015-AJ1015)/AI1015)))</f>
        <v>0.5509788214530208</v>
      </c>
      <c r="AE1016" s="18">
        <f>IF($A1016&gt;'1-Input'!$B$26,0,(MAX(0,AD1001-IF($A1016&gt;='1-Input'!$C$12,'1-Input'!$B$12,0))-MIN(MAX(AH1015,0),MAX(0,AD1001-IF($A1016&gt;='1-Input'!$C$12,'1-Input'!$B$12,0))))*(1/(1-'P-Parametri'!$B$6*AD1016))+MIN(MAX(0,AI1015-(MAX(0,AD1001-IF($A1016&gt;='1-Input'!$C$12,'1-Input'!$B$12,0))-MIN(MAX(AH1015,0),MAX(0,AD1001-IF($A1016&gt;='1-Input'!$C$12,'1-Input'!$B$12,0))))*(1/(1-'P-Parametri'!$B$6*AD1016))),MAX(0,0*AD1001-(AH1015-MIN(MAX(AH1015,0),MAX(0,AD1001-IF($A1016&gt;='1-Input'!$C$12,'1-Input'!$B$12,0)))))*(1/(1-'P-Parametri'!$B$6*AD1016))))</f>
        <v>21436.815130856176</v>
      </c>
      <c r="AF1016" s="18">
        <f>IF($A1016&gt;'1-Input'!$B$26,AH1015,(AH1015-MAX(0,AD1001-IF($A1016&gt;='1-Input'!$C$12,'1-Input'!$B$12,0))+AE1016*(1-'P-Parametri'!$B$6*AD1016))*(1+'1-Input'!$B$27))</f>
        <v>0</v>
      </c>
      <c r="AG1016" s="18">
        <f>IF($A1016&gt;'1-Input'!$B$26,AI1015,(AI1015-AE1016)*(1+'5-Roberta'!$C$4))</f>
        <v>297783.04781311518</v>
      </c>
      <c r="AH1016" s="18">
        <f>IF($A1016&gt;'1-Input'!$B$26,AF1016,AF1016-'P-Parametri'!$B$8*(AG1016+AF1016)+MIN(MAX(AG1016,0),'P-Parametri'!$B$8*(AG1016+AF1016)))</f>
        <v>0</v>
      </c>
      <c r="AI1016" s="18">
        <f>IF($A1016&gt;'1-Input'!$B$26,AG1016,AG1016-MIN(MAX(AG1016,0),'P-Parametri'!$B$8*(AG1016+AF1016)))</f>
        <v>297187.48171748896</v>
      </c>
      <c r="AJ1016" s="18">
        <f>IF($A1016&gt;'1-Input'!$B$26,AJ1015,AJ1015-AE1016*(1-AD1016))</f>
        <v>129816.4029906373</v>
      </c>
      <c r="AK1016" s="11">
        <f>IF($A1016&gt;'1-Input'!$B$26,0,IF(AP1015&lt;=0,0,MAX(0,(AP1015-AQ1015)/AP1015)))</f>
        <v>0.55097882145302102</v>
      </c>
      <c r="AL1016" s="18">
        <f>IF($A1016&gt;'1-Input'!$B$26,0,(MAX(0,AK1001-IF($A1016&gt;='1-Input'!$C$12,'1-Input'!$B$12,0))-MIN(MAX(AO1015,0),MAX(0,AK1001-IF($A1016&gt;='1-Input'!$C$12,'1-Input'!$B$12,0))))*(1/(1-'P-Parametri'!$B$6*AK1016))+MIN(MAX(0,AP1015-(MAX(0,AK1001-IF($A1016&gt;='1-Input'!$C$12,'1-Input'!$B$12,0))-MIN(MAX(AO1015,0),MAX(0,AK1001-IF($A1016&gt;='1-Input'!$C$12,'1-Input'!$B$12,0))))*(1/(1-'P-Parametri'!$B$6*AK1016))),MAX(0,0*AK1001-(AO1015-MIN(MAX(AO1015,0),MAX(0,AK1001-IF($A1016&gt;='1-Input'!$C$12,'1-Input'!$B$12,0)))))*(1/(1-'P-Parametri'!$B$6*AK1016))))</f>
        <v>21435.134463272243</v>
      </c>
      <c r="AM1016" s="18">
        <f>IF($A1016&gt;'1-Input'!$B$26,AO1015,(AO1015-MAX(0,AK1001-IF($A1016&gt;='1-Input'!$C$12,'1-Input'!$B$12,0))+AL1016*(1-'P-Parametri'!$B$6*AK1016))*(1+'1-Input'!$B$27))</f>
        <v>0</v>
      </c>
      <c r="AN1016" s="18">
        <f>IF($A1016&gt;'1-Input'!$B$26,AP1015,(AP1015-AL1016)*(1+'5-Roberta'!$C$4))</f>
        <v>297809.04277608398</v>
      </c>
      <c r="AO1016" s="18">
        <f>IF($A1016&gt;'1-Input'!$B$26,AM1016,AM1016-'P-Parametri'!$B$8*(AN1016+AM1016)+MIN(MAX(AN1016,0),'P-Parametri'!$B$8*(AN1016+AM1016)))</f>
        <v>0</v>
      </c>
      <c r="AP1016" s="18">
        <f>IF($A1016&gt;'1-Input'!$B$26,AN1016,AN1016-MIN(MAX(AN1016,0),'P-Parametri'!$B$8*(AN1016+AM1016)))</f>
        <v>297213.4246905318</v>
      </c>
      <c r="AQ1016" s="18">
        <f>IF($A1016&gt;'1-Input'!$B$26,AQ1015,AQ1015-AL1016*(1-AK1016))</f>
        <v>129827.73530996592</v>
      </c>
    </row>
    <row r="1017" spans="1:43">
      <c r="A1017" s="10">
        <f>14</f>
        <v>14</v>
      </c>
      <c r="B1017" s="11">
        <f>IF($A1017&gt;'1-Input'!$B$26,0,IF(G1016&lt;=0,0,MAX(0,(G1016-H1016)/G1016)))</f>
        <v>0.56318347515713074</v>
      </c>
      <c r="C1017" s="18">
        <f>IF($A1017&gt;'1-Input'!$B$26,0,(MAX(0,B1001-IF($A1017&gt;='1-Input'!$C$12,'1-Input'!$B$12,0))-MIN(MAX(F1016,0),MAX(0,B1001-IF($A1017&gt;='1-Input'!$C$12,'1-Input'!$B$12,0))))*(1/(1-'P-Parametri'!$B$6*B1017))+MIN(MAX(0,G1016-(MAX(0,B1001-IF($A1017&gt;='1-Input'!$C$12,'1-Input'!$B$12,0))-MIN(MAX(F1016,0),MAX(0,B1001-IF($A1017&gt;='1-Input'!$C$12,'1-Input'!$B$12,0))))*(1/(1-'P-Parametri'!$B$6*B1017))),MAX(0,0*B1001-(F1016-MIN(MAX(F1016,0),MAX(0,B1001-IF($A1017&gt;='1-Input'!$C$12,'1-Input'!$B$12,0)))))*(1/(1-'P-Parametri'!$B$6*B1017))))</f>
        <v>19542.639075592582</v>
      </c>
      <c r="D1017" s="18">
        <f>IF($A1017&gt;'1-Input'!$B$26,F1016,(F1016-MAX(0,B1001-IF($A1017&gt;='1-Input'!$C$12,'1-Input'!$B$12,0))+C1017*(1-'P-Parametri'!$B$6*B1017))*(1+'1-Input'!$B$27))</f>
        <v>0</v>
      </c>
      <c r="E1017" s="18">
        <f>IF($A1017&gt;'1-Input'!$B$26,G1016,(G1016-C1017)*(1+'5-Roberta'!$C$4))</f>
        <v>317240.87756388134</v>
      </c>
      <c r="F1017" s="18">
        <f>IF($A1017&gt;'1-Input'!$B$26,D1017,D1017-'P-Parametri'!$B$8*(E1017+D1017)+MIN(MAX(E1017,0),'P-Parametri'!$B$8*(E1017+D1017)))</f>
        <v>0</v>
      </c>
      <c r="G1017" s="18">
        <f>IF($A1017&gt;'1-Input'!$B$26,E1017,E1017-MIN(MAX(E1017,0),'P-Parametri'!$B$8*(E1017+D1017)))</f>
        <v>316606.39580875356</v>
      </c>
      <c r="H1017" s="18">
        <f>IF($A1017&gt;'1-Input'!$B$26,H1016,H1016-C1017*(1-B1017))</f>
        <v>134539.86182092896</v>
      </c>
      <c r="I1017" s="11">
        <f>IF($A1017&gt;'1-Input'!$B$26,0,IF(N1016&lt;=0,0,MAX(0,(N1016-O1016)/N1016)))</f>
        <v>0.56318347515713096</v>
      </c>
      <c r="J1017" s="18">
        <f>IF($A1017&gt;'1-Input'!$B$26,0,(MAX(0,I1001-IF($A1017&gt;='1-Input'!$C$12,'1-Input'!$B$12,0))-MIN(MAX(M1016,0),MAX(0,I1001-IF($A1017&gt;='1-Input'!$C$12,'1-Input'!$B$12,0))))*(1/(1-'P-Parametri'!$B$6*I1017))+MIN(MAX(0,N1016-(MAX(0,I1001-IF($A1017&gt;='1-Input'!$C$12,'1-Input'!$B$12,0))-MIN(MAX(M1016,0),MAX(0,I1001-IF($A1017&gt;='1-Input'!$C$12,'1-Input'!$B$12,0))))*(1/(1-'P-Parametri'!$B$6*I1017))),MAX(0,0*I1001-(M1016-MIN(MAX(M1016,0),MAX(0,I1001-IF($A1017&gt;='1-Input'!$C$12,'1-Input'!$B$12,0)))))*(1/(1-'P-Parametri'!$B$6*I1017))))</f>
        <v>25713.998783674459</v>
      </c>
      <c r="K1017" s="18">
        <f>IF($A1017&gt;'1-Input'!$B$26,M1016,(M1016-MAX(0,I1001-IF($A1017&gt;='1-Input'!$C$12,'1-Input'!$B$12,0))+J1017*(1-'P-Parametri'!$B$6*I1017))*(1+'1-Input'!$B$27))</f>
        <v>0</v>
      </c>
      <c r="L1017" s="18">
        <f>IF($A1017&gt;'1-Input'!$B$26,N1016,(N1016-J1017)*(1+'5-Roberta'!$C$4))</f>
        <v>213128.13860542607</v>
      </c>
      <c r="M1017" s="18">
        <f>IF($A1017&gt;'1-Input'!$B$26,K1017,K1017-'P-Parametri'!$B$8*(L1017+K1017)+MIN(MAX(L1017,0),'P-Parametri'!$B$8*(L1017+K1017)))</f>
        <v>0</v>
      </c>
      <c r="N1017" s="18">
        <f>IF($A1017&gt;'1-Input'!$B$26,L1017,L1017-MIN(MAX(L1017,0),'P-Parametri'!$B$8*(L1017+K1017)))</f>
        <v>212701.8823282152</v>
      </c>
      <c r="O1017" s="18">
        <f>IF($A1017&gt;'1-Input'!$B$26,O1016,O1016-J1017*(1-I1017))</f>
        <v>90386.303739661686</v>
      </c>
      <c r="P1017" s="11">
        <f>IF($A1017&gt;'1-Input'!$B$26,0,IF(U1016&lt;=0,0,MAX(0,(U1016-V1016)/U1016)))</f>
        <v>0.56318347515713063</v>
      </c>
      <c r="Q1017" s="18">
        <f>IF($A1017&gt;'1-Input'!$B$26,0,(MAX(0,P1001-IF($A1017&gt;='1-Input'!$C$12,'1-Input'!$B$12,0))-MIN(MAX(T1016,0),MAX(0,P1001-IF($A1017&gt;='1-Input'!$C$12,'1-Input'!$B$12,0))))*(1/(1-'P-Parametri'!$B$6*P1017))+MIN(MAX(0,U1016-(MAX(0,P1001-IF($A1017&gt;='1-Input'!$C$12,'1-Input'!$B$12,0))-MIN(MAX(T1016,0),MAX(0,P1001-IF($A1017&gt;='1-Input'!$C$12,'1-Input'!$B$12,0))))*(1/(1-'P-Parametri'!$B$6*P1017))),MAX(0,0*P1001-(T1016-MIN(MAX(T1016,0),MAX(0,P1001-IF($A1017&gt;='1-Input'!$C$12,'1-Input'!$B$12,0)))))*(1/(1-'P-Parametri'!$B$6*P1017))))</f>
        <v>21799.415045409798</v>
      </c>
      <c r="R1017" s="18">
        <f>IF($A1017&gt;'1-Input'!$B$26,T1016,(T1016-MAX(0,P1001-IF($A1017&gt;='1-Input'!$C$12,'1-Input'!$B$12,0))+Q1017*(1-'P-Parametri'!$B$6*P1017))*(1+'1-Input'!$B$27))</f>
        <v>0</v>
      </c>
      <c r="S1017" s="18">
        <f>IF($A1017&gt;'1-Input'!$B$26,U1016,(U1016-Q1017)*(1+'5-Roberta'!$C$4))</f>
        <v>279168.37190105347</v>
      </c>
      <c r="T1017" s="18">
        <f>IF($A1017&gt;'1-Input'!$B$26,R1017,R1017-'P-Parametri'!$B$8*(S1017+R1017)+MIN(MAX(S1017,0),'P-Parametri'!$B$8*(S1017+R1017)))</f>
        <v>0</v>
      </c>
      <c r="U1017" s="18">
        <f>IF($A1017&gt;'1-Input'!$B$26,S1017,S1017-MIN(MAX(S1017,0),'P-Parametri'!$B$8*(S1017+R1017)))</f>
        <v>278610.03515725135</v>
      </c>
      <c r="V1017" s="18">
        <f>IF($A1017&gt;'1-Input'!$B$26,V1016,V1016-Q1017*(1-P1017))</f>
        <v>118393.5515144271</v>
      </c>
      <c r="W1017" s="11">
        <f>IF($A1017&gt;'1-Input'!$B$26,0,IF(AB1016&lt;=0,0,MAX(0,(AB1016-AC1016)/AB1016)))</f>
        <v>0.56318347515713063</v>
      </c>
      <c r="X1017" s="18">
        <f>IF($A1017&gt;'1-Input'!$B$26,0,(MAX(0,W1001-IF($A1017&gt;='1-Input'!$C$12,'1-Input'!$B$12,0))-MIN(MAX(AA1016,0),MAX(0,W1001-IF($A1017&gt;='1-Input'!$C$12,'1-Input'!$B$12,0))))*(1/(1-'P-Parametri'!$B$6*W1017))+MIN(MAX(0,AB1016-(MAX(0,W1001-IF($A1017&gt;='1-Input'!$C$12,'1-Input'!$B$12,0))-MIN(MAX(AA1016,0),MAX(0,W1001-IF($A1017&gt;='1-Input'!$C$12,'1-Input'!$B$12,0))))*(1/(1-'P-Parametri'!$B$6*W1017))),MAX(0,0*W1001-(AA1016-MIN(MAX(AA1016,0),MAX(0,W1001-IF($A1017&gt;='1-Input'!$C$12,'1-Input'!$B$12,0)))))*(1/(1-'P-Parametri'!$B$6*W1017))))</f>
        <v>21505.696764592012</v>
      </c>
      <c r="Y1017" s="18">
        <f>IF($A1017&gt;'1-Input'!$B$26,AA1016,(AA1016-MAX(0,W1001-IF($A1017&gt;='1-Input'!$C$12,'1-Input'!$B$12,0))+X1017*(1-'P-Parametri'!$B$6*W1017))*(1+'1-Input'!$B$27))</f>
        <v>0</v>
      </c>
      <c r="Z1017" s="18">
        <f>IF($A1017&gt;'1-Input'!$B$26,AB1016,(AB1016-X1017)*(1+'5-Roberta'!$C$4))</f>
        <v>284123.48975912656</v>
      </c>
      <c r="AA1017" s="18">
        <f>IF($A1017&gt;'1-Input'!$B$26,Y1017,Y1017-'P-Parametri'!$B$8*(Z1017+Y1017)+MIN(MAX(Z1017,0),'P-Parametri'!$B$8*(Z1017+Y1017)))</f>
        <v>0</v>
      </c>
      <c r="AB1017" s="18">
        <f>IF($A1017&gt;'1-Input'!$B$26,Z1017,Z1017-MIN(MAX(Z1017,0),'P-Parametri'!$B$8*(Z1017+Y1017)))</f>
        <v>283555.24277960829</v>
      </c>
      <c r="AC1017" s="18">
        <f>IF($A1017&gt;'1-Input'!$B$26,AC1016,AC1016-X1017*(1-W1017))</f>
        <v>120494.98584738857</v>
      </c>
      <c r="AD1017" s="11">
        <f>IF($A1017&gt;'1-Input'!$B$26,0,IF(AI1016&lt;=0,0,MAX(0,(AI1016-AJ1016)/AI1016)))</f>
        <v>0.56318347515713063</v>
      </c>
      <c r="AE1017" s="18">
        <f>IF($A1017&gt;'1-Input'!$B$26,0,(MAX(0,AD1001-IF($A1017&gt;='1-Input'!$C$12,'1-Input'!$B$12,0))-MIN(MAX(AH1016,0),MAX(0,AD1001-IF($A1017&gt;='1-Input'!$C$12,'1-Input'!$B$12,0))))*(1/(1-'P-Parametri'!$B$6*AD1017))+MIN(MAX(0,AI1016-(MAX(0,AD1001-IF($A1017&gt;='1-Input'!$C$12,'1-Input'!$B$12,0))-MIN(MAX(AH1016,0),MAX(0,AD1001-IF($A1017&gt;='1-Input'!$C$12,'1-Input'!$B$12,0))))*(1/(1-'P-Parametri'!$B$6*AD1017))),MAX(0,0*AD1001-(AH1016-MIN(MAX(AH1016,0),MAX(0,AD1001-IF($A1017&gt;='1-Input'!$C$12,'1-Input'!$B$12,0)))))*(1/(1-'P-Parametri'!$B$6*AD1017))))</f>
        <v>21516.507871156995</v>
      </c>
      <c r="AF1017" s="18">
        <f>IF($A1017&gt;'1-Input'!$B$26,AH1016,(AH1016-MAX(0,AD1001-IF($A1017&gt;='1-Input'!$C$12,'1-Input'!$B$12,0))+AE1017*(1-'P-Parametri'!$B$6*AD1017))*(1+'1-Input'!$B$27))</f>
        <v>0</v>
      </c>
      <c r="AG1017" s="18">
        <f>IF($A1017&gt;'1-Input'!$B$26,AI1016,(AI1016-AE1017)*(1+'5-Roberta'!$C$4))</f>
        <v>283941.10306172189</v>
      </c>
      <c r="AH1017" s="18">
        <f>IF($A1017&gt;'1-Input'!$B$26,AF1017,AF1017-'P-Parametri'!$B$8*(AG1017+AF1017)+MIN(MAX(AG1017,0),'P-Parametri'!$B$8*(AG1017+AF1017)))</f>
        <v>0</v>
      </c>
      <c r="AI1017" s="18">
        <f>IF($A1017&gt;'1-Input'!$B$26,AG1017,AG1017-MIN(MAX(AG1017,0),'P-Parametri'!$B$8*(AG1017+AF1017)))</f>
        <v>283373.22085559845</v>
      </c>
      <c r="AJ1017" s="18">
        <f>IF($A1017&gt;'1-Input'!$B$26,AJ1016,AJ1016-AE1017*(1-AD1017))</f>
        <v>120417.63679560425</v>
      </c>
      <c r="AK1017" s="11">
        <f>IF($A1017&gt;'1-Input'!$B$26,0,IF(AP1016&lt;=0,0,MAX(0,(AP1016-AQ1016)/AP1016)))</f>
        <v>0.56318347515713085</v>
      </c>
      <c r="AL1017" s="18">
        <f>IF($A1017&gt;'1-Input'!$B$26,0,(MAX(0,AK1001-IF($A1017&gt;='1-Input'!$C$12,'1-Input'!$B$12,0))-MIN(MAX(AO1016,0),MAX(0,AK1001-IF($A1017&gt;='1-Input'!$C$12,'1-Input'!$B$12,0))))*(1/(1-'P-Parametri'!$B$6*AK1017))+MIN(MAX(0,AP1016-(MAX(0,AK1001-IF($A1017&gt;='1-Input'!$C$12,'1-Input'!$B$12,0))-MIN(MAX(AO1016,0),MAX(0,AK1001-IF($A1017&gt;='1-Input'!$C$12,'1-Input'!$B$12,0))))*(1/(1-'P-Parametri'!$B$6*AK1017))),MAX(0,0*AK1001-(AO1016-MIN(MAX(AO1016,0),MAX(0,AK1001-IF($A1017&gt;='1-Input'!$C$12,'1-Input'!$B$12,0)))))*(1/(1-'P-Parametri'!$B$6*AK1017))))</f>
        <v>21514.82095558312</v>
      </c>
      <c r="AM1017" s="18">
        <f>IF($A1017&gt;'1-Input'!$B$26,AO1016,(AO1016-MAX(0,AK1001-IF($A1017&gt;='1-Input'!$C$12,'1-Input'!$B$12,0))+AL1017*(1-'P-Parametri'!$B$6*AK1017))*(1+'1-Input'!$B$27))</f>
        <v>0</v>
      </c>
      <c r="AN1017" s="18">
        <f>IF($A1017&gt;'1-Input'!$B$26,AP1016,(AP1016-AL1017)*(1+'5-Roberta'!$C$4))</f>
        <v>283969.56184699712</v>
      </c>
      <c r="AO1017" s="18">
        <f>IF($A1017&gt;'1-Input'!$B$26,AM1017,AM1017-'P-Parametri'!$B$8*(AN1017+AM1017)+MIN(MAX(AN1017,0),'P-Parametri'!$B$8*(AN1017+AM1017)))</f>
        <v>0</v>
      </c>
      <c r="AP1017" s="18">
        <f>IF($A1017&gt;'1-Input'!$B$26,AN1017,AN1017-MIN(MAX(AN1017,0),'P-Parametri'!$B$8*(AN1017+AM1017)))</f>
        <v>283401.62272330315</v>
      </c>
      <c r="AQ1017" s="18">
        <f>IF($A1017&gt;'1-Input'!$B$26,AQ1016,AQ1016-AL1017*(1-AK1017))</f>
        <v>120429.70598753158</v>
      </c>
    </row>
    <row r="1018" spans="1:43">
      <c r="A1018" s="10">
        <f>15</f>
        <v>15</v>
      </c>
      <c r="B1018" s="11">
        <f>IF($A1018&gt;'1-Input'!$B$26,0,IF(G1017&lt;=0,0,MAX(0,(G1017-H1017)/G1017)))</f>
        <v>0.57505639935903918</v>
      </c>
      <c r="C1018" s="18">
        <f>IF($A1018&gt;'1-Input'!$B$26,0,(MAX(0,B1001-IF($A1018&gt;='1-Input'!$C$12,'1-Input'!$B$12,0))-MIN(MAX(F1017,0),MAX(0,B1001-IF($A1018&gt;='1-Input'!$C$12,'1-Input'!$B$12,0))))*(1/(1-'P-Parametri'!$B$6*B1018))+MIN(MAX(0,G1017-(MAX(0,B1001-IF($A1018&gt;='1-Input'!$C$12,'1-Input'!$B$12,0))-MIN(MAX(F1017,0),MAX(0,B1001-IF($A1018&gt;='1-Input'!$C$12,'1-Input'!$B$12,0))))*(1/(1-'P-Parametri'!$B$6*B1018))),MAX(0,0*B1001-(F1017-MIN(MAX(F1017,0),MAX(0,B1001-IF($A1018&gt;='1-Input'!$C$12,'1-Input'!$B$12,0)))))*(1/(1-'P-Parametri'!$B$6*B1018))))</f>
        <v>19613.571928014062</v>
      </c>
      <c r="D1018" s="18">
        <f>IF($A1018&gt;'1-Input'!$B$26,F1017,(F1017-MAX(0,B1001-IF($A1018&gt;='1-Input'!$C$12,'1-Input'!$B$12,0))+C1018*(1-'P-Parametri'!$B$6*B1018))*(1+'1-Input'!$B$27))</f>
        <v>3.6248820833861826E-12</v>
      </c>
      <c r="E1018" s="18">
        <f>IF($A1018&gt;'1-Input'!$B$26,G1017,(G1017-C1018)*(1+'5-Roberta'!$C$4))</f>
        <v>305902.60859716171</v>
      </c>
      <c r="F1018" s="18">
        <f>IF($A1018&gt;'1-Input'!$B$26,D1018,D1018-'P-Parametri'!$B$8*(E1018+D1018)+MIN(MAX(E1018,0),'P-Parametri'!$B$8*(E1018+D1018)))</f>
        <v>3.637978807091713E-12</v>
      </c>
      <c r="G1018" s="18">
        <f>IF($A1018&gt;'1-Input'!$B$26,E1018,E1018-MIN(MAX(E1018,0),'P-Parametri'!$B$8*(E1018+D1018)))</f>
        <v>305290.8033799674</v>
      </c>
      <c r="H1018" s="18">
        <f>IF($A1018&gt;'1-Input'!$B$26,H1017,H1017-C1018*(1-B1018))</f>
        <v>126205.19994440819</v>
      </c>
      <c r="I1018" s="11">
        <f>IF($A1018&gt;'1-Input'!$B$26,0,IF(N1017&lt;=0,0,MAX(0,(N1017-O1017)/N1017)))</f>
        <v>0.57505639935903941</v>
      </c>
      <c r="J1018" s="18">
        <f>IF($A1018&gt;'1-Input'!$B$26,0,(MAX(0,I1001-IF($A1018&gt;='1-Input'!$C$12,'1-Input'!$B$12,0))-MIN(MAX(M1017,0),MAX(0,I1001-IF($A1018&gt;='1-Input'!$C$12,'1-Input'!$B$12,0))))*(1/(1-'P-Parametri'!$B$6*I1018))+MIN(MAX(0,N1017-(MAX(0,I1001-IF($A1018&gt;='1-Input'!$C$12,'1-Input'!$B$12,0))-MIN(MAX(M1017,0),MAX(0,I1001-IF($A1018&gt;='1-Input'!$C$12,'1-Input'!$B$12,0))))*(1/(1-'P-Parametri'!$B$6*I1018))),MAX(0,0*I1001-(M1017-MIN(MAX(M1017,0),MAX(0,I1001-IF($A1018&gt;='1-Input'!$C$12,'1-Input'!$B$12,0)))))*(1/(1-'P-Parametri'!$B$6*I1018))))</f>
        <v>25807.331484229031</v>
      </c>
      <c r="K1018" s="18">
        <f>IF($A1018&gt;'1-Input'!$B$26,M1017,(M1017-MAX(0,I1001-IF($A1018&gt;='1-Input'!$C$12,'1-Input'!$B$12,0))+J1018*(1-'P-Parametri'!$B$6*I1018))*(1+'1-Input'!$B$27))</f>
        <v>0</v>
      </c>
      <c r="L1018" s="18">
        <f>IF($A1018&gt;'1-Input'!$B$26,N1017,(N1017-J1018)*(1+'5-Roberta'!$C$4))</f>
        <v>192501.38736930574</v>
      </c>
      <c r="M1018" s="18">
        <f>IF($A1018&gt;'1-Input'!$B$26,K1018,K1018-'P-Parametri'!$B$8*(L1018+K1018)+MIN(MAX(L1018,0),'P-Parametri'!$B$8*(L1018+K1018)))</f>
        <v>0</v>
      </c>
      <c r="N1018" s="18">
        <f>IF($A1018&gt;'1-Input'!$B$26,L1018,L1018-MIN(MAX(L1018,0),'P-Parametri'!$B$8*(L1018+K1018)))</f>
        <v>192116.38459456712</v>
      </c>
      <c r="O1018" s="18">
        <f>IF($A1018&gt;'1-Input'!$B$26,O1017,O1017-J1018*(1-I1018))</f>
        <v>79419.643375818574</v>
      </c>
      <c r="P1018" s="11">
        <f>IF($A1018&gt;'1-Input'!$B$26,0,IF(U1017&lt;=0,0,MAX(0,(U1017-V1017)/U1017)))</f>
        <v>0.57505639935903896</v>
      </c>
      <c r="Q1018" s="18">
        <f>IF($A1018&gt;'1-Input'!$B$26,0,(MAX(0,P1001-IF($A1018&gt;='1-Input'!$C$12,'1-Input'!$B$12,0))-MIN(MAX(T1017,0),MAX(0,P1001-IF($A1018&gt;='1-Input'!$C$12,'1-Input'!$B$12,0))))*(1/(1-'P-Parametri'!$B$6*P1018))+MIN(MAX(0,U1017-(MAX(0,P1001-IF($A1018&gt;='1-Input'!$C$12,'1-Input'!$B$12,0))-MIN(MAX(T1017,0),MAX(0,P1001-IF($A1018&gt;='1-Input'!$C$12,'1-Input'!$B$12,0))))*(1/(1-'P-Parametri'!$B$6*P1018))),MAX(0,0*P1001-(T1017-MIN(MAX(T1017,0),MAX(0,P1001-IF($A1018&gt;='1-Input'!$C$12,'1-Input'!$B$12,0)))))*(1/(1-'P-Parametri'!$B$6*P1018))))</f>
        <v>21878.53919462574</v>
      </c>
      <c r="R1018" s="18">
        <f>IF($A1018&gt;'1-Input'!$B$26,T1017,(T1017-MAX(0,P1001-IF($A1018&gt;='1-Input'!$C$12,'1-Input'!$B$12,0))+Q1018*(1-'P-Parametri'!$B$6*P1018))*(1+'1-Input'!$B$27))</f>
        <v>0</v>
      </c>
      <c r="S1018" s="18">
        <f>IF($A1018&gt;'1-Input'!$B$26,U1017,(U1017-Q1018)*(1+'5-Roberta'!$C$4))</f>
        <v>264433.44084150437</v>
      </c>
      <c r="T1018" s="18">
        <f>IF($A1018&gt;'1-Input'!$B$26,R1018,R1018-'P-Parametri'!$B$8*(S1018+R1018)+MIN(MAX(S1018,0),'P-Parametri'!$B$8*(S1018+R1018)))</f>
        <v>0</v>
      </c>
      <c r="U1018" s="18">
        <f>IF($A1018&gt;'1-Input'!$B$26,S1018,S1018-MIN(MAX(S1018,0),'P-Parametri'!$B$8*(S1018+R1018)))</f>
        <v>263904.57395982137</v>
      </c>
      <c r="V1018" s="18">
        <f>IF($A1018&gt;'1-Input'!$B$26,V1017,V1017-Q1018*(1-P1018))</f>
        <v>109096.40629229844</v>
      </c>
      <c r="W1018" s="11">
        <f>IF($A1018&gt;'1-Input'!$B$26,0,IF(AB1017&lt;=0,0,MAX(0,(AB1017-AC1017)/AB1017)))</f>
        <v>0.57505639935903918</v>
      </c>
      <c r="X1018" s="18">
        <f>IF($A1018&gt;'1-Input'!$B$26,0,(MAX(0,W1001-IF($A1018&gt;='1-Input'!$C$12,'1-Input'!$B$12,0))-MIN(MAX(AA1017,0),MAX(0,W1001-IF($A1018&gt;='1-Input'!$C$12,'1-Input'!$B$12,0))))*(1/(1-'P-Parametri'!$B$6*W1018))+MIN(MAX(0,AB1017-(MAX(0,W1001-IF($A1018&gt;='1-Input'!$C$12,'1-Input'!$B$12,0))-MIN(MAX(AA1017,0),MAX(0,W1001-IF($A1018&gt;='1-Input'!$C$12,'1-Input'!$B$12,0))))*(1/(1-'P-Parametri'!$B$6*W1018))),MAX(0,0*W1001-(AA1017-MIN(MAX(AA1017,0),MAX(0,W1001-IF($A1018&gt;='1-Input'!$C$12,'1-Input'!$B$12,0)))))*(1/(1-'P-Parametri'!$B$6*W1018))))</f>
        <v>21583.754820565067</v>
      </c>
      <c r="Y1018" s="18">
        <f>IF($A1018&gt;'1-Input'!$B$26,AA1017,(AA1017-MAX(0,W1001-IF($A1018&gt;='1-Input'!$C$12,'1-Input'!$B$12,0))+X1018*(1-'P-Parametri'!$B$6*W1018))*(1+'1-Input'!$B$27))</f>
        <v>3.6248820833861826E-12</v>
      </c>
      <c r="Z1018" s="18">
        <f>IF($A1018&gt;'1-Input'!$B$26,AB1017,(AB1017-X1018)*(1+'5-Roberta'!$C$4))</f>
        <v>269830.63259781455</v>
      </c>
      <c r="AA1018" s="18">
        <f>IF($A1018&gt;'1-Input'!$B$26,Y1018,Y1018-'P-Parametri'!$B$8*(Z1018+Y1018)+MIN(MAX(Z1018,0),'P-Parametri'!$B$8*(Z1018+Y1018)))</f>
        <v>3.637978807091713E-12</v>
      </c>
      <c r="AB1018" s="18">
        <f>IF($A1018&gt;'1-Input'!$B$26,Z1018,Z1018-MIN(MAX(Z1018,0),'P-Parametri'!$B$8*(Z1018+Y1018)))</f>
        <v>269290.97133261891</v>
      </c>
      <c r="AC1018" s="18">
        <f>IF($A1018&gt;'1-Input'!$B$26,AC1017,AC1017-X1018*(1-W1018))</f>
        <v>111323.10735858596</v>
      </c>
      <c r="AD1018" s="11">
        <f>IF($A1018&gt;'1-Input'!$B$26,0,IF(AI1017&lt;=0,0,MAX(0,(AI1017-AJ1017)/AI1017)))</f>
        <v>0.57505639935903907</v>
      </c>
      <c r="AE1018" s="18">
        <f>IF($A1018&gt;'1-Input'!$B$26,0,(MAX(0,AD1001-IF($A1018&gt;='1-Input'!$C$12,'1-Input'!$B$12,0))-MIN(MAX(AH1017,0),MAX(0,AD1001-IF($A1018&gt;='1-Input'!$C$12,'1-Input'!$B$12,0))))*(1/(1-'P-Parametri'!$B$6*AD1018))+MIN(MAX(0,AI1017-(MAX(0,AD1001-IF($A1018&gt;='1-Input'!$C$12,'1-Input'!$B$12,0))-MIN(MAX(AH1017,0),MAX(0,AD1001-IF($A1018&gt;='1-Input'!$C$12,'1-Input'!$B$12,0))))*(1/(1-'P-Parametri'!$B$6*AD1018))),MAX(0,0*AD1001-(AH1017-MIN(MAX(AH1017,0),MAX(0,AD1001-IF($A1018&gt;='1-Input'!$C$12,'1-Input'!$B$12,0)))))*(1/(1-'P-Parametri'!$B$6*AD1018))))</f>
        <v>21594.605167614591</v>
      </c>
      <c r="AF1018" s="18">
        <f>IF($A1018&gt;'1-Input'!$B$26,AH1017,(AH1017-MAX(0,AD1001-IF($A1018&gt;='1-Input'!$C$12,'1-Input'!$B$12,0))+AE1018*(1-'P-Parametri'!$B$6*AD1018))*(1+'1-Input'!$B$27))</f>
        <v>0</v>
      </c>
      <c r="AG1018" s="18">
        <f>IF($A1018&gt;'1-Input'!$B$26,AI1017,(AI1017-AE1018)*(1+'5-Roberta'!$C$4))</f>
        <v>269631.97415862337</v>
      </c>
      <c r="AH1018" s="18">
        <f>IF($A1018&gt;'1-Input'!$B$26,AF1018,AF1018-'P-Parametri'!$B$8*(AG1018+AF1018)+MIN(MAX(AG1018,0),'P-Parametri'!$B$8*(AG1018+AF1018)))</f>
        <v>0</v>
      </c>
      <c r="AI1018" s="18">
        <f>IF($A1018&gt;'1-Input'!$B$26,AG1018,AG1018-MIN(MAX(AG1018,0),'P-Parametri'!$B$8*(AG1018+AF1018)))</f>
        <v>269092.7102103061</v>
      </c>
      <c r="AJ1018" s="18">
        <f>IF($A1018&gt;'1-Input'!$B$26,AJ1017,AJ1017-AE1018*(1-AD1018))</f>
        <v>111241.1475212582</v>
      </c>
      <c r="AK1018" s="11">
        <f>IF($A1018&gt;'1-Input'!$B$26,0,IF(AP1017&lt;=0,0,MAX(0,(AP1017-AQ1017)/AP1017)))</f>
        <v>0.57505639935903918</v>
      </c>
      <c r="AL1018" s="18">
        <f>IF($A1018&gt;'1-Input'!$B$26,0,(MAX(0,AK1001-IF($A1018&gt;='1-Input'!$C$12,'1-Input'!$B$12,0))-MIN(MAX(AO1017,0),MAX(0,AK1001-IF($A1018&gt;='1-Input'!$C$12,'1-Input'!$B$12,0))))*(1/(1-'P-Parametri'!$B$6*AK1018))+MIN(MAX(0,AP1017-(MAX(0,AK1001-IF($A1018&gt;='1-Input'!$C$12,'1-Input'!$B$12,0))-MIN(MAX(AO1017,0),MAX(0,AK1001-IF($A1018&gt;='1-Input'!$C$12,'1-Input'!$B$12,0))))*(1/(1-'P-Parametri'!$B$6*AK1018))),MAX(0,0*AK1001-(AO1017-MIN(MAX(AO1017,0),MAX(0,AK1001-IF($A1018&gt;='1-Input'!$C$12,'1-Input'!$B$12,0)))))*(1/(1-'P-Parametri'!$B$6*AK1018))))</f>
        <v>21592.912129135155</v>
      </c>
      <c r="AM1018" s="18">
        <f>IF($A1018&gt;'1-Input'!$B$26,AO1017,(AO1017-MAX(0,AK1001-IF($A1018&gt;='1-Input'!$C$12,'1-Input'!$B$12,0))+AL1018*(1-'P-Parametri'!$B$6*AK1018))*(1+'1-Input'!$B$27))</f>
        <v>0</v>
      </c>
      <c r="AN1018" s="18">
        <f>IF($A1018&gt;'1-Input'!$B$26,AP1017,(AP1017-AL1018)*(1+'5-Roberta'!$C$4))</f>
        <v>269662.97191199305</v>
      </c>
      <c r="AO1018" s="18">
        <f>IF($A1018&gt;'1-Input'!$B$26,AM1018,AM1018-'P-Parametri'!$B$8*(AN1018+AM1018)+MIN(MAX(AN1018,0),'P-Parametri'!$B$8*(AN1018+AM1018)))</f>
        <v>0</v>
      </c>
      <c r="AP1018" s="18">
        <f>IF($A1018&gt;'1-Input'!$B$26,AN1018,AN1018-MIN(MAX(AN1018,0),'P-Parametri'!$B$8*(AN1018+AM1018)))</f>
        <v>269123.64596816909</v>
      </c>
      <c r="AQ1018" s="18">
        <f>IF($A1018&gt;'1-Input'!$B$26,AQ1017,AQ1017-AL1018*(1-AK1018))</f>
        <v>111253.936159053</v>
      </c>
    </row>
    <row r="1019" spans="1:43">
      <c r="A1019" s="10">
        <f>16</f>
        <v>16</v>
      </c>
      <c r="B1019" s="11">
        <f>IF($A1019&gt;'1-Input'!$B$26,0,IF(G1018&lt;=0,0,MAX(0,(G1018-H1018)/G1018)))</f>
        <v>0.58660661065727493</v>
      </c>
      <c r="C1019" s="18">
        <f>IF($A1019&gt;'1-Input'!$B$26,0,(MAX(0,B1001-IF($A1019&gt;='1-Input'!$C$12,'1-Input'!$B$12,0))-MIN(MAX(F1018,0),MAX(0,B1001-IF($A1019&gt;='1-Input'!$C$12,'1-Input'!$B$12,0))))*(1/(1-'P-Parametri'!$B$6*B1019))+MIN(MAX(0,G1018-(MAX(0,B1001-IF($A1019&gt;='1-Input'!$C$12,'1-Input'!$B$12,0))-MIN(MAX(F1018,0),MAX(0,B1001-IF($A1019&gt;='1-Input'!$C$12,'1-Input'!$B$12,0))))*(1/(1-'P-Parametri'!$B$6*B1019))),MAX(0,0*B1001-(F1018-MIN(MAX(F1018,0),MAX(0,B1001-IF($A1019&gt;='1-Input'!$C$12,'1-Input'!$B$12,0)))))*(1/(1-'P-Parametri'!$B$6*B1019))))</f>
        <v>19683.072654254396</v>
      </c>
      <c r="D1019" s="18">
        <f>IF($A1019&gt;'1-Input'!$B$26,F1018,(F1018-MAX(0,B1001-IF($A1019&gt;='1-Input'!$C$12,'1-Input'!$B$12,0))+C1019*(1-'P-Parametri'!$B$6*B1019))*(1+'1-Input'!$B$27))</f>
        <v>0</v>
      </c>
      <c r="E1019" s="18">
        <f>IF($A1019&gt;'1-Input'!$B$26,G1018,(G1018-C1019)*(1+'5-Roberta'!$C$4))</f>
        <v>294175.96264748444</v>
      </c>
      <c r="F1019" s="18">
        <f>IF($A1019&gt;'1-Input'!$B$26,D1019,D1019-'P-Parametri'!$B$8*(E1019+D1019)+MIN(MAX(E1019,0),'P-Parametri'!$B$8*(E1019+D1019)))</f>
        <v>0</v>
      </c>
      <c r="G1019" s="18">
        <f>IF($A1019&gt;'1-Input'!$B$26,E1019,E1019-MIN(MAX(E1019,0),'P-Parametri'!$B$8*(E1019+D1019)))</f>
        <v>293587.61072218948</v>
      </c>
      <c r="H1019" s="18">
        <f>IF($A1019&gt;'1-Input'!$B$26,H1018,H1018-C1019*(1-B1019))</f>
        <v>118068.34782718685</v>
      </c>
      <c r="I1019" s="11">
        <f>IF($A1019&gt;'1-Input'!$B$26,0,IF(N1018&lt;=0,0,MAX(0,(N1018-O1018)/N1018)))</f>
        <v>0.58660661065727504</v>
      </c>
      <c r="J1019" s="18">
        <f>IF($A1019&gt;'1-Input'!$B$26,0,(MAX(0,I1001-IF($A1019&gt;='1-Input'!$C$12,'1-Input'!$B$12,0))-MIN(MAX(M1018,0),MAX(0,I1001-IF($A1019&gt;='1-Input'!$C$12,'1-Input'!$B$12,0))))*(1/(1-'P-Parametri'!$B$6*I1019))+MIN(MAX(0,N1018-(MAX(0,I1001-IF($A1019&gt;='1-Input'!$C$12,'1-Input'!$B$12,0))-MIN(MAX(M1018,0),MAX(0,I1001-IF($A1019&gt;='1-Input'!$C$12,'1-Input'!$B$12,0))))*(1/(1-'P-Parametri'!$B$6*I1019))),MAX(0,0*I1001-(M1018-MIN(MAX(M1018,0),MAX(0,I1001-IF($A1019&gt;='1-Input'!$C$12,'1-Input'!$B$12,0)))))*(1/(1-'P-Parametri'!$B$6*I1019))))</f>
        <v>25898.779808229479</v>
      </c>
      <c r="K1019" s="18">
        <f>IF($A1019&gt;'1-Input'!$B$26,M1018,(M1018-MAX(0,I1001-IF($A1019&gt;='1-Input'!$C$12,'1-Input'!$B$12,0))+J1019*(1-'P-Parametri'!$B$6*I1019))*(1+'1-Input'!$B$27))</f>
        <v>0</v>
      </c>
      <c r="L1019" s="18">
        <f>IF($A1019&gt;'1-Input'!$B$26,N1018,(N1018-J1019)*(1+'5-Roberta'!$C$4))</f>
        <v>171204.13292992779</v>
      </c>
      <c r="M1019" s="18">
        <f>IF($A1019&gt;'1-Input'!$B$26,K1019,K1019-'P-Parametri'!$B$8*(L1019+K1019)+MIN(MAX(L1019,0),'P-Parametri'!$B$8*(L1019+K1019)))</f>
        <v>0</v>
      </c>
      <c r="N1019" s="18">
        <f>IF($A1019&gt;'1-Input'!$B$26,L1019,L1019-MIN(MAX(L1019,0),'P-Parametri'!$B$8*(L1019+K1019)))</f>
        <v>170861.72466406794</v>
      </c>
      <c r="O1019" s="18">
        <f>IF($A1019&gt;'1-Input'!$B$26,O1018,O1018-J1019*(1-I1019))</f>
        <v>68713.259011053655</v>
      </c>
      <c r="P1019" s="11">
        <f>IF($A1019&gt;'1-Input'!$B$26,0,IF(U1018&lt;=0,0,MAX(0,(U1018-V1018)/U1018)))</f>
        <v>0.58660661065727482</v>
      </c>
      <c r="Q1019" s="18">
        <f>IF($A1019&gt;'1-Input'!$B$26,0,(MAX(0,P1001-IF($A1019&gt;='1-Input'!$C$12,'1-Input'!$B$12,0))-MIN(MAX(T1018,0),MAX(0,P1001-IF($A1019&gt;='1-Input'!$C$12,'1-Input'!$B$12,0))))*(1/(1-'P-Parametri'!$B$6*P1019))+MIN(MAX(0,U1018-(MAX(0,P1001-IF($A1019&gt;='1-Input'!$C$12,'1-Input'!$B$12,0))-MIN(MAX(T1018,0),MAX(0,P1001-IF($A1019&gt;='1-Input'!$C$12,'1-Input'!$B$12,0))))*(1/(1-'P-Parametri'!$B$6*P1019))),MAX(0,0*P1001-(T1018-MIN(MAX(T1018,0),MAX(0,P1001-IF($A1019&gt;='1-Input'!$C$12,'1-Input'!$B$12,0)))))*(1/(1-'P-Parametri'!$B$6*P1019))))</f>
        <v>21956.065836314727</v>
      </c>
      <c r="R1019" s="18">
        <f>IF($A1019&gt;'1-Input'!$B$26,T1018,(T1018-MAX(0,P1001-IF($A1019&gt;='1-Input'!$C$12,'1-Input'!$B$12,0))+Q1019*(1-'P-Parametri'!$B$6*P1019))*(1+'1-Input'!$B$27))</f>
        <v>3.6248820833861826E-12</v>
      </c>
      <c r="S1019" s="18">
        <f>IF($A1019&gt;'1-Input'!$B$26,U1018,(U1018-Q1019)*(1+'5-Roberta'!$C$4))</f>
        <v>249206.96336721187</v>
      </c>
      <c r="T1019" s="18">
        <f>IF($A1019&gt;'1-Input'!$B$26,R1019,R1019-'P-Parametri'!$B$8*(S1019+R1019)+MIN(MAX(S1019,0),'P-Parametri'!$B$8*(S1019+R1019)))</f>
        <v>3.637978807091713E-12</v>
      </c>
      <c r="U1019" s="18">
        <f>IF($A1019&gt;'1-Input'!$B$26,S1019,S1019-MIN(MAX(S1019,0),'P-Parametri'!$B$8*(S1019+R1019)))</f>
        <v>248708.54944047745</v>
      </c>
      <c r="V1019" s="18">
        <f>IF($A1019&gt;'1-Input'!$B$26,V1018,V1018-Q1019*(1-P1019))</f>
        <v>100019.91381959229</v>
      </c>
      <c r="W1019" s="11">
        <f>IF($A1019&gt;'1-Input'!$B$26,0,IF(AB1018&lt;=0,0,MAX(0,(AB1018-AC1018)/AB1018)))</f>
        <v>0.58660661065727493</v>
      </c>
      <c r="X1019" s="18">
        <f>IF($A1019&gt;'1-Input'!$B$26,0,(MAX(0,W1001-IF($A1019&gt;='1-Input'!$C$12,'1-Input'!$B$12,0))-MIN(MAX(AA1018,0),MAX(0,W1001-IF($A1019&gt;='1-Input'!$C$12,'1-Input'!$B$12,0))))*(1/(1-'P-Parametri'!$B$6*W1019))+MIN(MAX(0,AB1018-(MAX(0,W1001-IF($A1019&gt;='1-Input'!$C$12,'1-Input'!$B$12,0))-MIN(MAX(AA1018,0),MAX(0,W1001-IF($A1019&gt;='1-Input'!$C$12,'1-Input'!$B$12,0))))*(1/(1-'P-Parametri'!$B$6*W1019))),MAX(0,0*W1001-(AA1018-MIN(MAX(AA1018,0),MAX(0,W1001-IF($A1019&gt;='1-Input'!$C$12,'1-Input'!$B$12,0)))))*(1/(1-'P-Parametri'!$B$6*W1019))))</f>
        <v>21660.236893311849</v>
      </c>
      <c r="Y1019" s="18">
        <f>IF($A1019&gt;'1-Input'!$B$26,AA1018,(AA1018-MAX(0,W1001-IF($A1019&gt;='1-Input'!$C$12,'1-Input'!$B$12,0))+X1019*(1-'P-Parametri'!$B$6*W1019))*(1+'1-Input'!$B$27))</f>
        <v>0</v>
      </c>
      <c r="Z1019" s="18">
        <f>IF($A1019&gt;'1-Input'!$B$26,AB1018,(AB1018-X1019)*(1+'5-Roberta'!$C$4))</f>
        <v>255059.6564724863</v>
      </c>
      <c r="AA1019" s="18">
        <f>IF($A1019&gt;'1-Input'!$B$26,Y1019,Y1019-'P-Parametri'!$B$8*(Z1019+Y1019)+MIN(MAX(Z1019,0),'P-Parametri'!$B$8*(Z1019+Y1019)))</f>
        <v>0</v>
      </c>
      <c r="AB1019" s="18">
        <f>IF($A1019&gt;'1-Input'!$B$26,Z1019,Z1019-MIN(MAX(Z1019,0),'P-Parametri'!$B$8*(Z1019+Y1019)))</f>
        <v>254549.53715954133</v>
      </c>
      <c r="AC1019" s="18">
        <f>IF($A1019&gt;'1-Input'!$B$26,AC1018,AC1018-X1019*(1-W1019))</f>
        <v>102368.90861529343</v>
      </c>
      <c r="AD1019" s="11">
        <f>IF($A1019&gt;'1-Input'!$B$26,0,IF(AI1018&lt;=0,0,MAX(0,(AI1018-AJ1018)/AI1018)))</f>
        <v>0.58660661065727471</v>
      </c>
      <c r="AE1019" s="18">
        <f>IF($A1019&gt;'1-Input'!$B$26,0,(MAX(0,AD1001-IF($A1019&gt;='1-Input'!$C$12,'1-Input'!$B$12,0))-MIN(MAX(AH1018,0),MAX(0,AD1001-IF($A1019&gt;='1-Input'!$C$12,'1-Input'!$B$12,0))))*(1/(1-'P-Parametri'!$B$6*AD1019))+MIN(MAX(0,AI1018-(MAX(0,AD1001-IF($A1019&gt;='1-Input'!$C$12,'1-Input'!$B$12,0))-MIN(MAX(AH1018,0),MAX(0,AD1001-IF($A1019&gt;='1-Input'!$C$12,'1-Input'!$B$12,0))))*(1/(1-'P-Parametri'!$B$6*AD1019))),MAX(0,0*AD1001-(AH1018-MIN(MAX(AH1018,0),MAX(0,AD1001-IF($A1019&gt;='1-Input'!$C$12,'1-Input'!$B$12,0)))))*(1/(1-'P-Parametri'!$B$6*AD1019))))</f>
        <v>21671.12568858502</v>
      </c>
      <c r="AF1019" s="18">
        <f>IF($A1019&gt;'1-Input'!$B$26,AH1018,(AH1018-MAX(0,AD1001-IF($A1019&gt;='1-Input'!$C$12,'1-Input'!$B$12,0))+AE1019*(1-'P-Parametri'!$B$6*AD1019))*(1+'1-Input'!$B$27))</f>
        <v>0</v>
      </c>
      <c r="AG1019" s="18">
        <f>IF($A1019&gt;'1-Input'!$B$26,AI1018,(AI1018-AE1019)*(1+'5-Roberta'!$C$4))</f>
        <v>254844.23205737272</v>
      </c>
      <c r="AH1019" s="18">
        <f>IF($A1019&gt;'1-Input'!$B$26,AF1019,AF1019-'P-Parametri'!$B$8*(AG1019+AF1019)+MIN(MAX(AG1019,0),'P-Parametri'!$B$8*(AG1019+AF1019)))</f>
        <v>0</v>
      </c>
      <c r="AI1019" s="18">
        <f>IF($A1019&gt;'1-Input'!$B$26,AG1019,AG1019-MIN(MAX(AG1019,0),'P-Parametri'!$B$8*(AG1019+AF1019)))</f>
        <v>254334.54359325799</v>
      </c>
      <c r="AJ1019" s="18">
        <f>IF($A1019&gt;'1-Input'!$B$26,AJ1018,AJ1018-AE1019*(1-AD1019))</f>
        <v>102282.44742198184</v>
      </c>
      <c r="AK1019" s="11">
        <f>IF($A1019&gt;'1-Input'!$B$26,0,IF(AP1018&lt;=0,0,MAX(0,(AP1018-AQ1018)/AP1018)))</f>
        <v>0.58660661065727504</v>
      </c>
      <c r="AL1019" s="18">
        <f>IF($A1019&gt;'1-Input'!$B$26,0,(MAX(0,AK1001-IF($A1019&gt;='1-Input'!$C$12,'1-Input'!$B$12,0))-MIN(MAX(AO1018,0),MAX(0,AK1001-IF($A1019&gt;='1-Input'!$C$12,'1-Input'!$B$12,0))))*(1/(1-'P-Parametri'!$B$6*AK1019))+MIN(MAX(0,AP1018-(MAX(0,AK1001-IF($A1019&gt;='1-Input'!$C$12,'1-Input'!$B$12,0))-MIN(MAX(AO1018,0),MAX(0,AK1001-IF($A1019&gt;='1-Input'!$C$12,'1-Input'!$B$12,0))))*(1/(1-'P-Parametri'!$B$6*AK1019))),MAX(0,0*AK1001-(AO1018-MIN(MAX(AO1018,0),MAX(0,AK1001-IF($A1019&gt;='1-Input'!$C$12,'1-Input'!$B$12,0)))))*(1/(1-'P-Parametri'!$B$6*AK1019))))</f>
        <v>21669.426650820787</v>
      </c>
      <c r="AM1019" s="18">
        <f>IF($A1019&gt;'1-Input'!$B$26,AO1018,(AO1018-MAX(0,AK1001-IF($A1019&gt;='1-Input'!$C$12,'1-Input'!$B$12,0))+AL1019*(1-'P-Parametri'!$B$6*AK1019))*(1+'1-Input'!$B$27))</f>
        <v>0</v>
      </c>
      <c r="AN1019" s="18">
        <f>IF($A1019&gt;'1-Input'!$B$26,AP1018,(AP1018-AL1019)*(1+'5-Roberta'!$C$4))</f>
        <v>254877.84589686876</v>
      </c>
      <c r="AO1019" s="18">
        <f>IF($A1019&gt;'1-Input'!$B$26,AM1019,AM1019-'P-Parametri'!$B$8*(AN1019+AM1019)+MIN(MAX(AN1019,0),'P-Parametri'!$B$8*(AN1019+AM1019)))</f>
        <v>0</v>
      </c>
      <c r="AP1019" s="18">
        <f>IF($A1019&gt;'1-Input'!$B$26,AN1019,AN1019-MIN(MAX(AN1019,0),'P-Parametri'!$B$8*(AN1019+AM1019)))</f>
        <v>254368.09020507502</v>
      </c>
      <c r="AQ1019" s="18">
        <f>IF($A1019&gt;'1-Input'!$B$26,AQ1018,AQ1018-AL1019*(1-AK1019))</f>
        <v>102295.93843075662</v>
      </c>
    </row>
    <row r="1020" spans="1:43">
      <c r="A1020" s="10">
        <f>17</f>
        <v>17</v>
      </c>
      <c r="B1020" s="11">
        <f>IF($A1020&gt;'1-Input'!$B$26,0,IF(G1019&lt;=0,0,MAX(0,(G1019-H1019)/G1019)))</f>
        <v>0.59784288057403645</v>
      </c>
      <c r="C1020" s="18">
        <f>IF($A1020&gt;'1-Input'!$B$26,0,(MAX(0,B1001-IF($A1020&gt;='1-Input'!$C$12,'1-Input'!$B$12,0))-MIN(MAX(F1019,0),MAX(0,B1001-IF($A1020&gt;='1-Input'!$C$12,'1-Input'!$B$12,0))))*(1/(1-'P-Parametri'!$B$6*B1020))+MIN(MAX(0,G1019-(MAX(0,B1001-IF($A1020&gt;='1-Input'!$C$12,'1-Input'!$B$12,0))-MIN(MAX(F1019,0),MAX(0,B1001-IF($A1020&gt;='1-Input'!$C$12,'1-Input'!$B$12,0))))*(1/(1-'P-Parametri'!$B$6*B1020))),MAX(0,0*B1001-(F1019-MIN(MAX(F1019,0),MAX(0,B1001-IF($A1020&gt;='1-Input'!$C$12,'1-Input'!$B$12,0)))))*(1/(1-'P-Parametri'!$B$6*B1020))))</f>
        <v>19751.158597834914</v>
      </c>
      <c r="D1020" s="18">
        <f>IF($A1020&gt;'1-Input'!$B$26,F1019,(F1019-MAX(0,B1001-IF($A1020&gt;='1-Input'!$C$12,'1-Input'!$B$12,0))+C1020*(1-'P-Parametri'!$B$6*B1020))*(1+'1-Input'!$B$27))</f>
        <v>0</v>
      </c>
      <c r="E1020" s="18">
        <f>IF($A1020&gt;'1-Input'!$B$26,G1019,(G1019-C1020)*(1+'5-Roberta'!$C$4))</f>
        <v>282051.5456880852</v>
      </c>
      <c r="F1020" s="18">
        <f>IF($A1020&gt;'1-Input'!$B$26,D1020,D1020-'P-Parametri'!$B$8*(E1020+D1020)+MIN(MAX(E1020,0),'P-Parametri'!$B$8*(E1020+D1020)))</f>
        <v>0</v>
      </c>
      <c r="G1020" s="18">
        <f>IF($A1020&gt;'1-Input'!$B$26,E1020,E1020-MIN(MAX(E1020,0),'P-Parametri'!$B$8*(E1020+D1020)))</f>
        <v>281487.44259670901</v>
      </c>
      <c r="H1020" s="18">
        <f>IF($A1020&gt;'1-Input'!$B$26,H1019,H1019-C1020*(1-B1020))</f>
        <v>110125.27878015621</v>
      </c>
      <c r="I1020" s="11">
        <f>IF($A1020&gt;'1-Input'!$B$26,0,IF(N1019&lt;=0,0,MAX(0,(N1019-O1019)/N1019)))</f>
        <v>0.59784288057403656</v>
      </c>
      <c r="J1020" s="18">
        <f>IF($A1020&gt;'1-Input'!$B$26,0,(MAX(0,I1001-IF($A1020&gt;='1-Input'!$C$12,'1-Input'!$B$12,0))-MIN(MAX(M1019,0),MAX(0,I1001-IF($A1020&gt;='1-Input'!$C$12,'1-Input'!$B$12,0))))*(1/(1-'P-Parametri'!$B$6*I1020))+MIN(MAX(0,N1019-(MAX(0,I1001-IF($A1020&gt;='1-Input'!$C$12,'1-Input'!$B$12,0))-MIN(MAX(M1019,0),MAX(0,I1001-IF($A1020&gt;='1-Input'!$C$12,'1-Input'!$B$12,0))))*(1/(1-'P-Parametri'!$B$6*I1020))),MAX(0,0*I1001-(M1019-MIN(MAX(M1019,0),MAX(0,I1001-IF($A1020&gt;='1-Input'!$C$12,'1-Input'!$B$12,0)))))*(1/(1-'P-Parametri'!$B$6*I1020))))</f>
        <v>25988.366576098575</v>
      </c>
      <c r="K1020" s="18">
        <f>IF($A1020&gt;'1-Input'!$B$26,M1019,(M1019-MAX(0,I1001-IF($A1020&gt;='1-Input'!$C$12,'1-Input'!$B$12,0))+J1020*(1-'P-Parametri'!$B$6*I1020))*(1+'1-Input'!$B$27))</f>
        <v>0</v>
      </c>
      <c r="L1020" s="18">
        <f>IF($A1020&gt;'1-Input'!$B$26,N1019,(N1019-J1020)*(1+'5-Roberta'!$C$4))</f>
        <v>149219.55883060844</v>
      </c>
      <c r="M1020" s="18">
        <f>IF($A1020&gt;'1-Input'!$B$26,K1020,K1020-'P-Parametri'!$B$8*(L1020+K1020)+MIN(MAX(L1020,0),'P-Parametri'!$B$8*(L1020+K1020)))</f>
        <v>0</v>
      </c>
      <c r="N1020" s="18">
        <f>IF($A1020&gt;'1-Input'!$B$26,L1020,L1020-MIN(MAX(L1020,0),'P-Parametri'!$B$8*(L1020+K1020)))</f>
        <v>148921.11971294723</v>
      </c>
      <c r="O1020" s="18">
        <f>IF($A1020&gt;'1-Input'!$B$26,O1019,O1019-J1020*(1-I1020))</f>
        <v>58261.85237022386</v>
      </c>
      <c r="P1020" s="11">
        <f>IF($A1020&gt;'1-Input'!$B$26,0,IF(U1019&lt;=0,0,MAX(0,(U1019-V1019)/U1019)))</f>
        <v>0.59784288057403634</v>
      </c>
      <c r="Q1020" s="18">
        <f>IF($A1020&gt;'1-Input'!$B$26,0,(MAX(0,P1001-IF($A1020&gt;='1-Input'!$C$12,'1-Input'!$B$12,0))-MIN(MAX(T1019,0),MAX(0,P1001-IF($A1020&gt;='1-Input'!$C$12,'1-Input'!$B$12,0))))*(1/(1-'P-Parametri'!$B$6*P1020))+MIN(MAX(0,U1019-(MAX(0,P1001-IF($A1020&gt;='1-Input'!$C$12,'1-Input'!$B$12,0))-MIN(MAX(T1019,0),MAX(0,P1001-IF($A1020&gt;='1-Input'!$C$12,'1-Input'!$B$12,0))))*(1/(1-'P-Parametri'!$B$6*P1020))),MAX(0,0*P1001-(T1019-MIN(MAX(T1019,0),MAX(0,P1001-IF($A1020&gt;='1-Input'!$C$12,'1-Input'!$B$12,0)))))*(1/(1-'P-Parametri'!$B$6*P1020))))</f>
        <v>22032.014316820801</v>
      </c>
      <c r="R1020" s="18">
        <f>IF($A1020&gt;'1-Input'!$B$26,T1019,(T1019-MAX(0,P1001-IF($A1020&gt;='1-Input'!$C$12,'1-Input'!$B$12,0))+Q1020*(1-'P-Parametri'!$B$6*P1020))*(1+'1-Input'!$B$27))</f>
        <v>3.6248820833861826E-12</v>
      </c>
      <c r="S1020" s="18">
        <f>IF($A1020&gt;'1-Input'!$B$26,U1019,(U1019-Q1020)*(1+'5-Roberta'!$C$4))</f>
        <v>233476.83117736634</v>
      </c>
      <c r="T1020" s="18">
        <f>IF($A1020&gt;'1-Input'!$B$26,R1020,R1020-'P-Parametri'!$B$8*(S1020+R1020)+MIN(MAX(S1020,0),'P-Parametri'!$B$8*(S1020+R1020)))</f>
        <v>3.637978807091713E-12</v>
      </c>
      <c r="U1020" s="18">
        <f>IF($A1020&gt;'1-Input'!$B$26,S1020,S1020-MIN(MAX(S1020,0),'P-Parametri'!$B$8*(S1020+R1020)))</f>
        <v>233009.87751501161</v>
      </c>
      <c r="V1020" s="18">
        <f>IF($A1020&gt;'1-Input'!$B$26,V1019,V1019-Q1020*(1-P1020))</f>
        <v>91159.582406788046</v>
      </c>
      <c r="W1020" s="11">
        <f>IF($A1020&gt;'1-Input'!$B$26,0,IF(AB1019&lt;=0,0,MAX(0,(AB1019-AC1019)/AB1019)))</f>
        <v>0.59784288057403634</v>
      </c>
      <c r="X1020" s="18">
        <f>IF($A1020&gt;'1-Input'!$B$26,0,(MAX(0,W1001-IF($A1020&gt;='1-Input'!$C$12,'1-Input'!$B$12,0))-MIN(MAX(AA1019,0),MAX(0,W1001-IF($A1020&gt;='1-Input'!$C$12,'1-Input'!$B$12,0))))*(1/(1-'P-Parametri'!$B$6*W1020))+MIN(MAX(0,AB1019-(MAX(0,W1001-IF($A1020&gt;='1-Input'!$C$12,'1-Input'!$B$12,0))-MIN(MAX(AA1019,0),MAX(0,W1001-IF($A1020&gt;='1-Input'!$C$12,'1-Input'!$B$12,0))))*(1/(1-'P-Parametri'!$B$6*W1020))),MAX(0,0*W1001-(AA1019-MIN(MAX(AA1019,0),MAX(0,W1001-IF($A1020&gt;='1-Input'!$C$12,'1-Input'!$B$12,0)))))*(1/(1-'P-Parametri'!$B$6*W1020))))</f>
        <v>21735.162068510039</v>
      </c>
      <c r="Y1020" s="18">
        <f>IF($A1020&gt;'1-Input'!$B$26,AA1019,(AA1019-MAX(0,W1001-IF($A1020&gt;='1-Input'!$C$12,'1-Input'!$B$12,0))+X1020*(1-'P-Parametri'!$B$6*W1020))*(1+'1-Input'!$B$27))</f>
        <v>3.6248820833861826E-12</v>
      </c>
      <c r="Z1020" s="18">
        <f>IF($A1020&gt;'1-Input'!$B$26,AB1019,(AB1019-X1020)*(1+'5-Roberta'!$C$4))</f>
        <v>239798.80634376223</v>
      </c>
      <c r="AA1020" s="18">
        <f>IF($A1020&gt;'1-Input'!$B$26,Y1020,Y1020-'P-Parametri'!$B$8*(Z1020+Y1020)+MIN(MAX(Z1020,0),'P-Parametri'!$B$8*(Z1020+Y1020)))</f>
        <v>3.637978807091713E-12</v>
      </c>
      <c r="AB1020" s="18">
        <f>IF($A1020&gt;'1-Input'!$B$26,Z1020,Z1020-MIN(MAX(Z1020,0),'P-Parametri'!$B$8*(Z1020+Y1020)))</f>
        <v>239319.2087310747</v>
      </c>
      <c r="AC1020" s="18">
        <f>IF($A1020&gt;'1-Input'!$B$26,AC1019,AC1019-X1020*(1-W1020))</f>
        <v>93627.958447564961</v>
      </c>
      <c r="AD1020" s="11">
        <f>IF($A1020&gt;'1-Input'!$B$26,0,IF(AI1019&lt;=0,0,MAX(0,(AI1019-AJ1019)/AI1019)))</f>
        <v>0.59784288057403623</v>
      </c>
      <c r="AE1020" s="18">
        <f>IF($A1020&gt;'1-Input'!$B$26,0,(MAX(0,AD1001-IF($A1020&gt;='1-Input'!$C$12,'1-Input'!$B$12,0))-MIN(MAX(AH1019,0),MAX(0,AD1001-IF($A1020&gt;='1-Input'!$C$12,'1-Input'!$B$12,0))))*(1/(1-'P-Parametri'!$B$6*AD1020))+MIN(MAX(0,AI1019-(MAX(0,AD1001-IF($A1020&gt;='1-Input'!$C$12,'1-Input'!$B$12,0))-MIN(MAX(AH1019,0),MAX(0,AD1001-IF($A1020&gt;='1-Input'!$C$12,'1-Input'!$B$12,0))))*(1/(1-'P-Parametri'!$B$6*AD1020))),MAX(0,0*AD1001-(AH1019-MIN(MAX(AH1019,0),MAX(0,AD1001-IF($A1020&gt;='1-Input'!$C$12,'1-Input'!$B$12,0)))))*(1/(1-'P-Parametri'!$B$6*AD1020))))</f>
        <v>21746.08852934049</v>
      </c>
      <c r="AF1020" s="18">
        <f>IF($A1020&gt;'1-Input'!$B$26,AH1019,(AH1019-MAX(0,AD1001-IF($A1020&gt;='1-Input'!$C$12,'1-Input'!$B$12,0))+AE1020*(1-'P-Parametri'!$B$6*AD1020))*(1+'1-Input'!$B$27))</f>
        <v>0</v>
      </c>
      <c r="AG1020" s="18">
        <f>IF($A1020&gt;'1-Input'!$B$26,AI1019,(AI1019-AE1020)*(1+'5-Roberta'!$C$4))</f>
        <v>239566.10871583503</v>
      </c>
      <c r="AH1020" s="18">
        <f>IF($A1020&gt;'1-Input'!$B$26,AF1020,AF1020-'P-Parametri'!$B$8*(AG1020+AF1020)+MIN(MAX(AG1020,0),'P-Parametri'!$B$8*(AG1020+AF1020)))</f>
        <v>0</v>
      </c>
      <c r="AI1020" s="18">
        <f>IF($A1020&gt;'1-Input'!$B$26,AG1020,AG1020-MIN(MAX(AG1020,0),'P-Parametri'!$B$8*(AG1020+AF1020)))</f>
        <v>239086.97649840335</v>
      </c>
      <c r="AJ1020" s="18">
        <f>IF($A1020&gt;'1-Input'!$B$26,AJ1019,AJ1019-AE1020*(1-AD1020))</f>
        <v>93537.103100240274</v>
      </c>
      <c r="AK1020" s="11">
        <f>IF($A1020&gt;'1-Input'!$B$26,0,IF(AP1019&lt;=0,0,MAX(0,(AP1019-AQ1019)/AP1019)))</f>
        <v>0.59784288057403645</v>
      </c>
      <c r="AL1020" s="18">
        <f>IF($A1020&gt;'1-Input'!$B$26,0,(MAX(0,AK1001-IF($A1020&gt;='1-Input'!$C$12,'1-Input'!$B$12,0))-MIN(MAX(AO1019,0),MAX(0,AK1001-IF($A1020&gt;='1-Input'!$C$12,'1-Input'!$B$12,0))))*(1/(1-'P-Parametri'!$B$6*AK1020))+MIN(MAX(0,AP1019-(MAX(0,AK1001-IF($A1020&gt;='1-Input'!$C$12,'1-Input'!$B$12,0))-MIN(MAX(AO1019,0),MAX(0,AK1001-IF($A1020&gt;='1-Input'!$C$12,'1-Input'!$B$12,0))))*(1/(1-'P-Parametri'!$B$6*AK1020))),MAX(0,0*AK1001-(AO1019-MIN(MAX(AO1019,0),MAX(0,AK1001-IF($A1020&gt;='1-Input'!$C$12,'1-Input'!$B$12,0)))))*(1/(1-'P-Parametri'!$B$6*AK1020))))</f>
        <v>21744.383614415136</v>
      </c>
      <c r="AM1020" s="18">
        <f>IF($A1020&gt;'1-Input'!$B$26,AO1019,(AO1019-MAX(0,AK1001-IF($A1020&gt;='1-Input'!$C$12,'1-Input'!$B$12,0))+AL1020*(1-'P-Parametri'!$B$6*AK1020))*(1+'1-Input'!$B$27))</f>
        <v>0</v>
      </c>
      <c r="AN1020" s="18">
        <f>IF($A1020&gt;'1-Input'!$B$26,AP1019,(AP1019-AL1020)*(1+'5-Roberta'!$C$4))</f>
        <v>239602.41778837968</v>
      </c>
      <c r="AO1020" s="18">
        <f>IF($A1020&gt;'1-Input'!$B$26,AM1020,AM1020-'P-Parametri'!$B$8*(AN1020+AM1020)+MIN(MAX(AN1020,0),'P-Parametri'!$B$8*(AN1020+AM1020)))</f>
        <v>0</v>
      </c>
      <c r="AP1020" s="18">
        <f>IF($A1020&gt;'1-Input'!$B$26,AN1020,AN1020-MIN(MAX(AN1020,0),'P-Parametri'!$B$8*(AN1020+AM1020)))</f>
        <v>239123.21295280292</v>
      </c>
      <c r="AQ1020" s="18">
        <f>IF($A1020&gt;'1-Input'!$B$26,AQ1019,AQ1019-AL1020*(1-AK1020))</f>
        <v>93551.279752690316</v>
      </c>
    </row>
    <row r="1021" spans="1:43">
      <c r="A1021" s="10">
        <f>18</f>
        <v>18</v>
      </c>
      <c r="B1021" s="11">
        <f>IF($A1021&gt;'1-Input'!$B$26,0,IF(G1020&lt;=0,0,MAX(0,(G1020-H1020)/G1020)))</f>
        <v>0.60877374221650715</v>
      </c>
      <c r="C1021" s="18">
        <f>IF($A1021&gt;'1-Input'!$B$26,0,(MAX(0,B1001-IF($A1021&gt;='1-Input'!$C$12,'1-Input'!$B$12,0))-MIN(MAX(F1020,0),MAX(0,B1001-IF($A1021&gt;='1-Input'!$C$12,'1-Input'!$B$12,0))))*(1/(1-'P-Parametri'!$B$6*B1021))+MIN(MAX(0,G1020-(MAX(0,B1001-IF($A1021&gt;='1-Input'!$C$12,'1-Input'!$B$12,0))-MIN(MAX(F1020,0),MAX(0,B1001-IF($A1021&gt;='1-Input'!$C$12,'1-Input'!$B$12,0))))*(1/(1-'P-Parametri'!$B$6*B1021))),MAX(0,0*B1001-(F1020-MIN(MAX(F1020,0),MAX(0,B1001-IF($A1021&gt;='1-Input'!$C$12,'1-Input'!$B$12,0)))))*(1/(1-'P-Parametri'!$B$6*B1021))))</f>
        <v>19817.847455794115</v>
      </c>
      <c r="D1021" s="18">
        <f>IF($A1021&gt;'1-Input'!$B$26,F1020,(F1020-MAX(0,B1001-IF($A1021&gt;='1-Input'!$C$12,'1-Input'!$B$12,0))+C1021*(1-'P-Parametri'!$B$6*B1021))*(1+'1-Input'!$B$27))</f>
        <v>0</v>
      </c>
      <c r="E1021" s="18">
        <f>IF($A1021&gt;'1-Input'!$B$26,G1020,(G1020-C1021)*(1+'5-Roberta'!$C$4))</f>
        <v>269519.68299514236</v>
      </c>
      <c r="F1021" s="18">
        <f>IF($A1021&gt;'1-Input'!$B$26,D1021,D1021-'P-Parametri'!$B$8*(E1021+D1021)+MIN(MAX(E1021,0),'P-Parametri'!$B$8*(E1021+D1021)))</f>
        <v>0</v>
      </c>
      <c r="G1021" s="18">
        <f>IF($A1021&gt;'1-Input'!$B$26,E1021,E1021-MIN(MAX(E1021,0),'P-Parametri'!$B$8*(E1021+D1021)))</f>
        <v>268980.64362915209</v>
      </c>
      <c r="H1021" s="18">
        <f>IF($A1021&gt;'1-Input'!$B$26,H1020,H1020-C1021*(1-B1021))</f>
        <v>102372.01648270176</v>
      </c>
      <c r="I1021" s="11">
        <f>IF($A1021&gt;'1-Input'!$B$26,0,IF(N1020&lt;=0,0,MAX(0,(N1020-O1020)/N1020)))</f>
        <v>0.60877374221650737</v>
      </c>
      <c r="J1021" s="18">
        <f>IF($A1021&gt;'1-Input'!$B$26,0,(MAX(0,I1001-IF($A1021&gt;='1-Input'!$C$12,'1-Input'!$B$12,0))-MIN(MAX(M1020,0),MAX(0,I1001-IF($A1021&gt;='1-Input'!$C$12,'1-Input'!$B$12,0))))*(1/(1-'P-Parametri'!$B$6*I1021))+MIN(MAX(0,N1020-(MAX(0,I1001-IF($A1021&gt;='1-Input'!$C$12,'1-Input'!$B$12,0))-MIN(MAX(M1020,0),MAX(0,I1001-IF($A1021&gt;='1-Input'!$C$12,'1-Input'!$B$12,0))))*(1/(1-'P-Parametri'!$B$6*I1021))),MAX(0,0*I1001-(M1020-MIN(MAX(M1020,0),MAX(0,I1001-IF($A1021&gt;='1-Input'!$C$12,'1-Input'!$B$12,0)))))*(1/(1-'P-Parametri'!$B$6*I1021))))</f>
        <v>26076.115073413319</v>
      </c>
      <c r="K1021" s="18">
        <f>IF($A1021&gt;'1-Input'!$B$26,M1020,(M1020-MAX(0,I1001-IF($A1021&gt;='1-Input'!$C$12,'1-Input'!$B$12,0))+J1021*(1-'P-Parametri'!$B$6*I1021))*(1+'1-Input'!$B$27))</f>
        <v>0</v>
      </c>
      <c r="L1021" s="18">
        <f>IF($A1021&gt;'1-Input'!$B$26,N1020,(N1020-J1021)*(1+'5-Roberta'!$C$4))</f>
        <v>126530.35477871992</v>
      </c>
      <c r="M1021" s="18">
        <f>IF($A1021&gt;'1-Input'!$B$26,K1021,K1021-'P-Parametri'!$B$8*(L1021+K1021)+MIN(MAX(L1021,0),'P-Parametri'!$B$8*(L1021+K1021)))</f>
        <v>0</v>
      </c>
      <c r="N1021" s="18">
        <f>IF($A1021&gt;'1-Input'!$B$26,L1021,L1021-MIN(MAX(L1021,0),'P-Parametri'!$B$8*(L1021+K1021)))</f>
        <v>126277.29406916248</v>
      </c>
      <c r="O1021" s="18">
        <f>IF($A1021&gt;'1-Input'!$B$26,O1020,O1020-J1021*(1-I1021))</f>
        <v>48060.191452520645</v>
      </c>
      <c r="P1021" s="11">
        <f>IF($A1021&gt;'1-Input'!$B$26,0,IF(U1020&lt;=0,0,MAX(0,(U1020-V1020)/U1020)))</f>
        <v>0.60877374221650704</v>
      </c>
      <c r="Q1021" s="18">
        <f>IF($A1021&gt;'1-Input'!$B$26,0,(MAX(0,P1001-IF($A1021&gt;='1-Input'!$C$12,'1-Input'!$B$12,0))-MIN(MAX(T1020,0),MAX(0,P1001-IF($A1021&gt;='1-Input'!$C$12,'1-Input'!$B$12,0))))*(1/(1-'P-Parametri'!$B$6*P1021))+MIN(MAX(0,U1020-(MAX(0,P1001-IF($A1021&gt;='1-Input'!$C$12,'1-Input'!$B$12,0))-MIN(MAX(T1020,0),MAX(0,P1001-IF($A1021&gt;='1-Input'!$C$12,'1-Input'!$B$12,0))))*(1/(1-'P-Parametri'!$B$6*P1021))),MAX(0,0*P1001-(T1020-MIN(MAX(T1020,0),MAX(0,P1001-IF($A1021&gt;='1-Input'!$C$12,'1-Input'!$B$12,0)))))*(1/(1-'P-Parametri'!$B$6*P1021))))</f>
        <v>22106.404376829258</v>
      </c>
      <c r="R1021" s="18">
        <f>IF($A1021&gt;'1-Input'!$B$26,T1020,(T1020-MAX(0,P1001-IF($A1021&gt;='1-Input'!$C$12,'1-Input'!$B$12,0))+Q1021*(1-'P-Parametri'!$B$6*P1021))*(1+'1-Input'!$B$27))</f>
        <v>-3.6248820833861826E-12</v>
      </c>
      <c r="S1021" s="18">
        <f>IF($A1021&gt;'1-Input'!$B$26,U1020,(U1020-Q1021)*(1+'5-Roberta'!$C$4))</f>
        <v>217230.57733232784</v>
      </c>
      <c r="T1021" s="18">
        <f>IF($A1021&gt;'1-Input'!$B$26,R1021,R1021-'P-Parametri'!$B$8*(S1021+R1021)+MIN(MAX(S1021,0),'P-Parametri'!$B$8*(S1021+R1021)))</f>
        <v>-3.637978807091713E-12</v>
      </c>
      <c r="U1021" s="18">
        <f>IF($A1021&gt;'1-Input'!$B$26,S1021,S1021-MIN(MAX(S1021,0),'P-Parametri'!$B$8*(S1021+R1021)))</f>
        <v>216796.11617766318</v>
      </c>
      <c r="V1021" s="18">
        <f>IF($A1021&gt;'1-Input'!$B$26,V1020,V1020-Q1021*(1-P1021))</f>
        <v>82510.976549392508</v>
      </c>
      <c r="W1021" s="11">
        <f>IF($A1021&gt;'1-Input'!$B$26,0,IF(AB1020&lt;=0,0,MAX(0,(AB1020-AC1020)/AB1020)))</f>
        <v>0.60877374221650715</v>
      </c>
      <c r="X1021" s="18">
        <f>IF($A1021&gt;'1-Input'!$B$26,0,(MAX(0,W1001-IF($A1021&gt;='1-Input'!$C$12,'1-Input'!$B$12,0))-MIN(MAX(AA1020,0),MAX(0,W1001-IF($A1021&gt;='1-Input'!$C$12,'1-Input'!$B$12,0))))*(1/(1-'P-Parametri'!$B$6*W1021))+MIN(MAX(0,AB1020-(MAX(0,W1001-IF($A1021&gt;='1-Input'!$C$12,'1-Input'!$B$12,0))-MIN(MAX(AA1020,0),MAX(0,W1001-IF($A1021&gt;='1-Input'!$C$12,'1-Input'!$B$12,0))))*(1/(1-'P-Parametri'!$B$6*W1021))),MAX(0,0*W1001-(AA1020-MIN(MAX(AA1020,0),MAX(0,W1001-IF($A1021&gt;='1-Input'!$C$12,'1-Input'!$B$12,0)))))*(1/(1-'P-Parametri'!$B$6*W1021))))</f>
        <v>21808.549820865279</v>
      </c>
      <c r="Y1021" s="18">
        <f>IF($A1021&gt;'1-Input'!$B$26,AA1020,(AA1020-MAX(0,W1001-IF($A1021&gt;='1-Input'!$C$12,'1-Input'!$B$12,0))+X1021*(1-'P-Parametri'!$B$6*W1021))*(1+'1-Input'!$B$27))</f>
        <v>0</v>
      </c>
      <c r="Z1021" s="18">
        <f>IF($A1021&gt;'1-Input'!$B$26,AB1020,(AB1020-X1021)*(1+'5-Roberta'!$C$4))</f>
        <v>224035.97867751573</v>
      </c>
      <c r="AA1021" s="18">
        <f>IF($A1021&gt;'1-Input'!$B$26,Y1021,Y1021-'P-Parametri'!$B$8*(Z1021+Y1021)+MIN(MAX(Z1021,0),'P-Parametri'!$B$8*(Z1021+Y1021)))</f>
        <v>0</v>
      </c>
      <c r="AB1021" s="18">
        <f>IF($A1021&gt;'1-Input'!$B$26,Z1021,Z1021-MIN(MAX(Z1021,0),'P-Parametri'!$B$8*(Z1021+Y1021)))</f>
        <v>223587.90672016068</v>
      </c>
      <c r="AC1021" s="18">
        <f>IF($A1021&gt;'1-Input'!$B$26,AC1020,AC1020-X1021*(1-W1021))</f>
        <v>85095.88111346298</v>
      </c>
      <c r="AD1021" s="11">
        <f>IF($A1021&gt;'1-Input'!$B$26,0,IF(AI1020&lt;=0,0,MAX(0,(AI1020-AJ1020)/AI1020)))</f>
        <v>0.60877374221650693</v>
      </c>
      <c r="AE1021" s="18">
        <f>IF($A1021&gt;'1-Input'!$B$26,0,(MAX(0,AD1001-IF($A1021&gt;='1-Input'!$C$12,'1-Input'!$B$12,0))-MIN(MAX(AH1020,0),MAX(0,AD1001-IF($A1021&gt;='1-Input'!$C$12,'1-Input'!$B$12,0))))*(1/(1-'P-Parametri'!$B$6*AD1021))+MIN(MAX(0,AI1020-(MAX(0,AD1001-IF($A1021&gt;='1-Input'!$C$12,'1-Input'!$B$12,0))-MIN(MAX(AH1020,0),MAX(0,AD1001-IF($A1021&gt;='1-Input'!$C$12,'1-Input'!$B$12,0))))*(1/(1-'P-Parametri'!$B$6*AD1021))),MAX(0,0*AD1001-(AH1020-MIN(MAX(AH1020,0),MAX(0,AD1001-IF($A1021&gt;='1-Input'!$C$12,'1-Input'!$B$12,0)))))*(1/(1-'P-Parametri'!$B$6*AD1021))))</f>
        <v>21819.513174376774</v>
      </c>
      <c r="AF1021" s="18">
        <f>IF($A1021&gt;'1-Input'!$B$26,AH1020,(AH1020-MAX(0,AD1001-IF($A1021&gt;='1-Input'!$C$12,'1-Input'!$B$12,0))+AE1021*(1-'P-Parametri'!$B$6*AD1021))*(1+'1-Input'!$B$27))</f>
        <v>0</v>
      </c>
      <c r="AG1021" s="18">
        <f>IF($A1021&gt;'1-Input'!$B$26,AI1020,(AI1020-AE1021)*(1+'5-Roberta'!$C$4))</f>
        <v>223785.48722374739</v>
      </c>
      <c r="AH1021" s="18">
        <f>IF($A1021&gt;'1-Input'!$B$26,AF1021,AF1021-'P-Parametri'!$B$8*(AG1021+AF1021)+MIN(MAX(AG1021,0),'P-Parametri'!$B$8*(AG1021+AF1021)))</f>
        <v>0</v>
      </c>
      <c r="AI1021" s="18">
        <f>IF($A1021&gt;'1-Input'!$B$26,AG1021,AG1021-MIN(MAX(AG1021,0),'P-Parametri'!$B$8*(AG1021+AF1021)))</f>
        <v>223337.91624929989</v>
      </c>
      <c r="AJ1021" s="18">
        <f>IF($A1021&gt;'1-Input'!$B$26,AJ1020,AJ1020-AE1021*(1-AD1021))</f>
        <v>85000.736614371228</v>
      </c>
      <c r="AK1021" s="11">
        <f>IF($A1021&gt;'1-Input'!$B$26,0,IF(AP1020&lt;=0,0,MAX(0,(AP1020-AQ1020)/AP1020)))</f>
        <v>0.60877374221650726</v>
      </c>
      <c r="AL1021" s="18">
        <f>IF($A1021&gt;'1-Input'!$B$26,0,(MAX(0,AK1001-IF($A1021&gt;='1-Input'!$C$12,'1-Input'!$B$12,0))-MIN(MAX(AO1020,0),MAX(0,AK1001-IF($A1021&gt;='1-Input'!$C$12,'1-Input'!$B$12,0))))*(1/(1-'P-Parametri'!$B$6*AK1021))+MIN(MAX(0,AP1020-(MAX(0,AK1001-IF($A1021&gt;='1-Input'!$C$12,'1-Input'!$B$12,0))-MIN(MAX(AO1020,0),MAX(0,AK1001-IF($A1021&gt;='1-Input'!$C$12,'1-Input'!$B$12,0))))*(1/(1-'P-Parametri'!$B$6*AK1021))),MAX(0,0*AK1001-(AO1020-MIN(MAX(AO1020,0),MAX(0,AK1001-IF($A1021&gt;='1-Input'!$C$12,'1-Input'!$B$12,0)))))*(1/(1-'P-Parametri'!$B$6*AK1021))))</f>
        <v>21817.80250288637</v>
      </c>
      <c r="AM1021" s="18">
        <f>IF($A1021&gt;'1-Input'!$B$26,AO1020,(AO1020-MAX(0,AK1001-IF($A1021&gt;='1-Input'!$C$12,'1-Input'!$B$12,0))+AL1021*(1-'P-Parametri'!$B$6*AK1021))*(1+'1-Input'!$B$27))</f>
        <v>0</v>
      </c>
      <c r="AN1021" s="18">
        <f>IF($A1021&gt;'1-Input'!$B$26,AP1020,(AP1020-AL1021)*(1+'5-Roberta'!$C$4))</f>
        <v>223824.57276341406</v>
      </c>
      <c r="AO1021" s="18">
        <f>IF($A1021&gt;'1-Input'!$B$26,AM1021,AM1021-'P-Parametri'!$B$8*(AN1021+AM1021)+MIN(MAX(AN1021,0),'P-Parametri'!$B$8*(AN1021+AM1021)))</f>
        <v>0</v>
      </c>
      <c r="AP1021" s="18">
        <f>IF($A1021&gt;'1-Input'!$B$26,AN1021,AN1021-MIN(MAX(AN1021,0),'P-Parametri'!$B$8*(AN1021+AM1021)))</f>
        <v>223376.92361788722</v>
      </c>
      <c r="AQ1021" s="18">
        <f>IF($A1021&gt;'1-Input'!$B$26,AQ1020,AQ1020-AL1021*(1-AK1021))</f>
        <v>85015.582526426762</v>
      </c>
    </row>
    <row r="1022" spans="1:43">
      <c r="A1022" s="10">
        <f>19</f>
        <v>19</v>
      </c>
      <c r="B1022" s="11">
        <f>IF($A1022&gt;'1-Input'!$B$26,0,IF(G1021&lt;=0,0,MAX(0,(G1021-H1021)/G1021)))</f>
        <v>0.61940749675711348</v>
      </c>
      <c r="C1022" s="18">
        <f>IF($A1022&gt;'1-Input'!$B$26,0,(MAX(0,B1001-IF($A1022&gt;='1-Input'!$C$12,'1-Input'!$B$12,0))-MIN(MAX(F1021,0),MAX(0,B1001-IF($A1022&gt;='1-Input'!$C$12,'1-Input'!$B$12,0))))*(1/(1-'P-Parametri'!$B$6*B1022))+MIN(MAX(0,G1021-(MAX(0,B1001-IF($A1022&gt;='1-Input'!$C$12,'1-Input'!$B$12,0))-MIN(MAX(F1021,0),MAX(0,B1001-IF($A1022&gt;='1-Input'!$C$12,'1-Input'!$B$12,0))))*(1/(1-'P-Parametri'!$B$6*B1022))),MAX(0,0*B1001-(F1021-MIN(MAX(F1021,0),MAX(0,B1001-IF($A1022&gt;='1-Input'!$C$12,'1-Input'!$B$12,0)))))*(1/(1-'P-Parametri'!$B$6*B1022))))</f>
        <v>19883.15724545499</v>
      </c>
      <c r="D1022" s="18">
        <f>IF($A1022&gt;'1-Input'!$B$26,F1021,(F1021-MAX(0,B1001-IF($A1022&gt;='1-Input'!$C$12,'1-Input'!$B$12,0))+C1022*(1-'P-Parametri'!$B$6*B1022))*(1+'1-Input'!$B$27))</f>
        <v>0</v>
      </c>
      <c r="E1022" s="18">
        <f>IF($A1022&gt;'1-Input'!$B$26,G1021,(G1021-C1022)*(1+'5-Roberta'!$C$4))</f>
        <v>256570.41097520801</v>
      </c>
      <c r="F1022" s="18">
        <f>IF($A1022&gt;'1-Input'!$B$26,D1022,D1022-'P-Parametri'!$B$8*(E1022+D1022)+MIN(MAX(E1022,0),'P-Parametri'!$B$8*(E1022+D1022)))</f>
        <v>0</v>
      </c>
      <c r="G1022" s="18">
        <f>IF($A1022&gt;'1-Input'!$B$26,E1022,E1022-MIN(MAX(E1022,0),'P-Parametri'!$B$8*(E1022+D1022)))</f>
        <v>256057.27015325759</v>
      </c>
      <c r="H1022" s="18">
        <f>IF($A1022&gt;'1-Input'!$B$26,H1021,H1021-C1022*(1-B1022))</f>
        <v>94804.63589428211</v>
      </c>
      <c r="I1022" s="11">
        <f>IF($A1022&gt;'1-Input'!$B$26,0,IF(N1021&lt;=0,0,MAX(0,(N1021-O1021)/N1021)))</f>
        <v>0.6194074967571136</v>
      </c>
      <c r="J1022" s="18">
        <f>IF($A1022&gt;'1-Input'!$B$26,0,(MAX(0,I1001-IF($A1022&gt;='1-Input'!$C$12,'1-Input'!$B$12,0))-MIN(MAX(M1021,0),MAX(0,I1001-IF($A1022&gt;='1-Input'!$C$12,'1-Input'!$B$12,0))))*(1/(1-'P-Parametri'!$B$6*I1022))+MIN(MAX(0,N1021-(MAX(0,I1001-IF($A1022&gt;='1-Input'!$C$12,'1-Input'!$B$12,0))-MIN(MAX(M1021,0),MAX(0,I1001-IF($A1022&gt;='1-Input'!$C$12,'1-Input'!$B$12,0))))*(1/(1-'P-Parametri'!$B$6*I1022))),MAX(0,0*I1001-(M1021-MIN(MAX(M1021,0),MAX(0,I1001-IF($A1022&gt;='1-Input'!$C$12,'1-Input'!$B$12,0)))))*(1/(1-'P-Parametri'!$B$6*I1022))))</f>
        <v>26162.049007177626</v>
      </c>
      <c r="K1022" s="18">
        <f>IF($A1022&gt;'1-Input'!$B$26,M1021,(M1021-MAX(0,I1001-IF($A1022&gt;='1-Input'!$C$12,'1-Input'!$B$12,0))+J1022*(1-'P-Parametri'!$B$6*I1022))*(1+'1-Input'!$B$27))</f>
        <v>0</v>
      </c>
      <c r="L1022" s="18">
        <f>IF($A1022&gt;'1-Input'!$B$26,N1021,(N1021-J1022)*(1+'5-Roberta'!$C$4))</f>
        <v>103118.7024138444</v>
      </c>
      <c r="M1022" s="18">
        <f>IF($A1022&gt;'1-Input'!$B$26,K1022,K1022-'P-Parametri'!$B$8*(L1022+K1022)+MIN(MAX(L1022,0),'P-Parametri'!$B$8*(L1022+K1022)))</f>
        <v>0</v>
      </c>
      <c r="N1022" s="18">
        <f>IF($A1022&gt;'1-Input'!$B$26,L1022,L1022-MIN(MAX(L1022,0),'P-Parametri'!$B$8*(L1022+K1022)))</f>
        <v>102912.46500901671</v>
      </c>
      <c r="O1022" s="18">
        <f>IF($A1022&gt;'1-Input'!$B$26,O1021,O1021-J1022*(1-I1022))</f>
        <v>38103.111730915844</v>
      </c>
      <c r="P1022" s="11">
        <f>IF($A1022&gt;'1-Input'!$B$26,0,IF(U1021&lt;=0,0,MAX(0,(U1021-V1021)/U1021)))</f>
        <v>0.61940749675711337</v>
      </c>
      <c r="Q1022" s="18">
        <f>IF($A1022&gt;'1-Input'!$B$26,0,(MAX(0,P1001-IF($A1022&gt;='1-Input'!$C$12,'1-Input'!$B$12,0))-MIN(MAX(T1021,0),MAX(0,P1001-IF($A1022&gt;='1-Input'!$C$12,'1-Input'!$B$12,0))))*(1/(1-'P-Parametri'!$B$6*P1022))+MIN(MAX(0,U1021-(MAX(0,P1001-IF($A1022&gt;='1-Input'!$C$12,'1-Input'!$B$12,0))-MIN(MAX(T1021,0),MAX(0,P1001-IF($A1022&gt;='1-Input'!$C$12,'1-Input'!$B$12,0))))*(1/(1-'P-Parametri'!$B$6*P1022))),MAX(0,0*P1001-(T1021-MIN(MAX(T1021,0),MAX(0,P1001-IF($A1022&gt;='1-Input'!$C$12,'1-Input'!$B$12,0)))))*(1/(1-'P-Parametri'!$B$6*P1022))))</f>
        <v>22179.256114296186</v>
      </c>
      <c r="R1022" s="18">
        <f>IF($A1022&gt;'1-Input'!$B$26,T1021,(T1021-MAX(0,P1001-IF($A1022&gt;='1-Input'!$C$12,'1-Input'!$B$12,0))+Q1022*(1-'P-Parametri'!$B$6*P1022))*(1+'1-Input'!$B$27))</f>
        <v>0</v>
      </c>
      <c r="S1022" s="18">
        <f>IF($A1022&gt;'1-Input'!$B$26,U1021,(U1021-Q1022)*(1+'5-Roberta'!$C$4))</f>
        <v>200455.36586526802</v>
      </c>
      <c r="T1022" s="18">
        <f>IF($A1022&gt;'1-Input'!$B$26,R1022,R1022-'P-Parametri'!$B$8*(S1022+R1022)+MIN(MAX(S1022,0),'P-Parametri'!$B$8*(S1022+R1022)))</f>
        <v>0</v>
      </c>
      <c r="U1022" s="18">
        <f>IF($A1022&gt;'1-Input'!$B$26,S1022,S1022-MIN(MAX(S1022,0),'P-Parametri'!$B$8*(S1022+R1022)))</f>
        <v>200054.45513353747</v>
      </c>
      <c r="V1022" s="18">
        <f>IF($A1022&gt;'1-Input'!$B$26,V1021,V1021-Q1022*(1-P1022))</f>
        <v>74069.717944787422</v>
      </c>
      <c r="W1022" s="11">
        <f>IF($A1022&gt;'1-Input'!$B$26,0,IF(AB1021&lt;=0,0,MAX(0,(AB1021-AC1021)/AB1021)))</f>
        <v>0.61940749675711348</v>
      </c>
      <c r="X1022" s="18">
        <f>IF($A1022&gt;'1-Input'!$B$26,0,(MAX(0,W1001-IF($A1022&gt;='1-Input'!$C$12,'1-Input'!$B$12,0))-MIN(MAX(AA1021,0),MAX(0,W1001-IF($A1022&gt;='1-Input'!$C$12,'1-Input'!$B$12,0))))*(1/(1-'P-Parametri'!$B$6*W1022))+MIN(MAX(0,AB1021-(MAX(0,W1001-IF($A1022&gt;='1-Input'!$C$12,'1-Input'!$B$12,0))-MIN(MAX(AA1021,0),MAX(0,W1001-IF($A1022&gt;='1-Input'!$C$12,'1-Input'!$B$12,0))))*(1/(1-'P-Parametri'!$B$6*W1022))),MAX(0,0*W1001-(AA1021-MIN(MAX(AA1021,0),MAX(0,W1001-IF($A1022&gt;='1-Input'!$C$12,'1-Input'!$B$12,0)))))*(1/(1-'P-Parametri'!$B$6*W1022))))</f>
        <v>21880.419977540292</v>
      </c>
      <c r="Y1022" s="18">
        <f>IF($A1022&gt;'1-Input'!$B$26,AA1021,(AA1021-MAX(0,W1001-IF($A1022&gt;='1-Input'!$C$12,'1-Input'!$B$12,0))+X1022*(1-'P-Parametri'!$B$6*W1022))*(1+'1-Input'!$B$27))</f>
        <v>0</v>
      </c>
      <c r="Z1022" s="18">
        <f>IF($A1022&gt;'1-Input'!$B$26,AB1021,(AB1021-X1022)*(1+'5-Roberta'!$C$4))</f>
        <v>207758.711344899</v>
      </c>
      <c r="AA1022" s="18">
        <f>IF($A1022&gt;'1-Input'!$B$26,Y1022,Y1022-'P-Parametri'!$B$8*(Z1022+Y1022)+MIN(MAX(Z1022,0),'P-Parametri'!$B$8*(Z1022+Y1022)))</f>
        <v>0</v>
      </c>
      <c r="AB1022" s="18">
        <f>IF($A1022&gt;'1-Input'!$B$26,Z1022,Z1022-MIN(MAX(Z1022,0),'P-Parametri'!$B$8*(Z1022+Y1022)))</f>
        <v>207343.1939222092</v>
      </c>
      <c r="AC1022" s="18">
        <f>IF($A1022&gt;'1-Input'!$B$26,AC1021,AC1021-X1022*(1-W1022))</f>
        <v>76768.357302205259</v>
      </c>
      <c r="AD1022" s="11">
        <f>IF($A1022&gt;'1-Input'!$B$26,0,IF(AI1021&lt;=0,0,MAX(0,(AI1021-AJ1021)/AI1021)))</f>
        <v>0.61940749675711326</v>
      </c>
      <c r="AE1022" s="18">
        <f>IF($A1022&gt;'1-Input'!$B$26,0,(MAX(0,AD1001-IF($A1022&gt;='1-Input'!$C$12,'1-Input'!$B$12,0))-MIN(MAX(AH1021,0),MAX(0,AD1001-IF($A1022&gt;='1-Input'!$C$12,'1-Input'!$B$12,0))))*(1/(1-'P-Parametri'!$B$6*AD1022))+MIN(MAX(0,AI1021-(MAX(0,AD1001-IF($A1022&gt;='1-Input'!$C$12,'1-Input'!$B$12,0))-MIN(MAX(AH1021,0),MAX(0,AD1001-IF($A1022&gt;='1-Input'!$C$12,'1-Input'!$B$12,0))))*(1/(1-'P-Parametri'!$B$6*AD1022))),MAX(0,0*AD1001-(AH1021-MIN(MAX(AH1021,0),MAX(0,AD1001-IF($A1022&gt;='1-Input'!$C$12,'1-Input'!$B$12,0)))))*(1/(1-'P-Parametri'!$B$6*AD1022))))</f>
        <v>21891.419460823872</v>
      </c>
      <c r="AF1022" s="18">
        <f>IF($A1022&gt;'1-Input'!$B$26,AH1021,(AH1021-MAX(0,AD1001-IF($A1022&gt;='1-Input'!$C$12,'1-Input'!$B$12,0))+AE1022*(1-'P-Parametri'!$B$6*AD1022))*(1+'1-Input'!$B$27))</f>
        <v>0</v>
      </c>
      <c r="AG1022" s="18">
        <f>IF($A1022&gt;'1-Input'!$B$26,AI1021,(AI1021-AE1022)*(1+'5-Roberta'!$C$4))</f>
        <v>207489.8916921303</v>
      </c>
      <c r="AH1022" s="18">
        <f>IF($A1022&gt;'1-Input'!$B$26,AF1022,AF1022-'P-Parametri'!$B$8*(AG1022+AF1022)+MIN(MAX(AG1022,0),'P-Parametri'!$B$8*(AG1022+AF1022)))</f>
        <v>0</v>
      </c>
      <c r="AI1022" s="18">
        <f>IF($A1022&gt;'1-Input'!$B$26,AG1022,AG1022-MIN(MAX(AG1022,0),'P-Parametri'!$B$8*(AG1022+AF1022)))</f>
        <v>207074.91190874603</v>
      </c>
      <c r="AJ1022" s="18">
        <f>IF($A1022&gt;'1-Input'!$B$26,AJ1021,AJ1021-AE1022*(1-AD1022))</f>
        <v>76669.026482236222</v>
      </c>
      <c r="AK1022" s="11">
        <f>IF($A1022&gt;'1-Input'!$B$26,0,IF(AP1021&lt;=0,0,MAX(0,(AP1021-AQ1021)/AP1021)))</f>
        <v>0.61940749675711348</v>
      </c>
      <c r="AL1022" s="18">
        <f>IF($A1022&gt;'1-Input'!$B$26,0,(MAX(0,AK1001-IF($A1022&gt;='1-Input'!$C$12,'1-Input'!$B$12,0))-MIN(MAX(AO1021,0),MAX(0,AK1001-IF($A1022&gt;='1-Input'!$C$12,'1-Input'!$B$12,0))))*(1/(1-'P-Parametri'!$B$6*AK1022))+MIN(MAX(0,AP1021-(MAX(0,AK1001-IF($A1022&gt;='1-Input'!$C$12,'1-Input'!$B$12,0))-MIN(MAX(AO1021,0),MAX(0,AK1001-IF($A1022&gt;='1-Input'!$C$12,'1-Input'!$B$12,0))))*(1/(1-'P-Parametri'!$B$6*AK1022))),MAX(0,0*AK1001-(AO1021-MIN(MAX(AO1021,0),MAX(0,AK1001-IF($A1022&gt;='1-Input'!$C$12,'1-Input'!$B$12,0)))))*(1/(1-'P-Parametri'!$B$6*AK1022))))</f>
        <v>21889.703151809237</v>
      </c>
      <c r="AM1022" s="18">
        <f>IF($A1022&gt;'1-Input'!$B$26,AO1021,(AO1021-MAX(0,AK1001-IF($A1022&gt;='1-Input'!$C$12,'1-Input'!$B$12,0))+AL1022*(1-'P-Parametri'!$B$6*AK1022))*(1+'1-Input'!$B$27))</f>
        <v>0</v>
      </c>
      <c r="AN1022" s="18">
        <f>IF($A1022&gt;'1-Input'!$B$26,AP1021,(AP1021-AL1022)*(1+'5-Roberta'!$C$4))</f>
        <v>207531.83708006033</v>
      </c>
      <c r="AO1022" s="18">
        <f>IF($A1022&gt;'1-Input'!$B$26,AM1022,AM1022-'P-Parametri'!$B$8*(AN1022+AM1022)+MIN(MAX(AN1022,0),'P-Parametri'!$B$8*(AN1022+AM1022)))</f>
        <v>0</v>
      </c>
      <c r="AP1022" s="18">
        <f>IF($A1022&gt;'1-Input'!$B$26,AN1022,AN1022-MIN(MAX(AN1022,0),'P-Parametri'!$B$8*(AN1022+AM1022)))</f>
        <v>207116.7734059002</v>
      </c>
      <c r="AQ1022" s="18">
        <f>IF($A1022&gt;'1-Input'!$B$26,AQ1021,AQ1021-AL1022*(1-AK1022))</f>
        <v>76684.525608635988</v>
      </c>
    </row>
    <row r="1023" spans="1:43">
      <c r="A1023" s="10">
        <f>20</f>
        <v>20</v>
      </c>
      <c r="B1023" s="11">
        <f>IF($A1023&gt;'1-Input'!$B$26,0,IF(G1022&lt;=0,0,MAX(0,(G1022-H1022)/G1022)))</f>
        <v>0.62975221973764373</v>
      </c>
      <c r="C1023" s="18">
        <f>IF($A1023&gt;'1-Input'!$B$26,0,(MAX(0,B1001-IF($A1023&gt;='1-Input'!$C$12,'1-Input'!$B$12,0))-MIN(MAX(F1022,0),MAX(0,B1001-IF($A1023&gt;='1-Input'!$C$12,'1-Input'!$B$12,0))))*(1/(1-'P-Parametri'!$B$6*B1023))+MIN(MAX(0,G1022-(MAX(0,B1001-IF($A1023&gt;='1-Input'!$C$12,'1-Input'!$B$12,0))-MIN(MAX(F1022,0),MAX(0,B1001-IF($A1023&gt;='1-Input'!$C$12,'1-Input'!$B$12,0))))*(1/(1-'P-Parametri'!$B$6*B1023))),MAX(0,0*B1001-(F1022-MIN(MAX(F1022,0),MAX(0,B1001-IF($A1023&gt;='1-Input'!$C$12,'1-Input'!$B$12,0)))))*(1/(1-'P-Parametri'!$B$6*B1023))))</f>
        <v>19947.106272216224</v>
      </c>
      <c r="D1023" s="18">
        <f>IF($A1023&gt;'1-Input'!$B$26,F1022,(F1022-MAX(0,B1001-IF($A1023&gt;='1-Input'!$C$12,'1-Input'!$B$12,0))+C1023*(1-'P-Parametri'!$B$6*B1023))*(1+'1-Input'!$B$27))</f>
        <v>0</v>
      </c>
      <c r="E1023" s="18">
        <f>IF($A1023&gt;'1-Input'!$B$26,G1022,(G1022-C1023)*(1+'5-Roberta'!$C$4))</f>
        <v>243193.46879747263</v>
      </c>
      <c r="F1023" s="18">
        <f>IF($A1023&gt;'1-Input'!$B$26,D1023,D1023-'P-Parametri'!$B$8*(E1023+D1023)+MIN(MAX(E1023,0),'P-Parametri'!$B$8*(E1023+D1023)))</f>
        <v>0</v>
      </c>
      <c r="G1023" s="18">
        <f>IF($A1023&gt;'1-Input'!$B$26,E1023,E1023-MIN(MAX(E1023,0),'P-Parametri'!$B$8*(E1023+D1023)))</f>
        <v>242707.08185987768</v>
      </c>
      <c r="H1023" s="18">
        <f>IF($A1023&gt;'1-Input'!$B$26,H1022,H1022-C1023*(1-B1023))</f>
        <v>87419.264074336723</v>
      </c>
      <c r="I1023" s="11">
        <f>IF($A1023&gt;'1-Input'!$B$26,0,IF(N1022&lt;=0,0,MAX(0,(N1022-O1022)/N1022)))</f>
        <v>0.62975221973764373</v>
      </c>
      <c r="J1023" s="18">
        <f>IF($A1023&gt;'1-Input'!$B$26,0,(MAX(0,I1001-IF($A1023&gt;='1-Input'!$C$12,'1-Input'!$B$12,0))-MIN(MAX(M1022,0),MAX(0,I1001-IF($A1023&gt;='1-Input'!$C$12,'1-Input'!$B$12,0))))*(1/(1-'P-Parametri'!$B$6*I1023))+MIN(MAX(0,N1022-(MAX(0,I1001-IF($A1023&gt;='1-Input'!$C$12,'1-Input'!$B$12,0))-MIN(MAX(M1022,0),MAX(0,I1001-IF($A1023&gt;='1-Input'!$C$12,'1-Input'!$B$12,0))))*(1/(1-'P-Parametri'!$B$6*I1023))),MAX(0,0*I1001-(M1022-MIN(MAX(M1022,0),MAX(0,I1001-IF($A1023&gt;='1-Input'!$C$12,'1-Input'!$B$12,0)))))*(1/(1-'P-Parametri'!$B$6*I1023))))</f>
        <v>26246.192463442403</v>
      </c>
      <c r="K1023" s="18">
        <f>IF($A1023&gt;'1-Input'!$B$26,M1022,(M1022-MAX(0,I1001-IF($A1023&gt;='1-Input'!$C$12,'1-Input'!$B$12,0))+J1023*(1-'P-Parametri'!$B$6*I1023))*(1+'1-Input'!$B$27))</f>
        <v>0</v>
      </c>
      <c r="L1023" s="18">
        <f>IF($A1023&gt;'1-Input'!$B$26,N1022,(N1022-J1023)*(1+'5-Roberta'!$C$4))</f>
        <v>78966.260721941537</v>
      </c>
      <c r="M1023" s="18">
        <f>IF($A1023&gt;'1-Input'!$B$26,K1023,K1023-'P-Parametri'!$B$8*(L1023+K1023)+MIN(MAX(L1023,0),'P-Parametri'!$B$8*(L1023+K1023)))</f>
        <v>0</v>
      </c>
      <c r="N1023" s="18">
        <f>IF($A1023&gt;'1-Input'!$B$26,L1023,L1023-MIN(MAX(L1023,0),'P-Parametri'!$B$8*(L1023+K1023)))</f>
        <v>78808.32820049765</v>
      </c>
      <c r="O1023" s="18">
        <f>IF($A1023&gt;'1-Input'!$B$26,O1022,O1022-J1023*(1-I1023))</f>
        <v>28385.517230987709</v>
      </c>
      <c r="P1023" s="11">
        <f>IF($A1023&gt;'1-Input'!$B$26,0,IF(U1022&lt;=0,0,MAX(0,(U1022-V1022)/U1022)))</f>
        <v>0.62975221973764361</v>
      </c>
      <c r="Q1023" s="18">
        <f>IF($A1023&gt;'1-Input'!$B$26,0,(MAX(0,P1001-IF($A1023&gt;='1-Input'!$C$12,'1-Input'!$B$12,0))-MIN(MAX(T1022,0),MAX(0,P1001-IF($A1023&gt;='1-Input'!$C$12,'1-Input'!$B$12,0))))*(1/(1-'P-Parametri'!$B$6*P1023))+MIN(MAX(0,U1022-(MAX(0,P1001-IF($A1023&gt;='1-Input'!$C$12,'1-Input'!$B$12,0))-MIN(MAX(T1022,0),MAX(0,P1001-IF($A1023&gt;='1-Input'!$C$12,'1-Input'!$B$12,0))))*(1/(1-'P-Parametri'!$B$6*P1023))),MAX(0,0*P1001-(T1022-MIN(MAX(T1022,0),MAX(0,P1001-IF($A1023&gt;='1-Input'!$C$12,'1-Input'!$B$12,0)))))*(1/(1-'P-Parametri'!$B$6*P1023))))</f>
        <v>22250.589948520195</v>
      </c>
      <c r="R1023" s="18">
        <f>IF($A1023&gt;'1-Input'!$B$26,T1022,(T1022-MAX(0,P1001-IF($A1023&gt;='1-Input'!$C$12,'1-Input'!$B$12,0))+Q1023*(1-'P-Parametri'!$B$6*P1023))*(1+'1-Input'!$B$27))</f>
        <v>-3.6248820833861826E-12</v>
      </c>
      <c r="S1023" s="18">
        <f>IF($A1023&gt;'1-Input'!$B$26,U1022,(U1022-Q1023)*(1+'5-Roberta'!$C$4))</f>
        <v>183137.9811405678</v>
      </c>
      <c r="T1023" s="18">
        <f>IF($A1023&gt;'1-Input'!$B$26,R1023,R1023-'P-Parametri'!$B$8*(S1023+R1023)+MIN(MAX(S1023,0),'P-Parametri'!$B$8*(S1023+R1023)))</f>
        <v>-3.637978807091713E-12</v>
      </c>
      <c r="U1023" s="18">
        <f>IF($A1023&gt;'1-Input'!$B$26,S1023,S1023-MIN(MAX(S1023,0),'P-Parametri'!$B$8*(S1023+R1023)))</f>
        <v>182771.70517828668</v>
      </c>
      <c r="V1023" s="18">
        <f>IF($A1023&gt;'1-Input'!$B$26,V1022,V1022-Q1023*(1-P1023))</f>
        <v>65831.486406819924</v>
      </c>
      <c r="W1023" s="11">
        <f>IF($A1023&gt;'1-Input'!$B$26,0,IF(AB1022&lt;=0,0,MAX(0,(AB1022-AC1022)/AB1022)))</f>
        <v>0.62975221973764361</v>
      </c>
      <c r="X1023" s="18">
        <f>IF($A1023&gt;'1-Input'!$B$26,0,(MAX(0,W1001-IF($A1023&gt;='1-Input'!$C$12,'1-Input'!$B$12,0))-MIN(MAX(AA1022,0),MAX(0,W1001-IF($A1023&gt;='1-Input'!$C$12,'1-Input'!$B$12,0))))*(1/(1-'P-Parametri'!$B$6*W1023))+MIN(MAX(0,AB1022-(MAX(0,W1001-IF($A1023&gt;='1-Input'!$C$12,'1-Input'!$B$12,0))-MIN(MAX(AA1022,0),MAX(0,W1001-IF($A1023&gt;='1-Input'!$C$12,'1-Input'!$B$12,0))))*(1/(1-'P-Parametri'!$B$6*W1023))),MAX(0,0*W1001-(AA1022-MIN(MAX(AA1022,0),MAX(0,W1001-IF($A1023&gt;='1-Input'!$C$12,'1-Input'!$B$12,0)))))*(1/(1-'P-Parametri'!$B$6*W1023))))</f>
        <v>21950.792682710671</v>
      </c>
      <c r="Y1023" s="18">
        <f>IF($A1023&gt;'1-Input'!$B$26,AA1022,(AA1022-MAX(0,W1001-IF($A1023&gt;='1-Input'!$C$12,'1-Input'!$B$12,0))+X1023*(1-'P-Parametri'!$B$6*W1023))*(1+'1-Input'!$B$27))</f>
        <v>0</v>
      </c>
      <c r="Z1023" s="18">
        <f>IF($A1023&gt;'1-Input'!$B$26,AB1022,(AB1022-X1023)*(1+'5-Roberta'!$C$4))</f>
        <v>190954.17327668349</v>
      </c>
      <c r="AA1023" s="18">
        <f>IF($A1023&gt;'1-Input'!$B$26,Y1023,Y1023-'P-Parametri'!$B$8*(Z1023+Y1023)+MIN(MAX(Z1023,0),'P-Parametri'!$B$8*(Z1023+Y1023)))</f>
        <v>0</v>
      </c>
      <c r="AB1023" s="18">
        <f>IF($A1023&gt;'1-Input'!$B$26,Z1023,Z1023-MIN(MAX(Z1023,0),'P-Parametri'!$B$8*(Z1023+Y1023)))</f>
        <v>190572.26493013013</v>
      </c>
      <c r="AC1023" s="18">
        <f>IF($A1023&gt;'1-Input'!$B$26,AC1022,AC1022-X1023*(1-W1023))</f>
        <v>68641.125036432451</v>
      </c>
      <c r="AD1023" s="11">
        <f>IF($A1023&gt;'1-Input'!$B$26,0,IF(AI1022&lt;=0,0,MAX(0,(AI1022-AJ1022)/AI1022)))</f>
        <v>0.6297522197376435</v>
      </c>
      <c r="AE1023" s="18">
        <f>IF($A1023&gt;'1-Input'!$B$26,0,(MAX(0,AD1001-IF($A1023&gt;='1-Input'!$C$12,'1-Input'!$B$12,0))-MIN(MAX(AH1022,0),MAX(0,AD1001-IF($A1023&gt;='1-Input'!$C$12,'1-Input'!$B$12,0))))*(1/(1-'P-Parametri'!$B$6*AD1023))+MIN(MAX(0,AI1022-(MAX(0,AD1001-IF($A1023&gt;='1-Input'!$C$12,'1-Input'!$B$12,0))-MIN(MAX(AH1022,0),MAX(0,AD1001-IF($A1023&gt;='1-Input'!$C$12,'1-Input'!$B$12,0))))*(1/(1-'P-Parametri'!$B$6*AD1023))),MAX(0,0*AD1001-(AH1022-MIN(MAX(AH1022,0),MAX(0,AD1001-IF($A1023&gt;='1-Input'!$C$12,'1-Input'!$B$12,0)))))*(1/(1-'P-Parametri'!$B$6*AD1023))))</f>
        <v>21961.82754298404</v>
      </c>
      <c r="AF1023" s="18">
        <f>IF($A1023&gt;'1-Input'!$B$26,AH1022,(AH1022-MAX(0,AD1001-IF($A1023&gt;='1-Input'!$C$12,'1-Input'!$B$12,0))+AE1023*(1-'P-Parametri'!$B$6*AD1023))*(1+'1-Input'!$B$27))</f>
        <v>-3.6248820833861826E-12</v>
      </c>
      <c r="AG1023" s="18">
        <f>IF($A1023&gt;'1-Input'!$B$26,AI1022,(AI1022-AE1023)*(1+'5-Roberta'!$C$4))</f>
        <v>190666.47689673485</v>
      </c>
      <c r="AH1023" s="18">
        <f>IF($A1023&gt;'1-Input'!$B$26,AF1023,AF1023-'P-Parametri'!$B$8*(AG1023+AF1023)+MIN(MAX(AG1023,0),'P-Parametri'!$B$8*(AG1023+AF1023)))</f>
        <v>-3.637978807091713E-12</v>
      </c>
      <c r="AI1023" s="18">
        <f>IF($A1023&gt;'1-Input'!$B$26,AG1023,AG1023-MIN(MAX(AG1023,0),'P-Parametri'!$B$8*(AG1023+AF1023)))</f>
        <v>190285.14394294139</v>
      </c>
      <c r="AJ1023" s="18">
        <f>IF($A1023&gt;'1-Input'!$B$26,AJ1022,AJ1022-AE1023*(1-AD1023))</f>
        <v>68537.708583941698</v>
      </c>
      <c r="AK1023" s="11">
        <f>IF($A1023&gt;'1-Input'!$B$26,0,IF(AP1022&lt;=0,0,MAX(0,(AP1022-AQ1022)/AP1022)))</f>
        <v>0.62975221973764361</v>
      </c>
      <c r="AL1023" s="18">
        <f>IF($A1023&gt;'1-Input'!$B$26,0,(MAX(0,AK1001-IF($A1023&gt;='1-Input'!$C$12,'1-Input'!$B$12,0))-MIN(MAX(AO1022,0),MAX(0,AK1001-IF($A1023&gt;='1-Input'!$C$12,'1-Input'!$B$12,0))))*(1/(1-'P-Parametri'!$B$6*AK1023))+MIN(MAX(0,AP1022-(MAX(0,AK1001-IF($A1023&gt;='1-Input'!$C$12,'1-Input'!$B$12,0))-MIN(MAX(AO1022,0),MAX(0,AK1001-IF($A1023&gt;='1-Input'!$C$12,'1-Input'!$B$12,0))))*(1/(1-'P-Parametri'!$B$6*AK1023))),MAX(0,0*AK1001-(AO1022-MIN(MAX(AO1022,0),MAX(0,AK1001-IF($A1023&gt;='1-Input'!$C$12,'1-Input'!$B$12,0)))))*(1/(1-'P-Parametri'!$B$6*AK1023))))</f>
        <v>21960.105713905879</v>
      </c>
      <c r="AM1023" s="18">
        <f>IF($A1023&gt;'1-Input'!$B$26,AO1022,(AO1022-MAX(0,AK1001-IF($A1023&gt;='1-Input'!$C$12,'1-Input'!$B$12,0))+AL1023*(1-'P-Parametri'!$B$6*AK1023))*(1+'1-Input'!$B$27))</f>
        <v>0</v>
      </c>
      <c r="AN1023" s="18">
        <f>IF($A1023&gt;'1-Input'!$B$26,AP1022,(AP1022-AL1023)*(1+'5-Roberta'!$C$4))</f>
        <v>190711.36772275413</v>
      </c>
      <c r="AO1023" s="18">
        <f>IF($A1023&gt;'1-Input'!$B$26,AM1023,AM1023-'P-Parametri'!$B$8*(AN1023+AM1023)+MIN(MAX(AN1023,0),'P-Parametri'!$B$8*(AN1023+AM1023)))</f>
        <v>0</v>
      </c>
      <c r="AP1023" s="18">
        <f>IF($A1023&gt;'1-Input'!$B$26,AN1023,AN1023-MIN(MAX(AN1023,0),'P-Parametri'!$B$8*(AN1023+AM1023)))</f>
        <v>190329.94498730861</v>
      </c>
      <c r="AQ1023" s="18">
        <f>IF($A1023&gt;'1-Input'!$B$26,AQ1022,AQ1022-AL1023*(1-AK1023))</f>
        <v>68553.845213735651</v>
      </c>
    </row>
    <row r="1024" spans="1:43">
      <c r="A1024" s="10">
        <f>21</f>
        <v>21</v>
      </c>
      <c r="B1024" s="11">
        <f>IF($A1024&gt;'1-Input'!$B$26,0,IF(G1023&lt;=0,0,MAX(0,(G1023-H1023)/G1023)))</f>
        <v>0.63981576720201927</v>
      </c>
      <c r="C1024" s="18">
        <f>IF($A1024&gt;'1-Input'!$B$26,0,(MAX(0,B1001-IF($A1024&gt;='1-Input'!$C$12,'1-Input'!$B$12,0))-MIN(MAX(F1023,0),MAX(0,B1001-IF($A1024&gt;='1-Input'!$C$12,'1-Input'!$B$12,0))))*(1/(1-'P-Parametri'!$B$6*B1024))+MIN(MAX(0,G1023-(MAX(0,B1001-IF($A1024&gt;='1-Input'!$C$12,'1-Input'!$B$12,0))-MIN(MAX(F1023,0),MAX(0,B1001-IF($A1024&gt;='1-Input'!$C$12,'1-Input'!$B$12,0))))*(1/(1-'P-Parametri'!$B$6*B1024))),MAX(0,0*B1001-(F1023-MIN(MAX(F1023,0),MAX(0,B1001-IF($A1024&gt;='1-Input'!$C$12,'1-Input'!$B$12,0)))))*(1/(1-'P-Parametri'!$B$6*B1024))))</f>
        <v>20009.713098385037</v>
      </c>
      <c r="D1024" s="18">
        <f>IF($A1024&gt;'1-Input'!$B$26,F1023,(F1023-MAX(0,B1001-IF($A1024&gt;='1-Input'!$C$12,'1-Input'!$B$12,0))+C1024*(1-'P-Parametri'!$B$6*B1024))*(1+'1-Input'!$B$27))</f>
        <v>0</v>
      </c>
      <c r="E1024" s="18">
        <f>IF($A1024&gt;'1-Input'!$B$26,G1023,(G1023-C1024)*(1+'5-Roberta'!$C$4))</f>
        <v>229378.28982433744</v>
      </c>
      <c r="F1024" s="18">
        <f>IF($A1024&gt;'1-Input'!$B$26,D1024,D1024-'P-Parametri'!$B$8*(E1024+D1024)+MIN(MAX(E1024,0),'P-Parametri'!$B$8*(E1024+D1024)))</f>
        <v>0</v>
      </c>
      <c r="G1024" s="18">
        <f>IF($A1024&gt;'1-Input'!$B$26,E1024,E1024-MIN(MAX(E1024,0),'P-Parametri'!$B$8*(E1024+D1024)))</f>
        <v>228919.53324468876</v>
      </c>
      <c r="H1024" s="18">
        <f>IF($A1024&gt;'1-Input'!$B$26,H1023,H1023-C1024*(1-B1024))</f>
        <v>80212.080913487196</v>
      </c>
      <c r="I1024" s="11">
        <f>IF($A1024&gt;'1-Input'!$B$26,0,IF(N1023&lt;=0,0,MAX(0,(N1023-O1023)/N1023)))</f>
        <v>0.63981576720201938</v>
      </c>
      <c r="J1024" s="18">
        <f>IF($A1024&gt;'1-Input'!$B$26,0,(MAX(0,I1001-IF($A1024&gt;='1-Input'!$C$12,'1-Input'!$B$12,0))-MIN(MAX(M1023,0),MAX(0,I1001-IF($A1024&gt;='1-Input'!$C$12,'1-Input'!$B$12,0))))*(1/(1-'P-Parametri'!$B$6*I1024))+MIN(MAX(0,N1023-(MAX(0,I1001-IF($A1024&gt;='1-Input'!$C$12,'1-Input'!$B$12,0))-MIN(MAX(M1023,0),MAX(0,I1001-IF($A1024&gt;='1-Input'!$C$12,'1-Input'!$B$12,0))))*(1/(1-'P-Parametri'!$B$6*I1024))),MAX(0,0*I1001-(M1023-MIN(MAX(M1023,0),MAX(0,I1001-IF($A1024&gt;='1-Input'!$C$12,'1-Input'!$B$12,0)))))*(1/(1-'P-Parametri'!$B$6*I1024))))</f>
        <v>26328.569866296104</v>
      </c>
      <c r="K1024" s="18">
        <f>IF($A1024&gt;'1-Input'!$B$26,M1023,(M1023-MAX(0,I1001-IF($A1024&gt;='1-Input'!$C$12,'1-Input'!$B$12,0))+J1024*(1-'P-Parametri'!$B$6*I1024))*(1+'1-Input'!$B$27))</f>
        <v>-3.6248820833861826E-12</v>
      </c>
      <c r="L1024" s="18">
        <f>IF($A1024&gt;'1-Input'!$B$26,N1023,(N1023-J1024)*(1+'5-Roberta'!$C$4))</f>
        <v>54054.151084227589</v>
      </c>
      <c r="M1024" s="18">
        <f>IF($A1024&gt;'1-Input'!$B$26,K1024,K1024-'P-Parametri'!$B$8*(L1024+K1024)+MIN(MAX(L1024,0),'P-Parametri'!$B$8*(L1024+K1024)))</f>
        <v>-3.6237679523765109E-12</v>
      </c>
      <c r="N1024" s="18">
        <f>IF($A1024&gt;'1-Input'!$B$26,L1024,L1024-MIN(MAX(L1024,0),'P-Parametri'!$B$8*(L1024+K1024)))</f>
        <v>53946.042782059136</v>
      </c>
      <c r="O1024" s="18">
        <f>IF($A1024&gt;'1-Input'!$B$26,O1023,O1023-J1024*(1-I1024))</f>
        <v>18902.381493027817</v>
      </c>
      <c r="P1024" s="11">
        <f>IF($A1024&gt;'1-Input'!$B$26,0,IF(U1023&lt;=0,0,MAX(0,(U1023-V1023)/U1023)))</f>
        <v>0.63981576720201916</v>
      </c>
      <c r="Q1024" s="18">
        <f>IF($A1024&gt;'1-Input'!$B$26,0,(MAX(0,P1001-IF($A1024&gt;='1-Input'!$C$12,'1-Input'!$B$12,0))-MIN(MAX(T1023,0),MAX(0,P1001-IF($A1024&gt;='1-Input'!$C$12,'1-Input'!$B$12,0))))*(1/(1-'P-Parametri'!$B$6*P1024))+MIN(MAX(0,U1023-(MAX(0,P1001-IF($A1024&gt;='1-Input'!$C$12,'1-Input'!$B$12,0))-MIN(MAX(T1023,0),MAX(0,P1001-IF($A1024&gt;='1-Input'!$C$12,'1-Input'!$B$12,0))))*(1/(1-'P-Parametri'!$B$6*P1024))),MAX(0,0*P1001-(T1023-MIN(MAX(T1023,0),MAX(0,P1001-IF($A1024&gt;='1-Input'!$C$12,'1-Input'!$B$12,0)))))*(1/(1-'P-Parametri'!$B$6*P1024))))</f>
        <v>22320.42658537619</v>
      </c>
      <c r="R1024" s="18">
        <f>IF($A1024&gt;'1-Input'!$B$26,T1023,(T1023-MAX(0,P1001-IF($A1024&gt;='1-Input'!$C$12,'1-Input'!$B$12,0))+Q1024*(1-'P-Parametri'!$B$6*P1024))*(1+'1-Input'!$B$27))</f>
        <v>0</v>
      </c>
      <c r="S1024" s="18">
        <f>IF($A1024&gt;'1-Input'!$B$26,U1023,(U1023-Q1024)*(1+'5-Roberta'!$C$4))</f>
        <v>165264.81695069783</v>
      </c>
      <c r="T1024" s="18">
        <f>IF($A1024&gt;'1-Input'!$B$26,R1024,R1024-'P-Parametri'!$B$8*(S1024+R1024)+MIN(MAX(S1024,0),'P-Parametri'!$B$8*(S1024+R1024)))</f>
        <v>0</v>
      </c>
      <c r="U1024" s="18">
        <f>IF($A1024&gt;'1-Input'!$B$26,S1024,S1024-MIN(MAX(S1024,0),'P-Parametri'!$B$8*(S1024+R1024)))</f>
        <v>164934.28731679643</v>
      </c>
      <c r="V1024" s="18">
        <f>IF($A1024&gt;'1-Input'!$B$26,V1023,V1023-Q1024*(1-P1024))</f>
        <v>57792.020681442547</v>
      </c>
      <c r="W1024" s="11">
        <f>IF($A1024&gt;'1-Input'!$B$26,0,IF(AB1023&lt;=0,0,MAX(0,(AB1023-AC1023)/AB1023)))</f>
        <v>0.63981576720201927</v>
      </c>
      <c r="X1024" s="18">
        <f>IF($A1024&gt;'1-Input'!$B$26,0,(MAX(0,W1001-IF($A1024&gt;='1-Input'!$C$12,'1-Input'!$B$12,0))-MIN(MAX(AA1023,0),MAX(0,W1001-IF($A1024&gt;='1-Input'!$C$12,'1-Input'!$B$12,0))))*(1/(1-'P-Parametri'!$B$6*W1024))+MIN(MAX(0,AB1023-(MAX(0,W1001-IF($A1024&gt;='1-Input'!$C$12,'1-Input'!$B$12,0))-MIN(MAX(AA1023,0),MAX(0,W1001-IF($A1024&gt;='1-Input'!$C$12,'1-Input'!$B$12,0))))*(1/(1-'P-Parametri'!$B$6*W1024))),MAX(0,0*W1001-(AA1023-MIN(MAX(AA1023,0),MAX(0,W1001-IF($A1024&gt;='1-Input'!$C$12,'1-Input'!$B$12,0)))))*(1/(1-'P-Parametri'!$B$6*W1024))))</f>
        <v>22019.688363267025</v>
      </c>
      <c r="Y1024" s="18">
        <f>IF($A1024&gt;'1-Input'!$B$26,AA1023,(AA1023-MAX(0,W1001-IF($A1024&gt;='1-Input'!$C$12,'1-Input'!$B$12,0))+X1024*(1-'P-Parametri'!$B$6*W1024))*(1+'1-Input'!$B$27))</f>
        <v>0</v>
      </c>
      <c r="Z1024" s="18">
        <f>IF($A1024&gt;'1-Input'!$B$26,AB1023,(AB1023-X1024)*(1+'5-Roberta'!$C$4))</f>
        <v>173609.153863869</v>
      </c>
      <c r="AA1024" s="18">
        <f>IF($A1024&gt;'1-Input'!$B$26,Y1024,Y1024-'P-Parametri'!$B$8*(Z1024+Y1024)+MIN(MAX(Z1024,0),'P-Parametri'!$B$8*(Z1024+Y1024)))</f>
        <v>0</v>
      </c>
      <c r="AB1024" s="18">
        <f>IF($A1024&gt;'1-Input'!$B$26,Z1024,Z1024-MIN(MAX(Z1024,0),'P-Parametri'!$B$8*(Z1024+Y1024)))</f>
        <v>173261.93555614125</v>
      </c>
      <c r="AC1024" s="18">
        <f>IF($A1024&gt;'1-Input'!$B$26,AC1023,AC1023-X1024*(1-W1024))</f>
        <v>60709.980476858495</v>
      </c>
      <c r="AD1024" s="11">
        <f>IF($A1024&gt;'1-Input'!$B$26,0,IF(AI1023&lt;=0,0,MAX(0,(AI1023-AJ1023)/AI1023)))</f>
        <v>0.63981576720201916</v>
      </c>
      <c r="AE1024" s="18">
        <f>IF($A1024&gt;'1-Input'!$B$26,0,(MAX(0,AD1001-IF($A1024&gt;='1-Input'!$C$12,'1-Input'!$B$12,0))-MIN(MAX(AH1023,0),MAX(0,AD1001-IF($A1024&gt;='1-Input'!$C$12,'1-Input'!$B$12,0))))*(1/(1-'P-Parametri'!$B$6*AD1024))+MIN(MAX(0,AI1023-(MAX(0,AD1001-IF($A1024&gt;='1-Input'!$C$12,'1-Input'!$B$12,0))-MIN(MAX(AH1023,0),MAX(0,AD1001-IF($A1024&gt;='1-Input'!$C$12,'1-Input'!$B$12,0))))*(1/(1-'P-Parametri'!$B$6*AD1024))),MAX(0,0*AD1001-(AH1023-MIN(MAX(AH1023,0),MAX(0,AD1001-IF($A1024&gt;='1-Input'!$C$12,'1-Input'!$B$12,0)))))*(1/(1-'P-Parametri'!$B$6*AD1024))))</f>
        <v>22030.75785801667</v>
      </c>
      <c r="AF1024" s="18">
        <f>IF($A1024&gt;'1-Input'!$B$26,AH1023,(AH1023-MAX(0,AD1001-IF($A1024&gt;='1-Input'!$C$12,'1-Input'!$B$12,0))+AE1024*(1-'P-Parametri'!$B$6*AD1024))*(1+'1-Input'!$B$27))</f>
        <v>0</v>
      </c>
      <c r="AG1024" s="18">
        <f>IF($A1024&gt;'1-Input'!$B$26,AI1023,(AI1023-AE1024)*(1+'5-Roberta'!$C$4))</f>
        <v>173302.01766747245</v>
      </c>
      <c r="AH1024" s="18">
        <f>IF($A1024&gt;'1-Input'!$B$26,AF1024,AF1024-'P-Parametri'!$B$8*(AG1024+AF1024)+MIN(MAX(AG1024,0),'P-Parametri'!$B$8*(AG1024+AF1024)))</f>
        <v>0</v>
      </c>
      <c r="AI1024" s="18">
        <f>IF($A1024&gt;'1-Input'!$B$26,AG1024,AG1024-MIN(MAX(AG1024,0),'P-Parametri'!$B$8*(AG1024+AF1024)))</f>
        <v>172955.4136321375</v>
      </c>
      <c r="AJ1024" s="18">
        <f>IF($A1024&gt;'1-Input'!$B$26,AJ1023,AJ1023-AE1024*(1-AD1024))</f>
        <v>60602.576966893874</v>
      </c>
      <c r="AK1024" s="11">
        <f>IF($A1024&gt;'1-Input'!$B$26,0,IF(AP1023&lt;=0,0,MAX(0,(AP1023-AQ1023)/AP1023)))</f>
        <v>0.63981576720201916</v>
      </c>
      <c r="AL1024" s="18">
        <f>IF($A1024&gt;'1-Input'!$B$26,0,(MAX(0,AK1001-IF($A1024&gt;='1-Input'!$C$12,'1-Input'!$B$12,0))-MIN(MAX(AO1023,0),MAX(0,AK1001-IF($A1024&gt;='1-Input'!$C$12,'1-Input'!$B$12,0))))*(1/(1-'P-Parametri'!$B$6*AK1024))+MIN(MAX(0,AP1023-(MAX(0,AK1001-IF($A1024&gt;='1-Input'!$C$12,'1-Input'!$B$12,0))-MIN(MAX(AO1023,0),MAX(0,AK1001-IF($A1024&gt;='1-Input'!$C$12,'1-Input'!$B$12,0))))*(1/(1-'P-Parametri'!$B$6*AK1024))),MAX(0,0*AK1001-(AO1023-MIN(MAX(AO1023,0),MAX(0,AK1001-IF($A1024&gt;='1-Input'!$C$12,'1-Input'!$B$12,0)))))*(1/(1-'P-Parametri'!$B$6*AK1024))))</f>
        <v>22029.03062473339</v>
      </c>
      <c r="AM1024" s="18">
        <f>IF($A1024&gt;'1-Input'!$B$26,AO1023,(AO1023-MAX(0,AK1001-IF($A1024&gt;='1-Input'!$C$12,'1-Input'!$B$12,0))+AL1024*(1-'P-Parametri'!$B$6*AK1024))*(1+'1-Input'!$B$27))</f>
        <v>3.6248820833861826E-12</v>
      </c>
      <c r="AN1024" s="18">
        <f>IF($A1024&gt;'1-Input'!$B$26,AP1023,(AP1023-AL1024)*(1+'5-Roberta'!$C$4))</f>
        <v>173349.94179345248</v>
      </c>
      <c r="AO1024" s="18">
        <f>IF($A1024&gt;'1-Input'!$B$26,AM1024,AM1024-'P-Parametri'!$B$8*(AN1024+AM1024)+MIN(MAX(AN1024,0),'P-Parametri'!$B$8*(AN1024+AM1024)))</f>
        <v>3.637978807091713E-12</v>
      </c>
      <c r="AP1024" s="18">
        <f>IF($A1024&gt;'1-Input'!$B$26,AN1024,AN1024-MIN(MAX(AN1024,0),'P-Parametri'!$B$8*(AN1024+AM1024)))</f>
        <v>173003.24190986558</v>
      </c>
      <c r="AQ1024" s="18">
        <f>IF($A1024&gt;'1-Input'!$B$26,AQ1023,AQ1023-AL1024*(1-AK1024))</f>
        <v>60619.33571888283</v>
      </c>
    </row>
    <row r="1025" spans="1:43">
      <c r="A1025" s="10">
        <f>22</f>
        <v>22</v>
      </c>
      <c r="B1025" s="11">
        <f>IF($A1025&gt;'1-Input'!$B$26,0,IF(G1024&lt;=0,0,MAX(0,(G1024-H1024)/G1024)))</f>
        <v>0.64960578166237282</v>
      </c>
      <c r="C1025" s="18">
        <f>IF($A1025&gt;'1-Input'!$B$26,0,(MAX(0,B1001-IF($A1025&gt;='1-Input'!$C$12,'1-Input'!$B$12,0))-MIN(MAX(F1024,0),MAX(0,B1001-IF($A1025&gt;='1-Input'!$C$12,'1-Input'!$B$12,0))))*(1/(1-'P-Parametri'!$B$6*B1025))+MIN(MAX(0,G1024-(MAX(0,B1001-IF($A1025&gt;='1-Input'!$C$12,'1-Input'!$B$12,0))-MIN(MAX(F1024,0),MAX(0,B1001-IF($A1025&gt;='1-Input'!$C$12,'1-Input'!$B$12,0))))*(1/(1-'P-Parametri'!$B$6*B1025))),MAX(0,0*B1001-(F1024-MIN(MAX(F1024,0),MAX(0,B1001-IF($A1025&gt;='1-Input'!$C$12,'1-Input'!$B$12,0)))))*(1/(1-'P-Parametri'!$B$6*B1025))))</f>
        <v>20070.996513065016</v>
      </c>
      <c r="D1025" s="18">
        <f>IF($A1025&gt;'1-Input'!$B$26,F1024,(F1024-MAX(0,B1001-IF($A1025&gt;='1-Input'!$C$12,'1-Input'!$B$12,0))+C1025*(1-'P-Parametri'!$B$6*B1025))*(1+'1-Input'!$B$27))</f>
        <v>0</v>
      </c>
      <c r="E1025" s="18">
        <f>IF($A1025&gt;'1-Input'!$B$26,G1024,(G1024-C1025)*(1+'5-Roberta'!$C$4))</f>
        <v>215113.99283357247</v>
      </c>
      <c r="F1025" s="18">
        <f>IF($A1025&gt;'1-Input'!$B$26,D1025,D1025-'P-Parametri'!$B$8*(E1025+D1025)+MIN(MAX(E1025,0),'P-Parametri'!$B$8*(E1025+D1025)))</f>
        <v>0</v>
      </c>
      <c r="G1025" s="18">
        <f>IF($A1025&gt;'1-Input'!$B$26,E1025,E1025-MIN(MAX(E1025,0),'P-Parametri'!$B$8*(E1025+D1025)))</f>
        <v>214683.76484790532</v>
      </c>
      <c r="H1025" s="18">
        <f>IF($A1025&gt;'1-Input'!$B$26,H1024,H1024-C1025*(1-B1025))</f>
        <v>73179.319779034544</v>
      </c>
      <c r="I1025" s="11">
        <f>IF($A1025&gt;'1-Input'!$B$26,0,IF(N1024&lt;=0,0,MAX(0,(N1024-O1024)/N1024)))</f>
        <v>0.64960578166237259</v>
      </c>
      <c r="J1025" s="18">
        <f>IF($A1025&gt;'1-Input'!$B$26,0,(MAX(0,I1001-IF($A1025&gt;='1-Input'!$C$12,'1-Input'!$B$12,0))-MIN(MAX(M1024,0),MAX(0,I1001-IF($A1025&gt;='1-Input'!$C$12,'1-Input'!$B$12,0))))*(1/(1-'P-Parametri'!$B$6*I1025))+MIN(MAX(0,N1024-(MAX(0,I1001-IF($A1025&gt;='1-Input'!$C$12,'1-Input'!$B$12,0))-MIN(MAX(M1024,0),MAX(0,I1001-IF($A1025&gt;='1-Input'!$C$12,'1-Input'!$B$12,0))))*(1/(1-'P-Parametri'!$B$6*I1025))),MAX(0,0*I1001-(M1024-MIN(MAX(M1024,0),MAX(0,I1001-IF($A1025&gt;='1-Input'!$C$12,'1-Input'!$B$12,0)))))*(1/(1-'P-Parametri'!$B$6*I1025))))</f>
        <v>26409.205938243449</v>
      </c>
      <c r="K1025" s="18">
        <f>IF($A1025&gt;'1-Input'!$B$26,M1024,(M1024-MAX(0,I1001-IF($A1025&gt;='1-Input'!$C$12,'1-Input'!$B$12,0))+J1025*(1-'P-Parametri'!$B$6*I1025))*(1+'1-Input'!$B$27))</f>
        <v>0</v>
      </c>
      <c r="L1025" s="18">
        <f>IF($A1025&gt;'1-Input'!$B$26,N1024,(N1024-J1025)*(1+'5-Roberta'!$C$4))</f>
        <v>28362.94194913016</v>
      </c>
      <c r="M1025" s="18">
        <f>IF($A1025&gt;'1-Input'!$B$26,K1025,K1025-'P-Parametri'!$B$8*(L1025+K1025)+MIN(MAX(L1025,0),'P-Parametri'!$B$8*(L1025+K1025)))</f>
        <v>0</v>
      </c>
      <c r="N1025" s="18">
        <f>IF($A1025&gt;'1-Input'!$B$26,L1025,L1025-MIN(MAX(L1025,0),'P-Parametri'!$B$8*(L1025+K1025)))</f>
        <v>28306.2160652319</v>
      </c>
      <c r="O1025" s="18">
        <f>IF($A1025&gt;'1-Input'!$B$26,O1024,O1024-J1025*(1-I1025))</f>
        <v>9648.748421379576</v>
      </c>
      <c r="P1025" s="11">
        <f>IF($A1025&gt;'1-Input'!$B$26,0,IF(U1024&lt;=0,0,MAX(0,(U1024-V1024)/U1024)))</f>
        <v>0.64960578166237248</v>
      </c>
      <c r="Q1025" s="18">
        <f>IF($A1025&gt;'1-Input'!$B$26,0,(MAX(0,P1001-IF($A1025&gt;='1-Input'!$C$12,'1-Input'!$B$12,0))-MIN(MAX(T1024,0),MAX(0,P1001-IF($A1025&gt;='1-Input'!$C$12,'1-Input'!$B$12,0))))*(1/(1-'P-Parametri'!$B$6*P1025))+MIN(MAX(0,U1024-(MAX(0,P1001-IF($A1025&gt;='1-Input'!$C$12,'1-Input'!$B$12,0))-MIN(MAX(T1024,0),MAX(0,P1001-IF($A1025&gt;='1-Input'!$C$12,'1-Input'!$B$12,0))))*(1/(1-'P-Parametri'!$B$6*P1025))),MAX(0,0*P1001-(T1024-MIN(MAX(T1024,0),MAX(0,P1001-IF($A1025&gt;='1-Input'!$C$12,'1-Input'!$B$12,0)))))*(1/(1-'P-Parametri'!$B$6*P1025))))</f>
        <v>22388.786983725731</v>
      </c>
      <c r="R1025" s="18">
        <f>IF($A1025&gt;'1-Input'!$B$26,T1024,(T1024-MAX(0,P1001-IF($A1025&gt;='1-Input'!$C$12,'1-Input'!$B$12,0))+Q1025*(1-'P-Parametri'!$B$6*P1025))*(1+'1-Input'!$B$27))</f>
        <v>3.6248820833861826E-12</v>
      </c>
      <c r="S1025" s="18">
        <f>IF($A1025&gt;'1-Input'!$B$26,U1024,(U1024-Q1025)*(1+'5-Roberta'!$C$4))</f>
        <v>146821.86534306282</v>
      </c>
      <c r="T1025" s="18">
        <f>IF($A1025&gt;'1-Input'!$B$26,R1025,R1025-'P-Parametri'!$B$8*(S1025+R1025)+MIN(MAX(S1025,0),'P-Parametri'!$B$8*(S1025+R1025)))</f>
        <v>3.637978807091713E-12</v>
      </c>
      <c r="U1025" s="18">
        <f>IF($A1025&gt;'1-Input'!$B$26,S1025,S1025-MIN(MAX(S1025,0),'P-Parametri'!$B$8*(S1025+R1025)))</f>
        <v>146528.22161237668</v>
      </c>
      <c r="V1025" s="18">
        <f>IF($A1025&gt;'1-Input'!$B$26,V1024,V1024-Q1025*(1-P1025))</f>
        <v>49947.119166752324</v>
      </c>
      <c r="W1025" s="11">
        <f>IF($A1025&gt;'1-Input'!$B$26,0,IF(AB1024&lt;=0,0,MAX(0,(AB1024-AC1024)/AB1024)))</f>
        <v>0.64960578166237248</v>
      </c>
      <c r="X1025" s="18">
        <f>IF($A1025&gt;'1-Input'!$B$26,0,(MAX(0,W1001-IF($A1025&gt;='1-Input'!$C$12,'1-Input'!$B$12,0))-MIN(MAX(AA1024,0),MAX(0,W1001-IF($A1025&gt;='1-Input'!$C$12,'1-Input'!$B$12,0))))*(1/(1-'P-Parametri'!$B$6*W1025))+MIN(MAX(0,AB1024-(MAX(0,W1001-IF($A1025&gt;='1-Input'!$C$12,'1-Input'!$B$12,0))-MIN(MAX(AA1024,0),MAX(0,W1001-IF($A1025&gt;='1-Input'!$C$12,'1-Input'!$B$12,0))))*(1/(1-'P-Parametri'!$B$6*W1025))),MAX(0,0*W1001-(AA1024-MIN(MAX(AA1024,0),MAX(0,W1001-IF($A1025&gt;='1-Input'!$C$12,'1-Input'!$B$12,0)))))*(1/(1-'P-Parametri'!$B$6*W1025))))</f>
        <v>22087.127695677988</v>
      </c>
      <c r="Y1025" s="18">
        <f>IF($A1025&gt;'1-Input'!$B$26,AA1024,(AA1024-MAX(0,W1001-IF($A1025&gt;='1-Input'!$C$12,'1-Input'!$B$12,0))+X1025*(1-'P-Parametri'!$B$6*W1025))*(1+'1-Input'!$B$27))</f>
        <v>0</v>
      </c>
      <c r="Z1025" s="18">
        <f>IF($A1025&gt;'1-Input'!$B$26,AB1024,(AB1024-X1025)*(1+'5-Roberta'!$C$4))</f>
        <v>155710.05209627718</v>
      </c>
      <c r="AA1025" s="18">
        <f>IF($A1025&gt;'1-Input'!$B$26,Y1025,Y1025-'P-Parametri'!$B$8*(Z1025+Y1025)+MIN(MAX(Z1025,0),'P-Parametri'!$B$8*(Z1025+Y1025)))</f>
        <v>0</v>
      </c>
      <c r="AB1025" s="18">
        <f>IF($A1025&gt;'1-Input'!$B$26,Z1025,Z1025-MIN(MAX(Z1025,0),'P-Parametri'!$B$8*(Z1025+Y1025)))</f>
        <v>155398.63199208464</v>
      </c>
      <c r="AC1025" s="18">
        <f>IF($A1025&gt;'1-Input'!$B$26,AC1024,AC1024-X1025*(1-W1025))</f>
        <v>52970.778632608039</v>
      </c>
      <c r="AD1025" s="11">
        <f>IF($A1025&gt;'1-Input'!$B$26,0,IF(AI1024&lt;=0,0,MAX(0,(AI1024-AJ1024)/AI1024)))</f>
        <v>0.64960578166237248</v>
      </c>
      <c r="AE1025" s="18">
        <f>IF($A1025&gt;'1-Input'!$B$26,0,(MAX(0,AD1001-IF($A1025&gt;='1-Input'!$C$12,'1-Input'!$B$12,0))-MIN(MAX(AH1024,0),MAX(0,AD1001-IF($A1025&gt;='1-Input'!$C$12,'1-Input'!$B$12,0))))*(1/(1-'P-Parametri'!$B$6*AD1025))+MIN(MAX(0,AI1024-(MAX(0,AD1001-IF($A1025&gt;='1-Input'!$C$12,'1-Input'!$B$12,0))-MIN(MAX(AH1024,0),MAX(0,AD1001-IF($A1025&gt;='1-Input'!$C$12,'1-Input'!$B$12,0))))*(1/(1-'P-Parametri'!$B$6*AD1025))),MAX(0,0*AD1001-(AH1024-MIN(MAX(AH1024,0),MAX(0,AD1001-IF($A1025&gt;='1-Input'!$C$12,'1-Input'!$B$12,0)))))*(1/(1-'P-Parametri'!$B$6*AD1025))))</f>
        <v>22098.231092784637</v>
      </c>
      <c r="AF1025" s="18">
        <f>IF($A1025&gt;'1-Input'!$B$26,AH1024,(AH1024-MAX(0,AD1001-IF($A1025&gt;='1-Input'!$C$12,'1-Input'!$B$12,0))+AE1025*(1-'P-Parametri'!$B$6*AD1025))*(1+'1-Input'!$B$27))</f>
        <v>3.6248820833861826E-12</v>
      </c>
      <c r="AG1025" s="18">
        <f>IF($A1025&gt;'1-Input'!$B$26,AI1024,(AI1024-AE1025)*(1+'5-Roberta'!$C$4))</f>
        <v>155382.89801553346</v>
      </c>
      <c r="AH1025" s="18">
        <f>IF($A1025&gt;'1-Input'!$B$26,AF1025,AF1025-'P-Parametri'!$B$8*(AG1025+AF1025)+MIN(MAX(AG1025,0),'P-Parametri'!$B$8*(AG1025+AF1025)))</f>
        <v>3.637978807091713E-12</v>
      </c>
      <c r="AI1025" s="18">
        <f>IF($A1025&gt;'1-Input'!$B$26,AG1025,AG1025-MIN(MAX(AG1025,0),'P-Parametri'!$B$8*(AG1025+AF1025)))</f>
        <v>155072.13221950238</v>
      </c>
      <c r="AJ1025" s="18">
        <f>IF($A1025&gt;'1-Input'!$B$26,AJ1024,AJ1024-AE1025*(1-AD1025))</f>
        <v>52859.484556493342</v>
      </c>
      <c r="AK1025" s="11">
        <f>IF($A1025&gt;'1-Input'!$B$26,0,IF(AP1024&lt;=0,0,MAX(0,(AP1024-AQ1024)/AP1024)))</f>
        <v>0.64960578166237248</v>
      </c>
      <c r="AL1025" s="18">
        <f>IF($A1025&gt;'1-Input'!$B$26,0,(MAX(0,AK1001-IF($A1025&gt;='1-Input'!$C$12,'1-Input'!$B$12,0))-MIN(MAX(AO1024,0),MAX(0,AK1001-IF($A1025&gt;='1-Input'!$C$12,'1-Input'!$B$12,0))))*(1/(1-'P-Parametri'!$B$6*AK1025))+MIN(MAX(0,AP1024-(MAX(0,AK1001-IF($A1025&gt;='1-Input'!$C$12,'1-Input'!$B$12,0))-MIN(MAX(AO1024,0),MAX(0,AK1001-IF($A1025&gt;='1-Input'!$C$12,'1-Input'!$B$12,0))))*(1/(1-'P-Parametri'!$B$6*AK1025))),MAX(0,0*AK1001-(AO1024-MIN(MAX(AO1024,0),MAX(0,AK1001-IF($A1025&gt;='1-Input'!$C$12,'1-Input'!$B$12,0)))))*(1/(1-'P-Parametri'!$B$6*AK1025))))</f>
        <v>22096.498569532778</v>
      </c>
      <c r="AM1025" s="18">
        <f>IF($A1025&gt;'1-Input'!$B$26,AO1024,(AO1024-MAX(0,AK1001-IF($A1025&gt;='1-Input'!$C$12,'1-Input'!$B$12,0))+AL1025*(1-'P-Parametri'!$B$6*AK1025))*(1+'1-Input'!$B$27))</f>
        <v>3.6248820833861826E-12</v>
      </c>
      <c r="AN1025" s="18">
        <f>IF($A1025&gt;'1-Input'!$B$26,AP1024,(AP1024-AL1025)*(1+'5-Roberta'!$C$4))</f>
        <v>155433.94564054281</v>
      </c>
      <c r="AO1025" s="18">
        <f>IF($A1025&gt;'1-Input'!$B$26,AM1025,AM1025-'P-Parametri'!$B$8*(AN1025+AM1025)+MIN(MAX(AN1025,0),'P-Parametri'!$B$8*(AN1025+AM1025)))</f>
        <v>3.637978807091713E-12</v>
      </c>
      <c r="AP1025" s="18">
        <f>IF($A1025&gt;'1-Input'!$B$26,AN1025,AN1025-MIN(MAX(AN1025,0),'P-Parametri'!$B$8*(AN1025+AM1025)))</f>
        <v>155123.07774926172</v>
      </c>
      <c r="AQ1025" s="18">
        <f>IF($A1025&gt;'1-Input'!$B$26,AQ1024,AQ1024-AL1025*(1-AK1025))</f>
        <v>52876.850374612884</v>
      </c>
    </row>
    <row r="1026" spans="1:43">
      <c r="A1026" s="10">
        <f>23</f>
        <v>23</v>
      </c>
      <c r="B1026" s="11">
        <f>IF($A1026&gt;'1-Input'!$B$26,0,IF(G1025&lt;=0,0,MAX(0,(G1025-H1025)/G1025)))</f>
        <v>0.65912969790296394</v>
      </c>
      <c r="C1026" s="18">
        <f>IF($A1026&gt;'1-Input'!$B$26,0,(MAX(0,B1001-IF($A1026&gt;='1-Input'!$C$12,'1-Input'!$B$12,0))-MIN(MAX(F1025,0),MAX(0,B1001-IF($A1026&gt;='1-Input'!$C$12,'1-Input'!$B$12,0))))*(1/(1-'P-Parametri'!$B$6*B1026))+MIN(MAX(0,G1025-(MAX(0,B1001-IF($A1026&gt;='1-Input'!$C$12,'1-Input'!$B$12,0))-MIN(MAX(F1025,0),MAX(0,B1001-IF($A1026&gt;='1-Input'!$C$12,'1-Input'!$B$12,0))))*(1/(1-'P-Parametri'!$B$6*B1026))),MAX(0,0*B1001-(F1025-MIN(MAX(F1025,0),MAX(0,B1001-IF($A1026&gt;='1-Input'!$C$12,'1-Input'!$B$12,0)))))*(1/(1-'P-Parametri'!$B$6*B1026))))</f>
        <v>6732.8969151456586</v>
      </c>
      <c r="D1026" s="18">
        <f>IF($A1026&gt;'1-Input'!$B$26,F1025,(F1025-MAX(0,B1001-IF($A1026&gt;='1-Input'!$C$12,'1-Input'!$B$12,0))+C1026*(1-'P-Parametri'!$B$6*B1026))*(1+'1-Input'!$B$27))</f>
        <v>0</v>
      </c>
      <c r="E1026" s="18">
        <f>IF($A1026&gt;'1-Input'!$B$26,G1025,(G1025-C1026)*(1+'5-Roberta'!$C$4))</f>
        <v>214189.39397074244</v>
      </c>
      <c r="F1026" s="18">
        <f>IF($A1026&gt;'1-Input'!$B$26,D1026,D1026-'P-Parametri'!$B$8*(E1026+D1026)+MIN(MAX(E1026,0),'P-Parametri'!$B$8*(E1026+D1026)))</f>
        <v>0</v>
      </c>
      <c r="G1026" s="18">
        <f>IF($A1026&gt;'1-Input'!$B$26,E1026,E1026-MIN(MAX(E1026,0),'P-Parametri'!$B$8*(E1026+D1026)))</f>
        <v>213761.01518280097</v>
      </c>
      <c r="H1026" s="18">
        <f>IF($A1026&gt;'1-Input'!$B$26,H1025,H1025-C1026*(1-B1026))</f>
        <v>70884.275173580638</v>
      </c>
      <c r="I1026" s="11">
        <f>IF($A1026&gt;'1-Input'!$B$26,0,IF(N1025&lt;=0,0,MAX(0,(N1025-O1025)/N1025)))</f>
        <v>0.65912969790296383</v>
      </c>
      <c r="J1026" s="18">
        <f>IF($A1026&gt;'1-Input'!$B$26,0,(MAX(0,I1001-IF($A1026&gt;='1-Input'!$C$12,'1-Input'!$B$12,0))-MIN(MAX(M1025,0),MAX(0,I1001-IF($A1026&gt;='1-Input'!$C$12,'1-Input'!$B$12,0))))*(1/(1-'P-Parametri'!$B$6*I1026))+MIN(MAX(0,N1025-(MAX(0,I1001-IF($A1026&gt;='1-Input'!$C$12,'1-Input'!$B$12,0))-MIN(MAX(M1025,0),MAX(0,I1001-IF($A1026&gt;='1-Input'!$C$12,'1-Input'!$B$12,0))))*(1/(1-'P-Parametri'!$B$6*I1026))),MAX(0,0*I1001-(M1025-MIN(MAX(M1025,0),MAX(0,I1001-IF($A1026&gt;='1-Input'!$C$12,'1-Input'!$B$12,0)))))*(1/(1-'P-Parametri'!$B$6*I1026))))</f>
        <v>13090.047074021964</v>
      </c>
      <c r="K1026" s="18">
        <f>IF($A1026&gt;'1-Input'!$B$26,M1025,(M1025-MAX(0,I1001-IF($A1026&gt;='1-Input'!$C$12,'1-Input'!$B$12,0))+J1026*(1-'P-Parametri'!$B$6*I1026))*(1+'1-Input'!$B$27))</f>
        <v>-1.8124410416930913E-12</v>
      </c>
      <c r="L1026" s="18">
        <f>IF($A1026&gt;'1-Input'!$B$26,N1025,(N1025-J1026)*(1+'5-Roberta'!$C$4))</f>
        <v>15672.654060946234</v>
      </c>
      <c r="M1026" s="18">
        <f>IF($A1026&gt;'1-Input'!$B$26,K1026,K1026-'P-Parametri'!$B$8*(L1026+K1026)+MIN(MAX(L1026,0),'P-Parametri'!$B$8*(L1026+K1026)))</f>
        <v>-1.8118839761882555E-12</v>
      </c>
      <c r="N1026" s="18">
        <f>IF($A1026&gt;'1-Input'!$B$26,L1026,L1026-MIN(MAX(L1026,0),'P-Parametri'!$B$8*(L1026+K1026)))</f>
        <v>15641.308752824341</v>
      </c>
      <c r="O1026" s="18">
        <f>IF($A1026&gt;'1-Input'!$B$26,O1025,O1025-J1026*(1-I1026))</f>
        <v>5186.7401207932844</v>
      </c>
      <c r="P1026" s="11">
        <f>IF($A1026&gt;'1-Input'!$B$26,0,IF(U1025&lt;=0,0,MAX(0,(U1025-V1025)/U1025)))</f>
        <v>0.65912969790296372</v>
      </c>
      <c r="Q1026" s="18">
        <f>IF($A1026&gt;'1-Input'!$B$26,0,(MAX(0,P1001-IF($A1026&gt;='1-Input'!$C$12,'1-Input'!$B$12,0))-MIN(MAX(T1025,0),MAX(0,P1001-IF($A1026&gt;='1-Input'!$C$12,'1-Input'!$B$12,0))))*(1/(1-'P-Parametri'!$B$6*P1026))+MIN(MAX(0,U1025-(MAX(0,P1001-IF($A1026&gt;='1-Input'!$C$12,'1-Input'!$B$12,0))-MIN(MAX(T1025,0),MAX(0,P1001-IF($A1026&gt;='1-Input'!$C$12,'1-Input'!$B$12,0))))*(1/(1-'P-Parametri'!$B$6*P1026))),MAX(0,0*P1001-(T1025-MIN(MAX(T1025,0),MAX(0,P1001-IF($A1026&gt;='1-Input'!$C$12,'1-Input'!$B$12,0)))))*(1/(1-'P-Parametri'!$B$6*P1026))))</f>
        <v>9057.6137350522386</v>
      </c>
      <c r="R1026" s="18">
        <f>IF($A1026&gt;'1-Input'!$B$26,T1025,(T1025-MAX(0,P1001-IF($A1026&gt;='1-Input'!$C$12,'1-Input'!$B$12,0))+Q1026*(1-'P-Parametri'!$B$6*P1026))*(1+'1-Input'!$B$27))</f>
        <v>-1.8124410416930913E-12</v>
      </c>
      <c r="S1026" s="18">
        <f>IF($A1026&gt;'1-Input'!$B$26,U1025,(U1025-Q1026)*(1+'5-Roberta'!$C$4))</f>
        <v>141594.7261136442</v>
      </c>
      <c r="T1026" s="18">
        <f>IF($A1026&gt;'1-Input'!$B$26,R1026,R1026-'P-Parametri'!$B$8*(S1026+R1026)+MIN(MAX(S1026,0),'P-Parametri'!$B$8*(S1026+R1026)))</f>
        <v>-1.8189894035458565E-12</v>
      </c>
      <c r="U1026" s="18">
        <f>IF($A1026&gt;'1-Input'!$B$26,S1026,S1026-MIN(MAX(S1026,0),'P-Parametri'!$B$8*(S1026+R1026)))</f>
        <v>141311.5366614169</v>
      </c>
      <c r="V1026" s="18">
        <f>IF($A1026&gt;'1-Input'!$B$26,V1025,V1025-Q1026*(1-P1026))</f>
        <v>46859.647636606802</v>
      </c>
      <c r="W1026" s="11">
        <f>IF($A1026&gt;'1-Input'!$B$26,0,IF(AB1025&lt;=0,0,MAX(0,(AB1025-AC1025)/AB1025)))</f>
        <v>0.65912969790296383</v>
      </c>
      <c r="X1026" s="18">
        <f>IF($A1026&gt;'1-Input'!$B$26,0,(MAX(0,W1001-IF($A1026&gt;='1-Input'!$C$12,'1-Input'!$B$12,0))-MIN(MAX(AA1025,0),MAX(0,W1001-IF($A1026&gt;='1-Input'!$C$12,'1-Input'!$B$12,0))))*(1/(1-'P-Parametri'!$B$6*W1026))+MIN(MAX(0,AB1025-(MAX(0,W1001-IF($A1026&gt;='1-Input'!$C$12,'1-Input'!$B$12,0))-MIN(MAX(AA1025,0),MAX(0,W1001-IF($A1026&gt;='1-Input'!$C$12,'1-Input'!$B$12,0))))*(1/(1-'P-Parametri'!$B$6*W1026))),MAX(0,0*W1001-(AA1025-MIN(MAX(AA1025,0),MAX(0,W1001-IF($A1026&gt;='1-Input'!$C$12,'1-Input'!$B$12,0)))))*(1/(1-'P-Parametri'!$B$6*W1026))))</f>
        <v>8755.0529860619681</v>
      </c>
      <c r="Y1026" s="18">
        <f>IF($A1026&gt;'1-Input'!$B$26,AA1025,(AA1025-MAX(0,W1001-IF($A1026&gt;='1-Input'!$C$12,'1-Input'!$B$12,0))+X1026*(1-'P-Parametri'!$B$6*W1026))*(1+'1-Input'!$B$27))</f>
        <v>0</v>
      </c>
      <c r="Z1026" s="18">
        <f>IF($A1026&gt;'1-Input'!$B$26,AB1025,(AB1025-X1026)*(1+'5-Roberta'!$C$4))</f>
        <v>151042.88637620336</v>
      </c>
      <c r="AA1026" s="18">
        <f>IF($A1026&gt;'1-Input'!$B$26,Y1026,Y1026-'P-Parametri'!$B$8*(Z1026+Y1026)+MIN(MAX(Z1026,0),'P-Parametri'!$B$8*(Z1026+Y1026)))</f>
        <v>0</v>
      </c>
      <c r="AB1026" s="18">
        <f>IF($A1026&gt;'1-Input'!$B$26,Z1026,Z1026-MIN(MAX(Z1026,0),'P-Parametri'!$B$8*(Z1026+Y1026)))</f>
        <v>150740.80060345095</v>
      </c>
      <c r="AC1026" s="18">
        <f>IF($A1026&gt;'1-Input'!$B$26,AC1025,AC1025-X1026*(1-W1026))</f>
        <v>49986.441076373536</v>
      </c>
      <c r="AD1026" s="11">
        <f>IF($A1026&gt;'1-Input'!$B$26,0,IF(AI1025&lt;=0,0,MAX(0,(AI1025-AJ1025)/AI1025)))</f>
        <v>0.65912969790296361</v>
      </c>
      <c r="AE1026" s="18">
        <f>IF($A1026&gt;'1-Input'!$B$26,0,(MAX(0,AD1001-IF($A1026&gt;='1-Input'!$C$12,'1-Input'!$B$12,0))-MIN(MAX(AH1025,0),MAX(0,AD1001-IF($A1026&gt;='1-Input'!$C$12,'1-Input'!$B$12,0))))*(1/(1-'P-Parametri'!$B$6*AD1026))+MIN(MAX(0,AI1025-(MAX(0,AD1001-IF($A1026&gt;='1-Input'!$C$12,'1-Input'!$B$12,0))-MIN(MAX(AH1025,0),MAX(0,AD1001-IF($A1026&gt;='1-Input'!$C$12,'1-Input'!$B$12,0))))*(1/(1-'P-Parametri'!$B$6*AD1026))),MAX(0,0*AD1001-(AH1025-MIN(MAX(AH1025,0),MAX(0,AD1001-IF($A1026&gt;='1-Input'!$C$12,'1-Input'!$B$12,0)))))*(1/(1-'P-Parametri'!$B$6*AD1026))))</f>
        <v>8766.1895639099894</v>
      </c>
      <c r="AF1026" s="18">
        <f>IF($A1026&gt;'1-Input'!$B$26,AH1025,(AH1025-MAX(0,AD1001-IF($A1026&gt;='1-Input'!$C$12,'1-Input'!$B$12,0))+AE1026*(1-'P-Parametri'!$B$6*AD1026))*(1+'1-Input'!$B$27))</f>
        <v>-9.0622052084654565E-13</v>
      </c>
      <c r="AG1026" s="18">
        <f>IF($A1026&gt;'1-Input'!$B$26,AI1025,(AI1025-AE1026)*(1+'5-Roberta'!$C$4))</f>
        <v>150695.12093526017</v>
      </c>
      <c r="AH1026" s="18">
        <f>IF($A1026&gt;'1-Input'!$B$26,AF1026,AF1026-'P-Parametri'!$B$8*(AG1026+AF1026)+MIN(MAX(AG1026,0),'P-Parametri'!$B$8*(AG1026+AF1026)))</f>
        <v>-9.0949470177292824E-13</v>
      </c>
      <c r="AI1026" s="18">
        <f>IF($A1026&gt;'1-Input'!$B$26,AG1026,AG1026-MIN(MAX(AG1026,0),'P-Parametri'!$B$8*(AG1026+AF1026)))</f>
        <v>150393.73069338966</v>
      </c>
      <c r="AJ1026" s="18">
        <f>IF($A1026&gt;'1-Input'!$B$26,AJ1025,AJ1025-AE1026*(1-AD1026))</f>
        <v>49871.350871603456</v>
      </c>
      <c r="AK1026" s="11">
        <f>IF($A1026&gt;'1-Input'!$B$26,0,IF(AP1025&lt;=0,0,MAX(0,(AP1025-AQ1025)/AP1025)))</f>
        <v>0.65912969790296372</v>
      </c>
      <c r="AL1026" s="18">
        <f>IF($A1026&gt;'1-Input'!$B$26,0,(MAX(0,AK1001-IF($A1026&gt;='1-Input'!$C$12,'1-Input'!$B$12,0))-MIN(MAX(AO1025,0),MAX(0,AK1001-IF($A1026&gt;='1-Input'!$C$12,'1-Input'!$B$12,0))))*(1/(1-'P-Parametri'!$B$6*AK1026))+MIN(MAX(0,AP1025-(MAX(0,AK1001-IF($A1026&gt;='1-Input'!$C$12,'1-Input'!$B$12,0))-MIN(MAX(AO1025,0),MAX(0,AK1001-IF($A1026&gt;='1-Input'!$C$12,'1-Input'!$B$12,0))))*(1/(1-'P-Parametri'!$B$6*AK1026))),MAX(0,0*AK1001-(AO1025-MIN(MAX(AO1025,0),MAX(0,AK1001-IF($A1026&gt;='1-Input'!$C$12,'1-Input'!$B$12,0)))))*(1/(1-'P-Parametri'!$B$6*AK1026))))</f>
        <v>8764.451863287155</v>
      </c>
      <c r="AM1026" s="18">
        <f>IF($A1026&gt;'1-Input'!$B$26,AO1025,(AO1025-MAX(0,AK1001-IF($A1026&gt;='1-Input'!$C$12,'1-Input'!$B$12,0))+AL1026*(1-'P-Parametri'!$B$6*AK1026))*(1+'1-Input'!$B$27))</f>
        <v>-9.0622052084654565E-13</v>
      </c>
      <c r="AN1026" s="18">
        <f>IF($A1026&gt;'1-Input'!$B$26,AP1025,(AP1025-AL1026)*(1+'5-Roberta'!$C$4))</f>
        <v>150749.38466255378</v>
      </c>
      <c r="AO1026" s="18">
        <f>IF($A1026&gt;'1-Input'!$B$26,AM1026,AM1026-'P-Parametri'!$B$8*(AN1026+AM1026)+MIN(MAX(AN1026,0),'P-Parametri'!$B$8*(AN1026+AM1026)))</f>
        <v>-9.0949470177292824E-13</v>
      </c>
      <c r="AP1026" s="18">
        <f>IF($A1026&gt;'1-Input'!$B$26,AN1026,AN1026-MIN(MAX(AN1026,0),'P-Parametri'!$B$8*(AN1026+AM1026)))</f>
        <v>150447.88589322867</v>
      </c>
      <c r="AQ1026" s="18">
        <f>IF($A1026&gt;'1-Input'!$B$26,AQ1025,AQ1025-AL1026*(1-AK1026))</f>
        <v>49889.309020259258</v>
      </c>
    </row>
    <row r="1027" spans="1:43">
      <c r="A1027" s="10">
        <f>24</f>
        <v>24</v>
      </c>
      <c r="B1027" s="11">
        <f>IF($A1027&gt;'1-Input'!$B$26,0,IF(G1026&lt;=0,0,MAX(0,(G1026-H1026)/G1026)))</f>
        <v>0.66839474862634385</v>
      </c>
      <c r="C1027" s="18">
        <f>IF($A1027&gt;'1-Input'!$B$26,0,(MAX(0,B1001-IF($A1027&gt;='1-Input'!$C$12,'1-Input'!$B$12,0))-MIN(MAX(F1026,0),MAX(0,B1001-IF($A1027&gt;='1-Input'!$C$12,'1-Input'!$B$12,0))))*(1/(1-'P-Parametri'!$B$6*B1027))+MIN(MAX(0,G1026-(MAX(0,B1001-IF($A1027&gt;='1-Input'!$C$12,'1-Input'!$B$12,0))-MIN(MAX(F1026,0),MAX(0,B1001-IF($A1027&gt;='1-Input'!$C$12,'1-Input'!$B$12,0))))*(1/(1-'P-Parametri'!$B$6*B1027))),MAX(0,0*B1001-(F1026-MIN(MAX(F1026,0),MAX(0,B1001-IF($A1027&gt;='1-Input'!$C$12,'1-Input'!$B$12,0)))))*(1/(1-'P-Parametri'!$B$6*B1027))))</f>
        <v>6752.5272991740294</v>
      </c>
      <c r="D1027" s="18">
        <f>IF($A1027&gt;'1-Input'!$B$26,F1026,(F1026-MAX(0,B1001-IF($A1027&gt;='1-Input'!$C$12,'1-Input'!$B$12,0))+C1027*(1-'P-Parametri'!$B$6*B1027))*(1+'1-Input'!$B$27))</f>
        <v>0</v>
      </c>
      <c r="E1027" s="18">
        <f>IF($A1027&gt;'1-Input'!$B$26,G1026,(G1026-C1027)*(1+'5-Roberta'!$C$4))</f>
        <v>213218.74252013577</v>
      </c>
      <c r="F1027" s="18">
        <f>IF($A1027&gt;'1-Input'!$B$26,D1027,D1027-'P-Parametri'!$B$8*(E1027+D1027)+MIN(MAX(E1027,0),'P-Parametri'!$B$8*(E1027+D1027)))</f>
        <v>0</v>
      </c>
      <c r="G1027" s="18">
        <f>IF($A1027&gt;'1-Input'!$B$26,E1027,E1027-MIN(MAX(E1027,0),'P-Parametri'!$B$8*(E1027+D1027)))</f>
        <v>212792.30503509549</v>
      </c>
      <c r="H1027" s="18">
        <f>IF($A1027&gt;'1-Input'!$B$26,H1026,H1026-C1027*(1-B1027))</f>
        <v>68645.101661130553</v>
      </c>
      <c r="I1027" s="11">
        <f>IF($A1027&gt;'1-Input'!$B$26,0,IF(N1026&lt;=0,0,MAX(0,(N1026-O1026)/N1026)))</f>
        <v>0.66839474862634374</v>
      </c>
      <c r="J1027" s="18">
        <f>IF($A1027&gt;'1-Input'!$B$26,0,(MAX(0,I1001-IF($A1027&gt;='1-Input'!$C$12,'1-Input'!$B$12,0))-MIN(MAX(M1026,0),MAX(0,I1001-IF($A1027&gt;='1-Input'!$C$12,'1-Input'!$B$12,0))))*(1/(1-'P-Parametri'!$B$6*I1027))+MIN(MAX(0,N1026-(MAX(0,I1001-IF($A1027&gt;='1-Input'!$C$12,'1-Input'!$B$12,0))-MIN(MAX(M1026,0),MAX(0,I1001-IF($A1027&gt;='1-Input'!$C$12,'1-Input'!$B$12,0))))*(1/(1-'P-Parametri'!$B$6*I1027))),MAX(0,0*I1001-(M1026-MIN(MAX(M1026,0),MAX(0,I1001-IF($A1027&gt;='1-Input'!$C$12,'1-Input'!$B$12,0)))))*(1/(1-'P-Parametri'!$B$6*I1027))))</f>
        <v>13128.212317638643</v>
      </c>
      <c r="K1027" s="18">
        <f>IF($A1027&gt;'1-Input'!$B$26,M1026,(M1026-MAX(0,I1001-IF($A1027&gt;='1-Input'!$C$12,'1-Input'!$B$12,0))+J1027*(1-'P-Parametri'!$B$6*I1027))*(1+'1-Input'!$B$27))</f>
        <v>-1.8124410416930913E-12</v>
      </c>
      <c r="L1027" s="18">
        <f>IF($A1027&gt;'1-Input'!$B$26,N1026,(N1026-J1027)*(1+'5-Roberta'!$C$4))</f>
        <v>2588.4893282412695</v>
      </c>
      <c r="M1027" s="18">
        <f>IF($A1027&gt;'1-Input'!$B$26,K1027,K1027-'P-Parametri'!$B$8*(L1027+K1027)+MIN(MAX(L1027,0),'P-Parametri'!$B$8*(L1027+K1027)))</f>
        <v>-1.8127721546079556E-12</v>
      </c>
      <c r="N1027" s="18">
        <f>IF($A1027&gt;'1-Input'!$B$26,L1027,L1027-MIN(MAX(L1027,0),'P-Parametri'!$B$8*(L1027+K1027)))</f>
        <v>2583.3123495847872</v>
      </c>
      <c r="O1027" s="18">
        <f>IF($A1027&gt;'1-Input'!$B$26,O1026,O1026-J1027*(1-I1027))</f>
        <v>833.3559751159919</v>
      </c>
      <c r="P1027" s="11">
        <f>IF($A1027&gt;'1-Input'!$B$26,0,IF(U1026&lt;=0,0,MAX(0,(U1026-V1026)/U1026)))</f>
        <v>0.66839474862634374</v>
      </c>
      <c r="Q1027" s="18">
        <f>IF($A1027&gt;'1-Input'!$B$26,0,(MAX(0,P1001-IF($A1027&gt;='1-Input'!$C$12,'1-Input'!$B$12,0))-MIN(MAX(T1026,0),MAX(0,P1001-IF($A1027&gt;='1-Input'!$C$12,'1-Input'!$B$12,0))))*(1/(1-'P-Parametri'!$B$6*P1027))+MIN(MAX(0,U1026-(MAX(0,P1001-IF($A1027&gt;='1-Input'!$C$12,'1-Input'!$B$12,0))-MIN(MAX(T1026,0),MAX(0,P1001-IF($A1027&gt;='1-Input'!$C$12,'1-Input'!$B$12,0))))*(1/(1-'P-Parametri'!$B$6*P1027))),MAX(0,0*P1001-(T1026-MIN(MAX(T1026,0),MAX(0,P1001-IF($A1027&gt;='1-Input'!$C$12,'1-Input'!$B$12,0)))))*(1/(1-'P-Parametri'!$B$6*P1027))))</f>
        <v>9084.0220461017961</v>
      </c>
      <c r="R1027" s="18">
        <f>IF($A1027&gt;'1-Input'!$B$26,T1026,(T1026-MAX(0,P1001-IF($A1027&gt;='1-Input'!$C$12,'1-Input'!$B$12,0))+Q1027*(1-'P-Parametri'!$B$6*P1027))*(1+'1-Input'!$B$27))</f>
        <v>0</v>
      </c>
      <c r="S1027" s="18">
        <f>IF($A1027&gt;'1-Input'!$B$26,U1026,(U1026-Q1027)*(1+'5-Roberta'!$C$4))</f>
        <v>136194.34005377456</v>
      </c>
      <c r="T1027" s="18">
        <f>IF($A1027&gt;'1-Input'!$B$26,R1027,R1027-'P-Parametri'!$B$8*(S1027+R1027)+MIN(MAX(S1027,0),'P-Parametri'!$B$8*(S1027+R1027)))</f>
        <v>0</v>
      </c>
      <c r="U1027" s="18">
        <f>IF($A1027&gt;'1-Input'!$B$26,S1027,S1027-MIN(MAX(S1027,0),'P-Parametri'!$B$8*(S1027+R1027)))</f>
        <v>135921.95137366702</v>
      </c>
      <c r="V1027" s="18">
        <f>IF($A1027&gt;'1-Input'!$B$26,V1026,V1026-Q1027*(1-P1027))</f>
        <v>43847.338222525381</v>
      </c>
      <c r="W1027" s="11">
        <f>IF($A1027&gt;'1-Input'!$B$26,0,IF(AB1026&lt;=0,0,MAX(0,(AB1026-AC1026)/AB1026)))</f>
        <v>0.66839474862634385</v>
      </c>
      <c r="X1027" s="18">
        <f>IF($A1027&gt;'1-Input'!$B$26,0,(MAX(0,W1001-IF($A1027&gt;='1-Input'!$C$12,'1-Input'!$B$12,0))-MIN(MAX(AA1026,0),MAX(0,W1001-IF($A1027&gt;='1-Input'!$C$12,'1-Input'!$B$12,0))))*(1/(1-'P-Parametri'!$B$6*W1027))+MIN(MAX(0,AB1026-(MAX(0,W1001-IF($A1027&gt;='1-Input'!$C$12,'1-Input'!$B$12,0))-MIN(MAX(AA1026,0),MAX(0,W1001-IF($A1027&gt;='1-Input'!$C$12,'1-Input'!$B$12,0))))*(1/(1-'P-Parametri'!$B$6*W1027))),MAX(0,0*W1001-(AA1026-MIN(MAX(AA1026,0),MAX(0,W1001-IF($A1027&gt;='1-Input'!$C$12,'1-Input'!$B$12,0)))))*(1/(1-'P-Parametri'!$B$6*W1027))))</f>
        <v>8780.5791532484163</v>
      </c>
      <c r="Y1027" s="18">
        <f>IF($A1027&gt;'1-Input'!$B$26,AA1026,(AA1026-MAX(0,W1001-IF($A1027&gt;='1-Input'!$C$12,'1-Input'!$B$12,0))+X1027*(1-'P-Parametri'!$B$6*W1027))*(1+'1-Input'!$B$27))</f>
        <v>0</v>
      </c>
      <c r="Z1027" s="18">
        <f>IF($A1027&gt;'1-Input'!$B$26,AB1026,(AB1026-X1027)*(1+'5-Roberta'!$C$4))</f>
        <v>146219.02809370859</v>
      </c>
      <c r="AA1027" s="18">
        <f>IF($A1027&gt;'1-Input'!$B$26,Y1027,Y1027-'P-Parametri'!$B$8*(Z1027+Y1027)+MIN(MAX(Z1027,0),'P-Parametri'!$B$8*(Z1027+Y1027)))</f>
        <v>0</v>
      </c>
      <c r="AB1027" s="18">
        <f>IF($A1027&gt;'1-Input'!$B$26,Z1027,Z1027-MIN(MAX(Z1027,0),'P-Parametri'!$B$8*(Z1027+Y1027)))</f>
        <v>145926.59003752118</v>
      </c>
      <c r="AC1027" s="18">
        <f>IF($A1027&gt;'1-Input'!$B$26,AC1026,AC1026-X1027*(1-W1027))</f>
        <v>47074.754919054307</v>
      </c>
      <c r="AD1027" s="11">
        <f>IF($A1027&gt;'1-Input'!$B$26,0,IF(AI1026&lt;=0,0,MAX(0,(AI1026-AJ1026)/AI1026)))</f>
        <v>0.66839474862634363</v>
      </c>
      <c r="AE1027" s="18">
        <f>IF($A1027&gt;'1-Input'!$B$26,0,(MAX(0,AD1001-IF($A1027&gt;='1-Input'!$C$12,'1-Input'!$B$12,0))-MIN(MAX(AH1026,0),MAX(0,AD1001-IF($A1027&gt;='1-Input'!$C$12,'1-Input'!$B$12,0))))*(1/(1-'P-Parametri'!$B$6*AD1027))+MIN(MAX(0,AI1026-(MAX(0,AD1001-IF($A1027&gt;='1-Input'!$C$12,'1-Input'!$B$12,0))-MIN(MAX(AH1026,0),MAX(0,AD1001-IF($A1027&gt;='1-Input'!$C$12,'1-Input'!$B$12,0))))*(1/(1-'P-Parametri'!$B$6*AD1027))),MAX(0,0*AD1001-(AH1026-MIN(MAX(AH1026,0),MAX(0,AD1001-IF($A1027&gt;='1-Input'!$C$12,'1-Input'!$B$12,0)))))*(1/(1-'P-Parametri'!$B$6*AD1027))))</f>
        <v>8791.7482008197567</v>
      </c>
      <c r="AF1027" s="18">
        <f>IF($A1027&gt;'1-Input'!$B$26,AH1026,(AH1026-MAX(0,AD1001-IF($A1027&gt;='1-Input'!$C$12,'1-Input'!$B$12,0))+AE1027*(1-'P-Parametri'!$B$6*AD1027))*(1+'1-Input'!$B$27))</f>
        <v>9.0622052084654565E-13</v>
      </c>
      <c r="AG1027" s="18">
        <f>IF($A1027&gt;'1-Input'!$B$26,AI1026,(AI1026-AE1027)*(1+'5-Roberta'!$C$4))</f>
        <v>145850.041967347</v>
      </c>
      <c r="AH1027" s="18">
        <f>IF($A1027&gt;'1-Input'!$B$26,AF1027,AF1027-'P-Parametri'!$B$8*(AG1027+AF1027)+MIN(MAX(AG1027,0),'P-Parametri'!$B$8*(AG1027+AF1027)))</f>
        <v>9.0949470177292824E-13</v>
      </c>
      <c r="AI1027" s="18">
        <f>IF($A1027&gt;'1-Input'!$B$26,AG1027,AG1027-MIN(MAX(AG1027,0),'P-Parametri'!$B$8*(AG1027+AF1027)))</f>
        <v>145558.3418834123</v>
      </c>
      <c r="AJ1027" s="18">
        <f>IF($A1027&gt;'1-Input'!$B$26,AJ1026,AJ1026-AE1027*(1-AD1027))</f>
        <v>46955.960999456729</v>
      </c>
      <c r="AK1027" s="11">
        <f>IF($A1027&gt;'1-Input'!$B$26,0,IF(AP1026&lt;=0,0,MAX(0,(AP1026-AQ1026)/AP1026)))</f>
        <v>0.66839474862634363</v>
      </c>
      <c r="AL1027" s="18">
        <f>IF($A1027&gt;'1-Input'!$B$26,0,(MAX(0,AK1001-IF($A1027&gt;='1-Input'!$C$12,'1-Input'!$B$12,0))-MIN(MAX(AO1026,0),MAX(0,AK1001-IF($A1027&gt;='1-Input'!$C$12,'1-Input'!$B$12,0))))*(1/(1-'P-Parametri'!$B$6*AK1027))+MIN(MAX(0,AP1026-(MAX(0,AK1001-IF($A1027&gt;='1-Input'!$C$12,'1-Input'!$B$12,0))-MIN(MAX(AO1026,0),MAX(0,AK1001-IF($A1027&gt;='1-Input'!$C$12,'1-Input'!$B$12,0))))*(1/(1-'P-Parametri'!$B$6*AK1027))),MAX(0,0*AK1001-(AO1026-MIN(MAX(AO1026,0),MAX(0,AK1001-IF($A1027&gt;='1-Input'!$C$12,'1-Input'!$B$12,0)))))*(1/(1-'P-Parametri'!$B$6*AK1027))))</f>
        <v>8790.0054337699457</v>
      </c>
      <c r="AM1027" s="18">
        <f>IF($A1027&gt;'1-Input'!$B$26,AO1026,(AO1026-MAX(0,AK1001-IF($A1027&gt;='1-Input'!$C$12,'1-Input'!$B$12,0))+AL1027*(1-'P-Parametri'!$B$6*AK1027))*(1+'1-Input'!$B$27))</f>
        <v>0</v>
      </c>
      <c r="AN1027" s="18">
        <f>IF($A1027&gt;'1-Input'!$B$26,AP1026,(AP1026-AL1027)*(1+'5-Roberta'!$C$4))</f>
        <v>145907.61687324248</v>
      </c>
      <c r="AO1027" s="18">
        <f>IF($A1027&gt;'1-Input'!$B$26,AM1027,AM1027-'P-Parametri'!$B$8*(AN1027+AM1027)+MIN(MAX(AN1027,0),'P-Parametri'!$B$8*(AN1027+AM1027)))</f>
        <v>0</v>
      </c>
      <c r="AP1027" s="18">
        <f>IF($A1027&gt;'1-Input'!$B$26,AN1027,AN1027-MIN(MAX(AN1027,0),'P-Parametri'!$B$8*(AN1027+AM1027)))</f>
        <v>145615.801639496</v>
      </c>
      <c r="AQ1027" s="18">
        <f>IF($A1027&gt;'1-Input'!$B$26,AQ1026,AQ1026-AL1027*(1-AK1027))</f>
        <v>46974.497058818168</v>
      </c>
    </row>
    <row r="1028" spans="1:43">
      <c r="A1028" s="10">
        <f>25</f>
        <v>25</v>
      </c>
      <c r="B1028" s="11">
        <f>IF($A1028&gt;'1-Input'!$B$26,0,IF(G1027&lt;=0,0,MAX(0,(G1027-H1027)/G1027)))</f>
        <v>0.67740796994605124</v>
      </c>
      <c r="C1028" s="18">
        <f>IF($A1028&gt;'1-Input'!$B$26,0,(MAX(0,B1001-IF($A1028&gt;='1-Input'!$C$12,'1-Input'!$B$12,0))-MIN(MAX(F1027,0),MAX(0,B1001-IF($A1028&gt;='1-Input'!$C$12,'1-Input'!$B$12,0))))*(1/(1-'P-Parametri'!$B$6*B1028))+MIN(MAX(0,G1027-(MAX(0,B1001-IF($A1028&gt;='1-Input'!$C$12,'1-Input'!$B$12,0))-MIN(MAX(F1027,0),MAX(0,B1001-IF($A1028&gt;='1-Input'!$C$12,'1-Input'!$B$12,0))))*(1/(1-'P-Parametri'!$B$6*B1028))),MAX(0,0*B1001-(F1027-MIN(MAX(F1027,0),MAX(0,B1001-IF($A1028&gt;='1-Input'!$C$12,'1-Input'!$B$12,0)))))*(1/(1-'P-Parametri'!$B$6*B1028))))</f>
        <v>6771.7342742337205</v>
      </c>
      <c r="D1028" s="18">
        <f>IF($A1028&gt;'1-Input'!$B$26,F1027,(F1027-MAX(0,B1001-IF($A1028&gt;='1-Input'!$C$12,'1-Input'!$B$12,0))+C1028*(1-'P-Parametri'!$B$6*B1028))*(1+'1-Input'!$B$27))</f>
        <v>0</v>
      </c>
      <c r="E1028" s="18">
        <f>IF($A1028&gt;'1-Input'!$B$26,G1027,(G1027-C1028)*(1+'5-Roberta'!$C$4))</f>
        <v>212201.18788368761</v>
      </c>
      <c r="F1028" s="18">
        <f>IF($A1028&gt;'1-Input'!$B$26,D1028,D1028-'P-Parametri'!$B$8*(E1028+D1028)+MIN(MAX(E1028,0),'P-Parametri'!$B$8*(E1028+D1028)))</f>
        <v>0</v>
      </c>
      <c r="G1028" s="18">
        <f>IF($A1028&gt;'1-Input'!$B$26,E1028,E1028-MIN(MAX(E1028,0),'P-Parametri'!$B$8*(E1028+D1028)))</f>
        <v>211776.78550792023</v>
      </c>
      <c r="H1028" s="18">
        <f>IF($A1028&gt;'1-Input'!$B$26,H1027,H1027-C1028*(1-B1028))</f>
        <v>66460.594154619597</v>
      </c>
      <c r="I1028" s="11">
        <f>IF($A1028&gt;'1-Input'!$B$26,0,IF(N1027&lt;=0,0,MAX(0,(N1027-O1027)/N1027)))</f>
        <v>0.67740796994605157</v>
      </c>
      <c r="J1028" s="18">
        <f>IF($A1028&gt;'1-Input'!$B$26,0,(MAX(0,I1001-IF($A1028&gt;='1-Input'!$C$12,'1-Input'!$B$12,0))-MIN(MAX(M1027,0),MAX(0,I1001-IF($A1028&gt;='1-Input'!$C$12,'1-Input'!$B$12,0))))*(1/(1-'P-Parametri'!$B$6*I1028))+MIN(MAX(0,N1027-(MAX(0,I1001-IF($A1028&gt;='1-Input'!$C$12,'1-Input'!$B$12,0))-MIN(MAX(M1027,0),MAX(0,I1001-IF($A1028&gt;='1-Input'!$C$12,'1-Input'!$B$12,0))))*(1/(1-'P-Parametri'!$B$6*I1028))),MAX(0,0*I1001-(M1027-MIN(MAX(M1027,0),MAX(0,I1001-IF($A1028&gt;='1-Input'!$C$12,'1-Input'!$B$12,0)))))*(1/(1-'P-Parametri'!$B$6*I1028))))</f>
        <v>13165.554372752447</v>
      </c>
      <c r="K1028" s="18">
        <f>IF($A1028&gt;'1-Input'!$B$26,M1027,(M1027-MAX(0,I1001-IF($A1028&gt;='1-Input'!$C$12,'1-Input'!$B$12,0))+J1028*(1-'P-Parametri'!$B$6*I1028))*(1+'1-Input'!$B$27))</f>
        <v>-1.8124410416930913E-12</v>
      </c>
      <c r="L1028" s="18">
        <f>IF($A1028&gt;'1-Input'!$B$26,N1027,(N1027-J1028)*(1+'5-Roberta'!$C$4))</f>
        <v>-10899.70928386269</v>
      </c>
      <c r="M1028" s="18">
        <f>IF($A1028&gt;'1-Input'!$B$26,K1028,K1028-'P-Parametri'!$B$8*(L1028+K1028)+MIN(MAX(L1028,0),'P-Parametri'!$B$8*(L1028+K1028)))</f>
        <v>-1.8118839761882555E-12</v>
      </c>
      <c r="N1028" s="18">
        <f>IF($A1028&gt;'1-Input'!$B$26,L1028,L1028-MIN(MAX(L1028,0),'P-Parametri'!$B$8*(L1028+K1028)))</f>
        <v>-10877.909865294965</v>
      </c>
      <c r="O1028" s="18">
        <f>IF($A1028&gt;'1-Input'!$B$26,O1027,O1027-J1028*(1-I1028))</f>
        <v>-3413.7469367758576</v>
      </c>
      <c r="P1028" s="11">
        <f>IF($A1028&gt;'1-Input'!$B$26,0,IF(U1027&lt;=0,0,MAX(0,(U1027-V1027)/U1027)))</f>
        <v>0.67740796994605113</v>
      </c>
      <c r="Q1028" s="18">
        <f>IF($A1028&gt;'1-Input'!$B$26,0,(MAX(0,P1001-IF($A1028&gt;='1-Input'!$C$12,'1-Input'!$B$12,0))-MIN(MAX(T1027,0),MAX(0,P1001-IF($A1028&gt;='1-Input'!$C$12,'1-Input'!$B$12,0))))*(1/(1-'P-Parametri'!$B$6*P1028))+MIN(MAX(0,U1027-(MAX(0,P1001-IF($A1028&gt;='1-Input'!$C$12,'1-Input'!$B$12,0))-MIN(MAX(T1027,0),MAX(0,P1001-IF($A1028&gt;='1-Input'!$C$12,'1-Input'!$B$12,0))))*(1/(1-'P-Parametri'!$B$6*P1028))),MAX(0,0*P1001-(T1027-MIN(MAX(T1027,0),MAX(0,P1001-IF($A1028&gt;='1-Input'!$C$12,'1-Input'!$B$12,0)))))*(1/(1-'P-Parametri'!$B$6*P1028))))</f>
        <v>9109.8607546550356</v>
      </c>
      <c r="R1028" s="18">
        <f>IF($A1028&gt;'1-Input'!$B$26,T1027,(T1027-MAX(0,P1001-IF($A1028&gt;='1-Input'!$C$12,'1-Input'!$B$12,0))+Q1028*(1-'P-Parametri'!$B$6*P1028))*(1+'1-Input'!$B$27))</f>
        <v>9.0622052084654565E-13</v>
      </c>
      <c r="S1028" s="18">
        <f>IF($A1028&gt;'1-Input'!$B$26,U1027,(U1027-Q1028)*(1+'5-Roberta'!$C$4))</f>
        <v>130616.45333758235</v>
      </c>
      <c r="T1028" s="18">
        <f>IF($A1028&gt;'1-Input'!$B$26,R1028,R1028-'P-Parametri'!$B$8*(S1028+R1028)+MIN(MAX(S1028,0),'P-Parametri'!$B$8*(S1028+R1028)))</f>
        <v>9.0949470177292824E-13</v>
      </c>
      <c r="U1028" s="18">
        <f>IF($A1028&gt;'1-Input'!$B$26,S1028,S1028-MIN(MAX(S1028,0),'P-Parametri'!$B$8*(S1028+R1028)))</f>
        <v>130355.22043090718</v>
      </c>
      <c r="V1028" s="18">
        <f>IF($A1028&gt;'1-Input'!$B$26,V1027,V1027-Q1028*(1-P1028))</f>
        <v>40908.569748172413</v>
      </c>
      <c r="W1028" s="11">
        <f>IF($A1028&gt;'1-Input'!$B$26,0,IF(AB1027&lt;=0,0,MAX(0,(AB1027-AC1027)/AB1027)))</f>
        <v>0.67740796994605113</v>
      </c>
      <c r="X1028" s="18">
        <f>IF($A1028&gt;'1-Input'!$B$26,0,(MAX(0,W1001-IF($A1028&gt;='1-Input'!$C$12,'1-Input'!$B$12,0))-MIN(MAX(AA1027,0),MAX(0,W1001-IF($A1028&gt;='1-Input'!$C$12,'1-Input'!$B$12,0))))*(1/(1-'P-Parametri'!$B$6*W1028))+MIN(MAX(0,AB1027-(MAX(0,W1001-IF($A1028&gt;='1-Input'!$C$12,'1-Input'!$B$12,0))-MIN(MAX(AA1027,0),MAX(0,W1001-IF($A1028&gt;='1-Input'!$C$12,'1-Input'!$B$12,0))))*(1/(1-'P-Parametri'!$B$6*W1028))),MAX(0,0*W1001-(AA1027-MIN(MAX(AA1027,0),MAX(0,W1001-IF($A1028&gt;='1-Input'!$C$12,'1-Input'!$B$12,0)))))*(1/(1-'P-Parametri'!$B$6*W1028))))</f>
        <v>8805.5547449541646</v>
      </c>
      <c r="Y1028" s="18">
        <f>IF($A1028&gt;'1-Input'!$B$26,AA1027,(AA1027-MAX(0,W1001-IF($A1028&gt;='1-Input'!$C$12,'1-Input'!$B$12,0))+X1028*(1-'P-Parametri'!$B$6*W1028))*(1+'1-Input'!$B$27))</f>
        <v>9.0622052084654565E-13</v>
      </c>
      <c r="Z1028" s="18">
        <f>IF($A1028&gt;'1-Input'!$B$26,AB1027,(AB1027-X1028)*(1+'5-Roberta'!$C$4))</f>
        <v>141234.66635134403</v>
      </c>
      <c r="AA1028" s="18">
        <f>IF($A1028&gt;'1-Input'!$B$26,Y1028,Y1028-'P-Parametri'!$B$8*(Z1028+Y1028)+MIN(MAX(Z1028,0),'P-Parametri'!$B$8*(Z1028+Y1028)))</f>
        <v>9.0949470177292824E-13</v>
      </c>
      <c r="AB1028" s="18">
        <f>IF($A1028&gt;'1-Input'!$B$26,Z1028,Z1028-MIN(MAX(Z1028,0),'P-Parametri'!$B$8*(Z1028+Y1028)))</f>
        <v>140952.19701864134</v>
      </c>
      <c r="AC1028" s="18">
        <f>IF($A1028&gt;'1-Input'!$B$26,AC1027,AC1027-X1028*(1-W1028))</f>
        <v>44234.153138128364</v>
      </c>
      <c r="AD1028" s="11">
        <f>IF($A1028&gt;'1-Input'!$B$26,0,IF(AI1027&lt;=0,0,MAX(0,(AI1027-AJ1027)/AI1027)))</f>
        <v>0.67740796994605101</v>
      </c>
      <c r="AE1028" s="18">
        <f>IF($A1028&gt;'1-Input'!$B$26,0,(MAX(0,AD1001-IF($A1028&gt;='1-Input'!$C$12,'1-Input'!$B$12,0))-MIN(MAX(AH1027,0),MAX(0,AD1001-IF($A1028&gt;='1-Input'!$C$12,'1-Input'!$B$12,0))))*(1/(1-'P-Parametri'!$B$6*AD1028))+MIN(MAX(0,AI1027-(MAX(0,AD1001-IF($A1028&gt;='1-Input'!$C$12,'1-Input'!$B$12,0))-MIN(MAX(AH1027,0),MAX(0,AD1001-IF($A1028&gt;='1-Input'!$C$12,'1-Input'!$B$12,0))))*(1/(1-'P-Parametri'!$B$6*AD1028))),MAX(0,0*AD1001-(AH1027-MIN(MAX(AH1027,0),MAX(0,AD1001-IF($A1028&gt;='1-Input'!$C$12,'1-Input'!$B$12,0)))))*(1/(1-'P-Parametri'!$B$6*AD1028))))</f>
        <v>8816.7555619073391</v>
      </c>
      <c r="AF1028" s="18">
        <f>IF($A1028&gt;'1-Input'!$B$26,AH1027,(AH1027-MAX(0,AD1001-IF($A1028&gt;='1-Input'!$C$12,'1-Input'!$B$12,0))+AE1028*(1-'P-Parametri'!$B$6*AD1028))*(1+'1-Input'!$B$27))</f>
        <v>0</v>
      </c>
      <c r="AG1028" s="18">
        <f>IF($A1028&gt;'1-Input'!$B$26,AI1027,(AI1027-AE1028)*(1+'5-Roberta'!$C$4))</f>
        <v>140843.83391115011</v>
      </c>
      <c r="AH1028" s="18">
        <f>IF($A1028&gt;'1-Input'!$B$26,AF1028,AF1028-'P-Parametri'!$B$8*(AG1028+AF1028)+MIN(MAX(AG1028,0),'P-Parametri'!$B$8*(AG1028+AF1028)))</f>
        <v>0</v>
      </c>
      <c r="AI1028" s="18">
        <f>IF($A1028&gt;'1-Input'!$B$26,AG1028,AG1028-MIN(MAX(AG1028,0),'P-Parametri'!$B$8*(AG1028+AF1028)))</f>
        <v>140562.14624332782</v>
      </c>
      <c r="AJ1028" s="18">
        <f>IF($A1028&gt;'1-Input'!$B$26,AJ1027,AJ1027-AE1028*(1-AD1028))</f>
        <v>44111.745924251598</v>
      </c>
      <c r="AK1028" s="11">
        <f>IF($A1028&gt;'1-Input'!$B$26,0,IF(AP1027&lt;=0,0,MAX(0,(AP1027-AQ1027)/AP1027)))</f>
        <v>0.67740796994605101</v>
      </c>
      <c r="AL1028" s="18">
        <f>IF($A1028&gt;'1-Input'!$B$26,0,(MAX(0,AK1001-IF($A1028&gt;='1-Input'!$C$12,'1-Input'!$B$12,0))-MIN(MAX(AO1027,0),MAX(0,AK1001-IF($A1028&gt;='1-Input'!$C$12,'1-Input'!$B$12,0))))*(1/(1-'P-Parametri'!$B$6*AK1028))+MIN(MAX(0,AP1027-(MAX(0,AK1001-IF($A1028&gt;='1-Input'!$C$12,'1-Input'!$B$12,0))-MIN(MAX(AO1027,0),MAX(0,AK1001-IF($A1028&gt;='1-Input'!$C$12,'1-Input'!$B$12,0))))*(1/(1-'P-Parametri'!$B$6*AK1028))),MAX(0,0*AK1001-(AO1027-MIN(MAX(AO1027,0),MAX(0,AK1001-IF($A1028&gt;='1-Input'!$C$12,'1-Input'!$B$12,0)))))*(1/(1-'P-Parametri'!$B$6*AK1028))))</f>
        <v>8815.0078377086302</v>
      </c>
      <c r="AM1028" s="18">
        <f>IF($A1028&gt;'1-Input'!$B$26,AO1027,(AO1027-MAX(0,AK1001-IF($A1028&gt;='1-Input'!$C$12,'1-Input'!$B$12,0))+AL1028*(1-'P-Parametri'!$B$6*AK1028))*(1+'1-Input'!$B$27))</f>
        <v>-9.0622052084654565E-13</v>
      </c>
      <c r="AN1028" s="18">
        <f>IF($A1028&gt;'1-Input'!$B$26,AP1027,(AP1027-AL1028)*(1+'5-Roberta'!$C$4))</f>
        <v>140904.81761584099</v>
      </c>
      <c r="AO1028" s="18">
        <f>IF($A1028&gt;'1-Input'!$B$26,AM1028,AM1028-'P-Parametri'!$B$8*(AN1028+AM1028)+MIN(MAX(AN1028,0),'P-Parametri'!$B$8*(AN1028+AM1028)))</f>
        <v>-9.0949470177292824E-13</v>
      </c>
      <c r="AP1028" s="18">
        <f>IF($A1028&gt;'1-Input'!$B$26,AN1028,AN1028-MIN(MAX(AN1028,0),'P-Parametri'!$B$8*(AN1028+AM1028)))</f>
        <v>140623.00798060931</v>
      </c>
      <c r="AQ1028" s="18">
        <f>IF($A1028&gt;'1-Input'!$B$26,AQ1027,AQ1027-AL1028*(1-AK1028))</f>
        <v>44130.845785510268</v>
      </c>
    </row>
    <row r="1029" spans="1:43">
      <c r="A1029" s="10">
        <f>26</f>
        <v>26</v>
      </c>
      <c r="B1029" s="11">
        <f>IF($A1029&gt;'1-Input'!$B$26,0,IF(G1028&lt;=0,0,MAX(0,(G1028-H1028)/G1028)))</f>
        <v>0.68617620673001467</v>
      </c>
      <c r="C1029" s="18">
        <f>IF($A1029&gt;'1-Input'!$B$26,0,(MAX(0,B1001-IF($A1029&gt;='1-Input'!$C$12,'1-Input'!$B$12,0))-MIN(MAX(F1028,0),MAX(0,B1001-IF($A1029&gt;='1-Input'!$C$12,'1-Input'!$B$12,0))))*(1/(1-'P-Parametri'!$B$6*B1029))+MIN(MAX(0,G1028-(MAX(0,B1001-IF($A1029&gt;='1-Input'!$C$12,'1-Input'!$B$12,0))-MIN(MAX(F1028,0),MAX(0,B1001-IF($A1029&gt;='1-Input'!$C$12,'1-Input'!$B$12,0))))*(1/(1-'P-Parametri'!$B$6*B1029))),MAX(0,0*B1001-(F1028-MIN(MAX(F1028,0),MAX(0,B1001-IF($A1029&gt;='1-Input'!$C$12,'1-Input'!$B$12,0)))))*(1/(1-'P-Parametri'!$B$6*B1029))))</f>
        <v>6790.5243342688891</v>
      </c>
      <c r="D1029" s="18">
        <f>IF($A1029&gt;'1-Input'!$B$26,F1028,(F1028-MAX(0,B1001-IF($A1029&gt;='1-Input'!$C$12,'1-Input'!$B$12,0))+C1029*(1-'P-Parametri'!$B$6*B1029))*(1+'1-Input'!$B$27))</f>
        <v>9.0622052084654565E-13</v>
      </c>
      <c r="E1029" s="18">
        <f>IF($A1029&gt;'1-Input'!$B$26,G1028,(G1028-C1029)*(1+'5-Roberta'!$C$4))</f>
        <v>211135.84900886088</v>
      </c>
      <c r="F1029" s="18">
        <f>IF($A1029&gt;'1-Input'!$B$26,D1029,D1029-'P-Parametri'!$B$8*(E1029+D1029)+MIN(MAX(E1029,0),'P-Parametri'!$B$8*(E1029+D1029)))</f>
        <v>9.0949470177292824E-13</v>
      </c>
      <c r="G1029" s="18">
        <f>IF($A1029&gt;'1-Input'!$B$26,E1029,E1029-MIN(MAX(E1029,0),'P-Parametri'!$B$8*(E1029+D1029)))</f>
        <v>210713.57731084316</v>
      </c>
      <c r="H1029" s="18">
        <f>IF($A1029&gt;'1-Input'!$B$26,H1028,H1028-C1029*(1-B1029))</f>
        <v>64329.566049747191</v>
      </c>
      <c r="I1029" s="11">
        <f>IF($A1029&gt;'1-Input'!$B$26,0,IF(N1028&lt;=0,0,MAX(0,(N1028-O1028)/N1028)))</f>
        <v>0</v>
      </c>
      <c r="J1029" s="18">
        <f>IF($A1029&gt;'1-Input'!$B$26,0,(MAX(0,I1001-IF($A1029&gt;='1-Input'!$C$12,'1-Input'!$B$12,0))-MIN(MAX(M1028,0),MAX(0,I1001-IF($A1029&gt;='1-Input'!$C$12,'1-Input'!$B$12,0))))*(1/(1-'P-Parametri'!$B$6*I1029))+MIN(MAX(0,N1028-(MAX(0,I1001-IF($A1029&gt;='1-Input'!$C$12,'1-Input'!$B$12,0))-MIN(MAX(M1028,0),MAX(0,I1001-IF($A1029&gt;='1-Input'!$C$12,'1-Input'!$B$12,0))))*(1/(1-'P-Parametri'!$B$6*I1029))),MAX(0,0*I1001-(M1028-MIN(MAX(M1028,0),MAX(0,I1001-IF($A1029&gt;='1-Input'!$C$12,'1-Input'!$B$12,0)))))*(1/(1-'P-Parametri'!$B$6*I1029))))</f>
        <v>10846.756992928691</v>
      </c>
      <c r="K1029" s="18">
        <f>IF($A1029&gt;'1-Input'!$B$26,M1028,(M1028-MAX(0,I1001-IF($A1029&gt;='1-Input'!$C$12,'1-Input'!$B$12,0))+J1029*(1-'P-Parametri'!$B$6*I1029))*(1+'1-Input'!$B$27))</f>
        <v>-1.8124410416930913E-12</v>
      </c>
      <c r="L1029" s="18">
        <f>IF($A1029&gt;'1-Input'!$B$26,N1028,(N1028-J1029)*(1+'5-Roberta'!$C$4))</f>
        <v>-22376.406863970366</v>
      </c>
      <c r="M1029" s="18">
        <f>IF($A1029&gt;'1-Input'!$B$26,K1029,K1029-'P-Parametri'!$B$8*(L1029+K1029)+MIN(MAX(L1029,0),'P-Parametri'!$B$8*(L1029+K1029)))</f>
        <v>-1.8118839761882555E-12</v>
      </c>
      <c r="N1029" s="18">
        <f>IF($A1029&gt;'1-Input'!$B$26,L1029,L1029-MIN(MAX(L1029,0),'P-Parametri'!$B$8*(L1029+K1029)))</f>
        <v>-22331.654050242425</v>
      </c>
      <c r="O1029" s="18">
        <f>IF($A1029&gt;'1-Input'!$B$26,O1028,O1028-J1029*(1-I1029))</f>
        <v>-14260.503929704548</v>
      </c>
      <c r="P1029" s="11">
        <f>IF($A1029&gt;'1-Input'!$B$26,0,IF(U1028&lt;=0,0,MAX(0,(U1028-V1028)/U1028)))</f>
        <v>0.68617620673001434</v>
      </c>
      <c r="Q1029" s="18">
        <f>IF($A1029&gt;'1-Input'!$B$26,0,(MAX(0,P1001-IF($A1029&gt;='1-Input'!$C$12,'1-Input'!$B$12,0))-MIN(MAX(T1028,0),MAX(0,P1001-IF($A1029&gt;='1-Input'!$C$12,'1-Input'!$B$12,0))))*(1/(1-'P-Parametri'!$B$6*P1029))+MIN(MAX(0,U1028-(MAX(0,P1001-IF($A1029&gt;='1-Input'!$C$12,'1-Input'!$B$12,0))-MIN(MAX(T1028,0),MAX(0,P1001-IF($A1029&gt;='1-Input'!$C$12,'1-Input'!$B$12,0))))*(1/(1-'P-Parametri'!$B$6*P1029))),MAX(0,0*P1001-(T1028-MIN(MAX(T1028,0),MAX(0,P1001-IF($A1029&gt;='1-Input'!$C$12,'1-Input'!$B$12,0)))))*(1/(1-'P-Parametri'!$B$6*P1029))))</f>
        <v>9135.138596867966</v>
      </c>
      <c r="R1029" s="18">
        <f>IF($A1029&gt;'1-Input'!$B$26,T1028,(T1028-MAX(0,P1001-IF($A1029&gt;='1-Input'!$C$12,'1-Input'!$B$12,0))+Q1029*(1-'P-Parametri'!$B$6*P1029))*(1+'1-Input'!$B$27))</f>
        <v>9.0622052084654565E-13</v>
      </c>
      <c r="S1029" s="18">
        <f>IF($A1029&gt;'1-Input'!$B$26,U1028,(U1028-Q1029)*(1+'5-Roberta'!$C$4))</f>
        <v>124856.68428906039</v>
      </c>
      <c r="T1029" s="18">
        <f>IF($A1029&gt;'1-Input'!$B$26,R1029,R1029-'P-Parametri'!$B$8*(S1029+R1029)+MIN(MAX(S1029,0),'P-Parametri'!$B$8*(S1029+R1029)))</f>
        <v>9.0949470177292824E-13</v>
      </c>
      <c r="U1029" s="18">
        <f>IF($A1029&gt;'1-Input'!$B$26,S1029,S1029-MIN(MAX(S1029,0),'P-Parametri'!$B$8*(S1029+R1029)))</f>
        <v>124606.97092048227</v>
      </c>
      <c r="V1029" s="18">
        <f>IF($A1029&gt;'1-Input'!$B$26,V1028,V1028-Q1029*(1-P1029))</f>
        <v>38041.74590165625</v>
      </c>
      <c r="W1029" s="11">
        <f>IF($A1029&gt;'1-Input'!$B$26,0,IF(AB1028&lt;=0,0,MAX(0,(AB1028-AC1028)/AB1028)))</f>
        <v>0.68617620673001445</v>
      </c>
      <c r="X1029" s="18">
        <f>IF($A1029&gt;'1-Input'!$B$26,0,(MAX(0,W1001-IF($A1029&gt;='1-Input'!$C$12,'1-Input'!$B$12,0))-MIN(MAX(AA1028,0),MAX(0,W1001-IF($A1029&gt;='1-Input'!$C$12,'1-Input'!$B$12,0))))*(1/(1-'P-Parametri'!$B$6*W1029))+MIN(MAX(0,AB1028-(MAX(0,W1001-IF($A1029&gt;='1-Input'!$C$12,'1-Input'!$B$12,0))-MIN(MAX(AA1028,0),MAX(0,W1001-IF($A1029&gt;='1-Input'!$C$12,'1-Input'!$B$12,0))))*(1/(1-'P-Parametri'!$B$6*W1029))),MAX(0,0*W1001-(AA1028-MIN(MAX(AA1028,0),MAX(0,W1001-IF($A1029&gt;='1-Input'!$C$12,'1-Input'!$B$12,0)))))*(1/(1-'P-Parametri'!$B$6*W1029))))</f>
        <v>8829.9882055124435</v>
      </c>
      <c r="Y1029" s="18">
        <f>IF($A1029&gt;'1-Input'!$B$26,AA1028,(AA1028-MAX(0,W1001-IF($A1029&gt;='1-Input'!$C$12,'1-Input'!$B$12,0))+X1029*(1-'P-Parametri'!$B$6*W1029))*(1+'1-Input'!$B$27))</f>
        <v>0</v>
      </c>
      <c r="Z1029" s="18">
        <f>IF($A1029&gt;'1-Input'!$B$26,AB1028,(AB1028-X1029)*(1+'5-Roberta'!$C$4))</f>
        <v>136085.87507752277</v>
      </c>
      <c r="AA1029" s="18">
        <f>IF($A1029&gt;'1-Input'!$B$26,Y1029,Y1029-'P-Parametri'!$B$8*(Z1029+Y1029)+MIN(MAX(Z1029,0),'P-Parametri'!$B$8*(Z1029+Y1029)))</f>
        <v>0</v>
      </c>
      <c r="AB1029" s="18">
        <f>IF($A1029&gt;'1-Input'!$B$26,Z1029,Z1029-MIN(MAX(Z1029,0),'P-Parametri'!$B$8*(Z1029+Y1029)))</f>
        <v>135813.70332736772</v>
      </c>
      <c r="AC1029" s="18">
        <f>IF($A1029&gt;'1-Input'!$B$26,AC1028,AC1028-X1029*(1-W1029))</f>
        <v>41463.092744945214</v>
      </c>
      <c r="AD1029" s="11">
        <f>IF($A1029&gt;'1-Input'!$B$26,0,IF(AI1028&lt;=0,0,MAX(0,(AI1028-AJ1028)/AI1028)))</f>
        <v>0.68617620673001445</v>
      </c>
      <c r="AE1029" s="18">
        <f>IF($A1029&gt;'1-Input'!$B$26,0,(MAX(0,AD1001-IF($A1029&gt;='1-Input'!$C$12,'1-Input'!$B$12,0))-MIN(MAX(AH1028,0),MAX(0,AD1001-IF($A1029&gt;='1-Input'!$C$12,'1-Input'!$B$12,0))))*(1/(1-'P-Parametri'!$B$6*AD1029))+MIN(MAX(0,AI1028-(MAX(0,AD1001-IF($A1029&gt;='1-Input'!$C$12,'1-Input'!$B$12,0))-MIN(MAX(AH1028,0),MAX(0,AD1001-IF($A1029&gt;='1-Input'!$C$12,'1-Input'!$B$12,0))))*(1/(1-'P-Parametri'!$B$6*AD1029))),MAX(0,0*AD1001-(AH1028-MIN(MAX(AH1028,0),MAX(0,AD1001-IF($A1029&gt;='1-Input'!$C$12,'1-Input'!$B$12,0)))))*(1/(1-'P-Parametri'!$B$6*AD1029))))</f>
        <v>8841.2201022473255</v>
      </c>
      <c r="AF1029" s="18">
        <f>IF($A1029&gt;'1-Input'!$B$26,AH1028,(AH1028-MAX(0,AD1001-IF($A1029&gt;='1-Input'!$C$12,'1-Input'!$B$12,0))+AE1029*(1-'P-Parametri'!$B$6*AD1029))*(1+'1-Input'!$B$27))</f>
        <v>9.0622052084654565E-13</v>
      </c>
      <c r="AG1029" s="18">
        <f>IF($A1029&gt;'1-Input'!$B$26,AI1028,(AI1028-AE1029)*(1+'5-Roberta'!$C$4))</f>
        <v>135672.55392531291</v>
      </c>
      <c r="AH1029" s="18">
        <f>IF($A1029&gt;'1-Input'!$B$26,AF1029,AF1029-'P-Parametri'!$B$8*(AG1029+AF1029)+MIN(MAX(AG1029,0),'P-Parametri'!$B$8*(AG1029+AF1029)))</f>
        <v>9.0949470177292824E-13</v>
      </c>
      <c r="AI1029" s="18">
        <f>IF($A1029&gt;'1-Input'!$B$26,AG1029,AG1029-MIN(MAX(AG1029,0),'P-Parametri'!$B$8*(AG1029+AF1029)))</f>
        <v>135401.20881746229</v>
      </c>
      <c r="AJ1029" s="18">
        <f>IF($A1029&gt;'1-Input'!$B$26,AJ1028,AJ1028-AE1029*(1-AD1029))</f>
        <v>41337.160694629492</v>
      </c>
      <c r="AK1029" s="11">
        <f>IF($A1029&gt;'1-Input'!$B$26,0,IF(AP1028&lt;=0,0,MAX(0,(AP1028-AQ1028)/AP1028)))</f>
        <v>0.68617620673001445</v>
      </c>
      <c r="AL1029" s="18">
        <f>IF($A1029&gt;'1-Input'!$B$26,0,(MAX(0,AK1001-IF($A1029&gt;='1-Input'!$C$12,'1-Input'!$B$12,0))-MIN(MAX(AO1028,0),MAX(0,AK1001-IF($A1029&gt;='1-Input'!$C$12,'1-Input'!$B$12,0))))*(1/(1-'P-Parametri'!$B$6*AK1029))+MIN(MAX(0,AP1028-(MAX(0,AK1001-IF($A1029&gt;='1-Input'!$C$12,'1-Input'!$B$12,0))-MIN(MAX(AO1028,0),MAX(0,AK1001-IF($A1029&gt;='1-Input'!$C$12,'1-Input'!$B$12,0))))*(1/(1-'P-Parametri'!$B$6*AK1029))),MAX(0,0*AK1001-(AO1028-MIN(MAX(AO1028,0),MAX(0,AK1001-IF($A1029&gt;='1-Input'!$C$12,'1-Input'!$B$12,0)))))*(1/(1-'P-Parametri'!$B$6*AK1029))))</f>
        <v>8839.4675285017674</v>
      </c>
      <c r="AM1029" s="18">
        <f>IF($A1029&gt;'1-Input'!$B$26,AO1028,(AO1028-MAX(0,AK1001-IF($A1029&gt;='1-Input'!$C$12,'1-Input'!$B$12,0))+AL1029*(1-'P-Parametri'!$B$6*AK1029))*(1+'1-Input'!$B$27))</f>
        <v>9.0622052084654565E-13</v>
      </c>
      <c r="AN1029" s="18">
        <f>IF($A1029&gt;'1-Input'!$B$26,AP1028,(AP1028-AL1029)*(1+'5-Roberta'!$C$4))</f>
        <v>135737.04666567079</v>
      </c>
      <c r="AO1029" s="18">
        <f>IF($A1029&gt;'1-Input'!$B$26,AM1029,AM1029-'P-Parametri'!$B$8*(AN1029+AM1029)+MIN(MAX(AN1029,0),'P-Parametri'!$B$8*(AN1029+AM1029)))</f>
        <v>9.0949470177292824E-13</v>
      </c>
      <c r="AP1029" s="18">
        <f>IF($A1029&gt;'1-Input'!$B$26,AN1029,AN1029-MIN(MAX(AN1029,0),'P-Parametri'!$B$8*(AN1029+AM1029)))</f>
        <v>135465.57257233944</v>
      </c>
      <c r="AQ1029" s="18">
        <f>IF($A1029&gt;'1-Input'!$B$26,AQ1028,AQ1028-AL1029*(1-AK1029))</f>
        <v>41356.810555228978</v>
      </c>
    </row>
    <row r="1030" spans="1:43">
      <c r="A1030" s="10">
        <f>27</f>
        <v>27</v>
      </c>
      <c r="B1030" s="11">
        <f>IF($A1030&gt;'1-Input'!$B$26,0,IF(G1029&lt;=0,0,MAX(0,(G1029-H1029)/G1029)))</f>
        <v>0.69470611779871838</v>
      </c>
      <c r="C1030" s="18">
        <f>IF($A1030&gt;'1-Input'!$B$26,0,(MAX(0,B1001-IF($A1030&gt;='1-Input'!$C$12,'1-Input'!$B$12,0))-MIN(MAX(F1029,0),MAX(0,B1001-IF($A1030&gt;='1-Input'!$C$12,'1-Input'!$B$12,0))))*(1/(1-'P-Parametri'!$B$6*B1030))+MIN(MAX(0,G1029-(MAX(0,B1001-IF($A1030&gt;='1-Input'!$C$12,'1-Input'!$B$12,0))-MIN(MAX(F1029,0),MAX(0,B1001-IF($A1030&gt;='1-Input'!$C$12,'1-Input'!$B$12,0))))*(1/(1-'P-Parametri'!$B$6*B1030))),MAX(0,0*B1001-(F1029-MIN(MAX(F1029,0),MAX(0,B1001-IF($A1030&gt;='1-Input'!$C$12,'1-Input'!$B$12,0)))))*(1/(1-'P-Parametri'!$B$6*B1030))))</f>
        <v>6808.904004082231</v>
      </c>
      <c r="D1030" s="18">
        <f>IF($A1030&gt;'1-Input'!$B$26,F1029,(F1029-MAX(0,B1001-IF($A1030&gt;='1-Input'!$C$12,'1-Input'!$B$12,0))+C1030*(1-'P-Parametri'!$B$6*B1030))*(1+'1-Input'!$B$27))</f>
        <v>-9.0622052084654565E-13</v>
      </c>
      <c r="E1030" s="18">
        <f>IF($A1030&gt;'1-Input'!$B$26,G1029,(G1029-C1030)*(1+'5-Roberta'!$C$4))</f>
        <v>210021.81350596377</v>
      </c>
      <c r="F1030" s="18">
        <f>IF($A1030&gt;'1-Input'!$B$26,D1030,D1030-'P-Parametri'!$B$8*(E1030+D1030)+MIN(MAX(E1030,0),'P-Parametri'!$B$8*(E1030+D1030)))</f>
        <v>-9.0949470177292824E-13</v>
      </c>
      <c r="G1030" s="18">
        <f>IF($A1030&gt;'1-Input'!$B$26,E1030,E1030-MIN(MAX(E1030,0),'P-Parametri'!$B$8*(E1030+D1030)))</f>
        <v>209601.76987895183</v>
      </c>
      <c r="H1030" s="18">
        <f>IF($A1030&gt;'1-Input'!$B$26,H1029,H1029-C1030*(1-B1030))</f>
        <v>62250.849312805076</v>
      </c>
      <c r="I1030" s="11">
        <f>IF($A1030&gt;'1-Input'!$B$26,0,IF(N1029&lt;=0,0,MAX(0,(N1029-O1029)/N1029)))</f>
        <v>0</v>
      </c>
      <c r="J1030" s="18">
        <f>IF($A1030&gt;'1-Input'!$B$26,0,(MAX(0,I1001-IF($A1030&gt;='1-Input'!$C$12,'1-Input'!$B$12,0))-MIN(MAX(M1029,0),MAX(0,I1001-IF($A1030&gt;='1-Input'!$C$12,'1-Input'!$B$12,0))))*(1/(1-'P-Parametri'!$B$6*I1030))+MIN(MAX(0,N1029-(MAX(0,I1001-IF($A1030&gt;='1-Input'!$C$12,'1-Input'!$B$12,0))-MIN(MAX(M1029,0),MAX(0,I1001-IF($A1030&gt;='1-Input'!$C$12,'1-Input'!$B$12,0))))*(1/(1-'P-Parametri'!$B$6*I1030))),MAX(0,0*I1001-(M1029-MIN(MAX(M1029,0),MAX(0,I1001-IF($A1030&gt;='1-Input'!$C$12,'1-Input'!$B$12,0)))))*(1/(1-'P-Parametri'!$B$6*I1030))))</f>
        <v>10846.756992928691</v>
      </c>
      <c r="K1030" s="18">
        <f>IF($A1030&gt;'1-Input'!$B$26,M1029,(M1029-MAX(0,I1001-IF($A1030&gt;='1-Input'!$C$12,'1-Input'!$B$12,0))+J1030*(1-'P-Parametri'!$B$6*I1030))*(1+'1-Input'!$B$27))</f>
        <v>-1.8124410416930913E-12</v>
      </c>
      <c r="L1030" s="18">
        <f>IF($A1030&gt;'1-Input'!$B$26,N1029,(N1029-J1030)*(1+'5-Roberta'!$C$4))</f>
        <v>-34173.763374466253</v>
      </c>
      <c r="M1030" s="18">
        <f>IF($A1030&gt;'1-Input'!$B$26,K1030,K1030-'P-Parametri'!$B$8*(L1030+K1030)+MIN(MAX(L1030,0),'P-Parametri'!$B$8*(L1030+K1030)))</f>
        <v>-1.8189894035458565E-12</v>
      </c>
      <c r="N1030" s="18">
        <f>IF($A1030&gt;'1-Input'!$B$26,L1030,L1030-MIN(MAX(L1030,0),'P-Parametri'!$B$8*(L1030+K1030)))</f>
        <v>-34105.415847717319</v>
      </c>
      <c r="O1030" s="18">
        <f>IF($A1030&gt;'1-Input'!$B$26,O1029,O1029-J1030*(1-I1030))</f>
        <v>-25107.260922633239</v>
      </c>
      <c r="P1030" s="11">
        <f>IF($A1030&gt;'1-Input'!$B$26,0,IF(U1029&lt;=0,0,MAX(0,(U1029-V1029)/U1029)))</f>
        <v>0.69470611779871827</v>
      </c>
      <c r="Q1030" s="18">
        <f>IF($A1030&gt;'1-Input'!$B$26,0,(MAX(0,P1001-IF($A1030&gt;='1-Input'!$C$12,'1-Input'!$B$12,0))-MIN(MAX(T1029,0),MAX(0,P1001-IF($A1030&gt;='1-Input'!$C$12,'1-Input'!$B$12,0))))*(1/(1-'P-Parametri'!$B$6*P1030))+MIN(MAX(0,U1029-(MAX(0,P1001-IF($A1030&gt;='1-Input'!$C$12,'1-Input'!$B$12,0))-MIN(MAX(T1029,0),MAX(0,P1001-IF($A1030&gt;='1-Input'!$C$12,'1-Input'!$B$12,0))))*(1/(1-'P-Parametri'!$B$6*P1030))),MAX(0,0*P1001-(T1029-MIN(MAX(T1029,0),MAX(0,P1001-IF($A1030&gt;='1-Input'!$C$12,'1-Input'!$B$12,0)))))*(1/(1-'P-Parametri'!$B$6*P1030))))</f>
        <v>9159.8643504098909</v>
      </c>
      <c r="R1030" s="18">
        <f>IF($A1030&gt;'1-Input'!$B$26,T1029,(T1029-MAX(0,P1001-IF($A1030&gt;='1-Input'!$C$12,'1-Input'!$B$12,0))+Q1030*(1-'P-Parametri'!$B$6*P1030))*(1+'1-Input'!$B$27))</f>
        <v>0</v>
      </c>
      <c r="S1030" s="18">
        <f>IF($A1030&gt;'1-Input'!$B$26,U1029,(U1029-Q1030)*(1+'5-Roberta'!$C$4))</f>
        <v>118910.51976717456</v>
      </c>
      <c r="T1030" s="18">
        <f>IF($A1030&gt;'1-Input'!$B$26,R1030,R1030-'P-Parametri'!$B$8*(S1030+R1030)+MIN(MAX(S1030,0),'P-Parametri'!$B$8*(S1030+R1030)))</f>
        <v>0</v>
      </c>
      <c r="U1030" s="18">
        <f>IF($A1030&gt;'1-Input'!$B$26,S1030,S1030-MIN(MAX(S1030,0),'P-Parametri'!$B$8*(S1030+R1030)))</f>
        <v>118672.69872764021</v>
      </c>
      <c r="V1030" s="18">
        <f>IF($A1030&gt;'1-Input'!$B$26,V1029,V1029-Q1030*(1-P1030))</f>
        <v>35245.295353682493</v>
      </c>
      <c r="W1030" s="11">
        <f>IF($A1030&gt;'1-Input'!$B$26,0,IF(AB1029&lt;=0,0,MAX(0,(AB1029-AC1029)/AB1029)))</f>
        <v>0.69470611779871838</v>
      </c>
      <c r="X1030" s="18">
        <f>IF($A1030&gt;'1-Input'!$B$26,0,(MAX(0,W1001-IF($A1030&gt;='1-Input'!$C$12,'1-Input'!$B$12,0))-MIN(MAX(AA1029,0),MAX(0,W1001-IF($A1030&gt;='1-Input'!$C$12,'1-Input'!$B$12,0))))*(1/(1-'P-Parametri'!$B$6*W1030))+MIN(MAX(0,AB1029-(MAX(0,W1001-IF($A1030&gt;='1-Input'!$C$12,'1-Input'!$B$12,0))-MIN(MAX(AA1029,0),MAX(0,W1001-IF($A1030&gt;='1-Input'!$C$12,'1-Input'!$B$12,0))))*(1/(1-'P-Parametri'!$B$6*W1030))),MAX(0,0*W1001-(AA1029-MIN(MAX(AA1029,0),MAX(0,W1001-IF($A1030&gt;='1-Input'!$C$12,'1-Input'!$B$12,0)))))*(1/(1-'P-Parametri'!$B$6*W1030))))</f>
        <v>8853.8880193830792</v>
      </c>
      <c r="Y1030" s="18">
        <f>IF($A1030&gt;'1-Input'!$B$26,AA1029,(AA1029-MAX(0,W1001-IF($A1030&gt;='1-Input'!$C$12,'1-Input'!$B$12,0))+X1030*(1-'P-Parametri'!$B$6*W1030))*(1+'1-Input'!$B$27))</f>
        <v>0</v>
      </c>
      <c r="Z1030" s="18">
        <f>IF($A1030&gt;'1-Input'!$B$26,AB1029,(AB1029-X1030)*(1+'5-Roberta'!$C$4))</f>
        <v>130768.60976722417</v>
      </c>
      <c r="AA1030" s="18">
        <f>IF($A1030&gt;'1-Input'!$B$26,Y1030,Y1030-'P-Parametri'!$B$8*(Z1030+Y1030)+MIN(MAX(Z1030,0),'P-Parametri'!$B$8*(Z1030+Y1030)))</f>
        <v>0</v>
      </c>
      <c r="AB1030" s="18">
        <f>IF($A1030&gt;'1-Input'!$B$26,Z1030,Z1030-MIN(MAX(Z1030,0),'P-Parametri'!$B$8*(Z1030+Y1030)))</f>
        <v>130507.07254768972</v>
      </c>
      <c r="AC1030" s="18">
        <f>IF($A1030&gt;'1-Input'!$B$26,AC1029,AC1029-X1030*(1-W1030))</f>
        <v>38760.054898932336</v>
      </c>
      <c r="AD1030" s="11">
        <f>IF($A1030&gt;'1-Input'!$B$26,0,IF(AI1029&lt;=0,0,MAX(0,(AI1029-AJ1029)/AI1029)))</f>
        <v>0.69470611779871816</v>
      </c>
      <c r="AE1030" s="18">
        <f>IF($A1030&gt;'1-Input'!$B$26,0,(MAX(0,AD1001-IF($A1030&gt;='1-Input'!$C$12,'1-Input'!$B$12,0))-MIN(MAX(AH1029,0),MAX(0,AD1001-IF($A1030&gt;='1-Input'!$C$12,'1-Input'!$B$12,0))))*(1/(1-'P-Parametri'!$B$6*AD1030))+MIN(MAX(0,AI1029-(MAX(0,AD1001-IF($A1030&gt;='1-Input'!$C$12,'1-Input'!$B$12,0))-MIN(MAX(AH1029,0),MAX(0,AD1001-IF($A1030&gt;='1-Input'!$C$12,'1-Input'!$B$12,0))))*(1/(1-'P-Parametri'!$B$6*AD1030))),MAX(0,0*AD1001-(AH1029-MIN(MAX(AH1029,0),MAX(0,AD1001-IF($A1030&gt;='1-Input'!$C$12,'1-Input'!$B$12,0)))))*(1/(1-'P-Parametri'!$B$6*AD1030))))</f>
        <v>8865.1503170919041</v>
      </c>
      <c r="AF1030" s="18">
        <f>IF($A1030&gt;'1-Input'!$B$26,AH1029,(AH1029-MAX(0,AD1001-IF($A1030&gt;='1-Input'!$C$12,'1-Input'!$B$12,0))+AE1030*(1-'P-Parametri'!$B$6*AD1030))*(1+'1-Input'!$B$27))</f>
        <v>0</v>
      </c>
      <c r="AG1030" s="18">
        <f>IF($A1030&gt;'1-Input'!$B$26,AI1029,(AI1029-AE1030)*(1+'5-Roberta'!$C$4))</f>
        <v>130332.1402553815</v>
      </c>
      <c r="AH1030" s="18">
        <f>IF($A1030&gt;'1-Input'!$B$26,AF1030,AF1030-'P-Parametri'!$B$8*(AG1030+AF1030)+MIN(MAX(AG1030,0),'P-Parametri'!$B$8*(AG1030+AF1030)))</f>
        <v>0</v>
      </c>
      <c r="AI1030" s="18">
        <f>IF($A1030&gt;'1-Input'!$B$26,AG1030,AG1030-MIN(MAX(AG1030,0),'P-Parametri'!$B$8*(AG1030+AF1030)))</f>
        <v>130071.47597487073</v>
      </c>
      <c r="AJ1030" s="18">
        <f>IF($A1030&gt;'1-Input'!$B$26,AJ1029,AJ1029-AE1030*(1-AD1030))</f>
        <v>38630.68453802658</v>
      </c>
      <c r="AK1030" s="11">
        <f>IF($A1030&gt;'1-Input'!$B$26,0,IF(AP1029&lt;=0,0,MAX(0,(AP1029-AQ1029)/AP1029)))</f>
        <v>0.69470611779871827</v>
      </c>
      <c r="AL1030" s="18">
        <f>IF($A1030&gt;'1-Input'!$B$26,0,(MAX(0,AK1001-IF($A1030&gt;='1-Input'!$C$12,'1-Input'!$B$12,0))-MIN(MAX(AO1029,0),MAX(0,AK1001-IF($A1030&gt;='1-Input'!$C$12,'1-Input'!$B$12,0))))*(1/(1-'P-Parametri'!$B$6*AK1030))+MIN(MAX(0,AP1029-(MAX(0,AK1001-IF($A1030&gt;='1-Input'!$C$12,'1-Input'!$B$12,0))-MIN(MAX(AO1029,0),MAX(0,AK1001-IF($A1030&gt;='1-Input'!$C$12,'1-Input'!$B$12,0))))*(1/(1-'P-Parametri'!$B$6*AK1030))),MAX(0,0*AK1001-(AO1029-MIN(MAX(AO1029,0),MAX(0,AK1001-IF($A1030&gt;='1-Input'!$C$12,'1-Input'!$B$12,0)))))*(1/(1-'P-Parametri'!$B$6*AK1030))))</f>
        <v>8863.3929997175492</v>
      </c>
      <c r="AM1030" s="18">
        <f>IF($A1030&gt;'1-Input'!$B$26,AO1029,(AO1029-MAX(0,AK1001-IF($A1030&gt;='1-Input'!$C$12,'1-Input'!$B$12,0))+AL1030*(1-'P-Parametri'!$B$6*AK1030))*(1+'1-Input'!$B$27))</f>
        <v>-9.0622052084654565E-13</v>
      </c>
      <c r="AN1030" s="18">
        <f>IF($A1030&gt;'1-Input'!$B$26,AP1029,(AP1029-AL1030)*(1+'5-Roberta'!$C$4))</f>
        <v>130400.24495980056</v>
      </c>
      <c r="AO1030" s="18">
        <f>IF($A1030&gt;'1-Input'!$B$26,AM1030,AM1030-'P-Parametri'!$B$8*(AN1030+AM1030)+MIN(MAX(AN1030,0),'P-Parametri'!$B$8*(AN1030+AM1030)))</f>
        <v>-9.0949470177292824E-13</v>
      </c>
      <c r="AP1030" s="18">
        <f>IF($A1030&gt;'1-Input'!$B$26,AN1030,AN1030-MIN(MAX(AN1030,0),'P-Parametri'!$B$8*(AN1030+AM1030)))</f>
        <v>130139.44446988097</v>
      </c>
      <c r="AQ1030" s="18">
        <f>IF($A1030&gt;'1-Input'!$B$26,AQ1029,AQ1029-AL1030*(1-AK1030))</f>
        <v>38650.870896869543</v>
      </c>
    </row>
    <row r="1031" spans="1:43">
      <c r="A1031" s="10">
        <f>28</f>
        <v>28</v>
      </c>
      <c r="B1031" s="11">
        <f>IF($A1031&gt;'1-Input'!$B$26,0,IF(G1030&lt;=0,0,MAX(0,(G1030-H1030)/G1030)))</f>
        <v>0.70300418098207917</v>
      </c>
      <c r="C1031" s="18">
        <f>IF($A1031&gt;'1-Input'!$B$26,0,(MAX(0,B1001-IF($A1031&gt;='1-Input'!$C$12,'1-Input'!$B$12,0))-MIN(MAX(F1030,0),MAX(0,B1001-IF($A1031&gt;='1-Input'!$C$12,'1-Input'!$B$12,0))))*(1/(1-'P-Parametri'!$B$6*B1031))+MIN(MAX(0,G1030-(MAX(0,B1001-IF($A1031&gt;='1-Input'!$C$12,'1-Input'!$B$12,0))-MIN(MAX(F1030,0),MAX(0,B1001-IF($A1031&gt;='1-Input'!$C$12,'1-Input'!$B$12,0))))*(1/(1-'P-Parametri'!$B$6*B1031))),MAX(0,0*B1001-(F1030-MIN(MAX(F1030,0),MAX(0,B1001-IF($A1031&gt;='1-Input'!$C$12,'1-Input'!$B$12,0)))))*(1/(1-'P-Parametri'!$B$6*B1031))))</f>
        <v>6826.8798314064552</v>
      </c>
      <c r="D1031" s="18">
        <f>IF($A1031&gt;'1-Input'!$B$26,F1030,(F1030-MAX(0,B1001-IF($A1031&gt;='1-Input'!$C$12,'1-Input'!$B$12,0))+C1031*(1-'P-Parametri'!$B$6*B1031))*(1+'1-Input'!$B$27))</f>
        <v>0</v>
      </c>
      <c r="E1031" s="18">
        <f>IF($A1031&gt;'1-Input'!$B$26,G1030,(G1030-C1031)*(1+'5-Roberta'!$C$4))</f>
        <v>208858.13674897174</v>
      </c>
      <c r="F1031" s="18">
        <f>IF($A1031&gt;'1-Input'!$B$26,D1031,D1031-'P-Parametri'!$B$8*(E1031+D1031)+MIN(MAX(E1031,0),'P-Parametri'!$B$8*(E1031+D1031)))</f>
        <v>0</v>
      </c>
      <c r="G1031" s="18">
        <f>IF($A1031&gt;'1-Input'!$B$26,E1031,E1031-MIN(MAX(E1031,0),'P-Parametri'!$B$8*(E1031+D1031)))</f>
        <v>208440.4204754738</v>
      </c>
      <c r="H1031" s="18">
        <f>IF($A1031&gt;'1-Input'!$B$26,H1030,H1030-C1031*(1-B1031))</f>
        <v>60223.294545939592</v>
      </c>
      <c r="I1031" s="11">
        <f>IF($A1031&gt;'1-Input'!$B$26,0,IF(N1030&lt;=0,0,MAX(0,(N1030-O1030)/N1030)))</f>
        <v>0</v>
      </c>
      <c r="J1031" s="18">
        <f>IF($A1031&gt;'1-Input'!$B$26,0,(MAX(0,I1001-IF($A1031&gt;='1-Input'!$C$12,'1-Input'!$B$12,0))-MIN(MAX(M1030,0),MAX(0,I1001-IF($A1031&gt;='1-Input'!$C$12,'1-Input'!$B$12,0))))*(1/(1-'P-Parametri'!$B$6*I1031))+MIN(MAX(0,N1030-(MAX(0,I1001-IF($A1031&gt;='1-Input'!$C$12,'1-Input'!$B$12,0))-MIN(MAX(M1030,0),MAX(0,I1001-IF($A1031&gt;='1-Input'!$C$12,'1-Input'!$B$12,0))))*(1/(1-'P-Parametri'!$B$6*I1031))),MAX(0,0*I1001-(M1030-MIN(MAX(M1030,0),MAX(0,I1001-IF($A1031&gt;='1-Input'!$C$12,'1-Input'!$B$12,0)))))*(1/(1-'P-Parametri'!$B$6*I1031))))</f>
        <v>10846.756992928691</v>
      </c>
      <c r="K1031" s="18">
        <f>IF($A1031&gt;'1-Input'!$B$26,M1030,(M1030-MAX(0,I1001-IF($A1031&gt;='1-Input'!$C$12,'1-Input'!$B$12,0))+J1031*(1-'P-Parametri'!$B$6*I1031))*(1+'1-Input'!$B$27))</f>
        <v>-1.8124410416930913E-12</v>
      </c>
      <c r="L1031" s="18">
        <f>IF($A1031&gt;'1-Input'!$B$26,N1030,(N1030-J1031)*(1+'5-Roberta'!$C$4))</f>
        <v>-46300.738025865394</v>
      </c>
      <c r="M1031" s="18">
        <f>IF($A1031&gt;'1-Input'!$B$26,K1031,K1031-'P-Parametri'!$B$8*(L1031+K1031)+MIN(MAX(L1031,0),'P-Parametri'!$B$8*(L1031+K1031)))</f>
        <v>-1.8189894035458565E-12</v>
      </c>
      <c r="N1031" s="18">
        <f>IF($A1031&gt;'1-Input'!$B$26,L1031,L1031-MIN(MAX(L1031,0),'P-Parametri'!$B$8*(L1031+K1031)))</f>
        <v>-46208.136549813666</v>
      </c>
      <c r="O1031" s="18">
        <f>IF($A1031&gt;'1-Input'!$B$26,O1030,O1030-J1031*(1-I1031))</f>
        <v>-35954.017915561926</v>
      </c>
      <c r="P1031" s="11">
        <f>IF($A1031&gt;'1-Input'!$B$26,0,IF(U1030&lt;=0,0,MAX(0,(U1030-V1030)/U1030)))</f>
        <v>0.70300418098207906</v>
      </c>
      <c r="Q1031" s="18">
        <f>IF($A1031&gt;'1-Input'!$B$26,0,(MAX(0,P1001-IF($A1031&gt;='1-Input'!$C$12,'1-Input'!$B$12,0))-MIN(MAX(T1030,0),MAX(0,P1001-IF($A1031&gt;='1-Input'!$C$12,'1-Input'!$B$12,0))))*(1/(1-'P-Parametri'!$B$6*P1031))+MIN(MAX(0,U1030-(MAX(0,P1001-IF($A1031&gt;='1-Input'!$C$12,'1-Input'!$B$12,0))-MIN(MAX(T1030,0),MAX(0,P1001-IF($A1031&gt;='1-Input'!$C$12,'1-Input'!$B$12,0))))*(1/(1-'P-Parametri'!$B$6*P1031))),MAX(0,0*P1001-(T1030-MIN(MAX(T1030,0),MAX(0,P1001-IF($A1031&gt;='1-Input'!$C$12,'1-Input'!$B$12,0)))))*(1/(1-'P-Parametri'!$B$6*P1031))))</f>
        <v>9184.0468237973182</v>
      </c>
      <c r="R1031" s="18">
        <f>IF($A1031&gt;'1-Input'!$B$26,T1030,(T1030-MAX(0,P1001-IF($A1031&gt;='1-Input'!$C$12,'1-Input'!$B$12,0))+Q1031*(1-'P-Parametri'!$B$6*P1031))*(1+'1-Input'!$B$27))</f>
        <v>-9.0622052084654565E-13</v>
      </c>
      <c r="S1031" s="18">
        <f>IF($A1031&gt;'1-Input'!$B$26,U1030,(U1030-Q1031)*(1+'5-Roberta'!$C$4))</f>
        <v>112773.31146095818</v>
      </c>
      <c r="T1031" s="18">
        <f>IF($A1031&gt;'1-Input'!$B$26,R1031,R1031-'P-Parametri'!$B$8*(S1031+R1031)+MIN(MAX(S1031,0),'P-Parametri'!$B$8*(S1031+R1031)))</f>
        <v>-9.0949470177292824E-13</v>
      </c>
      <c r="U1031" s="18">
        <f>IF($A1031&gt;'1-Input'!$B$26,S1031,S1031-MIN(MAX(S1031,0),'P-Parametri'!$B$8*(S1031+R1031)))</f>
        <v>112547.76483803627</v>
      </c>
      <c r="V1031" s="18">
        <f>IF($A1031&gt;'1-Input'!$B$26,V1030,V1030-Q1031*(1-P1031))</f>
        <v>32517.671845349872</v>
      </c>
      <c r="W1031" s="11">
        <f>IF($A1031&gt;'1-Input'!$B$26,0,IF(AB1030&lt;=0,0,MAX(0,(AB1030-AC1030)/AB1030)))</f>
        <v>0.70300418098207895</v>
      </c>
      <c r="X1031" s="18">
        <f>IF($A1031&gt;'1-Input'!$B$26,0,(MAX(0,W1001-IF($A1031&gt;='1-Input'!$C$12,'1-Input'!$B$12,0))-MIN(MAX(AA1030,0),MAX(0,W1001-IF($A1031&gt;='1-Input'!$C$12,'1-Input'!$B$12,0))))*(1/(1-'P-Parametri'!$B$6*W1031))+MIN(MAX(0,AB1030-(MAX(0,W1001-IF($A1031&gt;='1-Input'!$C$12,'1-Input'!$B$12,0))-MIN(MAX(AA1030,0),MAX(0,W1001-IF($A1031&gt;='1-Input'!$C$12,'1-Input'!$B$12,0))))*(1/(1-'P-Parametri'!$B$6*W1031))),MAX(0,0*W1001-(AA1030-MIN(MAX(AA1030,0),MAX(0,W1001-IF($A1031&gt;='1-Input'!$C$12,'1-Input'!$B$12,0)))))*(1/(1-'P-Parametri'!$B$6*W1031))))</f>
        <v>8877.2627008426807</v>
      </c>
      <c r="Y1031" s="18">
        <f>IF($A1031&gt;'1-Input'!$B$26,AA1030,(AA1030-MAX(0,W1001-IF($A1031&gt;='1-Input'!$C$12,'1-Input'!$B$12,0))+X1031*(1-'P-Parametri'!$B$6*W1031))*(1+'1-Input'!$B$27))</f>
        <v>0</v>
      </c>
      <c r="Z1031" s="18">
        <f>IF($A1031&gt;'1-Input'!$B$26,AB1030,(AB1030-X1031)*(1+'5-Roberta'!$C$4))</f>
        <v>125278.70414225245</v>
      </c>
      <c r="AA1031" s="18">
        <f>IF($A1031&gt;'1-Input'!$B$26,Y1031,Y1031-'P-Parametri'!$B$8*(Z1031+Y1031)+MIN(MAX(Z1031,0),'P-Parametri'!$B$8*(Z1031+Y1031)))</f>
        <v>0</v>
      </c>
      <c r="AB1031" s="18">
        <f>IF($A1031&gt;'1-Input'!$B$26,Z1031,Z1031-MIN(MAX(Z1031,0),'P-Parametri'!$B$8*(Z1031+Y1031)))</f>
        <v>125028.14673396795</v>
      </c>
      <c r="AC1031" s="18">
        <f>IF($A1031&gt;'1-Input'!$B$26,AC1030,AC1030-X1031*(1-W1031))</f>
        <v>36123.544992458323</v>
      </c>
      <c r="AD1031" s="11">
        <f>IF($A1031&gt;'1-Input'!$B$26,0,IF(AI1030&lt;=0,0,MAX(0,(AI1030-AJ1030)/AI1030)))</f>
        <v>0.70300418098207895</v>
      </c>
      <c r="AE1031" s="18">
        <f>IF($A1031&gt;'1-Input'!$B$26,0,(MAX(0,AD1001-IF($A1031&gt;='1-Input'!$C$12,'1-Input'!$B$12,0))-MIN(MAX(AH1030,0),MAX(0,AD1001-IF($A1031&gt;='1-Input'!$C$12,'1-Input'!$B$12,0))))*(1/(1-'P-Parametri'!$B$6*AD1031))+MIN(MAX(0,AI1030-(MAX(0,AD1001-IF($A1031&gt;='1-Input'!$C$12,'1-Input'!$B$12,0))-MIN(MAX(AH1030,0),MAX(0,AD1001-IF($A1031&gt;='1-Input'!$C$12,'1-Input'!$B$12,0))))*(1/(1-'P-Parametri'!$B$6*AD1031))),MAX(0,0*AD1001-(AH1030-MIN(MAX(AH1030,0),MAX(0,AD1001-IF($A1031&gt;='1-Input'!$C$12,'1-Input'!$B$12,0)))))*(1/(1-'P-Parametri'!$B$6*AD1031))))</f>
        <v>8888.5547315480017</v>
      </c>
      <c r="AF1031" s="18">
        <f>IF($A1031&gt;'1-Input'!$B$26,AH1030,(AH1030-MAX(0,AD1001-IF($A1031&gt;='1-Input'!$C$12,'1-Input'!$B$12,0))+AE1031*(1-'P-Parametri'!$B$6*AD1031))*(1+'1-Input'!$B$27))</f>
        <v>0</v>
      </c>
      <c r="AG1031" s="18">
        <f>IF($A1031&gt;'1-Input'!$B$26,AI1030,(AI1030-AE1031)*(1+'5-Roberta'!$C$4))</f>
        <v>124818.4088806224</v>
      </c>
      <c r="AH1031" s="18">
        <f>IF($A1031&gt;'1-Input'!$B$26,AF1031,AF1031-'P-Parametri'!$B$8*(AG1031+AF1031)+MIN(MAX(AG1031,0),'P-Parametri'!$B$8*(AG1031+AF1031)))</f>
        <v>0</v>
      </c>
      <c r="AI1031" s="18">
        <f>IF($A1031&gt;'1-Input'!$B$26,AG1031,AG1031-MIN(MAX(AG1031,0),'P-Parametri'!$B$8*(AG1031+AF1031)))</f>
        <v>124568.77206286116</v>
      </c>
      <c r="AJ1031" s="18">
        <f>IF($A1031&gt;'1-Input'!$B$26,AJ1030,AJ1030-AE1031*(1-AD1031))</f>
        <v>35990.820945644868</v>
      </c>
      <c r="AK1031" s="11">
        <f>IF($A1031&gt;'1-Input'!$B$26,0,IF(AP1030&lt;=0,0,MAX(0,(AP1030-AQ1030)/AP1030)))</f>
        <v>0.70300418098207906</v>
      </c>
      <c r="AL1031" s="18">
        <f>IF($A1031&gt;'1-Input'!$B$26,0,(MAX(0,AK1001-IF($A1031&gt;='1-Input'!$C$12,'1-Input'!$B$12,0))-MIN(MAX(AO1030,0),MAX(0,AK1001-IF($A1031&gt;='1-Input'!$C$12,'1-Input'!$B$12,0))))*(1/(1-'P-Parametri'!$B$6*AK1031))+MIN(MAX(0,AP1030-(MAX(0,AK1001-IF($A1031&gt;='1-Input'!$C$12,'1-Input'!$B$12,0))-MIN(MAX(AO1030,0),MAX(0,AK1001-IF($A1031&gt;='1-Input'!$C$12,'1-Input'!$B$12,0))))*(1/(1-'P-Parametri'!$B$6*AK1031))),MAX(0,0*AK1001-(AO1030-MIN(MAX(AO1030,0),MAX(0,AK1001-IF($A1031&gt;='1-Input'!$C$12,'1-Input'!$B$12,0)))))*(1/(1-'P-Parametri'!$B$6*AK1031))))</f>
        <v>8886.7927747729973</v>
      </c>
      <c r="AM1031" s="18">
        <f>IF($A1031&gt;'1-Input'!$B$26,AO1030,(AO1030-MAX(0,AK1001-IF($A1031&gt;='1-Input'!$C$12,'1-Input'!$B$12,0))+AL1031*(1-'P-Parametri'!$B$6*AK1031))*(1+'1-Input'!$B$27))</f>
        <v>0</v>
      </c>
      <c r="AN1031" s="18">
        <f>IF($A1031&gt;'1-Input'!$B$26,AP1030,(AP1030-AL1031)*(1+'5-Roberta'!$C$4))</f>
        <v>124890.23124596121</v>
      </c>
      <c r="AO1031" s="18">
        <f>IF($A1031&gt;'1-Input'!$B$26,AM1031,AM1031-'P-Parametri'!$B$8*(AN1031+AM1031)+MIN(MAX(AN1031,0),'P-Parametri'!$B$8*(AN1031+AM1031)))</f>
        <v>0</v>
      </c>
      <c r="AP1031" s="18">
        <f>IF($A1031&gt;'1-Input'!$B$26,AN1031,AN1031-MIN(MAX(AN1031,0),'P-Parametri'!$B$8*(AN1031+AM1031)))</f>
        <v>124640.45078346929</v>
      </c>
      <c r="AQ1031" s="18">
        <f>IF($A1031&gt;'1-Input'!$B$26,AQ1030,AQ1030-AL1031*(1-AK1031))</f>
        <v>36011.530598283294</v>
      </c>
    </row>
    <row r="1032" spans="1:43">
      <c r="A1032" s="10">
        <f>29</f>
        <v>29</v>
      </c>
      <c r="B1032" s="11">
        <f>IF($A1032&gt;'1-Input'!$B$26,0,IF(G1031&lt;=0,0,MAX(0,(G1031-H1031)/G1031)))</f>
        <v>0.71107669803887297</v>
      </c>
      <c r="C1032" s="18">
        <f>IF($A1032&gt;'1-Input'!$B$26,0,(MAX(0,B1001-IF($A1032&gt;='1-Input'!$C$12,'1-Input'!$B$12,0))-MIN(MAX(F1031,0),MAX(0,B1001-IF($A1032&gt;='1-Input'!$C$12,'1-Input'!$B$12,0))))*(1/(1-'P-Parametri'!$B$6*B1032))+MIN(MAX(0,G1031-(MAX(0,B1001-IF($A1032&gt;='1-Input'!$C$12,'1-Input'!$B$12,0))-MIN(MAX(F1031,0),MAX(0,B1001-IF($A1032&gt;='1-Input'!$C$12,'1-Input'!$B$12,0))))*(1/(1-'P-Parametri'!$B$6*B1032))),MAX(0,0*B1001-(F1031-MIN(MAX(F1031,0),MAX(0,B1001-IF($A1032&gt;='1-Input'!$C$12,'1-Input'!$B$12,0)))))*(1/(1-'P-Parametri'!$B$6*B1032))))</f>
        <v>6844.4583793273077</v>
      </c>
      <c r="D1032" s="18">
        <f>IF($A1032&gt;'1-Input'!$B$26,F1031,(F1031-MAX(0,B1001-IF($A1032&gt;='1-Input'!$C$12,'1-Input'!$B$12,0))+C1032*(1-'P-Parametri'!$B$6*B1032))*(1+'1-Input'!$B$27))</f>
        <v>0</v>
      </c>
      <c r="E1032" s="18">
        <f>IF($A1032&gt;'1-Input'!$B$26,G1031,(G1031-C1032)*(1+'5-Roberta'!$C$4))</f>
        <v>207643.84095903087</v>
      </c>
      <c r="F1032" s="18">
        <f>IF($A1032&gt;'1-Input'!$B$26,D1032,D1032-'P-Parametri'!$B$8*(E1032+D1032)+MIN(MAX(E1032,0),'P-Parametri'!$B$8*(E1032+D1032)))</f>
        <v>0</v>
      </c>
      <c r="G1032" s="18">
        <f>IF($A1032&gt;'1-Input'!$B$26,E1032,E1032-MIN(MAX(E1032,0),'P-Parametri'!$B$8*(E1032+D1032)))</f>
        <v>207228.55327711281</v>
      </c>
      <c r="H1032" s="18">
        <f>IF($A1032&gt;'1-Input'!$B$26,H1031,H1031-C1032*(1-B1032))</f>
        <v>58245.771030848846</v>
      </c>
      <c r="I1032" s="11">
        <f>IF($A1032&gt;'1-Input'!$B$26,0,IF(N1031&lt;=0,0,MAX(0,(N1031-O1031)/N1031)))</f>
        <v>0</v>
      </c>
      <c r="J1032" s="18">
        <f>IF($A1032&gt;'1-Input'!$B$26,0,(MAX(0,I1001-IF($A1032&gt;='1-Input'!$C$12,'1-Input'!$B$12,0))-MIN(MAX(M1031,0),MAX(0,I1001-IF($A1032&gt;='1-Input'!$C$12,'1-Input'!$B$12,0))))*(1/(1-'P-Parametri'!$B$6*I1032))+MIN(MAX(0,N1031-(MAX(0,I1001-IF($A1032&gt;='1-Input'!$C$12,'1-Input'!$B$12,0))-MIN(MAX(M1031,0),MAX(0,I1001-IF($A1032&gt;='1-Input'!$C$12,'1-Input'!$B$12,0))))*(1/(1-'P-Parametri'!$B$6*I1032))),MAX(0,0*I1001-(M1031-MIN(MAX(M1031,0),MAX(0,I1001-IF($A1032&gt;='1-Input'!$C$12,'1-Input'!$B$12,0)))))*(1/(1-'P-Parametri'!$B$6*I1032))))</f>
        <v>10846.756992928691</v>
      </c>
      <c r="K1032" s="18">
        <f>IF($A1032&gt;'1-Input'!$B$26,M1031,(M1031-MAX(0,I1001-IF($A1032&gt;='1-Input'!$C$12,'1-Input'!$B$12,0))+J1032*(1-'P-Parametri'!$B$6*I1032))*(1+'1-Input'!$B$27))</f>
        <v>-1.8124410416930913E-12</v>
      </c>
      <c r="L1032" s="18">
        <f>IF($A1032&gt;'1-Input'!$B$26,N1031,(N1031-J1032)*(1+'5-Roberta'!$C$4))</f>
        <v>-58766.540349024632</v>
      </c>
      <c r="M1032" s="18">
        <f>IF($A1032&gt;'1-Input'!$B$26,K1032,K1032-'P-Parametri'!$B$8*(L1032+K1032)+MIN(MAX(L1032,0),'P-Parametri'!$B$8*(L1032+K1032)))</f>
        <v>-1.8189894035458565E-12</v>
      </c>
      <c r="N1032" s="18">
        <f>IF($A1032&gt;'1-Input'!$B$26,L1032,L1032-MIN(MAX(L1032,0),'P-Parametri'!$B$8*(L1032+K1032)))</f>
        <v>-58649.007268326583</v>
      </c>
      <c r="O1032" s="18">
        <f>IF($A1032&gt;'1-Input'!$B$26,O1031,O1031-J1032*(1-I1032))</f>
        <v>-46800.774908490617</v>
      </c>
      <c r="P1032" s="11">
        <f>IF($A1032&gt;'1-Input'!$B$26,0,IF(U1031&lt;=0,0,MAX(0,(U1031-V1031)/U1031)))</f>
        <v>0.71107669803887286</v>
      </c>
      <c r="Q1032" s="18">
        <f>IF($A1032&gt;'1-Input'!$B$26,0,(MAX(0,P1001-IF($A1032&gt;='1-Input'!$C$12,'1-Input'!$B$12,0))-MIN(MAX(T1031,0),MAX(0,P1001-IF($A1032&gt;='1-Input'!$C$12,'1-Input'!$B$12,0))))*(1/(1-'P-Parametri'!$B$6*P1032))+MIN(MAX(0,U1031-(MAX(0,P1001-IF($A1032&gt;='1-Input'!$C$12,'1-Input'!$B$12,0))-MIN(MAX(T1031,0),MAX(0,P1001-IF($A1032&gt;='1-Input'!$C$12,'1-Input'!$B$12,0))))*(1/(1-'P-Parametri'!$B$6*P1032))),MAX(0,0*P1001-(T1031-MIN(MAX(T1031,0),MAX(0,P1001-IF($A1032&gt;='1-Input'!$C$12,'1-Input'!$B$12,0)))))*(1/(1-'P-Parametri'!$B$6*P1032))))</f>
        <v>9207.6948462008768</v>
      </c>
      <c r="R1032" s="18">
        <f>IF($A1032&gt;'1-Input'!$B$26,T1031,(T1031-MAX(0,P1001-IF($A1032&gt;='1-Input'!$C$12,'1-Input'!$B$12,0))+Q1032*(1-'P-Parametri'!$B$6*P1032))*(1+'1-Input'!$B$27))</f>
        <v>9.0622052084654565E-13</v>
      </c>
      <c r="S1032" s="18">
        <f>IF($A1032&gt;'1-Input'!$B$26,U1031,(U1031-Q1032)*(1+'5-Roberta'!$C$4))</f>
        <v>106440.27209159046</v>
      </c>
      <c r="T1032" s="18">
        <f>IF($A1032&gt;'1-Input'!$B$26,R1032,R1032-'P-Parametri'!$B$8*(S1032+R1032)+MIN(MAX(S1032,0),'P-Parametri'!$B$8*(S1032+R1032)))</f>
        <v>9.0949470177292824E-13</v>
      </c>
      <c r="U1032" s="18">
        <f>IF($A1032&gt;'1-Input'!$B$26,S1032,S1032-MIN(MAX(S1032,0),'P-Parametri'!$B$8*(S1032+R1032)))</f>
        <v>106227.39154740729</v>
      </c>
      <c r="V1032" s="18">
        <f>IF($A1032&gt;'1-Input'!$B$26,V1031,V1031-Q1032*(1-P1032))</f>
        <v>29857.354246935061</v>
      </c>
      <c r="W1032" s="11">
        <f>IF($A1032&gt;'1-Input'!$B$26,0,IF(AB1031&lt;=0,0,MAX(0,(AB1031-AC1031)/AB1031)))</f>
        <v>0.71107669803887297</v>
      </c>
      <c r="X1032" s="18">
        <f>IF($A1032&gt;'1-Input'!$B$26,0,(MAX(0,W1001-IF($A1032&gt;='1-Input'!$C$12,'1-Input'!$B$12,0))-MIN(MAX(AA1031,0),MAX(0,W1001-IF($A1032&gt;='1-Input'!$C$12,'1-Input'!$B$12,0))))*(1/(1-'P-Parametri'!$B$6*W1032))+MIN(MAX(0,AB1031-(MAX(0,W1001-IF($A1032&gt;='1-Input'!$C$12,'1-Input'!$B$12,0))-MIN(MAX(AA1031,0),MAX(0,W1001-IF($A1032&gt;='1-Input'!$C$12,'1-Input'!$B$12,0))))*(1/(1-'P-Parametri'!$B$6*W1032))),MAX(0,0*W1001-(AA1031-MIN(MAX(AA1031,0),MAX(0,W1001-IF($A1032&gt;='1-Input'!$C$12,'1-Input'!$B$12,0)))))*(1/(1-'P-Parametri'!$B$6*W1032))))</f>
        <v>8900.1207841320447</v>
      </c>
      <c r="Y1032" s="18">
        <f>IF($A1032&gt;'1-Input'!$B$26,AA1031,(AA1031-MAX(0,W1001-IF($A1032&gt;='1-Input'!$C$12,'1-Input'!$B$12,0))+X1032*(1-'P-Parametri'!$B$6*W1032))*(1+'1-Input'!$B$27))</f>
        <v>0</v>
      </c>
      <c r="Z1032" s="18">
        <f>IF($A1032&gt;'1-Input'!$B$26,AB1031,(AB1031-X1032)*(1+'5-Roberta'!$C$4))</f>
        <v>119611.86672833099</v>
      </c>
      <c r="AA1032" s="18">
        <f>IF($A1032&gt;'1-Input'!$B$26,Y1032,Y1032-'P-Parametri'!$B$8*(Z1032+Y1032)+MIN(MAX(Z1032,0),'P-Parametri'!$B$8*(Z1032+Y1032)))</f>
        <v>0</v>
      </c>
      <c r="AB1032" s="18">
        <f>IF($A1032&gt;'1-Input'!$B$26,Z1032,Z1032-MIN(MAX(Z1032,0),'P-Parametri'!$B$8*(Z1032+Y1032)))</f>
        <v>119372.64299487433</v>
      </c>
      <c r="AC1032" s="18">
        <f>IF($A1032&gt;'1-Input'!$B$26,AC1031,AC1031-X1032*(1-W1032))</f>
        <v>33552.092707654039</v>
      </c>
      <c r="AD1032" s="11">
        <f>IF($A1032&gt;'1-Input'!$B$26,0,IF(AI1031&lt;=0,0,MAX(0,(AI1031-AJ1031)/AI1031)))</f>
        <v>0.71107669803887275</v>
      </c>
      <c r="AE1032" s="18">
        <f>IF($A1032&gt;'1-Input'!$B$26,0,(MAX(0,AD1001-IF($A1032&gt;='1-Input'!$C$12,'1-Input'!$B$12,0))-MIN(MAX(AH1031,0),MAX(0,AD1001-IF($A1032&gt;='1-Input'!$C$12,'1-Input'!$B$12,0))))*(1/(1-'P-Parametri'!$B$6*AD1032))+MIN(MAX(0,AI1031-(MAX(0,AD1001-IF($A1032&gt;='1-Input'!$C$12,'1-Input'!$B$12,0))-MIN(MAX(AH1031,0),MAX(0,AD1001-IF($A1032&gt;='1-Input'!$C$12,'1-Input'!$B$12,0))))*(1/(1-'P-Parametri'!$B$6*AD1032))),MAX(0,0*AD1001-(AH1031-MIN(MAX(AH1031,0),MAX(0,AD1001-IF($A1032&gt;='1-Input'!$C$12,'1-Input'!$B$12,0)))))*(1/(1-'P-Parametri'!$B$6*AD1032))))</f>
        <v>8911.4418907121089</v>
      </c>
      <c r="AF1032" s="18">
        <f>IF($A1032&gt;'1-Input'!$B$26,AH1031,(AH1031-MAX(0,AD1001-IF($A1032&gt;='1-Input'!$C$12,'1-Input'!$B$12,0))+AE1032*(1-'P-Parametri'!$B$6*AD1032))*(1+'1-Input'!$B$27))</f>
        <v>0</v>
      </c>
      <c r="AG1032" s="18">
        <f>IF($A1032&gt;'1-Input'!$B$26,AI1031,(AI1031-AE1032)*(1+'5-Roberta'!$C$4))</f>
        <v>119127.05007731351</v>
      </c>
      <c r="AH1032" s="18">
        <f>IF($A1032&gt;'1-Input'!$B$26,AF1032,AF1032-'P-Parametri'!$B$8*(AG1032+AF1032)+MIN(MAX(AG1032,0),'P-Parametri'!$B$8*(AG1032+AF1032)))</f>
        <v>0</v>
      </c>
      <c r="AI1032" s="18">
        <f>IF($A1032&gt;'1-Input'!$B$26,AG1032,AG1032-MIN(MAX(AG1032,0),'P-Parametri'!$B$8*(AG1032+AF1032)))</f>
        <v>118888.79597715888</v>
      </c>
      <c r="AJ1032" s="18">
        <f>IF($A1032&gt;'1-Input'!$B$26,AJ1031,AJ1031-AE1032*(1-AD1032))</f>
        <v>33416.097729345616</v>
      </c>
      <c r="AK1032" s="11">
        <f>IF($A1032&gt;'1-Input'!$B$26,0,IF(AP1031&lt;=0,0,MAX(0,(AP1031-AQ1031)/AP1031)))</f>
        <v>0.71107669803887297</v>
      </c>
      <c r="AL1032" s="18">
        <f>IF($A1032&gt;'1-Input'!$B$26,0,(MAX(0,AK1001-IF($A1032&gt;='1-Input'!$C$12,'1-Input'!$B$12,0))-MIN(MAX(AO1031,0),MAX(0,AK1001-IF($A1032&gt;='1-Input'!$C$12,'1-Input'!$B$12,0))))*(1/(1-'P-Parametri'!$B$6*AK1032))+MIN(MAX(0,AP1031-(MAX(0,AK1001-IF($A1032&gt;='1-Input'!$C$12,'1-Input'!$B$12,0))-MIN(MAX(AO1031,0),MAX(0,AK1001-IF($A1032&gt;='1-Input'!$C$12,'1-Input'!$B$12,0))))*(1/(1-'P-Parametri'!$B$6*AK1032))),MAX(0,0*AK1001-(AO1031-MIN(MAX(AO1031,0),MAX(0,AK1001-IF($A1032&gt;='1-Input'!$C$12,'1-Input'!$B$12,0)))))*(1/(1-'P-Parametri'!$B$6*AK1032))))</f>
        <v>8909.6753970707214</v>
      </c>
      <c r="AM1032" s="18">
        <f>IF($A1032&gt;'1-Input'!$B$26,AO1031,(AO1031-MAX(0,AK1001-IF($A1032&gt;='1-Input'!$C$12,'1-Input'!$B$12,0))+AL1032*(1-'P-Parametri'!$B$6*AK1032))*(1+'1-Input'!$B$27))</f>
        <v>-9.0622052084654565E-13</v>
      </c>
      <c r="AN1032" s="18">
        <f>IF($A1032&gt;'1-Input'!$B$26,AP1031,(AP1031-AL1032)*(1+'5-Roberta'!$C$4))</f>
        <v>119202.69864799053</v>
      </c>
      <c r="AO1032" s="18">
        <f>IF($A1032&gt;'1-Input'!$B$26,AM1032,AM1032-'P-Parametri'!$B$8*(AN1032+AM1032)+MIN(MAX(AN1032,0),'P-Parametri'!$B$8*(AN1032+AM1032)))</f>
        <v>-9.0949470177292824E-13</v>
      </c>
      <c r="AP1032" s="18">
        <f>IF($A1032&gt;'1-Input'!$B$26,AN1032,AN1032-MIN(MAX(AN1032,0),'P-Parametri'!$B$8*(AN1032+AM1032)))</f>
        <v>118964.29325069455</v>
      </c>
      <c r="AQ1032" s="18">
        <f>IF($A1032&gt;'1-Input'!$B$26,AQ1031,AQ1031-AL1032*(1-AK1032))</f>
        <v>33437.317763159808</v>
      </c>
    </row>
    <row r="1033" spans="1:43">
      <c r="A1033" s="10">
        <f>30</f>
        <v>30</v>
      </c>
      <c r="B1033" s="11">
        <f>IF($A1033&gt;'1-Input'!$B$26,0,IF(G1032&lt;=0,0,MAX(0,(G1032-H1032)/G1032)))</f>
        <v>0.71892979944245095</v>
      </c>
      <c r="C1033" s="18">
        <f>IF($A1033&gt;'1-Input'!$B$26,0,(MAX(0,B1001-IF($A1033&gt;='1-Input'!$C$12,'1-Input'!$B$12,0))-MIN(MAX(F1032,0),MAX(0,B1001-IF($A1033&gt;='1-Input'!$C$12,'1-Input'!$B$12,0))))*(1/(1-'P-Parametri'!$B$6*B1033))+MIN(MAX(0,G1032-(MAX(0,B1001-IF($A1033&gt;='1-Input'!$C$12,'1-Input'!$B$12,0))-MIN(MAX(F1032,0),MAX(0,B1001-IF($A1033&gt;='1-Input'!$C$12,'1-Input'!$B$12,0))))*(1/(1-'P-Parametri'!$B$6*B1033))),MAX(0,0*B1001-(F1032-MIN(MAX(F1032,0),MAX(0,B1001-IF($A1033&gt;='1-Input'!$C$12,'1-Input'!$B$12,0)))))*(1/(1-'P-Parametri'!$B$6*B1033))))</f>
        <v>6861.6462190543489</v>
      </c>
      <c r="D1033" s="18">
        <f>IF($A1033&gt;'1-Input'!$B$26,F1032,(F1032-MAX(0,B1001-IF($A1033&gt;='1-Input'!$C$12,'1-Input'!$B$12,0))+C1033*(1-'P-Parametri'!$B$6*B1033))*(1+'1-Input'!$B$27))</f>
        <v>0</v>
      </c>
      <c r="E1033" s="18">
        <f>IF($A1033&gt;'1-Input'!$B$26,G1032,(G1032-C1033)*(1+'5-Roberta'!$C$4))</f>
        <v>206377.91426980021</v>
      </c>
      <c r="F1033" s="18">
        <f>IF($A1033&gt;'1-Input'!$B$26,D1033,D1033-'P-Parametri'!$B$8*(E1033+D1033)+MIN(MAX(E1033,0),'P-Parametri'!$B$8*(E1033+D1033)))</f>
        <v>0</v>
      </c>
      <c r="G1033" s="18">
        <f>IF($A1033&gt;'1-Input'!$B$26,E1033,E1033-MIN(MAX(E1033,0),'P-Parametri'!$B$8*(E1033+D1033)))</f>
        <v>205965.1584412606</v>
      </c>
      <c r="H1033" s="18">
        <f>IF($A1033&gt;'1-Input'!$B$26,H1032,H1032-C1033*(1-B1033))</f>
        <v>56317.166751904289</v>
      </c>
      <c r="I1033" s="11">
        <f>IF($A1033&gt;'1-Input'!$B$26,0,IF(N1032&lt;=0,0,MAX(0,(N1032-O1032)/N1032)))</f>
        <v>0</v>
      </c>
      <c r="J1033" s="18">
        <f>IF($A1033&gt;'1-Input'!$B$26,0,(MAX(0,I1001-IF($A1033&gt;='1-Input'!$C$12,'1-Input'!$B$12,0))-MIN(MAX(M1032,0),MAX(0,I1001-IF($A1033&gt;='1-Input'!$C$12,'1-Input'!$B$12,0))))*(1/(1-'P-Parametri'!$B$6*I1033))+MIN(MAX(0,N1032-(MAX(0,I1001-IF($A1033&gt;='1-Input'!$C$12,'1-Input'!$B$12,0))-MIN(MAX(M1032,0),MAX(0,I1001-IF($A1033&gt;='1-Input'!$C$12,'1-Input'!$B$12,0))))*(1/(1-'P-Parametri'!$B$6*I1033))),MAX(0,0*I1001-(M1032-MIN(MAX(M1032,0),MAX(0,I1001-IF($A1033&gt;='1-Input'!$C$12,'1-Input'!$B$12,0)))))*(1/(1-'P-Parametri'!$B$6*I1033))))</f>
        <v>10846.756992928691</v>
      </c>
      <c r="K1033" s="18">
        <f>IF($A1033&gt;'1-Input'!$B$26,M1032,(M1032-MAX(0,I1001-IF($A1033&gt;='1-Input'!$C$12,'1-Input'!$B$12,0))+J1033*(1-'P-Parametri'!$B$6*I1033))*(1+'1-Input'!$B$27))</f>
        <v>-1.8124410416930913E-12</v>
      </c>
      <c r="L1033" s="18">
        <f>IF($A1033&gt;'1-Input'!$B$26,N1032,(N1032-J1033)*(1+'5-Roberta'!$C$4))</f>
        <v>-71580.637189092929</v>
      </c>
      <c r="M1033" s="18">
        <f>IF($A1033&gt;'1-Input'!$B$26,K1033,K1033-'P-Parametri'!$B$8*(L1033+K1033)+MIN(MAX(L1033,0),'P-Parametri'!$B$8*(L1033+K1033)))</f>
        <v>-1.8189894035458565E-12</v>
      </c>
      <c r="N1033" s="18">
        <f>IF($A1033&gt;'1-Input'!$B$26,L1033,L1033-MIN(MAX(L1033,0),'P-Parametri'!$B$8*(L1033+K1033)))</f>
        <v>-71437.475914714742</v>
      </c>
      <c r="O1033" s="18">
        <f>IF($A1033&gt;'1-Input'!$B$26,O1032,O1032-J1033*(1-I1033))</f>
        <v>-57647.531901419308</v>
      </c>
      <c r="P1033" s="11">
        <f>IF($A1033&gt;'1-Input'!$B$26,0,IF(U1032&lt;=0,0,MAX(0,(U1032-V1032)/U1032)))</f>
        <v>0.71892979944245083</v>
      </c>
      <c r="Q1033" s="18">
        <f>IF($A1033&gt;'1-Input'!$B$26,0,(MAX(0,P1001-IF($A1033&gt;='1-Input'!$C$12,'1-Input'!$B$12,0))-MIN(MAX(T1032,0),MAX(0,P1001-IF($A1033&gt;='1-Input'!$C$12,'1-Input'!$B$12,0))))*(1/(1-'P-Parametri'!$B$6*P1033))+MIN(MAX(0,U1032-(MAX(0,P1001-IF($A1033&gt;='1-Input'!$C$12,'1-Input'!$B$12,0))-MIN(MAX(T1032,0),MAX(0,P1001-IF($A1033&gt;='1-Input'!$C$12,'1-Input'!$B$12,0))))*(1/(1-'P-Parametri'!$B$6*P1033))),MAX(0,0*P1001-(T1032-MIN(MAX(T1032,0),MAX(0,P1001-IF($A1033&gt;='1-Input'!$C$12,'1-Input'!$B$12,0)))))*(1/(1-'P-Parametri'!$B$6*P1033))))</f>
        <v>9230.8172577199512</v>
      </c>
      <c r="R1033" s="18">
        <f>IF($A1033&gt;'1-Input'!$B$26,T1032,(T1032-MAX(0,P1001-IF($A1033&gt;='1-Input'!$C$12,'1-Input'!$B$12,0))+Q1033*(1-'P-Parametri'!$B$6*P1033))*(1+'1-Input'!$B$27))</f>
        <v>0</v>
      </c>
      <c r="S1033" s="18">
        <f>IF($A1033&gt;'1-Input'!$B$26,U1032,(U1032-Q1033)*(1+'5-Roberta'!$C$4))</f>
        <v>99906.471518377948</v>
      </c>
      <c r="T1033" s="18">
        <f>IF($A1033&gt;'1-Input'!$B$26,R1033,R1033-'P-Parametri'!$B$8*(S1033+R1033)+MIN(MAX(S1033,0),'P-Parametri'!$B$8*(S1033+R1033)))</f>
        <v>0</v>
      </c>
      <c r="U1033" s="18">
        <f>IF($A1033&gt;'1-Input'!$B$26,S1033,S1033-MIN(MAX(S1033,0),'P-Parametri'!$B$8*(S1033+R1033)))</f>
        <v>99706.658575341193</v>
      </c>
      <c r="V1033" s="18">
        <f>IF($A1033&gt;'1-Input'!$B$26,V1032,V1032-Q1033*(1-P1033))</f>
        <v>27262.846588997629</v>
      </c>
      <c r="W1033" s="11">
        <f>IF($A1033&gt;'1-Input'!$B$26,0,IF(AB1032&lt;=0,0,MAX(0,(AB1032-AC1032)/AB1032)))</f>
        <v>0.71892979944245083</v>
      </c>
      <c r="X1033" s="18">
        <f>IF($A1033&gt;'1-Input'!$B$26,0,(MAX(0,W1001-IF($A1033&gt;='1-Input'!$C$12,'1-Input'!$B$12,0))-MIN(MAX(AA1032,0),MAX(0,W1001-IF($A1033&gt;='1-Input'!$C$12,'1-Input'!$B$12,0))))*(1/(1-'P-Parametri'!$B$6*W1033))+MIN(MAX(0,AB1032-(MAX(0,W1001-IF($A1033&gt;='1-Input'!$C$12,'1-Input'!$B$12,0))-MIN(MAX(AA1032,0),MAX(0,W1001-IF($A1033&gt;='1-Input'!$C$12,'1-Input'!$B$12,0))))*(1/(1-'P-Parametri'!$B$6*W1033))),MAX(0,0*W1001-(AA1032-MIN(MAX(AA1032,0),MAX(0,W1001-IF($A1033&gt;='1-Input'!$C$12,'1-Input'!$B$12,0)))))*(1/(1-'P-Parametri'!$B$6*W1033))))</f>
        <v>8922.4708140556686</v>
      </c>
      <c r="Y1033" s="18">
        <f>IF($A1033&gt;'1-Input'!$B$26,AA1032,(AA1032-MAX(0,W1001-IF($A1033&gt;='1-Input'!$C$12,'1-Input'!$B$12,0))+X1033*(1-'P-Parametri'!$B$6*W1033))*(1+'1-Input'!$B$27))</f>
        <v>-9.0622052084654565E-13</v>
      </c>
      <c r="Z1033" s="18">
        <f>IF($A1033&gt;'1-Input'!$B$26,AB1032,(AB1032-X1033)*(1+'5-Roberta'!$C$4))</f>
        <v>113763.67734624322</v>
      </c>
      <c r="AA1033" s="18">
        <f>IF($A1033&gt;'1-Input'!$B$26,Y1033,Y1033-'P-Parametri'!$B$8*(Z1033+Y1033)+MIN(MAX(Z1033,0),'P-Parametri'!$B$8*(Z1033+Y1033)))</f>
        <v>-9.0949470177292824E-13</v>
      </c>
      <c r="AB1033" s="18">
        <f>IF($A1033&gt;'1-Input'!$B$26,Z1033,Z1033-MIN(MAX(Z1033,0),'P-Parametri'!$B$8*(Z1033+Y1033)))</f>
        <v>113536.14999155073</v>
      </c>
      <c r="AC1033" s="18">
        <f>IF($A1033&gt;'1-Input'!$B$26,AC1032,AC1032-X1033*(1-W1033))</f>
        <v>31044.252046478534</v>
      </c>
      <c r="AD1033" s="11">
        <f>IF($A1033&gt;'1-Input'!$B$26,0,IF(AI1032&lt;=0,0,MAX(0,(AI1032-AJ1032)/AI1032)))</f>
        <v>0.71892979944245072</v>
      </c>
      <c r="AE1033" s="18">
        <f>IF($A1033&gt;'1-Input'!$B$26,0,(MAX(0,AD1001-IF($A1033&gt;='1-Input'!$C$12,'1-Input'!$B$12,0))-MIN(MAX(AH1032,0),MAX(0,AD1001-IF($A1033&gt;='1-Input'!$C$12,'1-Input'!$B$12,0))))*(1/(1-'P-Parametri'!$B$6*AD1033))+MIN(MAX(0,AI1032-(MAX(0,AD1001-IF($A1033&gt;='1-Input'!$C$12,'1-Input'!$B$12,0))-MIN(MAX(AH1032,0),MAX(0,AD1001-IF($A1033&gt;='1-Input'!$C$12,'1-Input'!$B$12,0))))*(1/(1-'P-Parametri'!$B$6*AD1033))),MAX(0,0*AD1001-(AH1032-MIN(MAX(AH1032,0),MAX(0,AD1001-IF($A1033&gt;='1-Input'!$C$12,'1-Input'!$B$12,0)))))*(1/(1-'P-Parametri'!$B$6*AD1033))))</f>
        <v>8933.820350257869</v>
      </c>
      <c r="AF1033" s="18">
        <f>IF($A1033&gt;'1-Input'!$B$26,AH1032,(AH1032-MAX(0,AD1001-IF($A1033&gt;='1-Input'!$C$12,'1-Input'!$B$12,0))+AE1033*(1-'P-Parametri'!$B$6*AD1033))*(1+'1-Input'!$B$27))</f>
        <v>0</v>
      </c>
      <c r="AG1033" s="18">
        <f>IF($A1033&gt;'1-Input'!$B$26,AI1032,(AI1032-AE1033)*(1+'5-Roberta'!$C$4))</f>
        <v>113253.62489570804</v>
      </c>
      <c r="AH1033" s="18">
        <f>IF($A1033&gt;'1-Input'!$B$26,AF1033,AF1033-'P-Parametri'!$B$8*(AG1033+AF1033)+MIN(MAX(AG1033,0),'P-Parametri'!$B$8*(AG1033+AF1033)))</f>
        <v>0</v>
      </c>
      <c r="AI1033" s="18">
        <f>IF($A1033&gt;'1-Input'!$B$26,AG1033,AG1033-MIN(MAX(AG1033,0),'P-Parametri'!$B$8*(AG1033+AF1033)))</f>
        <v>113027.11764591662</v>
      </c>
      <c r="AJ1033" s="18">
        <f>IF($A1033&gt;'1-Input'!$B$26,AJ1032,AJ1032-AE1033*(1-AD1033))</f>
        <v>30905.067051753522</v>
      </c>
      <c r="AK1033" s="11">
        <f>IF($A1033&gt;'1-Input'!$B$26,0,IF(AP1032&lt;=0,0,MAX(0,(AP1032-AQ1032)/AP1032)))</f>
        <v>0.71892979944245083</v>
      </c>
      <c r="AL1033" s="18">
        <f>IF($A1033&gt;'1-Input'!$B$26,0,(MAX(0,AK1001-IF($A1033&gt;='1-Input'!$C$12,'1-Input'!$B$12,0))-MIN(MAX(AO1032,0),MAX(0,AK1001-IF($A1033&gt;='1-Input'!$C$12,'1-Input'!$B$12,0))))*(1/(1-'P-Parametri'!$B$6*AK1033))+MIN(MAX(0,AP1032-(MAX(0,AK1001-IF($A1033&gt;='1-Input'!$C$12,'1-Input'!$B$12,0))-MIN(MAX(AO1032,0),MAX(0,AK1001-IF($A1033&gt;='1-Input'!$C$12,'1-Input'!$B$12,0))))*(1/(1-'P-Parametri'!$B$6*AK1033))),MAX(0,0*AK1001-(AO1032-MIN(MAX(AO1032,0),MAX(0,AK1001-IF($A1033&gt;='1-Input'!$C$12,'1-Input'!$B$12,0)))))*(1/(1-'P-Parametri'!$B$6*AK1033))))</f>
        <v>8932.0494205883988</v>
      </c>
      <c r="AM1033" s="18">
        <f>IF($A1033&gt;'1-Input'!$B$26,AO1032,(AO1032-MAX(0,AK1001-IF($A1033&gt;='1-Input'!$C$12,'1-Input'!$B$12,0))+AL1033*(1-'P-Parametri'!$B$6*AK1033))*(1+'1-Input'!$B$27))</f>
        <v>9.0622052084654565E-13</v>
      </c>
      <c r="AN1033" s="18">
        <f>IF($A1033&gt;'1-Input'!$B$26,AP1032,(AP1032-AL1033)*(1+'5-Roberta'!$C$4))</f>
        <v>113333.21114500934</v>
      </c>
      <c r="AO1033" s="18">
        <f>IF($A1033&gt;'1-Input'!$B$26,AM1033,AM1033-'P-Parametri'!$B$8*(AN1033+AM1033)+MIN(MAX(AN1033,0),'P-Parametri'!$B$8*(AN1033+AM1033)))</f>
        <v>9.0949470177292824E-13</v>
      </c>
      <c r="AP1033" s="18">
        <f>IF($A1033&gt;'1-Input'!$B$26,AN1033,AN1033-MIN(MAX(AN1033,0),'P-Parametri'!$B$8*(AN1033+AM1033)))</f>
        <v>113106.54472271932</v>
      </c>
      <c r="AQ1033" s="18">
        <f>IF($A1033&gt;'1-Input'!$B$26,AQ1032,AQ1032-AL1033*(1-AK1033))</f>
        <v>30926.784841125085</v>
      </c>
    </row>
    <row r="1034" spans="1:43">
      <c r="A1034" s="10">
        <f>31</f>
        <v>31</v>
      </c>
      <c r="B1034" s="11">
        <f>IF($A1034&gt;'1-Input'!$B$26,0,IF(G1033&lt;=0,0,MAX(0,(G1033-H1033)/G1033)))</f>
        <v>0.72656944903637455</v>
      </c>
      <c r="C1034" s="18">
        <f>IF($A1034&gt;'1-Input'!$B$26,0,(MAX(0,B1001-IF($A1034&gt;='1-Input'!$C$12,'1-Input'!$B$12,0))-MIN(MAX(F1033,0),MAX(0,B1001-IF($A1034&gt;='1-Input'!$C$12,'1-Input'!$B$12,0))))*(1/(1-'P-Parametri'!$B$6*B1034))+MIN(MAX(0,G1033-(MAX(0,B1001-IF($A1034&gt;='1-Input'!$C$12,'1-Input'!$B$12,0))-MIN(MAX(F1033,0),MAX(0,B1001-IF($A1034&gt;='1-Input'!$C$12,'1-Input'!$B$12,0))))*(1/(1-'P-Parametri'!$B$6*B1034))),MAX(0,0*B1001-(F1033-MIN(MAX(F1033,0),MAX(0,B1001-IF($A1034&gt;='1-Input'!$C$12,'1-Input'!$B$12,0)))))*(1/(1-'P-Parametri'!$B$6*B1034))))</f>
        <v>6878.4499230347537</v>
      </c>
      <c r="D1034" s="18">
        <f>IF($A1034&gt;'1-Input'!$B$26,F1033,(F1033-MAX(0,B1001-IF($A1034&gt;='1-Input'!$C$12,'1-Input'!$B$12,0))+C1034*(1-'P-Parametri'!$B$6*B1034))*(1+'1-Input'!$B$27))</f>
        <v>9.0622052084654565E-13</v>
      </c>
      <c r="E1034" s="18">
        <f>IF($A1034&gt;'1-Input'!$B$26,G1033,(G1033-C1034)*(1+'5-Roberta'!$C$4))</f>
        <v>205059.30977377263</v>
      </c>
      <c r="F1034" s="18">
        <f>IF($A1034&gt;'1-Input'!$B$26,D1034,D1034-'P-Parametri'!$B$8*(E1034+D1034)+MIN(MAX(E1034,0),'P-Parametri'!$B$8*(E1034+D1034)))</f>
        <v>9.0949470177292824E-13</v>
      </c>
      <c r="G1034" s="18">
        <f>IF($A1034&gt;'1-Input'!$B$26,E1034,E1034-MIN(MAX(E1034,0),'P-Parametri'!$B$8*(E1034+D1034)))</f>
        <v>204649.19115422509</v>
      </c>
      <c r="H1034" s="18">
        <f>IF($A1034&gt;'1-Input'!$B$26,H1033,H1033-C1034*(1-B1034))</f>
        <v>54436.388399673189</v>
      </c>
      <c r="I1034" s="11">
        <f>IF($A1034&gt;'1-Input'!$B$26,0,IF(N1033&lt;=0,0,MAX(0,(N1033-O1033)/N1033)))</f>
        <v>0</v>
      </c>
      <c r="J1034" s="18">
        <f>IF($A1034&gt;'1-Input'!$B$26,0,(MAX(0,I1001-IF($A1034&gt;='1-Input'!$C$12,'1-Input'!$B$12,0))-MIN(MAX(M1033,0),MAX(0,I1001-IF($A1034&gt;='1-Input'!$C$12,'1-Input'!$B$12,0))))*(1/(1-'P-Parametri'!$B$6*I1034))+MIN(MAX(0,N1033-(MAX(0,I1001-IF($A1034&gt;='1-Input'!$C$12,'1-Input'!$B$12,0))-MIN(MAX(M1033,0),MAX(0,I1001-IF($A1034&gt;='1-Input'!$C$12,'1-Input'!$B$12,0))))*(1/(1-'P-Parametri'!$B$6*I1034))),MAX(0,0*I1001-(M1033-MIN(MAX(M1033,0),MAX(0,I1001-IF($A1034&gt;='1-Input'!$C$12,'1-Input'!$B$12,0)))))*(1/(1-'P-Parametri'!$B$6*I1034))))</f>
        <v>10846.756992928691</v>
      </c>
      <c r="K1034" s="18">
        <f>IF($A1034&gt;'1-Input'!$B$26,M1033,(M1033-MAX(0,I1001-IF($A1034&gt;='1-Input'!$C$12,'1-Input'!$B$12,0))+J1034*(1-'P-Parametri'!$B$6*I1034))*(1+'1-Input'!$B$27))</f>
        <v>-1.8124410416930913E-12</v>
      </c>
      <c r="L1034" s="18">
        <f>IF($A1034&gt;'1-Input'!$B$26,N1033,(N1033-J1034)*(1+'5-Roberta'!$C$4))</f>
        <v>-84752.759894872725</v>
      </c>
      <c r="M1034" s="18">
        <f>IF($A1034&gt;'1-Input'!$B$26,K1034,K1034-'P-Parametri'!$B$8*(L1034+K1034)+MIN(MAX(L1034,0),'P-Parametri'!$B$8*(L1034+K1034)))</f>
        <v>-1.8189894035458565E-12</v>
      </c>
      <c r="N1034" s="18">
        <f>IF($A1034&gt;'1-Input'!$B$26,L1034,L1034-MIN(MAX(L1034,0),'P-Parametri'!$B$8*(L1034+K1034)))</f>
        <v>-84583.254375082979</v>
      </c>
      <c r="O1034" s="18">
        <f>IF($A1034&gt;'1-Input'!$B$26,O1033,O1033-J1034*(1-I1034))</f>
        <v>-68494.288894347992</v>
      </c>
      <c r="P1034" s="11">
        <f>IF($A1034&gt;'1-Input'!$B$26,0,IF(U1033&lt;=0,0,MAX(0,(U1033-V1033)/U1033)))</f>
        <v>0.72656944903637455</v>
      </c>
      <c r="Q1034" s="18">
        <f>IF($A1034&gt;'1-Input'!$B$26,0,(MAX(0,P1001-IF($A1034&gt;='1-Input'!$C$12,'1-Input'!$B$12,0))-MIN(MAX(T1033,0),MAX(0,P1001-IF($A1034&gt;='1-Input'!$C$12,'1-Input'!$B$12,0))))*(1/(1-'P-Parametri'!$B$6*P1034))+MIN(MAX(0,U1033-(MAX(0,P1001-IF($A1034&gt;='1-Input'!$C$12,'1-Input'!$B$12,0))-MIN(MAX(T1033,0),MAX(0,P1001-IF($A1034&gt;='1-Input'!$C$12,'1-Input'!$B$12,0))))*(1/(1-'P-Parametri'!$B$6*P1034))),MAX(0,0*P1001-(T1033-MIN(MAX(T1033,0),MAX(0,P1001-IF($A1034&gt;='1-Input'!$C$12,'1-Input'!$B$12,0)))))*(1/(1-'P-Parametri'!$B$6*P1034))))</f>
        <v>9253.4229001188851</v>
      </c>
      <c r="R1034" s="18">
        <f>IF($A1034&gt;'1-Input'!$B$26,T1033,(T1033-MAX(0,P1001-IF($A1034&gt;='1-Input'!$C$12,'1-Input'!$B$12,0))+Q1034*(1-'P-Parametri'!$B$6*P1034))*(1+'1-Input'!$B$27))</f>
        <v>9.0622052084654565E-13</v>
      </c>
      <c r="S1034" s="18">
        <f>IF($A1034&gt;'1-Input'!$B$26,U1033,(U1033-Q1034)*(1+'5-Roberta'!$C$4))</f>
        <v>93166.832745478983</v>
      </c>
      <c r="T1034" s="18">
        <f>IF($A1034&gt;'1-Input'!$B$26,R1034,R1034-'P-Parametri'!$B$8*(S1034+R1034)+MIN(MAX(S1034,0),'P-Parametri'!$B$8*(S1034+R1034)))</f>
        <v>9.0949470177292824E-13</v>
      </c>
      <c r="U1034" s="18">
        <f>IF($A1034&gt;'1-Input'!$B$26,S1034,S1034-MIN(MAX(S1034,0),'P-Parametri'!$B$8*(S1034+R1034)))</f>
        <v>92980.499079988032</v>
      </c>
      <c r="V1034" s="18">
        <f>IF($A1034&gt;'1-Input'!$B$26,V1033,V1033-Q1034*(1-P1034))</f>
        <v>24732.678067118693</v>
      </c>
      <c r="W1034" s="11">
        <f>IF($A1034&gt;'1-Input'!$B$26,0,IF(AB1033&lt;=0,0,MAX(0,(AB1033-AC1033)/AB1033)))</f>
        <v>0.72656944903637455</v>
      </c>
      <c r="X1034" s="18">
        <f>IF($A1034&gt;'1-Input'!$B$26,0,(MAX(0,W1001-IF($A1034&gt;='1-Input'!$C$12,'1-Input'!$B$12,0))-MIN(MAX(AA1033,0),MAX(0,W1001-IF($A1034&gt;='1-Input'!$C$12,'1-Input'!$B$12,0))))*(1/(1-'P-Parametri'!$B$6*W1034))+MIN(MAX(0,AB1033-(MAX(0,W1001-IF($A1034&gt;='1-Input'!$C$12,'1-Input'!$B$12,0))-MIN(MAX(AA1033,0),MAX(0,W1001-IF($A1034&gt;='1-Input'!$C$12,'1-Input'!$B$12,0))))*(1/(1-'P-Parametri'!$B$6*W1034))),MAX(0,0*W1001-(AA1033-MIN(MAX(AA1033,0),MAX(0,W1001-IF($A1034&gt;='1-Input'!$C$12,'1-Input'!$B$12,0)))))*(1/(1-'P-Parametri'!$B$6*W1034))))</f>
        <v>8944.3213370273807</v>
      </c>
      <c r="Y1034" s="18">
        <f>IF($A1034&gt;'1-Input'!$B$26,AA1033,(AA1033-MAX(0,W1001-IF($A1034&gt;='1-Input'!$C$12,'1-Input'!$B$12,0))+X1034*(1-'P-Parametri'!$B$6*W1034))*(1+'1-Input'!$B$27))</f>
        <v>1.8124410416930913E-12</v>
      </c>
      <c r="Z1034" s="18">
        <f>IF($A1034&gt;'1-Input'!$B$26,AB1033,(AB1033-X1034)*(1+'5-Roberta'!$C$4))</f>
        <v>107729.58351415907</v>
      </c>
      <c r="AA1034" s="18">
        <f>IF($A1034&gt;'1-Input'!$B$26,Y1034,Y1034-'P-Parametri'!$B$8*(Z1034+Y1034)+MIN(MAX(Z1034,0),'P-Parametri'!$B$8*(Z1034+Y1034)))</f>
        <v>1.8189894035458565E-12</v>
      </c>
      <c r="AB1034" s="18">
        <f>IF($A1034&gt;'1-Input'!$B$26,Z1034,Z1034-MIN(MAX(Z1034,0),'P-Parametri'!$B$8*(Z1034+Y1034)))</f>
        <v>107514.12434713075</v>
      </c>
      <c r="AC1034" s="18">
        <f>IF($A1034&gt;'1-Input'!$B$26,AC1033,AC1033-X1034*(1-W1034))</f>
        <v>28598.601335299427</v>
      </c>
      <c r="AD1034" s="11">
        <f>IF($A1034&gt;'1-Input'!$B$26,0,IF(AI1033&lt;=0,0,MAX(0,(AI1033-AJ1033)/AI1033)))</f>
        <v>0.72656944903637433</v>
      </c>
      <c r="AE1034" s="18">
        <f>IF($A1034&gt;'1-Input'!$B$26,0,(MAX(0,AD1001-IF($A1034&gt;='1-Input'!$C$12,'1-Input'!$B$12,0))-MIN(MAX(AH1033,0),MAX(0,AD1001-IF($A1034&gt;='1-Input'!$C$12,'1-Input'!$B$12,0))))*(1/(1-'P-Parametri'!$B$6*AD1034))+MIN(MAX(0,AI1033-(MAX(0,AD1001-IF($A1034&gt;='1-Input'!$C$12,'1-Input'!$B$12,0))-MIN(MAX(AH1033,0),MAX(0,AD1001-IF($A1034&gt;='1-Input'!$C$12,'1-Input'!$B$12,0))))*(1/(1-'P-Parametri'!$B$6*AD1034))),MAX(0,0*AD1001-(AH1033-MIN(MAX(AH1033,0),MAX(0,AD1001-IF($A1034&gt;='1-Input'!$C$12,'1-Input'!$B$12,0)))))*(1/(1-'P-Parametri'!$B$6*AD1034))))</f>
        <v>8955.6986674702821</v>
      </c>
      <c r="AF1034" s="18">
        <f>IF($A1034&gt;'1-Input'!$B$26,AH1033,(AH1033-MAX(0,AD1001-IF($A1034&gt;='1-Input'!$C$12,'1-Input'!$B$12,0))+AE1034*(1-'P-Parametri'!$B$6*AD1034))*(1+'1-Input'!$B$27))</f>
        <v>0</v>
      </c>
      <c r="AG1034" s="18">
        <f>IF($A1034&gt;'1-Input'!$B$26,AI1033,(AI1033-AE1034)*(1+'5-Roberta'!$C$4))</f>
        <v>107193.56154779973</v>
      </c>
      <c r="AH1034" s="18">
        <f>IF($A1034&gt;'1-Input'!$B$26,AF1034,AF1034-'P-Parametri'!$B$8*(AG1034+AF1034)+MIN(MAX(AG1034,0),'P-Parametri'!$B$8*(AG1034+AF1034)))</f>
        <v>0</v>
      </c>
      <c r="AI1034" s="18">
        <f>IF($A1034&gt;'1-Input'!$B$26,AG1034,AG1034-MIN(MAX(AG1034,0),'P-Parametri'!$B$8*(AG1034+AF1034)))</f>
        <v>106979.17442470414</v>
      </c>
      <c r="AJ1034" s="18">
        <f>IF($A1034&gt;'1-Input'!$B$26,AJ1033,AJ1033-AE1034*(1-AD1034))</f>
        <v>28456.305430842913</v>
      </c>
      <c r="AK1034" s="11">
        <f>IF($A1034&gt;'1-Input'!$B$26,0,IF(AP1033&lt;=0,0,MAX(0,(AP1033-AQ1033)/AP1033)))</f>
        <v>0.72656944903637455</v>
      </c>
      <c r="AL1034" s="18">
        <f>IF($A1034&gt;'1-Input'!$B$26,0,(MAX(0,AK1001-IF($A1034&gt;='1-Input'!$C$12,'1-Input'!$B$12,0))-MIN(MAX(AO1033,0),MAX(0,AK1001-IF($A1034&gt;='1-Input'!$C$12,'1-Input'!$B$12,0))))*(1/(1-'P-Parametri'!$B$6*AK1034))+MIN(MAX(0,AP1033-(MAX(0,AK1001-IF($A1034&gt;='1-Input'!$C$12,'1-Input'!$B$12,0))-MIN(MAX(AO1033,0),MAX(0,AK1001-IF($A1034&gt;='1-Input'!$C$12,'1-Input'!$B$12,0))))*(1/(1-'P-Parametri'!$B$6*AK1034))),MAX(0,0*AK1001-(AO1033-MIN(MAX(AO1033,0),MAX(0,AK1001-IF($A1034&gt;='1-Input'!$C$12,'1-Input'!$B$12,0)))))*(1/(1-'P-Parametri'!$B$6*AK1034))))</f>
        <v>8953.9234009147367</v>
      </c>
      <c r="AM1034" s="18">
        <f>IF($A1034&gt;'1-Input'!$B$26,AO1033,(AO1033-MAX(0,AK1001-IF($A1034&gt;='1-Input'!$C$12,'1-Input'!$B$12,0))+AL1034*(1-'P-Parametri'!$B$6*AK1034))*(1+'1-Input'!$B$27))</f>
        <v>0</v>
      </c>
      <c r="AN1034" s="18">
        <f>IF($A1034&gt;'1-Input'!$B$26,AP1033,(AP1033-AL1034)*(1+'5-Roberta'!$C$4))</f>
        <v>107277.19996145873</v>
      </c>
      <c r="AO1034" s="18">
        <f>IF($A1034&gt;'1-Input'!$B$26,AM1034,AM1034-'P-Parametri'!$B$8*(AN1034+AM1034)+MIN(MAX(AN1034,0),'P-Parametri'!$B$8*(AN1034+AM1034)))</f>
        <v>0</v>
      </c>
      <c r="AP1034" s="18">
        <f>IF($A1034&gt;'1-Input'!$B$26,AN1034,AN1034-MIN(MAX(AN1034,0),'P-Parametri'!$B$8*(AN1034+AM1034)))</f>
        <v>107062.64556153581</v>
      </c>
      <c r="AQ1034" s="18">
        <f>IF($A1034&gt;'1-Input'!$B$26,AQ1033,AQ1033-AL1034*(1-AK1034))</f>
        <v>28478.50863232687</v>
      </c>
    </row>
    <row r="1035" spans="1:43">
      <c r="A1035" s="10">
        <f>32</f>
        <v>32</v>
      </c>
      <c r="B1035" s="11">
        <f>IF($A1035&gt;'1-Input'!$B$26,0,IF(G1034&lt;=0,0,MAX(0,(G1034-H1034)/G1034)))</f>
        <v>0.73400144856351013</v>
      </c>
      <c r="C1035" s="18">
        <f>IF($A1035&gt;'1-Input'!$B$26,0,(MAX(0,B1001-IF($A1035&gt;='1-Input'!$C$12,'1-Input'!$B$12,0))-MIN(MAX(F1034,0),MAX(0,B1001-IF($A1035&gt;='1-Input'!$C$12,'1-Input'!$B$12,0))))*(1/(1-'P-Parametri'!$B$6*B1035))+MIN(MAX(0,G1034-(MAX(0,B1001-IF($A1035&gt;='1-Input'!$C$12,'1-Input'!$B$12,0))-MIN(MAX(F1034,0),MAX(0,B1001-IF($A1035&gt;='1-Input'!$C$12,'1-Input'!$B$12,0))))*(1/(1-'P-Parametri'!$B$6*B1035))),MAX(0,0*B1001-(F1034-MIN(MAX(F1034,0),MAX(0,B1001-IF($A1035&gt;='1-Input'!$C$12,'1-Input'!$B$12,0)))))*(1/(1-'P-Parametri'!$B$6*B1035))))</f>
        <v>6894.8760584049214</v>
      </c>
      <c r="D1035" s="18">
        <f>IF($A1035&gt;'1-Input'!$B$26,F1034,(F1034-MAX(0,B1001-IF($A1035&gt;='1-Input'!$C$12,'1-Input'!$B$12,0))+C1035*(1-'P-Parametri'!$B$6*B1035))*(1+'1-Input'!$B$27))</f>
        <v>-9.0622052084654565E-13</v>
      </c>
      <c r="E1035" s="18">
        <f>IF($A1035&gt;'1-Input'!$B$26,G1034,(G1034-C1035)*(1+'5-Roberta'!$C$4))</f>
        <v>203686.9445486948</v>
      </c>
      <c r="F1035" s="18">
        <f>IF($A1035&gt;'1-Input'!$B$26,D1035,D1035-'P-Parametri'!$B$8*(E1035+D1035)+MIN(MAX(E1035,0),'P-Parametri'!$B$8*(E1035+D1035)))</f>
        <v>-9.0949470177292824E-13</v>
      </c>
      <c r="G1035" s="18">
        <f>IF($A1035&gt;'1-Input'!$B$26,E1035,E1035-MIN(MAX(E1035,0),'P-Parametri'!$B$8*(E1035+D1035)))</f>
        <v>203279.5706595974</v>
      </c>
      <c r="H1035" s="18">
        <f>IF($A1035&gt;'1-Input'!$B$26,H1034,H1034-C1035*(1-B1035))</f>
        <v>52602.361355803347</v>
      </c>
      <c r="I1035" s="11">
        <f>IF($A1035&gt;'1-Input'!$B$26,0,IF(N1034&lt;=0,0,MAX(0,(N1034-O1034)/N1034)))</f>
        <v>0</v>
      </c>
      <c r="J1035" s="18">
        <f>IF($A1035&gt;'1-Input'!$B$26,0,(MAX(0,I1001-IF($A1035&gt;='1-Input'!$C$12,'1-Input'!$B$12,0))-MIN(MAX(M1034,0),MAX(0,I1001-IF($A1035&gt;='1-Input'!$C$12,'1-Input'!$B$12,0))))*(1/(1-'P-Parametri'!$B$6*I1035))+MIN(MAX(0,N1034-(MAX(0,I1001-IF($A1035&gt;='1-Input'!$C$12,'1-Input'!$B$12,0))-MIN(MAX(M1034,0),MAX(0,I1001-IF($A1035&gt;='1-Input'!$C$12,'1-Input'!$B$12,0))))*(1/(1-'P-Parametri'!$B$6*I1035))),MAX(0,0*I1001-(M1034-MIN(MAX(M1034,0),MAX(0,I1001-IF($A1035&gt;='1-Input'!$C$12,'1-Input'!$B$12,0)))))*(1/(1-'P-Parametri'!$B$6*I1035))))</f>
        <v>10846.756992928691</v>
      </c>
      <c r="K1035" s="18">
        <f>IF($A1035&gt;'1-Input'!$B$26,M1034,(M1034-MAX(0,I1001-IF($A1035&gt;='1-Input'!$C$12,'1-Input'!$B$12,0))+J1035*(1-'P-Parametri'!$B$6*I1035))*(1+'1-Input'!$B$27))</f>
        <v>-1.8124410416930913E-12</v>
      </c>
      <c r="L1035" s="18">
        <f>IF($A1035&gt;'1-Input'!$B$26,N1034,(N1034-J1035)*(1+'5-Roberta'!$C$4))</f>
        <v>-98292.91170905203</v>
      </c>
      <c r="M1035" s="18">
        <f>IF($A1035&gt;'1-Input'!$B$26,K1035,K1035-'P-Parametri'!$B$8*(L1035+K1035)+MIN(MAX(L1035,0),'P-Parametri'!$B$8*(L1035+K1035)))</f>
        <v>-1.8189894035458565E-12</v>
      </c>
      <c r="N1035" s="18">
        <f>IF($A1035&gt;'1-Input'!$B$26,L1035,L1035-MIN(MAX(L1035,0),'P-Parametri'!$B$8*(L1035+K1035)))</f>
        <v>-98096.325885633923</v>
      </c>
      <c r="O1035" s="18">
        <f>IF($A1035&gt;'1-Input'!$B$26,O1034,O1034-J1035*(1-I1035))</f>
        <v>-79341.045887276676</v>
      </c>
      <c r="P1035" s="11">
        <f>IF($A1035&gt;'1-Input'!$B$26,0,IF(U1034&lt;=0,0,MAX(0,(U1034-V1034)/U1034)))</f>
        <v>0.73400144856351013</v>
      </c>
      <c r="Q1035" s="18">
        <f>IF($A1035&gt;'1-Input'!$B$26,0,(MAX(0,P1001-IF($A1035&gt;='1-Input'!$C$12,'1-Input'!$B$12,0))-MIN(MAX(T1034,0),MAX(0,P1001-IF($A1035&gt;='1-Input'!$C$12,'1-Input'!$B$12,0))))*(1/(1-'P-Parametri'!$B$6*P1035))+MIN(MAX(0,U1034-(MAX(0,P1001-IF($A1035&gt;='1-Input'!$C$12,'1-Input'!$B$12,0))-MIN(MAX(T1034,0),MAX(0,P1001-IF($A1035&gt;='1-Input'!$C$12,'1-Input'!$B$12,0))))*(1/(1-'P-Parametri'!$B$6*P1035))),MAX(0,0*P1001-(T1034-MIN(MAX(T1034,0),MAX(0,P1001-IF($A1035&gt;='1-Input'!$C$12,'1-Input'!$B$12,0)))))*(1/(1-'P-Parametri'!$B$6*P1035))))</f>
        <v>9275.5206080175431</v>
      </c>
      <c r="R1035" s="18">
        <f>IF($A1035&gt;'1-Input'!$B$26,T1034,(T1034-MAX(0,P1001-IF($A1035&gt;='1-Input'!$C$12,'1-Input'!$B$12,0))+Q1035*(1-'P-Parametri'!$B$6*P1035))*(1+'1-Input'!$B$27))</f>
        <v>-9.0622052084654565E-13</v>
      </c>
      <c r="S1035" s="18">
        <f>IF($A1035&gt;'1-Input'!$B$26,U1034,(U1034-Q1035)*(1+'5-Roberta'!$C$4))</f>
        <v>86216.12782612961</v>
      </c>
      <c r="T1035" s="18">
        <f>IF($A1035&gt;'1-Input'!$B$26,R1035,R1035-'P-Parametri'!$B$8*(S1035+R1035)+MIN(MAX(S1035,0),'P-Parametri'!$B$8*(S1035+R1035)))</f>
        <v>-9.0949470177292824E-13</v>
      </c>
      <c r="U1035" s="18">
        <f>IF($A1035&gt;'1-Input'!$B$26,S1035,S1035-MIN(MAX(S1035,0),'P-Parametri'!$B$8*(S1035+R1035)))</f>
        <v>86043.695570477357</v>
      </c>
      <c r="V1035" s="18">
        <f>IF($A1035&gt;'1-Input'!$B$26,V1034,V1034-Q1035*(1-P1035))</f>
        <v>22265.403021566715</v>
      </c>
      <c r="W1035" s="11">
        <f>IF($A1035&gt;'1-Input'!$B$26,0,IF(AB1034&lt;=0,0,MAX(0,(AB1034-AC1034)/AB1034)))</f>
        <v>0.73400144856351024</v>
      </c>
      <c r="X1035" s="18">
        <f>IF($A1035&gt;'1-Input'!$B$26,0,(MAX(0,W1001-IF($A1035&gt;='1-Input'!$C$12,'1-Input'!$B$12,0))-MIN(MAX(AA1034,0),MAX(0,W1001-IF($A1035&gt;='1-Input'!$C$12,'1-Input'!$B$12,0))))*(1/(1-'P-Parametri'!$B$6*W1035))+MIN(MAX(0,AB1034-(MAX(0,W1001-IF($A1035&gt;='1-Input'!$C$12,'1-Input'!$B$12,0))-MIN(MAX(AA1034,0),MAX(0,W1001-IF($A1035&gt;='1-Input'!$C$12,'1-Input'!$B$12,0))))*(1/(1-'P-Parametri'!$B$6*W1035))),MAX(0,0*W1001-(AA1034-MIN(MAX(AA1034,0),MAX(0,W1001-IF($A1035&gt;='1-Input'!$C$12,'1-Input'!$B$12,0)))))*(1/(1-'P-Parametri'!$B$6*W1035))))</f>
        <v>8965.680892555185</v>
      </c>
      <c r="Y1035" s="18">
        <f>IF($A1035&gt;'1-Input'!$B$26,AA1034,(AA1034-MAX(0,W1001-IF($A1035&gt;='1-Input'!$C$12,'1-Input'!$B$12,0))+X1035*(1-'P-Parametri'!$B$6*W1035))*(1+'1-Input'!$B$27))</f>
        <v>0</v>
      </c>
      <c r="Z1035" s="18">
        <f>IF($A1035&gt;'1-Input'!$B$26,AB1034,(AB1034-X1035)*(1+'5-Roberta'!$C$4))</f>
        <v>101504.89675821284</v>
      </c>
      <c r="AA1035" s="18">
        <f>IF($A1035&gt;'1-Input'!$B$26,Y1035,Y1035-'P-Parametri'!$B$8*(Z1035+Y1035)+MIN(MAX(Z1035,0),'P-Parametri'!$B$8*(Z1035+Y1035)))</f>
        <v>0</v>
      </c>
      <c r="AB1035" s="18">
        <f>IF($A1035&gt;'1-Input'!$B$26,Z1035,Z1035-MIN(MAX(Z1035,0),'P-Parametri'!$B$8*(Z1035+Y1035)))</f>
        <v>101301.88696469642</v>
      </c>
      <c r="AC1035" s="18">
        <f>IF($A1035&gt;'1-Input'!$B$26,AC1034,AC1034-X1035*(1-W1035))</f>
        <v>26213.743205237934</v>
      </c>
      <c r="AD1035" s="11">
        <f>IF($A1035&gt;'1-Input'!$B$26,0,IF(AI1034&lt;=0,0,MAX(0,(AI1034-AJ1034)/AI1034)))</f>
        <v>0.73400144856350991</v>
      </c>
      <c r="AE1035" s="18">
        <f>IF($A1035&gt;'1-Input'!$B$26,0,(MAX(0,AD1001-IF($A1035&gt;='1-Input'!$C$12,'1-Input'!$B$12,0))-MIN(MAX(AH1034,0),MAX(0,AD1001-IF($A1035&gt;='1-Input'!$C$12,'1-Input'!$B$12,0))))*(1/(1-'P-Parametri'!$B$6*AD1035))+MIN(MAX(0,AI1034-(MAX(0,AD1001-IF($A1035&gt;='1-Input'!$C$12,'1-Input'!$B$12,0))-MIN(MAX(AH1034,0),MAX(0,AD1001-IF($A1035&gt;='1-Input'!$C$12,'1-Input'!$B$12,0))))*(1/(1-'P-Parametri'!$B$6*AD1035))),MAX(0,0*AD1001-(AH1034-MIN(MAX(AH1034,0),MAX(0,AD1001-IF($A1035&gt;='1-Input'!$C$12,'1-Input'!$B$12,0)))))*(1/(1-'P-Parametri'!$B$6*AD1035))))</f>
        <v>8977.0853927197713</v>
      </c>
      <c r="AF1035" s="18">
        <f>IF($A1035&gt;'1-Input'!$B$26,AH1034,(AH1034-MAX(0,AD1001-IF($A1035&gt;='1-Input'!$C$12,'1-Input'!$B$12,0))+AE1035*(1-'P-Parametri'!$B$6*AD1035))*(1+'1-Input'!$B$27))</f>
        <v>-9.0622052084654565E-13</v>
      </c>
      <c r="AG1035" s="18">
        <f>IF($A1035&gt;'1-Input'!$B$26,AI1034,(AI1034-AE1035)*(1+'5-Roberta'!$C$4))</f>
        <v>100942.1517029439</v>
      </c>
      <c r="AH1035" s="18">
        <f>IF($A1035&gt;'1-Input'!$B$26,AF1035,AF1035-'P-Parametri'!$B$8*(AG1035+AF1035)+MIN(MAX(AG1035,0),'P-Parametri'!$B$8*(AG1035+AF1035)))</f>
        <v>-9.0949470177292824E-13</v>
      </c>
      <c r="AI1035" s="18">
        <f>IF($A1035&gt;'1-Input'!$B$26,AG1035,AG1035-MIN(MAX(AG1035,0),'P-Parametri'!$B$8*(AG1035+AF1035)))</f>
        <v>100740.26739953802</v>
      </c>
      <c r="AJ1035" s="18">
        <f>IF($A1035&gt;'1-Input'!$B$26,AJ1034,AJ1034-AE1035*(1-AD1035))</f>
        <v>26068.41372025778</v>
      </c>
      <c r="AK1035" s="11">
        <f>IF($A1035&gt;'1-Input'!$B$26,0,IF(AP1034&lt;=0,0,MAX(0,(AP1034-AQ1034)/AP1034)))</f>
        <v>0.73400144856351002</v>
      </c>
      <c r="AL1035" s="18">
        <f>IF($A1035&gt;'1-Input'!$B$26,0,(MAX(0,AK1001-IF($A1035&gt;='1-Input'!$C$12,'1-Input'!$B$12,0))-MIN(MAX(AO1034,0),MAX(0,AK1001-IF($A1035&gt;='1-Input'!$C$12,'1-Input'!$B$12,0))))*(1/(1-'P-Parametri'!$B$6*AK1035))+MIN(MAX(0,AP1034-(MAX(0,AK1001-IF($A1035&gt;='1-Input'!$C$12,'1-Input'!$B$12,0))-MIN(MAX(AO1034,0),MAX(0,AK1001-IF($A1035&gt;='1-Input'!$C$12,'1-Input'!$B$12,0))))*(1/(1-'P-Parametri'!$B$6*AK1035))),MAX(0,0*AK1001-(AO1034-MIN(MAX(AO1034,0),MAX(0,AK1001-IF($A1035&gt;='1-Input'!$C$12,'1-Input'!$B$12,0)))))*(1/(1-'P-Parametri'!$B$6*AK1035))))</f>
        <v>8975.3058867252403</v>
      </c>
      <c r="AM1035" s="18">
        <f>IF($A1035&gt;'1-Input'!$B$26,AO1034,(AO1034-MAX(0,AK1001-IF($A1035&gt;='1-Input'!$C$12,'1-Input'!$B$12,0))+AL1035*(1-'P-Parametri'!$B$6*AK1035))*(1+'1-Input'!$B$27))</f>
        <v>-9.0622052084654565E-13</v>
      </c>
      <c r="AN1035" s="18">
        <f>IF($A1035&gt;'1-Input'!$B$26,AP1034,(AP1034-AL1035)*(1+'5-Roberta'!$C$4))</f>
        <v>101029.95986505489</v>
      </c>
      <c r="AO1035" s="18">
        <f>IF($A1035&gt;'1-Input'!$B$26,AM1035,AM1035-'P-Parametri'!$B$8*(AN1035+AM1035)+MIN(MAX(AN1035,0),'P-Parametri'!$B$8*(AN1035+AM1035)))</f>
        <v>-9.0949470177292824E-13</v>
      </c>
      <c r="AP1035" s="18">
        <f>IF($A1035&gt;'1-Input'!$B$26,AN1035,AN1035-MIN(MAX(AN1035,0),'P-Parametri'!$B$8*(AN1035+AM1035)))</f>
        <v>100827.89994532478</v>
      </c>
      <c r="AQ1035" s="18">
        <f>IF($A1035&gt;'1-Input'!$B$26,AQ1034,AQ1034-AL1035*(1-AK1035))</f>
        <v>26091.090267758555</v>
      </c>
    </row>
    <row r="1036" spans="1:43">
      <c r="A1036" s="10">
        <f>33</f>
        <v>33</v>
      </c>
      <c r="B1036" s="11">
        <f>IF($A1036&gt;'1-Input'!$B$26,0,IF(G1035&lt;=0,0,MAX(0,(G1035-H1035)/G1035)))</f>
        <v>0.74123144207201797</v>
      </c>
      <c r="C1036" s="18">
        <f>IF($A1036&gt;'1-Input'!$B$26,0,(MAX(0,B1001-IF($A1036&gt;='1-Input'!$C$12,'1-Input'!$B$12,0))-MIN(MAX(F1035,0),MAX(0,B1001-IF($A1036&gt;='1-Input'!$C$12,'1-Input'!$B$12,0))))*(1/(1-'P-Parametri'!$B$6*B1036))+MIN(MAX(0,G1035-(MAX(0,B1001-IF($A1036&gt;='1-Input'!$C$12,'1-Input'!$B$12,0))-MIN(MAX(F1035,0),MAX(0,B1001-IF($A1036&gt;='1-Input'!$C$12,'1-Input'!$B$12,0))))*(1/(1-'P-Parametri'!$B$6*B1036))),MAX(0,0*B1001-(F1035-MIN(MAX(F1035,0),MAX(0,B1001-IF($A1036&gt;='1-Input'!$C$12,'1-Input'!$B$12,0)))))*(1/(1-'P-Parametri'!$B$6*B1036))))</f>
        <v>6910.9311807740687</v>
      </c>
      <c r="D1036" s="18">
        <f>IF($A1036&gt;'1-Input'!$B$26,F1035,(F1035-MAX(0,B1001-IF($A1036&gt;='1-Input'!$C$12,'1-Input'!$B$12,0))+C1036*(1-'P-Parametri'!$B$6*B1036))*(1+'1-Input'!$B$27))</f>
        <v>0</v>
      </c>
      <c r="E1036" s="18">
        <f>IF($A1036&gt;'1-Input'!$B$26,G1035,(G1035-C1036)*(1+'5-Roberta'!$C$4))</f>
        <v>202259.69866318806</v>
      </c>
      <c r="F1036" s="18">
        <f>IF($A1036&gt;'1-Input'!$B$26,D1036,D1036-'P-Parametri'!$B$8*(E1036+D1036)+MIN(MAX(E1036,0),'P-Parametri'!$B$8*(E1036+D1036)))</f>
        <v>0</v>
      </c>
      <c r="G1036" s="18">
        <f>IF($A1036&gt;'1-Input'!$B$26,E1036,E1036-MIN(MAX(E1036,0),'P-Parametri'!$B$8*(E1036+D1036)))</f>
        <v>201855.17926586169</v>
      </c>
      <c r="H1036" s="18">
        <f>IF($A1036&gt;'1-Input'!$B$26,H1035,H1035-C1036*(1-B1036))</f>
        <v>50814.029660214917</v>
      </c>
      <c r="I1036" s="11">
        <f>IF($A1036&gt;'1-Input'!$B$26,0,IF(N1035&lt;=0,0,MAX(0,(N1035-O1035)/N1035)))</f>
        <v>0</v>
      </c>
      <c r="J1036" s="18">
        <f>IF($A1036&gt;'1-Input'!$B$26,0,(MAX(0,I1001-IF($A1036&gt;='1-Input'!$C$12,'1-Input'!$B$12,0))-MIN(MAX(M1035,0),MAX(0,I1001-IF($A1036&gt;='1-Input'!$C$12,'1-Input'!$B$12,0))))*(1/(1-'P-Parametri'!$B$6*I1036))+MIN(MAX(0,N1035-(MAX(0,I1001-IF($A1036&gt;='1-Input'!$C$12,'1-Input'!$B$12,0))-MIN(MAX(M1035,0),MAX(0,I1001-IF($A1036&gt;='1-Input'!$C$12,'1-Input'!$B$12,0))))*(1/(1-'P-Parametri'!$B$6*I1036))),MAX(0,0*I1001-(M1035-MIN(MAX(M1035,0),MAX(0,I1001-IF($A1036&gt;='1-Input'!$C$12,'1-Input'!$B$12,0)))))*(1/(1-'P-Parametri'!$B$6*I1036))))</f>
        <v>10846.756992928691</v>
      </c>
      <c r="K1036" s="18">
        <f>IF($A1036&gt;'1-Input'!$B$26,M1035,(M1035-MAX(0,I1001-IF($A1036&gt;='1-Input'!$C$12,'1-Input'!$B$12,0))+J1036*(1-'P-Parametri'!$B$6*I1036))*(1+'1-Input'!$B$27))</f>
        <v>-1.8124410416930913E-12</v>
      </c>
      <c r="L1036" s="18">
        <f>IF($A1036&gt;'1-Input'!$B$26,N1035,(N1035-J1036)*(1+'5-Roberta'!$C$4))</f>
        <v>-112211.3753649195</v>
      </c>
      <c r="M1036" s="18">
        <f>IF($A1036&gt;'1-Input'!$B$26,K1036,K1036-'P-Parametri'!$B$8*(L1036+K1036)+MIN(MAX(L1036,0),'P-Parametri'!$B$8*(L1036+K1036)))</f>
        <v>-1.8189894035458565E-12</v>
      </c>
      <c r="N1036" s="18">
        <f>IF($A1036&gt;'1-Input'!$B$26,L1036,L1036-MIN(MAX(L1036,0),'P-Parametri'!$B$8*(L1036+K1036)))</f>
        <v>-111986.95261418966</v>
      </c>
      <c r="O1036" s="18">
        <f>IF($A1036&gt;'1-Input'!$B$26,O1035,O1035-J1036*(1-I1036))</f>
        <v>-90187.80288020536</v>
      </c>
      <c r="P1036" s="11">
        <f>IF($A1036&gt;'1-Input'!$B$26,0,IF(U1035&lt;=0,0,MAX(0,(U1035-V1035)/U1035)))</f>
        <v>0.74123144207201808</v>
      </c>
      <c r="Q1036" s="18">
        <f>IF($A1036&gt;'1-Input'!$B$26,0,(MAX(0,P1001-IF($A1036&gt;='1-Input'!$C$12,'1-Input'!$B$12,0))-MIN(MAX(T1035,0),MAX(0,P1001-IF($A1036&gt;='1-Input'!$C$12,'1-Input'!$B$12,0))))*(1/(1-'P-Parametri'!$B$6*P1036))+MIN(MAX(0,U1035-(MAX(0,P1001-IF($A1036&gt;='1-Input'!$C$12,'1-Input'!$B$12,0))-MIN(MAX(T1035,0),MAX(0,P1001-IF($A1036&gt;='1-Input'!$C$12,'1-Input'!$B$12,0))))*(1/(1-'P-Parametri'!$B$6*P1036))),MAX(0,0*P1001-(T1035-MIN(MAX(T1035,0),MAX(0,P1001-IF($A1036&gt;='1-Input'!$C$12,'1-Input'!$B$12,0)))))*(1/(1-'P-Parametri'!$B$6*P1036))))</f>
        <v>9297.1192005285357</v>
      </c>
      <c r="R1036" s="18">
        <f>IF($A1036&gt;'1-Input'!$B$26,T1035,(T1035-MAX(0,P1001-IF($A1036&gt;='1-Input'!$C$12,'1-Input'!$B$12,0))+Q1036*(1-'P-Parametri'!$B$6*P1036))*(1+'1-Input'!$B$27))</f>
        <v>1.8124410416930913E-12</v>
      </c>
      <c r="S1036" s="18">
        <f>IF($A1036&gt;'1-Input'!$B$26,U1035,(U1035-Q1036)*(1+'5-Roberta'!$C$4))</f>
        <v>79048.973661047276</v>
      </c>
      <c r="T1036" s="18">
        <f>IF($A1036&gt;'1-Input'!$B$26,R1036,R1036-'P-Parametri'!$B$8*(S1036+R1036)+MIN(MAX(S1036,0),'P-Parametri'!$B$8*(S1036+R1036)))</f>
        <v>1.8189894035458565E-12</v>
      </c>
      <c r="U1036" s="18">
        <f>IF($A1036&gt;'1-Input'!$B$26,S1036,S1036-MIN(MAX(S1036,0),'P-Parametri'!$B$8*(S1036+R1036)))</f>
        <v>78890.875713725181</v>
      </c>
      <c r="V1036" s="18">
        <f>IF($A1036&gt;'1-Input'!$B$26,V1035,V1035-Q1036*(1-P1036))</f>
        <v>19859.600893161394</v>
      </c>
      <c r="W1036" s="11">
        <f>IF($A1036&gt;'1-Input'!$B$26,0,IF(AB1035&lt;=0,0,MAX(0,(AB1035-AC1035)/AB1035)))</f>
        <v>0.74123144207201797</v>
      </c>
      <c r="X1036" s="18">
        <f>IF($A1036&gt;'1-Input'!$B$26,0,(MAX(0,W1001-IF($A1036&gt;='1-Input'!$C$12,'1-Input'!$B$12,0))-MIN(MAX(AA1035,0),MAX(0,W1001-IF($A1036&gt;='1-Input'!$C$12,'1-Input'!$B$12,0))))*(1/(1-'P-Parametri'!$B$6*W1036))+MIN(MAX(0,AB1035-(MAX(0,W1001-IF($A1036&gt;='1-Input'!$C$12,'1-Input'!$B$12,0))-MIN(MAX(AA1035,0),MAX(0,W1001-IF($A1036&gt;='1-Input'!$C$12,'1-Input'!$B$12,0))))*(1/(1-'P-Parametri'!$B$6*W1036))),MAX(0,0*W1001-(AA1035-MIN(MAX(AA1035,0),MAX(0,W1001-IF($A1036&gt;='1-Input'!$C$12,'1-Input'!$B$12,0)))))*(1/(1-'P-Parametri'!$B$6*W1036))))</f>
        <v>8986.5580051578418</v>
      </c>
      <c r="Y1036" s="18">
        <f>IF($A1036&gt;'1-Input'!$B$26,AA1035,(AA1035-MAX(0,W1001-IF($A1036&gt;='1-Input'!$C$12,'1-Input'!$B$12,0))+X1036*(1-'P-Parametri'!$B$6*W1036))*(1+'1-Input'!$B$27))</f>
        <v>-9.0622052084654565E-13</v>
      </c>
      <c r="Z1036" s="18">
        <f>IF($A1036&gt;'1-Input'!$B$26,AB1035,(AB1035-X1036)*(1+'5-Roberta'!$C$4))</f>
        <v>95084.78882832473</v>
      </c>
      <c r="AA1036" s="18">
        <f>IF($A1036&gt;'1-Input'!$B$26,Y1036,Y1036-'P-Parametri'!$B$8*(Z1036+Y1036)+MIN(MAX(Z1036,0),'P-Parametri'!$B$8*(Z1036+Y1036)))</f>
        <v>-9.0949470177292824E-13</v>
      </c>
      <c r="AB1036" s="18">
        <f>IF($A1036&gt;'1-Input'!$B$26,Z1036,Z1036-MIN(MAX(Z1036,0),'P-Parametri'!$B$8*(Z1036+Y1036)))</f>
        <v>94894.619250668082</v>
      </c>
      <c r="AC1036" s="18">
        <f>IF($A1036&gt;'1-Input'!$B$26,AC1035,AC1035-X1036*(1-W1036))</f>
        <v>23888.304549507076</v>
      </c>
      <c r="AD1036" s="11">
        <f>IF($A1036&gt;'1-Input'!$B$26,0,IF(AI1035&lt;=0,0,MAX(0,(AI1035-AJ1035)/AI1035)))</f>
        <v>0.74123144207201763</v>
      </c>
      <c r="AE1036" s="18">
        <f>IF($A1036&gt;'1-Input'!$B$26,0,(MAX(0,AD1001-IF($A1036&gt;='1-Input'!$C$12,'1-Input'!$B$12,0))-MIN(MAX(AH1035,0),MAX(0,AD1001-IF($A1036&gt;='1-Input'!$C$12,'1-Input'!$B$12,0))))*(1/(1-'P-Parametri'!$B$6*AD1036))+MIN(MAX(0,AI1035-(MAX(0,AD1001-IF($A1036&gt;='1-Input'!$C$12,'1-Input'!$B$12,0))-MIN(MAX(AH1035,0),MAX(0,AD1001-IF($A1036&gt;='1-Input'!$C$12,'1-Input'!$B$12,0))))*(1/(1-'P-Parametri'!$B$6*AD1036))),MAX(0,0*AD1001-(AH1035-MIN(MAX(AH1035,0),MAX(0,AD1001-IF($A1036&gt;='1-Input'!$C$12,'1-Input'!$B$12,0)))))*(1/(1-'P-Parametri'!$B$6*AD1036))))</f>
        <v>8997.989061368422</v>
      </c>
      <c r="AF1036" s="18">
        <f>IF($A1036&gt;'1-Input'!$B$26,AH1035,(AH1035-MAX(0,AD1001-IF($A1036&gt;='1-Input'!$C$12,'1-Input'!$B$12,0))+AE1036*(1-'P-Parametri'!$B$6*AD1036))*(1+'1-Input'!$B$27))</f>
        <v>9.0622052084654565E-13</v>
      </c>
      <c r="AG1036" s="18">
        <f>IF($A1036&gt;'1-Input'!$B$26,AI1035,(AI1035-AE1036)*(1+'5-Roberta'!$C$4))</f>
        <v>94494.546688314687</v>
      </c>
      <c r="AH1036" s="18">
        <f>IF($A1036&gt;'1-Input'!$B$26,AF1036,AF1036-'P-Parametri'!$B$8*(AG1036+AF1036)+MIN(MAX(AG1036,0),'P-Parametri'!$B$8*(AG1036+AF1036)))</f>
        <v>9.0949470177292824E-13</v>
      </c>
      <c r="AI1036" s="18">
        <f>IF($A1036&gt;'1-Input'!$B$26,AG1036,AG1036-MIN(MAX(AG1036,0),'P-Parametri'!$B$8*(AG1036+AF1036)))</f>
        <v>94305.557594938058</v>
      </c>
      <c r="AJ1036" s="18">
        <f>IF($A1036&gt;'1-Input'!$B$26,AJ1035,AJ1035-AE1036*(1-AD1036))</f>
        <v>23740.017066595716</v>
      </c>
      <c r="AK1036" s="11">
        <f>IF($A1036&gt;'1-Input'!$B$26,0,IF(AP1035&lt;=0,0,MAX(0,(AP1035-AQ1035)/AP1035)))</f>
        <v>0.74123144207201797</v>
      </c>
      <c r="AL1036" s="18">
        <f>IF($A1036&gt;'1-Input'!$B$26,0,(MAX(0,AK1001-IF($A1036&gt;='1-Input'!$C$12,'1-Input'!$B$12,0))-MIN(MAX(AO1035,0),MAX(0,AK1001-IF($A1036&gt;='1-Input'!$C$12,'1-Input'!$B$12,0))))*(1/(1-'P-Parametri'!$B$6*AK1036))+MIN(MAX(0,AP1035-(MAX(0,AK1001-IF($A1036&gt;='1-Input'!$C$12,'1-Input'!$B$12,0))-MIN(MAX(AO1035,0),MAX(0,AK1001-IF($A1036&gt;='1-Input'!$C$12,'1-Input'!$B$12,0))))*(1/(1-'P-Parametri'!$B$6*AK1036))),MAX(0,0*AK1001-(AO1035-MIN(MAX(AO1035,0),MAX(0,AK1001-IF($A1036&gt;='1-Input'!$C$12,'1-Input'!$B$12,0)))))*(1/(1-'P-Parametri'!$B$6*AK1036))))</f>
        <v>8996.2054116900508</v>
      </c>
      <c r="AM1036" s="18">
        <f>IF($A1036&gt;'1-Input'!$B$26,AO1035,(AO1035-MAX(0,AK1001-IF($A1036&gt;='1-Input'!$C$12,'1-Input'!$B$12,0))+AL1036*(1-'P-Parametri'!$B$6*AK1036))*(1+'1-Input'!$B$27))</f>
        <v>9.0622052084654565E-13</v>
      </c>
      <c r="AN1036" s="18">
        <f>IF($A1036&gt;'1-Input'!$B$26,AP1035,(AP1035-AL1036)*(1+'5-Roberta'!$C$4))</f>
        <v>94586.645369643767</v>
      </c>
      <c r="AO1036" s="18">
        <f>IF($A1036&gt;'1-Input'!$B$26,AM1036,AM1036-'P-Parametri'!$B$8*(AN1036+AM1036)+MIN(MAX(AN1036,0),'P-Parametri'!$B$8*(AN1036+AM1036)))</f>
        <v>9.0949470177292824E-13</v>
      </c>
      <c r="AP1036" s="18">
        <f>IF($A1036&gt;'1-Input'!$B$26,AN1036,AN1036-MIN(MAX(AN1036,0),'P-Parametri'!$B$8*(AN1036+AM1036)))</f>
        <v>94397.47207890448</v>
      </c>
      <c r="AQ1036" s="18">
        <f>IF($A1036&gt;'1-Input'!$B$26,AQ1035,AQ1035-AL1036*(1-AK1036))</f>
        <v>23763.155166551613</v>
      </c>
    </row>
    <row r="1037" spans="1:43">
      <c r="A1037" s="10">
        <f>34</f>
        <v>34</v>
      </c>
      <c r="B1037" s="11">
        <f>IF($A1037&gt;'1-Input'!$B$26,0,IF(G1036&lt;=0,0,MAX(0,(G1036-H1036)/G1036)))</f>
        <v>0.74826492020158575</v>
      </c>
      <c r="C1037" s="18">
        <f>IF($A1037&gt;'1-Input'!$B$26,0,(MAX(0,B1001-IF($A1037&gt;='1-Input'!$C$12,'1-Input'!$B$12,0))-MIN(MAX(F1036,0),MAX(0,B1001-IF($A1037&gt;='1-Input'!$C$12,'1-Input'!$B$12,0))))*(1/(1-'P-Parametri'!$B$6*B1037))+MIN(MAX(0,G1036-(MAX(0,B1001-IF($A1037&gt;='1-Input'!$C$12,'1-Input'!$B$12,0))-MIN(MAX(F1036,0),MAX(0,B1001-IF($A1037&gt;='1-Input'!$C$12,'1-Input'!$B$12,0))))*(1/(1-'P-Parametri'!$B$6*B1037))),MAX(0,0*B1001-(F1036-MIN(MAX(F1036,0),MAX(0,B1001-IF($A1037&gt;='1-Input'!$C$12,'1-Input'!$B$12,0)))))*(1/(1-'P-Parametri'!$B$6*B1037))))</f>
        <v>6926.6218283333501</v>
      </c>
      <c r="D1037" s="18">
        <f>IF($A1037&gt;'1-Input'!$B$26,F1036,(F1036-MAX(0,B1001-IF($A1037&gt;='1-Input'!$C$12,'1-Input'!$B$12,0))+C1037*(1-'P-Parametri'!$B$6*B1037))*(1+'1-Input'!$B$27))</f>
        <v>-9.0622052084654565E-13</v>
      </c>
      <c r="E1037" s="18">
        <f>IF($A1037&gt;'1-Input'!$B$26,G1036,(G1036-C1037)*(1+'5-Roberta'!$C$4))</f>
        <v>200776.41416065418</v>
      </c>
      <c r="F1037" s="18">
        <f>IF($A1037&gt;'1-Input'!$B$26,D1037,D1037-'P-Parametri'!$B$8*(E1037+D1037)+MIN(MAX(E1037,0),'P-Parametri'!$B$8*(E1037+D1037)))</f>
        <v>-9.0949470177292824E-13</v>
      </c>
      <c r="G1037" s="18">
        <f>IF($A1037&gt;'1-Input'!$B$26,E1037,E1037-MIN(MAX(E1037,0),'P-Parametri'!$B$8*(E1037+D1037)))</f>
        <v>200374.86133233286</v>
      </c>
      <c r="H1037" s="18">
        <f>IF($A1037&gt;'1-Input'!$B$26,H1036,H1036-C1037*(1-B1037))</f>
        <v>49070.35596152598</v>
      </c>
      <c r="I1037" s="11">
        <f>IF($A1037&gt;'1-Input'!$B$26,0,IF(N1036&lt;=0,0,MAX(0,(N1036-O1036)/N1036)))</f>
        <v>0</v>
      </c>
      <c r="J1037" s="18">
        <f>IF($A1037&gt;'1-Input'!$B$26,0,(MAX(0,I1001-IF($A1037&gt;='1-Input'!$C$12,'1-Input'!$B$12,0))-MIN(MAX(M1036,0),MAX(0,I1001-IF($A1037&gt;='1-Input'!$C$12,'1-Input'!$B$12,0))))*(1/(1-'P-Parametri'!$B$6*I1037))+MIN(MAX(0,N1036-(MAX(0,I1001-IF($A1037&gt;='1-Input'!$C$12,'1-Input'!$B$12,0))-MIN(MAX(M1036,0),MAX(0,I1001-IF($A1037&gt;='1-Input'!$C$12,'1-Input'!$B$12,0))))*(1/(1-'P-Parametri'!$B$6*I1037))),MAX(0,0*I1001-(M1036-MIN(MAX(M1036,0),MAX(0,I1001-IF($A1037&gt;='1-Input'!$C$12,'1-Input'!$B$12,0)))))*(1/(1-'P-Parametri'!$B$6*I1037))))</f>
        <v>10846.756992928691</v>
      </c>
      <c r="K1037" s="18">
        <f>IF($A1037&gt;'1-Input'!$B$26,M1036,(M1036-MAX(0,I1001-IF($A1037&gt;='1-Input'!$C$12,'1-Input'!$B$12,0))+J1037*(1-'P-Parametri'!$B$6*I1037))*(1+'1-Input'!$B$27))</f>
        <v>-1.8124410416930913E-12</v>
      </c>
      <c r="L1037" s="18">
        <f>IF($A1037&gt;'1-Input'!$B$26,N1036,(N1036-J1037)*(1+'5-Roberta'!$C$4))</f>
        <v>-126518.72089533192</v>
      </c>
      <c r="M1037" s="18">
        <f>IF($A1037&gt;'1-Input'!$B$26,K1037,K1037-'P-Parametri'!$B$8*(L1037+K1037)+MIN(MAX(L1037,0),'P-Parametri'!$B$8*(L1037+K1037)))</f>
        <v>-1.8189894035458565E-12</v>
      </c>
      <c r="N1037" s="18">
        <f>IF($A1037&gt;'1-Input'!$B$26,L1037,L1037-MIN(MAX(L1037,0),'P-Parametri'!$B$8*(L1037+K1037)))</f>
        <v>-126265.68345354126</v>
      </c>
      <c r="O1037" s="18">
        <f>IF($A1037&gt;'1-Input'!$B$26,O1036,O1036-J1037*(1-I1037))</f>
        <v>-101034.55987313404</v>
      </c>
      <c r="P1037" s="11">
        <f>IF($A1037&gt;'1-Input'!$B$26,0,IF(U1036&lt;=0,0,MAX(0,(U1036-V1036)/U1036)))</f>
        <v>0.74826492020158575</v>
      </c>
      <c r="Q1037" s="18">
        <f>IF($A1037&gt;'1-Input'!$B$26,0,(MAX(0,P1001-IF($A1037&gt;='1-Input'!$C$12,'1-Input'!$B$12,0))-MIN(MAX(T1036,0),MAX(0,P1001-IF($A1037&gt;='1-Input'!$C$12,'1-Input'!$B$12,0))))*(1/(1-'P-Parametri'!$B$6*P1037))+MIN(MAX(0,U1036-(MAX(0,P1001-IF($A1037&gt;='1-Input'!$C$12,'1-Input'!$B$12,0))-MIN(MAX(T1036,0),MAX(0,P1001-IF($A1037&gt;='1-Input'!$C$12,'1-Input'!$B$12,0))))*(1/(1-'P-Parametri'!$B$6*P1037))),MAX(0,0*P1001-(T1036-MIN(MAX(T1036,0),MAX(0,P1001-IF($A1037&gt;='1-Input'!$C$12,'1-Input'!$B$12,0)))))*(1/(1-'P-Parametri'!$B$6*P1037))))</f>
        <v>9318.2274733323375</v>
      </c>
      <c r="R1037" s="18">
        <f>IF($A1037&gt;'1-Input'!$B$26,T1036,(T1036-MAX(0,P1001-IF($A1037&gt;='1-Input'!$C$12,'1-Input'!$B$12,0))+Q1037*(1-'P-Parametri'!$B$6*P1037))*(1+'1-Input'!$B$27))</f>
        <v>-9.0622052084654565E-13</v>
      </c>
      <c r="S1037" s="18">
        <f>IF($A1037&gt;'1-Input'!$B$26,U1036,(U1036-Q1037)*(1+'5-Roberta'!$C$4))</f>
        <v>71659.827687604629</v>
      </c>
      <c r="T1037" s="18">
        <f>IF($A1037&gt;'1-Input'!$B$26,R1037,R1037-'P-Parametri'!$B$8*(S1037+R1037)+MIN(MAX(S1037,0),'P-Parametri'!$B$8*(S1037+R1037)))</f>
        <v>-9.0949470177292824E-13</v>
      </c>
      <c r="U1037" s="18">
        <f>IF($A1037&gt;'1-Input'!$B$26,S1037,S1037-MIN(MAX(S1037,0),'P-Parametri'!$B$8*(S1037+R1037)))</f>
        <v>71516.508032229423</v>
      </c>
      <c r="V1037" s="18">
        <f>IF($A1037&gt;'1-Input'!$B$26,V1036,V1036-Q1037*(1-P1037))</f>
        <v>17513.876156582301</v>
      </c>
      <c r="W1037" s="11">
        <f>IF($A1037&gt;'1-Input'!$B$26,0,IF(AB1036&lt;=0,0,MAX(0,(AB1036-AC1036)/AB1036)))</f>
        <v>0.74826492020158553</v>
      </c>
      <c r="X1037" s="18">
        <f>IF($A1037&gt;'1-Input'!$B$26,0,(MAX(0,W1001-IF($A1037&gt;='1-Input'!$C$12,'1-Input'!$B$12,0))-MIN(MAX(AA1036,0),MAX(0,W1001-IF($A1037&gt;='1-Input'!$C$12,'1-Input'!$B$12,0))))*(1/(1-'P-Parametri'!$B$6*W1037))+MIN(MAX(0,AB1036-(MAX(0,W1001-IF($A1037&gt;='1-Input'!$C$12,'1-Input'!$B$12,0))-MIN(MAX(AA1036,0),MAX(0,W1001-IF($A1037&gt;='1-Input'!$C$12,'1-Input'!$B$12,0))))*(1/(1-'P-Parametri'!$B$6*W1037))),MAX(0,0*W1001-(AA1036-MIN(MAX(AA1036,0),MAX(0,W1001-IF($A1037&gt;='1-Input'!$C$12,'1-Input'!$B$12,0)))))*(1/(1-'P-Parametri'!$B$6*W1037))))</f>
        <v>9006.961176704719</v>
      </c>
      <c r="Y1037" s="18">
        <f>IF($A1037&gt;'1-Input'!$B$26,AA1036,(AA1036-MAX(0,W1001-IF($A1037&gt;='1-Input'!$C$12,'1-Input'!$B$12,0))+X1037*(1-'P-Parametri'!$B$6*W1037))*(1+'1-Input'!$B$27))</f>
        <v>0</v>
      </c>
      <c r="Z1037" s="18">
        <f>IF($A1037&gt;'1-Input'!$B$26,AB1036,(AB1036-X1037)*(1+'5-Roberta'!$C$4))</f>
        <v>88464.287816182274</v>
      </c>
      <c r="AA1037" s="18">
        <f>IF($A1037&gt;'1-Input'!$B$26,Y1037,Y1037-'P-Parametri'!$B$8*(Z1037+Y1037)+MIN(MAX(Z1037,0),'P-Parametri'!$B$8*(Z1037+Y1037)))</f>
        <v>0</v>
      </c>
      <c r="AB1037" s="18">
        <f>IF($A1037&gt;'1-Input'!$B$26,Z1037,Z1037-MIN(MAX(Z1037,0),'P-Parametri'!$B$8*(Z1037+Y1037)))</f>
        <v>88287.359240549908</v>
      </c>
      <c r="AC1037" s="18">
        <f>IF($A1037&gt;'1-Input'!$B$26,AC1036,AC1036-X1037*(1-W1037))</f>
        <v>21620.936458948094</v>
      </c>
      <c r="AD1037" s="11">
        <f>IF($A1037&gt;'1-Input'!$B$26,0,IF(AI1036&lt;=0,0,MAX(0,(AI1036-AJ1036)/AI1036)))</f>
        <v>0.74826492020158542</v>
      </c>
      <c r="AE1037" s="18">
        <f>IF($A1037&gt;'1-Input'!$B$26,0,(MAX(0,AD1001-IF($A1037&gt;='1-Input'!$C$12,'1-Input'!$B$12,0))-MIN(MAX(AH1036,0),MAX(0,AD1001-IF($A1037&gt;='1-Input'!$C$12,'1-Input'!$B$12,0))))*(1/(1-'P-Parametri'!$B$6*AD1037))+MIN(MAX(0,AI1036-(MAX(0,AD1001-IF($A1037&gt;='1-Input'!$C$12,'1-Input'!$B$12,0))-MIN(MAX(AH1036,0),MAX(0,AD1001-IF($A1037&gt;='1-Input'!$C$12,'1-Input'!$B$12,0))))*(1/(1-'P-Parametri'!$B$6*AD1037))),MAX(0,0*AD1001-(AH1036-MIN(MAX(AH1036,0),MAX(0,AD1001-IF($A1037&gt;='1-Input'!$C$12,'1-Input'!$B$12,0)))))*(1/(1-'P-Parametri'!$B$6*AD1037))))</f>
        <v>9018.4181861001161</v>
      </c>
      <c r="AF1037" s="18">
        <f>IF($A1037&gt;'1-Input'!$B$26,AH1036,(AH1036-MAX(0,AD1001-IF($A1037&gt;='1-Input'!$C$12,'1-Input'!$B$12,0))+AE1037*(1-'P-Parametri'!$B$6*AD1037))*(1+'1-Input'!$B$27))</f>
        <v>9.0622052084654565E-13</v>
      </c>
      <c r="AG1037" s="18">
        <f>IF($A1037&gt;'1-Input'!$B$26,AI1036,(AI1036-AE1037)*(1+'5-Roberta'!$C$4))</f>
        <v>87845.753591103086</v>
      </c>
      <c r="AH1037" s="18">
        <f>IF($A1037&gt;'1-Input'!$B$26,AF1037,AF1037-'P-Parametri'!$B$8*(AG1037+AF1037)+MIN(MAX(AG1037,0),'P-Parametri'!$B$8*(AG1037+AF1037)))</f>
        <v>9.0949470177292824E-13</v>
      </c>
      <c r="AI1037" s="18">
        <f>IF($A1037&gt;'1-Input'!$B$26,AG1037,AG1037-MIN(MAX(AG1037,0),'P-Parametri'!$B$8*(AG1037+AF1037)))</f>
        <v>87670.062083920886</v>
      </c>
      <c r="AJ1037" s="18">
        <f>IF($A1037&gt;'1-Input'!$B$26,AJ1036,AJ1036-AE1037*(1-AD1037))</f>
        <v>21469.764844862329</v>
      </c>
      <c r="AK1037" s="11">
        <f>IF($A1037&gt;'1-Input'!$B$26,0,IF(AP1036&lt;=0,0,MAX(0,(AP1036-AQ1036)/AP1036)))</f>
        <v>0.74826492020158564</v>
      </c>
      <c r="AL1037" s="18">
        <f>IF($A1037&gt;'1-Input'!$B$26,0,(MAX(0,AK1001-IF($A1037&gt;='1-Input'!$C$12,'1-Input'!$B$12,0))-MIN(MAX(AO1036,0),MAX(0,AK1001-IF($A1037&gt;='1-Input'!$C$12,'1-Input'!$B$12,0))))*(1/(1-'P-Parametri'!$B$6*AK1037))+MIN(MAX(0,AP1036-(MAX(0,AK1001-IF($A1037&gt;='1-Input'!$C$12,'1-Input'!$B$12,0))-MIN(MAX(AO1036,0),MAX(0,AK1001-IF($A1037&gt;='1-Input'!$C$12,'1-Input'!$B$12,0))))*(1/(1-'P-Parametri'!$B$6*AK1037))),MAX(0,0*AK1001-(AO1036-MIN(MAX(AO1036,0),MAX(0,AK1001-IF($A1037&gt;='1-Input'!$C$12,'1-Input'!$B$12,0)))))*(1/(1-'P-Parametri'!$B$6*AK1037))))</f>
        <v>9016.6304868056013</v>
      </c>
      <c r="AM1037" s="18">
        <f>IF($A1037&gt;'1-Input'!$B$26,AO1036,(AO1036-MAX(0,AK1001-IF($A1037&gt;='1-Input'!$C$12,'1-Input'!$B$12,0))+AL1037*(1-'P-Parametri'!$B$6*AK1037))*(1+'1-Input'!$B$27))</f>
        <v>-9.0622052084654565E-13</v>
      </c>
      <c r="AN1037" s="18">
        <f>IF($A1037&gt;'1-Input'!$B$26,AP1036,(AP1036-AL1037)*(1+'5-Roberta'!$C$4))</f>
        <v>87942.266839861841</v>
      </c>
      <c r="AO1037" s="18">
        <f>IF($A1037&gt;'1-Input'!$B$26,AM1037,AM1037-'P-Parametri'!$B$8*(AN1037+AM1037)+MIN(MAX(AN1037,0),'P-Parametri'!$B$8*(AN1037+AM1037)))</f>
        <v>-9.0949470177292824E-13</v>
      </c>
      <c r="AP1037" s="18">
        <f>IF($A1037&gt;'1-Input'!$B$26,AN1037,AN1037-MIN(MAX(AN1037,0),'P-Parametri'!$B$8*(AN1037+AM1037)))</f>
        <v>87766.382306182117</v>
      </c>
      <c r="AQ1037" s="18">
        <f>IF($A1037&gt;'1-Input'!$B$26,AQ1036,AQ1036-AL1037*(1-AK1037))</f>
        <v>21493.35297144279</v>
      </c>
    </row>
    <row r="1038" spans="1:43">
      <c r="A1038" s="10">
        <f>35</f>
        <v>35</v>
      </c>
      <c r="B1038" s="11">
        <f>IF($A1038&gt;'1-Input'!$B$26,0,IF(G1037&lt;=0,0,MAX(0,(G1037-H1037)/G1037)))</f>
        <v>0.75510722435315836</v>
      </c>
      <c r="C1038" s="18">
        <f>IF($A1038&gt;'1-Input'!$B$26,0,(MAX(0,B1001-IF($A1038&gt;='1-Input'!$C$12,'1-Input'!$B$12,0))-MIN(MAX(F1037,0),MAX(0,B1001-IF($A1038&gt;='1-Input'!$C$12,'1-Input'!$B$12,0))))*(1/(1-'P-Parametri'!$B$6*B1038))+MIN(MAX(0,G1037-(MAX(0,B1001-IF($A1038&gt;='1-Input'!$C$12,'1-Input'!$B$12,0))-MIN(MAX(F1037,0),MAX(0,B1001-IF($A1038&gt;='1-Input'!$C$12,'1-Input'!$B$12,0))))*(1/(1-'P-Parametri'!$B$6*B1038))),MAX(0,0*B1001-(F1037-MIN(MAX(F1037,0),MAX(0,B1001-IF($A1038&gt;='1-Input'!$C$12,'1-Input'!$B$12,0)))))*(1/(1-'P-Parametri'!$B$6*B1038))))</f>
        <v>6941.9545162838067</v>
      </c>
      <c r="D1038" s="18">
        <f>IF($A1038&gt;'1-Input'!$B$26,F1037,(F1037-MAX(0,B1001-IF($A1038&gt;='1-Input'!$C$12,'1-Input'!$B$12,0))+C1038*(1-'P-Parametri'!$B$6*B1038))*(1+'1-Input'!$B$27))</f>
        <v>-9.0622052084654565E-13</v>
      </c>
      <c r="E1038" s="18">
        <f>IF($A1038&gt;'1-Input'!$B$26,G1037,(G1037-C1038)*(1+'5-Roberta'!$C$4))</f>
        <v>199235.89402053051</v>
      </c>
      <c r="F1038" s="18">
        <f>IF($A1038&gt;'1-Input'!$B$26,D1038,D1038-'P-Parametri'!$B$8*(E1038+D1038)+MIN(MAX(E1038,0),'P-Parametri'!$B$8*(E1038+D1038)))</f>
        <v>-9.0949470177292824E-13</v>
      </c>
      <c r="G1038" s="18">
        <f>IF($A1038&gt;'1-Input'!$B$26,E1038,E1038-MIN(MAX(E1038,0),'P-Parametri'!$B$8*(E1038+D1038)))</f>
        <v>198837.42223248945</v>
      </c>
      <c r="H1038" s="18">
        <f>IF($A1038&gt;'1-Input'!$B$26,H1037,H1037-C1038*(1-B1038))</f>
        <v>47370.321451619107</v>
      </c>
      <c r="I1038" s="11">
        <f>IF($A1038&gt;'1-Input'!$B$26,0,IF(N1037&lt;=0,0,MAX(0,(N1037-O1037)/N1037)))</f>
        <v>0</v>
      </c>
      <c r="J1038" s="18">
        <f>IF($A1038&gt;'1-Input'!$B$26,0,(MAX(0,I1001-IF($A1038&gt;='1-Input'!$C$12,'1-Input'!$B$12,0))-MIN(MAX(M1037,0),MAX(0,I1001-IF($A1038&gt;='1-Input'!$C$12,'1-Input'!$B$12,0))))*(1/(1-'P-Parametri'!$B$6*I1038))+MIN(MAX(0,N1037-(MAX(0,I1001-IF($A1038&gt;='1-Input'!$C$12,'1-Input'!$B$12,0))-MIN(MAX(M1037,0),MAX(0,I1001-IF($A1038&gt;='1-Input'!$C$12,'1-Input'!$B$12,0))))*(1/(1-'P-Parametri'!$B$6*I1038))),MAX(0,0*I1001-(M1037-MIN(MAX(M1037,0),MAX(0,I1001-IF($A1038&gt;='1-Input'!$C$12,'1-Input'!$B$12,0)))))*(1/(1-'P-Parametri'!$B$6*I1038))))</f>
        <v>10846.756992928691</v>
      </c>
      <c r="K1038" s="18">
        <f>IF($A1038&gt;'1-Input'!$B$26,M1037,(M1037-MAX(0,I1001-IF($A1038&gt;='1-Input'!$C$12,'1-Input'!$B$12,0))+J1038*(1-'P-Parametri'!$B$6*I1038))*(1+'1-Input'!$B$27))</f>
        <v>-1.8124410416930913E-12</v>
      </c>
      <c r="L1038" s="18">
        <f>IF($A1038&gt;'1-Input'!$B$26,N1037,(N1037-J1038)*(1+'5-Roberta'!$C$4))</f>
        <v>-141225.81365986407</v>
      </c>
      <c r="M1038" s="18">
        <f>IF($A1038&gt;'1-Input'!$B$26,K1038,K1038-'P-Parametri'!$B$8*(L1038+K1038)+MIN(MAX(L1038,0),'P-Parametri'!$B$8*(L1038+K1038)))</f>
        <v>-1.8189894035458565E-12</v>
      </c>
      <c r="N1038" s="18">
        <f>IF($A1038&gt;'1-Input'!$B$26,L1038,L1038-MIN(MAX(L1038,0),'P-Parametri'!$B$8*(L1038+K1038)))</f>
        <v>-140943.36203254433</v>
      </c>
      <c r="O1038" s="18">
        <f>IF($A1038&gt;'1-Input'!$B$26,O1037,O1037-J1038*(1-I1038))</f>
        <v>-111881.31686606273</v>
      </c>
      <c r="P1038" s="11">
        <f>IF($A1038&gt;'1-Input'!$B$26,0,IF(U1037&lt;=0,0,MAX(0,(U1037-V1037)/U1037)))</f>
        <v>0.75510722435315847</v>
      </c>
      <c r="Q1038" s="18">
        <f>IF($A1038&gt;'1-Input'!$B$26,0,(MAX(0,P1001-IF($A1038&gt;='1-Input'!$C$12,'1-Input'!$B$12,0))-MIN(MAX(T1037,0),MAX(0,P1001-IF($A1038&gt;='1-Input'!$C$12,'1-Input'!$B$12,0))))*(1/(1-'P-Parametri'!$B$6*P1038))+MIN(MAX(0,U1037-(MAX(0,P1001-IF($A1038&gt;='1-Input'!$C$12,'1-Input'!$B$12,0))-MIN(MAX(T1037,0),MAX(0,P1001-IF($A1038&gt;='1-Input'!$C$12,'1-Input'!$B$12,0))))*(1/(1-'P-Parametri'!$B$6*P1038))),MAX(0,0*P1001-(T1037-MIN(MAX(T1037,0),MAX(0,P1001-IF($A1038&gt;='1-Input'!$C$12,'1-Input'!$B$12,0)))))*(1/(1-'P-Parametri'!$B$6*P1038))))</f>
        <v>9338.8541911813736</v>
      </c>
      <c r="R1038" s="18">
        <f>IF($A1038&gt;'1-Input'!$B$26,T1037,(T1037-MAX(0,P1001-IF($A1038&gt;='1-Input'!$C$12,'1-Input'!$B$12,0))+Q1038*(1-'P-Parametri'!$B$6*P1038))*(1+'1-Input'!$B$27))</f>
        <v>9.0622052084654565E-13</v>
      </c>
      <c r="S1038" s="18">
        <f>IF($A1038&gt;'1-Input'!$B$26,U1037,(U1037-Q1038)*(1+'5-Roberta'!$C$4))</f>
        <v>64042.983456279493</v>
      </c>
      <c r="T1038" s="18">
        <f>IF($A1038&gt;'1-Input'!$B$26,R1038,R1038-'P-Parametri'!$B$8*(S1038+R1038)+MIN(MAX(S1038,0),'P-Parametri'!$B$8*(S1038+R1038)))</f>
        <v>9.0949470177292824E-13</v>
      </c>
      <c r="U1038" s="18">
        <f>IF($A1038&gt;'1-Input'!$B$26,S1038,S1038-MIN(MAX(S1038,0),'P-Parametri'!$B$8*(S1038+R1038)))</f>
        <v>63914.897489366936</v>
      </c>
      <c r="V1038" s="18">
        <f>IF($A1038&gt;'1-Input'!$B$26,V1037,V1037-Q1038*(1-P1038))</f>
        <v>15226.858232342754</v>
      </c>
      <c r="W1038" s="11">
        <f>IF($A1038&gt;'1-Input'!$B$26,0,IF(AB1037&lt;=0,0,MAX(0,(AB1037-AC1037)/AB1037)))</f>
        <v>0.75510722435315836</v>
      </c>
      <c r="X1038" s="18">
        <f>IF($A1038&gt;'1-Input'!$B$26,0,(MAX(0,W1001-IF($A1038&gt;='1-Input'!$C$12,'1-Input'!$B$12,0))-MIN(MAX(AA1037,0),MAX(0,W1001-IF($A1038&gt;='1-Input'!$C$12,'1-Input'!$B$12,0))))*(1/(1-'P-Parametri'!$B$6*W1038))+MIN(MAX(0,AB1037-(MAX(0,W1001-IF($A1038&gt;='1-Input'!$C$12,'1-Input'!$B$12,0))-MIN(MAX(AA1037,0),MAX(0,W1001-IF($A1038&gt;='1-Input'!$C$12,'1-Input'!$B$12,0))))*(1/(1-'P-Parametri'!$B$6*W1038))),MAX(0,0*W1001-(AA1037-MIN(MAX(AA1037,0),MAX(0,W1001-IF($A1038&gt;='1-Input'!$C$12,'1-Input'!$B$12,0)))))*(1/(1-'P-Parametri'!$B$6*W1038))))</f>
        <v>9026.8988791702086</v>
      </c>
      <c r="Y1038" s="18">
        <f>IF($A1038&gt;'1-Input'!$B$26,AA1037,(AA1037-MAX(0,W1001-IF($A1038&gt;='1-Input'!$C$12,'1-Input'!$B$12,0))+X1038*(1-'P-Parametri'!$B$6*W1038))*(1+'1-Input'!$B$27))</f>
        <v>0</v>
      </c>
      <c r="Z1038" s="18">
        <f>IF($A1038&gt;'1-Input'!$B$26,AB1037,(AB1037-X1038)*(1+'5-Roberta'!$C$4))</f>
        <v>81638.274172221092</v>
      </c>
      <c r="AA1038" s="18">
        <f>IF($A1038&gt;'1-Input'!$B$26,Y1038,Y1038-'P-Parametri'!$B$8*(Z1038+Y1038)+MIN(MAX(Z1038,0),'P-Parametri'!$B$8*(Z1038+Y1038)))</f>
        <v>0</v>
      </c>
      <c r="AB1038" s="18">
        <f>IF($A1038&gt;'1-Input'!$B$26,Z1038,Z1038-MIN(MAX(Z1038,0),'P-Parametri'!$B$8*(Z1038+Y1038)))</f>
        <v>81474.997623876654</v>
      </c>
      <c r="AC1038" s="18">
        <f>IF($A1038&gt;'1-Input'!$B$26,AC1037,AC1037-X1038*(1-W1038))</f>
        <v>19410.314136944737</v>
      </c>
      <c r="AD1038" s="11">
        <f>IF($A1038&gt;'1-Input'!$B$26,0,IF(AI1037&lt;=0,0,MAX(0,(AI1037-AJ1037)/AI1037)))</f>
        <v>0.75510722435315825</v>
      </c>
      <c r="AE1038" s="18">
        <f>IF($A1038&gt;'1-Input'!$B$26,0,(MAX(0,AD1001-IF($A1038&gt;='1-Input'!$C$12,'1-Input'!$B$12,0))-MIN(MAX(AH1037,0),MAX(0,AD1001-IF($A1038&gt;='1-Input'!$C$12,'1-Input'!$B$12,0))))*(1/(1-'P-Parametri'!$B$6*AD1038))+MIN(MAX(0,AI1037-(MAX(0,AD1001-IF($A1038&gt;='1-Input'!$C$12,'1-Input'!$B$12,0))-MIN(MAX(AH1037,0),MAX(0,AD1001-IF($A1038&gt;='1-Input'!$C$12,'1-Input'!$B$12,0))))*(1/(1-'P-Parametri'!$B$6*AD1038))),MAX(0,0*AD1001-(AH1037-MIN(MAX(AH1037,0),MAX(0,AD1001-IF($A1038&gt;='1-Input'!$C$12,'1-Input'!$B$12,0)))))*(1/(1-'P-Parametri'!$B$6*AD1038))))</f>
        <v>9038.3812496657592</v>
      </c>
      <c r="AF1038" s="18">
        <f>IF($A1038&gt;'1-Input'!$B$26,AH1037,(AH1037-MAX(0,AD1001-IF($A1038&gt;='1-Input'!$C$12,'1-Input'!$B$12,0))+AE1038*(1-'P-Parametri'!$B$6*AD1038))*(1+'1-Input'!$B$27))</f>
        <v>0</v>
      </c>
      <c r="AG1038" s="18">
        <f>IF($A1038&gt;'1-Input'!$B$26,AI1037,(AI1037-AE1038)*(1+'5-Roberta'!$C$4))</f>
        <v>80990.631259282774</v>
      </c>
      <c r="AH1038" s="18">
        <f>IF($A1038&gt;'1-Input'!$B$26,AF1038,AF1038-'P-Parametri'!$B$8*(AG1038+AF1038)+MIN(MAX(AG1038,0),'P-Parametri'!$B$8*(AG1038+AF1038)))</f>
        <v>0</v>
      </c>
      <c r="AI1038" s="18">
        <f>IF($A1038&gt;'1-Input'!$B$26,AG1038,AG1038-MIN(MAX(AG1038,0),'P-Parametri'!$B$8*(AG1038+AF1038)))</f>
        <v>80828.649996764216</v>
      </c>
      <c r="AJ1038" s="18">
        <f>IF($A1038&gt;'1-Input'!$B$26,AJ1037,AJ1037-AE1038*(1-AD1038))</f>
        <v>19256.330573277311</v>
      </c>
      <c r="AK1038" s="11">
        <f>IF($A1038&gt;'1-Input'!$B$26,0,IF(AP1037&lt;=0,0,MAX(0,(AP1037-AQ1037)/AP1037)))</f>
        <v>0.75510722435315836</v>
      </c>
      <c r="AL1038" s="18">
        <f>IF($A1038&gt;'1-Input'!$B$26,0,(MAX(0,AK1001-IF($A1038&gt;='1-Input'!$C$12,'1-Input'!$B$12,0))-MIN(MAX(AO1037,0),MAX(0,AK1001-IF($A1038&gt;='1-Input'!$C$12,'1-Input'!$B$12,0))))*(1/(1-'P-Parametri'!$B$6*AK1038))+MIN(MAX(0,AP1037-(MAX(0,AK1001-IF($A1038&gt;='1-Input'!$C$12,'1-Input'!$B$12,0))-MIN(MAX(AO1037,0),MAX(0,AK1001-IF($A1038&gt;='1-Input'!$C$12,'1-Input'!$B$12,0))))*(1/(1-'P-Parametri'!$B$6*AK1038))),MAX(0,0*AK1001-(AO1037-MIN(MAX(AO1037,0),MAX(0,AK1001-IF($A1038&gt;='1-Input'!$C$12,'1-Input'!$B$12,0)))))*(1/(1-'P-Parametri'!$B$6*AK1038))))</f>
        <v>9036.5895931412851</v>
      </c>
      <c r="AM1038" s="18">
        <f>IF($A1038&gt;'1-Input'!$B$26,AO1037,(AO1037-MAX(0,AK1001-IF($A1038&gt;='1-Input'!$C$12,'1-Input'!$B$12,0))+AL1038*(1-'P-Parametri'!$B$6*AK1038))*(1+'1-Input'!$B$27))</f>
        <v>-9.0622052084654565E-13</v>
      </c>
      <c r="AN1038" s="18">
        <f>IF($A1038&gt;'1-Input'!$B$26,AP1037,(AP1037-AL1038)*(1+'5-Roberta'!$C$4))</f>
        <v>81091.68649443207</v>
      </c>
      <c r="AO1038" s="18">
        <f>IF($A1038&gt;'1-Input'!$B$26,AM1038,AM1038-'P-Parametri'!$B$8*(AN1038+AM1038)+MIN(MAX(AN1038,0),'P-Parametri'!$B$8*(AN1038+AM1038)))</f>
        <v>-9.0949470177292824E-13</v>
      </c>
      <c r="AP1038" s="18">
        <f>IF($A1038&gt;'1-Input'!$B$26,AN1038,AN1038-MIN(MAX(AN1038,0),'P-Parametri'!$B$8*(AN1038+AM1038)))</f>
        <v>80929.503121443209</v>
      </c>
      <c r="AQ1038" s="18">
        <f>IF($A1038&gt;'1-Input'!$B$26,AQ1037,AQ1037-AL1038*(1-AK1038))</f>
        <v>19280.357463597058</v>
      </c>
    </row>
    <row r="1039" spans="1:43">
      <c r="A1039" s="10">
        <f>36</f>
        <v>36</v>
      </c>
      <c r="B1039" s="11">
        <f>IF($A1039&gt;'1-Input'!$B$26,0,IF(G1038&lt;=0,0,MAX(0,(G1038-H1038)/G1038)))</f>
        <v>0.76176355074533386</v>
      </c>
      <c r="C1039" s="18">
        <f>IF($A1039&gt;'1-Input'!$B$26,0,(MAX(0,B1001-IF($A1039&gt;='1-Input'!$C$12,'1-Input'!$B$12,0))-MIN(MAX(F1038,0),MAX(0,B1001-IF($A1039&gt;='1-Input'!$C$12,'1-Input'!$B$12,0))))*(1/(1-'P-Parametri'!$B$6*B1039))+MIN(MAX(0,G1038-(MAX(0,B1001-IF($A1039&gt;='1-Input'!$C$12,'1-Input'!$B$12,0))-MIN(MAX(F1038,0),MAX(0,B1001-IF($A1039&gt;='1-Input'!$C$12,'1-Input'!$B$12,0))))*(1/(1-'P-Parametri'!$B$6*B1039))),MAX(0,0*B1001-(F1038-MIN(MAX(F1038,0),MAX(0,B1001-IF($A1039&gt;='1-Input'!$C$12,'1-Input'!$B$12,0)))))*(1/(1-'P-Parametri'!$B$6*B1039))))</f>
        <v>6956.9357315757916</v>
      </c>
      <c r="D1039" s="18">
        <f>IF($A1039&gt;'1-Input'!$B$26,F1038,(F1038-MAX(0,B1001-IF($A1039&gt;='1-Input'!$C$12,'1-Input'!$B$12,0))+C1039*(1-'P-Parametri'!$B$6*B1039))*(1+'1-Input'!$B$27))</f>
        <v>0</v>
      </c>
      <c r="E1039" s="18">
        <f>IF($A1039&gt;'1-Input'!$B$26,G1038,(G1038-C1039)*(1+'5-Roberta'!$C$4))</f>
        <v>197636.90109594108</v>
      </c>
      <c r="F1039" s="18">
        <f>IF($A1039&gt;'1-Input'!$B$26,D1039,D1039-'P-Parametri'!$B$8*(E1039+D1039)+MIN(MAX(E1039,0),'P-Parametri'!$B$8*(E1039+D1039)))</f>
        <v>0</v>
      </c>
      <c r="G1039" s="18">
        <f>IF($A1039&gt;'1-Input'!$B$26,E1039,E1039-MIN(MAX(E1039,0),'P-Parametri'!$B$8*(E1039+D1039)))</f>
        <v>197241.62729374919</v>
      </c>
      <c r="H1039" s="18">
        <f>IF($A1039&gt;'1-Input'!$B$26,H1038,H1038-C1039*(1-B1039))</f>
        <v>45712.92578523558</v>
      </c>
      <c r="I1039" s="11">
        <f>IF($A1039&gt;'1-Input'!$B$26,0,IF(N1038&lt;=0,0,MAX(0,(N1038-O1038)/N1038)))</f>
        <v>0</v>
      </c>
      <c r="J1039" s="18">
        <f>IF($A1039&gt;'1-Input'!$B$26,0,(MAX(0,I1001-IF($A1039&gt;='1-Input'!$C$12,'1-Input'!$B$12,0))-MIN(MAX(M1038,0),MAX(0,I1001-IF($A1039&gt;='1-Input'!$C$12,'1-Input'!$B$12,0))))*(1/(1-'P-Parametri'!$B$6*I1039))+MIN(MAX(0,N1038-(MAX(0,I1001-IF($A1039&gt;='1-Input'!$C$12,'1-Input'!$B$12,0))-MIN(MAX(M1038,0),MAX(0,I1001-IF($A1039&gt;='1-Input'!$C$12,'1-Input'!$B$12,0))))*(1/(1-'P-Parametri'!$B$6*I1039))),MAX(0,0*I1001-(M1038-MIN(MAX(M1038,0),MAX(0,I1001-IF($A1039&gt;='1-Input'!$C$12,'1-Input'!$B$12,0)))))*(1/(1-'P-Parametri'!$B$6*I1039))))</f>
        <v>10846.756992928691</v>
      </c>
      <c r="K1039" s="18">
        <f>IF($A1039&gt;'1-Input'!$B$26,M1038,(M1038-MAX(0,I1001-IF($A1039&gt;='1-Input'!$C$12,'1-Input'!$B$12,0))+J1039*(1-'P-Parametri'!$B$6*I1039))*(1+'1-Input'!$B$27))</f>
        <v>-1.8124410416930913E-12</v>
      </c>
      <c r="L1039" s="18">
        <f>IF($A1039&gt;'1-Input'!$B$26,N1038,(N1038-J1039)*(1+'5-Roberta'!$C$4))</f>
        <v>-156343.82259623721</v>
      </c>
      <c r="M1039" s="18">
        <f>IF($A1039&gt;'1-Input'!$B$26,K1039,K1039-'P-Parametri'!$B$8*(L1039+K1039)+MIN(MAX(L1039,0),'P-Parametri'!$B$8*(L1039+K1039)))</f>
        <v>-1.8189894035458565E-12</v>
      </c>
      <c r="N1039" s="18">
        <f>IF($A1039&gt;'1-Input'!$B$26,L1039,L1039-MIN(MAX(L1039,0),'P-Parametri'!$B$8*(L1039+K1039)))</f>
        <v>-156031.13495104475</v>
      </c>
      <c r="O1039" s="18">
        <f>IF($A1039&gt;'1-Input'!$B$26,O1038,O1038-J1039*(1-I1039))</f>
        <v>-122728.07385899141</v>
      </c>
      <c r="P1039" s="11">
        <f>IF($A1039&gt;'1-Input'!$B$26,0,IF(U1038&lt;=0,0,MAX(0,(U1038-V1038)/U1038)))</f>
        <v>0.76176355074533386</v>
      </c>
      <c r="Q1039" s="18">
        <f>IF($A1039&gt;'1-Input'!$B$26,0,(MAX(0,P1001-IF($A1039&gt;='1-Input'!$C$12,'1-Input'!$B$12,0))-MIN(MAX(T1038,0),MAX(0,P1001-IF($A1039&gt;='1-Input'!$C$12,'1-Input'!$B$12,0))))*(1/(1-'P-Parametri'!$B$6*P1039))+MIN(MAX(0,U1038-(MAX(0,P1001-IF($A1039&gt;='1-Input'!$C$12,'1-Input'!$B$12,0))-MIN(MAX(T1038,0),MAX(0,P1001-IF($A1039&gt;='1-Input'!$C$12,'1-Input'!$B$12,0))))*(1/(1-'P-Parametri'!$B$6*P1039))),MAX(0,0*P1001-(T1038-MIN(MAX(T1038,0),MAX(0,P1001-IF($A1039&gt;='1-Input'!$C$12,'1-Input'!$B$12,0)))))*(1/(1-'P-Parametri'!$B$6*P1039))))</f>
        <v>9359.0080808230196</v>
      </c>
      <c r="R1039" s="18">
        <f>IF($A1039&gt;'1-Input'!$B$26,T1038,(T1038-MAX(0,P1001-IF($A1039&gt;='1-Input'!$C$12,'1-Input'!$B$12,0))+Q1039*(1-'P-Parametri'!$B$6*P1039))*(1+'1-Input'!$B$27))</f>
        <v>-9.0622052084654565E-13</v>
      </c>
      <c r="S1039" s="18">
        <f>IF($A1039&gt;'1-Input'!$B$26,U1038,(U1038-Q1039)*(1+'5-Roberta'!$C$4))</f>
        <v>56192.566090800239</v>
      </c>
      <c r="T1039" s="18">
        <f>IF($A1039&gt;'1-Input'!$B$26,R1039,R1039-'P-Parametri'!$B$8*(S1039+R1039)+MIN(MAX(S1039,0),'P-Parametri'!$B$8*(S1039+R1039)))</f>
        <v>-9.0949470177292824E-13</v>
      </c>
      <c r="U1039" s="18">
        <f>IF($A1039&gt;'1-Input'!$B$26,S1039,S1039-MIN(MAX(S1039,0),'P-Parametri'!$B$8*(S1039+R1039)))</f>
        <v>56080.180958618635</v>
      </c>
      <c r="V1039" s="18">
        <f>IF($A1039&gt;'1-Input'!$B$26,V1038,V1038-Q1039*(1-P1039))</f>
        <v>12997.20137862175</v>
      </c>
      <c r="W1039" s="11">
        <f>IF($A1039&gt;'1-Input'!$B$26,0,IF(AB1038&lt;=0,0,MAX(0,(AB1038-AC1038)/AB1038)))</f>
        <v>0.76176355074533375</v>
      </c>
      <c r="X1039" s="18">
        <f>IF($A1039&gt;'1-Input'!$B$26,0,(MAX(0,W1001-IF($A1039&gt;='1-Input'!$C$12,'1-Input'!$B$12,0))-MIN(MAX(AA1038,0),MAX(0,W1001-IF($A1039&gt;='1-Input'!$C$12,'1-Input'!$B$12,0))))*(1/(1-'P-Parametri'!$B$6*W1039))+MIN(MAX(0,AB1038-(MAX(0,W1001-IF($A1039&gt;='1-Input'!$C$12,'1-Input'!$B$12,0))-MIN(MAX(AA1038,0),MAX(0,W1001-IF($A1039&gt;='1-Input'!$C$12,'1-Input'!$B$12,0))))*(1/(1-'P-Parametri'!$B$6*W1039))),MAX(0,0*W1001-(AA1038-MIN(MAX(AA1038,0),MAX(0,W1001-IF($A1039&gt;='1-Input'!$C$12,'1-Input'!$B$12,0)))))*(1/(1-'P-Parametri'!$B$6*W1039))))</f>
        <v>9046.3795477932308</v>
      </c>
      <c r="Y1039" s="18">
        <f>IF($A1039&gt;'1-Input'!$B$26,AA1038,(AA1038-MAX(0,W1001-IF($A1039&gt;='1-Input'!$C$12,'1-Input'!$B$12,0))+X1039*(1-'P-Parametri'!$B$6*W1039))*(1+'1-Input'!$B$27))</f>
        <v>0</v>
      </c>
      <c r="Z1039" s="18">
        <f>IF($A1039&gt;'1-Input'!$B$26,AB1038,(AB1038-X1039)*(1+'5-Roberta'!$C$4))</f>
        <v>74601.476618365923</v>
      </c>
      <c r="AA1039" s="18">
        <f>IF($A1039&gt;'1-Input'!$B$26,Y1039,Y1039-'P-Parametri'!$B$8*(Z1039+Y1039)+MIN(MAX(Z1039,0),'P-Parametri'!$B$8*(Z1039+Y1039)))</f>
        <v>0</v>
      </c>
      <c r="AB1039" s="18">
        <f>IF($A1039&gt;'1-Input'!$B$26,Z1039,Z1039-MIN(MAX(Z1039,0),'P-Parametri'!$B$8*(Z1039+Y1039)))</f>
        <v>74452.273665129193</v>
      </c>
      <c r="AC1039" s="18">
        <f>IF($A1039&gt;'1-Input'!$B$26,AC1038,AC1038-X1039*(1-W1039))</f>
        <v>17255.136794868446</v>
      </c>
      <c r="AD1039" s="11">
        <f>IF($A1039&gt;'1-Input'!$B$26,0,IF(AI1038&lt;=0,0,MAX(0,(AI1038-AJ1038)/AI1038)))</f>
        <v>0.76176355074533353</v>
      </c>
      <c r="AE1039" s="18">
        <f>IF($A1039&gt;'1-Input'!$B$26,0,(MAX(0,AD1001-IF($A1039&gt;='1-Input'!$C$12,'1-Input'!$B$12,0))-MIN(MAX(AH1038,0),MAX(0,AD1001-IF($A1039&gt;='1-Input'!$C$12,'1-Input'!$B$12,0))))*(1/(1-'P-Parametri'!$B$6*AD1039))+MIN(MAX(0,AI1038-(MAX(0,AD1001-IF($A1039&gt;='1-Input'!$C$12,'1-Input'!$B$12,0))-MIN(MAX(AH1038,0),MAX(0,AD1001-IF($A1039&gt;='1-Input'!$C$12,'1-Input'!$B$12,0))))*(1/(1-'P-Parametri'!$B$6*AD1039))),MAX(0,0*AD1001-(AH1038-MIN(MAX(AH1038,0),MAX(0,AD1001-IF($A1039&gt;='1-Input'!$C$12,'1-Input'!$B$12,0)))))*(1/(1-'P-Parametri'!$B$6*AD1039))))</f>
        <v>9057.8866980340317</v>
      </c>
      <c r="AF1039" s="18">
        <f>IF($A1039&gt;'1-Input'!$B$26,AH1038,(AH1038-MAX(0,AD1001-IF($A1039&gt;='1-Input'!$C$12,'1-Input'!$B$12,0))+AE1039*(1-'P-Parametri'!$B$6*AD1039))*(1+'1-Input'!$B$27))</f>
        <v>-9.0622052084654565E-13</v>
      </c>
      <c r="AG1039" s="18">
        <f>IF($A1039&gt;'1-Input'!$B$26,AI1038,(AI1038-AE1039)*(1+'5-Roberta'!$C$4))</f>
        <v>73923.886197692103</v>
      </c>
      <c r="AH1039" s="18">
        <f>IF($A1039&gt;'1-Input'!$B$26,AF1039,AF1039-'P-Parametri'!$B$8*(AG1039+AF1039)+MIN(MAX(AG1039,0),'P-Parametri'!$B$8*(AG1039+AF1039)))</f>
        <v>-9.0949470177292824E-13</v>
      </c>
      <c r="AI1039" s="18">
        <f>IF($A1039&gt;'1-Input'!$B$26,AG1039,AG1039-MIN(MAX(AG1039,0),'P-Parametri'!$B$8*(AG1039+AF1039)))</f>
        <v>73776.03842529672</v>
      </c>
      <c r="AJ1039" s="18">
        <f>IF($A1039&gt;'1-Input'!$B$26,AJ1038,AJ1038-AE1039*(1-AD1039))</f>
        <v>17098.411808586607</v>
      </c>
      <c r="AK1039" s="11">
        <f>IF($A1039&gt;'1-Input'!$B$26,0,IF(AP1038&lt;=0,0,MAX(0,(AP1038-AQ1038)/AP1038)))</f>
        <v>0.76176355074533375</v>
      </c>
      <c r="AL1039" s="18">
        <f>IF($A1039&gt;'1-Input'!$B$26,0,(MAX(0,AK1001-IF($A1039&gt;='1-Input'!$C$12,'1-Input'!$B$12,0))-MIN(MAX(AO1038,0),MAX(0,AK1001-IF($A1039&gt;='1-Input'!$C$12,'1-Input'!$B$12,0))))*(1/(1-'P-Parametri'!$B$6*AK1039))+MIN(MAX(0,AP1038-(MAX(0,AK1001-IF($A1039&gt;='1-Input'!$C$12,'1-Input'!$B$12,0))-MIN(MAX(AO1038,0),MAX(0,AK1001-IF($A1039&gt;='1-Input'!$C$12,'1-Input'!$B$12,0))))*(1/(1-'P-Parametri'!$B$6*AK1039))),MAX(0,0*AK1001-(AO1038-MIN(MAX(AO1038,0),MAX(0,AK1001-IF($A1039&gt;='1-Input'!$C$12,'1-Input'!$B$12,0)))))*(1/(1-'P-Parametri'!$B$6*AK1039))))</f>
        <v>9056.0911749915558</v>
      </c>
      <c r="AM1039" s="18">
        <f>IF($A1039&gt;'1-Input'!$B$26,AO1038,(AO1038-MAX(0,AK1001-IF($A1039&gt;='1-Input'!$C$12,'1-Input'!$B$12,0))+AL1039*(1-'P-Parametri'!$B$6*AK1039))*(1+'1-Input'!$B$27))</f>
        <v>9.0622052084654565E-13</v>
      </c>
      <c r="AN1039" s="18">
        <f>IF($A1039&gt;'1-Input'!$B$26,AP1038,(AP1038-AL1039)*(1+'5-Roberta'!$C$4))</f>
        <v>74029.614304845207</v>
      </c>
      <c r="AO1039" s="18">
        <f>IF($A1039&gt;'1-Input'!$B$26,AM1039,AM1039-'P-Parametri'!$B$8*(AN1039+AM1039)+MIN(MAX(AN1039,0),'P-Parametri'!$B$8*(AN1039+AM1039)))</f>
        <v>9.0949470177292824E-13</v>
      </c>
      <c r="AP1039" s="18">
        <f>IF($A1039&gt;'1-Input'!$B$26,AN1039,AN1039-MIN(MAX(AN1039,0),'P-Parametri'!$B$8*(AN1039+AM1039)))</f>
        <v>73881.555076235512</v>
      </c>
      <c r="AQ1039" s="18">
        <f>IF($A1039&gt;'1-Input'!$B$26,AQ1038,AQ1038-AL1039*(1-AK1039))</f>
        <v>17122.866457940552</v>
      </c>
    </row>
    <row r="1040" spans="1:43">
      <c r="A1040" s="10">
        <f>37</f>
        <v>37</v>
      </c>
      <c r="B1040" s="11">
        <f>IF($A1040&gt;'1-Input'!$B$26,0,IF(G1039&lt;=0,0,MAX(0,(G1039-H1039)/G1039)))</f>
        <v>0.76823895436050127</v>
      </c>
      <c r="C1040" s="18">
        <f>IF($A1040&gt;'1-Input'!$B$26,0,(MAX(0,B1001-IF($A1040&gt;='1-Input'!$C$12,'1-Input'!$B$12,0))-MIN(MAX(F1039,0),MAX(0,B1001-IF($A1040&gt;='1-Input'!$C$12,'1-Input'!$B$12,0))))*(1/(1-'P-Parametri'!$B$6*B1040))+MIN(MAX(0,G1039-(MAX(0,B1001-IF($A1040&gt;='1-Input'!$C$12,'1-Input'!$B$12,0))-MIN(MAX(F1039,0),MAX(0,B1001-IF($A1040&gt;='1-Input'!$C$12,'1-Input'!$B$12,0))))*(1/(1-'P-Parametri'!$B$6*B1040))),MAX(0,0*B1001-(F1039-MIN(MAX(F1039,0),MAX(0,B1001-IF($A1040&gt;='1-Input'!$C$12,'1-Input'!$B$12,0)))))*(1/(1-'P-Parametri'!$B$6*B1040))))</f>
        <v>6971.5719279523855</v>
      </c>
      <c r="D1040" s="18">
        <f>IF($A1040&gt;'1-Input'!$B$26,F1039,(F1039-MAX(0,B1001-IF($A1040&gt;='1-Input'!$C$12,'1-Input'!$B$12,0))+C1040*(1-'P-Parametri'!$B$6*B1040))*(1+'1-Input'!$B$27))</f>
        <v>0</v>
      </c>
      <c r="E1040" s="18">
        <f>IF($A1040&gt;'1-Input'!$B$26,G1039,(G1039-C1040)*(1+'5-Roberta'!$C$4))</f>
        <v>195978.15702677073</v>
      </c>
      <c r="F1040" s="18">
        <f>IF($A1040&gt;'1-Input'!$B$26,D1040,D1040-'P-Parametri'!$B$8*(E1040+D1040)+MIN(MAX(E1040,0),'P-Parametri'!$B$8*(E1040+D1040)))</f>
        <v>0</v>
      </c>
      <c r="G1040" s="18">
        <f>IF($A1040&gt;'1-Input'!$B$26,E1040,E1040-MIN(MAX(E1040,0),'P-Parametri'!$B$8*(E1040+D1040)))</f>
        <v>195586.2007127172</v>
      </c>
      <c r="H1040" s="18">
        <f>IF($A1040&gt;'1-Input'!$B$26,H1039,H1039-C1040*(1-B1040))</f>
        <v>44097.186985462358</v>
      </c>
      <c r="I1040" s="11">
        <f>IF($A1040&gt;'1-Input'!$B$26,0,IF(N1039&lt;=0,0,MAX(0,(N1039-O1039)/N1039)))</f>
        <v>0</v>
      </c>
      <c r="J1040" s="18">
        <f>IF($A1040&gt;'1-Input'!$B$26,0,(MAX(0,I1001-IF($A1040&gt;='1-Input'!$C$12,'1-Input'!$B$12,0))-MIN(MAX(M1039,0),MAX(0,I1001-IF($A1040&gt;='1-Input'!$C$12,'1-Input'!$B$12,0))))*(1/(1-'P-Parametri'!$B$6*I1040))+MIN(MAX(0,N1039-(MAX(0,I1001-IF($A1040&gt;='1-Input'!$C$12,'1-Input'!$B$12,0))-MIN(MAX(M1039,0),MAX(0,I1001-IF($A1040&gt;='1-Input'!$C$12,'1-Input'!$B$12,0))))*(1/(1-'P-Parametri'!$B$6*I1040))),MAX(0,0*I1001-(M1039-MIN(MAX(M1039,0),MAX(0,I1001-IF($A1040&gt;='1-Input'!$C$12,'1-Input'!$B$12,0)))))*(1/(1-'P-Parametri'!$B$6*I1040))))</f>
        <v>10846.756992928691</v>
      </c>
      <c r="K1040" s="18">
        <f>IF($A1040&gt;'1-Input'!$B$26,M1039,(M1039-MAX(0,I1001-IF($A1040&gt;='1-Input'!$C$12,'1-Input'!$B$12,0))+J1040*(1-'P-Parametri'!$B$6*I1040))*(1+'1-Input'!$B$27))</f>
        <v>-1.8124410416930913E-12</v>
      </c>
      <c r="L1040" s="18">
        <f>IF($A1040&gt;'1-Input'!$B$26,N1039,(N1039-J1040)*(1+'5-Roberta'!$C$4))</f>
        <v>-171884.22870229263</v>
      </c>
      <c r="M1040" s="18">
        <f>IF($A1040&gt;'1-Input'!$B$26,K1040,K1040-'P-Parametri'!$B$8*(L1040+K1040)+MIN(MAX(L1040,0),'P-Parametri'!$B$8*(L1040+K1040)))</f>
        <v>-1.8189894035458565E-12</v>
      </c>
      <c r="N1040" s="18">
        <f>IF($A1040&gt;'1-Input'!$B$26,L1040,L1040-MIN(MAX(L1040,0),'P-Parametri'!$B$8*(L1040+K1040)))</f>
        <v>-171540.46024488803</v>
      </c>
      <c r="O1040" s="18">
        <f>IF($A1040&gt;'1-Input'!$B$26,O1039,O1039-J1040*(1-I1040))</f>
        <v>-133574.83085192009</v>
      </c>
      <c r="P1040" s="11">
        <f>IF($A1040&gt;'1-Input'!$B$26,0,IF(U1039&lt;=0,0,MAX(0,(U1039-V1039)/U1039)))</f>
        <v>0.76823895436050149</v>
      </c>
      <c r="Q1040" s="18">
        <f>IF($A1040&gt;'1-Input'!$B$26,0,(MAX(0,P1001-IF($A1040&gt;='1-Input'!$C$12,'1-Input'!$B$12,0))-MIN(MAX(T1039,0),MAX(0,P1001-IF($A1040&gt;='1-Input'!$C$12,'1-Input'!$B$12,0))))*(1/(1-'P-Parametri'!$B$6*P1040))+MIN(MAX(0,U1039-(MAX(0,P1001-IF($A1040&gt;='1-Input'!$C$12,'1-Input'!$B$12,0))-MIN(MAX(T1039,0),MAX(0,P1001-IF($A1040&gt;='1-Input'!$C$12,'1-Input'!$B$12,0))))*(1/(1-'P-Parametri'!$B$6*P1040))),MAX(0,0*P1001-(T1039-MIN(MAX(T1039,0),MAX(0,P1001-IF($A1040&gt;='1-Input'!$C$12,'1-Input'!$B$12,0)))))*(1/(1-'P-Parametri'!$B$6*P1040))))</f>
        <v>9378.6978243316989</v>
      </c>
      <c r="R1040" s="18">
        <f>IF($A1040&gt;'1-Input'!$B$26,T1039,(T1039-MAX(0,P1001-IF($A1040&gt;='1-Input'!$C$12,'1-Input'!$B$12,0))+Q1040*(1-'P-Parametri'!$B$6*P1040))*(1+'1-Input'!$B$27))</f>
        <v>9.0622052084654565E-13</v>
      </c>
      <c r="S1040" s="18">
        <f>IF($A1040&gt;'1-Input'!$B$26,U1039,(U1039-Q1040)*(1+'5-Roberta'!$C$4))</f>
        <v>48102.527628315547</v>
      </c>
      <c r="T1040" s="18">
        <f>IF($A1040&gt;'1-Input'!$B$26,R1040,R1040-'P-Parametri'!$B$8*(S1040+R1040)+MIN(MAX(S1040,0),'P-Parametri'!$B$8*(S1040+R1040)))</f>
        <v>9.0949470177292824E-13</v>
      </c>
      <c r="U1040" s="18">
        <f>IF($A1040&gt;'1-Input'!$B$26,S1040,S1040-MIN(MAX(S1040,0),'P-Parametri'!$B$8*(S1040+R1040)))</f>
        <v>48006.322573058918</v>
      </c>
      <c r="V1040" s="18">
        <f>IF($A1040&gt;'1-Input'!$B$26,V1039,V1039-Q1040*(1-P1040))</f>
        <v>10823.584564117746</v>
      </c>
      <c r="W1040" s="11">
        <f>IF($A1040&gt;'1-Input'!$B$26,0,IF(AB1039&lt;=0,0,MAX(0,(AB1039-AC1039)/AB1039)))</f>
        <v>0.76823895436050138</v>
      </c>
      <c r="X1040" s="18">
        <f>IF($A1040&gt;'1-Input'!$B$26,0,(MAX(0,W1001-IF($A1040&gt;='1-Input'!$C$12,'1-Input'!$B$12,0))-MIN(MAX(AA1039,0),MAX(0,W1001-IF($A1040&gt;='1-Input'!$C$12,'1-Input'!$B$12,0))))*(1/(1-'P-Parametri'!$B$6*W1040))+MIN(MAX(0,AB1039-(MAX(0,W1001-IF($A1040&gt;='1-Input'!$C$12,'1-Input'!$B$12,0))-MIN(MAX(AA1039,0),MAX(0,W1001-IF($A1040&gt;='1-Input'!$C$12,'1-Input'!$B$12,0))))*(1/(1-'P-Parametri'!$B$6*W1040))),MAX(0,0*W1001-(AA1039-MIN(MAX(AA1039,0),MAX(0,W1001-IF($A1040&gt;='1-Input'!$C$12,'1-Input'!$B$12,0)))))*(1/(1-'P-Parametri'!$B$6*W1040))))</f>
        <v>9065.4115746319676</v>
      </c>
      <c r="Y1040" s="18">
        <f>IF($A1040&gt;'1-Input'!$B$26,AA1039,(AA1039-MAX(0,W1001-IF($A1040&gt;='1-Input'!$C$12,'1-Input'!$B$12,0))+X1040*(1-'P-Parametri'!$B$6*W1040))*(1+'1-Input'!$B$27))</f>
        <v>0</v>
      </c>
      <c r="Z1040" s="18">
        <f>IF($A1040&gt;'1-Input'!$B$26,AB1039,(AB1039-X1040)*(1+'5-Roberta'!$C$4))</f>
        <v>67348.467953212152</v>
      </c>
      <c r="AA1040" s="18">
        <f>IF($A1040&gt;'1-Input'!$B$26,Y1040,Y1040-'P-Parametri'!$B$8*(Z1040+Y1040)+MIN(MAX(Z1040,0),'P-Parametri'!$B$8*(Z1040+Y1040)))</f>
        <v>0</v>
      </c>
      <c r="AB1040" s="18">
        <f>IF($A1040&gt;'1-Input'!$B$26,Z1040,Z1040-MIN(MAX(Z1040,0),'P-Parametri'!$B$8*(Z1040+Y1040)))</f>
        <v>67213.771017305728</v>
      </c>
      <c r="AC1040" s="18">
        <f>IF($A1040&gt;'1-Input'!$B$26,AC1039,AC1039-X1040*(1-W1040))</f>
        <v>15154.127529179328</v>
      </c>
      <c r="AD1040" s="11">
        <f>IF($A1040&gt;'1-Input'!$B$26,0,IF(AI1039&lt;=0,0,MAX(0,(AI1039-AJ1039)/AI1039)))</f>
        <v>0.76823895436050127</v>
      </c>
      <c r="AE1040" s="18">
        <f>IF($A1040&gt;'1-Input'!$B$26,0,(MAX(0,AD1001-IF($A1040&gt;='1-Input'!$C$12,'1-Input'!$B$12,0))-MIN(MAX(AH1039,0),MAX(0,AD1001-IF($A1040&gt;='1-Input'!$C$12,'1-Input'!$B$12,0))))*(1/(1-'P-Parametri'!$B$6*AD1040))+MIN(MAX(0,AI1039-(MAX(0,AD1001-IF($A1040&gt;='1-Input'!$C$12,'1-Input'!$B$12,0))-MIN(MAX(AH1039,0),MAX(0,AD1001-IF($A1040&gt;='1-Input'!$C$12,'1-Input'!$B$12,0))))*(1/(1-'P-Parametri'!$B$6*AD1040))),MAX(0,0*AD1001-(AH1039-MIN(MAX(AH1039,0),MAX(0,AD1001-IF($A1040&gt;='1-Input'!$C$12,'1-Input'!$B$12,0)))))*(1/(1-'P-Parametri'!$B$6*AD1040))))</f>
        <v>9076.942933937964</v>
      </c>
      <c r="AF1040" s="18">
        <f>IF($A1040&gt;'1-Input'!$B$26,AH1039,(AH1039-MAX(0,AD1001-IF($A1040&gt;='1-Input'!$C$12,'1-Input'!$B$12,0))+AE1040*(1-'P-Parametri'!$B$6*AD1040))*(1+'1-Input'!$B$27))</f>
        <v>9.0622052084654565E-13</v>
      </c>
      <c r="AG1040" s="18">
        <f>IF($A1040&gt;'1-Input'!$B$26,AI1039,(AI1039-AE1040)*(1+'5-Roberta'!$C$4))</f>
        <v>66640.068356099524</v>
      </c>
      <c r="AH1040" s="18">
        <f>IF($A1040&gt;'1-Input'!$B$26,AF1040,AF1040-'P-Parametri'!$B$8*(AG1040+AF1040)+MIN(MAX(AG1040,0),'P-Parametri'!$B$8*(AG1040+AF1040)))</f>
        <v>9.0949470177292824E-13</v>
      </c>
      <c r="AI1040" s="18">
        <f>IF($A1040&gt;'1-Input'!$B$26,AG1040,AG1040-MIN(MAX(AG1040,0),'P-Parametri'!$B$8*(AG1040+AF1040)))</f>
        <v>66506.788219387323</v>
      </c>
      <c r="AJ1040" s="18">
        <f>IF($A1040&gt;'1-Input'!$B$26,AJ1039,AJ1039-AE1040*(1-AD1040))</f>
        <v>14994.730023007085</v>
      </c>
      <c r="AK1040" s="11">
        <f>IF($A1040&gt;'1-Input'!$B$26,0,IF(AP1039&lt;=0,0,MAX(0,(AP1039-AQ1039)/AP1039)))</f>
        <v>0.76823895436050138</v>
      </c>
      <c r="AL1040" s="18">
        <f>IF($A1040&gt;'1-Input'!$B$26,0,(MAX(0,AK1001-IF($A1040&gt;='1-Input'!$C$12,'1-Input'!$B$12,0))-MIN(MAX(AO1039,0),MAX(0,AK1001-IF($A1040&gt;='1-Input'!$C$12,'1-Input'!$B$12,0))))*(1/(1-'P-Parametri'!$B$6*AK1040))+MIN(MAX(0,AP1039-(MAX(0,AK1001-IF($A1040&gt;='1-Input'!$C$12,'1-Input'!$B$12,0))-MIN(MAX(AO1039,0),MAX(0,AK1001-IF($A1040&gt;='1-Input'!$C$12,'1-Input'!$B$12,0))))*(1/(1-'P-Parametri'!$B$6*AK1040))),MAX(0,0*AK1001-(AO1039-MIN(MAX(AO1039,0),MAX(0,AK1001-IF($A1040&gt;='1-Input'!$C$12,'1-Input'!$B$12,0)))))*(1/(1-'P-Parametri'!$B$6*AK1040))))</f>
        <v>9075.1436334237806</v>
      </c>
      <c r="AM1040" s="18">
        <f>IF($A1040&gt;'1-Input'!$B$26,AO1039,(AO1039-MAX(0,AK1001-IF($A1040&gt;='1-Input'!$C$12,'1-Input'!$B$12,0))+AL1040*(1-'P-Parametri'!$B$6*AK1040))*(1+'1-Input'!$B$27))</f>
        <v>0</v>
      </c>
      <c r="AN1040" s="18">
        <f>IF($A1040&gt;'1-Input'!$B$26,AP1039,(AP1039-AL1040)*(1+'5-Roberta'!$C$4))</f>
        <v>66750.603786096079</v>
      </c>
      <c r="AO1040" s="18">
        <f>IF($A1040&gt;'1-Input'!$B$26,AM1040,AM1040-'P-Parametri'!$B$8*(AN1040+AM1040)+MIN(MAX(AN1040,0),'P-Parametri'!$B$8*(AN1040+AM1040)))</f>
        <v>0</v>
      </c>
      <c r="AP1040" s="18">
        <f>IF($A1040&gt;'1-Input'!$B$26,AN1040,AN1040-MIN(MAX(AN1040,0),'P-Parametri'!$B$8*(AN1040+AM1040)))</f>
        <v>66617.102578523889</v>
      </c>
      <c r="AQ1040" s="18">
        <f>IF($A1040&gt;'1-Input'!$B$26,AQ1039,AQ1039-AL1040*(1-AK1040))</f>
        <v>15019.601680129617</v>
      </c>
    </row>
    <row r="1041" spans="1:43">
      <c r="A1041" s="10">
        <f>38</f>
        <v>38</v>
      </c>
      <c r="B1041" s="11">
        <f>IF($A1041&gt;'1-Input'!$B$26,0,IF(G1040&lt;=0,0,MAX(0,(G1040-H1040)/G1040)))</f>
        <v>0.77453835278372418</v>
      </c>
      <c r="C1041" s="18">
        <f>IF($A1041&gt;'1-Input'!$B$26,0,(MAX(0,B1001-IF($A1041&gt;='1-Input'!$C$12,'1-Input'!$B$12,0))-MIN(MAX(F1040,0),MAX(0,B1001-IF($A1041&gt;='1-Input'!$C$12,'1-Input'!$B$12,0))))*(1/(1-'P-Parametri'!$B$6*B1041))+MIN(MAX(0,G1040-(MAX(0,B1001-IF($A1041&gt;='1-Input'!$C$12,'1-Input'!$B$12,0))-MIN(MAX(F1040,0),MAX(0,B1001-IF($A1041&gt;='1-Input'!$C$12,'1-Input'!$B$12,0))))*(1/(1-'P-Parametri'!$B$6*B1041))),MAX(0,0*B1001-(F1040-MIN(MAX(F1040,0),MAX(0,B1001-IF($A1041&gt;='1-Input'!$C$12,'1-Input'!$B$12,0)))))*(1/(1-'P-Parametri'!$B$6*B1041))))</f>
        <v>6985.8695212888952</v>
      </c>
      <c r="D1041" s="18">
        <f>IF($A1041&gt;'1-Input'!$B$26,F1040,(F1040-MAX(0,B1001-IF($A1041&gt;='1-Input'!$C$12,'1-Input'!$B$12,0))+C1041*(1-'P-Parametri'!$B$6*B1041))*(1+'1-Input'!$B$27))</f>
        <v>0</v>
      </c>
      <c r="E1041" s="18">
        <f>IF($A1041&gt;'1-Input'!$B$26,G1040,(G1040-C1041)*(1+'5-Roberta'!$C$4))</f>
        <v>194258.34112717115</v>
      </c>
      <c r="F1041" s="18">
        <f>IF($A1041&gt;'1-Input'!$B$26,D1041,D1041-'P-Parametri'!$B$8*(E1041+D1041)+MIN(MAX(E1041,0),'P-Parametri'!$B$8*(E1041+D1041)))</f>
        <v>0</v>
      </c>
      <c r="G1041" s="18">
        <f>IF($A1041&gt;'1-Input'!$B$26,E1041,E1041-MIN(MAX(E1041,0),'P-Parametri'!$B$8*(E1041+D1041)))</f>
        <v>193869.8244449168</v>
      </c>
      <c r="H1041" s="18">
        <f>IF($A1041&gt;'1-Input'!$B$26,H1040,H1040-C1041*(1-B1041))</f>
        <v>42522.141335954584</v>
      </c>
      <c r="I1041" s="11">
        <f>IF($A1041&gt;'1-Input'!$B$26,0,IF(N1040&lt;=0,0,MAX(0,(N1040-O1040)/N1040)))</f>
        <v>0</v>
      </c>
      <c r="J1041" s="18">
        <f>IF($A1041&gt;'1-Input'!$B$26,0,(MAX(0,I1001-IF($A1041&gt;='1-Input'!$C$12,'1-Input'!$B$12,0))-MIN(MAX(M1040,0),MAX(0,I1001-IF($A1041&gt;='1-Input'!$C$12,'1-Input'!$B$12,0))))*(1/(1-'P-Parametri'!$B$6*I1041))+MIN(MAX(0,N1040-(MAX(0,I1001-IF($A1041&gt;='1-Input'!$C$12,'1-Input'!$B$12,0))-MIN(MAX(M1040,0),MAX(0,I1001-IF($A1041&gt;='1-Input'!$C$12,'1-Input'!$B$12,0))))*(1/(1-'P-Parametri'!$B$6*I1041))),MAX(0,0*I1001-(M1040-MIN(MAX(M1040,0),MAX(0,I1001-IF($A1041&gt;='1-Input'!$C$12,'1-Input'!$B$12,0)))))*(1/(1-'P-Parametri'!$B$6*I1041))))</f>
        <v>10846.756992928691</v>
      </c>
      <c r="K1041" s="18">
        <f>IF($A1041&gt;'1-Input'!$B$26,M1040,(M1040-MAX(0,I1001-IF($A1041&gt;='1-Input'!$C$12,'1-Input'!$B$12,0))+J1041*(1-'P-Parametri'!$B$6*I1041))*(1+'1-Input'!$B$27))</f>
        <v>-1.8124410416930913E-12</v>
      </c>
      <c r="L1041" s="18">
        <f>IF($A1041&gt;'1-Input'!$B$26,N1040,(N1040-J1041)*(1+'5-Roberta'!$C$4))</f>
        <v>-187858.83375495122</v>
      </c>
      <c r="M1041" s="18">
        <f>IF($A1041&gt;'1-Input'!$B$26,K1041,K1041-'P-Parametri'!$B$8*(L1041+K1041)+MIN(MAX(L1041,0),'P-Parametri'!$B$8*(L1041+K1041)))</f>
        <v>-1.8189894035458565E-12</v>
      </c>
      <c r="N1041" s="18">
        <f>IF($A1041&gt;'1-Input'!$B$26,L1041,L1041-MIN(MAX(L1041,0),'P-Parametri'!$B$8*(L1041+K1041)))</f>
        <v>-187483.11608744133</v>
      </c>
      <c r="O1041" s="18">
        <f>IF($A1041&gt;'1-Input'!$B$26,O1040,O1040-J1041*(1-I1041))</f>
        <v>-144421.58784484878</v>
      </c>
      <c r="P1041" s="11">
        <f>IF($A1041&gt;'1-Input'!$B$26,0,IF(U1040&lt;=0,0,MAX(0,(U1040-V1040)/U1040)))</f>
        <v>0.77453835278372429</v>
      </c>
      <c r="Q1041" s="18">
        <f>IF($A1041&gt;'1-Input'!$B$26,0,(MAX(0,P1001-IF($A1041&gt;='1-Input'!$C$12,'1-Input'!$B$12,0))-MIN(MAX(T1040,0),MAX(0,P1001-IF($A1041&gt;='1-Input'!$C$12,'1-Input'!$B$12,0))))*(1/(1-'P-Parametri'!$B$6*P1041))+MIN(MAX(0,U1040-(MAX(0,P1001-IF($A1041&gt;='1-Input'!$C$12,'1-Input'!$B$12,0))-MIN(MAX(T1040,0),MAX(0,P1001-IF($A1041&gt;='1-Input'!$C$12,'1-Input'!$B$12,0))))*(1/(1-'P-Parametri'!$B$6*P1041))),MAX(0,0*P1001-(T1040-MIN(MAX(T1040,0),MAX(0,P1001-IF($A1041&gt;='1-Input'!$C$12,'1-Input'!$B$12,0)))))*(1/(1-'P-Parametri'!$B$6*P1041))))</f>
        <v>9397.9320528391381</v>
      </c>
      <c r="R1041" s="18">
        <f>IF($A1041&gt;'1-Input'!$B$26,T1040,(T1040-MAX(0,P1001-IF($A1041&gt;='1-Input'!$C$12,'1-Input'!$B$12,0))+Q1041*(1-'P-Parametri'!$B$6*P1041))*(1+'1-Input'!$B$27))</f>
        <v>9.0622052084654565E-13</v>
      </c>
      <c r="S1041" s="18">
        <f>IF($A1041&gt;'1-Input'!$B$26,U1040,(U1040-Q1041)*(1+'5-Roberta'!$C$4))</f>
        <v>39766.642235826374</v>
      </c>
      <c r="T1041" s="18">
        <f>IF($A1041&gt;'1-Input'!$B$26,R1041,R1041-'P-Parametri'!$B$8*(S1041+R1041)+MIN(MAX(S1041,0),'P-Parametri'!$B$8*(S1041+R1041)))</f>
        <v>9.0949470177292824E-13</v>
      </c>
      <c r="U1041" s="18">
        <f>IF($A1041&gt;'1-Input'!$B$26,S1041,S1041-MIN(MAX(S1041,0),'P-Parametri'!$B$8*(S1041+R1041)))</f>
        <v>39687.108951354719</v>
      </c>
      <c r="V1041" s="18">
        <f>IF($A1041&gt;'1-Input'!$B$26,V1040,V1040-Q1041*(1-P1041))</f>
        <v>8704.711323057998</v>
      </c>
      <c r="W1041" s="11">
        <f>IF($A1041&gt;'1-Input'!$B$26,0,IF(AB1040&lt;=0,0,MAX(0,(AB1040-AC1040)/AB1040)))</f>
        <v>0.77453835278372418</v>
      </c>
      <c r="X1041" s="18">
        <f>IF($A1041&gt;'1-Input'!$B$26,0,(MAX(0,W1001-IF($A1041&gt;='1-Input'!$C$12,'1-Input'!$B$12,0))-MIN(MAX(AA1040,0),MAX(0,W1001-IF($A1041&gt;='1-Input'!$C$12,'1-Input'!$B$12,0))))*(1/(1-'P-Parametri'!$B$6*W1041))+MIN(MAX(0,AB1040-(MAX(0,W1001-IF($A1041&gt;='1-Input'!$C$12,'1-Input'!$B$12,0))-MIN(MAX(AA1040,0),MAX(0,W1001-IF($A1041&gt;='1-Input'!$C$12,'1-Input'!$B$12,0))))*(1/(1-'P-Parametri'!$B$6*W1041))),MAX(0,0*W1001-(AA1040-MIN(MAX(AA1040,0),MAX(0,W1001-IF($A1041&gt;='1-Input'!$C$12,'1-Input'!$B$12,0)))))*(1/(1-'P-Parametri'!$B$6*W1041))))</f>
        <v>9084.0033025036246</v>
      </c>
      <c r="Y1041" s="18">
        <f>IF($A1041&gt;'1-Input'!$B$26,AA1040,(AA1040-MAX(0,W1001-IF($A1041&gt;='1-Input'!$C$12,'1-Input'!$B$12,0))+X1041*(1-'P-Parametri'!$B$6*W1041))*(1+'1-Input'!$B$27))</f>
        <v>0</v>
      </c>
      <c r="Z1041" s="18">
        <f>IF($A1041&gt;'1-Input'!$B$26,AB1040,(AB1040-X1041)*(1+'5-Roberta'!$C$4))</f>
        <v>59873.660746246169</v>
      </c>
      <c r="AA1041" s="18">
        <f>IF($A1041&gt;'1-Input'!$B$26,Y1041,Y1041-'P-Parametri'!$B$8*(Z1041+Y1041)+MIN(MAX(Z1041,0),'P-Parametri'!$B$8*(Z1041+Y1041)))</f>
        <v>0</v>
      </c>
      <c r="AB1041" s="18">
        <f>IF($A1041&gt;'1-Input'!$B$26,Z1041,Z1041-MIN(MAX(Z1041,0),'P-Parametri'!$B$8*(Z1041+Y1041)))</f>
        <v>59753.913424753679</v>
      </c>
      <c r="AC1041" s="18">
        <f>IF($A1041&gt;'1-Input'!$B$26,AC1040,AC1040-X1041*(1-W1041))</f>
        <v>13106.033181278772</v>
      </c>
      <c r="AD1041" s="11">
        <f>IF($A1041&gt;'1-Input'!$B$26,0,IF(AI1040&lt;=0,0,MAX(0,(AI1040-AJ1040)/AI1040)))</f>
        <v>0.77453835278372407</v>
      </c>
      <c r="AE1041" s="18">
        <f>IF($A1041&gt;'1-Input'!$B$26,0,(MAX(0,AD1001-IF($A1041&gt;='1-Input'!$C$12,'1-Input'!$B$12,0))-MIN(MAX(AH1040,0),MAX(0,AD1001-IF($A1041&gt;='1-Input'!$C$12,'1-Input'!$B$12,0))))*(1/(1-'P-Parametri'!$B$6*AD1041))+MIN(MAX(0,AI1040-(MAX(0,AD1001-IF($A1041&gt;='1-Input'!$C$12,'1-Input'!$B$12,0))-MIN(MAX(AH1040,0),MAX(0,AD1001-IF($A1041&gt;='1-Input'!$C$12,'1-Input'!$B$12,0))))*(1/(1-'P-Parametri'!$B$6*AD1041))),MAX(0,0*AD1001-(AH1040-MIN(MAX(AH1040,0),MAX(0,AD1001-IF($A1041&gt;='1-Input'!$C$12,'1-Input'!$B$12,0)))))*(1/(1-'P-Parametri'!$B$6*AD1041))))</f>
        <v>9095.5583108069568</v>
      </c>
      <c r="AF1041" s="18">
        <f>IF($A1041&gt;'1-Input'!$B$26,AH1040,(AH1040-MAX(0,AD1001-IF($A1041&gt;='1-Input'!$C$12,'1-Input'!$B$12,0))+AE1041*(1-'P-Parametri'!$B$6*AD1041))*(1+'1-Input'!$B$27))</f>
        <v>0</v>
      </c>
      <c r="AG1041" s="18">
        <f>IF($A1041&gt;'1-Input'!$B$26,AI1040,(AI1040-AE1041)*(1+'5-Roberta'!$C$4))</f>
        <v>59133.566805837778</v>
      </c>
      <c r="AH1041" s="18">
        <f>IF($A1041&gt;'1-Input'!$B$26,AF1041,AF1041-'P-Parametri'!$B$8*(AG1041+AF1041)+MIN(MAX(AG1041,0),'P-Parametri'!$B$8*(AG1041+AF1041)))</f>
        <v>0</v>
      </c>
      <c r="AI1041" s="18">
        <f>IF($A1041&gt;'1-Input'!$B$26,AG1041,AG1041-MIN(MAX(AG1041,0),'P-Parametri'!$B$8*(AG1041+AF1041)))</f>
        <v>59015.299672226101</v>
      </c>
      <c r="AJ1041" s="18">
        <f>IF($A1041&gt;'1-Input'!$B$26,AJ1040,AJ1040-AE1041*(1-AD1041))</f>
        <v>12944.030463900861</v>
      </c>
      <c r="AK1041" s="11">
        <f>IF($A1041&gt;'1-Input'!$B$26,0,IF(AP1040&lt;=0,0,MAX(0,(AP1040-AQ1040)/AP1040)))</f>
        <v>0.77453835278372407</v>
      </c>
      <c r="AL1041" s="18">
        <f>IF($A1041&gt;'1-Input'!$B$26,0,(MAX(0,AK1001-IF($A1041&gt;='1-Input'!$C$12,'1-Input'!$B$12,0))-MIN(MAX(AO1040,0),MAX(0,AK1001-IF($A1041&gt;='1-Input'!$C$12,'1-Input'!$B$12,0))))*(1/(1-'P-Parametri'!$B$6*AK1041))+MIN(MAX(0,AP1040-(MAX(0,AK1001-IF($A1041&gt;='1-Input'!$C$12,'1-Input'!$B$12,0))-MIN(MAX(AO1040,0),MAX(0,AK1001-IF($A1041&gt;='1-Input'!$C$12,'1-Input'!$B$12,0))))*(1/(1-'P-Parametri'!$B$6*AK1041))),MAX(0,0*AK1001-(AO1040-MIN(MAX(AO1040,0),MAX(0,AK1001-IF($A1041&gt;='1-Input'!$C$12,'1-Input'!$B$12,0)))))*(1/(1-'P-Parametri'!$B$6*AK1041))))</f>
        <v>9093.7553202115014</v>
      </c>
      <c r="AM1041" s="18">
        <f>IF($A1041&gt;'1-Input'!$B$26,AO1040,(AO1040-MAX(0,AK1001-IF($A1041&gt;='1-Input'!$C$12,'1-Input'!$B$12,0))+AL1041*(1-'P-Parametri'!$B$6*AK1041))*(1+'1-Input'!$B$27))</f>
        <v>0</v>
      </c>
      <c r="AN1041" s="18">
        <f>IF($A1041&gt;'1-Input'!$B$26,AP1040,(AP1040-AL1041)*(1+'5-Roberta'!$C$4))</f>
        <v>59249.04767606176</v>
      </c>
      <c r="AO1041" s="18">
        <f>IF($A1041&gt;'1-Input'!$B$26,AM1041,AM1041-'P-Parametri'!$B$8*(AN1041+AM1041)+MIN(MAX(AN1041,0),'P-Parametri'!$B$8*(AN1041+AM1041)))</f>
        <v>0</v>
      </c>
      <c r="AP1041" s="18">
        <f>IF($A1041&gt;'1-Input'!$B$26,AN1041,AN1041-MIN(MAX(AN1041,0),'P-Parametri'!$B$8*(AN1041+AM1041)))</f>
        <v>59130.549580709638</v>
      </c>
      <c r="AQ1041" s="18">
        <f>IF($A1041&gt;'1-Input'!$B$26,AQ1040,AQ1040-AL1041*(1-AK1041))</f>
        <v>12969.30862625296</v>
      </c>
    </row>
    <row r="1042" spans="1:43">
      <c r="A1042" s="10">
        <f>39</f>
        <v>39</v>
      </c>
      <c r="B1042" s="11">
        <f>IF($A1042&gt;'1-Input'!$B$26,0,IF(G1041&lt;=0,0,MAX(0,(G1041-H1041)/G1041)))</f>
        <v>0.78066652993727659</v>
      </c>
      <c r="C1042" s="18">
        <f>IF($A1042&gt;'1-Input'!$B$26,0,(MAX(0,B1001-IF($A1042&gt;='1-Input'!$C$12,'1-Input'!$B$12,0))-MIN(MAX(F1041,0),MAX(0,B1001-IF($A1042&gt;='1-Input'!$C$12,'1-Input'!$B$12,0))))*(1/(1-'P-Parametri'!$B$6*B1042))+MIN(MAX(0,G1041-(MAX(0,B1001-IF($A1042&gt;='1-Input'!$C$12,'1-Input'!$B$12,0))-MIN(MAX(F1041,0),MAX(0,B1001-IF($A1042&gt;='1-Input'!$C$12,'1-Input'!$B$12,0))))*(1/(1-'P-Parametri'!$B$6*B1042))),MAX(0,0*B1001-(F1041-MIN(MAX(F1041,0),MAX(0,B1001-IF($A1042&gt;='1-Input'!$C$12,'1-Input'!$B$12,0)))))*(1/(1-'P-Parametri'!$B$6*B1042))))</f>
        <v>6999.8348852202962</v>
      </c>
      <c r="D1042" s="18">
        <f>IF($A1042&gt;'1-Input'!$B$26,F1041,(F1041-MAX(0,B1001-IF($A1042&gt;='1-Input'!$C$12,'1-Input'!$B$12,0))+C1042*(1-'P-Parametri'!$B$6*B1042))*(1+'1-Input'!$B$27))</f>
        <v>0</v>
      </c>
      <c r="E1042" s="18">
        <f>IF($A1042&gt;'1-Input'!$B$26,G1041,(G1041-C1042)*(1+'5-Roberta'!$C$4))</f>
        <v>192476.08924648739</v>
      </c>
      <c r="F1042" s="18">
        <f>IF($A1042&gt;'1-Input'!$B$26,D1042,D1042-'P-Parametri'!$B$8*(E1042+D1042)+MIN(MAX(E1042,0),'P-Parametri'!$B$8*(E1042+D1042)))</f>
        <v>0</v>
      </c>
      <c r="G1042" s="18">
        <f>IF($A1042&gt;'1-Input'!$B$26,E1042,E1042-MIN(MAX(E1042,0),'P-Parametri'!$B$8*(E1042+D1042)))</f>
        <v>192091.13706799442</v>
      </c>
      <c r="H1042" s="18">
        <f>IF($A1042&gt;'1-Input'!$B$26,H1041,H1041-C1042*(1-B1042))</f>
        <v>40986.843260713111</v>
      </c>
      <c r="I1042" s="11">
        <f>IF($A1042&gt;'1-Input'!$B$26,0,IF(N1041&lt;=0,0,MAX(0,(N1041-O1041)/N1041)))</f>
        <v>0</v>
      </c>
      <c r="J1042" s="18">
        <f>IF($A1042&gt;'1-Input'!$B$26,0,(MAX(0,I1001-IF($A1042&gt;='1-Input'!$C$12,'1-Input'!$B$12,0))-MIN(MAX(M1041,0),MAX(0,I1001-IF($A1042&gt;='1-Input'!$C$12,'1-Input'!$B$12,0))))*(1/(1-'P-Parametri'!$B$6*I1042))+MIN(MAX(0,N1041-(MAX(0,I1001-IF($A1042&gt;='1-Input'!$C$12,'1-Input'!$B$12,0))-MIN(MAX(M1041,0),MAX(0,I1001-IF($A1042&gt;='1-Input'!$C$12,'1-Input'!$B$12,0))))*(1/(1-'P-Parametri'!$B$6*I1042))),MAX(0,0*I1001-(M1041-MIN(MAX(M1041,0),MAX(0,I1001-IF($A1042&gt;='1-Input'!$C$12,'1-Input'!$B$12,0)))))*(1/(1-'P-Parametri'!$B$6*I1042))))</f>
        <v>10846.756992928691</v>
      </c>
      <c r="K1042" s="18">
        <f>IF($A1042&gt;'1-Input'!$B$26,M1041,(M1041-MAX(0,I1001-IF($A1042&gt;='1-Input'!$C$12,'1-Input'!$B$12,0))+J1042*(1-'P-Parametri'!$B$6*I1042))*(1+'1-Input'!$B$27))</f>
        <v>-1.8124410416930913E-12</v>
      </c>
      <c r="L1042" s="18">
        <f>IF($A1042&gt;'1-Input'!$B$26,N1041,(N1041-J1042)*(1+'5-Roberta'!$C$4))</f>
        <v>-204279.76927278112</v>
      </c>
      <c r="M1042" s="18">
        <f>IF($A1042&gt;'1-Input'!$B$26,K1042,K1042-'P-Parametri'!$B$8*(L1042+K1042)+MIN(MAX(L1042,0),'P-Parametri'!$B$8*(L1042+K1042)))</f>
        <v>-1.8189894035458565E-12</v>
      </c>
      <c r="N1042" s="18">
        <f>IF($A1042&gt;'1-Input'!$B$26,L1042,L1042-MIN(MAX(L1042,0),'P-Parametri'!$B$8*(L1042+K1042)))</f>
        <v>-203871.20973423557</v>
      </c>
      <c r="O1042" s="18">
        <f>IF($A1042&gt;'1-Input'!$B$26,O1041,O1041-J1042*(1-I1042))</f>
        <v>-155268.34483777746</v>
      </c>
      <c r="P1042" s="11">
        <f>IF($A1042&gt;'1-Input'!$B$26,0,IF(U1041&lt;=0,0,MAX(0,(U1041-V1041)/U1041)))</f>
        <v>0.7806665299372767</v>
      </c>
      <c r="Q1042" s="18">
        <f>IF($A1042&gt;'1-Input'!$B$26,0,(MAX(0,P1001-IF($A1042&gt;='1-Input'!$C$12,'1-Input'!$B$12,0))-MIN(MAX(T1041,0),MAX(0,P1001-IF($A1042&gt;='1-Input'!$C$12,'1-Input'!$B$12,0))))*(1/(1-'P-Parametri'!$B$6*P1042))+MIN(MAX(0,U1041-(MAX(0,P1001-IF($A1042&gt;='1-Input'!$C$12,'1-Input'!$B$12,0))-MIN(MAX(T1041,0),MAX(0,P1001-IF($A1042&gt;='1-Input'!$C$12,'1-Input'!$B$12,0))))*(1/(1-'P-Parametri'!$B$6*P1042))),MAX(0,0*P1001-(T1041-MIN(MAX(T1041,0),MAX(0,P1001-IF($A1042&gt;='1-Input'!$C$12,'1-Input'!$B$12,0)))))*(1/(1-'P-Parametri'!$B$6*P1042))))</f>
        <v>9416.7193406521328</v>
      </c>
      <c r="R1042" s="18">
        <f>IF($A1042&gt;'1-Input'!$B$26,T1041,(T1041-MAX(0,P1001-IF($A1042&gt;='1-Input'!$C$12,'1-Input'!$B$12,0))+Q1042*(1-'P-Parametri'!$B$6*P1042))*(1+'1-Input'!$B$27))</f>
        <v>0</v>
      </c>
      <c r="S1042" s="18">
        <f>IF($A1042&gt;'1-Input'!$B$26,U1041,(U1041-Q1042)*(1+'5-Roberta'!$C$4))</f>
        <v>31178.501299023665</v>
      </c>
      <c r="T1042" s="18">
        <f>IF($A1042&gt;'1-Input'!$B$26,R1042,R1042-'P-Parametri'!$B$8*(S1042+R1042)+MIN(MAX(S1042,0),'P-Parametri'!$B$8*(S1042+R1042)))</f>
        <v>0</v>
      </c>
      <c r="U1042" s="18">
        <f>IF($A1042&gt;'1-Input'!$B$26,S1042,S1042-MIN(MAX(S1042,0),'P-Parametri'!$B$8*(S1042+R1042)))</f>
        <v>31116.144296425617</v>
      </c>
      <c r="V1042" s="18">
        <f>IF($A1042&gt;'1-Input'!$B$26,V1041,V1041-Q1042*(1-P1042))</f>
        <v>6639.3095934660059</v>
      </c>
      <c r="W1042" s="11">
        <f>IF($A1042&gt;'1-Input'!$B$26,0,IF(AB1041&lt;=0,0,MAX(0,(AB1041-AC1041)/AB1041)))</f>
        <v>0.7806665299372767</v>
      </c>
      <c r="X1042" s="18">
        <f>IF($A1042&gt;'1-Input'!$B$26,0,(MAX(0,W1001-IF($A1042&gt;='1-Input'!$C$12,'1-Input'!$B$12,0))-MIN(MAX(AA1041,0),MAX(0,W1001-IF($A1042&gt;='1-Input'!$C$12,'1-Input'!$B$12,0))))*(1/(1-'P-Parametri'!$B$6*W1042))+MIN(MAX(0,AB1041-(MAX(0,W1001-IF($A1042&gt;='1-Input'!$C$12,'1-Input'!$B$12,0))-MIN(MAX(AA1041,0),MAX(0,W1001-IF($A1042&gt;='1-Input'!$C$12,'1-Input'!$B$12,0))))*(1/(1-'P-Parametri'!$B$6*W1042))),MAX(0,0*W1001-(AA1041-MIN(MAX(AA1041,0),MAX(0,W1001-IF($A1042&gt;='1-Input'!$C$12,'1-Input'!$B$12,0)))))*(1/(1-'P-Parametri'!$B$6*W1042))))</f>
        <v>9102.1630192986377</v>
      </c>
      <c r="Y1042" s="18">
        <f>IF($A1042&gt;'1-Input'!$B$26,AA1041,(AA1041-MAX(0,W1001-IF($A1042&gt;='1-Input'!$C$12,'1-Input'!$B$12,0))+X1042*(1-'P-Parametri'!$B$6*W1042))*(1+'1-Input'!$B$27))</f>
        <v>-9.0622052084654565E-13</v>
      </c>
      <c r="Z1042" s="18">
        <f>IF($A1042&gt;'1-Input'!$B$26,AB1041,(AB1041-X1042)*(1+'5-Roberta'!$C$4))</f>
        <v>52171.30291761869</v>
      </c>
      <c r="AA1042" s="18">
        <f>IF($A1042&gt;'1-Input'!$B$26,Y1042,Y1042-'P-Parametri'!$B$8*(Z1042+Y1042)+MIN(MAX(Z1042,0),'P-Parametri'!$B$8*(Z1042+Y1042)))</f>
        <v>-9.0949470177292824E-13</v>
      </c>
      <c r="AB1042" s="18">
        <f>IF($A1042&gt;'1-Input'!$B$26,Z1042,Z1042-MIN(MAX(Z1042,0),'P-Parametri'!$B$8*(Z1042+Y1042)))</f>
        <v>52066.960311783456</v>
      </c>
      <c r="AC1042" s="18">
        <f>IF($A1042&gt;'1-Input'!$B$26,AC1041,AC1041-X1042*(1-W1042))</f>
        <v>11109.624181179406</v>
      </c>
      <c r="AD1042" s="11">
        <f>IF($A1042&gt;'1-Input'!$B$26,0,IF(AI1041&lt;=0,0,MAX(0,(AI1041-AJ1041)/AI1041)))</f>
        <v>0.78066652993727648</v>
      </c>
      <c r="AE1042" s="18">
        <f>IF($A1042&gt;'1-Input'!$B$26,0,(MAX(0,AD1001-IF($A1042&gt;='1-Input'!$C$12,'1-Input'!$B$12,0))-MIN(MAX(AH1041,0),MAX(0,AD1001-IF($A1042&gt;='1-Input'!$C$12,'1-Input'!$B$12,0))))*(1/(1-'P-Parametri'!$B$6*AD1042))+MIN(MAX(0,AI1041-(MAX(0,AD1001-IF($A1042&gt;='1-Input'!$C$12,'1-Input'!$B$12,0))-MIN(MAX(AH1041,0),MAX(0,AD1001-IF($A1042&gt;='1-Input'!$C$12,'1-Input'!$B$12,0))))*(1/(1-'P-Parametri'!$B$6*AD1042))),MAX(0,0*AD1001-(AH1041-MIN(MAX(AH1041,0),MAX(0,AD1001-IF($A1042&gt;='1-Input'!$C$12,'1-Input'!$B$12,0)))))*(1/(1-'P-Parametri'!$B$6*AD1042))))</f>
        <v>9113.7411270737957</v>
      </c>
      <c r="AF1042" s="18">
        <f>IF($A1042&gt;'1-Input'!$B$26,AH1041,(AH1041-MAX(0,AD1001-IF($A1042&gt;='1-Input'!$C$12,'1-Input'!$B$12,0))+AE1042*(1-'P-Parametri'!$B$6*AD1042))*(1+'1-Input'!$B$27))</f>
        <v>-9.0622052084654565E-13</v>
      </c>
      <c r="AG1042" s="18">
        <f>IF($A1042&gt;'1-Input'!$B$26,AI1041,(AI1041-AE1042)*(1+'5-Roberta'!$C$4))</f>
        <v>51398.605301506876</v>
      </c>
      <c r="AH1042" s="18">
        <f>IF($A1042&gt;'1-Input'!$B$26,AF1042,AF1042-'P-Parametri'!$B$8*(AG1042+AF1042)+MIN(MAX(AG1042,0),'P-Parametri'!$B$8*(AG1042+AF1042)))</f>
        <v>-9.0949470177292824E-13</v>
      </c>
      <c r="AI1042" s="18">
        <f>IF($A1042&gt;'1-Input'!$B$26,AG1042,AG1042-MIN(MAX(AG1042,0),'P-Parametri'!$B$8*(AG1042+AF1042)))</f>
        <v>51295.808090903862</v>
      </c>
      <c r="AJ1042" s="18">
        <f>IF($A1042&gt;'1-Input'!$B$26,AJ1041,AJ1041-AE1042*(1-AD1042))</f>
        <v>10945.081997246409</v>
      </c>
      <c r="AK1042" s="11">
        <f>IF($A1042&gt;'1-Input'!$B$26,0,IF(AP1041&lt;=0,0,MAX(0,(AP1041-AQ1041)/AP1041)))</f>
        <v>0.78066652993727659</v>
      </c>
      <c r="AL1042" s="18">
        <f>IF($A1042&gt;'1-Input'!$B$26,0,(MAX(0,AK1001-IF($A1042&gt;='1-Input'!$C$12,'1-Input'!$B$12,0))-MIN(MAX(AO1041,0),MAX(0,AK1001-IF($A1042&gt;='1-Input'!$C$12,'1-Input'!$B$12,0))))*(1/(1-'P-Parametri'!$B$6*AK1042))+MIN(MAX(0,AP1041-(MAX(0,AK1001-IF($A1042&gt;='1-Input'!$C$12,'1-Input'!$B$12,0))-MIN(MAX(AO1041,0),MAX(0,AK1001-IF($A1042&gt;='1-Input'!$C$12,'1-Input'!$B$12,0))))*(1/(1-'P-Parametri'!$B$6*AK1042))),MAX(0,0*AK1001-(AO1041-MIN(MAX(AO1041,0),MAX(0,AK1001-IF($A1042&gt;='1-Input'!$C$12,'1-Input'!$B$12,0)))))*(1/(1-'P-Parametri'!$B$6*AK1042))))</f>
        <v>9111.934532142508</v>
      </c>
      <c r="AM1042" s="18">
        <f>IF($A1042&gt;'1-Input'!$B$26,AO1041,(AO1041-MAX(0,AK1001-IF($A1042&gt;='1-Input'!$C$12,'1-Input'!$B$12,0))+AL1042*(1-'P-Parametri'!$B$6*AK1042))*(1+'1-Input'!$B$27))</f>
        <v>0</v>
      </c>
      <c r="AN1042" s="18">
        <f>IF($A1042&gt;'1-Input'!$B$26,AP1041,(AP1041-AL1042)*(1+'5-Roberta'!$C$4))</f>
        <v>51519.173500024146</v>
      </c>
      <c r="AO1042" s="18">
        <f>IF($A1042&gt;'1-Input'!$B$26,AM1042,AM1042-'P-Parametri'!$B$8*(AN1042+AM1042)+MIN(MAX(AN1042,0),'P-Parametri'!$B$8*(AN1042+AM1042)))</f>
        <v>0</v>
      </c>
      <c r="AP1042" s="18">
        <f>IF($A1042&gt;'1-Input'!$B$26,AN1042,AN1042-MIN(MAX(AN1042,0),'P-Parametri'!$B$8*(AN1042+AM1042)))</f>
        <v>51416.135153024101</v>
      </c>
      <c r="AQ1042" s="18">
        <f>IF($A1042&gt;'1-Input'!$B$26,AQ1041,AQ1041-AL1042*(1-AK1042))</f>
        <v>10970.756406333785</v>
      </c>
    </row>
    <row r="1043" spans="1:43">
      <c r="A1043" s="10">
        <f>40</f>
        <v>40</v>
      </c>
      <c r="B1043" s="11">
        <f>IF($A1043&gt;'1-Input'!$B$26,0,IF(G1042&lt;=0,0,MAX(0,(G1042-H1042)/G1042)))</f>
        <v>0.78662813971367651</v>
      </c>
      <c r="C1043" s="18">
        <f>IF($A1043&gt;'1-Input'!$B$26,0,(MAX(0,B1001-IF($A1043&gt;='1-Input'!$C$12,'1-Input'!$B$12,0))-MIN(MAX(F1042,0),MAX(0,B1001-IF($A1043&gt;='1-Input'!$C$12,'1-Input'!$B$12,0))))*(1/(1-'P-Parametri'!$B$6*B1043))+MIN(MAX(0,G1042-(MAX(0,B1001-IF($A1043&gt;='1-Input'!$C$12,'1-Input'!$B$12,0))-MIN(MAX(F1042,0),MAX(0,B1001-IF($A1043&gt;='1-Input'!$C$12,'1-Input'!$B$12,0))))*(1/(1-'P-Parametri'!$B$6*B1043))),MAX(0,0*B1001-(F1042-MIN(MAX(F1042,0),MAX(0,B1001-IF($A1043&gt;='1-Input'!$C$12,'1-Input'!$B$12,0)))))*(1/(1-'P-Parametri'!$B$6*B1043))))</f>
        <v>7013.4743470483418</v>
      </c>
      <c r="D1043" s="18">
        <f>IF($A1043&gt;'1-Input'!$B$26,F1042,(F1042-MAX(0,B1001-IF($A1043&gt;='1-Input'!$C$12,'1-Input'!$B$12,0))+C1043*(1-'P-Parametri'!$B$6*B1043))*(1+'1-Input'!$B$27))</f>
        <v>0</v>
      </c>
      <c r="E1043" s="18">
        <f>IF($A1043&gt;'1-Input'!$B$26,G1042,(G1042-C1043)*(1+'5-Roberta'!$C$4))</f>
        <v>190629.99260257446</v>
      </c>
      <c r="F1043" s="18">
        <f>IF($A1043&gt;'1-Input'!$B$26,D1043,D1043-'P-Parametri'!$B$8*(E1043+D1043)+MIN(MAX(E1043,0),'P-Parametri'!$B$8*(E1043+D1043)))</f>
        <v>0</v>
      </c>
      <c r="G1043" s="18">
        <f>IF($A1043&gt;'1-Input'!$B$26,E1043,E1043-MIN(MAX(E1043,0),'P-Parametri'!$B$8*(E1043+D1043)))</f>
        <v>190248.73261736933</v>
      </c>
      <c r="H1043" s="18">
        <f>IF($A1043&gt;'1-Input'!$B$26,H1042,H1042-C1043*(1-B1043))</f>
        <v>39490.365192213001</v>
      </c>
      <c r="I1043" s="11">
        <f>IF($A1043&gt;'1-Input'!$B$26,0,IF(N1042&lt;=0,0,MAX(0,(N1042-O1042)/N1042)))</f>
        <v>0</v>
      </c>
      <c r="J1043" s="18">
        <f>IF($A1043&gt;'1-Input'!$B$26,0,(MAX(0,I1001-IF($A1043&gt;='1-Input'!$C$12,'1-Input'!$B$12,0))-MIN(MAX(M1042,0),MAX(0,I1001-IF($A1043&gt;='1-Input'!$C$12,'1-Input'!$B$12,0))))*(1/(1-'P-Parametri'!$B$6*I1043))+MIN(MAX(0,N1042-(MAX(0,I1001-IF($A1043&gt;='1-Input'!$C$12,'1-Input'!$B$12,0))-MIN(MAX(M1042,0),MAX(0,I1001-IF($A1043&gt;='1-Input'!$C$12,'1-Input'!$B$12,0))))*(1/(1-'P-Parametri'!$B$6*I1043))),MAX(0,0*I1001-(M1042-MIN(MAX(M1042,0),MAX(0,I1001-IF($A1043&gt;='1-Input'!$C$12,'1-Input'!$B$12,0)))))*(1/(1-'P-Parametri'!$B$6*I1043))))</f>
        <v>10846.756992928691</v>
      </c>
      <c r="K1043" s="18">
        <f>IF($A1043&gt;'1-Input'!$B$26,M1042,(M1042-MAX(0,I1001-IF($A1043&gt;='1-Input'!$C$12,'1-Input'!$B$12,0))+J1043*(1-'P-Parametri'!$B$6*I1043))*(1+'1-Input'!$B$27))</f>
        <v>-1.8124410416930913E-12</v>
      </c>
      <c r="L1043" s="18">
        <f>IF($A1043&gt;'1-Input'!$B$26,N1042,(N1042-J1043)*(1+'5-Roberta'!$C$4))</f>
        <v>-221159.50572897919</v>
      </c>
      <c r="M1043" s="18">
        <f>IF($A1043&gt;'1-Input'!$B$26,K1043,K1043-'P-Parametri'!$B$8*(L1043+K1043)+MIN(MAX(L1043,0),'P-Parametri'!$B$8*(L1043+K1043)))</f>
        <v>-1.8189894035458565E-12</v>
      </c>
      <c r="N1043" s="18">
        <f>IF($A1043&gt;'1-Input'!$B$26,L1043,L1043-MIN(MAX(L1043,0),'P-Parametri'!$B$8*(L1043+K1043)))</f>
        <v>-220717.18671752122</v>
      </c>
      <c r="O1043" s="18">
        <f>IF($A1043&gt;'1-Input'!$B$26,O1042,O1042-J1043*(1-I1043))</f>
        <v>-166115.10183070615</v>
      </c>
      <c r="P1043" s="11">
        <f>IF($A1043&gt;'1-Input'!$B$26,0,IF(U1042&lt;=0,0,MAX(0,(U1042-V1042)/U1042)))</f>
        <v>0.78662813971367662</v>
      </c>
      <c r="Q1043" s="18">
        <f>IF($A1043&gt;'1-Input'!$B$26,0,(MAX(0,P1001-IF($A1043&gt;='1-Input'!$C$12,'1-Input'!$B$12,0))-MIN(MAX(T1042,0),MAX(0,P1001-IF($A1043&gt;='1-Input'!$C$12,'1-Input'!$B$12,0))))*(1/(1-'P-Parametri'!$B$6*P1043))+MIN(MAX(0,U1042-(MAX(0,P1001-IF($A1043&gt;='1-Input'!$C$12,'1-Input'!$B$12,0))-MIN(MAX(T1042,0),MAX(0,P1001-IF($A1043&gt;='1-Input'!$C$12,'1-Input'!$B$12,0))))*(1/(1-'P-Parametri'!$B$6*P1043))),MAX(0,0*P1001-(T1042-MIN(MAX(T1042,0),MAX(0,P1001-IF($A1043&gt;='1-Input'!$C$12,'1-Input'!$B$12,0)))))*(1/(1-'P-Parametri'!$B$6*P1043))))</f>
        <v>9435.0681997464289</v>
      </c>
      <c r="R1043" s="18">
        <f>IF($A1043&gt;'1-Input'!$B$26,T1042,(T1042-MAX(0,P1001-IF($A1043&gt;='1-Input'!$C$12,'1-Input'!$B$12,0))+Q1043*(1-'P-Parametri'!$B$6*P1043))*(1+'1-Input'!$B$27))</f>
        <v>-9.0622052084654565E-13</v>
      </c>
      <c r="S1043" s="18">
        <f>IF($A1043&gt;'1-Input'!$B$26,U1042,(U1042-Q1043)*(1+'5-Roberta'!$C$4))</f>
        <v>22331.508379579562</v>
      </c>
      <c r="T1043" s="18">
        <f>IF($A1043&gt;'1-Input'!$B$26,R1043,R1043-'P-Parametri'!$B$8*(S1043+R1043)+MIN(MAX(S1043,0),'P-Parametri'!$B$8*(S1043+R1043)))</f>
        <v>-9.0949470177292824E-13</v>
      </c>
      <c r="U1043" s="18">
        <f>IF($A1043&gt;'1-Input'!$B$26,S1043,S1043-MIN(MAX(S1043,0),'P-Parametri'!$B$8*(S1043+R1043)))</f>
        <v>22286.845362820404</v>
      </c>
      <c r="V1043" s="18">
        <f>IF($A1043&gt;'1-Input'!$B$26,V1042,V1042-Q1043*(1-P1043))</f>
        <v>4626.1315397577782</v>
      </c>
      <c r="W1043" s="11">
        <f>IF($A1043&gt;'1-Input'!$B$26,0,IF(AB1042&lt;=0,0,MAX(0,(AB1042-AC1042)/AB1042)))</f>
        <v>0.78662813971367651</v>
      </c>
      <c r="X1043" s="18">
        <f>IF($A1043&gt;'1-Input'!$B$26,0,(MAX(0,W1001-IF($A1043&gt;='1-Input'!$C$12,'1-Input'!$B$12,0))-MIN(MAX(AA1042,0),MAX(0,W1001-IF($A1043&gt;='1-Input'!$C$12,'1-Input'!$B$12,0))))*(1/(1-'P-Parametri'!$B$6*W1043))+MIN(MAX(0,AB1042-(MAX(0,W1001-IF($A1043&gt;='1-Input'!$C$12,'1-Input'!$B$12,0))-MIN(MAX(AA1042,0),MAX(0,W1001-IF($A1043&gt;='1-Input'!$C$12,'1-Input'!$B$12,0))))*(1/(1-'P-Parametri'!$B$6*W1043))),MAX(0,0*W1001-(AA1042-MIN(MAX(AA1042,0),MAX(0,W1001-IF($A1043&gt;='1-Input'!$C$12,'1-Input'!$B$12,0)))))*(1/(1-'P-Parametri'!$B$6*W1043))))</f>
        <v>9119.8989526585101</v>
      </c>
      <c r="Y1043" s="18">
        <f>IF($A1043&gt;'1-Input'!$B$26,AA1042,(AA1042-MAX(0,W1001-IF($A1043&gt;='1-Input'!$C$12,'1-Input'!$B$12,0))+X1043*(1-'P-Parametri'!$B$6*W1043))*(1+'1-Input'!$B$27))</f>
        <v>0</v>
      </c>
      <c r="Z1043" s="18">
        <f>IF($A1043&gt;'1-Input'!$B$26,AB1042,(AB1042-X1043)*(1+'5-Roberta'!$C$4))</f>
        <v>44235.47319989869</v>
      </c>
      <c r="AA1043" s="18">
        <f>IF($A1043&gt;'1-Input'!$B$26,Y1043,Y1043-'P-Parametri'!$B$8*(Z1043+Y1043)+MIN(MAX(Z1043,0),'P-Parametri'!$B$8*(Z1043+Y1043)))</f>
        <v>0</v>
      </c>
      <c r="AB1043" s="18">
        <f>IF($A1043&gt;'1-Input'!$B$26,Z1043,Z1043-MIN(MAX(Z1043,0),'P-Parametri'!$B$8*(Z1043+Y1043)))</f>
        <v>44147.002253498889</v>
      </c>
      <c r="AC1043" s="18">
        <f>IF($A1043&gt;'1-Input'!$B$26,AC1042,AC1042-X1043*(1-W1043))</f>
        <v>9163.6943760273662</v>
      </c>
      <c r="AD1043" s="11">
        <f>IF($A1043&gt;'1-Input'!$B$26,0,IF(AI1042&lt;=0,0,MAX(0,(AI1042-AJ1042)/AI1042)))</f>
        <v>0.7866281397136764</v>
      </c>
      <c r="AE1043" s="18">
        <f>IF($A1043&gt;'1-Input'!$B$26,0,(MAX(0,AD1001-IF($A1043&gt;='1-Input'!$C$12,'1-Input'!$B$12,0))-MIN(MAX(AH1042,0),MAX(0,AD1001-IF($A1043&gt;='1-Input'!$C$12,'1-Input'!$B$12,0))))*(1/(1-'P-Parametri'!$B$6*AD1043))+MIN(MAX(0,AI1042-(MAX(0,AD1001-IF($A1043&gt;='1-Input'!$C$12,'1-Input'!$B$12,0))-MIN(MAX(AH1042,0),MAX(0,AD1001-IF($A1043&gt;='1-Input'!$C$12,'1-Input'!$B$12,0))))*(1/(1-'P-Parametri'!$B$6*AD1043))),MAX(0,0*AD1001-(AH1042-MIN(MAX(AH1042,0),MAX(0,AD1001-IF($A1043&gt;='1-Input'!$C$12,'1-Input'!$B$12,0)))))*(1/(1-'P-Parametri'!$B$6*AD1043))))</f>
        <v>9131.4996208456832</v>
      </c>
      <c r="AF1043" s="18">
        <f>IF($A1043&gt;'1-Input'!$B$26,AH1042,(AH1042-MAX(0,AD1001-IF($A1043&gt;='1-Input'!$C$12,'1-Input'!$B$12,0))+AE1043*(1-'P-Parametri'!$B$6*AD1043))*(1+'1-Input'!$B$27))</f>
        <v>0</v>
      </c>
      <c r="AG1043" s="18">
        <f>IF($A1043&gt;'1-Input'!$B$26,AI1042,(AI1042-AE1043)*(1+'5-Roberta'!$C$4))</f>
        <v>43429.237724159932</v>
      </c>
      <c r="AH1043" s="18">
        <f>IF($A1043&gt;'1-Input'!$B$26,AF1043,AF1043-'P-Parametri'!$B$8*(AG1043+AF1043)+MIN(MAX(AG1043,0),'P-Parametri'!$B$8*(AG1043+AF1043)))</f>
        <v>0</v>
      </c>
      <c r="AI1043" s="18">
        <f>IF($A1043&gt;'1-Input'!$B$26,AG1043,AG1043-MIN(MAX(AG1043,0),'P-Parametri'!$B$8*(AG1043+AF1043)))</f>
        <v>43342.379248711615</v>
      </c>
      <c r="AJ1043" s="18">
        <f>IF($A1043&gt;'1-Input'!$B$26,AJ1042,AJ1042-AE1043*(1-AD1043))</f>
        <v>8996.6769359427071</v>
      </c>
      <c r="AK1043" s="11">
        <f>IF($A1043&gt;'1-Input'!$B$26,0,IF(AP1042&lt;=0,0,MAX(0,(AP1042-AQ1042)/AP1042)))</f>
        <v>0.78662813971367651</v>
      </c>
      <c r="AL1043" s="18">
        <f>IF($A1043&gt;'1-Input'!$B$26,0,(MAX(0,AK1001-IF($A1043&gt;='1-Input'!$C$12,'1-Input'!$B$12,0))-MIN(MAX(AO1042,0),MAX(0,AK1001-IF($A1043&gt;='1-Input'!$C$12,'1-Input'!$B$12,0))))*(1/(1-'P-Parametri'!$B$6*AK1043))+MIN(MAX(0,AP1042-(MAX(0,AK1001-IF($A1043&gt;='1-Input'!$C$12,'1-Input'!$B$12,0))-MIN(MAX(AO1042,0),MAX(0,AK1001-IF($A1043&gt;='1-Input'!$C$12,'1-Input'!$B$12,0))))*(1/(1-'P-Parametri'!$B$6*AK1043))),MAX(0,0*AK1001-(AO1042-MIN(MAX(AO1042,0),MAX(0,AK1001-IF($A1043&gt;='1-Input'!$C$12,'1-Input'!$B$12,0)))))*(1/(1-'P-Parametri'!$B$6*AK1043))))</f>
        <v>9129.6895056909852</v>
      </c>
      <c r="AM1043" s="18">
        <f>IF($A1043&gt;'1-Input'!$B$26,AO1042,(AO1042-MAX(0,AK1001-IF($A1043&gt;='1-Input'!$C$12,'1-Input'!$B$12,0))+AL1043*(1-'P-Parametri'!$B$6*AK1043))*(1+'1-Input'!$B$27))</f>
        <v>-9.0622052084654565E-13</v>
      </c>
      <c r="AN1043" s="18">
        <f>IF($A1043&gt;'1-Input'!$B$26,AP1042,(AP1042-AL1043)*(1+'5-Roberta'!$C$4))</f>
        <v>43555.039016753108</v>
      </c>
      <c r="AO1043" s="18">
        <f>IF($A1043&gt;'1-Input'!$B$26,AM1043,AM1043-'P-Parametri'!$B$8*(AN1043+AM1043)+MIN(MAX(AN1043,0),'P-Parametri'!$B$8*(AN1043+AM1043)))</f>
        <v>-9.0949470177292824E-13</v>
      </c>
      <c r="AP1043" s="18">
        <f>IF($A1043&gt;'1-Input'!$B$26,AN1043,AN1043-MIN(MAX(AN1043,0),'P-Parametri'!$B$8*(AN1043+AM1043)))</f>
        <v>43467.928938719604</v>
      </c>
      <c r="AQ1043" s="18">
        <f>IF($A1043&gt;'1-Input'!$B$26,AQ1042,AQ1042-AL1043*(1-AK1043))</f>
        <v>9022.7375726679747</v>
      </c>
    </row>
    <row r="1044" spans="1:43">
      <c r="A1044" s="10">
        <f>41</f>
        <v>41</v>
      </c>
      <c r="B1044" s="11">
        <f>IF($A1044&gt;'1-Input'!$B$26,0,IF(G1043&lt;=0,0,MAX(0,(G1043-H1043)/G1043)))</f>
        <v>0.79242770950996799</v>
      </c>
      <c r="C1044" s="18">
        <f>IF($A1044&gt;'1-Input'!$B$26,0,(MAX(0,B1001-IF($A1044&gt;='1-Input'!$C$12,'1-Input'!$B$12,0))-MIN(MAX(F1043,0),MAX(0,B1001-IF($A1044&gt;='1-Input'!$C$12,'1-Input'!$B$12,0))))*(1/(1-'P-Parametri'!$B$6*B1044))+MIN(MAX(0,G1043-(MAX(0,B1001-IF($A1044&gt;='1-Input'!$C$12,'1-Input'!$B$12,0))-MIN(MAX(F1043,0),MAX(0,B1001-IF($A1044&gt;='1-Input'!$C$12,'1-Input'!$B$12,0))))*(1/(1-'P-Parametri'!$B$6*B1044))),MAX(0,0*B1001-(F1043-MIN(MAX(F1043,0),MAX(0,B1001-IF($A1044&gt;='1-Input'!$C$12,'1-Input'!$B$12,0)))))*(1/(1-'P-Parametri'!$B$6*B1044))))</f>
        <v>7026.7941839198011</v>
      </c>
      <c r="D1044" s="18">
        <f>IF($A1044&gt;'1-Input'!$B$26,F1043,(F1043-MAX(0,B1001-IF($A1044&gt;='1-Input'!$C$12,'1-Input'!$B$12,0))+C1044*(1-'P-Parametri'!$B$6*B1044))*(1+'1-Input'!$B$27))</f>
        <v>0</v>
      </c>
      <c r="E1044" s="18">
        <f>IF($A1044&gt;'1-Input'!$B$26,G1043,(G1043-C1044)*(1+'5-Roberta'!$C$4))</f>
        <v>188718.59658645303</v>
      </c>
      <c r="F1044" s="18">
        <f>IF($A1044&gt;'1-Input'!$B$26,D1044,D1044-'P-Parametri'!$B$8*(E1044+D1044)+MIN(MAX(E1044,0),'P-Parametri'!$B$8*(E1044+D1044)))</f>
        <v>0</v>
      </c>
      <c r="G1044" s="18">
        <f>IF($A1044&gt;'1-Input'!$B$26,E1044,E1044-MIN(MAX(E1044,0),'P-Parametri'!$B$8*(E1044+D1044)))</f>
        <v>188341.15939328013</v>
      </c>
      <c r="H1044" s="18">
        <f>IF($A1044&gt;'1-Input'!$B$26,H1043,H1043-C1044*(1-B1044))</f>
        <v>38031.797428654732</v>
      </c>
      <c r="I1044" s="11">
        <f>IF($A1044&gt;'1-Input'!$B$26,0,IF(N1043&lt;=0,0,MAX(0,(N1043-O1043)/N1043)))</f>
        <v>0</v>
      </c>
      <c r="J1044" s="18">
        <f>IF($A1044&gt;'1-Input'!$B$26,0,(MAX(0,I1001-IF($A1044&gt;='1-Input'!$C$12,'1-Input'!$B$12,0))-MIN(MAX(M1043,0),MAX(0,I1001-IF($A1044&gt;='1-Input'!$C$12,'1-Input'!$B$12,0))))*(1/(1-'P-Parametri'!$B$6*I1044))+MIN(MAX(0,N1043-(MAX(0,I1001-IF($A1044&gt;='1-Input'!$C$12,'1-Input'!$B$12,0))-MIN(MAX(M1043,0),MAX(0,I1001-IF($A1044&gt;='1-Input'!$C$12,'1-Input'!$B$12,0))))*(1/(1-'P-Parametri'!$B$6*I1044))),MAX(0,0*I1001-(M1043-MIN(MAX(M1043,0),MAX(0,I1001-IF($A1044&gt;='1-Input'!$C$12,'1-Input'!$B$12,0)))))*(1/(1-'P-Parametri'!$B$6*I1044))))</f>
        <v>10846.756992928691</v>
      </c>
      <c r="K1044" s="18">
        <f>IF($A1044&gt;'1-Input'!$B$26,M1043,(M1043-MAX(0,I1001-IF($A1044&gt;='1-Input'!$C$12,'1-Input'!$B$12,0))+J1044*(1-'P-Parametri'!$B$6*I1044))*(1+'1-Input'!$B$27))</f>
        <v>-1.8124410416930913E-12</v>
      </c>
      <c r="L1044" s="18">
        <f>IF($A1044&gt;'1-Input'!$B$26,N1043,(N1043-J1044)*(1+'5-Roberta'!$C$4))</f>
        <v>-238510.8620217634</v>
      </c>
      <c r="M1044" s="18">
        <f>IF($A1044&gt;'1-Input'!$B$26,K1044,K1044-'P-Parametri'!$B$8*(L1044+K1044)+MIN(MAX(L1044,0),'P-Parametri'!$B$8*(L1044+K1044)))</f>
        <v>-1.8189894035458565E-12</v>
      </c>
      <c r="N1044" s="18">
        <f>IF($A1044&gt;'1-Input'!$B$26,L1044,L1044-MIN(MAX(L1044,0),'P-Parametri'!$B$8*(L1044+K1044)))</f>
        <v>-238033.84029771987</v>
      </c>
      <c r="O1044" s="18">
        <f>IF($A1044&gt;'1-Input'!$B$26,O1043,O1043-J1044*(1-I1044))</f>
        <v>-176961.85882363483</v>
      </c>
      <c r="P1044" s="11">
        <f>IF($A1044&gt;'1-Input'!$B$26,0,IF(U1043&lt;=0,0,MAX(0,(U1043-V1043)/U1043)))</f>
        <v>0.7924277095099681</v>
      </c>
      <c r="Q1044" s="18">
        <f>IF($A1044&gt;'1-Input'!$B$26,0,(MAX(0,P1001-IF($A1044&gt;='1-Input'!$C$12,'1-Input'!$B$12,0))-MIN(MAX(T1043,0),MAX(0,P1001-IF($A1044&gt;='1-Input'!$C$12,'1-Input'!$B$12,0))))*(1/(1-'P-Parametri'!$B$6*P1044))+MIN(MAX(0,U1043-(MAX(0,P1001-IF($A1044&gt;='1-Input'!$C$12,'1-Input'!$B$12,0))-MIN(MAX(T1043,0),MAX(0,P1001-IF($A1044&gt;='1-Input'!$C$12,'1-Input'!$B$12,0))))*(1/(1-'P-Parametri'!$B$6*P1044))),MAX(0,0*P1001-(T1043-MIN(MAX(T1043,0),MAX(0,P1001-IF($A1044&gt;='1-Input'!$C$12,'1-Input'!$B$12,0)))))*(1/(1-'P-Parametri'!$B$6*P1044))))</f>
        <v>9452.9870746254128</v>
      </c>
      <c r="R1044" s="18">
        <f>IF($A1044&gt;'1-Input'!$B$26,T1043,(T1043-MAX(0,P1001-IF($A1044&gt;='1-Input'!$C$12,'1-Input'!$B$12,0))+Q1044*(1-'P-Parametri'!$B$6*P1044))*(1+'1-Input'!$B$27))</f>
        <v>0</v>
      </c>
      <c r="S1044" s="18">
        <f>IF($A1044&gt;'1-Input'!$B$26,U1043,(U1043-Q1044)*(1+'5-Roberta'!$C$4))</f>
        <v>13218.874036840842</v>
      </c>
      <c r="T1044" s="18">
        <f>IF($A1044&gt;'1-Input'!$B$26,R1044,R1044-'P-Parametri'!$B$8*(S1044+R1044)+MIN(MAX(S1044,0),'P-Parametri'!$B$8*(S1044+R1044)))</f>
        <v>0</v>
      </c>
      <c r="U1044" s="18">
        <f>IF($A1044&gt;'1-Input'!$B$26,S1044,S1044-MIN(MAX(S1044,0),'P-Parametri'!$B$8*(S1044+R1044)))</f>
        <v>13192.43628876716</v>
      </c>
      <c r="V1044" s="18">
        <f>IF($A1044&gt;'1-Input'!$B$26,V1043,V1043-Q1044*(1-P1044))</f>
        <v>2663.9533607051153</v>
      </c>
      <c r="W1044" s="11">
        <f>IF($A1044&gt;'1-Input'!$B$26,0,IF(AB1043&lt;=0,0,MAX(0,(AB1043-AC1043)/AB1043)))</f>
        <v>0.7924277095099681</v>
      </c>
      <c r="X1044" s="18">
        <f>IF($A1044&gt;'1-Input'!$B$26,0,(MAX(0,W1001-IF($A1044&gt;='1-Input'!$C$12,'1-Input'!$B$12,0))-MIN(MAX(AA1043,0),MAX(0,W1001-IF($A1044&gt;='1-Input'!$C$12,'1-Input'!$B$12,0))))*(1/(1-'P-Parametri'!$B$6*W1044))+MIN(MAX(0,AB1043-(MAX(0,W1001-IF($A1044&gt;='1-Input'!$C$12,'1-Input'!$B$12,0))-MIN(MAX(AA1043,0),MAX(0,W1001-IF($A1044&gt;='1-Input'!$C$12,'1-Input'!$B$12,0))))*(1/(1-'P-Parametri'!$B$6*W1044))),MAX(0,0*W1001-(AA1043-MIN(MAX(AA1043,0),MAX(0,W1001-IF($A1044&gt;='1-Input'!$C$12,'1-Input'!$B$12,0)))))*(1/(1-'P-Parametri'!$B$6*W1044))))</f>
        <v>9137.2192650062279</v>
      </c>
      <c r="Y1044" s="18">
        <f>IF($A1044&gt;'1-Input'!$B$26,AA1043,(AA1043-MAX(0,W1001-IF($A1044&gt;='1-Input'!$C$12,'1-Input'!$B$12,0))+X1044*(1-'P-Parametri'!$B$6*W1044))*(1+'1-Input'!$B$27))</f>
        <v>-9.0622052084654565E-13</v>
      </c>
      <c r="Z1044" s="18">
        <f>IF($A1044&gt;'1-Input'!$B$26,AB1043,(AB1043-X1044)*(1+'5-Roberta'!$C$4))</f>
        <v>36060.076478147443</v>
      </c>
      <c r="AA1044" s="18">
        <f>IF($A1044&gt;'1-Input'!$B$26,Y1044,Y1044-'P-Parametri'!$B$8*(Z1044+Y1044)+MIN(MAX(Z1044,0),'P-Parametri'!$B$8*(Z1044+Y1044)))</f>
        <v>-9.0949470177292824E-13</v>
      </c>
      <c r="AB1044" s="18">
        <f>IF($A1044&gt;'1-Input'!$B$26,Z1044,Z1044-MIN(MAX(Z1044,0),'P-Parametri'!$B$8*(Z1044+Y1044)))</f>
        <v>35987.956325191146</v>
      </c>
      <c r="AC1044" s="18">
        <f>IF($A1044&gt;'1-Input'!$B$26,AC1043,AC1043-X1044*(1-W1044))</f>
        <v>7267.0608444803775</v>
      </c>
      <c r="AD1044" s="11">
        <f>IF($A1044&gt;'1-Input'!$B$26,0,IF(AI1043&lt;=0,0,MAX(0,(AI1043-AJ1043)/AI1043)))</f>
        <v>0.79242770950996788</v>
      </c>
      <c r="AE1044" s="18">
        <f>IF($A1044&gt;'1-Input'!$B$26,0,(MAX(0,AD1001-IF($A1044&gt;='1-Input'!$C$12,'1-Input'!$B$12,0))-MIN(MAX(AH1043,0),MAX(0,AD1001-IF($A1044&gt;='1-Input'!$C$12,'1-Input'!$B$12,0))))*(1/(1-'P-Parametri'!$B$6*AD1044))+MIN(MAX(0,AI1043-(MAX(0,AD1001-IF($A1044&gt;='1-Input'!$C$12,'1-Input'!$B$12,0))-MIN(MAX(AH1043,0),MAX(0,AD1001-IF($A1044&gt;='1-Input'!$C$12,'1-Input'!$B$12,0))))*(1/(1-'P-Parametri'!$B$6*AD1044))),MAX(0,0*AD1001-(AH1043-MIN(MAX(AH1043,0),MAX(0,AD1001-IF($A1044&gt;='1-Input'!$C$12,'1-Input'!$B$12,0)))))*(1/(1-'P-Parametri'!$B$6*AD1044))))</f>
        <v>9148.841964928346</v>
      </c>
      <c r="AF1044" s="18">
        <f>IF($A1044&gt;'1-Input'!$B$26,AH1043,(AH1043-MAX(0,AD1001-IF($A1044&gt;='1-Input'!$C$12,'1-Input'!$B$12,0))+AE1044*(1-'P-Parametri'!$B$6*AD1044))*(1+'1-Input'!$B$27))</f>
        <v>0</v>
      </c>
      <c r="AG1044" s="18">
        <f>IF($A1044&gt;'1-Input'!$B$26,AI1043,(AI1043-AE1044)*(1+'5-Roberta'!$C$4))</f>
        <v>35219.34340229677</v>
      </c>
      <c r="AH1044" s="18">
        <f>IF($A1044&gt;'1-Input'!$B$26,AF1044,AF1044-'P-Parametri'!$B$8*(AG1044+AF1044)+MIN(MAX(AG1044,0),'P-Parametri'!$B$8*(AG1044+AF1044)))</f>
        <v>0</v>
      </c>
      <c r="AI1044" s="18">
        <f>IF($A1044&gt;'1-Input'!$B$26,AG1044,AG1044-MIN(MAX(AG1044,0),'P-Parametri'!$B$8*(AG1044+AF1044)))</f>
        <v>35148.904715492179</v>
      </c>
      <c r="AJ1044" s="18">
        <f>IF($A1044&gt;'1-Input'!$B$26,AJ1043,AJ1043-AE1044*(1-AD1044))</f>
        <v>7097.6308539512047</v>
      </c>
      <c r="AK1044" s="11">
        <f>IF($A1044&gt;'1-Input'!$B$26,0,IF(AP1043&lt;=0,0,MAX(0,(AP1043-AQ1043)/AP1043)))</f>
        <v>0.79242770950996799</v>
      </c>
      <c r="AL1044" s="18">
        <f>IF($A1044&gt;'1-Input'!$B$26,0,(MAX(0,AK1001-IF($A1044&gt;='1-Input'!$C$12,'1-Input'!$B$12,0))-MIN(MAX(AO1043,0),MAX(0,AK1001-IF($A1044&gt;='1-Input'!$C$12,'1-Input'!$B$12,0))))*(1/(1-'P-Parametri'!$B$6*AK1044))+MIN(MAX(0,AP1043-(MAX(0,AK1001-IF($A1044&gt;='1-Input'!$C$12,'1-Input'!$B$12,0))-MIN(MAX(AO1043,0),MAX(0,AK1001-IF($A1044&gt;='1-Input'!$C$12,'1-Input'!$B$12,0))))*(1/(1-'P-Parametri'!$B$6*AK1044))),MAX(0,0*AK1001-(AO1043-MIN(MAX(AO1043,0),MAX(0,AK1001-IF($A1044&gt;='1-Input'!$C$12,'1-Input'!$B$12,0)))))*(1/(1-'P-Parametri'!$B$6*AK1044))))</f>
        <v>9147.0284120425968</v>
      </c>
      <c r="AM1044" s="18">
        <f>IF($A1044&gt;'1-Input'!$B$26,AO1043,(AO1043-MAX(0,AK1001-IF($A1044&gt;='1-Input'!$C$12,'1-Input'!$B$12,0))+AL1044*(1-'P-Parametri'!$B$6*AK1044))*(1+'1-Input'!$B$27))</f>
        <v>9.0622052084654565E-13</v>
      </c>
      <c r="AN1044" s="18">
        <f>IF($A1044&gt;'1-Input'!$B$26,AP1043,(AP1043-AL1044)*(1+'5-Roberta'!$C$4))</f>
        <v>35350.527542477321</v>
      </c>
      <c r="AO1044" s="18">
        <f>IF($A1044&gt;'1-Input'!$B$26,AM1044,AM1044-'P-Parametri'!$B$8*(AN1044+AM1044)+MIN(MAX(AN1044,0),'P-Parametri'!$B$8*(AN1044+AM1044)))</f>
        <v>9.0949470177292824E-13</v>
      </c>
      <c r="AP1044" s="18">
        <f>IF($A1044&gt;'1-Input'!$B$26,AN1044,AN1044-MIN(MAX(AN1044,0),'P-Parametri'!$B$8*(AN1044+AM1044)))</f>
        <v>35279.826487392369</v>
      </c>
      <c r="AQ1044" s="18">
        <f>IF($A1044&gt;'1-Input'!$B$26,AQ1043,AQ1043-AL1044*(1-AK1044))</f>
        <v>7124.0679340028928</v>
      </c>
    </row>
    <row r="1045" spans="1:43">
      <c r="A1045" s="10">
        <f>42</f>
        <v>42</v>
      </c>
      <c r="B1045" s="11">
        <f>IF($A1045&gt;'1-Input'!$B$26,0,IF(G1044&lt;=0,0,MAX(0,(G1044-H1044)/G1044)))</f>
        <v>0.79806964366594169</v>
      </c>
      <c r="C1045" s="18">
        <f>IF($A1045&gt;'1-Input'!$B$26,0,(MAX(0,B1001-IF($A1045&gt;='1-Input'!$C$12,'1-Input'!$B$12,0))-MIN(MAX(F1044,0),MAX(0,B1001-IF($A1045&gt;='1-Input'!$C$12,'1-Input'!$B$12,0))))*(1/(1-'P-Parametri'!$B$6*B1045))+MIN(MAX(0,G1044-(MAX(0,B1001-IF($A1045&gt;='1-Input'!$C$12,'1-Input'!$B$12,0))-MIN(MAX(F1044,0),MAX(0,B1001-IF($A1045&gt;='1-Input'!$C$12,'1-Input'!$B$12,0))))*(1/(1-'P-Parametri'!$B$6*B1045))),MAX(0,0*B1001-(F1044-MIN(MAX(F1044,0),MAX(0,B1001-IF($A1045&gt;='1-Input'!$C$12,'1-Input'!$B$12,0)))))*(1/(1-'P-Parametri'!$B$6*B1045))))</f>
        <v>7039.8006192672547</v>
      </c>
      <c r="D1045" s="18">
        <f>IF($A1045&gt;'1-Input'!$B$26,F1044,(F1044-MAX(0,B1001-IF($A1045&gt;='1-Input'!$C$12,'1-Input'!$B$12,0))+C1045*(1-'P-Parametri'!$B$6*B1045))*(1+'1-Input'!$B$27))</f>
        <v>0</v>
      </c>
      <c r="E1045" s="18">
        <f>IF($A1045&gt;'1-Input'!$B$26,G1044,(G1044-C1045)*(1+'5-Roberta'!$C$4))</f>
        <v>186740.39953723329</v>
      </c>
      <c r="F1045" s="18">
        <f>IF($A1045&gt;'1-Input'!$B$26,D1045,D1045-'P-Parametri'!$B$8*(E1045+D1045)+MIN(MAX(E1045,0),'P-Parametri'!$B$8*(E1045+D1045)))</f>
        <v>0</v>
      </c>
      <c r="G1045" s="18">
        <f>IF($A1045&gt;'1-Input'!$B$26,E1045,E1045-MIN(MAX(E1045,0),'P-Parametri'!$B$8*(E1045+D1045)))</f>
        <v>186366.91873815883</v>
      </c>
      <c r="H1045" s="18">
        <f>IF($A1045&gt;'1-Input'!$B$26,H1044,H1044-C1045*(1-B1045))</f>
        <v>36610.247981085369</v>
      </c>
      <c r="I1045" s="11">
        <f>IF($A1045&gt;'1-Input'!$B$26,0,IF(N1044&lt;=0,0,MAX(0,(N1044-O1044)/N1044)))</f>
        <v>0</v>
      </c>
      <c r="J1045" s="18">
        <f>IF($A1045&gt;'1-Input'!$B$26,0,(MAX(0,I1001-IF($A1045&gt;='1-Input'!$C$12,'1-Input'!$B$12,0))-MIN(MAX(M1044,0),MAX(0,I1001-IF($A1045&gt;='1-Input'!$C$12,'1-Input'!$B$12,0))))*(1/(1-'P-Parametri'!$B$6*I1045))+MIN(MAX(0,N1044-(MAX(0,I1001-IF($A1045&gt;='1-Input'!$C$12,'1-Input'!$B$12,0))-MIN(MAX(M1044,0),MAX(0,I1001-IF($A1045&gt;='1-Input'!$C$12,'1-Input'!$B$12,0))))*(1/(1-'P-Parametri'!$B$6*I1045))),MAX(0,0*I1001-(M1044-MIN(MAX(M1044,0),MAX(0,I1001-IF($A1045&gt;='1-Input'!$C$12,'1-Input'!$B$12,0)))))*(1/(1-'P-Parametri'!$B$6*I1045))))</f>
        <v>10846.756992928691</v>
      </c>
      <c r="K1045" s="18">
        <f>IF($A1045&gt;'1-Input'!$B$26,M1044,(M1044-MAX(0,I1001-IF($A1045&gt;='1-Input'!$C$12,'1-Input'!$B$12,0))+J1045*(1-'P-Parametri'!$B$6*I1045))*(1+'1-Input'!$B$27))</f>
        <v>-1.8124410416930913E-12</v>
      </c>
      <c r="L1045" s="18">
        <f>IF($A1045&gt;'1-Input'!$B$26,N1044,(N1044-J1045)*(1+'5-Roberta'!$C$4))</f>
        <v>-256347.01520936802</v>
      </c>
      <c r="M1045" s="18">
        <f>IF($A1045&gt;'1-Input'!$B$26,K1045,K1045-'P-Parametri'!$B$8*(L1045+K1045)+MIN(MAX(L1045,0),'P-Parametri'!$B$8*(L1045+K1045)))</f>
        <v>-1.8189894035458565E-12</v>
      </c>
      <c r="N1045" s="18">
        <f>IF($A1045&gt;'1-Input'!$B$26,L1045,L1045-MIN(MAX(L1045,0),'P-Parametri'!$B$8*(L1045+K1045)))</f>
        <v>-255834.32117894929</v>
      </c>
      <c r="O1045" s="18">
        <f>IF($A1045&gt;'1-Input'!$B$26,O1044,O1044-J1045*(1-I1045))</f>
        <v>-187808.61581656351</v>
      </c>
      <c r="P1045" s="11">
        <f>IF($A1045&gt;'1-Input'!$B$26,0,IF(U1044&lt;=0,0,MAX(0,(U1044-V1044)/U1044)))</f>
        <v>0.79806964366594157</v>
      </c>
      <c r="Q1045" s="18">
        <f>IF($A1045&gt;'1-Input'!$B$26,0,(MAX(0,P1001-IF($A1045&gt;='1-Input'!$C$12,'1-Input'!$B$12,0))-MIN(MAX(T1044,0),MAX(0,P1001-IF($A1045&gt;='1-Input'!$C$12,'1-Input'!$B$12,0))))*(1/(1-'P-Parametri'!$B$6*P1045))+MIN(MAX(0,U1044-(MAX(0,P1001-IF($A1045&gt;='1-Input'!$C$12,'1-Input'!$B$12,0))-MIN(MAX(T1044,0),MAX(0,P1001-IF($A1045&gt;='1-Input'!$C$12,'1-Input'!$B$12,0))))*(1/(1-'P-Parametri'!$B$6*P1045))),MAX(0,0*P1001-(T1044-MIN(MAX(T1044,0),MAX(0,P1001-IF($A1045&gt;='1-Input'!$C$12,'1-Input'!$B$12,0)))))*(1/(1-'P-Parametri'!$B$6*P1045))))</f>
        <v>9470.4843375319851</v>
      </c>
      <c r="R1045" s="18">
        <f>IF($A1045&gt;'1-Input'!$B$26,T1044,(T1044-MAX(0,P1001-IF($A1045&gt;='1-Input'!$C$12,'1-Input'!$B$12,0))+Q1045*(1-'P-Parametri'!$B$6*P1045))*(1+'1-Input'!$B$27))</f>
        <v>0</v>
      </c>
      <c r="S1045" s="18">
        <f>IF($A1045&gt;'1-Input'!$B$26,U1044,(U1044-Q1045)*(1+'5-Roberta'!$C$4))</f>
        <v>3833.6105097722298</v>
      </c>
      <c r="T1045" s="18">
        <f>IF($A1045&gt;'1-Input'!$B$26,R1045,R1045-'P-Parametri'!$B$8*(S1045+R1045)+MIN(MAX(S1045,0),'P-Parametri'!$B$8*(S1045+R1045)))</f>
        <v>0</v>
      </c>
      <c r="U1045" s="18">
        <f>IF($A1045&gt;'1-Input'!$B$26,S1045,S1045-MIN(MAX(S1045,0),'P-Parametri'!$B$8*(S1045+R1045)))</f>
        <v>3825.9432887526855</v>
      </c>
      <c r="V1045" s="18">
        <f>IF($A1045&gt;'1-Input'!$B$26,V1044,V1044-Q1045*(1-P1045))</f>
        <v>751.57508377116233</v>
      </c>
      <c r="W1045" s="11">
        <f>IF($A1045&gt;'1-Input'!$B$26,0,IF(AB1044&lt;=0,0,MAX(0,(AB1044-AC1044)/AB1044)))</f>
        <v>0.79806964366594169</v>
      </c>
      <c r="X1045" s="18">
        <f>IF($A1045&gt;'1-Input'!$B$26,0,(MAX(0,W1001-IF($A1045&gt;='1-Input'!$C$12,'1-Input'!$B$12,0))-MIN(MAX(AA1044,0),MAX(0,W1001-IF($A1045&gt;='1-Input'!$C$12,'1-Input'!$B$12,0))))*(1/(1-'P-Parametri'!$B$6*W1045))+MIN(MAX(0,AB1044-(MAX(0,W1001-IF($A1045&gt;='1-Input'!$C$12,'1-Input'!$B$12,0))-MIN(MAX(AA1044,0),MAX(0,W1001-IF($A1045&gt;='1-Input'!$C$12,'1-Input'!$B$12,0))))*(1/(1-'P-Parametri'!$B$6*W1045))),MAX(0,0*W1001-(AA1044-MIN(MAX(AA1044,0),MAX(0,W1001-IF($A1045&gt;='1-Input'!$C$12,'1-Input'!$B$12,0)))))*(1/(1-'P-Parametri'!$B$6*W1045))))</f>
        <v>9154.1320489180998</v>
      </c>
      <c r="Y1045" s="18">
        <f>IF($A1045&gt;'1-Input'!$B$26,AA1044,(AA1044-MAX(0,W1001-IF($A1045&gt;='1-Input'!$C$12,'1-Input'!$B$12,0))+X1045*(1-'P-Parametri'!$B$6*W1045))*(1+'1-Input'!$B$27))</f>
        <v>9.0622052084654565E-13</v>
      </c>
      <c r="Z1045" s="18">
        <f>IF($A1045&gt;'1-Input'!$B$26,AB1044,(AB1044-X1045)*(1+'5-Roberta'!$C$4))</f>
        <v>27638.839004561236</v>
      </c>
      <c r="AA1045" s="18">
        <f>IF($A1045&gt;'1-Input'!$B$26,Y1045,Y1045-'P-Parametri'!$B$8*(Z1045+Y1045)+MIN(MAX(Z1045,0),'P-Parametri'!$B$8*(Z1045+Y1045)))</f>
        <v>9.0949470177292824E-13</v>
      </c>
      <c r="AB1045" s="18">
        <f>IF($A1045&gt;'1-Input'!$B$26,Z1045,Z1045-MIN(MAX(Z1045,0),'P-Parametri'!$B$8*(Z1045+Y1045)))</f>
        <v>27583.561326552113</v>
      </c>
      <c r="AC1045" s="18">
        <f>IF($A1045&gt;'1-Input'!$B$26,AC1044,AC1044-X1045*(1-W1045))</f>
        <v>5418.5636979133224</v>
      </c>
      <c r="AD1045" s="11">
        <f>IF($A1045&gt;'1-Input'!$B$26,0,IF(AI1044&lt;=0,0,MAX(0,(AI1044-AJ1044)/AI1044)))</f>
        <v>0.79806964366594157</v>
      </c>
      <c r="AE1045" s="18">
        <f>IF($A1045&gt;'1-Input'!$B$26,0,(MAX(0,AD1001-IF($A1045&gt;='1-Input'!$C$12,'1-Input'!$B$12,0))-MIN(MAX(AH1044,0),MAX(0,AD1001-IF($A1045&gt;='1-Input'!$C$12,'1-Input'!$B$12,0))))*(1/(1-'P-Parametri'!$B$6*AD1045))+MIN(MAX(0,AI1044-(MAX(0,AD1001-IF($A1045&gt;='1-Input'!$C$12,'1-Input'!$B$12,0))-MIN(MAX(AH1044,0),MAX(0,AD1001-IF($A1045&gt;='1-Input'!$C$12,'1-Input'!$B$12,0))))*(1/(1-'P-Parametri'!$B$6*AD1045))),MAX(0,0*AD1001-(AH1044-MIN(MAX(AH1044,0),MAX(0,AD1001-IF($A1045&gt;='1-Input'!$C$12,'1-Input'!$B$12,0)))))*(1/(1-'P-Parametri'!$B$6*AD1045))))</f>
        <v>9165.7762621919865</v>
      </c>
      <c r="AF1045" s="18">
        <f>IF($A1045&gt;'1-Input'!$B$26,AH1044,(AH1044-MAX(0,AD1001-IF($A1045&gt;='1-Input'!$C$12,'1-Input'!$B$12,0))+AE1045*(1-'P-Parametri'!$B$6*AD1045))*(1+'1-Input'!$B$27))</f>
        <v>9.0622052084654565E-13</v>
      </c>
      <c r="AG1045" s="18">
        <f>IF($A1045&gt;'1-Input'!$B$26,AI1044,(AI1044-AE1045)*(1+'5-Roberta'!$C$4))</f>
        <v>26762.6223068992</v>
      </c>
      <c r="AH1045" s="18">
        <f>IF($A1045&gt;'1-Input'!$B$26,AF1045,AF1045-'P-Parametri'!$B$8*(AG1045+AF1045)+MIN(MAX(AG1045,0),'P-Parametri'!$B$8*(AG1045+AF1045)))</f>
        <v>9.0949470177292824E-13</v>
      </c>
      <c r="AI1045" s="18">
        <f>IF($A1045&gt;'1-Input'!$B$26,AG1045,AG1045-MIN(MAX(AG1045,0),'P-Parametri'!$B$8*(AG1045+AF1045)))</f>
        <v>26709.0970622854</v>
      </c>
      <c r="AJ1045" s="18">
        <f>IF($A1045&gt;'1-Input'!$B$26,AJ1044,AJ1044-AE1045*(1-AD1045))</f>
        <v>5246.7823872485224</v>
      </c>
      <c r="AK1045" s="11">
        <f>IF($A1045&gt;'1-Input'!$B$26,0,IF(AP1044&lt;=0,0,MAX(0,(AP1044-AQ1044)/AP1044)))</f>
        <v>0.79806964366594157</v>
      </c>
      <c r="AL1045" s="18">
        <f>IF($A1045&gt;'1-Input'!$B$26,0,(MAX(0,AK1001-IF($A1045&gt;='1-Input'!$C$12,'1-Input'!$B$12,0))-MIN(MAX(AO1044,0),MAX(0,AK1001-IF($A1045&gt;='1-Input'!$C$12,'1-Input'!$B$12,0))))*(1/(1-'P-Parametri'!$B$6*AK1045))+MIN(MAX(0,AP1044-(MAX(0,AK1001-IF($A1045&gt;='1-Input'!$C$12,'1-Input'!$B$12,0))-MIN(MAX(AO1044,0),MAX(0,AK1001-IF($A1045&gt;='1-Input'!$C$12,'1-Input'!$B$12,0))))*(1/(1-'P-Parametri'!$B$6*AK1045))),MAX(0,0*AK1001-(AO1044-MIN(MAX(AO1044,0),MAX(0,AK1001-IF($A1045&gt;='1-Input'!$C$12,'1-Input'!$B$12,0)))))*(1/(1-'P-Parametri'!$B$6*AK1045))))</f>
        <v>9163.9593524613138</v>
      </c>
      <c r="AM1045" s="18">
        <f>IF($A1045&gt;'1-Input'!$B$26,AO1044,(AO1044-MAX(0,AK1001-IF($A1045&gt;='1-Input'!$C$12,'1-Input'!$B$12,0))+AL1045*(1-'P-Parametri'!$B$6*AK1045))*(1+'1-Input'!$B$27))</f>
        <v>9.0622052084654565E-13</v>
      </c>
      <c r="AN1045" s="18">
        <f>IF($A1045&gt;'1-Input'!$B$26,AP1044,(AP1044-AL1045)*(1+'5-Roberta'!$C$4))</f>
        <v>26899.343148978987</v>
      </c>
      <c r="AO1045" s="18">
        <f>IF($A1045&gt;'1-Input'!$B$26,AM1045,AM1045-'P-Parametri'!$B$8*(AN1045+AM1045)+MIN(MAX(AN1045,0),'P-Parametri'!$B$8*(AN1045+AM1045)))</f>
        <v>9.0949470177292824E-13</v>
      </c>
      <c r="AP1045" s="18">
        <f>IF($A1045&gt;'1-Input'!$B$26,AN1045,AN1045-MIN(MAX(AN1045,0),'P-Parametri'!$B$8*(AN1045+AM1045)))</f>
        <v>26845.544462681028</v>
      </c>
      <c r="AQ1045" s="18">
        <f>IF($A1045&gt;'1-Input'!$B$26,AQ1044,AQ1044-AL1045*(1-AK1045))</f>
        <v>5273.5863565295522</v>
      </c>
    </row>
    <row r="1046" spans="1:43">
      <c r="A1046" s="10">
        <f>43</f>
        <v>43</v>
      </c>
      <c r="B1046" s="11">
        <f>IF($A1046&gt;'1-Input'!$B$26,0,IF(G1045&lt;=0,0,MAX(0,(G1045-H1045)/G1045)))</f>
        <v>0.80355822680890099</v>
      </c>
      <c r="C1046" s="18">
        <f>IF($A1046&gt;'1-Input'!$B$26,0,(MAX(0,B1001-IF($A1046&gt;='1-Input'!$C$12,'1-Input'!$B$12,0))-MIN(MAX(F1045,0),MAX(0,B1001-IF($A1046&gt;='1-Input'!$C$12,'1-Input'!$B$12,0))))*(1/(1-'P-Parametri'!$B$6*B1046))+MIN(MAX(0,G1045-(MAX(0,B1001-IF($A1046&gt;='1-Input'!$C$12,'1-Input'!$B$12,0))-MIN(MAX(F1045,0),MAX(0,B1001-IF($A1046&gt;='1-Input'!$C$12,'1-Input'!$B$12,0))))*(1/(1-'P-Parametri'!$B$6*B1046))),MAX(0,0*B1001-(F1045-MIN(MAX(F1045,0),MAX(0,B1001-IF($A1046&gt;='1-Input'!$C$12,'1-Input'!$B$12,0)))))*(1/(1-'P-Parametri'!$B$6*B1046))))</f>
        <v>7052.4998195037379</v>
      </c>
      <c r="D1046" s="18">
        <f>IF($A1046&gt;'1-Input'!$B$26,F1045,(F1045-MAX(0,B1001-IF($A1046&gt;='1-Input'!$C$12,'1-Input'!$B$12,0))+C1046*(1-'P-Parametri'!$B$6*B1046))*(1+'1-Input'!$B$27))</f>
        <v>0</v>
      </c>
      <c r="E1046" s="18">
        <f>IF($A1046&gt;'1-Input'!$B$26,G1045,(G1045-C1046)*(1+'5-Roberta'!$C$4))</f>
        <v>184693.85148621473</v>
      </c>
      <c r="F1046" s="18">
        <f>IF($A1046&gt;'1-Input'!$B$26,D1046,D1046-'P-Parametri'!$B$8*(E1046+D1046)+MIN(MAX(E1046,0),'P-Parametri'!$B$8*(E1046+D1046)))</f>
        <v>0</v>
      </c>
      <c r="G1046" s="18">
        <f>IF($A1046&gt;'1-Input'!$B$26,E1046,E1046-MIN(MAX(E1046,0),'P-Parametri'!$B$8*(E1046+D1046)))</f>
        <v>184324.4637832423</v>
      </c>
      <c r="H1046" s="18">
        <f>IF($A1046&gt;'1-Input'!$B$26,H1045,H1045-C1046*(1-B1046))</f>
        <v>35224.842411112149</v>
      </c>
      <c r="I1046" s="11">
        <f>IF($A1046&gt;'1-Input'!$B$26,0,IF(N1045&lt;=0,0,MAX(0,(N1045-O1045)/N1045)))</f>
        <v>0</v>
      </c>
      <c r="J1046" s="18">
        <f>IF($A1046&gt;'1-Input'!$B$26,0,(MAX(0,I1001-IF($A1046&gt;='1-Input'!$C$12,'1-Input'!$B$12,0))-MIN(MAX(M1045,0),MAX(0,I1001-IF($A1046&gt;='1-Input'!$C$12,'1-Input'!$B$12,0))))*(1/(1-'P-Parametri'!$B$6*I1046))+MIN(MAX(0,N1045-(MAX(0,I1001-IF($A1046&gt;='1-Input'!$C$12,'1-Input'!$B$12,0))-MIN(MAX(M1045,0),MAX(0,I1001-IF($A1046&gt;='1-Input'!$C$12,'1-Input'!$B$12,0))))*(1/(1-'P-Parametri'!$B$6*I1046))),MAX(0,0*I1001-(M1045-MIN(MAX(M1045,0),MAX(0,I1001-IF($A1046&gt;='1-Input'!$C$12,'1-Input'!$B$12,0)))))*(1/(1-'P-Parametri'!$B$6*I1046))))</f>
        <v>10846.756992928691</v>
      </c>
      <c r="K1046" s="18">
        <f>IF($A1046&gt;'1-Input'!$B$26,M1045,(M1045-MAX(0,I1001-IF($A1046&gt;='1-Input'!$C$12,'1-Input'!$B$12,0))+J1046*(1-'P-Parametri'!$B$6*I1046))*(1+'1-Input'!$B$27))</f>
        <v>-1.8124410416930913E-12</v>
      </c>
      <c r="L1046" s="18">
        <f>IF($A1046&gt;'1-Input'!$B$26,N1045,(N1045-J1046)*(1+'5-Roberta'!$C$4))</f>
        <v>-274681.51051703433</v>
      </c>
      <c r="M1046" s="18">
        <f>IF($A1046&gt;'1-Input'!$B$26,K1046,K1046-'P-Parametri'!$B$8*(L1046+K1046)+MIN(MAX(L1046,0),'P-Parametri'!$B$8*(L1046+K1046)))</f>
        <v>-1.8189894035458565E-12</v>
      </c>
      <c r="N1046" s="18">
        <f>IF($A1046&gt;'1-Input'!$B$26,L1046,L1046-MIN(MAX(L1046,0),'P-Parametri'!$B$8*(L1046+K1046)))</f>
        <v>-274132.14749600028</v>
      </c>
      <c r="O1046" s="18">
        <f>IF($A1046&gt;'1-Input'!$B$26,O1045,O1045-J1046*(1-I1046))</f>
        <v>-198655.3728094922</v>
      </c>
      <c r="P1046" s="11">
        <f>IF($A1046&gt;'1-Input'!$B$26,0,IF(U1045&lt;=0,0,MAX(0,(U1045-V1045)/U1045)))</f>
        <v>0.8035582268089011</v>
      </c>
      <c r="Q1046" s="18">
        <f>IF($A1046&gt;'1-Input'!$B$26,0,(MAX(0,P1001-IF($A1046&gt;='1-Input'!$C$12,'1-Input'!$B$12,0))-MIN(MAX(T1045,0),MAX(0,P1001-IF($A1046&gt;='1-Input'!$C$12,'1-Input'!$B$12,0))))*(1/(1-'P-Parametri'!$B$6*P1046))+MIN(MAX(0,U1045-(MAX(0,P1001-IF($A1046&gt;='1-Input'!$C$12,'1-Input'!$B$12,0))-MIN(MAX(T1045,0),MAX(0,P1001-IF($A1046&gt;='1-Input'!$C$12,'1-Input'!$B$12,0))))*(1/(1-'P-Parametri'!$B$6*P1046))),MAX(0,0*P1001-(T1045-MIN(MAX(T1045,0),MAX(0,P1001-IF($A1046&gt;='1-Input'!$C$12,'1-Input'!$B$12,0)))))*(1/(1-'P-Parametri'!$B$6*P1046))))</f>
        <v>9487.5682840019508</v>
      </c>
      <c r="R1046" s="18">
        <f>IF($A1046&gt;'1-Input'!$B$26,T1045,(T1045-MAX(0,P1001-IF($A1046&gt;='1-Input'!$C$12,'1-Input'!$B$12,0))+Q1046*(1-'P-Parametri'!$B$6*P1046))*(1+'1-Input'!$B$27))</f>
        <v>0</v>
      </c>
      <c r="S1046" s="18">
        <f>IF($A1046&gt;'1-Input'!$B$26,U1045,(U1045-Q1046)*(1+'5-Roberta'!$C$4))</f>
        <v>-5831.4737451067431</v>
      </c>
      <c r="T1046" s="18">
        <f>IF($A1046&gt;'1-Input'!$B$26,R1046,R1046-'P-Parametri'!$B$8*(S1046+R1046)+MIN(MAX(S1046,0),'P-Parametri'!$B$8*(S1046+R1046)))</f>
        <v>0</v>
      </c>
      <c r="U1046" s="18">
        <f>IF($A1046&gt;'1-Input'!$B$26,S1046,S1046-MIN(MAX(S1046,0),'P-Parametri'!$B$8*(S1046+R1046)))</f>
        <v>-5819.8107976165293</v>
      </c>
      <c r="V1046" s="18">
        <f>IF($A1046&gt;'1-Input'!$B$26,V1045,V1045-Q1046*(1-P1046))</f>
        <v>-1112.1796532098124</v>
      </c>
      <c r="W1046" s="11">
        <f>IF($A1046&gt;'1-Input'!$B$26,0,IF(AB1045&lt;=0,0,MAX(0,(AB1045-AC1045)/AB1045)))</f>
        <v>0.80355822680890088</v>
      </c>
      <c r="X1046" s="18">
        <f>IF($A1046&gt;'1-Input'!$B$26,0,(MAX(0,W1001-IF($A1046&gt;='1-Input'!$C$12,'1-Input'!$B$12,0))-MIN(MAX(AA1045,0),MAX(0,W1001-IF($A1046&gt;='1-Input'!$C$12,'1-Input'!$B$12,0))))*(1/(1-'P-Parametri'!$B$6*W1046))+MIN(MAX(0,AB1045-(MAX(0,W1001-IF($A1046&gt;='1-Input'!$C$12,'1-Input'!$B$12,0))-MIN(MAX(AA1045,0),MAX(0,W1001-IF($A1046&gt;='1-Input'!$C$12,'1-Input'!$B$12,0))))*(1/(1-'P-Parametri'!$B$6*W1046))),MAX(0,0*W1001-(AA1045-MIN(MAX(AA1045,0),MAX(0,W1001-IF($A1046&gt;='1-Input'!$C$12,'1-Input'!$B$12,0)))))*(1/(1-'P-Parametri'!$B$6*W1046))))</f>
        <v>9170.6453228256341</v>
      </c>
      <c r="Y1046" s="18">
        <f>IF($A1046&gt;'1-Input'!$B$26,AA1045,(AA1045-MAX(0,W1001-IF($A1046&gt;='1-Input'!$C$12,'1-Input'!$B$12,0))+X1046*(1-'P-Parametri'!$B$6*W1046))*(1+'1-Input'!$B$27))</f>
        <v>9.0622052084654565E-13</v>
      </c>
      <c r="Z1046" s="18">
        <f>IF($A1046&gt;'1-Input'!$B$26,AB1045,(AB1045-X1046)*(1+'5-Roberta'!$C$4))</f>
        <v>18965.303483838277</v>
      </c>
      <c r="AA1046" s="18">
        <f>IF($A1046&gt;'1-Input'!$B$26,Y1046,Y1046-'P-Parametri'!$B$8*(Z1046+Y1046)+MIN(MAX(Z1046,0),'P-Parametri'!$B$8*(Z1046+Y1046)))</f>
        <v>9.0949470177292824E-13</v>
      </c>
      <c r="AB1046" s="18">
        <f>IF($A1046&gt;'1-Input'!$B$26,Z1046,Z1046-MIN(MAX(Z1046,0),'P-Parametri'!$B$8*(Z1046+Y1046)))</f>
        <v>18927.372876870602</v>
      </c>
      <c r="AC1046" s="18">
        <f>IF($A1046&gt;'1-Input'!$B$26,AC1045,AC1045-X1046*(1-W1046))</f>
        <v>3617.0658693907953</v>
      </c>
      <c r="AD1046" s="11">
        <f>IF($A1046&gt;'1-Input'!$B$26,0,IF(AI1045&lt;=0,0,MAX(0,(AI1045-AJ1045)/AI1045)))</f>
        <v>0.80355822680890077</v>
      </c>
      <c r="AE1046" s="18">
        <f>IF($A1046&gt;'1-Input'!$B$26,0,(MAX(0,AD1001-IF($A1046&gt;='1-Input'!$C$12,'1-Input'!$B$12,0))-MIN(MAX(AH1045,0),MAX(0,AD1001-IF($A1046&gt;='1-Input'!$C$12,'1-Input'!$B$12,0))))*(1/(1-'P-Parametri'!$B$6*AD1046))+MIN(MAX(0,AI1045-(MAX(0,AD1001-IF($A1046&gt;='1-Input'!$C$12,'1-Input'!$B$12,0))-MIN(MAX(AH1045,0),MAX(0,AD1001-IF($A1046&gt;='1-Input'!$C$12,'1-Input'!$B$12,0))))*(1/(1-'P-Parametri'!$B$6*AD1046))),MAX(0,0*AD1001-(AH1045-MIN(MAX(AH1045,0),MAX(0,AD1001-IF($A1046&gt;='1-Input'!$C$12,'1-Input'!$B$12,0)))))*(1/(1-'P-Parametri'!$B$6*AD1046))))</f>
        <v>9182.3105412677014</v>
      </c>
      <c r="AF1046" s="18">
        <f>IF($A1046&gt;'1-Input'!$B$26,AH1045,(AH1045-MAX(0,AD1001-IF($A1046&gt;='1-Input'!$C$12,'1-Input'!$B$12,0))+AE1046*(1-'P-Parametri'!$B$6*AD1046))*(1+'1-Input'!$B$27))</f>
        <v>0</v>
      </c>
      <c r="AG1046" s="18">
        <f>IF($A1046&gt;'1-Input'!$B$26,AI1045,(AI1045-AE1046)*(1+'5-Roberta'!$C$4))</f>
        <v>18052.590116648229</v>
      </c>
      <c r="AH1046" s="18">
        <f>IF($A1046&gt;'1-Input'!$B$26,AF1046,AF1046-'P-Parametri'!$B$8*(AG1046+AF1046)+MIN(MAX(AG1046,0),'P-Parametri'!$B$8*(AG1046+AF1046)))</f>
        <v>0</v>
      </c>
      <c r="AI1046" s="18">
        <f>IF($A1046&gt;'1-Input'!$B$26,AG1046,AG1046-MIN(MAX(AG1046,0),'P-Parametri'!$B$8*(AG1046+AF1046)))</f>
        <v>18016.484936414934</v>
      </c>
      <c r="AJ1046" s="18">
        <f>IF($A1046&gt;'1-Input'!$B$26,AJ1045,AJ1045-AE1046*(1-AD1046))</f>
        <v>3442.9930225305729</v>
      </c>
      <c r="AK1046" s="11">
        <f>IF($A1046&gt;'1-Input'!$B$26,0,IF(AP1045&lt;=0,0,MAX(0,(AP1045-AQ1045)/AP1045)))</f>
        <v>0.80355822680890099</v>
      </c>
      <c r="AL1046" s="18">
        <f>IF($A1046&gt;'1-Input'!$B$26,0,(MAX(0,AK1001-IF($A1046&gt;='1-Input'!$C$12,'1-Input'!$B$12,0))-MIN(MAX(AO1045,0),MAX(0,AK1001-IF($A1046&gt;='1-Input'!$C$12,'1-Input'!$B$12,0))))*(1/(1-'P-Parametri'!$B$6*AK1046))+MIN(MAX(0,AP1045-(MAX(0,AK1001-IF($A1046&gt;='1-Input'!$C$12,'1-Input'!$B$12,0))-MIN(MAX(AO1045,0),MAX(0,AK1001-IF($A1046&gt;='1-Input'!$C$12,'1-Input'!$B$12,0))))*(1/(1-'P-Parametri'!$B$6*AK1046))),MAX(0,0*AK1001-(AO1045-MIN(MAX(AO1045,0),MAX(0,AK1001-IF($A1046&gt;='1-Input'!$C$12,'1-Input'!$B$12,0)))))*(1/(1-'P-Parametri'!$B$6*AK1046))))</f>
        <v>9180.4903539867537</v>
      </c>
      <c r="AM1046" s="18">
        <f>IF($A1046&gt;'1-Input'!$B$26,AO1045,(AO1045-MAX(0,AK1001-IF($A1046&gt;='1-Input'!$C$12,'1-Input'!$B$12,0))+AL1046*(1-'P-Parametri'!$B$6*AK1046))*(1+'1-Input'!$B$27))</f>
        <v>9.0622052084654565E-13</v>
      </c>
      <c r="AN1046" s="18">
        <f>IF($A1046&gt;'1-Input'!$B$26,AP1045,(AP1045-AL1046)*(1+'5-Roberta'!$C$4))</f>
        <v>18195.005731955105</v>
      </c>
      <c r="AO1046" s="18">
        <f>IF($A1046&gt;'1-Input'!$B$26,AM1046,AM1046-'P-Parametri'!$B$8*(AN1046+AM1046)+MIN(MAX(AN1046,0),'P-Parametri'!$B$8*(AN1046+AM1046)))</f>
        <v>9.0949470177292824E-13</v>
      </c>
      <c r="AP1046" s="18">
        <f>IF($A1046&gt;'1-Input'!$B$26,AN1046,AN1046-MIN(MAX(AN1046,0),'P-Parametri'!$B$8*(AN1046+AM1046)))</f>
        <v>18158.615720491194</v>
      </c>
      <c r="AQ1046" s="18">
        <f>IF($A1046&gt;'1-Input'!$B$26,AQ1045,AQ1045-AL1046*(1-AK1046))</f>
        <v>3470.1545526286141</v>
      </c>
    </row>
    <row r="1047" spans="1:43">
      <c r="A1047" s="10">
        <f>44</f>
        <v>44</v>
      </c>
      <c r="B1047" s="11">
        <f>IF($A1047&gt;'1-Input'!$B$26,0,IF(G1046&lt;=0,0,MAX(0,(G1046-H1046)/G1046)))</f>
        <v>0.808897627107517</v>
      </c>
      <c r="C1047" s="18">
        <f>IF($A1047&gt;'1-Input'!$B$26,0,(MAX(0,B1001-IF($A1047&gt;='1-Input'!$C$12,'1-Input'!$B$12,0))-MIN(MAX(F1046,0),MAX(0,B1001-IF($A1047&gt;='1-Input'!$C$12,'1-Input'!$B$12,0))))*(1/(1-'P-Parametri'!$B$6*B1047))+MIN(MAX(0,G1046-(MAX(0,B1001-IF($A1047&gt;='1-Input'!$C$12,'1-Input'!$B$12,0))-MIN(MAX(F1046,0),MAX(0,B1001-IF($A1047&gt;='1-Input'!$C$12,'1-Input'!$B$12,0))))*(1/(1-'P-Parametri'!$B$6*B1047))),MAX(0,0*B1001-(F1046-MIN(MAX(F1046,0),MAX(0,B1001-IF($A1047&gt;='1-Input'!$C$12,'1-Input'!$B$12,0)))))*(1/(1-'P-Parametri'!$B$6*B1047))))</f>
        <v>7064.8978909624802</v>
      </c>
      <c r="D1047" s="18">
        <f>IF($A1047&gt;'1-Input'!$B$26,F1046,(F1046-MAX(0,B1001-IF($A1047&gt;='1-Input'!$C$12,'1-Input'!$B$12,0))+C1047*(1-'P-Parametri'!$B$6*B1047))*(1+'1-Input'!$B$27))</f>
        <v>0</v>
      </c>
      <c r="E1047" s="18">
        <f>IF($A1047&gt;'1-Input'!$B$26,G1046,(G1046-C1047)*(1+'5-Roberta'!$C$4))</f>
        <v>182577.35286904822</v>
      </c>
      <c r="F1047" s="18">
        <f>IF($A1047&gt;'1-Input'!$B$26,D1047,D1047-'P-Parametri'!$B$8*(E1047+D1047)+MIN(MAX(E1047,0),'P-Parametri'!$B$8*(E1047+D1047)))</f>
        <v>0</v>
      </c>
      <c r="G1047" s="18">
        <f>IF($A1047&gt;'1-Input'!$B$26,E1047,E1047-MIN(MAX(E1047,0),'P-Parametri'!$B$8*(E1047+D1047)))</f>
        <v>182212.19816331012</v>
      </c>
      <c r="H1047" s="18">
        <f>IF($A1047&gt;'1-Input'!$B$26,H1046,H1046-C1047*(1-B1047))</f>
        <v>33874.723659906122</v>
      </c>
      <c r="I1047" s="11">
        <f>IF($A1047&gt;'1-Input'!$B$26,0,IF(N1046&lt;=0,0,MAX(0,(N1046-O1046)/N1046)))</f>
        <v>0</v>
      </c>
      <c r="J1047" s="18">
        <f>IF($A1047&gt;'1-Input'!$B$26,0,(MAX(0,I1001-IF($A1047&gt;='1-Input'!$C$12,'1-Input'!$B$12,0))-MIN(MAX(M1046,0),MAX(0,I1001-IF($A1047&gt;='1-Input'!$C$12,'1-Input'!$B$12,0))))*(1/(1-'P-Parametri'!$B$6*I1047))+MIN(MAX(0,N1046-(MAX(0,I1001-IF($A1047&gt;='1-Input'!$C$12,'1-Input'!$B$12,0))-MIN(MAX(M1046,0),MAX(0,I1001-IF($A1047&gt;='1-Input'!$C$12,'1-Input'!$B$12,0))))*(1/(1-'P-Parametri'!$B$6*I1047))),MAX(0,0*I1001-(M1046-MIN(MAX(M1046,0),MAX(0,I1001-IF($A1047&gt;='1-Input'!$C$12,'1-Input'!$B$12,0)))))*(1/(1-'P-Parametri'!$B$6*I1047))))</f>
        <v>10846.756992928691</v>
      </c>
      <c r="K1047" s="18">
        <f>IF($A1047&gt;'1-Input'!$B$26,M1046,(M1046-MAX(0,I1001-IF($A1047&gt;='1-Input'!$C$12,'1-Input'!$B$12,0))+J1047*(1-'P-Parametri'!$B$6*I1047))*(1+'1-Input'!$B$27))</f>
        <v>-1.8124410416930913E-12</v>
      </c>
      <c r="L1047" s="18">
        <f>IF($A1047&gt;'1-Input'!$B$26,N1046,(N1046-J1047)*(1+'5-Roberta'!$C$4))</f>
        <v>-293528.27162359684</v>
      </c>
      <c r="M1047" s="18">
        <f>IF($A1047&gt;'1-Input'!$B$26,K1047,K1047-'P-Parametri'!$B$8*(L1047+K1047)+MIN(MAX(L1047,0),'P-Parametri'!$B$8*(L1047+K1047)))</f>
        <v>-1.8189894035458565E-12</v>
      </c>
      <c r="N1047" s="18">
        <f>IF($A1047&gt;'1-Input'!$B$26,L1047,L1047-MIN(MAX(L1047,0),'P-Parametri'!$B$8*(L1047+K1047)))</f>
        <v>-292941.21508034965</v>
      </c>
      <c r="O1047" s="18">
        <f>IF($A1047&gt;'1-Input'!$B$26,O1046,O1046-J1047*(1-I1047))</f>
        <v>-209502.12980242088</v>
      </c>
      <c r="P1047" s="11">
        <f>IF($A1047&gt;'1-Input'!$B$26,0,IF(U1046&lt;=0,0,MAX(0,(U1046-V1046)/U1046)))</f>
        <v>0</v>
      </c>
      <c r="Q1047" s="18">
        <f>IF($A1047&gt;'1-Input'!$B$26,0,(MAX(0,P1001-IF($A1047&gt;='1-Input'!$C$12,'1-Input'!$B$12,0))-MIN(MAX(T1046,0),MAX(0,P1001-IF($A1047&gt;='1-Input'!$C$12,'1-Input'!$B$12,0))))*(1/(1-'P-Parametri'!$B$6*P1047))+MIN(MAX(0,U1046-(MAX(0,P1001-IF($A1047&gt;='1-Input'!$C$12,'1-Input'!$B$12,0))-MIN(MAX(T1046,0),MAX(0,P1001-IF($A1047&gt;='1-Input'!$C$12,'1-Input'!$B$12,0))))*(1/(1-'P-Parametri'!$B$6*P1047))),MAX(0,0*P1001-(T1046-MIN(MAX(T1046,0),MAX(0,P1001-IF($A1047&gt;='1-Input'!$C$12,'1-Input'!$B$12,0)))))*(1/(1-'P-Parametri'!$B$6*P1047))))</f>
        <v>7505.376761776497</v>
      </c>
      <c r="R1047" s="18">
        <f>IF($A1047&gt;'1-Input'!$B$26,T1046,(T1046-MAX(0,P1001-IF($A1047&gt;='1-Input'!$C$12,'1-Input'!$B$12,0))+Q1047*(1-'P-Parametri'!$B$6*P1047))*(1+'1-Input'!$B$27))</f>
        <v>0</v>
      </c>
      <c r="S1047" s="18">
        <f>IF($A1047&gt;'1-Input'!$B$26,U1046,(U1046-Q1047)*(1+'5-Roberta'!$C$4))</f>
        <v>-13724.943186174818</v>
      </c>
      <c r="T1047" s="18">
        <f>IF($A1047&gt;'1-Input'!$B$26,R1047,R1047-'P-Parametri'!$B$8*(S1047+R1047)+MIN(MAX(S1047,0),'P-Parametri'!$B$8*(S1047+R1047)))</f>
        <v>0</v>
      </c>
      <c r="U1047" s="18">
        <f>IF($A1047&gt;'1-Input'!$B$26,S1047,S1047-MIN(MAX(S1047,0),'P-Parametri'!$B$8*(S1047+R1047)))</f>
        <v>-13697.493299802469</v>
      </c>
      <c r="V1047" s="18">
        <f>IF($A1047&gt;'1-Input'!$B$26,V1046,V1046-Q1047*(1-P1047))</f>
        <v>-8617.5564149863094</v>
      </c>
      <c r="W1047" s="11">
        <f>IF($A1047&gt;'1-Input'!$B$26,0,IF(AB1046&lt;=0,0,MAX(0,(AB1046-AC1046)/AB1046)))</f>
        <v>0.808897627107517</v>
      </c>
      <c r="X1047" s="18">
        <f>IF($A1047&gt;'1-Input'!$B$26,0,(MAX(0,W1001-IF($A1047&gt;='1-Input'!$C$12,'1-Input'!$B$12,0))-MIN(MAX(AA1046,0),MAX(0,W1001-IF($A1047&gt;='1-Input'!$C$12,'1-Input'!$B$12,0))))*(1/(1-'P-Parametri'!$B$6*W1047))+MIN(MAX(0,AB1046-(MAX(0,W1001-IF($A1047&gt;='1-Input'!$C$12,'1-Input'!$B$12,0))-MIN(MAX(AA1046,0),MAX(0,W1001-IF($A1047&gt;='1-Input'!$C$12,'1-Input'!$B$12,0))))*(1/(1-'P-Parametri'!$B$6*W1047))),MAX(0,0*W1001-(AA1046-MIN(MAX(AA1046,0),MAX(0,W1001-IF($A1047&gt;='1-Input'!$C$12,'1-Input'!$B$12,0)))))*(1/(1-'P-Parametri'!$B$6*W1047))))</f>
        <v>9186.7670270362105</v>
      </c>
      <c r="Y1047" s="18">
        <f>IF($A1047&gt;'1-Input'!$B$26,AA1046,(AA1046-MAX(0,W1001-IF($A1047&gt;='1-Input'!$C$12,'1-Input'!$B$12,0))+X1047*(1-'P-Parametri'!$B$6*W1047))*(1+'1-Input'!$B$27))</f>
        <v>0</v>
      </c>
      <c r="Z1047" s="18">
        <f>IF($A1047&gt;'1-Input'!$B$26,AB1046,(AB1046-X1047)*(1+'5-Roberta'!$C$4))</f>
        <v>10032.824025329424</v>
      </c>
      <c r="AA1047" s="18">
        <f>IF($A1047&gt;'1-Input'!$B$26,Y1047,Y1047-'P-Parametri'!$B$8*(Z1047+Y1047)+MIN(MAX(Z1047,0),'P-Parametri'!$B$8*(Z1047+Y1047)))</f>
        <v>0</v>
      </c>
      <c r="AB1047" s="18">
        <f>IF($A1047&gt;'1-Input'!$B$26,Z1047,Z1047-MIN(MAX(Z1047,0),'P-Parametri'!$B$8*(Z1047+Y1047)))</f>
        <v>10012.758377278766</v>
      </c>
      <c r="AC1047" s="18">
        <f>IF($A1047&gt;'1-Input'!$B$26,AC1046,AC1046-X1047*(1-W1047))</f>
        <v>1861.452891313754</v>
      </c>
      <c r="AD1047" s="11">
        <f>IF($A1047&gt;'1-Input'!$B$26,0,IF(AI1046&lt;=0,0,MAX(0,(AI1046-AJ1046)/AI1046)))</f>
        <v>0.80889762710751689</v>
      </c>
      <c r="AE1047" s="18">
        <f>IF($A1047&gt;'1-Input'!$B$26,0,(MAX(0,AD1001-IF($A1047&gt;='1-Input'!$C$12,'1-Input'!$B$12,0))-MIN(MAX(AH1046,0),MAX(0,AD1001-IF($A1047&gt;='1-Input'!$C$12,'1-Input'!$B$12,0))))*(1/(1-'P-Parametri'!$B$6*AD1047))+MIN(MAX(0,AI1046-(MAX(0,AD1001-IF($A1047&gt;='1-Input'!$C$12,'1-Input'!$B$12,0))-MIN(MAX(AH1046,0),MAX(0,AD1001-IF($A1047&gt;='1-Input'!$C$12,'1-Input'!$B$12,0))))*(1/(1-'P-Parametri'!$B$6*AD1047))),MAX(0,0*AD1001-(AH1046-MIN(MAX(AH1046,0),MAX(0,AD1001-IF($A1047&gt;='1-Input'!$C$12,'1-Input'!$B$12,0)))))*(1/(1-'P-Parametri'!$B$6*AD1047))))</f>
        <v>9198.4527525630765</v>
      </c>
      <c r="AF1047" s="18">
        <f>IF($A1047&gt;'1-Input'!$B$26,AH1046,(AH1046-MAX(0,AD1001-IF($A1047&gt;='1-Input'!$C$12,'1-Input'!$B$12,0))+AE1047*(1-'P-Parametri'!$B$6*AD1047))*(1+'1-Input'!$B$27))</f>
        <v>0</v>
      </c>
      <c r="AG1047" s="18">
        <f>IF($A1047&gt;'1-Input'!$B$26,AI1046,(AI1046-AE1047)*(1+'5-Roberta'!$C$4))</f>
        <v>9082.5731493674139</v>
      </c>
      <c r="AH1047" s="18">
        <f>IF($A1047&gt;'1-Input'!$B$26,AF1047,AF1047-'P-Parametri'!$B$8*(AG1047+AF1047)+MIN(MAX(AG1047,0),'P-Parametri'!$B$8*(AG1047+AF1047)))</f>
        <v>0</v>
      </c>
      <c r="AI1047" s="18">
        <f>IF($A1047&gt;'1-Input'!$B$26,AG1047,AG1047-MIN(MAX(AG1047,0),'P-Parametri'!$B$8*(AG1047+AF1047)))</f>
        <v>9064.4080030686782</v>
      </c>
      <c r="AJ1047" s="18">
        <f>IF($A1047&gt;'1-Input'!$B$26,AJ1046,AJ1046-AE1047*(1-AD1047))</f>
        <v>1685.1468745763761</v>
      </c>
      <c r="AK1047" s="11">
        <f>IF($A1047&gt;'1-Input'!$B$26,0,IF(AP1046&lt;=0,0,MAX(0,(AP1046-AQ1046)/AP1046)))</f>
        <v>0.80889762710751689</v>
      </c>
      <c r="AL1047" s="18">
        <f>IF($A1047&gt;'1-Input'!$B$26,0,(MAX(0,AK1001-IF($A1047&gt;='1-Input'!$C$12,'1-Input'!$B$12,0))-MIN(MAX(AO1046,0),MAX(0,AK1001-IF($A1047&gt;='1-Input'!$C$12,'1-Input'!$B$12,0))))*(1/(1-'P-Parametri'!$B$6*AK1047))+MIN(MAX(0,AP1046-(MAX(0,AK1001-IF($A1047&gt;='1-Input'!$C$12,'1-Input'!$B$12,0))-MIN(MAX(AO1046,0),MAX(0,AK1001-IF($A1047&gt;='1-Input'!$C$12,'1-Input'!$B$12,0))))*(1/(1-'P-Parametri'!$B$6*AK1047))),MAX(0,0*AK1001-(AO1046-MIN(MAX(AO1046,0),MAX(0,AK1001-IF($A1047&gt;='1-Input'!$C$12,'1-Input'!$B$12,0)))))*(1/(1-'P-Parametri'!$B$6*AK1047))))</f>
        <v>9196.6293654504971</v>
      </c>
      <c r="AM1047" s="18">
        <f>IF($A1047&gt;'1-Input'!$B$26,AO1046,(AO1046-MAX(0,AK1001-IF($A1047&gt;='1-Input'!$C$12,'1-Input'!$B$12,0))+AL1047*(1-'P-Parametri'!$B$6*AK1047))*(1+'1-Input'!$B$27))</f>
        <v>0</v>
      </c>
      <c r="AN1047" s="18">
        <f>IF($A1047&gt;'1-Input'!$B$26,AP1046,(AP1046-AL1047)*(1+'5-Roberta'!$C$4))</f>
        <v>9230.845945691919</v>
      </c>
      <c r="AO1047" s="18">
        <f>IF($A1047&gt;'1-Input'!$B$26,AM1047,AM1047-'P-Parametri'!$B$8*(AN1047+AM1047)+MIN(MAX(AN1047,0),'P-Parametri'!$B$8*(AN1047+AM1047)))</f>
        <v>0</v>
      </c>
      <c r="AP1047" s="18">
        <f>IF($A1047&gt;'1-Input'!$B$26,AN1047,AN1047-MIN(MAX(AN1047,0),'P-Parametri'!$B$8*(AN1047+AM1047)))</f>
        <v>9212.3842538005356</v>
      </c>
      <c r="AQ1047" s="18">
        <f>IF($A1047&gt;'1-Input'!$B$26,AQ1046,AQ1046-AL1047*(1-AK1047))</f>
        <v>1712.6568582783329</v>
      </c>
    </row>
    <row r="1048" spans="1:43">
      <c r="A1048" s="10">
        <f>45</f>
        <v>45</v>
      </c>
      <c r="B1048" s="11">
        <f>IF($A1048&gt;'1-Input'!$B$26,0,IF(G1047&lt;=0,0,MAX(0,(G1047-H1047)/G1047)))</f>
        <v>0.81409189943724047</v>
      </c>
      <c r="C1048" s="18">
        <f>IF($A1048&gt;'1-Input'!$B$26,0,(MAX(0,B1001-IF($A1048&gt;='1-Input'!$C$12,'1-Input'!$B$12,0))-MIN(MAX(F1047,0),MAX(0,B1001-IF($A1048&gt;='1-Input'!$C$12,'1-Input'!$B$12,0))))*(1/(1-'P-Parametri'!$B$6*B1048))+MIN(MAX(0,G1047-(MAX(0,B1001-IF($A1048&gt;='1-Input'!$C$12,'1-Input'!$B$12,0))-MIN(MAX(F1047,0),MAX(0,B1001-IF($A1048&gt;='1-Input'!$C$12,'1-Input'!$B$12,0))))*(1/(1-'P-Parametri'!$B$6*B1048))),MAX(0,0*B1001-(F1047-MIN(MAX(F1047,0),MAX(0,B1001-IF($A1048&gt;='1-Input'!$C$12,'1-Input'!$B$12,0)))))*(1/(1-'P-Parametri'!$B$6*B1048))))</f>
        <v>7077.000877073001</v>
      </c>
      <c r="D1048" s="18">
        <f>IF($A1048&gt;'1-Input'!$B$26,F1047,(F1047-MAX(0,B1001-IF($A1048&gt;='1-Input'!$C$12,'1-Input'!$B$12,0))+C1048*(1-'P-Parametri'!$B$6*B1048))*(1+'1-Input'!$B$27))</f>
        <v>0</v>
      </c>
      <c r="E1048" s="18">
        <f>IF($A1048&gt;'1-Input'!$B$26,G1047,(G1047-C1048)*(1+'5-Roberta'!$C$4))</f>
        <v>180389.25320482423</v>
      </c>
      <c r="F1048" s="18">
        <f>IF($A1048&gt;'1-Input'!$B$26,D1048,D1048-'P-Parametri'!$B$8*(E1048+D1048)+MIN(MAX(E1048,0),'P-Parametri'!$B$8*(E1048+D1048)))</f>
        <v>0</v>
      </c>
      <c r="G1048" s="18">
        <f>IF($A1048&gt;'1-Input'!$B$26,E1048,E1048-MIN(MAX(E1048,0),'P-Parametri'!$B$8*(E1048+D1048)))</f>
        <v>180028.47469841459</v>
      </c>
      <c r="H1048" s="18">
        <f>IF($A1048&gt;'1-Input'!$B$26,H1047,H1047-C1048*(1-B1048))</f>
        <v>32559.051869168496</v>
      </c>
      <c r="I1048" s="11">
        <f>IF($A1048&gt;'1-Input'!$B$26,0,IF(N1047&lt;=0,0,MAX(0,(N1047-O1047)/N1047)))</f>
        <v>0</v>
      </c>
      <c r="J1048" s="18">
        <f>IF($A1048&gt;'1-Input'!$B$26,0,(MAX(0,I1001-IF($A1048&gt;='1-Input'!$C$12,'1-Input'!$B$12,0))-MIN(MAX(M1047,0),MAX(0,I1001-IF($A1048&gt;='1-Input'!$C$12,'1-Input'!$B$12,0))))*(1/(1-'P-Parametri'!$B$6*I1048))+MIN(MAX(0,N1047-(MAX(0,I1001-IF($A1048&gt;='1-Input'!$C$12,'1-Input'!$B$12,0))-MIN(MAX(M1047,0),MAX(0,I1001-IF($A1048&gt;='1-Input'!$C$12,'1-Input'!$B$12,0))))*(1/(1-'P-Parametri'!$B$6*I1048))),MAX(0,0*I1001-(M1047-MIN(MAX(M1047,0),MAX(0,I1001-IF($A1048&gt;='1-Input'!$C$12,'1-Input'!$B$12,0)))))*(1/(1-'P-Parametri'!$B$6*I1048))))</f>
        <v>10846.756992928691</v>
      </c>
      <c r="K1048" s="18">
        <f>IF($A1048&gt;'1-Input'!$B$26,M1047,(M1047-MAX(0,I1001-IF($A1048&gt;='1-Input'!$C$12,'1-Input'!$B$12,0))+J1048*(1-'P-Parametri'!$B$6*I1048))*(1+'1-Input'!$B$27))</f>
        <v>-1.8124410416930913E-12</v>
      </c>
      <c r="L1048" s="18">
        <f>IF($A1048&gt;'1-Input'!$B$26,N1047,(N1047-J1048)*(1+'5-Roberta'!$C$4))</f>
        <v>-312901.61123547668</v>
      </c>
      <c r="M1048" s="18">
        <f>IF($A1048&gt;'1-Input'!$B$26,K1048,K1048-'P-Parametri'!$B$8*(L1048+K1048)+MIN(MAX(L1048,0),'P-Parametri'!$B$8*(L1048+K1048)))</f>
        <v>-1.8189894035458565E-12</v>
      </c>
      <c r="N1048" s="18">
        <f>IF($A1048&gt;'1-Input'!$B$26,L1048,L1048-MIN(MAX(L1048,0),'P-Parametri'!$B$8*(L1048+K1048)))</f>
        <v>-312275.80801300571</v>
      </c>
      <c r="O1048" s="18">
        <f>IF($A1048&gt;'1-Input'!$B$26,O1047,O1047-J1048*(1-I1048))</f>
        <v>-220348.88679534956</v>
      </c>
      <c r="P1048" s="11">
        <f>IF($A1048&gt;'1-Input'!$B$26,0,IF(U1047&lt;=0,0,MAX(0,(U1047-V1047)/U1047)))</f>
        <v>0</v>
      </c>
      <c r="Q1048" s="18">
        <f>IF($A1048&gt;'1-Input'!$B$26,0,(MAX(0,P1001-IF($A1048&gt;='1-Input'!$C$12,'1-Input'!$B$12,0))-MIN(MAX(T1047,0),MAX(0,P1001-IF($A1048&gt;='1-Input'!$C$12,'1-Input'!$B$12,0))))*(1/(1-'P-Parametri'!$B$6*P1048))+MIN(MAX(0,U1047-(MAX(0,P1001-IF($A1048&gt;='1-Input'!$C$12,'1-Input'!$B$12,0))-MIN(MAX(T1047,0),MAX(0,P1001-IF($A1048&gt;='1-Input'!$C$12,'1-Input'!$B$12,0))))*(1/(1-'P-Parametri'!$B$6*P1048))),MAX(0,0*P1001-(T1047-MIN(MAX(T1047,0),MAX(0,P1001-IF($A1048&gt;='1-Input'!$C$12,'1-Input'!$B$12,0)))))*(1/(1-'P-Parametri'!$B$6*P1048))))</f>
        <v>7505.376761776497</v>
      </c>
      <c r="R1048" s="18">
        <f>IF($A1048&gt;'1-Input'!$B$26,T1047,(T1047-MAX(0,P1001-IF($A1048&gt;='1-Input'!$C$12,'1-Input'!$B$12,0))+Q1048*(1-'P-Parametri'!$B$6*P1048))*(1+'1-Input'!$B$27))</f>
        <v>0</v>
      </c>
      <c r="S1048" s="18">
        <f>IF($A1048&gt;'1-Input'!$B$26,U1047,(U1047-Q1048)*(1+'5-Roberta'!$C$4))</f>
        <v>-21838.956163426334</v>
      </c>
      <c r="T1048" s="18">
        <f>IF($A1048&gt;'1-Input'!$B$26,R1048,R1048-'P-Parametri'!$B$8*(S1048+R1048)+MIN(MAX(S1048,0),'P-Parametri'!$B$8*(S1048+R1048)))</f>
        <v>0</v>
      </c>
      <c r="U1048" s="18">
        <f>IF($A1048&gt;'1-Input'!$B$26,S1048,S1048-MIN(MAX(S1048,0),'P-Parametri'!$B$8*(S1048+R1048)))</f>
        <v>-21795.27825109948</v>
      </c>
      <c r="V1048" s="18">
        <f>IF($A1048&gt;'1-Input'!$B$26,V1047,V1047-Q1048*(1-P1048))</f>
        <v>-16122.933176762806</v>
      </c>
      <c r="W1048" s="11">
        <f>IF($A1048&gt;'1-Input'!$B$26,0,IF(AB1047&lt;=0,0,MAX(0,(AB1047-AC1047)/AB1047)))</f>
        <v>0.81409189943724047</v>
      </c>
      <c r="X1048" s="18">
        <f>IF($A1048&gt;'1-Input'!$B$26,0,(MAX(0,W1001-IF($A1048&gt;='1-Input'!$C$12,'1-Input'!$B$12,0))-MIN(MAX(AA1047,0),MAX(0,W1001-IF($A1048&gt;='1-Input'!$C$12,'1-Input'!$B$12,0))))*(1/(1-'P-Parametri'!$B$6*W1048))+MIN(MAX(0,AB1047-(MAX(0,W1001-IF($A1048&gt;='1-Input'!$C$12,'1-Input'!$B$12,0))-MIN(MAX(AA1047,0),MAX(0,W1001-IF($A1048&gt;='1-Input'!$C$12,'1-Input'!$B$12,0))))*(1/(1-'P-Parametri'!$B$6*W1048))),MAX(0,0*W1001-(AA1047-MIN(MAX(AA1047,0),MAX(0,W1001-IF($A1048&gt;='1-Input'!$C$12,'1-Input'!$B$12,0)))))*(1/(1-'P-Parametri'!$B$6*W1048))))</f>
        <v>9202.5050200609985</v>
      </c>
      <c r="Y1048" s="18">
        <f>IF($A1048&gt;'1-Input'!$B$26,AA1047,(AA1047-MAX(0,W1001-IF($A1048&gt;='1-Input'!$C$12,'1-Input'!$B$12,0))+X1048*(1-'P-Parametri'!$B$6*W1048))*(1+'1-Input'!$B$27))</f>
        <v>-9.0622052084654565E-13</v>
      </c>
      <c r="Z1048" s="18">
        <f>IF($A1048&gt;'1-Input'!$B$26,AB1047,(AB1047-X1048)*(1+'5-Roberta'!$C$4))</f>
        <v>834.56095793430018</v>
      </c>
      <c r="AA1048" s="18">
        <f>IF($A1048&gt;'1-Input'!$B$26,Y1048,Y1048-'P-Parametri'!$B$8*(Z1048+Y1048)+MIN(MAX(Z1048,0),'P-Parametri'!$B$8*(Z1048+Y1048)))</f>
        <v>-9.0616403269905277E-13</v>
      </c>
      <c r="AB1048" s="18">
        <f>IF($A1048&gt;'1-Input'!$B$26,Z1048,Z1048-MIN(MAX(Z1048,0),'P-Parametri'!$B$8*(Z1048+Y1048)))</f>
        <v>832.8918360184316</v>
      </c>
      <c r="AC1048" s="18">
        <f>IF($A1048&gt;'1-Input'!$B$26,AC1047,AC1047-X1048*(1-W1048))</f>
        <v>150.6326626149546</v>
      </c>
      <c r="AD1048" s="11">
        <f>IF($A1048&gt;'1-Input'!$B$26,0,IF(AI1047&lt;=0,0,MAX(0,(AI1047-AJ1047)/AI1047)))</f>
        <v>0.81409189943724025</v>
      </c>
      <c r="AE1048" s="18">
        <f>IF($A1048&gt;'1-Input'!$B$26,0,(MAX(0,AD1001-IF($A1048&gt;='1-Input'!$C$12,'1-Input'!$B$12,0))-MIN(MAX(AH1047,0),MAX(0,AD1001-IF($A1048&gt;='1-Input'!$C$12,'1-Input'!$B$12,0))))*(1/(1-'P-Parametri'!$B$6*AD1048))+MIN(MAX(0,AI1047-(MAX(0,AD1001-IF($A1048&gt;='1-Input'!$C$12,'1-Input'!$B$12,0))-MIN(MAX(AH1047,0),MAX(0,AD1001-IF($A1048&gt;='1-Input'!$C$12,'1-Input'!$B$12,0))))*(1/(1-'P-Parametri'!$B$6*AD1048))),MAX(0,0*AD1001-(AH1047-MIN(MAX(AH1047,0),MAX(0,AD1001-IF($A1048&gt;='1-Input'!$C$12,'1-Input'!$B$12,0)))))*(1/(1-'P-Parametri'!$B$6*AD1048))))</f>
        <v>9214.2107645854376</v>
      </c>
      <c r="AF1048" s="18">
        <f>IF($A1048&gt;'1-Input'!$B$26,AH1047,(AH1047-MAX(0,AD1001-IF($A1048&gt;='1-Input'!$C$12,'1-Input'!$B$12,0))+AE1048*(1-'P-Parametri'!$B$6*AD1048))*(1+'1-Input'!$B$27))</f>
        <v>0</v>
      </c>
      <c r="AG1048" s="18">
        <f>IF($A1048&gt;'1-Input'!$B$26,AI1047,(AI1047-AE1048)*(1+'5-Roberta'!$C$4))</f>
        <v>-154.29684436226214</v>
      </c>
      <c r="AH1048" s="18">
        <f>IF($A1048&gt;'1-Input'!$B$26,AF1048,AF1048-'P-Parametri'!$B$8*(AG1048+AF1048)+MIN(MAX(AG1048,0),'P-Parametri'!$B$8*(AG1048+AF1048)))</f>
        <v>0</v>
      </c>
      <c r="AI1048" s="18">
        <f>IF($A1048&gt;'1-Input'!$B$26,AG1048,AG1048-MIN(MAX(AG1048,0),'P-Parametri'!$B$8*(AG1048+AF1048)))</f>
        <v>-153.98825067353761</v>
      </c>
      <c r="AJ1048" s="18">
        <f>IF($A1048&gt;'1-Input'!$B$26,AJ1047,AJ1047-AE1048*(1-AD1048))</f>
        <v>-27.849546852636877</v>
      </c>
      <c r="AK1048" s="11">
        <f>IF($A1048&gt;'1-Input'!$B$26,0,IF(AP1047&lt;=0,0,MAX(0,(AP1047-AQ1047)/AP1047)))</f>
        <v>0.81409189943724036</v>
      </c>
      <c r="AL1048" s="18">
        <f>IF($A1048&gt;'1-Input'!$B$26,0,(MAX(0,AK1001-IF($A1048&gt;='1-Input'!$C$12,'1-Input'!$B$12,0))-MIN(MAX(AO1047,0),MAX(0,AK1001-IF($A1048&gt;='1-Input'!$C$12,'1-Input'!$B$12,0))))*(1/(1-'P-Parametri'!$B$6*AK1048))+MIN(MAX(0,AP1047-(MAX(0,AK1001-IF($A1048&gt;='1-Input'!$C$12,'1-Input'!$B$12,0))-MIN(MAX(AO1047,0),MAX(0,AK1001-IF($A1048&gt;='1-Input'!$C$12,'1-Input'!$B$12,0))))*(1/(1-'P-Parametri'!$B$6*AK1048))),MAX(0,0*AK1001-(AO1047-MIN(MAX(AO1047,0),MAX(0,AK1001-IF($A1048&gt;='1-Input'!$C$12,'1-Input'!$B$12,0)))))*(1/(1-'P-Parametri'!$B$6*AK1048))))</f>
        <v>9212.3842538001281</v>
      </c>
      <c r="AM1048" s="18">
        <f>IF($A1048&gt;'1-Input'!$B$26,AO1047,(AO1047-MAX(0,AK1001-IF($A1048&gt;='1-Input'!$C$12,'1-Input'!$B$12,0))+AL1048*(1-'P-Parametri'!$B$6*AK1048))*(1+'1-Input'!$B$27))</f>
        <v>0</v>
      </c>
      <c r="AN1048" s="18">
        <f>IF($A1048&gt;'1-Input'!$B$26,AP1047,(AP1047-AL1048)*(1+'5-Roberta'!$C$4))</f>
        <v>4.196772351861E-10</v>
      </c>
      <c r="AO1048" s="18">
        <f>IF($A1048&gt;'1-Input'!$B$26,AM1048,AM1048-'P-Parametri'!$B$8*(AN1048+AM1048)+MIN(MAX(AN1048,0),'P-Parametri'!$B$8*(AN1048+AM1048)))</f>
        <v>0</v>
      </c>
      <c r="AP1048" s="18">
        <f>IF($A1048&gt;'1-Input'!$B$26,AN1048,AN1048-MIN(MAX(AN1048,0),'P-Parametri'!$B$8*(AN1048+AM1048)))</f>
        <v>4.1883788071572779E-10</v>
      </c>
      <c r="AQ1048" s="18">
        <f>IF($A1048&gt;'1-Input'!$B$26,AQ1047,AQ1047-AL1048*(1-AK1048))</f>
        <v>7.5260686571709812E-11</v>
      </c>
    </row>
    <row r="1049" spans="1:43">
      <c r="A1049" s="10">
        <f>46</f>
        <v>46</v>
      </c>
      <c r="B1049" s="11">
        <f>IF($A1049&gt;'1-Input'!$B$26,0,IF(G1048&lt;=0,0,MAX(0,(G1048-H1048)/G1048)))</f>
        <v>0</v>
      </c>
      <c r="C1049" s="18">
        <f>IF($A1049&gt;'1-Input'!$B$26,0,(MAX(0,B1001-IF($A1049&gt;='1-Input'!$C$12,'1-Input'!$B$12,0))-MIN(MAX(F1048,0),MAX(0,B1001-IF($A1049&gt;='1-Input'!$C$12,'1-Input'!$B$12,0))))*(1/(1-'P-Parametri'!$B$6*B1049))+MIN(MAX(0,G1048-(MAX(0,B1001-IF($A1049&gt;='1-Input'!$C$12,'1-Input'!$B$12,0))-MIN(MAX(F1048,0),MAX(0,B1001-IF($A1049&gt;='1-Input'!$C$12,'1-Input'!$B$12,0))))*(1/(1-'P-Parametri'!$B$6*B1049))),MAX(0,0*B1001-(F1048-MIN(MAX(F1048,0),MAX(0,B1001-IF($A1049&gt;='1-Input'!$C$12,'1-Input'!$B$12,0)))))*(1/(1-'P-Parametri'!$B$6*B1049))))</f>
        <v>0</v>
      </c>
      <c r="D1049" s="18">
        <f>IF($A1049&gt;'1-Input'!$B$26,F1048,(F1048-MAX(0,B1001-IF($A1049&gt;='1-Input'!$C$12,'1-Input'!$B$12,0))+C1049*(1-'P-Parametri'!$B$6*B1049))*(1+'1-Input'!$B$27))</f>
        <v>0</v>
      </c>
      <c r="E1049" s="18">
        <f>IF($A1049&gt;'1-Input'!$B$26,G1048,(G1048-C1049)*(1+'5-Roberta'!$C$4))</f>
        <v>180028.47469841459</v>
      </c>
      <c r="F1049" s="18">
        <f>IF($A1049&gt;'1-Input'!$B$26,D1049,D1049-'P-Parametri'!$B$8*(E1049+D1049)+MIN(MAX(E1049,0),'P-Parametri'!$B$8*(E1049+D1049)))</f>
        <v>0</v>
      </c>
      <c r="G1049" s="18">
        <f>IF($A1049&gt;'1-Input'!$B$26,E1049,E1049-MIN(MAX(E1049,0),'P-Parametri'!$B$8*(E1049+D1049)))</f>
        <v>180028.47469841459</v>
      </c>
      <c r="H1049" s="18">
        <f>IF($A1049&gt;'1-Input'!$B$26,H1048,H1048-C1049*(1-B1049))</f>
        <v>32559.051869168496</v>
      </c>
      <c r="I1049" s="11">
        <f>IF($A1049&gt;'1-Input'!$B$26,0,IF(N1048&lt;=0,0,MAX(0,(N1048-O1048)/N1048)))</f>
        <v>0</v>
      </c>
      <c r="J1049" s="18">
        <f>IF($A1049&gt;'1-Input'!$B$26,0,(MAX(0,I1001-IF($A1049&gt;='1-Input'!$C$12,'1-Input'!$B$12,0))-MIN(MAX(M1048,0),MAX(0,I1001-IF($A1049&gt;='1-Input'!$C$12,'1-Input'!$B$12,0))))*(1/(1-'P-Parametri'!$B$6*I1049))+MIN(MAX(0,N1048-(MAX(0,I1001-IF($A1049&gt;='1-Input'!$C$12,'1-Input'!$B$12,0))-MIN(MAX(M1048,0),MAX(0,I1001-IF($A1049&gt;='1-Input'!$C$12,'1-Input'!$B$12,0))))*(1/(1-'P-Parametri'!$B$6*I1049))),MAX(0,0*I1001-(M1048-MIN(MAX(M1048,0),MAX(0,I1001-IF($A1049&gt;='1-Input'!$C$12,'1-Input'!$B$12,0)))))*(1/(1-'P-Parametri'!$B$6*I1049))))</f>
        <v>0</v>
      </c>
      <c r="K1049" s="18">
        <f>IF($A1049&gt;'1-Input'!$B$26,M1048,(M1048-MAX(0,I1001-IF($A1049&gt;='1-Input'!$C$12,'1-Input'!$B$12,0))+J1049*(1-'P-Parametri'!$B$6*I1049))*(1+'1-Input'!$B$27))</f>
        <v>-1.8189894035458565E-12</v>
      </c>
      <c r="L1049" s="18">
        <f>IF($A1049&gt;'1-Input'!$B$26,N1048,(N1048-J1049)*(1+'5-Roberta'!$C$4))</f>
        <v>-312275.80801300571</v>
      </c>
      <c r="M1049" s="18">
        <f>IF($A1049&gt;'1-Input'!$B$26,K1049,K1049-'P-Parametri'!$B$8*(L1049+K1049)+MIN(MAX(L1049,0),'P-Parametri'!$B$8*(L1049+K1049)))</f>
        <v>-1.8189894035458565E-12</v>
      </c>
      <c r="N1049" s="18">
        <f>IF($A1049&gt;'1-Input'!$B$26,L1049,L1049-MIN(MAX(L1049,0),'P-Parametri'!$B$8*(L1049+K1049)))</f>
        <v>-312275.80801300571</v>
      </c>
      <c r="O1049" s="18">
        <f>IF($A1049&gt;'1-Input'!$B$26,O1048,O1048-J1049*(1-I1049))</f>
        <v>-220348.88679534956</v>
      </c>
      <c r="P1049" s="11">
        <f>IF($A1049&gt;'1-Input'!$B$26,0,IF(U1048&lt;=0,0,MAX(0,(U1048-V1048)/U1048)))</f>
        <v>0</v>
      </c>
      <c r="Q1049" s="18">
        <f>IF($A1049&gt;'1-Input'!$B$26,0,(MAX(0,P1001-IF($A1049&gt;='1-Input'!$C$12,'1-Input'!$B$12,0))-MIN(MAX(T1048,0),MAX(0,P1001-IF($A1049&gt;='1-Input'!$C$12,'1-Input'!$B$12,0))))*(1/(1-'P-Parametri'!$B$6*P1049))+MIN(MAX(0,U1048-(MAX(0,P1001-IF($A1049&gt;='1-Input'!$C$12,'1-Input'!$B$12,0))-MIN(MAX(T1048,0),MAX(0,P1001-IF($A1049&gt;='1-Input'!$C$12,'1-Input'!$B$12,0))))*(1/(1-'P-Parametri'!$B$6*P1049))),MAX(0,0*P1001-(T1048-MIN(MAX(T1048,0),MAX(0,P1001-IF($A1049&gt;='1-Input'!$C$12,'1-Input'!$B$12,0)))))*(1/(1-'P-Parametri'!$B$6*P1049))))</f>
        <v>0</v>
      </c>
      <c r="R1049" s="18">
        <f>IF($A1049&gt;'1-Input'!$B$26,T1048,(T1048-MAX(0,P1001-IF($A1049&gt;='1-Input'!$C$12,'1-Input'!$B$12,0))+Q1049*(1-'P-Parametri'!$B$6*P1049))*(1+'1-Input'!$B$27))</f>
        <v>0</v>
      </c>
      <c r="S1049" s="18">
        <f>IF($A1049&gt;'1-Input'!$B$26,U1048,(U1048-Q1049)*(1+'5-Roberta'!$C$4))</f>
        <v>-21795.27825109948</v>
      </c>
      <c r="T1049" s="18">
        <f>IF($A1049&gt;'1-Input'!$B$26,R1049,R1049-'P-Parametri'!$B$8*(S1049+R1049)+MIN(MAX(S1049,0),'P-Parametri'!$B$8*(S1049+R1049)))</f>
        <v>0</v>
      </c>
      <c r="U1049" s="18">
        <f>IF($A1049&gt;'1-Input'!$B$26,S1049,S1049-MIN(MAX(S1049,0),'P-Parametri'!$B$8*(S1049+R1049)))</f>
        <v>-21795.27825109948</v>
      </c>
      <c r="V1049" s="18">
        <f>IF($A1049&gt;'1-Input'!$B$26,V1048,V1048-Q1049*(1-P1049))</f>
        <v>-16122.933176762806</v>
      </c>
      <c r="W1049" s="11">
        <f>IF($A1049&gt;'1-Input'!$B$26,0,IF(AB1048&lt;=0,0,MAX(0,(AB1048-AC1048)/AB1048)))</f>
        <v>0</v>
      </c>
      <c r="X1049" s="18">
        <f>IF($A1049&gt;'1-Input'!$B$26,0,(MAX(0,W1001-IF($A1049&gt;='1-Input'!$C$12,'1-Input'!$B$12,0))-MIN(MAX(AA1048,0),MAX(0,W1001-IF($A1049&gt;='1-Input'!$C$12,'1-Input'!$B$12,0))))*(1/(1-'P-Parametri'!$B$6*W1049))+MIN(MAX(0,AB1048-(MAX(0,W1001-IF($A1049&gt;='1-Input'!$C$12,'1-Input'!$B$12,0))-MIN(MAX(AA1048,0),MAX(0,W1001-IF($A1049&gt;='1-Input'!$C$12,'1-Input'!$B$12,0))))*(1/(1-'P-Parametri'!$B$6*W1049))),MAX(0,0*W1001-(AA1048-MIN(MAX(AA1048,0),MAX(0,W1001-IF($A1049&gt;='1-Input'!$C$12,'1-Input'!$B$12,0)))))*(1/(1-'P-Parametri'!$B$6*W1049))))</f>
        <v>0</v>
      </c>
      <c r="Y1049" s="18">
        <f>IF($A1049&gt;'1-Input'!$B$26,AA1048,(AA1048-MAX(0,W1001-IF($A1049&gt;='1-Input'!$C$12,'1-Input'!$B$12,0))+X1049*(1-'P-Parametri'!$B$6*W1049))*(1+'1-Input'!$B$27))</f>
        <v>-9.0616403269905277E-13</v>
      </c>
      <c r="Z1049" s="18">
        <f>IF($A1049&gt;'1-Input'!$B$26,AB1048,(AB1048-X1049)*(1+'5-Roberta'!$C$4))</f>
        <v>832.8918360184316</v>
      </c>
      <c r="AA1049" s="18">
        <f>IF($A1049&gt;'1-Input'!$B$26,Y1049,Y1049-'P-Parametri'!$B$8*(Z1049+Y1049)+MIN(MAX(Z1049,0),'P-Parametri'!$B$8*(Z1049+Y1049)))</f>
        <v>-9.0616403269905277E-13</v>
      </c>
      <c r="AB1049" s="18">
        <f>IF($A1049&gt;'1-Input'!$B$26,Z1049,Z1049-MIN(MAX(Z1049,0),'P-Parametri'!$B$8*(Z1049+Y1049)))</f>
        <v>832.8918360184316</v>
      </c>
      <c r="AC1049" s="18">
        <f>IF($A1049&gt;'1-Input'!$B$26,AC1048,AC1048-X1049*(1-W1049))</f>
        <v>150.6326626149546</v>
      </c>
      <c r="AD1049" s="11">
        <f>IF($A1049&gt;'1-Input'!$B$26,0,IF(AI1048&lt;=0,0,MAX(0,(AI1048-AJ1048)/AI1048)))</f>
        <v>0</v>
      </c>
      <c r="AE1049" s="18">
        <f>IF($A1049&gt;'1-Input'!$B$26,0,(MAX(0,AD1001-IF($A1049&gt;='1-Input'!$C$12,'1-Input'!$B$12,0))-MIN(MAX(AH1048,0),MAX(0,AD1001-IF($A1049&gt;='1-Input'!$C$12,'1-Input'!$B$12,0))))*(1/(1-'P-Parametri'!$B$6*AD1049))+MIN(MAX(0,AI1048-(MAX(0,AD1001-IF($A1049&gt;='1-Input'!$C$12,'1-Input'!$B$12,0))-MIN(MAX(AH1048,0),MAX(0,AD1001-IF($A1049&gt;='1-Input'!$C$12,'1-Input'!$B$12,0))))*(1/(1-'P-Parametri'!$B$6*AD1049))),MAX(0,0*AD1001-(AH1048-MIN(MAX(AH1048,0),MAX(0,AD1001-IF($A1049&gt;='1-Input'!$C$12,'1-Input'!$B$12,0)))))*(1/(1-'P-Parametri'!$B$6*AD1049))))</f>
        <v>0</v>
      </c>
      <c r="AF1049" s="18">
        <f>IF($A1049&gt;'1-Input'!$B$26,AH1048,(AH1048-MAX(0,AD1001-IF($A1049&gt;='1-Input'!$C$12,'1-Input'!$B$12,0))+AE1049*(1-'P-Parametri'!$B$6*AD1049))*(1+'1-Input'!$B$27))</f>
        <v>0</v>
      </c>
      <c r="AG1049" s="18">
        <f>IF($A1049&gt;'1-Input'!$B$26,AI1048,(AI1048-AE1049)*(1+'5-Roberta'!$C$4))</f>
        <v>-153.98825067353761</v>
      </c>
      <c r="AH1049" s="18">
        <f>IF($A1049&gt;'1-Input'!$B$26,AF1049,AF1049-'P-Parametri'!$B$8*(AG1049+AF1049)+MIN(MAX(AG1049,0),'P-Parametri'!$B$8*(AG1049+AF1049)))</f>
        <v>0</v>
      </c>
      <c r="AI1049" s="18">
        <f>IF($A1049&gt;'1-Input'!$B$26,AG1049,AG1049-MIN(MAX(AG1049,0),'P-Parametri'!$B$8*(AG1049+AF1049)))</f>
        <v>-153.98825067353761</v>
      </c>
      <c r="AJ1049" s="18">
        <f>IF($A1049&gt;'1-Input'!$B$26,AJ1048,AJ1048-AE1049*(1-AD1049))</f>
        <v>-27.849546852636877</v>
      </c>
      <c r="AK1049" s="11">
        <f>IF($A1049&gt;'1-Input'!$B$26,0,IF(AP1048&lt;=0,0,MAX(0,(AP1048-AQ1048)/AP1048)))</f>
        <v>0</v>
      </c>
      <c r="AL1049" s="18">
        <f>IF($A1049&gt;'1-Input'!$B$26,0,(MAX(0,AK1001-IF($A1049&gt;='1-Input'!$C$12,'1-Input'!$B$12,0))-MIN(MAX(AO1048,0),MAX(0,AK1001-IF($A1049&gt;='1-Input'!$C$12,'1-Input'!$B$12,0))))*(1/(1-'P-Parametri'!$B$6*AK1049))+MIN(MAX(0,AP1048-(MAX(0,AK1001-IF($A1049&gt;='1-Input'!$C$12,'1-Input'!$B$12,0))-MIN(MAX(AO1048,0),MAX(0,AK1001-IF($A1049&gt;='1-Input'!$C$12,'1-Input'!$B$12,0))))*(1/(1-'P-Parametri'!$B$6*AK1049))),MAX(0,0*AK1001-(AO1048-MIN(MAX(AO1048,0),MAX(0,AK1001-IF($A1049&gt;='1-Input'!$C$12,'1-Input'!$B$12,0)))))*(1/(1-'P-Parametri'!$B$6*AK1049))))</f>
        <v>0</v>
      </c>
      <c r="AM1049" s="18">
        <f>IF($A1049&gt;'1-Input'!$B$26,AO1048,(AO1048-MAX(0,AK1001-IF($A1049&gt;='1-Input'!$C$12,'1-Input'!$B$12,0))+AL1049*(1-'P-Parametri'!$B$6*AK1049))*(1+'1-Input'!$B$27))</f>
        <v>0</v>
      </c>
      <c r="AN1049" s="18">
        <f>IF($A1049&gt;'1-Input'!$B$26,AP1048,(AP1048-AL1049)*(1+'5-Roberta'!$C$4))</f>
        <v>4.1883788071572779E-10</v>
      </c>
      <c r="AO1049" s="18">
        <f>IF($A1049&gt;'1-Input'!$B$26,AM1049,AM1049-'P-Parametri'!$B$8*(AN1049+AM1049)+MIN(MAX(AN1049,0),'P-Parametri'!$B$8*(AN1049+AM1049)))</f>
        <v>0</v>
      </c>
      <c r="AP1049" s="18">
        <f>IF($A1049&gt;'1-Input'!$B$26,AN1049,AN1049-MIN(MAX(AN1049,0),'P-Parametri'!$B$8*(AN1049+AM1049)))</f>
        <v>4.1883788071572779E-10</v>
      </c>
      <c r="AQ1049" s="18">
        <f>IF($A1049&gt;'1-Input'!$B$26,AQ1048,AQ1048-AL1049*(1-AK1049))</f>
        <v>7.5260686571709812E-11</v>
      </c>
    </row>
    <row r="1050" spans="1:43">
      <c r="A1050" s="10">
        <f>47</f>
        <v>47</v>
      </c>
      <c r="B1050" s="11">
        <f>IF($A1050&gt;'1-Input'!$B$26,0,IF(G1049&lt;=0,0,MAX(0,(G1049-H1049)/G1049)))</f>
        <v>0</v>
      </c>
      <c r="C1050" s="18">
        <f>IF($A1050&gt;'1-Input'!$B$26,0,(MAX(0,B1001-IF($A1050&gt;='1-Input'!$C$12,'1-Input'!$B$12,0))-MIN(MAX(F1049,0),MAX(0,B1001-IF($A1050&gt;='1-Input'!$C$12,'1-Input'!$B$12,0))))*(1/(1-'P-Parametri'!$B$6*B1050))+MIN(MAX(0,G1049-(MAX(0,B1001-IF($A1050&gt;='1-Input'!$C$12,'1-Input'!$B$12,0))-MIN(MAX(F1049,0),MAX(0,B1001-IF($A1050&gt;='1-Input'!$C$12,'1-Input'!$B$12,0))))*(1/(1-'P-Parametri'!$B$6*B1050))),MAX(0,0*B1001-(F1049-MIN(MAX(F1049,0),MAX(0,B1001-IF($A1050&gt;='1-Input'!$C$12,'1-Input'!$B$12,0)))))*(1/(1-'P-Parametri'!$B$6*B1050))))</f>
        <v>0</v>
      </c>
      <c r="D1050" s="18">
        <f>IF($A1050&gt;'1-Input'!$B$26,F1049,(F1049-MAX(0,B1001-IF($A1050&gt;='1-Input'!$C$12,'1-Input'!$B$12,0))+C1050*(1-'P-Parametri'!$B$6*B1050))*(1+'1-Input'!$B$27))</f>
        <v>0</v>
      </c>
      <c r="E1050" s="18">
        <f>IF($A1050&gt;'1-Input'!$B$26,G1049,(G1049-C1050)*(1+'5-Roberta'!$C$4))</f>
        <v>180028.47469841459</v>
      </c>
      <c r="F1050" s="18">
        <f>IF($A1050&gt;'1-Input'!$B$26,D1050,D1050-'P-Parametri'!$B$8*(E1050+D1050)+MIN(MAX(E1050,0),'P-Parametri'!$B$8*(E1050+D1050)))</f>
        <v>0</v>
      </c>
      <c r="G1050" s="18">
        <f>IF($A1050&gt;'1-Input'!$B$26,E1050,E1050-MIN(MAX(E1050,0),'P-Parametri'!$B$8*(E1050+D1050)))</f>
        <v>180028.47469841459</v>
      </c>
      <c r="H1050" s="18">
        <f>IF($A1050&gt;'1-Input'!$B$26,H1049,H1049-C1050*(1-B1050))</f>
        <v>32559.051869168496</v>
      </c>
      <c r="I1050" s="11">
        <f>IF($A1050&gt;'1-Input'!$B$26,0,IF(N1049&lt;=0,0,MAX(0,(N1049-O1049)/N1049)))</f>
        <v>0</v>
      </c>
      <c r="J1050" s="18">
        <f>IF($A1050&gt;'1-Input'!$B$26,0,(MAX(0,I1001-IF($A1050&gt;='1-Input'!$C$12,'1-Input'!$B$12,0))-MIN(MAX(M1049,0),MAX(0,I1001-IF($A1050&gt;='1-Input'!$C$12,'1-Input'!$B$12,0))))*(1/(1-'P-Parametri'!$B$6*I1050))+MIN(MAX(0,N1049-(MAX(0,I1001-IF($A1050&gt;='1-Input'!$C$12,'1-Input'!$B$12,0))-MIN(MAX(M1049,0),MAX(0,I1001-IF($A1050&gt;='1-Input'!$C$12,'1-Input'!$B$12,0))))*(1/(1-'P-Parametri'!$B$6*I1050))),MAX(0,0*I1001-(M1049-MIN(MAX(M1049,0),MAX(0,I1001-IF($A1050&gt;='1-Input'!$C$12,'1-Input'!$B$12,0)))))*(1/(1-'P-Parametri'!$B$6*I1050))))</f>
        <v>0</v>
      </c>
      <c r="K1050" s="18">
        <f>IF($A1050&gt;'1-Input'!$B$26,M1049,(M1049-MAX(0,I1001-IF($A1050&gt;='1-Input'!$C$12,'1-Input'!$B$12,0))+J1050*(1-'P-Parametri'!$B$6*I1050))*(1+'1-Input'!$B$27))</f>
        <v>-1.8189894035458565E-12</v>
      </c>
      <c r="L1050" s="18">
        <f>IF($A1050&gt;'1-Input'!$B$26,N1049,(N1049-J1050)*(1+'5-Roberta'!$C$4))</f>
        <v>-312275.80801300571</v>
      </c>
      <c r="M1050" s="18">
        <f>IF($A1050&gt;'1-Input'!$B$26,K1050,K1050-'P-Parametri'!$B$8*(L1050+K1050)+MIN(MAX(L1050,0),'P-Parametri'!$B$8*(L1050+K1050)))</f>
        <v>-1.8189894035458565E-12</v>
      </c>
      <c r="N1050" s="18">
        <f>IF($A1050&gt;'1-Input'!$B$26,L1050,L1050-MIN(MAX(L1050,0),'P-Parametri'!$B$8*(L1050+K1050)))</f>
        <v>-312275.80801300571</v>
      </c>
      <c r="O1050" s="18">
        <f>IF($A1050&gt;'1-Input'!$B$26,O1049,O1049-J1050*(1-I1050))</f>
        <v>-220348.88679534956</v>
      </c>
      <c r="P1050" s="11">
        <f>IF($A1050&gt;'1-Input'!$B$26,0,IF(U1049&lt;=0,0,MAX(0,(U1049-V1049)/U1049)))</f>
        <v>0</v>
      </c>
      <c r="Q1050" s="18">
        <f>IF($A1050&gt;'1-Input'!$B$26,0,(MAX(0,P1001-IF($A1050&gt;='1-Input'!$C$12,'1-Input'!$B$12,0))-MIN(MAX(T1049,0),MAX(0,P1001-IF($A1050&gt;='1-Input'!$C$12,'1-Input'!$B$12,0))))*(1/(1-'P-Parametri'!$B$6*P1050))+MIN(MAX(0,U1049-(MAX(0,P1001-IF($A1050&gt;='1-Input'!$C$12,'1-Input'!$B$12,0))-MIN(MAX(T1049,0),MAX(0,P1001-IF($A1050&gt;='1-Input'!$C$12,'1-Input'!$B$12,0))))*(1/(1-'P-Parametri'!$B$6*P1050))),MAX(0,0*P1001-(T1049-MIN(MAX(T1049,0),MAX(0,P1001-IF($A1050&gt;='1-Input'!$C$12,'1-Input'!$B$12,0)))))*(1/(1-'P-Parametri'!$B$6*P1050))))</f>
        <v>0</v>
      </c>
      <c r="R1050" s="18">
        <f>IF($A1050&gt;'1-Input'!$B$26,T1049,(T1049-MAX(0,P1001-IF($A1050&gt;='1-Input'!$C$12,'1-Input'!$B$12,0))+Q1050*(1-'P-Parametri'!$B$6*P1050))*(1+'1-Input'!$B$27))</f>
        <v>0</v>
      </c>
      <c r="S1050" s="18">
        <f>IF($A1050&gt;'1-Input'!$B$26,U1049,(U1049-Q1050)*(1+'5-Roberta'!$C$4))</f>
        <v>-21795.27825109948</v>
      </c>
      <c r="T1050" s="18">
        <f>IF($A1050&gt;'1-Input'!$B$26,R1050,R1050-'P-Parametri'!$B$8*(S1050+R1050)+MIN(MAX(S1050,0),'P-Parametri'!$B$8*(S1050+R1050)))</f>
        <v>0</v>
      </c>
      <c r="U1050" s="18">
        <f>IF($A1050&gt;'1-Input'!$B$26,S1050,S1050-MIN(MAX(S1050,0),'P-Parametri'!$B$8*(S1050+R1050)))</f>
        <v>-21795.27825109948</v>
      </c>
      <c r="V1050" s="18">
        <f>IF($A1050&gt;'1-Input'!$B$26,V1049,V1049-Q1050*(1-P1050))</f>
        <v>-16122.933176762806</v>
      </c>
      <c r="W1050" s="11">
        <f>IF($A1050&gt;'1-Input'!$B$26,0,IF(AB1049&lt;=0,0,MAX(0,(AB1049-AC1049)/AB1049)))</f>
        <v>0</v>
      </c>
      <c r="X1050" s="18">
        <f>IF($A1050&gt;'1-Input'!$B$26,0,(MAX(0,W1001-IF($A1050&gt;='1-Input'!$C$12,'1-Input'!$B$12,0))-MIN(MAX(AA1049,0),MAX(0,W1001-IF($A1050&gt;='1-Input'!$C$12,'1-Input'!$B$12,0))))*(1/(1-'P-Parametri'!$B$6*W1050))+MIN(MAX(0,AB1049-(MAX(0,W1001-IF($A1050&gt;='1-Input'!$C$12,'1-Input'!$B$12,0))-MIN(MAX(AA1049,0),MAX(0,W1001-IF($A1050&gt;='1-Input'!$C$12,'1-Input'!$B$12,0))))*(1/(1-'P-Parametri'!$B$6*W1050))),MAX(0,0*W1001-(AA1049-MIN(MAX(AA1049,0),MAX(0,W1001-IF($A1050&gt;='1-Input'!$C$12,'1-Input'!$B$12,0)))))*(1/(1-'P-Parametri'!$B$6*W1050))))</f>
        <v>0</v>
      </c>
      <c r="Y1050" s="18">
        <f>IF($A1050&gt;'1-Input'!$B$26,AA1049,(AA1049-MAX(0,W1001-IF($A1050&gt;='1-Input'!$C$12,'1-Input'!$B$12,0))+X1050*(1-'P-Parametri'!$B$6*W1050))*(1+'1-Input'!$B$27))</f>
        <v>-9.0616403269905277E-13</v>
      </c>
      <c r="Z1050" s="18">
        <f>IF($A1050&gt;'1-Input'!$B$26,AB1049,(AB1049-X1050)*(1+'5-Roberta'!$C$4))</f>
        <v>832.8918360184316</v>
      </c>
      <c r="AA1050" s="18">
        <f>IF($A1050&gt;'1-Input'!$B$26,Y1050,Y1050-'P-Parametri'!$B$8*(Z1050+Y1050)+MIN(MAX(Z1050,0),'P-Parametri'!$B$8*(Z1050+Y1050)))</f>
        <v>-9.0616403269905277E-13</v>
      </c>
      <c r="AB1050" s="18">
        <f>IF($A1050&gt;'1-Input'!$B$26,Z1050,Z1050-MIN(MAX(Z1050,0),'P-Parametri'!$B$8*(Z1050+Y1050)))</f>
        <v>832.8918360184316</v>
      </c>
      <c r="AC1050" s="18">
        <f>IF($A1050&gt;'1-Input'!$B$26,AC1049,AC1049-X1050*(1-W1050))</f>
        <v>150.6326626149546</v>
      </c>
      <c r="AD1050" s="11">
        <f>IF($A1050&gt;'1-Input'!$B$26,0,IF(AI1049&lt;=0,0,MAX(0,(AI1049-AJ1049)/AI1049)))</f>
        <v>0</v>
      </c>
      <c r="AE1050" s="18">
        <f>IF($A1050&gt;'1-Input'!$B$26,0,(MAX(0,AD1001-IF($A1050&gt;='1-Input'!$C$12,'1-Input'!$B$12,0))-MIN(MAX(AH1049,0),MAX(0,AD1001-IF($A1050&gt;='1-Input'!$C$12,'1-Input'!$B$12,0))))*(1/(1-'P-Parametri'!$B$6*AD1050))+MIN(MAX(0,AI1049-(MAX(0,AD1001-IF($A1050&gt;='1-Input'!$C$12,'1-Input'!$B$12,0))-MIN(MAX(AH1049,0),MAX(0,AD1001-IF($A1050&gt;='1-Input'!$C$12,'1-Input'!$B$12,0))))*(1/(1-'P-Parametri'!$B$6*AD1050))),MAX(0,0*AD1001-(AH1049-MIN(MAX(AH1049,0),MAX(0,AD1001-IF($A1050&gt;='1-Input'!$C$12,'1-Input'!$B$12,0)))))*(1/(1-'P-Parametri'!$B$6*AD1050))))</f>
        <v>0</v>
      </c>
      <c r="AF1050" s="18">
        <f>IF($A1050&gt;'1-Input'!$B$26,AH1049,(AH1049-MAX(0,AD1001-IF($A1050&gt;='1-Input'!$C$12,'1-Input'!$B$12,0))+AE1050*(1-'P-Parametri'!$B$6*AD1050))*(1+'1-Input'!$B$27))</f>
        <v>0</v>
      </c>
      <c r="AG1050" s="18">
        <f>IF($A1050&gt;'1-Input'!$B$26,AI1049,(AI1049-AE1050)*(1+'5-Roberta'!$C$4))</f>
        <v>-153.98825067353761</v>
      </c>
      <c r="AH1050" s="18">
        <f>IF($A1050&gt;'1-Input'!$B$26,AF1050,AF1050-'P-Parametri'!$B$8*(AG1050+AF1050)+MIN(MAX(AG1050,0),'P-Parametri'!$B$8*(AG1050+AF1050)))</f>
        <v>0</v>
      </c>
      <c r="AI1050" s="18">
        <f>IF($A1050&gt;'1-Input'!$B$26,AG1050,AG1050-MIN(MAX(AG1050,0),'P-Parametri'!$B$8*(AG1050+AF1050)))</f>
        <v>-153.98825067353761</v>
      </c>
      <c r="AJ1050" s="18">
        <f>IF($A1050&gt;'1-Input'!$B$26,AJ1049,AJ1049-AE1050*(1-AD1050))</f>
        <v>-27.849546852636877</v>
      </c>
      <c r="AK1050" s="11">
        <f>IF($A1050&gt;'1-Input'!$B$26,0,IF(AP1049&lt;=0,0,MAX(0,(AP1049-AQ1049)/AP1049)))</f>
        <v>0</v>
      </c>
      <c r="AL1050" s="18">
        <f>IF($A1050&gt;'1-Input'!$B$26,0,(MAX(0,AK1001-IF($A1050&gt;='1-Input'!$C$12,'1-Input'!$B$12,0))-MIN(MAX(AO1049,0),MAX(0,AK1001-IF($A1050&gt;='1-Input'!$C$12,'1-Input'!$B$12,0))))*(1/(1-'P-Parametri'!$B$6*AK1050))+MIN(MAX(0,AP1049-(MAX(0,AK1001-IF($A1050&gt;='1-Input'!$C$12,'1-Input'!$B$12,0))-MIN(MAX(AO1049,0),MAX(0,AK1001-IF($A1050&gt;='1-Input'!$C$12,'1-Input'!$B$12,0))))*(1/(1-'P-Parametri'!$B$6*AK1050))),MAX(0,0*AK1001-(AO1049-MIN(MAX(AO1049,0),MAX(0,AK1001-IF($A1050&gt;='1-Input'!$C$12,'1-Input'!$B$12,0)))))*(1/(1-'P-Parametri'!$B$6*AK1050))))</f>
        <v>0</v>
      </c>
      <c r="AM1050" s="18">
        <f>IF($A1050&gt;'1-Input'!$B$26,AO1049,(AO1049-MAX(0,AK1001-IF($A1050&gt;='1-Input'!$C$12,'1-Input'!$B$12,0))+AL1050*(1-'P-Parametri'!$B$6*AK1050))*(1+'1-Input'!$B$27))</f>
        <v>0</v>
      </c>
      <c r="AN1050" s="18">
        <f>IF($A1050&gt;'1-Input'!$B$26,AP1049,(AP1049-AL1050)*(1+'5-Roberta'!$C$4))</f>
        <v>4.1883788071572779E-10</v>
      </c>
      <c r="AO1050" s="18">
        <f>IF($A1050&gt;'1-Input'!$B$26,AM1050,AM1050-'P-Parametri'!$B$8*(AN1050+AM1050)+MIN(MAX(AN1050,0),'P-Parametri'!$B$8*(AN1050+AM1050)))</f>
        <v>0</v>
      </c>
      <c r="AP1050" s="18">
        <f>IF($A1050&gt;'1-Input'!$B$26,AN1050,AN1050-MIN(MAX(AN1050,0),'P-Parametri'!$B$8*(AN1050+AM1050)))</f>
        <v>4.1883788071572779E-10</v>
      </c>
      <c r="AQ1050" s="18">
        <f>IF($A1050&gt;'1-Input'!$B$26,AQ1049,AQ1049-AL1050*(1-AK1050))</f>
        <v>7.5260686571709812E-11</v>
      </c>
    </row>
    <row r="1051" spans="1:43">
      <c r="A1051" s="10">
        <f>48</f>
        <v>48</v>
      </c>
      <c r="B1051" s="11">
        <f>IF($A1051&gt;'1-Input'!$B$26,0,IF(G1050&lt;=0,0,MAX(0,(G1050-H1050)/G1050)))</f>
        <v>0</v>
      </c>
      <c r="C1051" s="18">
        <f>IF($A1051&gt;'1-Input'!$B$26,0,(MAX(0,B1001-IF($A1051&gt;='1-Input'!$C$12,'1-Input'!$B$12,0))-MIN(MAX(F1050,0),MAX(0,B1001-IF($A1051&gt;='1-Input'!$C$12,'1-Input'!$B$12,0))))*(1/(1-'P-Parametri'!$B$6*B1051))+MIN(MAX(0,G1050-(MAX(0,B1001-IF($A1051&gt;='1-Input'!$C$12,'1-Input'!$B$12,0))-MIN(MAX(F1050,0),MAX(0,B1001-IF($A1051&gt;='1-Input'!$C$12,'1-Input'!$B$12,0))))*(1/(1-'P-Parametri'!$B$6*B1051))),MAX(0,0*B1001-(F1050-MIN(MAX(F1050,0),MAX(0,B1001-IF($A1051&gt;='1-Input'!$C$12,'1-Input'!$B$12,0)))))*(1/(1-'P-Parametri'!$B$6*B1051))))</f>
        <v>0</v>
      </c>
      <c r="D1051" s="18">
        <f>IF($A1051&gt;'1-Input'!$B$26,F1050,(F1050-MAX(0,B1001-IF($A1051&gt;='1-Input'!$C$12,'1-Input'!$B$12,0))+C1051*(1-'P-Parametri'!$B$6*B1051))*(1+'1-Input'!$B$27))</f>
        <v>0</v>
      </c>
      <c r="E1051" s="18">
        <f>IF($A1051&gt;'1-Input'!$B$26,G1050,(G1050-C1051)*(1+'5-Roberta'!$C$4))</f>
        <v>180028.47469841459</v>
      </c>
      <c r="F1051" s="18">
        <f>IF($A1051&gt;'1-Input'!$B$26,D1051,D1051-'P-Parametri'!$B$8*(E1051+D1051)+MIN(MAX(E1051,0),'P-Parametri'!$B$8*(E1051+D1051)))</f>
        <v>0</v>
      </c>
      <c r="G1051" s="18">
        <f>IF($A1051&gt;'1-Input'!$B$26,E1051,E1051-MIN(MAX(E1051,0),'P-Parametri'!$B$8*(E1051+D1051)))</f>
        <v>180028.47469841459</v>
      </c>
      <c r="H1051" s="18">
        <f>IF($A1051&gt;'1-Input'!$B$26,H1050,H1050-C1051*(1-B1051))</f>
        <v>32559.051869168496</v>
      </c>
      <c r="I1051" s="11">
        <f>IF($A1051&gt;'1-Input'!$B$26,0,IF(N1050&lt;=0,0,MAX(0,(N1050-O1050)/N1050)))</f>
        <v>0</v>
      </c>
      <c r="J1051" s="18">
        <f>IF($A1051&gt;'1-Input'!$B$26,0,(MAX(0,I1001-IF($A1051&gt;='1-Input'!$C$12,'1-Input'!$B$12,0))-MIN(MAX(M1050,0),MAX(0,I1001-IF($A1051&gt;='1-Input'!$C$12,'1-Input'!$B$12,0))))*(1/(1-'P-Parametri'!$B$6*I1051))+MIN(MAX(0,N1050-(MAX(0,I1001-IF($A1051&gt;='1-Input'!$C$12,'1-Input'!$B$12,0))-MIN(MAX(M1050,0),MAX(0,I1001-IF($A1051&gt;='1-Input'!$C$12,'1-Input'!$B$12,0))))*(1/(1-'P-Parametri'!$B$6*I1051))),MAX(0,0*I1001-(M1050-MIN(MAX(M1050,0),MAX(0,I1001-IF($A1051&gt;='1-Input'!$C$12,'1-Input'!$B$12,0)))))*(1/(1-'P-Parametri'!$B$6*I1051))))</f>
        <v>0</v>
      </c>
      <c r="K1051" s="18">
        <f>IF($A1051&gt;'1-Input'!$B$26,M1050,(M1050-MAX(0,I1001-IF($A1051&gt;='1-Input'!$C$12,'1-Input'!$B$12,0))+J1051*(1-'P-Parametri'!$B$6*I1051))*(1+'1-Input'!$B$27))</f>
        <v>-1.8189894035458565E-12</v>
      </c>
      <c r="L1051" s="18">
        <f>IF($A1051&gt;'1-Input'!$B$26,N1050,(N1050-J1051)*(1+'5-Roberta'!$C$4))</f>
        <v>-312275.80801300571</v>
      </c>
      <c r="M1051" s="18">
        <f>IF($A1051&gt;'1-Input'!$B$26,K1051,K1051-'P-Parametri'!$B$8*(L1051+K1051)+MIN(MAX(L1051,0),'P-Parametri'!$B$8*(L1051+K1051)))</f>
        <v>-1.8189894035458565E-12</v>
      </c>
      <c r="N1051" s="18">
        <f>IF($A1051&gt;'1-Input'!$B$26,L1051,L1051-MIN(MAX(L1051,0),'P-Parametri'!$B$8*(L1051+K1051)))</f>
        <v>-312275.80801300571</v>
      </c>
      <c r="O1051" s="18">
        <f>IF($A1051&gt;'1-Input'!$B$26,O1050,O1050-J1051*(1-I1051))</f>
        <v>-220348.88679534956</v>
      </c>
      <c r="P1051" s="11">
        <f>IF($A1051&gt;'1-Input'!$B$26,0,IF(U1050&lt;=0,0,MAX(0,(U1050-V1050)/U1050)))</f>
        <v>0</v>
      </c>
      <c r="Q1051" s="18">
        <f>IF($A1051&gt;'1-Input'!$B$26,0,(MAX(0,P1001-IF($A1051&gt;='1-Input'!$C$12,'1-Input'!$B$12,0))-MIN(MAX(T1050,0),MAX(0,P1001-IF($A1051&gt;='1-Input'!$C$12,'1-Input'!$B$12,0))))*(1/(1-'P-Parametri'!$B$6*P1051))+MIN(MAX(0,U1050-(MAX(0,P1001-IF($A1051&gt;='1-Input'!$C$12,'1-Input'!$B$12,0))-MIN(MAX(T1050,0),MAX(0,P1001-IF($A1051&gt;='1-Input'!$C$12,'1-Input'!$B$12,0))))*(1/(1-'P-Parametri'!$B$6*P1051))),MAX(0,0*P1001-(T1050-MIN(MAX(T1050,0),MAX(0,P1001-IF($A1051&gt;='1-Input'!$C$12,'1-Input'!$B$12,0)))))*(1/(1-'P-Parametri'!$B$6*P1051))))</f>
        <v>0</v>
      </c>
      <c r="R1051" s="18">
        <f>IF($A1051&gt;'1-Input'!$B$26,T1050,(T1050-MAX(0,P1001-IF($A1051&gt;='1-Input'!$C$12,'1-Input'!$B$12,0))+Q1051*(1-'P-Parametri'!$B$6*P1051))*(1+'1-Input'!$B$27))</f>
        <v>0</v>
      </c>
      <c r="S1051" s="18">
        <f>IF($A1051&gt;'1-Input'!$B$26,U1050,(U1050-Q1051)*(1+'5-Roberta'!$C$4))</f>
        <v>-21795.27825109948</v>
      </c>
      <c r="T1051" s="18">
        <f>IF($A1051&gt;'1-Input'!$B$26,R1051,R1051-'P-Parametri'!$B$8*(S1051+R1051)+MIN(MAX(S1051,0),'P-Parametri'!$B$8*(S1051+R1051)))</f>
        <v>0</v>
      </c>
      <c r="U1051" s="18">
        <f>IF($A1051&gt;'1-Input'!$B$26,S1051,S1051-MIN(MAX(S1051,0),'P-Parametri'!$B$8*(S1051+R1051)))</f>
        <v>-21795.27825109948</v>
      </c>
      <c r="V1051" s="18">
        <f>IF($A1051&gt;'1-Input'!$B$26,V1050,V1050-Q1051*(1-P1051))</f>
        <v>-16122.933176762806</v>
      </c>
      <c r="W1051" s="11">
        <f>IF($A1051&gt;'1-Input'!$B$26,0,IF(AB1050&lt;=0,0,MAX(0,(AB1050-AC1050)/AB1050)))</f>
        <v>0</v>
      </c>
      <c r="X1051" s="18">
        <f>IF($A1051&gt;'1-Input'!$B$26,0,(MAX(0,W1001-IF($A1051&gt;='1-Input'!$C$12,'1-Input'!$B$12,0))-MIN(MAX(AA1050,0),MAX(0,W1001-IF($A1051&gt;='1-Input'!$C$12,'1-Input'!$B$12,0))))*(1/(1-'P-Parametri'!$B$6*W1051))+MIN(MAX(0,AB1050-(MAX(0,W1001-IF($A1051&gt;='1-Input'!$C$12,'1-Input'!$B$12,0))-MIN(MAX(AA1050,0),MAX(0,W1001-IF($A1051&gt;='1-Input'!$C$12,'1-Input'!$B$12,0))))*(1/(1-'P-Parametri'!$B$6*W1051))),MAX(0,0*W1001-(AA1050-MIN(MAX(AA1050,0),MAX(0,W1001-IF($A1051&gt;='1-Input'!$C$12,'1-Input'!$B$12,0)))))*(1/(1-'P-Parametri'!$B$6*W1051))))</f>
        <v>0</v>
      </c>
      <c r="Y1051" s="18">
        <f>IF($A1051&gt;'1-Input'!$B$26,AA1050,(AA1050-MAX(0,W1001-IF($A1051&gt;='1-Input'!$C$12,'1-Input'!$B$12,0))+X1051*(1-'P-Parametri'!$B$6*W1051))*(1+'1-Input'!$B$27))</f>
        <v>-9.0616403269905277E-13</v>
      </c>
      <c r="Z1051" s="18">
        <f>IF($A1051&gt;'1-Input'!$B$26,AB1050,(AB1050-X1051)*(1+'5-Roberta'!$C$4))</f>
        <v>832.8918360184316</v>
      </c>
      <c r="AA1051" s="18">
        <f>IF($A1051&gt;'1-Input'!$B$26,Y1051,Y1051-'P-Parametri'!$B$8*(Z1051+Y1051)+MIN(MAX(Z1051,0),'P-Parametri'!$B$8*(Z1051+Y1051)))</f>
        <v>-9.0616403269905277E-13</v>
      </c>
      <c r="AB1051" s="18">
        <f>IF($A1051&gt;'1-Input'!$B$26,Z1051,Z1051-MIN(MAX(Z1051,0),'P-Parametri'!$B$8*(Z1051+Y1051)))</f>
        <v>832.8918360184316</v>
      </c>
      <c r="AC1051" s="18">
        <f>IF($A1051&gt;'1-Input'!$B$26,AC1050,AC1050-X1051*(1-W1051))</f>
        <v>150.6326626149546</v>
      </c>
      <c r="AD1051" s="11">
        <f>IF($A1051&gt;'1-Input'!$B$26,0,IF(AI1050&lt;=0,0,MAX(0,(AI1050-AJ1050)/AI1050)))</f>
        <v>0</v>
      </c>
      <c r="AE1051" s="18">
        <f>IF($A1051&gt;'1-Input'!$B$26,0,(MAX(0,AD1001-IF($A1051&gt;='1-Input'!$C$12,'1-Input'!$B$12,0))-MIN(MAX(AH1050,0),MAX(0,AD1001-IF($A1051&gt;='1-Input'!$C$12,'1-Input'!$B$12,0))))*(1/(1-'P-Parametri'!$B$6*AD1051))+MIN(MAX(0,AI1050-(MAX(0,AD1001-IF($A1051&gt;='1-Input'!$C$12,'1-Input'!$B$12,0))-MIN(MAX(AH1050,0),MAX(0,AD1001-IF($A1051&gt;='1-Input'!$C$12,'1-Input'!$B$12,0))))*(1/(1-'P-Parametri'!$B$6*AD1051))),MAX(0,0*AD1001-(AH1050-MIN(MAX(AH1050,0),MAX(0,AD1001-IF($A1051&gt;='1-Input'!$C$12,'1-Input'!$B$12,0)))))*(1/(1-'P-Parametri'!$B$6*AD1051))))</f>
        <v>0</v>
      </c>
      <c r="AF1051" s="18">
        <f>IF($A1051&gt;'1-Input'!$B$26,AH1050,(AH1050-MAX(0,AD1001-IF($A1051&gt;='1-Input'!$C$12,'1-Input'!$B$12,0))+AE1051*(1-'P-Parametri'!$B$6*AD1051))*(1+'1-Input'!$B$27))</f>
        <v>0</v>
      </c>
      <c r="AG1051" s="18">
        <f>IF($A1051&gt;'1-Input'!$B$26,AI1050,(AI1050-AE1051)*(1+'5-Roberta'!$C$4))</f>
        <v>-153.98825067353761</v>
      </c>
      <c r="AH1051" s="18">
        <f>IF($A1051&gt;'1-Input'!$B$26,AF1051,AF1051-'P-Parametri'!$B$8*(AG1051+AF1051)+MIN(MAX(AG1051,0),'P-Parametri'!$B$8*(AG1051+AF1051)))</f>
        <v>0</v>
      </c>
      <c r="AI1051" s="18">
        <f>IF($A1051&gt;'1-Input'!$B$26,AG1051,AG1051-MIN(MAX(AG1051,0),'P-Parametri'!$B$8*(AG1051+AF1051)))</f>
        <v>-153.98825067353761</v>
      </c>
      <c r="AJ1051" s="18">
        <f>IF($A1051&gt;'1-Input'!$B$26,AJ1050,AJ1050-AE1051*(1-AD1051))</f>
        <v>-27.849546852636877</v>
      </c>
      <c r="AK1051" s="11">
        <f>IF($A1051&gt;'1-Input'!$B$26,0,IF(AP1050&lt;=0,0,MAX(0,(AP1050-AQ1050)/AP1050)))</f>
        <v>0</v>
      </c>
      <c r="AL1051" s="18">
        <f>IF($A1051&gt;'1-Input'!$B$26,0,(MAX(0,AK1001-IF($A1051&gt;='1-Input'!$C$12,'1-Input'!$B$12,0))-MIN(MAX(AO1050,0),MAX(0,AK1001-IF($A1051&gt;='1-Input'!$C$12,'1-Input'!$B$12,0))))*(1/(1-'P-Parametri'!$B$6*AK1051))+MIN(MAX(0,AP1050-(MAX(0,AK1001-IF($A1051&gt;='1-Input'!$C$12,'1-Input'!$B$12,0))-MIN(MAX(AO1050,0),MAX(0,AK1001-IF($A1051&gt;='1-Input'!$C$12,'1-Input'!$B$12,0))))*(1/(1-'P-Parametri'!$B$6*AK1051))),MAX(0,0*AK1001-(AO1050-MIN(MAX(AO1050,0),MAX(0,AK1001-IF($A1051&gt;='1-Input'!$C$12,'1-Input'!$B$12,0)))))*(1/(1-'P-Parametri'!$B$6*AK1051))))</f>
        <v>0</v>
      </c>
      <c r="AM1051" s="18">
        <f>IF($A1051&gt;'1-Input'!$B$26,AO1050,(AO1050-MAX(0,AK1001-IF($A1051&gt;='1-Input'!$C$12,'1-Input'!$B$12,0))+AL1051*(1-'P-Parametri'!$B$6*AK1051))*(1+'1-Input'!$B$27))</f>
        <v>0</v>
      </c>
      <c r="AN1051" s="18">
        <f>IF($A1051&gt;'1-Input'!$B$26,AP1050,(AP1050-AL1051)*(1+'5-Roberta'!$C$4))</f>
        <v>4.1883788071572779E-10</v>
      </c>
      <c r="AO1051" s="18">
        <f>IF($A1051&gt;'1-Input'!$B$26,AM1051,AM1051-'P-Parametri'!$B$8*(AN1051+AM1051)+MIN(MAX(AN1051,0),'P-Parametri'!$B$8*(AN1051+AM1051)))</f>
        <v>0</v>
      </c>
      <c r="AP1051" s="18">
        <f>IF($A1051&gt;'1-Input'!$B$26,AN1051,AN1051-MIN(MAX(AN1051,0),'P-Parametri'!$B$8*(AN1051+AM1051)))</f>
        <v>4.1883788071572779E-10</v>
      </c>
      <c r="AQ1051" s="18">
        <f>IF($A1051&gt;'1-Input'!$B$26,AQ1050,AQ1050-AL1051*(1-AK1051))</f>
        <v>7.5260686571709812E-11</v>
      </c>
    </row>
    <row r="1052" spans="1:43">
      <c r="A1052" s="4" t="s">
        <v>365</v>
      </c>
      <c r="B1052" s="18">
        <f>F1051+G1051</f>
        <v>180028.47469841459</v>
      </c>
      <c r="I1052" s="18">
        <f>M1051+N1051</f>
        <v>-312275.80801300571</v>
      </c>
      <c r="P1052" s="18">
        <f>T1051+U1051</f>
        <v>-21795.27825109948</v>
      </c>
      <c r="W1052" s="18">
        <f>AA1051+AB1051</f>
        <v>832.89183601843069</v>
      </c>
      <c r="AD1052" s="18">
        <f>AH1051+AI1051</f>
        <v>-153.98825067353761</v>
      </c>
      <c r="AK1052" s="18">
        <f>AO1051+AP1051</f>
        <v>4.1883788071572779E-10</v>
      </c>
    </row>
    <row r="1053" spans="1:43">
      <c r="A1053" s="5" t="s">
        <v>266</v>
      </c>
      <c r="B1053" s="18">
        <f>IFERROR(AK1001-AK1052*(AK1001-AD1001)/(AK1052-AD1052),AK1001)</f>
        <v>18364.455130964445</v>
      </c>
    </row>
    <row r="1055" spans="1:43">
      <c r="A1055" s="2" t="s">
        <v>428</v>
      </c>
    </row>
    <row r="1056" spans="1:43">
      <c r="A1056" s="4" t="s">
        <v>360</v>
      </c>
      <c r="B1056" s="9">
        <f>0.038*'2-Caso'!$B$12</f>
        <v>16681.055314625803</v>
      </c>
      <c r="I1056" s="9">
        <f>0.05*'2-Caso'!$B$12</f>
        <v>21948.756992928691</v>
      </c>
      <c r="P1056" s="18">
        <f>IFERROR(I1056-I1107*(I1056-B1056)/(I1107-B1107),I1056)</f>
        <v>17641.453937383158</v>
      </c>
      <c r="W1056" s="18">
        <f>IFERROR(P1056-P1107*(P1056-I1056)/(P1107-I1107),P1056)</f>
        <v>17525.745073336078</v>
      </c>
      <c r="AD1056" s="18">
        <f>IFERROR(W1056-W1107*(W1056-P1056)/(W1107-P1107),W1056)</f>
        <v>17516.710285183472</v>
      </c>
      <c r="AK1056" s="18">
        <f>IFERROR(AD1056-AD1107*(AD1056-W1056)/(AD1107-W1107),AD1056)</f>
        <v>17516.750582606732</v>
      </c>
    </row>
    <row r="1057" spans="1:43" ht="45">
      <c r="A1057" s="25" t="s">
        <v>262</v>
      </c>
      <c r="B1057" s="25" t="s">
        <v>361</v>
      </c>
      <c r="C1057" s="25" t="s">
        <v>263</v>
      </c>
      <c r="D1057" s="25" t="s">
        <v>362</v>
      </c>
      <c r="E1057" s="25" t="s">
        <v>363</v>
      </c>
      <c r="F1057" s="25" t="s">
        <v>264</v>
      </c>
      <c r="G1057" s="25" t="s">
        <v>265</v>
      </c>
      <c r="H1057" s="25" t="s">
        <v>364</v>
      </c>
      <c r="I1057" s="25" t="s">
        <v>361</v>
      </c>
      <c r="J1057" s="25" t="s">
        <v>263</v>
      </c>
      <c r="K1057" s="25" t="s">
        <v>362</v>
      </c>
      <c r="L1057" s="25" t="s">
        <v>363</v>
      </c>
      <c r="M1057" s="25" t="s">
        <v>264</v>
      </c>
      <c r="N1057" s="25" t="s">
        <v>265</v>
      </c>
      <c r="O1057" s="25" t="s">
        <v>364</v>
      </c>
      <c r="P1057" s="25" t="s">
        <v>361</v>
      </c>
      <c r="Q1057" s="25" t="s">
        <v>263</v>
      </c>
      <c r="R1057" s="25" t="s">
        <v>362</v>
      </c>
      <c r="S1057" s="25" t="s">
        <v>363</v>
      </c>
      <c r="T1057" s="25" t="s">
        <v>264</v>
      </c>
      <c r="U1057" s="25" t="s">
        <v>265</v>
      </c>
      <c r="V1057" s="25" t="s">
        <v>364</v>
      </c>
      <c r="W1057" s="25" t="s">
        <v>361</v>
      </c>
      <c r="X1057" s="25" t="s">
        <v>263</v>
      </c>
      <c r="Y1057" s="25" t="s">
        <v>362</v>
      </c>
      <c r="Z1057" s="25" t="s">
        <v>363</v>
      </c>
      <c r="AA1057" s="25" t="s">
        <v>264</v>
      </c>
      <c r="AB1057" s="25" t="s">
        <v>265</v>
      </c>
      <c r="AC1057" s="25" t="s">
        <v>364</v>
      </c>
      <c r="AD1057" s="25" t="s">
        <v>361</v>
      </c>
      <c r="AE1057" s="25" t="s">
        <v>263</v>
      </c>
      <c r="AF1057" s="25" t="s">
        <v>362</v>
      </c>
      <c r="AG1057" s="25" t="s">
        <v>363</v>
      </c>
      <c r="AH1057" s="25" t="s">
        <v>264</v>
      </c>
      <c r="AI1057" s="25" t="s">
        <v>265</v>
      </c>
      <c r="AJ1057" s="25" t="s">
        <v>364</v>
      </c>
      <c r="AK1057" s="25" t="s">
        <v>361</v>
      </c>
      <c r="AL1057" s="25" t="s">
        <v>263</v>
      </c>
      <c r="AM1057" s="25" t="s">
        <v>362</v>
      </c>
      <c r="AN1057" s="25" t="s">
        <v>363</v>
      </c>
      <c r="AO1057" s="25" t="s">
        <v>264</v>
      </c>
      <c r="AP1057" s="25" t="s">
        <v>265</v>
      </c>
      <c r="AQ1057" s="25" t="s">
        <v>364</v>
      </c>
    </row>
    <row r="1058" spans="1:43">
      <c r="A1058" s="3">
        <v>0</v>
      </c>
      <c r="F1058" s="18">
        <f>MIN(2*B1056,'2-Caso'!$B$12)</f>
        <v>33362.110629251605</v>
      </c>
      <c r="G1058" s="18">
        <f>'2-Caso'!$B$12-F1058</f>
        <v>405613.02922932222</v>
      </c>
      <c r="H1058" s="18">
        <f>('2-Caso'!$B$12*0.625)*G1058/'2-Caso'!$B$12</f>
        <v>253508.14326832638</v>
      </c>
      <c r="M1058" s="18">
        <f>MIN(2*I1056,'2-Caso'!$B$12)</f>
        <v>43897.513985857382</v>
      </c>
      <c r="N1058" s="18">
        <f>'2-Caso'!$B$12-M1058</f>
        <v>395077.62587271642</v>
      </c>
      <c r="O1058" s="18">
        <f>('2-Caso'!$B$12*0.625)*N1058/'2-Caso'!$B$12</f>
        <v>246923.51617044775</v>
      </c>
      <c r="T1058" s="18">
        <f>MIN(2*P1056,'2-Caso'!$B$12)</f>
        <v>35282.907874766315</v>
      </c>
      <c r="U1058" s="18">
        <f>'2-Caso'!$B$12-T1058</f>
        <v>403692.23198380746</v>
      </c>
      <c r="V1058" s="18">
        <f>('2-Caso'!$B$12*0.625)*U1058/'2-Caso'!$B$12</f>
        <v>252307.64498987966</v>
      </c>
      <c r="AA1058" s="18">
        <f>MIN(2*W1056,'2-Caso'!$B$12)</f>
        <v>35051.490146672157</v>
      </c>
      <c r="AB1058" s="18">
        <f>'2-Caso'!$B$12-AA1058</f>
        <v>403923.64971190161</v>
      </c>
      <c r="AC1058" s="18">
        <f>('2-Caso'!$B$12*0.625)*AB1058/'2-Caso'!$B$12</f>
        <v>252452.2810699385</v>
      </c>
      <c r="AH1058" s="18">
        <f>MIN(2*AD1056,'2-Caso'!$B$12)</f>
        <v>35033.420570366943</v>
      </c>
      <c r="AI1058" s="18">
        <f>'2-Caso'!$B$12-AH1058</f>
        <v>403941.71928820683</v>
      </c>
      <c r="AJ1058" s="18">
        <f>('2-Caso'!$B$12*0.625)*AI1058/'2-Caso'!$B$12</f>
        <v>252463.57455512928</v>
      </c>
      <c r="AO1058" s="18">
        <f>MIN(2*AK1056,'2-Caso'!$B$12)</f>
        <v>35033.501165213464</v>
      </c>
      <c r="AP1058" s="18">
        <f>'2-Caso'!$B$12-AO1058</f>
        <v>403941.63869336032</v>
      </c>
      <c r="AQ1058" s="18">
        <f>('2-Caso'!$B$12*0.625)*AP1058/'2-Caso'!$B$12</f>
        <v>252463.52418335018</v>
      </c>
    </row>
    <row r="1059" spans="1:43">
      <c r="A1059" s="10">
        <f>1</f>
        <v>1</v>
      </c>
      <c r="B1059" s="11">
        <f>IF($A1059&gt;'1-Input'!$B$26,0,IF(G1058&lt;=0,0,MAX(0,(G1058-H1058)/G1058)))</f>
        <v>0.375</v>
      </c>
      <c r="C1059" s="18">
        <f>IF($A1059&gt;'1-Input'!$B$26,0,(MAX(0,B1056-IF($A1059&gt;='1-Input'!$C$12,'1-Input'!$B$12,0))-MIN(MAX(F1058,0),MAX(0,B1056-IF($A1059&gt;='1-Input'!$C$12,'1-Input'!$B$12,0))))*(1/(1-'P-Parametri'!$B$6*B1059))+MIN(MAX(0,G1058-(MAX(0,B1056-IF($A1059&gt;='1-Input'!$C$12,'1-Input'!$B$12,0))-MIN(MAX(F1058,0),MAX(0,B1056-IF($A1059&gt;='1-Input'!$C$12,'1-Input'!$B$12,0))))*(1/(1-'P-Parametri'!$B$6*B1059))),MAX(0,2*B1056-(F1058-MIN(MAX(F1058,0),MAX(0,B1056-IF($A1059&gt;='1-Input'!$C$12,'1-Input'!$B$12,0)))))*(1/(1-'P-Parametri'!$B$6*B1059))))</f>
        <v>18483.163783518896</v>
      </c>
      <c r="D1059" s="18">
        <f>IF($A1059&gt;'1-Input'!$B$26,F1058,(F1058-MAX(0,B1056-IF($A1059&gt;='1-Input'!$C$12,'1-Input'!$B$12,0))+C1059*(1-'P-Parametri'!$B$6*B1059))*(1+'1-Input'!$B$27))</f>
        <v>33242.0070309863</v>
      </c>
      <c r="E1059" s="18">
        <f>IF($A1059&gt;'1-Input'!$B$26,G1058,(G1058-C1059)*(1+'5-Roberta'!$C$4))</f>
        <v>398743.76140917744</v>
      </c>
      <c r="F1059" s="18">
        <f>IF($A1059&gt;'1-Input'!$B$26,D1059,D1059-'P-Parametri'!$B$8*(E1059+D1059)+MIN(MAX(E1059,0),'P-Parametri'!$B$8*(E1059+D1059)))</f>
        <v>33242.0070309863</v>
      </c>
      <c r="G1059" s="18">
        <f>IF($A1059&gt;'1-Input'!$B$26,E1059,E1059-MIN(MAX(E1059,0),'P-Parametri'!$B$8*(E1059+D1059)))</f>
        <v>397879.78987229714</v>
      </c>
      <c r="H1059" s="18">
        <f>IF($A1059&gt;'1-Input'!$B$26,H1058,H1058-C1059*(1-B1059))</f>
        <v>241956.16590362709</v>
      </c>
      <c r="I1059" s="11">
        <f>IF($A1059&gt;'1-Input'!$B$26,0,IF(N1058&lt;=0,0,MAX(0,(N1058-O1058)/N1058)))</f>
        <v>0.37500000000000006</v>
      </c>
      <c r="J1059" s="18">
        <f>IF($A1059&gt;'1-Input'!$B$26,0,(MAX(0,I1056-IF($A1059&gt;='1-Input'!$C$12,'1-Input'!$B$12,0))-MIN(MAX(M1058,0),MAX(0,I1056-IF($A1059&gt;='1-Input'!$C$12,'1-Input'!$B$12,0))))*(1/(1-'P-Parametri'!$B$6*I1059))+MIN(MAX(0,N1058-(MAX(0,I1056-IF($A1059&gt;='1-Input'!$C$12,'1-Input'!$B$12,0))-MIN(MAX(M1058,0),MAX(0,I1056-IF($A1059&gt;='1-Input'!$C$12,'1-Input'!$B$12,0))))*(1/(1-'P-Parametri'!$B$6*I1059))),MAX(0,2*I1056-(M1058-MIN(MAX(M1058,0),MAX(0,I1056-IF($A1059&gt;='1-Input'!$C$12,'1-Input'!$B$12,0)))))*(1/(1-'P-Parametri'!$B$6*I1059))))</f>
        <v>24319.952346735394</v>
      </c>
      <c r="K1059" s="18">
        <f>IF($A1059&gt;'1-Input'!$B$26,M1058,(M1058-MAX(0,I1056-IF($A1059&gt;='1-Input'!$C$12,'1-Input'!$B$12,0))+J1059*(1-'P-Parametri'!$B$6*I1059))*(1+'1-Input'!$B$27))</f>
        <v>43739.482935508291</v>
      </c>
      <c r="L1059" s="18">
        <f>IF($A1059&gt;'1-Input'!$B$26,N1058,(N1058-J1059)*(1+'5-Roberta'!$C$4))</f>
        <v>381880.40373176045</v>
      </c>
      <c r="M1059" s="18">
        <f>IF($A1059&gt;'1-Input'!$B$26,K1059,K1059-'P-Parametri'!$B$8*(L1059+K1059)+MIN(MAX(L1059,0),'P-Parametri'!$B$8*(L1059+K1059)))</f>
        <v>43739.482935508291</v>
      </c>
      <c r="N1059" s="18">
        <f>IF($A1059&gt;'1-Input'!$B$26,L1059,L1059-MIN(MAX(L1059,0),'P-Parametri'!$B$8*(L1059+K1059)))</f>
        <v>381029.16395842592</v>
      </c>
      <c r="O1059" s="18">
        <f>IF($A1059&gt;'1-Input'!$B$26,O1058,O1058-J1059*(1-I1059))</f>
        <v>231723.54595373812</v>
      </c>
      <c r="P1059" s="11">
        <f>IF($A1059&gt;'1-Input'!$B$26,0,IF(U1058&lt;=0,0,MAX(0,(U1058-V1058)/U1058)))</f>
        <v>0.375</v>
      </c>
      <c r="Q1059" s="18">
        <f>IF($A1059&gt;'1-Input'!$B$26,0,(MAX(0,P1056-IF($A1059&gt;='1-Input'!$C$12,'1-Input'!$B$12,0))-MIN(MAX(T1058,0),MAX(0,P1056-IF($A1059&gt;='1-Input'!$C$12,'1-Input'!$B$12,0))))*(1/(1-'P-Parametri'!$B$6*P1059))+MIN(MAX(0,U1058-(MAX(0,P1056-IF($A1059&gt;='1-Input'!$C$12,'1-Input'!$B$12,0))-MIN(MAX(T1058,0),MAX(0,P1056-IF($A1059&gt;='1-Input'!$C$12,'1-Input'!$B$12,0))))*(1/(1-'P-Parametri'!$B$6*P1059))),MAX(0,2*P1056-(T1058-MIN(MAX(T1058,0),MAX(0,P1056-IF($A1059&gt;='1-Input'!$C$12,'1-Input'!$B$12,0)))))*(1/(1-'P-Parametri'!$B$6*P1059))))</f>
        <v>19547.317382142006</v>
      </c>
      <c r="R1059" s="18">
        <f>IF($A1059&gt;'1-Input'!$B$26,T1058,(T1058-MAX(0,P1056-IF($A1059&gt;='1-Input'!$C$12,'1-Input'!$B$12,0))+Q1059*(1-'P-Parametri'!$B$6*P1059))*(1+'1-Input'!$B$27))</f>
        <v>35155.889406417155</v>
      </c>
      <c r="S1059" s="18">
        <f>IF($A1059&gt;'1-Input'!$B$26,U1058,(U1058-Q1059)*(1+'5-Roberta'!$C$4))</f>
        <v>395669.26203971542</v>
      </c>
      <c r="T1059" s="18">
        <f>IF($A1059&gt;'1-Input'!$B$26,R1059,R1059-'P-Parametri'!$B$8*(S1059+R1059)+MIN(MAX(S1059,0),'P-Parametri'!$B$8*(S1059+R1059)))</f>
        <v>35155.889406417155</v>
      </c>
      <c r="U1059" s="18">
        <f>IF($A1059&gt;'1-Input'!$B$26,S1059,S1059-MIN(MAX(S1059,0),'P-Parametri'!$B$8*(S1059+R1059)))</f>
        <v>394807.61173682316</v>
      </c>
      <c r="V1059" s="18">
        <f>IF($A1059&gt;'1-Input'!$B$26,V1058,V1058-Q1059*(1-P1059))</f>
        <v>240090.57162604091</v>
      </c>
      <c r="W1059" s="11">
        <f>IF($A1059&gt;'1-Input'!$B$26,0,IF(AB1058&lt;=0,0,MAX(0,(AB1058-AC1058)/AB1058)))</f>
        <v>0.375</v>
      </c>
      <c r="X1059" s="18">
        <f>IF($A1059&gt;'1-Input'!$B$26,0,(MAX(0,W1056-IF($A1059&gt;='1-Input'!$C$12,'1-Input'!$B$12,0))-MIN(MAX(AA1058,0),MAX(0,W1056-IF($A1059&gt;='1-Input'!$C$12,'1-Input'!$B$12,0))))*(1/(1-'P-Parametri'!$B$6*W1059))+MIN(MAX(0,AB1058-(MAX(0,W1056-IF($A1059&gt;='1-Input'!$C$12,'1-Input'!$B$12,0))-MIN(MAX(AA1058,0),MAX(0,W1056-IF($A1059&gt;='1-Input'!$C$12,'1-Input'!$B$12,0))))*(1/(1-'P-Parametri'!$B$6*W1059))),MAX(0,2*W1056-(AA1058-MIN(MAX(AA1058,0),MAX(0,W1056-IF($A1059&gt;='1-Input'!$C$12,'1-Input'!$B$12,0)))))*(1/(1-'P-Parametri'!$B$6*W1059))))</f>
        <v>19419.10811449981</v>
      </c>
      <c r="Y1059" s="18">
        <f>IF($A1059&gt;'1-Input'!$B$26,AA1058,(AA1058-MAX(0,W1056-IF($A1059&gt;='1-Input'!$C$12,'1-Input'!$B$12,0))+X1059*(1-'P-Parametri'!$B$6*W1059))*(1+'1-Input'!$B$27))</f>
        <v>34925.304782144136</v>
      </c>
      <c r="Z1059" s="18">
        <f>IF($A1059&gt;'1-Input'!$B$26,AB1058,(AB1058-X1059)*(1+'5-Roberta'!$C$4))</f>
        <v>396039.67784532387</v>
      </c>
      <c r="AA1059" s="18">
        <f>IF($A1059&gt;'1-Input'!$B$26,Y1059,Y1059-'P-Parametri'!$B$8*(Z1059+Y1059)+MIN(MAX(Z1059,0),'P-Parametri'!$B$8*(Z1059+Y1059)))</f>
        <v>34925.304782144136</v>
      </c>
      <c r="AB1059" s="18">
        <f>IF($A1059&gt;'1-Input'!$B$26,Z1059,Z1059-MIN(MAX(Z1059,0),'P-Parametri'!$B$8*(Z1059+Y1059)))</f>
        <v>395177.74788006896</v>
      </c>
      <c r="AC1059" s="18">
        <f>IF($A1059&gt;'1-Input'!$B$26,AC1058,AC1058-X1059*(1-W1059))</f>
        <v>240315.33849837614</v>
      </c>
      <c r="AD1059" s="11">
        <f>IF($A1059&gt;'1-Input'!$B$26,0,IF(AI1058&lt;=0,0,MAX(0,(AI1058-AJ1058)/AI1058)))</f>
        <v>0.375</v>
      </c>
      <c r="AE1059" s="18">
        <f>IF($A1059&gt;'1-Input'!$B$26,0,(MAX(0,AD1056-IF($A1059&gt;='1-Input'!$C$12,'1-Input'!$B$12,0))-MIN(MAX(AH1058,0),MAX(0,AD1056-IF($A1059&gt;='1-Input'!$C$12,'1-Input'!$B$12,0))))*(1/(1-'P-Parametri'!$B$6*AD1059))+MIN(MAX(0,AI1058-(MAX(0,AD1056-IF($A1059&gt;='1-Input'!$C$12,'1-Input'!$B$12,0))-MIN(MAX(AH1058,0),MAX(0,AD1056-IF($A1059&gt;='1-Input'!$C$12,'1-Input'!$B$12,0))))*(1/(1-'P-Parametri'!$B$6*AD1059))),MAX(0,2*AD1056-(AH1058-MIN(MAX(AH1058,0),MAX(0,AD1056-IF($A1059&gt;='1-Input'!$C$12,'1-Input'!$B$12,0)))))*(1/(1-'P-Parametri'!$B$6*AD1059))))</f>
        <v>19409.097268901354</v>
      </c>
      <c r="AF1059" s="18">
        <f>IF($A1059&gt;'1-Input'!$B$26,AH1058,(AH1058-MAX(0,AD1056-IF($A1059&gt;='1-Input'!$C$12,'1-Input'!$B$12,0))+AE1059*(1-'P-Parametri'!$B$6*AD1059))*(1+'1-Input'!$B$27))</f>
        <v>34907.300256313618</v>
      </c>
      <c r="AG1059" s="18">
        <f>IF($A1059&gt;'1-Input'!$B$26,AI1058,(AI1058-AE1059)*(1+'5-Roberta'!$C$4))</f>
        <v>396068.60067988466</v>
      </c>
      <c r="AH1059" s="18">
        <f>IF($A1059&gt;'1-Input'!$B$26,AF1059,AF1059-'P-Parametri'!$B$8*(AG1059+AF1059)+MIN(MAX(AG1059,0),'P-Parametri'!$B$8*(AG1059+AF1059)))</f>
        <v>34907.300256313618</v>
      </c>
      <c r="AI1059" s="18">
        <f>IF($A1059&gt;'1-Input'!$B$26,AG1059,AG1059-MIN(MAX(AG1059,0),'P-Parametri'!$B$8*(AG1059+AF1059)))</f>
        <v>395206.64887801226</v>
      </c>
      <c r="AJ1059" s="18">
        <f>IF($A1059&gt;'1-Input'!$B$26,AJ1058,AJ1058-AE1059*(1-AD1059))</f>
        <v>240332.88876206594</v>
      </c>
      <c r="AK1059" s="11">
        <f>IF($A1059&gt;'1-Input'!$B$26,0,IF(AP1058&lt;=0,0,MAX(0,(AP1058-AQ1058)/AP1058)))</f>
        <v>0.37500000000000006</v>
      </c>
      <c r="AL1059" s="18">
        <f>IF($A1059&gt;'1-Input'!$B$26,0,(MAX(0,AK1056-IF($A1059&gt;='1-Input'!$C$12,'1-Input'!$B$12,0))-MIN(MAX(AO1058,0),MAX(0,AK1056-IF($A1059&gt;='1-Input'!$C$12,'1-Input'!$B$12,0))))*(1/(1-'P-Parametri'!$B$6*AK1059))+MIN(MAX(0,AP1058-(MAX(0,AK1056-IF($A1059&gt;='1-Input'!$C$12,'1-Input'!$B$12,0))-MIN(MAX(AO1058,0),MAX(0,AK1056-IF($A1059&gt;='1-Input'!$C$12,'1-Input'!$B$12,0))))*(1/(1-'P-Parametri'!$B$6*AK1059))),MAX(0,2*AK1056-(AO1058-MIN(MAX(AO1058,0),MAX(0,AK1056-IF($A1059&gt;='1-Input'!$C$12,'1-Input'!$B$12,0)))))*(1/(1-'P-Parametri'!$B$6*AK1059))))</f>
        <v>19409.141919785852</v>
      </c>
      <c r="AM1059" s="18">
        <f>IF($A1059&gt;'1-Input'!$B$26,AO1058,(AO1058-MAX(0,AK1056-IF($A1059&gt;='1-Input'!$C$12,'1-Input'!$B$12,0))+AL1059*(1-'P-Parametri'!$B$6*AK1059))*(1+'1-Input'!$B$27))</f>
        <v>34907.38056101869</v>
      </c>
      <c r="AN1059" s="18">
        <f>IF($A1059&gt;'1-Input'!$B$26,AP1058,(AP1058-AL1059)*(1+'5-Roberta'!$C$4))</f>
        <v>396068.47167678172</v>
      </c>
      <c r="AO1059" s="18">
        <f>IF($A1059&gt;'1-Input'!$B$26,AM1059,AM1059-'P-Parametri'!$B$8*(AN1059+AM1059)+MIN(MAX(AN1059,0),'P-Parametri'!$B$8*(AN1059+AM1059)))</f>
        <v>34907.38056101869</v>
      </c>
      <c r="AP1059" s="18">
        <f>IF($A1059&gt;'1-Input'!$B$26,AN1059,AN1059-MIN(MAX(AN1059,0),'P-Parametri'!$B$8*(AN1059+AM1059)))</f>
        <v>395206.51997230609</v>
      </c>
      <c r="AQ1059" s="18">
        <f>IF($A1059&gt;'1-Input'!$B$26,AQ1058,AQ1058-AL1059*(1-AK1059))</f>
        <v>240332.81048348403</v>
      </c>
    </row>
    <row r="1060" spans="1:43">
      <c r="A1060" s="10">
        <f>2</f>
        <v>2</v>
      </c>
      <c r="B1060" s="11">
        <f>IF($A1060&gt;'1-Input'!$B$26,0,IF(G1059&lt;=0,0,MAX(0,(G1059-H1059)/G1059)))</f>
        <v>0.39188626298087431</v>
      </c>
      <c r="C1060" s="18">
        <f>IF($A1060&gt;'1-Input'!$B$26,0,(MAX(0,B1056-IF($A1060&gt;='1-Input'!$C$12,'1-Input'!$B$12,0))-MIN(MAX(F1059,0),MAX(0,B1056-IF($A1060&gt;='1-Input'!$C$12,'1-Input'!$B$12,0))))*(1/(1-'P-Parametri'!$B$6*B1060))+MIN(MAX(0,G1059-(MAX(0,B1056-IF($A1060&gt;='1-Input'!$C$12,'1-Input'!$B$12,0))-MIN(MAX(F1059,0),MAX(0,B1056-IF($A1060&gt;='1-Input'!$C$12,'1-Input'!$B$12,0))))*(1/(1-'P-Parametri'!$B$6*B1060))),MAX(0,2*B1056-(F1059-MIN(MAX(F1059,0),MAX(0,B1056-IF($A1060&gt;='1-Input'!$C$12,'1-Input'!$B$12,0)))))*(1/(1-'P-Parametri'!$B$6*B1060))))</f>
        <v>18707.248473582506</v>
      </c>
      <c r="D1060" s="18">
        <f>IF($A1060&gt;'1-Input'!$B$26,F1059,(F1059-MAX(0,B1056-IF($A1060&gt;='1-Input'!$C$12,'1-Input'!$B$12,0))+C1060*(1-'P-Parametri'!$B$6*B1060))*(1+'1-Input'!$B$27))</f>
        <v>33242.0070309863</v>
      </c>
      <c r="E1060" s="18">
        <f>IF($A1060&gt;'1-Input'!$B$26,G1059,(G1059-C1060)*(1+'5-Roberta'!$C$4))</f>
        <v>390547.71764067607</v>
      </c>
      <c r="F1060" s="18">
        <f>IF($A1060&gt;'1-Input'!$B$26,D1060,D1060-'P-Parametri'!$B$8*(E1060+D1060)+MIN(MAX(E1060,0),'P-Parametri'!$B$8*(E1060+D1060)))</f>
        <v>33242.0070309863</v>
      </c>
      <c r="G1060" s="18">
        <f>IF($A1060&gt;'1-Input'!$B$26,E1060,E1060-MIN(MAX(E1060,0),'P-Parametri'!$B$8*(E1060+D1060)))</f>
        <v>389700.13819133275</v>
      </c>
      <c r="H1060" s="18">
        <f>IF($A1060&gt;'1-Input'!$B$26,H1059,H1059-C1060*(1-B1060))</f>
        <v>230580.0311250115</v>
      </c>
      <c r="I1060" s="11">
        <f>IF($A1060&gt;'1-Input'!$B$26,0,IF(N1059&lt;=0,0,MAX(0,(N1059-O1059)/N1059)))</f>
        <v>0.39184826813146129</v>
      </c>
      <c r="J1060" s="18">
        <f>IF($A1060&gt;'1-Input'!$B$26,0,(MAX(0,I1056-IF($A1060&gt;='1-Input'!$C$12,'1-Input'!$B$12,0))-MIN(MAX(M1059,0),MAX(0,I1056-IF($A1060&gt;='1-Input'!$C$12,'1-Input'!$B$12,0))))*(1/(1-'P-Parametri'!$B$6*I1060))+MIN(MAX(0,N1059-(MAX(0,I1056-IF($A1060&gt;='1-Input'!$C$12,'1-Input'!$B$12,0))-MIN(MAX(M1059,0),MAX(0,I1056-IF($A1060&gt;='1-Input'!$C$12,'1-Input'!$B$12,0))))*(1/(1-'P-Parametri'!$B$6*I1060))),MAX(0,2*I1056-(M1059-MIN(MAX(M1059,0),MAX(0,I1056-IF($A1060&gt;='1-Input'!$C$12,'1-Input'!$B$12,0)))))*(1/(1-'P-Parametri'!$B$6*I1060))))</f>
        <v>24614.529878227731</v>
      </c>
      <c r="K1060" s="18">
        <f>IF($A1060&gt;'1-Input'!$B$26,M1059,(M1059-MAX(0,I1056-IF($A1060&gt;='1-Input'!$C$12,'1-Input'!$B$12,0))+J1060*(1-'P-Parametri'!$B$6*I1060))*(1+'1-Input'!$B$27))</f>
        <v>43739.482935508291</v>
      </c>
      <c r="L1060" s="18">
        <f>IF($A1060&gt;'1-Input'!$B$26,N1059,(N1059-J1060)*(1+'5-Roberta'!$C$4))</f>
        <v>367107.07310260413</v>
      </c>
      <c r="M1060" s="18">
        <f>IF($A1060&gt;'1-Input'!$B$26,K1060,K1060-'P-Parametri'!$B$8*(L1060+K1060)+MIN(MAX(L1060,0),'P-Parametri'!$B$8*(L1060+K1060)))</f>
        <v>43739.482935508291</v>
      </c>
      <c r="N1060" s="18">
        <f>IF($A1060&gt;'1-Input'!$B$26,L1060,L1060-MIN(MAX(L1060,0),'P-Parametri'!$B$8*(L1060+K1060)))</f>
        <v>366285.37999052793</v>
      </c>
      <c r="O1060" s="18">
        <f>IF($A1060&gt;'1-Input'!$B$26,O1059,O1059-J1060*(1-I1060))</f>
        <v>216754.17697916404</v>
      </c>
      <c r="P1060" s="11">
        <f>IF($A1060&gt;'1-Input'!$B$26,0,IF(U1059&lt;=0,0,MAX(0,(U1059-V1059)/U1059)))</f>
        <v>0.39187957757490216</v>
      </c>
      <c r="Q1060" s="18">
        <f>IF($A1060&gt;'1-Input'!$B$26,0,(MAX(0,P1056-IF($A1060&gt;='1-Input'!$C$12,'1-Input'!$B$12,0))-MIN(MAX(T1059,0),MAX(0,P1056-IF($A1060&gt;='1-Input'!$C$12,'1-Input'!$B$12,0))))*(1/(1-'P-Parametri'!$B$6*P1060))+MIN(MAX(0,U1059-(MAX(0,P1056-IF($A1060&gt;='1-Input'!$C$12,'1-Input'!$B$12,0))-MIN(MAX(T1059,0),MAX(0,P1056-IF($A1060&gt;='1-Input'!$C$12,'1-Input'!$B$12,0))))*(1/(1-'P-Parametri'!$B$6*P1060))),MAX(0,2*P1056-(T1059-MIN(MAX(T1059,0),MAX(0,P1056-IF($A1060&gt;='1-Input'!$C$12,'1-Input'!$B$12,0)))))*(1/(1-'P-Parametri'!$B$6*P1060))))</f>
        <v>19784.265281199107</v>
      </c>
      <c r="R1060" s="18">
        <f>IF($A1060&gt;'1-Input'!$B$26,T1059,(T1059-MAX(0,P1056-IF($A1060&gt;='1-Input'!$C$12,'1-Input'!$B$12,0))+Q1060*(1-'P-Parametri'!$B$6*P1060))*(1+'1-Input'!$B$27))</f>
        <v>35155.889406417155</v>
      </c>
      <c r="S1060" s="18">
        <f>IF($A1060&gt;'1-Input'!$B$26,U1059,(U1059-Q1060)*(1+'5-Roberta'!$C$4))</f>
        <v>386274.04684929276</v>
      </c>
      <c r="T1060" s="18">
        <f>IF($A1060&gt;'1-Input'!$B$26,R1060,R1060-'P-Parametri'!$B$8*(S1060+R1060)+MIN(MAX(S1060,0),'P-Parametri'!$B$8*(S1060+R1060)))</f>
        <v>35155.889406417155</v>
      </c>
      <c r="U1060" s="18">
        <f>IF($A1060&gt;'1-Input'!$B$26,S1060,S1060-MIN(MAX(S1060,0),'P-Parametri'!$B$8*(S1060+R1060)))</f>
        <v>385431.18697678135</v>
      </c>
      <c r="V1060" s="18">
        <f>IF($A1060&gt;'1-Input'!$B$26,V1059,V1059-Q1060*(1-P1060))</f>
        <v>228059.35586586792</v>
      </c>
      <c r="W1060" s="11">
        <f>IF($A1060&gt;'1-Input'!$B$26,0,IF(AB1059&lt;=0,0,MAX(0,(AB1059-AC1059)/AB1059)))</f>
        <v>0.39188038854022583</v>
      </c>
      <c r="X1060" s="18">
        <f>IF($A1060&gt;'1-Input'!$B$26,0,(MAX(0,W1056-IF($A1060&gt;='1-Input'!$C$12,'1-Input'!$B$12,0))-MIN(MAX(AA1059,0),MAX(0,W1056-IF($A1060&gt;='1-Input'!$C$12,'1-Input'!$B$12,0))))*(1/(1-'P-Parametri'!$B$6*W1060))+MIN(MAX(0,AB1059-(MAX(0,W1056-IF($A1060&gt;='1-Input'!$C$12,'1-Input'!$B$12,0))-MIN(MAX(AA1059,0),MAX(0,W1056-IF($A1060&gt;='1-Input'!$C$12,'1-Input'!$B$12,0))))*(1/(1-'P-Parametri'!$B$6*W1060))),MAX(0,2*W1056-(AA1059-MIN(MAX(AA1059,0),MAX(0,W1056-IF($A1060&gt;='1-Input'!$C$12,'1-Input'!$B$12,0)))))*(1/(1-'P-Parametri'!$B$6*W1060))))</f>
        <v>19654.506505844001</v>
      </c>
      <c r="Y1060" s="18">
        <f>IF($A1060&gt;'1-Input'!$B$26,AA1059,(AA1059-MAX(0,W1056-IF($A1060&gt;='1-Input'!$C$12,'1-Input'!$B$12,0))+X1060*(1-'P-Parametri'!$B$6*W1060))*(1+'1-Input'!$B$27))</f>
        <v>34925.304782144143</v>
      </c>
      <c r="Z1060" s="18">
        <f>IF($A1060&gt;'1-Input'!$B$26,AB1059,(AB1059-X1060)*(1+'5-Roberta'!$C$4))</f>
        <v>386788.93861545168</v>
      </c>
      <c r="AA1060" s="18">
        <f>IF($A1060&gt;'1-Input'!$B$26,Y1060,Y1060-'P-Parametri'!$B$8*(Z1060+Y1060)+MIN(MAX(Z1060,0),'P-Parametri'!$B$8*(Z1060+Y1060)))</f>
        <v>34925.304782144143</v>
      </c>
      <c r="AB1060" s="18">
        <f>IF($A1060&gt;'1-Input'!$B$26,Z1060,Z1060-MIN(MAX(Z1060,0),'P-Parametri'!$B$8*(Z1060+Y1060)))</f>
        <v>385945.51012865652</v>
      </c>
      <c r="AC1060" s="18">
        <f>IF($A1060&gt;'1-Input'!$B$26,AC1059,AC1059-X1060*(1-W1060))</f>
        <v>228363.04763860867</v>
      </c>
      <c r="AD1060" s="11">
        <f>IF($A1060&gt;'1-Input'!$B$26,0,IF(AI1059&lt;=0,0,MAX(0,(AI1059-AJ1059)/AI1059)))</f>
        <v>0.39188045179814507</v>
      </c>
      <c r="AE1060" s="18">
        <f>IF($A1060&gt;'1-Input'!$B$26,0,(MAX(0,AD1056-IF($A1060&gt;='1-Input'!$C$12,'1-Input'!$B$12,0))-MIN(MAX(AH1059,0),MAX(0,AD1056-IF($A1060&gt;='1-Input'!$C$12,'1-Input'!$B$12,0))))*(1/(1-'P-Parametri'!$B$6*AD1060))+MIN(MAX(0,AI1059-(MAX(0,AD1056-IF($A1060&gt;='1-Input'!$C$12,'1-Input'!$B$12,0))-MIN(MAX(AH1059,0),MAX(0,AD1056-IF($A1060&gt;='1-Input'!$C$12,'1-Input'!$B$12,0))))*(1/(1-'P-Parametri'!$B$6*AD1060))),MAX(0,2*AD1056-(AH1059-MIN(MAX(AH1059,0),MAX(0,AD1056-IF($A1060&gt;='1-Input'!$C$12,'1-Input'!$B$12,0)))))*(1/(1-'P-Parametri'!$B$6*AD1060))))</f>
        <v>19644.374668540739</v>
      </c>
      <c r="AF1060" s="18">
        <f>IF($A1060&gt;'1-Input'!$B$26,AH1059,(AH1059-MAX(0,AD1056-IF($A1060&gt;='1-Input'!$C$12,'1-Input'!$B$12,0))+AE1060*(1-'P-Parametri'!$B$6*AD1060))*(1+'1-Input'!$B$27))</f>
        <v>34907.300256313618</v>
      </c>
      <c r="AG1060" s="18">
        <f>IF($A1060&gt;'1-Input'!$B$26,AI1059,(AI1059-AE1060)*(1+'5-Roberta'!$C$4))</f>
        <v>386829.1424357557</v>
      </c>
      <c r="AH1060" s="18">
        <f>IF($A1060&gt;'1-Input'!$B$26,AF1060,AF1060-'P-Parametri'!$B$8*(AG1060+AF1060)+MIN(MAX(AG1060,0),'P-Parametri'!$B$8*(AG1060+AF1060)))</f>
        <v>34907.300256313618</v>
      </c>
      <c r="AI1060" s="18">
        <f>IF($A1060&gt;'1-Input'!$B$26,AG1060,AG1060-MIN(MAX(AG1060,0),'P-Parametri'!$B$8*(AG1060+AF1060)))</f>
        <v>385985.66955037153</v>
      </c>
      <c r="AJ1060" s="18">
        <f>IF($A1060&gt;'1-Input'!$B$26,AJ1059,AJ1059-AE1060*(1-AD1060))</f>
        <v>228386.76051392499</v>
      </c>
      <c r="AK1060" s="11">
        <f>IF($A1060&gt;'1-Input'!$B$26,0,IF(AP1059&lt;=0,0,MAX(0,(AP1059-AQ1059)/AP1059)))</f>
        <v>0.39188045151601941</v>
      </c>
      <c r="AL1060" s="18">
        <f>IF($A1060&gt;'1-Input'!$B$26,0,(MAX(0,AK1056-IF($A1060&gt;='1-Input'!$C$12,'1-Input'!$B$12,0))-MIN(MAX(AO1059,0),MAX(0,AK1056-IF($A1060&gt;='1-Input'!$C$12,'1-Input'!$B$12,0))))*(1/(1-'P-Parametri'!$B$6*AK1060))+MIN(MAX(0,AP1059-(MAX(0,AK1056-IF($A1060&gt;='1-Input'!$C$12,'1-Input'!$B$12,0))-MIN(MAX(AO1059,0),MAX(0,AK1056-IF($A1060&gt;='1-Input'!$C$12,'1-Input'!$B$12,0))))*(1/(1-'P-Parametri'!$B$6*AK1060))),MAX(0,2*AK1056-(AO1059-MIN(MAX(AO1059,0),MAX(0,AK1056-IF($A1060&gt;='1-Input'!$C$12,'1-Input'!$B$12,0)))))*(1/(1-'P-Parametri'!$B$6*AK1060))))</f>
        <v>19644.419859079557</v>
      </c>
      <c r="AM1060" s="18">
        <f>IF($A1060&gt;'1-Input'!$B$26,AO1059,(AO1059-MAX(0,AK1056-IF($A1060&gt;='1-Input'!$C$12,'1-Input'!$B$12,0))+AL1060*(1-'P-Parametri'!$B$6*AK1060))*(1+'1-Input'!$B$27))</f>
        <v>34907.38056101869</v>
      </c>
      <c r="AN1060" s="18">
        <f>IF($A1060&gt;'1-Input'!$B$26,AP1059,(AP1059-AL1060)*(1+'5-Roberta'!$C$4))</f>
        <v>386828.96311662334</v>
      </c>
      <c r="AO1060" s="18">
        <f>IF($A1060&gt;'1-Input'!$B$26,AM1060,AM1060-'P-Parametri'!$B$8*(AN1060+AM1060)+MIN(MAX(AN1060,0),'P-Parametri'!$B$8*(AN1060+AM1060)))</f>
        <v>34907.38056101869</v>
      </c>
      <c r="AP1060" s="18">
        <f>IF($A1060&gt;'1-Input'!$B$26,AN1060,AN1060-MIN(MAX(AN1060,0),'P-Parametri'!$B$8*(AN1060+AM1060)))</f>
        <v>385985.49042926804</v>
      </c>
      <c r="AQ1060" s="18">
        <f>IF($A1060&gt;'1-Input'!$B$26,AQ1059,AQ1059-AL1060*(1-AK1060))</f>
        <v>228386.65474855085</v>
      </c>
    </row>
    <row r="1061" spans="1:43">
      <c r="A1061" s="10">
        <f>3</f>
        <v>3</v>
      </c>
      <c r="B1061" s="11">
        <f>IF($A1061&gt;'1-Input'!$B$26,0,IF(G1060&lt;=0,0,MAX(0,(G1060-H1060)/G1060)))</f>
        <v>0.40831421770807114</v>
      </c>
      <c r="C1061" s="18">
        <f>IF($A1061&gt;'1-Input'!$B$26,0,(MAX(0,B1056-IF($A1061&gt;='1-Input'!$C$12,'1-Input'!$B$12,0))-MIN(MAX(F1060,0),MAX(0,B1056-IF($A1061&gt;='1-Input'!$C$12,'1-Input'!$B$12,0))))*(1/(1-'P-Parametri'!$B$6*B1061))+MIN(MAX(0,G1060-(MAX(0,B1056-IF($A1061&gt;='1-Input'!$C$12,'1-Input'!$B$12,0))-MIN(MAX(F1060,0),MAX(0,B1056-IF($A1061&gt;='1-Input'!$C$12,'1-Input'!$B$12,0))))*(1/(1-'P-Parametri'!$B$6*B1061))),MAX(0,2*B1056-(F1060-MIN(MAX(F1060,0),MAX(0,B1056-IF($A1061&gt;='1-Input'!$C$12,'1-Input'!$B$12,0)))))*(1/(1-'P-Parametri'!$B$6*B1061))))</f>
        <v>18796.642355848435</v>
      </c>
      <c r="D1061" s="18">
        <f>IF($A1061&gt;'1-Input'!$B$26,F1060,(F1060-MAX(0,B1056-IF($A1061&gt;='1-Input'!$C$12,'1-Input'!$B$12,0))+C1061*(1-'P-Parametri'!$B$6*B1061))*(1+'1-Input'!$B$27))</f>
        <v>33242.0070309863</v>
      </c>
      <c r="E1061" s="18">
        <f>IF($A1061&gt;'1-Input'!$B$26,G1060,(G1060-C1061)*(1+'5-Roberta'!$C$4))</f>
        <v>382030.60071054881</v>
      </c>
      <c r="F1061" s="18">
        <f>IF($A1061&gt;'1-Input'!$B$26,D1061,D1061-'P-Parametri'!$B$8*(E1061+D1061)+MIN(MAX(E1061,0),'P-Parametri'!$B$8*(E1061+D1061)))</f>
        <v>33242.0070309863</v>
      </c>
      <c r="G1061" s="18">
        <f>IF($A1061&gt;'1-Input'!$B$26,E1061,E1061-MIN(MAX(E1061,0),'P-Parametri'!$B$8*(E1061+D1061)))</f>
        <v>381200.05549506575</v>
      </c>
      <c r="H1061" s="18">
        <f>IF($A1061&gt;'1-Input'!$B$26,H1060,H1060-C1061*(1-B1061))</f>
        <v>219458.32508822973</v>
      </c>
      <c r="I1061" s="11">
        <f>IF($A1061&gt;'1-Input'!$B$26,0,IF(N1060&lt;=0,0,MAX(0,(N1060-O1060)/N1060)))</f>
        <v>0.40823688626401289</v>
      </c>
      <c r="J1061" s="18">
        <f>IF($A1061&gt;'1-Input'!$B$26,0,(MAX(0,I1056-IF($A1061&gt;='1-Input'!$C$12,'1-Input'!$B$12,0))-MIN(MAX(M1060,0),MAX(0,I1056-IF($A1061&gt;='1-Input'!$C$12,'1-Input'!$B$12,0))))*(1/(1-'P-Parametri'!$B$6*I1061))+MIN(MAX(0,N1060-(MAX(0,I1056-IF($A1061&gt;='1-Input'!$C$12,'1-Input'!$B$12,0))-MIN(MAX(M1060,0),MAX(0,I1056-IF($A1061&gt;='1-Input'!$C$12,'1-Input'!$B$12,0))))*(1/(1-'P-Parametri'!$B$6*I1061))),MAX(0,2*I1056-(M1060-MIN(MAX(M1060,0),MAX(0,I1056-IF($A1061&gt;='1-Input'!$C$12,'1-Input'!$B$12,0)))))*(1/(1-'P-Parametri'!$B$6*I1061))))</f>
        <v>24731.867828909206</v>
      </c>
      <c r="K1061" s="18">
        <f>IF($A1061&gt;'1-Input'!$B$26,M1060,(M1060-MAX(0,I1056-IF($A1061&gt;='1-Input'!$C$12,'1-Input'!$B$12,0))+J1061*(1-'P-Parametri'!$B$6*I1061))*(1+'1-Input'!$B$27))</f>
        <v>43739.482935508291</v>
      </c>
      <c r="L1061" s="18">
        <f>IF($A1061&gt;'1-Input'!$B$26,N1060,(N1060-J1061)*(1+'5-Roberta'!$C$4))</f>
        <v>351800.11752646731</v>
      </c>
      <c r="M1061" s="18">
        <f>IF($A1061&gt;'1-Input'!$B$26,K1061,K1061-'P-Parametri'!$B$8*(L1061+K1061)+MIN(MAX(L1061,0),'P-Parametri'!$B$8*(L1061+K1061)))</f>
        <v>43739.482935508291</v>
      </c>
      <c r="N1061" s="18">
        <f>IF($A1061&gt;'1-Input'!$B$26,L1061,L1061-MIN(MAX(L1061,0),'P-Parametri'!$B$8*(L1061+K1061)))</f>
        <v>351009.03832554334</v>
      </c>
      <c r="O1061" s="18">
        <f>IF($A1061&gt;'1-Input'!$B$26,O1060,O1060-J1061*(1-I1061))</f>
        <v>202118.76986422183</v>
      </c>
      <c r="P1061" s="11">
        <f>IF($A1061&gt;'1-Input'!$B$26,0,IF(U1060&lt;=0,0,MAX(0,(U1060-V1060)/U1060)))</f>
        <v>0.40830071989061334</v>
      </c>
      <c r="Q1061" s="18">
        <f>IF($A1061&gt;'1-Input'!$B$26,0,(MAX(0,P1056-IF($A1061&gt;='1-Input'!$C$12,'1-Input'!$B$12,0))-MIN(MAX(T1060,0),MAX(0,P1056-IF($A1061&gt;='1-Input'!$C$12,'1-Input'!$B$12,0))))*(1/(1-'P-Parametri'!$B$6*P1061))+MIN(MAX(0,U1060-(MAX(0,P1056-IF($A1061&gt;='1-Input'!$C$12,'1-Input'!$B$12,0))-MIN(MAX(T1060,0),MAX(0,P1056-IF($A1061&gt;='1-Input'!$C$12,'1-Input'!$B$12,0))))*(1/(1-'P-Parametri'!$B$6*P1061))),MAX(0,2*P1056-(T1060-MIN(MAX(T1060,0),MAX(0,P1056-IF($A1061&gt;='1-Input'!$C$12,'1-Input'!$B$12,0)))))*(1/(1-'P-Parametri'!$B$6*P1061))))</f>
        <v>19878.766187393281</v>
      </c>
      <c r="R1061" s="18">
        <f>IF($A1061&gt;'1-Input'!$B$26,T1060,(T1060-MAX(0,P1056-IF($A1061&gt;='1-Input'!$C$12,'1-Input'!$B$12,0))+Q1061*(1-'P-Parametri'!$B$6*P1061))*(1+'1-Input'!$B$27))</f>
        <v>35155.889406417155</v>
      </c>
      <c r="S1061" s="18">
        <f>IF($A1061&gt;'1-Input'!$B$26,U1060,(U1060-Q1061)*(1+'5-Roberta'!$C$4))</f>
        <v>376518.99341306969</v>
      </c>
      <c r="T1061" s="18">
        <f>IF($A1061&gt;'1-Input'!$B$26,R1061,R1061-'P-Parametri'!$B$8*(S1061+R1061)+MIN(MAX(S1061,0),'P-Parametri'!$B$8*(S1061+R1061)))</f>
        <v>35155.889406417155</v>
      </c>
      <c r="U1061" s="18">
        <f>IF($A1061&gt;'1-Input'!$B$26,S1061,S1061-MIN(MAX(S1061,0),'P-Parametri'!$B$8*(S1061+R1061)))</f>
        <v>375695.6436474307</v>
      </c>
      <c r="V1061" s="18">
        <f>IF($A1061&gt;'1-Input'!$B$26,V1060,V1060-Q1061*(1-P1061))</f>
        <v>216297.10422332451</v>
      </c>
      <c r="W1061" s="11">
        <f>IF($A1061&gt;'1-Input'!$B$26,0,IF(AB1060&lt;=0,0,MAX(0,(AB1060-AC1060)/AB1060)))</f>
        <v>0.40830235967123207</v>
      </c>
      <c r="X1061" s="18">
        <f>IF($A1061&gt;'1-Input'!$B$26,0,(MAX(0,W1056-IF($A1061&gt;='1-Input'!$C$12,'1-Input'!$B$12,0))-MIN(MAX(AA1060,0),MAX(0,W1056-IF($A1061&gt;='1-Input'!$C$12,'1-Input'!$B$12,0))))*(1/(1-'P-Parametri'!$B$6*W1061))+MIN(MAX(0,AB1060-(MAX(0,W1056-IF($A1061&gt;='1-Input'!$C$12,'1-Input'!$B$12,0))-MIN(MAX(AA1060,0),MAX(0,W1056-IF($A1061&gt;='1-Input'!$C$12,'1-Input'!$B$12,0))))*(1/(1-'P-Parametri'!$B$6*W1061))),MAX(0,2*W1056-(AA1060-MIN(MAX(AA1060,0),MAX(0,W1056-IF($A1061&gt;='1-Input'!$C$12,'1-Input'!$B$12,0)))))*(1/(1-'P-Parametri'!$B$6*W1061))))</f>
        <v>19748.392393498605</v>
      </c>
      <c r="Y1061" s="18">
        <f>IF($A1061&gt;'1-Input'!$B$26,AA1060,(AA1060-MAX(0,W1056-IF($A1061&gt;='1-Input'!$C$12,'1-Input'!$B$12,0))+X1061*(1-'P-Parametri'!$B$6*W1061))*(1+'1-Input'!$B$27))</f>
        <v>34925.304782144136</v>
      </c>
      <c r="Z1061" s="18">
        <f>IF($A1061&gt;'1-Input'!$B$26,AB1060,(AB1060-X1061)*(1+'5-Roberta'!$C$4))</f>
        <v>377183.03126721265</v>
      </c>
      <c r="AA1061" s="18">
        <f>IF($A1061&gt;'1-Input'!$B$26,Y1061,Y1061-'P-Parametri'!$B$8*(Z1061+Y1061)+MIN(MAX(Z1061,0),'P-Parametri'!$B$8*(Z1061+Y1061)))</f>
        <v>34925.304782144136</v>
      </c>
      <c r="AB1061" s="18">
        <f>IF($A1061&gt;'1-Input'!$B$26,Z1061,Z1061-MIN(MAX(Z1061,0),'P-Parametri'!$B$8*(Z1061+Y1061)))</f>
        <v>376358.81459511392</v>
      </c>
      <c r="AC1061" s="18">
        <f>IF($A1061&gt;'1-Input'!$B$26,AC1060,AC1060-X1061*(1-W1061))</f>
        <v>216677.97045908895</v>
      </c>
      <c r="AD1061" s="11">
        <f>IF($A1061&gt;'1-Input'!$B$26,0,IF(AI1060&lt;=0,0,MAX(0,(AI1060-AJ1060)/AI1060)))</f>
        <v>0.40830248755097814</v>
      </c>
      <c r="AE1061" s="18">
        <f>IF($A1061&gt;'1-Input'!$B$26,0,(MAX(0,AD1056-IF($A1061&gt;='1-Input'!$C$12,'1-Input'!$B$12,0))-MIN(MAX(AH1060,0),MAX(0,AD1056-IF($A1061&gt;='1-Input'!$C$12,'1-Input'!$B$12,0))))*(1/(1-'P-Parametri'!$B$6*AD1061))+MIN(MAX(0,AI1060-(MAX(0,AD1056-IF($A1061&gt;='1-Input'!$C$12,'1-Input'!$B$12,0))-MIN(MAX(AH1060,0),MAX(0,AD1056-IF($A1061&gt;='1-Input'!$C$12,'1-Input'!$B$12,0))))*(1/(1-'P-Parametri'!$B$6*AD1061))),MAX(0,2*AD1056-(AH1060-MIN(MAX(AH1060,0),MAX(0,AD1056-IF($A1061&gt;='1-Input'!$C$12,'1-Input'!$B$12,0)))))*(1/(1-'P-Parametri'!$B$6*AD1061))))</f>
        <v>19738.212531059587</v>
      </c>
      <c r="AF1061" s="18">
        <f>IF($A1061&gt;'1-Input'!$B$26,AH1060,(AH1060-MAX(0,AD1056-IF($A1061&gt;='1-Input'!$C$12,'1-Input'!$B$12,0))+AE1061*(1-'P-Parametri'!$B$6*AD1061))*(1+'1-Input'!$B$27))</f>
        <v>34907.300256313618</v>
      </c>
      <c r="AG1061" s="18">
        <f>IF($A1061&gt;'1-Input'!$B$26,AI1060,(AI1060-AE1061)*(1+'5-Roberta'!$C$4))</f>
        <v>377234.8807298913</v>
      </c>
      <c r="AH1061" s="18">
        <f>IF($A1061&gt;'1-Input'!$B$26,AF1061,AF1061-'P-Parametri'!$B$8*(AG1061+AF1061)+MIN(MAX(AG1061,0),'P-Parametri'!$B$8*(AG1061+AF1061)))</f>
        <v>34907.300256313618</v>
      </c>
      <c r="AI1061" s="18">
        <f>IF($A1061&gt;'1-Input'!$B$26,AG1061,AG1061-MIN(MAX(AG1061,0),'P-Parametri'!$B$8*(AG1061+AF1061)))</f>
        <v>376410.59636791889</v>
      </c>
      <c r="AJ1061" s="18">
        <f>IF($A1061&gt;'1-Input'!$B$26,AJ1060,AJ1060-AE1061*(1-AD1061))</f>
        <v>216707.70925910692</v>
      </c>
      <c r="AK1061" s="11">
        <f>IF($A1061&gt;'1-Input'!$B$26,0,IF(AP1060&lt;=0,0,MAX(0,(AP1060-AQ1060)/AP1060)))</f>
        <v>0.40830248698065302</v>
      </c>
      <c r="AL1061" s="18">
        <f>IF($A1061&gt;'1-Input'!$B$26,0,(MAX(0,AK1056-IF($A1061&gt;='1-Input'!$C$12,'1-Input'!$B$12,0))-MIN(MAX(AO1060,0),MAX(0,AK1056-IF($A1061&gt;='1-Input'!$C$12,'1-Input'!$B$12,0))))*(1/(1-'P-Parametri'!$B$6*AK1061))+MIN(MAX(0,AP1060-(MAX(0,AK1056-IF($A1061&gt;='1-Input'!$C$12,'1-Input'!$B$12,0))-MIN(MAX(AO1060,0),MAX(0,AK1056-IF($A1061&gt;='1-Input'!$C$12,'1-Input'!$B$12,0))))*(1/(1-'P-Parametri'!$B$6*AK1061))),MAX(0,2*AK1056-(AO1060-MIN(MAX(AO1060,0),MAX(0,AK1056-IF($A1061&gt;='1-Input'!$C$12,'1-Input'!$B$12,0)))))*(1/(1-'P-Parametri'!$B$6*AK1061))))</f>
        <v>19738.257935803602</v>
      </c>
      <c r="AM1061" s="18">
        <f>IF($A1061&gt;'1-Input'!$B$26,AO1060,(AO1060-MAX(0,AK1056-IF($A1061&gt;='1-Input'!$C$12,'1-Input'!$B$12,0))+AL1061*(1-'P-Parametri'!$B$6*AK1061))*(1+'1-Input'!$B$27))</f>
        <v>34907.38056101869</v>
      </c>
      <c r="AN1061" s="18">
        <f>IF($A1061&gt;'1-Input'!$B$26,AP1060,(AP1060-AL1061)*(1+'5-Roberta'!$C$4))</f>
        <v>377234.64946826838</v>
      </c>
      <c r="AO1061" s="18">
        <f>IF($A1061&gt;'1-Input'!$B$26,AM1061,AM1061-'P-Parametri'!$B$8*(AN1061+AM1061)+MIN(MAX(AN1061,0),'P-Parametri'!$B$8*(AN1061+AM1061)))</f>
        <v>34907.38056101869</v>
      </c>
      <c r="AP1061" s="18">
        <f>IF($A1061&gt;'1-Input'!$B$26,AN1061,AN1061-MIN(MAX(AN1061,0),'P-Parametri'!$B$8*(AN1061+AM1061)))</f>
        <v>376410.36540820979</v>
      </c>
      <c r="AQ1061" s="18">
        <f>IF($A1061&gt;'1-Input'!$B$26,AQ1060,AQ1060-AL1061*(1-AK1061))</f>
        <v>216707.57661660147</v>
      </c>
    </row>
    <row r="1062" spans="1:43">
      <c r="A1062" s="10">
        <f>4</f>
        <v>4</v>
      </c>
      <c r="B1062" s="11">
        <f>IF($A1062&gt;'1-Input'!$B$26,0,IF(G1061&lt;=0,0,MAX(0,(G1061-H1061)/G1061)))</f>
        <v>0.42429618798659802</v>
      </c>
      <c r="C1062" s="18">
        <f>IF($A1062&gt;'1-Input'!$B$26,0,(MAX(0,B1056-IF($A1062&gt;='1-Input'!$C$12,'1-Input'!$B$12,0))-MIN(MAX(F1061,0),MAX(0,B1056-IF($A1062&gt;='1-Input'!$C$12,'1-Input'!$B$12,0))))*(1/(1-'P-Parametri'!$B$6*B1062))+MIN(MAX(0,G1061-(MAX(0,B1056-IF($A1062&gt;='1-Input'!$C$12,'1-Input'!$B$12,0))-MIN(MAX(F1061,0),MAX(0,B1056-IF($A1062&gt;='1-Input'!$C$12,'1-Input'!$B$12,0))))*(1/(1-'P-Parametri'!$B$6*B1062))),MAX(0,2*B1056-(F1061-MIN(MAX(F1061,0),MAX(0,B1056-IF($A1062&gt;='1-Input'!$C$12,'1-Input'!$B$12,0)))))*(1/(1-'P-Parametri'!$B$6*B1062))))</f>
        <v>18884.433085176486</v>
      </c>
      <c r="D1062" s="18">
        <f>IF($A1062&gt;'1-Input'!$B$26,F1061,(F1061-MAX(0,B1056-IF($A1062&gt;='1-Input'!$C$12,'1-Input'!$B$12,0))+C1062*(1-'P-Parametri'!$B$6*B1062))*(1+'1-Input'!$B$27))</f>
        <v>33242.0070309863</v>
      </c>
      <c r="E1062" s="18">
        <f>IF($A1062&gt;'1-Input'!$B$26,G1061,(G1061-C1062)*(1+'5-Roberta'!$C$4))</f>
        <v>373185.09108218591</v>
      </c>
      <c r="F1062" s="18">
        <f>IF($A1062&gt;'1-Input'!$B$26,D1062,D1062-'P-Parametri'!$B$8*(E1062+D1062)+MIN(MAX(E1062,0),'P-Parametri'!$B$8*(E1062+D1062)))</f>
        <v>33242.0070309863</v>
      </c>
      <c r="G1062" s="18">
        <f>IF($A1062&gt;'1-Input'!$B$26,E1062,E1062-MIN(MAX(E1062,0),'P-Parametri'!$B$8*(E1062+D1062)))</f>
        <v>372372.23688595957</v>
      </c>
      <c r="H1062" s="18">
        <f>IF($A1062&gt;'1-Input'!$B$26,H1061,H1061-C1062*(1-B1062))</f>
        <v>208586.48497338162</v>
      </c>
      <c r="I1062" s="11">
        <f>IF($A1062&gt;'1-Input'!$B$26,0,IF(N1061&lt;=0,0,MAX(0,(N1061-O1061)/N1061)))</f>
        <v>0.42417787636349474</v>
      </c>
      <c r="J1062" s="18">
        <f>IF($A1062&gt;'1-Input'!$B$26,0,(MAX(0,I1056-IF($A1062&gt;='1-Input'!$C$12,'1-Input'!$B$12,0))-MIN(MAX(M1061,0),MAX(0,I1056-IF($A1062&gt;='1-Input'!$C$12,'1-Input'!$B$12,0))))*(1/(1-'P-Parametri'!$B$6*I1062))+MIN(MAX(0,N1061-(MAX(0,I1056-IF($A1062&gt;='1-Input'!$C$12,'1-Input'!$B$12,0))-MIN(MAX(M1061,0),MAX(0,I1056-IF($A1062&gt;='1-Input'!$C$12,'1-Input'!$B$12,0))))*(1/(1-'P-Parametri'!$B$6*I1062))),MAX(0,2*I1056-(M1061-MIN(MAX(M1061,0),MAX(0,I1056-IF($A1062&gt;='1-Input'!$C$12,'1-Input'!$B$12,0)))))*(1/(1-'P-Parametri'!$B$6*I1062))))</f>
        <v>24847.079175710824</v>
      </c>
      <c r="K1062" s="18">
        <f>IF($A1062&gt;'1-Input'!$B$26,M1061,(M1061-MAX(0,I1056-IF($A1062&gt;='1-Input'!$C$12,'1-Input'!$B$12,0))+J1062*(1-'P-Parametri'!$B$6*I1062))*(1+'1-Input'!$B$27))</f>
        <v>43739.482935508291</v>
      </c>
      <c r="L1062" s="18">
        <f>IF($A1062&gt;'1-Input'!$B$26,N1061,(N1061-J1062)*(1+'5-Roberta'!$C$4))</f>
        <v>335946.81792432745</v>
      </c>
      <c r="M1062" s="18">
        <f>IF($A1062&gt;'1-Input'!$B$26,K1062,K1062-'P-Parametri'!$B$8*(L1062+K1062)+MIN(MAX(L1062,0),'P-Parametri'!$B$8*(L1062+K1062)))</f>
        <v>43739.482935508291</v>
      </c>
      <c r="N1062" s="18">
        <f>IF($A1062&gt;'1-Input'!$B$26,L1062,L1062-MIN(MAX(L1062,0),'P-Parametri'!$B$8*(L1062+K1062)))</f>
        <v>335187.44532260776</v>
      </c>
      <c r="O1062" s="18">
        <f>IF($A1062&gt;'1-Input'!$B$26,O1061,O1061-J1062*(1-I1062))</f>
        <v>187811.27196709963</v>
      </c>
      <c r="P1062" s="11">
        <f>IF($A1062&gt;'1-Input'!$B$26,0,IF(U1061&lt;=0,0,MAX(0,(U1061-V1061)/U1061)))</f>
        <v>0.42427571924068619</v>
      </c>
      <c r="Q1062" s="18">
        <f>IF($A1062&gt;'1-Input'!$B$26,0,(MAX(0,P1056-IF($A1062&gt;='1-Input'!$C$12,'1-Input'!$B$12,0))-MIN(MAX(T1061,0),MAX(0,P1056-IF($A1062&gt;='1-Input'!$C$12,'1-Input'!$B$12,0))))*(1/(1-'P-Parametri'!$B$6*P1062))+MIN(MAX(0,U1061-(MAX(0,P1056-IF($A1062&gt;='1-Input'!$C$12,'1-Input'!$B$12,0))-MIN(MAX(T1061,0),MAX(0,P1056-IF($A1062&gt;='1-Input'!$C$12,'1-Input'!$B$12,0))))*(1/(1-'P-Parametri'!$B$6*P1062))),MAX(0,2*P1056-(T1061-MIN(MAX(T1061,0),MAX(0,P1056-IF($A1062&gt;='1-Input'!$C$12,'1-Input'!$B$12,0)))))*(1/(1-'P-Parametri'!$B$6*P1062))))</f>
        <v>19971.569982603352</v>
      </c>
      <c r="R1062" s="18">
        <f>IF($A1062&gt;'1-Input'!$B$26,T1061,(T1061-MAX(0,P1056-IF($A1062&gt;='1-Input'!$C$12,'1-Input'!$B$12,0))+Q1062*(1-'P-Parametri'!$B$6*P1062))*(1+'1-Input'!$B$27))</f>
        <v>35155.889406417155</v>
      </c>
      <c r="S1062" s="18">
        <f>IF($A1062&gt;'1-Input'!$B$26,U1061,(U1061-Q1062)*(1+'5-Roberta'!$C$4))</f>
        <v>366395.79587477219</v>
      </c>
      <c r="T1062" s="18">
        <f>IF($A1062&gt;'1-Input'!$B$26,R1062,R1062-'P-Parametri'!$B$8*(S1062+R1062)+MIN(MAX(S1062,0),'P-Parametri'!$B$8*(S1062+R1062)))</f>
        <v>35155.889406417155</v>
      </c>
      <c r="U1062" s="18">
        <f>IF($A1062&gt;'1-Input'!$B$26,S1062,S1062-MIN(MAX(S1062,0),'P-Parametri'!$B$8*(S1062+R1062)))</f>
        <v>365592.69250420982</v>
      </c>
      <c r="V1062" s="18">
        <f>IF($A1062&gt;'1-Input'!$B$26,V1061,V1061-Q1062*(1-P1062))</f>
        <v>204798.98645945589</v>
      </c>
      <c r="W1062" s="11">
        <f>IF($A1062&gt;'1-Input'!$B$26,0,IF(AB1061&lt;=0,0,MAX(0,(AB1061-AC1061)/AB1061)))</f>
        <v>0.42427820989873538</v>
      </c>
      <c r="X1062" s="18">
        <f>IF($A1062&gt;'1-Input'!$B$26,0,(MAX(0,W1056-IF($A1062&gt;='1-Input'!$C$12,'1-Input'!$B$12,0))-MIN(MAX(AA1061,0),MAX(0,W1056-IF($A1062&gt;='1-Input'!$C$12,'1-Input'!$B$12,0))))*(1/(1-'P-Parametri'!$B$6*W1062))+MIN(MAX(0,AB1061-(MAX(0,W1056-IF($A1062&gt;='1-Input'!$C$12,'1-Input'!$B$12,0))-MIN(MAX(AA1061,0),MAX(0,W1056-IF($A1062&gt;='1-Input'!$C$12,'1-Input'!$B$12,0))))*(1/(1-'P-Parametri'!$B$6*W1062))),MAX(0,2*W1056-(AA1061-MIN(MAX(AA1061,0),MAX(0,W1056-IF($A1062&gt;='1-Input'!$C$12,'1-Input'!$B$12,0)))))*(1/(1-'P-Parametri'!$B$6*W1062))))</f>
        <v>19840.592517830944</v>
      </c>
      <c r="Y1062" s="18">
        <f>IF($A1062&gt;'1-Input'!$B$26,AA1061,(AA1061-MAX(0,W1056-IF($A1062&gt;='1-Input'!$C$12,'1-Input'!$B$12,0))+X1062*(1-'P-Parametri'!$B$6*W1062))*(1+'1-Input'!$B$27))</f>
        <v>34925.304782144136</v>
      </c>
      <c r="Z1062" s="18">
        <f>IF($A1062&gt;'1-Input'!$B$26,AB1061,(AB1061-X1062)*(1+'5-Roberta'!$C$4))</f>
        <v>367213.76873960148</v>
      </c>
      <c r="AA1062" s="18">
        <f>IF($A1062&gt;'1-Input'!$B$26,Y1062,Y1062-'P-Parametri'!$B$8*(Z1062+Y1062)+MIN(MAX(Z1062,0),'P-Parametri'!$B$8*(Z1062+Y1062)))</f>
        <v>34925.304782144136</v>
      </c>
      <c r="AB1062" s="18">
        <f>IF($A1062&gt;'1-Input'!$B$26,Z1062,Z1062-MIN(MAX(Z1062,0),'P-Parametri'!$B$8*(Z1062+Y1062)))</f>
        <v>366409.490592558</v>
      </c>
      <c r="AC1062" s="18">
        <f>IF($A1062&gt;'1-Input'!$B$26,AC1061,AC1061-X1062*(1-W1062))</f>
        <v>205255.30901805355</v>
      </c>
      <c r="AD1062" s="11">
        <f>IF($A1062&gt;'1-Input'!$B$26,0,IF(AI1061&lt;=0,0,MAX(0,(AI1061-AJ1061)/AI1061)))</f>
        <v>0.42427840408805051</v>
      </c>
      <c r="AE1062" s="18">
        <f>IF($A1062&gt;'1-Input'!$B$26,0,(MAX(0,AD1056-IF($A1062&gt;='1-Input'!$C$12,'1-Input'!$B$12,0))-MIN(MAX(AH1061,0),MAX(0,AD1056-IF($A1062&gt;='1-Input'!$C$12,'1-Input'!$B$12,0))))*(1/(1-'P-Parametri'!$B$6*AD1062))+MIN(MAX(0,AI1061-(MAX(0,AD1056-IF($A1062&gt;='1-Input'!$C$12,'1-Input'!$B$12,0))-MIN(MAX(AH1061,0),MAX(0,AD1056-IF($A1062&gt;='1-Input'!$C$12,'1-Input'!$B$12,0))))*(1/(1-'P-Parametri'!$B$6*AD1062))),MAX(0,2*AD1056-(AH1061-MIN(MAX(AH1061,0),MAX(0,AD1056-IF($A1062&gt;='1-Input'!$C$12,'1-Input'!$B$12,0)))))*(1/(1-'P-Parametri'!$B$6*AD1062))))</f>
        <v>19830.365515972691</v>
      </c>
      <c r="AF1062" s="18">
        <f>IF($A1062&gt;'1-Input'!$B$26,AH1061,(AH1061-MAX(0,AD1056-IF($A1062&gt;='1-Input'!$C$12,'1-Input'!$B$12,0))+AE1062*(1-'P-Parametri'!$B$6*AD1062))*(1+'1-Input'!$B$27))</f>
        <v>34907.300256313618</v>
      </c>
      <c r="AG1062" s="18">
        <f>IF($A1062&gt;'1-Input'!$B$26,AI1061,(AI1061-AE1062)*(1+'5-Roberta'!$C$4))</f>
        <v>367277.63777750457</v>
      </c>
      <c r="AH1062" s="18">
        <f>IF($A1062&gt;'1-Input'!$B$26,AF1062,AF1062-'P-Parametri'!$B$8*(AG1062+AF1062)+MIN(MAX(AG1062,0),'P-Parametri'!$B$8*(AG1062+AF1062)))</f>
        <v>34907.300256313618</v>
      </c>
      <c r="AI1062" s="18">
        <f>IF($A1062&gt;'1-Input'!$B$26,AG1062,AG1062-MIN(MAX(AG1062,0),'P-Parametri'!$B$8*(AG1062+AF1062)))</f>
        <v>366473.26790143695</v>
      </c>
      <c r="AJ1062" s="18">
        <f>IF($A1062&gt;'1-Input'!$B$26,AJ1061,AJ1061-AE1062*(1-AD1062))</f>
        <v>205290.93957673383</v>
      </c>
      <c r="AK1062" s="11">
        <f>IF($A1062&gt;'1-Input'!$B$26,0,IF(AP1061&lt;=0,0,MAX(0,(AP1061-AQ1061)/AP1061)))</f>
        <v>0.42427840322200938</v>
      </c>
      <c r="AL1062" s="18">
        <f>IF($A1062&gt;'1-Input'!$B$26,0,(MAX(0,AK1056-IF($A1062&gt;='1-Input'!$C$12,'1-Input'!$B$12,0))-MIN(MAX(AO1061,0),MAX(0,AK1056-IF($A1062&gt;='1-Input'!$C$12,'1-Input'!$B$12,0))))*(1/(1-'P-Parametri'!$B$6*AK1062))+MIN(MAX(0,AP1061-(MAX(0,AK1056-IF($A1062&gt;='1-Input'!$C$12,'1-Input'!$B$12,0))-MIN(MAX(AO1061,0),MAX(0,AK1056-IF($A1062&gt;='1-Input'!$C$12,'1-Input'!$B$12,0))))*(1/(1-'P-Parametri'!$B$6*AK1062))),MAX(0,2*AK1056-(AO1061-MIN(MAX(AO1061,0),MAX(0,AK1056-IF($A1062&gt;='1-Input'!$C$12,'1-Input'!$B$12,0)))))*(1/(1-'P-Parametri'!$B$6*AK1062))))</f>
        <v>19830.411130971486</v>
      </c>
      <c r="AM1062" s="18">
        <f>IF($A1062&gt;'1-Input'!$B$26,AO1061,(AO1061-MAX(0,AK1056-IF($A1062&gt;='1-Input'!$C$12,'1-Input'!$B$12,0))+AL1062*(1-'P-Parametri'!$B$6*AK1062))*(1+'1-Input'!$B$27))</f>
        <v>34907.38056101869</v>
      </c>
      <c r="AN1062" s="18">
        <f>IF($A1062&gt;'1-Input'!$B$26,AP1061,(AP1061-AL1062)*(1+'5-Roberta'!$C$4))</f>
        <v>367277.35290555545</v>
      </c>
      <c r="AO1062" s="18">
        <f>IF($A1062&gt;'1-Input'!$B$26,AM1062,AM1062-'P-Parametri'!$B$8*(AN1062+AM1062)+MIN(MAX(AN1062,0),'P-Parametri'!$B$8*(AN1062+AM1062)))</f>
        <v>34907.38056101869</v>
      </c>
      <c r="AP1062" s="18">
        <f>IF($A1062&gt;'1-Input'!$B$26,AN1062,AN1062-MIN(MAX(AN1062,0),'P-Parametri'!$B$8*(AN1062+AM1062)))</f>
        <v>366472.98343862232</v>
      </c>
      <c r="AQ1062" s="18">
        <f>IF($A1062&gt;'1-Input'!$B$26,AQ1061,AQ1061-AL1062*(1-AK1062))</f>
        <v>205290.78065551454</v>
      </c>
    </row>
    <row r="1063" spans="1:43">
      <c r="A1063" s="10">
        <f>5</f>
        <v>5</v>
      </c>
      <c r="B1063" s="11">
        <f>IF($A1063&gt;'1-Input'!$B$26,0,IF(G1062&lt;=0,0,MAX(0,(G1062-H1062)/G1062)))</f>
        <v>0.439844155091342</v>
      </c>
      <c r="C1063" s="18">
        <f>IF($A1063&gt;'1-Input'!$B$26,0,(MAX(0,B1056-IF($A1063&gt;='1-Input'!$C$12,'1-Input'!$B$12,0))-MIN(MAX(F1062,0),MAX(0,B1056-IF($A1063&gt;='1-Input'!$C$12,'1-Input'!$B$12,0))))*(1/(1-'P-Parametri'!$B$6*B1063))+MIN(MAX(0,G1062-(MAX(0,B1056-IF($A1063&gt;='1-Input'!$C$12,'1-Input'!$B$12,0))-MIN(MAX(F1062,0),MAX(0,B1056-IF($A1063&gt;='1-Input'!$C$12,'1-Input'!$B$12,0))))*(1/(1-'P-Parametri'!$B$6*B1063))),MAX(0,2*B1056-(F1062-MIN(MAX(F1062,0),MAX(0,B1056-IF($A1063&gt;='1-Input'!$C$12,'1-Input'!$B$12,0)))))*(1/(1-'P-Parametri'!$B$6*B1063))))</f>
        <v>18970.63033998583</v>
      </c>
      <c r="D1063" s="18">
        <f>IF($A1063&gt;'1-Input'!$B$26,F1062,(F1062-MAX(0,B1056-IF($A1063&gt;='1-Input'!$C$12,'1-Input'!$B$12,0))+C1063*(1-'P-Parametri'!$B$6*B1063))*(1+'1-Input'!$B$27))</f>
        <v>33242.0070309863</v>
      </c>
      <c r="E1063" s="18">
        <f>IF($A1063&gt;'1-Input'!$B$26,G1062,(G1062-C1063)*(1+'5-Roberta'!$C$4))</f>
        <v>364003.65474235296</v>
      </c>
      <c r="F1063" s="18">
        <f>IF($A1063&gt;'1-Input'!$B$26,D1063,D1063-'P-Parametri'!$B$8*(E1063+D1063)+MIN(MAX(E1063,0),'P-Parametri'!$B$8*(E1063+D1063)))</f>
        <v>33242.0070309863</v>
      </c>
      <c r="G1063" s="18">
        <f>IF($A1063&gt;'1-Input'!$B$26,E1063,E1063-MIN(MAX(E1063,0),'P-Parametri'!$B$8*(E1063+D1063)))</f>
        <v>363209.16341880627</v>
      </c>
      <c r="H1063" s="18">
        <f>IF($A1063&gt;'1-Input'!$B$26,H1062,H1062-C1063*(1-B1063))</f>
        <v>197959.97550683704</v>
      </c>
      <c r="I1063" s="11">
        <f>IF($A1063&gt;'1-Input'!$B$26,0,IF(N1062&lt;=0,0,MAX(0,(N1062-O1062)/N1062)))</f>
        <v>0.43968285630048892</v>
      </c>
      <c r="J1063" s="18">
        <f>IF($A1063&gt;'1-Input'!$B$26,0,(MAX(0,I1056-IF($A1063&gt;='1-Input'!$C$12,'1-Input'!$B$12,0))-MIN(MAX(M1062,0),MAX(0,I1056-IF($A1063&gt;='1-Input'!$C$12,'1-Input'!$B$12,0))))*(1/(1-'P-Parametri'!$B$6*I1063))+MIN(MAX(0,N1062-(MAX(0,I1056-IF($A1063&gt;='1-Input'!$C$12,'1-Input'!$B$12,0))-MIN(MAX(M1062,0),MAX(0,I1056-IF($A1063&gt;='1-Input'!$C$12,'1-Input'!$B$12,0))))*(1/(1-'P-Parametri'!$B$6*I1063))),MAX(0,2*I1056-(M1062-MIN(MAX(M1062,0),MAX(0,I1056-IF($A1063&gt;='1-Input'!$C$12,'1-Input'!$B$12,0)))))*(1/(1-'P-Parametri'!$B$6*I1063))))</f>
        <v>24960.173772805538</v>
      </c>
      <c r="K1063" s="18">
        <f>IF($A1063&gt;'1-Input'!$B$26,M1062,(M1062-MAX(0,I1056-IF($A1063&gt;='1-Input'!$C$12,'1-Input'!$B$12,0))+J1063*(1-'P-Parametri'!$B$6*I1063))*(1+'1-Input'!$B$27))</f>
        <v>43739.482935508291</v>
      </c>
      <c r="L1063" s="18">
        <f>IF($A1063&gt;'1-Input'!$B$26,N1062,(N1062-J1063)*(1+'5-Roberta'!$C$4))</f>
        <v>319534.08969629632</v>
      </c>
      <c r="M1063" s="18">
        <f>IF($A1063&gt;'1-Input'!$B$26,K1063,K1063-'P-Parametri'!$B$8*(L1063+K1063)+MIN(MAX(L1063,0),'P-Parametri'!$B$8*(L1063+K1063)))</f>
        <v>43739.482935508291</v>
      </c>
      <c r="N1063" s="18">
        <f>IF($A1063&gt;'1-Input'!$B$26,L1063,L1063-MIN(MAX(L1063,0),'P-Parametri'!$B$8*(L1063+K1063)))</f>
        <v>318807.54255103273</v>
      </c>
      <c r="O1063" s="18">
        <f>IF($A1063&gt;'1-Input'!$B$26,O1062,O1062-J1063*(1-I1063))</f>
        <v>173825.65869247779</v>
      </c>
      <c r="P1063" s="11">
        <f>IF($A1063&gt;'1-Input'!$B$26,0,IF(U1062&lt;=0,0,MAX(0,(U1062-V1062)/U1062)))</f>
        <v>0.43981652079356698</v>
      </c>
      <c r="Q1063" s="18">
        <f>IF($A1063&gt;'1-Input'!$B$26,0,(MAX(0,P1056-IF($A1063&gt;='1-Input'!$C$12,'1-Input'!$B$12,0))-MIN(MAX(T1062,0),MAX(0,P1056-IF($A1063&gt;='1-Input'!$C$12,'1-Input'!$B$12,0))))*(1/(1-'P-Parametri'!$B$6*P1063))+MIN(MAX(0,U1062-(MAX(0,P1056-IF($A1063&gt;='1-Input'!$C$12,'1-Input'!$B$12,0))-MIN(MAX(T1062,0),MAX(0,P1056-IF($A1063&gt;='1-Input'!$C$12,'1-Input'!$B$12,0))))*(1/(1-'P-Parametri'!$B$6*P1063))),MAX(0,2*P1056-(T1062-MIN(MAX(T1062,0),MAX(0,P1056-IF($A1063&gt;='1-Input'!$C$12,'1-Input'!$B$12,0)))))*(1/(1-'P-Parametri'!$B$6*P1063))))</f>
        <v>20062.68667955769</v>
      </c>
      <c r="R1063" s="18">
        <f>IF($A1063&gt;'1-Input'!$B$26,T1062,(T1062-MAX(0,P1056-IF($A1063&gt;='1-Input'!$C$12,'1-Input'!$B$12,0))+Q1063*(1-'P-Parametri'!$B$6*P1063))*(1+'1-Input'!$B$27))</f>
        <v>35155.889406417155</v>
      </c>
      <c r="S1063" s="18">
        <f>IF($A1063&gt;'1-Input'!$B$26,U1062,(U1062-Q1063)*(1+'5-Roberta'!$C$4))</f>
        <v>355895.90599939175</v>
      </c>
      <c r="T1063" s="18">
        <f>IF($A1063&gt;'1-Input'!$B$26,R1063,R1063-'P-Parametri'!$B$8*(S1063+R1063)+MIN(MAX(S1063,0),'P-Parametri'!$B$8*(S1063+R1063)))</f>
        <v>35155.889406417155</v>
      </c>
      <c r="U1063" s="18">
        <f>IF($A1063&gt;'1-Input'!$B$26,S1063,S1063-MIN(MAX(S1063,0),'P-Parametri'!$B$8*(S1063+R1063)))</f>
        <v>355113.80240858014</v>
      </c>
      <c r="V1063" s="18">
        <f>IF($A1063&gt;'1-Input'!$B$26,V1062,V1062-Q1063*(1-P1063))</f>
        <v>193560.20083307271</v>
      </c>
      <c r="W1063" s="11">
        <f>IF($A1063&gt;'1-Input'!$B$26,0,IF(AB1062&lt;=0,0,MAX(0,(AB1062-AC1062)/AB1062)))</f>
        <v>0.43981988925528553</v>
      </c>
      <c r="X1063" s="18">
        <f>IF($A1063&gt;'1-Input'!$B$26,0,(MAX(0,W1056-IF($A1063&gt;='1-Input'!$C$12,'1-Input'!$B$12,0))-MIN(MAX(AA1062,0),MAX(0,W1056-IF($A1063&gt;='1-Input'!$C$12,'1-Input'!$B$12,0))))*(1/(1-'P-Parametri'!$B$6*W1063))+MIN(MAX(0,AB1062-(MAX(0,W1056-IF($A1063&gt;='1-Input'!$C$12,'1-Input'!$B$12,0))-MIN(MAX(AA1062,0),MAX(0,W1056-IF($A1063&gt;='1-Input'!$C$12,'1-Input'!$B$12,0))))*(1/(1-'P-Parametri'!$B$6*W1063))),MAX(0,2*W1056-(AA1062-MIN(MAX(AA1062,0),MAX(0,W1056-IF($A1063&gt;='1-Input'!$C$12,'1-Input'!$B$12,0)))))*(1/(1-'P-Parametri'!$B$6*W1063))))</f>
        <v>19931.116856036715</v>
      </c>
      <c r="Y1063" s="18">
        <f>IF($A1063&gt;'1-Input'!$B$26,AA1062,(AA1062-MAX(0,W1056-IF($A1063&gt;='1-Input'!$C$12,'1-Input'!$B$12,0))+X1063*(1-'P-Parametri'!$B$6*W1063))*(1+'1-Input'!$B$27))</f>
        <v>34925.304782144136</v>
      </c>
      <c r="Z1063" s="18">
        <f>IF($A1063&gt;'1-Input'!$B$26,AB1062,(AB1062-X1063)*(1+'5-Roberta'!$C$4))</f>
        <v>356872.72494861693</v>
      </c>
      <c r="AA1063" s="18">
        <f>IF($A1063&gt;'1-Input'!$B$26,Y1063,Y1063-'P-Parametri'!$B$8*(Z1063+Y1063)+MIN(MAX(Z1063,0),'P-Parametri'!$B$8*(Z1063+Y1063)))</f>
        <v>34925.304782144136</v>
      </c>
      <c r="AB1063" s="18">
        <f>IF($A1063&gt;'1-Input'!$B$26,Z1063,Z1063-MIN(MAX(Z1063,0),'P-Parametri'!$B$8*(Z1063+Y1063)))</f>
        <v>356089.1288891554</v>
      </c>
      <c r="AC1063" s="18">
        <f>IF($A1063&gt;'1-Input'!$B$26,AC1062,AC1062-X1063*(1-W1063))</f>
        <v>194090.29377037307</v>
      </c>
      <c r="AD1063" s="11">
        <f>IF($A1063&gt;'1-Input'!$B$26,0,IF(AI1062&lt;=0,0,MAX(0,(AI1062-AJ1062)/AI1062)))</f>
        <v>0.43982015181542011</v>
      </c>
      <c r="AE1063" s="18">
        <f>IF($A1063&gt;'1-Input'!$B$26,0,(MAX(0,AD1056-IF($A1063&gt;='1-Input'!$C$12,'1-Input'!$B$12,0))-MIN(MAX(AH1062,0),MAX(0,AD1056-IF($A1063&gt;='1-Input'!$C$12,'1-Input'!$B$12,0))))*(1/(1-'P-Parametri'!$B$6*AD1063))+MIN(MAX(0,AI1062-(MAX(0,AD1056-IF($A1063&gt;='1-Input'!$C$12,'1-Input'!$B$12,0))-MIN(MAX(AH1062,0),MAX(0,AD1056-IF($A1063&gt;='1-Input'!$C$12,'1-Input'!$B$12,0))))*(1/(1-'P-Parametri'!$B$6*AD1063))),MAX(0,2*AD1056-(AH1062-MIN(MAX(AH1062,0),MAX(0,AD1056-IF($A1063&gt;='1-Input'!$C$12,'1-Input'!$B$12,0)))))*(1/(1-'P-Parametri'!$B$6*AD1063))))</f>
        <v>19920.843597642448</v>
      </c>
      <c r="AF1063" s="18">
        <f>IF($A1063&gt;'1-Input'!$B$26,AH1062,(AH1062-MAX(0,AD1056-IF($A1063&gt;='1-Input'!$C$12,'1-Input'!$B$12,0))+AE1063*(1-'P-Parametri'!$B$6*AD1063))*(1+'1-Input'!$B$27))</f>
        <v>34907.300256313618</v>
      </c>
      <c r="AG1063" s="18">
        <f>IF($A1063&gt;'1-Input'!$B$26,AI1062,(AI1062-AE1063)*(1+'5-Roberta'!$C$4))</f>
        <v>356948.99703290837</v>
      </c>
      <c r="AH1063" s="18">
        <f>IF($A1063&gt;'1-Input'!$B$26,AF1063,AF1063-'P-Parametri'!$B$8*(AG1063+AF1063)+MIN(MAX(AG1063,0),'P-Parametri'!$B$8*(AG1063+AF1063)))</f>
        <v>34907.300256313618</v>
      </c>
      <c r="AI1063" s="18">
        <f>IF($A1063&gt;'1-Input'!$B$26,AG1063,AG1063-MIN(MAX(AG1063,0),'P-Parametri'!$B$8*(AG1063+AF1063)))</f>
        <v>356165.28443832992</v>
      </c>
      <c r="AJ1063" s="18">
        <f>IF($A1063&gt;'1-Input'!$B$26,AJ1062,AJ1062-AE1063*(1-AD1063))</f>
        <v>194131.68443449773</v>
      </c>
      <c r="AK1063" s="11">
        <f>IF($A1063&gt;'1-Input'!$B$26,0,IF(AP1062&lt;=0,0,MAX(0,(AP1062-AQ1062)/AP1062)))</f>
        <v>0.43982015064448243</v>
      </c>
      <c r="AL1063" s="18">
        <f>IF($A1063&gt;'1-Input'!$B$26,0,(MAX(0,AK1056-IF($A1063&gt;='1-Input'!$C$12,'1-Input'!$B$12,0))-MIN(MAX(AO1062,0),MAX(0,AK1056-IF($A1063&gt;='1-Input'!$C$12,'1-Input'!$B$12,0))))*(1/(1-'P-Parametri'!$B$6*AK1063))+MIN(MAX(0,AP1062-(MAX(0,AK1056-IF($A1063&gt;='1-Input'!$C$12,'1-Input'!$B$12,0))-MIN(MAX(AO1062,0),MAX(0,AK1056-IF($A1063&gt;='1-Input'!$C$12,'1-Input'!$B$12,0))))*(1/(1-'P-Parametri'!$B$6*AK1063))),MAX(0,2*AK1056-(AO1062-MIN(MAX(AO1062,0),MAX(0,AK1056-IF($A1063&gt;='1-Input'!$C$12,'1-Input'!$B$12,0)))))*(1/(1-'P-Parametri'!$B$6*AK1063))))</f>
        <v>19920.889418958264</v>
      </c>
      <c r="AM1063" s="18">
        <f>IF($A1063&gt;'1-Input'!$B$26,AO1062,(AO1062-MAX(0,AK1056-IF($A1063&gt;='1-Input'!$C$12,'1-Input'!$B$12,0))+AL1063*(1-'P-Parametri'!$B$6*AK1063))*(1+'1-Input'!$B$27))</f>
        <v>34907.38056101869</v>
      </c>
      <c r="AN1063" s="18">
        <f>IF($A1063&gt;'1-Input'!$B$26,AP1062,(AP1062-AL1063)*(1+'5-Roberta'!$C$4))</f>
        <v>356948.65684025397</v>
      </c>
      <c r="AO1063" s="18">
        <f>IF($A1063&gt;'1-Input'!$B$26,AM1063,AM1063-'P-Parametri'!$B$8*(AN1063+AM1063)+MIN(MAX(AN1063,0),'P-Parametri'!$B$8*(AN1063+AM1063)))</f>
        <v>34907.38056101869</v>
      </c>
      <c r="AP1063" s="18">
        <f>IF($A1063&gt;'1-Input'!$B$26,AN1063,AN1063-MIN(MAX(AN1063,0),'P-Parametri'!$B$8*(AN1063+AM1063)))</f>
        <v>356164.94476545142</v>
      </c>
      <c r="AQ1063" s="18">
        <f>IF($A1063&gt;'1-Input'!$B$26,AQ1062,AQ1062-AL1063*(1-AK1063))</f>
        <v>194131.49982177457</v>
      </c>
    </row>
    <row r="1064" spans="1:43">
      <c r="A1064" s="10">
        <f>6</f>
        <v>6</v>
      </c>
      <c r="B1064" s="11">
        <f>IF($A1064&gt;'1-Input'!$B$26,0,IF(G1063&lt;=0,0,MAX(0,(G1063-H1063)/G1063)))</f>
        <v>0.45496976551063784</v>
      </c>
      <c r="C1064" s="18">
        <f>IF($A1064&gt;'1-Input'!$B$26,0,(MAX(0,B1056-IF($A1064&gt;='1-Input'!$C$12,'1-Input'!$B$12,0))-MIN(MAX(F1063,0),MAX(0,B1056-IF($A1064&gt;='1-Input'!$C$12,'1-Input'!$B$12,0))))*(1/(1-'P-Parametri'!$B$6*B1064))+MIN(MAX(0,G1063-(MAX(0,B1056-IF($A1064&gt;='1-Input'!$C$12,'1-Input'!$B$12,0))-MIN(MAX(F1063,0),MAX(0,B1056-IF($A1064&gt;='1-Input'!$C$12,'1-Input'!$B$12,0))))*(1/(1-'P-Parametri'!$B$6*B1064))),MAX(0,2*B1056-(F1063-MIN(MAX(F1063,0),MAX(0,B1056-IF($A1064&gt;='1-Input'!$C$12,'1-Input'!$B$12,0)))))*(1/(1-'P-Parametri'!$B$6*B1064))))</f>
        <v>19055.244550570551</v>
      </c>
      <c r="D1064" s="18">
        <f>IF($A1064&gt;'1-Input'!$B$26,F1063,(F1063-MAX(0,B1056-IF($A1064&gt;='1-Input'!$C$12,'1-Input'!$B$12,0))+C1064*(1-'P-Parametri'!$B$6*B1064))*(1+'1-Input'!$B$27))</f>
        <v>33242.0070309863</v>
      </c>
      <c r="E1064" s="18">
        <f>IF($A1064&gt;'1-Input'!$B$26,G1063,(G1063-C1064)*(1+'5-Roberta'!$C$4))</f>
        <v>354478.53643428278</v>
      </c>
      <c r="F1064" s="18">
        <f>IF($A1064&gt;'1-Input'!$B$26,D1064,D1064-'P-Parametri'!$B$8*(E1064+D1064)+MIN(MAX(E1064,0),'P-Parametri'!$B$8*(E1064+D1064)))</f>
        <v>33242.0070309863</v>
      </c>
      <c r="G1064" s="18">
        <f>IF($A1064&gt;'1-Input'!$B$26,E1064,E1064-MIN(MAX(E1064,0),'P-Parametri'!$B$8*(E1064+D1064)))</f>
        <v>353703.09534735227</v>
      </c>
      <c r="H1064" s="18">
        <f>IF($A1064&gt;'1-Input'!$B$26,H1063,H1063-C1064*(1-B1064))</f>
        <v>187574.29110118744</v>
      </c>
      <c r="I1064" s="11">
        <f>IF($A1064&gt;'1-Input'!$B$26,0,IF(N1063&lt;=0,0,MAX(0,(N1063-O1063)/N1063)))</f>
        <v>0.45476302943913927</v>
      </c>
      <c r="J1064" s="18">
        <f>IF($A1064&gt;'1-Input'!$B$26,0,(MAX(0,I1056-IF($A1064&gt;='1-Input'!$C$12,'1-Input'!$B$12,0))-MIN(MAX(M1063,0),MAX(0,I1056-IF($A1064&gt;='1-Input'!$C$12,'1-Input'!$B$12,0))))*(1/(1-'P-Parametri'!$B$6*I1064))+MIN(MAX(0,N1063-(MAX(0,I1056-IF($A1064&gt;='1-Input'!$C$12,'1-Input'!$B$12,0))-MIN(MAX(M1063,0),MAX(0,I1056-IF($A1064&gt;='1-Input'!$C$12,'1-Input'!$B$12,0))))*(1/(1-'P-Parametri'!$B$6*I1064))),MAX(0,2*I1056-(M1063-MIN(MAX(M1063,0),MAX(0,I1056-IF($A1064&gt;='1-Input'!$C$12,'1-Input'!$B$12,0)))))*(1/(1-'P-Parametri'!$B$6*I1064))))</f>
        <v>25071.161789936912</v>
      </c>
      <c r="K1064" s="18">
        <f>IF($A1064&gt;'1-Input'!$B$26,M1063,(M1063-MAX(0,I1056-IF($A1064&gt;='1-Input'!$C$12,'1-Input'!$B$12,0))+J1064*(1-'P-Parametri'!$B$6*I1064))*(1+'1-Input'!$B$27))</f>
        <v>43739.482935508291</v>
      </c>
      <c r="L1064" s="18">
        <f>IF($A1064&gt;'1-Input'!$B$26,N1063,(N1063-J1064)*(1+'5-Roberta'!$C$4))</f>
        <v>302548.47218392871</v>
      </c>
      <c r="M1064" s="18">
        <f>IF($A1064&gt;'1-Input'!$B$26,K1064,K1064-'P-Parametri'!$B$8*(L1064+K1064)+MIN(MAX(L1064,0),'P-Parametri'!$B$8*(L1064+K1064)))</f>
        <v>43739.482935508291</v>
      </c>
      <c r="N1064" s="18">
        <f>IF($A1064&gt;'1-Input'!$B$26,L1064,L1064-MIN(MAX(L1064,0),'P-Parametri'!$B$8*(L1064+K1064)))</f>
        <v>301855.89627368981</v>
      </c>
      <c r="O1064" s="18">
        <f>IF($A1064&gt;'1-Input'!$B$26,O1063,O1063-J1064*(1-I1064))</f>
        <v>160155.93438969139</v>
      </c>
      <c r="P1064" s="11">
        <f>IF($A1064&gt;'1-Input'!$B$26,0,IF(U1063&lt;=0,0,MAX(0,(U1063-V1063)/U1063)))</f>
        <v>0.45493472931708279</v>
      </c>
      <c r="Q1064" s="18">
        <f>IF($A1064&gt;'1-Input'!$B$26,0,(MAX(0,P1056-IF($A1064&gt;='1-Input'!$C$12,'1-Input'!$B$12,0))-MIN(MAX(T1063,0),MAX(0,P1056-IF($A1064&gt;='1-Input'!$C$12,'1-Input'!$B$12,0))))*(1/(1-'P-Parametri'!$B$6*P1064))+MIN(MAX(0,U1063-(MAX(0,P1056-IF($A1064&gt;='1-Input'!$C$12,'1-Input'!$B$12,0))-MIN(MAX(T1063,0),MAX(0,P1056-IF($A1064&gt;='1-Input'!$C$12,'1-Input'!$B$12,0))))*(1/(1-'P-Parametri'!$B$6*P1064))),MAX(0,2*P1056-(T1063-MIN(MAX(T1063,0),MAX(0,P1056-IF($A1064&gt;='1-Input'!$C$12,'1-Input'!$B$12,0)))))*(1/(1-'P-Parametri'!$B$6*P1064))))</f>
        <v>20152.127046078873</v>
      </c>
      <c r="R1064" s="18">
        <f>IF($A1064&gt;'1-Input'!$B$26,T1063,(T1063-MAX(0,P1056-IF($A1064&gt;='1-Input'!$C$12,'1-Input'!$B$12,0))+Q1064*(1-'P-Parametri'!$B$6*P1064))*(1+'1-Input'!$B$27))</f>
        <v>35155.889406417155</v>
      </c>
      <c r="S1064" s="18">
        <f>IF($A1064&gt;'1-Input'!$B$26,U1063,(U1063-Q1064)*(1+'5-Roberta'!$C$4))</f>
        <v>345010.52562337636</v>
      </c>
      <c r="T1064" s="18">
        <f>IF($A1064&gt;'1-Input'!$B$26,R1064,R1064-'P-Parametri'!$B$8*(S1064+R1064)+MIN(MAX(S1064,0),'P-Parametri'!$B$8*(S1064+R1064)))</f>
        <v>35155.889406417155</v>
      </c>
      <c r="U1064" s="18">
        <f>IF($A1064&gt;'1-Input'!$B$26,S1064,S1064-MIN(MAX(S1064,0),'P-Parametri'!$B$8*(S1064+R1064)))</f>
        <v>344250.19279331679</v>
      </c>
      <c r="V1064" s="18">
        <f>IF($A1064&gt;'1-Input'!$B$26,V1063,V1063-Q1064*(1-P1064))</f>
        <v>182575.9762498652</v>
      </c>
      <c r="W1064" s="11">
        <f>IF($A1064&gt;'1-Input'!$B$26,0,IF(AB1063&lt;=0,0,MAX(0,(AB1063-AC1063)/AB1063)))</f>
        <v>0.45493900817514105</v>
      </c>
      <c r="X1064" s="18">
        <f>IF($A1064&gt;'1-Input'!$B$26,0,(MAX(0,W1056-IF($A1064&gt;='1-Input'!$C$12,'1-Input'!$B$12,0))-MIN(MAX(AA1063,0),MAX(0,W1056-IF($A1064&gt;='1-Input'!$C$12,'1-Input'!$B$12,0))))*(1/(1-'P-Parametri'!$B$6*W1064))+MIN(MAX(0,AB1063-(MAX(0,W1056-IF($A1064&gt;='1-Input'!$C$12,'1-Input'!$B$12,0))-MIN(MAX(AA1063,0),MAX(0,W1056-IF($A1064&gt;='1-Input'!$C$12,'1-Input'!$B$12,0))))*(1/(1-'P-Parametri'!$B$6*W1064))),MAX(0,2*W1056-(AA1063-MIN(MAX(AA1063,0),MAX(0,W1056-IF($A1064&gt;='1-Input'!$C$12,'1-Input'!$B$12,0)))))*(1/(1-'P-Parametri'!$B$6*W1064))))</f>
        <v>20019.976141086194</v>
      </c>
      <c r="Y1064" s="18">
        <f>IF($A1064&gt;'1-Input'!$B$26,AA1063,(AA1063-MAX(0,W1056-IF($A1064&gt;='1-Input'!$C$12,'1-Input'!$B$12,0))+X1064*(1-'P-Parametri'!$B$6*W1064))*(1+'1-Input'!$B$27))</f>
        <v>34925.304782144136</v>
      </c>
      <c r="Z1064" s="18">
        <f>IF($A1064&gt;'1-Input'!$B$26,AB1063,(AB1063-X1064)*(1+'5-Roberta'!$C$4))</f>
        <v>346151.22733051126</v>
      </c>
      <c r="AA1064" s="18">
        <f>IF($A1064&gt;'1-Input'!$B$26,Y1064,Y1064-'P-Parametri'!$B$8*(Z1064+Y1064)+MIN(MAX(Z1064,0),'P-Parametri'!$B$8*(Z1064+Y1064)))</f>
        <v>34925.304782144136</v>
      </c>
      <c r="AB1064" s="18">
        <f>IF($A1064&gt;'1-Input'!$B$26,Z1064,Z1064-MIN(MAX(Z1064,0),'P-Parametri'!$B$8*(Z1064+Y1064)))</f>
        <v>345389.07426628593</v>
      </c>
      <c r="AC1064" s="18">
        <f>IF($A1064&gt;'1-Input'!$B$26,AC1063,AC1063-X1064*(1-W1064))</f>
        <v>183178.18571860262</v>
      </c>
      <c r="AD1064" s="11">
        <f>IF($A1064&gt;'1-Input'!$B$26,0,IF(AI1063&lt;=0,0,MAX(0,(AI1063-AJ1063)/AI1063)))</f>
        <v>0.45493934160191385</v>
      </c>
      <c r="AE1064" s="18">
        <f>IF($A1064&gt;'1-Input'!$B$26,0,(MAX(0,AD1056-IF($A1064&gt;='1-Input'!$C$12,'1-Input'!$B$12,0))-MIN(MAX(AH1063,0),MAX(0,AD1056-IF($A1064&gt;='1-Input'!$C$12,'1-Input'!$B$12,0))))*(1/(1-'P-Parametri'!$B$6*AD1064))+MIN(MAX(0,AI1063-(MAX(0,AD1056-IF($A1064&gt;='1-Input'!$C$12,'1-Input'!$B$12,0))-MIN(MAX(AH1063,0),MAX(0,AD1056-IF($A1064&gt;='1-Input'!$C$12,'1-Input'!$B$12,0))))*(1/(1-'P-Parametri'!$B$6*AD1064))),MAX(0,2*AD1056-(AH1063-MIN(MAX(AH1063,0),MAX(0,AD1056-IF($A1064&gt;='1-Input'!$C$12,'1-Input'!$B$12,0)))))*(1/(1-'P-Parametri'!$B$6*AD1064))))</f>
        <v>20009.657506245261</v>
      </c>
      <c r="AF1064" s="18">
        <f>IF($A1064&gt;'1-Input'!$B$26,AH1063,(AH1063-MAX(0,AD1056-IF($A1064&gt;='1-Input'!$C$12,'1-Input'!$B$12,0))+AE1064*(1-'P-Parametri'!$B$6*AD1064))*(1+'1-Input'!$B$27))</f>
        <v>34907.300256313618</v>
      </c>
      <c r="AG1064" s="18">
        <f>IF($A1064&gt;'1-Input'!$B$26,AI1063,(AI1063-AE1064)*(1+'5-Roberta'!$C$4))</f>
        <v>346240.29574004724</v>
      </c>
      <c r="AH1064" s="18">
        <f>IF($A1064&gt;'1-Input'!$B$26,AF1064,AF1064-'P-Parametri'!$B$8*(AG1064+AF1064)+MIN(MAX(AG1064,0),'P-Parametri'!$B$8*(AG1064+AF1064)))</f>
        <v>34907.300256313618</v>
      </c>
      <c r="AI1064" s="18">
        <f>IF($A1064&gt;'1-Input'!$B$26,AG1064,AG1064-MIN(MAX(AG1064,0),'P-Parametri'!$B$8*(AG1064+AF1064)))</f>
        <v>345478.00054805452</v>
      </c>
      <c r="AJ1064" s="18">
        <f>IF($A1064&gt;'1-Input'!$B$26,AJ1063,AJ1063-AE1064*(1-AD1064))</f>
        <v>183225.20733982348</v>
      </c>
      <c r="AK1064" s="11">
        <f>IF($A1064&gt;'1-Input'!$B$26,0,IF(AP1063&lt;=0,0,MAX(0,(AP1063-AQ1063)/AP1063)))</f>
        <v>0.4549393401149634</v>
      </c>
      <c r="AL1064" s="18">
        <f>IF($A1064&gt;'1-Input'!$B$26,0,(MAX(0,AK1056-IF($A1064&gt;='1-Input'!$C$12,'1-Input'!$B$12,0))-MIN(MAX(AO1063,0),MAX(0,AK1056-IF($A1064&gt;='1-Input'!$C$12,'1-Input'!$B$12,0))))*(1/(1-'P-Parametri'!$B$6*AK1064))+MIN(MAX(0,AP1063-(MAX(0,AK1056-IF($A1064&gt;='1-Input'!$C$12,'1-Input'!$B$12,0))-MIN(MAX(AO1063,0),MAX(0,AK1056-IF($A1064&gt;='1-Input'!$C$12,'1-Input'!$B$12,0))))*(1/(1-'P-Parametri'!$B$6*AK1064))),MAX(0,2*AK1056-(AO1063-MIN(MAX(AO1063,0),MAX(0,AK1056-IF($A1064&gt;='1-Input'!$C$12,'1-Input'!$B$12,0)))))*(1/(1-'P-Parametri'!$B$6*AK1064))))</f>
        <v>20009.703529952832</v>
      </c>
      <c r="AM1064" s="18">
        <f>IF($A1064&gt;'1-Input'!$B$26,AO1063,(AO1063-MAX(0,AK1056-IF($A1064&gt;='1-Input'!$C$12,'1-Input'!$B$12,0))+AL1064*(1-'P-Parametri'!$B$6*AK1064))*(1+'1-Input'!$B$27))</f>
        <v>34907.38056101869</v>
      </c>
      <c r="AN1064" s="18">
        <f>IF($A1064&gt;'1-Input'!$B$26,AP1063,(AP1063-AL1064)*(1+'5-Roberta'!$C$4))</f>
        <v>346239.89847256354</v>
      </c>
      <c r="AO1064" s="18">
        <f>IF($A1064&gt;'1-Input'!$B$26,AM1064,AM1064-'P-Parametri'!$B$8*(AN1064+AM1064)+MIN(MAX(AN1064,0),'P-Parametri'!$B$8*(AN1064+AM1064)))</f>
        <v>34907.38056101869</v>
      </c>
      <c r="AP1064" s="18">
        <f>IF($A1064&gt;'1-Input'!$B$26,AN1064,AN1064-MIN(MAX(AN1064,0),'P-Parametri'!$B$8*(AN1064+AM1064)))</f>
        <v>345477.60391449637</v>
      </c>
      <c r="AQ1064" s="18">
        <f>IF($A1064&gt;'1-Input'!$B$26,AQ1063,AQ1063-AL1064*(1-AK1064))</f>
        <v>183224.99761163455</v>
      </c>
    </row>
    <row r="1065" spans="1:43">
      <c r="A1065" s="10">
        <f>7</f>
        <v>7</v>
      </c>
      <c r="B1065" s="11">
        <f>IF($A1065&gt;'1-Input'!$B$26,0,IF(G1064&lt;=0,0,MAX(0,(G1064-H1064)/G1064)))</f>
        <v>0.4696843381679171</v>
      </c>
      <c r="C1065" s="18">
        <f>IF($A1065&gt;'1-Input'!$B$26,0,(MAX(0,B1056-IF($A1065&gt;='1-Input'!$C$12,'1-Input'!$B$12,0))-MIN(MAX(F1064,0),MAX(0,B1056-IF($A1065&gt;='1-Input'!$C$12,'1-Input'!$B$12,0))))*(1/(1-'P-Parametri'!$B$6*B1065))+MIN(MAX(0,G1064-(MAX(0,B1056-IF($A1065&gt;='1-Input'!$C$12,'1-Input'!$B$12,0))-MIN(MAX(F1064,0),MAX(0,B1056-IF($A1065&gt;='1-Input'!$C$12,'1-Input'!$B$12,0))))*(1/(1-'P-Parametri'!$B$6*B1065))),MAX(0,2*B1056-(F1064-MIN(MAX(F1064,0),MAX(0,B1056-IF($A1065&gt;='1-Input'!$C$12,'1-Input'!$B$12,0)))))*(1/(1-'P-Parametri'!$B$6*B1065))))</f>
        <v>19138.286846607411</v>
      </c>
      <c r="D1065" s="18">
        <f>IF($A1065&gt;'1-Input'!$B$26,F1064,(F1064-MAX(0,B1056-IF($A1065&gt;='1-Input'!$C$12,'1-Input'!$B$12,0))+C1065*(1-'P-Parametri'!$B$6*B1065))*(1+'1-Input'!$B$27))</f>
        <v>33242.0070309863</v>
      </c>
      <c r="E1065" s="18">
        <f>IF($A1065&gt;'1-Input'!$B$26,G1064,(G1064-C1065)*(1+'5-Roberta'!$C$4))</f>
        <v>344601.7527557672</v>
      </c>
      <c r="F1065" s="18">
        <f>IF($A1065&gt;'1-Input'!$B$26,D1065,D1065-'P-Parametri'!$B$8*(E1065+D1065)+MIN(MAX(E1065,0),'P-Parametri'!$B$8*(E1065+D1065)))</f>
        <v>33242.0070309863</v>
      </c>
      <c r="G1065" s="18">
        <f>IF($A1065&gt;'1-Input'!$B$26,E1065,E1065-MIN(MAX(E1065,0),'P-Parametri'!$B$8*(E1065+D1065)))</f>
        <v>343846.06523619371</v>
      </c>
      <c r="H1065" s="18">
        <f>IF($A1065&gt;'1-Input'!$B$26,H1064,H1064-C1065*(1-B1065))</f>
        <v>177424.9578457966</v>
      </c>
      <c r="I1065" s="11">
        <f>IF($A1065&gt;'1-Input'!$B$26,0,IF(N1064&lt;=0,0,MAX(0,(N1064-O1064)/N1064)))</f>
        <v>0.46942916680852387</v>
      </c>
      <c r="J1065" s="18">
        <f>IF($A1065&gt;'1-Input'!$B$26,0,(MAX(0,I1056-IF($A1065&gt;='1-Input'!$C$12,'1-Input'!$B$12,0))-MIN(MAX(M1064,0),MAX(0,I1056-IF($A1065&gt;='1-Input'!$C$12,'1-Input'!$B$12,0))))*(1/(1-'P-Parametri'!$B$6*I1065))+MIN(MAX(0,N1064-(MAX(0,I1056-IF($A1065&gt;='1-Input'!$C$12,'1-Input'!$B$12,0))-MIN(MAX(M1064,0),MAX(0,I1056-IF($A1065&gt;='1-Input'!$C$12,'1-Input'!$B$12,0))))*(1/(1-'P-Parametri'!$B$6*I1065))),MAX(0,2*I1056-(M1064-MIN(MAX(M1064,0),MAX(0,I1056-IF($A1065&gt;='1-Input'!$C$12,'1-Input'!$B$12,0)))))*(1/(1-'P-Parametri'!$B$6*I1065))))</f>
        <v>25180.053434278074</v>
      </c>
      <c r="K1065" s="18">
        <f>IF($A1065&gt;'1-Input'!$B$26,M1064,(M1064-MAX(0,I1056-IF($A1065&gt;='1-Input'!$C$12,'1-Input'!$B$12,0))+J1065*(1-'P-Parametri'!$B$6*I1065))*(1+'1-Input'!$B$27))</f>
        <v>43739.482935508291</v>
      </c>
      <c r="L1065" s="18">
        <f>IF($A1065&gt;'1-Input'!$B$26,N1064,(N1064-J1065)*(1+'5-Roberta'!$C$4))</f>
        <v>284976.1181245941</v>
      </c>
      <c r="M1065" s="18">
        <f>IF($A1065&gt;'1-Input'!$B$26,K1065,K1065-'P-Parametri'!$B$8*(L1065+K1065)+MIN(MAX(L1065,0),'P-Parametri'!$B$8*(L1065+K1065)))</f>
        <v>43739.482935508291</v>
      </c>
      <c r="N1065" s="18">
        <f>IF($A1065&gt;'1-Input'!$B$26,L1065,L1065-MIN(MAX(L1065,0),'P-Parametri'!$B$8*(L1065+K1065)))</f>
        <v>284318.68692247389</v>
      </c>
      <c r="O1065" s="18">
        <f>IF($A1065&gt;'1-Input'!$B$26,O1064,O1064-J1065*(1-I1065))</f>
        <v>146796.13245926058</v>
      </c>
      <c r="P1065" s="11">
        <f>IF($A1065&gt;'1-Input'!$B$26,0,IF(U1064&lt;=0,0,MAX(0,(U1064-V1064)/U1064)))</f>
        <v>0.4696416151043919</v>
      </c>
      <c r="Q1065" s="18">
        <f>IF($A1065&gt;'1-Input'!$B$26,0,(MAX(0,P1056-IF($A1065&gt;='1-Input'!$C$12,'1-Input'!$B$12,0))-MIN(MAX(T1064,0),MAX(0,P1056-IF($A1065&gt;='1-Input'!$C$12,'1-Input'!$B$12,0))))*(1/(1-'P-Parametri'!$B$6*P1065))+MIN(MAX(0,U1064-(MAX(0,P1056-IF($A1065&gt;='1-Input'!$C$12,'1-Input'!$B$12,0))-MIN(MAX(T1064,0),MAX(0,P1056-IF($A1065&gt;='1-Input'!$C$12,'1-Input'!$B$12,0))))*(1/(1-'P-Parametri'!$B$6*P1065))),MAX(0,2*P1056-(T1064-MIN(MAX(T1064,0),MAX(0,P1056-IF($A1065&gt;='1-Input'!$C$12,'1-Input'!$B$12,0)))))*(1/(1-'P-Parametri'!$B$6*P1065))))</f>
        <v>20239.902540600302</v>
      </c>
      <c r="R1065" s="18">
        <f>IF($A1065&gt;'1-Input'!$B$26,T1064,(T1064-MAX(0,P1056-IF($A1065&gt;='1-Input'!$C$12,'1-Input'!$B$12,0))+Q1065*(1-'P-Parametri'!$B$6*P1065))*(1+'1-Input'!$B$27))</f>
        <v>35155.889406417155</v>
      </c>
      <c r="S1065" s="18">
        <f>IF($A1065&gt;'1-Input'!$B$26,U1064,(U1064-Q1065)*(1+'5-Roberta'!$C$4))</f>
        <v>333730.598960298</v>
      </c>
      <c r="T1065" s="18">
        <f>IF($A1065&gt;'1-Input'!$B$26,R1065,R1065-'P-Parametri'!$B$8*(S1065+R1065)+MIN(MAX(S1065,0),'P-Parametri'!$B$8*(S1065+R1065)))</f>
        <v>35155.889406417155</v>
      </c>
      <c r="U1065" s="18">
        <f>IF($A1065&gt;'1-Input'!$B$26,S1065,S1065-MIN(MAX(S1065,0),'P-Parametri'!$B$8*(S1065+R1065)))</f>
        <v>332992.82598356454</v>
      </c>
      <c r="V1065" s="18">
        <f>IF($A1065&gt;'1-Input'!$B$26,V1064,V1064-Q1065*(1-P1065))</f>
        <v>171841.57422798791</v>
      </c>
      <c r="W1065" s="11">
        <f>IF($A1065&gt;'1-Input'!$B$26,0,IF(AB1064&lt;=0,0,MAX(0,(AB1064-AC1064)/AB1064)))</f>
        <v>0.46964684361330711</v>
      </c>
      <c r="X1065" s="18">
        <f>IF($A1065&gt;'1-Input'!$B$26,0,(MAX(0,W1056-IF($A1065&gt;='1-Input'!$C$12,'1-Input'!$B$12,0))-MIN(MAX(AA1064,0),MAX(0,W1056-IF($A1065&gt;='1-Input'!$C$12,'1-Input'!$B$12,0))))*(1/(1-'P-Parametri'!$B$6*W1065))+MIN(MAX(0,AB1064-(MAX(0,W1056-IF($A1065&gt;='1-Input'!$C$12,'1-Input'!$B$12,0))-MIN(MAX(AA1064,0),MAX(0,W1056-IF($A1065&gt;='1-Input'!$C$12,'1-Input'!$B$12,0))))*(1/(1-'P-Parametri'!$B$6*W1065))),MAX(0,2*W1056-(AA1064-MIN(MAX(AA1064,0),MAX(0,W1056-IF($A1065&gt;='1-Input'!$C$12,'1-Input'!$B$12,0)))))*(1/(1-'P-Parametri'!$B$6*W1065))))</f>
        <v>20107.181798985777</v>
      </c>
      <c r="Y1065" s="18">
        <f>IF($A1065&gt;'1-Input'!$B$26,AA1064,(AA1064-MAX(0,W1056-IF($A1065&gt;='1-Input'!$C$12,'1-Input'!$B$12,0))+X1065*(1-'P-Parametri'!$B$6*W1065))*(1+'1-Input'!$B$27))</f>
        <v>34925.304782144136</v>
      </c>
      <c r="Z1065" s="18">
        <f>IF($A1065&gt;'1-Input'!$B$26,AB1064,(AB1064-X1065)*(1+'5-Roberta'!$C$4))</f>
        <v>335040.34924131917</v>
      </c>
      <c r="AA1065" s="18">
        <f>IF($A1065&gt;'1-Input'!$B$26,Y1065,Y1065-'P-Parametri'!$B$8*(Z1065+Y1065)+MIN(MAX(Z1065,0),'P-Parametri'!$B$8*(Z1065+Y1065)))</f>
        <v>34925.304782144136</v>
      </c>
      <c r="AB1065" s="18">
        <f>IF($A1065&gt;'1-Input'!$B$26,Z1065,Z1065-MIN(MAX(Z1065,0),'P-Parametri'!$B$8*(Z1065+Y1065)))</f>
        <v>334300.41793327226</v>
      </c>
      <c r="AC1065" s="18">
        <f>IF($A1065&gt;'1-Input'!$B$26,AC1064,AC1064-X1065*(1-W1065))</f>
        <v>172514.27838546946</v>
      </c>
      <c r="AD1065" s="11">
        <f>IF($A1065&gt;'1-Input'!$B$26,0,IF(AI1064&lt;=0,0,MAX(0,(AI1064-AJ1064)/AI1064)))</f>
        <v>0.46964725091276072</v>
      </c>
      <c r="AE1065" s="18">
        <f>IF($A1065&gt;'1-Input'!$B$26,0,(MAX(0,AD1056-IF($A1065&gt;='1-Input'!$C$12,'1-Input'!$B$12,0))-MIN(MAX(AH1064,0),MAX(0,AD1056-IF($A1065&gt;='1-Input'!$C$12,'1-Input'!$B$12,0))))*(1/(1-'P-Parametri'!$B$6*AD1065))+MIN(MAX(0,AI1064-(MAX(0,AD1056-IF($A1065&gt;='1-Input'!$C$12,'1-Input'!$B$12,0))-MIN(MAX(AH1064,0),MAX(0,AD1056-IF($A1065&gt;='1-Input'!$C$12,'1-Input'!$B$12,0))))*(1/(1-'P-Parametri'!$B$6*AD1065))),MAX(0,2*AD1056-(AH1064-MIN(MAX(AH1064,0),MAX(0,AD1056-IF($A1065&gt;='1-Input'!$C$12,'1-Input'!$B$12,0)))))*(1/(1-'P-Parametri'!$B$6*AD1065))))</f>
        <v>20096.818665165476</v>
      </c>
      <c r="AF1065" s="18">
        <f>IF($A1065&gt;'1-Input'!$B$26,AH1064,(AH1064-MAX(0,AD1056-IF($A1065&gt;='1-Input'!$C$12,'1-Input'!$B$12,0))+AE1065*(1-'P-Parametri'!$B$6*AD1065))*(1+'1-Input'!$B$27))</f>
        <v>34907.300256313618</v>
      </c>
      <c r="AG1065" s="18">
        <f>IF($A1065&gt;'1-Input'!$B$26,AI1064,(AI1064-AE1065)*(1+'5-Roberta'!$C$4))</f>
        <v>335142.61733937572</v>
      </c>
      <c r="AH1065" s="18">
        <f>IF($A1065&gt;'1-Input'!$B$26,AF1065,AF1065-'P-Parametri'!$B$8*(AG1065+AF1065)+MIN(MAX(AG1065,0),'P-Parametri'!$B$8*(AG1065+AF1065)))</f>
        <v>34907.300256313618</v>
      </c>
      <c r="AI1065" s="18">
        <f>IF($A1065&gt;'1-Input'!$B$26,AG1065,AG1065-MIN(MAX(AG1065,0),'P-Parametri'!$B$8*(AG1065+AF1065)))</f>
        <v>334402.51750418433</v>
      </c>
      <c r="AJ1065" s="18">
        <f>IF($A1065&gt;'1-Input'!$B$26,AJ1064,AJ1064-AE1065*(1-AD1065))</f>
        <v>172566.80431284523</v>
      </c>
      <c r="AK1065" s="11">
        <f>IF($A1065&gt;'1-Input'!$B$26,0,IF(AP1064&lt;=0,0,MAX(0,(AP1064-AQ1064)/AP1064)))</f>
        <v>0.46964724909640848</v>
      </c>
      <c r="AL1065" s="18">
        <f>IF($A1065&gt;'1-Input'!$B$26,0,(MAX(0,AK1056-IF($A1065&gt;='1-Input'!$C$12,'1-Input'!$B$12,0))-MIN(MAX(AO1064,0),MAX(0,AK1056-IF($A1065&gt;='1-Input'!$C$12,'1-Input'!$B$12,0))))*(1/(1-'P-Parametri'!$B$6*AK1065))+MIN(MAX(0,AP1064-(MAX(0,AK1056-IF($A1065&gt;='1-Input'!$C$12,'1-Input'!$B$12,0))-MIN(MAX(AO1064,0),MAX(0,AK1056-IF($A1065&gt;='1-Input'!$C$12,'1-Input'!$B$12,0))))*(1/(1-'P-Parametri'!$B$6*AK1065))),MAX(0,2*AK1056-(AO1064-MIN(MAX(AO1064,0),MAX(0,AK1056-IF($A1065&gt;='1-Input'!$C$12,'1-Input'!$B$12,0)))))*(1/(1-'P-Parametri'!$B$6*AK1065))))</f>
        <v>20096.864887351254</v>
      </c>
      <c r="AM1065" s="18">
        <f>IF($A1065&gt;'1-Input'!$B$26,AO1064,(AO1064-MAX(0,AK1056-IF($A1065&gt;='1-Input'!$C$12,'1-Input'!$B$12,0))+AL1065*(1-'P-Parametri'!$B$6*AK1065))*(1+'1-Input'!$B$27))</f>
        <v>34907.380561018697</v>
      </c>
      <c r="AN1065" s="18">
        <f>IF($A1065&gt;'1-Input'!$B$26,AP1064,(AP1064-AL1065)*(1+'5-Roberta'!$C$4))</f>
        <v>335142.1611979595</v>
      </c>
      <c r="AO1065" s="18">
        <f>IF($A1065&gt;'1-Input'!$B$26,AM1065,AM1065-'P-Parametri'!$B$8*(AN1065+AM1065)+MIN(MAX(AN1065,0),'P-Parametri'!$B$8*(AN1065+AM1065)))</f>
        <v>34907.380561018697</v>
      </c>
      <c r="AP1065" s="18">
        <f>IF($A1065&gt;'1-Input'!$B$26,AN1065,AN1065-MIN(MAX(AN1065,0),'P-Parametri'!$B$8*(AN1065+AM1065)))</f>
        <v>334402.06211444153</v>
      </c>
      <c r="AQ1065" s="18">
        <f>IF($A1065&gt;'1-Input'!$B$26,AQ1064,AQ1064-AL1065*(1-AK1065))</f>
        <v>172566.57003409002</v>
      </c>
    </row>
    <row r="1066" spans="1:43">
      <c r="A1066" s="10">
        <f>8</f>
        <v>8</v>
      </c>
      <c r="B1066" s="11">
        <f>IF($A1066&gt;'1-Input'!$B$26,0,IF(G1065&lt;=0,0,MAX(0,(G1065-H1065)/G1065)))</f>
        <v>0.48399887105318373</v>
      </c>
      <c r="C1066" s="18">
        <f>IF($A1066&gt;'1-Input'!$B$26,0,(MAX(0,B1056-IF($A1066&gt;='1-Input'!$C$12,'1-Input'!$B$12,0))-MIN(MAX(F1065,0),MAX(0,B1056-IF($A1066&gt;='1-Input'!$C$12,'1-Input'!$B$12,0))))*(1/(1-'P-Parametri'!$B$6*B1066))+MIN(MAX(0,G1065-(MAX(0,B1056-IF($A1066&gt;='1-Input'!$C$12,'1-Input'!$B$12,0))-MIN(MAX(F1065,0),MAX(0,B1056-IF($A1066&gt;='1-Input'!$C$12,'1-Input'!$B$12,0))))*(1/(1-'P-Parametri'!$B$6*B1066))),MAX(0,2*B1056-(F1065-MIN(MAX(F1065,0),MAX(0,B1056-IF($A1066&gt;='1-Input'!$C$12,'1-Input'!$B$12,0)))))*(1/(1-'P-Parametri'!$B$6*B1066))))</f>
        <v>19219.769002683584</v>
      </c>
      <c r="D1066" s="18">
        <f>IF($A1066&gt;'1-Input'!$B$26,F1065,(F1065-MAX(0,B1056-IF($A1066&gt;='1-Input'!$C$12,'1-Input'!$B$12,0))+C1066*(1-'P-Parametri'!$B$6*B1066))*(1+'1-Input'!$B$27))</f>
        <v>33242.0070309863</v>
      </c>
      <c r="E1066" s="18">
        <f>IF($A1066&gt;'1-Input'!$B$26,G1065,(G1065-C1066)*(1+'5-Roberta'!$C$4))</f>
        <v>334365.08512051543</v>
      </c>
      <c r="F1066" s="18">
        <f>IF($A1066&gt;'1-Input'!$B$26,D1066,D1066-'P-Parametri'!$B$8*(E1066+D1066)+MIN(MAX(E1066,0),'P-Parametri'!$B$8*(E1066+D1066)))</f>
        <v>33242.0070309863</v>
      </c>
      <c r="G1066" s="18">
        <f>IF($A1066&gt;'1-Input'!$B$26,E1066,E1066-MIN(MAX(E1066,0),'P-Parametri'!$B$8*(E1066+D1066)))</f>
        <v>333629.87093621242</v>
      </c>
      <c r="H1066" s="18">
        <f>IF($A1066&gt;'1-Input'!$B$26,H1065,H1065-C1066*(1-B1066))</f>
        <v>167507.53534231483</v>
      </c>
      <c r="I1066" s="11">
        <f>IF($A1066&gt;'1-Input'!$B$26,0,IF(N1065&lt;=0,0,MAX(0,(N1065-O1065)/N1065)))</f>
        <v>0.48369157846002586</v>
      </c>
      <c r="J1066" s="18">
        <f>IF($A1066&gt;'1-Input'!$B$26,0,(MAX(0,I1056-IF($A1066&gt;='1-Input'!$C$12,'1-Input'!$B$12,0))-MIN(MAX(M1065,0),MAX(0,I1056-IF($A1066&gt;='1-Input'!$C$12,'1-Input'!$B$12,0))))*(1/(1-'P-Parametri'!$B$6*I1066))+MIN(MAX(0,N1065-(MAX(0,I1056-IF($A1066&gt;='1-Input'!$C$12,'1-Input'!$B$12,0))-MIN(MAX(M1065,0),MAX(0,I1056-IF($A1066&gt;='1-Input'!$C$12,'1-Input'!$B$12,0))))*(1/(1-'P-Parametri'!$B$6*I1066))),MAX(0,2*I1056-(M1065-MIN(MAX(M1065,0),MAX(0,I1056-IF($A1066&gt;='1-Input'!$C$12,'1-Input'!$B$12,0)))))*(1/(1-'P-Parametri'!$B$6*I1066))))</f>
        <v>25286.858584461301</v>
      </c>
      <c r="K1066" s="18">
        <f>IF($A1066&gt;'1-Input'!$B$26,M1065,(M1065-MAX(0,I1056-IF($A1066&gt;='1-Input'!$C$12,'1-Input'!$B$12,0))+J1066*(1-'P-Parametri'!$B$6*I1066))*(1+'1-Input'!$B$27))</f>
        <v>43739.482935508291</v>
      </c>
      <c r="L1066" s="18">
        <f>IF($A1066&gt;'1-Input'!$B$26,N1065,(N1065-J1066)*(1+'5-Roberta'!$C$4))</f>
        <v>266802.783188153</v>
      </c>
      <c r="M1066" s="18">
        <f>IF($A1066&gt;'1-Input'!$B$26,K1066,K1066-'P-Parametri'!$B$8*(L1066+K1066)+MIN(MAX(L1066,0),'P-Parametri'!$B$8*(L1066+K1066)))</f>
        <v>43739.482935508291</v>
      </c>
      <c r="N1066" s="18">
        <f>IF($A1066&gt;'1-Input'!$B$26,L1066,L1066-MIN(MAX(L1066,0),'P-Parametri'!$B$8*(L1066+K1066)))</f>
        <v>266181.69865590567</v>
      </c>
      <c r="O1066" s="18">
        <f>IF($A1066&gt;'1-Input'!$B$26,O1065,O1065-J1066*(1-I1066))</f>
        <v>133740.31441781283</v>
      </c>
      <c r="P1066" s="11">
        <f>IF($A1066&gt;'1-Input'!$B$26,0,IF(U1065&lt;=0,0,MAX(0,(U1065-V1065)/U1065)))</f>
        <v>0.48394811894094841</v>
      </c>
      <c r="Q1066" s="18">
        <f>IF($A1066&gt;'1-Input'!$B$26,0,(MAX(0,P1056-IF($A1066&gt;='1-Input'!$C$12,'1-Input'!$B$12,0))-MIN(MAX(T1065,0),MAX(0,P1056-IF($A1066&gt;='1-Input'!$C$12,'1-Input'!$B$12,0))))*(1/(1-'P-Parametri'!$B$6*P1066))+MIN(MAX(0,U1065-(MAX(0,P1056-IF($A1066&gt;='1-Input'!$C$12,'1-Input'!$B$12,0))-MIN(MAX(T1065,0),MAX(0,P1056-IF($A1066&gt;='1-Input'!$C$12,'1-Input'!$B$12,0))))*(1/(1-'P-Parametri'!$B$6*P1066))),MAX(0,2*P1056-(T1065-MIN(MAX(T1065,0),MAX(0,P1056-IF($A1066&gt;='1-Input'!$C$12,'1-Input'!$B$12,0)))))*(1/(1-'P-Parametri'!$B$6*P1066))))</f>
        <v>20326.025243028944</v>
      </c>
      <c r="R1066" s="18">
        <f>IF($A1066&gt;'1-Input'!$B$26,T1065,(T1065-MAX(0,P1056-IF($A1066&gt;='1-Input'!$C$12,'1-Input'!$B$12,0))+Q1066*(1-'P-Parametri'!$B$6*P1066))*(1+'1-Input'!$B$27))</f>
        <v>35155.889406417155</v>
      </c>
      <c r="S1066" s="18">
        <f>IF($A1066&gt;'1-Input'!$B$26,U1065,(U1065-Q1066)*(1+'5-Roberta'!$C$4))</f>
        <v>322046.80476275168</v>
      </c>
      <c r="T1066" s="18">
        <f>IF($A1066&gt;'1-Input'!$B$26,R1066,R1066-'P-Parametri'!$B$8*(S1066+R1066)+MIN(MAX(S1066,0),'P-Parametri'!$B$8*(S1066+R1066)))</f>
        <v>35155.889406417155</v>
      </c>
      <c r="U1066" s="18">
        <f>IF($A1066&gt;'1-Input'!$B$26,S1066,S1066-MIN(MAX(S1066,0),'P-Parametri'!$B$8*(S1066+R1066)))</f>
        <v>321332.39937441336</v>
      </c>
      <c r="V1066" s="18">
        <f>IF($A1066&gt;'1-Input'!$B$26,V1065,V1065-Q1066*(1-P1066))</f>
        <v>161352.29066686906</v>
      </c>
      <c r="W1066" s="11">
        <f>IF($A1066&gt;'1-Input'!$B$26,0,IF(AB1065&lt;=0,0,MAX(0,(AB1065-AC1065)/AB1065)))</f>
        <v>0.48395434426317702</v>
      </c>
      <c r="X1066" s="18">
        <f>IF($A1066&gt;'1-Input'!$B$26,0,(MAX(0,W1056-IF($A1066&gt;='1-Input'!$C$12,'1-Input'!$B$12,0))-MIN(MAX(AA1065,0),MAX(0,W1056-IF($A1066&gt;='1-Input'!$C$12,'1-Input'!$B$12,0))))*(1/(1-'P-Parametri'!$B$6*W1066))+MIN(MAX(0,AB1065-(MAX(0,W1056-IF($A1066&gt;='1-Input'!$C$12,'1-Input'!$B$12,0))-MIN(MAX(AA1065,0),MAX(0,W1056-IF($A1066&gt;='1-Input'!$C$12,'1-Input'!$B$12,0))))*(1/(1-'P-Parametri'!$B$6*W1066))),MAX(0,2*W1056-(AA1065-MIN(MAX(AA1065,0),MAX(0,W1056-IF($A1066&gt;='1-Input'!$C$12,'1-Input'!$B$12,0)))))*(1/(1-'P-Parametri'!$B$6*W1066))))</f>
        <v>20192.745881811399</v>
      </c>
      <c r="Y1066" s="18">
        <f>IF($A1066&gt;'1-Input'!$B$26,AA1065,(AA1065-MAX(0,W1056-IF($A1066&gt;='1-Input'!$C$12,'1-Input'!$B$12,0))+X1066*(1-'P-Parametri'!$B$6*W1066))*(1+'1-Input'!$B$27))</f>
        <v>34925.304782144136</v>
      </c>
      <c r="Z1066" s="18">
        <f>IF($A1066&gt;'1-Input'!$B$26,AB1065,(AB1065-X1066)*(1+'5-Roberta'!$C$4))</f>
        <v>323530.90221300465</v>
      </c>
      <c r="AA1066" s="18">
        <f>IF($A1066&gt;'1-Input'!$B$26,Y1066,Y1066-'P-Parametri'!$B$8*(Z1066+Y1066)+MIN(MAX(Z1066,0),'P-Parametri'!$B$8*(Z1066+Y1066)))</f>
        <v>34925.304782144136</v>
      </c>
      <c r="AB1066" s="18">
        <f>IF($A1066&gt;'1-Input'!$B$26,Z1066,Z1066-MIN(MAX(Z1066,0),'P-Parametri'!$B$8*(Z1066+Y1066)))</f>
        <v>322813.98979901435</v>
      </c>
      <c r="AC1066" s="18">
        <f>IF($A1066&gt;'1-Input'!$B$26,AC1065,AC1065-X1066*(1-W1066))</f>
        <v>162093.89959576307</v>
      </c>
      <c r="AD1066" s="11">
        <f>IF($A1066&gt;'1-Input'!$B$26,0,IF(AI1065&lt;=0,0,MAX(0,(AI1065-AJ1065)/AI1065)))</f>
        <v>0.48395482904614817</v>
      </c>
      <c r="AE1066" s="18">
        <f>IF($A1066&gt;'1-Input'!$B$26,0,(MAX(0,AD1056-IF($A1066&gt;='1-Input'!$C$12,'1-Input'!$B$12,0))-MIN(MAX(AH1065,0),MAX(0,AD1056-IF($A1066&gt;='1-Input'!$C$12,'1-Input'!$B$12,0))))*(1/(1-'P-Parametri'!$B$6*AD1066))+MIN(MAX(0,AI1065-(MAX(0,AD1056-IF($A1066&gt;='1-Input'!$C$12,'1-Input'!$B$12,0))-MIN(MAX(AH1065,0),MAX(0,AD1056-IF($A1066&gt;='1-Input'!$C$12,'1-Input'!$B$12,0))))*(1/(1-'P-Parametri'!$B$6*AD1066))),MAX(0,2*AD1056-(AH1065-MIN(MAX(AH1065,0),MAX(0,AD1056-IF($A1066&gt;='1-Input'!$C$12,'1-Input'!$B$12,0)))))*(1/(1-'P-Parametri'!$B$6*AD1066))))</f>
        <v>20182.339124192829</v>
      </c>
      <c r="AF1066" s="18">
        <f>IF($A1066&gt;'1-Input'!$B$26,AH1065,(AH1065-MAX(0,AD1056-IF($A1066&gt;='1-Input'!$C$12,'1-Input'!$B$12,0))+AE1066*(1-'P-Parametri'!$B$6*AD1066))*(1+'1-Input'!$B$27))</f>
        <v>34907.300256313618</v>
      </c>
      <c r="AG1066" s="18">
        <f>IF($A1066&gt;'1-Input'!$B$26,AI1065,(AI1065-AE1066)*(1+'5-Roberta'!$C$4))</f>
        <v>323646.78373139125</v>
      </c>
      <c r="AH1066" s="18">
        <f>IF($A1066&gt;'1-Input'!$B$26,AF1066,AF1066-'P-Parametri'!$B$8*(AG1066+AF1066)+MIN(MAX(AG1066,0),'P-Parametri'!$B$8*(AG1066+AF1066)))</f>
        <v>34907.300256313625</v>
      </c>
      <c r="AI1066" s="18">
        <f>IF($A1066&gt;'1-Input'!$B$26,AG1066,AG1066-MIN(MAX(AG1066,0),'P-Parametri'!$B$8*(AG1066+AF1066)))</f>
        <v>322929.67556341586</v>
      </c>
      <c r="AJ1066" s="18">
        <f>IF($A1066&gt;'1-Input'!$B$26,AJ1065,AJ1065-AE1066*(1-AD1066))</f>
        <v>162151.80566925253</v>
      </c>
      <c r="AK1066" s="11">
        <f>IF($A1066&gt;'1-Input'!$B$26,0,IF(AP1065&lt;=0,0,MAX(0,(AP1065-AQ1065)/AP1065)))</f>
        <v>0.48395482688431202</v>
      </c>
      <c r="AL1066" s="18">
        <f>IF($A1066&gt;'1-Input'!$B$26,0,(MAX(0,AK1056-IF($A1066&gt;='1-Input'!$C$12,'1-Input'!$B$12,0))-MIN(MAX(AO1065,0),MAX(0,AK1056-IF($A1066&gt;='1-Input'!$C$12,'1-Input'!$B$12,0))))*(1/(1-'P-Parametri'!$B$6*AK1066))+MIN(MAX(0,AP1065-(MAX(0,AK1056-IF($A1066&gt;='1-Input'!$C$12,'1-Input'!$B$12,0))-MIN(MAX(AO1065,0),MAX(0,AK1056-IF($A1066&gt;='1-Input'!$C$12,'1-Input'!$B$12,0))))*(1/(1-'P-Parametri'!$B$6*AK1066))),MAX(0,2*AK1056-(AO1065-MIN(MAX(AO1065,0),MAX(0,AK1056-IF($A1066&gt;='1-Input'!$C$12,'1-Input'!$B$12,0)))))*(1/(1-'P-Parametri'!$B$6*AK1066))))</f>
        <v>20182.385540953492</v>
      </c>
      <c r="AM1066" s="18">
        <f>IF($A1066&gt;'1-Input'!$B$26,AO1065,(AO1065-MAX(0,AK1056-IF($A1066&gt;='1-Input'!$C$12,'1-Input'!$B$12,0))+AL1066*(1-'P-Parametri'!$B$6*AK1066))*(1+'1-Input'!$B$27))</f>
        <v>34907.38056101869</v>
      </c>
      <c r="AN1066" s="18">
        <f>IF($A1066&gt;'1-Input'!$B$26,AP1065,(AP1065-AL1066)*(1+'5-Roberta'!$C$4))</f>
        <v>323646.26687069272</v>
      </c>
      <c r="AO1066" s="18">
        <f>IF($A1066&gt;'1-Input'!$B$26,AM1066,AM1066-'P-Parametri'!$B$8*(AN1066+AM1066)+MIN(MAX(AN1066,0),'P-Parametri'!$B$8*(AN1066+AM1066)))</f>
        <v>34907.38056101869</v>
      </c>
      <c r="AP1066" s="18">
        <f>IF($A1066&gt;'1-Input'!$B$26,AN1066,AN1066-MIN(MAX(AN1066,0),'P-Parametri'!$B$8*(AN1066+AM1066)))</f>
        <v>322929.15957582928</v>
      </c>
      <c r="AQ1066" s="18">
        <f>IF($A1066&gt;'1-Input'!$B$26,AQ1065,AQ1065-AL1066*(1-AK1066))</f>
        <v>162151.54739372112</v>
      </c>
    </row>
    <row r="1067" spans="1:43">
      <c r="A1067" s="10">
        <f>9</f>
        <v>9</v>
      </c>
      <c r="B1067" s="11">
        <f>IF($A1067&gt;'1-Input'!$B$26,0,IF(G1066&lt;=0,0,MAX(0,(G1066-H1066)/G1066)))</f>
        <v>0.49792404717160038</v>
      </c>
      <c r="C1067" s="18">
        <f>IF($A1067&gt;'1-Input'!$B$26,0,(MAX(0,B1056-IF($A1067&gt;='1-Input'!$C$12,'1-Input'!$B$12,0))-MIN(MAX(F1066,0),MAX(0,B1056-IF($A1067&gt;='1-Input'!$C$12,'1-Input'!$B$12,0))))*(1/(1-'P-Parametri'!$B$6*B1067))+MIN(MAX(0,G1066-(MAX(0,B1056-IF($A1067&gt;='1-Input'!$C$12,'1-Input'!$B$12,0))-MIN(MAX(F1066,0),MAX(0,B1056-IF($A1067&gt;='1-Input'!$C$12,'1-Input'!$B$12,0))))*(1/(1-'P-Parametri'!$B$6*B1067))),MAX(0,2*B1056-(F1066-MIN(MAX(F1066,0),MAX(0,B1056-IF($A1067&gt;='1-Input'!$C$12,'1-Input'!$B$12,0)))))*(1/(1-'P-Parametri'!$B$6*B1067))))</f>
        <v>19299.703381261483</v>
      </c>
      <c r="D1067" s="18">
        <f>IF($A1067&gt;'1-Input'!$B$26,F1066,(F1066-MAX(0,B1056-IF($A1067&gt;='1-Input'!$C$12,'1-Input'!$B$12,0))+C1067*(1-'P-Parametri'!$B$6*B1067))*(1+'1-Input'!$B$27))</f>
        <v>33242.0070309863</v>
      </c>
      <c r="E1067" s="18">
        <f>IF($A1067&gt;'1-Input'!$B$26,G1066,(G1066-C1067)*(1+'5-Roberta'!$C$4))</f>
        <v>323760.07258159947</v>
      </c>
      <c r="F1067" s="18">
        <f>IF($A1067&gt;'1-Input'!$B$26,D1067,D1067-'P-Parametri'!$B$8*(E1067+D1067)+MIN(MAX(E1067,0),'P-Parametri'!$B$8*(E1067+D1067)))</f>
        <v>33242.0070309863</v>
      </c>
      <c r="G1067" s="18">
        <f>IF($A1067&gt;'1-Input'!$B$26,E1067,E1067-MIN(MAX(E1067,0),'P-Parametri'!$B$8*(E1067+D1067)))</f>
        <v>323046.06842237432</v>
      </c>
      <c r="H1067" s="18">
        <f>IF($A1067&gt;'1-Input'!$B$26,H1066,H1066-C1067*(1-B1067))</f>
        <v>157817.6183778625</v>
      </c>
      <c r="I1067" s="11">
        <f>IF($A1067&gt;'1-Input'!$B$26,0,IF(N1066&lt;=0,0,MAX(0,(N1066-O1066)/N1066)))</f>
        <v>0.49756006858044904</v>
      </c>
      <c r="J1067" s="18">
        <f>IF($A1067&gt;'1-Input'!$B$26,0,(MAX(0,I1056-IF($A1067&gt;='1-Input'!$C$12,'1-Input'!$B$12,0))-MIN(MAX(M1066,0),MAX(0,I1056-IF($A1067&gt;='1-Input'!$C$12,'1-Input'!$B$12,0))))*(1/(1-'P-Parametri'!$B$6*I1067))+MIN(MAX(0,N1066-(MAX(0,I1056-IF($A1067&gt;='1-Input'!$C$12,'1-Input'!$B$12,0))-MIN(MAX(M1066,0),MAX(0,I1056-IF($A1067&gt;='1-Input'!$C$12,'1-Input'!$B$12,0))))*(1/(1-'P-Parametri'!$B$6*I1067))),MAX(0,2*I1056-(M1066-MIN(MAX(M1066,0),MAX(0,I1056-IF($A1067&gt;='1-Input'!$C$12,'1-Input'!$B$12,0)))))*(1/(1-'P-Parametri'!$B$6*I1067))))</f>
        <v>25391.586291597305</v>
      </c>
      <c r="K1067" s="18">
        <f>IF($A1067&gt;'1-Input'!$B$26,M1066,(M1066-MAX(0,I1056-IF($A1067&gt;='1-Input'!$C$12,'1-Input'!$B$12,0))+J1067*(1-'P-Parametri'!$B$6*I1067))*(1+'1-Input'!$B$27))</f>
        <v>43739.482935508291</v>
      </c>
      <c r="L1067" s="18">
        <f>IF($A1067&gt;'1-Input'!$B$26,N1066,(N1066-J1067)*(1+'5-Roberta'!$C$4))</f>
        <v>248013.81573523761</v>
      </c>
      <c r="M1067" s="18">
        <f>IF($A1067&gt;'1-Input'!$B$26,K1067,K1067-'P-Parametri'!$B$8*(L1067+K1067)+MIN(MAX(L1067,0),'P-Parametri'!$B$8*(L1067+K1067)))</f>
        <v>43739.482935508291</v>
      </c>
      <c r="N1067" s="18">
        <f>IF($A1067&gt;'1-Input'!$B$26,L1067,L1067-MIN(MAX(L1067,0),'P-Parametri'!$B$8*(L1067+K1067)))</f>
        <v>247430.30913789611</v>
      </c>
      <c r="O1067" s="18">
        <f>IF($A1067&gt;'1-Input'!$B$26,O1066,O1066-J1067*(1-I1067))</f>
        <v>120982.56754282907</v>
      </c>
      <c r="P1067" s="11">
        <f>IF($A1067&gt;'1-Input'!$B$26,0,IF(U1066&lt;=0,0,MAX(0,(U1066-V1066)/U1066)))</f>
        <v>0.4978648558906662</v>
      </c>
      <c r="Q1067" s="18">
        <f>IF($A1067&gt;'1-Input'!$B$26,0,(MAX(0,P1056-IF($A1067&gt;='1-Input'!$C$12,'1-Input'!$B$12,0))-MIN(MAX(T1066,0),MAX(0,P1056-IF($A1067&gt;='1-Input'!$C$12,'1-Input'!$B$12,0))))*(1/(1-'P-Parametri'!$B$6*P1067))+MIN(MAX(0,U1066-(MAX(0,P1056-IF($A1067&gt;='1-Input'!$C$12,'1-Input'!$B$12,0))-MIN(MAX(T1066,0),MAX(0,P1056-IF($A1067&gt;='1-Input'!$C$12,'1-Input'!$B$12,0))))*(1/(1-'P-Parametri'!$B$6*P1067))),MAX(0,2*P1056-(T1066-MIN(MAX(T1066,0),MAX(0,P1056-IF($A1067&gt;='1-Input'!$C$12,'1-Input'!$B$12,0)))))*(1/(1-'P-Parametri'!$B$6*P1067))))</f>
        <v>20410.507779441763</v>
      </c>
      <c r="R1067" s="18">
        <f>IF($A1067&gt;'1-Input'!$B$26,T1066,(T1066-MAX(0,P1056-IF($A1067&gt;='1-Input'!$C$12,'1-Input'!$B$12,0))+Q1067*(1-'P-Parametri'!$B$6*P1067))*(1+'1-Input'!$B$27))</f>
        <v>35155.889406417155</v>
      </c>
      <c r="S1067" s="18">
        <f>IF($A1067&gt;'1-Input'!$B$26,U1066,(U1066-Q1067)*(1+'5-Roberta'!$C$4))</f>
        <v>309949.54834282072</v>
      </c>
      <c r="T1067" s="18">
        <f>IF($A1067&gt;'1-Input'!$B$26,R1067,R1067-'P-Parametri'!$B$8*(S1067+R1067)+MIN(MAX(S1067,0),'P-Parametri'!$B$8*(S1067+R1067)))</f>
        <v>35155.889406417155</v>
      </c>
      <c r="U1067" s="18">
        <f>IF($A1067&gt;'1-Input'!$B$26,S1067,S1067-MIN(MAX(S1067,0),'P-Parametri'!$B$8*(S1067+R1067)))</f>
        <v>309259.33746732224</v>
      </c>
      <c r="V1067" s="18">
        <f>IF($A1067&gt;'1-Input'!$B$26,V1066,V1066-Q1067*(1-P1067))</f>
        <v>151103.45740169438</v>
      </c>
      <c r="W1067" s="11">
        <f>IF($A1067&gt;'1-Input'!$B$26,0,IF(AB1066&lt;=0,0,MAX(0,(AB1066-AC1066)/AB1066)))</f>
        <v>0.49787213467209535</v>
      </c>
      <c r="X1067" s="18">
        <f>IF($A1067&gt;'1-Input'!$B$26,0,(MAX(0,W1056-IF($A1067&gt;='1-Input'!$C$12,'1-Input'!$B$12,0))-MIN(MAX(AA1066,0),MAX(0,W1056-IF($A1067&gt;='1-Input'!$C$12,'1-Input'!$B$12,0))))*(1/(1-'P-Parametri'!$B$6*W1067))+MIN(MAX(0,AB1066-(MAX(0,W1056-IF($A1067&gt;='1-Input'!$C$12,'1-Input'!$B$12,0))-MIN(MAX(AA1066,0),MAX(0,W1056-IF($A1067&gt;='1-Input'!$C$12,'1-Input'!$B$12,0))))*(1/(1-'P-Parametri'!$B$6*W1067))),MAX(0,2*W1056-(AA1066-MIN(MAX(AA1066,0),MAX(0,W1056-IF($A1067&gt;='1-Input'!$C$12,'1-Input'!$B$12,0)))))*(1/(1-'P-Parametri'!$B$6*W1067))))</f>
        <v>20276.680995156217</v>
      </c>
      <c r="Y1067" s="18">
        <f>IF($A1067&gt;'1-Input'!$B$26,AA1066,(AA1066-MAX(0,W1056-IF($A1067&gt;='1-Input'!$C$12,'1-Input'!$B$12,0))+X1067*(1-'P-Parametri'!$B$6*W1067))*(1+'1-Input'!$B$27))</f>
        <v>34925.304782144136</v>
      </c>
      <c r="Z1067" s="18">
        <f>IF($A1067&gt;'1-Input'!$B$26,AB1066,(AB1066-X1067)*(1+'5-Roberta'!$C$4))</f>
        <v>311613.42806797387</v>
      </c>
      <c r="AA1067" s="18">
        <f>IF($A1067&gt;'1-Input'!$B$26,Y1067,Y1067-'P-Parametri'!$B$8*(Z1067+Y1067)+MIN(MAX(Z1067,0),'P-Parametri'!$B$8*(Z1067+Y1067)))</f>
        <v>34925.304782144136</v>
      </c>
      <c r="AB1067" s="18">
        <f>IF($A1067&gt;'1-Input'!$B$26,Z1067,Z1067-MIN(MAX(Z1067,0),'P-Parametri'!$B$8*(Z1067+Y1067)))</f>
        <v>310920.35060227365</v>
      </c>
      <c r="AC1067" s="18">
        <f>IF($A1067&gt;'1-Input'!$B$26,AC1066,AC1066-X1067*(1-W1067))</f>
        <v>151912.41305173037</v>
      </c>
      <c r="AD1067" s="11">
        <f>IF($A1067&gt;'1-Input'!$B$26,0,IF(AI1066&lt;=0,0,MAX(0,(AI1066-AJ1066)/AI1066)))</f>
        <v>0.49787270127359451</v>
      </c>
      <c r="AE1067" s="18">
        <f>IF($A1067&gt;'1-Input'!$B$26,0,(MAX(0,AD1056-IF($A1067&gt;='1-Input'!$C$12,'1-Input'!$B$12,0))-MIN(MAX(AH1066,0),MAX(0,AD1056-IF($A1067&gt;='1-Input'!$C$12,'1-Input'!$B$12,0))))*(1/(1-'P-Parametri'!$B$6*AD1067))+MIN(MAX(0,AI1066-(MAX(0,AD1056-IF($A1067&gt;='1-Input'!$C$12,'1-Input'!$B$12,0))-MIN(MAX(AH1066,0),MAX(0,AD1056-IF($A1067&gt;='1-Input'!$C$12,'1-Input'!$B$12,0))))*(1/(1-'P-Parametri'!$B$6*AD1067))),MAX(0,2*AD1056-(AH1066-MIN(MAX(AH1066,0),MAX(0,AD1056-IF($A1067&gt;='1-Input'!$C$12,'1-Input'!$B$12,0)))))*(1/(1-'P-Parametri'!$B$6*AD1067))))</f>
        <v>20266.231487177636</v>
      </c>
      <c r="AF1067" s="18">
        <f>IF($A1067&gt;'1-Input'!$B$26,AH1066,(AH1066-MAX(0,AD1056-IF($A1067&gt;='1-Input'!$C$12,'1-Input'!$B$12,0))+AE1067*(1-'P-Parametri'!$B$6*AD1067))*(1+'1-Input'!$B$27))</f>
        <v>34907.300256313618</v>
      </c>
      <c r="AG1067" s="18">
        <f>IF($A1067&gt;'1-Input'!$B$26,AI1066,(AI1066-AE1067)*(1+'5-Roberta'!$C$4))</f>
        <v>311743.34739852534</v>
      </c>
      <c r="AH1067" s="18">
        <f>IF($A1067&gt;'1-Input'!$B$26,AF1067,AF1067-'P-Parametri'!$B$8*(AG1067+AF1067)+MIN(MAX(AG1067,0),'P-Parametri'!$B$8*(AG1067+AF1067)))</f>
        <v>34907.300256313618</v>
      </c>
      <c r="AI1067" s="18">
        <f>IF($A1067&gt;'1-Input'!$B$26,AG1067,AG1067-MIN(MAX(AG1067,0),'P-Parametri'!$B$8*(AG1067+AF1067)))</f>
        <v>311050.04610321566</v>
      </c>
      <c r="AJ1067" s="18">
        <f>IF($A1067&gt;'1-Input'!$B$26,AJ1066,AJ1066-AE1067*(1-AD1067))</f>
        <v>151975.57759723201</v>
      </c>
      <c r="AK1067" s="11">
        <f>IF($A1067&gt;'1-Input'!$B$26,0,IF(AP1066&lt;=0,0,MAX(0,(AP1066-AQ1066)/AP1066)))</f>
        <v>0.49787269874696721</v>
      </c>
      <c r="AL1067" s="18">
        <f>IF($A1067&gt;'1-Input'!$B$26,0,(MAX(0,AK1056-IF($A1067&gt;='1-Input'!$C$12,'1-Input'!$B$12,0))-MIN(MAX(AO1066,0),MAX(0,AK1056-IF($A1067&gt;='1-Input'!$C$12,'1-Input'!$B$12,0))))*(1/(1-'P-Parametri'!$B$6*AK1067))+MIN(MAX(0,AP1066-(MAX(0,AK1056-IF($A1067&gt;='1-Input'!$C$12,'1-Input'!$B$12,0))-MIN(MAX(AO1066,0),MAX(0,AK1056-IF($A1067&gt;='1-Input'!$C$12,'1-Input'!$B$12,0))))*(1/(1-'P-Parametri'!$B$6*AK1067))),MAX(0,2*AK1056-(AO1066-MIN(MAX(AO1066,0),MAX(0,AK1056-IF($A1067&gt;='1-Input'!$C$12,'1-Input'!$B$12,0)))))*(1/(1-'P-Parametri'!$B$6*AK1067))))</f>
        <v>20266.278094617708</v>
      </c>
      <c r="AM1067" s="18">
        <f>IF($A1067&gt;'1-Input'!$B$26,AO1066,(AO1066-MAX(0,AK1056-IF($A1067&gt;='1-Input'!$C$12,'1-Input'!$B$12,0))+AL1067*(1-'P-Parametri'!$B$6*AK1067))*(1+'1-Input'!$B$27))</f>
        <v>34907.38056101869</v>
      </c>
      <c r="AN1067" s="18">
        <f>IF($A1067&gt;'1-Input'!$B$26,AP1066,(AP1066-AL1067)*(1+'5-Roberta'!$C$4))</f>
        <v>311742.7679256479</v>
      </c>
      <c r="AO1067" s="18">
        <f>IF($A1067&gt;'1-Input'!$B$26,AM1067,AM1067-'P-Parametri'!$B$8*(AN1067+AM1067)+MIN(MAX(AN1067,0),'P-Parametri'!$B$8*(AN1067+AM1067)))</f>
        <v>34907.38056101869</v>
      </c>
      <c r="AP1067" s="18">
        <f>IF($A1067&gt;'1-Input'!$B$26,AN1067,AN1067-MIN(MAX(AN1067,0),'P-Parametri'!$B$8*(AN1067+AM1067)))</f>
        <v>311049.46762867458</v>
      </c>
      <c r="AQ1067" s="18">
        <f>IF($A1067&gt;'1-Input'!$B$26,AQ1066,AQ1066-AL1067*(1-AK1067))</f>
        <v>151975.29586762728</v>
      </c>
    </row>
    <row r="1068" spans="1:43">
      <c r="A1068" s="10">
        <f>10</f>
        <v>10</v>
      </c>
      <c r="B1068" s="11">
        <f>IF($A1068&gt;'1-Input'!$B$26,0,IF(G1067&lt;=0,0,MAX(0,(G1067-H1067)/G1067)))</f>
        <v>0.51147023968259508</v>
      </c>
      <c r="C1068" s="18">
        <f>IF($A1068&gt;'1-Input'!$B$26,0,(MAX(0,B1056-IF($A1068&gt;='1-Input'!$C$12,'1-Input'!$B$12,0))-MIN(MAX(F1067,0),MAX(0,B1056-IF($A1068&gt;='1-Input'!$C$12,'1-Input'!$B$12,0))))*(1/(1-'P-Parametri'!$B$6*B1068))+MIN(MAX(0,G1067-(MAX(0,B1056-IF($A1068&gt;='1-Input'!$C$12,'1-Input'!$B$12,0))-MIN(MAX(F1067,0),MAX(0,B1056-IF($A1068&gt;='1-Input'!$C$12,'1-Input'!$B$12,0))))*(1/(1-'P-Parametri'!$B$6*B1068))),MAX(0,2*B1056-(F1067-MIN(MAX(F1067,0),MAX(0,B1056-IF($A1068&gt;='1-Input'!$C$12,'1-Input'!$B$12,0)))))*(1/(1-'P-Parametri'!$B$6*B1068))))</f>
        <v>19378.102872265765</v>
      </c>
      <c r="D1068" s="18">
        <f>IF($A1068&gt;'1-Input'!$B$26,F1067,(F1067-MAX(0,B1056-IF($A1068&gt;='1-Input'!$C$12,'1-Input'!$B$12,0))+C1068*(1-'P-Parametri'!$B$6*B1068))*(1+'1-Input'!$B$27))</f>
        <v>33242.0070309863</v>
      </c>
      <c r="E1068" s="18">
        <f>IF($A1068&gt;'1-Input'!$B$26,G1067,(G1067-C1068)*(1+'5-Roberta'!$C$4))</f>
        <v>312778.00451661187</v>
      </c>
      <c r="F1068" s="18">
        <f>IF($A1068&gt;'1-Input'!$B$26,D1068,D1068-'P-Parametri'!$B$8*(E1068+D1068)+MIN(MAX(E1068,0),'P-Parametri'!$B$8*(E1068+D1068)))</f>
        <v>33242.0070309863</v>
      </c>
      <c r="G1068" s="18">
        <f>IF($A1068&gt;'1-Input'!$B$26,E1068,E1068-MIN(MAX(E1068,0),'P-Parametri'!$B$8*(E1068+D1068)))</f>
        <v>312085.96449351666</v>
      </c>
      <c r="H1068" s="18">
        <f>IF($A1068&gt;'1-Input'!$B$26,H1067,H1067-C1068*(1-B1068))</f>
        <v>148350.83842626848</v>
      </c>
      <c r="I1068" s="11">
        <f>IF($A1068&gt;'1-Input'!$B$26,0,IF(N1067&lt;=0,0,MAX(0,(N1067-O1067)/N1067)))</f>
        <v>0.51104386538431745</v>
      </c>
      <c r="J1068" s="18">
        <f>IF($A1068&gt;'1-Input'!$B$26,0,(MAX(0,I1056-IF($A1068&gt;='1-Input'!$C$12,'1-Input'!$B$12,0))-MIN(MAX(M1067,0),MAX(0,I1056-IF($A1068&gt;='1-Input'!$C$12,'1-Input'!$B$12,0))))*(1/(1-'P-Parametri'!$B$6*I1068))+MIN(MAX(0,N1067-(MAX(0,I1056-IF($A1068&gt;='1-Input'!$C$12,'1-Input'!$B$12,0))-MIN(MAX(M1067,0),MAX(0,I1056-IF($A1068&gt;='1-Input'!$C$12,'1-Input'!$B$12,0))))*(1/(1-'P-Parametri'!$B$6*I1068))),MAX(0,2*I1056-(M1067-MIN(MAX(M1067,0),MAX(0,I1056-IF($A1068&gt;='1-Input'!$C$12,'1-Input'!$B$12,0)))))*(1/(1-'P-Parametri'!$B$6*I1068))))</f>
        <v>25494.244072617403</v>
      </c>
      <c r="K1068" s="18">
        <f>IF($A1068&gt;'1-Input'!$B$26,M1067,(M1067-MAX(0,I1056-IF($A1068&gt;='1-Input'!$C$12,'1-Input'!$B$12,0))+J1068*(1-'P-Parametri'!$B$6*I1068))*(1+'1-Input'!$B$27))</f>
        <v>43739.482935508291</v>
      </c>
      <c r="L1068" s="18">
        <f>IF($A1068&gt;'1-Input'!$B$26,N1067,(N1067-J1068)*(1+'5-Roberta'!$C$4))</f>
        <v>228594.14701723706</v>
      </c>
      <c r="M1068" s="18">
        <f>IF($A1068&gt;'1-Input'!$B$26,K1068,K1068-'P-Parametri'!$B$8*(L1068+K1068)+MIN(MAX(L1068,0),'P-Parametri'!$B$8*(L1068+K1068)))</f>
        <v>43739.482935508291</v>
      </c>
      <c r="N1068" s="18">
        <f>IF($A1068&gt;'1-Input'!$B$26,L1068,L1068-MIN(MAX(L1068,0),'P-Parametri'!$B$8*(L1068+K1068)))</f>
        <v>228049.47975733157</v>
      </c>
      <c r="O1068" s="18">
        <f>IF($A1068&gt;'1-Input'!$B$26,O1067,O1067-J1068*(1-I1068))</f>
        <v>108517.00050613329</v>
      </c>
      <c r="P1068" s="11">
        <f>IF($A1068&gt;'1-Input'!$B$26,0,IF(U1067&lt;=0,0,MAX(0,(U1067-V1067)/U1067)))</f>
        <v>0.51140211759116028</v>
      </c>
      <c r="Q1068" s="18">
        <f>IF($A1068&gt;'1-Input'!$B$26,0,(MAX(0,P1056-IF($A1068&gt;='1-Input'!$C$12,'1-Input'!$B$12,0))-MIN(MAX(T1067,0),MAX(0,P1056-IF($A1068&gt;='1-Input'!$C$12,'1-Input'!$B$12,0))))*(1/(1-'P-Parametri'!$B$6*P1068))+MIN(MAX(0,U1067-(MAX(0,P1056-IF($A1068&gt;='1-Input'!$C$12,'1-Input'!$B$12,0))-MIN(MAX(T1067,0),MAX(0,P1056-IF($A1068&gt;='1-Input'!$C$12,'1-Input'!$B$12,0))))*(1/(1-'P-Parametri'!$B$6*P1068))),MAX(0,2*P1056-(T1067-MIN(MAX(T1067,0),MAX(0,P1056-IF($A1068&gt;='1-Input'!$C$12,'1-Input'!$B$12,0)))))*(1/(1-'P-Parametri'!$B$6*P1068))))</f>
        <v>20493.363238480499</v>
      </c>
      <c r="R1068" s="18">
        <f>IF($A1068&gt;'1-Input'!$B$26,T1067,(T1067-MAX(0,P1056-IF($A1068&gt;='1-Input'!$C$12,'1-Input'!$B$12,0))+Q1068*(1-'P-Parametri'!$B$6*P1068))*(1+'1-Input'!$B$27))</f>
        <v>35155.889406417155</v>
      </c>
      <c r="S1068" s="18">
        <f>IF($A1068&gt;'1-Input'!$B$26,U1067,(U1067-Q1068)*(1+'5-Roberta'!$C$4))</f>
        <v>297428.953455707</v>
      </c>
      <c r="T1068" s="18">
        <f>IF($A1068&gt;'1-Input'!$B$26,R1068,R1068-'P-Parametri'!$B$8*(S1068+R1068)+MIN(MAX(S1068,0),'P-Parametri'!$B$8*(S1068+R1068)))</f>
        <v>35155.889406417155</v>
      </c>
      <c r="U1068" s="18">
        <f>IF($A1068&gt;'1-Input'!$B$26,S1068,S1068-MIN(MAX(S1068,0),'P-Parametri'!$B$8*(S1068+R1068)))</f>
        <v>296763.78376998275</v>
      </c>
      <c r="V1068" s="18">
        <f>IF($A1068&gt;'1-Input'!$B$26,V1067,V1067-Q1068*(1-P1068))</f>
        <v>141090.44351993766</v>
      </c>
      <c r="W1068" s="11">
        <f>IF($A1068&gt;'1-Input'!$B$26,0,IF(AB1067&lt;=0,0,MAX(0,(AB1067-AC1067)/AB1067)))</f>
        <v>0.51141051797521198</v>
      </c>
      <c r="X1068" s="18">
        <f>IF($A1068&gt;'1-Input'!$B$26,0,(MAX(0,W1056-IF($A1068&gt;='1-Input'!$C$12,'1-Input'!$B$12,0))-MIN(MAX(AA1067,0),MAX(0,W1056-IF($A1068&gt;='1-Input'!$C$12,'1-Input'!$B$12,0))))*(1/(1-'P-Parametri'!$B$6*W1068))+MIN(MAX(0,AB1067-(MAX(0,W1056-IF($A1068&gt;='1-Input'!$C$12,'1-Input'!$B$12,0))-MIN(MAX(AA1067,0),MAX(0,W1056-IF($A1068&gt;='1-Input'!$C$12,'1-Input'!$B$12,0))))*(1/(1-'P-Parametri'!$B$6*W1068))),MAX(0,2*W1056-(AA1067-MIN(MAX(AA1067,0),MAX(0,W1056-IF($A1068&gt;='1-Input'!$C$12,'1-Input'!$B$12,0)))))*(1/(1-'P-Parametri'!$B$6*W1068))))</f>
        <v>20359.000218080455</v>
      </c>
      <c r="Y1068" s="18">
        <f>IF($A1068&gt;'1-Input'!$B$26,AA1067,(AA1067-MAX(0,W1056-IF($A1068&gt;='1-Input'!$C$12,'1-Input'!$B$12,0))+X1068*(1-'P-Parametri'!$B$6*W1068))*(1+'1-Input'!$B$27))</f>
        <v>34925.304782144136</v>
      </c>
      <c r="Z1068" s="18">
        <f>IF($A1068&gt;'1-Input'!$B$26,AB1067,(AB1067-X1068)*(1+'5-Roberta'!$C$4))</f>
        <v>299278.19089571899</v>
      </c>
      <c r="AA1068" s="18">
        <f>IF($A1068&gt;'1-Input'!$B$26,Y1068,Y1068-'P-Parametri'!$B$8*(Z1068+Y1068)+MIN(MAX(Z1068,0),'P-Parametri'!$B$8*(Z1068+Y1068)))</f>
        <v>34925.304782144136</v>
      </c>
      <c r="AB1068" s="18">
        <f>IF($A1068&gt;'1-Input'!$B$26,Z1068,Z1068-MIN(MAX(Z1068,0),'P-Parametri'!$B$8*(Z1068+Y1068)))</f>
        <v>298609.78390436328</v>
      </c>
      <c r="AC1068" s="18">
        <f>IF($A1068&gt;'1-Input'!$B$26,AC1067,AC1067-X1068*(1-W1068))</f>
        <v>141965.2196806359</v>
      </c>
      <c r="AD1068" s="11">
        <f>IF($A1068&gt;'1-Input'!$B$26,0,IF(AI1067&lt;=0,0,MAX(0,(AI1067-AJ1067)/AI1067)))</f>
        <v>0.51141117160676453</v>
      </c>
      <c r="AE1068" s="18">
        <f>IF($A1068&gt;'1-Input'!$B$26,0,(MAX(0,AD1056-IF($A1068&gt;='1-Input'!$C$12,'1-Input'!$B$12,0))-MIN(MAX(AH1067,0),MAX(0,AD1056-IF($A1068&gt;='1-Input'!$C$12,'1-Input'!$B$12,0))))*(1/(1-'P-Parametri'!$B$6*AD1068))+MIN(MAX(0,AI1067-(MAX(0,AD1056-IF($A1068&gt;='1-Input'!$C$12,'1-Input'!$B$12,0))-MIN(MAX(AH1067,0),MAX(0,AD1056-IF($A1068&gt;='1-Input'!$C$12,'1-Input'!$B$12,0))))*(1/(1-'P-Parametri'!$B$6*AD1068))),MAX(0,2*AD1056-(AH1067-MIN(MAX(AH1067,0),MAX(0,AD1056-IF($A1068&gt;='1-Input'!$C$12,'1-Input'!$B$12,0)))))*(1/(1-'P-Parametri'!$B$6*AD1068))))</f>
        <v>20348.508832247928</v>
      </c>
      <c r="AF1068" s="18">
        <f>IF($A1068&gt;'1-Input'!$B$26,AH1067,(AH1067-MAX(0,AD1056-IF($A1068&gt;='1-Input'!$C$12,'1-Input'!$B$12,0))+AE1068*(1-'P-Parametri'!$B$6*AD1068))*(1+'1-Input'!$B$27))</f>
        <v>34907.300256313618</v>
      </c>
      <c r="AG1068" s="18">
        <f>IF($A1068&gt;'1-Input'!$B$26,AI1067,(AI1067-AE1068)*(1+'5-Roberta'!$C$4))</f>
        <v>299422.58338909678</v>
      </c>
      <c r="AH1068" s="18">
        <f>IF($A1068&gt;'1-Input'!$B$26,AF1068,AF1068-'P-Parametri'!$B$8*(AG1068+AF1068)+MIN(MAX(AG1068,0),'P-Parametri'!$B$8*(AG1068+AF1068)))</f>
        <v>34907.300256313618</v>
      </c>
      <c r="AI1068" s="18">
        <f>IF($A1068&gt;'1-Input'!$B$26,AG1068,AG1068-MIN(MAX(AG1068,0),'P-Parametri'!$B$8*(AG1068+AF1068)))</f>
        <v>298753.92362180597</v>
      </c>
      <c r="AJ1068" s="18">
        <f>IF($A1068&gt;'1-Input'!$B$26,AJ1067,AJ1067-AE1068*(1-AD1068))</f>
        <v>142033.52350733458</v>
      </c>
      <c r="AK1068" s="11">
        <f>IF($A1068&gt;'1-Input'!$B$26,0,IF(AP1067&lt;=0,0,MAX(0,(AP1067-AQ1067)/AP1067)))</f>
        <v>0.51141116869213632</v>
      </c>
      <c r="AL1068" s="18">
        <f>IF($A1068&gt;'1-Input'!$B$26,0,(MAX(0,AK1056-IF($A1068&gt;='1-Input'!$C$12,'1-Input'!$B$12,0))-MIN(MAX(AO1067,0),MAX(0,AK1056-IF($A1068&gt;='1-Input'!$C$12,'1-Input'!$B$12,0))))*(1/(1-'P-Parametri'!$B$6*AK1068))+MIN(MAX(0,AP1067-(MAX(0,AK1056-IF($A1068&gt;='1-Input'!$C$12,'1-Input'!$B$12,0))-MIN(MAX(AO1067,0),MAX(0,AK1056-IF($A1068&gt;='1-Input'!$C$12,'1-Input'!$B$12,0))))*(1/(1-'P-Parametri'!$B$6*AK1068))),MAX(0,2*AK1056-(AO1067-MIN(MAX(AO1067,0),MAX(0,AK1056-IF($A1068&gt;='1-Input'!$C$12,'1-Input'!$B$12,0)))))*(1/(1-'P-Parametri'!$B$6*AK1068))))</f>
        <v>20348.555626476107</v>
      </c>
      <c r="AM1068" s="18">
        <f>IF($A1068&gt;'1-Input'!$B$26,AO1067,(AO1067-MAX(0,AK1056-IF($A1068&gt;='1-Input'!$C$12,'1-Input'!$B$12,0))+AL1068*(1-'P-Parametri'!$B$6*AK1068))*(1+'1-Input'!$B$27))</f>
        <v>34907.380561018683</v>
      </c>
      <c r="AN1068" s="18">
        <f>IF($A1068&gt;'1-Input'!$B$26,AP1067,(AP1067-AL1068)*(1+'5-Roberta'!$C$4))</f>
        <v>299421.93936226441</v>
      </c>
      <c r="AO1068" s="18">
        <f>IF($A1068&gt;'1-Input'!$B$26,AM1068,AM1068-'P-Parametri'!$B$8*(AN1068+AM1068)+MIN(MAX(AN1068,0),'P-Parametri'!$B$8*(AN1068+AM1068)))</f>
        <v>34907.380561018683</v>
      </c>
      <c r="AP1068" s="18">
        <f>IF($A1068&gt;'1-Input'!$B$26,AN1068,AN1068-MIN(MAX(AN1068,0),'P-Parametri'!$B$8*(AN1068+AM1068)))</f>
        <v>298753.28072241787</v>
      </c>
      <c r="AQ1068" s="18">
        <f>IF($A1068&gt;'1-Input'!$B$26,AQ1067,AQ1067-AL1068*(1-AK1068))</f>
        <v>142033.21885528427</v>
      </c>
    </row>
    <row r="1069" spans="1:43">
      <c r="A1069" s="10">
        <f>11</f>
        <v>11</v>
      </c>
      <c r="B1069" s="11">
        <f>IF($A1069&gt;'1-Input'!$B$26,0,IF(G1068&lt;=0,0,MAX(0,(G1068-H1068)/G1068)))</f>
        <v>0.5246475160553068</v>
      </c>
      <c r="C1069" s="18">
        <f>IF($A1069&gt;'1-Input'!$B$26,0,(MAX(0,B1056-IF($A1069&gt;='1-Input'!$C$12,'1-Input'!$B$12,0))-MIN(MAX(F1068,0),MAX(0,B1056-IF($A1069&gt;='1-Input'!$C$12,'1-Input'!$B$12,0))))*(1/(1-'P-Parametri'!$B$6*B1069))+MIN(MAX(0,G1068-(MAX(0,B1056-IF($A1069&gt;='1-Input'!$C$12,'1-Input'!$B$12,0))-MIN(MAX(F1068,0),MAX(0,B1056-IF($A1069&gt;='1-Input'!$C$12,'1-Input'!$B$12,0))))*(1/(1-'P-Parametri'!$B$6*B1069))),MAX(0,2*B1056-(F1068-MIN(MAX(F1068,0),MAX(0,B1056-IF($A1069&gt;='1-Input'!$C$12,'1-Input'!$B$12,0)))))*(1/(1-'P-Parametri'!$B$6*B1069))))</f>
        <v>19454.980828153661</v>
      </c>
      <c r="D1069" s="18">
        <f>IF($A1069&gt;'1-Input'!$B$26,F1068,(F1068-MAX(0,B1056-IF($A1069&gt;='1-Input'!$C$12,'1-Input'!$B$12,0))+C1069*(1-'P-Parametri'!$B$6*B1069))*(1+'1-Input'!$B$27))</f>
        <v>33242.0070309863</v>
      </c>
      <c r="E1069" s="18">
        <f>IF($A1069&gt;'1-Input'!$B$26,G1068,(G1068-C1069)*(1+'5-Roberta'!$C$4))</f>
        <v>301409.91317532386</v>
      </c>
      <c r="F1069" s="18">
        <f>IF($A1069&gt;'1-Input'!$B$26,D1069,D1069-'P-Parametri'!$B$8*(E1069+D1069)+MIN(MAX(E1069,0),'P-Parametri'!$B$8*(E1069+D1069)))</f>
        <v>33242.0070309863</v>
      </c>
      <c r="G1069" s="18">
        <f>IF($A1069&gt;'1-Input'!$B$26,E1069,E1069-MIN(MAX(E1069,0),'P-Parametri'!$B$8*(E1069+D1069)))</f>
        <v>300740.60933491122</v>
      </c>
      <c r="H1069" s="18">
        <f>IF($A1069&gt;'1-Input'!$B$26,H1068,H1068-C1069*(1-B1069))</f>
        <v>139102.86496450927</v>
      </c>
      <c r="I1069" s="11">
        <f>IF($A1069&gt;'1-Input'!$B$26,0,IF(N1068&lt;=0,0,MAX(0,(N1068-O1068)/N1068)))</f>
        <v>0.52415151035816132</v>
      </c>
      <c r="J1069" s="18">
        <f>IF($A1069&gt;'1-Input'!$B$26,0,(MAX(0,I1056-IF($A1069&gt;='1-Input'!$C$12,'1-Input'!$B$12,0))-MIN(MAX(M1068,0),MAX(0,I1056-IF($A1069&gt;='1-Input'!$C$12,'1-Input'!$B$12,0))))*(1/(1-'P-Parametri'!$B$6*I1069))+MIN(MAX(0,N1068-(MAX(0,I1056-IF($A1069&gt;='1-Input'!$C$12,'1-Input'!$B$12,0))-MIN(MAX(M1068,0),MAX(0,I1056-IF($A1069&gt;='1-Input'!$C$12,'1-Input'!$B$12,0))))*(1/(1-'P-Parametri'!$B$6*I1069))),MAX(0,2*I1056-(M1068-MIN(MAX(M1068,0),MAX(0,I1056-IF($A1069&gt;='1-Input'!$C$12,'1-Input'!$B$12,0)))))*(1/(1-'P-Parametri'!$B$6*I1069))))</f>
        <v>25594.836867685488</v>
      </c>
      <c r="K1069" s="18">
        <f>IF($A1069&gt;'1-Input'!$B$26,M1068,(M1068-MAX(0,I1056-IF($A1069&gt;='1-Input'!$C$12,'1-Input'!$B$12,0))+J1069*(1-'P-Parametri'!$B$6*I1069))*(1+'1-Input'!$B$27))</f>
        <v>43739.482935508291</v>
      </c>
      <c r="L1069" s="18">
        <f>IF($A1069&gt;'1-Input'!$B$26,N1068,(N1068-J1069)*(1+'5-Roberta'!$C$4))</f>
        <v>208528.28217633549</v>
      </c>
      <c r="M1069" s="18">
        <f>IF($A1069&gt;'1-Input'!$B$26,K1069,K1069-'P-Parametri'!$B$8*(L1069+K1069)+MIN(MAX(L1069,0),'P-Parametri'!$B$8*(L1069+K1069)))</f>
        <v>43739.482935508291</v>
      </c>
      <c r="N1069" s="18">
        <f>IF($A1069&gt;'1-Input'!$B$26,L1069,L1069-MIN(MAX(L1069,0),'P-Parametri'!$B$8*(L1069+K1069)))</f>
        <v>208023.7466461118</v>
      </c>
      <c r="O1069" s="18">
        <f>IF($A1069&gt;'1-Input'!$B$26,O1068,O1068-J1069*(1-I1069))</f>
        <v>96337.736040015909</v>
      </c>
      <c r="P1069" s="11">
        <f>IF($A1069&gt;'1-Input'!$B$26,0,IF(U1068&lt;=0,0,MAX(0,(U1068-V1068)/U1068)))</f>
        <v>0.52456987261863874</v>
      </c>
      <c r="Q1069" s="18">
        <f>IF($A1069&gt;'1-Input'!$B$26,0,(MAX(0,P1056-IF($A1069&gt;='1-Input'!$C$12,'1-Input'!$B$12,0))-MIN(MAX(T1068,0),MAX(0,P1056-IF($A1069&gt;='1-Input'!$C$12,'1-Input'!$B$12,0))))*(1/(1-'P-Parametri'!$B$6*P1069))+MIN(MAX(0,U1068-(MAX(0,P1056-IF($A1069&gt;='1-Input'!$C$12,'1-Input'!$B$12,0))-MIN(MAX(T1068,0),MAX(0,P1056-IF($A1069&gt;='1-Input'!$C$12,'1-Input'!$B$12,0))))*(1/(1-'P-Parametri'!$B$6*P1069))),MAX(0,2*P1056-(T1068-MIN(MAX(T1068,0),MAX(0,P1056-IF($A1069&gt;='1-Input'!$C$12,'1-Input'!$B$12,0)))))*(1/(1-'P-Parametri'!$B$6*P1069))))</f>
        <v>20574.605076399843</v>
      </c>
      <c r="R1069" s="18">
        <f>IF($A1069&gt;'1-Input'!$B$26,T1068,(T1068-MAX(0,P1056-IF($A1069&gt;='1-Input'!$C$12,'1-Input'!$B$12,0))+Q1069*(1-'P-Parametri'!$B$6*P1069))*(1+'1-Input'!$B$27))</f>
        <v>35155.889406417155</v>
      </c>
      <c r="S1069" s="18">
        <f>IF($A1069&gt;'1-Input'!$B$26,U1068,(U1068-Q1069)*(1+'5-Roberta'!$C$4))</f>
        <v>284474.85405439039</v>
      </c>
      <c r="T1069" s="18">
        <f>IF($A1069&gt;'1-Input'!$B$26,R1069,R1069-'P-Parametri'!$B$8*(S1069+R1069)+MIN(MAX(S1069,0),'P-Parametri'!$B$8*(S1069+R1069)))</f>
        <v>35155.889406417155</v>
      </c>
      <c r="U1069" s="18">
        <f>IF($A1069&gt;'1-Input'!$B$26,S1069,S1069-MIN(MAX(S1069,0),'P-Parametri'!$B$8*(S1069+R1069)))</f>
        <v>283835.59256746876</v>
      </c>
      <c r="V1069" s="18">
        <f>IF($A1069&gt;'1-Input'!$B$26,V1068,V1068-Q1069*(1-P1069))</f>
        <v>131308.65640764369</v>
      </c>
      <c r="W1069" s="11">
        <f>IF($A1069&gt;'1-Input'!$B$26,0,IF(AB1068&lt;=0,0,MAX(0,(AB1068-AC1068)/AB1068)))</f>
        <v>0.52457947685296358</v>
      </c>
      <c r="X1069" s="18">
        <f>IF($A1069&gt;'1-Input'!$B$26,0,(MAX(0,W1056-IF($A1069&gt;='1-Input'!$C$12,'1-Input'!$B$12,0))-MIN(MAX(AA1068,0),MAX(0,W1056-IF($A1069&gt;='1-Input'!$C$12,'1-Input'!$B$12,0))))*(1/(1-'P-Parametri'!$B$6*W1069))+MIN(MAX(0,AB1068-(MAX(0,W1056-IF($A1069&gt;='1-Input'!$C$12,'1-Input'!$B$12,0))-MIN(MAX(AA1068,0),MAX(0,W1056-IF($A1069&gt;='1-Input'!$C$12,'1-Input'!$B$12,0))))*(1/(1-'P-Parametri'!$B$6*W1069))),MAX(0,2*W1056-(AA1068-MIN(MAX(AA1068,0),MAX(0,W1056-IF($A1069&gt;='1-Input'!$C$12,'1-Input'!$B$12,0)))))*(1/(1-'P-Parametri'!$B$6*W1069))))</f>
        <v>20439.717012845598</v>
      </c>
      <c r="Y1069" s="18">
        <f>IF($A1069&gt;'1-Input'!$B$26,AA1068,(AA1068-MAX(0,W1056-IF($A1069&gt;='1-Input'!$C$12,'1-Input'!$B$12,0))+X1069*(1-'P-Parametri'!$B$6*W1069))*(1+'1-Input'!$B$27))</f>
        <v>34925.304782144129</v>
      </c>
      <c r="Z1069" s="18">
        <f>IF($A1069&gt;'1-Input'!$B$26,AB1068,(AB1068-X1069)*(1+'5-Roberta'!$C$4))</f>
        <v>286515.16889826319</v>
      </c>
      <c r="AA1069" s="18">
        <f>IF($A1069&gt;'1-Input'!$B$26,Y1069,Y1069-'P-Parametri'!$B$8*(Z1069+Y1069)+MIN(MAX(Z1069,0),'P-Parametri'!$B$8*(Z1069+Y1069)))</f>
        <v>34925.304782144129</v>
      </c>
      <c r="AB1069" s="18">
        <f>IF($A1069&gt;'1-Input'!$B$26,Z1069,Z1069-MIN(MAX(Z1069,0),'P-Parametri'!$B$8*(Z1069+Y1069)))</f>
        <v>285872.28795090236</v>
      </c>
      <c r="AC1069" s="18">
        <f>IF($A1069&gt;'1-Input'!$B$26,AC1068,AC1068-X1069*(1-W1069))</f>
        <v>132247.75872541146</v>
      </c>
      <c r="AD1069" s="11">
        <f>IF($A1069&gt;'1-Input'!$B$26,0,IF(AI1068&lt;=0,0,MAX(0,(AI1068-AJ1068)/AI1068)))</f>
        <v>0.52458022379938507</v>
      </c>
      <c r="AE1069" s="18">
        <f>IF($A1069&gt;'1-Input'!$B$26,0,(MAX(0,AD1056-IF($A1069&gt;='1-Input'!$C$12,'1-Input'!$B$12,0))-MIN(MAX(AH1068,0),MAX(0,AD1056-IF($A1069&gt;='1-Input'!$C$12,'1-Input'!$B$12,0))))*(1/(1-'P-Parametri'!$B$6*AD1069))+MIN(MAX(0,AI1068-(MAX(0,AD1056-IF($A1069&gt;='1-Input'!$C$12,'1-Input'!$B$12,0))-MIN(MAX(AH1068,0),MAX(0,AD1056-IF($A1069&gt;='1-Input'!$C$12,'1-Input'!$B$12,0))))*(1/(1-'P-Parametri'!$B$6*AD1069))),MAX(0,2*AD1056-(AH1068-MIN(MAX(AH1068,0),MAX(0,AD1056-IF($A1069&gt;='1-Input'!$C$12,'1-Input'!$B$12,0)))))*(1/(1-'P-Parametri'!$B$6*AD1069))))</f>
        <v>20429.184621894863</v>
      </c>
      <c r="AF1069" s="18">
        <f>IF($A1069&gt;'1-Input'!$B$26,AH1068,(AH1068-MAX(0,AD1056-IF($A1069&gt;='1-Input'!$C$12,'1-Input'!$B$12,0))+AE1069*(1-'P-Parametri'!$B$6*AD1069))*(1+'1-Input'!$B$27))</f>
        <v>34907.300256313618</v>
      </c>
      <c r="AG1069" s="18">
        <f>IF($A1069&gt;'1-Input'!$B$26,AI1068,(AI1068-AE1069)*(1+'5-Roberta'!$C$4))</f>
        <v>286674.48116990848</v>
      </c>
      <c r="AH1069" s="18">
        <f>IF($A1069&gt;'1-Input'!$B$26,AF1069,AF1069-'P-Parametri'!$B$8*(AG1069+AF1069)+MIN(MAX(AG1069,0),'P-Parametri'!$B$8*(AG1069+AF1069)))</f>
        <v>34907.300256313618</v>
      </c>
      <c r="AI1069" s="18">
        <f>IF($A1069&gt;'1-Input'!$B$26,AG1069,AG1069-MIN(MAX(AG1069,0),'P-Parametri'!$B$8*(AG1069+AF1069)))</f>
        <v>286031.31760705606</v>
      </c>
      <c r="AJ1069" s="18">
        <f>IF($A1069&gt;'1-Input'!$B$26,AJ1068,AJ1068-AE1069*(1-AD1069))</f>
        <v>132321.08512643227</v>
      </c>
      <c r="AK1069" s="11">
        <f>IF($A1069&gt;'1-Input'!$B$26,0,IF(AP1068&lt;=0,0,MAX(0,(AP1068-AQ1068)/AP1068)))</f>
        <v>0.52458022046876762</v>
      </c>
      <c r="AL1069" s="18">
        <f>IF($A1069&gt;'1-Input'!$B$26,0,(MAX(0,AK1056-IF($A1069&gt;='1-Input'!$C$12,'1-Input'!$B$12,0))-MIN(MAX(AO1068,0),MAX(0,AK1056-IF($A1069&gt;='1-Input'!$C$12,'1-Input'!$B$12,0))))*(1/(1-'P-Parametri'!$B$6*AK1069))+MIN(MAX(0,AP1068-(MAX(0,AK1056-IF($A1069&gt;='1-Input'!$C$12,'1-Input'!$B$12,0))-MIN(MAX(AO1068,0),MAX(0,AK1056-IF($A1069&gt;='1-Input'!$C$12,'1-Input'!$B$12,0))))*(1/(1-'P-Parametri'!$B$6*AK1069))),MAX(0,2*AK1056-(AO1068-MIN(MAX(AO1068,0),MAX(0,AK1056-IF($A1069&gt;='1-Input'!$C$12,'1-Input'!$B$12,0)))))*(1/(1-'P-Parametri'!$B$6*AK1069))))</f>
        <v>20429.231599018938</v>
      </c>
      <c r="AM1069" s="18">
        <f>IF($A1069&gt;'1-Input'!$B$26,AO1068,(AO1068-MAX(0,AK1056-IF($A1069&gt;='1-Input'!$C$12,'1-Input'!$B$12,0))+AL1069*(1-'P-Parametri'!$B$6*AK1069))*(1+'1-Input'!$B$27))</f>
        <v>34907.38056101869</v>
      </c>
      <c r="AN1069" s="18">
        <f>IF($A1069&gt;'1-Input'!$B$26,AP1068,(AP1068-AL1069)*(1+'5-Roberta'!$C$4))</f>
        <v>286673.77059710096</v>
      </c>
      <c r="AO1069" s="18">
        <f>IF($A1069&gt;'1-Input'!$B$26,AM1069,AM1069-'P-Parametri'!$B$8*(AN1069+AM1069)+MIN(MAX(AN1069,0),'P-Parametri'!$B$8*(AN1069+AM1069)))</f>
        <v>34907.38056101869</v>
      </c>
      <c r="AP1069" s="18">
        <f>IF($A1069&gt;'1-Input'!$B$26,AN1069,AN1069-MIN(MAX(AN1069,0),'P-Parametri'!$B$8*(AN1069+AM1069)))</f>
        <v>286030.60829478473</v>
      </c>
      <c r="AQ1069" s="18">
        <f>IF($A1069&gt;'1-Input'!$B$26,AQ1068,AQ1068-AL1069*(1-AK1069))</f>
        <v>132320.75807248621</v>
      </c>
    </row>
    <row r="1070" spans="1:43">
      <c r="A1070" s="10">
        <f>12</f>
        <v>12</v>
      </c>
      <c r="B1070" s="11">
        <f>IF($A1070&gt;'1-Input'!$B$26,0,IF(G1069&lt;=0,0,MAX(0,(G1069-H1069)/G1069)))</f>
        <v>0.53746564099828198</v>
      </c>
      <c r="C1070" s="18">
        <f>IF($A1070&gt;'1-Input'!$B$26,0,(MAX(0,B1056-IF($A1070&gt;='1-Input'!$C$12,'1-Input'!$B$12,0))-MIN(MAX(F1069,0),MAX(0,B1056-IF($A1070&gt;='1-Input'!$C$12,'1-Input'!$B$12,0))))*(1/(1-'P-Parametri'!$B$6*B1070))+MIN(MAX(0,G1069-(MAX(0,B1056-IF($A1070&gt;='1-Input'!$C$12,'1-Input'!$B$12,0))-MIN(MAX(F1069,0),MAX(0,B1056-IF($A1070&gt;='1-Input'!$C$12,'1-Input'!$B$12,0))))*(1/(1-'P-Parametri'!$B$6*B1070))),MAX(0,2*B1056-(F1069-MIN(MAX(F1069,0),MAX(0,B1056-IF($A1070&gt;='1-Input'!$C$12,'1-Input'!$B$12,0)))))*(1/(1-'P-Parametri'!$B$6*B1070))))</f>
        <v>19530.350992870266</v>
      </c>
      <c r="D1070" s="18">
        <f>IF($A1070&gt;'1-Input'!$B$26,F1069,(F1069-MAX(0,B1056-IF($A1070&gt;='1-Input'!$C$12,'1-Input'!$B$12,0))+C1070*(1-'P-Parametri'!$B$6*B1070))*(1+'1-Input'!$B$27))</f>
        <v>33242.0070309863</v>
      </c>
      <c r="E1070" s="18">
        <f>IF($A1070&gt;'1-Input'!$B$26,G1069,(G1069-C1070)*(1+'5-Roberta'!$C$4))</f>
        <v>289646.56609230215</v>
      </c>
      <c r="F1070" s="18">
        <f>IF($A1070&gt;'1-Input'!$B$26,D1070,D1070-'P-Parametri'!$B$8*(E1070+D1070)+MIN(MAX(E1070,0),'P-Parametri'!$B$8*(E1070+D1070)))</f>
        <v>33242.0070309863</v>
      </c>
      <c r="G1070" s="18">
        <f>IF($A1070&gt;'1-Input'!$B$26,E1070,E1070-MIN(MAX(E1070,0),'P-Parametri'!$B$8*(E1070+D1070)))</f>
        <v>289000.78894605557</v>
      </c>
      <c r="H1070" s="18">
        <f>IF($A1070&gt;'1-Input'!$B$26,H1069,H1069-C1070*(1-B1070))</f>
        <v>130069.40658694346</v>
      </c>
      <c r="I1070" s="11">
        <f>IF($A1070&gt;'1-Input'!$B$26,0,IF(N1069&lt;=0,0,MAX(0,(N1069-O1069)/N1069)))</f>
        <v>0.53689067910162758</v>
      </c>
      <c r="J1070" s="18">
        <f>IF($A1070&gt;'1-Input'!$B$26,0,(MAX(0,I1056-IF($A1070&gt;='1-Input'!$C$12,'1-Input'!$B$12,0))-MIN(MAX(M1069,0),MAX(0,I1056-IF($A1070&gt;='1-Input'!$C$12,'1-Input'!$B$12,0))))*(1/(1-'P-Parametri'!$B$6*I1070))+MIN(MAX(0,N1069-(MAX(0,I1056-IF($A1070&gt;='1-Input'!$C$12,'1-Input'!$B$12,0))-MIN(MAX(M1069,0),MAX(0,I1056-IF($A1070&gt;='1-Input'!$C$12,'1-Input'!$B$12,0))))*(1/(1-'P-Parametri'!$B$6*I1070))),MAX(0,2*I1056-(M1069-MIN(MAX(M1069,0),MAX(0,I1056-IF($A1070&gt;='1-Input'!$C$12,'1-Input'!$B$12,0)))))*(1/(1-'P-Parametri'!$B$6*I1070))))</f>
        <v>25693.365431102637</v>
      </c>
      <c r="K1070" s="18">
        <f>IF($A1070&gt;'1-Input'!$B$26,M1069,(M1069-MAX(0,I1056-IF($A1070&gt;='1-Input'!$C$12,'1-Input'!$B$12,0))+J1070*(1-'P-Parametri'!$B$6*I1070))*(1+'1-Input'!$B$27))</f>
        <v>43739.482935508291</v>
      </c>
      <c r="L1070" s="18">
        <f>IF($A1070&gt;'1-Input'!$B$26,N1069,(N1069-J1070)*(1+'5-Roberta'!$C$4))</f>
        <v>187800.29265145946</v>
      </c>
      <c r="M1070" s="18">
        <f>IF($A1070&gt;'1-Input'!$B$26,K1070,K1070-'P-Parametri'!$B$8*(L1070+K1070)+MIN(MAX(L1070,0),'P-Parametri'!$B$8*(L1070+K1070)))</f>
        <v>43739.482935508291</v>
      </c>
      <c r="N1070" s="18">
        <f>IF($A1070&gt;'1-Input'!$B$26,L1070,L1070-MIN(MAX(L1070,0),'P-Parametri'!$B$8*(L1070+K1070)))</f>
        <v>187337.21310028553</v>
      </c>
      <c r="O1070" s="18">
        <f>IF($A1070&gt;'1-Input'!$B$26,O1069,O1069-J1070*(1-I1070))</f>
        <v>84438.899023624253</v>
      </c>
      <c r="P1070" s="11">
        <f>IF($A1070&gt;'1-Input'!$B$26,0,IF(U1069&lt;=0,0,MAX(0,(U1069-V1069)/U1069)))</f>
        <v>0.53737776428996953</v>
      </c>
      <c r="Q1070" s="18">
        <f>IF($A1070&gt;'1-Input'!$B$26,0,(MAX(0,P1056-IF($A1070&gt;='1-Input'!$C$12,'1-Input'!$B$12,0))-MIN(MAX(T1069,0),MAX(0,P1056-IF($A1070&gt;='1-Input'!$C$12,'1-Input'!$B$12,0))))*(1/(1-'P-Parametri'!$B$6*P1070))+MIN(MAX(0,U1069-(MAX(0,P1056-IF($A1070&gt;='1-Input'!$C$12,'1-Input'!$B$12,0))-MIN(MAX(T1069,0),MAX(0,P1056-IF($A1070&gt;='1-Input'!$C$12,'1-Input'!$B$12,0))))*(1/(1-'P-Parametri'!$B$6*P1070))),MAX(0,2*P1056-(T1069-MIN(MAX(T1069,0),MAX(0,P1056-IF($A1070&gt;='1-Input'!$C$12,'1-Input'!$B$12,0)))))*(1/(1-'P-Parametri'!$B$6*P1070))))</f>
        <v>20654.24700637006</v>
      </c>
      <c r="R1070" s="18">
        <f>IF($A1070&gt;'1-Input'!$B$26,T1069,(T1069-MAX(0,P1056-IF($A1070&gt;='1-Input'!$C$12,'1-Input'!$B$12,0))+Q1070*(1-'P-Parametri'!$B$6*P1070))*(1+'1-Input'!$B$27))</f>
        <v>35155.889406417155</v>
      </c>
      <c r="S1070" s="18">
        <f>IF($A1070&gt;'1-Input'!$B$26,U1069,(U1069-Q1070)*(1+'5-Roberta'!$C$4))</f>
        <v>271076.78592793166</v>
      </c>
      <c r="T1070" s="18">
        <f>IF($A1070&gt;'1-Input'!$B$26,R1070,R1070-'P-Parametri'!$B$8*(S1070+R1070)+MIN(MAX(S1070,0),'P-Parametri'!$B$8*(S1070+R1070)))</f>
        <v>35155.889406417155</v>
      </c>
      <c r="U1070" s="18">
        <f>IF($A1070&gt;'1-Input'!$B$26,S1070,S1070-MIN(MAX(S1070,0),'P-Parametri'!$B$8*(S1070+R1070)))</f>
        <v>270464.32057726296</v>
      </c>
      <c r="V1070" s="18">
        <f>IF($A1070&gt;'1-Input'!$B$26,V1069,V1069-Q1070*(1-P1070))</f>
        <v>121753.54248064957</v>
      </c>
      <c r="W1070" s="11">
        <f>IF($A1070&gt;'1-Input'!$B$26,0,IF(AB1069&lt;=0,0,MAX(0,(AB1069-AC1069)/AB1069)))</f>
        <v>0.53738867214675745</v>
      </c>
      <c r="X1070" s="18">
        <f>IF($A1070&gt;'1-Input'!$B$26,0,(MAX(0,W1056-IF($A1070&gt;='1-Input'!$C$12,'1-Input'!$B$12,0))-MIN(MAX(AA1069,0),MAX(0,W1056-IF($A1070&gt;='1-Input'!$C$12,'1-Input'!$B$12,0))))*(1/(1-'P-Parametri'!$B$6*W1070))+MIN(MAX(0,AB1069-(MAX(0,W1056-IF($A1070&gt;='1-Input'!$C$12,'1-Input'!$B$12,0))-MIN(MAX(AA1069,0),MAX(0,W1056-IF($A1070&gt;='1-Input'!$C$12,'1-Input'!$B$12,0))))*(1/(1-'P-Parametri'!$B$6*W1070))),MAX(0,2*W1056-(AA1069-MIN(MAX(AA1069,0),MAX(0,W1056-IF($A1070&gt;='1-Input'!$C$12,'1-Input'!$B$12,0)))))*(1/(1-'P-Parametri'!$B$6*W1070))))</f>
        <v>20518.845120522816</v>
      </c>
      <c r="Y1070" s="18">
        <f>IF($A1070&gt;'1-Input'!$B$26,AA1069,(AA1069-MAX(0,W1056-IF($A1070&gt;='1-Input'!$C$12,'1-Input'!$B$12,0))+X1070*(1-'P-Parametri'!$B$6*W1070))*(1+'1-Input'!$B$27))</f>
        <v>34925.304782144136</v>
      </c>
      <c r="Z1070" s="18">
        <f>IF($A1070&gt;'1-Input'!$B$26,AB1069,(AB1069-X1070)*(1+'5-Roberta'!$C$4))</f>
        <v>273314.0461152909</v>
      </c>
      <c r="AA1070" s="18">
        <f>IF($A1070&gt;'1-Input'!$B$26,Y1070,Y1070-'P-Parametri'!$B$8*(Z1070+Y1070)+MIN(MAX(Z1070,0),'P-Parametri'!$B$8*(Z1070+Y1070)))</f>
        <v>34925.304782144136</v>
      </c>
      <c r="AB1070" s="18">
        <f>IF($A1070&gt;'1-Input'!$B$26,Z1070,Z1070-MIN(MAX(Z1070,0),'P-Parametri'!$B$8*(Z1070+Y1070)))</f>
        <v>272697.56741349603</v>
      </c>
      <c r="AC1070" s="18">
        <f>IF($A1070&gt;'1-Input'!$B$26,AC1069,AC1069-X1070*(1-W1070))</f>
        <v>122755.50853819138</v>
      </c>
      <c r="AD1070" s="11">
        <f>IF($A1070&gt;'1-Input'!$B$26,0,IF(AI1069&lt;=0,0,MAX(0,(AI1069-AJ1069)/AI1069)))</f>
        <v>0.53738952002377494</v>
      </c>
      <c r="AE1070" s="18">
        <f>IF($A1070&gt;'1-Input'!$B$26,0,(MAX(0,AD1056-IF($A1070&gt;='1-Input'!$C$12,'1-Input'!$B$12,0))-MIN(MAX(AH1069,0),MAX(0,AD1056-IF($A1070&gt;='1-Input'!$C$12,'1-Input'!$B$12,0))))*(1/(1-'P-Parametri'!$B$6*AD1070))+MIN(MAX(0,AI1069-(MAX(0,AD1056-IF($A1070&gt;='1-Input'!$C$12,'1-Input'!$B$12,0))-MIN(MAX(AH1069,0),MAX(0,AD1056-IF($A1070&gt;='1-Input'!$C$12,'1-Input'!$B$12,0))))*(1/(1-'P-Parametri'!$B$6*AD1070))),MAX(0,2*AD1056-(AH1069-MIN(MAX(AH1069,0),MAX(0,AD1056-IF($A1070&gt;='1-Input'!$C$12,'1-Input'!$B$12,0)))))*(1/(1-'P-Parametri'!$B$6*AD1070))))</f>
        <v>20508.272599052387</v>
      </c>
      <c r="AF1070" s="18">
        <f>IF($A1070&gt;'1-Input'!$B$26,AH1069,(AH1069-MAX(0,AD1056-IF($A1070&gt;='1-Input'!$C$12,'1-Input'!$B$12,0))+AE1070*(1-'P-Parametri'!$B$6*AD1070))*(1+'1-Input'!$B$27))</f>
        <v>34907.300256313618</v>
      </c>
      <c r="AG1070" s="18">
        <f>IF($A1070&gt;'1-Input'!$B$26,AI1069,(AI1069-AE1070)*(1+'5-Roberta'!$C$4))</f>
        <v>273488.7363582438</v>
      </c>
      <c r="AH1070" s="18">
        <f>IF($A1070&gt;'1-Input'!$B$26,AF1070,AF1070-'P-Parametri'!$B$8*(AG1070+AF1070)+MIN(MAX(AG1070,0),'P-Parametri'!$B$8*(AG1070+AF1070)))</f>
        <v>34907.300256313618</v>
      </c>
      <c r="AI1070" s="18">
        <f>IF($A1070&gt;'1-Input'!$B$26,AG1070,AG1070-MIN(MAX(AG1070,0),'P-Parametri'!$B$8*(AG1070+AF1070)))</f>
        <v>272871.9442850147</v>
      </c>
      <c r="AJ1070" s="18">
        <f>IF($A1070&gt;'1-Input'!$B$26,AJ1069,AJ1069-AE1070*(1-AD1070))</f>
        <v>122833.74329590138</v>
      </c>
      <c r="AK1070" s="11">
        <f>IF($A1070&gt;'1-Input'!$B$26,0,IF(AP1069&lt;=0,0,MAX(0,(AP1069-AQ1069)/AP1069)))</f>
        <v>0.5373895162432557</v>
      </c>
      <c r="AL1070" s="18">
        <f>IF($A1070&gt;'1-Input'!$B$26,0,(MAX(0,AK1056-IF($A1070&gt;='1-Input'!$C$12,'1-Input'!$B$12,0))-MIN(MAX(AO1069,0),MAX(0,AK1056-IF($A1070&gt;='1-Input'!$C$12,'1-Input'!$B$12,0))))*(1/(1-'P-Parametri'!$B$6*AK1070))+MIN(MAX(0,AP1069-(MAX(0,AK1056-IF($A1070&gt;='1-Input'!$C$12,'1-Input'!$B$12,0))-MIN(MAX(AO1069,0),MAX(0,AK1056-IF($A1070&gt;='1-Input'!$C$12,'1-Input'!$B$12,0))))*(1/(1-'P-Parametri'!$B$6*AK1070))),MAX(0,2*AK1056-(AO1069-MIN(MAX(AO1069,0),MAX(0,AK1056-IF($A1070&gt;='1-Input'!$C$12,'1-Input'!$B$12,0)))))*(1/(1-'P-Parametri'!$B$6*AK1070))))</f>
        <v>20508.319755171906</v>
      </c>
      <c r="AM1070" s="18">
        <f>IF($A1070&gt;'1-Input'!$B$26,AO1069,(AO1069-MAX(0,AK1056-IF($A1070&gt;='1-Input'!$C$12,'1-Input'!$B$12,0))+AL1070*(1-'P-Parametri'!$B$6*AK1070))*(1+'1-Input'!$B$27))</f>
        <v>34907.380561018697</v>
      </c>
      <c r="AN1070" s="18">
        <f>IF($A1070&gt;'1-Input'!$B$26,AP1069,(AP1069-AL1070)*(1+'5-Roberta'!$C$4))</f>
        <v>273487.95719580125</v>
      </c>
      <c r="AO1070" s="18">
        <f>IF($A1070&gt;'1-Input'!$B$26,AM1070,AM1070-'P-Parametri'!$B$8*(AN1070+AM1070)+MIN(MAX(AN1070,0),'P-Parametri'!$B$8*(AN1070+AM1070)))</f>
        <v>34907.380561018697</v>
      </c>
      <c r="AP1070" s="18">
        <f>IF($A1070&gt;'1-Input'!$B$26,AN1070,AN1070-MIN(MAX(AN1070,0),'P-Parametri'!$B$8*(AN1070+AM1070)))</f>
        <v>272871.16652028763</v>
      </c>
      <c r="AQ1070" s="18">
        <f>IF($A1070&gt;'1-Input'!$B$26,AQ1069,AQ1069-AL1070*(1-AK1070))</f>
        <v>122833.39434950813</v>
      </c>
    </row>
    <row r="1071" spans="1:43">
      <c r="A1071" s="10">
        <f>13</f>
        <v>13</v>
      </c>
      <c r="B1071" s="11">
        <f>IF($A1071&gt;'1-Input'!$B$26,0,IF(G1070&lt;=0,0,MAX(0,(G1070-H1070)/G1070)))</f>
        <v>0.54993407782280479</v>
      </c>
      <c r="C1071" s="18">
        <f>IF($A1071&gt;'1-Input'!$B$26,0,(MAX(0,B1056-IF($A1071&gt;='1-Input'!$C$12,'1-Input'!$B$12,0))-MIN(MAX(F1070,0),MAX(0,B1056-IF($A1071&gt;='1-Input'!$C$12,'1-Input'!$B$12,0))))*(1/(1-'P-Parametri'!$B$6*B1071))+MIN(MAX(0,G1070-(MAX(0,B1056-IF($A1071&gt;='1-Input'!$C$12,'1-Input'!$B$12,0))-MIN(MAX(F1070,0),MAX(0,B1056-IF($A1071&gt;='1-Input'!$C$12,'1-Input'!$B$12,0))))*(1/(1-'P-Parametri'!$B$6*B1071))),MAX(0,2*B1056-(F1070-MIN(MAX(F1070,0),MAX(0,B1056-IF($A1071&gt;='1-Input'!$C$12,'1-Input'!$B$12,0)))))*(1/(1-'P-Parametri'!$B$6*B1071))))</f>
        <v>19604.227422426007</v>
      </c>
      <c r="D1071" s="18">
        <f>IF($A1071&gt;'1-Input'!$B$26,F1070,(F1070-MAX(0,B1056-IF($A1071&gt;='1-Input'!$C$12,'1-Input'!$B$12,0))+C1071*(1-'P-Parametri'!$B$6*B1071))*(1+'1-Input'!$B$27))</f>
        <v>33242.0070309863</v>
      </c>
      <c r="E1071" s="18">
        <f>IF($A1071&gt;'1-Input'!$B$26,G1070,(G1070-C1071)*(1+'5-Roberta'!$C$4))</f>
        <v>277478.45836933848</v>
      </c>
      <c r="F1071" s="18">
        <f>IF($A1071&gt;'1-Input'!$B$26,D1071,D1071-'P-Parametri'!$B$8*(E1071+D1071)+MIN(MAX(E1071,0),'P-Parametri'!$B$8*(E1071+D1071)))</f>
        <v>33242.0070309863</v>
      </c>
      <c r="G1071" s="18">
        <f>IF($A1071&gt;'1-Input'!$B$26,E1071,E1071-MIN(MAX(E1071,0),'P-Parametri'!$B$8*(E1071+D1071)))</f>
        <v>276857.01743853785</v>
      </c>
      <c r="H1071" s="18">
        <f>IF($A1071&gt;'1-Input'!$B$26,H1070,H1070-C1071*(1-B1071))</f>
        <v>121246.21189349784</v>
      </c>
      <c r="I1071" s="11">
        <f>IF($A1071&gt;'1-Input'!$B$26,0,IF(N1070&lt;=0,0,MAX(0,(N1070-O1070)/N1070)))</f>
        <v>0.54926788102467206</v>
      </c>
      <c r="J1071" s="18">
        <f>IF($A1071&gt;'1-Input'!$B$26,0,(MAX(0,I1056-IF($A1071&gt;='1-Input'!$C$12,'1-Input'!$B$12,0))-MIN(MAX(M1070,0),MAX(0,I1056-IF($A1071&gt;='1-Input'!$C$12,'1-Input'!$B$12,0))))*(1/(1-'P-Parametri'!$B$6*I1071))+MIN(MAX(0,N1070-(MAX(0,I1056-IF($A1071&gt;='1-Input'!$C$12,'1-Input'!$B$12,0))-MIN(MAX(M1070,0),MAX(0,I1056-IF($A1071&gt;='1-Input'!$C$12,'1-Input'!$B$12,0))))*(1/(1-'P-Parametri'!$B$6*I1071))),MAX(0,2*I1056-(M1070-MIN(MAX(M1070,0),MAX(0,I1056-IF($A1071&gt;='1-Input'!$C$12,'1-Input'!$B$12,0)))))*(1/(1-'P-Parametri'!$B$6*I1071))))</f>
        <v>25789.823717918411</v>
      </c>
      <c r="K1071" s="18">
        <f>IF($A1071&gt;'1-Input'!$B$26,M1070,(M1070-MAX(0,I1056-IF($A1071&gt;='1-Input'!$C$12,'1-Input'!$B$12,0))+J1071*(1-'P-Parametri'!$B$6*I1071))*(1+'1-Input'!$B$27))</f>
        <v>43739.482935508291</v>
      </c>
      <c r="L1071" s="18">
        <f>IF($A1071&gt;'1-Input'!$B$26,N1070,(N1070-J1071)*(1+'5-Roberta'!$C$4))</f>
        <v>166393.81106383813</v>
      </c>
      <c r="M1071" s="18">
        <f>IF($A1071&gt;'1-Input'!$B$26,K1071,K1071-'P-Parametri'!$B$8*(L1071+K1071)+MIN(MAX(L1071,0),'P-Parametri'!$B$8*(L1071+K1071)))</f>
        <v>43739.482935508291</v>
      </c>
      <c r="N1071" s="18">
        <f>IF($A1071&gt;'1-Input'!$B$26,L1071,L1071-MIN(MAX(L1071,0),'P-Parametri'!$B$8*(L1071+K1071)))</f>
        <v>165973.54447583944</v>
      </c>
      <c r="O1071" s="18">
        <f>IF($A1071&gt;'1-Input'!$B$26,O1070,O1070-J1071*(1-I1071))</f>
        <v>72814.597131246715</v>
      </c>
      <c r="P1071" s="11">
        <f>IF($A1071&gt;'1-Input'!$B$26,0,IF(U1070&lt;=0,0,MAX(0,(U1070-V1070)/U1070)))</f>
        <v>0.54983510497508115</v>
      </c>
      <c r="Q1071" s="18">
        <f>IF($A1071&gt;'1-Input'!$B$26,0,(MAX(0,P1056-IF($A1071&gt;='1-Input'!$C$12,'1-Input'!$B$12,0))-MIN(MAX(T1070,0),MAX(0,P1056-IF($A1071&gt;='1-Input'!$C$12,'1-Input'!$B$12,0))))*(1/(1-'P-Parametri'!$B$6*P1071))+MIN(MAX(0,U1070-(MAX(0,P1056-IF($A1071&gt;='1-Input'!$C$12,'1-Input'!$B$12,0))-MIN(MAX(T1070,0),MAX(0,P1056-IF($A1071&gt;='1-Input'!$C$12,'1-Input'!$B$12,0))))*(1/(1-'P-Parametri'!$B$6*P1071))),MAX(0,2*P1056-(T1070-MIN(MAX(T1070,0),MAX(0,P1056-IF($A1071&gt;='1-Input'!$C$12,'1-Input'!$B$12,0)))))*(1/(1-'P-Parametri'!$B$6*P1071))))</f>
        <v>20732.302865574016</v>
      </c>
      <c r="R1071" s="18">
        <f>IF($A1071&gt;'1-Input'!$B$26,T1070,(T1070-MAX(0,P1056-IF($A1071&gt;='1-Input'!$C$12,'1-Input'!$B$12,0))+Q1071*(1-'P-Parametri'!$B$6*P1071))*(1+'1-Input'!$B$27))</f>
        <v>35155.889406417155</v>
      </c>
      <c r="S1071" s="18">
        <f>IF($A1071&gt;'1-Input'!$B$26,U1070,(U1070-Q1071)*(1+'5-Roberta'!$C$4))</f>
        <v>257223.9782430396</v>
      </c>
      <c r="T1071" s="18">
        <f>IF($A1071&gt;'1-Input'!$B$26,R1071,R1071-'P-Parametri'!$B$8*(S1071+R1071)+MIN(MAX(S1071,0),'P-Parametri'!$B$8*(S1071+R1071)))</f>
        <v>35155.889406417155</v>
      </c>
      <c r="U1071" s="18">
        <f>IF($A1071&gt;'1-Input'!$B$26,S1071,S1071-MIN(MAX(S1071,0),'P-Parametri'!$B$8*(S1071+R1071)))</f>
        <v>256639.21850774068</v>
      </c>
      <c r="V1071" s="18">
        <f>IF($A1071&gt;'1-Input'!$B$26,V1070,V1070-Q1071*(1-P1071))</f>
        <v>112420.58753754362</v>
      </c>
      <c r="W1071" s="11">
        <f>IF($A1071&gt;'1-Input'!$B$26,0,IF(AB1070&lt;=0,0,MAX(0,(AB1070-AC1070)/AB1070)))</f>
        <v>0.54984743830862604</v>
      </c>
      <c r="X1071" s="18">
        <f>IF($A1071&gt;'1-Input'!$B$26,0,(MAX(0,W1056-IF($A1071&gt;='1-Input'!$C$12,'1-Input'!$B$12,0))-MIN(MAX(AA1070,0),MAX(0,W1056-IF($A1071&gt;='1-Input'!$C$12,'1-Input'!$B$12,0))))*(1/(1-'P-Parametri'!$B$6*W1071))+MIN(MAX(0,AB1070-(MAX(0,W1056-IF($A1071&gt;='1-Input'!$C$12,'1-Input'!$B$12,0))-MIN(MAX(AA1070,0),MAX(0,W1056-IF($A1071&gt;='1-Input'!$C$12,'1-Input'!$B$12,0))))*(1/(1-'P-Parametri'!$B$6*W1071))),MAX(0,2*W1056-(AA1070-MIN(MAX(AA1070,0),MAX(0,W1056-IF($A1071&gt;='1-Input'!$C$12,'1-Input'!$B$12,0)))))*(1/(1-'P-Parametri'!$B$6*W1071))))</f>
        <v>20596.398436761785</v>
      </c>
      <c r="Y1071" s="18">
        <f>IF($A1071&gt;'1-Input'!$B$26,AA1070,(AA1070-MAX(0,W1056-IF($A1071&gt;='1-Input'!$C$12,'1-Input'!$B$12,0))+X1071*(1-'P-Parametri'!$B$6*W1071))*(1+'1-Input'!$B$27))</f>
        <v>34925.304782144136</v>
      </c>
      <c r="Z1071" s="18">
        <f>IF($A1071&gt;'1-Input'!$B$26,AB1070,(AB1070-X1071)*(1+'5-Roberta'!$C$4))</f>
        <v>259664.20404603629</v>
      </c>
      <c r="AA1071" s="18">
        <f>IF($A1071&gt;'1-Input'!$B$26,Y1071,Y1071-'P-Parametri'!$B$8*(Z1071+Y1071)+MIN(MAX(Z1071,0),'P-Parametri'!$B$8*(Z1071+Y1071)))</f>
        <v>34925.304782144136</v>
      </c>
      <c r="AB1071" s="18">
        <f>IF($A1071&gt;'1-Input'!$B$26,Z1071,Z1071-MIN(MAX(Z1071,0),'P-Parametri'!$B$8*(Z1071+Y1071)))</f>
        <v>259075.02502837993</v>
      </c>
      <c r="AC1071" s="18">
        <f>IF($A1071&gt;'1-Input'!$B$26,AC1070,AC1070-X1071*(1-W1071))</f>
        <v>113483.98702026685</v>
      </c>
      <c r="AD1071" s="11">
        <f>IF($A1071&gt;'1-Input'!$B$26,0,IF(AI1070&lt;=0,0,MAX(0,(AI1070-AJ1070)/AI1070)))</f>
        <v>0.54984839640530592</v>
      </c>
      <c r="AE1071" s="18">
        <f>IF($A1071&gt;'1-Input'!$B$26,0,(MAX(0,AD1056-IF($A1071&gt;='1-Input'!$C$12,'1-Input'!$B$12,0))-MIN(MAX(AH1070,0),MAX(0,AD1056-IF($A1071&gt;='1-Input'!$C$12,'1-Input'!$B$12,0))))*(1/(1-'P-Parametri'!$B$6*AD1071))+MIN(MAX(0,AI1070-(MAX(0,AD1056-IF($A1071&gt;='1-Input'!$C$12,'1-Input'!$B$12,0))-MIN(MAX(AH1070,0),MAX(0,AD1056-IF($A1071&gt;='1-Input'!$C$12,'1-Input'!$B$12,0))))*(1/(1-'P-Parametri'!$B$6*AD1071))),MAX(0,2*AD1056-(AH1070-MIN(MAX(AH1070,0),MAX(0,AD1056-IF($A1071&gt;='1-Input'!$C$12,'1-Input'!$B$12,0)))))*(1/(1-'P-Parametri'!$B$6*AD1071))))</f>
        <v>20585.786663511983</v>
      </c>
      <c r="AF1071" s="18">
        <f>IF($A1071&gt;'1-Input'!$B$26,AH1070,(AH1070-MAX(0,AD1056-IF($A1071&gt;='1-Input'!$C$12,'1-Input'!$B$12,0))+AE1071*(1-'P-Parametri'!$B$6*AD1071))*(1+'1-Input'!$B$27))</f>
        <v>34907.300256313618</v>
      </c>
      <c r="AG1071" s="18">
        <f>IF($A1071&gt;'1-Input'!$B$26,AI1070,(AI1070-AE1071)*(1+'5-Roberta'!$C$4))</f>
        <v>259854.74235014783</v>
      </c>
      <c r="AH1071" s="18">
        <f>IF($A1071&gt;'1-Input'!$B$26,AF1071,AF1071-'P-Parametri'!$B$8*(AG1071+AF1071)+MIN(MAX(AG1071,0),'P-Parametri'!$B$8*(AG1071+AF1071)))</f>
        <v>34907.300256313618</v>
      </c>
      <c r="AI1071" s="18">
        <f>IF($A1071&gt;'1-Input'!$B$26,AG1071,AG1071-MIN(MAX(AG1071,0),'P-Parametri'!$B$8*(AG1071+AF1071)))</f>
        <v>259265.2182649349</v>
      </c>
      <c r="AJ1071" s="18">
        <f>IF($A1071&gt;'1-Input'!$B$26,AJ1070,AJ1070-AE1071*(1-AD1071))</f>
        <v>113567.01841806319</v>
      </c>
      <c r="AK1071" s="11">
        <f>IF($A1071&gt;'1-Input'!$B$26,0,IF(AP1070&lt;=0,0,MAX(0,(AP1070-AQ1070)/AP1070)))</f>
        <v>0.54984839213352499</v>
      </c>
      <c r="AL1071" s="18">
        <f>IF($A1071&gt;'1-Input'!$B$26,0,(MAX(0,AK1056-IF($A1071&gt;='1-Input'!$C$12,'1-Input'!$B$12,0))-MIN(MAX(AO1070,0),MAX(0,AK1056-IF($A1071&gt;='1-Input'!$C$12,'1-Input'!$B$12,0))))*(1/(1-'P-Parametri'!$B$6*AK1071))+MIN(MAX(0,AP1070-(MAX(0,AK1056-IF($A1071&gt;='1-Input'!$C$12,'1-Input'!$B$12,0))-MIN(MAX(AO1070,0),MAX(0,AK1056-IF($A1071&gt;='1-Input'!$C$12,'1-Input'!$B$12,0))))*(1/(1-'P-Parametri'!$B$6*AK1071))),MAX(0,2*AK1056-(AO1070-MIN(MAX(AO1070,0),MAX(0,AK1056-IF($A1071&gt;='1-Input'!$C$12,'1-Input'!$B$12,0)))))*(1/(1-'P-Parametri'!$B$6*AK1071))))</f>
        <v>20585.833994708162</v>
      </c>
      <c r="AM1071" s="18">
        <f>IF($A1071&gt;'1-Input'!$B$26,AO1070,(AO1070-MAX(0,AK1056-IF($A1071&gt;='1-Input'!$C$12,'1-Input'!$B$12,0))+AL1071*(1-'P-Parametri'!$B$6*AK1071))*(1+'1-Input'!$B$27))</f>
        <v>34907.38056101869</v>
      </c>
      <c r="AN1071" s="18">
        <f>IF($A1071&gt;'1-Input'!$B$26,AP1070,(AP1070-AL1071)*(1+'5-Roberta'!$C$4))</f>
        <v>259853.89250134685</v>
      </c>
      <c r="AO1071" s="18">
        <f>IF($A1071&gt;'1-Input'!$B$26,AM1071,AM1071-'P-Parametri'!$B$8*(AN1071+AM1071)+MIN(MAX(AN1071,0),'P-Parametri'!$B$8*(AN1071+AM1071)))</f>
        <v>34907.38056101869</v>
      </c>
      <c r="AP1071" s="18">
        <f>IF($A1071&gt;'1-Input'!$B$26,AN1071,AN1071-MIN(MAX(AN1071,0),'P-Parametri'!$B$8*(AN1071+AM1071)))</f>
        <v>259264.36995522212</v>
      </c>
      <c r="AQ1071" s="18">
        <f>IF($A1071&gt;'1-Input'!$B$26,AQ1070,AQ1070-AL1071*(1-AK1071))</f>
        <v>113566.64807751791</v>
      </c>
    </row>
    <row r="1072" spans="1:43">
      <c r="A1072" s="10">
        <f>14</f>
        <v>14</v>
      </c>
      <c r="B1072" s="11">
        <f>IF($A1072&gt;'1-Input'!$B$26,0,IF(G1071&lt;=0,0,MAX(0,(G1071-H1071)/G1071)))</f>
        <v>0.56206198775360838</v>
      </c>
      <c r="C1072" s="18">
        <f>IF($A1072&gt;'1-Input'!$B$26,0,(MAX(0,B1056-IF($A1072&gt;='1-Input'!$C$12,'1-Input'!$B$12,0))-MIN(MAX(F1071,0),MAX(0,B1056-IF($A1072&gt;='1-Input'!$C$12,'1-Input'!$B$12,0))))*(1/(1-'P-Parametri'!$B$6*B1072))+MIN(MAX(0,G1071-(MAX(0,B1056-IF($A1072&gt;='1-Input'!$C$12,'1-Input'!$B$12,0))-MIN(MAX(F1071,0),MAX(0,B1056-IF($A1072&gt;='1-Input'!$C$12,'1-Input'!$B$12,0))))*(1/(1-'P-Parametri'!$B$6*B1072))),MAX(0,2*B1056-(F1071-MIN(MAX(F1071,0),MAX(0,B1056-IF($A1072&gt;='1-Input'!$C$12,'1-Input'!$B$12,0)))))*(1/(1-'P-Parametri'!$B$6*B1072))))</f>
        <v>19676.624393854814</v>
      </c>
      <c r="D1072" s="18">
        <f>IF($A1072&gt;'1-Input'!$B$26,F1071,(F1071-MAX(0,B1056-IF($A1072&gt;='1-Input'!$C$12,'1-Input'!$B$12,0))+C1072*(1-'P-Parametri'!$B$6*B1072))*(1+'1-Input'!$B$27))</f>
        <v>33242.0070309863</v>
      </c>
      <c r="E1072" s="18">
        <f>IF($A1072&gt;'1-Input'!$B$26,G1071,(G1071-C1072)*(1+'5-Roberta'!$C$4))</f>
        <v>264895.80483602354</v>
      </c>
      <c r="F1072" s="18">
        <f>IF($A1072&gt;'1-Input'!$B$26,D1072,D1072-'P-Parametri'!$B$8*(E1072+D1072)+MIN(MAX(E1072,0),'P-Parametri'!$B$8*(E1072+D1072)))</f>
        <v>33242.0070309863</v>
      </c>
      <c r="G1072" s="18">
        <f>IF($A1072&gt;'1-Input'!$B$26,E1072,E1072-MIN(MAX(E1072,0),'P-Parametri'!$B$8*(E1072+D1072)))</f>
        <v>264299.52921228955</v>
      </c>
      <c r="H1072" s="18">
        <f>IF($A1072&gt;'1-Input'!$B$26,H1071,H1071-C1072*(1-B1072))</f>
        <v>112629.07011873421</v>
      </c>
      <c r="I1072" s="11">
        <f>IF($A1072&gt;'1-Input'!$B$26,0,IF(N1071&lt;=0,0,MAX(0,(N1071-O1071)/N1071)))</f>
        <v>0.56128793078919725</v>
      </c>
      <c r="J1072" s="18">
        <f>IF($A1072&gt;'1-Input'!$B$26,0,(MAX(0,I1056-IF($A1072&gt;='1-Input'!$C$12,'1-Input'!$B$12,0))-MIN(MAX(M1071,0),MAX(0,I1056-IF($A1072&gt;='1-Input'!$C$12,'1-Input'!$B$12,0))))*(1/(1-'P-Parametri'!$B$6*I1072))+MIN(MAX(0,N1071-(MAX(0,I1056-IF($A1072&gt;='1-Input'!$C$12,'1-Input'!$B$12,0))-MIN(MAX(M1071,0),MAX(0,I1056-IF($A1072&gt;='1-Input'!$C$12,'1-Input'!$B$12,0))))*(1/(1-'P-Parametri'!$B$6*I1072))),MAX(0,2*I1056-(M1071-MIN(MAX(M1071,0),MAX(0,I1056-IF($A1072&gt;='1-Input'!$C$12,'1-Input'!$B$12,0)))))*(1/(1-'P-Parametri'!$B$6*I1072))))</f>
        <v>25884.19437793766</v>
      </c>
      <c r="K1072" s="18">
        <f>IF($A1072&gt;'1-Input'!$B$26,M1071,(M1071-MAX(0,I1056-IF($A1072&gt;='1-Input'!$C$12,'1-Input'!$B$12,0))+J1072*(1-'P-Parametri'!$B$6*I1072))*(1+'1-Input'!$B$27))</f>
        <v>43739.482935508291</v>
      </c>
      <c r="L1072" s="18">
        <f>IF($A1072&gt;'1-Input'!$B$26,N1071,(N1071-J1072)*(1+'5-Roberta'!$C$4))</f>
        <v>144292.03060083883</v>
      </c>
      <c r="M1072" s="18">
        <f>IF($A1072&gt;'1-Input'!$B$26,K1072,K1072-'P-Parametri'!$B$8*(L1072+K1072)+MIN(MAX(L1072,0),'P-Parametri'!$B$8*(L1072+K1072)))</f>
        <v>43739.482935508291</v>
      </c>
      <c r="N1072" s="18">
        <f>IF($A1072&gt;'1-Input'!$B$26,L1072,L1072-MIN(MAX(L1072,0),'P-Parametri'!$B$8*(L1072+K1072)))</f>
        <v>143915.96757376613</v>
      </c>
      <c r="O1072" s="18">
        <f>IF($A1072&gt;'1-Input'!$B$26,O1071,O1071-J1072*(1-I1072))</f>
        <v>61458.888655847055</v>
      </c>
      <c r="P1072" s="11">
        <f>IF($A1072&gt;'1-Input'!$B$26,0,IF(U1071&lt;=0,0,MAX(0,(U1071-V1071)/U1071)))</f>
        <v>0.5619508655332317</v>
      </c>
      <c r="Q1072" s="18">
        <f>IF($A1072&gt;'1-Input'!$B$26,0,(MAX(0,P1056-IF($A1072&gt;='1-Input'!$C$12,'1-Input'!$B$12,0))-MIN(MAX(T1071,0),MAX(0,P1056-IF($A1072&gt;='1-Input'!$C$12,'1-Input'!$B$12,0))))*(1/(1-'P-Parametri'!$B$6*P1072))+MIN(MAX(0,U1071-(MAX(0,P1056-IF($A1072&gt;='1-Input'!$C$12,'1-Input'!$B$12,0))-MIN(MAX(T1071,0),MAX(0,P1056-IF($A1072&gt;='1-Input'!$C$12,'1-Input'!$B$12,0))))*(1/(1-'P-Parametri'!$B$6*P1072))),MAX(0,2*P1056-(T1071-MIN(MAX(T1071,0),MAX(0,P1056-IF($A1072&gt;='1-Input'!$C$12,'1-Input'!$B$12,0)))))*(1/(1-'P-Parametri'!$B$6*P1072))))</f>
        <v>20808.786450425669</v>
      </c>
      <c r="R1072" s="18">
        <f>IF($A1072&gt;'1-Input'!$B$26,T1071,(T1071-MAX(0,P1056-IF($A1072&gt;='1-Input'!$C$12,'1-Input'!$B$12,0))+Q1072*(1-'P-Parametri'!$B$6*P1072))*(1+'1-Input'!$B$27))</f>
        <v>35155.889406417155</v>
      </c>
      <c r="S1072" s="18">
        <f>IF($A1072&gt;'1-Input'!$B$26,U1071,(U1071-Q1072)*(1+'5-Roberta'!$C$4))</f>
        <v>242905.34501903449</v>
      </c>
      <c r="T1072" s="18">
        <f>IF($A1072&gt;'1-Input'!$B$26,R1072,R1072-'P-Parametri'!$B$8*(S1072+R1072)+MIN(MAX(S1072,0),'P-Parametri'!$B$8*(S1072+R1072)))</f>
        <v>35155.889406417155</v>
      </c>
      <c r="U1072" s="18">
        <f>IF($A1072&gt;'1-Input'!$B$26,S1072,S1072-MIN(MAX(S1072,0),'P-Parametri'!$B$8*(S1072+R1072)))</f>
        <v>242349.22255018359</v>
      </c>
      <c r="V1072" s="18">
        <f>IF($A1072&gt;'1-Input'!$B$26,V1071,V1071-Q1072*(1-P1072))</f>
        <v>103305.31664363084</v>
      </c>
      <c r="W1072" s="11">
        <f>IF($A1072&gt;'1-Input'!$B$26,0,IF(AB1071&lt;=0,0,MAX(0,(AB1071-AC1071)/AB1071)))</f>
        <v>0.56196477445930793</v>
      </c>
      <c r="X1072" s="18">
        <f>IF($A1072&gt;'1-Input'!$B$26,0,(MAX(0,W1056-IF($A1072&gt;='1-Input'!$C$12,'1-Input'!$B$12,0))-MIN(MAX(AA1071,0),MAX(0,W1056-IF($A1072&gt;='1-Input'!$C$12,'1-Input'!$B$12,0))))*(1/(1-'P-Parametri'!$B$6*W1072))+MIN(MAX(0,AB1071-(MAX(0,W1056-IF($A1072&gt;='1-Input'!$C$12,'1-Input'!$B$12,0))-MIN(MAX(AA1071,0),MAX(0,W1056-IF($A1072&gt;='1-Input'!$C$12,'1-Input'!$B$12,0))))*(1/(1-'P-Parametri'!$B$6*W1072))),MAX(0,2*W1056-(AA1071-MIN(MAX(AA1071,0),MAX(0,W1056-IF($A1072&gt;='1-Input'!$C$12,'1-Input'!$B$12,0)))))*(1/(1-'P-Parametri'!$B$6*W1072))))</f>
        <v>20672.390859214753</v>
      </c>
      <c r="Y1072" s="18">
        <f>IF($A1072&gt;'1-Input'!$B$26,AA1071,(AA1071-MAX(0,W1056-IF($A1072&gt;='1-Input'!$C$12,'1-Input'!$B$12,0))+X1072*(1-'P-Parametri'!$B$6*W1072))*(1+'1-Input'!$B$27))</f>
        <v>34925.304782144136</v>
      </c>
      <c r="Z1072" s="18">
        <f>IF($A1072&gt;'1-Input'!$B$26,AB1071,(AB1071-X1072)*(1+'5-Roberta'!$C$4))</f>
        <v>245554.71319424012</v>
      </c>
      <c r="AA1072" s="18">
        <f>IF($A1072&gt;'1-Input'!$B$26,Y1072,Y1072-'P-Parametri'!$B$8*(Z1072+Y1072)+MIN(MAX(Z1072,0),'P-Parametri'!$B$8*(Z1072+Y1072)))</f>
        <v>34925.304782144136</v>
      </c>
      <c r="AB1072" s="18">
        <f>IF($A1072&gt;'1-Input'!$B$26,Z1072,Z1072-MIN(MAX(Z1072,0),'P-Parametri'!$B$8*(Z1072+Y1072)))</f>
        <v>244993.75315828735</v>
      </c>
      <c r="AC1072" s="18">
        <f>IF($A1072&gt;'1-Input'!$B$26,AC1071,AC1071-X1072*(1-W1072))</f>
        <v>104428.75162778537</v>
      </c>
      <c r="AD1072" s="11">
        <f>IF($A1072&gt;'1-Input'!$B$26,0,IF(AI1071&lt;=0,0,MAX(0,(AI1071-AJ1071)/AI1071)))</f>
        <v>0.56196585420103418</v>
      </c>
      <c r="AE1072" s="18">
        <f>IF($A1072&gt;'1-Input'!$B$26,0,(MAX(0,AD1056-IF($A1072&gt;='1-Input'!$C$12,'1-Input'!$B$12,0))-MIN(MAX(AH1071,0),MAX(0,AD1056-IF($A1072&gt;='1-Input'!$C$12,'1-Input'!$B$12,0))))*(1/(1-'P-Parametri'!$B$6*AD1072))+MIN(MAX(0,AI1071-(MAX(0,AD1056-IF($A1072&gt;='1-Input'!$C$12,'1-Input'!$B$12,0))-MIN(MAX(AH1071,0),MAX(0,AD1056-IF($A1072&gt;='1-Input'!$C$12,'1-Input'!$B$12,0))))*(1/(1-'P-Parametri'!$B$6*AD1072))),MAX(0,2*AD1056-(AH1071-MIN(MAX(AH1071,0),MAX(0,AD1056-IF($A1072&gt;='1-Input'!$C$12,'1-Input'!$B$12,0)))))*(1/(1-'P-Parametri'!$B$6*AD1072))))</f>
        <v>20661.740720252397</v>
      </c>
      <c r="AF1072" s="18">
        <f>IF($A1072&gt;'1-Input'!$B$26,AH1071,(AH1071-MAX(0,AD1056-IF($A1072&gt;='1-Input'!$C$12,'1-Input'!$B$12,0))+AE1072*(1-'P-Parametri'!$B$6*AD1072))*(1+'1-Input'!$B$27))</f>
        <v>34907.300256313618</v>
      </c>
      <c r="AG1072" s="18">
        <f>IF($A1072&gt;'1-Input'!$B$26,AI1071,(AI1071-AE1072)*(1+'5-Roberta'!$C$4))</f>
        <v>245761.58187102299</v>
      </c>
      <c r="AH1072" s="18">
        <f>IF($A1072&gt;'1-Input'!$B$26,AF1072,AF1072-'P-Parametri'!$B$8*(AG1072+AF1072)+MIN(MAX(AG1072,0),'P-Parametri'!$B$8*(AG1072+AF1072)))</f>
        <v>34907.300256313618</v>
      </c>
      <c r="AI1072" s="18">
        <f>IF($A1072&gt;'1-Input'!$B$26,AG1072,AG1072-MIN(MAX(AG1072,0),'P-Parametri'!$B$8*(AG1072+AF1072)))</f>
        <v>245200.24410676831</v>
      </c>
      <c r="AJ1072" s="18">
        <f>IF($A1072&gt;'1-Input'!$B$26,AJ1071,AJ1071-AE1072*(1-AD1072))</f>
        <v>104516.47047094772</v>
      </c>
      <c r="AK1072" s="11">
        <f>IF($A1072&gt;'1-Input'!$B$26,0,IF(AP1071&lt;=0,0,MAX(0,(AP1071-AQ1071)/AP1071)))</f>
        <v>0.5619658493871249</v>
      </c>
      <c r="AL1072" s="18">
        <f>IF($A1072&gt;'1-Input'!$B$26,0,(MAX(0,AK1056-IF($A1072&gt;='1-Input'!$C$12,'1-Input'!$B$12,0))-MIN(MAX(AO1071,0),MAX(0,AK1056-IF($A1072&gt;='1-Input'!$C$12,'1-Input'!$B$12,0))))*(1/(1-'P-Parametri'!$B$6*AK1072))+MIN(MAX(0,AP1071-(MAX(0,AK1056-IF($A1072&gt;='1-Input'!$C$12,'1-Input'!$B$12,0))-MIN(MAX(AO1071,0),MAX(0,AK1056-IF($A1072&gt;='1-Input'!$C$12,'1-Input'!$B$12,0))))*(1/(1-'P-Parametri'!$B$6*AK1072))),MAX(0,2*AK1056-(AO1071-MIN(MAX(AO1071,0),MAX(0,AK1056-IF($A1072&gt;='1-Input'!$C$12,'1-Input'!$B$12,0)))))*(1/(1-'P-Parametri'!$B$6*AK1072))))</f>
        <v>20661.788222573981</v>
      </c>
      <c r="AM1072" s="18">
        <f>IF($A1072&gt;'1-Input'!$B$26,AO1071,(AO1071-MAX(0,AK1056-IF($A1072&gt;='1-Input'!$C$12,'1-Input'!$B$12,0))+AL1072*(1-'P-Parametri'!$B$6*AK1072))*(1+'1-Input'!$B$27))</f>
        <v>34907.38056101869</v>
      </c>
      <c r="AN1072" s="18">
        <f>IF($A1072&gt;'1-Input'!$B$26,AP1071,(AP1071-AL1072)*(1+'5-Roberta'!$C$4))</f>
        <v>245760.65918462758</v>
      </c>
      <c r="AO1072" s="18">
        <f>IF($A1072&gt;'1-Input'!$B$26,AM1072,AM1072-'P-Parametri'!$B$8*(AN1072+AM1072)+MIN(MAX(AN1072,0),'P-Parametri'!$B$8*(AN1072+AM1072)))</f>
        <v>34907.38056101869</v>
      </c>
      <c r="AP1072" s="18">
        <f>IF($A1072&gt;'1-Input'!$B$26,AN1072,AN1072-MIN(MAX(AN1072,0),'P-Parametri'!$B$8*(AN1072+AM1072)))</f>
        <v>245199.32310513628</v>
      </c>
      <c r="AQ1072" s="18">
        <f>IF($A1072&gt;'1-Input'!$B$26,AQ1071,AQ1071-AL1072*(1-AK1072))</f>
        <v>104516.0792232996</v>
      </c>
    </row>
    <row r="1073" spans="1:43">
      <c r="A1073" s="10">
        <f>15</f>
        <v>15</v>
      </c>
      <c r="B1073" s="11">
        <f>IF($A1073&gt;'1-Input'!$B$26,0,IF(G1072&lt;=0,0,MAX(0,(G1072-H1072)/G1072)))</f>
        <v>0.57385822648110452</v>
      </c>
      <c r="C1073" s="18">
        <f>IF($A1073&gt;'1-Input'!$B$26,0,(MAX(0,B1056-IF($A1073&gt;='1-Input'!$C$12,'1-Input'!$B$12,0))-MIN(MAX(F1072,0),MAX(0,B1056-IF($A1073&gt;='1-Input'!$C$12,'1-Input'!$B$12,0))))*(1/(1-'P-Parametri'!$B$6*B1073))+MIN(MAX(0,G1072-(MAX(0,B1056-IF($A1073&gt;='1-Input'!$C$12,'1-Input'!$B$12,0))-MIN(MAX(F1072,0),MAX(0,B1056-IF($A1073&gt;='1-Input'!$C$12,'1-Input'!$B$12,0))))*(1/(1-'P-Parametri'!$B$6*B1073))),MAX(0,2*B1056-(F1072-MIN(MAX(F1072,0),MAX(0,B1056-IF($A1073&gt;='1-Input'!$C$12,'1-Input'!$B$12,0)))))*(1/(1-'P-Parametri'!$B$6*B1073))))</f>
        <v>19747.556297838601</v>
      </c>
      <c r="D1073" s="18">
        <f>IF($A1073&gt;'1-Input'!$B$26,F1072,(F1072-MAX(0,B1056-IF($A1073&gt;='1-Input'!$C$12,'1-Input'!$B$12,0))+C1073*(1-'P-Parametri'!$B$6*B1073))*(1+'1-Input'!$B$27))</f>
        <v>33242.0070309863</v>
      </c>
      <c r="E1073" s="18">
        <f>IF($A1073&gt;'1-Input'!$B$26,G1072,(G1072-C1073)*(1+'5-Roberta'!$C$4))</f>
        <v>251888.53210188448</v>
      </c>
      <c r="F1073" s="18">
        <f>IF($A1073&gt;'1-Input'!$B$26,D1073,D1073-'P-Parametri'!$B$8*(E1073+D1073)+MIN(MAX(E1073,0),'P-Parametri'!$B$8*(E1073+D1073)))</f>
        <v>33242.0070309863</v>
      </c>
      <c r="G1073" s="18">
        <f>IF($A1073&gt;'1-Input'!$B$26,E1073,E1073-MIN(MAX(E1073,0),'P-Parametri'!$B$8*(E1073+D1073)))</f>
        <v>251318.27102361876</v>
      </c>
      <c r="H1073" s="18">
        <f>IF($A1073&gt;'1-Input'!$B$26,H1072,H1072-C1073*(1-B1073))</f>
        <v>104213.81145530903</v>
      </c>
      <c r="I1073" s="11">
        <f>IF($A1073&gt;'1-Input'!$B$26,0,IF(N1072&lt;=0,0,MAX(0,(N1072-O1072)/N1072)))</f>
        <v>0.57295295517263956</v>
      </c>
      <c r="J1073" s="18">
        <f>IF($A1073&gt;'1-Input'!$B$26,0,(MAX(0,I1056-IF($A1073&gt;='1-Input'!$C$12,'1-Input'!$B$12,0))-MIN(MAX(M1072,0),MAX(0,I1056-IF($A1073&gt;='1-Input'!$C$12,'1-Input'!$B$12,0))))*(1/(1-'P-Parametri'!$B$6*I1073))+MIN(MAX(0,N1072-(MAX(0,I1056-IF($A1073&gt;='1-Input'!$C$12,'1-Input'!$B$12,0))-MIN(MAX(M1072,0),MAX(0,I1056-IF($A1073&gt;='1-Input'!$C$12,'1-Input'!$B$12,0))))*(1/(1-'P-Parametri'!$B$6*I1073))),MAX(0,2*I1056-(M1072-MIN(MAX(M1072,0),MAX(0,I1056-IF($A1073&gt;='1-Input'!$C$12,'1-Input'!$B$12,0)))))*(1/(1-'P-Parametri'!$B$6*I1073))))</f>
        <v>25976.440399071391</v>
      </c>
      <c r="K1073" s="18">
        <f>IF($A1073&gt;'1-Input'!$B$26,M1072,(M1072-MAX(0,I1056-IF($A1073&gt;='1-Input'!$C$12,'1-Input'!$B$12,0))+J1073*(1-'P-Parametri'!$B$6*I1073))*(1+'1-Input'!$B$27))</f>
        <v>43739.482935508291</v>
      </c>
      <c r="L1073" s="18">
        <f>IF($A1073&gt;'1-Input'!$B$26,N1072,(N1072-J1073)*(1+'5-Roberta'!$C$4))</f>
        <v>121477.71298993558</v>
      </c>
      <c r="M1073" s="18">
        <f>IF($A1073&gt;'1-Input'!$B$26,K1073,K1073-'P-Parametri'!$B$8*(L1073+K1073)+MIN(MAX(L1073,0),'P-Parametri'!$B$8*(L1073+K1073)))</f>
        <v>43739.482935508291</v>
      </c>
      <c r="N1073" s="18">
        <f>IF($A1073&gt;'1-Input'!$B$26,L1073,L1073-MIN(MAX(L1073,0),'P-Parametri'!$B$8*(L1073+K1073)))</f>
        <v>121147.2785980847</v>
      </c>
      <c r="O1073" s="18">
        <f>IF($A1073&gt;'1-Input'!$B$26,O1072,O1072-J1073*(1-I1073))</f>
        <v>50365.72654828956</v>
      </c>
      <c r="P1073" s="11">
        <f>IF($A1073&gt;'1-Input'!$B$26,0,IF(U1072&lt;=0,0,MAX(0,(U1072-V1072)/U1072)))</f>
        <v>0.5737336577498644</v>
      </c>
      <c r="Q1073" s="18">
        <f>IF($A1073&gt;'1-Input'!$B$26,0,(MAX(0,P1056-IF($A1073&gt;='1-Input'!$C$12,'1-Input'!$B$12,0))-MIN(MAX(T1072,0),MAX(0,P1056-IF($A1073&gt;='1-Input'!$C$12,'1-Input'!$B$12,0))))*(1/(1-'P-Parametri'!$B$6*P1073))+MIN(MAX(0,U1072-(MAX(0,P1056-IF($A1073&gt;='1-Input'!$C$12,'1-Input'!$B$12,0))-MIN(MAX(T1072,0),MAX(0,P1056-IF($A1073&gt;='1-Input'!$C$12,'1-Input'!$B$12,0))))*(1/(1-'P-Parametri'!$B$6*P1073))),MAX(0,2*P1056-(T1072-MIN(MAX(T1072,0),MAX(0,P1056-IF($A1073&gt;='1-Input'!$C$12,'1-Input'!$B$12,0)))))*(1/(1-'P-Parametri'!$B$6*P1073))))</f>
        <v>20883.711305092704</v>
      </c>
      <c r="R1073" s="18">
        <f>IF($A1073&gt;'1-Input'!$B$26,T1072,(T1072-MAX(0,P1056-IF($A1073&gt;='1-Input'!$C$12,'1-Input'!$B$12,0))+Q1073*(1-'P-Parametri'!$B$6*P1073))*(1+'1-Input'!$B$27))</f>
        <v>35155.889406417155</v>
      </c>
      <c r="S1073" s="18">
        <f>IF($A1073&gt;'1-Input'!$B$26,U1072,(U1072-Q1073)*(1+'5-Roberta'!$C$4))</f>
        <v>228109.47658244363</v>
      </c>
      <c r="T1073" s="18">
        <f>IF($A1073&gt;'1-Input'!$B$26,R1073,R1073-'P-Parametri'!$B$8*(S1073+R1073)+MIN(MAX(S1073,0),'P-Parametri'!$B$8*(S1073+R1073)))</f>
        <v>35155.889406417155</v>
      </c>
      <c r="U1073" s="18">
        <f>IF($A1073&gt;'1-Input'!$B$26,S1073,S1073-MIN(MAX(S1073,0),'P-Parametri'!$B$8*(S1073+R1073)))</f>
        <v>227582.94585046591</v>
      </c>
      <c r="V1073" s="18">
        <f>IF($A1073&gt;'1-Input'!$B$26,V1072,V1072-Q1073*(1-P1073))</f>
        <v>94403.293413001171</v>
      </c>
      <c r="W1073" s="11">
        <f>IF($A1073&gt;'1-Input'!$B$26,0,IF(AB1072&lt;=0,0,MAX(0,(AB1072-AC1072)/AB1072)))</f>
        <v>0.57374932919079258</v>
      </c>
      <c r="X1073" s="18">
        <f>IF($A1073&gt;'1-Input'!$B$26,0,(MAX(0,W1056-IF($A1073&gt;='1-Input'!$C$12,'1-Input'!$B$12,0))-MIN(MAX(AA1072,0),MAX(0,W1056-IF($A1073&gt;='1-Input'!$C$12,'1-Input'!$B$12,0))))*(1/(1-'P-Parametri'!$B$6*W1073))+MIN(MAX(0,AB1072-(MAX(0,W1056-IF($A1073&gt;='1-Input'!$C$12,'1-Input'!$B$12,0))-MIN(MAX(AA1072,0),MAX(0,W1056-IF($A1073&gt;='1-Input'!$C$12,'1-Input'!$B$12,0))))*(1/(1-'P-Parametri'!$B$6*W1073))),MAX(0,2*W1056-(AA1072-MIN(MAX(AA1072,0),MAX(0,W1056-IF($A1073&gt;='1-Input'!$C$12,'1-Input'!$B$12,0)))))*(1/(1-'P-Parametri'!$B$6*W1073))))</f>
        <v>20746.836093674072</v>
      </c>
      <c r="Y1073" s="18">
        <f>IF($A1073&gt;'1-Input'!$B$26,AA1072,(AA1072-MAX(0,W1056-IF($A1073&gt;='1-Input'!$C$12,'1-Input'!$B$12,0))+X1073*(1-'P-Parametri'!$B$6*W1073))*(1+'1-Input'!$B$27))</f>
        <v>34925.304782144136</v>
      </c>
      <c r="Z1073" s="18">
        <f>IF($A1073&gt;'1-Input'!$B$26,AB1072,(AB1072-X1073)*(1+'5-Roberta'!$C$4))</f>
        <v>230974.32457655168</v>
      </c>
      <c r="AA1073" s="18">
        <f>IF($A1073&gt;'1-Input'!$B$26,Y1073,Y1073-'P-Parametri'!$B$8*(Z1073+Y1073)+MIN(MAX(Z1073,0),'P-Parametri'!$B$8*(Z1073+Y1073)))</f>
        <v>34925.304782144136</v>
      </c>
      <c r="AB1073" s="18">
        <f>IF($A1073&gt;'1-Input'!$B$26,Z1073,Z1073-MIN(MAX(Z1073,0),'P-Parametri'!$B$8*(Z1073+Y1073)))</f>
        <v>230442.52531783428</v>
      </c>
      <c r="AC1073" s="18">
        <f>IF($A1073&gt;'1-Input'!$B$26,AC1072,AC1072-X1073*(1-W1073))</f>
        <v>95585.398825688128</v>
      </c>
      <c r="AD1073" s="11">
        <f>IF($A1073&gt;'1-Input'!$B$26,0,IF(AI1072&lt;=0,0,MAX(0,(AI1072-AJ1072)/AI1072)))</f>
        <v>0.57375054477744414</v>
      </c>
      <c r="AE1073" s="18">
        <f>IF($A1073&gt;'1-Input'!$B$26,0,(MAX(0,AD1056-IF($A1073&gt;='1-Input'!$C$12,'1-Input'!$B$12,0))-MIN(MAX(AH1072,0),MAX(0,AD1056-IF($A1073&gt;='1-Input'!$C$12,'1-Input'!$B$12,0))))*(1/(1-'P-Parametri'!$B$6*AD1073))+MIN(MAX(0,AI1072-(MAX(0,AD1056-IF($A1073&gt;='1-Input'!$C$12,'1-Input'!$B$12,0))-MIN(MAX(AH1072,0),MAX(0,AD1056-IF($A1073&gt;='1-Input'!$C$12,'1-Input'!$B$12,0))))*(1/(1-'P-Parametri'!$B$6*AD1073))),MAX(0,2*AD1056-(AH1072-MIN(MAX(AH1072,0),MAX(0,AD1056-IF($A1073&gt;='1-Input'!$C$12,'1-Input'!$B$12,0)))))*(1/(1-'P-Parametri'!$B$6*AD1073))))</f>
        <v>20736.148486879381</v>
      </c>
      <c r="AF1073" s="18">
        <f>IF($A1073&gt;'1-Input'!$B$26,AH1072,(AH1072-MAX(0,AD1056-IF($A1073&gt;='1-Input'!$C$12,'1-Input'!$B$12,0))+AE1073*(1-'P-Parametri'!$B$6*AD1073))*(1+'1-Input'!$B$27))</f>
        <v>34907.300256313618</v>
      </c>
      <c r="AG1073" s="18">
        <f>IF($A1073&gt;'1-Input'!$B$26,AI1072,(AI1072-AE1073)*(1+'5-Roberta'!$C$4))</f>
        <v>231198.0184884856</v>
      </c>
      <c r="AH1073" s="18">
        <f>IF($A1073&gt;'1-Input'!$B$26,AF1073,AF1073-'P-Parametri'!$B$8*(AG1073+AF1073)+MIN(MAX(AG1073,0),'P-Parametri'!$B$8*(AG1073+AF1073)))</f>
        <v>34907.300256313618</v>
      </c>
      <c r="AI1073" s="18">
        <f>IF($A1073&gt;'1-Input'!$B$26,AG1073,AG1073-MIN(MAX(AG1073,0),'P-Parametri'!$B$8*(AG1073+AF1073)))</f>
        <v>230665.807850996</v>
      </c>
      <c r="AJ1073" s="18">
        <f>IF($A1073&gt;'1-Input'!$B$26,AJ1072,AJ1072-AE1073*(1-AD1073))</f>
        <v>95677.698475001365</v>
      </c>
      <c r="AK1073" s="11">
        <f>IF($A1073&gt;'1-Input'!$B$26,0,IF(AP1072&lt;=0,0,MAX(0,(AP1072-AQ1072)/AP1072)))</f>
        <v>0.57375053935819664</v>
      </c>
      <c r="AL1073" s="18">
        <f>IF($A1073&gt;'1-Input'!$B$26,0,(MAX(0,AK1056-IF($A1073&gt;='1-Input'!$C$12,'1-Input'!$B$12,0))-MIN(MAX(AO1072,0),MAX(0,AK1056-IF($A1073&gt;='1-Input'!$C$12,'1-Input'!$B$12,0))))*(1/(1-'P-Parametri'!$B$6*AK1073))+MIN(MAX(0,AP1072-(MAX(0,AK1056-IF($A1073&gt;='1-Input'!$C$12,'1-Input'!$B$12,0))-MIN(MAX(AO1072,0),MAX(0,AK1056-IF($A1073&gt;='1-Input'!$C$12,'1-Input'!$B$12,0))))*(1/(1-'P-Parametri'!$B$6*AK1073))),MAX(0,2*AK1056-(AO1072-MIN(MAX(AO1072,0),MAX(0,AK1056-IF($A1073&gt;='1-Input'!$C$12,'1-Input'!$B$12,0)))))*(1/(1-'P-Parametri'!$B$6*AK1073))))</f>
        <v>20736.19615632265</v>
      </c>
      <c r="AM1073" s="18">
        <f>IF($A1073&gt;'1-Input'!$B$26,AO1072,(AO1072-MAX(0,AK1056-IF($A1073&gt;='1-Input'!$C$12,'1-Input'!$B$12,0))+AL1073*(1-'P-Parametri'!$B$6*AK1073))*(1+'1-Input'!$B$27))</f>
        <v>34907.38056101869</v>
      </c>
      <c r="AN1073" s="18">
        <f>IF($A1073&gt;'1-Input'!$B$26,AP1072,(AP1072-AL1073)*(1+'5-Roberta'!$C$4))</f>
        <v>231197.02075727802</v>
      </c>
      <c r="AO1073" s="18">
        <f>IF($A1073&gt;'1-Input'!$B$26,AM1073,AM1073-'P-Parametri'!$B$8*(AN1073+AM1073)+MIN(MAX(AN1073,0),'P-Parametri'!$B$8*(AN1073+AM1073)))</f>
        <v>34907.38056101869</v>
      </c>
      <c r="AP1073" s="18">
        <f>IF($A1073&gt;'1-Input'!$B$26,AN1073,AN1073-MIN(MAX(AN1073,0),'P-Parametri'!$B$8*(AN1073+AM1073)))</f>
        <v>230664.81195464142</v>
      </c>
      <c r="AQ1073" s="18">
        <f>IF($A1073&gt;'1-Input'!$B$26,AQ1072,AQ1072-AL1073*(1-AK1073))</f>
        <v>95677.286795904438</v>
      </c>
    </row>
    <row r="1074" spans="1:43">
      <c r="A1074" s="10">
        <f>16</f>
        <v>16</v>
      </c>
      <c r="B1074" s="11">
        <f>IF($A1074&gt;'1-Input'!$B$26,0,IF(G1073&lt;=0,0,MAX(0,(G1073-H1073)/G1073)))</f>
        <v>0.58533133691057793</v>
      </c>
      <c r="C1074" s="18">
        <f>IF($A1074&gt;'1-Input'!$B$26,0,(MAX(0,B1056-IF($A1074&gt;='1-Input'!$C$12,'1-Input'!$B$12,0))-MIN(MAX(F1073,0),MAX(0,B1056-IF($A1074&gt;='1-Input'!$C$12,'1-Input'!$B$12,0))))*(1/(1-'P-Parametri'!$B$6*B1074))+MIN(MAX(0,G1073-(MAX(0,B1056-IF($A1074&gt;='1-Input'!$C$12,'1-Input'!$B$12,0))-MIN(MAX(F1073,0),MAX(0,B1056-IF($A1074&gt;='1-Input'!$C$12,'1-Input'!$B$12,0))))*(1/(1-'P-Parametri'!$B$6*B1074))),MAX(0,2*B1056-(F1073-MIN(MAX(F1073,0),MAX(0,B1056-IF($A1074&gt;='1-Input'!$C$12,'1-Input'!$B$12,0)))))*(1/(1-'P-Parametri'!$B$6*B1074))))</f>
        <v>19817.037508016434</v>
      </c>
      <c r="D1074" s="18">
        <f>IF($A1074&gt;'1-Input'!$B$26,F1073,(F1073-MAX(0,B1056-IF($A1074&gt;='1-Input'!$C$12,'1-Input'!$B$12,0))+C1074*(1-'P-Parametri'!$B$6*B1074))*(1+'1-Input'!$B$27))</f>
        <v>33242.0070309863</v>
      </c>
      <c r="E1074" s="18">
        <f>IF($A1074&gt;'1-Input'!$B$26,G1073,(G1073-C1074)*(1+'5-Roberta'!$C$4))</f>
        <v>238446.2705210704</v>
      </c>
      <c r="F1074" s="18">
        <f>IF($A1074&gt;'1-Input'!$B$26,D1074,D1074-'P-Parametri'!$B$8*(E1074+D1074)+MIN(MAX(E1074,0),'P-Parametri'!$B$8*(E1074+D1074)))</f>
        <v>33242.0070309863</v>
      </c>
      <c r="G1074" s="18">
        <f>IF($A1074&gt;'1-Input'!$B$26,E1074,E1074-MIN(MAX(E1074,0),'P-Parametri'!$B$8*(E1074+D1074)))</f>
        <v>237902.8939659663</v>
      </c>
      <c r="H1074" s="18">
        <f>IF($A1074&gt;'1-Input'!$B$26,H1073,H1073-C1074*(1-B1074))</f>
        <v>95996.307005466922</v>
      </c>
      <c r="I1074" s="11">
        <f>IF($A1074&gt;'1-Input'!$B$26,0,IF(N1073&lt;=0,0,MAX(0,(N1073-O1073)/N1073)))</f>
        <v>0.58426035540276822</v>
      </c>
      <c r="J1074" s="18">
        <f>IF($A1074&gt;'1-Input'!$B$26,0,(MAX(0,I1056-IF($A1074&gt;='1-Input'!$C$12,'1-Input'!$B$12,0))-MIN(MAX(M1073,0),MAX(0,I1056-IF($A1074&gt;='1-Input'!$C$12,'1-Input'!$B$12,0))))*(1/(1-'P-Parametri'!$B$6*I1074))+MIN(MAX(0,N1073-(MAX(0,I1056-IF($A1074&gt;='1-Input'!$C$12,'1-Input'!$B$12,0))-MIN(MAX(M1073,0),MAX(0,I1056-IF($A1074&gt;='1-Input'!$C$12,'1-Input'!$B$12,0))))*(1/(1-'P-Parametri'!$B$6*I1074))),MAX(0,2*I1056-(M1073-MIN(MAX(M1073,0),MAX(0,I1056-IF($A1074&gt;='1-Input'!$C$12,'1-Input'!$B$12,0)))))*(1/(1-'P-Parametri'!$B$6*I1074))))</f>
        <v>26066.488099580085</v>
      </c>
      <c r="K1074" s="18">
        <f>IF($A1074&gt;'1-Input'!$B$26,M1073,(M1073-MAX(0,I1056-IF($A1074&gt;='1-Input'!$C$12,'1-Input'!$B$12,0))+J1074*(1-'P-Parametri'!$B$6*I1074))*(1+'1-Input'!$B$27))</f>
        <v>43739.482935508291</v>
      </c>
      <c r="L1074" s="18">
        <f>IF($A1074&gt;'1-Input'!$B$26,N1073,(N1073-J1074)*(1+'5-Roberta'!$C$4))</f>
        <v>97933.214213459767</v>
      </c>
      <c r="M1074" s="18">
        <f>IF($A1074&gt;'1-Input'!$B$26,K1074,K1074-'P-Parametri'!$B$8*(L1074+K1074)+MIN(MAX(L1074,0),'P-Parametri'!$B$8*(L1074+K1074)))</f>
        <v>43739.482935508291</v>
      </c>
      <c r="N1074" s="18">
        <f>IF($A1074&gt;'1-Input'!$B$26,L1074,L1074-MIN(MAX(L1074,0),'P-Parametri'!$B$8*(L1074+K1074)))</f>
        <v>97649.868819161828</v>
      </c>
      <c r="O1074" s="18">
        <f>IF($A1074&gt;'1-Input'!$B$26,O1073,O1073-J1074*(1-I1074))</f>
        <v>39528.854049872163</v>
      </c>
      <c r="P1074" s="11">
        <f>IF($A1074&gt;'1-Input'!$B$26,0,IF(U1073&lt;=0,0,MAX(0,(U1073-V1073)/U1073)))</f>
        <v>0.58519170643379781</v>
      </c>
      <c r="Q1074" s="18">
        <f>IF($A1074&gt;'1-Input'!$B$26,0,(MAX(0,P1056-IF($A1074&gt;='1-Input'!$C$12,'1-Input'!$B$12,0))-MIN(MAX(T1073,0),MAX(0,P1056-IF($A1074&gt;='1-Input'!$C$12,'1-Input'!$B$12,0))))*(1/(1-'P-Parametri'!$B$6*P1074))+MIN(MAX(0,U1073-(MAX(0,P1056-IF($A1074&gt;='1-Input'!$C$12,'1-Input'!$B$12,0))-MIN(MAX(T1073,0),MAX(0,P1056-IF($A1074&gt;='1-Input'!$C$12,'1-Input'!$B$12,0))))*(1/(1-'P-Parametri'!$B$6*P1074))),MAX(0,2*P1056-(T1073-MIN(MAX(T1073,0),MAX(0,P1056-IF($A1074&gt;='1-Input'!$C$12,'1-Input'!$B$12,0)))))*(1/(1-'P-Parametri'!$B$6*P1074))))</f>
        <v>20957.09044001744</v>
      </c>
      <c r="R1074" s="18">
        <f>IF($A1074&gt;'1-Input'!$B$26,T1073,(T1073-MAX(0,P1056-IF($A1074&gt;='1-Input'!$C$12,'1-Input'!$B$12,0))+Q1074*(1-'P-Parametri'!$B$6*P1074))*(1+'1-Input'!$B$27))</f>
        <v>35155.889406417155</v>
      </c>
      <c r="S1074" s="18">
        <f>IF($A1074&gt;'1-Input'!$B$26,U1073,(U1073-Q1074)*(1+'5-Roberta'!$C$4))</f>
        <v>212824.63107276193</v>
      </c>
      <c r="T1074" s="18">
        <f>IF($A1074&gt;'1-Input'!$B$26,R1074,R1074-'P-Parametri'!$B$8*(S1074+R1074)+MIN(MAX(S1074,0),'P-Parametri'!$B$8*(S1074+R1074)))</f>
        <v>35155.889406417155</v>
      </c>
      <c r="U1074" s="18">
        <f>IF($A1074&gt;'1-Input'!$B$26,S1074,S1074-MIN(MAX(S1074,0),'P-Parametri'!$B$8*(S1074+R1074)))</f>
        <v>212328.67003180357</v>
      </c>
      <c r="V1074" s="18">
        <f>IF($A1074&gt;'1-Input'!$B$26,V1073,V1073-Q1074*(1-P1074))</f>
        <v>85710.118489464963</v>
      </c>
      <c r="W1074" s="11">
        <f>IF($A1074&gt;'1-Input'!$B$26,0,IF(AB1073&lt;=0,0,MAX(0,(AB1073-AC1073)/AB1073)))</f>
        <v>0.58520937620409497</v>
      </c>
      <c r="X1074" s="18">
        <f>IF($A1074&gt;'1-Input'!$B$26,0,(MAX(0,W1056-IF($A1074&gt;='1-Input'!$C$12,'1-Input'!$B$12,0))-MIN(MAX(AA1073,0),MAX(0,W1056-IF($A1074&gt;='1-Input'!$C$12,'1-Input'!$B$12,0))))*(1/(1-'P-Parametri'!$B$6*W1074))+MIN(MAX(0,AB1073-(MAX(0,W1056-IF($A1074&gt;='1-Input'!$C$12,'1-Input'!$B$12,0))-MIN(MAX(AA1073,0),MAX(0,W1056-IF($A1074&gt;='1-Input'!$C$12,'1-Input'!$B$12,0))))*(1/(1-'P-Parametri'!$B$6*W1074))),MAX(0,2*W1056-(AA1073-MIN(MAX(AA1073,0),MAX(0,W1056-IF($A1074&gt;='1-Input'!$C$12,'1-Input'!$B$12,0)))))*(1/(1-'P-Parametri'!$B$6*W1074))))</f>
        <v>20819.747398727497</v>
      </c>
      <c r="Y1074" s="18">
        <f>IF($A1074&gt;'1-Input'!$B$26,AA1073,(AA1073-MAX(0,W1056-IF($A1074&gt;='1-Input'!$C$12,'1-Input'!$B$12,0))+X1074*(1-'P-Parametri'!$B$6*W1074))*(1+'1-Input'!$B$27))</f>
        <v>34925.304782144136</v>
      </c>
      <c r="Z1074" s="18">
        <f>IF($A1074&gt;'1-Input'!$B$26,AB1073,(AB1073-X1074)*(1+'5-Roberta'!$C$4))</f>
        <v>215911.46125668002</v>
      </c>
      <c r="AA1074" s="18">
        <f>IF($A1074&gt;'1-Input'!$B$26,Y1074,Y1074-'P-Parametri'!$B$8*(Z1074+Y1074)+MIN(MAX(Z1074,0),'P-Parametri'!$B$8*(Z1074+Y1074)))</f>
        <v>34925.304782144136</v>
      </c>
      <c r="AB1074" s="18">
        <f>IF($A1074&gt;'1-Input'!$B$26,Z1074,Z1074-MIN(MAX(Z1074,0),'P-Parametri'!$B$8*(Z1074+Y1074)))</f>
        <v>215409.78772460239</v>
      </c>
      <c r="AC1074" s="18">
        <f>IF($A1074&gt;'1-Input'!$B$26,AC1073,AC1073-X1074*(1-W1074))</f>
        <v>86949.562814896781</v>
      </c>
      <c r="AD1074" s="11">
        <f>IF($A1074&gt;'1-Input'!$B$26,0,IF(AI1073&lt;=0,0,MAX(0,(AI1073-AJ1073)/AI1073)))</f>
        <v>0.58521074550933616</v>
      </c>
      <c r="AE1074" s="18">
        <f>IF($A1074&gt;'1-Input'!$B$26,0,(MAX(0,AD1056-IF($A1074&gt;='1-Input'!$C$12,'1-Input'!$B$12,0))-MIN(MAX(AH1073,0),MAX(0,AD1056-IF($A1074&gt;='1-Input'!$C$12,'1-Input'!$B$12,0))))*(1/(1-'P-Parametri'!$B$6*AD1074))+MIN(MAX(0,AI1073-(MAX(0,AD1056-IF($A1074&gt;='1-Input'!$C$12,'1-Input'!$B$12,0))-MIN(MAX(AH1073,0),MAX(0,AD1056-IF($A1074&gt;='1-Input'!$C$12,'1-Input'!$B$12,0))))*(1/(1-'P-Parametri'!$B$6*AD1074))),MAX(0,2*AD1056-(AH1073-MIN(MAX(AH1073,0),MAX(0,AD1056-IF($A1074&gt;='1-Input'!$C$12,'1-Input'!$B$12,0)))))*(1/(1-'P-Parametri'!$B$6*AD1074))))</f>
        <v>20809.023240204267</v>
      </c>
      <c r="AF1074" s="18">
        <f>IF($A1074&gt;'1-Input'!$B$26,AH1073,(AH1073-MAX(0,AD1056-IF($A1074&gt;='1-Input'!$C$12,'1-Input'!$B$12,0))+AE1074*(1-'P-Parametri'!$B$6*AD1074))*(1+'1-Input'!$B$27))</f>
        <v>34907.300256313618</v>
      </c>
      <c r="AG1074" s="18">
        <f>IF($A1074&gt;'1-Input'!$B$26,AI1073,(AI1073-AE1074)*(1+'5-Roberta'!$C$4))</f>
        <v>216152.4881491155</v>
      </c>
      <c r="AH1074" s="18">
        <f>IF($A1074&gt;'1-Input'!$B$26,AF1074,AF1074-'P-Parametri'!$B$8*(AG1074+AF1074)+MIN(MAX(AG1074,0),'P-Parametri'!$B$8*(AG1074+AF1074)))</f>
        <v>34907.300256313618</v>
      </c>
      <c r="AI1074" s="18">
        <f>IF($A1074&gt;'1-Input'!$B$26,AG1074,AG1074-MIN(MAX(AG1074,0),'P-Parametri'!$B$8*(AG1074+AF1074)))</f>
        <v>215650.36857230464</v>
      </c>
      <c r="AJ1074" s="18">
        <f>IF($A1074&gt;'1-Input'!$B$26,AJ1073,AJ1073-AE1074*(1-AD1074))</f>
        <v>87046.339238518136</v>
      </c>
      <c r="AK1074" s="11">
        <f>IF($A1074&gt;'1-Input'!$B$26,0,IF(AP1073&lt;=0,0,MAX(0,(AP1073-AQ1073)/AP1073)))</f>
        <v>0.5852107394051993</v>
      </c>
      <c r="AL1074" s="18">
        <f>IF($A1074&gt;'1-Input'!$B$26,0,(MAX(0,AK1056-IF($A1074&gt;='1-Input'!$C$12,'1-Input'!$B$12,0))-MIN(MAX(AO1073,0),MAX(0,AK1056-IF($A1074&gt;='1-Input'!$C$12,'1-Input'!$B$12,0))))*(1/(1-'P-Parametri'!$B$6*AK1074))+MIN(MAX(0,AP1073-(MAX(0,AK1056-IF($A1074&gt;='1-Input'!$C$12,'1-Input'!$B$12,0))-MIN(MAX(AO1073,0),MAX(0,AK1056-IF($A1074&gt;='1-Input'!$C$12,'1-Input'!$B$12,0))))*(1/(1-'P-Parametri'!$B$6*AK1074))),MAX(0,2*AK1056-(AO1073-MIN(MAX(AO1073,0),MAX(0,AK1056-IF($A1074&gt;='1-Input'!$C$12,'1-Input'!$B$12,0)))))*(1/(1-'P-Parametri'!$B$6*AK1074))))</f>
        <v>20809.071072684594</v>
      </c>
      <c r="AM1074" s="18">
        <f>IF($A1074&gt;'1-Input'!$B$26,AO1073,(AO1073-MAX(0,AK1056-IF($A1074&gt;='1-Input'!$C$12,'1-Input'!$B$12,0))+AL1074*(1-'P-Parametri'!$B$6*AK1074))*(1+'1-Input'!$B$27))</f>
        <v>34907.380561018697</v>
      </c>
      <c r="AN1074" s="18">
        <f>IF($A1074&gt;'1-Input'!$B$26,AP1073,(AP1073-AL1074)*(1+'5-Roberta'!$C$4))</f>
        <v>216151.41310841552</v>
      </c>
      <c r="AO1074" s="18">
        <f>IF($A1074&gt;'1-Input'!$B$26,AM1074,AM1074-'P-Parametri'!$B$8*(AN1074+AM1074)+MIN(MAX(AN1074,0),'P-Parametri'!$B$8*(AN1074+AM1074)))</f>
        <v>34907.380561018697</v>
      </c>
      <c r="AP1074" s="18">
        <f>IF($A1074&gt;'1-Input'!$B$26,AN1074,AN1074-MIN(MAX(AN1074,0),'P-Parametri'!$B$8*(AN1074+AM1074)))</f>
        <v>215649.29552107665</v>
      </c>
      <c r="AQ1074" s="18">
        <f>IF($A1074&gt;'1-Input'!$B$26,AQ1073,AQ1073-AL1074*(1-AK1074))</f>
        <v>87045.907592000935</v>
      </c>
    </row>
    <row r="1075" spans="1:43">
      <c r="A1075" s="10">
        <f>17</f>
        <v>17</v>
      </c>
      <c r="B1075" s="11">
        <f>IF($A1075&gt;'1-Input'!$B$26,0,IF(G1074&lt;=0,0,MAX(0,(G1074-H1074)/G1074)))</f>
        <v>0.59648953652829517</v>
      </c>
      <c r="C1075" s="18">
        <f>IF($A1075&gt;'1-Input'!$B$26,0,(MAX(0,B1056-IF($A1075&gt;='1-Input'!$C$12,'1-Input'!$B$12,0))-MIN(MAX(F1074,0),MAX(0,B1056-IF($A1075&gt;='1-Input'!$C$12,'1-Input'!$B$12,0))))*(1/(1-'P-Parametri'!$B$6*B1075))+MIN(MAX(0,G1074-(MAX(0,B1056-IF($A1075&gt;='1-Input'!$C$12,'1-Input'!$B$12,0))-MIN(MAX(F1074,0),MAX(0,B1056-IF($A1075&gt;='1-Input'!$C$12,'1-Input'!$B$12,0))))*(1/(1-'P-Parametri'!$B$6*B1075))),MAX(0,2*B1056-(F1074-MIN(MAX(F1074,0),MAX(0,B1056-IF($A1075&gt;='1-Input'!$C$12,'1-Input'!$B$12,0)))))*(1/(1-'P-Parametri'!$B$6*B1075))))</f>
        <v>19885.082216416398</v>
      </c>
      <c r="D1075" s="18">
        <f>IF($A1075&gt;'1-Input'!$B$26,F1074,(F1074-MAX(0,B1056-IF($A1075&gt;='1-Input'!$C$12,'1-Input'!$B$12,0))+C1075*(1-'P-Parametri'!$B$6*B1075))*(1+'1-Input'!$B$27))</f>
        <v>33242.0070309863</v>
      </c>
      <c r="E1075" s="18">
        <f>IF($A1075&gt;'1-Input'!$B$26,G1074,(G1074-C1075)*(1+'5-Roberta'!$C$4))</f>
        <v>224558.34610203642</v>
      </c>
      <c r="F1075" s="18">
        <f>IF($A1075&gt;'1-Input'!$B$26,D1075,D1075-'P-Parametri'!$B$8*(E1075+D1075)+MIN(MAX(E1075,0),'P-Parametri'!$B$8*(E1075+D1075)))</f>
        <v>33242.0070309863</v>
      </c>
      <c r="G1075" s="18">
        <f>IF($A1075&gt;'1-Input'!$B$26,E1075,E1075-MIN(MAX(E1075,0),'P-Parametri'!$B$8*(E1075+D1075)))</f>
        <v>224042.74539577038</v>
      </c>
      <c r="H1075" s="18">
        <f>IF($A1075&gt;'1-Input'!$B$26,H1074,H1074-C1075*(1-B1075))</f>
        <v>87972.468264147785</v>
      </c>
      <c r="I1075" s="11">
        <f>IF($A1075&gt;'1-Input'!$B$26,0,IF(N1074&lt;=0,0,MAX(0,(N1074-O1074)/N1074)))</f>
        <v>0.59519808343956093</v>
      </c>
      <c r="J1075" s="18">
        <f>IF($A1075&gt;'1-Input'!$B$26,0,(MAX(0,I1056-IF($A1075&gt;='1-Input'!$C$12,'1-Input'!$B$12,0))-MIN(MAX(M1074,0),MAX(0,I1056-IF($A1075&gt;='1-Input'!$C$12,'1-Input'!$B$12,0))))*(1/(1-'P-Parametri'!$B$6*I1075))+MIN(MAX(0,N1074-(MAX(0,I1056-IF($A1075&gt;='1-Input'!$C$12,'1-Input'!$B$12,0))-MIN(MAX(M1074,0),MAX(0,I1056-IF($A1075&gt;='1-Input'!$C$12,'1-Input'!$B$12,0))))*(1/(1-'P-Parametri'!$B$6*I1075))),MAX(0,2*I1056-(M1074-MIN(MAX(M1074,0),MAX(0,I1056-IF($A1075&gt;='1-Input'!$C$12,'1-Input'!$B$12,0)))))*(1/(1-'P-Parametri'!$B$6*I1075))))</f>
        <v>26154.187895737708</v>
      </c>
      <c r="K1075" s="18">
        <f>IF($A1075&gt;'1-Input'!$B$26,M1074,(M1074-MAX(0,I1056-IF($A1075&gt;='1-Input'!$C$12,'1-Input'!$B$12,0))+J1075*(1-'P-Parametri'!$B$6*I1075))*(1+'1-Input'!$B$27))</f>
        <v>43739.482935508291</v>
      </c>
      <c r="L1075" s="18">
        <f>IF($A1075&gt;'1-Input'!$B$26,N1074,(N1074-J1075)*(1+'5-Roberta'!$C$4))</f>
        <v>73640.551351126851</v>
      </c>
      <c r="M1075" s="18">
        <f>IF($A1075&gt;'1-Input'!$B$26,K1075,K1075-'P-Parametri'!$B$8*(L1075+K1075)+MIN(MAX(L1075,0),'P-Parametri'!$B$8*(L1075+K1075)))</f>
        <v>43739.482935508291</v>
      </c>
      <c r="N1075" s="18">
        <f>IF($A1075&gt;'1-Input'!$B$26,L1075,L1075-MIN(MAX(L1075,0),'P-Parametri'!$B$8*(L1075+K1075)))</f>
        <v>73405.791282553575</v>
      </c>
      <c r="O1075" s="18">
        <f>IF($A1075&gt;'1-Input'!$B$26,O1074,O1074-J1075*(1-I1075))</f>
        <v>28941.588663595699</v>
      </c>
      <c r="P1075" s="11">
        <f>IF($A1075&gt;'1-Input'!$B$26,0,IF(U1074&lt;=0,0,MAX(0,(U1074-V1074)/U1074)))</f>
        <v>0.59633280575521475</v>
      </c>
      <c r="Q1075" s="18">
        <f>IF($A1075&gt;'1-Input'!$B$26,0,(MAX(0,P1056-IF($A1075&gt;='1-Input'!$C$12,'1-Input'!$B$12,0))-MIN(MAX(T1074,0),MAX(0,P1056-IF($A1075&gt;='1-Input'!$C$12,'1-Input'!$B$12,0))))*(1/(1-'P-Parametri'!$B$6*P1075))+MIN(MAX(0,U1074-(MAX(0,P1056-IF($A1075&gt;='1-Input'!$C$12,'1-Input'!$B$12,0))-MIN(MAX(T1074,0),MAX(0,P1056-IF($A1075&gt;='1-Input'!$C$12,'1-Input'!$B$12,0))))*(1/(1-'P-Parametri'!$B$6*P1075))),MAX(0,2*P1056-(T1074-MIN(MAX(T1074,0),MAX(0,P1056-IF($A1075&gt;='1-Input'!$C$12,'1-Input'!$B$12,0)))))*(1/(1-'P-Parametri'!$B$6*P1075))))</f>
        <v>21028.9359426398</v>
      </c>
      <c r="R1075" s="18">
        <f>IF($A1075&gt;'1-Input'!$B$26,T1074,(T1074-MAX(0,P1056-IF($A1075&gt;='1-Input'!$C$12,'1-Input'!$B$12,0))+Q1075*(1-'P-Parametri'!$B$6*P1075))*(1+'1-Input'!$B$27))</f>
        <v>35155.889406417155</v>
      </c>
      <c r="S1075" s="18">
        <f>IF($A1075&gt;'1-Input'!$B$26,U1074,(U1074-Q1075)*(1+'5-Roberta'!$C$4))</f>
        <v>197038.72611183868</v>
      </c>
      <c r="T1075" s="18">
        <f>IF($A1075&gt;'1-Input'!$B$26,R1075,R1075-'P-Parametri'!$B$8*(S1075+R1075)+MIN(MAX(S1075,0),'P-Parametri'!$B$8*(S1075+R1075)))</f>
        <v>35155.889406417155</v>
      </c>
      <c r="U1075" s="18">
        <f>IF($A1075&gt;'1-Input'!$B$26,S1075,S1075-MIN(MAX(S1075,0),'P-Parametri'!$B$8*(S1075+R1075)))</f>
        <v>196574.33688080218</v>
      </c>
      <c r="V1075" s="18">
        <f>IF($A1075&gt;'1-Input'!$B$26,V1074,V1074-Q1075*(1-P1075))</f>
        <v>77221.42691954624</v>
      </c>
      <c r="W1075" s="11">
        <f>IF($A1075&gt;'1-Input'!$B$26,0,IF(AB1074&lt;=0,0,MAX(0,(AB1074-AC1074)/AB1074)))</f>
        <v>0.59635277610476889</v>
      </c>
      <c r="X1075" s="18">
        <f>IF($A1075&gt;'1-Input'!$B$26,0,(MAX(0,W1056-IF($A1075&gt;='1-Input'!$C$12,'1-Input'!$B$12,0))-MIN(MAX(AA1074,0),MAX(0,W1056-IF($A1075&gt;='1-Input'!$C$12,'1-Input'!$B$12,0))))*(1/(1-'P-Parametri'!$B$6*W1075))+MIN(MAX(0,AB1074-(MAX(0,W1056-IF($A1075&gt;='1-Input'!$C$12,'1-Input'!$B$12,0))-MIN(MAX(AA1074,0),MAX(0,W1056-IF($A1075&gt;='1-Input'!$C$12,'1-Input'!$B$12,0))))*(1/(1-'P-Parametri'!$B$6*W1075))),MAX(0,2*W1056-(AA1074-MIN(MAX(AA1074,0),MAX(0,W1056-IF($A1075&gt;='1-Input'!$C$12,'1-Input'!$B$12,0)))))*(1/(1-'P-Parametri'!$B$6*W1075))))</f>
        <v>20891.137236472718</v>
      </c>
      <c r="Y1075" s="18">
        <f>IF($A1075&gt;'1-Input'!$B$26,AA1074,(AA1074-MAX(0,W1056-IF($A1075&gt;='1-Input'!$C$12,'1-Input'!$B$12,0))+X1075*(1-'P-Parametri'!$B$6*W1075))*(1+'1-Input'!$B$27))</f>
        <v>34925.304782144143</v>
      </c>
      <c r="Z1075" s="18">
        <f>IF($A1075&gt;'1-Input'!$B$26,AB1074,(AB1074-X1075)*(1+'5-Roberta'!$C$4))</f>
        <v>200354.21000277356</v>
      </c>
      <c r="AA1075" s="18">
        <f>IF($A1075&gt;'1-Input'!$B$26,Y1075,Y1075-'P-Parametri'!$B$8*(Z1075+Y1075)+MIN(MAX(Z1075,0),'P-Parametri'!$B$8*(Z1075+Y1075)))</f>
        <v>34925.304782144143</v>
      </c>
      <c r="AB1075" s="18">
        <f>IF($A1075&gt;'1-Input'!$B$26,Z1075,Z1075-MIN(MAX(Z1075,0),'P-Parametri'!$B$8*(Z1075+Y1075)))</f>
        <v>199883.65097320371</v>
      </c>
      <c r="AC1075" s="18">
        <f>IF($A1075&gt;'1-Input'!$B$26,AC1074,AC1074-X1075*(1-W1075))</f>
        <v>78516.913265380281</v>
      </c>
      <c r="AD1075" s="11">
        <f>IF($A1075&gt;'1-Input'!$B$26,0,IF(AI1074&lt;=0,0,MAX(0,(AI1074-AJ1074)/AI1074)))</f>
        <v>0.59635432197588534</v>
      </c>
      <c r="AE1075" s="18">
        <f>IF($A1075&gt;'1-Input'!$B$26,0,(MAX(0,AD1056-IF($A1075&gt;='1-Input'!$C$12,'1-Input'!$B$12,0))-MIN(MAX(AH1074,0),MAX(0,AD1056-IF($A1075&gt;='1-Input'!$C$12,'1-Input'!$B$12,0))))*(1/(1-'P-Parametri'!$B$6*AD1075))+MIN(MAX(0,AI1074-(MAX(0,AD1056-IF($A1075&gt;='1-Input'!$C$12,'1-Input'!$B$12,0))-MIN(MAX(AH1074,0),MAX(0,AD1056-IF($A1075&gt;='1-Input'!$C$12,'1-Input'!$B$12,0))))*(1/(1-'P-Parametri'!$B$6*AD1075))),MAX(0,2*AD1056-(AH1074-MIN(MAX(AH1074,0),MAX(0,AD1056-IF($A1075&gt;='1-Input'!$C$12,'1-Input'!$B$12,0)))))*(1/(1-'P-Parametri'!$B$6*AD1075))))</f>
        <v>20880.377469887117</v>
      </c>
      <c r="AF1075" s="18">
        <f>IF($A1075&gt;'1-Input'!$B$26,AH1074,(AH1074-MAX(0,AD1056-IF($A1075&gt;='1-Input'!$C$12,'1-Input'!$B$12,0))+AE1075*(1-'P-Parametri'!$B$6*AD1075))*(1+'1-Input'!$B$27))</f>
        <v>34907.300256313618</v>
      </c>
      <c r="AG1075" s="18">
        <f>IF($A1075&gt;'1-Input'!$B$26,AI1074,(AI1074-AE1075)*(1+'5-Roberta'!$C$4))</f>
        <v>200613.09083549006</v>
      </c>
      <c r="AH1075" s="18">
        <f>IF($A1075&gt;'1-Input'!$B$26,AF1075,AF1075-'P-Parametri'!$B$8*(AG1075+AF1075)+MIN(MAX(AG1075,0),'P-Parametri'!$B$8*(AG1075+AF1075)))</f>
        <v>34907.300256313618</v>
      </c>
      <c r="AI1075" s="18">
        <f>IF($A1075&gt;'1-Input'!$B$26,AG1075,AG1075-MIN(MAX(AG1075,0),'P-Parametri'!$B$8*(AG1075+AF1075)))</f>
        <v>200142.05005330645</v>
      </c>
      <c r="AJ1075" s="18">
        <f>IF($A1075&gt;'1-Input'!$B$26,AJ1074,AJ1074-AE1075*(1-AD1075))</f>
        <v>78618.065117286111</v>
      </c>
      <c r="AK1075" s="11">
        <f>IF($A1075&gt;'1-Input'!$B$26,0,IF(AP1074&lt;=0,0,MAX(0,(AP1074-AQ1074)/AP1074)))</f>
        <v>0.59635431508519143</v>
      </c>
      <c r="AL1075" s="18">
        <f>IF($A1075&gt;'1-Input'!$B$26,0,(MAX(0,AK1056-IF($A1075&gt;='1-Input'!$C$12,'1-Input'!$B$12,0))-MIN(MAX(AO1074,0),MAX(0,AK1056-IF($A1075&gt;='1-Input'!$C$12,'1-Input'!$B$12,0))))*(1/(1-'P-Parametri'!$B$6*AK1075))+MIN(MAX(0,AP1074-(MAX(0,AK1056-IF($A1075&gt;='1-Input'!$C$12,'1-Input'!$B$12,0))-MIN(MAX(AO1074,0),MAX(0,AK1056-IF($A1075&gt;='1-Input'!$C$12,'1-Input'!$B$12,0))))*(1/(1-'P-Parametri'!$B$6*AK1075))),MAX(0,2*AK1056-(AO1074-MIN(MAX(AO1074,0),MAX(0,AK1056-IF($A1075&gt;='1-Input'!$C$12,'1-Input'!$B$12,0)))))*(1/(1-'P-Parametri'!$B$6*AK1075))))</f>
        <v>20880.425461197443</v>
      </c>
      <c r="AM1075" s="18">
        <f>IF($A1075&gt;'1-Input'!$B$26,AO1074,(AO1074-MAX(0,AK1056-IF($A1075&gt;='1-Input'!$C$12,'1-Input'!$B$12,0))+AL1075*(1-'P-Parametri'!$B$6*AK1075))*(1+'1-Input'!$B$27))</f>
        <v>34907.38056101869</v>
      </c>
      <c r="AN1075" s="18">
        <f>IF($A1075&gt;'1-Input'!$B$26,AP1074,(AP1074-AL1075)*(1+'5-Roberta'!$C$4))</f>
        <v>200611.93616167558</v>
      </c>
      <c r="AO1075" s="18">
        <f>IF($A1075&gt;'1-Input'!$B$26,AM1075,AM1075-'P-Parametri'!$B$8*(AN1075+AM1075)+MIN(MAX(AN1075,0),'P-Parametri'!$B$8*(AN1075+AM1075)))</f>
        <v>34907.38056101869</v>
      </c>
      <c r="AP1075" s="18">
        <f>IF($A1075&gt;'1-Input'!$B$26,AN1075,AN1075-MIN(MAX(AN1075,0),'P-Parametri'!$B$8*(AN1075+AM1075)))</f>
        <v>200140.89752823018</v>
      </c>
      <c r="AQ1075" s="18">
        <f>IF($A1075&gt;'1-Input'!$B$26,AQ1074,AQ1074-AL1075*(1-AK1075))</f>
        <v>78617.613955403285</v>
      </c>
    </row>
    <row r="1076" spans="1:43">
      <c r="A1076" s="10">
        <f>18</f>
        <v>18</v>
      </c>
      <c r="B1076" s="11">
        <f>IF($A1076&gt;'1-Input'!$B$26,0,IF(G1075&lt;=0,0,MAX(0,(G1075-H1075)/G1075)))</f>
        <v>0.60734069693377102</v>
      </c>
      <c r="C1076" s="18">
        <f>IF($A1076&gt;'1-Input'!$B$26,0,(MAX(0,B1056-IF($A1076&gt;='1-Input'!$C$12,'1-Input'!$B$12,0))-MIN(MAX(F1075,0),MAX(0,B1056-IF($A1076&gt;='1-Input'!$C$12,'1-Input'!$B$12,0))))*(1/(1-'P-Parametri'!$B$6*B1076))+MIN(MAX(0,G1075-(MAX(0,B1056-IF($A1076&gt;='1-Input'!$C$12,'1-Input'!$B$12,0))-MIN(MAX(F1075,0),MAX(0,B1056-IF($A1076&gt;='1-Input'!$C$12,'1-Input'!$B$12,0))))*(1/(1-'P-Parametri'!$B$6*B1076))),MAX(0,2*B1056-(F1075-MIN(MAX(F1075,0),MAX(0,B1056-IF($A1076&gt;='1-Input'!$C$12,'1-Input'!$B$12,0)))))*(1/(1-'P-Parametri'!$B$6*B1076))))</f>
        <v>19951.704218632971</v>
      </c>
      <c r="D1076" s="18">
        <f>IF($A1076&gt;'1-Input'!$B$26,F1075,(F1075-MAX(0,B1056-IF($A1076&gt;='1-Input'!$C$12,'1-Input'!$B$12,0))+C1076*(1-'P-Parametri'!$B$6*B1076))*(1+'1-Input'!$B$27))</f>
        <v>33242.0070309863</v>
      </c>
      <c r="E1076" s="18">
        <f>IF($A1076&gt;'1-Input'!$B$26,G1075,(G1075-C1076)*(1+'5-Roberta'!$C$4))</f>
        <v>210213.77241245154</v>
      </c>
      <c r="F1076" s="18">
        <f>IF($A1076&gt;'1-Input'!$B$26,D1076,D1076-'P-Parametri'!$B$8*(E1076+D1076)+MIN(MAX(E1076,0),'P-Parametri'!$B$8*(E1076+D1076)))</f>
        <v>33242.0070309863</v>
      </c>
      <c r="G1076" s="18">
        <f>IF($A1076&gt;'1-Input'!$B$26,E1076,E1076-MIN(MAX(E1076,0),'P-Parametri'!$B$8*(E1076+D1076)))</f>
        <v>209726.86085356466</v>
      </c>
      <c r="H1076" s="18">
        <f>IF($A1076&gt;'1-Input'!$B$26,H1075,H1075-C1076*(1-B1076))</f>
        <v>80138.245990675816</v>
      </c>
      <c r="I1076" s="11">
        <f>IF($A1076&gt;'1-Input'!$B$26,0,IF(N1075&lt;=0,0,MAX(0,(N1075-O1075)/N1075)))</f>
        <v>0.60573153482953768</v>
      </c>
      <c r="J1076" s="18">
        <f>IF($A1076&gt;'1-Input'!$B$26,0,(MAX(0,I1056-IF($A1076&gt;='1-Input'!$C$12,'1-Input'!$B$12,0))-MIN(MAX(M1075,0),MAX(0,I1056-IF($A1076&gt;='1-Input'!$C$12,'1-Input'!$B$12,0))))*(1/(1-'P-Parametri'!$B$6*I1076))+MIN(MAX(0,N1075-(MAX(0,I1056-IF($A1076&gt;='1-Input'!$C$12,'1-Input'!$B$12,0))-MIN(MAX(M1075,0),MAX(0,I1056-IF($A1076&gt;='1-Input'!$C$12,'1-Input'!$B$12,0))))*(1/(1-'P-Parametri'!$B$6*I1076))),MAX(0,2*I1056-(M1075-MIN(MAX(M1075,0),MAX(0,I1056-IF($A1076&gt;='1-Input'!$C$12,'1-Input'!$B$12,0)))))*(1/(1-'P-Parametri'!$B$6*I1076))))</f>
        <v>26239.205785498958</v>
      </c>
      <c r="K1076" s="18">
        <f>IF($A1076&gt;'1-Input'!$B$26,M1075,(M1075-MAX(0,I1056-IF($A1076&gt;='1-Input'!$C$12,'1-Input'!$B$12,0))+J1076*(1-'P-Parametri'!$B$6*I1076))*(1+'1-Input'!$B$27))</f>
        <v>43739.482935508291</v>
      </c>
      <c r="L1076" s="18">
        <f>IF($A1076&gt;'1-Input'!$B$26,N1075,(N1075-J1076)*(1+'5-Roberta'!$C$4))</f>
        <v>48581.583061966259</v>
      </c>
      <c r="M1076" s="18">
        <f>IF($A1076&gt;'1-Input'!$B$26,K1076,K1076-'P-Parametri'!$B$8*(L1076+K1076)+MIN(MAX(L1076,0),'P-Parametri'!$B$8*(L1076+K1076)))</f>
        <v>43739.482935508291</v>
      </c>
      <c r="N1076" s="18">
        <f>IF($A1076&gt;'1-Input'!$B$26,L1076,L1076-MIN(MAX(L1076,0),'P-Parametri'!$B$8*(L1076+K1076)))</f>
        <v>48396.940929971308</v>
      </c>
      <c r="O1076" s="18">
        <f>IF($A1076&gt;'1-Input'!$B$26,O1075,O1075-J1076*(1-I1076))</f>
        <v>18596.297271255113</v>
      </c>
      <c r="P1076" s="11">
        <f>IF($A1076&gt;'1-Input'!$B$26,0,IF(U1075&lt;=0,0,MAX(0,(U1075-V1075)/U1075)))</f>
        <v>0.60716425071106095</v>
      </c>
      <c r="Q1076" s="18">
        <f>IF($A1076&gt;'1-Input'!$B$26,0,(MAX(0,P1056-IF($A1076&gt;='1-Input'!$C$12,'1-Input'!$B$12,0))-MIN(MAX(T1075,0),MAX(0,P1056-IF($A1076&gt;='1-Input'!$C$12,'1-Input'!$B$12,0))))*(1/(1-'P-Parametri'!$B$6*P1076))+MIN(MAX(0,U1075-(MAX(0,P1056-IF($A1076&gt;='1-Input'!$C$12,'1-Input'!$B$12,0))-MIN(MAX(T1075,0),MAX(0,P1056-IF($A1076&gt;='1-Input'!$C$12,'1-Input'!$B$12,0))))*(1/(1-'P-Parametri'!$B$6*P1076))),MAX(0,2*P1056-(T1075-MIN(MAX(T1075,0),MAX(0,P1056-IF($A1076&gt;='1-Input'!$C$12,'1-Input'!$B$12,0)))))*(1/(1-'P-Parametri'!$B$6*P1076))))</f>
        <v>21099.258416803717</v>
      </c>
      <c r="R1076" s="18">
        <f>IF($A1076&gt;'1-Input'!$B$26,T1075,(T1075-MAX(0,P1056-IF($A1076&gt;='1-Input'!$C$12,'1-Input'!$B$12,0))+Q1076*(1-'P-Parametri'!$B$6*P1076))*(1+'1-Input'!$B$27))</f>
        <v>35155.889406417155</v>
      </c>
      <c r="S1076" s="18">
        <f>IF($A1076&gt;'1-Input'!$B$26,U1075,(U1075-Q1076)*(1+'5-Roberta'!$C$4))</f>
        <v>180739.33081791841</v>
      </c>
      <c r="T1076" s="18">
        <f>IF($A1076&gt;'1-Input'!$B$26,R1076,R1076-'P-Parametri'!$B$8*(S1076+R1076)+MIN(MAX(S1076,0),'P-Parametri'!$B$8*(S1076+R1076)))</f>
        <v>35155.889406417155</v>
      </c>
      <c r="U1076" s="18">
        <f>IF($A1076&gt;'1-Input'!$B$26,S1076,S1076-MIN(MAX(S1076,0),'P-Parametri'!$B$8*(S1076+R1076)))</f>
        <v>180307.54037746973</v>
      </c>
      <c r="V1076" s="18">
        <f>IF($A1076&gt;'1-Input'!$B$26,V1075,V1075-Q1076*(1-P1076))</f>
        <v>68932.883929940203</v>
      </c>
      <c r="W1076" s="11">
        <f>IF($A1076&gt;'1-Input'!$B$26,0,IF(AB1075&lt;=0,0,MAX(0,(AB1075-AC1075)/AB1075)))</f>
        <v>0.60718691657325086</v>
      </c>
      <c r="X1076" s="18">
        <f>IF($A1076&gt;'1-Input'!$B$26,0,(MAX(0,W1056-IF($A1076&gt;='1-Input'!$C$12,'1-Input'!$B$12,0))-MIN(MAX(AA1075,0),MAX(0,W1056-IF($A1076&gt;='1-Input'!$C$12,'1-Input'!$B$12,0))))*(1/(1-'P-Parametri'!$B$6*W1076))+MIN(MAX(0,AB1075-(MAX(0,W1056-IF($A1076&gt;='1-Input'!$C$12,'1-Input'!$B$12,0))-MIN(MAX(AA1075,0),MAX(0,W1056-IF($A1076&gt;='1-Input'!$C$12,'1-Input'!$B$12,0))))*(1/(1-'P-Parametri'!$B$6*W1076))),MAX(0,2*W1056-(AA1075-MIN(MAX(AA1075,0),MAX(0,W1056-IF($A1076&gt;='1-Input'!$C$12,'1-Input'!$B$12,0)))))*(1/(1-'P-Parametri'!$B$6*W1076))))</f>
        <v>20961.01677531554</v>
      </c>
      <c r="Y1076" s="18">
        <f>IF($A1076&gt;'1-Input'!$B$26,AA1075,(AA1075-MAX(0,W1056-IF($A1076&gt;='1-Input'!$C$12,'1-Input'!$B$12,0))+X1076*(1-'P-Parametri'!$B$6*W1076))*(1+'1-Input'!$B$27))</f>
        <v>34925.304782144136</v>
      </c>
      <c r="Z1076" s="18">
        <f>IF($A1076&gt;'1-Input'!$B$26,AB1075,(AB1075-X1076)*(1+'5-Roberta'!$C$4))</f>
        <v>184290.31322382481</v>
      </c>
      <c r="AA1076" s="18">
        <f>IF($A1076&gt;'1-Input'!$B$26,Y1076,Y1076-'P-Parametri'!$B$8*(Z1076+Y1076)+MIN(MAX(Z1076,0),'P-Parametri'!$B$8*(Z1076+Y1076)))</f>
        <v>34925.304782144136</v>
      </c>
      <c r="AB1076" s="18">
        <f>IF($A1076&gt;'1-Input'!$B$26,Z1076,Z1076-MIN(MAX(Z1076,0),'P-Parametri'!$B$8*(Z1076+Y1076)))</f>
        <v>183851.88198781287</v>
      </c>
      <c r="AC1076" s="18">
        <f>IF($A1076&gt;'1-Input'!$B$26,AC1075,AC1075-X1076*(1-W1076))</f>
        <v>70283.15163410877</v>
      </c>
      <c r="AD1076" s="11">
        <f>IF($A1076&gt;'1-Input'!$B$26,0,IF(AI1075&lt;=0,0,MAX(0,(AI1075-AJ1075)/AI1075)))</f>
        <v>0.60718866876627509</v>
      </c>
      <c r="AE1076" s="18">
        <f>IF($A1076&gt;'1-Input'!$B$26,0,(MAX(0,AD1056-IF($A1076&gt;='1-Input'!$C$12,'1-Input'!$B$12,0))-MIN(MAX(AH1075,0),MAX(0,AD1056-IF($A1076&gt;='1-Input'!$C$12,'1-Input'!$B$12,0))))*(1/(1-'P-Parametri'!$B$6*AD1076))+MIN(MAX(0,AI1075-(MAX(0,AD1056-IF($A1076&gt;='1-Input'!$C$12,'1-Input'!$B$12,0))-MIN(MAX(AH1075,0),MAX(0,AD1056-IF($A1076&gt;='1-Input'!$C$12,'1-Input'!$B$12,0))))*(1/(1-'P-Parametri'!$B$6*AD1076))),MAX(0,2*AD1056-(AH1075-MIN(MAX(AH1075,0),MAX(0,AD1056-IF($A1076&gt;='1-Input'!$C$12,'1-Input'!$B$12,0)))))*(1/(1-'P-Parametri'!$B$6*AD1076))))</f>
        <v>20950.222385850513</v>
      </c>
      <c r="AF1076" s="18">
        <f>IF($A1076&gt;'1-Input'!$B$26,AH1075,(AH1075-MAX(0,AD1056-IF($A1076&gt;='1-Input'!$C$12,'1-Input'!$B$12,0))+AE1076*(1-'P-Parametri'!$B$6*AD1076))*(1+'1-Input'!$B$27))</f>
        <v>34907.300256313618</v>
      </c>
      <c r="AG1076" s="18">
        <f>IF($A1076&gt;'1-Input'!$B$26,AI1075,(AI1075-AE1076)*(1+'5-Roberta'!$C$4))</f>
        <v>184567.58249747963</v>
      </c>
      <c r="AH1076" s="18">
        <f>IF($A1076&gt;'1-Input'!$B$26,AF1076,AF1076-'P-Parametri'!$B$8*(AG1076+AF1076)+MIN(MAX(AG1076,0),'P-Parametri'!$B$8*(AG1076+AF1076)))</f>
        <v>34907.300256313618</v>
      </c>
      <c r="AI1076" s="18">
        <f>IF($A1076&gt;'1-Input'!$B$26,AG1076,AG1076-MIN(MAX(AG1076,0),'P-Parametri'!$B$8*(AG1076+AF1076)))</f>
        <v>184128.63273197203</v>
      </c>
      <c r="AJ1076" s="18">
        <f>IF($A1076&gt;'1-Input'!$B$26,AJ1075,AJ1075-AE1076*(1-AD1076))</f>
        <v>70388.58037225758</v>
      </c>
      <c r="AK1076" s="11">
        <f>IF($A1076&gt;'1-Input'!$B$26,0,IF(AP1075&lt;=0,0,MAX(0,(AP1075-AQ1075)/AP1075)))</f>
        <v>0.60718866095664359</v>
      </c>
      <c r="AL1076" s="18">
        <f>IF($A1076&gt;'1-Input'!$B$26,0,(MAX(0,AK1056-IF($A1076&gt;='1-Input'!$C$12,'1-Input'!$B$12,0))-MIN(MAX(AO1075,0),MAX(0,AK1056-IF($A1076&gt;='1-Input'!$C$12,'1-Input'!$B$12,0))))*(1/(1-'P-Parametri'!$B$6*AK1076))+MIN(MAX(0,AP1075-(MAX(0,AK1056-IF($A1076&gt;='1-Input'!$C$12,'1-Input'!$B$12,0))-MIN(MAX(AO1075,0),MAX(0,AK1056-IF($A1076&gt;='1-Input'!$C$12,'1-Input'!$B$12,0))))*(1/(1-'P-Parametri'!$B$6*AK1076))),MAX(0,2*AK1056-(AO1075-MIN(MAX(AO1075,0),MAX(0,AK1056-IF($A1076&gt;='1-Input'!$C$12,'1-Input'!$B$12,0)))))*(1/(1-'P-Parametri'!$B$6*AK1076))))</f>
        <v>20950.270531599443</v>
      </c>
      <c r="AM1076" s="18">
        <f>IF($A1076&gt;'1-Input'!$B$26,AO1075,(AO1075-MAX(0,AK1056-IF($A1076&gt;='1-Input'!$C$12,'1-Input'!$B$12,0))+AL1076*(1-'P-Parametri'!$B$6*AK1076))*(1+'1-Input'!$B$27))</f>
        <v>34907.38056101869</v>
      </c>
      <c r="AN1076" s="18">
        <f>IF($A1076&gt;'1-Input'!$B$26,AP1075,(AP1075-AL1076)*(1+'5-Roberta'!$C$4))</f>
        <v>184566.34580652966</v>
      </c>
      <c r="AO1076" s="18">
        <f>IF($A1076&gt;'1-Input'!$B$26,AM1076,AM1076-'P-Parametri'!$B$8*(AN1076+AM1076)+MIN(MAX(AN1076,0),'P-Parametri'!$B$8*(AN1076+AM1076)))</f>
        <v>34907.38056101869</v>
      </c>
      <c r="AP1076" s="18">
        <f>IF($A1076&gt;'1-Input'!$B$26,AN1076,AN1076-MIN(MAX(AN1076,0),'P-Parametri'!$B$8*(AN1076+AM1076)))</f>
        <v>184127.39835379456</v>
      </c>
      <c r="AQ1076" s="18">
        <f>IF($A1076&gt;'1-Input'!$B$26,AQ1075,AQ1075-AL1076*(1-AK1076))</f>
        <v>70388.11013456514</v>
      </c>
    </row>
    <row r="1077" spans="1:43">
      <c r="A1077" s="10">
        <f>19</f>
        <v>19</v>
      </c>
      <c r="B1077" s="11">
        <f>IF($A1077&gt;'1-Input'!$B$26,0,IF(G1076&lt;=0,0,MAX(0,(G1076-H1076)/G1076)))</f>
        <v>0.61789231162607305</v>
      </c>
      <c r="C1077" s="18">
        <f>IF($A1077&gt;'1-Input'!$B$26,0,(MAX(0,B1056-IF($A1077&gt;='1-Input'!$C$12,'1-Input'!$B$12,0))-MIN(MAX(F1076,0),MAX(0,B1056-IF($A1077&gt;='1-Input'!$C$12,'1-Input'!$B$12,0))))*(1/(1-'P-Parametri'!$B$6*B1077))+MIN(MAX(0,G1076-(MAX(0,B1056-IF($A1077&gt;='1-Input'!$C$12,'1-Input'!$B$12,0))-MIN(MAX(F1076,0),MAX(0,B1056-IF($A1077&gt;='1-Input'!$C$12,'1-Input'!$B$12,0))))*(1/(1-'P-Parametri'!$B$6*B1077))),MAX(0,2*B1056-(F1076-MIN(MAX(F1076,0),MAX(0,B1056-IF($A1077&gt;='1-Input'!$C$12,'1-Input'!$B$12,0)))))*(1/(1-'P-Parametri'!$B$6*B1077))))</f>
        <v>20016.916622621357</v>
      </c>
      <c r="D1077" s="18">
        <f>IF($A1077&gt;'1-Input'!$B$26,F1076,(F1076-MAX(0,B1056-IF($A1077&gt;='1-Input'!$C$12,'1-Input'!$B$12,0))+C1077*(1-'P-Parametri'!$B$6*B1077))*(1+'1-Input'!$B$27))</f>
        <v>33242.0070309863</v>
      </c>
      <c r="E1077" s="18">
        <f>IF($A1077&gt;'1-Input'!$B$26,G1076,(G1076-C1077)*(1+'5-Roberta'!$C$4))</f>
        <v>195401.24255787162</v>
      </c>
      <c r="F1077" s="18">
        <f>IF($A1077&gt;'1-Input'!$B$26,D1077,D1077-'P-Parametri'!$B$8*(E1077+D1077)+MIN(MAX(E1077,0),'P-Parametri'!$B$8*(E1077+D1077)))</f>
        <v>33242.0070309863</v>
      </c>
      <c r="G1077" s="18">
        <f>IF($A1077&gt;'1-Input'!$B$26,E1077,E1077-MIN(MAX(E1077,0),'P-Parametri'!$B$8*(E1077+D1077)))</f>
        <v>194943.9560586939</v>
      </c>
      <c r="H1077" s="18">
        <f>IF($A1077&gt;'1-Input'!$B$26,H1076,H1076-C1077*(1-B1077))</f>
        <v>72489.628251632341</v>
      </c>
      <c r="I1077" s="11">
        <f>IF($A1077&gt;'1-Input'!$B$26,0,IF(N1076&lt;=0,0,MAX(0,(N1076-O1076)/N1076)))</f>
        <v>0.6157546961870316</v>
      </c>
      <c r="J1077" s="18">
        <f>IF($A1077&gt;'1-Input'!$B$26,0,(MAX(0,I1056-IF($A1077&gt;='1-Input'!$C$12,'1-Input'!$B$12,0))-MIN(MAX(M1076,0),MAX(0,I1056-IF($A1077&gt;='1-Input'!$C$12,'1-Input'!$B$12,0))))*(1/(1-'P-Parametri'!$B$6*I1077))+MIN(MAX(0,N1076-(MAX(0,I1056-IF($A1077&gt;='1-Input'!$C$12,'1-Input'!$B$12,0))-MIN(MAX(M1076,0),MAX(0,I1056-IF($A1077&gt;='1-Input'!$C$12,'1-Input'!$B$12,0))))*(1/(1-'P-Parametri'!$B$6*I1077))),MAX(0,2*I1056-(M1076-MIN(MAX(M1076,0),MAX(0,I1056-IF($A1077&gt;='1-Input'!$C$12,'1-Input'!$B$12,0)))))*(1/(1-'P-Parametri'!$B$6*I1077))))</f>
        <v>26320.619809361378</v>
      </c>
      <c r="K1077" s="18">
        <f>IF($A1077&gt;'1-Input'!$B$26,M1076,(M1076-MAX(0,I1056-IF($A1077&gt;='1-Input'!$C$12,'1-Input'!$B$12,0))+J1077*(1-'P-Parametri'!$B$6*I1077))*(1+'1-Input'!$B$27))</f>
        <v>43739.482935508291</v>
      </c>
      <c r="L1077" s="18">
        <f>IF($A1077&gt;'1-Input'!$B$26,N1076,(N1076-J1077)*(1+'5-Roberta'!$C$4))</f>
        <v>22738.61075422823</v>
      </c>
      <c r="M1077" s="18">
        <f>IF($A1077&gt;'1-Input'!$B$26,K1077,K1077-'P-Parametri'!$B$8*(L1077+K1077)+MIN(MAX(L1077,0),'P-Parametri'!$B$8*(L1077+K1077)))</f>
        <v>43739.482935508291</v>
      </c>
      <c r="N1077" s="18">
        <f>IF($A1077&gt;'1-Input'!$B$26,L1077,L1077-MIN(MAX(L1077,0),'P-Parametri'!$B$8*(L1077+K1077)))</f>
        <v>22605.654566848756</v>
      </c>
      <c r="O1077" s="18">
        <f>IF($A1077&gt;'1-Input'!$B$26,O1076,O1076-J1077*(1-I1077))</f>
        <v>8482.7227160614148</v>
      </c>
      <c r="P1077" s="11">
        <f>IF($A1077&gt;'1-Input'!$B$26,0,IF(U1076&lt;=0,0,MAX(0,(U1076-V1076)/U1076)))</f>
        <v>0.61769272773822559</v>
      </c>
      <c r="Q1077" s="18">
        <f>IF($A1077&gt;'1-Input'!$B$26,0,(MAX(0,P1056-IF($A1077&gt;='1-Input'!$C$12,'1-Input'!$B$12,0))-MIN(MAX(T1076,0),MAX(0,P1056-IF($A1077&gt;='1-Input'!$C$12,'1-Input'!$B$12,0))))*(1/(1-'P-Parametri'!$B$6*P1077))+MIN(MAX(0,U1076-(MAX(0,P1056-IF($A1077&gt;='1-Input'!$C$12,'1-Input'!$B$12,0))-MIN(MAX(T1076,0),MAX(0,P1056-IF($A1077&gt;='1-Input'!$C$12,'1-Input'!$B$12,0))))*(1/(1-'P-Parametri'!$B$6*P1077))),MAX(0,2*P1056-(T1076-MIN(MAX(T1076,0),MAX(0,P1056-IF($A1077&gt;='1-Input'!$C$12,'1-Input'!$B$12,0)))))*(1/(1-'P-Parametri'!$B$6*P1077))))</f>
        <v>21168.066139549508</v>
      </c>
      <c r="R1077" s="18">
        <f>IF($A1077&gt;'1-Input'!$B$26,T1076,(T1076-MAX(0,P1056-IF($A1077&gt;='1-Input'!$C$12,'1-Input'!$B$12,0))+Q1077*(1-'P-Parametri'!$B$6*P1077))*(1+'1-Input'!$B$27))</f>
        <v>35155.889406417155</v>
      </c>
      <c r="S1077" s="18">
        <f>IF($A1077&gt;'1-Input'!$B$26,U1076,(U1076-Q1077)*(1+'5-Roberta'!$C$4))</f>
        <v>163913.65846505784</v>
      </c>
      <c r="T1077" s="18">
        <f>IF($A1077&gt;'1-Input'!$B$26,R1077,R1077-'P-Parametri'!$B$8*(S1077+R1077)+MIN(MAX(S1077,0),'P-Parametri'!$B$8*(S1077+R1077)))</f>
        <v>35155.889406417155</v>
      </c>
      <c r="U1077" s="18">
        <f>IF($A1077&gt;'1-Input'!$B$26,S1077,S1077-MIN(MAX(S1077,0),'P-Parametri'!$B$8*(S1077+R1077)))</f>
        <v>163515.51936931489</v>
      </c>
      <c r="V1077" s="18">
        <f>IF($A1077&gt;'1-Input'!$B$26,V1076,V1076-Q1077*(1-P1077))</f>
        <v>60840.178305072201</v>
      </c>
      <c r="W1077" s="11">
        <f>IF($A1077&gt;'1-Input'!$B$26,0,IF(AB1076&lt;=0,0,MAX(0,(AB1076-AC1076)/AB1076)))</f>
        <v>0.61771861743157086</v>
      </c>
      <c r="X1077" s="18">
        <f>IF($A1077&gt;'1-Input'!$B$26,0,(MAX(0,W1056-IF($A1077&gt;='1-Input'!$C$12,'1-Input'!$B$12,0))-MIN(MAX(AA1076,0),MAX(0,W1056-IF($A1077&gt;='1-Input'!$C$12,'1-Input'!$B$12,0))))*(1/(1-'P-Parametri'!$B$6*W1077))+MIN(MAX(0,AB1076-(MAX(0,W1056-IF($A1077&gt;='1-Input'!$C$12,'1-Input'!$B$12,0))-MIN(MAX(AA1076,0),MAX(0,W1056-IF($A1077&gt;='1-Input'!$C$12,'1-Input'!$B$12,0))))*(1/(1-'P-Parametri'!$B$6*W1077))),MAX(0,2*W1056-(AA1076-MIN(MAX(AA1076,0),MAX(0,W1056-IF($A1077&gt;='1-Input'!$C$12,'1-Input'!$B$12,0)))))*(1/(1-'P-Parametri'!$B$6*W1077))))</f>
        <v>21029.395151440262</v>
      </c>
      <c r="Y1077" s="18">
        <f>IF($A1077&gt;'1-Input'!$B$26,AA1076,(AA1076-MAX(0,W1056-IF($A1077&gt;='1-Input'!$C$12,'1-Input'!$B$12,0))+X1077*(1-'P-Parametri'!$B$6*W1077))*(1+'1-Input'!$B$27))</f>
        <v>34925.304782144136</v>
      </c>
      <c r="Z1077" s="18">
        <f>IF($A1077&gt;'1-Input'!$B$26,AB1076,(AB1076-X1077)*(1+'5-Roberta'!$C$4))</f>
        <v>167707.1614414638</v>
      </c>
      <c r="AA1077" s="18">
        <f>IF($A1077&gt;'1-Input'!$B$26,Y1077,Y1077-'P-Parametri'!$B$8*(Z1077+Y1077)+MIN(MAX(Z1077,0),'P-Parametri'!$B$8*(Z1077+Y1077)))</f>
        <v>34925.304782144136</v>
      </c>
      <c r="AB1077" s="18">
        <f>IF($A1077&gt;'1-Input'!$B$26,Z1077,Z1077-MIN(MAX(Z1077,0),'P-Parametri'!$B$8*(Z1077+Y1077)))</f>
        <v>167301.89650901657</v>
      </c>
      <c r="AC1077" s="18">
        <f>IF($A1077&gt;'1-Input'!$B$26,AC1076,AC1076-X1077*(1-W1077))</f>
        <v>62244.005381038369</v>
      </c>
      <c r="AD1077" s="11">
        <f>IF($A1077&gt;'1-Input'!$B$26,0,IF(AI1076&lt;=0,0,MAX(0,(AI1076-AJ1076)/AI1076)))</f>
        <v>0.61772061559421265</v>
      </c>
      <c r="AE1077" s="18">
        <f>IF($A1077&gt;'1-Input'!$B$26,0,(MAX(0,AD1056-IF($A1077&gt;='1-Input'!$C$12,'1-Input'!$B$12,0))-MIN(MAX(AH1076,0),MAX(0,AD1056-IF($A1077&gt;='1-Input'!$C$12,'1-Input'!$B$12,0))))*(1/(1-'P-Parametri'!$B$6*AD1077))+MIN(MAX(0,AI1076-(MAX(0,AD1056-IF($A1077&gt;='1-Input'!$C$12,'1-Input'!$B$12,0))-MIN(MAX(AH1076,0),MAX(0,AD1056-IF($A1077&gt;='1-Input'!$C$12,'1-Input'!$B$12,0))))*(1/(1-'P-Parametri'!$B$6*AD1077))),MAX(0,2*AD1056-(AH1076-MIN(MAX(AH1076,0),MAX(0,AD1056-IF($A1077&gt;='1-Input'!$C$12,'1-Input'!$B$12,0)))))*(1/(1-'P-Parametri'!$B$6*AD1077))))</f>
        <v>21018.567187320357</v>
      </c>
      <c r="AF1077" s="18">
        <f>IF($A1077&gt;'1-Input'!$B$26,AH1076,(AH1076-MAX(0,AD1056-IF($A1077&gt;='1-Input'!$C$12,'1-Input'!$B$12,0))+AE1077*(1-'P-Parametri'!$B$6*AD1077))*(1+'1-Input'!$B$27))</f>
        <v>34907.300256313618</v>
      </c>
      <c r="AG1077" s="18">
        <f>IF($A1077&gt;'1-Input'!$B$26,AI1076,(AI1076-AE1077)*(1+'5-Roberta'!$C$4))</f>
        <v>168003.36751099123</v>
      </c>
      <c r="AH1077" s="18">
        <f>IF($A1077&gt;'1-Input'!$B$26,AF1077,AF1077-'P-Parametri'!$B$8*(AG1077+AF1077)+MIN(MAX(AG1077,0),'P-Parametri'!$B$8*(AG1077+AF1077)))</f>
        <v>34907.300256313618</v>
      </c>
      <c r="AI1077" s="18">
        <f>IF($A1077&gt;'1-Input'!$B$26,AG1077,AG1077-MIN(MAX(AG1077,0),'P-Parametri'!$B$8*(AG1077+AF1077)))</f>
        <v>167597.54617545661</v>
      </c>
      <c r="AJ1077" s="18">
        <f>IF($A1077&gt;'1-Input'!$B$26,AJ1076,AJ1076-AE1077*(1-AD1077))</f>
        <v>62353.61544679707</v>
      </c>
      <c r="AK1077" s="11">
        <f>IF($A1077&gt;'1-Input'!$B$26,0,IF(AP1076&lt;=0,0,MAX(0,(AP1076-AQ1076)/AP1076)))</f>
        <v>0.61772060668930562</v>
      </c>
      <c r="AL1077" s="18">
        <f>IF($A1077&gt;'1-Input'!$B$26,0,(MAX(0,AK1056-IF($A1077&gt;='1-Input'!$C$12,'1-Input'!$B$12,0))-MIN(MAX(AO1076,0),MAX(0,AK1056-IF($A1077&gt;='1-Input'!$C$12,'1-Input'!$B$12,0))))*(1/(1-'P-Parametri'!$B$6*AK1077))+MIN(MAX(0,AP1076-(MAX(0,AK1056-IF($A1077&gt;='1-Input'!$C$12,'1-Input'!$B$12,0))-MIN(MAX(AO1076,0),MAX(0,AK1056-IF($A1077&gt;='1-Input'!$C$12,'1-Input'!$B$12,0))))*(1/(1-'P-Parametri'!$B$6*AK1077))),MAX(0,2*AK1056-(AO1076-MIN(MAX(AO1076,0),MAX(0,AK1056-IF($A1077&gt;='1-Input'!$C$12,'1-Input'!$B$12,0)))))*(1/(1-'P-Parametri'!$B$6*AK1077))))</f>
        <v>21018.615482836529</v>
      </c>
      <c r="AM1077" s="18">
        <f>IF($A1077&gt;'1-Input'!$B$26,AO1076,(AO1076-MAX(0,AK1056-IF($A1077&gt;='1-Input'!$C$12,'1-Input'!$B$12,0))+AL1077*(1-'P-Parametri'!$B$6*AK1077))*(1+'1-Input'!$B$27))</f>
        <v>34907.38056101869</v>
      </c>
      <c r="AN1077" s="18">
        <f>IF($A1077&gt;'1-Input'!$B$26,AP1076,(AP1076-AL1077)*(1+'5-Roberta'!$C$4))</f>
        <v>168002.04635708677</v>
      </c>
      <c r="AO1077" s="18">
        <f>IF($A1077&gt;'1-Input'!$B$26,AM1077,AM1077-'P-Parametri'!$B$8*(AN1077+AM1077)+MIN(MAX(AN1077,0),'P-Parametri'!$B$8*(AN1077+AM1077)))</f>
        <v>34907.38056101869</v>
      </c>
      <c r="AP1077" s="18">
        <f>IF($A1077&gt;'1-Input'!$B$26,AN1077,AN1077-MIN(MAX(AN1077,0),'P-Parametri'!$B$8*(AN1077+AM1077)))</f>
        <v>167596.22750325056</v>
      </c>
      <c r="AQ1077" s="18">
        <f>IF($A1077&gt;'1-Input'!$B$26,AQ1076,AQ1076-AL1077*(1-AK1077))</f>
        <v>62353.126559555625</v>
      </c>
    </row>
    <row r="1078" spans="1:43">
      <c r="A1078" s="10">
        <f>20</f>
        <v>20</v>
      </c>
      <c r="B1078" s="11">
        <f>IF($A1078&gt;'1-Input'!$B$26,0,IF(G1077&lt;=0,0,MAX(0,(G1077-H1077)/G1077)))</f>
        <v>0.62815144558876657</v>
      </c>
      <c r="C1078" s="18">
        <f>IF($A1078&gt;'1-Input'!$B$26,0,(MAX(0,B1056-IF($A1078&gt;='1-Input'!$C$12,'1-Input'!$B$12,0))-MIN(MAX(F1077,0),MAX(0,B1056-IF($A1078&gt;='1-Input'!$C$12,'1-Input'!$B$12,0))))*(1/(1-'P-Parametri'!$B$6*B1078))+MIN(MAX(0,G1077-(MAX(0,B1056-IF($A1078&gt;='1-Input'!$C$12,'1-Input'!$B$12,0))-MIN(MAX(F1077,0),MAX(0,B1056-IF($A1078&gt;='1-Input'!$C$12,'1-Input'!$B$12,0))))*(1/(1-'P-Parametri'!$B$6*B1078))),MAX(0,2*B1056-(F1077-MIN(MAX(F1077,0),MAX(0,B1056-IF($A1078&gt;='1-Input'!$C$12,'1-Input'!$B$12,0)))))*(1/(1-'P-Parametri'!$B$6*B1078))))</f>
        <v>20080.731438022201</v>
      </c>
      <c r="D1078" s="18">
        <f>IF($A1078&gt;'1-Input'!$B$26,F1077,(F1077-MAX(0,B1056-IF($A1078&gt;='1-Input'!$C$12,'1-Input'!$B$12,0))+C1078*(1-'P-Parametri'!$B$6*B1078))*(1+'1-Input'!$B$27))</f>
        <v>33242.0070309863</v>
      </c>
      <c r="E1078" s="18">
        <f>IF($A1078&gt;'1-Input'!$B$26,G1077,(G1077-C1078)*(1+'5-Roberta'!$C$4))</f>
        <v>180109.12135929186</v>
      </c>
      <c r="F1078" s="18">
        <f>IF($A1078&gt;'1-Input'!$B$26,D1078,D1078-'P-Parametri'!$B$8*(E1078+D1078)+MIN(MAX(E1078,0),'P-Parametri'!$B$8*(E1078+D1078)))</f>
        <v>33242.0070309863</v>
      </c>
      <c r="G1078" s="18">
        <f>IF($A1078&gt;'1-Input'!$B$26,E1078,E1078-MIN(MAX(E1078,0),'P-Parametri'!$B$8*(E1078+D1078)))</f>
        <v>179682.41910251131</v>
      </c>
      <c r="H1078" s="18">
        <f>IF($A1078&gt;'1-Input'!$B$26,H1077,H1077-C1078*(1-B1078))</f>
        <v>65022.637294883578</v>
      </c>
      <c r="I1078" s="11">
        <f>IF($A1078&gt;'1-Input'!$B$26,0,IF(N1077&lt;=0,0,MAX(0,(N1077-O1077)/N1077)))</f>
        <v>0.62475217468370292</v>
      </c>
      <c r="J1078" s="18">
        <f>IF($A1078&gt;'1-Input'!$B$26,0,(MAX(0,I1056-IF($A1078&gt;='1-Input'!$C$12,'1-Input'!$B$12,0))-MIN(MAX(M1077,0),MAX(0,I1056-IF($A1078&gt;='1-Input'!$C$12,'1-Input'!$B$12,0))))*(1/(1-'P-Parametri'!$B$6*I1078))+MIN(MAX(0,N1077-(MAX(0,I1056-IF($A1078&gt;='1-Input'!$C$12,'1-Input'!$B$12,0))-MIN(MAX(M1077,0),MAX(0,I1056-IF($A1078&gt;='1-Input'!$C$12,'1-Input'!$B$12,0))))*(1/(1-'P-Parametri'!$B$6*I1078))),MAX(0,2*I1056-(M1077-MIN(MAX(M1077,0),MAX(0,I1056-IF($A1078&gt;='1-Input'!$C$12,'1-Input'!$B$12,0)))))*(1/(1-'P-Parametri'!$B$6*I1078))))</f>
        <v>22605.654566848756</v>
      </c>
      <c r="K1078" s="18">
        <f>IF($A1078&gt;'1-Input'!$B$26,M1077,(M1077-MAX(0,I1056-IF($A1078&gt;='1-Input'!$C$12,'1-Input'!$B$12,0))+J1078*(1-'P-Parametri'!$B$6*I1078))*(1+'1-Input'!$B$27))</f>
        <v>40577.810322602039</v>
      </c>
      <c r="L1078" s="18">
        <f>IF($A1078&gt;'1-Input'!$B$26,N1077,(N1077-J1078)*(1+'5-Roberta'!$C$4))</f>
        <v>0</v>
      </c>
      <c r="M1078" s="18">
        <f>IF($A1078&gt;'1-Input'!$B$26,K1078,K1078-'P-Parametri'!$B$8*(L1078+K1078)+MIN(MAX(L1078,0),'P-Parametri'!$B$8*(L1078+K1078)))</f>
        <v>40496.654701956839</v>
      </c>
      <c r="N1078" s="18">
        <f>IF($A1078&gt;'1-Input'!$B$26,L1078,L1078-MIN(MAX(L1078,0),'P-Parametri'!$B$8*(L1078+K1078)))</f>
        <v>0</v>
      </c>
      <c r="O1078" s="18">
        <f>IF($A1078&gt;'1-Input'!$B$26,O1077,O1077-J1078*(1-I1078))</f>
        <v>0</v>
      </c>
      <c r="P1078" s="11">
        <f>IF($A1078&gt;'1-Input'!$B$26,0,IF(U1077&lt;=0,0,MAX(0,(U1077-V1077)/U1077)))</f>
        <v>0.62792413503173949</v>
      </c>
      <c r="Q1078" s="18">
        <f>IF($A1078&gt;'1-Input'!$B$26,0,(MAX(0,P1056-IF($A1078&gt;='1-Input'!$C$12,'1-Input'!$B$12,0))-MIN(MAX(T1077,0),MAX(0,P1056-IF($A1078&gt;='1-Input'!$C$12,'1-Input'!$B$12,0))))*(1/(1-'P-Parametri'!$B$6*P1078))+MIN(MAX(0,U1077-(MAX(0,P1056-IF($A1078&gt;='1-Input'!$C$12,'1-Input'!$B$12,0))-MIN(MAX(T1077,0),MAX(0,P1056-IF($A1078&gt;='1-Input'!$C$12,'1-Input'!$B$12,0))))*(1/(1-'P-Parametri'!$B$6*P1078))),MAX(0,2*P1056-(T1077-MIN(MAX(T1077,0),MAX(0,P1056-IF($A1078&gt;='1-Input'!$C$12,'1-Input'!$B$12,0)))))*(1/(1-'P-Parametri'!$B$6*P1078))))</f>
        <v>21235.363730377561</v>
      </c>
      <c r="R1078" s="18">
        <f>IF($A1078&gt;'1-Input'!$B$26,T1077,(T1077-MAX(0,P1056-IF($A1078&gt;='1-Input'!$C$12,'1-Input'!$B$12,0))+Q1078*(1-'P-Parametri'!$B$6*P1078))*(1+'1-Input'!$B$27))</f>
        <v>35155.889406417155</v>
      </c>
      <c r="S1078" s="18">
        <f>IF($A1078&gt;'1-Input'!$B$26,U1077,(U1077-Q1078)*(1+'5-Roberta'!$C$4))</f>
        <v>146548.56030810543</v>
      </c>
      <c r="T1078" s="18">
        <f>IF($A1078&gt;'1-Input'!$B$26,R1078,R1078-'P-Parametri'!$B$8*(S1078+R1078)+MIN(MAX(S1078,0),'P-Parametri'!$B$8*(S1078+R1078)))</f>
        <v>35155.889406417155</v>
      </c>
      <c r="U1078" s="18">
        <f>IF($A1078&gt;'1-Input'!$B$26,S1078,S1078-MIN(MAX(S1078,0),'P-Parametri'!$B$8*(S1078+R1078)))</f>
        <v>146185.15140867638</v>
      </c>
      <c r="V1078" s="18">
        <f>IF($A1078&gt;'1-Input'!$B$26,V1077,V1077-Q1078*(1-P1078))</f>
        <v>52939.011977176342</v>
      </c>
      <c r="W1078" s="11">
        <f>IF($A1078&gt;'1-Input'!$B$26,0,IF(AB1077&lt;=0,0,MAX(0,(AB1077-AC1077)/AB1077)))</f>
        <v>0.6279539761362849</v>
      </c>
      <c r="X1078" s="18">
        <f>IF($A1078&gt;'1-Input'!$B$26,0,(MAX(0,W1056-IF($A1078&gt;='1-Input'!$C$12,'1-Input'!$B$12,0))-MIN(MAX(AA1077,0),MAX(0,W1056-IF($A1078&gt;='1-Input'!$C$12,'1-Input'!$B$12,0))))*(1/(1-'P-Parametri'!$B$6*W1078))+MIN(MAX(0,AB1077-(MAX(0,W1056-IF($A1078&gt;='1-Input'!$C$12,'1-Input'!$B$12,0))-MIN(MAX(AA1077,0),MAX(0,W1056-IF($A1078&gt;='1-Input'!$C$12,'1-Input'!$B$12,0))))*(1/(1-'P-Parametri'!$B$6*W1078))),MAX(0,2*W1056-(AA1077-MIN(MAX(AA1077,0),MAX(0,W1056-IF($A1078&gt;='1-Input'!$C$12,'1-Input'!$B$12,0)))))*(1/(1-'P-Parametri'!$B$6*W1078))))</f>
        <v>21096.278319488181</v>
      </c>
      <c r="Y1078" s="18">
        <f>IF($A1078&gt;'1-Input'!$B$26,AA1077,(AA1077-MAX(0,W1056-IF($A1078&gt;='1-Input'!$C$12,'1-Input'!$B$12,0))+X1078*(1-'P-Parametri'!$B$6*W1078))*(1+'1-Input'!$B$27))</f>
        <v>34925.304782144143</v>
      </c>
      <c r="Z1078" s="18">
        <f>IF($A1078&gt;'1-Input'!$B$26,AB1077,(AB1077-X1078)*(1+'5-Roberta'!$C$4))</f>
        <v>150591.78673521423</v>
      </c>
      <c r="AA1078" s="18">
        <f>IF($A1078&gt;'1-Input'!$B$26,Y1078,Y1078-'P-Parametri'!$B$8*(Z1078+Y1078)+MIN(MAX(Z1078,0),'P-Parametri'!$B$8*(Z1078+Y1078)))</f>
        <v>34925.304782144143</v>
      </c>
      <c r="AB1078" s="18">
        <f>IF($A1078&gt;'1-Input'!$B$26,Z1078,Z1078-MIN(MAX(Z1078,0),'P-Parametri'!$B$8*(Z1078+Y1078)))</f>
        <v>150220.75255217953</v>
      </c>
      <c r="AC1078" s="18">
        <f>IF($A1078&gt;'1-Input'!$B$26,AC1077,AC1077-X1078*(1-W1078))</f>
        <v>54395.218913950492</v>
      </c>
      <c r="AD1078" s="11">
        <f>IF($A1078&gt;'1-Input'!$B$26,0,IF(AI1077&lt;=0,0,MAX(0,(AI1077-AJ1077)/AI1077)))</f>
        <v>0.62795627460130266</v>
      </c>
      <c r="AE1078" s="18">
        <f>IF($A1078&gt;'1-Input'!$B$26,0,(MAX(0,AD1056-IF($A1078&gt;='1-Input'!$C$12,'1-Input'!$B$12,0))-MIN(MAX(AH1077,0),MAX(0,AD1056-IF($A1078&gt;='1-Input'!$C$12,'1-Input'!$B$12,0))))*(1/(1-'P-Parametri'!$B$6*AD1078))+MIN(MAX(0,AI1077-(MAX(0,AD1056-IF($A1078&gt;='1-Input'!$C$12,'1-Input'!$B$12,0))-MIN(MAX(AH1077,0),MAX(0,AD1056-IF($A1078&gt;='1-Input'!$C$12,'1-Input'!$B$12,0))))*(1/(1-'P-Parametri'!$B$6*AD1078))),MAX(0,2*AD1056-(AH1077-MIN(MAX(AH1077,0),MAX(0,AD1056-IF($A1078&gt;='1-Input'!$C$12,'1-Input'!$B$12,0)))))*(1/(1-'P-Parametri'!$B$6*AD1078))))</f>
        <v>21085.417926519454</v>
      </c>
      <c r="AF1078" s="18">
        <f>IF($A1078&gt;'1-Input'!$B$26,AH1077,(AH1077-MAX(0,AD1056-IF($A1078&gt;='1-Input'!$C$12,'1-Input'!$B$12,0))+AE1078*(1-'P-Parametri'!$B$6*AD1078))*(1+'1-Input'!$B$27))</f>
        <v>34907.300256313618</v>
      </c>
      <c r="AG1078" s="18">
        <f>IF($A1078&gt;'1-Input'!$B$26,AI1077,(AI1077-AE1078)*(1+'5-Roberta'!$C$4))</f>
        <v>150907.49209640524</v>
      </c>
      <c r="AH1078" s="18">
        <f>IF($A1078&gt;'1-Input'!$B$26,AF1078,AF1078-'P-Parametri'!$B$8*(AG1078+AF1078)+MIN(MAX(AG1078,0),'P-Parametri'!$B$8*(AG1078+AF1078)))</f>
        <v>34907.300256313618</v>
      </c>
      <c r="AI1078" s="18">
        <f>IF($A1078&gt;'1-Input'!$B$26,AG1078,AG1078-MIN(MAX(AG1078,0),'P-Parametri'!$B$8*(AG1078+AF1078)))</f>
        <v>150535.86251169982</v>
      </c>
      <c r="AJ1078" s="18">
        <f>IF($A1078&gt;'1-Input'!$B$26,AJ1077,AJ1077-AE1078*(1-AD1078))</f>
        <v>54508.918009826295</v>
      </c>
      <c r="AK1078" s="11">
        <f>IF($A1078&gt;'1-Input'!$B$26,0,IF(AP1077&lt;=0,0,MAX(0,(AP1077-AQ1077)/AP1077)))</f>
        <v>0.62795626435955265</v>
      </c>
      <c r="AL1078" s="18">
        <f>IF($A1078&gt;'1-Input'!$B$26,0,(MAX(0,AK1056-IF($A1078&gt;='1-Input'!$C$12,'1-Input'!$B$12,0))-MIN(MAX(AO1077,0),MAX(0,AK1056-IF($A1078&gt;='1-Input'!$C$12,'1-Input'!$B$12,0))))*(1/(1-'P-Parametri'!$B$6*AK1078))+MIN(MAX(0,AP1077-(MAX(0,AK1056-IF($A1078&gt;='1-Input'!$C$12,'1-Input'!$B$12,0))-MIN(MAX(AO1077,0),MAX(0,AK1056-IF($A1078&gt;='1-Input'!$C$12,'1-Input'!$B$12,0))))*(1/(1-'P-Parametri'!$B$6*AK1078))),MAX(0,2*AK1056-(AO1077-MIN(MAX(AO1077,0),MAX(0,AK1056-IF($A1078&gt;='1-Input'!$C$12,'1-Input'!$B$12,0)))))*(1/(1-'P-Parametri'!$B$6*AK1078))))</f>
        <v>21085.466366698332</v>
      </c>
      <c r="AM1078" s="18">
        <f>IF($A1078&gt;'1-Input'!$B$26,AO1077,(AO1077-MAX(0,AK1056-IF($A1078&gt;='1-Input'!$C$12,'1-Input'!$B$12,0))+AL1078*(1-'P-Parametri'!$B$6*AK1078))*(1+'1-Input'!$B$27))</f>
        <v>34907.38056101869</v>
      </c>
      <c r="AN1078" s="18">
        <f>IF($A1078&gt;'1-Input'!$B$26,AP1077,(AP1077-AL1078)*(1+'5-Roberta'!$C$4))</f>
        <v>150906.08397064879</v>
      </c>
      <c r="AO1078" s="18">
        <f>IF($A1078&gt;'1-Input'!$B$26,AM1078,AM1078-'P-Parametri'!$B$8*(AN1078+AM1078)+MIN(MAX(AN1078,0),'P-Parametri'!$B$8*(AN1078+AM1078)))</f>
        <v>34907.38056101869</v>
      </c>
      <c r="AP1078" s="18">
        <f>IF($A1078&gt;'1-Input'!$B$26,AN1078,AN1078-MIN(MAX(AN1078,0),'P-Parametri'!$B$8*(AN1078+AM1078)))</f>
        <v>150534.45704158547</v>
      </c>
      <c r="AQ1078" s="18">
        <f>IF($A1078&gt;'1-Input'!$B$26,AQ1077,AQ1077-AL1078*(1-AK1078))</f>
        <v>54508.410884768164</v>
      </c>
    </row>
    <row r="1079" spans="1:43">
      <c r="A1079" s="10">
        <f>21</f>
        <v>21</v>
      </c>
      <c r="B1079" s="11">
        <f>IF($A1079&gt;'1-Input'!$B$26,0,IF(G1078&lt;=0,0,MAX(0,(G1078-H1078)/G1078)))</f>
        <v>0.63812465560257592</v>
      </c>
      <c r="C1079" s="18">
        <f>IF($A1079&gt;'1-Input'!$B$26,0,(MAX(0,B1056-IF($A1079&gt;='1-Input'!$C$12,'1-Input'!$B$12,0))-MIN(MAX(F1078,0),MAX(0,B1056-IF($A1079&gt;='1-Input'!$C$12,'1-Input'!$B$12,0))))*(1/(1-'P-Parametri'!$B$6*B1079))+MIN(MAX(0,G1078-(MAX(0,B1056-IF($A1079&gt;='1-Input'!$C$12,'1-Input'!$B$12,0))-MIN(MAX(F1078,0),MAX(0,B1056-IF($A1079&gt;='1-Input'!$C$12,'1-Input'!$B$12,0))))*(1/(1-'P-Parametri'!$B$6*B1079))),MAX(0,2*B1056-(F1078-MIN(MAX(F1078,0),MAX(0,B1056-IF($A1079&gt;='1-Input'!$C$12,'1-Input'!$B$12,0)))))*(1/(1-'P-Parametri'!$B$6*B1079))))</f>
        <v>20143.158972176865</v>
      </c>
      <c r="D1079" s="18">
        <f>IF($A1079&gt;'1-Input'!$B$26,F1078,(F1078-MAX(0,B1056-IF($A1079&gt;='1-Input'!$C$12,'1-Input'!$B$12,0))+C1079*(1-'P-Parametri'!$B$6*B1079))*(1+'1-Input'!$B$27))</f>
        <v>33242.0070309863</v>
      </c>
      <c r="E1079" s="18">
        <f>IF($A1079&gt;'1-Input'!$B$26,G1078,(G1078-C1079)*(1+'5-Roberta'!$C$4))</f>
        <v>164325.43793424449</v>
      </c>
      <c r="F1079" s="18">
        <f>IF($A1079&gt;'1-Input'!$B$26,D1079,D1079-'P-Parametri'!$B$8*(E1079+D1079)+MIN(MAX(E1079,0),'P-Parametri'!$B$8*(E1079+D1079)))</f>
        <v>33242.0070309863</v>
      </c>
      <c r="G1079" s="18">
        <f>IF($A1079&gt;'1-Input'!$B$26,E1079,E1079-MIN(MAX(E1079,0),'P-Parametri'!$B$8*(E1079+D1079)))</f>
        <v>163930.30304431403</v>
      </c>
      <c r="H1079" s="18">
        <f>IF($A1079&gt;'1-Input'!$B$26,H1078,H1078-C1079*(1-B1079))</f>
        <v>57733.32470457501</v>
      </c>
      <c r="I1079" s="11">
        <f>IF($A1079&gt;'1-Input'!$B$26,0,IF(N1078&lt;=0,0,MAX(0,(N1078-O1078)/N1078)))</f>
        <v>0</v>
      </c>
      <c r="J1079" s="18">
        <f>IF($A1079&gt;'1-Input'!$B$26,0,(MAX(0,I1056-IF($A1079&gt;='1-Input'!$C$12,'1-Input'!$B$12,0))-MIN(MAX(M1078,0),MAX(0,I1056-IF($A1079&gt;='1-Input'!$C$12,'1-Input'!$B$12,0))))*(1/(1-'P-Parametri'!$B$6*I1079))+MIN(MAX(0,N1078-(MAX(0,I1056-IF($A1079&gt;='1-Input'!$C$12,'1-Input'!$B$12,0))-MIN(MAX(M1078,0),MAX(0,I1056-IF($A1079&gt;='1-Input'!$C$12,'1-Input'!$B$12,0))))*(1/(1-'P-Parametri'!$B$6*I1079))),MAX(0,2*I1056-(M1078-MIN(MAX(M1078,0),MAX(0,I1056-IF($A1079&gt;='1-Input'!$C$12,'1-Input'!$B$12,0)))))*(1/(1-'P-Parametri'!$B$6*I1079))))</f>
        <v>0</v>
      </c>
      <c r="K1079" s="18">
        <f>IF($A1079&gt;'1-Input'!$B$26,M1078,(M1078-MAX(0,I1056-IF($A1079&gt;='1-Input'!$C$12,'1-Input'!$B$12,0))+J1079*(1-'P-Parametri'!$B$6*I1079))*(1+'1-Input'!$B$27))</f>
        <v>18481.125277275645</v>
      </c>
      <c r="L1079" s="18">
        <f>IF($A1079&gt;'1-Input'!$B$26,N1078,(N1078-J1079)*(1+'5-Roberta'!$C$4))</f>
        <v>0</v>
      </c>
      <c r="M1079" s="18">
        <f>IF($A1079&gt;'1-Input'!$B$26,K1079,K1079-'P-Parametri'!$B$8*(L1079+K1079)+MIN(MAX(L1079,0),'P-Parametri'!$B$8*(L1079+K1079)))</f>
        <v>18444.163026721093</v>
      </c>
      <c r="N1079" s="18">
        <f>IF($A1079&gt;'1-Input'!$B$26,L1079,L1079-MIN(MAX(L1079,0),'P-Parametri'!$B$8*(L1079+K1079)))</f>
        <v>0</v>
      </c>
      <c r="O1079" s="18">
        <f>IF($A1079&gt;'1-Input'!$B$26,O1078,O1078-J1079*(1-I1079))</f>
        <v>0</v>
      </c>
      <c r="P1079" s="11">
        <f>IF($A1079&gt;'1-Input'!$B$26,0,IF(U1078&lt;=0,0,MAX(0,(U1078-V1078)/U1078)))</f>
        <v>0.63786327498351991</v>
      </c>
      <c r="Q1079" s="18">
        <f>IF($A1079&gt;'1-Input'!$B$26,0,(MAX(0,P1056-IF($A1079&gt;='1-Input'!$C$12,'1-Input'!$B$12,0))-MIN(MAX(T1078,0),MAX(0,P1056-IF($A1079&gt;='1-Input'!$C$12,'1-Input'!$B$12,0))))*(1/(1-'P-Parametri'!$B$6*P1079))+MIN(MAX(0,U1078-(MAX(0,P1056-IF($A1079&gt;='1-Input'!$C$12,'1-Input'!$B$12,0))-MIN(MAX(T1078,0),MAX(0,P1056-IF($A1079&gt;='1-Input'!$C$12,'1-Input'!$B$12,0))))*(1/(1-'P-Parametri'!$B$6*P1079))),MAX(0,2*P1056-(T1078-MIN(MAX(T1078,0),MAX(0,P1056-IF($A1079&gt;='1-Input'!$C$12,'1-Input'!$B$12,0)))))*(1/(1-'P-Parametri'!$B$6*P1079))))</f>
        <v>21301.149932518903</v>
      </c>
      <c r="R1079" s="18">
        <f>IF($A1079&gt;'1-Input'!$B$26,T1078,(T1078-MAX(0,P1056-IF($A1079&gt;='1-Input'!$C$12,'1-Input'!$B$12,0))+Q1079*(1-'P-Parametri'!$B$6*P1079))*(1+'1-Input'!$B$27))</f>
        <v>35155.889406417155</v>
      </c>
      <c r="S1079" s="18">
        <f>IF($A1079&gt;'1-Input'!$B$26,U1078,(U1078-Q1079)*(1+'5-Roberta'!$C$4))</f>
        <v>128630.5215204422</v>
      </c>
      <c r="T1079" s="18">
        <f>IF($A1079&gt;'1-Input'!$B$26,R1079,R1079-'P-Parametri'!$B$8*(S1079+R1079)+MIN(MAX(S1079,0),'P-Parametri'!$B$8*(S1079+R1079)))</f>
        <v>35155.889406417155</v>
      </c>
      <c r="U1079" s="18">
        <f>IF($A1079&gt;'1-Input'!$B$26,S1079,S1079-MIN(MAX(S1079,0),'P-Parametri'!$B$8*(S1079+R1079)))</f>
        <v>128302.94869858849</v>
      </c>
      <c r="V1079" s="18">
        <f>IF($A1079&gt;'1-Input'!$B$26,V1078,V1078-Q1079*(1-P1079))</f>
        <v>45225.083301528932</v>
      </c>
      <c r="W1079" s="11">
        <f>IF($A1079&gt;'1-Input'!$B$26,0,IF(AB1078&lt;=0,0,MAX(0,(AB1078-AC1078)/AB1078)))</f>
        <v>0.63789810668764835</v>
      </c>
      <c r="X1079" s="18">
        <f>IF($A1079&gt;'1-Input'!$B$26,0,(MAX(0,W1056-IF($A1079&gt;='1-Input'!$C$12,'1-Input'!$B$12,0))-MIN(MAX(AA1078,0),MAX(0,W1056-IF($A1079&gt;='1-Input'!$C$12,'1-Input'!$B$12,0))))*(1/(1-'P-Parametri'!$B$6*W1079))+MIN(MAX(0,AB1078-(MAX(0,W1056-IF($A1079&gt;='1-Input'!$C$12,'1-Input'!$B$12,0))-MIN(MAX(AA1078,0),MAX(0,W1056-IF($A1079&gt;='1-Input'!$C$12,'1-Input'!$B$12,0))))*(1/(1-'P-Parametri'!$B$6*W1079))),MAX(0,2*W1056-(AA1078-MIN(MAX(AA1078,0),MAX(0,W1056-IF($A1079&gt;='1-Input'!$C$12,'1-Input'!$B$12,0)))))*(1/(1-'P-Parametri'!$B$6*W1079))))</f>
        <v>21161.667167134023</v>
      </c>
      <c r="Y1079" s="18">
        <f>IF($A1079&gt;'1-Input'!$B$26,AA1078,(AA1078-MAX(0,W1056-IF($A1079&gt;='1-Input'!$C$12,'1-Input'!$B$12,0))+X1079*(1-'P-Parametri'!$B$6*W1079))*(1+'1-Input'!$B$27))</f>
        <v>34925.304782144136</v>
      </c>
      <c r="Z1079" s="18">
        <f>IF($A1079&gt;'1-Input'!$B$26,AB1078,(AB1078-X1079)*(1+'5-Roberta'!$C$4))</f>
        <v>132930.85794659687</v>
      </c>
      <c r="AA1079" s="18">
        <f>IF($A1079&gt;'1-Input'!$B$26,Y1079,Y1079-'P-Parametri'!$B$8*(Z1079+Y1079)+MIN(MAX(Z1079,0),'P-Parametri'!$B$8*(Z1079+Y1079)))</f>
        <v>34925.304782144136</v>
      </c>
      <c r="AB1079" s="18">
        <f>IF($A1079&gt;'1-Input'!$B$26,Z1079,Z1079-MIN(MAX(Z1079,0),'P-Parametri'!$B$8*(Z1079+Y1079)))</f>
        <v>132595.14562113938</v>
      </c>
      <c r="AC1079" s="18">
        <f>IF($A1079&gt;'1-Input'!$B$26,AC1078,AC1078-X1079*(1-W1079))</f>
        <v>46732.53916708543</v>
      </c>
      <c r="AD1079" s="11">
        <f>IF($A1079&gt;'1-Input'!$B$26,0,IF(AI1078&lt;=0,0,MAX(0,(AI1078-AJ1078)/AI1078)))</f>
        <v>0.63790078257538263</v>
      </c>
      <c r="AE1079" s="18">
        <f>IF($A1079&gt;'1-Input'!$B$26,0,(MAX(0,AD1056-IF($A1079&gt;='1-Input'!$C$12,'1-Input'!$B$12,0))-MIN(MAX(AH1078,0),MAX(0,AD1056-IF($A1079&gt;='1-Input'!$C$12,'1-Input'!$B$12,0))))*(1/(1-'P-Parametri'!$B$6*AD1079))+MIN(MAX(0,AI1078-(MAX(0,AD1056-IF($A1079&gt;='1-Input'!$C$12,'1-Input'!$B$12,0))-MIN(MAX(AH1078,0),MAX(0,AD1056-IF($A1079&gt;='1-Input'!$C$12,'1-Input'!$B$12,0))))*(1/(1-'P-Parametri'!$B$6*AD1079))),MAX(0,2*AD1056-(AH1078-MIN(MAX(AH1078,0),MAX(0,AD1056-IF($A1079&gt;='1-Input'!$C$12,'1-Input'!$B$12,0)))))*(1/(1-'P-Parametri'!$B$6*AD1079))))</f>
        <v>21150.775646921098</v>
      </c>
      <c r="AF1079" s="18">
        <f>IF($A1079&gt;'1-Input'!$B$26,AH1078,(AH1078-MAX(0,AD1056-IF($A1079&gt;='1-Input'!$C$12,'1-Input'!$B$12,0))+AE1079*(1-'P-Parametri'!$B$6*AD1079))*(1+'1-Input'!$B$27))</f>
        <v>34907.300256313618</v>
      </c>
      <c r="AG1079" s="18">
        <f>IF($A1079&gt;'1-Input'!$B$26,AI1078,(AI1078-AE1079)*(1+'5-Roberta'!$C$4))</f>
        <v>133266.63947072209</v>
      </c>
      <c r="AH1079" s="18">
        <f>IF($A1079&gt;'1-Input'!$B$26,AF1079,AF1079-'P-Parametri'!$B$8*(AG1079+AF1079)+MIN(MAX(AG1079,0),'P-Parametri'!$B$8*(AG1079+AF1079)))</f>
        <v>34907.300256313618</v>
      </c>
      <c r="AI1079" s="18">
        <f>IF($A1079&gt;'1-Input'!$B$26,AG1079,AG1079-MIN(MAX(AG1079,0),'P-Parametri'!$B$8*(AG1079+AF1079)))</f>
        <v>132930.29159126803</v>
      </c>
      <c r="AJ1079" s="18">
        <f>IF($A1079&gt;'1-Input'!$B$26,AJ1078,AJ1078-AE1079*(1-AD1079))</f>
        <v>46850.238700152513</v>
      </c>
      <c r="AK1079" s="11">
        <f>IF($A1079&gt;'1-Input'!$B$26,0,IF(AP1078&lt;=0,0,MAX(0,(AP1078-AQ1078)/AP1078)))</f>
        <v>0.63790077065405637</v>
      </c>
      <c r="AL1079" s="18">
        <f>IF($A1079&gt;'1-Input'!$B$26,0,(MAX(0,AK1056-IF($A1079&gt;='1-Input'!$C$12,'1-Input'!$B$12,0))-MIN(MAX(AO1078,0),MAX(0,AK1056-IF($A1079&gt;='1-Input'!$C$12,'1-Input'!$B$12,0))))*(1/(1-'P-Parametri'!$B$6*AK1079))+MIN(MAX(0,AP1078-(MAX(0,AK1056-IF($A1079&gt;='1-Input'!$C$12,'1-Input'!$B$12,0))-MIN(MAX(AO1078,0),MAX(0,AK1056-IF($A1079&gt;='1-Input'!$C$12,'1-Input'!$B$12,0))))*(1/(1-'P-Parametri'!$B$6*AK1079))),MAX(0,2*AK1056-(AO1078-MIN(MAX(AO1078,0),MAX(0,AK1056-IF($A1079&gt;='1-Input'!$C$12,'1-Input'!$B$12,0)))))*(1/(1-'P-Parametri'!$B$6*AK1079))))</f>
        <v>21150.824225966811</v>
      </c>
      <c r="AM1079" s="18">
        <f>IF($A1079&gt;'1-Input'!$B$26,AO1078,(AO1078-MAX(0,AK1056-IF($A1079&gt;='1-Input'!$C$12,'1-Input'!$B$12,0))+AL1079*(1-'P-Parametri'!$B$6*AK1079))*(1+'1-Input'!$B$27))</f>
        <v>34907.38056101869</v>
      </c>
      <c r="AN1079" s="18">
        <f>IF($A1079&gt;'1-Input'!$B$26,AP1078,(AP1078-AL1079)*(1+'5-Roberta'!$C$4))</f>
        <v>133265.14180008721</v>
      </c>
      <c r="AO1079" s="18">
        <f>IF($A1079&gt;'1-Input'!$B$26,AM1079,AM1079-'P-Parametri'!$B$8*(AN1079+AM1079)+MIN(MAX(AN1079,0),'P-Parametri'!$B$8*(AN1079+AM1079)))</f>
        <v>34907.38056101869</v>
      </c>
      <c r="AP1079" s="18">
        <f>IF($A1079&gt;'1-Input'!$B$26,AN1079,AN1079-MIN(MAX(AN1079,0),'P-Parametri'!$B$8*(AN1079+AM1079)))</f>
        <v>132928.79675536501</v>
      </c>
      <c r="AQ1079" s="18">
        <f>IF($A1079&gt;'1-Input'!$B$26,AQ1078,AQ1078-AL1079*(1-AK1079))</f>
        <v>46849.713732514065</v>
      </c>
    </row>
    <row r="1080" spans="1:43">
      <c r="A1080" s="10">
        <f>22</f>
        <v>22</v>
      </c>
      <c r="B1080" s="11">
        <f>IF($A1080&gt;'1-Input'!$B$26,0,IF(G1079&lt;=0,0,MAX(0,(G1079-H1079)/G1079)))</f>
        <v>0.64781786141779785</v>
      </c>
      <c r="C1080" s="18">
        <f>IF($A1080&gt;'1-Input'!$B$26,0,(MAX(0,B1056-IF($A1080&gt;='1-Input'!$C$12,'1-Input'!$B$12,0))-MIN(MAX(F1079,0),MAX(0,B1056-IF($A1080&gt;='1-Input'!$C$12,'1-Input'!$B$12,0))))*(1/(1-'P-Parametri'!$B$6*B1080))+MIN(MAX(0,G1079-(MAX(0,B1056-IF($A1080&gt;='1-Input'!$C$12,'1-Input'!$B$12,0))-MIN(MAX(F1079,0),MAX(0,B1056-IF($A1080&gt;='1-Input'!$C$12,'1-Input'!$B$12,0))))*(1/(1-'P-Parametri'!$B$6*B1080))),MAX(0,2*B1056-(F1079-MIN(MAX(F1079,0),MAX(0,B1056-IF($A1080&gt;='1-Input'!$C$12,'1-Input'!$B$12,0)))))*(1/(1-'P-Parametri'!$B$6*B1080))))</f>
        <v>20204.206900417637</v>
      </c>
      <c r="D1080" s="18">
        <f>IF($A1080&gt;'1-Input'!$B$26,F1079,(F1079-MAX(0,B1056-IF($A1080&gt;='1-Input'!$C$12,'1-Input'!$B$12,0))+C1080*(1-'P-Parametri'!$B$6*B1080))*(1+'1-Input'!$B$27))</f>
        <v>33242.0070309863</v>
      </c>
      <c r="E1080" s="18">
        <f>IF($A1080&gt;'1-Input'!$B$26,G1079,(G1079-C1080)*(1+'5-Roberta'!$C$4))</f>
        <v>148037.8790282133</v>
      </c>
      <c r="F1080" s="18">
        <f>IF($A1080&gt;'1-Input'!$B$26,D1080,D1080-'P-Parametri'!$B$8*(E1080+D1080)+MIN(MAX(E1080,0),'P-Parametri'!$B$8*(E1080+D1080)))</f>
        <v>33242.0070309863</v>
      </c>
      <c r="G1080" s="18">
        <f>IF($A1080&gt;'1-Input'!$B$26,E1080,E1080-MIN(MAX(E1080,0),'P-Parametri'!$B$8*(E1080+D1080)))</f>
        <v>147675.3192560949</v>
      </c>
      <c r="H1080" s="18">
        <f>IF($A1080&gt;'1-Input'!$B$26,H1079,H1079-C1080*(1-B1080))</f>
        <v>50617.76391002864</v>
      </c>
      <c r="I1080" s="11">
        <f>IF($A1080&gt;'1-Input'!$B$26,0,IF(N1079&lt;=0,0,MAX(0,(N1079-O1079)/N1079)))</f>
        <v>0</v>
      </c>
      <c r="J1080" s="18">
        <f>IF($A1080&gt;'1-Input'!$B$26,0,(MAX(0,I1056-IF($A1080&gt;='1-Input'!$C$12,'1-Input'!$B$12,0))-MIN(MAX(M1079,0),MAX(0,I1056-IF($A1080&gt;='1-Input'!$C$12,'1-Input'!$B$12,0))))*(1/(1-'P-Parametri'!$B$6*I1080))+MIN(MAX(0,N1079-(MAX(0,I1056-IF($A1080&gt;='1-Input'!$C$12,'1-Input'!$B$12,0))-MIN(MAX(M1079,0),MAX(0,I1056-IF($A1080&gt;='1-Input'!$C$12,'1-Input'!$B$12,0))))*(1/(1-'P-Parametri'!$B$6*I1080))),MAX(0,2*I1056-(M1079-MIN(MAX(M1079,0),MAX(0,I1056-IF($A1080&gt;='1-Input'!$C$12,'1-Input'!$B$12,0)))))*(1/(1-'P-Parametri'!$B$6*I1080))))</f>
        <v>3504.593966207598</v>
      </c>
      <c r="K1080" s="18">
        <f>IF($A1080&gt;'1-Input'!$B$26,M1079,(M1079-MAX(0,I1056-IF($A1080&gt;='1-Input'!$C$12,'1-Input'!$B$12,0))+J1080*(1-'P-Parametri'!$B$6*I1080))*(1+'1-Input'!$B$27))</f>
        <v>0</v>
      </c>
      <c r="L1080" s="18">
        <f>IF($A1080&gt;'1-Input'!$B$26,N1079,(N1079-J1080)*(1+'5-Roberta'!$C$4))</f>
        <v>-3609.731785193826</v>
      </c>
      <c r="M1080" s="18">
        <f>IF($A1080&gt;'1-Input'!$B$26,K1080,K1080-'P-Parametri'!$B$8*(L1080+K1080)+MIN(MAX(L1080,0),'P-Parametri'!$B$8*(L1080+K1080)))</f>
        <v>0</v>
      </c>
      <c r="N1080" s="18">
        <f>IF($A1080&gt;'1-Input'!$B$26,L1080,L1080-MIN(MAX(L1080,0),'P-Parametri'!$B$8*(L1080+K1080)))</f>
        <v>-3602.5123216234383</v>
      </c>
      <c r="O1080" s="18">
        <f>IF($A1080&gt;'1-Input'!$B$26,O1079,O1079-J1080*(1-I1080))</f>
        <v>-3504.593966207598</v>
      </c>
      <c r="P1080" s="11">
        <f>IF($A1080&gt;'1-Input'!$B$26,0,IF(U1079&lt;=0,0,MAX(0,(U1079-V1079)/U1079)))</f>
        <v>0.6475132975488157</v>
      </c>
      <c r="Q1080" s="18">
        <f>IF($A1080&gt;'1-Input'!$B$26,0,(MAX(0,P1056-IF($A1080&gt;='1-Input'!$C$12,'1-Input'!$B$12,0))-MIN(MAX(T1079,0),MAX(0,P1056-IF($A1080&gt;='1-Input'!$C$12,'1-Input'!$B$12,0))))*(1/(1-'P-Parametri'!$B$6*P1080))+MIN(MAX(0,U1079-(MAX(0,P1056-IF($A1080&gt;='1-Input'!$C$12,'1-Input'!$B$12,0))-MIN(MAX(T1079,0),MAX(0,P1056-IF($A1080&gt;='1-Input'!$C$12,'1-Input'!$B$12,0))))*(1/(1-'P-Parametri'!$B$6*P1080))),MAX(0,2*P1056-(T1079-MIN(MAX(T1079,0),MAX(0,P1056-IF($A1080&gt;='1-Input'!$C$12,'1-Input'!$B$12,0)))))*(1/(1-'P-Parametri'!$B$6*P1080))))</f>
        <v>21365.41366406111</v>
      </c>
      <c r="R1080" s="18">
        <f>IF($A1080&gt;'1-Input'!$B$26,T1079,(T1079-MAX(0,P1056-IF($A1080&gt;='1-Input'!$C$12,'1-Input'!$B$12,0))+Q1080*(1-'P-Parametri'!$B$6*P1080))*(1+'1-Input'!$B$27))</f>
        <v>35155.889406417155</v>
      </c>
      <c r="S1080" s="18">
        <f>IF($A1080&gt;'1-Input'!$B$26,U1079,(U1079-Q1080)*(1+'5-Roberta'!$C$4))</f>
        <v>110145.6610855632</v>
      </c>
      <c r="T1080" s="18">
        <f>IF($A1080&gt;'1-Input'!$B$26,R1080,R1080-'P-Parametri'!$B$8*(S1080+R1080)+MIN(MAX(S1080,0),'P-Parametri'!$B$8*(S1080+R1080)))</f>
        <v>35155.889406417162</v>
      </c>
      <c r="U1080" s="18">
        <f>IF($A1080&gt;'1-Input'!$B$26,S1080,S1080-MIN(MAX(S1080,0),'P-Parametri'!$B$8*(S1080+R1080)))</f>
        <v>109855.05798457924</v>
      </c>
      <c r="V1080" s="18">
        <f>IF($A1080&gt;'1-Input'!$B$26,V1079,V1079-Q1080*(1-P1080))</f>
        <v>37694.059092578558</v>
      </c>
      <c r="W1080" s="11">
        <f>IF($A1080&gt;'1-Input'!$B$26,0,IF(AB1079&lt;=0,0,MAX(0,(AB1079-AC1079)/AB1079)))</f>
        <v>0.64755467518687992</v>
      </c>
      <c r="X1080" s="18">
        <f>IF($A1080&gt;'1-Input'!$B$26,0,(MAX(0,W1056-IF($A1080&gt;='1-Input'!$C$12,'1-Input'!$B$12,0))-MIN(MAX(AA1079,0),MAX(0,W1056-IF($A1080&gt;='1-Input'!$C$12,'1-Input'!$B$12,0))))*(1/(1-'P-Parametri'!$B$6*W1080))+MIN(MAX(0,AB1079-(MAX(0,W1056-IF($A1080&gt;='1-Input'!$C$12,'1-Input'!$B$12,0))-MIN(MAX(AA1079,0),MAX(0,W1056-IF($A1080&gt;='1-Input'!$C$12,'1-Input'!$B$12,0))))*(1/(1-'P-Parametri'!$B$6*W1080))),MAX(0,2*W1056-(AA1079-MIN(MAX(AA1079,0),MAX(0,W1056-IF($A1080&gt;='1-Input'!$C$12,'1-Input'!$B$12,0)))))*(1/(1-'P-Parametri'!$B$6*W1080))))</f>
        <v>21225.554224447184</v>
      </c>
      <c r="Y1080" s="18">
        <f>IF($A1080&gt;'1-Input'!$B$26,AA1079,(AA1079-MAX(0,W1056-IF($A1080&gt;='1-Input'!$C$12,'1-Input'!$B$12,0))+X1080*(1-'P-Parametri'!$B$6*W1080))*(1+'1-Input'!$B$27))</f>
        <v>34925.304782144136</v>
      </c>
      <c r="Z1080" s="18">
        <f>IF($A1080&gt;'1-Input'!$B$26,AB1079,(AB1079-X1080)*(1+'5-Roberta'!$C$4))</f>
        <v>114710.67913859297</v>
      </c>
      <c r="AA1080" s="18">
        <f>IF($A1080&gt;'1-Input'!$B$26,Y1080,Y1080-'P-Parametri'!$B$8*(Z1080+Y1080)+MIN(MAX(Z1080,0),'P-Parametri'!$B$8*(Z1080+Y1080)))</f>
        <v>34925.304782144136</v>
      </c>
      <c r="AB1080" s="18">
        <f>IF($A1080&gt;'1-Input'!$B$26,Z1080,Z1080-MIN(MAX(Z1080,0),'P-Parametri'!$B$8*(Z1080+Y1080)))</f>
        <v>114411.4071707515</v>
      </c>
      <c r="AC1080" s="18">
        <f>IF($A1080&gt;'1-Input'!$B$26,AC1079,AC1079-X1080*(1-W1080))</f>
        <v>39251.691814111648</v>
      </c>
      <c r="AD1080" s="11">
        <f>IF($A1080&gt;'1-Input'!$B$26,0,IF(AI1079&lt;=0,0,MAX(0,(AI1079-AJ1079)/AI1079)))</f>
        <v>0.6475578429918224</v>
      </c>
      <c r="AE1080" s="18">
        <f>IF($A1080&gt;'1-Input'!$B$26,0,(MAX(0,AD1056-IF($A1080&gt;='1-Input'!$C$12,'1-Input'!$B$12,0))-MIN(MAX(AH1079,0),MAX(0,AD1056-IF($A1080&gt;='1-Input'!$C$12,'1-Input'!$B$12,0))))*(1/(1-'P-Parametri'!$B$6*AD1080))+MIN(MAX(0,AI1079-(MAX(0,AD1056-IF($A1080&gt;='1-Input'!$C$12,'1-Input'!$B$12,0))-MIN(MAX(AH1079,0),MAX(0,AD1056-IF($A1080&gt;='1-Input'!$C$12,'1-Input'!$B$12,0))))*(1/(1-'P-Parametri'!$B$6*AD1080))),MAX(0,2*AD1056-(AH1079-MIN(MAX(AH1079,0),MAX(0,AD1056-IF($A1080&gt;='1-Input'!$C$12,'1-Input'!$B$12,0)))))*(1/(1-'P-Parametri'!$B$6*AD1080))))</f>
        <v>21214.633138794081</v>
      </c>
      <c r="AF1080" s="18">
        <f>IF($A1080&gt;'1-Input'!$B$26,AH1079,(AH1079-MAX(0,AD1056-IF($A1080&gt;='1-Input'!$C$12,'1-Input'!$B$12,0))+AE1080*(1-'P-Parametri'!$B$6*AD1080))*(1+'1-Input'!$B$27))</f>
        <v>34907.300256313618</v>
      </c>
      <c r="AG1080" s="18">
        <f>IF($A1080&gt;'1-Input'!$B$26,AI1079,(AI1079-AE1080)*(1+'5-Roberta'!$C$4))</f>
        <v>115067.12820604818</v>
      </c>
      <c r="AH1080" s="18">
        <f>IF($A1080&gt;'1-Input'!$B$26,AF1080,AF1080-'P-Parametri'!$B$8*(AG1080+AF1080)+MIN(MAX(AG1080,0),'P-Parametri'!$B$8*(AG1080+AF1080)))</f>
        <v>34907.300256313618</v>
      </c>
      <c r="AI1080" s="18">
        <f>IF($A1080&gt;'1-Input'!$B$26,AG1080,AG1080-MIN(MAX(AG1080,0),'P-Parametri'!$B$8*(AG1080+AF1080)))</f>
        <v>114767.17934912346</v>
      </c>
      <c r="AJ1080" s="18">
        <f>IF($A1080&gt;'1-Input'!$B$26,AJ1079,AJ1079-AE1080*(1-AD1080))</f>
        <v>39373.307636578764</v>
      </c>
      <c r="AK1080" s="11">
        <f>IF($A1080&gt;'1-Input'!$B$26,0,IF(AP1079&lt;=0,0,MAX(0,(AP1079-AQ1079)/AP1079)))</f>
        <v>0.64755782888237712</v>
      </c>
      <c r="AL1080" s="18">
        <f>IF($A1080&gt;'1-Input'!$B$26,0,(MAX(0,AK1056-IF($A1080&gt;='1-Input'!$C$12,'1-Input'!$B$12,0))-MIN(MAX(AO1079,0),MAX(0,AK1056-IF($A1080&gt;='1-Input'!$C$12,'1-Input'!$B$12,0))))*(1/(1-'P-Parametri'!$B$6*AK1080))+MIN(MAX(0,AP1079-(MAX(0,AK1056-IF($A1080&gt;='1-Input'!$C$12,'1-Input'!$B$12,0))-MIN(MAX(AO1079,0),MAX(0,AK1056-IF($A1080&gt;='1-Input'!$C$12,'1-Input'!$B$12,0))))*(1/(1-'P-Parametri'!$B$6*AK1080))),MAX(0,2*AK1056-(AO1079-MIN(MAX(AO1079,0),MAX(0,AK1056-IF($A1080&gt;='1-Input'!$C$12,'1-Input'!$B$12,0)))))*(1/(1-'P-Parametri'!$B$6*AK1080))))</f>
        <v>21214.68184975682</v>
      </c>
      <c r="AM1080" s="18">
        <f>IF($A1080&gt;'1-Input'!$B$26,AO1079,(AO1079-MAX(0,AK1056-IF($A1080&gt;='1-Input'!$C$12,'1-Input'!$B$12,0))+AL1080*(1-'P-Parametri'!$B$6*AK1080))*(1+'1-Input'!$B$27))</f>
        <v>34907.38056101869</v>
      </c>
      <c r="AN1080" s="18">
        <f>IF($A1080&gt;'1-Input'!$B$26,AP1079,(AP1079-AL1080)*(1+'5-Roberta'!$C$4))</f>
        <v>115065.53835277644</v>
      </c>
      <c r="AO1080" s="18">
        <f>IF($A1080&gt;'1-Input'!$B$26,AM1080,AM1080-'P-Parametri'!$B$8*(AN1080+AM1080)+MIN(MAX(AN1080,0),'P-Parametri'!$B$8*(AN1080+AM1080)))</f>
        <v>34907.38056101869</v>
      </c>
      <c r="AP1080" s="18">
        <f>IF($A1080&gt;'1-Input'!$B$26,AN1080,AN1080-MIN(MAX(AN1080,0),'P-Parametri'!$B$8*(AN1080+AM1080)))</f>
        <v>114765.59251494885</v>
      </c>
      <c r="AQ1080" s="18">
        <f>IF($A1080&gt;'1-Input'!$B$26,AQ1079,AQ1079-AL1080*(1-AK1080))</f>
        <v>39372.765201816146</v>
      </c>
    </row>
    <row r="1081" spans="1:43">
      <c r="A1081" s="10">
        <f>23</f>
        <v>23</v>
      </c>
      <c r="B1081" s="11">
        <f>IF($A1081&gt;'1-Input'!$B$26,0,IF(G1080&lt;=0,0,MAX(0,(G1080-H1080)/G1080)))</f>
        <v>0.65723613014678117</v>
      </c>
      <c r="C1081" s="18">
        <f>IF($A1081&gt;'1-Input'!$B$26,0,(MAX(0,B1056-IF($A1081&gt;='1-Input'!$C$12,'1-Input'!$B$12,0))-MIN(MAX(F1080,0),MAX(0,B1056-IF($A1081&gt;='1-Input'!$C$12,'1-Input'!$B$12,0))))*(1/(1-'P-Parametri'!$B$6*B1081))+MIN(MAX(0,G1080-(MAX(0,B1056-IF($A1081&gt;='1-Input'!$C$12,'1-Input'!$B$12,0))-MIN(MAX(F1080,0),MAX(0,B1056-IF($A1081&gt;='1-Input'!$C$12,'1-Input'!$B$12,0))))*(1/(1-'P-Parametri'!$B$6*B1081))),MAX(0,2*B1056-(F1080-MIN(MAX(F1080,0),MAX(0,B1056-IF($A1081&gt;='1-Input'!$C$12,'1-Input'!$B$12,0)))))*(1/(1-'P-Parametri'!$B$6*B1081))))</f>
        <v>6873.7559023958038</v>
      </c>
      <c r="D1081" s="18">
        <f>IF($A1081&gt;'1-Input'!$B$26,F1080,(F1080-MAX(0,B1056-IF($A1081&gt;='1-Input'!$C$12,'1-Input'!$B$12,0))+C1081*(1-'P-Parametri'!$B$6*B1081))*(1+'1-Input'!$B$27))</f>
        <v>33242.0070309863</v>
      </c>
      <c r="E1081" s="18">
        <f>IF($A1081&gt;'1-Input'!$B$26,G1080,(G1080-C1081)*(1+'5-Roberta'!$C$4))</f>
        <v>145025.61025431004</v>
      </c>
      <c r="F1081" s="18">
        <f>IF($A1081&gt;'1-Input'!$B$26,D1081,D1081-'P-Parametri'!$B$8*(E1081+D1081)+MIN(MAX(E1081,0),'P-Parametri'!$B$8*(E1081+D1081)))</f>
        <v>33242.0070309863</v>
      </c>
      <c r="G1081" s="18">
        <f>IF($A1081&gt;'1-Input'!$B$26,E1081,E1081-MIN(MAX(E1081,0),'P-Parametri'!$B$8*(E1081+D1081)))</f>
        <v>144669.07501973945</v>
      </c>
      <c r="H1081" s="18">
        <f>IF($A1081&gt;'1-Input'!$B$26,H1080,H1080-C1081*(1-B1081))</f>
        <v>48261.688736497046</v>
      </c>
      <c r="I1081" s="11">
        <f>IF($A1081&gt;'1-Input'!$B$26,0,IF(N1080&lt;=0,0,MAX(0,(N1080-O1080)/N1080)))</f>
        <v>0</v>
      </c>
      <c r="J1081" s="18">
        <f>IF($A1081&gt;'1-Input'!$B$26,0,(MAX(0,I1056-IF($A1081&gt;='1-Input'!$C$12,'1-Input'!$B$12,0))-MIN(MAX(M1080,0),MAX(0,I1056-IF($A1081&gt;='1-Input'!$C$12,'1-Input'!$B$12,0))))*(1/(1-'P-Parametri'!$B$6*I1081))+MIN(MAX(0,N1080-(MAX(0,I1056-IF($A1081&gt;='1-Input'!$C$12,'1-Input'!$B$12,0))-MIN(MAX(M1080,0),MAX(0,I1056-IF($A1081&gt;='1-Input'!$C$12,'1-Input'!$B$12,0))))*(1/(1-'P-Parametri'!$B$6*I1081))),MAX(0,2*I1056-(M1080-MIN(MAX(M1080,0),MAX(0,I1056-IF($A1081&gt;='1-Input'!$C$12,'1-Input'!$B$12,0)))))*(1/(1-'P-Parametri'!$B$6*I1081))))</f>
        <v>10846.756992928691</v>
      </c>
      <c r="K1081" s="18">
        <f>IF($A1081&gt;'1-Input'!$B$26,M1080,(M1080-MAX(0,I1056-IF($A1081&gt;='1-Input'!$C$12,'1-Input'!$B$12,0))+J1081*(1-'P-Parametri'!$B$6*I1081))*(1+'1-Input'!$B$27))</f>
        <v>0</v>
      </c>
      <c r="L1081" s="18">
        <f>IF($A1081&gt;'1-Input'!$B$26,N1080,(N1080-J1081)*(1+'5-Roberta'!$C$4))</f>
        <v>-14882.747393988695</v>
      </c>
      <c r="M1081" s="18">
        <f>IF($A1081&gt;'1-Input'!$B$26,K1081,K1081-'P-Parametri'!$B$8*(L1081+K1081)+MIN(MAX(L1081,0),'P-Parametri'!$B$8*(L1081+K1081)))</f>
        <v>0</v>
      </c>
      <c r="N1081" s="18">
        <f>IF($A1081&gt;'1-Input'!$B$26,L1081,L1081-MIN(MAX(L1081,0),'P-Parametri'!$B$8*(L1081+K1081)))</f>
        <v>-14852.981899200717</v>
      </c>
      <c r="O1081" s="18">
        <f>IF($A1081&gt;'1-Input'!$B$26,O1080,O1080-J1081*(1-I1081))</f>
        <v>-14351.350959136289</v>
      </c>
      <c r="P1081" s="11">
        <f>IF($A1081&gt;'1-Input'!$B$26,0,IF(U1080&lt;=0,0,MAX(0,(U1080-V1080)/U1080)))</f>
        <v>0.65687461475037567</v>
      </c>
      <c r="Q1081" s="18">
        <f>IF($A1081&gt;'1-Input'!$B$26,0,(MAX(0,P1056-IF($A1081&gt;='1-Input'!$C$12,'1-Input'!$B$12,0))-MIN(MAX(T1080,0),MAX(0,P1056-IF($A1081&gt;='1-Input'!$C$12,'1-Input'!$B$12,0))))*(1/(1-'P-Parametri'!$B$6*P1081))+MIN(MAX(0,U1080-(MAX(0,P1056-IF($A1081&gt;='1-Input'!$C$12,'1-Input'!$B$12,0))-MIN(MAX(T1080,0),MAX(0,P1056-IF($A1081&gt;='1-Input'!$C$12,'1-Input'!$B$12,0))))*(1/(1-'P-Parametri'!$B$6*P1081))),MAX(0,2*P1056-(T1080-MIN(MAX(T1080,0),MAX(0,P1056-IF($A1081&gt;='1-Input'!$C$12,'1-Input'!$B$12,0)))))*(1/(1-'P-Parametri'!$B$6*P1081))))</f>
        <v>8039.5213536390738</v>
      </c>
      <c r="R1081" s="18">
        <f>IF($A1081&gt;'1-Input'!$B$26,T1080,(T1080-MAX(0,P1056-IF($A1081&gt;='1-Input'!$C$12,'1-Input'!$B$12,0))+Q1081*(1-'P-Parametri'!$B$6*P1081))*(1+'1-Input'!$B$27))</f>
        <v>35155.889406417155</v>
      </c>
      <c r="S1081" s="18">
        <f>IF($A1081&gt;'1-Input'!$B$26,U1080,(U1080-Q1081)*(1+'5-Roberta'!$C$4))</f>
        <v>104870.00272986837</v>
      </c>
      <c r="T1081" s="18">
        <f>IF($A1081&gt;'1-Input'!$B$26,R1081,R1081-'P-Parametri'!$B$8*(S1081+R1081)+MIN(MAX(S1081,0),'P-Parametri'!$B$8*(S1081+R1081)))</f>
        <v>35155.889406417155</v>
      </c>
      <c r="U1081" s="18">
        <f>IF($A1081&gt;'1-Input'!$B$26,S1081,S1081-MIN(MAX(S1081,0),'P-Parametri'!$B$8*(S1081+R1081)))</f>
        <v>104589.9509455958</v>
      </c>
      <c r="V1081" s="18">
        <f>IF($A1081&gt;'1-Input'!$B$26,V1080,V1080-Q1081*(1-P1081))</f>
        <v>34935.495230888569</v>
      </c>
      <c r="W1081" s="11">
        <f>IF($A1081&gt;'1-Input'!$B$26,0,IF(AB1080&lt;=0,0,MAX(0,(AB1080-AC1080)/AB1080)))</f>
        <v>0.65692501486734556</v>
      </c>
      <c r="X1081" s="18">
        <f>IF($A1081&gt;'1-Input'!$B$26,0,(MAX(0,W1056-IF($A1081&gt;='1-Input'!$C$12,'1-Input'!$B$12,0))-MIN(MAX(AA1080,0),MAX(0,W1056-IF($A1081&gt;='1-Input'!$C$12,'1-Input'!$B$12,0))))*(1/(1-'P-Parametri'!$B$6*W1081))+MIN(MAX(0,AB1080-(MAX(0,W1056-IF($A1081&gt;='1-Input'!$C$12,'1-Input'!$B$12,0))-MIN(MAX(AA1080,0),MAX(0,W1056-IF($A1081&gt;='1-Input'!$C$12,'1-Input'!$B$12,0))))*(1/(1-'P-Parametri'!$B$6*W1081))),MAX(0,2*W1056-(AA1080-MIN(MAX(AA1080,0),MAX(0,W1056-IF($A1081&gt;='1-Input'!$C$12,'1-Input'!$B$12,0)))))*(1/(1-'P-Parametri'!$B$6*W1081))))</f>
        <v>7899.1008417131834</v>
      </c>
      <c r="Y1081" s="18">
        <f>IF($A1081&gt;'1-Input'!$B$26,AA1080,(AA1080-MAX(0,W1056-IF($A1081&gt;='1-Input'!$C$12,'1-Input'!$B$12,0))+X1081*(1-'P-Parametri'!$B$6*W1081))*(1+'1-Input'!$B$27))</f>
        <v>34925.304782144136</v>
      </c>
      <c r="Z1081" s="18">
        <f>IF($A1081&gt;'1-Input'!$B$26,AB1080,(AB1080-X1081)*(1+'5-Roberta'!$C$4))</f>
        <v>109707.67551890947</v>
      </c>
      <c r="AA1081" s="18">
        <f>IF($A1081&gt;'1-Input'!$B$26,Y1081,Y1081-'P-Parametri'!$B$8*(Z1081+Y1081)+MIN(MAX(Z1081,0),'P-Parametri'!$B$8*(Z1081+Y1081)))</f>
        <v>34925.304782144136</v>
      </c>
      <c r="AB1081" s="18">
        <f>IF($A1081&gt;'1-Input'!$B$26,Z1081,Z1081-MIN(MAX(Z1081,0),'P-Parametri'!$B$8*(Z1081+Y1081)))</f>
        <v>109418.40955830736</v>
      </c>
      <c r="AC1081" s="18">
        <f>IF($A1081&gt;'1-Input'!$B$26,AC1080,AC1080-X1081*(1-W1081))</f>
        <v>36541.707910279561</v>
      </c>
      <c r="AD1081" s="11">
        <f>IF($A1081&gt;'1-Input'!$B$26,0,IF(AI1080&lt;=0,0,MAX(0,(AI1080-AJ1080)/AI1080)))</f>
        <v>0.65692885492284714</v>
      </c>
      <c r="AE1081" s="18">
        <f>IF($A1081&gt;'1-Input'!$B$26,0,(MAX(0,AD1056-IF($A1081&gt;='1-Input'!$C$12,'1-Input'!$B$12,0))-MIN(MAX(AH1080,0),MAX(0,AD1056-IF($A1081&gt;='1-Input'!$C$12,'1-Input'!$B$12,0))))*(1/(1-'P-Parametri'!$B$6*AD1081))+MIN(MAX(0,AI1080-(MAX(0,AD1056-IF($A1081&gt;='1-Input'!$C$12,'1-Input'!$B$12,0))-MIN(MAX(AH1080,0),MAX(0,AD1056-IF($A1081&gt;='1-Input'!$C$12,'1-Input'!$B$12,0))))*(1/(1-'P-Parametri'!$B$6*AD1081))),MAX(0,2*AD1056-(AH1080-MIN(MAX(AH1080,0),MAX(0,AD1056-IF($A1081&gt;='1-Input'!$C$12,'1-Input'!$B$12,0)))))*(1/(1-'P-Parametri'!$B$6*AD1081))))</f>
        <v>7888.1360943384188</v>
      </c>
      <c r="AF1081" s="18">
        <f>IF($A1081&gt;'1-Input'!$B$26,AH1080,(AH1080-MAX(0,AD1056-IF($A1081&gt;='1-Input'!$C$12,'1-Input'!$B$12,0))+AE1081*(1-'P-Parametri'!$B$6*AD1081))*(1+'1-Input'!$B$27))</f>
        <v>34907.300256313618</v>
      </c>
      <c r="AG1081" s="18">
        <f>IF($A1081&gt;'1-Input'!$B$26,AI1080,(AI1080-AE1081)*(1+'5-Roberta'!$C$4))</f>
        <v>110085.41455242859</v>
      </c>
      <c r="AH1081" s="18">
        <f>IF($A1081&gt;'1-Input'!$B$26,AF1081,AF1081-'P-Parametri'!$B$8*(AG1081+AF1081)+MIN(MAX(AG1081,0),'P-Parametri'!$B$8*(AG1081+AF1081)))</f>
        <v>34907.300256313618</v>
      </c>
      <c r="AI1081" s="18">
        <f>IF($A1081&gt;'1-Input'!$B$26,AG1081,AG1081-MIN(MAX(AG1081,0),'P-Parametri'!$B$8*(AG1081+AF1081)))</f>
        <v>109795.4291228111</v>
      </c>
      <c r="AJ1081" s="18">
        <f>IF($A1081&gt;'1-Input'!$B$26,AJ1080,AJ1080-AE1081*(1-AD1081))</f>
        <v>36667.115754169659</v>
      </c>
      <c r="AK1081" s="11">
        <f>IF($A1081&gt;'1-Input'!$B$26,0,IF(AP1080&lt;=0,0,MAX(0,(AP1080-AQ1080)/AP1080)))</f>
        <v>0.6569288378249114</v>
      </c>
      <c r="AL1081" s="18">
        <f>IF($A1081&gt;'1-Input'!$B$26,0,(MAX(0,AK1056-IF($A1081&gt;='1-Input'!$C$12,'1-Input'!$B$12,0))-MIN(MAX(AO1080,0),MAX(0,AK1056-IF($A1081&gt;='1-Input'!$C$12,'1-Input'!$B$12,0))))*(1/(1-'P-Parametri'!$B$6*AK1081))+MIN(MAX(0,AP1080-(MAX(0,AK1056-IF($A1081&gt;='1-Input'!$C$12,'1-Input'!$B$12,0))-MIN(MAX(AO1080,0),MAX(0,AK1056-IF($A1081&gt;='1-Input'!$C$12,'1-Input'!$B$12,0))))*(1/(1-'P-Parametri'!$B$6*AK1081))),MAX(0,2*AK1056-(AO1080-MIN(MAX(AO1080,0),MAX(0,AK1056-IF($A1081&gt;='1-Input'!$C$12,'1-Input'!$B$12,0)))))*(1/(1-'P-Parametri'!$B$6*AK1081))))</f>
        <v>7888.1849999963324</v>
      </c>
      <c r="AM1081" s="18">
        <f>IF($A1081&gt;'1-Input'!$B$26,AO1080,(AO1080-MAX(0,AK1056-IF($A1081&gt;='1-Input'!$C$12,'1-Input'!$B$12,0))+AL1081*(1-'P-Parametri'!$B$6*AK1081))*(1+'1-Input'!$B$27))</f>
        <v>34907.38056101869</v>
      </c>
      <c r="AN1081" s="18">
        <f>IF($A1081&gt;'1-Input'!$B$26,AP1080,(AP1080-AL1081)*(1+'5-Roberta'!$C$4))</f>
        <v>110083.72974040109</v>
      </c>
      <c r="AO1081" s="18">
        <f>IF($A1081&gt;'1-Input'!$B$26,AM1081,AM1081-'P-Parametri'!$B$8*(AN1081+AM1081)+MIN(MAX(AN1081,0),'P-Parametri'!$B$8*(AN1081+AM1081)))</f>
        <v>34907.38056101869</v>
      </c>
      <c r="AP1081" s="18">
        <f>IF($A1081&gt;'1-Input'!$B$26,AN1081,AN1081-MIN(MAX(AN1081,0),'P-Parametri'!$B$8*(AN1081+AM1081)))</f>
        <v>109793.74751979826</v>
      </c>
      <c r="AQ1081" s="18">
        <f>IF($A1081&gt;'1-Input'!$B$26,AQ1080,AQ1080-AL1081*(1-AK1081))</f>
        <v>36666.5564064153</v>
      </c>
    </row>
    <row r="1082" spans="1:43">
      <c r="A1082" s="10">
        <f>24</f>
        <v>24</v>
      </c>
      <c r="B1082" s="11">
        <f>IF($A1082&gt;'1-Input'!$B$26,0,IF(G1081&lt;=0,0,MAX(0,(G1081-H1081)/G1081)))</f>
        <v>0.66639941030996463</v>
      </c>
      <c r="C1082" s="18">
        <f>IF($A1082&gt;'1-Input'!$B$26,0,(MAX(0,B1056-IF($A1082&gt;='1-Input'!$C$12,'1-Input'!$B$12,0))-MIN(MAX(F1081,0),MAX(0,B1056-IF($A1082&gt;='1-Input'!$C$12,'1-Input'!$B$12,0))))*(1/(1-'P-Parametri'!$B$6*B1082))+MIN(MAX(0,G1081-(MAX(0,B1056-IF($A1082&gt;='1-Input'!$C$12,'1-Input'!$B$12,0))-MIN(MAX(F1081,0),MAX(0,B1056-IF($A1082&gt;='1-Input'!$C$12,'1-Input'!$B$12,0))))*(1/(1-'P-Parametri'!$B$6*B1082))),MAX(0,2*B1056-(F1081-MIN(MAX(F1081,0),MAX(0,B1056-IF($A1082&gt;='1-Input'!$C$12,'1-Input'!$B$12,0)))))*(1/(1-'P-Parametri'!$B$6*B1082))))</f>
        <v>6893.5643977931122</v>
      </c>
      <c r="D1082" s="18">
        <f>IF($A1082&gt;'1-Input'!$B$26,F1081,(F1081-MAX(0,B1056-IF($A1082&gt;='1-Input'!$C$12,'1-Input'!$B$12,0))+C1082*(1-'P-Parametri'!$B$6*B1082))*(1+'1-Input'!$B$27))</f>
        <v>33242.0070309863</v>
      </c>
      <c r="E1082" s="18">
        <f>IF($A1082&gt;'1-Input'!$B$26,G1081,(G1081-C1082)*(1+'5-Roberta'!$C$4))</f>
        <v>141908.77594060474</v>
      </c>
      <c r="F1082" s="18">
        <f>IF($A1082&gt;'1-Input'!$B$26,D1082,D1082-'P-Parametri'!$B$8*(E1082+D1082)+MIN(MAX(E1082,0),'P-Parametri'!$B$8*(E1082+D1082)))</f>
        <v>33242.0070309863</v>
      </c>
      <c r="G1082" s="18">
        <f>IF($A1082&gt;'1-Input'!$B$26,E1082,E1082-MIN(MAX(E1082,0),'P-Parametri'!$B$8*(E1082+D1082)))</f>
        <v>141558.47437466157</v>
      </c>
      <c r="H1082" s="18">
        <f>IF($A1082&gt;'1-Input'!$B$26,H1081,H1081-C1082*(1-B1082))</f>
        <v>45961.99158832703</v>
      </c>
      <c r="I1082" s="11">
        <f>IF($A1082&gt;'1-Input'!$B$26,0,IF(N1081&lt;=0,0,MAX(0,(N1081-O1081)/N1081)))</f>
        <v>0</v>
      </c>
      <c r="J1082" s="18">
        <f>IF($A1082&gt;'1-Input'!$B$26,0,(MAX(0,I1056-IF($A1082&gt;='1-Input'!$C$12,'1-Input'!$B$12,0))-MIN(MAX(M1081,0),MAX(0,I1056-IF($A1082&gt;='1-Input'!$C$12,'1-Input'!$B$12,0))))*(1/(1-'P-Parametri'!$B$6*I1082))+MIN(MAX(0,N1081-(MAX(0,I1056-IF($A1082&gt;='1-Input'!$C$12,'1-Input'!$B$12,0))-MIN(MAX(M1081,0),MAX(0,I1056-IF($A1082&gt;='1-Input'!$C$12,'1-Input'!$B$12,0))))*(1/(1-'P-Parametri'!$B$6*I1082))),MAX(0,2*I1056-(M1081-MIN(MAX(M1081,0),MAX(0,I1056-IF($A1082&gt;='1-Input'!$C$12,'1-Input'!$B$12,0)))))*(1/(1-'P-Parametri'!$B$6*I1082))))</f>
        <v>10846.756992928691</v>
      </c>
      <c r="K1082" s="18">
        <f>IF($A1082&gt;'1-Input'!$B$26,M1081,(M1081-MAX(0,I1056-IF($A1082&gt;='1-Input'!$C$12,'1-Input'!$B$12,0))+J1082*(1-'P-Parametri'!$B$6*I1082))*(1+'1-Input'!$B$27))</f>
        <v>0</v>
      </c>
      <c r="L1082" s="18">
        <f>IF($A1082&gt;'1-Input'!$B$26,N1081,(N1081-J1082)*(1+'5-Roberta'!$C$4))</f>
        <v>-26470.731058893292</v>
      </c>
      <c r="M1082" s="18">
        <f>IF($A1082&gt;'1-Input'!$B$26,K1082,K1082-'P-Parametri'!$B$8*(L1082+K1082)+MIN(MAX(L1082,0),'P-Parametri'!$B$8*(L1082+K1082)))</f>
        <v>0</v>
      </c>
      <c r="N1082" s="18">
        <f>IF($A1082&gt;'1-Input'!$B$26,L1082,L1082-MIN(MAX(L1082,0),'P-Parametri'!$B$8*(L1082+K1082)))</f>
        <v>-26417.789596775507</v>
      </c>
      <c r="O1082" s="18">
        <f>IF($A1082&gt;'1-Input'!$B$26,O1081,O1081-J1082*(1-I1082))</f>
        <v>-25198.10795206498</v>
      </c>
      <c r="P1082" s="11">
        <f>IF($A1082&gt;'1-Input'!$B$26,0,IF(U1081&lt;=0,0,MAX(0,(U1081-V1081)/U1081)))</f>
        <v>0.66597655974558356</v>
      </c>
      <c r="Q1082" s="18">
        <f>IF($A1082&gt;'1-Input'!$B$26,0,(MAX(0,P1056-IF($A1082&gt;='1-Input'!$C$12,'1-Input'!$B$12,0))-MIN(MAX(T1081,0),MAX(0,P1056-IF($A1082&gt;='1-Input'!$C$12,'1-Input'!$B$12,0))))*(1/(1-'P-Parametri'!$B$6*P1082))+MIN(MAX(0,U1081-(MAX(0,P1056-IF($A1082&gt;='1-Input'!$C$12,'1-Input'!$B$12,0))-MIN(MAX(T1081,0),MAX(0,P1056-IF($A1082&gt;='1-Input'!$C$12,'1-Input'!$B$12,0))))*(1/(1-'P-Parametri'!$B$6*P1082))),MAX(0,2*P1056-(T1081-MIN(MAX(T1081,0),MAX(0,P1056-IF($A1082&gt;='1-Input'!$C$12,'1-Input'!$B$12,0)))))*(1/(1-'P-Parametri'!$B$6*P1082))))</f>
        <v>8062.5311655327041</v>
      </c>
      <c r="R1082" s="18">
        <f>IF($A1082&gt;'1-Input'!$B$26,T1081,(T1081-MAX(0,P1056-IF($A1082&gt;='1-Input'!$C$12,'1-Input'!$B$12,0))+Q1082*(1-'P-Parametri'!$B$6*P1082))*(1+'1-Input'!$B$27))</f>
        <v>35155.889406417155</v>
      </c>
      <c r="S1082" s="18">
        <f>IF($A1082&gt;'1-Input'!$B$26,U1081,(U1081-Q1082)*(1+'5-Roberta'!$C$4))</f>
        <v>99423.242373464993</v>
      </c>
      <c r="T1082" s="18">
        <f>IF($A1082&gt;'1-Input'!$B$26,R1082,R1082-'P-Parametri'!$B$8*(S1082+R1082)+MIN(MAX(S1082,0),'P-Parametri'!$B$8*(S1082+R1082)))</f>
        <v>35155.889406417155</v>
      </c>
      <c r="U1082" s="18">
        <f>IF($A1082&gt;'1-Input'!$B$26,S1082,S1082-MIN(MAX(S1082,0),'P-Parametri'!$B$8*(S1082+R1082)))</f>
        <v>99154.084109905234</v>
      </c>
      <c r="V1082" s="18">
        <f>IF($A1082&gt;'1-Input'!$B$26,V1081,V1081-Q1082*(1-P1082))</f>
        <v>32242.420833818887</v>
      </c>
      <c r="W1082" s="11">
        <f>IF($A1082&gt;'1-Input'!$B$26,0,IF(AB1081&lt;=0,0,MAX(0,(AB1081-AC1081)/AB1081)))</f>
        <v>0.66603693055137081</v>
      </c>
      <c r="X1082" s="18">
        <f>IF($A1082&gt;'1-Input'!$B$26,0,(MAX(0,W1056-IF($A1082&gt;='1-Input'!$C$12,'1-Input'!$B$12,0))-MIN(MAX(AA1081,0),MAX(0,W1056-IF($A1082&gt;='1-Input'!$C$12,'1-Input'!$B$12,0))))*(1/(1-'P-Parametri'!$B$6*W1082))+MIN(MAX(0,AB1081-(MAX(0,W1056-IF($A1082&gt;='1-Input'!$C$12,'1-Input'!$B$12,0))-MIN(MAX(AA1081,0),MAX(0,W1056-IF($A1082&gt;='1-Input'!$C$12,'1-Input'!$B$12,0))))*(1/(1-'P-Parametri'!$B$6*W1082))),MAX(0,2*W1056-(AA1081-MIN(MAX(AA1081,0),MAX(0,W1056-IF($A1082&gt;='1-Input'!$C$12,'1-Input'!$B$12,0)))))*(1/(1-'P-Parametri'!$B$6*W1082))))</f>
        <v>7921.7339532494825</v>
      </c>
      <c r="Y1082" s="18">
        <f>IF($A1082&gt;'1-Input'!$B$26,AA1081,(AA1081-MAX(0,W1056-IF($A1082&gt;='1-Input'!$C$12,'1-Input'!$B$12,0))+X1082*(1-'P-Parametri'!$B$6*W1082))*(1+'1-Input'!$B$27))</f>
        <v>34925.304782144136</v>
      </c>
      <c r="Z1082" s="18">
        <f>IF($A1082&gt;'1-Input'!$B$26,AB1081,(AB1081-X1082)*(1+'5-Roberta'!$C$4))</f>
        <v>104541.57587320963</v>
      </c>
      <c r="AA1082" s="18">
        <f>IF($A1082&gt;'1-Input'!$B$26,Y1082,Y1082-'P-Parametri'!$B$8*(Z1082+Y1082)+MIN(MAX(Z1082,0),'P-Parametri'!$B$8*(Z1082+Y1082)))</f>
        <v>34925.304782144136</v>
      </c>
      <c r="AB1082" s="18">
        <f>IF($A1082&gt;'1-Input'!$B$26,Z1082,Z1082-MIN(MAX(Z1082,0),'P-Parametri'!$B$8*(Z1082+Y1082)))</f>
        <v>104262.64211189892</v>
      </c>
      <c r="AC1082" s="18">
        <f>IF($A1082&gt;'1-Input'!$B$26,AC1081,AC1081-X1082*(1-W1082))</f>
        <v>33896.14132389694</v>
      </c>
      <c r="AD1082" s="11">
        <f>IF($A1082&gt;'1-Input'!$B$26,0,IF(AI1081&lt;=0,0,MAX(0,(AI1081-AJ1081)/AI1081)))</f>
        <v>0.66604150967745801</v>
      </c>
      <c r="AE1082" s="18">
        <f>IF($A1082&gt;'1-Input'!$B$26,0,(MAX(0,AD1056-IF($A1082&gt;='1-Input'!$C$12,'1-Input'!$B$12,0))-MIN(MAX(AH1081,0),MAX(0,AD1056-IF($A1082&gt;='1-Input'!$C$12,'1-Input'!$B$12,0))))*(1/(1-'P-Parametri'!$B$6*AD1082))+MIN(MAX(0,AI1081-(MAX(0,AD1056-IF($A1082&gt;='1-Input'!$C$12,'1-Input'!$B$12,0))-MIN(MAX(AH1081,0),MAX(0,AD1056-IF($A1082&gt;='1-Input'!$C$12,'1-Input'!$B$12,0))))*(1/(1-'P-Parametri'!$B$6*AD1082))),MAX(0,2*AD1056-(AH1081-MIN(MAX(AH1081,0),MAX(0,AD1056-IF($A1082&gt;='1-Input'!$C$12,'1-Input'!$B$12,0)))))*(1/(1-'P-Parametri'!$B$6*AD1082))))</f>
        <v>7910.7396546153932</v>
      </c>
      <c r="AF1082" s="18">
        <f>IF($A1082&gt;'1-Input'!$B$26,AH1081,(AH1081-MAX(0,AD1056-IF($A1082&gt;='1-Input'!$C$12,'1-Input'!$B$12,0))+AE1082*(1-'P-Parametri'!$B$6*AD1082))*(1+'1-Input'!$B$27))</f>
        <v>34907.300256313618</v>
      </c>
      <c r="AG1082" s="18">
        <f>IF($A1082&gt;'1-Input'!$B$26,AI1081,(AI1081-AE1082)*(1+'5-Roberta'!$C$4))</f>
        <v>104941.23015224158</v>
      </c>
      <c r="AH1082" s="18">
        <f>IF($A1082&gt;'1-Input'!$B$26,AF1082,AF1082-'P-Parametri'!$B$8*(AG1082+AF1082)+MIN(MAX(AG1082,0),'P-Parametri'!$B$8*(AG1082+AF1082)))</f>
        <v>34907.300256313618</v>
      </c>
      <c r="AI1082" s="18">
        <f>IF($A1082&gt;'1-Input'!$B$26,AG1082,AG1082-MIN(MAX(AG1082,0),'P-Parametri'!$B$8*(AG1082+AF1082)))</f>
        <v>104661.53309142447</v>
      </c>
      <c r="AJ1082" s="18">
        <f>IF($A1082&gt;'1-Input'!$B$26,AJ1081,AJ1081-AE1082*(1-AD1082))</f>
        <v>34025.257081779637</v>
      </c>
      <c r="AK1082" s="11">
        <f>IF($A1082&gt;'1-Input'!$B$26,0,IF(AP1081&lt;=0,0,MAX(0,(AP1081-AQ1081)/AP1081)))</f>
        <v>0.66604148929515772</v>
      </c>
      <c r="AL1082" s="18">
        <f>IF($A1082&gt;'1-Input'!$B$26,0,(MAX(0,AK1056-IF($A1082&gt;='1-Input'!$C$12,'1-Input'!$B$12,0))-MIN(MAX(AO1081,0),MAX(0,AK1056-IF($A1082&gt;='1-Input'!$C$12,'1-Input'!$B$12,0))))*(1/(1-'P-Parametri'!$B$6*AK1082))+MIN(MAX(0,AP1081-(MAX(0,AK1056-IF($A1082&gt;='1-Input'!$C$12,'1-Input'!$B$12,0))-MIN(MAX(AO1081,0),MAX(0,AK1056-IF($A1082&gt;='1-Input'!$C$12,'1-Input'!$B$12,0))))*(1/(1-'P-Parametri'!$B$6*AK1082))),MAX(0,2*AK1056-(AO1081-MIN(MAX(AO1081,0),MAX(0,AK1056-IF($A1082&gt;='1-Input'!$C$12,'1-Input'!$B$12,0)))))*(1/(1-'P-Parametri'!$B$6*AK1082))))</f>
        <v>7910.788692121474</v>
      </c>
      <c r="AM1082" s="18">
        <f>IF($A1082&gt;'1-Input'!$B$26,AO1081,(AO1081-MAX(0,AK1056-IF($A1082&gt;='1-Input'!$C$12,'1-Input'!$B$12,0))+AL1082*(1-'P-Parametri'!$B$6*AK1082))*(1+'1-Input'!$B$27))</f>
        <v>34907.38056101869</v>
      </c>
      <c r="AN1082" s="18">
        <f>IF($A1082&gt;'1-Input'!$B$26,AP1081,(AP1081-AL1082)*(1+'5-Roberta'!$C$4))</f>
        <v>104939.44759250709</v>
      </c>
      <c r="AO1082" s="18">
        <f>IF($A1082&gt;'1-Input'!$B$26,AM1082,AM1082-'P-Parametri'!$B$8*(AN1082+AM1082)+MIN(MAX(AN1082,0),'P-Parametri'!$B$8*(AN1082+AM1082)))</f>
        <v>34907.38056101869</v>
      </c>
      <c r="AP1082" s="18">
        <f>IF($A1082&gt;'1-Input'!$B$26,AN1082,AN1082-MIN(MAX(AN1082,0),'P-Parametri'!$B$8*(AN1082+AM1082)))</f>
        <v>104659.75393620004</v>
      </c>
      <c r="AQ1082" s="18">
        <f>IF($A1082&gt;'1-Input'!$B$26,AQ1081,AQ1081-AL1082*(1-AK1082))</f>
        <v>34024.681196293706</v>
      </c>
    </row>
    <row r="1083" spans="1:43">
      <c r="A1083" s="10">
        <f>25</f>
        <v>25</v>
      </c>
      <c r="B1083" s="11">
        <f>IF($A1083&gt;'1-Input'!$B$26,0,IF(G1082&lt;=0,0,MAX(0,(G1082-H1082)/G1082)))</f>
        <v>0.67531444661744633</v>
      </c>
      <c r="C1083" s="18">
        <f>IF($A1083&gt;'1-Input'!$B$26,0,(MAX(0,B1056-IF($A1083&gt;='1-Input'!$C$12,'1-Input'!$B$12,0))-MIN(MAX(F1082,0),MAX(0,B1056-IF($A1083&gt;='1-Input'!$C$12,'1-Input'!$B$12,0))))*(1/(1-'P-Parametri'!$B$6*B1083))+MIN(MAX(0,G1082-(MAX(0,B1056-IF($A1083&gt;='1-Input'!$C$12,'1-Input'!$B$12,0))-MIN(MAX(F1082,0),MAX(0,B1056-IF($A1083&gt;='1-Input'!$C$12,'1-Input'!$B$12,0))))*(1/(1-'P-Parametri'!$B$6*B1083))),MAX(0,2*B1056-(F1082-MIN(MAX(F1082,0),MAX(0,B1056-IF($A1083&gt;='1-Input'!$C$12,'1-Input'!$B$12,0)))))*(1/(1-'P-Parametri'!$B$6*B1083))))</f>
        <v>6912.9461352924245</v>
      </c>
      <c r="D1083" s="18">
        <f>IF($A1083&gt;'1-Input'!$B$26,F1082,(F1082-MAX(0,B1056-IF($A1083&gt;='1-Input'!$C$12,'1-Input'!$B$12,0))+C1083*(1-'P-Parametri'!$B$6*B1083))*(1+'1-Input'!$B$27))</f>
        <v>33242.0070309863</v>
      </c>
      <c r="E1083" s="18">
        <f>IF($A1083&gt;'1-Input'!$B$26,G1082,(G1082-C1083)*(1+'5-Roberta'!$C$4))</f>
        <v>138684.89408655025</v>
      </c>
      <c r="F1083" s="18">
        <f>IF($A1083&gt;'1-Input'!$B$26,D1083,D1083-'P-Parametri'!$B$8*(E1083+D1083)+MIN(MAX(E1083,0),'P-Parametri'!$B$8*(E1083+D1083)))</f>
        <v>33242.0070309863</v>
      </c>
      <c r="G1083" s="18">
        <f>IF($A1083&gt;'1-Input'!$B$26,E1083,E1083-MIN(MAX(E1083,0),'P-Parametri'!$B$8*(E1083+D1083)))</f>
        <v>138341.04028431518</v>
      </c>
      <c r="H1083" s="18">
        <f>IF($A1083&gt;'1-Input'!$B$26,H1082,H1082-C1083*(1-B1083))</f>
        <v>43717.457846885824</v>
      </c>
      <c r="I1083" s="11">
        <f>IF($A1083&gt;'1-Input'!$B$26,0,IF(N1082&lt;=0,0,MAX(0,(N1082-O1082)/N1082)))</f>
        <v>0</v>
      </c>
      <c r="J1083" s="18">
        <f>IF($A1083&gt;'1-Input'!$B$26,0,(MAX(0,I1056-IF($A1083&gt;='1-Input'!$C$12,'1-Input'!$B$12,0))-MIN(MAX(M1082,0),MAX(0,I1056-IF($A1083&gt;='1-Input'!$C$12,'1-Input'!$B$12,0))))*(1/(1-'P-Parametri'!$B$6*I1083))+MIN(MAX(0,N1082-(MAX(0,I1056-IF($A1083&gt;='1-Input'!$C$12,'1-Input'!$B$12,0))-MIN(MAX(M1082,0),MAX(0,I1056-IF($A1083&gt;='1-Input'!$C$12,'1-Input'!$B$12,0))))*(1/(1-'P-Parametri'!$B$6*I1083))),MAX(0,2*I1056-(M1082-MIN(MAX(M1082,0),MAX(0,I1056-IF($A1083&gt;='1-Input'!$C$12,'1-Input'!$B$12,0)))))*(1/(1-'P-Parametri'!$B$6*I1083))))</f>
        <v>10846.756992928691</v>
      </c>
      <c r="K1083" s="18">
        <f>IF($A1083&gt;'1-Input'!$B$26,M1082,(M1082-MAX(0,I1056-IF($A1083&gt;='1-Input'!$C$12,'1-Input'!$B$12,0))+J1083*(1-'P-Parametri'!$B$6*I1083))*(1+'1-Input'!$B$27))</f>
        <v>0</v>
      </c>
      <c r="L1083" s="18">
        <f>IF($A1083&gt;'1-Input'!$B$26,N1082,(N1082-J1083)*(1+'5-Roberta'!$C$4))</f>
        <v>-38382.482987395328</v>
      </c>
      <c r="M1083" s="18">
        <f>IF($A1083&gt;'1-Input'!$B$26,K1083,K1083-'P-Parametri'!$B$8*(L1083+K1083)+MIN(MAX(L1083,0),'P-Parametri'!$B$8*(L1083+K1083)))</f>
        <v>0</v>
      </c>
      <c r="N1083" s="18">
        <f>IF($A1083&gt;'1-Input'!$B$26,L1083,L1083-MIN(MAX(L1083,0),'P-Parametri'!$B$8*(L1083+K1083)))</f>
        <v>-38305.718021420536</v>
      </c>
      <c r="O1083" s="18">
        <f>IF($A1083&gt;'1-Input'!$B$26,O1082,O1082-J1083*(1-I1083))</f>
        <v>-36044.864944993671</v>
      </c>
      <c r="P1083" s="11">
        <f>IF($A1083&gt;'1-Input'!$B$26,0,IF(U1082&lt;=0,0,MAX(0,(U1082-V1082)/U1082)))</f>
        <v>0.67482508538851038</v>
      </c>
      <c r="Q1083" s="18">
        <f>IF($A1083&gt;'1-Input'!$B$26,0,(MAX(0,P1056-IF($A1083&gt;='1-Input'!$C$12,'1-Input'!$B$12,0))-MIN(MAX(T1082,0),MAX(0,P1056-IF($A1083&gt;='1-Input'!$C$12,'1-Input'!$B$12,0))))*(1/(1-'P-Parametri'!$B$6*P1083))+MIN(MAX(0,U1082-(MAX(0,P1056-IF($A1083&gt;='1-Input'!$C$12,'1-Input'!$B$12,0))-MIN(MAX(T1082,0),MAX(0,P1056-IF($A1083&gt;='1-Input'!$C$12,'1-Input'!$B$12,0))))*(1/(1-'P-Parametri'!$B$6*P1083))),MAX(0,2*P1056-(T1082-MIN(MAX(T1082,0),MAX(0,P1056-IF($A1083&gt;='1-Input'!$C$12,'1-Input'!$B$12,0)))))*(1/(1-'P-Parametri'!$B$6*P1083))))</f>
        <v>8085.0269454239997</v>
      </c>
      <c r="R1083" s="18">
        <f>IF($A1083&gt;'1-Input'!$B$26,T1082,(T1082-MAX(0,P1056-IF($A1083&gt;='1-Input'!$C$12,'1-Input'!$B$12,0))+Q1083*(1-'P-Parametri'!$B$6*P1083))*(1+'1-Input'!$B$27))</f>
        <v>35155.889406417155</v>
      </c>
      <c r="S1083" s="18">
        <f>IF($A1083&gt;'1-Input'!$B$26,U1082,(U1082-Q1083)*(1+'5-Roberta'!$C$4))</f>
        <v>93801.128879415672</v>
      </c>
      <c r="T1083" s="18">
        <f>IF($A1083&gt;'1-Input'!$B$26,R1083,R1083-'P-Parametri'!$B$8*(S1083+R1083)+MIN(MAX(S1083,0),'P-Parametri'!$B$8*(S1083+R1083)))</f>
        <v>35155.889406417155</v>
      </c>
      <c r="U1083" s="18">
        <f>IF($A1083&gt;'1-Input'!$B$26,S1083,S1083-MIN(MAX(S1083,0),'P-Parametri'!$B$8*(S1083+R1083)))</f>
        <v>93543.214842844012</v>
      </c>
      <c r="V1083" s="18">
        <f>IF($A1083&gt;'1-Input'!$B$26,V1082,V1082-Q1083*(1-P1083))</f>
        <v>29613.372887209047</v>
      </c>
      <c r="W1083" s="11">
        <f>IF($A1083&gt;'1-Input'!$B$26,0,IF(AB1082&lt;=0,0,MAX(0,(AB1082-AC1082)/AB1082)))</f>
        <v>0.67489658196539637</v>
      </c>
      <c r="X1083" s="18">
        <f>IF($A1083&gt;'1-Input'!$B$26,0,(MAX(0,W1056-IF($A1083&gt;='1-Input'!$C$12,'1-Input'!$B$12,0))-MIN(MAX(AA1082,0),MAX(0,W1056-IF($A1083&gt;='1-Input'!$C$12,'1-Input'!$B$12,0))))*(1/(1-'P-Parametri'!$B$6*W1083))+MIN(MAX(0,AB1082-(MAX(0,W1056-IF($A1083&gt;='1-Input'!$C$12,'1-Input'!$B$12,0))-MIN(MAX(AA1082,0),MAX(0,W1056-IF($A1083&gt;='1-Input'!$C$12,'1-Input'!$B$12,0))))*(1/(1-'P-Parametri'!$B$6*W1083))),MAX(0,2*W1056-(AA1082-MIN(MAX(AA1082,0),MAX(0,W1056-IF($A1083&gt;='1-Input'!$C$12,'1-Input'!$B$12,0)))))*(1/(1-'P-Parametri'!$B$6*W1083))))</f>
        <v>7943.8651761600286</v>
      </c>
      <c r="Y1083" s="18">
        <f>IF($A1083&gt;'1-Input'!$B$26,AA1082,(AA1082-MAX(0,W1056-IF($A1083&gt;='1-Input'!$C$12,'1-Input'!$B$12,0))+X1083*(1-'P-Parametri'!$B$6*W1083))*(1+'1-Input'!$B$27))</f>
        <v>34925.304782144136</v>
      </c>
      <c r="Z1083" s="18">
        <f>IF($A1083&gt;'1-Input'!$B$26,AB1082,(AB1082-X1083)*(1+'5-Roberta'!$C$4))</f>
        <v>99208.340243811064</v>
      </c>
      <c r="AA1083" s="18">
        <f>IF($A1083&gt;'1-Input'!$B$26,Y1083,Y1083-'P-Parametri'!$B$8*(Z1083+Y1083)+MIN(MAX(Z1083,0),'P-Parametri'!$B$8*(Z1083+Y1083)))</f>
        <v>34925.304782144136</v>
      </c>
      <c r="AB1083" s="18">
        <f>IF($A1083&gt;'1-Input'!$B$26,Z1083,Z1083-MIN(MAX(Z1083,0),'P-Parametri'!$B$8*(Z1083+Y1083)))</f>
        <v>98940.072953759154</v>
      </c>
      <c r="AC1083" s="18">
        <f>IF($A1083&gt;'1-Input'!$B$26,AC1082,AC1082-X1083*(1-W1083))</f>
        <v>31313.563602721257</v>
      </c>
      <c r="AD1083" s="11">
        <f>IF($A1083&gt;'1-Input'!$B$26,0,IF(AI1082&lt;=0,0,MAX(0,(AI1082-AJ1082)/AI1082)))</f>
        <v>0.67490198092113052</v>
      </c>
      <c r="AE1083" s="18">
        <f>IF($A1083&gt;'1-Input'!$B$26,0,(MAX(0,AD1056-IF($A1083&gt;='1-Input'!$C$12,'1-Input'!$B$12,0))-MIN(MAX(AH1082,0),MAX(0,AD1056-IF($A1083&gt;='1-Input'!$C$12,'1-Input'!$B$12,0))))*(1/(1-'P-Parametri'!$B$6*AD1083))+MIN(MAX(0,AI1082-(MAX(0,AD1056-IF($A1083&gt;='1-Input'!$C$12,'1-Input'!$B$12,0))-MIN(MAX(AH1082,0),MAX(0,AD1056-IF($A1083&gt;='1-Input'!$C$12,'1-Input'!$B$12,0))))*(1/(1-'P-Parametri'!$B$6*AD1083))),MAX(0,2*AD1056-(AH1082-MIN(MAX(AH1082,0),MAX(0,AD1056-IF($A1083&gt;='1-Input'!$C$12,'1-Input'!$B$12,0)))))*(1/(1-'P-Parametri'!$B$6*AD1083))))</f>
        <v>7932.8422450763865</v>
      </c>
      <c r="AF1083" s="18">
        <f>IF($A1083&gt;'1-Input'!$B$26,AH1082,(AH1082-MAX(0,AD1056-IF($A1083&gt;='1-Input'!$C$12,'1-Input'!$B$12,0))+AE1083*(1-'P-Parametri'!$B$6*AD1083))*(1+'1-Input'!$B$27))</f>
        <v>34907.300256313618</v>
      </c>
      <c r="AG1083" s="18">
        <f>IF($A1083&gt;'1-Input'!$B$26,AI1082,(AI1082-AE1083)*(1+'5-Roberta'!$C$4))</f>
        <v>99630.551571738528</v>
      </c>
      <c r="AH1083" s="18">
        <f>IF($A1083&gt;'1-Input'!$B$26,AF1083,AF1083-'P-Parametri'!$B$8*(AG1083+AF1083)+MIN(MAX(AG1083,0),'P-Parametri'!$B$8*(AG1083+AF1083)))</f>
        <v>34907.300256313618</v>
      </c>
      <c r="AI1083" s="18">
        <f>IF($A1083&gt;'1-Input'!$B$26,AG1083,AG1083-MIN(MAX(AG1083,0),'P-Parametri'!$B$8*(AG1083+AF1083)))</f>
        <v>99361.475868082431</v>
      </c>
      <c r="AJ1083" s="18">
        <f>IF($A1083&gt;'1-Input'!$B$26,AJ1082,AJ1082-AE1083*(1-AD1083))</f>
        <v>31446.305782240132</v>
      </c>
      <c r="AK1083" s="11">
        <f>IF($A1083&gt;'1-Input'!$B$26,0,IF(AP1082&lt;=0,0,MAX(0,(AP1082-AQ1082)/AP1082)))</f>
        <v>0.67490195689706145</v>
      </c>
      <c r="AL1083" s="18">
        <f>IF($A1083&gt;'1-Input'!$B$26,0,(MAX(0,AK1056-IF($A1083&gt;='1-Input'!$C$12,'1-Input'!$B$12,0))-MIN(MAX(AO1082,0),MAX(0,AK1056-IF($A1083&gt;='1-Input'!$C$12,'1-Input'!$B$12,0))))*(1/(1-'P-Parametri'!$B$6*AK1083))+MIN(MAX(0,AP1082-(MAX(0,AK1056-IF($A1083&gt;='1-Input'!$C$12,'1-Input'!$B$12,0))-MIN(MAX(AO1082,0),MAX(0,AK1056-IF($A1083&gt;='1-Input'!$C$12,'1-Input'!$B$12,0))))*(1/(1-'P-Parametri'!$B$6*AK1083))),MAX(0,2*AK1056-(AO1082-MIN(MAX(AO1082,0),MAX(0,AK1056-IF($A1083&gt;='1-Input'!$C$12,'1-Input'!$B$12,0)))))*(1/(1-'P-Parametri'!$B$6*AK1083))))</f>
        <v>7932.8914103412108</v>
      </c>
      <c r="AM1083" s="18">
        <f>IF($A1083&gt;'1-Input'!$B$26,AO1082,(AO1082-MAX(0,AK1056-IF($A1083&gt;='1-Input'!$C$12,'1-Input'!$B$12,0))+AL1083*(1-'P-Parametri'!$B$6*AK1083))*(1+'1-Input'!$B$27))</f>
        <v>34907.38056101869</v>
      </c>
      <c r="AN1083" s="18">
        <f>IF($A1083&gt;'1-Input'!$B$26,AP1082,(AP1082-AL1083)*(1+'5-Roberta'!$C$4))</f>
        <v>99628.668401634597</v>
      </c>
      <c r="AO1083" s="18">
        <f>IF($A1083&gt;'1-Input'!$B$26,AM1083,AM1083-'P-Parametri'!$B$8*(AN1083+AM1083)+MIN(MAX(AN1083,0),'P-Parametri'!$B$8*(AN1083+AM1083)))</f>
        <v>34907.38056101869</v>
      </c>
      <c r="AP1083" s="18">
        <f>IF($A1083&gt;'1-Input'!$B$26,AN1083,AN1083-MIN(MAX(AN1083,0),'P-Parametri'!$B$8*(AN1083+AM1083)))</f>
        <v>99359.596303709288</v>
      </c>
      <c r="AQ1083" s="18">
        <f>IF($A1083&gt;'1-Input'!$B$26,AQ1082,AQ1082-AL1083*(1-AK1083))</f>
        <v>31445.713722643668</v>
      </c>
    </row>
    <row r="1084" spans="1:43">
      <c r="A1084" s="10">
        <f>26</f>
        <v>26</v>
      </c>
      <c r="B1084" s="11">
        <f>IF($A1084&gt;'1-Input'!$B$26,0,IF(G1083&lt;=0,0,MAX(0,(G1083-H1083)/G1083)))</f>
        <v>0.68398779019560096</v>
      </c>
      <c r="C1084" s="18">
        <f>IF($A1084&gt;'1-Input'!$B$26,0,(MAX(0,B1056-IF($A1084&gt;='1-Input'!$C$12,'1-Input'!$B$12,0))-MIN(MAX(F1083,0),MAX(0,B1056-IF($A1084&gt;='1-Input'!$C$12,'1-Input'!$B$12,0))))*(1/(1-'P-Parametri'!$B$6*B1084))+MIN(MAX(0,G1083-(MAX(0,B1056-IF($A1084&gt;='1-Input'!$C$12,'1-Input'!$B$12,0))-MIN(MAX(F1083,0),MAX(0,B1056-IF($A1084&gt;='1-Input'!$C$12,'1-Input'!$B$12,0))))*(1/(1-'P-Parametri'!$B$6*B1084))),MAX(0,2*B1056-(F1083-MIN(MAX(F1083,0),MAX(0,B1056-IF($A1084&gt;='1-Input'!$C$12,'1-Input'!$B$12,0)))))*(1/(1-'P-Parametri'!$B$6*B1084))))</f>
        <v>6931.9073017547898</v>
      </c>
      <c r="D1084" s="18">
        <f>IF($A1084&gt;'1-Input'!$B$26,F1083,(F1083-MAX(0,B1056-IF($A1084&gt;='1-Input'!$C$12,'1-Input'!$B$12,0))+C1084*(1-'P-Parametri'!$B$6*B1084))*(1+'1-Input'!$B$27))</f>
        <v>33242.0070309863</v>
      </c>
      <c r="E1084" s="18">
        <f>IF($A1084&gt;'1-Input'!$B$26,G1083,(G1083-C1084)*(1+'5-Roberta'!$C$4))</f>
        <v>135351.40697203722</v>
      </c>
      <c r="F1084" s="18">
        <f>IF($A1084&gt;'1-Input'!$B$26,D1084,D1084-'P-Parametri'!$B$8*(E1084+D1084)+MIN(MAX(E1084,0),'P-Parametri'!$B$8*(E1084+D1084)))</f>
        <v>33242.0070309863</v>
      </c>
      <c r="G1084" s="18">
        <f>IF($A1084&gt;'1-Input'!$B$26,E1084,E1084-MIN(MAX(E1084,0),'P-Parametri'!$B$8*(E1084+D1084)))</f>
        <v>135014.22014403116</v>
      </c>
      <c r="H1084" s="18">
        <f>IF($A1084&gt;'1-Input'!$B$26,H1083,H1083-C1084*(1-B1084))</f>
        <v>41526.890502299044</v>
      </c>
      <c r="I1084" s="11">
        <f>IF($A1084&gt;'1-Input'!$B$26,0,IF(N1083&lt;=0,0,MAX(0,(N1083-O1083)/N1083)))</f>
        <v>0</v>
      </c>
      <c r="J1084" s="18">
        <f>IF($A1084&gt;'1-Input'!$B$26,0,(MAX(0,I1056-IF($A1084&gt;='1-Input'!$C$12,'1-Input'!$B$12,0))-MIN(MAX(M1083,0),MAX(0,I1056-IF($A1084&gt;='1-Input'!$C$12,'1-Input'!$B$12,0))))*(1/(1-'P-Parametri'!$B$6*I1084))+MIN(MAX(0,N1083-(MAX(0,I1056-IF($A1084&gt;='1-Input'!$C$12,'1-Input'!$B$12,0))-MIN(MAX(M1083,0),MAX(0,I1056-IF($A1084&gt;='1-Input'!$C$12,'1-Input'!$B$12,0))))*(1/(1-'P-Parametri'!$B$6*I1084))),MAX(0,2*I1056-(M1083-MIN(MAX(M1083,0),MAX(0,I1056-IF($A1084&gt;='1-Input'!$C$12,'1-Input'!$B$12,0)))))*(1/(1-'P-Parametri'!$B$6*I1084))))</f>
        <v>10846.756992928691</v>
      </c>
      <c r="K1084" s="18">
        <f>IF($A1084&gt;'1-Input'!$B$26,M1083,(M1083-MAX(0,I1056-IF($A1084&gt;='1-Input'!$C$12,'1-Input'!$B$12,0))+J1084*(1-'P-Parametri'!$B$6*I1084))*(1+'1-Input'!$B$27))</f>
        <v>0</v>
      </c>
      <c r="L1084" s="18">
        <f>IF($A1084&gt;'1-Input'!$B$26,N1083,(N1083-J1084)*(1+'5-Roberta'!$C$4))</f>
        <v>-50627.049264779707</v>
      </c>
      <c r="M1084" s="18">
        <f>IF($A1084&gt;'1-Input'!$B$26,K1084,K1084-'P-Parametri'!$B$8*(L1084+K1084)+MIN(MAX(L1084,0),'P-Parametri'!$B$8*(L1084+K1084)))</f>
        <v>0</v>
      </c>
      <c r="N1084" s="18">
        <f>IF($A1084&gt;'1-Input'!$B$26,L1084,L1084-MIN(MAX(L1084,0),'P-Parametri'!$B$8*(L1084+K1084)))</f>
        <v>-50525.795166250151</v>
      </c>
      <c r="O1084" s="18">
        <f>IF($A1084&gt;'1-Input'!$B$26,O1083,O1083-J1084*(1-I1084))</f>
        <v>-46891.621937922362</v>
      </c>
      <c r="P1084" s="11">
        <f>IF($A1084&gt;'1-Input'!$B$26,0,IF(U1083&lt;=0,0,MAX(0,(U1083-V1083)/U1083)))</f>
        <v>0.68342575207661416</v>
      </c>
      <c r="Q1084" s="18">
        <f>IF($A1084&gt;'1-Input'!$B$26,0,(MAX(0,P1056-IF($A1084&gt;='1-Input'!$C$12,'1-Input'!$B$12,0))-MIN(MAX(T1083,0),MAX(0,P1056-IF($A1084&gt;='1-Input'!$C$12,'1-Input'!$B$12,0))))*(1/(1-'P-Parametri'!$B$6*P1084))+MIN(MAX(0,U1083-(MAX(0,P1056-IF($A1084&gt;='1-Input'!$C$12,'1-Input'!$B$12,0))-MIN(MAX(T1083,0),MAX(0,P1056-IF($A1084&gt;='1-Input'!$C$12,'1-Input'!$B$12,0))))*(1/(1-'P-Parametri'!$B$6*P1084))),MAX(0,2*P1056-(T1083-MIN(MAX(T1083,0),MAX(0,P1056-IF($A1084&gt;='1-Input'!$C$12,'1-Input'!$B$12,0)))))*(1/(1-'P-Parametri'!$B$6*P1084))))</f>
        <v>8107.0132243115677</v>
      </c>
      <c r="R1084" s="18">
        <f>IF($A1084&gt;'1-Input'!$B$26,T1083,(T1083-MAX(0,P1056-IF($A1084&gt;='1-Input'!$C$12,'1-Input'!$B$12,0))+Q1084*(1-'P-Parametri'!$B$6*P1084))*(1+'1-Input'!$B$27))</f>
        <v>35155.889406417155</v>
      </c>
      <c r="S1084" s="18">
        <f>IF($A1084&gt;'1-Input'!$B$26,U1083,(U1083-Q1084)*(1+'5-Roberta'!$C$4))</f>
        <v>87999.287667088429</v>
      </c>
      <c r="T1084" s="18">
        <f>IF($A1084&gt;'1-Input'!$B$26,R1084,R1084-'P-Parametri'!$B$8*(S1084+R1084)+MIN(MAX(S1084,0),'P-Parametri'!$B$8*(S1084+R1084)))</f>
        <v>35155.889406417155</v>
      </c>
      <c r="U1084" s="18">
        <f>IF($A1084&gt;'1-Input'!$B$26,S1084,S1084-MIN(MAX(S1084,0),'P-Parametri'!$B$8*(S1084+R1084)))</f>
        <v>87752.977312941424</v>
      </c>
      <c r="V1084" s="18">
        <f>IF($A1084&gt;'1-Input'!$B$26,V1083,V1083-Q1084*(1-P1084))</f>
        <v>27046.901272817668</v>
      </c>
      <c r="W1084" s="11">
        <f>IF($A1084&gt;'1-Input'!$B$26,0,IF(AB1083&lt;=0,0,MAX(0,(AB1083-AC1083)/AB1083)))</f>
        <v>0.6835097987308334</v>
      </c>
      <c r="X1084" s="18">
        <f>IF($A1084&gt;'1-Input'!$B$26,0,(MAX(0,W1056-IF($A1084&gt;='1-Input'!$C$12,'1-Input'!$B$12,0))-MIN(MAX(AA1083,0),MAX(0,W1056-IF($A1084&gt;='1-Input'!$C$12,'1-Input'!$B$12,0))))*(1/(1-'P-Parametri'!$B$6*W1084))+MIN(MAX(0,AB1083-(MAX(0,W1056-IF($A1084&gt;='1-Input'!$C$12,'1-Input'!$B$12,0))-MIN(MAX(AA1083,0),MAX(0,W1056-IF($A1084&gt;='1-Input'!$C$12,'1-Input'!$B$12,0))))*(1/(1-'P-Parametri'!$B$6*W1084))),MAX(0,2*W1056-(AA1083-MIN(MAX(AA1083,0),MAX(0,W1056-IF($A1084&gt;='1-Input'!$C$12,'1-Input'!$B$12,0)))))*(1/(1-'P-Parametri'!$B$6*W1084))))</f>
        <v>7965.4996793452428</v>
      </c>
      <c r="Y1084" s="18">
        <f>IF($A1084&gt;'1-Input'!$B$26,AA1083,(AA1083-MAX(0,W1056-IF($A1084&gt;='1-Input'!$C$12,'1-Input'!$B$12,0))+X1084*(1-'P-Parametri'!$B$6*W1084))*(1+'1-Input'!$B$27))</f>
        <v>34925.304782144136</v>
      </c>
      <c r="Z1084" s="18">
        <f>IF($A1084&gt;'1-Input'!$B$26,AB1083,(AB1083-X1084)*(1+'5-Roberta'!$C$4))</f>
        <v>93703.810472646335</v>
      </c>
      <c r="AA1084" s="18">
        <f>IF($A1084&gt;'1-Input'!$B$26,Y1084,Y1084-'P-Parametri'!$B$8*(Z1084+Y1084)+MIN(MAX(Z1084,0),'P-Parametri'!$B$8*(Z1084+Y1084)))</f>
        <v>34925.304782144136</v>
      </c>
      <c r="AB1084" s="18">
        <f>IF($A1084&gt;'1-Input'!$B$26,Z1084,Z1084-MIN(MAX(Z1084,0),'P-Parametri'!$B$8*(Z1084+Y1084)))</f>
        <v>93446.55224213675</v>
      </c>
      <c r="AC1084" s="18">
        <f>IF($A1084&gt;'1-Input'!$B$26,AC1083,AC1083-X1084*(1-W1084))</f>
        <v>28792.561005995798</v>
      </c>
      <c r="AD1084" s="11">
        <f>IF($A1084&gt;'1-Input'!$B$26,0,IF(AI1083&lt;=0,0,MAX(0,(AI1083-AJ1083)/AI1083)))</f>
        <v>0.68351611620594366</v>
      </c>
      <c r="AE1084" s="18">
        <f>IF($A1084&gt;'1-Input'!$B$26,0,(MAX(0,AD1056-IF($A1084&gt;='1-Input'!$C$12,'1-Input'!$B$12,0))-MIN(MAX(AH1083,0),MAX(0,AD1056-IF($A1084&gt;='1-Input'!$C$12,'1-Input'!$B$12,0))))*(1/(1-'P-Parametri'!$B$6*AD1084))+MIN(MAX(0,AI1083-(MAX(0,AD1056-IF($A1084&gt;='1-Input'!$C$12,'1-Input'!$B$12,0))-MIN(MAX(AH1083,0),MAX(0,AD1056-IF($A1084&gt;='1-Input'!$C$12,'1-Input'!$B$12,0))))*(1/(1-'P-Parametri'!$B$6*AD1084))),MAX(0,2*AD1056-(AH1083-MIN(MAX(AH1083,0),MAX(0,AD1056-IF($A1084&gt;='1-Input'!$C$12,'1-Input'!$B$12,0)))))*(1/(1-'P-Parametri'!$B$6*AD1084))))</f>
        <v>7954.4490752375168</v>
      </c>
      <c r="AF1084" s="18">
        <f>IF($A1084&gt;'1-Input'!$B$26,AH1083,(AH1083-MAX(0,AD1056-IF($A1084&gt;='1-Input'!$C$12,'1-Input'!$B$12,0))+AE1084*(1-'P-Parametri'!$B$6*AD1084))*(1+'1-Input'!$B$27))</f>
        <v>34907.300256313618</v>
      </c>
      <c r="AG1084" s="18">
        <f>IF($A1084&gt;'1-Input'!$B$26,AI1083,(AI1083-AE1084)*(1+'5-Roberta'!$C$4))</f>
        <v>94149.237596630264</v>
      </c>
      <c r="AH1084" s="18">
        <f>IF($A1084&gt;'1-Input'!$B$26,AF1084,AF1084-'P-Parametri'!$B$8*(AG1084+AF1084)+MIN(MAX(AG1084,0),'P-Parametri'!$B$8*(AG1084+AF1084)))</f>
        <v>34907.300256313618</v>
      </c>
      <c r="AI1084" s="18">
        <f>IF($A1084&gt;'1-Input'!$B$26,AG1084,AG1084-MIN(MAX(AG1084,0),'P-Parametri'!$B$8*(AG1084+AF1084)))</f>
        <v>93891.124520924379</v>
      </c>
      <c r="AJ1084" s="18">
        <f>IF($A1084&gt;'1-Input'!$B$26,AJ1083,AJ1083-AE1084*(1-AD1084))</f>
        <v>28928.850845466921</v>
      </c>
      <c r="AK1084" s="11">
        <f>IF($A1084&gt;'1-Input'!$B$26,0,IF(AP1083&lt;=0,0,MAX(0,(AP1083-AQ1083)/AP1083)))</f>
        <v>0.68351608810361331</v>
      </c>
      <c r="AL1084" s="18">
        <f>IF($A1084&gt;'1-Input'!$B$26,0,(MAX(0,AK1056-IF($A1084&gt;='1-Input'!$C$12,'1-Input'!$B$12,0))-MIN(MAX(AO1083,0),MAX(0,AK1056-IF($A1084&gt;='1-Input'!$C$12,'1-Input'!$B$12,0))))*(1/(1-'P-Parametri'!$B$6*AK1084))+MIN(MAX(0,AP1083-(MAX(0,AK1056-IF($A1084&gt;='1-Input'!$C$12,'1-Input'!$B$12,0))-MIN(MAX(AO1083,0),MAX(0,AK1056-IF($A1084&gt;='1-Input'!$C$12,'1-Input'!$B$12,0))))*(1/(1-'P-Parametri'!$B$6*AK1084))),MAX(0,2*AK1056-(AO1083-MIN(MAX(AO1083,0),MAX(0,AK1056-IF($A1084&gt;='1-Input'!$C$12,'1-Input'!$B$12,0)))))*(1/(1-'P-Parametri'!$B$6*AK1084))))</f>
        <v>7954.4983639931315</v>
      </c>
      <c r="AM1084" s="18">
        <f>IF($A1084&gt;'1-Input'!$B$26,AO1083,(AO1083-MAX(0,AK1056-IF($A1084&gt;='1-Input'!$C$12,'1-Input'!$B$12,0))+AL1084*(1-'P-Parametri'!$B$6*AK1084))*(1+'1-Input'!$B$27))</f>
        <v>34907.38056101869</v>
      </c>
      <c r="AN1084" s="18">
        <f>IF($A1084&gt;'1-Input'!$B$26,AP1083,(AP1083-AL1084)*(1+'5-Roberta'!$C$4))</f>
        <v>94147.250877907645</v>
      </c>
      <c r="AO1084" s="18">
        <f>IF($A1084&gt;'1-Input'!$B$26,AM1084,AM1084-'P-Parametri'!$B$8*(AN1084+AM1084)+MIN(MAX(AN1084,0),'P-Parametri'!$B$8*(AN1084+AM1084)))</f>
        <v>34907.38056101869</v>
      </c>
      <c r="AP1084" s="18">
        <f>IF($A1084&gt;'1-Input'!$B$26,AN1084,AN1084-MIN(MAX(AN1084,0),'P-Parametri'!$B$8*(AN1084+AM1084)))</f>
        <v>93889.141615029788</v>
      </c>
      <c r="AQ1084" s="18">
        <f>IF($A1084&gt;'1-Input'!$B$26,AQ1083,AQ1083-AL1084*(1-AK1084))</f>
        <v>28928.242963233715</v>
      </c>
    </row>
    <row r="1085" spans="1:43">
      <c r="A1085" s="10">
        <f>27</f>
        <v>27</v>
      </c>
      <c r="B1085" s="11">
        <f>IF($A1085&gt;'1-Input'!$B$26,0,IF(G1084&lt;=0,0,MAX(0,(G1084-H1084)/G1084)))</f>
        <v>0.69242580183036451</v>
      </c>
      <c r="C1085" s="18">
        <f>IF($A1085&gt;'1-Input'!$B$26,0,(MAX(0,B1056-IF($A1085&gt;='1-Input'!$C$12,'1-Input'!$B$12,0))-MIN(MAX(F1084,0),MAX(0,B1056-IF($A1085&gt;='1-Input'!$C$12,'1-Input'!$B$12,0))))*(1/(1-'P-Parametri'!$B$6*B1085))+MIN(MAX(0,G1084-(MAX(0,B1056-IF($A1085&gt;='1-Input'!$C$12,'1-Input'!$B$12,0))-MIN(MAX(F1084,0),MAX(0,B1056-IF($A1085&gt;='1-Input'!$C$12,'1-Input'!$B$12,0))))*(1/(1-'P-Parametri'!$B$6*B1085))),MAX(0,2*B1056-(F1084-MIN(MAX(F1084,0),MAX(0,B1056-IF($A1085&gt;='1-Input'!$C$12,'1-Input'!$B$12,0)))))*(1/(1-'P-Parametri'!$B$6*B1085))))</f>
        <v>6950.4540862717968</v>
      </c>
      <c r="D1085" s="18">
        <f>IF($A1085&gt;'1-Input'!$B$26,F1084,(F1084-MAX(0,B1056-IF($A1085&gt;='1-Input'!$C$12,'1-Input'!$B$12,0))+C1085*(1-'P-Parametri'!$B$6*B1085))*(1+'1-Input'!$B$27))</f>
        <v>33242.0070309863</v>
      </c>
      <c r="E1085" s="18">
        <f>IF($A1085&gt;'1-Input'!$B$26,G1084,(G1084-C1085)*(1+'5-Roberta'!$C$4))</f>
        <v>131905.67903949216</v>
      </c>
      <c r="F1085" s="18">
        <f>IF($A1085&gt;'1-Input'!$B$26,D1085,D1085-'P-Parametri'!$B$8*(E1085+D1085)+MIN(MAX(E1085,0),'P-Parametri'!$B$8*(E1085+D1085)))</f>
        <v>33242.0070309863</v>
      </c>
      <c r="G1085" s="18">
        <f>IF($A1085&gt;'1-Input'!$B$26,E1085,E1085-MIN(MAX(E1085,0),'P-Parametri'!$B$8*(E1085+D1085)))</f>
        <v>131575.38366735121</v>
      </c>
      <c r="H1085" s="18">
        <f>IF($A1085&gt;'1-Input'!$B$26,H1084,H1084-C1085*(1-B1085))</f>
        <v>39389.110159799129</v>
      </c>
      <c r="I1085" s="11">
        <f>IF($A1085&gt;'1-Input'!$B$26,0,IF(N1084&lt;=0,0,MAX(0,(N1084-O1084)/N1084)))</f>
        <v>0</v>
      </c>
      <c r="J1085" s="18">
        <f>IF($A1085&gt;'1-Input'!$B$26,0,(MAX(0,I1056-IF($A1085&gt;='1-Input'!$C$12,'1-Input'!$B$12,0))-MIN(MAX(M1084,0),MAX(0,I1056-IF($A1085&gt;='1-Input'!$C$12,'1-Input'!$B$12,0))))*(1/(1-'P-Parametri'!$B$6*I1085))+MIN(MAX(0,N1084-(MAX(0,I1056-IF($A1085&gt;='1-Input'!$C$12,'1-Input'!$B$12,0))-MIN(MAX(M1084,0),MAX(0,I1056-IF($A1085&gt;='1-Input'!$C$12,'1-Input'!$B$12,0))))*(1/(1-'P-Parametri'!$B$6*I1085))),MAX(0,2*I1056-(M1084-MIN(MAX(M1084,0),MAX(0,I1056-IF($A1085&gt;='1-Input'!$C$12,'1-Input'!$B$12,0)))))*(1/(1-'P-Parametri'!$B$6*I1085))))</f>
        <v>10846.756992928691</v>
      </c>
      <c r="K1085" s="18">
        <f>IF($A1085&gt;'1-Input'!$B$26,M1084,(M1084-MAX(0,I1056-IF($A1085&gt;='1-Input'!$C$12,'1-Input'!$B$12,0))+J1085*(1-'P-Parametri'!$B$6*I1085))*(1+'1-Input'!$B$27))</f>
        <v>0</v>
      </c>
      <c r="L1085" s="18">
        <f>IF($A1085&gt;'1-Input'!$B$26,N1084,(N1084-J1085)*(1+'5-Roberta'!$C$4))</f>
        <v>-63213.728723954206</v>
      </c>
      <c r="M1085" s="18">
        <f>IF($A1085&gt;'1-Input'!$B$26,K1085,K1085-'P-Parametri'!$B$8*(L1085+K1085)+MIN(MAX(L1085,0),'P-Parametri'!$B$8*(L1085+K1085)))</f>
        <v>0</v>
      </c>
      <c r="N1085" s="18">
        <f>IF($A1085&gt;'1-Input'!$B$26,L1085,L1085-MIN(MAX(L1085,0),'P-Parametri'!$B$8*(L1085+K1085)))</f>
        <v>-63087.3012665063</v>
      </c>
      <c r="O1085" s="18">
        <f>IF($A1085&gt;'1-Input'!$B$26,O1084,O1084-J1085*(1-I1085))</f>
        <v>-57738.378930851053</v>
      </c>
      <c r="P1085" s="11">
        <f>IF($A1085&gt;'1-Input'!$B$26,0,IF(U1084&lt;=0,0,MAX(0,(U1084-V1084)/U1084)))</f>
        <v>0.69178366249199719</v>
      </c>
      <c r="Q1085" s="18">
        <f>IF($A1085&gt;'1-Input'!$B$26,0,(MAX(0,P1056-IF($A1085&gt;='1-Input'!$C$12,'1-Input'!$B$12,0))-MIN(MAX(T1084,0),MAX(0,P1056-IF($A1085&gt;='1-Input'!$C$12,'1-Input'!$B$12,0))))*(1/(1-'P-Parametri'!$B$6*P1085))+MIN(MAX(0,U1084-(MAX(0,P1056-IF($A1085&gt;='1-Input'!$C$12,'1-Input'!$B$12,0))-MIN(MAX(T1084,0),MAX(0,P1056-IF($A1085&gt;='1-Input'!$C$12,'1-Input'!$B$12,0))))*(1/(1-'P-Parametri'!$B$6*P1085))),MAX(0,2*P1056-(T1084-MIN(MAX(T1084,0),MAX(0,P1056-IF($A1085&gt;='1-Input'!$C$12,'1-Input'!$B$12,0)))))*(1/(1-'P-Parametri'!$B$6*P1085))))</f>
        <v>8128.493800883105</v>
      </c>
      <c r="R1085" s="18">
        <f>IF($A1085&gt;'1-Input'!$B$26,T1084,(T1084-MAX(0,P1056-IF($A1085&gt;='1-Input'!$C$12,'1-Input'!$B$12,0))+Q1085*(1-'P-Parametri'!$B$6*P1085))*(1+'1-Input'!$B$27))</f>
        <v>35155.889406417155</v>
      </c>
      <c r="S1085" s="18">
        <f>IF($A1085&gt;'1-Input'!$B$26,U1084,(U1084-Q1085)*(1+'5-Roberta'!$C$4))</f>
        <v>82013.218017420062</v>
      </c>
      <c r="T1085" s="18">
        <f>IF($A1085&gt;'1-Input'!$B$26,R1085,R1085-'P-Parametri'!$B$8*(S1085+R1085)+MIN(MAX(S1085,0),'P-Parametri'!$B$8*(S1085+R1085)))</f>
        <v>35155.889406417155</v>
      </c>
      <c r="U1085" s="18">
        <f>IF($A1085&gt;'1-Input'!$B$26,S1085,S1085-MIN(MAX(S1085,0),'P-Parametri'!$B$8*(S1085+R1085)))</f>
        <v>81778.879802572381</v>
      </c>
      <c r="V1085" s="18">
        <f>IF($A1085&gt;'1-Input'!$B$26,V1084,V1084-Q1085*(1-P1085))</f>
        <v>24541.566684052974</v>
      </c>
      <c r="W1085" s="11">
        <f>IF($A1085&gt;'1-Input'!$B$26,0,IF(AB1084&lt;=0,0,MAX(0,(AB1084-AC1084)/AB1084)))</f>
        <v>0.69188204042681944</v>
      </c>
      <c r="X1085" s="18">
        <f>IF($A1085&gt;'1-Input'!$B$26,0,(MAX(0,W1056-IF($A1085&gt;='1-Input'!$C$12,'1-Input'!$B$12,0))-MIN(MAX(AA1084,0),MAX(0,W1056-IF($A1085&gt;='1-Input'!$C$12,'1-Input'!$B$12,0))))*(1/(1-'P-Parametri'!$B$6*W1085))+MIN(MAX(0,AB1084-(MAX(0,W1056-IF($A1085&gt;='1-Input'!$C$12,'1-Input'!$B$12,0))-MIN(MAX(AA1084,0),MAX(0,W1056-IF($A1085&gt;='1-Input'!$C$12,'1-Input'!$B$12,0))))*(1/(1-'P-Parametri'!$B$6*W1085))),MAX(0,2*W1056-(AA1084-MIN(MAX(AA1084,0),MAX(0,W1056-IF($A1085&gt;='1-Input'!$C$12,'1-Input'!$B$12,0)))))*(1/(1-'P-Parametri'!$B$6*W1085))))</f>
        <v>7986.6421466569354</v>
      </c>
      <c r="Y1085" s="18">
        <f>IF($A1085&gt;'1-Input'!$B$26,AA1084,(AA1084-MAX(0,W1056-IF($A1085&gt;='1-Input'!$C$12,'1-Input'!$B$12,0))+X1085*(1-'P-Parametri'!$B$6*W1085))*(1+'1-Input'!$B$27))</f>
        <v>34925.304782144136</v>
      </c>
      <c r="Z1085" s="18">
        <f>IF($A1085&gt;'1-Input'!$B$26,AB1084,(AB1084-X1085)*(1+'5-Roberta'!$C$4))</f>
        <v>88023.70739834421</v>
      </c>
      <c r="AA1085" s="18">
        <f>IF($A1085&gt;'1-Input'!$B$26,Y1085,Y1085-'P-Parametri'!$B$8*(Z1085+Y1085)+MIN(MAX(Z1085,0),'P-Parametri'!$B$8*(Z1085+Y1085)))</f>
        <v>34925.304782144136</v>
      </c>
      <c r="AB1085" s="18">
        <f>IF($A1085&gt;'1-Input'!$B$26,Z1085,Z1085-MIN(MAX(Z1085,0),'P-Parametri'!$B$8*(Z1085+Y1085)))</f>
        <v>87777.80937398324</v>
      </c>
      <c r="AC1085" s="18">
        <f>IF($A1085&gt;'1-Input'!$B$26,AC1084,AC1084-X1085*(1-W1085))</f>
        <v>26331.733123926697</v>
      </c>
      <c r="AD1085" s="11">
        <f>IF($A1085&gt;'1-Input'!$B$26,0,IF(AI1084&lt;=0,0,MAX(0,(AI1084-AJ1084)/AI1084)))</f>
        <v>0.69188939856589005</v>
      </c>
      <c r="AE1085" s="18">
        <f>IF($A1085&gt;'1-Input'!$B$26,0,(MAX(0,AD1056-IF($A1085&gt;='1-Input'!$C$12,'1-Input'!$B$12,0))-MIN(MAX(AH1084,0),MAX(0,AD1056-IF($A1085&gt;='1-Input'!$C$12,'1-Input'!$B$12,0))))*(1/(1-'P-Parametri'!$B$6*AD1085))+MIN(MAX(0,AI1084-(MAX(0,AD1056-IF($A1085&gt;='1-Input'!$C$12,'1-Input'!$B$12,0))-MIN(MAX(AH1084,0),MAX(0,AD1056-IF($A1085&gt;='1-Input'!$C$12,'1-Input'!$B$12,0))))*(1/(1-'P-Parametri'!$B$6*AD1085))),MAX(0,2*AD1056-(AH1084-MIN(MAX(AH1084,0),MAX(0,AD1056-IF($A1085&gt;='1-Input'!$C$12,'1-Input'!$B$12,0)))))*(1/(1-'P-Parametri'!$B$6*AD1085))))</f>
        <v>7975.5648850345397</v>
      </c>
      <c r="AF1085" s="18">
        <f>IF($A1085&gt;'1-Input'!$B$26,AH1084,(AH1084-MAX(0,AD1056-IF($A1085&gt;='1-Input'!$C$12,'1-Input'!$B$12,0))+AE1085*(1-'P-Parametri'!$B$6*AD1085))*(1+'1-Input'!$B$27))</f>
        <v>34907.300256313618</v>
      </c>
      <c r="AG1085" s="18">
        <f>IF($A1085&gt;'1-Input'!$B$26,AI1084,(AI1084-AE1085)*(1+'5-Roberta'!$C$4))</f>
        <v>88493.026424966534</v>
      </c>
      <c r="AH1085" s="18">
        <f>IF($A1085&gt;'1-Input'!$B$26,AF1085,AF1085-'P-Parametri'!$B$8*(AG1085+AF1085)+MIN(MAX(AG1085,0),'P-Parametri'!$B$8*(AG1085+AF1085)))</f>
        <v>34907.300256313618</v>
      </c>
      <c r="AI1085" s="18">
        <f>IF($A1085&gt;'1-Input'!$B$26,AG1085,AG1085-MIN(MAX(AG1085,0),'P-Parametri'!$B$8*(AG1085+AF1085)))</f>
        <v>88246.225771603975</v>
      </c>
      <c r="AJ1085" s="18">
        <f>IF($A1085&gt;'1-Input'!$B$26,AJ1084,AJ1084-AE1085*(1-AD1085))</f>
        <v>26471.49475196216</v>
      </c>
      <c r="AK1085" s="11">
        <f>IF($A1085&gt;'1-Input'!$B$26,0,IF(AP1084&lt;=0,0,MAX(0,(AP1084-AQ1084)/AP1084)))</f>
        <v>0.69188936584544425</v>
      </c>
      <c r="AL1085" s="18">
        <f>IF($A1085&gt;'1-Input'!$B$26,0,(MAX(0,AK1056-IF($A1085&gt;='1-Input'!$C$12,'1-Input'!$B$12,0))-MIN(MAX(AO1084,0),MAX(0,AK1056-IF($A1085&gt;='1-Input'!$C$12,'1-Input'!$B$12,0))))*(1/(1-'P-Parametri'!$B$6*AK1085))+MIN(MAX(0,AP1084-(MAX(0,AK1056-IF($A1085&gt;='1-Input'!$C$12,'1-Input'!$B$12,0))-MIN(MAX(AO1084,0),MAX(0,AK1056-IF($A1085&gt;='1-Input'!$C$12,'1-Input'!$B$12,0))))*(1/(1-'P-Parametri'!$B$6*AK1085))),MAX(0,2*AK1056-(AO1084-MIN(MAX(AO1084,0),MAX(0,AK1056-IF($A1085&gt;='1-Input'!$C$12,'1-Input'!$B$12,0)))))*(1/(1-'P-Parametri'!$B$6*AK1085))))</f>
        <v>7975.6142927665314</v>
      </c>
      <c r="AM1085" s="18">
        <f>IF($A1085&gt;'1-Input'!$B$26,AO1084,(AO1084-MAX(0,AK1056-IF($A1085&gt;='1-Input'!$C$12,'1-Input'!$B$12,0))+AL1085*(1-'P-Parametri'!$B$6*AK1085))*(1+'1-Input'!$B$27))</f>
        <v>34907.38056101869</v>
      </c>
      <c r="AN1085" s="18">
        <f>IF($A1085&gt;'1-Input'!$B$26,AP1084,(AP1084-AL1085)*(1+'5-Roberta'!$C$4))</f>
        <v>88490.933141931149</v>
      </c>
      <c r="AO1085" s="18">
        <f>IF($A1085&gt;'1-Input'!$B$26,AM1085,AM1085-'P-Parametri'!$B$8*(AN1085+AM1085)+MIN(MAX(AN1085,0),'P-Parametri'!$B$8*(AN1085+AM1085)))</f>
        <v>34907.38056101869</v>
      </c>
      <c r="AP1085" s="18">
        <f>IF($A1085&gt;'1-Input'!$B$26,AN1085,AN1085-MIN(MAX(AN1085,0),'P-Parametri'!$B$8*(AN1085+AM1085)))</f>
        <v>88244.136514525249</v>
      </c>
      <c r="AQ1085" s="18">
        <f>IF($A1085&gt;'1-Input'!$B$26,AQ1084,AQ1084-AL1085*(1-AK1085))</f>
        <v>26470.871385717281</v>
      </c>
    </row>
    <row r="1086" spans="1:43">
      <c r="A1086" s="10">
        <f>28</f>
        <v>28</v>
      </c>
      <c r="B1086" s="11">
        <f>IF($A1086&gt;'1-Input'!$B$26,0,IF(G1085&lt;=0,0,MAX(0,(G1085-H1085)/G1085)))</f>
        <v>0.70063465473615749</v>
      </c>
      <c r="C1086" s="18">
        <f>IF($A1086&gt;'1-Input'!$B$26,0,(MAX(0,B1056-IF($A1086&gt;='1-Input'!$C$12,'1-Input'!$B$12,0))-MIN(MAX(F1085,0),MAX(0,B1056-IF($A1086&gt;='1-Input'!$C$12,'1-Input'!$B$12,0))))*(1/(1-'P-Parametri'!$B$6*B1086))+MIN(MAX(0,G1085-(MAX(0,B1056-IF($A1086&gt;='1-Input'!$C$12,'1-Input'!$B$12,0))-MIN(MAX(F1085,0),MAX(0,B1056-IF($A1086&gt;='1-Input'!$C$12,'1-Input'!$B$12,0))))*(1/(1-'P-Parametri'!$B$6*B1086))),MAX(0,2*B1056-(F1085-MIN(MAX(F1085,0),MAX(0,B1056-IF($A1086&gt;='1-Input'!$C$12,'1-Input'!$B$12,0)))))*(1/(1-'P-Parametri'!$B$6*B1086))))</f>
        <v>6968.59266745685</v>
      </c>
      <c r="D1086" s="18">
        <f>IF($A1086&gt;'1-Input'!$B$26,F1085,(F1085-MAX(0,B1056-IF($A1086&gt;='1-Input'!$C$12,'1-Input'!$B$12,0))+C1086*(1-'P-Parametri'!$B$6*B1086))*(1+'1-Input'!$B$27))</f>
        <v>33242.0070309863</v>
      </c>
      <c r="E1086" s="18">
        <f>IF($A1086&gt;'1-Input'!$B$26,G1085,(G1085-C1086)*(1+'5-Roberta'!$C$4))</f>
        <v>128344.9947298912</v>
      </c>
      <c r="F1086" s="18">
        <f>IF($A1086&gt;'1-Input'!$B$26,D1086,D1086-'P-Parametri'!$B$8*(E1086+D1086)+MIN(MAX(E1086,0),'P-Parametri'!$B$8*(E1086+D1086)))</f>
        <v>33242.0070309863</v>
      </c>
      <c r="G1086" s="18">
        <f>IF($A1086&gt;'1-Input'!$B$26,E1086,E1086-MIN(MAX(E1086,0),'P-Parametri'!$B$8*(E1086+D1086)))</f>
        <v>128021.82072636945</v>
      </c>
      <c r="H1086" s="18">
        <f>IF($A1086&gt;'1-Input'!$B$26,H1085,H1085-C1086*(1-B1086))</f>
        <v>37302.955009902827</v>
      </c>
      <c r="I1086" s="11">
        <f>IF($A1086&gt;'1-Input'!$B$26,0,IF(N1085&lt;=0,0,MAX(0,(N1085-O1085)/N1085)))</f>
        <v>0</v>
      </c>
      <c r="J1086" s="18">
        <f>IF($A1086&gt;'1-Input'!$B$26,0,(MAX(0,I1056-IF($A1086&gt;='1-Input'!$C$12,'1-Input'!$B$12,0))-MIN(MAX(M1085,0),MAX(0,I1056-IF($A1086&gt;='1-Input'!$C$12,'1-Input'!$B$12,0))))*(1/(1-'P-Parametri'!$B$6*I1086))+MIN(MAX(0,N1085-(MAX(0,I1056-IF($A1086&gt;='1-Input'!$C$12,'1-Input'!$B$12,0))-MIN(MAX(M1085,0),MAX(0,I1056-IF($A1086&gt;='1-Input'!$C$12,'1-Input'!$B$12,0))))*(1/(1-'P-Parametri'!$B$6*I1086))),MAX(0,2*I1056-(M1085-MIN(MAX(M1085,0),MAX(0,I1056-IF($A1086&gt;='1-Input'!$C$12,'1-Input'!$B$12,0)))))*(1/(1-'P-Parametri'!$B$6*I1086))))</f>
        <v>10846.756992928691</v>
      </c>
      <c r="K1086" s="18">
        <f>IF($A1086&gt;'1-Input'!$B$26,M1085,(M1085-MAX(0,I1056-IF($A1086&gt;='1-Input'!$C$12,'1-Input'!$B$12,0))+J1086*(1-'P-Parametri'!$B$6*I1086))*(1+'1-Input'!$B$27))</f>
        <v>0</v>
      </c>
      <c r="L1086" s="18">
        <f>IF($A1086&gt;'1-Input'!$B$26,N1085,(N1085-J1086)*(1+'5-Roberta'!$C$4))</f>
        <v>-76152.080007218043</v>
      </c>
      <c r="M1086" s="18">
        <f>IF($A1086&gt;'1-Input'!$B$26,K1086,K1086-'P-Parametri'!$B$8*(L1086+K1086)+MIN(MAX(L1086,0),'P-Parametri'!$B$8*(L1086+K1086)))</f>
        <v>0</v>
      </c>
      <c r="N1086" s="18">
        <f>IF($A1086&gt;'1-Input'!$B$26,L1086,L1086-MIN(MAX(L1086,0),'P-Parametri'!$B$8*(L1086+K1086)))</f>
        <v>-75999.775847203608</v>
      </c>
      <c r="O1086" s="18">
        <f>IF($A1086&gt;'1-Input'!$B$26,O1085,O1085-J1086*(1-I1086))</f>
        <v>-68585.135923779744</v>
      </c>
      <c r="P1086" s="11">
        <f>IF($A1086&gt;'1-Input'!$B$26,0,IF(U1085&lt;=0,0,MAX(0,(U1085-V1085)/U1085)))</f>
        <v>0.6999033644958168</v>
      </c>
      <c r="Q1086" s="18">
        <f>IF($A1086&gt;'1-Input'!$B$26,0,(MAX(0,P1056-IF($A1086&gt;='1-Input'!$C$12,'1-Input'!$B$12,0))-MIN(MAX(T1085,0),MAX(0,P1056-IF($A1086&gt;='1-Input'!$C$12,'1-Input'!$B$12,0))))*(1/(1-'P-Parametri'!$B$6*P1086))+MIN(MAX(0,U1085-(MAX(0,P1056-IF($A1086&gt;='1-Input'!$C$12,'1-Input'!$B$12,0))-MIN(MAX(T1085,0),MAX(0,P1056-IF($A1086&gt;='1-Input'!$C$12,'1-Input'!$B$12,0))))*(1/(1-'P-Parametri'!$B$6*P1086))),MAX(0,2*P1056-(T1085-MIN(MAX(T1085,0),MAX(0,P1056-IF($A1086&gt;='1-Input'!$C$12,'1-Input'!$B$12,0)))))*(1/(1-'P-Parametri'!$B$6*P1086))))</f>
        <v>8149.4714527858496</v>
      </c>
      <c r="R1086" s="18">
        <f>IF($A1086&gt;'1-Input'!$B$26,T1085,(T1085-MAX(0,P1056-IF($A1086&gt;='1-Input'!$C$12,'1-Input'!$B$12,0))+Q1086*(1-'P-Parametri'!$B$6*P1086))*(1+'1-Input'!$B$27))</f>
        <v>35155.889406417155</v>
      </c>
      <c r="S1086" s="18">
        <f>IF($A1086&gt;'1-Input'!$B$26,U1085,(U1085-Q1086)*(1+'5-Roberta'!$C$4))</f>
        <v>75838.290600280132</v>
      </c>
      <c r="T1086" s="18">
        <f>IF($A1086&gt;'1-Input'!$B$26,R1086,R1086-'P-Parametri'!$B$8*(S1086+R1086)+MIN(MAX(S1086,0),'P-Parametri'!$B$8*(S1086+R1086)))</f>
        <v>35155.889406417155</v>
      </c>
      <c r="U1086" s="18">
        <f>IF($A1086&gt;'1-Input'!$B$26,S1086,S1086-MIN(MAX(S1086,0),'P-Parametri'!$B$8*(S1086+R1086)))</f>
        <v>75616.302240266741</v>
      </c>
      <c r="V1086" s="18">
        <f>IF($A1086&gt;'1-Input'!$B$26,V1085,V1085-Q1086*(1-P1086))</f>
        <v>22095.937719934554</v>
      </c>
      <c r="W1086" s="11">
        <f>IF($A1086&gt;'1-Input'!$B$26,0,IF(AB1085&lt;=0,0,MAX(0,(AB1085-AC1085)/AB1085)))</f>
        <v>0.70001833821417692</v>
      </c>
      <c r="X1086" s="18">
        <f>IF($A1086&gt;'1-Input'!$B$26,0,(MAX(0,W1056-IF($A1086&gt;='1-Input'!$C$12,'1-Input'!$B$12,0))-MIN(MAX(AA1085,0),MAX(0,W1056-IF($A1086&gt;='1-Input'!$C$12,'1-Input'!$B$12,0))))*(1/(1-'P-Parametri'!$B$6*W1086))+MIN(MAX(0,AB1085-(MAX(0,W1056-IF($A1086&gt;='1-Input'!$C$12,'1-Input'!$B$12,0))-MIN(MAX(AA1085,0),MAX(0,W1056-IF($A1086&gt;='1-Input'!$C$12,'1-Input'!$B$12,0))))*(1/(1-'P-Parametri'!$B$6*W1086))),MAX(0,2*W1056-(AA1085-MIN(MAX(AA1085,0),MAX(0,W1056-IF($A1086&gt;='1-Input'!$C$12,'1-Input'!$B$12,0)))))*(1/(1-'P-Parametri'!$B$6*W1086))))</f>
        <v>8007.2965967472992</v>
      </c>
      <c r="Y1086" s="18">
        <f>IF($A1086&gt;'1-Input'!$B$26,AA1085,(AA1085-MAX(0,W1056-IF($A1086&gt;='1-Input'!$C$12,'1-Input'!$B$12,0))+X1086*(1-'P-Parametri'!$B$6*W1086))*(1+'1-Input'!$B$27))</f>
        <v>34925.304782144136</v>
      </c>
      <c r="Z1086" s="18">
        <f>IF($A1086&gt;'1-Input'!$B$26,AB1085,(AB1085-X1086)*(1+'5-Roberta'!$C$4))</f>
        <v>82163.628160553024</v>
      </c>
      <c r="AA1086" s="18">
        <f>IF($A1086&gt;'1-Input'!$B$26,Y1086,Y1086-'P-Parametri'!$B$8*(Z1086+Y1086)+MIN(MAX(Z1086,0),'P-Parametri'!$B$8*(Z1086+Y1086)))</f>
        <v>34925.304782144136</v>
      </c>
      <c r="AB1086" s="18">
        <f>IF($A1086&gt;'1-Input'!$B$26,Z1086,Z1086-MIN(MAX(Z1086,0),'P-Parametri'!$B$8*(Z1086+Y1086)))</f>
        <v>81929.450294667637</v>
      </c>
      <c r="AC1086" s="18">
        <f>IF($A1086&gt;'1-Input'!$B$26,AC1085,AC1085-X1086*(1-W1086))</f>
        <v>23929.690984422476</v>
      </c>
      <c r="AD1086" s="11">
        <f>IF($A1086&gt;'1-Input'!$B$26,0,IF(AI1085&lt;=0,0,MAX(0,(AI1085-AJ1085)/AI1085)))</f>
        <v>0.70002689043637023</v>
      </c>
      <c r="AE1086" s="18">
        <f>IF($A1086&gt;'1-Input'!$B$26,0,(MAX(0,AD1056-IF($A1086&gt;='1-Input'!$C$12,'1-Input'!$B$12,0))-MIN(MAX(AH1085,0),MAX(0,AD1056-IF($A1086&gt;='1-Input'!$C$12,'1-Input'!$B$12,0))))*(1/(1-'P-Parametri'!$B$6*AD1086))+MIN(MAX(0,AI1085-(MAX(0,AD1056-IF($A1086&gt;='1-Input'!$C$12,'1-Input'!$B$12,0))-MIN(MAX(AH1085,0),MAX(0,AD1056-IF($A1086&gt;='1-Input'!$C$12,'1-Input'!$B$12,0))))*(1/(1-'P-Parametri'!$B$6*AD1086))),MAX(0,2*AD1056-(AH1085-MIN(MAX(AH1085,0),MAX(0,AD1056-IF($A1086&gt;='1-Input'!$C$12,'1-Input'!$B$12,0)))))*(1/(1-'P-Parametri'!$B$6*AD1086))))</f>
        <v>7996.1937710674156</v>
      </c>
      <c r="AF1086" s="18">
        <f>IF($A1086&gt;'1-Input'!$B$26,AH1085,(AH1085-MAX(0,AD1056-IF($A1086&gt;='1-Input'!$C$12,'1-Input'!$B$12,0))+AE1086*(1-'P-Parametri'!$B$6*AD1086))*(1+'1-Input'!$B$27))</f>
        <v>34907.300256313618</v>
      </c>
      <c r="AG1086" s="18">
        <f>IF($A1086&gt;'1-Input'!$B$26,AI1085,(AI1085-AE1086)*(1+'5-Roberta'!$C$4))</f>
        <v>82657.532960552664</v>
      </c>
      <c r="AH1086" s="18">
        <f>IF($A1086&gt;'1-Input'!$B$26,AF1086,AF1086-'P-Parametri'!$B$8*(AG1086+AF1086)+MIN(MAX(AG1086,0),'P-Parametri'!$B$8*(AG1086+AF1086)))</f>
        <v>34907.300256313618</v>
      </c>
      <c r="AI1086" s="18">
        <f>IF($A1086&gt;'1-Input'!$B$26,AG1086,AG1086-MIN(MAX(AG1086,0),'P-Parametri'!$B$8*(AG1086+AF1086)))</f>
        <v>82422.403294118936</v>
      </c>
      <c r="AJ1086" s="18">
        <f>IF($A1086&gt;'1-Input'!$B$26,AJ1085,AJ1085-AE1086*(1-AD1086))</f>
        <v>24072.851641781741</v>
      </c>
      <c r="AK1086" s="11">
        <f>IF($A1086&gt;'1-Input'!$B$26,0,IF(AP1085&lt;=0,0,MAX(0,(AP1085-AQ1085)/AP1085)))</f>
        <v>0.70002685242027274</v>
      </c>
      <c r="AL1086" s="18">
        <f>IF($A1086&gt;'1-Input'!$B$26,0,(MAX(0,AK1056-IF($A1086&gt;='1-Input'!$C$12,'1-Input'!$B$12,0))-MIN(MAX(AO1085,0),MAX(0,AK1056-IF($A1086&gt;='1-Input'!$C$12,'1-Input'!$B$12,0))))*(1/(1-'P-Parametri'!$B$6*AK1086))+MIN(MAX(0,AP1085-(MAX(0,AK1056-IF($A1086&gt;='1-Input'!$C$12,'1-Input'!$B$12,0))-MIN(MAX(AO1085,0),MAX(0,AK1056-IF($A1086&gt;='1-Input'!$C$12,'1-Input'!$B$12,0))))*(1/(1-'P-Parametri'!$B$6*AK1086))),MAX(0,2*AK1056-(AO1085-MIN(MAX(AO1085,0),MAX(0,AK1056-IF($A1086&gt;='1-Input'!$C$12,'1-Input'!$B$12,0)))))*(1/(1-'P-Parametri'!$B$6*AK1086))))</f>
        <v>7996.2432929189927</v>
      </c>
      <c r="AM1086" s="18">
        <f>IF($A1086&gt;'1-Input'!$B$26,AO1085,(AO1085-MAX(0,AK1056-IF($A1086&gt;='1-Input'!$C$12,'1-Input'!$B$12,0))+AL1086*(1-'P-Parametri'!$B$6*AK1086))*(1+'1-Input'!$B$27))</f>
        <v>34907.38056101869</v>
      </c>
      <c r="AN1086" s="18">
        <f>IF($A1086&gt;'1-Input'!$B$26,AP1085,(AP1085-AL1086)*(1+'5-Roberta'!$C$4))</f>
        <v>82655.330018254448</v>
      </c>
      <c r="AO1086" s="18">
        <f>IF($A1086&gt;'1-Input'!$B$26,AM1086,AM1086-'P-Parametri'!$B$8*(AN1086+AM1086)+MIN(MAX(AN1086,0),'P-Parametri'!$B$8*(AN1086+AM1086)))</f>
        <v>34907.38056101869</v>
      </c>
      <c r="AP1086" s="18">
        <f>IF($A1086&gt;'1-Input'!$B$26,AN1086,AN1086-MIN(MAX(AN1086,0),'P-Parametri'!$B$8*(AN1086+AM1086)))</f>
        <v>82420.204597095901</v>
      </c>
      <c r="AQ1086" s="18">
        <f>IF($A1086&gt;'1-Input'!$B$26,AQ1085,AQ1085-AL1086*(1-AK1086))</f>
        <v>24072.213116327086</v>
      </c>
    </row>
    <row r="1087" spans="1:43">
      <c r="A1087" s="10">
        <f>29</f>
        <v>29</v>
      </c>
      <c r="B1087" s="11">
        <f>IF($A1087&gt;'1-Input'!$B$26,0,IF(G1086&lt;=0,0,MAX(0,(G1086-H1086)/G1086)))</f>
        <v>0.7086203367656112</v>
      </c>
      <c r="C1087" s="18">
        <f>IF($A1087&gt;'1-Input'!$B$26,0,(MAX(0,B1056-IF($A1087&gt;='1-Input'!$C$12,'1-Input'!$B$12,0))-MIN(MAX(F1086,0),MAX(0,B1056-IF($A1087&gt;='1-Input'!$C$12,'1-Input'!$B$12,0))))*(1/(1-'P-Parametri'!$B$6*B1087))+MIN(MAX(0,G1086-(MAX(0,B1056-IF($A1087&gt;='1-Input'!$C$12,'1-Input'!$B$12,0))-MIN(MAX(F1086,0),MAX(0,B1056-IF($A1087&gt;='1-Input'!$C$12,'1-Input'!$B$12,0))))*(1/(1-'P-Parametri'!$B$6*B1087))),MAX(0,2*B1056-(F1086-MIN(MAX(F1086,0),MAX(0,B1056-IF($A1087&gt;='1-Input'!$C$12,'1-Input'!$B$12,0)))))*(1/(1-'P-Parametri'!$B$6*B1087))))</f>
        <v>6986.3292000129413</v>
      </c>
      <c r="D1087" s="18">
        <f>IF($A1087&gt;'1-Input'!$B$26,F1086,(F1086-MAX(0,B1056-IF($A1087&gt;='1-Input'!$C$12,'1-Input'!$B$12,0))+C1087*(1-'P-Parametri'!$B$6*B1087))*(1+'1-Input'!$B$27))</f>
        <v>33242.0070309863</v>
      </c>
      <c r="E1087" s="18">
        <f>IF($A1087&gt;'1-Input'!$B$26,G1086,(G1086-C1087)*(1+'5-Roberta'!$C$4))</f>
        <v>124666.55627214721</v>
      </c>
      <c r="F1087" s="18">
        <f>IF($A1087&gt;'1-Input'!$B$26,D1087,D1087-'P-Parametri'!$B$8*(E1087+D1087)+MIN(MAX(E1087,0),'P-Parametri'!$B$8*(E1087+D1087)))</f>
        <v>33242.0070309863</v>
      </c>
      <c r="G1087" s="18">
        <f>IF($A1087&gt;'1-Input'!$B$26,E1087,E1087-MIN(MAX(E1087,0),'P-Parametri'!$B$8*(E1087+D1087)))</f>
        <v>124350.73914554094</v>
      </c>
      <c r="H1087" s="18">
        <f>IF($A1087&gt;'1-Input'!$B$26,H1086,H1086-C1087*(1-B1087))</f>
        <v>35267.280760358481</v>
      </c>
      <c r="I1087" s="11">
        <f>IF($A1087&gt;'1-Input'!$B$26,0,IF(N1086&lt;=0,0,MAX(0,(N1086-O1086)/N1086)))</f>
        <v>0</v>
      </c>
      <c r="J1087" s="18">
        <f>IF($A1087&gt;'1-Input'!$B$26,0,(MAX(0,I1056-IF($A1087&gt;='1-Input'!$C$12,'1-Input'!$B$12,0))-MIN(MAX(M1086,0),MAX(0,I1056-IF($A1087&gt;='1-Input'!$C$12,'1-Input'!$B$12,0))))*(1/(1-'P-Parametri'!$B$6*I1087))+MIN(MAX(0,N1086-(MAX(0,I1056-IF($A1087&gt;='1-Input'!$C$12,'1-Input'!$B$12,0))-MIN(MAX(M1086,0),MAX(0,I1056-IF($A1087&gt;='1-Input'!$C$12,'1-Input'!$B$12,0))))*(1/(1-'P-Parametri'!$B$6*I1087))),MAX(0,2*I1056-(M1086-MIN(MAX(M1086,0),MAX(0,I1056-IF($A1087&gt;='1-Input'!$C$12,'1-Input'!$B$12,0)))))*(1/(1-'P-Parametri'!$B$6*I1087))))</f>
        <v>10846.756992928691</v>
      </c>
      <c r="K1087" s="18">
        <f>IF($A1087&gt;'1-Input'!$B$26,M1086,(M1086-MAX(0,I1056-IF($A1087&gt;='1-Input'!$C$12,'1-Input'!$B$12,0))+J1087*(1-'P-Parametri'!$B$6*I1087))*(1+'1-Input'!$B$27))</f>
        <v>0</v>
      </c>
      <c r="L1087" s="18">
        <f>IF($A1087&gt;'1-Input'!$B$26,N1086,(N1086-J1087)*(1+'5-Roberta'!$C$4))</f>
        <v>-89451.928825336276</v>
      </c>
      <c r="M1087" s="18">
        <f>IF($A1087&gt;'1-Input'!$B$26,K1087,K1087-'P-Parametri'!$B$8*(L1087+K1087)+MIN(MAX(L1087,0),'P-Parametri'!$B$8*(L1087+K1087)))</f>
        <v>0</v>
      </c>
      <c r="N1087" s="18">
        <f>IF($A1087&gt;'1-Input'!$B$26,L1087,L1087-MIN(MAX(L1087,0),'P-Parametri'!$B$8*(L1087+K1087)))</f>
        <v>-89273.024967685604</v>
      </c>
      <c r="O1087" s="18">
        <f>IF($A1087&gt;'1-Input'!$B$26,O1086,O1086-J1087*(1-I1087))</f>
        <v>-79431.892916708428</v>
      </c>
      <c r="P1087" s="11">
        <f>IF($A1087&gt;'1-Input'!$B$26,0,IF(U1086&lt;=0,0,MAX(0,(U1086-V1086)/U1086)))</f>
        <v>0.70778870342368905</v>
      </c>
      <c r="Q1087" s="18">
        <f>IF($A1087&gt;'1-Input'!$B$26,0,(MAX(0,P1056-IF($A1087&gt;='1-Input'!$C$12,'1-Input'!$B$12,0))-MIN(MAX(T1086,0),MAX(0,P1056-IF($A1087&gt;='1-Input'!$C$12,'1-Input'!$B$12,0))))*(1/(1-'P-Parametri'!$B$6*P1087))+MIN(MAX(0,U1086-(MAX(0,P1056-IF($A1087&gt;='1-Input'!$C$12,'1-Input'!$B$12,0))-MIN(MAX(T1086,0),MAX(0,P1056-IF($A1087&gt;='1-Input'!$C$12,'1-Input'!$B$12,0))))*(1/(1-'P-Parametri'!$B$6*P1087))),MAX(0,2*P1056-(T1086-MIN(MAX(T1086,0),MAX(0,P1056-IF($A1087&gt;='1-Input'!$C$12,'1-Input'!$B$12,0)))))*(1/(1-'P-Parametri'!$B$6*P1087))))</f>
        <v>8169.9475100850123</v>
      </c>
      <c r="R1087" s="18">
        <f>IF($A1087&gt;'1-Input'!$B$26,T1086,(T1086-MAX(0,P1056-IF($A1087&gt;='1-Input'!$C$12,'1-Input'!$B$12,0))+Q1087*(1-'P-Parametri'!$B$6*P1087))*(1+'1-Input'!$B$27))</f>
        <v>35155.889406417155</v>
      </c>
      <c r="S1087" s="18">
        <f>IF($A1087&gt;'1-Input'!$B$26,U1086,(U1086-Q1087)*(1+'5-Roberta'!$C$4))</f>
        <v>69469.745372087185</v>
      </c>
      <c r="T1087" s="18">
        <f>IF($A1087&gt;'1-Input'!$B$26,R1087,R1087-'P-Parametri'!$B$8*(S1087+R1087)+MIN(MAX(S1087,0),'P-Parametri'!$B$8*(S1087+R1087)))</f>
        <v>35155.889406417155</v>
      </c>
      <c r="U1087" s="18">
        <f>IF($A1087&gt;'1-Input'!$B$26,S1087,S1087-MIN(MAX(S1087,0),'P-Parametri'!$B$8*(S1087+R1087)))</f>
        <v>69260.494102530181</v>
      </c>
      <c r="V1087" s="18">
        <f>IF($A1087&gt;'1-Input'!$B$26,V1086,V1086-Q1087*(1-P1087))</f>
        <v>19708.586765052209</v>
      </c>
      <c r="W1087" s="11">
        <f>IF($A1087&gt;'1-Input'!$B$26,0,IF(AB1086&lt;=0,0,MAX(0,(AB1086-AC1086)/AB1086)))</f>
        <v>0.7079232083413608</v>
      </c>
      <c r="X1087" s="18">
        <f>IF($A1087&gt;'1-Input'!$B$26,0,(MAX(0,W1056-IF($A1087&gt;='1-Input'!$C$12,'1-Input'!$B$12,0))-MIN(MAX(AA1086,0),MAX(0,W1056-IF($A1087&gt;='1-Input'!$C$12,'1-Input'!$B$12,0))))*(1/(1-'P-Parametri'!$B$6*W1087))+MIN(MAX(0,AB1086-(MAX(0,W1056-IF($A1087&gt;='1-Input'!$C$12,'1-Input'!$B$12,0))-MIN(MAX(AA1086,0),MAX(0,W1056-IF($A1087&gt;='1-Input'!$C$12,'1-Input'!$B$12,0))))*(1/(1-'P-Parametri'!$B$6*W1087))),MAX(0,2*W1056-(AA1086-MIN(MAX(AA1086,0),MAX(0,W1056-IF($A1087&gt;='1-Input'!$C$12,'1-Input'!$B$12,0)))))*(1/(1-'P-Parametri'!$B$6*W1087))))</f>
        <v>8027.466127598369</v>
      </c>
      <c r="Y1087" s="18">
        <f>IF($A1087&gt;'1-Input'!$B$26,AA1086,(AA1086-MAX(0,W1056-IF($A1087&gt;='1-Input'!$C$12,'1-Input'!$B$12,0))+X1087*(1-'P-Parametri'!$B$6*W1087))*(1+'1-Input'!$B$27))</f>
        <v>34925.304782144136</v>
      </c>
      <c r="Z1087" s="18">
        <f>IF($A1087&gt;'1-Input'!$B$26,AB1086,(AB1086-X1087)*(1+'5-Roberta'!$C$4))</f>
        <v>76119.043692081352</v>
      </c>
      <c r="AA1087" s="18">
        <f>IF($A1087&gt;'1-Input'!$B$26,Y1087,Y1087-'P-Parametri'!$B$8*(Z1087+Y1087)+MIN(MAX(Z1087,0),'P-Parametri'!$B$8*(Z1087+Y1087)))</f>
        <v>34925.304782144136</v>
      </c>
      <c r="AB1087" s="18">
        <f>IF($A1087&gt;'1-Input'!$B$26,Z1087,Z1087-MIN(MAX(Z1087,0),'P-Parametri'!$B$8*(Z1087+Y1087)))</f>
        <v>75896.954995132895</v>
      </c>
      <c r="AC1087" s="18">
        <f>IF($A1087&gt;'1-Input'!$B$26,AC1086,AC1086-X1087*(1-W1087))</f>
        <v>21585.054432725145</v>
      </c>
      <c r="AD1087" s="11">
        <f>IF($A1087&gt;'1-Input'!$B$26,0,IF(AI1086&lt;=0,0,MAX(0,(AI1086-AJ1086)/AI1086)))</f>
        <v>0.70793315070079488</v>
      </c>
      <c r="AE1087" s="18">
        <f>IF($A1087&gt;'1-Input'!$B$26,0,(MAX(0,AD1056-IF($A1087&gt;='1-Input'!$C$12,'1-Input'!$B$12,0))-MIN(MAX(AH1086,0),MAX(0,AD1056-IF($A1087&gt;='1-Input'!$C$12,'1-Input'!$B$12,0))))*(1/(1-'P-Parametri'!$B$6*AD1087))+MIN(MAX(0,AI1086-(MAX(0,AD1056-IF($A1087&gt;='1-Input'!$C$12,'1-Input'!$B$12,0))-MIN(MAX(AH1086,0),MAX(0,AD1056-IF($A1087&gt;='1-Input'!$C$12,'1-Input'!$B$12,0))))*(1/(1-'P-Parametri'!$B$6*AD1087))),MAX(0,2*AD1056-(AH1086-MIN(MAX(AH1086,0),MAX(0,AD1056-IF($A1087&gt;='1-Input'!$C$12,'1-Input'!$B$12,0)))))*(1/(1-'P-Parametri'!$B$6*AD1087))))</f>
        <v>8016.3389409627107</v>
      </c>
      <c r="AF1087" s="18">
        <f>IF($A1087&gt;'1-Input'!$B$26,AH1086,(AH1086-MAX(0,AD1056-IF($A1087&gt;='1-Input'!$C$12,'1-Input'!$B$12,0))+AE1087*(1-'P-Parametri'!$B$6*AD1087))*(1+'1-Input'!$B$27))</f>
        <v>34907.300256313618</v>
      </c>
      <c r="AG1087" s="18">
        <f>IF($A1087&gt;'1-Input'!$B$26,AI1086,(AI1086-AE1087)*(1+'5-Roberta'!$C$4))</f>
        <v>76638.246283750908</v>
      </c>
      <c r="AH1087" s="18">
        <f>IF($A1087&gt;'1-Input'!$B$26,AF1087,AF1087-'P-Parametri'!$B$8*(AG1087+AF1087)+MIN(MAX(AG1087,0),'P-Parametri'!$B$8*(AG1087+AF1087)))</f>
        <v>34907.300256313618</v>
      </c>
      <c r="AI1087" s="18">
        <f>IF($A1087&gt;'1-Input'!$B$26,AG1087,AG1087-MIN(MAX(AG1087,0),'P-Parametri'!$B$8*(AG1087+AF1087)))</f>
        <v>76415.155190670775</v>
      </c>
      <c r="AJ1087" s="18">
        <f>IF($A1087&gt;'1-Input'!$B$26,AJ1086,AJ1086-AE1087*(1-AD1087))</f>
        <v>21731.544784380236</v>
      </c>
      <c r="AK1087" s="11">
        <f>IF($A1087&gt;'1-Input'!$B$26,0,IF(AP1086&lt;=0,0,MAX(0,(AP1086-AQ1086)/AP1086)))</f>
        <v>0.70793310652403707</v>
      </c>
      <c r="AL1087" s="18">
        <f>IF($A1087&gt;'1-Input'!$B$26,0,(MAX(0,AK1056-IF($A1087&gt;='1-Input'!$C$12,'1-Input'!$B$12,0))-MIN(MAX(AO1086,0),MAX(0,AK1056-IF($A1087&gt;='1-Input'!$C$12,'1-Input'!$B$12,0))))*(1/(1-'P-Parametri'!$B$6*AK1087))+MIN(MAX(0,AP1086-(MAX(0,AK1056-IF($A1087&gt;='1-Input'!$C$12,'1-Input'!$B$12,0))-MIN(MAX(AO1086,0),MAX(0,AK1056-IF($A1087&gt;='1-Input'!$C$12,'1-Input'!$B$12,0))))*(1/(1-'P-Parametri'!$B$6*AK1087))),MAX(0,2*AK1056-(AO1086-MIN(MAX(AO1086,0),MAX(0,AK1056-IF($A1087&gt;='1-Input'!$C$12,'1-Input'!$B$12,0)))))*(1/(1-'P-Parametri'!$B$6*AK1087))))</f>
        <v>8016.3885715958522</v>
      </c>
      <c r="AM1087" s="18">
        <f>IF($A1087&gt;'1-Input'!$B$26,AO1086,(AO1086-MAX(0,AK1056-IF($A1087&gt;='1-Input'!$C$12,'1-Input'!$B$12,0))+AL1087*(1-'P-Parametri'!$B$6*AK1087))*(1+'1-Input'!$B$27))</f>
        <v>34907.38056101869</v>
      </c>
      <c r="AN1087" s="18">
        <f>IF($A1087&gt;'1-Input'!$B$26,AP1086,(AP1086-AL1087)*(1+'5-Roberta'!$C$4))</f>
        <v>76635.930506265053</v>
      </c>
      <c r="AO1087" s="18">
        <f>IF($A1087&gt;'1-Input'!$B$26,AM1087,AM1087-'P-Parametri'!$B$8*(AN1087+AM1087)+MIN(MAX(AN1087,0),'P-Parametri'!$B$8*(AN1087+AM1087)))</f>
        <v>34907.38056101869</v>
      </c>
      <c r="AP1087" s="18">
        <f>IF($A1087&gt;'1-Input'!$B$26,AN1087,AN1087-MIN(MAX(AN1087,0),'P-Parametri'!$B$8*(AN1087+AM1087)))</f>
        <v>76412.843884130489</v>
      </c>
      <c r="AQ1087" s="18">
        <f>IF($A1087&gt;'1-Input'!$B$26,AQ1086,AQ1086-AL1087*(1-AK1087))</f>
        <v>21730.891409324875</v>
      </c>
    </row>
    <row r="1088" spans="1:43">
      <c r="A1088" s="10">
        <f>30</f>
        <v>30</v>
      </c>
      <c r="B1088" s="11">
        <f>IF($A1088&gt;'1-Input'!$B$26,0,IF(G1087&lt;=0,0,MAX(0,(G1087-H1087)/G1087)))</f>
        <v>0.71638865194776669</v>
      </c>
      <c r="C1088" s="18">
        <f>IF($A1088&gt;'1-Input'!$B$26,0,(MAX(0,B1056-IF($A1088&gt;='1-Input'!$C$12,'1-Input'!$B$12,0))-MIN(MAX(F1087,0),MAX(0,B1056-IF($A1088&gt;='1-Input'!$C$12,'1-Input'!$B$12,0))))*(1/(1-'P-Parametri'!$B$6*B1088))+MIN(MAX(0,G1087-(MAX(0,B1056-IF($A1088&gt;='1-Input'!$C$12,'1-Input'!$B$12,0))-MIN(MAX(F1087,0),MAX(0,B1056-IF($A1088&gt;='1-Input'!$C$12,'1-Input'!$B$12,0))))*(1/(1-'P-Parametri'!$B$6*B1088))),MAX(0,2*B1056-(F1087-MIN(MAX(F1087,0),MAX(0,B1056-IF($A1088&gt;='1-Input'!$C$12,'1-Input'!$B$12,0)))))*(1/(1-'P-Parametri'!$B$6*B1088))))</f>
        <v>7003.6698002894309</v>
      </c>
      <c r="D1088" s="18">
        <f>IF($A1088&gt;'1-Input'!$B$26,F1087,(F1087-MAX(0,B1056-IF($A1088&gt;='1-Input'!$C$12,'1-Input'!$B$12,0))+C1088*(1-'P-Parametri'!$B$6*B1088))*(1+'1-Input'!$B$27))</f>
        <v>33242.0070309863</v>
      </c>
      <c r="E1088" s="18">
        <f>IF($A1088&gt;'1-Input'!$B$26,G1087,(G1087-C1088)*(1+'5-Roberta'!$C$4))</f>
        <v>120867.48142560906</v>
      </c>
      <c r="F1088" s="18">
        <f>IF($A1088&gt;'1-Input'!$B$26,D1088,D1088-'P-Parametri'!$B$8*(E1088+D1088)+MIN(MAX(E1088,0),'P-Parametri'!$B$8*(E1088+D1088)))</f>
        <v>33242.0070309863</v>
      </c>
      <c r="G1088" s="18">
        <f>IF($A1088&gt;'1-Input'!$B$26,E1088,E1088-MIN(MAX(E1088,0),'P-Parametri'!$B$8*(E1088+D1088)))</f>
        <v>120559.26244869587</v>
      </c>
      <c r="H1088" s="18">
        <f>IF($A1088&gt;'1-Input'!$B$26,H1087,H1087-C1088*(1-B1088))</f>
        <v>33280.960526985677</v>
      </c>
      <c r="I1088" s="11">
        <f>IF($A1088&gt;'1-Input'!$B$26,0,IF(N1087&lt;=0,0,MAX(0,(N1087-O1087)/N1087)))</f>
        <v>0</v>
      </c>
      <c r="J1088" s="18">
        <f>IF($A1088&gt;'1-Input'!$B$26,0,(MAX(0,I1056-IF($A1088&gt;='1-Input'!$C$12,'1-Input'!$B$12,0))-MIN(MAX(M1087,0),MAX(0,I1056-IF($A1088&gt;='1-Input'!$C$12,'1-Input'!$B$12,0))))*(1/(1-'P-Parametri'!$B$6*I1088))+MIN(MAX(0,N1087-(MAX(0,I1056-IF($A1088&gt;='1-Input'!$C$12,'1-Input'!$B$12,0))-MIN(MAX(M1087,0),MAX(0,I1056-IF($A1088&gt;='1-Input'!$C$12,'1-Input'!$B$12,0))))*(1/(1-'P-Parametri'!$B$6*I1088))),MAX(0,2*I1056-(M1087-MIN(MAX(M1087,0),MAX(0,I1056-IF($A1088&gt;='1-Input'!$C$12,'1-Input'!$B$12,0)))))*(1/(1-'P-Parametri'!$B$6*I1088))))</f>
        <v>10846.756992928691</v>
      </c>
      <c r="K1088" s="18">
        <f>IF($A1088&gt;'1-Input'!$B$26,M1087,(M1087-MAX(0,I1056-IF($A1088&gt;='1-Input'!$C$12,'1-Input'!$B$12,0))+J1088*(1-'P-Parametri'!$B$6*I1088))*(1+'1-Input'!$B$27))</f>
        <v>0</v>
      </c>
      <c r="L1088" s="18">
        <f>IF($A1088&gt;'1-Input'!$B$26,N1087,(N1087-J1088)*(1+'5-Roberta'!$C$4))</f>
        <v>-103123.37541943272</v>
      </c>
      <c r="M1088" s="18">
        <f>IF($A1088&gt;'1-Input'!$B$26,K1088,K1088-'P-Parametri'!$B$8*(L1088+K1088)+MIN(MAX(L1088,0),'P-Parametri'!$B$8*(L1088+K1088)))</f>
        <v>0</v>
      </c>
      <c r="N1088" s="18">
        <f>IF($A1088&gt;'1-Input'!$B$26,L1088,L1088-MIN(MAX(L1088,0),'P-Parametri'!$B$8*(L1088+K1088)))</f>
        <v>-102917.12866859385</v>
      </c>
      <c r="O1088" s="18">
        <f>IF($A1088&gt;'1-Input'!$B$26,O1087,O1087-J1088*(1-I1088))</f>
        <v>-90278.649909637112</v>
      </c>
      <c r="P1088" s="11">
        <f>IF($A1088&gt;'1-Input'!$B$26,0,IF(U1087&lt;=0,0,MAX(0,(U1087-V1087)/U1087)))</f>
        <v>0.71544259075200234</v>
      </c>
      <c r="Q1088" s="18">
        <f>IF($A1088&gt;'1-Input'!$B$26,0,(MAX(0,P1056-IF($A1088&gt;='1-Input'!$C$12,'1-Input'!$B$12,0))-MIN(MAX(T1087,0),MAX(0,P1056-IF($A1088&gt;='1-Input'!$C$12,'1-Input'!$B$12,0))))*(1/(1-'P-Parametri'!$B$6*P1088))+MIN(MAX(0,U1087-(MAX(0,P1056-IF($A1088&gt;='1-Input'!$C$12,'1-Input'!$B$12,0))-MIN(MAX(T1087,0),MAX(0,P1056-IF($A1088&gt;='1-Input'!$C$12,'1-Input'!$B$12,0))))*(1/(1-'P-Parametri'!$B$6*P1088))),MAX(0,2*P1056-(T1087-MIN(MAX(T1087,0),MAX(0,P1056-IF($A1088&gt;='1-Input'!$C$12,'1-Input'!$B$12,0)))))*(1/(1-'P-Parametri'!$B$6*P1088))))</f>
        <v>8189.9212006042289</v>
      </c>
      <c r="R1088" s="18">
        <f>IF($A1088&gt;'1-Input'!$B$26,T1087,(T1087-MAX(0,P1056-IF($A1088&gt;='1-Input'!$C$12,'1-Input'!$B$12,0))+Q1088*(1-'P-Parametri'!$B$6*P1088))*(1+'1-Input'!$B$27))</f>
        <v>35155.889406417155</v>
      </c>
      <c r="S1088" s="18">
        <f>IF($A1088&gt;'1-Input'!$B$26,U1087,(U1087-Q1088)*(1+'5-Roberta'!$C$4))</f>
        <v>62902.690088983734</v>
      </c>
      <c r="T1088" s="18">
        <f>IF($A1088&gt;'1-Input'!$B$26,R1088,R1088-'P-Parametri'!$B$8*(S1088+R1088)+MIN(MAX(S1088,0),'P-Parametri'!$B$8*(S1088+R1088)))</f>
        <v>35155.889406417155</v>
      </c>
      <c r="U1088" s="18">
        <f>IF($A1088&gt;'1-Input'!$B$26,S1088,S1088-MIN(MAX(S1088,0),'P-Parametri'!$B$8*(S1088+R1088)))</f>
        <v>62706.57292999293</v>
      </c>
      <c r="V1088" s="18">
        <f>IF($A1088&gt;'1-Input'!$B$26,V1087,V1087-Q1088*(1-P1088))</f>
        <v>17378.08400626302</v>
      </c>
      <c r="W1088" s="11">
        <f>IF($A1088&gt;'1-Input'!$B$26,0,IF(AB1087&lt;=0,0,MAX(0,(AB1087-AC1087)/AB1087)))</f>
        <v>0.7156005213369977</v>
      </c>
      <c r="X1088" s="18">
        <f>IF($A1088&gt;'1-Input'!$B$26,0,(MAX(0,W1056-IF($A1088&gt;='1-Input'!$C$12,'1-Input'!$B$12,0))-MIN(MAX(AA1087,0),MAX(0,W1056-IF($A1088&gt;='1-Input'!$C$12,'1-Input'!$B$12,0))))*(1/(1-'P-Parametri'!$B$6*W1088))+MIN(MAX(0,AB1087-(MAX(0,W1056-IF($A1088&gt;='1-Input'!$C$12,'1-Input'!$B$12,0))-MIN(MAX(AA1087,0),MAX(0,W1056-IF($A1088&gt;='1-Input'!$C$12,'1-Input'!$B$12,0))))*(1/(1-'P-Parametri'!$B$6*W1088))),MAX(0,2*W1056-(AA1087-MIN(MAX(AA1087,0),MAX(0,W1056-IF($A1088&gt;='1-Input'!$C$12,'1-Input'!$B$12,0)))))*(1/(1-'P-Parametri'!$B$6*W1088))))</f>
        <v>8047.152541988723</v>
      </c>
      <c r="Y1088" s="18">
        <f>IF($A1088&gt;'1-Input'!$B$26,AA1087,(AA1087-MAX(0,W1056-IF($A1088&gt;='1-Input'!$C$12,'1-Input'!$B$12,0))+X1088*(1-'P-Parametri'!$B$6*W1088))*(1+'1-Input'!$B$27))</f>
        <v>34925.304782144136</v>
      </c>
      <c r="Z1088" s="18">
        <f>IF($A1088&gt;'1-Input'!$B$26,AB1087,(AB1087-X1088)*(1+'5-Roberta'!$C$4))</f>
        <v>69885.296526738501</v>
      </c>
      <c r="AA1088" s="18">
        <f>IF($A1088&gt;'1-Input'!$B$26,Y1088,Y1088-'P-Parametri'!$B$8*(Z1088+Y1088)+MIN(MAX(Z1088,0),'P-Parametri'!$B$8*(Z1088+Y1088)))</f>
        <v>34925.304782144136</v>
      </c>
      <c r="AB1088" s="18">
        <f>IF($A1088&gt;'1-Input'!$B$26,Z1088,Z1088-MIN(MAX(Z1088,0),'P-Parametri'!$B$8*(Z1088+Y1088)))</f>
        <v>69675.675324120733</v>
      </c>
      <c r="AC1088" s="18">
        <f>IF($A1088&gt;'1-Input'!$B$26,AC1087,AC1087-X1088*(1-W1088))</f>
        <v>19296.448445061898</v>
      </c>
      <c r="AD1088" s="11">
        <f>IF($A1088&gt;'1-Input'!$B$26,0,IF(AI1087&lt;=0,0,MAX(0,(AI1087-AJ1087)/AI1087)))</f>
        <v>0.71561210953303989</v>
      </c>
      <c r="AE1088" s="18">
        <f>IF($A1088&gt;'1-Input'!$B$26,0,(MAX(0,AD1056-IF($A1088&gt;='1-Input'!$C$12,'1-Input'!$B$12,0))-MIN(MAX(AH1087,0),MAX(0,AD1056-IF($A1088&gt;='1-Input'!$C$12,'1-Input'!$B$12,0))))*(1/(1-'P-Parametri'!$B$6*AD1088))+MIN(MAX(0,AI1087-(MAX(0,AD1056-IF($A1088&gt;='1-Input'!$C$12,'1-Input'!$B$12,0))-MIN(MAX(AH1087,0),MAX(0,AD1056-IF($A1088&gt;='1-Input'!$C$12,'1-Input'!$B$12,0))))*(1/(1-'P-Parametri'!$B$6*AD1088))),MAX(0,2*AD1056-(AH1087-MIN(MAX(AH1087,0),MAX(0,AD1056-IF($A1088&gt;='1-Input'!$C$12,'1-Input'!$B$12,0)))))*(1/(1-'P-Parametri'!$B$6*AD1088))))</f>
        <v>8036.0023544840469</v>
      </c>
      <c r="AF1088" s="18">
        <f>IF($A1088&gt;'1-Input'!$B$26,AH1087,(AH1087-MAX(0,AD1056-IF($A1088&gt;='1-Input'!$C$12,'1-Input'!$B$12,0))+AE1088*(1-'P-Parametri'!$B$6*AD1088))*(1+'1-Input'!$B$27))</f>
        <v>34907.300256313618</v>
      </c>
      <c r="AG1088" s="18">
        <f>IF($A1088&gt;'1-Input'!$B$26,AI1087,(AI1087-AE1088)*(1+'5-Roberta'!$C$4))</f>
        <v>70430.527421272331</v>
      </c>
      <c r="AH1088" s="18">
        <f>IF($A1088&gt;'1-Input'!$B$26,AF1088,AF1088-'P-Parametri'!$B$8*(AG1088+AF1088)+MIN(MAX(AG1088,0),'P-Parametri'!$B$8*(AG1088+AF1088)))</f>
        <v>34907.300256313618</v>
      </c>
      <c r="AI1088" s="18">
        <f>IF($A1088&gt;'1-Input'!$B$26,AG1088,AG1088-MIN(MAX(AG1088,0),'P-Parametri'!$B$8*(AG1088+AF1088)))</f>
        <v>70219.851765917163</v>
      </c>
      <c r="AJ1088" s="18">
        <f>IF($A1088&gt;'1-Input'!$B$26,AJ1087,AJ1087-AE1088*(1-AD1088))</f>
        <v>19446.203027000993</v>
      </c>
      <c r="AK1088" s="11">
        <f>IF($A1088&gt;'1-Input'!$B$26,0,IF(AP1087&lt;=0,0,MAX(0,(AP1087-AQ1087)/AP1087)))</f>
        <v>0.71561205806870942</v>
      </c>
      <c r="AL1088" s="18">
        <f>IF($A1088&gt;'1-Input'!$B$26,0,(MAX(0,AK1056-IF($A1088&gt;='1-Input'!$C$12,'1-Input'!$B$12,0))-MIN(MAX(AO1087,0),MAX(0,AK1056-IF($A1088&gt;='1-Input'!$C$12,'1-Input'!$B$12,0))))*(1/(1-'P-Parametri'!$B$6*AK1088))+MIN(MAX(0,AP1087-(MAX(0,AK1056-IF($A1088&gt;='1-Input'!$C$12,'1-Input'!$B$12,0))-MIN(MAX(AO1087,0),MAX(0,AK1056-IF($A1088&gt;='1-Input'!$C$12,'1-Input'!$B$12,0))))*(1/(1-'P-Parametri'!$B$6*AK1088))),MAX(0,2*AK1056-(AO1087-MIN(MAX(AO1087,0),MAX(0,AK1056-IF($A1088&gt;='1-Input'!$C$12,'1-Input'!$B$12,0)))))*(1/(1-'P-Parametri'!$B$6*AK1088))))</f>
        <v>8036.0520878724383</v>
      </c>
      <c r="AM1088" s="18">
        <f>IF($A1088&gt;'1-Input'!$B$26,AO1087,(AO1087-MAX(0,AK1056-IF($A1088&gt;='1-Input'!$C$12,'1-Input'!$B$12,0))+AL1088*(1-'P-Parametri'!$B$6*AK1088))*(1+'1-Input'!$B$27))</f>
        <v>34907.38056101869</v>
      </c>
      <c r="AN1088" s="18">
        <f>IF($A1088&gt;'1-Input'!$B$26,AP1087,(AP1087-AL1088)*(1+'5-Roberta'!$C$4))</f>
        <v>70428.095550145794</v>
      </c>
      <c r="AO1088" s="18">
        <f>IF($A1088&gt;'1-Input'!$B$26,AM1088,AM1088-'P-Parametri'!$B$8*(AN1088+AM1088)+MIN(MAX(AN1088,0),'P-Parametri'!$B$8*(AN1088+AM1088)))</f>
        <v>34907.38056101869</v>
      </c>
      <c r="AP1088" s="18">
        <f>IF($A1088&gt;'1-Input'!$B$26,AN1088,AN1088-MIN(MAX(AN1088,0),'P-Parametri'!$B$8*(AN1088+AM1088)))</f>
        <v>70217.424597923469</v>
      </c>
      <c r="AQ1088" s="18">
        <f>IF($A1088&gt;'1-Input'!$B$26,AQ1087,AQ1087-AL1088*(1-AK1088))</f>
        <v>19445.535094802181</v>
      </c>
    </row>
    <row r="1089" spans="1:43">
      <c r="A1089" s="10">
        <f>31</f>
        <v>31</v>
      </c>
      <c r="B1089" s="11">
        <f>IF($A1089&gt;'1-Input'!$B$26,0,IF(G1088&lt;=0,0,MAX(0,(G1088-H1088)/G1088)))</f>
        <v>0.72394522120481264</v>
      </c>
      <c r="C1089" s="18">
        <f>IF($A1089&gt;'1-Input'!$B$26,0,(MAX(0,B1056-IF($A1089&gt;='1-Input'!$C$12,'1-Input'!$B$12,0))-MIN(MAX(F1088,0),MAX(0,B1056-IF($A1089&gt;='1-Input'!$C$12,'1-Input'!$B$12,0))))*(1/(1-'P-Parametri'!$B$6*B1089))+MIN(MAX(0,G1088-(MAX(0,B1056-IF($A1089&gt;='1-Input'!$C$12,'1-Input'!$B$12,0))-MIN(MAX(F1088,0),MAX(0,B1056-IF($A1089&gt;='1-Input'!$C$12,'1-Input'!$B$12,0))))*(1/(1-'P-Parametri'!$B$6*B1089))),MAX(0,2*B1056-(F1088-MIN(MAX(F1088,0),MAX(0,B1056-IF($A1089&gt;='1-Input'!$C$12,'1-Input'!$B$12,0)))))*(1/(1-'P-Parametri'!$B$6*B1089))))</f>
        <v>7020.6205304477116</v>
      </c>
      <c r="D1089" s="18">
        <f>IF($A1089&gt;'1-Input'!$B$26,F1088,(F1088-MAX(0,B1056-IF($A1089&gt;='1-Input'!$C$12,'1-Input'!$B$12,0))+C1089*(1-'P-Parametri'!$B$6*B1089))*(1+'1-Input'!$B$27))</f>
        <v>33242.0070309863</v>
      </c>
      <c r="E1089" s="18">
        <f>IF($A1089&gt;'1-Input'!$B$26,G1088,(G1088-C1089)*(1+'5-Roberta'!$C$4))</f>
        <v>116944.8011757956</v>
      </c>
      <c r="F1089" s="18">
        <f>IF($A1089&gt;'1-Input'!$B$26,D1089,D1089-'P-Parametri'!$B$8*(E1089+D1089)+MIN(MAX(E1089,0),'P-Parametri'!$B$8*(E1089+D1089)))</f>
        <v>33242.0070309863</v>
      </c>
      <c r="G1089" s="18">
        <f>IF($A1089&gt;'1-Input'!$B$26,E1089,E1089-MIN(MAX(E1089,0),'P-Parametri'!$B$8*(E1089+D1089)))</f>
        <v>116644.42755938203</v>
      </c>
      <c r="H1089" s="18">
        <f>IF($A1089&gt;'1-Input'!$B$26,H1088,H1088-C1089*(1-B1089))</f>
        <v>31342.884679447983</v>
      </c>
      <c r="I1089" s="11">
        <f>IF($A1089&gt;'1-Input'!$B$26,0,IF(N1088&lt;=0,0,MAX(0,(N1088-O1088)/N1088)))</f>
        <v>0</v>
      </c>
      <c r="J1089" s="18">
        <f>IF($A1089&gt;'1-Input'!$B$26,0,(MAX(0,I1056-IF($A1089&gt;='1-Input'!$C$12,'1-Input'!$B$12,0))-MIN(MAX(M1088,0),MAX(0,I1056-IF($A1089&gt;='1-Input'!$C$12,'1-Input'!$B$12,0))))*(1/(1-'P-Parametri'!$B$6*I1089))+MIN(MAX(0,N1088-(MAX(0,I1056-IF($A1089&gt;='1-Input'!$C$12,'1-Input'!$B$12,0))-MIN(MAX(M1088,0),MAX(0,I1056-IF($A1089&gt;='1-Input'!$C$12,'1-Input'!$B$12,0))))*(1/(1-'P-Parametri'!$B$6*I1089))),MAX(0,2*I1056-(M1088-MIN(MAX(M1088,0),MAX(0,I1056-IF($A1089&gt;='1-Input'!$C$12,'1-Input'!$B$12,0)))))*(1/(1-'P-Parametri'!$B$6*I1089))))</f>
        <v>10846.756992928691</v>
      </c>
      <c r="K1089" s="18">
        <f>IF($A1089&gt;'1-Input'!$B$26,M1088,(M1088-MAX(0,I1056-IF($A1089&gt;='1-Input'!$C$12,'1-Input'!$B$12,0))+J1089*(1-'P-Parametri'!$B$6*I1089))*(1+'1-Input'!$B$27))</f>
        <v>0</v>
      </c>
      <c r="L1089" s="18">
        <f>IF($A1089&gt;'1-Input'!$B$26,N1088,(N1088-J1089)*(1+'5-Roberta'!$C$4))</f>
        <v>-117176.80223136822</v>
      </c>
      <c r="M1089" s="18">
        <f>IF($A1089&gt;'1-Input'!$B$26,K1089,K1089-'P-Parametri'!$B$8*(L1089+K1089)+MIN(MAX(L1089,0),'P-Parametri'!$B$8*(L1089+K1089)))</f>
        <v>0</v>
      </c>
      <c r="N1089" s="18">
        <f>IF($A1089&gt;'1-Input'!$B$26,L1089,L1089-MIN(MAX(L1089,0),'P-Parametri'!$B$8*(L1089+K1089)))</f>
        <v>-116942.44862690548</v>
      </c>
      <c r="O1089" s="18">
        <f>IF($A1089&gt;'1-Input'!$B$26,O1088,O1088-J1089*(1-I1089))</f>
        <v>-101125.4069025658</v>
      </c>
      <c r="P1089" s="11">
        <f>IF($A1089&gt;'1-Input'!$B$26,0,IF(U1088&lt;=0,0,MAX(0,(U1088-V1088)/U1088)))</f>
        <v>0.72286662794242773</v>
      </c>
      <c r="Q1089" s="18">
        <f>IF($A1089&gt;'1-Input'!$B$26,0,(MAX(0,P1056-IF($A1089&gt;='1-Input'!$C$12,'1-Input'!$B$12,0))-MIN(MAX(T1088,0),MAX(0,P1056-IF($A1089&gt;='1-Input'!$C$12,'1-Input'!$B$12,0))))*(1/(1-'P-Parametri'!$B$6*P1089))+MIN(MAX(0,U1088-(MAX(0,P1056-IF($A1089&gt;='1-Input'!$C$12,'1-Input'!$B$12,0))-MIN(MAX(T1088,0),MAX(0,P1056-IF($A1089&gt;='1-Input'!$C$12,'1-Input'!$B$12,0))))*(1/(1-'P-Parametri'!$B$6*P1089))),MAX(0,2*P1056-(T1088-MIN(MAX(T1088,0),MAX(0,P1056-IF($A1089&gt;='1-Input'!$C$12,'1-Input'!$B$12,0)))))*(1/(1-'P-Parametri'!$B$6*P1089))))</f>
        <v>8209.388599960077</v>
      </c>
      <c r="R1089" s="18">
        <f>IF($A1089&gt;'1-Input'!$B$26,T1088,(T1088-MAX(0,P1056-IF($A1089&gt;='1-Input'!$C$12,'1-Input'!$B$12,0))+Q1089*(1-'P-Parametri'!$B$6*P1089))*(1+'1-Input'!$B$27))</f>
        <v>35155.889406417155</v>
      </c>
      <c r="S1089" s="18">
        <f>IF($A1089&gt;'1-Input'!$B$26,U1088,(U1088-Q1089)*(1+'5-Roberta'!$C$4))</f>
        <v>56132.099859933842</v>
      </c>
      <c r="T1089" s="18">
        <f>IF($A1089&gt;'1-Input'!$B$26,R1089,R1089-'P-Parametri'!$B$8*(S1089+R1089)+MIN(MAX(S1089,0),'P-Parametri'!$B$8*(S1089+R1089)))</f>
        <v>35155.889406417155</v>
      </c>
      <c r="U1089" s="18">
        <f>IF($A1089&gt;'1-Input'!$B$26,S1089,S1089-MIN(MAX(S1089,0),'P-Parametri'!$B$8*(S1089+R1089)))</f>
        <v>55949.523881401139</v>
      </c>
      <c r="V1089" s="18">
        <f>IF($A1089&gt;'1-Input'!$B$26,V1088,V1088-Q1089*(1-P1089))</f>
        <v>15102.988461025092</v>
      </c>
      <c r="W1089" s="11">
        <f>IF($A1089&gt;'1-Input'!$B$26,0,IF(AB1088&lt;=0,0,MAX(0,(AB1088-AC1088)/AB1088)))</f>
        <v>0.72305329865411805</v>
      </c>
      <c r="X1089" s="18">
        <f>IF($A1089&gt;'1-Input'!$B$26,0,(MAX(0,W1056-IF($A1089&gt;='1-Input'!$C$12,'1-Input'!$B$12,0))-MIN(MAX(AA1088,0),MAX(0,W1056-IF($A1089&gt;='1-Input'!$C$12,'1-Input'!$B$12,0))))*(1/(1-'P-Parametri'!$B$6*W1089))+MIN(MAX(0,AB1088-(MAX(0,W1056-IF($A1089&gt;='1-Input'!$C$12,'1-Input'!$B$12,0))-MIN(MAX(AA1088,0),MAX(0,W1056-IF($A1089&gt;='1-Input'!$C$12,'1-Input'!$B$12,0))))*(1/(1-'P-Parametri'!$B$6*W1089))),MAX(0,2*W1056-(AA1088-MIN(MAX(AA1088,0),MAX(0,W1056-IF($A1089&gt;='1-Input'!$C$12,'1-Input'!$B$12,0)))))*(1/(1-'P-Parametri'!$B$6*W1089))))</f>
        <v>8066.3557776899725</v>
      </c>
      <c r="Y1089" s="18">
        <f>IF($A1089&gt;'1-Input'!$B$26,AA1088,(AA1088-MAX(0,W1056-IF($A1089&gt;='1-Input'!$C$12,'1-Input'!$B$12,0))+X1089*(1-'P-Parametri'!$B$6*W1089))*(1+'1-Input'!$B$27))</f>
        <v>34925.304782144136</v>
      </c>
      <c r="Z1089" s="18">
        <f>IF($A1089&gt;'1-Input'!$B$26,AB1088,(AB1088-X1089)*(1+'5-Roberta'!$C$4))</f>
        <v>63457.599132823692</v>
      </c>
      <c r="AA1089" s="18">
        <f>IF($A1089&gt;'1-Input'!$B$26,Y1089,Y1089-'P-Parametri'!$B$8*(Z1089+Y1089)+MIN(MAX(Z1089,0),'P-Parametri'!$B$8*(Z1089+Y1089)))</f>
        <v>34925.304782144136</v>
      </c>
      <c r="AB1089" s="18">
        <f>IF($A1089&gt;'1-Input'!$B$26,Z1089,Z1089-MIN(MAX(Z1089,0),'P-Parametri'!$B$8*(Z1089+Y1089)))</f>
        <v>63260.833324993757</v>
      </c>
      <c r="AC1089" s="18">
        <f>IF($A1089&gt;'1-Input'!$B$26,AC1088,AC1088-X1089*(1-W1089))</f>
        <v>17062.497820548364</v>
      </c>
      <c r="AD1089" s="11">
        <f>IF($A1089&gt;'1-Input'!$B$26,0,IF(AI1088&lt;=0,0,MAX(0,(AI1088-AJ1088)/AI1088)))</f>
        <v>0.72306687442425421</v>
      </c>
      <c r="AE1089" s="18">
        <f>IF($A1089&gt;'1-Input'!$B$26,0,(MAX(0,AD1056-IF($A1089&gt;='1-Input'!$C$12,'1-Input'!$B$12,0))-MIN(MAX(AH1088,0),MAX(0,AD1056-IF($A1089&gt;='1-Input'!$C$12,'1-Input'!$B$12,0))))*(1/(1-'P-Parametri'!$B$6*AD1089))+MIN(MAX(0,AI1088-(MAX(0,AD1056-IF($A1089&gt;='1-Input'!$C$12,'1-Input'!$B$12,0))-MIN(MAX(AH1088,0),MAX(0,AD1056-IF($A1089&gt;='1-Input'!$C$12,'1-Input'!$B$12,0))))*(1/(1-'P-Parametri'!$B$6*AD1089))),MAX(0,2*AD1056-(AH1088-MIN(MAX(AH1088,0),MAX(0,AD1056-IF($A1089&gt;='1-Input'!$C$12,'1-Input'!$B$12,0)))))*(1/(1-'P-Parametri'!$B$6*AD1089))))</f>
        <v>8055.1841796333938</v>
      </c>
      <c r="AF1089" s="18">
        <f>IF($A1089&gt;'1-Input'!$B$26,AH1088,(AH1088-MAX(0,AD1056-IF($A1089&gt;='1-Input'!$C$12,'1-Input'!$B$12,0))+AE1089*(1-'P-Parametri'!$B$6*AD1089))*(1+'1-Input'!$B$27))</f>
        <v>34907.300256313618</v>
      </c>
      <c r="AG1089" s="18">
        <f>IF($A1089&gt;'1-Input'!$B$26,AI1088,(AI1088-AE1089)*(1+'5-Roberta'!$C$4))</f>
        <v>64029.607613872286</v>
      </c>
      <c r="AH1089" s="18">
        <f>IF($A1089&gt;'1-Input'!$B$26,AF1089,AF1089-'P-Parametri'!$B$8*(AG1089+AF1089)+MIN(MAX(AG1089,0),'P-Parametri'!$B$8*(AG1089+AF1089)))</f>
        <v>34907.300256313618</v>
      </c>
      <c r="AI1089" s="18">
        <f>IF($A1089&gt;'1-Input'!$B$26,AG1089,AG1089-MIN(MAX(AG1089,0),'P-Parametri'!$B$8*(AG1089+AF1089)))</f>
        <v>63831.733798131914</v>
      </c>
      <c r="AJ1089" s="18">
        <f>IF($A1089&gt;'1-Input'!$B$26,AJ1088,AJ1088-AE1089*(1-AD1089))</f>
        <v>17215.455695046818</v>
      </c>
      <c r="AK1089" s="11">
        <f>IF($A1089&gt;'1-Input'!$B$26,0,IF(AP1088&lt;=0,0,MAX(0,(AP1088-AQ1088)/AP1088)))</f>
        <v>0.72306681416827068</v>
      </c>
      <c r="AL1089" s="18">
        <f>IF($A1089&gt;'1-Input'!$B$26,0,(MAX(0,AK1056-IF($A1089&gt;='1-Input'!$C$12,'1-Input'!$B$12,0))-MIN(MAX(AO1088,0),MAX(0,AK1056-IF($A1089&gt;='1-Input'!$C$12,'1-Input'!$B$12,0))))*(1/(1-'P-Parametri'!$B$6*AK1089))+MIN(MAX(0,AP1088-(MAX(0,AK1056-IF($A1089&gt;='1-Input'!$C$12,'1-Input'!$B$12,0))-MIN(MAX(AO1088,0),MAX(0,AK1056-IF($A1089&gt;='1-Input'!$C$12,'1-Input'!$B$12,0))))*(1/(1-'P-Parametri'!$B$6*AK1089))),MAX(0,2*AK1056-(AO1088-MIN(MAX(AO1088,0),MAX(0,AK1056-IF($A1089&gt;='1-Input'!$C$12,'1-Input'!$B$12,0)))))*(1/(1-'P-Parametri'!$B$6*AK1089))))</f>
        <v>8055.2340087426919</v>
      </c>
      <c r="AM1089" s="18">
        <f>IF($A1089&gt;'1-Input'!$B$26,AO1088,(AO1088-MAX(0,AK1056-IF($A1089&gt;='1-Input'!$C$12,'1-Input'!$B$12,0))+AL1089*(1-'P-Parametri'!$B$6*AK1089))*(1+'1-Input'!$B$27))</f>
        <v>34907.38056101869</v>
      </c>
      <c r="AN1089" s="18">
        <f>IF($A1089&gt;'1-Input'!$B$26,AP1088,(AP1088-AL1089)*(1+'5-Roberta'!$C$4))</f>
        <v>64027.056306856204</v>
      </c>
      <c r="AO1089" s="18">
        <f>IF($A1089&gt;'1-Input'!$B$26,AM1089,AM1089-'P-Parametri'!$B$8*(AN1089+AM1089)+MIN(MAX(AN1089,0),'P-Parametri'!$B$8*(AN1089+AM1089)))</f>
        <v>34907.38056101869</v>
      </c>
      <c r="AP1089" s="18">
        <f>IF($A1089&gt;'1-Input'!$B$26,AN1089,AN1089-MIN(MAX(AN1089,0),'P-Parametri'!$B$8*(AN1089+AM1089)))</f>
        <v>63829.187433120453</v>
      </c>
      <c r="AQ1089" s="18">
        <f>IF($A1089&gt;'1-Input'!$B$26,AQ1088,AQ1088-AL1089*(1-AK1089))</f>
        <v>17214.773478140974</v>
      </c>
    </row>
    <row r="1090" spans="1:43">
      <c r="A1090" s="10">
        <f>32</f>
        <v>32</v>
      </c>
      <c r="B1090" s="11">
        <f>IF($A1090&gt;'1-Input'!$B$26,0,IF(G1089&lt;=0,0,MAX(0,(G1089-H1089)/G1089)))</f>
        <v>0.73129548204528017</v>
      </c>
      <c r="C1090" s="18">
        <f>IF($A1090&gt;'1-Input'!$B$26,0,(MAX(0,B1056-IF($A1090&gt;='1-Input'!$C$12,'1-Input'!$B$12,0))-MIN(MAX(F1089,0),MAX(0,B1056-IF($A1090&gt;='1-Input'!$C$12,'1-Input'!$B$12,0))))*(1/(1-'P-Parametri'!$B$6*B1090))+MIN(MAX(0,G1089-(MAX(0,B1056-IF($A1090&gt;='1-Input'!$C$12,'1-Input'!$B$12,0))-MIN(MAX(F1089,0),MAX(0,B1056-IF($A1090&gt;='1-Input'!$C$12,'1-Input'!$B$12,0))))*(1/(1-'P-Parametri'!$B$6*B1090))),MAX(0,2*B1056-(F1089-MIN(MAX(F1089,0),MAX(0,B1056-IF($A1090&gt;='1-Input'!$C$12,'1-Input'!$B$12,0)))))*(1/(1-'P-Parametri'!$B$6*B1090))))</f>
        <v>7037.187380727436</v>
      </c>
      <c r="D1090" s="18">
        <f>IF($A1090&gt;'1-Input'!$B$26,F1089,(F1089-MAX(0,B1056-IF($A1090&gt;='1-Input'!$C$12,'1-Input'!$B$12,0))+C1090*(1-'P-Parametri'!$B$6*B1090))*(1+'1-Input'!$B$27))</f>
        <v>33242.0070309863</v>
      </c>
      <c r="E1090" s="18">
        <f>IF($A1090&gt;'1-Input'!$B$26,G1089,(G1089-C1090)*(1+'5-Roberta'!$C$4))</f>
        <v>112895.45738401424</v>
      </c>
      <c r="F1090" s="18">
        <f>IF($A1090&gt;'1-Input'!$B$26,D1090,D1090-'P-Parametri'!$B$8*(E1090+D1090)+MIN(MAX(E1090,0),'P-Parametri'!$B$8*(E1090+D1090)))</f>
        <v>33242.0070309863</v>
      </c>
      <c r="G1090" s="18">
        <f>IF($A1090&gt;'1-Input'!$B$26,E1090,E1090-MIN(MAX(E1090,0),'P-Parametri'!$B$8*(E1090+D1090)))</f>
        <v>112603.18245518424</v>
      </c>
      <c r="H1090" s="18">
        <f>IF($A1090&gt;'1-Input'!$B$26,H1089,H1089-C1090*(1-B1090))</f>
        <v>29451.96063655258</v>
      </c>
      <c r="I1090" s="11">
        <f>IF($A1090&gt;'1-Input'!$B$26,0,IF(N1089&lt;=0,0,MAX(0,(N1089-O1089)/N1089)))</f>
        <v>0</v>
      </c>
      <c r="J1090" s="18">
        <f>IF($A1090&gt;'1-Input'!$B$26,0,(MAX(0,I1056-IF($A1090&gt;='1-Input'!$C$12,'1-Input'!$B$12,0))-MIN(MAX(M1089,0),MAX(0,I1056-IF($A1090&gt;='1-Input'!$C$12,'1-Input'!$B$12,0))))*(1/(1-'P-Parametri'!$B$6*I1090))+MIN(MAX(0,N1089-(MAX(0,I1056-IF($A1090&gt;='1-Input'!$C$12,'1-Input'!$B$12,0))-MIN(MAX(M1089,0),MAX(0,I1056-IF($A1090&gt;='1-Input'!$C$12,'1-Input'!$B$12,0))))*(1/(1-'P-Parametri'!$B$6*I1090))),MAX(0,2*I1056-(M1089-MIN(MAX(M1089,0),MAX(0,I1056-IF($A1090&gt;='1-Input'!$C$12,'1-Input'!$B$12,0)))))*(1/(1-'P-Parametri'!$B$6*I1090))))</f>
        <v>10846.756992928691</v>
      </c>
      <c r="K1090" s="18">
        <f>IF($A1090&gt;'1-Input'!$B$26,M1089,(M1089-MAX(0,I1056-IF($A1090&gt;='1-Input'!$C$12,'1-Input'!$B$12,0))+J1090*(1-'P-Parametri'!$B$6*I1090))*(1+'1-Input'!$B$27))</f>
        <v>0</v>
      </c>
      <c r="L1090" s="18">
        <f>IF($A1090&gt;'1-Input'!$B$26,N1089,(N1089-J1090)*(1+'5-Roberta'!$C$4))</f>
        <v>-131622.88178842919</v>
      </c>
      <c r="M1090" s="18">
        <f>IF($A1090&gt;'1-Input'!$B$26,K1090,K1090-'P-Parametri'!$B$8*(L1090+K1090)+MIN(MAX(L1090,0),'P-Parametri'!$B$8*(L1090+K1090)))</f>
        <v>0</v>
      </c>
      <c r="N1090" s="18">
        <f>IF($A1090&gt;'1-Input'!$B$26,L1090,L1090-MIN(MAX(L1090,0),'P-Parametri'!$B$8*(L1090+K1090)))</f>
        <v>-131359.63602485234</v>
      </c>
      <c r="O1090" s="18">
        <f>IF($A1090&gt;'1-Input'!$B$26,O1089,O1089-J1090*(1-I1090))</f>
        <v>-111972.16389549448</v>
      </c>
      <c r="P1090" s="11">
        <f>IF($A1090&gt;'1-Input'!$B$26,0,IF(U1089&lt;=0,0,MAX(0,(U1089-V1089)/U1089)))</f>
        <v>0.73006046498197896</v>
      </c>
      <c r="Q1090" s="18">
        <f>IF($A1090&gt;'1-Input'!$B$26,0,(MAX(0,P1056-IF($A1090&gt;='1-Input'!$C$12,'1-Input'!$B$12,0))-MIN(MAX(T1089,0),MAX(0,P1056-IF($A1090&gt;='1-Input'!$C$12,'1-Input'!$B$12,0))))*(1/(1-'P-Parametri'!$B$6*P1090))+MIN(MAX(0,U1089-(MAX(0,P1056-IF($A1090&gt;='1-Input'!$C$12,'1-Input'!$B$12,0))-MIN(MAX(T1089,0),MAX(0,P1056-IF($A1090&gt;='1-Input'!$C$12,'1-Input'!$B$12,0))))*(1/(1-'P-Parametri'!$B$6*P1090))),MAX(0,2*P1056-(T1089-MIN(MAX(T1089,0),MAX(0,P1056-IF($A1090&gt;='1-Input'!$C$12,'1-Input'!$B$12,0)))))*(1/(1-'P-Parametri'!$B$6*P1090))))</f>
        <v>8228.3408573408396</v>
      </c>
      <c r="R1090" s="18">
        <f>IF($A1090&gt;'1-Input'!$B$26,T1089,(T1089-MAX(0,P1056-IF($A1090&gt;='1-Input'!$C$12,'1-Input'!$B$12,0))+Q1090*(1-'P-Parametri'!$B$6*P1090))*(1+'1-Input'!$B$27))</f>
        <v>35155.889406417155</v>
      </c>
      <c r="S1090" s="18">
        <f>IF($A1090&gt;'1-Input'!$B$26,U1089,(U1089-Q1090)*(1+'5-Roberta'!$C$4))</f>
        <v>49152.818514782113</v>
      </c>
      <c r="T1090" s="18">
        <f>IF($A1090&gt;'1-Input'!$B$26,R1090,R1090-'P-Parametri'!$B$8*(S1090+R1090)+MIN(MAX(S1090,0),'P-Parametri'!$B$8*(S1090+R1090)))</f>
        <v>35155.889406417155</v>
      </c>
      <c r="U1090" s="18">
        <f>IF($A1090&gt;'1-Input'!$B$26,S1090,S1090-MIN(MAX(S1090,0),'P-Parametri'!$B$8*(S1090+R1090)))</f>
        <v>48984.201098939717</v>
      </c>
      <c r="V1090" s="18">
        <f>IF($A1090&gt;'1-Input'!$B$26,V1089,V1089-Q1090*(1-P1090))</f>
        <v>12881.83395602472</v>
      </c>
      <c r="W1090" s="11">
        <f>IF($A1090&gt;'1-Input'!$B$26,0,IF(AB1089&lt;=0,0,MAX(0,(AB1089-AC1089)/AB1089)))</f>
        <v>0.73028338509402579</v>
      </c>
      <c r="X1090" s="18">
        <f>IF($A1090&gt;'1-Input'!$B$26,0,(MAX(0,W1056-IF($A1090&gt;='1-Input'!$C$12,'1-Input'!$B$12,0))-MIN(MAX(AA1089,0),MAX(0,W1056-IF($A1090&gt;='1-Input'!$C$12,'1-Input'!$B$12,0))))*(1/(1-'P-Parametri'!$B$6*W1090))+MIN(MAX(0,AB1089-(MAX(0,W1056-IF($A1090&gt;='1-Input'!$C$12,'1-Input'!$B$12,0))-MIN(MAX(AA1089,0),MAX(0,W1056-IF($A1090&gt;='1-Input'!$C$12,'1-Input'!$B$12,0))))*(1/(1-'P-Parametri'!$B$6*W1090))),MAX(0,2*W1056-(AA1089-MIN(MAX(AA1089,0),MAX(0,W1056-IF($A1090&gt;='1-Input'!$C$12,'1-Input'!$B$12,0)))))*(1/(1-'P-Parametri'!$B$6*W1090))))</f>
        <v>8085.0730030228615</v>
      </c>
      <c r="Y1090" s="18">
        <f>IF($A1090&gt;'1-Input'!$B$26,AA1089,(AA1089-MAX(0,W1056-IF($A1090&gt;='1-Input'!$C$12,'1-Input'!$B$12,0))+X1090*(1-'P-Parametri'!$B$6*W1090))*(1+'1-Input'!$B$27))</f>
        <v>34925.304782144136</v>
      </c>
      <c r="Z1090" s="18">
        <f>IF($A1090&gt;'1-Input'!$B$26,AB1089,(AB1089-X1090)*(1+'5-Roberta'!$C$4))</f>
        <v>56831.033131630029</v>
      </c>
      <c r="AA1090" s="18">
        <f>IF($A1090&gt;'1-Input'!$B$26,Y1090,Y1090-'P-Parametri'!$B$8*(Z1090+Y1090)+MIN(MAX(Z1090,0),'P-Parametri'!$B$8*(Z1090+Y1090)))</f>
        <v>34925.304782144136</v>
      </c>
      <c r="AB1090" s="18">
        <f>IF($A1090&gt;'1-Input'!$B$26,Z1090,Z1090-MIN(MAX(Z1090,0),'P-Parametri'!$B$8*(Z1090+Y1090)))</f>
        <v>56647.520455802478</v>
      </c>
      <c r="AC1090" s="18">
        <f>IF($A1090&gt;'1-Input'!$B$26,AC1089,AC1089-X1090*(1-W1090))</f>
        <v>14881.819298905359</v>
      </c>
      <c r="AD1090" s="11">
        <f>IF($A1090&gt;'1-Input'!$B$26,0,IF(AI1089&lt;=0,0,MAX(0,(AI1089-AJ1089)/AI1089)))</f>
        <v>0.73029941894589989</v>
      </c>
      <c r="AE1090" s="18">
        <f>IF($A1090&gt;'1-Input'!$B$26,0,(MAX(0,AD1056-IF($A1090&gt;='1-Input'!$C$12,'1-Input'!$B$12,0))-MIN(MAX(AH1089,0),MAX(0,AD1056-IF($A1090&gt;='1-Input'!$C$12,'1-Input'!$B$12,0))))*(1/(1-'P-Parametri'!$B$6*AD1090))+MIN(MAX(0,AI1089-(MAX(0,AD1056-IF($A1090&gt;='1-Input'!$C$12,'1-Input'!$B$12,0))-MIN(MAX(AH1089,0),MAX(0,AD1056-IF($A1090&gt;='1-Input'!$C$12,'1-Input'!$B$12,0))))*(1/(1-'P-Parametri'!$B$6*AD1090))),MAX(0,2*AD1056-(AH1089-MIN(MAX(AH1089,0),MAX(0,AD1056-IF($A1090&gt;='1-Input'!$C$12,'1-Input'!$B$12,0)))))*(1/(1-'P-Parametri'!$B$6*AD1090))))</f>
        <v>8073.8819331935492</v>
      </c>
      <c r="AF1090" s="18">
        <f>IF($A1090&gt;'1-Input'!$B$26,AH1089,(AH1089-MAX(0,AD1056-IF($A1090&gt;='1-Input'!$C$12,'1-Input'!$B$12,0))+AE1090*(1-'P-Parametri'!$B$6*AD1090))*(1+'1-Input'!$B$27))</f>
        <v>34907.300256313618</v>
      </c>
      <c r="AG1090" s="18">
        <f>IF($A1090&gt;'1-Input'!$B$26,AI1089,(AI1089-AE1090)*(1+'5-Roberta'!$C$4))</f>
        <v>57430.587420886513</v>
      </c>
      <c r="AH1090" s="18">
        <f>IF($A1090&gt;'1-Input'!$B$26,AF1090,AF1090-'P-Parametri'!$B$8*(AG1090+AF1090)+MIN(MAX(AG1090,0),'P-Parametri'!$B$8*(AG1090+AF1090)))</f>
        <v>34907.300256313618</v>
      </c>
      <c r="AI1090" s="18">
        <f>IF($A1090&gt;'1-Input'!$B$26,AG1090,AG1090-MIN(MAX(AG1090,0),'P-Parametri'!$B$8*(AG1090+AF1090)))</f>
        <v>57245.911645532113</v>
      </c>
      <c r="AJ1090" s="18">
        <f>IF($A1090&gt;'1-Input'!$B$26,AJ1089,AJ1089-AE1090*(1-AD1090))</f>
        <v>15037.925046302316</v>
      </c>
      <c r="AK1090" s="11">
        <f>IF($A1090&gt;'1-Input'!$B$26,0,IF(AP1089&lt;=0,0,MAX(0,(AP1089-AQ1089)/AP1089)))</f>
        <v>0.73029934783082684</v>
      </c>
      <c r="AL1090" s="18">
        <f>IF($A1090&gt;'1-Input'!$B$26,0,(MAX(0,AK1056-IF($A1090&gt;='1-Input'!$C$12,'1-Input'!$B$12,0))-MIN(MAX(AO1089,0),MAX(0,AK1056-IF($A1090&gt;='1-Input'!$C$12,'1-Input'!$B$12,0))))*(1/(1-'P-Parametri'!$B$6*AK1090))+MIN(MAX(0,AP1089-(MAX(0,AK1056-IF($A1090&gt;='1-Input'!$C$12,'1-Input'!$B$12,0))-MIN(MAX(AO1089,0),MAX(0,AK1056-IF($A1090&gt;='1-Input'!$C$12,'1-Input'!$B$12,0))))*(1/(1-'P-Parametri'!$B$6*AK1090))),MAX(0,2*AK1056-(AO1089-MIN(MAX(AO1089,0),MAX(0,AK1056-IF($A1090&gt;='1-Input'!$C$12,'1-Input'!$B$12,0)))))*(1/(1-'P-Parametri'!$B$6*AK1090))))</f>
        <v>8073.9318494664321</v>
      </c>
      <c r="AM1090" s="18">
        <f>IF($A1090&gt;'1-Input'!$B$26,AO1089,(AO1089-MAX(0,AK1056-IF($A1090&gt;='1-Input'!$C$12,'1-Input'!$B$12,0))+AL1090*(1-'P-Parametri'!$B$6*AK1090))*(1+'1-Input'!$B$27))</f>
        <v>34907.38056101869</v>
      </c>
      <c r="AN1090" s="18">
        <f>IF($A1090&gt;'1-Input'!$B$26,AP1089,(AP1089-AL1090)*(1+'5-Roberta'!$C$4))</f>
        <v>57427.913251163642</v>
      </c>
      <c r="AO1090" s="18">
        <f>IF($A1090&gt;'1-Input'!$B$26,AM1090,AM1090-'P-Parametri'!$B$8*(AN1090+AM1090)+MIN(MAX(AN1090,0),'P-Parametri'!$B$8*(AN1090+AM1090)))</f>
        <v>34907.38056101869</v>
      </c>
      <c r="AP1090" s="18">
        <f>IF($A1090&gt;'1-Input'!$B$26,AN1090,AN1090-MIN(MAX(AN1090,0),'P-Parametri'!$B$8*(AN1090+AM1090)))</f>
        <v>57243.242663539277</v>
      </c>
      <c r="AQ1090" s="18">
        <f>IF($A1090&gt;'1-Input'!$B$26,AQ1089,AQ1089-AL1090*(1-AK1090))</f>
        <v>15037.22879277042</v>
      </c>
    </row>
    <row r="1091" spans="1:43">
      <c r="A1091" s="10">
        <f>33</f>
        <v>33</v>
      </c>
      <c r="B1091" s="11">
        <f>IF($A1091&gt;'1-Input'!$B$26,0,IF(G1090&lt;=0,0,MAX(0,(G1090-H1090)/G1090)))</f>
        <v>0.73844468695834253</v>
      </c>
      <c r="C1091" s="18">
        <f>IF($A1091&gt;'1-Input'!$B$26,0,(MAX(0,B1056-IF($A1091&gt;='1-Input'!$C$12,'1-Input'!$B$12,0))-MIN(MAX(F1090,0),MAX(0,B1056-IF($A1091&gt;='1-Input'!$C$12,'1-Input'!$B$12,0))))*(1/(1-'P-Parametri'!$B$6*B1091))+MIN(MAX(0,G1090-(MAX(0,B1056-IF($A1091&gt;='1-Input'!$C$12,'1-Input'!$B$12,0))-MIN(MAX(F1090,0),MAX(0,B1056-IF($A1091&gt;='1-Input'!$C$12,'1-Input'!$B$12,0))))*(1/(1-'P-Parametri'!$B$6*B1091))),MAX(0,2*B1056-(F1090-MIN(MAX(F1090,0),MAX(0,B1056-IF($A1091&gt;='1-Input'!$C$12,'1-Input'!$B$12,0)))))*(1/(1-'P-Parametri'!$B$6*B1091))))</f>
        <v>7053.3762491251009</v>
      </c>
      <c r="D1091" s="18">
        <f>IF($A1091&gt;'1-Input'!$B$26,F1090,(F1090-MAX(0,B1056-IF($A1091&gt;='1-Input'!$C$12,'1-Input'!$B$12,0))+C1091*(1-'P-Parametri'!$B$6*B1091))*(1+'1-Input'!$B$27))</f>
        <v>33242.0070309863</v>
      </c>
      <c r="E1091" s="18">
        <f>IF($A1091&gt;'1-Input'!$B$26,G1090,(G1090-C1091)*(1+'5-Roberta'!$C$4))</f>
        <v>108716.30039224093</v>
      </c>
      <c r="F1091" s="18">
        <f>IF($A1091&gt;'1-Input'!$B$26,D1091,D1091-'P-Parametri'!$B$8*(E1091+D1091)+MIN(MAX(E1091,0),'P-Parametri'!$B$8*(E1091+D1091)))</f>
        <v>33242.0070309863</v>
      </c>
      <c r="G1091" s="18">
        <f>IF($A1091&gt;'1-Input'!$B$26,E1091,E1091-MIN(MAX(E1091,0),'P-Parametri'!$B$8*(E1091+D1091)))</f>
        <v>108432.38377739447</v>
      </c>
      <c r="H1091" s="18">
        <f>IF($A1091&gt;'1-Input'!$B$26,H1090,H1090-C1091*(1-B1091))</f>
        <v>27607.11260371207</v>
      </c>
      <c r="I1091" s="11">
        <f>IF($A1091&gt;'1-Input'!$B$26,0,IF(N1090&lt;=0,0,MAX(0,(N1090-O1090)/N1090)))</f>
        <v>0</v>
      </c>
      <c r="J1091" s="18">
        <f>IF($A1091&gt;'1-Input'!$B$26,0,(MAX(0,I1056-IF($A1091&gt;='1-Input'!$C$12,'1-Input'!$B$12,0))-MIN(MAX(M1090,0),MAX(0,I1056-IF($A1091&gt;='1-Input'!$C$12,'1-Input'!$B$12,0))))*(1/(1-'P-Parametri'!$B$6*I1091))+MIN(MAX(0,N1090-(MAX(0,I1056-IF($A1091&gt;='1-Input'!$C$12,'1-Input'!$B$12,0))-MIN(MAX(M1090,0),MAX(0,I1056-IF($A1091&gt;='1-Input'!$C$12,'1-Input'!$B$12,0))))*(1/(1-'P-Parametri'!$B$6*I1091))),MAX(0,2*I1056-(M1090-MIN(MAX(M1090,0),MAX(0,I1056-IF($A1091&gt;='1-Input'!$C$12,'1-Input'!$B$12,0)))))*(1/(1-'P-Parametri'!$B$6*I1091))))</f>
        <v>10846.756992928691</v>
      </c>
      <c r="K1091" s="18">
        <f>IF($A1091&gt;'1-Input'!$B$26,M1090,(M1090-MAX(0,I1056-IF($A1091&gt;='1-Input'!$C$12,'1-Input'!$B$12,0))+J1091*(1-'P-Parametri'!$B$6*I1091))*(1+'1-Input'!$B$27))</f>
        <v>0</v>
      </c>
      <c r="L1091" s="18">
        <f>IF($A1091&gt;'1-Input'!$B$26,N1090,(N1090-J1091)*(1+'5-Roberta'!$C$4))</f>
        <v>-146472.58480831445</v>
      </c>
      <c r="M1091" s="18">
        <f>IF($A1091&gt;'1-Input'!$B$26,K1091,K1091-'P-Parametri'!$B$8*(L1091+K1091)+MIN(MAX(L1091,0),'P-Parametri'!$B$8*(L1091+K1091)))</f>
        <v>0</v>
      </c>
      <c r="N1091" s="18">
        <f>IF($A1091&gt;'1-Input'!$B$26,L1091,L1091-MIN(MAX(L1091,0),'P-Parametri'!$B$8*(L1091+K1091)))</f>
        <v>-146179.63963869782</v>
      </c>
      <c r="O1091" s="18">
        <f>IF($A1091&gt;'1-Input'!$B$26,O1090,O1090-J1091*(1-I1091))</f>
        <v>-122818.92088842316</v>
      </c>
      <c r="P1091" s="11">
        <f>IF($A1091&gt;'1-Input'!$B$26,0,IF(U1090&lt;=0,0,MAX(0,(U1090-V1090)/U1090)))</f>
        <v>0.73702063793986117</v>
      </c>
      <c r="Q1091" s="18">
        <f>IF($A1091&gt;'1-Input'!$B$26,0,(MAX(0,P1056-IF($A1091&gt;='1-Input'!$C$12,'1-Input'!$B$12,0))-MIN(MAX(T1090,0),MAX(0,P1056-IF($A1091&gt;='1-Input'!$C$12,'1-Input'!$B$12,0))))*(1/(1-'P-Parametri'!$B$6*P1091))+MIN(MAX(0,U1090-(MAX(0,P1056-IF($A1091&gt;='1-Input'!$C$12,'1-Input'!$B$12,0))-MIN(MAX(T1090,0),MAX(0,P1056-IF($A1091&gt;='1-Input'!$C$12,'1-Input'!$B$12,0))))*(1/(1-'P-Parametri'!$B$6*P1091))),MAX(0,2*P1056-(T1090-MIN(MAX(T1090,0),MAX(0,P1056-IF($A1091&gt;='1-Input'!$C$12,'1-Input'!$B$12,0)))))*(1/(1-'P-Parametri'!$B$6*P1091))))</f>
        <v>8246.7609994473914</v>
      </c>
      <c r="R1091" s="18">
        <f>IF($A1091&gt;'1-Input'!$B$26,T1090,(T1090-MAX(0,P1056-IF($A1091&gt;='1-Input'!$C$12,'1-Input'!$B$12,0))+Q1091*(1-'P-Parametri'!$B$6*P1091))*(1+'1-Input'!$B$27))</f>
        <v>35155.889406417155</v>
      </c>
      <c r="S1091" s="18">
        <f>IF($A1091&gt;'1-Input'!$B$26,U1090,(U1090-Q1091)*(1+'5-Roberta'!$C$4))</f>
        <v>41959.563302477101</v>
      </c>
      <c r="T1091" s="18">
        <f>IF($A1091&gt;'1-Input'!$B$26,R1091,R1091-'P-Parametri'!$B$8*(S1091+R1091)+MIN(MAX(S1091,0),'P-Parametri'!$B$8*(S1091+R1091)))</f>
        <v>35155.889406417155</v>
      </c>
      <c r="U1091" s="18">
        <f>IF($A1091&gt;'1-Input'!$B$26,S1091,S1091-MIN(MAX(S1091,0),'P-Parametri'!$B$8*(S1091+R1091)))</f>
        <v>41805.332397059312</v>
      </c>
      <c r="V1091" s="18">
        <f>IF($A1091&gt;'1-Input'!$B$26,V1090,V1090-Q1091*(1-P1091))</f>
        <v>10713.106009327612</v>
      </c>
      <c r="W1091" s="11">
        <f>IF($A1091&gt;'1-Input'!$B$26,0,IF(AB1090&lt;=0,0,MAX(0,(AB1090-AC1090)/AB1090)))</f>
        <v>0.73729089677426485</v>
      </c>
      <c r="X1091" s="18">
        <f>IF($A1091&gt;'1-Input'!$B$26,0,(MAX(0,W1056-IF($A1091&gt;='1-Input'!$C$12,'1-Input'!$B$12,0))-MIN(MAX(AA1090,0),MAX(0,W1056-IF($A1091&gt;='1-Input'!$C$12,'1-Input'!$B$12,0))))*(1/(1-'P-Parametri'!$B$6*W1091))+MIN(MAX(0,AB1090-(MAX(0,W1056-IF($A1091&gt;='1-Input'!$C$12,'1-Input'!$B$12,0))-MIN(MAX(AA1090,0),MAX(0,W1056-IF($A1091&gt;='1-Input'!$C$12,'1-Input'!$B$12,0))))*(1/(1-'P-Parametri'!$B$6*W1091))),MAX(0,2*W1056-(AA1090-MIN(MAX(AA1090,0),MAX(0,W1056-IF($A1091&gt;='1-Input'!$C$12,'1-Input'!$B$12,0)))))*(1/(1-'P-Parametri'!$B$6*W1091))))</f>
        <v>8103.2971075996093</v>
      </c>
      <c r="Y1091" s="18">
        <f>IF($A1091&gt;'1-Input'!$B$26,AA1090,(AA1090-MAX(0,W1056-IF($A1091&gt;='1-Input'!$C$12,'1-Input'!$B$12,0))+X1091*(1-'P-Parametri'!$B$6*W1091))*(1+'1-Input'!$B$27))</f>
        <v>34925.304782144136</v>
      </c>
      <c r="Z1091" s="18">
        <f>IF($A1091&gt;'1-Input'!$B$26,AB1090,(AB1090-X1091)*(1+'5-Roberta'!$C$4))</f>
        <v>50000.550048648955</v>
      </c>
      <c r="AA1091" s="18">
        <f>IF($A1091&gt;'1-Input'!$B$26,Y1091,Y1091-'P-Parametri'!$B$8*(Z1091+Y1091)+MIN(MAX(Z1091,0),'P-Parametri'!$B$8*(Z1091+Y1091)))</f>
        <v>34925.304782144136</v>
      </c>
      <c r="AB1091" s="18">
        <f>IF($A1091&gt;'1-Input'!$B$26,Z1091,Z1091-MIN(MAX(Z1091,0),'P-Parametri'!$B$8*(Z1091+Y1091)))</f>
        <v>49830.698338987371</v>
      </c>
      <c r="AC1091" s="18">
        <f>IF($A1091&gt;'1-Input'!$B$26,AC1090,AC1090-X1091*(1-W1091))</f>
        <v>12753.009382596172</v>
      </c>
      <c r="AD1091" s="11">
        <f>IF($A1091&gt;'1-Input'!$B$26,0,IF(AI1090&lt;=0,0,MAX(0,(AI1090-AJ1090)/AI1090)))</f>
        <v>0.73731006085783979</v>
      </c>
      <c r="AE1091" s="18">
        <f>IF($A1091&gt;'1-Input'!$B$26,0,(MAX(0,AD1056-IF($A1091&gt;='1-Input'!$C$12,'1-Input'!$B$12,0))-MIN(MAX(AH1090,0),MAX(0,AD1056-IF($A1091&gt;='1-Input'!$C$12,'1-Input'!$B$12,0))))*(1/(1-'P-Parametri'!$B$6*AD1091))+MIN(MAX(0,AI1090-(MAX(0,AD1056-IF($A1091&gt;='1-Input'!$C$12,'1-Input'!$B$12,0))-MIN(MAX(AH1090,0),MAX(0,AD1056-IF($A1091&gt;='1-Input'!$C$12,'1-Input'!$B$12,0))))*(1/(1-'P-Parametri'!$B$6*AD1091))),MAX(0,2*AD1056-(AH1090-MIN(MAX(AH1090,0),MAX(0,AD1056-IF($A1091&gt;='1-Input'!$C$12,'1-Input'!$B$12,0)))))*(1/(1-'P-Parametri'!$B$6*AD1091))))</f>
        <v>8092.0890542269763</v>
      </c>
      <c r="AF1091" s="18">
        <f>IF($A1091&gt;'1-Input'!$B$26,AH1090,(AH1090-MAX(0,AD1056-IF($A1091&gt;='1-Input'!$C$12,'1-Input'!$B$12,0))+AE1091*(1-'P-Parametri'!$B$6*AD1091))*(1+'1-Input'!$B$27))</f>
        <v>34907.300256313618</v>
      </c>
      <c r="AG1091" s="18">
        <f>IF($A1091&gt;'1-Input'!$B$26,AI1090,(AI1090-AE1091)*(1+'5-Roberta'!$C$4))</f>
        <v>50628.437269044291</v>
      </c>
      <c r="AH1091" s="18">
        <f>IF($A1091&gt;'1-Input'!$B$26,AF1091,AF1091-'P-Parametri'!$B$8*(AG1091+AF1091)+MIN(MAX(AG1091,0),'P-Parametri'!$B$8*(AG1091+AF1091)))</f>
        <v>34907.300256313618</v>
      </c>
      <c r="AI1091" s="18">
        <f>IF($A1091&gt;'1-Input'!$B$26,AG1091,AG1091-MIN(MAX(AG1091,0),'P-Parametri'!$B$8*(AG1091+AF1091)))</f>
        <v>50457.365793993573</v>
      </c>
      <c r="AJ1091" s="18">
        <f>IF($A1091&gt;'1-Input'!$B$26,AJ1090,AJ1090-AE1091*(1-AD1091))</f>
        <v>12912.21466511449</v>
      </c>
      <c r="AK1091" s="11">
        <f>IF($A1091&gt;'1-Input'!$B$26,0,IF(AP1090&lt;=0,0,MAX(0,(AP1090-AQ1090)/AP1090)))</f>
        <v>0.73730997593628134</v>
      </c>
      <c r="AL1091" s="18">
        <f>IF($A1091&gt;'1-Input'!$B$26,0,(MAX(0,AK1056-IF($A1091&gt;='1-Input'!$C$12,'1-Input'!$B$12,0))-MIN(MAX(AO1090,0),MAX(0,AK1056-IF($A1091&gt;='1-Input'!$C$12,'1-Input'!$B$12,0))))*(1/(1-'P-Parametri'!$B$6*AK1091))+MIN(MAX(0,AP1090-(MAX(0,AK1056-IF($A1091&gt;='1-Input'!$C$12,'1-Input'!$B$12,0))-MIN(MAX(AO1090,0),MAX(0,AK1056-IF($A1091&gt;='1-Input'!$C$12,'1-Input'!$B$12,0))))*(1/(1-'P-Parametri'!$B$6*AK1091))),MAX(0,2*AK1056-(AO1090-MIN(MAX(AO1090,0),MAX(0,AK1056-IF($A1091&gt;='1-Input'!$C$12,'1-Input'!$B$12,0)))))*(1/(1-'P-Parametri'!$B$6*AK1091))))</f>
        <v>8092.1390467102874</v>
      </c>
      <c r="AM1091" s="18">
        <f>IF($A1091&gt;'1-Input'!$B$26,AO1090,(AO1090-MAX(0,AK1056-IF($A1091&gt;='1-Input'!$C$12,'1-Input'!$B$12,0))+AL1091*(1-'P-Parametri'!$B$6*AK1091))*(1+'1-Input'!$B$27))</f>
        <v>34907.38056101869</v>
      </c>
      <c r="AN1091" s="18">
        <f>IF($A1091&gt;'1-Input'!$B$26,AP1090,(AP1090-AL1091)*(1+'5-Roberta'!$C$4))</f>
        <v>50625.636725333854</v>
      </c>
      <c r="AO1091" s="18">
        <f>IF($A1091&gt;'1-Input'!$B$26,AM1091,AM1091-'P-Parametri'!$B$8*(AN1091+AM1091)+MIN(MAX(AN1091,0),'P-Parametri'!$B$8*(AN1091+AM1091)))</f>
        <v>34907.38056101869</v>
      </c>
      <c r="AP1091" s="18">
        <f>IF($A1091&gt;'1-Input'!$B$26,AN1091,AN1091-MIN(MAX(AN1091,0),'P-Parametri'!$B$8*(AN1091+AM1091)))</f>
        <v>50454.570690761146</v>
      </c>
      <c r="AQ1091" s="18">
        <f>IF($A1091&gt;'1-Input'!$B$26,AQ1090,AQ1090-AL1091*(1-AK1091))</f>
        <v>12911.504591863137</v>
      </c>
    </row>
    <row r="1092" spans="1:43">
      <c r="A1092" s="10">
        <f>34</f>
        <v>34</v>
      </c>
      <c r="B1092" s="11">
        <f>IF($A1092&gt;'1-Input'!$B$26,0,IF(G1091&lt;=0,0,MAX(0,(G1091-H1091)/G1091)))</f>
        <v>0.74539790012928331</v>
      </c>
      <c r="C1092" s="18">
        <f>IF($A1092&gt;'1-Input'!$B$26,0,(MAX(0,B1056-IF($A1092&gt;='1-Input'!$C$12,'1-Input'!$B$12,0))-MIN(MAX(F1091,0),MAX(0,B1056-IF($A1092&gt;='1-Input'!$C$12,'1-Input'!$B$12,0))))*(1/(1-'P-Parametri'!$B$6*B1092))+MIN(MAX(0,G1091-(MAX(0,B1056-IF($A1092&gt;='1-Input'!$C$12,'1-Input'!$B$12,0))-MIN(MAX(F1091,0),MAX(0,B1056-IF($A1092&gt;='1-Input'!$C$12,'1-Input'!$B$12,0))))*(1/(1-'P-Parametri'!$B$6*B1092))),MAX(0,2*B1056-(F1091-MIN(MAX(F1091,0),MAX(0,B1056-IF($A1092&gt;='1-Input'!$C$12,'1-Input'!$B$12,0)))))*(1/(1-'P-Parametri'!$B$6*B1092))))</f>
        <v>7069.1929175403948</v>
      </c>
      <c r="D1092" s="18">
        <f>IF($A1092&gt;'1-Input'!$B$26,F1091,(F1091-MAX(0,B1056-IF($A1092&gt;='1-Input'!$C$12,'1-Input'!$B$12,0))+C1092*(1-'P-Parametri'!$B$6*B1092))*(1+'1-Input'!$B$27))</f>
        <v>33242.0070309863</v>
      </c>
      <c r="E1092" s="18">
        <f>IF($A1092&gt;'1-Input'!$B$26,G1091,(G1091-C1092)*(1+'5-Roberta'!$C$4))</f>
        <v>104404.0865856497</v>
      </c>
      <c r="F1092" s="18">
        <f>IF($A1092&gt;'1-Input'!$B$26,D1092,D1092-'P-Parametri'!$B$8*(E1092+D1092)+MIN(MAX(E1092,0),'P-Parametri'!$B$8*(E1092+D1092)))</f>
        <v>33242.0070309863</v>
      </c>
      <c r="G1092" s="18">
        <f>IF($A1092&gt;'1-Input'!$B$26,E1092,E1092-MIN(MAX(E1092,0),'P-Parametri'!$B$8*(E1092+D1092)))</f>
        <v>104128.79439841643</v>
      </c>
      <c r="H1092" s="18">
        <f>IF($A1092&gt;'1-Input'!$B$26,H1091,H1091-C1092*(1-B1092))</f>
        <v>25807.281242515088</v>
      </c>
      <c r="I1092" s="11">
        <f>IF($A1092&gt;'1-Input'!$B$26,0,IF(N1091&lt;=0,0,MAX(0,(N1091-O1091)/N1091)))</f>
        <v>0</v>
      </c>
      <c r="J1092" s="18">
        <f>IF($A1092&gt;'1-Input'!$B$26,0,(MAX(0,I1056-IF($A1092&gt;='1-Input'!$C$12,'1-Input'!$B$12,0))-MIN(MAX(M1091,0),MAX(0,I1056-IF($A1092&gt;='1-Input'!$C$12,'1-Input'!$B$12,0))))*(1/(1-'P-Parametri'!$B$6*I1092))+MIN(MAX(0,N1091-(MAX(0,I1056-IF($A1092&gt;='1-Input'!$C$12,'1-Input'!$B$12,0))-MIN(MAX(M1091,0),MAX(0,I1056-IF($A1092&gt;='1-Input'!$C$12,'1-Input'!$B$12,0))))*(1/(1-'P-Parametri'!$B$6*I1092))),MAX(0,2*I1056-(M1091-MIN(MAX(M1091,0),MAX(0,I1056-IF($A1092&gt;='1-Input'!$C$12,'1-Input'!$B$12,0)))))*(1/(1-'P-Parametri'!$B$6*I1092))))</f>
        <v>10846.756992928691</v>
      </c>
      <c r="K1092" s="18">
        <f>IF($A1092&gt;'1-Input'!$B$26,M1091,(M1091-MAX(0,I1056-IF($A1092&gt;='1-Input'!$C$12,'1-Input'!$B$12,0))+J1092*(1-'P-Parametri'!$B$6*I1092))*(1+'1-Input'!$B$27))</f>
        <v>0</v>
      </c>
      <c r="L1092" s="18">
        <f>IF($A1092&gt;'1-Input'!$B$26,N1091,(N1091-J1092)*(1+'5-Roberta'!$C$4))</f>
        <v>-161737.18853057531</v>
      </c>
      <c r="M1092" s="18">
        <f>IF($A1092&gt;'1-Input'!$B$26,K1092,K1092-'P-Parametri'!$B$8*(L1092+K1092)+MIN(MAX(L1092,0),'P-Parametri'!$B$8*(L1092+K1092)))</f>
        <v>0</v>
      </c>
      <c r="N1092" s="18">
        <f>IF($A1092&gt;'1-Input'!$B$26,L1092,L1092-MIN(MAX(L1092,0),'P-Parametri'!$B$8*(L1092+K1092)))</f>
        <v>-161413.71415351416</v>
      </c>
      <c r="O1092" s="18">
        <f>IF($A1092&gt;'1-Input'!$B$26,O1091,O1091-J1092*(1-I1092))</f>
        <v>-133665.67788135185</v>
      </c>
      <c r="P1092" s="11">
        <f>IF($A1092&gt;'1-Input'!$B$26,0,IF(U1091&lt;=0,0,MAX(0,(U1091-V1091)/U1091)))</f>
        <v>0.74373828899202354</v>
      </c>
      <c r="Q1092" s="18">
        <f>IF($A1092&gt;'1-Input'!$B$26,0,(MAX(0,P1056-IF($A1092&gt;='1-Input'!$C$12,'1-Input'!$B$12,0))-MIN(MAX(T1091,0),MAX(0,P1056-IF($A1092&gt;='1-Input'!$C$12,'1-Input'!$B$12,0))))*(1/(1-'P-Parametri'!$B$6*P1092))+MIN(MAX(0,U1091-(MAX(0,P1056-IF($A1092&gt;='1-Input'!$C$12,'1-Input'!$B$12,0))-MIN(MAX(T1091,0),MAX(0,P1056-IF($A1092&gt;='1-Input'!$C$12,'1-Input'!$B$12,0))))*(1/(1-'P-Parametri'!$B$6*P1092))),MAX(0,2*P1056-(T1091-MIN(MAX(T1091,0),MAX(0,P1056-IF($A1092&gt;='1-Input'!$C$12,'1-Input'!$B$12,0)))))*(1/(1-'P-Parametri'!$B$6*P1092))))</f>
        <v>8264.6176861755721</v>
      </c>
      <c r="R1092" s="18">
        <f>IF($A1092&gt;'1-Input'!$B$26,T1091,(T1091-MAX(0,P1056-IF($A1092&gt;='1-Input'!$C$12,'1-Input'!$B$12,0))+Q1092*(1-'P-Parametri'!$B$6*P1092))*(1+'1-Input'!$B$27))</f>
        <v>35155.889406417155</v>
      </c>
      <c r="S1092" s="18">
        <f>IF($A1092&gt;'1-Input'!$B$26,U1091,(U1091-Q1092)*(1+'5-Roberta'!$C$4))</f>
        <v>34546.936152210248</v>
      </c>
      <c r="T1092" s="18">
        <f>IF($A1092&gt;'1-Input'!$B$26,R1092,R1092-'P-Parametri'!$B$8*(S1092+R1092)+MIN(MAX(S1092,0),'P-Parametri'!$B$8*(S1092+R1092)))</f>
        <v>35155.889406417155</v>
      </c>
      <c r="U1092" s="18">
        <f>IF($A1092&gt;'1-Input'!$B$26,S1092,S1092-MIN(MAX(S1092,0),'P-Parametri'!$B$8*(S1092+R1092)))</f>
        <v>34407.530501092995</v>
      </c>
      <c r="V1092" s="18">
        <f>IF($A1092&gt;'1-Input'!$B$26,V1091,V1091-Q1092*(1-P1092))</f>
        <v>8595.2009402414769</v>
      </c>
      <c r="W1092" s="11">
        <f>IF($A1092&gt;'1-Input'!$B$26,0,IF(AB1091&lt;=0,0,MAX(0,(AB1091-AC1091)/AB1091)))</f>
        <v>0.74407323582262019</v>
      </c>
      <c r="X1092" s="18">
        <f>IF($A1092&gt;'1-Input'!$B$26,0,(MAX(0,W1056-IF($A1092&gt;='1-Input'!$C$12,'1-Input'!$B$12,0))-MIN(MAX(AA1091,0),MAX(0,W1056-IF($A1092&gt;='1-Input'!$C$12,'1-Input'!$B$12,0))))*(1/(1-'P-Parametri'!$B$6*W1092))+MIN(MAX(0,AB1091-(MAX(0,W1056-IF($A1092&gt;='1-Input'!$C$12,'1-Input'!$B$12,0))-MIN(MAX(AA1091,0),MAX(0,W1056-IF($A1092&gt;='1-Input'!$C$12,'1-Input'!$B$12,0))))*(1/(1-'P-Parametri'!$B$6*W1092))),MAX(0,2*W1056-(AA1091-MIN(MAX(AA1091,0),MAX(0,W1056-IF($A1092&gt;='1-Input'!$C$12,'1-Input'!$B$12,0)))))*(1/(1-'P-Parametri'!$B$6*W1092))))</f>
        <v>8121.0140257900193</v>
      </c>
      <c r="Y1092" s="18">
        <f>IF($A1092&gt;'1-Input'!$B$26,AA1091,(AA1091-MAX(0,W1056-IF($A1092&gt;='1-Input'!$C$12,'1-Input'!$B$12,0))+X1092*(1-'P-Parametri'!$B$6*W1092))*(1+'1-Input'!$B$27))</f>
        <v>34925.304782144136</v>
      </c>
      <c r="Z1092" s="18">
        <f>IF($A1092&gt;'1-Input'!$B$26,AB1091,(AB1091-X1092)*(1+'5-Roberta'!$C$4))</f>
        <v>42960.97484259327</v>
      </c>
      <c r="AA1092" s="18">
        <f>IF($A1092&gt;'1-Input'!$B$26,Y1092,Y1092-'P-Parametri'!$B$8*(Z1092+Y1092)+MIN(MAX(Z1092,0),'P-Parametri'!$B$8*(Z1092+Y1092)))</f>
        <v>34925.304782144136</v>
      </c>
      <c r="AB1092" s="18">
        <f>IF($A1092&gt;'1-Input'!$B$26,Z1092,Z1092-MIN(MAX(Z1092,0),'P-Parametri'!$B$8*(Z1092+Y1092)))</f>
        <v>42805.202283343795</v>
      </c>
      <c r="AC1092" s="18">
        <f>IF($A1092&gt;'1-Input'!$B$26,AC1091,AC1091-X1092*(1-W1092))</f>
        <v>10674.624541136616</v>
      </c>
      <c r="AD1092" s="11">
        <f>IF($A1092&gt;'1-Input'!$B$26,0,IF(AI1091&lt;=0,0,MAX(0,(AI1091-AJ1091)/AI1091)))</f>
        <v>0.74409653651297902</v>
      </c>
      <c r="AE1092" s="18">
        <f>IF($A1092&gt;'1-Input'!$B$26,0,(MAX(0,AD1056-IF($A1092&gt;='1-Input'!$C$12,'1-Input'!$B$12,0))-MIN(MAX(AH1091,0),MAX(0,AD1056-IF($A1092&gt;='1-Input'!$C$12,'1-Input'!$B$12,0))))*(1/(1-'P-Parametri'!$B$6*AD1092))+MIN(MAX(0,AI1091-(MAX(0,AD1056-IF($A1092&gt;='1-Input'!$C$12,'1-Input'!$B$12,0))-MIN(MAX(AH1091,0),MAX(0,AD1056-IF($A1092&gt;='1-Input'!$C$12,'1-Input'!$B$12,0))))*(1/(1-'P-Parametri'!$B$6*AD1092))),MAX(0,2*AD1056-(AH1091-MIN(MAX(AH1091,0),MAX(0,AD1056-IF($A1092&gt;='1-Input'!$C$12,'1-Input'!$B$12,0)))))*(1/(1-'P-Parametri'!$B$6*AD1092))))</f>
        <v>8109.7923910399531</v>
      </c>
      <c r="AF1092" s="18">
        <f>IF($A1092&gt;'1-Input'!$B$26,AH1091,(AH1091-MAX(0,AD1056-IF($A1092&gt;='1-Input'!$C$12,'1-Input'!$B$12,0))+AE1092*(1-'P-Parametri'!$B$6*AD1092))*(1+'1-Input'!$B$27))</f>
        <v>34907.300256313618</v>
      </c>
      <c r="AG1092" s="18">
        <f>IF($A1092&gt;'1-Input'!$B$26,AI1091,(AI1091-AE1092)*(1+'5-Roberta'!$C$4))</f>
        <v>43618.000605042231</v>
      </c>
      <c r="AH1092" s="18">
        <f>IF($A1092&gt;'1-Input'!$B$26,AF1092,AF1092-'P-Parametri'!$B$8*(AG1092+AF1092)+MIN(MAX(AG1092,0),'P-Parametri'!$B$8*(AG1092+AF1092)))</f>
        <v>34907.300256313618</v>
      </c>
      <c r="AI1092" s="18">
        <f>IF($A1092&gt;'1-Input'!$B$26,AG1092,AG1092-MIN(MAX(AG1092,0),'P-Parametri'!$B$8*(AG1092+AF1092)))</f>
        <v>43460.950003319522</v>
      </c>
      <c r="AJ1092" s="18">
        <f>IF($A1092&gt;'1-Input'!$B$26,AJ1091,AJ1091-AE1092*(1-AD1092))</f>
        <v>10836.890704086676</v>
      </c>
      <c r="AK1092" s="11">
        <f>IF($A1092&gt;'1-Input'!$B$26,0,IF(AP1091&lt;=0,0,MAX(0,(AP1091-AQ1091)/AP1091)))</f>
        <v>0.74409643338363807</v>
      </c>
      <c r="AL1092" s="18">
        <f>IF($A1092&gt;'1-Input'!$B$26,0,(MAX(0,AK1056-IF($A1092&gt;='1-Input'!$C$12,'1-Input'!$B$12,0))-MIN(MAX(AO1091,0),MAX(0,AK1056-IF($A1092&gt;='1-Input'!$C$12,'1-Input'!$B$12,0))))*(1/(1-'P-Parametri'!$B$6*AK1092))+MIN(MAX(0,AP1091-(MAX(0,AK1056-IF($A1092&gt;='1-Input'!$C$12,'1-Input'!$B$12,0))-MIN(MAX(AO1091,0),MAX(0,AK1056-IF($A1092&gt;='1-Input'!$C$12,'1-Input'!$B$12,0))))*(1/(1-'P-Parametri'!$B$6*AK1092))),MAX(0,2*AK1056-(AO1091-MIN(MAX(AO1091,0),MAX(0,AK1056-IF($A1092&gt;='1-Input'!$C$12,'1-Input'!$B$12,0)))))*(1/(1-'P-Parametri'!$B$6*AK1092))))</f>
        <v>8109.8424448074702</v>
      </c>
      <c r="AM1092" s="18">
        <f>IF($A1092&gt;'1-Input'!$B$26,AO1091,(AO1091-MAX(0,AK1056-IF($A1092&gt;='1-Input'!$C$12,'1-Input'!$B$12,0))+AL1092*(1-'P-Parametri'!$B$6*AK1092))*(1+'1-Input'!$B$27))</f>
        <v>34907.38056101869</v>
      </c>
      <c r="AN1092" s="18">
        <f>IF($A1092&gt;'1-Input'!$B$26,AP1091,(AP1091-AL1092)*(1+'5-Roberta'!$C$4))</f>
        <v>43615.070093332281</v>
      </c>
      <c r="AO1092" s="18">
        <f>IF($A1092&gt;'1-Input'!$B$26,AM1092,AM1092-'P-Parametri'!$B$8*(AN1092+AM1092)+MIN(MAX(AN1092,0),'P-Parametri'!$B$8*(AN1092+AM1092)))</f>
        <v>34907.38056101869</v>
      </c>
      <c r="AP1092" s="18">
        <f>IF($A1092&gt;'1-Input'!$B$26,AN1092,AN1092-MIN(MAX(AN1092,0),'P-Parametri'!$B$8*(AN1092+AM1092)))</f>
        <v>43458.025192023575</v>
      </c>
      <c r="AQ1092" s="18">
        <f>IF($A1092&gt;'1-Input'!$B$26,AQ1091,AQ1091-AL1092*(1-AK1092))</f>
        <v>10836.166985540149</v>
      </c>
    </row>
    <row r="1093" spans="1:43">
      <c r="A1093" s="10">
        <f>35</f>
        <v>35</v>
      </c>
      <c r="B1093" s="11">
        <f>IF($A1093&gt;'1-Input'!$B$26,0,IF(G1092&lt;=0,0,MAX(0,(G1092-H1092)/G1092)))</f>
        <v>0.75215999194448024</v>
      </c>
      <c r="C1093" s="18">
        <f>IF($A1093&gt;'1-Input'!$B$26,0,(MAX(0,B1056-IF($A1093&gt;='1-Input'!$C$12,'1-Input'!$B$12,0))-MIN(MAX(F1092,0),MAX(0,B1056-IF($A1093&gt;='1-Input'!$C$12,'1-Input'!$B$12,0))))*(1/(1-'P-Parametri'!$B$6*B1093))+MIN(MAX(0,G1092-(MAX(0,B1056-IF($A1093&gt;='1-Input'!$C$12,'1-Input'!$B$12,0))-MIN(MAX(F1092,0),MAX(0,B1056-IF($A1093&gt;='1-Input'!$C$12,'1-Input'!$B$12,0))))*(1/(1-'P-Parametri'!$B$6*B1093))),MAX(0,2*B1056-(F1092-MIN(MAX(F1092,0),MAX(0,B1056-IF($A1093&gt;='1-Input'!$C$12,'1-Input'!$B$12,0)))))*(1/(1-'P-Parametri'!$B$6*B1093))))</f>
        <v>7084.6430230739643</v>
      </c>
      <c r="D1093" s="18">
        <f>IF($A1093&gt;'1-Input'!$B$26,F1092,(F1092-MAX(0,B1056-IF($A1093&gt;='1-Input'!$C$12,'1-Input'!$B$12,0))+C1093*(1-'P-Parametri'!$B$6*B1093))*(1+'1-Input'!$B$27))</f>
        <v>33242.0070309863</v>
      </c>
      <c r="E1093" s="18">
        <f>IF($A1093&gt;'1-Input'!$B$26,G1092,(G1092-C1093)*(1+'5-Roberta'!$C$4))</f>
        <v>99955.475916602736</v>
      </c>
      <c r="F1093" s="18">
        <f>IF($A1093&gt;'1-Input'!$B$26,D1093,D1093-'P-Parametri'!$B$8*(E1093+D1093)+MIN(MAX(E1093,0),'P-Parametri'!$B$8*(E1093+D1093)))</f>
        <v>33242.0070309863</v>
      </c>
      <c r="G1093" s="18">
        <f>IF($A1093&gt;'1-Input'!$B$26,E1093,E1093-MIN(MAX(E1093,0),'P-Parametri'!$B$8*(E1093+D1093)))</f>
        <v>99689.080950707561</v>
      </c>
      <c r="H1093" s="18">
        <f>IF($A1093&gt;'1-Input'!$B$26,H1092,H1092-C1093*(1-B1093))</f>
        <v>24051.423258605955</v>
      </c>
      <c r="I1093" s="11">
        <f>IF($A1093&gt;'1-Input'!$B$26,0,IF(N1092&lt;=0,0,MAX(0,(N1092-O1092)/N1092)))</f>
        <v>0</v>
      </c>
      <c r="J1093" s="18">
        <f>IF($A1093&gt;'1-Input'!$B$26,0,(MAX(0,I1056-IF($A1093&gt;='1-Input'!$C$12,'1-Input'!$B$12,0))-MIN(MAX(M1092,0),MAX(0,I1056-IF($A1093&gt;='1-Input'!$C$12,'1-Input'!$B$12,0))))*(1/(1-'P-Parametri'!$B$6*I1093))+MIN(MAX(0,N1092-(MAX(0,I1056-IF($A1093&gt;='1-Input'!$C$12,'1-Input'!$B$12,0))-MIN(MAX(M1092,0),MAX(0,I1056-IF($A1093&gt;='1-Input'!$C$12,'1-Input'!$B$12,0))))*(1/(1-'P-Parametri'!$B$6*I1093))),MAX(0,2*I1056-(M1092-MIN(MAX(M1092,0),MAX(0,I1056-IF($A1093&gt;='1-Input'!$C$12,'1-Input'!$B$12,0)))))*(1/(1-'P-Parametri'!$B$6*I1093))))</f>
        <v>10846.756992928691</v>
      </c>
      <c r="K1093" s="18">
        <f>IF($A1093&gt;'1-Input'!$B$26,M1092,(M1092-MAX(0,I1056-IF($A1093&gt;='1-Input'!$C$12,'1-Input'!$B$12,0))+J1093*(1-'P-Parametri'!$B$6*I1093))*(1+'1-Input'!$B$27))</f>
        <v>0</v>
      </c>
      <c r="L1093" s="18">
        <f>IF($A1093&gt;'1-Input'!$B$26,N1092,(N1092-J1093)*(1+'5-Roberta'!$C$4))</f>
        <v>-177428.28528083613</v>
      </c>
      <c r="M1093" s="18">
        <f>IF($A1093&gt;'1-Input'!$B$26,K1093,K1093-'P-Parametri'!$B$8*(L1093+K1093)+MIN(MAX(L1093,0),'P-Parametri'!$B$8*(L1093+K1093)))</f>
        <v>0</v>
      </c>
      <c r="N1093" s="18">
        <f>IF($A1093&gt;'1-Input'!$B$26,L1093,L1093-MIN(MAX(L1093,0),'P-Parametri'!$B$8*(L1093+K1093)))</f>
        <v>-177073.42871027446</v>
      </c>
      <c r="O1093" s="18">
        <f>IF($A1093&gt;'1-Input'!$B$26,O1092,O1092-J1093*(1-I1093))</f>
        <v>-144512.43487428053</v>
      </c>
      <c r="P1093" s="11">
        <f>IF($A1093&gt;'1-Input'!$B$26,0,IF(U1092&lt;=0,0,MAX(0,(U1092-V1092)/U1092)))</f>
        <v>0.7501941925193254</v>
      </c>
      <c r="Q1093" s="18">
        <f>IF($A1093&gt;'1-Input'!$B$26,0,(MAX(0,P1056-IF($A1093&gt;='1-Input'!$C$12,'1-Input'!$B$12,0))-MIN(MAX(T1092,0),MAX(0,P1056-IF($A1093&gt;='1-Input'!$C$12,'1-Input'!$B$12,0))))*(1/(1-'P-Parametri'!$B$6*P1093))+MIN(MAX(0,U1092-(MAX(0,P1056-IF($A1093&gt;='1-Input'!$C$12,'1-Input'!$B$12,0))-MIN(MAX(T1092,0),MAX(0,P1056-IF($A1093&gt;='1-Input'!$C$12,'1-Input'!$B$12,0))))*(1/(1-'P-Parametri'!$B$6*P1093))),MAX(0,2*P1056-(T1092-MIN(MAX(T1092,0),MAX(0,P1056-IF($A1093&gt;='1-Input'!$C$12,'1-Input'!$B$12,0)))))*(1/(1-'P-Parametri'!$B$6*P1093))))</f>
        <v>8281.851623449058</v>
      </c>
      <c r="R1093" s="18">
        <f>IF($A1093&gt;'1-Input'!$B$26,T1092,(T1092-MAX(0,P1056-IF($A1093&gt;='1-Input'!$C$12,'1-Input'!$B$12,0))+Q1093*(1-'P-Parametri'!$B$6*P1093))*(1+'1-Input'!$B$27))</f>
        <v>35155.889406417155</v>
      </c>
      <c r="S1093" s="18">
        <f>IF($A1093&gt;'1-Input'!$B$26,U1092,(U1092-Q1093)*(1+'5-Roberta'!$C$4))</f>
        <v>26909.449243973253</v>
      </c>
      <c r="T1093" s="18">
        <f>IF($A1093&gt;'1-Input'!$B$26,R1093,R1093-'P-Parametri'!$B$8*(S1093+R1093)+MIN(MAX(S1093,0),'P-Parametri'!$B$8*(S1093+R1093)))</f>
        <v>35155.889406417155</v>
      </c>
      <c r="U1093" s="18">
        <f>IF($A1093&gt;'1-Input'!$B$26,S1093,S1093-MIN(MAX(S1093,0),'P-Parametri'!$B$8*(S1093+R1093)))</f>
        <v>26785.318566672471</v>
      </c>
      <c r="V1093" s="18">
        <f>IF($A1093&gt;'1-Input'!$B$26,V1092,V1092-Q1093*(1-P1093))</f>
        <v>6526.3463080106485</v>
      </c>
      <c r="W1093" s="11">
        <f>IF($A1093&gt;'1-Input'!$B$26,0,IF(AB1092&lt;=0,0,MAX(0,(AB1092-AC1092)/AB1092)))</f>
        <v>0.7506231959733014</v>
      </c>
      <c r="X1093" s="18">
        <f>IF($A1093&gt;'1-Input'!$B$26,0,(MAX(0,W1056-IF($A1093&gt;='1-Input'!$C$12,'1-Input'!$B$12,0))-MIN(MAX(AA1092,0),MAX(0,W1056-IF($A1093&gt;='1-Input'!$C$12,'1-Input'!$B$12,0))))*(1/(1-'P-Parametri'!$B$6*W1093))+MIN(MAX(0,AB1092-(MAX(0,W1056-IF($A1093&gt;='1-Input'!$C$12,'1-Input'!$B$12,0))-MIN(MAX(AA1092,0),MAX(0,W1056-IF($A1093&gt;='1-Input'!$C$12,'1-Input'!$B$12,0))))*(1/(1-'P-Parametri'!$B$6*W1093))),MAX(0,2*W1056-(AA1092-MIN(MAX(AA1092,0),MAX(0,W1056-IF($A1093&gt;='1-Input'!$C$12,'1-Input'!$B$12,0)))))*(1/(1-'P-Parametri'!$B$6*W1093))))</f>
        <v>8138.1976121482903</v>
      </c>
      <c r="Y1093" s="18">
        <f>IF($A1093&gt;'1-Input'!$B$26,AA1092,(AA1092-MAX(0,W1056-IF($A1093&gt;='1-Input'!$C$12,'1-Input'!$B$12,0))+X1093*(1-'P-Parametri'!$B$6*W1093))*(1+'1-Input'!$B$27))</f>
        <v>34925.304782144136</v>
      </c>
      <c r="Z1093" s="18">
        <f>IF($A1093&gt;'1-Input'!$B$26,AB1092,(AB1092-X1093)*(1+'5-Roberta'!$C$4))</f>
        <v>35707.014811331377</v>
      </c>
      <c r="AA1093" s="18">
        <f>IF($A1093&gt;'1-Input'!$B$26,Y1093,Y1093-'P-Parametri'!$B$8*(Z1093+Y1093)+MIN(MAX(Z1093,0),'P-Parametri'!$B$8*(Z1093+Y1093)))</f>
        <v>34925.304782144136</v>
      </c>
      <c r="AB1093" s="18">
        <f>IF($A1093&gt;'1-Input'!$B$26,Z1093,Z1093-MIN(MAX(Z1093,0),'P-Parametri'!$B$8*(Z1093+Y1093)))</f>
        <v>35565.750172144428</v>
      </c>
      <c r="AC1093" s="18">
        <f>IF($A1093&gt;'1-Input'!$B$26,AC1092,AC1092-X1093*(1-W1093))</f>
        <v>8645.1468300813649</v>
      </c>
      <c r="AD1093" s="11">
        <f>IF($A1093&gt;'1-Input'!$B$26,0,IF(AI1092&lt;=0,0,MAX(0,(AI1092-AJ1092)/AI1092)))</f>
        <v>0.75065223601281239</v>
      </c>
      <c r="AE1093" s="18">
        <f>IF($A1093&gt;'1-Input'!$B$26,0,(MAX(0,AD1056-IF($A1093&gt;='1-Input'!$C$12,'1-Input'!$B$12,0))-MIN(MAX(AH1092,0),MAX(0,AD1056-IF($A1093&gt;='1-Input'!$C$12,'1-Input'!$B$12,0))))*(1/(1-'P-Parametri'!$B$6*AD1093))+MIN(MAX(0,AI1092-(MAX(0,AD1056-IF($A1093&gt;='1-Input'!$C$12,'1-Input'!$B$12,0))-MIN(MAX(AH1092,0),MAX(0,AD1056-IF($A1093&gt;='1-Input'!$C$12,'1-Input'!$B$12,0))))*(1/(1-'P-Parametri'!$B$6*AD1093))),MAX(0,2*AD1056-(AH1092-MIN(MAX(AH1092,0),MAX(0,AD1056-IF($A1093&gt;='1-Input'!$C$12,'1-Input'!$B$12,0)))))*(1/(1-'P-Parametri'!$B$6*AD1093))))</f>
        <v>8126.9674303768797</v>
      </c>
      <c r="AF1093" s="18">
        <f>IF($A1093&gt;'1-Input'!$B$26,AH1092,(AH1092-MAX(0,AD1056-IF($A1093&gt;='1-Input'!$C$12,'1-Input'!$B$12,0))+AE1093*(1-'P-Parametri'!$B$6*AD1093))*(1+'1-Input'!$B$27))</f>
        <v>34907.300256313618</v>
      </c>
      <c r="AG1093" s="18">
        <f>IF($A1093&gt;'1-Input'!$B$26,AI1092,(AI1092-AE1093)*(1+'5-Roberta'!$C$4))</f>
        <v>36394.002050130926</v>
      </c>
      <c r="AH1093" s="18">
        <f>IF($A1093&gt;'1-Input'!$B$26,AF1093,AF1093-'P-Parametri'!$B$8*(AG1093+AF1093)+MIN(MAX(AG1093,0),'P-Parametri'!$B$8*(AG1093+AF1093)))</f>
        <v>34907.300256313618</v>
      </c>
      <c r="AI1093" s="18">
        <f>IF($A1093&gt;'1-Input'!$B$26,AG1093,AG1093-MIN(MAX(AG1093,0),'P-Parametri'!$B$8*(AG1093+AF1093)))</f>
        <v>36251.399445518036</v>
      </c>
      <c r="AJ1093" s="18">
        <f>IF($A1093&gt;'1-Input'!$B$26,AJ1092,AJ1092-AE1093*(1-AD1093))</f>
        <v>8810.449547325501</v>
      </c>
      <c r="AK1093" s="11">
        <f>IF($A1093&gt;'1-Input'!$B$26,0,IF(AP1092&lt;=0,0,MAX(0,(AP1092-AQ1092)/AP1092)))</f>
        <v>0.75065210769105417</v>
      </c>
      <c r="AL1093" s="18">
        <f>IF($A1093&gt;'1-Input'!$B$26,0,(MAX(0,AK1056-IF($A1093&gt;='1-Input'!$C$12,'1-Input'!$B$12,0))-MIN(MAX(AO1092,0),MAX(0,AK1056-IF($A1093&gt;='1-Input'!$C$12,'1-Input'!$B$12,0))))*(1/(1-'P-Parametri'!$B$6*AK1093))+MIN(MAX(0,AP1092-(MAX(0,AK1056-IF($A1093&gt;='1-Input'!$C$12,'1-Input'!$B$12,0))-MIN(MAX(AO1092,0),MAX(0,AK1056-IF($A1093&gt;='1-Input'!$C$12,'1-Input'!$B$12,0))))*(1/(1-'P-Parametri'!$B$6*AK1093))),MAX(0,2*AK1056-(AO1092-MIN(MAX(AO1092,0),MAX(0,AK1056-IF($A1093&gt;='1-Input'!$C$12,'1-Input'!$B$12,0)))))*(1/(1-'P-Parametri'!$B$6*AK1093))))</f>
        <v>8127.0175234359258</v>
      </c>
      <c r="AM1093" s="18">
        <f>IF($A1093&gt;'1-Input'!$B$26,AO1092,(AO1092-MAX(0,AK1056-IF($A1093&gt;='1-Input'!$C$12,'1-Input'!$B$12,0))+AL1093*(1-'P-Parametri'!$B$6*AK1093))*(1+'1-Input'!$B$27))</f>
        <v>34907.38056101869</v>
      </c>
      <c r="AN1093" s="18">
        <f>IF($A1093&gt;'1-Input'!$B$26,AP1092,(AP1092-AL1093)*(1+'5-Roberta'!$C$4))</f>
        <v>36390.937898645279</v>
      </c>
      <c r="AO1093" s="18">
        <f>IF($A1093&gt;'1-Input'!$B$26,AM1093,AM1093-'P-Parametri'!$B$8*(AN1093+AM1093)+MIN(MAX(AN1093,0),'P-Parametri'!$B$8*(AN1093+AM1093)))</f>
        <v>34907.38056101869</v>
      </c>
      <c r="AP1093" s="18">
        <f>IF($A1093&gt;'1-Input'!$B$26,AN1093,AN1093-MIN(MAX(AN1093,0),'P-Parametri'!$B$8*(AN1093+AM1093)))</f>
        <v>36248.341261725953</v>
      </c>
      <c r="AQ1093" s="18">
        <f>IF($A1093&gt;'1-Input'!$B$26,AQ1092,AQ1092-AL1093*(1-AK1093))</f>
        <v>8809.7122953135313</v>
      </c>
    </row>
    <row r="1094" spans="1:43">
      <c r="A1094" s="10">
        <f>36</f>
        <v>36</v>
      </c>
      <c r="B1094" s="11">
        <f>IF($A1094&gt;'1-Input'!$B$26,0,IF(G1093&lt;=0,0,MAX(0,(G1093-H1093)/G1093)))</f>
        <v>0.75873563053010329</v>
      </c>
      <c r="C1094" s="18">
        <f>IF($A1094&gt;'1-Input'!$B$26,0,(MAX(0,B1056-IF($A1094&gt;='1-Input'!$C$12,'1-Input'!$B$12,0))-MIN(MAX(F1093,0),MAX(0,B1056-IF($A1094&gt;='1-Input'!$C$12,'1-Input'!$B$12,0))))*(1/(1-'P-Parametri'!$B$6*B1094))+MIN(MAX(0,G1093-(MAX(0,B1056-IF($A1094&gt;='1-Input'!$C$12,'1-Input'!$B$12,0))-MIN(MAX(F1093,0),MAX(0,B1056-IF($A1094&gt;='1-Input'!$C$12,'1-Input'!$B$12,0))))*(1/(1-'P-Parametri'!$B$6*B1094))),MAX(0,2*B1056-(F1093-MIN(MAX(F1093,0),MAX(0,B1056-IF($A1094&gt;='1-Input'!$C$12,'1-Input'!$B$12,0)))))*(1/(1-'P-Parametri'!$B$6*B1094))))</f>
        <v>7099.7320226115517</v>
      </c>
      <c r="D1094" s="18">
        <f>IF($A1094&gt;'1-Input'!$B$26,F1093,(F1093-MAX(0,B1056-IF($A1094&gt;='1-Input'!$C$12,'1-Input'!$B$12,0))+C1094*(1-'P-Parametri'!$B$6*B1094))*(1+'1-Input'!$B$27))</f>
        <v>33242.0070309863</v>
      </c>
      <c r="E1094" s="18">
        <f>IF($A1094&gt;'1-Input'!$B$26,G1093,(G1093-C1094)*(1+'5-Roberta'!$C$4))</f>
        <v>95367.029395938895</v>
      </c>
      <c r="F1094" s="18">
        <f>IF($A1094&gt;'1-Input'!$B$26,D1094,D1094-'P-Parametri'!$B$8*(E1094+D1094)+MIN(MAX(E1094,0),'P-Parametri'!$B$8*(E1094+D1094)))</f>
        <v>33242.0070309863</v>
      </c>
      <c r="G1094" s="18">
        <f>IF($A1094&gt;'1-Input'!$B$26,E1094,E1094-MIN(MAX(E1094,0),'P-Parametri'!$B$8*(E1094+D1094)))</f>
        <v>95109.811323085043</v>
      </c>
      <c r="H1094" s="18">
        <f>IF($A1094&gt;'1-Input'!$B$26,H1093,H1093-C1094*(1-B1094))</f>
        <v>22338.510888765344</v>
      </c>
      <c r="I1094" s="11">
        <f>IF($A1094&gt;'1-Input'!$B$26,0,IF(N1093&lt;=0,0,MAX(0,(N1093-O1093)/N1093)))</f>
        <v>0</v>
      </c>
      <c r="J1094" s="18">
        <f>IF($A1094&gt;'1-Input'!$B$26,0,(MAX(0,I1056-IF($A1094&gt;='1-Input'!$C$12,'1-Input'!$B$12,0))-MIN(MAX(M1093,0),MAX(0,I1056-IF($A1094&gt;='1-Input'!$C$12,'1-Input'!$B$12,0))))*(1/(1-'P-Parametri'!$B$6*I1094))+MIN(MAX(0,N1093-(MAX(0,I1056-IF($A1094&gt;='1-Input'!$C$12,'1-Input'!$B$12,0))-MIN(MAX(M1093,0),MAX(0,I1056-IF($A1094&gt;='1-Input'!$C$12,'1-Input'!$B$12,0))))*(1/(1-'P-Parametri'!$B$6*I1094))),MAX(0,2*I1056-(M1093-MIN(MAX(M1093,0),MAX(0,I1056-IF($A1094&gt;='1-Input'!$C$12,'1-Input'!$B$12,0)))))*(1/(1-'P-Parametri'!$B$6*I1094))))</f>
        <v>10846.756992928691</v>
      </c>
      <c r="K1094" s="18">
        <f>IF($A1094&gt;'1-Input'!$B$26,M1093,(M1093-MAX(0,I1056-IF($A1094&gt;='1-Input'!$C$12,'1-Input'!$B$12,0))+J1094*(1-'P-Parametri'!$B$6*I1094))*(1+'1-Input'!$B$27))</f>
        <v>0</v>
      </c>
      <c r="L1094" s="18">
        <f>IF($A1094&gt;'1-Input'!$B$26,N1093,(N1093-J1094)*(1+'5-Roberta'!$C$4))</f>
        <v>-193557.79127429923</v>
      </c>
      <c r="M1094" s="18">
        <f>IF($A1094&gt;'1-Input'!$B$26,K1094,K1094-'P-Parametri'!$B$8*(L1094+K1094)+MIN(MAX(L1094,0),'P-Parametri'!$B$8*(L1094+K1094)))</f>
        <v>0</v>
      </c>
      <c r="N1094" s="18">
        <f>IF($A1094&gt;'1-Input'!$B$26,L1094,L1094-MIN(MAX(L1094,0),'P-Parametri'!$B$8*(L1094+K1094)))</f>
        <v>-193170.67569175063</v>
      </c>
      <c r="O1094" s="18">
        <f>IF($A1094&gt;'1-Input'!$B$26,O1093,O1093-J1094*(1-I1094))</f>
        <v>-155359.19186720921</v>
      </c>
      <c r="P1094" s="11">
        <f>IF($A1094&gt;'1-Input'!$B$26,0,IF(U1093&lt;=0,0,MAX(0,(U1093-V1093)/U1093)))</f>
        <v>0.75634613821128749</v>
      </c>
      <c r="Q1094" s="18">
        <f>IF($A1094&gt;'1-Input'!$B$26,0,(MAX(0,P1056-IF($A1094&gt;='1-Input'!$C$12,'1-Input'!$B$12,0))-MIN(MAX(T1093,0),MAX(0,P1056-IF($A1094&gt;='1-Input'!$C$12,'1-Input'!$B$12,0))))*(1/(1-'P-Parametri'!$B$6*P1094))+MIN(MAX(0,U1093-(MAX(0,P1056-IF($A1094&gt;='1-Input'!$C$12,'1-Input'!$B$12,0))-MIN(MAX(T1093,0),MAX(0,P1056-IF($A1094&gt;='1-Input'!$C$12,'1-Input'!$B$12,0))))*(1/(1-'P-Parametri'!$B$6*P1094))),MAX(0,2*P1056-(T1093-MIN(MAX(T1093,0),MAX(0,P1056-IF($A1094&gt;='1-Input'!$C$12,'1-Input'!$B$12,0)))))*(1/(1-'P-Parametri'!$B$6*P1094))))</f>
        <v>8298.3411613854751</v>
      </c>
      <c r="R1094" s="18">
        <f>IF($A1094&gt;'1-Input'!$B$26,T1093,(T1093-MAX(0,P1056-IF($A1094&gt;='1-Input'!$C$12,'1-Input'!$B$12,0))+Q1094*(1-'P-Parametri'!$B$6*P1094))*(1+'1-Input'!$B$27))</f>
        <v>35155.889406417155</v>
      </c>
      <c r="S1094" s="18">
        <f>IF($A1094&gt;'1-Input'!$B$26,U1093,(U1093-Q1094)*(1+'5-Roberta'!$C$4))</f>
        <v>19041.586727445607</v>
      </c>
      <c r="T1094" s="18">
        <f>IF($A1094&gt;'1-Input'!$B$26,R1094,R1094-'P-Parametri'!$B$8*(S1094+R1094)+MIN(MAX(S1094,0),'P-Parametri'!$B$8*(S1094+R1094)))</f>
        <v>35155.889406417155</v>
      </c>
      <c r="U1094" s="18">
        <f>IF($A1094&gt;'1-Input'!$B$26,S1094,S1094-MIN(MAX(S1094,0),'P-Parametri'!$B$8*(S1094+R1094)))</f>
        <v>18933.191775177882</v>
      </c>
      <c r="V1094" s="18">
        <f>IF($A1094&gt;'1-Input'!$B$26,V1093,V1093-Q1094*(1-P1094))</f>
        <v>4504.4234375988481</v>
      </c>
      <c r="W1094" s="11">
        <f>IF($A1094&gt;'1-Input'!$B$26,0,IF(AB1093&lt;=0,0,MAX(0,(AB1093-AC1093)/AB1093)))</f>
        <v>0.75692494075796668</v>
      </c>
      <c r="X1094" s="18">
        <f>IF($A1094&gt;'1-Input'!$B$26,0,(MAX(0,W1056-IF($A1094&gt;='1-Input'!$C$12,'1-Input'!$B$12,0))-MIN(MAX(AA1093,0),MAX(0,W1056-IF($A1094&gt;='1-Input'!$C$12,'1-Input'!$B$12,0))))*(1/(1-'P-Parametri'!$B$6*W1094))+MIN(MAX(0,AB1093-(MAX(0,W1056-IF($A1094&gt;='1-Input'!$C$12,'1-Input'!$B$12,0))-MIN(MAX(AA1093,0),MAX(0,W1056-IF($A1094&gt;='1-Input'!$C$12,'1-Input'!$B$12,0))))*(1/(1-'P-Parametri'!$B$6*W1094))),MAX(0,2*W1056-(AA1093-MIN(MAX(AA1093,0),MAX(0,W1056-IF($A1094&gt;='1-Input'!$C$12,'1-Input'!$B$12,0)))))*(1/(1-'P-Parametri'!$B$6*W1094))))</f>
        <v>8154.7987919020306</v>
      </c>
      <c r="Y1094" s="18">
        <f>IF($A1094&gt;'1-Input'!$B$26,AA1093,(AA1093-MAX(0,W1056-IF($A1094&gt;='1-Input'!$C$12,'1-Input'!$B$12,0))+X1094*(1-'P-Parametri'!$B$6*W1094))*(1+'1-Input'!$B$27))</f>
        <v>34925.304782144136</v>
      </c>
      <c r="Z1094" s="18">
        <f>IF($A1094&gt;'1-Input'!$B$26,AB1093,(AB1093-X1094)*(1+'5-Roberta'!$C$4))</f>
        <v>28233.279921649671</v>
      </c>
      <c r="AA1094" s="18">
        <f>IF($A1094&gt;'1-Input'!$B$26,Y1094,Y1094-'P-Parametri'!$B$8*(Z1094+Y1094)+MIN(MAX(Z1094,0),'P-Parametri'!$B$8*(Z1094+Y1094)))</f>
        <v>34925.304782144136</v>
      </c>
      <c r="AB1094" s="18">
        <f>IF($A1094&gt;'1-Input'!$B$26,Z1094,Z1094-MIN(MAX(Z1094,0),'P-Parametri'!$B$8*(Z1094+Y1094)))</f>
        <v>28106.962752242085</v>
      </c>
      <c r="AC1094" s="18">
        <f>IF($A1094&gt;'1-Input'!$B$26,AC1093,AC1093-X1094*(1-W1094))</f>
        <v>6662.9186306329175</v>
      </c>
      <c r="AD1094" s="11">
        <f>IF($A1094&gt;'1-Input'!$B$26,0,IF(AI1093&lt;=0,0,MAX(0,(AI1093-AJ1093)/AI1093)))</f>
        <v>0.75696249849425368</v>
      </c>
      <c r="AE1094" s="18">
        <f>IF($A1094&gt;'1-Input'!$B$26,0,(MAX(0,AD1056-IF($A1094&gt;='1-Input'!$C$12,'1-Input'!$B$12,0))-MIN(MAX(AH1093,0),MAX(0,AD1056-IF($A1094&gt;='1-Input'!$C$12,'1-Input'!$B$12,0))))*(1/(1-'P-Parametri'!$B$6*AD1094))+MIN(MAX(0,AI1093-(MAX(0,AD1056-IF($A1094&gt;='1-Input'!$C$12,'1-Input'!$B$12,0))-MIN(MAX(AH1093,0),MAX(0,AD1056-IF($A1094&gt;='1-Input'!$C$12,'1-Input'!$B$12,0))))*(1/(1-'P-Parametri'!$B$6*AD1094))),MAX(0,2*AD1056-(AH1093-MIN(MAX(AH1093,0),MAX(0,AD1056-IF($A1094&gt;='1-Input'!$C$12,'1-Input'!$B$12,0)))))*(1/(1-'P-Parametri'!$B$6*AD1094))))</f>
        <v>8143.5683112846491</v>
      </c>
      <c r="AF1094" s="18">
        <f>IF($A1094&gt;'1-Input'!$B$26,AH1093,(AH1093-MAX(0,AD1056-IF($A1094&gt;='1-Input'!$C$12,'1-Input'!$B$12,0))+AE1094*(1-'P-Parametri'!$B$6*AD1094))*(1+'1-Input'!$B$27))</f>
        <v>34907.300256313618</v>
      </c>
      <c r="AG1094" s="18">
        <f>IF($A1094&gt;'1-Input'!$B$26,AI1093,(AI1093-AE1094)*(1+'5-Roberta'!$C$4))</f>
        <v>28951.066068260388</v>
      </c>
      <c r="AH1094" s="18">
        <f>IF($A1094&gt;'1-Input'!$B$26,AF1094,AF1094-'P-Parametri'!$B$8*(AG1094+AF1094)+MIN(MAX(AG1094,0),'P-Parametri'!$B$8*(AG1094+AF1094)))</f>
        <v>34907.300256313618</v>
      </c>
      <c r="AI1094" s="18">
        <f>IF($A1094&gt;'1-Input'!$B$26,AG1094,AG1094-MIN(MAX(AG1094,0),'P-Parametri'!$B$8*(AG1094+AF1094)))</f>
        <v>28823.349335611241</v>
      </c>
      <c r="AJ1094" s="18">
        <f>IF($A1094&gt;'1-Input'!$B$26,AJ1093,AJ1093-AE1094*(1-AD1094))</f>
        <v>6831.2570516095102</v>
      </c>
      <c r="AK1094" s="11">
        <f>IF($A1094&gt;'1-Input'!$B$26,0,IF(AP1093&lt;=0,0,MAX(0,(AP1093-AQ1093)/AP1093)))</f>
        <v>0.75696233293258119</v>
      </c>
      <c r="AL1094" s="18">
        <f>IF($A1094&gt;'1-Input'!$B$26,0,(MAX(0,AK1056-IF($A1094&gt;='1-Input'!$C$12,'1-Input'!$B$12,0))-MIN(MAX(AO1093,0),MAX(0,AK1056-IF($A1094&gt;='1-Input'!$C$12,'1-Input'!$B$12,0))))*(1/(1-'P-Parametri'!$B$6*AK1094))+MIN(MAX(0,AP1093-(MAX(0,AK1056-IF($A1094&gt;='1-Input'!$C$12,'1-Input'!$B$12,0))-MIN(MAX(AO1093,0),MAX(0,AK1056-IF($A1094&gt;='1-Input'!$C$12,'1-Input'!$B$12,0))))*(1/(1-'P-Parametri'!$B$6*AK1094))),MAX(0,2*AK1056-(AO1093-MIN(MAX(AO1093,0),MAX(0,AK1056-IF($A1094&gt;='1-Input'!$C$12,'1-Input'!$B$12,0)))))*(1/(1-'P-Parametri'!$B$6*AK1094))))</f>
        <v>8143.6184078081733</v>
      </c>
      <c r="AM1094" s="18">
        <f>IF($A1094&gt;'1-Input'!$B$26,AO1093,(AO1093-MAX(0,AK1056-IF($A1094&gt;='1-Input'!$C$12,'1-Input'!$B$12,0))+AL1094*(1-'P-Parametri'!$B$6*AK1094))*(1+'1-Input'!$B$27))</f>
        <v>34907.38056101869</v>
      </c>
      <c r="AN1094" s="18">
        <f>IF($A1094&gt;'1-Input'!$B$26,AP1093,(AP1093-AL1094)*(1+'5-Roberta'!$C$4))</f>
        <v>28947.864539535316</v>
      </c>
      <c r="AO1094" s="18">
        <f>IF($A1094&gt;'1-Input'!$B$26,AM1094,AM1094-'P-Parametri'!$B$8*(AN1094+AM1094)+MIN(MAX(AN1094,0),'P-Parametri'!$B$8*(AN1094+AM1094)))</f>
        <v>34907.38056101869</v>
      </c>
      <c r="AP1094" s="18">
        <f>IF($A1094&gt;'1-Input'!$B$26,AN1094,AN1094-MIN(MAX(AN1094,0),'P-Parametri'!$B$8*(AN1094+AM1094)))</f>
        <v>28820.154049334207</v>
      </c>
      <c r="AQ1094" s="18">
        <f>IF($A1094&gt;'1-Input'!$B$26,AQ1093,AQ1093-AL1094*(1-AK1094))</f>
        <v>6830.5062759925449</v>
      </c>
    </row>
    <row r="1095" spans="1:43">
      <c r="A1095" s="10">
        <f>37</f>
        <v>37</v>
      </c>
      <c r="B1095" s="11">
        <f>IF($A1095&gt;'1-Input'!$B$26,0,IF(G1094&lt;=0,0,MAX(0,(G1094-H1094)/G1094)))</f>
        <v>0.76512926923088798</v>
      </c>
      <c r="C1095" s="18">
        <f>IF($A1095&gt;'1-Input'!$B$26,0,(MAX(0,B1056-IF($A1095&gt;='1-Input'!$C$12,'1-Input'!$B$12,0))-MIN(MAX(F1094,0),MAX(0,B1056-IF($A1095&gt;='1-Input'!$C$12,'1-Input'!$B$12,0))))*(1/(1-'P-Parametri'!$B$6*B1095))+MIN(MAX(0,G1094-(MAX(0,B1056-IF($A1095&gt;='1-Input'!$C$12,'1-Input'!$B$12,0))-MIN(MAX(F1094,0),MAX(0,B1056-IF($A1095&gt;='1-Input'!$C$12,'1-Input'!$B$12,0))))*(1/(1-'P-Parametri'!$B$6*B1095))),MAX(0,2*B1056-(F1094-MIN(MAX(F1094,0),MAX(0,B1056-IF($A1095&gt;='1-Input'!$C$12,'1-Input'!$B$12,0)))))*(1/(1-'P-Parametri'!$B$6*B1095))))</f>
        <v>7114.4651480026851</v>
      </c>
      <c r="D1095" s="18">
        <f>IF($A1095&gt;'1-Input'!$B$26,F1094,(F1094-MAX(0,B1056-IF($A1095&gt;='1-Input'!$C$12,'1-Input'!$B$12,0))+C1095*(1-'P-Parametri'!$B$6*B1095))*(1+'1-Input'!$B$27))</f>
        <v>33242.0070309863</v>
      </c>
      <c r="E1095" s="18">
        <f>IF($A1095&gt;'1-Input'!$B$26,G1094,(G1094-C1095)*(1+'5-Roberta'!$C$4))</f>
        <v>90635.206560334831</v>
      </c>
      <c r="F1095" s="18">
        <f>IF($A1095&gt;'1-Input'!$B$26,D1095,D1095-'P-Parametri'!$B$8*(E1095+D1095)+MIN(MAX(E1095,0),'P-Parametri'!$B$8*(E1095+D1095)))</f>
        <v>33242.0070309863</v>
      </c>
      <c r="G1095" s="18">
        <f>IF($A1095&gt;'1-Input'!$B$26,E1095,E1095-MIN(MAX(E1095,0),'P-Parametri'!$B$8*(E1095+D1095)))</f>
        <v>90387.452133152183</v>
      </c>
      <c r="H1095" s="18">
        <f>IF($A1095&gt;'1-Input'!$B$26,H1094,H1094-C1095*(1-B1095))</f>
        <v>20667.531260422576</v>
      </c>
      <c r="I1095" s="11">
        <f>IF($A1095&gt;'1-Input'!$B$26,0,IF(N1094&lt;=0,0,MAX(0,(N1094-O1094)/N1094)))</f>
        <v>0</v>
      </c>
      <c r="J1095" s="18">
        <f>IF($A1095&gt;'1-Input'!$B$26,0,(MAX(0,I1056-IF($A1095&gt;='1-Input'!$C$12,'1-Input'!$B$12,0))-MIN(MAX(M1094,0),MAX(0,I1056-IF($A1095&gt;='1-Input'!$C$12,'1-Input'!$B$12,0))))*(1/(1-'P-Parametri'!$B$6*I1095))+MIN(MAX(0,N1094-(MAX(0,I1056-IF($A1095&gt;='1-Input'!$C$12,'1-Input'!$B$12,0))-MIN(MAX(M1094,0),MAX(0,I1056-IF($A1095&gt;='1-Input'!$C$12,'1-Input'!$B$12,0))))*(1/(1-'P-Parametri'!$B$6*I1095))),MAX(0,2*I1056-(M1094-MIN(MAX(M1094,0),MAX(0,I1056-IF($A1095&gt;='1-Input'!$C$12,'1-Input'!$B$12,0)))))*(1/(1-'P-Parametri'!$B$6*I1095))))</f>
        <v>10846.756992928691</v>
      </c>
      <c r="K1095" s="18">
        <f>IF($A1095&gt;'1-Input'!$B$26,M1094,(M1094-MAX(0,I1056-IF($A1095&gt;='1-Input'!$C$12,'1-Input'!$B$12,0))+J1095*(1-'P-Parametri'!$B$6*I1095))*(1+'1-Input'!$B$27))</f>
        <v>0</v>
      </c>
      <c r="L1095" s="18">
        <f>IF($A1095&gt;'1-Input'!$B$26,N1094,(N1094-J1095)*(1+'5-Roberta'!$C$4))</f>
        <v>-210137.95566521969</v>
      </c>
      <c r="M1095" s="18">
        <f>IF($A1095&gt;'1-Input'!$B$26,K1095,K1095-'P-Parametri'!$B$8*(L1095+K1095)+MIN(MAX(L1095,0),'P-Parametri'!$B$8*(L1095+K1095)))</f>
        <v>0</v>
      </c>
      <c r="N1095" s="18">
        <f>IF($A1095&gt;'1-Input'!$B$26,L1095,L1095-MIN(MAX(L1095,0),'P-Parametri'!$B$8*(L1095+K1095)))</f>
        <v>-209717.67975388924</v>
      </c>
      <c r="O1095" s="18">
        <f>IF($A1095&gt;'1-Input'!$B$26,O1094,O1094-J1095*(1-I1095))</f>
        <v>-166205.9488601379</v>
      </c>
      <c r="P1095" s="11">
        <f>IF($A1095&gt;'1-Input'!$B$26,0,IF(U1094&lt;=0,0,MAX(0,(U1094-V1094)/U1094)))</f>
        <v>0.76208853261052811</v>
      </c>
      <c r="Q1095" s="18">
        <f>IF($A1095&gt;'1-Input'!$B$26,0,(MAX(0,P1056-IF($A1095&gt;='1-Input'!$C$12,'1-Input'!$B$12,0))-MIN(MAX(T1094,0),MAX(0,P1056-IF($A1095&gt;='1-Input'!$C$12,'1-Input'!$B$12,0))))*(1/(1-'P-Parametri'!$B$6*P1095))+MIN(MAX(0,U1094-(MAX(0,P1056-IF($A1095&gt;='1-Input'!$C$12,'1-Input'!$B$12,0))-MIN(MAX(T1094,0),MAX(0,P1056-IF($A1095&gt;='1-Input'!$C$12,'1-Input'!$B$12,0))))*(1/(1-'P-Parametri'!$B$6*P1095))),MAX(0,2*P1056-(T1094-MIN(MAX(T1094,0),MAX(0,P1056-IF($A1095&gt;='1-Input'!$C$12,'1-Input'!$B$12,0)))))*(1/(1-'P-Parametri'!$B$6*P1095))))</f>
        <v>8313.7923088040661</v>
      </c>
      <c r="R1095" s="18">
        <f>IF($A1095&gt;'1-Input'!$B$26,T1094,(T1094-MAX(0,P1056-IF($A1095&gt;='1-Input'!$C$12,'1-Input'!$B$12,0))+Q1095*(1-'P-Parametri'!$B$6*P1095))*(1+'1-Input'!$B$27))</f>
        <v>35155.889406417155</v>
      </c>
      <c r="S1095" s="18">
        <f>IF($A1095&gt;'1-Input'!$B$26,U1094,(U1094-Q1095)*(1+'5-Roberta'!$C$4))</f>
        <v>10937.98145036503</v>
      </c>
      <c r="T1095" s="18">
        <f>IF($A1095&gt;'1-Input'!$B$26,R1095,R1095-'P-Parametri'!$B$8*(S1095+R1095)+MIN(MAX(S1095,0),'P-Parametri'!$B$8*(S1095+R1095)))</f>
        <v>35155.889406417155</v>
      </c>
      <c r="U1095" s="18">
        <f>IF($A1095&gt;'1-Input'!$B$26,S1095,S1095-MIN(MAX(S1095,0),'P-Parametri'!$B$8*(S1095+R1095)))</f>
        <v>10845.793708651467</v>
      </c>
      <c r="V1095" s="18">
        <f>IF($A1095&gt;'1-Input'!$B$26,V1094,V1094-Q1095*(1-P1095))</f>
        <v>2526.4769098399674</v>
      </c>
      <c r="W1095" s="11">
        <f>IF($A1095&gt;'1-Input'!$B$26,0,IF(AB1094&lt;=0,0,MAX(0,(AB1094-AC1094)/AB1094)))</f>
        <v>0.76294419680399594</v>
      </c>
      <c r="X1095" s="18">
        <f>IF($A1095&gt;'1-Input'!$B$26,0,(MAX(0,W1056-IF($A1095&gt;='1-Input'!$C$12,'1-Input'!$B$12,0))-MIN(MAX(AA1094,0),MAX(0,W1056-IF($A1095&gt;='1-Input'!$C$12,'1-Input'!$B$12,0))))*(1/(1-'P-Parametri'!$B$6*W1095))+MIN(MAX(0,AB1094-(MAX(0,W1056-IF($A1095&gt;='1-Input'!$C$12,'1-Input'!$B$12,0))-MIN(MAX(AA1094,0),MAX(0,W1056-IF($A1095&gt;='1-Input'!$C$12,'1-Input'!$B$12,0))))*(1/(1-'P-Parametri'!$B$6*W1095))),MAX(0,2*W1056-(AA1094-MIN(MAX(AA1094,0),MAX(0,W1056-IF($A1095&gt;='1-Input'!$C$12,'1-Input'!$B$12,0)))))*(1/(1-'P-Parametri'!$B$6*W1095))))</f>
        <v>8170.7191565592493</v>
      </c>
      <c r="Y1095" s="18">
        <f>IF($A1095&gt;'1-Input'!$B$26,AA1094,(AA1094-MAX(0,W1056-IF($A1095&gt;='1-Input'!$C$12,'1-Input'!$B$12,0))+X1095*(1-'P-Parametri'!$B$6*W1095))*(1+'1-Input'!$B$27))</f>
        <v>34925.304782144136</v>
      </c>
      <c r="Z1095" s="18">
        <f>IF($A1095&gt;'1-Input'!$B$26,AB1094,(AB1094-X1095)*(1+'5-Roberta'!$C$4))</f>
        <v>20534.33090355332</v>
      </c>
      <c r="AA1095" s="18">
        <f>IF($A1095&gt;'1-Input'!$B$26,Y1095,Y1095-'P-Parametri'!$B$8*(Z1095+Y1095)+MIN(MAX(Z1095,0),'P-Parametri'!$B$8*(Z1095+Y1095)))</f>
        <v>34925.304782144136</v>
      </c>
      <c r="AB1095" s="18">
        <f>IF($A1095&gt;'1-Input'!$B$26,Z1095,Z1095-MIN(MAX(Z1095,0),'P-Parametri'!$B$8*(Z1095+Y1095)))</f>
        <v>20423.411632181924</v>
      </c>
      <c r="AC1095" s="18">
        <f>IF($A1095&gt;'1-Input'!$B$26,AC1094,AC1094-X1095*(1-W1095))</f>
        <v>4726.0022382857878</v>
      </c>
      <c r="AD1095" s="11">
        <f>IF($A1095&gt;'1-Input'!$B$26,0,IF(AI1094&lt;=0,0,MAX(0,(AI1094-AJ1094)/AI1094)))</f>
        <v>0.76299572363821389</v>
      </c>
      <c r="AE1095" s="18">
        <f>IF($A1095&gt;'1-Input'!$B$26,0,(MAX(0,AD1056-IF($A1095&gt;='1-Input'!$C$12,'1-Input'!$B$12,0))-MIN(MAX(AH1094,0),MAX(0,AD1056-IF($A1095&gt;='1-Input'!$C$12,'1-Input'!$B$12,0))))*(1/(1-'P-Parametri'!$B$6*AD1095))+MIN(MAX(0,AI1094-(MAX(0,AD1056-IF($A1095&gt;='1-Input'!$C$12,'1-Input'!$B$12,0))-MIN(MAX(AH1094,0),MAX(0,AD1056-IF($A1095&gt;='1-Input'!$C$12,'1-Input'!$B$12,0))))*(1/(1-'P-Parametri'!$B$6*AD1095))),MAX(0,2*AD1056-(AH1094-MIN(MAX(AH1094,0),MAX(0,AD1056-IF($A1095&gt;='1-Input'!$C$12,'1-Input'!$B$12,0)))))*(1/(1-'P-Parametri'!$B$6*AD1095))))</f>
        <v>8159.503913399376</v>
      </c>
      <c r="AF1095" s="18">
        <f>IF($A1095&gt;'1-Input'!$B$26,AH1094,(AH1094-MAX(0,AD1056-IF($A1095&gt;='1-Input'!$C$12,'1-Input'!$B$12,0))+AE1095*(1-'P-Parametri'!$B$6*AD1095))*(1+'1-Input'!$B$27))</f>
        <v>34907.300256313618</v>
      </c>
      <c r="AG1095" s="18">
        <f>IF($A1095&gt;'1-Input'!$B$26,AI1094,(AI1094-AE1095)*(1+'5-Roberta'!$C$4))</f>
        <v>21283.760784878225</v>
      </c>
      <c r="AH1095" s="18">
        <f>IF($A1095&gt;'1-Input'!$B$26,AF1095,AF1095-'P-Parametri'!$B$8*(AG1095+AF1095)+MIN(MAX(AG1095,0),'P-Parametri'!$B$8*(AG1095+AF1095)))</f>
        <v>34907.300256313618</v>
      </c>
      <c r="AI1095" s="18">
        <f>IF($A1095&gt;'1-Input'!$B$26,AG1095,AG1095-MIN(MAX(AG1095,0),'P-Parametri'!$B$8*(AG1095+AF1095)))</f>
        <v>21171.37866279584</v>
      </c>
      <c r="AJ1095" s="18">
        <f>IF($A1095&gt;'1-Input'!$B$26,AJ1094,AJ1094-AE1095*(1-AD1095))</f>
        <v>4897.419731143129</v>
      </c>
      <c r="AK1095" s="11">
        <f>IF($A1095&gt;'1-Input'!$B$26,0,IF(AP1094&lt;=0,0,MAX(0,(AP1094-AQ1094)/AP1094)))</f>
        <v>0.76299549737658878</v>
      </c>
      <c r="AL1095" s="18">
        <f>IF($A1095&gt;'1-Input'!$B$26,0,(MAX(0,AK1056-IF($A1095&gt;='1-Input'!$C$12,'1-Input'!$B$12,0))-MIN(MAX(AO1094,0),MAX(0,AK1056-IF($A1095&gt;='1-Input'!$C$12,'1-Input'!$B$12,0))))*(1/(1-'P-Parametri'!$B$6*AK1095))+MIN(MAX(0,AP1094-(MAX(0,AK1056-IF($A1095&gt;='1-Input'!$C$12,'1-Input'!$B$12,0))-MIN(MAX(AO1094,0),MAX(0,AK1056-IF($A1095&gt;='1-Input'!$C$12,'1-Input'!$B$12,0))))*(1/(1-'P-Parametri'!$B$6*AK1095))),MAX(0,2*AK1056-(AO1094-MIN(MAX(AO1094,0),MAX(0,AK1056-IF($A1095&gt;='1-Input'!$C$12,'1-Input'!$B$12,0)))))*(1/(1-'P-Parametri'!$B$6*AK1095))))</f>
        <v>8159.5539464557551</v>
      </c>
      <c r="AM1095" s="18">
        <f>IF($A1095&gt;'1-Input'!$B$26,AO1094,(AO1094-MAX(0,AK1056-IF($A1095&gt;='1-Input'!$C$12,'1-Input'!$B$12,0))+AL1095*(1-'P-Parametri'!$B$6*AK1095))*(1+'1-Input'!$B$27))</f>
        <v>34907.38056101869</v>
      </c>
      <c r="AN1095" s="18">
        <f>IF($A1095&gt;'1-Input'!$B$26,AP1094,(AP1094-AL1095)*(1+'5-Roberta'!$C$4))</f>
        <v>21280.418105964807</v>
      </c>
      <c r="AO1095" s="18">
        <f>IF($A1095&gt;'1-Input'!$B$26,AM1095,AM1095-'P-Parametri'!$B$8*(AN1095+AM1095)+MIN(MAX(AN1095,0),'P-Parametri'!$B$8*(AN1095+AM1095)))</f>
        <v>34907.38056101869</v>
      </c>
      <c r="AP1095" s="18">
        <f>IF($A1095&gt;'1-Input'!$B$26,AN1095,AN1095-MIN(MAX(AN1095,0),'P-Parametri'!$B$8*(AN1095+AM1095)))</f>
        <v>21168.042508630839</v>
      </c>
      <c r="AQ1095" s="18">
        <f>IF($A1095&gt;'1-Input'!$B$26,AQ1094,AQ1094-AL1095*(1-AK1095))</f>
        <v>4896.6552512839062</v>
      </c>
    </row>
    <row r="1096" spans="1:43">
      <c r="A1096" s="10">
        <f>38</f>
        <v>38</v>
      </c>
      <c r="B1096" s="11">
        <f>IF($A1096&gt;'1-Input'!$B$26,0,IF(G1095&lt;=0,0,MAX(0,(G1095-H1095)/G1095)))</f>
        <v>0.77134512841476399</v>
      </c>
      <c r="C1096" s="18">
        <f>IF($A1096&gt;'1-Input'!$B$26,0,(MAX(0,B1056-IF($A1096&gt;='1-Input'!$C$12,'1-Input'!$B$12,0))-MIN(MAX(F1095,0),MAX(0,B1056-IF($A1096&gt;='1-Input'!$C$12,'1-Input'!$B$12,0))))*(1/(1-'P-Parametri'!$B$6*B1096))+MIN(MAX(0,G1095-(MAX(0,B1056-IF($A1096&gt;='1-Input'!$C$12,'1-Input'!$B$12,0))-MIN(MAX(F1095,0),MAX(0,B1056-IF($A1096&gt;='1-Input'!$C$12,'1-Input'!$B$12,0))))*(1/(1-'P-Parametri'!$B$6*B1096))),MAX(0,2*B1056-(F1095-MIN(MAX(F1095,0),MAX(0,B1056-IF($A1096&gt;='1-Input'!$C$12,'1-Input'!$B$12,0)))))*(1/(1-'P-Parametri'!$B$6*B1096))))</f>
        <v>7128.8473478687947</v>
      </c>
      <c r="D1096" s="18">
        <f>IF($A1096&gt;'1-Input'!$B$26,F1095,(F1095-MAX(0,B1056-IF($A1096&gt;='1-Input'!$C$12,'1-Input'!$B$12,0))+C1096*(1-'P-Parametri'!$B$6*B1096))*(1+'1-Input'!$B$27))</f>
        <v>33242.0070309863</v>
      </c>
      <c r="E1096" s="18">
        <f>IF($A1096&gt;'1-Input'!$B$26,G1095,(G1095-C1096)*(1+'5-Roberta'!$C$4))</f>
        <v>85756.362928841889</v>
      </c>
      <c r="F1096" s="18">
        <f>IF($A1096&gt;'1-Input'!$B$26,D1096,D1096-'P-Parametri'!$B$8*(E1096+D1096)+MIN(MAX(E1096,0),'P-Parametri'!$B$8*(E1096+D1096)))</f>
        <v>33242.0070309863</v>
      </c>
      <c r="G1096" s="18">
        <f>IF($A1096&gt;'1-Input'!$B$26,E1096,E1096-MIN(MAX(E1096,0),'P-Parametri'!$B$8*(E1096+D1096)))</f>
        <v>85518.366188922228</v>
      </c>
      <c r="H1096" s="18">
        <f>IF($A1096&gt;'1-Input'!$B$26,H1095,H1095-C1096*(1-B1096))</f>
        <v>19037.485585544888</v>
      </c>
      <c r="I1096" s="11">
        <f>IF($A1096&gt;'1-Input'!$B$26,0,IF(N1095&lt;=0,0,MAX(0,(N1095-O1095)/N1095)))</f>
        <v>0</v>
      </c>
      <c r="J1096" s="18">
        <f>IF($A1096&gt;'1-Input'!$B$26,0,(MAX(0,I1056-IF($A1096&gt;='1-Input'!$C$12,'1-Input'!$B$12,0))-MIN(MAX(M1095,0),MAX(0,I1056-IF($A1096&gt;='1-Input'!$C$12,'1-Input'!$B$12,0))))*(1/(1-'P-Parametri'!$B$6*I1096))+MIN(MAX(0,N1095-(MAX(0,I1056-IF($A1096&gt;='1-Input'!$C$12,'1-Input'!$B$12,0))-MIN(MAX(M1095,0),MAX(0,I1056-IF($A1096&gt;='1-Input'!$C$12,'1-Input'!$B$12,0))))*(1/(1-'P-Parametri'!$B$6*I1096))),MAX(0,2*I1056-(M1095-MIN(MAX(M1095,0),MAX(0,I1056-IF($A1096&gt;='1-Input'!$C$12,'1-Input'!$B$12,0)))))*(1/(1-'P-Parametri'!$B$6*I1096))))</f>
        <v>10846.756992928691</v>
      </c>
      <c r="K1096" s="18">
        <f>IF($A1096&gt;'1-Input'!$B$26,M1095,(M1095-MAX(0,I1056-IF($A1096&gt;='1-Input'!$C$12,'1-Input'!$B$12,0))+J1096*(1-'P-Parametri'!$B$6*I1096))*(1+'1-Input'!$B$27))</f>
        <v>0</v>
      </c>
      <c r="L1096" s="18">
        <f>IF($A1096&gt;'1-Input'!$B$26,N1095,(N1095-J1096)*(1+'5-Roberta'!$C$4))</f>
        <v>-227181.36984922248</v>
      </c>
      <c r="M1096" s="18">
        <f>IF($A1096&gt;'1-Input'!$B$26,K1096,K1096-'P-Parametri'!$B$8*(L1096+K1096)+MIN(MAX(L1096,0),'P-Parametri'!$B$8*(L1096+K1096)))</f>
        <v>0</v>
      </c>
      <c r="N1096" s="18">
        <f>IF($A1096&gt;'1-Input'!$B$26,L1096,L1096-MIN(MAX(L1096,0),'P-Parametri'!$B$8*(L1096+K1096)))</f>
        <v>-226727.00710952404</v>
      </c>
      <c r="O1096" s="18">
        <f>IF($A1096&gt;'1-Input'!$B$26,O1095,O1095-J1096*(1-I1096))</f>
        <v>-177052.70585306658</v>
      </c>
      <c r="P1096" s="11">
        <f>IF($A1096&gt;'1-Input'!$B$26,0,IF(U1095&lt;=0,0,MAX(0,(U1095-V1095)/U1095)))</f>
        <v>0.76705467781259296</v>
      </c>
      <c r="Q1096" s="18">
        <f>IF($A1096&gt;'1-Input'!$B$26,0,(MAX(0,P1056-IF($A1096&gt;='1-Input'!$C$12,'1-Input'!$B$12,0))-MIN(MAX(T1095,0),MAX(0,P1056-IF($A1096&gt;='1-Input'!$C$12,'1-Input'!$B$12,0))))*(1/(1-'P-Parametri'!$B$6*P1096))+MIN(MAX(0,U1095-(MAX(0,P1056-IF($A1096&gt;='1-Input'!$C$12,'1-Input'!$B$12,0))-MIN(MAX(T1095,0),MAX(0,P1056-IF($A1096&gt;='1-Input'!$C$12,'1-Input'!$B$12,0))))*(1/(1-'P-Parametri'!$B$6*P1096))),MAX(0,2*P1056-(T1095-MIN(MAX(T1095,0),MAX(0,P1056-IF($A1096&gt;='1-Input'!$C$12,'1-Input'!$B$12,0)))))*(1/(1-'P-Parametri'!$B$6*P1096))))</f>
        <v>8327.2012630234822</v>
      </c>
      <c r="R1096" s="18">
        <f>IF($A1096&gt;'1-Input'!$B$26,T1095,(T1095-MAX(0,P1056-IF($A1096&gt;='1-Input'!$C$12,'1-Input'!$B$12,0))+Q1096*(1-'P-Parametri'!$B$6*P1096))*(1+'1-Input'!$B$27))</f>
        <v>35155.889406417155</v>
      </c>
      <c r="S1096" s="18">
        <f>IF($A1096&gt;'1-Input'!$B$26,U1095,(U1095-Q1096)*(1+'5-Roberta'!$C$4))</f>
        <v>2594.1502189968242</v>
      </c>
      <c r="T1096" s="18">
        <f>IF($A1096&gt;'1-Input'!$B$26,R1096,R1096-'P-Parametri'!$B$8*(S1096+R1096)+MIN(MAX(S1096,0),'P-Parametri'!$B$8*(S1096+R1096)))</f>
        <v>35155.889406417155</v>
      </c>
      <c r="U1096" s="18">
        <f>IF($A1096&gt;'1-Input'!$B$26,S1096,S1096-MIN(MAX(S1096,0),'P-Parametri'!$B$8*(S1096+R1096)))</f>
        <v>2518.6501397459961</v>
      </c>
      <c r="V1096" s="18">
        <f>IF($A1096&gt;'1-Input'!$B$26,V1095,V1095-Q1096*(1-P1096))</f>
        <v>586.69432870557944</v>
      </c>
      <c r="W1096" s="11">
        <f>IF($A1096&gt;'1-Input'!$B$26,0,IF(AB1095&lt;=0,0,MAX(0,(AB1095-AC1095)/AB1095)))</f>
        <v>0.76859878636344714</v>
      </c>
      <c r="X1096" s="18">
        <f>IF($A1096&gt;'1-Input'!$B$26,0,(MAX(0,W1056-IF($A1096&gt;='1-Input'!$C$12,'1-Input'!$B$12,0))-MIN(MAX(AA1095,0),MAX(0,W1056-IF($A1096&gt;='1-Input'!$C$12,'1-Input'!$B$12,0))))*(1/(1-'P-Parametri'!$B$6*W1096))+MIN(MAX(0,AB1095-(MAX(0,W1056-IF($A1096&gt;='1-Input'!$C$12,'1-Input'!$B$12,0))-MIN(MAX(AA1095,0),MAX(0,W1056-IF($A1096&gt;='1-Input'!$C$12,'1-Input'!$B$12,0))))*(1/(1-'P-Parametri'!$B$6*W1096))),MAX(0,2*W1056-(AA1095-MIN(MAX(AA1095,0),MAX(0,W1056-IF($A1096&gt;='1-Input'!$C$12,'1-Input'!$B$12,0)))))*(1/(1-'P-Parametri'!$B$6*W1096))))</f>
        <v>8185.7317436091262</v>
      </c>
      <c r="Y1096" s="18">
        <f>IF($A1096&gt;'1-Input'!$B$26,AA1095,(AA1095-MAX(0,W1056-IF($A1096&gt;='1-Input'!$C$12,'1-Input'!$B$12,0))+X1096*(1-'P-Parametri'!$B$6*W1096))*(1+'1-Input'!$B$27))</f>
        <v>34925.304782144136</v>
      </c>
      <c r="Z1096" s="18">
        <f>IF($A1096&gt;'1-Input'!$B$26,AB1095,(AB1095-X1096)*(1+'5-Roberta'!$C$4))</f>
        <v>12604.810285229983</v>
      </c>
      <c r="AA1096" s="18">
        <f>IF($A1096&gt;'1-Input'!$B$26,Y1096,Y1096-'P-Parametri'!$B$8*(Z1096+Y1096)+MIN(MAX(Z1096,0),'P-Parametri'!$B$8*(Z1096+Y1096)))</f>
        <v>34925.304782144136</v>
      </c>
      <c r="AB1096" s="18">
        <f>IF($A1096&gt;'1-Input'!$B$26,Z1096,Z1096-MIN(MAX(Z1096,0),'P-Parametri'!$B$8*(Z1096+Y1096)))</f>
        <v>12509.750055095235</v>
      </c>
      <c r="AC1096" s="18">
        <f>IF($A1096&gt;'1-Input'!$B$26,AC1095,AC1095-X1096*(1-W1096))</f>
        <v>2831.8139783113802</v>
      </c>
      <c r="AD1096" s="11">
        <f>IF($A1096&gt;'1-Input'!$B$26,0,IF(AI1095&lt;=0,0,MAX(0,(AI1095-AJ1095)/AI1095)))</f>
        <v>0.768677335135038</v>
      </c>
      <c r="AE1096" s="18">
        <f>IF($A1096&gt;'1-Input'!$B$26,0,(MAX(0,AD1056-IF($A1096&gt;='1-Input'!$C$12,'1-Input'!$B$12,0))-MIN(MAX(AH1095,0),MAX(0,AD1056-IF($A1096&gt;='1-Input'!$C$12,'1-Input'!$B$12,0))))*(1/(1-'P-Parametri'!$B$6*AD1096))+MIN(MAX(0,AI1095-(MAX(0,AD1056-IF($A1096&gt;='1-Input'!$C$12,'1-Input'!$B$12,0))-MIN(MAX(AH1095,0),MAX(0,AD1056-IF($A1096&gt;='1-Input'!$C$12,'1-Input'!$B$12,0))))*(1/(1-'P-Parametri'!$B$6*AD1096))),MAX(0,2*AD1056-(AH1095-MIN(MAX(AH1095,0),MAX(0,AD1056-IF($A1096&gt;='1-Input'!$C$12,'1-Input'!$B$12,0)))))*(1/(1-'P-Parametri'!$B$6*AD1096))))</f>
        <v>8174.5679215491582</v>
      </c>
      <c r="AF1096" s="18">
        <f>IF($A1096&gt;'1-Input'!$B$26,AH1095,(AH1095-MAX(0,AD1056-IF($A1096&gt;='1-Input'!$C$12,'1-Input'!$B$12,0))+AE1096*(1-'P-Parametri'!$B$6*AD1096))*(1+'1-Input'!$B$27))</f>
        <v>34907.300256313618</v>
      </c>
      <c r="AG1096" s="18">
        <f>IF($A1096&gt;'1-Input'!$B$26,AI1095,(AI1095-AE1096)*(1+'5-Roberta'!$C$4))</f>
        <v>13386.715063484082</v>
      </c>
      <c r="AH1096" s="18">
        <f>IF($A1096&gt;'1-Input'!$B$26,AF1096,AF1096-'P-Parametri'!$B$8*(AG1096+AF1096)+MIN(MAX(AG1096,0),'P-Parametri'!$B$8*(AG1096+AF1096)))</f>
        <v>34907.300256313618</v>
      </c>
      <c r="AI1096" s="18">
        <f>IF($A1096&gt;'1-Input'!$B$26,AG1096,AG1096-MIN(MAX(AG1096,0),'P-Parametri'!$B$8*(AG1096+AF1096)))</f>
        <v>13290.127032844486</v>
      </c>
      <c r="AJ1096" s="18">
        <f>IF($A1096&gt;'1-Input'!$B$26,AJ1095,AJ1095-AE1096*(1-AD1096))</f>
        <v>3006.456895410744</v>
      </c>
      <c r="AK1096" s="11">
        <f>IF($A1096&gt;'1-Input'!$B$26,0,IF(AP1095&lt;=0,0,MAX(0,(AP1095-AQ1095)/AP1095)))</f>
        <v>0.76867699272205281</v>
      </c>
      <c r="AL1096" s="18">
        <f>IF($A1096&gt;'1-Input'!$B$26,0,(MAX(0,AK1056-IF($A1096&gt;='1-Input'!$C$12,'1-Input'!$B$12,0))-MIN(MAX(AO1095,0),MAX(0,AK1056-IF($A1096&gt;='1-Input'!$C$12,'1-Input'!$B$12,0))))*(1/(1-'P-Parametri'!$B$6*AK1096))+MIN(MAX(0,AP1095-(MAX(0,AK1056-IF($A1096&gt;='1-Input'!$C$12,'1-Input'!$B$12,0))-MIN(MAX(AO1095,0),MAX(0,AK1056-IF($A1096&gt;='1-Input'!$C$12,'1-Input'!$B$12,0))))*(1/(1-'P-Parametri'!$B$6*AK1096))),MAX(0,2*AK1056-(AO1095-MIN(MAX(AO1095,0),MAX(0,AK1056-IF($A1096&gt;='1-Input'!$C$12,'1-Input'!$B$12,0)))))*(1/(1-'P-Parametri'!$B$6*AK1096))))</f>
        <v>8174.6177373389128</v>
      </c>
      <c r="AM1096" s="18">
        <f>IF($A1096&gt;'1-Input'!$B$26,AO1095,(AO1095-MAX(0,AK1056-IF($A1096&gt;='1-Input'!$C$12,'1-Input'!$B$12,0))+AL1096*(1-'P-Parametri'!$B$6*AK1096))*(1+'1-Input'!$B$27))</f>
        <v>34907.38056101869</v>
      </c>
      <c r="AN1096" s="18">
        <f>IF($A1096&gt;'1-Input'!$B$26,AP1095,(AP1095-AL1096)*(1+'5-Roberta'!$C$4))</f>
        <v>13383.227514430684</v>
      </c>
      <c r="AO1096" s="18">
        <f>IF($A1096&gt;'1-Input'!$B$26,AM1096,AM1096-'P-Parametri'!$B$8*(AN1096+AM1096)+MIN(MAX(AN1096,0),'P-Parametri'!$B$8*(AN1096+AM1096)))</f>
        <v>34907.38056101869</v>
      </c>
      <c r="AP1096" s="18">
        <f>IF($A1096&gt;'1-Input'!$B$26,AN1096,AN1096-MIN(MAX(AN1096,0),'P-Parametri'!$B$8*(AN1096+AM1096)))</f>
        <v>13286.646298279786</v>
      </c>
      <c r="AQ1096" s="18">
        <f>IF($A1096&gt;'1-Input'!$B$26,AQ1095,AQ1095-AL1096*(1-AK1096))</f>
        <v>3005.6780929350207</v>
      </c>
    </row>
    <row r="1097" spans="1:43">
      <c r="A1097" s="10">
        <f>39</f>
        <v>39</v>
      </c>
      <c r="B1097" s="11">
        <f>IF($A1097&gt;'1-Input'!$B$26,0,IF(G1096&lt;=0,0,MAX(0,(G1096-H1096)/G1096)))</f>
        <v>0.77738716916681527</v>
      </c>
      <c r="C1097" s="18">
        <f>IF($A1097&gt;'1-Input'!$B$26,0,(MAX(0,B1056-IF($A1097&gt;='1-Input'!$C$12,'1-Input'!$B$12,0))-MIN(MAX(F1096,0),MAX(0,B1056-IF($A1097&gt;='1-Input'!$C$12,'1-Input'!$B$12,0))))*(1/(1-'P-Parametri'!$B$6*B1097))+MIN(MAX(0,G1096-(MAX(0,B1056-IF($A1097&gt;='1-Input'!$C$12,'1-Input'!$B$12,0))-MIN(MAX(F1096,0),MAX(0,B1056-IF($A1097&gt;='1-Input'!$C$12,'1-Input'!$B$12,0))))*(1/(1-'P-Parametri'!$B$6*B1097))),MAX(0,2*B1056-(F1096-MIN(MAX(F1096,0),MAX(0,B1056-IF($A1097&gt;='1-Input'!$C$12,'1-Input'!$B$12,0)))))*(1/(1-'P-Parametri'!$B$6*B1097))))</f>
        <v>7142.8832100651553</v>
      </c>
      <c r="D1097" s="18">
        <f>IF($A1097&gt;'1-Input'!$B$26,F1096,(F1096-MAX(0,B1056-IF($A1097&gt;='1-Input'!$C$12,'1-Input'!$B$12,0))+C1097*(1-'P-Parametri'!$B$6*B1097))*(1+'1-Input'!$B$27))</f>
        <v>33242.0070309863</v>
      </c>
      <c r="E1097" s="18">
        <f>IF($A1097&gt;'1-Input'!$B$26,G1096,(G1096-C1097)*(1+'5-Roberta'!$C$4))</f>
        <v>80726.747468222791</v>
      </c>
      <c r="F1097" s="18">
        <f>IF($A1097&gt;'1-Input'!$B$26,D1097,D1097-'P-Parametri'!$B$8*(E1097+D1097)+MIN(MAX(E1097,0),'P-Parametri'!$B$8*(E1097+D1097)))</f>
        <v>33242.0070309863</v>
      </c>
      <c r="G1097" s="18">
        <f>IF($A1097&gt;'1-Input'!$B$26,E1097,E1097-MIN(MAX(E1097,0),'P-Parametri'!$B$8*(E1097+D1097)))</f>
        <v>80498.809959224367</v>
      </c>
      <c r="H1097" s="18">
        <f>IF($A1097&gt;'1-Input'!$B$26,H1096,H1096-C1097*(1-B1097))</f>
        <v>17447.388133841458</v>
      </c>
      <c r="I1097" s="11">
        <f>IF($A1097&gt;'1-Input'!$B$26,0,IF(N1096&lt;=0,0,MAX(0,(N1096-O1096)/N1096)))</f>
        <v>0</v>
      </c>
      <c r="J1097" s="18">
        <f>IF($A1097&gt;'1-Input'!$B$26,0,(MAX(0,I1056-IF($A1097&gt;='1-Input'!$C$12,'1-Input'!$B$12,0))-MIN(MAX(M1096,0),MAX(0,I1056-IF($A1097&gt;='1-Input'!$C$12,'1-Input'!$B$12,0))))*(1/(1-'P-Parametri'!$B$6*I1097))+MIN(MAX(0,N1096-(MAX(0,I1056-IF($A1097&gt;='1-Input'!$C$12,'1-Input'!$B$12,0))-MIN(MAX(M1096,0),MAX(0,I1056-IF($A1097&gt;='1-Input'!$C$12,'1-Input'!$B$12,0))))*(1/(1-'P-Parametri'!$B$6*I1097))),MAX(0,2*I1056-(M1096-MIN(MAX(M1096,0),MAX(0,I1056-IF($A1097&gt;='1-Input'!$C$12,'1-Input'!$B$12,0)))))*(1/(1-'P-Parametri'!$B$6*I1097))))</f>
        <v>10846.756992928691</v>
      </c>
      <c r="K1097" s="18">
        <f>IF($A1097&gt;'1-Input'!$B$26,M1096,(M1096-MAX(0,I1056-IF($A1097&gt;='1-Input'!$C$12,'1-Input'!$B$12,0))+J1097*(1-'P-Parametri'!$B$6*I1097))*(1+'1-Input'!$B$27))</f>
        <v>0</v>
      </c>
      <c r="L1097" s="18">
        <f>IF($A1097&gt;'1-Input'!$B$26,N1096,(N1096-J1097)*(1+'5-Roberta'!$C$4))</f>
        <v>-244700.97702552631</v>
      </c>
      <c r="M1097" s="18">
        <f>IF($A1097&gt;'1-Input'!$B$26,K1097,K1097-'P-Parametri'!$B$8*(L1097+K1097)+MIN(MAX(L1097,0),'P-Parametri'!$B$8*(L1097+K1097)))</f>
        <v>0</v>
      </c>
      <c r="N1097" s="18">
        <f>IF($A1097&gt;'1-Input'!$B$26,L1097,L1097-MIN(MAX(L1097,0),'P-Parametri'!$B$8*(L1097+K1097)))</f>
        <v>-244211.57507147526</v>
      </c>
      <c r="O1097" s="18">
        <f>IF($A1097&gt;'1-Input'!$B$26,O1096,O1096-J1097*(1-I1097))</f>
        <v>-187899.46284599527</v>
      </c>
      <c r="P1097" s="11">
        <f>IF($A1097&gt;'1-Input'!$B$26,0,IF(U1096&lt;=0,0,MAX(0,(U1096-V1096)/U1096)))</f>
        <v>0.76706001383552735</v>
      </c>
      <c r="Q1097" s="18">
        <f>IF($A1097&gt;'1-Input'!$B$26,0,(MAX(0,P1056-IF($A1097&gt;='1-Input'!$C$12,'1-Input'!$B$12,0))-MIN(MAX(T1096,0),MAX(0,P1056-IF($A1097&gt;='1-Input'!$C$12,'1-Input'!$B$12,0))))*(1/(1-'P-Parametri'!$B$6*P1097))+MIN(MAX(0,U1096-(MAX(0,P1056-IF($A1097&gt;='1-Input'!$C$12,'1-Input'!$B$12,0))-MIN(MAX(T1096,0),MAX(0,P1056-IF($A1097&gt;='1-Input'!$C$12,'1-Input'!$B$12,0))))*(1/(1-'P-Parametri'!$B$6*P1097))),MAX(0,2*P1056-(T1096-MIN(MAX(T1096,0),MAX(0,P1056-IF($A1097&gt;='1-Input'!$C$12,'1-Input'!$B$12,0)))))*(1/(1-'P-Parametri'!$B$6*P1097))))</f>
        <v>2518.6501397459961</v>
      </c>
      <c r="R1097" s="18">
        <f>IF($A1097&gt;'1-Input'!$B$26,T1096,(T1096-MAX(0,P1056-IF($A1097&gt;='1-Input'!$C$12,'1-Input'!$B$12,0))+Q1097*(1-'P-Parametri'!$B$6*P1097))*(1+'1-Input'!$B$27))</f>
        <v>30522.49910035701</v>
      </c>
      <c r="S1097" s="18">
        <f>IF($A1097&gt;'1-Input'!$B$26,U1096,(U1096-Q1097)*(1+'5-Roberta'!$C$4))</f>
        <v>0</v>
      </c>
      <c r="T1097" s="18">
        <f>IF($A1097&gt;'1-Input'!$B$26,R1097,R1097-'P-Parametri'!$B$8*(S1097+R1097)+MIN(MAX(S1097,0),'P-Parametri'!$B$8*(S1097+R1097)))</f>
        <v>30461.454102156295</v>
      </c>
      <c r="U1097" s="18">
        <f>IF($A1097&gt;'1-Input'!$B$26,S1097,S1097-MIN(MAX(S1097,0),'P-Parametri'!$B$8*(S1097+R1097)))</f>
        <v>0</v>
      </c>
      <c r="V1097" s="18">
        <f>IF($A1097&gt;'1-Input'!$B$26,V1096,V1096-Q1097*(1-P1097))</f>
        <v>0</v>
      </c>
      <c r="W1097" s="11">
        <f>IF($A1097&gt;'1-Input'!$B$26,0,IF(AB1096&lt;=0,0,MAX(0,(AB1096-AC1096)/AB1096)))</f>
        <v>0.77363145020167856</v>
      </c>
      <c r="X1097" s="18">
        <f>IF($A1097&gt;'1-Input'!$B$26,0,(MAX(0,W1056-IF($A1097&gt;='1-Input'!$C$12,'1-Input'!$B$12,0))-MIN(MAX(AA1096,0),MAX(0,W1056-IF($A1097&gt;='1-Input'!$C$12,'1-Input'!$B$12,0))))*(1/(1-'P-Parametri'!$B$6*W1097))+MIN(MAX(0,AB1096-(MAX(0,W1056-IF($A1097&gt;='1-Input'!$C$12,'1-Input'!$B$12,0))-MIN(MAX(AA1096,0),MAX(0,W1056-IF($A1097&gt;='1-Input'!$C$12,'1-Input'!$B$12,0))))*(1/(1-'P-Parametri'!$B$6*W1097))),MAX(0,2*W1056-(AA1096-MIN(MAX(AA1096,0),MAX(0,W1056-IF($A1097&gt;='1-Input'!$C$12,'1-Input'!$B$12,0)))))*(1/(1-'P-Parametri'!$B$6*W1097))))</f>
        <v>8199.1396316003738</v>
      </c>
      <c r="Y1097" s="18">
        <f>IF($A1097&gt;'1-Input'!$B$26,AA1096,(AA1096-MAX(0,W1056-IF($A1097&gt;='1-Input'!$C$12,'1-Input'!$B$12,0))+X1097*(1-'P-Parametri'!$B$6*W1097))*(1+'1-Input'!$B$27))</f>
        <v>34925.304782144136</v>
      </c>
      <c r="Z1097" s="18">
        <f>IF($A1097&gt;'1-Input'!$B$26,AB1096,(AB1096-X1097)*(1+'5-Roberta'!$C$4))</f>
        <v>4439.9287361997076</v>
      </c>
      <c r="AA1097" s="18">
        <f>IF($A1097&gt;'1-Input'!$B$26,Y1097,Y1097-'P-Parametri'!$B$8*(Z1097+Y1097)+MIN(MAX(Z1097,0),'P-Parametri'!$B$8*(Z1097+Y1097)))</f>
        <v>34925.304782144136</v>
      </c>
      <c r="AB1097" s="18">
        <f>IF($A1097&gt;'1-Input'!$B$26,Z1097,Z1097-MIN(MAX(Z1097,0),'P-Parametri'!$B$8*(Z1097+Y1097)))</f>
        <v>4361.1982691630201</v>
      </c>
      <c r="AC1097" s="18">
        <f>IF($A1097&gt;'1-Input'!$B$26,AC1096,AC1096-X1097*(1-W1097))</f>
        <v>975.78663031205997</v>
      </c>
      <c r="AD1097" s="11">
        <f>IF($A1097&gt;'1-Input'!$B$26,0,IF(AI1096&lt;=0,0,MAX(0,(AI1096-AJ1096)/AI1096)))</f>
        <v>0.77378268183737053</v>
      </c>
      <c r="AE1097" s="18">
        <f>IF($A1097&gt;'1-Input'!$B$26,0,(MAX(0,AD1056-IF($A1097&gt;='1-Input'!$C$12,'1-Input'!$B$12,0))-MIN(MAX(AH1096,0),MAX(0,AD1056-IF($A1097&gt;='1-Input'!$C$12,'1-Input'!$B$12,0))))*(1/(1-'P-Parametri'!$B$6*AD1097))+MIN(MAX(0,AI1096-(MAX(0,AD1056-IF($A1097&gt;='1-Input'!$C$12,'1-Input'!$B$12,0))-MIN(MAX(AH1096,0),MAX(0,AD1056-IF($A1097&gt;='1-Input'!$C$12,'1-Input'!$B$12,0))))*(1/(1-'P-Parametri'!$B$6*AD1097))),MAX(0,2*AD1056-(AH1096-MIN(MAX(AH1096,0),MAX(0,AD1056-IF($A1097&gt;='1-Input'!$C$12,'1-Input'!$B$12,0)))))*(1/(1-'P-Parametri'!$B$6*AD1097))))</f>
        <v>8188.1515679086824</v>
      </c>
      <c r="AF1097" s="18">
        <f>IF($A1097&gt;'1-Input'!$B$26,AH1096,(AH1096-MAX(0,AD1056-IF($A1097&gt;='1-Input'!$C$12,'1-Input'!$B$12,0))+AE1097*(1-'P-Parametri'!$B$6*AD1097))*(1+'1-Input'!$B$27))</f>
        <v>34907.300256313618</v>
      </c>
      <c r="AG1097" s="18">
        <f>IF($A1097&gt;'1-Input'!$B$26,AI1096,(AI1096-AE1097)*(1+'5-Roberta'!$C$4))</f>
        <v>5255.0347288838784</v>
      </c>
      <c r="AH1097" s="18">
        <f>IF($A1097&gt;'1-Input'!$B$26,AF1097,AF1097-'P-Parametri'!$B$8*(AG1097+AF1097)+MIN(MAX(AG1097,0),'P-Parametri'!$B$8*(AG1097+AF1097)))</f>
        <v>34907.300256313618</v>
      </c>
      <c r="AI1097" s="18">
        <f>IF($A1097&gt;'1-Input'!$B$26,AG1097,AG1097-MIN(MAX(AG1097,0),'P-Parametri'!$B$8*(AG1097+AF1097)))</f>
        <v>5174.7100589134834</v>
      </c>
      <c r="AJ1097" s="18">
        <f>IF($A1097&gt;'1-Input'!$B$26,AJ1096,AJ1096-AE1097*(1-AD1097))</f>
        <v>1154.1552070093123</v>
      </c>
      <c r="AK1097" s="11">
        <f>IF($A1097&gt;'1-Input'!$B$26,0,IF(AP1096&lt;=0,0,MAX(0,(AP1096-AQ1096)/AP1096)))</f>
        <v>0.77378203457375361</v>
      </c>
      <c r="AL1097" s="18">
        <f>IF($A1097&gt;'1-Input'!$B$26,0,(MAX(0,AK1056-IF($A1097&gt;='1-Input'!$C$12,'1-Input'!$B$12,0))-MIN(MAX(AO1096,0),MAX(0,AK1056-IF($A1097&gt;='1-Input'!$C$12,'1-Input'!$B$12,0))))*(1/(1-'P-Parametri'!$B$6*AK1097))+MIN(MAX(0,AP1096-(MAX(0,AK1056-IF($A1097&gt;='1-Input'!$C$12,'1-Input'!$B$12,0))-MIN(MAX(AO1096,0),MAX(0,AK1056-IF($A1097&gt;='1-Input'!$C$12,'1-Input'!$B$12,0))))*(1/(1-'P-Parametri'!$B$6*AK1097))),MAX(0,2*AK1056-(AO1096-MIN(MAX(AO1096,0),MAX(0,AK1056-IF($A1097&gt;='1-Input'!$C$12,'1-Input'!$B$12,0)))))*(1/(1-'P-Parametri'!$B$6*AK1097))))</f>
        <v>8188.200652503504</v>
      </c>
      <c r="AM1097" s="18">
        <f>IF($A1097&gt;'1-Input'!$B$26,AO1096,(AO1096-MAX(0,AK1056-IF($A1097&gt;='1-Input'!$C$12,'1-Input'!$B$12,0))+AL1097*(1-'P-Parametri'!$B$6*AK1097))*(1+'1-Input'!$B$27))</f>
        <v>34907.38056101869</v>
      </c>
      <c r="AN1097" s="18">
        <f>IF($A1097&gt;'1-Input'!$B$26,AP1096,(AP1096-AL1097)*(1+'5-Roberta'!$C$4))</f>
        <v>5251.39901514957</v>
      </c>
      <c r="AO1097" s="18">
        <f>IF($A1097&gt;'1-Input'!$B$26,AM1097,AM1097-'P-Parametri'!$B$8*(AN1097+AM1097)+MIN(MAX(AN1097,0),'P-Parametri'!$B$8*(AN1097+AM1097)))</f>
        <v>34907.38056101869</v>
      </c>
      <c r="AP1097" s="18">
        <f>IF($A1097&gt;'1-Input'!$B$26,AN1097,AN1097-MIN(MAX(AN1097,0),'P-Parametri'!$B$8*(AN1097+AM1097)))</f>
        <v>5171.0814559972332</v>
      </c>
      <c r="AQ1097" s="18">
        <f>IF($A1097&gt;'1-Input'!$B$26,AQ1096,AQ1096-AL1097*(1-AK1097))</f>
        <v>1153.360000823815</v>
      </c>
    </row>
    <row r="1098" spans="1:43">
      <c r="A1098" s="10">
        <f>40</f>
        <v>40</v>
      </c>
      <c r="B1098" s="11">
        <f>IF($A1098&gt;'1-Input'!$B$26,0,IF(G1097&lt;=0,0,MAX(0,(G1097-H1097)/G1097)))</f>
        <v>0.78325905510057592</v>
      </c>
      <c r="C1098" s="18">
        <f>IF($A1098&gt;'1-Input'!$B$26,0,(MAX(0,B1056-IF($A1098&gt;='1-Input'!$C$12,'1-Input'!$B$12,0))-MIN(MAX(F1097,0),MAX(0,B1056-IF($A1098&gt;='1-Input'!$C$12,'1-Input'!$B$12,0))))*(1/(1-'P-Parametri'!$B$6*B1098))+MIN(MAX(0,G1097-(MAX(0,B1056-IF($A1098&gt;='1-Input'!$C$12,'1-Input'!$B$12,0))-MIN(MAX(F1097,0),MAX(0,B1056-IF($A1098&gt;='1-Input'!$C$12,'1-Input'!$B$12,0))))*(1/(1-'P-Parametri'!$B$6*B1098))),MAX(0,2*B1056-(F1097-MIN(MAX(F1097,0),MAX(0,B1056-IF($A1098&gt;='1-Input'!$C$12,'1-Input'!$B$12,0)))))*(1/(1-'P-Parametri'!$B$6*B1098))))</f>
        <v>7156.5768555570585</v>
      </c>
      <c r="D1098" s="18">
        <f>IF($A1098&gt;'1-Input'!$B$26,F1097,(F1097-MAX(0,B1056-IF($A1098&gt;='1-Input'!$C$12,'1-Input'!$B$12,0))+C1098*(1-'P-Parametri'!$B$6*B1098))*(1+'1-Input'!$B$27))</f>
        <v>33242.0070309863</v>
      </c>
      <c r="E1098" s="18">
        <f>IF($A1098&gt;'1-Input'!$B$26,G1097,(G1097-C1098)*(1+'5-Roberta'!$C$4))</f>
        <v>75542.500096777338</v>
      </c>
      <c r="F1098" s="18">
        <f>IF($A1098&gt;'1-Input'!$B$26,D1098,D1098-'P-Parametri'!$B$8*(E1098+D1098)+MIN(MAX(E1098,0),'P-Parametri'!$B$8*(E1098+D1098)))</f>
        <v>33242.0070309863</v>
      </c>
      <c r="G1098" s="18">
        <f>IF($A1098&gt;'1-Input'!$B$26,E1098,E1098-MIN(MAX(E1098,0),'P-Parametri'!$B$8*(E1098+D1098)))</f>
        <v>75324.931082521813</v>
      </c>
      <c r="H1098" s="18">
        <f>IF($A1098&gt;'1-Input'!$B$26,H1097,H1097-C1098*(1-B1098))</f>
        <v>15896.264903922671</v>
      </c>
      <c r="I1098" s="11">
        <f>IF($A1098&gt;'1-Input'!$B$26,0,IF(N1097&lt;=0,0,MAX(0,(N1097-O1097)/N1097)))</f>
        <v>0</v>
      </c>
      <c r="J1098" s="18">
        <f>IF($A1098&gt;'1-Input'!$B$26,0,(MAX(0,I1056-IF($A1098&gt;='1-Input'!$C$12,'1-Input'!$B$12,0))-MIN(MAX(M1097,0),MAX(0,I1056-IF($A1098&gt;='1-Input'!$C$12,'1-Input'!$B$12,0))))*(1/(1-'P-Parametri'!$B$6*I1098))+MIN(MAX(0,N1097-(MAX(0,I1056-IF($A1098&gt;='1-Input'!$C$12,'1-Input'!$B$12,0))-MIN(MAX(M1097,0),MAX(0,I1056-IF($A1098&gt;='1-Input'!$C$12,'1-Input'!$B$12,0))))*(1/(1-'P-Parametri'!$B$6*I1098))),MAX(0,2*I1056-(M1097-MIN(MAX(M1097,0),MAX(0,I1056-IF($A1098&gt;='1-Input'!$C$12,'1-Input'!$B$12,0)))))*(1/(1-'P-Parametri'!$B$6*I1098))))</f>
        <v>10846.756992928691</v>
      </c>
      <c r="K1098" s="18">
        <f>IF($A1098&gt;'1-Input'!$B$26,M1097,(M1097-MAX(0,I1056-IF($A1098&gt;='1-Input'!$C$12,'1-Input'!$B$12,0))+J1098*(1-'P-Parametri'!$B$6*I1098))*(1+'1-Input'!$B$27))</f>
        <v>0</v>
      </c>
      <c r="L1098" s="18">
        <f>IF($A1098&gt;'1-Input'!$B$26,N1097,(N1097-J1098)*(1+'5-Roberta'!$C$4))</f>
        <v>-262710.08202633605</v>
      </c>
      <c r="M1098" s="18">
        <f>IF($A1098&gt;'1-Input'!$B$26,K1098,K1098-'P-Parametri'!$B$8*(L1098+K1098)+MIN(MAX(L1098,0),'P-Parametri'!$B$8*(L1098+K1098)))</f>
        <v>0</v>
      </c>
      <c r="N1098" s="18">
        <f>IF($A1098&gt;'1-Input'!$B$26,L1098,L1098-MIN(MAX(L1098,0),'P-Parametri'!$B$8*(L1098+K1098)))</f>
        <v>-262184.66186228336</v>
      </c>
      <c r="O1098" s="18">
        <f>IF($A1098&gt;'1-Input'!$B$26,O1097,O1097-J1098*(1-I1098))</f>
        <v>-198746.21983892395</v>
      </c>
      <c r="P1098" s="11">
        <f>IF($A1098&gt;'1-Input'!$B$26,0,IF(U1097&lt;=0,0,MAX(0,(U1097-V1097)/U1097)))</f>
        <v>0</v>
      </c>
      <c r="Q1098" s="18">
        <f>IF($A1098&gt;'1-Input'!$B$26,0,(MAX(0,P1056-IF($A1098&gt;='1-Input'!$C$12,'1-Input'!$B$12,0))-MIN(MAX(T1097,0),MAX(0,P1056-IF($A1098&gt;='1-Input'!$C$12,'1-Input'!$B$12,0))))*(1/(1-'P-Parametri'!$B$6*P1098))+MIN(MAX(0,U1097-(MAX(0,P1056-IF($A1098&gt;='1-Input'!$C$12,'1-Input'!$B$12,0))-MIN(MAX(T1097,0),MAX(0,P1056-IF($A1098&gt;='1-Input'!$C$12,'1-Input'!$B$12,0))))*(1/(1-'P-Parametri'!$B$6*P1098))),MAX(0,2*P1056-(T1097-MIN(MAX(T1097,0),MAX(0,P1056-IF($A1098&gt;='1-Input'!$C$12,'1-Input'!$B$12,0)))))*(1/(1-'P-Parametri'!$B$6*P1098))))</f>
        <v>0</v>
      </c>
      <c r="R1098" s="18">
        <f>IF($A1098&gt;'1-Input'!$B$26,T1097,(T1097-MAX(0,P1056-IF($A1098&gt;='1-Input'!$C$12,'1-Input'!$B$12,0))+Q1098*(1-'P-Parametri'!$B$6*P1098))*(1+'1-Input'!$B$27))</f>
        <v>23835.880964179953</v>
      </c>
      <c r="S1098" s="18">
        <f>IF($A1098&gt;'1-Input'!$B$26,U1097,(U1097-Q1098)*(1+'5-Roberta'!$C$4))</f>
        <v>0</v>
      </c>
      <c r="T1098" s="18">
        <f>IF($A1098&gt;'1-Input'!$B$26,R1098,R1098-'P-Parametri'!$B$8*(S1098+R1098)+MIN(MAX(S1098,0),'P-Parametri'!$B$8*(S1098+R1098)))</f>
        <v>23788.209202251594</v>
      </c>
      <c r="U1098" s="18">
        <f>IF($A1098&gt;'1-Input'!$B$26,S1098,S1098-MIN(MAX(S1098,0),'P-Parametri'!$B$8*(S1098+R1098)))</f>
        <v>0</v>
      </c>
      <c r="V1098" s="18">
        <f>IF($A1098&gt;'1-Input'!$B$26,V1097,V1097-Q1098*(1-P1098))</f>
        <v>0</v>
      </c>
      <c r="W1098" s="11">
        <f>IF($A1098&gt;'1-Input'!$B$26,0,IF(AB1097&lt;=0,0,MAX(0,(AB1097-AC1097)/AB1097)))</f>
        <v>0.77625721875301756</v>
      </c>
      <c r="X1098" s="18">
        <f>IF($A1098&gt;'1-Input'!$B$26,0,(MAX(0,W1056-IF($A1098&gt;='1-Input'!$C$12,'1-Input'!$B$12,0))-MIN(MAX(AA1097,0),MAX(0,W1056-IF($A1098&gt;='1-Input'!$C$12,'1-Input'!$B$12,0))))*(1/(1-'P-Parametri'!$B$6*W1098))+MIN(MAX(0,AB1097-(MAX(0,W1056-IF($A1098&gt;='1-Input'!$C$12,'1-Input'!$B$12,0))-MIN(MAX(AA1097,0),MAX(0,W1056-IF($A1098&gt;='1-Input'!$C$12,'1-Input'!$B$12,0))))*(1/(1-'P-Parametri'!$B$6*W1098))),MAX(0,2*W1056-(AA1097-MIN(MAX(AA1097,0),MAX(0,W1056-IF($A1098&gt;='1-Input'!$C$12,'1-Input'!$B$12,0)))))*(1/(1-'P-Parametri'!$B$6*W1098))))</f>
        <v>4361.1982691630201</v>
      </c>
      <c r="Y1098" s="18">
        <f>IF($A1098&gt;'1-Input'!$B$26,AA1097,(AA1097-MAX(0,W1056-IF($A1098&gt;='1-Input'!$C$12,'1-Input'!$B$12,0))+X1098*(1-'P-Parametri'!$B$6*W1098))*(1+'1-Input'!$B$27))</f>
        <v>31867.413768443093</v>
      </c>
      <c r="Z1098" s="18">
        <f>IF($A1098&gt;'1-Input'!$B$26,AB1097,(AB1097-X1098)*(1+'5-Roberta'!$C$4))</f>
        <v>0</v>
      </c>
      <c r="AA1098" s="18">
        <f>IF($A1098&gt;'1-Input'!$B$26,Y1098,Y1098-'P-Parametri'!$B$8*(Z1098+Y1098)+MIN(MAX(Z1098,0),'P-Parametri'!$B$8*(Z1098+Y1098)))</f>
        <v>31803.678940906208</v>
      </c>
      <c r="AB1098" s="18">
        <f>IF($A1098&gt;'1-Input'!$B$26,Z1098,Z1098-MIN(MAX(Z1098,0),'P-Parametri'!$B$8*(Z1098+Y1098)))</f>
        <v>0</v>
      </c>
      <c r="AC1098" s="18">
        <f>IF($A1098&gt;'1-Input'!$B$26,AC1097,AC1097-X1098*(1-W1098))</f>
        <v>-1.1368683772161603E-13</v>
      </c>
      <c r="AD1098" s="11">
        <f>IF($A1098&gt;'1-Input'!$B$26,0,IF(AI1097&lt;=0,0,MAX(0,(AI1097-AJ1097)/AI1097)))</f>
        <v>0.77696234303576683</v>
      </c>
      <c r="AE1098" s="18">
        <f>IF($A1098&gt;'1-Input'!$B$26,0,(MAX(0,AD1056-IF($A1098&gt;='1-Input'!$C$12,'1-Input'!$B$12,0))-MIN(MAX(AH1097,0),MAX(0,AD1056-IF($A1098&gt;='1-Input'!$C$12,'1-Input'!$B$12,0))))*(1/(1-'P-Parametri'!$B$6*AD1098))+MIN(MAX(0,AI1097-(MAX(0,AD1056-IF($A1098&gt;='1-Input'!$C$12,'1-Input'!$B$12,0))-MIN(MAX(AH1097,0),MAX(0,AD1056-IF($A1098&gt;='1-Input'!$C$12,'1-Input'!$B$12,0))))*(1/(1-'P-Parametri'!$B$6*AD1098))),MAX(0,2*AD1056-(AH1097-MIN(MAX(AH1097,0),MAX(0,AD1056-IF($A1098&gt;='1-Input'!$C$12,'1-Input'!$B$12,0)))))*(1/(1-'P-Parametri'!$B$6*AD1098))))</f>
        <v>5174.7100589134834</v>
      </c>
      <c r="AF1098" s="18">
        <f>IF($A1098&gt;'1-Input'!$B$26,AH1097,(AH1097-MAX(0,AD1056-IF($A1098&gt;='1-Input'!$C$12,'1-Input'!$B$12,0))+AE1098*(1-'P-Parametri'!$B$6*AD1098))*(1+'1-Input'!$B$27))</f>
        <v>32504.516727781767</v>
      </c>
      <c r="AG1098" s="18">
        <f>IF($A1098&gt;'1-Input'!$B$26,AI1097,(AI1097-AE1098)*(1+'5-Roberta'!$C$4))</f>
        <v>0</v>
      </c>
      <c r="AH1098" s="18">
        <f>IF($A1098&gt;'1-Input'!$B$26,AF1098,AF1098-'P-Parametri'!$B$8*(AG1098+AF1098)+MIN(MAX(AG1098,0),'P-Parametri'!$B$8*(AG1098+AF1098)))</f>
        <v>32439.507694326203</v>
      </c>
      <c r="AI1098" s="18">
        <f>IF($A1098&gt;'1-Input'!$B$26,AG1098,AG1098-MIN(MAX(AG1098,0),'P-Parametri'!$B$8*(AG1098+AF1098)))</f>
        <v>0</v>
      </c>
      <c r="AJ1098" s="18">
        <f>IF($A1098&gt;'1-Input'!$B$26,AJ1097,AJ1097-AE1098*(1-AD1098))</f>
        <v>0</v>
      </c>
      <c r="AK1098" s="11">
        <f>IF($A1098&gt;'1-Input'!$B$26,0,IF(AP1097&lt;=0,0,MAX(0,(AP1097-AQ1097)/AP1097)))</f>
        <v>0.77695961461094565</v>
      </c>
      <c r="AL1098" s="18">
        <f>IF($A1098&gt;'1-Input'!$B$26,0,(MAX(0,AK1056-IF($A1098&gt;='1-Input'!$C$12,'1-Input'!$B$12,0))-MIN(MAX(AO1097,0),MAX(0,AK1056-IF($A1098&gt;='1-Input'!$C$12,'1-Input'!$B$12,0))))*(1/(1-'P-Parametri'!$B$6*AK1098))+MIN(MAX(0,AP1097-(MAX(0,AK1056-IF($A1098&gt;='1-Input'!$C$12,'1-Input'!$B$12,0))-MIN(MAX(AO1097,0),MAX(0,AK1056-IF($A1098&gt;='1-Input'!$C$12,'1-Input'!$B$12,0))))*(1/(1-'P-Parametri'!$B$6*AK1098))),MAX(0,2*AK1056-(AO1097-MIN(MAX(AO1097,0),MAX(0,AK1056-IF($A1098&gt;='1-Input'!$C$12,'1-Input'!$B$12,0)))))*(1/(1-'P-Parametri'!$B$6*AK1098))))</f>
        <v>5171.0814559972332</v>
      </c>
      <c r="AM1098" s="18">
        <f>IF($A1098&gt;'1-Input'!$B$26,AO1097,(AO1097-MAX(0,AK1056-IF($A1098&gt;='1-Input'!$C$12,'1-Input'!$B$12,0))+AL1098*(1-'P-Parametri'!$B$6*AK1098))*(1+'1-Input'!$B$27))</f>
        <v>32501.675082182272</v>
      </c>
      <c r="AN1098" s="18">
        <f>IF($A1098&gt;'1-Input'!$B$26,AP1097,(AP1097-AL1098)*(1+'5-Roberta'!$C$4))</f>
        <v>0</v>
      </c>
      <c r="AO1098" s="18">
        <f>IF($A1098&gt;'1-Input'!$B$26,AM1098,AM1098-'P-Parametri'!$B$8*(AN1098+AM1098)+MIN(MAX(AN1098,0),'P-Parametri'!$B$8*(AN1098+AM1098)))</f>
        <v>32436.671732017909</v>
      </c>
      <c r="AP1098" s="18">
        <f>IF($A1098&gt;'1-Input'!$B$26,AN1098,AN1098-MIN(MAX(AN1098,0),'P-Parametri'!$B$8*(AN1098+AM1098)))</f>
        <v>0</v>
      </c>
      <c r="AQ1098" s="18">
        <f>IF($A1098&gt;'1-Input'!$B$26,AQ1097,AQ1097-AL1098*(1-AK1098))</f>
        <v>-2.2737367544323206E-13</v>
      </c>
    </row>
    <row r="1099" spans="1:43">
      <c r="A1099" s="10">
        <f>41</f>
        <v>41</v>
      </c>
      <c r="B1099" s="11">
        <f>IF($A1099&gt;'1-Input'!$B$26,0,IF(G1098&lt;=0,0,MAX(0,(G1098-H1098)/G1098)))</f>
        <v>0.78896409627633646</v>
      </c>
      <c r="C1099" s="18">
        <f>IF($A1099&gt;'1-Input'!$B$26,0,(MAX(0,B1056-IF($A1099&gt;='1-Input'!$C$12,'1-Input'!$B$12,0))-MIN(MAX(F1098,0),MAX(0,B1056-IF($A1099&gt;='1-Input'!$C$12,'1-Input'!$B$12,0))))*(1/(1-'P-Parametri'!$B$6*B1099))+MIN(MAX(0,G1098-(MAX(0,B1056-IF($A1099&gt;='1-Input'!$C$12,'1-Input'!$B$12,0))-MIN(MAX(F1098,0),MAX(0,B1056-IF($A1099&gt;='1-Input'!$C$12,'1-Input'!$B$12,0))))*(1/(1-'P-Parametri'!$B$6*B1099))),MAX(0,2*B1056-(F1098-MIN(MAX(F1098,0),MAX(0,B1056-IF($A1099&gt;='1-Input'!$C$12,'1-Input'!$B$12,0)))))*(1/(1-'P-Parametri'!$B$6*B1099))))</f>
        <v>7169.9317890020902</v>
      </c>
      <c r="D1099" s="18">
        <f>IF($A1099&gt;'1-Input'!$B$26,F1098,(F1098-MAX(0,B1056-IF($A1099&gt;='1-Input'!$C$12,'1-Input'!$B$12,0))+C1099*(1-'P-Parametri'!$B$6*B1099))*(1+'1-Input'!$B$27))</f>
        <v>33242.0070309863</v>
      </c>
      <c r="E1099" s="18">
        <f>IF($A1099&gt;'1-Input'!$B$26,G1098,(G1098-C1099)*(1+'5-Roberta'!$C$4))</f>
        <v>70199.649272325318</v>
      </c>
      <c r="F1099" s="18">
        <f>IF($A1099&gt;'1-Input'!$B$26,D1099,D1099-'P-Parametri'!$B$8*(E1099+D1099)+MIN(MAX(E1099,0),'P-Parametri'!$B$8*(E1099+D1099)))</f>
        <v>33242.0070309863</v>
      </c>
      <c r="G1099" s="18">
        <f>IF($A1099&gt;'1-Input'!$B$26,E1099,E1099-MIN(MAX(E1099,0),'P-Parametri'!$B$8*(E1099+D1099)))</f>
        <v>69992.765959718701</v>
      </c>
      <c r="H1099" s="18">
        <f>IF($A1099&gt;'1-Input'!$B$26,H1098,H1098-C1099*(1-B1099))</f>
        <v>14383.151869193591</v>
      </c>
      <c r="I1099" s="11">
        <f>IF($A1099&gt;'1-Input'!$B$26,0,IF(N1098&lt;=0,0,MAX(0,(N1098-O1098)/N1098)))</f>
        <v>0</v>
      </c>
      <c r="J1099" s="18">
        <f>IF($A1099&gt;'1-Input'!$B$26,0,(MAX(0,I1056-IF($A1099&gt;='1-Input'!$C$12,'1-Input'!$B$12,0))-MIN(MAX(M1098,0),MAX(0,I1056-IF($A1099&gt;='1-Input'!$C$12,'1-Input'!$B$12,0))))*(1/(1-'P-Parametri'!$B$6*I1099))+MIN(MAX(0,N1098-(MAX(0,I1056-IF($A1099&gt;='1-Input'!$C$12,'1-Input'!$B$12,0))-MIN(MAX(M1098,0),MAX(0,I1056-IF($A1099&gt;='1-Input'!$C$12,'1-Input'!$B$12,0))))*(1/(1-'P-Parametri'!$B$6*I1099))),MAX(0,2*I1056-(M1098-MIN(MAX(M1098,0),MAX(0,I1056-IF($A1099&gt;='1-Input'!$C$12,'1-Input'!$B$12,0)))))*(1/(1-'P-Parametri'!$B$6*I1099))))</f>
        <v>10846.756992928691</v>
      </c>
      <c r="K1099" s="18">
        <f>IF($A1099&gt;'1-Input'!$B$26,M1098,(M1098-MAX(0,I1056-IF($A1099&gt;='1-Input'!$C$12,'1-Input'!$B$12,0))+J1099*(1-'P-Parametri'!$B$6*I1099))*(1+'1-Input'!$B$27))</f>
        <v>0</v>
      </c>
      <c r="L1099" s="18">
        <f>IF($A1099&gt;'1-Input'!$B$26,N1098,(N1098-J1099)*(1+'5-Roberta'!$C$4))</f>
        <v>-281222.36142086843</v>
      </c>
      <c r="M1099" s="18">
        <f>IF($A1099&gt;'1-Input'!$B$26,K1099,K1099-'P-Parametri'!$B$8*(L1099+K1099)+MIN(MAX(L1099,0),'P-Parametri'!$B$8*(L1099+K1099)))</f>
        <v>0</v>
      </c>
      <c r="N1099" s="18">
        <f>IF($A1099&gt;'1-Input'!$B$26,L1099,L1099-MIN(MAX(L1099,0),'P-Parametri'!$B$8*(L1099+K1099)))</f>
        <v>-280659.9166980267</v>
      </c>
      <c r="O1099" s="18">
        <f>IF($A1099&gt;'1-Input'!$B$26,O1098,O1098-J1099*(1-I1099))</f>
        <v>-209592.97683185263</v>
      </c>
      <c r="P1099" s="11">
        <f>IF($A1099&gt;'1-Input'!$B$26,0,IF(U1098&lt;=0,0,MAX(0,(U1098-V1098)/U1098)))</f>
        <v>0</v>
      </c>
      <c r="Q1099" s="18">
        <f>IF($A1099&gt;'1-Input'!$B$26,0,(MAX(0,P1056-IF($A1099&gt;='1-Input'!$C$12,'1-Input'!$B$12,0))-MIN(MAX(T1098,0),MAX(0,P1056-IF($A1099&gt;='1-Input'!$C$12,'1-Input'!$B$12,0))))*(1/(1-'P-Parametri'!$B$6*P1099))+MIN(MAX(0,U1098-(MAX(0,P1056-IF($A1099&gt;='1-Input'!$C$12,'1-Input'!$B$12,0))-MIN(MAX(T1098,0),MAX(0,P1056-IF($A1099&gt;='1-Input'!$C$12,'1-Input'!$B$12,0))))*(1/(1-'P-Parametri'!$B$6*P1099))),MAX(0,2*P1056-(T1098-MIN(MAX(T1098,0),MAX(0,P1056-IF($A1099&gt;='1-Input'!$C$12,'1-Input'!$B$12,0)))))*(1/(1-'P-Parametri'!$B$6*P1099))))</f>
        <v>0</v>
      </c>
      <c r="R1099" s="18">
        <f>IF($A1099&gt;'1-Input'!$B$26,T1098,(T1098-MAX(0,P1056-IF($A1099&gt;='1-Input'!$C$12,'1-Input'!$B$12,0))+Q1099*(1-'P-Parametri'!$B$6*P1099))*(1+'1-Input'!$B$27))</f>
        <v>17186.659745914909</v>
      </c>
      <c r="S1099" s="18">
        <f>IF($A1099&gt;'1-Input'!$B$26,U1098,(U1098-Q1099)*(1+'5-Roberta'!$C$4))</f>
        <v>0</v>
      </c>
      <c r="T1099" s="18">
        <f>IF($A1099&gt;'1-Input'!$B$26,R1099,R1099-'P-Parametri'!$B$8*(S1099+R1099)+MIN(MAX(S1099,0),'P-Parametri'!$B$8*(S1099+R1099)))</f>
        <v>17152.286426423078</v>
      </c>
      <c r="U1099" s="18">
        <f>IF($A1099&gt;'1-Input'!$B$26,S1099,S1099-MIN(MAX(S1099,0),'P-Parametri'!$B$8*(S1099+R1099)))</f>
        <v>0</v>
      </c>
      <c r="V1099" s="18">
        <f>IF($A1099&gt;'1-Input'!$B$26,V1098,V1098-Q1099*(1-P1099))</f>
        <v>0</v>
      </c>
      <c r="W1099" s="11">
        <f>IF($A1099&gt;'1-Input'!$B$26,0,IF(AB1098&lt;=0,0,MAX(0,(AB1098-AC1098)/AB1098)))</f>
        <v>0</v>
      </c>
      <c r="X1099" s="18">
        <f>IF($A1099&gt;'1-Input'!$B$26,0,(MAX(0,W1056-IF($A1099&gt;='1-Input'!$C$12,'1-Input'!$B$12,0))-MIN(MAX(AA1098,0),MAX(0,W1056-IF($A1099&gt;='1-Input'!$C$12,'1-Input'!$B$12,0))))*(1/(1-'P-Parametri'!$B$6*W1099))+MIN(MAX(0,AB1098-(MAX(0,W1056-IF($A1099&gt;='1-Input'!$C$12,'1-Input'!$B$12,0))-MIN(MAX(AA1098,0),MAX(0,W1056-IF($A1099&gt;='1-Input'!$C$12,'1-Input'!$B$12,0))))*(1/(1-'P-Parametri'!$B$6*W1099))),MAX(0,2*W1056-(AA1098-MIN(MAX(AA1098,0),MAX(0,W1056-IF($A1099&gt;='1-Input'!$C$12,'1-Input'!$B$12,0)))))*(1/(1-'P-Parametri'!$B$6*W1099))))</f>
        <v>0</v>
      </c>
      <c r="Y1099" s="18">
        <f>IF($A1099&gt;'1-Input'!$B$26,AA1098,(AA1098-MAX(0,W1056-IF($A1099&gt;='1-Input'!$C$12,'1-Input'!$B$12,0))+X1099*(1-'P-Parametri'!$B$6*W1099))*(1+'1-Input'!$B$27))</f>
        <v>25288.566105646874</v>
      </c>
      <c r="Z1099" s="18">
        <f>IF($A1099&gt;'1-Input'!$B$26,AB1098,(AB1098-X1099)*(1+'5-Roberta'!$C$4))</f>
        <v>0</v>
      </c>
      <c r="AA1099" s="18">
        <f>IF($A1099&gt;'1-Input'!$B$26,Y1099,Y1099-'P-Parametri'!$B$8*(Z1099+Y1099)+MIN(MAX(Z1099,0),'P-Parametri'!$B$8*(Z1099+Y1099)))</f>
        <v>25237.988973435582</v>
      </c>
      <c r="AB1099" s="18">
        <f>IF($A1099&gt;'1-Input'!$B$26,Z1099,Z1099-MIN(MAX(Z1099,0),'P-Parametri'!$B$8*(Z1099+Y1099)))</f>
        <v>0</v>
      </c>
      <c r="AC1099" s="18">
        <f>IF($A1099&gt;'1-Input'!$B$26,AC1098,AC1098-X1099*(1-W1099))</f>
        <v>-1.1368683772161603E-13</v>
      </c>
      <c r="AD1099" s="11">
        <f>IF($A1099&gt;'1-Input'!$B$26,0,IF(AI1098&lt;=0,0,MAX(0,(AI1098-AJ1098)/AI1098)))</f>
        <v>0</v>
      </c>
      <c r="AE1099" s="18">
        <f>IF($A1099&gt;'1-Input'!$B$26,0,(MAX(0,AD1056-IF($A1099&gt;='1-Input'!$C$12,'1-Input'!$B$12,0))-MIN(MAX(AH1098,0),MAX(0,AD1056-IF($A1099&gt;='1-Input'!$C$12,'1-Input'!$B$12,0))))*(1/(1-'P-Parametri'!$B$6*AD1099))+MIN(MAX(0,AI1098-(MAX(0,AD1056-IF($A1099&gt;='1-Input'!$C$12,'1-Input'!$B$12,0))-MIN(MAX(AH1098,0),MAX(0,AD1056-IF($A1099&gt;='1-Input'!$C$12,'1-Input'!$B$12,0))))*(1/(1-'P-Parametri'!$B$6*AD1099))),MAX(0,2*AD1056-(AH1098-MIN(MAX(AH1098,0),MAX(0,AD1056-IF($A1099&gt;='1-Input'!$C$12,'1-Input'!$B$12,0)))))*(1/(1-'P-Parametri'!$B$6*AD1099))))</f>
        <v>0</v>
      </c>
      <c r="AF1099" s="18">
        <f>IF($A1099&gt;'1-Input'!$B$26,AH1098,(AH1098-MAX(0,AD1056-IF($A1099&gt;='1-Input'!$C$12,'1-Input'!$B$12,0))+AE1099*(1-'P-Parametri'!$B$6*AD1099))*(1+'1-Input'!$B$27))</f>
        <v>25931.108138469815</v>
      </c>
      <c r="AG1099" s="18">
        <f>IF($A1099&gt;'1-Input'!$B$26,AI1098,(AI1098-AE1099)*(1+'5-Roberta'!$C$4))</f>
        <v>0</v>
      </c>
      <c r="AH1099" s="18">
        <f>IF($A1099&gt;'1-Input'!$B$26,AF1099,AF1099-'P-Parametri'!$B$8*(AG1099+AF1099)+MIN(MAX(AG1099,0),'P-Parametri'!$B$8*(AG1099+AF1099)))</f>
        <v>25879.245922192877</v>
      </c>
      <c r="AI1099" s="18">
        <f>IF($A1099&gt;'1-Input'!$B$26,AG1099,AG1099-MIN(MAX(AG1099,0),'P-Parametri'!$B$8*(AG1099+AF1099)))</f>
        <v>0</v>
      </c>
      <c r="AJ1099" s="18">
        <f>IF($A1099&gt;'1-Input'!$B$26,AJ1098,AJ1098-AE1099*(1-AD1099))</f>
        <v>0</v>
      </c>
      <c r="AK1099" s="11">
        <f>IF($A1099&gt;'1-Input'!$B$26,0,IF(AP1098&lt;=0,0,MAX(0,(AP1098-AQ1098)/AP1098)))</f>
        <v>0</v>
      </c>
      <c r="AL1099" s="18">
        <f>IF($A1099&gt;'1-Input'!$B$26,0,(MAX(0,AK1056-IF($A1099&gt;='1-Input'!$C$12,'1-Input'!$B$12,0))-MIN(MAX(AO1098,0),MAX(0,AK1056-IF($A1099&gt;='1-Input'!$C$12,'1-Input'!$B$12,0))))*(1/(1-'P-Parametri'!$B$6*AK1099))+MIN(MAX(0,AP1098-(MAX(0,AK1056-IF($A1099&gt;='1-Input'!$C$12,'1-Input'!$B$12,0))-MIN(MAX(AO1098,0),MAX(0,AK1056-IF($A1099&gt;='1-Input'!$C$12,'1-Input'!$B$12,0))))*(1/(1-'P-Parametri'!$B$6*AK1099))),MAX(0,2*AK1056-(AO1098-MIN(MAX(AO1098,0),MAX(0,AK1056-IF($A1099&gt;='1-Input'!$C$12,'1-Input'!$B$12,0)))))*(1/(1-'P-Parametri'!$B$6*AK1099))))</f>
        <v>0</v>
      </c>
      <c r="AM1099" s="18">
        <f>IF($A1099&gt;'1-Input'!$B$26,AO1098,(AO1098-MAX(0,AK1056-IF($A1099&gt;='1-Input'!$C$12,'1-Input'!$B$12,0))+AL1099*(1-'P-Parametri'!$B$6*AK1099))*(1+'1-Input'!$B$27))</f>
        <v>25928.242233273297</v>
      </c>
      <c r="AN1099" s="18">
        <f>IF($A1099&gt;'1-Input'!$B$26,AP1098,(AP1098-AL1099)*(1+'5-Roberta'!$C$4))</f>
        <v>0</v>
      </c>
      <c r="AO1099" s="18">
        <f>IF($A1099&gt;'1-Input'!$B$26,AM1099,AM1099-'P-Parametri'!$B$8*(AN1099+AM1099)+MIN(MAX(AN1099,0),'P-Parametri'!$B$8*(AN1099+AM1099)))</f>
        <v>25876.385748806752</v>
      </c>
      <c r="AP1099" s="18">
        <f>IF($A1099&gt;'1-Input'!$B$26,AN1099,AN1099-MIN(MAX(AN1099,0),'P-Parametri'!$B$8*(AN1099+AM1099)))</f>
        <v>0</v>
      </c>
      <c r="AQ1099" s="18">
        <f>IF($A1099&gt;'1-Input'!$B$26,AQ1098,AQ1098-AL1099*(1-AK1099))</f>
        <v>-2.2737367544323206E-13</v>
      </c>
    </row>
    <row r="1100" spans="1:43">
      <c r="A1100" s="10">
        <f>42</f>
        <v>42</v>
      </c>
      <c r="B1100" s="11">
        <f>IF($A1100&gt;'1-Input'!$B$26,0,IF(G1099&lt;=0,0,MAX(0,(G1099-H1099)/G1099)))</f>
        <v>0.79450516532706839</v>
      </c>
      <c r="C1100" s="18">
        <f>IF($A1100&gt;'1-Input'!$B$26,0,(MAX(0,B1056-IF($A1100&gt;='1-Input'!$C$12,'1-Input'!$B$12,0))-MIN(MAX(F1099,0),MAX(0,B1056-IF($A1100&gt;='1-Input'!$C$12,'1-Input'!$B$12,0))))*(1/(1-'P-Parametri'!$B$6*B1100))+MIN(MAX(0,G1099-(MAX(0,B1056-IF($A1100&gt;='1-Input'!$C$12,'1-Input'!$B$12,0))-MIN(MAX(F1099,0),MAX(0,B1056-IF($A1100&gt;='1-Input'!$C$12,'1-Input'!$B$12,0))))*(1/(1-'P-Parametri'!$B$6*B1100))),MAX(0,2*B1056-(F1099-MIN(MAX(F1099,0),MAX(0,B1056-IF($A1100&gt;='1-Input'!$C$12,'1-Input'!$B$12,0)))))*(1/(1-'P-Parametri'!$B$6*B1100))))</f>
        <v>7182.9506818325499</v>
      </c>
      <c r="D1100" s="18">
        <f>IF($A1100&gt;'1-Input'!$B$26,F1099,(F1099-MAX(0,B1056-IF($A1100&gt;='1-Input'!$C$12,'1-Input'!$B$12,0))+C1100*(1-'P-Parametri'!$B$6*B1100))*(1+'1-Input'!$B$27))</f>
        <v>33242.0070309863</v>
      </c>
      <c r="E1100" s="18">
        <f>IF($A1100&gt;'1-Input'!$B$26,G1099,(G1099-C1100)*(1+'5-Roberta'!$C$4))</f>
        <v>64694.109736222745</v>
      </c>
      <c r="F1100" s="18">
        <f>IF($A1100&gt;'1-Input'!$B$26,D1100,D1100-'P-Parametri'!$B$8*(E1100+D1100)+MIN(MAX(E1100,0),'P-Parametri'!$B$8*(E1100+D1100)))</f>
        <v>33242.0070309863</v>
      </c>
      <c r="G1100" s="18">
        <f>IF($A1100&gt;'1-Input'!$B$26,E1100,E1100-MIN(MAX(E1100,0),'P-Parametri'!$B$8*(E1100+D1100)))</f>
        <v>64498.237502688324</v>
      </c>
      <c r="H1100" s="18">
        <f>IF($A1100&gt;'1-Input'!$B$26,H1099,H1099-C1100*(1-B1100))</f>
        <v>12907.09260636659</v>
      </c>
      <c r="I1100" s="11">
        <f>IF($A1100&gt;'1-Input'!$B$26,0,IF(N1099&lt;=0,0,MAX(0,(N1099-O1099)/N1099)))</f>
        <v>0</v>
      </c>
      <c r="J1100" s="18">
        <f>IF($A1100&gt;'1-Input'!$B$26,0,(MAX(0,I1056-IF($A1100&gt;='1-Input'!$C$12,'1-Input'!$B$12,0))-MIN(MAX(M1099,0),MAX(0,I1056-IF($A1100&gt;='1-Input'!$C$12,'1-Input'!$B$12,0))))*(1/(1-'P-Parametri'!$B$6*I1100))+MIN(MAX(0,N1099-(MAX(0,I1056-IF($A1100&gt;='1-Input'!$C$12,'1-Input'!$B$12,0))-MIN(MAX(M1099,0),MAX(0,I1056-IF($A1100&gt;='1-Input'!$C$12,'1-Input'!$B$12,0))))*(1/(1-'P-Parametri'!$B$6*I1100))),MAX(0,2*I1056-(M1099-MIN(MAX(M1099,0),MAX(0,I1056-IF($A1100&gt;='1-Input'!$C$12,'1-Input'!$B$12,0)))))*(1/(1-'P-Parametri'!$B$6*I1100))))</f>
        <v>10846.756992928691</v>
      </c>
      <c r="K1100" s="18">
        <f>IF($A1100&gt;'1-Input'!$B$26,M1099,(M1099-MAX(0,I1056-IF($A1100&gt;='1-Input'!$C$12,'1-Input'!$B$12,0))+J1100*(1-'P-Parametri'!$B$6*I1100))*(1+'1-Input'!$B$27))</f>
        <v>0</v>
      </c>
      <c r="L1100" s="18">
        <f>IF($A1100&gt;'1-Input'!$B$26,N1099,(N1099-J1100)*(1+'5-Roberta'!$C$4))</f>
        <v>-300251.87390168407</v>
      </c>
      <c r="M1100" s="18">
        <f>IF($A1100&gt;'1-Input'!$B$26,K1100,K1100-'P-Parametri'!$B$8*(L1100+K1100)+MIN(MAX(L1100,0),'P-Parametri'!$B$8*(L1100+K1100)))</f>
        <v>0</v>
      </c>
      <c r="N1100" s="18">
        <f>IF($A1100&gt;'1-Input'!$B$26,L1100,L1100-MIN(MAX(L1100,0),'P-Parametri'!$B$8*(L1100+K1100)))</f>
        <v>-299651.37015388068</v>
      </c>
      <c r="O1100" s="18">
        <f>IF($A1100&gt;'1-Input'!$B$26,O1099,O1099-J1100*(1-I1100))</f>
        <v>-220439.73382478132</v>
      </c>
      <c r="P1100" s="11">
        <f>IF($A1100&gt;'1-Input'!$B$26,0,IF(U1099&lt;=0,0,MAX(0,(U1099-V1099)/U1099)))</f>
        <v>0</v>
      </c>
      <c r="Q1100" s="18">
        <f>IF($A1100&gt;'1-Input'!$B$26,0,(MAX(0,P1056-IF($A1100&gt;='1-Input'!$C$12,'1-Input'!$B$12,0))-MIN(MAX(T1099,0),MAX(0,P1056-IF($A1100&gt;='1-Input'!$C$12,'1-Input'!$B$12,0))))*(1/(1-'P-Parametri'!$B$6*P1100))+MIN(MAX(0,U1099-(MAX(0,P1056-IF($A1100&gt;='1-Input'!$C$12,'1-Input'!$B$12,0))-MIN(MAX(T1099,0),MAX(0,P1056-IF($A1100&gt;='1-Input'!$C$12,'1-Input'!$B$12,0))))*(1/(1-'P-Parametri'!$B$6*P1100))),MAX(0,2*P1056-(T1099-MIN(MAX(T1099,0),MAX(0,P1056-IF($A1100&gt;='1-Input'!$C$12,'1-Input'!$B$12,0)))))*(1/(1-'P-Parametri'!$B$6*P1100))))</f>
        <v>0</v>
      </c>
      <c r="R1100" s="18">
        <f>IF($A1100&gt;'1-Input'!$B$26,T1099,(T1099-MAX(0,P1056-IF($A1100&gt;='1-Input'!$C$12,'1-Input'!$B$12,0))+Q1100*(1-'P-Parametri'!$B$6*P1100))*(1+'1-Input'!$B$27))</f>
        <v>10574.626292079376</v>
      </c>
      <c r="S1100" s="18">
        <f>IF($A1100&gt;'1-Input'!$B$26,U1099,(U1099-Q1100)*(1+'5-Roberta'!$C$4))</f>
        <v>0</v>
      </c>
      <c r="T1100" s="18">
        <f>IF($A1100&gt;'1-Input'!$B$26,R1100,R1100-'P-Parametri'!$B$8*(S1100+R1100)+MIN(MAX(S1100,0),'P-Parametri'!$B$8*(S1100+R1100)))</f>
        <v>10553.477039495217</v>
      </c>
      <c r="U1100" s="18">
        <f>IF($A1100&gt;'1-Input'!$B$26,S1100,S1100-MIN(MAX(S1100,0),'P-Parametri'!$B$8*(S1100+R1100)))</f>
        <v>0</v>
      </c>
      <c r="V1100" s="18">
        <f>IF($A1100&gt;'1-Input'!$B$26,V1099,V1099-Q1100*(1-P1100))</f>
        <v>0</v>
      </c>
      <c r="W1100" s="11">
        <f>IF($A1100&gt;'1-Input'!$B$26,0,IF(AB1099&lt;=0,0,MAX(0,(AB1099-AC1099)/AB1099)))</f>
        <v>0</v>
      </c>
      <c r="X1100" s="18">
        <f>IF($A1100&gt;'1-Input'!$B$26,0,(MAX(0,W1056-IF($A1100&gt;='1-Input'!$C$12,'1-Input'!$B$12,0))-MIN(MAX(AA1099,0),MAX(0,W1056-IF($A1100&gt;='1-Input'!$C$12,'1-Input'!$B$12,0))))*(1/(1-'P-Parametri'!$B$6*W1100))+MIN(MAX(0,AB1099-(MAX(0,W1056-IF($A1100&gt;='1-Input'!$C$12,'1-Input'!$B$12,0))-MIN(MAX(AA1099,0),MAX(0,W1056-IF($A1100&gt;='1-Input'!$C$12,'1-Input'!$B$12,0))))*(1/(1-'P-Parametri'!$B$6*W1100))),MAX(0,2*W1056-(AA1099-MIN(MAX(AA1099,0),MAX(0,W1056-IF($A1100&gt;='1-Input'!$C$12,'1-Input'!$B$12,0)))))*(1/(1-'P-Parametri'!$B$6*W1100))))</f>
        <v>0</v>
      </c>
      <c r="Y1100" s="18">
        <f>IF($A1100&gt;'1-Input'!$B$26,AA1099,(AA1099-MAX(0,W1056-IF($A1100&gt;='1-Input'!$C$12,'1-Input'!$B$12,0))+X1100*(1-'P-Parametri'!$B$6*W1100))*(1+'1-Input'!$B$27))</f>
        <v>18746.512622059145</v>
      </c>
      <c r="Z1100" s="18">
        <f>IF($A1100&gt;'1-Input'!$B$26,AB1099,(AB1099-X1100)*(1+'5-Roberta'!$C$4))</f>
        <v>0</v>
      </c>
      <c r="AA1100" s="18">
        <f>IF($A1100&gt;'1-Input'!$B$26,Y1100,Y1100-'P-Parametri'!$B$8*(Z1100+Y1100)+MIN(MAX(Z1100,0),'P-Parametri'!$B$8*(Z1100+Y1100)))</f>
        <v>18709.019596815026</v>
      </c>
      <c r="AB1100" s="18">
        <f>IF($A1100&gt;'1-Input'!$B$26,Z1100,Z1100-MIN(MAX(Z1100,0),'P-Parametri'!$B$8*(Z1100+Y1100)))</f>
        <v>0</v>
      </c>
      <c r="AC1100" s="18">
        <f>IF($A1100&gt;'1-Input'!$B$26,AC1099,AC1099-X1100*(1-W1100))</f>
        <v>-1.1368683772161603E-13</v>
      </c>
      <c r="AD1100" s="11">
        <f>IF($A1100&gt;'1-Input'!$B$26,0,IF(AI1099&lt;=0,0,MAX(0,(AI1099-AJ1099)/AI1099)))</f>
        <v>0</v>
      </c>
      <c r="AE1100" s="18">
        <f>IF($A1100&gt;'1-Input'!$B$26,0,(MAX(0,AD1056-IF($A1100&gt;='1-Input'!$C$12,'1-Input'!$B$12,0))-MIN(MAX(AH1099,0),MAX(0,AD1056-IF($A1100&gt;='1-Input'!$C$12,'1-Input'!$B$12,0))))*(1/(1-'P-Parametri'!$B$6*AD1100))+MIN(MAX(0,AI1099-(MAX(0,AD1056-IF($A1100&gt;='1-Input'!$C$12,'1-Input'!$B$12,0))-MIN(MAX(AH1099,0),MAX(0,AD1056-IF($A1100&gt;='1-Input'!$C$12,'1-Input'!$B$12,0))))*(1/(1-'P-Parametri'!$B$6*AD1100))),MAX(0,2*AD1056-(AH1099-MIN(MAX(AH1099,0),MAX(0,AD1056-IF($A1100&gt;='1-Input'!$C$12,'1-Input'!$B$12,0)))))*(1/(1-'P-Parametri'!$B$6*AD1100))))</f>
        <v>0</v>
      </c>
      <c r="AF1100" s="18">
        <f>IF($A1100&gt;'1-Input'!$B$26,AH1099,(AH1099-MAX(0,AD1056-IF($A1100&gt;='1-Input'!$C$12,'1-Input'!$B$12,0))+AE1100*(1-'P-Parametri'!$B$6*AD1100))*(1+'1-Input'!$B$27))</f>
        <v>19394.463308716171</v>
      </c>
      <c r="AG1100" s="18">
        <f>IF($A1100&gt;'1-Input'!$B$26,AI1099,(AI1099-AE1100)*(1+'5-Roberta'!$C$4))</f>
        <v>0</v>
      </c>
      <c r="AH1100" s="18">
        <f>IF($A1100&gt;'1-Input'!$B$26,AF1100,AF1100-'P-Parametri'!$B$8*(AG1100+AF1100)+MIN(MAX(AG1100,0),'P-Parametri'!$B$8*(AG1100+AF1100)))</f>
        <v>19355.674382098739</v>
      </c>
      <c r="AI1100" s="18">
        <f>IF($A1100&gt;'1-Input'!$B$26,AG1100,AG1100-MIN(MAX(AG1100,0),'P-Parametri'!$B$8*(AG1100+AF1100)))</f>
        <v>0</v>
      </c>
      <c r="AJ1100" s="18">
        <f>IF($A1100&gt;'1-Input'!$B$26,AJ1099,AJ1099-AE1100*(1-AD1100))</f>
        <v>0</v>
      </c>
      <c r="AK1100" s="11">
        <f>IF($A1100&gt;'1-Input'!$B$26,0,IF(AP1099&lt;=0,0,MAX(0,(AP1099-AQ1099)/AP1099)))</f>
        <v>0</v>
      </c>
      <c r="AL1100" s="18">
        <f>IF($A1100&gt;'1-Input'!$B$26,0,(MAX(0,AK1056-IF($A1100&gt;='1-Input'!$C$12,'1-Input'!$B$12,0))-MIN(MAX(AO1099,0),MAX(0,AK1056-IF($A1100&gt;='1-Input'!$C$12,'1-Input'!$B$12,0))))*(1/(1-'P-Parametri'!$B$6*AK1100))+MIN(MAX(0,AP1099-(MAX(0,AK1056-IF($A1100&gt;='1-Input'!$C$12,'1-Input'!$B$12,0))-MIN(MAX(AO1099,0),MAX(0,AK1056-IF($A1100&gt;='1-Input'!$C$12,'1-Input'!$B$12,0))))*(1/(1-'P-Parametri'!$B$6*AK1100))),MAX(0,2*AK1056-(AO1099-MIN(MAX(AO1099,0),MAX(0,AK1056-IF($A1100&gt;='1-Input'!$C$12,'1-Input'!$B$12,0)))))*(1/(1-'P-Parametri'!$B$6*AK1100))))</f>
        <v>0</v>
      </c>
      <c r="AM1100" s="18">
        <f>IF($A1100&gt;'1-Input'!$B$26,AO1099,(AO1099-MAX(0,AK1056-IF($A1100&gt;='1-Input'!$C$12,'1-Input'!$B$12,0))+AL1100*(1-'P-Parametri'!$B$6*AK1100))*(1+'1-Input'!$B$27))</f>
        <v>19391.5732796017</v>
      </c>
      <c r="AN1100" s="18">
        <f>IF($A1100&gt;'1-Input'!$B$26,AP1099,(AP1099-AL1100)*(1+'5-Roberta'!$C$4))</f>
        <v>0</v>
      </c>
      <c r="AO1100" s="18">
        <f>IF($A1100&gt;'1-Input'!$B$26,AM1100,AM1100-'P-Parametri'!$B$8*(AN1100+AM1100)+MIN(MAX(AN1100,0),'P-Parametri'!$B$8*(AN1100+AM1100)))</f>
        <v>19352.790133042497</v>
      </c>
      <c r="AP1100" s="18">
        <f>IF($A1100&gt;'1-Input'!$B$26,AN1100,AN1100-MIN(MAX(AN1100,0),'P-Parametri'!$B$8*(AN1100+AM1100)))</f>
        <v>0</v>
      </c>
      <c r="AQ1100" s="18">
        <f>IF($A1100&gt;'1-Input'!$B$26,AQ1099,AQ1099-AL1100*(1-AK1100))</f>
        <v>-2.2737367544323206E-13</v>
      </c>
    </row>
    <row r="1101" spans="1:43">
      <c r="A1101" s="10">
        <f>43</f>
        <v>43</v>
      </c>
      <c r="B1101" s="11">
        <f>IF($A1101&gt;'1-Input'!$B$26,0,IF(G1100&lt;=0,0,MAX(0,(G1100-H1100)/G1100)))</f>
        <v>0.79988456884843384</v>
      </c>
      <c r="C1101" s="18">
        <f>IF($A1101&gt;'1-Input'!$B$26,0,(MAX(0,B1056-IF($A1101&gt;='1-Input'!$C$12,'1-Input'!$B$12,0))-MIN(MAX(F1100,0),MAX(0,B1056-IF($A1101&gt;='1-Input'!$C$12,'1-Input'!$B$12,0))))*(1/(1-'P-Parametri'!$B$6*B1101))+MIN(MAX(0,G1100-(MAX(0,B1056-IF($A1101&gt;='1-Input'!$C$12,'1-Input'!$B$12,0))-MIN(MAX(F1100,0),MAX(0,B1056-IF($A1101&gt;='1-Input'!$C$12,'1-Input'!$B$12,0))))*(1/(1-'P-Parametri'!$B$6*B1101))),MAX(0,2*B1056-(F1100-MIN(MAX(F1100,0),MAX(0,B1056-IF($A1101&gt;='1-Input'!$C$12,'1-Input'!$B$12,0)))))*(1/(1-'P-Parametri'!$B$6*B1101))))</f>
        <v>7195.6350464353491</v>
      </c>
      <c r="D1101" s="18">
        <f>IF($A1101&gt;'1-Input'!$B$26,F1100,(F1100-MAX(0,B1056-IF($A1101&gt;='1-Input'!$C$12,'1-Input'!$B$12,0))+C1101*(1-'P-Parametri'!$B$6*B1101))*(1+'1-Input'!$B$27))</f>
        <v>33242.0070309863</v>
      </c>
      <c r="E1101" s="18">
        <f>IF($A1101&gt;'1-Input'!$B$26,G1100,(G1100-C1101)*(1+'5-Roberta'!$C$4))</f>
        <v>59021.680529940568</v>
      </c>
      <c r="F1101" s="18">
        <f>IF($A1101&gt;'1-Input'!$B$26,D1101,D1101-'P-Parametri'!$B$8*(E1101+D1101)+MIN(MAX(E1101,0),'P-Parametri'!$B$8*(E1101+D1101)))</f>
        <v>33242.0070309863</v>
      </c>
      <c r="G1101" s="18">
        <f>IF($A1101&gt;'1-Input'!$B$26,E1101,E1101-MIN(MAX(E1101,0),'P-Parametri'!$B$8*(E1101+D1101)))</f>
        <v>58837.153154818712</v>
      </c>
      <c r="H1101" s="18">
        <f>IF($A1101&gt;'1-Input'!$B$26,H1100,H1100-C1101*(1-B1101))</f>
        <v>11467.134996639861</v>
      </c>
      <c r="I1101" s="11">
        <f>IF($A1101&gt;'1-Input'!$B$26,0,IF(N1100&lt;=0,0,MAX(0,(N1100-O1100)/N1100)))</f>
        <v>0</v>
      </c>
      <c r="J1101" s="18">
        <f>IF($A1101&gt;'1-Input'!$B$26,0,(MAX(0,I1056-IF($A1101&gt;='1-Input'!$C$12,'1-Input'!$B$12,0))-MIN(MAX(M1100,0),MAX(0,I1056-IF($A1101&gt;='1-Input'!$C$12,'1-Input'!$B$12,0))))*(1/(1-'P-Parametri'!$B$6*I1101))+MIN(MAX(0,N1100-(MAX(0,I1056-IF($A1101&gt;='1-Input'!$C$12,'1-Input'!$B$12,0))-MIN(MAX(M1100,0),MAX(0,I1056-IF($A1101&gt;='1-Input'!$C$12,'1-Input'!$B$12,0))))*(1/(1-'P-Parametri'!$B$6*I1101))),MAX(0,2*I1056-(M1100-MIN(MAX(M1100,0),MAX(0,I1056-IF($A1101&gt;='1-Input'!$C$12,'1-Input'!$B$12,0)))))*(1/(1-'P-Parametri'!$B$6*I1101))))</f>
        <v>10846.756992928691</v>
      </c>
      <c r="K1101" s="18">
        <f>IF($A1101&gt;'1-Input'!$B$26,M1100,(M1100-MAX(0,I1056-IF($A1101&gt;='1-Input'!$C$12,'1-Input'!$B$12,0))+J1101*(1-'P-Parametri'!$B$6*I1101))*(1+'1-Input'!$B$27))</f>
        <v>0</v>
      </c>
      <c r="L1101" s="18">
        <f>IF($A1101&gt;'1-Input'!$B$26,N1100,(N1100-J1101)*(1+'5-Roberta'!$C$4))</f>
        <v>-319813.07096121367</v>
      </c>
      <c r="M1101" s="18">
        <f>IF($A1101&gt;'1-Input'!$B$26,K1101,K1101-'P-Parametri'!$B$8*(L1101+K1101)+MIN(MAX(L1101,0),'P-Parametri'!$B$8*(L1101+K1101)))</f>
        <v>0</v>
      </c>
      <c r="N1101" s="18">
        <f>IF($A1101&gt;'1-Input'!$B$26,L1101,L1101-MIN(MAX(L1101,0),'P-Parametri'!$B$8*(L1101+K1101)))</f>
        <v>-319173.44481929124</v>
      </c>
      <c r="O1101" s="18">
        <f>IF($A1101&gt;'1-Input'!$B$26,O1100,O1100-J1101*(1-I1101))</f>
        <v>-231286.49081771</v>
      </c>
      <c r="P1101" s="11">
        <f>IF($A1101&gt;'1-Input'!$B$26,0,IF(U1100&lt;=0,0,MAX(0,(U1100-V1100)/U1100)))</f>
        <v>0</v>
      </c>
      <c r="Q1101" s="18">
        <f>IF($A1101&gt;'1-Input'!$B$26,0,(MAX(0,P1056-IF($A1101&gt;='1-Input'!$C$12,'1-Input'!$B$12,0))-MIN(MAX(T1100,0),MAX(0,P1056-IF($A1101&gt;='1-Input'!$C$12,'1-Input'!$B$12,0))))*(1/(1-'P-Parametri'!$B$6*P1101))+MIN(MAX(0,U1100-(MAX(0,P1056-IF($A1101&gt;='1-Input'!$C$12,'1-Input'!$B$12,0))-MIN(MAX(T1100,0),MAX(0,P1056-IF($A1101&gt;='1-Input'!$C$12,'1-Input'!$B$12,0))))*(1/(1-'P-Parametri'!$B$6*P1101))),MAX(0,2*P1056-(T1100-MIN(MAX(T1100,0),MAX(0,P1056-IF($A1101&gt;='1-Input'!$C$12,'1-Input'!$B$12,0)))))*(1/(1-'P-Parametri'!$B$6*P1101))))</f>
        <v>0</v>
      </c>
      <c r="R1101" s="18">
        <f>IF($A1101&gt;'1-Input'!$B$26,T1100,(T1100-MAX(0,P1056-IF($A1101&gt;='1-Input'!$C$12,'1-Input'!$B$12,0))+Q1101*(1-'P-Parametri'!$B$6*P1101))*(1+'1-Input'!$B$27))</f>
        <v>3999.5726189444563</v>
      </c>
      <c r="S1101" s="18">
        <f>IF($A1101&gt;'1-Input'!$B$26,U1100,(U1100-Q1101)*(1+'5-Roberta'!$C$4))</f>
        <v>0</v>
      </c>
      <c r="T1101" s="18">
        <f>IF($A1101&gt;'1-Input'!$B$26,R1101,R1101-'P-Parametri'!$B$8*(S1101+R1101)+MIN(MAX(S1101,0),'P-Parametri'!$B$8*(S1101+R1101)))</f>
        <v>3991.5734737065673</v>
      </c>
      <c r="U1101" s="18">
        <f>IF($A1101&gt;'1-Input'!$B$26,S1101,S1101-MIN(MAX(S1101,0),'P-Parametri'!$B$8*(S1101+R1101)))</f>
        <v>0</v>
      </c>
      <c r="V1101" s="18">
        <f>IF($A1101&gt;'1-Input'!$B$26,V1100,V1100-Q1101*(1-P1101))</f>
        <v>0</v>
      </c>
      <c r="W1101" s="11">
        <f>IF($A1101&gt;'1-Input'!$B$26,0,IF(AB1100&lt;=0,0,MAX(0,(AB1100-AC1100)/AB1100)))</f>
        <v>0</v>
      </c>
      <c r="X1101" s="18">
        <f>IF($A1101&gt;'1-Input'!$B$26,0,(MAX(0,W1056-IF($A1101&gt;='1-Input'!$C$12,'1-Input'!$B$12,0))-MIN(MAX(AA1100,0),MAX(0,W1056-IF($A1101&gt;='1-Input'!$C$12,'1-Input'!$B$12,0))))*(1/(1-'P-Parametri'!$B$6*W1101))+MIN(MAX(0,AB1100-(MAX(0,W1056-IF($A1101&gt;='1-Input'!$C$12,'1-Input'!$B$12,0))-MIN(MAX(AA1100,0),MAX(0,W1056-IF($A1101&gt;='1-Input'!$C$12,'1-Input'!$B$12,0))))*(1/(1-'P-Parametri'!$B$6*W1101))),MAX(0,2*W1056-(AA1100-MIN(MAX(AA1100,0),MAX(0,W1056-IF($A1101&gt;='1-Input'!$C$12,'1-Input'!$B$12,0)))))*(1/(1-'P-Parametri'!$B$6*W1101))))</f>
        <v>0</v>
      </c>
      <c r="Y1101" s="18">
        <f>IF($A1101&gt;'1-Input'!$B$26,AA1100,(AA1100-MAX(0,W1056-IF($A1101&gt;='1-Input'!$C$12,'1-Input'!$B$12,0))+X1101*(1-'P-Parametri'!$B$6*W1101))*(1+'1-Input'!$B$27))</f>
        <v>12241.047535194422</v>
      </c>
      <c r="Z1101" s="18">
        <f>IF($A1101&gt;'1-Input'!$B$26,AB1100,(AB1100-X1101)*(1+'5-Roberta'!$C$4))</f>
        <v>0</v>
      </c>
      <c r="AA1101" s="18">
        <f>IF($A1101&gt;'1-Input'!$B$26,Y1101,Y1101-'P-Parametri'!$B$8*(Z1101+Y1101)+MIN(MAX(Z1101,0),'P-Parametri'!$B$8*(Z1101+Y1101)))</f>
        <v>12216.565440124034</v>
      </c>
      <c r="AB1101" s="18">
        <f>IF($A1101&gt;'1-Input'!$B$26,Z1101,Z1101-MIN(MAX(Z1101,0),'P-Parametri'!$B$8*(Z1101+Y1101)))</f>
        <v>0</v>
      </c>
      <c r="AC1101" s="18">
        <f>IF($A1101&gt;'1-Input'!$B$26,AC1100,AC1100-X1101*(1-W1101))</f>
        <v>-1.1368683772161603E-13</v>
      </c>
      <c r="AD1101" s="11">
        <f>IF($A1101&gt;'1-Input'!$B$26,0,IF(AI1100&lt;=0,0,MAX(0,(AI1100-AJ1100)/AI1100)))</f>
        <v>0</v>
      </c>
      <c r="AE1101" s="18">
        <f>IF($A1101&gt;'1-Input'!$B$26,0,(MAX(0,AD1056-IF($A1101&gt;='1-Input'!$C$12,'1-Input'!$B$12,0))-MIN(MAX(AH1100,0),MAX(0,AD1056-IF($A1101&gt;='1-Input'!$C$12,'1-Input'!$B$12,0))))*(1/(1-'P-Parametri'!$B$6*AD1101))+MIN(MAX(0,AI1100-(MAX(0,AD1056-IF($A1101&gt;='1-Input'!$C$12,'1-Input'!$B$12,0))-MIN(MAX(AH1100,0),MAX(0,AD1056-IF($A1101&gt;='1-Input'!$C$12,'1-Input'!$B$12,0))))*(1/(1-'P-Parametri'!$B$6*AD1101))),MAX(0,2*AD1056-(AH1100-MIN(MAX(AH1100,0),MAX(0,AD1056-IF($A1101&gt;='1-Input'!$C$12,'1-Input'!$B$12,0)))))*(1/(1-'P-Parametri'!$B$6*AD1101))))</f>
        <v>0</v>
      </c>
      <c r="AF1101" s="18">
        <f>IF($A1101&gt;'1-Input'!$B$26,AH1100,(AH1100-MAX(0,AD1056-IF($A1101&gt;='1-Input'!$C$12,'1-Input'!$B$12,0))+AE1101*(1-'P-Parametri'!$B$6*AD1101))*(1+'1-Input'!$B$27))</f>
        <v>12894.376626166373</v>
      </c>
      <c r="AG1101" s="18">
        <f>IF($A1101&gt;'1-Input'!$B$26,AI1100,(AI1100-AE1101)*(1+'5-Roberta'!$C$4))</f>
        <v>0</v>
      </c>
      <c r="AH1101" s="18">
        <f>IF($A1101&gt;'1-Input'!$B$26,AF1101,AF1101-'P-Parametri'!$B$8*(AG1101+AF1101)+MIN(MAX(AG1101,0),'P-Parametri'!$B$8*(AG1101+AF1101)))</f>
        <v>12868.58787291404</v>
      </c>
      <c r="AI1101" s="18">
        <f>IF($A1101&gt;'1-Input'!$B$26,AG1101,AG1101-MIN(MAX(AG1101,0),'P-Parametri'!$B$8*(AG1101+AF1101)))</f>
        <v>0</v>
      </c>
      <c r="AJ1101" s="18">
        <f>IF($A1101&gt;'1-Input'!$B$26,AJ1100,AJ1100-AE1101*(1-AD1101))</f>
        <v>0</v>
      </c>
      <c r="AK1101" s="11">
        <f>IF($A1101&gt;'1-Input'!$B$26,0,IF(AP1100&lt;=0,0,MAX(0,(AP1100-AQ1100)/AP1100)))</f>
        <v>0</v>
      </c>
      <c r="AL1101" s="18">
        <f>IF($A1101&gt;'1-Input'!$B$26,0,(MAX(0,AK1056-IF($A1101&gt;='1-Input'!$C$12,'1-Input'!$B$12,0))-MIN(MAX(AO1100,0),MAX(0,AK1056-IF($A1101&gt;='1-Input'!$C$12,'1-Input'!$B$12,0))))*(1/(1-'P-Parametri'!$B$6*AK1101))+MIN(MAX(0,AP1100-(MAX(0,AK1056-IF($A1101&gt;='1-Input'!$C$12,'1-Input'!$B$12,0))-MIN(MAX(AO1100,0),MAX(0,AK1056-IF($A1101&gt;='1-Input'!$C$12,'1-Input'!$B$12,0))))*(1/(1-'P-Parametri'!$B$6*AK1101))),MAX(0,2*AK1056-(AO1100-MIN(MAX(AO1100,0),MAX(0,AK1056-IF($A1101&gt;='1-Input'!$C$12,'1-Input'!$B$12,0)))))*(1/(1-'P-Parametri'!$B$6*AK1101))))</f>
        <v>0</v>
      </c>
      <c r="AM1101" s="18">
        <f>IF($A1101&gt;'1-Input'!$B$26,AO1100,(AO1100-MAX(0,AK1056-IF($A1101&gt;='1-Input'!$C$12,'1-Input'!$B$12,0))+AL1101*(1-'P-Parametri'!$B$6*AK1101))*(1+'1-Input'!$B$27))</f>
        <v>12891.462608054197</v>
      </c>
      <c r="AN1101" s="18">
        <f>IF($A1101&gt;'1-Input'!$B$26,AP1100,(AP1100-AL1101)*(1+'5-Roberta'!$C$4))</f>
        <v>0</v>
      </c>
      <c r="AO1101" s="18">
        <f>IF($A1101&gt;'1-Input'!$B$26,AM1101,AM1101-'P-Parametri'!$B$8*(AN1101+AM1101)+MIN(MAX(AN1101,0),'P-Parametri'!$B$8*(AN1101+AM1101)))</f>
        <v>12865.679682838088</v>
      </c>
      <c r="AP1101" s="18">
        <f>IF($A1101&gt;'1-Input'!$B$26,AN1101,AN1101-MIN(MAX(AN1101,0),'P-Parametri'!$B$8*(AN1101+AM1101)))</f>
        <v>0</v>
      </c>
      <c r="AQ1101" s="18">
        <f>IF($A1101&gt;'1-Input'!$B$26,AQ1100,AQ1100-AL1101*(1-AK1101))</f>
        <v>-2.2737367544323206E-13</v>
      </c>
    </row>
    <row r="1102" spans="1:43">
      <c r="A1102" s="10">
        <f>44</f>
        <v>44</v>
      </c>
      <c r="B1102" s="11">
        <f>IF($A1102&gt;'1-Input'!$B$26,0,IF(G1101&lt;=0,0,MAX(0,(G1101-H1101)/G1101)))</f>
        <v>0.80510384371476484</v>
      </c>
      <c r="C1102" s="18">
        <f>IF($A1102&gt;'1-Input'!$B$26,0,(MAX(0,B1056-IF($A1102&gt;='1-Input'!$C$12,'1-Input'!$B$12,0))-MIN(MAX(F1101,0),MAX(0,B1056-IF($A1102&gt;='1-Input'!$C$12,'1-Input'!$B$12,0))))*(1/(1-'P-Parametri'!$B$6*B1102))+MIN(MAX(0,G1101-(MAX(0,B1056-IF($A1102&gt;='1-Input'!$C$12,'1-Input'!$B$12,0))-MIN(MAX(F1101,0),MAX(0,B1056-IF($A1102&gt;='1-Input'!$C$12,'1-Input'!$B$12,0))))*(1/(1-'P-Parametri'!$B$6*B1102))),MAX(0,2*B1056-(F1101-MIN(MAX(F1101,0),MAX(0,B1056-IF($A1102&gt;='1-Input'!$C$12,'1-Input'!$B$12,0)))))*(1/(1-'P-Parametri'!$B$6*B1102))))</f>
        <v>7207.9847273399801</v>
      </c>
      <c r="D1102" s="18">
        <f>IF($A1102&gt;'1-Input'!$B$26,F1101,(F1101-MAX(0,B1056-IF($A1102&gt;='1-Input'!$C$12,'1-Input'!$B$12,0))+C1102*(1-'P-Parametri'!$B$6*B1102))*(1+'1-Input'!$B$27))</f>
        <v>33242.0070309863</v>
      </c>
      <c r="E1102" s="18">
        <f>IF($A1102&gt;'1-Input'!$B$26,G1101,(G1101-C1102)*(1+'5-Roberta'!$C$4))</f>
        <v>53178.043480303095</v>
      </c>
      <c r="F1102" s="18">
        <f>IF($A1102&gt;'1-Input'!$B$26,D1102,D1102-'P-Parametri'!$B$8*(E1102+D1102)+MIN(MAX(E1102,0),'P-Parametri'!$B$8*(E1102+D1102)))</f>
        <v>33242.0070309863</v>
      </c>
      <c r="G1102" s="18">
        <f>IF($A1102&gt;'1-Input'!$B$26,E1102,E1102-MIN(MAX(E1102,0),'P-Parametri'!$B$8*(E1102+D1102)))</f>
        <v>53005.203379280516</v>
      </c>
      <c r="H1102" s="18">
        <f>IF($A1102&gt;'1-Input'!$B$26,H1101,H1101-C1102*(1-B1102))</f>
        <v>10062.32647871862</v>
      </c>
      <c r="I1102" s="11">
        <f>IF($A1102&gt;'1-Input'!$B$26,0,IF(N1101&lt;=0,0,MAX(0,(N1101-O1101)/N1101)))</f>
        <v>0</v>
      </c>
      <c r="J1102" s="18">
        <f>IF($A1102&gt;'1-Input'!$B$26,0,(MAX(0,I1056-IF($A1102&gt;='1-Input'!$C$12,'1-Input'!$B$12,0))-MIN(MAX(M1101,0),MAX(0,I1056-IF($A1102&gt;='1-Input'!$C$12,'1-Input'!$B$12,0))))*(1/(1-'P-Parametri'!$B$6*I1102))+MIN(MAX(0,N1101-(MAX(0,I1056-IF($A1102&gt;='1-Input'!$C$12,'1-Input'!$B$12,0))-MIN(MAX(M1101,0),MAX(0,I1056-IF($A1102&gt;='1-Input'!$C$12,'1-Input'!$B$12,0))))*(1/(1-'P-Parametri'!$B$6*I1102))),MAX(0,2*I1056-(M1101-MIN(MAX(M1101,0),MAX(0,I1056-IF($A1102&gt;='1-Input'!$C$12,'1-Input'!$B$12,0)))))*(1/(1-'P-Parametri'!$B$6*I1102))))</f>
        <v>10846.756992928691</v>
      </c>
      <c r="K1102" s="18">
        <f>IF($A1102&gt;'1-Input'!$B$26,M1101,(M1101-MAX(0,I1056-IF($A1102&gt;='1-Input'!$C$12,'1-Input'!$B$12,0))+J1102*(1-'P-Parametri'!$B$6*I1102))*(1+'1-Input'!$B$27))</f>
        <v>0</v>
      </c>
      <c r="L1102" s="18">
        <f>IF($A1102&gt;'1-Input'!$B$26,N1101,(N1101-J1102)*(1+'5-Roberta'!$C$4))</f>
        <v>-339920.80786658655</v>
      </c>
      <c r="M1102" s="18">
        <f>IF($A1102&gt;'1-Input'!$B$26,K1102,K1102-'P-Parametri'!$B$8*(L1102+K1102)+MIN(MAX(L1102,0),'P-Parametri'!$B$8*(L1102+K1102)))</f>
        <v>0</v>
      </c>
      <c r="N1102" s="18">
        <f>IF($A1102&gt;'1-Input'!$B$26,L1102,L1102-MIN(MAX(L1102,0),'P-Parametri'!$B$8*(L1102+K1102)))</f>
        <v>-339240.96625085338</v>
      </c>
      <c r="O1102" s="18">
        <f>IF($A1102&gt;'1-Input'!$B$26,O1101,O1101-J1102*(1-I1102))</f>
        <v>-242133.24781063868</v>
      </c>
      <c r="P1102" s="11">
        <f>IF($A1102&gt;'1-Input'!$B$26,0,IF(U1101&lt;=0,0,MAX(0,(U1101-V1101)/U1101)))</f>
        <v>0</v>
      </c>
      <c r="Q1102" s="18">
        <f>IF($A1102&gt;'1-Input'!$B$26,0,(MAX(0,P1056-IF($A1102&gt;='1-Input'!$C$12,'1-Input'!$B$12,0))-MIN(MAX(T1101,0),MAX(0,P1056-IF($A1102&gt;='1-Input'!$C$12,'1-Input'!$B$12,0))))*(1/(1-'P-Parametri'!$B$6*P1102))+MIN(MAX(0,U1101-(MAX(0,P1056-IF($A1102&gt;='1-Input'!$C$12,'1-Input'!$B$12,0))-MIN(MAX(T1101,0),MAX(0,P1056-IF($A1102&gt;='1-Input'!$C$12,'1-Input'!$B$12,0))))*(1/(1-'P-Parametri'!$B$6*P1102))),MAX(0,2*P1056-(T1101-MIN(MAX(T1101,0),MAX(0,P1056-IF($A1102&gt;='1-Input'!$C$12,'1-Input'!$B$12,0)))))*(1/(1-'P-Parametri'!$B$6*P1102))))</f>
        <v>2547.8804636765904</v>
      </c>
      <c r="R1102" s="18">
        <f>IF($A1102&gt;'1-Input'!$B$26,T1101,(T1101-MAX(0,P1056-IF($A1102&gt;='1-Input'!$C$12,'1-Input'!$B$12,0))+Q1102*(1-'P-Parametri'!$B$6*P1102))*(1+'1-Input'!$B$27))</f>
        <v>0</v>
      </c>
      <c r="S1102" s="18">
        <f>IF($A1102&gt;'1-Input'!$B$26,U1101,(U1101-Q1102)*(1+'5-Roberta'!$C$4))</f>
        <v>-2624.316877586888</v>
      </c>
      <c r="T1102" s="18">
        <f>IF($A1102&gt;'1-Input'!$B$26,R1102,R1102-'P-Parametri'!$B$8*(S1102+R1102)+MIN(MAX(S1102,0),'P-Parametri'!$B$8*(S1102+R1102)))</f>
        <v>0</v>
      </c>
      <c r="U1102" s="18">
        <f>IF($A1102&gt;'1-Input'!$B$26,S1102,S1102-MIN(MAX(S1102,0),'P-Parametri'!$B$8*(S1102+R1102)))</f>
        <v>-2619.0682438317144</v>
      </c>
      <c r="V1102" s="18">
        <f>IF($A1102&gt;'1-Input'!$B$26,V1101,V1101-Q1102*(1-P1102))</f>
        <v>-2547.8804636765904</v>
      </c>
      <c r="W1102" s="11">
        <f>IF($A1102&gt;'1-Input'!$B$26,0,IF(AB1101&lt;=0,0,MAX(0,(AB1101-AC1101)/AB1101)))</f>
        <v>0</v>
      </c>
      <c r="X1102" s="18">
        <f>IF($A1102&gt;'1-Input'!$B$26,0,(MAX(0,W1056-IF($A1102&gt;='1-Input'!$C$12,'1-Input'!$B$12,0))-MIN(MAX(AA1101,0),MAX(0,W1056-IF($A1102&gt;='1-Input'!$C$12,'1-Input'!$B$12,0))))*(1/(1-'P-Parametri'!$B$6*W1102))+MIN(MAX(0,AB1101-(MAX(0,W1056-IF($A1102&gt;='1-Input'!$C$12,'1-Input'!$B$12,0))-MIN(MAX(AA1101,0),MAX(0,W1056-IF($A1102&gt;='1-Input'!$C$12,'1-Input'!$B$12,0))))*(1/(1-'P-Parametri'!$B$6*W1102))),MAX(0,2*W1056-(AA1101-MIN(MAX(AA1101,0),MAX(0,W1056-IF($A1102&gt;='1-Input'!$C$12,'1-Input'!$B$12,0)))))*(1/(1-'P-Parametri'!$B$6*W1102))))</f>
        <v>0</v>
      </c>
      <c r="Y1102" s="18">
        <f>IF($A1102&gt;'1-Input'!$B$26,AA1101,(AA1101-MAX(0,W1056-IF($A1102&gt;='1-Input'!$C$12,'1-Input'!$B$12,0))+X1102*(1-'P-Parametri'!$B$6*W1102))*(1+'1-Input'!$B$27))</f>
        <v>5771.9662134675182</v>
      </c>
      <c r="Z1102" s="18">
        <f>IF($A1102&gt;'1-Input'!$B$26,AB1101,(AB1101-X1102)*(1+'5-Roberta'!$C$4))</f>
        <v>0</v>
      </c>
      <c r="AA1102" s="18">
        <f>IF($A1102&gt;'1-Input'!$B$26,Y1102,Y1102-'P-Parametri'!$B$8*(Z1102+Y1102)+MIN(MAX(Z1102,0),'P-Parametri'!$B$8*(Z1102+Y1102)))</f>
        <v>5760.4222810405836</v>
      </c>
      <c r="AB1102" s="18">
        <f>IF($A1102&gt;'1-Input'!$B$26,Z1102,Z1102-MIN(MAX(Z1102,0),'P-Parametri'!$B$8*(Z1102+Y1102)))</f>
        <v>0</v>
      </c>
      <c r="AC1102" s="18">
        <f>IF($A1102&gt;'1-Input'!$B$26,AC1101,AC1101-X1102*(1-W1102))</f>
        <v>-1.1368683772161603E-13</v>
      </c>
      <c r="AD1102" s="11">
        <f>IF($A1102&gt;'1-Input'!$B$26,0,IF(AI1101&lt;=0,0,MAX(0,(AI1101-AJ1101)/AI1101)))</f>
        <v>0</v>
      </c>
      <c r="AE1102" s="18">
        <f>IF($A1102&gt;'1-Input'!$B$26,0,(MAX(0,AD1056-IF($A1102&gt;='1-Input'!$C$12,'1-Input'!$B$12,0))-MIN(MAX(AH1101,0),MAX(0,AD1056-IF($A1102&gt;='1-Input'!$C$12,'1-Input'!$B$12,0))))*(1/(1-'P-Parametri'!$B$6*AD1102))+MIN(MAX(0,AI1101-(MAX(0,AD1056-IF($A1102&gt;='1-Input'!$C$12,'1-Input'!$B$12,0))-MIN(MAX(AH1101,0),MAX(0,AD1056-IF($A1102&gt;='1-Input'!$C$12,'1-Input'!$B$12,0))))*(1/(1-'P-Parametri'!$B$6*AD1102))),MAX(0,2*AD1056-(AH1101-MIN(MAX(AH1101,0),MAX(0,AD1056-IF($A1102&gt;='1-Input'!$C$12,'1-Input'!$B$12,0)))))*(1/(1-'P-Parametri'!$B$6*AD1102))))</f>
        <v>0</v>
      </c>
      <c r="AF1102" s="18">
        <f>IF($A1102&gt;'1-Input'!$B$26,AH1101,(AH1101-MAX(0,AD1056-IF($A1102&gt;='1-Input'!$C$12,'1-Input'!$B$12,0))+AE1102*(1-'P-Parametri'!$B$6*AD1102))*(1+'1-Input'!$B$27))</f>
        <v>6430.6436284147385</v>
      </c>
      <c r="AG1102" s="18">
        <f>IF($A1102&gt;'1-Input'!$B$26,AI1101,(AI1101-AE1102)*(1+'5-Roberta'!$C$4))</f>
        <v>0</v>
      </c>
      <c r="AH1102" s="18">
        <f>IF($A1102&gt;'1-Input'!$B$26,AF1102,AF1102-'P-Parametri'!$B$8*(AG1102+AF1102)+MIN(MAX(AG1102,0),'P-Parametri'!$B$8*(AG1102+AF1102)))</f>
        <v>6417.7823411579093</v>
      </c>
      <c r="AI1102" s="18">
        <f>IF($A1102&gt;'1-Input'!$B$26,AG1102,AG1102-MIN(MAX(AG1102,0),'P-Parametri'!$B$8*(AG1102+AF1102)))</f>
        <v>0</v>
      </c>
      <c r="AJ1102" s="18">
        <f>IF($A1102&gt;'1-Input'!$B$26,AJ1101,AJ1101-AE1102*(1-AD1102))</f>
        <v>0</v>
      </c>
      <c r="AK1102" s="11">
        <f>IF($A1102&gt;'1-Input'!$B$26,0,IF(AP1101&lt;=0,0,MAX(0,(AP1101-AQ1101)/AP1101)))</f>
        <v>0</v>
      </c>
      <c r="AL1102" s="18">
        <f>IF($A1102&gt;'1-Input'!$B$26,0,(MAX(0,AK1056-IF($A1102&gt;='1-Input'!$C$12,'1-Input'!$B$12,0))-MIN(MAX(AO1101,0),MAX(0,AK1056-IF($A1102&gt;='1-Input'!$C$12,'1-Input'!$B$12,0))))*(1/(1-'P-Parametri'!$B$6*AK1102))+MIN(MAX(0,AP1101-(MAX(0,AK1056-IF($A1102&gt;='1-Input'!$C$12,'1-Input'!$B$12,0))-MIN(MAX(AO1101,0),MAX(0,AK1056-IF($A1102&gt;='1-Input'!$C$12,'1-Input'!$B$12,0))))*(1/(1-'P-Parametri'!$B$6*AK1102))),MAX(0,2*AK1056-(AO1101-MIN(MAX(AO1101,0),MAX(0,AK1056-IF($A1102&gt;='1-Input'!$C$12,'1-Input'!$B$12,0)))))*(1/(1-'P-Parametri'!$B$6*AK1102))))</f>
        <v>0</v>
      </c>
      <c r="AM1102" s="18">
        <f>IF($A1102&gt;'1-Input'!$B$26,AO1101,(AO1101-MAX(0,AK1056-IF($A1102&gt;='1-Input'!$C$12,'1-Input'!$B$12,0))+AL1102*(1-'P-Parametri'!$B$6*AK1102))*(1+'1-Input'!$B$27))</f>
        <v>6427.7057554705234</v>
      </c>
      <c r="AN1102" s="18">
        <f>IF($A1102&gt;'1-Input'!$B$26,AP1101,(AP1101-AL1102)*(1+'5-Roberta'!$C$4))</f>
        <v>0</v>
      </c>
      <c r="AO1102" s="18">
        <f>IF($A1102&gt;'1-Input'!$B$26,AM1102,AM1102-'P-Parametri'!$B$8*(AN1102+AM1102)+MIN(MAX(AN1102,0),'P-Parametri'!$B$8*(AN1102+AM1102)))</f>
        <v>6414.8503439595825</v>
      </c>
      <c r="AP1102" s="18">
        <f>IF($A1102&gt;'1-Input'!$B$26,AN1102,AN1102-MIN(MAX(AN1102,0),'P-Parametri'!$B$8*(AN1102+AM1102)))</f>
        <v>0</v>
      </c>
      <c r="AQ1102" s="18">
        <f>IF($A1102&gt;'1-Input'!$B$26,AQ1101,AQ1101-AL1102*(1-AK1102))</f>
        <v>-2.2737367544323206E-13</v>
      </c>
    </row>
    <row r="1103" spans="1:43">
      <c r="A1103" s="10">
        <f>45</f>
        <v>45</v>
      </c>
      <c r="B1103" s="11">
        <f>IF($A1103&gt;'1-Input'!$B$26,0,IF(G1102&lt;=0,0,MAX(0,(G1102-H1102)/G1102)))</f>
        <v>0.810163421000061</v>
      </c>
      <c r="C1103" s="18">
        <f>IF($A1103&gt;'1-Input'!$B$26,0,(MAX(0,B1056-IF($A1103&gt;='1-Input'!$C$12,'1-Input'!$B$12,0))-MIN(MAX(F1102,0),MAX(0,B1056-IF($A1103&gt;='1-Input'!$C$12,'1-Input'!$B$12,0))))*(1/(1-'P-Parametri'!$B$6*B1103))+MIN(MAX(0,G1102-(MAX(0,B1056-IF($A1103&gt;='1-Input'!$C$12,'1-Input'!$B$12,0))-MIN(MAX(F1102,0),MAX(0,B1056-IF($A1103&gt;='1-Input'!$C$12,'1-Input'!$B$12,0))))*(1/(1-'P-Parametri'!$B$6*B1103))),MAX(0,2*B1056-(F1102-MIN(MAX(F1102,0),MAX(0,B1056-IF($A1103&gt;='1-Input'!$C$12,'1-Input'!$B$12,0)))))*(1/(1-'P-Parametri'!$B$6*B1103))))</f>
        <v>7219.9970695058355</v>
      </c>
      <c r="D1103" s="18">
        <f>IF($A1103&gt;'1-Input'!$B$26,F1102,(F1102-MAX(0,B1056-IF($A1103&gt;='1-Input'!$C$12,'1-Input'!$B$12,0))+C1103*(1-'P-Parametri'!$B$6*B1103))*(1+'1-Input'!$B$27))</f>
        <v>33242.0070309863</v>
      </c>
      <c r="E1103" s="18">
        <f>IF($A1103&gt;'1-Input'!$B$26,G1102,(G1102-C1103)*(1+'5-Roberta'!$C$4))</f>
        <v>47158.762499067918</v>
      </c>
      <c r="F1103" s="18">
        <f>IF($A1103&gt;'1-Input'!$B$26,D1103,D1103-'P-Parametri'!$B$8*(E1103+D1103)+MIN(MAX(E1103,0),'P-Parametri'!$B$8*(E1103+D1103)))</f>
        <v>33242.0070309863</v>
      </c>
      <c r="G1103" s="18">
        <f>IF($A1103&gt;'1-Input'!$B$26,E1103,E1103-MIN(MAX(E1103,0),'P-Parametri'!$B$8*(E1103+D1103)))</f>
        <v>46997.960960007811</v>
      </c>
      <c r="H1103" s="18">
        <f>IF($A1103&gt;'1-Input'!$B$26,H1102,H1102-C1103*(1-B1103))</f>
        <v>8691.7069346540466</v>
      </c>
      <c r="I1103" s="11">
        <f>IF($A1103&gt;'1-Input'!$B$26,0,IF(N1102&lt;=0,0,MAX(0,(N1102-O1102)/N1102)))</f>
        <v>0</v>
      </c>
      <c r="J1103" s="18">
        <f>IF($A1103&gt;'1-Input'!$B$26,0,(MAX(0,I1056-IF($A1103&gt;='1-Input'!$C$12,'1-Input'!$B$12,0))-MIN(MAX(M1102,0),MAX(0,I1056-IF($A1103&gt;='1-Input'!$C$12,'1-Input'!$B$12,0))))*(1/(1-'P-Parametri'!$B$6*I1103))+MIN(MAX(0,N1102-(MAX(0,I1056-IF($A1103&gt;='1-Input'!$C$12,'1-Input'!$B$12,0))-MIN(MAX(M1102,0),MAX(0,I1056-IF($A1103&gt;='1-Input'!$C$12,'1-Input'!$B$12,0))))*(1/(1-'P-Parametri'!$B$6*I1103))),MAX(0,2*I1056-(M1102-MIN(MAX(M1102,0),MAX(0,I1056-IF($A1103&gt;='1-Input'!$C$12,'1-Input'!$B$12,0)))))*(1/(1-'P-Parametri'!$B$6*I1103))))</f>
        <v>10846.756992928691</v>
      </c>
      <c r="K1103" s="18">
        <f>IF($A1103&gt;'1-Input'!$B$26,M1102,(M1102-MAX(0,I1056-IF($A1103&gt;='1-Input'!$C$12,'1-Input'!$B$12,0))+J1103*(1-'P-Parametri'!$B$6*I1103))*(1+'1-Input'!$B$27))</f>
        <v>0</v>
      </c>
      <c r="L1103" s="18">
        <f>IF($A1103&gt;'1-Input'!$B$26,N1102,(N1102-J1103)*(1+'5-Roberta'!$C$4))</f>
        <v>-360590.35494109552</v>
      </c>
      <c r="M1103" s="18">
        <f>IF($A1103&gt;'1-Input'!$B$26,K1103,K1103-'P-Parametri'!$B$8*(L1103+K1103)+MIN(MAX(L1103,0),'P-Parametri'!$B$8*(L1103+K1103)))</f>
        <v>0</v>
      </c>
      <c r="N1103" s="18">
        <f>IF($A1103&gt;'1-Input'!$B$26,L1103,L1103-MIN(MAX(L1103,0),'P-Parametri'!$B$8*(L1103+K1103)))</f>
        <v>-359869.17423121334</v>
      </c>
      <c r="O1103" s="18">
        <f>IF($A1103&gt;'1-Input'!$B$26,O1102,O1102-J1103*(1-I1103))</f>
        <v>-252980.00480356737</v>
      </c>
      <c r="P1103" s="11">
        <f>IF($A1103&gt;'1-Input'!$B$26,0,IF(U1102&lt;=0,0,MAX(0,(U1102-V1102)/U1102)))</f>
        <v>0</v>
      </c>
      <c r="Q1103" s="18">
        <f>IF($A1103&gt;'1-Input'!$B$26,0,(MAX(0,P1056-IF($A1103&gt;='1-Input'!$C$12,'1-Input'!$B$12,0))-MIN(MAX(T1102,0),MAX(0,P1056-IF($A1103&gt;='1-Input'!$C$12,'1-Input'!$B$12,0))))*(1/(1-'P-Parametri'!$B$6*P1103))+MIN(MAX(0,U1102-(MAX(0,P1056-IF($A1103&gt;='1-Input'!$C$12,'1-Input'!$B$12,0))-MIN(MAX(T1102,0),MAX(0,P1056-IF($A1103&gt;='1-Input'!$C$12,'1-Input'!$B$12,0))))*(1/(1-'P-Parametri'!$B$6*P1103))),MAX(0,2*P1056-(T1102-MIN(MAX(T1102,0),MAX(0,P1056-IF($A1103&gt;='1-Input'!$C$12,'1-Input'!$B$12,0)))))*(1/(1-'P-Parametri'!$B$6*P1103))))</f>
        <v>6539.4539373831576</v>
      </c>
      <c r="R1103" s="18">
        <f>IF($A1103&gt;'1-Input'!$B$26,T1102,(T1102-MAX(0,P1056-IF($A1103&gt;='1-Input'!$C$12,'1-Input'!$B$12,0))+Q1103*(1-'P-Parametri'!$B$6*P1103))*(1+'1-Input'!$B$27))</f>
        <v>0</v>
      </c>
      <c r="S1103" s="18">
        <f>IF($A1103&gt;'1-Input'!$B$26,U1102,(U1102-Q1103)*(1+'5-Roberta'!$C$4))</f>
        <v>-9433.2778466513191</v>
      </c>
      <c r="T1103" s="18">
        <f>IF($A1103&gt;'1-Input'!$B$26,R1103,R1103-'P-Parametri'!$B$8*(S1103+R1103)+MIN(MAX(S1103,0),'P-Parametri'!$B$8*(S1103+R1103)))</f>
        <v>0</v>
      </c>
      <c r="U1103" s="18">
        <f>IF($A1103&gt;'1-Input'!$B$26,S1103,S1103-MIN(MAX(S1103,0),'P-Parametri'!$B$8*(S1103+R1103)))</f>
        <v>-9414.4112909580163</v>
      </c>
      <c r="V1103" s="18">
        <f>IF($A1103&gt;'1-Input'!$B$26,V1102,V1102-Q1103*(1-P1103))</f>
        <v>-9087.3344010597484</v>
      </c>
      <c r="W1103" s="11">
        <f>IF($A1103&gt;'1-Input'!$B$26,0,IF(AB1102&lt;=0,0,MAX(0,(AB1102-AC1102)/AB1102)))</f>
        <v>0</v>
      </c>
      <c r="X1103" s="18">
        <f>IF($A1103&gt;'1-Input'!$B$26,0,(MAX(0,W1056-IF($A1103&gt;='1-Input'!$C$12,'1-Input'!$B$12,0))-MIN(MAX(AA1102,0),MAX(0,W1056-IF($A1103&gt;='1-Input'!$C$12,'1-Input'!$B$12,0))))*(1/(1-'P-Parametri'!$B$6*W1103))+MIN(MAX(0,AB1102-(MAX(0,W1056-IF($A1103&gt;='1-Input'!$C$12,'1-Input'!$B$12,0))-MIN(MAX(AA1102,0),MAX(0,W1056-IF($A1103&gt;='1-Input'!$C$12,'1-Input'!$B$12,0))))*(1/(1-'P-Parametri'!$B$6*W1103))),MAX(0,2*W1056-(AA1102-MIN(MAX(AA1102,0),MAX(0,W1056-IF($A1103&gt;='1-Input'!$C$12,'1-Input'!$B$12,0)))))*(1/(1-'P-Parametri'!$B$6*W1103))))</f>
        <v>663.32279229549476</v>
      </c>
      <c r="Y1103" s="18">
        <f>IF($A1103&gt;'1-Input'!$B$26,AA1102,(AA1102-MAX(0,W1056-IF($A1103&gt;='1-Input'!$C$12,'1-Input'!$B$12,0))+X1103*(1-'P-Parametri'!$B$6*W1103))*(1+'1-Input'!$B$27))</f>
        <v>0</v>
      </c>
      <c r="Z1103" s="18">
        <f>IF($A1103&gt;'1-Input'!$B$26,AB1102,(AB1102-X1103)*(1+'5-Roberta'!$C$4))</f>
        <v>-683.22247606435963</v>
      </c>
      <c r="AA1103" s="18">
        <f>IF($A1103&gt;'1-Input'!$B$26,Y1103,Y1103-'P-Parametri'!$B$8*(Z1103+Y1103)+MIN(MAX(Z1103,0),'P-Parametri'!$B$8*(Z1103+Y1103)))</f>
        <v>0</v>
      </c>
      <c r="AB1103" s="18">
        <f>IF($A1103&gt;'1-Input'!$B$26,Z1103,Z1103-MIN(MAX(Z1103,0),'P-Parametri'!$B$8*(Z1103+Y1103)))</f>
        <v>-681.85603111223088</v>
      </c>
      <c r="AC1103" s="18">
        <f>IF($A1103&gt;'1-Input'!$B$26,AC1102,AC1102-X1103*(1-W1103))</f>
        <v>-663.32279229549488</v>
      </c>
      <c r="AD1103" s="11">
        <f>IF($A1103&gt;'1-Input'!$B$26,0,IF(AI1102&lt;=0,0,MAX(0,(AI1102-AJ1102)/AI1102)))</f>
        <v>0</v>
      </c>
      <c r="AE1103" s="18">
        <f>IF($A1103&gt;'1-Input'!$B$26,0,(MAX(0,AD1056-IF($A1103&gt;='1-Input'!$C$12,'1-Input'!$B$12,0))-MIN(MAX(AH1102,0),MAX(0,AD1056-IF($A1103&gt;='1-Input'!$C$12,'1-Input'!$B$12,0))))*(1/(1-'P-Parametri'!$B$6*AD1103))+MIN(MAX(0,AI1102-(MAX(0,AD1056-IF($A1103&gt;='1-Input'!$C$12,'1-Input'!$B$12,0))-MIN(MAX(AH1102,0),MAX(0,AD1056-IF($A1103&gt;='1-Input'!$C$12,'1-Input'!$B$12,0))))*(1/(1-'P-Parametri'!$B$6*AD1103))),MAX(0,2*AD1056-(AH1102-MIN(MAX(AH1102,0),MAX(0,AD1056-IF($A1103&gt;='1-Input'!$C$12,'1-Input'!$B$12,0)))))*(1/(1-'P-Parametri'!$B$6*AD1103))))</f>
        <v>0</v>
      </c>
      <c r="AF1103" s="18">
        <f>IF($A1103&gt;'1-Input'!$B$26,AH1102,(AH1102-MAX(0,AD1056-IF($A1103&gt;='1-Input'!$C$12,'1-Input'!$B$12,0))+AE1103*(1-'P-Parametri'!$B$6*AD1103))*(1+'1-Input'!$B$27))</f>
        <v>3.0609965729297408</v>
      </c>
      <c r="AG1103" s="18">
        <f>IF($A1103&gt;'1-Input'!$B$26,AI1102,(AI1102-AE1103)*(1+'5-Roberta'!$C$4))</f>
        <v>0</v>
      </c>
      <c r="AH1103" s="18">
        <f>IF($A1103&gt;'1-Input'!$B$26,AF1103,AF1103-'P-Parametri'!$B$8*(AG1103+AF1103)+MIN(MAX(AG1103,0),'P-Parametri'!$B$8*(AG1103+AF1103)))</f>
        <v>3.0548745797838812</v>
      </c>
      <c r="AI1103" s="18">
        <f>IF($A1103&gt;'1-Input'!$B$26,AG1103,AG1103-MIN(MAX(AG1103,0),'P-Parametri'!$B$8*(AG1103+AF1103)))</f>
        <v>0</v>
      </c>
      <c r="AJ1103" s="18">
        <f>IF($A1103&gt;'1-Input'!$B$26,AJ1102,AJ1102-AE1103*(1-AD1103))</f>
        <v>0</v>
      </c>
      <c r="AK1103" s="11">
        <f>IF($A1103&gt;'1-Input'!$B$26,0,IF(AP1102&lt;=0,0,MAX(0,(AP1102-AQ1102)/AP1102)))</f>
        <v>0</v>
      </c>
      <c r="AL1103" s="18">
        <f>IF($A1103&gt;'1-Input'!$B$26,0,(MAX(0,AK1056-IF($A1103&gt;='1-Input'!$C$12,'1-Input'!$B$12,0))-MIN(MAX(AO1102,0),MAX(0,AK1056-IF($A1103&gt;='1-Input'!$C$12,'1-Input'!$B$12,0))))*(1/(1-'P-Parametri'!$B$6*AK1103))+MIN(MAX(0,AP1102-(MAX(0,AK1056-IF($A1103&gt;='1-Input'!$C$12,'1-Input'!$B$12,0))-MIN(MAX(AO1102,0),MAX(0,AK1056-IF($A1103&gt;='1-Input'!$C$12,'1-Input'!$B$12,0))))*(1/(1-'P-Parametri'!$B$6*AK1103))),MAX(0,2*AK1056-(AO1102-MIN(MAX(AO1102,0),MAX(0,AK1056-IF($A1103&gt;='1-Input'!$C$12,'1-Input'!$B$12,0)))))*(1/(1-'P-Parametri'!$B$6*AK1103))))</f>
        <v>0</v>
      </c>
      <c r="AM1103" s="18">
        <f>IF($A1103&gt;'1-Input'!$B$26,AO1102,(AO1102-MAX(0,AK1056-IF($A1103&gt;='1-Input'!$C$12,'1-Input'!$B$12,0))+AL1103*(1-'P-Parametri'!$B$6*AK1103))*(1+'1-Input'!$B$27))</f>
        <v>9.940221198042927E-2</v>
      </c>
      <c r="AN1103" s="18">
        <f>IF($A1103&gt;'1-Input'!$B$26,AP1102,(AP1102-AL1103)*(1+'5-Roberta'!$C$4))</f>
        <v>0</v>
      </c>
      <c r="AO1103" s="18">
        <f>IF($A1103&gt;'1-Input'!$B$26,AM1103,AM1103-'P-Parametri'!$B$8*(AN1103+AM1103)+MIN(MAX(AN1103,0),'P-Parametri'!$B$8*(AN1103+AM1103)))</f>
        <v>9.9203407556468406E-2</v>
      </c>
      <c r="AP1103" s="18">
        <f>IF($A1103&gt;'1-Input'!$B$26,AN1103,AN1103-MIN(MAX(AN1103,0),'P-Parametri'!$B$8*(AN1103+AM1103)))</f>
        <v>0</v>
      </c>
      <c r="AQ1103" s="18">
        <f>IF($A1103&gt;'1-Input'!$B$26,AQ1102,AQ1102-AL1103*(1-AK1103))</f>
        <v>-2.2737367544323206E-13</v>
      </c>
    </row>
    <row r="1104" spans="1:43">
      <c r="A1104" s="10">
        <f>46</f>
        <v>46</v>
      </c>
      <c r="B1104" s="11">
        <f>IF($A1104&gt;'1-Input'!$B$26,0,IF(G1103&lt;=0,0,MAX(0,(G1103-H1103)/G1103)))</f>
        <v>0</v>
      </c>
      <c r="C1104" s="18">
        <f>IF($A1104&gt;'1-Input'!$B$26,0,(MAX(0,B1056-IF($A1104&gt;='1-Input'!$C$12,'1-Input'!$B$12,0))-MIN(MAX(F1103,0),MAX(0,B1056-IF($A1104&gt;='1-Input'!$C$12,'1-Input'!$B$12,0))))*(1/(1-'P-Parametri'!$B$6*B1104))+MIN(MAX(0,G1103-(MAX(0,B1056-IF($A1104&gt;='1-Input'!$C$12,'1-Input'!$B$12,0))-MIN(MAX(F1103,0),MAX(0,B1056-IF($A1104&gt;='1-Input'!$C$12,'1-Input'!$B$12,0))))*(1/(1-'P-Parametri'!$B$6*B1104))),MAX(0,2*B1056-(F1103-MIN(MAX(F1103,0),MAX(0,B1056-IF($A1104&gt;='1-Input'!$C$12,'1-Input'!$B$12,0)))))*(1/(1-'P-Parametri'!$B$6*B1104))))</f>
        <v>0</v>
      </c>
      <c r="D1104" s="18">
        <f>IF($A1104&gt;'1-Input'!$B$26,F1103,(F1103-MAX(0,B1056-IF($A1104&gt;='1-Input'!$C$12,'1-Input'!$B$12,0))+C1104*(1-'P-Parametri'!$B$6*B1104))*(1+'1-Input'!$B$27))</f>
        <v>33242.0070309863</v>
      </c>
      <c r="E1104" s="18">
        <f>IF($A1104&gt;'1-Input'!$B$26,G1103,(G1103-C1104)*(1+'5-Roberta'!$C$4))</f>
        <v>46997.960960007811</v>
      </c>
      <c r="F1104" s="18">
        <f>IF($A1104&gt;'1-Input'!$B$26,D1104,D1104-'P-Parametri'!$B$8*(E1104+D1104)+MIN(MAX(E1104,0),'P-Parametri'!$B$8*(E1104+D1104)))</f>
        <v>33242.0070309863</v>
      </c>
      <c r="G1104" s="18">
        <f>IF($A1104&gt;'1-Input'!$B$26,E1104,E1104-MIN(MAX(E1104,0),'P-Parametri'!$B$8*(E1104+D1104)))</f>
        <v>46997.960960007811</v>
      </c>
      <c r="H1104" s="18">
        <f>IF($A1104&gt;'1-Input'!$B$26,H1103,H1103-C1104*(1-B1104))</f>
        <v>8691.7069346540466</v>
      </c>
      <c r="I1104" s="11">
        <f>IF($A1104&gt;'1-Input'!$B$26,0,IF(N1103&lt;=0,0,MAX(0,(N1103-O1103)/N1103)))</f>
        <v>0</v>
      </c>
      <c r="J1104" s="18">
        <f>IF($A1104&gt;'1-Input'!$B$26,0,(MAX(0,I1056-IF($A1104&gt;='1-Input'!$C$12,'1-Input'!$B$12,0))-MIN(MAX(M1103,0),MAX(0,I1056-IF($A1104&gt;='1-Input'!$C$12,'1-Input'!$B$12,0))))*(1/(1-'P-Parametri'!$B$6*I1104))+MIN(MAX(0,N1103-(MAX(0,I1056-IF($A1104&gt;='1-Input'!$C$12,'1-Input'!$B$12,0))-MIN(MAX(M1103,0),MAX(0,I1056-IF($A1104&gt;='1-Input'!$C$12,'1-Input'!$B$12,0))))*(1/(1-'P-Parametri'!$B$6*I1104))),MAX(0,2*I1056-(M1103-MIN(MAX(M1103,0),MAX(0,I1056-IF($A1104&gt;='1-Input'!$C$12,'1-Input'!$B$12,0)))))*(1/(1-'P-Parametri'!$B$6*I1104))))</f>
        <v>0</v>
      </c>
      <c r="K1104" s="18">
        <f>IF($A1104&gt;'1-Input'!$B$26,M1103,(M1103-MAX(0,I1056-IF($A1104&gt;='1-Input'!$C$12,'1-Input'!$B$12,0))+J1104*(1-'P-Parametri'!$B$6*I1104))*(1+'1-Input'!$B$27))</f>
        <v>0</v>
      </c>
      <c r="L1104" s="18">
        <f>IF($A1104&gt;'1-Input'!$B$26,N1103,(N1103-J1104)*(1+'5-Roberta'!$C$4))</f>
        <v>-359869.17423121334</v>
      </c>
      <c r="M1104" s="18">
        <f>IF($A1104&gt;'1-Input'!$B$26,K1104,K1104-'P-Parametri'!$B$8*(L1104+K1104)+MIN(MAX(L1104,0),'P-Parametri'!$B$8*(L1104+K1104)))</f>
        <v>0</v>
      </c>
      <c r="N1104" s="18">
        <f>IF($A1104&gt;'1-Input'!$B$26,L1104,L1104-MIN(MAX(L1104,0),'P-Parametri'!$B$8*(L1104+K1104)))</f>
        <v>-359869.17423121334</v>
      </c>
      <c r="O1104" s="18">
        <f>IF($A1104&gt;'1-Input'!$B$26,O1103,O1103-J1104*(1-I1104))</f>
        <v>-252980.00480356737</v>
      </c>
      <c r="P1104" s="11">
        <f>IF($A1104&gt;'1-Input'!$B$26,0,IF(U1103&lt;=0,0,MAX(0,(U1103-V1103)/U1103)))</f>
        <v>0</v>
      </c>
      <c r="Q1104" s="18">
        <f>IF($A1104&gt;'1-Input'!$B$26,0,(MAX(0,P1056-IF($A1104&gt;='1-Input'!$C$12,'1-Input'!$B$12,0))-MIN(MAX(T1103,0),MAX(0,P1056-IF($A1104&gt;='1-Input'!$C$12,'1-Input'!$B$12,0))))*(1/(1-'P-Parametri'!$B$6*P1104))+MIN(MAX(0,U1103-(MAX(0,P1056-IF($A1104&gt;='1-Input'!$C$12,'1-Input'!$B$12,0))-MIN(MAX(T1103,0),MAX(0,P1056-IF($A1104&gt;='1-Input'!$C$12,'1-Input'!$B$12,0))))*(1/(1-'P-Parametri'!$B$6*P1104))),MAX(0,2*P1056-(T1103-MIN(MAX(T1103,0),MAX(0,P1056-IF($A1104&gt;='1-Input'!$C$12,'1-Input'!$B$12,0)))))*(1/(1-'P-Parametri'!$B$6*P1104))))</f>
        <v>0</v>
      </c>
      <c r="R1104" s="18">
        <f>IF($A1104&gt;'1-Input'!$B$26,T1103,(T1103-MAX(0,P1056-IF($A1104&gt;='1-Input'!$C$12,'1-Input'!$B$12,0))+Q1104*(1-'P-Parametri'!$B$6*P1104))*(1+'1-Input'!$B$27))</f>
        <v>0</v>
      </c>
      <c r="S1104" s="18">
        <f>IF($A1104&gt;'1-Input'!$B$26,U1103,(U1103-Q1104)*(1+'5-Roberta'!$C$4))</f>
        <v>-9414.4112909580163</v>
      </c>
      <c r="T1104" s="18">
        <f>IF($A1104&gt;'1-Input'!$B$26,R1104,R1104-'P-Parametri'!$B$8*(S1104+R1104)+MIN(MAX(S1104,0),'P-Parametri'!$B$8*(S1104+R1104)))</f>
        <v>0</v>
      </c>
      <c r="U1104" s="18">
        <f>IF($A1104&gt;'1-Input'!$B$26,S1104,S1104-MIN(MAX(S1104,0),'P-Parametri'!$B$8*(S1104+R1104)))</f>
        <v>-9414.4112909580163</v>
      </c>
      <c r="V1104" s="18">
        <f>IF($A1104&gt;'1-Input'!$B$26,V1103,V1103-Q1104*(1-P1104))</f>
        <v>-9087.3344010597484</v>
      </c>
      <c r="W1104" s="11">
        <f>IF($A1104&gt;'1-Input'!$B$26,0,IF(AB1103&lt;=0,0,MAX(0,(AB1103-AC1103)/AB1103)))</f>
        <v>0</v>
      </c>
      <c r="X1104" s="18">
        <f>IF($A1104&gt;'1-Input'!$B$26,0,(MAX(0,W1056-IF($A1104&gt;='1-Input'!$C$12,'1-Input'!$B$12,0))-MIN(MAX(AA1103,0),MAX(0,W1056-IF($A1104&gt;='1-Input'!$C$12,'1-Input'!$B$12,0))))*(1/(1-'P-Parametri'!$B$6*W1104))+MIN(MAX(0,AB1103-(MAX(0,W1056-IF($A1104&gt;='1-Input'!$C$12,'1-Input'!$B$12,0))-MIN(MAX(AA1103,0),MAX(0,W1056-IF($A1104&gt;='1-Input'!$C$12,'1-Input'!$B$12,0))))*(1/(1-'P-Parametri'!$B$6*W1104))),MAX(0,2*W1056-(AA1103-MIN(MAX(AA1103,0),MAX(0,W1056-IF($A1104&gt;='1-Input'!$C$12,'1-Input'!$B$12,0)))))*(1/(1-'P-Parametri'!$B$6*W1104))))</f>
        <v>0</v>
      </c>
      <c r="Y1104" s="18">
        <f>IF($A1104&gt;'1-Input'!$B$26,AA1103,(AA1103-MAX(0,W1056-IF($A1104&gt;='1-Input'!$C$12,'1-Input'!$B$12,0))+X1104*(1-'P-Parametri'!$B$6*W1104))*(1+'1-Input'!$B$27))</f>
        <v>0</v>
      </c>
      <c r="Z1104" s="18">
        <f>IF($A1104&gt;'1-Input'!$B$26,AB1103,(AB1103-X1104)*(1+'5-Roberta'!$C$4))</f>
        <v>-681.85603111223088</v>
      </c>
      <c r="AA1104" s="18">
        <f>IF($A1104&gt;'1-Input'!$B$26,Y1104,Y1104-'P-Parametri'!$B$8*(Z1104+Y1104)+MIN(MAX(Z1104,0),'P-Parametri'!$B$8*(Z1104+Y1104)))</f>
        <v>0</v>
      </c>
      <c r="AB1104" s="18">
        <f>IF($A1104&gt;'1-Input'!$B$26,Z1104,Z1104-MIN(MAX(Z1104,0),'P-Parametri'!$B$8*(Z1104+Y1104)))</f>
        <v>-681.85603111223088</v>
      </c>
      <c r="AC1104" s="18">
        <f>IF($A1104&gt;'1-Input'!$B$26,AC1103,AC1103-X1104*(1-W1104))</f>
        <v>-663.32279229549488</v>
      </c>
      <c r="AD1104" s="11">
        <f>IF($A1104&gt;'1-Input'!$B$26,0,IF(AI1103&lt;=0,0,MAX(0,(AI1103-AJ1103)/AI1103)))</f>
        <v>0</v>
      </c>
      <c r="AE1104" s="18">
        <f>IF($A1104&gt;'1-Input'!$B$26,0,(MAX(0,AD1056-IF($A1104&gt;='1-Input'!$C$12,'1-Input'!$B$12,0))-MIN(MAX(AH1103,0),MAX(0,AD1056-IF($A1104&gt;='1-Input'!$C$12,'1-Input'!$B$12,0))))*(1/(1-'P-Parametri'!$B$6*AD1104))+MIN(MAX(0,AI1103-(MAX(0,AD1056-IF($A1104&gt;='1-Input'!$C$12,'1-Input'!$B$12,0))-MIN(MAX(AH1103,0),MAX(0,AD1056-IF($A1104&gt;='1-Input'!$C$12,'1-Input'!$B$12,0))))*(1/(1-'P-Parametri'!$B$6*AD1104))),MAX(0,2*AD1056-(AH1103-MIN(MAX(AH1103,0),MAX(0,AD1056-IF($A1104&gt;='1-Input'!$C$12,'1-Input'!$B$12,0)))))*(1/(1-'P-Parametri'!$B$6*AD1104))))</f>
        <v>0</v>
      </c>
      <c r="AF1104" s="18">
        <f>IF($A1104&gt;'1-Input'!$B$26,AH1103,(AH1103-MAX(0,AD1056-IF($A1104&gt;='1-Input'!$C$12,'1-Input'!$B$12,0))+AE1104*(1-'P-Parametri'!$B$6*AD1104))*(1+'1-Input'!$B$27))</f>
        <v>3.0548745797838812</v>
      </c>
      <c r="AG1104" s="18">
        <f>IF($A1104&gt;'1-Input'!$B$26,AI1103,(AI1103-AE1104)*(1+'5-Roberta'!$C$4))</f>
        <v>0</v>
      </c>
      <c r="AH1104" s="18">
        <f>IF($A1104&gt;'1-Input'!$B$26,AF1104,AF1104-'P-Parametri'!$B$8*(AG1104+AF1104)+MIN(MAX(AG1104,0),'P-Parametri'!$B$8*(AG1104+AF1104)))</f>
        <v>3.0548745797838812</v>
      </c>
      <c r="AI1104" s="18">
        <f>IF($A1104&gt;'1-Input'!$B$26,AG1104,AG1104-MIN(MAX(AG1104,0),'P-Parametri'!$B$8*(AG1104+AF1104)))</f>
        <v>0</v>
      </c>
      <c r="AJ1104" s="18">
        <f>IF($A1104&gt;'1-Input'!$B$26,AJ1103,AJ1103-AE1104*(1-AD1104))</f>
        <v>0</v>
      </c>
      <c r="AK1104" s="11">
        <f>IF($A1104&gt;'1-Input'!$B$26,0,IF(AP1103&lt;=0,0,MAX(0,(AP1103-AQ1103)/AP1103)))</f>
        <v>0</v>
      </c>
      <c r="AL1104" s="18">
        <f>IF($A1104&gt;'1-Input'!$B$26,0,(MAX(0,AK1056-IF($A1104&gt;='1-Input'!$C$12,'1-Input'!$B$12,0))-MIN(MAX(AO1103,0),MAX(0,AK1056-IF($A1104&gt;='1-Input'!$C$12,'1-Input'!$B$12,0))))*(1/(1-'P-Parametri'!$B$6*AK1104))+MIN(MAX(0,AP1103-(MAX(0,AK1056-IF($A1104&gt;='1-Input'!$C$12,'1-Input'!$B$12,0))-MIN(MAX(AO1103,0),MAX(0,AK1056-IF($A1104&gt;='1-Input'!$C$12,'1-Input'!$B$12,0))))*(1/(1-'P-Parametri'!$B$6*AK1104))),MAX(0,2*AK1056-(AO1103-MIN(MAX(AO1103,0),MAX(0,AK1056-IF($A1104&gt;='1-Input'!$C$12,'1-Input'!$B$12,0)))))*(1/(1-'P-Parametri'!$B$6*AK1104))))</f>
        <v>0</v>
      </c>
      <c r="AM1104" s="18">
        <f>IF($A1104&gt;'1-Input'!$B$26,AO1103,(AO1103-MAX(0,AK1056-IF($A1104&gt;='1-Input'!$C$12,'1-Input'!$B$12,0))+AL1104*(1-'P-Parametri'!$B$6*AK1104))*(1+'1-Input'!$B$27))</f>
        <v>9.9203407556468406E-2</v>
      </c>
      <c r="AN1104" s="18">
        <f>IF($A1104&gt;'1-Input'!$B$26,AP1103,(AP1103-AL1104)*(1+'5-Roberta'!$C$4))</f>
        <v>0</v>
      </c>
      <c r="AO1104" s="18">
        <f>IF($A1104&gt;'1-Input'!$B$26,AM1104,AM1104-'P-Parametri'!$B$8*(AN1104+AM1104)+MIN(MAX(AN1104,0),'P-Parametri'!$B$8*(AN1104+AM1104)))</f>
        <v>9.9203407556468406E-2</v>
      </c>
      <c r="AP1104" s="18">
        <f>IF($A1104&gt;'1-Input'!$B$26,AN1104,AN1104-MIN(MAX(AN1104,0),'P-Parametri'!$B$8*(AN1104+AM1104)))</f>
        <v>0</v>
      </c>
      <c r="AQ1104" s="18">
        <f>IF($A1104&gt;'1-Input'!$B$26,AQ1103,AQ1103-AL1104*(1-AK1104))</f>
        <v>-2.2737367544323206E-13</v>
      </c>
    </row>
    <row r="1105" spans="1:43">
      <c r="A1105" s="10">
        <f>47</f>
        <v>47</v>
      </c>
      <c r="B1105" s="11">
        <f>IF($A1105&gt;'1-Input'!$B$26,0,IF(G1104&lt;=0,0,MAX(0,(G1104-H1104)/G1104)))</f>
        <v>0</v>
      </c>
      <c r="C1105" s="18">
        <f>IF($A1105&gt;'1-Input'!$B$26,0,(MAX(0,B1056-IF($A1105&gt;='1-Input'!$C$12,'1-Input'!$B$12,0))-MIN(MAX(F1104,0),MAX(0,B1056-IF($A1105&gt;='1-Input'!$C$12,'1-Input'!$B$12,0))))*(1/(1-'P-Parametri'!$B$6*B1105))+MIN(MAX(0,G1104-(MAX(0,B1056-IF($A1105&gt;='1-Input'!$C$12,'1-Input'!$B$12,0))-MIN(MAX(F1104,0),MAX(0,B1056-IF($A1105&gt;='1-Input'!$C$12,'1-Input'!$B$12,0))))*(1/(1-'P-Parametri'!$B$6*B1105))),MAX(0,2*B1056-(F1104-MIN(MAX(F1104,0),MAX(0,B1056-IF($A1105&gt;='1-Input'!$C$12,'1-Input'!$B$12,0)))))*(1/(1-'P-Parametri'!$B$6*B1105))))</f>
        <v>0</v>
      </c>
      <c r="D1105" s="18">
        <f>IF($A1105&gt;'1-Input'!$B$26,F1104,(F1104-MAX(0,B1056-IF($A1105&gt;='1-Input'!$C$12,'1-Input'!$B$12,0))+C1105*(1-'P-Parametri'!$B$6*B1105))*(1+'1-Input'!$B$27))</f>
        <v>33242.0070309863</v>
      </c>
      <c r="E1105" s="18">
        <f>IF($A1105&gt;'1-Input'!$B$26,G1104,(G1104-C1105)*(1+'5-Roberta'!$C$4))</f>
        <v>46997.960960007811</v>
      </c>
      <c r="F1105" s="18">
        <f>IF($A1105&gt;'1-Input'!$B$26,D1105,D1105-'P-Parametri'!$B$8*(E1105+D1105)+MIN(MAX(E1105,0),'P-Parametri'!$B$8*(E1105+D1105)))</f>
        <v>33242.0070309863</v>
      </c>
      <c r="G1105" s="18">
        <f>IF($A1105&gt;'1-Input'!$B$26,E1105,E1105-MIN(MAX(E1105,0),'P-Parametri'!$B$8*(E1105+D1105)))</f>
        <v>46997.960960007811</v>
      </c>
      <c r="H1105" s="18">
        <f>IF($A1105&gt;'1-Input'!$B$26,H1104,H1104-C1105*(1-B1105))</f>
        <v>8691.7069346540466</v>
      </c>
      <c r="I1105" s="11">
        <f>IF($A1105&gt;'1-Input'!$B$26,0,IF(N1104&lt;=0,0,MAX(0,(N1104-O1104)/N1104)))</f>
        <v>0</v>
      </c>
      <c r="J1105" s="18">
        <f>IF($A1105&gt;'1-Input'!$B$26,0,(MAX(0,I1056-IF($A1105&gt;='1-Input'!$C$12,'1-Input'!$B$12,0))-MIN(MAX(M1104,0),MAX(0,I1056-IF($A1105&gt;='1-Input'!$C$12,'1-Input'!$B$12,0))))*(1/(1-'P-Parametri'!$B$6*I1105))+MIN(MAX(0,N1104-(MAX(0,I1056-IF($A1105&gt;='1-Input'!$C$12,'1-Input'!$B$12,0))-MIN(MAX(M1104,0),MAX(0,I1056-IF($A1105&gt;='1-Input'!$C$12,'1-Input'!$B$12,0))))*(1/(1-'P-Parametri'!$B$6*I1105))),MAX(0,2*I1056-(M1104-MIN(MAX(M1104,0),MAX(0,I1056-IF($A1105&gt;='1-Input'!$C$12,'1-Input'!$B$12,0)))))*(1/(1-'P-Parametri'!$B$6*I1105))))</f>
        <v>0</v>
      </c>
      <c r="K1105" s="18">
        <f>IF($A1105&gt;'1-Input'!$B$26,M1104,(M1104-MAX(0,I1056-IF($A1105&gt;='1-Input'!$C$12,'1-Input'!$B$12,0))+J1105*(1-'P-Parametri'!$B$6*I1105))*(1+'1-Input'!$B$27))</f>
        <v>0</v>
      </c>
      <c r="L1105" s="18">
        <f>IF($A1105&gt;'1-Input'!$B$26,N1104,(N1104-J1105)*(1+'5-Roberta'!$C$4))</f>
        <v>-359869.17423121334</v>
      </c>
      <c r="M1105" s="18">
        <f>IF($A1105&gt;'1-Input'!$B$26,K1105,K1105-'P-Parametri'!$B$8*(L1105+K1105)+MIN(MAX(L1105,0),'P-Parametri'!$B$8*(L1105+K1105)))</f>
        <v>0</v>
      </c>
      <c r="N1105" s="18">
        <f>IF($A1105&gt;'1-Input'!$B$26,L1105,L1105-MIN(MAX(L1105,0),'P-Parametri'!$B$8*(L1105+K1105)))</f>
        <v>-359869.17423121334</v>
      </c>
      <c r="O1105" s="18">
        <f>IF($A1105&gt;'1-Input'!$B$26,O1104,O1104-J1105*(1-I1105))</f>
        <v>-252980.00480356737</v>
      </c>
      <c r="P1105" s="11">
        <f>IF($A1105&gt;'1-Input'!$B$26,0,IF(U1104&lt;=0,0,MAX(0,(U1104-V1104)/U1104)))</f>
        <v>0</v>
      </c>
      <c r="Q1105" s="18">
        <f>IF($A1105&gt;'1-Input'!$B$26,0,(MAX(0,P1056-IF($A1105&gt;='1-Input'!$C$12,'1-Input'!$B$12,0))-MIN(MAX(T1104,0),MAX(0,P1056-IF($A1105&gt;='1-Input'!$C$12,'1-Input'!$B$12,0))))*(1/(1-'P-Parametri'!$B$6*P1105))+MIN(MAX(0,U1104-(MAX(0,P1056-IF($A1105&gt;='1-Input'!$C$12,'1-Input'!$B$12,0))-MIN(MAX(T1104,0),MAX(0,P1056-IF($A1105&gt;='1-Input'!$C$12,'1-Input'!$B$12,0))))*(1/(1-'P-Parametri'!$B$6*P1105))),MAX(0,2*P1056-(T1104-MIN(MAX(T1104,0),MAX(0,P1056-IF($A1105&gt;='1-Input'!$C$12,'1-Input'!$B$12,0)))))*(1/(1-'P-Parametri'!$B$6*P1105))))</f>
        <v>0</v>
      </c>
      <c r="R1105" s="18">
        <f>IF($A1105&gt;'1-Input'!$B$26,T1104,(T1104-MAX(0,P1056-IF($A1105&gt;='1-Input'!$C$12,'1-Input'!$B$12,0))+Q1105*(1-'P-Parametri'!$B$6*P1105))*(1+'1-Input'!$B$27))</f>
        <v>0</v>
      </c>
      <c r="S1105" s="18">
        <f>IF($A1105&gt;'1-Input'!$B$26,U1104,(U1104-Q1105)*(1+'5-Roberta'!$C$4))</f>
        <v>-9414.4112909580163</v>
      </c>
      <c r="T1105" s="18">
        <f>IF($A1105&gt;'1-Input'!$B$26,R1105,R1105-'P-Parametri'!$B$8*(S1105+R1105)+MIN(MAX(S1105,0),'P-Parametri'!$B$8*(S1105+R1105)))</f>
        <v>0</v>
      </c>
      <c r="U1105" s="18">
        <f>IF($A1105&gt;'1-Input'!$B$26,S1105,S1105-MIN(MAX(S1105,0),'P-Parametri'!$B$8*(S1105+R1105)))</f>
        <v>-9414.4112909580163</v>
      </c>
      <c r="V1105" s="18">
        <f>IF($A1105&gt;'1-Input'!$B$26,V1104,V1104-Q1105*(1-P1105))</f>
        <v>-9087.3344010597484</v>
      </c>
      <c r="W1105" s="11">
        <f>IF($A1105&gt;'1-Input'!$B$26,0,IF(AB1104&lt;=0,0,MAX(0,(AB1104-AC1104)/AB1104)))</f>
        <v>0</v>
      </c>
      <c r="X1105" s="18">
        <f>IF($A1105&gt;'1-Input'!$B$26,0,(MAX(0,W1056-IF($A1105&gt;='1-Input'!$C$12,'1-Input'!$B$12,0))-MIN(MAX(AA1104,0),MAX(0,W1056-IF($A1105&gt;='1-Input'!$C$12,'1-Input'!$B$12,0))))*(1/(1-'P-Parametri'!$B$6*W1105))+MIN(MAX(0,AB1104-(MAX(0,W1056-IF($A1105&gt;='1-Input'!$C$12,'1-Input'!$B$12,0))-MIN(MAX(AA1104,0),MAX(0,W1056-IF($A1105&gt;='1-Input'!$C$12,'1-Input'!$B$12,0))))*(1/(1-'P-Parametri'!$B$6*W1105))),MAX(0,2*W1056-(AA1104-MIN(MAX(AA1104,0),MAX(0,W1056-IF($A1105&gt;='1-Input'!$C$12,'1-Input'!$B$12,0)))))*(1/(1-'P-Parametri'!$B$6*W1105))))</f>
        <v>0</v>
      </c>
      <c r="Y1105" s="18">
        <f>IF($A1105&gt;'1-Input'!$B$26,AA1104,(AA1104-MAX(0,W1056-IF($A1105&gt;='1-Input'!$C$12,'1-Input'!$B$12,0))+X1105*(1-'P-Parametri'!$B$6*W1105))*(1+'1-Input'!$B$27))</f>
        <v>0</v>
      </c>
      <c r="Z1105" s="18">
        <f>IF($A1105&gt;'1-Input'!$B$26,AB1104,(AB1104-X1105)*(1+'5-Roberta'!$C$4))</f>
        <v>-681.85603111223088</v>
      </c>
      <c r="AA1105" s="18">
        <f>IF($A1105&gt;'1-Input'!$B$26,Y1105,Y1105-'P-Parametri'!$B$8*(Z1105+Y1105)+MIN(MAX(Z1105,0),'P-Parametri'!$B$8*(Z1105+Y1105)))</f>
        <v>0</v>
      </c>
      <c r="AB1105" s="18">
        <f>IF($A1105&gt;'1-Input'!$B$26,Z1105,Z1105-MIN(MAX(Z1105,0),'P-Parametri'!$B$8*(Z1105+Y1105)))</f>
        <v>-681.85603111223088</v>
      </c>
      <c r="AC1105" s="18">
        <f>IF($A1105&gt;'1-Input'!$B$26,AC1104,AC1104-X1105*(1-W1105))</f>
        <v>-663.32279229549488</v>
      </c>
      <c r="AD1105" s="11">
        <f>IF($A1105&gt;'1-Input'!$B$26,0,IF(AI1104&lt;=0,0,MAX(0,(AI1104-AJ1104)/AI1104)))</f>
        <v>0</v>
      </c>
      <c r="AE1105" s="18">
        <f>IF($A1105&gt;'1-Input'!$B$26,0,(MAX(0,AD1056-IF($A1105&gt;='1-Input'!$C$12,'1-Input'!$B$12,0))-MIN(MAX(AH1104,0),MAX(0,AD1056-IF($A1105&gt;='1-Input'!$C$12,'1-Input'!$B$12,0))))*(1/(1-'P-Parametri'!$B$6*AD1105))+MIN(MAX(0,AI1104-(MAX(0,AD1056-IF($A1105&gt;='1-Input'!$C$12,'1-Input'!$B$12,0))-MIN(MAX(AH1104,0),MAX(0,AD1056-IF($A1105&gt;='1-Input'!$C$12,'1-Input'!$B$12,0))))*(1/(1-'P-Parametri'!$B$6*AD1105))),MAX(0,2*AD1056-(AH1104-MIN(MAX(AH1104,0),MAX(0,AD1056-IF($A1105&gt;='1-Input'!$C$12,'1-Input'!$B$12,0)))))*(1/(1-'P-Parametri'!$B$6*AD1105))))</f>
        <v>0</v>
      </c>
      <c r="AF1105" s="18">
        <f>IF($A1105&gt;'1-Input'!$B$26,AH1104,(AH1104-MAX(0,AD1056-IF($A1105&gt;='1-Input'!$C$12,'1-Input'!$B$12,0))+AE1105*(1-'P-Parametri'!$B$6*AD1105))*(1+'1-Input'!$B$27))</f>
        <v>3.0548745797838812</v>
      </c>
      <c r="AG1105" s="18">
        <f>IF($A1105&gt;'1-Input'!$B$26,AI1104,(AI1104-AE1105)*(1+'5-Roberta'!$C$4))</f>
        <v>0</v>
      </c>
      <c r="AH1105" s="18">
        <f>IF($A1105&gt;'1-Input'!$B$26,AF1105,AF1105-'P-Parametri'!$B$8*(AG1105+AF1105)+MIN(MAX(AG1105,0),'P-Parametri'!$B$8*(AG1105+AF1105)))</f>
        <v>3.0548745797838812</v>
      </c>
      <c r="AI1105" s="18">
        <f>IF($A1105&gt;'1-Input'!$B$26,AG1105,AG1105-MIN(MAX(AG1105,0),'P-Parametri'!$B$8*(AG1105+AF1105)))</f>
        <v>0</v>
      </c>
      <c r="AJ1105" s="18">
        <f>IF($A1105&gt;'1-Input'!$B$26,AJ1104,AJ1104-AE1105*(1-AD1105))</f>
        <v>0</v>
      </c>
      <c r="AK1105" s="11">
        <f>IF($A1105&gt;'1-Input'!$B$26,0,IF(AP1104&lt;=0,0,MAX(0,(AP1104-AQ1104)/AP1104)))</f>
        <v>0</v>
      </c>
      <c r="AL1105" s="18">
        <f>IF($A1105&gt;'1-Input'!$B$26,0,(MAX(0,AK1056-IF($A1105&gt;='1-Input'!$C$12,'1-Input'!$B$12,0))-MIN(MAX(AO1104,0),MAX(0,AK1056-IF($A1105&gt;='1-Input'!$C$12,'1-Input'!$B$12,0))))*(1/(1-'P-Parametri'!$B$6*AK1105))+MIN(MAX(0,AP1104-(MAX(0,AK1056-IF($A1105&gt;='1-Input'!$C$12,'1-Input'!$B$12,0))-MIN(MAX(AO1104,0),MAX(0,AK1056-IF($A1105&gt;='1-Input'!$C$12,'1-Input'!$B$12,0))))*(1/(1-'P-Parametri'!$B$6*AK1105))),MAX(0,2*AK1056-(AO1104-MIN(MAX(AO1104,0),MAX(0,AK1056-IF($A1105&gt;='1-Input'!$C$12,'1-Input'!$B$12,0)))))*(1/(1-'P-Parametri'!$B$6*AK1105))))</f>
        <v>0</v>
      </c>
      <c r="AM1105" s="18">
        <f>IF($A1105&gt;'1-Input'!$B$26,AO1104,(AO1104-MAX(0,AK1056-IF($A1105&gt;='1-Input'!$C$12,'1-Input'!$B$12,0))+AL1105*(1-'P-Parametri'!$B$6*AK1105))*(1+'1-Input'!$B$27))</f>
        <v>9.9203407556468406E-2</v>
      </c>
      <c r="AN1105" s="18">
        <f>IF($A1105&gt;'1-Input'!$B$26,AP1104,(AP1104-AL1105)*(1+'5-Roberta'!$C$4))</f>
        <v>0</v>
      </c>
      <c r="AO1105" s="18">
        <f>IF($A1105&gt;'1-Input'!$B$26,AM1105,AM1105-'P-Parametri'!$B$8*(AN1105+AM1105)+MIN(MAX(AN1105,0),'P-Parametri'!$B$8*(AN1105+AM1105)))</f>
        <v>9.9203407556468406E-2</v>
      </c>
      <c r="AP1105" s="18">
        <f>IF($A1105&gt;'1-Input'!$B$26,AN1105,AN1105-MIN(MAX(AN1105,0),'P-Parametri'!$B$8*(AN1105+AM1105)))</f>
        <v>0</v>
      </c>
      <c r="AQ1105" s="18">
        <f>IF($A1105&gt;'1-Input'!$B$26,AQ1104,AQ1104-AL1105*(1-AK1105))</f>
        <v>-2.2737367544323206E-13</v>
      </c>
    </row>
    <row r="1106" spans="1:43">
      <c r="A1106" s="10">
        <f>48</f>
        <v>48</v>
      </c>
      <c r="B1106" s="11">
        <f>IF($A1106&gt;'1-Input'!$B$26,0,IF(G1105&lt;=0,0,MAX(0,(G1105-H1105)/G1105)))</f>
        <v>0</v>
      </c>
      <c r="C1106" s="18">
        <f>IF($A1106&gt;'1-Input'!$B$26,0,(MAX(0,B1056-IF($A1106&gt;='1-Input'!$C$12,'1-Input'!$B$12,0))-MIN(MAX(F1105,0),MAX(0,B1056-IF($A1106&gt;='1-Input'!$C$12,'1-Input'!$B$12,0))))*(1/(1-'P-Parametri'!$B$6*B1106))+MIN(MAX(0,G1105-(MAX(0,B1056-IF($A1106&gt;='1-Input'!$C$12,'1-Input'!$B$12,0))-MIN(MAX(F1105,0),MAX(0,B1056-IF($A1106&gt;='1-Input'!$C$12,'1-Input'!$B$12,0))))*(1/(1-'P-Parametri'!$B$6*B1106))),MAX(0,2*B1056-(F1105-MIN(MAX(F1105,0),MAX(0,B1056-IF($A1106&gt;='1-Input'!$C$12,'1-Input'!$B$12,0)))))*(1/(1-'P-Parametri'!$B$6*B1106))))</f>
        <v>0</v>
      </c>
      <c r="D1106" s="18">
        <f>IF($A1106&gt;'1-Input'!$B$26,F1105,(F1105-MAX(0,B1056-IF($A1106&gt;='1-Input'!$C$12,'1-Input'!$B$12,0))+C1106*(1-'P-Parametri'!$B$6*B1106))*(1+'1-Input'!$B$27))</f>
        <v>33242.0070309863</v>
      </c>
      <c r="E1106" s="18">
        <f>IF($A1106&gt;'1-Input'!$B$26,G1105,(G1105-C1106)*(1+'5-Roberta'!$C$4))</f>
        <v>46997.960960007811</v>
      </c>
      <c r="F1106" s="18">
        <f>IF($A1106&gt;'1-Input'!$B$26,D1106,D1106-'P-Parametri'!$B$8*(E1106+D1106)+MIN(MAX(E1106,0),'P-Parametri'!$B$8*(E1106+D1106)))</f>
        <v>33242.0070309863</v>
      </c>
      <c r="G1106" s="18">
        <f>IF($A1106&gt;'1-Input'!$B$26,E1106,E1106-MIN(MAX(E1106,0),'P-Parametri'!$B$8*(E1106+D1106)))</f>
        <v>46997.960960007811</v>
      </c>
      <c r="H1106" s="18">
        <f>IF($A1106&gt;'1-Input'!$B$26,H1105,H1105-C1106*(1-B1106))</f>
        <v>8691.7069346540466</v>
      </c>
      <c r="I1106" s="11">
        <f>IF($A1106&gt;'1-Input'!$B$26,0,IF(N1105&lt;=0,0,MAX(0,(N1105-O1105)/N1105)))</f>
        <v>0</v>
      </c>
      <c r="J1106" s="18">
        <f>IF($A1106&gt;'1-Input'!$B$26,0,(MAX(0,I1056-IF($A1106&gt;='1-Input'!$C$12,'1-Input'!$B$12,0))-MIN(MAX(M1105,0),MAX(0,I1056-IF($A1106&gt;='1-Input'!$C$12,'1-Input'!$B$12,0))))*(1/(1-'P-Parametri'!$B$6*I1106))+MIN(MAX(0,N1105-(MAX(0,I1056-IF($A1106&gt;='1-Input'!$C$12,'1-Input'!$B$12,0))-MIN(MAX(M1105,0),MAX(0,I1056-IF($A1106&gt;='1-Input'!$C$12,'1-Input'!$B$12,0))))*(1/(1-'P-Parametri'!$B$6*I1106))),MAX(0,2*I1056-(M1105-MIN(MAX(M1105,0),MAX(0,I1056-IF($A1106&gt;='1-Input'!$C$12,'1-Input'!$B$12,0)))))*(1/(1-'P-Parametri'!$B$6*I1106))))</f>
        <v>0</v>
      </c>
      <c r="K1106" s="18">
        <f>IF($A1106&gt;'1-Input'!$B$26,M1105,(M1105-MAX(0,I1056-IF($A1106&gt;='1-Input'!$C$12,'1-Input'!$B$12,0))+J1106*(1-'P-Parametri'!$B$6*I1106))*(1+'1-Input'!$B$27))</f>
        <v>0</v>
      </c>
      <c r="L1106" s="18">
        <f>IF($A1106&gt;'1-Input'!$B$26,N1105,(N1105-J1106)*(1+'5-Roberta'!$C$4))</f>
        <v>-359869.17423121334</v>
      </c>
      <c r="M1106" s="18">
        <f>IF($A1106&gt;'1-Input'!$B$26,K1106,K1106-'P-Parametri'!$B$8*(L1106+K1106)+MIN(MAX(L1106,0),'P-Parametri'!$B$8*(L1106+K1106)))</f>
        <v>0</v>
      </c>
      <c r="N1106" s="18">
        <f>IF($A1106&gt;'1-Input'!$B$26,L1106,L1106-MIN(MAX(L1106,0),'P-Parametri'!$B$8*(L1106+K1106)))</f>
        <v>-359869.17423121334</v>
      </c>
      <c r="O1106" s="18">
        <f>IF($A1106&gt;'1-Input'!$B$26,O1105,O1105-J1106*(1-I1106))</f>
        <v>-252980.00480356737</v>
      </c>
      <c r="P1106" s="11">
        <f>IF($A1106&gt;'1-Input'!$B$26,0,IF(U1105&lt;=0,0,MAX(0,(U1105-V1105)/U1105)))</f>
        <v>0</v>
      </c>
      <c r="Q1106" s="18">
        <f>IF($A1106&gt;'1-Input'!$B$26,0,(MAX(0,P1056-IF($A1106&gt;='1-Input'!$C$12,'1-Input'!$B$12,0))-MIN(MAX(T1105,0),MAX(0,P1056-IF($A1106&gt;='1-Input'!$C$12,'1-Input'!$B$12,0))))*(1/(1-'P-Parametri'!$B$6*P1106))+MIN(MAX(0,U1105-(MAX(0,P1056-IF($A1106&gt;='1-Input'!$C$12,'1-Input'!$B$12,0))-MIN(MAX(T1105,0),MAX(0,P1056-IF($A1106&gt;='1-Input'!$C$12,'1-Input'!$B$12,0))))*(1/(1-'P-Parametri'!$B$6*P1106))),MAX(0,2*P1056-(T1105-MIN(MAX(T1105,0),MAX(0,P1056-IF($A1106&gt;='1-Input'!$C$12,'1-Input'!$B$12,0)))))*(1/(1-'P-Parametri'!$B$6*P1106))))</f>
        <v>0</v>
      </c>
      <c r="R1106" s="18">
        <f>IF($A1106&gt;'1-Input'!$B$26,T1105,(T1105-MAX(0,P1056-IF($A1106&gt;='1-Input'!$C$12,'1-Input'!$B$12,0))+Q1106*(1-'P-Parametri'!$B$6*P1106))*(1+'1-Input'!$B$27))</f>
        <v>0</v>
      </c>
      <c r="S1106" s="18">
        <f>IF($A1106&gt;'1-Input'!$B$26,U1105,(U1105-Q1106)*(1+'5-Roberta'!$C$4))</f>
        <v>-9414.4112909580163</v>
      </c>
      <c r="T1106" s="18">
        <f>IF($A1106&gt;'1-Input'!$B$26,R1106,R1106-'P-Parametri'!$B$8*(S1106+R1106)+MIN(MAX(S1106,0),'P-Parametri'!$B$8*(S1106+R1106)))</f>
        <v>0</v>
      </c>
      <c r="U1106" s="18">
        <f>IF($A1106&gt;'1-Input'!$B$26,S1106,S1106-MIN(MAX(S1106,0),'P-Parametri'!$B$8*(S1106+R1106)))</f>
        <v>-9414.4112909580163</v>
      </c>
      <c r="V1106" s="18">
        <f>IF($A1106&gt;'1-Input'!$B$26,V1105,V1105-Q1106*(1-P1106))</f>
        <v>-9087.3344010597484</v>
      </c>
      <c r="W1106" s="11">
        <f>IF($A1106&gt;'1-Input'!$B$26,0,IF(AB1105&lt;=0,0,MAX(0,(AB1105-AC1105)/AB1105)))</f>
        <v>0</v>
      </c>
      <c r="X1106" s="18">
        <f>IF($A1106&gt;'1-Input'!$B$26,0,(MAX(0,W1056-IF($A1106&gt;='1-Input'!$C$12,'1-Input'!$B$12,0))-MIN(MAX(AA1105,0),MAX(0,W1056-IF($A1106&gt;='1-Input'!$C$12,'1-Input'!$B$12,0))))*(1/(1-'P-Parametri'!$B$6*W1106))+MIN(MAX(0,AB1105-(MAX(0,W1056-IF($A1106&gt;='1-Input'!$C$12,'1-Input'!$B$12,0))-MIN(MAX(AA1105,0),MAX(0,W1056-IF($A1106&gt;='1-Input'!$C$12,'1-Input'!$B$12,0))))*(1/(1-'P-Parametri'!$B$6*W1106))),MAX(0,2*W1056-(AA1105-MIN(MAX(AA1105,0),MAX(0,W1056-IF($A1106&gt;='1-Input'!$C$12,'1-Input'!$B$12,0)))))*(1/(1-'P-Parametri'!$B$6*W1106))))</f>
        <v>0</v>
      </c>
      <c r="Y1106" s="18">
        <f>IF($A1106&gt;'1-Input'!$B$26,AA1105,(AA1105-MAX(0,W1056-IF($A1106&gt;='1-Input'!$C$12,'1-Input'!$B$12,0))+X1106*(1-'P-Parametri'!$B$6*W1106))*(1+'1-Input'!$B$27))</f>
        <v>0</v>
      </c>
      <c r="Z1106" s="18">
        <f>IF($A1106&gt;'1-Input'!$B$26,AB1105,(AB1105-X1106)*(1+'5-Roberta'!$C$4))</f>
        <v>-681.85603111223088</v>
      </c>
      <c r="AA1106" s="18">
        <f>IF($A1106&gt;'1-Input'!$B$26,Y1106,Y1106-'P-Parametri'!$B$8*(Z1106+Y1106)+MIN(MAX(Z1106,0),'P-Parametri'!$B$8*(Z1106+Y1106)))</f>
        <v>0</v>
      </c>
      <c r="AB1106" s="18">
        <f>IF($A1106&gt;'1-Input'!$B$26,Z1106,Z1106-MIN(MAX(Z1106,0),'P-Parametri'!$B$8*(Z1106+Y1106)))</f>
        <v>-681.85603111223088</v>
      </c>
      <c r="AC1106" s="18">
        <f>IF($A1106&gt;'1-Input'!$B$26,AC1105,AC1105-X1106*(1-W1106))</f>
        <v>-663.32279229549488</v>
      </c>
      <c r="AD1106" s="11">
        <f>IF($A1106&gt;'1-Input'!$B$26,0,IF(AI1105&lt;=0,0,MAX(0,(AI1105-AJ1105)/AI1105)))</f>
        <v>0</v>
      </c>
      <c r="AE1106" s="18">
        <f>IF($A1106&gt;'1-Input'!$B$26,0,(MAX(0,AD1056-IF($A1106&gt;='1-Input'!$C$12,'1-Input'!$B$12,0))-MIN(MAX(AH1105,0),MAX(0,AD1056-IF($A1106&gt;='1-Input'!$C$12,'1-Input'!$B$12,0))))*(1/(1-'P-Parametri'!$B$6*AD1106))+MIN(MAX(0,AI1105-(MAX(0,AD1056-IF($A1106&gt;='1-Input'!$C$12,'1-Input'!$B$12,0))-MIN(MAX(AH1105,0),MAX(0,AD1056-IF($A1106&gt;='1-Input'!$C$12,'1-Input'!$B$12,0))))*(1/(1-'P-Parametri'!$B$6*AD1106))),MAX(0,2*AD1056-(AH1105-MIN(MAX(AH1105,0),MAX(0,AD1056-IF($A1106&gt;='1-Input'!$C$12,'1-Input'!$B$12,0)))))*(1/(1-'P-Parametri'!$B$6*AD1106))))</f>
        <v>0</v>
      </c>
      <c r="AF1106" s="18">
        <f>IF($A1106&gt;'1-Input'!$B$26,AH1105,(AH1105-MAX(0,AD1056-IF($A1106&gt;='1-Input'!$C$12,'1-Input'!$B$12,0))+AE1106*(1-'P-Parametri'!$B$6*AD1106))*(1+'1-Input'!$B$27))</f>
        <v>3.0548745797838812</v>
      </c>
      <c r="AG1106" s="18">
        <f>IF($A1106&gt;'1-Input'!$B$26,AI1105,(AI1105-AE1106)*(1+'5-Roberta'!$C$4))</f>
        <v>0</v>
      </c>
      <c r="AH1106" s="18">
        <f>IF($A1106&gt;'1-Input'!$B$26,AF1106,AF1106-'P-Parametri'!$B$8*(AG1106+AF1106)+MIN(MAX(AG1106,0),'P-Parametri'!$B$8*(AG1106+AF1106)))</f>
        <v>3.0548745797838812</v>
      </c>
      <c r="AI1106" s="18">
        <f>IF($A1106&gt;'1-Input'!$B$26,AG1106,AG1106-MIN(MAX(AG1106,0),'P-Parametri'!$B$8*(AG1106+AF1106)))</f>
        <v>0</v>
      </c>
      <c r="AJ1106" s="18">
        <f>IF($A1106&gt;'1-Input'!$B$26,AJ1105,AJ1105-AE1106*(1-AD1106))</f>
        <v>0</v>
      </c>
      <c r="AK1106" s="11">
        <f>IF($A1106&gt;'1-Input'!$B$26,0,IF(AP1105&lt;=0,0,MAX(0,(AP1105-AQ1105)/AP1105)))</f>
        <v>0</v>
      </c>
      <c r="AL1106" s="18">
        <f>IF($A1106&gt;'1-Input'!$B$26,0,(MAX(0,AK1056-IF($A1106&gt;='1-Input'!$C$12,'1-Input'!$B$12,0))-MIN(MAX(AO1105,0),MAX(0,AK1056-IF($A1106&gt;='1-Input'!$C$12,'1-Input'!$B$12,0))))*(1/(1-'P-Parametri'!$B$6*AK1106))+MIN(MAX(0,AP1105-(MAX(0,AK1056-IF($A1106&gt;='1-Input'!$C$12,'1-Input'!$B$12,0))-MIN(MAX(AO1105,0),MAX(0,AK1056-IF($A1106&gt;='1-Input'!$C$12,'1-Input'!$B$12,0))))*(1/(1-'P-Parametri'!$B$6*AK1106))),MAX(0,2*AK1056-(AO1105-MIN(MAX(AO1105,0),MAX(0,AK1056-IF($A1106&gt;='1-Input'!$C$12,'1-Input'!$B$12,0)))))*(1/(1-'P-Parametri'!$B$6*AK1106))))</f>
        <v>0</v>
      </c>
      <c r="AM1106" s="18">
        <f>IF($A1106&gt;'1-Input'!$B$26,AO1105,(AO1105-MAX(0,AK1056-IF($A1106&gt;='1-Input'!$C$12,'1-Input'!$B$12,0))+AL1106*(1-'P-Parametri'!$B$6*AK1106))*(1+'1-Input'!$B$27))</f>
        <v>9.9203407556468406E-2</v>
      </c>
      <c r="AN1106" s="18">
        <f>IF($A1106&gt;'1-Input'!$B$26,AP1105,(AP1105-AL1106)*(1+'5-Roberta'!$C$4))</f>
        <v>0</v>
      </c>
      <c r="AO1106" s="18">
        <f>IF($A1106&gt;'1-Input'!$B$26,AM1106,AM1106-'P-Parametri'!$B$8*(AN1106+AM1106)+MIN(MAX(AN1106,0),'P-Parametri'!$B$8*(AN1106+AM1106)))</f>
        <v>9.9203407556468406E-2</v>
      </c>
      <c r="AP1106" s="18">
        <f>IF($A1106&gt;'1-Input'!$B$26,AN1106,AN1106-MIN(MAX(AN1106,0),'P-Parametri'!$B$8*(AN1106+AM1106)))</f>
        <v>0</v>
      </c>
      <c r="AQ1106" s="18">
        <f>IF($A1106&gt;'1-Input'!$B$26,AQ1105,AQ1105-AL1106*(1-AK1106))</f>
        <v>-2.2737367544323206E-13</v>
      </c>
    </row>
    <row r="1107" spans="1:43">
      <c r="A1107" s="4" t="s">
        <v>365</v>
      </c>
      <c r="B1107" s="18">
        <f>F1106+G1106</f>
        <v>80239.967990994104</v>
      </c>
      <c r="I1107" s="18">
        <f>M1106+N1106</f>
        <v>-359869.17423121334</v>
      </c>
      <c r="P1107" s="18">
        <f>T1106+U1106</f>
        <v>-9414.4112909580163</v>
      </c>
      <c r="W1107" s="18">
        <f>AA1106+AB1106</f>
        <v>-681.85603111223088</v>
      </c>
      <c r="AD1107" s="18">
        <f>AH1106+AI1106</f>
        <v>3.0548745797838812</v>
      </c>
      <c r="AK1107" s="18">
        <f>AO1106+AP1106</f>
        <v>9.9203407556468406E-2</v>
      </c>
    </row>
    <row r="1108" spans="1:43">
      <c r="A1108" s="5" t="s">
        <v>266</v>
      </c>
      <c r="B1108" s="18">
        <f>IFERROR(AK1056-AK1107*(AK1056-AD1056)/(AK1107-AD1107),AK1056)</f>
        <v>17516.75193513936</v>
      </c>
    </row>
  </sheetData>
  <mergeCells count="5">
    <mergeCell ref="A2:F2"/>
    <mergeCell ref="A1:F1"/>
    <mergeCell ref="A5:F5"/>
    <mergeCell ref="A26:F26"/>
    <mergeCell ref="A3:F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4"/>
  <sheetViews>
    <sheetView workbookViewId="0"/>
  </sheetViews>
  <sheetFormatPr defaultRowHeight="15"/>
  <cols>
    <col min="1" max="1" width="8" customWidth="1"/>
    <col min="2" max="2" width="14" customWidth="1"/>
    <col min="3" max="4" width="12" customWidth="1"/>
    <col min="5" max="8" width="15" customWidth="1"/>
    <col min="9" max="9" width="13" customWidth="1"/>
    <col min="10" max="10" width="16" customWidth="1"/>
    <col min="11" max="13" width="13" customWidth="1"/>
    <col min="14" max="18" width="14" customWidth="1"/>
    <col min="19" max="19" width="12" customWidth="1"/>
  </cols>
  <sheetData>
    <row r="1" spans="1:19" ht="24.95" customHeight="1">
      <c r="A1" s="34" t="s">
        <v>429</v>
      </c>
      <c r="B1" s="33"/>
      <c r="C1" s="33"/>
      <c r="D1" s="33"/>
      <c r="E1" s="33"/>
      <c r="F1" s="33"/>
      <c r="G1" s="33"/>
      <c r="H1" s="33"/>
      <c r="I1" s="33"/>
      <c r="J1" s="33"/>
    </row>
    <row r="2" spans="1:19" ht="32.1" customHeight="1">
      <c r="A2" s="32" t="s">
        <v>1</v>
      </c>
      <c r="B2" s="33"/>
      <c r="C2" s="33"/>
      <c r="D2" s="33"/>
      <c r="E2" s="33"/>
      <c r="F2" s="33"/>
      <c r="G2" s="33"/>
      <c r="H2" s="33"/>
      <c r="I2" s="33"/>
      <c r="J2" s="33"/>
    </row>
    <row r="3" spans="1:19" ht="45" customHeight="1">
      <c r="A3" s="35" t="s">
        <v>430</v>
      </c>
      <c r="B3" s="33"/>
      <c r="C3" s="33"/>
      <c r="D3" s="33"/>
      <c r="E3" s="33"/>
      <c r="F3" s="33"/>
      <c r="G3" s="33"/>
      <c r="H3" s="33"/>
      <c r="I3" s="33"/>
      <c r="J3" s="33"/>
    </row>
    <row r="5" spans="1:19" ht="75">
      <c r="A5" s="5" t="s">
        <v>431</v>
      </c>
      <c r="B5" s="11">
        <f>'P-Parametri'!$B$31</f>
        <v>0.6</v>
      </c>
      <c r="D5" s="5" t="s">
        <v>432</v>
      </c>
      <c r="E5" s="18">
        <f>'1-Input'!$B$15*'1-Input'!$B$10</f>
        <v>39600</v>
      </c>
    </row>
    <row r="7" spans="1:19" ht="30">
      <c r="A7" s="25" t="s">
        <v>262</v>
      </c>
      <c r="B7" s="25" t="s">
        <v>433</v>
      </c>
      <c r="C7" s="25" t="s">
        <v>434</v>
      </c>
      <c r="D7" s="25" t="s">
        <v>435</v>
      </c>
      <c r="E7" s="25" t="s">
        <v>436</v>
      </c>
      <c r="F7" s="25" t="s">
        <v>437</v>
      </c>
      <c r="G7" s="25" t="s">
        <v>438</v>
      </c>
      <c r="H7" s="25" t="s">
        <v>439</v>
      </c>
      <c r="I7" s="25" t="s">
        <v>440</v>
      </c>
      <c r="J7" s="25" t="s">
        <v>441</v>
      </c>
      <c r="K7" s="25" t="s">
        <v>442</v>
      </c>
      <c r="L7" s="25" t="s">
        <v>443</v>
      </c>
      <c r="M7" s="25" t="s">
        <v>444</v>
      </c>
      <c r="N7" s="25" t="s">
        <v>445</v>
      </c>
      <c r="O7" s="25" t="s">
        <v>446</v>
      </c>
      <c r="P7" s="25" t="s">
        <v>447</v>
      </c>
      <c r="Q7" s="25" t="s">
        <v>448</v>
      </c>
      <c r="R7" s="25" t="s">
        <v>449</v>
      </c>
      <c r="S7" s="25" t="s">
        <v>450</v>
      </c>
    </row>
    <row r="8" spans="1:19">
      <c r="A8" s="3">
        <v>0</v>
      </c>
      <c r="C8" s="29">
        <f>1</f>
        <v>1</v>
      </c>
      <c r="E8" s="18">
        <f>'1-Input'!$B$15*'1-Input'!$B$10</f>
        <v>39600</v>
      </c>
      <c r="F8" s="18">
        <f>'2-Caso'!$B$12-E8-G8</f>
        <v>135990.05594342953</v>
      </c>
      <c r="G8" s="18">
        <f>'P-Parametri'!$B$31*'2-Caso'!$B$12</f>
        <v>263385.08391514426</v>
      </c>
      <c r="H8" s="18">
        <f t="shared" ref="H8:H53" si="0">E8+F8+G8</f>
        <v>438975.13985857379</v>
      </c>
      <c r="I8" s="23">
        <f>G8/H8</f>
        <v>0.6</v>
      </c>
      <c r="K8" s="29">
        <f>1</f>
        <v>1</v>
      </c>
    </row>
    <row r="9" spans="1:19">
      <c r="A9" s="10">
        <f>1</f>
        <v>1</v>
      </c>
      <c r="B9" s="11">
        <f>IF(A9=1,'P-Parametri'!$B$30,IF(A9=2,'P-Parametri'!$C$30,'P-Parametri'!$B$29))</f>
        <v>-0.35</v>
      </c>
      <c r="C9" s="29">
        <f t="shared" ref="C9:C53" si="1">C8*(1+B9)</f>
        <v>0.65</v>
      </c>
      <c r="D9" s="10">
        <f t="shared" ref="D9:D53" si="2">IF(C8&gt;=K8-0.0000000001,1,0)</f>
        <v>1</v>
      </c>
      <c r="E9" s="18">
        <f>IF(D9=1,MIN('1-Input'!$B$15*'1-Input'!$B$10,R9),O9+S9)*(1+'1-Input'!$B$27)</f>
        <v>39457.439999999995</v>
      </c>
      <c r="F9" s="18">
        <f>IF(D9=1,R9-'P-Parametri'!$B$31*R9-MIN('1-Input'!$B$15*'1-Input'!$B$10,R9),P9-S9)*(1+'P-Parametri'!$C$29)</f>
        <v>128710.40622314667</v>
      </c>
      <c r="G9" s="18">
        <f>IF(D9=1,'P-Parametri'!$B$31*R9,Q9)*(1+B9)</f>
        <v>163478.30454484376</v>
      </c>
      <c r="H9" s="18">
        <f t="shared" si="0"/>
        <v>331646.15076799039</v>
      </c>
      <c r="I9" s="23">
        <f t="shared" ref="I9:I53" si="3">IF(H9&lt;=0,0,G9/H9)</f>
        <v>0.49292990184351104</v>
      </c>
      <c r="J9" s="30">
        <f>IF(C9&gt;=K9,0,LN(K9/C9)/LN(1+'P-Parametri'!$B$29))</f>
        <v>6.5007129400842265</v>
      </c>
      <c r="K9" s="29">
        <f t="shared" ref="K9:K53" si="4">MAX(K8,C8)</f>
        <v>1</v>
      </c>
      <c r="L9" s="18">
        <f>MIN(MAX(E8,0),MAX(0,'1-Input'!$B$10-IF(A9&gt;='1-Input'!$C$12,'1-Input'!$B$12,0)))</f>
        <v>19800</v>
      </c>
      <c r="M9" s="18">
        <f>MIN(MAX(F8,0),MAX(0,'1-Input'!$B$10-IF(A9&gt;='1-Input'!$C$12,'1-Input'!$B$12,0))-L9)</f>
        <v>0</v>
      </c>
      <c r="N9" s="18">
        <f>MIN(MAX(G8,0),MAX(0,'1-Input'!$B$10-IF(A9&gt;='1-Input'!$C$12,'1-Input'!$B$12,0))-L9-M9)</f>
        <v>0</v>
      </c>
      <c r="O9" s="18">
        <f t="shared" ref="O9:O53" si="5">E8-L9</f>
        <v>19800</v>
      </c>
      <c r="P9" s="18">
        <f t="shared" ref="P9:P53" si="6">F8-M9</f>
        <v>135990.05594342953</v>
      </c>
      <c r="Q9" s="18">
        <f t="shared" ref="Q9:Q53" si="7">G8-N9</f>
        <v>263385.08391514426</v>
      </c>
      <c r="R9" s="18">
        <f t="shared" ref="R9:R53" si="8">O9+P9+Q9</f>
        <v>419175.13985857379</v>
      </c>
      <c r="S9" s="18">
        <f>MIN(MAX('1-Input'!$B$15*'1-Input'!$B$10-O9,0),MAX(P9,0))</f>
        <v>19800</v>
      </c>
    </row>
    <row r="10" spans="1:19">
      <c r="A10" s="10">
        <f>2</f>
        <v>2</v>
      </c>
      <c r="B10" s="11">
        <f>IF(A10=1,'P-Parametri'!$B$30,IF(A10=2,'P-Parametri'!$C$30,'P-Parametri'!$B$29))</f>
        <v>-0.2</v>
      </c>
      <c r="C10" s="29">
        <f t="shared" si="1"/>
        <v>0.52</v>
      </c>
      <c r="D10" s="10">
        <f t="shared" si="2"/>
        <v>0</v>
      </c>
      <c r="E10" s="18">
        <f>IF(D10=1,MIN('1-Input'!$B$15*'1-Input'!$B$10,R10),O10+S10)*(1+'1-Input'!$B$27)</f>
        <v>39457.439999999995</v>
      </c>
      <c r="F10" s="18">
        <f>IF(D10=1,R10-'P-Parametri'!$B$31*R10-MIN('1-Input'!$B$15*'1-Input'!$B$10,R10),P10-S10)*(1+'P-Parametri'!$C$29)</f>
        <v>109311.68545426238</v>
      </c>
      <c r="G10" s="18">
        <f>IF(D10=1,'P-Parametri'!$B$31*R10,Q10)*(1+B10)</f>
        <v>130782.64363587502</v>
      </c>
      <c r="H10" s="18">
        <f t="shared" si="0"/>
        <v>279551.76909013739</v>
      </c>
      <c r="I10" s="23">
        <f t="shared" si="3"/>
        <v>0.46782978359083849</v>
      </c>
      <c r="J10" s="30">
        <f>IF(C10&gt;=K10,0,LN(K10/C10)/LN(1+'P-Parametri'!$B$29))</f>
        <v>9.8680520738703663</v>
      </c>
      <c r="K10" s="29">
        <f t="shared" si="4"/>
        <v>1</v>
      </c>
      <c r="L10" s="18">
        <f>MIN(MAX(E9,0),MAX(0,'1-Input'!$B$10-IF(A10&gt;='1-Input'!$C$12,'1-Input'!$B$12,0)))</f>
        <v>19800</v>
      </c>
      <c r="M10" s="18">
        <f>MIN(MAX(F9,0),MAX(0,'1-Input'!$B$10-IF(A10&gt;='1-Input'!$C$12,'1-Input'!$B$12,0))-L10)</f>
        <v>0</v>
      </c>
      <c r="N10" s="18">
        <f>MIN(MAX(G9,0),MAX(0,'1-Input'!$B$10-IF(A10&gt;='1-Input'!$C$12,'1-Input'!$B$12,0))-L10-M10)</f>
        <v>0</v>
      </c>
      <c r="O10" s="18">
        <f t="shared" si="5"/>
        <v>19657.439999999995</v>
      </c>
      <c r="P10" s="18">
        <f t="shared" si="6"/>
        <v>128710.40622314667</v>
      </c>
      <c r="Q10" s="18">
        <f t="shared" si="7"/>
        <v>163478.30454484376</v>
      </c>
      <c r="R10" s="18">
        <f t="shared" si="8"/>
        <v>311846.15076799039</v>
      </c>
      <c r="S10" s="18">
        <f>MIN(MAX('1-Input'!$B$15*'1-Input'!$B$10-O10,0),MAX(P10,0))</f>
        <v>19942.560000000005</v>
      </c>
    </row>
    <row r="11" spans="1:19">
      <c r="A11" s="10">
        <f>3</f>
        <v>3</v>
      </c>
      <c r="B11" s="11">
        <f>IF(A11=1,'P-Parametri'!$B$30,IF(A11=2,'P-Parametri'!$C$30,'P-Parametri'!$B$29))</f>
        <v>6.8512000000000003E-2</v>
      </c>
      <c r="C11" s="29">
        <f t="shared" si="1"/>
        <v>0.55562623999999994</v>
      </c>
      <c r="D11" s="10">
        <f t="shared" si="2"/>
        <v>0</v>
      </c>
      <c r="E11" s="18">
        <f>IF(D11=1,MIN('1-Input'!$B$15*'1-Input'!$B$10,R11),O11+S11)*(1+'1-Input'!$B$27)</f>
        <v>39457.439999999995</v>
      </c>
      <c r="F11" s="18">
        <f>IF(D11=1,R11-'P-Parametri'!$B$31*R11-MIN('1-Input'!$B$15*'1-Input'!$B$10,R11),P11-S11)*(1+'P-Parametri'!$C$29)</f>
        <v>89815.971081533673</v>
      </c>
      <c r="G11" s="18">
        <f>IF(D11=1,'P-Parametri'!$B$31*R11,Q11)*(1+B11)</f>
        <v>139742.82411665609</v>
      </c>
      <c r="H11" s="18">
        <f t="shared" si="0"/>
        <v>269016.23519818974</v>
      </c>
      <c r="I11" s="23">
        <f t="shared" si="3"/>
        <v>0.51945870112153159</v>
      </c>
      <c r="J11" s="30">
        <f>IF(C11&gt;=K11,0,LN(K11/C11)/LN(1+'P-Parametri'!$B$29))</f>
        <v>8.8680520738703681</v>
      </c>
      <c r="K11" s="29">
        <f t="shared" si="4"/>
        <v>1</v>
      </c>
      <c r="L11" s="18">
        <f>MIN(MAX(E10,0),MAX(0,'1-Input'!$B$10-IF(A11&gt;='1-Input'!$C$12,'1-Input'!$B$12,0)))</f>
        <v>19800</v>
      </c>
      <c r="M11" s="18">
        <f>MIN(MAX(F10,0),MAX(0,'1-Input'!$B$10-IF(A11&gt;='1-Input'!$C$12,'1-Input'!$B$12,0))-L11)</f>
        <v>0</v>
      </c>
      <c r="N11" s="18">
        <f>MIN(MAX(G10,0),MAX(0,'1-Input'!$B$10-IF(A11&gt;='1-Input'!$C$12,'1-Input'!$B$12,0))-L11-M11)</f>
        <v>0</v>
      </c>
      <c r="O11" s="18">
        <f t="shared" si="5"/>
        <v>19657.439999999995</v>
      </c>
      <c r="P11" s="18">
        <f t="shared" si="6"/>
        <v>109311.68545426238</v>
      </c>
      <c r="Q11" s="18">
        <f t="shared" si="7"/>
        <v>130782.64363587502</v>
      </c>
      <c r="R11" s="18">
        <f t="shared" si="8"/>
        <v>259751.76909013739</v>
      </c>
      <c r="S11" s="18">
        <f>MIN(MAX('1-Input'!$B$15*'1-Input'!$B$10-O11,0),MAX(P11,0))</f>
        <v>19942.560000000005</v>
      </c>
    </row>
    <row r="12" spans="1:19">
      <c r="A12" s="10">
        <f>4</f>
        <v>4</v>
      </c>
      <c r="B12" s="11">
        <f>IF(A12=1,'P-Parametri'!$B$30,IF(A12=2,'P-Parametri'!$C$30,'P-Parametri'!$B$29))</f>
        <v>6.8512000000000003E-2</v>
      </c>
      <c r="C12" s="29">
        <f t="shared" si="1"/>
        <v>0.59369330495487993</v>
      </c>
      <c r="D12" s="10">
        <f t="shared" si="2"/>
        <v>0</v>
      </c>
      <c r="E12" s="18">
        <f>IF(D12=1,MIN('1-Input'!$B$15*'1-Input'!$B$10,R12),O12+S12)*(1+'1-Input'!$B$27)</f>
        <v>39457.439999999995</v>
      </c>
      <c r="F12" s="18">
        <f>IF(D12=1,R12-'P-Parametri'!$B$31*R12-MIN('1-Input'!$B$15*'1-Input'!$B$10,R12),P12-S12)*(1+'P-Parametri'!$C$29)</f>
        <v>70222.778136941342</v>
      </c>
      <c r="G12" s="18">
        <f>IF(D12=1,'P-Parametri'!$B$31*R12,Q12)*(1+B12)</f>
        <v>149316.88448253641</v>
      </c>
      <c r="H12" s="18">
        <f t="shared" si="0"/>
        <v>258997.10261947775</v>
      </c>
      <c r="I12" s="23">
        <f t="shared" si="3"/>
        <v>0.57651951690716363</v>
      </c>
      <c r="J12" s="30">
        <f>IF(C12&gt;=K12,0,LN(K12/C12)/LN(1+'P-Parametri'!$B$29))</f>
        <v>7.8680520738703654</v>
      </c>
      <c r="K12" s="29">
        <f t="shared" si="4"/>
        <v>1</v>
      </c>
      <c r="L12" s="18">
        <f>MIN(MAX(E11,0),MAX(0,'1-Input'!$B$10-IF(A12&gt;='1-Input'!$C$12,'1-Input'!$B$12,0)))</f>
        <v>19800</v>
      </c>
      <c r="M12" s="18">
        <f>MIN(MAX(F11,0),MAX(0,'1-Input'!$B$10-IF(A12&gt;='1-Input'!$C$12,'1-Input'!$B$12,0))-L12)</f>
        <v>0</v>
      </c>
      <c r="N12" s="18">
        <f>MIN(MAX(G11,0),MAX(0,'1-Input'!$B$10-IF(A12&gt;='1-Input'!$C$12,'1-Input'!$B$12,0))-L12-M12)</f>
        <v>0</v>
      </c>
      <c r="O12" s="18">
        <f t="shared" si="5"/>
        <v>19657.439999999995</v>
      </c>
      <c r="P12" s="18">
        <f t="shared" si="6"/>
        <v>89815.971081533673</v>
      </c>
      <c r="Q12" s="18">
        <f t="shared" si="7"/>
        <v>139742.82411665609</v>
      </c>
      <c r="R12" s="18">
        <f t="shared" si="8"/>
        <v>249216.23519818977</v>
      </c>
      <c r="S12" s="18">
        <f>MIN(MAX('1-Input'!$B$15*'1-Input'!$B$10-O12,0),MAX(P12,0))</f>
        <v>19942.560000000005</v>
      </c>
    </row>
    <row r="13" spans="1:19">
      <c r="A13" s="10">
        <f>5</f>
        <v>5</v>
      </c>
      <c r="B13" s="11">
        <f>IF(A13=1,'P-Parametri'!$B$30,IF(A13=2,'P-Parametri'!$C$30,'P-Parametri'!$B$29))</f>
        <v>6.8512000000000003E-2</v>
      </c>
      <c r="C13" s="29">
        <f t="shared" si="1"/>
        <v>0.63436842066394861</v>
      </c>
      <c r="D13" s="10">
        <f t="shared" si="2"/>
        <v>0</v>
      </c>
      <c r="E13" s="18">
        <f>IF(D13=1,MIN('1-Input'!$B$15*'1-Input'!$B$10,R13),O13+S13)*(1+'1-Input'!$B$27)</f>
        <v>39457.439999999995</v>
      </c>
      <c r="F13" s="18">
        <f>IF(D13=1,R13-'P-Parametri'!$B$31*R13-MIN('1-Input'!$B$15*'1-Input'!$B$10,R13),P13-S13)*(1+'P-Parametri'!$C$29)</f>
        <v>50531.619227626041</v>
      </c>
      <c r="G13" s="18">
        <f>IF(D13=1,'P-Parametri'!$B$31*R13,Q13)*(1+B13)</f>
        <v>159546.88287220392</v>
      </c>
      <c r="H13" s="18">
        <f t="shared" si="0"/>
        <v>249535.94209982996</v>
      </c>
      <c r="I13" s="23">
        <f t="shared" si="3"/>
        <v>0.63937435837750056</v>
      </c>
      <c r="J13" s="30">
        <f>IF(C13&gt;=K13,0,LN(K13/C13)/LN(1+'P-Parametri'!$B$29))</f>
        <v>6.8680520738703654</v>
      </c>
      <c r="K13" s="29">
        <f t="shared" si="4"/>
        <v>1</v>
      </c>
      <c r="L13" s="18">
        <f>MIN(MAX(E12,0),MAX(0,'1-Input'!$B$10-IF(A13&gt;='1-Input'!$C$12,'1-Input'!$B$12,0)))</f>
        <v>19800</v>
      </c>
      <c r="M13" s="18">
        <f>MIN(MAX(F12,0),MAX(0,'1-Input'!$B$10-IF(A13&gt;='1-Input'!$C$12,'1-Input'!$B$12,0))-L13)</f>
        <v>0</v>
      </c>
      <c r="N13" s="18">
        <f>MIN(MAX(G12,0),MAX(0,'1-Input'!$B$10-IF(A13&gt;='1-Input'!$C$12,'1-Input'!$B$12,0))-L13-M13)</f>
        <v>0</v>
      </c>
      <c r="O13" s="18">
        <f t="shared" si="5"/>
        <v>19657.439999999995</v>
      </c>
      <c r="P13" s="18">
        <f t="shared" si="6"/>
        <v>70222.778136941342</v>
      </c>
      <c r="Q13" s="18">
        <f t="shared" si="7"/>
        <v>149316.88448253641</v>
      </c>
      <c r="R13" s="18">
        <f t="shared" si="8"/>
        <v>239197.10261947775</v>
      </c>
      <c r="S13" s="18">
        <f>MIN(MAX('1-Input'!$B$15*'1-Input'!$B$10-O13,0),MAX(P13,0))</f>
        <v>19942.560000000005</v>
      </c>
    </row>
    <row r="14" spans="1:19">
      <c r="A14" s="10">
        <f>6</f>
        <v>6</v>
      </c>
      <c r="B14" s="11">
        <f>IF(A14=1,'P-Parametri'!$B$30,IF(A14=2,'P-Parametri'!$C$30,'P-Parametri'!$B$29))</f>
        <v>6.8512000000000003E-2</v>
      </c>
      <c r="C14" s="29">
        <f t="shared" si="1"/>
        <v>0.67783026990047701</v>
      </c>
      <c r="D14" s="10">
        <f t="shared" si="2"/>
        <v>0</v>
      </c>
      <c r="E14" s="18">
        <f>IF(D14=1,MIN('1-Input'!$B$15*'1-Input'!$B$10,R14),O14+S14)*(1+'1-Input'!$B$27)</f>
        <v>39457.439999999995</v>
      </c>
      <c r="F14" s="18">
        <f>IF(D14=1,R14-'P-Parametri'!$B$31*R14-MIN('1-Input'!$B$15*'1-Input'!$B$10,R14),P14-S14)*(1+'P-Parametri'!$C$29)</f>
        <v>30742.004523764164</v>
      </c>
      <c r="G14" s="18">
        <f>IF(D14=1,'P-Parametri'!$B$31*R14,Q14)*(1+B14)</f>
        <v>170477.75891154434</v>
      </c>
      <c r="H14" s="18">
        <f t="shared" si="0"/>
        <v>240677.2034353085</v>
      </c>
      <c r="I14" s="23">
        <f t="shared" si="3"/>
        <v>0.70832532736058218</v>
      </c>
      <c r="J14" s="30">
        <f>IF(C14&gt;=K14,0,LN(K14/C14)/LN(1+'P-Parametri'!$B$29))</f>
        <v>5.8680520738703663</v>
      </c>
      <c r="K14" s="29">
        <f t="shared" si="4"/>
        <v>1</v>
      </c>
      <c r="L14" s="18">
        <f>MIN(MAX(E13,0),MAX(0,'1-Input'!$B$10-IF(A14&gt;='1-Input'!$C$12,'1-Input'!$B$12,0)))</f>
        <v>19800</v>
      </c>
      <c r="M14" s="18">
        <f>MIN(MAX(F13,0),MAX(0,'1-Input'!$B$10-IF(A14&gt;='1-Input'!$C$12,'1-Input'!$B$12,0))-L14)</f>
        <v>0</v>
      </c>
      <c r="N14" s="18">
        <f>MIN(MAX(G13,0),MAX(0,'1-Input'!$B$10-IF(A14&gt;='1-Input'!$C$12,'1-Input'!$B$12,0))-L14-M14)</f>
        <v>0</v>
      </c>
      <c r="O14" s="18">
        <f t="shared" si="5"/>
        <v>19657.439999999995</v>
      </c>
      <c r="P14" s="18">
        <f t="shared" si="6"/>
        <v>50531.619227626041</v>
      </c>
      <c r="Q14" s="18">
        <f t="shared" si="7"/>
        <v>159546.88287220392</v>
      </c>
      <c r="R14" s="18">
        <f t="shared" si="8"/>
        <v>229735.94209982996</v>
      </c>
      <c r="S14" s="18">
        <f>MIN(MAX('1-Input'!$B$15*'1-Input'!$B$10-O14,0),MAX(P14,0))</f>
        <v>19942.560000000005</v>
      </c>
    </row>
    <row r="15" spans="1:19">
      <c r="A15" s="10">
        <f>7</f>
        <v>7</v>
      </c>
      <c r="B15" s="11">
        <f>IF(A15=1,'P-Parametri'!$B$30,IF(A15=2,'P-Parametri'!$C$30,'P-Parametri'!$B$29))</f>
        <v>6.8512000000000003E-2</v>
      </c>
      <c r="C15" s="29">
        <f t="shared" si="1"/>
        <v>0.72426977735189846</v>
      </c>
      <c r="D15" s="10">
        <f t="shared" si="2"/>
        <v>0</v>
      </c>
      <c r="E15" s="18">
        <f>IF(D15=1,MIN('1-Input'!$B$15*'1-Input'!$B$10,R15),O15+S15)*(1+'1-Input'!$B$27)</f>
        <v>39457.439999999995</v>
      </c>
      <c r="F15" s="18">
        <f>IF(D15=1,R15-'P-Parametri'!$B$31*R15-MIN('1-Input'!$B$15*'1-Input'!$B$10,R15),P15-S15)*(1+'P-Parametri'!$C$29)</f>
        <v>10853.44174638298</v>
      </c>
      <c r="G15" s="18">
        <f>IF(D15=1,'P-Parametri'!$B$31*R15,Q15)*(1+B15)</f>
        <v>182157.53113009204</v>
      </c>
      <c r="H15" s="18">
        <f t="shared" si="0"/>
        <v>232468.41287647502</v>
      </c>
      <c r="I15" s="23">
        <f t="shared" si="3"/>
        <v>0.78357970821129885</v>
      </c>
      <c r="J15" s="30">
        <f>IF(C15&gt;=K15,0,LN(K15/C15)/LN(1+'P-Parametri'!$B$29))</f>
        <v>4.8680520738703654</v>
      </c>
      <c r="K15" s="29">
        <f t="shared" si="4"/>
        <v>1</v>
      </c>
      <c r="L15" s="18">
        <f>MIN(MAX(E14,0),MAX(0,'1-Input'!$B$10-IF(A15&gt;='1-Input'!$C$12,'1-Input'!$B$12,0)))</f>
        <v>19800</v>
      </c>
      <c r="M15" s="18">
        <f>MIN(MAX(F14,0),MAX(0,'1-Input'!$B$10-IF(A15&gt;='1-Input'!$C$12,'1-Input'!$B$12,0))-L15)</f>
        <v>0</v>
      </c>
      <c r="N15" s="18">
        <f>MIN(MAX(G14,0),MAX(0,'1-Input'!$B$10-IF(A15&gt;='1-Input'!$C$12,'1-Input'!$B$12,0))-L15-M15)</f>
        <v>0</v>
      </c>
      <c r="O15" s="18">
        <f t="shared" si="5"/>
        <v>19657.439999999995</v>
      </c>
      <c r="P15" s="18">
        <f t="shared" si="6"/>
        <v>30742.004523764164</v>
      </c>
      <c r="Q15" s="18">
        <f t="shared" si="7"/>
        <v>170477.75891154434</v>
      </c>
      <c r="R15" s="18">
        <f t="shared" si="8"/>
        <v>220877.2034353085</v>
      </c>
      <c r="S15" s="18">
        <f>MIN(MAX('1-Input'!$B$15*'1-Input'!$B$10-O15,0),MAX(P15,0))</f>
        <v>19942.560000000005</v>
      </c>
    </row>
    <row r="16" spans="1:19">
      <c r="A16" s="10">
        <f>8</f>
        <v>8</v>
      </c>
      <c r="B16" s="11">
        <f>IF(A16=1,'P-Parametri'!$B$30,IF(A16=2,'P-Parametri'!$C$30,'P-Parametri'!$B$29))</f>
        <v>6.8512000000000003E-2</v>
      </c>
      <c r="C16" s="29">
        <f t="shared" si="1"/>
        <v>0.77389094833783167</v>
      </c>
      <c r="D16" s="10">
        <f t="shared" si="2"/>
        <v>0</v>
      </c>
      <c r="E16" s="18">
        <f>IF(D16=1,MIN('1-Input'!$B$15*'1-Input'!$B$10,R16),O16+S16)*(1+'1-Input'!$B$27)</f>
        <v>30401.042572095997</v>
      </c>
      <c r="F16" s="18">
        <f>IF(D16=1,R16-'P-Parametri'!$B$31*R16-MIN('1-Input'!$B$15*'1-Input'!$B$10,R16),P16-S16)*(1+'P-Parametri'!$C$29)</f>
        <v>0</v>
      </c>
      <c r="G16" s="18">
        <f>IF(D16=1,'P-Parametri'!$B$31*R16,Q16)*(1+B16)</f>
        <v>194637.50790287688</v>
      </c>
      <c r="H16" s="18">
        <f t="shared" si="0"/>
        <v>225038.55047497287</v>
      </c>
      <c r="I16" s="23">
        <f t="shared" si="3"/>
        <v>0.86490740138553746</v>
      </c>
      <c r="J16" s="30">
        <f>IF(C16&gt;=K16,0,LN(K16/C16)/LN(1+'P-Parametri'!$B$29))</f>
        <v>3.8680520738703659</v>
      </c>
      <c r="K16" s="29">
        <f t="shared" si="4"/>
        <v>1</v>
      </c>
      <c r="L16" s="18">
        <f>MIN(MAX(E15,0),MAX(0,'1-Input'!$B$10-IF(A16&gt;='1-Input'!$C$12,'1-Input'!$B$12,0)))</f>
        <v>19800</v>
      </c>
      <c r="M16" s="18">
        <f>MIN(MAX(F15,0),MAX(0,'1-Input'!$B$10-IF(A16&gt;='1-Input'!$C$12,'1-Input'!$B$12,0))-L16)</f>
        <v>0</v>
      </c>
      <c r="N16" s="18">
        <f>MIN(MAX(G15,0),MAX(0,'1-Input'!$B$10-IF(A16&gt;='1-Input'!$C$12,'1-Input'!$B$12,0))-L16-M16)</f>
        <v>0</v>
      </c>
      <c r="O16" s="18">
        <f t="shared" si="5"/>
        <v>19657.439999999995</v>
      </c>
      <c r="P16" s="18">
        <f t="shared" si="6"/>
        <v>10853.44174638298</v>
      </c>
      <c r="Q16" s="18">
        <f t="shared" si="7"/>
        <v>182157.53113009204</v>
      </c>
      <c r="R16" s="18">
        <f t="shared" si="8"/>
        <v>212668.41287647502</v>
      </c>
      <c r="S16" s="18">
        <f>MIN(MAX('1-Input'!$B$15*'1-Input'!$B$10-O16,0),MAX(P16,0))</f>
        <v>10853.44174638298</v>
      </c>
    </row>
    <row r="17" spans="1:19">
      <c r="A17" s="10">
        <f>9</f>
        <v>9</v>
      </c>
      <c r="B17" s="11">
        <f>IF(A17=1,'P-Parametri'!$B$30,IF(A17=2,'P-Parametri'!$C$30,'P-Parametri'!$B$29))</f>
        <v>6.8512000000000003E-2</v>
      </c>
      <c r="C17" s="29">
        <f t="shared" si="1"/>
        <v>0.82691176499035313</v>
      </c>
      <c r="D17" s="10">
        <f t="shared" si="2"/>
        <v>0</v>
      </c>
      <c r="E17" s="18">
        <f>IF(D17=1,MIN('1-Input'!$B$15*'1-Input'!$B$10,R17),O17+S17)*(1+'1-Input'!$B$27)</f>
        <v>10562.878818836451</v>
      </c>
      <c r="F17" s="18">
        <f>IF(D17=1,R17-'P-Parametri'!$B$31*R17-MIN('1-Input'!$B$15*'1-Input'!$B$10,R17),P17-S17)*(1+'P-Parametri'!$C$29)</f>
        <v>0</v>
      </c>
      <c r="G17" s="18">
        <f>IF(D17=1,'P-Parametri'!$B$31*R17,Q17)*(1+B17)</f>
        <v>207972.51284431876</v>
      </c>
      <c r="H17" s="18">
        <f t="shared" si="0"/>
        <v>218535.3916631552</v>
      </c>
      <c r="I17" s="23">
        <f t="shared" si="3"/>
        <v>0.95166513424462706</v>
      </c>
      <c r="J17" s="30">
        <f>IF(C17&gt;=K17,0,LN(K17/C17)/LN(1+'P-Parametri'!$B$29))</f>
        <v>2.8680520738703636</v>
      </c>
      <c r="K17" s="29">
        <f t="shared" si="4"/>
        <v>1</v>
      </c>
      <c r="L17" s="18">
        <f>MIN(MAX(E16,0),MAX(0,'1-Input'!$B$10-IF(A17&gt;='1-Input'!$C$12,'1-Input'!$B$12,0)))</f>
        <v>19800</v>
      </c>
      <c r="M17" s="18">
        <f>MIN(MAX(F16,0),MAX(0,'1-Input'!$B$10-IF(A17&gt;='1-Input'!$C$12,'1-Input'!$B$12,0))-L17)</f>
        <v>0</v>
      </c>
      <c r="N17" s="18">
        <f>MIN(MAX(G16,0),MAX(0,'1-Input'!$B$10-IF(A17&gt;='1-Input'!$C$12,'1-Input'!$B$12,0))-L17-M17)</f>
        <v>0</v>
      </c>
      <c r="O17" s="18">
        <f t="shared" si="5"/>
        <v>10601.042572095997</v>
      </c>
      <c r="P17" s="18">
        <f t="shared" si="6"/>
        <v>0</v>
      </c>
      <c r="Q17" s="18">
        <f t="shared" si="7"/>
        <v>194637.50790287688</v>
      </c>
      <c r="R17" s="18">
        <f t="shared" si="8"/>
        <v>205238.55047497287</v>
      </c>
      <c r="S17" s="18">
        <f>MIN(MAX('1-Input'!$B$15*'1-Input'!$B$10-O17,0),MAX(P17,0))</f>
        <v>0</v>
      </c>
    </row>
    <row r="18" spans="1:19">
      <c r="A18" s="10">
        <f>10</f>
        <v>10</v>
      </c>
      <c r="B18" s="11">
        <f>IF(A18=1,'P-Parametri'!$B$30,IF(A18=2,'P-Parametri'!$C$30,'P-Parametri'!$B$29))</f>
        <v>6.8512000000000003E-2</v>
      </c>
      <c r="C18" s="29">
        <f t="shared" si="1"/>
        <v>0.88356514383337215</v>
      </c>
      <c r="D18" s="10">
        <f t="shared" si="2"/>
        <v>0</v>
      </c>
      <c r="E18" s="18">
        <f>IF(D18=1,MIN('1-Input'!$B$15*'1-Input'!$B$10,R18),O18+S18)*(1+'1-Input'!$B$27)</f>
        <v>0</v>
      </c>
      <c r="F18" s="18">
        <f>IF(D18=1,R18-'P-Parametri'!$B$31*R18-MIN('1-Input'!$B$15*'1-Input'!$B$10,R18),P18-S18)*(1+'P-Parametri'!$C$29)</f>
        <v>0</v>
      </c>
      <c r="G18" s="18">
        <f>IF(D18=1,'P-Parametri'!$B$31*R18,Q18)*(1+B18)</f>
        <v>212351.15081678127</v>
      </c>
      <c r="H18" s="18">
        <f t="shared" si="0"/>
        <v>212351.15081678127</v>
      </c>
      <c r="I18" s="23">
        <f t="shared" si="3"/>
        <v>1</v>
      </c>
      <c r="J18" s="30">
        <f>IF(C18&gt;=K18,0,LN(K18/C18)/LN(1+'P-Parametri'!$B$29))</f>
        <v>1.868052073870363</v>
      </c>
      <c r="K18" s="29">
        <f t="shared" si="4"/>
        <v>1</v>
      </c>
      <c r="L18" s="18">
        <f>MIN(MAX(E17,0),MAX(0,'1-Input'!$B$10-IF(A18&gt;='1-Input'!$C$12,'1-Input'!$B$12,0)))</f>
        <v>10562.878818836451</v>
      </c>
      <c r="M18" s="18">
        <f>MIN(MAX(F17,0),MAX(0,'1-Input'!$B$10-IF(A18&gt;='1-Input'!$C$12,'1-Input'!$B$12,0))-L18)</f>
        <v>0</v>
      </c>
      <c r="N18" s="18">
        <f>MIN(MAX(G17,0),MAX(0,'1-Input'!$B$10-IF(A18&gt;='1-Input'!$C$12,'1-Input'!$B$12,0))-L18-M18)</f>
        <v>9237.1211811635494</v>
      </c>
      <c r="O18" s="18">
        <f t="shared" si="5"/>
        <v>0</v>
      </c>
      <c r="P18" s="18">
        <f t="shared" si="6"/>
        <v>0</v>
      </c>
      <c r="Q18" s="18">
        <f t="shared" si="7"/>
        <v>198735.3916631552</v>
      </c>
      <c r="R18" s="18">
        <f t="shared" si="8"/>
        <v>198735.3916631552</v>
      </c>
      <c r="S18" s="18">
        <f>MIN(MAX('1-Input'!$B$15*'1-Input'!$B$10-O18,0),MAX(P18,0))</f>
        <v>0</v>
      </c>
    </row>
    <row r="19" spans="1:19">
      <c r="A19" s="10">
        <f>11</f>
        <v>11</v>
      </c>
      <c r="B19" s="11">
        <f>IF(A19=1,'P-Parametri'!$B$30,IF(A19=2,'P-Parametri'!$C$30,'P-Parametri'!$B$29))</f>
        <v>6.8512000000000003E-2</v>
      </c>
      <c r="C19" s="29">
        <f t="shared" si="1"/>
        <v>0.94409995896768406</v>
      </c>
      <c r="D19" s="10">
        <f t="shared" si="2"/>
        <v>0</v>
      </c>
      <c r="E19" s="18">
        <f>IF(D19=1,MIN('1-Input'!$B$15*'1-Input'!$B$10,R19),O19+S19)*(1+'1-Input'!$B$27)</f>
        <v>0</v>
      </c>
      <c r="F19" s="18">
        <f>IF(D19=1,R19-'P-Parametri'!$B$31*R19-MIN('1-Input'!$B$15*'1-Input'!$B$10,R19),P19-S19)*(1+'P-Parametri'!$C$29)</f>
        <v>0</v>
      </c>
      <c r="G19" s="18">
        <f>IF(D19=1,'P-Parametri'!$B$31*R19,Q19)*(1+B19)</f>
        <v>205743.21526154058</v>
      </c>
      <c r="H19" s="18">
        <f t="shared" si="0"/>
        <v>205743.21526154058</v>
      </c>
      <c r="I19" s="23">
        <f t="shared" si="3"/>
        <v>1</v>
      </c>
      <c r="J19" s="30">
        <f>IF(C19&gt;=K19,0,LN(K19/C19)/LN(1+'P-Parametri'!$B$29))</f>
        <v>0.86805207387036432</v>
      </c>
      <c r="K19" s="29">
        <f t="shared" si="4"/>
        <v>1</v>
      </c>
      <c r="L19" s="18">
        <f>MIN(MAX(E18,0),MAX(0,'1-Input'!$B$10-IF(A19&gt;='1-Input'!$C$12,'1-Input'!$B$12,0)))</f>
        <v>0</v>
      </c>
      <c r="M19" s="18">
        <f>MIN(MAX(F18,0),MAX(0,'1-Input'!$B$10-IF(A19&gt;='1-Input'!$C$12,'1-Input'!$B$12,0))-L19)</f>
        <v>0</v>
      </c>
      <c r="N19" s="18">
        <f>MIN(MAX(G18,0),MAX(0,'1-Input'!$B$10-IF(A19&gt;='1-Input'!$C$12,'1-Input'!$B$12,0))-L19-M19)</f>
        <v>19800</v>
      </c>
      <c r="O19" s="18">
        <f t="shared" si="5"/>
        <v>0</v>
      </c>
      <c r="P19" s="18">
        <f t="shared" si="6"/>
        <v>0</v>
      </c>
      <c r="Q19" s="18">
        <f t="shared" si="7"/>
        <v>192551.15081678127</v>
      </c>
      <c r="R19" s="18">
        <f t="shared" si="8"/>
        <v>192551.15081678127</v>
      </c>
      <c r="S19" s="18">
        <f>MIN(MAX('1-Input'!$B$15*'1-Input'!$B$10-O19,0),MAX(P19,0))</f>
        <v>0</v>
      </c>
    </row>
    <row r="20" spans="1:19">
      <c r="A20" s="10">
        <f>12</f>
        <v>12</v>
      </c>
      <c r="B20" s="11">
        <f>IF(A20=1,'P-Parametri'!$B$30,IF(A20=2,'P-Parametri'!$C$30,'P-Parametri'!$B$29))</f>
        <v>6.8512000000000003E-2</v>
      </c>
      <c r="C20" s="29">
        <f t="shared" si="1"/>
        <v>1.0087821353564779</v>
      </c>
      <c r="D20" s="10">
        <f t="shared" si="2"/>
        <v>0</v>
      </c>
      <c r="E20" s="18">
        <f>IF(D20=1,MIN('1-Input'!$B$15*'1-Input'!$B$10,R20),O20+S20)*(1+'1-Input'!$B$27)</f>
        <v>0</v>
      </c>
      <c r="F20" s="18">
        <f>IF(D20=1,R20-'P-Parametri'!$B$31*R20-MIN('1-Input'!$B$15*'1-Input'!$B$10,R20),P20-S20)*(1+'P-Parametri'!$C$29)</f>
        <v>0</v>
      </c>
      <c r="G20" s="18">
        <f>IF(D20=1,'P-Parametri'!$B$31*R20,Q20)*(1+B20)</f>
        <v>198682.55682553924</v>
      </c>
      <c r="H20" s="18">
        <f t="shared" si="0"/>
        <v>198682.55682553924</v>
      </c>
      <c r="I20" s="23">
        <f t="shared" si="3"/>
        <v>1</v>
      </c>
      <c r="J20" s="30">
        <f>IF(C20&gt;=K20,0,LN(K20/C20)/LN(1+'P-Parametri'!$B$29))</f>
        <v>0</v>
      </c>
      <c r="K20" s="29">
        <f t="shared" si="4"/>
        <v>1</v>
      </c>
      <c r="L20" s="18">
        <f>MIN(MAX(E19,0),MAX(0,'1-Input'!$B$10-IF(A20&gt;='1-Input'!$C$12,'1-Input'!$B$12,0)))</f>
        <v>0</v>
      </c>
      <c r="M20" s="18">
        <f>MIN(MAX(F19,0),MAX(0,'1-Input'!$B$10-IF(A20&gt;='1-Input'!$C$12,'1-Input'!$B$12,0))-L20)</f>
        <v>0</v>
      </c>
      <c r="N20" s="18">
        <f>MIN(MAX(G19,0),MAX(0,'1-Input'!$B$10-IF(A20&gt;='1-Input'!$C$12,'1-Input'!$B$12,0))-L20-M20)</f>
        <v>19800</v>
      </c>
      <c r="O20" s="18">
        <f t="shared" si="5"/>
        <v>0</v>
      </c>
      <c r="P20" s="18">
        <f t="shared" si="6"/>
        <v>0</v>
      </c>
      <c r="Q20" s="18">
        <f t="shared" si="7"/>
        <v>185943.21526154058</v>
      </c>
      <c r="R20" s="18">
        <f t="shared" si="8"/>
        <v>185943.21526154058</v>
      </c>
      <c r="S20" s="18">
        <f>MIN(MAX('1-Input'!$B$15*'1-Input'!$B$10-O20,0),MAX(P20,0))</f>
        <v>0</v>
      </c>
    </row>
    <row r="21" spans="1:19">
      <c r="A21" s="10">
        <f>13</f>
        <v>13</v>
      </c>
      <c r="B21" s="11">
        <f>IF(A21=1,'P-Parametri'!$B$30,IF(A21=2,'P-Parametri'!$C$30,'P-Parametri'!$B$29))</f>
        <v>6.8512000000000003E-2</v>
      </c>
      <c r="C21" s="29">
        <f t="shared" si="1"/>
        <v>1.0778958170140207</v>
      </c>
      <c r="D21" s="10">
        <f t="shared" si="2"/>
        <v>1</v>
      </c>
      <c r="E21" s="18">
        <f>IF(D21=1,MIN('1-Input'!$B$15*'1-Input'!$B$10,R21),O21+S21)*(1+'1-Input'!$B$27)</f>
        <v>39457.439999999995</v>
      </c>
      <c r="F21" s="18">
        <f>IF(D21=1,R21-'P-Parametri'!$B$31*R21-MIN('1-Input'!$B$15*'1-Input'!$B$10,R21),P21-S21)*(1+'P-Parametri'!$C$29)</f>
        <v>32112.787843866776</v>
      </c>
      <c r="G21" s="18">
        <f>IF(D21=1,'P-Parametri'!$B$31*R21,Q21)*(1+B21)</f>
        <v>114682.89513526234</v>
      </c>
      <c r="H21" s="18">
        <f t="shared" si="0"/>
        <v>186253.12297912911</v>
      </c>
      <c r="I21" s="23">
        <f t="shared" si="3"/>
        <v>0.61573676350174977</v>
      </c>
      <c r="J21" s="30">
        <f>IF(C21&gt;=K21,0,LN(K21/C21)/LN(1+'P-Parametri'!$B$29))</f>
        <v>0</v>
      </c>
      <c r="K21" s="29">
        <f t="shared" si="4"/>
        <v>1.0087821353564779</v>
      </c>
      <c r="L21" s="18">
        <f>MIN(MAX(E20,0),MAX(0,'1-Input'!$B$10-IF(A21&gt;='1-Input'!$C$12,'1-Input'!$B$12,0)))</f>
        <v>0</v>
      </c>
      <c r="M21" s="18">
        <f>MIN(MAX(F20,0),MAX(0,'1-Input'!$B$10-IF(A21&gt;='1-Input'!$C$12,'1-Input'!$B$12,0))-L21)</f>
        <v>0</v>
      </c>
      <c r="N21" s="18">
        <f>MIN(MAX(G20,0),MAX(0,'1-Input'!$B$10-IF(A21&gt;='1-Input'!$C$12,'1-Input'!$B$12,0))-L21-M21)</f>
        <v>19800</v>
      </c>
      <c r="O21" s="18">
        <f t="shared" si="5"/>
        <v>0</v>
      </c>
      <c r="P21" s="18">
        <f t="shared" si="6"/>
        <v>0</v>
      </c>
      <c r="Q21" s="18">
        <f t="shared" si="7"/>
        <v>178882.55682553924</v>
      </c>
      <c r="R21" s="18">
        <f t="shared" si="8"/>
        <v>178882.55682553924</v>
      </c>
      <c r="S21" s="18">
        <f>MIN(MAX('1-Input'!$B$15*'1-Input'!$B$10-O21,0),MAX(P21,0))</f>
        <v>0</v>
      </c>
    </row>
    <row r="22" spans="1:19">
      <c r="A22" s="10">
        <f>14</f>
        <v>14</v>
      </c>
      <c r="B22" s="11">
        <f>IF(A22=1,'P-Parametri'!$B$30,IF(A22=2,'P-Parametri'!$C$30,'P-Parametri'!$B$29))</f>
        <v>6.8512000000000003E-2</v>
      </c>
      <c r="C22" s="29">
        <f t="shared" si="1"/>
        <v>1.1517446152292852</v>
      </c>
      <c r="D22" s="10">
        <f t="shared" si="2"/>
        <v>1</v>
      </c>
      <c r="E22" s="18">
        <f>IF(D22=1,MIN('1-Input'!$B$15*'1-Input'!$B$10,R22),O22+S22)*(1+'1-Input'!$B$27)</f>
        <v>39457.439999999995</v>
      </c>
      <c r="F22" s="18">
        <f>IF(D22=1,R22-'P-Parametri'!$B$31*R22-MIN('1-Input'!$B$15*'1-Input'!$B$10,R22),P22-S22)*(1+'P-Parametri'!$C$29)</f>
        <v>27116.155437609901</v>
      </c>
      <c r="G22" s="18">
        <f>IF(D22=1,'P-Parametri'!$B$31*R22,Q22)*(1+B22)</f>
        <v>106714.29560440511</v>
      </c>
      <c r="H22" s="18">
        <f t="shared" si="0"/>
        <v>173287.89104201499</v>
      </c>
      <c r="I22" s="23">
        <f t="shared" si="3"/>
        <v>0.61582084566157824</v>
      </c>
      <c r="J22" s="30">
        <f>IF(C22&gt;=K22,0,LN(K22/C22)/LN(1+'P-Parametri'!$B$29))</f>
        <v>0</v>
      </c>
      <c r="K22" s="29">
        <f t="shared" si="4"/>
        <v>1.0778958170140207</v>
      </c>
      <c r="L22" s="18">
        <f>MIN(MAX(E21,0),MAX(0,'1-Input'!$B$10-IF(A22&gt;='1-Input'!$C$12,'1-Input'!$B$12,0)))</f>
        <v>19800</v>
      </c>
      <c r="M22" s="18">
        <f>MIN(MAX(F21,0),MAX(0,'1-Input'!$B$10-IF(A22&gt;='1-Input'!$C$12,'1-Input'!$B$12,0))-L22)</f>
        <v>0</v>
      </c>
      <c r="N22" s="18">
        <f>MIN(MAX(G21,0),MAX(0,'1-Input'!$B$10-IF(A22&gt;='1-Input'!$C$12,'1-Input'!$B$12,0))-L22-M22)</f>
        <v>0</v>
      </c>
      <c r="O22" s="18">
        <f t="shared" si="5"/>
        <v>19657.439999999995</v>
      </c>
      <c r="P22" s="18">
        <f t="shared" si="6"/>
        <v>32112.787843866776</v>
      </c>
      <c r="Q22" s="18">
        <f t="shared" si="7"/>
        <v>114682.89513526234</v>
      </c>
      <c r="R22" s="18">
        <f t="shared" si="8"/>
        <v>166453.12297912911</v>
      </c>
      <c r="S22" s="18">
        <f>MIN(MAX('1-Input'!$B$15*'1-Input'!$B$10-O22,0),MAX(P22,0))</f>
        <v>19942.560000000005</v>
      </c>
    </row>
    <row r="23" spans="1:19">
      <c r="A23" s="10">
        <f>15</f>
        <v>15</v>
      </c>
      <c r="B23" s="11">
        <f>IF(A23=1,'P-Parametri'!$B$30,IF(A23=2,'P-Parametri'!$C$30,'P-Parametri'!$B$29))</f>
        <v>6.8512000000000003E-2</v>
      </c>
      <c r="C23" s="29">
        <f t="shared" si="1"/>
        <v>1.2306529423078738</v>
      </c>
      <c r="D23" s="10">
        <f t="shared" si="2"/>
        <v>1</v>
      </c>
      <c r="E23" s="18">
        <f>IF(D23=1,MIN('1-Input'!$B$15*'1-Input'!$B$10,R23),O23+S23)*(1+'1-Input'!$B$27)</f>
        <v>39457.439999999995</v>
      </c>
      <c r="F23" s="18">
        <f>IF(D23=1,R23-'P-Parametri'!$B$31*R23-MIN('1-Input'!$B$15*'1-Input'!$B$10,R23),P23-S23)*(1+'P-Parametri'!$C$29)</f>
        <v>21904.132198890027</v>
      </c>
      <c r="G23" s="18">
        <f>IF(D23=1,'P-Parametri'!$B$31*R23,Q23)*(1+B23)</f>
        <v>98402.192059851295</v>
      </c>
      <c r="H23" s="18">
        <f t="shared" si="0"/>
        <v>159763.76425874131</v>
      </c>
      <c r="I23" s="23">
        <f t="shared" si="3"/>
        <v>0.61592309442888782</v>
      </c>
      <c r="J23" s="30">
        <f>IF(C23&gt;=K23,0,LN(K23/C23)/LN(1+'P-Parametri'!$B$29))</f>
        <v>0</v>
      </c>
      <c r="K23" s="29">
        <f t="shared" si="4"/>
        <v>1.1517446152292852</v>
      </c>
      <c r="L23" s="18">
        <f>MIN(MAX(E22,0),MAX(0,'1-Input'!$B$10-IF(A23&gt;='1-Input'!$C$12,'1-Input'!$B$12,0)))</f>
        <v>19800</v>
      </c>
      <c r="M23" s="18">
        <f>MIN(MAX(F22,0),MAX(0,'1-Input'!$B$10-IF(A23&gt;='1-Input'!$C$12,'1-Input'!$B$12,0))-L23)</f>
        <v>0</v>
      </c>
      <c r="N23" s="18">
        <f>MIN(MAX(G22,0),MAX(0,'1-Input'!$B$10-IF(A23&gt;='1-Input'!$C$12,'1-Input'!$B$12,0))-L23-M23)</f>
        <v>0</v>
      </c>
      <c r="O23" s="18">
        <f t="shared" si="5"/>
        <v>19657.439999999995</v>
      </c>
      <c r="P23" s="18">
        <f t="shared" si="6"/>
        <v>27116.155437609901</v>
      </c>
      <c r="Q23" s="18">
        <f t="shared" si="7"/>
        <v>106714.29560440511</v>
      </c>
      <c r="R23" s="18">
        <f t="shared" si="8"/>
        <v>153487.89104201499</v>
      </c>
      <c r="S23" s="18">
        <f>MIN(MAX('1-Input'!$B$15*'1-Input'!$B$10-O23,0),MAX(P23,0))</f>
        <v>19942.560000000005</v>
      </c>
    </row>
    <row r="24" spans="1:19">
      <c r="A24" s="10">
        <f>16</f>
        <v>16</v>
      </c>
      <c r="B24" s="11">
        <f>IF(A24=1,'P-Parametri'!$B$30,IF(A24=2,'P-Parametri'!$C$30,'P-Parametri'!$B$29))</f>
        <v>6.8512000000000003E-2</v>
      </c>
      <c r="C24" s="29">
        <f t="shared" si="1"/>
        <v>1.3149674366912707</v>
      </c>
      <c r="D24" s="10">
        <f t="shared" si="2"/>
        <v>1</v>
      </c>
      <c r="E24" s="18">
        <f>IF(D24=1,MIN('1-Input'!$B$15*'1-Input'!$B$10,R24),O24+S24)*(1+'1-Input'!$B$27)</f>
        <v>39457.439999999995</v>
      </c>
      <c r="F24" s="18">
        <f>IF(D24=1,R24-'P-Parametri'!$B$31*R24-MIN('1-Input'!$B$15*'1-Input'!$B$10,R24),P24-S24)*(1+'P-Parametri'!$C$29)</f>
        <v>16467.433232014009</v>
      </c>
      <c r="G24" s="18">
        <f>IF(D24=1,'P-Parametri'!$B$31*R24,Q24)*(1+B24)</f>
        <v>89731.777005381708</v>
      </c>
      <c r="H24" s="18">
        <f t="shared" si="0"/>
        <v>145656.65023739572</v>
      </c>
      <c r="I24" s="23">
        <f t="shared" si="3"/>
        <v>0.61604998370574959</v>
      </c>
      <c r="J24" s="30">
        <f>IF(C24&gt;=K24,0,LN(K24/C24)/LN(1+'P-Parametri'!$B$29))</f>
        <v>0</v>
      </c>
      <c r="K24" s="29">
        <f t="shared" si="4"/>
        <v>1.2306529423078738</v>
      </c>
      <c r="L24" s="18">
        <f>MIN(MAX(E23,0),MAX(0,'1-Input'!$B$10-IF(A24&gt;='1-Input'!$C$12,'1-Input'!$B$12,0)))</f>
        <v>19800</v>
      </c>
      <c r="M24" s="18">
        <f>MIN(MAX(F23,0),MAX(0,'1-Input'!$B$10-IF(A24&gt;='1-Input'!$C$12,'1-Input'!$B$12,0))-L24)</f>
        <v>0</v>
      </c>
      <c r="N24" s="18">
        <f>MIN(MAX(G23,0),MAX(0,'1-Input'!$B$10-IF(A24&gt;='1-Input'!$C$12,'1-Input'!$B$12,0))-L24-M24)</f>
        <v>0</v>
      </c>
      <c r="O24" s="18">
        <f t="shared" si="5"/>
        <v>19657.439999999995</v>
      </c>
      <c r="P24" s="18">
        <f t="shared" si="6"/>
        <v>21904.132198890027</v>
      </c>
      <c r="Q24" s="18">
        <f t="shared" si="7"/>
        <v>98402.192059851295</v>
      </c>
      <c r="R24" s="18">
        <f t="shared" si="8"/>
        <v>139963.76425874131</v>
      </c>
      <c r="S24" s="18">
        <f>MIN(MAX('1-Input'!$B$15*'1-Input'!$B$10-O24,0),MAX(P24,0))</f>
        <v>19942.560000000005</v>
      </c>
    </row>
    <row r="25" spans="1:19">
      <c r="A25" s="10">
        <f>17</f>
        <v>17</v>
      </c>
      <c r="B25" s="11">
        <f>IF(A25=1,'P-Parametri'!$B$30,IF(A25=2,'P-Parametri'!$C$30,'P-Parametri'!$B$29))</f>
        <v>6.8512000000000003E-2</v>
      </c>
      <c r="C25" s="29">
        <f t="shared" si="1"/>
        <v>1.4050584857138628</v>
      </c>
      <c r="D25" s="10">
        <f t="shared" si="2"/>
        <v>1</v>
      </c>
      <c r="E25" s="18">
        <f>IF(D25=1,MIN('1-Input'!$B$15*'1-Input'!$B$10,R25),O25+S25)*(1+'1-Input'!$B$27)</f>
        <v>39457.439999999995</v>
      </c>
      <c r="F25" s="18">
        <f>IF(D25=1,R25-'P-Parametri'!$B$31*R25-MIN('1-Input'!$B$15*'1-Input'!$B$10,R25),P25-S25)*(1+'P-Parametri'!$C$29)</f>
        <v>10796.373395433084</v>
      </c>
      <c r="G25" s="18">
        <f>IF(D25=1,'P-Parametri'!$B$31*R25,Q25)*(1+B25)</f>
        <v>80687.604635076088</v>
      </c>
      <c r="H25" s="18">
        <f t="shared" si="0"/>
        <v>130941.41803050917</v>
      </c>
      <c r="I25" s="23">
        <f t="shared" si="3"/>
        <v>0.61621147722927505</v>
      </c>
      <c r="J25" s="30">
        <f>IF(C25&gt;=K25,0,LN(K25/C25)/LN(1+'P-Parametri'!$B$29))</f>
        <v>0</v>
      </c>
      <c r="K25" s="29">
        <f t="shared" si="4"/>
        <v>1.3149674366912707</v>
      </c>
      <c r="L25" s="18">
        <f>MIN(MAX(E24,0),MAX(0,'1-Input'!$B$10-IF(A25&gt;='1-Input'!$C$12,'1-Input'!$B$12,0)))</f>
        <v>19800</v>
      </c>
      <c r="M25" s="18">
        <f>MIN(MAX(F24,0),MAX(0,'1-Input'!$B$10-IF(A25&gt;='1-Input'!$C$12,'1-Input'!$B$12,0))-L25)</f>
        <v>0</v>
      </c>
      <c r="N25" s="18">
        <f>MIN(MAX(G24,0),MAX(0,'1-Input'!$B$10-IF(A25&gt;='1-Input'!$C$12,'1-Input'!$B$12,0))-L25-M25)</f>
        <v>0</v>
      </c>
      <c r="O25" s="18">
        <f t="shared" si="5"/>
        <v>19657.439999999995</v>
      </c>
      <c r="P25" s="18">
        <f t="shared" si="6"/>
        <v>16467.433232014009</v>
      </c>
      <c r="Q25" s="18">
        <f t="shared" si="7"/>
        <v>89731.777005381708</v>
      </c>
      <c r="R25" s="18">
        <f t="shared" si="8"/>
        <v>125856.65023739572</v>
      </c>
      <c r="S25" s="18">
        <f>MIN(MAX('1-Input'!$B$15*'1-Input'!$B$10-O25,0),MAX(P25,0))</f>
        <v>16467.433232014009</v>
      </c>
    </row>
    <row r="26" spans="1:19">
      <c r="A26" s="10">
        <f>18</f>
        <v>18</v>
      </c>
      <c r="B26" s="11">
        <f>IF(A26=1,'P-Parametri'!$B$30,IF(A26=2,'P-Parametri'!$C$30,'P-Parametri'!$B$29))</f>
        <v>6.8512000000000003E-2</v>
      </c>
      <c r="C26" s="29">
        <f t="shared" si="1"/>
        <v>1.5013218526870908</v>
      </c>
      <c r="D26" s="10">
        <f t="shared" si="2"/>
        <v>1</v>
      </c>
      <c r="E26" s="18">
        <f>IF(D26=1,MIN('1-Input'!$B$15*'1-Input'!$B$10,R26),O26+S26)*(1+'1-Input'!$B$27)</f>
        <v>39457.439999999995</v>
      </c>
      <c r="F26" s="18">
        <f>IF(D26=1,R26-'P-Parametri'!$B$31*R26-MIN('1-Input'!$B$15*'1-Input'!$B$10,R26),P26-S26)*(1+'P-Parametri'!$C$29)</f>
        <v>4880.8500482646959</v>
      </c>
      <c r="G26" s="18">
        <f>IF(D26=1,'P-Parametri'!$B$31*R26,Q26)*(1+B26)</f>
        <v>71253.563317569235</v>
      </c>
      <c r="H26" s="18">
        <f t="shared" si="0"/>
        <v>115591.85336583393</v>
      </c>
      <c r="I26" s="23">
        <f t="shared" si="3"/>
        <v>0.61642374650798715</v>
      </c>
      <c r="J26" s="30">
        <f>IF(C26&gt;=K26,0,LN(K26/C26)/LN(1+'P-Parametri'!$B$29))</f>
        <v>0</v>
      </c>
      <c r="K26" s="29">
        <f t="shared" si="4"/>
        <v>1.4050584857138628</v>
      </c>
      <c r="L26" s="18">
        <f>MIN(MAX(E25,0),MAX(0,'1-Input'!$B$10-IF(A26&gt;='1-Input'!$C$12,'1-Input'!$B$12,0)))</f>
        <v>19800</v>
      </c>
      <c r="M26" s="18">
        <f>MIN(MAX(F25,0),MAX(0,'1-Input'!$B$10-IF(A26&gt;='1-Input'!$C$12,'1-Input'!$B$12,0))-L26)</f>
        <v>0</v>
      </c>
      <c r="N26" s="18">
        <f>MIN(MAX(G25,0),MAX(0,'1-Input'!$B$10-IF(A26&gt;='1-Input'!$C$12,'1-Input'!$B$12,0))-L26-M26)</f>
        <v>0</v>
      </c>
      <c r="O26" s="18">
        <f t="shared" si="5"/>
        <v>19657.439999999995</v>
      </c>
      <c r="P26" s="18">
        <f t="shared" si="6"/>
        <v>10796.373395433084</v>
      </c>
      <c r="Q26" s="18">
        <f t="shared" si="7"/>
        <v>80687.604635076088</v>
      </c>
      <c r="R26" s="18">
        <f t="shared" si="8"/>
        <v>111141.41803050917</v>
      </c>
      <c r="S26" s="18">
        <f>MIN(MAX('1-Input'!$B$15*'1-Input'!$B$10-O26,0),MAX(P26,0))</f>
        <v>10796.373395433084</v>
      </c>
    </row>
    <row r="27" spans="1:19">
      <c r="A27" s="10">
        <f>19</f>
        <v>19</v>
      </c>
      <c r="B27" s="11">
        <f>IF(A27=1,'P-Parametri'!$B$30,IF(A27=2,'P-Parametri'!$C$30,'P-Parametri'!$B$29))</f>
        <v>6.8512000000000003E-2</v>
      </c>
      <c r="C27" s="29">
        <f t="shared" si="1"/>
        <v>1.6041804154583887</v>
      </c>
      <c r="D27" s="10">
        <f t="shared" si="2"/>
        <v>1</v>
      </c>
      <c r="E27" s="18">
        <f>IF(D27=1,MIN('1-Input'!$B$15*'1-Input'!$B$10,R27),O27+S27)*(1+'1-Input'!$B$27)</f>
        <v>39457.439999999995</v>
      </c>
      <c r="F27" s="18">
        <f>IF(D27=1,R27-'P-Parametri'!$B$31*R27-MIN('1-Input'!$B$15*'1-Input'!$B$10,R27),P27-S27)*(1+'P-Parametri'!$C$29)</f>
        <v>-1289.674946934756</v>
      </c>
      <c r="G27" s="18">
        <f>IF(D27=1,'P-Parametri'!$B$31*R27,Q27)*(1+B27)</f>
        <v>61412.846894180359</v>
      </c>
      <c r="H27" s="18">
        <f t="shared" si="0"/>
        <v>99580.611947245605</v>
      </c>
      <c r="I27" s="23">
        <f t="shared" si="3"/>
        <v>0.61671489754164976</v>
      </c>
      <c r="J27" s="30">
        <f>IF(C27&gt;=K27,0,LN(K27/C27)/LN(1+'P-Parametri'!$B$29))</f>
        <v>0</v>
      </c>
      <c r="K27" s="29">
        <f t="shared" si="4"/>
        <v>1.5013218526870908</v>
      </c>
      <c r="L27" s="18">
        <f>MIN(MAX(E26,0),MAX(0,'1-Input'!$B$10-IF(A27&gt;='1-Input'!$C$12,'1-Input'!$B$12,0)))</f>
        <v>19800</v>
      </c>
      <c r="M27" s="18">
        <f>MIN(MAX(F26,0),MAX(0,'1-Input'!$B$10-IF(A27&gt;='1-Input'!$C$12,'1-Input'!$B$12,0))-L27)</f>
        <v>0</v>
      </c>
      <c r="N27" s="18">
        <f>MIN(MAX(G26,0),MAX(0,'1-Input'!$B$10-IF(A27&gt;='1-Input'!$C$12,'1-Input'!$B$12,0))-L27-M27)</f>
        <v>0</v>
      </c>
      <c r="O27" s="18">
        <f t="shared" si="5"/>
        <v>19657.439999999995</v>
      </c>
      <c r="P27" s="18">
        <f t="shared" si="6"/>
        <v>4880.8500482646959</v>
      </c>
      <c r="Q27" s="18">
        <f t="shared" si="7"/>
        <v>71253.563317569235</v>
      </c>
      <c r="R27" s="18">
        <f t="shared" si="8"/>
        <v>95791.853365833929</v>
      </c>
      <c r="S27" s="18">
        <f>MIN(MAX('1-Input'!$B$15*'1-Input'!$B$10-O27,0),MAX(P27,0))</f>
        <v>4880.8500482646959</v>
      </c>
    </row>
    <row r="28" spans="1:19">
      <c r="A28" s="10">
        <f>20</f>
        <v>20</v>
      </c>
      <c r="B28" s="11">
        <f>IF(A28=1,'P-Parametri'!$B$30,IF(A28=2,'P-Parametri'!$C$30,'P-Parametri'!$B$29))</f>
        <v>6.8512000000000003E-2</v>
      </c>
      <c r="C28" s="29">
        <f t="shared" si="1"/>
        <v>1.7140860240822737</v>
      </c>
      <c r="D28" s="10">
        <f t="shared" si="2"/>
        <v>1</v>
      </c>
      <c r="E28" s="18">
        <f>IF(D28=1,MIN('1-Input'!$B$15*'1-Input'!$B$10,R28),O28+S28)*(1+'1-Input'!$B$27)</f>
        <v>39457.439999999995</v>
      </c>
      <c r="F28" s="18">
        <f>IF(D28=1,R28-'P-Parametri'!$B$31*R28-MIN('1-Input'!$B$15*'1-Input'!$B$10,R28),P28-S28)*(1+'P-Parametri'!$C$29)</f>
        <v>-7726.1939972072614</v>
      </c>
      <c r="G28" s="18">
        <f>IF(D28=1,'P-Parametri'!$B$31*R28,Q28)*(1+B28)</f>
        <v>51147.924739785165</v>
      </c>
      <c r="H28" s="18">
        <f t="shared" si="0"/>
        <v>82879.170742577902</v>
      </c>
      <c r="I28" s="23">
        <f t="shared" si="3"/>
        <v>0.61713847136152278</v>
      </c>
      <c r="J28" s="30">
        <f>IF(C28&gt;=K28,0,LN(K28/C28)/LN(1+'P-Parametri'!$B$29))</f>
        <v>0</v>
      </c>
      <c r="K28" s="29">
        <f t="shared" si="4"/>
        <v>1.6041804154583887</v>
      </c>
      <c r="L28" s="18">
        <f>MIN(MAX(E27,0),MAX(0,'1-Input'!$B$10-IF(A28&gt;='1-Input'!$C$12,'1-Input'!$B$12,0)))</f>
        <v>19800</v>
      </c>
      <c r="M28" s="18">
        <f>MIN(MAX(F27,0),MAX(0,'1-Input'!$B$10-IF(A28&gt;='1-Input'!$C$12,'1-Input'!$B$12,0))-L28)</f>
        <v>0</v>
      </c>
      <c r="N28" s="18">
        <f>MIN(MAX(G27,0),MAX(0,'1-Input'!$B$10-IF(A28&gt;='1-Input'!$C$12,'1-Input'!$B$12,0))-L28-M28)</f>
        <v>0</v>
      </c>
      <c r="O28" s="18">
        <f t="shared" si="5"/>
        <v>19657.439999999995</v>
      </c>
      <c r="P28" s="18">
        <f t="shared" si="6"/>
        <v>-1289.674946934756</v>
      </c>
      <c r="Q28" s="18">
        <f t="shared" si="7"/>
        <v>61412.846894180359</v>
      </c>
      <c r="R28" s="18">
        <f t="shared" si="8"/>
        <v>79780.611947245605</v>
      </c>
      <c r="S28" s="18">
        <f>MIN(MAX('1-Input'!$B$15*'1-Input'!$B$10-O28,0),MAX(P28,0))</f>
        <v>0</v>
      </c>
    </row>
    <row r="29" spans="1:19">
      <c r="A29" s="10">
        <f>21</f>
        <v>21</v>
      </c>
      <c r="B29" s="11">
        <f>IF(A29=1,'P-Parametri'!$B$30,IF(A29=2,'P-Parametri'!$C$30,'P-Parametri'!$B$29))</f>
        <v>6.8512000000000003E-2</v>
      </c>
      <c r="C29" s="29">
        <f t="shared" si="1"/>
        <v>1.8315214857641984</v>
      </c>
      <c r="D29" s="10">
        <f t="shared" si="2"/>
        <v>1</v>
      </c>
      <c r="E29" s="18">
        <f>IF(D29=1,MIN('1-Input'!$B$15*'1-Input'!$B$10,R29),O29+S29)*(1+'1-Input'!$B$27)</f>
        <v>39457.439999999995</v>
      </c>
      <c r="F29" s="18">
        <f>IF(D29=1,R29-'P-Parametri'!$B$31*R29-MIN('1-Input'!$B$15*'1-Input'!$B$10,R29),P29-S29)*(1+'P-Parametri'!$C$29)</f>
        <v>-14440.173361483683</v>
      </c>
      <c r="G29" s="18">
        <f>IF(D29=1,'P-Parametri'!$B$31*R29,Q29)*(1+B29)</f>
        <v>40440.510533096036</v>
      </c>
      <c r="H29" s="18">
        <f t="shared" si="0"/>
        <v>65457.777171612346</v>
      </c>
      <c r="I29" s="23">
        <f t="shared" si="3"/>
        <v>0.61781062969908229</v>
      </c>
      <c r="J29" s="30">
        <f>IF(C29&gt;=K29,0,LN(K29/C29)/LN(1+'P-Parametri'!$B$29))</f>
        <v>0</v>
      </c>
      <c r="K29" s="29">
        <f t="shared" si="4"/>
        <v>1.7140860240822737</v>
      </c>
      <c r="L29" s="18">
        <f>MIN(MAX(E28,0),MAX(0,'1-Input'!$B$10-IF(A29&gt;='1-Input'!$C$12,'1-Input'!$B$12,0)))</f>
        <v>19800</v>
      </c>
      <c r="M29" s="18">
        <f>MIN(MAX(F28,0),MAX(0,'1-Input'!$B$10-IF(A29&gt;='1-Input'!$C$12,'1-Input'!$B$12,0))-L29)</f>
        <v>0</v>
      </c>
      <c r="N29" s="18">
        <f>MIN(MAX(G28,0),MAX(0,'1-Input'!$B$10-IF(A29&gt;='1-Input'!$C$12,'1-Input'!$B$12,0))-L29-M29)</f>
        <v>0</v>
      </c>
      <c r="O29" s="18">
        <f t="shared" si="5"/>
        <v>19657.439999999995</v>
      </c>
      <c r="P29" s="18">
        <f t="shared" si="6"/>
        <v>-7726.1939972072614</v>
      </c>
      <c r="Q29" s="18">
        <f t="shared" si="7"/>
        <v>51147.924739785165</v>
      </c>
      <c r="R29" s="18">
        <f t="shared" si="8"/>
        <v>63079.170742577902</v>
      </c>
      <c r="S29" s="18">
        <f>MIN(MAX('1-Input'!$B$15*'1-Input'!$B$10-O29,0),MAX(P29,0))</f>
        <v>0</v>
      </c>
    </row>
    <row r="30" spans="1:19">
      <c r="A30" s="10">
        <f>22</f>
        <v>22</v>
      </c>
      <c r="B30" s="11">
        <f>IF(A30=1,'P-Parametri'!$B$30,IF(A30=2,'P-Parametri'!$C$30,'P-Parametri'!$B$29))</f>
        <v>6.8512000000000003E-2</v>
      </c>
      <c r="C30" s="29">
        <f t="shared" si="1"/>
        <v>1.957002685796875</v>
      </c>
      <c r="D30" s="10">
        <f t="shared" si="2"/>
        <v>1</v>
      </c>
      <c r="E30" s="18">
        <f>IF(D30=1,MIN('1-Input'!$B$15*'1-Input'!$B$10,R30),O30+S30)*(1+'1-Input'!$B$27)</f>
        <v>39457.439999999995</v>
      </c>
      <c r="F30" s="18">
        <f>IF(D30=1,R30-'P-Parametri'!$B$31*R30-MIN('1-Input'!$B$15*'1-Input'!$B$10,R30),P30-S30)*(1+'P-Parametri'!$C$29)</f>
        <v>-21443.573577011834</v>
      </c>
      <c r="G30" s="18">
        <f>IF(D30=1,'P-Parametri'!$B$31*R30,Q30)*(1+B30)</f>
        <v>29271.529680716307</v>
      </c>
      <c r="H30" s="18">
        <f t="shared" si="0"/>
        <v>47285.396103704465</v>
      </c>
      <c r="I30" s="23">
        <f t="shared" si="3"/>
        <v>0.61903953636169495</v>
      </c>
      <c r="J30" s="30">
        <f>IF(C30&gt;=K30,0,LN(K30/C30)/LN(1+'P-Parametri'!$B$29))</f>
        <v>0</v>
      </c>
      <c r="K30" s="29">
        <f t="shared" si="4"/>
        <v>1.8315214857641984</v>
      </c>
      <c r="L30" s="18">
        <f>MIN(MAX(E29,0),MAX(0,'1-Input'!$B$10-IF(A30&gt;='1-Input'!$C$12,'1-Input'!$B$12,0)))</f>
        <v>19800</v>
      </c>
      <c r="M30" s="18">
        <f>MIN(MAX(F29,0),MAX(0,'1-Input'!$B$10-IF(A30&gt;='1-Input'!$C$12,'1-Input'!$B$12,0))-L30)</f>
        <v>0</v>
      </c>
      <c r="N30" s="18">
        <f>MIN(MAX(G29,0),MAX(0,'1-Input'!$B$10-IF(A30&gt;='1-Input'!$C$12,'1-Input'!$B$12,0))-L30-M30)</f>
        <v>0</v>
      </c>
      <c r="O30" s="18">
        <f t="shared" si="5"/>
        <v>19657.439999999995</v>
      </c>
      <c r="P30" s="18">
        <f t="shared" si="6"/>
        <v>-14440.173361483683</v>
      </c>
      <c r="Q30" s="18">
        <f t="shared" si="7"/>
        <v>40440.510533096036</v>
      </c>
      <c r="R30" s="18">
        <f t="shared" si="8"/>
        <v>45657.777171612346</v>
      </c>
      <c r="S30" s="18">
        <f>MIN(MAX('1-Input'!$B$15*'1-Input'!$B$10-O30,0),MAX(P30,0))</f>
        <v>0</v>
      </c>
    </row>
    <row r="31" spans="1:19">
      <c r="A31" s="10">
        <f>23</f>
        <v>23</v>
      </c>
      <c r="B31" s="11">
        <f>IF(A31=1,'P-Parametri'!$B$30,IF(A31=2,'P-Parametri'!$C$30,'P-Parametri'!$B$29))</f>
        <v>6.8512000000000003E-2</v>
      </c>
      <c r="C31" s="29">
        <f t="shared" si="1"/>
        <v>2.0910808538061905</v>
      </c>
      <c r="D31" s="10">
        <f t="shared" si="2"/>
        <v>1</v>
      </c>
      <c r="E31" s="18">
        <f>IF(D31=1,MIN('1-Input'!$B$15*'1-Input'!$B$10,R31),O31+S31)*(1+'1-Input'!$B$27)</f>
        <v>38448.481477731126</v>
      </c>
      <c r="F31" s="18">
        <f>IF(D31=1,R31-'P-Parametri'!$B$31*R31-MIN('1-Input'!$B$15*'1-Input'!$B$10,R31),P31-S31)*(1+'P-Parametri'!$C$29)</f>
        <v>-23268.199850533787</v>
      </c>
      <c r="G31" s="18">
        <f>IF(D31=1,'P-Parametri'!$B$31*R31,Q31)*(1+B31)</f>
        <v>24738.657471336875</v>
      </c>
      <c r="H31" s="18">
        <f t="shared" si="0"/>
        <v>39918.939098534218</v>
      </c>
      <c r="I31" s="23">
        <f t="shared" si="3"/>
        <v>0.61972231802736599</v>
      </c>
      <c r="J31" s="30">
        <f>IF(C31&gt;=K31,0,LN(K31/C31)/LN(1+'P-Parametri'!$B$29))</f>
        <v>0</v>
      </c>
      <c r="K31" s="29">
        <f t="shared" si="4"/>
        <v>1.957002685796875</v>
      </c>
      <c r="L31" s="18">
        <f>MIN(MAX(E30,0),MAX(0,'1-Input'!$B$10-IF(A31&gt;='1-Input'!$C$12,'1-Input'!$B$12,0)))</f>
        <v>8698</v>
      </c>
      <c r="M31" s="18">
        <f>MIN(MAX(F30,0),MAX(0,'1-Input'!$B$10-IF(A31&gt;='1-Input'!$C$12,'1-Input'!$B$12,0))-L31)</f>
        <v>0</v>
      </c>
      <c r="N31" s="18">
        <f>MIN(MAX(G30,0),MAX(0,'1-Input'!$B$10-IF(A31&gt;='1-Input'!$C$12,'1-Input'!$B$12,0))-L31-M31)</f>
        <v>0</v>
      </c>
      <c r="O31" s="18">
        <f t="shared" si="5"/>
        <v>30759.439999999995</v>
      </c>
      <c r="P31" s="18">
        <f t="shared" si="6"/>
        <v>-21443.573577011834</v>
      </c>
      <c r="Q31" s="18">
        <f t="shared" si="7"/>
        <v>29271.529680716307</v>
      </c>
      <c r="R31" s="18">
        <f t="shared" si="8"/>
        <v>38587.396103704465</v>
      </c>
      <c r="S31" s="18">
        <f>MIN(MAX('1-Input'!$B$15*'1-Input'!$B$10-O31,0),MAX(P31,0))</f>
        <v>0</v>
      </c>
    </row>
    <row r="32" spans="1:19">
      <c r="A32" s="10">
        <f>24</f>
        <v>24</v>
      </c>
      <c r="B32" s="11">
        <f>IF(A32=1,'P-Parametri'!$B$30,IF(A32=2,'P-Parametri'!$C$30,'P-Parametri'!$B$29))</f>
        <v>6.8512000000000003E-2</v>
      </c>
      <c r="C32" s="29">
        <f t="shared" si="1"/>
        <v>2.23434498526216</v>
      </c>
      <c r="D32" s="10">
        <f t="shared" si="2"/>
        <v>1</v>
      </c>
      <c r="E32" s="18">
        <f>IF(D32=1,MIN('1-Input'!$B$15*'1-Input'!$B$10,R32),O32+S32)*(1+'1-Input'!$B$27)</f>
        <v>31108.543717779488</v>
      </c>
      <c r="F32" s="18">
        <f>IF(D32=1,R32-'P-Parametri'!$B$31*R32-MIN('1-Input'!$B$15*'1-Input'!$B$10,R32),P32-S32)*(1+'P-Parametri'!$C$29)</f>
        <v>-18826.226276416128</v>
      </c>
      <c r="G32" s="18">
        <f>IF(D32=1,'P-Parametri'!$B$31*R32,Q32)*(1+B32)</f>
        <v>20015.968846831791</v>
      </c>
      <c r="H32" s="18">
        <f t="shared" si="0"/>
        <v>32298.286288195151</v>
      </c>
      <c r="I32" s="23">
        <f t="shared" si="3"/>
        <v>0.61972231802736599</v>
      </c>
      <c r="J32" s="30">
        <f>IF(C32&gt;=K32,0,LN(K32/C32)/LN(1+'P-Parametri'!$B$29))</f>
        <v>0</v>
      </c>
      <c r="K32" s="29">
        <f t="shared" si="4"/>
        <v>2.0910808538061905</v>
      </c>
      <c r="L32" s="18">
        <f>MIN(MAX(E31,0),MAX(0,'1-Input'!$B$10-IF(A32&gt;='1-Input'!$C$12,'1-Input'!$B$12,0)))</f>
        <v>8698</v>
      </c>
      <c r="M32" s="18">
        <f>MIN(MAX(F31,0),MAX(0,'1-Input'!$B$10-IF(A32&gt;='1-Input'!$C$12,'1-Input'!$B$12,0))-L32)</f>
        <v>0</v>
      </c>
      <c r="N32" s="18">
        <f>MIN(MAX(G31,0),MAX(0,'1-Input'!$B$10-IF(A32&gt;='1-Input'!$C$12,'1-Input'!$B$12,0))-L32-M32)</f>
        <v>0</v>
      </c>
      <c r="O32" s="18">
        <f t="shared" si="5"/>
        <v>29750.481477731126</v>
      </c>
      <c r="P32" s="18">
        <f t="shared" si="6"/>
        <v>-23268.199850533787</v>
      </c>
      <c r="Q32" s="18">
        <f t="shared" si="7"/>
        <v>24738.657471336875</v>
      </c>
      <c r="R32" s="18">
        <f t="shared" si="8"/>
        <v>31220.939098534214</v>
      </c>
      <c r="S32" s="18">
        <f>MIN(MAX('1-Input'!$B$15*'1-Input'!$B$10-O32,0),MAX(P32,0))</f>
        <v>0</v>
      </c>
    </row>
    <row r="33" spans="1:19">
      <c r="A33" s="10">
        <f>25</f>
        <v>25</v>
      </c>
      <c r="B33" s="11">
        <f>IF(A33=1,'P-Parametri'!$B$30,IF(A33=2,'P-Parametri'!$C$30,'P-Parametri'!$B$29))</f>
        <v>6.8512000000000003E-2</v>
      </c>
      <c r="C33" s="29">
        <f t="shared" si="1"/>
        <v>2.3874244288924409</v>
      </c>
      <c r="D33" s="10">
        <f t="shared" si="2"/>
        <v>1</v>
      </c>
      <c r="E33" s="18">
        <f>IF(D33=1,MIN('1-Input'!$B$15*'1-Input'!$B$10,R33),O33+S33)*(1+'1-Input'!$B$27)</f>
        <v>23515.325257557648</v>
      </c>
      <c r="F33" s="18">
        <f>IF(D33=1,R33-'P-Parametri'!$B$31*R33-MIN('1-Input'!$B$15*'1-Input'!$B$10,R33),P33-S33)*(1+'P-Parametri'!$C$29)</f>
        <v>-14230.972631781675</v>
      </c>
      <c r="G33" s="18">
        <f>IF(D33=1,'P-Parametri'!$B$31*R33,Q33)*(1+B33)</f>
        <v>15130.313461423184</v>
      </c>
      <c r="H33" s="18">
        <f t="shared" si="0"/>
        <v>24414.666087199155</v>
      </c>
      <c r="I33" s="23">
        <f t="shared" si="3"/>
        <v>0.6197223180273661</v>
      </c>
      <c r="J33" s="30">
        <f>IF(C33&gt;=K33,0,LN(K33/C33)/LN(1+'P-Parametri'!$B$29))</f>
        <v>0</v>
      </c>
      <c r="K33" s="29">
        <f t="shared" si="4"/>
        <v>2.23434498526216</v>
      </c>
      <c r="L33" s="18">
        <f>MIN(MAX(E32,0),MAX(0,'1-Input'!$B$10-IF(A33&gt;='1-Input'!$C$12,'1-Input'!$B$12,0)))</f>
        <v>8698</v>
      </c>
      <c r="M33" s="18">
        <f>MIN(MAX(F32,0),MAX(0,'1-Input'!$B$10-IF(A33&gt;='1-Input'!$C$12,'1-Input'!$B$12,0))-L33)</f>
        <v>0</v>
      </c>
      <c r="N33" s="18">
        <f>MIN(MAX(G32,0),MAX(0,'1-Input'!$B$10-IF(A33&gt;='1-Input'!$C$12,'1-Input'!$B$12,0))-L33-M33)</f>
        <v>0</v>
      </c>
      <c r="O33" s="18">
        <f t="shared" si="5"/>
        <v>22410.543717779488</v>
      </c>
      <c r="P33" s="18">
        <f t="shared" si="6"/>
        <v>-18826.226276416128</v>
      </c>
      <c r="Q33" s="18">
        <f t="shared" si="7"/>
        <v>20015.968846831791</v>
      </c>
      <c r="R33" s="18">
        <f t="shared" si="8"/>
        <v>23600.286288195151</v>
      </c>
      <c r="S33" s="18">
        <f>MIN(MAX('1-Input'!$B$15*'1-Input'!$B$10-O33,0),MAX(P33,0))</f>
        <v>0</v>
      </c>
    </row>
    <row r="34" spans="1:19">
      <c r="A34" s="10">
        <f>26</f>
        <v>26</v>
      </c>
      <c r="B34" s="11">
        <f>IF(A34=1,'P-Parametri'!$B$30,IF(A34=2,'P-Parametri'!$C$30,'P-Parametri'!$B$29))</f>
        <v>6.8512000000000003E-2</v>
      </c>
      <c r="C34" s="29">
        <f t="shared" si="1"/>
        <v>2.5509916513647197</v>
      </c>
      <c r="D34" s="10">
        <f t="shared" si="2"/>
        <v>1</v>
      </c>
      <c r="E34" s="18">
        <f>IF(D34=1,MIN('1-Input'!$B$15*'1-Input'!$B$10,R34),O34+S34)*(1+'1-Input'!$B$27)</f>
        <v>15660.08608928524</v>
      </c>
      <c r="F34" s="18">
        <f>IF(D34=1,R34-'P-Parametri'!$B$31*R34-MIN('1-Input'!$B$15*'1-Input'!$B$10,R34),P34-S34)*(1+'P-Parametri'!$C$29)</f>
        <v>-9477.1496505810901</v>
      </c>
      <c r="G34" s="18">
        <f>IF(D34=1,'P-Parametri'!$B$31*R34,Q34)*(1+B34)</f>
        <v>10076.067788499206</v>
      </c>
      <c r="H34" s="18">
        <f t="shared" si="0"/>
        <v>16259.004227203355</v>
      </c>
      <c r="I34" s="23">
        <f t="shared" si="3"/>
        <v>0.61972231802736599</v>
      </c>
      <c r="J34" s="30">
        <f>IF(C34&gt;=K34,0,LN(K34/C34)/LN(1+'P-Parametri'!$B$29))</f>
        <v>0</v>
      </c>
      <c r="K34" s="29">
        <f t="shared" si="4"/>
        <v>2.3874244288924409</v>
      </c>
      <c r="L34" s="18">
        <f>MIN(MAX(E33,0),MAX(0,'1-Input'!$B$10-IF(A34&gt;='1-Input'!$C$12,'1-Input'!$B$12,0)))</f>
        <v>8698</v>
      </c>
      <c r="M34" s="18">
        <f>MIN(MAX(F33,0),MAX(0,'1-Input'!$B$10-IF(A34&gt;='1-Input'!$C$12,'1-Input'!$B$12,0))-L34)</f>
        <v>0</v>
      </c>
      <c r="N34" s="18">
        <f>MIN(MAX(G33,0),MAX(0,'1-Input'!$B$10-IF(A34&gt;='1-Input'!$C$12,'1-Input'!$B$12,0))-L34-M34)</f>
        <v>0</v>
      </c>
      <c r="O34" s="18">
        <f t="shared" si="5"/>
        <v>14817.325257557648</v>
      </c>
      <c r="P34" s="18">
        <f t="shared" si="6"/>
        <v>-14230.972631781675</v>
      </c>
      <c r="Q34" s="18">
        <f t="shared" si="7"/>
        <v>15130.313461423184</v>
      </c>
      <c r="R34" s="18">
        <f t="shared" si="8"/>
        <v>15716.666087199157</v>
      </c>
      <c r="S34" s="18">
        <f>MIN(MAX('1-Input'!$B$15*'1-Input'!$B$10-O34,0),MAX(P34,0))</f>
        <v>0</v>
      </c>
    </row>
    <row r="35" spans="1:19">
      <c r="A35" s="10">
        <f>27</f>
        <v>27</v>
      </c>
      <c r="B35" s="11">
        <f>IF(A35=1,'P-Parametri'!$B$30,IF(A35=2,'P-Parametri'!$C$30,'P-Parametri'!$B$29))</f>
        <v>6.8512000000000003E-2</v>
      </c>
      <c r="C35" s="29">
        <f t="shared" si="1"/>
        <v>2.7257651913830192</v>
      </c>
      <c r="D35" s="10">
        <f t="shared" si="2"/>
        <v>1</v>
      </c>
      <c r="E35" s="18">
        <f>IF(D35=1,MIN('1-Input'!$B$15*'1-Input'!$B$10,R35),O35+S35)*(1+'1-Input'!$B$27)</f>
        <v>7533.784611985423</v>
      </c>
      <c r="F35" s="18">
        <f>IF(D35=1,R35-'P-Parametri'!$B$31*R35-MIN('1-Input'!$B$15*'1-Input'!$B$10,R35),P35-S35)*(1+'P-Parametri'!$C$29)</f>
        <v>-4559.2855490036227</v>
      </c>
      <c r="G35" s="18">
        <f>IF(D35=1,'P-Parametri'!$B$31*R35,Q35)*(1+B35)</f>
        <v>4847.4142492905066</v>
      </c>
      <c r="H35" s="18">
        <f t="shared" si="0"/>
        <v>7821.9133122723069</v>
      </c>
      <c r="I35" s="23">
        <f t="shared" si="3"/>
        <v>0.61972231802736599</v>
      </c>
      <c r="J35" s="30">
        <f>IF(C35&gt;=K35,0,LN(K35/C35)/LN(1+'P-Parametri'!$B$29))</f>
        <v>0</v>
      </c>
      <c r="K35" s="29">
        <f t="shared" si="4"/>
        <v>2.5509916513647197</v>
      </c>
      <c r="L35" s="18">
        <f>MIN(MAX(E34,0),MAX(0,'1-Input'!$B$10-IF(A35&gt;='1-Input'!$C$12,'1-Input'!$B$12,0)))</f>
        <v>8698</v>
      </c>
      <c r="M35" s="18">
        <f>MIN(MAX(F34,0),MAX(0,'1-Input'!$B$10-IF(A35&gt;='1-Input'!$C$12,'1-Input'!$B$12,0))-L35)</f>
        <v>0</v>
      </c>
      <c r="N35" s="18">
        <f>MIN(MAX(G34,0),MAX(0,'1-Input'!$B$10-IF(A35&gt;='1-Input'!$C$12,'1-Input'!$B$12,0))-L35-M35)</f>
        <v>0</v>
      </c>
      <c r="O35" s="18">
        <f t="shared" si="5"/>
        <v>6962.0860892852397</v>
      </c>
      <c r="P35" s="18">
        <f t="shared" si="6"/>
        <v>-9477.1496505810901</v>
      </c>
      <c r="Q35" s="18">
        <f t="shared" si="7"/>
        <v>10076.067788499206</v>
      </c>
      <c r="R35" s="18">
        <f t="shared" si="8"/>
        <v>7561.0042272033552</v>
      </c>
      <c r="S35" s="18">
        <f>MIN(MAX('1-Input'!$B$15*'1-Input'!$B$10-O35,0),MAX(P35,0))</f>
        <v>0</v>
      </c>
    </row>
    <row r="36" spans="1:19">
      <c r="A36" s="10">
        <f>28</f>
        <v>28</v>
      </c>
      <c r="B36" s="11">
        <f>IF(A36=1,'P-Parametri'!$B$30,IF(A36=2,'P-Parametri'!$C$30,'P-Parametri'!$B$29))</f>
        <v>6.8512000000000003E-2</v>
      </c>
      <c r="C36" s="29">
        <f t="shared" si="1"/>
        <v>2.9125128161750524</v>
      </c>
      <c r="D36" s="10">
        <f t="shared" si="2"/>
        <v>1</v>
      </c>
      <c r="E36" s="18">
        <f>IF(D36=1,MIN('1-Input'!$B$15*'1-Input'!$B$10,R36),O36+S36)*(1+'1-Input'!$B$27)</f>
        <v>-872.93277565187327</v>
      </c>
      <c r="F36" s="18">
        <f>IF(D36=1,R36-'P-Parametri'!$B$31*R36-MIN('1-Input'!$B$15*'1-Input'!$B$10,R36),P36-S36)*(1+'P-Parametri'!$C$29)</f>
        <v>528.28027269979884</v>
      </c>
      <c r="G36" s="18">
        <f>IF(D36=1,'P-Parametri'!$B$31*R36,Q36)*(1+B36)</f>
        <v>-561.66548332637558</v>
      </c>
      <c r="H36" s="18">
        <f t="shared" si="0"/>
        <v>-906.31798627845001</v>
      </c>
      <c r="I36" s="23">
        <f t="shared" si="3"/>
        <v>0</v>
      </c>
      <c r="J36" s="30">
        <f>IF(C36&gt;=K36,0,LN(K36/C36)/LN(1+'P-Parametri'!$B$29))</f>
        <v>0</v>
      </c>
      <c r="K36" s="29">
        <f t="shared" si="4"/>
        <v>2.7257651913830192</v>
      </c>
      <c r="L36" s="18">
        <f>MIN(MAX(E35,0),MAX(0,'1-Input'!$B$10-IF(A36&gt;='1-Input'!$C$12,'1-Input'!$B$12,0)))</f>
        <v>7533.784611985423</v>
      </c>
      <c r="M36" s="18">
        <f>MIN(MAX(F35,0),MAX(0,'1-Input'!$B$10-IF(A36&gt;='1-Input'!$C$12,'1-Input'!$B$12,0))-L36)</f>
        <v>0</v>
      </c>
      <c r="N36" s="18">
        <f>MIN(MAX(G35,0),MAX(0,'1-Input'!$B$10-IF(A36&gt;='1-Input'!$C$12,'1-Input'!$B$12,0))-L36-M36)</f>
        <v>1164.215388014577</v>
      </c>
      <c r="O36" s="18">
        <f t="shared" si="5"/>
        <v>0</v>
      </c>
      <c r="P36" s="18">
        <f t="shared" si="6"/>
        <v>-4559.2855490036227</v>
      </c>
      <c r="Q36" s="18">
        <f t="shared" si="7"/>
        <v>3683.1988612759296</v>
      </c>
      <c r="R36" s="18">
        <f t="shared" si="8"/>
        <v>-876.08668772769306</v>
      </c>
      <c r="S36" s="18">
        <f>MIN(MAX('1-Input'!$B$15*'1-Input'!$B$10-O36,0),MAX(P36,0))</f>
        <v>0</v>
      </c>
    </row>
    <row r="37" spans="1:19">
      <c r="A37" s="10">
        <f>29</f>
        <v>29</v>
      </c>
      <c r="B37" s="11">
        <f>IF(A37=1,'P-Parametri'!$B$30,IF(A37=2,'P-Parametri'!$C$30,'P-Parametri'!$B$29))</f>
        <v>6.8512000000000003E-2</v>
      </c>
      <c r="C37" s="29">
        <f t="shared" si="1"/>
        <v>3.1120548942368371</v>
      </c>
      <c r="D37" s="10">
        <f t="shared" si="2"/>
        <v>1</v>
      </c>
      <c r="E37" s="18">
        <f>IF(D37=1,MIN('1-Input'!$B$15*'1-Input'!$B$10,R37),O37+S37)*(1+'1-Input'!$B$27)</f>
        <v>-1429.4337052459271</v>
      </c>
      <c r="F37" s="18">
        <f>IF(D37=1,R37-'P-Parametri'!$B$31*R37-MIN('1-Input'!$B$15*'1-Input'!$B$10,R37),P37-S37)*(1+'P-Parametri'!$C$29)</f>
        <v>865.06275016388395</v>
      </c>
      <c r="G37" s="18">
        <f>IF(D37=1,'P-Parametri'!$B$31*R37,Q37)*(1+B37)</f>
        <v>-919.73127293841992</v>
      </c>
      <c r="H37" s="18">
        <f t="shared" si="0"/>
        <v>-1484.1022280204629</v>
      </c>
      <c r="I37" s="23">
        <f t="shared" si="3"/>
        <v>0</v>
      </c>
      <c r="J37" s="30">
        <f>IF(C37&gt;=K37,0,LN(K37/C37)/LN(1+'P-Parametri'!$B$29))</f>
        <v>0</v>
      </c>
      <c r="K37" s="29">
        <f t="shared" si="4"/>
        <v>2.9125128161750524</v>
      </c>
      <c r="L37" s="18">
        <f>MIN(MAX(E36,0),MAX(0,'1-Input'!$B$10-IF(A37&gt;='1-Input'!$C$12,'1-Input'!$B$12,0)))</f>
        <v>0</v>
      </c>
      <c r="M37" s="18">
        <f>MIN(MAX(F36,0),MAX(0,'1-Input'!$B$10-IF(A37&gt;='1-Input'!$C$12,'1-Input'!$B$12,0))-L37)</f>
        <v>528.28027269979884</v>
      </c>
      <c r="N37" s="18">
        <f>MIN(MAX(G36,0),MAX(0,'1-Input'!$B$10-IF(A37&gt;='1-Input'!$C$12,'1-Input'!$B$12,0))-L37-M37)</f>
        <v>0</v>
      </c>
      <c r="O37" s="18">
        <f t="shared" si="5"/>
        <v>-872.93277565187327</v>
      </c>
      <c r="P37" s="18">
        <f t="shared" si="6"/>
        <v>0</v>
      </c>
      <c r="Q37" s="18">
        <f t="shared" si="7"/>
        <v>-561.66548332637558</v>
      </c>
      <c r="R37" s="18">
        <f t="shared" si="8"/>
        <v>-1434.5982589782489</v>
      </c>
      <c r="S37" s="18">
        <f>MIN(MAX('1-Input'!$B$15*'1-Input'!$B$10-O37,0),MAX(P37,0))</f>
        <v>0</v>
      </c>
    </row>
    <row r="38" spans="1:19">
      <c r="A38" s="10">
        <f>30</f>
        <v>30</v>
      </c>
      <c r="B38" s="11">
        <f>IF(A38=1,'P-Parametri'!$B$30,IF(A38=2,'P-Parametri'!$C$30,'P-Parametri'!$B$29))</f>
        <v>6.8512000000000003E-2</v>
      </c>
      <c r="C38" s="29">
        <f t="shared" si="1"/>
        <v>3.3252679991507912</v>
      </c>
      <c r="D38" s="10">
        <f t="shared" si="2"/>
        <v>1</v>
      </c>
      <c r="E38" s="18">
        <f>IF(D38=1,MIN('1-Input'!$B$15*'1-Input'!$B$10,R38),O38+S38)*(1+'1-Input'!$B$27)</f>
        <v>-2340.7079842628832</v>
      </c>
      <c r="F38" s="18">
        <f>IF(D38=1,R38-'P-Parametri'!$B$31*R38-MIN('1-Input'!$B$15*'1-Input'!$B$10,R38),P38-S38)*(1+'P-Parametri'!$C$29)</f>
        <v>1416.546481845161</v>
      </c>
      <c r="G38" s="18">
        <f>IF(D38=1,'P-Parametri'!$B$31*R38,Q38)*(1+B38)</f>
        <v>-1506.0665815018276</v>
      </c>
      <c r="H38" s="18">
        <f t="shared" si="0"/>
        <v>-2430.22808391955</v>
      </c>
      <c r="I38" s="23">
        <f t="shared" si="3"/>
        <v>0</v>
      </c>
      <c r="J38" s="30">
        <f>IF(C38&gt;=K38,0,LN(K38/C38)/LN(1+'P-Parametri'!$B$29))</f>
        <v>0</v>
      </c>
      <c r="K38" s="29">
        <f t="shared" si="4"/>
        <v>3.1120548942368371</v>
      </c>
      <c r="L38" s="18">
        <f>MIN(MAX(E37,0),MAX(0,'1-Input'!$B$10-IF(A38&gt;='1-Input'!$C$12,'1-Input'!$B$12,0)))</f>
        <v>0</v>
      </c>
      <c r="M38" s="18">
        <f>MIN(MAX(F37,0),MAX(0,'1-Input'!$B$10-IF(A38&gt;='1-Input'!$C$12,'1-Input'!$B$12,0))-L38)</f>
        <v>865.06275016388395</v>
      </c>
      <c r="N38" s="18">
        <f>MIN(MAX(G37,0),MAX(0,'1-Input'!$B$10-IF(A38&gt;='1-Input'!$C$12,'1-Input'!$B$12,0))-L38-M38)</f>
        <v>0</v>
      </c>
      <c r="O38" s="18">
        <f t="shared" si="5"/>
        <v>-1429.4337052459271</v>
      </c>
      <c r="P38" s="18">
        <f t="shared" si="6"/>
        <v>0</v>
      </c>
      <c r="Q38" s="18">
        <f t="shared" si="7"/>
        <v>-919.73127293841992</v>
      </c>
      <c r="R38" s="18">
        <f t="shared" si="8"/>
        <v>-2349.1649781843471</v>
      </c>
      <c r="S38" s="18">
        <f>MIN(MAX('1-Input'!$B$15*'1-Input'!$B$10-O38,0),MAX(P38,0))</f>
        <v>0</v>
      </c>
    </row>
    <row r="39" spans="1:19">
      <c r="A39" s="10">
        <f>31</f>
        <v>31</v>
      </c>
      <c r="B39" s="11">
        <f>IF(A39=1,'P-Parametri'!$B$30,IF(A39=2,'P-Parametri'!$C$30,'P-Parametri'!$B$29))</f>
        <v>6.8512000000000003E-2</v>
      </c>
      <c r="C39" s="29">
        <f t="shared" si="1"/>
        <v>3.5530887603086101</v>
      </c>
      <c r="D39" s="10">
        <f t="shared" si="2"/>
        <v>1</v>
      </c>
      <c r="E39" s="18">
        <f>IF(D39=1,MIN('1-Input'!$B$15*'1-Input'!$B$10,R39),O39+S39)*(1+'1-Input'!$B$27)</f>
        <v>-3832.9261773279577</v>
      </c>
      <c r="F39" s="18">
        <f>IF(D39=1,R39-'P-Parametri'!$B$31*R39-MIN('1-Input'!$B$15*'1-Input'!$B$10,R39),P39-S39)*(1+'P-Parametri'!$C$29)</f>
        <v>2319.6050631561202</v>
      </c>
      <c r="G39" s="18">
        <f>IF(D39=1,'P-Parametri'!$B$31*R39,Q39)*(1+B39)</f>
        <v>-2466.1948708886293</v>
      </c>
      <c r="H39" s="18">
        <f t="shared" si="0"/>
        <v>-3979.5159850604668</v>
      </c>
      <c r="I39" s="23">
        <f t="shared" si="3"/>
        <v>0</v>
      </c>
      <c r="J39" s="30">
        <f>IF(C39&gt;=K39,0,LN(K39/C39)/LN(1+'P-Parametri'!$B$29))</f>
        <v>0</v>
      </c>
      <c r="K39" s="29">
        <f t="shared" si="4"/>
        <v>3.3252679991507912</v>
      </c>
      <c r="L39" s="18">
        <f>MIN(MAX(E38,0),MAX(0,'1-Input'!$B$10-IF(A39&gt;='1-Input'!$C$12,'1-Input'!$B$12,0)))</f>
        <v>0</v>
      </c>
      <c r="M39" s="18">
        <f>MIN(MAX(F38,0),MAX(0,'1-Input'!$B$10-IF(A39&gt;='1-Input'!$C$12,'1-Input'!$B$12,0))-L39)</f>
        <v>1416.546481845161</v>
      </c>
      <c r="N39" s="18">
        <f>MIN(MAX(G38,0),MAX(0,'1-Input'!$B$10-IF(A39&gt;='1-Input'!$C$12,'1-Input'!$B$12,0))-L39-M39)</f>
        <v>0</v>
      </c>
      <c r="O39" s="18">
        <f t="shared" si="5"/>
        <v>-2340.7079842628832</v>
      </c>
      <c r="P39" s="18">
        <f t="shared" si="6"/>
        <v>0</v>
      </c>
      <c r="Q39" s="18">
        <f t="shared" si="7"/>
        <v>-1506.0665815018276</v>
      </c>
      <c r="R39" s="18">
        <f t="shared" si="8"/>
        <v>-3846.774565764711</v>
      </c>
      <c r="S39" s="18">
        <f>MIN(MAX('1-Input'!$B$15*'1-Input'!$B$10-O39,0),MAX(P39,0))</f>
        <v>0</v>
      </c>
    </row>
    <row r="40" spans="1:19">
      <c r="A40" s="10">
        <f>32</f>
        <v>32</v>
      </c>
      <c r="B40" s="11">
        <f>IF(A40=1,'P-Parametri'!$B$30,IF(A40=2,'P-Parametri'!$C$30,'P-Parametri'!$B$29))</f>
        <v>6.8512000000000003E-2</v>
      </c>
      <c r="C40" s="29">
        <f t="shared" si="1"/>
        <v>3.7965179774548732</v>
      </c>
      <c r="D40" s="10">
        <f t="shared" si="2"/>
        <v>1</v>
      </c>
      <c r="E40" s="18">
        <f>IF(D40=1,MIN('1-Input'!$B$15*'1-Input'!$B$10,R40),O40+S40)*(1+'1-Input'!$B$27)</f>
        <v>-6276.444212443007</v>
      </c>
      <c r="F40" s="18">
        <f>IF(D40=1,R40-'P-Parametri'!$B$31*R40-MIN('1-Input'!$B$15*'1-Input'!$B$10,R40),P40-S40)*(1+'P-Parametri'!$C$29)</f>
        <v>3798.3699920746012</v>
      </c>
      <c r="G40" s="18">
        <f>IF(D40=1,'P-Parametri'!$B$31*R40,Q40)*(1+B40)</f>
        <v>-4038.4118576832007</v>
      </c>
      <c r="H40" s="18">
        <f t="shared" si="0"/>
        <v>-6516.4860780516065</v>
      </c>
      <c r="I40" s="23">
        <f t="shared" si="3"/>
        <v>0</v>
      </c>
      <c r="J40" s="30">
        <f>IF(C40&gt;=K40,0,LN(K40/C40)/LN(1+'P-Parametri'!$B$29))</f>
        <v>0</v>
      </c>
      <c r="K40" s="29">
        <f t="shared" si="4"/>
        <v>3.5530887603086101</v>
      </c>
      <c r="L40" s="18">
        <f>MIN(MAX(E39,0),MAX(0,'1-Input'!$B$10-IF(A40&gt;='1-Input'!$C$12,'1-Input'!$B$12,0)))</f>
        <v>0</v>
      </c>
      <c r="M40" s="18">
        <f>MIN(MAX(F39,0),MAX(0,'1-Input'!$B$10-IF(A40&gt;='1-Input'!$C$12,'1-Input'!$B$12,0))-L40)</f>
        <v>2319.6050631561202</v>
      </c>
      <c r="N40" s="18">
        <f>MIN(MAX(G39,0),MAX(0,'1-Input'!$B$10-IF(A40&gt;='1-Input'!$C$12,'1-Input'!$B$12,0))-L40-M40)</f>
        <v>0</v>
      </c>
      <c r="O40" s="18">
        <f t="shared" si="5"/>
        <v>-3832.9261773279577</v>
      </c>
      <c r="P40" s="18">
        <f t="shared" si="6"/>
        <v>0</v>
      </c>
      <c r="Q40" s="18">
        <f t="shared" si="7"/>
        <v>-2466.1948708886293</v>
      </c>
      <c r="R40" s="18">
        <f t="shared" si="8"/>
        <v>-6299.121048216587</v>
      </c>
      <c r="S40" s="18">
        <f>MIN(MAX('1-Input'!$B$15*'1-Input'!$B$10-O40,0),MAX(P40,0))</f>
        <v>0</v>
      </c>
    </row>
    <row r="41" spans="1:19">
      <c r="A41" s="10">
        <f>33</f>
        <v>33</v>
      </c>
      <c r="B41" s="11">
        <f>IF(A41=1,'P-Parametri'!$B$30,IF(A41=2,'P-Parametri'!$C$30,'P-Parametri'!$B$29))</f>
        <v>6.8512000000000003E-2</v>
      </c>
      <c r="C41" s="29">
        <f t="shared" si="1"/>
        <v>4.0566250171262608</v>
      </c>
      <c r="D41" s="10">
        <f t="shared" si="2"/>
        <v>1</v>
      </c>
      <c r="E41" s="18">
        <f>IF(D41=1,MIN('1-Input'!$B$15*'1-Input'!$B$10,R41),O41+S41)*(1+'1-Input'!$B$27)</f>
        <v>-10277.722588273751</v>
      </c>
      <c r="F41" s="18">
        <f>IF(D41=1,R41-'P-Parametri'!$B$31*R41-MIN('1-Input'!$B$15*'1-Input'!$B$10,R41),P41-S41)*(1+'P-Parametri'!$C$29)</f>
        <v>6219.8582102861019</v>
      </c>
      <c r="G41" s="18">
        <f>IF(D41=1,'P-Parametri'!$B$31*R41,Q41)*(1+B41)</f>
        <v>-6612.9284935216156</v>
      </c>
      <c r="H41" s="18">
        <f t="shared" si="0"/>
        <v>-10670.792871509264</v>
      </c>
      <c r="I41" s="23">
        <f t="shared" si="3"/>
        <v>0</v>
      </c>
      <c r="J41" s="30">
        <f>IF(C41&gt;=K41,0,LN(K41/C41)/LN(1+'P-Parametri'!$B$29))</f>
        <v>0</v>
      </c>
      <c r="K41" s="29">
        <f t="shared" si="4"/>
        <v>3.7965179774548732</v>
      </c>
      <c r="L41" s="18">
        <f>MIN(MAX(E40,0),MAX(0,'1-Input'!$B$10-IF(A41&gt;='1-Input'!$C$12,'1-Input'!$B$12,0)))</f>
        <v>0</v>
      </c>
      <c r="M41" s="18">
        <f>MIN(MAX(F40,0),MAX(0,'1-Input'!$B$10-IF(A41&gt;='1-Input'!$C$12,'1-Input'!$B$12,0))-L41)</f>
        <v>3798.3699920746012</v>
      </c>
      <c r="N41" s="18">
        <f>MIN(MAX(G40,0),MAX(0,'1-Input'!$B$10-IF(A41&gt;='1-Input'!$C$12,'1-Input'!$B$12,0))-L41-M41)</f>
        <v>0</v>
      </c>
      <c r="O41" s="18">
        <f t="shared" si="5"/>
        <v>-6276.444212443007</v>
      </c>
      <c r="P41" s="18">
        <f t="shared" si="6"/>
        <v>0</v>
      </c>
      <c r="Q41" s="18">
        <f t="shared" si="7"/>
        <v>-4038.4118576832007</v>
      </c>
      <c r="R41" s="18">
        <f t="shared" si="8"/>
        <v>-10314.856070126207</v>
      </c>
      <c r="S41" s="18">
        <f>MIN(MAX('1-Input'!$B$15*'1-Input'!$B$10-O41,0),MAX(P41,0))</f>
        <v>0</v>
      </c>
    </row>
    <row r="42" spans="1:19">
      <c r="A42" s="10">
        <f>34</f>
        <v>34</v>
      </c>
      <c r="B42" s="11">
        <f>IF(A42=1,'P-Parametri'!$B$30,IF(A42=2,'P-Parametri'!$C$30,'P-Parametri'!$B$29))</f>
        <v>6.8512000000000003E-2</v>
      </c>
      <c r="C42" s="29">
        <f t="shared" si="1"/>
        <v>4.3345525102996145</v>
      </c>
      <c r="D42" s="10">
        <f t="shared" si="2"/>
        <v>1</v>
      </c>
      <c r="E42" s="18">
        <f>IF(D42=1,MIN('1-Input'!$B$15*'1-Input'!$B$10,R42),O42+S42)*(1+'1-Input'!$B$27)</f>
        <v>-16829.844737900905</v>
      </c>
      <c r="F42" s="18">
        <f>IF(D42=1,R42-'P-Parametri'!$B$31*R42-MIN('1-Input'!$B$15*'1-Input'!$B$10,R42),P42-S42)*(1+'P-Parametri'!$C$29)</f>
        <v>10185.062602322605</v>
      </c>
      <c r="G42" s="18">
        <f>IF(D42=1,'P-Parametri'!$B$31*R42,Q42)*(1+B42)</f>
        <v>-10828.718021226798</v>
      </c>
      <c r="H42" s="18">
        <f t="shared" si="0"/>
        <v>-17473.500156805098</v>
      </c>
      <c r="I42" s="23">
        <f t="shared" si="3"/>
        <v>0</v>
      </c>
      <c r="J42" s="30">
        <f>IF(C42&gt;=K42,0,LN(K42/C42)/LN(1+'P-Parametri'!$B$29))</f>
        <v>0</v>
      </c>
      <c r="K42" s="29">
        <f t="shared" si="4"/>
        <v>4.0566250171262608</v>
      </c>
      <c r="L42" s="18">
        <f>MIN(MAX(E41,0),MAX(0,'1-Input'!$B$10-IF(A42&gt;='1-Input'!$C$12,'1-Input'!$B$12,0)))</f>
        <v>0</v>
      </c>
      <c r="M42" s="18">
        <f>MIN(MAX(F41,0),MAX(0,'1-Input'!$B$10-IF(A42&gt;='1-Input'!$C$12,'1-Input'!$B$12,0))-L42)</f>
        <v>6219.8582102861019</v>
      </c>
      <c r="N42" s="18">
        <f>MIN(MAX(G41,0),MAX(0,'1-Input'!$B$10-IF(A42&gt;='1-Input'!$C$12,'1-Input'!$B$12,0))-L42-M42)</f>
        <v>0</v>
      </c>
      <c r="O42" s="18">
        <f t="shared" si="5"/>
        <v>-10277.722588273751</v>
      </c>
      <c r="P42" s="18">
        <f t="shared" si="6"/>
        <v>0</v>
      </c>
      <c r="Q42" s="18">
        <f t="shared" si="7"/>
        <v>-6612.9284935216156</v>
      </c>
      <c r="R42" s="18">
        <f t="shared" si="8"/>
        <v>-16890.651081795368</v>
      </c>
      <c r="S42" s="18">
        <f>MIN(MAX('1-Input'!$B$15*'1-Input'!$B$10-O42,0),MAX(P42,0))</f>
        <v>0</v>
      </c>
    </row>
    <row r="43" spans="1:19">
      <c r="A43" s="10">
        <f>35</f>
        <v>35</v>
      </c>
      <c r="B43" s="11">
        <f>IF(A43=1,'P-Parametri'!$B$30,IF(A43=2,'P-Parametri'!$C$30,'P-Parametri'!$B$29))</f>
        <v>6.8512000000000003E-2</v>
      </c>
      <c r="C43" s="29">
        <f t="shared" si="1"/>
        <v>4.6315213718852615</v>
      </c>
      <c r="D43" s="10">
        <f t="shared" si="2"/>
        <v>1</v>
      </c>
      <c r="E43" s="18">
        <f>IF(D43=1,MIN('1-Input'!$B$15*'1-Input'!$B$10,R43),O43+S43)*(1+'1-Input'!$B$27)</f>
        <v>-26077.282756240598</v>
      </c>
      <c r="F43" s="18">
        <f>IF(D43=1,R43-'P-Parametri'!$B$31*R43-MIN('1-Input'!$B$15*'1-Input'!$B$10,R43),P43-S43)*(1+'P-Parametri'!$C$29)</f>
        <v>15781.414594553471</v>
      </c>
      <c r="G43" s="18">
        <f>IF(D43=1,'P-Parametri'!$B$31*R43,Q43)*(1+B43)</f>
        <v>-16778.737185328875</v>
      </c>
      <c r="H43" s="18">
        <f t="shared" si="0"/>
        <v>-27074.605347016004</v>
      </c>
      <c r="I43" s="23">
        <f t="shared" si="3"/>
        <v>0</v>
      </c>
      <c r="J43" s="30">
        <f>IF(C43&gt;=K43,0,LN(K43/C43)/LN(1+'P-Parametri'!$B$29))</f>
        <v>0</v>
      </c>
      <c r="K43" s="29">
        <f t="shared" si="4"/>
        <v>4.3345525102996145</v>
      </c>
      <c r="L43" s="18">
        <f>MIN(MAX(E42,0),MAX(0,'1-Input'!$B$10-IF(A43&gt;='1-Input'!$C$12,'1-Input'!$B$12,0)))</f>
        <v>0</v>
      </c>
      <c r="M43" s="18">
        <f>MIN(MAX(F42,0),MAX(0,'1-Input'!$B$10-IF(A43&gt;='1-Input'!$C$12,'1-Input'!$B$12,0))-L43)</f>
        <v>8698</v>
      </c>
      <c r="N43" s="18">
        <f>MIN(MAX(G42,0),MAX(0,'1-Input'!$B$10-IF(A43&gt;='1-Input'!$C$12,'1-Input'!$B$12,0))-L43-M43)</f>
        <v>0</v>
      </c>
      <c r="O43" s="18">
        <f t="shared" si="5"/>
        <v>-16829.844737900905</v>
      </c>
      <c r="P43" s="18">
        <f t="shared" si="6"/>
        <v>1487.062602322605</v>
      </c>
      <c r="Q43" s="18">
        <f t="shared" si="7"/>
        <v>-10828.718021226798</v>
      </c>
      <c r="R43" s="18">
        <f t="shared" si="8"/>
        <v>-26171.500156805098</v>
      </c>
      <c r="S43" s="18">
        <f>MIN(MAX('1-Input'!$B$15*'1-Input'!$B$10-O43,0),MAX(P43,0))</f>
        <v>1487.062602322605</v>
      </c>
    </row>
    <row r="44" spans="1:19">
      <c r="A44" s="10">
        <f>36</f>
        <v>36</v>
      </c>
      <c r="B44" s="11">
        <f>IF(A44=1,'P-Parametri'!$B$30,IF(A44=2,'P-Parametri'!$C$30,'P-Parametri'!$B$29))</f>
        <v>6.8512000000000003E-2</v>
      </c>
      <c r="C44" s="29">
        <f t="shared" si="1"/>
        <v>4.948836164115864</v>
      </c>
      <c r="D44" s="10">
        <f t="shared" si="2"/>
        <v>1</v>
      </c>
      <c r="E44" s="18">
        <f>IF(D44=1,MIN('1-Input'!$B$15*'1-Input'!$B$10,R44),O44+S44)*(1+'1-Input'!$B$27)</f>
        <v>-35643.823967766737</v>
      </c>
      <c r="F44" s="18">
        <f>IF(D44=1,R44-'P-Parametri'!$B$31*R44-MIN('1-Input'!$B$15*'1-Input'!$B$10,R44),P44-S44)*(1+'P-Parametri'!$C$29)</f>
        <v>21570.881024250644</v>
      </c>
      <c r="G44" s="18">
        <f>IF(D44=1,'P-Parametri'!$B$31*R44,Q44)*(1+B44)</f>
        <v>-22934.074850730452</v>
      </c>
      <c r="H44" s="18">
        <f t="shared" si="0"/>
        <v>-37007.017794246545</v>
      </c>
      <c r="I44" s="23">
        <f t="shared" si="3"/>
        <v>0</v>
      </c>
      <c r="J44" s="30">
        <f>IF(C44&gt;=K44,0,LN(K44/C44)/LN(1+'P-Parametri'!$B$29))</f>
        <v>0</v>
      </c>
      <c r="K44" s="29">
        <f t="shared" si="4"/>
        <v>4.6315213718852615</v>
      </c>
      <c r="L44" s="18">
        <f>MIN(MAX(E43,0),MAX(0,'1-Input'!$B$10-IF(A44&gt;='1-Input'!$C$12,'1-Input'!$B$12,0)))</f>
        <v>0</v>
      </c>
      <c r="M44" s="18">
        <f>MIN(MAX(F43,0),MAX(0,'1-Input'!$B$10-IF(A44&gt;='1-Input'!$C$12,'1-Input'!$B$12,0))-L44)</f>
        <v>8698</v>
      </c>
      <c r="N44" s="18">
        <f>MIN(MAX(G43,0),MAX(0,'1-Input'!$B$10-IF(A44&gt;='1-Input'!$C$12,'1-Input'!$B$12,0))-L44-M44)</f>
        <v>0</v>
      </c>
      <c r="O44" s="18">
        <f t="shared" si="5"/>
        <v>-26077.282756240598</v>
      </c>
      <c r="P44" s="18">
        <f t="shared" si="6"/>
        <v>7083.414594553471</v>
      </c>
      <c r="Q44" s="18">
        <f t="shared" si="7"/>
        <v>-16778.737185328875</v>
      </c>
      <c r="R44" s="18">
        <f t="shared" si="8"/>
        <v>-35772.605347015997</v>
      </c>
      <c r="S44" s="18">
        <f>MIN(MAX('1-Input'!$B$15*'1-Input'!$B$10-O44,0),MAX(P44,0))</f>
        <v>7083.414594553471</v>
      </c>
    </row>
    <row r="45" spans="1:19">
      <c r="A45" s="10">
        <f>37</f>
        <v>37</v>
      </c>
      <c r="B45" s="11">
        <f>IF(A45=1,'P-Parametri'!$B$30,IF(A45=2,'P-Parametri'!$C$30,'P-Parametri'!$B$29))</f>
        <v>6.8512000000000003E-2</v>
      </c>
      <c r="C45" s="29">
        <f t="shared" si="1"/>
        <v>5.2878908273917693</v>
      </c>
      <c r="D45" s="10">
        <f t="shared" si="2"/>
        <v>1</v>
      </c>
      <c r="E45" s="18">
        <f>IF(D45=1,MIN('1-Input'!$B$15*'1-Input'!$B$10,R45),O45+S45)*(1+'1-Input'!$B$27)</f>
        <v>-45540.479730187253</v>
      </c>
      <c r="F45" s="18">
        <f>IF(D45=1,R45-'P-Parametri'!$B$31*R45-MIN('1-Input'!$B$15*'1-Input'!$B$10,R45),P45-S45)*(1+'P-Parametri'!$C$29)</f>
        <v>27560.12572993066</v>
      </c>
      <c r="G45" s="18">
        <f>IF(D45=1,'P-Parametri'!$B$31*R45,Q45)*(1+B45)</f>
        <v>-29301.815984019573</v>
      </c>
      <c r="H45" s="18">
        <f t="shared" si="0"/>
        <v>-47282.169984276166</v>
      </c>
      <c r="I45" s="23">
        <f t="shared" si="3"/>
        <v>0</v>
      </c>
      <c r="J45" s="30">
        <f>IF(C45&gt;=K45,0,LN(K45/C45)/LN(1+'P-Parametri'!$B$29))</f>
        <v>0</v>
      </c>
      <c r="K45" s="29">
        <f t="shared" si="4"/>
        <v>4.948836164115864</v>
      </c>
      <c r="L45" s="18">
        <f>MIN(MAX(E44,0),MAX(0,'1-Input'!$B$10-IF(A45&gt;='1-Input'!$C$12,'1-Input'!$B$12,0)))</f>
        <v>0</v>
      </c>
      <c r="M45" s="18">
        <f>MIN(MAX(F44,0),MAX(0,'1-Input'!$B$10-IF(A45&gt;='1-Input'!$C$12,'1-Input'!$B$12,0))-L45)</f>
        <v>8698</v>
      </c>
      <c r="N45" s="18">
        <f>MIN(MAX(G44,0),MAX(0,'1-Input'!$B$10-IF(A45&gt;='1-Input'!$C$12,'1-Input'!$B$12,0))-L45-M45)</f>
        <v>0</v>
      </c>
      <c r="O45" s="18">
        <f t="shared" si="5"/>
        <v>-35643.823967766737</v>
      </c>
      <c r="P45" s="18">
        <f t="shared" si="6"/>
        <v>12872.881024250644</v>
      </c>
      <c r="Q45" s="18">
        <f t="shared" si="7"/>
        <v>-22934.074850730452</v>
      </c>
      <c r="R45" s="18">
        <f t="shared" si="8"/>
        <v>-45705.017794246545</v>
      </c>
      <c r="S45" s="18">
        <f>MIN(MAX('1-Input'!$B$15*'1-Input'!$B$10-O45,0),MAX(P45,0))</f>
        <v>12872.881024250644</v>
      </c>
    </row>
    <row r="46" spans="1:19">
      <c r="A46" s="10">
        <f>38</f>
        <v>38</v>
      </c>
      <c r="B46" s="11">
        <f>IF(A46=1,'P-Parametri'!$B$30,IF(A46=2,'P-Parametri'!$C$30,'P-Parametri'!$B$29))</f>
        <v>6.8512000000000003E-2</v>
      </c>
      <c r="C46" s="29">
        <f t="shared" si="1"/>
        <v>5.6501748037580333</v>
      </c>
      <c r="D46" s="10">
        <f t="shared" si="2"/>
        <v>1</v>
      </c>
      <c r="E46" s="18">
        <f>IF(D46=1,MIN('1-Input'!$B$15*'1-Input'!$B$10,R46),O46+S46)*(1+'1-Input'!$B$27)</f>
        <v>-55778.641372332771</v>
      </c>
      <c r="F46" s="18">
        <f>IF(D46=1,R46-'P-Parametri'!$B$31*R46-MIN('1-Input'!$B$15*'1-Input'!$B$10,R46),P46-S46)*(1+'P-Parametri'!$C$29)</f>
        <v>33756.042500518524</v>
      </c>
      <c r="G46" s="18">
        <f>IF(D46=1,'P-Parametri'!$B$31*R46,Q46)*(1+B46)</f>
        <v>-35889.290034143334</v>
      </c>
      <c r="H46" s="18">
        <f t="shared" si="0"/>
        <v>-57911.888905957581</v>
      </c>
      <c r="I46" s="23">
        <f t="shared" si="3"/>
        <v>0</v>
      </c>
      <c r="J46" s="30">
        <f>IF(C46&gt;=K46,0,LN(K46/C46)/LN(1+'P-Parametri'!$B$29))</f>
        <v>0</v>
      </c>
      <c r="K46" s="29">
        <f t="shared" si="4"/>
        <v>5.2878908273917693</v>
      </c>
      <c r="L46" s="18">
        <f>MIN(MAX(E45,0),MAX(0,'1-Input'!$B$10-IF(A46&gt;='1-Input'!$C$12,'1-Input'!$B$12,0)))</f>
        <v>0</v>
      </c>
      <c r="M46" s="18">
        <f>MIN(MAX(F45,0),MAX(0,'1-Input'!$B$10-IF(A46&gt;='1-Input'!$C$12,'1-Input'!$B$12,0))-L46)</f>
        <v>8698</v>
      </c>
      <c r="N46" s="18">
        <f>MIN(MAX(G45,0),MAX(0,'1-Input'!$B$10-IF(A46&gt;='1-Input'!$C$12,'1-Input'!$B$12,0))-L46-M46)</f>
        <v>0</v>
      </c>
      <c r="O46" s="18">
        <f t="shared" si="5"/>
        <v>-45540.479730187253</v>
      </c>
      <c r="P46" s="18">
        <f t="shared" si="6"/>
        <v>18862.12572993066</v>
      </c>
      <c r="Q46" s="18">
        <f t="shared" si="7"/>
        <v>-29301.815984019573</v>
      </c>
      <c r="R46" s="18">
        <f t="shared" si="8"/>
        <v>-55980.169984276166</v>
      </c>
      <c r="S46" s="18">
        <f>MIN(MAX('1-Input'!$B$15*'1-Input'!$B$10-O46,0),MAX(P46,0))</f>
        <v>18862.12572993066</v>
      </c>
    </row>
    <row r="47" spans="1:19">
      <c r="A47" s="10">
        <f>39</f>
        <v>39</v>
      </c>
      <c r="B47" s="11">
        <f>IF(A47=1,'P-Parametri'!$B$30,IF(A47=2,'P-Parametri'!$C$30,'P-Parametri'!$B$29))</f>
        <v>6.8512000000000003E-2</v>
      </c>
      <c r="C47" s="29">
        <f t="shared" si="1"/>
        <v>6.0372795799131032</v>
      </c>
      <c r="D47" s="10">
        <f t="shared" si="2"/>
        <v>1</v>
      </c>
      <c r="E47" s="18">
        <f>IF(D47=1,MIN('1-Input'!$B$15*'1-Input'!$B$10,R47),O47+S47)*(1+'1-Input'!$B$27)</f>
        <v>-66370.093305896124</v>
      </c>
      <c r="F47" s="18">
        <f>IF(D47=1,R47-'P-Parametri'!$B$31*R47-MIN('1-Input'!$B$15*'1-Input'!$B$10,R47),P47-S47)*(1+'P-Parametri'!$C$29)</f>
        <v>40165.763010292409</v>
      </c>
      <c r="G47" s="18">
        <f>IF(D47=1,'P-Parametri'!$B$31*R47,Q47)*(1+B47)</f>
        <v>-42704.079368809522</v>
      </c>
      <c r="H47" s="18">
        <f t="shared" si="0"/>
        <v>-68908.409664413237</v>
      </c>
      <c r="I47" s="23">
        <f t="shared" si="3"/>
        <v>0</v>
      </c>
      <c r="J47" s="30">
        <f>IF(C47&gt;=K47,0,LN(K47/C47)/LN(1+'P-Parametri'!$B$29))</f>
        <v>0</v>
      </c>
      <c r="K47" s="29">
        <f t="shared" si="4"/>
        <v>5.6501748037580333</v>
      </c>
      <c r="L47" s="18">
        <f>MIN(MAX(E46,0),MAX(0,'1-Input'!$B$10-IF(A47&gt;='1-Input'!$C$12,'1-Input'!$B$12,0)))</f>
        <v>0</v>
      </c>
      <c r="M47" s="18">
        <f>MIN(MAX(F46,0),MAX(0,'1-Input'!$B$10-IF(A47&gt;='1-Input'!$C$12,'1-Input'!$B$12,0))-L47)</f>
        <v>8698</v>
      </c>
      <c r="N47" s="18">
        <f>MIN(MAX(G46,0),MAX(0,'1-Input'!$B$10-IF(A47&gt;='1-Input'!$C$12,'1-Input'!$B$12,0))-L47-M47)</f>
        <v>0</v>
      </c>
      <c r="O47" s="18">
        <f t="shared" si="5"/>
        <v>-55778.641372332771</v>
      </c>
      <c r="P47" s="18">
        <f t="shared" si="6"/>
        <v>25058.042500518524</v>
      </c>
      <c r="Q47" s="18">
        <f t="shared" si="7"/>
        <v>-35889.290034143334</v>
      </c>
      <c r="R47" s="18">
        <f t="shared" si="8"/>
        <v>-66609.888905957574</v>
      </c>
      <c r="S47" s="18">
        <f>MIN(MAX('1-Input'!$B$15*'1-Input'!$B$10-O47,0),MAX(P47,0))</f>
        <v>25058.042500518524</v>
      </c>
    </row>
    <row r="48" spans="1:19">
      <c r="A48" s="10">
        <f>40</f>
        <v>40</v>
      </c>
      <c r="B48" s="11">
        <f>IF(A48=1,'P-Parametri'!$B$30,IF(A48=2,'P-Parametri'!$C$30,'P-Parametri'!$B$29))</f>
        <v>6.8512000000000003E-2</v>
      </c>
      <c r="C48" s="29">
        <f t="shared" si="1"/>
        <v>6.4509056784921093</v>
      </c>
      <c r="D48" s="10">
        <f t="shared" si="2"/>
        <v>1</v>
      </c>
      <c r="E48" s="18">
        <f>IF(D48=1,MIN('1-Input'!$B$15*'1-Input'!$B$10,R48),O48+S48)*(1+'1-Input'!$B$27)</f>
        <v>-77327.026589621339</v>
      </c>
      <c r="F48" s="18">
        <f>IF(D48=1,R48-'P-Parametri'!$B$31*R48-MIN('1-Input'!$B$15*'1-Input'!$B$10,R48),P48-S48)*(1+'P-Parametri'!$C$29)</f>
        <v>46796.665027641175</v>
      </c>
      <c r="G48" s="18">
        <f>IF(D48=1,'P-Parametri'!$B$31*R48,Q48)*(1+B48)</f>
        <v>-49754.028002004903</v>
      </c>
      <c r="H48" s="18">
        <f t="shared" si="0"/>
        <v>-80284.389563985067</v>
      </c>
      <c r="I48" s="23">
        <f t="shared" si="3"/>
        <v>0</v>
      </c>
      <c r="J48" s="30">
        <f>IF(C48&gt;=K48,0,LN(K48/C48)/LN(1+'P-Parametri'!$B$29))</f>
        <v>0</v>
      </c>
      <c r="K48" s="29">
        <f t="shared" si="4"/>
        <v>6.0372795799131032</v>
      </c>
      <c r="L48" s="18">
        <f>MIN(MAX(E47,0),MAX(0,'1-Input'!$B$10-IF(A48&gt;='1-Input'!$C$12,'1-Input'!$B$12,0)))</f>
        <v>0</v>
      </c>
      <c r="M48" s="18">
        <f>MIN(MAX(F47,0),MAX(0,'1-Input'!$B$10-IF(A48&gt;='1-Input'!$C$12,'1-Input'!$B$12,0))-L48)</f>
        <v>8698</v>
      </c>
      <c r="N48" s="18">
        <f>MIN(MAX(G47,0),MAX(0,'1-Input'!$B$10-IF(A48&gt;='1-Input'!$C$12,'1-Input'!$B$12,0))-L48-M48)</f>
        <v>0</v>
      </c>
      <c r="O48" s="18">
        <f t="shared" si="5"/>
        <v>-66370.093305896124</v>
      </c>
      <c r="P48" s="18">
        <f t="shared" si="6"/>
        <v>31467.763010292409</v>
      </c>
      <c r="Q48" s="18">
        <f t="shared" si="7"/>
        <v>-42704.079368809522</v>
      </c>
      <c r="R48" s="18">
        <f t="shared" si="8"/>
        <v>-77606.409664413237</v>
      </c>
      <c r="S48" s="18">
        <f>MIN(MAX('1-Input'!$B$15*'1-Input'!$B$10-O48,0),MAX(P48,0))</f>
        <v>31467.763010292409</v>
      </c>
    </row>
    <row r="49" spans="1:19">
      <c r="A49" s="10">
        <f>41</f>
        <v>41</v>
      </c>
      <c r="B49" s="11">
        <f>IF(A49=1,'P-Parametri'!$B$30,IF(A49=2,'P-Parametri'!$C$30,'P-Parametri'!$B$29))</f>
        <v>6.8512000000000003E-2</v>
      </c>
      <c r="C49" s="29">
        <f t="shared" si="1"/>
        <v>6.89287012833696</v>
      </c>
      <c r="D49" s="10">
        <f t="shared" si="2"/>
        <v>1</v>
      </c>
      <c r="E49" s="18">
        <f>IF(D49=1,MIN('1-Input'!$B$15*'1-Input'!$B$10,R49),O49+S49)*(1+'1-Input'!$B$27)</f>
        <v>-88662.052961554713</v>
      </c>
      <c r="F49" s="18">
        <f>IF(D49=1,R49-'P-Parametri'!$B$31*R49-MIN('1-Input'!$B$15*'1-Input'!$B$10,R49),P49-S49)*(1+'P-Parametri'!$C$29)</f>
        <v>53656.380907082988</v>
      </c>
      <c r="G49" s="18">
        <f>IF(D49=1,'P-Parametri'!$B$31*R49,Q49)*(1+B49)</f>
        <v>-57047.250622675681</v>
      </c>
      <c r="H49" s="18">
        <f t="shared" si="0"/>
        <v>-92052.922677147406</v>
      </c>
      <c r="I49" s="23">
        <f t="shared" si="3"/>
        <v>0</v>
      </c>
      <c r="J49" s="30">
        <f>IF(C49&gt;=K49,0,LN(K49/C49)/LN(1+'P-Parametri'!$B$29))</f>
        <v>0</v>
      </c>
      <c r="K49" s="29">
        <f t="shared" si="4"/>
        <v>6.4509056784921093</v>
      </c>
      <c r="L49" s="18">
        <f>MIN(MAX(E48,0),MAX(0,'1-Input'!$B$10-IF(A49&gt;='1-Input'!$C$12,'1-Input'!$B$12,0)))</f>
        <v>0</v>
      </c>
      <c r="M49" s="18">
        <f>MIN(MAX(F48,0),MAX(0,'1-Input'!$B$10-IF(A49&gt;='1-Input'!$C$12,'1-Input'!$B$12,0))-L49)</f>
        <v>8698</v>
      </c>
      <c r="N49" s="18">
        <f>MIN(MAX(G48,0),MAX(0,'1-Input'!$B$10-IF(A49&gt;='1-Input'!$C$12,'1-Input'!$B$12,0))-L49-M49)</f>
        <v>0</v>
      </c>
      <c r="O49" s="18">
        <f t="shared" si="5"/>
        <v>-77327.026589621339</v>
      </c>
      <c r="P49" s="18">
        <f t="shared" si="6"/>
        <v>38098.665027641175</v>
      </c>
      <c r="Q49" s="18">
        <f t="shared" si="7"/>
        <v>-49754.028002004903</v>
      </c>
      <c r="R49" s="18">
        <f t="shared" si="8"/>
        <v>-88982.389563985067</v>
      </c>
      <c r="S49" s="18">
        <f>MIN(MAX('1-Input'!$B$15*'1-Input'!$B$10-O49,0),MAX(P49,0))</f>
        <v>38098.665027641175</v>
      </c>
    </row>
    <row r="50" spans="1:19">
      <c r="A50" s="10">
        <f>42</f>
        <v>42</v>
      </c>
      <c r="B50" s="11">
        <f>IF(A50=1,'P-Parametri'!$B$30,IF(A50=2,'P-Parametri'!$C$30,'P-Parametri'!$B$29))</f>
        <v>6.8512000000000003E-2</v>
      </c>
      <c r="C50" s="29">
        <f t="shared" si="1"/>
        <v>7.3651144465695815</v>
      </c>
      <c r="D50" s="10">
        <f t="shared" si="2"/>
        <v>1</v>
      </c>
      <c r="E50" s="18">
        <f>IF(D50=1,MIN('1-Input'!$B$15*'1-Input'!$B$10,R50),O50+S50)*(1+'1-Input'!$B$27)</f>
        <v>-100388.21935550967</v>
      </c>
      <c r="F50" s="18">
        <f>IF(D50=1,R50-'P-Parametri'!$B$31*R50-MIN('1-Input'!$B$15*'1-Input'!$B$10,R50),P50-S50)*(1+'P-Parametri'!$C$29)</f>
        <v>60752.80637431988</v>
      </c>
      <c r="G50" s="18">
        <f>IF(D50=1,'P-Parametri'!$B$31*R50,Q50)*(1+B50)</f>
        <v>-64592.14193496247</v>
      </c>
      <c r="H50" s="18">
        <f t="shared" si="0"/>
        <v>-104227.55491615226</v>
      </c>
      <c r="I50" s="23">
        <f t="shared" si="3"/>
        <v>0</v>
      </c>
      <c r="J50" s="30">
        <f>IF(C50&gt;=K50,0,LN(K50/C50)/LN(1+'P-Parametri'!$B$29))</f>
        <v>0</v>
      </c>
      <c r="K50" s="29">
        <f t="shared" si="4"/>
        <v>6.89287012833696</v>
      </c>
      <c r="L50" s="18">
        <f>MIN(MAX(E49,0),MAX(0,'1-Input'!$B$10-IF(A50&gt;='1-Input'!$C$12,'1-Input'!$B$12,0)))</f>
        <v>0</v>
      </c>
      <c r="M50" s="18">
        <f>MIN(MAX(F49,0),MAX(0,'1-Input'!$B$10-IF(A50&gt;='1-Input'!$C$12,'1-Input'!$B$12,0))-L50)</f>
        <v>8698</v>
      </c>
      <c r="N50" s="18">
        <f>MIN(MAX(G49,0),MAX(0,'1-Input'!$B$10-IF(A50&gt;='1-Input'!$C$12,'1-Input'!$B$12,0))-L50-M50)</f>
        <v>0</v>
      </c>
      <c r="O50" s="18">
        <f t="shared" si="5"/>
        <v>-88662.052961554713</v>
      </c>
      <c r="P50" s="18">
        <f t="shared" si="6"/>
        <v>44958.380907082988</v>
      </c>
      <c r="Q50" s="18">
        <f t="shared" si="7"/>
        <v>-57047.250622675681</v>
      </c>
      <c r="R50" s="18">
        <f t="shared" si="8"/>
        <v>-100750.92267714741</v>
      </c>
      <c r="S50" s="18">
        <f>MIN(MAX('1-Input'!$B$15*'1-Input'!$B$10-O50,0),MAX(P50,0))</f>
        <v>44958.380907082988</v>
      </c>
    </row>
    <row r="51" spans="1:19">
      <c r="A51" s="10">
        <f>43</f>
        <v>43</v>
      </c>
      <c r="B51" s="11">
        <f>IF(A51=1,'P-Parametri'!$B$30,IF(A51=2,'P-Parametri'!$C$30,'P-Parametri'!$B$29))</f>
        <v>6.8512000000000003E-2</v>
      </c>
      <c r="C51" s="29">
        <f t="shared" si="1"/>
        <v>7.8697131675329564</v>
      </c>
      <c r="D51" s="10">
        <f t="shared" si="2"/>
        <v>1</v>
      </c>
      <c r="E51" s="18">
        <f>IF(D51=1,MIN('1-Input'!$B$15*'1-Input'!$B$10,R51),O51+S51)*(1+'1-Input'!$B$27)</f>
        <v>-112519.02291845411</v>
      </c>
      <c r="F51" s="18">
        <f>IF(D51=1,R51-'P-Parametri'!$B$31*R51-MIN('1-Input'!$B$15*'1-Input'!$B$10,R51),P51-S51)*(1+'P-Parametri'!$C$29)</f>
        <v>68094.109614439803</v>
      </c>
      <c r="G51" s="18">
        <f>IF(D51=1,'P-Parametri'!$B$31*R51,Q51)*(1+B51)</f>
        <v>-72397.386320740596</v>
      </c>
      <c r="H51" s="18">
        <f t="shared" si="0"/>
        <v>-116822.2996247549</v>
      </c>
      <c r="I51" s="23">
        <f t="shared" si="3"/>
        <v>0</v>
      </c>
      <c r="J51" s="30">
        <f>IF(C51&gt;=K51,0,LN(K51/C51)/LN(1+'P-Parametri'!$B$29))</f>
        <v>0</v>
      </c>
      <c r="K51" s="29">
        <f t="shared" si="4"/>
        <v>7.3651144465695815</v>
      </c>
      <c r="L51" s="18">
        <f>MIN(MAX(E50,0),MAX(0,'1-Input'!$B$10-IF(A51&gt;='1-Input'!$C$12,'1-Input'!$B$12,0)))</f>
        <v>0</v>
      </c>
      <c r="M51" s="18">
        <f>MIN(MAX(F50,0),MAX(0,'1-Input'!$B$10-IF(A51&gt;='1-Input'!$C$12,'1-Input'!$B$12,0))-L51)</f>
        <v>8698</v>
      </c>
      <c r="N51" s="18">
        <f>MIN(MAX(G50,0),MAX(0,'1-Input'!$B$10-IF(A51&gt;='1-Input'!$C$12,'1-Input'!$B$12,0))-L51-M51)</f>
        <v>0</v>
      </c>
      <c r="O51" s="18">
        <f t="shared" si="5"/>
        <v>-100388.21935550967</v>
      </c>
      <c r="P51" s="18">
        <f t="shared" si="6"/>
        <v>52054.80637431988</v>
      </c>
      <c r="Q51" s="18">
        <f t="shared" si="7"/>
        <v>-64592.14193496247</v>
      </c>
      <c r="R51" s="18">
        <f t="shared" si="8"/>
        <v>-112925.55491615226</v>
      </c>
      <c r="S51" s="18">
        <f>MIN(MAX('1-Input'!$B$15*'1-Input'!$B$10-O51,0),MAX(P51,0))</f>
        <v>52054.80637431988</v>
      </c>
    </row>
    <row r="52" spans="1:19">
      <c r="A52" s="10">
        <f>44</f>
        <v>44</v>
      </c>
      <c r="B52" s="11">
        <f>IF(A52=1,'P-Parametri'!$B$30,IF(A52=2,'P-Parametri'!$C$30,'P-Parametri'!$B$29))</f>
        <v>6.8512000000000003E-2</v>
      </c>
      <c r="C52" s="29">
        <f t="shared" si="1"/>
        <v>8.4088829560669733</v>
      </c>
      <c r="D52" s="10">
        <f t="shared" si="2"/>
        <v>1</v>
      </c>
      <c r="E52" s="18">
        <f>IF(D52=1,MIN('1-Input'!$B$15*'1-Input'!$B$10,R52),O52+S52)*(1+'1-Input'!$B$27)</f>
        <v>-125068.42654610578</v>
      </c>
      <c r="F52" s="18">
        <f>IF(D52=1,R52-'P-Parametri'!$B$31*R52-MIN('1-Input'!$B$15*'1-Input'!$B$10,R52),P52-S52)*(1+'P-Parametri'!$C$29)</f>
        <v>75688.740673727196</v>
      </c>
      <c r="G52" s="18">
        <f>IF(D52=1,'P-Parametri'!$B$31*R52,Q52)*(1+B52)</f>
        <v>-80471.967835587653</v>
      </c>
      <c r="H52" s="18">
        <f t="shared" si="0"/>
        <v>-129851.65370796624</v>
      </c>
      <c r="I52" s="23">
        <f t="shared" si="3"/>
        <v>0</v>
      </c>
      <c r="J52" s="30">
        <f>IF(C52&gt;=K52,0,LN(K52/C52)/LN(1+'P-Parametri'!$B$29))</f>
        <v>0</v>
      </c>
      <c r="K52" s="29">
        <f t="shared" si="4"/>
        <v>7.8697131675329564</v>
      </c>
      <c r="L52" s="18">
        <f>MIN(MAX(E51,0),MAX(0,'1-Input'!$B$10-IF(A52&gt;='1-Input'!$C$12,'1-Input'!$B$12,0)))</f>
        <v>0</v>
      </c>
      <c r="M52" s="18">
        <f>MIN(MAX(F51,0),MAX(0,'1-Input'!$B$10-IF(A52&gt;='1-Input'!$C$12,'1-Input'!$B$12,0))-L52)</f>
        <v>8698</v>
      </c>
      <c r="N52" s="18">
        <f>MIN(MAX(G51,0),MAX(0,'1-Input'!$B$10-IF(A52&gt;='1-Input'!$C$12,'1-Input'!$B$12,0))-L52-M52)</f>
        <v>0</v>
      </c>
      <c r="O52" s="18">
        <f t="shared" si="5"/>
        <v>-112519.02291845411</v>
      </c>
      <c r="P52" s="18">
        <f t="shared" si="6"/>
        <v>59396.109614439803</v>
      </c>
      <c r="Q52" s="18">
        <f t="shared" si="7"/>
        <v>-72397.386320740596</v>
      </c>
      <c r="R52" s="18">
        <f t="shared" si="8"/>
        <v>-125520.2996247549</v>
      </c>
      <c r="S52" s="18">
        <f>MIN(MAX('1-Input'!$B$15*'1-Input'!$B$10-O52,0),MAX(P52,0))</f>
        <v>59396.109614439803</v>
      </c>
    </row>
    <row r="53" spans="1:19">
      <c r="A53" s="10">
        <f>45</f>
        <v>45</v>
      </c>
      <c r="B53" s="11">
        <f>IF(A53=1,'P-Parametri'!$B$30,IF(A53=2,'P-Parametri'!$C$30,'P-Parametri'!$B$29))</f>
        <v>6.8512000000000003E-2</v>
      </c>
      <c r="C53" s="29">
        <f t="shared" si="1"/>
        <v>8.9849923451530334</v>
      </c>
      <c r="D53" s="10">
        <f t="shared" si="2"/>
        <v>1</v>
      </c>
      <c r="E53" s="18">
        <f>IF(D53=1,MIN('1-Input'!$B$15*'1-Input'!$B$10,R53),O53+S53)*(1+'1-Input'!$B$27)</f>
        <v>-138050.87495461755</v>
      </c>
      <c r="F53" s="18">
        <f>IF(D53=1,R53-'P-Parametri'!$B$31*R53-MIN('1-Input'!$B$15*'1-Input'!$B$10,R53),P53-S53)*(1+'P-Parametri'!$C$29)</f>
        <v>83545.441185903634</v>
      </c>
      <c r="G53" s="18">
        <f>IF(D53=1,'P-Parametri'!$B$31*R53,Q53)*(1+B53)</f>
        <v>-88825.180549683835</v>
      </c>
      <c r="H53" s="18">
        <f t="shared" si="0"/>
        <v>-143330.61431839777</v>
      </c>
      <c r="I53" s="23">
        <f t="shared" si="3"/>
        <v>0</v>
      </c>
      <c r="J53" s="30">
        <f>IF(C53&gt;=K53,0,LN(K53/C53)/LN(1+'P-Parametri'!$B$29))</f>
        <v>0</v>
      </c>
      <c r="K53" s="29">
        <f t="shared" si="4"/>
        <v>8.4088829560669733</v>
      </c>
      <c r="L53" s="18">
        <f>MIN(MAX(E52,0),MAX(0,'1-Input'!$B$10-IF(A53&gt;='1-Input'!$C$12,'1-Input'!$B$12,0)))</f>
        <v>0</v>
      </c>
      <c r="M53" s="18">
        <f>MIN(MAX(F52,0),MAX(0,'1-Input'!$B$10-IF(A53&gt;='1-Input'!$C$12,'1-Input'!$B$12,0))-L53)</f>
        <v>8698</v>
      </c>
      <c r="N53" s="18">
        <f>MIN(MAX(G52,0),MAX(0,'1-Input'!$B$10-IF(A53&gt;='1-Input'!$C$12,'1-Input'!$B$12,0))-L53-M53)</f>
        <v>0</v>
      </c>
      <c r="O53" s="18">
        <f t="shared" si="5"/>
        <v>-125068.42654610578</v>
      </c>
      <c r="P53" s="18">
        <f t="shared" si="6"/>
        <v>66990.740673727196</v>
      </c>
      <c r="Q53" s="18">
        <f t="shared" si="7"/>
        <v>-80471.967835587653</v>
      </c>
      <c r="R53" s="18">
        <f t="shared" si="8"/>
        <v>-138549.65370796624</v>
      </c>
      <c r="S53" s="18">
        <f>MIN(MAX('1-Input'!$B$15*'1-Input'!$B$10-O53,0),MAX(P53,0))</f>
        <v>66990.740673727196</v>
      </c>
    </row>
    <row r="55" spans="1:19">
      <c r="A55" s="36" t="s">
        <v>451</v>
      </c>
      <c r="B55" s="33"/>
      <c r="C55" s="33"/>
      <c r="D55" s="33"/>
      <c r="E55" s="33"/>
      <c r="F55" s="33"/>
      <c r="G55" s="33"/>
      <c r="H55" s="33"/>
      <c r="I55" s="33"/>
      <c r="J55" s="33"/>
    </row>
    <row r="56" spans="1:19" ht="120">
      <c r="A56" s="5" t="s">
        <v>452</v>
      </c>
      <c r="C56" s="10">
        <f>IFERROR(INDEX(A9:A53,MATCH(TRUE,INDEX(I9:I53&gt;0.8,0),0)),"mai")</f>
        <v>8</v>
      </c>
    </row>
    <row r="57" spans="1:19" ht="135">
      <c r="A57" s="5" t="s">
        <v>453</v>
      </c>
      <c r="C57" s="10">
        <f>IFERROR(INDEX(A9:A53,MATCH(TRUE,INDEX(I9:I53&gt;=0.999,0),0)),"mai")</f>
        <v>10</v>
      </c>
    </row>
    <row r="58" spans="1:19" ht="45">
      <c r="A58" s="5" t="s">
        <v>454</v>
      </c>
      <c r="C58" s="29">
        <f>MIN(C8:C53)</f>
        <v>0.52</v>
      </c>
    </row>
    <row r="59" spans="1:19" ht="90">
      <c r="A59" s="5" t="s">
        <v>455</v>
      </c>
      <c r="C59" s="30">
        <f>LN(1/C58)/LN(1+'P-Parametri'!$B$29)</f>
        <v>9.8680520738703663</v>
      </c>
    </row>
    <row r="60" spans="1:19" ht="135">
      <c r="A60" s="5" t="s">
        <v>456</v>
      </c>
      <c r="C60" s="30">
        <f>C59+2</f>
        <v>11.868052073870366</v>
      </c>
    </row>
    <row r="61" spans="1:19" ht="135">
      <c r="A61" s="5" t="s">
        <v>457</v>
      </c>
      <c r="C61" s="30">
        <f>(E8+F8)/'1-Input'!$B$10</f>
        <v>8.8681846436075524</v>
      </c>
    </row>
    <row r="62" spans="1:19" ht="30">
      <c r="A62" s="5" t="s">
        <v>162</v>
      </c>
      <c r="C62" s="24" t="str">
        <f>IF(C60&gt;C61,"la copertura finisce prima del recupero","la copertura arriva al recupero")</f>
        <v>la copertura finisce prima del recupero</v>
      </c>
    </row>
    <row r="64" spans="1:19" ht="45" customHeight="1">
      <c r="A64" s="35" t="s">
        <v>458</v>
      </c>
      <c r="B64" s="33"/>
      <c r="C64" s="33"/>
      <c r="D64" s="33"/>
      <c r="E64" s="33"/>
      <c r="F64" s="33"/>
      <c r="G64" s="33"/>
      <c r="H64" s="33"/>
      <c r="I64" s="33"/>
      <c r="J64" s="33"/>
    </row>
  </sheetData>
  <mergeCells count="5">
    <mergeCell ref="A1:J1"/>
    <mergeCell ref="A3:J3"/>
    <mergeCell ref="A55:J55"/>
    <mergeCell ref="A2:J2"/>
    <mergeCell ref="A64:J64"/>
  </mergeCells>
  <conditionalFormatting sqref="I9:I53">
    <cfRule type="cellIs" dxfId="0" priority="1" operator="greaterThan">
      <formula>0.8</formula>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4"/>
  <sheetViews>
    <sheetView workbookViewId="0"/>
  </sheetViews>
  <sheetFormatPr defaultRowHeight="15"/>
  <cols>
    <col min="1" max="1" width="10" customWidth="1"/>
    <col min="2" max="2" width="14" customWidth="1"/>
    <col min="3" max="18" width="17" customWidth="1"/>
  </cols>
  <sheetData>
    <row r="1" spans="1:14" ht="24.95" customHeight="1">
      <c r="A1" s="34" t="s">
        <v>459</v>
      </c>
      <c r="B1" s="33"/>
      <c r="C1" s="33"/>
      <c r="D1" s="33"/>
      <c r="E1" s="33"/>
      <c r="F1" s="33"/>
      <c r="G1" s="33"/>
      <c r="H1" s="33"/>
    </row>
    <row r="2" spans="1:14" ht="32.1" customHeight="1">
      <c r="A2" s="32" t="s">
        <v>1</v>
      </c>
      <c r="B2" s="33"/>
      <c r="C2" s="33"/>
      <c r="D2" s="33"/>
      <c r="E2" s="33"/>
      <c r="F2" s="33"/>
      <c r="G2" s="33"/>
      <c r="H2" s="33"/>
    </row>
    <row r="4" spans="1:14" ht="120">
      <c r="A4" s="5" t="s">
        <v>460</v>
      </c>
      <c r="B4" s="6">
        <f>'1-Input'!$B$20</f>
        <v>1</v>
      </c>
    </row>
    <row r="5" spans="1:14" ht="120">
      <c r="A5" s="5" t="s">
        <v>461</v>
      </c>
      <c r="C5" s="7">
        <v>13000</v>
      </c>
    </row>
    <row r="6" spans="1:14" ht="60" customHeight="1">
      <c r="A6" s="35" t="s">
        <v>462</v>
      </c>
      <c r="B6" s="33"/>
      <c r="C6" s="33"/>
      <c r="D6" s="33"/>
      <c r="E6" s="33"/>
      <c r="F6" s="33"/>
      <c r="G6" s="33"/>
      <c r="H6" s="33"/>
    </row>
    <row r="9" spans="1:14" ht="30">
      <c r="A9" s="25" t="s">
        <v>262</v>
      </c>
      <c r="B9" s="25" t="s">
        <v>433</v>
      </c>
      <c r="C9" s="25" t="s">
        <v>463</v>
      </c>
      <c r="D9" s="25" t="s">
        <v>464</v>
      </c>
      <c r="E9" s="25" t="s">
        <v>465</v>
      </c>
      <c r="F9" s="25" t="s">
        <v>439</v>
      </c>
      <c r="H9" s="25" t="s">
        <v>463</v>
      </c>
      <c r="I9" s="25" t="s">
        <v>464</v>
      </c>
      <c r="J9" s="25" t="s">
        <v>465</v>
      </c>
      <c r="K9" s="25" t="s">
        <v>439</v>
      </c>
      <c r="L9" s="25" t="s">
        <v>466</v>
      </c>
      <c r="M9" s="25" t="s">
        <v>467</v>
      </c>
      <c r="N9" s="25" t="s">
        <v>468</v>
      </c>
    </row>
    <row r="10" spans="1:14">
      <c r="A10" s="3">
        <v>0</v>
      </c>
      <c r="C10" s="31">
        <f>'P-Parametri'!$B$31*'2-Caso'!$B$12</f>
        <v>263385.08391514426</v>
      </c>
      <c r="D10" s="31">
        <f>'P-Parametri'!$C$31*'2-Caso'!$B$12</f>
        <v>131692.54195757213</v>
      </c>
      <c r="E10" s="31">
        <f>'P-Parametri'!$D$31*'2-Caso'!$B$12</f>
        <v>43897.513985857382</v>
      </c>
      <c r="F10" s="31">
        <f t="shared" ref="F10:F55" si="0">C10+D10+E10</f>
        <v>438975.13985857379</v>
      </c>
      <c r="H10" s="31">
        <f>'P-Parametri'!$B$31*'2-Caso'!$B$12</f>
        <v>263385.08391514426</v>
      </c>
      <c r="I10" s="31">
        <f>'P-Parametri'!$C$31*'2-Caso'!$B$12</f>
        <v>131692.54195757213</v>
      </c>
      <c r="J10" s="31">
        <f>'P-Parametri'!$D$31*'2-Caso'!$B$12</f>
        <v>43897.513985857382</v>
      </c>
      <c r="K10" s="31">
        <f t="shared" ref="K10:K55" si="1">H10+I10+J10</f>
        <v>438975.13985857379</v>
      </c>
    </row>
    <row r="11" spans="1:14">
      <c r="A11" s="10">
        <f>1</f>
        <v>1</v>
      </c>
      <c r="B11" s="11">
        <f>IF(A11=1,'P-Parametri'!$B$30,IF(A11=2,'P-Parametri'!$C$30,'P-Parametri'!$B$29))</f>
        <v>-0.35</v>
      </c>
      <c r="C11" s="31">
        <f>IF($B$4=1,('P-Parametri'!$B$31*F10)*(1+$B11)*(1-MAX(0,'8-Kitces'!$C$5-IF($A11&gt;='1-Input'!$C$12,'1-Input'!$B$12,0))/(('P-Parametri'!$B$31*F10)*(1+$B11)+('P-Parametri'!$C$31*F10)*(1+'P-Parametri'!$C$29)+('P-Parametri'!$D$31*F10)*(1+'1-Input'!$B$27))),(('P-Parametri'!$B$31*F10)-MAX(0,'8-Kitces'!$C$5-IF($A11&gt;='1-Input'!$C$12,'1-Input'!$B$12,0))*'P-Parametri'!$B$31)*(1+$B11))</f>
        <v>164791.83069697869</v>
      </c>
      <c r="D11" s="31">
        <f>IF($B$4=1,('P-Parametri'!$C$31*F10)*(1+'P-Parametri'!$C$29)*(1-MAX(0,'8-Kitces'!$C$5-IF($A11&gt;='1-Input'!$C$12,'1-Input'!$B$12,0))/(('P-Parametri'!$B$31*F10)*(1+$B11)+('P-Parametri'!$C$31*F10)*(1+'P-Parametri'!$C$29)+('P-Parametri'!$D$31*F10)*(1+'1-Input'!$B$27))),(('P-Parametri'!$C$31*F10)-MAX(0,'8-Kitces'!$C$5-IF($A11&gt;='1-Input'!$C$12,'1-Input'!$B$12,0))*'P-Parametri'!$C$31)*(1+'P-Parametri'!$C$29))</f>
        <v>127396.76142343351</v>
      </c>
      <c r="E11" s="31">
        <f>IF($B$4=1,('P-Parametri'!$D$31*F10)*(1+'1-Input'!$B$27)*(1-MAX(0,'8-Kitces'!$C$5-IF($A11&gt;='1-Input'!$C$12,'1-Input'!$B$12,0))/(('P-Parametri'!$B$31*F10)*(1+$B11)+('P-Parametri'!$C$31*F10)*(1+'P-Parametri'!$C$29)+('P-Parametri'!$D$31*F10)*(1+'1-Input'!$B$27))),(('P-Parametri'!$D$31*F10)-MAX(0,'8-Kitces'!$C$5-IF($A11&gt;='1-Input'!$C$12,'1-Input'!$B$12,0))*'P-Parametri'!$D$31)*(1+'1-Input'!$B$27))</f>
        <v>42102.200027299885</v>
      </c>
      <c r="F11" s="31">
        <f t="shared" si="0"/>
        <v>334290.79214771208</v>
      </c>
      <c r="H11" s="31">
        <f>IF($B$4=1,IF($B$4=1,('P-Parametri'!$B$31*K10)*(1+$B11),('P-Parametri'!$B$31*K10))-N11,(IF($B$4=1,('P-Parametri'!$B$31*K10)*(1+$B11),('P-Parametri'!$B$31*K10))-N11)*(1+$B11))</f>
        <v>171200.30454484379</v>
      </c>
      <c r="I11" s="31">
        <f>IF($B$4=1,IF($B$4=1,('P-Parametri'!$C$31*K10)*(1+'P-Parametri'!$C$29),('P-Parametri'!$C$31*K10))-M11,(IF($B$4=1,('P-Parametri'!$C$31*K10)*(1+'P-Parametri'!$C$29),('P-Parametri'!$C$31*K10))-M11)*(1+'P-Parametri'!$C$29))</f>
        <v>132351.00466735999</v>
      </c>
      <c r="J11" s="31">
        <f>IF($B$4=1,IF($B$4=1,('P-Parametri'!$D$31*K10)*(1+'1-Input'!$B$27),('P-Parametri'!$D$31*K10))-L11,(IF($B$4=1,('P-Parametri'!$D$31*K10)*(1+'1-Input'!$B$27),('P-Parametri'!$D$31*K10))-L11)*(1+'1-Input'!$B$27))</f>
        <v>30739.482935508291</v>
      </c>
      <c r="K11" s="31">
        <f t="shared" si="1"/>
        <v>334290.79214771208</v>
      </c>
      <c r="L11" s="31">
        <f>MIN(MAX(IF($B$4=1,('P-Parametri'!$D$31*K10)*(1+'1-Input'!$B$27),('P-Parametri'!$D$31*K10)),0),MAX(0,'8-Kitces'!$C$5-IF($A11&gt;='1-Input'!$C$12,'1-Input'!$B$12,0)))</f>
        <v>13000</v>
      </c>
      <c r="M11" s="31">
        <f>MIN(MAX(IF($B$4=1,('P-Parametri'!$C$31*K10)*(1+'P-Parametri'!$C$29),('P-Parametri'!$C$31*K10)),0),MAX(0,'8-Kitces'!$C$5-IF($A11&gt;='1-Input'!$C$12,'1-Input'!$B$12,0))-L11)</f>
        <v>0</v>
      </c>
      <c r="N11" s="31">
        <f>MAX(0,'8-Kitces'!$C$5-IF($A11&gt;='1-Input'!$C$12,'1-Input'!$B$12,0))-L11-M11</f>
        <v>0</v>
      </c>
    </row>
    <row r="12" spans="1:14">
      <c r="A12" s="10">
        <f>2</f>
        <v>2</v>
      </c>
      <c r="B12" s="11">
        <f>IF(A12=1,'P-Parametri'!$B$30,IF(A12=2,'P-Parametri'!$C$30,'P-Parametri'!$B$29))</f>
        <v>-0.2</v>
      </c>
      <c r="C12" s="31">
        <f>IF($B$4=1,('P-Parametri'!$B$31*F11)*(1+$B12)*(1-MAX(0,'8-Kitces'!$C$5-IF($A12&gt;='1-Input'!$C$12,'1-Input'!$B$12,0))/(('P-Parametri'!$B$31*F11)*(1+$B12)+('P-Parametri'!$C$31*F11)*(1+'P-Parametri'!$C$29)+('P-Parametri'!$D$31*F11)*(1+'1-Input'!$B$27))),(('P-Parametri'!$B$31*F11)-MAX(0,'8-Kitces'!$C$5-IF($A12&gt;='1-Input'!$C$12,'1-Input'!$B$12,0))*'P-Parametri'!$B$31)*(1+$B12))</f>
        <v>153377.84520582066</v>
      </c>
      <c r="D12" s="31">
        <f>IF($B$4=1,('P-Parametri'!$C$31*F11)*(1+'P-Parametri'!$C$29)*(1-MAX(0,'8-Kitces'!$C$5-IF($A12&gt;='1-Input'!$C$12,'1-Input'!$B$12,0))/(('P-Parametri'!$B$31*F11)*(1+$B12)+('P-Parametri'!$C$31*F11)*(1+'P-Parametri'!$C$29)+('P-Parametri'!$D$31*F11)*(1+'1-Input'!$B$27))),(('P-Parametri'!$C$31*F11)-MAX(0,'8-Kitces'!$C$5-IF($A12&gt;='1-Input'!$C$12,'1-Input'!$B$12,0))*'P-Parametri'!$C$31)*(1+'P-Parametri'!$C$29))</f>
        <v>96340.459019906091</v>
      </c>
      <c r="E12" s="31">
        <f>IF($B$4=1,('P-Parametri'!$D$31*F11)*(1+'1-Input'!$B$27)*(1-MAX(0,'8-Kitces'!$C$5-IF($A12&gt;='1-Input'!$C$12,'1-Input'!$B$12,0))/(('P-Parametri'!$B$31*F11)*(1+$B12)+('P-Parametri'!$C$31*F11)*(1+'P-Parametri'!$C$29)+('P-Parametri'!$D$31*F11)*(1+'1-Input'!$B$27))),(('P-Parametri'!$D$31*F11)-MAX(0,'8-Kitces'!$C$5-IF($A12&gt;='1-Input'!$C$12,'1-Input'!$B$12,0))*'P-Parametri'!$D$31)*(1+'1-Input'!$B$27))</f>
        <v>31838.684367308273</v>
      </c>
      <c r="F12" s="31">
        <f t="shared" si="0"/>
        <v>281556.98859303503</v>
      </c>
      <c r="H12" s="31">
        <f>IF($B$4=1,IF($B$4=1,('P-Parametri'!$B$31*K11)*(1+$B12),('P-Parametri'!$B$31*K11))-N12,(IF($B$4=1,('P-Parametri'!$B$31*K11)*(1+$B12),('P-Parametri'!$B$31*K11))-N12)*(1+$B12))</f>
        <v>160459.5802309018</v>
      </c>
      <c r="I12" s="31">
        <f>IF($B$4=1,IF($B$4=1,('P-Parametri'!$C$31*K11)*(1+'P-Parametri'!$C$29),('P-Parametri'!$C$31*K11))-M12,(IF($B$4=1,('P-Parametri'!$C$31*K11)*(1+'P-Parametri'!$C$29),('P-Parametri'!$C$31*K11))-M12)*(1+'P-Parametri'!$C$29))</f>
        <v>100788.67383253518</v>
      </c>
      <c r="J12" s="31">
        <f>IF($B$4=1,IF($B$4=1,('P-Parametri'!$D$31*K11)*(1+'1-Input'!$B$27),('P-Parametri'!$D$31*K11))-L12,(IF($B$4=1,('P-Parametri'!$D$31*K11)*(1+'1-Input'!$B$27),('P-Parametri'!$D$31*K11))-L12)*(1+'1-Input'!$B$27))</f>
        <v>20308.734529598034</v>
      </c>
      <c r="K12" s="31">
        <f t="shared" si="1"/>
        <v>281556.98859303503</v>
      </c>
      <c r="L12" s="31">
        <f>MIN(MAX(IF($B$4=1,('P-Parametri'!$D$31*K11)*(1+'1-Input'!$B$27),('P-Parametri'!$D$31*K11)),0),MAX(0,'8-Kitces'!$C$5-IF($A12&gt;='1-Input'!$C$12,'1-Input'!$B$12,0)))</f>
        <v>13000</v>
      </c>
      <c r="M12" s="31">
        <f>MIN(MAX(IF($B$4=1,('P-Parametri'!$C$31*K11)*(1+'P-Parametri'!$C$29),('P-Parametri'!$C$31*K11)),0),MAX(0,'8-Kitces'!$C$5-IF($A12&gt;='1-Input'!$C$12,'1-Input'!$B$12,0))-L12)</f>
        <v>0</v>
      </c>
      <c r="N12" s="31">
        <f>MAX(0,'8-Kitces'!$C$5-IF($A12&gt;='1-Input'!$C$12,'1-Input'!$B$12,0))-L12-M12</f>
        <v>0</v>
      </c>
    </row>
    <row r="13" spans="1:14">
      <c r="A13" s="10">
        <f>3</f>
        <v>3</v>
      </c>
      <c r="B13" s="11">
        <f>IF(A13=1,'P-Parametri'!$B$30,IF(A13=2,'P-Parametri'!$C$30,'P-Parametri'!$B$29))</f>
        <v>6.8512000000000003E-2</v>
      </c>
      <c r="C13" s="31">
        <f>IF($B$4=1,('P-Parametri'!$B$31*F12)*(1+$B13)*(1-MAX(0,'8-Kitces'!$C$5-IF($A13&gt;='1-Input'!$C$12,'1-Input'!$B$12,0))/(('P-Parametri'!$B$31*F12)*(1+$B13)+('P-Parametri'!$C$31*F12)*(1+'P-Parametri'!$C$29)+('P-Parametri'!$D$31*F12)*(1+'1-Input'!$B$27))),(('P-Parametri'!$B$31*F12)-MAX(0,'8-Kitces'!$C$5-IF($A13&gt;='1-Input'!$C$12,'1-Input'!$B$12,0))*'P-Parametri'!$B$31)*(1+$B13))</f>
        <v>172511.6513208707</v>
      </c>
      <c r="D13" s="31">
        <f>IF($B$4=1,('P-Parametri'!$C$31*F12)*(1+'P-Parametri'!$C$29)*(1-MAX(0,'8-Kitces'!$C$5-IF($A13&gt;='1-Input'!$C$12,'1-Input'!$B$12,0))/(('P-Parametri'!$B$31*F12)*(1+$B13)+('P-Parametri'!$C$31*F12)*(1+'P-Parametri'!$C$29)+('P-Parametri'!$D$31*F12)*(1+'1-Input'!$B$27))),(('P-Parametri'!$C$31*F12)-MAX(0,'8-Kitces'!$C$5-IF($A13&gt;='1-Input'!$C$12,'1-Input'!$B$12,0))*'P-Parametri'!$C$31)*(1+'P-Parametri'!$C$29))</f>
        <v>81128.807901771361</v>
      </c>
      <c r="E13" s="31">
        <f>IF($B$4=1,('P-Parametri'!$D$31*F12)*(1+'1-Input'!$B$27)*(1-MAX(0,'8-Kitces'!$C$5-IF($A13&gt;='1-Input'!$C$12,'1-Input'!$B$12,0))/(('P-Parametri'!$B$31*F12)*(1+$B13)+('P-Parametri'!$C$31*F12)*(1+'P-Parametri'!$C$29)+('P-Parametri'!$D$31*F12)*(1+'1-Input'!$B$27))),(('P-Parametri'!$D$31*F12)-MAX(0,'8-Kitces'!$C$5-IF($A13&gt;='1-Input'!$C$12,'1-Input'!$B$12,0))*'P-Parametri'!$D$31)*(1+'1-Input'!$B$27))</f>
        <v>26811.523778880597</v>
      </c>
      <c r="F13" s="31">
        <f t="shared" si="0"/>
        <v>280451.98300152266</v>
      </c>
      <c r="H13" s="31">
        <f>IF($B$4=1,IF($B$4=1,('P-Parametri'!$B$31*K12)*(1+$B13),('P-Parametri'!$B$31*K12))-N13,(IF($B$4=1,('P-Parametri'!$B$31*K12)*(1+$B13),('P-Parametri'!$B$31*K12))-N13)*(1+$B13))</f>
        <v>180508.21259731261</v>
      </c>
      <c r="I13" s="31">
        <f>IF($B$4=1,IF($B$4=1,('P-Parametri'!$C$31*K12)*(1+'P-Parametri'!$C$29),('P-Parametri'!$C$31*K12))-M13,(IF($B$4=1,('P-Parametri'!$C$31*K12)*(1+'P-Parametri'!$C$29),('P-Parametri'!$C$31*K12))-M13)*(1+'P-Parametri'!$C$29))</f>
        <v>84889.432060800042</v>
      </c>
      <c r="J13" s="31">
        <f>IF($B$4=1,IF($B$4=1,('P-Parametri'!$D$31*K12)*(1+'1-Input'!$B$27),('P-Parametri'!$D$31*K12))-L13,(IF($B$4=1,('P-Parametri'!$D$31*K12)*(1+'1-Input'!$B$27),('P-Parametri'!$D$31*K12))-L13)*(1+'1-Input'!$B$27))</f>
        <v>15054.338343410011</v>
      </c>
      <c r="K13" s="31">
        <f t="shared" si="1"/>
        <v>280451.98300152266</v>
      </c>
      <c r="L13" s="31">
        <f>MIN(MAX(IF($B$4=1,('P-Parametri'!$D$31*K12)*(1+'1-Input'!$B$27),('P-Parametri'!$D$31*K12)),0),MAX(0,'8-Kitces'!$C$5-IF($A13&gt;='1-Input'!$C$12,'1-Input'!$B$12,0)))</f>
        <v>13000</v>
      </c>
      <c r="M13" s="31">
        <f>MIN(MAX(IF($B$4=1,('P-Parametri'!$C$31*K12)*(1+'P-Parametri'!$C$29),('P-Parametri'!$C$31*K12)),0),MAX(0,'8-Kitces'!$C$5-IF($A13&gt;='1-Input'!$C$12,'1-Input'!$B$12,0))-L13)</f>
        <v>0</v>
      </c>
      <c r="N13" s="31">
        <f>MAX(0,'8-Kitces'!$C$5-IF($A13&gt;='1-Input'!$C$12,'1-Input'!$B$12,0))-L13-M13</f>
        <v>0</v>
      </c>
    </row>
    <row r="14" spans="1:14">
      <c r="A14" s="10">
        <f>4</f>
        <v>4</v>
      </c>
      <c r="B14" s="11">
        <f>IF(A14=1,'P-Parametri'!$B$30,IF(A14=2,'P-Parametri'!$C$30,'P-Parametri'!$B$29))</f>
        <v>6.8512000000000003E-2</v>
      </c>
      <c r="C14" s="31">
        <f>IF($B$4=1,('P-Parametri'!$B$31*F13)*(1+$B14)*(1-MAX(0,'8-Kitces'!$C$5-IF($A14&gt;='1-Input'!$C$12,'1-Input'!$B$12,0))/(('P-Parametri'!$B$31*F13)*(1+$B14)+('P-Parametri'!$C$31*F13)*(1+'P-Parametri'!$C$29)+('P-Parametri'!$D$31*F13)*(1+'1-Input'!$B$27))),(('P-Parametri'!$B$31*F13)-MAX(0,'8-Kitces'!$C$5-IF($A14&gt;='1-Input'!$C$12,'1-Input'!$B$12,0))*'P-Parametri'!$B$31)*(1+$B14))</f>
        <v>171803.22428011187</v>
      </c>
      <c r="D14" s="31">
        <f>IF($B$4=1,('P-Parametri'!$C$31*F13)*(1+'P-Parametri'!$C$29)*(1-MAX(0,'8-Kitces'!$C$5-IF($A14&gt;='1-Input'!$C$12,'1-Input'!$B$12,0))/(('P-Parametri'!$B$31*F13)*(1+$B14)+('P-Parametri'!$C$31*F13)*(1+'P-Parametri'!$C$29)+('P-Parametri'!$D$31*F13)*(1+'1-Input'!$B$27))),(('P-Parametri'!$C$31*F13)-MAX(0,'8-Kitces'!$C$5-IF($A14&gt;='1-Input'!$C$12,'1-Input'!$B$12,0))*'P-Parametri'!$C$31)*(1+'P-Parametri'!$C$29))</f>
        <v>80795.648715930394</v>
      </c>
      <c r="E14" s="31">
        <f>IF($B$4=1,('P-Parametri'!$D$31*F13)*(1+'1-Input'!$B$27)*(1-MAX(0,'8-Kitces'!$C$5-IF($A14&gt;='1-Input'!$C$12,'1-Input'!$B$12,0))/(('P-Parametri'!$B$31*F13)*(1+$B14)+('P-Parametri'!$C$31*F13)*(1+'P-Parametri'!$C$29)+('P-Parametri'!$D$31*F13)*(1+'1-Input'!$B$27))),(('P-Parametri'!$D$31*F13)-MAX(0,'8-Kitces'!$C$5-IF($A14&gt;='1-Input'!$C$12,'1-Input'!$B$12,0))*'P-Parametri'!$D$31)*(1+'1-Input'!$B$27))</f>
        <v>26701.421021742306</v>
      </c>
      <c r="F14" s="31">
        <f t="shared" si="0"/>
        <v>279300.29401778453</v>
      </c>
      <c r="H14" s="31">
        <f>IF($B$4=1,IF($B$4=1,('P-Parametri'!$B$31*K13)*(1+$B14),('P-Parametri'!$B$31*K13))-N14,(IF($B$4=1,('P-Parametri'!$B$31*K13)*(1+$B14),('P-Parametri'!$B$31*K13))-N14)*(1+$B14))</f>
        <v>179799.78555655378</v>
      </c>
      <c r="I14" s="31">
        <f>IF($B$4=1,IF($B$4=1,('P-Parametri'!$C$31*K13)*(1+'P-Parametri'!$C$29),('P-Parametri'!$C$31*K13))-M14,(IF($B$4=1,('P-Parametri'!$C$31*K13)*(1+'P-Parametri'!$C$29),('P-Parametri'!$C$31*K13))-M14)*(1+'P-Parametri'!$C$29))</f>
        <v>84556.272874959075</v>
      </c>
      <c r="J14" s="31">
        <f>IF($B$4=1,IF($B$4=1,('P-Parametri'!$D$31*K13)*(1+'1-Input'!$B$27),('P-Parametri'!$D$31*K13))-L14,(IF($B$4=1,('P-Parametri'!$D$31*K13)*(1+'1-Input'!$B$27),('P-Parametri'!$D$31*K13))-L14)*(1+'1-Input'!$B$27))</f>
        <v>14944.23558627172</v>
      </c>
      <c r="K14" s="31">
        <f t="shared" si="1"/>
        <v>279300.29401778459</v>
      </c>
      <c r="L14" s="31">
        <f>MIN(MAX(IF($B$4=1,('P-Parametri'!$D$31*K13)*(1+'1-Input'!$B$27),('P-Parametri'!$D$31*K13)),0),MAX(0,'8-Kitces'!$C$5-IF($A14&gt;='1-Input'!$C$12,'1-Input'!$B$12,0)))</f>
        <v>13000</v>
      </c>
      <c r="M14" s="31">
        <f>MIN(MAX(IF($B$4=1,('P-Parametri'!$C$31*K13)*(1+'P-Parametri'!$C$29),('P-Parametri'!$C$31*K13)),0),MAX(0,'8-Kitces'!$C$5-IF($A14&gt;='1-Input'!$C$12,'1-Input'!$B$12,0))-L14)</f>
        <v>0</v>
      </c>
      <c r="N14" s="31">
        <f>MAX(0,'8-Kitces'!$C$5-IF($A14&gt;='1-Input'!$C$12,'1-Input'!$B$12,0))-L14-M14</f>
        <v>0</v>
      </c>
    </row>
    <row r="15" spans="1:14">
      <c r="A15" s="10">
        <f>5</f>
        <v>5</v>
      </c>
      <c r="B15" s="11">
        <f>IF(A15=1,'P-Parametri'!$B$30,IF(A15=2,'P-Parametri'!$C$30,'P-Parametri'!$B$29))</f>
        <v>6.8512000000000003E-2</v>
      </c>
      <c r="C15" s="31">
        <f>IF($B$4=1,('P-Parametri'!$B$31*F14)*(1+$B15)*(1-MAX(0,'8-Kitces'!$C$5-IF($A15&gt;='1-Input'!$C$12,'1-Input'!$B$12,0))/(('P-Parametri'!$B$31*F14)*(1+$B15)+('P-Parametri'!$C$31*F14)*(1+'P-Parametri'!$C$29)+('P-Parametri'!$D$31*F14)*(1+'1-Input'!$B$27))),(('P-Parametri'!$B$31*F14)-MAX(0,'8-Kitces'!$C$5-IF($A15&gt;='1-Input'!$C$12,'1-Input'!$B$12,0))*'P-Parametri'!$B$31)*(1+$B15))</f>
        <v>171064.86818047665</v>
      </c>
      <c r="D15" s="31">
        <f>IF($B$4=1,('P-Parametri'!$C$31*F14)*(1+'P-Parametri'!$C$29)*(1-MAX(0,'8-Kitces'!$C$5-IF($A15&gt;='1-Input'!$C$12,'1-Input'!$B$12,0))/(('P-Parametri'!$B$31*F14)*(1+$B15)+('P-Parametri'!$C$31*F14)*(1+'P-Parametri'!$C$29)+('P-Parametri'!$D$31*F14)*(1+'1-Input'!$B$27))),(('P-Parametri'!$C$31*F14)-MAX(0,'8-Kitces'!$C$5-IF($A15&gt;='1-Input'!$C$12,'1-Input'!$B$12,0))*'P-Parametri'!$C$31)*(1+'P-Parametri'!$C$29))</f>
        <v>80448.414487333343</v>
      </c>
      <c r="E15" s="31">
        <f>IF($B$4=1,('P-Parametri'!$D$31*F14)*(1+'1-Input'!$B$27)*(1-MAX(0,'8-Kitces'!$C$5-IF($A15&gt;='1-Input'!$C$12,'1-Input'!$B$12,0))/(('P-Parametri'!$B$31*F14)*(1+$B15)+('P-Parametri'!$C$31*F14)*(1+'P-Parametri'!$C$29)+('P-Parametri'!$D$31*F14)*(1+'1-Input'!$B$27))),(('P-Parametri'!$D$31*F14)-MAX(0,'8-Kitces'!$C$5-IF($A15&gt;='1-Input'!$C$12,'1-Input'!$B$12,0))*'P-Parametri'!$D$31)*(1+'1-Input'!$B$27))</f>
        <v>26586.666731402638</v>
      </c>
      <c r="F15" s="31">
        <f t="shared" si="0"/>
        <v>278099.94939921261</v>
      </c>
      <c r="H15" s="31">
        <f>IF($B$4=1,IF($B$4=1,('P-Parametri'!$B$31*K14)*(1+$B15),('P-Parametri'!$B$31*K14))-N15,(IF($B$4=1,('P-Parametri'!$B$31*K14)*(1+$B15),('P-Parametri'!$B$31*K14))-N15)*(1+$B15))</f>
        <v>179061.42945691859</v>
      </c>
      <c r="I15" s="31">
        <f>IF($B$4=1,IF($B$4=1,('P-Parametri'!$C$31*K14)*(1+'P-Parametri'!$C$29),('P-Parametri'!$C$31*K14))-M15,(IF($B$4=1,('P-Parametri'!$C$31*K14)*(1+'P-Parametri'!$C$29),('P-Parametri'!$C$31*K14))-M15)*(1+'P-Parametri'!$C$29))</f>
        <v>84209.038646362038</v>
      </c>
      <c r="J15" s="31">
        <f>IF($B$4=1,IF($B$4=1,('P-Parametri'!$D$31*K14)*(1+'1-Input'!$B$27),('P-Parametri'!$D$31*K14))-L15,(IF($B$4=1,('P-Parametri'!$D$31*K14)*(1+'1-Input'!$B$27),('P-Parametri'!$D$31*K14))-L15)*(1+'1-Input'!$B$27))</f>
        <v>14829.481295932059</v>
      </c>
      <c r="K15" s="31">
        <f t="shared" si="1"/>
        <v>278099.94939921272</v>
      </c>
      <c r="L15" s="31">
        <f>MIN(MAX(IF($B$4=1,('P-Parametri'!$D$31*K14)*(1+'1-Input'!$B$27),('P-Parametri'!$D$31*K14)),0),MAX(0,'8-Kitces'!$C$5-IF($A15&gt;='1-Input'!$C$12,'1-Input'!$B$12,0)))</f>
        <v>13000</v>
      </c>
      <c r="M15" s="31">
        <f>MIN(MAX(IF($B$4=1,('P-Parametri'!$C$31*K14)*(1+'P-Parametri'!$C$29),('P-Parametri'!$C$31*K14)),0),MAX(0,'8-Kitces'!$C$5-IF($A15&gt;='1-Input'!$C$12,'1-Input'!$B$12,0))-L15)</f>
        <v>0</v>
      </c>
      <c r="N15" s="31">
        <f>MAX(0,'8-Kitces'!$C$5-IF($A15&gt;='1-Input'!$C$12,'1-Input'!$B$12,0))-L15-M15</f>
        <v>0</v>
      </c>
    </row>
    <row r="16" spans="1:14">
      <c r="A16" s="10">
        <f>6</f>
        <v>6</v>
      </c>
      <c r="B16" s="11">
        <f>IF(A16=1,'P-Parametri'!$B$30,IF(A16=2,'P-Parametri'!$C$30,'P-Parametri'!$B$29))</f>
        <v>6.8512000000000003E-2</v>
      </c>
      <c r="C16" s="31">
        <f>IF($B$4=1,('P-Parametri'!$B$31*F15)*(1+$B16)*(1-MAX(0,'8-Kitces'!$C$5-IF($A16&gt;='1-Input'!$C$12,'1-Input'!$B$12,0))/(('P-Parametri'!$B$31*F15)*(1+$B16)+('P-Parametri'!$C$31*F15)*(1+'P-Parametri'!$C$29)+('P-Parametri'!$D$31*F15)*(1+'1-Input'!$B$27))),(('P-Parametri'!$B$31*F15)-MAX(0,'8-Kitces'!$C$5-IF($A16&gt;='1-Input'!$C$12,'1-Input'!$B$12,0))*'P-Parametri'!$B$31)*(1+$B16))</f>
        <v>170295.31860302895</v>
      </c>
      <c r="D16" s="31">
        <f>IF($B$4=1,('P-Parametri'!$C$31*F15)*(1+'P-Parametri'!$C$29)*(1-MAX(0,'8-Kitces'!$C$5-IF($A16&gt;='1-Input'!$C$12,'1-Input'!$B$12,0))/(('P-Parametri'!$B$31*F15)*(1+$B16)+('P-Parametri'!$C$31*F15)*(1+'P-Parametri'!$C$29)+('P-Parametri'!$D$31*F15)*(1+'1-Input'!$B$27))),(('P-Parametri'!$C$31*F15)-MAX(0,'8-Kitces'!$C$5-IF($A16&gt;='1-Input'!$C$12,'1-Input'!$B$12,0))*'P-Parametri'!$C$31)*(1+'P-Parametri'!$C$29))</f>
        <v>80086.510584833901</v>
      </c>
      <c r="E16" s="31">
        <f>IF($B$4=1,('P-Parametri'!$D$31*F15)*(1+'1-Input'!$B$27)*(1-MAX(0,'8-Kitces'!$C$5-IF($A16&gt;='1-Input'!$C$12,'1-Input'!$B$12,0))/(('P-Parametri'!$B$31*F15)*(1+$B16)+('P-Parametri'!$C$31*F15)*(1+'P-Parametri'!$C$29)+('P-Parametri'!$D$31*F15)*(1+'1-Input'!$B$27))),(('P-Parametri'!$D$31*F15)-MAX(0,'8-Kitces'!$C$5-IF($A16&gt;='1-Input'!$C$12,'1-Input'!$B$12,0))*'P-Parametri'!$D$31)*(1+'1-Input'!$B$27))</f>
        <v>26467.064393608132</v>
      </c>
      <c r="F16" s="31">
        <f t="shared" si="0"/>
        <v>276848.893581471</v>
      </c>
      <c r="H16" s="31">
        <f>IF($B$4=1,IF($B$4=1,('P-Parametri'!$B$31*K15)*(1+$B16),('P-Parametri'!$B$31*K15))-N16,(IF($B$4=1,('P-Parametri'!$B$31*K15)*(1+$B16),('P-Parametri'!$B$31*K15))-N16)*(1+$B16))</f>
        <v>178291.87987947094</v>
      </c>
      <c r="I16" s="31">
        <f>IF($B$4=1,IF($B$4=1,('P-Parametri'!$C$31*K15)*(1+'P-Parametri'!$C$29),('P-Parametri'!$C$31*K15))-M16,(IF($B$4=1,('P-Parametri'!$C$31*K15)*(1+'P-Parametri'!$C$29),('P-Parametri'!$C$31*K15))-M16)*(1+'P-Parametri'!$C$29))</f>
        <v>83847.134743862625</v>
      </c>
      <c r="J16" s="31">
        <f>IF($B$4=1,IF($B$4=1,('P-Parametri'!$D$31*K15)*(1+'1-Input'!$B$27),('P-Parametri'!$D$31*K15))-L16,(IF($B$4=1,('P-Parametri'!$D$31*K15)*(1+'1-Input'!$B$27),('P-Parametri'!$D$31*K15))-L16)*(1+'1-Input'!$B$27))</f>
        <v>14709.878958137557</v>
      </c>
      <c r="K16" s="31">
        <f t="shared" si="1"/>
        <v>276848.89358147111</v>
      </c>
      <c r="L16" s="31">
        <f>MIN(MAX(IF($B$4=1,('P-Parametri'!$D$31*K15)*(1+'1-Input'!$B$27),('P-Parametri'!$D$31*K15)),0),MAX(0,'8-Kitces'!$C$5-IF($A16&gt;='1-Input'!$C$12,'1-Input'!$B$12,0)))</f>
        <v>13000</v>
      </c>
      <c r="M16" s="31">
        <f>MIN(MAX(IF($B$4=1,('P-Parametri'!$C$31*K15)*(1+'P-Parametri'!$C$29),('P-Parametri'!$C$31*K15)),0),MAX(0,'8-Kitces'!$C$5-IF($A16&gt;='1-Input'!$C$12,'1-Input'!$B$12,0))-L16)</f>
        <v>0</v>
      </c>
      <c r="N16" s="31">
        <f>MAX(0,'8-Kitces'!$C$5-IF($A16&gt;='1-Input'!$C$12,'1-Input'!$B$12,0))-L16-M16</f>
        <v>0</v>
      </c>
    </row>
    <row r="17" spans="1:14">
      <c r="A17" s="10">
        <f>7</f>
        <v>7</v>
      </c>
      <c r="B17" s="11">
        <f>IF(A17=1,'P-Parametri'!$B$30,IF(A17=2,'P-Parametri'!$C$30,'P-Parametri'!$B$29))</f>
        <v>6.8512000000000003E-2</v>
      </c>
      <c r="C17" s="31">
        <f>IF($B$4=1,('P-Parametri'!$B$31*F16)*(1+$B17)*(1-MAX(0,'8-Kitces'!$C$5-IF($A17&gt;='1-Input'!$C$12,'1-Input'!$B$12,0))/(('P-Parametri'!$B$31*F16)*(1+$B17)+('P-Parametri'!$C$31*F16)*(1+'P-Parametri'!$C$29)+('P-Parametri'!$D$31*F16)*(1+'1-Input'!$B$27))),(('P-Parametri'!$B$31*F16)-MAX(0,'8-Kitces'!$C$5-IF($A17&gt;='1-Input'!$C$12,'1-Input'!$B$12,0))*'P-Parametri'!$B$31)*(1+$B17))</f>
        <v>169493.25771067291</v>
      </c>
      <c r="D17" s="31">
        <f>IF($B$4=1,('P-Parametri'!$C$31*F16)*(1+'P-Parametri'!$C$29)*(1-MAX(0,'8-Kitces'!$C$5-IF($A17&gt;='1-Input'!$C$12,'1-Input'!$B$12,0))/(('P-Parametri'!$B$31*F16)*(1+$B17)+('P-Parametri'!$C$31*F16)*(1+'P-Parametri'!$C$29)+('P-Parametri'!$D$31*F16)*(1+'1-Input'!$B$27))),(('P-Parametri'!$C$31*F16)-MAX(0,'8-Kitces'!$C$5-IF($A17&gt;='1-Input'!$C$12,'1-Input'!$B$12,0))*'P-Parametri'!$C$31)*(1+'P-Parametri'!$C$29))</f>
        <v>79709.317255784816</v>
      </c>
      <c r="E17" s="31">
        <f>IF($B$4=1,('P-Parametri'!$D$31*F16)*(1+'1-Input'!$B$27)*(1-MAX(0,'8-Kitces'!$C$5-IF($A17&gt;='1-Input'!$C$12,'1-Input'!$B$12,0))/(('P-Parametri'!$B$31*F16)*(1+$B17)+('P-Parametri'!$C$31*F16)*(1+'P-Parametri'!$C$29)+('P-Parametri'!$D$31*F16)*(1+'1-Input'!$B$27))),(('P-Parametri'!$D$31*F16)-MAX(0,'8-Kitces'!$C$5-IF($A17&gt;='1-Input'!$C$12,'1-Input'!$B$12,0))*'P-Parametri'!$D$31)*(1+'1-Input'!$B$27))</f>
        <v>26342.409191928356</v>
      </c>
      <c r="F17" s="31">
        <f t="shared" si="0"/>
        <v>275544.98415838607</v>
      </c>
      <c r="H17" s="31">
        <f>IF($B$4=1,IF($B$4=1,('P-Parametri'!$B$31*K16)*(1+$B17),('P-Parametri'!$B$31*K16))-N17,(IF($B$4=1,('P-Parametri'!$B$31*K16)*(1+$B17),('P-Parametri'!$B$31*K16))-N17)*(1+$B17))</f>
        <v>177489.81898711491</v>
      </c>
      <c r="I17" s="31">
        <f>IF($B$4=1,IF($B$4=1,('P-Parametri'!$C$31*K16)*(1+'P-Parametri'!$C$29),('P-Parametri'!$C$31*K16))-M17,(IF($B$4=1,('P-Parametri'!$C$31*K16)*(1+'P-Parametri'!$C$29),('P-Parametri'!$C$31*K16))-M17)*(1+'P-Parametri'!$C$29))</f>
        <v>83469.941414813526</v>
      </c>
      <c r="J17" s="31">
        <f>IF($B$4=1,IF($B$4=1,('P-Parametri'!$D$31*K16)*(1+'1-Input'!$B$27),('P-Parametri'!$D$31*K16))-L17,(IF($B$4=1,('P-Parametri'!$D$31*K16)*(1+'1-Input'!$B$27),('P-Parametri'!$D$31*K16))-L17)*(1+'1-Input'!$B$27))</f>
        <v>14585.223756457781</v>
      </c>
      <c r="K17" s="31">
        <f t="shared" si="1"/>
        <v>275544.98415838624</v>
      </c>
      <c r="L17" s="31">
        <f>MIN(MAX(IF($B$4=1,('P-Parametri'!$D$31*K16)*(1+'1-Input'!$B$27),('P-Parametri'!$D$31*K16)),0),MAX(0,'8-Kitces'!$C$5-IF($A17&gt;='1-Input'!$C$12,'1-Input'!$B$12,0)))</f>
        <v>13000</v>
      </c>
      <c r="M17" s="31">
        <f>MIN(MAX(IF($B$4=1,('P-Parametri'!$C$31*K16)*(1+'P-Parametri'!$C$29),('P-Parametri'!$C$31*K16)),0),MAX(0,'8-Kitces'!$C$5-IF($A17&gt;='1-Input'!$C$12,'1-Input'!$B$12,0))-L17)</f>
        <v>0</v>
      </c>
      <c r="N17" s="31">
        <f>MAX(0,'8-Kitces'!$C$5-IF($A17&gt;='1-Input'!$C$12,'1-Input'!$B$12,0))-L17-M17</f>
        <v>0</v>
      </c>
    </row>
    <row r="18" spans="1:14">
      <c r="A18" s="10">
        <f>8</f>
        <v>8</v>
      </c>
      <c r="B18" s="11">
        <f>IF(A18=1,'P-Parametri'!$B$30,IF(A18=2,'P-Parametri'!$C$30,'P-Parametri'!$B$29))</f>
        <v>6.8512000000000003E-2</v>
      </c>
      <c r="C18" s="31">
        <f>IF($B$4=1,('P-Parametri'!$B$31*F17)*(1+$B18)*(1-MAX(0,'8-Kitces'!$C$5-IF($A18&gt;='1-Input'!$C$12,'1-Input'!$B$12,0))/(('P-Parametri'!$B$31*F17)*(1+$B18)+('P-Parametri'!$C$31*F17)*(1+'P-Parametri'!$C$29)+('P-Parametri'!$D$31*F17)*(1+'1-Input'!$B$27))),(('P-Parametri'!$B$31*F17)-MAX(0,'8-Kitces'!$C$5-IF($A18&gt;='1-Input'!$C$12,'1-Input'!$B$12,0))*'P-Parametri'!$B$31)*(1+$B18))</f>
        <v>168657.31199138533</v>
      </c>
      <c r="D18" s="31">
        <f>IF($B$4=1,('P-Parametri'!$C$31*F17)*(1+'P-Parametri'!$C$29)*(1-MAX(0,'8-Kitces'!$C$5-IF($A18&gt;='1-Input'!$C$12,'1-Input'!$B$12,0))/(('P-Parametri'!$B$31*F17)*(1+$B18)+('P-Parametri'!$C$31*F17)*(1+'P-Parametri'!$C$29)+('P-Parametri'!$D$31*F17)*(1+'1-Input'!$B$27))),(('P-Parametri'!$C$31*F17)-MAX(0,'8-Kitces'!$C$5-IF($A18&gt;='1-Input'!$C$12,'1-Input'!$B$12,0))*'P-Parametri'!$C$31)*(1+'P-Parametri'!$C$29))</f>
        <v>79316.188564724711</v>
      </c>
      <c r="E18" s="31">
        <f>IF($B$4=1,('P-Parametri'!$D$31*F17)*(1+'1-Input'!$B$27)*(1-MAX(0,'8-Kitces'!$C$5-IF($A18&gt;='1-Input'!$C$12,'1-Input'!$B$12,0))/(('P-Parametri'!$B$31*F17)*(1+$B18)+('P-Parametri'!$C$31*F17)*(1+'P-Parametri'!$C$29)+('P-Parametri'!$D$31*F17)*(1+'1-Input'!$B$27))),(('P-Parametri'!$D$31*F17)-MAX(0,'8-Kitces'!$C$5-IF($A18&gt;='1-Input'!$C$12,'1-Input'!$B$12,0))*'P-Parametri'!$D$31)*(1+'1-Input'!$B$27))</f>
        <v>26212.487657012174</v>
      </c>
      <c r="F18" s="31">
        <f t="shared" si="0"/>
        <v>274185.98821312224</v>
      </c>
      <c r="H18" s="31">
        <f>IF($B$4=1,IF($B$4=1,('P-Parametri'!$B$31*K17)*(1+$B18),('P-Parametri'!$B$31*K17))-N18,(IF($B$4=1,('P-Parametri'!$B$31*K17)*(1+$B18),('P-Parametri'!$B$31*K17))-N18)*(1+$B18))</f>
        <v>176653.87326782732</v>
      </c>
      <c r="I18" s="31">
        <f>IF($B$4=1,IF($B$4=1,('P-Parametri'!$C$31*K17)*(1+'P-Parametri'!$C$29),('P-Parametri'!$C$31*K17))-M18,(IF($B$4=1,('P-Parametri'!$C$31*K17)*(1+'P-Parametri'!$C$29),('P-Parametri'!$C$31*K17))-M18)*(1+'P-Parametri'!$C$29))</f>
        <v>83076.812723753435</v>
      </c>
      <c r="J18" s="31">
        <f>IF($B$4=1,IF($B$4=1,('P-Parametri'!$D$31*K17)*(1+'1-Input'!$B$27),('P-Parametri'!$D$31*K17))-L18,(IF($B$4=1,('P-Parametri'!$D$31*K17)*(1+'1-Input'!$B$27),('P-Parametri'!$D$31*K17))-L18)*(1+'1-Input'!$B$27))</f>
        <v>14455.302221541606</v>
      </c>
      <c r="K18" s="31">
        <f t="shared" si="1"/>
        <v>274185.98821312236</v>
      </c>
      <c r="L18" s="31">
        <f>MIN(MAX(IF($B$4=1,('P-Parametri'!$D$31*K17)*(1+'1-Input'!$B$27),('P-Parametri'!$D$31*K17)),0),MAX(0,'8-Kitces'!$C$5-IF($A18&gt;='1-Input'!$C$12,'1-Input'!$B$12,0)))</f>
        <v>13000</v>
      </c>
      <c r="M18" s="31">
        <f>MIN(MAX(IF($B$4=1,('P-Parametri'!$C$31*K17)*(1+'P-Parametri'!$C$29),('P-Parametri'!$C$31*K17)),0),MAX(0,'8-Kitces'!$C$5-IF($A18&gt;='1-Input'!$C$12,'1-Input'!$B$12,0))-L18)</f>
        <v>0</v>
      </c>
      <c r="N18" s="31">
        <f>MAX(0,'8-Kitces'!$C$5-IF($A18&gt;='1-Input'!$C$12,'1-Input'!$B$12,0))-L18-M18</f>
        <v>0</v>
      </c>
    </row>
    <row r="19" spans="1:14">
      <c r="A19" s="10">
        <f>9</f>
        <v>9</v>
      </c>
      <c r="B19" s="11">
        <f>IF(A19=1,'P-Parametri'!$B$30,IF(A19=2,'P-Parametri'!$C$30,'P-Parametri'!$B$29))</f>
        <v>6.8512000000000003E-2</v>
      </c>
      <c r="C19" s="31">
        <f>IF($B$4=1,('P-Parametri'!$B$31*F18)*(1+$B19)*(1-MAX(0,'8-Kitces'!$C$5-IF($A19&gt;='1-Input'!$C$12,'1-Input'!$B$12,0))/(('P-Parametri'!$B$31*F18)*(1+$B19)+('P-Parametri'!$C$31*F18)*(1+'P-Parametri'!$C$29)+('P-Parametri'!$D$31*F18)*(1+'1-Input'!$B$27))),(('P-Parametri'!$B$31*F18)-MAX(0,'8-Kitces'!$C$5-IF($A19&gt;='1-Input'!$C$12,'1-Input'!$B$12,0))*'P-Parametri'!$B$31)*(1+$B19))</f>
        <v>167786.04990610588</v>
      </c>
      <c r="D19" s="31">
        <f>IF($B$4=1,('P-Parametri'!$C$31*F18)*(1+'P-Parametri'!$C$29)*(1-MAX(0,'8-Kitces'!$C$5-IF($A19&gt;='1-Input'!$C$12,'1-Input'!$B$12,0))/(('P-Parametri'!$B$31*F18)*(1+$B19)+('P-Parametri'!$C$31*F18)*(1+'P-Parametri'!$C$29)+('P-Parametri'!$D$31*F18)*(1+'1-Input'!$B$27))),(('P-Parametri'!$C$31*F18)-MAX(0,'8-Kitces'!$C$5-IF($A19&gt;='1-Input'!$C$12,'1-Input'!$B$12,0))*'P-Parametri'!$C$31)*(1+'P-Parametri'!$C$29))</f>
        <v>78906.451287227668</v>
      </c>
      <c r="E19" s="31">
        <f>IF($B$4=1,('P-Parametri'!$D$31*F18)*(1+'1-Input'!$B$27)*(1-MAX(0,'8-Kitces'!$C$5-IF($A19&gt;='1-Input'!$C$12,'1-Input'!$B$12,0))/(('P-Parametri'!$B$31*F18)*(1+$B19)+('P-Parametri'!$C$31*F18)*(1+'P-Parametri'!$C$29)+('P-Parametri'!$D$31*F18)*(1+'1-Input'!$B$27))),(('P-Parametri'!$D$31*F18)-MAX(0,'8-Kitces'!$C$5-IF($A19&gt;='1-Input'!$C$12,'1-Input'!$B$12,0))*'P-Parametri'!$D$31)*(1+'1-Input'!$B$27))</f>
        <v>26077.077301026085</v>
      </c>
      <c r="F19" s="31">
        <f t="shared" si="0"/>
        <v>272769.57849435962</v>
      </c>
      <c r="H19" s="31">
        <f>IF($B$4=1,IF($B$4=1,('P-Parametri'!$B$31*K18)*(1+$B19),('P-Parametri'!$B$31*K18))-N19,(IF($B$4=1,('P-Parametri'!$B$31*K18)*(1+$B19),('P-Parametri'!$B$31*K18))-N19)*(1+$B19))</f>
        <v>175782.61118254784</v>
      </c>
      <c r="I19" s="31">
        <f>IF($B$4=1,IF($B$4=1,('P-Parametri'!$C$31*K18)*(1+'P-Parametri'!$C$29),('P-Parametri'!$C$31*K18))-M19,(IF($B$4=1,('P-Parametri'!$C$31*K18)*(1+'P-Parametri'!$C$29),('P-Parametri'!$C$31*K18))-M19)*(1+'P-Parametri'!$C$29))</f>
        <v>82667.075446256378</v>
      </c>
      <c r="J19" s="31">
        <f>IF($B$4=1,IF($B$4=1,('P-Parametri'!$D$31*K18)*(1+'1-Input'!$B$27),('P-Parametri'!$D$31*K18))-L19,(IF($B$4=1,('P-Parametri'!$D$31*K18)*(1+'1-Input'!$B$27),('P-Parametri'!$D$31*K18))-L19)*(1+'1-Input'!$B$27))</f>
        <v>14319.89186555551</v>
      </c>
      <c r="K19" s="31">
        <f t="shared" si="1"/>
        <v>272769.57849435974</v>
      </c>
      <c r="L19" s="31">
        <f>MIN(MAX(IF($B$4=1,('P-Parametri'!$D$31*K18)*(1+'1-Input'!$B$27),('P-Parametri'!$D$31*K18)),0),MAX(0,'8-Kitces'!$C$5-IF($A19&gt;='1-Input'!$C$12,'1-Input'!$B$12,0)))</f>
        <v>13000</v>
      </c>
      <c r="M19" s="31">
        <f>MIN(MAX(IF($B$4=1,('P-Parametri'!$C$31*K18)*(1+'P-Parametri'!$C$29),('P-Parametri'!$C$31*K18)),0),MAX(0,'8-Kitces'!$C$5-IF($A19&gt;='1-Input'!$C$12,'1-Input'!$B$12,0))-L19)</f>
        <v>0</v>
      </c>
      <c r="N19" s="31">
        <f>MAX(0,'8-Kitces'!$C$5-IF($A19&gt;='1-Input'!$C$12,'1-Input'!$B$12,0))-L19-M19</f>
        <v>0</v>
      </c>
    </row>
    <row r="20" spans="1:14">
      <c r="A20" s="10">
        <f>10</f>
        <v>10</v>
      </c>
      <c r="B20" s="11">
        <f>IF(A20=1,'P-Parametri'!$B$30,IF(A20=2,'P-Parametri'!$C$30,'P-Parametri'!$B$29))</f>
        <v>6.8512000000000003E-2</v>
      </c>
      <c r="C20" s="31">
        <f>IF($B$4=1,('P-Parametri'!$B$31*F19)*(1+$B20)*(1-MAX(0,'8-Kitces'!$C$5-IF($A20&gt;='1-Input'!$C$12,'1-Input'!$B$12,0))/(('P-Parametri'!$B$31*F19)*(1+$B20)+('P-Parametri'!$C$31*F19)*(1+'P-Parametri'!$C$29)+('P-Parametri'!$D$31*F19)*(1+'1-Input'!$B$27))),(('P-Parametri'!$B$31*F19)-MAX(0,'8-Kitces'!$C$5-IF($A20&gt;='1-Input'!$C$12,'1-Input'!$B$12,0))*'P-Parametri'!$B$31)*(1+$B20))</f>
        <v>166877.97943725716</v>
      </c>
      <c r="D20" s="31">
        <f>IF($B$4=1,('P-Parametri'!$C$31*F19)*(1+'P-Parametri'!$C$29)*(1-MAX(0,'8-Kitces'!$C$5-IF($A20&gt;='1-Input'!$C$12,'1-Input'!$B$12,0))/(('P-Parametri'!$B$31*F19)*(1+$B20)+('P-Parametri'!$C$31*F19)*(1+'P-Parametri'!$C$29)+('P-Parametri'!$D$31*F19)*(1+'1-Input'!$B$27))),(('P-Parametri'!$C$31*F19)-MAX(0,'8-Kitces'!$C$5-IF($A20&gt;='1-Input'!$C$12,'1-Input'!$B$12,0))*'P-Parametri'!$C$31)*(1+'P-Parametri'!$C$29))</f>
        <v>78479.403757020729</v>
      </c>
      <c r="E20" s="31">
        <f>IF($B$4=1,('P-Parametri'!$D$31*F19)*(1+'1-Input'!$B$27)*(1-MAX(0,'8-Kitces'!$C$5-IF($A20&gt;='1-Input'!$C$12,'1-Input'!$B$12,0))/(('P-Parametri'!$B$31*F19)*(1+$B20)+('P-Parametri'!$C$31*F19)*(1+'P-Parametri'!$C$29)+('P-Parametri'!$D$31*F19)*(1+'1-Input'!$B$27))),(('P-Parametri'!$D$31*F19)-MAX(0,'8-Kitces'!$C$5-IF($A20&gt;='1-Input'!$C$12,'1-Input'!$B$12,0))*'P-Parametri'!$D$31)*(1+'1-Input'!$B$27))</f>
        <v>25935.946236648579</v>
      </c>
      <c r="F20" s="31">
        <f t="shared" si="0"/>
        <v>271293.32943092647</v>
      </c>
      <c r="H20" s="31">
        <f>IF($B$4=1,IF($B$4=1,('P-Parametri'!$B$31*K19)*(1+$B20),('P-Parametri'!$B$31*K19))-N20,(IF($B$4=1,('P-Parametri'!$B$31*K19)*(1+$B20),('P-Parametri'!$B$31*K19))-N20)*(1+$B20))</f>
        <v>174874.54071369919</v>
      </c>
      <c r="I20" s="31">
        <f>IF($B$4=1,IF($B$4=1,('P-Parametri'!$C$31*K19)*(1+'P-Parametri'!$C$29),('P-Parametri'!$C$31*K19))-M20,(IF($B$4=1,('P-Parametri'!$C$31*K19)*(1+'P-Parametri'!$C$29),('P-Parametri'!$C$31*K19))-M20)*(1+'P-Parametri'!$C$29))</f>
        <v>82240.027916049454</v>
      </c>
      <c r="J20" s="31">
        <f>IF($B$4=1,IF($B$4=1,('P-Parametri'!$D$31*K19)*(1+'1-Input'!$B$27),('P-Parametri'!$D$31*K19))-L20,(IF($B$4=1,('P-Parametri'!$D$31*K19)*(1+'1-Input'!$B$27),('P-Parametri'!$D$31*K19))-L20)*(1+'1-Input'!$B$27))</f>
        <v>14178.760801178003</v>
      </c>
      <c r="K20" s="31">
        <f t="shared" si="1"/>
        <v>271293.32943092665</v>
      </c>
      <c r="L20" s="31">
        <f>MIN(MAX(IF($B$4=1,('P-Parametri'!$D$31*K19)*(1+'1-Input'!$B$27),('P-Parametri'!$D$31*K19)),0),MAX(0,'8-Kitces'!$C$5-IF($A20&gt;='1-Input'!$C$12,'1-Input'!$B$12,0)))</f>
        <v>13000</v>
      </c>
      <c r="M20" s="31">
        <f>MIN(MAX(IF($B$4=1,('P-Parametri'!$C$31*K19)*(1+'P-Parametri'!$C$29),('P-Parametri'!$C$31*K19)),0),MAX(0,'8-Kitces'!$C$5-IF($A20&gt;='1-Input'!$C$12,'1-Input'!$B$12,0))-L20)</f>
        <v>0</v>
      </c>
      <c r="N20" s="31">
        <f>MAX(0,'8-Kitces'!$C$5-IF($A20&gt;='1-Input'!$C$12,'1-Input'!$B$12,0))-L20-M20</f>
        <v>0</v>
      </c>
    </row>
    <row r="21" spans="1:14">
      <c r="A21" s="10">
        <f>11</f>
        <v>11</v>
      </c>
      <c r="B21" s="11">
        <f>IF(A21=1,'P-Parametri'!$B$30,IF(A21=2,'P-Parametri'!$C$30,'P-Parametri'!$B$29))</f>
        <v>6.8512000000000003E-2</v>
      </c>
      <c r="C21" s="31">
        <f>IF($B$4=1,('P-Parametri'!$B$31*F20)*(1+$B21)*(1-MAX(0,'8-Kitces'!$C$5-IF($A21&gt;='1-Input'!$C$12,'1-Input'!$B$12,0))/(('P-Parametri'!$B$31*F20)*(1+$B21)+('P-Parametri'!$C$31*F20)*(1+'P-Parametri'!$C$29)+('P-Parametri'!$D$31*F20)*(1+'1-Input'!$B$27))),(('P-Parametri'!$B$31*F20)-MAX(0,'8-Kitces'!$C$5-IF($A21&gt;='1-Input'!$C$12,'1-Input'!$B$12,0))*'P-Parametri'!$B$31)*(1+$B21))</f>
        <v>165931.54553369695</v>
      </c>
      <c r="D21" s="31">
        <f>IF($B$4=1,('P-Parametri'!$C$31*F20)*(1+'P-Parametri'!$C$29)*(1-MAX(0,'8-Kitces'!$C$5-IF($A21&gt;='1-Input'!$C$12,'1-Input'!$B$12,0))/(('P-Parametri'!$B$31*F20)*(1+$B21)+('P-Parametri'!$C$31*F20)*(1+'P-Parametri'!$C$29)+('P-Parametri'!$D$31*F20)*(1+'1-Input'!$B$27))),(('P-Parametri'!$C$31*F20)-MAX(0,'8-Kitces'!$C$5-IF($A21&gt;='1-Input'!$C$12,'1-Input'!$B$12,0))*'P-Parametri'!$C$31)*(1+'P-Parametri'!$C$29))</f>
        <v>78034.314664395642</v>
      </c>
      <c r="E21" s="31">
        <f>IF($B$4=1,('P-Parametri'!$D$31*F20)*(1+'1-Input'!$B$27)*(1-MAX(0,'8-Kitces'!$C$5-IF($A21&gt;='1-Input'!$C$12,'1-Input'!$B$12,0))/(('P-Parametri'!$B$31*F20)*(1+$B21)+('P-Parametri'!$C$31*F20)*(1+'P-Parametri'!$C$29)+('P-Parametri'!$D$31*F20)*(1+'1-Input'!$B$27))),(('P-Parametri'!$D$31*F20)-MAX(0,'8-Kitces'!$C$5-IF($A21&gt;='1-Input'!$C$12,'1-Input'!$B$12,0))*'P-Parametri'!$D$31)*(1+'1-Input'!$B$27))</f>
        <v>25788.8527799681</v>
      </c>
      <c r="F21" s="31">
        <f t="shared" si="0"/>
        <v>269754.71297806071</v>
      </c>
      <c r="H21" s="31">
        <f>IF($B$4=1,IF($B$4=1,('P-Parametri'!$B$31*K20)*(1+$B21),('P-Parametri'!$B$31*K20))-N21,(IF($B$4=1,('P-Parametri'!$B$31*K20)*(1+$B21),('P-Parametri'!$B$31*K20))-N21)*(1+$B21))</f>
        <v>173928.10681013894</v>
      </c>
      <c r="I21" s="31">
        <f>IF($B$4=1,IF($B$4=1,('P-Parametri'!$C$31*K20)*(1+'P-Parametri'!$C$29),('P-Parametri'!$C$31*K20))-M21,(IF($B$4=1,('P-Parametri'!$C$31*K20)*(1+'P-Parametri'!$C$29),('P-Parametri'!$C$31*K20))-M21)*(1+'P-Parametri'!$C$29))</f>
        <v>81794.938823424367</v>
      </c>
      <c r="J21" s="31">
        <f>IF($B$4=1,IF($B$4=1,('P-Parametri'!$D$31*K20)*(1+'1-Input'!$B$27),('P-Parametri'!$D$31*K20))-L21,(IF($B$4=1,('P-Parametri'!$D$31*K20)*(1+'1-Input'!$B$27),('P-Parametri'!$D$31*K20))-L21)*(1+'1-Input'!$B$27))</f>
        <v>14031.667344497531</v>
      </c>
      <c r="K21" s="31">
        <f t="shared" si="1"/>
        <v>269754.71297806082</v>
      </c>
      <c r="L21" s="31">
        <f>MIN(MAX(IF($B$4=1,('P-Parametri'!$D$31*K20)*(1+'1-Input'!$B$27),('P-Parametri'!$D$31*K20)),0),MAX(0,'8-Kitces'!$C$5-IF($A21&gt;='1-Input'!$C$12,'1-Input'!$B$12,0)))</f>
        <v>13000</v>
      </c>
      <c r="M21" s="31">
        <f>MIN(MAX(IF($B$4=1,('P-Parametri'!$C$31*K20)*(1+'P-Parametri'!$C$29),('P-Parametri'!$C$31*K20)),0),MAX(0,'8-Kitces'!$C$5-IF($A21&gt;='1-Input'!$C$12,'1-Input'!$B$12,0))-L21)</f>
        <v>0</v>
      </c>
      <c r="N21" s="31">
        <f>MAX(0,'8-Kitces'!$C$5-IF($A21&gt;='1-Input'!$C$12,'1-Input'!$B$12,0))-L21-M21</f>
        <v>0</v>
      </c>
    </row>
    <row r="22" spans="1:14">
      <c r="A22" s="10">
        <f>12</f>
        <v>12</v>
      </c>
      <c r="B22" s="11">
        <f>IF(A22=1,'P-Parametri'!$B$30,IF(A22=2,'P-Parametri'!$C$30,'P-Parametri'!$B$29))</f>
        <v>6.8512000000000003E-2</v>
      </c>
      <c r="C22" s="31">
        <f>IF($B$4=1,('P-Parametri'!$B$31*F21)*(1+$B22)*(1-MAX(0,'8-Kitces'!$C$5-IF($A22&gt;='1-Input'!$C$12,'1-Input'!$B$12,0))/(('P-Parametri'!$B$31*F21)*(1+$B22)+('P-Parametri'!$C$31*F21)*(1+'P-Parametri'!$C$29)+('P-Parametri'!$D$31*F21)*(1+'1-Input'!$B$27))),(('P-Parametri'!$B$31*F21)-MAX(0,'8-Kitces'!$C$5-IF($A22&gt;='1-Input'!$C$12,'1-Input'!$B$12,0))*'P-Parametri'!$B$31)*(1+$B22))</f>
        <v>164945.12744772623</v>
      </c>
      <c r="D22" s="31">
        <f>IF($B$4=1,('P-Parametri'!$C$31*F21)*(1+'P-Parametri'!$C$29)*(1-MAX(0,'8-Kitces'!$C$5-IF($A22&gt;='1-Input'!$C$12,'1-Input'!$B$12,0))/(('P-Parametri'!$B$31*F21)*(1+$B22)+('P-Parametri'!$C$31*F21)*(1+'P-Parametri'!$C$29)+('P-Parametri'!$D$31*F21)*(1+'1-Input'!$B$27))),(('P-Parametri'!$C$31*F21)-MAX(0,'8-Kitces'!$C$5-IF($A22&gt;='1-Input'!$C$12,'1-Input'!$B$12,0))*'P-Parametri'!$C$31)*(1+'P-Parametri'!$C$29))</f>
        <v>77570.421803856618</v>
      </c>
      <c r="E22" s="31">
        <f>IF($B$4=1,('P-Parametri'!$D$31*F21)*(1+'1-Input'!$B$27)*(1-MAX(0,'8-Kitces'!$C$5-IF($A22&gt;='1-Input'!$C$12,'1-Input'!$B$12,0))/(('P-Parametri'!$B$31*F21)*(1+$B22)+('P-Parametri'!$C$31*F21)*(1+'P-Parametri'!$C$29)+('P-Parametri'!$D$31*F21)*(1+'1-Input'!$B$27))),(('P-Parametri'!$D$31*F21)-MAX(0,'8-Kitces'!$C$5-IF($A22&gt;='1-Input'!$C$12,'1-Input'!$B$12,0))*'P-Parametri'!$D$31)*(1+'1-Input'!$B$27))</f>
        <v>25635.545036604555</v>
      </c>
      <c r="F22" s="31">
        <f t="shared" si="0"/>
        <v>268151.09428818739</v>
      </c>
      <c r="H22" s="31">
        <f>IF($B$4=1,IF($B$4=1,('P-Parametri'!$B$31*K21)*(1+$B22),('P-Parametri'!$B$31*K21))-N22,(IF($B$4=1,('P-Parametri'!$B$31*K21)*(1+$B22),('P-Parametri'!$B$31*K21))-N22)*(1+$B22))</f>
        <v>172941.6887241682</v>
      </c>
      <c r="I22" s="31">
        <f>IF($B$4=1,IF($B$4=1,('P-Parametri'!$C$31*K21)*(1+'P-Parametri'!$C$29),('P-Parametri'!$C$31*K21))-M22,(IF($B$4=1,('P-Parametri'!$C$31*K21)*(1+'P-Parametri'!$C$29),('P-Parametri'!$C$31*K21))-M22)*(1+'P-Parametri'!$C$29))</f>
        <v>81331.045962885328</v>
      </c>
      <c r="J22" s="31">
        <f>IF($B$4=1,IF($B$4=1,('P-Parametri'!$D$31*K21)*(1+'1-Input'!$B$27),('P-Parametri'!$D$31*K21))-L22,(IF($B$4=1,('P-Parametri'!$D$31*K21)*(1+'1-Input'!$B$27),('P-Parametri'!$D$31*K21))-L22)*(1+'1-Input'!$B$27))</f>
        <v>13878.359601133983</v>
      </c>
      <c r="K22" s="31">
        <f t="shared" si="1"/>
        <v>268151.09428818751</v>
      </c>
      <c r="L22" s="31">
        <f>MIN(MAX(IF($B$4=1,('P-Parametri'!$D$31*K21)*(1+'1-Input'!$B$27),('P-Parametri'!$D$31*K21)),0),MAX(0,'8-Kitces'!$C$5-IF($A22&gt;='1-Input'!$C$12,'1-Input'!$B$12,0)))</f>
        <v>13000</v>
      </c>
      <c r="M22" s="31">
        <f>MIN(MAX(IF($B$4=1,('P-Parametri'!$C$31*K21)*(1+'P-Parametri'!$C$29),('P-Parametri'!$C$31*K21)),0),MAX(0,'8-Kitces'!$C$5-IF($A22&gt;='1-Input'!$C$12,'1-Input'!$B$12,0))-L22)</f>
        <v>0</v>
      </c>
      <c r="N22" s="31">
        <f>MAX(0,'8-Kitces'!$C$5-IF($A22&gt;='1-Input'!$C$12,'1-Input'!$B$12,0))-L22-M22</f>
        <v>0</v>
      </c>
    </row>
    <row r="23" spans="1:14">
      <c r="A23" s="10">
        <f>13</f>
        <v>13</v>
      </c>
      <c r="B23" s="11">
        <f>IF(A23=1,'P-Parametri'!$B$30,IF(A23=2,'P-Parametri'!$C$30,'P-Parametri'!$B$29))</f>
        <v>6.8512000000000003E-2</v>
      </c>
      <c r="C23" s="31">
        <f>IF($B$4=1,('P-Parametri'!$B$31*F22)*(1+$B23)*(1-MAX(0,'8-Kitces'!$C$5-IF($A23&gt;='1-Input'!$C$12,'1-Input'!$B$12,0))/(('P-Parametri'!$B$31*F22)*(1+$B23)+('P-Parametri'!$C$31*F22)*(1+'P-Parametri'!$C$29)+('P-Parametri'!$D$31*F22)*(1+'1-Input'!$B$27))),(('P-Parametri'!$B$31*F22)-MAX(0,'8-Kitces'!$C$5-IF($A23&gt;='1-Input'!$C$12,'1-Input'!$B$12,0))*'P-Parametri'!$B$31)*(1+$B23))</f>
        <v>163917.03595959389</v>
      </c>
      <c r="D23" s="31">
        <f>IF($B$4=1,('P-Parametri'!$C$31*F22)*(1+'P-Parametri'!$C$29)*(1-MAX(0,'8-Kitces'!$C$5-IF($A23&gt;='1-Input'!$C$12,'1-Input'!$B$12,0))/(('P-Parametri'!$B$31*F22)*(1+$B23)+('P-Parametri'!$C$31*F22)*(1+'P-Parametri'!$C$29)+('P-Parametri'!$D$31*F22)*(1+'1-Input'!$B$27))),(('P-Parametri'!$C$31*F22)-MAX(0,'8-Kitces'!$C$5-IF($A23&gt;='1-Input'!$C$12,'1-Input'!$B$12,0))*'P-Parametri'!$C$31)*(1+'P-Parametri'!$C$29))</f>
        <v>77086.930768859806</v>
      </c>
      <c r="E23" s="31">
        <f>IF($B$4=1,('P-Parametri'!$D$31*F22)*(1+'1-Input'!$B$27)*(1-MAX(0,'8-Kitces'!$C$5-IF($A23&gt;='1-Input'!$C$12,'1-Input'!$B$12,0))/(('P-Parametri'!$B$31*F22)*(1+$B23)+('P-Parametri'!$C$31*F22)*(1+'P-Parametri'!$C$29)+('P-Parametri'!$D$31*F22)*(1+'1-Input'!$B$27))),(('P-Parametri'!$D$31*F22)-MAX(0,'8-Kitces'!$C$5-IF($A23&gt;='1-Input'!$C$12,'1-Input'!$B$12,0))*'P-Parametri'!$D$31)*(1+'1-Input'!$B$27))</f>
        <v>25475.76047034558</v>
      </c>
      <c r="F23" s="31">
        <f t="shared" si="0"/>
        <v>266479.72719879926</v>
      </c>
      <c r="H23" s="31">
        <f>IF($B$4=1,IF($B$4=1,('P-Parametri'!$B$31*K22)*(1+$B23),('P-Parametri'!$B$31*K22))-N23,(IF($B$4=1,('P-Parametri'!$B$31*K22)*(1+$B23),('P-Parametri'!$B$31*K22))-N23)*(1+$B23))</f>
        <v>171913.59723603586</v>
      </c>
      <c r="I23" s="31">
        <f>IF($B$4=1,IF($B$4=1,('P-Parametri'!$C$31*K22)*(1+'P-Parametri'!$C$29),('P-Parametri'!$C$31*K22))-M23,(IF($B$4=1,('P-Parametri'!$C$31*K22)*(1+'P-Parametri'!$C$29),('P-Parametri'!$C$31*K22))-M23)*(1+'P-Parametri'!$C$29))</f>
        <v>80847.554927888516</v>
      </c>
      <c r="J23" s="31">
        <f>IF($B$4=1,IF($B$4=1,('P-Parametri'!$D$31*K22)*(1+'1-Input'!$B$27),('P-Parametri'!$D$31*K22))-L23,(IF($B$4=1,('P-Parametri'!$D$31*K22)*(1+'1-Input'!$B$27),('P-Parametri'!$D$31*K22))-L23)*(1+'1-Input'!$B$27))</f>
        <v>13718.575034875004</v>
      </c>
      <c r="K23" s="31">
        <f t="shared" si="1"/>
        <v>266479.72719879937</v>
      </c>
      <c r="L23" s="31">
        <f>MIN(MAX(IF($B$4=1,('P-Parametri'!$D$31*K22)*(1+'1-Input'!$B$27),('P-Parametri'!$D$31*K22)),0),MAX(0,'8-Kitces'!$C$5-IF($A23&gt;='1-Input'!$C$12,'1-Input'!$B$12,0)))</f>
        <v>13000</v>
      </c>
      <c r="M23" s="31">
        <f>MIN(MAX(IF($B$4=1,('P-Parametri'!$C$31*K22)*(1+'P-Parametri'!$C$29),('P-Parametri'!$C$31*K22)),0),MAX(0,'8-Kitces'!$C$5-IF($A23&gt;='1-Input'!$C$12,'1-Input'!$B$12,0))-L23)</f>
        <v>0</v>
      </c>
      <c r="N23" s="31">
        <f>MAX(0,'8-Kitces'!$C$5-IF($A23&gt;='1-Input'!$C$12,'1-Input'!$B$12,0))-L23-M23</f>
        <v>0</v>
      </c>
    </row>
    <row r="24" spans="1:14">
      <c r="A24" s="10">
        <f>14</f>
        <v>14</v>
      </c>
      <c r="B24" s="11">
        <f>IF(A24=1,'P-Parametri'!$B$30,IF(A24=2,'P-Parametri'!$C$30,'P-Parametri'!$B$29))</f>
        <v>6.8512000000000003E-2</v>
      </c>
      <c r="C24" s="31">
        <f>IF($B$4=1,('P-Parametri'!$B$31*F23)*(1+$B24)*(1-MAX(0,'8-Kitces'!$C$5-IF($A24&gt;='1-Input'!$C$12,'1-Input'!$B$12,0))/(('P-Parametri'!$B$31*F23)*(1+$B24)+('P-Parametri'!$C$31*F23)*(1+'P-Parametri'!$C$29)+('P-Parametri'!$D$31*F23)*(1+'1-Input'!$B$27))),(('P-Parametri'!$B$31*F23)-MAX(0,'8-Kitces'!$C$5-IF($A24&gt;='1-Input'!$C$12,'1-Input'!$B$12,0))*'P-Parametri'!$B$31)*(1+$B24))</f>
        <v>162845.5104847441</v>
      </c>
      <c r="D24" s="31">
        <f>IF($B$4=1,('P-Parametri'!$C$31*F23)*(1+'P-Parametri'!$C$29)*(1-MAX(0,'8-Kitces'!$C$5-IF($A24&gt;='1-Input'!$C$12,'1-Input'!$B$12,0))/(('P-Parametri'!$B$31*F23)*(1+$B24)+('P-Parametri'!$C$31*F23)*(1+'P-Parametri'!$C$29)+('P-Parametri'!$D$31*F23)*(1+'1-Input'!$B$27))),(('P-Parametri'!$C$31*F23)-MAX(0,'8-Kitces'!$C$5-IF($A24&gt;='1-Input'!$C$12,'1-Input'!$B$12,0))*'P-Parametri'!$C$31)*(1+'P-Parametri'!$C$29))</f>
        <v>76583.013591409283</v>
      </c>
      <c r="E24" s="31">
        <f>IF($B$4=1,('P-Parametri'!$D$31*F23)*(1+'1-Input'!$B$27)*(1-MAX(0,'8-Kitces'!$C$5-IF($A24&gt;='1-Input'!$C$12,'1-Input'!$B$12,0))/(('P-Parametri'!$B$31*F23)*(1+$B24)+('P-Parametri'!$C$31*F23)*(1+'P-Parametri'!$C$29)+('P-Parametri'!$D$31*F23)*(1+'1-Input'!$B$27))),(('P-Parametri'!$D$31*F23)-MAX(0,'8-Kitces'!$C$5-IF($A24&gt;='1-Input'!$C$12,'1-Input'!$B$12,0))*'P-Parametri'!$D$31)*(1+'1-Input'!$B$27))</f>
        <v>25309.225453558945</v>
      </c>
      <c r="F24" s="31">
        <f t="shared" si="0"/>
        <v>264737.74952971231</v>
      </c>
      <c r="H24" s="31">
        <f>IF($B$4=1,IF($B$4=1,('P-Parametri'!$B$31*K23)*(1+$B24),('P-Parametri'!$B$31*K23))-N24,(IF($B$4=1,('P-Parametri'!$B$31*K23)*(1+$B24),('P-Parametri'!$B$31*K23))-N24)*(1+$B24))</f>
        <v>170842.07176118609</v>
      </c>
      <c r="I24" s="31">
        <f>IF($B$4=1,IF($B$4=1,('P-Parametri'!$C$31*K23)*(1+'P-Parametri'!$C$29),('P-Parametri'!$C$31*K23))-M24,(IF($B$4=1,('P-Parametri'!$C$31*K23)*(1+'P-Parametri'!$C$29),('P-Parametri'!$C$31*K23))-M24)*(1+'P-Parametri'!$C$29))</f>
        <v>80343.637750438007</v>
      </c>
      <c r="J24" s="31">
        <f>IF($B$4=1,IF($B$4=1,('P-Parametri'!$D$31*K23)*(1+'1-Input'!$B$27),('P-Parametri'!$D$31*K23))-L24,(IF($B$4=1,('P-Parametri'!$D$31*K23)*(1+'1-Input'!$B$27),('P-Parametri'!$D$31*K23))-L24)*(1+'1-Input'!$B$27))</f>
        <v>13552.04001808837</v>
      </c>
      <c r="K24" s="31">
        <f t="shared" si="1"/>
        <v>264737.74952971248</v>
      </c>
      <c r="L24" s="31">
        <f>MIN(MAX(IF($B$4=1,('P-Parametri'!$D$31*K23)*(1+'1-Input'!$B$27),('P-Parametri'!$D$31*K23)),0),MAX(0,'8-Kitces'!$C$5-IF($A24&gt;='1-Input'!$C$12,'1-Input'!$B$12,0)))</f>
        <v>13000</v>
      </c>
      <c r="M24" s="31">
        <f>MIN(MAX(IF($B$4=1,('P-Parametri'!$C$31*K23)*(1+'P-Parametri'!$C$29),('P-Parametri'!$C$31*K23)),0),MAX(0,'8-Kitces'!$C$5-IF($A24&gt;='1-Input'!$C$12,'1-Input'!$B$12,0))-L24)</f>
        <v>0</v>
      </c>
      <c r="N24" s="31">
        <f>MAX(0,'8-Kitces'!$C$5-IF($A24&gt;='1-Input'!$C$12,'1-Input'!$B$12,0))-L24-M24</f>
        <v>0</v>
      </c>
    </row>
    <row r="25" spans="1:14">
      <c r="A25" s="10">
        <f>15</f>
        <v>15</v>
      </c>
      <c r="B25" s="11">
        <f>IF(A25=1,'P-Parametri'!$B$30,IF(A25=2,'P-Parametri'!$C$30,'P-Parametri'!$B$29))</f>
        <v>6.8512000000000003E-2</v>
      </c>
      <c r="C25" s="31">
        <f>IF($B$4=1,('P-Parametri'!$B$31*F24)*(1+$B25)*(1-MAX(0,'8-Kitces'!$C$5-IF($A25&gt;='1-Input'!$C$12,'1-Input'!$B$12,0))/(('P-Parametri'!$B$31*F24)*(1+$B25)+('P-Parametri'!$C$31*F24)*(1+'P-Parametri'!$C$29)+('P-Parametri'!$D$31*F24)*(1+'1-Input'!$B$27))),(('P-Parametri'!$B$31*F24)-MAX(0,'8-Kitces'!$C$5-IF($A25&gt;='1-Input'!$C$12,'1-Input'!$B$12,0))*'P-Parametri'!$B$31)*(1+$B25))</f>
        <v>161728.71605885326</v>
      </c>
      <c r="D25" s="31">
        <f>IF($B$4=1,('P-Parametri'!$C$31*F24)*(1+'P-Parametri'!$C$29)*(1-MAX(0,'8-Kitces'!$C$5-IF($A25&gt;='1-Input'!$C$12,'1-Input'!$B$12,0))/(('P-Parametri'!$B$31*F24)*(1+$B25)+('P-Parametri'!$C$31*F24)*(1+'P-Parametri'!$C$29)+('P-Parametri'!$D$31*F24)*(1+'1-Input'!$B$27))),(('P-Parametri'!$C$31*F24)-MAX(0,'8-Kitces'!$C$5-IF($A25&gt;='1-Input'!$C$12,'1-Input'!$B$12,0))*'P-Parametri'!$C$31)*(1+'P-Parametri'!$C$29))</f>
        <v>76057.807324179579</v>
      </c>
      <c r="E25" s="31">
        <f>IF($B$4=1,('P-Parametri'!$D$31*F24)*(1+'1-Input'!$B$27)*(1-MAX(0,'8-Kitces'!$C$5-IF($A25&gt;='1-Input'!$C$12,'1-Input'!$B$12,0))/(('P-Parametri'!$B$31*F24)*(1+$B25)+('P-Parametri'!$C$31*F24)*(1+'P-Parametri'!$C$29)+('P-Parametri'!$D$31*F24)*(1+'1-Input'!$B$27))),(('P-Parametri'!$D$31*F24)-MAX(0,'8-Kitces'!$C$5-IF($A25&gt;='1-Input'!$C$12,'1-Input'!$B$12,0))*'P-Parametri'!$D$31)*(1+'1-Input'!$B$27))</f>
        <v>25135.654798611118</v>
      </c>
      <c r="F25" s="31">
        <f t="shared" si="0"/>
        <v>262922.17818164395</v>
      </c>
      <c r="H25" s="31">
        <f>IF($B$4=1,IF($B$4=1,('P-Parametri'!$B$31*K24)*(1+$B25),('P-Parametri'!$B$31*K24))-N25,(IF($B$4=1,('P-Parametri'!$B$31*K24)*(1+$B25),('P-Parametri'!$B$31*K24))-N25)*(1+$B25))</f>
        <v>169725.27733529525</v>
      </c>
      <c r="I25" s="31">
        <f>IF($B$4=1,IF($B$4=1,('P-Parametri'!$C$31*K24)*(1+'P-Parametri'!$C$29),('P-Parametri'!$C$31*K24))-M25,(IF($B$4=1,('P-Parametri'!$C$31*K24)*(1+'P-Parametri'!$C$29),('P-Parametri'!$C$31*K24))-M25)*(1+'P-Parametri'!$C$29))</f>
        <v>79818.431483208304</v>
      </c>
      <c r="J25" s="31">
        <f>IF($B$4=1,IF($B$4=1,('P-Parametri'!$D$31*K24)*(1+'1-Input'!$B$27),('P-Parametri'!$D$31*K24))-L25,(IF($B$4=1,('P-Parametri'!$D$31*K24)*(1+'1-Input'!$B$27),('P-Parametri'!$D$31*K24))-L25)*(1+'1-Input'!$B$27))</f>
        <v>13378.46936314055</v>
      </c>
      <c r="K25" s="31">
        <f t="shared" si="1"/>
        <v>262922.17818164406</v>
      </c>
      <c r="L25" s="31">
        <f>MIN(MAX(IF($B$4=1,('P-Parametri'!$D$31*K24)*(1+'1-Input'!$B$27),('P-Parametri'!$D$31*K24)),0),MAX(0,'8-Kitces'!$C$5-IF($A25&gt;='1-Input'!$C$12,'1-Input'!$B$12,0)))</f>
        <v>13000</v>
      </c>
      <c r="M25" s="31">
        <f>MIN(MAX(IF($B$4=1,('P-Parametri'!$C$31*K24)*(1+'P-Parametri'!$C$29),('P-Parametri'!$C$31*K24)),0),MAX(0,'8-Kitces'!$C$5-IF($A25&gt;='1-Input'!$C$12,'1-Input'!$B$12,0))-L25)</f>
        <v>0</v>
      </c>
      <c r="N25" s="31">
        <f>MAX(0,'8-Kitces'!$C$5-IF($A25&gt;='1-Input'!$C$12,'1-Input'!$B$12,0))-L25-M25</f>
        <v>0</v>
      </c>
    </row>
    <row r="26" spans="1:14">
      <c r="A26" s="10">
        <f>16</f>
        <v>16</v>
      </c>
      <c r="B26" s="11">
        <f>IF(A26=1,'P-Parametri'!$B$30,IF(A26=2,'P-Parametri'!$C$30,'P-Parametri'!$B$29))</f>
        <v>6.8512000000000003E-2</v>
      </c>
      <c r="C26" s="31">
        <f>IF($B$4=1,('P-Parametri'!$B$31*F25)*(1+$B26)*(1-MAX(0,'8-Kitces'!$C$5-IF($A26&gt;='1-Input'!$C$12,'1-Input'!$B$12,0))/(('P-Parametri'!$B$31*F25)*(1+$B26)+('P-Parametri'!$C$31*F25)*(1+'P-Parametri'!$C$29)+('P-Parametri'!$D$31*F25)*(1+'1-Input'!$B$27))),(('P-Parametri'!$B$31*F25)-MAX(0,'8-Kitces'!$C$5-IF($A26&gt;='1-Input'!$C$12,'1-Input'!$B$12,0))*'P-Parametri'!$B$31)*(1+$B26))</f>
        <v>160564.74019549292</v>
      </c>
      <c r="D26" s="31">
        <f>IF($B$4=1,('P-Parametri'!$C$31*F25)*(1+'P-Parametri'!$C$29)*(1-MAX(0,'8-Kitces'!$C$5-IF($A26&gt;='1-Input'!$C$12,'1-Input'!$B$12,0))/(('P-Parametri'!$B$31*F25)*(1+$B26)+('P-Parametri'!$C$31*F25)*(1+'P-Parametri'!$C$29)+('P-Parametri'!$D$31*F25)*(1+'1-Input'!$B$27))),(('P-Parametri'!$C$31*F25)-MAX(0,'8-Kitces'!$C$5-IF($A26&gt;='1-Input'!$C$12,'1-Input'!$B$12,0))*'P-Parametri'!$C$31)*(1+'P-Parametri'!$C$29))</f>
        <v>75510.41256273695</v>
      </c>
      <c r="E26" s="31">
        <f>IF($B$4=1,('P-Parametri'!$D$31*F25)*(1+'1-Input'!$B$27)*(1-MAX(0,'8-Kitces'!$C$5-IF($A26&gt;='1-Input'!$C$12,'1-Input'!$B$12,0))/(('P-Parametri'!$B$31*F25)*(1+$B26)+('P-Parametri'!$C$31*F25)*(1+'P-Parametri'!$C$29)+('P-Parametri'!$D$31*F25)*(1+'1-Input'!$B$27))),(('P-Parametri'!$D$31*F25)-MAX(0,'8-Kitces'!$C$5-IF($A26&gt;='1-Input'!$C$12,'1-Input'!$B$12,0))*'P-Parametri'!$D$31)*(1+'1-Input'!$B$27))</f>
        <v>24954.751269489592</v>
      </c>
      <c r="F26" s="31">
        <f t="shared" si="0"/>
        <v>261029.90402771946</v>
      </c>
      <c r="H26" s="31">
        <f>IF($B$4=1,IF($B$4=1,('P-Parametri'!$B$31*K25)*(1+$B26),('P-Parametri'!$B$31*K25))-N26,(IF($B$4=1,('P-Parametri'!$B$31*K25)*(1+$B26),('P-Parametri'!$B$31*K25))-N26)*(1+$B26))</f>
        <v>168561.30147193492</v>
      </c>
      <c r="I26" s="31">
        <f>IF($B$4=1,IF($B$4=1,('P-Parametri'!$C$31*K25)*(1+'P-Parametri'!$C$29),('P-Parametri'!$C$31*K25))-M26,(IF($B$4=1,('P-Parametri'!$C$31*K25)*(1+'P-Parametri'!$C$29),('P-Parametri'!$C$31*K25))-M26)*(1+'P-Parametri'!$C$29))</f>
        <v>79271.036721765675</v>
      </c>
      <c r="J26" s="31">
        <f>IF($B$4=1,IF($B$4=1,('P-Parametri'!$D$31*K25)*(1+'1-Input'!$B$27),('P-Parametri'!$D$31*K25))-L26,(IF($B$4=1,('P-Parametri'!$D$31*K25)*(1+'1-Input'!$B$27),('P-Parametri'!$D$31*K25))-L26)*(1+'1-Input'!$B$27))</f>
        <v>13197.565834019017</v>
      </c>
      <c r="K26" s="31">
        <f t="shared" si="1"/>
        <v>261029.9040277196</v>
      </c>
      <c r="L26" s="31">
        <f>MIN(MAX(IF($B$4=1,('P-Parametri'!$D$31*K25)*(1+'1-Input'!$B$27),('P-Parametri'!$D$31*K25)),0),MAX(0,'8-Kitces'!$C$5-IF($A26&gt;='1-Input'!$C$12,'1-Input'!$B$12,0)))</f>
        <v>13000</v>
      </c>
      <c r="M26" s="31">
        <f>MIN(MAX(IF($B$4=1,('P-Parametri'!$C$31*K25)*(1+'P-Parametri'!$C$29),('P-Parametri'!$C$31*K25)),0),MAX(0,'8-Kitces'!$C$5-IF($A26&gt;='1-Input'!$C$12,'1-Input'!$B$12,0))-L26)</f>
        <v>0</v>
      </c>
      <c r="N26" s="31">
        <f>MAX(0,'8-Kitces'!$C$5-IF($A26&gt;='1-Input'!$C$12,'1-Input'!$B$12,0))-L26-M26</f>
        <v>0</v>
      </c>
    </row>
    <row r="27" spans="1:14">
      <c r="A27" s="10">
        <f>17</f>
        <v>17</v>
      </c>
      <c r="B27" s="11">
        <f>IF(A27=1,'P-Parametri'!$B$30,IF(A27=2,'P-Parametri'!$C$30,'P-Parametri'!$B$29))</f>
        <v>6.8512000000000003E-2</v>
      </c>
      <c r="C27" s="31">
        <f>IF($B$4=1,('P-Parametri'!$B$31*F26)*(1+$B27)*(1-MAX(0,'8-Kitces'!$C$5-IF($A27&gt;='1-Input'!$C$12,'1-Input'!$B$12,0))/(('P-Parametri'!$B$31*F26)*(1+$B27)+('P-Parametri'!$C$31*F26)*(1+'P-Parametri'!$C$29)+('P-Parametri'!$D$31*F26)*(1+'1-Input'!$B$27))),(('P-Parametri'!$B$31*F26)-MAX(0,'8-Kitces'!$C$5-IF($A27&gt;='1-Input'!$C$12,'1-Input'!$B$12,0))*'P-Parametri'!$B$31)*(1+$B27))</f>
        <v>159351.58961103801</v>
      </c>
      <c r="D27" s="31">
        <f>IF($B$4=1,('P-Parametri'!$C$31*F26)*(1+'P-Parametri'!$C$29)*(1-MAX(0,'8-Kitces'!$C$5-IF($A27&gt;='1-Input'!$C$12,'1-Input'!$B$12,0))/(('P-Parametri'!$B$31*F26)*(1+$B27)+('P-Parametri'!$C$31*F26)*(1+'P-Parametri'!$C$29)+('P-Parametri'!$D$31*F26)*(1+'1-Input'!$B$27))),(('P-Parametri'!$C$31*F26)-MAX(0,'8-Kitces'!$C$5-IF($A27&gt;='1-Input'!$C$12,'1-Input'!$B$12,0))*'P-Parametri'!$C$31)*(1+'P-Parametri'!$C$29))</f>
        <v>74939.891905328725</v>
      </c>
      <c r="E27" s="31">
        <f>IF($B$4=1,('P-Parametri'!$D$31*F26)*(1+'1-Input'!$B$27)*(1-MAX(0,'8-Kitces'!$C$5-IF($A27&gt;='1-Input'!$C$12,'1-Input'!$B$12,0))/(('P-Parametri'!$B$31*F26)*(1+$B27)+('P-Parametri'!$C$31*F26)*(1+'P-Parametri'!$C$29)+('P-Parametri'!$D$31*F26)*(1+'1-Input'!$B$27))),(('P-Parametri'!$D$31*F26)-MAX(0,'8-Kitces'!$C$5-IF($A27&gt;='1-Input'!$C$12,'1-Input'!$B$12,0))*'P-Parametri'!$D$31)*(1+'1-Input'!$B$27))</f>
        <v>24766.205072792553</v>
      </c>
      <c r="F27" s="31">
        <f t="shared" si="0"/>
        <v>259057.6865891593</v>
      </c>
      <c r="H27" s="31">
        <f>IF($B$4=1,IF($B$4=1,('P-Parametri'!$B$31*K26)*(1+$B27),('P-Parametri'!$B$31*K26))-N27,(IF($B$4=1,('P-Parametri'!$B$31*K26)*(1+$B27),('P-Parametri'!$B$31*K26))-N27)*(1+$B27))</f>
        <v>167348.15088748003</v>
      </c>
      <c r="I27" s="31">
        <f>IF($B$4=1,IF($B$4=1,('P-Parametri'!$C$31*K26)*(1+'P-Parametri'!$C$29),('P-Parametri'!$C$31*K26))-M27,(IF($B$4=1,('P-Parametri'!$C$31*K26)*(1+'P-Parametri'!$C$29),('P-Parametri'!$C$31*K26))-M27)*(1+'P-Parametri'!$C$29))</f>
        <v>78700.516064357449</v>
      </c>
      <c r="J27" s="31">
        <f>IF($B$4=1,IF($B$4=1,('P-Parametri'!$D$31*K26)*(1+'1-Input'!$B$27),('P-Parametri'!$D$31*K26))-L27,(IF($B$4=1,('P-Parametri'!$D$31*K26)*(1+'1-Input'!$B$27),('P-Parametri'!$D$31*K26))-L27)*(1+'1-Input'!$B$27))</f>
        <v>13009.019637321981</v>
      </c>
      <c r="K27" s="31">
        <f t="shared" si="1"/>
        <v>259057.68658915948</v>
      </c>
      <c r="L27" s="31">
        <f>MIN(MAX(IF($B$4=1,('P-Parametri'!$D$31*K26)*(1+'1-Input'!$B$27),('P-Parametri'!$D$31*K26)),0),MAX(0,'8-Kitces'!$C$5-IF($A27&gt;='1-Input'!$C$12,'1-Input'!$B$12,0)))</f>
        <v>13000</v>
      </c>
      <c r="M27" s="31">
        <f>MIN(MAX(IF($B$4=1,('P-Parametri'!$C$31*K26)*(1+'P-Parametri'!$C$29),('P-Parametri'!$C$31*K26)),0),MAX(0,'8-Kitces'!$C$5-IF($A27&gt;='1-Input'!$C$12,'1-Input'!$B$12,0))-L27)</f>
        <v>0</v>
      </c>
      <c r="N27" s="31">
        <f>MAX(0,'8-Kitces'!$C$5-IF($A27&gt;='1-Input'!$C$12,'1-Input'!$B$12,0))-L27-M27</f>
        <v>0</v>
      </c>
    </row>
    <row r="28" spans="1:14">
      <c r="A28" s="10">
        <f>18</f>
        <v>18</v>
      </c>
      <c r="B28" s="11">
        <f>IF(A28=1,'P-Parametri'!$B$30,IF(A28=2,'P-Parametri'!$C$30,'P-Parametri'!$B$29))</f>
        <v>6.8512000000000003E-2</v>
      </c>
      <c r="C28" s="31">
        <f>IF($B$4=1,('P-Parametri'!$B$31*F27)*(1+$B28)*(1-MAX(0,'8-Kitces'!$C$5-IF($A28&gt;='1-Input'!$C$12,'1-Input'!$B$12,0))/(('P-Parametri'!$B$31*F27)*(1+$B28)+('P-Parametri'!$C$31*F27)*(1+'P-Parametri'!$C$29)+('P-Parametri'!$D$31*F27)*(1+'1-Input'!$B$27))),(('P-Parametri'!$B$31*F27)-MAX(0,'8-Kitces'!$C$5-IF($A28&gt;='1-Input'!$C$12,'1-Input'!$B$12,0))*'P-Parametri'!$B$31)*(1+$B28))</f>
        <v>158087.18681121152</v>
      </c>
      <c r="D28" s="31">
        <f>IF($B$4=1,('P-Parametri'!$C$31*F27)*(1+'P-Parametri'!$C$29)*(1-MAX(0,'8-Kitces'!$C$5-IF($A28&gt;='1-Input'!$C$12,'1-Input'!$B$12,0))/(('P-Parametri'!$B$31*F27)*(1+$B28)+('P-Parametri'!$C$31*F27)*(1+'P-Parametri'!$C$29)+('P-Parametri'!$D$31*F27)*(1+'1-Input'!$B$27))),(('P-Parametri'!$C$31*F27)-MAX(0,'8-Kitces'!$C$5-IF($A28&gt;='1-Input'!$C$12,'1-Input'!$B$12,0))*'P-Parametri'!$C$31)*(1+'P-Parametri'!$C$29))</f>
        <v>74345.268347602832</v>
      </c>
      <c r="E28" s="31">
        <f>IF($B$4=1,('P-Parametri'!$D$31*F27)*(1+'1-Input'!$B$27)*(1-MAX(0,'8-Kitces'!$C$5-IF($A28&gt;='1-Input'!$C$12,'1-Input'!$B$12,0))/(('P-Parametri'!$B$31*F27)*(1+$B28)+('P-Parametri'!$C$31*F27)*(1+'P-Parametri'!$C$29)+('P-Parametri'!$D$31*F27)*(1+'1-Input'!$B$27))),(('P-Parametri'!$D$31*F27)-MAX(0,'8-Kitces'!$C$5-IF($A28&gt;='1-Input'!$C$12,'1-Input'!$B$12,0))*'P-Parametri'!$D$31)*(1+'1-Input'!$B$27))</f>
        <v>24569.69332721442</v>
      </c>
      <c r="F28" s="31">
        <f t="shared" si="0"/>
        <v>257002.14848602877</v>
      </c>
      <c r="H28" s="31">
        <f>IF($B$4=1,IF($B$4=1,('P-Parametri'!$B$31*K27)*(1+$B28),('P-Parametri'!$B$31*K27))-N28,(IF($B$4=1,('P-Parametri'!$B$31*K27)*(1+$B28),('P-Parametri'!$B$31*K27))-N28)*(1+$B28))</f>
        <v>166083.74808765357</v>
      </c>
      <c r="I28" s="31">
        <f>IF($B$4=1,IF($B$4=1,('P-Parametri'!$C$31*K27)*(1+'P-Parametri'!$C$29),('P-Parametri'!$C$31*K27))-M28,(IF($B$4=1,('P-Parametri'!$C$31*K27)*(1+'P-Parametri'!$C$29),('P-Parametri'!$C$31*K27))-M28)*(1+'P-Parametri'!$C$29))</f>
        <v>78105.892506631571</v>
      </c>
      <c r="J28" s="31">
        <f>IF($B$4=1,IF($B$4=1,('P-Parametri'!$D$31*K27)*(1+'1-Input'!$B$27),('P-Parametri'!$D$31*K27))-L28,(IF($B$4=1,('P-Parametri'!$D$31*K27)*(1+'1-Input'!$B$27),('P-Parametri'!$D$31*K27))-L28)*(1+'1-Input'!$B$27))</f>
        <v>12812.507891743851</v>
      </c>
      <c r="K28" s="31">
        <f t="shared" si="1"/>
        <v>257002.14848602901</v>
      </c>
      <c r="L28" s="31">
        <f>MIN(MAX(IF($B$4=1,('P-Parametri'!$D$31*K27)*(1+'1-Input'!$B$27),('P-Parametri'!$D$31*K27)),0),MAX(0,'8-Kitces'!$C$5-IF($A28&gt;='1-Input'!$C$12,'1-Input'!$B$12,0)))</f>
        <v>13000</v>
      </c>
      <c r="M28" s="31">
        <f>MIN(MAX(IF($B$4=1,('P-Parametri'!$C$31*K27)*(1+'P-Parametri'!$C$29),('P-Parametri'!$C$31*K27)),0),MAX(0,'8-Kitces'!$C$5-IF($A28&gt;='1-Input'!$C$12,'1-Input'!$B$12,0))-L28)</f>
        <v>0</v>
      </c>
      <c r="N28" s="31">
        <f>MAX(0,'8-Kitces'!$C$5-IF($A28&gt;='1-Input'!$C$12,'1-Input'!$B$12,0))-L28-M28</f>
        <v>0</v>
      </c>
    </row>
    <row r="29" spans="1:14">
      <c r="A29" s="10">
        <f>19</f>
        <v>19</v>
      </c>
      <c r="B29" s="11">
        <f>IF(A29=1,'P-Parametri'!$B$30,IF(A29=2,'P-Parametri'!$C$30,'P-Parametri'!$B$29))</f>
        <v>6.8512000000000003E-2</v>
      </c>
      <c r="C29" s="31">
        <f>IF($B$4=1,('P-Parametri'!$B$31*F28)*(1+$B29)*(1-MAX(0,'8-Kitces'!$C$5-IF($A29&gt;='1-Input'!$C$12,'1-Input'!$B$12,0))/(('P-Parametri'!$B$31*F28)*(1+$B29)+('P-Parametri'!$C$31*F28)*(1+'P-Parametri'!$C$29)+('P-Parametri'!$D$31*F28)*(1+'1-Input'!$B$27))),(('P-Parametri'!$B$31*F28)-MAX(0,'8-Kitces'!$C$5-IF($A29&gt;='1-Input'!$C$12,'1-Input'!$B$12,0))*'P-Parametri'!$B$31)*(1+$B29))</f>
        <v>156769.36653342019</v>
      </c>
      <c r="D29" s="31">
        <f>IF($B$4=1,('P-Parametri'!$C$31*F28)*(1+'P-Parametri'!$C$29)*(1-MAX(0,'8-Kitces'!$C$5-IF($A29&gt;='1-Input'!$C$12,'1-Input'!$B$12,0))/(('P-Parametri'!$B$31*F28)*(1+$B29)+('P-Parametri'!$C$31*F28)*(1+'P-Parametri'!$C$29)+('P-Parametri'!$D$31*F28)*(1+'1-Input'!$B$27))),(('P-Parametri'!$C$31*F28)-MAX(0,'8-Kitces'!$C$5-IF($A29&gt;='1-Input'!$C$12,'1-Input'!$B$12,0))*'P-Parametri'!$C$31)*(1+'P-Parametri'!$C$29))</f>
        <v>73725.523609508979</v>
      </c>
      <c r="E29" s="31">
        <f>IF($B$4=1,('P-Parametri'!$D$31*F28)*(1+'1-Input'!$B$27)*(1-MAX(0,'8-Kitces'!$C$5-IF($A29&gt;='1-Input'!$C$12,'1-Input'!$B$12,0))/(('P-Parametri'!$B$31*F28)*(1+$B29)+('P-Parametri'!$C$31*F28)*(1+'P-Parametri'!$C$29)+('P-Parametri'!$D$31*F28)*(1+'1-Input'!$B$27))),(('P-Parametri'!$D$31*F28)-MAX(0,'8-Kitces'!$C$5-IF($A29&gt;='1-Input'!$C$12,'1-Input'!$B$12,0))*'P-Parametri'!$D$31)*(1+'1-Input'!$B$27))</f>
        <v>24364.879510618492</v>
      </c>
      <c r="F29" s="31">
        <f t="shared" si="0"/>
        <v>254859.76965354764</v>
      </c>
      <c r="H29" s="31">
        <f>IF($B$4=1,IF($B$4=1,('P-Parametri'!$B$31*K28)*(1+$B29),('P-Parametri'!$B$31*K28))-N29,(IF($B$4=1,('P-Parametri'!$B$31*K28)*(1+$B29),('P-Parametri'!$B$31*K28))-N29)*(1+$B29))</f>
        <v>164765.92780986227</v>
      </c>
      <c r="I29" s="31">
        <f>IF($B$4=1,IF($B$4=1,('P-Parametri'!$C$31*K28)*(1+'P-Parametri'!$C$29),('P-Parametri'!$C$31*K28))-M29,(IF($B$4=1,('P-Parametri'!$C$31*K28)*(1+'P-Parametri'!$C$29),('P-Parametri'!$C$31*K28))-M29)*(1+'P-Parametri'!$C$29))</f>
        <v>77486.147768537732</v>
      </c>
      <c r="J29" s="31">
        <f>IF($B$4=1,IF($B$4=1,('P-Parametri'!$D$31*K28)*(1+'1-Input'!$B$27),('P-Parametri'!$D$31*K28))-L29,(IF($B$4=1,('P-Parametri'!$D$31*K28)*(1+'1-Input'!$B$27),('P-Parametri'!$D$31*K28))-L29)*(1+'1-Input'!$B$27))</f>
        <v>12607.694075147931</v>
      </c>
      <c r="K29" s="31">
        <f t="shared" si="1"/>
        <v>254859.76965354793</v>
      </c>
      <c r="L29" s="31">
        <f>MIN(MAX(IF($B$4=1,('P-Parametri'!$D$31*K28)*(1+'1-Input'!$B$27),('P-Parametri'!$D$31*K28)),0),MAX(0,'8-Kitces'!$C$5-IF($A29&gt;='1-Input'!$C$12,'1-Input'!$B$12,0)))</f>
        <v>13000</v>
      </c>
      <c r="M29" s="31">
        <f>MIN(MAX(IF($B$4=1,('P-Parametri'!$C$31*K28)*(1+'P-Parametri'!$C$29),('P-Parametri'!$C$31*K28)),0),MAX(0,'8-Kitces'!$C$5-IF($A29&gt;='1-Input'!$C$12,'1-Input'!$B$12,0))-L29)</f>
        <v>0</v>
      </c>
      <c r="N29" s="31">
        <f>MAX(0,'8-Kitces'!$C$5-IF($A29&gt;='1-Input'!$C$12,'1-Input'!$B$12,0))-L29-M29</f>
        <v>0</v>
      </c>
    </row>
    <row r="30" spans="1:14">
      <c r="A30" s="10">
        <f>20</f>
        <v>20</v>
      </c>
      <c r="B30" s="11">
        <f>IF(A30=1,'P-Parametri'!$B$30,IF(A30=2,'P-Parametri'!$C$30,'P-Parametri'!$B$29))</f>
        <v>6.8512000000000003E-2</v>
      </c>
      <c r="C30" s="31">
        <f>IF($B$4=1,('P-Parametri'!$B$31*F29)*(1+$B30)*(1-MAX(0,'8-Kitces'!$C$5-IF($A30&gt;='1-Input'!$C$12,'1-Input'!$B$12,0))/(('P-Parametri'!$B$31*F29)*(1+$B30)+('P-Parametri'!$C$31*F29)*(1+'P-Parametri'!$C$29)+('P-Parametri'!$D$31*F29)*(1+'1-Input'!$B$27))),(('P-Parametri'!$B$31*F29)-MAX(0,'8-Kitces'!$C$5-IF($A30&gt;='1-Input'!$C$12,'1-Input'!$B$12,0))*'P-Parametri'!$B$31)*(1+$B30))</f>
        <v>155395.87203878898</v>
      </c>
      <c r="D30" s="31">
        <f>IF($B$4=1,('P-Parametri'!$C$31*F29)*(1+'P-Parametri'!$C$29)*(1-MAX(0,'8-Kitces'!$C$5-IF($A30&gt;='1-Input'!$C$12,'1-Input'!$B$12,0))/(('P-Parametri'!$B$31*F29)*(1+$B30)+('P-Parametri'!$C$31*F29)*(1+'P-Parametri'!$C$29)+('P-Parametri'!$D$31*F29)*(1+'1-Input'!$B$27))),(('P-Parametri'!$C$31*F29)-MAX(0,'8-Kitces'!$C$5-IF($A30&gt;='1-Input'!$C$12,'1-Input'!$B$12,0))*'P-Parametri'!$C$31)*(1+'P-Parametri'!$C$29))</f>
        <v>73079.596391515923</v>
      </c>
      <c r="E30" s="31">
        <f>IF($B$4=1,('P-Parametri'!$D$31*F29)*(1+'1-Input'!$B$27)*(1-MAX(0,'8-Kitces'!$C$5-IF($A30&gt;='1-Input'!$C$12,'1-Input'!$B$12,0))/(('P-Parametri'!$B$31*F29)*(1+$B30)+('P-Parametri'!$C$31*F29)*(1+'P-Parametri'!$C$29)+('P-Parametri'!$D$31*F29)*(1+'1-Input'!$B$27))),(('P-Parametri'!$D$31*F29)-MAX(0,'8-Kitces'!$C$5-IF($A30&gt;='1-Input'!$C$12,'1-Input'!$B$12,0))*'P-Parametri'!$D$31)*(1+'1-Input'!$B$27))</f>
        <v>24151.412883750076</v>
      </c>
      <c r="F30" s="31">
        <f t="shared" si="0"/>
        <v>252626.88131405498</v>
      </c>
      <c r="H30" s="31">
        <f>IF($B$4=1,IF($B$4=1,('P-Parametri'!$B$31*K29)*(1+$B30),('P-Parametri'!$B$31*K29))-N30,(IF($B$4=1,('P-Parametri'!$B$31*K29)*(1+$B30),('P-Parametri'!$B$31*K29))-N30)*(1+$B30))</f>
        <v>163392.43331523109</v>
      </c>
      <c r="I30" s="31">
        <f>IF($B$4=1,IF($B$4=1,('P-Parametri'!$C$31*K29)*(1+'P-Parametri'!$C$29),('P-Parametri'!$C$31*K29))-M30,(IF($B$4=1,('P-Parametri'!$C$31*K29)*(1+'P-Parametri'!$C$29),('P-Parametri'!$C$31*K29))-M30)*(1+'P-Parametri'!$C$29))</f>
        <v>76840.220550544691</v>
      </c>
      <c r="J30" s="31">
        <f>IF($B$4=1,IF($B$4=1,('P-Parametri'!$D$31*K29)*(1+'1-Input'!$B$27),('P-Parametri'!$D$31*K29))-L30,(IF($B$4=1,('P-Parametri'!$D$31*K29)*(1+'1-Input'!$B$27),('P-Parametri'!$D$31*K29))-L30)*(1+'1-Input'!$B$27))</f>
        <v>12394.227448279518</v>
      </c>
      <c r="K30" s="31">
        <f t="shared" si="1"/>
        <v>252626.8813140553</v>
      </c>
      <c r="L30" s="31">
        <f>MIN(MAX(IF($B$4=1,('P-Parametri'!$D$31*K29)*(1+'1-Input'!$B$27),('P-Parametri'!$D$31*K29)),0),MAX(0,'8-Kitces'!$C$5-IF($A30&gt;='1-Input'!$C$12,'1-Input'!$B$12,0)))</f>
        <v>13000</v>
      </c>
      <c r="M30" s="31">
        <f>MIN(MAX(IF($B$4=1,('P-Parametri'!$C$31*K29)*(1+'P-Parametri'!$C$29),('P-Parametri'!$C$31*K29)),0),MAX(0,'8-Kitces'!$C$5-IF($A30&gt;='1-Input'!$C$12,'1-Input'!$B$12,0))-L30)</f>
        <v>0</v>
      </c>
      <c r="N30" s="31">
        <f>MAX(0,'8-Kitces'!$C$5-IF($A30&gt;='1-Input'!$C$12,'1-Input'!$B$12,0))-L30-M30</f>
        <v>0</v>
      </c>
    </row>
    <row r="31" spans="1:14">
      <c r="A31" s="10">
        <f>21</f>
        <v>21</v>
      </c>
      <c r="B31" s="11">
        <f>IF(A31=1,'P-Parametri'!$B$30,IF(A31=2,'P-Parametri'!$C$30,'P-Parametri'!$B$29))</f>
        <v>6.8512000000000003E-2</v>
      </c>
      <c r="C31" s="31">
        <f>IF($B$4=1,('P-Parametri'!$B$31*F30)*(1+$B31)*(1-MAX(0,'8-Kitces'!$C$5-IF($A31&gt;='1-Input'!$C$12,'1-Input'!$B$12,0))/(('P-Parametri'!$B$31*F30)*(1+$B31)+('P-Parametri'!$C$31*F30)*(1+'P-Parametri'!$C$29)+('P-Parametri'!$D$31*F30)*(1+'1-Input'!$B$27))),(('P-Parametri'!$B$31*F30)-MAX(0,'8-Kitces'!$C$5-IF($A31&gt;='1-Input'!$C$12,'1-Input'!$B$12,0))*'P-Parametri'!$B$31)*(1+$B31))</f>
        <v>153964.35124754417</v>
      </c>
      <c r="D31" s="31">
        <f>IF($B$4=1,('P-Parametri'!$C$31*F30)*(1+'P-Parametri'!$C$29)*(1-MAX(0,'8-Kitces'!$C$5-IF($A31&gt;='1-Input'!$C$12,'1-Input'!$B$12,0))/(('P-Parametri'!$B$31*F30)*(1+$B31)+('P-Parametri'!$C$31*F30)*(1+'P-Parametri'!$C$29)+('P-Parametri'!$D$31*F30)*(1+'1-Input'!$B$27))),(('P-Parametri'!$C$31*F30)-MAX(0,'8-Kitces'!$C$5-IF($A31&gt;='1-Input'!$C$12,'1-Input'!$B$12,0))*'P-Parametri'!$C$31)*(1+'P-Parametri'!$C$29))</f>
        <v>72406.380557158889</v>
      </c>
      <c r="E31" s="31">
        <f>IF($B$4=1,('P-Parametri'!$D$31*F30)*(1+'1-Input'!$B$27)*(1-MAX(0,'8-Kitces'!$C$5-IF($A31&gt;='1-Input'!$C$12,'1-Input'!$B$12,0))/(('P-Parametri'!$B$31*F30)*(1+$B31)+('P-Parametri'!$C$31*F30)*(1+'P-Parametri'!$C$29)+('P-Parametri'!$D$31*F30)*(1+'1-Input'!$B$27))),(('P-Parametri'!$D$31*F30)-MAX(0,'8-Kitces'!$C$5-IF($A31&gt;='1-Input'!$C$12,'1-Input'!$B$12,0))*'P-Parametri'!$D$31)*(1+'1-Input'!$B$27))</f>
        <v>23928.927889603023</v>
      </c>
      <c r="F31" s="31">
        <f t="shared" si="0"/>
        <v>250299.65969430609</v>
      </c>
      <c r="H31" s="31">
        <f>IF($B$4=1,IF($B$4=1,('P-Parametri'!$B$31*K30)*(1+$B31),('P-Parametri'!$B$31*K30))-N31,(IF($B$4=1,('P-Parametri'!$B$31*K30)*(1+$B31),('P-Parametri'!$B$31*K30))-N31)*(1+$B31))</f>
        <v>161960.91252398631</v>
      </c>
      <c r="I31" s="31">
        <f>IF($B$4=1,IF($B$4=1,('P-Parametri'!$C$31*K30)*(1+'P-Parametri'!$C$29),('P-Parametri'!$C$31*K30))-M31,(IF($B$4=1,('P-Parametri'!$C$31*K30)*(1+'P-Parametri'!$C$29),('P-Parametri'!$C$31*K30))-M31)*(1+'P-Parametri'!$C$29))</f>
        <v>76167.004716187672</v>
      </c>
      <c r="J31" s="31">
        <f>IF($B$4=1,IF($B$4=1,('P-Parametri'!$D$31*K30)*(1+'1-Input'!$B$27),('P-Parametri'!$D$31*K30))-L31,(IF($B$4=1,('P-Parametri'!$D$31*K30)*(1+'1-Input'!$B$27),('P-Parametri'!$D$31*K30))-L31)*(1+'1-Input'!$B$27))</f>
        <v>12171.742454132469</v>
      </c>
      <c r="K31" s="31">
        <f t="shared" si="1"/>
        <v>250299.65969430644</v>
      </c>
      <c r="L31" s="31">
        <f>MIN(MAX(IF($B$4=1,('P-Parametri'!$D$31*K30)*(1+'1-Input'!$B$27),('P-Parametri'!$D$31*K30)),0),MAX(0,'8-Kitces'!$C$5-IF($A31&gt;='1-Input'!$C$12,'1-Input'!$B$12,0)))</f>
        <v>13000</v>
      </c>
      <c r="M31" s="31">
        <f>MIN(MAX(IF($B$4=1,('P-Parametri'!$C$31*K30)*(1+'P-Parametri'!$C$29),('P-Parametri'!$C$31*K30)),0),MAX(0,'8-Kitces'!$C$5-IF($A31&gt;='1-Input'!$C$12,'1-Input'!$B$12,0))-L31)</f>
        <v>0</v>
      </c>
      <c r="N31" s="31">
        <f>MAX(0,'8-Kitces'!$C$5-IF($A31&gt;='1-Input'!$C$12,'1-Input'!$B$12,0))-L31-M31</f>
        <v>0</v>
      </c>
    </row>
    <row r="32" spans="1:14">
      <c r="A32" s="10">
        <f>22</f>
        <v>22</v>
      </c>
      <c r="B32" s="11">
        <f>IF(A32=1,'P-Parametri'!$B$30,IF(A32=2,'P-Parametri'!$C$30,'P-Parametri'!$B$29))</f>
        <v>6.8512000000000003E-2</v>
      </c>
      <c r="C32" s="31">
        <f>IF($B$4=1,('P-Parametri'!$B$31*F31)*(1+$B32)*(1-MAX(0,'8-Kitces'!$C$5-IF($A32&gt;='1-Input'!$C$12,'1-Input'!$B$12,0))/(('P-Parametri'!$B$31*F31)*(1+$B32)+('P-Parametri'!$C$31*F31)*(1+'P-Parametri'!$C$29)+('P-Parametri'!$D$31*F31)*(1+'1-Input'!$B$27))),(('P-Parametri'!$B$31*F31)-MAX(0,'8-Kitces'!$C$5-IF($A32&gt;='1-Input'!$C$12,'1-Input'!$B$12,0))*'P-Parametri'!$B$31)*(1+$B32))</f>
        <v>152472.35271112752</v>
      </c>
      <c r="D32" s="31">
        <f>IF($B$4=1,('P-Parametri'!$C$31*F31)*(1+'P-Parametri'!$C$29)*(1-MAX(0,'8-Kitces'!$C$5-IF($A32&gt;='1-Input'!$C$12,'1-Input'!$B$12,0))/(('P-Parametri'!$B$31*F31)*(1+$B32)+('P-Parametri'!$C$31*F31)*(1+'P-Parametri'!$C$29)+('P-Parametri'!$D$31*F31)*(1+'1-Input'!$B$27))),(('P-Parametri'!$C$31*F31)-MAX(0,'8-Kitces'!$C$5-IF($A32&gt;='1-Input'!$C$12,'1-Input'!$B$12,0))*'P-Parametri'!$C$31)*(1+'P-Parametri'!$C$29))</f>
        <v>71704.723238804596</v>
      </c>
      <c r="E32" s="31">
        <f>IF($B$4=1,('P-Parametri'!$D$31*F31)*(1+'1-Input'!$B$27)*(1-MAX(0,'8-Kitces'!$C$5-IF($A32&gt;='1-Input'!$C$12,'1-Input'!$B$12,0))/(('P-Parametri'!$B$31*F31)*(1+$B32)+('P-Parametri'!$C$31*F31)*(1+'P-Parametri'!$C$29)+('P-Parametri'!$D$31*F31)*(1+'1-Input'!$B$27))),(('P-Parametri'!$D$31*F31)-MAX(0,'8-Kitces'!$C$5-IF($A32&gt;='1-Input'!$C$12,'1-Input'!$B$12,0))*'P-Parametri'!$D$31)*(1+'1-Input'!$B$27))</f>
        <v>23697.043527411246</v>
      </c>
      <c r="F32" s="31">
        <f t="shared" si="0"/>
        <v>247874.11947734334</v>
      </c>
      <c r="H32" s="31">
        <f>IF($B$4=1,IF($B$4=1,('P-Parametri'!$B$31*K31)*(1+$B32),('P-Parametri'!$B$31*K31))-N32,(IF($B$4=1,('P-Parametri'!$B$31*K31)*(1+$B32),('P-Parametri'!$B$31*K31))-N32)*(1+$B32))</f>
        <v>160468.91398756963</v>
      </c>
      <c r="I32" s="31">
        <f>IF($B$4=1,IF($B$4=1,('P-Parametri'!$C$31*K31)*(1+'P-Parametri'!$C$29),('P-Parametri'!$C$31*K31))-M32,(IF($B$4=1,('P-Parametri'!$C$31*K31)*(1+'P-Parametri'!$C$29),('P-Parametri'!$C$31*K31))-M32)*(1+'P-Parametri'!$C$29))</f>
        <v>75465.347397833379</v>
      </c>
      <c r="J32" s="31">
        <f>IF($B$4=1,IF($B$4=1,('P-Parametri'!$D$31*K31)*(1+'1-Input'!$B$27),('P-Parametri'!$D$31*K31))-L32,(IF($B$4=1,('P-Parametri'!$D$31*K31)*(1+'1-Input'!$B$27),('P-Parametri'!$D$31*K31))-L32)*(1+'1-Input'!$B$27))</f>
        <v>11939.858091940696</v>
      </c>
      <c r="K32" s="31">
        <f t="shared" si="1"/>
        <v>247874.11947734369</v>
      </c>
      <c r="L32" s="31">
        <f>MIN(MAX(IF($B$4=1,('P-Parametri'!$D$31*K31)*(1+'1-Input'!$B$27),('P-Parametri'!$D$31*K31)),0),MAX(0,'8-Kitces'!$C$5-IF($A32&gt;='1-Input'!$C$12,'1-Input'!$B$12,0)))</f>
        <v>13000</v>
      </c>
      <c r="M32" s="31">
        <f>MIN(MAX(IF($B$4=1,('P-Parametri'!$C$31*K31)*(1+'P-Parametri'!$C$29),('P-Parametri'!$C$31*K31)),0),MAX(0,'8-Kitces'!$C$5-IF($A32&gt;='1-Input'!$C$12,'1-Input'!$B$12,0))-L32)</f>
        <v>0</v>
      </c>
      <c r="N32" s="31">
        <f>MAX(0,'8-Kitces'!$C$5-IF($A32&gt;='1-Input'!$C$12,'1-Input'!$B$12,0))-L32-M32</f>
        <v>0</v>
      </c>
    </row>
    <row r="33" spans="1:14">
      <c r="A33" s="10">
        <f>23</f>
        <v>23</v>
      </c>
      <c r="B33" s="11">
        <f>IF(A33=1,'P-Parametri'!$B$30,IF(A33=2,'P-Parametri'!$C$30,'P-Parametri'!$B$29))</f>
        <v>6.8512000000000003E-2</v>
      </c>
      <c r="C33" s="31">
        <f>IF($B$4=1,('P-Parametri'!$B$31*F32)*(1+$B33)*(1-MAX(0,'8-Kitces'!$C$5-IF($A33&gt;='1-Input'!$C$12,'1-Input'!$B$12,0))/(('P-Parametri'!$B$31*F32)*(1+$B33)+('P-Parametri'!$C$31*F32)*(1+'P-Parametri'!$C$29)+('P-Parametri'!$D$31*F32)*(1+'1-Input'!$B$27))),(('P-Parametri'!$B$31*F32)-MAX(0,'8-Kitces'!$C$5-IF($A33&gt;='1-Input'!$C$12,'1-Input'!$B$12,0))*'P-Parametri'!$B$31)*(1+$B33))</f>
        <v>157746.38474422452</v>
      </c>
      <c r="D33" s="31">
        <f>IF($B$4=1,('P-Parametri'!$C$31*F32)*(1+'P-Parametri'!$C$29)*(1-MAX(0,'8-Kitces'!$C$5-IF($A33&gt;='1-Input'!$C$12,'1-Input'!$B$12,0))/(('P-Parametri'!$B$31*F32)*(1+$B33)+('P-Parametri'!$C$31*F32)*(1+'P-Parametri'!$C$29)+('P-Parametri'!$D$31*F32)*(1+'1-Input'!$B$27))),(('P-Parametri'!$C$31*F32)-MAX(0,'8-Kitces'!$C$5-IF($A33&gt;='1-Input'!$C$12,'1-Input'!$B$12,0))*'P-Parametri'!$C$31)*(1+'P-Parametri'!$C$29))</f>
        <v>74184.995895200816</v>
      </c>
      <c r="E33" s="31">
        <f>IF($B$4=1,('P-Parametri'!$D$31*F32)*(1+'1-Input'!$B$27)*(1-MAX(0,'8-Kitces'!$C$5-IF($A33&gt;='1-Input'!$C$12,'1-Input'!$B$12,0))/(('P-Parametri'!$B$31*F32)*(1+$B33)+('P-Parametri'!$C$31*F32)*(1+'P-Parametri'!$C$29)+('P-Parametri'!$D$31*F32)*(1+'1-Input'!$B$27))),(('P-Parametri'!$D$31*F32)-MAX(0,'8-Kitces'!$C$5-IF($A33&gt;='1-Input'!$C$12,'1-Input'!$B$12,0))*'P-Parametri'!$D$31)*(1+'1-Input'!$B$27))</f>
        <v>24516.726338301196</v>
      </c>
      <c r="F33" s="31">
        <f t="shared" si="0"/>
        <v>256448.10697772654</v>
      </c>
      <c r="H33" s="31">
        <f>IF($B$4=1,IF($B$4=1,('P-Parametri'!$B$31*K32)*(1+$B33),('P-Parametri'!$B$31*K32))-N33,(IF($B$4=1,('P-Parametri'!$B$31*K32)*(1+$B33),('P-Parametri'!$B$31*K32))-N33)*(1+$B33))</f>
        <v>158913.88269058525</v>
      </c>
      <c r="I33" s="31">
        <f>IF($B$4=1,IF($B$4=1,('P-Parametri'!$C$31*K32)*(1+'P-Parametri'!$C$29),('P-Parametri'!$C$31*K32))-M33,(IF($B$4=1,('P-Parametri'!$C$31*K32)*(1+'P-Parametri'!$C$29),('P-Parametri'!$C$31*K32))-M33)*(1+'P-Parametri'!$C$29))</f>
        <v>74734.047022419109</v>
      </c>
      <c r="J33" s="31">
        <f>IF($B$4=1,IF($B$4=1,('P-Parametri'!$D$31*K32)*(1+'1-Input'!$B$27),('P-Parametri'!$D$31*K32))-L33,(IF($B$4=1,('P-Parametri'!$D$31*K32)*(1+'1-Input'!$B$27),('P-Parametri'!$D$31*K32))-L33)*(1+'1-Input'!$B$27))</f>
        <v>22800.177264722526</v>
      </c>
      <c r="K33" s="31">
        <f t="shared" si="1"/>
        <v>256448.10697772689</v>
      </c>
      <c r="L33" s="31">
        <f>MIN(MAX(IF($B$4=1,('P-Parametri'!$D$31*K32)*(1+'1-Input'!$B$27),('P-Parametri'!$D$31*K32)),0),MAX(0,'8-Kitces'!$C$5-IF($A33&gt;='1-Input'!$C$12,'1-Input'!$B$12,0)))</f>
        <v>1898</v>
      </c>
      <c r="M33" s="31">
        <f>MIN(MAX(IF($B$4=1,('P-Parametri'!$C$31*K32)*(1+'P-Parametri'!$C$29),('P-Parametri'!$C$31*K32)),0),MAX(0,'8-Kitces'!$C$5-IF($A33&gt;='1-Input'!$C$12,'1-Input'!$B$12,0))-L33)</f>
        <v>0</v>
      </c>
      <c r="N33" s="31">
        <f>MAX(0,'8-Kitces'!$C$5-IF($A33&gt;='1-Input'!$C$12,'1-Input'!$B$12,0))-L33-M33</f>
        <v>0</v>
      </c>
    </row>
    <row r="34" spans="1:14">
      <c r="A34" s="10">
        <f>24</f>
        <v>24</v>
      </c>
      <c r="B34" s="11">
        <f>IF(A34=1,'P-Parametri'!$B$30,IF(A34=2,'P-Parametri'!$C$30,'P-Parametri'!$B$29))</f>
        <v>6.8512000000000003E-2</v>
      </c>
      <c r="C34" s="31">
        <f>IF($B$4=1,('P-Parametri'!$B$31*F33)*(1+$B34)*(1-MAX(0,'8-Kitces'!$C$5-IF($A34&gt;='1-Input'!$C$12,'1-Input'!$B$12,0))/(('P-Parametri'!$B$31*F33)*(1+$B34)+('P-Parametri'!$C$31*F33)*(1+'P-Parametri'!$C$29)+('P-Parametri'!$D$31*F33)*(1+'1-Input'!$B$27))),(('P-Parametri'!$B$31*F33)-MAX(0,'8-Kitces'!$C$5-IF($A34&gt;='1-Input'!$C$12,'1-Input'!$B$12,0))*'P-Parametri'!$B$31)*(1+$B34))</f>
        <v>163243.22986343017</v>
      </c>
      <c r="D34" s="31">
        <f>IF($B$4=1,('P-Parametri'!$C$31*F33)*(1+'P-Parametri'!$C$29)*(1-MAX(0,'8-Kitces'!$C$5-IF($A34&gt;='1-Input'!$C$12,'1-Input'!$B$12,0))/(('P-Parametri'!$B$31*F33)*(1+$B34)+('P-Parametri'!$C$31*F33)*(1+'P-Parametri'!$C$29)+('P-Parametri'!$D$31*F33)*(1+'1-Input'!$B$27))),(('P-Parametri'!$C$31*F33)-MAX(0,'8-Kitces'!$C$5-IF($A34&gt;='1-Input'!$C$12,'1-Input'!$B$12,0))*'P-Parametri'!$C$31)*(1+'P-Parametri'!$C$29))</f>
        <v>76770.053126566345</v>
      </c>
      <c r="E34" s="31">
        <f>IF($B$4=1,('P-Parametri'!$D$31*F33)*(1+'1-Input'!$B$27)*(1-MAX(0,'8-Kitces'!$C$5-IF($A34&gt;='1-Input'!$C$12,'1-Input'!$B$12,0))/(('P-Parametri'!$B$31*F33)*(1+$B34)+('P-Parametri'!$C$31*F33)*(1+'P-Parametri'!$C$29)+('P-Parametri'!$D$31*F33)*(1+'1-Input'!$B$27))),(('P-Parametri'!$D$31*F33)-MAX(0,'8-Kitces'!$C$5-IF($A34&gt;='1-Input'!$C$12,'1-Input'!$B$12,0))*'P-Parametri'!$D$31)*(1+'1-Input'!$B$27))</f>
        <v>25371.038452839381</v>
      </c>
      <c r="F34" s="31">
        <f t="shared" si="0"/>
        <v>265384.32144283591</v>
      </c>
      <c r="H34" s="31">
        <f>IF($B$4=1,IF($B$4=1,('P-Parametri'!$B$31*K33)*(1+$B34),('P-Parametri'!$B$31*K33))-N34,(IF($B$4=1,('P-Parametri'!$B$31*K33)*(1+$B34),('P-Parametri'!$B$31*K33))-N34)*(1+$B34))</f>
        <v>164410.7278097909</v>
      </c>
      <c r="I34" s="31">
        <f>IF($B$4=1,IF($B$4=1,('P-Parametri'!$C$31*K33)*(1+'P-Parametri'!$C$29),('P-Parametri'!$C$31*K33))-M34,(IF($B$4=1,('P-Parametri'!$C$31*K33)*(1+'P-Parametri'!$C$29),('P-Parametri'!$C$31*K33))-M34)*(1+'P-Parametri'!$C$29))</f>
        <v>77319.104253784637</v>
      </c>
      <c r="J34" s="31">
        <f>IF($B$4=1,IF($B$4=1,('P-Parametri'!$D$31*K33)*(1+'1-Input'!$B$27),('P-Parametri'!$D$31*K33))-L34,(IF($B$4=1,('P-Parametri'!$D$31*K33)*(1+'1-Input'!$B$27),('P-Parametri'!$D$31*K33))-L34)*(1+'1-Input'!$B$27))</f>
        <v>23654.489379260707</v>
      </c>
      <c r="K34" s="31">
        <f t="shared" si="1"/>
        <v>265384.32144283626</v>
      </c>
      <c r="L34" s="31">
        <f>MIN(MAX(IF($B$4=1,('P-Parametri'!$D$31*K33)*(1+'1-Input'!$B$27),('P-Parametri'!$D$31*K33)),0),MAX(0,'8-Kitces'!$C$5-IF($A34&gt;='1-Input'!$C$12,'1-Input'!$B$12,0)))</f>
        <v>1898</v>
      </c>
      <c r="M34" s="31">
        <f>MIN(MAX(IF($B$4=1,('P-Parametri'!$C$31*K33)*(1+'P-Parametri'!$C$29),('P-Parametri'!$C$31*K33)),0),MAX(0,'8-Kitces'!$C$5-IF($A34&gt;='1-Input'!$C$12,'1-Input'!$B$12,0))-L34)</f>
        <v>0</v>
      </c>
      <c r="N34" s="31">
        <f>MAX(0,'8-Kitces'!$C$5-IF($A34&gt;='1-Input'!$C$12,'1-Input'!$B$12,0))-L34-M34</f>
        <v>0</v>
      </c>
    </row>
    <row r="35" spans="1:14">
      <c r="A35" s="10">
        <f>25</f>
        <v>25</v>
      </c>
      <c r="B35" s="11">
        <f>IF(A35=1,'P-Parametri'!$B$30,IF(A35=2,'P-Parametri'!$C$30,'P-Parametri'!$B$29))</f>
        <v>6.8512000000000003E-2</v>
      </c>
      <c r="C35" s="31">
        <f>IF($B$4=1,('P-Parametri'!$B$31*F34)*(1+$B35)*(1-MAX(0,'8-Kitces'!$C$5-IF($A35&gt;='1-Input'!$C$12,'1-Input'!$B$12,0))/(('P-Parametri'!$B$31*F34)*(1+$B35)+('P-Parametri'!$C$31*F34)*(1+'P-Parametri'!$C$29)+('P-Parametri'!$D$31*F34)*(1+'1-Input'!$B$27))),(('P-Parametri'!$B$31*F34)-MAX(0,'8-Kitces'!$C$5-IF($A35&gt;='1-Input'!$C$12,'1-Input'!$B$12,0))*'P-Parametri'!$B$31)*(1+$B35))</f>
        <v>168972.30129775594</v>
      </c>
      <c r="D35" s="31">
        <f>IF($B$4=1,('P-Parametri'!$C$31*F34)*(1+'P-Parametri'!$C$29)*(1-MAX(0,'8-Kitces'!$C$5-IF($A35&gt;='1-Input'!$C$12,'1-Input'!$B$12,0))/(('P-Parametri'!$B$31*F34)*(1+$B35)+('P-Parametri'!$C$31*F34)*(1+'P-Parametri'!$C$29)+('P-Parametri'!$D$31*F34)*(1+'1-Input'!$B$27))),(('P-Parametri'!$C$31*F34)-MAX(0,'8-Kitces'!$C$5-IF($A35&gt;='1-Input'!$C$12,'1-Input'!$B$12,0))*'P-Parametri'!$C$31)*(1+'P-Parametri'!$C$29))</f>
        <v>79464.321787796827</v>
      </c>
      <c r="E35" s="31">
        <f>IF($B$4=1,('P-Parametri'!$D$31*F34)*(1+'1-Input'!$B$27)*(1-MAX(0,'8-Kitces'!$C$5-IF($A35&gt;='1-Input'!$C$12,'1-Input'!$B$12,0))/(('P-Parametri'!$B$31*F34)*(1+$B35)+('P-Parametri'!$C$31*F34)*(1+'P-Parametri'!$C$29)+('P-Parametri'!$D$31*F34)*(1+'1-Input'!$B$27))),(('P-Parametri'!$D$31*F34)-MAX(0,'8-Kitces'!$C$5-IF($A35&gt;='1-Input'!$C$12,'1-Input'!$B$12,0))*'P-Parametri'!$D$31)*(1+'1-Input'!$B$27))</f>
        <v>26261.442862142878</v>
      </c>
      <c r="F35" s="31">
        <f t="shared" si="0"/>
        <v>274698.06594769564</v>
      </c>
      <c r="H35" s="31">
        <f>IF($B$4=1,IF($B$4=1,('P-Parametri'!$B$31*K34)*(1+$B35),('P-Parametri'!$B$31*K34))-N35,(IF($B$4=1,('P-Parametri'!$B$31*K34)*(1+$B35),('P-Parametri'!$B$31*K34))-N35)*(1+$B35))</f>
        <v>170139.79924411667</v>
      </c>
      <c r="I35" s="31">
        <f>IF($B$4=1,IF($B$4=1,('P-Parametri'!$C$31*K34)*(1+'P-Parametri'!$C$29),('P-Parametri'!$C$31*K34))-M35,(IF($B$4=1,('P-Parametri'!$C$31*K34)*(1+'P-Parametri'!$C$29),('P-Parametri'!$C$31*K34))-M35)*(1+'P-Parametri'!$C$29))</f>
        <v>80013.372915015119</v>
      </c>
      <c r="J35" s="31">
        <f>IF($B$4=1,IF($B$4=1,('P-Parametri'!$D$31*K34)*(1+'1-Input'!$B$27),('P-Parametri'!$D$31*K34))-L35,(IF($B$4=1,('P-Parametri'!$D$31*K34)*(1+'1-Input'!$B$27),('P-Parametri'!$D$31*K34))-L35)*(1+'1-Input'!$B$27))</f>
        <v>24544.893788564204</v>
      </c>
      <c r="K35" s="31">
        <f t="shared" si="1"/>
        <v>274698.06594769598</v>
      </c>
      <c r="L35" s="31">
        <f>MIN(MAX(IF($B$4=1,('P-Parametri'!$D$31*K34)*(1+'1-Input'!$B$27),('P-Parametri'!$D$31*K34)),0),MAX(0,'8-Kitces'!$C$5-IF($A35&gt;='1-Input'!$C$12,'1-Input'!$B$12,0)))</f>
        <v>1898</v>
      </c>
      <c r="M35" s="31">
        <f>MIN(MAX(IF($B$4=1,('P-Parametri'!$C$31*K34)*(1+'P-Parametri'!$C$29),('P-Parametri'!$C$31*K34)),0),MAX(0,'8-Kitces'!$C$5-IF($A35&gt;='1-Input'!$C$12,'1-Input'!$B$12,0))-L35)</f>
        <v>0</v>
      </c>
      <c r="N35" s="31">
        <f>MAX(0,'8-Kitces'!$C$5-IF($A35&gt;='1-Input'!$C$12,'1-Input'!$B$12,0))-L35-M35</f>
        <v>0</v>
      </c>
    </row>
    <row r="36" spans="1:14">
      <c r="A36" s="10">
        <f>26</f>
        <v>26</v>
      </c>
      <c r="B36" s="11">
        <f>IF(A36=1,'P-Parametri'!$B$30,IF(A36=2,'P-Parametri'!$C$30,'P-Parametri'!$B$29))</f>
        <v>6.8512000000000003E-2</v>
      </c>
      <c r="C36" s="31">
        <f>IF($B$4=1,('P-Parametri'!$B$31*F35)*(1+$B36)*(1-MAX(0,'8-Kitces'!$C$5-IF($A36&gt;='1-Input'!$C$12,'1-Input'!$B$12,0))/(('P-Parametri'!$B$31*F35)*(1+$B36)+('P-Parametri'!$C$31*F35)*(1+'P-Parametri'!$C$29)+('P-Parametri'!$D$31*F35)*(1+'1-Input'!$B$27))),(('P-Parametri'!$B$31*F35)-MAX(0,'8-Kitces'!$C$5-IF($A36&gt;='1-Input'!$C$12,'1-Input'!$B$12,0))*'P-Parametri'!$B$31)*(1+$B36))</f>
        <v>174943.40995878197</v>
      </c>
      <c r="D36" s="31">
        <f>IF($B$4=1,('P-Parametri'!$C$31*F35)*(1+'P-Parametri'!$C$29)*(1-MAX(0,'8-Kitces'!$C$5-IF($A36&gt;='1-Input'!$C$12,'1-Input'!$B$12,0))/(('P-Parametri'!$B$31*F35)*(1+$B36)+('P-Parametri'!$C$31*F35)*(1+'P-Parametri'!$C$29)+('P-Parametri'!$D$31*F35)*(1+'1-Input'!$B$27))),(('P-Parametri'!$C$31*F35)-MAX(0,'8-Kitces'!$C$5-IF($A36&gt;='1-Input'!$C$12,'1-Input'!$B$12,0))*'P-Parametri'!$C$31)*(1+'P-Parametri'!$C$29))</f>
        <v>82272.415756012037</v>
      </c>
      <c r="E36" s="31">
        <f>IF($B$4=1,('P-Parametri'!$D$31*F35)*(1+'1-Input'!$B$27)*(1-MAX(0,'8-Kitces'!$C$5-IF($A36&gt;='1-Input'!$C$12,'1-Input'!$B$12,0))/(('P-Parametri'!$B$31*F35)*(1+$B36)+('P-Parametri'!$C$31*F35)*(1+'P-Parametri'!$C$29)+('P-Parametri'!$D$31*F35)*(1+'1-Input'!$B$27))),(('P-Parametri'!$D$31*F35)-MAX(0,'8-Kitces'!$C$5-IF($A36&gt;='1-Input'!$C$12,'1-Input'!$B$12,0))*'P-Parametri'!$D$31)*(1+'1-Input'!$B$27))</f>
        <v>27189.464364607098</v>
      </c>
      <c r="F36" s="31">
        <f t="shared" si="0"/>
        <v>284405.29007940111</v>
      </c>
      <c r="H36" s="31">
        <f>IF($B$4=1,IF($B$4=1,('P-Parametri'!$B$31*K35)*(1+$B36),('P-Parametri'!$B$31*K35))-N36,(IF($B$4=1,('P-Parametri'!$B$31*K35)*(1+$B36),('P-Parametri'!$B$31*K35))-N36)*(1+$B36))</f>
        <v>176110.9079051427</v>
      </c>
      <c r="I36" s="31">
        <f>IF($B$4=1,IF($B$4=1,('P-Parametri'!$C$31*K35)*(1+'P-Parametri'!$C$29),('P-Parametri'!$C$31*K35))-M36,(IF($B$4=1,('P-Parametri'!$C$31*K35)*(1+'P-Parametri'!$C$29),('P-Parametri'!$C$31*K35))-M36)*(1+'P-Parametri'!$C$29))</f>
        <v>82821.466883230329</v>
      </c>
      <c r="J36" s="31">
        <f>IF($B$4=1,IF($B$4=1,('P-Parametri'!$D$31*K35)*(1+'1-Input'!$B$27),('P-Parametri'!$D$31*K35))-L36,(IF($B$4=1,('P-Parametri'!$D$31*K35)*(1+'1-Input'!$B$27),('P-Parametri'!$D$31*K35))-L36)*(1+'1-Input'!$B$27))</f>
        <v>25472.915291028428</v>
      </c>
      <c r="K36" s="31">
        <f t="shared" si="1"/>
        <v>284405.29007940146</v>
      </c>
      <c r="L36" s="31">
        <f>MIN(MAX(IF($B$4=1,('P-Parametri'!$D$31*K35)*(1+'1-Input'!$B$27),('P-Parametri'!$D$31*K35)),0),MAX(0,'8-Kitces'!$C$5-IF($A36&gt;='1-Input'!$C$12,'1-Input'!$B$12,0)))</f>
        <v>1898</v>
      </c>
      <c r="M36" s="31">
        <f>MIN(MAX(IF($B$4=1,('P-Parametri'!$C$31*K35)*(1+'P-Parametri'!$C$29),('P-Parametri'!$C$31*K35)),0),MAX(0,'8-Kitces'!$C$5-IF($A36&gt;='1-Input'!$C$12,'1-Input'!$B$12,0))-L36)</f>
        <v>0</v>
      </c>
      <c r="N36" s="31">
        <f>MAX(0,'8-Kitces'!$C$5-IF($A36&gt;='1-Input'!$C$12,'1-Input'!$B$12,0))-L36-M36</f>
        <v>0</v>
      </c>
    </row>
    <row r="37" spans="1:14">
      <c r="A37" s="10">
        <f>27</f>
        <v>27</v>
      </c>
      <c r="B37" s="11">
        <f>IF(A37=1,'P-Parametri'!$B$30,IF(A37=2,'P-Parametri'!$C$30,'P-Parametri'!$B$29))</f>
        <v>6.8512000000000003E-2</v>
      </c>
      <c r="C37" s="31">
        <f>IF($B$4=1,('P-Parametri'!$B$31*F36)*(1+$B37)*(1-MAX(0,'8-Kitces'!$C$5-IF($A37&gt;='1-Input'!$C$12,'1-Input'!$B$12,0))/(('P-Parametri'!$B$31*F36)*(1+$B37)+('P-Parametri'!$C$31*F36)*(1+'P-Parametri'!$C$29)+('P-Parametri'!$D$31*F36)*(1+'1-Input'!$B$27))),(('P-Parametri'!$B$31*F36)-MAX(0,'8-Kitces'!$C$5-IF($A37&gt;='1-Input'!$C$12,'1-Input'!$B$12,0))*'P-Parametri'!$B$31)*(1+$B37))</f>
        <v>181166.7812416321</v>
      </c>
      <c r="D37" s="31">
        <f>IF($B$4=1,('P-Parametri'!$C$31*F36)*(1+'P-Parametri'!$C$29)*(1-MAX(0,'8-Kitces'!$C$5-IF($A37&gt;='1-Input'!$C$12,'1-Input'!$B$12,0))/(('P-Parametri'!$B$31*F36)*(1+$B37)+('P-Parametri'!$C$31*F36)*(1+'P-Parametri'!$C$29)+('P-Parametri'!$D$31*F36)*(1+'1-Input'!$B$27))),(('P-Parametri'!$C$31*F36)-MAX(0,'8-Kitces'!$C$5-IF($A37&gt;='1-Input'!$C$12,'1-Input'!$B$12,0))*'P-Parametri'!$C$31)*(1+'P-Parametri'!$C$29))</f>
        <v>85199.143831721231</v>
      </c>
      <c r="E37" s="31">
        <f>IF($B$4=1,('P-Parametri'!$D$31*F36)*(1+'1-Input'!$B$27)*(1-MAX(0,'8-Kitces'!$C$5-IF($A37&gt;='1-Input'!$C$12,'1-Input'!$B$12,0))/(('P-Parametri'!$B$31*F36)*(1+$B37)+('P-Parametri'!$C$31*F36)*(1+'P-Parametri'!$C$29)+('P-Parametri'!$D$31*F36)*(1+'1-Input'!$B$27))),(('P-Parametri'!$D$31*F36)-MAX(0,'8-Kitces'!$C$5-IF($A37&gt;='1-Input'!$C$12,'1-Input'!$B$12,0))*'P-Parametri'!$D$31)*(1+'1-Input'!$B$27))</f>
        <v>28156.69217709023</v>
      </c>
      <c r="F37" s="31">
        <f t="shared" si="0"/>
        <v>294522.61725044355</v>
      </c>
      <c r="H37" s="31">
        <f>IF($B$4=1,IF($B$4=1,('P-Parametri'!$B$31*K36)*(1+$B37),('P-Parametri'!$B$31*K36))-N37,(IF($B$4=1,('P-Parametri'!$B$31*K36)*(1+$B37),('P-Parametri'!$B$31*K36))-N37)*(1+$B37))</f>
        <v>182334.27918799283</v>
      </c>
      <c r="I37" s="31">
        <f>IF($B$4=1,IF($B$4=1,('P-Parametri'!$C$31*K36)*(1+'P-Parametri'!$C$29),('P-Parametri'!$C$31*K36))-M37,(IF($B$4=1,('P-Parametri'!$C$31*K36)*(1+'P-Parametri'!$C$29),('P-Parametri'!$C$31*K36))-M37)*(1+'P-Parametri'!$C$29))</f>
        <v>85748.194958939537</v>
      </c>
      <c r="J37" s="31">
        <f>IF($B$4=1,IF($B$4=1,('P-Parametri'!$D$31*K36)*(1+'1-Input'!$B$27),('P-Parametri'!$D$31*K36))-L37,(IF($B$4=1,('P-Parametri'!$D$31*K36)*(1+'1-Input'!$B$27),('P-Parametri'!$D$31*K36))-L37)*(1+'1-Input'!$B$27))</f>
        <v>26440.14310351156</v>
      </c>
      <c r="K37" s="31">
        <f t="shared" si="1"/>
        <v>294522.6172504439</v>
      </c>
      <c r="L37" s="31">
        <f>MIN(MAX(IF($B$4=1,('P-Parametri'!$D$31*K36)*(1+'1-Input'!$B$27),('P-Parametri'!$D$31*K36)),0),MAX(0,'8-Kitces'!$C$5-IF($A37&gt;='1-Input'!$C$12,'1-Input'!$B$12,0)))</f>
        <v>1898</v>
      </c>
      <c r="M37" s="31">
        <f>MIN(MAX(IF($B$4=1,('P-Parametri'!$C$31*K36)*(1+'P-Parametri'!$C$29),('P-Parametri'!$C$31*K36)),0),MAX(0,'8-Kitces'!$C$5-IF($A37&gt;='1-Input'!$C$12,'1-Input'!$B$12,0))-L37)</f>
        <v>0</v>
      </c>
      <c r="N37" s="31">
        <f>MAX(0,'8-Kitces'!$C$5-IF($A37&gt;='1-Input'!$C$12,'1-Input'!$B$12,0))-L37-M37</f>
        <v>0</v>
      </c>
    </row>
    <row r="38" spans="1:14">
      <c r="A38" s="10">
        <f>28</f>
        <v>28</v>
      </c>
      <c r="B38" s="11">
        <f>IF(A38=1,'P-Parametri'!$B$30,IF(A38=2,'P-Parametri'!$C$30,'P-Parametri'!$B$29))</f>
        <v>6.8512000000000003E-2</v>
      </c>
      <c r="C38" s="31">
        <f>IF($B$4=1,('P-Parametri'!$B$31*F37)*(1+$B38)*(1-MAX(0,'8-Kitces'!$C$5-IF($A38&gt;='1-Input'!$C$12,'1-Input'!$B$12,0))/(('P-Parametri'!$B$31*F37)*(1+$B38)+('P-Parametri'!$C$31*F37)*(1+'P-Parametri'!$C$29)+('P-Parametri'!$D$31*F37)*(1+'1-Input'!$B$27))),(('P-Parametri'!$B$31*F37)-MAX(0,'8-Kitces'!$C$5-IF($A38&gt;='1-Input'!$C$12,'1-Input'!$B$12,0))*'P-Parametri'!$B$31)*(1+$B38))</f>
        <v>187653.07253574301</v>
      </c>
      <c r="D38" s="31">
        <f>IF($B$4=1,('P-Parametri'!$C$31*F37)*(1+'P-Parametri'!$C$29)*(1-MAX(0,'8-Kitces'!$C$5-IF($A38&gt;='1-Input'!$C$12,'1-Input'!$B$12,0))/(('P-Parametri'!$B$31*F37)*(1+$B38)+('P-Parametri'!$C$31*F37)*(1+'P-Parametri'!$C$29)+('P-Parametri'!$D$31*F37)*(1+'1-Input'!$B$27))),(('P-Parametri'!$C$31*F37)-MAX(0,'8-Kitces'!$C$5-IF($A38&gt;='1-Input'!$C$12,'1-Input'!$B$12,0))*'P-Parametri'!$C$31)*(1+'P-Parametri'!$C$29))</f>
        <v>88249.517973790527</v>
      </c>
      <c r="E38" s="31">
        <f>IF($B$4=1,('P-Parametri'!$D$31*F37)*(1+'1-Input'!$B$27)*(1-MAX(0,'8-Kitces'!$C$5-IF($A38&gt;='1-Input'!$C$12,'1-Input'!$B$12,0))/(('P-Parametri'!$B$31*F37)*(1+$B38)+('P-Parametri'!$C$31*F37)*(1+'P-Parametri'!$C$29)+('P-Parametri'!$D$31*F37)*(1+'1-Input'!$B$27))),(('P-Parametri'!$D$31*F37)-MAX(0,'8-Kitces'!$C$5-IF($A38&gt;='1-Input'!$C$12,'1-Input'!$B$12,0))*'P-Parametri'!$D$31)*(1+'1-Input'!$B$27))</f>
        <v>29164.782656412903</v>
      </c>
      <c r="F38" s="31">
        <f t="shared" si="0"/>
        <v>305067.37316594645</v>
      </c>
      <c r="H38" s="31">
        <f>IF($B$4=1,IF($B$4=1,('P-Parametri'!$B$31*K37)*(1+$B38),('P-Parametri'!$B$31*K37))-N38,(IF($B$4=1,('P-Parametri'!$B$31*K37)*(1+$B38),('P-Parametri'!$B$31*K37))-N38)*(1+$B38))</f>
        <v>188820.57048210377</v>
      </c>
      <c r="I38" s="31">
        <f>IF($B$4=1,IF($B$4=1,('P-Parametri'!$C$31*K37)*(1+'P-Parametri'!$C$29),('P-Parametri'!$C$31*K37))-M38,(IF($B$4=1,('P-Parametri'!$C$31*K37)*(1+'P-Parametri'!$C$29),('P-Parametri'!$C$31*K37))-M38)*(1+'P-Parametri'!$C$29))</f>
        <v>88798.569101008819</v>
      </c>
      <c r="J38" s="31">
        <f>IF($B$4=1,IF($B$4=1,('P-Parametri'!$D$31*K37)*(1+'1-Input'!$B$27),('P-Parametri'!$D$31*K37))-L38,(IF($B$4=1,('P-Parametri'!$D$31*K37)*(1+'1-Input'!$B$27),('P-Parametri'!$D$31*K37))-L38)*(1+'1-Input'!$B$27))</f>
        <v>27448.233582834229</v>
      </c>
      <c r="K38" s="31">
        <f t="shared" si="1"/>
        <v>305067.3731659468</v>
      </c>
      <c r="L38" s="31">
        <f>MIN(MAX(IF($B$4=1,('P-Parametri'!$D$31*K37)*(1+'1-Input'!$B$27),('P-Parametri'!$D$31*K37)),0),MAX(0,'8-Kitces'!$C$5-IF($A38&gt;='1-Input'!$C$12,'1-Input'!$B$12,0)))</f>
        <v>1898</v>
      </c>
      <c r="M38" s="31">
        <f>MIN(MAX(IF($B$4=1,('P-Parametri'!$C$31*K37)*(1+'P-Parametri'!$C$29),('P-Parametri'!$C$31*K37)),0),MAX(0,'8-Kitces'!$C$5-IF($A38&gt;='1-Input'!$C$12,'1-Input'!$B$12,0))-L38)</f>
        <v>0</v>
      </c>
      <c r="N38" s="31">
        <f>MAX(0,'8-Kitces'!$C$5-IF($A38&gt;='1-Input'!$C$12,'1-Input'!$B$12,0))-L38-M38</f>
        <v>0</v>
      </c>
    </row>
    <row r="39" spans="1:14">
      <c r="A39" s="10">
        <f>29</f>
        <v>29</v>
      </c>
      <c r="B39" s="11">
        <f>IF(A39=1,'P-Parametri'!$B$30,IF(A39=2,'P-Parametri'!$C$30,'P-Parametri'!$B$29))</f>
        <v>6.8512000000000003E-2</v>
      </c>
      <c r="C39" s="31">
        <f>IF($B$4=1,('P-Parametri'!$B$31*F38)*(1+$B39)*(1-MAX(0,'8-Kitces'!$C$5-IF($A39&gt;='1-Input'!$C$12,'1-Input'!$B$12,0))/(('P-Parametri'!$B$31*F38)*(1+$B39)+('P-Parametri'!$C$31*F38)*(1+'P-Parametri'!$C$29)+('P-Parametri'!$D$31*F38)*(1+'1-Input'!$B$27))),(('P-Parametri'!$B$31*F38)-MAX(0,'8-Kitces'!$C$5-IF($A39&gt;='1-Input'!$C$12,'1-Input'!$B$12,0))*'P-Parametri'!$B$31)*(1+$B39))</f>
        <v>194413.39147541454</v>
      </c>
      <c r="D39" s="31">
        <f>IF($B$4=1,('P-Parametri'!$C$31*F38)*(1+'P-Parametri'!$C$29)*(1-MAX(0,'8-Kitces'!$C$5-IF($A39&gt;='1-Input'!$C$12,'1-Input'!$B$12,0))/(('P-Parametri'!$B$31*F38)*(1+$B39)+('P-Parametri'!$C$31*F38)*(1+'P-Parametri'!$C$29)+('P-Parametri'!$D$31*F38)*(1+'1-Input'!$B$27))),(('P-Parametri'!$C$31*F38)-MAX(0,'8-Kitces'!$C$5-IF($A39&gt;='1-Input'!$C$12,'1-Input'!$B$12,0))*'P-Parametri'!$C$31)*(1+'P-Parametri'!$C$29))</f>
        <v>91428.761882314648</v>
      </c>
      <c r="E39" s="31">
        <f>IF($B$4=1,('P-Parametri'!$D$31*F38)*(1+'1-Input'!$B$27)*(1-MAX(0,'8-Kitces'!$C$5-IF($A39&gt;='1-Input'!$C$12,'1-Input'!$B$12,0))/(('P-Parametri'!$B$31*F38)*(1+$B39)+('P-Parametri'!$C$31*F38)*(1+'P-Parametri'!$C$29)+('P-Parametri'!$D$31*F38)*(1+'1-Input'!$B$27))),(('P-Parametri'!$D$31*F38)-MAX(0,'8-Kitces'!$C$5-IF($A39&gt;='1-Input'!$C$12,'1-Input'!$B$12,0))*'P-Parametri'!$D$31)*(1+'1-Input'!$B$27))</f>
        <v>30215.462135833612</v>
      </c>
      <c r="F39" s="31">
        <f t="shared" si="0"/>
        <v>316057.61549356283</v>
      </c>
      <c r="H39" s="31">
        <f>IF($B$4=1,IF($B$4=1,('P-Parametri'!$B$31*K38)*(1+$B39),('P-Parametri'!$B$31*K38))-N39,(IF($B$4=1,('P-Parametri'!$B$31*K38)*(1+$B39),('P-Parametri'!$B$31*K38))-N39)*(1+$B39))</f>
        <v>195580.88942177527</v>
      </c>
      <c r="I39" s="31">
        <f>IF($B$4=1,IF($B$4=1,('P-Parametri'!$C$31*K38)*(1+'P-Parametri'!$C$29),('P-Parametri'!$C$31*K38))-M39,(IF($B$4=1,('P-Parametri'!$C$31*K38)*(1+'P-Parametri'!$C$29),('P-Parametri'!$C$31*K38))-M39)*(1+'P-Parametri'!$C$29))</f>
        <v>91977.81300953294</v>
      </c>
      <c r="J39" s="31">
        <f>IF($B$4=1,IF($B$4=1,('P-Parametri'!$D$31*K38)*(1+'1-Input'!$B$27),('P-Parametri'!$D$31*K38))-L39,(IF($B$4=1,('P-Parametri'!$D$31*K38)*(1+'1-Input'!$B$27),('P-Parametri'!$D$31*K38))-L39)*(1+'1-Input'!$B$27))</f>
        <v>28498.913062254938</v>
      </c>
      <c r="K39" s="31">
        <f t="shared" si="1"/>
        <v>316057.61549356318</v>
      </c>
      <c r="L39" s="31">
        <f>MIN(MAX(IF($B$4=1,('P-Parametri'!$D$31*K38)*(1+'1-Input'!$B$27),('P-Parametri'!$D$31*K38)),0),MAX(0,'8-Kitces'!$C$5-IF($A39&gt;='1-Input'!$C$12,'1-Input'!$B$12,0)))</f>
        <v>1898</v>
      </c>
      <c r="M39" s="31">
        <f>MIN(MAX(IF($B$4=1,('P-Parametri'!$C$31*K38)*(1+'P-Parametri'!$C$29),('P-Parametri'!$C$31*K38)),0),MAX(0,'8-Kitces'!$C$5-IF($A39&gt;='1-Input'!$C$12,'1-Input'!$B$12,0))-L39)</f>
        <v>0</v>
      </c>
      <c r="N39" s="31">
        <f>MAX(0,'8-Kitces'!$C$5-IF($A39&gt;='1-Input'!$C$12,'1-Input'!$B$12,0))-L39-M39</f>
        <v>0</v>
      </c>
    </row>
    <row r="40" spans="1:14">
      <c r="A40" s="10">
        <f>30</f>
        <v>30</v>
      </c>
      <c r="B40" s="11">
        <f>IF(A40=1,'P-Parametri'!$B$30,IF(A40=2,'P-Parametri'!$C$30,'P-Parametri'!$B$29))</f>
        <v>6.8512000000000003E-2</v>
      </c>
      <c r="C40" s="31">
        <f>IF($B$4=1,('P-Parametri'!$B$31*F39)*(1+$B40)*(1-MAX(0,'8-Kitces'!$C$5-IF($A40&gt;='1-Input'!$C$12,'1-Input'!$B$12,0))/(('P-Parametri'!$B$31*F39)*(1+$B40)+('P-Parametri'!$C$31*F39)*(1+'P-Parametri'!$C$29)+('P-Parametri'!$D$31*F39)*(1+'1-Input'!$B$27))),(('P-Parametri'!$B$31*F39)-MAX(0,'8-Kitces'!$C$5-IF($A40&gt;='1-Input'!$C$12,'1-Input'!$B$12,0))*'P-Parametri'!$B$31)*(1+$B40))</f>
        <v>201459.31496139412</v>
      </c>
      <c r="D40" s="31">
        <f>IF($B$4=1,('P-Parametri'!$C$31*F39)*(1+'P-Parametri'!$C$29)*(1-MAX(0,'8-Kitces'!$C$5-IF($A40&gt;='1-Input'!$C$12,'1-Input'!$B$12,0))/(('P-Parametri'!$B$31*F39)*(1+$B40)+('P-Parametri'!$C$31*F39)*(1+'P-Parametri'!$C$29)+('P-Parametri'!$D$31*F39)*(1+'1-Input'!$B$27))),(('P-Parametri'!$C$31*F39)-MAX(0,'8-Kitces'!$C$5-IF($A40&gt;='1-Input'!$C$12,'1-Input'!$B$12,0))*'P-Parametri'!$C$31)*(1+'P-Parametri'!$C$29))</f>
        <v>94742.319944090996</v>
      </c>
      <c r="E40" s="31">
        <f>IF($B$4=1,('P-Parametri'!$D$31*F39)*(1+'1-Input'!$B$27)*(1-MAX(0,'8-Kitces'!$C$5-IF($A40&gt;='1-Input'!$C$12,'1-Input'!$B$12,0))/(('P-Parametri'!$B$31*F39)*(1+$B40)+('P-Parametri'!$C$31*F39)*(1+'P-Parametri'!$C$29)+('P-Parametri'!$D$31*F39)*(1+'1-Input'!$B$27))),(('P-Parametri'!$D$31*F39)-MAX(0,'8-Kitces'!$C$5-IF($A40&gt;='1-Input'!$C$12,'1-Input'!$B$12,0))*'P-Parametri'!$D$31)*(1+'1-Input'!$B$27))</f>
        <v>31310.529881357306</v>
      </c>
      <c r="F40" s="31">
        <f t="shared" si="0"/>
        <v>327512.16478684242</v>
      </c>
      <c r="H40" s="31">
        <f>IF($B$4=1,IF($B$4=1,('P-Parametri'!$B$31*K39)*(1+$B40),('P-Parametri'!$B$31*K39))-N40,(IF($B$4=1,('P-Parametri'!$B$31*K39)*(1+$B40),('P-Parametri'!$B$31*K39))-N40)*(1+$B40))</f>
        <v>202626.81290775488</v>
      </c>
      <c r="I40" s="31">
        <f>IF($B$4=1,IF($B$4=1,('P-Parametri'!$C$31*K39)*(1+'P-Parametri'!$C$29),('P-Parametri'!$C$31*K39))-M40,(IF($B$4=1,('P-Parametri'!$C$31*K39)*(1+'P-Parametri'!$C$29),('P-Parametri'!$C$31*K39))-M40)*(1+'P-Parametri'!$C$29))</f>
        <v>95291.371071309288</v>
      </c>
      <c r="J40" s="31">
        <f>IF($B$4=1,IF($B$4=1,('P-Parametri'!$D$31*K39)*(1+'1-Input'!$B$27),('P-Parametri'!$D$31*K39))-L40,(IF($B$4=1,('P-Parametri'!$D$31*K39)*(1+'1-Input'!$B$27),('P-Parametri'!$D$31*K39))-L40)*(1+'1-Input'!$B$27))</f>
        <v>29593.980807778637</v>
      </c>
      <c r="K40" s="31">
        <f t="shared" si="1"/>
        <v>327512.16478684283</v>
      </c>
      <c r="L40" s="31">
        <f>MIN(MAX(IF($B$4=1,('P-Parametri'!$D$31*K39)*(1+'1-Input'!$B$27),('P-Parametri'!$D$31*K39)),0),MAX(0,'8-Kitces'!$C$5-IF($A40&gt;='1-Input'!$C$12,'1-Input'!$B$12,0)))</f>
        <v>1898</v>
      </c>
      <c r="M40" s="31">
        <f>MIN(MAX(IF($B$4=1,('P-Parametri'!$C$31*K39)*(1+'P-Parametri'!$C$29),('P-Parametri'!$C$31*K39)),0),MAX(0,'8-Kitces'!$C$5-IF($A40&gt;='1-Input'!$C$12,'1-Input'!$B$12,0))-L40)</f>
        <v>0</v>
      </c>
      <c r="N40" s="31">
        <f>MAX(0,'8-Kitces'!$C$5-IF($A40&gt;='1-Input'!$C$12,'1-Input'!$B$12,0))-L40-M40</f>
        <v>0</v>
      </c>
    </row>
    <row r="41" spans="1:14">
      <c r="A41" s="10">
        <f>31</f>
        <v>31</v>
      </c>
      <c r="B41" s="11">
        <f>IF(A41=1,'P-Parametri'!$B$30,IF(A41=2,'P-Parametri'!$C$30,'P-Parametri'!$B$29))</f>
        <v>6.8512000000000003E-2</v>
      </c>
      <c r="C41" s="31">
        <f>IF($B$4=1,('P-Parametri'!$B$31*F40)*(1+$B41)*(1-MAX(0,'8-Kitces'!$C$5-IF($A41&gt;='1-Input'!$C$12,'1-Input'!$B$12,0))/(('P-Parametri'!$B$31*F40)*(1+$B41)+('P-Parametri'!$C$31*F40)*(1+'P-Parametri'!$C$29)+('P-Parametri'!$D$31*F40)*(1+'1-Input'!$B$27))),(('P-Parametri'!$B$31*F40)-MAX(0,'8-Kitces'!$C$5-IF($A41&gt;='1-Input'!$C$12,'1-Input'!$B$12,0))*'P-Parametri'!$B$31)*(1+$B41))</f>
        <v>208802.9089860706</v>
      </c>
      <c r="D41" s="31">
        <f>IF($B$4=1,('P-Parametri'!$C$31*F40)*(1+'P-Parametri'!$C$29)*(1-MAX(0,'8-Kitces'!$C$5-IF($A41&gt;='1-Input'!$C$12,'1-Input'!$B$12,0))/(('P-Parametri'!$B$31*F40)*(1+$B41)+('P-Parametri'!$C$31*F40)*(1+'P-Parametri'!$C$29)+('P-Parametri'!$D$31*F40)*(1+'1-Input'!$B$27))),(('P-Parametri'!$C$31*F40)-MAX(0,'8-Kitces'!$C$5-IF($A41&gt;='1-Input'!$C$12,'1-Input'!$B$12,0))*'P-Parametri'!$C$31)*(1+'P-Parametri'!$C$29))</f>
        <v>98195.866556014793</v>
      </c>
      <c r="E41" s="31">
        <f>IF($B$4=1,('P-Parametri'!$D$31*F40)*(1+'1-Input'!$B$27)*(1-MAX(0,'8-Kitces'!$C$5-IF($A41&gt;='1-Input'!$C$12,'1-Input'!$B$12,0))/(('P-Parametri'!$B$31*F40)*(1+$B41)+('P-Parametri'!$C$31*F40)*(1+'P-Parametri'!$C$29)+('P-Parametri'!$D$31*F40)*(1+'1-Input'!$B$27))),(('P-Parametri'!$D$31*F40)-MAX(0,'8-Kitces'!$C$5-IF($A41&gt;='1-Input'!$C$12,'1-Input'!$B$12,0))*'P-Parametri'!$D$31)*(1+'1-Input'!$B$27))</f>
        <v>32451.861172939683</v>
      </c>
      <c r="F41" s="31">
        <f t="shared" si="0"/>
        <v>339450.63671502512</v>
      </c>
      <c r="H41" s="31">
        <f>IF($B$4=1,IF($B$4=1,('P-Parametri'!$B$31*K40)*(1+$B41),('P-Parametri'!$B$31*K40))-N41,(IF($B$4=1,('P-Parametri'!$B$31*K40)*(1+$B41),('P-Parametri'!$B$31*K40))-N41)*(1+$B41))</f>
        <v>209970.40693243139</v>
      </c>
      <c r="I41" s="31">
        <f>IF($B$4=1,IF($B$4=1,('P-Parametri'!$C$31*K40)*(1+'P-Parametri'!$C$29),('P-Parametri'!$C$31*K40))-M41,(IF($B$4=1,('P-Parametri'!$C$31*K40)*(1+'P-Parametri'!$C$29),('P-Parametri'!$C$31*K40))-M41)*(1+'P-Parametri'!$C$29))</f>
        <v>98744.9176832331</v>
      </c>
      <c r="J41" s="31">
        <f>IF($B$4=1,IF($B$4=1,('P-Parametri'!$D$31*K40)*(1+'1-Input'!$B$27),('P-Parametri'!$D$31*K40))-L41,(IF($B$4=1,('P-Parametri'!$D$31*K40)*(1+'1-Input'!$B$27),('P-Parametri'!$D$31*K40))-L41)*(1+'1-Input'!$B$27))</f>
        <v>30735.312099361017</v>
      </c>
      <c r="K41" s="31">
        <f t="shared" si="1"/>
        <v>339450.63671502552</v>
      </c>
      <c r="L41" s="31">
        <f>MIN(MAX(IF($B$4=1,('P-Parametri'!$D$31*K40)*(1+'1-Input'!$B$27),('P-Parametri'!$D$31*K40)),0),MAX(0,'8-Kitces'!$C$5-IF($A41&gt;='1-Input'!$C$12,'1-Input'!$B$12,0)))</f>
        <v>1898</v>
      </c>
      <c r="M41" s="31">
        <f>MIN(MAX(IF($B$4=1,('P-Parametri'!$C$31*K40)*(1+'P-Parametri'!$C$29),('P-Parametri'!$C$31*K40)),0),MAX(0,'8-Kitces'!$C$5-IF($A41&gt;='1-Input'!$C$12,'1-Input'!$B$12,0))-L41)</f>
        <v>0</v>
      </c>
      <c r="N41" s="31">
        <f>MAX(0,'8-Kitces'!$C$5-IF($A41&gt;='1-Input'!$C$12,'1-Input'!$B$12,0))-L41-M41</f>
        <v>0</v>
      </c>
    </row>
    <row r="42" spans="1:14">
      <c r="A42" s="10">
        <f>32</f>
        <v>32</v>
      </c>
      <c r="B42" s="11">
        <f>IF(A42=1,'P-Parametri'!$B$30,IF(A42=2,'P-Parametri'!$C$30,'P-Parametri'!$B$29))</f>
        <v>6.8512000000000003E-2</v>
      </c>
      <c r="C42" s="31">
        <f>IF($B$4=1,('P-Parametri'!$B$31*F41)*(1+$B42)*(1-MAX(0,'8-Kitces'!$C$5-IF($A42&gt;='1-Input'!$C$12,'1-Input'!$B$12,0))/(('P-Parametri'!$B$31*F41)*(1+$B42)+('P-Parametri'!$C$31*F41)*(1+'P-Parametri'!$C$29)+('P-Parametri'!$D$31*F41)*(1+'1-Input'!$B$27))),(('P-Parametri'!$B$31*F41)-MAX(0,'8-Kitces'!$C$5-IF($A42&gt;='1-Input'!$C$12,'1-Input'!$B$12,0))*'P-Parametri'!$B$31)*(1+$B42))</f>
        <v>216456.74929622645</v>
      </c>
      <c r="D42" s="31">
        <f>IF($B$4=1,('P-Parametri'!$C$31*F41)*(1+'P-Parametri'!$C$29)*(1-MAX(0,'8-Kitces'!$C$5-IF($A42&gt;='1-Input'!$C$12,'1-Input'!$B$12,0))/(('P-Parametri'!$B$31*F41)*(1+$B42)+('P-Parametri'!$C$31*F41)*(1+'P-Parametri'!$C$29)+('P-Parametri'!$D$31*F41)*(1+'1-Input'!$B$27))),(('P-Parametri'!$C$31*F41)-MAX(0,'8-Kitces'!$C$5-IF($A42&gt;='1-Input'!$C$12,'1-Input'!$B$12,0))*'P-Parametri'!$C$31)*(1+'P-Parametri'!$C$29))</f>
        <v>101795.31584236187</v>
      </c>
      <c r="E42" s="31">
        <f>IF($B$4=1,('P-Parametri'!$D$31*F41)*(1+'1-Input'!$B$27)*(1-MAX(0,'8-Kitces'!$C$5-IF($A42&gt;='1-Input'!$C$12,'1-Input'!$B$12,0))/(('P-Parametri'!$B$31*F41)*(1+$B42)+('P-Parametri'!$C$31*F41)*(1+'P-Parametri'!$C$29)+('P-Parametri'!$D$31*F41)*(1+'1-Input'!$B$27))),(('P-Parametri'!$D$31*F41)-MAX(0,'8-Kitces'!$C$5-IF($A42&gt;='1-Input'!$C$12,'1-Input'!$B$12,0))*'P-Parametri'!$D$31)*(1+'1-Input'!$B$27))</f>
        <v>33641.410515863812</v>
      </c>
      <c r="F42" s="31">
        <f t="shared" si="0"/>
        <v>351893.47565445211</v>
      </c>
      <c r="H42" s="31">
        <f>IF($B$4=1,IF($B$4=1,('P-Parametri'!$B$31*K41)*(1+$B42),('P-Parametri'!$B$31*K41))-N42,(IF($B$4=1,('P-Parametri'!$B$31*K41)*(1+$B42),('P-Parametri'!$B$31*K41))-N42)*(1+$B42))</f>
        <v>217624.24724258718</v>
      </c>
      <c r="I42" s="31">
        <f>IF($B$4=1,IF($B$4=1,('P-Parametri'!$C$31*K41)*(1+'P-Parametri'!$C$29),('P-Parametri'!$C$31*K41))-M42,(IF($B$4=1,('P-Parametri'!$C$31*K41)*(1+'P-Parametri'!$C$29),('P-Parametri'!$C$31*K41))-M42)*(1+'P-Parametri'!$C$29))</f>
        <v>102344.36696958018</v>
      </c>
      <c r="J42" s="31">
        <f>IF($B$4=1,IF($B$4=1,('P-Parametri'!$D$31*K41)*(1+'1-Input'!$B$27),('P-Parametri'!$D$31*K41))-L42,(IF($B$4=1,('P-Parametri'!$D$31*K41)*(1+'1-Input'!$B$27),('P-Parametri'!$D$31*K41))-L42)*(1+'1-Input'!$B$27))</f>
        <v>31924.861442285146</v>
      </c>
      <c r="K42" s="31">
        <f t="shared" si="1"/>
        <v>351893.47565445246</v>
      </c>
      <c r="L42" s="31">
        <f>MIN(MAX(IF($B$4=1,('P-Parametri'!$D$31*K41)*(1+'1-Input'!$B$27),('P-Parametri'!$D$31*K41)),0),MAX(0,'8-Kitces'!$C$5-IF($A42&gt;='1-Input'!$C$12,'1-Input'!$B$12,0)))</f>
        <v>1898</v>
      </c>
      <c r="M42" s="31">
        <f>MIN(MAX(IF($B$4=1,('P-Parametri'!$C$31*K41)*(1+'P-Parametri'!$C$29),('P-Parametri'!$C$31*K41)),0),MAX(0,'8-Kitces'!$C$5-IF($A42&gt;='1-Input'!$C$12,'1-Input'!$B$12,0))-L42)</f>
        <v>0</v>
      </c>
      <c r="N42" s="31">
        <f>MAX(0,'8-Kitces'!$C$5-IF($A42&gt;='1-Input'!$C$12,'1-Input'!$B$12,0))-L42-M42</f>
        <v>0</v>
      </c>
    </row>
    <row r="43" spans="1:14">
      <c r="A43" s="10">
        <f>33</f>
        <v>33</v>
      </c>
      <c r="B43" s="11">
        <f>IF(A43=1,'P-Parametri'!$B$30,IF(A43=2,'P-Parametri'!$C$30,'P-Parametri'!$B$29))</f>
        <v>6.8512000000000003E-2</v>
      </c>
      <c r="C43" s="31">
        <f>IF($B$4=1,('P-Parametri'!$B$31*F42)*(1+$B43)*(1-MAX(0,'8-Kitces'!$C$5-IF($A43&gt;='1-Input'!$C$12,'1-Input'!$B$12,0))/(('P-Parametri'!$B$31*F42)*(1+$B43)+('P-Parametri'!$C$31*F42)*(1+'P-Parametri'!$C$29)+('P-Parametri'!$D$31*F42)*(1+'1-Input'!$B$27))),(('P-Parametri'!$B$31*F42)-MAX(0,'8-Kitces'!$C$5-IF($A43&gt;='1-Input'!$C$12,'1-Input'!$B$12,0))*'P-Parametri'!$B$31)*(1+$B43))</f>
        <v>224433.94292873339</v>
      </c>
      <c r="D43" s="31">
        <f>IF($B$4=1,('P-Parametri'!$C$31*F42)*(1+'P-Parametri'!$C$29)*(1-MAX(0,'8-Kitces'!$C$5-IF($A43&gt;='1-Input'!$C$12,'1-Input'!$B$12,0))/(('P-Parametri'!$B$31*F42)*(1+$B43)+('P-Parametri'!$C$31*F42)*(1+'P-Parametri'!$C$29)+('P-Parametri'!$D$31*F42)*(1+'1-Input'!$B$27))),(('P-Parametri'!$C$31*F42)-MAX(0,'8-Kitces'!$C$5-IF($A43&gt;='1-Input'!$C$12,'1-Input'!$B$12,0))*'P-Parametri'!$C$31)*(1+'P-Parametri'!$C$29))</f>
        <v>105546.83178259911</v>
      </c>
      <c r="E43" s="31">
        <f>IF($B$4=1,('P-Parametri'!$D$31*F42)*(1+'1-Input'!$B$27)*(1-MAX(0,'8-Kitces'!$C$5-IF($A43&gt;='1-Input'!$C$12,'1-Input'!$B$12,0))/(('P-Parametri'!$B$31*F42)*(1+$B43)+('P-Parametri'!$C$31*F42)*(1+'P-Parametri'!$C$29)+('P-Parametri'!$D$31*F42)*(1+'1-Input'!$B$27))),(('P-Parametri'!$D$31*F42)-MAX(0,'8-Kitces'!$C$5-IF($A43&gt;='1-Input'!$C$12,'1-Input'!$B$12,0))*'P-Parametri'!$D$31)*(1+'1-Input'!$B$27))</f>
        <v>34881.214987788313</v>
      </c>
      <c r="F43" s="31">
        <f t="shared" si="0"/>
        <v>364861.98969912081</v>
      </c>
      <c r="H43" s="31">
        <f>IF($B$4=1,IF($B$4=1,('P-Parametri'!$B$31*K42)*(1+$B43),('P-Parametri'!$B$31*K42))-N43,(IF($B$4=1,('P-Parametri'!$B$31*K42)*(1+$B43),('P-Parametri'!$B$31*K42))-N43)*(1+$B43))</f>
        <v>225601.44087509415</v>
      </c>
      <c r="I43" s="31">
        <f>IF($B$4=1,IF($B$4=1,('P-Parametri'!$C$31*K42)*(1+'P-Parametri'!$C$29),('P-Parametri'!$C$31*K42))-M43,(IF($B$4=1,('P-Parametri'!$C$31*K42)*(1+'P-Parametri'!$C$29),('P-Parametri'!$C$31*K42))-M43)*(1+'P-Parametri'!$C$29))</f>
        <v>106095.8829098174</v>
      </c>
      <c r="J43" s="31">
        <f>IF($B$4=1,IF($B$4=1,('P-Parametri'!$D$31*K42)*(1+'1-Input'!$B$27),('P-Parametri'!$D$31*K42))-L43,(IF($B$4=1,('P-Parametri'!$D$31*K42)*(1+'1-Input'!$B$27),('P-Parametri'!$D$31*K42))-L43)*(1+'1-Input'!$B$27))</f>
        <v>33164.665914209647</v>
      </c>
      <c r="K43" s="31">
        <f t="shared" si="1"/>
        <v>364861.98969912122</v>
      </c>
      <c r="L43" s="31">
        <f>MIN(MAX(IF($B$4=1,('P-Parametri'!$D$31*K42)*(1+'1-Input'!$B$27),('P-Parametri'!$D$31*K42)),0),MAX(0,'8-Kitces'!$C$5-IF($A43&gt;='1-Input'!$C$12,'1-Input'!$B$12,0)))</f>
        <v>1898</v>
      </c>
      <c r="M43" s="31">
        <f>MIN(MAX(IF($B$4=1,('P-Parametri'!$C$31*K42)*(1+'P-Parametri'!$C$29),('P-Parametri'!$C$31*K42)),0),MAX(0,'8-Kitces'!$C$5-IF($A43&gt;='1-Input'!$C$12,'1-Input'!$B$12,0))-L43)</f>
        <v>0</v>
      </c>
      <c r="N43" s="31">
        <f>MAX(0,'8-Kitces'!$C$5-IF($A43&gt;='1-Input'!$C$12,'1-Input'!$B$12,0))-L43-M43</f>
        <v>0</v>
      </c>
    </row>
    <row r="44" spans="1:14">
      <c r="A44" s="10">
        <f>34</f>
        <v>34</v>
      </c>
      <c r="B44" s="11">
        <f>IF(A44=1,'P-Parametri'!$B$30,IF(A44=2,'P-Parametri'!$C$30,'P-Parametri'!$B$29))</f>
        <v>6.8512000000000003E-2</v>
      </c>
      <c r="C44" s="31">
        <f>IF($B$4=1,('P-Parametri'!$B$31*F43)*(1+$B44)*(1-MAX(0,'8-Kitces'!$C$5-IF($A44&gt;='1-Input'!$C$12,'1-Input'!$B$12,0))/(('P-Parametri'!$B$31*F43)*(1+$B44)+('P-Parametri'!$C$31*F43)*(1+'P-Parametri'!$C$29)+('P-Parametri'!$D$31*F43)*(1+'1-Input'!$B$27))),(('P-Parametri'!$B$31*F43)-MAX(0,'8-Kitces'!$C$5-IF($A44&gt;='1-Input'!$C$12,'1-Input'!$B$12,0))*'P-Parametri'!$B$31)*(1+$B44))</f>
        <v>232748.15065607164</v>
      </c>
      <c r="D44" s="31">
        <f>IF($B$4=1,('P-Parametri'!$C$31*F43)*(1+'P-Parametri'!$C$29)*(1-MAX(0,'8-Kitces'!$C$5-IF($A44&gt;='1-Input'!$C$12,'1-Input'!$B$12,0))/(('P-Parametri'!$B$31*F43)*(1+$B44)+('P-Parametri'!$C$31*F43)*(1+'P-Parametri'!$C$29)+('P-Parametri'!$D$31*F43)*(1+'1-Input'!$B$27))),(('P-Parametri'!$C$31*F43)-MAX(0,'8-Kitces'!$C$5-IF($A44&gt;='1-Input'!$C$12,'1-Input'!$B$12,0))*'P-Parametri'!$C$31)*(1+'P-Parametri'!$C$29))</f>
        <v>109456.83876706671</v>
      </c>
      <c r="E44" s="31">
        <f>IF($B$4=1,('P-Parametri'!$D$31*F43)*(1+'1-Input'!$B$27)*(1-MAX(0,'8-Kitces'!$C$5-IF($A44&gt;='1-Input'!$C$12,'1-Input'!$B$12,0))/(('P-Parametri'!$B$31*F43)*(1+$B44)+('P-Parametri'!$C$31*F43)*(1+'P-Parametri'!$C$29)+('P-Parametri'!$D$31*F43)*(1+'1-Input'!$B$27))),(('P-Parametri'!$D$31*F43)-MAX(0,'8-Kitces'!$C$5-IF($A44&gt;='1-Input'!$C$12,'1-Input'!$B$12,0))*'P-Parametri'!$D$31)*(1+'1-Input'!$B$27))</f>
        <v>36173.39772719911</v>
      </c>
      <c r="F44" s="31">
        <f t="shared" si="0"/>
        <v>378378.38715033745</v>
      </c>
      <c r="H44" s="31">
        <f>IF($B$4=1,IF($B$4=1,('P-Parametri'!$B$31*K43)*(1+$B44),('P-Parametri'!$B$31*K43))-N44,(IF($B$4=1,('P-Parametri'!$B$31*K43)*(1+$B44),('P-Parametri'!$B$31*K43))-N44)*(1+$B44))</f>
        <v>233915.6486024324</v>
      </c>
      <c r="I44" s="31">
        <f>IF($B$4=1,IF($B$4=1,('P-Parametri'!$C$31*K43)*(1+'P-Parametri'!$C$29),('P-Parametri'!$C$31*K43))-M44,(IF($B$4=1,('P-Parametri'!$C$31*K43)*(1+'P-Parametri'!$C$29),('P-Parametri'!$C$31*K43))-M44)*(1+'P-Parametri'!$C$29))</f>
        <v>110005.88989428502</v>
      </c>
      <c r="J44" s="31">
        <f>IF($B$4=1,IF($B$4=1,('P-Parametri'!$D$31*K43)*(1+'1-Input'!$B$27),('P-Parametri'!$D$31*K43))-L44,(IF($B$4=1,('P-Parametri'!$D$31*K43)*(1+'1-Input'!$B$27),('P-Parametri'!$D$31*K43))-L44)*(1+'1-Input'!$B$27))</f>
        <v>34456.848653620444</v>
      </c>
      <c r="K44" s="31">
        <f t="shared" si="1"/>
        <v>378378.38715033786</v>
      </c>
      <c r="L44" s="31">
        <f>MIN(MAX(IF($B$4=1,('P-Parametri'!$D$31*K43)*(1+'1-Input'!$B$27),('P-Parametri'!$D$31*K43)),0),MAX(0,'8-Kitces'!$C$5-IF($A44&gt;='1-Input'!$C$12,'1-Input'!$B$12,0)))</f>
        <v>1898</v>
      </c>
      <c r="M44" s="31">
        <f>MIN(MAX(IF($B$4=1,('P-Parametri'!$C$31*K43)*(1+'P-Parametri'!$C$29),('P-Parametri'!$C$31*K43)),0),MAX(0,'8-Kitces'!$C$5-IF($A44&gt;='1-Input'!$C$12,'1-Input'!$B$12,0))-L44)</f>
        <v>0</v>
      </c>
      <c r="N44" s="31">
        <f>MAX(0,'8-Kitces'!$C$5-IF($A44&gt;='1-Input'!$C$12,'1-Input'!$B$12,0))-L44-M44</f>
        <v>0</v>
      </c>
    </row>
    <row r="45" spans="1:14">
      <c r="A45" s="10">
        <f>35</f>
        <v>35</v>
      </c>
      <c r="B45" s="11">
        <f>IF(A45=1,'P-Parametri'!$B$30,IF(A45=2,'P-Parametri'!$C$30,'P-Parametri'!$B$29))</f>
        <v>6.8512000000000003E-2</v>
      </c>
      <c r="C45" s="31">
        <f>IF($B$4=1,('P-Parametri'!$B$31*F44)*(1+$B45)*(1-MAX(0,'8-Kitces'!$C$5-IF($A45&gt;='1-Input'!$C$12,'1-Input'!$B$12,0))/(('P-Parametri'!$B$31*F44)*(1+$B45)+('P-Parametri'!$C$31*F44)*(1+'P-Parametri'!$C$29)+('P-Parametri'!$D$31*F44)*(1+'1-Input'!$B$27))),(('P-Parametri'!$B$31*F44)-MAX(0,'8-Kitces'!$C$5-IF($A45&gt;='1-Input'!$C$12,'1-Input'!$B$12,0))*'P-Parametri'!$B$31)*(1+$B45))</f>
        <v>241413.61038010829</v>
      </c>
      <c r="D45" s="31">
        <f>IF($B$4=1,('P-Parametri'!$C$31*F44)*(1+'P-Parametri'!$C$29)*(1-MAX(0,'8-Kitces'!$C$5-IF($A45&gt;='1-Input'!$C$12,'1-Input'!$B$12,0))/(('P-Parametri'!$B$31*F44)*(1+$B45)+('P-Parametri'!$C$31*F44)*(1+'P-Parametri'!$C$29)+('P-Parametri'!$D$31*F44)*(1+'1-Input'!$B$27))),(('P-Parametri'!$C$31*F44)-MAX(0,'8-Kitces'!$C$5-IF($A45&gt;='1-Input'!$C$12,'1-Input'!$B$12,0))*'P-Parametri'!$C$31)*(1+'P-Parametri'!$C$29))</f>
        <v>113532.03259860854</v>
      </c>
      <c r="E45" s="31">
        <f>IF($B$4=1,('P-Parametri'!$D$31*F44)*(1+'1-Input'!$B$27)*(1-MAX(0,'8-Kitces'!$C$5-IF($A45&gt;='1-Input'!$C$12,'1-Input'!$B$12,0))/(('P-Parametri'!$B$31*F44)*(1+$B45)+('P-Parametri'!$C$31*F44)*(1+'P-Parametri'!$C$29)+('P-Parametri'!$D$31*F44)*(1+'1-Input'!$B$27))),(('P-Parametri'!$D$31*F44)-MAX(0,'8-Kitces'!$C$5-IF($A45&gt;='1-Input'!$C$12,'1-Input'!$B$12,0))*'P-Parametri'!$D$31)*(1+'1-Input'!$B$27))</f>
        <v>37520.171569238322</v>
      </c>
      <c r="F45" s="31">
        <f t="shared" si="0"/>
        <v>392465.81454795512</v>
      </c>
      <c r="H45" s="31">
        <f>IF($B$4=1,IF($B$4=1,('P-Parametri'!$B$31*K44)*(1+$B45),('P-Parametri'!$B$31*K44))-N45,(IF($B$4=1,('P-Parametri'!$B$31*K44)*(1+$B45),('P-Parametri'!$B$31*K44))-N45)*(1+$B45))</f>
        <v>242581.10832646905</v>
      </c>
      <c r="I45" s="31">
        <f>IF($B$4=1,IF($B$4=1,('P-Parametri'!$C$31*K44)*(1+'P-Parametri'!$C$29),('P-Parametri'!$C$31*K44))-M45,(IF($B$4=1,('P-Parametri'!$C$31*K44)*(1+'P-Parametri'!$C$29),('P-Parametri'!$C$31*K44))-M45)*(1+'P-Parametri'!$C$29))</f>
        <v>114081.08372582684</v>
      </c>
      <c r="J45" s="31">
        <f>IF($B$4=1,IF($B$4=1,('P-Parametri'!$D$31*K44)*(1+'1-Input'!$B$27),('P-Parametri'!$D$31*K44))-L45,(IF($B$4=1,('P-Parametri'!$D$31*K44)*(1+'1-Input'!$B$27),('P-Parametri'!$D$31*K44))-L45)*(1+'1-Input'!$B$27))</f>
        <v>35803.622495659663</v>
      </c>
      <c r="K45" s="31">
        <f t="shared" si="1"/>
        <v>392465.81454795558</v>
      </c>
      <c r="L45" s="31">
        <f>MIN(MAX(IF($B$4=1,('P-Parametri'!$D$31*K44)*(1+'1-Input'!$B$27),('P-Parametri'!$D$31*K44)),0),MAX(0,'8-Kitces'!$C$5-IF($A45&gt;='1-Input'!$C$12,'1-Input'!$B$12,0)))</f>
        <v>1898</v>
      </c>
      <c r="M45" s="31">
        <f>MIN(MAX(IF($B$4=1,('P-Parametri'!$C$31*K44)*(1+'P-Parametri'!$C$29),('P-Parametri'!$C$31*K44)),0),MAX(0,'8-Kitces'!$C$5-IF($A45&gt;='1-Input'!$C$12,'1-Input'!$B$12,0))-L45)</f>
        <v>0</v>
      </c>
      <c r="N45" s="31">
        <f>MAX(0,'8-Kitces'!$C$5-IF($A45&gt;='1-Input'!$C$12,'1-Input'!$B$12,0))-L45-M45</f>
        <v>0</v>
      </c>
    </row>
    <row r="46" spans="1:14">
      <c r="A46" s="10">
        <f>36</f>
        <v>36</v>
      </c>
      <c r="B46" s="11">
        <f>IF(A46=1,'P-Parametri'!$B$30,IF(A46=2,'P-Parametri'!$C$30,'P-Parametri'!$B$29))</f>
        <v>6.8512000000000003E-2</v>
      </c>
      <c r="C46" s="31">
        <f>IF($B$4=1,('P-Parametri'!$B$31*F45)*(1+$B46)*(1-MAX(0,'8-Kitces'!$C$5-IF($A46&gt;='1-Input'!$C$12,'1-Input'!$B$12,0))/(('P-Parametri'!$B$31*F45)*(1+$B46)+('P-Parametri'!$C$31*F45)*(1+'P-Parametri'!$C$29)+('P-Parametri'!$D$31*F45)*(1+'1-Input'!$B$27))),(('P-Parametri'!$B$31*F45)-MAX(0,'8-Kitces'!$C$5-IF($A46&gt;='1-Input'!$C$12,'1-Input'!$B$12,0))*'P-Parametri'!$B$31)*(1+$B46))</f>
        <v>250445.16151419823</v>
      </c>
      <c r="D46" s="31">
        <f>IF($B$4=1,('P-Parametri'!$C$31*F45)*(1+'P-Parametri'!$C$29)*(1-MAX(0,'8-Kitces'!$C$5-IF($A46&gt;='1-Input'!$C$12,'1-Input'!$B$12,0))/(('P-Parametri'!$B$31*F45)*(1+$B46)+('P-Parametri'!$C$31*F45)*(1+'P-Parametri'!$C$29)+('P-Parametri'!$D$31*F45)*(1+'1-Input'!$B$27))),(('P-Parametri'!$C$31*F45)-MAX(0,'8-Kitces'!$C$5-IF($A46&gt;='1-Input'!$C$12,'1-Input'!$B$12,0))*'P-Parametri'!$C$31)*(1+'P-Parametri'!$C$29))</f>
        <v>117779.39195899027</v>
      </c>
      <c r="E46" s="31">
        <f>IF($B$4=1,('P-Parametri'!$D$31*F45)*(1+'1-Input'!$B$27)*(1-MAX(0,'8-Kitces'!$C$5-IF($A46&gt;='1-Input'!$C$12,'1-Input'!$B$12,0))/(('P-Parametri'!$B$31*F45)*(1+$B46)+('P-Parametri'!$C$31*F45)*(1+'P-Parametri'!$C$29)+('P-Parametri'!$D$31*F45)*(1+'1-Input'!$B$27))),(('P-Parametri'!$D$31*F45)-MAX(0,'8-Kitces'!$C$5-IF($A46&gt;='1-Input'!$C$12,'1-Input'!$B$12,0))*'P-Parametri'!$D$31)*(1+'1-Input'!$B$27))</f>
        <v>38923.842835136958</v>
      </c>
      <c r="F46" s="31">
        <f t="shared" si="0"/>
        <v>407148.39630832546</v>
      </c>
      <c r="H46" s="31">
        <f>IF($B$4=1,IF($B$4=1,('P-Parametri'!$B$31*K45)*(1+$B46),('P-Parametri'!$B$31*K45))-N46,(IF($B$4=1,('P-Parametri'!$B$31*K45)*(1+$B46),('P-Parametri'!$B$31*K45))-N46)*(1+$B46))</f>
        <v>251612.65946055905</v>
      </c>
      <c r="I46" s="31">
        <f>IF($B$4=1,IF($B$4=1,('P-Parametri'!$C$31*K45)*(1+'P-Parametri'!$C$29),('P-Parametri'!$C$31*K45))-M46,(IF($B$4=1,('P-Parametri'!$C$31*K45)*(1+'P-Parametri'!$C$29),('P-Parametri'!$C$31*K45))-M46)*(1+'P-Parametri'!$C$29))</f>
        <v>118328.44308620859</v>
      </c>
      <c r="J46" s="31">
        <f>IF($B$4=1,IF($B$4=1,('P-Parametri'!$D$31*K45)*(1+'1-Input'!$B$27),('P-Parametri'!$D$31*K45))-L46,(IF($B$4=1,('P-Parametri'!$D$31*K45)*(1+'1-Input'!$B$27),('P-Parametri'!$D$31*K45))-L46)*(1+'1-Input'!$B$27))</f>
        <v>37207.293761558292</v>
      </c>
      <c r="K46" s="31">
        <f t="shared" si="1"/>
        <v>407148.39630832593</v>
      </c>
      <c r="L46" s="31">
        <f>MIN(MAX(IF($B$4=1,('P-Parametri'!$D$31*K45)*(1+'1-Input'!$B$27),('P-Parametri'!$D$31*K45)),0),MAX(0,'8-Kitces'!$C$5-IF($A46&gt;='1-Input'!$C$12,'1-Input'!$B$12,0)))</f>
        <v>1898</v>
      </c>
      <c r="M46" s="31">
        <f>MIN(MAX(IF($B$4=1,('P-Parametri'!$C$31*K45)*(1+'P-Parametri'!$C$29),('P-Parametri'!$C$31*K45)),0),MAX(0,'8-Kitces'!$C$5-IF($A46&gt;='1-Input'!$C$12,'1-Input'!$B$12,0))-L46)</f>
        <v>0</v>
      </c>
      <c r="N46" s="31">
        <f>MAX(0,'8-Kitces'!$C$5-IF($A46&gt;='1-Input'!$C$12,'1-Input'!$B$12,0))-L46-M46</f>
        <v>0</v>
      </c>
    </row>
    <row r="47" spans="1:14">
      <c r="A47" s="10">
        <f>37</f>
        <v>37</v>
      </c>
      <c r="B47" s="11">
        <f>IF(A47=1,'P-Parametri'!$B$30,IF(A47=2,'P-Parametri'!$C$30,'P-Parametri'!$B$29))</f>
        <v>6.8512000000000003E-2</v>
      </c>
      <c r="C47" s="31">
        <f>IF($B$4=1,('P-Parametri'!$B$31*F46)*(1+$B47)*(1-MAX(0,'8-Kitces'!$C$5-IF($A47&gt;='1-Input'!$C$12,'1-Input'!$B$12,0))/(('P-Parametri'!$B$31*F46)*(1+$B47)+('P-Parametri'!$C$31*F46)*(1+'P-Parametri'!$C$29)+('P-Parametri'!$D$31*F46)*(1+'1-Input'!$B$27))),(('P-Parametri'!$B$31*F46)-MAX(0,'8-Kitces'!$C$5-IF($A47&gt;='1-Input'!$C$12,'1-Input'!$B$12,0))*'P-Parametri'!$B$31)*(1+$B47))</f>
        <v>259858.27039536033</v>
      </c>
      <c r="D47" s="31">
        <f>IF($B$4=1,('P-Parametri'!$C$31*F46)*(1+'P-Parametri'!$C$29)*(1-MAX(0,'8-Kitces'!$C$5-IF($A47&gt;='1-Input'!$C$12,'1-Input'!$B$12,0))/(('P-Parametri'!$B$31*F46)*(1+$B47)+('P-Parametri'!$C$31*F46)*(1+'P-Parametri'!$C$29)+('P-Parametri'!$D$31*F46)*(1+'1-Input'!$B$27))),(('P-Parametri'!$C$31*F46)-MAX(0,'8-Kitces'!$C$5-IF($A47&gt;='1-Input'!$C$12,'1-Input'!$B$12,0))*'P-Parametri'!$C$31)*(1+'P-Parametri'!$C$29))</f>
        <v>122206.19035974193</v>
      </c>
      <c r="E47" s="31">
        <f>IF($B$4=1,('P-Parametri'!$D$31*F46)*(1+'1-Input'!$B$27)*(1-MAX(0,'8-Kitces'!$C$5-IF($A47&gt;='1-Input'!$C$12,'1-Input'!$B$12,0))/(('P-Parametri'!$B$31*F46)*(1+$B47)+('P-Parametri'!$C$31*F46)*(1+'P-Parametri'!$C$29)+('P-Parametri'!$D$31*F46)*(1+'1-Input'!$B$27))),(('P-Parametri'!$D$31*F46)-MAX(0,'8-Kitces'!$C$5-IF($A47&gt;='1-Input'!$C$12,'1-Input'!$B$12,0))*'P-Parametri'!$D$31)*(1+'1-Input'!$B$27))</f>
        <v>40386.815281740252</v>
      </c>
      <c r="F47" s="31">
        <f t="shared" si="0"/>
        <v>422451.27603684255</v>
      </c>
      <c r="H47" s="31">
        <f>IF($B$4=1,IF($B$4=1,('P-Parametri'!$B$31*K46)*(1+$B47),('P-Parametri'!$B$31*K46))-N47,(IF($B$4=1,('P-Parametri'!$B$31*K46)*(1+$B47),('P-Parametri'!$B$31*K46))-N47)*(1+$B47))</f>
        <v>261025.76834172112</v>
      </c>
      <c r="I47" s="31">
        <f>IF($B$4=1,IF($B$4=1,('P-Parametri'!$C$31*K46)*(1+'P-Parametri'!$C$29),('P-Parametri'!$C$31*K46))-M47,(IF($B$4=1,('P-Parametri'!$C$31*K46)*(1+'P-Parametri'!$C$29),('P-Parametri'!$C$31*K46))-M47)*(1+'P-Parametri'!$C$29))</f>
        <v>122755.24148696025</v>
      </c>
      <c r="J47" s="31">
        <f>IF($B$4=1,IF($B$4=1,('P-Parametri'!$D$31*K46)*(1+'1-Input'!$B$27),('P-Parametri'!$D$31*K46))-L47,(IF($B$4=1,('P-Parametri'!$D$31*K46)*(1+'1-Input'!$B$27),('P-Parametri'!$D$31*K46))-L47)*(1+'1-Input'!$B$27))</f>
        <v>38670.2662081616</v>
      </c>
      <c r="K47" s="31">
        <f t="shared" si="1"/>
        <v>422451.27603684296</v>
      </c>
      <c r="L47" s="31">
        <f>MIN(MAX(IF($B$4=1,('P-Parametri'!$D$31*K46)*(1+'1-Input'!$B$27),('P-Parametri'!$D$31*K46)),0),MAX(0,'8-Kitces'!$C$5-IF($A47&gt;='1-Input'!$C$12,'1-Input'!$B$12,0)))</f>
        <v>1898</v>
      </c>
      <c r="M47" s="31">
        <f>MIN(MAX(IF($B$4=1,('P-Parametri'!$C$31*K46)*(1+'P-Parametri'!$C$29),('P-Parametri'!$C$31*K46)),0),MAX(0,'8-Kitces'!$C$5-IF($A47&gt;='1-Input'!$C$12,'1-Input'!$B$12,0))-L47)</f>
        <v>0</v>
      </c>
      <c r="N47" s="31">
        <f>MAX(0,'8-Kitces'!$C$5-IF($A47&gt;='1-Input'!$C$12,'1-Input'!$B$12,0))-L47-M47</f>
        <v>0</v>
      </c>
    </row>
    <row r="48" spans="1:14">
      <c r="A48" s="10">
        <f>38</f>
        <v>38</v>
      </c>
      <c r="B48" s="11">
        <f>IF(A48=1,'P-Parametri'!$B$30,IF(A48=2,'P-Parametri'!$C$30,'P-Parametri'!$B$29))</f>
        <v>6.8512000000000003E-2</v>
      </c>
      <c r="C48" s="31">
        <f>IF($B$4=1,('P-Parametri'!$B$31*F47)*(1+$B48)*(1-MAX(0,'8-Kitces'!$C$5-IF($A48&gt;='1-Input'!$C$12,'1-Input'!$B$12,0))/(('P-Parametri'!$B$31*F47)*(1+$B48)+('P-Parametri'!$C$31*F47)*(1+'P-Parametri'!$C$29)+('P-Parametri'!$D$31*F47)*(1+'1-Input'!$B$27))),(('P-Parametri'!$B$31*F47)-MAX(0,'8-Kitces'!$C$5-IF($A48&gt;='1-Input'!$C$12,'1-Input'!$B$12,0))*'P-Parametri'!$B$31)*(1+$B48))</f>
        <v>269669.05677004671</v>
      </c>
      <c r="D48" s="31">
        <f>IF($B$4=1,('P-Parametri'!$C$31*F47)*(1+'P-Parametri'!$C$29)*(1-MAX(0,'8-Kitces'!$C$5-IF($A48&gt;='1-Input'!$C$12,'1-Input'!$B$12,0))/(('P-Parametri'!$B$31*F47)*(1+$B48)+('P-Parametri'!$C$31*F47)*(1+'P-Parametri'!$C$29)+('P-Parametri'!$D$31*F47)*(1+'1-Input'!$B$27))),(('P-Parametri'!$C$31*F47)-MAX(0,'8-Kitces'!$C$5-IF($A48&gt;='1-Input'!$C$12,'1-Input'!$B$12,0))*'P-Parametri'!$C$31)*(1+'P-Parametri'!$C$29))</f>
        <v>126820.00859788981</v>
      </c>
      <c r="E48" s="31">
        <f>IF($B$4=1,('P-Parametri'!$D$31*F47)*(1+'1-Input'!$B$27)*(1-MAX(0,'8-Kitces'!$C$5-IF($A48&gt;='1-Input'!$C$12,'1-Input'!$B$12,0))/(('P-Parametri'!$B$31*F47)*(1+$B48)+('P-Parametri'!$C$31*F47)*(1+'P-Parametri'!$C$29)+('P-Parametri'!$D$31*F47)*(1+'1-Input'!$B$27))),(('P-Parametri'!$D$31*F47)-MAX(0,'8-Kitces'!$C$5-IF($A48&gt;='1-Input'!$C$12,'1-Input'!$B$12,0))*'P-Parametri'!$D$31)*(1+'1-Input'!$B$27))</f>
        <v>41911.594217889702</v>
      </c>
      <c r="F48" s="31">
        <f t="shared" si="0"/>
        <v>438400.65958582622</v>
      </c>
      <c r="H48" s="31">
        <f>IF($B$4=1,IF($B$4=1,('P-Parametri'!$B$31*K47)*(1+$B48),('P-Parametri'!$B$31*K47))-N48,(IF($B$4=1,('P-Parametri'!$B$31*K47)*(1+$B48),('P-Parametri'!$B$31*K47))-N48)*(1+$B48))</f>
        <v>270836.55471640744</v>
      </c>
      <c r="I48" s="31">
        <f>IF($B$4=1,IF($B$4=1,('P-Parametri'!$C$31*K47)*(1+'P-Parametri'!$C$29),('P-Parametri'!$C$31*K47))-M48,(IF($B$4=1,('P-Parametri'!$C$31*K47)*(1+'P-Parametri'!$C$29),('P-Parametri'!$C$31*K47))-M48)*(1+'P-Parametri'!$C$29))</f>
        <v>127369.05972510813</v>
      </c>
      <c r="J48" s="31">
        <f>IF($B$4=1,IF($B$4=1,('P-Parametri'!$D$31*K47)*(1+'1-Input'!$B$27),('P-Parametri'!$D$31*K47))-L48,(IF($B$4=1,('P-Parametri'!$D$31*K47)*(1+'1-Input'!$B$27),('P-Parametri'!$D$31*K47))-L48)*(1+'1-Input'!$B$27))</f>
        <v>40195.045144311029</v>
      </c>
      <c r="K48" s="31">
        <f t="shared" si="1"/>
        <v>438400.65958582662</v>
      </c>
      <c r="L48" s="31">
        <f>MIN(MAX(IF($B$4=1,('P-Parametri'!$D$31*K47)*(1+'1-Input'!$B$27),('P-Parametri'!$D$31*K47)),0),MAX(0,'8-Kitces'!$C$5-IF($A48&gt;='1-Input'!$C$12,'1-Input'!$B$12,0)))</f>
        <v>1898</v>
      </c>
      <c r="M48" s="31">
        <f>MIN(MAX(IF($B$4=1,('P-Parametri'!$C$31*K47)*(1+'P-Parametri'!$C$29),('P-Parametri'!$C$31*K47)),0),MAX(0,'8-Kitces'!$C$5-IF($A48&gt;='1-Input'!$C$12,'1-Input'!$B$12,0))-L48)</f>
        <v>0</v>
      </c>
      <c r="N48" s="31">
        <f>MAX(0,'8-Kitces'!$C$5-IF($A48&gt;='1-Input'!$C$12,'1-Input'!$B$12,0))-L48-M48</f>
        <v>0</v>
      </c>
    </row>
    <row r="49" spans="1:14">
      <c r="A49" s="10">
        <f>39</f>
        <v>39</v>
      </c>
      <c r="B49" s="11">
        <f>IF(A49=1,'P-Parametri'!$B$30,IF(A49=2,'P-Parametri'!$C$30,'P-Parametri'!$B$29))</f>
        <v>6.8512000000000003E-2</v>
      </c>
      <c r="C49" s="31">
        <f>IF($B$4=1,('P-Parametri'!$B$31*F48)*(1+$B49)*(1-MAX(0,'8-Kitces'!$C$5-IF($A49&gt;='1-Input'!$C$12,'1-Input'!$B$12,0))/(('P-Parametri'!$B$31*F48)*(1+$B49)+('P-Parametri'!$C$31*F48)*(1+'P-Parametri'!$C$29)+('P-Parametri'!$D$31*F48)*(1+'1-Input'!$B$27))),(('P-Parametri'!$B$31*F48)-MAX(0,'8-Kitces'!$C$5-IF($A49&gt;='1-Input'!$C$12,'1-Input'!$B$12,0))*'P-Parametri'!$B$31)*(1+$B49))</f>
        <v>279894.32139886165</v>
      </c>
      <c r="D49" s="31">
        <f>IF($B$4=1,('P-Parametri'!$C$31*F48)*(1+'P-Parametri'!$C$29)*(1-MAX(0,'8-Kitces'!$C$5-IF($A49&gt;='1-Input'!$C$12,'1-Input'!$B$12,0))/(('P-Parametri'!$B$31*F48)*(1+$B49)+('P-Parametri'!$C$31*F48)*(1+'P-Parametri'!$C$29)+('P-Parametri'!$D$31*F48)*(1+'1-Input'!$B$27))),(('P-Parametri'!$C$31*F48)-MAX(0,'8-Kitces'!$C$5-IF($A49&gt;='1-Input'!$C$12,'1-Input'!$B$12,0))*'P-Parametri'!$C$31)*(1+'P-Parametri'!$C$29))</f>
        <v>131628.74773790839</v>
      </c>
      <c r="E49" s="31">
        <f>IF($B$4=1,('P-Parametri'!$D$31*F48)*(1+'1-Input'!$B$27)*(1-MAX(0,'8-Kitces'!$C$5-IF($A49&gt;='1-Input'!$C$12,'1-Input'!$B$12,0))/(('P-Parametri'!$B$31*F48)*(1+$B49)+('P-Parametri'!$C$31*F48)*(1+'P-Parametri'!$C$29)+('P-Parametri'!$D$31*F48)*(1+'1-Input'!$B$27))),(('P-Parametri'!$D$31*F48)-MAX(0,'8-Kitces'!$C$5-IF($A49&gt;='1-Input'!$C$12,'1-Input'!$B$12,0))*'P-Parametri'!$D$31)*(1+'1-Input'!$B$27))</f>
        <v>43500.790794710425</v>
      </c>
      <c r="F49" s="31">
        <f t="shared" si="0"/>
        <v>455023.85993148049</v>
      </c>
      <c r="H49" s="31">
        <f>IF($B$4=1,IF($B$4=1,('P-Parametri'!$B$31*K48)*(1+$B49),('P-Parametri'!$B$31*K48))-N49,(IF($B$4=1,('P-Parametri'!$B$31*K48)*(1+$B49),('P-Parametri'!$B$31*K48))-N49)*(1+$B49))</f>
        <v>281061.81934522244</v>
      </c>
      <c r="I49" s="31">
        <f>IF($B$4=1,IF($B$4=1,('P-Parametri'!$C$31*K48)*(1+'P-Parametri'!$C$29),('P-Parametri'!$C$31*K48))-M49,(IF($B$4=1,('P-Parametri'!$C$31*K48)*(1+'P-Parametri'!$C$29),('P-Parametri'!$C$31*K48))-M49)*(1+'P-Parametri'!$C$29))</f>
        <v>132177.79886512671</v>
      </c>
      <c r="J49" s="31">
        <f>IF($B$4=1,IF($B$4=1,('P-Parametri'!$D$31*K48)*(1+'1-Input'!$B$27),('P-Parametri'!$D$31*K48))-L49,(IF($B$4=1,('P-Parametri'!$D$31*K48)*(1+'1-Input'!$B$27),('P-Parametri'!$D$31*K48))-L49)*(1+'1-Input'!$B$27))</f>
        <v>41784.241721131766</v>
      </c>
      <c r="K49" s="31">
        <f t="shared" si="1"/>
        <v>455023.8599314809</v>
      </c>
      <c r="L49" s="31">
        <f>MIN(MAX(IF($B$4=1,('P-Parametri'!$D$31*K48)*(1+'1-Input'!$B$27),('P-Parametri'!$D$31*K48)),0),MAX(0,'8-Kitces'!$C$5-IF($A49&gt;='1-Input'!$C$12,'1-Input'!$B$12,0)))</f>
        <v>1898</v>
      </c>
      <c r="M49" s="31">
        <f>MIN(MAX(IF($B$4=1,('P-Parametri'!$C$31*K48)*(1+'P-Parametri'!$C$29),('P-Parametri'!$C$31*K48)),0),MAX(0,'8-Kitces'!$C$5-IF($A49&gt;='1-Input'!$C$12,'1-Input'!$B$12,0))-L49)</f>
        <v>0</v>
      </c>
      <c r="N49" s="31">
        <f>MAX(0,'8-Kitces'!$C$5-IF($A49&gt;='1-Input'!$C$12,'1-Input'!$B$12,0))-L49-M49</f>
        <v>0</v>
      </c>
    </row>
    <row r="50" spans="1:14">
      <c r="A50" s="10">
        <f>40</f>
        <v>40</v>
      </c>
      <c r="B50" s="11">
        <f>IF(A50=1,'P-Parametri'!$B$30,IF(A50=2,'P-Parametri'!$C$30,'P-Parametri'!$B$29))</f>
        <v>6.8512000000000003E-2</v>
      </c>
      <c r="C50" s="31">
        <f>IF($B$4=1,('P-Parametri'!$B$31*F49)*(1+$B50)*(1-MAX(0,'8-Kitces'!$C$5-IF($A50&gt;='1-Input'!$C$12,'1-Input'!$B$12,0))/(('P-Parametri'!$B$31*F49)*(1+$B50)+('P-Parametri'!$C$31*F49)*(1+'P-Parametri'!$C$29)+('P-Parametri'!$D$31*F49)*(1+'1-Input'!$B$27))),(('P-Parametri'!$B$31*F49)-MAX(0,'8-Kitces'!$C$5-IF($A50&gt;='1-Input'!$C$12,'1-Input'!$B$12,0))*'P-Parametri'!$B$31)*(1+$B50))</f>
        <v>290551.57482750306</v>
      </c>
      <c r="D50" s="31">
        <f>IF($B$4=1,('P-Parametri'!$C$31*F49)*(1+'P-Parametri'!$C$29)*(1-MAX(0,'8-Kitces'!$C$5-IF($A50&gt;='1-Input'!$C$12,'1-Input'!$B$12,0))/(('P-Parametri'!$B$31*F49)*(1+$B50)+('P-Parametri'!$C$31*F49)*(1+'P-Parametri'!$C$29)+('P-Parametri'!$D$31*F49)*(1+'1-Input'!$B$27))),(('P-Parametri'!$C$31*F49)-MAX(0,'8-Kitces'!$C$5-IF($A50&gt;='1-Input'!$C$12,'1-Input'!$B$12,0))*'P-Parametri'!$C$31)*(1+'P-Parametri'!$C$29))</f>
        <v>136640.64264212313</v>
      </c>
      <c r="E50" s="31">
        <f>IF($B$4=1,('P-Parametri'!$D$31*F49)*(1+'1-Input'!$B$27)*(1-MAX(0,'8-Kitces'!$C$5-IF($A50&gt;='1-Input'!$C$12,'1-Input'!$B$12,0))/(('P-Parametri'!$B$31*F49)*(1+$B50)+('P-Parametri'!$C$31*F49)*(1+'P-Parametri'!$C$29)+('P-Parametri'!$D$31*F49)*(1+'1-Input'!$B$27))),(('P-Parametri'!$D$31*F49)-MAX(0,'8-Kitces'!$C$5-IF($A50&gt;='1-Input'!$C$12,'1-Input'!$B$12,0))*'P-Parametri'!$D$31)*(1+'1-Input'!$B$27))</f>
        <v>45157.126477151425</v>
      </c>
      <c r="F50" s="31">
        <f t="shared" si="0"/>
        <v>472349.34394677763</v>
      </c>
      <c r="H50" s="31">
        <f>IF($B$4=1,IF($B$4=1,('P-Parametri'!$B$31*K49)*(1+$B50),('P-Parametri'!$B$31*K49))-N50,(IF($B$4=1,('P-Parametri'!$B$31*K49)*(1+$B50),('P-Parametri'!$B$31*K49))-N50)*(1+$B50))</f>
        <v>291719.07277386385</v>
      </c>
      <c r="I50" s="31">
        <f>IF($B$4=1,IF($B$4=1,('P-Parametri'!$C$31*K49)*(1+'P-Parametri'!$C$29),('P-Parametri'!$C$31*K49))-M50,(IF($B$4=1,('P-Parametri'!$C$31*K49)*(1+'P-Parametri'!$C$29),('P-Parametri'!$C$31*K49))-M50)*(1+'P-Parametri'!$C$29))</f>
        <v>137189.69376934145</v>
      </c>
      <c r="J50" s="31">
        <f>IF($B$4=1,IF($B$4=1,('P-Parametri'!$D$31*K49)*(1+'1-Input'!$B$27),('P-Parametri'!$D$31*K49))-L50,(IF($B$4=1,('P-Parametri'!$D$31*K49)*(1+'1-Input'!$B$27),('P-Parametri'!$D$31*K49))-L50)*(1+'1-Input'!$B$27))</f>
        <v>43440.577403572759</v>
      </c>
      <c r="K50" s="31">
        <f t="shared" si="1"/>
        <v>472349.34394677804</v>
      </c>
      <c r="L50" s="31">
        <f>MIN(MAX(IF($B$4=1,('P-Parametri'!$D$31*K49)*(1+'1-Input'!$B$27),('P-Parametri'!$D$31*K49)),0),MAX(0,'8-Kitces'!$C$5-IF($A50&gt;='1-Input'!$C$12,'1-Input'!$B$12,0)))</f>
        <v>1898</v>
      </c>
      <c r="M50" s="31">
        <f>MIN(MAX(IF($B$4=1,('P-Parametri'!$C$31*K49)*(1+'P-Parametri'!$C$29),('P-Parametri'!$C$31*K49)),0),MAX(0,'8-Kitces'!$C$5-IF($A50&gt;='1-Input'!$C$12,'1-Input'!$B$12,0))-L50)</f>
        <v>0</v>
      </c>
      <c r="N50" s="31">
        <f>MAX(0,'8-Kitces'!$C$5-IF($A50&gt;='1-Input'!$C$12,'1-Input'!$B$12,0))-L50-M50</f>
        <v>0</v>
      </c>
    </row>
    <row r="51" spans="1:14">
      <c r="A51" s="10">
        <f>41</f>
        <v>41</v>
      </c>
      <c r="B51" s="11">
        <f>IF(A51=1,'P-Parametri'!$B$30,IF(A51=2,'P-Parametri'!$C$30,'P-Parametri'!$B$29))</f>
        <v>6.8512000000000003E-2</v>
      </c>
      <c r="C51" s="31">
        <f>IF($B$4=1,('P-Parametri'!$B$31*F50)*(1+$B51)*(1-MAX(0,'8-Kitces'!$C$5-IF($A51&gt;='1-Input'!$C$12,'1-Input'!$B$12,0))/(('P-Parametri'!$B$31*F50)*(1+$B51)+('P-Parametri'!$C$31*F50)*(1+'P-Parametri'!$C$29)+('P-Parametri'!$D$31*F50)*(1+'1-Input'!$B$27))),(('P-Parametri'!$B$31*F50)-MAX(0,'8-Kitces'!$C$5-IF($A51&gt;='1-Input'!$C$12,'1-Input'!$B$12,0))*'P-Parametri'!$B$31)*(1+$B51))</f>
        <v>301659.06737319502</v>
      </c>
      <c r="D51" s="31">
        <f>IF($B$4=1,('P-Parametri'!$C$31*F50)*(1+'P-Parametri'!$C$29)*(1-MAX(0,'8-Kitces'!$C$5-IF($A51&gt;='1-Input'!$C$12,'1-Input'!$B$12,0))/(('P-Parametri'!$B$31*F50)*(1+$B51)+('P-Parametri'!$C$31*F50)*(1+'P-Parametri'!$C$29)+('P-Parametri'!$D$31*F50)*(1+'1-Input'!$B$27))),(('P-Parametri'!$C$31*F50)-MAX(0,'8-Kitces'!$C$5-IF($A51&gt;='1-Input'!$C$12,'1-Input'!$B$12,0))*'P-Parametri'!$C$31)*(1+'P-Parametri'!$C$29))</f>
        <v>141864.27607273523</v>
      </c>
      <c r="E51" s="31">
        <f>IF($B$4=1,('P-Parametri'!$D$31*F50)*(1+'1-Input'!$B$27)*(1-MAX(0,'8-Kitces'!$C$5-IF($A51&gt;='1-Input'!$C$12,'1-Input'!$B$12,0))/(('P-Parametri'!$B$31*F50)*(1+$B51)+('P-Parametri'!$C$31*F50)*(1+'P-Parametri'!$C$29)+('P-Parametri'!$D$31*F50)*(1+'1-Input'!$B$27))),(('P-Parametri'!$D$31*F50)-MAX(0,'8-Kitces'!$C$5-IF($A51&gt;='1-Input'!$C$12,'1-Input'!$B$12,0))*'P-Parametri'!$D$31)*(1+'1-Input'!$B$27))</f>
        <v>46883.43770443563</v>
      </c>
      <c r="F51" s="31">
        <f t="shared" si="0"/>
        <v>490406.78115036589</v>
      </c>
      <c r="H51" s="31">
        <f>IF($B$4=1,IF($B$4=1,('P-Parametri'!$B$31*K50)*(1+$B51),('P-Parametri'!$B$31*K50))-N51,(IF($B$4=1,('P-Parametri'!$B$31*K50)*(1+$B51),('P-Parametri'!$B$31*K50))-N51)*(1+$B51))</f>
        <v>302826.56531955575</v>
      </c>
      <c r="I51" s="31">
        <f>IF($B$4=1,IF($B$4=1,('P-Parametri'!$C$31*K50)*(1+'P-Parametri'!$C$29),('P-Parametri'!$C$31*K50))-M51,(IF($B$4=1,('P-Parametri'!$C$31*K50)*(1+'P-Parametri'!$C$29),('P-Parametri'!$C$31*K50))-M51)*(1+'P-Parametri'!$C$29))</f>
        <v>142413.32719995355</v>
      </c>
      <c r="J51" s="31">
        <f>IF($B$4=1,IF($B$4=1,('P-Parametri'!$D$31*K50)*(1+'1-Input'!$B$27),('P-Parametri'!$D$31*K50))-L51,(IF($B$4=1,('P-Parametri'!$D$31*K50)*(1+'1-Input'!$B$27),('P-Parametri'!$D$31*K50))-L51)*(1+'1-Input'!$B$27))</f>
        <v>45166.888630856971</v>
      </c>
      <c r="K51" s="31">
        <f t="shared" si="1"/>
        <v>490406.7811503663</v>
      </c>
      <c r="L51" s="31">
        <f>MIN(MAX(IF($B$4=1,('P-Parametri'!$D$31*K50)*(1+'1-Input'!$B$27),('P-Parametri'!$D$31*K50)),0),MAX(0,'8-Kitces'!$C$5-IF($A51&gt;='1-Input'!$C$12,'1-Input'!$B$12,0)))</f>
        <v>1898</v>
      </c>
      <c r="M51" s="31">
        <f>MIN(MAX(IF($B$4=1,('P-Parametri'!$C$31*K50)*(1+'P-Parametri'!$C$29),('P-Parametri'!$C$31*K50)),0),MAX(0,'8-Kitces'!$C$5-IF($A51&gt;='1-Input'!$C$12,'1-Input'!$B$12,0))-L51)</f>
        <v>0</v>
      </c>
      <c r="N51" s="31">
        <f>MAX(0,'8-Kitces'!$C$5-IF($A51&gt;='1-Input'!$C$12,'1-Input'!$B$12,0))-L51-M51</f>
        <v>0</v>
      </c>
    </row>
    <row r="52" spans="1:14">
      <c r="A52" s="10">
        <f>42</f>
        <v>42</v>
      </c>
      <c r="B52" s="11">
        <f>IF(A52=1,'P-Parametri'!$B$30,IF(A52=2,'P-Parametri'!$C$30,'P-Parametri'!$B$29))</f>
        <v>6.8512000000000003E-2</v>
      </c>
      <c r="C52" s="31">
        <f>IF($B$4=1,('P-Parametri'!$B$31*F51)*(1+$B52)*(1-MAX(0,'8-Kitces'!$C$5-IF($A52&gt;='1-Input'!$C$12,'1-Input'!$B$12,0))/(('P-Parametri'!$B$31*F51)*(1+$B52)+('P-Parametri'!$C$31*F51)*(1+'P-Parametri'!$C$29)+('P-Parametri'!$D$31*F51)*(1+'1-Input'!$B$27))),(('P-Parametri'!$B$31*F51)-MAX(0,'8-Kitces'!$C$5-IF($A52&gt;='1-Input'!$C$12,'1-Input'!$B$12,0))*'P-Parametri'!$B$31)*(1+$B52))</f>
        <v>313235.8203779633</v>
      </c>
      <c r="D52" s="31">
        <f>IF($B$4=1,('P-Parametri'!$C$31*F51)*(1+'P-Parametri'!$C$29)*(1-MAX(0,'8-Kitces'!$C$5-IF($A52&gt;='1-Input'!$C$12,'1-Input'!$B$12,0))/(('P-Parametri'!$B$31*F51)*(1+$B52)+('P-Parametri'!$C$31*F51)*(1+'P-Parametri'!$C$29)+('P-Parametri'!$D$31*F51)*(1+'1-Input'!$B$27))),(('P-Parametri'!$C$31*F51)-MAX(0,'8-Kitces'!$C$5-IF($A52&gt;='1-Input'!$C$12,'1-Input'!$B$12,0))*'P-Parametri'!$C$31)*(1+'P-Parametri'!$C$29))</f>
        <v>147308.5933896171</v>
      </c>
      <c r="E52" s="31">
        <f>IF($B$4=1,('P-Parametri'!$D$31*F51)*(1+'1-Input'!$B$27)*(1-MAX(0,'8-Kitces'!$C$5-IF($A52&gt;='1-Input'!$C$12,'1-Input'!$B$12,0))/(('P-Parametri'!$B$31*F51)*(1+$B52)+('P-Parametri'!$C$31*F51)*(1+'P-Parametri'!$C$29)+('P-Parametri'!$D$31*F51)*(1+'1-Input'!$B$27))),(('P-Parametri'!$D$31*F51)-MAX(0,'8-Kitces'!$C$5-IF($A52&gt;='1-Input'!$C$12,'1-Input'!$B$12,0))*'P-Parametri'!$D$31)*(1+'1-Input'!$B$27))</f>
        <v>48682.680747401158</v>
      </c>
      <c r="F52" s="31">
        <f t="shared" si="0"/>
        <v>509227.09451498155</v>
      </c>
      <c r="H52" s="31">
        <f>IF($B$4=1,IF($B$4=1,('P-Parametri'!$B$31*K51)*(1+$B52),('P-Parametri'!$B$31*K51))-N52,(IF($B$4=1,('P-Parametri'!$B$31*K51)*(1+$B52),('P-Parametri'!$B$31*K51))-N52)*(1+$B52))</f>
        <v>314403.31832432409</v>
      </c>
      <c r="I52" s="31">
        <f>IF($B$4=1,IF($B$4=1,('P-Parametri'!$C$31*K51)*(1+'P-Parametri'!$C$29),('P-Parametri'!$C$31*K51))-M52,(IF($B$4=1,('P-Parametri'!$C$31*K51)*(1+'P-Parametri'!$C$29),('P-Parametri'!$C$31*K51))-M52)*(1+'P-Parametri'!$C$29))</f>
        <v>147857.64451683543</v>
      </c>
      <c r="J52" s="31">
        <f>IF($B$4=1,IF($B$4=1,('P-Parametri'!$D$31*K51)*(1+'1-Input'!$B$27),('P-Parametri'!$D$31*K51))-L52,(IF($B$4=1,('P-Parametri'!$D$31*K51)*(1+'1-Input'!$B$27),('P-Parametri'!$D$31*K51))-L52)*(1+'1-Input'!$B$27))</f>
        <v>46966.131673822492</v>
      </c>
      <c r="K52" s="31">
        <f t="shared" si="1"/>
        <v>509227.09451498202</v>
      </c>
      <c r="L52" s="31">
        <f>MIN(MAX(IF($B$4=1,('P-Parametri'!$D$31*K51)*(1+'1-Input'!$B$27),('P-Parametri'!$D$31*K51)),0),MAX(0,'8-Kitces'!$C$5-IF($A52&gt;='1-Input'!$C$12,'1-Input'!$B$12,0)))</f>
        <v>1898</v>
      </c>
      <c r="M52" s="31">
        <f>MIN(MAX(IF($B$4=1,('P-Parametri'!$C$31*K51)*(1+'P-Parametri'!$C$29),('P-Parametri'!$C$31*K51)),0),MAX(0,'8-Kitces'!$C$5-IF($A52&gt;='1-Input'!$C$12,'1-Input'!$B$12,0))-L52)</f>
        <v>0</v>
      </c>
      <c r="N52" s="31">
        <f>MAX(0,'8-Kitces'!$C$5-IF($A52&gt;='1-Input'!$C$12,'1-Input'!$B$12,0))-L52-M52</f>
        <v>0</v>
      </c>
    </row>
    <row r="53" spans="1:14">
      <c r="A53" s="10">
        <f>43</f>
        <v>43</v>
      </c>
      <c r="B53" s="11">
        <f>IF(A53=1,'P-Parametri'!$B$30,IF(A53=2,'P-Parametri'!$C$30,'P-Parametri'!$B$29))</f>
        <v>6.8512000000000003E-2</v>
      </c>
      <c r="C53" s="31">
        <f>IF($B$4=1,('P-Parametri'!$B$31*F52)*(1+$B53)*(1-MAX(0,'8-Kitces'!$C$5-IF($A53&gt;='1-Input'!$C$12,'1-Input'!$B$12,0))/(('P-Parametri'!$B$31*F52)*(1+$B53)+('P-Parametri'!$C$31*F52)*(1+'P-Parametri'!$C$29)+('P-Parametri'!$D$31*F52)*(1+'1-Input'!$B$27))),(('P-Parametri'!$B$31*F52)-MAX(0,'8-Kitces'!$C$5-IF($A53&gt;='1-Input'!$C$12,'1-Input'!$B$12,0))*'P-Parametri'!$B$31)*(1+$B53))</f>
        <v>325301.65878227464</v>
      </c>
      <c r="D53" s="31">
        <f>IF($B$4=1,('P-Parametri'!$C$31*F52)*(1+'P-Parametri'!$C$29)*(1-MAX(0,'8-Kitces'!$C$5-IF($A53&gt;='1-Input'!$C$12,'1-Input'!$B$12,0))/(('P-Parametri'!$B$31*F52)*(1+$B53)+('P-Parametri'!$C$31*F52)*(1+'P-Parametri'!$C$29)+('P-Parametri'!$D$31*F52)*(1+'1-Input'!$B$27))),(('P-Parametri'!$C$31*F52)-MAX(0,'8-Kitces'!$C$5-IF($A53&gt;='1-Input'!$C$12,'1-Input'!$B$12,0))*'P-Parametri'!$C$31)*(1+'P-Parametri'!$C$29))</f>
        <v>152982.91786904875</v>
      </c>
      <c r="E53" s="31">
        <f>IF($B$4=1,('P-Parametri'!$D$31*F52)*(1+'1-Input'!$B$27)*(1-MAX(0,'8-Kitces'!$C$5-IF($A53&gt;='1-Input'!$C$12,'1-Input'!$B$12,0))/(('P-Parametri'!$B$31*F52)*(1+$B53)+('P-Parametri'!$C$31*F52)*(1+'P-Parametri'!$C$29)+('P-Parametri'!$D$31*F52)*(1+'1-Input'!$B$27))),(('P-Parametri'!$D$31*F52)-MAX(0,'8-Kitces'!$C$5-IF($A53&gt;='1-Input'!$C$12,'1-Input'!$B$12,0))*'P-Parametri'!$D$31)*(1+'1-Input'!$B$27))</f>
        <v>50557.936771051463</v>
      </c>
      <c r="F53" s="31">
        <f t="shared" si="0"/>
        <v>528842.51342237485</v>
      </c>
      <c r="H53" s="31">
        <f>IF($B$4=1,IF($B$4=1,('P-Parametri'!$B$31*K52)*(1+$B53),('P-Parametri'!$B$31*K52))-N53,(IF($B$4=1,('P-Parametri'!$B$31*K52)*(1+$B53),('P-Parametri'!$B$31*K52))-N53)*(1+$B53))</f>
        <v>326469.15672863543</v>
      </c>
      <c r="I53" s="31">
        <f>IF($B$4=1,IF($B$4=1,('P-Parametri'!$C$31*K52)*(1+'P-Parametri'!$C$29),('P-Parametri'!$C$31*K52))-M53,(IF($B$4=1,('P-Parametri'!$C$31*K52)*(1+'P-Parametri'!$C$29),('P-Parametri'!$C$31*K52))-M53)*(1+'P-Parametri'!$C$29))</f>
        <v>153531.96899626707</v>
      </c>
      <c r="J53" s="31">
        <f>IF($B$4=1,IF($B$4=1,('P-Parametri'!$D$31*K52)*(1+'1-Input'!$B$27),('P-Parametri'!$D$31*K52))-L53,(IF($B$4=1,('P-Parametri'!$D$31*K52)*(1+'1-Input'!$B$27),('P-Parametri'!$D$31*K52))-L53)*(1+'1-Input'!$B$27))</f>
        <v>48841.387697472805</v>
      </c>
      <c r="K53" s="31">
        <f t="shared" si="1"/>
        <v>528842.51342237531</v>
      </c>
      <c r="L53" s="31">
        <f>MIN(MAX(IF($B$4=1,('P-Parametri'!$D$31*K52)*(1+'1-Input'!$B$27),('P-Parametri'!$D$31*K52)),0),MAX(0,'8-Kitces'!$C$5-IF($A53&gt;='1-Input'!$C$12,'1-Input'!$B$12,0)))</f>
        <v>1898</v>
      </c>
      <c r="M53" s="31">
        <f>MIN(MAX(IF($B$4=1,('P-Parametri'!$C$31*K52)*(1+'P-Parametri'!$C$29),('P-Parametri'!$C$31*K52)),0),MAX(0,'8-Kitces'!$C$5-IF($A53&gt;='1-Input'!$C$12,'1-Input'!$B$12,0))-L53)</f>
        <v>0</v>
      </c>
      <c r="N53" s="31">
        <f>MAX(0,'8-Kitces'!$C$5-IF($A53&gt;='1-Input'!$C$12,'1-Input'!$B$12,0))-L53-M53</f>
        <v>0</v>
      </c>
    </row>
    <row r="54" spans="1:14">
      <c r="A54" s="10">
        <f>44</f>
        <v>44</v>
      </c>
      <c r="B54" s="11">
        <f>IF(A54=1,'P-Parametri'!$B$30,IF(A54=2,'P-Parametri'!$C$30,'P-Parametri'!$B$29))</f>
        <v>6.8512000000000003E-2</v>
      </c>
      <c r="C54" s="31">
        <f>IF($B$4=1,('P-Parametri'!$B$31*F53)*(1+$B54)*(1-MAX(0,'8-Kitces'!$C$5-IF($A54&gt;='1-Input'!$C$12,'1-Input'!$B$12,0))/(('P-Parametri'!$B$31*F53)*(1+$B54)+('P-Parametri'!$C$31*F53)*(1+'P-Parametri'!$C$29)+('P-Parametri'!$D$31*F53)*(1+'1-Input'!$B$27))),(('P-Parametri'!$B$31*F53)-MAX(0,'8-Kitces'!$C$5-IF($A54&gt;='1-Input'!$C$12,'1-Input'!$B$12,0))*'P-Parametri'!$B$31)*(1+$B54))</f>
        <v>337877.24507482053</v>
      </c>
      <c r="D54" s="31">
        <f>IF($B$4=1,('P-Parametri'!$C$31*F53)*(1+'P-Parametri'!$C$29)*(1-MAX(0,'8-Kitces'!$C$5-IF($A54&gt;='1-Input'!$C$12,'1-Input'!$B$12,0))/(('P-Parametri'!$B$31*F53)*(1+$B54)+('P-Parametri'!$C$31*F53)*(1+'P-Parametri'!$C$29)+('P-Parametri'!$D$31*F53)*(1+'1-Input'!$B$27))),(('P-Parametri'!$C$31*F53)-MAX(0,'8-Kitces'!$C$5-IF($A54&gt;='1-Input'!$C$12,'1-Input'!$B$12,0))*'P-Parametri'!$C$31)*(1+'P-Parametri'!$C$29))</f>
        <v>158896.96666962779</v>
      </c>
      <c r="E54" s="31">
        <f>IF($B$4=1,('P-Parametri'!$D$31*F53)*(1+'1-Input'!$B$27)*(1-MAX(0,'8-Kitces'!$C$5-IF($A54&gt;='1-Input'!$C$12,'1-Input'!$B$12,0))/(('P-Parametri'!$B$31*F53)*(1+$B54)+('P-Parametri'!$C$31*F53)*(1+'P-Parametri'!$C$29)+('P-Parametri'!$D$31*F53)*(1+'1-Input'!$B$27))),(('P-Parametri'!$D$31*F53)-MAX(0,'8-Kitces'!$C$5-IF($A54&gt;='1-Input'!$C$12,'1-Input'!$B$12,0))*'P-Parametri'!$D$31)*(1+'1-Input'!$B$27))</f>
        <v>52512.417110984134</v>
      </c>
      <c r="F54" s="31">
        <f t="shared" si="0"/>
        <v>549286.62885543238</v>
      </c>
      <c r="H54" s="31">
        <f>IF($B$4=1,IF($B$4=1,('P-Parametri'!$B$31*K53)*(1+$B54),('P-Parametri'!$B$31*K53))-N54,(IF($B$4=1,('P-Parametri'!$B$31*K53)*(1+$B54),('P-Parametri'!$B$31*K53))-N54)*(1+$B54))</f>
        <v>339044.74302118144</v>
      </c>
      <c r="I54" s="31">
        <f>IF($B$4=1,IF($B$4=1,('P-Parametri'!$C$31*K53)*(1+'P-Parametri'!$C$29),('P-Parametri'!$C$31*K53))-M54,(IF($B$4=1,('P-Parametri'!$C$31*K53)*(1+'P-Parametri'!$C$29),('P-Parametri'!$C$31*K53))-M54)*(1+'P-Parametri'!$C$29))</f>
        <v>159446.01779684614</v>
      </c>
      <c r="J54" s="31">
        <f>IF($B$4=1,IF($B$4=1,('P-Parametri'!$D$31*K53)*(1+'1-Input'!$B$27),('P-Parametri'!$D$31*K53))-L54,(IF($B$4=1,('P-Parametri'!$D$31*K53)*(1+'1-Input'!$B$27),('P-Parametri'!$D$31*K53))-L54)*(1+'1-Input'!$B$27))</f>
        <v>50795.868037405475</v>
      </c>
      <c r="K54" s="31">
        <f t="shared" si="1"/>
        <v>549286.62885543297</v>
      </c>
      <c r="L54" s="31">
        <f>MIN(MAX(IF($B$4=1,('P-Parametri'!$D$31*K53)*(1+'1-Input'!$B$27),('P-Parametri'!$D$31*K53)),0),MAX(0,'8-Kitces'!$C$5-IF($A54&gt;='1-Input'!$C$12,'1-Input'!$B$12,0)))</f>
        <v>1898</v>
      </c>
      <c r="M54" s="31">
        <f>MIN(MAX(IF($B$4=1,('P-Parametri'!$C$31*K53)*(1+'P-Parametri'!$C$29),('P-Parametri'!$C$31*K53)),0),MAX(0,'8-Kitces'!$C$5-IF($A54&gt;='1-Input'!$C$12,'1-Input'!$B$12,0))-L54)</f>
        <v>0</v>
      </c>
      <c r="N54" s="31">
        <f>MAX(0,'8-Kitces'!$C$5-IF($A54&gt;='1-Input'!$C$12,'1-Input'!$B$12,0))-L54-M54</f>
        <v>0</v>
      </c>
    </row>
    <row r="55" spans="1:14">
      <c r="A55" s="10">
        <f>45</f>
        <v>45</v>
      </c>
      <c r="B55" s="11">
        <f>IF(A55=1,'P-Parametri'!$B$30,IF(A55=2,'P-Parametri'!$C$30,'P-Parametri'!$B$29))</f>
        <v>6.8512000000000003E-2</v>
      </c>
      <c r="C55" s="31">
        <f>IF($B$4=1,('P-Parametri'!$B$31*F54)*(1+$B55)*(1-MAX(0,'8-Kitces'!$C$5-IF($A55&gt;='1-Input'!$C$12,'1-Input'!$B$12,0))/(('P-Parametri'!$B$31*F54)*(1+$B55)+('P-Parametri'!$C$31*F54)*(1+'P-Parametri'!$C$29)+('P-Parametri'!$D$31*F54)*(1+'1-Input'!$B$27))),(('P-Parametri'!$B$31*F54)-MAX(0,'8-Kitces'!$C$5-IF($A55&gt;='1-Input'!$C$12,'1-Input'!$B$12,0))*'P-Parametri'!$B$31)*(1+$B55))</f>
        <v>350984.1146765849</v>
      </c>
      <c r="D55" s="31">
        <f>IF($B$4=1,('P-Parametri'!$C$31*F54)*(1+'P-Parametri'!$C$29)*(1-MAX(0,'8-Kitces'!$C$5-IF($A55&gt;='1-Input'!$C$12,'1-Input'!$B$12,0))/(('P-Parametri'!$B$31*F54)*(1+$B55)+('P-Parametri'!$C$31*F54)*(1+'P-Parametri'!$C$29)+('P-Parametri'!$D$31*F54)*(1+'1-Input'!$B$27))),(('P-Parametri'!$C$31*F54)-MAX(0,'8-Kitces'!$C$5-IF($A55&gt;='1-Input'!$C$12,'1-Input'!$B$12,0))*'P-Parametri'!$C$31)*(1+'P-Parametri'!$C$29))</f>
        <v>165060.86747269463</v>
      </c>
      <c r="E55" s="31">
        <f>IF($B$4=1,('P-Parametri'!$D$31*F54)*(1+'1-Input'!$B$27)*(1-MAX(0,'8-Kitces'!$C$5-IF($A55&gt;='1-Input'!$C$12,'1-Input'!$B$12,0))/(('P-Parametri'!$B$31*F54)*(1+$B55)+('P-Parametri'!$C$31*F54)*(1+'P-Parametri'!$C$29)+('P-Parametri'!$D$31*F54)*(1+'1-Input'!$B$27))),(('P-Parametri'!$D$31*F54)-MAX(0,'8-Kitces'!$C$5-IF($A55&gt;='1-Input'!$C$12,'1-Input'!$B$12,0))*'P-Parametri'!$D$31)*(1+'1-Input'!$B$27))</f>
        <v>54549.468772733984</v>
      </c>
      <c r="F55" s="31">
        <f t="shared" si="0"/>
        <v>570594.45092201349</v>
      </c>
      <c r="H55" s="31">
        <f>IF($B$4=1,IF($B$4=1,('P-Parametri'!$B$31*K54)*(1+$B55),('P-Parametri'!$B$31*K54))-N55,(IF($B$4=1,('P-Parametri'!$B$31*K54)*(1+$B55),('P-Parametri'!$B$31*K54))-N55)*(1+$B55))</f>
        <v>352151.6126229458</v>
      </c>
      <c r="I55" s="31">
        <f>IF($B$4=1,IF($B$4=1,('P-Parametri'!$C$31*K54)*(1+'P-Parametri'!$C$29),('P-Parametri'!$C$31*K54))-M55,(IF($B$4=1,('P-Parametri'!$C$31*K54)*(1+'P-Parametri'!$C$29),('P-Parametri'!$C$31*K54))-M55)*(1+'P-Parametri'!$C$29))</f>
        <v>165609.91859991301</v>
      </c>
      <c r="J55" s="31">
        <f>IF($B$4=1,IF($B$4=1,('P-Parametri'!$D$31*K54)*(1+'1-Input'!$B$27),('P-Parametri'!$D$31*K54))-L55,(IF($B$4=1,('P-Parametri'!$D$31*K54)*(1+'1-Input'!$B$27),('P-Parametri'!$D$31*K54))-L55)*(1+'1-Input'!$B$27))</f>
        <v>52832.91969915534</v>
      </c>
      <c r="K55" s="31">
        <f t="shared" si="1"/>
        <v>570594.45092201419</v>
      </c>
      <c r="L55" s="31">
        <f>MIN(MAX(IF($B$4=1,('P-Parametri'!$D$31*K54)*(1+'1-Input'!$B$27),('P-Parametri'!$D$31*K54)),0),MAX(0,'8-Kitces'!$C$5-IF($A55&gt;='1-Input'!$C$12,'1-Input'!$B$12,0)))</f>
        <v>1898</v>
      </c>
      <c r="M55" s="31">
        <f>MIN(MAX(IF($B$4=1,('P-Parametri'!$C$31*K54)*(1+'P-Parametri'!$C$29),('P-Parametri'!$C$31*K54)),0),MAX(0,'8-Kitces'!$C$5-IF($A55&gt;='1-Input'!$C$12,'1-Input'!$B$12,0))-L55)</f>
        <v>0</v>
      </c>
      <c r="N55" s="31">
        <f>MAX(0,'8-Kitces'!$C$5-IF($A55&gt;='1-Input'!$C$12,'1-Input'!$B$12,0))-L55-M55</f>
        <v>0</v>
      </c>
    </row>
    <row r="57" spans="1:14">
      <c r="A57" s="36" t="s">
        <v>469</v>
      </c>
      <c r="B57" s="33"/>
      <c r="C57" s="33"/>
      <c r="D57" s="33"/>
      <c r="E57" s="33"/>
      <c r="F57" s="33"/>
      <c r="G57" s="33"/>
      <c r="H57" s="33"/>
    </row>
    <row r="58" spans="1:14" ht="120">
      <c r="A58" s="5" t="s">
        <v>470</v>
      </c>
      <c r="C58" s="31">
        <f>F55</f>
        <v>570594.45092201349</v>
      </c>
    </row>
    <row r="59" spans="1:14" ht="165">
      <c r="A59" s="5" t="s">
        <v>471</v>
      </c>
      <c r="C59" s="31">
        <f>K55</f>
        <v>570594.45092201419</v>
      </c>
    </row>
    <row r="60" spans="1:14" ht="30">
      <c r="A60" s="5" t="s">
        <v>472</v>
      </c>
      <c r="C60" s="31">
        <f>C59-C58</f>
        <v>0</v>
      </c>
    </row>
    <row r="61" spans="1:14" ht="30">
      <c r="A61" s="5" t="s">
        <v>162</v>
      </c>
      <c r="C61" s="24" t="str">
        <f>IF(ABS(C60)&lt;0.01,"I DUE BRACCI COINCIDONO: il ribilanciamento cancella la scelta della sacca","I DUE BRACCI DIVERGONO: il teorema e caduto")</f>
        <v>I DUE BRACCI COINCIDONO: il ribilanciamento cancella la scelta della sacca</v>
      </c>
    </row>
    <row r="63" spans="1:14" ht="45" customHeight="1">
      <c r="A63" s="35" t="s">
        <v>473</v>
      </c>
      <c r="B63" s="33"/>
      <c r="C63" s="33"/>
      <c r="D63" s="33"/>
      <c r="E63" s="33"/>
      <c r="F63" s="33"/>
      <c r="G63" s="33"/>
      <c r="H63" s="33"/>
    </row>
    <row r="64" spans="1:14" ht="30" customHeight="1">
      <c r="A64" s="35" t="s">
        <v>474</v>
      </c>
      <c r="B64" s="33"/>
      <c r="C64" s="33"/>
      <c r="D64" s="33"/>
      <c r="E64" s="33"/>
      <c r="F64" s="33"/>
      <c r="G64" s="33"/>
      <c r="H64" s="33"/>
    </row>
  </sheetData>
  <mergeCells count="6">
    <mergeCell ref="A57:H57"/>
    <mergeCell ref="A2:H2"/>
    <mergeCell ref="A63:H63"/>
    <mergeCell ref="A64:H64"/>
    <mergeCell ref="A1:H1"/>
    <mergeCell ref="A6:H6"/>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343"/>
  <sheetViews>
    <sheetView workbookViewId="0"/>
  </sheetViews>
  <sheetFormatPr defaultRowHeight="15"/>
  <cols>
    <col min="1" max="1" width="46" customWidth="1"/>
    <col min="2" max="5" width="20" customWidth="1"/>
    <col min="6" max="6" width="18" customWidth="1"/>
    <col min="7" max="46" width="15" customWidth="1"/>
  </cols>
  <sheetData>
    <row r="1" spans="1:6" ht="24.95" customHeight="1">
      <c r="A1" s="34" t="s">
        <v>475</v>
      </c>
      <c r="B1" s="33"/>
      <c r="C1" s="33"/>
      <c r="D1" s="33"/>
      <c r="E1" s="33"/>
      <c r="F1" s="33"/>
    </row>
    <row r="2" spans="1:6" ht="32.1" customHeight="1">
      <c r="A2" s="32" t="s">
        <v>1</v>
      </c>
      <c r="B2" s="33"/>
      <c r="C2" s="33"/>
      <c r="D2" s="33"/>
      <c r="E2" s="33"/>
      <c r="F2" s="33"/>
    </row>
    <row r="4" spans="1:6" ht="30">
      <c r="A4" s="5" t="s">
        <v>476</v>
      </c>
      <c r="B4" s="7">
        <v>13000</v>
      </c>
    </row>
    <row r="5" spans="1:6">
      <c r="A5" s="5" t="s">
        <v>477</v>
      </c>
      <c r="B5" s="20">
        <f>'1-Input'!$B$10</f>
        <v>19800</v>
      </c>
    </row>
    <row r="6" spans="1:6" ht="60" customHeight="1">
      <c r="A6" s="35" t="s">
        <v>478</v>
      </c>
      <c r="B6" s="33"/>
      <c r="C6" s="33"/>
      <c r="D6" s="33"/>
      <c r="E6" s="33"/>
      <c r="F6" s="33"/>
    </row>
    <row r="8" spans="1:6">
      <c r="A8" s="36" t="s">
        <v>479</v>
      </c>
      <c r="B8" s="33"/>
      <c r="C8" s="33"/>
      <c r="D8" s="33"/>
      <c r="E8" s="33"/>
      <c r="F8" s="33"/>
    </row>
    <row r="9" spans="1:6" ht="30">
      <c r="A9" s="25" t="s">
        <v>480</v>
      </c>
      <c r="B9" s="25" t="s">
        <v>481</v>
      </c>
      <c r="C9" s="25" t="s">
        <v>338</v>
      </c>
      <c r="D9" s="25" t="s">
        <v>482</v>
      </c>
      <c r="E9" s="25" t="s">
        <v>483</v>
      </c>
    </row>
    <row r="10" spans="1:6">
      <c r="A10" s="5" t="s">
        <v>484</v>
      </c>
      <c r="B10" s="18">
        <f>AF245</f>
        <v>458176.88084394048</v>
      </c>
      <c r="C10" s="18">
        <f>AE245</f>
        <v>51597.245718638384</v>
      </c>
      <c r="D10" s="18">
        <f>B10-$B$10</f>
        <v>0</v>
      </c>
      <c r="E10" s="11">
        <f>B10/$B$10-1</f>
        <v>0</v>
      </c>
    </row>
    <row r="11" spans="1:6">
      <c r="A11" s="5" t="s">
        <v>485</v>
      </c>
      <c r="B11" s="18">
        <f>BL245</f>
        <v>465441.5281110917</v>
      </c>
      <c r="C11" s="18">
        <f>BK245</f>
        <v>50250.010738931356</v>
      </c>
      <c r="D11" s="18">
        <f>B11-$B$10</f>
        <v>7264.6472671512165</v>
      </c>
      <c r="E11" s="11">
        <f>B11/$B$10-1</f>
        <v>1.585555179861986E-2</v>
      </c>
    </row>
    <row r="12" spans="1:6" ht="30">
      <c r="A12" s="5" t="s">
        <v>486</v>
      </c>
      <c r="B12" s="18">
        <f>F343</f>
        <v>493808.01180807344</v>
      </c>
      <c r="C12" s="18">
        <f>H343</f>
        <v>28230.5103836255</v>
      </c>
      <c r="D12" s="18">
        <f>B12-$B$10</f>
        <v>35631.130964132957</v>
      </c>
      <c r="E12" s="11">
        <f>B12/$B$10-1</f>
        <v>7.7767195277295587E-2</v>
      </c>
    </row>
    <row r="13" spans="1:6">
      <c r="A13" s="5" t="s">
        <v>487</v>
      </c>
      <c r="B13" s="18">
        <f>CR245</f>
        <v>442815.82082636986</v>
      </c>
      <c r="C13" s="18">
        <f>CQ245</f>
        <v>54656.745345947027</v>
      </c>
      <c r="D13" s="18">
        <f>B13-$B$10</f>
        <v>-15361.06001757062</v>
      </c>
      <c r="E13" s="11">
        <f>B13/$B$10-1</f>
        <v>-3.3526484333465834E-2</v>
      </c>
    </row>
    <row r="14" spans="1:6" ht="30">
      <c r="A14" s="5" t="s">
        <v>488</v>
      </c>
      <c r="B14" s="18">
        <f>N343</f>
        <v>460387.68761462253</v>
      </c>
      <c r="C14" s="18">
        <f>P343</f>
        <v>27388.17775665475</v>
      </c>
      <c r="D14" s="18">
        <f>B14-$B$10</f>
        <v>2210.8067706820439</v>
      </c>
      <c r="E14" s="11">
        <f>B14/$B$10-1</f>
        <v>4.825225503761521E-3</v>
      </c>
    </row>
    <row r="16" spans="1:6">
      <c r="A16" s="36" t="s">
        <v>489</v>
      </c>
      <c r="B16" s="33"/>
      <c r="C16" s="33"/>
      <c r="D16" s="33"/>
      <c r="E16" s="33"/>
      <c r="F16" s="33"/>
    </row>
    <row r="17" spans="1:6">
      <c r="A17" s="5" t="s">
        <v>490</v>
      </c>
      <c r="B17" s="18">
        <f>B12-B10</f>
        <v>35631.130964132957</v>
      </c>
      <c r="C17" s="11">
        <f>B12/B10-1</f>
        <v>7.7767195277295587E-2</v>
      </c>
    </row>
    <row r="18" spans="1:6" ht="30">
      <c r="A18" s="5" t="s">
        <v>491</v>
      </c>
      <c r="B18" s="18">
        <f>B13-B10</f>
        <v>-15361.06001757062</v>
      </c>
      <c r="C18" s="11">
        <f>B13/B10-1</f>
        <v>-3.3526484333465834E-2</v>
      </c>
    </row>
    <row r="19" spans="1:6" ht="30">
      <c r="A19" s="5" t="s">
        <v>492</v>
      </c>
      <c r="B19" s="18">
        <f>B14-B12</f>
        <v>-33420.324193450913</v>
      </c>
      <c r="C19" s="11">
        <f>B14/B12-1</f>
        <v>-6.7678780810142558E-2</v>
      </c>
    </row>
    <row r="20" spans="1:6">
      <c r="A20" s="5" t="s">
        <v>493</v>
      </c>
      <c r="B20" s="18">
        <f>B17+B18+B19</f>
        <v>-13150.253246888577</v>
      </c>
      <c r="C20" s="11">
        <f>B20/B10</f>
        <v>-2.870125882970442E-2</v>
      </c>
    </row>
    <row r="21" spans="1:6" ht="30">
      <c r="A21" s="5" t="s">
        <v>494</v>
      </c>
      <c r="B21" s="18">
        <f>C10</f>
        <v>51597.245718638384</v>
      </c>
      <c r="C21" s="18">
        <f>C12</f>
        <v>28230.5103836255</v>
      </c>
      <c r="D21" s="18">
        <f>C12-C10</f>
        <v>-23366.735335012883</v>
      </c>
    </row>
    <row r="23" spans="1:6">
      <c r="A23" s="36" t="s">
        <v>495</v>
      </c>
      <c r="B23" s="33"/>
      <c r="C23" s="33"/>
      <c r="D23" s="33"/>
      <c r="E23" s="33"/>
      <c r="F23" s="33"/>
    </row>
    <row r="24" spans="1:6" ht="30">
      <c r="A24" s="5" t="s">
        <v>496</v>
      </c>
      <c r="B24" s="18">
        <f>B10</f>
        <v>458176.88084394048</v>
      </c>
      <c r="C24" s="18">
        <f>C10</f>
        <v>51597.245718638384</v>
      </c>
    </row>
    <row r="25" spans="1:6" ht="30">
      <c r="A25" s="5" t="s">
        <v>497</v>
      </c>
      <c r="B25" s="18">
        <f>B11</f>
        <v>465441.5281110917</v>
      </c>
      <c r="C25" s="18">
        <f>C11</f>
        <v>50250.010738931356</v>
      </c>
    </row>
    <row r="26" spans="1:6" ht="30">
      <c r="A26" s="5" t="s">
        <v>498</v>
      </c>
      <c r="B26" s="18">
        <f>B25-B24</f>
        <v>7264.6472671512165</v>
      </c>
      <c r="C26" s="11">
        <f>B25/B24-1</f>
        <v>1.585555179861986E-2</v>
      </c>
      <c r="D26" s="18">
        <f>C25-C24</f>
        <v>-1347.2349797070274</v>
      </c>
    </row>
    <row r="27" spans="1:6" ht="30">
      <c r="A27" s="5" t="s">
        <v>499</v>
      </c>
      <c r="B27" s="24" t="str">
        <f>IF(SIGN(B26)=-SIGN(D26),"COERENTE","INCOERENTE: rivedere il modello")</f>
        <v>COERENTE</v>
      </c>
    </row>
    <row r="28" spans="1:6" ht="60" customHeight="1">
      <c r="A28" s="35" t="s">
        <v>500</v>
      </c>
      <c r="B28" s="33"/>
      <c r="C28" s="33"/>
      <c r="D28" s="33"/>
      <c r="E28" s="33"/>
      <c r="F28" s="33"/>
    </row>
    <row r="30" spans="1:6">
      <c r="A30" s="36" t="s">
        <v>501</v>
      </c>
      <c r="B30" s="33"/>
      <c r="C30" s="33"/>
      <c r="D30" s="33"/>
      <c r="E30" s="33"/>
      <c r="F30" s="33"/>
    </row>
    <row r="31" spans="1:6" ht="30">
      <c r="A31" s="25" t="s">
        <v>480</v>
      </c>
      <c r="B31" s="25" t="s">
        <v>502</v>
      </c>
    </row>
    <row r="32" spans="1:6">
      <c r="A32" s="5" t="s">
        <v>503</v>
      </c>
      <c r="B32" s="10">
        <f>SUM(AG250:AG294)</f>
        <v>21</v>
      </c>
    </row>
    <row r="33" spans="1:6">
      <c r="A33" s="5" t="s">
        <v>485</v>
      </c>
      <c r="B33" s="10">
        <f>SUM(BM250:BM294)</f>
        <v>21</v>
      </c>
    </row>
    <row r="34" spans="1:6">
      <c r="A34" s="5" t="s">
        <v>504</v>
      </c>
      <c r="B34" s="10">
        <f>SUM(Y299:Y343)</f>
        <v>20</v>
      </c>
    </row>
    <row r="35" spans="1:6" ht="30" customHeight="1">
      <c r="A35" s="35" t="s">
        <v>505</v>
      </c>
      <c r="B35" s="33"/>
      <c r="C35" s="33"/>
      <c r="D35" s="33"/>
      <c r="E35" s="33"/>
      <c r="F35" s="33"/>
    </row>
    <row r="36" spans="1:6" ht="45" customHeight="1">
      <c r="A36" s="35" t="s">
        <v>506</v>
      </c>
      <c r="B36" s="33"/>
      <c r="C36" s="33"/>
      <c r="D36" s="33"/>
      <c r="E36" s="33"/>
      <c r="F36" s="33"/>
    </row>
    <row r="199" spans="1:97" ht="60">
      <c r="A199" s="25" t="s">
        <v>262</v>
      </c>
      <c r="C199" s="25" t="s">
        <v>507</v>
      </c>
      <c r="D199" s="25" t="s">
        <v>508</v>
      </c>
      <c r="E199" s="25" t="s">
        <v>509</v>
      </c>
      <c r="F199" s="25" t="s">
        <v>510</v>
      </c>
      <c r="G199" s="25" t="s">
        <v>511</v>
      </c>
      <c r="H199" s="25" t="s">
        <v>512</v>
      </c>
      <c r="I199" s="25" t="s">
        <v>513</v>
      </c>
      <c r="J199" s="25" t="s">
        <v>514</v>
      </c>
      <c r="K199" s="25" t="s">
        <v>515</v>
      </c>
      <c r="L199" s="25" t="s">
        <v>516</v>
      </c>
      <c r="M199" s="25" t="s">
        <v>517</v>
      </c>
      <c r="N199" s="25" t="s">
        <v>518</v>
      </c>
      <c r="O199" s="25" t="s">
        <v>519</v>
      </c>
      <c r="P199" s="25" t="s">
        <v>520</v>
      </c>
      <c r="Q199" s="25" t="s">
        <v>521</v>
      </c>
      <c r="R199" s="25" t="s">
        <v>522</v>
      </c>
      <c r="S199" s="25" t="s">
        <v>523</v>
      </c>
      <c r="T199" s="25" t="s">
        <v>524</v>
      </c>
      <c r="U199" s="25" t="s">
        <v>525</v>
      </c>
      <c r="V199" s="25" t="s">
        <v>526</v>
      </c>
      <c r="W199" s="25" t="s">
        <v>527</v>
      </c>
      <c r="X199" s="25" t="s">
        <v>528</v>
      </c>
      <c r="Y199" s="25" t="s">
        <v>529</v>
      </c>
      <c r="Z199" s="25" t="s">
        <v>516</v>
      </c>
      <c r="AA199" s="25" t="s">
        <v>530</v>
      </c>
      <c r="AB199" s="25" t="s">
        <v>518</v>
      </c>
      <c r="AC199" s="25" t="s">
        <v>531</v>
      </c>
      <c r="AD199" s="25" t="s">
        <v>520</v>
      </c>
      <c r="AE199" s="25" t="s">
        <v>381</v>
      </c>
      <c r="AF199" s="25" t="s">
        <v>439</v>
      </c>
      <c r="AG199" s="25" t="s">
        <v>305</v>
      </c>
      <c r="AI199" s="25" t="s">
        <v>507</v>
      </c>
      <c r="AJ199" s="25" t="s">
        <v>508</v>
      </c>
      <c r="AK199" s="25" t="s">
        <v>509</v>
      </c>
      <c r="AL199" s="25" t="s">
        <v>510</v>
      </c>
      <c r="AM199" s="25" t="s">
        <v>511</v>
      </c>
      <c r="AN199" s="25" t="s">
        <v>512</v>
      </c>
      <c r="AO199" s="25" t="s">
        <v>513</v>
      </c>
      <c r="AP199" s="25" t="s">
        <v>514</v>
      </c>
      <c r="AQ199" s="25" t="s">
        <v>515</v>
      </c>
      <c r="AR199" s="25" t="s">
        <v>516</v>
      </c>
      <c r="AS199" s="25" t="s">
        <v>517</v>
      </c>
      <c r="AT199" s="25" t="s">
        <v>518</v>
      </c>
      <c r="AU199" s="25" t="s">
        <v>519</v>
      </c>
      <c r="AV199" s="25" t="s">
        <v>520</v>
      </c>
      <c r="AW199" s="25" t="s">
        <v>521</v>
      </c>
      <c r="AX199" s="25" t="s">
        <v>522</v>
      </c>
      <c r="AY199" s="25" t="s">
        <v>523</v>
      </c>
      <c r="AZ199" s="25" t="s">
        <v>524</v>
      </c>
      <c r="BA199" s="25" t="s">
        <v>525</v>
      </c>
      <c r="BB199" s="25" t="s">
        <v>526</v>
      </c>
      <c r="BC199" s="25" t="s">
        <v>527</v>
      </c>
      <c r="BD199" s="25" t="s">
        <v>528</v>
      </c>
      <c r="BE199" s="25" t="s">
        <v>529</v>
      </c>
      <c r="BF199" s="25" t="s">
        <v>516</v>
      </c>
      <c r="BG199" s="25" t="s">
        <v>530</v>
      </c>
      <c r="BH199" s="25" t="s">
        <v>518</v>
      </c>
      <c r="BI199" s="25" t="s">
        <v>531</v>
      </c>
      <c r="BJ199" s="25" t="s">
        <v>520</v>
      </c>
      <c r="BK199" s="25" t="s">
        <v>381</v>
      </c>
      <c r="BL199" s="25" t="s">
        <v>439</v>
      </c>
      <c r="BM199" s="25" t="s">
        <v>305</v>
      </c>
      <c r="BO199" s="25" t="s">
        <v>507</v>
      </c>
      <c r="BP199" s="25" t="s">
        <v>508</v>
      </c>
      <c r="BQ199" s="25" t="s">
        <v>509</v>
      </c>
      <c r="BR199" s="25" t="s">
        <v>510</v>
      </c>
      <c r="BS199" s="25" t="s">
        <v>511</v>
      </c>
      <c r="BT199" s="25" t="s">
        <v>512</v>
      </c>
      <c r="BU199" s="25" t="s">
        <v>513</v>
      </c>
      <c r="BV199" s="25" t="s">
        <v>514</v>
      </c>
      <c r="BW199" s="25" t="s">
        <v>515</v>
      </c>
      <c r="BX199" s="25" t="s">
        <v>516</v>
      </c>
      <c r="BY199" s="25" t="s">
        <v>517</v>
      </c>
      <c r="BZ199" s="25" t="s">
        <v>518</v>
      </c>
      <c r="CA199" s="25" t="s">
        <v>519</v>
      </c>
      <c r="CB199" s="25" t="s">
        <v>520</v>
      </c>
      <c r="CC199" s="25" t="s">
        <v>521</v>
      </c>
      <c r="CD199" s="25" t="s">
        <v>522</v>
      </c>
      <c r="CE199" s="25" t="s">
        <v>523</v>
      </c>
      <c r="CF199" s="25" t="s">
        <v>524</v>
      </c>
      <c r="CG199" s="25" t="s">
        <v>525</v>
      </c>
      <c r="CH199" s="25" t="s">
        <v>526</v>
      </c>
      <c r="CI199" s="25" t="s">
        <v>527</v>
      </c>
      <c r="CJ199" s="25" t="s">
        <v>528</v>
      </c>
      <c r="CK199" s="25" t="s">
        <v>529</v>
      </c>
      <c r="CL199" s="25" t="s">
        <v>516</v>
      </c>
      <c r="CM199" s="25" t="s">
        <v>530</v>
      </c>
      <c r="CN199" s="25" t="s">
        <v>518</v>
      </c>
      <c r="CO199" s="25" t="s">
        <v>531</v>
      </c>
      <c r="CP199" s="25" t="s">
        <v>520</v>
      </c>
      <c r="CQ199" s="25" t="s">
        <v>381</v>
      </c>
      <c r="CR199" s="25" t="s">
        <v>439</v>
      </c>
      <c r="CS199" s="25" t="s">
        <v>305</v>
      </c>
    </row>
    <row r="200" spans="1:97">
      <c r="A200" s="3">
        <v>0</v>
      </c>
      <c r="Y200" s="18">
        <f>'P-Parametri'!$B$31*'2-Caso'!$B$12</f>
        <v>263385.08391514426</v>
      </c>
      <c r="Z200" s="18">
        <f>'P-Parametri'!$B$31*'2-Caso'!$B$13</f>
        <v>206400</v>
      </c>
      <c r="AA200" s="18">
        <f>'P-Parametri'!$C$31*'2-Caso'!$B$12</f>
        <v>131692.54195757213</v>
      </c>
      <c r="AB200" s="18">
        <f>'P-Parametri'!$C$31*'2-Caso'!$B$13</f>
        <v>103200</v>
      </c>
      <c r="AC200" s="18">
        <f>'P-Parametri'!$D$31*'2-Caso'!$B$12</f>
        <v>43897.513985857382</v>
      </c>
      <c r="AD200" s="18">
        <f>'P-Parametri'!$D$31*'2-Caso'!$B$13</f>
        <v>34400</v>
      </c>
      <c r="AE200" s="18">
        <f>0</f>
        <v>0</v>
      </c>
      <c r="AF200" s="18">
        <f t="shared" ref="AF200:AF245" si="0">Y200+AA200+AC200</f>
        <v>438975.13985857379</v>
      </c>
      <c r="AG200" s="10">
        <f>1</f>
        <v>1</v>
      </c>
      <c r="BE200" s="18">
        <f>'P-Parametri'!$B$31*'2-Caso'!$B$12</f>
        <v>263385.08391514426</v>
      </c>
      <c r="BF200" s="18">
        <f>'P-Parametri'!$B$31*'2-Caso'!$B$13</f>
        <v>206400</v>
      </c>
      <c r="BG200" s="18">
        <f>'P-Parametri'!$C$31*'2-Caso'!$B$12</f>
        <v>131692.54195757213</v>
      </c>
      <c r="BH200" s="18">
        <f>'P-Parametri'!$C$31*'2-Caso'!$B$13</f>
        <v>103200</v>
      </c>
      <c r="BI200" s="18">
        <f>'P-Parametri'!$D$31*'2-Caso'!$B$12</f>
        <v>43897.513985857382</v>
      </c>
      <c r="BJ200" s="18">
        <f>'P-Parametri'!$D$31*'2-Caso'!$B$13</f>
        <v>34400</v>
      </c>
      <c r="BK200" s="18">
        <f>0</f>
        <v>0</v>
      </c>
      <c r="BL200" s="18">
        <f t="shared" ref="BL200:BL245" si="1">BE200+BG200+BI200</f>
        <v>438975.13985857379</v>
      </c>
      <c r="BM200" s="10">
        <f>1</f>
        <v>1</v>
      </c>
      <c r="CK200" s="18">
        <f>'P-Parametri'!$B$31*'2-Caso'!$B$12</f>
        <v>263385.08391514426</v>
      </c>
      <c r="CL200" s="18">
        <f>'P-Parametri'!$B$31*'2-Caso'!$B$13</f>
        <v>206400</v>
      </c>
      <c r="CM200" s="18">
        <f>'P-Parametri'!$C$31*'2-Caso'!$B$12</f>
        <v>131692.54195757213</v>
      </c>
      <c r="CN200" s="18">
        <f>'P-Parametri'!$C$31*'2-Caso'!$B$13</f>
        <v>103200</v>
      </c>
      <c r="CO200" s="18">
        <f>'P-Parametri'!$D$31*'2-Caso'!$B$12</f>
        <v>43897.513985857382</v>
      </c>
      <c r="CP200" s="18">
        <f>'P-Parametri'!$D$31*'2-Caso'!$B$13</f>
        <v>34400</v>
      </c>
      <c r="CQ200" s="18">
        <f>0</f>
        <v>0</v>
      </c>
      <c r="CR200" s="18">
        <f t="shared" ref="CR200:CR245" si="2">CK200+CM200+CO200</f>
        <v>438975.13985857379</v>
      </c>
      <c r="CS200" s="10">
        <f>1</f>
        <v>1</v>
      </c>
    </row>
    <row r="201" spans="1:97">
      <c r="A201" s="10">
        <f>1</f>
        <v>1</v>
      </c>
      <c r="B201" s="11">
        <f>IF(A201=1,'P-Parametri'!$B$30,IF(A201=2,'P-Parametri'!$C$30,'P-Parametri'!$B$29))</f>
        <v>-0.35</v>
      </c>
      <c r="C201" s="11">
        <f t="shared" ref="C201:C245" si="3">IF(Y200&lt;=0,0,MAX(0,(Y200-Z200)/Y200))</f>
        <v>0.21635653419729478</v>
      </c>
      <c r="D201" s="11">
        <f t="shared" ref="D201:D245" si="4">IF(AA200&lt;=0,0,MAX(0,(AA200-AB200)/AA200))</f>
        <v>0.21635653419729478</v>
      </c>
      <c r="E201" s="18">
        <f>MAX(0,Y200-('P-Parametri'!$B$31*AF200))</f>
        <v>0</v>
      </c>
      <c r="F201" s="18">
        <f>MAX(0,AA200-('P-Parametri'!$C$31*AF200))</f>
        <v>0</v>
      </c>
      <c r="G201" s="18">
        <f>MAX(0,AC200-('P-Parametri'!$D$31*AF200))</f>
        <v>0</v>
      </c>
      <c r="H201" s="18">
        <f>E201*C201*'P-Parametri'!$B$6+F201*D201*'P-Parametri'!$B$7</f>
        <v>0</v>
      </c>
      <c r="I201" s="18">
        <f t="shared" ref="I201:I245" si="5">E201+F201+G201-H201</f>
        <v>0</v>
      </c>
      <c r="J201" s="18">
        <f>MAX(0,('P-Parametri'!$B$31*AF200)-Y200)+MAX(0,('P-Parametri'!$C$31*AF200)-AA200)+MAX(0,('P-Parametri'!$D$31*AF200)-AC200)</f>
        <v>0</v>
      </c>
      <c r="K201" s="18">
        <f>Y200-E201+IF(J201&lt;=0,0,I201*MAX(0,('P-Parametri'!$B$31*AF200)-Y200)/J201)</f>
        <v>263385.08391514426</v>
      </c>
      <c r="L201" s="18">
        <f>Z200-E201*(1-C201)+IF(J201&lt;=0,0,I201*MAX(0,('P-Parametri'!$B$31*AF200)-Y200)/J201)</f>
        <v>206400</v>
      </c>
      <c r="M201" s="18">
        <f>AA200-F201+IF(J201&lt;=0,0,I201*MAX(0,('P-Parametri'!$C$31*AF200)-AA200)/J201)</f>
        <v>131692.54195757213</v>
      </c>
      <c r="N201" s="18">
        <f>AB200-F201*(1-D201)+IF(J201&lt;=0,0,I201*MAX(0,('P-Parametri'!$C$31*AF200)-AA200)/J201)</f>
        <v>103200</v>
      </c>
      <c r="O201" s="18">
        <f>AC200-G201+IF(J201&lt;=0,0,I201*MAX(0,('P-Parametri'!$D$31*AF200)-AC200)/J201)</f>
        <v>43897.513985857382</v>
      </c>
      <c r="P201" s="18">
        <f>AD200-G201+IF(J201&lt;=0,0,I201*MAX(0,('P-Parametri'!$D$31*AF200)-AC200)/J201)</f>
        <v>34400</v>
      </c>
      <c r="Q201" s="18">
        <f t="shared" ref="Q201:Q245" si="6">K201*(1+$B201)</f>
        <v>171200.30454484379</v>
      </c>
      <c r="R201" s="18">
        <f>M201*(1+'P-Parametri'!$C$29)</f>
        <v>132351.00466735999</v>
      </c>
      <c r="S201" s="18">
        <f>O201*(1+'1-Input'!$B$27)</f>
        <v>43739.482935508291</v>
      </c>
      <c r="T201" s="11">
        <f t="shared" ref="T201:T245" si="7">IF(Q201&lt;=0,0,MAX(0,(Q201-L201)/Q201))</f>
        <v>0</v>
      </c>
      <c r="U201" s="11">
        <f t="shared" ref="U201:U245" si="8">IF(R201&lt;=0,0,MAX(0,(R201-N201)/R201))</f>
        <v>0.22025525790775596</v>
      </c>
      <c r="V201" s="18">
        <f>IF(AG200=0,0,(MIN((Q201+R201+S201),MAX(0,$B$4-IF($A201&gt;='1-Input'!$C$12,'1-Input'!$B$12,0))/(Q201/(Q201+R201+S201)*(1-'P-Parametri'!$B$6*T201)+R201/(Q201+R201+S201)*(1-'P-Parametri'!$B$7*U201)+S201/(Q201+R201+S201))))*Q201/(Q201+R201+S201))</f>
        <v>6476.4263894292399</v>
      </c>
      <c r="W201" s="18">
        <f>IF(AG200=0,0,(MIN((Q201+R201+S201),MAX(0,$B$4-IF($A201&gt;='1-Input'!$C$12,'1-Input'!$B$12,0))/(Q201/(Q201+R201+S201)*(1-'P-Parametri'!$B$6*T201)+R201/(Q201+R201+S201)*(1-'P-Parametri'!$B$7*U201)+S201/(Q201+R201+S201))))*R201/(Q201+R201+S201))</f>
        <v>5006.7757856741418</v>
      </c>
      <c r="X201" s="18">
        <f>IF(AG200=0,0,(MIN((Q201+R201+S201),MAX(0,$B$4-IF($A201&gt;='1-Input'!$C$12,'1-Input'!$B$12,0))/(Q201/(Q201+R201+S201)*(1-'P-Parametri'!$B$6*T201)+R201/(Q201+R201+S201)*(1-'P-Parametri'!$B$7*U201)+S201/(Q201+R201+S201))))*S201/(Q201+R201+S201))</f>
        <v>1654.6439113916135</v>
      </c>
      <c r="Y201" s="18">
        <f t="shared" ref="Y201:Y245" si="9">IF(AG201=0,Y200,Q201-V201)</f>
        <v>164723.87815541454</v>
      </c>
      <c r="Z201" s="18">
        <f t="shared" ref="Z201:Z245" si="10">IF(AG201=0,Z200,L201-V201*(1-T201))</f>
        <v>199923.57361057075</v>
      </c>
      <c r="AA201" s="18">
        <f t="shared" ref="AA201:AA245" si="11">IF(AG201=0,AA200,R201-W201)</f>
        <v>127344.22888168585</v>
      </c>
      <c r="AB201" s="18">
        <f t="shared" ref="AB201:AB245" si="12">IF(AG201=0,AB200,N201-W201*(1-U201))</f>
        <v>99295.992906285828</v>
      </c>
      <c r="AC201" s="18">
        <f t="shared" ref="AC201:AC245" si="13">IF(AG201=0,AC200,S201-X201)</f>
        <v>42084.839024116678</v>
      </c>
      <c r="AD201" s="18">
        <f t="shared" ref="AD201:AD245" si="14">IF(AG201=0,AD200,P201-X201)</f>
        <v>32745.356088608387</v>
      </c>
      <c r="AE201" s="18">
        <f>IF(AG201=0,AE200,AE200+H201+V201*T201*'P-Parametri'!$B$6+W201*U201*'P-Parametri'!$B$7)</f>
        <v>137.84608649499569</v>
      </c>
      <c r="AF201" s="18">
        <f t="shared" si="0"/>
        <v>334152.94606121705</v>
      </c>
      <c r="AG201" s="10">
        <f>IF(AND(AG200=1,(X201+W201*(1-'P-Parametri'!$B$7*U201)+V201*(1-'P-Parametri'!$B$6*T201))&gt;=MAX(0,$B$4-IF($A201&gt;='1-Input'!$C$12,'1-Input'!$B$12,0))-0.01),1,0)</f>
        <v>1</v>
      </c>
      <c r="AI201" s="11">
        <f t="shared" ref="AI201:AI245" si="15">IF(BE200&lt;=0,0,MAX(0,(BE200-BF200)/BE200))</f>
        <v>0.21635653419729478</v>
      </c>
      <c r="AJ201" s="11">
        <f t="shared" ref="AJ201:AJ245" si="16">IF(BG200&lt;=0,0,MAX(0,(BG200-BH200)/BG200))</f>
        <v>0.21635653419729478</v>
      </c>
      <c r="AK201" s="18">
        <f>MAX(0,BE200-('P-Parametri'!$B$31*BL200))</f>
        <v>0</v>
      </c>
      <c r="AL201" s="18">
        <f>MAX(0,BG200-('P-Parametri'!$C$31*BL200))</f>
        <v>0</v>
      </c>
      <c r="AM201" s="18">
        <f>MAX(0,BI200-('P-Parametri'!$D$31*BL200))</f>
        <v>0</v>
      </c>
      <c r="AN201" s="18">
        <f>AK201*AI201*'P-Parametri'!$B$6+AL201*AJ201*'P-Parametri'!$B$7</f>
        <v>0</v>
      </c>
      <c r="AO201" s="18">
        <f t="shared" ref="AO201:AO245" si="17">AK201+AL201+AM201-AN201</f>
        <v>0</v>
      </c>
      <c r="AP201" s="18">
        <f>MAX(0,('P-Parametri'!$B$31*BL200)-BE200)+MAX(0,('P-Parametri'!$C$31*BL200)-BG200)+MAX(0,('P-Parametri'!$D$31*BL200)-BI200)</f>
        <v>0</v>
      </c>
      <c r="AQ201" s="18">
        <f>BE200-AK201+IF(AP201&lt;=0,0,AO201*MAX(0,('P-Parametri'!$B$31*BL200)-BE200)/AP201)</f>
        <v>263385.08391514426</v>
      </c>
      <c r="AR201" s="18">
        <f>BF200-AK201*(1-AI201)+IF(AP201&lt;=0,0,AO201*MAX(0,('P-Parametri'!$B$31*BL200)-BE200)/AP201)</f>
        <v>206400</v>
      </c>
      <c r="AS201" s="18">
        <f>BG200-AL201+IF(AP201&lt;=0,0,AO201*MAX(0,('P-Parametri'!$C$31*BL200)-BG200)/AP201)</f>
        <v>131692.54195757213</v>
      </c>
      <c r="AT201" s="18">
        <f>BH200-AL201*(1-AJ201)+IF(AP201&lt;=0,0,AO201*MAX(0,('P-Parametri'!$C$31*BL200)-BG200)/AP201)</f>
        <v>103200</v>
      </c>
      <c r="AU201" s="18">
        <f>BI200-AM201+IF(AP201&lt;=0,0,AO201*MAX(0,('P-Parametri'!$D$31*BL200)-BI200)/AP201)</f>
        <v>43897.513985857382</v>
      </c>
      <c r="AV201" s="18">
        <f>BJ200-AM201+IF(AP201&lt;=0,0,AO201*MAX(0,('P-Parametri'!$D$31*BL200)-BI200)/AP201)</f>
        <v>34400</v>
      </c>
      <c r="AW201" s="18">
        <f t="shared" ref="AW201:AW245" si="18">AQ201*(1+$B201)</f>
        <v>171200.30454484379</v>
      </c>
      <c r="AX201" s="18">
        <f>AS201*(1+'P-Parametri'!$C$29)</f>
        <v>132351.00466735999</v>
      </c>
      <c r="AY201" s="18">
        <f>AU201*(1+'1-Input'!$B$27)</f>
        <v>43739.482935508291</v>
      </c>
      <c r="AZ201" s="11">
        <f t="shared" ref="AZ201:AZ245" si="19">IF(AW201&lt;=0,0,MAX(0,(AW201-AR201)/AW201))</f>
        <v>0</v>
      </c>
      <c r="BA201" s="11">
        <f t="shared" ref="BA201:BA245" si="20">IF(AX201&lt;=0,0,MAX(0,(AX201-AT201)/AX201))</f>
        <v>0.22025525790775596</v>
      </c>
      <c r="BB201" s="18">
        <f>IF(BM200=0,0,MIN(MAX(AW201,0),(MAX(0,$B$4-IF($A201&gt;='1-Input'!$C$12,'1-Input'!$B$12,0))-BD201-BC201*(1-'P-Parametri'!$B$7*BA201))/(1-'P-Parametri'!$B$6*AZ201)))</f>
        <v>0</v>
      </c>
      <c r="BC201" s="18">
        <f>IF(BM200=0,0,MIN(MAX(AX201,0),(MAX(0,$B$4-IF($A201&gt;='1-Input'!$C$12,'1-Input'!$B$12,0))-BD201)/(1-'P-Parametri'!$B$7*BA201)))</f>
        <v>0</v>
      </c>
      <c r="BD201" s="18">
        <f>IF(BM200=0,0,MIN(MAX(AY201,0),MAX(0,$B$4-IF($A201&gt;='1-Input'!$C$12,'1-Input'!$B$12,0))))</f>
        <v>13000</v>
      </c>
      <c r="BE201" s="18">
        <f t="shared" ref="BE201:BE245" si="21">IF(BM201=0,BE200,AW201-BB201)</f>
        <v>171200.30454484379</v>
      </c>
      <c r="BF201" s="18">
        <f t="shared" ref="BF201:BF245" si="22">IF(BM201=0,BF200,AR201-BB201*(1-AZ201))</f>
        <v>206400</v>
      </c>
      <c r="BG201" s="18">
        <f t="shared" ref="BG201:BG245" si="23">IF(BM201=0,BG200,AX201-BC201)</f>
        <v>132351.00466735999</v>
      </c>
      <c r="BH201" s="18">
        <f t="shared" ref="BH201:BH245" si="24">IF(BM201=0,BH200,AT201-BC201*(1-BA201))</f>
        <v>103200</v>
      </c>
      <c r="BI201" s="18">
        <f t="shared" ref="BI201:BI245" si="25">IF(BM201=0,BI200,AY201-BD201)</f>
        <v>30739.482935508291</v>
      </c>
      <c r="BJ201" s="18">
        <f t="shared" ref="BJ201:BJ245" si="26">IF(BM201=0,BJ200,AV201-BD201)</f>
        <v>21400</v>
      </c>
      <c r="BK201" s="18">
        <f>IF(BM201=0,BK200,BK200+AN201+BB201*AZ201*'P-Parametri'!$B$6+BC201*BA201*'P-Parametri'!$B$7)</f>
        <v>0</v>
      </c>
      <c r="BL201" s="18">
        <f t="shared" si="1"/>
        <v>334290.79214771208</v>
      </c>
      <c r="BM201" s="10">
        <f>IF(AND(BM200=1,(BD201+BC201*(1-'P-Parametri'!$B$7*BA201)+BB201*(1-'P-Parametri'!$B$6*AZ201))&gt;=MAX(0,$B$4-IF($A201&gt;='1-Input'!$C$12,'1-Input'!$B$12,0))-0.01),1,0)</f>
        <v>1</v>
      </c>
      <c r="BO201" s="11">
        <f t="shared" ref="BO201:BO245" si="27">IF(CK200&lt;=0,0,MAX(0,(CK200-CL200)/CK200))</f>
        <v>0.21635653419729478</v>
      </c>
      <c r="BP201" s="11">
        <f t="shared" ref="BP201:BP245" si="28">IF(CM200&lt;=0,0,MAX(0,(CM200-CN200)/CM200))</f>
        <v>0.21635653419729478</v>
      </c>
      <c r="BQ201" s="18">
        <f>MAX(0,CK200-('P-Parametri'!$B$31*CR200))</f>
        <v>0</v>
      </c>
      <c r="BR201" s="18">
        <f>MAX(0,CM200-('P-Parametri'!$C$31*CR200))</f>
        <v>0</v>
      </c>
      <c r="BS201" s="18">
        <f>MAX(0,CO200-('P-Parametri'!$D$31*CR200))</f>
        <v>0</v>
      </c>
      <c r="BT201" s="18">
        <f>BQ201*BO201*'P-Parametri'!$B$6+BR201*BP201*'P-Parametri'!$B$6</f>
        <v>0</v>
      </c>
      <c r="BU201" s="18">
        <f t="shared" ref="BU201:BU245" si="29">BQ201+BR201+BS201-BT201</f>
        <v>0</v>
      </c>
      <c r="BV201" s="18">
        <f>MAX(0,('P-Parametri'!$B$31*CR200)-CK200)+MAX(0,('P-Parametri'!$C$31*CR200)-CM200)+MAX(0,('P-Parametri'!$D$31*CR200)-CO200)</f>
        <v>0</v>
      </c>
      <c r="BW201" s="18">
        <f>CK200-BQ201+IF(BV201&lt;=0,0,BU201*MAX(0,('P-Parametri'!$B$31*CR200)-CK200)/BV201)</f>
        <v>263385.08391514426</v>
      </c>
      <c r="BX201" s="18">
        <f>CL200-BQ201*(1-BO201)+IF(BV201&lt;=0,0,BU201*MAX(0,('P-Parametri'!$B$31*CR200)-CK200)/BV201)</f>
        <v>206400</v>
      </c>
      <c r="BY201" s="18">
        <f>CM200-BR201+IF(BV201&lt;=0,0,BU201*MAX(0,('P-Parametri'!$C$31*CR200)-CM200)/BV201)</f>
        <v>131692.54195757213</v>
      </c>
      <c r="BZ201" s="18">
        <f>CN200-BR201*(1-BP201)+IF(BV201&lt;=0,0,BU201*MAX(0,('P-Parametri'!$C$31*CR200)-CM200)/BV201)</f>
        <v>103200</v>
      </c>
      <c r="CA201" s="18">
        <f>CO200-BS201+IF(BV201&lt;=0,0,BU201*MAX(0,('P-Parametri'!$D$31*CR200)-CO200)/BV201)</f>
        <v>43897.513985857382</v>
      </c>
      <c r="CB201" s="18">
        <f>CP200-BS201+IF(BV201&lt;=0,0,BU201*MAX(0,('P-Parametri'!$D$31*CR200)-CO200)/BV201)</f>
        <v>34400</v>
      </c>
      <c r="CC201" s="18">
        <f t="shared" ref="CC201:CC245" si="30">BW201*(1+$B201)</f>
        <v>171200.30454484379</v>
      </c>
      <c r="CD201" s="18">
        <f>BY201*(1+'P-Parametri'!$C$29)</f>
        <v>132351.00466735999</v>
      </c>
      <c r="CE201" s="18">
        <f>CA201*(1+'1-Input'!$B$27)</f>
        <v>43739.482935508291</v>
      </c>
      <c r="CF201" s="11">
        <f t="shared" ref="CF201:CF245" si="31">IF(CC201&lt;=0,0,MAX(0,(CC201-BX201)/CC201))</f>
        <v>0</v>
      </c>
      <c r="CG201" s="11">
        <f t="shared" ref="CG201:CG245" si="32">IF(CD201&lt;=0,0,MAX(0,(CD201-BZ201)/CD201))</f>
        <v>0.22025525790775596</v>
      </c>
      <c r="CH201" s="18">
        <f>IF(CS200=0,0,(MIN((CC201+CD201+CE201),MAX(0,$B$4-IF($A201&gt;='1-Input'!$C$12,'1-Input'!$B$12,0))/(CC201/(CC201+CD201+CE201)*(1-'P-Parametri'!$B$6*CF201)+CD201/(CC201+CD201+CE201)*(1-'P-Parametri'!$B$6*CG201)+CE201/(CC201+CD201+CE201))))*CC201/(CC201+CD201+CE201))</f>
        <v>6551.4525013696539</v>
      </c>
      <c r="CI201" s="18">
        <f>IF(CS200=0,0,(MIN((CC201+CD201+CE201),MAX(0,$B$4-IF($A201&gt;='1-Input'!$C$12,'1-Input'!$B$12,0))/(CC201/(CC201+CD201+CE201)*(1-'P-Parametri'!$B$6*CF201)+CD201/(CC201+CD201+CE201)*(1-'P-Parametri'!$B$6*CG201)+CE201/(CC201+CD201+CE201))))*CD201/(CC201+CD201+CE201))</f>
        <v>5064.7767414434629</v>
      </c>
      <c r="CJ201" s="18">
        <f>IF(CS200=0,0,(MIN((CC201+CD201+CE201),MAX(0,$B$4-IF($A201&gt;='1-Input'!$C$12,'1-Input'!$B$12,0))/(CC201/(CC201+CD201+CE201)*(1-'P-Parametri'!$B$6*CF201)+CD201/(CC201+CD201+CE201)*(1-'P-Parametri'!$B$6*CG201)+CE201/(CC201+CD201+CE201))))*CE201/(CC201+CD201+CE201))</f>
        <v>1673.8121211191597</v>
      </c>
      <c r="CK201" s="18">
        <f t="shared" ref="CK201:CK245" si="33">IF(CS201=0,CK200,CC201-CH201)</f>
        <v>164648.85204347415</v>
      </c>
      <c r="CL201" s="18">
        <f t="shared" ref="CL201:CL245" si="34">IF(CS201=0,CL200,BX201-CH201*(1-CF201))</f>
        <v>199848.54749863036</v>
      </c>
      <c r="CM201" s="18">
        <f t="shared" ref="CM201:CM245" si="35">IF(CS201=0,CM200,CD201-CI201)</f>
        <v>127286.22792591652</v>
      </c>
      <c r="CN201" s="18">
        <f t="shared" ref="CN201:CN245" si="36">IF(CS201=0,CN200,BZ201-CI201*(1-CG201))</f>
        <v>99250.766965988369</v>
      </c>
      <c r="CO201" s="18">
        <f t="shared" ref="CO201:CO245" si="37">IF(CS201=0,CO200,CE201-CJ201)</f>
        <v>42065.67081438913</v>
      </c>
      <c r="CP201" s="18">
        <f t="shared" ref="CP201:CP245" si="38">IF(CS201=0,CP200,CB201-CJ201)</f>
        <v>32726.187878880839</v>
      </c>
      <c r="CQ201" s="18">
        <f>IF(CS201=0,CQ200,CQ200+BT201+CH201*CF201*'P-Parametri'!$B$6+CI201*CG201*'P-Parametri'!$B$6)</f>
        <v>290.04136393227679</v>
      </c>
      <c r="CR201" s="18">
        <f t="shared" si="2"/>
        <v>334000.75078377977</v>
      </c>
      <c r="CS201" s="10">
        <f>IF(AND(CS200=1,(CJ201+CI201*(1-'P-Parametri'!$B$6*CG201)+CH201*(1-'P-Parametri'!$B$6*CF201))&gt;=MAX(0,$B$4-IF($A201&gt;='1-Input'!$C$12,'1-Input'!$B$12,0))-0.01),1,0)</f>
        <v>1</v>
      </c>
    </row>
    <row r="202" spans="1:97">
      <c r="A202" s="10">
        <f>2</f>
        <v>2</v>
      </c>
      <c r="B202" s="11">
        <f>IF(A202=1,'P-Parametri'!$B$30,IF(A202=2,'P-Parametri'!$C$30,'P-Parametri'!$B$29))</f>
        <v>-0.2</v>
      </c>
      <c r="C202" s="11">
        <f t="shared" si="3"/>
        <v>0</v>
      </c>
      <c r="D202" s="11">
        <f t="shared" si="4"/>
        <v>0.22025525790775596</v>
      </c>
      <c r="E202" s="18">
        <f>MAX(0,Y201-('P-Parametri'!$B$31*AF201))</f>
        <v>0</v>
      </c>
      <c r="F202" s="18">
        <f>MAX(0,AA201-('P-Parametri'!$C$31*AF201))</f>
        <v>27098.345063320739</v>
      </c>
      <c r="G202" s="18">
        <f>MAX(0,AC201-('P-Parametri'!$D$31*AF201))</f>
        <v>8669.54441799497</v>
      </c>
      <c r="H202" s="18">
        <f>E202*C202*'P-Parametri'!$B$6+F202*D202*'P-Parametri'!$B$7</f>
        <v>746.0691225993844</v>
      </c>
      <c r="I202" s="18">
        <f t="shared" si="5"/>
        <v>35021.820358716323</v>
      </c>
      <c r="J202" s="18">
        <f>MAX(0,('P-Parametri'!$B$31*AF201)-Y201)+MAX(0,('P-Parametri'!$C$31*AF201)-AA201)+MAX(0,('P-Parametri'!$D$31*AF201)-AC201)</f>
        <v>35767.88948131568</v>
      </c>
      <c r="K202" s="18">
        <f>Y201-E202+IF(J202&lt;=0,0,I202*MAX(0,('P-Parametri'!$B$31*AF201)-Y201)/J202)</f>
        <v>199745.69851413087</v>
      </c>
      <c r="L202" s="18">
        <f>Z201-E202*(1-C202)+IF(J202&lt;=0,0,I202*MAX(0,('P-Parametri'!$B$31*AF201)-Y201)/J202)</f>
        <v>234945.39396928708</v>
      </c>
      <c r="M202" s="18">
        <f>AA201-F202+IF(J202&lt;=0,0,I202*MAX(0,('P-Parametri'!$C$31*AF201)-AA201)/J202)</f>
        <v>100245.88381836511</v>
      </c>
      <c r="N202" s="18">
        <f>AB201-F202*(1-D202)+IF(J202&lt;=0,0,I202*MAX(0,('P-Parametri'!$C$31*AF201)-AA201)/J202)</f>
        <v>78166.200823760155</v>
      </c>
      <c r="O202" s="18">
        <f>AC201-G202+IF(J202&lt;=0,0,I202*MAX(0,('P-Parametri'!$D$31*AF201)-AC201)/J202)</f>
        <v>33415.294606121708</v>
      </c>
      <c r="P202" s="18">
        <f>AD201-G202+IF(J202&lt;=0,0,I202*MAX(0,('P-Parametri'!$D$31*AF201)-AC201)/J202)</f>
        <v>24075.811670613417</v>
      </c>
      <c r="Q202" s="18">
        <f t="shared" si="6"/>
        <v>159796.55881130471</v>
      </c>
      <c r="R202" s="18">
        <f>M202*(1+'P-Parametri'!$C$29)</f>
        <v>100747.11323745693</v>
      </c>
      <c r="S202" s="18">
        <f>O202*(1+'1-Input'!$B$27)</f>
        <v>33294.999545539671</v>
      </c>
      <c r="T202" s="11">
        <f t="shared" si="7"/>
        <v>0</v>
      </c>
      <c r="U202" s="11">
        <f t="shared" si="8"/>
        <v>0.22413458498284178</v>
      </c>
      <c r="V202" s="18">
        <f>IF(AG201=0,0,(MIN((Q202+R202+S202),MAX(0,$B$4-IF($A202&gt;='1-Input'!$C$12,'1-Input'!$B$12,0))/(Q202/(Q202+R202+S202)*(1-'P-Parametri'!$B$6*T202)+R202/(Q202+R202+S202)*(1-'P-Parametri'!$B$7*U202)+S202/(Q202+R202+S202))))*Q202/(Q202+R202+S202))</f>
        <v>7138.2839905421624</v>
      </c>
      <c r="W202" s="18">
        <f>IF(AG201=0,0,(MIN((Q202+R202+S202),MAX(0,$B$4-IF($A202&gt;='1-Input'!$C$12,'1-Input'!$B$12,0))/(Q202/(Q202+R202+S202)*(1-'P-Parametri'!$B$6*T202)+R202/(Q202+R202+S202)*(1-'P-Parametri'!$B$7*U202)+S202/(Q202+R202+S202))))*R202/(Q202+R202+S202))</f>
        <v>4500.4818055280957</v>
      </c>
      <c r="X202" s="18">
        <f>IF(AG201=0,0,(MIN((Q202+R202+S202),MAX(0,$B$4-IF($A202&gt;='1-Input'!$C$12,'1-Input'!$B$12,0))/(Q202/(Q202+R202+S202)*(1-'P-Parametri'!$B$6*T202)+R202/(Q202+R202+S202)*(1-'P-Parametri'!$B$7*U202)+S202/(Q202+R202+S202))))*S202/(Q202+R202+S202))</f>
        <v>1487.3234066428508</v>
      </c>
      <c r="Y202" s="18">
        <f t="shared" si="9"/>
        <v>152658.27482076254</v>
      </c>
      <c r="Z202" s="18">
        <f t="shared" si="10"/>
        <v>227807.10997874491</v>
      </c>
      <c r="AA202" s="18">
        <f t="shared" si="11"/>
        <v>96246.631431928836</v>
      </c>
      <c r="AB202" s="18">
        <f t="shared" si="12"/>
        <v>74674.432639936931</v>
      </c>
      <c r="AC202" s="18">
        <f t="shared" si="13"/>
        <v>31807.676138896819</v>
      </c>
      <c r="AD202" s="18">
        <f t="shared" si="14"/>
        <v>22588.488263970565</v>
      </c>
      <c r="AE202" s="18">
        <f>IF(AG202=0,AE201,AE201+H202+V202*T202*'P-Parametri'!$B$6+W202*U202*'P-Parametri'!$B$7)</f>
        <v>1010.0044118074889</v>
      </c>
      <c r="AF202" s="18">
        <f t="shared" si="0"/>
        <v>280712.58239158819</v>
      </c>
      <c r="AG202" s="10">
        <f>IF(AND(AG201=1,(X202+W202*(1-'P-Parametri'!$B$7*U202)+V202*(1-'P-Parametri'!$B$6*T202))&gt;=MAX(0,$B$4-IF($A202&gt;='1-Input'!$C$12,'1-Input'!$B$12,0))-0.01),1,0)</f>
        <v>1</v>
      </c>
      <c r="AI202" s="11">
        <f t="shared" si="15"/>
        <v>0</v>
      </c>
      <c r="AJ202" s="11">
        <f t="shared" si="16"/>
        <v>0.22025525790775596</v>
      </c>
      <c r="AK202" s="18">
        <f>MAX(0,BE201-('P-Parametri'!$B$31*BL201))</f>
        <v>0</v>
      </c>
      <c r="AL202" s="18">
        <f>MAX(0,BG201-('P-Parametri'!$C$31*BL201))</f>
        <v>32063.76702304637</v>
      </c>
      <c r="AM202" s="18">
        <f>MAX(0,BI201-('P-Parametri'!$D$31*BL201))</f>
        <v>0</v>
      </c>
      <c r="AN202" s="18">
        <f>AK202*AI202*'P-Parametri'!$B$6+AL202*AJ202*'P-Parametri'!$B$7</f>
        <v>882.77665939440988</v>
      </c>
      <c r="AO202" s="18">
        <f t="shared" si="17"/>
        <v>31180.990363651959</v>
      </c>
      <c r="AP202" s="18">
        <f>MAX(0,('P-Parametri'!$B$31*BL201)-BE201)+MAX(0,('P-Parametri'!$C$31*BL201)-BG201)+MAX(0,('P-Parametri'!$D$31*BL201)-BI201)</f>
        <v>32063.767023046363</v>
      </c>
      <c r="AQ202" s="18">
        <f>BE201-AK202+IF(AP202&lt;=0,0,AO202*MAX(0,('P-Parametri'!$B$31*BL201)-BE201)/AP202)</f>
        <v>199765.74834450241</v>
      </c>
      <c r="AR202" s="18">
        <f>BF201-AK202*(1-AI202)+IF(AP202&lt;=0,0,AO202*MAX(0,('P-Parametri'!$B$31*BL201)-BE201)/AP202)</f>
        <v>234965.44379965862</v>
      </c>
      <c r="AS202" s="18">
        <f>BG201-AL202+IF(AP202&lt;=0,0,AO202*MAX(0,('P-Parametri'!$C$31*BL201)-BG201)/AP202)</f>
        <v>100287.23764431362</v>
      </c>
      <c r="AT202" s="18">
        <f>BH201-AL202*(1-AJ202)+IF(AP202&lt;=0,0,AO202*MAX(0,('P-Parametri'!$C$31*BL201)-BG201)/AP202)</f>
        <v>78198.446252108901</v>
      </c>
      <c r="AU202" s="18">
        <f>BI201-AM202+IF(AP202&lt;=0,0,AO202*MAX(0,('P-Parametri'!$D$31*BL201)-BI201)/AP202)</f>
        <v>33355.029499501616</v>
      </c>
      <c r="AV202" s="18">
        <f>BJ201-AM202+IF(AP202&lt;=0,0,AO202*MAX(0,('P-Parametri'!$D$31*BL201)-BI201)/AP202)</f>
        <v>24015.546563993321</v>
      </c>
      <c r="AW202" s="18">
        <f t="shared" si="18"/>
        <v>159812.59867560194</v>
      </c>
      <c r="AX202" s="18">
        <f>AS202*(1+'P-Parametri'!$C$29)</f>
        <v>100788.67383253518</v>
      </c>
      <c r="AY202" s="18">
        <f>AU202*(1+'1-Input'!$B$27)</f>
        <v>33234.95139330341</v>
      </c>
      <c r="AZ202" s="11">
        <f t="shared" si="19"/>
        <v>0</v>
      </c>
      <c r="BA202" s="11">
        <f t="shared" si="20"/>
        <v>0.22413458498284178</v>
      </c>
      <c r="BB202" s="18">
        <f>IF(BM201=0,0,MIN(MAX(AW202,0),(MAX(0,$B$4-IF($A202&gt;='1-Input'!$C$12,'1-Input'!$B$12,0))-BD202-BC202*(1-'P-Parametri'!$B$7*BA202))/(1-'P-Parametri'!$B$6*AZ202)))</f>
        <v>0</v>
      </c>
      <c r="BC202" s="18">
        <f>IF(BM201=0,0,MIN(MAX(AX202,0),(MAX(0,$B$4-IF($A202&gt;='1-Input'!$C$12,'1-Input'!$B$12,0))-BD202)/(1-'P-Parametri'!$B$7*BA202)))</f>
        <v>0</v>
      </c>
      <c r="BD202" s="18">
        <f>IF(BM201=0,0,MIN(MAX(AY202,0),MAX(0,$B$4-IF($A202&gt;='1-Input'!$C$12,'1-Input'!$B$12,0))))</f>
        <v>13000</v>
      </c>
      <c r="BE202" s="18">
        <f t="shared" si="21"/>
        <v>159812.59867560194</v>
      </c>
      <c r="BF202" s="18">
        <f t="shared" si="22"/>
        <v>234965.44379965862</v>
      </c>
      <c r="BG202" s="18">
        <f t="shared" si="23"/>
        <v>100788.67383253518</v>
      </c>
      <c r="BH202" s="18">
        <f t="shared" si="24"/>
        <v>78198.446252108901</v>
      </c>
      <c r="BI202" s="18">
        <f t="shared" si="25"/>
        <v>20234.95139330341</v>
      </c>
      <c r="BJ202" s="18">
        <f t="shared" si="26"/>
        <v>11015.546563993321</v>
      </c>
      <c r="BK202" s="18">
        <f>IF(BM202=0,BK201,BK201+AN202+BB202*AZ202*'P-Parametri'!$B$6+BC202*BA202*'P-Parametri'!$B$7)</f>
        <v>882.77665939440988</v>
      </c>
      <c r="BL202" s="18">
        <f t="shared" si="1"/>
        <v>280836.22390144051</v>
      </c>
      <c r="BM202" s="10">
        <f>IF(AND(BM201=1,(BD202+BC202*(1-'P-Parametri'!$B$7*BA202)+BB202*(1-'P-Parametri'!$B$6*AZ202))&gt;=MAX(0,$B$4-IF($A202&gt;='1-Input'!$C$12,'1-Input'!$B$12,0))-0.01),1,0)</f>
        <v>1</v>
      </c>
      <c r="BO202" s="11">
        <f t="shared" si="27"/>
        <v>0</v>
      </c>
      <c r="BP202" s="11">
        <f t="shared" si="28"/>
        <v>0.22025525790775596</v>
      </c>
      <c r="BQ202" s="18">
        <f>MAX(0,CK201-('P-Parametri'!$B$31*CR201))</f>
        <v>0</v>
      </c>
      <c r="BR202" s="18">
        <f>MAX(0,CM201-('P-Parametri'!$C$31*CR201))</f>
        <v>27086.002690782596</v>
      </c>
      <c r="BS202" s="18">
        <f>MAX(0,CO201-('P-Parametri'!$D$31*CR201))</f>
        <v>8665.5957360111497</v>
      </c>
      <c r="BT202" s="18">
        <f>BQ202*BO202*'P-Parametri'!$B$6+BR202*BP202*'P-Parametri'!$B$6</f>
        <v>1551.1169721706083</v>
      </c>
      <c r="BU202" s="18">
        <f t="shared" si="29"/>
        <v>34200.481454623136</v>
      </c>
      <c r="BV202" s="18">
        <f>MAX(0,('P-Parametri'!$B$31*CR201)-CK201)+MAX(0,('P-Parametri'!$C$31*CR201)-CM201)+MAX(0,('P-Parametri'!$D$31*CR201)-CO201)</f>
        <v>35751.598426793702</v>
      </c>
      <c r="BW202" s="18">
        <f>CK201-BQ202+IF(BV202&lt;=0,0,BU202*MAX(0,('P-Parametri'!$B$31*CR201)-CK201)/BV202)</f>
        <v>198849.33349809729</v>
      </c>
      <c r="BX202" s="18">
        <f>CL201-BQ202*(1-BO202)+IF(BV202&lt;=0,0,BU202*MAX(0,('P-Parametri'!$B$31*CR201)-CK201)/BV202)</f>
        <v>234049.0289532535</v>
      </c>
      <c r="BY202" s="18">
        <f>CM201-BR202+IF(BV202&lt;=0,0,BU202*MAX(0,('P-Parametri'!$C$31*CR201)-CM201)/BV202)</f>
        <v>100200.22523513393</v>
      </c>
      <c r="BZ202" s="18">
        <f>CN201-BR202*(1-BP202)+IF(BV202&lt;=0,0,BU202*MAX(0,('P-Parametri'!$C$31*CR201)-CM201)/BV202)</f>
        <v>78130.598783554262</v>
      </c>
      <c r="CA202" s="18">
        <f>CO201-BS202+IF(BV202&lt;=0,0,BU202*MAX(0,('P-Parametri'!$D$31*CR201)-CO201)/BV202)</f>
        <v>33400.07507837798</v>
      </c>
      <c r="CB202" s="18">
        <f>CP201-BS202+IF(BV202&lt;=0,0,BU202*MAX(0,('P-Parametri'!$D$31*CR201)-CO201)/BV202)</f>
        <v>24060.592142869689</v>
      </c>
      <c r="CC202" s="18">
        <f t="shared" si="30"/>
        <v>159079.46679847784</v>
      </c>
      <c r="CD202" s="18">
        <f>BY202*(1+'P-Parametri'!$C$29)</f>
        <v>100701.22636130959</v>
      </c>
      <c r="CE202" s="18">
        <f>CA202*(1+'1-Input'!$B$27)</f>
        <v>33279.834808095817</v>
      </c>
      <c r="CF202" s="11">
        <f t="shared" si="31"/>
        <v>0</v>
      </c>
      <c r="CG202" s="11">
        <f t="shared" si="32"/>
        <v>0.22413458498284172</v>
      </c>
      <c r="CH202" s="18">
        <f>IF(CS201=0,0,(MIN((CC202+CD202+CE202),MAX(0,$B$4-IF($A202&gt;='1-Input'!$C$12,'1-Input'!$B$12,0))/(CC202/(CC202+CD202+CE202)*(1-'P-Parametri'!$B$6*CF202)+CD202/(CC202+CD202+CE202)*(1-'P-Parametri'!$B$6*CG202)+CE202/(CC202+CD202+CE202))))*CC202/(CC202+CD202+CE202))</f>
        <v>7200.8686930480362</v>
      </c>
      <c r="CI202" s="18">
        <f>IF(CS201=0,0,(MIN((CC202+CD202+CE202),MAX(0,$B$4-IF($A202&gt;='1-Input'!$C$12,'1-Input'!$B$12,0))/(CC202/(CC202+CD202+CE202)*(1-'P-Parametri'!$B$6*CF202)+CD202/(CC202+CD202+CE202)*(1-'P-Parametri'!$B$6*CG202)+CE202/(CC202+CD202+CE202))))*CD202/(CC202+CD202+CE202))</f>
        <v>4558.3275004014313</v>
      </c>
      <c r="CJ202" s="18">
        <f>IF(CS201=0,0,(MIN((CC202+CD202+CE202),MAX(0,$B$4-IF($A202&gt;='1-Input'!$C$12,'1-Input'!$B$12,0))/(CC202/(CC202+CD202+CE202)*(1-'P-Parametri'!$B$6*CF202)+CD202/(CC202+CD202+CE202)*(1-'P-Parametri'!$B$6*CG202)+CE202/(CC202+CD202+CE202))))*CE202/(CC202+CD202+CE202))</f>
        <v>1506.4403056053022</v>
      </c>
      <c r="CK202" s="18">
        <f t="shared" si="33"/>
        <v>151878.59810542979</v>
      </c>
      <c r="CL202" s="18">
        <f t="shared" si="34"/>
        <v>226848.16026020545</v>
      </c>
      <c r="CM202" s="18">
        <f t="shared" si="35"/>
        <v>96142.898860908157</v>
      </c>
      <c r="CN202" s="18">
        <f t="shared" si="36"/>
        <v>74593.950125671181</v>
      </c>
      <c r="CO202" s="18">
        <f t="shared" si="37"/>
        <v>31773.394502490515</v>
      </c>
      <c r="CP202" s="18">
        <f t="shared" si="38"/>
        <v>22554.151837264388</v>
      </c>
      <c r="CQ202" s="18">
        <f>IF(CS202=0,CQ201,CQ201+BT202+CH202*CF202*'P-Parametri'!$B$6+CI202*CG202*'P-Parametri'!$B$6)</f>
        <v>2106.7948351576561</v>
      </c>
      <c r="CR202" s="18">
        <f t="shared" si="2"/>
        <v>279794.89146882849</v>
      </c>
      <c r="CS202" s="10">
        <f>IF(AND(CS201=1,(CJ202+CI202*(1-'P-Parametri'!$B$6*CG202)+CH202*(1-'P-Parametri'!$B$6*CF202))&gt;=MAX(0,$B$4-IF($A202&gt;='1-Input'!$C$12,'1-Input'!$B$12,0))-0.01),1,0)</f>
        <v>1</v>
      </c>
    </row>
    <row r="203" spans="1:97">
      <c r="A203" s="10">
        <f>3</f>
        <v>3</v>
      </c>
      <c r="B203" s="11">
        <f>IF(A203=1,'P-Parametri'!$B$30,IF(A203=2,'P-Parametri'!$C$30,'P-Parametri'!$B$29))</f>
        <v>6.8512000000000003E-2</v>
      </c>
      <c r="C203" s="11">
        <f t="shared" si="3"/>
        <v>0</v>
      </c>
      <c r="D203" s="11">
        <f t="shared" si="4"/>
        <v>0.22413458498284178</v>
      </c>
      <c r="E203" s="18">
        <f>MAX(0,Y202-('P-Parametri'!$B$31*AF202))</f>
        <v>0</v>
      </c>
      <c r="F203" s="18">
        <f>MAX(0,AA202-('P-Parametri'!$C$31*AF202))</f>
        <v>12032.856714452384</v>
      </c>
      <c r="G203" s="18">
        <f>MAX(0,AC202-('P-Parametri'!$D$31*AF202))</f>
        <v>3736.4178997379968</v>
      </c>
      <c r="H203" s="18">
        <f>E203*C203*'P-Parametri'!$B$6+F203*D203*'P-Parametri'!$B$7</f>
        <v>337.12241823147326</v>
      </c>
      <c r="I203" s="18">
        <f t="shared" si="5"/>
        <v>15432.152195958908</v>
      </c>
      <c r="J203" s="18">
        <f>MAX(0,('P-Parametri'!$B$31*AF202)-Y202)+MAX(0,('P-Parametri'!$C$31*AF202)-AA202)+MAX(0,('P-Parametri'!$D$31*AF202)-AC202)</f>
        <v>15769.274614190363</v>
      </c>
      <c r="K203" s="18">
        <f>Y202-E203+IF(J203&lt;=0,0,I203*MAX(0,('P-Parametri'!$B$31*AF202)-Y202)/J203)</f>
        <v>168090.42701672146</v>
      </c>
      <c r="L203" s="18">
        <f>Z202-E203*(1-C203)+IF(J203&lt;=0,0,I203*MAX(0,('P-Parametri'!$B$31*AF202)-Y202)/J203)</f>
        <v>243239.26217470382</v>
      </c>
      <c r="M203" s="18">
        <f>AA202-F203+IF(J203&lt;=0,0,I203*MAX(0,('P-Parametri'!$C$31*AF202)-AA202)/J203)</f>
        <v>84213.774717476452</v>
      </c>
      <c r="N203" s="18">
        <f>AB202-F203*(1-D203)+IF(J203&lt;=0,0,I203*MAX(0,('P-Parametri'!$C$31*AF202)-AA202)/J203)</f>
        <v>65338.555271336336</v>
      </c>
      <c r="O203" s="18">
        <f>AC202-G203+IF(J203&lt;=0,0,I203*MAX(0,('P-Parametri'!$D$31*AF202)-AC202)/J203)</f>
        <v>28071.258239158822</v>
      </c>
      <c r="P203" s="18">
        <f>AD202-G203+IF(J203&lt;=0,0,I203*MAX(0,('P-Parametri'!$D$31*AF202)-AC202)/J203)</f>
        <v>18852.070364232568</v>
      </c>
      <c r="Q203" s="18">
        <f t="shared" si="6"/>
        <v>179606.63835249105</v>
      </c>
      <c r="R203" s="18">
        <f>M203*(1+'P-Parametri'!$C$29)</f>
        <v>84634.843591063822</v>
      </c>
      <c r="S203" s="18">
        <f>O203*(1+'1-Input'!$B$27)</f>
        <v>27970.201709497847</v>
      </c>
      <c r="T203" s="11">
        <f t="shared" si="7"/>
        <v>0</v>
      </c>
      <c r="U203" s="11">
        <f t="shared" si="8"/>
        <v>0.22799461192322551</v>
      </c>
      <c r="V203" s="18">
        <f>IF(AG202=0,0,(MIN((Q203+R203+S203),MAX(0,$B$4-IF($A203&gt;='1-Input'!$C$12,'1-Input'!$B$12,0))/(Q203/(Q203+R203+S203)*(1-'P-Parametri'!$B$6*T203)+R203/(Q203+R203+S203)*(1-'P-Parametri'!$B$7*U203)+S203/(Q203+R203+S203))))*Q203/(Q203+R203+S203))</f>
        <v>8056.8983358451278</v>
      </c>
      <c r="W203" s="18">
        <f>IF(AG202=0,0,(MIN((Q203+R203+S203),MAX(0,$B$4-IF($A203&gt;='1-Input'!$C$12,'1-Input'!$B$12,0))/(Q203/(Q203+R203+S203)*(1-'P-Parametri'!$B$6*T203)+R203/(Q203+R203+S203)*(1-'P-Parametri'!$B$7*U203)+S203/(Q203+R203+S203))))*R203/(Q203+R203+S203))</f>
        <v>3796.5987044704202</v>
      </c>
      <c r="X203" s="18">
        <f>IF(AG202=0,0,(MIN((Q203+R203+S203),MAX(0,$B$4-IF($A203&gt;='1-Input'!$C$12,'1-Input'!$B$12,0))/(Q203/(Q203+R203+S203)*(1-'P-Parametri'!$B$6*T203)+R203/(Q203+R203+S203)*(1-'P-Parametri'!$B$7*U203)+S203/(Q203+R203+S203))))*S203/(Q203+R203+S203))</f>
        <v>1254.7034657161948</v>
      </c>
      <c r="Y203" s="18">
        <f t="shared" si="9"/>
        <v>171549.74001664593</v>
      </c>
      <c r="Z203" s="18">
        <f t="shared" si="10"/>
        <v>235182.3638388587</v>
      </c>
      <c r="AA203" s="18">
        <f t="shared" si="11"/>
        <v>80838.244886593398</v>
      </c>
      <c r="AB203" s="18">
        <f t="shared" si="12"/>
        <v>62407.560615119866</v>
      </c>
      <c r="AC203" s="18">
        <f t="shared" si="13"/>
        <v>26715.498243781651</v>
      </c>
      <c r="AD203" s="18">
        <f t="shared" si="14"/>
        <v>17597.366898516375</v>
      </c>
      <c r="AE203" s="18">
        <f>IF(AG203=0,AE202,AE202+H203+V203*T203*'P-Parametri'!$B$6+W203*U203*'P-Parametri'!$B$7)</f>
        <v>1455.3273360707062</v>
      </c>
      <c r="AF203" s="18">
        <f t="shared" si="0"/>
        <v>279103.48314702098</v>
      </c>
      <c r="AG203" s="10">
        <f>IF(AND(AG202=1,(X203+W203*(1-'P-Parametri'!$B$7*U203)+V203*(1-'P-Parametri'!$B$6*T203))&gt;=MAX(0,$B$4-IF($A203&gt;='1-Input'!$C$12,'1-Input'!$B$12,0))-0.01),1,0)</f>
        <v>1</v>
      </c>
      <c r="AI203" s="11">
        <f t="shared" si="15"/>
        <v>0</v>
      </c>
      <c r="AJ203" s="11">
        <f t="shared" si="16"/>
        <v>0.22413458498284178</v>
      </c>
      <c r="AK203" s="18">
        <f>MAX(0,BE202-('P-Parametri'!$B$31*BL202))</f>
        <v>0</v>
      </c>
      <c r="AL203" s="18">
        <f>MAX(0,BG202-('P-Parametri'!$C$31*BL202))</f>
        <v>16537.80666210303</v>
      </c>
      <c r="AM203" s="18">
        <f>MAX(0,BI202-('P-Parametri'!$D$31*BL202))</f>
        <v>0</v>
      </c>
      <c r="AN203" s="18">
        <f>AK203*AI203*'P-Parametri'!$B$6+AL203*AJ203*'P-Parametri'!$B$7</f>
        <v>463.33680409211735</v>
      </c>
      <c r="AO203" s="18">
        <f t="shared" si="17"/>
        <v>16074.469858010913</v>
      </c>
      <c r="AP203" s="18">
        <f>MAX(0,('P-Parametri'!$B$31*BL202)-BE202)+MAX(0,('P-Parametri'!$C$31*BL202)-BG202)+MAX(0,('P-Parametri'!$D$31*BL202)-BI202)</f>
        <v>16537.806662102994</v>
      </c>
      <c r="AQ203" s="18">
        <f>BE202-AK203+IF(AP203&lt;=0,0,AO203*MAX(0,('P-Parametri'!$B$31*BL202)-BE202)/AP203)</f>
        <v>168258.29236384016</v>
      </c>
      <c r="AR203" s="18">
        <f>BF202-AK203*(1-AI203)+IF(AP203&lt;=0,0,AO203*MAX(0,('P-Parametri'!$B$31*BL202)-BE202)/AP203)</f>
        <v>243411.13748789683</v>
      </c>
      <c r="AS203" s="18">
        <f>BG202-AL203+IF(AP203&lt;=0,0,AO203*MAX(0,('P-Parametri'!$C$31*BL202)-BG202)/AP203)</f>
        <v>84250.867170432146</v>
      </c>
      <c r="AT203" s="18">
        <f>BH202-AL203*(1-AJ203)+IF(AP203&lt;=0,0,AO203*MAX(0,('P-Parametri'!$C$31*BL202)-BG202)/AP203)</f>
        <v>65367.334022742813</v>
      </c>
      <c r="AU203" s="18">
        <f>BI202-AM203+IF(AP203&lt;=0,0,AO203*MAX(0,('P-Parametri'!$D$31*BL202)-BI202)/AP203)</f>
        <v>27863.7275630761</v>
      </c>
      <c r="AV203" s="18">
        <f>BJ202-AM203+IF(AP203&lt;=0,0,AO203*MAX(0,('P-Parametri'!$D$31*BL202)-BI202)/AP203)</f>
        <v>18644.322733766014</v>
      </c>
      <c r="AW203" s="18">
        <f t="shared" si="18"/>
        <v>179786.00449027156</v>
      </c>
      <c r="AX203" s="18">
        <f>AS203*(1+'P-Parametri'!$C$29)</f>
        <v>84672.121506284297</v>
      </c>
      <c r="AY203" s="18">
        <f>AU203*(1+'1-Input'!$B$27)</f>
        <v>27763.418143849023</v>
      </c>
      <c r="AZ203" s="11">
        <f t="shared" si="19"/>
        <v>0</v>
      </c>
      <c r="BA203" s="11">
        <f t="shared" si="20"/>
        <v>0.22799461192322551</v>
      </c>
      <c r="BB203" s="18">
        <f>IF(BM202=0,0,MIN(MAX(AW203,0),(MAX(0,$B$4-IF($A203&gt;='1-Input'!$C$12,'1-Input'!$B$12,0))-BD203-BC203*(1-'P-Parametri'!$B$7*BA203))/(1-'P-Parametri'!$B$6*AZ203)))</f>
        <v>0</v>
      </c>
      <c r="BC203" s="18">
        <f>IF(BM202=0,0,MIN(MAX(AX203,0),(MAX(0,$B$4-IF($A203&gt;='1-Input'!$C$12,'1-Input'!$B$12,0))-BD203)/(1-'P-Parametri'!$B$7*BA203)))</f>
        <v>0</v>
      </c>
      <c r="BD203" s="18">
        <f>IF(BM202=0,0,MIN(MAX(AY203,0),MAX(0,$B$4-IF($A203&gt;='1-Input'!$C$12,'1-Input'!$B$12,0))))</f>
        <v>13000</v>
      </c>
      <c r="BE203" s="18">
        <f t="shared" si="21"/>
        <v>179786.00449027156</v>
      </c>
      <c r="BF203" s="18">
        <f t="shared" si="22"/>
        <v>243411.13748789683</v>
      </c>
      <c r="BG203" s="18">
        <f t="shared" si="23"/>
        <v>84672.121506284297</v>
      </c>
      <c r="BH203" s="18">
        <f t="shared" si="24"/>
        <v>65367.334022742813</v>
      </c>
      <c r="BI203" s="18">
        <f t="shared" si="25"/>
        <v>14763.418143849023</v>
      </c>
      <c r="BJ203" s="18">
        <f t="shared" si="26"/>
        <v>5644.3227337660137</v>
      </c>
      <c r="BK203" s="18">
        <f>IF(BM203=0,BK202,BK202+AN203+BB203*AZ203*'P-Parametri'!$B$6+BC203*BA203*'P-Parametri'!$B$7)</f>
        <v>1346.1134634865273</v>
      </c>
      <c r="BL203" s="18">
        <f t="shared" si="1"/>
        <v>279221.54414040485</v>
      </c>
      <c r="BM203" s="10">
        <f>IF(AND(BM202=1,(BD203+BC203*(1-'P-Parametri'!$B$7*BA203)+BB203*(1-'P-Parametri'!$B$6*AZ203))&gt;=MAX(0,$B$4-IF($A203&gt;='1-Input'!$C$12,'1-Input'!$B$12,0))-0.01),1,0)</f>
        <v>1</v>
      </c>
      <c r="BO203" s="11">
        <f t="shared" si="27"/>
        <v>0</v>
      </c>
      <c r="BP203" s="11">
        <f t="shared" si="28"/>
        <v>0.22413458498284172</v>
      </c>
      <c r="BQ203" s="18">
        <f>MAX(0,CK202-('P-Parametri'!$B$31*CR202))</f>
        <v>0</v>
      </c>
      <c r="BR203" s="18">
        <f>MAX(0,CM202-('P-Parametri'!$C$31*CR202))</f>
        <v>12204.431420259614</v>
      </c>
      <c r="BS203" s="18">
        <f>MAX(0,CO202-('P-Parametri'!$D$31*CR202))</f>
        <v>3793.9053556076651</v>
      </c>
      <c r="BT203" s="18">
        <f>BQ203*BO203*'P-Parametri'!$B$6+BR203*BP203*'P-Parametri'!$B$6</f>
        <v>711.21314454617504</v>
      </c>
      <c r="BU203" s="18">
        <f t="shared" si="29"/>
        <v>15287.123631321105</v>
      </c>
      <c r="BV203" s="18">
        <f>MAX(0,('P-Parametri'!$B$31*CR202)-CK202)+MAX(0,('P-Parametri'!$C$31*CR202)-CM202)+MAX(0,('P-Parametri'!$D$31*CR202)-CO202)</f>
        <v>15998.336775867298</v>
      </c>
      <c r="BW203" s="18">
        <f>CK202-BQ203+IF(BV203&lt;=0,0,BU203*MAX(0,('P-Parametri'!$B$31*CR202)-CK202)/BV203)</f>
        <v>167165.72173675089</v>
      </c>
      <c r="BX203" s="18">
        <f>CL202-BQ203*(1-BO203)+IF(BV203&lt;=0,0,BU203*MAX(0,('P-Parametri'!$B$31*CR202)-CK202)/BV203)</f>
        <v>242135.28389152655</v>
      </c>
      <c r="BY203" s="18">
        <f>CM202-BR203+IF(BV203&lt;=0,0,BU203*MAX(0,('P-Parametri'!$C$31*CR202)-CM202)/BV203)</f>
        <v>83938.467440648543</v>
      </c>
      <c r="BZ203" s="18">
        <f>CN202-BR203*(1-BP203)+IF(BV203&lt;=0,0,BU203*MAX(0,('P-Parametri'!$C$31*CR202)-CM202)/BV203)</f>
        <v>65124.953876743006</v>
      </c>
      <c r="CA203" s="18">
        <f>CO202-BS203+IF(BV203&lt;=0,0,BU203*MAX(0,('P-Parametri'!$D$31*CR202)-CO202)/BV203)</f>
        <v>27979.48914688285</v>
      </c>
      <c r="CB203" s="18">
        <f>CP202-BS203+IF(BV203&lt;=0,0,BU203*MAX(0,('P-Parametri'!$D$31*CR202)-CO202)/BV203)</f>
        <v>18760.246481656723</v>
      </c>
      <c r="CC203" s="18">
        <f t="shared" si="30"/>
        <v>178618.57966437915</v>
      </c>
      <c r="CD203" s="18">
        <f>BY203*(1+'P-Parametri'!$C$29)</f>
        <v>84358.159777851775</v>
      </c>
      <c r="CE203" s="18">
        <f>CA203*(1+'1-Input'!$B$27)</f>
        <v>27878.762985954072</v>
      </c>
      <c r="CF203" s="11">
        <f t="shared" si="31"/>
        <v>0</v>
      </c>
      <c r="CG203" s="11">
        <f t="shared" si="32"/>
        <v>0.22799461192322554</v>
      </c>
      <c r="CH203" s="18">
        <f>IF(CS202=0,0,(MIN((CC203+CD203+CE203),MAX(0,$B$4-IF($A203&gt;='1-Input'!$C$12,'1-Input'!$B$12,0))/(CC203/(CC203+CD203+CE203)*(1-'P-Parametri'!$B$6*CF203)+CD203/(CC203+CD203+CE203)*(1-'P-Parametri'!$B$6*CG203)+CE203/(CC203+CD203+CE203))))*CC203/(CC203+CD203+CE203))</f>
        <v>8123.1484515970296</v>
      </c>
      <c r="CI203" s="18">
        <f>IF(CS202=0,0,(MIN((CC203+CD203+CE203),MAX(0,$B$4-IF($A203&gt;='1-Input'!$C$12,'1-Input'!$B$12,0))/(CC203/(CC203+CD203+CE203)*(1-'P-Parametri'!$B$6*CF203)+CD203/(CC203+CD203+CE203)*(1-'P-Parametri'!$B$6*CG203)+CE203/(CC203+CD203+CE203))))*CD203/(CC203+CD203+CE203))</f>
        <v>3836.4085990752483</v>
      </c>
      <c r="CJ203" s="18">
        <f>IF(CS202=0,0,(MIN((CC203+CD203+CE203),MAX(0,$B$4-IF($A203&gt;='1-Input'!$C$12,'1-Input'!$B$12,0))/(CC203/(CC203+CD203+CE203)*(1-'P-Parametri'!$B$6*CF203)+CD203/(CC203+CD203+CE203)*(1-'P-Parametri'!$B$6*CG203)+CE203/(CC203+CD203+CE203))))*CE203/(CC203+CD203+CE203))</f>
        <v>1267.859876656245</v>
      </c>
      <c r="CK203" s="18">
        <f t="shared" si="33"/>
        <v>170495.43121278213</v>
      </c>
      <c r="CL203" s="18">
        <f t="shared" si="34"/>
        <v>234012.13543992952</v>
      </c>
      <c r="CM203" s="18">
        <f t="shared" si="35"/>
        <v>80521.751178776525</v>
      </c>
      <c r="CN203" s="18">
        <f t="shared" si="36"/>
        <v>62163.225767392847</v>
      </c>
      <c r="CO203" s="18">
        <f t="shared" si="37"/>
        <v>26610.903109297826</v>
      </c>
      <c r="CP203" s="18">
        <f t="shared" si="38"/>
        <v>17492.386605000476</v>
      </c>
      <c r="CQ203" s="18">
        <f>IF(CS203=0,CQ202,CQ202+BT203+CH203*CF203*'P-Parametri'!$B$6+CI203*CG203*'P-Parametri'!$B$6)</f>
        <v>3045.4249070323535</v>
      </c>
      <c r="CR203" s="18">
        <f t="shared" si="2"/>
        <v>277628.08550085651</v>
      </c>
      <c r="CS203" s="10">
        <f>IF(AND(CS202=1,(CJ203+CI203*(1-'P-Parametri'!$B$6*CG203)+CH203*(1-'P-Parametri'!$B$6*CF203))&gt;=MAX(0,$B$4-IF($A203&gt;='1-Input'!$C$12,'1-Input'!$B$12,0))-0.01),1,0)</f>
        <v>1</v>
      </c>
    </row>
    <row r="204" spans="1:97">
      <c r="A204" s="10">
        <f>4</f>
        <v>4</v>
      </c>
      <c r="B204" s="11">
        <f>IF(A204=1,'P-Parametri'!$B$30,IF(A204=2,'P-Parametri'!$C$30,'P-Parametri'!$B$29))</f>
        <v>6.8512000000000003E-2</v>
      </c>
      <c r="C204" s="11">
        <f t="shared" si="3"/>
        <v>0</v>
      </c>
      <c r="D204" s="11">
        <f t="shared" si="4"/>
        <v>0.22799461192322554</v>
      </c>
      <c r="E204" s="18">
        <f>MAX(0,Y203-('P-Parametri'!$B$31*AF203))</f>
        <v>4087.6501284333353</v>
      </c>
      <c r="F204" s="18">
        <f>MAX(0,AA203-('P-Parametri'!$C$31*AF203))</f>
        <v>0</v>
      </c>
      <c r="G204" s="18">
        <f>MAX(0,AC203-('P-Parametri'!$D$31*AF203))</f>
        <v>0</v>
      </c>
      <c r="H204" s="18">
        <f>E204*C204*'P-Parametri'!$B$6+F204*D204*'P-Parametri'!$B$7</f>
        <v>0</v>
      </c>
      <c r="I204" s="18">
        <f t="shared" si="5"/>
        <v>4087.6501284333353</v>
      </c>
      <c r="J204" s="18">
        <f>MAX(0,('P-Parametri'!$B$31*AF203)-Y203)+MAX(0,('P-Parametri'!$C$31*AF203)-AA203)+MAX(0,('P-Parametri'!$D$31*AF203)-AC203)</f>
        <v>4087.6501284333463</v>
      </c>
      <c r="K204" s="18">
        <f>Y203-E204+IF(J204&lt;=0,0,I204*MAX(0,('P-Parametri'!$B$31*AF203)-Y203)/J204)</f>
        <v>167462.08988821259</v>
      </c>
      <c r="L204" s="18">
        <f>Z203-E204*(1-C204)+IF(J204&lt;=0,0,I204*MAX(0,('P-Parametri'!$B$31*AF203)-Y203)/J204)</f>
        <v>231094.71371042536</v>
      </c>
      <c r="M204" s="18">
        <f>AA203-F204+IF(J204&lt;=0,0,I204*MAX(0,('P-Parametri'!$C$31*AF203)-AA203)/J204)</f>
        <v>83731.044944106281</v>
      </c>
      <c r="N204" s="18">
        <f>AB203-F204*(1-D204)+IF(J204&lt;=0,0,I204*MAX(0,('P-Parametri'!$C$31*AF203)-AA203)/J204)</f>
        <v>65300.360672632756</v>
      </c>
      <c r="O204" s="18">
        <f>AC203-G204+IF(J204&lt;=0,0,I204*MAX(0,('P-Parametri'!$D$31*AF203)-AC203)/J204)</f>
        <v>27910.348314702096</v>
      </c>
      <c r="P204" s="18">
        <f>AD203-G204+IF(J204&lt;=0,0,I204*MAX(0,('P-Parametri'!$D$31*AF203)-AC203)/J204)</f>
        <v>18792.21696943682</v>
      </c>
      <c r="Q204" s="18">
        <f t="shared" si="6"/>
        <v>178935.25259063378</v>
      </c>
      <c r="R204" s="18">
        <f>M204*(1+'P-Parametri'!$C$29)</f>
        <v>84149.700168826806</v>
      </c>
      <c r="S204" s="18">
        <f>O204*(1+'1-Input'!$B$27)</f>
        <v>27809.871060769168</v>
      </c>
      <c r="T204" s="11">
        <f t="shared" si="7"/>
        <v>0</v>
      </c>
      <c r="U204" s="11">
        <f t="shared" si="8"/>
        <v>0.22399770240865069</v>
      </c>
      <c r="V204" s="18">
        <f>IF(AG203=0,0,(MIN((Q204+R204+S204),MAX(0,$B$4-IF($A204&gt;='1-Input'!$C$12,'1-Input'!$B$12,0))/(Q204/(Q204+R204+S204)*(1-'P-Parametri'!$B$6*T204)+R204/(Q204+R204+S204)*(1-'P-Parametri'!$B$7*U204)+S204/(Q204+R204+S204))))*Q204/(Q204+R204+S204))</f>
        <v>8061.860108577237</v>
      </c>
      <c r="W204" s="18">
        <f>IF(AG203=0,0,(MIN((Q204+R204+S204),MAX(0,$B$4-IF($A204&gt;='1-Input'!$C$12,'1-Input'!$B$12,0))/(Q204/(Q204+R204+S204)*(1-'P-Parametri'!$B$6*T204)+R204/(Q204+R204+S204)*(1-'P-Parametri'!$B$7*U204)+S204/(Q204+R204+S204))))*R204/(Q204+R204+S204))</f>
        <v>3791.3329046000995</v>
      </c>
      <c r="X204" s="18">
        <f>IF(AG203=0,0,(MIN((Q204+R204+S204),MAX(0,$B$4-IF($A204&gt;='1-Input'!$C$12,'1-Input'!$B$12,0))/(Q204/(Q204+R204+S204)*(1-'P-Parametri'!$B$6*T204)+R204/(Q204+R204+S204)*(1-'P-Parametri'!$B$7*U204)+S204/(Q204+R204+S204))))*S204/(Q204+R204+S204))</f>
        <v>1252.9632192847562</v>
      </c>
      <c r="Y204" s="18">
        <f t="shared" si="9"/>
        <v>170873.39248205654</v>
      </c>
      <c r="Z204" s="18">
        <f t="shared" si="10"/>
        <v>223032.85360184812</v>
      </c>
      <c r="AA204" s="18">
        <f t="shared" si="11"/>
        <v>80358.367264226705</v>
      </c>
      <c r="AB204" s="18">
        <f t="shared" si="12"/>
        <v>62358.277627729396</v>
      </c>
      <c r="AC204" s="18">
        <f t="shared" si="13"/>
        <v>26556.907841484412</v>
      </c>
      <c r="AD204" s="18">
        <f t="shared" si="14"/>
        <v>17539.253750152064</v>
      </c>
      <c r="AE204" s="18">
        <f>IF(AG204=0,AE203,AE203+H204+V204*T204*'P-Parametri'!$B$6+W204*U204*'P-Parametri'!$B$7)</f>
        <v>1561.4835685327985</v>
      </c>
      <c r="AF204" s="18">
        <f t="shared" si="0"/>
        <v>277788.66758776765</v>
      </c>
      <c r="AG204" s="10">
        <f>IF(AND(AG203=1,(X204+W204*(1-'P-Parametri'!$B$7*U204)+V204*(1-'P-Parametri'!$B$6*T204))&gt;=MAX(0,$B$4-IF($A204&gt;='1-Input'!$C$12,'1-Input'!$B$12,0))-0.01),1,0)</f>
        <v>1</v>
      </c>
      <c r="AI204" s="11">
        <f t="shared" si="15"/>
        <v>0</v>
      </c>
      <c r="AJ204" s="11">
        <f t="shared" si="16"/>
        <v>0.22799461192322551</v>
      </c>
      <c r="AK204" s="18">
        <f>MAX(0,BE203-('P-Parametri'!$B$31*BL203))</f>
        <v>12253.078006028663</v>
      </c>
      <c r="AL204" s="18">
        <f>MAX(0,BG203-('P-Parametri'!$C$31*BL203))</f>
        <v>905.65826416284835</v>
      </c>
      <c r="AM204" s="18">
        <f>MAX(0,BI203-('P-Parametri'!$D$31*BL203))</f>
        <v>0</v>
      </c>
      <c r="AN204" s="18">
        <f>AK204*AI204*'P-Parametri'!$B$6+AL204*AJ204*'P-Parametri'!$B$7</f>
        <v>25.810650559108833</v>
      </c>
      <c r="AO204" s="18">
        <f t="shared" si="17"/>
        <v>13132.925619632402</v>
      </c>
      <c r="AP204" s="18">
        <f>MAX(0,('P-Parametri'!$B$31*BL203)-BE203)+MAX(0,('P-Parametri'!$C$31*BL203)-BG203)+MAX(0,('P-Parametri'!$D$31*BL203)-BI203)</f>
        <v>13158.736270191464</v>
      </c>
      <c r="AQ204" s="18">
        <f>BE203-AK204+IF(AP204&lt;=0,0,AO204*MAX(0,('P-Parametri'!$B$31*BL203)-BE203)/AP204)</f>
        <v>167532.9264842429</v>
      </c>
      <c r="AR204" s="18">
        <f>BF203-AK204*(1-AI204)+IF(AP204&lt;=0,0,AO204*MAX(0,('P-Parametri'!$B$31*BL203)-BE203)/AP204)</f>
        <v>231158.05948186817</v>
      </c>
      <c r="AS204" s="18">
        <f>BG203-AL204+IF(AP204&lt;=0,0,AO204*MAX(0,('P-Parametri'!$C$31*BL203)-BG203)/AP204)</f>
        <v>83766.463242121448</v>
      </c>
      <c r="AT204" s="18">
        <f>BH203-AL204*(1-AJ204)+IF(AP204&lt;=0,0,AO204*MAX(0,('P-Parametri'!$C$31*BL203)-BG203)/AP204)</f>
        <v>64668.160963052833</v>
      </c>
      <c r="AU204" s="18">
        <f>BI203-AM204+IF(AP204&lt;=0,0,AO204*MAX(0,('P-Parametri'!$D$31*BL203)-BI203)/AP204)</f>
        <v>27896.343763481425</v>
      </c>
      <c r="AV204" s="18">
        <f>BJ203-AM204+IF(AP204&lt;=0,0,AO204*MAX(0,('P-Parametri'!$D$31*BL203)-BI203)/AP204)</f>
        <v>18777.248353398416</v>
      </c>
      <c r="AW204" s="18">
        <f t="shared" si="18"/>
        <v>179010.94234353132</v>
      </c>
      <c r="AX204" s="18">
        <f>AS204*(1+'P-Parametri'!$C$29)</f>
        <v>84185.295558332044</v>
      </c>
      <c r="AY204" s="18">
        <f>AU204*(1+'1-Input'!$B$27)</f>
        <v>27795.916925932892</v>
      </c>
      <c r="AZ204" s="11">
        <f t="shared" si="19"/>
        <v>0</v>
      </c>
      <c r="BA204" s="11">
        <f t="shared" si="20"/>
        <v>0.23183543474947801</v>
      </c>
      <c r="BB204" s="18">
        <f>IF(BM203=0,0,MIN(MAX(AW204,0),(MAX(0,$B$4-IF($A204&gt;='1-Input'!$C$12,'1-Input'!$B$12,0))-BD204-BC204*(1-'P-Parametri'!$B$7*BA204))/(1-'P-Parametri'!$B$6*AZ204)))</f>
        <v>0</v>
      </c>
      <c r="BC204" s="18">
        <f>IF(BM203=0,0,MIN(MAX(AX204,0),(MAX(0,$B$4-IF($A204&gt;='1-Input'!$C$12,'1-Input'!$B$12,0))-BD204)/(1-'P-Parametri'!$B$7*BA204)))</f>
        <v>0</v>
      </c>
      <c r="BD204" s="18">
        <f>IF(BM203=0,0,MIN(MAX(AY204,0),MAX(0,$B$4-IF($A204&gt;='1-Input'!$C$12,'1-Input'!$B$12,0))))</f>
        <v>13000</v>
      </c>
      <c r="BE204" s="18">
        <f t="shared" si="21"/>
        <v>179010.94234353132</v>
      </c>
      <c r="BF204" s="18">
        <f t="shared" si="22"/>
        <v>231158.05948186817</v>
      </c>
      <c r="BG204" s="18">
        <f t="shared" si="23"/>
        <v>84185.295558332044</v>
      </c>
      <c r="BH204" s="18">
        <f t="shared" si="24"/>
        <v>64668.160963052833</v>
      </c>
      <c r="BI204" s="18">
        <f t="shared" si="25"/>
        <v>14795.916925932892</v>
      </c>
      <c r="BJ204" s="18">
        <f t="shared" si="26"/>
        <v>5777.2483533984159</v>
      </c>
      <c r="BK204" s="18">
        <f>IF(BM204=0,BK203,BK203+AN204+BB204*AZ204*'P-Parametri'!$B$6+BC204*BA204*'P-Parametri'!$B$7)</f>
        <v>1371.9241140456361</v>
      </c>
      <c r="BL204" s="18">
        <f t="shared" si="1"/>
        <v>277992.15482779627</v>
      </c>
      <c r="BM204" s="10">
        <f>IF(AND(BM203=1,(BD204+BC204*(1-'P-Parametri'!$B$7*BA204)+BB204*(1-'P-Parametri'!$B$6*AZ204))&gt;=MAX(0,$B$4-IF($A204&gt;='1-Input'!$C$12,'1-Input'!$B$12,0))-0.01),1,0)</f>
        <v>1</v>
      </c>
      <c r="BO204" s="11">
        <f t="shared" si="27"/>
        <v>0</v>
      </c>
      <c r="BP204" s="11">
        <f t="shared" si="28"/>
        <v>0.22799461192322548</v>
      </c>
      <c r="BQ204" s="18">
        <f>MAX(0,CK203-('P-Parametri'!$B$31*CR203))</f>
        <v>3918.5799122682365</v>
      </c>
      <c r="BR204" s="18">
        <f>MAX(0,CM203-('P-Parametri'!$C$31*CR203))</f>
        <v>0</v>
      </c>
      <c r="BS204" s="18">
        <f>MAX(0,CO203-('P-Parametri'!$D$31*CR203))</f>
        <v>0</v>
      </c>
      <c r="BT204" s="18">
        <f>BQ204*BO204*'P-Parametri'!$B$6+BR204*BP204*'P-Parametri'!$B$6</f>
        <v>0</v>
      </c>
      <c r="BU204" s="18">
        <f t="shared" si="29"/>
        <v>3918.5799122682365</v>
      </c>
      <c r="BV204" s="18">
        <f>MAX(0,('P-Parametri'!$B$31*CR203)-CK203)+MAX(0,('P-Parametri'!$C$31*CR203)-CM203)+MAX(0,('P-Parametri'!$D$31*CR203)-CO203)</f>
        <v>3918.5799122682511</v>
      </c>
      <c r="BW204" s="18">
        <f>CK203-BQ204+IF(BV204&lt;=0,0,BU204*MAX(0,('P-Parametri'!$B$31*CR203)-CK203)/BV204)</f>
        <v>166576.8513005139</v>
      </c>
      <c r="BX204" s="18">
        <f>CL203-BQ204*(1-BO204)+IF(BV204&lt;=0,0,BU204*MAX(0,('P-Parametri'!$B$31*CR203)-CK203)/BV204)</f>
        <v>230093.55552766129</v>
      </c>
      <c r="BY204" s="18">
        <f>CM203-BR204+IF(BV204&lt;=0,0,BU204*MAX(0,('P-Parametri'!$C$31*CR203)-CM203)/BV204)</f>
        <v>83288.425650256933</v>
      </c>
      <c r="BZ204" s="18">
        <f>CN203-BR204*(1-BP204)+IF(BV204&lt;=0,0,BU204*MAX(0,('P-Parametri'!$C$31*CR203)-CM203)/BV204)</f>
        <v>64929.900238873262</v>
      </c>
      <c r="CA204" s="18">
        <f>CO203-BS204+IF(BV204&lt;=0,0,BU204*MAX(0,('P-Parametri'!$D$31*CR203)-CO203)/BV204)</f>
        <v>27762.80855008565</v>
      </c>
      <c r="CB204" s="18">
        <f>CP203-BS204+IF(BV204&lt;=0,0,BU204*MAX(0,('P-Parametri'!$D$31*CR203)-CO203)/BV204)</f>
        <v>18644.292045788301</v>
      </c>
      <c r="CC204" s="18">
        <f t="shared" si="30"/>
        <v>177989.36453681468</v>
      </c>
      <c r="CD204" s="18">
        <f>BY204*(1+'P-Parametri'!$C$29)</f>
        <v>83704.867778508211</v>
      </c>
      <c r="CE204" s="18">
        <f>CA204*(1+'1-Input'!$B$27)</f>
        <v>27662.86243930534</v>
      </c>
      <c r="CF204" s="11">
        <f t="shared" si="31"/>
        <v>0</v>
      </c>
      <c r="CG204" s="11">
        <f t="shared" si="32"/>
        <v>0.22429959019008866</v>
      </c>
      <c r="CH204" s="18">
        <f>IF(CS203=0,0,(MIN((CC204+CD204+CE204),MAX(0,$B$4-IF($A204&gt;='1-Input'!$C$12,'1-Input'!$B$12,0))/(CC204/(CC204+CD204+CE204)*(1-'P-Parametri'!$B$6*CF204)+CD204/(CC204+CD204+CE204)*(1-'P-Parametri'!$B$6*CG204)+CE204/(CC204+CD204+CE204))))*CC204/(CC204+CD204+CE204))</f>
        <v>8133.7791817529223</v>
      </c>
      <c r="CI204" s="18">
        <f>IF(CS203=0,0,(MIN((CC204+CD204+CE204),MAX(0,$B$4-IF($A204&gt;='1-Input'!$C$12,'1-Input'!$B$12,0))/(CC204/(CC204+CD204+CE204)*(1-'P-Parametri'!$B$6*CF204)+CD204/(CC204+CD204+CE204)*(1-'P-Parametri'!$B$6*CG204)+CE204/(CC204+CD204+CE204))))*CD204/(CC204+CD204+CE204))</f>
        <v>3825.1550182223905</v>
      </c>
      <c r="CJ204" s="18">
        <f>IF(CS203=0,0,(MIN((CC204+CD204+CE204),MAX(0,$B$4-IF($A204&gt;='1-Input'!$C$12,'1-Input'!$B$12,0))/(CC204/(CC204+CD204+CE204)*(1-'P-Parametri'!$B$6*CF204)+CD204/(CC204+CD204+CE204)*(1-'P-Parametri'!$B$6*CG204)+CE204/(CC204+CD204+CE204))))*CE204/(CC204+CD204+CE204))</f>
        <v>1264.1407828049055</v>
      </c>
      <c r="CK204" s="18">
        <f t="shared" si="33"/>
        <v>169855.58535506175</v>
      </c>
      <c r="CL204" s="18">
        <f t="shared" si="34"/>
        <v>221959.77634590835</v>
      </c>
      <c r="CM204" s="18">
        <f t="shared" si="35"/>
        <v>79879.712760285824</v>
      </c>
      <c r="CN204" s="18">
        <f t="shared" si="36"/>
        <v>61962.725923651713</v>
      </c>
      <c r="CO204" s="18">
        <f t="shared" si="37"/>
        <v>26398.721656500435</v>
      </c>
      <c r="CP204" s="18">
        <f t="shared" si="38"/>
        <v>17380.151262983396</v>
      </c>
      <c r="CQ204" s="18">
        <f>IF(CS204=0,CQ203,CQ203+BT204+CH204*CF204*'P-Parametri'!$B$6+CI204*CG204*'P-Parametri'!$B$6)</f>
        <v>3268.4998898125727</v>
      </c>
      <c r="CR204" s="18">
        <f t="shared" si="2"/>
        <v>276134.01977184799</v>
      </c>
      <c r="CS204" s="10">
        <f>IF(AND(CS203=1,(CJ204+CI204*(1-'P-Parametri'!$B$6*CG204)+CH204*(1-'P-Parametri'!$B$6*CF204))&gt;=MAX(0,$B$4-IF($A204&gt;='1-Input'!$C$12,'1-Input'!$B$12,0))-0.01),1,0)</f>
        <v>1</v>
      </c>
    </row>
    <row r="205" spans="1:97">
      <c r="A205" s="10">
        <f>5</f>
        <v>5</v>
      </c>
      <c r="B205" s="11">
        <f>IF(A205=1,'P-Parametri'!$B$30,IF(A205=2,'P-Parametri'!$C$30,'P-Parametri'!$B$29))</f>
        <v>6.8512000000000003E-2</v>
      </c>
      <c r="C205" s="11">
        <f t="shared" si="3"/>
        <v>0</v>
      </c>
      <c r="D205" s="11">
        <f t="shared" si="4"/>
        <v>0.22399770240865066</v>
      </c>
      <c r="E205" s="18">
        <f>MAX(0,Y204-('P-Parametri'!$B$31*AF204))</f>
        <v>4200.1919293959509</v>
      </c>
      <c r="F205" s="18">
        <f>MAX(0,AA204-('P-Parametri'!$C$31*AF204))</f>
        <v>0</v>
      </c>
      <c r="G205" s="18">
        <f>MAX(0,AC204-('P-Parametri'!$D$31*AF204))</f>
        <v>0</v>
      </c>
      <c r="H205" s="18">
        <f>E205*C205*'P-Parametri'!$B$6+F205*D205*'P-Parametri'!$B$7</f>
        <v>0</v>
      </c>
      <c r="I205" s="18">
        <f t="shared" si="5"/>
        <v>4200.1919293959509</v>
      </c>
      <c r="J205" s="18">
        <f>MAX(0,('P-Parametri'!$B$31*AF204)-Y204)+MAX(0,('P-Parametri'!$C$31*AF204)-AA204)+MAX(0,('P-Parametri'!$D$31*AF204)-AC204)</f>
        <v>4200.1919293959472</v>
      </c>
      <c r="K205" s="18">
        <f>Y204-E205+IF(J205&lt;=0,0,I205*MAX(0,('P-Parametri'!$B$31*AF204)-Y204)/J205)</f>
        <v>166673.20055266059</v>
      </c>
      <c r="L205" s="18">
        <f>Z204-E205*(1-C205)+IF(J205&lt;=0,0,I205*MAX(0,('P-Parametri'!$B$31*AF204)-Y204)/J205)</f>
        <v>218832.66167245217</v>
      </c>
      <c r="M205" s="18">
        <f>AA204-F205+IF(J205&lt;=0,0,I205*MAX(0,('P-Parametri'!$C$31*AF204)-AA204)/J205)</f>
        <v>83336.600276330297</v>
      </c>
      <c r="N205" s="18">
        <f>AB204-F205*(1-D205)+IF(J205&lt;=0,0,I205*MAX(0,('P-Parametri'!$C$31*AF204)-AA204)/J205)</f>
        <v>65336.510639832988</v>
      </c>
      <c r="O205" s="18">
        <f>AC204-G205+IF(J205&lt;=0,0,I205*MAX(0,('P-Parametri'!$D$31*AF204)-AC204)/J205)</f>
        <v>27778.866758776767</v>
      </c>
      <c r="P205" s="18">
        <f>AD204-G205+IF(J205&lt;=0,0,I205*MAX(0,('P-Parametri'!$D$31*AF204)-AC204)/J205)</f>
        <v>18761.212667444419</v>
      </c>
      <c r="Q205" s="18">
        <f t="shared" si="6"/>
        <v>178092.31486892447</v>
      </c>
      <c r="R205" s="18">
        <f>M205*(1+'P-Parametri'!$C$29)</f>
        <v>83753.283277711933</v>
      </c>
      <c r="S205" s="18">
        <f>O205*(1+'1-Input'!$B$27)</f>
        <v>27678.862838445169</v>
      </c>
      <c r="T205" s="11">
        <f t="shared" si="7"/>
        <v>0</v>
      </c>
      <c r="U205" s="11">
        <f t="shared" si="8"/>
        <v>0.21989314230000984</v>
      </c>
      <c r="V205" s="18">
        <f>IF(AG204=0,0,(MIN((Q205+R205+S205),MAX(0,$B$4-IF($A205&gt;='1-Input'!$C$12,'1-Input'!$B$12,0))/(Q205/(Q205+R205+S205)*(1-'P-Parametri'!$B$6*T205)+R205/(Q205+R205+S205)*(1-'P-Parametri'!$B$7*U205)+S205/(Q205+R205+S205))))*Q205/(Q205+R205+S205))</f>
        <v>8060.6539748021114</v>
      </c>
      <c r="W205" s="18">
        <f>IF(AG204=0,0,(MIN((Q205+R205+S205),MAX(0,$B$4-IF($A205&gt;='1-Input'!$C$12,'1-Input'!$B$12,0))/(Q205/(Q205+R205+S205)*(1-'P-Parametri'!$B$6*T205)+R205/(Q205+R205+S205)*(1-'P-Parametri'!$B$7*U205)+S205/(Q205+R205+S205))))*R205/(Q205+R205+S205))</f>
        <v>3790.7656838089424</v>
      </c>
      <c r="X205" s="18">
        <f>IF(AG204=0,0,(MIN((Q205+R205+S205),MAX(0,$B$4-IF($A205&gt;='1-Input'!$C$12,'1-Input'!$B$12,0))/(Q205/(Q205+R205+S205)*(1-'P-Parametri'!$B$6*T205)+R205/(Q205+R205+S205)*(1-'P-Parametri'!$B$7*U205)+S205/(Q205+R205+S205))))*S205/(Q205+R205+S205))</f>
        <v>1252.7757636309225</v>
      </c>
      <c r="Y205" s="18">
        <f t="shared" si="9"/>
        <v>170031.66089412235</v>
      </c>
      <c r="Z205" s="18">
        <f t="shared" si="10"/>
        <v>210772.00769765006</v>
      </c>
      <c r="AA205" s="18">
        <f t="shared" si="11"/>
        <v>79962.517593902987</v>
      </c>
      <c r="AB205" s="18">
        <f t="shared" si="12"/>
        <v>62379.308333959838</v>
      </c>
      <c r="AC205" s="18">
        <f t="shared" si="13"/>
        <v>26426.087074814248</v>
      </c>
      <c r="AD205" s="18">
        <f t="shared" si="14"/>
        <v>17508.436903813497</v>
      </c>
      <c r="AE205" s="18">
        <f>IF(AG205=0,AE204,AE204+H205+V205*T205*'P-Parametri'!$B$6+W205*U205*'P-Parametri'!$B$7)</f>
        <v>1665.6789907747727</v>
      </c>
      <c r="AF205" s="18">
        <f t="shared" si="0"/>
        <v>276420.26556283957</v>
      </c>
      <c r="AG205" s="10">
        <f>IF(AND(AG204=1,(X205+W205*(1-'P-Parametri'!$B$7*U205)+V205*(1-'P-Parametri'!$B$6*T205))&gt;=MAX(0,$B$4-IF($A205&gt;='1-Input'!$C$12,'1-Input'!$B$12,0))-0.01),1,0)</f>
        <v>1</v>
      </c>
      <c r="AI205" s="11">
        <f t="shared" si="15"/>
        <v>0</v>
      </c>
      <c r="AJ205" s="11">
        <f t="shared" si="16"/>
        <v>0.23183543474947801</v>
      </c>
      <c r="AK205" s="18">
        <f>MAX(0,BE204-('P-Parametri'!$B$31*BL204))</f>
        <v>12215.649446853553</v>
      </c>
      <c r="AL205" s="18">
        <f>MAX(0,BG204-('P-Parametri'!$C$31*BL204))</f>
        <v>787.64910999315907</v>
      </c>
      <c r="AM205" s="18">
        <f>MAX(0,BI204-('P-Parametri'!$D$31*BL204))</f>
        <v>0</v>
      </c>
      <c r="AN205" s="18">
        <f>AK205*AI205*'P-Parametri'!$B$6+AL205*AJ205*'P-Parametri'!$B$7</f>
        <v>22.825621730662931</v>
      </c>
      <c r="AO205" s="18">
        <f t="shared" si="17"/>
        <v>12980.472935116049</v>
      </c>
      <c r="AP205" s="18">
        <f>MAX(0,('P-Parametri'!$B$31*BL204)-BE204)+MAX(0,('P-Parametri'!$C$31*BL204)-BG204)+MAX(0,('P-Parametri'!$D$31*BL204)-BI204)</f>
        <v>13003.298556846737</v>
      </c>
      <c r="AQ205" s="18">
        <f>BE204-AK205+IF(AP205&lt;=0,0,AO205*MAX(0,('P-Parametri'!$B$31*BL204)-BE204)/AP205)</f>
        <v>166795.29289667777</v>
      </c>
      <c r="AR205" s="18">
        <f>BF204-AK205*(1-AI205)+IF(AP205&lt;=0,0,AO205*MAX(0,('P-Parametri'!$B$31*BL204)-BE204)/AP205)</f>
        <v>218942.41003501462</v>
      </c>
      <c r="AS205" s="18">
        <f>BG204-AL205+IF(AP205&lt;=0,0,AO205*MAX(0,('P-Parametri'!$C$31*BL204)-BG204)/AP205)</f>
        <v>83397.646448338885</v>
      </c>
      <c r="AT205" s="18">
        <f>BH204-AL205*(1-AJ205)+IF(AP205&lt;=0,0,AO205*MAX(0,('P-Parametri'!$C$31*BL204)-BG204)/AP205)</f>
        <v>64063.116826904974</v>
      </c>
      <c r="AU205" s="18">
        <f>BI204-AM205+IF(AP205&lt;=0,0,AO205*MAX(0,('P-Parametri'!$D$31*BL204)-BI204)/AP205)</f>
        <v>27776.389861048941</v>
      </c>
      <c r="AV205" s="18">
        <f>BJ204-AM205+IF(AP205&lt;=0,0,AO205*MAX(0,('P-Parametri'!$D$31*BL204)-BI204)/AP205)</f>
        <v>18757.721288514465</v>
      </c>
      <c r="AW205" s="18">
        <f t="shared" si="18"/>
        <v>178222.77200361495</v>
      </c>
      <c r="AX205" s="18">
        <f>AS205*(1+'P-Parametri'!$C$29)</f>
        <v>83814.634680580566</v>
      </c>
      <c r="AY205" s="18">
        <f>AU205*(1+'1-Input'!$B$27)</f>
        <v>27676.394857549163</v>
      </c>
      <c r="AZ205" s="11">
        <f t="shared" si="19"/>
        <v>0</v>
      </c>
      <c r="BA205" s="11">
        <f t="shared" si="20"/>
        <v>0.23565714900445567</v>
      </c>
      <c r="BB205" s="18">
        <f>IF(BM204=0,0,MIN(MAX(AW205,0),(MAX(0,$B$4-IF($A205&gt;='1-Input'!$C$12,'1-Input'!$B$12,0))-BD205-BC205*(1-'P-Parametri'!$B$7*BA205))/(1-'P-Parametri'!$B$6*AZ205)))</f>
        <v>0</v>
      </c>
      <c r="BC205" s="18">
        <f>IF(BM204=0,0,MIN(MAX(AX205,0),(MAX(0,$B$4-IF($A205&gt;='1-Input'!$C$12,'1-Input'!$B$12,0))-BD205)/(1-'P-Parametri'!$B$7*BA205)))</f>
        <v>0</v>
      </c>
      <c r="BD205" s="18">
        <f>IF(BM204=0,0,MIN(MAX(AY205,0),MAX(0,$B$4-IF($A205&gt;='1-Input'!$C$12,'1-Input'!$B$12,0))))</f>
        <v>13000</v>
      </c>
      <c r="BE205" s="18">
        <f t="shared" si="21"/>
        <v>178222.77200361495</v>
      </c>
      <c r="BF205" s="18">
        <f t="shared" si="22"/>
        <v>218942.41003501462</v>
      </c>
      <c r="BG205" s="18">
        <f t="shared" si="23"/>
        <v>83814.634680580566</v>
      </c>
      <c r="BH205" s="18">
        <f t="shared" si="24"/>
        <v>64063.116826904974</v>
      </c>
      <c r="BI205" s="18">
        <f t="shared" si="25"/>
        <v>14676.394857549163</v>
      </c>
      <c r="BJ205" s="18">
        <f t="shared" si="26"/>
        <v>5757.7212885144654</v>
      </c>
      <c r="BK205" s="18">
        <f>IF(BM205=0,BK204,BK204+AN205+BB205*AZ205*'P-Parametri'!$B$6+BC205*BA205*'P-Parametri'!$B$7)</f>
        <v>1394.7497357762991</v>
      </c>
      <c r="BL205" s="18">
        <f t="shared" si="1"/>
        <v>276713.80154174467</v>
      </c>
      <c r="BM205" s="10">
        <f>IF(AND(BM204=1,(BD205+BC205*(1-'P-Parametri'!$B$7*BA205)+BB205*(1-'P-Parametri'!$B$6*AZ205))&gt;=MAX(0,$B$4-IF($A205&gt;='1-Input'!$C$12,'1-Input'!$B$12,0))-0.01),1,0)</f>
        <v>1</v>
      </c>
      <c r="BO205" s="11">
        <f t="shared" si="27"/>
        <v>0</v>
      </c>
      <c r="BP205" s="11">
        <f t="shared" si="28"/>
        <v>0.22429959019008872</v>
      </c>
      <c r="BQ205" s="18">
        <f>MAX(0,CK204-('P-Parametri'!$B$31*CR204))</f>
        <v>4175.1734919529699</v>
      </c>
      <c r="BR205" s="18">
        <f>MAX(0,CM204-('P-Parametri'!$C$31*CR204))</f>
        <v>0</v>
      </c>
      <c r="BS205" s="18">
        <f>MAX(0,CO204-('P-Parametri'!$D$31*CR204))</f>
        <v>0</v>
      </c>
      <c r="BT205" s="18">
        <f>BQ205*BO205*'P-Parametri'!$B$6+BR205*BP205*'P-Parametri'!$B$6</f>
        <v>0</v>
      </c>
      <c r="BU205" s="18">
        <f t="shared" si="29"/>
        <v>4175.1734919529699</v>
      </c>
      <c r="BV205" s="18">
        <f>MAX(0,('P-Parametri'!$B$31*CR204)-CK204)+MAX(0,('P-Parametri'!$C$31*CR204)-CM204)+MAX(0,('P-Parametri'!$D$31*CR204)-CO204)</f>
        <v>4175.1734919529299</v>
      </c>
      <c r="BW205" s="18">
        <f>CK204-BQ205+IF(BV205&lt;=0,0,BU205*MAX(0,('P-Parametri'!$B$31*CR204)-CK204)/BV205)</f>
        <v>165680.41186310878</v>
      </c>
      <c r="BX205" s="18">
        <f>CL204-BQ205*(1-BO205)+IF(BV205&lt;=0,0,BU205*MAX(0,('P-Parametri'!$B$31*CR204)-CK204)/BV205)</f>
        <v>217784.60285395538</v>
      </c>
      <c r="BY205" s="18">
        <f>CM204-BR205+IF(BV205&lt;=0,0,BU205*MAX(0,('P-Parametri'!$C$31*CR204)-CM204)/BV205)</f>
        <v>82840.205931554417</v>
      </c>
      <c r="BZ205" s="18">
        <f>CN204-BR205*(1-BP205)+IF(BV205&lt;=0,0,BU205*MAX(0,('P-Parametri'!$C$31*CR204)-CM204)/BV205)</f>
        <v>64923.219094920307</v>
      </c>
      <c r="CA205" s="18">
        <f>CO204-BS205+IF(BV205&lt;=0,0,BU205*MAX(0,('P-Parametri'!$D$31*CR204)-CO204)/BV205)</f>
        <v>27613.401977184811</v>
      </c>
      <c r="CB205" s="18">
        <f>CP204-BS205+IF(BV205&lt;=0,0,BU205*MAX(0,('P-Parametri'!$D$31*CR204)-CO204)/BV205)</f>
        <v>18594.831583667772</v>
      </c>
      <c r="CC205" s="18">
        <f t="shared" si="30"/>
        <v>177031.50824067407</v>
      </c>
      <c r="CD205" s="18">
        <f>BY205*(1+'P-Parametri'!$C$29)</f>
        <v>83254.406961212182</v>
      </c>
      <c r="CE205" s="18">
        <f>CA205*(1+'1-Input'!$B$27)</f>
        <v>27513.993730066944</v>
      </c>
      <c r="CF205" s="11">
        <f t="shared" si="31"/>
        <v>0</v>
      </c>
      <c r="CG205" s="11">
        <f t="shared" si="32"/>
        <v>0.22018279314429909</v>
      </c>
      <c r="CH205" s="18">
        <f>IF(CS204=0,0,(MIN((CC205+CD205+CE205),MAX(0,$B$4-IF($A205&gt;='1-Input'!$C$12,'1-Input'!$B$12,0))/(CC205/(CC205+CD205+CE205)*(1-'P-Parametri'!$B$6*CF205)+CD205/(CC205+CD205+CE205)*(1-'P-Parametri'!$B$6*CG205)+CE205/(CC205+CD205+CE205))))*CC205/(CC205+CD205+CE205))</f>
        <v>8131.2182729541337</v>
      </c>
      <c r="CI205" s="18">
        <f>IF(CS204=0,0,(MIN((CC205+CD205+CE205),MAX(0,$B$4-IF($A205&gt;='1-Input'!$C$12,'1-Input'!$B$12,0))/(CC205/(CC205+CD205+CE205)*(1-'P-Parametri'!$B$6*CF205)+CD205/(CC205+CD205+CE205)*(1-'P-Parametri'!$B$6*CG205)+CE205/(CC205+CD205+CE205))))*CD205/(CC205+CD205+CE205))</f>
        <v>3823.9506736091435</v>
      </c>
      <c r="CJ205" s="18">
        <f>IF(CS204=0,0,(MIN((CC205+CD205+CE205),MAX(0,$B$4-IF($A205&gt;='1-Input'!$C$12,'1-Input'!$B$12,0))/(CC205/(CC205+CD205+CE205)*(1-'P-Parametri'!$B$6*CF205)+CD205/(CC205+CD205+CE205)*(1-'P-Parametri'!$B$6*CG205)+CE205/(CC205+CD205+CE205))))*CE205/(CC205+CD205+CE205))</f>
        <v>1263.7427698786573</v>
      </c>
      <c r="CK205" s="18">
        <f t="shared" si="33"/>
        <v>168900.28996771993</v>
      </c>
      <c r="CL205" s="18">
        <f t="shared" si="34"/>
        <v>209653.38458100124</v>
      </c>
      <c r="CM205" s="18">
        <f t="shared" si="35"/>
        <v>79430.45628760304</v>
      </c>
      <c r="CN205" s="18">
        <f t="shared" si="36"/>
        <v>61941.236561472448</v>
      </c>
      <c r="CO205" s="18">
        <f t="shared" si="37"/>
        <v>26250.250960188288</v>
      </c>
      <c r="CP205" s="18">
        <f t="shared" si="38"/>
        <v>17331.088813789116</v>
      </c>
      <c r="CQ205" s="18">
        <f>IF(CS205=0,CQ204,CQ204+BT205+CH205*CF205*'P-Parametri'!$B$6+CI205*CG205*'P-Parametri'!$B$6)</f>
        <v>3487.4116062545068</v>
      </c>
      <c r="CR205" s="18">
        <f t="shared" si="2"/>
        <v>274580.99721551128</v>
      </c>
      <c r="CS205" s="10">
        <f>IF(AND(CS204=1,(CJ205+CI205*(1-'P-Parametri'!$B$6*CG205)+CH205*(1-'P-Parametri'!$B$6*CF205))&gt;=MAX(0,$B$4-IF($A205&gt;='1-Input'!$C$12,'1-Input'!$B$12,0))-0.01),1,0)</f>
        <v>1</v>
      </c>
    </row>
    <row r="206" spans="1:97">
      <c r="A206" s="10">
        <f>6</f>
        <v>6</v>
      </c>
      <c r="B206" s="11">
        <f>IF(A206=1,'P-Parametri'!$B$30,IF(A206=2,'P-Parametri'!$C$30,'P-Parametri'!$B$29))</f>
        <v>6.8512000000000003E-2</v>
      </c>
      <c r="C206" s="11">
        <f t="shared" si="3"/>
        <v>0</v>
      </c>
      <c r="D206" s="11">
        <f t="shared" si="4"/>
        <v>0.21989314230000984</v>
      </c>
      <c r="E206" s="18">
        <f>MAX(0,Y205-('P-Parametri'!$B$31*AF205))</f>
        <v>4179.5015564186033</v>
      </c>
      <c r="F206" s="18">
        <f>MAX(0,AA205-('P-Parametri'!$C$31*AF205))</f>
        <v>0</v>
      </c>
      <c r="G206" s="18">
        <f>MAX(0,AC205-('P-Parametri'!$D$31*AF205))</f>
        <v>0</v>
      </c>
      <c r="H206" s="18">
        <f>E206*C206*'P-Parametri'!$B$6+F206*D206*'P-Parametri'!$B$7</f>
        <v>0</v>
      </c>
      <c r="I206" s="18">
        <f t="shared" si="5"/>
        <v>4179.5015564186033</v>
      </c>
      <c r="J206" s="18">
        <f>MAX(0,('P-Parametri'!$B$31*AF205)-Y205)+MAX(0,('P-Parametri'!$C$31*AF205)-AA205)+MAX(0,('P-Parametri'!$D$31*AF205)-AC205)</f>
        <v>4179.5015564185996</v>
      </c>
      <c r="K206" s="18">
        <f>Y205-E206+IF(J206&lt;=0,0,I206*MAX(0,('P-Parametri'!$B$31*AF205)-Y205)/J206)</f>
        <v>165852.15933770375</v>
      </c>
      <c r="L206" s="18">
        <f>Z205-E206*(1-C206)+IF(J206&lt;=0,0,I206*MAX(0,('P-Parametri'!$B$31*AF205)-Y205)/J206)</f>
        <v>206592.50614123145</v>
      </c>
      <c r="M206" s="18">
        <f>AA205-F206+IF(J206&lt;=0,0,I206*MAX(0,('P-Parametri'!$C$31*AF205)-AA205)/J206)</f>
        <v>82926.079668851875</v>
      </c>
      <c r="N206" s="18">
        <f>AB205-F206*(1-D206)+IF(J206&lt;=0,0,I206*MAX(0,('P-Parametri'!$C$31*AF205)-AA205)/J206)</f>
        <v>65342.870408908726</v>
      </c>
      <c r="O206" s="18">
        <f>AC205-G206+IF(J206&lt;=0,0,I206*MAX(0,('P-Parametri'!$D$31*AF205)-AC205)/J206)</f>
        <v>27642.02655628396</v>
      </c>
      <c r="P206" s="18">
        <f>AD205-G206+IF(J206&lt;=0,0,I206*MAX(0,('P-Parametri'!$D$31*AF205)-AC205)/J206)</f>
        <v>18724.376385283209</v>
      </c>
      <c r="Q206" s="18">
        <f t="shared" si="6"/>
        <v>177215.02247824849</v>
      </c>
      <c r="R206" s="18">
        <f>M206*(1+'P-Parametri'!$C$29)</f>
        <v>83340.710067196123</v>
      </c>
      <c r="S206" s="18">
        <f>O206*(1+'1-Input'!$B$27)</f>
        <v>27542.515260681335</v>
      </c>
      <c r="T206" s="11">
        <f t="shared" si="7"/>
        <v>0</v>
      </c>
      <c r="U206" s="11">
        <f t="shared" si="8"/>
        <v>0.21595495939230733</v>
      </c>
      <c r="V206" s="18">
        <f>IF(AG205=0,0,(MIN((Q206+R206+S206),MAX(0,$B$4-IF($A206&gt;='1-Input'!$C$12,'1-Input'!$B$12,0))/(Q206/(Q206+R206+S206)*(1-'P-Parametri'!$B$6*T206)+R206/(Q206+R206+S206)*(1-'P-Parametri'!$B$7*U206)+S206/(Q206+R206+S206))))*Q206/(Q206+R206+S206))</f>
        <v>8059.497070527068</v>
      </c>
      <c r="W206" s="18">
        <f>IF(AG205=0,0,(MIN((Q206+R206+S206),MAX(0,$B$4-IF($A206&gt;='1-Input'!$C$12,'1-Input'!$B$12,0))/(Q206/(Q206+R206+S206)*(1-'P-Parametri'!$B$6*T206)+R206/(Q206+R206+S206)*(1-'P-Parametri'!$B$7*U206)+S206/(Q206+R206+S206))))*R206/(Q206+R206+S206))</f>
        <v>3790.2216146752221</v>
      </c>
      <c r="X206" s="18">
        <f>IF(AG205=0,0,(MIN((Q206+R206+S206),MAX(0,$B$4-IF($A206&gt;='1-Input'!$C$12,'1-Input'!$B$12,0))/(Q206/(Q206+R206+S206)*(1-'P-Parametri'!$B$6*T206)+R206/(Q206+R206+S206)*(1-'P-Parametri'!$B$7*U206)+S206/(Q206+R206+S206))))*S206/(Q206+R206+S206))</f>
        <v>1252.5959591583389</v>
      </c>
      <c r="Y206" s="18">
        <f t="shared" si="9"/>
        <v>169155.5254077214</v>
      </c>
      <c r="Z206" s="18">
        <f t="shared" si="10"/>
        <v>198533.0090707044</v>
      </c>
      <c r="AA206" s="18">
        <f t="shared" si="11"/>
        <v>79550.488452520905</v>
      </c>
      <c r="AB206" s="18">
        <f t="shared" si="12"/>
        <v>62371.165949118535</v>
      </c>
      <c r="AC206" s="18">
        <f t="shared" si="13"/>
        <v>26289.919301522998</v>
      </c>
      <c r="AD206" s="18">
        <f t="shared" si="14"/>
        <v>17471.780426124871</v>
      </c>
      <c r="AE206" s="18">
        <f>IF(AG206=0,AE205,AE205+H206+V206*T206*'P-Parametri'!$B$6+W206*U206*'P-Parametri'!$B$7)</f>
        <v>1767.9936351354017</v>
      </c>
      <c r="AF206" s="18">
        <f t="shared" si="0"/>
        <v>274995.93316176534</v>
      </c>
      <c r="AG206" s="10">
        <f>IF(AND(AG205=1,(X206+W206*(1-'P-Parametri'!$B$7*U206)+V206*(1-'P-Parametri'!$B$6*T206))&gt;=MAX(0,$B$4-IF($A206&gt;='1-Input'!$C$12,'1-Input'!$B$12,0))-0.01),1,0)</f>
        <v>1</v>
      </c>
      <c r="AI206" s="11">
        <f t="shared" si="15"/>
        <v>0</v>
      </c>
      <c r="AJ206" s="11">
        <f t="shared" si="16"/>
        <v>0.23565714900445567</v>
      </c>
      <c r="AK206" s="18">
        <f>MAX(0,BE205-('P-Parametri'!$B$31*BL205))</f>
        <v>12194.491078568157</v>
      </c>
      <c r="AL206" s="18">
        <f>MAX(0,BG205-('P-Parametri'!$C$31*BL205))</f>
        <v>800.49421805716702</v>
      </c>
      <c r="AM206" s="18">
        <f>MAX(0,BI205-('P-Parametri'!$D$31*BL205))</f>
        <v>0</v>
      </c>
      <c r="AN206" s="18">
        <f>AK206*AI206*'P-Parametri'!$B$6+AL206*AJ206*'P-Parametri'!$B$7</f>
        <v>23.580273152737881</v>
      </c>
      <c r="AO206" s="18">
        <f t="shared" si="17"/>
        <v>12971.405023472586</v>
      </c>
      <c r="AP206" s="18">
        <f>MAX(0,('P-Parametri'!$B$31*BL205)-BE205)+MAX(0,('P-Parametri'!$C$31*BL205)-BG205)+MAX(0,('P-Parametri'!$D$31*BL205)-BI205)</f>
        <v>12994.985296625306</v>
      </c>
      <c r="AQ206" s="18">
        <f>BE205-AK206+IF(AP206&lt;=0,0,AO206*MAX(0,('P-Parametri'!$B$31*BL205)-BE205)/AP206)</f>
        <v>166028.2809250468</v>
      </c>
      <c r="AR206" s="18">
        <f>BF205-AK206*(1-AI206)+IF(AP206&lt;=0,0,AO206*MAX(0,('P-Parametri'!$B$31*BL205)-BE205)/AP206)</f>
        <v>206747.91895644646</v>
      </c>
      <c r="AS206" s="18">
        <f>BG205-AL206+IF(AP206&lt;=0,0,AO206*MAX(0,('P-Parametri'!$C$31*BL205)-BG205)/AP206)</f>
        <v>83014.140462523399</v>
      </c>
      <c r="AT206" s="18">
        <f>BH205-AL206*(1-AJ206)+IF(AP206&lt;=0,0,AO206*MAX(0,('P-Parametri'!$C$31*BL205)-BG205)/AP206)</f>
        <v>63451.264794069713</v>
      </c>
      <c r="AU206" s="18">
        <f>BI205-AM206+IF(AP206&lt;=0,0,AO206*MAX(0,('P-Parametri'!$D$31*BL205)-BI205)/AP206)</f>
        <v>27647.79988102175</v>
      </c>
      <c r="AV206" s="18">
        <f>BJ205-AM206+IF(AP206&lt;=0,0,AO206*MAX(0,('P-Parametri'!$D$31*BL205)-BI205)/AP206)</f>
        <v>18729.126311987053</v>
      </c>
      <c r="AW206" s="18">
        <f t="shared" si="18"/>
        <v>177403.2105077836</v>
      </c>
      <c r="AX206" s="18">
        <f>AS206*(1+'P-Parametri'!$C$29)</f>
        <v>83429.211164836001</v>
      </c>
      <c r="AY206" s="18">
        <f>AU206*(1+'1-Input'!$B$27)</f>
        <v>27548.267801450071</v>
      </c>
      <c r="AZ206" s="11">
        <f t="shared" si="19"/>
        <v>0</v>
      </c>
      <c r="BA206" s="11">
        <f t="shared" si="20"/>
        <v>0.23945984975567711</v>
      </c>
      <c r="BB206" s="18">
        <f>IF(BM205=0,0,MIN(MAX(AW206,0),(MAX(0,$B$4-IF($A206&gt;='1-Input'!$C$12,'1-Input'!$B$12,0))-BD206-BC206*(1-'P-Parametri'!$B$7*BA206))/(1-'P-Parametri'!$B$6*AZ206)))</f>
        <v>0</v>
      </c>
      <c r="BC206" s="18">
        <f>IF(BM205=0,0,MIN(MAX(AX206,0),(MAX(0,$B$4-IF($A206&gt;='1-Input'!$C$12,'1-Input'!$B$12,0))-BD206)/(1-'P-Parametri'!$B$7*BA206)))</f>
        <v>0</v>
      </c>
      <c r="BD206" s="18">
        <f>IF(BM205=0,0,MIN(MAX(AY206,0),MAX(0,$B$4-IF($A206&gt;='1-Input'!$C$12,'1-Input'!$B$12,0))))</f>
        <v>13000</v>
      </c>
      <c r="BE206" s="18">
        <f t="shared" si="21"/>
        <v>177403.2105077836</v>
      </c>
      <c r="BF206" s="18">
        <f t="shared" si="22"/>
        <v>206747.91895644646</v>
      </c>
      <c r="BG206" s="18">
        <f t="shared" si="23"/>
        <v>83429.211164836001</v>
      </c>
      <c r="BH206" s="18">
        <f t="shared" si="24"/>
        <v>63451.264794069713</v>
      </c>
      <c r="BI206" s="18">
        <f t="shared" si="25"/>
        <v>14548.267801450071</v>
      </c>
      <c r="BJ206" s="18">
        <f t="shared" si="26"/>
        <v>5729.1263119870528</v>
      </c>
      <c r="BK206" s="18">
        <f>IF(BM206=0,BK205,BK205+AN206+BB206*AZ206*'P-Parametri'!$B$6+BC206*BA206*'P-Parametri'!$B$7)</f>
        <v>1418.3300089290369</v>
      </c>
      <c r="BL206" s="18">
        <f t="shared" si="1"/>
        <v>275380.68947406963</v>
      </c>
      <c r="BM206" s="10">
        <f>IF(AND(BM205=1,(BD206+BC206*(1-'P-Parametri'!$B$7*BA206)+BB206*(1-'P-Parametri'!$B$6*AZ206))&gt;=MAX(0,$B$4-IF($A206&gt;='1-Input'!$C$12,'1-Input'!$B$12,0))-0.01),1,0)</f>
        <v>1</v>
      </c>
      <c r="BO206" s="11">
        <f t="shared" si="27"/>
        <v>0</v>
      </c>
      <c r="BP206" s="11">
        <f t="shared" si="28"/>
        <v>0.22018279314429909</v>
      </c>
      <c r="BQ206" s="18">
        <f>MAX(0,CK205-('P-Parametri'!$B$31*CR205))</f>
        <v>4151.6916384131764</v>
      </c>
      <c r="BR206" s="18">
        <f>MAX(0,CM205-('P-Parametri'!$C$31*CR205))</f>
        <v>0</v>
      </c>
      <c r="BS206" s="18">
        <f>MAX(0,CO205-('P-Parametri'!$D$31*CR205))</f>
        <v>0</v>
      </c>
      <c r="BT206" s="18">
        <f>BQ206*BO206*'P-Parametri'!$B$6+BR206*BP206*'P-Parametri'!$B$6</f>
        <v>0</v>
      </c>
      <c r="BU206" s="18">
        <f t="shared" si="29"/>
        <v>4151.6916384131764</v>
      </c>
      <c r="BV206" s="18">
        <f>MAX(0,('P-Parametri'!$B$31*CR205)-CK205)+MAX(0,('P-Parametri'!$C$31*CR205)-CM205)+MAX(0,('P-Parametri'!$D$31*CR205)-CO205)</f>
        <v>4151.69163841318</v>
      </c>
      <c r="BW206" s="18">
        <f>CK205-BQ206+IF(BV206&lt;=0,0,BU206*MAX(0,('P-Parametri'!$B$31*CR205)-CK205)/BV206)</f>
        <v>164748.59832930675</v>
      </c>
      <c r="BX206" s="18">
        <f>CL205-BQ206*(1-BO206)+IF(BV206&lt;=0,0,BU206*MAX(0,('P-Parametri'!$B$31*CR205)-CK205)/BV206)</f>
        <v>205501.69294258807</v>
      </c>
      <c r="BY206" s="18">
        <f>CM205-BR206+IF(BV206&lt;=0,0,BU206*MAX(0,('P-Parametri'!$C$31*CR205)-CM205)/BV206)</f>
        <v>82374.299164653377</v>
      </c>
      <c r="BZ206" s="18">
        <f>CN205-BR206*(1-BP206)+IF(BV206&lt;=0,0,BU206*MAX(0,('P-Parametri'!$C$31*CR205)-CM205)/BV206)</f>
        <v>64885.079438522785</v>
      </c>
      <c r="CA206" s="18">
        <f>CO205-BS206+IF(BV206&lt;=0,0,BU206*MAX(0,('P-Parametri'!$D$31*CR205)-CO205)/BV206)</f>
        <v>27458.099721551131</v>
      </c>
      <c r="CB206" s="18">
        <f>CP205-BS206+IF(BV206&lt;=0,0,BU206*MAX(0,('P-Parametri'!$D$31*CR205)-CO205)/BV206)</f>
        <v>18538.937575151958</v>
      </c>
      <c r="CC206" s="18">
        <f t="shared" si="30"/>
        <v>176035.8542980442</v>
      </c>
      <c r="CD206" s="18">
        <f>BY206*(1+'P-Parametri'!$C$29)</f>
        <v>82786.170660476637</v>
      </c>
      <c r="CE206" s="18">
        <f>CA206*(1+'1-Input'!$B$27)</f>
        <v>27359.250562553545</v>
      </c>
      <c r="CF206" s="11">
        <f t="shared" si="31"/>
        <v>0</v>
      </c>
      <c r="CG206" s="11">
        <f t="shared" si="32"/>
        <v>0.21623286932028735</v>
      </c>
      <c r="CH206" s="18">
        <f>IF(CS205=0,0,(MIN((CC206+CD206+CE206),MAX(0,$B$4-IF($A206&gt;='1-Input'!$C$12,'1-Input'!$B$12,0))/(CC206/(CC206+CD206+CE206)*(1-'P-Parametri'!$B$6*CF206)+CD206/(CC206+CD206+CE206)*(1-'P-Parametri'!$B$6*CG206)+CE206/(CC206+CD206+CE206))))*CC206/(CC206+CD206+CE206))</f>
        <v>8128.7626852950671</v>
      </c>
      <c r="CI206" s="18">
        <f>IF(CS205=0,0,(MIN((CC206+CD206+CE206),MAX(0,$B$4-IF($A206&gt;='1-Input'!$C$12,'1-Input'!$B$12,0))/(CC206/(CC206+CD206+CE206)*(1-'P-Parametri'!$B$6*CF206)+CD206/(CC206+CD206+CE206)*(1-'P-Parametri'!$B$6*CG206)+CE206/(CC206+CD206+CE206))))*CD206/(CC206+CD206+CE206))</f>
        <v>3822.7958594388933</v>
      </c>
      <c r="CJ206" s="18">
        <f>IF(CS205=0,0,(MIN((CC206+CD206+CE206),MAX(0,$B$4-IF($A206&gt;='1-Input'!$C$12,'1-Input'!$B$12,0))/(CC206/(CC206+CD206+CE206)*(1-'P-Parametri'!$B$6*CF206)+CD206/(CC206+CD206+CE206)*(1-'P-Parametri'!$B$6*CG206)+CE206/(CC206+CD206+CE206))))*CE206/(CC206+CD206+CE206))</f>
        <v>1263.3611258192088</v>
      </c>
      <c r="CK206" s="18">
        <f t="shared" si="33"/>
        <v>167907.09161274912</v>
      </c>
      <c r="CL206" s="18">
        <f t="shared" si="34"/>
        <v>197372.93025729299</v>
      </c>
      <c r="CM206" s="18">
        <f t="shared" si="35"/>
        <v>78963.374801037746</v>
      </c>
      <c r="CN206" s="18">
        <f t="shared" si="36"/>
        <v>61888.897696596076</v>
      </c>
      <c r="CO206" s="18">
        <f t="shared" si="37"/>
        <v>26095.889436734335</v>
      </c>
      <c r="CP206" s="18">
        <f t="shared" si="38"/>
        <v>17275.576449332748</v>
      </c>
      <c r="CQ206" s="18">
        <f>IF(CS206=0,CQ205,CQ205+BT206+CH206*CF206*'P-Parametri'!$B$6+CI206*CG206*'P-Parametri'!$B$6)</f>
        <v>3702.3312768076748</v>
      </c>
      <c r="CR206" s="18">
        <f t="shared" si="2"/>
        <v>272966.35585052118</v>
      </c>
      <c r="CS206" s="10">
        <f>IF(AND(CS205=1,(CJ206+CI206*(1-'P-Parametri'!$B$6*CG206)+CH206*(1-'P-Parametri'!$B$6*CF206))&gt;=MAX(0,$B$4-IF($A206&gt;='1-Input'!$C$12,'1-Input'!$B$12,0))-0.01),1,0)</f>
        <v>1</v>
      </c>
    </row>
    <row r="207" spans="1:97">
      <c r="A207" s="10">
        <f>7</f>
        <v>7</v>
      </c>
      <c r="B207" s="11">
        <f>IF(A207=1,'P-Parametri'!$B$30,IF(A207=2,'P-Parametri'!$C$30,'P-Parametri'!$B$29))</f>
        <v>6.8512000000000003E-2</v>
      </c>
      <c r="C207" s="11">
        <f t="shared" si="3"/>
        <v>0</v>
      </c>
      <c r="D207" s="11">
        <f t="shared" si="4"/>
        <v>0.21595495939230741</v>
      </c>
      <c r="E207" s="18">
        <f>MAX(0,Y206-('P-Parametri'!$B$31*AF206))</f>
        <v>4157.9655106622085</v>
      </c>
      <c r="F207" s="18">
        <f>MAX(0,AA206-('P-Parametri'!$C$31*AF206))</f>
        <v>0</v>
      </c>
      <c r="G207" s="18">
        <f>MAX(0,AC206-('P-Parametri'!$D$31*AF206))</f>
        <v>0</v>
      </c>
      <c r="H207" s="18">
        <f>E207*C207*'P-Parametri'!$B$6+F207*D207*'P-Parametri'!$B$7</f>
        <v>0</v>
      </c>
      <c r="I207" s="18">
        <f t="shared" si="5"/>
        <v>4157.9655106622085</v>
      </c>
      <c r="J207" s="18">
        <f>MAX(0,('P-Parametri'!$B$31*AF206)-Y206)+MAX(0,('P-Parametri'!$C$31*AF206)-AA206)+MAX(0,('P-Parametri'!$D$31*AF206)-AC206)</f>
        <v>4157.9655106622304</v>
      </c>
      <c r="K207" s="18">
        <f>Y206-E207+IF(J207&lt;=0,0,I207*MAX(0,('P-Parametri'!$B$31*AF206)-Y206)/J207)</f>
        <v>164997.5598970592</v>
      </c>
      <c r="L207" s="18">
        <f>Z206-E207*(1-C207)+IF(J207&lt;=0,0,I207*MAX(0,('P-Parametri'!$B$31*AF206)-Y206)/J207)</f>
        <v>194375.04356004219</v>
      </c>
      <c r="M207" s="18">
        <f>AA206-F207+IF(J207&lt;=0,0,I207*MAX(0,('P-Parametri'!$C$31*AF206)-AA206)/J207)</f>
        <v>82498.779948529584</v>
      </c>
      <c r="N207" s="18">
        <f>AB206-F207*(1-D207)+IF(J207&lt;=0,0,I207*MAX(0,('P-Parametri'!$C$31*AF206)-AA206)/J207)</f>
        <v>65319.457445127213</v>
      </c>
      <c r="O207" s="18">
        <f>AC206-G207+IF(J207&lt;=0,0,I207*MAX(0,('P-Parametri'!$D$31*AF206)-AC206)/J207)</f>
        <v>27499.593316176528</v>
      </c>
      <c r="P207" s="18">
        <f>AD206-G207+IF(J207&lt;=0,0,I207*MAX(0,('P-Parametri'!$D$31*AF206)-AC206)/J207)</f>
        <v>18681.454440778401</v>
      </c>
      <c r="Q207" s="18">
        <f t="shared" si="6"/>
        <v>176301.8727207265</v>
      </c>
      <c r="R207" s="18">
        <f>M207*(1+'P-Parametri'!$C$29)</f>
        <v>82911.27384827222</v>
      </c>
      <c r="S207" s="18">
        <f>O207*(1+'1-Input'!$B$27)</f>
        <v>27400.594780238291</v>
      </c>
      <c r="T207" s="11">
        <f t="shared" si="7"/>
        <v>0</v>
      </c>
      <c r="U207" s="11">
        <f t="shared" si="8"/>
        <v>0.21217640963203704</v>
      </c>
      <c r="V207" s="18">
        <f>IF(AG206=0,0,(MIN((Q207+R207+S207),MAX(0,$B$4-IF($A207&gt;='1-Input'!$C$12,'1-Input'!$B$12,0))/(Q207/(Q207+R207+S207)*(1-'P-Parametri'!$B$6*T207)+R207/(Q207+R207+S207)*(1-'P-Parametri'!$B$7*U207)+S207/(Q207+R207+S207))))*Q207/(Q207+R207+S207))</f>
        <v>8058.3873731718249</v>
      </c>
      <c r="W207" s="18">
        <f>IF(AG206=0,0,(MIN((Q207+R207+S207),MAX(0,$B$4-IF($A207&gt;='1-Input'!$C$12,'1-Input'!$B$12,0))/(Q207/(Q207+R207+S207)*(1-'P-Parametri'!$B$6*T207)+R207/(Q207+R207+S207)*(1-'P-Parametri'!$B$7*U207)+S207/(Q207+R207+S207))))*R207/(Q207+R207+S207))</f>
        <v>3789.6997460195494</v>
      </c>
      <c r="X207" s="18">
        <f>IF(AG206=0,0,(MIN((Q207+R207+S207),MAX(0,$B$4-IF($A207&gt;='1-Input'!$C$12,'1-Input'!$B$12,0))/(Q207/(Q207+R207+S207)*(1-'P-Parametri'!$B$6*T207)+R207/(Q207+R207+S207)*(1-'P-Parametri'!$B$7*U207)+S207/(Q207+R207+S207))))*S207/(Q207+R207+S207))</f>
        <v>1252.4234915203579</v>
      </c>
      <c r="Y207" s="18">
        <f t="shared" si="9"/>
        <v>168243.48534755467</v>
      </c>
      <c r="Z207" s="18">
        <f t="shared" si="10"/>
        <v>186316.65618687036</v>
      </c>
      <c r="AA207" s="18">
        <f t="shared" si="11"/>
        <v>79121.574102252664</v>
      </c>
      <c r="AB207" s="18">
        <f t="shared" si="12"/>
        <v>62333.842584801532</v>
      </c>
      <c r="AC207" s="18">
        <f t="shared" si="13"/>
        <v>26148.171288717931</v>
      </c>
      <c r="AD207" s="18">
        <f t="shared" si="14"/>
        <v>17429.030949258042</v>
      </c>
      <c r="AE207" s="18">
        <f>IF(AG207=0,AE206,AE206+H207+V207*T207*'P-Parametri'!$B$6+W207*U207*'P-Parametri'!$B$7)</f>
        <v>1868.5042458471355</v>
      </c>
      <c r="AF207" s="18">
        <f t="shared" si="0"/>
        <v>273513.23073852528</v>
      </c>
      <c r="AG207" s="10">
        <f>IF(AND(AG206=1,(X207+W207*(1-'P-Parametri'!$B$7*U207)+V207*(1-'P-Parametri'!$B$6*T207))&gt;=MAX(0,$B$4-IF($A207&gt;='1-Input'!$C$12,'1-Input'!$B$12,0))-0.01),1,0)</f>
        <v>1</v>
      </c>
      <c r="AI207" s="11">
        <f t="shared" si="15"/>
        <v>0</v>
      </c>
      <c r="AJ207" s="11">
        <f t="shared" si="16"/>
        <v>0.23945984975567711</v>
      </c>
      <c r="AK207" s="18">
        <f>MAX(0,BE206-('P-Parametri'!$B$31*BL206))</f>
        <v>12174.796823341836</v>
      </c>
      <c r="AL207" s="18">
        <f>MAX(0,BG206-('P-Parametri'!$C$31*BL206))</f>
        <v>815.00432261511742</v>
      </c>
      <c r="AM207" s="18">
        <f>MAX(0,BI206-('P-Parametri'!$D$31*BL206))</f>
        <v>0</v>
      </c>
      <c r="AN207" s="18">
        <f>AK207*AI207*'P-Parametri'!$B$6+AL207*AJ207*'P-Parametri'!$B$7</f>
        <v>24.395101580455425</v>
      </c>
      <c r="AO207" s="18">
        <f t="shared" si="17"/>
        <v>12965.406044376497</v>
      </c>
      <c r="AP207" s="18">
        <f>MAX(0,('P-Parametri'!$B$31*BL206)-BE206)+MAX(0,('P-Parametri'!$C$31*BL206)-BG206)+MAX(0,('P-Parametri'!$D$31*BL206)-BI206)</f>
        <v>12989.801145956895</v>
      </c>
      <c r="AQ207" s="18">
        <f>BE206-AK207+IF(AP207&lt;=0,0,AO207*MAX(0,('P-Parametri'!$B$31*BL206)-BE206)/AP207)</f>
        <v>165228.41368444177</v>
      </c>
      <c r="AR207" s="18">
        <f>BF206-AK207*(1-AI207)+IF(AP207&lt;=0,0,AO207*MAX(0,('P-Parametri'!$B$31*BL206)-BE206)/AP207)</f>
        <v>194573.12213310463</v>
      </c>
      <c r="AS207" s="18">
        <f>BG206-AL207+IF(AP207&lt;=0,0,AO207*MAX(0,('P-Parametri'!$C$31*BL206)-BG206)/AP207)</f>
        <v>82614.206842220883</v>
      </c>
      <c r="AT207" s="18">
        <f>BH206-AL207*(1-AJ207)+IF(AP207&lt;=0,0,AO207*MAX(0,('P-Parametri'!$C$31*BL206)-BG206)/AP207)</f>
        <v>62831.421284098236</v>
      </c>
      <c r="AU207" s="18">
        <f>BI206-AM207+IF(AP207&lt;=0,0,AO207*MAX(0,('P-Parametri'!$D$31*BL206)-BI206)/AP207)</f>
        <v>27513.673845826568</v>
      </c>
      <c r="AV207" s="18">
        <f>BJ206-AM207+IF(AP207&lt;=0,0,AO207*MAX(0,('P-Parametri'!$D$31*BL206)-BI206)/AP207)</f>
        <v>18694.53235636355</v>
      </c>
      <c r="AW207" s="18">
        <f t="shared" si="18"/>
        <v>176548.54276279022</v>
      </c>
      <c r="AX207" s="18">
        <f>AS207*(1+'P-Parametri'!$C$29)</f>
        <v>83027.277876431981</v>
      </c>
      <c r="AY207" s="18">
        <f>AU207*(1+'1-Input'!$B$27)</f>
        <v>27414.624619981591</v>
      </c>
      <c r="AZ207" s="11">
        <f t="shared" si="19"/>
        <v>0</v>
      </c>
      <c r="BA207" s="11">
        <f t="shared" si="20"/>
        <v>0.24324363159768864</v>
      </c>
      <c r="BB207" s="18">
        <f>IF(BM206=0,0,MIN(MAX(AW207,0),(MAX(0,$B$4-IF($A207&gt;='1-Input'!$C$12,'1-Input'!$B$12,0))-BD207-BC207*(1-'P-Parametri'!$B$7*BA207))/(1-'P-Parametri'!$B$6*AZ207)))</f>
        <v>0</v>
      </c>
      <c r="BC207" s="18">
        <f>IF(BM206=0,0,MIN(MAX(AX207,0),(MAX(0,$B$4-IF($A207&gt;='1-Input'!$C$12,'1-Input'!$B$12,0))-BD207)/(1-'P-Parametri'!$B$7*BA207)))</f>
        <v>0</v>
      </c>
      <c r="BD207" s="18">
        <f>IF(BM206=0,0,MIN(MAX(AY207,0),MAX(0,$B$4-IF($A207&gt;='1-Input'!$C$12,'1-Input'!$B$12,0))))</f>
        <v>13000</v>
      </c>
      <c r="BE207" s="18">
        <f t="shared" si="21"/>
        <v>176548.54276279022</v>
      </c>
      <c r="BF207" s="18">
        <f t="shared" si="22"/>
        <v>194573.12213310463</v>
      </c>
      <c r="BG207" s="18">
        <f t="shared" si="23"/>
        <v>83027.277876431981</v>
      </c>
      <c r="BH207" s="18">
        <f t="shared" si="24"/>
        <v>62831.421284098236</v>
      </c>
      <c r="BI207" s="18">
        <f t="shared" si="25"/>
        <v>14414.624619981591</v>
      </c>
      <c r="BJ207" s="18">
        <f t="shared" si="26"/>
        <v>5694.5323563635502</v>
      </c>
      <c r="BK207" s="18">
        <f>IF(BM207=0,BK206,BK206+AN207+BB207*AZ207*'P-Parametri'!$B$6+BC207*BA207*'P-Parametri'!$B$7)</f>
        <v>1442.7251105094924</v>
      </c>
      <c r="BL207" s="18">
        <f t="shared" si="1"/>
        <v>273990.44525920379</v>
      </c>
      <c r="BM207" s="10">
        <f>IF(AND(BM206=1,(BD207+BC207*(1-'P-Parametri'!$B$7*BA207)+BB207*(1-'P-Parametri'!$B$6*AZ207))&gt;=MAX(0,$B$4-IF($A207&gt;='1-Input'!$C$12,'1-Input'!$B$12,0))-0.01),1,0)</f>
        <v>1</v>
      </c>
      <c r="BO207" s="11">
        <f t="shared" si="27"/>
        <v>0</v>
      </c>
      <c r="BP207" s="11">
        <f t="shared" si="28"/>
        <v>0.2162328693202874</v>
      </c>
      <c r="BQ207" s="18">
        <f>MAX(0,CK206-('P-Parametri'!$B$31*CR206))</f>
        <v>4127.2781024364231</v>
      </c>
      <c r="BR207" s="18">
        <f>MAX(0,CM206-('P-Parametri'!$C$31*CR206))</f>
        <v>0</v>
      </c>
      <c r="BS207" s="18">
        <f>MAX(0,CO206-('P-Parametri'!$D$31*CR206))</f>
        <v>0</v>
      </c>
      <c r="BT207" s="18">
        <f>BQ207*BO207*'P-Parametri'!$B$6+BR207*BP207*'P-Parametri'!$B$6</f>
        <v>0</v>
      </c>
      <c r="BU207" s="18">
        <f t="shared" si="29"/>
        <v>4127.2781024364231</v>
      </c>
      <c r="BV207" s="18">
        <f>MAX(0,('P-Parametri'!$B$31*CR206)-CK206)+MAX(0,('P-Parametri'!$C$31*CR206)-CM206)+MAX(0,('P-Parametri'!$D$31*CR206)-CO206)</f>
        <v>4127.2781024363903</v>
      </c>
      <c r="BW207" s="18">
        <f>CK206-BQ207+IF(BV207&lt;=0,0,BU207*MAX(0,('P-Parametri'!$B$31*CR206)-CK206)/BV207)</f>
        <v>163779.8135103127</v>
      </c>
      <c r="BX207" s="18">
        <f>CL206-BQ207*(1-BO207)+IF(BV207&lt;=0,0,BU207*MAX(0,('P-Parametri'!$B$31*CR206)-CK206)/BV207)</f>
        <v>193245.65215485657</v>
      </c>
      <c r="BY207" s="18">
        <f>CM206-BR207+IF(BV207&lt;=0,0,BU207*MAX(0,('P-Parametri'!$C$31*CR206)-CM206)/BV207)</f>
        <v>81889.906755156378</v>
      </c>
      <c r="BZ207" s="18">
        <f>CN206-BR207*(1-BP207)+IF(BV207&lt;=0,0,BU207*MAX(0,('P-Parametri'!$C$31*CR206)-CM206)/BV207)</f>
        <v>64815.429650714701</v>
      </c>
      <c r="CA207" s="18">
        <f>CO206-BS207+IF(BV207&lt;=0,0,BU207*MAX(0,('P-Parametri'!$D$31*CR206)-CO206)/BV207)</f>
        <v>27296.635585052132</v>
      </c>
      <c r="CB207" s="18">
        <f>CP206-BS207+IF(BV207&lt;=0,0,BU207*MAX(0,('P-Parametri'!$D$31*CR206)-CO206)/BV207)</f>
        <v>18476.322597650546</v>
      </c>
      <c r="CC207" s="18">
        <f t="shared" si="30"/>
        <v>175000.69609353124</v>
      </c>
      <c r="CD207" s="18">
        <f>BY207*(1+'P-Parametri'!$C$29)</f>
        <v>82299.356288932147</v>
      </c>
      <c r="CE207" s="18">
        <f>CA207*(1+'1-Input'!$B$27)</f>
        <v>27198.367696945945</v>
      </c>
      <c r="CF207" s="11">
        <f t="shared" si="31"/>
        <v>0</v>
      </c>
      <c r="CG207" s="11">
        <f t="shared" si="32"/>
        <v>0.21244305455848062</v>
      </c>
      <c r="CH207" s="18">
        <f>IF(CS206=0,0,(MIN((CC207+CD207+CE207),MAX(0,$B$4-IF($A207&gt;='1-Input'!$C$12,'1-Input'!$B$12,0))/(CC207/(CC207+CD207+CE207)*(1-'P-Parametri'!$B$6*CF207)+CD207/(CC207+CD207+CE207)*(1-'P-Parametri'!$B$6*CG207)+CE207/(CC207+CD207+CE207))))*CC207/(CC207+CD207+CE207))</f>
        <v>8126.4080279844939</v>
      </c>
      <c r="CI207" s="18">
        <f>IF(CS206=0,0,(MIN((CC207+CD207+CE207),MAX(0,$B$4-IF($A207&gt;='1-Input'!$C$12,'1-Input'!$B$12,0))/(CC207/(CC207+CD207+CE207)*(1-'P-Parametri'!$B$6*CF207)+CD207/(CC207+CD207+CE207)*(1-'P-Parametri'!$B$6*CG207)+CE207/(CC207+CD207+CE207))))*CD207/(CC207+CD207+CE207))</f>
        <v>3821.6885108096203</v>
      </c>
      <c r="CJ207" s="18">
        <f>IF(CS206=0,0,(MIN((CC207+CD207+CE207),MAX(0,$B$4-IF($A207&gt;='1-Input'!$C$12,'1-Input'!$B$12,0))/(CC207/(CC207+CD207+CE207)*(1-'P-Parametri'!$B$6*CF207)+CD207/(CC207+CD207+CE207)*(1-'P-Parametri'!$B$6*CG207)+CE207/(CC207+CD207+CE207))))*CE207/(CC207+CD207+CE207))</f>
        <v>1262.9951682158232</v>
      </c>
      <c r="CK207" s="18">
        <f t="shared" si="33"/>
        <v>166874.28806554675</v>
      </c>
      <c r="CL207" s="18">
        <f t="shared" si="34"/>
        <v>185119.24412687207</v>
      </c>
      <c r="CM207" s="18">
        <f t="shared" si="35"/>
        <v>78477.66777812253</v>
      </c>
      <c r="CN207" s="18">
        <f t="shared" si="36"/>
        <v>61805.632320712524</v>
      </c>
      <c r="CO207" s="18">
        <f t="shared" si="37"/>
        <v>25935.37252873012</v>
      </c>
      <c r="CP207" s="18">
        <f t="shared" si="38"/>
        <v>17213.327429434721</v>
      </c>
      <c r="CQ207" s="18">
        <f>IF(CS207=0,CQ206,CQ206+BT207+CH207*CF207*'P-Parametri'!$B$6+CI207*CG207*'P-Parametri'!$B$6)</f>
        <v>3913.4229838176111</v>
      </c>
      <c r="CR207" s="18">
        <f t="shared" si="2"/>
        <v>271287.32837239938</v>
      </c>
      <c r="CS207" s="10">
        <f>IF(AND(CS206=1,(CJ207+CI207*(1-'P-Parametri'!$B$6*CG207)+CH207*(1-'P-Parametri'!$B$6*CF207))&gt;=MAX(0,$B$4-IF($A207&gt;='1-Input'!$C$12,'1-Input'!$B$12,0))-0.01),1,0)</f>
        <v>1</v>
      </c>
    </row>
    <row r="208" spans="1:97">
      <c r="A208" s="10">
        <f>8</f>
        <v>8</v>
      </c>
      <c r="B208" s="11">
        <f>IF(A208=1,'P-Parametri'!$B$30,IF(A208=2,'P-Parametri'!$C$30,'P-Parametri'!$B$29))</f>
        <v>6.8512000000000003E-2</v>
      </c>
      <c r="C208" s="11">
        <f t="shared" si="3"/>
        <v>0</v>
      </c>
      <c r="D208" s="11">
        <f t="shared" si="4"/>
        <v>0.21217640963203699</v>
      </c>
      <c r="E208" s="18">
        <f>MAX(0,Y207-('P-Parametri'!$B$31*AF207))</f>
        <v>4135.546904439514</v>
      </c>
      <c r="F208" s="18">
        <f>MAX(0,AA207-('P-Parametri'!$C$31*AF207))</f>
        <v>0</v>
      </c>
      <c r="G208" s="18">
        <f>MAX(0,AC207-('P-Parametri'!$D$31*AF207))</f>
        <v>0</v>
      </c>
      <c r="H208" s="18">
        <f>E208*C208*'P-Parametri'!$B$6+F208*D208*'P-Parametri'!$B$7</f>
        <v>0</v>
      </c>
      <c r="I208" s="18">
        <f t="shared" si="5"/>
        <v>4135.546904439514</v>
      </c>
      <c r="J208" s="18">
        <f>MAX(0,('P-Parametri'!$B$31*AF207)-Y207)+MAX(0,('P-Parametri'!$C$31*AF207)-AA207)+MAX(0,('P-Parametri'!$D$31*AF207)-AC207)</f>
        <v>4135.546904439514</v>
      </c>
      <c r="K208" s="18">
        <f>Y207-E208+IF(J208&lt;=0,0,I208*MAX(0,('P-Parametri'!$B$31*AF207)-Y207)/J208)</f>
        <v>164107.93844311516</v>
      </c>
      <c r="L208" s="18">
        <f>Z207-E208*(1-C208)+IF(J208&lt;=0,0,I208*MAX(0,('P-Parametri'!$B$31*AF207)-Y207)/J208)</f>
        <v>182181.10928243084</v>
      </c>
      <c r="M208" s="18">
        <f>AA207-F208+IF(J208&lt;=0,0,I208*MAX(0,('P-Parametri'!$C$31*AF207)-AA207)/J208)</f>
        <v>82053.969221557578</v>
      </c>
      <c r="N208" s="18">
        <f>AB207-F208*(1-D208)+IF(J208&lt;=0,0,I208*MAX(0,('P-Parametri'!$C$31*AF207)-AA207)/J208)</f>
        <v>65266.237704106446</v>
      </c>
      <c r="O208" s="18">
        <f>AC207-G208+IF(J208&lt;=0,0,I208*MAX(0,('P-Parametri'!$D$31*AF207)-AC207)/J208)</f>
        <v>27351.323073852531</v>
      </c>
      <c r="P208" s="18">
        <f>AD207-G208+IF(J208&lt;=0,0,I208*MAX(0,('P-Parametri'!$D$31*AF207)-AC207)/J208)</f>
        <v>18632.182734392642</v>
      </c>
      <c r="Q208" s="18">
        <f t="shared" si="6"/>
        <v>175351.30152172985</v>
      </c>
      <c r="R208" s="18">
        <f>M208*(1+'P-Parametri'!$C$29)</f>
        <v>82464.239067665359</v>
      </c>
      <c r="S208" s="18">
        <f>O208*(1+'1-Input'!$B$27)</f>
        <v>27252.858310786662</v>
      </c>
      <c r="T208" s="11">
        <f t="shared" si="7"/>
        <v>0</v>
      </c>
      <c r="U208" s="11">
        <f t="shared" si="8"/>
        <v>0.20855102233402328</v>
      </c>
      <c r="V208" s="18">
        <f>IF(AG207=0,0,(MIN((Q208+R208+S208),MAX(0,$B$4-IF($A208&gt;='1-Input'!$C$12,'1-Input'!$B$12,0))/(Q208/(Q208+R208+S208)*(1-'P-Parametri'!$B$6*T208)+R208/(Q208+R208+S208)*(1-'P-Parametri'!$B$7*U208)+S208/(Q208+R208+S208))))*Q208/(Q208+R208+S208))</f>
        <v>8057.3229443071614</v>
      </c>
      <c r="W208" s="18">
        <f>IF(AG207=0,0,(MIN((Q208+R208+S208),MAX(0,$B$4-IF($A208&gt;='1-Input'!$C$12,'1-Input'!$B$12,0))/(Q208/(Q208+R208+S208)*(1-'P-Parametri'!$B$6*T208)+R208/(Q208+R208+S208)*(1-'P-Parametri'!$B$7*U208)+S208/(Q208+R208+S208))))*R208/(Q208+R208+S208))</f>
        <v>3789.1991662371111</v>
      </c>
      <c r="X208" s="18">
        <f>IF(AG207=0,0,(MIN((Q208+R208+S208),MAX(0,$B$4-IF($A208&gt;='1-Input'!$C$12,'1-Input'!$B$12,0))/(Q208/(Q208+R208+S208)*(1-'P-Parametri'!$B$6*T208)+R208/(Q208+R208+S208)*(1-'P-Parametri'!$B$7*U208)+S208/(Q208+R208+S208))))*S208/(Q208+R208+S208))</f>
        <v>1252.2580594489748</v>
      </c>
      <c r="Y208" s="18">
        <f t="shared" si="9"/>
        <v>167293.97857742268</v>
      </c>
      <c r="Z208" s="18">
        <f t="shared" si="10"/>
        <v>174123.78633812367</v>
      </c>
      <c r="AA208" s="18">
        <f t="shared" si="11"/>
        <v>78675.039901428245</v>
      </c>
      <c r="AB208" s="18">
        <f t="shared" si="12"/>
        <v>62267.279897815315</v>
      </c>
      <c r="AC208" s="18">
        <f t="shared" si="13"/>
        <v>26000.600251337688</v>
      </c>
      <c r="AD208" s="18">
        <f t="shared" si="14"/>
        <v>17379.924674943668</v>
      </c>
      <c r="AE208" s="18">
        <f>IF(AG208=0,AE207,AE207+H208+V208*T208*'P-Parametri'!$B$6+W208*U208*'P-Parametri'!$B$7)</f>
        <v>1967.2844158403827</v>
      </c>
      <c r="AF208" s="18">
        <f t="shared" si="0"/>
        <v>271969.61873018858</v>
      </c>
      <c r="AG208" s="10">
        <f>IF(AND(AG207=1,(X208+W208*(1-'P-Parametri'!$B$7*U208)+V208*(1-'P-Parametri'!$B$6*T208))&gt;=MAX(0,$B$4-IF($A208&gt;='1-Input'!$C$12,'1-Input'!$B$12,0))-0.01),1,0)</f>
        <v>1</v>
      </c>
      <c r="AI208" s="11">
        <f t="shared" si="15"/>
        <v>0</v>
      </c>
      <c r="AJ208" s="11">
        <f t="shared" si="16"/>
        <v>0.24324363159768864</v>
      </c>
      <c r="AK208" s="18">
        <f>MAX(0,BE207-('P-Parametri'!$B$31*BL207))</f>
        <v>12154.275607267948</v>
      </c>
      <c r="AL208" s="18">
        <f>MAX(0,BG207-('P-Parametri'!$C$31*BL207))</f>
        <v>830.14429867084255</v>
      </c>
      <c r="AM208" s="18">
        <f>MAX(0,BI207-('P-Parametri'!$D$31*BL207))</f>
        <v>0</v>
      </c>
      <c r="AN208" s="18">
        <f>AK208*AI208*'P-Parametri'!$B$6+AL208*AJ208*'P-Parametri'!$B$7</f>
        <v>25.240914244851503</v>
      </c>
      <c r="AO208" s="18">
        <f t="shared" si="17"/>
        <v>12959.178991693938</v>
      </c>
      <c r="AP208" s="18">
        <f>MAX(0,('P-Parametri'!$B$31*BL207)-BE207)+MAX(0,('P-Parametri'!$C$31*BL207)-BG207)+MAX(0,('P-Parametri'!$D$31*BL207)-BI207)</f>
        <v>12984.41990593879</v>
      </c>
      <c r="AQ208" s="18">
        <f>BE207-AK208+IF(AP208&lt;=0,0,AO208*MAX(0,('P-Parametri'!$B$31*BL207)-BE207)/AP208)</f>
        <v>164394.26715552228</v>
      </c>
      <c r="AR208" s="18">
        <f>BF207-AK208*(1-AI208)+IF(AP208&lt;=0,0,AO208*MAX(0,('P-Parametri'!$B$31*BL207)-BE207)/AP208)</f>
        <v>182418.84652583668</v>
      </c>
      <c r="AS208" s="18">
        <f>BG207-AL208+IF(AP208&lt;=0,0,AO208*MAX(0,('P-Parametri'!$C$31*BL207)-BG207)/AP208)</f>
        <v>82197.133577761138</v>
      </c>
      <c r="AT208" s="18">
        <f>BH207-AL208*(1-AJ208)+IF(AP208&lt;=0,0,AO208*MAX(0,('P-Parametri'!$C$31*BL207)-BG207)/AP208)</f>
        <v>62203.204299386205</v>
      </c>
      <c r="AU208" s="18">
        <f>BI207-AM208+IF(AP208&lt;=0,0,AO208*MAX(0,('P-Parametri'!$D$31*BL207)-BI207)/AP208)</f>
        <v>27373.803611675532</v>
      </c>
      <c r="AV208" s="18">
        <f>BJ207-AM208+IF(AP208&lt;=0,0,AO208*MAX(0,('P-Parametri'!$D$31*BL207)-BI207)/AP208)</f>
        <v>18653.711348057492</v>
      </c>
      <c r="AW208" s="18">
        <f t="shared" si="18"/>
        <v>175657.2471868814</v>
      </c>
      <c r="AX208" s="18">
        <f>AS208*(1+'P-Parametri'!$C$29)</f>
        <v>82608.119245649941</v>
      </c>
      <c r="AY208" s="18">
        <f>AU208*(1+'1-Input'!$B$27)</f>
        <v>27275.257918673498</v>
      </c>
      <c r="AZ208" s="11">
        <f t="shared" si="19"/>
        <v>0</v>
      </c>
      <c r="BA208" s="11">
        <f t="shared" si="20"/>
        <v>0.24700858865441652</v>
      </c>
      <c r="BB208" s="18">
        <f>IF(BM207=0,0,MIN(MAX(AW208,0),(MAX(0,$B$4-IF($A208&gt;='1-Input'!$C$12,'1-Input'!$B$12,0))-BD208-BC208*(1-'P-Parametri'!$B$7*BA208))/(1-'P-Parametri'!$B$6*AZ208)))</f>
        <v>0</v>
      </c>
      <c r="BC208" s="18">
        <f>IF(BM207=0,0,MIN(MAX(AX208,0),(MAX(0,$B$4-IF($A208&gt;='1-Input'!$C$12,'1-Input'!$B$12,0))-BD208)/(1-'P-Parametri'!$B$7*BA208)))</f>
        <v>0</v>
      </c>
      <c r="BD208" s="18">
        <f>IF(BM207=0,0,MIN(MAX(AY208,0),MAX(0,$B$4-IF($A208&gt;='1-Input'!$C$12,'1-Input'!$B$12,0))))</f>
        <v>13000</v>
      </c>
      <c r="BE208" s="18">
        <f t="shared" si="21"/>
        <v>175657.2471868814</v>
      </c>
      <c r="BF208" s="18">
        <f t="shared" si="22"/>
        <v>182418.84652583668</v>
      </c>
      <c r="BG208" s="18">
        <f t="shared" si="23"/>
        <v>82608.119245649941</v>
      </c>
      <c r="BH208" s="18">
        <f t="shared" si="24"/>
        <v>62203.204299386205</v>
      </c>
      <c r="BI208" s="18">
        <f t="shared" si="25"/>
        <v>14275.257918673498</v>
      </c>
      <c r="BJ208" s="18">
        <f t="shared" si="26"/>
        <v>5653.7113480574917</v>
      </c>
      <c r="BK208" s="18">
        <f>IF(BM208=0,BK207,BK207+AN208+BB208*AZ208*'P-Parametri'!$B$6+BC208*BA208*'P-Parametri'!$B$7)</f>
        <v>1467.9660247543438</v>
      </c>
      <c r="BL208" s="18">
        <f t="shared" si="1"/>
        <v>272540.62435120484</v>
      </c>
      <c r="BM208" s="10">
        <f>IF(AND(BM207=1,(BD208+BC208*(1-'P-Parametri'!$B$7*BA208)+BB208*(1-'P-Parametri'!$B$6*AZ208))&gt;=MAX(0,$B$4-IF($A208&gt;='1-Input'!$C$12,'1-Input'!$B$12,0))-0.01),1,0)</f>
        <v>1</v>
      </c>
      <c r="BO208" s="11">
        <f t="shared" si="27"/>
        <v>0</v>
      </c>
      <c r="BP208" s="11">
        <f t="shared" si="28"/>
        <v>0.21244305455848067</v>
      </c>
      <c r="BQ208" s="18">
        <f>MAX(0,CK207-('P-Parametri'!$B$31*CR207))</f>
        <v>4101.8910421071341</v>
      </c>
      <c r="BR208" s="18">
        <f>MAX(0,CM207-('P-Parametri'!$C$31*CR207))</f>
        <v>0</v>
      </c>
      <c r="BS208" s="18">
        <f>MAX(0,CO207-('P-Parametri'!$D$31*CR207))</f>
        <v>0</v>
      </c>
      <c r="BT208" s="18">
        <f>BQ208*BO208*'P-Parametri'!$B$6+BR208*BP208*'P-Parametri'!$B$6</f>
        <v>0</v>
      </c>
      <c r="BU208" s="18">
        <f t="shared" si="29"/>
        <v>4101.8910421071341</v>
      </c>
      <c r="BV208" s="18">
        <f>MAX(0,('P-Parametri'!$B$31*CR207)-CK207)+MAX(0,('P-Parametri'!$C$31*CR207)-CM207)+MAX(0,('P-Parametri'!$D$31*CR207)-CO207)</f>
        <v>4101.8910421070941</v>
      </c>
      <c r="BW208" s="18">
        <f>CK207-BQ208+IF(BV208&lt;=0,0,BU208*MAX(0,('P-Parametri'!$B$31*CR207)-CK207)/BV208)</f>
        <v>162772.39702343961</v>
      </c>
      <c r="BX208" s="18">
        <f>CL207-BQ208*(1-BO208)+IF(BV208&lt;=0,0,BU208*MAX(0,('P-Parametri'!$B$31*CR207)-CK207)/BV208)</f>
        <v>181017.35308476494</v>
      </c>
      <c r="BY208" s="18">
        <f>CM207-BR208+IF(BV208&lt;=0,0,BU208*MAX(0,('P-Parametri'!$C$31*CR207)-CM207)/BV208)</f>
        <v>81386.198511719835</v>
      </c>
      <c r="BZ208" s="18">
        <f>CN207-BR208*(1-BP208)+IF(BV208&lt;=0,0,BU208*MAX(0,('P-Parametri'!$C$31*CR207)-CM207)/BV208)</f>
        <v>64714.163054309829</v>
      </c>
      <c r="CA208" s="18">
        <f>CO207-BS208+IF(BV208&lt;=0,0,BU208*MAX(0,('P-Parametri'!$D$31*CR207)-CO207)/BV208)</f>
        <v>27128.73283723995</v>
      </c>
      <c r="CB208" s="18">
        <f>CP207-BS208+IF(BV208&lt;=0,0,BU208*MAX(0,('P-Parametri'!$D$31*CR207)-CO207)/BV208)</f>
        <v>18406.68773794455</v>
      </c>
      <c r="CC208" s="18">
        <f t="shared" si="30"/>
        <v>173924.2594883095</v>
      </c>
      <c r="CD208" s="18">
        <f>BY208*(1+'P-Parametri'!$C$29)</f>
        <v>81793.129504278419</v>
      </c>
      <c r="CE208" s="18">
        <f>CA208*(1+'1-Input'!$B$27)</f>
        <v>27031.069399025884</v>
      </c>
      <c r="CF208" s="11">
        <f t="shared" si="31"/>
        <v>0</v>
      </c>
      <c r="CG208" s="11">
        <f t="shared" si="32"/>
        <v>0.20880685888263056</v>
      </c>
      <c r="CH208" s="18">
        <f>IF(CS207=0,0,(MIN((CC208+CD208+CE208),MAX(0,$B$4-IF($A208&gt;='1-Input'!$C$12,'1-Input'!$B$12,0))/(CC208/(CC208+CD208+CE208)*(1-'P-Parametri'!$B$6*CF208)+CD208/(CC208+CD208+CE208)*(1-'P-Parametri'!$B$6*CG208)+CE208/(CC208+CD208+CE208))))*CC208/(CC208+CD208+CE208))</f>
        <v>8124.1500980200872</v>
      </c>
      <c r="CI208" s="18">
        <f>IF(CS207=0,0,(MIN((CC208+CD208+CE208),MAX(0,$B$4-IF($A208&gt;='1-Input'!$C$12,'1-Input'!$B$12,0))/(CC208/(CC208+CD208+CE208)*(1-'P-Parametri'!$B$6*CF208)+CD208/(CC208+CD208+CE208)*(1-'P-Parametri'!$B$6*CG208)+CE208/(CC208+CD208+CE208))))*CD208/(CC208+CD208+CE208))</f>
        <v>3820.6266511326917</v>
      </c>
      <c r="CJ208" s="18">
        <f>IF(CS207=0,0,(MIN((CC208+CD208+CE208),MAX(0,$B$4-IF($A208&gt;='1-Input'!$C$12,'1-Input'!$B$12,0))/(CC208/(CC208+CD208+CE208)*(1-'P-Parametri'!$B$6*CF208)+CD208/(CC208+CD208+CE208)*(1-'P-Parametri'!$B$6*CG208)+CE208/(CC208+CD208+CE208))))*CE208/(CC208+CD208+CE208))</f>
        <v>1262.6442438436536</v>
      </c>
      <c r="CK208" s="18">
        <f t="shared" si="33"/>
        <v>165800.10939028941</v>
      </c>
      <c r="CL208" s="18">
        <f t="shared" si="34"/>
        <v>172893.20298674484</v>
      </c>
      <c r="CM208" s="18">
        <f t="shared" si="35"/>
        <v>77972.502853145721</v>
      </c>
      <c r="CN208" s="18">
        <f t="shared" si="36"/>
        <v>61691.30945316342</v>
      </c>
      <c r="CO208" s="18">
        <f t="shared" si="37"/>
        <v>25768.425155182231</v>
      </c>
      <c r="CP208" s="18">
        <f t="shared" si="38"/>
        <v>17144.043494100897</v>
      </c>
      <c r="CQ208" s="18">
        <f>IF(CS208=0,CQ207,CQ207+BT208+CH208*CF208*'P-Parametri'!$B$6+CI208*CG208*'P-Parametri'!$B$6)</f>
        <v>4120.8439768140443</v>
      </c>
      <c r="CR208" s="18">
        <f t="shared" si="2"/>
        <v>269541.03739861737</v>
      </c>
      <c r="CS208" s="10">
        <f>IF(AND(CS207=1,(CJ208+CI208*(1-'P-Parametri'!$B$6*CG208)+CH208*(1-'P-Parametri'!$B$6*CF208))&gt;=MAX(0,$B$4-IF($A208&gt;='1-Input'!$C$12,'1-Input'!$B$12,0))-0.01),1,0)</f>
        <v>1</v>
      </c>
    </row>
    <row r="209" spans="1:97">
      <c r="A209" s="10">
        <f>9</f>
        <v>9</v>
      </c>
      <c r="B209" s="11">
        <f>IF(A209=1,'P-Parametri'!$B$30,IF(A209=2,'P-Parametri'!$C$30,'P-Parametri'!$B$29))</f>
        <v>6.8512000000000003E-2</v>
      </c>
      <c r="C209" s="11">
        <f t="shared" si="3"/>
        <v>0</v>
      </c>
      <c r="D209" s="11">
        <f t="shared" si="4"/>
        <v>0.20855102233402323</v>
      </c>
      <c r="E209" s="18">
        <f>MAX(0,Y208-('P-Parametri'!$B$31*AF208))</f>
        <v>4112.2073393095343</v>
      </c>
      <c r="F209" s="18">
        <f>MAX(0,AA208-('P-Parametri'!$C$31*AF208))</f>
        <v>0</v>
      </c>
      <c r="G209" s="18">
        <f>MAX(0,AC208-('P-Parametri'!$D$31*AF208))</f>
        <v>0</v>
      </c>
      <c r="H209" s="18">
        <f>E209*C209*'P-Parametri'!$B$6+F209*D209*'P-Parametri'!$B$7</f>
        <v>0</v>
      </c>
      <c r="I209" s="18">
        <f t="shared" si="5"/>
        <v>4112.2073393095343</v>
      </c>
      <c r="J209" s="18">
        <f>MAX(0,('P-Parametri'!$B$31*AF208)-Y208)+MAX(0,('P-Parametri'!$C$31*AF208)-AA208)+MAX(0,('P-Parametri'!$D$31*AF208)-AC208)</f>
        <v>4112.2073393094979</v>
      </c>
      <c r="K209" s="18">
        <f>Y208-E209+IF(J209&lt;=0,0,I209*MAX(0,('P-Parametri'!$B$31*AF208)-Y208)/J209)</f>
        <v>163181.77123811314</v>
      </c>
      <c r="L209" s="18">
        <f>Z208-E209*(1-C209)+IF(J209&lt;=0,0,I209*MAX(0,('P-Parametri'!$B$31*AF208)-Y208)/J209)</f>
        <v>170011.57899881413</v>
      </c>
      <c r="M209" s="18">
        <f>AA208-F209+IF(J209&lt;=0,0,I209*MAX(0,('P-Parametri'!$C$31*AF208)-AA208)/J209)</f>
        <v>81590.8856190566</v>
      </c>
      <c r="N209" s="18">
        <f>AB208-F209*(1-D209)+IF(J209&lt;=0,0,I209*MAX(0,('P-Parametri'!$C$31*AF208)-AA208)/J209)</f>
        <v>65183.125615443671</v>
      </c>
      <c r="O209" s="18">
        <f>AC208-G209+IF(J209&lt;=0,0,I209*MAX(0,('P-Parametri'!$D$31*AF208)-AC208)/J209)</f>
        <v>27196.96187301887</v>
      </c>
      <c r="P209" s="18">
        <f>AD208-G209+IF(J209&lt;=0,0,I209*MAX(0,('P-Parametri'!$D$31*AF208)-AC208)/J209)</f>
        <v>18576.28629662485</v>
      </c>
      <c r="Q209" s="18">
        <f t="shared" si="6"/>
        <v>174361.68074917875</v>
      </c>
      <c r="R209" s="18">
        <f>M209*(1+'P-Parametri'!$C$29)</f>
        <v>81998.840047151869</v>
      </c>
      <c r="S209" s="18">
        <f>O209*(1+'1-Input'!$B$27)</f>
        <v>27099.052810276</v>
      </c>
      <c r="T209" s="11">
        <f t="shared" si="7"/>
        <v>2.4948725727313246E-2</v>
      </c>
      <c r="U209" s="11">
        <f t="shared" si="8"/>
        <v>0.20507258910051218</v>
      </c>
      <c r="V209" s="18">
        <f>IF(AG208=0,0,(MIN((Q209+R209+S209),MAX(0,$B$4-IF($A209&gt;='1-Input'!$C$12,'1-Input'!$B$12,0))/(Q209/(Q209+R209+S209)*(1-'P-Parametri'!$B$6*T209)+R209/(Q209+R209+S209)*(1-'P-Parametri'!$B$7*U209)+S209/(Q209+R209+S209))))*Q209/(Q209+R209+S209))</f>
        <v>8088.8180796626202</v>
      </c>
      <c r="W209" s="18">
        <f>IF(AG208=0,0,(MIN((Q209+R209+S209),MAX(0,$B$4-IF($A209&gt;='1-Input'!$C$12,'1-Input'!$B$12,0))/(Q209/(Q209+R209+S209)*(1-'P-Parametri'!$B$6*T209)+R209/(Q209+R209+S209)*(1-'P-Parametri'!$B$7*U209)+S209/(Q209+R209+S209))))*R209/(Q209+R209+S209))</f>
        <v>3804.0107036986647</v>
      </c>
      <c r="X209" s="18">
        <f>IF(AG208=0,0,(MIN((Q209+R209+S209),MAX(0,$B$4-IF($A209&gt;='1-Input'!$C$12,'1-Input'!$B$12,0))/(Q209/(Q209+R209+S209)*(1-'P-Parametri'!$B$6*T209)+R209/(Q209+R209+S209)*(1-'P-Parametri'!$B$7*U209)+S209/(Q209+R209+S209))))*S209/(Q209+R209+S209))</f>
        <v>1257.1529901045938</v>
      </c>
      <c r="Y209" s="18">
        <f t="shared" si="9"/>
        <v>166272.86266951612</v>
      </c>
      <c r="Z209" s="18">
        <f t="shared" si="10"/>
        <v>162124.56662287915</v>
      </c>
      <c r="AA209" s="18">
        <f t="shared" si="11"/>
        <v>78194.82934345321</v>
      </c>
      <c r="AB209" s="18">
        <f t="shared" si="12"/>
        <v>62159.213235718555</v>
      </c>
      <c r="AC209" s="18">
        <f t="shared" si="13"/>
        <v>25841.899820171406</v>
      </c>
      <c r="AD209" s="18">
        <f t="shared" si="14"/>
        <v>17319.133306520256</v>
      </c>
      <c r="AE209" s="18">
        <f>IF(AG209=0,AE208,AE208+H209+V209*T209*'P-Parametri'!$B$6+W209*U209*'P-Parametri'!$B$7)</f>
        <v>2117.2661893062614</v>
      </c>
      <c r="AF209" s="18">
        <f t="shared" si="0"/>
        <v>270309.59183314076</v>
      </c>
      <c r="AG209" s="10">
        <f>IF(AND(AG208=1,(X209+W209*(1-'P-Parametri'!$B$7*U209)+V209*(1-'P-Parametri'!$B$6*T209))&gt;=MAX(0,$B$4-IF($A209&gt;='1-Input'!$C$12,'1-Input'!$B$12,0))-0.01),1,0)</f>
        <v>1</v>
      </c>
      <c r="AI209" s="11">
        <f t="shared" si="15"/>
        <v>0</v>
      </c>
      <c r="AJ209" s="11">
        <f t="shared" si="16"/>
        <v>0.24700858865441652</v>
      </c>
      <c r="AK209" s="18">
        <f>MAX(0,BE208-('P-Parametri'!$B$31*BL208))</f>
        <v>12132.872576158494</v>
      </c>
      <c r="AL209" s="18">
        <f>MAX(0,BG208-('P-Parametri'!$C$31*BL208))</f>
        <v>845.93194028848666</v>
      </c>
      <c r="AM209" s="18">
        <f>MAX(0,BI208-('P-Parametri'!$D$31*BL208))</f>
        <v>0</v>
      </c>
      <c r="AN209" s="18">
        <f>AK209*AI209*'P-Parametri'!$B$6+AL209*AJ209*'P-Parametri'!$B$7</f>
        <v>26.119056833543905</v>
      </c>
      <c r="AO209" s="18">
        <f t="shared" si="17"/>
        <v>12952.685459613436</v>
      </c>
      <c r="AP209" s="18">
        <f>MAX(0,('P-Parametri'!$B$31*BL208)-BE208)+MAX(0,('P-Parametri'!$C$31*BL208)-BG208)+MAX(0,('P-Parametri'!$D$31*BL208)-BI208)</f>
        <v>12978.804516446988</v>
      </c>
      <c r="AQ209" s="18">
        <f>BE208-AK209+IF(AP209&lt;=0,0,AO209*MAX(0,('P-Parametri'!$B$31*BL208)-BE208)/AP209)</f>
        <v>163524.37461072291</v>
      </c>
      <c r="AR209" s="18">
        <f>BF208-AK209*(1-AI209)+IF(AP209&lt;=0,0,AO209*MAX(0,('P-Parametri'!$B$31*BL208)-BE208)/AP209)</f>
        <v>170285.97394967818</v>
      </c>
      <c r="AS209" s="18">
        <f>BG208-AL209+IF(AP209&lt;=0,0,AO209*MAX(0,('P-Parametri'!$C$31*BL208)-BG208)/AP209)</f>
        <v>81762.187305361454</v>
      </c>
      <c r="AT209" s="18">
        <f>BH208-AL209*(1-AJ209)+IF(AP209&lt;=0,0,AO209*MAX(0,('P-Parametri'!$C$31*BL208)-BG208)/AP209)</f>
        <v>61566.224813766072</v>
      </c>
      <c r="AU209" s="18">
        <f>BI208-AM209+IF(AP209&lt;=0,0,AO209*MAX(0,('P-Parametri'!$D$31*BL208)-BI208)/AP209)</f>
        <v>27227.943378286935</v>
      </c>
      <c r="AV209" s="18">
        <f>BJ208-AM209+IF(AP209&lt;=0,0,AO209*MAX(0,('P-Parametri'!$D$31*BL208)-BI208)/AP209)</f>
        <v>18606.396807670928</v>
      </c>
      <c r="AW209" s="18">
        <f t="shared" si="18"/>
        <v>174727.75656405275</v>
      </c>
      <c r="AX209" s="18">
        <f>AS209*(1+'P-Parametri'!$C$29)</f>
        <v>82170.998241888257</v>
      </c>
      <c r="AY209" s="18">
        <f>AU209*(1+'1-Input'!$B$27)</f>
        <v>27129.922782125101</v>
      </c>
      <c r="AZ209" s="11">
        <f t="shared" si="19"/>
        <v>2.5421162050725851E-2</v>
      </c>
      <c r="BA209" s="11">
        <f t="shared" si="20"/>
        <v>0.25075481458150894</v>
      </c>
      <c r="BB209" s="18">
        <f>IF(BM208=0,0,MIN(MAX(AW209,0),(MAX(0,$B$4-IF($A209&gt;='1-Input'!$C$12,'1-Input'!$B$12,0))-BD209-BC209*(1-'P-Parametri'!$B$7*BA209))/(1-'P-Parametri'!$B$6*AZ209)))</f>
        <v>0</v>
      </c>
      <c r="BC209" s="18">
        <f>IF(BM208=0,0,MIN(MAX(AX209,0),(MAX(0,$B$4-IF($A209&gt;='1-Input'!$C$12,'1-Input'!$B$12,0))-BD209)/(1-'P-Parametri'!$B$7*BA209)))</f>
        <v>0</v>
      </c>
      <c r="BD209" s="18">
        <f>IF(BM208=0,0,MIN(MAX(AY209,0),MAX(0,$B$4-IF($A209&gt;='1-Input'!$C$12,'1-Input'!$B$12,0))))</f>
        <v>13000</v>
      </c>
      <c r="BE209" s="18">
        <f t="shared" si="21"/>
        <v>174727.75656405275</v>
      </c>
      <c r="BF209" s="18">
        <f t="shared" si="22"/>
        <v>170285.97394967818</v>
      </c>
      <c r="BG209" s="18">
        <f t="shared" si="23"/>
        <v>82170.998241888257</v>
      </c>
      <c r="BH209" s="18">
        <f t="shared" si="24"/>
        <v>61566.224813766072</v>
      </c>
      <c r="BI209" s="18">
        <f t="shared" si="25"/>
        <v>14129.922782125101</v>
      </c>
      <c r="BJ209" s="18">
        <f t="shared" si="26"/>
        <v>5606.396807670928</v>
      </c>
      <c r="BK209" s="18">
        <f>IF(BM209=0,BK208,BK208+AN209+BB209*AZ209*'P-Parametri'!$B$6+BC209*BA209*'P-Parametri'!$B$7)</f>
        <v>1494.0850815878878</v>
      </c>
      <c r="BL209" s="18">
        <f t="shared" si="1"/>
        <v>271028.67758806614</v>
      </c>
      <c r="BM209" s="10">
        <f>IF(AND(BM208=1,(BD209+BC209*(1-'P-Parametri'!$B$7*BA209)+BB209*(1-'P-Parametri'!$B$6*AZ209))&gt;=MAX(0,$B$4-IF($A209&gt;='1-Input'!$C$12,'1-Input'!$B$12,0))-0.01),1,0)</f>
        <v>1</v>
      </c>
      <c r="BO209" s="11">
        <f t="shared" si="27"/>
        <v>0</v>
      </c>
      <c r="BP209" s="11">
        <f t="shared" si="28"/>
        <v>0.20880685888263048</v>
      </c>
      <c r="BQ209" s="18">
        <f>MAX(0,CK208-('P-Parametri'!$B$31*CR208))</f>
        <v>4075.4869511190045</v>
      </c>
      <c r="BR209" s="18">
        <f>MAX(0,CM208-('P-Parametri'!$C$31*CR208))</f>
        <v>0</v>
      </c>
      <c r="BS209" s="18">
        <f>MAX(0,CO208-('P-Parametri'!$D$31*CR208))</f>
        <v>0</v>
      </c>
      <c r="BT209" s="18">
        <f>BQ209*BO209*'P-Parametri'!$B$6+BR209*BP209*'P-Parametri'!$B$6</f>
        <v>0</v>
      </c>
      <c r="BU209" s="18">
        <f t="shared" si="29"/>
        <v>4075.4869511190045</v>
      </c>
      <c r="BV209" s="18">
        <f>MAX(0,('P-Parametri'!$B$31*CR208)-CK208)+MAX(0,('P-Parametri'!$C$31*CR208)-CM208)+MAX(0,('P-Parametri'!$D$31*CR208)-CO208)</f>
        <v>4075.4869511189863</v>
      </c>
      <c r="BW209" s="18">
        <f>CK208-BQ209+IF(BV209&lt;=0,0,BU209*MAX(0,('P-Parametri'!$B$31*CR208)-CK208)/BV209)</f>
        <v>161724.6224391704</v>
      </c>
      <c r="BX209" s="18">
        <f>CL208-BQ209*(1-BO209)+IF(BV209&lt;=0,0,BU209*MAX(0,('P-Parametri'!$B$31*CR208)-CK208)/BV209)</f>
        <v>168817.71603562584</v>
      </c>
      <c r="BY209" s="18">
        <f>CM208-BR209+IF(BV209&lt;=0,0,BU209*MAX(0,('P-Parametri'!$C$31*CR208)-CM208)/BV209)</f>
        <v>80862.311219585215</v>
      </c>
      <c r="BZ209" s="18">
        <f>CN208-BR209*(1-BP209)+IF(BV209&lt;=0,0,BU209*MAX(0,('P-Parametri'!$C$31*CR208)-CM208)/BV209)</f>
        <v>64581.117819602914</v>
      </c>
      <c r="CA209" s="18">
        <f>CO208-BS209+IF(BV209&lt;=0,0,BU209*MAX(0,('P-Parametri'!$D$31*CR208)-CO208)/BV209)</f>
        <v>26954.103739861741</v>
      </c>
      <c r="CB209" s="18">
        <f>CP208-BS209+IF(BV209&lt;=0,0,BU209*MAX(0,('P-Parametri'!$D$31*CR208)-CO208)/BV209)</f>
        <v>18329.722078780407</v>
      </c>
      <c r="CC209" s="18">
        <f t="shared" si="30"/>
        <v>172804.69977172284</v>
      </c>
      <c r="CD209" s="18">
        <f>BY209*(1+'P-Parametri'!$C$29)</f>
        <v>81266.622775683136</v>
      </c>
      <c r="CE209" s="18">
        <f>CA209*(1+'1-Input'!$B$27)</f>
        <v>26857.068966398238</v>
      </c>
      <c r="CF209" s="11">
        <f t="shared" si="31"/>
        <v>2.3072195034995305E-2</v>
      </c>
      <c r="CG209" s="11">
        <f t="shared" si="32"/>
        <v>0.20531805538586886</v>
      </c>
      <c r="CH209" s="18">
        <f>IF(CS208=0,0,(MIN((CC209+CD209+CE209),MAX(0,$B$4-IF($A209&gt;='1-Input'!$C$12,'1-Input'!$B$12,0))/(CC209/(CC209+CD209+CE209)*(1-'P-Parametri'!$B$6*CF209)+CD209/(CC209+CD209+CE209)*(1-'P-Parametri'!$B$6*CG209)+CE209/(CC209+CD209+CE209))))*CC209/(CC209+CD209+CE209))</f>
        <v>8152.5392877271906</v>
      </c>
      <c r="CI209" s="18">
        <f>IF(CS208=0,0,(MIN((CC209+CD209+CE209),MAX(0,$B$4-IF($A209&gt;='1-Input'!$C$12,'1-Input'!$B$12,0))/(CC209/(CC209+CD209+CE209)*(1-'P-Parametri'!$B$6*CF209)+CD209/(CC209+CD209+CE209)*(1-'P-Parametri'!$B$6*CG209)+CE209/(CC209+CD209+CE209))))*CD209/(CC209+CD209+CE209))</f>
        <v>3833.9775239612791</v>
      </c>
      <c r="CJ209" s="18">
        <f>IF(CS208=0,0,(MIN((CC209+CD209+CE209),MAX(0,$B$4-IF($A209&gt;='1-Input'!$C$12,'1-Input'!$B$12,0))/(CC209/(CC209+CD209+CE209)*(1-'P-Parametri'!$B$6*CF209)+CD209/(CC209+CD209+CE209)*(1-'P-Parametri'!$B$6*CG209)+CE209/(CC209+CD209+CE209))))*CE209/(CC209+CD209+CE209))</f>
        <v>1267.0564526948654</v>
      </c>
      <c r="CK209" s="18">
        <f t="shared" si="33"/>
        <v>164652.16048399566</v>
      </c>
      <c r="CL209" s="18">
        <f t="shared" si="34"/>
        <v>160853.27372437555</v>
      </c>
      <c r="CM209" s="18">
        <f t="shared" si="35"/>
        <v>77432.645251721857</v>
      </c>
      <c r="CN209" s="18">
        <f t="shared" si="36"/>
        <v>61534.325105254495</v>
      </c>
      <c r="CO209" s="18">
        <f t="shared" si="37"/>
        <v>25590.012513703372</v>
      </c>
      <c r="CP209" s="18">
        <f t="shared" si="38"/>
        <v>17062.665626085542</v>
      </c>
      <c r="CQ209" s="18">
        <f>IF(CS209=0,CQ208,CQ208+BT209+CH209*CF209*'P-Parametri'!$B$6+CI209*CG209*'P-Parametri'!$B$6)</f>
        <v>4374.4172411973823</v>
      </c>
      <c r="CR209" s="18">
        <f t="shared" si="2"/>
        <v>267674.8182494209</v>
      </c>
      <c r="CS209" s="10">
        <f>IF(AND(CS208=1,(CJ209+CI209*(1-'P-Parametri'!$B$6*CG209)+CH209*(1-'P-Parametri'!$B$6*CF209))&gt;=MAX(0,$B$4-IF($A209&gt;='1-Input'!$C$12,'1-Input'!$B$12,0))-0.01),1,0)</f>
        <v>1</v>
      </c>
    </row>
    <row r="210" spans="1:97">
      <c r="A210" s="10">
        <f>10</f>
        <v>10</v>
      </c>
      <c r="B210" s="11">
        <f>IF(A210=1,'P-Parametri'!$B$30,IF(A210=2,'P-Parametri'!$C$30,'P-Parametri'!$B$29))</f>
        <v>6.8512000000000003E-2</v>
      </c>
      <c r="C210" s="11">
        <f t="shared" si="3"/>
        <v>2.494872572731319E-2</v>
      </c>
      <c r="D210" s="11">
        <f t="shared" si="4"/>
        <v>0.20507258910051221</v>
      </c>
      <c r="E210" s="18">
        <f>MAX(0,Y209-('P-Parametri'!$B$31*AF209))</f>
        <v>4087.1075696316839</v>
      </c>
      <c r="F210" s="18">
        <f>MAX(0,AA209-('P-Parametri'!$C$31*AF209))</f>
        <v>0</v>
      </c>
      <c r="G210" s="18">
        <f>MAX(0,AC209-('P-Parametri'!$D$31*AF209))</f>
        <v>0</v>
      </c>
      <c r="H210" s="18">
        <f>E210*C210*'P-Parametri'!$B$6+F210*D210*'P-Parametri'!$B$7</f>
        <v>26.511712700919286</v>
      </c>
      <c r="I210" s="18">
        <f t="shared" si="5"/>
        <v>4060.5958569307645</v>
      </c>
      <c r="J210" s="18">
        <f>MAX(0,('P-Parametri'!$B$31*AF209)-Y209)+MAX(0,('P-Parametri'!$C$31*AF209)-AA209)+MAX(0,('P-Parametri'!$D$31*AF209)-AC209)</f>
        <v>4087.1075696316802</v>
      </c>
      <c r="K210" s="18">
        <f>Y209-E210+IF(J210&lt;=0,0,I210*MAX(0,('P-Parametri'!$B$31*AF209)-Y209)/J210)</f>
        <v>162185.75509988444</v>
      </c>
      <c r="L210" s="18">
        <f>Z209-E210*(1-C210)+IF(J210&lt;=0,0,I210*MAX(0,('P-Parametri'!$B$31*AF209)-Y209)/J210)</f>
        <v>158139.42717902025</v>
      </c>
      <c r="M210" s="18">
        <f>AA209-F210+IF(J210&lt;=0,0,I210*MAX(0,('P-Parametri'!$C$31*AF209)-AA209)/J210)</f>
        <v>81074.078871381687</v>
      </c>
      <c r="N210" s="18">
        <f>AB209-F210*(1-D210)+IF(J210&lt;=0,0,I210*MAX(0,('P-Parametri'!$C$31*AF209)-AA209)/J210)</f>
        <v>65038.462763647025</v>
      </c>
      <c r="O210" s="18">
        <f>AC209-G210+IF(J210&lt;=0,0,I210*MAX(0,('P-Parametri'!$D$31*AF209)-AC209)/J210)</f>
        <v>27023.246149173698</v>
      </c>
      <c r="P210" s="18">
        <f>AD209-G210+IF(J210&lt;=0,0,I210*MAX(0,('P-Parametri'!$D$31*AF209)-AC209)/J210)</f>
        <v>18500.479635522548</v>
      </c>
      <c r="Q210" s="18">
        <f t="shared" si="6"/>
        <v>173297.4255532877</v>
      </c>
      <c r="R210" s="18">
        <f>M210*(1+'P-Parametri'!$C$29)</f>
        <v>81479.449265738585</v>
      </c>
      <c r="S210" s="18">
        <f>O210*(1+'1-Input'!$B$27)</f>
        <v>26925.962463036671</v>
      </c>
      <c r="T210" s="11">
        <f t="shared" si="7"/>
        <v>8.7468110538124977E-2</v>
      </c>
      <c r="U210" s="11">
        <f t="shared" si="8"/>
        <v>0.20178077601470554</v>
      </c>
      <c r="V210" s="18">
        <f>IF(AG209=0,0,(MIN((Q210+R210+S210),MAX(0,$B$4-IF($A210&gt;='1-Input'!$C$12,'1-Input'!$B$12,0))/(Q210/(Q210+R210+S210)*(1-'P-Parametri'!$B$6*T210)+R210/(Q210+R210+S210)*(1-'P-Parametri'!$B$7*U210)+S210/(Q210+R210+S210))))*Q210/(Q210+R210+S210))</f>
        <v>8171.2452700346603</v>
      </c>
      <c r="W210" s="18">
        <f>IF(AG209=0,0,(MIN((Q210+R210+S210),MAX(0,$B$4-IF($A210&gt;='1-Input'!$C$12,'1-Input'!$B$12,0))/(Q210/(Q210+R210+S210)*(1-'P-Parametri'!$B$6*T210)+R210/(Q210+R210+S210)*(1-'P-Parametri'!$B$7*U210)+S210/(Q210+R210+S210))))*R210/(Q210+R210+S210))</f>
        <v>3841.8837573150813</v>
      </c>
      <c r="X210" s="18">
        <f>IF(AG209=0,0,(MIN((Q210+R210+S210),MAX(0,$B$4-IF($A210&gt;='1-Input'!$C$12,'1-Input'!$B$12,0))/(Q210/(Q210+R210+S210)*(1-'P-Parametri'!$B$6*T210)+R210/(Q210+R210+S210)*(1-'P-Parametri'!$B$7*U210)+S210/(Q210+R210+S210))))*S210/(Q210+R210+S210))</f>
        <v>1269.6013383624393</v>
      </c>
      <c r="Y210" s="18">
        <f t="shared" si="9"/>
        <v>165126.18028325305</v>
      </c>
      <c r="Z210" s="18">
        <f t="shared" si="10"/>
        <v>150682.90529349912</v>
      </c>
      <c r="AA210" s="18">
        <f t="shared" si="11"/>
        <v>77637.565508423504</v>
      </c>
      <c r="AB210" s="18">
        <f t="shared" si="12"/>
        <v>61971.797292241274</v>
      </c>
      <c r="AC210" s="18">
        <f t="shared" si="13"/>
        <v>25656.361124674233</v>
      </c>
      <c r="AD210" s="18">
        <f t="shared" si="14"/>
        <v>17230.87829716011</v>
      </c>
      <c r="AE210" s="18">
        <f>IF(AG210=0,AE209,AE209+H210+V210*T210*'P-Parametri'!$B$6+W210*U210*'P-Parametri'!$B$7)</f>
        <v>2426.5082677193627</v>
      </c>
      <c r="AF210" s="18">
        <f t="shared" si="0"/>
        <v>268420.10691635078</v>
      </c>
      <c r="AG210" s="10">
        <f>IF(AND(AG209=1,(X210+W210*(1-'P-Parametri'!$B$7*U210)+V210*(1-'P-Parametri'!$B$6*T210))&gt;=MAX(0,$B$4-IF($A210&gt;='1-Input'!$C$12,'1-Input'!$B$12,0))-0.01),1,0)</f>
        <v>1</v>
      </c>
      <c r="AI210" s="11">
        <f t="shared" si="15"/>
        <v>2.5421162050725851E-2</v>
      </c>
      <c r="AJ210" s="11">
        <f t="shared" si="16"/>
        <v>0.25075481458150894</v>
      </c>
      <c r="AK210" s="18">
        <f>MAX(0,BE209-('P-Parametri'!$B$31*BL209))</f>
        <v>12110.550011213054</v>
      </c>
      <c r="AL210" s="18">
        <f>MAX(0,BG209-('P-Parametri'!$C$31*BL209))</f>
        <v>862.3949654684111</v>
      </c>
      <c r="AM210" s="18">
        <f>MAX(0,BI209-('P-Parametri'!$D$31*BL209))</f>
        <v>0</v>
      </c>
      <c r="AN210" s="18">
        <f>AK210*AI210*'P-Parametri'!$B$6+AL210*AJ210*'P-Parametri'!$B$7</f>
        <v>107.07591734095867</v>
      </c>
      <c r="AO210" s="18">
        <f t="shared" si="17"/>
        <v>12865.869059340506</v>
      </c>
      <c r="AP210" s="18">
        <f>MAX(0,('P-Parametri'!$B$31*BL209)-BE209)+MAX(0,('P-Parametri'!$C$31*BL209)-BG209)+MAX(0,('P-Parametri'!$D$31*BL209)-BI209)</f>
        <v>12972.944976681516</v>
      </c>
      <c r="AQ210" s="18">
        <f>BE209-AK210+IF(AP210&lt;=0,0,AO210*MAX(0,('P-Parametri'!$B$31*BL209)-BE209)/AP210)</f>
        <v>162617.20655283969</v>
      </c>
      <c r="AR210" s="18">
        <f>BF209-AK210*(1-AI210)+IF(AP210&lt;=0,0,AO210*MAX(0,('P-Parametri'!$B$31*BL209)-BE209)/AP210)</f>
        <v>158483.28819282359</v>
      </c>
      <c r="AS210" s="18">
        <f>BG209-AL210+IF(AP210&lt;=0,0,AO210*MAX(0,('P-Parametri'!$C$31*BL209)-BG209)/AP210)</f>
        <v>81308.603276419846</v>
      </c>
      <c r="AT210" s="18">
        <f>BH209-AL210*(1-AJ210)+IF(AP210&lt;=0,0,AO210*MAX(0,('P-Parametri'!$C$31*BL209)-BG209)/AP210)</f>
        <v>60920.079537959718</v>
      </c>
      <c r="AU210" s="18">
        <f>BI209-AM210+IF(AP210&lt;=0,0,AO210*MAX(0,('P-Parametri'!$D$31*BL209)-BI209)/AP210)</f>
        <v>26995.791841465609</v>
      </c>
      <c r="AV210" s="18">
        <f>BJ209-AM210+IF(AP210&lt;=0,0,AO210*MAX(0,('P-Parametri'!$D$31*BL209)-BI209)/AP210)</f>
        <v>18472.265867011432</v>
      </c>
      <c r="AW210" s="18">
        <f t="shared" si="18"/>
        <v>173758.43660818783</v>
      </c>
      <c r="AX210" s="18">
        <f>AS210*(1+'P-Parametri'!$C$29)</f>
        <v>81715.146292801932</v>
      </c>
      <c r="AY210" s="18">
        <f>AU210*(1+'1-Input'!$B$27)</f>
        <v>26898.606990836332</v>
      </c>
      <c r="AZ210" s="11">
        <f t="shared" si="19"/>
        <v>8.7910254681955652E-2</v>
      </c>
      <c r="BA210" s="11">
        <f t="shared" si="20"/>
        <v>0.2544824025686655</v>
      </c>
      <c r="BB210" s="18">
        <f>IF(BM209=0,0,MIN(MAX(AW210,0),(MAX(0,$B$4-IF($A210&gt;='1-Input'!$C$12,'1-Input'!$B$12,0))-BD210-BC210*(1-'P-Parametri'!$B$7*BA210))/(1-'P-Parametri'!$B$6*AZ210)))</f>
        <v>0</v>
      </c>
      <c r="BC210" s="18">
        <f>IF(BM209=0,0,MIN(MAX(AX210,0),(MAX(0,$B$4-IF($A210&gt;='1-Input'!$C$12,'1-Input'!$B$12,0))-BD210)/(1-'P-Parametri'!$B$7*BA210)))</f>
        <v>0</v>
      </c>
      <c r="BD210" s="18">
        <f>IF(BM209=0,0,MIN(MAX(AY210,0),MAX(0,$B$4-IF($A210&gt;='1-Input'!$C$12,'1-Input'!$B$12,0))))</f>
        <v>13000</v>
      </c>
      <c r="BE210" s="18">
        <f t="shared" si="21"/>
        <v>173758.43660818783</v>
      </c>
      <c r="BF210" s="18">
        <f t="shared" si="22"/>
        <v>158483.28819282359</v>
      </c>
      <c r="BG210" s="18">
        <f t="shared" si="23"/>
        <v>81715.146292801932</v>
      </c>
      <c r="BH210" s="18">
        <f t="shared" si="24"/>
        <v>60920.079537959718</v>
      </c>
      <c r="BI210" s="18">
        <f t="shared" si="25"/>
        <v>13898.606990836332</v>
      </c>
      <c r="BJ210" s="18">
        <f t="shared" si="26"/>
        <v>5472.2658670114324</v>
      </c>
      <c r="BK210" s="18">
        <f>IF(BM210=0,BK209,BK209+AN210+BB210*AZ210*'P-Parametri'!$B$6+BC210*BA210*'P-Parametri'!$B$7)</f>
        <v>1601.1609989288465</v>
      </c>
      <c r="BL210" s="18">
        <f t="shared" si="1"/>
        <v>269372.18989182607</v>
      </c>
      <c r="BM210" s="10">
        <f>IF(AND(BM209=1,(BD210+BC210*(1-'P-Parametri'!$B$7*BA210)+BB210*(1-'P-Parametri'!$B$6*AZ210))&gt;=MAX(0,$B$4-IF($A210&gt;='1-Input'!$C$12,'1-Input'!$B$12,0))-0.01),1,0)</f>
        <v>1</v>
      </c>
      <c r="BO210" s="11">
        <f t="shared" si="27"/>
        <v>2.3072195034995347E-2</v>
      </c>
      <c r="BP210" s="11">
        <f t="shared" si="28"/>
        <v>0.20531805538586884</v>
      </c>
      <c r="BQ210" s="18">
        <f>MAX(0,CK209-('P-Parametri'!$B$31*CR209))</f>
        <v>4047.269534343126</v>
      </c>
      <c r="BR210" s="18">
        <f>MAX(0,CM209-('P-Parametri'!$C$31*CR209))</f>
        <v>0</v>
      </c>
      <c r="BS210" s="18">
        <f>MAX(0,CO209-('P-Parametri'!$D$31*CR209))</f>
        <v>0</v>
      </c>
      <c r="BT210" s="18">
        <f>BQ210*BO210*'P-Parametri'!$B$6+BR210*BP210*'P-Parametri'!$B$6</f>
        <v>24.278641934445446</v>
      </c>
      <c r="BU210" s="18">
        <f t="shared" si="29"/>
        <v>4022.9908924086803</v>
      </c>
      <c r="BV210" s="18">
        <f>MAX(0,('P-Parametri'!$B$31*CR209)-CK209)+MAX(0,('P-Parametri'!$C$31*CR209)-CM209)+MAX(0,('P-Parametri'!$D$31*CR209)-CO209)</f>
        <v>4047.2695343431296</v>
      </c>
      <c r="BW210" s="18">
        <f>CK209-BQ210+IF(BV210&lt;=0,0,BU210*MAX(0,('P-Parametri'!$B$31*CR209)-CK209)/BV210)</f>
        <v>160604.89094965253</v>
      </c>
      <c r="BX210" s="18">
        <f>CL209-BQ210*(1-BO210)+IF(BV210&lt;=0,0,BU210*MAX(0,('P-Parametri'!$B$31*CR209)-CK209)/BV210)</f>
        <v>156899.38358208799</v>
      </c>
      <c r="BY210" s="18">
        <f>CM209-BR210+IF(BV210&lt;=0,0,BU210*MAX(0,('P-Parametri'!$C$31*CR209)-CM209)/BV210)</f>
        <v>80285.230201306942</v>
      </c>
      <c r="BZ210" s="18">
        <f>CN209-BR210*(1-BP210)+IF(BV210&lt;=0,0,BU210*MAX(0,('P-Parametri'!$C$31*CR209)-CM209)/BV210)</f>
        <v>64386.91005483958</v>
      </c>
      <c r="CA210" s="18">
        <f>CO209-BS210+IF(BV210&lt;=0,0,BU210*MAX(0,('P-Parametri'!$D$31*CR209)-CO209)/BV210)</f>
        <v>26760.418456526972</v>
      </c>
      <c r="CB210" s="18">
        <f>CP209-BS210+IF(BV210&lt;=0,0,BU210*MAX(0,('P-Parametri'!$D$31*CR209)-CO209)/BV210)</f>
        <v>18233.071568909141</v>
      </c>
      <c r="CC210" s="18">
        <f t="shared" si="30"/>
        <v>171608.25323839512</v>
      </c>
      <c r="CD210" s="18">
        <f>BY210*(1+'P-Parametri'!$C$29)</f>
        <v>80686.656352313468</v>
      </c>
      <c r="CE210" s="18">
        <f>CA210*(1+'1-Input'!$B$27)</f>
        <v>26664.080950083473</v>
      </c>
      <c r="CF210" s="11">
        <f t="shared" si="31"/>
        <v>8.5711901256134981E-2</v>
      </c>
      <c r="CG210" s="11">
        <f t="shared" si="32"/>
        <v>0.20201291061438981</v>
      </c>
      <c r="CH210" s="18">
        <f>IF(CS209=0,0,(MIN((CC210+CD210+CE210),MAX(0,$B$4-IF($A210&gt;='1-Input'!$C$12,'1-Input'!$B$12,0))/(CC210/(CC210+CD210+CE210)*(1-'P-Parametri'!$B$6*CF210)+CD210/(CC210+CD210+CE210)*(1-'P-Parametri'!$B$6*CG210)+CE210/(CC210+CD210+CE210))))*CC210/(CC210+CD210+CE210))</f>
        <v>8235.2678238637018</v>
      </c>
      <c r="CI210" s="18">
        <f>IF(CS209=0,0,(MIN((CC210+CD210+CE210),MAX(0,$B$4-IF($A210&gt;='1-Input'!$C$12,'1-Input'!$B$12,0))/(CC210/(CC210+CD210+CE210)*(1-'P-Parametri'!$B$6*CF210)+CD210/(CC210+CD210+CE210)*(1-'P-Parametri'!$B$6*CG210)+CE210/(CC210+CD210+CE210))))*CD210/(CC210+CD210+CE210))</f>
        <v>3872.0528432293777</v>
      </c>
      <c r="CJ210" s="18">
        <f>IF(CS209=0,0,(MIN((CC210+CD210+CE210),MAX(0,$B$4-IF($A210&gt;='1-Input'!$C$12,'1-Input'!$B$12,0))/(CC210/(CC210+CD210+CE210)*(1-'P-Parametri'!$B$6*CF210)+CD210/(CC210+CD210+CE210)*(1-'P-Parametri'!$B$6*CG210)+CE210/(CC210+CD210+CE210))))*CE210/(CC210+CD210+CE210))</f>
        <v>1279.5762660440041</v>
      </c>
      <c r="CK210" s="18">
        <f t="shared" si="33"/>
        <v>163372.98541453143</v>
      </c>
      <c r="CL210" s="18">
        <f t="shared" si="34"/>
        <v>149369.97622076111</v>
      </c>
      <c r="CM210" s="18">
        <f t="shared" si="35"/>
        <v>76814.603509084089</v>
      </c>
      <c r="CN210" s="18">
        <f t="shared" si="36"/>
        <v>61297.061876523694</v>
      </c>
      <c r="CO210" s="18">
        <f t="shared" si="37"/>
        <v>25384.504684039468</v>
      </c>
      <c r="CP210" s="18">
        <f t="shared" si="38"/>
        <v>16953.495302865136</v>
      </c>
      <c r="CQ210" s="18">
        <f>IF(CS210=0,CQ209,CQ209+BT210+CH210*CF210*'P-Parametri'!$B$6+CI210*CG210*'P-Parametri'!$B$6)</f>
        <v>4785.5928162689115</v>
      </c>
      <c r="CR210" s="18">
        <f t="shared" si="2"/>
        <v>265572.09360765497</v>
      </c>
      <c r="CS210" s="10">
        <f>IF(AND(CS209=1,(CJ210+CI210*(1-'P-Parametri'!$B$6*CG210)+CH210*(1-'P-Parametri'!$B$6*CF210))&gt;=MAX(0,$B$4-IF($A210&gt;='1-Input'!$C$12,'1-Input'!$B$12,0))-0.01),1,0)</f>
        <v>1</v>
      </c>
    </row>
    <row r="211" spans="1:97">
      <c r="A211" s="10">
        <f>11</f>
        <v>11</v>
      </c>
      <c r="B211" s="11">
        <f>IF(A211=1,'P-Parametri'!$B$30,IF(A211=2,'P-Parametri'!$C$30,'P-Parametri'!$B$29))</f>
        <v>6.8512000000000003E-2</v>
      </c>
      <c r="C211" s="11">
        <f t="shared" si="3"/>
        <v>8.7468110538124991E-2</v>
      </c>
      <c r="D211" s="11">
        <f t="shared" si="4"/>
        <v>0.20178077601470554</v>
      </c>
      <c r="E211" s="18">
        <f>MAX(0,Y210-('P-Parametri'!$B$31*AF210))</f>
        <v>4074.1161334425851</v>
      </c>
      <c r="F211" s="18">
        <f>MAX(0,AA210-('P-Parametri'!$C$31*AF210))</f>
        <v>0</v>
      </c>
      <c r="G211" s="18">
        <f>MAX(0,AC210-('P-Parametri'!$D$31*AF210))</f>
        <v>0</v>
      </c>
      <c r="H211" s="18">
        <f>E211*C211*'P-Parametri'!$B$6+F211*D211*'P-Parametri'!$B$7</f>
        <v>92.652362479329753</v>
      </c>
      <c r="I211" s="18">
        <f t="shared" si="5"/>
        <v>3981.4637709632552</v>
      </c>
      <c r="J211" s="18">
        <f>MAX(0,('P-Parametri'!$B$31*AF210)-Y210)+MAX(0,('P-Parametri'!$C$31*AF210)-AA210)+MAX(0,('P-Parametri'!$D$31*AF210)-AC210)</f>
        <v>4074.1161334425742</v>
      </c>
      <c r="K211" s="18">
        <f>Y210-E211+IF(J211&lt;=0,0,I211*MAX(0,('P-Parametri'!$B$31*AF210)-Y210)/J211)</f>
        <v>161052.06414981047</v>
      </c>
      <c r="L211" s="18">
        <f>Z210-E211*(1-C211)+IF(J211&lt;=0,0,I211*MAX(0,('P-Parametri'!$B$31*AF210)-Y210)/J211)</f>
        <v>146965.14440036163</v>
      </c>
      <c r="M211" s="18">
        <f>AA210-F211+IF(J211&lt;=0,0,I211*MAX(0,('P-Parametri'!$C$31*AF210)-AA210)/J211)</f>
        <v>80460.343409545341</v>
      </c>
      <c r="N211" s="18">
        <f>AB210-F211*(1-D211)+IF(J211&lt;=0,0,I211*MAX(0,('P-Parametri'!$C$31*AF210)-AA210)/J211)</f>
        <v>64794.575193363111</v>
      </c>
      <c r="O211" s="18">
        <f>AC210-G211+IF(J211&lt;=0,0,I211*MAX(0,('P-Parametri'!$D$31*AF210)-AC210)/J211)</f>
        <v>26815.046994515655</v>
      </c>
      <c r="P211" s="18">
        <f>AD210-G211+IF(J211&lt;=0,0,I211*MAX(0,('P-Parametri'!$D$31*AF210)-AC210)/J211)</f>
        <v>18389.564167001532</v>
      </c>
      <c r="Q211" s="18">
        <f t="shared" si="6"/>
        <v>172086.06316884226</v>
      </c>
      <c r="R211" s="18">
        <f>M211*(1+'P-Parametri'!$C$29)</f>
        <v>80862.645126593066</v>
      </c>
      <c r="S211" s="18">
        <f>O211*(1+'1-Input'!$B$27)</f>
        <v>26718.512825335398</v>
      </c>
      <c r="T211" s="11">
        <f t="shared" si="7"/>
        <v>0.14597881028769444</v>
      </c>
      <c r="U211" s="11">
        <f t="shared" si="8"/>
        <v>0.19870819100803438</v>
      </c>
      <c r="V211" s="18">
        <f>IF(AG210=0,0,(MIN((Q211+R211+S211),MAX(0,$B$4-IF($A211&gt;='1-Input'!$C$12,'1-Input'!$B$12,0))/(Q211/(Q211+R211+S211)*(1-'P-Parametri'!$B$6*T211)+R211/(Q211+R211+S211)*(1-'P-Parametri'!$B$7*U211)+S211/(Q211+R211+S211))))*Q211/(Q211+R211+S211))</f>
        <v>8251.17588622314</v>
      </c>
      <c r="W211" s="18">
        <f>IF(AG210=0,0,(MIN((Q211+R211+S211),MAX(0,$B$4-IF($A211&gt;='1-Input'!$C$12,'1-Input'!$B$12,0))/(Q211/(Q211+R211+S211)*(1-'P-Parametri'!$B$6*T211)+R211/(Q211+R211+S211)*(1-'P-Parametri'!$B$7*U211)+S211/(Q211+R211+S211))))*R211/(Q211+R211+S211))</f>
        <v>3877.1989740396857</v>
      </c>
      <c r="X211" s="18">
        <f>IF(AG210=0,0,(MIN((Q211+R211+S211),MAX(0,$B$4-IF($A211&gt;='1-Input'!$C$12,'1-Input'!$B$12,0))/(Q211/(Q211+R211+S211)*(1-'P-Parametri'!$B$6*T211)+R211/(Q211+R211+S211)*(1-'P-Parametri'!$B$7*U211)+S211/(Q211+R211+S211))))*S211/(Q211+R211+S211))</f>
        <v>1281.0982172556739</v>
      </c>
      <c r="Y211" s="18">
        <f t="shared" si="9"/>
        <v>163834.88728261911</v>
      </c>
      <c r="Z211" s="18">
        <f t="shared" si="10"/>
        <v>139918.46535348386</v>
      </c>
      <c r="AA211" s="18">
        <f t="shared" si="11"/>
        <v>76985.446152553384</v>
      </c>
      <c r="AB211" s="18">
        <f t="shared" si="12"/>
        <v>61687.807413633054</v>
      </c>
      <c r="AC211" s="18">
        <f t="shared" si="13"/>
        <v>25437.414608079725</v>
      </c>
      <c r="AD211" s="18">
        <f t="shared" si="14"/>
        <v>17108.46594974586</v>
      </c>
      <c r="AE211" s="18">
        <f>IF(AG211=0,AE210,AE210+H211+V211*T211*'P-Parametri'!$B$6+W211*U211*'P-Parametri'!$B$7)</f>
        <v>2928.633707717192</v>
      </c>
      <c r="AF211" s="18">
        <f t="shared" si="0"/>
        <v>266257.74804325221</v>
      </c>
      <c r="AG211" s="10">
        <f>IF(AND(AG210=1,(X211+W211*(1-'P-Parametri'!$B$7*U211)+V211*(1-'P-Parametri'!$B$6*T211))&gt;=MAX(0,$B$4-IF($A211&gt;='1-Input'!$C$12,'1-Input'!$B$12,0))-0.01),1,0)</f>
        <v>1</v>
      </c>
      <c r="AI211" s="11">
        <f t="shared" si="15"/>
        <v>8.7910254681955652E-2</v>
      </c>
      <c r="AJ211" s="11">
        <f t="shared" si="16"/>
        <v>0.2544824025686655</v>
      </c>
      <c r="AK211" s="18">
        <f>MAX(0,BE210-('P-Parametri'!$B$31*BL210))</f>
        <v>12135.122673092177</v>
      </c>
      <c r="AL211" s="18">
        <f>MAX(0,BG210-('P-Parametri'!$C$31*BL210))</f>
        <v>903.48932525410783</v>
      </c>
      <c r="AM211" s="18">
        <f>MAX(0,BI210-('P-Parametri'!$D$31*BL210))</f>
        <v>0</v>
      </c>
      <c r="AN211" s="18">
        <f>AK211*AI211*'P-Parametri'!$B$6+AL211*AJ211*'P-Parametri'!$B$7</f>
        <v>306.10871521818598</v>
      </c>
      <c r="AO211" s="18">
        <f t="shared" si="17"/>
        <v>12732.503283128099</v>
      </c>
      <c r="AP211" s="18">
        <f>MAX(0,('P-Parametri'!$B$31*BL210)-BE210)+MAX(0,('P-Parametri'!$C$31*BL210)-BG210)+MAX(0,('P-Parametri'!$D$31*BL210)-BI210)</f>
        <v>13038.611998346278</v>
      </c>
      <c r="AQ211" s="18">
        <f>BE210-AK211+IF(AP211&lt;=0,0,AO211*MAX(0,('P-Parametri'!$B$31*BL210)-BE210)/AP211)</f>
        <v>161623.31393509565</v>
      </c>
      <c r="AR211" s="18">
        <f>BF210-AK211*(1-AI211)+IF(AP211&lt;=0,0,AO211*MAX(0,('P-Parametri'!$B$31*BL210)-BE210)/AP211)</f>
        <v>147414.96724451971</v>
      </c>
      <c r="AS211" s="18">
        <f>BG210-AL211+IF(AP211&lt;=0,0,AO211*MAX(0,('P-Parametri'!$C$31*BL210)-BG210)/AP211)</f>
        <v>80811.656967547824</v>
      </c>
      <c r="AT211" s="18">
        <f>BH210-AL211*(1-AJ211)+IF(AP211&lt;=0,0,AO211*MAX(0,('P-Parametri'!$C$31*BL210)-BG210)/AP211)</f>
        <v>60246.512346891417</v>
      </c>
      <c r="AU211" s="18">
        <f>BI210-AM211+IF(AP211&lt;=0,0,AO211*MAX(0,('P-Parametri'!$D$31*BL210)-BI210)/AP211)</f>
        <v>26631.11027396443</v>
      </c>
      <c r="AV211" s="18">
        <f>BJ210-AM211+IF(AP211&lt;=0,0,AO211*MAX(0,('P-Parametri'!$D$31*BL210)-BI210)/AP211)</f>
        <v>18204.769150139531</v>
      </c>
      <c r="AW211" s="18">
        <f t="shared" si="18"/>
        <v>172696.45041941691</v>
      </c>
      <c r="AX211" s="18">
        <f>AS211*(1+'P-Parametri'!$C$29)</f>
        <v>81215.715252385548</v>
      </c>
      <c r="AY211" s="18">
        <f>AU211*(1+'1-Input'!$B$27)</f>
        <v>26535.238276978158</v>
      </c>
      <c r="AZ211" s="11">
        <f t="shared" si="19"/>
        <v>0.14639260455844733</v>
      </c>
      <c r="BA211" s="11">
        <f t="shared" si="20"/>
        <v>0.25819144534195559</v>
      </c>
      <c r="BB211" s="18">
        <f>IF(BM210=0,0,MIN(MAX(AW211,0),(MAX(0,$B$4-IF($A211&gt;='1-Input'!$C$12,'1-Input'!$B$12,0))-BD211-BC211*(1-'P-Parametri'!$B$7*BA211))/(1-'P-Parametri'!$B$6*AZ211)))</f>
        <v>0</v>
      </c>
      <c r="BC211" s="18">
        <f>IF(BM210=0,0,MIN(MAX(AX211,0),(MAX(0,$B$4-IF($A211&gt;='1-Input'!$C$12,'1-Input'!$B$12,0))-BD211)/(1-'P-Parametri'!$B$7*BA211)))</f>
        <v>0</v>
      </c>
      <c r="BD211" s="18">
        <f>IF(BM210=0,0,MIN(MAX(AY211,0),MAX(0,$B$4-IF($A211&gt;='1-Input'!$C$12,'1-Input'!$B$12,0))))</f>
        <v>13000</v>
      </c>
      <c r="BE211" s="18">
        <f t="shared" si="21"/>
        <v>172696.45041941691</v>
      </c>
      <c r="BF211" s="18">
        <f t="shared" si="22"/>
        <v>147414.96724451971</v>
      </c>
      <c r="BG211" s="18">
        <f t="shared" si="23"/>
        <v>81215.715252385548</v>
      </c>
      <c r="BH211" s="18">
        <f t="shared" si="24"/>
        <v>60246.512346891417</v>
      </c>
      <c r="BI211" s="18">
        <f t="shared" si="25"/>
        <v>13535.238276978158</v>
      </c>
      <c r="BJ211" s="18">
        <f t="shared" si="26"/>
        <v>5204.7691501395311</v>
      </c>
      <c r="BK211" s="18">
        <f>IF(BM211=0,BK210,BK210+AN211+BB211*AZ211*'P-Parametri'!$B$6+BC211*BA211*'P-Parametri'!$B$7)</f>
        <v>1907.2697141470326</v>
      </c>
      <c r="BL211" s="18">
        <f t="shared" si="1"/>
        <v>267447.40394878061</v>
      </c>
      <c r="BM211" s="10">
        <f>IF(AND(BM210=1,(BD211+BC211*(1-'P-Parametri'!$B$7*BA211)+BB211*(1-'P-Parametri'!$B$6*AZ211))&gt;=MAX(0,$B$4-IF($A211&gt;='1-Input'!$C$12,'1-Input'!$B$12,0))-0.01),1,0)</f>
        <v>1</v>
      </c>
      <c r="BO211" s="11">
        <f t="shared" si="27"/>
        <v>8.5711901256135148E-2</v>
      </c>
      <c r="BP211" s="11">
        <f t="shared" si="28"/>
        <v>0.20201291061438978</v>
      </c>
      <c r="BQ211" s="18">
        <f>MAX(0,CK210-('P-Parametri'!$B$31*CR210))</f>
        <v>4029.7292499384494</v>
      </c>
      <c r="BR211" s="18">
        <f>MAX(0,CM210-('P-Parametri'!$C$31*CR210))</f>
        <v>0</v>
      </c>
      <c r="BS211" s="18">
        <f>MAX(0,CO210-('P-Parametri'!$D$31*CR210))</f>
        <v>0</v>
      </c>
      <c r="BT211" s="18">
        <f>BQ211*BO211*'P-Parametri'!$B$6+BR211*BP211*'P-Parametri'!$B$6</f>
        <v>89.802896445517831</v>
      </c>
      <c r="BU211" s="18">
        <f t="shared" si="29"/>
        <v>3939.9263534929314</v>
      </c>
      <c r="BV211" s="18">
        <f>MAX(0,('P-Parametri'!$B$31*CR210)-CK210)+MAX(0,('P-Parametri'!$C$31*CR210)-CM210)+MAX(0,('P-Parametri'!$D$31*CR210)-CO210)</f>
        <v>4029.7292499384312</v>
      </c>
      <c r="BW211" s="18">
        <f>CK210-BQ211+IF(BV211&lt;=0,0,BU211*MAX(0,('P-Parametri'!$B$31*CR210)-CK210)/BV211)</f>
        <v>159343.25616459298</v>
      </c>
      <c r="BX211" s="18">
        <f>CL210-BQ211*(1-BO211)+IF(BV211&lt;=0,0,BU211*MAX(0,('P-Parametri'!$B$31*CR210)-CK210)/BV211)</f>
        <v>145685.64272638233</v>
      </c>
      <c r="BY211" s="18">
        <f>CM210-BR211+IF(BV211&lt;=0,0,BU211*MAX(0,('P-Parametri'!$C$31*CR210)-CM210)/BV211)</f>
        <v>79607.959020189068</v>
      </c>
      <c r="BZ211" s="18">
        <f>CN210-BR211*(1-BP211)+IF(BV211&lt;=0,0,BU211*MAX(0,('P-Parametri'!$C$31*CR210)-CM210)/BV211)</f>
        <v>64090.417387628673</v>
      </c>
      <c r="CA211" s="18">
        <f>CO210-BS211+IF(BV211&lt;=0,0,BU211*MAX(0,('P-Parametri'!$D$31*CR210)-CO210)/BV211)</f>
        <v>26531.075526427423</v>
      </c>
      <c r="CB211" s="18">
        <f>CP210-BS211+IF(BV211&lt;=0,0,BU211*MAX(0,('P-Parametri'!$D$31*CR210)-CO210)/BV211)</f>
        <v>18100.066145253091</v>
      </c>
      <c r="CC211" s="18">
        <f t="shared" si="30"/>
        <v>170260.18133094156</v>
      </c>
      <c r="CD211" s="18">
        <f>BY211*(1+'P-Parametri'!$C$29)</f>
        <v>80005.998815290004</v>
      </c>
      <c r="CE211" s="18">
        <f>CA211*(1+'1-Input'!$B$27)</f>
        <v>26435.563654532281</v>
      </c>
      <c r="CF211" s="11">
        <f t="shared" si="31"/>
        <v>0.14433520751861947</v>
      </c>
      <c r="CG211" s="11">
        <f t="shared" si="32"/>
        <v>0.19892985105286495</v>
      </c>
      <c r="CH211" s="18">
        <f>IF(CS210=0,0,(MIN((CC211+CD211+CE211),MAX(0,$B$4-IF($A211&gt;='1-Input'!$C$12,'1-Input'!$B$12,0))/(CC211/(CC211+CD211+CE211)*(1-'P-Parametri'!$B$6*CF211)+CD211/(CC211+CD211+CE211)*(1-'P-Parametri'!$B$6*CG211)+CE211/(CC211+CD211+CE211))))*CC211/(CC211+CD211+CE211))</f>
        <v>8315.5370469267091</v>
      </c>
      <c r="CI211" s="18">
        <f>IF(CS210=0,0,(MIN((CC211+CD211+CE211),MAX(0,$B$4-IF($A211&gt;='1-Input'!$C$12,'1-Input'!$B$12,0))/(CC211/(CC211+CD211+CE211)*(1-'P-Parametri'!$B$6*CF211)+CD211/(CC211+CD211+CE211)*(1-'P-Parametri'!$B$6*CG211)+CE211/(CC211+CD211+CE211))))*CD211/(CC211+CD211+CE211))</f>
        <v>3907.5069809291576</v>
      </c>
      <c r="CJ211" s="18">
        <f>IF(CS210=0,0,(MIN((CC211+CD211+CE211),MAX(0,$B$4-IF($A211&gt;='1-Input'!$C$12,'1-Input'!$B$12,0))/(CC211/(CC211+CD211+CE211)*(1-'P-Parametri'!$B$6*CF211)+CD211/(CC211+CD211+CE211)*(1-'P-Parametri'!$B$6*CG211)+CE211/(CC211+CD211+CE211))))*CE211/(CC211+CD211+CE211))</f>
        <v>1291.1175543644461</v>
      </c>
      <c r="CK211" s="18">
        <f t="shared" si="33"/>
        <v>161944.64428401485</v>
      </c>
      <c r="CL211" s="18">
        <f t="shared" si="34"/>
        <v>138570.33044475256</v>
      </c>
      <c r="CM211" s="18">
        <f t="shared" si="35"/>
        <v>76098.491834360844</v>
      </c>
      <c r="CN211" s="18">
        <f t="shared" si="36"/>
        <v>60960.230188403781</v>
      </c>
      <c r="CO211" s="18">
        <f t="shared" si="37"/>
        <v>25144.446100167836</v>
      </c>
      <c r="CP211" s="18">
        <f t="shared" si="38"/>
        <v>16808.948590888645</v>
      </c>
      <c r="CQ211" s="18">
        <f>IF(CS211=0,CQ210,CQ210+BT211+CH211*CF211*'P-Parametri'!$B$6+CI211*CG211*'P-Parametri'!$B$6)</f>
        <v>5389.5572949347415</v>
      </c>
      <c r="CR211" s="18">
        <f t="shared" si="2"/>
        <v>263187.58221854351</v>
      </c>
      <c r="CS211" s="10">
        <f>IF(AND(CS210=1,(CJ211+CI211*(1-'P-Parametri'!$B$6*CG211)+CH211*(1-'P-Parametri'!$B$6*CF211))&gt;=MAX(0,$B$4-IF($A211&gt;='1-Input'!$C$12,'1-Input'!$B$12,0))-0.01),1,0)</f>
        <v>1</v>
      </c>
    </row>
    <row r="212" spans="1:97">
      <c r="A212" s="10">
        <f>12</f>
        <v>12</v>
      </c>
      <c r="B212" s="11">
        <f>IF(A212=1,'P-Parametri'!$B$30,IF(A212=2,'P-Parametri'!$C$30,'P-Parametri'!$B$29))</f>
        <v>6.8512000000000003E-2</v>
      </c>
      <c r="C212" s="11">
        <f t="shared" si="3"/>
        <v>0.14597881028769438</v>
      </c>
      <c r="D212" s="11">
        <f t="shared" si="4"/>
        <v>0.19870819100803447</v>
      </c>
      <c r="E212" s="18">
        <f>MAX(0,Y211-('P-Parametri'!$B$31*AF211))</f>
        <v>4080.2384566677792</v>
      </c>
      <c r="F212" s="18">
        <f>MAX(0,AA211-('P-Parametri'!$C$31*AF211))</f>
        <v>0</v>
      </c>
      <c r="G212" s="18">
        <f>MAX(0,AC211-('P-Parametri'!$D$31*AF211))</f>
        <v>0</v>
      </c>
      <c r="H212" s="18">
        <f>E212*C212*'P-Parametri'!$B$6+F212*D212*'P-Parametri'!$B$7</f>
        <v>154.86337245455979</v>
      </c>
      <c r="I212" s="18">
        <f t="shared" si="5"/>
        <v>3925.3750842132195</v>
      </c>
      <c r="J212" s="18">
        <f>MAX(0,('P-Parametri'!$B$31*AF211)-Y211)+MAX(0,('P-Parametri'!$C$31*AF211)-AA211)+MAX(0,('P-Parametri'!$D$31*AF211)-AC211)</f>
        <v>4080.2384566677756</v>
      </c>
      <c r="K212" s="18">
        <f>Y211-E212+IF(J212&lt;=0,0,I212*MAX(0,('P-Parametri'!$B$31*AF211)-Y211)/J212)</f>
        <v>159754.64882595133</v>
      </c>
      <c r="L212" s="18">
        <f>Z211-E212*(1-C212)+IF(J212&lt;=0,0,I212*MAX(0,('P-Parametri'!$B$31*AF211)-Y211)/J212)</f>
        <v>136433.85525241055</v>
      </c>
      <c r="M212" s="18">
        <f>AA211-F212+IF(J212&lt;=0,0,I212*MAX(0,('P-Parametri'!$C$31*AF211)-AA211)/J212)</f>
        <v>79767.564646507817</v>
      </c>
      <c r="N212" s="18">
        <f>AB211-F212*(1-D212)+IF(J212&lt;=0,0,I212*MAX(0,('P-Parametri'!$C$31*AF211)-AA211)/J212)</f>
        <v>64469.92590758748</v>
      </c>
      <c r="O212" s="18">
        <f>AC211-G212+IF(J212&lt;=0,0,I212*MAX(0,('P-Parametri'!$D$31*AF211)-AC211)/J212)</f>
        <v>26580.671198338518</v>
      </c>
      <c r="P212" s="18">
        <f>AD211-G212+IF(J212&lt;=0,0,I212*MAX(0,('P-Parametri'!$D$31*AF211)-AC211)/J212)</f>
        <v>18251.722540004652</v>
      </c>
      <c r="Q212" s="18">
        <f t="shared" si="6"/>
        <v>170699.7593263149</v>
      </c>
      <c r="R212" s="18">
        <f>M212*(1+'P-Parametri'!$C$29)</f>
        <v>80166.402469740351</v>
      </c>
      <c r="S212" s="18">
        <f>O212*(1+'1-Input'!$B$27)</f>
        <v>26484.980782024497</v>
      </c>
      <c r="T212" s="11">
        <f t="shared" si="7"/>
        <v>0.20073785815011375</v>
      </c>
      <c r="U212" s="11">
        <f t="shared" si="8"/>
        <v>0.19579868970766989</v>
      </c>
      <c r="V212" s="18">
        <f>IF(AG211=0,0,(MIN((Q212+R212+S212),MAX(0,$B$4-IF($A212&gt;='1-Input'!$C$12,'1-Input'!$B$12,0))/(Q212/(Q212+R212+S212)*(1-'P-Parametri'!$B$6*T212)+R212/(Q212+R212+S212)*(1-'P-Parametri'!$B$7*U212)+S212/(Q212+R212+S212))))*Q212/(Q212+R212+S212))</f>
        <v>8327.4441034871488</v>
      </c>
      <c r="W212" s="18">
        <f>IF(AG211=0,0,(MIN((Q212+R212+S212),MAX(0,$B$4-IF($A212&gt;='1-Input'!$C$12,'1-Input'!$B$12,0))/(Q212/(Q212+R212+S212)*(1-'P-Parametri'!$B$6*T212)+R212/(Q212+R212+S212)*(1-'P-Parametri'!$B$7*U212)+S212/(Q212+R212+S212))))*R212/(Q212+R212+S212))</f>
        <v>3910.8504791049413</v>
      </c>
      <c r="X212" s="18">
        <f>IF(AG211=0,0,(MIN((Q212+R212+S212),MAX(0,$B$4-IF($A212&gt;='1-Input'!$C$12,'1-Input'!$B$12,0))/(Q212/(Q212+R212+S212)*(1-'P-Parametri'!$B$6*T212)+R212/(Q212+R212+S212)*(1-'P-Parametri'!$B$7*U212)+S212/(Q212+R212+S212))))*S212/(Q212+R212+S212))</f>
        <v>1292.0474985710202</v>
      </c>
      <c r="Y212" s="18">
        <f t="shared" si="9"/>
        <v>162372.31522282775</v>
      </c>
      <c r="Z212" s="18">
        <f t="shared" si="10"/>
        <v>129778.04444212221</v>
      </c>
      <c r="AA212" s="18">
        <f t="shared" si="11"/>
        <v>76255.551990635417</v>
      </c>
      <c r="AB212" s="18">
        <f t="shared" si="12"/>
        <v>61324.8148279339</v>
      </c>
      <c r="AC212" s="18">
        <f t="shared" si="13"/>
        <v>25192.933283453476</v>
      </c>
      <c r="AD212" s="18">
        <f t="shared" si="14"/>
        <v>16959.675041433631</v>
      </c>
      <c r="AE212" s="18">
        <f>IF(AG212=0,AE211,AE211+H212+V212*T212*'P-Parametri'!$B$6+W212*U212*'P-Parametri'!$B$7)</f>
        <v>3613.8391613348613</v>
      </c>
      <c r="AF212" s="18">
        <f t="shared" si="0"/>
        <v>263820.80049691664</v>
      </c>
      <c r="AG212" s="10">
        <f>IF(AND(AG211=1,(X212+W212*(1-'P-Parametri'!$B$7*U212)+V212*(1-'P-Parametri'!$B$6*T212))&gt;=MAX(0,$B$4-IF($A212&gt;='1-Input'!$C$12,'1-Input'!$B$12,0))-0.01),1,0)</f>
        <v>1</v>
      </c>
      <c r="AI212" s="11">
        <f t="shared" si="15"/>
        <v>0.14639260455844733</v>
      </c>
      <c r="AJ212" s="11">
        <f t="shared" si="16"/>
        <v>0.25819144534195559</v>
      </c>
      <c r="AK212" s="18">
        <f>MAX(0,BE211-('P-Parametri'!$B$31*BL211))</f>
        <v>12228.00805014855</v>
      </c>
      <c r="AL212" s="18">
        <f>MAX(0,BG211-('P-Parametri'!$C$31*BL211))</f>
        <v>981.49406775136595</v>
      </c>
      <c r="AM212" s="18">
        <f>MAX(0,BI211-('P-Parametri'!$D$31*BL211))</f>
        <v>0</v>
      </c>
      <c r="AN212" s="18">
        <f>AK212*AI212*'P-Parametri'!$B$6+AL212*AJ212*'P-Parametri'!$B$7</f>
        <v>497.10005771936596</v>
      </c>
      <c r="AO212" s="18">
        <f t="shared" si="17"/>
        <v>12712.40206018055</v>
      </c>
      <c r="AP212" s="18">
        <f>MAX(0,('P-Parametri'!$B$31*BL211)-BE211)+MAX(0,('P-Parametri'!$C$31*BL211)-BG211)+MAX(0,('P-Parametri'!$D$31*BL211)-BI211)</f>
        <v>13209.502117899905</v>
      </c>
      <c r="AQ212" s="18">
        <f>BE211-AK212+IF(AP212&lt;=0,0,AO212*MAX(0,('P-Parametri'!$B$31*BL211)-BE211)/AP212)</f>
        <v>160468.44236926836</v>
      </c>
      <c r="AR212" s="18">
        <f>BF211-AK212*(1-AI212)+IF(AP212&lt;=0,0,AO212*MAX(0,('P-Parametri'!$B$31*BL211)-BE211)/AP212)</f>
        <v>136977.04914139406</v>
      </c>
      <c r="AS212" s="18">
        <f>BG211-AL212+IF(AP212&lt;=0,0,AO212*MAX(0,('P-Parametri'!$C$31*BL211)-BG211)/AP212)</f>
        <v>80234.221184634182</v>
      </c>
      <c r="AT212" s="18">
        <f>BH211-AL212*(1-AJ212)+IF(AP212&lt;=0,0,AO212*MAX(0,('P-Parametri'!$C$31*BL211)-BG211)/AP212)</f>
        <v>59518.431651087332</v>
      </c>
      <c r="AU212" s="18">
        <f>BI211-AM212+IF(AP212&lt;=0,0,AO212*MAX(0,('P-Parametri'!$D$31*BL211)-BI211)/AP212)</f>
        <v>26247.640337158708</v>
      </c>
      <c r="AV212" s="18">
        <f>BJ211-AM212+IF(AP212&lt;=0,0,AO212*MAX(0,('P-Parametri'!$D$31*BL211)-BI211)/AP212)</f>
        <v>17917.171210320084</v>
      </c>
      <c r="AW212" s="18">
        <f t="shared" si="18"/>
        <v>171462.45629287165</v>
      </c>
      <c r="AX212" s="18">
        <f>AS212*(1+'P-Parametri'!$C$29)</f>
        <v>80635.392290557342</v>
      </c>
      <c r="AY212" s="18">
        <f>AU212*(1+'1-Input'!$B$27)</f>
        <v>26153.148831944934</v>
      </c>
      <c r="AZ212" s="11">
        <f t="shared" si="19"/>
        <v>0.20112512031539861</v>
      </c>
      <c r="BA212" s="11">
        <f t="shared" si="20"/>
        <v>0.26188203516612485</v>
      </c>
      <c r="BB212" s="18">
        <f>IF(BM211=0,0,MIN(MAX(AW212,0),(MAX(0,$B$4-IF($A212&gt;='1-Input'!$C$12,'1-Input'!$B$12,0))-BD212-BC212*(1-'P-Parametri'!$B$7*BA212))/(1-'P-Parametri'!$B$6*AZ212)))</f>
        <v>0</v>
      </c>
      <c r="BC212" s="18">
        <f>IF(BM211=0,0,MIN(MAX(AX212,0),(MAX(0,$B$4-IF($A212&gt;='1-Input'!$C$12,'1-Input'!$B$12,0))-BD212)/(1-'P-Parametri'!$B$7*BA212)))</f>
        <v>0</v>
      </c>
      <c r="BD212" s="18">
        <f>IF(BM211=0,0,MIN(MAX(AY212,0),MAX(0,$B$4-IF($A212&gt;='1-Input'!$C$12,'1-Input'!$B$12,0))))</f>
        <v>13000</v>
      </c>
      <c r="BE212" s="18">
        <f t="shared" si="21"/>
        <v>171462.45629287165</v>
      </c>
      <c r="BF212" s="18">
        <f t="shared" si="22"/>
        <v>136977.04914139406</v>
      </c>
      <c r="BG212" s="18">
        <f t="shared" si="23"/>
        <v>80635.392290557342</v>
      </c>
      <c r="BH212" s="18">
        <f t="shared" si="24"/>
        <v>59518.431651087332</v>
      </c>
      <c r="BI212" s="18">
        <f t="shared" si="25"/>
        <v>13153.148831944934</v>
      </c>
      <c r="BJ212" s="18">
        <f t="shared" si="26"/>
        <v>4917.1712103200844</v>
      </c>
      <c r="BK212" s="18">
        <f>IF(BM212=0,BK211,BK211+AN212+BB212*AZ212*'P-Parametri'!$B$6+BC212*BA212*'P-Parametri'!$B$7)</f>
        <v>2404.3697718663984</v>
      </c>
      <c r="BL212" s="18">
        <f t="shared" si="1"/>
        <v>265250.99741537392</v>
      </c>
      <c r="BM212" s="10">
        <f>IF(AND(BM211=1,(BD212+BC212*(1-'P-Parametri'!$B$7*BA212)+BB212*(1-'P-Parametri'!$B$6*AZ212))&gt;=MAX(0,$B$4-IF($A212&gt;='1-Input'!$C$12,'1-Input'!$B$12,0))-0.01),1,0)</f>
        <v>1</v>
      </c>
      <c r="BO212" s="11">
        <f t="shared" si="27"/>
        <v>0.14433520751861945</v>
      </c>
      <c r="BP212" s="11">
        <f t="shared" si="28"/>
        <v>0.19892985105286495</v>
      </c>
      <c r="BQ212" s="18">
        <f>MAX(0,CK211-('P-Parametri'!$B$31*CR211))</f>
        <v>4032.0949528887577</v>
      </c>
      <c r="BR212" s="18">
        <f>MAX(0,CM211-('P-Parametri'!$C$31*CR211))</f>
        <v>0</v>
      </c>
      <c r="BS212" s="18">
        <f>MAX(0,CO211-('P-Parametri'!$D$31*CR211))</f>
        <v>0</v>
      </c>
      <c r="BT212" s="18">
        <f>BQ212*BO212*'P-Parametri'!$B$6+BR212*BP212*'P-Parametri'!$B$6</f>
        <v>151.31304805759402</v>
      </c>
      <c r="BU212" s="18">
        <f t="shared" si="29"/>
        <v>3880.7819048311635</v>
      </c>
      <c r="BV212" s="18">
        <f>MAX(0,('P-Parametri'!$B$31*CR211)-CK211)+MAX(0,('P-Parametri'!$C$31*CR211)-CM211)+MAX(0,('P-Parametri'!$D$31*CR211)-CO211)</f>
        <v>4032.0949528887213</v>
      </c>
      <c r="BW212" s="18">
        <f>CK211-BQ212+IF(BV212&lt;=0,0,BU212*MAX(0,('P-Parametri'!$B$31*CR211)-CK211)/BV212)</f>
        <v>157912.54933112609</v>
      </c>
      <c r="BX212" s="18">
        <f>CL211-BQ212*(1-BO212)+IF(BV212&lt;=0,0,BU212*MAX(0,('P-Parametri'!$B$31*CR211)-CK211)/BV212)</f>
        <v>135120.20875362377</v>
      </c>
      <c r="BY212" s="18">
        <f>CM211-BR212+IF(BV212&lt;=0,0,BU212*MAX(0,('P-Parametri'!$C$31*CR211)-CM211)/BV212)</f>
        <v>78849.030209287041</v>
      </c>
      <c r="BZ212" s="18">
        <f>CN211-BR212*(1-BP212)+IF(BV212&lt;=0,0,BU212*MAX(0,('P-Parametri'!$C$31*CR211)-CM211)/BV212)</f>
        <v>63710.768563329984</v>
      </c>
      <c r="CA212" s="18">
        <f>CO211-BS212+IF(BV212&lt;=0,0,BU212*MAX(0,('P-Parametri'!$D$31*CR211)-CO211)/BV212)</f>
        <v>26274.689630072797</v>
      </c>
      <c r="CB212" s="18">
        <f>CP211-BS212+IF(BV212&lt;=0,0,BU212*MAX(0,('P-Parametri'!$D$31*CR211)-CO211)/BV212)</f>
        <v>17939.192120793607</v>
      </c>
      <c r="CC212" s="18">
        <f t="shared" si="30"/>
        <v>168731.45391090019</v>
      </c>
      <c r="CD212" s="18">
        <f>BY212*(1+'P-Parametri'!$C$29)</f>
        <v>79243.275360333471</v>
      </c>
      <c r="CE212" s="18">
        <f>CA212*(1+'1-Input'!$B$27)</f>
        <v>26180.100747404533</v>
      </c>
      <c r="CF212" s="11">
        <f t="shared" si="31"/>
        <v>0.19919964166861903</v>
      </c>
      <c r="CG212" s="11">
        <f t="shared" si="32"/>
        <v>0.19601040878704692</v>
      </c>
      <c r="CH212" s="18">
        <f>IF(CS211=0,0,(MIN((CC212+CD212+CE212),MAX(0,$B$4-IF($A212&gt;='1-Input'!$C$12,'1-Input'!$B$12,0))/(CC212/(CC212+CD212+CE212)*(1-'P-Parametri'!$B$6*CF212)+CD212/(CC212+CD212+CE212)*(1-'P-Parametri'!$B$6*CG212)+CE212/(CC212+CD212+CE212))))*CC212/(CC212+CD212+CE212))</f>
        <v>8392.1121083278886</v>
      </c>
      <c r="CI212" s="18">
        <f>IF(CS211=0,0,(MIN((CC212+CD212+CE212),MAX(0,$B$4-IF($A212&gt;='1-Input'!$C$12,'1-Input'!$B$12,0))/(CC212/(CC212+CD212+CE212)*(1-'P-Parametri'!$B$6*CF212)+CD212/(CC212+CD212+CE212)*(1-'P-Parametri'!$B$6*CG212)+CE212/(CC212+CD212+CE212))))*CD212/(CC212+CD212+CE212))</f>
        <v>3941.2832358226647</v>
      </c>
      <c r="CJ212" s="18">
        <f>IF(CS211=0,0,(MIN((CC212+CD212+CE212),MAX(0,$B$4-IF($A212&gt;='1-Input'!$C$12,'1-Input'!$B$12,0))/(CC212/(CC212+CD212+CE212)*(1-'P-Parametri'!$B$6*CF212)+CD212/(CC212+CD212+CE212)*(1-'P-Parametri'!$B$6*CG212)+CE212/(CC212+CD212+CE212))))*CE212/(CC212+CD212+CE212))</f>
        <v>1302.1066042348868</v>
      </c>
      <c r="CK212" s="18">
        <f t="shared" si="33"/>
        <v>160339.34180257231</v>
      </c>
      <c r="CL212" s="18">
        <f t="shared" si="34"/>
        <v>128399.80237011767</v>
      </c>
      <c r="CM212" s="18">
        <f t="shared" si="35"/>
        <v>75301.992124510813</v>
      </c>
      <c r="CN212" s="18">
        <f t="shared" si="36"/>
        <v>60542.017865706453</v>
      </c>
      <c r="CO212" s="18">
        <f t="shared" si="37"/>
        <v>24877.994143169646</v>
      </c>
      <c r="CP212" s="18">
        <f t="shared" si="38"/>
        <v>16637.08551655872</v>
      </c>
      <c r="CQ212" s="18">
        <f>IF(CS212=0,CQ211,CQ211+BT212+CH212*CF212*'P-Parametri'!$B$6+CI212*CG212*'P-Parametri'!$B$6)</f>
        <v>6176.3722913777774</v>
      </c>
      <c r="CR212" s="18">
        <f t="shared" si="2"/>
        <v>260519.32807025276</v>
      </c>
      <c r="CS212" s="10">
        <f>IF(AND(CS211=1,(CJ212+CI212*(1-'P-Parametri'!$B$6*CG212)+CH212*(1-'P-Parametri'!$B$6*CF212))&gt;=MAX(0,$B$4-IF($A212&gt;='1-Input'!$C$12,'1-Input'!$B$12,0))-0.01),1,0)</f>
        <v>1</v>
      </c>
    </row>
    <row r="213" spans="1:97">
      <c r="A213" s="10">
        <f>13</f>
        <v>13</v>
      </c>
      <c r="B213" s="11">
        <f>IF(A213=1,'P-Parametri'!$B$30,IF(A213=2,'P-Parametri'!$C$30,'P-Parametri'!$B$29))</f>
        <v>6.8512000000000003E-2</v>
      </c>
      <c r="C213" s="11">
        <f t="shared" si="3"/>
        <v>0.20073785815011369</v>
      </c>
      <c r="D213" s="11">
        <f t="shared" si="4"/>
        <v>0.19579868970766995</v>
      </c>
      <c r="E213" s="18">
        <f>MAX(0,Y212-('P-Parametri'!$B$31*AF212))</f>
        <v>4079.8349246777652</v>
      </c>
      <c r="F213" s="18">
        <f>MAX(0,AA212-('P-Parametri'!$C$31*AF212))</f>
        <v>0</v>
      </c>
      <c r="G213" s="18">
        <f>MAX(0,AC212-('P-Parametri'!$D$31*AF212))</f>
        <v>0</v>
      </c>
      <c r="H213" s="18">
        <f>E213*C213*'P-Parametri'!$B$6+F213*D213*'P-Parametri'!$B$7</f>
        <v>212.93410434031972</v>
      </c>
      <c r="I213" s="18">
        <f t="shared" si="5"/>
        <v>3866.9008203374456</v>
      </c>
      <c r="J213" s="18">
        <f>MAX(0,('P-Parametri'!$B$31*AF212)-Y212)+MAX(0,('P-Parametri'!$C$31*AF212)-AA212)+MAX(0,('P-Parametri'!$D$31*AF212)-AC212)</f>
        <v>4079.8349246777616</v>
      </c>
      <c r="K213" s="18">
        <f>Y212-E213+IF(J213&lt;=0,0,I213*MAX(0,('P-Parametri'!$B$31*AF212)-Y212)/J213)</f>
        <v>158292.48029814998</v>
      </c>
      <c r="L213" s="18">
        <f>Z212-E213*(1-C213)+IF(J213&lt;=0,0,I213*MAX(0,('P-Parametri'!$B$31*AF212)-Y212)/J213)</f>
        <v>126517.18684183029</v>
      </c>
      <c r="M213" s="18">
        <f>AA212-F213+IF(J213&lt;=0,0,I213*MAX(0,('P-Parametri'!$C$31*AF212)-AA212)/J213)</f>
        <v>78995.369806203671</v>
      </c>
      <c r="N213" s="18">
        <f>AB212-F213*(1-D213)+IF(J213&lt;=0,0,I213*MAX(0,('P-Parametri'!$C$31*AF212)-AA212)/J213)</f>
        <v>64064.632643502162</v>
      </c>
      <c r="O213" s="18">
        <f>AC212-G213+IF(J213&lt;=0,0,I213*MAX(0,('P-Parametri'!$D$31*AF212)-AC212)/J213)</f>
        <v>26320.016288222661</v>
      </c>
      <c r="P213" s="18">
        <f>AD212-G213+IF(J213&lt;=0,0,I213*MAX(0,('P-Parametri'!$D$31*AF212)-AC212)/J213)</f>
        <v>18086.758046202816</v>
      </c>
      <c r="Q213" s="18">
        <f t="shared" si="6"/>
        <v>169137.41470833682</v>
      </c>
      <c r="R213" s="18">
        <f>M213*(1+'P-Parametri'!$C$29)</f>
        <v>79390.34665523468</v>
      </c>
      <c r="S213" s="18">
        <f>O213*(1+'1-Input'!$B$27)</f>
        <v>26225.26422958506</v>
      </c>
      <c r="T213" s="11">
        <f t="shared" si="7"/>
        <v>0.25198580657036473</v>
      </c>
      <c r="U213" s="11">
        <f t="shared" si="8"/>
        <v>0.19304253800889534</v>
      </c>
      <c r="V213" s="18">
        <f>IF(AG212=0,0,(MIN((Q213+R213+S213),MAX(0,$B$4-IF($A213&gt;='1-Input'!$C$12,'1-Input'!$B$12,0))/(Q213/(Q213+R213+S213)*(1-'P-Parametri'!$B$6*T213)+R213/(Q213+R213+S213)*(1-'P-Parametri'!$B$7*U213)+S213/(Q213+R213+S213))))*Q213/(Q213+R213+S213))</f>
        <v>8400.1358272267189</v>
      </c>
      <c r="W213" s="18">
        <f>IF(AG212=0,0,(MIN((Q213+R213+S213),MAX(0,$B$4-IF($A213&gt;='1-Input'!$C$12,'1-Input'!$B$12,0))/(Q213/(Q213+R213+S213)*(1-'P-Parametri'!$B$6*T213)+R213/(Q213+R213+S213)*(1-'P-Parametri'!$B$7*U213)+S213/(Q213+R213+S213))))*R213/(Q213+R213+S213))</f>
        <v>3942.8868912569151</v>
      </c>
      <c r="X213" s="18">
        <f>IF(AG212=0,0,(MIN((Q213+R213+S213),MAX(0,$B$4-IF($A213&gt;='1-Input'!$C$12,'1-Input'!$B$12,0))/(Q213/(Q213+R213+S213)*(1-'P-Parametri'!$B$6*T213)+R213/(Q213+R213+S213)*(1-'P-Parametri'!$B$7*U213)+S213/(Q213+R213+S213))))*S213/(Q213+R213+S213))</f>
        <v>1302.4662935359763</v>
      </c>
      <c r="Y213" s="18">
        <f t="shared" si="9"/>
        <v>160737.27888111011</v>
      </c>
      <c r="Z213" s="18">
        <f t="shared" si="10"/>
        <v>120233.76601632792</v>
      </c>
      <c r="AA213" s="18">
        <f t="shared" si="11"/>
        <v>75447.459763977764</v>
      </c>
      <c r="AB213" s="18">
        <f t="shared" si="12"/>
        <v>60882.890644815488</v>
      </c>
      <c r="AC213" s="18">
        <f t="shared" si="13"/>
        <v>24922.797936049083</v>
      </c>
      <c r="AD213" s="18">
        <f t="shared" si="14"/>
        <v>16784.291752666839</v>
      </c>
      <c r="AE213" s="18">
        <f>IF(AG213=0,AE212,AE212+H213+V213*T213*'P-Parametri'!$B$6+W213*U213*'P-Parametri'!$B$7)</f>
        <v>4472.2622776947892</v>
      </c>
      <c r="AF213" s="18">
        <f t="shared" si="0"/>
        <v>261107.53658113696</v>
      </c>
      <c r="AG213" s="10">
        <f>IF(AND(AG212=1,(X213+W213*(1-'P-Parametri'!$B$7*U213)+V213*(1-'P-Parametri'!$B$6*T213))&gt;=MAX(0,$B$4-IF($A213&gt;='1-Input'!$C$12,'1-Input'!$B$12,0))-0.01),1,0)</f>
        <v>1</v>
      </c>
      <c r="AI213" s="11">
        <f t="shared" si="15"/>
        <v>0.20112512031539861</v>
      </c>
      <c r="AJ213" s="11">
        <f t="shared" si="16"/>
        <v>0.26188203516612485</v>
      </c>
      <c r="AK213" s="18">
        <f>MAX(0,BE212-('P-Parametri'!$B$31*BL212))</f>
        <v>12311.857843647304</v>
      </c>
      <c r="AL213" s="18">
        <f>MAX(0,BG212-('P-Parametri'!$C$31*BL212))</f>
        <v>1060.0930659451697</v>
      </c>
      <c r="AM213" s="18">
        <f>MAX(0,BI212-('P-Parametri'!$D$31*BL212))</f>
        <v>0</v>
      </c>
      <c r="AN213" s="18">
        <f>AK213*AI213*'P-Parametri'!$B$6+AL213*AJ213*'P-Parametri'!$B$7</f>
        <v>678.52062762541073</v>
      </c>
      <c r="AO213" s="18">
        <f t="shared" si="17"/>
        <v>12693.430281967063</v>
      </c>
      <c r="AP213" s="18">
        <f>MAX(0,('P-Parametri'!$B$31*BL212)-BE212)+MAX(0,('P-Parametri'!$C$31*BL212)-BG212)+MAX(0,('P-Parametri'!$D$31*BL212)-BI212)</f>
        <v>13371.950909592459</v>
      </c>
      <c r="AQ213" s="18">
        <f>BE212-AK213+IF(AP213&lt;=0,0,AO213*MAX(0,('P-Parametri'!$B$31*BL212)-BE212)/AP213)</f>
        <v>159150.59844922434</v>
      </c>
      <c r="AR213" s="18">
        <f>BF212-AK213*(1-AI213)+IF(AP213&lt;=0,0,AO213*MAX(0,('P-Parametri'!$B$31*BL212)-BE212)/AP213)</f>
        <v>127141.4151878564</v>
      </c>
      <c r="AS213" s="18">
        <f>BG212-AL213+IF(AP213&lt;=0,0,AO213*MAX(0,('P-Parametri'!$C$31*BL212)-BG212)/AP213)</f>
        <v>79575.299224612172</v>
      </c>
      <c r="AT213" s="18">
        <f>BH212-AL213*(1-AJ213)+IF(AP213&lt;=0,0,AO213*MAX(0,('P-Parametri'!$C$31*BL212)-BG212)/AP213)</f>
        <v>58735.957914717379</v>
      </c>
      <c r="AU213" s="18">
        <f>BI212-AM213+IF(AP213&lt;=0,0,AO213*MAX(0,('P-Parametri'!$D$31*BL212)-BI212)/AP213)</f>
        <v>25846.579113911997</v>
      </c>
      <c r="AV213" s="18">
        <f>BJ212-AM213+IF(AP213&lt;=0,0,AO213*MAX(0,('P-Parametri'!$D$31*BL212)-BI212)/AP213)</f>
        <v>17610.601492287147</v>
      </c>
      <c r="AW213" s="18">
        <f t="shared" si="18"/>
        <v>170054.3242501776</v>
      </c>
      <c r="AX213" s="18">
        <f>AS213*(1+'P-Parametri'!$C$29)</f>
        <v>79973.17572073522</v>
      </c>
      <c r="AY213" s="18">
        <f>AU213*(1+'1-Input'!$B$27)</f>
        <v>25753.531429101913</v>
      </c>
      <c r="AZ213" s="11">
        <f t="shared" si="19"/>
        <v>0.25234823784421573</v>
      </c>
      <c r="BA213" s="11">
        <f t="shared" si="20"/>
        <v>0.26555426384689029</v>
      </c>
      <c r="BB213" s="18">
        <f>IF(BM212=0,0,MIN(MAX(AW213,0),(MAX(0,$B$4-IF($A213&gt;='1-Input'!$C$12,'1-Input'!$B$12,0))-BD213-BC213*(1-'P-Parametri'!$B$7*BA213))/(1-'P-Parametri'!$B$6*AZ213)))</f>
        <v>0</v>
      </c>
      <c r="BC213" s="18">
        <f>IF(BM212=0,0,MIN(MAX(AX213,0),(MAX(0,$B$4-IF($A213&gt;='1-Input'!$C$12,'1-Input'!$B$12,0))-BD213)/(1-'P-Parametri'!$B$7*BA213)))</f>
        <v>0</v>
      </c>
      <c r="BD213" s="18">
        <f>IF(BM212=0,0,MIN(MAX(AY213,0),MAX(0,$B$4-IF($A213&gt;='1-Input'!$C$12,'1-Input'!$B$12,0))))</f>
        <v>13000</v>
      </c>
      <c r="BE213" s="18">
        <f t="shared" si="21"/>
        <v>170054.3242501776</v>
      </c>
      <c r="BF213" s="18">
        <f t="shared" si="22"/>
        <v>127141.4151878564</v>
      </c>
      <c r="BG213" s="18">
        <f t="shared" si="23"/>
        <v>79973.17572073522</v>
      </c>
      <c r="BH213" s="18">
        <f t="shared" si="24"/>
        <v>58735.957914717379</v>
      </c>
      <c r="BI213" s="18">
        <f t="shared" si="25"/>
        <v>12753.531429101913</v>
      </c>
      <c r="BJ213" s="18">
        <f t="shared" si="26"/>
        <v>4610.6014922871473</v>
      </c>
      <c r="BK213" s="18">
        <f>IF(BM213=0,BK212,BK212+AN213+BB213*AZ213*'P-Parametri'!$B$6+BC213*BA213*'P-Parametri'!$B$7)</f>
        <v>3082.8903994918091</v>
      </c>
      <c r="BL213" s="18">
        <f t="shared" si="1"/>
        <v>262781.0314000147</v>
      </c>
      <c r="BM213" s="10">
        <f>IF(AND(BM212=1,(BD213+BC213*(1-'P-Parametri'!$B$7*BA213)+BB213*(1-'P-Parametri'!$B$6*AZ213))&gt;=MAX(0,$B$4-IF($A213&gt;='1-Input'!$C$12,'1-Input'!$B$12,0))-0.01),1,0)</f>
        <v>1</v>
      </c>
      <c r="BO213" s="11">
        <f t="shared" si="27"/>
        <v>0.19919964166861906</v>
      </c>
      <c r="BP213" s="11">
        <f t="shared" si="28"/>
        <v>0.19601040878704701</v>
      </c>
      <c r="BQ213" s="18">
        <f>MAX(0,CK212-('P-Parametri'!$B$31*CR212))</f>
        <v>4027.7449604206486</v>
      </c>
      <c r="BR213" s="18">
        <f>MAX(0,CM212-('P-Parametri'!$C$31*CR212))</f>
        <v>0</v>
      </c>
      <c r="BS213" s="18">
        <f>MAX(0,CO212-('P-Parametri'!$D$31*CR212))</f>
        <v>0</v>
      </c>
      <c r="BT213" s="18">
        <f>BQ213*BO213*'P-Parametri'!$B$6+BR213*BP213*'P-Parametri'!$B$6</f>
        <v>208.60459174057866</v>
      </c>
      <c r="BU213" s="18">
        <f t="shared" si="29"/>
        <v>3819.14036868007</v>
      </c>
      <c r="BV213" s="18">
        <f>MAX(0,('P-Parametri'!$B$31*CR212)-CK212)+MAX(0,('P-Parametri'!$C$31*CR212)-CM212)+MAX(0,('P-Parametri'!$D$31*CR212)-CO212)</f>
        <v>4027.7449604206486</v>
      </c>
      <c r="BW213" s="18">
        <f>CK212-BQ213+IF(BV213&lt;=0,0,BU213*MAX(0,('P-Parametri'!$B$31*CR212)-CK212)/BV213)</f>
        <v>156311.59684215166</v>
      </c>
      <c r="BX213" s="18">
        <f>CL212-BQ213*(1-BO213)+IF(BV213&lt;=0,0,BU213*MAX(0,('P-Parametri'!$B$31*CR212)-CK212)/BV213)</f>
        <v>125174.3827625454</v>
      </c>
      <c r="BY213" s="18">
        <f>CM212-BR213+IF(BV213&lt;=0,0,BU213*MAX(0,('P-Parametri'!$C$31*CR212)-CM212)/BV213)</f>
        <v>78007.994351242305</v>
      </c>
      <c r="BZ213" s="18">
        <f>CN212-BR213*(1-BP213)+IF(BV213&lt;=0,0,BU213*MAX(0,('P-Parametri'!$C$31*CR212)-CM212)/BV213)</f>
        <v>63248.020092437946</v>
      </c>
      <c r="CA213" s="18">
        <f>CO212-BS213+IF(BV213&lt;=0,0,BU213*MAX(0,('P-Parametri'!$D$31*CR212)-CO212)/BV213)</f>
        <v>25991.132285118223</v>
      </c>
      <c r="CB213" s="18">
        <f>CP212-BS213+IF(BV213&lt;=0,0,BU213*MAX(0,('P-Parametri'!$D$31*CR212)-CO212)/BV213)</f>
        <v>17750.223658507297</v>
      </c>
      <c r="CC213" s="18">
        <f t="shared" si="30"/>
        <v>167020.81696500114</v>
      </c>
      <c r="CD213" s="18">
        <f>BY213*(1+'P-Parametri'!$C$29)</f>
        <v>78398.034322998516</v>
      </c>
      <c r="CE213" s="18">
        <f>CA213*(1+'1-Input'!$B$27)</f>
        <v>25897.564208891796</v>
      </c>
      <c r="CF213" s="11">
        <f t="shared" si="31"/>
        <v>0.25054621910527819</v>
      </c>
      <c r="CG213" s="11">
        <f t="shared" si="32"/>
        <v>0.1932448225441824</v>
      </c>
      <c r="CH213" s="18">
        <f>IF(CS212=0,0,(MIN((CC213+CD213+CE213),MAX(0,$B$4-IF($A213&gt;='1-Input'!$C$12,'1-Input'!$B$12,0))/(CC213/(CC213+CD213+CE213)*(1-'P-Parametri'!$B$6*CF213)+CD213/(CC213+CD213+CE213)*(1-'P-Parametri'!$B$6*CG213)+CE213/(CC213+CD213+CE213))))*CC213/(CC213+CD213+CE213))</f>
        <v>8465.0804948704044</v>
      </c>
      <c r="CI213" s="18">
        <f>IF(CS212=0,0,(MIN((CC213+CD213+CE213),MAX(0,$B$4-IF($A213&gt;='1-Input'!$C$12,'1-Input'!$B$12,0))/(CC213/(CC213+CD213+CE213)*(1-'P-Parametri'!$B$6*CF213)+CD213/(CC213+CD213+CE213)*(1-'P-Parametri'!$B$6*CG213)+CE213/(CC213+CD213+CE213))))*CD213/(CC213+CD213+CE213))</f>
        <v>3973.4308767203602</v>
      </c>
      <c r="CJ213" s="18">
        <f>IF(CS212=0,0,(MIN((CC213+CD213+CE213),MAX(0,$B$4-IF($A213&gt;='1-Input'!$C$12,'1-Input'!$B$12,0))/(CC213/(CC213+CD213+CE213)*(1-'P-Parametri'!$B$6*CF213)+CD213/(CC213+CD213+CE213)*(1-'P-Parametri'!$B$6*CG213)+CE213/(CC213+CD213+CE213))))*CE213/(CC213+CD213+CE213))</f>
        <v>1312.5607312487398</v>
      </c>
      <c r="CK213" s="18">
        <f t="shared" si="33"/>
        <v>158555.73647013074</v>
      </c>
      <c r="CL213" s="18">
        <f t="shared" si="34"/>
        <v>118830.19618008661</v>
      </c>
      <c r="CM213" s="18">
        <f t="shared" si="35"/>
        <v>74424.603446278154</v>
      </c>
      <c r="CN213" s="18">
        <f t="shared" si="36"/>
        <v>60042.434160380988</v>
      </c>
      <c r="CO213" s="18">
        <f t="shared" si="37"/>
        <v>24585.003477643055</v>
      </c>
      <c r="CP213" s="18">
        <f t="shared" si="38"/>
        <v>16437.662927258556</v>
      </c>
      <c r="CQ213" s="18">
        <f>IF(CS213=0,CQ212,CQ212+BT213+CH213*CF213*'P-Parametri'!$B$6+CI213*CG213*'P-Parametri'!$B$6)</f>
        <v>7136.0489859578611</v>
      </c>
      <c r="CR213" s="18">
        <f t="shared" si="2"/>
        <v>257565.34339405195</v>
      </c>
      <c r="CS213" s="10">
        <f>IF(AND(CS212=1,(CJ213+CI213*(1-'P-Parametri'!$B$6*CG213)+CH213*(1-'P-Parametri'!$B$6*CF213))&gt;=MAX(0,$B$4-IF($A213&gt;='1-Input'!$C$12,'1-Input'!$B$12,0))-0.01),1,0)</f>
        <v>1</v>
      </c>
    </row>
    <row r="214" spans="1:97">
      <c r="A214" s="10">
        <f>14</f>
        <v>14</v>
      </c>
      <c r="B214" s="11">
        <f>IF(A214=1,'P-Parametri'!$B$30,IF(A214=2,'P-Parametri'!$C$30,'P-Parametri'!$B$29))</f>
        <v>6.8512000000000003E-2</v>
      </c>
      <c r="C214" s="11">
        <f t="shared" si="3"/>
        <v>0.25198580657036473</v>
      </c>
      <c r="D214" s="11">
        <f t="shared" si="4"/>
        <v>0.19304253800889529</v>
      </c>
      <c r="E214" s="18">
        <f>MAX(0,Y213-('P-Parametri'!$B$31*AF213))</f>
        <v>4072.756932427932</v>
      </c>
      <c r="F214" s="18">
        <f>MAX(0,AA213-('P-Parametri'!$C$31*AF213))</f>
        <v>0</v>
      </c>
      <c r="G214" s="18">
        <f>MAX(0,AC213-('P-Parametri'!$D$31*AF213))</f>
        <v>0</v>
      </c>
      <c r="H214" s="18">
        <f>E214*C214*'P-Parametri'!$B$6+F214*D214*'P-Parametri'!$B$7</f>
        <v>266.83200455155321</v>
      </c>
      <c r="I214" s="18">
        <f t="shared" si="5"/>
        <v>3805.9249278763787</v>
      </c>
      <c r="J214" s="18">
        <f>MAX(0,('P-Parametri'!$B$31*AF213)-Y213)+MAX(0,('P-Parametri'!$C$31*AF213)-AA213)+MAX(0,('P-Parametri'!$D$31*AF213)-AC213)</f>
        <v>4072.7569324279357</v>
      </c>
      <c r="K214" s="18">
        <f>Y213-E214+IF(J214&lt;=0,0,I214*MAX(0,('P-Parametri'!$B$31*AF213)-Y213)/J214)</f>
        <v>156664.52194868217</v>
      </c>
      <c r="L214" s="18">
        <f>Z213-E214*(1-C214)+IF(J214&lt;=0,0,I214*MAX(0,('P-Parametri'!$B$31*AF213)-Y213)/J214)</f>
        <v>117187.28602448289</v>
      </c>
      <c r="M214" s="18">
        <f>AA213-F214+IF(J214&lt;=0,0,I214*MAX(0,('P-Parametri'!$C$31*AF213)-AA213)/J214)</f>
        <v>78143.259444796058</v>
      </c>
      <c r="N214" s="18">
        <f>AB213-F214*(1-D214)+IF(J214&lt;=0,0,I214*MAX(0,('P-Parametri'!$C$31*AF213)-AA213)/J214)</f>
        <v>63578.690325633783</v>
      </c>
      <c r="O214" s="18">
        <f>AC213-G214+IF(J214&lt;=0,0,I214*MAX(0,('P-Parametri'!$D$31*AF213)-AC213)/J214)</f>
        <v>26032.923183107167</v>
      </c>
      <c r="P214" s="18">
        <f>AD213-G214+IF(J214&lt;=0,0,I214*MAX(0,('P-Parametri'!$D$31*AF213)-AC213)/J214)</f>
        <v>17894.416999724926</v>
      </c>
      <c r="Q214" s="18">
        <f t="shared" si="6"/>
        <v>167397.92167643027</v>
      </c>
      <c r="R214" s="18">
        <f>M214*(1+'P-Parametri'!$C$29)</f>
        <v>78533.975742020033</v>
      </c>
      <c r="S214" s="18">
        <f>O214*(1+'1-Input'!$B$27)</f>
        <v>25939.204659647981</v>
      </c>
      <c r="T214" s="11">
        <f t="shared" si="7"/>
        <v>0.29994778399340827</v>
      </c>
      <c r="U214" s="11">
        <f t="shared" si="8"/>
        <v>0.19043076929549033</v>
      </c>
      <c r="V214" s="18">
        <f>IF(AG213=0,0,(MIN((Q214+R214+S214),MAX(0,$B$4-IF($A214&gt;='1-Input'!$C$12,'1-Input'!$B$12,0))/(Q214/(Q214+R214+S214)*(1-'P-Parametri'!$B$6*T214)+R214/(Q214+R214+S214)*(1-'P-Parametri'!$B$7*U214)+S214/(Q214+R214+S214))))*Q214/(Q214+R214+S214))</f>
        <v>8469.3481823538314</v>
      </c>
      <c r="W214" s="18">
        <f>IF(AG213=0,0,(MIN((Q214+R214+S214),MAX(0,$B$4-IF($A214&gt;='1-Input'!$C$12,'1-Input'!$B$12,0))/(Q214/(Q214+R214+S214)*(1-'P-Parametri'!$B$6*T214)+R214/(Q214+R214+S214)*(1-'P-Parametri'!$B$7*U214)+S214/(Q214+R214+S214))))*R214/(Q214+R214+S214))</f>
        <v>3973.3562880748013</v>
      </c>
      <c r="X214" s="18">
        <f>IF(AG213=0,0,(MIN((Q214+R214+S214),MAX(0,$B$4-IF($A214&gt;='1-Input'!$C$12,'1-Input'!$B$12,0))/(Q214/(Q214+R214+S214)*(1-'P-Parametri'!$B$6*T214)+R214/(Q214+R214+S214)*(1-'P-Parametri'!$B$7*U214)+S214/(Q214+R214+S214))))*S214/(Q214+R214+S214))</f>
        <v>1312.3708683823277</v>
      </c>
      <c r="Y214" s="18">
        <f t="shared" si="9"/>
        <v>158928.57349407644</v>
      </c>
      <c r="Z214" s="18">
        <f t="shared" si="10"/>
        <v>111258.30006129469</v>
      </c>
      <c r="AA214" s="18">
        <f t="shared" si="11"/>
        <v>74560.619453945226</v>
      </c>
      <c r="AB214" s="18">
        <f t="shared" si="12"/>
        <v>60361.983332182142</v>
      </c>
      <c r="AC214" s="18">
        <f t="shared" si="13"/>
        <v>24626.833791265653</v>
      </c>
      <c r="AD214" s="18">
        <f t="shared" si="14"/>
        <v>16582.046131342599</v>
      </c>
      <c r="AE214" s="18">
        <f>IF(AG214=0,AE213,AE213+H214+V214*T214*'P-Parametri'!$B$6+W214*U214*'P-Parametri'!$B$7)</f>
        <v>5494.1696210573009</v>
      </c>
      <c r="AF214" s="18">
        <f t="shared" si="0"/>
        <v>258116.02673928731</v>
      </c>
      <c r="AG214" s="10">
        <f>IF(AND(AG213=1,(X214+W214*(1-'P-Parametri'!$B$7*U214)+V214*(1-'P-Parametri'!$B$6*T214))&gt;=MAX(0,$B$4-IF($A214&gt;='1-Input'!$C$12,'1-Input'!$B$12,0))-0.01),1,0)</f>
        <v>1</v>
      </c>
      <c r="AI214" s="11">
        <f t="shared" si="15"/>
        <v>0.25234823784421573</v>
      </c>
      <c r="AJ214" s="11">
        <f t="shared" si="16"/>
        <v>0.26555426384689029</v>
      </c>
      <c r="AK214" s="18">
        <f>MAX(0,BE213-('P-Parametri'!$B$31*BL213))</f>
        <v>12385.705410168768</v>
      </c>
      <c r="AL214" s="18">
        <f>MAX(0,BG213-('P-Parametri'!$C$31*BL213))</f>
        <v>1138.866300730806</v>
      </c>
      <c r="AM214" s="18">
        <f>MAX(0,BI213-('P-Parametri'!$D$31*BL213))</f>
        <v>0</v>
      </c>
      <c r="AN214" s="18">
        <f>AK214*AI214*'P-Parametri'!$B$6+AL214*AJ214*'P-Parametri'!$B$7</f>
        <v>850.43669328937608</v>
      </c>
      <c r="AO214" s="18">
        <f t="shared" si="17"/>
        <v>12674.135017610199</v>
      </c>
      <c r="AP214" s="18">
        <f>MAX(0,('P-Parametri'!$B$31*BL213)-BE213)+MAX(0,('P-Parametri'!$C$31*BL213)-BG213)+MAX(0,('P-Parametri'!$D$31*BL213)-BI213)</f>
        <v>13524.57171089956</v>
      </c>
      <c r="AQ214" s="18">
        <f>BE213-AK214+IF(AP214&lt;=0,0,AO214*MAX(0,('P-Parametri'!$B$31*BL213)-BE213)/AP214)</f>
        <v>157668.61884000883</v>
      </c>
      <c r="AR214" s="18">
        <f>BF213-AK214*(1-AI214)+IF(AP214&lt;=0,0,AO214*MAX(0,('P-Parametri'!$B$31*BL213)-BE213)/AP214)</f>
        <v>117881.22071240129</v>
      </c>
      <c r="AS214" s="18">
        <f>BG213-AL214+IF(AP214&lt;=0,0,AO214*MAX(0,('P-Parametri'!$C$31*BL213)-BG213)/AP214)</f>
        <v>78834.309420004414</v>
      </c>
      <c r="AT214" s="18">
        <f>BH213-AL214*(1-AJ214)+IF(AP214&lt;=0,0,AO214*MAX(0,('P-Parametri'!$C$31*BL213)-BG213)/AP214)</f>
        <v>57899.52241609717</v>
      </c>
      <c r="AU214" s="18">
        <f>BI213-AM214+IF(AP214&lt;=0,0,AO214*MAX(0,('P-Parametri'!$D$31*BL213)-BI213)/AP214)</f>
        <v>25427.666446712112</v>
      </c>
      <c r="AV214" s="18">
        <f>BJ213-AM214+IF(AP214&lt;=0,0,AO214*MAX(0,('P-Parametri'!$D$31*BL213)-BI213)/AP214)</f>
        <v>17284.736509897346</v>
      </c>
      <c r="AW214" s="18">
        <f t="shared" si="18"/>
        <v>168470.81125397549</v>
      </c>
      <c r="AX214" s="18">
        <f>AS214*(1+'P-Parametri'!$C$29)</f>
        <v>79228.480967104435</v>
      </c>
      <c r="AY214" s="18">
        <f>AU214*(1+'1-Input'!$B$27)</f>
        <v>25336.126847503947</v>
      </c>
      <c r="AZ214" s="11">
        <f t="shared" si="19"/>
        <v>0.30028697650959052</v>
      </c>
      <c r="BA214" s="11">
        <f t="shared" si="20"/>
        <v>0.2692082227332242</v>
      </c>
      <c r="BB214" s="18">
        <f>IF(BM213=0,0,MIN(MAX(AW214,0),(MAX(0,$B$4-IF($A214&gt;='1-Input'!$C$12,'1-Input'!$B$12,0))-BD214-BC214*(1-'P-Parametri'!$B$7*BA214))/(1-'P-Parametri'!$B$6*AZ214)))</f>
        <v>0</v>
      </c>
      <c r="BC214" s="18">
        <f>IF(BM213=0,0,MIN(MAX(AX214,0),(MAX(0,$B$4-IF($A214&gt;='1-Input'!$C$12,'1-Input'!$B$12,0))-BD214)/(1-'P-Parametri'!$B$7*BA214)))</f>
        <v>0</v>
      </c>
      <c r="BD214" s="18">
        <f>IF(BM213=0,0,MIN(MAX(AY214,0),MAX(0,$B$4-IF($A214&gt;='1-Input'!$C$12,'1-Input'!$B$12,0))))</f>
        <v>13000</v>
      </c>
      <c r="BE214" s="18">
        <f t="shared" si="21"/>
        <v>168470.81125397549</v>
      </c>
      <c r="BF214" s="18">
        <f t="shared" si="22"/>
        <v>117881.22071240129</v>
      </c>
      <c r="BG214" s="18">
        <f t="shared" si="23"/>
        <v>79228.480967104435</v>
      </c>
      <c r="BH214" s="18">
        <f t="shared" si="24"/>
        <v>57899.52241609717</v>
      </c>
      <c r="BI214" s="18">
        <f t="shared" si="25"/>
        <v>12336.126847503947</v>
      </c>
      <c r="BJ214" s="18">
        <f t="shared" si="26"/>
        <v>4284.736509897346</v>
      </c>
      <c r="BK214" s="18">
        <f>IF(BM214=0,BK213,BK213+AN214+BB214*AZ214*'P-Parametri'!$B$6+BC214*BA214*'P-Parametri'!$B$7)</f>
        <v>3933.3270927811855</v>
      </c>
      <c r="BL214" s="18">
        <f t="shared" si="1"/>
        <v>260035.41906858387</v>
      </c>
      <c r="BM214" s="10">
        <f>IF(AND(BM213=1,(BD214+BC214*(1-'P-Parametri'!$B$7*BA214)+BB214*(1-'P-Parametri'!$B$6*AZ214))&gt;=MAX(0,$B$4-IF($A214&gt;='1-Input'!$C$12,'1-Input'!$B$12,0))-0.01),1,0)</f>
        <v>1</v>
      </c>
      <c r="BO214" s="11">
        <f t="shared" si="27"/>
        <v>0.25054621910527819</v>
      </c>
      <c r="BP214" s="11">
        <f t="shared" si="28"/>
        <v>0.19324482254418238</v>
      </c>
      <c r="BQ214" s="18">
        <f>MAX(0,CK213-('P-Parametri'!$B$31*CR213))</f>
        <v>4016.530433699576</v>
      </c>
      <c r="BR214" s="18">
        <f>MAX(0,CM213-('P-Parametri'!$C$31*CR213))</f>
        <v>0</v>
      </c>
      <c r="BS214" s="18">
        <f>MAX(0,CO213-('P-Parametri'!$D$31*CR213))</f>
        <v>0</v>
      </c>
      <c r="BT214" s="18">
        <f>BQ214*BO214*'P-Parametri'!$B$6+BR214*BP214*'P-Parametri'!$B$6</f>
        <v>261.64489366202514</v>
      </c>
      <c r="BU214" s="18">
        <f t="shared" si="29"/>
        <v>3754.885540037551</v>
      </c>
      <c r="BV214" s="18">
        <f>MAX(0,('P-Parametri'!$B$31*CR213)-CK213)+MAX(0,('P-Parametri'!$C$31*CR213)-CM213)+MAX(0,('P-Parametri'!$D$31*CR213)-CO213)</f>
        <v>4016.5304336995687</v>
      </c>
      <c r="BW214" s="18">
        <f>CK213-BQ214+IF(BV214&lt;=0,0,BU214*MAX(0,('P-Parametri'!$B$31*CR213)-CK213)/BV214)</f>
        <v>154539.20603643116</v>
      </c>
      <c r="BX214" s="18">
        <f>CL213-BQ214*(1-BO214)+IF(BV214&lt;=0,0,BU214*MAX(0,('P-Parametri'!$B$31*CR213)-CK213)/BV214)</f>
        <v>115819.99226047174</v>
      </c>
      <c r="BY214" s="18">
        <f>CM213-BR214+IF(BV214&lt;=0,0,BU214*MAX(0,('P-Parametri'!$C$31*CR213)-CM213)/BV214)</f>
        <v>77084.274007828266</v>
      </c>
      <c r="BZ214" s="18">
        <f>CN213-BR214*(1-BP214)+IF(BV214&lt;=0,0,BU214*MAX(0,('P-Parametri'!$C$31*CR213)-CM213)/BV214)</f>
        <v>62702.104721931108</v>
      </c>
      <c r="CA214" s="18">
        <f>CO213-BS214+IF(BV214&lt;=0,0,BU214*MAX(0,('P-Parametri'!$D$31*CR213)-CO213)/BV214)</f>
        <v>25680.218456130489</v>
      </c>
      <c r="CB214" s="18">
        <f>CP213-BS214+IF(BV214&lt;=0,0,BU214*MAX(0,('P-Parametri'!$D$31*CR213)-CO213)/BV214)</f>
        <v>17532.877905745991</v>
      </c>
      <c r="CC214" s="18">
        <f t="shared" si="30"/>
        <v>165126.99612039913</v>
      </c>
      <c r="CD214" s="18">
        <f>BY214*(1+'P-Parametri'!$C$29)</f>
        <v>77469.695377867392</v>
      </c>
      <c r="CE214" s="18">
        <f>CA214*(1+'1-Input'!$B$27)</f>
        <v>25587.76966968842</v>
      </c>
      <c r="CF214" s="11">
        <f t="shared" si="31"/>
        <v>0.29860050154352802</v>
      </c>
      <c r="CG214" s="11">
        <f t="shared" si="32"/>
        <v>0.19062409609209968</v>
      </c>
      <c r="CH214" s="18">
        <f>IF(CS213=0,0,(MIN((CC214+CD214+CE214),MAX(0,$B$4-IF($A214&gt;='1-Input'!$C$12,'1-Input'!$B$12,0))/(CC214/(CC214+CD214+CE214)*(1-'P-Parametri'!$B$6*CF214)+CD214/(CC214+CD214+CE214)*(1-'P-Parametri'!$B$6*CG214)+CE214/(CC214+CD214+CE214))))*CC214/(CC214+CD214+CE214))</f>
        <v>8534.5408258321222</v>
      </c>
      <c r="CI214" s="18">
        <f>IF(CS213=0,0,(MIN((CC214+CD214+CE214),MAX(0,$B$4-IF($A214&gt;='1-Input'!$C$12,'1-Input'!$B$12,0))/(CC214/(CC214+CD214+CE214)*(1-'P-Parametri'!$B$6*CF214)+CD214/(CC214+CD214+CE214)*(1-'P-Parametri'!$B$6*CG214)+CE214/(CC214+CD214+CE214))))*CD214/(CC214+CD214+CE214))</f>
        <v>4003.9987010065233</v>
      </c>
      <c r="CJ214" s="18">
        <f>IF(CS213=0,0,(MIN((CC214+CD214+CE214),MAX(0,$B$4-IF($A214&gt;='1-Input'!$C$12,'1-Input'!$B$12,0))/(CC214/(CC214+CD214+CE214)*(1-'P-Parametri'!$B$6*CF214)+CD214/(CC214+CD214+CE214)*(1-'P-Parametri'!$B$6*CG214)+CE214/(CC214+CD214+CE214))))*CE214/(CC214+CD214+CE214))</f>
        <v>1322.496442245684</v>
      </c>
      <c r="CK214" s="18">
        <f t="shared" si="33"/>
        <v>156592.45529456701</v>
      </c>
      <c r="CL214" s="18">
        <f t="shared" si="34"/>
        <v>109833.86960567681</v>
      </c>
      <c r="CM214" s="18">
        <f t="shared" si="35"/>
        <v>73465.696676860869</v>
      </c>
      <c r="CN214" s="18">
        <f t="shared" si="36"/>
        <v>59461.364654057892</v>
      </c>
      <c r="CO214" s="18">
        <f t="shared" si="37"/>
        <v>24265.273227442736</v>
      </c>
      <c r="CP214" s="18">
        <f t="shared" si="38"/>
        <v>16210.381463500307</v>
      </c>
      <c r="CQ214" s="18">
        <f>IF(CS214=0,CQ213,CQ213+BT214+CH214*CF214*'P-Parametri'!$B$6+CI214*CG214*'P-Parametri'!$B$6)</f>
        <v>8258.7298487042153</v>
      </c>
      <c r="CR214" s="18">
        <f t="shared" si="2"/>
        <v>254323.42519887062</v>
      </c>
      <c r="CS214" s="10">
        <f>IF(AND(CS213=1,(CJ214+CI214*(1-'P-Parametri'!$B$6*CG214)+CH214*(1-'P-Parametri'!$B$6*CF214))&gt;=MAX(0,$B$4-IF($A214&gt;='1-Input'!$C$12,'1-Input'!$B$12,0))-0.01),1,0)</f>
        <v>1</v>
      </c>
    </row>
    <row r="215" spans="1:97">
      <c r="A215" s="10">
        <f>15</f>
        <v>15</v>
      </c>
      <c r="B215" s="11">
        <f>IF(A215=1,'P-Parametri'!$B$30,IF(A215=2,'P-Parametri'!$C$30,'P-Parametri'!$B$29))</f>
        <v>6.8512000000000003E-2</v>
      </c>
      <c r="C215" s="11">
        <f t="shared" si="3"/>
        <v>0.29994778399340821</v>
      </c>
      <c r="D215" s="11">
        <f t="shared" si="4"/>
        <v>0.19043076929549022</v>
      </c>
      <c r="E215" s="18">
        <f>MAX(0,Y214-('P-Parametri'!$B$31*AF214))</f>
        <v>4058.9574505040655</v>
      </c>
      <c r="F215" s="18">
        <f>MAX(0,AA214-('P-Parametri'!$C$31*AF214))</f>
        <v>0</v>
      </c>
      <c r="G215" s="18">
        <f>MAX(0,AC214-('P-Parametri'!$D$31*AF214))</f>
        <v>0</v>
      </c>
      <c r="H215" s="18">
        <f>E215*C215*'P-Parametri'!$B$6+F215*D215*'P-Parametri'!$B$7</f>
        <v>316.54357607657937</v>
      </c>
      <c r="I215" s="18">
        <f t="shared" si="5"/>
        <v>3742.413874427486</v>
      </c>
      <c r="J215" s="18">
        <f>MAX(0,('P-Parametri'!$B$31*AF214)-Y214)+MAX(0,('P-Parametri'!$C$31*AF214)-AA214)+MAX(0,('P-Parametri'!$D$31*AF214)-AC214)</f>
        <v>4058.95745050404</v>
      </c>
      <c r="K215" s="18">
        <f>Y214-E215+IF(J215&lt;=0,0,I215*MAX(0,('P-Parametri'!$B$31*AF214)-Y214)/J215)</f>
        <v>154869.61604357237</v>
      </c>
      <c r="L215" s="18">
        <f>Z214-E215*(1-C215)+IF(J215&lt;=0,0,I215*MAX(0,('P-Parametri'!$B$31*AF214)-Y214)/J215)</f>
        <v>108416.81790339286</v>
      </c>
      <c r="M215" s="18">
        <f>AA214-F215+IF(J215&lt;=0,0,I215*MAX(0,('P-Parametri'!$C$31*AF214)-AA214)/J215)</f>
        <v>77210.660333943408</v>
      </c>
      <c r="N215" s="18">
        <f>AB214-F215*(1-D215)+IF(J215&lt;=0,0,I215*MAX(0,('P-Parametri'!$C$31*AF214)-AA214)/J215)</f>
        <v>63012.024212180317</v>
      </c>
      <c r="O215" s="18">
        <f>AC214-G215+IF(J215&lt;=0,0,I215*MAX(0,('P-Parametri'!$D$31*AF214)-AC214)/J215)</f>
        <v>25719.206785694965</v>
      </c>
      <c r="P215" s="18">
        <f>AD214-G215+IF(J215&lt;=0,0,I215*MAX(0,('P-Parametri'!$D$31*AF214)-AC214)/J215)</f>
        <v>17674.41912577191</v>
      </c>
      <c r="Q215" s="18">
        <f t="shared" si="6"/>
        <v>165480.04317794958</v>
      </c>
      <c r="R215" s="18">
        <f>M215*(1+'P-Parametri'!$C$29)</f>
        <v>77596.713635613123</v>
      </c>
      <c r="S215" s="18">
        <f>O215*(1+'1-Input'!$B$27)</f>
        <v>25626.617641266461</v>
      </c>
      <c r="T215" s="11">
        <f t="shared" si="7"/>
        <v>0.3448344838367825</v>
      </c>
      <c r="U215" s="11">
        <f t="shared" si="8"/>
        <v>0.18795498855687545</v>
      </c>
      <c r="V215" s="18">
        <f>IF(AG214=0,0,(MIN((Q215+R215+S215),MAX(0,$B$4-IF($A215&gt;='1-Input'!$C$12,'1-Input'!$B$12,0))/(Q215/(Q215+R215+S215)*(1-'P-Parametri'!$B$6*T215)+R215/(Q215+R215+S215)*(1-'P-Parametri'!$B$7*U215)+S215/(Q215+R215+S215))))*Q215/(Q215+R215+S215))</f>
        <v>8535.1837143688499</v>
      </c>
      <c r="W215" s="18">
        <f>IF(AG214=0,0,(MIN((Q215+R215+S215),MAX(0,$B$4-IF($A215&gt;='1-Input'!$C$12,'1-Input'!$B$12,0))/(Q215/(Q215+R215+S215)*(1-'P-Parametri'!$B$6*T215)+R215/(Q215+R215+S215)*(1-'P-Parametri'!$B$7*U215)+S215/(Q215+R215+S215))))*R215/(Q215+R215+S215))</f>
        <v>4002.3086397132456</v>
      </c>
      <c r="X215" s="18">
        <f>IF(AG214=0,0,(MIN((Q215+R215+S215),MAX(0,$B$4-IF($A215&gt;='1-Input'!$C$12,'1-Input'!$B$12,0))/(Q215/(Q215+R215+S215)*(1-'P-Parametri'!$B$6*T215)+R215/(Q215+R215+S215)*(1-'P-Parametri'!$B$7*U215)+S215/(Q215+R215+S215))))*S215/(Q215+R215+S215))</f>
        <v>1321.7780545952912</v>
      </c>
      <c r="Y215" s="18">
        <f t="shared" si="9"/>
        <v>156944.85946358074</v>
      </c>
      <c r="Z215" s="18">
        <f t="shared" si="10"/>
        <v>102824.85985962051</v>
      </c>
      <c r="AA215" s="18">
        <f t="shared" si="11"/>
        <v>73594.40499589988</v>
      </c>
      <c r="AB215" s="18">
        <f t="shared" si="12"/>
        <v>59761.969447045456</v>
      </c>
      <c r="AC215" s="18">
        <f t="shared" si="13"/>
        <v>24304.839586671169</v>
      </c>
      <c r="AD215" s="18">
        <f t="shared" si="14"/>
        <v>16352.641071176618</v>
      </c>
      <c r="AE215" s="18">
        <f>IF(AG215=0,AE214,AE214+H215+V215*T215*'P-Parametri'!$B$6+W215*U215*'P-Parametri'!$B$7)</f>
        <v>6669.9836058112678</v>
      </c>
      <c r="AF215" s="18">
        <f t="shared" si="0"/>
        <v>254844.1040461518</v>
      </c>
      <c r="AG215" s="10">
        <f>IF(AND(AG214=1,(X215+W215*(1-'P-Parametri'!$B$7*U215)+V215*(1-'P-Parametri'!$B$6*T215))&gt;=MAX(0,$B$4-IF($A215&gt;='1-Input'!$C$12,'1-Input'!$B$12,0))-0.01),1,0)</f>
        <v>1</v>
      </c>
      <c r="AI215" s="11">
        <f t="shared" si="15"/>
        <v>0.30028697650959052</v>
      </c>
      <c r="AJ215" s="11">
        <f t="shared" si="16"/>
        <v>0.2692082227332242</v>
      </c>
      <c r="AK215" s="18">
        <f>MAX(0,BE214-('P-Parametri'!$B$31*BL214))</f>
        <v>12449.559812825173</v>
      </c>
      <c r="AL215" s="18">
        <f>MAX(0,BG214-('P-Parametri'!$C$31*BL214))</f>
        <v>1217.8552465292742</v>
      </c>
      <c r="AM215" s="18">
        <f>MAX(0,BI214-('P-Parametri'!$D$31*BL214))</f>
        <v>0</v>
      </c>
      <c r="AN215" s="18">
        <f>AK215*AI215*'P-Parametri'!$B$6+AL215*AJ215*'P-Parametri'!$B$7</f>
        <v>1012.9766563258893</v>
      </c>
      <c r="AO215" s="18">
        <f t="shared" si="17"/>
        <v>12654.438403028558</v>
      </c>
      <c r="AP215" s="18">
        <f>MAX(0,('P-Parametri'!$B$31*BL214)-BE214)+MAX(0,('P-Parametri'!$C$31*BL214)-BG214)+MAX(0,('P-Parametri'!$D$31*BL214)-BI214)</f>
        <v>13667.41505935444</v>
      </c>
      <c r="AQ215" s="18">
        <f>BE214-AK215+IF(AP215&lt;=0,0,AO215*MAX(0,('P-Parametri'!$B$31*BL214)-BE214)/AP215)</f>
        <v>156021.25144115032</v>
      </c>
      <c r="AR215" s="18">
        <f>BF214-AK215*(1-AI215)+IF(AP215&lt;=0,0,AO215*MAX(0,('P-Parametri'!$B$31*BL214)-BE214)/AP215)</f>
        <v>109170.10157464469</v>
      </c>
      <c r="AS215" s="18">
        <f>BG214-AL215+IF(AP215&lt;=0,0,AO215*MAX(0,('P-Parametri'!$C$31*BL214)-BG214)/AP215)</f>
        <v>78010.625720575161</v>
      </c>
      <c r="AT215" s="18">
        <f>BH214-AL215*(1-AJ215)+IF(AP215&lt;=0,0,AO215*MAX(0,('P-Parametri'!$C$31*BL214)-BG214)/AP215)</f>
        <v>57009.523816032372</v>
      </c>
      <c r="AU215" s="18">
        <f>BI214-AM215+IF(AP215&lt;=0,0,AO215*MAX(0,('P-Parametri'!$D$31*BL214)-BI214)/AP215)</f>
        <v>24990.565250532505</v>
      </c>
      <c r="AV215" s="18">
        <f>BJ214-AM215+IF(AP215&lt;=0,0,AO215*MAX(0,('P-Parametri'!$D$31*BL214)-BI214)/AP215)</f>
        <v>16939.174912925904</v>
      </c>
      <c r="AW215" s="18">
        <f t="shared" si="18"/>
        <v>166710.5794198864</v>
      </c>
      <c r="AX215" s="18">
        <f>AS215*(1+'P-Parametri'!$C$29)</f>
        <v>78400.678849178032</v>
      </c>
      <c r="AY215" s="18">
        <f>AU215*(1+'1-Input'!$B$27)</f>
        <v>24900.599215630587</v>
      </c>
      <c r="AZ215" s="11">
        <f t="shared" si="19"/>
        <v>0.34515192764291885</v>
      </c>
      <c r="BA215" s="11">
        <f t="shared" si="20"/>
        <v>0.27284400271962606</v>
      </c>
      <c r="BB215" s="18">
        <f>IF(BM214=0,0,MIN(MAX(AW215,0),(MAX(0,$B$4-IF($A215&gt;='1-Input'!$C$12,'1-Input'!$B$12,0))-BD215-BC215*(1-'P-Parametri'!$B$7*BA215))/(1-'P-Parametri'!$B$6*AZ215)))</f>
        <v>0</v>
      </c>
      <c r="BC215" s="18">
        <f>IF(BM214=0,0,MIN(MAX(AX215,0),(MAX(0,$B$4-IF($A215&gt;='1-Input'!$C$12,'1-Input'!$B$12,0))-BD215)/(1-'P-Parametri'!$B$7*BA215)))</f>
        <v>0</v>
      </c>
      <c r="BD215" s="18">
        <f>IF(BM214=0,0,MIN(MAX(AY215,0),MAX(0,$B$4-IF($A215&gt;='1-Input'!$C$12,'1-Input'!$B$12,0))))</f>
        <v>13000</v>
      </c>
      <c r="BE215" s="18">
        <f t="shared" si="21"/>
        <v>166710.5794198864</v>
      </c>
      <c r="BF215" s="18">
        <f t="shared" si="22"/>
        <v>109170.10157464469</v>
      </c>
      <c r="BG215" s="18">
        <f t="shared" si="23"/>
        <v>78400.678849178032</v>
      </c>
      <c r="BH215" s="18">
        <f t="shared" si="24"/>
        <v>57009.523816032372</v>
      </c>
      <c r="BI215" s="18">
        <f t="shared" si="25"/>
        <v>11900.599215630587</v>
      </c>
      <c r="BJ215" s="18">
        <f t="shared" si="26"/>
        <v>3939.1749129259042</v>
      </c>
      <c r="BK215" s="18">
        <f>IF(BM215=0,BK214,BK214+AN215+BB215*AZ215*'P-Parametri'!$B$6+BC215*BA215*'P-Parametri'!$B$7)</f>
        <v>4946.3037491070745</v>
      </c>
      <c r="BL215" s="18">
        <f t="shared" si="1"/>
        <v>257011.85748469501</v>
      </c>
      <c r="BM215" s="10">
        <f>IF(AND(BM214=1,(BD215+BC215*(1-'P-Parametri'!$B$7*BA215)+BB215*(1-'P-Parametri'!$B$6*AZ215))&gt;=MAX(0,$B$4-IF($A215&gt;='1-Input'!$C$12,'1-Input'!$B$12,0))-0.01),1,0)</f>
        <v>1</v>
      </c>
      <c r="BO215" s="11">
        <f t="shared" si="27"/>
        <v>0.29860050154352807</v>
      </c>
      <c r="BP215" s="11">
        <f t="shared" si="28"/>
        <v>0.19062409609209971</v>
      </c>
      <c r="BQ215" s="18">
        <f>MAX(0,CK214-('P-Parametri'!$B$31*CR214))</f>
        <v>3998.4001752446347</v>
      </c>
      <c r="BR215" s="18">
        <f>MAX(0,CM214-('P-Parametri'!$C$31*CR214))</f>
        <v>0</v>
      </c>
      <c r="BS215" s="18">
        <f>MAX(0,CO214-('P-Parametri'!$D$31*CR214))</f>
        <v>0</v>
      </c>
      <c r="BT215" s="18">
        <f>BQ215*BO215*'P-Parametri'!$B$6+BR215*BP215*'P-Parametri'!$B$6</f>
        <v>310.42031740194238</v>
      </c>
      <c r="BU215" s="18">
        <f t="shared" si="29"/>
        <v>3687.9798578426926</v>
      </c>
      <c r="BV215" s="18">
        <f>MAX(0,('P-Parametri'!$B$31*CR214)-CK214)+MAX(0,('P-Parametri'!$C$31*CR214)-CM214)+MAX(0,('P-Parametri'!$D$31*CR214)-CO214)</f>
        <v>3998.4001752446493</v>
      </c>
      <c r="BW215" s="18">
        <f>CK214-BQ215+IF(BV215&lt;=0,0,BU215*MAX(0,('P-Parametri'!$B$31*CR214)-CK214)/BV215)</f>
        <v>152594.05511932238</v>
      </c>
      <c r="BX215" s="18">
        <f>CL214-BQ215*(1-BO215)+IF(BV215&lt;=0,0,BU215*MAX(0,('P-Parametri'!$B$31*CR214)-CK214)/BV215)</f>
        <v>107029.39372813195</v>
      </c>
      <c r="BY215" s="18">
        <f>CM214-BR215+IF(BV215&lt;=0,0,BU215*MAX(0,('P-Parametri'!$C$31*CR214)-CM214)/BV215)</f>
        <v>76077.213986034825</v>
      </c>
      <c r="BZ215" s="18">
        <f>CN214-BR215*(1-BP215)+IF(BV215&lt;=0,0,BU215*MAX(0,('P-Parametri'!$C$31*CR214)-CM214)/BV215)</f>
        <v>62072.881963231841</v>
      </c>
      <c r="CA215" s="18">
        <f>CO214-BS215+IF(BV215&lt;=0,0,BU215*MAX(0,('P-Parametri'!$D$31*CR214)-CO214)/BV215)</f>
        <v>25341.73577611148</v>
      </c>
      <c r="CB215" s="18">
        <f>CP214-BS215+IF(BV215&lt;=0,0,BU215*MAX(0,('P-Parametri'!$D$31*CR214)-CO214)/BV215)</f>
        <v>17286.844012169051</v>
      </c>
      <c r="CC215" s="18">
        <f t="shared" si="30"/>
        <v>163048.57902365737</v>
      </c>
      <c r="CD215" s="18">
        <f>BY215*(1+'P-Parametri'!$C$29)</f>
        <v>76457.600055964998</v>
      </c>
      <c r="CE215" s="18">
        <f>CA215*(1+'1-Input'!$B$27)</f>
        <v>25250.505527317477</v>
      </c>
      <c r="CF215" s="11">
        <f t="shared" si="31"/>
        <v>0.34357358789000775</v>
      </c>
      <c r="CG215" s="11">
        <f t="shared" si="32"/>
        <v>0.18813980666675273</v>
      </c>
      <c r="CH215" s="18">
        <f>IF(CS214=0,0,(MIN((CC215+CD215+CE215),MAX(0,$B$4-IF($A215&gt;='1-Input'!$C$12,'1-Input'!$B$12,0))/(CC215/(CC215+CD215+CE215)*(1-'P-Parametri'!$B$6*CF215)+CD215/(CC215+CD215+CE215)*(1-'P-Parametri'!$B$6*CG215)+CE215/(CC215+CD215+CE215))))*CC215/(CC215+CD215+CE215))</f>
        <v>8600.5971461429854</v>
      </c>
      <c r="CI215" s="18">
        <f>IF(CS214=0,0,(MIN((CC215+CD215+CE215),MAX(0,$B$4-IF($A215&gt;='1-Input'!$C$12,'1-Input'!$B$12,0))/(CC215/(CC215+CD215+CE215)*(1-'P-Parametri'!$B$6*CF215)+CD215/(CC215+CD215+CE215)*(1-'P-Parametri'!$B$6*CG215)+CE215/(CC215+CD215+CE215))))*CD215/(CC215+CD215+CE215))</f>
        <v>4033.0373976878591</v>
      </c>
      <c r="CJ215" s="18">
        <f>IF(CS214=0,0,(MIN((CC215+CD215+CE215),MAX(0,$B$4-IF($A215&gt;='1-Input'!$C$12,'1-Input'!$B$12,0))/(CC215/(CC215+CD215+CE215)*(1-'P-Parametri'!$B$6*CF215)+CD215/(CC215+CD215+CE215)*(1-'P-Parametri'!$B$6*CG215)+CE215/(CC215+CD215+CE215))))*CE215/(CC215+CD215+CE215))</f>
        <v>1331.930809071353</v>
      </c>
      <c r="CK215" s="18">
        <f t="shared" si="33"/>
        <v>154447.98187751439</v>
      </c>
      <c r="CL215" s="18">
        <f t="shared" si="34"/>
        <v>101383.73460148588</v>
      </c>
      <c r="CM215" s="18">
        <f t="shared" si="35"/>
        <v>72424.562658277137</v>
      </c>
      <c r="CN215" s="18">
        <f t="shared" si="36"/>
        <v>58798.619441824761</v>
      </c>
      <c r="CO215" s="18">
        <f t="shared" si="37"/>
        <v>23918.574718246124</v>
      </c>
      <c r="CP215" s="18">
        <f t="shared" si="38"/>
        <v>15954.913203097698</v>
      </c>
      <c r="CQ215" s="18">
        <f>IF(CS215=0,CQ214,CQ214+BT215+CH215*CF215*'P-Parametri'!$B$6+CI215*CG215*'P-Parametri'!$B$6)</f>
        <v>9534.715519008354</v>
      </c>
      <c r="CR215" s="18">
        <f t="shared" si="2"/>
        <v>250791.11925403765</v>
      </c>
      <c r="CS215" s="10">
        <f>IF(AND(CS214=1,(CJ215+CI215*(1-'P-Parametri'!$B$6*CG215)+CH215*(1-'P-Parametri'!$B$6*CF215))&gt;=MAX(0,$B$4-IF($A215&gt;='1-Input'!$C$12,'1-Input'!$B$12,0))-0.01),1,0)</f>
        <v>1</v>
      </c>
    </row>
    <row r="216" spans="1:97">
      <c r="A216" s="10">
        <f>16</f>
        <v>16</v>
      </c>
      <c r="B216" s="11">
        <f>IF(A216=1,'P-Parametri'!$B$30,IF(A216=2,'P-Parametri'!$C$30,'P-Parametri'!$B$29))</f>
        <v>6.8512000000000003E-2</v>
      </c>
      <c r="C216" s="11">
        <f t="shared" si="3"/>
        <v>0.34483448383678245</v>
      </c>
      <c r="D216" s="11">
        <f t="shared" si="4"/>
        <v>0.18795498855687551</v>
      </c>
      <c r="E216" s="18">
        <f>MAX(0,Y215-('P-Parametri'!$B$31*AF215))</f>
        <v>4038.3970358896768</v>
      </c>
      <c r="F216" s="18">
        <f>MAX(0,AA215-('P-Parametri'!$C$31*AF215))</f>
        <v>0</v>
      </c>
      <c r="G216" s="18">
        <f>MAX(0,AC215-('P-Parametri'!$D$31*AF215))</f>
        <v>0</v>
      </c>
      <c r="H216" s="18">
        <f>E216*C216*'P-Parametri'!$B$6+F216*D216*'P-Parametri'!$B$7</f>
        <v>362.07042492374228</v>
      </c>
      <c r="I216" s="18">
        <f t="shared" si="5"/>
        <v>3676.3266109659344</v>
      </c>
      <c r="J216" s="18">
        <f>MAX(0,('P-Parametri'!$B$31*AF215)-Y215)+MAX(0,('P-Parametri'!$C$31*AF215)-AA215)+MAX(0,('P-Parametri'!$D$31*AF215)-AC215)</f>
        <v>4038.3970358896622</v>
      </c>
      <c r="K216" s="18">
        <f>Y215-E216+IF(J216&lt;=0,0,I216*MAX(0,('P-Parametri'!$B$31*AF215)-Y215)/J216)</f>
        <v>152906.46242769106</v>
      </c>
      <c r="L216" s="18">
        <f>Z215-E216*(1-C216)+IF(J216&lt;=0,0,I216*MAX(0,('P-Parametri'!$B$31*AF215)-Y215)/J216)</f>
        <v>100179.04138112985</v>
      </c>
      <c r="M216" s="18">
        <f>AA215-F216+IF(J216&lt;=0,0,I216*MAX(0,('P-Parametri'!$C$31*AF215)-AA215)/J216)</f>
        <v>76196.91752940201</v>
      </c>
      <c r="N216" s="18">
        <f>AB215-F216*(1-D216)+IF(J216&lt;=0,0,I216*MAX(0,('P-Parametri'!$C$31*AF215)-AA215)/J216)</f>
        <v>62364.481980547585</v>
      </c>
      <c r="O216" s="18">
        <f>AC215-G216+IF(J216&lt;=0,0,I216*MAX(0,('P-Parametri'!$D$31*AF215)-AC215)/J216)</f>
        <v>25378.653664134974</v>
      </c>
      <c r="P216" s="18">
        <f>AD215-G216+IF(J216&lt;=0,0,I216*MAX(0,('P-Parametri'!$D$31*AF215)-AC215)/J216)</f>
        <v>17426.455148640423</v>
      </c>
      <c r="Q216" s="18">
        <f t="shared" si="6"/>
        <v>163382.38998153701</v>
      </c>
      <c r="R216" s="18">
        <f>M216*(1+'P-Parametri'!$C$29)</f>
        <v>76577.902117049016</v>
      </c>
      <c r="S216" s="18">
        <f>O216*(1+'1-Input'!$B$27)</f>
        <v>25287.290510944087</v>
      </c>
      <c r="T216" s="11">
        <f t="shared" si="7"/>
        <v>0.38684309005119488</v>
      </c>
      <c r="U216" s="11">
        <f t="shared" si="8"/>
        <v>0.18560733244920022</v>
      </c>
      <c r="V216" s="18">
        <f>IF(AG215=0,0,(MIN((Q216+R216+S216),MAX(0,$B$4-IF($A216&gt;='1-Input'!$C$12,'1-Input'!$B$12,0))/(Q216/(Q216+R216+S216)*(1-'P-Parametri'!$B$6*T216)+R216/(Q216+R216+S216)*(1-'P-Parametri'!$B$7*U216)+S216/(Q216+R216+S216))))*Q216/(Q216+R216+S216))</f>
        <v>8597.7492268915103</v>
      </c>
      <c r="W216" s="18">
        <f>IF(AG215=0,0,(MIN((Q216+R216+S216),MAX(0,$B$4-IF($A216&gt;='1-Input'!$C$12,'1-Input'!$B$12,0))/(Q216/(Q216+R216+S216)*(1-'P-Parametri'!$B$6*T216)+R216/(Q216+R216+S216)*(1-'P-Parametri'!$B$7*U216)+S216/(Q216+R216+S216))))*R216/(Q216+R216+S216))</f>
        <v>4029.795370224625</v>
      </c>
      <c r="X216" s="18">
        <f>IF(AG215=0,0,(MIN((Q216+R216+S216),MAX(0,$B$4-IF($A216&gt;='1-Input'!$C$12,'1-Input'!$B$12,0))/(Q216/(Q216+R216+S216)*(1-'P-Parametri'!$B$6*T216)+R216/(Q216+R216+S216)*(1-'P-Parametri'!$B$7*U216)+S216/(Q216+R216+S216))))*S216/(Q216+R216+S216))</f>
        <v>1330.7051173949612</v>
      </c>
      <c r="Y216" s="18">
        <f t="shared" si="9"/>
        <v>154784.64075464549</v>
      </c>
      <c r="Z216" s="18">
        <f t="shared" si="10"/>
        <v>94907.27203265432</v>
      </c>
      <c r="AA216" s="18">
        <f t="shared" si="11"/>
        <v>72548.106746824385</v>
      </c>
      <c r="AB216" s="18">
        <f t="shared" si="12"/>
        <v>59082.646179306488</v>
      </c>
      <c r="AC216" s="18">
        <f t="shared" si="13"/>
        <v>23956.585393549125</v>
      </c>
      <c r="AD216" s="18">
        <f t="shared" si="14"/>
        <v>16095.750031245461</v>
      </c>
      <c r="AE216" s="18">
        <f>IF(AG216=0,AE215,AE215+H216+V216*T216*'P-Parametri'!$B$6+W216*U216*'P-Parametri'!$B$7)</f>
        <v>7990.3037452461076</v>
      </c>
      <c r="AF216" s="18">
        <f t="shared" si="0"/>
        <v>251289.33289501898</v>
      </c>
      <c r="AG216" s="10">
        <f>IF(AND(AG215=1,(X216+W216*(1-'P-Parametri'!$B$7*U216)+V216*(1-'P-Parametri'!$B$6*T216))&gt;=MAX(0,$B$4-IF($A216&gt;='1-Input'!$C$12,'1-Input'!$B$12,0))-0.01),1,0)</f>
        <v>1</v>
      </c>
      <c r="AI216" s="11">
        <f t="shared" si="15"/>
        <v>0.34515192764291885</v>
      </c>
      <c r="AJ216" s="11">
        <f t="shared" si="16"/>
        <v>0.27284400271962606</v>
      </c>
      <c r="AK216" s="18">
        <f>MAX(0,BE215-('P-Parametri'!$B$31*BL215))</f>
        <v>12503.464929069392</v>
      </c>
      <c r="AL216" s="18">
        <f>MAX(0,BG215-('P-Parametri'!$C$31*BL215))</f>
        <v>1297.1216037695267</v>
      </c>
      <c r="AM216" s="18">
        <f>MAX(0,BI215-('P-Parametri'!$D$31*BL215))</f>
        <v>0</v>
      </c>
      <c r="AN216" s="18">
        <f>AK216*AI216*'P-Parametri'!$B$6+AL216*AJ216*'P-Parametri'!$B$7</f>
        <v>1166.293687144145</v>
      </c>
      <c r="AO216" s="18">
        <f t="shared" si="17"/>
        <v>12634.292845694774</v>
      </c>
      <c r="AP216" s="18">
        <f>MAX(0,('P-Parametri'!$B$31*BL215)-BE215)+MAX(0,('P-Parametri'!$C$31*BL215)-BG215)+MAX(0,('P-Parametri'!$D$31*BL215)-BI215)</f>
        <v>13800.586532838915</v>
      </c>
      <c r="AQ216" s="18">
        <f>BE215-AK216+IF(AP216&lt;=0,0,AO216*MAX(0,('P-Parametri'!$B$31*BL215)-BE215)/AP216)</f>
        <v>154207.11449081701</v>
      </c>
      <c r="AR216" s="18">
        <f>BF215-AK216*(1-AI216)+IF(AP216&lt;=0,0,AO216*MAX(0,('P-Parametri'!$B$31*BL215)-BE215)/AP216)</f>
        <v>100982.23166805923</v>
      </c>
      <c r="AS216" s="18">
        <f>BG215-AL216+IF(AP216&lt;=0,0,AO216*MAX(0,('P-Parametri'!$C$31*BL215)-BG215)/AP216)</f>
        <v>77103.557245408505</v>
      </c>
      <c r="AT216" s="18">
        <f>BH215-AL216*(1-AJ216)+IF(AP216&lt;=0,0,AO216*MAX(0,('P-Parametri'!$C$31*BL215)-BG215)/AP216)</f>
        <v>56066.314062649421</v>
      </c>
      <c r="AU216" s="18">
        <f>BI215-AM216+IF(AP216&lt;=0,0,AO216*MAX(0,('P-Parametri'!$D$31*BL215)-BI215)/AP216)</f>
        <v>24534.892061325361</v>
      </c>
      <c r="AV216" s="18">
        <f>BJ215-AM216+IF(AP216&lt;=0,0,AO216*MAX(0,('P-Parametri'!$D$31*BL215)-BI215)/AP216)</f>
        <v>16573.467758620678</v>
      </c>
      <c r="AW216" s="18">
        <f t="shared" si="18"/>
        <v>164772.15231881186</v>
      </c>
      <c r="AX216" s="18">
        <f>AS216*(1+'P-Parametri'!$C$29)</f>
        <v>77489.075031635541</v>
      </c>
      <c r="AY216" s="18">
        <f>AU216*(1+'1-Input'!$B$27)</f>
        <v>24446.566449904589</v>
      </c>
      <c r="AZ216" s="11">
        <f t="shared" si="19"/>
        <v>0.38714017965443426</v>
      </c>
      <c r="BA216" s="11">
        <f t="shared" si="20"/>
        <v>0.27646169424838413</v>
      </c>
      <c r="BB216" s="18">
        <f>IF(BM215=0,0,MIN(MAX(AW216,0),(MAX(0,$B$4-IF($A216&gt;='1-Input'!$C$12,'1-Input'!$B$12,0))-BD216-BC216*(1-'P-Parametri'!$B$7*BA216))/(1-'P-Parametri'!$B$6*AZ216)))</f>
        <v>0</v>
      </c>
      <c r="BC216" s="18">
        <f>IF(BM215=0,0,MIN(MAX(AX216,0),(MAX(0,$B$4-IF($A216&gt;='1-Input'!$C$12,'1-Input'!$B$12,0))-BD216)/(1-'P-Parametri'!$B$7*BA216)))</f>
        <v>0</v>
      </c>
      <c r="BD216" s="18">
        <f>IF(BM215=0,0,MIN(MAX(AY216,0),MAX(0,$B$4-IF($A216&gt;='1-Input'!$C$12,'1-Input'!$B$12,0))))</f>
        <v>13000</v>
      </c>
      <c r="BE216" s="18">
        <f t="shared" si="21"/>
        <v>164772.15231881186</v>
      </c>
      <c r="BF216" s="18">
        <f t="shared" si="22"/>
        <v>100982.23166805923</v>
      </c>
      <c r="BG216" s="18">
        <f t="shared" si="23"/>
        <v>77489.075031635541</v>
      </c>
      <c r="BH216" s="18">
        <f t="shared" si="24"/>
        <v>56066.314062649421</v>
      </c>
      <c r="BI216" s="18">
        <f t="shared" si="25"/>
        <v>11446.566449904589</v>
      </c>
      <c r="BJ216" s="18">
        <f t="shared" si="26"/>
        <v>3573.4677586206781</v>
      </c>
      <c r="BK216" s="18">
        <f>IF(BM216=0,BK215,BK215+AN216+BB216*AZ216*'P-Parametri'!$B$6+BC216*BA216*'P-Parametri'!$B$7)</f>
        <v>6112.5974362512197</v>
      </c>
      <c r="BL216" s="18">
        <f t="shared" si="1"/>
        <v>253707.79380035197</v>
      </c>
      <c r="BM216" s="10">
        <f>IF(AND(BM215=1,(BD216+BC216*(1-'P-Parametri'!$B$7*BA216)+BB216*(1-'P-Parametri'!$B$6*AZ216))&gt;=MAX(0,$B$4-IF($A216&gt;='1-Input'!$C$12,'1-Input'!$B$12,0))-0.01),1,0)</f>
        <v>1</v>
      </c>
      <c r="BO216" s="11">
        <f t="shared" si="27"/>
        <v>0.34357358789000775</v>
      </c>
      <c r="BP216" s="11">
        <f t="shared" si="28"/>
        <v>0.18813980666675267</v>
      </c>
      <c r="BQ216" s="18">
        <f>MAX(0,CK215-('P-Parametri'!$B$31*CR215))</f>
        <v>3973.3103250918211</v>
      </c>
      <c r="BR216" s="18">
        <f>MAX(0,CM215-('P-Parametri'!$C$31*CR215))</f>
        <v>0</v>
      </c>
      <c r="BS216" s="18">
        <f>MAX(0,CO215-('P-Parametri'!$D$31*CR215))</f>
        <v>0</v>
      </c>
      <c r="BT216" s="18">
        <f>BQ216*BO216*'P-Parametri'!$B$6+BR216*BP216*'P-Parametri'!$B$6</f>
        <v>354.93236588997462</v>
      </c>
      <c r="BU216" s="18">
        <f t="shared" si="29"/>
        <v>3618.3779592018464</v>
      </c>
      <c r="BV216" s="18">
        <f>MAX(0,('P-Parametri'!$B$31*CR215)-CK215)+MAX(0,('P-Parametri'!$C$31*CR215)-CM215)+MAX(0,('P-Parametri'!$D$31*CR215)-CO215)</f>
        <v>3973.310325091792</v>
      </c>
      <c r="BW216" s="18">
        <f>CK215-BQ216+IF(BV216&lt;=0,0,BU216*MAX(0,('P-Parametri'!$B$31*CR215)-CK215)/BV216)</f>
        <v>150474.67155242257</v>
      </c>
      <c r="BX216" s="18">
        <f>CL215-BQ216*(1-BO216)+IF(BV216&lt;=0,0,BU216*MAX(0,('P-Parametri'!$B$31*CR215)-CK215)/BV216)</f>
        <v>98775.548760586273</v>
      </c>
      <c r="BY216" s="18">
        <f>CM215-BR216+IF(BV216&lt;=0,0,BU216*MAX(0,('P-Parametri'!$C$31*CR215)-CM215)/BV216)</f>
        <v>74986.073192678508</v>
      </c>
      <c r="BZ216" s="18">
        <f>CN215-BR216*(1-BP216)+IF(BV216&lt;=0,0,BU216*MAX(0,('P-Parametri'!$C$31*CR215)-CM215)/BV216)</f>
        <v>61360.129976226141</v>
      </c>
      <c r="CA216" s="18">
        <f>CO215-BS216+IF(BV216&lt;=0,0,BU216*MAX(0,('P-Parametri'!$D$31*CR215)-CO215)/BV216)</f>
        <v>24975.442143046592</v>
      </c>
      <c r="CB216" s="18">
        <f>CP215-BS216+IF(BV216&lt;=0,0,BU216*MAX(0,('P-Parametri'!$D$31*CR215)-CO215)/BV216)</f>
        <v>17011.780627898166</v>
      </c>
      <c r="CC216" s="18">
        <f t="shared" si="30"/>
        <v>160783.99224982213</v>
      </c>
      <c r="CD216" s="18">
        <f>BY216*(1+'P-Parametri'!$C$29)</f>
        <v>75361.003558641896</v>
      </c>
      <c r="CE216" s="18">
        <f>CA216*(1+'1-Input'!$B$27)</f>
        <v>24885.530551331623</v>
      </c>
      <c r="CF216" s="11">
        <f t="shared" si="31"/>
        <v>0.38566304158494019</v>
      </c>
      <c r="CG216" s="11">
        <f t="shared" si="32"/>
        <v>0.18578406498423319</v>
      </c>
      <c r="CH216" s="18">
        <f>IF(CS215=0,0,(MIN((CC216+CD216+CE216),MAX(0,$B$4-IF($A216&gt;='1-Input'!$C$12,'1-Input'!$B$12,0))/(CC216/(CC216+CD216+CE216)*(1-'P-Parametri'!$B$6*CF216)+CD216/(CC216+CD216+CE216)*(1-'P-Parametri'!$B$6*CG216)+CE216/(CC216+CD216+CE216))))*CC216/(CC216+CD216+CE216))</f>
        <v>8663.357755448078</v>
      </c>
      <c r="CI216" s="18">
        <f>IF(CS215=0,0,(MIN((CC216+CD216+CE216),MAX(0,$B$4-IF($A216&gt;='1-Input'!$C$12,'1-Input'!$B$12,0))/(CC216/(CC216+CD216+CE216)*(1-'P-Parametri'!$B$6*CF216)+CD216/(CC216+CD216+CE216)*(1-'P-Parametri'!$B$6*CG216)+CE216/(CC216+CD216+CE216))))*CD216/(CC216+CD216+CE216))</f>
        <v>4060.5991025753542</v>
      </c>
      <c r="CJ216" s="18">
        <f>IF(CS215=0,0,(MIN((CC216+CD216+CE216),MAX(0,$B$4-IF($A216&gt;='1-Input'!$C$12,'1-Input'!$B$12,0))/(CC216/(CC216+CD216+CE216)*(1-'P-Parametri'!$B$6*CF216)+CD216/(CC216+CD216+CE216)*(1-'P-Parametri'!$B$6*CG216)+CE216/(CC216+CD216+CE216))))*CE216/(CC216+CD216+CE216))</f>
        <v>1340.8813345381861</v>
      </c>
      <c r="CK216" s="18">
        <f t="shared" si="33"/>
        <v>152120.63449437404</v>
      </c>
      <c r="CL216" s="18">
        <f t="shared" si="34"/>
        <v>93453.327907442785</v>
      </c>
      <c r="CM216" s="18">
        <f t="shared" si="35"/>
        <v>71300.404456066535</v>
      </c>
      <c r="CN216" s="18">
        <f t="shared" si="36"/>
        <v>58053.925481198567</v>
      </c>
      <c r="CO216" s="18">
        <f t="shared" si="37"/>
        <v>23544.649216793438</v>
      </c>
      <c r="CP216" s="18">
        <f t="shared" si="38"/>
        <v>15670.89929335998</v>
      </c>
      <c r="CQ216" s="18">
        <f>IF(CS216=0,CQ215,CQ215+BT216+CH216*CF216*'P-Parametri'!$B$6+CI216*CG216*'P-Parametri'!$B$6)</f>
        <v>10954.486077459942</v>
      </c>
      <c r="CR216" s="18">
        <f t="shared" si="2"/>
        <v>246965.68816723404</v>
      </c>
      <c r="CS216" s="10">
        <f>IF(AND(CS215=1,(CJ216+CI216*(1-'P-Parametri'!$B$6*CG216)+CH216*(1-'P-Parametri'!$B$6*CF216))&gt;=MAX(0,$B$4-IF($A216&gt;='1-Input'!$C$12,'1-Input'!$B$12,0))-0.01),1,0)</f>
        <v>1</v>
      </c>
    </row>
    <row r="217" spans="1:97">
      <c r="A217" s="10">
        <f>17</f>
        <v>17</v>
      </c>
      <c r="B217" s="11">
        <f>IF(A217=1,'P-Parametri'!$B$30,IF(A217=2,'P-Parametri'!$C$30,'P-Parametri'!$B$29))</f>
        <v>6.8512000000000003E-2</v>
      </c>
      <c r="C217" s="11">
        <f t="shared" si="3"/>
        <v>0.38684309005119483</v>
      </c>
      <c r="D217" s="11">
        <f t="shared" si="4"/>
        <v>0.18560733244920019</v>
      </c>
      <c r="E217" s="18">
        <f>MAX(0,Y216-('P-Parametri'!$B$31*AF216))</f>
        <v>4011.0410176340956</v>
      </c>
      <c r="F217" s="18">
        <f>MAX(0,AA216-('P-Parametri'!$C$31*AF216))</f>
        <v>0</v>
      </c>
      <c r="G217" s="18">
        <f>MAX(0,AC216-('P-Parametri'!$D$31*AF216))</f>
        <v>0</v>
      </c>
      <c r="H217" s="18">
        <f>E217*C217*'P-Parametri'!$B$6+F217*D217*'P-Parametri'!$B$7</f>
        <v>403.42731041175227</v>
      </c>
      <c r="I217" s="18">
        <f t="shared" si="5"/>
        <v>3607.6137072223432</v>
      </c>
      <c r="J217" s="18">
        <f>MAX(0,('P-Parametri'!$B$31*AF216)-Y216)+MAX(0,('P-Parametri'!$C$31*AF216)-AA216)+MAX(0,('P-Parametri'!$D$31*AF216)-AC216)</f>
        <v>4011.0410176340847</v>
      </c>
      <c r="K217" s="18">
        <f>Y216-E217+IF(J217&lt;=0,0,I217*MAX(0,('P-Parametri'!$B$31*AF216)-Y216)/J217)</f>
        <v>150773.59973701139</v>
      </c>
      <c r="L217" s="18">
        <f>Z216-E217*(1-C217)+IF(J217&lt;=0,0,I217*MAX(0,('P-Parametri'!$B$31*AF216)-Y216)/J217)</f>
        <v>92447.874516603886</v>
      </c>
      <c r="M217" s="18">
        <f>AA216-F217+IF(J217&lt;=0,0,I217*MAX(0,('P-Parametri'!$C$31*AF216)-AA216)/J217)</f>
        <v>75101.286375592157</v>
      </c>
      <c r="N217" s="18">
        <f>AB216-F217*(1-D217)+IF(J217&lt;=0,0,I217*MAX(0,('P-Parametri'!$C$31*AF216)-AA216)/J217)</f>
        <v>61635.825808074253</v>
      </c>
      <c r="O217" s="18">
        <f>AC216-G217+IF(J217&lt;=0,0,I217*MAX(0,('P-Parametri'!$D$31*AF216)-AC216)/J217)</f>
        <v>25011.019472003703</v>
      </c>
      <c r="P217" s="18">
        <f>AD216-G217+IF(J217&lt;=0,0,I217*MAX(0,('P-Parametri'!$D$31*AF216)-AC216)/J217)</f>
        <v>17150.184109700036</v>
      </c>
      <c r="Q217" s="18">
        <f t="shared" si="6"/>
        <v>161103.40060219349</v>
      </c>
      <c r="R217" s="18">
        <f>M217*(1+'P-Parametri'!$C$29)</f>
        <v>75476.792807470105</v>
      </c>
      <c r="S217" s="18">
        <f>O217*(1+'1-Input'!$B$27)</f>
        <v>24920.97980190449</v>
      </c>
      <c r="T217" s="11">
        <f t="shared" si="7"/>
        <v>0.4261581433350255</v>
      </c>
      <c r="U217" s="11">
        <f t="shared" si="8"/>
        <v>0.18338043370101945</v>
      </c>
      <c r="V217" s="18">
        <f>IF(AG216=0,0,(MIN((Q217+R217+S217),MAX(0,$B$4-IF($A217&gt;='1-Input'!$C$12,'1-Input'!$B$12,0))/(Q217/(Q217+R217+S217)*(1-'P-Parametri'!$B$6*T217)+R217/(Q217+R217+S217)*(1-'P-Parametri'!$B$7*U217)+S217/(Q217+R217+S217))))*Q217/(Q217+R217+S217))</f>
        <v>8657.1547572705749</v>
      </c>
      <c r="W217" s="18">
        <f>IF(AG216=0,0,(MIN((Q217+R217+S217),MAX(0,$B$4-IF($A217&gt;='1-Input'!$C$12,'1-Input'!$B$12,0))/(Q217/(Q217+R217+S217)*(1-'P-Parametri'!$B$6*T217)+R217/(Q217+R217+S217)*(1-'P-Parametri'!$B$7*U217)+S217/(Q217+R217+S217))))*R217/(Q217+R217+S217))</f>
        <v>4055.8689231530643</v>
      </c>
      <c r="X217" s="18">
        <f>IF(AG216=0,0,(MIN((Q217+R217+S217),MAX(0,$B$4-IF($A217&gt;='1-Input'!$C$12,'1-Input'!$B$12,0))/(Q217/(Q217+R217+S217)*(1-'P-Parametri'!$B$6*T217)+R217/(Q217+R217+S217)*(1-'P-Parametri'!$B$7*U217)+S217/(Q217+R217+S217))))*S217/(Q217+R217+S217))</f>
        <v>1339.1696143064771</v>
      </c>
      <c r="Y217" s="18">
        <f t="shared" si="9"/>
        <v>152446.2458449229</v>
      </c>
      <c r="Z217" s="18">
        <f t="shared" si="10"/>
        <v>87480.03675725573</v>
      </c>
      <c r="AA217" s="18">
        <f t="shared" si="11"/>
        <v>71420.923884317046</v>
      </c>
      <c r="AB217" s="18">
        <f t="shared" si="12"/>
        <v>58323.723887083484</v>
      </c>
      <c r="AC217" s="18">
        <f t="shared" si="13"/>
        <v>23581.810187598014</v>
      </c>
      <c r="AD217" s="18">
        <f t="shared" si="14"/>
        <v>15811.01449539356</v>
      </c>
      <c r="AE217" s="18">
        <f>IF(AG217=0,AE216,AE216+H217+V217*T217*'P-Parametri'!$B$6+W217*U217*'P-Parametri'!$B$7)</f>
        <v>9445.9243503879734</v>
      </c>
      <c r="AF217" s="18">
        <f t="shared" si="0"/>
        <v>247448.97991683797</v>
      </c>
      <c r="AG217" s="10">
        <f>IF(AND(AG216=1,(X217+W217*(1-'P-Parametri'!$B$7*U217)+V217*(1-'P-Parametri'!$B$6*T217))&gt;=MAX(0,$B$4-IF($A217&gt;='1-Input'!$C$12,'1-Input'!$B$12,0))-0.01),1,0)</f>
        <v>1</v>
      </c>
      <c r="AI217" s="11">
        <f t="shared" si="15"/>
        <v>0.38714017965443426</v>
      </c>
      <c r="AJ217" s="11">
        <f t="shared" si="16"/>
        <v>0.27646169424838413</v>
      </c>
      <c r="AK217" s="18">
        <f>MAX(0,BE216-('P-Parametri'!$B$31*BL216))</f>
        <v>12547.476038600696</v>
      </c>
      <c r="AL217" s="18">
        <f>MAX(0,BG216-('P-Parametri'!$C$31*BL216))</f>
        <v>1376.7368915299594</v>
      </c>
      <c r="AM217" s="18">
        <f>MAX(0,BI216-('P-Parametri'!$D$31*BL216))</f>
        <v>0</v>
      </c>
      <c r="AN217" s="18">
        <f>AK217*AI217*'P-Parametri'!$B$6+AL217*AJ217*'P-Parametri'!$B$7</f>
        <v>1310.56122992216</v>
      </c>
      <c r="AO217" s="18">
        <f t="shared" si="17"/>
        <v>12613.651700208497</v>
      </c>
      <c r="AP217" s="18">
        <f>MAX(0,('P-Parametri'!$B$31*BL216)-BE216)+MAX(0,('P-Parametri'!$C$31*BL216)-BG216)+MAX(0,('P-Parametri'!$D$31*BL216)-BI216)</f>
        <v>13924.212930130609</v>
      </c>
      <c r="AQ217" s="18">
        <f>BE216-AK217+IF(AP217&lt;=0,0,AO217*MAX(0,('P-Parametri'!$B$31*BL216)-BE216)/AP217)</f>
        <v>152224.67628021116</v>
      </c>
      <c r="AR217" s="18">
        <f>BF216-AK217*(1-AI217)+IF(AP217&lt;=0,0,AO217*MAX(0,('P-Parametri'!$B$31*BL216)-BE216)/AP217)</f>
        <v>93292.387757252116</v>
      </c>
      <c r="AS217" s="18">
        <f>BG216-AL217+IF(AP217&lt;=0,0,AO217*MAX(0,('P-Parametri'!$C$31*BL216)-BG216)/AP217)</f>
        <v>76112.338140105581</v>
      </c>
      <c r="AT217" s="18">
        <f>BH216-AL217*(1-AJ217)+IF(AP217&lt;=0,0,AO217*MAX(0,('P-Parametri'!$C$31*BL216)-BG216)/AP217)</f>
        <v>55070.192184686086</v>
      </c>
      <c r="AU217" s="18">
        <f>BI216-AM217+IF(AP217&lt;=0,0,AO217*MAX(0,('P-Parametri'!$D$31*BL216)-BI216)/AP217)</f>
        <v>24060.218150113084</v>
      </c>
      <c r="AV217" s="18">
        <f>BJ216-AM217+IF(AP217&lt;=0,0,AO217*MAX(0,('P-Parametri'!$D$31*BL216)-BI216)/AP217)</f>
        <v>16187.119458829175</v>
      </c>
      <c r="AW217" s="18">
        <f t="shared" si="18"/>
        <v>162653.89330152096</v>
      </c>
      <c r="AX217" s="18">
        <f>AS217*(1+'P-Parametri'!$C$29)</f>
        <v>76492.899830806098</v>
      </c>
      <c r="AY217" s="18">
        <f>AU217*(1+'1-Input'!$B$27)</f>
        <v>23973.601364772676</v>
      </c>
      <c r="AZ217" s="11">
        <f t="shared" si="19"/>
        <v>0.42643618382800957</v>
      </c>
      <c r="BA217" s="11">
        <f t="shared" si="20"/>
        <v>0.28006138731182489</v>
      </c>
      <c r="BB217" s="18">
        <f>IF(BM216=0,0,MIN(MAX(AW217,0),(MAX(0,$B$4-IF($A217&gt;='1-Input'!$C$12,'1-Input'!$B$12,0))-BD217-BC217*(1-'P-Parametri'!$B$7*BA217))/(1-'P-Parametri'!$B$6*AZ217)))</f>
        <v>0</v>
      </c>
      <c r="BC217" s="18">
        <f>IF(BM216=0,0,MIN(MAX(AX217,0),(MAX(0,$B$4-IF($A217&gt;='1-Input'!$C$12,'1-Input'!$B$12,0))-BD217)/(1-'P-Parametri'!$B$7*BA217)))</f>
        <v>0</v>
      </c>
      <c r="BD217" s="18">
        <f>IF(BM216=0,0,MIN(MAX(AY217,0),MAX(0,$B$4-IF($A217&gt;='1-Input'!$C$12,'1-Input'!$B$12,0))))</f>
        <v>13000</v>
      </c>
      <c r="BE217" s="18">
        <f t="shared" si="21"/>
        <v>162653.89330152096</v>
      </c>
      <c r="BF217" s="18">
        <f t="shared" si="22"/>
        <v>93292.387757252116</v>
      </c>
      <c r="BG217" s="18">
        <f t="shared" si="23"/>
        <v>76492.899830806098</v>
      </c>
      <c r="BH217" s="18">
        <f t="shared" si="24"/>
        <v>55070.192184686086</v>
      </c>
      <c r="BI217" s="18">
        <f t="shared" si="25"/>
        <v>10973.601364772676</v>
      </c>
      <c r="BJ217" s="18">
        <f t="shared" si="26"/>
        <v>3187.1194588291746</v>
      </c>
      <c r="BK217" s="18">
        <f>IF(BM217=0,BK216,BK216+AN217+BB217*AZ217*'P-Parametri'!$B$6+BC217*BA217*'P-Parametri'!$B$7)</f>
        <v>7423.15866617338</v>
      </c>
      <c r="BL217" s="18">
        <f t="shared" si="1"/>
        <v>250120.39449709974</v>
      </c>
      <c r="BM217" s="10">
        <f>IF(AND(BM216=1,(BD217+BC217*(1-'P-Parametri'!$B$7*BA217)+BB217*(1-'P-Parametri'!$B$6*AZ217))&gt;=MAX(0,$B$4-IF($A217&gt;='1-Input'!$C$12,'1-Input'!$B$12,0))-0.01),1,0)</f>
        <v>1</v>
      </c>
      <c r="BO217" s="11">
        <f t="shared" si="27"/>
        <v>0.38566304158494014</v>
      </c>
      <c r="BP217" s="11">
        <f t="shared" si="28"/>
        <v>0.18578406498423311</v>
      </c>
      <c r="BQ217" s="18">
        <f>MAX(0,CK216-('P-Parametri'!$B$31*CR216))</f>
        <v>3941.2215940336173</v>
      </c>
      <c r="BR217" s="18">
        <f>MAX(0,CM216-('P-Parametri'!$C$31*CR216))</f>
        <v>0</v>
      </c>
      <c r="BS217" s="18">
        <f>MAX(0,CO216-('P-Parametri'!$D$31*CR216))</f>
        <v>0</v>
      </c>
      <c r="BT217" s="18">
        <f>BQ217*BO217*'P-Parametri'!$B$6+BR217*BP217*'P-Parametri'!$B$6</f>
        <v>395.19571195396526</v>
      </c>
      <c r="BU217" s="18">
        <f t="shared" si="29"/>
        <v>3546.0258820796521</v>
      </c>
      <c r="BV217" s="18">
        <f>MAX(0,('P-Parametri'!$B$31*CR216)-CK216)+MAX(0,('P-Parametri'!$C$31*CR216)-CM216)+MAX(0,('P-Parametri'!$D$31*CR216)-CO216)</f>
        <v>3941.2215940336428</v>
      </c>
      <c r="BW217" s="18">
        <f>CK216-BQ217+IF(BV217&lt;=0,0,BU217*MAX(0,('P-Parametri'!$B$31*CR216)-CK216)/BV217)</f>
        <v>148179.41290034042</v>
      </c>
      <c r="BX217" s="18">
        <f>CL216-BQ217*(1-BO217)+IF(BV217&lt;=0,0,BU217*MAX(0,('P-Parametri'!$B$31*CR216)-CK216)/BV217)</f>
        <v>91032.089820924419</v>
      </c>
      <c r="BY217" s="18">
        <f>CM216-BR217+IF(BV217&lt;=0,0,BU217*MAX(0,('P-Parametri'!$C$31*CR216)-CM216)/BV217)</f>
        <v>73810.016470524512</v>
      </c>
      <c r="BZ217" s="18">
        <f>CN216-BR217*(1-BP217)+IF(BV217&lt;=0,0,BU217*MAX(0,('P-Parametri'!$C$31*CR216)-CM216)/BV217)</f>
        <v>60563.537495656536</v>
      </c>
      <c r="CA217" s="18">
        <f>CO216-BS217+IF(BV217&lt;=0,0,BU217*MAX(0,('P-Parametri'!$D$31*CR216)-CO216)/BV217)</f>
        <v>24581.06308441512</v>
      </c>
      <c r="CB217" s="18">
        <f>CP216-BS217+IF(BV217&lt;=0,0,BU217*MAX(0,('P-Parametri'!$D$31*CR216)-CO216)/BV217)</f>
        <v>16707.313160981663</v>
      </c>
      <c r="CC217" s="18">
        <f t="shared" si="30"/>
        <v>158331.48083696852</v>
      </c>
      <c r="CD217" s="18">
        <f>BY217*(1+'P-Parametri'!$C$29)</f>
        <v>74179.066552877121</v>
      </c>
      <c r="CE217" s="18">
        <f>CA217*(1+'1-Input'!$B$27)</f>
        <v>24492.571257311225</v>
      </c>
      <c r="CF217" s="11">
        <f t="shared" si="31"/>
        <v>0.42505375848370447</v>
      </c>
      <c r="CG217" s="11">
        <f t="shared" si="32"/>
        <v>0.18354947952216435</v>
      </c>
      <c r="CH217" s="18">
        <f>IF(CS216=0,0,(MIN((CC217+CD217+CE217),MAX(0,$B$4-IF($A217&gt;='1-Input'!$C$12,'1-Input'!$B$12,0))/(CC217/(CC217+CD217+CE217)*(1-'P-Parametri'!$B$6*CF217)+CD217/(CC217+CD217+CE217)*(1-'P-Parametri'!$B$6*CG217)+CE217/(CC217+CD217+CE217))))*CC217/(CC217+CD217+CE217))</f>
        <v>8722.9341739875199</v>
      </c>
      <c r="CI217" s="18">
        <f>IF(CS216=0,0,(MIN((CC217+CD217+CE217),MAX(0,$B$4-IF($A217&gt;='1-Input'!$C$12,'1-Input'!$B$12,0))/(CC217/(CC217+CD217+CE217)*(1-'P-Parametri'!$B$6*CF217)+CD217/(CC217+CD217+CE217)*(1-'P-Parametri'!$B$6*CG217)+CE217/(CC217+CD217+CE217))))*CD217/(CC217+CD217+CE217))</f>
        <v>4086.7369597512525</v>
      </c>
      <c r="CJ217" s="18">
        <f>IF(CS216=0,0,(MIN((CC217+CD217+CE217),MAX(0,$B$4-IF($A217&gt;='1-Input'!$C$12,'1-Input'!$B$12,0))/(CC217/(CC217+CD217+CE217)*(1-'P-Parametri'!$B$6*CF217)+CD217/(CC217+CD217+CE217)*(1-'P-Parametri'!$B$6*CG217)+CE217/(CC217+CD217+CE217))))*CE217/(CC217+CD217+CE217))</f>
        <v>1349.3658096283052</v>
      </c>
      <c r="CK217" s="18">
        <f t="shared" si="33"/>
        <v>149608.54666298101</v>
      </c>
      <c r="CL217" s="18">
        <f t="shared" si="34"/>
        <v>86016.871602596249</v>
      </c>
      <c r="CM217" s="18">
        <f t="shared" si="35"/>
        <v>70092.329593125862</v>
      </c>
      <c r="CN217" s="18">
        <f t="shared" si="36"/>
        <v>57226.91897781162</v>
      </c>
      <c r="CO217" s="18">
        <f t="shared" si="37"/>
        <v>23143.205447682922</v>
      </c>
      <c r="CP217" s="18">
        <f t="shared" si="38"/>
        <v>15357.947351353358</v>
      </c>
      <c r="CQ217" s="18">
        <f>IF(CS217=0,CQ216,CQ216+BT217+CH217*CF217*'P-Parametri'!$B$6+CI217*CG217*'P-Parametri'!$B$6)</f>
        <v>12508.718732780984</v>
      </c>
      <c r="CR217" s="18">
        <f t="shared" si="2"/>
        <v>242844.08170378982</v>
      </c>
      <c r="CS217" s="10">
        <f>IF(AND(CS216=1,(CJ217+CI217*(1-'P-Parametri'!$B$6*CG217)+CH217*(1-'P-Parametri'!$B$6*CF217))&gt;=MAX(0,$B$4-IF($A217&gt;='1-Input'!$C$12,'1-Input'!$B$12,0))-0.01),1,0)</f>
        <v>1</v>
      </c>
    </row>
    <row r="218" spans="1:97">
      <c r="A218" s="10">
        <f>18</f>
        <v>18</v>
      </c>
      <c r="B218" s="11">
        <f>IF(A218=1,'P-Parametri'!$B$30,IF(A218=2,'P-Parametri'!$C$30,'P-Parametri'!$B$29))</f>
        <v>6.8512000000000003E-2</v>
      </c>
      <c r="C218" s="11">
        <f t="shared" si="3"/>
        <v>0.42615814333502539</v>
      </c>
      <c r="D218" s="11">
        <f t="shared" si="4"/>
        <v>0.1833804337010195</v>
      </c>
      <c r="E218" s="18">
        <f>MAX(0,Y217-('P-Parametri'!$B$31*AF217))</f>
        <v>3976.8578948201321</v>
      </c>
      <c r="F218" s="18">
        <f>MAX(0,AA217-('P-Parametri'!$C$31*AF217))</f>
        <v>0</v>
      </c>
      <c r="G218" s="18">
        <f>MAX(0,AC217-('P-Parametri'!$D$31*AF217))</f>
        <v>0</v>
      </c>
      <c r="H218" s="18">
        <f>E218*C218*'P-Parametri'!$B$6+F218*D218*'P-Parametri'!$B$7</f>
        <v>440.64029795858414</v>
      </c>
      <c r="I218" s="18">
        <f t="shared" si="5"/>
        <v>3536.2175968615479</v>
      </c>
      <c r="J218" s="18">
        <f>MAX(0,('P-Parametri'!$B$31*AF217)-Y217)+MAX(0,('P-Parametri'!$C$31*AF217)-AA217)+MAX(0,('P-Parametri'!$D$31*AF217)-AC217)</f>
        <v>3976.8578948201248</v>
      </c>
      <c r="K218" s="18">
        <f>Y217-E218+IF(J218&lt;=0,0,I218*MAX(0,('P-Parametri'!$B$31*AF217)-Y217)/J218)</f>
        <v>148469.38795010277</v>
      </c>
      <c r="L218" s="18">
        <f>Z217-E218*(1-C218)+IF(J218&lt;=0,0,I218*MAX(0,('P-Parametri'!$B$31*AF217)-Y217)/J218)</f>
        <v>85197.949239199384</v>
      </c>
      <c r="M218" s="18">
        <f>AA217-F218+IF(J218&lt;=0,0,I218*MAX(0,('P-Parametri'!$C$31*AF217)-AA217)/J218)</f>
        <v>73922.925105265254</v>
      </c>
      <c r="N218" s="18">
        <f>AB217-F218*(1-D218)+IF(J218&lt;=0,0,I218*MAX(0,('P-Parametri'!$C$31*AF217)-AA217)/J218)</f>
        <v>60825.725108031693</v>
      </c>
      <c r="O218" s="18">
        <f>AC217-G218+IF(J218&lt;=0,0,I218*MAX(0,('P-Parametri'!$D$31*AF217)-AC217)/J218)</f>
        <v>24616.02656351135</v>
      </c>
      <c r="P218" s="18">
        <f>AD217-G218+IF(J218&lt;=0,0,I218*MAX(0,('P-Parametri'!$D$31*AF217)-AC217)/J218)</f>
        <v>16845.230871306896</v>
      </c>
      <c r="Q218" s="18">
        <f t="shared" si="6"/>
        <v>158641.32265734021</v>
      </c>
      <c r="R218" s="18">
        <f>M218*(1+'P-Parametri'!$C$29)</f>
        <v>74292.53973079157</v>
      </c>
      <c r="S218" s="18">
        <f>O218*(1+'1-Input'!$B$27)</f>
        <v>24527.408867882707</v>
      </c>
      <c r="T218" s="11">
        <f t="shared" si="7"/>
        <v>0.46295235180795852</v>
      </c>
      <c r="U218" s="11">
        <f t="shared" si="8"/>
        <v>0.18126738797137082</v>
      </c>
      <c r="V218" s="18">
        <f>IF(AG217=0,0,(MIN((Q218+R218+S218),MAX(0,$B$4-IF($A218&gt;='1-Input'!$C$12,'1-Input'!$B$12,0))/(Q218/(Q218+R218+S218)*(1-'P-Parametri'!$B$6*T218)+R218/(Q218+R218+S218)*(1-'P-Parametri'!$B$7*U218)+S218/(Q218+R218+S218))))*Q218/(Q218+R218+S218))</f>
        <v>8713.5126351496256</v>
      </c>
      <c r="W218" s="18">
        <f>IF(AG217=0,0,(MIN((Q218+R218+S218),MAX(0,$B$4-IF($A218&gt;='1-Input'!$C$12,'1-Input'!$B$12,0))/(Q218/(Q218+R218+S218)*(1-'P-Parametri'!$B$6*T218)+R218/(Q218+R218+S218)*(1-'P-Parametri'!$B$7*U218)+S218/(Q218+R218+S218))))*R218/(Q218+R218+S218))</f>
        <v>4080.5823652886424</v>
      </c>
      <c r="X218" s="18">
        <f>IF(AG217=0,0,(MIN((Q218+R218+S218),MAX(0,$B$4-IF($A218&gt;='1-Input'!$C$12,'1-Input'!$B$12,0))/(Q218/(Q218+R218+S218)*(1-'P-Parametri'!$B$6*T218)+R218/(Q218+R218+S218)*(1-'P-Parametri'!$B$7*U218)+S218/(Q218+R218+S218))))*S218/(Q218+R218+S218))</f>
        <v>1347.1892663136991</v>
      </c>
      <c r="Y218" s="18">
        <f t="shared" si="9"/>
        <v>149927.81002219059</v>
      </c>
      <c r="Z218" s="18">
        <f t="shared" si="10"/>
        <v>80518.37777100064</v>
      </c>
      <c r="AA218" s="18">
        <f t="shared" si="11"/>
        <v>70211.957365502923</v>
      </c>
      <c r="AB218" s="18">
        <f t="shared" si="12"/>
        <v>57484.819249500957</v>
      </c>
      <c r="AC218" s="18">
        <f t="shared" si="13"/>
        <v>23180.219601569006</v>
      </c>
      <c r="AD218" s="18">
        <f t="shared" si="14"/>
        <v>15498.041604993197</v>
      </c>
      <c r="AE218" s="18">
        <f>IF(AG218=0,AE217,AE217+H218+V218*T218*'P-Parametri'!$B$6+W218*U218*'P-Parametri'!$B$7)</f>
        <v>11027.848915098526</v>
      </c>
      <c r="AF218" s="18">
        <f t="shared" si="0"/>
        <v>243319.98698926251</v>
      </c>
      <c r="AG218" s="10">
        <f>IF(AND(AG217=1,(X218+W218*(1-'P-Parametri'!$B$7*U218)+V218*(1-'P-Parametri'!$B$6*T218))&gt;=MAX(0,$B$4-IF($A218&gt;='1-Input'!$C$12,'1-Input'!$B$12,0))-0.01),1,0)</f>
        <v>1</v>
      </c>
      <c r="AI218" s="11">
        <f t="shared" si="15"/>
        <v>0.42643618382800957</v>
      </c>
      <c r="AJ218" s="11">
        <f t="shared" si="16"/>
        <v>0.28006138731182489</v>
      </c>
      <c r="AK218" s="18">
        <f>MAX(0,BE217-('P-Parametri'!$B$31*BL217))</f>
        <v>12581.65660326113</v>
      </c>
      <c r="AL218" s="18">
        <f>MAX(0,BG217-('P-Parametri'!$C$31*BL217))</f>
        <v>1456.781481676182</v>
      </c>
      <c r="AM218" s="18">
        <f>MAX(0,BI217-('P-Parametri'!$D$31*BL217))</f>
        <v>0</v>
      </c>
      <c r="AN218" s="18">
        <f>AK218*AI218*'P-Parametri'!$B$6+AL218*AJ218*'P-Parametri'!$B$7</f>
        <v>1445.9696736596309</v>
      </c>
      <c r="AO218" s="18">
        <f t="shared" si="17"/>
        <v>12592.468411277681</v>
      </c>
      <c r="AP218" s="18">
        <f>MAX(0,('P-Parametri'!$B$31*BL217)-BE217)+MAX(0,('P-Parametri'!$C$31*BL217)-BG217)+MAX(0,('P-Parametri'!$D$31*BL217)-BI217)</f>
        <v>14038.438084937301</v>
      </c>
      <c r="AQ218" s="18">
        <f>BE217-AK218+IF(AP218&lt;=0,0,AO218*MAX(0,('P-Parametri'!$B$31*BL217)-BE217)/AP218)</f>
        <v>150072.23669825983</v>
      </c>
      <c r="AR218" s="18">
        <f>BF217-AK218*(1-AI218)+IF(AP218&lt;=0,0,AO218*MAX(0,('P-Parametri'!$B$31*BL217)-BE217)/AP218)</f>
        <v>86076.004782120144</v>
      </c>
      <c r="AS218" s="18">
        <f>BG217-AL218+IF(AP218&lt;=0,0,AO218*MAX(0,('P-Parametri'!$C$31*BL217)-BG217)/AP218)</f>
        <v>75036.118349129916</v>
      </c>
      <c r="AT218" s="18">
        <f>BH217-AL218*(1-AJ218)+IF(AP218&lt;=0,0,AO218*MAX(0,('P-Parametri'!$C$31*BL217)-BG217)/AP218)</f>
        <v>54021.39894577831</v>
      </c>
      <c r="AU218" s="18">
        <f>BI217-AM218+IF(AP218&lt;=0,0,AO218*MAX(0,('P-Parametri'!$D$31*BL217)-BI217)/AP218)</f>
        <v>23566.069776050357</v>
      </c>
      <c r="AV218" s="18">
        <f>BJ217-AM218+IF(AP218&lt;=0,0,AO218*MAX(0,('P-Parametri'!$D$31*BL217)-BI217)/AP218)</f>
        <v>15779.587870106856</v>
      </c>
      <c r="AW218" s="18">
        <f t="shared" si="18"/>
        <v>160353.985778931</v>
      </c>
      <c r="AX218" s="18">
        <f>AS218*(1+'P-Parametri'!$C$29)</f>
        <v>75411.298940875553</v>
      </c>
      <c r="AY218" s="18">
        <f>AU218*(1+'1-Input'!$B$27)</f>
        <v>23481.231924856576</v>
      </c>
      <c r="AZ218" s="11">
        <f t="shared" si="19"/>
        <v>0.46321256460199745</v>
      </c>
      <c r="BA218" s="11">
        <f t="shared" si="20"/>
        <v>0.28364317145455203</v>
      </c>
      <c r="BB218" s="18">
        <f>IF(BM217=0,0,MIN(MAX(AW218,0),(MAX(0,$B$4-IF($A218&gt;='1-Input'!$C$12,'1-Input'!$B$12,0))-BD218-BC218*(1-'P-Parametri'!$B$7*BA218))/(1-'P-Parametri'!$B$6*AZ218)))</f>
        <v>0</v>
      </c>
      <c r="BC218" s="18">
        <f>IF(BM217=0,0,MIN(MAX(AX218,0),(MAX(0,$B$4-IF($A218&gt;='1-Input'!$C$12,'1-Input'!$B$12,0))-BD218)/(1-'P-Parametri'!$B$7*BA218)))</f>
        <v>0</v>
      </c>
      <c r="BD218" s="18">
        <f>IF(BM217=0,0,MIN(MAX(AY218,0),MAX(0,$B$4-IF($A218&gt;='1-Input'!$C$12,'1-Input'!$B$12,0))))</f>
        <v>13000</v>
      </c>
      <c r="BE218" s="18">
        <f t="shared" si="21"/>
        <v>160353.985778931</v>
      </c>
      <c r="BF218" s="18">
        <f t="shared" si="22"/>
        <v>86076.004782120144</v>
      </c>
      <c r="BG218" s="18">
        <f t="shared" si="23"/>
        <v>75411.298940875553</v>
      </c>
      <c r="BH218" s="18">
        <f t="shared" si="24"/>
        <v>54021.39894577831</v>
      </c>
      <c r="BI218" s="18">
        <f t="shared" si="25"/>
        <v>10481.231924856576</v>
      </c>
      <c r="BJ218" s="18">
        <f t="shared" si="26"/>
        <v>2779.5878701068559</v>
      </c>
      <c r="BK218" s="18">
        <f>IF(BM218=0,BK217,BK217+AN218+BB218*AZ218*'P-Parametri'!$B$6+BC218*BA218*'P-Parametri'!$B$7)</f>
        <v>8869.1283398330106</v>
      </c>
      <c r="BL218" s="18">
        <f t="shared" si="1"/>
        <v>246246.51664466315</v>
      </c>
      <c r="BM218" s="10">
        <f>IF(AND(BM217=1,(BD218+BC218*(1-'P-Parametri'!$B$7*BA218)+BB218*(1-'P-Parametri'!$B$6*AZ218))&gt;=MAX(0,$B$4-IF($A218&gt;='1-Input'!$C$12,'1-Input'!$B$12,0))-0.01),1,0)</f>
        <v>1</v>
      </c>
      <c r="BO218" s="11">
        <f t="shared" si="27"/>
        <v>0.42505375848370447</v>
      </c>
      <c r="BP218" s="11">
        <f t="shared" si="28"/>
        <v>0.18354947952216424</v>
      </c>
      <c r="BQ218" s="18">
        <f>MAX(0,CK217-('P-Parametri'!$B$31*CR217))</f>
        <v>3902.0976407071284</v>
      </c>
      <c r="BR218" s="18">
        <f>MAX(0,CM217-('P-Parametri'!$C$31*CR217))</f>
        <v>0</v>
      </c>
      <c r="BS218" s="18">
        <f>MAX(0,CO217-('P-Parametri'!$D$31*CR217))</f>
        <v>0</v>
      </c>
      <c r="BT218" s="18">
        <f>BQ218*BO218*'P-Parametri'!$B$6+BR218*BP218*'P-Parametri'!$B$6</f>
        <v>431.2363297197698</v>
      </c>
      <c r="BU218" s="18">
        <f t="shared" si="29"/>
        <v>3470.8613109873586</v>
      </c>
      <c r="BV218" s="18">
        <f>MAX(0,('P-Parametri'!$B$31*CR217)-CK217)+MAX(0,('P-Parametri'!$C$31*CR217)-CM217)+MAX(0,('P-Parametri'!$D$31*CR217)-CO217)</f>
        <v>3902.097640707143</v>
      </c>
      <c r="BW218" s="18">
        <f>CK217-BQ218+IF(BV218&lt;=0,0,BU218*MAX(0,('P-Parametri'!$B$31*CR217)-CK217)/BV218)</f>
        <v>145706.44902227388</v>
      </c>
      <c r="BX218" s="18">
        <f>CL217-BQ218*(1-BO218)+IF(BV218&lt;=0,0,BU218*MAX(0,('P-Parametri'!$B$31*CR217)-CK217)/BV218)</f>
        <v>83773.375230042075</v>
      </c>
      <c r="BY218" s="18">
        <f>CM217-BR218+IF(BV218&lt;=0,0,BU218*MAX(0,('P-Parametri'!$C$31*CR217)-CM217)/BV218)</f>
        <v>72548.107033100343</v>
      </c>
      <c r="BZ218" s="18">
        <f>CN217-BR218*(1-BP218)+IF(BV218&lt;=0,0,BU218*MAX(0,('P-Parametri'!$C$31*CR217)-CM217)/BV218)</f>
        <v>59682.696417786108</v>
      </c>
      <c r="CA218" s="18">
        <f>CO217-BS218+IF(BV218&lt;=0,0,BU218*MAX(0,('P-Parametri'!$D$31*CR217)-CO217)/BV218)</f>
        <v>24158.289318695795</v>
      </c>
      <c r="CB218" s="18">
        <f>CP217-BS218+IF(BV218&lt;=0,0,BU218*MAX(0,('P-Parametri'!$D$31*CR217)-CO217)/BV218)</f>
        <v>16373.031222366229</v>
      </c>
      <c r="CC218" s="18">
        <f t="shared" si="30"/>
        <v>155689.08925768788</v>
      </c>
      <c r="CD218" s="18">
        <f>BY218*(1+'P-Parametri'!$C$29)</f>
        <v>72910.847568265832</v>
      </c>
      <c r="CE218" s="18">
        <f>CA218*(1+'1-Input'!$B$27)</f>
        <v>24071.319477148489</v>
      </c>
      <c r="CF218" s="11">
        <f t="shared" si="31"/>
        <v>0.4619187790906461</v>
      </c>
      <c r="CG218" s="11">
        <f t="shared" si="32"/>
        <v>0.18142912326035318</v>
      </c>
      <c r="CH218" s="18">
        <f>IF(CS217=0,0,(MIN((CC218+CD218+CE218),MAX(0,$B$4-IF($A218&gt;='1-Input'!$C$12,'1-Input'!$B$12,0))/(CC218/(CC218+CD218+CE218)*(1-'P-Parametri'!$B$6*CF218)+CD218/(CC218+CD218+CE218)*(1-'P-Parametri'!$B$6*CG218)+CE218/(CC218+CD218+CE218))))*CC218/(CC218+CD218+CE218))</f>
        <v>8779.440192570808</v>
      </c>
      <c r="CI218" s="18">
        <f>IF(CS217=0,0,(MIN((CC218+CD218+CE218),MAX(0,$B$4-IF($A218&gt;='1-Input'!$C$12,'1-Input'!$B$12,0))/(CC218/(CC218+CD218+CE218)*(1-'P-Parametri'!$B$6*CF218)+CD218/(CC218+CD218+CE218)*(1-'P-Parametri'!$B$6*CG218)+CE218/(CC218+CD218+CE218))))*CD218/(CC218+CD218+CE218))</f>
        <v>4111.5047217968604</v>
      </c>
      <c r="CJ218" s="18">
        <f>IF(CS217=0,0,(MIN((CC218+CD218+CE218),MAX(0,$B$4-IF($A218&gt;='1-Input'!$C$12,'1-Input'!$B$12,0))/(CC218/(CC218+CD218+CE218)*(1-'P-Parametri'!$B$6*CF218)+CD218/(CC218+CD218+CE218)*(1-'P-Parametri'!$B$6*CG218)+CE218/(CC218+CD218+CE218))))*CE218/(CC218+CD218+CE218))</f>
        <v>1357.4021835024282</v>
      </c>
      <c r="CK218" s="18">
        <f t="shared" si="33"/>
        <v>146909.64906511706</v>
      </c>
      <c r="CL218" s="18">
        <f t="shared" si="34"/>
        <v>79049.323332322921</v>
      </c>
      <c r="CM218" s="18">
        <f t="shared" si="35"/>
        <v>68799.342846468964</v>
      </c>
      <c r="CN218" s="18">
        <f t="shared" si="36"/>
        <v>56317.138392945657</v>
      </c>
      <c r="CO218" s="18">
        <f t="shared" si="37"/>
        <v>22713.91729364606</v>
      </c>
      <c r="CP218" s="18">
        <f t="shared" si="38"/>
        <v>15015.629038863801</v>
      </c>
      <c r="CQ218" s="18">
        <f>IF(CS218=0,CQ217,CQ217+BT218+CH218*CF218*'P-Parametri'!$B$6+CI218*CG218*'P-Parametri'!$B$6)</f>
        <v>14188.302160370849</v>
      </c>
      <c r="CR218" s="18">
        <f t="shared" si="2"/>
        <v>238422.90920523208</v>
      </c>
      <c r="CS218" s="10">
        <f>IF(AND(CS217=1,(CJ218+CI218*(1-'P-Parametri'!$B$6*CG218)+CH218*(1-'P-Parametri'!$B$6*CF218))&gt;=MAX(0,$B$4-IF($A218&gt;='1-Input'!$C$12,'1-Input'!$B$12,0))-0.01),1,0)</f>
        <v>1</v>
      </c>
    </row>
    <row r="219" spans="1:97">
      <c r="A219" s="10">
        <f>19</f>
        <v>19</v>
      </c>
      <c r="B219" s="11">
        <f>IF(A219=1,'P-Parametri'!$B$30,IF(A219=2,'P-Parametri'!$C$30,'P-Parametri'!$B$29))</f>
        <v>6.8512000000000003E-2</v>
      </c>
      <c r="C219" s="11">
        <f t="shared" si="3"/>
        <v>0.46295235180795852</v>
      </c>
      <c r="D219" s="11">
        <f t="shared" si="4"/>
        <v>0.18126738797137085</v>
      </c>
      <c r="E219" s="18">
        <f>MAX(0,Y218-('P-Parametri'!$B$31*AF218))</f>
        <v>3935.8178286330949</v>
      </c>
      <c r="F219" s="18">
        <f>MAX(0,AA218-('P-Parametri'!$C$31*AF218))</f>
        <v>0</v>
      </c>
      <c r="G219" s="18">
        <f>MAX(0,AC218-('P-Parametri'!$D$31*AF218))</f>
        <v>0</v>
      </c>
      <c r="H219" s="18">
        <f>E219*C219*'P-Parametri'!$B$6+F219*D219*'P-Parametri'!$B$7</f>
        <v>473.74499121387981</v>
      </c>
      <c r="I219" s="18">
        <f t="shared" si="5"/>
        <v>3462.0728374192149</v>
      </c>
      <c r="J219" s="18">
        <f>MAX(0,('P-Parametri'!$B$31*AF218)-Y218)+MAX(0,('P-Parametri'!$C$31*AF218)-AA218)+MAX(0,('P-Parametri'!$D$31*AF218)-AC218)</f>
        <v>3935.8178286330731</v>
      </c>
      <c r="K219" s="18">
        <f>Y218-E219+IF(J219&lt;=0,0,I219*MAX(0,('P-Parametri'!$B$31*AF218)-Y218)/J219)</f>
        <v>145991.9921935575</v>
      </c>
      <c r="L219" s="18">
        <f>Z218-E219*(1-C219)+IF(J219&lt;=0,0,I219*MAX(0,('P-Parametri'!$B$31*AF218)-Y218)/J219)</f>
        <v>78404.656062420923</v>
      </c>
      <c r="M219" s="18">
        <f>AA218-F219+IF(J219&lt;=0,0,I219*MAX(0,('P-Parametri'!$C$31*AF218)-AA218)/J219)</f>
        <v>72660.88800445493</v>
      </c>
      <c r="N219" s="18">
        <f>AB218-F219*(1-D219)+IF(J219&lt;=0,0,I219*MAX(0,('P-Parametri'!$C$31*AF218)-AA218)/J219)</f>
        <v>59933.749888452963</v>
      </c>
      <c r="O219" s="18">
        <f>AC218-G219+IF(J219&lt;=0,0,I219*MAX(0,('P-Parametri'!$D$31*AF218)-AC218)/J219)</f>
        <v>24193.361800036215</v>
      </c>
      <c r="P219" s="18">
        <f>AD218-G219+IF(J219&lt;=0,0,I219*MAX(0,('P-Parametri'!$D$31*AF218)-AC218)/J219)</f>
        <v>16511.183803460408</v>
      </c>
      <c r="Q219" s="18">
        <f t="shared" si="6"/>
        <v>155994.19556272248</v>
      </c>
      <c r="R219" s="18">
        <f>M219*(1+'P-Parametri'!$C$29)</f>
        <v>73024.192444477201</v>
      </c>
      <c r="S219" s="18">
        <f>O219*(1+'1-Input'!$B$27)</f>
        <v>24106.265697556082</v>
      </c>
      <c r="T219" s="11">
        <f t="shared" si="7"/>
        <v>0.4973873497049715</v>
      </c>
      <c r="U219" s="11">
        <f t="shared" si="8"/>
        <v>0.17926172296910164</v>
      </c>
      <c r="V219" s="18">
        <f>IF(AG218=0,0,(MIN((Q219+R219+S219),MAX(0,$B$4-IF($A219&gt;='1-Input'!$C$12,'1-Input'!$B$12,0))/(Q219/(Q219+R219+S219)*(1-'P-Parametri'!$B$6*T219)+R219/(Q219+R219+S219)*(1-'P-Parametri'!$B$7*U219)+S219/(Q219+R219+S219))))*Q219/(Q219+R219+S219))</f>
        <v>8766.9366238850725</v>
      </c>
      <c r="W219" s="18">
        <f>IF(AG218=0,0,(MIN((Q219+R219+S219),MAX(0,$B$4-IF($A219&gt;='1-Input'!$C$12,'1-Input'!$B$12,0))/(Q219/(Q219+R219+S219)*(1-'P-Parametri'!$B$6*T219)+R219/(Q219+R219+S219)*(1-'P-Parametri'!$B$7*U219)+S219/(Q219+R219+S219))))*R219/(Q219+R219+S219))</f>
        <v>4103.9890289616997</v>
      </c>
      <c r="X219" s="18">
        <f>IF(AG218=0,0,(MIN((Q219+R219+S219),MAX(0,$B$4-IF($A219&gt;='1-Input'!$C$12,'1-Input'!$B$12,0))/(Q219/(Q219+R219+S219)*(1-'P-Parametri'!$B$6*T219)+R219/(Q219+R219+S219)*(1-'P-Parametri'!$B$7*U219)+S219/(Q219+R219+S219))))*S219/(Q219+R219+S219))</f>
        <v>1354.7818420207411</v>
      </c>
      <c r="Y219" s="18">
        <f t="shared" si="9"/>
        <v>147227.25893883742</v>
      </c>
      <c r="Z219" s="18">
        <f t="shared" si="10"/>
        <v>73998.28281092149</v>
      </c>
      <c r="AA219" s="18">
        <f t="shared" si="11"/>
        <v>68920.203415515498</v>
      </c>
      <c r="AB219" s="18">
        <f t="shared" si="12"/>
        <v>56565.449003869231</v>
      </c>
      <c r="AC219" s="18">
        <f t="shared" si="13"/>
        <v>22751.483855535342</v>
      </c>
      <c r="AD219" s="18">
        <f t="shared" si="14"/>
        <v>15156.401961439668</v>
      </c>
      <c r="AE219" s="18">
        <f>IF(AG219=0,AE218,AE218+H219+V219*T219*'P-Parametri'!$B$6+W219*U219*'P-Parametri'!$B$7)</f>
        <v>12727.301401179921</v>
      </c>
      <c r="AF219" s="18">
        <f t="shared" si="0"/>
        <v>238898.94620988827</v>
      </c>
      <c r="AG219" s="10">
        <f>IF(AND(AG218=1,(X219+W219*(1-'P-Parametri'!$B$7*U219)+V219*(1-'P-Parametri'!$B$6*T219))&gt;=MAX(0,$B$4-IF($A219&gt;='1-Input'!$C$12,'1-Input'!$B$12,0))-0.01),1,0)</f>
        <v>1</v>
      </c>
      <c r="AI219" s="11">
        <f t="shared" si="15"/>
        <v>0.46321256460199745</v>
      </c>
      <c r="AJ219" s="11">
        <f t="shared" si="16"/>
        <v>0.28364317145455203</v>
      </c>
      <c r="AK219" s="18">
        <f>MAX(0,BE218-('P-Parametri'!$B$31*BL218))</f>
        <v>12606.07579213311</v>
      </c>
      <c r="AL219" s="18">
        <f>MAX(0,BG218-('P-Parametri'!$C$31*BL218))</f>
        <v>1537.3439474766055</v>
      </c>
      <c r="AM219" s="18">
        <f>MAX(0,BI218-('P-Parametri'!$D$31*BL218))</f>
        <v>0</v>
      </c>
      <c r="AN219" s="18">
        <f>AK219*AI219*'P-Parametri'!$B$6+AL219*AJ219*'P-Parametri'!$B$7</f>
        <v>1572.7232403925357</v>
      </c>
      <c r="AO219" s="18">
        <f t="shared" si="17"/>
        <v>12570.69649921718</v>
      </c>
      <c r="AP219" s="18">
        <f>MAX(0,('P-Parametri'!$B$31*BL218)-BE218)+MAX(0,('P-Parametri'!$C$31*BL218)-BG218)+MAX(0,('P-Parametri'!$D$31*BL218)-BI218)</f>
        <v>14143.419739609741</v>
      </c>
      <c r="AQ219" s="18">
        <f>BE218-AK219+IF(AP219&lt;=0,0,AO219*MAX(0,('P-Parametri'!$B$31*BL218)-BE218)/AP219)</f>
        <v>147747.90998679789</v>
      </c>
      <c r="AR219" s="18">
        <f>BF218-AK219*(1-AI219)+IF(AP219&lt;=0,0,AO219*MAX(0,('P-Parametri'!$B$31*BL218)-BE218)/AP219)</f>
        <v>79309.221687228172</v>
      </c>
      <c r="AS219" s="18">
        <f>BG218-AL219+IF(AP219&lt;=0,0,AO219*MAX(0,('P-Parametri'!$C$31*BL218)-BG218)/AP219)</f>
        <v>73873.954993398947</v>
      </c>
      <c r="AT219" s="18">
        <f>BH218-AL219*(1-AJ219)+IF(AP219&lt;=0,0,AO219*MAX(0,('P-Parametri'!$C$31*BL218)-BG218)/AP219)</f>
        <v>52920.112111180431</v>
      </c>
      <c r="AU219" s="18">
        <f>BI218-AM219+IF(AP219&lt;=0,0,AO219*MAX(0,('P-Parametri'!$D$31*BL218)-BI218)/AP219)</f>
        <v>23051.928424073754</v>
      </c>
      <c r="AV219" s="18">
        <f>BJ218-AM219+IF(AP219&lt;=0,0,AO219*MAX(0,('P-Parametri'!$D$31*BL218)-BI218)/AP219)</f>
        <v>15350.284369324036</v>
      </c>
      <c r="AW219" s="18">
        <f t="shared" si="18"/>
        <v>157870.41479581338</v>
      </c>
      <c r="AX219" s="18">
        <f>AS219*(1+'P-Parametri'!$C$29)</f>
        <v>74243.324768365928</v>
      </c>
      <c r="AY219" s="18">
        <f>AU219*(1+'1-Input'!$B$27)</f>
        <v>22968.941481747086</v>
      </c>
      <c r="AZ219" s="11">
        <f t="shared" si="19"/>
        <v>0.49763087789561317</v>
      </c>
      <c r="BA219" s="11">
        <f t="shared" si="20"/>
        <v>0.28720713577567353</v>
      </c>
      <c r="BB219" s="18">
        <f>IF(BM218=0,0,MIN(MAX(AW219,0),(MAX(0,$B$4-IF($A219&gt;='1-Input'!$C$12,'1-Input'!$B$12,0))-BD219-BC219*(1-'P-Parametri'!$B$7*BA219))/(1-'P-Parametri'!$B$6*AZ219)))</f>
        <v>0</v>
      </c>
      <c r="BC219" s="18">
        <f>IF(BM218=0,0,MIN(MAX(AX219,0),(MAX(0,$B$4-IF($A219&gt;='1-Input'!$C$12,'1-Input'!$B$12,0))-BD219)/(1-'P-Parametri'!$B$7*BA219)))</f>
        <v>0</v>
      </c>
      <c r="BD219" s="18">
        <f>IF(BM218=0,0,MIN(MAX(AY219,0),MAX(0,$B$4-IF($A219&gt;='1-Input'!$C$12,'1-Input'!$B$12,0))))</f>
        <v>13000</v>
      </c>
      <c r="BE219" s="18">
        <f t="shared" si="21"/>
        <v>157870.41479581338</v>
      </c>
      <c r="BF219" s="18">
        <f t="shared" si="22"/>
        <v>79309.221687228172</v>
      </c>
      <c r="BG219" s="18">
        <f t="shared" si="23"/>
        <v>74243.324768365928</v>
      </c>
      <c r="BH219" s="18">
        <f t="shared" si="24"/>
        <v>52920.112111180431</v>
      </c>
      <c r="BI219" s="18">
        <f t="shared" si="25"/>
        <v>9968.9414817470861</v>
      </c>
      <c r="BJ219" s="18">
        <f t="shared" si="26"/>
        <v>2350.2843693240357</v>
      </c>
      <c r="BK219" s="18">
        <f>IF(BM219=0,BK218,BK218+AN219+BB219*AZ219*'P-Parametri'!$B$6+BC219*BA219*'P-Parametri'!$B$7)</f>
        <v>10441.851580225546</v>
      </c>
      <c r="BL219" s="18">
        <f t="shared" si="1"/>
        <v>242082.68104592641</v>
      </c>
      <c r="BM219" s="10">
        <f>IF(AND(BM218=1,(BD219+BC219*(1-'P-Parametri'!$B$7*BA219)+BB219*(1-'P-Parametri'!$B$6*AZ219))&gt;=MAX(0,$B$4-IF($A219&gt;='1-Input'!$C$12,'1-Input'!$B$12,0))-0.01),1,0)</f>
        <v>1</v>
      </c>
      <c r="BO219" s="11">
        <f t="shared" si="27"/>
        <v>0.46191877909064605</v>
      </c>
      <c r="BP219" s="11">
        <f t="shared" si="28"/>
        <v>0.18142912326035307</v>
      </c>
      <c r="BQ219" s="18">
        <f>MAX(0,CK218-('P-Parametri'!$B$31*CR218))</f>
        <v>3855.9035419778083</v>
      </c>
      <c r="BR219" s="18">
        <f>MAX(0,CM218-('P-Parametri'!$C$31*CR218))</f>
        <v>0</v>
      </c>
      <c r="BS219" s="18">
        <f>MAX(0,CO218-('P-Parametri'!$D$31*CR218))</f>
        <v>0</v>
      </c>
      <c r="BT219" s="18">
        <f>BQ219*BO219*'P-Parametri'!$B$6+BR219*BP219*'P-Parametri'!$B$6</f>
        <v>463.08970666443861</v>
      </c>
      <c r="BU219" s="18">
        <f t="shared" si="29"/>
        <v>3392.81383531337</v>
      </c>
      <c r="BV219" s="18">
        <f>MAX(0,('P-Parametri'!$B$31*CR218)-CK218)+MAX(0,('P-Parametri'!$C$31*CR218)-CM218)+MAX(0,('P-Parametri'!$D$31*CR218)-CO218)</f>
        <v>3855.903541977812</v>
      </c>
      <c r="BW219" s="18">
        <f>CK218-BQ219+IF(BV219&lt;=0,0,BU219*MAX(0,('P-Parametri'!$B$31*CR218)-CK218)/BV219)</f>
        <v>143053.74552313925</v>
      </c>
      <c r="BX219" s="18">
        <f>CL218-BQ219*(1-BO219)+IF(BV219&lt;=0,0,BU219*MAX(0,('P-Parametri'!$B$31*CR218)-CK218)/BV219)</f>
        <v>76974.534046746805</v>
      </c>
      <c r="BY219" s="18">
        <f>CM218-BR219+IF(BV219&lt;=0,0,BU219*MAX(0,('P-Parametri'!$C$31*CR218)-CM218)/BV219)</f>
        <v>71199.299466607335</v>
      </c>
      <c r="BZ219" s="18">
        <f>CN218-BR219*(1-BP219)+IF(BV219&lt;=0,0,BU219*MAX(0,('P-Parametri'!$C$31*CR218)-CM218)/BV219)</f>
        <v>58717.095013084021</v>
      </c>
      <c r="CA219" s="18">
        <f>CO218-BS219+IF(BV219&lt;=0,0,BU219*MAX(0,('P-Parametri'!$D$31*CR218)-CO218)/BV219)</f>
        <v>23706.774508821061</v>
      </c>
      <c r="CB219" s="18">
        <f>CP218-BS219+IF(BV219&lt;=0,0,BU219*MAX(0,('P-Parametri'!$D$31*CR218)-CO218)/BV219)</f>
        <v>16008.486254038804</v>
      </c>
      <c r="CC219" s="18">
        <f t="shared" si="30"/>
        <v>152854.64373642055</v>
      </c>
      <c r="CD219" s="18">
        <f>BY219*(1+'P-Parametri'!$C$29)</f>
        <v>71555.295963940371</v>
      </c>
      <c r="CE219" s="18">
        <f>CA219*(1+'1-Input'!$B$27)</f>
        <v>23621.430120589306</v>
      </c>
      <c r="CF219" s="11">
        <f t="shared" si="31"/>
        <v>0.49642004871320672</v>
      </c>
      <c r="CG219" s="11">
        <f t="shared" si="32"/>
        <v>0.17941650269081469</v>
      </c>
      <c r="CH219" s="18">
        <f>IF(CS218=0,0,(MIN((CC219+CD219+CE219),MAX(0,$B$4-IF($A219&gt;='1-Input'!$C$12,'1-Input'!$B$12,0))/(CC219/(CC219+CD219+CE219)*(1-'P-Parametri'!$B$6*CF219)+CD219/(CC219+CD219+CE219)*(1-'P-Parametri'!$B$6*CG219)+CE219/(CC219+CD219+CE219))))*CC219/(CC219+CD219+CE219))</f>
        <v>8832.9910065669173</v>
      </c>
      <c r="CI219" s="18">
        <f>IF(CS218=0,0,(MIN((CC219+CD219+CE219),MAX(0,$B$4-IF($A219&gt;='1-Input'!$C$12,'1-Input'!$B$12,0))/(CC219/(CC219+CD219+CE219)*(1-'P-Parametri'!$B$6*CF219)+CD219/(CC219+CD219+CE219)*(1-'P-Parametri'!$B$6*CG219)+CE219/(CC219+CD219+CE219))))*CD219/(CC219+CD219+CE219))</f>
        <v>4134.9563891013277</v>
      </c>
      <c r="CJ219" s="18">
        <f>IF(CS218=0,0,(MIN((CC219+CD219+CE219),MAX(0,$B$4-IF($A219&gt;='1-Input'!$C$12,'1-Input'!$B$12,0))/(CC219/(CC219+CD219+CE219)*(1-'P-Parametri'!$B$6*CF219)+CD219/(CC219+CD219+CE219)*(1-'P-Parametri'!$B$6*CG219)+CE219/(CC219+CD219+CE219))))*CE219/(CC219+CD219+CE219))</f>
        <v>1365.0084466992209</v>
      </c>
      <c r="CK219" s="18">
        <f t="shared" si="33"/>
        <v>144021.65272985364</v>
      </c>
      <c r="CL219" s="18">
        <f t="shared" si="34"/>
        <v>72526.41686594316</v>
      </c>
      <c r="CM219" s="18">
        <f t="shared" si="35"/>
        <v>67420.339574839047</v>
      </c>
      <c r="CN219" s="18">
        <f t="shared" si="36"/>
        <v>55324.018038094291</v>
      </c>
      <c r="CO219" s="18">
        <f t="shared" si="37"/>
        <v>22256.421673890087</v>
      </c>
      <c r="CP219" s="18">
        <f t="shared" si="38"/>
        <v>14643.477807339583</v>
      </c>
      <c r="CQ219" s="18">
        <f>IF(CS219=0,CQ218,CQ218+BT219+CH219*CF219*'P-Parametri'!$B$6+CI219*CG219*'P-Parametri'!$B$6)</f>
        <v>15984.347709402755</v>
      </c>
      <c r="CR219" s="18">
        <f t="shared" si="2"/>
        <v>233698.41397858277</v>
      </c>
      <c r="CS219" s="10">
        <f>IF(AND(CS218=1,(CJ219+CI219*(1-'P-Parametri'!$B$6*CG219)+CH219*(1-'P-Parametri'!$B$6*CF219))&gt;=MAX(0,$B$4-IF($A219&gt;='1-Input'!$C$12,'1-Input'!$B$12,0))-0.01),1,0)</f>
        <v>1</v>
      </c>
    </row>
    <row r="220" spans="1:97">
      <c r="A220" s="10">
        <f>20</f>
        <v>20</v>
      </c>
      <c r="B220" s="11">
        <f>IF(A220=1,'P-Parametri'!$B$30,IF(A220=2,'P-Parametri'!$C$30,'P-Parametri'!$B$29))</f>
        <v>6.8512000000000003E-2</v>
      </c>
      <c r="C220" s="11">
        <f t="shared" si="3"/>
        <v>0.49738734970497156</v>
      </c>
      <c r="D220" s="11">
        <f t="shared" si="4"/>
        <v>0.17926172296910156</v>
      </c>
      <c r="E220" s="18">
        <f>MAX(0,Y219-('P-Parametri'!$B$31*AF219))</f>
        <v>3887.8912129044766</v>
      </c>
      <c r="F220" s="18">
        <f>MAX(0,AA219-('P-Parametri'!$C$31*AF219))</f>
        <v>0</v>
      </c>
      <c r="G220" s="18">
        <f>MAX(0,AC219-('P-Parametri'!$D$31*AF219))</f>
        <v>0</v>
      </c>
      <c r="H220" s="18">
        <f>E220*C220*'P-Parametri'!$B$6+F220*D220*'P-Parametri'!$B$7</f>
        <v>502.7848556452293</v>
      </c>
      <c r="I220" s="18">
        <f t="shared" si="5"/>
        <v>3385.1063572592475</v>
      </c>
      <c r="J220" s="18">
        <f>MAX(0,('P-Parametri'!$B$31*AF219)-Y219)+MAX(0,('P-Parametri'!$C$31*AF219)-AA219)+MAX(0,('P-Parametri'!$D$31*AF219)-AC219)</f>
        <v>3887.8912129044584</v>
      </c>
      <c r="K220" s="18">
        <f>Y219-E220+IF(J220&lt;=0,0,I220*MAX(0,('P-Parametri'!$B$31*AF219)-Y219)/J220)</f>
        <v>143339.36772593294</v>
      </c>
      <c r="L220" s="18">
        <f>Z219-E220*(1-C220)+IF(J220&lt;=0,0,I220*MAX(0,('P-Parametri'!$B$31*AF219)-Y219)/J220)</f>
        <v>72044.179504344822</v>
      </c>
      <c r="M220" s="18">
        <f>AA219-F220+IF(J220&lt;=0,0,I220*MAX(0,('P-Parametri'!$C$31*AF219)-AA219)/J220)</f>
        <v>71314.119096832423</v>
      </c>
      <c r="N220" s="18">
        <f>AB219-F220*(1-D220)+IF(J220&lt;=0,0,I220*MAX(0,('P-Parametri'!$C$31*AF219)-AA219)/J220)</f>
        <v>58959.364685186163</v>
      </c>
      <c r="O220" s="18">
        <f>AC219-G220+IF(J220&lt;=0,0,I220*MAX(0,('P-Parametri'!$D$31*AF219)-AC219)/J220)</f>
        <v>23742.674531477656</v>
      </c>
      <c r="P220" s="18">
        <f>AD219-G220+IF(J220&lt;=0,0,I220*MAX(0,('P-Parametri'!$D$31*AF219)-AC219)/J220)</f>
        <v>16147.592637381984</v>
      </c>
      <c r="Q220" s="18">
        <f t="shared" si="6"/>
        <v>153159.83448757205</v>
      </c>
      <c r="R220" s="18">
        <f>M220*(1+'P-Parametri'!$C$29)</f>
        <v>71670.689692316577</v>
      </c>
      <c r="S220" s="18">
        <f>O220*(1+'1-Input'!$B$27)</f>
        <v>23657.200903164336</v>
      </c>
      <c r="T220" s="11">
        <f t="shared" si="7"/>
        <v>0.52961440742356802</v>
      </c>
      <c r="U220" s="11">
        <f t="shared" si="8"/>
        <v>0.17735736968208812</v>
      </c>
      <c r="V220" s="18">
        <f>IF(AG219=0,0,(MIN((Q220+R220+S220),MAX(0,$B$4-IF($A220&gt;='1-Input'!$C$12,'1-Input'!$B$12,0))/(Q220/(Q220+R220+S220)*(1-'P-Parametri'!$B$6*T220)+R220/(Q220+R220+S220)*(1-'P-Parametri'!$B$7*U220)+S220/(Q220+R220+S220))))*Q220/(Q220+R220+S220))</f>
        <v>8817.5411444736183</v>
      </c>
      <c r="W220" s="18">
        <f>IF(AG219=0,0,(MIN((Q220+R220+S220),MAX(0,$B$4-IF($A220&gt;='1-Input'!$C$12,'1-Input'!$B$12,0))/(Q220/(Q220+R220+S220)*(1-'P-Parametri'!$B$6*T220)+R220/(Q220+R220+S220)*(1-'P-Parametri'!$B$7*U220)+S220/(Q220+R220+S220))))*R220/(Q220+R220+S220))</f>
        <v>4126.14219210378</v>
      </c>
      <c r="X220" s="18">
        <f>IF(AG219=0,0,(MIN((Q220+R220+S220),MAX(0,$B$4-IF($A220&gt;='1-Input'!$C$12,'1-Input'!$B$12,0))/(Q220/(Q220+R220+S220)*(1-'P-Parametri'!$B$6*T220)+R220/(Q220+R220+S220)*(1-'P-Parametri'!$B$7*U220)+S220/(Q220+R220+S220))))*S220/(Q220+R220+S220))</f>
        <v>1361.9650545107922</v>
      </c>
      <c r="Y220" s="18">
        <f t="shared" si="9"/>
        <v>144342.29334309843</v>
      </c>
      <c r="Z220" s="18">
        <f t="shared" si="10"/>
        <v>67896.535188034526</v>
      </c>
      <c r="AA220" s="18">
        <f t="shared" si="11"/>
        <v>67544.547500212793</v>
      </c>
      <c r="AB220" s="18">
        <f t="shared" si="12"/>
        <v>55565.024219208193</v>
      </c>
      <c r="AC220" s="18">
        <f t="shared" si="13"/>
        <v>22295.235848653545</v>
      </c>
      <c r="AD220" s="18">
        <f t="shared" si="14"/>
        <v>14785.627582871191</v>
      </c>
      <c r="AE220" s="18">
        <f>IF(AG220=0,AE219,AE219+H220+V220*T220*'P-Parametri'!$B$6+W220*U220*'P-Parametri'!$B$7)</f>
        <v>14535.734647913341</v>
      </c>
      <c r="AF220" s="18">
        <f t="shared" si="0"/>
        <v>234182.07669196476</v>
      </c>
      <c r="AG220" s="10">
        <f>IF(AND(AG219=1,(X220+W220*(1-'P-Parametri'!$B$7*U220)+V220*(1-'P-Parametri'!$B$6*T220))&gt;=MAX(0,$B$4-IF($A220&gt;='1-Input'!$C$12,'1-Input'!$B$12,0))-0.01),1,0)</f>
        <v>1</v>
      </c>
      <c r="AI220" s="11">
        <f t="shared" si="15"/>
        <v>0.49763087789561317</v>
      </c>
      <c r="AJ220" s="11">
        <f t="shared" si="16"/>
        <v>0.28720713577567353</v>
      </c>
      <c r="AK220" s="18">
        <f>MAX(0,BE219-('P-Parametri'!$B$31*BL219))</f>
        <v>12620.80616825755</v>
      </c>
      <c r="AL220" s="18">
        <f>MAX(0,BG219-('P-Parametri'!$C$31*BL219))</f>
        <v>1618.5204545880115</v>
      </c>
      <c r="AM220" s="18">
        <f>MAX(0,BI219-('P-Parametri'!$D$31*BL219))</f>
        <v>0</v>
      </c>
      <c r="AN220" s="18">
        <f>AK220*AI220*'P-Parametri'!$B$6+AL220*AJ220*'P-Parametri'!$B$7</f>
        <v>1691.0370698422678</v>
      </c>
      <c r="AO220" s="18">
        <f t="shared" si="17"/>
        <v>12548.289553003293</v>
      </c>
      <c r="AP220" s="18">
        <f>MAX(0,('P-Parametri'!$B$31*BL219)-BE219)+MAX(0,('P-Parametri'!$C$31*BL219)-BG219)+MAX(0,('P-Parametri'!$D$31*BL219)-BI219)</f>
        <v>14239.326622845558</v>
      </c>
      <c r="AQ220" s="18">
        <f>BE219-AK220+IF(AP220&lt;=0,0,AO220*MAX(0,('P-Parametri'!$B$31*BL219)-BE219)/AP220)</f>
        <v>145249.60862755583</v>
      </c>
      <c r="AR220" s="18">
        <f>BF219-AK220*(1-AI220)+IF(AP220&lt;=0,0,AO220*MAX(0,('P-Parametri'!$B$31*BL219)-BE219)/AP220)</f>
        <v>72968.918372230997</v>
      </c>
      <c r="AS220" s="18">
        <f>BG219-AL220+IF(AP220&lt;=0,0,AO220*MAX(0,('P-Parametri'!$C$31*BL219)-BG219)/AP220)</f>
        <v>72624.804313777917</v>
      </c>
      <c r="AT220" s="18">
        <f>BH219-AL220*(1-AJ220)+IF(AP220&lt;=0,0,AO220*MAX(0,('P-Parametri'!$C$31*BL219)-BG219)/AP220)</f>
        <v>51766.442280548981</v>
      </c>
      <c r="AU220" s="18">
        <f>BI219-AM220+IF(AP220&lt;=0,0,AO220*MAX(0,('P-Parametri'!$D$31*BL219)-BI219)/AP220)</f>
        <v>22517.231034750381</v>
      </c>
      <c r="AV220" s="18">
        <f>BJ219-AM220+IF(AP220&lt;=0,0,AO220*MAX(0,('P-Parametri'!$D$31*BL219)-BI219)/AP220)</f>
        <v>14898.573922327329</v>
      </c>
      <c r="AW220" s="18">
        <f t="shared" si="18"/>
        <v>155200.94981384694</v>
      </c>
      <c r="AX220" s="18">
        <f>AS220*(1+'P-Parametri'!$C$29)</f>
        <v>72987.928335346805</v>
      </c>
      <c r="AY220" s="18">
        <f>AU220*(1+'1-Input'!$B$27)</f>
        <v>22436.169003025279</v>
      </c>
      <c r="AZ220" s="11">
        <f t="shared" si="19"/>
        <v>0.52984232081213234</v>
      </c>
      <c r="BA220" s="11">
        <f t="shared" si="20"/>
        <v>0.29075336893101844</v>
      </c>
      <c r="BB220" s="18">
        <f>IF(BM219=0,0,MIN(MAX(AW220,0),(MAX(0,$B$4-IF($A220&gt;='1-Input'!$C$12,'1-Input'!$B$12,0))-BD220-BC220*(1-'P-Parametri'!$B$7*BA220))/(1-'P-Parametri'!$B$6*AZ220)))</f>
        <v>0</v>
      </c>
      <c r="BC220" s="18">
        <f>IF(BM219=0,0,MIN(MAX(AX220,0),(MAX(0,$B$4-IF($A220&gt;='1-Input'!$C$12,'1-Input'!$B$12,0))-BD220)/(1-'P-Parametri'!$B$7*BA220)))</f>
        <v>0</v>
      </c>
      <c r="BD220" s="18">
        <f>IF(BM219=0,0,MIN(MAX(AY220,0),MAX(0,$B$4-IF($A220&gt;='1-Input'!$C$12,'1-Input'!$B$12,0))))</f>
        <v>13000</v>
      </c>
      <c r="BE220" s="18">
        <f t="shared" si="21"/>
        <v>155200.94981384694</v>
      </c>
      <c r="BF220" s="18">
        <f t="shared" si="22"/>
        <v>72968.918372230997</v>
      </c>
      <c r="BG220" s="18">
        <f t="shared" si="23"/>
        <v>72987.928335346805</v>
      </c>
      <c r="BH220" s="18">
        <f t="shared" si="24"/>
        <v>51766.442280548981</v>
      </c>
      <c r="BI220" s="18">
        <f t="shared" si="25"/>
        <v>9436.1690030252794</v>
      </c>
      <c r="BJ220" s="18">
        <f t="shared" si="26"/>
        <v>1898.5739223273285</v>
      </c>
      <c r="BK220" s="18">
        <f>IF(BM220=0,BK219,BK219+AN220+BB220*AZ220*'P-Parametri'!$B$6+BC220*BA220*'P-Parametri'!$B$7)</f>
        <v>12132.888650067815</v>
      </c>
      <c r="BL220" s="18">
        <f t="shared" si="1"/>
        <v>237625.04715221902</v>
      </c>
      <c r="BM220" s="10">
        <f>IF(AND(BM219=1,(BD220+BC220*(1-'P-Parametri'!$B$7*BA220)+BB220*(1-'P-Parametri'!$B$6*AZ220))&gt;=MAX(0,$B$4-IF($A220&gt;='1-Input'!$C$12,'1-Input'!$B$12,0))-0.01),1,0)</f>
        <v>1</v>
      </c>
      <c r="BO220" s="11">
        <f t="shared" si="27"/>
        <v>0.49642004871320666</v>
      </c>
      <c r="BP220" s="11">
        <f t="shared" si="28"/>
        <v>0.17941650269081477</v>
      </c>
      <c r="BQ220" s="18">
        <f>MAX(0,CK219-('P-Parametri'!$B$31*CR219))</f>
        <v>3802.6043427039695</v>
      </c>
      <c r="BR220" s="18">
        <f>MAX(0,CM219-('P-Parametri'!$C$31*CR219))</f>
        <v>0</v>
      </c>
      <c r="BS220" s="18">
        <f>MAX(0,CO219-('P-Parametri'!$D$31*CR219))</f>
        <v>0</v>
      </c>
      <c r="BT220" s="18">
        <f>BQ220*BO220*'P-Parametri'!$B$6+BR220*BP220*'P-Parametri'!$B$6</f>
        <v>490.7991485909605</v>
      </c>
      <c r="BU220" s="18">
        <f t="shared" si="29"/>
        <v>3311.8051941130088</v>
      </c>
      <c r="BV220" s="18">
        <f>MAX(0,('P-Parametri'!$B$31*CR219)-CK219)+MAX(0,('P-Parametri'!$C$31*CR219)-CM219)+MAX(0,('P-Parametri'!$D$31*CR219)-CO219)</f>
        <v>3802.6043427039804</v>
      </c>
      <c r="BW220" s="18">
        <f>CK219-BQ220+IF(BV220&lt;=0,0,BU220*MAX(0,('P-Parametri'!$B$31*CR219)-CK219)/BV220)</f>
        <v>140219.04838714967</v>
      </c>
      <c r="BX220" s="18">
        <f>CL219-BQ220*(1-BO220)+IF(BV220&lt;=0,0,BU220*MAX(0,('P-Parametri'!$B$31*CR219)-CK219)/BV220)</f>
        <v>70611.50155628135</v>
      </c>
      <c r="BY220" s="18">
        <f>CM219-BR220+IF(BV220&lt;=0,0,BU220*MAX(0,('P-Parametri'!$C$31*CR219)-CM219)/BV220)</f>
        <v>69762.433252122602</v>
      </c>
      <c r="BZ220" s="18">
        <f>CN219-BR220*(1-BP220)+IF(BV220&lt;=0,0,BU220*MAX(0,('P-Parametri'!$C$31*CR219)-CM219)/BV220)</f>
        <v>57666.111715377847</v>
      </c>
      <c r="CA220" s="18">
        <f>CO219-BS220+IF(BV220&lt;=0,0,BU220*MAX(0,('P-Parametri'!$D$31*CR219)-CO219)/BV220)</f>
        <v>23226.133190719538</v>
      </c>
      <c r="CB220" s="18">
        <f>CP219-BS220+IF(BV220&lt;=0,0,BU220*MAX(0,('P-Parametri'!$D$31*CR219)-CO219)/BV220)</f>
        <v>15613.189324169034</v>
      </c>
      <c r="CC220" s="18">
        <f t="shared" si="30"/>
        <v>149825.73583025005</v>
      </c>
      <c r="CD220" s="18">
        <f>BY220*(1+'P-Parametri'!$C$29)</f>
        <v>70111.245418383201</v>
      </c>
      <c r="CE220" s="18">
        <f>CA220*(1+'1-Input'!$B$27)</f>
        <v>23142.519111232945</v>
      </c>
      <c r="CF220" s="11">
        <f t="shared" si="31"/>
        <v>0.52870912887567623</v>
      </c>
      <c r="CG220" s="11">
        <f t="shared" si="32"/>
        <v>0.17750552894532143</v>
      </c>
      <c r="CH220" s="18">
        <f>IF(CS219=0,0,(MIN((CC220+CD220+CE220),MAX(0,$B$4-IF($A220&gt;='1-Input'!$C$12,'1-Input'!$B$12,0))/(CC220/(CC220+CD220+CE220)*(1-'P-Parametri'!$B$6*CF220)+CD220/(CC220+CD220+CE220)*(1-'P-Parametri'!$B$6*CG220)+CE220/(CC220+CD220+CE220))))*CC220/(CC220+CD220+CE220))</f>
        <v>8883.7024335153856</v>
      </c>
      <c r="CI220" s="18">
        <f>IF(CS219=0,0,(MIN((CC220+CD220+CE220),MAX(0,$B$4-IF($A220&gt;='1-Input'!$C$12,'1-Input'!$B$12,0))/(CC220/(CC220+CD220+CE220)*(1-'P-Parametri'!$B$6*CF220)+CD220/(CC220+CD220+CE220)*(1-'P-Parametri'!$B$6*CG220)+CE220/(CC220+CD220+CE220))))*CD220/(CC220+CD220+CE220))</f>
        <v>4157.1458874446016</v>
      </c>
      <c r="CJ220" s="18">
        <f>IF(CS219=0,0,(MIN((CC220+CD220+CE220),MAX(0,$B$4-IF($A220&gt;='1-Input'!$C$12,'1-Input'!$B$12,0))/(CC220/(CC220+CD220+CE220)*(1-'P-Parametri'!$B$6*CF220)+CD220/(CC220+CD220+CE220)*(1-'P-Parametri'!$B$6*CG220)+CE220/(CC220+CD220+CE220))))*CE220/(CC220+CD220+CE220))</f>
        <v>1372.2025272017868</v>
      </c>
      <c r="CK220" s="18">
        <f t="shared" si="33"/>
        <v>140942.03339673465</v>
      </c>
      <c r="CL220" s="18">
        <f t="shared" si="34"/>
        <v>66424.693697580602</v>
      </c>
      <c r="CM220" s="18">
        <f t="shared" si="35"/>
        <v>65954.099530938605</v>
      </c>
      <c r="CN220" s="18">
        <f t="shared" si="36"/>
        <v>54246.882207586968</v>
      </c>
      <c r="CO220" s="18">
        <f t="shared" si="37"/>
        <v>21770.316584031159</v>
      </c>
      <c r="CP220" s="18">
        <f t="shared" si="38"/>
        <v>14240.986796967247</v>
      </c>
      <c r="CQ220" s="18">
        <f>IF(CS220=0,CQ219,CQ219+BT220+CH220*CF220*'P-Parametri'!$B$6+CI220*CG220*'P-Parametri'!$B$6)</f>
        <v>17888.197706155486</v>
      </c>
      <c r="CR220" s="18">
        <f t="shared" si="2"/>
        <v>228666.44951170441</v>
      </c>
      <c r="CS220" s="10">
        <f>IF(AND(CS219=1,(CJ220+CI220*(1-'P-Parametri'!$B$6*CG220)+CH220*(1-'P-Parametri'!$B$6*CF220))&gt;=MAX(0,$B$4-IF($A220&gt;='1-Input'!$C$12,'1-Input'!$B$12,0))-0.01),1,0)</f>
        <v>1</v>
      </c>
    </row>
    <row r="221" spans="1:97">
      <c r="A221" s="10">
        <f>21</f>
        <v>21</v>
      </c>
      <c r="B221" s="11">
        <f>IF(A221=1,'P-Parametri'!$B$30,IF(A221=2,'P-Parametri'!$C$30,'P-Parametri'!$B$29))</f>
        <v>6.8512000000000003E-2</v>
      </c>
      <c r="C221" s="11">
        <f t="shared" si="3"/>
        <v>0.52961440742356802</v>
      </c>
      <c r="D221" s="11">
        <f t="shared" si="4"/>
        <v>0.1773573696820881</v>
      </c>
      <c r="E221" s="18">
        <f>MAX(0,Y220-('P-Parametri'!$B$31*AF220))</f>
        <v>3833.0473279195721</v>
      </c>
      <c r="F221" s="18">
        <f>MAX(0,AA220-('P-Parametri'!$C$31*AF220))</f>
        <v>0</v>
      </c>
      <c r="G221" s="18">
        <f>MAX(0,AC220-('P-Parametri'!$D$31*AF220))</f>
        <v>0</v>
      </c>
      <c r="H221" s="18">
        <f>E221*C221*'P-Parametri'!$B$6+F221*D221*'P-Parametri'!$B$7</f>
        <v>527.80964319267991</v>
      </c>
      <c r="I221" s="18">
        <f t="shared" si="5"/>
        <v>3305.2376847268924</v>
      </c>
      <c r="J221" s="18">
        <f>MAX(0,('P-Parametri'!$B$31*AF220)-Y220)+MAX(0,('P-Parametri'!$C$31*AF220)-AA220)+MAX(0,('P-Parametri'!$D$31*AF220)-AC220)</f>
        <v>3833.0473279195649</v>
      </c>
      <c r="K221" s="18">
        <f>Y220-E221+IF(J221&lt;=0,0,I221*MAX(0,('P-Parametri'!$B$31*AF220)-Y220)/J221)</f>
        <v>140509.24601517885</v>
      </c>
      <c r="L221" s="18">
        <f>Z220-E221*(1-C221)+IF(J221&lt;=0,0,I221*MAX(0,('P-Parametri'!$B$31*AF220)-Y220)/J221)</f>
        <v>66093.524949317565</v>
      </c>
      <c r="M221" s="18">
        <f>AA220-F221+IF(J221&lt;=0,0,I221*MAX(0,('P-Parametri'!$C$31*AF220)-AA220)/J221)</f>
        <v>69881.446298772207</v>
      </c>
      <c r="N221" s="18">
        <f>AB220-F221*(1-D221)+IF(J221&lt;=0,0,I221*MAX(0,('P-Parametri'!$C$31*AF220)-AA220)/J221)</f>
        <v>57901.923017767607</v>
      </c>
      <c r="O221" s="18">
        <f>AC220-G221+IF(J221&lt;=0,0,I221*MAX(0,('P-Parametri'!$D$31*AF220)-AC220)/J221)</f>
        <v>23263.574734821024</v>
      </c>
      <c r="P221" s="18">
        <f>AD220-G221+IF(J221&lt;=0,0,I221*MAX(0,('P-Parametri'!$D$31*AF220)-AC220)/J221)</f>
        <v>15753.966469038669</v>
      </c>
      <c r="Q221" s="18">
        <f t="shared" si="6"/>
        <v>150135.81547817079</v>
      </c>
      <c r="R221" s="18">
        <f>M221*(1+'P-Parametri'!$C$29)</f>
        <v>70230.85353026606</v>
      </c>
      <c r="S221" s="18">
        <f>O221*(1+'1-Input'!$B$27)</f>
        <v>23179.825865775667</v>
      </c>
      <c r="T221" s="11">
        <f t="shared" si="7"/>
        <v>0.55977509604343989</v>
      </c>
      <c r="U221" s="11">
        <f t="shared" si="8"/>
        <v>0.17554863557489425</v>
      </c>
      <c r="V221" s="18">
        <f>IF(AG220=0,0,(MIN((Q221+R221+S221),MAX(0,$B$4-IF($A221&gt;='1-Input'!$C$12,'1-Input'!$B$12,0))/(Q221/(Q221+R221+S221)*(1-'P-Parametri'!$B$6*T221)+R221/(Q221+R221+S221)*(1-'P-Parametri'!$B$7*U221)+S221/(Q221+R221+S221))))*Q221/(Q221+R221+S221))</f>
        <v>8865.4405804649941</v>
      </c>
      <c r="W221" s="18">
        <f>IF(AG220=0,0,(MIN((Q221+R221+S221),MAX(0,$B$4-IF($A221&gt;='1-Input'!$C$12,'1-Input'!$B$12,0))/(Q221/(Q221+R221+S221)*(1-'P-Parametri'!$B$6*T221)+R221/(Q221+R221+S221)*(1-'P-Parametri'!$B$7*U221)+S221/(Q221+R221+S221))))*R221/(Q221+R221+S221))</f>
        <v>4147.0947948355579</v>
      </c>
      <c r="X221" s="18">
        <f>IF(AG220=0,0,(MIN((Q221+R221+S221),MAX(0,$B$4-IF($A221&gt;='1-Input'!$C$12,'1-Input'!$B$12,0))/(Q221/(Q221+R221+S221)*(1-'P-Parametri'!$B$6*T221)+R221/(Q221+R221+S221)*(1-'P-Parametri'!$B$7*U221)+S221/(Q221+R221+S221))))*S221/(Q221+R221+S221))</f>
        <v>1368.7564704268621</v>
      </c>
      <c r="Y221" s="18">
        <f t="shared" si="9"/>
        <v>141270.3748977058</v>
      </c>
      <c r="Z221" s="18">
        <f t="shared" si="10"/>
        <v>62190.737221249772</v>
      </c>
      <c r="AA221" s="18">
        <f t="shared" si="11"/>
        <v>66083.7587354305</v>
      </c>
      <c r="AB221" s="18">
        <f t="shared" si="12"/>
        <v>54482.845055765181</v>
      </c>
      <c r="AC221" s="18">
        <f t="shared" si="13"/>
        <v>21811.069395348804</v>
      </c>
      <c r="AD221" s="18">
        <f t="shared" si="14"/>
        <v>14385.209998611806</v>
      </c>
      <c r="AE221" s="18">
        <f>IF(AG221=0,AE220,AE220+H221+V221*T221*'P-Parametri'!$B$6+W221*U221*'P-Parametri'!$B$7)</f>
        <v>16444.836136833434</v>
      </c>
      <c r="AF221" s="18">
        <f t="shared" si="0"/>
        <v>229165.20302848509</v>
      </c>
      <c r="AG221" s="10">
        <f>IF(AND(AG220=1,(X221+W221*(1-'P-Parametri'!$B$7*U221)+V221*(1-'P-Parametri'!$B$6*T221))&gt;=MAX(0,$B$4-IF($A221&gt;='1-Input'!$C$12,'1-Input'!$B$12,0))-0.01),1,0)</f>
        <v>1</v>
      </c>
      <c r="AI221" s="11">
        <f t="shared" si="15"/>
        <v>0.52984232081213234</v>
      </c>
      <c r="AJ221" s="11">
        <f t="shared" si="16"/>
        <v>0.29075336893101844</v>
      </c>
      <c r="AK221" s="18">
        <f>MAX(0,BE220-('P-Parametri'!$B$31*BL220))</f>
        <v>12625.921522515535</v>
      </c>
      <c r="AL221" s="18">
        <f>MAX(0,BG220-('P-Parametri'!$C$31*BL220))</f>
        <v>1700.4141896811052</v>
      </c>
      <c r="AM221" s="18">
        <f>MAX(0,BI220-('P-Parametri'!$D$31*BL220))</f>
        <v>0</v>
      </c>
      <c r="AN221" s="18">
        <f>AK221*AI221*'P-Parametri'!$B$6+AL221*AJ221*'P-Parametri'!$B$7</f>
        <v>1801.1345103676717</v>
      </c>
      <c r="AO221" s="18">
        <f t="shared" si="17"/>
        <v>12525.201201828968</v>
      </c>
      <c r="AP221" s="18">
        <f>MAX(0,('P-Parametri'!$B$31*BL220)-BE220)+MAX(0,('P-Parametri'!$C$31*BL220)-BG220)+MAX(0,('P-Parametri'!$D$31*BL220)-BI220)</f>
        <v>14326.335712196626</v>
      </c>
      <c r="AQ221" s="18">
        <f>BE220-AK221+IF(AP221&lt;=0,0,AO221*MAX(0,('P-Parametri'!$B$31*BL220)-BE220)/AP221)</f>
        <v>142575.0282913314</v>
      </c>
      <c r="AR221" s="18">
        <f>BF220-AK221*(1-AI221)+IF(AP221&lt;=0,0,AO221*MAX(0,('P-Parametri'!$B$31*BL220)-BE220)/AP221)</f>
        <v>67032.744411596941</v>
      </c>
      <c r="AS221" s="18">
        <f>BG220-AL221+IF(AP221&lt;=0,0,AO221*MAX(0,('P-Parametri'!$C$31*BL220)-BG220)/AP221)</f>
        <v>71287.5141456657</v>
      </c>
      <c r="AT221" s="18">
        <f>BH220-AL221*(1-AJ221)+IF(AP221&lt;=0,0,AO221*MAX(0,('P-Parametri'!$C$31*BL220)-BG220)/AP221)</f>
        <v>50560.429245095766</v>
      </c>
      <c r="AU221" s="18">
        <f>BI220-AM221+IF(AP221&lt;=0,0,AO221*MAX(0,('P-Parametri'!$D$31*BL220)-BI220)/AP221)</f>
        <v>21961.370204854247</v>
      </c>
      <c r="AV221" s="18">
        <f>BJ220-AM221+IF(AP221&lt;=0,0,AO221*MAX(0,('P-Parametri'!$D$31*BL220)-BI220)/AP221)</f>
        <v>14423.775124156296</v>
      </c>
      <c r="AW221" s="18">
        <f t="shared" si="18"/>
        <v>152343.12862962708</v>
      </c>
      <c r="AX221" s="18">
        <f>AS221*(1+'P-Parametri'!$C$29)</f>
        <v>71643.951716394018</v>
      </c>
      <c r="AY221" s="18">
        <f>AU221*(1+'1-Input'!$B$27)</f>
        <v>21882.30927211677</v>
      </c>
      <c r="AZ221" s="11">
        <f t="shared" si="19"/>
        <v>0.55998839583657678</v>
      </c>
      <c r="BA221" s="11">
        <f t="shared" si="20"/>
        <v>0.29428195913534161</v>
      </c>
      <c r="BB221" s="18">
        <f>IF(BM220=0,0,MIN(MAX(AW221,0),(MAX(0,$B$4-IF($A221&gt;='1-Input'!$C$12,'1-Input'!$B$12,0))-BD221-BC221*(1-'P-Parametri'!$B$7*BA221))/(1-'P-Parametri'!$B$6*AZ221)))</f>
        <v>0</v>
      </c>
      <c r="BC221" s="18">
        <f>IF(BM220=0,0,MIN(MAX(AX221,0),(MAX(0,$B$4-IF($A221&gt;='1-Input'!$C$12,'1-Input'!$B$12,0))-BD221)/(1-'P-Parametri'!$B$7*BA221)))</f>
        <v>0</v>
      </c>
      <c r="BD221" s="18">
        <f>IF(BM220=0,0,MIN(MAX(AY221,0),MAX(0,$B$4-IF($A221&gt;='1-Input'!$C$12,'1-Input'!$B$12,0))))</f>
        <v>13000</v>
      </c>
      <c r="BE221" s="18">
        <f t="shared" si="21"/>
        <v>152343.12862962708</v>
      </c>
      <c r="BF221" s="18">
        <f t="shared" si="22"/>
        <v>67032.744411596941</v>
      </c>
      <c r="BG221" s="18">
        <f t="shared" si="23"/>
        <v>71643.951716394018</v>
      </c>
      <c r="BH221" s="18">
        <f t="shared" si="24"/>
        <v>50560.429245095766</v>
      </c>
      <c r="BI221" s="18">
        <f t="shared" si="25"/>
        <v>8882.3092721167704</v>
      </c>
      <c r="BJ221" s="18">
        <f t="shared" si="26"/>
        <v>1423.7751241562964</v>
      </c>
      <c r="BK221" s="18">
        <f>IF(BM221=0,BK220,BK220+AN221+BB221*AZ221*'P-Parametri'!$B$6+BC221*BA221*'P-Parametri'!$B$7)</f>
        <v>13934.023160435487</v>
      </c>
      <c r="BL221" s="18">
        <f t="shared" si="1"/>
        <v>232869.38961813788</v>
      </c>
      <c r="BM221" s="10">
        <f>IF(AND(BM220=1,(BD221+BC221*(1-'P-Parametri'!$B$7*BA221)+BB221*(1-'P-Parametri'!$B$6*AZ221))&gt;=MAX(0,$B$4-IF($A221&gt;='1-Input'!$C$12,'1-Input'!$B$12,0))-0.01),1,0)</f>
        <v>1</v>
      </c>
      <c r="BO221" s="11">
        <f t="shared" si="27"/>
        <v>0.52870912887567623</v>
      </c>
      <c r="BP221" s="11">
        <f t="shared" si="28"/>
        <v>0.17750552894532148</v>
      </c>
      <c r="BQ221" s="18">
        <f>MAX(0,CK220-('P-Parametri'!$B$31*CR220))</f>
        <v>3742.1636897120043</v>
      </c>
      <c r="BR221" s="18">
        <f>MAX(0,CM220-('P-Parametri'!$C$31*CR220))</f>
        <v>0</v>
      </c>
      <c r="BS221" s="18">
        <f>MAX(0,CO220-('P-Parametri'!$D$31*CR220))</f>
        <v>0</v>
      </c>
      <c r="BT221" s="18">
        <f>BQ221*BO221*'P-Parametri'!$B$6+BR221*BP221*'P-Parametri'!$B$6</f>
        <v>514.41418716943326</v>
      </c>
      <c r="BU221" s="18">
        <f t="shared" si="29"/>
        <v>3227.749502542571</v>
      </c>
      <c r="BV221" s="18">
        <f>MAX(0,('P-Parametri'!$B$31*CR220)-CK220)+MAX(0,('P-Parametri'!$C$31*CR220)-CM220)+MAX(0,('P-Parametri'!$D$31*CR220)-CO220)</f>
        <v>3742.1636897120006</v>
      </c>
      <c r="BW221" s="18">
        <f>CK220-BQ221+IF(BV221&lt;=0,0,BU221*MAX(0,('P-Parametri'!$B$31*CR220)-CK220)/BV221)</f>
        <v>137199.86970702265</v>
      </c>
      <c r="BX221" s="18">
        <f>CL220-BQ221*(1-BO221)+IF(BV221&lt;=0,0,BU221*MAX(0,('P-Parametri'!$B$31*CR220)-CK220)/BV221)</f>
        <v>64661.046112366421</v>
      </c>
      <c r="BY221" s="18">
        <f>CM220-BR221+IF(BV221&lt;=0,0,BU221*MAX(0,('P-Parametri'!$C$31*CR220)-CM220)/BV221)</f>
        <v>68236.226758489385</v>
      </c>
      <c r="BZ221" s="18">
        <f>CN220-BR221*(1-BP221)+IF(BV221&lt;=0,0,BU221*MAX(0,('P-Parametri'!$C$31*CR220)-CM220)/BV221)</f>
        <v>56529.009435137748</v>
      </c>
      <c r="CA221" s="18">
        <f>CO220-BS221+IF(BV221&lt;=0,0,BU221*MAX(0,('P-Parametri'!$D$31*CR220)-CO220)/BV221)</f>
        <v>22715.938859022946</v>
      </c>
      <c r="CB221" s="18">
        <f>CP220-BS221+IF(BV221&lt;=0,0,BU221*MAX(0,('P-Parametri'!$D$31*CR220)-CO220)/BV221)</f>
        <v>15186.609071959036</v>
      </c>
      <c r="CC221" s="18">
        <f t="shared" si="30"/>
        <v>146599.70718039016</v>
      </c>
      <c r="CD221" s="18">
        <f>BY221*(1+'P-Parametri'!$C$29)</f>
        <v>68577.40789228183</v>
      </c>
      <c r="CE221" s="18">
        <f>CA221*(1+'1-Input'!$B$27)</f>
        <v>22634.161479130464</v>
      </c>
      <c r="CF221" s="11">
        <f t="shared" si="31"/>
        <v>0.55892786311775267</v>
      </c>
      <c r="CG221" s="11">
        <f t="shared" si="32"/>
        <v>0.17569049089853528</v>
      </c>
      <c r="CH221" s="18">
        <f>IF(CS220=0,0,(MIN((CC221+CD221+CE221),MAX(0,$B$4-IF($A221&gt;='1-Input'!$C$12,'1-Input'!$B$12,0))/(CC221/(CC221+CD221+CE221)*(1-'P-Parametri'!$B$6*CF221)+CD221/(CC221+CD221+CE221)*(1-'P-Parametri'!$B$6*CG221)+CE221/(CC221+CD221+CE221))))*CC221/(CC221+CD221+CE221))</f>
        <v>8931.6902127693975</v>
      </c>
      <c r="CI221" s="18">
        <f>IF(CS220=0,0,(MIN((CC221+CD221+CE221),MAX(0,$B$4-IF($A221&gt;='1-Input'!$C$12,'1-Input'!$B$12,0))/(CC221/(CC221+CD221+CE221)*(1-'P-Parametri'!$B$6*CF221)+CD221/(CC221+CD221+CE221)*(1-'P-Parametri'!$B$6*CG221)+CE221/(CC221+CD221+CE221))))*CD221/(CC221+CD221+CE221))</f>
        <v>4178.1267825787363</v>
      </c>
      <c r="CJ221" s="18">
        <f>IF(CS220=0,0,(MIN((CC221+CD221+CE221),MAX(0,$B$4-IF($A221&gt;='1-Input'!$C$12,'1-Input'!$B$12,0))/(CC221/(CC221+CD221+CE221)*(1-'P-Parametri'!$B$6*CF221)+CD221/(CC221+CD221+CE221)*(1-'P-Parametri'!$B$6*CG221)+CE221/(CC221+CD221+CE221))))*CE221/(CC221+CD221+CE221))</f>
        <v>1379.0021988832027</v>
      </c>
      <c r="CK221" s="18">
        <f t="shared" si="33"/>
        <v>137668.01696762076</v>
      </c>
      <c r="CL221" s="18">
        <f t="shared" si="34"/>
        <v>60721.526424249969</v>
      </c>
      <c r="CM221" s="18">
        <f t="shared" si="35"/>
        <v>64399.281109703094</v>
      </c>
      <c r="CN221" s="18">
        <f t="shared" si="36"/>
        <v>53084.939798026586</v>
      </c>
      <c r="CO221" s="18">
        <f t="shared" si="37"/>
        <v>21255.159280247262</v>
      </c>
      <c r="CP221" s="18">
        <f t="shared" si="38"/>
        <v>13807.606873075832</v>
      </c>
      <c r="CQ221" s="18">
        <f>IF(CS221=0,CQ220,CQ220+BT221+CH221*CF221*'P-Parametri'!$B$6+CI221*CG221*'P-Parametri'!$B$6)</f>
        <v>19891.431087556255</v>
      </c>
      <c r="CR221" s="18">
        <f t="shared" si="2"/>
        <v>223322.45735757111</v>
      </c>
      <c r="CS221" s="10">
        <f>IF(AND(CS220=1,(CJ221+CI221*(1-'P-Parametri'!$B$6*CG221)+CH221*(1-'P-Parametri'!$B$6*CF221))&gt;=MAX(0,$B$4-IF($A221&gt;='1-Input'!$C$12,'1-Input'!$B$12,0))-0.01),1,0)</f>
        <v>1</v>
      </c>
    </row>
    <row r="222" spans="1:97">
      <c r="A222" s="10">
        <f>22</f>
        <v>22</v>
      </c>
      <c r="B222" s="11">
        <f>IF(A222=1,'P-Parametri'!$B$30,IF(A222=2,'P-Parametri'!$C$30,'P-Parametri'!$B$29))</f>
        <v>6.8512000000000003E-2</v>
      </c>
      <c r="C222" s="11">
        <f t="shared" si="3"/>
        <v>0.55977509604343989</v>
      </c>
      <c r="D222" s="11">
        <f t="shared" si="4"/>
        <v>0.17554863557489417</v>
      </c>
      <c r="E222" s="18">
        <f>MAX(0,Y221-('P-Parametri'!$B$31*AF221))</f>
        <v>3771.2530806147552</v>
      </c>
      <c r="F222" s="18">
        <f>MAX(0,AA221-('P-Parametri'!$C$31*AF221))</f>
        <v>0</v>
      </c>
      <c r="G222" s="18">
        <f>MAX(0,AC221-('P-Parametri'!$D$31*AF221))</f>
        <v>0</v>
      </c>
      <c r="H222" s="18">
        <f>E222*C222*'P-Parametri'!$B$6+F222*D222*'P-Parametri'!$B$7</f>
        <v>548.87392440536325</v>
      </c>
      <c r="I222" s="18">
        <f t="shared" si="5"/>
        <v>3222.379156209392</v>
      </c>
      <c r="J222" s="18">
        <f>MAX(0,('P-Parametri'!$B$31*AF221)-Y221)+MAX(0,('P-Parametri'!$C$31*AF221)-AA221)+MAX(0,('P-Parametri'!$D$31*AF221)-AC221)</f>
        <v>3771.2530806147297</v>
      </c>
      <c r="K222" s="18">
        <f>Y221-E222+IF(J222&lt;=0,0,I222*MAX(0,('P-Parametri'!$B$31*AF221)-Y221)/J222)</f>
        <v>137499.12181709104</v>
      </c>
      <c r="L222" s="18">
        <f>Z221-E222*(1-C222)+IF(J222&lt;=0,0,I222*MAX(0,('P-Parametri'!$B$31*AF221)-Y221)/J222)</f>
        <v>60530.537696040257</v>
      </c>
      <c r="M222" s="18">
        <f>AA221-F222+IF(J222&lt;=0,0,I222*MAX(0,('P-Parametri'!$C$31*AF221)-AA221)/J222)</f>
        <v>68361.57599499858</v>
      </c>
      <c r="N222" s="18">
        <f>AB221-F222*(1-D222)+IF(J222&lt;=0,0,I222*MAX(0,('P-Parametri'!$C$31*AF221)-AA221)/J222)</f>
        <v>56760.662315333269</v>
      </c>
      <c r="O222" s="18">
        <f>AC221-G222+IF(J222&lt;=0,0,I222*MAX(0,('P-Parametri'!$D$31*AF221)-AC221)/J222)</f>
        <v>22755.63129199011</v>
      </c>
      <c r="P222" s="18">
        <f>AD221-G222+IF(J222&lt;=0,0,I222*MAX(0,('P-Parametri'!$D$31*AF221)-AC221)/J222)</f>
        <v>15329.771895253112</v>
      </c>
      <c r="Q222" s="18">
        <f t="shared" si="6"/>
        <v>146919.46165102356</v>
      </c>
      <c r="R222" s="18">
        <f>M222*(1+'P-Parametri'!$C$29)</f>
        <v>68703.383874973573</v>
      </c>
      <c r="S222" s="18">
        <f>O222*(1+'1-Input'!$B$27)</f>
        <v>22673.711019338945</v>
      </c>
      <c r="T222" s="11">
        <f t="shared" si="7"/>
        <v>0.58800190923774354</v>
      </c>
      <c r="U222" s="11">
        <f t="shared" si="8"/>
        <v>0.17383017962221003</v>
      </c>
      <c r="V222" s="18">
        <f>IF(AG221=0,0,(MIN((Q222+R222+S222),MAX(0,$B$4-IF($A222&gt;='1-Input'!$C$12,'1-Input'!$B$12,0))/(Q222/(Q222+R222+S222)*(1-'P-Parametri'!$B$6*T222)+R222/(Q222+R222+S222)*(1-'P-Parametri'!$B$7*U222)+S222/(Q222+R222+S222))))*Q222/(Q222+R222+S222))</f>
        <v>8910.7486613413694</v>
      </c>
      <c r="W222" s="18">
        <f>IF(AG221=0,0,(MIN((Q222+R222+S222),MAX(0,$B$4-IF($A222&gt;='1-Input'!$C$12,'1-Input'!$B$12,0))/(Q222/(Q222+R222+S222)*(1-'P-Parametri'!$B$6*T222)+R222/(Q222+R222+S222)*(1-'P-Parametri'!$B$7*U222)+S222/(Q222+R222+S222))))*R222/(Q222+R222+S222))</f>
        <v>4166.8991909846</v>
      </c>
      <c r="X222" s="18">
        <f>IF(AG221=0,0,(MIN((Q222+R222+S222),MAX(0,$B$4-IF($A222&gt;='1-Input'!$C$12,'1-Input'!$B$12,0))/(Q222/(Q222+R222+S222)*(1-'P-Parametri'!$B$6*T222)+R222/(Q222+R222+S222)*(1-'P-Parametri'!$B$7*U222)+S222/(Q222+R222+S222))))*S222/(Q222+R222+S222))</f>
        <v>1375.1734306862538</v>
      </c>
      <c r="Y222" s="18">
        <f t="shared" si="9"/>
        <v>138008.71298968219</v>
      </c>
      <c r="Z222" s="18">
        <f t="shared" si="10"/>
        <v>56859.326260305279</v>
      </c>
      <c r="AA222" s="18">
        <f t="shared" si="11"/>
        <v>64536.484683988972</v>
      </c>
      <c r="AB222" s="18">
        <f t="shared" si="12"/>
        <v>53318.095959185164</v>
      </c>
      <c r="AC222" s="18">
        <f t="shared" si="13"/>
        <v>21298.537588652693</v>
      </c>
      <c r="AD222" s="18">
        <f t="shared" si="14"/>
        <v>13954.598464566858</v>
      </c>
      <c r="AE222" s="18">
        <f>IF(AG222=0,AE221,AE221+H222+V222*T222*'P-Parametri'!$B$6+W222*U222*'P-Parametri'!$B$7)</f>
        <v>18446.531344251023</v>
      </c>
      <c r="AF222" s="18">
        <f t="shared" si="0"/>
        <v>223843.73526232384</v>
      </c>
      <c r="AG222" s="10">
        <f>IF(AND(AG221=1,(X222+W222*(1-'P-Parametri'!$B$7*U222)+V222*(1-'P-Parametri'!$B$6*T222))&gt;=MAX(0,$B$4-IF($A222&gt;='1-Input'!$C$12,'1-Input'!$B$12,0))-0.01),1,0)</f>
        <v>1</v>
      </c>
      <c r="AI222" s="11">
        <f t="shared" si="15"/>
        <v>0.55998839583657678</v>
      </c>
      <c r="AJ222" s="11">
        <f t="shared" si="16"/>
        <v>0.29428195913534161</v>
      </c>
      <c r="AK222" s="18">
        <f>MAX(0,BE221-('P-Parametri'!$B$31*BL221))</f>
        <v>12621.49485874435</v>
      </c>
      <c r="AL222" s="18">
        <f>MAX(0,BG221-('P-Parametri'!$C$31*BL221))</f>
        <v>1783.1348309526511</v>
      </c>
      <c r="AM222" s="18">
        <f>MAX(0,BI221-('P-Parametri'!$D$31*BL221))</f>
        <v>0</v>
      </c>
      <c r="AN222" s="18">
        <f>AK222*AI222*'P-Parametri'!$B$6+AL222*AJ222*'P-Parametri'!$B$7</f>
        <v>1903.2446227739429</v>
      </c>
      <c r="AO222" s="18">
        <f t="shared" si="17"/>
        <v>12501.38506692306</v>
      </c>
      <c r="AP222" s="18">
        <f>MAX(0,('P-Parametri'!$B$31*BL221)-BE221)+MAX(0,('P-Parametri'!$C$31*BL221)-BG221)+MAX(0,('P-Parametri'!$D$31*BL221)-BI221)</f>
        <v>14404.62968969702</v>
      </c>
      <c r="AQ222" s="18">
        <f>BE221-AK222+IF(AP222&lt;=0,0,AO222*MAX(0,('P-Parametri'!$B$31*BL221)-BE221)/AP222)</f>
        <v>139721.63377088273</v>
      </c>
      <c r="AR222" s="18">
        <f>BF221-AK222*(1-AI222)+IF(AP222&lt;=0,0,AO222*MAX(0,('P-Parametri'!$B$31*BL221)-BE221)/AP222)</f>
        <v>61479.140211860438</v>
      </c>
      <c r="AS222" s="18">
        <f>BG221-AL222+IF(AP222&lt;=0,0,AO222*MAX(0,('P-Parametri'!$C$31*BL221)-BG221)/AP222)</f>
        <v>69860.816885441367</v>
      </c>
      <c r="AT222" s="18">
        <f>BH221-AL222*(1-AJ222)+IF(AP222&lt;=0,0,AO222*MAX(0,('P-Parametri'!$C$31*BL221)-BG221)/AP222)</f>
        <v>49302.038825598327</v>
      </c>
      <c r="AU222" s="18">
        <f>BI221-AM222+IF(AP222&lt;=0,0,AO222*MAX(0,('P-Parametri'!$D$31*BL221)-BI221)/AP222)</f>
        <v>21383.69433903983</v>
      </c>
      <c r="AV222" s="18">
        <f>BJ221-AM222+IF(AP222&lt;=0,0,AO222*MAX(0,('P-Parametri'!$D$31*BL221)-BI221)/AP222)</f>
        <v>13925.160191079356</v>
      </c>
      <c r="AW222" s="18">
        <f t="shared" si="18"/>
        <v>149294.24234379345</v>
      </c>
      <c r="AX222" s="18">
        <f>AS222*(1+'P-Parametri'!$C$29)</f>
        <v>70210.120969868571</v>
      </c>
      <c r="AY222" s="18">
        <f>AU222*(1+'1-Input'!$B$27)</f>
        <v>21306.713039419286</v>
      </c>
      <c r="AZ222" s="11">
        <f t="shared" si="19"/>
        <v>0.58820153244565965</v>
      </c>
      <c r="BA222" s="11">
        <f t="shared" si="20"/>
        <v>0.29779299416451899</v>
      </c>
      <c r="BB222" s="18">
        <f>IF(BM221=0,0,MIN(MAX(AW222,0),(MAX(0,$B$4-IF($A222&gt;='1-Input'!$C$12,'1-Input'!$B$12,0))-BD222-BC222*(1-'P-Parametri'!$B$7*BA222))/(1-'P-Parametri'!$B$6*AZ222)))</f>
        <v>0</v>
      </c>
      <c r="BC222" s="18">
        <f>IF(BM221=0,0,MIN(MAX(AX222,0),(MAX(0,$B$4-IF($A222&gt;='1-Input'!$C$12,'1-Input'!$B$12,0))-BD222)/(1-'P-Parametri'!$B$7*BA222)))</f>
        <v>0</v>
      </c>
      <c r="BD222" s="18">
        <f>IF(BM221=0,0,MIN(MAX(AY222,0),MAX(0,$B$4-IF($A222&gt;='1-Input'!$C$12,'1-Input'!$B$12,0))))</f>
        <v>13000</v>
      </c>
      <c r="BE222" s="18">
        <f t="shared" si="21"/>
        <v>149294.24234379345</v>
      </c>
      <c r="BF222" s="18">
        <f t="shared" si="22"/>
        <v>61479.140211860438</v>
      </c>
      <c r="BG222" s="18">
        <f t="shared" si="23"/>
        <v>70210.120969868571</v>
      </c>
      <c r="BH222" s="18">
        <f t="shared" si="24"/>
        <v>49302.038825598327</v>
      </c>
      <c r="BI222" s="18">
        <f t="shared" si="25"/>
        <v>8306.7130394192864</v>
      </c>
      <c r="BJ222" s="18">
        <f t="shared" si="26"/>
        <v>925.16019107935608</v>
      </c>
      <c r="BK222" s="18">
        <f>IF(BM222=0,BK221,BK221+AN222+BB222*AZ222*'P-Parametri'!$B$6+BC222*BA222*'P-Parametri'!$B$7)</f>
        <v>15837.26778320943</v>
      </c>
      <c r="BL222" s="18">
        <f t="shared" si="1"/>
        <v>227811.0763530813</v>
      </c>
      <c r="BM222" s="10">
        <f>IF(AND(BM221=1,(BD222+BC222*(1-'P-Parametri'!$B$7*BA222)+BB222*(1-'P-Parametri'!$B$6*AZ222))&gt;=MAX(0,$B$4-IF($A222&gt;='1-Input'!$C$12,'1-Input'!$B$12,0))-0.01),1,0)</f>
        <v>1</v>
      </c>
      <c r="BO222" s="11">
        <f t="shared" si="27"/>
        <v>0.55892786311775267</v>
      </c>
      <c r="BP222" s="11">
        <f t="shared" si="28"/>
        <v>0.17569049089853531</v>
      </c>
      <c r="BQ222" s="18">
        <f>MAX(0,CK221-('P-Parametri'!$B$31*CR221))</f>
        <v>3674.5425530780922</v>
      </c>
      <c r="BR222" s="18">
        <f>MAX(0,CM221-('P-Parametri'!$C$31*CR221))</f>
        <v>0</v>
      </c>
      <c r="BS222" s="18">
        <f>MAX(0,CO221-('P-Parametri'!$D$31*CR221))</f>
        <v>0</v>
      </c>
      <c r="BT222" s="18">
        <f>BQ222*BO222*'P-Parametri'!$B$6+BR222*BP222*'P-Parametri'!$B$6</f>
        <v>533.98909645306935</v>
      </c>
      <c r="BU222" s="18">
        <f t="shared" si="29"/>
        <v>3140.5534566250226</v>
      </c>
      <c r="BV222" s="18">
        <f>MAX(0,('P-Parametri'!$B$31*CR221)-CK221)+MAX(0,('P-Parametri'!$C$31*CR221)-CM221)+MAX(0,('P-Parametri'!$D$31*CR221)-CO221)</f>
        <v>3674.5425530780885</v>
      </c>
      <c r="BW222" s="18">
        <f>CK221-BQ222+IF(BV222&lt;=0,0,BU222*MAX(0,('P-Parametri'!$B$31*CR221)-CK221)/BV222)</f>
        <v>133993.47441454267</v>
      </c>
      <c r="BX222" s="18">
        <f>CL221-BQ222*(1-BO222)+IF(BV222&lt;=0,0,BU222*MAX(0,('P-Parametri'!$B$31*CR221)-CK221)/BV222)</f>
        <v>59100.788088299065</v>
      </c>
      <c r="BY222" s="18">
        <f>CM221-BR222+IF(BV222&lt;=0,0,BU222*MAX(0,('P-Parametri'!$C$31*CR221)-CM221)/BV222)</f>
        <v>66619.271654870783</v>
      </c>
      <c r="BZ222" s="18">
        <f>CN221-BR222*(1-BP222)+IF(BV222&lt;=0,0,BU222*MAX(0,('P-Parametri'!$C$31*CR221)-CM221)/BV222)</f>
        <v>55304.930343194268</v>
      </c>
      <c r="CA222" s="18">
        <f>CO221-BS222+IF(BV222&lt;=0,0,BU222*MAX(0,('P-Parametri'!$D$31*CR221)-CO221)/BV222)</f>
        <v>22175.722191704601</v>
      </c>
      <c r="CB222" s="18">
        <f>CP221-BS222+IF(BV222&lt;=0,0,BU222*MAX(0,('P-Parametri'!$D$31*CR221)-CO221)/BV222)</f>
        <v>14728.169784533171</v>
      </c>
      <c r="CC222" s="18">
        <f t="shared" si="30"/>
        <v>143173.6353336318</v>
      </c>
      <c r="CD222" s="18">
        <f>BY222*(1+'P-Parametri'!$C$29)</f>
        <v>66952.368013145126</v>
      </c>
      <c r="CE222" s="18">
        <f>CA222*(1+'1-Input'!$B$27)</f>
        <v>22095.889591814463</v>
      </c>
      <c r="CF222" s="11">
        <f t="shared" si="31"/>
        <v>0.58720900010271537</v>
      </c>
      <c r="CG222" s="11">
        <f t="shared" si="32"/>
        <v>0.17396603011358841</v>
      </c>
      <c r="CH222" s="18">
        <f>IF(CS221=0,0,(MIN((CC222+CD222+CE222),MAX(0,$B$4-IF($A222&gt;='1-Input'!$C$12,'1-Input'!$B$12,0))/(CC222/(CC222+CD222+CE222)*(1-'P-Parametri'!$B$6*CF222)+CD222/(CC222+CD222+CE222)*(1-'P-Parametri'!$B$6*CG222)+CE222/(CC222+CD222+CE222))))*CC222/(CC222+CD222+CE222))</f>
        <v>8977.0693845799979</v>
      </c>
      <c r="CI222" s="18">
        <f>IF(CS221=0,0,(MIN((CC222+CD222+CE222),MAX(0,$B$4-IF($A222&gt;='1-Input'!$C$12,'1-Input'!$B$12,0))/(CC222/(CC222+CD222+CE222)*(1-'P-Parametri'!$B$6*CF222)+CD222/(CC222+CD222+CE222)*(1-'P-Parametri'!$B$6*CG222)+CE222/(CC222+CD222+CE222))))*CD222/(CC222+CD222+CE222))</f>
        <v>4197.9520301720913</v>
      </c>
      <c r="CJ222" s="18">
        <f>IF(CS221=0,0,(MIN((CC222+CD222+CE222),MAX(0,$B$4-IF($A222&gt;='1-Input'!$C$12,'1-Input'!$B$12,0))/(CC222/(CC222+CD222+CE222)*(1-'P-Parametri'!$B$6*CF222)+CD222/(CC222+CD222+CE222)*(1-'P-Parametri'!$B$6*CG222)+CE222/(CC222+CD222+CE222))))*CE222/(CC222+CD222+CE222))</f>
        <v>1385.4250017296522</v>
      </c>
      <c r="CK222" s="18">
        <f t="shared" si="33"/>
        <v>134196.56594905182</v>
      </c>
      <c r="CL222" s="18">
        <f t="shared" si="34"/>
        <v>55395.134640890989</v>
      </c>
      <c r="CM222" s="18">
        <f t="shared" si="35"/>
        <v>62754.415982973034</v>
      </c>
      <c r="CN222" s="18">
        <f t="shared" si="36"/>
        <v>51837.279362318492</v>
      </c>
      <c r="CO222" s="18">
        <f t="shared" si="37"/>
        <v>20710.464590084812</v>
      </c>
      <c r="CP222" s="18">
        <f t="shared" si="38"/>
        <v>13342.744782803518</v>
      </c>
      <c r="CQ222" s="18">
        <f>IF(CS222=0,CQ221,CQ221+BT222+CH222*CF222*'P-Parametri'!$B$6+CI222*CG222*'P-Parametri'!$B$6)</f>
        <v>21985.866600491063</v>
      </c>
      <c r="CR222" s="18">
        <f t="shared" si="2"/>
        <v>217661.44652210968</v>
      </c>
      <c r="CS222" s="10">
        <f>IF(AND(CS221=1,(CJ222+CI222*(1-'P-Parametri'!$B$6*CG222)+CH222*(1-'P-Parametri'!$B$6*CF222))&gt;=MAX(0,$B$4-IF($A222&gt;='1-Input'!$C$12,'1-Input'!$B$12,0))-0.01),1,0)</f>
        <v>1</v>
      </c>
    </row>
    <row r="223" spans="1:97">
      <c r="A223" s="10">
        <f>23</f>
        <v>23</v>
      </c>
      <c r="B223" s="11">
        <f>IF(A223=1,'P-Parametri'!$B$30,IF(A223=2,'P-Parametri'!$C$30,'P-Parametri'!$B$29))</f>
        <v>6.8512000000000003E-2</v>
      </c>
      <c r="C223" s="11">
        <f t="shared" si="3"/>
        <v>0.58800190923774365</v>
      </c>
      <c r="D223" s="11">
        <f t="shared" si="4"/>
        <v>0.17383017962221001</v>
      </c>
      <c r="E223" s="18">
        <f>MAX(0,Y222-('P-Parametri'!$B$31*AF222))</f>
        <v>3702.4718322878762</v>
      </c>
      <c r="F223" s="18">
        <f>MAX(0,AA222-('P-Parametri'!$C$31*AF222))</f>
        <v>0</v>
      </c>
      <c r="G223" s="18">
        <f>MAX(0,AC222-('P-Parametri'!$D$31*AF222))</f>
        <v>0</v>
      </c>
      <c r="H223" s="18">
        <f>E223*C223*'P-Parametri'!$B$6+F223*D223*'P-Parametri'!$B$7</f>
        <v>566.03573163390195</v>
      </c>
      <c r="I223" s="18">
        <f t="shared" si="5"/>
        <v>3136.4361006539743</v>
      </c>
      <c r="J223" s="18">
        <f>MAX(0,('P-Parametri'!$B$31*AF222)-Y222)+MAX(0,('P-Parametri'!$C$31*AF222)-AA222)+MAX(0,('P-Parametri'!$D$31*AF222)-AC222)</f>
        <v>3702.4718322878762</v>
      </c>
      <c r="K223" s="18">
        <f>Y222-E223+IF(J223&lt;=0,0,I223*MAX(0,('P-Parametri'!$B$31*AF222)-Y222)/J223)</f>
        <v>134306.24115739431</v>
      </c>
      <c r="L223" s="18">
        <f>Z222-E223*(1-C223)+IF(J223&lt;=0,0,I223*MAX(0,('P-Parametri'!$B$31*AF222)-Y222)/J223)</f>
        <v>55333.91493430164</v>
      </c>
      <c r="M223" s="18">
        <f>AA222-F223+IF(J223&lt;=0,0,I223*MAX(0,('P-Parametri'!$C$31*AF222)-AA222)/J223)</f>
        <v>66753.087984211365</v>
      </c>
      <c r="N223" s="18">
        <f>AB222-F223*(1-D223)+IF(J223&lt;=0,0,I223*MAX(0,('P-Parametri'!$C$31*AF222)-AA222)/J223)</f>
        <v>55534.699259407556</v>
      </c>
      <c r="O223" s="18">
        <f>AC222-G223+IF(J223&lt;=0,0,I223*MAX(0,('P-Parametri'!$D$31*AF222)-AC222)/J223)</f>
        <v>22218.370389084273</v>
      </c>
      <c r="P223" s="18">
        <f>AD222-G223+IF(J223&lt;=0,0,I223*MAX(0,('P-Parametri'!$D$31*AF222)-AC222)/J223)</f>
        <v>14874.431264998439</v>
      </c>
      <c r="Q223" s="18">
        <f t="shared" si="6"/>
        <v>143507.83035156969</v>
      </c>
      <c r="R223" s="18">
        <f>M223*(1+'P-Parametri'!$C$29)</f>
        <v>67086.853424132409</v>
      </c>
      <c r="S223" s="18">
        <f>O223*(1+'1-Input'!$B$27)</f>
        <v>22138.38425568357</v>
      </c>
      <c r="T223" s="11">
        <f t="shared" si="7"/>
        <v>0.61441884530800173</v>
      </c>
      <c r="U223" s="11">
        <f t="shared" si="8"/>
        <v>0.17219698905373498</v>
      </c>
      <c r="V223" s="18">
        <f>IF(AG222=0,0,(MIN((Q223+R223+S223),MAX(0,$B$4-IF($A223&gt;='1-Input'!$C$12,'1-Input'!$B$12,0))/(Q223/(Q223+R223+S223)*(1-'P-Parametri'!$B$6*T223)+R223/(Q223+R223+S223)*(1-'P-Parametri'!$B$7*U223)+S223/(Q223+R223+S223))))*Q223/(Q223+R223+S223))</f>
        <v>1307.2223764741168</v>
      </c>
      <c r="W223" s="18">
        <f>IF(AG222=0,0,(MIN((Q223+R223+S223),MAX(0,$B$4-IF($A223&gt;='1-Input'!$C$12,'1-Input'!$B$12,0))/(Q223/(Q223+R223+S223)*(1-'P-Parametri'!$B$6*T223)+R223/(Q223+R223+S223)*(1-'P-Parametri'!$B$7*U223)+S223/(Q223+R223+S223))))*R223/(Q223+R223+S223))</f>
        <v>611.09861216925492</v>
      </c>
      <c r="X223" s="18">
        <f>IF(AG222=0,0,(MIN((Q223+R223+S223),MAX(0,$B$4-IF($A223&gt;='1-Input'!$C$12,'1-Input'!$B$12,0))/(Q223/(Q223+R223+S223)*(1-'P-Parametri'!$B$6*T223)+R223/(Q223+R223+S223)*(1-'P-Parametri'!$B$7*U223)+S223/(Q223+R223+S223))))*S223/(Q223+R223+S223))</f>
        <v>201.66001539507843</v>
      </c>
      <c r="Y223" s="18">
        <f t="shared" si="9"/>
        <v>142200.60797509557</v>
      </c>
      <c r="Z223" s="18">
        <f t="shared" si="10"/>
        <v>54829.874620941533</v>
      </c>
      <c r="AA223" s="18">
        <f t="shared" si="11"/>
        <v>66475.754811963154</v>
      </c>
      <c r="AB223" s="18">
        <f t="shared" si="12"/>
        <v>55028.829988268764</v>
      </c>
      <c r="AC223" s="18">
        <f t="shared" si="13"/>
        <v>21936.724240288491</v>
      </c>
      <c r="AD223" s="18">
        <f t="shared" si="14"/>
        <v>14672.77124960336</v>
      </c>
      <c r="AE223" s="18">
        <f>IF(AG223=0,AE222,AE222+H223+V223*T223*'P-Parametri'!$B$6+W223*U223*'P-Parametri'!$B$7)</f>
        <v>19234.548079923377</v>
      </c>
      <c r="AF223" s="18">
        <f t="shared" si="0"/>
        <v>230613.08702734721</v>
      </c>
      <c r="AG223" s="10">
        <f>IF(AND(AG222=1,(X223+W223*(1-'P-Parametri'!$B$7*U223)+V223*(1-'P-Parametri'!$B$6*T223))&gt;=MAX(0,$B$4-IF($A223&gt;='1-Input'!$C$12,'1-Input'!$B$12,0))-0.01),1,0)</f>
        <v>1</v>
      </c>
      <c r="AI223" s="11">
        <f t="shared" si="15"/>
        <v>0.58820153244565965</v>
      </c>
      <c r="AJ223" s="11">
        <f t="shared" si="16"/>
        <v>0.29779299416451899</v>
      </c>
      <c r="AK223" s="18">
        <f>MAX(0,BE222-('P-Parametri'!$B$31*BL222))</f>
        <v>12607.59653194467</v>
      </c>
      <c r="AL223" s="18">
        <f>MAX(0,BG222-('P-Parametri'!$C$31*BL222))</f>
        <v>1866.7980639441812</v>
      </c>
      <c r="AM223" s="18">
        <f>MAX(0,BI222-('P-Parametri'!$D$31*BL222))</f>
        <v>0</v>
      </c>
      <c r="AN223" s="18">
        <f>AK223*AI223*'P-Parametri'!$B$6+AL223*AJ223*'P-Parametri'!$B$7</f>
        <v>1997.599899262382</v>
      </c>
      <c r="AO223" s="18">
        <f t="shared" si="17"/>
        <v>12476.794696626468</v>
      </c>
      <c r="AP223" s="18">
        <f>MAX(0,('P-Parametri'!$B$31*BL222)-BE222)+MAX(0,('P-Parametri'!$C$31*BL222)-BG222)+MAX(0,('P-Parametri'!$D$31*BL222)-BI222)</f>
        <v>14474.394595888843</v>
      </c>
      <c r="AQ223" s="18">
        <f>BE222-AK223+IF(AP223&lt;=0,0,AO223*MAX(0,('P-Parametri'!$B$31*BL222)-BE222)/AP223)</f>
        <v>136686.64581184878</v>
      </c>
      <c r="AR223" s="18">
        <f>BF222-AK223*(1-AI223)+IF(AP223&lt;=0,0,AO223*MAX(0,('P-Parametri'!$B$31*BL222)-BE222)/AP223)</f>
        <v>56287.351280462208</v>
      </c>
      <c r="AS223" s="18">
        <f>BG222-AL223+IF(AP223&lt;=0,0,AO223*MAX(0,('P-Parametri'!$C$31*BL222)-BG222)/AP223)</f>
        <v>68343.322905924389</v>
      </c>
      <c r="AT223" s="18">
        <f>BH222-AL223*(1-AJ223)+IF(AP223&lt;=0,0,AO223*MAX(0,('P-Parametri'!$C$31*BL222)-BG222)/AP223)</f>
        <v>47991.16014661661</v>
      </c>
      <c r="AU223" s="18">
        <f>BI222-AM223+IF(AP223&lt;=0,0,AO223*MAX(0,('P-Parametri'!$D$31*BL222)-BI222)/AP223)</f>
        <v>20783.507736045754</v>
      </c>
      <c r="AV223" s="18">
        <f>BJ222-AM223+IF(AP223&lt;=0,0,AO223*MAX(0,('P-Parametri'!$D$31*BL222)-BI222)/AP223)</f>
        <v>13401.954887705824</v>
      </c>
      <c r="AW223" s="18">
        <f t="shared" si="18"/>
        <v>146051.32128971015</v>
      </c>
      <c r="AX223" s="18">
        <f>AS223*(1+'P-Parametri'!$C$29)</f>
        <v>68685.039520454011</v>
      </c>
      <c r="AY223" s="18">
        <f>AU223*(1+'1-Input'!$B$27)</f>
        <v>20708.687108195987</v>
      </c>
      <c r="AZ223" s="11">
        <f t="shared" si="19"/>
        <v>0.61460566886067702</v>
      </c>
      <c r="BA223" s="11">
        <f t="shared" si="20"/>
        <v>0.30128656135773035</v>
      </c>
      <c r="BB223" s="18">
        <f>IF(BM222=0,0,MIN(MAX(AW223,0),(MAX(0,$B$4-IF($A223&gt;='1-Input'!$C$12,'1-Input'!$B$12,0))-BD223-BC223*(1-'P-Parametri'!$B$7*BA223))/(1-'P-Parametri'!$B$6*AZ223)))</f>
        <v>0</v>
      </c>
      <c r="BC223" s="18">
        <f>IF(BM222=0,0,MIN(MAX(AX223,0),(MAX(0,$B$4-IF($A223&gt;='1-Input'!$C$12,'1-Input'!$B$12,0))-BD223)/(1-'P-Parametri'!$B$7*BA223)))</f>
        <v>0</v>
      </c>
      <c r="BD223" s="18">
        <f>IF(BM222=0,0,MIN(MAX(AY223,0),MAX(0,$B$4-IF($A223&gt;='1-Input'!$C$12,'1-Input'!$B$12,0))))</f>
        <v>1898</v>
      </c>
      <c r="BE223" s="18">
        <f t="shared" si="21"/>
        <v>146051.32128971015</v>
      </c>
      <c r="BF223" s="18">
        <f t="shared" si="22"/>
        <v>56287.351280462208</v>
      </c>
      <c r="BG223" s="18">
        <f t="shared" si="23"/>
        <v>68685.039520454011</v>
      </c>
      <c r="BH223" s="18">
        <f t="shared" si="24"/>
        <v>47991.16014661661</v>
      </c>
      <c r="BI223" s="18">
        <f t="shared" si="25"/>
        <v>18810.687108195987</v>
      </c>
      <c r="BJ223" s="18">
        <f t="shared" si="26"/>
        <v>11503.954887705824</v>
      </c>
      <c r="BK223" s="18">
        <f>IF(BM223=0,BK222,BK222+AN223+BB223*AZ223*'P-Parametri'!$B$6+BC223*BA223*'P-Parametri'!$B$7)</f>
        <v>17834.867682471813</v>
      </c>
      <c r="BL223" s="18">
        <f t="shared" si="1"/>
        <v>233547.04791836016</v>
      </c>
      <c r="BM223" s="10">
        <f>IF(AND(BM222=1,(BD223+BC223*(1-'P-Parametri'!$B$7*BA223)+BB223*(1-'P-Parametri'!$B$6*AZ223))&gt;=MAX(0,$B$4-IF($A223&gt;='1-Input'!$C$12,'1-Input'!$B$12,0))-0.01),1,0)</f>
        <v>1</v>
      </c>
      <c r="BO223" s="11">
        <f t="shared" si="27"/>
        <v>0.58720900010271548</v>
      </c>
      <c r="BP223" s="11">
        <f t="shared" si="28"/>
        <v>0.17396603011358844</v>
      </c>
      <c r="BQ223" s="18">
        <f>MAX(0,CK222-('P-Parametri'!$B$31*CR222))</f>
        <v>3599.6980357860157</v>
      </c>
      <c r="BR223" s="18">
        <f>MAX(0,CM222-('P-Parametri'!$C$31*CR222))</f>
        <v>0</v>
      </c>
      <c r="BS223" s="18">
        <f>MAX(0,CO222-('P-Parametri'!$D$31*CR222))</f>
        <v>0</v>
      </c>
      <c r="BT223" s="18">
        <f>BQ223*BO223*'P-Parametri'!$B$6+BR223*BP223*'P-Parametri'!$B$6</f>
        <v>549.58152190905992</v>
      </c>
      <c r="BU223" s="18">
        <f t="shared" si="29"/>
        <v>3050.1165138769557</v>
      </c>
      <c r="BV223" s="18">
        <f>MAX(0,('P-Parametri'!$B$31*CR222)-CK222)+MAX(0,('P-Parametri'!$C$31*CR222)-CM222)+MAX(0,('P-Parametri'!$D$31*CR222)-CO222)</f>
        <v>3599.698035786023</v>
      </c>
      <c r="BW223" s="18">
        <f>CK222-BQ223+IF(BV223&lt;=0,0,BU223*MAX(0,('P-Parametri'!$B$31*CR222)-CK222)/BV223)</f>
        <v>130596.8679132658</v>
      </c>
      <c r="BX223" s="18">
        <f>CL222-BQ223*(1-BO223)+IF(BV223&lt;=0,0,BU223*MAX(0,('P-Parametri'!$B$31*CR222)-CK222)/BV223)</f>
        <v>53909.21168937059</v>
      </c>
      <c r="BY223" s="18">
        <f>CM222-BR223+IF(BV223&lt;=0,0,BU223*MAX(0,('P-Parametri'!$C$31*CR222)-CM222)/BV223)</f>
        <v>64910.0276914883</v>
      </c>
      <c r="BZ223" s="18">
        <f>CN222-BR223*(1-BP223)+IF(BV223&lt;=0,0,BU223*MAX(0,('P-Parametri'!$C$31*CR222)-CM222)/BV223)</f>
        <v>53992.891070833757</v>
      </c>
      <c r="CA223" s="18">
        <f>CO222-BS223+IF(BV223&lt;=0,0,BU223*MAX(0,('P-Parametri'!$D$31*CR222)-CO222)/BV223)</f>
        <v>21604.969395446504</v>
      </c>
      <c r="CB223" s="18">
        <f>CP222-BS223+IF(BV223&lt;=0,0,BU223*MAX(0,('P-Parametri'!$D$31*CR222)-CO222)/BV223)</f>
        <v>14237.24958816521</v>
      </c>
      <c r="CC223" s="18">
        <f t="shared" si="30"/>
        <v>139544.32052773944</v>
      </c>
      <c r="CD223" s="18">
        <f>BY223*(1+'P-Parametri'!$C$29)</f>
        <v>65234.577829945738</v>
      </c>
      <c r="CE223" s="18">
        <f>CA223*(1+'1-Input'!$B$27)</f>
        <v>21527.191505622894</v>
      </c>
      <c r="CF223" s="11">
        <f t="shared" si="31"/>
        <v>0.61367677677247923</v>
      </c>
      <c r="CG223" s="11">
        <f t="shared" si="32"/>
        <v>0.172327117505335</v>
      </c>
      <c r="CH223" s="18">
        <f>IF(CS222=0,0,(MIN((CC223+CD223+CE223),MAX(0,$B$4-IF($A223&gt;='1-Input'!$C$12,'1-Input'!$B$12,0))/(CC223/(CC223+CD223+CE223)*(1-'P-Parametri'!$B$6*CF223)+CD223/(CC223+CD223+CE223)*(1-'P-Parametri'!$B$6*CG223)+CE223/(CC223+CD223+CE223))))*CC223/(CC223+CD223+CE223))</f>
        <v>1316.91324680453</v>
      </c>
      <c r="CI223" s="18">
        <f>IF(CS222=0,0,(MIN((CC223+CD223+CE223),MAX(0,$B$4-IF($A223&gt;='1-Input'!$C$12,'1-Input'!$B$12,0))/(CC223/(CC223+CD223+CE223)*(1-'P-Parametri'!$B$6*CF223)+CD223/(CC223+CD223+CE223)*(1-'P-Parametri'!$B$6*CG223)+CE223/(CC223+CD223+CE223))))*CD223/(CC223+CD223+CE223))</f>
        <v>615.63436884469468</v>
      </c>
      <c r="CJ223" s="18">
        <f>IF(CS222=0,0,(MIN((CC223+CD223+CE223),MAX(0,$B$4-IF($A223&gt;='1-Input'!$C$12,'1-Input'!$B$12,0))/(CC223/(CC223+CD223+CE223)*(1-'P-Parametri'!$B$6*CF223)+CD223/(CC223+CD223+CE223)*(1-'P-Parametri'!$B$6*CG223)+CE223/(CC223+CD223+CE223))))*CE223/(CC223+CD223+CE223))</f>
        <v>203.15727328090915</v>
      </c>
      <c r="CK223" s="18">
        <f t="shared" si="33"/>
        <v>138227.40728093492</v>
      </c>
      <c r="CL223" s="18">
        <f t="shared" si="34"/>
        <v>53400.457519154043</v>
      </c>
      <c r="CM223" s="18">
        <f t="shared" si="35"/>
        <v>64618.943461101044</v>
      </c>
      <c r="CN223" s="18">
        <f t="shared" si="36"/>
        <v>53483.347198209281</v>
      </c>
      <c r="CO223" s="18">
        <f t="shared" si="37"/>
        <v>21324.034232341983</v>
      </c>
      <c r="CP223" s="18">
        <f t="shared" si="38"/>
        <v>14034.092314884301</v>
      </c>
      <c r="CQ223" s="18">
        <f>IF(CS223=0,CQ222,CQ222+BT223+CH223*CF223*'P-Parametri'!$B$6+CI223*CG223*'P-Parametri'!$B$6)</f>
        <v>22773.153011330254</v>
      </c>
      <c r="CR223" s="18">
        <f t="shared" si="2"/>
        <v>224170.38497437793</v>
      </c>
      <c r="CS223" s="10">
        <f>IF(AND(CS222=1,(CJ223+CI223*(1-'P-Parametri'!$B$6*CG223)+CH223*(1-'P-Parametri'!$B$6*CF223))&gt;=MAX(0,$B$4-IF($A223&gt;='1-Input'!$C$12,'1-Input'!$B$12,0))-0.01),1,0)</f>
        <v>1</v>
      </c>
    </row>
    <row r="224" spans="1:97">
      <c r="A224" s="10">
        <f>24</f>
        <v>24</v>
      </c>
      <c r="B224" s="11">
        <f>IF(A224=1,'P-Parametri'!$B$30,IF(A224=2,'P-Parametri'!$C$30,'P-Parametri'!$B$29))</f>
        <v>6.8512000000000003E-2</v>
      </c>
      <c r="C224" s="11">
        <f t="shared" si="3"/>
        <v>0.61441884530800173</v>
      </c>
      <c r="D224" s="11">
        <f t="shared" si="4"/>
        <v>0.17219698905373498</v>
      </c>
      <c r="E224" s="18">
        <f>MAX(0,Y223-('P-Parametri'!$B$31*AF223))</f>
        <v>3832.7557586872426</v>
      </c>
      <c r="F224" s="18">
        <f>MAX(0,AA223-('P-Parametri'!$C$31*AF223))</f>
        <v>0</v>
      </c>
      <c r="G224" s="18">
        <f>MAX(0,AC223-('P-Parametri'!$D$31*AF223))</f>
        <v>0</v>
      </c>
      <c r="H224" s="18">
        <f>E224*C224*'P-Parametri'!$B$6+F224*D224*'P-Parametri'!$B$7</f>
        <v>612.27851557605459</v>
      </c>
      <c r="I224" s="18">
        <f t="shared" si="5"/>
        <v>3220.4772431111878</v>
      </c>
      <c r="J224" s="18">
        <f>MAX(0,('P-Parametri'!$B$31*AF223)-Y223)+MAX(0,('P-Parametri'!$C$31*AF223)-AA223)+MAX(0,('P-Parametri'!$D$31*AF223)-AC223)</f>
        <v>3832.755758687239</v>
      </c>
      <c r="K224" s="18">
        <f>Y223-E224+IF(J224&lt;=0,0,I224*MAX(0,('P-Parametri'!$B$31*AF223)-Y223)/J224)</f>
        <v>138367.85221640833</v>
      </c>
      <c r="L224" s="18">
        <f>Z223-E224*(1-C224)+IF(J224&lt;=0,0,I224*MAX(0,('P-Parametri'!$B$31*AF223)-Y223)/J224)</f>
        <v>53352.036229854501</v>
      </c>
      <c r="M224" s="18">
        <f>AA223-F224+IF(J224&lt;=0,0,I224*MAX(0,('P-Parametri'!$C$31*AF223)-AA223)/J224)</f>
        <v>68751.298723213666</v>
      </c>
      <c r="N224" s="18">
        <f>AB223-F224*(1-D224)+IF(J224&lt;=0,0,I224*MAX(0,('P-Parametri'!$C$31*AF223)-AA223)/J224)</f>
        <v>57304.373899519283</v>
      </c>
      <c r="O224" s="18">
        <f>AC223-G224+IF(J224&lt;=0,0,I224*MAX(0,('P-Parametri'!$D$31*AF223)-AC223)/J224)</f>
        <v>22881.657572149164</v>
      </c>
      <c r="P224" s="18">
        <f>AD223-G224+IF(J224&lt;=0,0,I224*MAX(0,('P-Parametri'!$D$31*AF223)-AC223)/J224)</f>
        <v>15617.704581464031</v>
      </c>
      <c r="Q224" s="18">
        <f t="shared" si="6"/>
        <v>147847.71050745889</v>
      </c>
      <c r="R224" s="18">
        <f>M224*(1+'P-Parametri'!$C$29)</f>
        <v>69095.055216829729</v>
      </c>
      <c r="S224" s="18">
        <f>O224*(1+'1-Input'!$B$27)</f>
        <v>22799.283604889428</v>
      </c>
      <c r="T224" s="11">
        <f t="shared" si="7"/>
        <v>0.63914195189946543</v>
      </c>
      <c r="U224" s="11">
        <f t="shared" si="8"/>
        <v>0.17064435769404446</v>
      </c>
      <c r="V224" s="18">
        <f>IF(AG223=0,0,(MIN((Q224+R224+S224),MAX(0,$B$4-IF($A224&gt;='1-Input'!$C$12,'1-Input'!$B$12,0))/(Q224/(Q224+R224+S224)*(1-'P-Parametri'!$B$6*T224)+R224/(Q224+R224+S224)*(1-'P-Parametri'!$B$7*U224)+S224/(Q224+R224+S224))))*Q224/(Q224+R224+S224))</f>
        <v>1313.1297272616155</v>
      </c>
      <c r="W224" s="18">
        <f>IF(AG223=0,0,(MIN((Q224+R224+S224),MAX(0,$B$4-IF($A224&gt;='1-Input'!$C$12,'1-Input'!$B$12,0))/(Q224/(Q224+R224+S224)*(1-'P-Parametri'!$B$6*T224)+R224/(Q224+R224+S224)*(1-'P-Parametri'!$B$7*U224)+S224/(Q224+R224+S224))))*R224/(Q224+R224+S224))</f>
        <v>613.67721353672596</v>
      </c>
      <c r="X224" s="18">
        <f>IF(AG223=0,0,(MIN((Q224+R224+S224),MAX(0,$B$4-IF($A224&gt;='1-Input'!$C$12,'1-Input'!$B$12,0))/(Q224/(Q224+R224+S224)*(1-'P-Parametri'!$B$6*T224)+R224/(Q224+R224+S224)*(1-'P-Parametri'!$B$7*U224)+S224/(Q224+R224+S224))))*S224/(Q224+R224+S224))</f>
        <v>202.49496565818168</v>
      </c>
      <c r="Y224" s="18">
        <f t="shared" si="9"/>
        <v>146534.58078019728</v>
      </c>
      <c r="Z224" s="18">
        <f t="shared" si="10"/>
        <v>52878.182799572089</v>
      </c>
      <c r="AA224" s="18">
        <f t="shared" si="11"/>
        <v>68481.378003293008</v>
      </c>
      <c r="AB224" s="18">
        <f t="shared" si="12"/>
        <v>56795.417239918002</v>
      </c>
      <c r="AC224" s="18">
        <f t="shared" si="13"/>
        <v>22596.788639231247</v>
      </c>
      <c r="AD224" s="18">
        <f t="shared" si="14"/>
        <v>15415.20961580585</v>
      </c>
      <c r="AE224" s="18">
        <f>IF(AG224=0,AE223,AE223+H224+V224*T224*'P-Parametri'!$B$6+W224*U224*'P-Parametri'!$B$7)</f>
        <v>20078.128501955955</v>
      </c>
      <c r="AF224" s="18">
        <f t="shared" si="0"/>
        <v>237612.74742272153</v>
      </c>
      <c r="AG224" s="10">
        <f>IF(AND(AG223=1,(X224+W224*(1-'P-Parametri'!$B$7*U224)+V224*(1-'P-Parametri'!$B$6*T224))&gt;=MAX(0,$B$4-IF($A224&gt;='1-Input'!$C$12,'1-Input'!$B$12,0))-0.01),1,0)</f>
        <v>1</v>
      </c>
      <c r="AI224" s="11">
        <f t="shared" si="15"/>
        <v>0.61460566886067702</v>
      </c>
      <c r="AJ224" s="11">
        <f t="shared" si="16"/>
        <v>0.30128656135773035</v>
      </c>
      <c r="AK224" s="18">
        <f>MAX(0,BE223-('P-Parametri'!$B$31*BL223))</f>
        <v>5923.0925386940653</v>
      </c>
      <c r="AL224" s="18">
        <f>MAX(0,BG223-('P-Parametri'!$C$31*BL223))</f>
        <v>0</v>
      </c>
      <c r="AM224" s="18">
        <f>MAX(0,BI223-('P-Parametri'!$D$31*BL223))</f>
        <v>0</v>
      </c>
      <c r="AN224" s="18">
        <f>AK224*AI224*'P-Parametri'!$B$6+AL224*AJ224*'P-Parametri'!$B$7</f>
        <v>946.49522538161546</v>
      </c>
      <c r="AO224" s="18">
        <f t="shared" si="17"/>
        <v>4976.5973133124498</v>
      </c>
      <c r="AP224" s="18">
        <f>MAX(0,('P-Parametri'!$B$31*BL223)-BE223)+MAX(0,('P-Parametri'!$C$31*BL223)-BG223)+MAX(0,('P-Parametri'!$D$31*BL223)-BI223)</f>
        <v>5923.0925386940617</v>
      </c>
      <c r="AQ224" s="18">
        <f>BE223-AK224+IF(AP224&lt;=0,0,AO224*MAX(0,('P-Parametri'!$B$31*BL223)-BE223)/AP224)</f>
        <v>140128.22875101608</v>
      </c>
      <c r="AR224" s="18">
        <f>BF223-AK224*(1-AI224)+IF(AP224&lt;=0,0,AO224*MAX(0,('P-Parametri'!$B$31*BL223)-BE223)/AP224)</f>
        <v>54004.624993235891</v>
      </c>
      <c r="AS224" s="18">
        <f>BG223-AL224+IF(AP224&lt;=0,0,AO224*MAX(0,('P-Parametri'!$C$31*BL223)-BG223)/AP224)</f>
        <v>69843.741697346195</v>
      </c>
      <c r="AT224" s="18">
        <f>BH223-AL224*(1-AJ224)+IF(AP224&lt;=0,0,AO224*MAX(0,('P-Parametri'!$C$31*BL223)-BG223)/AP224)</f>
        <v>49149.862323508794</v>
      </c>
      <c r="AU224" s="18">
        <f>BI223-AM224+IF(AP224&lt;=0,0,AO224*MAX(0,('P-Parametri'!$D$31*BL223)-BI223)/AP224)</f>
        <v>22628.582244616257</v>
      </c>
      <c r="AV224" s="18">
        <f>BJ223-AM224+IF(AP224&lt;=0,0,AO224*MAX(0,('P-Parametri'!$D$31*BL223)-BI223)/AP224)</f>
        <v>15321.850024126094</v>
      </c>
      <c r="AW224" s="18">
        <f t="shared" si="18"/>
        <v>149728.69395920567</v>
      </c>
      <c r="AX224" s="18">
        <f>AS224*(1+'P-Parametri'!$C$29)</f>
        <v>70192.960405832913</v>
      </c>
      <c r="AY224" s="18">
        <f>AU224*(1+'1-Input'!$B$27)</f>
        <v>22547.119348535638</v>
      </c>
      <c r="AZ224" s="11">
        <f t="shared" si="19"/>
        <v>0.63931679649894146</v>
      </c>
      <c r="BA224" s="11">
        <f t="shared" si="20"/>
        <v>0.29978929454833869</v>
      </c>
      <c r="BB224" s="18">
        <f>IF(BM223=0,0,MIN(MAX(AW224,0),(MAX(0,$B$4-IF($A224&gt;='1-Input'!$C$12,'1-Input'!$B$12,0))-BD224-BC224*(1-'P-Parametri'!$B$7*BA224))/(1-'P-Parametri'!$B$6*AZ224)))</f>
        <v>0</v>
      </c>
      <c r="BC224" s="18">
        <f>IF(BM223=0,0,MIN(MAX(AX224,0),(MAX(0,$B$4-IF($A224&gt;='1-Input'!$C$12,'1-Input'!$B$12,0))-BD224)/(1-'P-Parametri'!$B$7*BA224)))</f>
        <v>0</v>
      </c>
      <c r="BD224" s="18">
        <f>IF(BM223=0,0,MIN(MAX(AY224,0),MAX(0,$B$4-IF($A224&gt;='1-Input'!$C$12,'1-Input'!$B$12,0))))</f>
        <v>1898</v>
      </c>
      <c r="BE224" s="18">
        <f t="shared" si="21"/>
        <v>149728.69395920567</v>
      </c>
      <c r="BF224" s="18">
        <f t="shared" si="22"/>
        <v>54004.624993235891</v>
      </c>
      <c r="BG224" s="18">
        <f t="shared" si="23"/>
        <v>70192.960405832913</v>
      </c>
      <c r="BH224" s="18">
        <f t="shared" si="24"/>
        <v>49149.862323508794</v>
      </c>
      <c r="BI224" s="18">
        <f t="shared" si="25"/>
        <v>20649.119348535638</v>
      </c>
      <c r="BJ224" s="18">
        <f t="shared" si="26"/>
        <v>13423.850024126094</v>
      </c>
      <c r="BK224" s="18">
        <f>IF(BM224=0,BK223,BK223+AN224+BB224*AZ224*'P-Parametri'!$B$6+BC224*BA224*'P-Parametri'!$B$7)</f>
        <v>18781.362907853429</v>
      </c>
      <c r="BL224" s="18">
        <f t="shared" si="1"/>
        <v>240570.77371357422</v>
      </c>
      <c r="BM224" s="10">
        <f>IF(AND(BM223=1,(BD224+BC224*(1-'P-Parametri'!$B$7*BA224)+BB224*(1-'P-Parametri'!$B$6*AZ224))&gt;=MAX(0,$B$4-IF($A224&gt;='1-Input'!$C$12,'1-Input'!$B$12,0))-0.01),1,0)</f>
        <v>1</v>
      </c>
      <c r="BO224" s="11">
        <f t="shared" si="27"/>
        <v>0.61367677677247934</v>
      </c>
      <c r="BP224" s="11">
        <f t="shared" si="28"/>
        <v>0.17232711750533505</v>
      </c>
      <c r="BQ224" s="18">
        <f>MAX(0,CK223-('P-Parametri'!$B$31*CR223))</f>
        <v>3725.176296308171</v>
      </c>
      <c r="BR224" s="18">
        <f>MAX(0,CM223-('P-Parametri'!$C$31*CR223))</f>
        <v>0</v>
      </c>
      <c r="BS224" s="18">
        <f>MAX(0,CO223-('P-Parametri'!$D$31*CR223))</f>
        <v>0</v>
      </c>
      <c r="BT224" s="18">
        <f>BQ224*BO224*'P-Parametri'!$B$6+BR224*BP224*'P-Parametri'!$B$6</f>
        <v>594.37408743118658</v>
      </c>
      <c r="BU224" s="18">
        <f t="shared" si="29"/>
        <v>3130.8022088769844</v>
      </c>
      <c r="BV224" s="18">
        <f>MAX(0,('P-Parametri'!$B$31*CR223)-CK223)+MAX(0,('P-Parametri'!$C$31*CR223)-CM223)+MAX(0,('P-Parametri'!$D$31*CR223)-CO223)</f>
        <v>3725.1762963081419</v>
      </c>
      <c r="BW224" s="18">
        <f>CK223-BQ224+IF(BV224&lt;=0,0,BU224*MAX(0,('P-Parametri'!$B$31*CR223)-CK223)/BV224)</f>
        <v>134502.23098462675</v>
      </c>
      <c r="BX224" s="18">
        <f>CL223-BQ224*(1-BO224)+IF(BV224&lt;=0,0,BU224*MAX(0,('P-Parametri'!$B$31*CR223)-CK223)/BV224)</f>
        <v>51961.335405273516</v>
      </c>
      <c r="BY224" s="18">
        <f>CM223-BR224+IF(BV224&lt;=0,0,BU224*MAX(0,('P-Parametri'!$C$31*CR223)-CM223)/BV224)</f>
        <v>66831.136751826882</v>
      </c>
      <c r="BZ224" s="18">
        <f>CN223-BR224*(1-BP224)+IF(BV224&lt;=0,0,BU224*MAX(0,('P-Parametri'!$C$31*CR223)-CM223)/BV224)</f>
        <v>55695.540488935112</v>
      </c>
      <c r="CA224" s="18">
        <f>CO223-BS224+IF(BV224&lt;=0,0,BU224*MAX(0,('P-Parametri'!$D$31*CR223)-CO223)/BV224)</f>
        <v>22242.643150493135</v>
      </c>
      <c r="CB224" s="18">
        <f>CP223-BS224+IF(BV224&lt;=0,0,BU224*MAX(0,('P-Parametri'!$D$31*CR223)-CO223)/BV224)</f>
        <v>14952.701233035454</v>
      </c>
      <c r="CC224" s="18">
        <f t="shared" si="30"/>
        <v>143717.24783384547</v>
      </c>
      <c r="CD224" s="18">
        <f>BY224*(1+'P-Parametri'!$C$29)</f>
        <v>67165.292435586016</v>
      </c>
      <c r="CE224" s="18">
        <f>CA224*(1+'1-Input'!$B$27)</f>
        <v>22162.569635151358</v>
      </c>
      <c r="CF224" s="11">
        <f t="shared" si="31"/>
        <v>0.63844746411128672</v>
      </c>
      <c r="CG224" s="11">
        <f t="shared" si="32"/>
        <v>0.17076903160439325</v>
      </c>
      <c r="CH224" s="18">
        <f>IF(CS223=0,0,(MIN((CC224+CD224+CE224),MAX(0,$B$4-IF($A224&gt;='1-Input'!$C$12,'1-Input'!$B$12,0))/(CC224/(CC224+CD224+CE224)*(1-'P-Parametri'!$B$6*CF224)+CD224/(CC224+CD224+CE224)*(1-'P-Parametri'!$B$6*CG224)+CE224/(CC224+CD224+CE224))))*CC224/(CC224+CD224+CE224))</f>
        <v>1322.8264846440936</v>
      </c>
      <c r="CI224" s="18">
        <f>IF(CS223=0,0,(MIN((CC224+CD224+CE224),MAX(0,$B$4-IF($A224&gt;='1-Input'!$C$12,'1-Input'!$B$12,0))/(CC224/(CC224+CD224+CE224)*(1-'P-Parametri'!$B$6*CF224)+CD224/(CC224+CD224+CE224)*(1-'P-Parametri'!$B$6*CG224)+CE224/(CC224+CD224+CE224))))*CD224/(CC224+CD224+CE224))</f>
        <v>618.21409066626336</v>
      </c>
      <c r="CJ224" s="18">
        <f>IF(CS223=0,0,(MIN((CC224+CD224+CE224),MAX(0,$B$4-IF($A224&gt;='1-Input'!$C$12,'1-Input'!$B$12,0))/(CC224/(CC224+CD224+CE224)*(1-'P-Parametri'!$B$6*CF224)+CD224/(CC224+CD224+CE224)*(1-'P-Parametri'!$B$6*CG224)+CE224/(CC224+CD224+CE224))))*CE224/(CC224+CD224+CE224))</f>
        <v>203.99245409320301</v>
      </c>
      <c r="CK224" s="18">
        <f t="shared" si="33"/>
        <v>142394.42134920138</v>
      </c>
      <c r="CL224" s="18">
        <f t="shared" si="34"/>
        <v>51483.064135209694</v>
      </c>
      <c r="CM224" s="18">
        <f t="shared" si="35"/>
        <v>66547.078344919748</v>
      </c>
      <c r="CN224" s="18">
        <f t="shared" si="36"/>
        <v>55182.898219856113</v>
      </c>
      <c r="CO224" s="18">
        <f t="shared" si="37"/>
        <v>21958.577181058154</v>
      </c>
      <c r="CP224" s="18">
        <f t="shared" si="38"/>
        <v>14748.708778942251</v>
      </c>
      <c r="CQ224" s="18">
        <f>IF(CS224=0,CQ223,CQ223+BT224+CH224*CF224*'P-Parametri'!$B$6+CI224*CG224*'P-Parametri'!$B$6)</f>
        <v>23614.560128165002</v>
      </c>
      <c r="CR224" s="18">
        <f t="shared" si="2"/>
        <v>230900.07687517928</v>
      </c>
      <c r="CS224" s="10">
        <f>IF(AND(CS223=1,(CJ224+CI224*(1-'P-Parametri'!$B$6*CG224)+CH224*(1-'P-Parametri'!$B$6*CF224))&gt;=MAX(0,$B$4-IF($A224&gt;='1-Input'!$C$12,'1-Input'!$B$12,0))-0.01),1,0)</f>
        <v>1</v>
      </c>
    </row>
    <row r="225" spans="1:97">
      <c r="A225" s="10">
        <f>25</f>
        <v>25</v>
      </c>
      <c r="B225" s="11">
        <f>IF(A225=1,'P-Parametri'!$B$30,IF(A225=2,'P-Parametri'!$C$30,'P-Parametri'!$B$29))</f>
        <v>6.8512000000000003E-2</v>
      </c>
      <c r="C225" s="11">
        <f t="shared" si="3"/>
        <v>0.63914195189946543</v>
      </c>
      <c r="D225" s="11">
        <f t="shared" si="4"/>
        <v>0.17064435769404454</v>
      </c>
      <c r="E225" s="18">
        <f>MAX(0,Y224-('P-Parametri'!$B$31*AF224))</f>
        <v>3966.9323265643616</v>
      </c>
      <c r="F225" s="18">
        <f>MAX(0,AA224-('P-Parametri'!$C$31*AF224))</f>
        <v>0</v>
      </c>
      <c r="G225" s="18">
        <f>MAX(0,AC224-('P-Parametri'!$D$31*AF224))</f>
        <v>0</v>
      </c>
      <c r="H225" s="18">
        <f>E225*C225*'P-Parametri'!$B$6+F225*D225*'P-Parametri'!$B$7</f>
        <v>659.21254626589268</v>
      </c>
      <c r="I225" s="18">
        <f t="shared" si="5"/>
        <v>3307.7197802984688</v>
      </c>
      <c r="J225" s="18">
        <f>MAX(0,('P-Parametri'!$B$31*AF224)-Y224)+MAX(0,('P-Parametri'!$C$31*AF224)-AA224)+MAX(0,('P-Parametri'!$D$31*AF224)-AC224)</f>
        <v>3966.9323265643616</v>
      </c>
      <c r="K225" s="18">
        <f>Y224-E225+IF(J225&lt;=0,0,I225*MAX(0,('P-Parametri'!$B$31*AF224)-Y224)/J225)</f>
        <v>142567.64845363292</v>
      </c>
      <c r="L225" s="18">
        <f>Z224-E225*(1-C225)+IF(J225&lt;=0,0,I225*MAX(0,('P-Parametri'!$B$31*AF224)-Y224)/J225)</f>
        <v>51446.68334326116</v>
      </c>
      <c r="M225" s="18">
        <f>AA224-F225+IF(J225&lt;=0,0,I225*MAX(0,('P-Parametri'!$C$31*AF224)-AA224)/J225)</f>
        <v>70818.122379973487</v>
      </c>
      <c r="N225" s="18">
        <f>AB224-F225*(1-D225)+IF(J225&lt;=0,0,I225*MAX(0,('P-Parametri'!$C$31*AF224)-AA224)/J225)</f>
        <v>59132.161616598481</v>
      </c>
      <c r="O225" s="18">
        <f>AC224-G225+IF(J225&lt;=0,0,I225*MAX(0,('P-Parametri'!$D$31*AF224)-AC224)/J225)</f>
        <v>23567.764042849238</v>
      </c>
      <c r="P225" s="18">
        <f>AD224-G225+IF(J225&lt;=0,0,I225*MAX(0,('P-Parametri'!$D$31*AF224)-AC224)/J225)</f>
        <v>16386.185019423843</v>
      </c>
      <c r="Q225" s="18">
        <f t="shared" si="6"/>
        <v>152335.24318448821</v>
      </c>
      <c r="R225" s="18">
        <f>M225*(1+'P-Parametri'!$C$29)</f>
        <v>71172.212991873341</v>
      </c>
      <c r="S225" s="18">
        <f>O225*(1+'1-Input'!$B$27)</f>
        <v>23482.920092294979</v>
      </c>
      <c r="T225" s="11">
        <f t="shared" si="7"/>
        <v>0.66227983578983252</v>
      </c>
      <c r="U225" s="11">
        <f t="shared" si="8"/>
        <v>0.16916786578843107</v>
      </c>
      <c r="V225" s="18">
        <f>IF(AG224=0,0,(MIN((Q225+R225+S225),MAX(0,$B$4-IF($A225&gt;='1-Input'!$C$12,'1-Input'!$B$12,0))/(Q225/(Q225+R225+S225)*(1-'P-Parametri'!$B$6*T225)+R225/(Q225+R225+S225)*(1-'P-Parametri'!$B$7*U225)+S225/(Q225+R225+S225))))*Q225/(Q225+R225+S225))</f>
        <v>1318.7072415966991</v>
      </c>
      <c r="W225" s="18">
        <f>IF(AG224=0,0,(MIN((Q225+R225+S225),MAX(0,$B$4-IF($A225&gt;='1-Input'!$C$12,'1-Input'!$B$12,0))/(Q225/(Q225+R225+S225)*(1-'P-Parametri'!$B$6*T225)+R225/(Q225+R225+S225)*(1-'P-Parametri'!$B$7*U225)+S225/(Q225+R225+S225))))*R225/(Q225+R225+S225))</f>
        <v>616.11030192915337</v>
      </c>
      <c r="X225" s="18">
        <f>IF(AG224=0,0,(MIN((Q225+R225+S225),MAX(0,$B$4-IF($A225&gt;='1-Input'!$C$12,'1-Input'!$B$12,0))/(Q225/(Q225+R225+S225)*(1-'P-Parametri'!$B$6*T225)+R225/(Q225+R225+S225)*(1-'P-Parametri'!$B$7*U225)+S225/(Q225+R225+S225))))*S225/(Q225+R225+S225))</f>
        <v>203.28255059167614</v>
      </c>
      <c r="Y225" s="18">
        <f t="shared" si="9"/>
        <v>151016.5359428915</v>
      </c>
      <c r="Z225" s="18">
        <f t="shared" si="10"/>
        <v>51001.329317083982</v>
      </c>
      <c r="AA225" s="18">
        <f t="shared" si="11"/>
        <v>70556.102689944193</v>
      </c>
      <c r="AB225" s="18">
        <f t="shared" si="12"/>
        <v>58620.27737953695</v>
      </c>
      <c r="AC225" s="18">
        <f t="shared" si="13"/>
        <v>23279.637541703301</v>
      </c>
      <c r="AD225" s="18">
        <f t="shared" si="14"/>
        <v>16182.902468832168</v>
      </c>
      <c r="AE225" s="18">
        <f>IF(AG225=0,AE224,AE224+H225+V225*T225*'P-Parametri'!$B$6+W225*U225*'P-Parametri'!$B$7)</f>
        <v>20977.441142339376</v>
      </c>
      <c r="AF225" s="18">
        <f t="shared" si="0"/>
        <v>244852.276174539</v>
      </c>
      <c r="AG225" s="10">
        <f>IF(AND(AG224=1,(X225+W225*(1-'P-Parametri'!$B$7*U225)+V225*(1-'P-Parametri'!$B$6*T225))&gt;=MAX(0,$B$4-IF($A225&gt;='1-Input'!$C$12,'1-Input'!$B$12,0))-0.01),1,0)</f>
        <v>1</v>
      </c>
      <c r="AI225" s="11">
        <f t="shared" si="15"/>
        <v>0.63931679649894146</v>
      </c>
      <c r="AJ225" s="11">
        <f t="shared" si="16"/>
        <v>0.29978929454833869</v>
      </c>
      <c r="AK225" s="18">
        <f>MAX(0,BE224-('P-Parametri'!$B$31*BL224))</f>
        <v>5386.2297310611466</v>
      </c>
      <c r="AL225" s="18">
        <f>MAX(0,BG224-('P-Parametri'!$C$31*BL224))</f>
        <v>0</v>
      </c>
      <c r="AM225" s="18">
        <f>MAX(0,BI224-('P-Parametri'!$D$31*BL224))</f>
        <v>0</v>
      </c>
      <c r="AN225" s="18">
        <f>AK225*AI225*'P-Parametri'!$B$6+AL225*AJ225*'P-Parametri'!$B$7</f>
        <v>895.31185558603545</v>
      </c>
      <c r="AO225" s="18">
        <f t="shared" si="17"/>
        <v>4490.917875475111</v>
      </c>
      <c r="AP225" s="18">
        <f>MAX(0,('P-Parametri'!$B$31*BL224)-BE224)+MAX(0,('P-Parametri'!$C$31*BL224)-BG224)+MAX(0,('P-Parametri'!$D$31*BL224)-BI224)</f>
        <v>5386.2297310611357</v>
      </c>
      <c r="AQ225" s="18">
        <f>BE224-AK225+IF(AP225&lt;=0,0,AO225*MAX(0,('P-Parametri'!$B$31*BL224)-BE224)/AP225)</f>
        <v>144342.46422814453</v>
      </c>
      <c r="AR225" s="18">
        <f>BF224-AK225*(1-AI225)+IF(AP225&lt;=0,0,AO225*MAX(0,('P-Parametri'!$B$31*BL224)-BE224)/AP225)</f>
        <v>52061.902399044113</v>
      </c>
      <c r="AS225" s="18">
        <f>BG224-AL225+IF(AP225&lt;=0,0,AO225*MAX(0,('P-Parametri'!$C$31*BL224)-BG224)/AP225)</f>
        <v>71842.399107982084</v>
      </c>
      <c r="AT225" s="18">
        <f>BH224-AL225*(1-AJ225)+IF(AP225&lt;=0,0,AO225*MAX(0,('P-Parametri'!$C$31*BL224)-BG224)/AP225)</f>
        <v>50799.301025657973</v>
      </c>
      <c r="AU225" s="18">
        <f>BI224-AM225+IF(AP225&lt;=0,0,AO225*MAX(0,('P-Parametri'!$D$31*BL224)-BI224)/AP225)</f>
        <v>23490.598521861575</v>
      </c>
      <c r="AV225" s="18">
        <f>BJ224-AM225+IF(AP225&lt;=0,0,AO225*MAX(0,('P-Parametri'!$D$31*BL224)-BI224)/AP225)</f>
        <v>16265.329197452029</v>
      </c>
      <c r="AW225" s="18">
        <f t="shared" si="18"/>
        <v>154231.65513734316</v>
      </c>
      <c r="AX225" s="18">
        <f>AS225*(1+'P-Parametri'!$C$29)</f>
        <v>72201.61110352198</v>
      </c>
      <c r="AY225" s="18">
        <f>AU225*(1+'1-Input'!$B$27)</f>
        <v>23406.032367182874</v>
      </c>
      <c r="AZ225" s="11">
        <f t="shared" si="19"/>
        <v>0.66244346951549582</v>
      </c>
      <c r="BA225" s="11">
        <f t="shared" si="20"/>
        <v>0.29642427295947149</v>
      </c>
      <c r="BB225" s="18">
        <f>IF(BM224=0,0,MIN(MAX(AW225,0),(MAX(0,$B$4-IF($A225&gt;='1-Input'!$C$12,'1-Input'!$B$12,0))-BD225-BC225*(1-'P-Parametri'!$B$7*BA225))/(1-'P-Parametri'!$B$6*AZ225)))</f>
        <v>0</v>
      </c>
      <c r="BC225" s="18">
        <f>IF(BM224=0,0,MIN(MAX(AX225,0),(MAX(0,$B$4-IF($A225&gt;='1-Input'!$C$12,'1-Input'!$B$12,0))-BD225)/(1-'P-Parametri'!$B$7*BA225)))</f>
        <v>0</v>
      </c>
      <c r="BD225" s="18">
        <f>IF(BM224=0,0,MIN(MAX(AY225,0),MAX(0,$B$4-IF($A225&gt;='1-Input'!$C$12,'1-Input'!$B$12,0))))</f>
        <v>1898</v>
      </c>
      <c r="BE225" s="18">
        <f t="shared" si="21"/>
        <v>154231.65513734316</v>
      </c>
      <c r="BF225" s="18">
        <f t="shared" si="22"/>
        <v>52061.902399044113</v>
      </c>
      <c r="BG225" s="18">
        <f t="shared" si="23"/>
        <v>72201.61110352198</v>
      </c>
      <c r="BH225" s="18">
        <f t="shared" si="24"/>
        <v>50799.301025657973</v>
      </c>
      <c r="BI225" s="18">
        <f t="shared" si="25"/>
        <v>21508.032367182874</v>
      </c>
      <c r="BJ225" s="18">
        <f t="shared" si="26"/>
        <v>14367.329197452029</v>
      </c>
      <c r="BK225" s="18">
        <f>IF(BM225=0,BK224,BK224+AN225+BB225*AZ225*'P-Parametri'!$B$6+BC225*BA225*'P-Parametri'!$B$7)</f>
        <v>19676.674763439463</v>
      </c>
      <c r="BL225" s="18">
        <f t="shared" si="1"/>
        <v>247941.298608048</v>
      </c>
      <c r="BM225" s="10">
        <f>IF(AND(BM224=1,(BD225+BC225*(1-'P-Parametri'!$B$7*BA225)+BB225*(1-'P-Parametri'!$B$6*AZ225))&gt;=MAX(0,$B$4-IF($A225&gt;='1-Input'!$C$12,'1-Input'!$B$12,0))-0.01),1,0)</f>
        <v>1</v>
      </c>
      <c r="BO225" s="11">
        <f t="shared" si="27"/>
        <v>0.63844746411128672</v>
      </c>
      <c r="BP225" s="11">
        <f t="shared" si="28"/>
        <v>0.17076903160439325</v>
      </c>
      <c r="BQ225" s="18">
        <f>MAX(0,CK224-('P-Parametri'!$B$31*CR224))</f>
        <v>3854.3752240938193</v>
      </c>
      <c r="BR225" s="18">
        <f>MAX(0,CM224-('P-Parametri'!$C$31*CR224))</f>
        <v>0</v>
      </c>
      <c r="BS225" s="18">
        <f>MAX(0,CO224-('P-Parametri'!$D$31*CR224))</f>
        <v>0</v>
      </c>
      <c r="BT225" s="18">
        <f>BQ225*BO225*'P-Parametri'!$B$6+BR225*BP225*'P-Parametri'!$B$6</f>
        <v>639.81218276457867</v>
      </c>
      <c r="BU225" s="18">
        <f t="shared" si="29"/>
        <v>3214.5630413292406</v>
      </c>
      <c r="BV225" s="18">
        <f>MAX(0,('P-Parametri'!$B$31*CR224)-CK224)+MAX(0,('P-Parametri'!$C$31*CR224)-CM224)+MAX(0,('P-Parametri'!$D$31*CR224)-CO224)</f>
        <v>3854.3752240938084</v>
      </c>
      <c r="BW225" s="18">
        <f>CK224-BQ225+IF(BV225&lt;=0,0,BU225*MAX(0,('P-Parametri'!$B$31*CR224)-CK224)/BV225)</f>
        <v>138540.04612510756</v>
      </c>
      <c r="BX225" s="18">
        <f>CL224-BQ225*(1-BO225)+IF(BV225&lt;=0,0,BU225*MAX(0,('P-Parametri'!$B$31*CR224)-CK224)/BV225)</f>
        <v>50089.504998671946</v>
      </c>
      <c r="BY225" s="18">
        <f>CM224-BR225+IF(BV225&lt;=0,0,BU225*MAX(0,('P-Parametri'!$C$31*CR224)-CM224)/BV225)</f>
        <v>68818.024203582725</v>
      </c>
      <c r="BZ225" s="18">
        <f>CN224-BR225*(1-BP225)+IF(BV225&lt;=0,0,BU225*MAX(0,('P-Parametri'!$C$31*CR224)-CM224)/BV225)</f>
        <v>57453.844078519098</v>
      </c>
      <c r="CA225" s="18">
        <f>CO224-BS225+IF(BV225&lt;=0,0,BU225*MAX(0,('P-Parametri'!$D$31*CR224)-CO224)/BV225)</f>
        <v>22902.194363724411</v>
      </c>
      <c r="CB225" s="18">
        <f>CP224-BS225+IF(BV225&lt;=0,0,BU225*MAX(0,('P-Parametri'!$D$31*CR224)-CO224)/BV225)</f>
        <v>15692.325961608507</v>
      </c>
      <c r="CC225" s="18">
        <f t="shared" si="30"/>
        <v>148031.70176523092</v>
      </c>
      <c r="CD225" s="18">
        <f>BY225*(1+'P-Parametri'!$C$29)</f>
        <v>69162.114324600625</v>
      </c>
      <c r="CE225" s="18">
        <f>CA225*(1+'1-Input'!$B$27)</f>
        <v>22819.746464015003</v>
      </c>
      <c r="CF225" s="11">
        <f t="shared" si="31"/>
        <v>0.6616298779155374</v>
      </c>
      <c r="CG225" s="11">
        <f t="shared" si="32"/>
        <v>0.16928733831257314</v>
      </c>
      <c r="CH225" s="18">
        <f>IF(CS224=0,0,(MIN((CC225+CD225+CE225),MAX(0,$B$4-IF($A225&gt;='1-Input'!$C$12,'1-Input'!$B$12,0))/(CC225/(CC225+CD225+CE225)*(1-'P-Parametri'!$B$6*CF225)+CD225/(CC225+CD225+CE225)*(1-'P-Parametri'!$B$6*CG225)+CE225/(CC225+CD225+CE225))))*CC225/(CC225+CD225+CE225))</f>
        <v>1328.4078974822626</v>
      </c>
      <c r="CI225" s="18">
        <f>IF(CS224=0,0,(MIN((CC225+CD225+CE225),MAX(0,$B$4-IF($A225&gt;='1-Input'!$C$12,'1-Input'!$B$12,0))/(CC225/(CC225+CD225+CE225)*(1-'P-Parametri'!$B$6*CF225)+CD225/(CC225+CD225+CE225)*(1-'P-Parametri'!$B$6*CG225)+CE225/(CC225+CD225+CE225))))*CD225/(CC225+CD225+CE225))</f>
        <v>620.64745442891297</v>
      </c>
      <c r="CJ225" s="18">
        <f>IF(CS224=0,0,(MIN((CC225+CD225+CE225),MAX(0,$B$4-IF($A225&gt;='1-Input'!$C$12,'1-Input'!$B$12,0))/(CC225/(CC225+CD225+CE225)*(1-'P-Parametri'!$B$6*CF225)+CD225/(CC225+CD225+CE225)*(1-'P-Parametri'!$B$6*CG225)+CE225/(CC225+CD225+CE225))))*CE225/(CC225+CD225+CE225))</f>
        <v>204.77999685105613</v>
      </c>
      <c r="CK225" s="18">
        <f t="shared" si="33"/>
        <v>146703.29386774864</v>
      </c>
      <c r="CL225" s="18">
        <f t="shared" si="34"/>
        <v>49640.011456222906</v>
      </c>
      <c r="CM225" s="18">
        <f t="shared" si="35"/>
        <v>68541.466870171716</v>
      </c>
      <c r="CN225" s="18">
        <f t="shared" si="36"/>
        <v>56938.264379680928</v>
      </c>
      <c r="CO225" s="18">
        <f t="shared" si="37"/>
        <v>22614.966467163948</v>
      </c>
      <c r="CP225" s="18">
        <f t="shared" si="38"/>
        <v>15487.545964757452</v>
      </c>
      <c r="CQ225" s="18">
        <f>IF(CS225=0,CQ224,CQ224+BT225+CH225*CF225*'P-Parametri'!$B$6+CI225*CG225*'P-Parametri'!$B$6)</f>
        <v>24510.207659691812</v>
      </c>
      <c r="CR225" s="18">
        <f t="shared" si="2"/>
        <v>237859.72720508429</v>
      </c>
      <c r="CS225" s="10">
        <f>IF(AND(CS224=1,(CJ225+CI225*(1-'P-Parametri'!$B$6*CG225)+CH225*(1-'P-Parametri'!$B$6*CF225))&gt;=MAX(0,$B$4-IF($A225&gt;='1-Input'!$C$12,'1-Input'!$B$12,0))-0.01),1,0)</f>
        <v>1</v>
      </c>
    </row>
    <row r="226" spans="1:97">
      <c r="A226" s="10">
        <f>26</f>
        <v>26</v>
      </c>
      <c r="B226" s="11">
        <f>IF(A226=1,'P-Parametri'!$B$30,IF(A226=2,'P-Parametri'!$C$30,'P-Parametri'!$B$29))</f>
        <v>6.8512000000000003E-2</v>
      </c>
      <c r="C226" s="11">
        <f t="shared" si="3"/>
        <v>0.66227983578983241</v>
      </c>
      <c r="D226" s="11">
        <f t="shared" si="4"/>
        <v>0.16916786578843113</v>
      </c>
      <c r="E226" s="18">
        <f>MAX(0,Y225-('P-Parametri'!$B$31*AF225))</f>
        <v>4105.1702381680952</v>
      </c>
      <c r="F226" s="18">
        <f>MAX(0,AA225-('P-Parametri'!$C$31*AF225))</f>
        <v>0</v>
      </c>
      <c r="G226" s="18">
        <f>MAX(0,AC225-('P-Parametri'!$D$31*AF225))</f>
        <v>0</v>
      </c>
      <c r="H226" s="18">
        <f>E226*C226*'P-Parametri'!$B$6+F226*D226*'P-Parametri'!$B$7</f>
        <v>706.88058251805103</v>
      </c>
      <c r="I226" s="18">
        <f t="shared" si="5"/>
        <v>3398.2896556500441</v>
      </c>
      <c r="J226" s="18">
        <f>MAX(0,('P-Parametri'!$B$31*AF225)-Y225)+MAX(0,('P-Parametri'!$C$31*AF225)-AA225)+MAX(0,('P-Parametri'!$D$31*AF225)-AC225)</f>
        <v>4105.1702381681062</v>
      </c>
      <c r="K226" s="18">
        <f>Y225-E226+IF(J226&lt;=0,0,I226*MAX(0,('P-Parametri'!$B$31*AF225)-Y225)/J226)</f>
        <v>146911.3657047234</v>
      </c>
      <c r="L226" s="18">
        <f>Z225-E226*(1-C226)+IF(J226&lt;=0,0,I226*MAX(0,('P-Parametri'!$B$31*AF225)-Y225)/J226)</f>
        <v>49614.930550139157</v>
      </c>
      <c r="M226" s="18">
        <f>AA225-F226+IF(J226&lt;=0,0,I226*MAX(0,('P-Parametri'!$C$31*AF225)-AA225)/J226)</f>
        <v>72956.396149167107</v>
      </c>
      <c r="N226" s="18">
        <f>AB225-F226*(1-D226)+IF(J226&lt;=0,0,I226*MAX(0,('P-Parametri'!$C$31*AF225)-AA225)/J226)</f>
        <v>61020.570838759864</v>
      </c>
      <c r="O226" s="18">
        <f>AC225-G226+IF(J226&lt;=0,0,I226*MAX(0,('P-Parametri'!$D$31*AF225)-AC225)/J226)</f>
        <v>24277.633738130429</v>
      </c>
      <c r="P226" s="18">
        <f>AD225-G226+IF(J226&lt;=0,0,I226*MAX(0,('P-Parametri'!$D$31*AF225)-AC225)/J226)</f>
        <v>17180.898665259294</v>
      </c>
      <c r="Q226" s="18">
        <f t="shared" si="6"/>
        <v>156976.5571918854</v>
      </c>
      <c r="R226" s="18">
        <f>M226*(1+'P-Parametri'!$C$29)</f>
        <v>73321.178129912936</v>
      </c>
      <c r="S226" s="18">
        <f>O226*(1+'1-Input'!$B$27)</f>
        <v>24190.234256673157</v>
      </c>
      <c r="T226" s="11">
        <f t="shared" si="7"/>
        <v>0.68393413999078378</v>
      </c>
      <c r="U226" s="11">
        <f t="shared" si="8"/>
        <v>0.1677633612127514</v>
      </c>
      <c r="V226" s="18">
        <f>IF(AG225=0,0,(MIN((Q226+R226+S226),MAX(0,$B$4-IF($A226&gt;='1-Input'!$C$12,'1-Input'!$B$12,0))/(Q226/(Q226+R226+S226)*(1-'P-Parametri'!$B$6*T226)+R226/(Q226+R226+S226)*(1-'P-Parametri'!$B$7*U226)+S226/(Q226+R226+S226))))*Q226/(Q226+R226+S226))</f>
        <v>1323.9704522880666</v>
      </c>
      <c r="W226" s="18">
        <f>IF(AG225=0,0,(MIN((Q226+R226+S226),MAX(0,$B$4-IF($A226&gt;='1-Input'!$C$12,'1-Input'!$B$12,0))/(Q226/(Q226+R226+S226)*(1-'P-Parametri'!$B$6*T226)+R226/(Q226+R226+S226)*(1-'P-Parametri'!$B$7*U226)+S226/(Q226+R226+S226))))*R226/(Q226+R226+S226))</f>
        <v>618.40490776142997</v>
      </c>
      <c r="X226" s="18">
        <f>IF(AG225=0,0,(MIN((Q226+R226+S226),MAX(0,$B$4-IF($A226&gt;='1-Input'!$C$12,'1-Input'!$B$12,0))/(Q226/(Q226+R226+S226)*(1-'P-Parametri'!$B$6*T226)+R226/(Q226+R226+S226)*(1-'P-Parametri'!$B$7*U226)+S226/(Q226+R226+S226))))*S226/(Q226+R226+S226))</f>
        <v>204.025084781369</v>
      </c>
      <c r="Y226" s="18">
        <f t="shared" si="9"/>
        <v>155652.58673959732</v>
      </c>
      <c r="Z226" s="18">
        <f t="shared" si="10"/>
        <v>49196.468690509937</v>
      </c>
      <c r="AA226" s="18">
        <f t="shared" si="11"/>
        <v>72702.773222151503</v>
      </c>
      <c r="AB226" s="18">
        <f t="shared" si="12"/>
        <v>60505.911616914957</v>
      </c>
      <c r="AC226" s="18">
        <f t="shared" si="13"/>
        <v>23986.209171891787</v>
      </c>
      <c r="AD226" s="18">
        <f t="shared" si="14"/>
        <v>16976.873580477924</v>
      </c>
      <c r="AE226" s="18">
        <f>IF(AG226=0,AE225,AE225+H226+V226*T226*'P-Parametri'!$B$6+W226*U226*'P-Parametri'!$B$7)</f>
        <v>21932.722169688292</v>
      </c>
      <c r="AF226" s="18">
        <f t="shared" si="0"/>
        <v>252341.56913364062</v>
      </c>
      <c r="AG226" s="10">
        <f>IF(AND(AG225=1,(X226+W226*(1-'P-Parametri'!$B$7*U226)+V226*(1-'P-Parametri'!$B$6*T226))&gt;=MAX(0,$B$4-IF($A226&gt;='1-Input'!$C$12,'1-Input'!$B$12,0))-0.01),1,0)</f>
        <v>1</v>
      </c>
      <c r="AI226" s="11">
        <f t="shared" si="15"/>
        <v>0.66244346951549582</v>
      </c>
      <c r="AJ226" s="11">
        <f t="shared" si="16"/>
        <v>0.29642427295947149</v>
      </c>
      <c r="AK226" s="18">
        <f>MAX(0,BE225-('P-Parametri'!$B$31*BL225))</f>
        <v>5466.8759725143609</v>
      </c>
      <c r="AL226" s="18">
        <f>MAX(0,BG225-('P-Parametri'!$C$31*BL225))</f>
        <v>0</v>
      </c>
      <c r="AM226" s="18">
        <f>MAX(0,BI225-('P-Parametri'!$D$31*BL225))</f>
        <v>0</v>
      </c>
      <c r="AN226" s="18">
        <f>AK226*AI226*'P-Parametri'!$B$6+AL226*AJ226*'P-Parametri'!$B$7</f>
        <v>941.58903452726156</v>
      </c>
      <c r="AO226" s="18">
        <f t="shared" si="17"/>
        <v>4525.286937987099</v>
      </c>
      <c r="AP226" s="18">
        <f>MAX(0,('P-Parametri'!$B$31*BL225)-BE225)+MAX(0,('P-Parametri'!$C$31*BL225)-BG225)+MAX(0,('P-Parametri'!$D$31*BL225)-BI225)</f>
        <v>5466.8759725143464</v>
      </c>
      <c r="AQ226" s="18">
        <f>BE225-AK226+IF(AP226&lt;=0,0,AO226*MAX(0,('P-Parametri'!$B$31*BL225)-BE225)/AP226)</f>
        <v>148764.7791648288</v>
      </c>
      <c r="AR226" s="18">
        <f>BF225-AK226*(1-AI226)+IF(AP226&lt;=0,0,AO226*MAX(0,('P-Parametri'!$B$31*BL225)-BE225)/AP226)</f>
        <v>50216.522713173064</v>
      </c>
      <c r="AS226" s="18">
        <f>BG225-AL226+IF(AP226&lt;=0,0,AO226*MAX(0,('P-Parametri'!$C$31*BL225)-BG225)/AP226)</f>
        <v>74006.782542345827</v>
      </c>
      <c r="AT226" s="18">
        <f>BH225-AL226*(1-AJ226)+IF(AP226&lt;=0,0,AO226*MAX(0,('P-Parametri'!$C$31*BL225)-BG225)/AP226)</f>
        <v>52604.47246448182</v>
      </c>
      <c r="AU226" s="18">
        <f>BI225-AM226+IF(AP226&lt;=0,0,AO226*MAX(0,('P-Parametri'!$D$31*BL225)-BI225)/AP226)</f>
        <v>24228.147866346128</v>
      </c>
      <c r="AV226" s="18">
        <f>BJ225-AM226+IF(AP226&lt;=0,0,AO226*MAX(0,('P-Parametri'!$D$31*BL225)-BI225)/AP226)</f>
        <v>17087.444696615283</v>
      </c>
      <c r="AW226" s="18">
        <f t="shared" si="18"/>
        <v>158956.95171496953</v>
      </c>
      <c r="AX226" s="18">
        <f>AS226*(1+'P-Parametri'!$C$29)</f>
        <v>74376.816455057546</v>
      </c>
      <c r="AY226" s="18">
        <f>AU226*(1+'1-Input'!$B$27)</f>
        <v>24140.92653402728</v>
      </c>
      <c r="AZ226" s="11">
        <f t="shared" si="19"/>
        <v>0.68408728167348221</v>
      </c>
      <c r="BA226" s="11">
        <f t="shared" si="20"/>
        <v>0.29273024886365956</v>
      </c>
      <c r="BB226" s="18">
        <f>IF(BM225=0,0,MIN(MAX(AW226,0),(MAX(0,$B$4-IF($A226&gt;='1-Input'!$C$12,'1-Input'!$B$12,0))-BD226-BC226*(1-'P-Parametri'!$B$7*BA226))/(1-'P-Parametri'!$B$6*AZ226)))</f>
        <v>0</v>
      </c>
      <c r="BC226" s="18">
        <f>IF(BM225=0,0,MIN(MAX(AX226,0),(MAX(0,$B$4-IF($A226&gt;='1-Input'!$C$12,'1-Input'!$B$12,0))-BD226)/(1-'P-Parametri'!$B$7*BA226)))</f>
        <v>0</v>
      </c>
      <c r="BD226" s="18">
        <f>IF(BM225=0,0,MIN(MAX(AY226,0),MAX(0,$B$4-IF($A226&gt;='1-Input'!$C$12,'1-Input'!$B$12,0))))</f>
        <v>1898</v>
      </c>
      <c r="BE226" s="18">
        <f t="shared" si="21"/>
        <v>158956.95171496953</v>
      </c>
      <c r="BF226" s="18">
        <f t="shared" si="22"/>
        <v>50216.522713173064</v>
      </c>
      <c r="BG226" s="18">
        <f t="shared" si="23"/>
        <v>74376.816455057546</v>
      </c>
      <c r="BH226" s="18">
        <f t="shared" si="24"/>
        <v>52604.47246448182</v>
      </c>
      <c r="BI226" s="18">
        <f t="shared" si="25"/>
        <v>22242.92653402728</v>
      </c>
      <c r="BJ226" s="18">
        <f t="shared" si="26"/>
        <v>15189.444696615283</v>
      </c>
      <c r="BK226" s="18">
        <f>IF(BM226=0,BK225,BK225+AN226+BB226*AZ226*'P-Parametri'!$B$6+BC226*BA226*'P-Parametri'!$B$7)</f>
        <v>20618.263797966723</v>
      </c>
      <c r="BL226" s="18">
        <f t="shared" si="1"/>
        <v>255576.69470405433</v>
      </c>
      <c r="BM226" s="10">
        <f>IF(AND(BM225=1,(BD226+BC226*(1-'P-Parametri'!$B$7*BA226)+BB226*(1-'P-Parametri'!$B$6*AZ226))&gt;=MAX(0,$B$4-IF($A226&gt;='1-Input'!$C$12,'1-Input'!$B$12,0))-0.01),1,0)</f>
        <v>1</v>
      </c>
      <c r="BO226" s="11">
        <f t="shared" si="27"/>
        <v>0.66162987791553729</v>
      </c>
      <c r="BP226" s="11">
        <f t="shared" si="28"/>
        <v>0.16928733831257323</v>
      </c>
      <c r="BQ226" s="18">
        <f>MAX(0,CK225-('P-Parametri'!$B$31*CR225))</f>
        <v>3987.4575446980598</v>
      </c>
      <c r="BR226" s="18">
        <f>MAX(0,CM225-('P-Parametri'!$C$31*CR225))</f>
        <v>0</v>
      </c>
      <c r="BS226" s="18">
        <f>MAX(0,CO225-('P-Parametri'!$D$31*CR225))</f>
        <v>0</v>
      </c>
      <c r="BT226" s="18">
        <f>BQ226*BO226*'P-Parametri'!$B$6+BR226*BP226*'P-Parametri'!$B$6</f>
        <v>685.9374726079111</v>
      </c>
      <c r="BU226" s="18">
        <f t="shared" si="29"/>
        <v>3301.5200720901485</v>
      </c>
      <c r="BV226" s="18">
        <f>MAX(0,('P-Parametri'!$B$31*CR225)-CK225)+MAX(0,('P-Parametri'!$C$31*CR225)-CM225)+MAX(0,('P-Parametri'!$D$31*CR225)-CO225)</f>
        <v>3987.4575446980562</v>
      </c>
      <c r="BW226" s="18">
        <f>CK225-BQ226+IF(BV226&lt;=0,0,BU226*MAX(0,('P-Parametri'!$B$31*CR225)-CK225)/BV226)</f>
        <v>142715.83632305058</v>
      </c>
      <c r="BX226" s="18">
        <f>CL225-BQ226*(1-BO226)+IF(BV226&lt;=0,0,BU226*MAX(0,('P-Parametri'!$B$31*CR225)-CK225)/BV226)</f>
        <v>48290.77496001681</v>
      </c>
      <c r="BY226" s="18">
        <f>CM225-BR226+IF(BV226&lt;=0,0,BU226*MAX(0,('P-Parametri'!$C$31*CR225)-CM225)/BV226)</f>
        <v>70873.42159727143</v>
      </c>
      <c r="BZ226" s="18">
        <f>CN225-BR226*(1-BP226)+IF(BV226&lt;=0,0,BU226*MAX(0,('P-Parametri'!$C$31*CR225)-CM225)/BV226)</f>
        <v>59270.219106780642</v>
      </c>
      <c r="CA226" s="18">
        <f>CO225-BS226+IF(BV226&lt;=0,0,BU226*MAX(0,('P-Parametri'!$D$31*CR225)-CO225)/BV226)</f>
        <v>23584.531812154386</v>
      </c>
      <c r="CB226" s="18">
        <f>CP225-BS226+IF(BV226&lt;=0,0,BU226*MAX(0,('P-Parametri'!$D$31*CR225)-CO225)/BV226)</f>
        <v>16457.111309747888</v>
      </c>
      <c r="CC226" s="18">
        <f t="shared" si="30"/>
        <v>152493.58370121539</v>
      </c>
      <c r="CD226" s="18">
        <f>BY226*(1+'P-Parametri'!$C$29)</f>
        <v>71227.788705257786</v>
      </c>
      <c r="CE226" s="18">
        <f>CA226*(1+'1-Input'!$B$27)</f>
        <v>23499.62749763063</v>
      </c>
      <c r="CF226" s="11">
        <f t="shared" si="31"/>
        <v>0.68332585681352886</v>
      </c>
      <c r="CG226" s="11">
        <f t="shared" si="32"/>
        <v>0.16787787204735277</v>
      </c>
      <c r="CH226" s="18">
        <f>IF(CS225=0,0,(MIN((CC226+CD226+CE226),MAX(0,$B$4-IF($A226&gt;='1-Input'!$C$12,'1-Input'!$B$12,0))/(CC226/(CC226+CD226+CE226)*(1-'P-Parametri'!$B$6*CF226)+CD226/(CC226+CD226+CE226)*(1-'P-Parametri'!$B$6*CG226)+CE226/(CC226+CD226+CE226))))*CC226/(CC226+CD226+CE226))</f>
        <v>1333.6731793746796</v>
      </c>
      <c r="CI226" s="18">
        <f>IF(CS225=0,0,(MIN((CC226+CD226+CE226),MAX(0,$B$4-IF($A226&gt;='1-Input'!$C$12,'1-Input'!$B$12,0))/(CC226/(CC226+CD226+CE226)*(1-'P-Parametri'!$B$6*CF226)+CD226/(CC226+CD226+CE226)*(1-'P-Parametri'!$B$6*CG226)+CE226/(CC226+CD226+CE226))))*CD226/(CC226+CD226+CE226))</f>
        <v>622.94156328894724</v>
      </c>
      <c r="CJ226" s="18">
        <f>IF(CS225=0,0,(MIN((CC226+CD226+CE226),MAX(0,$B$4-IF($A226&gt;='1-Input'!$C$12,'1-Input'!$B$12,0))/(CC226/(CC226+CD226+CE226)*(1-'P-Parametri'!$B$6*CF226)+CD226/(CC226+CD226+CE226)*(1-'P-Parametri'!$B$6*CG226)+CE226/(CC226+CD226+CE226))))*CE226/(CC226+CD226+CE226))</f>
        <v>205.52224007203193</v>
      </c>
      <c r="CK226" s="18">
        <f t="shared" si="33"/>
        <v>151159.91052184071</v>
      </c>
      <c r="CL226" s="18">
        <f t="shared" si="34"/>
        <v>47868.435148647557</v>
      </c>
      <c r="CM226" s="18">
        <f t="shared" si="35"/>
        <v>70604.847141968843</v>
      </c>
      <c r="CN226" s="18">
        <f t="shared" si="36"/>
        <v>58751.855647546494</v>
      </c>
      <c r="CO226" s="18">
        <f t="shared" si="37"/>
        <v>23294.1052575586</v>
      </c>
      <c r="CP226" s="18">
        <f t="shared" si="38"/>
        <v>16251.589069675856</v>
      </c>
      <c r="CQ226" s="18">
        <f>IF(CS226=0,CQ225,CQ225+BT226+CH226*CF226*'P-Parametri'!$B$6+CI226*CG226*'P-Parametri'!$B$6)</f>
        <v>25460.282115035381</v>
      </c>
      <c r="CR226" s="18">
        <f t="shared" si="2"/>
        <v>245058.86292136816</v>
      </c>
      <c r="CS226" s="10">
        <f>IF(AND(CS225=1,(CJ226+CI226*(1-'P-Parametri'!$B$6*CG226)+CH226*(1-'P-Parametri'!$B$6*CF226))&gt;=MAX(0,$B$4-IF($A226&gt;='1-Input'!$C$12,'1-Input'!$B$12,0))-0.01),1,0)</f>
        <v>1</v>
      </c>
    </row>
    <row r="227" spans="1:97">
      <c r="A227" s="10">
        <f>27</f>
        <v>27</v>
      </c>
      <c r="B227" s="11">
        <f>IF(A227=1,'P-Parametri'!$B$30,IF(A227=2,'P-Parametri'!$C$30,'P-Parametri'!$B$29))</f>
        <v>6.8512000000000003E-2</v>
      </c>
      <c r="C227" s="11">
        <f t="shared" si="3"/>
        <v>0.6839341399907839</v>
      </c>
      <c r="D227" s="11">
        <f t="shared" si="4"/>
        <v>0.16776336121275132</v>
      </c>
      <c r="E227" s="18">
        <f>MAX(0,Y226-('P-Parametri'!$B$31*AF226))</f>
        <v>4247.645259412966</v>
      </c>
      <c r="F227" s="18">
        <f>MAX(0,AA226-('P-Parametri'!$C$31*AF226))</f>
        <v>0</v>
      </c>
      <c r="G227" s="18">
        <f>MAX(0,AC226-('P-Parametri'!$D$31*AF226))</f>
        <v>0</v>
      </c>
      <c r="H227" s="18">
        <f>E227*C227*'P-Parametri'!$B$6+F227*D227*'P-Parametri'!$B$7</f>
        <v>755.32849794545962</v>
      </c>
      <c r="I227" s="18">
        <f t="shared" si="5"/>
        <v>3492.3167614675062</v>
      </c>
      <c r="J227" s="18">
        <f>MAX(0,('P-Parametri'!$B$31*AF226)-Y226)+MAX(0,('P-Parametri'!$C$31*AF226)-AA226)+MAX(0,('P-Parametri'!$D$31*AF226)-AC226)</f>
        <v>4247.6452594129478</v>
      </c>
      <c r="K227" s="18">
        <f>Y226-E227+IF(J227&lt;=0,0,I227*MAX(0,('P-Parametri'!$B$31*AF226)-Y226)/J227)</f>
        <v>151404.94148018435</v>
      </c>
      <c r="L227" s="18">
        <f>Z226-E227*(1-C227)+IF(J227&lt;=0,0,I227*MAX(0,('P-Parametri'!$B$31*AF226)-Y226)/J227)</f>
        <v>47853.933038579511</v>
      </c>
      <c r="M227" s="18">
        <f>AA226-F227+IF(J227&lt;=0,0,I227*MAX(0,('P-Parametri'!$C$31*AF226)-AA226)/J227)</f>
        <v>75169.05589912922</v>
      </c>
      <c r="N227" s="18">
        <f>AB226-F227*(1-D227)+IF(J227&lt;=0,0,I227*MAX(0,('P-Parametri'!$C$31*AF226)-AA226)/J227)</f>
        <v>62972.194293892673</v>
      </c>
      <c r="O227" s="18">
        <f>AC226-G227+IF(J227&lt;=0,0,I227*MAX(0,('P-Parametri'!$D$31*AF226)-AC226)/J227)</f>
        <v>25012.243256381575</v>
      </c>
      <c r="P227" s="18">
        <f>AD226-G227+IF(J227&lt;=0,0,I227*MAX(0,('P-Parametri'!$D$31*AF226)-AC226)/J227)</f>
        <v>18002.907664967712</v>
      </c>
      <c r="Q227" s="18">
        <f t="shared" si="6"/>
        <v>161777.99683087473</v>
      </c>
      <c r="R227" s="18">
        <f>M227*(1+'P-Parametri'!$C$29)</f>
        <v>75544.901178624859</v>
      </c>
      <c r="S227" s="18">
        <f>O227*(1+'1-Input'!$B$27)</f>
        <v>24922.199180658601</v>
      </c>
      <c r="T227" s="11">
        <f t="shared" si="7"/>
        <v>0.70419999025821323</v>
      </c>
      <c r="U227" s="11">
        <f t="shared" si="8"/>
        <v>0.16642694197195648</v>
      </c>
      <c r="V227" s="18">
        <f>IF(AG226=0,0,(MIN((Q227+R227+S227),MAX(0,$B$4-IF($A227&gt;='1-Input'!$C$12,'1-Input'!$B$12,0))/(Q227/(Q227+R227+S227)*(1-'P-Parametri'!$B$6*T227)+R227/(Q227+R227+S227)*(1-'P-Parametri'!$B$7*U227)+S227/(Q227+R227+S227))))*Q227/(Q227+R227+S227))</f>
        <v>1328.9344988804216</v>
      </c>
      <c r="W227" s="18">
        <f>IF(AG226=0,0,(MIN((Q227+R227+S227),MAX(0,$B$4-IF($A227&gt;='1-Input'!$C$12,'1-Input'!$B$12,0))/(Q227/(Q227+R227+S227)*(1-'P-Parametri'!$B$6*T227)+R227/(Q227+R227+S227)*(1-'P-Parametri'!$B$7*U227)+S227/(Q227+R227+S227))))*R227/(Q227+R227+S227))</f>
        <v>620.56786063274421</v>
      </c>
      <c r="X227" s="18">
        <f>IF(AG226=0,0,(MIN((Q227+R227+S227),MAX(0,$B$4-IF($A227&gt;='1-Input'!$C$12,'1-Input'!$B$12,0))/(Q227/(Q227+R227+S227)*(1-'P-Parametri'!$B$6*T227)+R227/(Q227+R227+S227)*(1-'P-Parametri'!$B$7*U227)+S227/(Q227+R227+S227))))*S227/(Q227+R227+S227))</f>
        <v>204.72481380623555</v>
      </c>
      <c r="Y227" s="18">
        <f t="shared" si="9"/>
        <v>160449.06233199433</v>
      </c>
      <c r="Z227" s="18">
        <f t="shared" si="10"/>
        <v>47460.834200864483</v>
      </c>
      <c r="AA227" s="18">
        <f t="shared" si="11"/>
        <v>74924.333317992117</v>
      </c>
      <c r="AB227" s="18">
        <f t="shared" si="12"/>
        <v>62454.905644591119</v>
      </c>
      <c r="AC227" s="18">
        <f t="shared" si="13"/>
        <v>24717.474366852366</v>
      </c>
      <c r="AD227" s="18">
        <f t="shared" si="14"/>
        <v>17798.182851161477</v>
      </c>
      <c r="AE227" s="18">
        <f>IF(AG227=0,AE226,AE226+H227+V227*T227*'P-Parametri'!$B$6+W227*U227*'P-Parametri'!$B$7)</f>
        <v>22944.277840953153</v>
      </c>
      <c r="AF227" s="18">
        <f t="shared" si="0"/>
        <v>260090.87001683883</v>
      </c>
      <c r="AG227" s="10">
        <f>IF(AND(AG226=1,(X227+W227*(1-'P-Parametri'!$B$7*U227)+V227*(1-'P-Parametri'!$B$6*T227))&gt;=MAX(0,$B$4-IF($A227&gt;='1-Input'!$C$12,'1-Input'!$B$12,0))-0.01),1,0)</f>
        <v>1</v>
      </c>
      <c r="AI227" s="11">
        <f t="shared" si="15"/>
        <v>0.68408728167348221</v>
      </c>
      <c r="AJ227" s="11">
        <f t="shared" si="16"/>
        <v>0.29273024886365956</v>
      </c>
      <c r="AK227" s="18">
        <f>MAX(0,BE226-('P-Parametri'!$B$31*BL226))</f>
        <v>5610.9348925369268</v>
      </c>
      <c r="AL227" s="18">
        <f>MAX(0,BG226-('P-Parametri'!$C$31*BL226))</f>
        <v>0</v>
      </c>
      <c r="AM227" s="18">
        <f>MAX(0,BI226-('P-Parametri'!$D$31*BL226))</f>
        <v>0</v>
      </c>
      <c r="AN227" s="18">
        <f>AK227*AI227*'P-Parametri'!$B$6+AL227*AJ227*'P-Parametri'!$B$7</f>
        <v>997.97599155344449</v>
      </c>
      <c r="AO227" s="18">
        <f t="shared" si="17"/>
        <v>4612.9589009834826</v>
      </c>
      <c r="AP227" s="18">
        <f>MAX(0,('P-Parametri'!$B$31*BL226)-BE226)+MAX(0,('P-Parametri'!$C$31*BL226)-BG226)+MAX(0,('P-Parametri'!$D$31*BL226)-BI226)</f>
        <v>5610.9348925369122</v>
      </c>
      <c r="AQ227" s="18">
        <f>BE226-AK227+IF(AP227&lt;=0,0,AO227*MAX(0,('P-Parametri'!$B$31*BL226)-BE226)/AP227)</f>
        <v>153346.0168224326</v>
      </c>
      <c r="AR227" s="18">
        <f>BF226-AK227*(1-AI227)+IF(AP227&lt;=0,0,AO227*MAX(0,('P-Parametri'!$B$31*BL226)-BE226)/AP227)</f>
        <v>48443.957018918612</v>
      </c>
      <c r="AS227" s="18">
        <f>BG226-AL227+IF(AP227&lt;=0,0,AO227*MAX(0,('P-Parametri'!$C$31*BL226)-BG226)/AP227)</f>
        <v>76264.60152570912</v>
      </c>
      <c r="AT227" s="18">
        <f>BH226-AL227*(1-AJ227)+IF(AP227&lt;=0,0,AO227*MAX(0,('P-Parametri'!$C$31*BL226)-BG226)/AP227)</f>
        <v>54492.257535133402</v>
      </c>
      <c r="AU227" s="18">
        <f>BI226-AM227+IF(AP227&lt;=0,0,AO227*MAX(0,('P-Parametri'!$D$31*BL226)-BI226)/AP227)</f>
        <v>24968.100364359183</v>
      </c>
      <c r="AV227" s="18">
        <f>BJ226-AM227+IF(AP227&lt;=0,0,AO227*MAX(0,('P-Parametri'!$D$31*BL226)-BI226)/AP227)</f>
        <v>17914.618526947186</v>
      </c>
      <c r="AW227" s="18">
        <f t="shared" si="18"/>
        <v>163852.05912697109</v>
      </c>
      <c r="AX227" s="18">
        <f>AS227*(1+'P-Parametri'!$C$29)</f>
        <v>76645.92453333766</v>
      </c>
      <c r="AY227" s="18">
        <f>AU227*(1+'1-Input'!$B$27)</f>
        <v>24878.21520304749</v>
      </c>
      <c r="AZ227" s="11">
        <f t="shared" si="19"/>
        <v>0.70434331263802574</v>
      </c>
      <c r="BA227" s="11">
        <f t="shared" si="20"/>
        <v>0.28903907328521261</v>
      </c>
      <c r="BB227" s="18">
        <f>IF(BM226=0,0,MIN(MAX(AW227,0),(MAX(0,$B$4-IF($A227&gt;='1-Input'!$C$12,'1-Input'!$B$12,0))-BD227-BC227*(1-'P-Parametri'!$B$7*BA227))/(1-'P-Parametri'!$B$6*AZ227)))</f>
        <v>0</v>
      </c>
      <c r="BC227" s="18">
        <f>IF(BM226=0,0,MIN(MAX(AX227,0),(MAX(0,$B$4-IF($A227&gt;='1-Input'!$C$12,'1-Input'!$B$12,0))-BD227)/(1-'P-Parametri'!$B$7*BA227)))</f>
        <v>0</v>
      </c>
      <c r="BD227" s="18">
        <f>IF(BM226=0,0,MIN(MAX(AY227,0),MAX(0,$B$4-IF($A227&gt;='1-Input'!$C$12,'1-Input'!$B$12,0))))</f>
        <v>1898</v>
      </c>
      <c r="BE227" s="18">
        <f t="shared" si="21"/>
        <v>163852.05912697109</v>
      </c>
      <c r="BF227" s="18">
        <f t="shared" si="22"/>
        <v>48443.957018918612</v>
      </c>
      <c r="BG227" s="18">
        <f t="shared" si="23"/>
        <v>76645.92453333766</v>
      </c>
      <c r="BH227" s="18">
        <f t="shared" si="24"/>
        <v>54492.257535133402</v>
      </c>
      <c r="BI227" s="18">
        <f t="shared" si="25"/>
        <v>22980.21520304749</v>
      </c>
      <c r="BJ227" s="18">
        <f t="shared" si="26"/>
        <v>16016.618526947186</v>
      </c>
      <c r="BK227" s="18">
        <f>IF(BM227=0,BK226,BK226+AN227+BB227*AZ227*'P-Parametri'!$B$6+BC227*BA227*'P-Parametri'!$B$7)</f>
        <v>21616.239789520168</v>
      </c>
      <c r="BL227" s="18">
        <f t="shared" si="1"/>
        <v>263478.19886335626</v>
      </c>
      <c r="BM227" s="10">
        <f>IF(AND(BM226=1,(BD227+BC227*(1-'P-Parametri'!$B$7*BA227)+BB227*(1-'P-Parametri'!$B$6*AZ227))&gt;=MAX(0,$B$4-IF($A227&gt;='1-Input'!$C$12,'1-Input'!$B$12,0))-0.01),1,0)</f>
        <v>1</v>
      </c>
      <c r="BO227" s="11">
        <f t="shared" si="27"/>
        <v>0.68332585681352886</v>
      </c>
      <c r="BP227" s="11">
        <f t="shared" si="28"/>
        <v>0.1678778720473528</v>
      </c>
      <c r="BQ227" s="18">
        <f>MAX(0,CK226-('P-Parametri'!$B$31*CR226))</f>
        <v>4124.5927690198296</v>
      </c>
      <c r="BR227" s="18">
        <f>MAX(0,CM226-('P-Parametri'!$C$31*CR226))</f>
        <v>0</v>
      </c>
      <c r="BS227" s="18">
        <f>MAX(0,CO226-('P-Parametri'!$D$31*CR226))</f>
        <v>0</v>
      </c>
      <c r="BT227" s="18">
        <f>BQ227*BO227*'P-Parametri'!$B$6+BR227*BP227*'P-Parametri'!$B$6</f>
        <v>732.79463085331372</v>
      </c>
      <c r="BU227" s="18">
        <f t="shared" si="29"/>
        <v>3391.7981381665159</v>
      </c>
      <c r="BV227" s="18">
        <f>MAX(0,('P-Parametri'!$B$31*CR226)-CK226)+MAX(0,('P-Parametri'!$C$31*CR226)-CM226)+MAX(0,('P-Parametri'!$D$31*CR226)-CO226)</f>
        <v>4124.5927690198114</v>
      </c>
      <c r="BW227" s="18">
        <f>CK226-BQ227+IF(BV227&lt;=0,0,BU227*MAX(0,('P-Parametri'!$B$31*CR226)-CK226)/BV227)</f>
        <v>147035.31775282088</v>
      </c>
      <c r="BX227" s="18">
        <f>CL226-BQ227*(1-BO227)+IF(BV227&lt;=0,0,BU227*MAX(0,('P-Parametri'!$B$31*CR226)-CK226)/BV227)</f>
        <v>46562.28326752509</v>
      </c>
      <c r="BY227" s="18">
        <f>CM226-BR227+IF(BV227&lt;=0,0,BU227*MAX(0,('P-Parametri'!$C$31*CR226)-CM226)/BV227)</f>
        <v>73000.154987125265</v>
      </c>
      <c r="BZ227" s="18">
        <f>CN226-BR227*(1-BP227)+IF(BV227&lt;=0,0,BU227*MAX(0,('P-Parametri'!$C$31*CR226)-CM226)/BV227)</f>
        <v>61147.163492702908</v>
      </c>
      <c r="CA227" s="18">
        <f>CO226-BS227+IF(BV227&lt;=0,0,BU227*MAX(0,('P-Parametri'!$D$31*CR226)-CO226)/BV227)</f>
        <v>24290.595550568698</v>
      </c>
      <c r="CB227" s="18">
        <f>CP226-BS227+IF(BV227&lt;=0,0,BU227*MAX(0,('P-Parametri'!$D$31*CR226)-CO226)/BV227)</f>
        <v>17248.079362685956</v>
      </c>
      <c r="CC227" s="18">
        <f t="shared" si="30"/>
        <v>157109.00144270214</v>
      </c>
      <c r="CD227" s="18">
        <f>BY227*(1+'P-Parametri'!$C$29)</f>
        <v>73365.15576206088</v>
      </c>
      <c r="CE227" s="18">
        <f>CA227*(1+'1-Input'!$B$27)</f>
        <v>24203.14940658665</v>
      </c>
      <c r="CF227" s="11">
        <f t="shared" si="31"/>
        <v>0.70363070963501473</v>
      </c>
      <c r="CG227" s="11">
        <f t="shared" si="32"/>
        <v>0.16653671817972515</v>
      </c>
      <c r="CH227" s="18">
        <f>IF(CS226=0,0,(MIN((CC227+CD227+CE227),MAX(0,$B$4-IF($A227&gt;='1-Input'!$C$12,'1-Input'!$B$12,0))/(CC227/(CC227+CD227+CE227)*(1-'P-Parametri'!$B$6*CF227)+CD227/(CC227+CD227+CE227)*(1-'P-Parametri'!$B$6*CG227)+CE227/(CC227+CD227+CE227))))*CC227/(CC227+CD227+CE227))</f>
        <v>1338.6376231355989</v>
      </c>
      <c r="CI227" s="18">
        <f>IF(CS226=0,0,(MIN((CC227+CD227+CE227),MAX(0,$B$4-IF($A227&gt;='1-Input'!$C$12,'1-Input'!$B$12,0))/(CC227/(CC227+CD227+CE227)*(1-'P-Parametri'!$B$6*CF227)+CD227/(CC227+CD227+CE227)*(1-'P-Parametri'!$B$6*CG227)+CE227/(CC227+CD227+CE227))))*CD227/(CC227+CD227+CE227))</f>
        <v>625.10331571367828</v>
      </c>
      <c r="CJ227" s="18">
        <f>IF(CS226=0,0,(MIN((CC227+CD227+CE227),MAX(0,$B$4-IF($A227&gt;='1-Input'!$C$12,'1-Input'!$B$12,0))/(CC227/(CC227+CD227+CE227)*(1-'P-Parametri'!$B$6*CF227)+CD227/(CC227+CD227+CE227)*(1-'P-Parametri'!$B$6*CG227)+CE227/(CC227+CD227+CE227))))*CE227/(CC227+CD227+CE227))</f>
        <v>206.22145196336814</v>
      </c>
      <c r="CK227" s="18">
        <f t="shared" si="33"/>
        <v>155770.36381956653</v>
      </c>
      <c r="CL227" s="18">
        <f t="shared" si="34"/>
        <v>46165.552185100525</v>
      </c>
      <c r="CM227" s="18">
        <f t="shared" si="35"/>
        <v>72740.052446347196</v>
      </c>
      <c r="CN227" s="18">
        <f t="shared" si="36"/>
        <v>60626.162831711452</v>
      </c>
      <c r="CO227" s="18">
        <f t="shared" si="37"/>
        <v>23996.927954623283</v>
      </c>
      <c r="CP227" s="18">
        <f t="shared" si="38"/>
        <v>17041.857910722589</v>
      </c>
      <c r="CQ227" s="18">
        <f>IF(CS227=0,CQ226,CQ226+BT227+CH227*CF227*'P-Parametri'!$B$6+CI227*CG227*'P-Parametri'!$B$6)</f>
        <v>26465.03913670134</v>
      </c>
      <c r="CR227" s="18">
        <f t="shared" si="2"/>
        <v>252507.34422053699</v>
      </c>
      <c r="CS227" s="10">
        <f>IF(AND(CS226=1,(CJ227+CI227*(1-'P-Parametri'!$B$6*CG227)+CH227*(1-'P-Parametri'!$B$6*CF227))&gt;=MAX(0,$B$4-IF($A227&gt;='1-Input'!$C$12,'1-Input'!$B$12,0))-0.01),1,0)</f>
        <v>1</v>
      </c>
    </row>
    <row r="228" spans="1:97">
      <c r="A228" s="10">
        <f>28</f>
        <v>28</v>
      </c>
      <c r="B228" s="11">
        <f>IF(A228=1,'P-Parametri'!$B$30,IF(A228=2,'P-Parametri'!$C$30,'P-Parametri'!$B$29))</f>
        <v>6.8512000000000003E-2</v>
      </c>
      <c r="C228" s="11">
        <f t="shared" si="3"/>
        <v>0.70419999025821323</v>
      </c>
      <c r="D228" s="11">
        <f t="shared" si="4"/>
        <v>0.16642694197195645</v>
      </c>
      <c r="E228" s="18">
        <f>MAX(0,Y227-('P-Parametri'!$B$31*AF227))</f>
        <v>4394.5403218910214</v>
      </c>
      <c r="F228" s="18">
        <f>MAX(0,AA227-('P-Parametri'!$C$31*AF227))</f>
        <v>0</v>
      </c>
      <c r="G228" s="18">
        <f>MAX(0,AC227-('P-Parametri'!$D$31*AF227))</f>
        <v>0</v>
      </c>
      <c r="H228" s="18">
        <f>E228*C228*'P-Parametri'!$B$6+F228*D228*'P-Parametri'!$B$7</f>
        <v>804.60516548489545</v>
      </c>
      <c r="I228" s="18">
        <f t="shared" si="5"/>
        <v>3589.9351564061262</v>
      </c>
      <c r="J228" s="18">
        <f>MAX(0,('P-Parametri'!$B$31*AF227)-Y227)+MAX(0,('P-Parametri'!$C$31*AF227)-AA227)+MAX(0,('P-Parametri'!$D$31*AF227)-AC227)</f>
        <v>4394.5403218910542</v>
      </c>
      <c r="K228" s="18">
        <f>Y227-E228+IF(J228&lt;=0,0,I228*MAX(0,('P-Parametri'!$B$31*AF227)-Y227)/J228)</f>
        <v>156054.5220101033</v>
      </c>
      <c r="L228" s="18">
        <f>Z227-E228*(1-C228)+IF(J228&lt;=0,0,I228*MAX(0,('P-Parametri'!$B$31*AF227)-Y227)/J228)</f>
        <v>46160.929130838442</v>
      </c>
      <c r="M228" s="18">
        <f>AA227-F228+IF(J228&lt;=0,0,I228*MAX(0,('P-Parametri'!$C$31*AF227)-AA227)/J228)</f>
        <v>77459.139776831827</v>
      </c>
      <c r="N228" s="18">
        <f>AB227-F228*(1-D228)+IF(J228&lt;=0,0,I228*MAX(0,('P-Parametri'!$C$31*AF227)-AA227)/J228)</f>
        <v>64989.712103430829</v>
      </c>
      <c r="O228" s="18">
        <f>AC227-G228+IF(J228&lt;=0,0,I228*MAX(0,('P-Parametri'!$D$31*AF227)-AC227)/J228)</f>
        <v>25772.603064418785</v>
      </c>
      <c r="P228" s="18">
        <f>AD227-G228+IF(J228&lt;=0,0,I228*MAX(0,('P-Parametri'!$D$31*AF227)-AC227)/J228)</f>
        <v>18853.311548727896</v>
      </c>
      <c r="Q228" s="18">
        <f t="shared" si="6"/>
        <v>166746.12942205949</v>
      </c>
      <c r="R228" s="18">
        <f>M228*(1+'P-Parametri'!$C$29)</f>
        <v>77846.435475715974</v>
      </c>
      <c r="S228" s="18">
        <f>O228*(1+'1-Input'!$B$27)</f>
        <v>25679.821693386875</v>
      </c>
      <c r="T228" s="11">
        <f t="shared" si="7"/>
        <v>0.72316641297263218</v>
      </c>
      <c r="U228" s="11">
        <f t="shared" si="8"/>
        <v>0.16515493989825356</v>
      </c>
      <c r="V228" s="18">
        <f>IF(AG227=0,0,(MIN((Q228+R228+S228),MAX(0,$B$4-IF($A228&gt;='1-Input'!$C$12,'1-Input'!$B$12,0))/(Q228/(Q228+R228+S228)*(1-'P-Parametri'!$B$6*T228)+R228/(Q228+R228+S228)*(1-'P-Parametri'!$B$7*U228)+S228/(Q228+R228+S228))))*Q228/(Q228+R228+S228))</f>
        <v>1333.6140939493441</v>
      </c>
      <c r="W228" s="18">
        <f>IF(AG227=0,0,(MIN((Q228+R228+S228),MAX(0,$B$4-IF($A228&gt;='1-Input'!$C$12,'1-Input'!$B$12,0))/(Q228/(Q228+R228+S228)*(1-'P-Parametri'!$B$6*T228)+R228/(Q228+R228+S228)*(1-'P-Parametri'!$B$7*U228)+S228/(Q228+R228+S228))))*R228/(Q228+R228+S228))</f>
        <v>622.6057772612902</v>
      </c>
      <c r="X228" s="18">
        <f>IF(AG227=0,0,(MIN((Q228+R228+S228),MAX(0,$B$4-IF($A228&gt;='1-Input'!$C$12,'1-Input'!$B$12,0))/(Q228/(Q228+R228+S228)*(1-'P-Parametri'!$B$6*T228)+R228/(Q228+R228+S228)*(1-'P-Parametri'!$B$7*U228)+S228/(Q228+R228+S228))))*S228/(Q228+R228+S228))</f>
        <v>205.38391061373679</v>
      </c>
      <c r="Y228" s="18">
        <f t="shared" si="9"/>
        <v>165412.51532811014</v>
      </c>
      <c r="Z228" s="18">
        <f t="shared" si="10"/>
        <v>45791.739957500191</v>
      </c>
      <c r="AA228" s="18">
        <f t="shared" si="11"/>
        <v>77223.829698454691</v>
      </c>
      <c r="AB228" s="18">
        <f t="shared" si="12"/>
        <v>64469.932745893435</v>
      </c>
      <c r="AC228" s="18">
        <f t="shared" si="13"/>
        <v>25474.437782773137</v>
      </c>
      <c r="AD228" s="18">
        <f t="shared" si="14"/>
        <v>18647.927638114157</v>
      </c>
      <c r="AE228" s="18">
        <f>IF(AG228=0,AE227,AE227+H228+V228*T228*'P-Parametri'!$B$6+W228*U228*'P-Parametri'!$B$7)</f>
        <v>24012.48678826242</v>
      </c>
      <c r="AF228" s="18">
        <f t="shared" si="0"/>
        <v>268110.78280933795</v>
      </c>
      <c r="AG228" s="10">
        <f>IF(AND(AG227=1,(X228+W228*(1-'P-Parametri'!$B$7*U228)+V228*(1-'P-Parametri'!$B$6*T228))&gt;=MAX(0,$B$4-IF($A228&gt;='1-Input'!$C$12,'1-Input'!$B$12,0))-0.01),1,0)</f>
        <v>1</v>
      </c>
      <c r="AI228" s="11">
        <f t="shared" si="15"/>
        <v>0.70434331263802574</v>
      </c>
      <c r="AJ228" s="11">
        <f t="shared" si="16"/>
        <v>0.28903907328521261</v>
      </c>
      <c r="AK228" s="18">
        <f>MAX(0,BE227-('P-Parametri'!$B$31*BL227))</f>
        <v>5765.1398089573486</v>
      </c>
      <c r="AL228" s="18">
        <f>MAX(0,BG227-('P-Parametri'!$C$31*BL227))</f>
        <v>0</v>
      </c>
      <c r="AM228" s="18">
        <f>MAX(0,BI227-('P-Parametri'!$D$31*BL227))</f>
        <v>0</v>
      </c>
      <c r="AN228" s="18">
        <f>AK228*AI228*'P-Parametri'!$B$6+AL228*AJ228*'P-Parametri'!$B$7</f>
        <v>1055.7657944242173</v>
      </c>
      <c r="AO228" s="18">
        <f t="shared" si="17"/>
        <v>4709.3740145331312</v>
      </c>
      <c r="AP228" s="18">
        <f>MAX(0,('P-Parametri'!$B$31*BL227)-BE227)+MAX(0,('P-Parametri'!$C$31*BL227)-BG227)+MAX(0,('P-Parametri'!$D$31*BL227)-BI227)</f>
        <v>5765.1398089573449</v>
      </c>
      <c r="AQ228" s="18">
        <f>BE227-AK228+IF(AP228&lt;=0,0,AO228*MAX(0,('P-Parametri'!$B$31*BL227)-BE227)/AP228)</f>
        <v>158086.91931801374</v>
      </c>
      <c r="AR228" s="18">
        <f>BF227-AK228*(1-AI228)+IF(AP228&lt;=0,0,AO228*MAX(0,('P-Parametri'!$B$31*BL227)-BE227)/AP228)</f>
        <v>46739.454880823636</v>
      </c>
      <c r="AS228" s="18">
        <f>BG227-AL228+IF(AP228&lt;=0,0,AO228*MAX(0,('P-Parametri'!$C$31*BL227)-BG227)/AP228)</f>
        <v>78604.400822536103</v>
      </c>
      <c r="AT228" s="18">
        <f>BH227-AL228*(1-AJ228)+IF(AP228&lt;=0,0,AO228*MAX(0,('P-Parametri'!$C$31*BL227)-BG227)/AP228)</f>
        <v>56450.733824331845</v>
      </c>
      <c r="AU228" s="18">
        <f>BI227-AM228+IF(AP228&lt;=0,0,AO228*MAX(0,('P-Parametri'!$D$31*BL227)-BI227)/AP228)</f>
        <v>25731.112928382179</v>
      </c>
      <c r="AV228" s="18">
        <f>BJ227-AM228+IF(AP228&lt;=0,0,AO228*MAX(0,('P-Parametri'!$D$31*BL227)-BI227)/AP228)</f>
        <v>18767.516252281875</v>
      </c>
      <c r="AW228" s="18">
        <f t="shared" si="18"/>
        <v>168917.77033432949</v>
      </c>
      <c r="AX228" s="18">
        <f>AS228*(1+'P-Parametri'!$C$29)</f>
        <v>78997.422826648777</v>
      </c>
      <c r="AY228" s="18">
        <f>AU228*(1+'1-Input'!$B$27)</f>
        <v>25638.480921840001</v>
      </c>
      <c r="AZ228" s="11">
        <f t="shared" si="19"/>
        <v>0.72330054565416735</v>
      </c>
      <c r="BA228" s="11">
        <f t="shared" si="20"/>
        <v>0.2854104373986121</v>
      </c>
      <c r="BB228" s="18">
        <f>IF(BM227=0,0,MIN(MAX(AW228,0),(MAX(0,$B$4-IF($A228&gt;='1-Input'!$C$12,'1-Input'!$B$12,0))-BD228-BC228*(1-'P-Parametri'!$B$7*BA228))/(1-'P-Parametri'!$B$6*AZ228)))</f>
        <v>0</v>
      </c>
      <c r="BC228" s="18">
        <f>IF(BM227=0,0,MIN(MAX(AX228,0),(MAX(0,$B$4-IF($A228&gt;='1-Input'!$C$12,'1-Input'!$B$12,0))-BD228)/(1-'P-Parametri'!$B$7*BA228)))</f>
        <v>0</v>
      </c>
      <c r="BD228" s="18">
        <f>IF(BM227=0,0,MIN(MAX(AY228,0),MAX(0,$B$4-IF($A228&gt;='1-Input'!$C$12,'1-Input'!$B$12,0))))</f>
        <v>1898</v>
      </c>
      <c r="BE228" s="18">
        <f t="shared" si="21"/>
        <v>168917.77033432949</v>
      </c>
      <c r="BF228" s="18">
        <f t="shared" si="22"/>
        <v>46739.454880823636</v>
      </c>
      <c r="BG228" s="18">
        <f t="shared" si="23"/>
        <v>78997.422826648777</v>
      </c>
      <c r="BH228" s="18">
        <f t="shared" si="24"/>
        <v>56450.733824331845</v>
      </c>
      <c r="BI228" s="18">
        <f t="shared" si="25"/>
        <v>23740.480921840001</v>
      </c>
      <c r="BJ228" s="18">
        <f t="shared" si="26"/>
        <v>16869.516252281875</v>
      </c>
      <c r="BK228" s="18">
        <f>IF(BM228=0,BK227,BK227+AN228+BB228*AZ228*'P-Parametri'!$B$6+BC228*BA228*'P-Parametri'!$B$7)</f>
        <v>22672.005583944385</v>
      </c>
      <c r="BL228" s="18">
        <f t="shared" si="1"/>
        <v>271655.67408281827</v>
      </c>
      <c r="BM228" s="10">
        <f>IF(AND(BM227=1,(BD228+BC228*(1-'P-Parametri'!$B$7*BA228)+BB228*(1-'P-Parametri'!$B$6*AZ228))&gt;=MAX(0,$B$4-IF($A228&gt;='1-Input'!$C$12,'1-Input'!$B$12,0))-0.01),1,0)</f>
        <v>1</v>
      </c>
      <c r="BO228" s="11">
        <f t="shared" si="27"/>
        <v>0.70363070963501462</v>
      </c>
      <c r="BP228" s="11">
        <f t="shared" si="28"/>
        <v>0.16653671817972507</v>
      </c>
      <c r="BQ228" s="18">
        <f>MAX(0,CK227-('P-Parametri'!$B$31*CR227))</f>
        <v>4265.9572872443241</v>
      </c>
      <c r="BR228" s="18">
        <f>MAX(0,CM227-('P-Parametri'!$C$31*CR227))</f>
        <v>0</v>
      </c>
      <c r="BS228" s="18">
        <f>MAX(0,CO227-('P-Parametri'!$D$31*CR227))</f>
        <v>0</v>
      </c>
      <c r="BT228" s="18">
        <f>BQ228*BO228*'P-Parametri'!$B$6+BR228*BP228*'P-Parametri'!$B$6</f>
        <v>780.43122385706022</v>
      </c>
      <c r="BU228" s="18">
        <f t="shared" si="29"/>
        <v>3485.526063387264</v>
      </c>
      <c r="BV228" s="18">
        <f>MAX(0,('P-Parametri'!$B$31*CR227)-CK227)+MAX(0,('P-Parametri'!$C$31*CR227)-CM227)+MAX(0,('P-Parametri'!$D$31*CR227)-CO227)</f>
        <v>4265.9572872443241</v>
      </c>
      <c r="BW228" s="18">
        <f>CK227-BQ228+IF(BV228&lt;=0,0,BU228*MAX(0,('P-Parametri'!$B$31*CR227)-CK227)/BV228)</f>
        <v>151504.4065323222</v>
      </c>
      <c r="BX228" s="18">
        <f>CL227-BQ228*(1-BO228)+IF(BV228&lt;=0,0,BU228*MAX(0,('P-Parametri'!$B$31*CR227)-CK227)/BV228)</f>
        <v>44901.253451152588</v>
      </c>
      <c r="BY228" s="18">
        <f>CM227-BR228+IF(BV228&lt;=0,0,BU228*MAX(0,('P-Parametri'!$C$31*CR227)-CM227)/BV228)</f>
        <v>75201.148393254029</v>
      </c>
      <c r="BZ228" s="18">
        <f>CN227-BR228*(1-BP228)+IF(BV228&lt;=0,0,BU228*MAX(0,('P-Parametri'!$C$31*CR227)-CM227)/BV228)</f>
        <v>63087.258778618285</v>
      </c>
      <c r="CA228" s="18">
        <f>CO227-BS228+IF(BV228&lt;=0,0,BU228*MAX(0,('P-Parametri'!$D$31*CR227)-CO227)/BV228)</f>
        <v>25021.358071103714</v>
      </c>
      <c r="CB228" s="18">
        <f>CP227-BS228+IF(BV228&lt;=0,0,BU228*MAX(0,('P-Parametri'!$D$31*CR227)-CO227)/BV228)</f>
        <v>18066.288027203016</v>
      </c>
      <c r="CC228" s="18">
        <f t="shared" si="30"/>
        <v>161884.27643266466</v>
      </c>
      <c r="CD228" s="18">
        <f>BY228*(1+'P-Parametri'!$C$29)</f>
        <v>75577.154135220291</v>
      </c>
      <c r="CE228" s="18">
        <f>CA228*(1+'1-Input'!$B$27)</f>
        <v>24931.28118204774</v>
      </c>
      <c r="CF228" s="11">
        <f t="shared" si="31"/>
        <v>0.72263363409584036</v>
      </c>
      <c r="CG228" s="11">
        <f t="shared" si="32"/>
        <v>0.16526019667604147</v>
      </c>
      <c r="CH228" s="18">
        <f>IF(CS227=0,0,(MIN((CC228+CD228+CE228),MAX(0,$B$4-IF($A228&gt;='1-Input'!$C$12,'1-Input'!$B$12,0))/(CC228/(CC228+CD228+CE228)*(1-'P-Parametri'!$B$6*CF228)+CD228/(CC228+CD228+CE228)*(1-'P-Parametri'!$B$6*CG228)+CE228/(CC228+CD228+CE228))))*CC228/(CC228+CD228+CE228))</f>
        <v>1343.3160866192438</v>
      </c>
      <c r="CI228" s="18">
        <f>IF(CS227=0,0,(MIN((CC228+CD228+CE228),MAX(0,$B$4-IF($A228&gt;='1-Input'!$C$12,'1-Input'!$B$12,0))/(CC228/(CC228+CD228+CE228)*(1-'P-Parametri'!$B$6*CF228)+CD228/(CC228+CD228+CE228)*(1-'P-Parametri'!$B$6*CG228)+CE228/(CC228+CD228+CE228))))*CD228/(CC228+CD228+CE228))</f>
        <v>627.13939344796211</v>
      </c>
      <c r="CJ228" s="18">
        <f>IF(CS227=0,0,(MIN((CC228+CD228+CE228),MAX(0,$B$4-IF($A228&gt;='1-Input'!$C$12,'1-Input'!$B$12,0))/(CC228/(CC228+CD228+CE228)*(1-'P-Parametri'!$B$6*CF228)+CD228/(CC228+CD228+CE228)*(1-'P-Parametri'!$B$6*CG228)+CE228/(CC228+CD228+CE228))))*CE228/(CC228+CD228+CE228))</f>
        <v>206.87982681136234</v>
      </c>
      <c r="CK228" s="18">
        <f t="shared" si="33"/>
        <v>160540.96034604541</v>
      </c>
      <c r="CL228" s="18">
        <f t="shared" si="34"/>
        <v>44528.662749946408</v>
      </c>
      <c r="CM228" s="18">
        <f t="shared" si="35"/>
        <v>74950.014741772335</v>
      </c>
      <c r="CN228" s="18">
        <f t="shared" si="36"/>
        <v>62563.760564674827</v>
      </c>
      <c r="CO228" s="18">
        <f t="shared" si="37"/>
        <v>24724.401355236379</v>
      </c>
      <c r="CP228" s="18">
        <f t="shared" si="38"/>
        <v>17859.408200391656</v>
      </c>
      <c r="CQ228" s="18">
        <f>IF(CS228=0,CQ227,CQ227+BT228+CH228*CF228*'P-Parametri'!$B$6+CI228*CG228*'P-Parametri'!$B$6)</f>
        <v>27524.805667436965</v>
      </c>
      <c r="CR228" s="18">
        <f t="shared" si="2"/>
        <v>260215.37644305415</v>
      </c>
      <c r="CS228" s="10">
        <f>IF(AND(CS227=1,(CJ228+CI228*(1-'P-Parametri'!$B$6*CG228)+CH228*(1-'P-Parametri'!$B$6*CF228))&gt;=MAX(0,$B$4-IF($A228&gt;='1-Input'!$C$12,'1-Input'!$B$12,0))-0.01),1,0)</f>
        <v>1</v>
      </c>
    </row>
    <row r="229" spans="1:97">
      <c r="A229" s="10">
        <f>29</f>
        <v>29</v>
      </c>
      <c r="B229" s="11">
        <f>IF(A229=1,'P-Parametri'!$B$30,IF(A229=2,'P-Parametri'!$C$30,'P-Parametri'!$B$29))</f>
        <v>6.8512000000000003E-2</v>
      </c>
      <c r="C229" s="11">
        <f t="shared" si="3"/>
        <v>0.72316641297263218</v>
      </c>
      <c r="D229" s="11">
        <f t="shared" si="4"/>
        <v>0.16515493989825358</v>
      </c>
      <c r="E229" s="18">
        <f>MAX(0,Y228-('P-Parametri'!$B$31*AF228))</f>
        <v>4546.0456425073789</v>
      </c>
      <c r="F229" s="18">
        <f>MAX(0,AA228-('P-Parametri'!$C$31*AF228))</f>
        <v>0</v>
      </c>
      <c r="G229" s="18">
        <f>MAX(0,AC228-('P-Parametri'!$D$31*AF228))</f>
        <v>0</v>
      </c>
      <c r="H229" s="18">
        <f>E229*C229*'P-Parametri'!$B$6+F229*D229*'P-Parametri'!$B$7</f>
        <v>854.76235533050078</v>
      </c>
      <c r="I229" s="18">
        <f t="shared" si="5"/>
        <v>3691.2832871768783</v>
      </c>
      <c r="J229" s="18">
        <f>MAX(0,('P-Parametri'!$B$31*AF228)-Y228)+MAX(0,('P-Parametri'!$C$31*AF228)-AA228)+MAX(0,('P-Parametri'!$D$31*AF228)-AC228)</f>
        <v>4546.0456425073498</v>
      </c>
      <c r="K229" s="18">
        <f>Y228-E229+IF(J229&lt;=0,0,I229*MAX(0,('P-Parametri'!$B$31*AF228)-Y228)/J229)</f>
        <v>160866.46968560276</v>
      </c>
      <c r="L229" s="18">
        <f>Z228-E229*(1-C229)+IF(J229&lt;=0,0,I229*MAX(0,('P-Parametri'!$B$31*AF228)-Y228)/J229)</f>
        <v>44533.241835494737</v>
      </c>
      <c r="M229" s="18">
        <f>AA228-F229+IF(J229&lt;=0,0,I229*MAX(0,('P-Parametri'!$C$31*AF228)-AA228)/J229)</f>
        <v>79829.792001237991</v>
      </c>
      <c r="N229" s="18">
        <f>AB228-F229*(1-D229)+IF(J229&lt;=0,0,I229*MAX(0,('P-Parametri'!$C$31*AF228)-AA228)/J229)</f>
        <v>67075.895048676728</v>
      </c>
      <c r="O229" s="18">
        <f>AC228-G229+IF(J229&lt;=0,0,I229*MAX(0,('P-Parametri'!$D$31*AF228)-AC228)/J229)</f>
        <v>26559.758767166717</v>
      </c>
      <c r="P229" s="18">
        <f>AD228-G229+IF(J229&lt;=0,0,I229*MAX(0,('P-Parametri'!$D$31*AF228)-AC228)/J229)</f>
        <v>19733.248622507737</v>
      </c>
      <c r="Q229" s="18">
        <f t="shared" si="6"/>
        <v>171887.75325670277</v>
      </c>
      <c r="R229" s="18">
        <f>M229*(1+'P-Parametri'!$C$29)</f>
        <v>80228.940961244167</v>
      </c>
      <c r="S229" s="18">
        <f>O229*(1+'1-Input'!$B$27)</f>
        <v>26464.143635604916</v>
      </c>
      <c r="T229" s="11">
        <f t="shared" si="7"/>
        <v>0.74091672622547267</v>
      </c>
      <c r="U229" s="11">
        <f t="shared" si="8"/>
        <v>0.16394390546574983</v>
      </c>
      <c r="V229" s="18">
        <f>IF(AG228=0,0,(MIN((Q229+R229+S229),MAX(0,$B$4-IF($A229&gt;='1-Input'!$C$12,'1-Input'!$B$12,0))/(Q229/(Q229+R229+S229)*(1-'P-Parametri'!$B$6*T229)+R229/(Q229+R229+S229)*(1-'P-Parametri'!$B$7*U229)+S229/(Q229+R229+S229))))*Q229/(Q229+R229+S229))</f>
        <v>1338.0234963855314</v>
      </c>
      <c r="W229" s="18">
        <f>IF(AG228=0,0,(MIN((Q229+R229+S229),MAX(0,$B$4-IF($A229&gt;='1-Input'!$C$12,'1-Input'!$B$12,0))/(Q229/(Q229+R229+S229)*(1-'P-Parametri'!$B$6*T229)+R229/(Q229+R229+S229)*(1-'P-Parametri'!$B$7*U229)+S229/(Q229+R229+S229))))*R229/(Q229+R229+S229))</f>
        <v>624.52505232269209</v>
      </c>
      <c r="X229" s="18">
        <f>IF(AG228=0,0,(MIN((Q229+R229+S229),MAX(0,$B$4-IF($A229&gt;='1-Input'!$C$12,'1-Input'!$B$12,0))/(Q229/(Q229+R229+S229)*(1-'P-Parametri'!$B$6*T229)+R229/(Q229+R229+S229)*(1-'P-Parametri'!$B$7*U229)+S229/(Q229+R229+S229))))*S229/(Q229+R229+S229))</f>
        <v>206.00447283337911</v>
      </c>
      <c r="Y229" s="18">
        <f t="shared" si="9"/>
        <v>170549.72976031725</v>
      </c>
      <c r="Z229" s="18">
        <f t="shared" si="10"/>
        <v>44186.582327663935</v>
      </c>
      <c r="AA229" s="18">
        <f t="shared" si="11"/>
        <v>79604.415908921481</v>
      </c>
      <c r="AB229" s="18">
        <f t="shared" si="12"/>
        <v>66553.757072493026</v>
      </c>
      <c r="AC229" s="18">
        <f t="shared" si="13"/>
        <v>26258.139162771538</v>
      </c>
      <c r="AD229" s="18">
        <f t="shared" si="14"/>
        <v>19527.24414967436</v>
      </c>
      <c r="AE229" s="18">
        <f>IF(AG229=0,AE228,AE228+H229+V229*T229*'P-Parametri'!$B$6+W229*U229*'P-Parametri'!$B$7)</f>
        <v>25137.802165134526</v>
      </c>
      <c r="AF229" s="18">
        <f t="shared" si="0"/>
        <v>276412.28483201028</v>
      </c>
      <c r="AG229" s="10">
        <f>IF(AND(AG228=1,(X229+W229*(1-'P-Parametri'!$B$7*U229)+V229*(1-'P-Parametri'!$B$6*T229))&gt;=MAX(0,$B$4-IF($A229&gt;='1-Input'!$C$12,'1-Input'!$B$12,0))-0.01),1,0)</f>
        <v>1</v>
      </c>
      <c r="AI229" s="11">
        <f t="shared" si="15"/>
        <v>0.72330054565416735</v>
      </c>
      <c r="AJ229" s="11">
        <f t="shared" si="16"/>
        <v>0.2854104373986121</v>
      </c>
      <c r="AK229" s="18">
        <f>MAX(0,BE228-('P-Parametri'!$B$31*BL228))</f>
        <v>5924.365884638537</v>
      </c>
      <c r="AL229" s="18">
        <f>MAX(0,BG228-('P-Parametri'!$C$31*BL228))</f>
        <v>0</v>
      </c>
      <c r="AM229" s="18">
        <f>MAX(0,BI228-('P-Parametri'!$D$31*BL228))</f>
        <v>0</v>
      </c>
      <c r="AN229" s="18">
        <f>AK229*AI229*'P-Parametri'!$B$6+AL229*AJ229*'P-Parametri'!$B$7</f>
        <v>1114.1252400236367</v>
      </c>
      <c r="AO229" s="18">
        <f t="shared" si="17"/>
        <v>4810.2406446148998</v>
      </c>
      <c r="AP229" s="18">
        <f>MAX(0,('P-Parametri'!$B$31*BL228)-BE228)+MAX(0,('P-Parametri'!$C$31*BL228)-BG228)+MAX(0,('P-Parametri'!$D$31*BL228)-BI228)</f>
        <v>5924.365884638526</v>
      </c>
      <c r="AQ229" s="18">
        <f>BE228-AK229+IF(AP229&lt;=0,0,AO229*MAX(0,('P-Parametri'!$B$31*BL228)-BE228)/AP229)</f>
        <v>162993.40444969095</v>
      </c>
      <c r="AR229" s="18">
        <f>BF228-AK229*(1-AI229)+IF(AP229&lt;=0,0,AO229*MAX(0,('P-Parametri'!$B$31*BL228)-BE228)/AP229)</f>
        <v>45100.186073199089</v>
      </c>
      <c r="AS229" s="18">
        <f>BG228-AL229+IF(AP229&lt;=0,0,AO229*MAX(0,('P-Parametri'!$C$31*BL228)-BG228)/AP229)</f>
        <v>81026.692385206421</v>
      </c>
      <c r="AT229" s="18">
        <f>BH228-AL229*(1-AJ229)+IF(AP229&lt;=0,0,AO229*MAX(0,('P-Parametri'!$C$31*BL228)-BG228)/AP229)</f>
        <v>58480.003382889496</v>
      </c>
      <c r="AU229" s="18">
        <f>BI228-AM229+IF(AP229&lt;=0,0,AO229*MAX(0,('P-Parametri'!$D$31*BL228)-BI228)/AP229)</f>
        <v>26521.452007897253</v>
      </c>
      <c r="AV229" s="18">
        <f>BJ228-AM229+IF(AP229&lt;=0,0,AO229*MAX(0,('P-Parametri'!$D$31*BL228)-BI228)/AP229)</f>
        <v>19650.487338339128</v>
      </c>
      <c r="AW229" s="18">
        <f t="shared" si="18"/>
        <v>174160.40857534815</v>
      </c>
      <c r="AX229" s="18">
        <f>AS229*(1+'P-Parametri'!$C$29)</f>
        <v>81431.825847132452</v>
      </c>
      <c r="AY229" s="18">
        <f>AU229*(1+'1-Input'!$B$27)</f>
        <v>26425.974780668821</v>
      </c>
      <c r="AZ229" s="11">
        <f t="shared" si="19"/>
        <v>0.74104225844367433</v>
      </c>
      <c r="BA229" s="11">
        <f t="shared" si="20"/>
        <v>0.28185322170387245</v>
      </c>
      <c r="BB229" s="18">
        <f>IF(BM228=0,0,MIN(MAX(AW229,0),(MAX(0,$B$4-IF($A229&gt;='1-Input'!$C$12,'1-Input'!$B$12,0))-BD229-BC229*(1-'P-Parametri'!$B$7*BA229))/(1-'P-Parametri'!$B$6*AZ229)))</f>
        <v>0</v>
      </c>
      <c r="BC229" s="18">
        <f>IF(BM228=0,0,MIN(MAX(AX229,0),(MAX(0,$B$4-IF($A229&gt;='1-Input'!$C$12,'1-Input'!$B$12,0))-BD229)/(1-'P-Parametri'!$B$7*BA229)))</f>
        <v>0</v>
      </c>
      <c r="BD229" s="18">
        <f>IF(BM228=0,0,MIN(MAX(AY229,0),MAX(0,$B$4-IF($A229&gt;='1-Input'!$C$12,'1-Input'!$B$12,0))))</f>
        <v>1898</v>
      </c>
      <c r="BE229" s="18">
        <f t="shared" si="21"/>
        <v>174160.40857534815</v>
      </c>
      <c r="BF229" s="18">
        <f t="shared" si="22"/>
        <v>45100.186073199089</v>
      </c>
      <c r="BG229" s="18">
        <f t="shared" si="23"/>
        <v>81431.825847132452</v>
      </c>
      <c r="BH229" s="18">
        <f t="shared" si="24"/>
        <v>58480.003382889496</v>
      </c>
      <c r="BI229" s="18">
        <f t="shared" si="25"/>
        <v>24527.974780668821</v>
      </c>
      <c r="BJ229" s="18">
        <f t="shared" si="26"/>
        <v>17752.487338339128</v>
      </c>
      <c r="BK229" s="18">
        <f>IF(BM229=0,BK228,BK228+AN229+BB229*AZ229*'P-Parametri'!$B$6+BC229*BA229*'P-Parametri'!$B$7)</f>
        <v>23786.130823968022</v>
      </c>
      <c r="BL229" s="18">
        <f t="shared" si="1"/>
        <v>280120.20920314942</v>
      </c>
      <c r="BM229" s="10">
        <f>IF(AND(BM228=1,(BD229+BC229*(1-'P-Parametri'!$B$7*BA229)+BB229*(1-'P-Parametri'!$B$6*AZ229))&gt;=MAX(0,$B$4-IF($A229&gt;='1-Input'!$C$12,'1-Input'!$B$12,0))-0.01),1,0)</f>
        <v>1</v>
      </c>
      <c r="BO229" s="11">
        <f t="shared" si="27"/>
        <v>0.72263363409584036</v>
      </c>
      <c r="BP229" s="11">
        <f t="shared" si="28"/>
        <v>0.16526019667604153</v>
      </c>
      <c r="BQ229" s="18">
        <f>MAX(0,CK228-('P-Parametri'!$B$31*CR228))</f>
        <v>4411.7344802129373</v>
      </c>
      <c r="BR229" s="18">
        <f>MAX(0,CM228-('P-Parametri'!$C$31*CR228))</f>
        <v>0</v>
      </c>
      <c r="BS229" s="18">
        <f>MAX(0,CO228-('P-Parametri'!$D$31*CR228))</f>
        <v>0</v>
      </c>
      <c r="BT229" s="18">
        <f>BQ229*BO229*'P-Parametri'!$B$6+BR229*BP229*'P-Parametri'!$B$6</f>
        <v>828.89760722657149</v>
      </c>
      <c r="BU229" s="18">
        <f t="shared" si="29"/>
        <v>3582.836872986366</v>
      </c>
      <c r="BV229" s="18">
        <f>MAX(0,('P-Parametri'!$B$31*CR228)-CK228)+MAX(0,('P-Parametri'!$C$31*CR228)-CM228)+MAX(0,('P-Parametri'!$D$31*CR228)-CO228)</f>
        <v>4411.7344802129373</v>
      </c>
      <c r="BW229" s="18">
        <f>CK228-BQ229+IF(BV229&lt;=0,0,BU229*MAX(0,('P-Parametri'!$B$31*CR228)-CK228)/BV229)</f>
        <v>156129.22586583247</v>
      </c>
      <c r="BX229" s="18">
        <f>CL228-BQ229*(1-BO229)+IF(BV229&lt;=0,0,BU229*MAX(0,('P-Parametri'!$B$31*CR228)-CK228)/BV229)</f>
        <v>43304.995989835668</v>
      </c>
      <c r="BY229" s="18">
        <f>CM228-BR229+IF(BV229&lt;=0,0,BU229*MAX(0,('P-Parametri'!$C$31*CR228)-CM228)/BV229)</f>
        <v>77479.427446416434</v>
      </c>
      <c r="BZ229" s="18">
        <f>CN228-BR229*(1-BP229)+IF(BV229&lt;=0,0,BU229*MAX(0,('P-Parametri'!$C$31*CR228)-CM228)/BV229)</f>
        <v>65093.173269318919</v>
      </c>
      <c r="CA229" s="18">
        <f>CO228-BS229+IF(BV229&lt;=0,0,BU229*MAX(0,('P-Parametri'!$D$31*CR228)-CO228)/BV229)</f>
        <v>25777.825523578653</v>
      </c>
      <c r="CB229" s="18">
        <f>CP228-BS229+IF(BV229&lt;=0,0,BU229*MAX(0,('P-Parametri'!$D$31*CR228)-CO228)/BV229)</f>
        <v>18912.832368733929</v>
      </c>
      <c r="CC229" s="18">
        <f t="shared" si="30"/>
        <v>166825.95138835238</v>
      </c>
      <c r="CD229" s="18">
        <f>BY229*(1+'P-Parametri'!$C$29)</f>
        <v>77866.824583648515</v>
      </c>
      <c r="CE229" s="18">
        <f>CA229*(1+'1-Input'!$B$27)</f>
        <v>25685.02535169377</v>
      </c>
      <c r="CF229" s="11">
        <f t="shared" si="31"/>
        <v>0.74041810863690849</v>
      </c>
      <c r="CG229" s="11">
        <f t="shared" si="32"/>
        <v>0.16404484686039159</v>
      </c>
      <c r="CH229" s="18">
        <f>IF(CS228=0,0,(MIN((CC229+CD229+CE229),MAX(0,$B$4-IF($A229&gt;='1-Input'!$C$12,'1-Input'!$B$12,0))/(CC229/(CC229+CD229+CE229)*(1-'P-Parametri'!$B$6*CF229)+CD229/(CC229+CD229+CE229)*(1-'P-Parametri'!$B$6*CG229)+CE229/(CC229+CD229+CE229))))*CC229/(CC229+CD229+CE229))</f>
        <v>1347.7229660547493</v>
      </c>
      <c r="CI229" s="18">
        <f>IF(CS228=0,0,(MIN((CC229+CD229+CE229),MAX(0,$B$4-IF($A229&gt;='1-Input'!$C$12,'1-Input'!$B$12,0))/(CC229/(CC229+CD229+CE229)*(1-'P-Parametri'!$B$6*CF229)+CD229/(CC229+CD229+CE229)*(1-'P-Parametri'!$B$6*CG229)+CE229/(CC229+CD229+CE229))))*CD229/(CC229+CD229+CE229))</f>
        <v>629.05625241029895</v>
      </c>
      <c r="CJ229" s="18">
        <f>IF(CS228=0,0,(MIN((CC229+CD229+CE229),MAX(0,$B$4-IF($A229&gt;='1-Input'!$C$12,'1-Input'!$B$12,0))/(CC229/(CC229+CD229+CE229)*(1-'P-Parametri'!$B$6*CF229)+CD229/(CC229+CD229+CE229)*(1-'P-Parametri'!$B$6*CG229)+CE229/(CC229+CD229+CE229))))*CE229/(CC229+CD229+CE229))</f>
        <v>207.4994823173119</v>
      </c>
      <c r="CK229" s="18">
        <f t="shared" si="33"/>
        <v>165478.22842229763</v>
      </c>
      <c r="CL229" s="18">
        <f t="shared" si="34"/>
        <v>42955.151513273704</v>
      </c>
      <c r="CM229" s="18">
        <f t="shared" si="35"/>
        <v>77237.768331238214</v>
      </c>
      <c r="CN229" s="18">
        <f t="shared" si="36"/>
        <v>64567.310453501836</v>
      </c>
      <c r="CO229" s="18">
        <f t="shared" si="37"/>
        <v>25477.525869376459</v>
      </c>
      <c r="CP229" s="18">
        <f t="shared" si="38"/>
        <v>18705.332886416618</v>
      </c>
      <c r="CQ229" s="18">
        <f>IF(CS229=0,CQ228,CQ228+BT229+CH229*CF229*'P-Parametri'!$B$6+CI229*CG229*'P-Parametri'!$B$6)</f>
        <v>28639.981975445899</v>
      </c>
      <c r="CR229" s="18">
        <f t="shared" si="2"/>
        <v>268193.52262291231</v>
      </c>
      <c r="CS229" s="10">
        <f>IF(AND(CS228=1,(CJ229+CI229*(1-'P-Parametri'!$B$6*CG229)+CH229*(1-'P-Parametri'!$B$6*CF229))&gt;=MAX(0,$B$4-IF($A229&gt;='1-Input'!$C$12,'1-Input'!$B$12,0))-0.01),1,0)</f>
        <v>1</v>
      </c>
    </row>
    <row r="230" spans="1:97">
      <c r="A230" s="10">
        <f>30</f>
        <v>30</v>
      </c>
      <c r="B230" s="11">
        <f>IF(A230=1,'P-Parametri'!$B$30,IF(A230=2,'P-Parametri'!$C$30,'P-Parametri'!$B$29))</f>
        <v>6.8512000000000003E-2</v>
      </c>
      <c r="C230" s="11">
        <f t="shared" si="3"/>
        <v>0.74091672622547267</v>
      </c>
      <c r="D230" s="11">
        <f t="shared" si="4"/>
        <v>0.16394390546574983</v>
      </c>
      <c r="E230" s="18">
        <f>MAX(0,Y229-('P-Parametri'!$B$31*AF229))</f>
        <v>4702.3588611110754</v>
      </c>
      <c r="F230" s="18">
        <f>MAX(0,AA229-('P-Parametri'!$C$31*AF229))</f>
        <v>0</v>
      </c>
      <c r="G230" s="18">
        <f>MAX(0,AC229-('P-Parametri'!$D$31*AF229))</f>
        <v>0</v>
      </c>
      <c r="H230" s="18">
        <f>E230*C230*'P-Parametri'!$B$6+F230*D230*'P-Parametri'!$B$7</f>
        <v>905.85464655705766</v>
      </c>
      <c r="I230" s="18">
        <f t="shared" si="5"/>
        <v>3796.5042145540178</v>
      </c>
      <c r="J230" s="18">
        <f>MAX(0,('P-Parametri'!$B$31*AF229)-Y229)+MAX(0,('P-Parametri'!$C$31*AF229)-AA229)+MAX(0,('P-Parametri'!$D$31*AF229)-AC229)</f>
        <v>4702.3588611110972</v>
      </c>
      <c r="K230" s="18">
        <f>Y229-E230+IF(J230&lt;=0,0,I230*MAX(0,('P-Parametri'!$B$31*AF229)-Y229)/J230)</f>
        <v>165847.37089920617</v>
      </c>
      <c r="L230" s="18">
        <f>Z229-E230*(1-C230)+IF(J230&lt;=0,0,I230*MAX(0,('P-Parametri'!$B$31*AF229)-Y229)/J230)</f>
        <v>42968.279799464617</v>
      </c>
      <c r="M230" s="18">
        <f>AA229-F230+IF(J230&lt;=0,0,I230*MAX(0,('P-Parametri'!$C$31*AF229)-AA229)/J230)</f>
        <v>82284.266846002225</v>
      </c>
      <c r="N230" s="18">
        <f>AB229-F230*(1-D230)+IF(J230&lt;=0,0,I230*MAX(0,('P-Parametri'!$C$31*AF229)-AA229)/J230)</f>
        <v>69233.608009573771</v>
      </c>
      <c r="O230" s="18">
        <f>AC229-G230+IF(J230&lt;=0,0,I230*MAX(0,('P-Parametri'!$D$31*AF229)-AC229)/J230)</f>
        <v>27374.792440244815</v>
      </c>
      <c r="P230" s="18">
        <f>AD229-G230+IF(J230&lt;=0,0,I230*MAX(0,('P-Parametri'!$D$31*AF229)-AC229)/J230)</f>
        <v>20643.897427147636</v>
      </c>
      <c r="Q230" s="18">
        <f t="shared" si="6"/>
        <v>177209.90597425256</v>
      </c>
      <c r="R230" s="18">
        <f>M230*(1+'P-Parametri'!$C$29)</f>
        <v>82695.688180232231</v>
      </c>
      <c r="S230" s="18">
        <f>O230*(1+'1-Input'!$B$27)</f>
        <v>27276.243187459932</v>
      </c>
      <c r="T230" s="11">
        <f t="shared" si="7"/>
        <v>0.75752890582929577</v>
      </c>
      <c r="U230" s="11">
        <f t="shared" si="8"/>
        <v>0.16279059364399204</v>
      </c>
      <c r="V230" s="18">
        <f>IF(AG229=0,0,(MIN((Q230+R230+S230),MAX(0,$B$4-IF($A230&gt;='1-Input'!$C$12,'1-Input'!$B$12,0))/(Q230/(Q230+R230+S230)*(1-'P-Parametri'!$B$6*T230)+R230/(Q230+R230+S230)*(1-'P-Parametri'!$B$7*U230)+S230/(Q230+R230+S230))))*Q230/(Q230+R230+S230))</f>
        <v>1342.1764909849194</v>
      </c>
      <c r="W230" s="18">
        <f>IF(AG229=0,0,(MIN((Q230+R230+S230),MAX(0,$B$4-IF($A230&gt;='1-Input'!$C$12,'1-Input'!$B$12,0))/(Q230/(Q230+R230+S230)*(1-'P-Parametri'!$B$6*T230)+R230/(Q230+R230+S230)*(1-'P-Parametri'!$B$7*U230)+S230/(Q230+R230+S230))))*R230/(Q230+R230+S230))</f>
        <v>626.33185188560287</v>
      </c>
      <c r="X230" s="18">
        <f>IF(AG229=0,0,(MIN((Q230+R230+S230),MAX(0,$B$4-IF($A230&gt;='1-Input'!$C$12,'1-Input'!$B$12,0))/(Q230/(Q230+R230+S230)*(1-'P-Parametri'!$B$6*T230)+R230/(Q230+R230+S230)*(1-'P-Parametri'!$B$7*U230)+S230/(Q230+R230+S230))))*S230/(Q230+R230+S230))</f>
        <v>206.58852092566093</v>
      </c>
      <c r="Y230" s="18">
        <f t="shared" si="9"/>
        <v>175867.72948326764</v>
      </c>
      <c r="Z230" s="18">
        <f t="shared" si="10"/>
        <v>42642.840797125311</v>
      </c>
      <c r="AA230" s="18">
        <f t="shared" si="11"/>
        <v>82069.356328346636</v>
      </c>
      <c r="AB230" s="18">
        <f t="shared" si="12"/>
        <v>68709.23709167476</v>
      </c>
      <c r="AC230" s="18">
        <f t="shared" si="13"/>
        <v>27069.654666534272</v>
      </c>
      <c r="AD230" s="18">
        <f t="shared" si="14"/>
        <v>20437.308906221977</v>
      </c>
      <c r="AE230" s="18">
        <f>IF(AG230=0,AE229,AE229+H230+V230*T230*'P-Parametri'!$B$6+W230*U230*'P-Parametri'!$B$7)</f>
        <v>26320.753675487766</v>
      </c>
      <c r="AF230" s="18">
        <f t="shared" si="0"/>
        <v>285006.74047814857</v>
      </c>
      <c r="AG230" s="10">
        <f>IF(AND(AG229=1,(X230+W230*(1-'P-Parametri'!$B$7*U230)+V230*(1-'P-Parametri'!$B$6*T230))&gt;=MAX(0,$B$4-IF($A230&gt;='1-Input'!$C$12,'1-Input'!$B$12,0))-0.01),1,0)</f>
        <v>1</v>
      </c>
      <c r="AI230" s="11">
        <f t="shared" si="15"/>
        <v>0.74104225844367433</v>
      </c>
      <c r="AJ230" s="11">
        <f t="shared" si="16"/>
        <v>0.28185322170387245</v>
      </c>
      <c r="AK230" s="18">
        <f>MAX(0,BE229-('P-Parametri'!$B$31*BL229))</f>
        <v>6088.2830534584937</v>
      </c>
      <c r="AL230" s="18">
        <f>MAX(0,BG229-('P-Parametri'!$C$31*BL229))</f>
        <v>0</v>
      </c>
      <c r="AM230" s="18">
        <f>MAX(0,BI229-('P-Parametri'!$D$31*BL229))</f>
        <v>0</v>
      </c>
      <c r="AN230" s="18">
        <f>AK230*AI230*'P-Parametri'!$B$6+AL230*AJ230*'P-Parametri'!$B$7</f>
        <v>1173.0355062346002</v>
      </c>
      <c r="AO230" s="18">
        <f t="shared" si="17"/>
        <v>4915.247547223893</v>
      </c>
      <c r="AP230" s="18">
        <f>MAX(0,('P-Parametri'!$B$31*BL229)-BE229)+MAX(0,('P-Parametri'!$C$31*BL229)-BG229)+MAX(0,('P-Parametri'!$D$31*BL229)-BI229)</f>
        <v>6088.2830534584973</v>
      </c>
      <c r="AQ230" s="18">
        <f>BE229-AK230+IF(AP230&lt;=0,0,AO230*MAX(0,('P-Parametri'!$B$31*BL229)-BE229)/AP230)</f>
        <v>168072.12552188965</v>
      </c>
      <c r="AR230" s="18">
        <f>BF229-AK230*(1-AI230)+IF(AP230&lt;=0,0,AO230*MAX(0,('P-Parametri'!$B$31*BL229)-BE229)/AP230)</f>
        <v>43523.578043719826</v>
      </c>
      <c r="AS230" s="18">
        <f>BG229-AL230+IF(AP230&lt;=0,0,AO230*MAX(0,('P-Parametri'!$C$31*BL229)-BG229)/AP230)</f>
        <v>83534.301863870016</v>
      </c>
      <c r="AT230" s="18">
        <f>BH229-AL230*(1-AJ230)+IF(AP230&lt;=0,0,AO230*MAX(0,('P-Parametri'!$C$31*BL229)-BG229)/AP230)</f>
        <v>60582.479399627053</v>
      </c>
      <c r="AU230" s="18">
        <f>BI229-AM230+IF(AP230&lt;=0,0,AO230*MAX(0,('P-Parametri'!$D$31*BL229)-BI229)/AP230)</f>
        <v>27340.746311155155</v>
      </c>
      <c r="AV230" s="18">
        <f>BJ229-AM230+IF(AP230&lt;=0,0,AO230*MAX(0,('P-Parametri'!$D$31*BL229)-BI229)/AP230)</f>
        <v>20565.258868825462</v>
      </c>
      <c r="AW230" s="18">
        <f t="shared" si="18"/>
        <v>179587.08298564533</v>
      </c>
      <c r="AX230" s="18">
        <f>AS230*(1+'P-Parametri'!$C$29)</f>
        <v>83951.97337318935</v>
      </c>
      <c r="AY230" s="18">
        <f>AU230*(1+'1-Input'!$B$27)</f>
        <v>27242.319624434997</v>
      </c>
      <c r="AZ230" s="11">
        <f t="shared" si="19"/>
        <v>0.75764638903790915</v>
      </c>
      <c r="BA230" s="11">
        <f t="shared" si="20"/>
        <v>0.27836741692394223</v>
      </c>
      <c r="BB230" s="18">
        <f>IF(BM229=0,0,MIN(MAX(AW230,0),(MAX(0,$B$4-IF($A230&gt;='1-Input'!$C$12,'1-Input'!$B$12,0))-BD230-BC230*(1-'P-Parametri'!$B$7*BA230))/(1-'P-Parametri'!$B$6*AZ230)))</f>
        <v>0</v>
      </c>
      <c r="BC230" s="18">
        <f>IF(BM229=0,0,MIN(MAX(AX230,0),(MAX(0,$B$4-IF($A230&gt;='1-Input'!$C$12,'1-Input'!$B$12,0))-BD230)/(1-'P-Parametri'!$B$7*BA230)))</f>
        <v>0</v>
      </c>
      <c r="BD230" s="18">
        <f>IF(BM229=0,0,MIN(MAX(AY230,0),MAX(0,$B$4-IF($A230&gt;='1-Input'!$C$12,'1-Input'!$B$12,0))))</f>
        <v>1898</v>
      </c>
      <c r="BE230" s="18">
        <f t="shared" si="21"/>
        <v>179587.08298564533</v>
      </c>
      <c r="BF230" s="18">
        <f t="shared" si="22"/>
        <v>43523.578043719826</v>
      </c>
      <c r="BG230" s="18">
        <f t="shared" si="23"/>
        <v>83951.97337318935</v>
      </c>
      <c r="BH230" s="18">
        <f t="shared" si="24"/>
        <v>60582.479399627053</v>
      </c>
      <c r="BI230" s="18">
        <f t="shared" si="25"/>
        <v>25344.319624434997</v>
      </c>
      <c r="BJ230" s="18">
        <f t="shared" si="26"/>
        <v>18667.258868825462</v>
      </c>
      <c r="BK230" s="18">
        <f>IF(BM230=0,BK229,BK229+AN230+BB230*AZ230*'P-Parametri'!$B$6+BC230*BA230*'P-Parametri'!$B$7)</f>
        <v>24959.166330202621</v>
      </c>
      <c r="BL230" s="18">
        <f t="shared" si="1"/>
        <v>288883.37598326965</v>
      </c>
      <c r="BM230" s="10">
        <f>IF(AND(BM229=1,(BD230+BC230*(1-'P-Parametri'!$B$7*BA230)+BB230*(1-'P-Parametri'!$B$6*AZ230))&gt;=MAX(0,$B$4-IF($A230&gt;='1-Input'!$C$12,'1-Input'!$B$12,0))-0.01),1,0)</f>
        <v>1</v>
      </c>
      <c r="BO230" s="11">
        <f t="shared" si="27"/>
        <v>0.74041810863690849</v>
      </c>
      <c r="BP230" s="11">
        <f t="shared" si="28"/>
        <v>0.16404484686039161</v>
      </c>
      <c r="BQ230" s="18">
        <f>MAX(0,CK229-('P-Parametri'!$B$31*CR229))</f>
        <v>4562.1148485502636</v>
      </c>
      <c r="BR230" s="18">
        <f>MAX(0,CM229-('P-Parametri'!$C$31*CR229))</f>
        <v>0</v>
      </c>
      <c r="BS230" s="18">
        <f>MAX(0,CO229-('P-Parametri'!$D$31*CR229))</f>
        <v>0</v>
      </c>
      <c r="BT230" s="18">
        <f>BQ230*BO230*'P-Parametri'!$B$6+BR230*BP230*'P-Parametri'!$B$6</f>
        <v>878.24683636246505</v>
      </c>
      <c r="BU230" s="18">
        <f t="shared" si="29"/>
        <v>3683.8680121877987</v>
      </c>
      <c r="BV230" s="18">
        <f>MAX(0,('P-Parametri'!$B$31*CR229)-CK229)+MAX(0,('P-Parametri'!$C$31*CR229)-CM229)+MAX(0,('P-Parametri'!$D$31*CR229)-CO229)</f>
        <v>4562.1148485502417</v>
      </c>
      <c r="BW230" s="18">
        <f>CK229-BQ230+IF(BV230&lt;=0,0,BU230*MAX(0,('P-Parametri'!$B$31*CR229)-CK229)/BV230)</f>
        <v>160916.11357374737</v>
      </c>
      <c r="BX230" s="18">
        <f>CL229-BQ230*(1-BO230)+IF(BV230&lt;=0,0,BU230*MAX(0,('P-Parametri'!$B$31*CR229)-CK229)/BV230)</f>
        <v>41770.90911227138</v>
      </c>
      <c r="BY230" s="18">
        <f>CM229-BR230+IF(BV230&lt;=0,0,BU230*MAX(0,('P-Parametri'!$C$31*CR229)-CM229)/BV230)</f>
        <v>79838.123216101099</v>
      </c>
      <c r="BZ230" s="18">
        <f>CN229-BR230*(1-BP230)+IF(BV230&lt;=0,0,BU230*MAX(0,('P-Parametri'!$C$31*CR229)-CM229)/BV230)</f>
        <v>67167.665338364721</v>
      </c>
      <c r="CA230" s="18">
        <f>CO229-BS230+IF(BV230&lt;=0,0,BU230*MAX(0,('P-Parametri'!$D$31*CR229)-CO229)/BV230)</f>
        <v>26561.038996701365</v>
      </c>
      <c r="CB230" s="18">
        <f>CP229-BS230+IF(BV230&lt;=0,0,BU230*MAX(0,('P-Parametri'!$D$31*CR229)-CO229)/BV230)</f>
        <v>19788.846013741524</v>
      </c>
      <c r="CC230" s="18">
        <f t="shared" si="30"/>
        <v>171940.79834691194</v>
      </c>
      <c r="CD230" s="18">
        <f>BY230*(1+'P-Parametri'!$C$29)</f>
        <v>80237.313832181593</v>
      </c>
      <c r="CE230" s="18">
        <f>CA230*(1+'1-Input'!$B$27)</f>
        <v>26465.419256313238</v>
      </c>
      <c r="CF230" s="11">
        <f t="shared" si="31"/>
        <v>0.75706225913879155</v>
      </c>
      <c r="CG230" s="11">
        <f t="shared" si="32"/>
        <v>0.16288741321964464</v>
      </c>
      <c r="CH230" s="18">
        <f>IF(CS229=0,0,(MIN((CC230+CD230+CE230),MAX(0,$B$4-IF($A230&gt;='1-Input'!$C$12,'1-Input'!$B$12,0))/(CC230/(CC230+CD230+CE230)*(1-'P-Parametri'!$B$6*CF230)+CD230/(CC230+CD230+CE230)*(1-'P-Parametri'!$B$6*CG230)+CE230/(CC230+CD230+CE230))))*CC230/(CC230+CD230+CE230))</f>
        <v>1351.872175741775</v>
      </c>
      <c r="CI230" s="18">
        <f>IF(CS229=0,0,(MIN((CC230+CD230+CE230),MAX(0,$B$4-IF($A230&gt;='1-Input'!$C$12,'1-Input'!$B$12,0))/(CC230/(CC230+CD230+CE230)*(1-'P-Parametri'!$B$6*CF230)+CD230/(CC230+CD230+CE230)*(1-'P-Parametri'!$B$6*CG230)+CE230/(CC230+CD230+CE230))))*CD230/(CC230+CD230+CE230))</f>
        <v>630.86011620775446</v>
      </c>
      <c r="CJ230" s="18">
        <f>IF(CS229=0,0,(MIN((CC230+CD230+CE230),MAX(0,$B$4-IF($A230&gt;='1-Input'!$C$12,'1-Input'!$B$12,0))/(CC230/(CC230+CD230+CE230)*(1-'P-Parametri'!$B$6*CF230)+CD230/(CC230+CD230+CE230)*(1-'P-Parametri'!$B$6*CG230)+CE230/(CC230+CD230+CE230))))*CE230/(CC230+CD230+CE230))</f>
        <v>208.08245777575232</v>
      </c>
      <c r="CK230" s="18">
        <f t="shared" si="33"/>
        <v>170588.92617117017</v>
      </c>
      <c r="CL230" s="18">
        <f t="shared" si="34"/>
        <v>41442.488339963544</v>
      </c>
      <c r="CM230" s="18">
        <f t="shared" si="35"/>
        <v>79606.453715973839</v>
      </c>
      <c r="CN230" s="18">
        <f t="shared" si="36"/>
        <v>66639.564394589499</v>
      </c>
      <c r="CO230" s="18">
        <f t="shared" si="37"/>
        <v>26257.336798537486</v>
      </c>
      <c r="CP230" s="18">
        <f t="shared" si="38"/>
        <v>19580.763555965772</v>
      </c>
      <c r="CQ230" s="18">
        <f>IF(CS230=0,CQ229,CQ229+BT230+CH230*CF230*'P-Parametri'!$B$6+CI230*CG230*'P-Parametri'!$B$6)</f>
        <v>29811.043561533646</v>
      </c>
      <c r="CR230" s="18">
        <f t="shared" si="2"/>
        <v>276452.71668568149</v>
      </c>
      <c r="CS230" s="10">
        <f>IF(AND(CS229=1,(CJ230+CI230*(1-'P-Parametri'!$B$6*CG230)+CH230*(1-'P-Parametri'!$B$6*CF230))&gt;=MAX(0,$B$4-IF($A230&gt;='1-Input'!$C$12,'1-Input'!$B$12,0))-0.01),1,0)</f>
        <v>1</v>
      </c>
    </row>
    <row r="231" spans="1:97">
      <c r="A231" s="10">
        <f>31</f>
        <v>31</v>
      </c>
      <c r="B231" s="11">
        <f>IF(A231=1,'P-Parametri'!$B$30,IF(A231=2,'P-Parametri'!$C$30,'P-Parametri'!$B$29))</f>
        <v>6.8512000000000003E-2</v>
      </c>
      <c r="C231" s="11">
        <f t="shared" si="3"/>
        <v>0.75752890582929588</v>
      </c>
      <c r="D231" s="11">
        <f t="shared" si="4"/>
        <v>0.16279059364399218</v>
      </c>
      <c r="E231" s="18">
        <f>MAX(0,Y230-('P-Parametri'!$B$31*AF230))</f>
        <v>4863.6851963785011</v>
      </c>
      <c r="F231" s="18">
        <f>MAX(0,AA230-('P-Parametri'!$C$31*AF230))</f>
        <v>0</v>
      </c>
      <c r="G231" s="18">
        <f>MAX(0,AC230-('P-Parametri'!$D$31*AF230))</f>
        <v>0</v>
      </c>
      <c r="H231" s="18">
        <f>E231*C231*'P-Parametri'!$B$6+F231*D231*'P-Parametri'!$B$7</f>
        <v>957.9393525287951</v>
      </c>
      <c r="I231" s="18">
        <f t="shared" si="5"/>
        <v>3905.745843849706</v>
      </c>
      <c r="J231" s="18">
        <f>MAX(0,('P-Parametri'!$B$31*AF230)-Y230)+MAX(0,('P-Parametri'!$C$31*AF230)-AA230)+MAX(0,('P-Parametri'!$D$31*AF230)-AC230)</f>
        <v>4863.6851963785193</v>
      </c>
      <c r="K231" s="18">
        <f>Y230-E231+IF(J231&lt;=0,0,I231*MAX(0,('P-Parametri'!$B$31*AF230)-Y230)/J231)</f>
        <v>171004.04428688914</v>
      </c>
      <c r="L231" s="18">
        <f>Z230-E231*(1-C231)+IF(J231&lt;=0,0,I231*MAX(0,('P-Parametri'!$B$31*AF230)-Y230)/J231)</f>
        <v>41463.537725857561</v>
      </c>
      <c r="M231" s="18">
        <f>AA230-F231+IF(J231&lt;=0,0,I231*MAX(0,('P-Parametri'!$C$31*AF230)-AA230)/J231)</f>
        <v>84825.932812907486</v>
      </c>
      <c r="N231" s="18">
        <f>AB230-F231*(1-D231)+IF(J231&lt;=0,0,I231*MAX(0,('P-Parametri'!$C$31*AF230)-AA230)/J231)</f>
        <v>71465.813576235611</v>
      </c>
      <c r="O231" s="18">
        <f>AC230-G231+IF(J231&lt;=0,0,I231*MAX(0,('P-Parametri'!$D$31*AF230)-AC230)/J231)</f>
        <v>28218.824025823134</v>
      </c>
      <c r="P231" s="18">
        <f>AD230-G231+IF(J231&lt;=0,0,I231*MAX(0,('P-Parametri'!$D$31*AF230)-AC230)/J231)</f>
        <v>21586.478265510839</v>
      </c>
      <c r="Q231" s="18">
        <f t="shared" si="6"/>
        <v>182719.87336907248</v>
      </c>
      <c r="R231" s="18">
        <f>M231*(1+'P-Parametri'!$C$29)</f>
        <v>85250.062476972016</v>
      </c>
      <c r="S231" s="18">
        <f>O231*(1+'1-Input'!$B$27)</f>
        <v>28117.23625933017</v>
      </c>
      <c r="T231" s="11">
        <f t="shared" si="7"/>
        <v>0.77307592785976753</v>
      </c>
      <c r="U231" s="11">
        <f t="shared" si="8"/>
        <v>0.16169195071804018</v>
      </c>
      <c r="V231" s="18">
        <f>IF(AG230=0,0,(MIN((Q231+R231+S231),MAX(0,$B$4-IF($A231&gt;='1-Input'!$C$12,'1-Input'!$B$12,0))/(Q231/(Q231+R231+S231)*(1-'P-Parametri'!$B$6*T231)+R231/(Q231+R231+S231)*(1-'P-Parametri'!$B$7*U231)+S231/(Q231+R231+S231))))*Q231/(Q231+R231+S231))</f>
        <v>1346.0863736857234</v>
      </c>
      <c r="W231" s="18">
        <f>IF(AG230=0,0,(MIN((Q231+R231+S231),MAX(0,$B$4-IF($A231&gt;='1-Input'!$C$12,'1-Input'!$B$12,0))/(Q231/(Q231+R231+S231)*(1-'P-Parametri'!$B$6*T231)+R231/(Q231+R231+S231)*(1-'P-Parametri'!$B$7*U231)+S231/(Q231+R231+S231))))*R231/(Q231+R231+S231))</f>
        <v>628.03210915278635</v>
      </c>
      <c r="X231" s="18">
        <f>IF(AG230=0,0,(MIN((Q231+R231+S231),MAX(0,$B$4-IF($A231&gt;='1-Input'!$C$12,'1-Input'!$B$12,0))/(Q231/(Q231+R231+S231)*(1-'P-Parametri'!$B$6*T231)+R231/(Q231+R231+S231)*(1-'P-Parametri'!$B$7*U231)+S231/(Q231+R231+S231))))*S231/(Q231+R231+S231))</f>
        <v>207.13799706908483</v>
      </c>
      <c r="Y231" s="18">
        <f t="shared" si="9"/>
        <v>181373.78699538676</v>
      </c>
      <c r="Z231" s="18">
        <f t="shared" si="10"/>
        <v>41158.078324488321</v>
      </c>
      <c r="AA231" s="18">
        <f t="shared" si="11"/>
        <v>84622.030367819229</v>
      </c>
      <c r="AB231" s="18">
        <f t="shared" si="12"/>
        <v>70939.329203925299</v>
      </c>
      <c r="AC231" s="18">
        <f t="shared" si="13"/>
        <v>27910.098262261086</v>
      </c>
      <c r="AD231" s="18">
        <f t="shared" si="14"/>
        <v>21379.340268441756</v>
      </c>
      <c r="AE231" s="18">
        <f>IF(AG231=0,AE230,AE230+H231+V231*T231*'P-Parametri'!$B$6+W231*U231*'P-Parametri'!$B$7)</f>
        <v>27561.949507924157</v>
      </c>
      <c r="AF231" s="18">
        <f t="shared" si="0"/>
        <v>293905.91562546708</v>
      </c>
      <c r="AG231" s="10">
        <f>IF(AND(AG230=1,(X231+W231*(1-'P-Parametri'!$B$7*U231)+V231*(1-'P-Parametri'!$B$6*T231))&gt;=MAX(0,$B$4-IF($A231&gt;='1-Input'!$C$12,'1-Input'!$B$12,0))-0.01),1,0)</f>
        <v>1</v>
      </c>
      <c r="AI231" s="11">
        <f t="shared" si="15"/>
        <v>0.75764638903790915</v>
      </c>
      <c r="AJ231" s="11">
        <f t="shared" si="16"/>
        <v>0.27836741692394223</v>
      </c>
      <c r="AK231" s="18">
        <f>MAX(0,BE230-('P-Parametri'!$B$31*BL230))</f>
        <v>6257.0573956835433</v>
      </c>
      <c r="AL231" s="18">
        <f>MAX(0,BG230-('P-Parametri'!$C$31*BL230))</f>
        <v>0</v>
      </c>
      <c r="AM231" s="18">
        <f>MAX(0,BI230-('P-Parametri'!$D$31*BL230))</f>
        <v>0</v>
      </c>
      <c r="AN231" s="18">
        <f>AK231*AI231*'P-Parametri'!$B$6+AL231*AJ231*'P-Parametri'!$B$7</f>
        <v>1232.5656048790709</v>
      </c>
      <c r="AO231" s="18">
        <f t="shared" si="17"/>
        <v>5024.4917908044727</v>
      </c>
      <c r="AP231" s="18">
        <f>MAX(0,('P-Parametri'!$B$31*BL230)-BE230)+MAX(0,('P-Parametri'!$C$31*BL230)-BG230)+MAX(0,('P-Parametri'!$D$31*BL230)-BI230)</f>
        <v>6257.0573956835142</v>
      </c>
      <c r="AQ231" s="18">
        <f>BE230-AK231+IF(AP231&lt;=0,0,AO231*MAX(0,('P-Parametri'!$B$31*BL230)-BE230)/AP231)</f>
        <v>173330.02558996179</v>
      </c>
      <c r="AR231" s="18">
        <f>BF230-AK231*(1-AI231)+IF(AP231&lt;=0,0,AO231*MAX(0,('P-Parametri'!$B$31*BL230)-BE230)/AP231)</f>
        <v>42007.157589878865</v>
      </c>
      <c r="AS231" s="18">
        <f>BG230-AL231+IF(AP231&lt;=0,0,AO231*MAX(0,('P-Parametri'!$C$31*BL230)-BG230)/AP231)</f>
        <v>86130.576419459059</v>
      </c>
      <c r="AT231" s="18">
        <f>BH230-AL231*(1-AJ231)+IF(AP231&lt;=0,0,AO231*MAX(0,('P-Parametri'!$C$31*BL230)-BG230)/AP231)</f>
        <v>62761.082445896762</v>
      </c>
      <c r="AU231" s="18">
        <f>BI230-AM231+IF(AP231&lt;=0,0,AO231*MAX(0,('P-Parametri'!$D$31*BL230)-BI230)/AP231)</f>
        <v>28190.208368969757</v>
      </c>
      <c r="AV231" s="18">
        <f>BJ230-AM231+IF(AP231&lt;=0,0,AO231*MAX(0,('P-Parametri'!$D$31*BL230)-BI230)/AP231)</f>
        <v>21513.147613360223</v>
      </c>
      <c r="AW231" s="18">
        <f t="shared" si="18"/>
        <v>185205.21230318124</v>
      </c>
      <c r="AX231" s="18">
        <f>AS231*(1+'P-Parametri'!$C$29)</f>
        <v>86561.229301556348</v>
      </c>
      <c r="AY231" s="18">
        <f>AU231*(1+'1-Input'!$B$27)</f>
        <v>28088.723618841464</v>
      </c>
      <c r="AZ231" s="11">
        <f t="shared" si="19"/>
        <v>0.77318587815383366</v>
      </c>
      <c r="BA231" s="11">
        <f t="shared" si="20"/>
        <v>0.27495158106808065</v>
      </c>
      <c r="BB231" s="18">
        <f>IF(BM230=0,0,MIN(MAX(AW231,0),(MAX(0,$B$4-IF($A231&gt;='1-Input'!$C$12,'1-Input'!$B$12,0))-BD231-BC231*(1-'P-Parametri'!$B$7*BA231))/(1-'P-Parametri'!$B$6*AZ231)))</f>
        <v>0</v>
      </c>
      <c r="BC231" s="18">
        <f>IF(BM230=0,0,MIN(MAX(AX231,0),(MAX(0,$B$4-IF($A231&gt;='1-Input'!$C$12,'1-Input'!$B$12,0))-BD231)/(1-'P-Parametri'!$B$7*BA231)))</f>
        <v>0</v>
      </c>
      <c r="BD231" s="18">
        <f>IF(BM230=0,0,MIN(MAX(AY231,0),MAX(0,$B$4-IF($A231&gt;='1-Input'!$C$12,'1-Input'!$B$12,0))))</f>
        <v>1898</v>
      </c>
      <c r="BE231" s="18">
        <f t="shared" si="21"/>
        <v>185205.21230318124</v>
      </c>
      <c r="BF231" s="18">
        <f t="shared" si="22"/>
        <v>42007.157589878865</v>
      </c>
      <c r="BG231" s="18">
        <f t="shared" si="23"/>
        <v>86561.229301556348</v>
      </c>
      <c r="BH231" s="18">
        <f t="shared" si="24"/>
        <v>62761.082445896762</v>
      </c>
      <c r="BI231" s="18">
        <f t="shared" si="25"/>
        <v>26190.723618841464</v>
      </c>
      <c r="BJ231" s="18">
        <f t="shared" si="26"/>
        <v>19615.147613360223</v>
      </c>
      <c r="BK231" s="18">
        <f>IF(BM231=0,BK230,BK230+AN231+BB231*AZ231*'P-Parametri'!$B$6+BC231*BA231*'P-Parametri'!$B$7)</f>
        <v>26191.731935081691</v>
      </c>
      <c r="BL231" s="18">
        <f t="shared" si="1"/>
        <v>297957.16522357904</v>
      </c>
      <c r="BM231" s="10">
        <f>IF(AND(BM230=1,(BD231+BC231*(1-'P-Parametri'!$B$7*BA231)+BB231*(1-'P-Parametri'!$B$6*AZ231))&gt;=MAX(0,$B$4-IF($A231&gt;='1-Input'!$C$12,'1-Input'!$B$12,0))-0.01),1,0)</f>
        <v>1</v>
      </c>
      <c r="BO231" s="11">
        <f t="shared" si="27"/>
        <v>0.75706225913879166</v>
      </c>
      <c r="BP231" s="11">
        <f t="shared" si="28"/>
        <v>0.16288741321964456</v>
      </c>
      <c r="BQ231" s="18">
        <f>MAX(0,CK230-('P-Parametri'!$B$31*CR230))</f>
        <v>4717.2961597612884</v>
      </c>
      <c r="BR231" s="18">
        <f>MAX(0,CM230-('P-Parametri'!$C$31*CR230))</f>
        <v>0</v>
      </c>
      <c r="BS231" s="18">
        <f>MAX(0,CO230-('P-Parametri'!$D$31*CR230))</f>
        <v>0</v>
      </c>
      <c r="BT231" s="18">
        <f>BQ231*BO231*'P-Parametri'!$B$6+BR231*BP231*'P-Parametri'!$B$6</f>
        <v>928.53459081126312</v>
      </c>
      <c r="BU231" s="18">
        <f t="shared" si="29"/>
        <v>3788.7615689500253</v>
      </c>
      <c r="BV231" s="18">
        <f>MAX(0,('P-Parametri'!$B$31*CR230)-CK230)+MAX(0,('P-Parametri'!$C$31*CR230)-CM230)+MAX(0,('P-Parametri'!$D$31*CR230)-CO230)</f>
        <v>4717.2961597612666</v>
      </c>
      <c r="BW231" s="18">
        <f>CK230-BQ231+IF(BV231&lt;=0,0,BU231*MAX(0,('P-Parametri'!$B$31*CR230)-CK230)/BV231)</f>
        <v>165871.63001140888</v>
      </c>
      <c r="BX231" s="18">
        <f>CL230-BQ231*(1-BO231)+IF(BV231&lt;=0,0,BU231*MAX(0,('P-Parametri'!$B$31*CR230)-CK230)/BV231)</f>
        <v>40296.479067937886</v>
      </c>
      <c r="BY231" s="18">
        <f>CM230-BR231+IF(BV231&lt;=0,0,BU231*MAX(0,('P-Parametri'!$C$31*CR230)-CM230)/BV231)</f>
        <v>82280.476223036356</v>
      </c>
      <c r="BZ231" s="18">
        <f>CN230-BR231*(1-BP231)+IF(BV231&lt;=0,0,BU231*MAX(0,('P-Parametri'!$C$31*CR230)-CM230)/BV231)</f>
        <v>69313.586901652016</v>
      </c>
      <c r="CA231" s="18">
        <f>CO230-BS231+IF(BV231&lt;=0,0,BU231*MAX(0,('P-Parametri'!$D$31*CR230)-CO230)/BV231)</f>
        <v>27372.075860424997</v>
      </c>
      <c r="CB231" s="18">
        <f>CP230-BS231+IF(BV231&lt;=0,0,BU231*MAX(0,('P-Parametri'!$D$31*CR230)-CO230)/BV231)</f>
        <v>20695.502617853283</v>
      </c>
      <c r="CC231" s="18">
        <f t="shared" si="30"/>
        <v>177235.82712675052</v>
      </c>
      <c r="CD231" s="18">
        <f>BY231*(1+'P-Parametri'!$C$29)</f>
        <v>82691.878604151527</v>
      </c>
      <c r="CE231" s="18">
        <f>CA231*(1+'1-Input'!$B$27)</f>
        <v>27273.536387327465</v>
      </c>
      <c r="CF231" s="11">
        <f t="shared" si="31"/>
        <v>0.77263920212294446</v>
      </c>
      <c r="CG231" s="11">
        <f t="shared" si="32"/>
        <v>0.16178483217852371</v>
      </c>
      <c r="CH231" s="18">
        <f>IF(CS230=0,0,(MIN((CC231+CD231+CE231),MAX(0,$B$4-IF($A231&gt;='1-Input'!$C$12,'1-Input'!$B$12,0))/(CC231/(CC231+CD231+CE231)*(1-'P-Parametri'!$B$6*CF231)+CD231/(CC231+CD231+CE231)*(1-'P-Parametri'!$B$6*CG231)+CE231/(CC231+CD231+CE231))))*CC231/(CC231+CD231+CE231))</f>
        <v>1355.7771334391418</v>
      </c>
      <c r="CI231" s="18">
        <f>IF(CS230=0,0,(MIN((CC231+CD231+CE231),MAX(0,$B$4-IF($A231&gt;='1-Input'!$C$12,'1-Input'!$B$12,0))/(CC231/(CC231+CD231+CE231)*(1-'P-Parametri'!$B$6*CF231)+CD231/(CC231+CD231+CE231)*(1-'P-Parametri'!$B$6*CG231)+CE231/(CC231+CD231+CE231))))*CD231/(CC231+CD231+CE231))</f>
        <v>632.556971974166</v>
      </c>
      <c r="CJ231" s="18">
        <f>IF(CS230=0,0,(MIN((CC231+CD231+CE231),MAX(0,$B$4-IF($A231&gt;='1-Input'!$C$12,'1-Input'!$B$12,0))/(CC231/(CC231+CD231+CE231)*(1-'P-Parametri'!$B$6*CF231)+CD231/(CC231+CD231+CE231)*(1-'P-Parametri'!$B$6*CG231)+CE231/(CC231+CD231+CE231))))*CE231/(CC231+CD231+CE231))</f>
        <v>208.63071299639043</v>
      </c>
      <c r="CK231" s="18">
        <f t="shared" si="33"/>
        <v>175880.04999331138</v>
      </c>
      <c r="CL231" s="18">
        <f t="shared" si="34"/>
        <v>39988.228497135693</v>
      </c>
      <c r="CM231" s="18">
        <f t="shared" si="35"/>
        <v>82059.321632177365</v>
      </c>
      <c r="CN231" s="18">
        <f t="shared" si="36"/>
        <v>68783.368053232043</v>
      </c>
      <c r="CO231" s="18">
        <f t="shared" si="37"/>
        <v>27064.905674331076</v>
      </c>
      <c r="CP231" s="18">
        <f t="shared" si="38"/>
        <v>20486.871904856893</v>
      </c>
      <c r="CQ231" s="18">
        <f>IF(CS231=0,CQ230,CQ230+BT231+CH231*CF231*'P-Parametri'!$B$6+CI231*CG231*'P-Parametri'!$B$6)</f>
        <v>31038.54297075461</v>
      </c>
      <c r="CR231" s="18">
        <f t="shared" si="2"/>
        <v>285004.27729981981</v>
      </c>
      <c r="CS231" s="10">
        <f>IF(AND(CS230=1,(CJ231+CI231*(1-'P-Parametri'!$B$6*CG231)+CH231*(1-'P-Parametri'!$B$6*CF231))&gt;=MAX(0,$B$4-IF($A231&gt;='1-Input'!$C$12,'1-Input'!$B$12,0))-0.01),1,0)</f>
        <v>1</v>
      </c>
    </row>
    <row r="232" spans="1:97">
      <c r="A232" s="10">
        <f>32</f>
        <v>32</v>
      </c>
      <c r="B232" s="11">
        <f>IF(A232=1,'P-Parametri'!$B$30,IF(A232=2,'P-Parametri'!$C$30,'P-Parametri'!$B$29))</f>
        <v>6.8512000000000003E-2</v>
      </c>
      <c r="C232" s="11">
        <f t="shared" si="3"/>
        <v>0.77307592785976753</v>
      </c>
      <c r="D232" s="11">
        <f t="shared" si="4"/>
        <v>0.16169195071804021</v>
      </c>
      <c r="E232" s="18">
        <f>MAX(0,Y231-('P-Parametri'!$B$31*AF231))</f>
        <v>5030.2376201065199</v>
      </c>
      <c r="F232" s="18">
        <f>MAX(0,AA231-('P-Parametri'!$C$31*AF231))</f>
        <v>0</v>
      </c>
      <c r="G232" s="18">
        <f>MAX(0,AC231-('P-Parametri'!$D$31*AF231))</f>
        <v>0</v>
      </c>
      <c r="H232" s="18">
        <f>E232*C232*'P-Parametri'!$B$6+F232*D232*'P-Parametri'!$B$7</f>
        <v>1011.0764600349288</v>
      </c>
      <c r="I232" s="18">
        <f t="shared" si="5"/>
        <v>4019.161160071591</v>
      </c>
      <c r="J232" s="18">
        <f>MAX(0,('P-Parametri'!$B$31*AF231)-Y231)+MAX(0,('P-Parametri'!$C$31*AF231)-AA231)+MAX(0,('P-Parametri'!$D$31*AF231)-AC231)</f>
        <v>5030.2376201065163</v>
      </c>
      <c r="K232" s="18">
        <f>Y231-E232+IF(J232&lt;=0,0,I232*MAX(0,('P-Parametri'!$B$31*AF231)-Y231)/J232)</f>
        <v>176343.54937528024</v>
      </c>
      <c r="L232" s="18">
        <f>Z231-E232*(1-C232)+IF(J232&lt;=0,0,I232*MAX(0,('P-Parametri'!$B$31*AF231)-Y231)/J232)</f>
        <v>40016.59631990076</v>
      </c>
      <c r="M232" s="18">
        <f>AA231-F232+IF(J232&lt;=0,0,I232*MAX(0,('P-Parametri'!$C$31*AF231)-AA231)/J232)</f>
        <v>87458.276997875393</v>
      </c>
      <c r="N232" s="18">
        <f>AB231-F232*(1-D232)+IF(J232&lt;=0,0,I232*MAX(0,('P-Parametri'!$C$31*AF231)-AA231)/J232)</f>
        <v>73775.575833981464</v>
      </c>
      <c r="O232" s="18">
        <f>AC231-G232+IF(J232&lt;=0,0,I232*MAX(0,('P-Parametri'!$D$31*AF231)-AC231)/J232)</f>
        <v>29093.012792276506</v>
      </c>
      <c r="P232" s="18">
        <f>AD231-G232+IF(J232&lt;=0,0,I232*MAX(0,('P-Parametri'!$D$31*AF231)-AC231)/J232)</f>
        <v>22562.254798457176</v>
      </c>
      <c r="Q232" s="18">
        <f t="shared" si="6"/>
        <v>188425.19863007942</v>
      </c>
      <c r="R232" s="18">
        <f>M232*(1+'P-Parametri'!$C$29)</f>
        <v>87895.56838286476</v>
      </c>
      <c r="S232" s="18">
        <f>O232*(1+'1-Input'!$B$27)</f>
        <v>28988.277946224309</v>
      </c>
      <c r="T232" s="11">
        <f t="shared" si="7"/>
        <v>0.78762608923415678</v>
      </c>
      <c r="U232" s="11">
        <f t="shared" si="8"/>
        <v>0.1606451020076228</v>
      </c>
      <c r="V232" s="18">
        <f>IF(AG231=0,0,(MIN((Q232+R232+S232),MAX(0,$B$4-IF($A232&gt;='1-Input'!$C$12,'1-Input'!$B$12,0))/(Q232/(Q232+R232+S232)*(1-'P-Parametri'!$B$6*T232)+R232/(Q232+R232+S232)*(1-'P-Parametri'!$B$7*U232)+S232/(Q232+R232+S232))))*Q232/(Q232+R232+S232))</f>
        <v>1349.765941824262</v>
      </c>
      <c r="W232" s="18">
        <f>IF(AG231=0,0,(MIN((Q232+R232+S232),MAX(0,$B$4-IF($A232&gt;='1-Input'!$C$12,'1-Input'!$B$12,0))/(Q232/(Q232+R232+S232)*(1-'P-Parametri'!$B$6*T232)+R232/(Q232+R232+S232)*(1-'P-Parametri'!$B$7*U232)+S232/(Q232+R232+S232))))*R232/(Q232+R232+S232))</f>
        <v>629.63152223280883</v>
      </c>
      <c r="X232" s="18">
        <f>IF(AG231=0,0,(MIN((Q232+R232+S232),MAX(0,$B$4-IF($A232&gt;='1-Input'!$C$12,'1-Input'!$B$12,0))/(Q232/(Q232+R232+S232)*(1-'P-Parametri'!$B$6*T232)+R232/(Q232+R232+S232)*(1-'P-Parametri'!$B$7*U232)+S232/(Q232+R232+S232))))*S232/(Q232+R232+S232))</f>
        <v>207.65476469399781</v>
      </c>
      <c r="Y232" s="18">
        <f t="shared" si="9"/>
        <v>187075.43268825515</v>
      </c>
      <c r="Z232" s="18">
        <f t="shared" si="10"/>
        <v>39729.941248217001</v>
      </c>
      <c r="AA232" s="18">
        <f t="shared" si="11"/>
        <v>87265.936860631948</v>
      </c>
      <c r="AB232" s="18">
        <f t="shared" si="12"/>
        <v>73247.091531864964</v>
      </c>
      <c r="AC232" s="18">
        <f t="shared" si="13"/>
        <v>28780.623181530311</v>
      </c>
      <c r="AD232" s="18">
        <f t="shared" si="14"/>
        <v>22354.600033763178</v>
      </c>
      <c r="AE232" s="18">
        <f>IF(AG232=0,AE231,AE231+H232+V232*T232*'P-Parametri'!$B$6+W232*U232*'P-Parametri'!$B$7)</f>
        <v>28862.078196710154</v>
      </c>
      <c r="AF232" s="18">
        <f t="shared" si="0"/>
        <v>303121.99273041746</v>
      </c>
      <c r="AG232" s="10">
        <f>IF(AND(AG231=1,(X232+W232*(1-'P-Parametri'!$B$7*U232)+V232*(1-'P-Parametri'!$B$6*T232))&gt;=MAX(0,$B$4-IF($A232&gt;='1-Input'!$C$12,'1-Input'!$B$12,0))-0.01),1,0)</f>
        <v>1</v>
      </c>
      <c r="AI232" s="11">
        <f t="shared" si="15"/>
        <v>0.77318587815383366</v>
      </c>
      <c r="AJ232" s="11">
        <f t="shared" si="16"/>
        <v>0.27495158106808065</v>
      </c>
      <c r="AK232" s="18">
        <f>MAX(0,BE231-('P-Parametri'!$B$31*BL231))</f>
        <v>6430.9131690338254</v>
      </c>
      <c r="AL232" s="18">
        <f>MAX(0,BG231-('P-Parametri'!$C$31*BL231))</f>
        <v>0</v>
      </c>
      <c r="AM232" s="18">
        <f>MAX(0,BI231-('P-Parametri'!$D$31*BL231))</f>
        <v>0</v>
      </c>
      <c r="AN232" s="18">
        <f>AK232*AI232*'P-Parametri'!$B$6+AL232*AJ232*'P-Parametri'!$B$7</f>
        <v>1292.7957239419227</v>
      </c>
      <c r="AO232" s="18">
        <f t="shared" si="17"/>
        <v>5138.1174450919025</v>
      </c>
      <c r="AP232" s="18">
        <f>MAX(0,('P-Parametri'!$B$31*BL231)-BE231)+MAX(0,('P-Parametri'!$C$31*BL231)-BG231)+MAX(0,('P-Parametri'!$D$31*BL231)-BI231)</f>
        <v>6430.9131690337999</v>
      </c>
      <c r="AQ232" s="18">
        <f>BE231-AK232+IF(AP232&lt;=0,0,AO232*MAX(0,('P-Parametri'!$B$31*BL231)-BE231)/AP232)</f>
        <v>178774.29913414741</v>
      </c>
      <c r="AR232" s="18">
        <f>BF231-AK232*(1-AI232)+IF(AP232&lt;=0,0,AO232*MAX(0,('P-Parametri'!$B$31*BL231)-BE231)/AP232)</f>
        <v>40548.535666775511</v>
      </c>
      <c r="AS232" s="18">
        <f>BG231-AL232+IF(AP232&lt;=0,0,AO232*MAX(0,('P-Parametri'!$C$31*BL231)-BG231)/AP232)</f>
        <v>88819.059540131158</v>
      </c>
      <c r="AT232" s="18">
        <f>BH231-AL232*(1-AJ232)+IF(AP232&lt;=0,0,AO232*MAX(0,('P-Parametri'!$C$31*BL231)-BG231)/AP232)</f>
        <v>65018.912684471572</v>
      </c>
      <c r="AU232" s="18">
        <f>BI231-AM232+IF(AP232&lt;=0,0,AO232*MAX(0,('P-Parametri'!$D$31*BL231)-BI231)/AP232)</f>
        <v>29071.010825358557</v>
      </c>
      <c r="AV232" s="18">
        <f>BJ231-AM232+IF(AP232&lt;=0,0,AO232*MAX(0,('P-Parametri'!$D$31*BL231)-BI231)/AP232)</f>
        <v>22495.434819877315</v>
      </c>
      <c r="AW232" s="18">
        <f t="shared" si="18"/>
        <v>191022.48391642611</v>
      </c>
      <c r="AX232" s="18">
        <f>AS232*(1+'P-Parametri'!$C$29)</f>
        <v>89263.154837831811</v>
      </c>
      <c r="AY232" s="18">
        <f>AU232*(1+'1-Input'!$B$27)</f>
        <v>28966.355186387264</v>
      </c>
      <c r="AZ232" s="11">
        <f t="shared" si="19"/>
        <v>0.7877289896171813</v>
      </c>
      <c r="BA232" s="11">
        <f t="shared" si="20"/>
        <v>0.271604137198666</v>
      </c>
      <c r="BB232" s="18">
        <f>IF(BM231=0,0,MIN(MAX(AW232,0),(MAX(0,$B$4-IF($A232&gt;='1-Input'!$C$12,'1-Input'!$B$12,0))-BD232-BC232*(1-'P-Parametri'!$B$7*BA232))/(1-'P-Parametri'!$B$6*AZ232)))</f>
        <v>0</v>
      </c>
      <c r="BC232" s="18">
        <f>IF(BM231=0,0,MIN(MAX(AX232,0),(MAX(0,$B$4-IF($A232&gt;='1-Input'!$C$12,'1-Input'!$B$12,0))-BD232)/(1-'P-Parametri'!$B$7*BA232)))</f>
        <v>0</v>
      </c>
      <c r="BD232" s="18">
        <f>IF(BM231=0,0,MIN(MAX(AY232,0),MAX(0,$B$4-IF($A232&gt;='1-Input'!$C$12,'1-Input'!$B$12,0))))</f>
        <v>1898</v>
      </c>
      <c r="BE232" s="18">
        <f t="shared" si="21"/>
        <v>191022.48391642611</v>
      </c>
      <c r="BF232" s="18">
        <f t="shared" si="22"/>
        <v>40548.535666775511</v>
      </c>
      <c r="BG232" s="18">
        <f t="shared" si="23"/>
        <v>89263.154837831811</v>
      </c>
      <c r="BH232" s="18">
        <f t="shared" si="24"/>
        <v>65018.912684471572</v>
      </c>
      <c r="BI232" s="18">
        <f t="shared" si="25"/>
        <v>27068.355186387264</v>
      </c>
      <c r="BJ232" s="18">
        <f t="shared" si="26"/>
        <v>20597.434819877315</v>
      </c>
      <c r="BK232" s="18">
        <f>IF(BM232=0,BK231,BK231+AN232+BB232*AZ232*'P-Parametri'!$B$6+BC232*BA232*'P-Parametri'!$B$7)</f>
        <v>27484.527659023614</v>
      </c>
      <c r="BL232" s="18">
        <f t="shared" si="1"/>
        <v>307353.99394064519</v>
      </c>
      <c r="BM232" s="10">
        <f>IF(AND(BM231=1,(BD232+BC232*(1-'P-Parametri'!$B$7*BA232)+BB232*(1-'P-Parametri'!$B$6*AZ232))&gt;=MAX(0,$B$4-IF($A232&gt;='1-Input'!$C$12,'1-Input'!$B$12,0))-0.01),1,0)</f>
        <v>1</v>
      </c>
      <c r="BO232" s="11">
        <f t="shared" si="27"/>
        <v>0.77263920212294446</v>
      </c>
      <c r="BP232" s="11">
        <f t="shared" si="28"/>
        <v>0.1617848321785238</v>
      </c>
      <c r="BQ232" s="18">
        <f>MAX(0,CK231-('P-Parametri'!$B$31*CR231))</f>
        <v>4877.483613419492</v>
      </c>
      <c r="BR232" s="18">
        <f>MAX(0,CM231-('P-Parametri'!$C$31*CR231))</f>
        <v>0</v>
      </c>
      <c r="BS232" s="18">
        <f>MAX(0,CO231-('P-Parametri'!$D$31*CR231))</f>
        <v>0</v>
      </c>
      <c r="BT232" s="18">
        <f>BQ232*BO232*'P-Parametri'!$B$6+BR232*BP232*'P-Parametri'!$B$6</f>
        <v>979.81911233444487</v>
      </c>
      <c r="BU232" s="18">
        <f t="shared" si="29"/>
        <v>3897.664501085047</v>
      </c>
      <c r="BV232" s="18">
        <f>MAX(0,('P-Parametri'!$B$31*CR231)-CK231)+MAX(0,('P-Parametri'!$C$31*CR231)-CM231)+MAX(0,('P-Parametri'!$D$31*CR231)-CO231)</f>
        <v>4877.4836134194811</v>
      </c>
      <c r="BW232" s="18">
        <f>CK231-BQ232+IF(BV232&lt;=0,0,BU232*MAX(0,('P-Parametri'!$B$31*CR231)-CK231)/BV232)</f>
        <v>171002.56637989188</v>
      </c>
      <c r="BX232" s="18">
        <f>CL231-BQ232*(1-BO232)+IF(BV232&lt;=0,0,BU232*MAX(0,('P-Parametri'!$B$31*CR231)-CK231)/BV232)</f>
        <v>38879.279931156372</v>
      </c>
      <c r="BY232" s="18">
        <f>CM231-BR232+IF(BV232&lt;=0,0,BU232*MAX(0,('P-Parametri'!$C$31*CR231)-CM231)/BV232)</f>
        <v>84809.840637695583</v>
      </c>
      <c r="BZ232" s="18">
        <f>CN231-BR232*(1-BP232)+IF(BV232&lt;=0,0,BU232*MAX(0,('P-Parametri'!$C$31*CR231)-CM231)/BV232)</f>
        <v>71533.887058750261</v>
      </c>
      <c r="CA232" s="18">
        <f>CO231-BS232+IF(BV232&lt;=0,0,BU232*MAX(0,('P-Parametri'!$D$31*CR231)-CO231)/BV232)</f>
        <v>28212.051169897903</v>
      </c>
      <c r="CB232" s="18">
        <f>CP231-BS232+IF(BV232&lt;=0,0,BU232*MAX(0,('P-Parametri'!$D$31*CR231)-CO231)/BV232)</f>
        <v>21634.01740042372</v>
      </c>
      <c r="CC232" s="18">
        <f t="shared" si="30"/>
        <v>182718.29420771101</v>
      </c>
      <c r="CD232" s="18">
        <f>BY232*(1+'P-Parametri'!$C$29)</f>
        <v>85233.889840884047</v>
      </c>
      <c r="CE232" s="18">
        <f>CA232*(1+'1-Input'!$B$27)</f>
        <v>28110.487785686269</v>
      </c>
      <c r="CF232" s="11">
        <f t="shared" si="31"/>
        <v>0.78721736594717173</v>
      </c>
      <c r="CG232" s="11">
        <f t="shared" si="32"/>
        <v>0.16073421977700614</v>
      </c>
      <c r="CH232" s="18">
        <f>IF(CS231=0,0,(MIN((CC232+CD232+CE232),MAX(0,$B$4-IF($A232&gt;='1-Input'!$C$12,'1-Input'!$B$12,0))/(CC232/(CC232+CD232+CE232)*(1-'P-Parametri'!$B$6*CF232)+CD232/(CC232+CD232+CE232)*(1-'P-Parametri'!$B$6*CG232)+CE232/(CC232+CD232+CE232))))*CC232/(CC232+CD232+CE232))</f>
        <v>1359.4507508104155</v>
      </c>
      <c r="CI232" s="18">
        <f>IF(CS231=0,0,(MIN((CC232+CD232+CE232),MAX(0,$B$4-IF($A232&gt;='1-Input'!$C$12,'1-Input'!$B$12,0))/(CC232/(CC232+CD232+CE232)*(1-'P-Parametri'!$B$6*CF232)+CD232/(CC232+CD232+CE232)*(1-'P-Parametri'!$B$6*CG232)+CE232/(CC232+CD232+CE232))))*CD232/(CC232+CD232+CE232))</f>
        <v>634.15256825330039</v>
      </c>
      <c r="CJ232" s="18">
        <f>IF(CS231=0,0,(MIN((CC232+CD232+CE232),MAX(0,$B$4-IF($A232&gt;='1-Input'!$C$12,'1-Input'!$B$12,0))/(CC232/(CC232+CD232+CE232)*(1-'P-Parametri'!$B$6*CF232)+CD232/(CC232+CD232+CE232)*(1-'P-Parametri'!$B$6*CG232)+CE232/(CC232+CD232+CE232))))*CE232/(CC232+CD232+CE232))</f>
        <v>209.14612787735561</v>
      </c>
      <c r="CK232" s="18">
        <f t="shared" si="33"/>
        <v>181358.84345690059</v>
      </c>
      <c r="CL232" s="18">
        <f t="shared" si="34"/>
        <v>38590.012419533836</v>
      </c>
      <c r="CM232" s="18">
        <f t="shared" si="35"/>
        <v>84599.737272630751</v>
      </c>
      <c r="CN232" s="18">
        <f t="shared" si="36"/>
        <v>71001.664508774746</v>
      </c>
      <c r="CO232" s="18">
        <f t="shared" si="37"/>
        <v>27901.341657808913</v>
      </c>
      <c r="CP232" s="18">
        <f t="shared" si="38"/>
        <v>21424.871272546363</v>
      </c>
      <c r="CQ232" s="18">
        <f>IF(CS232=0,CQ231,CQ231+BT232+CH232*CF232*'P-Parametri'!$B$6+CI232*CG232*'P-Parametri'!$B$6)</f>
        <v>32323.111530030124</v>
      </c>
      <c r="CR232" s="18">
        <f t="shared" si="2"/>
        <v>293859.92238734028</v>
      </c>
      <c r="CS232" s="10">
        <f>IF(AND(CS231=1,(CJ232+CI232*(1-'P-Parametri'!$B$6*CG232)+CH232*(1-'P-Parametri'!$B$6*CF232))&gt;=MAX(0,$B$4-IF($A232&gt;='1-Input'!$C$12,'1-Input'!$B$12,0))-0.01),1,0)</f>
        <v>1</v>
      </c>
    </row>
    <row r="233" spans="1:97">
      <c r="A233" s="10">
        <f>33</f>
        <v>33</v>
      </c>
      <c r="B233" s="11">
        <f>IF(A233=1,'P-Parametri'!$B$30,IF(A233=2,'P-Parametri'!$C$30,'P-Parametri'!$B$29))</f>
        <v>6.8512000000000003E-2</v>
      </c>
      <c r="C233" s="11">
        <f t="shared" si="3"/>
        <v>0.78762608923415678</v>
      </c>
      <c r="D233" s="11">
        <f t="shared" si="4"/>
        <v>0.16064510200762272</v>
      </c>
      <c r="E233" s="18">
        <f>MAX(0,Y232-('P-Parametri'!$B$31*AF232))</f>
        <v>5202.2370500046818</v>
      </c>
      <c r="F233" s="18">
        <f>MAX(0,AA232-('P-Parametri'!$C$31*AF232))</f>
        <v>0</v>
      </c>
      <c r="G233" s="18">
        <f>MAX(0,AC232-('P-Parametri'!$D$31*AF232))</f>
        <v>0</v>
      </c>
      <c r="H233" s="18">
        <f>E233*C233*'P-Parametri'!$B$6+F233*D233*'P-Parametri'!$B$7</f>
        <v>1065.3285819706985</v>
      </c>
      <c r="I233" s="18">
        <f t="shared" si="5"/>
        <v>4136.9084680339838</v>
      </c>
      <c r="J233" s="18">
        <f>MAX(0,('P-Parametri'!$B$31*AF232)-Y232)+MAX(0,('P-Parametri'!$C$31*AF232)-AA232)+MAX(0,('P-Parametri'!$D$31*AF232)-AC232)</f>
        <v>5202.2370500047255</v>
      </c>
      <c r="K233" s="18">
        <f>Y232-E233+IF(J233&lt;=0,0,I233*MAX(0,('P-Parametri'!$B$31*AF232)-Y232)/J233)</f>
        <v>181873.19563825047</v>
      </c>
      <c r="L233" s="18">
        <f>Z232-E233*(1-C233)+IF(J233&lt;=0,0,I233*MAX(0,('P-Parametri'!$B$31*AF232)-Y232)/J233)</f>
        <v>38625.121821176544</v>
      </c>
      <c r="M233" s="18">
        <f>AA232-F233+IF(J233&lt;=0,0,I233*MAX(0,('P-Parametri'!$C$31*AF232)-AA232)/J233)</f>
        <v>90184.90965185815</v>
      </c>
      <c r="N233" s="18">
        <f>AB232-F233*(1-D233)+IF(J233&lt;=0,0,I233*MAX(0,('P-Parametri'!$C$31*AF232)-AA232)/J233)</f>
        <v>76166.064323091166</v>
      </c>
      <c r="O233" s="18">
        <f>AC232-G233+IF(J233&lt;=0,0,I233*MAX(0,('P-Parametri'!$D$31*AF232)-AC232)/J233)</f>
        <v>29998.5588583381</v>
      </c>
      <c r="P233" s="18">
        <f>AD232-G233+IF(J233&lt;=0,0,I233*MAX(0,('P-Parametri'!$D$31*AF232)-AC232)/J233)</f>
        <v>23572.535710570966</v>
      </c>
      <c r="Q233" s="18">
        <f t="shared" si="6"/>
        <v>194333.69201781828</v>
      </c>
      <c r="R233" s="18">
        <f>M233*(1+'P-Parametri'!$C$29)</f>
        <v>90635.834200117431</v>
      </c>
      <c r="S233" s="18">
        <f>O233*(1+'1-Input'!$B$27)</f>
        <v>29890.564046448082</v>
      </c>
      <c r="T233" s="11">
        <f t="shared" si="7"/>
        <v>0.80124330773464103</v>
      </c>
      <c r="U233" s="11">
        <f t="shared" si="8"/>
        <v>0.15964734042253143</v>
      </c>
      <c r="V233" s="18">
        <f>IF(AG232=0,0,(MIN((Q233+R233+S233),MAX(0,$B$4-IF($A233&gt;='1-Input'!$C$12,'1-Input'!$B$12,0))/(Q233/(Q233+R233+S233)*(1-'P-Parametri'!$B$6*T233)+R233/(Q233+R233+S233)*(1-'P-Parametri'!$B$7*U233)+S233/(Q233+R233+S233))))*Q233/(Q233+R233+S233))</f>
        <v>1353.2274888167274</v>
      </c>
      <c r="W233" s="18">
        <f>IF(AG232=0,0,(MIN((Q233+R233+S233),MAX(0,$B$4-IF($A233&gt;='1-Input'!$C$12,'1-Input'!$B$12,0))/(Q233/(Q233+R233+S233)*(1-'P-Parametri'!$B$6*T233)+R233/(Q233+R233+S233)*(1-'P-Parametri'!$B$7*U233)+S233/(Q233+R233+S233))))*R233/(Q233+R233+S233))</f>
        <v>631.13555368560799</v>
      </c>
      <c r="X233" s="18">
        <f>IF(AG232=0,0,(MIN((Q233+R233+S233),MAX(0,$B$4-IF($A233&gt;='1-Input'!$C$12,'1-Input'!$B$12,0))/(Q233/(Q233+R233+S233)*(1-'P-Parametri'!$B$6*T233)+R233/(Q233+R233+S233)*(1-'P-Parametri'!$B$7*U233)+S233/(Q233+R233+S233))))*S233/(Q233+R233+S233))</f>
        <v>208.14060857847431</v>
      </c>
      <c r="Y233" s="18">
        <f t="shared" si="9"/>
        <v>192980.46452900156</v>
      </c>
      <c r="Z233" s="18">
        <f t="shared" si="10"/>
        <v>38356.158801616773</v>
      </c>
      <c r="AA233" s="18">
        <f t="shared" si="11"/>
        <v>90004.698646431818</v>
      </c>
      <c r="AB233" s="18">
        <f t="shared" si="12"/>
        <v>75635.687881997568</v>
      </c>
      <c r="AC233" s="18">
        <f t="shared" si="13"/>
        <v>29682.423437869609</v>
      </c>
      <c r="AD233" s="18">
        <f t="shared" si="14"/>
        <v>23364.395101992493</v>
      </c>
      <c r="AE233" s="18">
        <f>IF(AG233=0,AE232,AE232+H233+V233*T233*'P-Parametri'!$B$6+W233*U233*'P-Parametri'!$B$7)</f>
        <v>30221.910429761661</v>
      </c>
      <c r="AF233" s="18">
        <f t="shared" si="0"/>
        <v>312667.58661330299</v>
      </c>
      <c r="AG233" s="10">
        <f>IF(AND(AG232=1,(X233+W233*(1-'P-Parametri'!$B$7*U233)+V233*(1-'P-Parametri'!$B$6*T233))&gt;=MAX(0,$B$4-IF($A233&gt;='1-Input'!$C$12,'1-Input'!$B$12,0))-0.01),1,0)</f>
        <v>1</v>
      </c>
      <c r="AI233" s="11">
        <f t="shared" si="15"/>
        <v>0.7877289896171813</v>
      </c>
      <c r="AJ233" s="11">
        <f t="shared" si="16"/>
        <v>0.271604137198666</v>
      </c>
      <c r="AK233" s="18">
        <f>MAX(0,BE232-('P-Parametri'!$B$31*BL232))</f>
        <v>6610.0875520390109</v>
      </c>
      <c r="AL233" s="18">
        <f>MAX(0,BG232-('P-Parametri'!$C$31*BL232))</f>
        <v>0</v>
      </c>
      <c r="AM233" s="18">
        <f>MAX(0,BI232-('P-Parametri'!$D$31*BL232))</f>
        <v>0</v>
      </c>
      <c r="AN233" s="18">
        <f>AK233*AI233*'P-Parametri'!$B$6+AL233*AJ233*'P-Parametri'!$B$7</f>
        <v>1353.8089730486874</v>
      </c>
      <c r="AO233" s="18">
        <f t="shared" si="17"/>
        <v>5256.2785789903237</v>
      </c>
      <c r="AP233" s="18">
        <f>MAX(0,('P-Parametri'!$B$31*BL232)-BE232)+MAX(0,('P-Parametri'!$C$31*BL232)-BG232)+MAX(0,('P-Parametri'!$D$31*BL232)-BI232)</f>
        <v>6610.0875520389927</v>
      </c>
      <c r="AQ233" s="18">
        <f>BE232-AK233+IF(AP233&lt;=0,0,AO233*MAX(0,('P-Parametri'!$B$31*BL232)-BE232)/AP233)</f>
        <v>184412.3963643871</v>
      </c>
      <c r="AR233" s="18">
        <f>BF232-AK233*(1-AI233)+IF(AP233&lt;=0,0,AO233*MAX(0,('P-Parametri'!$B$31*BL232)-BE232)/AP233)</f>
        <v>39145.405703385295</v>
      </c>
      <c r="AS233" s="18">
        <f>BG232-AL233+IF(AP233&lt;=0,0,AO233*MAX(0,('P-Parametri'!$C$31*BL232)-BG232)/AP233)</f>
        <v>91603.434836579603</v>
      </c>
      <c r="AT233" s="18">
        <f>BH232-AL233*(1-AJ233)+IF(AP233&lt;=0,0,AO233*MAX(0,('P-Parametri'!$C$31*BL232)-BG232)/AP233)</f>
        <v>67359.192683219371</v>
      </c>
      <c r="AU233" s="18">
        <f>BI232-AM233+IF(AP233&lt;=0,0,AO233*MAX(0,('P-Parametri'!$D$31*BL232)-BI232)/AP233)</f>
        <v>29984.353766629793</v>
      </c>
      <c r="AV233" s="18">
        <f>BJ232-AM233+IF(AP233&lt;=0,0,AO233*MAX(0,('P-Parametri'!$D$31*BL232)-BI232)/AP233)</f>
        <v>23513.433400119844</v>
      </c>
      <c r="AW233" s="18">
        <f t="shared" si="18"/>
        <v>197046.85846410398</v>
      </c>
      <c r="AX233" s="18">
        <f>AS233*(1+'P-Parametri'!$C$29)</f>
        <v>92061.452010762485</v>
      </c>
      <c r="AY233" s="18">
        <f>AU233*(1+'1-Input'!$B$27)</f>
        <v>29876.410093069924</v>
      </c>
      <c r="AZ233" s="11">
        <f t="shared" si="19"/>
        <v>0.80133961024039158</v>
      </c>
      <c r="BA233" s="11">
        <f t="shared" si="20"/>
        <v>0.26832359025420632</v>
      </c>
      <c r="BB233" s="18">
        <f>IF(BM232=0,0,MIN(MAX(AW233,0),(MAX(0,$B$4-IF($A233&gt;='1-Input'!$C$12,'1-Input'!$B$12,0))-BD233-BC233*(1-'P-Parametri'!$B$7*BA233))/(1-'P-Parametri'!$B$6*AZ233)))</f>
        <v>0</v>
      </c>
      <c r="BC233" s="18">
        <f>IF(BM232=0,0,MIN(MAX(AX233,0),(MAX(0,$B$4-IF($A233&gt;='1-Input'!$C$12,'1-Input'!$B$12,0))-BD233)/(1-'P-Parametri'!$B$7*BA233)))</f>
        <v>0</v>
      </c>
      <c r="BD233" s="18">
        <f>IF(BM232=0,0,MIN(MAX(AY233,0),MAX(0,$B$4-IF($A233&gt;='1-Input'!$C$12,'1-Input'!$B$12,0))))</f>
        <v>1898</v>
      </c>
      <c r="BE233" s="18">
        <f t="shared" si="21"/>
        <v>197046.85846410398</v>
      </c>
      <c r="BF233" s="18">
        <f t="shared" si="22"/>
        <v>39145.405703385295</v>
      </c>
      <c r="BG233" s="18">
        <f t="shared" si="23"/>
        <v>92061.452010762485</v>
      </c>
      <c r="BH233" s="18">
        <f t="shared" si="24"/>
        <v>67359.192683219371</v>
      </c>
      <c r="BI233" s="18">
        <f t="shared" si="25"/>
        <v>27978.410093069924</v>
      </c>
      <c r="BJ233" s="18">
        <f t="shared" si="26"/>
        <v>21615.433400119844</v>
      </c>
      <c r="BK233" s="18">
        <f>IF(BM233=0,BK232,BK232+AN233+BB233*AZ233*'P-Parametri'!$B$6+BC233*BA233*'P-Parametri'!$B$7)</f>
        <v>28838.3366320723</v>
      </c>
      <c r="BL233" s="18">
        <f t="shared" si="1"/>
        <v>317086.72056793643</v>
      </c>
      <c r="BM233" s="10">
        <f>IF(AND(BM232=1,(BD233+BC233*(1-'P-Parametri'!$B$7*BA233)+BB233*(1-'P-Parametri'!$B$6*AZ233))&gt;=MAX(0,$B$4-IF($A233&gt;='1-Input'!$C$12,'1-Input'!$B$12,0))-0.01),1,0)</f>
        <v>1</v>
      </c>
      <c r="BO233" s="11">
        <f t="shared" si="27"/>
        <v>0.78721736594717184</v>
      </c>
      <c r="BP233" s="11">
        <f t="shared" si="28"/>
        <v>0.16073421977700611</v>
      </c>
      <c r="BQ233" s="18">
        <f>MAX(0,CK232-('P-Parametri'!$B$31*CR232))</f>
        <v>5042.890024496417</v>
      </c>
      <c r="BR233" s="18">
        <f>MAX(0,CM232-('P-Parametri'!$C$31*CR232))</f>
        <v>0</v>
      </c>
      <c r="BS233" s="18">
        <f>MAX(0,CO232-('P-Parametri'!$D$31*CR232))</f>
        <v>0</v>
      </c>
      <c r="BT233" s="18">
        <f>BQ233*BO233*'P-Parametri'!$B$6+BR233*BP233*'P-Parametri'!$B$6</f>
        <v>1032.1611564797879</v>
      </c>
      <c r="BU233" s="18">
        <f t="shared" si="29"/>
        <v>4010.7288680166293</v>
      </c>
      <c r="BV233" s="18">
        <f>MAX(0,('P-Parametri'!$B$31*CR232)-CK232)+MAX(0,('P-Parametri'!$C$31*CR232)-CM232)+MAX(0,('P-Parametri'!$D$31*CR232)-CO232)</f>
        <v>5042.8900244964534</v>
      </c>
      <c r="BW233" s="18">
        <f>CK232-BQ233+IF(BV233&lt;=0,0,BU233*MAX(0,('P-Parametri'!$B$31*CR232)-CK232)/BV233)</f>
        <v>176315.95343240417</v>
      </c>
      <c r="BX233" s="18">
        <f>CL232-BQ233*(1-BO233)+IF(BV233&lt;=0,0,BU233*MAX(0,('P-Parametri'!$B$31*CR232)-CK232)/BV233)</f>
        <v>37516.97299688276</v>
      </c>
      <c r="BY233" s="18">
        <f>CM232-BR233+IF(BV233&lt;=0,0,BU233*MAX(0,('P-Parametri'!$C$31*CR232)-CM232)/BV233)</f>
        <v>87429.688666835907</v>
      </c>
      <c r="BZ233" s="18">
        <f>CN232-BR233*(1-BP233)+IF(BV233&lt;=0,0,BU233*MAX(0,('P-Parametri'!$C$31*CR232)-CM232)/BV233)</f>
        <v>73831.615902979902</v>
      </c>
      <c r="CA233" s="18">
        <f>CO232-BS233+IF(BV233&lt;=0,0,BU233*MAX(0,('P-Parametri'!$D$31*CR232)-CO232)/BV233)</f>
        <v>29082.119131620391</v>
      </c>
      <c r="CB233" s="18">
        <f>CP232-BS233+IF(BV233&lt;=0,0,BU233*MAX(0,('P-Parametri'!$D$31*CR232)-CO232)/BV233)</f>
        <v>22605.648746357841</v>
      </c>
      <c r="CC233" s="18">
        <f t="shared" si="30"/>
        <v>188395.71203396504</v>
      </c>
      <c r="CD233" s="18">
        <f>BY233*(1+'P-Parametri'!$C$29)</f>
        <v>87866.837110170076</v>
      </c>
      <c r="CE233" s="18">
        <f>CA233*(1+'1-Input'!$B$27)</f>
        <v>28977.423502746555</v>
      </c>
      <c r="CF233" s="11">
        <f t="shared" si="31"/>
        <v>0.80086079140634059</v>
      </c>
      <c r="CG233" s="11">
        <f t="shared" si="32"/>
        <v>0.15973286018697125</v>
      </c>
      <c r="CH233" s="18">
        <f>IF(CS232=0,0,(MIN((CC233+CD233+CE233),MAX(0,$B$4-IF($A233&gt;='1-Input'!$C$12,'1-Input'!$B$12,0))/(CC233/(CC233+CD233+CE233)*(1-'P-Parametri'!$B$6*CF233)+CD233/(CC233+CD233+CE233)*(1-'P-Parametri'!$B$6*CG233)+CE233/(CC233+CD233+CE233))))*CC233/(CC233+CD233+CE233))</f>
        <v>1362.9054283263879</v>
      </c>
      <c r="CI233" s="18">
        <f>IF(CS232=0,0,(MIN((CC233+CD233+CE233),MAX(0,$B$4-IF($A233&gt;='1-Input'!$C$12,'1-Input'!$B$12,0))/(CC233/(CC233+CD233+CE233)*(1-'P-Parametri'!$B$6*CF233)+CD233/(CC233+CD233+CE233)*(1-'P-Parametri'!$B$6*CG233)+CE233/(CC233+CD233+CE233))))*CD233/(CC233+CD233+CE233))</f>
        <v>635.65241466712018</v>
      </c>
      <c r="CJ233" s="18">
        <f>IF(CS232=0,0,(MIN((CC233+CD233+CE233),MAX(0,$B$4-IF($A233&gt;='1-Input'!$C$12,'1-Input'!$B$12,0))/(CC233/(CC233+CD233+CE233)*(1-'P-Parametri'!$B$6*CF233)+CD233/(CC233+CD233+CE233)*(1-'P-Parametri'!$B$6*CG233)+CE233/(CC233+CD233+CE233))))*CE233/(CC233+CD233+CE233))</f>
        <v>209.63050254395293</v>
      </c>
      <c r="CK233" s="18">
        <f t="shared" si="33"/>
        <v>187032.80660563865</v>
      </c>
      <c r="CL233" s="18">
        <f t="shared" si="34"/>
        <v>37245.565088497839</v>
      </c>
      <c r="CM233" s="18">
        <f t="shared" si="35"/>
        <v>87231.184695502961</v>
      </c>
      <c r="CN233" s="18">
        <f t="shared" si="36"/>
        <v>73297.498066592321</v>
      </c>
      <c r="CO233" s="18">
        <f t="shared" si="37"/>
        <v>28767.793000202601</v>
      </c>
      <c r="CP233" s="18">
        <f t="shared" si="38"/>
        <v>22396.018243813887</v>
      </c>
      <c r="CQ233" s="18">
        <f>IF(CS233=0,CQ232,CQ232+BT233+CH233*CF233*'P-Parametri'!$B$6+CI233*CG233*'P-Parametri'!$B$6)</f>
        <v>33665.461032047373</v>
      </c>
      <c r="CR233" s="18">
        <f t="shared" si="2"/>
        <v>303031.78430134425</v>
      </c>
      <c r="CS233" s="10">
        <f>IF(AND(CS232=1,(CJ233+CI233*(1-'P-Parametri'!$B$6*CG233)+CH233*(1-'P-Parametri'!$B$6*CF233))&gt;=MAX(0,$B$4-IF($A233&gt;='1-Input'!$C$12,'1-Input'!$B$12,0))-0.01),1,0)</f>
        <v>1</v>
      </c>
    </row>
    <row r="234" spans="1:97">
      <c r="A234" s="10">
        <f>34</f>
        <v>34</v>
      </c>
      <c r="B234" s="11">
        <f>IF(A234=1,'P-Parametri'!$B$30,IF(A234=2,'P-Parametri'!$C$30,'P-Parametri'!$B$29))</f>
        <v>6.8512000000000003E-2</v>
      </c>
      <c r="C234" s="11">
        <f t="shared" si="3"/>
        <v>0.80124330773464103</v>
      </c>
      <c r="D234" s="11">
        <f t="shared" si="4"/>
        <v>0.15964734042253137</v>
      </c>
      <c r="E234" s="18">
        <f>MAX(0,Y233-('P-Parametri'!$B$31*AF233))</f>
        <v>5379.9125610197661</v>
      </c>
      <c r="F234" s="18">
        <f>MAX(0,AA233-('P-Parametri'!$C$31*AF233))</f>
        <v>0</v>
      </c>
      <c r="G234" s="18">
        <f>MAX(0,AC233-('P-Parametri'!$D$31*AF233))</f>
        <v>0</v>
      </c>
      <c r="H234" s="18">
        <f>E234*C234*'P-Parametri'!$B$6+F234*D234*'P-Parametri'!$B$7</f>
        <v>1120.7609232858015</v>
      </c>
      <c r="I234" s="18">
        <f t="shared" si="5"/>
        <v>4259.1516377339649</v>
      </c>
      <c r="J234" s="18">
        <f>MAX(0,('P-Parametri'!$B$31*AF233)-Y233)+MAX(0,('P-Parametri'!$C$31*AF233)-AA233)+MAX(0,('P-Parametri'!$D$31*AF233)-AC233)</f>
        <v>5379.9125610197698</v>
      </c>
      <c r="K234" s="18">
        <f>Y233-E234+IF(J234&lt;=0,0,I234*MAX(0,('P-Parametri'!$B$31*AF233)-Y233)/J234)</f>
        <v>187600.5519679818</v>
      </c>
      <c r="L234" s="18">
        <f>Z233-E234*(1-C234)+IF(J234&lt;=0,0,I234*MAX(0,('P-Parametri'!$B$31*AF233)-Y233)/J234)</f>
        <v>37286.865176311629</v>
      </c>
      <c r="M234" s="18">
        <f>AA233-F234+IF(J234&lt;=0,0,I234*MAX(0,('P-Parametri'!$C$31*AF233)-AA233)/J234)</f>
        <v>93009.568939406687</v>
      </c>
      <c r="N234" s="18">
        <f>AB233-F234*(1-D234)+IF(J234&lt;=0,0,I234*MAX(0,('P-Parametri'!$C$31*AF233)-AA233)/J234)</f>
        <v>78640.558174972437</v>
      </c>
      <c r="O234" s="18">
        <f>AC233-G234+IF(J234&lt;=0,0,I234*MAX(0,('P-Parametri'!$D$31*AF233)-AC233)/J234)</f>
        <v>30936.704782628702</v>
      </c>
      <c r="P234" s="18">
        <f>AD233-G234+IF(J234&lt;=0,0,I234*MAX(0,('P-Parametri'!$D$31*AF233)-AC233)/J234)</f>
        <v>24618.676446751586</v>
      </c>
      <c r="Q234" s="18">
        <f t="shared" si="6"/>
        <v>200453.44098441215</v>
      </c>
      <c r="R234" s="18">
        <f>M234*(1+'P-Parametri'!$C$29)</f>
        <v>93474.61678410371</v>
      </c>
      <c r="S234" s="18">
        <f>O234*(1+'1-Input'!$B$27)</f>
        <v>30825.332645411236</v>
      </c>
      <c r="T234" s="11">
        <f t="shared" si="7"/>
        <v>0.81398740279439163</v>
      </c>
      <c r="U234" s="11">
        <f t="shared" si="8"/>
        <v>0.1586961157957264</v>
      </c>
      <c r="V234" s="18">
        <f>IF(AG233=0,0,(MIN((Q234+R234+S234),MAX(0,$B$4-IF($A234&gt;='1-Input'!$C$12,'1-Input'!$B$12,0))/(Q234/(Q234+R234+S234)*(1-'P-Parametri'!$B$6*T234)+R234/(Q234+R234+S234)*(1-'P-Parametri'!$B$7*U234)+S234/(Q234+R234+S234))))*Q234/(Q234+R234+S234))</f>
        <v>1356.4828027123697</v>
      </c>
      <c r="W234" s="18">
        <f>IF(AG233=0,0,(MIN((Q234+R234+S234),MAX(0,$B$4-IF($A234&gt;='1-Input'!$C$12,'1-Input'!$B$12,0))/(Q234/(Q234+R234+S234)*(1-'P-Parametri'!$B$6*T234)+R234/(Q234+R234+S234)*(1-'P-Parametri'!$B$7*U234)+S234/(Q234+R234+S234))))*R234/(Q234+R234+S234))</f>
        <v>632.54943160404912</v>
      </c>
      <c r="X234" s="18">
        <f>IF(AG233=0,0,(MIN((Q234+R234+S234),MAX(0,$B$4-IF($A234&gt;='1-Input'!$C$12,'1-Input'!$B$12,0))/(Q234/(Q234+R234+S234)*(1-'P-Parametri'!$B$6*T234)+R234/(Q234+R234+S234)*(1-'P-Parametri'!$B$7*U234)+S234/(Q234+R234+S234))))*S234/(Q234+R234+S234))</f>
        <v>208.59723542805196</v>
      </c>
      <c r="Y234" s="18">
        <f t="shared" si="9"/>
        <v>199096.9581816998</v>
      </c>
      <c r="Z234" s="18">
        <f t="shared" si="10"/>
        <v>37034.54228711436</v>
      </c>
      <c r="AA234" s="18">
        <f t="shared" si="11"/>
        <v>92842.067352499667</v>
      </c>
      <c r="AB234" s="18">
        <f t="shared" si="12"/>
        <v>78108.391881212738</v>
      </c>
      <c r="AC234" s="18">
        <f t="shared" si="13"/>
        <v>30616.735409983183</v>
      </c>
      <c r="AD234" s="18">
        <f t="shared" si="14"/>
        <v>24410.079211323533</v>
      </c>
      <c r="AE234" s="18">
        <f>IF(AG234=0,AE233,AE233+H234+V234*T234*'P-Parametri'!$B$6+W234*U234*'P-Parametri'!$B$7)</f>
        <v>31642.300822791934</v>
      </c>
      <c r="AF234" s="18">
        <f t="shared" si="0"/>
        <v>322555.76094418264</v>
      </c>
      <c r="AG234" s="10">
        <f>IF(AND(AG233=1,(X234+W234*(1-'P-Parametri'!$B$7*U234)+V234*(1-'P-Parametri'!$B$6*T234))&gt;=MAX(0,$B$4-IF($A234&gt;='1-Input'!$C$12,'1-Input'!$B$12,0))-0.01),1,0)</f>
        <v>1</v>
      </c>
      <c r="AI234" s="11">
        <f t="shared" si="15"/>
        <v>0.80133961024039158</v>
      </c>
      <c r="AJ234" s="11">
        <f t="shared" si="16"/>
        <v>0.26832359025420632</v>
      </c>
      <c r="AK234" s="18">
        <f>MAX(0,BE233-('P-Parametri'!$B$31*BL233))</f>
        <v>6794.8261233421217</v>
      </c>
      <c r="AL234" s="18">
        <f>MAX(0,BG233-('P-Parametri'!$C$31*BL233))</f>
        <v>0</v>
      </c>
      <c r="AM234" s="18">
        <f>MAX(0,BI233-('P-Parametri'!$D$31*BL233))</f>
        <v>0</v>
      </c>
      <c r="AN234" s="18">
        <f>AK234*AI234*'P-Parametri'!$B$6+AL234*AJ234*'P-Parametri'!$B$7</f>
        <v>1415.6904625058537</v>
      </c>
      <c r="AO234" s="18">
        <f t="shared" si="17"/>
        <v>5379.1356608362676</v>
      </c>
      <c r="AP234" s="18">
        <f>MAX(0,('P-Parametri'!$B$31*BL233)-BE233)+MAX(0,('P-Parametri'!$C$31*BL233)-BG233)+MAX(0,('P-Parametri'!$D$31*BL233)-BI233)</f>
        <v>6794.8261233421617</v>
      </c>
      <c r="AQ234" s="18">
        <f>BE233-AK234+IF(AP234&lt;=0,0,AO234*MAX(0,('P-Parametri'!$B$31*BL233)-BE233)/AP234)</f>
        <v>190252.03234076186</v>
      </c>
      <c r="AR234" s="18">
        <f>BF233-AK234*(1-AI234)+IF(AP234&lt;=0,0,AO234*MAX(0,('P-Parametri'!$B$31*BL233)-BE233)/AP234)</f>
        <v>37795.54289737338</v>
      </c>
      <c r="AS234" s="18">
        <f>BG233-AL234+IF(AP234&lt;=0,0,AO234*MAX(0,('P-Parametri'!$C$31*BL233)-BG233)/AP234)</f>
        <v>94487.519441582335</v>
      </c>
      <c r="AT234" s="18">
        <f>BH233-AL234*(1-AJ234)+IF(AP234&lt;=0,0,AO234*MAX(0,('P-Parametri'!$C$31*BL233)-BG233)/AP234)</f>
        <v>69785.260114039222</v>
      </c>
      <c r="AU234" s="18">
        <f>BI233-AM234+IF(AP234&lt;=0,0,AO234*MAX(0,('P-Parametri'!$D$31*BL233)-BI233)/AP234)</f>
        <v>30931.478323086347</v>
      </c>
      <c r="AV234" s="18">
        <f>BJ233-AM234+IF(AP234&lt;=0,0,AO234*MAX(0,('P-Parametri'!$D$31*BL233)-BI233)/AP234)</f>
        <v>24568.501630136267</v>
      </c>
      <c r="AW234" s="18">
        <f t="shared" si="18"/>
        <v>203286.57958049211</v>
      </c>
      <c r="AX234" s="18">
        <f>AS234*(1+'P-Parametri'!$C$29)</f>
        <v>94959.957038790235</v>
      </c>
      <c r="AY234" s="18">
        <f>AU234*(1+'1-Input'!$B$27)</f>
        <v>30820.125001123233</v>
      </c>
      <c r="AZ234" s="11">
        <f t="shared" si="19"/>
        <v>0.81407753047264941</v>
      </c>
      <c r="BA234" s="11">
        <f t="shared" si="20"/>
        <v>0.26510855427690844</v>
      </c>
      <c r="BB234" s="18">
        <f>IF(BM233=0,0,MIN(MAX(AW234,0),(MAX(0,$B$4-IF($A234&gt;='1-Input'!$C$12,'1-Input'!$B$12,0))-BD234-BC234*(1-'P-Parametri'!$B$7*BA234))/(1-'P-Parametri'!$B$6*AZ234)))</f>
        <v>0</v>
      </c>
      <c r="BC234" s="18">
        <f>IF(BM233=0,0,MIN(MAX(AX234,0),(MAX(0,$B$4-IF($A234&gt;='1-Input'!$C$12,'1-Input'!$B$12,0))-BD234)/(1-'P-Parametri'!$B$7*BA234)))</f>
        <v>0</v>
      </c>
      <c r="BD234" s="18">
        <f>IF(BM233=0,0,MIN(MAX(AY234,0),MAX(0,$B$4-IF($A234&gt;='1-Input'!$C$12,'1-Input'!$B$12,0))))</f>
        <v>1898</v>
      </c>
      <c r="BE234" s="18">
        <f t="shared" si="21"/>
        <v>203286.57958049211</v>
      </c>
      <c r="BF234" s="18">
        <f t="shared" si="22"/>
        <v>37795.54289737338</v>
      </c>
      <c r="BG234" s="18">
        <f t="shared" si="23"/>
        <v>94959.957038790235</v>
      </c>
      <c r="BH234" s="18">
        <f t="shared" si="24"/>
        <v>69785.260114039222</v>
      </c>
      <c r="BI234" s="18">
        <f t="shared" si="25"/>
        <v>28922.125001123233</v>
      </c>
      <c r="BJ234" s="18">
        <f t="shared" si="26"/>
        <v>22670.501630136267</v>
      </c>
      <c r="BK234" s="18">
        <f>IF(BM234=0,BK233,BK233+AN234+BB234*AZ234*'P-Parametri'!$B$6+BC234*BA234*'P-Parametri'!$B$7)</f>
        <v>30254.027094578152</v>
      </c>
      <c r="BL234" s="18">
        <f t="shared" si="1"/>
        <v>327168.66162040556</v>
      </c>
      <c r="BM234" s="10">
        <f>IF(AND(BM233=1,(BD234+BC234*(1-'P-Parametri'!$B$7*BA234)+BB234*(1-'P-Parametri'!$B$6*AZ234))&gt;=MAX(0,$B$4-IF($A234&gt;='1-Input'!$C$12,'1-Input'!$B$12,0))-0.01),1,0)</f>
        <v>1</v>
      </c>
      <c r="BO234" s="11">
        <f t="shared" si="27"/>
        <v>0.80086079140634059</v>
      </c>
      <c r="BP234" s="11">
        <f t="shared" si="28"/>
        <v>0.15973286018697125</v>
      </c>
      <c r="BQ234" s="18">
        <f>MAX(0,CK233-('P-Parametri'!$B$31*CR233))</f>
        <v>5213.7360248320911</v>
      </c>
      <c r="BR234" s="18">
        <f>MAX(0,CM233-('P-Parametri'!$C$31*CR233))</f>
        <v>0</v>
      </c>
      <c r="BS234" s="18">
        <f>MAX(0,CO233-('P-Parametri'!$D$31*CR233))</f>
        <v>0</v>
      </c>
      <c r="BT234" s="18">
        <f>BQ234*BO234*'P-Parametri'!$B$6+BR234*BP234*'P-Parametri'!$B$6</f>
        <v>1085.623957348002</v>
      </c>
      <c r="BU234" s="18">
        <f t="shared" si="29"/>
        <v>4128.1120674840895</v>
      </c>
      <c r="BV234" s="18">
        <f>MAX(0,('P-Parametri'!$B$31*CR233)-CK233)+MAX(0,('P-Parametri'!$C$31*CR233)-CM233)+MAX(0,('P-Parametri'!$D$31*CR233)-CO233)</f>
        <v>5213.736024832142</v>
      </c>
      <c r="BW234" s="18">
        <f>CK233-BQ234+IF(BV234&lt;=0,0,BU234*MAX(0,('P-Parametri'!$B$31*CR233)-CK233)/BV234)</f>
        <v>181819.07058080655</v>
      </c>
      <c r="BX234" s="18">
        <f>CL233-BQ234*(1-BO234)+IF(BV234&lt;=0,0,BU234*MAX(0,('P-Parametri'!$B$31*CR233)-CK233)/BV234)</f>
        <v>36207.305822696522</v>
      </c>
      <c r="BY234" s="18">
        <f>CM233-BR234+IF(BV234&lt;=0,0,BU234*MAX(0,('P-Parametri'!$C$31*CR233)-CM233)/BV234)</f>
        <v>90143.615130592763</v>
      </c>
      <c r="BZ234" s="18">
        <f>CN233-BR234*(1-BP234)+IF(BV234&lt;=0,0,BU234*MAX(0,('P-Parametri'!$C$31*CR233)-CM233)/BV234)</f>
        <v>76209.928501682123</v>
      </c>
      <c r="CA234" s="18">
        <f>CO233-BS234+IF(BV234&lt;=0,0,BU234*MAX(0,('P-Parametri'!$D$31*CR233)-CO233)/BV234)</f>
        <v>29983.474632596884</v>
      </c>
      <c r="CB234" s="18">
        <f>CP233-BS234+IF(BV234&lt;=0,0,BU234*MAX(0,('P-Parametri'!$D$31*CR233)-CO233)/BV234)</f>
        <v>23611.699876208171</v>
      </c>
      <c r="CC234" s="18">
        <f t="shared" si="30"/>
        <v>194275.85874443877</v>
      </c>
      <c r="CD234" s="18">
        <f>BY234*(1+'P-Parametri'!$C$29)</f>
        <v>90594.333206245719</v>
      </c>
      <c r="CE234" s="18">
        <f>CA234*(1+'1-Input'!$B$27)</f>
        <v>29875.534123919533</v>
      </c>
      <c r="CF234" s="11">
        <f t="shared" si="31"/>
        <v>0.8136294130588525</v>
      </c>
      <c r="CG234" s="11">
        <f t="shared" si="32"/>
        <v>0.15877819500935311</v>
      </c>
      <c r="CH234" s="18">
        <f>IF(CS233=0,0,(MIN((CC234+CD234+CE234),MAX(0,$B$4-IF($A234&gt;='1-Input'!$C$12,'1-Input'!$B$12,0))/(CC234/(CC234+CD234+CE234)*(1-'P-Parametri'!$B$6*CF234)+CD234/(CC234+CD234+CE234)*(1-'P-Parametri'!$B$6*CG234)+CE234/(CC234+CD234+CE234))))*CC234/(CC234+CD234+CE234))</f>
        <v>1366.1530540634651</v>
      </c>
      <c r="CI234" s="18">
        <f>IF(CS233=0,0,(MIN((CC234+CD234+CE234),MAX(0,$B$4-IF($A234&gt;='1-Input'!$C$12,'1-Input'!$B$12,0))/(CC234/(CC234+CD234+CE234)*(1-'P-Parametri'!$B$6*CF234)+CD234/(CC234+CD234+CE234)*(1-'P-Parametri'!$B$6*CG234)+CE234/(CC234+CD234+CE234))))*CD234/(CC234+CD234+CE234))</f>
        <v>637.06178312851569</v>
      </c>
      <c r="CJ234" s="18">
        <f>IF(CS233=0,0,(MIN((CC234+CD234+CE234),MAX(0,$B$4-IF($A234&gt;='1-Input'!$C$12,'1-Input'!$B$12,0))/(CC234/(CC234+CD234+CE234)*(1-'P-Parametri'!$B$6*CF234)+CD234/(CC234+CD234+CE234)*(1-'P-Parametri'!$B$6*CG234)+CE234/(CC234+CD234+CE234))))*CE234/(CC234+CD234+CE234))</f>
        <v>210.08555797382763</v>
      </c>
      <c r="CK234" s="18">
        <f t="shared" si="33"/>
        <v>192909.7056903753</v>
      </c>
      <c r="CL234" s="18">
        <f t="shared" si="34"/>
        <v>35952.695076159274</v>
      </c>
      <c r="CM234" s="18">
        <f t="shared" si="35"/>
        <v>89957.271423117199</v>
      </c>
      <c r="CN234" s="18">
        <f t="shared" si="36"/>
        <v>75674.018238588193</v>
      </c>
      <c r="CO234" s="18">
        <f t="shared" si="37"/>
        <v>29665.448565945706</v>
      </c>
      <c r="CP234" s="18">
        <f t="shared" si="38"/>
        <v>23401.614318234344</v>
      </c>
      <c r="CQ234" s="18">
        <f>IF(CS234=0,CQ233,CQ233+BT234+CH234*CF234*'P-Parametri'!$B$6+CI234*CG234*'P-Parametri'!$B$6)</f>
        <v>35066.385384561181</v>
      </c>
      <c r="CR234" s="18">
        <f t="shared" si="2"/>
        <v>312532.42567943822</v>
      </c>
      <c r="CS234" s="10">
        <f>IF(AND(CS233=1,(CJ234+CI234*(1-'P-Parametri'!$B$6*CG234)+CH234*(1-'P-Parametri'!$B$6*CF234))&gt;=MAX(0,$B$4-IF($A234&gt;='1-Input'!$C$12,'1-Input'!$B$12,0))-0.01),1,0)</f>
        <v>1</v>
      </c>
    </row>
    <row r="235" spans="1:97">
      <c r="A235" s="10">
        <f>35</f>
        <v>35</v>
      </c>
      <c r="B235" s="11">
        <f>IF(A235=1,'P-Parametri'!$B$30,IF(A235=2,'P-Parametri'!$C$30,'P-Parametri'!$B$29))</f>
        <v>6.8512000000000003E-2</v>
      </c>
      <c r="C235" s="11">
        <f t="shared" si="3"/>
        <v>0.81398740279439163</v>
      </c>
      <c r="D235" s="11">
        <f t="shared" si="4"/>
        <v>0.15869611579572654</v>
      </c>
      <c r="E235" s="18">
        <f>MAX(0,Y234-('P-Parametri'!$B$31*AF234))</f>
        <v>5563.5016151902091</v>
      </c>
      <c r="F235" s="18">
        <f>MAX(0,AA234-('P-Parametri'!$C$31*AF234))</f>
        <v>0</v>
      </c>
      <c r="G235" s="18">
        <f>MAX(0,AC234-('P-Parametri'!$D$31*AF234))</f>
        <v>0</v>
      </c>
      <c r="H235" s="18">
        <f>E235*C235*'P-Parametri'!$B$6+F235*D235*'P-Parametri'!$B$7</f>
        <v>1177.4412598496813</v>
      </c>
      <c r="I235" s="18">
        <f t="shared" si="5"/>
        <v>4386.0603553405281</v>
      </c>
      <c r="J235" s="18">
        <f>MAX(0,('P-Parametri'!$B$31*AF234)-Y234)+MAX(0,('P-Parametri'!$C$31*AF234)-AA234)+MAX(0,('P-Parametri'!$D$31*AF234)-AC234)</f>
        <v>5563.5016151902091</v>
      </c>
      <c r="K235" s="18">
        <f>Y234-E235+IF(J235&lt;=0,0,I235*MAX(0,('P-Parametri'!$B$31*AF234)-Y234)/J235)</f>
        <v>193533.45656650959</v>
      </c>
      <c r="L235" s="18">
        <f>Z234-E235*(1-C235)+IF(J235&lt;=0,0,I235*MAX(0,('P-Parametri'!$B$31*AF234)-Y234)/J235)</f>
        <v>35999.660902115233</v>
      </c>
      <c r="M235" s="18">
        <f>AA234-F235+IF(J235&lt;=0,0,I235*MAX(0,('P-Parametri'!$C$31*AF234)-AA234)/J235)</f>
        <v>95936.125898207552</v>
      </c>
      <c r="N235" s="18">
        <f>AB234-F235*(1-D235)+IF(J235&lt;=0,0,I235*MAX(0,('P-Parametri'!$C$31*AF234)-AA234)/J235)</f>
        <v>81202.450426920623</v>
      </c>
      <c r="O235" s="18">
        <f>AC234-G235+IF(J235&lt;=0,0,I235*MAX(0,('P-Parametri'!$D$31*AF234)-AC234)/J235)</f>
        <v>31908.737219615821</v>
      </c>
      <c r="P235" s="18">
        <f>AD234-G235+IF(J235&lt;=0,0,I235*MAX(0,('P-Parametri'!$D$31*AF234)-AC234)/J235)</f>
        <v>25702.081020956171</v>
      </c>
      <c r="Q235" s="18">
        <f t="shared" si="6"/>
        <v>206792.82074279428</v>
      </c>
      <c r="R235" s="18">
        <f>M235*(1+'P-Parametri'!$C$29)</f>
        <v>96415.806527698587</v>
      </c>
      <c r="S235" s="18">
        <f>O235*(1+'1-Input'!$B$27)</f>
        <v>31793.865765625203</v>
      </c>
      <c r="T235" s="11">
        <f t="shared" si="7"/>
        <v>0.82591435827991799</v>
      </c>
      <c r="U235" s="11">
        <f t="shared" si="8"/>
        <v>0.15778902493967553</v>
      </c>
      <c r="V235" s="18">
        <f>IF(AG234=0,0,(MIN((Q235+R235+S235),MAX(0,$B$4-IF($A235&gt;='1-Input'!$C$12,'1-Input'!$B$12,0))/(Q235/(Q235+R235+S235)*(1-'P-Parametri'!$B$6*T235)+R235/(Q235+R235+S235)*(1-'P-Parametri'!$B$7*U235)+S235/(Q235+R235+S235))))*Q235/(Q235+R235+S235))</f>
        <v>1359.5431681035841</v>
      </c>
      <c r="W235" s="18">
        <f>IF(AG234=0,0,(MIN((Q235+R235+S235),MAX(0,$B$4-IF($A235&gt;='1-Input'!$C$12,'1-Input'!$B$12,0))/(Q235/(Q235+R235+S235)*(1-'P-Parametri'!$B$6*T235)+R235/(Q235+R235+S235)*(1-'P-Parametri'!$B$7*U235)+S235/(Q235+R235+S235))))*R235/(Q235+R235+S235))</f>
        <v>633.87815201266892</v>
      </c>
      <c r="X235" s="18">
        <f>IF(AG234=0,0,(MIN((Q235+R235+S235),MAX(0,$B$4-IF($A235&gt;='1-Input'!$C$12,'1-Input'!$B$12,0))/(Q235/(Q235+R235+S235)*(1-'P-Parametri'!$B$6*T235)+R235/(Q235+R235+S235)*(1-'P-Parametri'!$B$7*U235)+S235/(Q235+R235+S235))))*S235/(Q235+R235+S235))</f>
        <v>209.02627486773792</v>
      </c>
      <c r="Y235" s="18">
        <f t="shared" si="9"/>
        <v>205433.2775746907</v>
      </c>
      <c r="Z235" s="18">
        <f t="shared" si="10"/>
        <v>35762.983957249766</v>
      </c>
      <c r="AA235" s="18">
        <f t="shared" si="11"/>
        <v>95781.928375685922</v>
      </c>
      <c r="AB235" s="18">
        <f t="shared" si="12"/>
        <v>80668.591290444601</v>
      </c>
      <c r="AC235" s="18">
        <f t="shared" si="13"/>
        <v>31584.839490757466</v>
      </c>
      <c r="AD235" s="18">
        <f t="shared" si="14"/>
        <v>25493.054746088434</v>
      </c>
      <c r="AE235" s="18">
        <f>IF(AG235=0,AE234,AE234+H235+V235*T235*'P-Parametri'!$B$6+W235*U235*'P-Parametri'!$B$7)</f>
        <v>33124.189677625604</v>
      </c>
      <c r="AF235" s="18">
        <f t="shared" si="0"/>
        <v>332800.04544113408</v>
      </c>
      <c r="AG235" s="10">
        <f>IF(AND(AG234=1,(X235+W235*(1-'P-Parametri'!$B$7*U235)+V235*(1-'P-Parametri'!$B$6*T235))&gt;=MAX(0,$B$4-IF($A235&gt;='1-Input'!$C$12,'1-Input'!$B$12,0))-0.01),1,0)</f>
        <v>1</v>
      </c>
      <c r="AI235" s="11">
        <f t="shared" si="15"/>
        <v>0.81407753047264941</v>
      </c>
      <c r="AJ235" s="11">
        <f t="shared" si="16"/>
        <v>0.26510855427690844</v>
      </c>
      <c r="AK235" s="18">
        <f>MAX(0,BE234-('P-Parametri'!$B$31*BL234))</f>
        <v>6985.3826082487649</v>
      </c>
      <c r="AL235" s="18">
        <f>MAX(0,BG234-('P-Parametri'!$C$31*BL234))</f>
        <v>0</v>
      </c>
      <c r="AM235" s="18">
        <f>MAX(0,BI234-('P-Parametri'!$D$31*BL234))</f>
        <v>0</v>
      </c>
      <c r="AN235" s="18">
        <f>AK235*AI235*'P-Parametri'!$B$6+AL235*AJ235*'P-Parametri'!$B$7</f>
        <v>1478.5271860137348</v>
      </c>
      <c r="AO235" s="18">
        <f t="shared" si="17"/>
        <v>5506.8554222350303</v>
      </c>
      <c r="AP235" s="18">
        <f>MAX(0,('P-Parametri'!$B$31*BL234)-BE234)+MAX(0,('P-Parametri'!$C$31*BL234)-BG234)+MAX(0,('P-Parametri'!$D$31*BL234)-BI234)</f>
        <v>6985.3826082487612</v>
      </c>
      <c r="AQ235" s="18">
        <f>BE234-AK235+IF(AP235&lt;=0,0,AO235*MAX(0,('P-Parametri'!$B$31*BL234)-BE234)/AP235)</f>
        <v>196301.19697224334</v>
      </c>
      <c r="AR235" s="18">
        <f>BF234-AK235*(1-AI235)+IF(AP235&lt;=0,0,AO235*MAX(0,('P-Parametri'!$B$31*BL234)-BE234)/AP235)</f>
        <v>36496.803312254364</v>
      </c>
      <c r="AS235" s="18">
        <f>BG234-AL235+IF(AP235&lt;=0,0,AO235*MAX(0,('P-Parametri'!$C$31*BL234)-BG234)/AP235)</f>
        <v>97475.266813504189</v>
      </c>
      <c r="AT235" s="18">
        <f>BH234-AL235*(1-AJ235)+IF(AP235&lt;=0,0,AO235*MAX(0,('P-Parametri'!$C$31*BL234)-BG234)/AP235)</f>
        <v>72300.569888753176</v>
      </c>
      <c r="AU235" s="18">
        <f>BI234-AM235+IF(AP235&lt;=0,0,AO235*MAX(0,('P-Parametri'!$D$31*BL234)-BI234)/AP235)</f>
        <v>31913.670648644311</v>
      </c>
      <c r="AV235" s="18">
        <f>BJ234-AM235+IF(AP235&lt;=0,0,AO235*MAX(0,('P-Parametri'!$D$31*BL234)-BI234)/AP235)</f>
        <v>25662.047277657344</v>
      </c>
      <c r="AW235" s="18">
        <f t="shared" si="18"/>
        <v>209750.18457920567</v>
      </c>
      <c r="AX235" s="18">
        <f>AS235*(1+'P-Parametri'!$C$29)</f>
        <v>97962.643147571696</v>
      </c>
      <c r="AY235" s="18">
        <f>AU235*(1+'1-Input'!$B$27)</f>
        <v>31798.781434309189</v>
      </c>
      <c r="AZ235" s="11">
        <f t="shared" si="19"/>
        <v>0.82599870705490375</v>
      </c>
      <c r="BA235" s="11">
        <f t="shared" si="20"/>
        <v>0.2619577466908582</v>
      </c>
      <c r="BB235" s="18">
        <f>IF(BM234=0,0,MIN(MAX(AW235,0),(MAX(0,$B$4-IF($A235&gt;='1-Input'!$C$12,'1-Input'!$B$12,0))-BD235-BC235*(1-'P-Parametri'!$B$7*BA235))/(1-'P-Parametri'!$B$6*AZ235)))</f>
        <v>0</v>
      </c>
      <c r="BC235" s="18">
        <f>IF(BM234=0,0,MIN(MAX(AX235,0),(MAX(0,$B$4-IF($A235&gt;='1-Input'!$C$12,'1-Input'!$B$12,0))-BD235)/(1-'P-Parametri'!$B$7*BA235)))</f>
        <v>0</v>
      </c>
      <c r="BD235" s="18">
        <f>IF(BM234=0,0,MIN(MAX(AY235,0),MAX(0,$B$4-IF($A235&gt;='1-Input'!$C$12,'1-Input'!$B$12,0))))</f>
        <v>1898</v>
      </c>
      <c r="BE235" s="18">
        <f t="shared" si="21"/>
        <v>209750.18457920567</v>
      </c>
      <c r="BF235" s="18">
        <f t="shared" si="22"/>
        <v>36496.803312254364</v>
      </c>
      <c r="BG235" s="18">
        <f t="shared" si="23"/>
        <v>97962.643147571696</v>
      </c>
      <c r="BH235" s="18">
        <f t="shared" si="24"/>
        <v>72300.569888753176</v>
      </c>
      <c r="BI235" s="18">
        <f t="shared" si="25"/>
        <v>29900.781434309189</v>
      </c>
      <c r="BJ235" s="18">
        <f t="shared" si="26"/>
        <v>23764.047277657344</v>
      </c>
      <c r="BK235" s="18">
        <f>IF(BM235=0,BK234,BK234+AN235+BB235*AZ235*'P-Parametri'!$B$6+BC235*BA235*'P-Parametri'!$B$7)</f>
        <v>31732.554280591889</v>
      </c>
      <c r="BL235" s="18">
        <f t="shared" si="1"/>
        <v>337613.60916108656</v>
      </c>
      <c r="BM235" s="10">
        <f>IF(AND(BM234=1,(BD235+BC235*(1-'P-Parametri'!$B$7*BA235)+BB235*(1-'P-Parametri'!$B$6*AZ235))&gt;=MAX(0,$B$4-IF($A235&gt;='1-Input'!$C$12,'1-Input'!$B$12,0))-0.01),1,0)</f>
        <v>1</v>
      </c>
      <c r="BO235" s="11">
        <f t="shared" si="27"/>
        <v>0.8136294130588525</v>
      </c>
      <c r="BP235" s="11">
        <f t="shared" si="28"/>
        <v>0.15877819500935306</v>
      </c>
      <c r="BQ235" s="18">
        <f>MAX(0,CK234-('P-Parametri'!$B$31*CR234))</f>
        <v>5390.2502827123681</v>
      </c>
      <c r="BR235" s="18">
        <f>MAX(0,CM234-('P-Parametri'!$C$31*CR234))</f>
        <v>0</v>
      </c>
      <c r="BS235" s="18">
        <f>MAX(0,CO234-('P-Parametri'!$D$31*CR234))</f>
        <v>0</v>
      </c>
      <c r="BT235" s="18">
        <f>BQ235*BO235*'P-Parametri'!$B$6+BR235*BP235*'P-Parametri'!$B$6</f>
        <v>1140.2732051785301</v>
      </c>
      <c r="BU235" s="18">
        <f t="shared" si="29"/>
        <v>4249.9770775338384</v>
      </c>
      <c r="BV235" s="18">
        <f>MAX(0,('P-Parametri'!$B$31*CR234)-CK234)+MAX(0,('P-Parametri'!$C$31*CR234)-CM234)+MAX(0,('P-Parametri'!$D$31*CR234)-CO234)</f>
        <v>5390.2502827123826</v>
      </c>
      <c r="BW235" s="18">
        <f>CK234-BQ235+IF(BV235&lt;=0,0,BU235*MAX(0,('P-Parametri'!$B$31*CR234)-CK234)/BV235)</f>
        <v>187519.45540766293</v>
      </c>
      <c r="BX235" s="18">
        <f>CL234-BQ235*(1-BO235)+IF(BV235&lt;=0,0,BU235*MAX(0,('P-Parametri'!$B$31*CR234)-CK234)/BV235)</f>
        <v>34948.110967210487</v>
      </c>
      <c r="BY235" s="18">
        <f>CM234-BR235+IF(BV235&lt;=0,0,BU235*MAX(0,('P-Parametri'!$C$31*CR234)-CM234)/BV235)</f>
        <v>92955.342233147981</v>
      </c>
      <c r="BZ235" s="18">
        <f>CN234-BR235*(1-BP235)+IF(BV235&lt;=0,0,BU235*MAX(0,('P-Parametri'!$C$31*CR234)-CM234)/BV235)</f>
        <v>78672.089048618975</v>
      </c>
      <c r="CA235" s="18">
        <f>CO234-BS235+IF(BV235&lt;=0,0,BU235*MAX(0,('P-Parametri'!$D$31*CR234)-CO234)/BV235)</f>
        <v>30917.354833448757</v>
      </c>
      <c r="CB235" s="18">
        <f>CP234-BS235+IF(BV235&lt;=0,0,BU235*MAX(0,('P-Parametri'!$D$31*CR234)-CO234)/BV235)</f>
        <v>24653.520585737395</v>
      </c>
      <c r="CC235" s="18">
        <f t="shared" si="30"/>
        <v>200366.78833655271</v>
      </c>
      <c r="CD235" s="18">
        <f>BY235*(1+'P-Parametri'!$C$29)</f>
        <v>93420.118944313712</v>
      </c>
      <c r="CE235" s="18">
        <f>CA235*(1+'1-Input'!$B$27)</f>
        <v>30806.052356048342</v>
      </c>
      <c r="CF235" s="11">
        <f t="shared" si="31"/>
        <v>0.82557932251472366</v>
      </c>
      <c r="CG235" s="11">
        <f t="shared" si="32"/>
        <v>0.15786781329711011</v>
      </c>
      <c r="CH235" s="18">
        <f>IF(CS234=0,0,(MIN((CC235+CD235+CE235),MAX(0,$B$4-IF($A235&gt;='1-Input'!$C$12,'1-Input'!$B$12,0))/(CC235/(CC235+CD235+CE235)*(1-'P-Parametri'!$B$6*CF235)+CD235/(CC235+CD235+CE235)*(1-'P-Parametri'!$B$6*CG235)+CE235/(CC235+CD235+CE235))))*CC235/(CC235+CD235+CE235))</f>
        <v>1369.2050058777024</v>
      </c>
      <c r="CI235" s="18">
        <f>IF(CS234=0,0,(MIN((CC235+CD235+CE235),MAX(0,$B$4-IF($A235&gt;='1-Input'!$C$12,'1-Input'!$B$12,0))/(CC235/(CC235+CD235+CE235)*(1-'P-Parametri'!$B$6*CF235)+CD235/(CC235+CD235+CE235)*(1-'P-Parametri'!$B$6*CG235)+CE235/(CC235+CD235+CE235))))*CD235/(CC235+CD235+CE235))</f>
        <v>638.38571037728207</v>
      </c>
      <c r="CJ235" s="18">
        <f>IF(CS234=0,0,(MIN((CC235+CD235+CE235),MAX(0,$B$4-IF($A235&gt;='1-Input'!$C$12,'1-Input'!$B$12,0))/(CC235/(CC235+CD235+CE235)*(1-'P-Parametri'!$B$6*CF235)+CD235/(CC235+CD235+CE235)*(1-'P-Parametri'!$B$6*CG235)+CE235/(CC235+CD235+CE235))))*CE235/(CC235+CD235+CE235))</f>
        <v>210.51293703616827</v>
      </c>
      <c r="CK235" s="18">
        <f t="shared" si="33"/>
        <v>198997.583330675</v>
      </c>
      <c r="CL235" s="18">
        <f t="shared" si="34"/>
        <v>34709.293302469065</v>
      </c>
      <c r="CM235" s="18">
        <f t="shared" si="35"/>
        <v>92781.733233936437</v>
      </c>
      <c r="CN235" s="18">
        <f t="shared" si="36"/>
        <v>78134.483894379082</v>
      </c>
      <c r="CO235" s="18">
        <f t="shared" si="37"/>
        <v>30595.539419012173</v>
      </c>
      <c r="CP235" s="18">
        <f t="shared" si="38"/>
        <v>24443.007648701227</v>
      </c>
      <c r="CQ235" s="18">
        <f>IF(CS235=0,CQ234,CQ234+BT235+CH235*CF235*'P-Parametri'!$B$6+CI235*CG235*'P-Parametri'!$B$6)</f>
        <v>36526.762243030862</v>
      </c>
      <c r="CR235" s="18">
        <f t="shared" si="2"/>
        <v>322374.85598362365</v>
      </c>
      <c r="CS235" s="10">
        <f>IF(AND(CS234=1,(CJ235+CI235*(1-'P-Parametri'!$B$6*CG235)+CH235*(1-'P-Parametri'!$B$6*CF235))&gt;=MAX(0,$B$4-IF($A235&gt;='1-Input'!$C$12,'1-Input'!$B$12,0))-0.01),1,0)</f>
        <v>1</v>
      </c>
    </row>
    <row r="236" spans="1:97">
      <c r="A236" s="10">
        <f>36</f>
        <v>36</v>
      </c>
      <c r="B236" s="11">
        <f>IF(A236=1,'P-Parametri'!$B$30,IF(A236=2,'P-Parametri'!$C$30,'P-Parametri'!$B$29))</f>
        <v>6.8512000000000003E-2</v>
      </c>
      <c r="C236" s="11">
        <f t="shared" si="3"/>
        <v>0.82591435827991799</v>
      </c>
      <c r="D236" s="11">
        <f t="shared" si="4"/>
        <v>0.15778902493967553</v>
      </c>
      <c r="E236" s="18">
        <f>MAX(0,Y235-('P-Parametri'!$B$31*AF235))</f>
        <v>5753.2503100102476</v>
      </c>
      <c r="F236" s="18">
        <f>MAX(0,AA235-('P-Parametri'!$C$31*AF235))</f>
        <v>0</v>
      </c>
      <c r="G236" s="18">
        <f>MAX(0,AC235-('P-Parametri'!$D$31*AF235))</f>
        <v>0</v>
      </c>
      <c r="H236" s="18">
        <f>E236*C236*'P-Parametri'!$B$6+F236*D236*'P-Parametri'!$B$7</f>
        <v>1235.4399298321218</v>
      </c>
      <c r="I236" s="18">
        <f t="shared" si="5"/>
        <v>4517.8103801781253</v>
      </c>
      <c r="J236" s="18">
        <f>MAX(0,('P-Parametri'!$B$31*AF235)-Y235)+MAX(0,('P-Parametri'!$C$31*AF235)-AA235)+MAX(0,('P-Parametri'!$D$31*AF235)-AC235)</f>
        <v>5753.250310010244</v>
      </c>
      <c r="K236" s="18">
        <f>Y235-E236+IF(J236&lt;=0,0,I236*MAX(0,('P-Parametri'!$B$31*AF235)-Y235)/J236)</f>
        <v>199680.02726468045</v>
      </c>
      <c r="L236" s="18">
        <f>Z235-E236*(1-C236)+IF(J236&lt;=0,0,I236*MAX(0,('P-Parametri'!$B$31*AF235)-Y235)/J236)</f>
        <v>34761.425685055372</v>
      </c>
      <c r="M236" s="18">
        <f>AA235-F236+IF(J236&lt;=0,0,I236*MAX(0,('P-Parametri'!$C$31*AF235)-AA235)/J236)</f>
        <v>98968.589603385568</v>
      </c>
      <c r="N236" s="18">
        <f>AB235-F236*(1-D236)+IF(J236&lt;=0,0,I236*MAX(0,('P-Parametri'!$C$31*AF235)-AA235)/J236)</f>
        <v>83855.252518144247</v>
      </c>
      <c r="O236" s="18">
        <f>AC235-G236+IF(J236&lt;=0,0,I236*MAX(0,('P-Parametri'!$D$31*AF235)-AC235)/J236)</f>
        <v>32915.988643235942</v>
      </c>
      <c r="P236" s="18">
        <f>AD235-G236+IF(J236&lt;=0,0,I236*MAX(0,('P-Parametri'!$D$31*AF235)-AC235)/J236)</f>
        <v>26824.20389856691</v>
      </c>
      <c r="Q236" s="18">
        <f t="shared" si="6"/>
        <v>213360.50529263823</v>
      </c>
      <c r="R236" s="18">
        <f>M236*(1+'P-Parametri'!$C$29)</f>
        <v>99463.432551402482</v>
      </c>
      <c r="S236" s="18">
        <f>O236*(1+'1-Input'!$B$27)</f>
        <v>32797.491084120287</v>
      </c>
      <c r="T236" s="11">
        <f t="shared" si="7"/>
        <v>0.83707656842404943</v>
      </c>
      <c r="U236" s="11">
        <f t="shared" si="8"/>
        <v>0.15692380237522932</v>
      </c>
      <c r="V236" s="18">
        <f>IF(AG235=0,0,(MIN((Q236+R236+S236),MAX(0,$B$4-IF($A236&gt;='1-Input'!$C$12,'1-Input'!$B$12,0))/(Q236/(Q236+R236+S236)*(1-'P-Parametri'!$B$6*T236)+R236/(Q236+R236+S236)*(1-'P-Parametri'!$B$7*U236)+S236/(Q236+R236+S236))))*Q236/(Q236+R236+S236))</f>
        <v>1362.419370919117</v>
      </c>
      <c r="W236" s="18">
        <f>IF(AG235=0,0,(MIN((Q236+R236+S236),MAX(0,$B$4-IF($A236&gt;='1-Input'!$C$12,'1-Input'!$B$12,0))/(Q236/(Q236+R236+S236)*(1-'P-Parametri'!$B$6*T236)+R236/(Q236+R236+S236)*(1-'P-Parametri'!$B$7*U236)+S236/(Q236+R236+S236))))*R236/(Q236+R236+S236))</f>
        <v>635.12648238377335</v>
      </c>
      <c r="X236" s="18">
        <f>IF(AG235=0,0,(MIN((Q236+R236+S236),MAX(0,$B$4-IF($A236&gt;='1-Input'!$C$12,'1-Input'!$B$12,0))/(Q236/(Q236+R236+S236)*(1-'P-Parametri'!$B$6*T236)+R236/(Q236+R236+S236)*(1-'P-Parametri'!$B$7*U236)+S236/(Q236+R236+S236))))*S236/(Q236+R236+S236))</f>
        <v>209.42928078120875</v>
      </c>
      <c r="Y236" s="18">
        <f t="shared" si="9"/>
        <v>211998.08592171912</v>
      </c>
      <c r="Z236" s="18">
        <f t="shared" si="10"/>
        <v>34539.455645899681</v>
      </c>
      <c r="AA236" s="18">
        <f t="shared" si="11"/>
        <v>98828.306069018712</v>
      </c>
      <c r="AB236" s="18">
        <f t="shared" si="12"/>
        <v>83319.792498365336</v>
      </c>
      <c r="AC236" s="18">
        <f t="shared" si="13"/>
        <v>32588.061803339078</v>
      </c>
      <c r="AD236" s="18">
        <f t="shared" si="14"/>
        <v>26614.774617785701</v>
      </c>
      <c r="AE236" s="18">
        <f>IF(AG236=0,AE235,AE235+H236+V236*T236*'P-Parametri'!$B$6+W236*U236*'P-Parametri'!$B$7)</f>
        <v>34668.604741541829</v>
      </c>
      <c r="AF236" s="18">
        <f t="shared" si="0"/>
        <v>343414.45379407692</v>
      </c>
      <c r="AG236" s="10">
        <f>IF(AND(AG235=1,(X236+W236*(1-'P-Parametri'!$B$7*U236)+V236*(1-'P-Parametri'!$B$6*T236))&gt;=MAX(0,$B$4-IF($A236&gt;='1-Input'!$C$12,'1-Input'!$B$12,0))-0.01),1,0)</f>
        <v>1</v>
      </c>
      <c r="AI236" s="11">
        <f t="shared" si="15"/>
        <v>0.82599870705490375</v>
      </c>
      <c r="AJ236" s="11">
        <f t="shared" si="16"/>
        <v>0.2619577466908582</v>
      </c>
      <c r="AK236" s="18">
        <f>MAX(0,BE235-('P-Parametri'!$B$31*BL235))</f>
        <v>7182.0190825537429</v>
      </c>
      <c r="AL236" s="18">
        <f>MAX(0,BG235-('P-Parametri'!$C$31*BL235))</f>
        <v>0</v>
      </c>
      <c r="AM236" s="18">
        <f>MAX(0,BI235-('P-Parametri'!$D$31*BL235))</f>
        <v>0</v>
      </c>
      <c r="AN236" s="18">
        <f>AK236*AI236*'P-Parametri'!$B$6+AL236*AJ236*'P-Parametri'!$B$7</f>
        <v>1542.40800382059</v>
      </c>
      <c r="AO236" s="18">
        <f t="shared" si="17"/>
        <v>5639.6110787331527</v>
      </c>
      <c r="AP236" s="18">
        <f>MAX(0,('P-Parametri'!$B$31*BL235)-BE235)+MAX(0,('P-Parametri'!$C$31*BL235)-BG235)+MAX(0,('P-Parametri'!$D$31*BL235)-BI235)</f>
        <v>7182.0190825537356</v>
      </c>
      <c r="AQ236" s="18">
        <f>BE235-AK236+IF(AP236&lt;=0,0,AO236*MAX(0,('P-Parametri'!$B$31*BL235)-BE235)/AP236)</f>
        <v>202568.16549665193</v>
      </c>
      <c r="AR236" s="18">
        <f>BF235-AK236*(1-AI236)+IF(AP236&lt;=0,0,AO236*MAX(0,('P-Parametri'!$B$31*BL235)-BE235)/AP236)</f>
        <v>35247.12270593366</v>
      </c>
      <c r="AS236" s="18">
        <f>BG235-AL236+IF(AP236&lt;=0,0,AO236*MAX(0,('P-Parametri'!$C$31*BL235)-BG235)/AP236)</f>
        <v>100570.77149622214</v>
      </c>
      <c r="AT236" s="18">
        <f>BH235-AL236*(1-AJ236)+IF(AP236&lt;=0,0,AO236*MAX(0,('P-Parametri'!$C$31*BL235)-BG235)/AP236)</f>
        <v>74908.698237403616</v>
      </c>
      <c r="AU236" s="18">
        <f>BI235-AM236+IF(AP236&lt;=0,0,AO236*MAX(0,('P-Parametri'!$D$31*BL235)-BI235)/AP236)</f>
        <v>32932.264164391905</v>
      </c>
      <c r="AV236" s="18">
        <f>BJ235-AM236+IF(AP236&lt;=0,0,AO236*MAX(0,('P-Parametri'!$D$31*BL235)-BI235)/AP236)</f>
        <v>26795.530007740061</v>
      </c>
      <c r="AW236" s="18">
        <f t="shared" si="18"/>
        <v>216446.51565115852</v>
      </c>
      <c r="AX236" s="18">
        <f>AS236*(1+'P-Parametri'!$C$29)</f>
        <v>101073.62535370323</v>
      </c>
      <c r="AY236" s="18">
        <f>AU236*(1+'1-Input'!$B$27)</f>
        <v>32813.708013400093</v>
      </c>
      <c r="AZ236" s="11">
        <f t="shared" si="19"/>
        <v>0.83715550883368994</v>
      </c>
      <c r="BA236" s="11">
        <f t="shared" si="20"/>
        <v>0.25886997745194623</v>
      </c>
      <c r="BB236" s="18">
        <f>IF(BM235=0,0,MIN(MAX(AW236,0),(MAX(0,$B$4-IF($A236&gt;='1-Input'!$C$12,'1-Input'!$B$12,0))-BD236-BC236*(1-'P-Parametri'!$B$7*BA236))/(1-'P-Parametri'!$B$6*AZ236)))</f>
        <v>0</v>
      </c>
      <c r="BC236" s="18">
        <f>IF(BM235=0,0,MIN(MAX(AX236,0),(MAX(0,$B$4-IF($A236&gt;='1-Input'!$C$12,'1-Input'!$B$12,0))-BD236)/(1-'P-Parametri'!$B$7*BA236)))</f>
        <v>0</v>
      </c>
      <c r="BD236" s="18">
        <f>IF(BM235=0,0,MIN(MAX(AY236,0),MAX(0,$B$4-IF($A236&gt;='1-Input'!$C$12,'1-Input'!$B$12,0))))</f>
        <v>1898</v>
      </c>
      <c r="BE236" s="18">
        <f t="shared" si="21"/>
        <v>216446.51565115852</v>
      </c>
      <c r="BF236" s="18">
        <f t="shared" si="22"/>
        <v>35247.12270593366</v>
      </c>
      <c r="BG236" s="18">
        <f t="shared" si="23"/>
        <v>101073.62535370323</v>
      </c>
      <c r="BH236" s="18">
        <f t="shared" si="24"/>
        <v>74908.698237403616</v>
      </c>
      <c r="BI236" s="18">
        <f t="shared" si="25"/>
        <v>30915.708013400093</v>
      </c>
      <c r="BJ236" s="18">
        <f t="shared" si="26"/>
        <v>24897.530007740061</v>
      </c>
      <c r="BK236" s="18">
        <f>IF(BM236=0,BK235,BK235+AN236+BB236*AZ236*'P-Parametri'!$B$6+BC236*BA236*'P-Parametri'!$B$7)</f>
        <v>33274.962284412475</v>
      </c>
      <c r="BL236" s="18">
        <f t="shared" si="1"/>
        <v>348435.84901826183</v>
      </c>
      <c r="BM236" s="10">
        <f>IF(AND(BM235=1,(BD236+BC236*(1-'P-Parametri'!$B$7*BA236)+BB236*(1-'P-Parametri'!$B$6*AZ236))&gt;=MAX(0,$B$4-IF($A236&gt;='1-Input'!$C$12,'1-Input'!$B$12,0))-0.01),1,0)</f>
        <v>1</v>
      </c>
      <c r="BO236" s="11">
        <f t="shared" si="27"/>
        <v>0.82557932251472366</v>
      </c>
      <c r="BP236" s="11">
        <f t="shared" si="28"/>
        <v>0.15786781329711011</v>
      </c>
      <c r="BQ236" s="18">
        <f>MAX(0,CK235-('P-Parametri'!$B$31*CR235))</f>
        <v>5572.6697405008017</v>
      </c>
      <c r="BR236" s="18">
        <f>MAX(0,CM235-('P-Parametri'!$C$31*CR235))</f>
        <v>0</v>
      </c>
      <c r="BS236" s="18">
        <f>MAX(0,CO235-('P-Parametri'!$D$31*CR235))</f>
        <v>0</v>
      </c>
      <c r="BT236" s="18">
        <f>BQ236*BO236*'P-Parametri'!$B$6+BR236*BP236*'P-Parametri'!$B$6</f>
        <v>1196.1770363298476</v>
      </c>
      <c r="BU236" s="18">
        <f t="shared" si="29"/>
        <v>4376.4927041709543</v>
      </c>
      <c r="BV236" s="18">
        <f>MAX(0,('P-Parametri'!$B$31*CR235)-CK235)+MAX(0,('P-Parametri'!$C$31*CR235)-CM235)+MAX(0,('P-Parametri'!$D$31*CR235)-CO235)</f>
        <v>5572.6697405008563</v>
      </c>
      <c r="BW236" s="18">
        <f>CK235-BQ236+IF(BV236&lt;=0,0,BU236*MAX(0,('P-Parametri'!$B$31*CR235)-CK235)/BV236)</f>
        <v>193424.9135901742</v>
      </c>
      <c r="BX236" s="18">
        <f>CL235-BQ236*(1-BO236)+IF(BV236&lt;=0,0,BU236*MAX(0,('P-Parametri'!$B$31*CR235)-CK235)/BV236)</f>
        <v>33737.304470929215</v>
      </c>
      <c r="BY236" s="18">
        <f>CM235-BR236+IF(BV236&lt;=0,0,BU236*MAX(0,('P-Parametri'!$C$31*CR235)-CM235)/BV236)</f>
        <v>95868.72453048914</v>
      </c>
      <c r="BZ236" s="18">
        <f>CN235-BR236*(1-BP236)+IF(BV236&lt;=0,0,BU236*MAX(0,('P-Parametri'!$C$31*CR235)-CM235)/BV236)</f>
        <v>81221.475190931786</v>
      </c>
      <c r="CA236" s="18">
        <f>CO235-BS236+IF(BV236&lt;=0,0,BU236*MAX(0,('P-Parametri'!$D$31*CR235)-CO235)/BV236)</f>
        <v>31885.040826630426</v>
      </c>
      <c r="CB236" s="18">
        <f>CP235-BS236+IF(BV236&lt;=0,0,BU236*MAX(0,('P-Parametri'!$D$31*CR235)-CO235)/BV236)</f>
        <v>25732.509056319479</v>
      </c>
      <c r="CC236" s="18">
        <f t="shared" si="30"/>
        <v>206676.84127006421</v>
      </c>
      <c r="CD236" s="18">
        <f>BY236*(1+'P-Parametri'!$C$29)</f>
        <v>96348.068153141576</v>
      </c>
      <c r="CE236" s="18">
        <f>CA236*(1+'1-Input'!$B$27)</f>
        <v>31770.254679654554</v>
      </c>
      <c r="CF236" s="11">
        <f t="shared" si="31"/>
        <v>0.83676301484187687</v>
      </c>
      <c r="CG236" s="11">
        <f t="shared" si="32"/>
        <v>0.15699944225313006</v>
      </c>
      <c r="CH236" s="18">
        <f>IF(CS235=0,0,(MIN((CC236+CD236+CE236),MAX(0,$B$4-IF($A236&gt;='1-Input'!$C$12,'1-Input'!$B$12,0))/(CC236/(CC236+CD236+CE236)*(1-'P-Parametri'!$B$6*CF236)+CD236/(CC236+CD236+CE236)*(1-'P-Parametri'!$B$6*CG236)+CE236/(CC236+CD236+CE236))))*CC236/(CC236+CD236+CE236))</f>
        <v>1372.0721564756059</v>
      </c>
      <c r="CI236" s="18">
        <f>IF(CS235=0,0,(MIN((CC236+CD236+CE236),MAX(0,$B$4-IF($A236&gt;='1-Input'!$C$12,'1-Input'!$B$12,0))/(CC236/(CC236+CD236+CE236)*(1-'P-Parametri'!$B$6*CF236)+CD236/(CC236+CD236+CE236)*(1-'P-Parametri'!$B$6*CG236)+CE236/(CC236+CD236+CE236))))*CD236/(CC236+CD236+CE236))</f>
        <v>639.62900163738573</v>
      </c>
      <c r="CJ236" s="18">
        <f>IF(CS235=0,0,(MIN((CC236+CD236+CE236),MAX(0,$B$4-IF($A236&gt;='1-Input'!$C$12,'1-Input'!$B$12,0))/(CC236/(CC236+CD236+CE236)*(1-'P-Parametri'!$B$6*CF236)+CD236/(CC236+CD236+CE236)*(1-'P-Parametri'!$B$6*CG236)+CE236/(CC236+CD236+CE236))))*CE236/(CC236+CD236+CE236))</f>
        <v>210.91420587917952</v>
      </c>
      <c r="CK236" s="18">
        <f t="shared" si="33"/>
        <v>205304.76911358861</v>
      </c>
      <c r="CL236" s="18">
        <f t="shared" si="34"/>
        <v>33513.331548686736</v>
      </c>
      <c r="CM236" s="18">
        <f t="shared" si="35"/>
        <v>95708.439151504193</v>
      </c>
      <c r="CN236" s="18">
        <f t="shared" si="36"/>
        <v>80682.267585800393</v>
      </c>
      <c r="CO236" s="18">
        <f t="shared" si="37"/>
        <v>31559.340473775374</v>
      </c>
      <c r="CP236" s="18">
        <f t="shared" si="38"/>
        <v>25521.594850440299</v>
      </c>
      <c r="CQ236" s="18">
        <f>IF(CS236=0,CQ235,CQ235+BT236+CH236*CF236*'P-Parametri'!$B$6+CI236*CG236*'P-Parametri'!$B$6)</f>
        <v>38047.55464335288</v>
      </c>
      <c r="CR236" s="18">
        <f t="shared" si="2"/>
        <v>332572.54873886821</v>
      </c>
      <c r="CS236" s="10">
        <f>IF(AND(CS235=1,(CJ236+CI236*(1-'P-Parametri'!$B$6*CG236)+CH236*(1-'P-Parametri'!$B$6*CF236))&gt;=MAX(0,$B$4-IF($A236&gt;='1-Input'!$C$12,'1-Input'!$B$12,0))-0.01),1,0)</f>
        <v>1</v>
      </c>
    </row>
    <row r="237" spans="1:97">
      <c r="A237" s="10">
        <f>37</f>
        <v>37</v>
      </c>
      <c r="B237" s="11">
        <f>IF(A237=1,'P-Parametri'!$B$30,IF(A237=2,'P-Parametri'!$C$30,'P-Parametri'!$B$29))</f>
        <v>6.8512000000000003E-2</v>
      </c>
      <c r="C237" s="11">
        <f t="shared" si="3"/>
        <v>0.83707656842404954</v>
      </c>
      <c r="D237" s="11">
        <f t="shared" si="4"/>
        <v>0.1569238023752294</v>
      </c>
      <c r="E237" s="18">
        <f>MAX(0,Y236-('P-Parametri'!$B$31*AF236))</f>
        <v>5949.4136452729581</v>
      </c>
      <c r="F237" s="18">
        <f>MAX(0,AA236-('P-Parametri'!$C$31*AF236))</f>
        <v>0</v>
      </c>
      <c r="G237" s="18">
        <f>MAX(0,AC236-('P-Parametri'!$D$31*AF236))</f>
        <v>0</v>
      </c>
      <c r="H237" s="18">
        <f>E237*C237*'P-Parametri'!$B$6+F237*D237*'P-Parametri'!$B$7</f>
        <v>1294.8298371632791</v>
      </c>
      <c r="I237" s="18">
        <f t="shared" si="5"/>
        <v>4654.583808109679</v>
      </c>
      <c r="J237" s="18">
        <f>MAX(0,('P-Parametri'!$B$31*AF236)-Y236)+MAX(0,('P-Parametri'!$C$31*AF236)-AA236)+MAX(0,('P-Parametri'!$D$31*AF236)-AC236)</f>
        <v>5949.4136452729799</v>
      </c>
      <c r="K237" s="18">
        <f>Y236-E237+IF(J237&lt;=0,0,I237*MAX(0,('P-Parametri'!$B$31*AF236)-Y236)/J237)</f>
        <v>206048.67227644616</v>
      </c>
      <c r="L237" s="18">
        <f>Z236-E237*(1-C237)+IF(J237&lt;=0,0,I237*MAX(0,('P-Parametri'!$B$31*AF236)-Y236)/J237)</f>
        <v>33570.156758947029</v>
      </c>
      <c r="M237" s="18">
        <f>AA236-F237+IF(J237&lt;=0,0,I237*MAX(0,('P-Parametri'!$C$31*AF236)-AA236)/J237)</f>
        <v>102111.1125408763</v>
      </c>
      <c r="N237" s="18">
        <f>AB236-F237*(1-D237)+IF(J237&lt;=0,0,I237*MAX(0,('P-Parametri'!$C$31*AF236)-AA236)/J237)</f>
        <v>86602.598970222927</v>
      </c>
      <c r="O237" s="18">
        <f>AC236-G237+IF(J237&lt;=0,0,I237*MAX(0,('P-Parametri'!$D$31*AF236)-AC236)/J237)</f>
        <v>33959.839139591168</v>
      </c>
      <c r="P237" s="18">
        <f>AD236-G237+IF(J237&lt;=0,0,I237*MAX(0,('P-Parametri'!$D$31*AF236)-AC236)/J237)</f>
        <v>27986.55195403779</v>
      </c>
      <c r="Q237" s="18">
        <f t="shared" si="6"/>
        <v>220165.47891145002</v>
      </c>
      <c r="R237" s="18">
        <f>M237*(1+'P-Parametri'!$C$29)</f>
        <v>102621.66810358067</v>
      </c>
      <c r="S237" s="18">
        <f>O237*(1+'1-Input'!$B$27)</f>
        <v>33837.583718688635</v>
      </c>
      <c r="T237" s="11">
        <f t="shared" si="7"/>
        <v>0.84752306798992372</v>
      </c>
      <c r="U237" s="11">
        <f t="shared" si="8"/>
        <v>0.15609831168588073</v>
      </c>
      <c r="V237" s="18">
        <f>IF(AG236=0,0,(MIN((Q237+R237+S237),MAX(0,$B$4-IF($A237&gt;='1-Input'!$C$12,'1-Input'!$B$12,0))/(Q237/(Q237+R237+S237)*(1-'P-Parametri'!$B$6*T237)+R237/(Q237+R237+S237)*(1-'P-Parametri'!$B$7*U237)+S237/(Q237+R237+S237))))*Q237/(Q237+R237+S237))</f>
        <v>1365.1217056671262</v>
      </c>
      <c r="W237" s="18">
        <f>IF(AG236=0,0,(MIN((Q237+R237+S237),MAX(0,$B$4-IF($A237&gt;='1-Input'!$C$12,'1-Input'!$B$12,0))/(Q237/(Q237+R237+S237)*(1-'P-Parametri'!$B$6*T237)+R237/(Q237+R237+S237)*(1-'P-Parametri'!$B$7*U237)+S237/(Q237+R237+S237))))*R237/(Q237+R237+S237))</f>
        <v>636.29896608954766</v>
      </c>
      <c r="X237" s="18">
        <f>IF(AG236=0,0,(MIN((Q237+R237+S237),MAX(0,$B$4-IF($A237&gt;='1-Input'!$C$12,'1-Input'!$B$12,0))/(Q237/(Q237+R237+S237)*(1-'P-Parametri'!$B$6*T237)+R237/(Q237+R237+S237)*(1-'P-Parametri'!$B$7*U237)+S237/(Q237+R237+S237))))*S237/(Q237+R237+S237))</f>
        <v>209.80773293840892</v>
      </c>
      <c r="Y237" s="18">
        <f t="shared" si="9"/>
        <v>218800.3572057829</v>
      </c>
      <c r="Z237" s="18">
        <f t="shared" si="10"/>
        <v>33362.007189446544</v>
      </c>
      <c r="AA237" s="18">
        <f t="shared" si="11"/>
        <v>101985.36913749111</v>
      </c>
      <c r="AB237" s="18">
        <f t="shared" si="12"/>
        <v>86065.625198467431</v>
      </c>
      <c r="AC237" s="18">
        <f t="shared" si="13"/>
        <v>33627.775985750224</v>
      </c>
      <c r="AD237" s="18">
        <f t="shared" si="14"/>
        <v>27776.74422109938</v>
      </c>
      <c r="AE237" s="18">
        <f>IF(AG237=0,AE236,AE236+H237+V237*T237*'P-Parametri'!$B$6+W237*U237*'P-Parametri'!$B$7)</f>
        <v>36276.662983400187</v>
      </c>
      <c r="AF237" s="18">
        <f t="shared" si="0"/>
        <v>354413.50232902425</v>
      </c>
      <c r="AG237" s="10">
        <f>IF(AND(AG236=1,(X237+W237*(1-'P-Parametri'!$B$7*U237)+V237*(1-'P-Parametri'!$B$6*T237))&gt;=MAX(0,$B$4-IF($A237&gt;='1-Input'!$C$12,'1-Input'!$B$12,0))-0.01),1,0)</f>
        <v>1</v>
      </c>
      <c r="AI237" s="11">
        <f t="shared" si="15"/>
        <v>0.83715550883368994</v>
      </c>
      <c r="AJ237" s="11">
        <f t="shared" si="16"/>
        <v>0.25886997745194623</v>
      </c>
      <c r="AK237" s="18">
        <f>MAX(0,BE236-('P-Parametri'!$B$31*BL236))</f>
        <v>7385.0062402014446</v>
      </c>
      <c r="AL237" s="18">
        <f>MAX(0,BG236-('P-Parametri'!$C$31*BL236))</f>
        <v>0</v>
      </c>
      <c r="AM237" s="18">
        <f>MAX(0,BI236-('P-Parametri'!$D$31*BL236))</f>
        <v>0</v>
      </c>
      <c r="AN237" s="18">
        <f>AK237*AI237*'P-Parametri'!$B$6+AL237*AJ237*'P-Parametri'!$B$7</f>
        <v>1607.4236507565122</v>
      </c>
      <c r="AO237" s="18">
        <f t="shared" si="17"/>
        <v>5777.5825894449326</v>
      </c>
      <c r="AP237" s="18">
        <f>MAX(0,('P-Parametri'!$B$31*BL236)-BE236)+MAX(0,('P-Parametri'!$C$31*BL236)-BG236)+MAX(0,('P-Parametri'!$D$31*BL236)-BI236)</f>
        <v>7385.0062402014009</v>
      </c>
      <c r="AQ237" s="18">
        <f>BE236-AK237+IF(AP237&lt;=0,0,AO237*MAX(0,('P-Parametri'!$B$31*BL236)-BE236)/AP237)</f>
        <v>209061.50941095708</v>
      </c>
      <c r="AR237" s="18">
        <f>BF236-AK237*(1-AI237)+IF(AP237&lt;=0,0,AO237*MAX(0,('P-Parametri'!$B$31*BL236)-BE236)/AP237)</f>
        <v>34044.515122488032</v>
      </c>
      <c r="AS237" s="18">
        <f>BG236-AL237+IF(AP237&lt;=0,0,AO237*MAX(0,('P-Parametri'!$C$31*BL236)-BG236)/AP237)</f>
        <v>103778.27443626533</v>
      </c>
      <c r="AT237" s="18">
        <f>BH236-AL237*(1-AJ237)+IF(AP237&lt;=0,0,AO237*MAX(0,('P-Parametri'!$C$31*BL236)-BG236)/AP237)</f>
        <v>77613.347319965716</v>
      </c>
      <c r="AU237" s="18">
        <f>BI236-AM237+IF(AP237&lt;=0,0,AO237*MAX(0,('P-Parametri'!$D$31*BL236)-BI236)/AP237)</f>
        <v>33988.64152028293</v>
      </c>
      <c r="AV237" s="18">
        <f>BJ236-AM237+IF(AP237&lt;=0,0,AO237*MAX(0,('P-Parametri'!$D$31*BL236)-BI236)/AP237)</f>
        <v>27970.463514622897</v>
      </c>
      <c r="AW237" s="18">
        <f t="shared" si="18"/>
        <v>223384.73154372055</v>
      </c>
      <c r="AX237" s="18">
        <f>AS237*(1+'P-Parametri'!$C$29)</f>
        <v>104297.16580844665</v>
      </c>
      <c r="AY237" s="18">
        <f>AU237*(1+'1-Input'!$B$27)</f>
        <v>33866.282410809908</v>
      </c>
      <c r="AZ237" s="11">
        <f t="shared" si="19"/>
        <v>0.84759694681359687</v>
      </c>
      <c r="BA237" s="11">
        <f t="shared" si="20"/>
        <v>0.25584413806113132</v>
      </c>
      <c r="BB237" s="18">
        <f>IF(BM236=0,0,MIN(MAX(AW237,0),(MAX(0,$B$4-IF($A237&gt;='1-Input'!$C$12,'1-Input'!$B$12,0))-BD237-BC237*(1-'P-Parametri'!$B$7*BA237))/(1-'P-Parametri'!$B$6*AZ237)))</f>
        <v>0</v>
      </c>
      <c r="BC237" s="18">
        <f>IF(BM236=0,0,MIN(MAX(AX237,0),(MAX(0,$B$4-IF($A237&gt;='1-Input'!$C$12,'1-Input'!$B$12,0))-BD237)/(1-'P-Parametri'!$B$7*BA237)))</f>
        <v>0</v>
      </c>
      <c r="BD237" s="18">
        <f>IF(BM236=0,0,MIN(MAX(AY237,0),MAX(0,$B$4-IF($A237&gt;='1-Input'!$C$12,'1-Input'!$B$12,0))))</f>
        <v>1898</v>
      </c>
      <c r="BE237" s="18">
        <f t="shared" si="21"/>
        <v>223384.73154372055</v>
      </c>
      <c r="BF237" s="18">
        <f t="shared" si="22"/>
        <v>34044.515122488032</v>
      </c>
      <c r="BG237" s="18">
        <f t="shared" si="23"/>
        <v>104297.16580844665</v>
      </c>
      <c r="BH237" s="18">
        <f t="shared" si="24"/>
        <v>77613.347319965716</v>
      </c>
      <c r="BI237" s="18">
        <f t="shared" si="25"/>
        <v>31968.282410809908</v>
      </c>
      <c r="BJ237" s="18">
        <f t="shared" si="26"/>
        <v>26072.463514622897</v>
      </c>
      <c r="BK237" s="18">
        <f>IF(BM237=0,BK236,BK236+AN237+BB237*AZ237*'P-Parametri'!$B$6+BC237*BA237*'P-Parametri'!$B$7)</f>
        <v>34882.38593516899</v>
      </c>
      <c r="BL237" s="18">
        <f t="shared" si="1"/>
        <v>359650.17976297706</v>
      </c>
      <c r="BM237" s="10">
        <f>IF(AND(BM236=1,(BD237+BC237*(1-'P-Parametri'!$B$7*BA237)+BB237*(1-'P-Parametri'!$B$6*AZ237))&gt;=MAX(0,$B$4-IF($A237&gt;='1-Input'!$C$12,'1-Input'!$B$12,0))-0.01),1,0)</f>
        <v>1</v>
      </c>
      <c r="BO237" s="11">
        <f t="shared" si="27"/>
        <v>0.8367630148418771</v>
      </c>
      <c r="BP237" s="11">
        <f t="shared" si="28"/>
        <v>0.15699944225313012</v>
      </c>
      <c r="BQ237" s="18">
        <f>MAX(0,CK236-('P-Parametri'!$B$31*CR236))</f>
        <v>5761.2398702676874</v>
      </c>
      <c r="BR237" s="18">
        <f>MAX(0,CM236-('P-Parametri'!$C$31*CR236))</f>
        <v>0</v>
      </c>
      <c r="BS237" s="18">
        <f>MAX(0,CO236-('P-Parametri'!$D$31*CR236))</f>
        <v>0</v>
      </c>
      <c r="BT237" s="18">
        <f>BQ237*BO237*'P-Parametri'!$B$6+BR237*BP237*'P-Parametri'!$B$6</f>
        <v>1253.406035198828</v>
      </c>
      <c r="BU237" s="18">
        <f t="shared" si="29"/>
        <v>4507.8338350688591</v>
      </c>
      <c r="BV237" s="18">
        <f>MAX(0,('P-Parametri'!$B$31*CR236)-CK236)+MAX(0,('P-Parametri'!$C$31*CR236)-CM236)+MAX(0,('P-Parametri'!$D$31*CR236)-CO236)</f>
        <v>5761.2398702677165</v>
      </c>
      <c r="BW237" s="18">
        <f>CK236-BQ237+IF(BV237&lt;=0,0,BU237*MAX(0,('P-Parametri'!$B$31*CR236)-CK236)/BV237)</f>
        <v>199543.52924332093</v>
      </c>
      <c r="BX237" s="18">
        <f>CL236-BQ237*(1-BO237)+IF(BV237&lt;=0,0,BU237*MAX(0,('P-Parametri'!$B$31*CR236)-CK236)/BV237)</f>
        <v>32572.884121491465</v>
      </c>
      <c r="BY237" s="18">
        <f>CM236-BR237+IF(BV237&lt;=0,0,BU237*MAX(0,('P-Parametri'!$C$31*CR236)-CM236)/BV237)</f>
        <v>98887.754099280588</v>
      </c>
      <c r="BZ237" s="18">
        <f>CN236-BR237*(1-BP237)+IF(BV237&lt;=0,0,BU237*MAX(0,('P-Parametri'!$C$31*CR236)-CM236)/BV237)</f>
        <v>83861.582533576788</v>
      </c>
      <c r="CA237" s="18">
        <f>CO236-BS237+IF(BV237&lt;=0,0,BU237*MAX(0,('P-Parametri'!$D$31*CR236)-CO236)/BV237)</f>
        <v>32887.859361067836</v>
      </c>
      <c r="CB237" s="18">
        <f>CP236-BS237+IF(BV237&lt;=0,0,BU237*MAX(0,('P-Parametri'!$D$31*CR236)-CO236)/BV237)</f>
        <v>26850.113737732758</v>
      </c>
      <c r="CC237" s="18">
        <f t="shared" si="30"/>
        <v>213214.65551883931</v>
      </c>
      <c r="CD237" s="18">
        <f>BY237*(1+'P-Parametri'!$C$29)</f>
        <v>99382.192869776976</v>
      </c>
      <c r="CE237" s="18">
        <f>CA237*(1+'1-Input'!$B$27)</f>
        <v>32769.463067367993</v>
      </c>
      <c r="CF237" s="11">
        <f t="shared" si="31"/>
        <v>0.84722961917309025</v>
      </c>
      <c r="CG237" s="11">
        <f t="shared" si="32"/>
        <v>0.15617093855573544</v>
      </c>
      <c r="CH237" s="18">
        <f>IF(CS236=0,0,(MIN((CC237+CD237+CE237),MAX(0,$B$4-IF($A237&gt;='1-Input'!$C$12,'1-Input'!$B$12,0))/(CC237/(CC237+CD237+CE237)*(1-'P-Parametri'!$B$6*CF237)+CD237/(CC237+CD237+CE237)*(1-'P-Parametri'!$B$6*CG237)+CE237/(CC237+CD237+CE237))))*CC237/(CC237+CD237+CE237))</f>
        <v>1374.7648809440057</v>
      </c>
      <c r="CI237" s="18">
        <f>IF(CS236=0,0,(MIN((CC237+CD237+CE237),MAX(0,$B$4-IF($A237&gt;='1-Input'!$C$12,'1-Input'!$B$12,0))/(CC237/(CC237+CD237+CE237)*(1-'P-Parametri'!$B$6*CF237)+CD237/(CC237+CD237+CE237)*(1-'P-Parametri'!$B$6*CG237)+CE237/(CC237+CD237+CE237))))*CD237/(CC237+CD237+CE237))</f>
        <v>640.79623521236317</v>
      </c>
      <c r="CJ237" s="18">
        <f>IF(CS236=0,0,(MIN((CC237+CD237+CE237),MAX(0,$B$4-IF($A237&gt;='1-Input'!$C$12,'1-Input'!$B$12,0))/(CC237/(CC237+CD237+CE237)*(1-'P-Parametri'!$B$6*CF237)+CD237/(CC237+CD237+CE237)*(1-'P-Parametri'!$B$6*CG237)+CE237/(CC237+CD237+CE237))))*CE237/(CC237+CD237+CE237))</f>
        <v>211.29085560644575</v>
      </c>
      <c r="CK237" s="18">
        <f t="shared" si="33"/>
        <v>211839.8906378953</v>
      </c>
      <c r="CL237" s="18">
        <f t="shared" si="34"/>
        <v>32362.860767082188</v>
      </c>
      <c r="CM237" s="18">
        <f t="shared" si="35"/>
        <v>98741.396634564619</v>
      </c>
      <c r="CN237" s="18">
        <f t="shared" si="36"/>
        <v>83320.860047840528</v>
      </c>
      <c r="CO237" s="18">
        <f t="shared" si="37"/>
        <v>32558.172211761546</v>
      </c>
      <c r="CP237" s="18">
        <f t="shared" si="38"/>
        <v>26638.822882126311</v>
      </c>
      <c r="CQ237" s="18">
        <f>IF(CS237=0,CQ236,CQ236+BT237+CH237*CF237*'P-Parametri'!$B$6+CI237*CG237*'P-Parametri'!$B$6)</f>
        <v>39629.812650314525</v>
      </c>
      <c r="CR237" s="18">
        <f t="shared" si="2"/>
        <v>343139.45948422147</v>
      </c>
      <c r="CS237" s="10">
        <f>IF(AND(CS236=1,(CJ237+CI237*(1-'P-Parametri'!$B$6*CG237)+CH237*(1-'P-Parametri'!$B$6*CF237))&gt;=MAX(0,$B$4-IF($A237&gt;='1-Input'!$C$12,'1-Input'!$B$12,0))-0.01),1,0)</f>
        <v>1</v>
      </c>
    </row>
    <row r="238" spans="1:97">
      <c r="A238" s="10">
        <f>38</f>
        <v>38</v>
      </c>
      <c r="B238" s="11">
        <f>IF(A238=1,'P-Parametri'!$B$30,IF(A238=2,'P-Parametri'!$C$30,'P-Parametri'!$B$29))</f>
        <v>6.8512000000000003E-2</v>
      </c>
      <c r="C238" s="11">
        <f t="shared" si="3"/>
        <v>0.84752306798992383</v>
      </c>
      <c r="D238" s="11">
        <f t="shared" si="4"/>
        <v>0.15609831168588068</v>
      </c>
      <c r="E238" s="18">
        <f>MAX(0,Y237-('P-Parametri'!$B$31*AF237))</f>
        <v>6152.2558083683543</v>
      </c>
      <c r="F238" s="18">
        <f>MAX(0,AA237-('P-Parametri'!$C$31*AF237))</f>
        <v>0</v>
      </c>
      <c r="G238" s="18">
        <f>MAX(0,AC237-('P-Parametri'!$D$31*AF237))</f>
        <v>0</v>
      </c>
      <c r="H238" s="18">
        <f>E238*C238*'P-Parametri'!$B$6+F238*D238*'P-Parametri'!$B$7</f>
        <v>1355.686466619466</v>
      </c>
      <c r="I238" s="18">
        <f t="shared" si="5"/>
        <v>4796.5693417488883</v>
      </c>
      <c r="J238" s="18">
        <f>MAX(0,('P-Parametri'!$B$31*AF237)-Y237)+MAX(0,('P-Parametri'!$C$31*AF237)-AA237)+MAX(0,('P-Parametri'!$D$31*AF237)-AC237)</f>
        <v>6152.2558083683616</v>
      </c>
      <c r="K238" s="18">
        <f>Y237-E238+IF(J238&lt;=0,0,I238*MAX(0,('P-Parametri'!$B$31*AF237)-Y237)/J238)</f>
        <v>212648.10139741455</v>
      </c>
      <c r="L238" s="18">
        <f>Z237-E238*(1-C238)+IF(J238&lt;=0,0,I238*MAX(0,('P-Parametri'!$B$31*AF237)-Y237)/J238)</f>
        <v>32423.930098845365</v>
      </c>
      <c r="M238" s="18">
        <f>AA237-F238+IF(J238&lt;=0,0,I238*MAX(0,('P-Parametri'!$C$31*AF237)-AA237)/J238)</f>
        <v>105367.99619468102</v>
      </c>
      <c r="N238" s="18">
        <f>AB237-F238*(1-D238)+IF(J238&lt;=0,0,I238*MAX(0,('P-Parametri'!$C$31*AF237)-AA237)/J238)</f>
        <v>89448.252255657339</v>
      </c>
      <c r="O238" s="18">
        <f>AC237-G238+IF(J238&lt;=0,0,I238*MAX(0,('P-Parametri'!$D$31*AF237)-AC237)/J238)</f>
        <v>35041.718270309197</v>
      </c>
      <c r="P238" s="18">
        <f>AD237-G238+IF(J238&lt;=0,0,I238*MAX(0,('P-Parametri'!$D$31*AF237)-AC237)/J238)</f>
        <v>29190.686505658352</v>
      </c>
      <c r="Q238" s="18">
        <f t="shared" si="6"/>
        <v>227217.04812035419</v>
      </c>
      <c r="R238" s="18">
        <f>M238*(1+'P-Parametri'!$C$29)</f>
        <v>105894.83617565442</v>
      </c>
      <c r="S238" s="18">
        <f>O238*(1+'1-Input'!$B$27)</f>
        <v>34915.568084536084</v>
      </c>
      <c r="T238" s="11">
        <f t="shared" si="7"/>
        <v>0.85729974767707229</v>
      </c>
      <c r="U238" s="11">
        <f t="shared" si="8"/>
        <v>0.1553105374535553</v>
      </c>
      <c r="V238" s="18">
        <f>IF(AG237=0,0,(MIN((Q238+R238+S238),MAX(0,$B$4-IF($A238&gt;='1-Input'!$C$12,'1-Input'!$B$12,0))/(Q238/(Q238+R238+S238)*(1-'P-Parametri'!$B$6*T238)+R238/(Q238+R238+S238)*(1-'P-Parametri'!$B$7*U238)+S238/(Q238+R238+S238))))*Q238/(Q238+R238+S238))</f>
        <v>1367.6599847345528</v>
      </c>
      <c r="W238" s="18">
        <f>IF(AG237=0,0,(MIN((Q238+R238+S238),MAX(0,$B$4-IF($A238&gt;='1-Input'!$C$12,'1-Input'!$B$12,0))/(Q238/(Q238+R238+S238)*(1-'P-Parametri'!$B$6*T238)+R238/(Q238+R238+S238)*(1-'P-Parametri'!$B$7*U238)+S238/(Q238+R238+S238))))*R238/(Q238+R238+S238))</f>
        <v>637.39992762668828</v>
      </c>
      <c r="X238" s="18">
        <f>IF(AG237=0,0,(MIN((Q238+R238+S238),MAX(0,$B$4-IF($A238&gt;='1-Input'!$C$12,'1-Input'!$B$12,0))/(Q238/(Q238+R238+S238)*(1-'P-Parametri'!$B$6*T238)+R238/(Q238+R238+S238)*(1-'P-Parametri'!$B$7*U238)+S238/(Q238+R238+S238))))*S238/(Q238+R238+S238))</f>
        <v>210.16303885877815</v>
      </c>
      <c r="Y238" s="18">
        <f t="shared" si="9"/>
        <v>225849.38813561964</v>
      </c>
      <c r="Z238" s="18">
        <f t="shared" si="10"/>
        <v>32228.764673931772</v>
      </c>
      <c r="AA238" s="18">
        <f t="shared" si="11"/>
        <v>105257.43624802773</v>
      </c>
      <c r="AB238" s="18">
        <f t="shared" si="12"/>
        <v>88909.847253363201</v>
      </c>
      <c r="AC238" s="18">
        <f t="shared" si="13"/>
        <v>34705.405045677304</v>
      </c>
      <c r="AD238" s="18">
        <f t="shared" si="14"/>
        <v>28980.523466799576</v>
      </c>
      <c r="AE238" s="18">
        <f>IF(AG238=0,AE237,AE237+H238+V238*T238*'P-Parametri'!$B$6+W238*U238*'P-Parametri'!$B$7)</f>
        <v>37949.572401239675</v>
      </c>
      <c r="AF238" s="18">
        <f t="shared" si="0"/>
        <v>365812.22942932468</v>
      </c>
      <c r="AG238" s="10">
        <f>IF(AND(AG237=1,(X238+W238*(1-'P-Parametri'!$B$7*U238)+V238*(1-'P-Parametri'!$B$6*T238))&gt;=MAX(0,$B$4-IF($A238&gt;='1-Input'!$C$12,'1-Input'!$B$12,0))-0.01),1,0)</f>
        <v>1</v>
      </c>
      <c r="AI238" s="11">
        <f t="shared" si="15"/>
        <v>0.84759694681359687</v>
      </c>
      <c r="AJ238" s="11">
        <f t="shared" si="16"/>
        <v>0.25584413806113132</v>
      </c>
      <c r="AK238" s="18">
        <f>MAX(0,BE237-('P-Parametri'!$B$31*BL237))</f>
        <v>7594.6236859343189</v>
      </c>
      <c r="AL238" s="18">
        <f>MAX(0,BG237-('P-Parametri'!$C$31*BL237))</f>
        <v>0</v>
      </c>
      <c r="AM238" s="18">
        <f>MAX(0,BI237-('P-Parametri'!$D$31*BL237))</f>
        <v>0</v>
      </c>
      <c r="AN238" s="18">
        <f>AK238*AI238*'P-Parametri'!$B$6+AL238*AJ238*'P-Parametri'!$B$7</f>
        <v>1673.666760583</v>
      </c>
      <c r="AO238" s="18">
        <f t="shared" si="17"/>
        <v>5920.9569253513191</v>
      </c>
      <c r="AP238" s="18">
        <f>MAX(0,('P-Parametri'!$B$31*BL237)-BE237)+MAX(0,('P-Parametri'!$C$31*BL237)-BG237)+MAX(0,('P-Parametri'!$D$31*BL237)-BI237)</f>
        <v>7594.623685934268</v>
      </c>
      <c r="AQ238" s="18">
        <f>BE237-AK238+IF(AP238&lt;=0,0,AO238*MAX(0,('P-Parametri'!$B$31*BL237)-BE237)/AP238)</f>
        <v>215790.10785778624</v>
      </c>
      <c r="AR238" s="18">
        <f>BF237-AK238*(1-AI238)+IF(AP238&lt;=0,0,AO238*MAX(0,('P-Parametri'!$B$31*BL237)-BE237)/AP238)</f>
        <v>32887.071284949867</v>
      </c>
      <c r="AS238" s="18">
        <f>BG237-AL238+IF(AP238&lt;=0,0,AO238*MAX(0,('P-Parametri'!$C$31*BL237)-BG237)/AP238)</f>
        <v>107102.16859256763</v>
      </c>
      <c r="AT238" s="18">
        <f>BH237-AL238*(1-AJ238)+IF(AP238&lt;=0,0,AO238*MAX(0,('P-Parametri'!$C$31*BL237)-BG237)/AP238)</f>
        <v>80418.350104086698</v>
      </c>
      <c r="AU238" s="18">
        <f>BI237-AM238+IF(AP238&lt;=0,0,AO238*MAX(0,('P-Parametri'!$D$31*BL237)-BI237)/AP238)</f>
        <v>35084.236552040245</v>
      </c>
      <c r="AV238" s="18">
        <f>BJ237-AM238+IF(AP238&lt;=0,0,AO238*MAX(0,('P-Parametri'!$D$31*BL237)-BI237)/AP238)</f>
        <v>29188.417655853234</v>
      </c>
      <c r="AW238" s="18">
        <f t="shared" si="18"/>
        <v>230574.31972733888</v>
      </c>
      <c r="AX238" s="18">
        <f>AS238*(1+'P-Parametri'!$C$29)</f>
        <v>107637.67943553046</v>
      </c>
      <c r="AY238" s="18">
        <f>AU238*(1+'1-Input'!$B$27)</f>
        <v>34957.933300452896</v>
      </c>
      <c r="AZ238" s="11">
        <f t="shared" si="19"/>
        <v>0.85736888945898304</v>
      </c>
      <c r="BA238" s="11">
        <f t="shared" si="20"/>
        <v>0.2528791913220943</v>
      </c>
      <c r="BB238" s="18">
        <f>IF(BM237=0,0,MIN(MAX(AW238,0),(MAX(0,$B$4-IF($A238&gt;='1-Input'!$C$12,'1-Input'!$B$12,0))-BD238-BC238*(1-'P-Parametri'!$B$7*BA238))/(1-'P-Parametri'!$B$6*AZ238)))</f>
        <v>0</v>
      </c>
      <c r="BC238" s="18">
        <f>IF(BM237=0,0,MIN(MAX(AX238,0),(MAX(0,$B$4-IF($A238&gt;='1-Input'!$C$12,'1-Input'!$B$12,0))-BD238)/(1-'P-Parametri'!$B$7*BA238)))</f>
        <v>0</v>
      </c>
      <c r="BD238" s="18">
        <f>IF(BM237=0,0,MIN(MAX(AY238,0),MAX(0,$B$4-IF($A238&gt;='1-Input'!$C$12,'1-Input'!$B$12,0))))</f>
        <v>1898</v>
      </c>
      <c r="BE238" s="18">
        <f t="shared" si="21"/>
        <v>230574.31972733888</v>
      </c>
      <c r="BF238" s="18">
        <f t="shared" si="22"/>
        <v>32887.071284949867</v>
      </c>
      <c r="BG238" s="18">
        <f t="shared" si="23"/>
        <v>107637.67943553046</v>
      </c>
      <c r="BH238" s="18">
        <f t="shared" si="24"/>
        <v>80418.350104086698</v>
      </c>
      <c r="BI238" s="18">
        <f t="shared" si="25"/>
        <v>33059.933300452896</v>
      </c>
      <c r="BJ238" s="18">
        <f t="shared" si="26"/>
        <v>27290.417655853234</v>
      </c>
      <c r="BK238" s="18">
        <f>IF(BM238=0,BK237,BK237+AN238+BB238*AZ238*'P-Parametri'!$B$6+BC238*BA238*'P-Parametri'!$B$7)</f>
        <v>36556.052695751991</v>
      </c>
      <c r="BL238" s="18">
        <f t="shared" si="1"/>
        <v>371271.93246332224</v>
      </c>
      <c r="BM238" s="10">
        <f>IF(AND(BM237=1,(BD238+BC238*(1-'P-Parametri'!$B$7*BA238)+BB238*(1-'P-Parametri'!$B$6*AZ238))&gt;=MAX(0,$B$4-IF($A238&gt;='1-Input'!$C$12,'1-Input'!$B$12,0))-0.01),1,0)</f>
        <v>1</v>
      </c>
      <c r="BO238" s="11">
        <f t="shared" si="27"/>
        <v>0.84722961917309014</v>
      </c>
      <c r="BP238" s="11">
        <f t="shared" si="28"/>
        <v>0.15617093855573541</v>
      </c>
      <c r="BQ238" s="18">
        <f>MAX(0,CK237-('P-Parametri'!$B$31*CR237))</f>
        <v>5956.2149473624304</v>
      </c>
      <c r="BR238" s="18">
        <f>MAX(0,CM237-('P-Parametri'!$C$31*CR237))</f>
        <v>0</v>
      </c>
      <c r="BS238" s="18">
        <f>MAX(0,CO237-('P-Parametri'!$D$31*CR237))</f>
        <v>0</v>
      </c>
      <c r="BT238" s="18">
        <f>BQ238*BO238*'P-Parametri'!$B$6+BR238*BP238*'P-Parametri'!$B$6</f>
        <v>1312.0332476074043</v>
      </c>
      <c r="BU238" s="18">
        <f t="shared" si="29"/>
        <v>4644.1816997550259</v>
      </c>
      <c r="BV238" s="18">
        <f>MAX(0,('P-Parametri'!$B$31*CR237)-CK237)+MAX(0,('P-Parametri'!$C$31*CR237)-CM237)+MAX(0,('P-Parametri'!$D$31*CR237)-CO237)</f>
        <v>5956.2149473624195</v>
      </c>
      <c r="BW238" s="18">
        <f>CK237-BQ238+IF(BV238&lt;=0,0,BU238*MAX(0,('P-Parametri'!$B$31*CR237)-CK237)/BV238)</f>
        <v>205883.67569053287</v>
      </c>
      <c r="BX238" s="18">
        <f>CL237-BQ238*(1-BO238)+IF(BV238&lt;=0,0,BU238*MAX(0,('P-Parametri'!$B$31*CR237)-CK237)/BV238)</f>
        <v>31452.927541286695</v>
      </c>
      <c r="BY238" s="18">
        <f>CM237-BR238+IF(BV238&lt;=0,0,BU238*MAX(0,('P-Parametri'!$C$31*CR237)-CM237)/BV238)</f>
        <v>102016.56591136796</v>
      </c>
      <c r="BZ238" s="18">
        <f>CN237-BR238*(1-BP238)+IF(BV238&lt;=0,0,BU238*MAX(0,('P-Parametri'!$C$31*CR237)-CM237)/BV238)</f>
        <v>86596.029324643867</v>
      </c>
      <c r="CA238" s="18">
        <f>CO237-BS238+IF(BV238&lt;=0,0,BU238*MAX(0,('P-Parametri'!$D$31*CR237)-CO237)/BV238)</f>
        <v>33927.18463471323</v>
      </c>
      <c r="CB238" s="18">
        <f>CP237-BS238+IF(BV238&lt;=0,0,BU238*MAX(0,('P-Parametri'!$D$31*CR237)-CO237)/BV238)</f>
        <v>28007.835305077999</v>
      </c>
      <c r="CC238" s="18">
        <f t="shared" si="30"/>
        <v>219989.17807944264</v>
      </c>
      <c r="CD238" s="18">
        <f>BY238*(1+'P-Parametri'!$C$29)</f>
        <v>102526.64874092479</v>
      </c>
      <c r="CE238" s="18">
        <f>CA238*(1+'1-Input'!$B$27)</f>
        <v>33805.046770028261</v>
      </c>
      <c r="CF238" s="11">
        <f t="shared" si="31"/>
        <v>0.85702511452664099</v>
      </c>
      <c r="CG238" s="11">
        <f t="shared" si="32"/>
        <v>0.15538028026777803</v>
      </c>
      <c r="CH238" s="18">
        <f>IF(CS237=0,0,(MIN((CC238+CD238+CE238),MAX(0,$B$4-IF($A238&gt;='1-Input'!$C$12,'1-Input'!$B$12,0))/(CC238/(CC238+CD238+CE238)*(1-'P-Parametri'!$B$6*CF238)+CD238/(CC238+CD238+CE238)*(1-'P-Parametri'!$B$6*CG238)+CE238/(CC238+CD238+CE238))))*CC238/(CC238+CD238+CE238))</f>
        <v>1377.2930663416016</v>
      </c>
      <c r="CI238" s="18">
        <f>IF(CS237=0,0,(MIN((CC238+CD238+CE238),MAX(0,$B$4-IF($A238&gt;='1-Input'!$C$12,'1-Input'!$B$12,0))/(CC238/(CC238+CD238+CE238)*(1-'P-Parametri'!$B$6*CF238)+CD238/(CC238+CD238+CE238)*(1-'P-Parametri'!$B$6*CG238)+CE238/(CC238+CD238+CE238))))*CD238/(CC238+CD238+CE238))</f>
        <v>641.89176785379425</v>
      </c>
      <c r="CJ238" s="18">
        <f>IF(CS237=0,0,(MIN((CC238+CD238+CE238),MAX(0,$B$4-IF($A238&gt;='1-Input'!$C$12,'1-Input'!$B$12,0))/(CC238/(CC238+CD238+CE238)*(1-'P-Parametri'!$B$6*CF238)+CD238/(CC238+CD238+CE238)*(1-'P-Parametri'!$B$6*CG238)+CE238/(CC238+CD238+CE238))))*CE238/(CC238+CD238+CE238))</f>
        <v>211.64430418890831</v>
      </c>
      <c r="CK238" s="18">
        <f t="shared" si="33"/>
        <v>218611.88501310104</v>
      </c>
      <c r="CL238" s="18">
        <f t="shared" si="34"/>
        <v>31256.009222863253</v>
      </c>
      <c r="CM238" s="18">
        <f t="shared" si="35"/>
        <v>101884.75697307099</v>
      </c>
      <c r="CN238" s="18">
        <f t="shared" si="36"/>
        <v>86053.874879580777</v>
      </c>
      <c r="CO238" s="18">
        <f t="shared" si="37"/>
        <v>33593.402465839354</v>
      </c>
      <c r="CP238" s="18">
        <f t="shared" si="38"/>
        <v>27796.191000889092</v>
      </c>
      <c r="CQ238" s="18">
        <f>IF(CS238=0,CQ237,CQ237+BT238+CH238*CF238*'P-Parametri'!$B$6+CI238*CG238*'P-Parametri'!$B$6)</f>
        <v>41274.675036306231</v>
      </c>
      <c r="CR238" s="18">
        <f t="shared" si="2"/>
        <v>354090.04445201141</v>
      </c>
      <c r="CS238" s="10">
        <f>IF(AND(CS237=1,(CJ238+CI238*(1-'P-Parametri'!$B$6*CG238)+CH238*(1-'P-Parametri'!$B$6*CF238))&gt;=MAX(0,$B$4-IF($A238&gt;='1-Input'!$C$12,'1-Input'!$B$12,0))-0.01),1,0)</f>
        <v>1</v>
      </c>
    </row>
    <row r="239" spans="1:97">
      <c r="A239" s="10">
        <f>39</f>
        <v>39</v>
      </c>
      <c r="B239" s="11">
        <f>IF(A239=1,'P-Parametri'!$B$30,IF(A239=2,'P-Parametri'!$C$30,'P-Parametri'!$B$29))</f>
        <v>6.8512000000000003E-2</v>
      </c>
      <c r="C239" s="11">
        <f t="shared" si="3"/>
        <v>0.85729974767707229</v>
      </c>
      <c r="D239" s="11">
        <f t="shared" si="4"/>
        <v>0.15531053745355541</v>
      </c>
      <c r="E239" s="18">
        <f>MAX(0,Y238-('P-Parametri'!$B$31*AF238))</f>
        <v>6362.0504780248448</v>
      </c>
      <c r="F239" s="18">
        <f>MAX(0,AA238-('P-Parametri'!$C$31*AF238))</f>
        <v>0</v>
      </c>
      <c r="G239" s="18">
        <f>MAX(0,AC238-('P-Parametri'!$D$31*AF238))</f>
        <v>0</v>
      </c>
      <c r="H239" s="18">
        <f>E239*C239*'P-Parametri'!$B$6+F239*D239*'P-Parametri'!$B$7</f>
        <v>1418.0879100750692</v>
      </c>
      <c r="I239" s="18">
        <f t="shared" si="5"/>
        <v>4943.9625679497758</v>
      </c>
      <c r="J239" s="18">
        <f>MAX(0,('P-Parametri'!$B$31*AF238)-Y238)+MAX(0,('P-Parametri'!$C$31*AF238)-AA238)+MAX(0,('P-Parametri'!$D$31*AF238)-AC238)</f>
        <v>6362.0504780248302</v>
      </c>
      <c r="K239" s="18">
        <f>Y238-E239+IF(J239&lt;=0,0,I239*MAX(0,('P-Parametri'!$B$31*AF238)-Y238)/J239)</f>
        <v>219487.33765759479</v>
      </c>
      <c r="L239" s="18">
        <f>Z238-E239*(1-C239)+IF(J239&lt;=0,0,I239*MAX(0,('P-Parametri'!$B$31*AF238)-Y238)/J239)</f>
        <v>31320.898465426424</v>
      </c>
      <c r="M239" s="18">
        <f>AA238-F239+IF(J239&lt;=0,0,I239*MAX(0,('P-Parametri'!$C$31*AF238)-AA238)/J239)</f>
        <v>108743.69685332364</v>
      </c>
      <c r="N239" s="18">
        <f>AB238-F239*(1-D239)+IF(J239&lt;=0,0,I239*MAX(0,('P-Parametri'!$C$31*AF238)-AA238)/J239)</f>
        <v>92396.107858659103</v>
      </c>
      <c r="O239" s="18">
        <f>AC238-G239+IF(J239&lt;=0,0,I239*MAX(0,('P-Parametri'!$D$31*AF238)-AC238)/J239)</f>
        <v>36163.107008331179</v>
      </c>
      <c r="P239" s="18">
        <f>AD238-G239+IF(J239&lt;=0,0,I239*MAX(0,('P-Parametri'!$D$31*AF238)-AC238)/J239)</f>
        <v>30438.22542945345</v>
      </c>
      <c r="Q239" s="18">
        <f t="shared" si="6"/>
        <v>234524.85413519191</v>
      </c>
      <c r="R239" s="18">
        <f>M239*(1+'P-Parametri'!$C$29)</f>
        <v>109287.41533759024</v>
      </c>
      <c r="S239" s="18">
        <f>O239*(1+'1-Input'!$B$27)</f>
        <v>36032.919823101183</v>
      </c>
      <c r="T239" s="11">
        <f t="shared" si="7"/>
        <v>0.86644955571586668</v>
      </c>
      <c r="U239" s="11">
        <f t="shared" si="8"/>
        <v>0.15455857773517351</v>
      </c>
      <c r="V239" s="18">
        <f>IF(AG238=0,0,(MIN((Q239+R239+S239),MAX(0,$B$4-IF($A239&gt;='1-Input'!$C$12,'1-Input'!$B$12,0))/(Q239/(Q239+R239+S239)*(1-'P-Parametri'!$B$6*T239)+R239/(Q239+R239+S239)*(1-'P-Parametri'!$B$7*U239)+S239/(Q239+R239+S239))))*Q239/(Q239+R239+S239))</f>
        <v>1370.0435493875755</v>
      </c>
      <c r="W239" s="18">
        <f>IF(AG238=0,0,(MIN((Q239+R239+S239),MAX(0,$B$4-IF($A239&gt;='1-Input'!$C$12,'1-Input'!$B$12,0))/(Q239/(Q239+R239+S239)*(1-'P-Parametri'!$B$6*T239)+R239/(Q239+R239+S239)*(1-'P-Parametri'!$B$7*U239)+S239/(Q239+R239+S239))))*R239/(Q239+R239+S239))</f>
        <v>638.43347846704239</v>
      </c>
      <c r="X239" s="18">
        <f>IF(AG238=0,0,(MIN((Q239+R239+S239),MAX(0,$B$4-IF($A239&gt;='1-Input'!$C$12,'1-Input'!$B$12,0))/(Q239/(Q239+R239+S239)*(1-'P-Parametri'!$B$6*T239)+R239/(Q239+R239+S239)*(1-'P-Parametri'!$B$7*U239)+S239/(Q239+R239+S239))))*S239/(Q239+R239+S239))</f>
        <v>210.49653586302648</v>
      </c>
      <c r="Y239" s="18">
        <f t="shared" si="9"/>
        <v>233154.81058580434</v>
      </c>
      <c r="Z239" s="18">
        <f t="shared" si="10"/>
        <v>31137.928540717101</v>
      </c>
      <c r="AA239" s="18">
        <f t="shared" si="11"/>
        <v>108648.9818591232</v>
      </c>
      <c r="AB239" s="18">
        <f t="shared" si="12"/>
        <v>91856.349750602443</v>
      </c>
      <c r="AC239" s="18">
        <f t="shared" si="13"/>
        <v>35822.423287238154</v>
      </c>
      <c r="AD239" s="18">
        <f t="shared" si="14"/>
        <v>30227.728893590425</v>
      </c>
      <c r="AE239" s="18">
        <f>IF(AG239=0,AE238,AE238+H239+V239*T239*'P-Parametri'!$B$6+W239*U239*'P-Parametri'!$B$7)</f>
        <v>39688.633875032385</v>
      </c>
      <c r="AF239" s="18">
        <f t="shared" si="0"/>
        <v>377626.21573216573</v>
      </c>
      <c r="AG239" s="10">
        <f>IF(AND(AG238=1,(X239+W239*(1-'P-Parametri'!$B$7*U239)+V239*(1-'P-Parametri'!$B$6*T239))&gt;=MAX(0,$B$4-IF($A239&gt;='1-Input'!$C$12,'1-Input'!$B$12,0))-0.01),1,0)</f>
        <v>1</v>
      </c>
      <c r="AI239" s="11">
        <f t="shared" si="15"/>
        <v>0.85736888945898304</v>
      </c>
      <c r="AJ239" s="11">
        <f t="shared" si="16"/>
        <v>0.2528791913220943</v>
      </c>
      <c r="AK239" s="18">
        <f>MAX(0,BE238-('P-Parametri'!$B$31*BL238))</f>
        <v>7811.1602493455284</v>
      </c>
      <c r="AL239" s="18">
        <f>MAX(0,BG238-('P-Parametri'!$C$31*BL238))</f>
        <v>0</v>
      </c>
      <c r="AM239" s="18">
        <f>MAX(0,BI238-('P-Parametri'!$D$31*BL238))</f>
        <v>0</v>
      </c>
      <c r="AN239" s="18">
        <f>AK239*AI239*'P-Parametri'!$B$6+AL239*AJ239*'P-Parametri'!$B$7</f>
        <v>1741.2319049755577</v>
      </c>
      <c r="AO239" s="18">
        <f t="shared" si="17"/>
        <v>6069.9283443699705</v>
      </c>
      <c r="AP239" s="18">
        <f>MAX(0,('P-Parametri'!$B$31*BL238)-BE238)+MAX(0,('P-Parametri'!$C$31*BL238)-BG238)+MAX(0,('P-Parametri'!$D$31*BL238)-BI238)</f>
        <v>7811.160249345543</v>
      </c>
      <c r="AQ239" s="18">
        <f>BE238-AK239+IF(AP239&lt;=0,0,AO239*MAX(0,('P-Parametri'!$B$31*BL238)-BE238)/AP239)</f>
        <v>222763.15947799335</v>
      </c>
      <c r="AR239" s="18">
        <f>BF238-AK239*(1-AI239)+IF(AP239&lt;=0,0,AO239*MAX(0,('P-Parametri'!$B$31*BL238)-BE238)/AP239)</f>
        <v>31772.956823971868</v>
      </c>
      <c r="AS239" s="18">
        <f>BG238-AL239+IF(AP239&lt;=0,0,AO239*MAX(0,('P-Parametri'!$C$31*BL238)-BG238)/AP239)</f>
        <v>110547.00479118539</v>
      </c>
      <c r="AT239" s="18">
        <f>BH238-AL239*(1-AJ239)+IF(AP239&lt;=0,0,AO239*MAX(0,('P-Parametri'!$C$31*BL238)-BG238)/AP239)</f>
        <v>83327.675459741629</v>
      </c>
      <c r="AU239" s="18">
        <f>BI238-AM239+IF(AP239&lt;=0,0,AO239*MAX(0,('P-Parametri'!$D$31*BL238)-BI238)/AP239)</f>
        <v>36220.536289167932</v>
      </c>
      <c r="AV239" s="18">
        <f>BJ238-AM239+IF(AP239&lt;=0,0,AO239*MAX(0,('P-Parametri'!$D$31*BL238)-BI238)/AP239)</f>
        <v>30451.020644568271</v>
      </c>
      <c r="AW239" s="18">
        <f t="shared" si="18"/>
        <v>238025.10906014961</v>
      </c>
      <c r="AX239" s="18">
        <f>AS239*(1+'P-Parametri'!$C$29)</f>
        <v>111099.73981514131</v>
      </c>
      <c r="AY239" s="18">
        <f>AU239*(1+'1-Input'!$B$27)</f>
        <v>36090.142358526929</v>
      </c>
      <c r="AZ239" s="11">
        <f t="shared" si="19"/>
        <v>0.86651426419074651</v>
      </c>
      <c r="BA239" s="11">
        <f t="shared" si="20"/>
        <v>0.24997416197022221</v>
      </c>
      <c r="BB239" s="18">
        <f>IF(BM238=0,0,MIN(MAX(AW239,0),(MAX(0,$B$4-IF($A239&gt;='1-Input'!$C$12,'1-Input'!$B$12,0))-BD239-BC239*(1-'P-Parametri'!$B$7*BA239))/(1-'P-Parametri'!$B$6*AZ239)))</f>
        <v>0</v>
      </c>
      <c r="BC239" s="18">
        <f>IF(BM238=0,0,MIN(MAX(AX239,0),(MAX(0,$B$4-IF($A239&gt;='1-Input'!$C$12,'1-Input'!$B$12,0))-BD239)/(1-'P-Parametri'!$B$7*BA239)))</f>
        <v>0</v>
      </c>
      <c r="BD239" s="18">
        <f>IF(BM238=0,0,MIN(MAX(AY239,0),MAX(0,$B$4-IF($A239&gt;='1-Input'!$C$12,'1-Input'!$B$12,0))))</f>
        <v>1898</v>
      </c>
      <c r="BE239" s="18">
        <f t="shared" si="21"/>
        <v>238025.10906014961</v>
      </c>
      <c r="BF239" s="18">
        <f t="shared" si="22"/>
        <v>31772.956823971868</v>
      </c>
      <c r="BG239" s="18">
        <f t="shared" si="23"/>
        <v>111099.73981514131</v>
      </c>
      <c r="BH239" s="18">
        <f t="shared" si="24"/>
        <v>83327.675459741629</v>
      </c>
      <c r="BI239" s="18">
        <f t="shared" si="25"/>
        <v>34192.142358526929</v>
      </c>
      <c r="BJ239" s="18">
        <f t="shared" si="26"/>
        <v>28553.020644568271</v>
      </c>
      <c r="BK239" s="18">
        <f>IF(BM239=0,BK238,BK238+AN239+BB239*AZ239*'P-Parametri'!$B$6+BC239*BA239*'P-Parametri'!$B$7)</f>
        <v>38297.284600727551</v>
      </c>
      <c r="BL239" s="18">
        <f t="shared" si="1"/>
        <v>383316.99123381788</v>
      </c>
      <c r="BM239" s="10">
        <f>IF(AND(BM238=1,(BD239+BC239*(1-'P-Parametri'!$B$7*BA239)+BB239*(1-'P-Parametri'!$B$6*AZ239))&gt;=MAX(0,$B$4-IF($A239&gt;='1-Input'!$C$12,'1-Input'!$B$12,0))-0.01),1,0)</f>
        <v>1</v>
      </c>
      <c r="BO239" s="11">
        <f t="shared" si="27"/>
        <v>0.85702511452664099</v>
      </c>
      <c r="BP239" s="11">
        <f t="shared" si="28"/>
        <v>0.15538028026777798</v>
      </c>
      <c r="BQ239" s="18">
        <f>MAX(0,CK238-('P-Parametri'!$B$31*CR238))</f>
        <v>6157.8583418941998</v>
      </c>
      <c r="BR239" s="18">
        <f>MAX(0,CM238-('P-Parametri'!$C$31*CR238))</f>
        <v>0</v>
      </c>
      <c r="BS239" s="18">
        <f>MAX(0,CO238-('P-Parametri'!$D$31*CR238))</f>
        <v>0</v>
      </c>
      <c r="BT239" s="18">
        <f>BQ239*BO239*'P-Parametri'!$B$6+BR239*BP239*'P-Parametri'!$B$6</f>
        <v>1372.1342051821841</v>
      </c>
      <c r="BU239" s="18">
        <f t="shared" si="29"/>
        <v>4785.7241367120159</v>
      </c>
      <c r="BV239" s="18">
        <f>MAX(0,('P-Parametri'!$B$31*CR238)-CK238)+MAX(0,('P-Parametri'!$C$31*CR238)-CM238)+MAX(0,('P-Parametri'!$D$31*CR238)-CO238)</f>
        <v>6157.8583418942144</v>
      </c>
      <c r="BW239" s="18">
        <f>CK238-BQ239+IF(BV239&lt;=0,0,BU239*MAX(0,('P-Parametri'!$B$31*CR238)-CK238)/BV239)</f>
        <v>212454.02667120684</v>
      </c>
      <c r="BX239" s="18">
        <f>CL238-BQ239*(1-BO239)+IF(BV239&lt;=0,0,BU239*MAX(0,('P-Parametri'!$B$31*CR238)-CK238)/BV239)</f>
        <v>30375.59013166976</v>
      </c>
      <c r="BY239" s="18">
        <f>CM238-BR239+IF(BV239&lt;=0,0,BU239*MAX(0,('P-Parametri'!$C$31*CR238)-CM238)/BV239)</f>
        <v>105259.44341893854</v>
      </c>
      <c r="BZ239" s="18">
        <f>CN238-BR239*(1-BP239)+IF(BV239&lt;=0,0,BU239*MAX(0,('P-Parametri'!$C$31*CR238)-CM238)/BV239)</f>
        <v>89428.561325448318</v>
      </c>
      <c r="CA239" s="18">
        <f>CO238-BS239+IF(BV239&lt;=0,0,BU239*MAX(0,('P-Parametri'!$D$31*CR238)-CO238)/BV239)</f>
        <v>35004.440156683835</v>
      </c>
      <c r="CB239" s="18">
        <f>CP238-BS239+IF(BV239&lt;=0,0,BU239*MAX(0,('P-Parametri'!$D$31*CR238)-CO238)/BV239)</f>
        <v>29207.22869173357</v>
      </c>
      <c r="CC239" s="18">
        <f t="shared" si="30"/>
        <v>227009.67694650454</v>
      </c>
      <c r="CD239" s="18">
        <f>BY239*(1+'P-Parametri'!$C$29)</f>
        <v>105785.74063603322</v>
      </c>
      <c r="CE239" s="18">
        <f>CA239*(1+'1-Input'!$B$27)</f>
        <v>34878.424172119769</v>
      </c>
      <c r="CF239" s="11">
        <f t="shared" si="31"/>
        <v>0.86619253178873135</v>
      </c>
      <c r="CG239" s="11">
        <f t="shared" si="32"/>
        <v>0.1546255592884061</v>
      </c>
      <c r="CH239" s="18">
        <f>IF(CS238=0,0,(MIN((CC239+CD239+CE239),MAX(0,$B$4-IF($A239&gt;='1-Input'!$C$12,'1-Input'!$B$12,0))/(CC239/(CC239+CD239+CE239)*(1-'P-Parametri'!$B$6*CF239)+CD239/(CC239+CD239+CE239)*(1-'P-Parametri'!$B$6*CG239)+CE239/(CC239+CD239+CE239))))*CC239/(CC239+CD239+CE239))</f>
        <v>1379.6661229936362</v>
      </c>
      <c r="CI239" s="18">
        <f>IF(CS238=0,0,(MIN((CC239+CD239+CE239),MAX(0,$B$4-IF($A239&gt;='1-Input'!$C$12,'1-Input'!$B$12,0))/(CC239/(CC239+CD239+CE239)*(1-'P-Parametri'!$B$6*CF239)+CD239/(CC239+CD239+CE239)*(1-'P-Parametri'!$B$6*CG239)+CE239/(CC239+CD239+CE239))))*CD239/(CC239+CD239+CE239))</f>
        <v>642.91974075501457</v>
      </c>
      <c r="CJ239" s="18">
        <f>IF(CS238=0,0,(MIN((CC239+CD239+CE239),MAX(0,$B$4-IF($A239&gt;='1-Input'!$C$12,'1-Input'!$B$12,0))/(CC239/(CC239+CD239+CE239)*(1-'P-Parametri'!$B$6*CF239)+CD239/(CC239+CD239+CE239)*(1-'P-Parametri'!$B$6*CG239)+CE239/(CC239+CD239+CE239))))*CE239/(CC239+CD239+CE239))</f>
        <v>211.97589856495748</v>
      </c>
      <c r="CK239" s="18">
        <f t="shared" si="33"/>
        <v>225630.01082351091</v>
      </c>
      <c r="CL239" s="18">
        <f t="shared" si="34"/>
        <v>30190.980500775124</v>
      </c>
      <c r="CM239" s="18">
        <f t="shared" si="35"/>
        <v>105142.82089527822</v>
      </c>
      <c r="CN239" s="18">
        <f t="shared" si="36"/>
        <v>88885.0534091851</v>
      </c>
      <c r="CO239" s="18">
        <f t="shared" si="37"/>
        <v>34666.448273554808</v>
      </c>
      <c r="CP239" s="18">
        <f t="shared" si="38"/>
        <v>28995.252793168613</v>
      </c>
      <c r="CQ239" s="18">
        <f>IF(CS239=0,CQ238,CQ238+BT239+CH239*CF239*'P-Parametri'!$B$6+CI239*CG239*'P-Parametri'!$B$6)</f>
        <v>42983.371003802029</v>
      </c>
      <c r="CR239" s="18">
        <f t="shared" si="2"/>
        <v>365439.27999234392</v>
      </c>
      <c r="CS239" s="10">
        <f>IF(AND(CS238=1,(CJ239+CI239*(1-'P-Parametri'!$B$6*CG239)+CH239*(1-'P-Parametri'!$B$6*CF239))&gt;=MAX(0,$B$4-IF($A239&gt;='1-Input'!$C$12,'1-Input'!$B$12,0))-0.01),1,0)</f>
        <v>1</v>
      </c>
    </row>
    <row r="240" spans="1:97">
      <c r="A240" s="10">
        <f>40</f>
        <v>40</v>
      </c>
      <c r="B240" s="11">
        <f>IF(A240=1,'P-Parametri'!$B$30,IF(A240=2,'P-Parametri'!$C$30,'P-Parametri'!$B$29))</f>
        <v>6.8512000000000003E-2</v>
      </c>
      <c r="C240" s="11">
        <f t="shared" si="3"/>
        <v>0.86644955571586668</v>
      </c>
      <c r="D240" s="11">
        <f t="shared" si="4"/>
        <v>0.15455857773517359</v>
      </c>
      <c r="E240" s="18">
        <f>MAX(0,Y239-('P-Parametri'!$B$31*AF239))</f>
        <v>6579.0811465049046</v>
      </c>
      <c r="F240" s="18">
        <f>MAX(0,AA239-('P-Parametri'!$C$31*AF239))</f>
        <v>0</v>
      </c>
      <c r="G240" s="18">
        <f>MAX(0,AC239-('P-Parametri'!$D$31*AF239))</f>
        <v>0</v>
      </c>
      <c r="H240" s="18">
        <f>E240*C240*'P-Parametri'!$B$6+F240*D240*'P-Parametri'!$B$7</f>
        <v>1482.1149034660305</v>
      </c>
      <c r="I240" s="18">
        <f t="shared" si="5"/>
        <v>5096.9662430388744</v>
      </c>
      <c r="J240" s="18">
        <f>MAX(0,('P-Parametri'!$B$31*AF239)-Y239)+MAX(0,('P-Parametri'!$C$31*AF239)-AA239)+MAX(0,('P-Parametri'!$D$31*AF239)-AC239)</f>
        <v>6579.0811465049337</v>
      </c>
      <c r="K240" s="18">
        <f>Y239-E240+IF(J240&lt;=0,0,I240*MAX(0,('P-Parametri'!$B$31*AF239)-Y239)/J240)</f>
        <v>226575.72943929944</v>
      </c>
      <c r="L240" s="18">
        <f>Z239-E240*(1-C240)+IF(J240&lt;=0,0,I240*MAX(0,('P-Parametri'!$B$31*AF239)-Y239)/J240)</f>
        <v>30259.289330620006</v>
      </c>
      <c r="M240" s="18">
        <f>AA239-F240+IF(J240&lt;=0,0,I240*MAX(0,('P-Parametri'!$C$31*AF239)-AA239)/J240)</f>
        <v>112242.83164133421</v>
      </c>
      <c r="N240" s="18">
        <f>AB239-F240*(1-D240)+IF(J240&lt;=0,0,I240*MAX(0,('P-Parametri'!$C$31*AF239)-AA239)/J240)</f>
        <v>95450.199532813451</v>
      </c>
      <c r="O240" s="18">
        <f>AC239-G240+IF(J240&lt;=0,0,I240*MAX(0,('P-Parametri'!$D$31*AF239)-AC239)/J240)</f>
        <v>37325.539748066025</v>
      </c>
      <c r="P240" s="18">
        <f>AD239-G240+IF(J240&lt;=0,0,I240*MAX(0,('P-Parametri'!$D$31*AF239)-AC239)/J240)</f>
        <v>31730.845354418299</v>
      </c>
      <c r="Q240" s="18">
        <f t="shared" si="6"/>
        <v>242098.88581464469</v>
      </c>
      <c r="R240" s="18">
        <f>M240*(1+'P-Parametri'!$C$29)</f>
        <v>112804.04579954087</v>
      </c>
      <c r="S240" s="18">
        <f>O240*(1+'1-Input'!$B$27)</f>
        <v>37191.167804972989</v>
      </c>
      <c r="T240" s="11">
        <f t="shared" si="7"/>
        <v>0.87501268653591802</v>
      </c>
      <c r="U240" s="11">
        <f t="shared" si="8"/>
        <v>0.15384063704209844</v>
      </c>
      <c r="V240" s="18">
        <f>IF(AG239=0,0,(MIN((Q240+R240+S240),MAX(0,$B$4-IF($A240&gt;='1-Input'!$C$12,'1-Input'!$B$12,0))/(Q240/(Q240+R240+S240)*(1-'P-Parametri'!$B$6*T240)+R240/(Q240+R240+S240)*(1-'P-Parametri'!$B$7*U240)+S240/(Q240+R240+S240))))*Q240/(Q240+R240+S240))</f>
        <v>1372.2812821545006</v>
      </c>
      <c r="W240" s="18">
        <f>IF(AG239=0,0,(MIN((Q240+R240+S240),MAX(0,$B$4-IF($A240&gt;='1-Input'!$C$12,'1-Input'!$B$12,0))/(Q240/(Q240+R240+S240)*(1-'P-Parametri'!$B$6*T240)+R240/(Q240+R240+S240)*(1-'P-Parametri'!$B$7*U240)+S240/(Q240+R240+S240))))*R240/(Q240+R240+S240))</f>
        <v>639.40352340376216</v>
      </c>
      <c r="X240" s="18">
        <f>IF(AG239=0,0,(MIN((Q240+R240+S240),MAX(0,$B$4-IF($A240&gt;='1-Input'!$C$12,'1-Input'!$B$12,0))/(Q240/(Q240+R240+S240)*(1-'P-Parametri'!$B$6*T240)+R240/(Q240+R240+S240)*(1-'P-Parametri'!$B$7*U240)+S240/(Q240+R240+S240))))*S240/(Q240+R240+S240))</f>
        <v>210.80949327171282</v>
      </c>
      <c r="Y240" s="18">
        <f t="shared" si="9"/>
        <v>240726.60453249019</v>
      </c>
      <c r="Z240" s="18">
        <f t="shared" si="10"/>
        <v>30087.771579846471</v>
      </c>
      <c r="AA240" s="18">
        <f t="shared" si="11"/>
        <v>112164.64227613711</v>
      </c>
      <c r="AB240" s="18">
        <f t="shared" si="12"/>
        <v>94909.162254777082</v>
      </c>
      <c r="AC240" s="18">
        <f t="shared" si="13"/>
        <v>36980.358311701275</v>
      </c>
      <c r="AD240" s="18">
        <f t="shared" si="14"/>
        <v>31520.035861146585</v>
      </c>
      <c r="AE240" s="18">
        <f>IF(AG240=0,AE239,AE239+H240+V240*T240*'P-Parametri'!$B$6+W240*U240*'P-Parametri'!$B$7)</f>
        <v>41495.243077328392</v>
      </c>
      <c r="AF240" s="18">
        <f t="shared" si="0"/>
        <v>389871.60512032855</v>
      </c>
      <c r="AG240" s="10">
        <f>IF(AND(AG239=1,(X240+W240*(1-'P-Parametri'!$B$7*U240)+V240*(1-'P-Parametri'!$B$6*T240))&gt;=MAX(0,$B$4-IF($A240&gt;='1-Input'!$C$12,'1-Input'!$B$12,0))-0.01),1,0)</f>
        <v>1</v>
      </c>
      <c r="AI240" s="11">
        <f t="shared" si="15"/>
        <v>0.86651426419074651</v>
      </c>
      <c r="AJ240" s="11">
        <f t="shared" si="16"/>
        <v>0.24997416197022221</v>
      </c>
      <c r="AK240" s="18">
        <f>MAX(0,BE239-('P-Parametri'!$B$31*BL239))</f>
        <v>8034.9143198588863</v>
      </c>
      <c r="AL240" s="18">
        <f>MAX(0,BG239-('P-Parametri'!$C$31*BL239))</f>
        <v>0</v>
      </c>
      <c r="AM240" s="18">
        <f>MAX(0,BI239-('P-Parametri'!$D$31*BL239))</f>
        <v>0</v>
      </c>
      <c r="AN240" s="18">
        <f>AK240*AI240*'P-Parametri'!$B$6+AL240*AJ240*'P-Parametri'!$B$7</f>
        <v>1810.2156461241359</v>
      </c>
      <c r="AO240" s="18">
        <f t="shared" si="17"/>
        <v>6224.6986737347506</v>
      </c>
      <c r="AP240" s="18">
        <f>MAX(0,('P-Parametri'!$B$31*BL239)-BE239)+MAX(0,('P-Parametri'!$C$31*BL239)-BG239)+MAX(0,('P-Parametri'!$D$31*BL239)-BI239)</f>
        <v>8034.9143198589154</v>
      </c>
      <c r="AQ240" s="18">
        <f>BE239-AK240+IF(AP240&lt;=0,0,AO240*MAX(0,('P-Parametri'!$B$31*BL239)-BE239)/AP240)</f>
        <v>229990.19474029072</v>
      </c>
      <c r="AR240" s="18">
        <f>BF239-AK240*(1-AI240)+IF(AP240&lt;=0,0,AO240*MAX(0,('P-Parametri'!$B$31*BL239)-BE239)/AP240)</f>
        <v>30700.410373821196</v>
      </c>
      <c r="AS240" s="18">
        <f>BG239-AL240+IF(AP240&lt;=0,0,AO240*MAX(0,('P-Parametri'!$C$31*BL239)-BG239)/AP240)</f>
        <v>114117.49781990646</v>
      </c>
      <c r="AT240" s="18">
        <f>BH239-AL240*(1-AJ240)+IF(AP240&lt;=0,0,AO240*MAX(0,('P-Parametri'!$C$31*BL239)-BG239)/AP240)</f>
        <v>86345.433464506787</v>
      </c>
      <c r="AU240" s="18">
        <f>BI239-AM240+IF(AP240&lt;=0,0,AO240*MAX(0,('P-Parametri'!$D$31*BL239)-BI239)/AP240)</f>
        <v>37399.083027496526</v>
      </c>
      <c r="AV240" s="18">
        <f>BJ239-AM240+IF(AP240&lt;=0,0,AO240*MAX(0,('P-Parametri'!$D$31*BL239)-BI239)/AP240)</f>
        <v>31759.961313537871</v>
      </c>
      <c r="AW240" s="18">
        <f t="shared" si="18"/>
        <v>245747.28296233751</v>
      </c>
      <c r="AX240" s="18">
        <f>AS240*(1+'P-Parametri'!$C$29)</f>
        <v>114688.08530900598</v>
      </c>
      <c r="AY240" s="18">
        <f>AU240*(1+'1-Input'!$B$27)</f>
        <v>37264.446328597536</v>
      </c>
      <c r="AZ240" s="11">
        <f t="shared" si="19"/>
        <v>0.87507324596330838</v>
      </c>
      <c r="BA240" s="11">
        <f t="shared" si="20"/>
        <v>0.24712812815851906</v>
      </c>
      <c r="BB240" s="18">
        <f>IF(BM239=0,0,MIN(MAX(AW240,0),(MAX(0,$B$4-IF($A240&gt;='1-Input'!$C$12,'1-Input'!$B$12,0))-BD240-BC240*(1-'P-Parametri'!$B$7*BA240))/(1-'P-Parametri'!$B$6*AZ240)))</f>
        <v>0</v>
      </c>
      <c r="BC240" s="18">
        <f>IF(BM239=0,0,MIN(MAX(AX240,0),(MAX(0,$B$4-IF($A240&gt;='1-Input'!$C$12,'1-Input'!$B$12,0))-BD240)/(1-'P-Parametri'!$B$7*BA240)))</f>
        <v>0</v>
      </c>
      <c r="BD240" s="18">
        <f>IF(BM239=0,0,MIN(MAX(AY240,0),MAX(0,$B$4-IF($A240&gt;='1-Input'!$C$12,'1-Input'!$B$12,0))))</f>
        <v>1898</v>
      </c>
      <c r="BE240" s="18">
        <f t="shared" si="21"/>
        <v>245747.28296233751</v>
      </c>
      <c r="BF240" s="18">
        <f t="shared" si="22"/>
        <v>30700.410373821196</v>
      </c>
      <c r="BG240" s="18">
        <f t="shared" si="23"/>
        <v>114688.08530900598</v>
      </c>
      <c r="BH240" s="18">
        <f t="shared" si="24"/>
        <v>86345.433464506787</v>
      </c>
      <c r="BI240" s="18">
        <f t="shared" si="25"/>
        <v>35366.446328597536</v>
      </c>
      <c r="BJ240" s="18">
        <f t="shared" si="26"/>
        <v>29861.961313537871</v>
      </c>
      <c r="BK240" s="18">
        <f>IF(BM240=0,BK239,BK239+AN240+BB240*AZ240*'P-Parametri'!$B$6+BC240*BA240*'P-Parametri'!$B$7)</f>
        <v>40107.50024685169</v>
      </c>
      <c r="BL240" s="18">
        <f t="shared" si="1"/>
        <v>395801.81459994108</v>
      </c>
      <c r="BM240" s="10">
        <f>IF(AND(BM239=1,(BD240+BC240*(1-'P-Parametri'!$B$7*BA240)+BB240*(1-'P-Parametri'!$B$6*AZ240))&gt;=MAX(0,$B$4-IF($A240&gt;='1-Input'!$C$12,'1-Input'!$B$12,0))-0.01),1,0)</f>
        <v>1</v>
      </c>
      <c r="BO240" s="11">
        <f t="shared" si="27"/>
        <v>0.86619253178873135</v>
      </c>
      <c r="BP240" s="11">
        <f t="shared" si="28"/>
        <v>0.15462555928840618</v>
      </c>
      <c r="BQ240" s="18">
        <f>MAX(0,CK239-('P-Parametri'!$B$31*CR239))</f>
        <v>6366.4428281045693</v>
      </c>
      <c r="BR240" s="18">
        <f>MAX(0,CM239-('P-Parametri'!$C$31*CR239))</f>
        <v>0</v>
      </c>
      <c r="BS240" s="18">
        <f>MAX(0,CO239-('P-Parametri'!$D$31*CR239))</f>
        <v>0</v>
      </c>
      <c r="BT240" s="18">
        <f>BQ240*BO240*'P-Parametri'!$B$6+BR240*BP240*'P-Parametri'!$B$6</f>
        <v>1433.7869602586682</v>
      </c>
      <c r="BU240" s="18">
        <f t="shared" si="29"/>
        <v>4932.6558678459014</v>
      </c>
      <c r="BV240" s="18">
        <f>MAX(0,('P-Parametri'!$B$31*CR239)-CK239)+MAX(0,('P-Parametri'!$C$31*CR239)-CM239)+MAX(0,('P-Parametri'!$D$31*CR239)-CO239)</f>
        <v>6366.4428281045402</v>
      </c>
      <c r="BW240" s="18">
        <f>CK239-BQ240+IF(BV240&lt;=0,0,BU240*MAX(0,('P-Parametri'!$B$31*CR239)-CK239)/BV240)</f>
        <v>219263.56799540634</v>
      </c>
      <c r="BX240" s="18">
        <f>CL239-BQ240*(1-BO240)+IF(BV240&lt;=0,0,BU240*MAX(0,('P-Parametri'!$B$31*CR239)-CK239)/BV240)</f>
        <v>29339.102904434661</v>
      </c>
      <c r="BY240" s="18">
        <f>CM239-BR240+IF(BV240&lt;=0,0,BU240*MAX(0,('P-Parametri'!$C$31*CR239)-CM239)/BV240)</f>
        <v>108620.82435585631</v>
      </c>
      <c r="BZ240" s="18">
        <f>CN239-BR240*(1-BP240)+IF(BV240&lt;=0,0,BU240*MAX(0,('P-Parametri'!$C$31*CR239)-CM239)/BV240)</f>
        <v>92363.056869763197</v>
      </c>
      <c r="CA240" s="18">
        <f>CO239-BS240+IF(BV240&lt;=0,0,BU240*MAX(0,('P-Parametri'!$D$31*CR239)-CO239)/BV240)</f>
        <v>36121.100680822616</v>
      </c>
      <c r="CB240" s="18">
        <f>CP239-BS240+IF(BV240&lt;=0,0,BU240*MAX(0,('P-Parametri'!$D$31*CR239)-CO239)/BV240)</f>
        <v>30449.905200436417</v>
      </c>
      <c r="CC240" s="18">
        <f t="shared" si="30"/>
        <v>234285.75356590759</v>
      </c>
      <c r="CD240" s="18">
        <f>BY240*(1+'P-Parametri'!$C$29)</f>
        <v>109163.92847763558</v>
      </c>
      <c r="CE240" s="18">
        <f>CA240*(1+'1-Input'!$B$27)</f>
        <v>35991.06471837165</v>
      </c>
      <c r="CF240" s="11">
        <f t="shared" si="31"/>
        <v>0.87477214274498682</v>
      </c>
      <c r="CG240" s="11">
        <f t="shared" si="32"/>
        <v>0.15390497430947969</v>
      </c>
      <c r="CH240" s="18">
        <f>IF(CS239=0,0,(MIN((CC240+CD240+CE240),MAX(0,$B$4-IF($A240&gt;='1-Input'!$C$12,'1-Input'!$B$12,0))/(CC240/(CC240+CD240+CE240)*(1-'P-Parametri'!$B$6*CF240)+CD240/(CC240+CD240+CE240)*(1-'P-Parametri'!$B$6*CG240)+CE240/(CC240+CD240+CE240))))*CC240/(CC240+CD240+CE240))</f>
        <v>1381.8929971682501</v>
      </c>
      <c r="CI240" s="18">
        <f>IF(CS239=0,0,(MIN((CC240+CD240+CE240),MAX(0,$B$4-IF($A240&gt;='1-Input'!$C$12,'1-Input'!$B$12,0))/(CC240/(CC240+CD240+CE240)*(1-'P-Parametri'!$B$6*CF240)+CD240/(CC240+CD240+CE240)*(1-'P-Parametri'!$B$6*CG240)+CE240/(CC240+CD240+CE240))))*CD240/(CC240+CD240+CE240))</f>
        <v>643.88408603847722</v>
      </c>
      <c r="CJ240" s="18">
        <f>IF(CS239=0,0,(MIN((CC240+CD240+CE240),MAX(0,$B$4-IF($A240&gt;='1-Input'!$C$12,'1-Input'!$B$12,0))/(CC240/(CC240+CD240+CE240)*(1-'P-Parametri'!$B$6*CF240)+CD240/(CC240+CD240+CE240)*(1-'P-Parametri'!$B$6*CG240)+CE240/(CC240+CD240+CE240))))*CE240/(CC240+CD240+CE240))</f>
        <v>212.28691688654362</v>
      </c>
      <c r="CK240" s="18">
        <f t="shared" si="33"/>
        <v>232903.86056873936</v>
      </c>
      <c r="CL240" s="18">
        <f t="shared" si="34"/>
        <v>29166.051405443573</v>
      </c>
      <c r="CM240" s="18">
        <f t="shared" si="35"/>
        <v>108520.0443915971</v>
      </c>
      <c r="CN240" s="18">
        <f t="shared" si="36"/>
        <v>91818.269747444749</v>
      </c>
      <c r="CO240" s="18">
        <f t="shared" si="37"/>
        <v>35778.777801485106</v>
      </c>
      <c r="CP240" s="18">
        <f t="shared" si="38"/>
        <v>30237.618283549873</v>
      </c>
      <c r="CQ240" s="18">
        <f>IF(CS240=0,CQ239,CQ239+BT240+CH240*CF240*'P-Parametri'!$B$6+CI240*CG240*'P-Parametri'!$B$6)</f>
        <v>44757.221964153963</v>
      </c>
      <c r="CR240" s="18">
        <f t="shared" si="2"/>
        <v>377202.68276182155</v>
      </c>
      <c r="CS240" s="10">
        <f>IF(AND(CS239=1,(CJ240+CI240*(1-'P-Parametri'!$B$6*CG240)+CH240*(1-'P-Parametri'!$B$6*CF240))&gt;=MAX(0,$B$4-IF($A240&gt;='1-Input'!$C$12,'1-Input'!$B$12,0))-0.01),1,0)</f>
        <v>1</v>
      </c>
    </row>
    <row r="241" spans="1:97">
      <c r="A241" s="10">
        <f>41</f>
        <v>41</v>
      </c>
      <c r="B241" s="11">
        <f>IF(A241=1,'P-Parametri'!$B$30,IF(A241=2,'P-Parametri'!$C$30,'P-Parametri'!$B$29))</f>
        <v>6.8512000000000003E-2</v>
      </c>
      <c r="C241" s="11">
        <f t="shared" si="3"/>
        <v>0.87501268653591791</v>
      </c>
      <c r="D241" s="11">
        <f t="shared" si="4"/>
        <v>0.15384063704209849</v>
      </c>
      <c r="E241" s="18">
        <f>MAX(0,Y240-('P-Parametri'!$B$31*AF240))</f>
        <v>6803.6414602930599</v>
      </c>
      <c r="F241" s="18">
        <f>MAX(0,AA240-('P-Parametri'!$C$31*AF240))</f>
        <v>0</v>
      </c>
      <c r="G241" s="18">
        <f>MAX(0,AC240-('P-Parametri'!$D$31*AF240))</f>
        <v>0</v>
      </c>
      <c r="H241" s="18">
        <f>E241*C241*'P-Parametri'!$B$6+F241*D241*'P-Parametri'!$B$7</f>
        <v>1547.8508740235284</v>
      </c>
      <c r="I241" s="18">
        <f t="shared" si="5"/>
        <v>5255.7905862695316</v>
      </c>
      <c r="J241" s="18">
        <f>MAX(0,('P-Parametri'!$B$31*AF240)-Y240)+MAX(0,('P-Parametri'!$C$31*AF240)-AA240)+MAX(0,('P-Parametri'!$D$31*AF240)-AC240)</f>
        <v>6803.6414602930381</v>
      </c>
      <c r="K241" s="18">
        <f>Y240-E241+IF(J241&lt;=0,0,I241*MAX(0,('P-Parametri'!$B$31*AF240)-Y240)/J241)</f>
        <v>233922.96307219713</v>
      </c>
      <c r="L241" s="18">
        <f>Z240-E241*(1-C241)+IF(J241&lt;=0,0,I241*MAX(0,('P-Parametri'!$B$31*AF240)-Y240)/J241)</f>
        <v>29237.402711951596</v>
      </c>
      <c r="M241" s="18">
        <f>AA240-F241+IF(J241&lt;=0,0,I241*MAX(0,('P-Parametri'!$C$31*AF240)-AA240)/J241)</f>
        <v>115870.18478208622</v>
      </c>
      <c r="N241" s="18">
        <f>AB240-F241*(1-D241)+IF(J241&lt;=0,0,I241*MAX(0,('P-Parametri'!$C$31*AF240)-AA240)/J241)</f>
        <v>98614.704760726192</v>
      </c>
      <c r="O241" s="18">
        <f>AC240-G241+IF(J241&lt;=0,0,I241*MAX(0,('P-Parametri'!$D$31*AF240)-AC240)/J241)</f>
        <v>38530.606392021691</v>
      </c>
      <c r="P241" s="18">
        <f>AD240-G241+IF(J241&lt;=0,0,I241*MAX(0,('P-Parametri'!$D$31*AF240)-AC240)/J241)</f>
        <v>33070.283941467002</v>
      </c>
      <c r="Q241" s="18">
        <f t="shared" si="6"/>
        <v>249949.49311819949</v>
      </c>
      <c r="R241" s="18">
        <f>M241*(1+'P-Parametri'!$C$29)</f>
        <v>116449.53570599663</v>
      </c>
      <c r="S241" s="18">
        <f>O241*(1+'1-Input'!$B$27)</f>
        <v>38391.896209010411</v>
      </c>
      <c r="T241" s="11">
        <f t="shared" si="7"/>
        <v>0.88302675733722957</v>
      </c>
      <c r="U241" s="11">
        <f t="shared" si="8"/>
        <v>0.15315501978727106</v>
      </c>
      <c r="V241" s="18">
        <f>IF(AG240=0,0,(MIN((Q241+R241+S241),MAX(0,$B$4-IF($A241&gt;='1-Input'!$C$12,'1-Input'!$B$12,0))/(Q241/(Q241+R241+S241)*(1-'P-Parametri'!$B$6*T241)+R241/(Q241+R241+S241)*(1-'P-Parametri'!$B$7*U241)+S241/(Q241+R241+S241))))*Q241/(Q241+R241+S241))</f>
        <v>1374.3816203070071</v>
      </c>
      <c r="W241" s="18">
        <f>IF(AG240=0,0,(MIN((Q241+R241+S241),MAX(0,$B$4-IF($A241&gt;='1-Input'!$C$12,'1-Input'!$B$12,0))/(Q241/(Q241+R241+S241)*(1-'P-Parametri'!$B$6*T241)+R241/(Q241+R241+S241)*(1-'P-Parametri'!$B$7*U241)+S241/(Q241+R241+S241))))*R241/(Q241+R241+S241))</f>
        <v>640.31376727746192</v>
      </c>
      <c r="X241" s="18">
        <f>IF(AG240=0,0,(MIN((Q241+R241+S241),MAX(0,$B$4-IF($A241&gt;='1-Input'!$C$12,'1-Input'!$B$12,0))/(Q241/(Q241+R241+S241)*(1-'P-Parametri'!$B$6*T241)+R241/(Q241+R241+S241)*(1-'P-Parametri'!$B$7*U241)+S241/(Q241+R241+S241))))*S241/(Q241+R241+S241))</f>
        <v>211.10311471384301</v>
      </c>
      <c r="Y241" s="18">
        <f t="shared" si="9"/>
        <v>248575.11149789247</v>
      </c>
      <c r="Z241" s="18">
        <f t="shared" si="10"/>
        <v>29076.636837168171</v>
      </c>
      <c r="AA241" s="18">
        <f t="shared" si="11"/>
        <v>115809.22193871917</v>
      </c>
      <c r="AB241" s="18">
        <f t="shared" si="12"/>
        <v>98072.458261146166</v>
      </c>
      <c r="AC241" s="18">
        <f t="shared" si="13"/>
        <v>38180.793094296569</v>
      </c>
      <c r="AD241" s="18">
        <f t="shared" si="14"/>
        <v>32859.18082675316</v>
      </c>
      <c r="AE241" s="18">
        <f>IF(AG241=0,AE240,AE240+H241+V241*T241*'P-Parametri'!$B$6+W241*U241*'P-Parametri'!$B$7)</f>
        <v>43370.892453650231</v>
      </c>
      <c r="AF241" s="18">
        <f t="shared" si="0"/>
        <v>402565.12653090822</v>
      </c>
      <c r="AG241" s="10">
        <f>IF(AND(AG240=1,(X241+W241*(1-'P-Parametri'!$B$7*U241)+V241*(1-'P-Parametri'!$B$6*T241))&gt;=MAX(0,$B$4-IF($A241&gt;='1-Input'!$C$12,'1-Input'!$B$12,0))-0.01),1,0)</f>
        <v>1</v>
      </c>
      <c r="AI241" s="11">
        <f t="shared" si="15"/>
        <v>0.87507324596330838</v>
      </c>
      <c r="AJ241" s="11">
        <f t="shared" si="16"/>
        <v>0.24712812815851906</v>
      </c>
      <c r="AK241" s="18">
        <f>MAX(0,BE240-('P-Parametri'!$B$31*BL240))</f>
        <v>8266.1942023728916</v>
      </c>
      <c r="AL241" s="18">
        <f>MAX(0,BG240-('P-Parametri'!$C$31*BL240))</f>
        <v>0</v>
      </c>
      <c r="AM241" s="18">
        <f>MAX(0,BI240-('P-Parametri'!$D$31*BL240))</f>
        <v>0</v>
      </c>
      <c r="AN241" s="18">
        <f>AK241*AI241*'P-Parametri'!$B$6+AL241*AJ241*'P-Parametri'!$B$7</f>
        <v>1880.7166020327172</v>
      </c>
      <c r="AO241" s="18">
        <f t="shared" si="17"/>
        <v>6385.4776003401748</v>
      </c>
      <c r="AP241" s="18">
        <f>MAX(0,('P-Parametri'!$B$31*BL240)-BE240)+MAX(0,('P-Parametri'!$C$31*BL240)-BG240)+MAX(0,('P-Parametri'!$D$31*BL240)-BI240)</f>
        <v>8266.1942023729061</v>
      </c>
      <c r="AQ241" s="18">
        <f>BE240-AK241+IF(AP241&lt;=0,0,AO241*MAX(0,('P-Parametri'!$B$31*BL240)-BE240)/AP241)</f>
        <v>237481.08875996462</v>
      </c>
      <c r="AR241" s="18">
        <f>BF240-AK241*(1-AI241)+IF(AP241&lt;=0,0,AO241*MAX(0,('P-Parametri'!$B$31*BL240)-BE240)/AP241)</f>
        <v>29667.741563881831</v>
      </c>
      <c r="AS241" s="18">
        <f>BG240-AL241+IF(AP241&lt;=0,0,AO241*MAX(0,('P-Parametri'!$C$31*BL240)-BG240)/AP241)</f>
        <v>117818.53276650541</v>
      </c>
      <c r="AT241" s="18">
        <f>BH240-AL241*(1-AJ241)+IF(AP241&lt;=0,0,AO241*MAX(0,('P-Parametri'!$C$31*BL240)-BG240)/AP241)</f>
        <v>89475.88092200621</v>
      </c>
      <c r="AU241" s="18">
        <f>BI240-AM241+IF(AP241&lt;=0,0,AO241*MAX(0,('P-Parametri'!$D$31*BL240)-BI240)/AP241)</f>
        <v>38621.476471438291</v>
      </c>
      <c r="AV241" s="18">
        <f>BJ240-AM241+IF(AP241&lt;=0,0,AO241*MAX(0,('P-Parametri'!$D$31*BL240)-BI240)/AP241)</f>
        <v>33116.99145637863</v>
      </c>
      <c r="AW241" s="18">
        <f t="shared" si="18"/>
        <v>253751.39311308731</v>
      </c>
      <c r="AX241" s="18">
        <f>AS241*(1+'P-Parametri'!$C$29)</f>
        <v>118407.62543033792</v>
      </c>
      <c r="AY241" s="18">
        <f>AU241*(1+'1-Input'!$B$27)</f>
        <v>38482.43915614111</v>
      </c>
      <c r="AZ241" s="11">
        <f t="shared" si="19"/>
        <v>0.8830834337502137</v>
      </c>
      <c r="BA241" s="11">
        <f t="shared" si="20"/>
        <v>0.24434021375889309</v>
      </c>
      <c r="BB241" s="18">
        <f>IF(BM240=0,0,MIN(MAX(AW241,0),(MAX(0,$B$4-IF($A241&gt;='1-Input'!$C$12,'1-Input'!$B$12,0))-BD241-BC241*(1-'P-Parametri'!$B$7*BA241))/(1-'P-Parametri'!$B$6*AZ241)))</f>
        <v>0</v>
      </c>
      <c r="BC241" s="18">
        <f>IF(BM240=0,0,MIN(MAX(AX241,0),(MAX(0,$B$4-IF($A241&gt;='1-Input'!$C$12,'1-Input'!$B$12,0))-BD241)/(1-'P-Parametri'!$B$7*BA241)))</f>
        <v>0</v>
      </c>
      <c r="BD241" s="18">
        <f>IF(BM240=0,0,MIN(MAX(AY241,0),MAX(0,$B$4-IF($A241&gt;='1-Input'!$C$12,'1-Input'!$B$12,0))))</f>
        <v>1898</v>
      </c>
      <c r="BE241" s="18">
        <f t="shared" si="21"/>
        <v>253751.39311308731</v>
      </c>
      <c r="BF241" s="18">
        <f t="shared" si="22"/>
        <v>29667.741563881831</v>
      </c>
      <c r="BG241" s="18">
        <f t="shared" si="23"/>
        <v>118407.62543033792</v>
      </c>
      <c r="BH241" s="18">
        <f t="shared" si="24"/>
        <v>89475.88092200621</v>
      </c>
      <c r="BI241" s="18">
        <f t="shared" si="25"/>
        <v>36584.43915614111</v>
      </c>
      <c r="BJ241" s="18">
        <f t="shared" si="26"/>
        <v>31218.99145637863</v>
      </c>
      <c r="BK241" s="18">
        <f>IF(BM241=0,BK240,BK240+AN241+BB241*AZ241*'P-Parametri'!$B$6+BC241*BA241*'P-Parametri'!$B$7)</f>
        <v>41988.216848884411</v>
      </c>
      <c r="BL241" s="18">
        <f t="shared" si="1"/>
        <v>408743.45769956638</v>
      </c>
      <c r="BM241" s="10">
        <f>IF(AND(BM240=1,(BD241+BC241*(1-'P-Parametri'!$B$7*BA241)+BB241*(1-'P-Parametri'!$B$6*AZ241))&gt;=MAX(0,$B$4-IF($A241&gt;='1-Input'!$C$12,'1-Input'!$B$12,0))-0.01),1,0)</f>
        <v>1</v>
      </c>
      <c r="BO241" s="11">
        <f t="shared" si="27"/>
        <v>0.87477214274498682</v>
      </c>
      <c r="BP241" s="11">
        <f t="shared" si="28"/>
        <v>0.15390497430947972</v>
      </c>
      <c r="BQ241" s="18">
        <f>MAX(0,CK240-('P-Parametri'!$B$31*CR240))</f>
        <v>6582.2509116464353</v>
      </c>
      <c r="BR241" s="18">
        <f>MAX(0,CM240-('P-Parametri'!$C$31*CR240))</f>
        <v>0</v>
      </c>
      <c r="BS241" s="18">
        <f>MAX(0,CO240-('P-Parametri'!$D$31*CR240))</f>
        <v>0</v>
      </c>
      <c r="BT241" s="18">
        <f>BQ241*BO241*'P-Parametri'!$B$6+BR241*BP241*'P-Parametri'!$B$6</f>
        <v>1497.0721308571847</v>
      </c>
      <c r="BU241" s="18">
        <f t="shared" si="29"/>
        <v>5085.1787807892506</v>
      </c>
      <c r="BV241" s="18">
        <f>MAX(0,('P-Parametri'!$B$31*CR240)-CK240)+MAX(0,('P-Parametri'!$C$31*CR240)-CM240)+MAX(0,('P-Parametri'!$D$31*CR240)-CO240)</f>
        <v>6582.2509116464134</v>
      </c>
      <c r="BW241" s="18">
        <f>CK240-BQ241+IF(BV241&lt;=0,0,BU241*MAX(0,('P-Parametri'!$B$31*CR240)-CK240)/BV241)</f>
        <v>226321.60965709292</v>
      </c>
      <c r="BX241" s="18">
        <f>CL240-BQ241*(1-BO241)+IF(BV241&lt;=0,0,BU241*MAX(0,('P-Parametri'!$B$31*CR240)-CK240)/BV241)</f>
        <v>28341.770227863235</v>
      </c>
      <c r="BY241" s="18">
        <f>CM240-BR241+IF(BV241&lt;=0,0,BU241*MAX(0,('P-Parametri'!$C$31*CR240)-CM240)/BV241)</f>
        <v>112105.30676118343</v>
      </c>
      <c r="BZ241" s="18">
        <f>CN240-BR241*(1-BP241)+IF(BV241&lt;=0,0,BU241*MAX(0,('P-Parametri'!$C$31*CR240)-CM240)/BV241)</f>
        <v>95403.532117031078</v>
      </c>
      <c r="CA241" s="18">
        <f>CO240-BS241+IF(BV241&lt;=0,0,BU241*MAX(0,('P-Parametri'!$D$31*CR240)-CO240)/BV241)</f>
        <v>37278.694212688031</v>
      </c>
      <c r="CB241" s="18">
        <f>CP240-BS241+IF(BV241&lt;=0,0,BU241*MAX(0,('P-Parametri'!$D$31*CR240)-CO240)/BV241)</f>
        <v>31737.534694752801</v>
      </c>
      <c r="CC241" s="18">
        <f t="shared" si="30"/>
        <v>241827.35577791964</v>
      </c>
      <c r="CD241" s="18">
        <f>BY241*(1+'P-Parametri'!$C$29)</f>
        <v>112665.83329498934</v>
      </c>
      <c r="CE241" s="18">
        <f>CA241*(1+'1-Input'!$B$27)</f>
        <v>37144.49091352235</v>
      </c>
      <c r="CF241" s="11">
        <f t="shared" si="31"/>
        <v>0.88280163699143011</v>
      </c>
      <c r="CG241" s="11">
        <f t="shared" si="32"/>
        <v>0.15321682424130242</v>
      </c>
      <c r="CH241" s="18">
        <f>IF(CS240=0,0,(MIN((CC241+CD241+CE241),MAX(0,$B$4-IF($A241&gt;='1-Input'!$C$12,'1-Input'!$B$12,0))/(CC241/(CC241+CD241+CE241)*(1-'P-Parametri'!$B$6*CF241)+CD241/(CC241+CD241+CE241)*(1-'P-Parametri'!$B$6*CG241)+CE241/(CC241+CD241+CE241))))*CC241/(CC241+CD241+CE241))</f>
        <v>1383.9821848480649</v>
      </c>
      <c r="CI241" s="18">
        <f>IF(CS240=0,0,(MIN((CC241+CD241+CE241),MAX(0,$B$4-IF($A241&gt;='1-Input'!$C$12,'1-Input'!$B$12,0))/(CC241/(CC241+CD241+CE241)*(1-'P-Parametri'!$B$6*CF241)+CD241/(CC241+CD241+CE241)*(1-'P-Parametri'!$B$6*CG241)+CE241/(CC241+CD241+CE241))))*CD241/(CC241+CD241+CE241))</f>
        <v>644.78853362033237</v>
      </c>
      <c r="CJ241" s="18">
        <f>IF(CS240=0,0,(MIN((CC241+CD241+CE241),MAX(0,$B$4-IF($A241&gt;='1-Input'!$C$12,'1-Input'!$B$12,0))/(CC241/(CC241+CD241+CE241)*(1-'P-Parametri'!$B$6*CF241)+CD241/(CC241+CD241+CE241)*(1-'P-Parametri'!$B$6*CG241)+CE241/(CC241+CD241+CE241))))*CE241/(CC241+CD241+CE241))</f>
        <v>212.57857087423676</v>
      </c>
      <c r="CK241" s="18">
        <f t="shared" si="33"/>
        <v>240443.37359307156</v>
      </c>
      <c r="CL241" s="18">
        <f t="shared" si="34"/>
        <v>28179.569781366019</v>
      </c>
      <c r="CM241" s="18">
        <f t="shared" si="35"/>
        <v>112021.044761369</v>
      </c>
      <c r="CN241" s="18">
        <f t="shared" si="36"/>
        <v>94857.536034839257</v>
      </c>
      <c r="CO241" s="18">
        <f t="shared" si="37"/>
        <v>36931.912342648116</v>
      </c>
      <c r="CP241" s="18">
        <f t="shared" si="38"/>
        <v>31524.956123878565</v>
      </c>
      <c r="CQ241" s="18">
        <f>IF(CS241=0,CQ240,CQ240+BT241+CH241*CF241*'P-Parametri'!$B$6+CI241*CG241*'P-Parametri'!$B$6)</f>
        <v>46597.643384353789</v>
      </c>
      <c r="CR241" s="18">
        <f t="shared" si="2"/>
        <v>389396.33069708874</v>
      </c>
      <c r="CS241" s="10">
        <f>IF(AND(CS240=1,(CJ241+CI241*(1-'P-Parametri'!$B$6*CG241)+CH241*(1-'P-Parametri'!$B$6*CF241))&gt;=MAX(0,$B$4-IF($A241&gt;='1-Input'!$C$12,'1-Input'!$B$12,0))-0.01),1,0)</f>
        <v>1</v>
      </c>
    </row>
    <row r="242" spans="1:97">
      <c r="A242" s="10">
        <f>42</f>
        <v>42</v>
      </c>
      <c r="B242" s="11">
        <f>IF(A242=1,'P-Parametri'!$B$30,IF(A242=2,'P-Parametri'!$C$30,'P-Parametri'!$B$29))</f>
        <v>6.8512000000000003E-2</v>
      </c>
      <c r="C242" s="11">
        <f t="shared" si="3"/>
        <v>0.88302675733722968</v>
      </c>
      <c r="D242" s="11">
        <f t="shared" si="4"/>
        <v>0.15315501978727111</v>
      </c>
      <c r="E242" s="18">
        <f>MAX(0,Y241-('P-Parametri'!$B$31*AF241))</f>
        <v>7036.0355793475464</v>
      </c>
      <c r="F242" s="18">
        <f>MAX(0,AA241-('P-Parametri'!$C$31*AF241))</f>
        <v>0</v>
      </c>
      <c r="G242" s="18">
        <f>MAX(0,AC241-('P-Parametri'!$D$31*AF241))</f>
        <v>0</v>
      </c>
      <c r="H242" s="18">
        <f>E242*C242*'P-Parametri'!$B$6+F242*D242*'P-Parametri'!$B$7</f>
        <v>1615.3819973565664</v>
      </c>
      <c r="I242" s="18">
        <f t="shared" si="5"/>
        <v>5420.6535819909805</v>
      </c>
      <c r="J242" s="18">
        <f>MAX(0,('P-Parametri'!$B$31*AF241)-Y241)+MAX(0,('P-Parametri'!$C$31*AF241)-AA241)+MAX(0,('P-Parametri'!$D$31*AF241)-AC241)</f>
        <v>7036.0355793475464</v>
      </c>
      <c r="K242" s="18">
        <f>Y241-E242+IF(J242&lt;=0,0,I242*MAX(0,('P-Parametri'!$B$31*AF241)-Y241)/J242)</f>
        <v>241539.07591854493</v>
      </c>
      <c r="L242" s="18">
        <f>Z241-E242*(1-C242)+IF(J242&lt;=0,0,I242*MAX(0,('P-Parametri'!$B$31*AF241)-Y241)/J242)</f>
        <v>28253.608939961265</v>
      </c>
      <c r="M242" s="18">
        <f>AA241-F242+IF(J242&lt;=0,0,I242*MAX(0,('P-Parametri'!$C$31*AF241)-AA241)/J242)</f>
        <v>119630.71409881322</v>
      </c>
      <c r="N242" s="18">
        <f>AB241-F242*(1-D242)+IF(J242&lt;=0,0,I242*MAX(0,('P-Parametri'!$C$31*AF241)-AA241)/J242)</f>
        <v>101893.95042124021</v>
      </c>
      <c r="O242" s="18">
        <f>AC241-G242+IF(J242&lt;=0,0,I242*MAX(0,('P-Parametri'!$D$31*AF241)-AC241)/J242)</f>
        <v>39779.954516193502</v>
      </c>
      <c r="P242" s="18">
        <f>AD241-G242+IF(J242&lt;=0,0,I242*MAX(0,('P-Parametri'!$D$31*AF241)-AC241)/J242)</f>
        <v>34458.342248650093</v>
      </c>
      <c r="Q242" s="18">
        <f t="shared" si="6"/>
        <v>258087.40108787626</v>
      </c>
      <c r="R242" s="18">
        <f>M242*(1+'P-Parametri'!$C$29)</f>
        <v>120228.86766930726</v>
      </c>
      <c r="S242" s="18">
        <f>O242*(1+'1-Input'!$B$27)</f>
        <v>39636.746679935204</v>
      </c>
      <c r="T242" s="11">
        <f t="shared" si="7"/>
        <v>0.89052697333977493</v>
      </c>
      <c r="U242" s="11">
        <f t="shared" si="8"/>
        <v>0.15250012416733172</v>
      </c>
      <c r="V242" s="18">
        <f>IF(AG241=0,0,(MIN((Q242+R242+S242),MAX(0,$B$4-IF($A242&gt;='1-Input'!$C$12,'1-Input'!$B$12,0))/(Q242/(Q242+R242+S242)*(1-'P-Parametri'!$B$6*T242)+R242/(Q242+R242+S242)*(1-'P-Parametri'!$B$7*U242)+S242/(Q242+R242+S242))))*Q242/(Q242+R242+S242))</f>
        <v>1376.3525701880108</v>
      </c>
      <c r="W242" s="18">
        <f>IF(AG241=0,0,(MIN((Q242+R242+S242),MAX(0,$B$4-IF($A242&gt;='1-Input'!$C$12,'1-Input'!$B$12,0))/(Q242/(Q242+R242+S242)*(1-'P-Parametri'!$B$6*T242)+R242/(Q242+R242+S242)*(1-'P-Parametri'!$B$7*U242)+S242/(Q242+R242+S242))))*R242/(Q242+R242+S242))</f>
        <v>641.16772198074818</v>
      </c>
      <c r="X242" s="18">
        <f>IF(AG241=0,0,(MIN((Q242+R242+S242),MAX(0,$B$4-IF($A242&gt;='1-Input'!$C$12,'1-Input'!$B$12,0))/(Q242/(Q242+R242+S242)*(1-'P-Parametri'!$B$6*T242)+R242/(Q242+R242+S242)*(1-'P-Parametri'!$B$7*U242)+S242/(Q242+R242+S242))))*S242/(Q242+R242+S242))</f>
        <v>211.37854051327662</v>
      </c>
      <c r="Y242" s="18">
        <f t="shared" si="9"/>
        <v>256711.04851768826</v>
      </c>
      <c r="Z242" s="18">
        <f t="shared" si="10"/>
        <v>28102.935458351203</v>
      </c>
      <c r="AA242" s="18">
        <f t="shared" si="11"/>
        <v>119587.69994732652</v>
      </c>
      <c r="AB242" s="18">
        <f t="shared" si="12"/>
        <v>101350.56085647362</v>
      </c>
      <c r="AC242" s="18">
        <f t="shared" si="13"/>
        <v>39425.368139421931</v>
      </c>
      <c r="AD242" s="18">
        <f t="shared" si="14"/>
        <v>34246.96370813682</v>
      </c>
      <c r="AE242" s="18">
        <f>IF(AG242=0,AE241,AE241+H242+V242*T242*'P-Parametri'!$B$6+W242*U242*'P-Parametri'!$B$7)</f>
        <v>45317.17328368884</v>
      </c>
      <c r="AF242" s="18">
        <f t="shared" si="0"/>
        <v>415724.11660443671</v>
      </c>
      <c r="AG242" s="10">
        <f>IF(AND(AG241=1,(X242+W242*(1-'P-Parametri'!$B$7*U242)+V242*(1-'P-Parametri'!$B$6*T242))&gt;=MAX(0,$B$4-IF($A242&gt;='1-Input'!$C$12,'1-Input'!$B$12,0))-0.01),1,0)</f>
        <v>1</v>
      </c>
      <c r="AI242" s="11">
        <f t="shared" si="15"/>
        <v>0.8830834337502137</v>
      </c>
      <c r="AJ242" s="11">
        <f t="shared" si="16"/>
        <v>0.24434021375889309</v>
      </c>
      <c r="AK242" s="18">
        <f>MAX(0,BE241-('P-Parametri'!$B$31*BL241))</f>
        <v>8505.3184933474986</v>
      </c>
      <c r="AL242" s="18">
        <f>MAX(0,BG241-('P-Parametri'!$C$31*BL241))</f>
        <v>0</v>
      </c>
      <c r="AM242" s="18">
        <f>MAX(0,BI241-('P-Parametri'!$D$31*BL241))</f>
        <v>0</v>
      </c>
      <c r="AN242" s="18">
        <f>AK242*AI242*'P-Parametri'!$B$6+AL242*AJ242*'P-Parametri'!$B$7</f>
        <v>1952.8355236635709</v>
      </c>
      <c r="AO242" s="18">
        <f t="shared" si="17"/>
        <v>6552.4829696839279</v>
      </c>
      <c r="AP242" s="18">
        <f>MAX(0,('P-Parametri'!$B$31*BL241)-BE241)+MAX(0,('P-Parametri'!$C$31*BL241)-BG241)+MAX(0,('P-Parametri'!$D$31*BL241)-BI241)</f>
        <v>8505.3184933475131</v>
      </c>
      <c r="AQ242" s="18">
        <f>BE241-AK242+IF(AP242&lt;=0,0,AO242*MAX(0,('P-Parametri'!$B$31*BL241)-BE241)/AP242)</f>
        <v>245246.07461973981</v>
      </c>
      <c r="AR242" s="18">
        <f>BF241-AK242*(1-AI242)+IF(AP242&lt;=0,0,AO242*MAX(0,('P-Parametri'!$B$31*BL241)-BE241)/AP242)</f>
        <v>28673.328930778836</v>
      </c>
      <c r="AS242" s="18">
        <f>BG241-AL242+IF(AP242&lt;=0,0,AO242*MAX(0,('P-Parametri'!$C$31*BL241)-BG241)/AP242)</f>
        <v>121655.17160658528</v>
      </c>
      <c r="AT242" s="18">
        <f>BH241-AL242*(1-AJ242)+IF(AP242&lt;=0,0,AO242*MAX(0,('P-Parametri'!$C$31*BL241)-BG241)/AP242)</f>
        <v>92723.427098253567</v>
      </c>
      <c r="AU242" s="18">
        <f>BI241-AM242+IF(AP242&lt;=0,0,AO242*MAX(0,('P-Parametri'!$D$31*BL241)-BI241)/AP242)</f>
        <v>39889.375949577683</v>
      </c>
      <c r="AV242" s="18">
        <f>BJ241-AM242+IF(AP242&lt;=0,0,AO242*MAX(0,('P-Parametri'!$D$31*BL241)-BI241)/AP242)</f>
        <v>34523.928249815202</v>
      </c>
      <c r="AW242" s="18">
        <f t="shared" si="18"/>
        <v>262048.37368408739</v>
      </c>
      <c r="AX242" s="18">
        <f>AS242*(1+'P-Parametri'!$C$29)</f>
        <v>122263.44746461819</v>
      </c>
      <c r="AY242" s="18">
        <f>AU242*(1+'1-Input'!$B$27)</f>
        <v>39745.774196159204</v>
      </c>
      <c r="AZ242" s="11">
        <f t="shared" si="19"/>
        <v>0.89058001571364076</v>
      </c>
      <c r="BA242" s="11">
        <f t="shared" si="20"/>
        <v>0.24160958143204009</v>
      </c>
      <c r="BB242" s="18">
        <f>IF(BM241=0,0,MIN(MAX(AW242,0),(MAX(0,$B$4-IF($A242&gt;='1-Input'!$C$12,'1-Input'!$B$12,0))-BD242-BC242*(1-'P-Parametri'!$B$7*BA242))/(1-'P-Parametri'!$B$6*AZ242)))</f>
        <v>0</v>
      </c>
      <c r="BC242" s="18">
        <f>IF(BM241=0,0,MIN(MAX(AX242,0),(MAX(0,$B$4-IF($A242&gt;='1-Input'!$C$12,'1-Input'!$B$12,0))-BD242)/(1-'P-Parametri'!$B$7*BA242)))</f>
        <v>0</v>
      </c>
      <c r="BD242" s="18">
        <f>IF(BM241=0,0,MIN(MAX(AY242,0),MAX(0,$B$4-IF($A242&gt;='1-Input'!$C$12,'1-Input'!$B$12,0))))</f>
        <v>1898</v>
      </c>
      <c r="BE242" s="18">
        <f t="shared" si="21"/>
        <v>262048.37368408739</v>
      </c>
      <c r="BF242" s="18">
        <f t="shared" si="22"/>
        <v>28673.328930778836</v>
      </c>
      <c r="BG242" s="18">
        <f t="shared" si="23"/>
        <v>122263.44746461819</v>
      </c>
      <c r="BH242" s="18">
        <f t="shared" si="24"/>
        <v>92723.427098253567</v>
      </c>
      <c r="BI242" s="18">
        <f t="shared" si="25"/>
        <v>37847.774196159204</v>
      </c>
      <c r="BJ242" s="18">
        <f t="shared" si="26"/>
        <v>32625.928249815202</v>
      </c>
      <c r="BK242" s="18">
        <f>IF(BM242=0,BK241,BK241+AN242+BB242*AZ242*'P-Parametri'!$B$6+BC242*BA242*'P-Parametri'!$B$7)</f>
        <v>43941.05237254798</v>
      </c>
      <c r="BL242" s="18">
        <f t="shared" si="1"/>
        <v>422159.59534486476</v>
      </c>
      <c r="BM242" s="10">
        <f>IF(AND(BM241=1,(BD242+BC242*(1-'P-Parametri'!$B$7*BA242)+BB242*(1-'P-Parametri'!$B$6*AZ242))&gt;=MAX(0,$B$4-IF($A242&gt;='1-Input'!$C$12,'1-Input'!$B$12,0))-0.01),1,0)</f>
        <v>1</v>
      </c>
      <c r="BO242" s="11">
        <f t="shared" si="27"/>
        <v>0.88280163699142999</v>
      </c>
      <c r="BP242" s="11">
        <f t="shared" si="28"/>
        <v>0.15321682424130242</v>
      </c>
      <c r="BQ242" s="18">
        <f>MAX(0,CK241-('P-Parametri'!$B$31*CR241))</f>
        <v>6805.5751748183393</v>
      </c>
      <c r="BR242" s="18">
        <f>MAX(0,CM241-('P-Parametri'!$C$31*CR241))</f>
        <v>0</v>
      </c>
      <c r="BS242" s="18">
        <f>MAX(0,CO241-('P-Parametri'!$D$31*CR241))</f>
        <v>0</v>
      </c>
      <c r="BT242" s="18">
        <f>BQ242*BO242*'P-Parametri'!$B$6+BR242*BP242*'P-Parametri'!$B$6</f>
        <v>1562.0729552994455</v>
      </c>
      <c r="BU242" s="18">
        <f t="shared" si="29"/>
        <v>5243.502219518894</v>
      </c>
      <c r="BV242" s="18">
        <f>MAX(0,('P-Parametri'!$B$31*CR241)-CK241)+MAX(0,('P-Parametri'!$C$31*CR241)-CM241)+MAX(0,('P-Parametri'!$D$31*CR241)-CO241)</f>
        <v>6805.5751748183684</v>
      </c>
      <c r="BW242" s="18">
        <f>CK241-BQ242+IF(BV242&lt;=0,0,BU242*MAX(0,('P-Parametri'!$B$31*CR241)-CK241)/BV242)</f>
        <v>233637.79841825322</v>
      </c>
      <c r="BX242" s="18">
        <f>CL241-BQ242*(1-BO242)+IF(BV242&lt;=0,0,BU242*MAX(0,('P-Parametri'!$B$31*CR241)-CK241)/BV242)</f>
        <v>27381.967511545547</v>
      </c>
      <c r="BY242" s="18">
        <f>CM241-BR242+IF(BV242&lt;=0,0,BU242*MAX(0,('P-Parametri'!$C$31*CR241)-CM241)/BV242)</f>
        <v>115717.65523138957</v>
      </c>
      <c r="BZ242" s="18">
        <f>CN241-BR242*(1-BP242)+IF(BV242&lt;=0,0,BU242*MAX(0,('P-Parametri'!$C$31*CR241)-CM241)/BV242)</f>
        <v>98554.146504859818</v>
      </c>
      <c r="CA242" s="18">
        <f>CO241-BS242+IF(BV242&lt;=0,0,BU242*MAX(0,('P-Parametri'!$D$31*CR241)-CO241)/BV242)</f>
        <v>38478.804092146449</v>
      </c>
      <c r="CB242" s="18">
        <f>CP241-BS242+IF(BV242&lt;=0,0,BU242*MAX(0,('P-Parametri'!$D$31*CR241)-CO241)/BV242)</f>
        <v>33071.847873376893</v>
      </c>
      <c r="CC242" s="18">
        <f t="shared" si="30"/>
        <v>249644.79126348457</v>
      </c>
      <c r="CD242" s="18">
        <f>BY242*(1+'P-Parametri'!$C$29)</f>
        <v>116296.2435075465</v>
      </c>
      <c r="CE242" s="18">
        <f>CA242*(1+'1-Input'!$B$27)</f>
        <v>38340.280397414717</v>
      </c>
      <c r="CF242" s="11">
        <f t="shared" si="31"/>
        <v>0.89031628750208702</v>
      </c>
      <c r="CG242" s="11">
        <f t="shared" si="32"/>
        <v>0.152559502074849</v>
      </c>
      <c r="CH242" s="18">
        <f>IF(CS241=0,0,(MIN((CC242+CD242+CE242),MAX(0,$B$4-IF($A242&gt;='1-Input'!$C$12,'1-Input'!$B$12,0))/(CC242/(CC242+CD242+CE242)*(1-'P-Parametri'!$B$6*CF242)+CD242/(CC242+CD242+CE242)*(1-'P-Parametri'!$B$6*CG242)+CE242/(CC242+CD242+CE242))))*CC242/(CC242+CD242+CE242))</f>
        <v>1385.9417463433037</v>
      </c>
      <c r="CI242" s="18">
        <f>IF(CS241=0,0,(MIN((CC242+CD242+CE242),MAX(0,$B$4-IF($A242&gt;='1-Input'!$C$12,'1-Input'!$B$12,0))/(CC242/(CC242+CD242+CE242)*(1-'P-Parametri'!$B$6*CF242)+CD242/(CC242+CD242+CE242)*(1-'P-Parametri'!$B$6*CG242)+CE242/(CC242+CD242+CE242))))*CD242/(CC242+CD242+CE242))</f>
        <v>645.63661834986897</v>
      </c>
      <c r="CJ242" s="18">
        <f>IF(CS241=0,0,(MIN((CC242+CD242+CE242),MAX(0,$B$4-IF($A242&gt;='1-Input'!$C$12,'1-Input'!$B$12,0))/(CC242/(CC242+CD242+CE242)*(1-'P-Parametri'!$B$6*CF242)+CD242/(CC242+CD242+CE242)*(1-'P-Parametri'!$B$6*CG242)+CE242/(CC242+CD242+CE242))))*CE242/(CC242+CD242+CE242))</f>
        <v>212.85200824879885</v>
      </c>
      <c r="CK242" s="18">
        <f t="shared" si="33"/>
        <v>248258.84951714127</v>
      </c>
      <c r="CL242" s="18">
        <f t="shared" si="34"/>
        <v>27229.952275500771</v>
      </c>
      <c r="CM242" s="18">
        <f t="shared" si="35"/>
        <v>115650.60688919663</v>
      </c>
      <c r="CN242" s="18">
        <f t="shared" si="36"/>
        <v>98007.007887526692</v>
      </c>
      <c r="CO242" s="18">
        <f t="shared" si="37"/>
        <v>38127.428389165922</v>
      </c>
      <c r="CP242" s="18">
        <f t="shared" si="38"/>
        <v>32858.995865128098</v>
      </c>
      <c r="CQ242" s="18">
        <f>IF(CS242=0,CQ241,CQ241+BT242+CH242*CF242*'P-Parametri'!$B$6+CI242*CG242*'P-Parametri'!$B$6)</f>
        <v>48506.146712595211</v>
      </c>
      <c r="CR242" s="18">
        <f t="shared" si="2"/>
        <v>402036.88479550381</v>
      </c>
      <c r="CS242" s="10">
        <f>IF(AND(CS241=1,(CJ242+CI242*(1-'P-Parametri'!$B$6*CG242)+CH242*(1-'P-Parametri'!$B$6*CF242))&gt;=MAX(0,$B$4-IF($A242&gt;='1-Input'!$C$12,'1-Input'!$B$12,0))-0.01),1,0)</f>
        <v>1</v>
      </c>
    </row>
    <row r="243" spans="1:97">
      <c r="A243" s="10">
        <f>43</f>
        <v>43</v>
      </c>
      <c r="B243" s="11">
        <f>IF(A243=1,'P-Parametri'!$B$30,IF(A243=2,'P-Parametri'!$C$30,'P-Parametri'!$B$29))</f>
        <v>6.8512000000000003E-2</v>
      </c>
      <c r="C243" s="11">
        <f t="shared" si="3"/>
        <v>0.89052697333977504</v>
      </c>
      <c r="D243" s="11">
        <f t="shared" si="4"/>
        <v>0.15250012416733169</v>
      </c>
      <c r="E243" s="18">
        <f>MAX(0,Y242-('P-Parametri'!$B$31*AF242))</f>
        <v>7276.5785550262372</v>
      </c>
      <c r="F243" s="18">
        <f>MAX(0,AA242-('P-Parametri'!$C$31*AF242))</f>
        <v>0</v>
      </c>
      <c r="G243" s="18">
        <f>MAX(0,AC242-('P-Parametri'!$D$31*AF242))</f>
        <v>0</v>
      </c>
      <c r="H243" s="18">
        <f>E243*C243*'P-Parametri'!$B$6+F243*D243*'P-Parametri'!$B$7</f>
        <v>1684.7972639879235</v>
      </c>
      <c r="I243" s="18">
        <f t="shared" si="5"/>
        <v>5591.7812910383136</v>
      </c>
      <c r="J243" s="18">
        <f>MAX(0,('P-Parametri'!$B$31*AF242)-Y242)+MAX(0,('P-Parametri'!$C$31*AF242)-AA242)+MAX(0,('P-Parametri'!$D$31*AF242)-AC242)</f>
        <v>7276.5785550262372</v>
      </c>
      <c r="K243" s="18">
        <f>Y242-E243+IF(J243&lt;=0,0,I243*MAX(0,('P-Parametri'!$B$31*AF242)-Y242)/J243)</f>
        <v>249434.46996266203</v>
      </c>
      <c r="L243" s="18">
        <f>Z242-E243*(1-C243)+IF(J243&lt;=0,0,I243*MAX(0,('P-Parametri'!$B$31*AF242)-Y242)/J243)</f>
        <v>27306.346380201594</v>
      </c>
      <c r="M243" s="18">
        <f>AA242-F243+IF(J243&lt;=0,0,I243*MAX(0,('P-Parametri'!$C$31*AF242)-AA242)/J243)</f>
        <v>123529.55776112821</v>
      </c>
      <c r="N243" s="18">
        <f>AB242-F243*(1-D243)+IF(J243&lt;=0,0,I243*MAX(0,('P-Parametri'!$C$31*AF242)-AA242)/J243)</f>
        <v>105292.41867027531</v>
      </c>
      <c r="O243" s="18">
        <f>AC242-G243+IF(J243&lt;=0,0,I243*MAX(0,('P-Parametri'!$D$31*AF242)-AC242)/J243)</f>
        <v>41075.291616658564</v>
      </c>
      <c r="P243" s="18">
        <f>AD242-G243+IF(J243&lt;=0,0,I243*MAX(0,('P-Parametri'!$D$31*AF242)-AC242)/J243)</f>
        <v>35896.887185373453</v>
      </c>
      <c r="Q243" s="18">
        <f t="shared" si="6"/>
        <v>266523.72436874389</v>
      </c>
      <c r="R243" s="18">
        <f>M243*(1+'P-Parametri'!$C$29)</f>
        <v>124147.20554993383</v>
      </c>
      <c r="S243" s="18">
        <f>O243*(1+'1-Input'!$B$27)</f>
        <v>40927.420566838591</v>
      </c>
      <c r="T243" s="11">
        <f t="shared" si="7"/>
        <v>0.89754628243742229</v>
      </c>
      <c r="U243" s="11">
        <f t="shared" si="8"/>
        <v>0.15187443644935569</v>
      </c>
      <c r="V243" s="18">
        <f>IF(AG242=0,0,(MIN((Q243+R243+S243),MAX(0,$B$4-IF($A243&gt;='1-Input'!$C$12,'1-Input'!$B$12,0))/(Q243/(Q243+R243+S243)*(1-'P-Parametri'!$B$6*T243)+R243/(Q243+R243+S243)*(1-'P-Parametri'!$B$7*U243)+S243/(Q243+R243+S243))))*Q243/(Q243+R243+S243))</f>
        <v>1378.2017221644451</v>
      </c>
      <c r="W243" s="18">
        <f>IF(AG242=0,0,(MIN((Q243+R243+S243),MAX(0,$B$4-IF($A243&gt;='1-Input'!$C$12,'1-Input'!$B$12,0))/(Q243/(Q243+R243+S243)*(1-'P-Parametri'!$B$6*T243)+R243/(Q243+R243+S243)*(1-'P-Parametri'!$B$7*U243)+S243/(Q243+R243+S243))))*R243/(Q243+R243+S243))</f>
        <v>641.96871365229799</v>
      </c>
      <c r="X243" s="18">
        <f>IF(AG242=0,0,(MIN((Q243+R243+S243),MAX(0,$B$4-IF($A243&gt;='1-Input'!$C$12,'1-Input'!$B$12,0))/(Q243/(Q243+R243+S243)*(1-'P-Parametri'!$B$6*T243)+R243/(Q243+R243+S243)*(1-'P-Parametri'!$B$7*U243)+S243/(Q243+R243+S243))))*S243/(Q243+R243+S243))</f>
        <v>211.63685012492803</v>
      </c>
      <c r="Y243" s="18">
        <f t="shared" si="9"/>
        <v>265145.52264657943</v>
      </c>
      <c r="Z243" s="18">
        <f t="shared" si="10"/>
        <v>27165.144490214701</v>
      </c>
      <c r="AA243" s="18">
        <f t="shared" si="11"/>
        <v>123505.23683628153</v>
      </c>
      <c r="AB243" s="18">
        <f t="shared" si="12"/>
        <v>104747.94859322708</v>
      </c>
      <c r="AC243" s="18">
        <f t="shared" si="13"/>
        <v>40715.78371671366</v>
      </c>
      <c r="AD243" s="18">
        <f t="shared" si="14"/>
        <v>35685.250335248522</v>
      </c>
      <c r="AE243" s="18">
        <f>IF(AG243=0,AE242,AE242+H243+V243*T243*'P-Parametri'!$B$6+W243*U243*'P-Parametri'!$B$7)</f>
        <v>47335.777833618435</v>
      </c>
      <c r="AF243" s="18">
        <f t="shared" si="0"/>
        <v>429366.54319957463</v>
      </c>
      <c r="AG243" s="10">
        <f>IF(AND(AG242=1,(X243+W243*(1-'P-Parametri'!$B$7*U243)+V243*(1-'P-Parametri'!$B$6*T243))&gt;=MAX(0,$B$4-IF($A243&gt;='1-Input'!$C$12,'1-Input'!$B$12,0))-0.01),1,0)</f>
        <v>1</v>
      </c>
      <c r="AI243" s="11">
        <f t="shared" si="15"/>
        <v>0.89058001571364076</v>
      </c>
      <c r="AJ243" s="11">
        <f t="shared" si="16"/>
        <v>0.24160958143204009</v>
      </c>
      <c r="AK243" s="18">
        <f>MAX(0,BE242-('P-Parametri'!$B$31*BL242))</f>
        <v>8752.6164771685435</v>
      </c>
      <c r="AL243" s="18">
        <f>MAX(0,BG242-('P-Parametri'!$C$31*BL242))</f>
        <v>0</v>
      </c>
      <c r="AM243" s="18">
        <f>MAX(0,BI242-('P-Parametri'!$D$31*BL242))</f>
        <v>0</v>
      </c>
      <c r="AN243" s="18">
        <f>AK243*AI243*'P-Parametri'!$B$6+AL243*AJ243*'P-Parametri'!$B$7</f>
        <v>2026.6753831407805</v>
      </c>
      <c r="AO243" s="18">
        <f t="shared" si="17"/>
        <v>6725.941094027763</v>
      </c>
      <c r="AP243" s="18">
        <f>MAX(0,('P-Parametri'!$B$31*BL242)-BE242)+MAX(0,('P-Parametri'!$C$31*BL242)-BG242)+MAX(0,('P-Parametri'!$D$31*BL242)-BI242)</f>
        <v>8752.6164771685071</v>
      </c>
      <c r="AQ243" s="18">
        <f>BE242-AK243+IF(AP243&lt;=0,0,AO243*MAX(0,('P-Parametri'!$B$31*BL242)-BE242)/AP243)</f>
        <v>253295.75720691885</v>
      </c>
      <c r="AR243" s="18">
        <f>BF242-AK243*(1-AI243)+IF(AP243&lt;=0,0,AO243*MAX(0,('P-Parametri'!$B$31*BL242)-BE242)/AP243)</f>
        <v>27715.617773382524</v>
      </c>
      <c r="AS243" s="18">
        <f>BG242-AL243+IF(AP243&lt;=0,0,AO243*MAX(0,('P-Parametri'!$C$31*BL242)-BG242)/AP243)</f>
        <v>125632.66004780305</v>
      </c>
      <c r="AT243" s="18">
        <f>BH242-AL243*(1-AJ243)+IF(AP243&lt;=0,0,AO243*MAX(0,('P-Parametri'!$C$31*BL242)-BG242)/AP243)</f>
        <v>96092.639681438421</v>
      </c>
      <c r="AU243" s="18">
        <f>BI242-AM243+IF(AP243&lt;=0,0,AO243*MAX(0,('P-Parametri'!$D$31*BL242)-BI242)/AP243)</f>
        <v>41204.502707002117</v>
      </c>
      <c r="AV243" s="18">
        <f>BJ242-AM243+IF(AP243&lt;=0,0,AO243*MAX(0,('P-Parametri'!$D$31*BL242)-BI242)/AP243)</f>
        <v>35982.656760658116</v>
      </c>
      <c r="AW243" s="18">
        <f t="shared" si="18"/>
        <v>270649.55612467922</v>
      </c>
      <c r="AX243" s="18">
        <f>AS243*(1+'P-Parametri'!$C$29)</f>
        <v>126260.82334804205</v>
      </c>
      <c r="AY243" s="18">
        <f>AU243*(1+'1-Input'!$B$27)</f>
        <v>41056.166497256905</v>
      </c>
      <c r="AZ243" s="11">
        <f t="shared" si="19"/>
        <v>0.89759592378339292</v>
      </c>
      <c r="BA243" s="11">
        <f t="shared" si="20"/>
        <v>0.23893542641840732</v>
      </c>
      <c r="BB243" s="18">
        <f>IF(BM242=0,0,MIN(MAX(AW243,0),(MAX(0,$B$4-IF($A243&gt;='1-Input'!$C$12,'1-Input'!$B$12,0))-BD243-BC243*(1-'P-Parametri'!$B$7*BA243))/(1-'P-Parametri'!$B$6*AZ243)))</f>
        <v>0</v>
      </c>
      <c r="BC243" s="18">
        <f>IF(BM242=0,0,MIN(MAX(AX243,0),(MAX(0,$B$4-IF($A243&gt;='1-Input'!$C$12,'1-Input'!$B$12,0))-BD243)/(1-'P-Parametri'!$B$7*BA243)))</f>
        <v>0</v>
      </c>
      <c r="BD243" s="18">
        <f>IF(BM242=0,0,MIN(MAX(AY243,0),MAX(0,$B$4-IF($A243&gt;='1-Input'!$C$12,'1-Input'!$B$12,0))))</f>
        <v>1898</v>
      </c>
      <c r="BE243" s="18">
        <f t="shared" si="21"/>
        <v>270649.55612467922</v>
      </c>
      <c r="BF243" s="18">
        <f t="shared" si="22"/>
        <v>27715.617773382524</v>
      </c>
      <c r="BG243" s="18">
        <f t="shared" si="23"/>
        <v>126260.82334804205</v>
      </c>
      <c r="BH243" s="18">
        <f t="shared" si="24"/>
        <v>96092.639681438421</v>
      </c>
      <c r="BI243" s="18">
        <f t="shared" si="25"/>
        <v>39158.166497256905</v>
      </c>
      <c r="BJ243" s="18">
        <f t="shared" si="26"/>
        <v>34084.656760658116</v>
      </c>
      <c r="BK243" s="18">
        <f>IF(BM243=0,BK242,BK242+AN243+BB243*AZ243*'P-Parametri'!$B$6+BC243*BA243*'P-Parametri'!$B$7)</f>
        <v>45967.727755688757</v>
      </c>
      <c r="BL243" s="18">
        <f t="shared" si="1"/>
        <v>436068.54596997815</v>
      </c>
      <c r="BM243" s="10">
        <f>IF(AND(BM242=1,(BD243+BC243*(1-'P-Parametri'!$B$7*BA243)+BB243*(1-'P-Parametri'!$B$6*AZ243))&gt;=MAX(0,$B$4-IF($A243&gt;='1-Input'!$C$12,'1-Input'!$B$12,0))-0.01),1,0)</f>
        <v>1</v>
      </c>
      <c r="BO243" s="11">
        <f t="shared" si="27"/>
        <v>0.89031628750208691</v>
      </c>
      <c r="BP243" s="11">
        <f t="shared" si="28"/>
        <v>0.15255950207484897</v>
      </c>
      <c r="BQ243" s="18">
        <f>MAX(0,CK242-('P-Parametri'!$B$31*CR242))</f>
        <v>7036.718639839004</v>
      </c>
      <c r="BR243" s="18">
        <f>MAX(0,CM242-('P-Parametri'!$C$31*CR242))</f>
        <v>0</v>
      </c>
      <c r="BS243" s="18">
        <f>MAX(0,CO242-('P-Parametri'!$D$31*CR242))</f>
        <v>0</v>
      </c>
      <c r="BT243" s="18">
        <f>BQ243*BO243*'P-Parametri'!$B$6+BR243*BP243*'P-Parametri'!$B$6</f>
        <v>1628.8753560607313</v>
      </c>
      <c r="BU243" s="18">
        <f t="shared" si="29"/>
        <v>5407.843283778273</v>
      </c>
      <c r="BV243" s="18">
        <f>MAX(0,('P-Parametri'!$B$31*CR242)-CK242)+MAX(0,('P-Parametri'!$C$31*CR242)-CM242)+MAX(0,('P-Parametri'!$D$31*CR242)-CO242)</f>
        <v>7036.7186398389676</v>
      </c>
      <c r="BW243" s="18">
        <f>CK242-BQ243+IF(BV243&lt;=0,0,BU243*MAX(0,('P-Parametri'!$B$31*CR242)-CK242)/BV243)</f>
        <v>241222.13087730226</v>
      </c>
      <c r="BX243" s="18">
        <f>CL242-BQ243*(1-BO243)+IF(BV243&lt;=0,0,BU243*MAX(0,('P-Parametri'!$B$31*CR242)-CK242)/BV243)</f>
        <v>26458.138851279964</v>
      </c>
      <c r="BY243" s="18">
        <f>CM242-BR243+IF(BV243&lt;=0,0,BU243*MAX(0,('P-Parametri'!$C$31*CR242)-CM242)/BV243)</f>
        <v>119462.80740823598</v>
      </c>
      <c r="BZ243" s="18">
        <f>CN242-BR243*(1-BP243)+IF(BV243&lt;=0,0,BU243*MAX(0,('P-Parametri'!$C$31*CR242)-CM242)/BV243)</f>
        <v>101819.20840656605</v>
      </c>
      <c r="CA243" s="18">
        <f>CO242-BS243+IF(BV243&lt;=0,0,BU243*MAX(0,('P-Parametri'!$D$31*CR242)-CO242)/BV243)</f>
        <v>39723.071153904835</v>
      </c>
      <c r="CB243" s="18">
        <f>CP242-BS243+IF(BV243&lt;=0,0,BU243*MAX(0,('P-Parametri'!$D$31*CR242)-CO242)/BV243)</f>
        <v>34454.638629867011</v>
      </c>
      <c r="CC243" s="18">
        <f t="shared" si="30"/>
        <v>257748.74150796796</v>
      </c>
      <c r="CD243" s="18">
        <f>BY243*(1+'P-Parametri'!$C$29)</f>
        <v>120060.12144527715</v>
      </c>
      <c r="CE243" s="18">
        <f>CA243*(1+'1-Input'!$B$27)</f>
        <v>39580.068097750773</v>
      </c>
      <c r="CF243" s="11">
        <f t="shared" si="31"/>
        <v>0.89734910558055214</v>
      </c>
      <c r="CG243" s="11">
        <f t="shared" si="32"/>
        <v>0.15193148915000249</v>
      </c>
      <c r="CH243" s="18">
        <f>IF(CS242=0,0,(MIN((CC243+CD243+CE243),MAX(0,$B$4-IF($A243&gt;='1-Input'!$C$12,'1-Input'!$B$12,0))/(CC243/(CC243+CD243+CE243)*(1-'P-Parametri'!$B$6*CF243)+CD243/(CC243+CD243+CE243)*(1-'P-Parametri'!$B$6*CG243)+CE243/(CC243+CD243+CE243))))*CC243/(CC243+CD243+CE243))</f>
        <v>1387.7793215231625</v>
      </c>
      <c r="CI243" s="18">
        <f>IF(CS242=0,0,(MIN((CC243+CD243+CE243),MAX(0,$B$4-IF($A243&gt;='1-Input'!$C$12,'1-Input'!$B$12,0))/(CC243/(CC243+CD243+CE243)*(1-'P-Parametri'!$B$6*CF243)+CD243/(CC243+CD243+CE243)*(1-'P-Parametri'!$B$6*CG243)+CE243/(CC243+CD243+CE243))))*CD243/(CC243+CD243+CE243))</f>
        <v>646.4316873344053</v>
      </c>
      <c r="CJ243" s="18">
        <f>IF(CS242=0,0,(MIN((CC243+CD243+CE243),MAX(0,$B$4-IF($A243&gt;='1-Input'!$C$12,'1-Input'!$B$12,0))/(CC243/(CC243+CD243+CE243)*(1-'P-Parametri'!$B$6*CF243)+CD243/(CC243+CD243+CE243)*(1-'P-Parametri'!$B$6*CG243)+CE243/(CC243+CD243+CE243))))*CE243/(CC243+CD243+CE243))</f>
        <v>213.1083152110719</v>
      </c>
      <c r="CK243" s="18">
        <f t="shared" si="33"/>
        <v>256360.96218644481</v>
      </c>
      <c r="CL243" s="18">
        <f t="shared" si="34"/>
        <v>26315.682062668799</v>
      </c>
      <c r="CM243" s="18">
        <f t="shared" si="35"/>
        <v>119413.68975794275</v>
      </c>
      <c r="CN243" s="18">
        <f t="shared" si="36"/>
        <v>101270.99004812211</v>
      </c>
      <c r="CO243" s="18">
        <f t="shared" si="37"/>
        <v>39366.9597825397</v>
      </c>
      <c r="CP243" s="18">
        <f t="shared" si="38"/>
        <v>34241.530314655938</v>
      </c>
      <c r="CQ243" s="18">
        <f>IF(CS243=0,CQ242,CQ242+BT243+CH243*CF243*'P-Parametri'!$B$6+CI243*CG243*'P-Parametri'!$B$6)</f>
        <v>50484.341392724578</v>
      </c>
      <c r="CR243" s="18">
        <f t="shared" si="2"/>
        <v>415141.61172692728</v>
      </c>
      <c r="CS243" s="10">
        <f>IF(AND(CS242=1,(CJ243+CI243*(1-'P-Parametri'!$B$6*CG243)+CH243*(1-'P-Parametri'!$B$6*CF243))&gt;=MAX(0,$B$4-IF($A243&gt;='1-Input'!$C$12,'1-Input'!$B$12,0))-0.01),1,0)</f>
        <v>1</v>
      </c>
    </row>
    <row r="244" spans="1:97">
      <c r="A244" s="10">
        <f>44</f>
        <v>44</v>
      </c>
      <c r="B244" s="11">
        <f>IF(A244=1,'P-Parametri'!$B$30,IF(A244=2,'P-Parametri'!$C$30,'P-Parametri'!$B$29))</f>
        <v>6.8512000000000003E-2</v>
      </c>
      <c r="C244" s="11">
        <f t="shared" si="3"/>
        <v>0.89754628243742229</v>
      </c>
      <c r="D244" s="11">
        <f t="shared" si="4"/>
        <v>0.15187443644935564</v>
      </c>
      <c r="E244" s="18">
        <f>MAX(0,Y243-('P-Parametri'!$B$31*AF243))</f>
        <v>7525.5967268346576</v>
      </c>
      <c r="F244" s="18">
        <f>MAX(0,AA243-('P-Parametri'!$C$31*AF243))</f>
        <v>0</v>
      </c>
      <c r="G244" s="18">
        <f>MAX(0,AC243-('P-Parametri'!$D$31*AF243))</f>
        <v>0</v>
      </c>
      <c r="H244" s="18">
        <f>E244*C244*'P-Parametri'!$B$6+F244*D244*'P-Parametri'!$B$7</f>
        <v>1756.188554976357</v>
      </c>
      <c r="I244" s="18">
        <f t="shared" si="5"/>
        <v>5769.4081718583002</v>
      </c>
      <c r="J244" s="18">
        <f>MAX(0,('P-Parametri'!$B$31*AF243)-Y243)+MAX(0,('P-Parametri'!$C$31*AF243)-AA243)+MAX(0,('P-Parametri'!$D$31*AF243)-AC243)</f>
        <v>7525.5967268346576</v>
      </c>
      <c r="K244" s="18">
        <f>Y243-E244+IF(J244&lt;=0,0,I244*MAX(0,('P-Parametri'!$B$31*AF243)-Y243)/J244)</f>
        <v>257619.92591974477</v>
      </c>
      <c r="L244" s="18">
        <f>Z243-E244*(1-C244)+IF(J244&lt;=0,0,I244*MAX(0,('P-Parametri'!$B$31*AF243)-Y243)/J244)</f>
        <v>26394.119128673723</v>
      </c>
      <c r="M244" s="18">
        <f>AA243-F244+IF(J244&lt;=0,0,I244*MAX(0,('P-Parametri'!$C$31*AF243)-AA243)/J244)</f>
        <v>127572.04128486219</v>
      </c>
      <c r="N244" s="18">
        <f>AB243-F244*(1-D244)+IF(J244&lt;=0,0,I244*MAX(0,('P-Parametri'!$C$31*AF243)-AA243)/J244)</f>
        <v>108814.75304180774</v>
      </c>
      <c r="O244" s="18">
        <f>AC243-G244+IF(J244&lt;=0,0,I244*MAX(0,('P-Parametri'!$D$31*AF243)-AC243)/J244)</f>
        <v>42418.387439991297</v>
      </c>
      <c r="P244" s="18">
        <f>AD243-G244+IF(J244&lt;=0,0,I244*MAX(0,('P-Parametri'!$D$31*AF243)-AC243)/J244)</f>
        <v>37387.854058526158</v>
      </c>
      <c r="Q244" s="18">
        <f t="shared" si="6"/>
        <v>275269.9822843583</v>
      </c>
      <c r="R244" s="18">
        <f>M244*(1+'P-Parametri'!$C$29)</f>
        <v>128209.9014912865</v>
      </c>
      <c r="S244" s="18">
        <f>O244*(1+'1-Input'!$B$27)</f>
        <v>42265.681245207328</v>
      </c>
      <c r="T244" s="11">
        <f t="shared" si="7"/>
        <v>0.9041155199355948</v>
      </c>
      <c r="U244" s="11">
        <f t="shared" si="8"/>
        <v>0.15127652563399643</v>
      </c>
      <c r="V244" s="18">
        <f>IF(AG243=0,0,(MIN((Q244+R244+S244),MAX(0,$B$4-IF($A244&gt;='1-Input'!$C$12,'1-Input'!$B$12,0))/(Q244/(Q244+R244+S244)*(1-'P-Parametri'!$B$6*T244)+R244/(Q244+R244+S244)*(1-'P-Parametri'!$B$7*U244)+S244/(Q244+R244+S244))))*Q244/(Q244+R244+S244))</f>
        <v>1379.9362660110003</v>
      </c>
      <c r="W244" s="18">
        <f>IF(AG243=0,0,(MIN((Q244+R244+S244),MAX(0,$B$4-IF($A244&gt;='1-Input'!$C$12,'1-Input'!$B$12,0))/(Q244/(Q244+R244+S244)*(1-'P-Parametri'!$B$6*T244)+R244/(Q244+R244+S244)*(1-'P-Parametri'!$B$7*U244)+S244/(Q244+R244+S244))))*R244/(Q244+R244+S244))</f>
        <v>642.71988998335928</v>
      </c>
      <c r="X244" s="18">
        <f>IF(AG243=0,0,(MIN((Q244+R244+S244),MAX(0,$B$4-IF($A244&gt;='1-Input'!$C$12,'1-Input'!$B$12,0))/(Q244/(Q244+R244+S244)*(1-'P-Parametri'!$B$6*T244)+R244/(Q244+R244+S244)*(1-'P-Parametri'!$B$7*U244)+S244/(Q244+R244+S244))))*S244/(Q244+R244+S244))</f>
        <v>211.87906459656392</v>
      </c>
      <c r="Y244" s="18">
        <f t="shared" si="9"/>
        <v>273890.04601834732</v>
      </c>
      <c r="Z244" s="18">
        <f t="shared" si="10"/>
        <v>26261.80465728524</v>
      </c>
      <c r="AA244" s="18">
        <f t="shared" si="11"/>
        <v>127567.18160130313</v>
      </c>
      <c r="AB244" s="18">
        <f t="shared" si="12"/>
        <v>108269.26158373692</v>
      </c>
      <c r="AC244" s="18">
        <f t="shared" si="13"/>
        <v>42053.802180610764</v>
      </c>
      <c r="AD244" s="18">
        <f t="shared" si="14"/>
        <v>37175.974993929594</v>
      </c>
      <c r="AE244" s="18">
        <f>IF(AG244=0,AE243,AE243+H244+V244*T244*'P-Parametri'!$B$6+W244*U244*'P-Parametri'!$B$7)</f>
        <v>49428.501609185711</v>
      </c>
      <c r="AF244" s="18">
        <f t="shared" si="0"/>
        <v>443511.0298002612</v>
      </c>
      <c r="AG244" s="10">
        <f>IF(AND(AG243=1,(X244+W244*(1-'P-Parametri'!$B$7*U244)+V244*(1-'P-Parametri'!$B$6*T244))&gt;=MAX(0,$B$4-IF($A244&gt;='1-Input'!$C$12,'1-Input'!$B$12,0))-0.01),1,0)</f>
        <v>1</v>
      </c>
      <c r="AI244" s="11">
        <f t="shared" si="15"/>
        <v>0.89759592378339292</v>
      </c>
      <c r="AJ244" s="11">
        <f t="shared" si="16"/>
        <v>0.23893542641840732</v>
      </c>
      <c r="AK244" s="18">
        <f>MAX(0,BE243-('P-Parametri'!$B$31*BL243))</f>
        <v>9008.4285426923307</v>
      </c>
      <c r="AL244" s="18">
        <f>MAX(0,BG243-('P-Parametri'!$C$31*BL243))</f>
        <v>0</v>
      </c>
      <c r="AM244" s="18">
        <f>MAX(0,BI243-('P-Parametri'!$D$31*BL243))</f>
        <v>0</v>
      </c>
      <c r="AN244" s="18">
        <f>AK244*AI244*'P-Parametri'!$B$6+AL244*AJ244*'P-Parametri'!$B$7</f>
        <v>2102.3414722997977</v>
      </c>
      <c r="AO244" s="18">
        <f t="shared" si="17"/>
        <v>6906.087070392533</v>
      </c>
      <c r="AP244" s="18">
        <f>MAX(0,('P-Parametri'!$B$31*BL243)-BE243)+MAX(0,('P-Parametri'!$C$31*BL243)-BG243)+MAX(0,('P-Parametri'!$D$31*BL243)-BI243)</f>
        <v>9008.4285426923088</v>
      </c>
      <c r="AQ244" s="18">
        <f>BE243-AK244+IF(AP244&lt;=0,0,AO244*MAX(0,('P-Parametri'!$B$31*BL243)-BE243)/AP244)</f>
        <v>261641.12758198689</v>
      </c>
      <c r="AR244" s="18">
        <f>BF243-AK244*(1-AI244)+IF(AP244&lt;=0,0,AO244*MAX(0,('P-Parametri'!$B$31*BL243)-BE243)/AP244)</f>
        <v>26793.1179703048</v>
      </c>
      <c r="AS244" s="18">
        <f>BG243-AL244+IF(AP244&lt;=0,0,AO244*MAX(0,('P-Parametri'!$C$31*BL243)-BG243)/AP244)</f>
        <v>129756.43463786655</v>
      </c>
      <c r="AT244" s="18">
        <f>BH243-AL244*(1-AJ244)+IF(AP244&lt;=0,0,AO244*MAX(0,('P-Parametri'!$C$31*BL243)-BG243)/AP244)</f>
        <v>99588.250971262925</v>
      </c>
      <c r="AU244" s="18">
        <f>BI243-AM244+IF(AP244&lt;=0,0,AO244*MAX(0,('P-Parametri'!$D$31*BL243)-BI243)/AP244)</f>
        <v>42568.642277824933</v>
      </c>
      <c r="AV244" s="18">
        <f>BJ243-AM244+IF(AP244&lt;=0,0,AO244*MAX(0,('P-Parametri'!$D$31*BL243)-BI243)/AP244)</f>
        <v>37495.132541226143</v>
      </c>
      <c r="AW244" s="18">
        <f t="shared" si="18"/>
        <v>279566.68451488396</v>
      </c>
      <c r="AX244" s="18">
        <f>AS244*(1+'P-Parametri'!$C$29)</f>
        <v>130405.21681105587</v>
      </c>
      <c r="AY244" s="18">
        <f>AU244*(1+'1-Input'!$B$27)</f>
        <v>42415.395165624759</v>
      </c>
      <c r="AZ244" s="11">
        <f t="shared" si="19"/>
        <v>0.90416197832442957</v>
      </c>
      <c r="BA244" s="11">
        <f t="shared" si="20"/>
        <v>0.23631697100311294</v>
      </c>
      <c r="BB244" s="18">
        <f>IF(BM243=0,0,MIN(MAX(AW244,0),(MAX(0,$B$4-IF($A244&gt;='1-Input'!$C$12,'1-Input'!$B$12,0))-BD244-BC244*(1-'P-Parametri'!$B$7*BA244))/(1-'P-Parametri'!$B$6*AZ244)))</f>
        <v>0</v>
      </c>
      <c r="BC244" s="18">
        <f>IF(BM243=0,0,MIN(MAX(AX244,0),(MAX(0,$B$4-IF($A244&gt;='1-Input'!$C$12,'1-Input'!$B$12,0))-BD244)/(1-'P-Parametri'!$B$7*BA244)))</f>
        <v>0</v>
      </c>
      <c r="BD244" s="18">
        <f>IF(BM243=0,0,MIN(MAX(AY244,0),MAX(0,$B$4-IF($A244&gt;='1-Input'!$C$12,'1-Input'!$B$12,0))))</f>
        <v>1898</v>
      </c>
      <c r="BE244" s="18">
        <f t="shared" si="21"/>
        <v>279566.68451488396</v>
      </c>
      <c r="BF244" s="18">
        <f t="shared" si="22"/>
        <v>26793.1179703048</v>
      </c>
      <c r="BG244" s="18">
        <f t="shared" si="23"/>
        <v>130405.21681105587</v>
      </c>
      <c r="BH244" s="18">
        <f t="shared" si="24"/>
        <v>99588.250971262925</v>
      </c>
      <c r="BI244" s="18">
        <f t="shared" si="25"/>
        <v>40517.395165624759</v>
      </c>
      <c r="BJ244" s="18">
        <f t="shared" si="26"/>
        <v>35597.132541226143</v>
      </c>
      <c r="BK244" s="18">
        <f>IF(BM244=0,BK243,BK243+AN244+BB244*AZ244*'P-Parametri'!$B$6+BC244*BA244*'P-Parametri'!$B$7)</f>
        <v>48070.069227988555</v>
      </c>
      <c r="BL244" s="18">
        <f t="shared" si="1"/>
        <v>450489.29649156454</v>
      </c>
      <c r="BM244" s="10">
        <f>IF(AND(BM243=1,(BD244+BC244*(1-'P-Parametri'!$B$7*BA244)+BB244*(1-'P-Parametri'!$B$6*AZ244))&gt;=MAX(0,$B$4-IF($A244&gt;='1-Input'!$C$12,'1-Input'!$B$12,0))-0.01),1,0)</f>
        <v>1</v>
      </c>
      <c r="BO244" s="11">
        <f t="shared" si="27"/>
        <v>0.89734910558055214</v>
      </c>
      <c r="BP244" s="11">
        <f t="shared" si="28"/>
        <v>0.15193148915000243</v>
      </c>
      <c r="BQ244" s="18">
        <f>MAX(0,CK243-('P-Parametri'!$B$31*CR243))</f>
        <v>7275.9951502884505</v>
      </c>
      <c r="BR244" s="18">
        <f>MAX(0,CM243-('P-Parametri'!$C$31*CR243))</f>
        <v>0</v>
      </c>
      <c r="BS244" s="18">
        <f>MAX(0,CO243-('P-Parametri'!$D$31*CR243))</f>
        <v>0</v>
      </c>
      <c r="BT244" s="18">
        <f>BQ244*BO244*'P-Parametri'!$B$6+BR244*BP244*'P-Parametri'!$B$6</f>
        <v>1697.5680124831417</v>
      </c>
      <c r="BU244" s="18">
        <f t="shared" si="29"/>
        <v>5578.427137805309</v>
      </c>
      <c r="BV244" s="18">
        <f>MAX(0,('P-Parametri'!$B$31*CR243)-CK243)+MAX(0,('P-Parametri'!$C$31*CR243)-CM243)+MAX(0,('P-Parametri'!$D$31*CR243)-CO243)</f>
        <v>7275.9951502884651</v>
      </c>
      <c r="BW244" s="18">
        <f>CK243-BQ244+IF(BV244&lt;=0,0,BU244*MAX(0,('P-Parametri'!$B$31*CR243)-CK243)/BV244)</f>
        <v>249084.96703615636</v>
      </c>
      <c r="BX244" s="18">
        <f>CL243-BQ244*(1-BO244)+IF(BV244&lt;=0,0,BU244*MAX(0,('P-Parametri'!$B$31*CR243)-CK243)/BV244)</f>
        <v>25568.794652700126</v>
      </c>
      <c r="BY244" s="18">
        <f>CM243-BR244+IF(BV244&lt;=0,0,BU244*MAX(0,('P-Parametri'!$C$31*CR243)-CM243)/BV244)</f>
        <v>123345.88070980336</v>
      </c>
      <c r="BZ244" s="18">
        <f>CN243-BR244*(1-BP244)+IF(BV244&lt;=0,0,BU244*MAX(0,('P-Parametri'!$C$31*CR243)-CM243)/BV244)</f>
        <v>105203.18099998272</v>
      </c>
      <c r="CA244" s="18">
        <f>CO243-BS244+IF(BV244&lt;=0,0,BU244*MAX(0,('P-Parametri'!$D$31*CR243)-CO243)/BV244)</f>
        <v>41013.19596848439</v>
      </c>
      <c r="CB244" s="18">
        <f>CP243-BS244+IF(BV244&lt;=0,0,BU244*MAX(0,('P-Parametri'!$D$31*CR243)-CO243)/BV244)</f>
        <v>35887.766500600628</v>
      </c>
      <c r="CC244" s="18">
        <f t="shared" si="30"/>
        <v>266150.2762977375</v>
      </c>
      <c r="CD244" s="18">
        <f>BY244*(1+'P-Parametri'!$C$29)</f>
        <v>123962.61011335236</v>
      </c>
      <c r="CE244" s="18">
        <f>CA244*(1+'1-Input'!$B$27)</f>
        <v>40865.548462997845</v>
      </c>
      <c r="CF244" s="11">
        <f t="shared" si="31"/>
        <v>0.9039309858762018</v>
      </c>
      <c r="CG244" s="11">
        <f t="shared" si="32"/>
        <v>0.15133134980149154</v>
      </c>
      <c r="CH244" s="18">
        <f>IF(CS243=0,0,(MIN((CC244+CD244+CE244),MAX(0,$B$4-IF($A244&gt;='1-Input'!$C$12,'1-Input'!$B$12,0))/(CC244/(CC244+CD244+CE244)*(1-'P-Parametri'!$B$6*CF244)+CD244/(CC244+CD244+CE244)*(1-'P-Parametri'!$B$6*CG244)+CE244/(CC244+CD244+CE244))))*CC244/(CC244+CD244+CE244))</f>
        <v>1389.5021454701796</v>
      </c>
      <c r="CI244" s="18">
        <f>IF(CS243=0,0,(MIN((CC244+CD244+CE244),MAX(0,$B$4-IF($A244&gt;='1-Input'!$C$12,'1-Input'!$B$12,0))/(CC244/(CC244+CD244+CE244)*(1-'P-Parametri'!$B$6*CF244)+CD244/(CC244+CD244+CE244)*(1-'P-Parametri'!$B$6*CG244)+CE244/(CC244+CD244+CE244))))*CD244/(CC244+CD244+CE244))</f>
        <v>647.17690737205055</v>
      </c>
      <c r="CJ244" s="18">
        <f>IF(CS243=0,0,(MIN((CC244+CD244+CE244),MAX(0,$B$4-IF($A244&gt;='1-Input'!$C$12,'1-Input'!$B$12,0))/(CC244/(CC244+CD244+CE244)*(1-'P-Parametri'!$B$6*CF244)+CD244/(CC244+CD244+CE244)*(1-'P-Parametri'!$B$6*CG244)+CE244/(CC244+CD244+CE244))))*CE244/(CC244+CD244+CE244))</f>
        <v>213.3485189458502</v>
      </c>
      <c r="CK244" s="18">
        <f t="shared" si="33"/>
        <v>264760.77415226732</v>
      </c>
      <c r="CL244" s="18">
        <f t="shared" si="34"/>
        <v>25435.306551461905</v>
      </c>
      <c r="CM244" s="18">
        <f t="shared" si="35"/>
        <v>123315.43320598031</v>
      </c>
      <c r="CN244" s="18">
        <f t="shared" si="36"/>
        <v>104653.94224756364</v>
      </c>
      <c r="CO244" s="18">
        <f t="shared" si="37"/>
        <v>40652.199944051994</v>
      </c>
      <c r="CP244" s="18">
        <f t="shared" si="38"/>
        <v>35674.417981654777</v>
      </c>
      <c r="CQ244" s="18">
        <f>IF(CS244=0,CQ243,CQ243+BT244+CH244*CF244*'P-Parametri'!$B$6+CI244*CG244*'P-Parametri'!$B$6)</f>
        <v>52533.936976995799</v>
      </c>
      <c r="CR244" s="18">
        <f t="shared" si="2"/>
        <v>428728.40730229957</v>
      </c>
      <c r="CS244" s="10">
        <f>IF(AND(CS243=1,(CJ244+CI244*(1-'P-Parametri'!$B$6*CG244)+CH244*(1-'P-Parametri'!$B$6*CF244))&gt;=MAX(0,$B$4-IF($A244&gt;='1-Input'!$C$12,'1-Input'!$B$12,0))-0.01),1,0)</f>
        <v>1</v>
      </c>
    </row>
    <row r="245" spans="1:97">
      <c r="A245" s="10">
        <f>45</f>
        <v>45</v>
      </c>
      <c r="B245" s="11">
        <f>IF(A245=1,'P-Parametri'!$B$30,IF(A245=2,'P-Parametri'!$C$30,'P-Parametri'!$B$29))</f>
        <v>6.8512000000000003E-2</v>
      </c>
      <c r="C245" s="11">
        <f t="shared" si="3"/>
        <v>0.9041155199355948</v>
      </c>
      <c r="D245" s="11">
        <f t="shared" si="4"/>
        <v>0.15127652563399643</v>
      </c>
      <c r="E245" s="18">
        <f>MAX(0,Y244-('P-Parametri'!$B$31*AF244))</f>
        <v>7783.4281381905894</v>
      </c>
      <c r="F245" s="18">
        <f>MAX(0,AA244-('P-Parametri'!$C$31*AF244))</f>
        <v>0</v>
      </c>
      <c r="G245" s="18">
        <f>MAX(0,AC244-('P-Parametri'!$D$31*AF244))</f>
        <v>0</v>
      </c>
      <c r="H245" s="18">
        <f>E245*C245*'P-Parametri'!$B$6+F245*D245*'P-Parametri'!$B$7</f>
        <v>1829.6507262907962</v>
      </c>
      <c r="I245" s="18">
        <f t="shared" si="5"/>
        <v>5953.7774118997932</v>
      </c>
      <c r="J245" s="18">
        <f>MAX(0,('P-Parametri'!$B$31*AF244)-Y244)+MAX(0,('P-Parametri'!$C$31*AF244)-AA244)+MAX(0,('P-Parametri'!$D$31*AF244)-AC244)</f>
        <v>7783.4281381905894</v>
      </c>
      <c r="K245" s="18">
        <f>Y244-E245+IF(J245&lt;=0,0,I245*MAX(0,('P-Parametri'!$B$31*AF244)-Y244)/J245)</f>
        <v>266106.61788015673</v>
      </c>
      <c r="L245" s="18">
        <f>Z244-E245*(1-C245)+IF(J245&lt;=0,0,I245*MAX(0,('P-Parametri'!$B$31*AF244)-Y244)/J245)</f>
        <v>25515.494697136175</v>
      </c>
      <c r="M245" s="18">
        <f>AA244-F245+IF(J245&lt;=0,0,I245*MAX(0,('P-Parametri'!$C$31*AF244)-AA244)/J245)</f>
        <v>131763.68479353265</v>
      </c>
      <c r="N245" s="18">
        <f>AB244-F245*(1-D245)+IF(J245&lt;=0,0,I245*MAX(0,('P-Parametri'!$C$31*AF244)-AA244)/J245)</f>
        <v>112465.76477596644</v>
      </c>
      <c r="O245" s="18">
        <f>AC244-G245+IF(J245&lt;=0,0,I245*MAX(0,('P-Parametri'!$D$31*AF244)-AC244)/J245)</f>
        <v>43811.076400281039</v>
      </c>
      <c r="P245" s="18">
        <f>AD244-G245+IF(J245&lt;=0,0,I245*MAX(0,('P-Parametri'!$D$31*AF244)-AC244)/J245)</f>
        <v>38933.249213599869</v>
      </c>
      <c r="Q245" s="18">
        <f t="shared" si="6"/>
        <v>284338.11448436201</v>
      </c>
      <c r="R245" s="18">
        <f>M245*(1+'P-Parametri'!$C$29)</f>
        <v>132422.50321750031</v>
      </c>
      <c r="S245" s="18">
        <f>O245*(1+'1-Input'!$B$27)</f>
        <v>43653.356525240022</v>
      </c>
      <c r="T245" s="11">
        <f t="shared" si="7"/>
        <v>0.91026354400848553</v>
      </c>
      <c r="U245" s="11">
        <f t="shared" si="8"/>
        <v>0.15070503846884303</v>
      </c>
      <c r="V245" s="18">
        <f>IF(AG244=0,0,(MIN((Q245+R245+S245),MAX(0,$B$4-IF($A245&gt;='1-Input'!$C$12,'1-Input'!$B$12,0))/(Q245/(Q245+R245+S245)*(1-'P-Parametri'!$B$6*T245)+R245/(Q245+R245+S245)*(1-'P-Parametri'!$B$7*U245)+S245/(Q245+R245+S245))))*Q245/(Q245+R245+S245))</f>
        <v>1381.5630065562136</v>
      </c>
      <c r="W245" s="18">
        <f>IF(AG244=0,0,(MIN((Q245+R245+S245),MAX(0,$B$4-IF($A245&gt;='1-Input'!$C$12,'1-Input'!$B$12,0))/(Q245/(Q245+R245+S245)*(1-'P-Parametri'!$B$6*T245)+R245/(Q245+R245+S245)*(1-'P-Parametri'!$B$7*U245)+S245/(Q245+R245+S245))))*R245/(Q245+R245+S245))</f>
        <v>643.42422757020654</v>
      </c>
      <c r="X245" s="18">
        <f>IF(AG244=0,0,(MIN((Q245+R245+S245),MAX(0,$B$4-IF($A245&gt;='1-Input'!$C$12,'1-Input'!$B$12,0))/(Q245/(Q245+R245+S245)*(1-'P-Parametri'!$B$6*T245)+R245/(Q245+R245+S245)*(1-'P-Parametri'!$B$7*U245)+S245/(Q245+R245+S245))))*S245/(Q245+R245+S245))</f>
        <v>212.10614903545695</v>
      </c>
      <c r="Y245" s="18">
        <f t="shared" si="9"/>
        <v>282956.55147780583</v>
      </c>
      <c r="Z245" s="18">
        <f t="shared" si="10"/>
        <v>25391.518129198837</v>
      </c>
      <c r="AA245" s="18">
        <f t="shared" si="11"/>
        <v>131779.0789899301</v>
      </c>
      <c r="AB245" s="18">
        <f t="shared" si="12"/>
        <v>111919.30782136398</v>
      </c>
      <c r="AC245" s="18">
        <f t="shared" si="13"/>
        <v>43441.250376204567</v>
      </c>
      <c r="AD245" s="18">
        <f t="shared" si="14"/>
        <v>38721.143064564414</v>
      </c>
      <c r="AE245" s="18">
        <f>IF(AG245=0,AE244,AE244+H245+V245*T245*'P-Parametri'!$B$6+W245*U245*'P-Parametri'!$B$7)</f>
        <v>51597.245718638384</v>
      </c>
      <c r="AF245" s="18">
        <f t="shared" si="0"/>
        <v>458176.88084394048</v>
      </c>
      <c r="AG245" s="10">
        <f>IF(AND(AG244=1,(X245+W245*(1-'P-Parametri'!$B$7*U245)+V245*(1-'P-Parametri'!$B$6*T245))&gt;=MAX(0,$B$4-IF($A245&gt;='1-Input'!$C$12,'1-Input'!$B$12,0))-0.01),1,0)</f>
        <v>1</v>
      </c>
      <c r="AI245" s="11">
        <f t="shared" si="15"/>
        <v>0.90416197832442957</v>
      </c>
      <c r="AJ245" s="11">
        <f t="shared" si="16"/>
        <v>0.23631697100311294</v>
      </c>
      <c r="AK245" s="18">
        <f>MAX(0,BE244-('P-Parametri'!$B$31*BL244))</f>
        <v>9273.1066199452616</v>
      </c>
      <c r="AL245" s="18">
        <f>MAX(0,BG244-('P-Parametri'!$C$31*BL244))</f>
        <v>0</v>
      </c>
      <c r="AM245" s="18">
        <f>MAX(0,BI244-('P-Parametri'!$D$31*BL244))</f>
        <v>0</v>
      </c>
      <c r="AN245" s="18">
        <f>AK245*AI245*'P-Parametri'!$B$6+AL245*AJ245*'P-Parametri'!$B$7</f>
        <v>2179.9415109427987</v>
      </c>
      <c r="AO245" s="18">
        <f t="shared" si="17"/>
        <v>7093.1651090024625</v>
      </c>
      <c r="AP245" s="18">
        <f>MAX(0,('P-Parametri'!$B$31*BL244)-BE244)+MAX(0,('P-Parametri'!$C$31*BL244)-BG244)+MAX(0,('P-Parametri'!$D$31*BL244)-BI244)</f>
        <v>9273.1066199451816</v>
      </c>
      <c r="AQ245" s="18">
        <f>BE244-AK245+IF(AP245&lt;=0,0,AO245*MAX(0,('P-Parametri'!$B$31*BL244)-BE244)/AP245)</f>
        <v>270293.5778949387</v>
      </c>
      <c r="AR245" s="18">
        <f>BF244-AK245*(1-AI245)+IF(AP245&lt;=0,0,AO245*MAX(0,('P-Parametri'!$B$31*BL244)-BE244)/AP245)</f>
        <v>25904.401777062609</v>
      </c>
      <c r="AS245" s="18">
        <f>BG244-AL245+IF(AP245&lt;=0,0,AO245*MAX(0,('P-Parametri'!$C$31*BL244)-BG244)/AP245)</f>
        <v>134032.13014423021</v>
      </c>
      <c r="AT245" s="18">
        <f>BH244-AL245*(1-AJ245)+IF(AP245&lt;=0,0,AO245*MAX(0,('P-Parametri'!$C$31*BL244)-BG244)/AP245)</f>
        <v>103215.16430443726</v>
      </c>
      <c r="AU245" s="18">
        <f>BI244-AM245+IF(AP245&lt;=0,0,AO245*MAX(0,('P-Parametri'!$D$31*BL244)-BI244)/AP245)</f>
        <v>43983.646941452884</v>
      </c>
      <c r="AV245" s="18">
        <f>BJ244-AM245+IF(AP245&lt;=0,0,AO245*MAX(0,('P-Parametri'!$D$31*BL244)-BI244)/AP245)</f>
        <v>39063.384317054268</v>
      </c>
      <c r="AW245" s="18">
        <f t="shared" si="18"/>
        <v>288811.93150367669</v>
      </c>
      <c r="AX245" s="18">
        <f>AS245*(1+'P-Parametri'!$C$29)</f>
        <v>134702.29079495135</v>
      </c>
      <c r="AY245" s="18">
        <f>AU245*(1+'1-Input'!$B$27)</f>
        <v>43825.305812463652</v>
      </c>
      <c r="AZ245" s="11">
        <f t="shared" si="19"/>
        <v>0.9103070235284485</v>
      </c>
      <c r="BA245" s="11">
        <f t="shared" si="20"/>
        <v>0.23375345960852972</v>
      </c>
      <c r="BB245" s="18">
        <f>IF(BM244=0,0,MIN(MAX(AW245,0),(MAX(0,$B$4-IF($A245&gt;='1-Input'!$C$12,'1-Input'!$B$12,0))-BD245-BC245*(1-'P-Parametri'!$B$7*BA245))/(1-'P-Parametri'!$B$6*AZ245)))</f>
        <v>0</v>
      </c>
      <c r="BC245" s="18">
        <f>IF(BM244=0,0,MIN(MAX(AX245,0),(MAX(0,$B$4-IF($A245&gt;='1-Input'!$C$12,'1-Input'!$B$12,0))-BD245)/(1-'P-Parametri'!$B$7*BA245)))</f>
        <v>0</v>
      </c>
      <c r="BD245" s="18">
        <f>IF(BM244=0,0,MIN(MAX(AY245,0),MAX(0,$B$4-IF($A245&gt;='1-Input'!$C$12,'1-Input'!$B$12,0))))</f>
        <v>1898</v>
      </c>
      <c r="BE245" s="18">
        <f t="shared" si="21"/>
        <v>288811.93150367669</v>
      </c>
      <c r="BF245" s="18">
        <f t="shared" si="22"/>
        <v>25904.401777062609</v>
      </c>
      <c r="BG245" s="18">
        <f t="shared" si="23"/>
        <v>134702.29079495135</v>
      </c>
      <c r="BH245" s="18">
        <f t="shared" si="24"/>
        <v>103215.16430443726</v>
      </c>
      <c r="BI245" s="18">
        <f t="shared" si="25"/>
        <v>41927.305812463652</v>
      </c>
      <c r="BJ245" s="18">
        <f t="shared" si="26"/>
        <v>37165.384317054268</v>
      </c>
      <c r="BK245" s="18">
        <f>IF(BM245=0,BK244,BK244+AN245+BB245*AZ245*'P-Parametri'!$B$6+BC245*BA245*'P-Parametri'!$B$7)</f>
        <v>50250.010738931356</v>
      </c>
      <c r="BL245" s="18">
        <f t="shared" si="1"/>
        <v>465441.5281110917</v>
      </c>
      <c r="BM245" s="10">
        <f>IF(AND(BM244=1,(BD245+BC245*(1-'P-Parametri'!$B$7*BA245)+BB245*(1-'P-Parametri'!$B$6*AZ245))&gt;=MAX(0,$B$4-IF($A245&gt;='1-Input'!$C$12,'1-Input'!$B$12,0))-0.01),1,0)</f>
        <v>1</v>
      </c>
      <c r="BO245" s="11">
        <f t="shared" si="27"/>
        <v>0.90393098587620191</v>
      </c>
      <c r="BP245" s="11">
        <f t="shared" si="28"/>
        <v>0.15133134980149157</v>
      </c>
      <c r="BQ245" s="18">
        <f>MAX(0,CK244-('P-Parametri'!$B$31*CR244))</f>
        <v>7523.7297708875849</v>
      </c>
      <c r="BR245" s="18">
        <f>MAX(0,CM244-('P-Parametri'!$C$31*CR244))</f>
        <v>0</v>
      </c>
      <c r="BS245" s="18">
        <f>MAX(0,CO244-('P-Parametri'!$D$31*CR244))</f>
        <v>0</v>
      </c>
      <c r="BT245" s="18">
        <f>BQ245*BO245*'P-Parametri'!$B$6+BR245*BP245*'P-Parametri'!$B$6</f>
        <v>1768.2424420087818</v>
      </c>
      <c r="BU245" s="18">
        <f t="shared" si="29"/>
        <v>5755.4873288788031</v>
      </c>
      <c r="BV245" s="18">
        <f>MAX(0,('P-Parametri'!$B$31*CR244)-CK244)+MAX(0,('P-Parametri'!$C$31*CR244)-CM244)+MAX(0,('P-Parametri'!$D$31*CR244)-CO244)</f>
        <v>7523.7297708875194</v>
      </c>
      <c r="BW245" s="18">
        <f>CK244-BQ245+IF(BV245&lt;=0,0,BU245*MAX(0,('P-Parametri'!$B$31*CR244)-CK244)/BV245)</f>
        <v>257237.04438137973</v>
      </c>
      <c r="BX245" s="18">
        <f>CL244-BQ245*(1-BO245)+IF(BV245&lt;=0,0,BU245*MAX(0,('P-Parametri'!$B$31*CR244)-CK244)/BV245)</f>
        <v>24712.509249838866</v>
      </c>
      <c r="BY245" s="18">
        <f>CM244-BR245+IF(BV245&lt;=0,0,BU245*MAX(0,('P-Parametri'!$C$31*CR244)-CM244)/BV245)</f>
        <v>127372.17931261408</v>
      </c>
      <c r="BZ245" s="18">
        <f>CN244-BR245*(1-BP245)+IF(BV245&lt;=0,0,BU245*MAX(0,('P-Parametri'!$C$31*CR244)-CM244)/BV245)</f>
        <v>108710.68835419741</v>
      </c>
      <c r="CA245" s="18">
        <f>CO244-BS245+IF(BV245&lt;=0,0,BU245*MAX(0,('P-Parametri'!$D$31*CR244)-CO244)/BV245)</f>
        <v>42350.941166297016</v>
      </c>
      <c r="CB245" s="18">
        <f>CP244-BS245+IF(BV245&lt;=0,0,BU245*MAX(0,('P-Parametri'!$D$31*CR244)-CO244)/BV245)</f>
        <v>37373.159203899799</v>
      </c>
      <c r="CC245" s="18">
        <f t="shared" si="30"/>
        <v>274860.86876603682</v>
      </c>
      <c r="CD245" s="18">
        <f>BY245*(1+'P-Parametri'!$C$29)</f>
        <v>128009.04020917714</v>
      </c>
      <c r="CE245" s="18">
        <f>CA245*(1+'1-Input'!$B$27)</f>
        <v>42198.477778098342</v>
      </c>
      <c r="CF245" s="11">
        <f t="shared" si="31"/>
        <v>0.91009084210210267</v>
      </c>
      <c r="CG245" s="11">
        <f t="shared" si="32"/>
        <v>0.15075772635623749</v>
      </c>
      <c r="CH245" s="18">
        <f>IF(CS244=0,0,(MIN((CC245+CD245+CE245),MAX(0,$B$4-IF($A245&gt;='1-Input'!$C$12,'1-Input'!$B$12,0))/(CC245/(CC245+CD245+CE245)*(1-'P-Parametri'!$B$6*CF245)+CD245/(CC245+CD245+CE245)*(1-'P-Parametri'!$B$6*CG245)+CE245/(CC245+CD245+CE245))))*CC245/(CC245+CD245+CE245))</f>
        <v>1391.1170643880057</v>
      </c>
      <c r="CI245" s="18">
        <f>IF(CS244=0,0,(MIN((CC245+CD245+CE245),MAX(0,$B$4-IF($A245&gt;='1-Input'!$C$12,'1-Input'!$B$12,0))/(CC245/(CC245+CD245+CE245)*(1-'P-Parametri'!$B$6*CF245)+CD245/(CC245+CD245+CE245)*(1-'P-Parametri'!$B$6*CG245)+CE245/(CC245+CD245+CE245))))*CD245/(CC245+CD245+CE245))</f>
        <v>647.87527242553995</v>
      </c>
      <c r="CJ245" s="18">
        <f>IF(CS244=0,0,(MIN((CC245+CD245+CE245),MAX(0,$B$4-IF($A245&gt;='1-Input'!$C$12,'1-Input'!$B$12,0))/(CC245/(CC245+CD245+CE245)*(1-'P-Parametri'!$B$6*CF245)+CD245/(CC245+CD245+CE245)*(1-'P-Parametri'!$B$6*CG245)+CE245/(CC245+CD245+CE245))))*CE245/(CC245+CD245+CE245))</f>
        <v>213.57359012889907</v>
      </c>
      <c r="CK245" s="18">
        <f t="shared" si="33"/>
        <v>273469.75170164881</v>
      </c>
      <c r="CL245" s="18">
        <f t="shared" si="34"/>
        <v>24587.435086042344</v>
      </c>
      <c r="CM245" s="18">
        <f t="shared" si="35"/>
        <v>127361.16493675159</v>
      </c>
      <c r="CN245" s="18">
        <f t="shared" si="36"/>
        <v>108160.48528480517</v>
      </c>
      <c r="CO245" s="18">
        <f t="shared" si="37"/>
        <v>41984.904187969441</v>
      </c>
      <c r="CP245" s="18">
        <f t="shared" si="38"/>
        <v>37159.585613770898</v>
      </c>
      <c r="CQ245" s="18">
        <f>IF(CS245=0,CQ244,CQ244+BT245+CH245*CF245*'P-Parametri'!$B$6+CI245*CG245*'P-Parametri'!$B$6)</f>
        <v>54656.745345947027</v>
      </c>
      <c r="CR245" s="18">
        <f t="shared" si="2"/>
        <v>442815.82082636986</v>
      </c>
      <c r="CS245" s="10">
        <f>IF(AND(CS244=1,(CJ245+CI245*(1-'P-Parametri'!$B$6*CG245)+CH245*(1-'P-Parametri'!$B$6*CF245))&gt;=MAX(0,$B$4-IF($A245&gt;='1-Input'!$C$12,'1-Input'!$B$12,0))-0.01),1,0)</f>
        <v>1</v>
      </c>
    </row>
    <row r="248" spans="1:97" ht="45">
      <c r="A248" s="25" t="s">
        <v>262</v>
      </c>
      <c r="C248" s="25" t="s">
        <v>507</v>
      </c>
      <c r="D248" s="25" t="s">
        <v>508</v>
      </c>
      <c r="E248" s="25" t="s">
        <v>509</v>
      </c>
      <c r="F248" s="25" t="s">
        <v>510</v>
      </c>
      <c r="G248" s="25" t="s">
        <v>511</v>
      </c>
      <c r="H248" s="25" t="s">
        <v>512</v>
      </c>
      <c r="I248" s="25" t="s">
        <v>513</v>
      </c>
      <c r="J248" s="25" t="s">
        <v>514</v>
      </c>
      <c r="K248" s="25" t="s">
        <v>515</v>
      </c>
      <c r="L248" s="25" t="s">
        <v>516</v>
      </c>
      <c r="M248" s="25" t="s">
        <v>517</v>
      </c>
      <c r="N248" s="25" t="s">
        <v>518</v>
      </c>
      <c r="O248" s="25" t="s">
        <v>519</v>
      </c>
      <c r="P248" s="25" t="s">
        <v>520</v>
      </c>
      <c r="Q248" s="25" t="s">
        <v>521</v>
      </c>
      <c r="R248" s="25" t="s">
        <v>522</v>
      </c>
      <c r="S248" s="25" t="s">
        <v>523</v>
      </c>
      <c r="T248" s="25" t="s">
        <v>524</v>
      </c>
      <c r="U248" s="25" t="s">
        <v>525</v>
      </c>
      <c r="V248" s="25" t="s">
        <v>526</v>
      </c>
      <c r="W248" s="25" t="s">
        <v>527</v>
      </c>
      <c r="X248" s="25" t="s">
        <v>528</v>
      </c>
      <c r="Y248" s="25" t="s">
        <v>529</v>
      </c>
      <c r="Z248" s="25" t="s">
        <v>516</v>
      </c>
      <c r="AA248" s="25" t="s">
        <v>530</v>
      </c>
      <c r="AB248" s="25" t="s">
        <v>518</v>
      </c>
      <c r="AC248" s="25" t="s">
        <v>531</v>
      </c>
      <c r="AD248" s="25" t="s">
        <v>520</v>
      </c>
      <c r="AE248" s="25" t="s">
        <v>381</v>
      </c>
      <c r="AF248" s="25" t="s">
        <v>439</v>
      </c>
      <c r="AG248" s="25" t="s">
        <v>305</v>
      </c>
      <c r="AI248" s="25" t="s">
        <v>507</v>
      </c>
      <c r="AJ248" s="25" t="s">
        <v>508</v>
      </c>
      <c r="AK248" s="25" t="s">
        <v>509</v>
      </c>
      <c r="AL248" s="25" t="s">
        <v>510</v>
      </c>
      <c r="AM248" s="25" t="s">
        <v>511</v>
      </c>
      <c r="AN248" s="25" t="s">
        <v>512</v>
      </c>
      <c r="AO248" s="25" t="s">
        <v>513</v>
      </c>
      <c r="AP248" s="25" t="s">
        <v>514</v>
      </c>
      <c r="AQ248" s="25" t="s">
        <v>515</v>
      </c>
      <c r="AR248" s="25" t="s">
        <v>516</v>
      </c>
      <c r="AS248" s="25" t="s">
        <v>517</v>
      </c>
      <c r="AT248" s="25" t="s">
        <v>518</v>
      </c>
      <c r="AU248" s="25" t="s">
        <v>519</v>
      </c>
      <c r="AV248" s="25" t="s">
        <v>520</v>
      </c>
      <c r="AW248" s="25" t="s">
        <v>521</v>
      </c>
      <c r="AX248" s="25" t="s">
        <v>522</v>
      </c>
      <c r="AY248" s="25" t="s">
        <v>523</v>
      </c>
      <c r="AZ248" s="25" t="s">
        <v>524</v>
      </c>
      <c r="BA248" s="25" t="s">
        <v>525</v>
      </c>
      <c r="BB248" s="25" t="s">
        <v>526</v>
      </c>
      <c r="BC248" s="25" t="s">
        <v>527</v>
      </c>
      <c r="BD248" s="25" t="s">
        <v>528</v>
      </c>
      <c r="BE248" s="25" t="s">
        <v>529</v>
      </c>
      <c r="BF248" s="25" t="s">
        <v>516</v>
      </c>
      <c r="BG248" s="25" t="s">
        <v>530</v>
      </c>
      <c r="BH248" s="25" t="s">
        <v>518</v>
      </c>
      <c r="BI248" s="25" t="s">
        <v>531</v>
      </c>
      <c r="BJ248" s="25" t="s">
        <v>520</v>
      </c>
      <c r="BK248" s="25" t="s">
        <v>381</v>
      </c>
      <c r="BL248" s="25" t="s">
        <v>439</v>
      </c>
      <c r="BM248" s="25" t="s">
        <v>305</v>
      </c>
    </row>
    <row r="249" spans="1:97">
      <c r="A249" s="3">
        <v>0</v>
      </c>
      <c r="Y249" s="18">
        <f>'P-Parametri'!$B$31*'2-Caso'!$B$12</f>
        <v>263385.08391514426</v>
      </c>
      <c r="Z249" s="18">
        <f>'P-Parametri'!$B$31*'2-Caso'!$B$13</f>
        <v>206400</v>
      </c>
      <c r="AA249" s="18">
        <f>'P-Parametri'!$C$31*'2-Caso'!$B$12</f>
        <v>131692.54195757213</v>
      </c>
      <c r="AB249" s="18">
        <f>'P-Parametri'!$C$31*'2-Caso'!$B$13</f>
        <v>103200</v>
      </c>
      <c r="AC249" s="18">
        <f>'P-Parametri'!$D$31*'2-Caso'!$B$12</f>
        <v>43897.513985857382</v>
      </c>
      <c r="AD249" s="18">
        <f>'P-Parametri'!$D$31*'2-Caso'!$B$13</f>
        <v>34400</v>
      </c>
      <c r="AE249" s="18">
        <f>0</f>
        <v>0</v>
      </c>
      <c r="AF249" s="18">
        <f t="shared" ref="AF249:AF294" si="39">Y249+AA249+AC249</f>
        <v>438975.13985857379</v>
      </c>
      <c r="AG249" s="10">
        <f>1</f>
        <v>1</v>
      </c>
      <c r="BE249" s="18">
        <f>'P-Parametri'!$B$31*'2-Caso'!$B$12</f>
        <v>263385.08391514426</v>
      </c>
      <c r="BF249" s="18">
        <f>'P-Parametri'!$B$31*'2-Caso'!$B$13</f>
        <v>206400</v>
      </c>
      <c r="BG249" s="18">
        <f>'P-Parametri'!$C$31*'2-Caso'!$B$12</f>
        <v>131692.54195757213</v>
      </c>
      <c r="BH249" s="18">
        <f>'P-Parametri'!$C$31*'2-Caso'!$B$13</f>
        <v>103200</v>
      </c>
      <c r="BI249" s="18">
        <f>'P-Parametri'!$D$31*'2-Caso'!$B$12</f>
        <v>43897.513985857382</v>
      </c>
      <c r="BJ249" s="18">
        <f>'P-Parametri'!$D$31*'2-Caso'!$B$13</f>
        <v>34400</v>
      </c>
      <c r="BK249" s="18">
        <f>0</f>
        <v>0</v>
      </c>
      <c r="BL249" s="18">
        <f t="shared" ref="BL249:BL294" si="40">BE249+BG249+BI249</f>
        <v>438975.13985857379</v>
      </c>
      <c r="BM249" s="10">
        <f>1</f>
        <v>1</v>
      </c>
    </row>
    <row r="250" spans="1:97">
      <c r="A250" s="10">
        <f>1</f>
        <v>1</v>
      </c>
      <c r="B250" s="11">
        <f>IF(A250=1,'P-Parametri'!$B$30,IF(A250=2,'P-Parametri'!$C$30,'P-Parametri'!$B$29))</f>
        <v>-0.35</v>
      </c>
      <c r="C250" s="11">
        <f t="shared" ref="C250:C294" si="41">IF(Y249&lt;=0,0,MAX(0,(Y249-Z249)/Y249))</f>
        <v>0.21635653419729478</v>
      </c>
      <c r="D250" s="11">
        <f t="shared" ref="D250:D294" si="42">IF(AA249&lt;=0,0,MAX(0,(AA249-AB249)/AA249))</f>
        <v>0.21635653419729478</v>
      </c>
      <c r="E250" s="18">
        <f>MAX(0,Y249-('P-Parametri'!$B$31*AF249))</f>
        <v>0</v>
      </c>
      <c r="F250" s="18">
        <f>MAX(0,AA249-('P-Parametri'!$C$31*AF249))</f>
        <v>0</v>
      </c>
      <c r="G250" s="18">
        <f>MAX(0,AC249-('P-Parametri'!$D$31*AF249))</f>
        <v>0</v>
      </c>
      <c r="H250" s="18">
        <f>E250*C250*'P-Parametri'!$B$6+F250*D250*'P-Parametri'!$B$7</f>
        <v>0</v>
      </c>
      <c r="I250" s="18">
        <f t="shared" ref="I250:I294" si="43">E250+F250+G250-H250</f>
        <v>0</v>
      </c>
      <c r="J250" s="18">
        <f>MAX(0,('P-Parametri'!$B$31*AF249)-Y249)+MAX(0,('P-Parametri'!$C$31*AF249)-AA249)+MAX(0,('P-Parametri'!$D$31*AF249)-AC249)</f>
        <v>0</v>
      </c>
      <c r="K250" s="18">
        <f>Y249-E250+IF(J250&lt;=0,0,I250*MAX(0,('P-Parametri'!$B$31*AF249)-Y249)/J250)</f>
        <v>263385.08391514426</v>
      </c>
      <c r="L250" s="18">
        <f>Z249-E250*(1-C250)+IF(J250&lt;=0,0,I250*MAX(0,('P-Parametri'!$B$31*AF249)-Y249)/J250)</f>
        <v>206400</v>
      </c>
      <c r="M250" s="18">
        <f>AA249-F250+IF(J250&lt;=0,0,I250*MAX(0,('P-Parametri'!$C$31*AF249)-AA249)/J250)</f>
        <v>131692.54195757213</v>
      </c>
      <c r="N250" s="18">
        <f>AB249-F250*(1-D250)+IF(J250&lt;=0,0,I250*MAX(0,('P-Parametri'!$C$31*AF249)-AA249)/J250)</f>
        <v>103200</v>
      </c>
      <c r="O250" s="18">
        <f>AC249-G250+IF(J250&lt;=0,0,I250*MAX(0,('P-Parametri'!$D$31*AF249)-AC249)/J250)</f>
        <v>43897.513985857382</v>
      </c>
      <c r="P250" s="18">
        <f>AD249-G250+IF(J250&lt;=0,0,I250*MAX(0,('P-Parametri'!$D$31*AF249)-AC249)/J250)</f>
        <v>34400</v>
      </c>
      <c r="Q250" s="18">
        <f t="shared" ref="Q250:Q294" si="44">K250*(1+$B250)</f>
        <v>171200.30454484379</v>
      </c>
      <c r="R250" s="18">
        <f>M250*(1+'P-Parametri'!$C$29)</f>
        <v>132351.00466735999</v>
      </c>
      <c r="S250" s="18">
        <f>O250*(1+'1-Input'!$B$27)</f>
        <v>43739.482935508291</v>
      </c>
      <c r="T250" s="11">
        <f t="shared" ref="T250:T294" si="45">IF(Q250&lt;=0,0,MAX(0,(Q250-L250)/Q250))</f>
        <v>0</v>
      </c>
      <c r="U250" s="11">
        <f t="shared" ref="U250:U294" si="46">IF(R250&lt;=0,0,MAX(0,(R250-N250)/R250))</f>
        <v>0.22025525790775596</v>
      </c>
      <c r="V250" s="18">
        <f>IF(AG249=0,0,(MIN((Q250+R250+S250),MAX(0,$B$5-IF($A250&gt;='1-Input'!$C$12,'1-Input'!$B$12,0))/(Q250/(Q250+R250+S250)*(1-'P-Parametri'!$B$6*T250)+R250/(Q250+R250+S250)*(1-'P-Parametri'!$B$7*U250)+S250/(Q250+R250+S250))))*Q250/(Q250+R250+S250))</f>
        <v>9864.0955777460731</v>
      </c>
      <c r="W250" s="18">
        <f>IF(AG249=0,0,(MIN((Q250+R250+S250),MAX(0,$B$5-IF($A250&gt;='1-Input'!$C$12,'1-Input'!$B$12,0))/(Q250/(Q250+R250+S250)*(1-'P-Parametri'!$B$6*T250)+R250/(Q250+R250+S250)*(1-'P-Parametri'!$B$7*U250)+S250/(Q250+R250+S250))))*R250/(Q250+R250+S250))</f>
        <v>7625.7046581806162</v>
      </c>
      <c r="X250" s="18">
        <f>IF(AG249=0,0,(MIN((Q250+R250+S250),MAX(0,$B$5-IF($A250&gt;='1-Input'!$C$12,'1-Input'!$B$12,0))/(Q250/(Q250+R250+S250)*(1-'P-Parametri'!$B$6*T250)+R250/(Q250+R250+S250)*(1-'P-Parametri'!$B$7*U250)+S250/(Q250+R250+S250))))*S250/(Q250+R250+S250))</f>
        <v>2520.1499573503038</v>
      </c>
      <c r="Y250" s="18">
        <f t="shared" ref="Y250:Y294" si="47">IF(AG250=0,Y249,Q250-V250)</f>
        <v>161336.20896709771</v>
      </c>
      <c r="Z250" s="18">
        <f t="shared" ref="Z250:Z294" si="48">IF(AG250=0,Z249,L250-V250*(1-T250))</f>
        <v>196535.90442225392</v>
      </c>
      <c r="AA250" s="18">
        <f t="shared" ref="AA250:AA294" si="49">IF(AG250=0,AA249,R250-W250)</f>
        <v>124725.30000917937</v>
      </c>
      <c r="AB250" s="18">
        <f t="shared" ref="AB250:AB294" si="50">IF(AG250=0,AB249,N250-W250*(1-U250))</f>
        <v>97253.896888035335</v>
      </c>
      <c r="AC250" s="18">
        <f t="shared" ref="AC250:AC294" si="51">IF(AG250=0,AC249,S250-X250)</f>
        <v>41219.332978157989</v>
      </c>
      <c r="AD250" s="18">
        <f t="shared" ref="AD250:AD294" si="52">IF(AG250=0,AD249,P250-X250)</f>
        <v>31879.850042649698</v>
      </c>
      <c r="AE250" s="18">
        <f>IF(AG250=0,AE249,AE249+H250+V250*T250*'P-Parametri'!$B$6+W250*U250*'P-Parametri'!$B$7)</f>
        <v>209.95019327699345</v>
      </c>
      <c r="AF250" s="18">
        <f t="shared" si="39"/>
        <v>327280.84195443505</v>
      </c>
      <c r="AG250" s="10">
        <f>IF(AND(AG249=1,(X250+W250*(1-'P-Parametri'!$B$7*U250)+V250*(1-'P-Parametri'!$B$6*T250))&gt;=MAX(0,$B$5-IF($A250&gt;='1-Input'!$C$12,'1-Input'!$B$12,0))-0.01),1,0)</f>
        <v>1</v>
      </c>
      <c r="AI250" s="11">
        <f t="shared" ref="AI250:AI294" si="53">IF(BE249&lt;=0,0,MAX(0,(BE249-BF249)/BE249))</f>
        <v>0.21635653419729478</v>
      </c>
      <c r="AJ250" s="11">
        <f t="shared" ref="AJ250:AJ294" si="54">IF(BG249&lt;=0,0,MAX(0,(BG249-BH249)/BG249))</f>
        <v>0.21635653419729478</v>
      </c>
      <c r="AK250" s="18">
        <f>MAX(0,BE249-('P-Parametri'!$B$31*BL249))</f>
        <v>0</v>
      </c>
      <c r="AL250" s="18">
        <f>MAX(0,BG249-('P-Parametri'!$C$31*BL249))</f>
        <v>0</v>
      </c>
      <c r="AM250" s="18">
        <f>MAX(0,BI249-('P-Parametri'!$D$31*BL249))</f>
        <v>0</v>
      </c>
      <c r="AN250" s="18">
        <f>AK250*AI250*'P-Parametri'!$B$6+AL250*AJ250*'P-Parametri'!$B$7</f>
        <v>0</v>
      </c>
      <c r="AO250" s="18">
        <f t="shared" ref="AO250:AO294" si="55">AK250+AL250+AM250-AN250</f>
        <v>0</v>
      </c>
      <c r="AP250" s="18">
        <f>MAX(0,('P-Parametri'!$B$31*BL249)-BE249)+MAX(0,('P-Parametri'!$C$31*BL249)-BG249)+MAX(0,('P-Parametri'!$D$31*BL249)-BI249)</f>
        <v>0</v>
      </c>
      <c r="AQ250" s="18">
        <f>BE249-AK250+IF(AP250&lt;=0,0,AO250*MAX(0,('P-Parametri'!$B$31*BL249)-BE249)/AP250)</f>
        <v>263385.08391514426</v>
      </c>
      <c r="AR250" s="18">
        <f>BF249-AK250*(1-AI250)+IF(AP250&lt;=0,0,AO250*MAX(0,('P-Parametri'!$B$31*BL249)-BE249)/AP250)</f>
        <v>206400</v>
      </c>
      <c r="AS250" s="18">
        <f>BG249-AL250+IF(AP250&lt;=0,0,AO250*MAX(0,('P-Parametri'!$C$31*BL249)-BG249)/AP250)</f>
        <v>131692.54195757213</v>
      </c>
      <c r="AT250" s="18">
        <f>BH249-AL250*(1-AJ250)+IF(AP250&lt;=0,0,AO250*MAX(0,('P-Parametri'!$C$31*BL249)-BG249)/AP250)</f>
        <v>103200</v>
      </c>
      <c r="AU250" s="18">
        <f>BI249-AM250+IF(AP250&lt;=0,0,AO250*MAX(0,('P-Parametri'!$D$31*BL249)-BI249)/AP250)</f>
        <v>43897.513985857382</v>
      </c>
      <c r="AV250" s="18">
        <f>BJ249-AM250+IF(AP250&lt;=0,0,AO250*MAX(0,('P-Parametri'!$D$31*BL249)-BI249)/AP250)</f>
        <v>34400</v>
      </c>
      <c r="AW250" s="18">
        <f t="shared" ref="AW250:AW294" si="56">AQ250*(1+$B250)</f>
        <v>171200.30454484379</v>
      </c>
      <c r="AX250" s="18">
        <f>AS250*(1+'P-Parametri'!$C$29)</f>
        <v>132351.00466735999</v>
      </c>
      <c r="AY250" s="18">
        <f>AU250*(1+'1-Input'!$B$27)</f>
        <v>43739.482935508291</v>
      </c>
      <c r="AZ250" s="11">
        <f t="shared" ref="AZ250:AZ294" si="57">IF(AW250&lt;=0,0,MAX(0,(AW250-AR250)/AW250))</f>
        <v>0</v>
      </c>
      <c r="BA250" s="11">
        <f t="shared" ref="BA250:BA294" si="58">IF(AX250&lt;=0,0,MAX(0,(AX250-AT250)/AX250))</f>
        <v>0.22025525790775596</v>
      </c>
      <c r="BB250" s="18">
        <f>IF(BM249=0,0,MIN(MAX(AW250,0),(MAX(0,$B$5-IF($A250&gt;='1-Input'!$C$12,'1-Input'!$B$12,0))-BD250-BC250*(1-'P-Parametri'!$B$7*BA250))/(1-'P-Parametri'!$B$6*AZ250)))</f>
        <v>0</v>
      </c>
      <c r="BC250" s="18">
        <f>IF(BM249=0,0,MIN(MAX(AX250,0),(MAX(0,$B$5-IF($A250&gt;='1-Input'!$C$12,'1-Input'!$B$12,0))-BD250)/(1-'P-Parametri'!$B$7*BA250)))</f>
        <v>0</v>
      </c>
      <c r="BD250" s="18">
        <f>IF(BM249=0,0,MIN(MAX(AY250,0),MAX(0,$B$5-IF($A250&gt;='1-Input'!$C$12,'1-Input'!$B$12,0))))</f>
        <v>19800</v>
      </c>
      <c r="BE250" s="18">
        <f t="shared" ref="BE250:BE294" si="59">IF(BM250=0,BE249,AW250-BB250)</f>
        <v>171200.30454484379</v>
      </c>
      <c r="BF250" s="18">
        <f t="shared" ref="BF250:BF294" si="60">IF(BM250=0,BF249,AR250-BB250*(1-AZ250))</f>
        <v>206400</v>
      </c>
      <c r="BG250" s="18">
        <f t="shared" ref="BG250:BG294" si="61">IF(BM250=0,BG249,AX250-BC250)</f>
        <v>132351.00466735999</v>
      </c>
      <c r="BH250" s="18">
        <f t="shared" ref="BH250:BH294" si="62">IF(BM250=0,BH249,AT250-BC250*(1-BA250))</f>
        <v>103200</v>
      </c>
      <c r="BI250" s="18">
        <f t="shared" ref="BI250:BI294" si="63">IF(BM250=0,BI249,AY250-BD250)</f>
        <v>23939.482935508291</v>
      </c>
      <c r="BJ250" s="18">
        <f t="shared" ref="BJ250:BJ294" si="64">IF(BM250=0,BJ249,AV250-BD250)</f>
        <v>14600</v>
      </c>
      <c r="BK250" s="18">
        <f>IF(BM250=0,BK249,BK249+AN250+BB250*AZ250*'P-Parametri'!$B$6+BC250*BA250*'P-Parametri'!$B$7)</f>
        <v>0</v>
      </c>
      <c r="BL250" s="18">
        <f t="shared" si="40"/>
        <v>327490.79214771208</v>
      </c>
      <c r="BM250" s="10">
        <f>IF(AND(BM249=1,(BD250+BC250*(1-'P-Parametri'!$B$7*BA250)+BB250*(1-'P-Parametri'!$B$6*AZ250))&gt;=MAX(0,$B$5-IF($A250&gt;='1-Input'!$C$12,'1-Input'!$B$12,0))-0.01),1,0)</f>
        <v>1</v>
      </c>
    </row>
    <row r="251" spans="1:97">
      <c r="A251" s="10">
        <f>2</f>
        <v>2</v>
      </c>
      <c r="B251" s="11">
        <f>IF(A251=1,'P-Parametri'!$B$30,IF(A251=2,'P-Parametri'!$C$30,'P-Parametri'!$B$29))</f>
        <v>-0.2</v>
      </c>
      <c r="C251" s="11">
        <f t="shared" si="41"/>
        <v>0</v>
      </c>
      <c r="D251" s="11">
        <f t="shared" si="42"/>
        <v>0.22025525790775591</v>
      </c>
      <c r="E251" s="18">
        <f>MAX(0,Y250-('P-Parametri'!$B$31*AF250))</f>
        <v>0</v>
      </c>
      <c r="F251" s="18">
        <f>MAX(0,AA250-('P-Parametri'!$C$31*AF250))</f>
        <v>26541.04742284886</v>
      </c>
      <c r="G251" s="18">
        <f>MAX(0,AC250-('P-Parametri'!$D$31*AF250))</f>
        <v>8491.2487827144832</v>
      </c>
      <c r="H251" s="18">
        <f>E251*C251*'P-Parametri'!$B$6+F251*D251*'P-Parametri'!$B$7</f>
        <v>730.72565565769446</v>
      </c>
      <c r="I251" s="18">
        <f t="shared" si="43"/>
        <v>34301.570549905642</v>
      </c>
      <c r="J251" s="18">
        <f>MAX(0,('P-Parametri'!$B$31*AF250)-Y250)+MAX(0,('P-Parametri'!$C$31*AF250)-AA250)+MAX(0,('P-Parametri'!$D$31*AF250)-AC250)</f>
        <v>35032.296205563296</v>
      </c>
      <c r="K251" s="18">
        <f>Y250-E251+IF(J251&lt;=0,0,I251*MAX(0,('P-Parametri'!$B$31*AF250)-Y250)/J251)</f>
        <v>195637.77951700336</v>
      </c>
      <c r="L251" s="18">
        <f>Z250-E251*(1-C251)+IF(J251&lt;=0,0,I251*MAX(0,('P-Parametri'!$B$31*AF250)-Y250)/J251)</f>
        <v>230837.47497215957</v>
      </c>
      <c r="M251" s="18">
        <f>AA250-F251+IF(J251&lt;=0,0,I251*MAX(0,('P-Parametri'!$C$31*AF250)-AA250)/J251)</f>
        <v>98184.252586330505</v>
      </c>
      <c r="N251" s="18">
        <f>AB250-F251*(1-D251)+IF(J251&lt;=0,0,I251*MAX(0,('P-Parametri'!$C$31*AF250)-AA250)/J251)</f>
        <v>76558.654710448027</v>
      </c>
      <c r="O251" s="18">
        <f>AC250-G251+IF(J251&lt;=0,0,I251*MAX(0,('P-Parametri'!$D$31*AF250)-AC250)/J251)</f>
        <v>32728.084195443505</v>
      </c>
      <c r="P251" s="18">
        <f>AD250-G251+IF(J251&lt;=0,0,I251*MAX(0,('P-Parametri'!$D$31*AF250)-AC250)/J251)</f>
        <v>23388.601259935214</v>
      </c>
      <c r="Q251" s="18">
        <f t="shared" si="44"/>
        <v>156510.22361360269</v>
      </c>
      <c r="R251" s="18">
        <f>M251*(1+'P-Parametri'!$C$29)</f>
        <v>98675.173849262152</v>
      </c>
      <c r="S251" s="18">
        <f>O251*(1+'1-Input'!$B$27)</f>
        <v>32610.263092339908</v>
      </c>
      <c r="T251" s="11">
        <f t="shared" si="45"/>
        <v>0</v>
      </c>
      <c r="U251" s="11">
        <f t="shared" si="46"/>
        <v>0.22413458498284167</v>
      </c>
      <c r="V251" s="18">
        <f>IF(AG250=0,0,(MIN((Q251+R251+S251),MAX(0,$B$5-IF($A251&gt;='1-Input'!$C$12,'1-Input'!$B$12,0))/(Q251/(Q251+R251+S251)*(1-'P-Parametri'!$B$6*T251)+R251/(Q251+R251+S251)*(1-'P-Parametri'!$B$7*U251)+S251/(Q251+R251+S251))))*Q251/(Q251+R251+S251))</f>
        <v>10872.155616364214</v>
      </c>
      <c r="W251" s="18">
        <f>IF(AG250=0,0,(MIN((Q251+R251+S251),MAX(0,$B$5-IF($A251&gt;='1-Input'!$C$12,'1-Input'!$B$12,0))/(Q251/(Q251+R251+S251)*(1-'P-Parametri'!$B$6*T251)+R251/(Q251+R251+S251)*(1-'P-Parametri'!$B$7*U251)+S251/(Q251+R251+S251))))*R251/(Q251+R251+S251))</f>
        <v>6854.579980727407</v>
      </c>
      <c r="X251" s="18">
        <f>IF(AG250=0,0,(MIN((Q251+R251+S251),MAX(0,$B$5-IF($A251&gt;='1-Input'!$C$12,'1-Input'!$B$12,0))/(Q251/(Q251+R251+S251)*(1-'P-Parametri'!$B$6*T251)+R251/(Q251+R251+S251)*(1-'P-Parametri'!$B$7*U251)+S251/(Q251+R251+S251))))*S251/(Q251+R251+S251))</f>
        <v>2265.3079578098805</v>
      </c>
      <c r="Y251" s="18">
        <f t="shared" si="47"/>
        <v>145638.06799723848</v>
      </c>
      <c r="Z251" s="18">
        <f t="shared" si="48"/>
        <v>219965.31935579536</v>
      </c>
      <c r="AA251" s="18">
        <f t="shared" si="49"/>
        <v>91820.59386853475</v>
      </c>
      <c r="AB251" s="18">
        <f t="shared" si="50"/>
        <v>71240.423168932655</v>
      </c>
      <c r="AC251" s="18">
        <f t="shared" si="51"/>
        <v>30344.955134530028</v>
      </c>
      <c r="AD251" s="18">
        <f t="shared" si="52"/>
        <v>21123.293302125334</v>
      </c>
      <c r="AE251" s="18">
        <f>IF(AG251=0,AE250,AE250+H251+V251*T251*'P-Parametri'!$B$6+W251*U251*'P-Parametri'!$B$7)</f>
        <v>1132.719403836192</v>
      </c>
      <c r="AF251" s="18">
        <f t="shared" si="39"/>
        <v>267803.61700030323</v>
      </c>
      <c r="AG251" s="10">
        <f>IF(AND(AG250=1,(X251+W251*(1-'P-Parametri'!$B$7*U251)+V251*(1-'P-Parametri'!$B$6*T251))&gt;=MAX(0,$B$5-IF($A251&gt;='1-Input'!$C$12,'1-Input'!$B$12,0))-0.01),1,0)</f>
        <v>1</v>
      </c>
      <c r="AI251" s="11">
        <f t="shared" si="53"/>
        <v>0</v>
      </c>
      <c r="AJ251" s="11">
        <f t="shared" si="54"/>
        <v>0.22025525790775596</v>
      </c>
      <c r="AK251" s="18">
        <f>MAX(0,BE250-('P-Parametri'!$B$31*BL250))</f>
        <v>0</v>
      </c>
      <c r="AL251" s="18">
        <f>MAX(0,BG250-('P-Parametri'!$C$31*BL250))</f>
        <v>34103.76702304637</v>
      </c>
      <c r="AM251" s="18">
        <f>MAX(0,BI250-('P-Parametri'!$D$31*BL250))</f>
        <v>0</v>
      </c>
      <c r="AN251" s="18">
        <f>AK251*AI251*'P-Parametri'!$B$6+AL251*AJ251*'P-Parametri'!$B$7</f>
        <v>938.94175016088764</v>
      </c>
      <c r="AO251" s="18">
        <f t="shared" si="55"/>
        <v>33164.825272885486</v>
      </c>
      <c r="AP251" s="18">
        <f>MAX(0,('P-Parametri'!$B$31*BL250)-BE250)+MAX(0,('P-Parametri'!$C$31*BL250)-BG250)+MAX(0,('P-Parametri'!$D$31*BL250)-BI250)</f>
        <v>34103.767023046355</v>
      </c>
      <c r="AQ251" s="18">
        <f>BE250-AK251+IF(AP251&lt;=0,0,AO251*MAX(0,('P-Parametri'!$B$31*BL250)-BE250)/AP251)</f>
        <v>195798.07852603539</v>
      </c>
      <c r="AR251" s="18">
        <f>BF250-AK251*(1-AI251)+IF(AP251&lt;=0,0,AO251*MAX(0,('P-Parametri'!$B$31*BL250)-BE250)/AP251)</f>
        <v>230997.7739811916</v>
      </c>
      <c r="AS251" s="18">
        <f>BG250-AL251+IF(AP251&lt;=0,0,AO251*MAX(0,('P-Parametri'!$C$31*BL250)-BG250)/AP251)</f>
        <v>98247.237644313616</v>
      </c>
      <c r="AT251" s="18">
        <f>BH250-AL251*(1-AJ251)+IF(AP251&lt;=0,0,AO251*MAX(0,('P-Parametri'!$C$31*BL250)-BG250)/AP251)</f>
        <v>76607.766978240732</v>
      </c>
      <c r="AU251" s="18">
        <f>BI250-AM251+IF(AP251&lt;=0,0,AO251*MAX(0,('P-Parametri'!$D$31*BL250)-BI250)/AP251)</f>
        <v>32506.534227202181</v>
      </c>
      <c r="AV251" s="18">
        <f>BJ250-AM251+IF(AP251&lt;=0,0,AO251*MAX(0,('P-Parametri'!$D$31*BL250)-BI250)/AP251)</f>
        <v>23167.05129169389</v>
      </c>
      <c r="AW251" s="18">
        <f t="shared" si="56"/>
        <v>156638.46282082831</v>
      </c>
      <c r="AX251" s="18">
        <f>AS251*(1+'P-Parametri'!$C$29)</f>
        <v>98738.473832535179</v>
      </c>
      <c r="AY251" s="18">
        <f>AU251*(1+'1-Input'!$B$27)</f>
        <v>32389.510703984251</v>
      </c>
      <c r="AZ251" s="11">
        <f t="shared" si="57"/>
        <v>0</v>
      </c>
      <c r="BA251" s="11">
        <f t="shared" si="58"/>
        <v>0.22413458498284169</v>
      </c>
      <c r="BB251" s="18">
        <f>IF(BM250=0,0,MIN(MAX(AW251,0),(MAX(0,$B$5-IF($A251&gt;='1-Input'!$C$12,'1-Input'!$B$12,0))-BD251-BC251*(1-'P-Parametri'!$B$7*BA251))/(1-'P-Parametri'!$B$6*AZ251)))</f>
        <v>0</v>
      </c>
      <c r="BC251" s="18">
        <f>IF(BM250=0,0,MIN(MAX(AX251,0),(MAX(0,$B$5-IF($A251&gt;='1-Input'!$C$12,'1-Input'!$B$12,0))-BD251)/(1-'P-Parametri'!$B$7*BA251)))</f>
        <v>0</v>
      </c>
      <c r="BD251" s="18">
        <f>IF(BM250=0,0,MIN(MAX(AY251,0),MAX(0,$B$5-IF($A251&gt;='1-Input'!$C$12,'1-Input'!$B$12,0))))</f>
        <v>19800</v>
      </c>
      <c r="BE251" s="18">
        <f t="shared" si="59"/>
        <v>156638.46282082831</v>
      </c>
      <c r="BF251" s="18">
        <f t="shared" si="60"/>
        <v>230997.7739811916</v>
      </c>
      <c r="BG251" s="18">
        <f t="shared" si="61"/>
        <v>98738.473832535179</v>
      </c>
      <c r="BH251" s="18">
        <f t="shared" si="62"/>
        <v>76607.766978240732</v>
      </c>
      <c r="BI251" s="18">
        <f t="shared" si="63"/>
        <v>12589.510703984251</v>
      </c>
      <c r="BJ251" s="18">
        <f t="shared" si="64"/>
        <v>3367.0512916938897</v>
      </c>
      <c r="BK251" s="18">
        <f>IF(BM251=0,BK250,BK250+AN251+BB251*AZ251*'P-Parametri'!$B$6+BC251*BA251*'P-Parametri'!$B$7)</f>
        <v>938.94175016088764</v>
      </c>
      <c r="BL251" s="18">
        <f t="shared" si="40"/>
        <v>267966.44735734776</v>
      </c>
      <c r="BM251" s="10">
        <f>IF(AND(BM250=1,(BD251+BC251*(1-'P-Parametri'!$B$7*BA251)+BB251*(1-'P-Parametri'!$B$6*AZ251))&gt;=MAX(0,$B$5-IF($A251&gt;='1-Input'!$C$12,'1-Input'!$B$12,0))-0.01),1,0)</f>
        <v>1</v>
      </c>
    </row>
    <row r="252" spans="1:97">
      <c r="A252" s="10">
        <f>3</f>
        <v>3</v>
      </c>
      <c r="B252" s="11">
        <f>IF(A252=1,'P-Parametri'!$B$30,IF(A252=2,'P-Parametri'!$C$30,'P-Parametri'!$B$29))</f>
        <v>6.8512000000000003E-2</v>
      </c>
      <c r="C252" s="11">
        <f t="shared" si="41"/>
        <v>0</v>
      </c>
      <c r="D252" s="11">
        <f t="shared" si="42"/>
        <v>0.22413458498284169</v>
      </c>
      <c r="E252" s="18">
        <f>MAX(0,Y251-('P-Parametri'!$B$31*AF251))</f>
        <v>0</v>
      </c>
      <c r="F252" s="18">
        <f>MAX(0,AA251-('P-Parametri'!$C$31*AF251))</f>
        <v>11479.508768443789</v>
      </c>
      <c r="G252" s="18">
        <f>MAX(0,AC251-('P-Parametri'!$D$31*AF251))</f>
        <v>3564.593434499704</v>
      </c>
      <c r="H252" s="18">
        <f>E252*C252*'P-Parametri'!$B$6+F252*D252*'P-Parametri'!$B$7</f>
        <v>321.61936670275514</v>
      </c>
      <c r="I252" s="18">
        <f t="shared" si="43"/>
        <v>14722.482836240739</v>
      </c>
      <c r="J252" s="18">
        <f>MAX(0,('P-Parametri'!$B$31*AF251)-Y251)+MAX(0,('P-Parametri'!$C$31*AF251)-AA251)+MAX(0,('P-Parametri'!$D$31*AF251)-AC251)</f>
        <v>15044.102202943439</v>
      </c>
      <c r="K252" s="18">
        <f>Y251-E252+IF(J252&lt;=0,0,I252*MAX(0,('P-Parametri'!$B$31*AF251)-Y251)/J252)</f>
        <v>160360.55083347921</v>
      </c>
      <c r="L252" s="18">
        <f>Z251-E252*(1-C252)+IF(J252&lt;=0,0,I252*MAX(0,('P-Parametri'!$B$31*AF251)-Y251)/J252)</f>
        <v>234687.80219203609</v>
      </c>
      <c r="M252" s="18">
        <f>AA251-F252+IF(J252&lt;=0,0,I252*MAX(0,('P-Parametri'!$C$31*AF251)-AA251)/J252)</f>
        <v>80341.085100090961</v>
      </c>
      <c r="N252" s="18">
        <f>AB251-F252*(1-D252)+IF(J252&lt;=0,0,I252*MAX(0,('P-Parametri'!$C$31*AF251)-AA251)/J252)</f>
        <v>62333.869334110903</v>
      </c>
      <c r="O252" s="18">
        <f>AC251-G252+IF(J252&lt;=0,0,I252*MAX(0,('P-Parametri'!$D$31*AF251)-AC251)/J252)</f>
        <v>26780.361700030324</v>
      </c>
      <c r="P252" s="18">
        <f>AD251-G252+IF(J252&lt;=0,0,I252*MAX(0,('P-Parametri'!$D$31*AF251)-AC251)/J252)</f>
        <v>17558.69986762563</v>
      </c>
      <c r="Q252" s="18">
        <f t="shared" si="44"/>
        <v>171347.17289218251</v>
      </c>
      <c r="R252" s="18">
        <f>M252*(1+'P-Parametri'!$C$29)</f>
        <v>80742.790525591408</v>
      </c>
      <c r="S252" s="18">
        <f>O252*(1+'1-Input'!$B$27)</f>
        <v>26683.952397910212</v>
      </c>
      <c r="T252" s="11">
        <f t="shared" si="45"/>
        <v>0</v>
      </c>
      <c r="U252" s="11">
        <f t="shared" si="46"/>
        <v>0.22799461192322554</v>
      </c>
      <c r="V252" s="18">
        <f>IF(AG251=0,0,(MIN((Q252+R252+S252),MAX(0,$B$5-IF($A252&gt;='1-Input'!$C$12,'1-Input'!$B$12,0))/(Q252/(Q252+R252+S252)*(1-'P-Parametri'!$B$6*T252)+R252/(Q252+R252+S252)*(1-'P-Parametri'!$B$7*U252)+S252/(Q252+R252+S252))))*Q252/(Q252+R252+S252))</f>
        <v>12271.275926902579</v>
      </c>
      <c r="W252" s="18">
        <f>IF(AG251=0,0,(MIN((Q252+R252+S252),MAX(0,$B$5-IF($A252&gt;='1-Input'!$C$12,'1-Input'!$B$12,0))/(Q252/(Q252+R252+S252)*(1-'P-Parametri'!$B$6*T252)+R252/(Q252+R252+S252)*(1-'P-Parametri'!$B$7*U252)+S252/(Q252+R252+S252))))*R252/(Q252+R252+S252))</f>
        <v>5782.5118729626392</v>
      </c>
      <c r="X252" s="18">
        <f>IF(AG251=0,0,(MIN((Q252+R252+S252),MAX(0,$B$5-IF($A252&gt;='1-Input'!$C$12,'1-Input'!$B$12,0))/(Q252/(Q252+R252+S252)*(1-'P-Parametri'!$B$6*T252)+R252/(Q252+R252+S252)*(1-'P-Parametri'!$B$7*U252)+S252/(Q252+R252+S252))))*S252/(Q252+R252+S252))</f>
        <v>1911.0098939369734</v>
      </c>
      <c r="Y252" s="18">
        <f t="shared" si="47"/>
        <v>159075.89696527994</v>
      </c>
      <c r="Z252" s="18">
        <f t="shared" si="48"/>
        <v>222416.52626513352</v>
      </c>
      <c r="AA252" s="18">
        <f t="shared" si="49"/>
        <v>74960.278652628767</v>
      </c>
      <c r="AB252" s="18">
        <f t="shared" si="50"/>
        <v>57869.739011565827</v>
      </c>
      <c r="AC252" s="18">
        <f t="shared" si="51"/>
        <v>24772.942503973238</v>
      </c>
      <c r="AD252" s="18">
        <f t="shared" si="52"/>
        <v>15647.689973688657</v>
      </c>
      <c r="AE252" s="18">
        <f>IF(AG252=0,AE251,AE251+H252+V252*T252*'P-Parametri'!$B$6+W252*U252*'P-Parametri'!$B$7)</f>
        <v>1619.1364643411421</v>
      </c>
      <c r="AF252" s="18">
        <f t="shared" si="39"/>
        <v>258809.11812188194</v>
      </c>
      <c r="AG252" s="10">
        <f>IF(AND(AG251=1,(X252+W252*(1-'P-Parametri'!$B$7*U252)+V252*(1-'P-Parametri'!$B$6*T252))&gt;=MAX(0,$B$5-IF($A252&gt;='1-Input'!$C$12,'1-Input'!$B$12,0))-0.01),1,0)</f>
        <v>1</v>
      </c>
      <c r="AI252" s="11">
        <f t="shared" si="53"/>
        <v>0</v>
      </c>
      <c r="AJ252" s="11">
        <f t="shared" si="54"/>
        <v>0.22413458498284169</v>
      </c>
      <c r="AK252" s="18">
        <f>MAX(0,BE251-('P-Parametri'!$B$31*BL251))</f>
        <v>0</v>
      </c>
      <c r="AL252" s="18">
        <f>MAX(0,BG251-('P-Parametri'!$C$31*BL251))</f>
        <v>18348.539625330857</v>
      </c>
      <c r="AM252" s="18">
        <f>MAX(0,BI251-('P-Parametri'!$D$31*BL251))</f>
        <v>0</v>
      </c>
      <c r="AN252" s="18">
        <f>AK252*AI252*'P-Parametri'!$B$6+AL252*AJ252*'P-Parametri'!$B$7</f>
        <v>514.06778924559467</v>
      </c>
      <c r="AO252" s="18">
        <f t="shared" si="55"/>
        <v>17834.471836085264</v>
      </c>
      <c r="AP252" s="18">
        <f>MAX(0,('P-Parametri'!$B$31*BL251)-BE251)+MAX(0,('P-Parametri'!$C$31*BL251)-BG251)+MAX(0,('P-Parametri'!$D$31*BL251)-BI251)</f>
        <v>18348.539625330861</v>
      </c>
      <c r="AQ252" s="18">
        <f>BE251-AK252+IF(AP252&lt;=0,0,AO252*MAX(0,('P-Parametri'!$B$31*BL251)-BE251)/AP252)</f>
        <v>160663.83938641331</v>
      </c>
      <c r="AR252" s="18">
        <f>BF251-AK252*(1-AI252)+IF(AP252&lt;=0,0,AO252*MAX(0,('P-Parametri'!$B$31*BL251)-BE251)/AP252)</f>
        <v>235023.1505467766</v>
      </c>
      <c r="AS252" s="18">
        <f>BG251-AL252+IF(AP252&lt;=0,0,AO252*MAX(0,('P-Parametri'!$C$31*BL251)-BG251)/AP252)</f>
        <v>80389.934207204322</v>
      </c>
      <c r="AT252" s="18">
        <f>BH251-AL252*(1-AJ252)+IF(AP252&lt;=0,0,AO252*MAX(0,('P-Parametri'!$C$31*BL251)-BG251)/AP252)</f>
        <v>62371.769666874636</v>
      </c>
      <c r="AU252" s="18">
        <f>BI251-AM252+IF(AP252&lt;=0,0,AO252*MAX(0,('P-Parametri'!$D$31*BL251)-BI251)/AP252)</f>
        <v>26398.605974484526</v>
      </c>
      <c r="AV252" s="18">
        <f>BJ251-AM252+IF(AP252&lt;=0,0,AO252*MAX(0,('P-Parametri'!$D$31*BL251)-BI251)/AP252)</f>
        <v>17176.146562194164</v>
      </c>
      <c r="AW252" s="18">
        <f t="shared" si="56"/>
        <v>171671.24035045525</v>
      </c>
      <c r="AX252" s="18">
        <f>AS252*(1+'P-Parametri'!$C$29)</f>
        <v>80791.883878240333</v>
      </c>
      <c r="AY252" s="18">
        <f>AU252*(1+'1-Input'!$B$27)</f>
        <v>26303.57099297638</v>
      </c>
      <c r="AZ252" s="11">
        <f t="shared" si="57"/>
        <v>0</v>
      </c>
      <c r="BA252" s="11">
        <f t="shared" si="58"/>
        <v>0.22799461192322543</v>
      </c>
      <c r="BB252" s="18">
        <f>IF(BM251=0,0,MIN(MAX(AW252,0),(MAX(0,$B$5-IF($A252&gt;='1-Input'!$C$12,'1-Input'!$B$12,0))-BD252-BC252*(1-'P-Parametri'!$B$7*BA252))/(1-'P-Parametri'!$B$6*AZ252)))</f>
        <v>0</v>
      </c>
      <c r="BC252" s="18">
        <f>IF(BM251=0,0,MIN(MAX(AX252,0),(MAX(0,$B$5-IF($A252&gt;='1-Input'!$C$12,'1-Input'!$B$12,0))-BD252)/(1-'P-Parametri'!$B$7*BA252)))</f>
        <v>0</v>
      </c>
      <c r="BD252" s="18">
        <f>IF(BM251=0,0,MIN(MAX(AY252,0),MAX(0,$B$5-IF($A252&gt;='1-Input'!$C$12,'1-Input'!$B$12,0))))</f>
        <v>19800</v>
      </c>
      <c r="BE252" s="18">
        <f t="shared" si="59"/>
        <v>171671.24035045525</v>
      </c>
      <c r="BF252" s="18">
        <f t="shared" si="60"/>
        <v>235023.1505467766</v>
      </c>
      <c r="BG252" s="18">
        <f t="shared" si="61"/>
        <v>80791.883878240333</v>
      </c>
      <c r="BH252" s="18">
        <f t="shared" si="62"/>
        <v>62371.769666874636</v>
      </c>
      <c r="BI252" s="18">
        <f t="shared" si="63"/>
        <v>6503.5709929763798</v>
      </c>
      <c r="BJ252" s="18">
        <f t="shared" si="64"/>
        <v>-2623.8534378058357</v>
      </c>
      <c r="BK252" s="18">
        <f>IF(BM252=0,BK251,BK251+AN252+BB252*AZ252*'P-Parametri'!$B$6+BC252*BA252*'P-Parametri'!$B$7)</f>
        <v>1453.0095394064824</v>
      </c>
      <c r="BL252" s="18">
        <f t="shared" si="40"/>
        <v>258966.69522167195</v>
      </c>
      <c r="BM252" s="10">
        <f>IF(AND(BM251=1,(BD252+BC252*(1-'P-Parametri'!$B$7*BA252)+BB252*(1-'P-Parametri'!$B$6*AZ252))&gt;=MAX(0,$B$5-IF($A252&gt;='1-Input'!$C$12,'1-Input'!$B$12,0))-0.01),1,0)</f>
        <v>1</v>
      </c>
    </row>
    <row r="253" spans="1:97">
      <c r="A253" s="10">
        <f>4</f>
        <v>4</v>
      </c>
      <c r="B253" s="11">
        <f>IF(A253=1,'P-Parametri'!$B$30,IF(A253=2,'P-Parametri'!$C$30,'P-Parametri'!$B$29))</f>
        <v>6.8512000000000003E-2</v>
      </c>
      <c r="C253" s="11">
        <f t="shared" si="41"/>
        <v>0</v>
      </c>
      <c r="D253" s="11">
        <f t="shared" si="42"/>
        <v>0.22799461192322548</v>
      </c>
      <c r="E253" s="18">
        <f>MAX(0,Y252-('P-Parametri'!$B$31*AF252))</f>
        <v>3790.4260921507957</v>
      </c>
      <c r="F253" s="18">
        <f>MAX(0,AA252-('P-Parametri'!$C$31*AF252))</f>
        <v>0</v>
      </c>
      <c r="G253" s="18">
        <f>MAX(0,AC252-('P-Parametri'!$D$31*AF252))</f>
        <v>0</v>
      </c>
      <c r="H253" s="18">
        <f>E253*C253*'P-Parametri'!$B$6+F253*D253*'P-Parametri'!$B$7</f>
        <v>0</v>
      </c>
      <c r="I253" s="18">
        <f t="shared" si="43"/>
        <v>3790.4260921507957</v>
      </c>
      <c r="J253" s="18">
        <f>MAX(0,('P-Parametri'!$B$31*AF252)-Y252)+MAX(0,('P-Parametri'!$C$31*AF252)-AA252)+MAX(0,('P-Parametri'!$D$31*AF252)-AC252)</f>
        <v>3790.426092150763</v>
      </c>
      <c r="K253" s="18">
        <f>Y252-E253+IF(J253&lt;=0,0,I253*MAX(0,('P-Parametri'!$B$31*AF252)-Y252)/J253)</f>
        <v>155285.47087312915</v>
      </c>
      <c r="L253" s="18">
        <f>Z252-E253*(1-C253)+IF(J253&lt;=0,0,I253*MAX(0,('P-Parametri'!$B$31*AF252)-Y252)/J253)</f>
        <v>218626.10017298273</v>
      </c>
      <c r="M253" s="18">
        <f>AA252-F253+IF(J253&lt;=0,0,I253*MAX(0,('P-Parametri'!$C$31*AF252)-AA252)/J253)</f>
        <v>77642.735436564602</v>
      </c>
      <c r="N253" s="18">
        <f>AB252-F253*(1-D253)+IF(J253&lt;=0,0,I253*MAX(0,('P-Parametri'!$C$31*AF252)-AA252)/J253)</f>
        <v>60552.195795501655</v>
      </c>
      <c r="O253" s="18">
        <f>AC252-G253+IF(J253&lt;=0,0,I253*MAX(0,('P-Parametri'!$D$31*AF252)-AC252)/J253)</f>
        <v>25880.911812188206</v>
      </c>
      <c r="P253" s="18">
        <f>AD252-G253+IF(J253&lt;=0,0,I253*MAX(0,('P-Parametri'!$D$31*AF252)-AC252)/J253)</f>
        <v>16755.659281903623</v>
      </c>
      <c r="Q253" s="18">
        <f t="shared" si="44"/>
        <v>165924.38905358897</v>
      </c>
      <c r="R253" s="18">
        <f>M253*(1+'P-Parametri'!$C$29)</f>
        <v>78030.949113747411</v>
      </c>
      <c r="S253" s="18">
        <f>O253*(1+'1-Input'!$B$27)</f>
        <v>25787.740529664326</v>
      </c>
      <c r="T253" s="11">
        <f t="shared" si="45"/>
        <v>0</v>
      </c>
      <c r="U253" s="11">
        <f t="shared" si="46"/>
        <v>0.22399770240865066</v>
      </c>
      <c r="V253" s="18">
        <f>IF(AG252=0,0,(MIN((Q253+R253+S253),MAX(0,$B$5-IF($A253&gt;='1-Input'!$C$12,'1-Input'!$B$12,0))/(Q253/(Q253+R253+S253)*(1-'P-Parametri'!$B$6*T253)+R253/(Q253+R253+S253)*(1-'P-Parametri'!$B$7*U253)+S253/(Q253+R253+S253))))*Q253/(Q253+R253+S253))</f>
        <v>12278.833088448406</v>
      </c>
      <c r="W253" s="18">
        <f>IF(AG252=0,0,(MIN((Q253+R253+S253),MAX(0,$B$5-IF($A253&gt;='1-Input'!$C$12,'1-Input'!$B$12,0))/(Q253/(Q253+R253+S253)*(1-'P-Parametri'!$B$6*T253)+R253/(Q253+R253+S253)*(1-'P-Parametri'!$B$7*U253)+S253/(Q253+R253+S253))))*R253/(Q253+R253+S253))</f>
        <v>5774.4916546986142</v>
      </c>
      <c r="X253" s="18">
        <f>IF(AG252=0,0,(MIN((Q253+R253+S253),MAX(0,$B$5-IF($A253&gt;='1-Input'!$C$12,'1-Input'!$B$12,0))/(Q253/(Q253+R253+S253)*(1-'P-Parametri'!$B$6*T253)+R253/(Q253+R253+S253)*(1-'P-Parametri'!$B$7*U253)+S253/(Q253+R253+S253))))*S253/(Q253+R253+S253))</f>
        <v>1908.359364756783</v>
      </c>
      <c r="Y253" s="18">
        <f t="shared" si="47"/>
        <v>153645.55596514055</v>
      </c>
      <c r="Z253" s="18">
        <f t="shared" si="48"/>
        <v>206347.26708453431</v>
      </c>
      <c r="AA253" s="18">
        <f t="shared" si="49"/>
        <v>72256.45745904879</v>
      </c>
      <c r="AB253" s="18">
        <f t="shared" si="50"/>
        <v>56071.17700403346</v>
      </c>
      <c r="AC253" s="18">
        <f t="shared" si="51"/>
        <v>23879.381164907543</v>
      </c>
      <c r="AD253" s="18">
        <f t="shared" si="52"/>
        <v>14847.29991714684</v>
      </c>
      <c r="AE253" s="18">
        <f>IF(AG253=0,AE252,AE252+H253+V253*T253*'P-Parametri'!$B$6+W253*U253*'P-Parametri'!$B$7)</f>
        <v>1780.8205722449443</v>
      </c>
      <c r="AF253" s="18">
        <f t="shared" si="39"/>
        <v>249781.39458909689</v>
      </c>
      <c r="AG253" s="10">
        <f>IF(AND(AG252=1,(X253+W253*(1-'P-Parametri'!$B$7*U253)+V253*(1-'P-Parametri'!$B$6*T253))&gt;=MAX(0,$B$5-IF($A253&gt;='1-Input'!$C$12,'1-Input'!$B$12,0))-0.01),1,0)</f>
        <v>1</v>
      </c>
      <c r="AI253" s="11">
        <f t="shared" si="53"/>
        <v>0</v>
      </c>
      <c r="AJ253" s="11">
        <f t="shared" si="54"/>
        <v>0.22799461192322543</v>
      </c>
      <c r="AK253" s="18">
        <f>MAX(0,BE252-('P-Parametri'!$B$31*BL252))</f>
        <v>16291.22321745209</v>
      </c>
      <c r="AL253" s="18">
        <f>MAX(0,BG252-('P-Parametri'!$C$31*BL252))</f>
        <v>3101.8753117387532</v>
      </c>
      <c r="AM253" s="18">
        <f>MAX(0,BI252-('P-Parametri'!$D$31*BL252))</f>
        <v>0</v>
      </c>
      <c r="AN253" s="18">
        <f>AK253*AI253*'P-Parametri'!$B$6+AL253*AJ253*'P-Parametri'!$B$7</f>
        <v>88.401357241763861</v>
      </c>
      <c r="AO253" s="18">
        <f t="shared" si="55"/>
        <v>19304.697171949079</v>
      </c>
      <c r="AP253" s="18">
        <f>MAX(0,('P-Parametri'!$B$31*BL252)-BE252)+MAX(0,('P-Parametri'!$C$31*BL252)-BG252)+MAX(0,('P-Parametri'!$D$31*BL252)-BI252)</f>
        <v>19393.098529190818</v>
      </c>
      <c r="AQ253" s="18">
        <f>BE252-AK253+IF(AP253&lt;=0,0,AO253*MAX(0,('P-Parametri'!$B$31*BL252)-BE252)/AP253)</f>
        <v>155380.01713300316</v>
      </c>
      <c r="AR253" s="18">
        <f>BF252-AK253*(1-AI253)+IF(AP253&lt;=0,0,AO253*MAX(0,('P-Parametri'!$B$31*BL252)-BE252)/AP253)</f>
        <v>218731.92732932451</v>
      </c>
      <c r="AS253" s="18">
        <f>BG252-AL253+IF(AP253&lt;=0,0,AO253*MAX(0,('P-Parametri'!$C$31*BL252)-BG252)/AP253)</f>
        <v>77690.008566501579</v>
      </c>
      <c r="AT253" s="18">
        <f>BH252-AL253*(1-AJ253)+IF(AP253&lt;=0,0,AO253*MAX(0,('P-Parametri'!$C$31*BL252)-BG252)/AP253)</f>
        <v>59977.105213069997</v>
      </c>
      <c r="AU253" s="18">
        <f>BI252-AM253+IF(AP253&lt;=0,0,AO253*MAX(0,('P-Parametri'!$D$31*BL252)-BI252)/AP253)</f>
        <v>25808.268164925459</v>
      </c>
      <c r="AV253" s="18">
        <f>BJ252-AM253+IF(AP253&lt;=0,0,AO253*MAX(0,('P-Parametri'!$D$31*BL252)-BI252)/AP253)</f>
        <v>16680.843734143244</v>
      </c>
      <c r="AW253" s="18">
        <f t="shared" si="56"/>
        <v>166025.41286681945</v>
      </c>
      <c r="AX253" s="18">
        <f>AS253*(1+'P-Parametri'!$C$29)</f>
        <v>78078.458609334077</v>
      </c>
      <c r="AY253" s="18">
        <f>AU253*(1+'1-Input'!$B$27)</f>
        <v>25715.358399531728</v>
      </c>
      <c r="AZ253" s="11">
        <f t="shared" si="57"/>
        <v>0</v>
      </c>
      <c r="BA253" s="11">
        <f t="shared" si="58"/>
        <v>0.23183543474947788</v>
      </c>
      <c r="BB253" s="18">
        <f>IF(BM252=0,0,MIN(MAX(AW253,0),(MAX(0,$B$5-IF($A253&gt;='1-Input'!$C$12,'1-Input'!$B$12,0))-BD253-BC253*(1-'P-Parametri'!$B$7*BA253))/(1-'P-Parametri'!$B$6*AZ253)))</f>
        <v>0</v>
      </c>
      <c r="BC253" s="18">
        <f>IF(BM252=0,0,MIN(MAX(AX253,0),(MAX(0,$B$5-IF($A253&gt;='1-Input'!$C$12,'1-Input'!$B$12,0))-BD253)/(1-'P-Parametri'!$B$7*BA253)))</f>
        <v>0</v>
      </c>
      <c r="BD253" s="18">
        <f>IF(BM252=0,0,MIN(MAX(AY253,0),MAX(0,$B$5-IF($A253&gt;='1-Input'!$C$12,'1-Input'!$B$12,0))))</f>
        <v>19800</v>
      </c>
      <c r="BE253" s="18">
        <f t="shared" si="59"/>
        <v>166025.41286681945</v>
      </c>
      <c r="BF253" s="18">
        <f t="shared" si="60"/>
        <v>218731.92732932451</v>
      </c>
      <c r="BG253" s="18">
        <f t="shared" si="61"/>
        <v>78078.458609334077</v>
      </c>
      <c r="BH253" s="18">
        <f t="shared" si="62"/>
        <v>59977.105213069997</v>
      </c>
      <c r="BI253" s="18">
        <f t="shared" si="63"/>
        <v>5915.3583995317276</v>
      </c>
      <c r="BJ253" s="18">
        <f t="shared" si="64"/>
        <v>-3119.1562658567564</v>
      </c>
      <c r="BK253" s="18">
        <f>IF(BM253=0,BK252,BK252+AN253+BB253*AZ253*'P-Parametri'!$B$6+BC253*BA253*'P-Parametri'!$B$7)</f>
        <v>1541.4108966482463</v>
      </c>
      <c r="BL253" s="18">
        <f t="shared" si="40"/>
        <v>250019.22987568524</v>
      </c>
      <c r="BM253" s="10">
        <f>IF(AND(BM252=1,(BD253+BC253*(1-'P-Parametri'!$B$7*BA253)+BB253*(1-'P-Parametri'!$B$6*AZ253))&gt;=MAX(0,$B$5-IF($A253&gt;='1-Input'!$C$12,'1-Input'!$B$12,0))-0.01),1,0)</f>
        <v>1</v>
      </c>
    </row>
    <row r="254" spans="1:97">
      <c r="A254" s="10">
        <f>5</f>
        <v>5</v>
      </c>
      <c r="B254" s="11">
        <f>IF(A254=1,'P-Parametri'!$B$30,IF(A254=2,'P-Parametri'!$C$30,'P-Parametri'!$B$29))</f>
        <v>6.8512000000000003E-2</v>
      </c>
      <c r="C254" s="11">
        <f t="shared" si="41"/>
        <v>0</v>
      </c>
      <c r="D254" s="11">
        <f t="shared" si="42"/>
        <v>0.22399770240865058</v>
      </c>
      <c r="E254" s="18">
        <f>MAX(0,Y253-('P-Parametri'!$B$31*AF253))</f>
        <v>3776.7192116824153</v>
      </c>
      <c r="F254" s="18">
        <f>MAX(0,AA253-('P-Parametri'!$C$31*AF253))</f>
        <v>0</v>
      </c>
      <c r="G254" s="18">
        <f>MAX(0,AC253-('P-Parametri'!$D$31*AF253))</f>
        <v>0</v>
      </c>
      <c r="H254" s="18">
        <f>E254*C254*'P-Parametri'!$B$6+F254*D254*'P-Parametri'!$B$7</f>
        <v>0</v>
      </c>
      <c r="I254" s="18">
        <f t="shared" si="43"/>
        <v>3776.7192116824153</v>
      </c>
      <c r="J254" s="18">
        <f>MAX(0,('P-Parametri'!$B$31*AF253)-Y253)+MAX(0,('P-Parametri'!$C$31*AF253)-AA253)+MAX(0,('P-Parametri'!$D$31*AF253)-AC253)</f>
        <v>3776.7192116824226</v>
      </c>
      <c r="K254" s="18">
        <f>Y253-E254+IF(J254&lt;=0,0,I254*MAX(0,('P-Parametri'!$B$31*AF253)-Y253)/J254)</f>
        <v>149868.83675345813</v>
      </c>
      <c r="L254" s="18">
        <f>Z253-E254*(1-C254)+IF(J254&lt;=0,0,I254*MAX(0,('P-Parametri'!$B$31*AF253)-Y253)/J254)</f>
        <v>202570.54787285189</v>
      </c>
      <c r="M254" s="18">
        <f>AA253-F254+IF(J254&lt;=0,0,I254*MAX(0,('P-Parametri'!$C$31*AF253)-AA253)/J254)</f>
        <v>74934.418376729067</v>
      </c>
      <c r="N254" s="18">
        <f>AB253-F254*(1-D254)+IF(J254&lt;=0,0,I254*MAX(0,('P-Parametri'!$C$31*AF253)-AA253)/J254)</f>
        <v>58749.137921713729</v>
      </c>
      <c r="O254" s="18">
        <f>AC253-G254+IF(J254&lt;=0,0,I254*MAX(0,('P-Parametri'!$D$31*AF253)-AC253)/J254)</f>
        <v>24978.139458909685</v>
      </c>
      <c r="P254" s="18">
        <f>AD253-G254+IF(J254&lt;=0,0,I254*MAX(0,('P-Parametri'!$D$31*AF253)-AC253)/J254)</f>
        <v>15946.058211148984</v>
      </c>
      <c r="Q254" s="18">
        <f t="shared" si="44"/>
        <v>160136.65049711106</v>
      </c>
      <c r="R254" s="18">
        <f>M254*(1+'P-Parametri'!$C$29)</f>
        <v>75309.090468612703</v>
      </c>
      <c r="S254" s="18">
        <f>O254*(1+'1-Input'!$B$27)</f>
        <v>24888.218156857609</v>
      </c>
      <c r="T254" s="11">
        <f t="shared" si="45"/>
        <v>0</v>
      </c>
      <c r="U254" s="11">
        <f t="shared" si="46"/>
        <v>0.21989314230000992</v>
      </c>
      <c r="V254" s="18">
        <f>IF(AG253=0,0,(MIN((Q254+R254+S254),MAX(0,$B$5-IF($A254&gt;='1-Input'!$C$12,'1-Input'!$B$12,0))/(Q254/(Q254+R254+S254)*(1-'P-Parametri'!$B$6*T254)+R254/(Q254+R254+S254)*(1-'P-Parametri'!$B$7*U254)+S254/(Q254+R254+S254))))*Q254/(Q254+R254+S254))</f>
        <v>12276.996053929368</v>
      </c>
      <c r="W254" s="18">
        <f>IF(AG253=0,0,(MIN((Q254+R254+S254),MAX(0,$B$5-IF($A254&gt;='1-Input'!$C$12,'1-Input'!$B$12,0))/(Q254/(Q254+R254+S254)*(1-'P-Parametri'!$B$6*T254)+R254/(Q254+R254+S254)*(1-'P-Parametri'!$B$7*U254)+S254/(Q254+R254+S254))))*R254/(Q254+R254+S254))</f>
        <v>5773.6277338013115</v>
      </c>
      <c r="X254" s="18">
        <f>IF(AG253=0,0,(MIN((Q254+R254+S254),MAX(0,$B$5-IF($A254&gt;='1-Input'!$C$12,'1-Input'!$B$12,0))/(Q254/(Q254+R254+S254)*(1-'P-Parametri'!$B$6*T254)+R254/(Q254+R254+S254)*(1-'P-Parametri'!$B$7*U254)+S254/(Q254+R254+S254))))*S254/(Q254+R254+S254))</f>
        <v>1908.0738553763272</v>
      </c>
      <c r="Y254" s="18">
        <f t="shared" si="47"/>
        <v>147859.6544431817</v>
      </c>
      <c r="Z254" s="18">
        <f t="shared" si="48"/>
        <v>190293.55181892251</v>
      </c>
      <c r="AA254" s="18">
        <f t="shared" si="49"/>
        <v>69535.462734811386</v>
      </c>
      <c r="AB254" s="18">
        <f t="shared" si="50"/>
        <v>54245.091332768476</v>
      </c>
      <c r="AC254" s="18">
        <f t="shared" si="51"/>
        <v>22980.144301481283</v>
      </c>
      <c r="AD254" s="18">
        <f t="shared" si="52"/>
        <v>14037.984355772656</v>
      </c>
      <c r="AE254" s="18">
        <f>IF(AG254=0,AE253,AE253+H254+V254*T254*'P-Parametri'!$B$6+W254*U254*'P-Parametri'!$B$7)</f>
        <v>1939.5182153519513</v>
      </c>
      <c r="AF254" s="18">
        <f t="shared" si="39"/>
        <v>240375.26147947437</v>
      </c>
      <c r="AG254" s="10">
        <f>IF(AND(AG253=1,(X254+W254*(1-'P-Parametri'!$B$7*U254)+V254*(1-'P-Parametri'!$B$6*T254))&gt;=MAX(0,$B$5-IF($A254&gt;='1-Input'!$C$12,'1-Input'!$B$12,0))-0.01),1,0)</f>
        <v>1</v>
      </c>
      <c r="AI254" s="11">
        <f t="shared" si="53"/>
        <v>0</v>
      </c>
      <c r="AJ254" s="11">
        <f t="shared" si="54"/>
        <v>0.23183543474947788</v>
      </c>
      <c r="AK254" s="18">
        <f>MAX(0,BE253-('P-Parametri'!$B$31*BL253))</f>
        <v>16013.874941408314</v>
      </c>
      <c r="AL254" s="18">
        <f>MAX(0,BG253-('P-Parametri'!$C$31*BL253))</f>
        <v>3072.6896466285107</v>
      </c>
      <c r="AM254" s="18">
        <f>MAX(0,BI253-('P-Parametri'!$D$31*BL253))</f>
        <v>0</v>
      </c>
      <c r="AN254" s="18">
        <f>AK254*AI254*'P-Parametri'!$B$6+AL254*AJ254*'P-Parametri'!$B$7</f>
        <v>89.044792509542546</v>
      </c>
      <c r="AO254" s="18">
        <f t="shared" si="55"/>
        <v>18997.519795527282</v>
      </c>
      <c r="AP254" s="18">
        <f>MAX(0,('P-Parametri'!$B$31*BL253)-BE253)+MAX(0,('P-Parametri'!$C$31*BL253)-BG253)+MAX(0,('P-Parametri'!$D$31*BL253)-BI253)</f>
        <v>19086.564588036799</v>
      </c>
      <c r="AQ254" s="18">
        <f>BE253-AK254+IF(AP254&lt;=0,0,AO254*MAX(0,('P-Parametri'!$B$31*BL253)-BE253)/AP254)</f>
        <v>150011.53792541113</v>
      </c>
      <c r="AR254" s="18">
        <f>BF253-AK254*(1-AI254)+IF(AP254&lt;=0,0,AO254*MAX(0,('P-Parametri'!$B$31*BL253)-BE253)/AP254)</f>
        <v>202718.05238791619</v>
      </c>
      <c r="AS254" s="18">
        <f>BG253-AL254+IF(AP254&lt;=0,0,AO254*MAX(0,('P-Parametri'!$C$31*BL253)-BG253)/AP254)</f>
        <v>75005.768962705566</v>
      </c>
      <c r="AT254" s="18">
        <f>BH253-AL254*(1-AJ254)+IF(AP254&lt;=0,0,AO254*MAX(0,('P-Parametri'!$C$31*BL253)-BG253)/AP254)</f>
        <v>57616.773906517825</v>
      </c>
      <c r="AU254" s="18">
        <f>BI253-AM254+IF(AP254&lt;=0,0,AO254*MAX(0,('P-Parametri'!$D$31*BL253)-BI253)/AP254)</f>
        <v>24912.878195059009</v>
      </c>
      <c r="AV254" s="18">
        <f>BJ253-AM254+IF(AP254&lt;=0,0,AO254*MAX(0,('P-Parametri'!$D$31*BL253)-BI253)/AP254)</f>
        <v>15878.363529670525</v>
      </c>
      <c r="AW254" s="18">
        <f t="shared" si="56"/>
        <v>160289.12841175689</v>
      </c>
      <c r="AX254" s="18">
        <f>AS254*(1+'P-Parametri'!$C$29)</f>
        <v>75380.797807519091</v>
      </c>
      <c r="AY254" s="18">
        <f>AU254*(1+'1-Input'!$B$27)</f>
        <v>24823.191833556797</v>
      </c>
      <c r="AZ254" s="11">
        <f t="shared" si="57"/>
        <v>0</v>
      </c>
      <c r="BA254" s="11">
        <f t="shared" si="58"/>
        <v>0.23565714900445561</v>
      </c>
      <c r="BB254" s="18">
        <f>IF(BM253=0,0,MIN(MAX(AW254,0),(MAX(0,$B$5-IF($A254&gt;='1-Input'!$C$12,'1-Input'!$B$12,0))-BD254-BC254*(1-'P-Parametri'!$B$7*BA254))/(1-'P-Parametri'!$B$6*AZ254)))</f>
        <v>0</v>
      </c>
      <c r="BC254" s="18">
        <f>IF(BM253=0,0,MIN(MAX(AX254,0),(MAX(0,$B$5-IF($A254&gt;='1-Input'!$C$12,'1-Input'!$B$12,0))-BD254)/(1-'P-Parametri'!$B$7*BA254)))</f>
        <v>0</v>
      </c>
      <c r="BD254" s="18">
        <f>IF(BM253=0,0,MIN(MAX(AY254,0),MAX(0,$B$5-IF($A254&gt;='1-Input'!$C$12,'1-Input'!$B$12,0))))</f>
        <v>19800</v>
      </c>
      <c r="BE254" s="18">
        <f t="shared" si="59"/>
        <v>160289.12841175689</v>
      </c>
      <c r="BF254" s="18">
        <f t="shared" si="60"/>
        <v>202718.05238791619</v>
      </c>
      <c r="BG254" s="18">
        <f t="shared" si="61"/>
        <v>75380.797807519091</v>
      </c>
      <c r="BH254" s="18">
        <f t="shared" si="62"/>
        <v>57616.773906517825</v>
      </c>
      <c r="BI254" s="18">
        <f t="shared" si="63"/>
        <v>5023.1918335567971</v>
      </c>
      <c r="BJ254" s="18">
        <f t="shared" si="64"/>
        <v>-3921.6364703294748</v>
      </c>
      <c r="BK254" s="18">
        <f>IF(BM254=0,BK253,BK253+AN254+BB254*AZ254*'P-Parametri'!$B$6+BC254*BA254*'P-Parametri'!$B$7)</f>
        <v>1630.4556891577888</v>
      </c>
      <c r="BL254" s="18">
        <f t="shared" si="40"/>
        <v>240693.11805283278</v>
      </c>
      <c r="BM254" s="10">
        <f>IF(AND(BM253=1,(BD254+BC254*(1-'P-Parametri'!$B$7*BA254)+BB254*(1-'P-Parametri'!$B$6*AZ254))&gt;=MAX(0,$B$5-IF($A254&gt;='1-Input'!$C$12,'1-Input'!$B$12,0))-0.01),1,0)</f>
        <v>1</v>
      </c>
    </row>
    <row r="255" spans="1:97">
      <c r="A255" s="10">
        <f>6</f>
        <v>6</v>
      </c>
      <c r="B255" s="11">
        <f>IF(A255=1,'P-Parametri'!$B$30,IF(A255=2,'P-Parametri'!$C$30,'P-Parametri'!$B$29))</f>
        <v>6.8512000000000003E-2</v>
      </c>
      <c r="C255" s="11">
        <f t="shared" si="41"/>
        <v>0</v>
      </c>
      <c r="D255" s="11">
        <f t="shared" si="42"/>
        <v>0.21989314230000984</v>
      </c>
      <c r="E255" s="18">
        <f>MAX(0,Y254-('P-Parametri'!$B$31*AF254))</f>
        <v>3634.4975554970733</v>
      </c>
      <c r="F255" s="18">
        <f>MAX(0,AA254-('P-Parametri'!$C$31*AF254))</f>
        <v>0</v>
      </c>
      <c r="G255" s="18">
        <f>MAX(0,AC254-('P-Parametri'!$D$31*AF254))</f>
        <v>0</v>
      </c>
      <c r="H255" s="18">
        <f>E255*C255*'P-Parametri'!$B$6+F255*D255*'P-Parametri'!$B$7</f>
        <v>0</v>
      </c>
      <c r="I255" s="18">
        <f t="shared" si="43"/>
        <v>3634.4975554970733</v>
      </c>
      <c r="J255" s="18">
        <f>MAX(0,('P-Parametri'!$B$31*AF254)-Y254)+MAX(0,('P-Parametri'!$C$31*AF254)-AA254)+MAX(0,('P-Parametri'!$D$31*AF254)-AC254)</f>
        <v>3634.4975554970842</v>
      </c>
      <c r="K255" s="18">
        <f>Y254-E255+IF(J255&lt;=0,0,I255*MAX(0,('P-Parametri'!$B$31*AF254)-Y254)/J255)</f>
        <v>144225.15688768463</v>
      </c>
      <c r="L255" s="18">
        <f>Z254-E255*(1-C255)+IF(J255&lt;=0,0,I255*MAX(0,('P-Parametri'!$B$31*AF254)-Y254)/J255)</f>
        <v>186659.05426342544</v>
      </c>
      <c r="M255" s="18">
        <f>AA254-F255+IF(J255&lt;=0,0,I255*MAX(0,('P-Parametri'!$C$31*AF254)-AA254)/J255)</f>
        <v>72112.5784438423</v>
      </c>
      <c r="N255" s="18">
        <f>AB254-F255*(1-D255)+IF(J255&lt;=0,0,I255*MAX(0,('P-Parametri'!$C$31*AF254)-AA254)/J255)</f>
        <v>56822.207041799396</v>
      </c>
      <c r="O255" s="18">
        <f>AC254-G255+IF(J255&lt;=0,0,I255*MAX(0,('P-Parametri'!$D$31*AF254)-AC254)/J255)</f>
        <v>24037.526147947436</v>
      </c>
      <c r="P255" s="18">
        <f>AD254-G255+IF(J255&lt;=0,0,I255*MAX(0,('P-Parametri'!$D$31*AF254)-AC254)/J255)</f>
        <v>15095.366202238809</v>
      </c>
      <c r="Q255" s="18">
        <f t="shared" si="44"/>
        <v>154106.31083637365</v>
      </c>
      <c r="R255" s="18">
        <f>M255*(1+'P-Parametri'!$C$29)</f>
        <v>72473.141336061497</v>
      </c>
      <c r="S255" s="18">
        <f>O255*(1+'1-Input'!$B$27)</f>
        <v>23950.991053814825</v>
      </c>
      <c r="T255" s="11">
        <f t="shared" si="45"/>
        <v>0</v>
      </c>
      <c r="U255" s="11">
        <f t="shared" si="46"/>
        <v>0.21595495939230719</v>
      </c>
      <c r="V255" s="18">
        <f>IF(AG254=0,0,(MIN((Q255+R255+S255),MAX(0,$B$5-IF($A255&gt;='1-Input'!$C$12,'1-Input'!$B$12,0))/(Q255/(Q255+R255+S255)*(1-'P-Parametri'!$B$6*T255)+R255/(Q255+R255+S255)*(1-'P-Parametri'!$B$7*U255)+S255/(Q255+R255+S255))))*Q255/(Q255+R255+S255))</f>
        <v>12275.233999725842</v>
      </c>
      <c r="W255" s="18">
        <f>IF(AG254=0,0,(MIN((Q255+R255+S255),MAX(0,$B$5-IF($A255&gt;='1-Input'!$C$12,'1-Input'!$B$12,0))/(Q255/(Q255+R255+S255)*(1-'P-Parametri'!$B$6*T255)+R255/(Q255+R255+S255)*(1-'P-Parametri'!$B$7*U255)+S255/(Q255+R255+S255))))*R255/(Q255+R255+S255))</f>
        <v>5772.799074659184</v>
      </c>
      <c r="X255" s="18">
        <f>IF(AG254=0,0,(MIN((Q255+R255+S255),MAX(0,$B$5-IF($A255&gt;='1-Input'!$C$12,'1-Input'!$B$12,0))/(Q255/(Q255+R255+S255)*(1-'P-Parametri'!$B$6*T255)+R255/(Q255+R255+S255)*(1-'P-Parametri'!$B$7*U255)+S255/(Q255+R255+S255))))*S255/(Q255+R255+S255))</f>
        <v>1907.7999993334699</v>
      </c>
      <c r="Y255" s="18">
        <f t="shared" si="47"/>
        <v>141831.07683664782</v>
      </c>
      <c r="Z255" s="18">
        <f t="shared" si="48"/>
        <v>174383.8202636996</v>
      </c>
      <c r="AA255" s="18">
        <f t="shared" si="49"/>
        <v>66700.342261402315</v>
      </c>
      <c r="AB255" s="18">
        <f t="shared" si="50"/>
        <v>52296.072556888183</v>
      </c>
      <c r="AC255" s="18">
        <f t="shared" si="51"/>
        <v>22043.191054481355</v>
      </c>
      <c r="AD255" s="18">
        <f t="shared" si="52"/>
        <v>13187.566202905338</v>
      </c>
      <c r="AE255" s="18">
        <f>IF(AG255=0,AE254,AE254+H255+V255*T255*'P-Parametri'!$B$6+W255*U255*'P-Parametri'!$B$7)</f>
        <v>2095.3512890704478</v>
      </c>
      <c r="AF255" s="18">
        <f t="shared" si="39"/>
        <v>230574.61015253147</v>
      </c>
      <c r="AG255" s="10">
        <f>IF(AND(AG254=1,(X255+W255*(1-'P-Parametri'!$B$7*U255)+V255*(1-'P-Parametri'!$B$6*T255))&gt;=MAX(0,$B$5-IF($A255&gt;='1-Input'!$C$12,'1-Input'!$B$12,0))-0.01),1,0)</f>
        <v>1</v>
      </c>
      <c r="AI255" s="11">
        <f t="shared" si="53"/>
        <v>0</v>
      </c>
      <c r="AJ255" s="11">
        <f t="shared" si="54"/>
        <v>0.23565714900445561</v>
      </c>
      <c r="AK255" s="18">
        <f>MAX(0,BE254-('P-Parametri'!$B$31*BL254))</f>
        <v>15873.257580057223</v>
      </c>
      <c r="AL255" s="18">
        <f>MAX(0,BG254-('P-Parametri'!$C$31*BL254))</f>
        <v>3172.8623916692595</v>
      </c>
      <c r="AM255" s="18">
        <f>MAX(0,BI254-('P-Parametri'!$D$31*BL254))</f>
        <v>0</v>
      </c>
      <c r="AN255" s="18">
        <f>AK255*AI255*'P-Parametri'!$B$6+AL255*AJ255*'P-Parametri'!$B$7</f>
        <v>93.463463175529512</v>
      </c>
      <c r="AO255" s="18">
        <f t="shared" si="55"/>
        <v>18952.656508550954</v>
      </c>
      <c r="AP255" s="18">
        <f>MAX(0,('P-Parametri'!$B$31*BL254)-BE254)+MAX(0,('P-Parametri'!$C$31*BL254)-BG254)+MAX(0,('P-Parametri'!$D$31*BL254)-BI254)</f>
        <v>19046.119971726483</v>
      </c>
      <c r="AQ255" s="18">
        <f>BE254-AK255+IF(AP255&lt;=0,0,AO255*MAX(0,('P-Parametri'!$B$31*BL254)-BE254)/AP255)</f>
        <v>144415.87083169966</v>
      </c>
      <c r="AR255" s="18">
        <f>BF254-AK255*(1-AI255)+IF(AP255&lt;=0,0,AO255*MAX(0,('P-Parametri'!$B$31*BL254)-BE254)/AP255)</f>
        <v>186844.79480785897</v>
      </c>
      <c r="AS255" s="18">
        <f>BG254-AL255+IF(AP255&lt;=0,0,AO255*MAX(0,('P-Parametri'!$C$31*BL254)-BG254)/AP255)</f>
        <v>72207.935415849832</v>
      </c>
      <c r="AT255" s="18">
        <f>BH254-AL255*(1-AJ255)+IF(AP255&lt;=0,0,AO255*MAX(0,('P-Parametri'!$C$31*BL254)-BG254)/AP255)</f>
        <v>55191.619220252804</v>
      </c>
      <c r="AU255" s="18">
        <f>BI254-AM255+IF(AP255&lt;=0,0,AO255*MAX(0,('P-Parametri'!$D$31*BL254)-BI254)/AP255)</f>
        <v>23975.848342107751</v>
      </c>
      <c r="AV255" s="18">
        <f>BJ254-AM255+IF(AP255&lt;=0,0,AO255*MAX(0,('P-Parametri'!$D$31*BL254)-BI254)/AP255)</f>
        <v>15031.020038221479</v>
      </c>
      <c r="AW255" s="18">
        <f t="shared" si="56"/>
        <v>154310.09097412106</v>
      </c>
      <c r="AX255" s="18">
        <f>AS255*(1+'P-Parametri'!$C$29)</f>
        <v>72568.975092929075</v>
      </c>
      <c r="AY255" s="18">
        <f>AU255*(1+'1-Input'!$B$27)</f>
        <v>23889.53528807616</v>
      </c>
      <c r="AZ255" s="11">
        <f t="shared" si="57"/>
        <v>0</v>
      </c>
      <c r="BA255" s="11">
        <f t="shared" si="58"/>
        <v>0.23945984975567711</v>
      </c>
      <c r="BB255" s="18">
        <f>IF(BM254=0,0,MIN(MAX(AW255,0),(MAX(0,$B$5-IF($A255&gt;='1-Input'!$C$12,'1-Input'!$B$12,0))-BD255-BC255*(1-'P-Parametri'!$B$7*BA255))/(1-'P-Parametri'!$B$6*AZ255)))</f>
        <v>0</v>
      </c>
      <c r="BC255" s="18">
        <f>IF(BM254=0,0,MIN(MAX(AX255,0),(MAX(0,$B$5-IF($A255&gt;='1-Input'!$C$12,'1-Input'!$B$12,0))-BD255)/(1-'P-Parametri'!$B$7*BA255)))</f>
        <v>0</v>
      </c>
      <c r="BD255" s="18">
        <f>IF(BM254=0,0,MIN(MAX(AY255,0),MAX(0,$B$5-IF($A255&gt;='1-Input'!$C$12,'1-Input'!$B$12,0))))</f>
        <v>19800</v>
      </c>
      <c r="BE255" s="18">
        <f t="shared" si="59"/>
        <v>154310.09097412106</v>
      </c>
      <c r="BF255" s="18">
        <f t="shared" si="60"/>
        <v>186844.79480785897</v>
      </c>
      <c r="BG255" s="18">
        <f t="shared" si="61"/>
        <v>72568.975092929075</v>
      </c>
      <c r="BH255" s="18">
        <f t="shared" si="62"/>
        <v>55191.619220252804</v>
      </c>
      <c r="BI255" s="18">
        <f t="shared" si="63"/>
        <v>4089.5352880761602</v>
      </c>
      <c r="BJ255" s="18">
        <f t="shared" si="64"/>
        <v>-4768.9799617785211</v>
      </c>
      <c r="BK255" s="18">
        <f>IF(BM255=0,BK254,BK254+AN255+BB255*AZ255*'P-Parametri'!$B$6+BC255*BA255*'P-Parametri'!$B$7)</f>
        <v>1723.9191523333184</v>
      </c>
      <c r="BL255" s="18">
        <f t="shared" si="40"/>
        <v>230968.6013551263</v>
      </c>
      <c r="BM255" s="10">
        <f>IF(AND(BM254=1,(BD255+BC255*(1-'P-Parametri'!$B$7*BA255)+BB255*(1-'P-Parametri'!$B$6*AZ255))&gt;=MAX(0,$B$5-IF($A255&gt;='1-Input'!$C$12,'1-Input'!$B$12,0))-0.01),1,0)</f>
        <v>1</v>
      </c>
    </row>
    <row r="256" spans="1:97">
      <c r="A256" s="10">
        <f>7</f>
        <v>7</v>
      </c>
      <c r="B256" s="11">
        <f>IF(A256=1,'P-Parametri'!$B$30,IF(A256=2,'P-Parametri'!$C$30,'P-Parametri'!$B$29))</f>
        <v>6.8512000000000003E-2</v>
      </c>
      <c r="C256" s="11">
        <f t="shared" si="41"/>
        <v>0</v>
      </c>
      <c r="D256" s="11">
        <f t="shared" si="42"/>
        <v>0.21595495939230724</v>
      </c>
      <c r="E256" s="18">
        <f>MAX(0,Y255-('P-Parametri'!$B$31*AF255))</f>
        <v>3486.3107451289252</v>
      </c>
      <c r="F256" s="18">
        <f>MAX(0,AA255-('P-Parametri'!$C$31*AF255))</f>
        <v>0</v>
      </c>
      <c r="G256" s="18">
        <f>MAX(0,AC255-('P-Parametri'!$D$31*AF255))</f>
        <v>0</v>
      </c>
      <c r="H256" s="18">
        <f>E256*C256*'P-Parametri'!$B$6+F256*D256*'P-Parametri'!$B$7</f>
        <v>0</v>
      </c>
      <c r="I256" s="18">
        <f t="shared" si="43"/>
        <v>3486.3107451289252</v>
      </c>
      <c r="J256" s="18">
        <f>MAX(0,('P-Parametri'!$B$31*AF255)-Y255)+MAX(0,('P-Parametri'!$C$31*AF255)-AA255)+MAX(0,('P-Parametri'!$D$31*AF255)-AC255)</f>
        <v>3486.3107451289252</v>
      </c>
      <c r="K256" s="18">
        <f>Y255-E256+IF(J256&lt;=0,0,I256*MAX(0,('P-Parametri'!$B$31*AF255)-Y255)/J256)</f>
        <v>138344.76609151889</v>
      </c>
      <c r="L256" s="18">
        <f>Z255-E256*(1-C256)+IF(J256&lt;=0,0,I256*MAX(0,('P-Parametri'!$B$31*AF255)-Y255)/J256)</f>
        <v>170897.50951857067</v>
      </c>
      <c r="M256" s="18">
        <f>AA255-F256+IF(J256&lt;=0,0,I256*MAX(0,('P-Parametri'!$C$31*AF255)-AA255)/J256)</f>
        <v>69172.383045759445</v>
      </c>
      <c r="N256" s="18">
        <f>AB255-F256*(1-D256)+IF(J256&lt;=0,0,I256*MAX(0,('P-Parametri'!$C$31*AF255)-AA255)/J256)</f>
        <v>54768.113341245313</v>
      </c>
      <c r="O256" s="18">
        <f>AC255-G256+IF(J256&lt;=0,0,I256*MAX(0,('P-Parametri'!$D$31*AF255)-AC255)/J256)</f>
        <v>23057.46101525315</v>
      </c>
      <c r="P256" s="18">
        <f>AD255-G256+IF(J256&lt;=0,0,I256*MAX(0,('P-Parametri'!$D$31*AF255)-AC255)/J256)</f>
        <v>14201.836163677133</v>
      </c>
      <c r="Q256" s="18">
        <f t="shared" si="44"/>
        <v>147823.04270598103</v>
      </c>
      <c r="R256" s="18">
        <f>M256*(1+'P-Parametri'!$C$29)</f>
        <v>69518.244960988231</v>
      </c>
      <c r="S256" s="18">
        <f>O256*(1+'1-Input'!$B$27)</f>
        <v>22974.454155598236</v>
      </c>
      <c r="T256" s="11">
        <f t="shared" si="45"/>
        <v>0</v>
      </c>
      <c r="U256" s="11">
        <f t="shared" si="46"/>
        <v>0.21217640963203682</v>
      </c>
      <c r="V256" s="18">
        <f>IF(AG255=0,0,(MIN((Q256+R256+S256),MAX(0,$B$5-IF($A256&gt;='1-Input'!$C$12,'1-Input'!$B$12,0))/(Q256/(Q256+R256+S256)*(1-'P-Parametri'!$B$6*T256)+R256/(Q256+R256+S256)*(1-'P-Parametri'!$B$7*U256)+S256/(Q256+R256+S256))))*Q256/(Q256+R256+S256))</f>
        <v>12273.543845292472</v>
      </c>
      <c r="W256" s="18">
        <f>IF(AG255=0,0,(MIN((Q256+R256+S256),MAX(0,$B$5-IF($A256&gt;='1-Input'!$C$12,'1-Input'!$B$12,0))/(Q256/(Q256+R256+S256)*(1-'P-Parametri'!$B$6*T256)+R256/(Q256+R256+S256)*(1-'P-Parametri'!$B$7*U256)+S256/(Q256+R256+S256))))*R256/(Q256+R256+S256))</f>
        <v>5772.0042285528534</v>
      </c>
      <c r="X256" s="18">
        <f>IF(AG255=0,0,(MIN((Q256+R256+S256),MAX(0,$B$5-IF($A256&gt;='1-Input'!$C$12,'1-Input'!$B$12,0))/(Q256/(Q256+R256+S256)*(1-'P-Parametri'!$B$6*T256)+R256/(Q256+R256+S256)*(1-'P-Parametri'!$B$7*U256)+S256/(Q256+R256+S256))))*S256/(Q256+R256+S256))</f>
        <v>1907.537317854084</v>
      </c>
      <c r="Y256" s="18">
        <f t="shared" si="47"/>
        <v>135549.49886068856</v>
      </c>
      <c r="Z256" s="18">
        <f t="shared" si="48"/>
        <v>158623.9656732782</v>
      </c>
      <c r="AA256" s="18">
        <f t="shared" si="49"/>
        <v>63746.240732435377</v>
      </c>
      <c r="AB256" s="18">
        <f t="shared" si="50"/>
        <v>50220.79224628774</v>
      </c>
      <c r="AC256" s="18">
        <f t="shared" si="51"/>
        <v>21066.916837744153</v>
      </c>
      <c r="AD256" s="18">
        <f t="shared" si="52"/>
        <v>12294.29884582305</v>
      </c>
      <c r="AE256" s="18">
        <f>IF(AG256=0,AE255,AE255+H256+V256*T256*'P-Parametri'!$B$6+W256*U256*'P-Parametri'!$B$7)</f>
        <v>2248.4366807698575</v>
      </c>
      <c r="AF256" s="18">
        <f t="shared" si="39"/>
        <v>220362.65643086808</v>
      </c>
      <c r="AG256" s="10">
        <f>IF(AND(AG255=1,(X256+W256*(1-'P-Parametri'!$B$7*U256)+V256*(1-'P-Parametri'!$B$6*T256))&gt;=MAX(0,$B$5-IF($A256&gt;='1-Input'!$C$12,'1-Input'!$B$12,0))-0.01),1,0)</f>
        <v>1</v>
      </c>
      <c r="AI256" s="11">
        <f t="shared" si="53"/>
        <v>0</v>
      </c>
      <c r="AJ256" s="11">
        <f t="shared" si="54"/>
        <v>0.23945984975567711</v>
      </c>
      <c r="AK256" s="18">
        <f>MAX(0,BE255-('P-Parametri'!$B$31*BL255))</f>
        <v>15728.930161045282</v>
      </c>
      <c r="AL256" s="18">
        <f>MAX(0,BG255-('P-Parametri'!$C$31*BL255))</f>
        <v>3278.3946863911842</v>
      </c>
      <c r="AM256" s="18">
        <f>MAX(0,BI255-('P-Parametri'!$D$31*BL255))</f>
        <v>0</v>
      </c>
      <c r="AN256" s="18">
        <f>AK256*AI256*'P-Parametri'!$B$6+AL256*AJ256*'P-Parametri'!$B$7</f>
        <v>98.130487380380387</v>
      </c>
      <c r="AO256" s="18">
        <f t="shared" si="55"/>
        <v>18909.194360056084</v>
      </c>
      <c r="AP256" s="18">
        <f>MAX(0,('P-Parametri'!$B$31*BL255)-BE255)+MAX(0,('P-Parametri'!$C$31*BL255)-BG255)+MAX(0,('P-Parametri'!$D$31*BL255)-BI255)</f>
        <v>19007.32484743647</v>
      </c>
      <c r="AQ256" s="18">
        <f>BE255-AK256+IF(AP256&lt;=0,0,AO256*MAX(0,('P-Parametri'!$B$31*BL255)-BE255)/AP256)</f>
        <v>138581.16081307578</v>
      </c>
      <c r="AR256" s="18">
        <f>BF255-AK256*(1-AI256)+IF(AP256&lt;=0,0,AO256*MAX(0,('P-Parametri'!$B$31*BL255)-BE255)/AP256)</f>
        <v>171115.86464681369</v>
      </c>
      <c r="AS256" s="18">
        <f>BG255-AL256+IF(AP256&lt;=0,0,AO256*MAX(0,('P-Parametri'!$C$31*BL255)-BG255)/AP256)</f>
        <v>69290.580406537891</v>
      </c>
      <c r="AT256" s="18">
        <f>BH255-AL256*(1-AJ256)+IF(AP256&lt;=0,0,AO256*MAX(0,('P-Parametri'!$C$31*BL255)-BG255)/AP256)</f>
        <v>52698.268432904661</v>
      </c>
      <c r="AU256" s="18">
        <f>BI255-AM256+IF(AP256&lt;=0,0,AO256*MAX(0,('P-Parametri'!$D$31*BL255)-BI255)/AP256)</f>
        <v>22998.729648132245</v>
      </c>
      <c r="AV256" s="18">
        <f>BJ255-AM256+IF(AP256&lt;=0,0,AO256*MAX(0,('P-Parametri'!$D$31*BL255)-BI255)/AP256)</f>
        <v>14140.214398277563</v>
      </c>
      <c r="AW256" s="18">
        <f t="shared" si="56"/>
        <v>148075.63330270123</v>
      </c>
      <c r="AX256" s="18">
        <f>AS256*(1+'P-Parametri'!$C$29)</f>
        <v>69637.033308570579</v>
      </c>
      <c r="AY256" s="18">
        <f>AU256*(1+'1-Input'!$B$27)</f>
        <v>22915.934221398966</v>
      </c>
      <c r="AZ256" s="11">
        <f t="shared" si="57"/>
        <v>0</v>
      </c>
      <c r="BA256" s="11">
        <f t="shared" si="58"/>
        <v>0.24324363159768869</v>
      </c>
      <c r="BB256" s="18">
        <f>IF(BM255=0,0,MIN(MAX(AW256,0),(MAX(0,$B$5-IF($A256&gt;='1-Input'!$C$12,'1-Input'!$B$12,0))-BD256-BC256*(1-'P-Parametri'!$B$7*BA256))/(1-'P-Parametri'!$B$6*AZ256)))</f>
        <v>0</v>
      </c>
      <c r="BC256" s="18">
        <f>IF(BM255=0,0,MIN(MAX(AX256,0),(MAX(0,$B$5-IF($A256&gt;='1-Input'!$C$12,'1-Input'!$B$12,0))-BD256)/(1-'P-Parametri'!$B$7*BA256)))</f>
        <v>0</v>
      </c>
      <c r="BD256" s="18">
        <f>IF(BM255=0,0,MIN(MAX(AY256,0),MAX(0,$B$5-IF($A256&gt;='1-Input'!$C$12,'1-Input'!$B$12,0))))</f>
        <v>19800</v>
      </c>
      <c r="BE256" s="18">
        <f t="shared" si="59"/>
        <v>148075.63330270123</v>
      </c>
      <c r="BF256" s="18">
        <f t="shared" si="60"/>
        <v>171115.86464681369</v>
      </c>
      <c r="BG256" s="18">
        <f t="shared" si="61"/>
        <v>69637.033308570579</v>
      </c>
      <c r="BH256" s="18">
        <f t="shared" si="62"/>
        <v>52698.268432904661</v>
      </c>
      <c r="BI256" s="18">
        <f t="shared" si="63"/>
        <v>3115.9342213989657</v>
      </c>
      <c r="BJ256" s="18">
        <f t="shared" si="64"/>
        <v>-5659.7856017224367</v>
      </c>
      <c r="BK256" s="18">
        <f>IF(BM256=0,BK255,BK255+AN256+BB256*AZ256*'P-Parametri'!$B$6+BC256*BA256*'P-Parametri'!$B$7)</f>
        <v>1822.0496397136988</v>
      </c>
      <c r="BL256" s="18">
        <f t="shared" si="40"/>
        <v>220828.60083267075</v>
      </c>
      <c r="BM256" s="10">
        <f>IF(AND(BM255=1,(BD256+BC256*(1-'P-Parametri'!$B$7*BA256)+BB256*(1-'P-Parametri'!$B$6*AZ256))&gt;=MAX(0,$B$5-IF($A256&gt;='1-Input'!$C$12,'1-Input'!$B$12,0))-0.01),1,0)</f>
        <v>1</v>
      </c>
    </row>
    <row r="257" spans="1:65">
      <c r="A257" s="10">
        <f>8</f>
        <v>8</v>
      </c>
      <c r="B257" s="11">
        <f>IF(A257=1,'P-Parametri'!$B$30,IF(A257=2,'P-Parametri'!$C$30,'P-Parametri'!$B$29))</f>
        <v>6.8512000000000003E-2</v>
      </c>
      <c r="C257" s="11">
        <f t="shared" si="41"/>
        <v>0</v>
      </c>
      <c r="D257" s="11">
        <f t="shared" si="42"/>
        <v>0.21217640963203679</v>
      </c>
      <c r="E257" s="18">
        <f>MAX(0,Y256-('P-Parametri'!$B$31*AF256))</f>
        <v>3331.9050021677103</v>
      </c>
      <c r="F257" s="18">
        <f>MAX(0,AA256-('P-Parametri'!$C$31*AF256))</f>
        <v>0</v>
      </c>
      <c r="G257" s="18">
        <f>MAX(0,AC256-('P-Parametri'!$D$31*AF256))</f>
        <v>0</v>
      </c>
      <c r="H257" s="18">
        <f>E257*C257*'P-Parametri'!$B$6+F257*D257*'P-Parametri'!$B$7</f>
        <v>0</v>
      </c>
      <c r="I257" s="18">
        <f t="shared" si="43"/>
        <v>3331.9050021677103</v>
      </c>
      <c r="J257" s="18">
        <f>MAX(0,('P-Parametri'!$B$31*AF256)-Y256)+MAX(0,('P-Parametri'!$C$31*AF256)-AA256)+MAX(0,('P-Parametri'!$D$31*AF256)-AC256)</f>
        <v>3331.9050021677031</v>
      </c>
      <c r="K257" s="18">
        <f>Y256-E257+IF(J257&lt;=0,0,I257*MAX(0,('P-Parametri'!$B$31*AF256)-Y256)/J257)</f>
        <v>132217.59385852085</v>
      </c>
      <c r="L257" s="18">
        <f>Z256-E257*(1-C257)+IF(J257&lt;=0,0,I257*MAX(0,('P-Parametri'!$B$31*AF256)-Y256)/J257)</f>
        <v>155292.06067111049</v>
      </c>
      <c r="M257" s="18">
        <f>AA256-F257+IF(J257&lt;=0,0,I257*MAX(0,('P-Parametri'!$C$31*AF256)-AA256)/J257)</f>
        <v>66108.796929260425</v>
      </c>
      <c r="N257" s="18">
        <f>AB256-F257*(1-D257)+IF(J257&lt;=0,0,I257*MAX(0,('P-Parametri'!$C$31*AF256)-AA256)/J257)</f>
        <v>52583.348443112794</v>
      </c>
      <c r="O257" s="18">
        <f>AC256-G257+IF(J257&lt;=0,0,I257*MAX(0,('P-Parametri'!$D$31*AF256)-AC256)/J257)</f>
        <v>22036.265643086812</v>
      </c>
      <c r="P257" s="18">
        <f>AD256-G257+IF(J257&lt;=0,0,I257*MAX(0,('P-Parametri'!$D$31*AF256)-AC256)/J257)</f>
        <v>13263.647651165707</v>
      </c>
      <c r="Q257" s="18">
        <f t="shared" si="44"/>
        <v>141276.08564895581</v>
      </c>
      <c r="R257" s="18">
        <f>M257*(1+'P-Parametri'!$C$29)</f>
        <v>66439.340913906723</v>
      </c>
      <c r="S257" s="18">
        <f>O257*(1+'1-Input'!$B$27)</f>
        <v>21956.935086771697</v>
      </c>
      <c r="T257" s="11">
        <f t="shared" si="45"/>
        <v>0</v>
      </c>
      <c r="U257" s="11">
        <f t="shared" si="46"/>
        <v>0.20855102233402298</v>
      </c>
      <c r="V257" s="18">
        <f>IF(AG256=0,0,(MIN((Q257+R257+S257),MAX(0,$B$5-IF($A257&gt;='1-Input'!$C$12,'1-Input'!$B$12,0))/(Q257/(Q257+R257+S257)*(1-'P-Parametri'!$B$6*T257)+R257/(Q257+R257+S257)*(1-'P-Parametri'!$B$7*U257)+S257/(Q257+R257+S257))))*Q257/(Q257+R257+S257))</f>
        <v>12271.922638252447</v>
      </c>
      <c r="W257" s="18">
        <f>IF(AG256=0,0,(MIN((Q257+R257+S257),MAX(0,$B$5-IF($A257&gt;='1-Input'!$C$12,'1-Input'!$B$12,0))/(Q257/(Q257+R257+S257)*(1-'P-Parametri'!$B$6*T257)+R257/(Q257+R257+S257)*(1-'P-Parametri'!$B$7*U257)+S257/(Q257+R257+S257))))*R257/(Q257+R257+S257))</f>
        <v>5771.2418070380627</v>
      </c>
      <c r="X257" s="18">
        <f>IF(AG256=0,0,(MIN((Q257+R257+S257),MAX(0,$B$5-IF($A257&gt;='1-Input'!$C$12,'1-Input'!$B$12,0))/(Q257/(Q257+R257+S257)*(1-'P-Parametri'!$B$6*T257)+R257/(Q257+R257+S257)*(1-'P-Parametri'!$B$7*U257)+S257/(Q257+R257+S257))))*S257/(Q257+R257+S257))</f>
        <v>1907.285352083823</v>
      </c>
      <c r="Y257" s="18">
        <f t="shared" si="47"/>
        <v>129004.16301070336</v>
      </c>
      <c r="Z257" s="18">
        <f t="shared" si="48"/>
        <v>143020.13803285806</v>
      </c>
      <c r="AA257" s="18">
        <f t="shared" si="49"/>
        <v>60668.099106868656</v>
      </c>
      <c r="AB257" s="18">
        <f t="shared" si="50"/>
        <v>48015.705015069376</v>
      </c>
      <c r="AC257" s="18">
        <f t="shared" si="51"/>
        <v>20049.649734687875</v>
      </c>
      <c r="AD257" s="18">
        <f t="shared" si="52"/>
        <v>11356.362299081884</v>
      </c>
      <c r="AE257" s="18">
        <f>IF(AG257=0,AE256,AE256+H257+V257*T257*'P-Parametri'!$B$6+W257*U257*'P-Parametri'!$B$7)</f>
        <v>2398.886478144188</v>
      </c>
      <c r="AF257" s="18">
        <f t="shared" si="39"/>
        <v>209721.91185225989</v>
      </c>
      <c r="AG257" s="10">
        <f>IF(AND(AG256=1,(X257+W257*(1-'P-Parametri'!$B$7*U257)+V257*(1-'P-Parametri'!$B$6*T257))&gt;=MAX(0,$B$5-IF($A257&gt;='1-Input'!$C$12,'1-Input'!$B$12,0))-0.01),1,0)</f>
        <v>1</v>
      </c>
      <c r="AI257" s="11">
        <f t="shared" si="53"/>
        <v>0</v>
      </c>
      <c r="AJ257" s="11">
        <f t="shared" si="54"/>
        <v>0.24324363159768869</v>
      </c>
      <c r="AK257" s="18">
        <f>MAX(0,BE256-('P-Parametri'!$B$31*BL256))</f>
        <v>15578.47280309879</v>
      </c>
      <c r="AL257" s="18">
        <f>MAX(0,BG256-('P-Parametri'!$C$31*BL256))</f>
        <v>3388.4530587693589</v>
      </c>
      <c r="AM257" s="18">
        <f>MAX(0,BI256-('P-Parametri'!$D$31*BL256))</f>
        <v>0</v>
      </c>
      <c r="AN257" s="18">
        <f>AK257*AI257*'P-Parametri'!$B$6+AL257*AJ257*'P-Parametri'!$B$7</f>
        <v>103.02745343916942</v>
      </c>
      <c r="AO257" s="18">
        <f t="shared" si="55"/>
        <v>18863.89840842898</v>
      </c>
      <c r="AP257" s="18">
        <f>MAX(0,('P-Parametri'!$B$31*BL256)-BE256)+MAX(0,('P-Parametri'!$C$31*BL256)-BG256)+MAX(0,('P-Parametri'!$D$31*BL256)-BI256)</f>
        <v>18966.925861868112</v>
      </c>
      <c r="AQ257" s="18">
        <f>BE256-AK257+IF(AP257&lt;=0,0,AO257*MAX(0,('P-Parametri'!$B$31*BL256)-BE256)/AP257)</f>
        <v>132497.16049960244</v>
      </c>
      <c r="AR257" s="18">
        <f>BF256-AK257*(1-AI257)+IF(AP257&lt;=0,0,AO257*MAX(0,('P-Parametri'!$B$31*BL256)-BE256)/AP257)</f>
        <v>155537.3918437149</v>
      </c>
      <c r="AS257" s="18">
        <f>BG256-AL257+IF(AP257&lt;=0,0,AO257*MAX(0,('P-Parametri'!$C$31*BL256)-BG256)/AP257)</f>
        <v>66248.58024980122</v>
      </c>
      <c r="AT257" s="18">
        <f>BH256-AL257*(1-AJ257)+IF(AP257&lt;=0,0,AO257*MAX(0,('P-Parametri'!$C$31*BL256)-BG256)/AP257)</f>
        <v>50134.035001648655</v>
      </c>
      <c r="AU257" s="18">
        <f>BI256-AM257+IF(AP257&lt;=0,0,AO257*MAX(0,('P-Parametri'!$D$31*BL256)-BI256)/AP257)</f>
        <v>21979.832629827946</v>
      </c>
      <c r="AV257" s="18">
        <f>BJ256-AM257+IF(AP257&lt;=0,0,AO257*MAX(0,('P-Parametri'!$D$31*BL256)-BI256)/AP257)</f>
        <v>13204.112806706544</v>
      </c>
      <c r="AW257" s="18">
        <f t="shared" si="56"/>
        <v>141574.80595975119</v>
      </c>
      <c r="AX257" s="18">
        <f>AS257*(1+'P-Parametri'!$C$29)</f>
        <v>66579.823151050223</v>
      </c>
      <c r="AY257" s="18">
        <f>AU257*(1+'1-Input'!$B$27)</f>
        <v>21900.705232360564</v>
      </c>
      <c r="AZ257" s="11">
        <f t="shared" si="57"/>
        <v>0</v>
      </c>
      <c r="BA257" s="11">
        <f t="shared" si="58"/>
        <v>0.24700858865441661</v>
      </c>
      <c r="BB257" s="18">
        <f>IF(BM256=0,0,MIN(MAX(AW257,0),(MAX(0,$B$5-IF($A257&gt;='1-Input'!$C$12,'1-Input'!$B$12,0))-BD257-BC257*(1-'P-Parametri'!$B$7*BA257))/(1-'P-Parametri'!$B$6*AZ257)))</f>
        <v>0</v>
      </c>
      <c r="BC257" s="18">
        <f>IF(BM256=0,0,MIN(MAX(AX257,0),(MAX(0,$B$5-IF($A257&gt;='1-Input'!$C$12,'1-Input'!$B$12,0))-BD257)/(1-'P-Parametri'!$B$7*BA257)))</f>
        <v>0</v>
      </c>
      <c r="BD257" s="18">
        <f>IF(BM256=0,0,MIN(MAX(AY257,0),MAX(0,$B$5-IF($A257&gt;='1-Input'!$C$12,'1-Input'!$B$12,0))))</f>
        <v>19800</v>
      </c>
      <c r="BE257" s="18">
        <f t="shared" si="59"/>
        <v>141574.80595975119</v>
      </c>
      <c r="BF257" s="18">
        <f t="shared" si="60"/>
        <v>155537.3918437149</v>
      </c>
      <c r="BG257" s="18">
        <f t="shared" si="61"/>
        <v>66579.823151050223</v>
      </c>
      <c r="BH257" s="18">
        <f t="shared" si="62"/>
        <v>50134.035001648655</v>
      </c>
      <c r="BI257" s="18">
        <f t="shared" si="63"/>
        <v>2100.705232360564</v>
      </c>
      <c r="BJ257" s="18">
        <f t="shared" si="64"/>
        <v>-6595.8871932934562</v>
      </c>
      <c r="BK257" s="18">
        <f>IF(BM257=0,BK256,BK256+AN257+BB257*AZ257*'P-Parametri'!$B$6+BC257*BA257*'P-Parametri'!$B$7)</f>
        <v>1925.0770931528682</v>
      </c>
      <c r="BL257" s="18">
        <f t="shared" si="40"/>
        <v>210255.33434316199</v>
      </c>
      <c r="BM257" s="10">
        <f>IF(AND(BM256=1,(BD257+BC257*(1-'P-Parametri'!$B$7*BA257)+BB257*(1-'P-Parametri'!$B$6*AZ257))&gt;=MAX(0,$B$5-IF($A257&gt;='1-Input'!$C$12,'1-Input'!$B$12,0))-0.01),1,0)</f>
        <v>1</v>
      </c>
    </row>
    <row r="258" spans="1:65">
      <c r="A258" s="10">
        <f>9</f>
        <v>9</v>
      </c>
      <c r="B258" s="11">
        <f>IF(A258=1,'P-Parametri'!$B$30,IF(A258=2,'P-Parametri'!$C$30,'P-Parametri'!$B$29))</f>
        <v>6.8512000000000003E-2</v>
      </c>
      <c r="C258" s="11">
        <f t="shared" si="41"/>
        <v>0</v>
      </c>
      <c r="D258" s="11">
        <f t="shared" si="42"/>
        <v>0.2085510223340229</v>
      </c>
      <c r="E258" s="18">
        <f>MAX(0,Y257-('P-Parametri'!$B$31*AF257))</f>
        <v>3171.0158993474324</v>
      </c>
      <c r="F258" s="18">
        <f>MAX(0,AA257-('P-Parametri'!$C$31*AF257))</f>
        <v>0</v>
      </c>
      <c r="G258" s="18">
        <f>MAX(0,AC257-('P-Parametri'!$D$31*AF257))</f>
        <v>0</v>
      </c>
      <c r="H258" s="18">
        <f>E258*C258*'P-Parametri'!$B$6+F258*D258*'P-Parametri'!$B$7</f>
        <v>0</v>
      </c>
      <c r="I258" s="18">
        <f t="shared" si="43"/>
        <v>3171.0158993474324</v>
      </c>
      <c r="J258" s="18">
        <f>MAX(0,('P-Parametri'!$B$31*AF257)-Y257)+MAX(0,('P-Parametri'!$C$31*AF257)-AA257)+MAX(0,('P-Parametri'!$D$31*AF257)-AC257)</f>
        <v>3171.0158993474215</v>
      </c>
      <c r="K258" s="18">
        <f>Y257-E258+IF(J258&lt;=0,0,I258*MAX(0,('P-Parametri'!$B$31*AF257)-Y257)/J258)</f>
        <v>125833.14711135592</v>
      </c>
      <c r="L258" s="18">
        <f>Z257-E258*(1-C258)+IF(J258&lt;=0,0,I258*MAX(0,('P-Parametri'!$B$31*AF257)-Y257)/J258)</f>
        <v>139849.12213351062</v>
      </c>
      <c r="M258" s="18">
        <f>AA257-F258+IF(J258&lt;=0,0,I258*MAX(0,('P-Parametri'!$C$31*AF257)-AA257)/J258)</f>
        <v>62916.573555677969</v>
      </c>
      <c r="N258" s="18">
        <f>AB257-F258*(1-D258)+IF(J258&lt;=0,0,I258*MAX(0,('P-Parametri'!$C$31*AF257)-AA257)/J258)</f>
        <v>50264.179463878689</v>
      </c>
      <c r="O258" s="18">
        <f>AC257-G258+IF(J258&lt;=0,0,I258*MAX(0,('P-Parametri'!$D$31*AF257)-AC257)/J258)</f>
        <v>20972.191185225995</v>
      </c>
      <c r="P258" s="18">
        <f>AD257-G258+IF(J258&lt;=0,0,I258*MAX(0,('P-Parametri'!$D$31*AF257)-AC257)/J258)</f>
        <v>12278.903749620004</v>
      </c>
      <c r="Q258" s="18">
        <f t="shared" si="44"/>
        <v>134454.22768624913</v>
      </c>
      <c r="R258" s="18">
        <f>M258*(1+'P-Parametri'!$C$29)</f>
        <v>63231.156423456356</v>
      </c>
      <c r="S258" s="18">
        <f>O258*(1+'1-Input'!$B$27)</f>
        <v>20896.691296959179</v>
      </c>
      <c r="T258" s="11">
        <f t="shared" si="45"/>
        <v>0</v>
      </c>
      <c r="U258" s="11">
        <f t="shared" si="46"/>
        <v>0.20507258910051201</v>
      </c>
      <c r="V258" s="18">
        <f>IF(AG257=0,0,(MIN((Q258+R258+S258),MAX(0,$B$5-IF($A258&gt;='1-Input'!$C$12,'1-Input'!$B$12,0))/(Q258/(Q258+R258+S258)*(1-'P-Parametri'!$B$6*T258)+R258/(Q258+R258+S258)*(1-'P-Parametri'!$B$7*U258)+S258/(Q258+R258+S258))))*Q258/(Q258+R258+S258))</f>
        <v>12270.367548937331</v>
      </c>
      <c r="W258" s="18">
        <f>IF(AG257=0,0,(MIN((Q258+R258+S258),MAX(0,$B$5-IF($A258&gt;='1-Input'!$C$12,'1-Input'!$B$12,0))/(Q258/(Q258+R258+S258)*(1-'P-Parametri'!$B$6*T258)+R258/(Q258+R258+S258)*(1-'P-Parametri'!$B$7*U258)+S258/(Q258+R258+S258))))*R258/(Q258+R258+S258))</f>
        <v>5770.5104793778737</v>
      </c>
      <c r="X258" s="18">
        <f>IF(AG257=0,0,(MIN((Q258+R258+S258),MAX(0,$B$5-IF($A258&gt;='1-Input'!$C$12,'1-Input'!$B$12,0))/(Q258/(Q258+R258+S258)*(1-'P-Parametri'!$B$6*T258)+R258/(Q258+R258+S258)*(1-'P-Parametri'!$B$7*U258)+S258/(Q258+R258+S258))))*S258/(Q258+R258+S258))</f>
        <v>1907.0436622395071</v>
      </c>
      <c r="Y258" s="18">
        <f t="shared" si="47"/>
        <v>122183.8601373118</v>
      </c>
      <c r="Z258" s="18">
        <f t="shared" si="48"/>
        <v>127578.7545845733</v>
      </c>
      <c r="AA258" s="18">
        <f t="shared" si="49"/>
        <v>57460.645944078482</v>
      </c>
      <c r="AB258" s="18">
        <f t="shared" si="50"/>
        <v>45677.042508938473</v>
      </c>
      <c r="AC258" s="18">
        <f t="shared" si="51"/>
        <v>18989.647634719673</v>
      </c>
      <c r="AD258" s="18">
        <f t="shared" si="52"/>
        <v>10371.860087380497</v>
      </c>
      <c r="AE258" s="18">
        <f>IF(AG258=0,AE257,AE257+H258+V258*T258*'P-Parametri'!$B$6+W258*U258*'P-Parametri'!$B$7)</f>
        <v>2546.8081686988953</v>
      </c>
      <c r="AF258" s="18">
        <f t="shared" si="39"/>
        <v>198634.15371610995</v>
      </c>
      <c r="AG258" s="10">
        <f>IF(AND(AG257=1,(X258+W258*(1-'P-Parametri'!$B$7*U258)+V258*(1-'P-Parametri'!$B$6*T258))&gt;=MAX(0,$B$5-IF($A258&gt;='1-Input'!$C$12,'1-Input'!$B$12,0))-0.01),1,0)</f>
        <v>1</v>
      </c>
      <c r="AI258" s="11">
        <f t="shared" si="53"/>
        <v>0</v>
      </c>
      <c r="AJ258" s="11">
        <f t="shared" si="54"/>
        <v>0.24700858865441661</v>
      </c>
      <c r="AK258" s="18">
        <f>MAX(0,BE257-('P-Parametri'!$B$31*BL257))</f>
        <v>15421.605353854</v>
      </c>
      <c r="AL258" s="18">
        <f>MAX(0,BG257-('P-Parametri'!$C$31*BL257))</f>
        <v>3503.2228481016282</v>
      </c>
      <c r="AM258" s="18">
        <f>MAX(0,BI257-('P-Parametri'!$D$31*BL257))</f>
        <v>0</v>
      </c>
      <c r="AN258" s="18">
        <f>AK258*AI258*'P-Parametri'!$B$6+AL258*AJ258*'P-Parametri'!$B$7</f>
        <v>108.16576643143611</v>
      </c>
      <c r="AO258" s="18">
        <f t="shared" si="55"/>
        <v>18816.662435524191</v>
      </c>
      <c r="AP258" s="18">
        <f>MAX(0,('P-Parametri'!$B$31*BL257)-BE257)+MAX(0,('P-Parametri'!$C$31*BL257)-BG257)+MAX(0,('P-Parametri'!$D$31*BL257)-BI257)</f>
        <v>18924.828201955635</v>
      </c>
      <c r="AQ258" s="18">
        <f>BE257-AK258+IF(AP258&lt;=0,0,AO258*MAX(0,('P-Parametri'!$B$31*BL257)-BE257)/AP258)</f>
        <v>126153.20060589719</v>
      </c>
      <c r="AR258" s="18">
        <f>BF257-AK258*(1-AI258)+IF(AP258&lt;=0,0,AO258*MAX(0,('P-Parametri'!$B$31*BL257)-BE257)/AP258)</f>
        <v>140115.78648986091</v>
      </c>
      <c r="AS258" s="18">
        <f>BG257-AL258+IF(AP258&lt;=0,0,AO258*MAX(0,('P-Parametri'!$C$31*BL257)-BG257)/AP258)</f>
        <v>63076.600302948595</v>
      </c>
      <c r="AT258" s="18">
        <f>BH257-AL258*(1-AJ258)+IF(AP258&lt;=0,0,AO258*MAX(0,('P-Parametri'!$C$31*BL257)-BG257)/AP258)</f>
        <v>47496.138284998517</v>
      </c>
      <c r="AU258" s="18">
        <f>BI257-AM258+IF(AP258&lt;=0,0,AO258*MAX(0,('P-Parametri'!$D$31*BL257)-BI257)/AP258)</f>
        <v>20917.367667884755</v>
      </c>
      <c r="AV258" s="18">
        <f>BJ257-AM258+IF(AP258&lt;=0,0,AO258*MAX(0,('P-Parametri'!$D$31*BL257)-BI257)/AP258)</f>
        <v>12220.775242230735</v>
      </c>
      <c r="AW258" s="18">
        <f t="shared" si="56"/>
        <v>134796.20868580841</v>
      </c>
      <c r="AX258" s="18">
        <f>AS258*(1+'P-Parametri'!$C$29)</f>
        <v>63391.983304463334</v>
      </c>
      <c r="AY258" s="18">
        <f>AU258*(1+'1-Input'!$B$27)</f>
        <v>20842.065144280368</v>
      </c>
      <c r="AZ258" s="11">
        <f t="shared" si="57"/>
        <v>0</v>
      </c>
      <c r="BA258" s="11">
        <f t="shared" si="58"/>
        <v>0.250754814581509</v>
      </c>
      <c r="BB258" s="18">
        <f>IF(BM257=0,0,MIN(MAX(AW258,0),(MAX(0,$B$5-IF($A258&gt;='1-Input'!$C$12,'1-Input'!$B$12,0))-BD258-BC258*(1-'P-Parametri'!$B$7*BA258))/(1-'P-Parametri'!$B$6*AZ258)))</f>
        <v>0</v>
      </c>
      <c r="BC258" s="18">
        <f>IF(BM257=0,0,MIN(MAX(AX258,0),(MAX(0,$B$5-IF($A258&gt;='1-Input'!$C$12,'1-Input'!$B$12,0))-BD258)/(1-'P-Parametri'!$B$7*BA258)))</f>
        <v>0</v>
      </c>
      <c r="BD258" s="18">
        <f>IF(BM257=0,0,MIN(MAX(AY258,0),MAX(0,$B$5-IF($A258&gt;='1-Input'!$C$12,'1-Input'!$B$12,0))))</f>
        <v>19800</v>
      </c>
      <c r="BE258" s="18">
        <f t="shared" si="59"/>
        <v>134796.20868580841</v>
      </c>
      <c r="BF258" s="18">
        <f t="shared" si="60"/>
        <v>140115.78648986091</v>
      </c>
      <c r="BG258" s="18">
        <f t="shared" si="61"/>
        <v>63391.983304463334</v>
      </c>
      <c r="BH258" s="18">
        <f t="shared" si="62"/>
        <v>47496.138284998517</v>
      </c>
      <c r="BI258" s="18">
        <f t="shared" si="63"/>
        <v>1042.0651442803683</v>
      </c>
      <c r="BJ258" s="18">
        <f t="shared" si="64"/>
        <v>-7579.2247577692651</v>
      </c>
      <c r="BK258" s="18">
        <f>IF(BM258=0,BK257,BK257+AN258+BB258*AZ258*'P-Parametri'!$B$6+BC258*BA258*'P-Parametri'!$B$7)</f>
        <v>2033.2428595843044</v>
      </c>
      <c r="BL258" s="18">
        <f t="shared" si="40"/>
        <v>199230.25713455211</v>
      </c>
      <c r="BM258" s="10">
        <f>IF(AND(BM257=1,(BD258+BC258*(1-'P-Parametri'!$B$7*BA258)+BB258*(1-'P-Parametri'!$B$6*AZ258))&gt;=MAX(0,$B$5-IF($A258&gt;='1-Input'!$C$12,'1-Input'!$B$12,0))-0.01),1,0)</f>
        <v>1</v>
      </c>
    </row>
    <row r="259" spans="1:65">
      <c r="A259" s="10">
        <f>10</f>
        <v>10</v>
      </c>
      <c r="B259" s="11">
        <f>IF(A259=1,'P-Parametri'!$B$30,IF(A259=2,'P-Parametri'!$C$30,'P-Parametri'!$B$29))</f>
        <v>6.8512000000000003E-2</v>
      </c>
      <c r="C259" s="11">
        <f t="shared" si="41"/>
        <v>0</v>
      </c>
      <c r="D259" s="11">
        <f t="shared" si="42"/>
        <v>0.20507258910051201</v>
      </c>
      <c r="E259" s="18">
        <f>MAX(0,Y258-('P-Parametri'!$B$31*AF258))</f>
        <v>3003.3679076458357</v>
      </c>
      <c r="F259" s="18">
        <f>MAX(0,AA258-('P-Parametri'!$C$31*AF258))</f>
        <v>0</v>
      </c>
      <c r="G259" s="18">
        <f>MAX(0,AC258-('P-Parametri'!$D$31*AF258))</f>
        <v>0</v>
      </c>
      <c r="H259" s="18">
        <f>E259*C259*'P-Parametri'!$B$6+F259*D259*'P-Parametri'!$B$7</f>
        <v>0</v>
      </c>
      <c r="I259" s="18">
        <f t="shared" si="43"/>
        <v>3003.3679076458357</v>
      </c>
      <c r="J259" s="18">
        <f>MAX(0,('P-Parametri'!$B$31*AF258)-Y258)+MAX(0,('P-Parametri'!$C$31*AF258)-AA258)+MAX(0,('P-Parametri'!$D$31*AF258)-AC258)</f>
        <v>3003.3679076458247</v>
      </c>
      <c r="K259" s="18">
        <f>Y258-E259+IF(J259&lt;=0,0,I259*MAX(0,('P-Parametri'!$B$31*AF258)-Y258)/J259)</f>
        <v>119180.49222966596</v>
      </c>
      <c r="L259" s="18">
        <f>Z258-E259*(1-C259)+IF(J259&lt;=0,0,I259*MAX(0,('P-Parametri'!$B$31*AF258)-Y258)/J259)</f>
        <v>124575.38667692746</v>
      </c>
      <c r="M259" s="18">
        <f>AA258-F259+IF(J259&lt;=0,0,I259*MAX(0,('P-Parametri'!$C$31*AF258)-AA258)/J259)</f>
        <v>59590.246114832989</v>
      </c>
      <c r="N259" s="18">
        <f>AB258-F259*(1-D259)+IF(J259&lt;=0,0,I259*MAX(0,('P-Parametri'!$C$31*AF258)-AA258)/J259)</f>
        <v>47806.642679692981</v>
      </c>
      <c r="O259" s="18">
        <f>AC258-G259+IF(J259&lt;=0,0,I259*MAX(0,('P-Parametri'!$D$31*AF258)-AC258)/J259)</f>
        <v>19863.415371611001</v>
      </c>
      <c r="P259" s="18">
        <f>AD258-G259+IF(J259&lt;=0,0,I259*MAX(0,('P-Parametri'!$D$31*AF258)-AC258)/J259)</f>
        <v>11245.627824271825</v>
      </c>
      <c r="Q259" s="18">
        <f t="shared" si="44"/>
        <v>127345.78611330483</v>
      </c>
      <c r="R259" s="18">
        <f>M259*(1+'P-Parametri'!$C$29)</f>
        <v>59888.197345407149</v>
      </c>
      <c r="S259" s="18">
        <f>O259*(1+'1-Input'!$B$27)</f>
        <v>19791.907076273201</v>
      </c>
      <c r="T259" s="11">
        <f t="shared" si="45"/>
        <v>2.1754936075485277E-2</v>
      </c>
      <c r="U259" s="11">
        <f t="shared" si="46"/>
        <v>0.201735153189424</v>
      </c>
      <c r="V259" s="18">
        <f>IF(AG258=0,0,(MIN((Q259+R259+S259),MAX(0,$B$5-IF($A259&gt;='1-Input'!$C$12,'1-Input'!$B$12,0))/(Q259/(Q259+R259+S259)*(1-'P-Parametri'!$B$6*T259)+R259/(Q259+R259+S259)*(1-'P-Parametri'!$B$7*U259)+S259/(Q259+R259+S259))))*Q259/(Q259+R259+S259))</f>
        <v>12312.027805562142</v>
      </c>
      <c r="W259" s="18">
        <f>IF(AG258=0,0,(MIN((Q259+R259+S259),MAX(0,$B$5-IF($A259&gt;='1-Input'!$C$12,'1-Input'!$B$12,0))/(Q259/(Q259+R259+S259)*(1-'P-Parametri'!$B$6*T259)+R259/(Q259+R259+S259)*(1-'P-Parametri'!$B$7*U259)+S259/(Q259+R259+S259))))*R259/(Q259+R259+S259))</f>
        <v>5790.1024717504133</v>
      </c>
      <c r="X259" s="18">
        <f>IF(AG258=0,0,(MIN((Q259+R259+S259),MAX(0,$B$5-IF($A259&gt;='1-Input'!$C$12,'1-Input'!$B$12,0))/(Q259/(Q259+R259+S259)*(1-'P-Parametri'!$B$6*T259)+R259/(Q259+R259+S259)*(1-'P-Parametri'!$B$7*U259)+S259/(Q259+R259+S259))))*S259/(Q259+R259+S259))</f>
        <v>1913.5184420736693</v>
      </c>
      <c r="Y259" s="18">
        <f t="shared" si="47"/>
        <v>115033.75830774268</v>
      </c>
      <c r="Z259" s="18">
        <f t="shared" si="48"/>
        <v>112531.20624923492</v>
      </c>
      <c r="AA259" s="18">
        <f t="shared" si="49"/>
        <v>54098.094873656737</v>
      </c>
      <c r="AB259" s="18">
        <f t="shared" si="50"/>
        <v>43184.607417063598</v>
      </c>
      <c r="AC259" s="18">
        <f t="shared" si="51"/>
        <v>17878.388634199531</v>
      </c>
      <c r="AD259" s="18">
        <f t="shared" si="52"/>
        <v>9332.1093821981558</v>
      </c>
      <c r="AE259" s="18">
        <f>IF(AG259=0,AE258,AE258+H259+V259*T259*'P-Parametri'!$B$6+W259*U259*'P-Parametri'!$B$7)</f>
        <v>2762.4568880851207</v>
      </c>
      <c r="AF259" s="18">
        <f t="shared" si="39"/>
        <v>187010.24181559894</v>
      </c>
      <c r="AG259" s="10">
        <f>IF(AND(AG258=1,(X259+W259*(1-'P-Parametri'!$B$7*U259)+V259*(1-'P-Parametri'!$B$6*T259))&gt;=MAX(0,$B$5-IF($A259&gt;='1-Input'!$C$12,'1-Input'!$B$12,0))-0.01),1,0)</f>
        <v>1</v>
      </c>
      <c r="AI259" s="11">
        <f t="shared" si="53"/>
        <v>0</v>
      </c>
      <c r="AJ259" s="11">
        <f t="shared" si="54"/>
        <v>0.250754814581509</v>
      </c>
      <c r="AK259" s="18">
        <f>MAX(0,BE258-('P-Parametri'!$B$31*BL258))</f>
        <v>15258.054405077142</v>
      </c>
      <c r="AL259" s="18">
        <f>MAX(0,BG258-('P-Parametri'!$C$31*BL258))</f>
        <v>3622.9061640977015</v>
      </c>
      <c r="AM259" s="18">
        <f>MAX(0,BI258-('P-Parametri'!$D$31*BL258))</f>
        <v>0</v>
      </c>
      <c r="AN259" s="18">
        <f>AK259*AI259*'P-Parametri'!$B$6+AL259*AJ259*'P-Parametri'!$B$7</f>
        <v>113.55764542806564</v>
      </c>
      <c r="AO259" s="18">
        <f t="shared" si="55"/>
        <v>18767.402923746777</v>
      </c>
      <c r="AP259" s="18">
        <f>MAX(0,('P-Parametri'!$B$31*BL258)-BE258)+MAX(0,('P-Parametri'!$C$31*BL258)-BG258)+MAX(0,('P-Parametri'!$D$31*BL258)-BI258)</f>
        <v>18880.960569174844</v>
      </c>
      <c r="AQ259" s="18">
        <f>BE258-AK259+IF(AP259&lt;=0,0,AO259*MAX(0,('P-Parametri'!$B$31*BL258)-BE258)/AP259)</f>
        <v>119538.15428073127</v>
      </c>
      <c r="AR259" s="18">
        <f>BF258-AK259*(1-AI259)+IF(AP259&lt;=0,0,AO259*MAX(0,('P-Parametri'!$B$31*BL258)-BE258)/AP259)</f>
        <v>124857.73208478377</v>
      </c>
      <c r="AS259" s="18">
        <f>BG258-AL259+IF(AP259&lt;=0,0,AO259*MAX(0,('P-Parametri'!$C$31*BL258)-BG258)/AP259)</f>
        <v>59769.077140365633</v>
      </c>
      <c r="AT259" s="18">
        <f>BH258-AL259*(1-AJ259)+IF(AP259&lt;=0,0,AO259*MAX(0,('P-Parametri'!$C$31*BL258)-BG258)/AP259)</f>
        <v>44781.693284325338</v>
      </c>
      <c r="AU259" s="18">
        <f>BI258-AM259+IF(AP259&lt;=0,0,AO259*MAX(0,('P-Parametri'!$D$31*BL258)-BI258)/AP259)</f>
        <v>19809.468068027145</v>
      </c>
      <c r="AV259" s="18">
        <f>BJ258-AM259+IF(AP259&lt;=0,0,AO259*MAX(0,('P-Parametri'!$D$31*BL258)-BI258)/AP259)</f>
        <v>11188.178165977512</v>
      </c>
      <c r="AW259" s="18">
        <f t="shared" si="56"/>
        <v>127727.95230681272</v>
      </c>
      <c r="AX259" s="18">
        <f>AS259*(1+'P-Parametri'!$C$29)</f>
        <v>60067.922526067458</v>
      </c>
      <c r="AY259" s="18">
        <f>AU259*(1+'1-Input'!$B$27)</f>
        <v>19738.153982982247</v>
      </c>
      <c r="AZ259" s="11">
        <f t="shared" si="57"/>
        <v>2.2471355487908001E-2</v>
      </c>
      <c r="BA259" s="11">
        <f t="shared" si="58"/>
        <v>0.25448240256866567</v>
      </c>
      <c r="BB259" s="18">
        <f>IF(BM258=0,0,MIN(MAX(AW259,0),(MAX(0,$B$5-IF($A259&gt;='1-Input'!$C$12,'1-Input'!$B$12,0))-BD259-BC259*(1-'P-Parametri'!$B$7*BA259))/(1-'P-Parametri'!$B$6*AZ259)))</f>
        <v>0</v>
      </c>
      <c r="BC259" s="18">
        <f>IF(BM258=0,0,MIN(MAX(AX259,0),(MAX(0,$B$5-IF($A259&gt;='1-Input'!$C$12,'1-Input'!$B$12,0))-BD259)/(1-'P-Parametri'!$B$7*BA259)))</f>
        <v>63.877995229925844</v>
      </c>
      <c r="BD259" s="18">
        <f>IF(BM258=0,0,MIN(MAX(AY259,0),MAX(0,$B$5-IF($A259&gt;='1-Input'!$C$12,'1-Input'!$B$12,0))))</f>
        <v>19738.153982982247</v>
      </c>
      <c r="BE259" s="18">
        <f t="shared" si="59"/>
        <v>127727.95230681272</v>
      </c>
      <c r="BF259" s="18">
        <f t="shared" si="60"/>
        <v>124857.73208478377</v>
      </c>
      <c r="BG259" s="18">
        <f t="shared" si="61"/>
        <v>60004.044530837535</v>
      </c>
      <c r="BH259" s="18">
        <f t="shared" si="62"/>
        <v>44734.071114792794</v>
      </c>
      <c r="BI259" s="18">
        <f t="shared" si="63"/>
        <v>0</v>
      </c>
      <c r="BJ259" s="18">
        <f t="shared" si="64"/>
        <v>-8549.9758170047353</v>
      </c>
      <c r="BK259" s="18">
        <f>IF(BM259=0,BK258,BK258+AN259+BB259*AZ259*'P-Parametri'!$B$6+BC259*BA259*'P-Parametri'!$B$7)</f>
        <v>2148.832483224543</v>
      </c>
      <c r="BL259" s="18">
        <f t="shared" si="40"/>
        <v>187731.99683765025</v>
      </c>
      <c r="BM259" s="10">
        <f>IF(AND(BM258=1,(BD259+BC259*(1-'P-Parametri'!$B$7*BA259)+BB259*(1-'P-Parametri'!$B$6*AZ259))&gt;=MAX(0,$B$5-IF($A259&gt;='1-Input'!$C$12,'1-Input'!$B$12,0))-0.01),1,0)</f>
        <v>1</v>
      </c>
    </row>
    <row r="260" spans="1:65">
      <c r="A260" s="10">
        <f>11</f>
        <v>11</v>
      </c>
      <c r="B260" s="11">
        <f>IF(A260=1,'P-Parametri'!$B$30,IF(A260=2,'P-Parametri'!$C$30,'P-Parametri'!$B$29))</f>
        <v>6.8512000000000003E-2</v>
      </c>
      <c r="C260" s="11">
        <f t="shared" si="41"/>
        <v>2.1754936075485239E-2</v>
      </c>
      <c r="D260" s="11">
        <f t="shared" si="42"/>
        <v>0.20173515318942406</v>
      </c>
      <c r="E260" s="18">
        <f>MAX(0,Y259-('P-Parametri'!$B$31*AF259))</f>
        <v>2827.6132183833251</v>
      </c>
      <c r="F260" s="18">
        <f>MAX(0,AA259-('P-Parametri'!$C$31*AF259))</f>
        <v>0</v>
      </c>
      <c r="G260" s="18">
        <f>MAX(0,AC259-('P-Parametri'!$D$31*AF259))</f>
        <v>0</v>
      </c>
      <c r="H260" s="18">
        <f>E260*C260*'P-Parametri'!$B$6+F260*D260*'P-Parametri'!$B$7</f>
        <v>15.993781651152844</v>
      </c>
      <c r="I260" s="18">
        <f t="shared" si="43"/>
        <v>2811.6194367321723</v>
      </c>
      <c r="J260" s="18">
        <f>MAX(0,('P-Parametri'!$B$31*AF259)-Y259)+MAX(0,('P-Parametri'!$C$31*AF259)-AA259)+MAX(0,('P-Parametri'!$D$31*AF259)-AC259)</f>
        <v>2827.613218383307</v>
      </c>
      <c r="K260" s="18">
        <f>Y259-E260+IF(J260&lt;=0,0,I260*MAX(0,('P-Parametri'!$B$31*AF259)-Y259)/J260)</f>
        <v>112206.14508935936</v>
      </c>
      <c r="L260" s="18">
        <f>Z259-E260*(1-C260)+IF(J260&lt;=0,0,I260*MAX(0,('P-Parametri'!$B$31*AF259)-Y259)/J260)</f>
        <v>109765.10757566373</v>
      </c>
      <c r="M260" s="18">
        <f>AA259-F260+IF(J260&lt;=0,0,I260*MAX(0,('P-Parametri'!$C$31*AF259)-AA259)/J260)</f>
        <v>56091.731822802562</v>
      </c>
      <c r="N260" s="18">
        <f>AB259-F260*(1-D260)+IF(J260&lt;=0,0,I260*MAX(0,('P-Parametri'!$C$31*AF259)-AA259)/J260)</f>
        <v>45178.244366209423</v>
      </c>
      <c r="O260" s="18">
        <f>AC259-G260+IF(J260&lt;=0,0,I260*MAX(0,('P-Parametri'!$D$31*AF259)-AC259)/J260)</f>
        <v>18696.371121785876</v>
      </c>
      <c r="P260" s="18">
        <f>AD259-G260+IF(J260&lt;=0,0,I260*MAX(0,('P-Parametri'!$D$31*AF259)-AC259)/J260)</f>
        <v>10150.091869784503</v>
      </c>
      <c r="Q260" s="18">
        <f t="shared" si="44"/>
        <v>119893.61250172154</v>
      </c>
      <c r="R260" s="18">
        <f>M260*(1+'P-Parametri'!$C$29)</f>
        <v>56372.190481916565</v>
      </c>
      <c r="S260" s="18">
        <f>O260*(1+'1-Input'!$B$27)</f>
        <v>18629.064185747447</v>
      </c>
      <c r="T260" s="11">
        <f t="shared" si="45"/>
        <v>8.4479103721329399E-2</v>
      </c>
      <c r="U260" s="11">
        <f t="shared" si="46"/>
        <v>0.19857213317438868</v>
      </c>
      <c r="V260" s="18">
        <f>IF(AG259=0,0,(MIN((Q260+R260+S260),MAX(0,$B$5-IF($A260&gt;='1-Input'!$C$12,'1-Input'!$B$12,0))/(Q260/(Q260+R260+S260)*(1-'P-Parametri'!$B$6*T260)+R260/(Q260+R260+S260)*(1-'P-Parametri'!$B$7*U260)+S260/(Q260+R260+S260))))*Q260/(Q260+R260+S260))</f>
        <v>12437.734504361242</v>
      </c>
      <c r="W260" s="18">
        <f>IF(AG259=0,0,(MIN((Q260+R260+S260),MAX(0,$B$5-IF($A260&gt;='1-Input'!$C$12,'1-Input'!$B$12,0))/(Q260/(Q260+R260+S260)*(1-'P-Parametri'!$B$6*T260)+R260/(Q260+R260+S260)*(1-'P-Parametri'!$B$7*U260)+S260/(Q260+R260+S260))))*R260/(Q260+R260+S260))</f>
        <v>5848.0374726659484</v>
      </c>
      <c r="X260" s="18">
        <f>IF(AG259=0,0,(MIN((Q260+R260+S260),MAX(0,$B$5-IF($A260&gt;='1-Input'!$C$12,'1-Input'!$B$12,0))/(Q260/(Q260+R260+S260)*(1-'P-Parametri'!$B$6*T260)+R260/(Q260+R260+S260)*(1-'P-Parametri'!$B$7*U260)+S260/(Q260+R260+S260))))*S260/(Q260+R260+S260))</f>
        <v>1932.5746348972868</v>
      </c>
      <c r="Y260" s="18">
        <f t="shared" si="47"/>
        <v>107455.87799736029</v>
      </c>
      <c r="Z260" s="18">
        <f t="shared" si="48"/>
        <v>98378.101734554773</v>
      </c>
      <c r="AA260" s="18">
        <f t="shared" si="49"/>
        <v>50524.153009250615</v>
      </c>
      <c r="AB260" s="18">
        <f t="shared" si="50"/>
        <v>40491.464169374514</v>
      </c>
      <c r="AC260" s="18">
        <f t="shared" si="51"/>
        <v>16696.489550850161</v>
      </c>
      <c r="AD260" s="18">
        <f t="shared" si="52"/>
        <v>8217.5172348872165</v>
      </c>
      <c r="AE260" s="18">
        <f>IF(AG260=0,AE259,AE259+H260+V260*T260*'P-Parametri'!$B$6+W260*U260*'P-Parametri'!$B$7)</f>
        <v>3196.7972816607489</v>
      </c>
      <c r="AF260" s="18">
        <f t="shared" si="39"/>
        <v>174676.52055746104</v>
      </c>
      <c r="AG260" s="10">
        <f>IF(AND(AG259=1,(X260+W260*(1-'P-Parametri'!$B$7*U260)+V260*(1-'P-Parametri'!$B$6*T260))&gt;=MAX(0,$B$5-IF($A260&gt;='1-Input'!$C$12,'1-Input'!$B$12,0))-0.01),1,0)</f>
        <v>1</v>
      </c>
      <c r="AI260" s="11">
        <f t="shared" si="53"/>
        <v>2.2471355487908001E-2</v>
      </c>
      <c r="AJ260" s="11">
        <f t="shared" si="54"/>
        <v>0.25448240256866572</v>
      </c>
      <c r="AK260" s="18">
        <f>MAX(0,BE259-('P-Parametri'!$B$31*BL259))</f>
        <v>15088.754204222569</v>
      </c>
      <c r="AL260" s="18">
        <f>MAX(0,BG259-('P-Parametri'!$C$31*BL259))</f>
        <v>3684.4454795424608</v>
      </c>
      <c r="AM260" s="18">
        <f>MAX(0,BI259-('P-Parametri'!$D$31*BL259))</f>
        <v>0</v>
      </c>
      <c r="AN260" s="18">
        <f>AK260*AI260*'P-Parametri'!$B$6+AL260*AJ260*'P-Parametri'!$B$7</f>
        <v>205.36015471501861</v>
      </c>
      <c r="AO260" s="18">
        <f t="shared" si="55"/>
        <v>18567.839529050012</v>
      </c>
      <c r="AP260" s="18">
        <f>MAX(0,('P-Parametri'!$B$31*BL259)-BE259)+MAX(0,('P-Parametri'!$C$31*BL259)-BG259)+MAX(0,('P-Parametri'!$D$31*BL259)-BI259)</f>
        <v>18773.199683765026</v>
      </c>
      <c r="AQ260" s="18">
        <f>BE259-AK260+IF(AP260&lt;=0,0,AO260*MAX(0,('P-Parametri'!$B$31*BL259)-BE259)/AP260)</f>
        <v>112639.19810259015</v>
      </c>
      <c r="AR260" s="18">
        <f>BF259-AK260*(1-AI260)+IF(AP260&lt;=0,0,AO260*MAX(0,('P-Parametri'!$B$31*BL259)-BE259)/AP260)</f>
        <v>110108.04264015396</v>
      </c>
      <c r="AS260" s="18">
        <f>BG259-AL260+IF(AP260&lt;=0,0,AO260*MAX(0,('P-Parametri'!$C$31*BL259)-BG259)/AP260)</f>
        <v>56319.599051295074</v>
      </c>
      <c r="AT260" s="18">
        <f>BH259-AL260*(1-AJ260)+IF(AP260&lt;=0,0,AO260*MAX(0,('P-Parametri'!$C$31*BL259)-BG259)/AP260)</f>
        <v>41987.252173017558</v>
      </c>
      <c r="AU260" s="18">
        <f>BI259-AM260+IF(AP260&lt;=0,0,AO260*MAX(0,('P-Parametri'!$D$31*BL259)-BI259)/AP260)</f>
        <v>18567.839529050012</v>
      </c>
      <c r="AV260" s="18">
        <f>BJ259-AM260+IF(AP260&lt;=0,0,AO260*MAX(0,('P-Parametri'!$D$31*BL259)-BI259)/AP260)</f>
        <v>10017.863712045277</v>
      </c>
      <c r="AW260" s="18">
        <f t="shared" si="56"/>
        <v>120356.33484299479</v>
      </c>
      <c r="AX260" s="18">
        <f>AS260*(1+'P-Parametri'!$C$29)</f>
        <v>56601.197046551541</v>
      </c>
      <c r="AY260" s="18">
        <f>AU260*(1+'1-Input'!$B$27)</f>
        <v>18500.99530674543</v>
      </c>
      <c r="AZ260" s="11">
        <f t="shared" si="57"/>
        <v>8.5149586984430564E-2</v>
      </c>
      <c r="BA260" s="11">
        <f t="shared" si="58"/>
        <v>0.25819144534195582</v>
      </c>
      <c r="BB260" s="18">
        <f>IF(BM259=0,0,MIN(MAX(AW260,0),(MAX(0,$B$5-IF($A260&gt;='1-Input'!$C$12,'1-Input'!$B$12,0))-BD260-BC260*(1-'P-Parametri'!$B$7*BA260))/(1-'P-Parametri'!$B$6*AZ260)))</f>
        <v>0</v>
      </c>
      <c r="BC260" s="18">
        <f>IF(BM259=0,0,MIN(MAX(AX260,0),(MAX(0,$B$5-IF($A260&gt;='1-Input'!$C$12,'1-Input'!$B$12,0))-BD260)/(1-'P-Parametri'!$B$7*BA260)))</f>
        <v>1342.326857176537</v>
      </c>
      <c r="BD260" s="18">
        <f>IF(BM259=0,0,MIN(MAX(AY260,0),MAX(0,$B$5-IF($A260&gt;='1-Input'!$C$12,'1-Input'!$B$12,0))))</f>
        <v>18500.99530674543</v>
      </c>
      <c r="BE260" s="18">
        <f t="shared" si="59"/>
        <v>120356.33484299479</v>
      </c>
      <c r="BF260" s="18">
        <f t="shared" si="60"/>
        <v>110108.04264015396</v>
      </c>
      <c r="BG260" s="18">
        <f t="shared" si="61"/>
        <v>55258.870189375004</v>
      </c>
      <c r="BH260" s="18">
        <f t="shared" si="62"/>
        <v>40991.502627216752</v>
      </c>
      <c r="BI260" s="18">
        <f t="shared" si="63"/>
        <v>0</v>
      </c>
      <c r="BJ260" s="18">
        <f t="shared" si="64"/>
        <v>-8483.1315947001531</v>
      </c>
      <c r="BK260" s="18">
        <f>IF(BM260=0,BK259,BK259+AN260+BB260*AZ260*'P-Parametri'!$B$6+BC260*BA260*'P-Parametri'!$B$7)</f>
        <v>2397.5148018615287</v>
      </c>
      <c r="BL260" s="18">
        <f t="shared" si="40"/>
        <v>175615.20503236979</v>
      </c>
      <c r="BM260" s="10">
        <f>IF(AND(BM259=1,(BD260+BC260*(1-'P-Parametri'!$B$7*BA260)+BB260*(1-'P-Parametri'!$B$6*AZ260))&gt;=MAX(0,$B$5-IF($A260&gt;='1-Input'!$C$12,'1-Input'!$B$12,0))-0.01),1,0)</f>
        <v>1</v>
      </c>
    </row>
    <row r="261" spans="1:65">
      <c r="A261" s="10">
        <f>12</f>
        <v>12</v>
      </c>
      <c r="B261" s="11">
        <f>IF(A261=1,'P-Parametri'!$B$30,IF(A261=2,'P-Parametri'!$C$30,'P-Parametri'!$B$29))</f>
        <v>6.8512000000000003E-2</v>
      </c>
      <c r="C261" s="11">
        <f t="shared" si="41"/>
        <v>8.4479103721329427E-2</v>
      </c>
      <c r="D261" s="11">
        <f t="shared" si="42"/>
        <v>0.19857213317438863</v>
      </c>
      <c r="E261" s="18">
        <f>MAX(0,Y260-('P-Parametri'!$B$31*AF260))</f>
        <v>2649.9656628836674</v>
      </c>
      <c r="F261" s="18">
        <f>MAX(0,AA260-('P-Parametri'!$C$31*AF260))</f>
        <v>0</v>
      </c>
      <c r="G261" s="18">
        <f>MAX(0,AC260-('P-Parametri'!$D$31*AF260))</f>
        <v>0</v>
      </c>
      <c r="H261" s="18">
        <f>E261*C261*'P-Parametri'!$B$6+F261*D261*'P-Parametri'!$B$7</f>
        <v>58.205348264104813</v>
      </c>
      <c r="I261" s="18">
        <f t="shared" si="43"/>
        <v>2591.7603146195625</v>
      </c>
      <c r="J261" s="18">
        <f>MAX(0,('P-Parametri'!$B$31*AF260)-Y260)+MAX(0,('P-Parametri'!$C$31*AF260)-AA260)+MAX(0,('P-Parametri'!$D$31*AF260)-AC260)</f>
        <v>2649.9656628836419</v>
      </c>
      <c r="K261" s="18">
        <f>Y260-E261+IF(J261&lt;=0,0,I261*MAX(0,('P-Parametri'!$B$31*AF260)-Y260)/J261)</f>
        <v>104805.91233447663</v>
      </c>
      <c r="L261" s="18">
        <f>Z260-E261*(1-C261)+IF(J261&lt;=0,0,I261*MAX(0,('P-Parametri'!$B$31*AF260)-Y260)/J261)</f>
        <v>95952.002795763823</v>
      </c>
      <c r="M261" s="18">
        <f>AA260-F261+IF(J261&lt;=0,0,I261*MAX(0,('P-Parametri'!$C$31*AF260)-AA260)/J261)</f>
        <v>52361.689069455875</v>
      </c>
      <c r="N261" s="18">
        <f>AB260-F261*(1-D261)+IF(J261&lt;=0,0,I261*MAX(0,('P-Parametri'!$C$31*AF260)-AA260)/J261)</f>
        <v>42329.000229579775</v>
      </c>
      <c r="O261" s="18">
        <f>AC260-G261+IF(J261&lt;=0,0,I261*MAX(0,('P-Parametri'!$D$31*AF260)-AC260)/J261)</f>
        <v>17450.713805264466</v>
      </c>
      <c r="P261" s="18">
        <f>AD260-G261+IF(J261&lt;=0,0,I261*MAX(0,('P-Parametri'!$D$31*AF260)-AC260)/J261)</f>
        <v>8971.7414893015193</v>
      </c>
      <c r="Q261" s="18">
        <f t="shared" si="44"/>
        <v>111986.37500033628</v>
      </c>
      <c r="R261" s="18">
        <f>M261*(1+'P-Parametri'!$C$29)</f>
        <v>52623.497514803152</v>
      </c>
      <c r="S261" s="18">
        <f>O261*(1+'1-Input'!$B$27)</f>
        <v>17387.891235565512</v>
      </c>
      <c r="T261" s="11">
        <f t="shared" si="45"/>
        <v>0.1431814558201773</v>
      </c>
      <c r="U261" s="11">
        <f t="shared" si="46"/>
        <v>0.19562548616856001</v>
      </c>
      <c r="V261" s="18">
        <f>IF(AG260=0,0,(MIN((Q261+R261+S261),MAX(0,$B$5-IF($A261&gt;='1-Input'!$C$12,'1-Input'!$B$12,0))/(Q261/(Q261+R261+S261)*(1-'P-Parametri'!$B$6*T261)+R261/(Q261+R261+S261)*(1-'P-Parametri'!$B$7*U261)+S261/(Q261+R261+S261))))*Q261/(Q261+R261+S261))</f>
        <v>12559.787693070219</v>
      </c>
      <c r="W261" s="18">
        <f>IF(AG260=0,0,(MIN((Q261+R261+S261),MAX(0,$B$5-IF($A261&gt;='1-Input'!$C$12,'1-Input'!$B$12,0))/(Q261/(Q261+R261+S261)*(1-'P-Parametri'!$B$6*T261)+R261/(Q261+R261+S261)*(1-'P-Parametri'!$B$7*U261)+S261/(Q261+R261+S261))))*R261/(Q261+R261+S261))</f>
        <v>5901.9675960647091</v>
      </c>
      <c r="X261" s="18">
        <f>IF(AG260=0,0,(MIN((Q261+R261+S261),MAX(0,$B$5-IF($A261&gt;='1-Input'!$C$12,'1-Input'!$B$12,0))/(Q261/(Q261+R261+S261)*(1-'P-Parametri'!$B$6*T261)+R261/(Q261+R261+S261)*(1-'P-Parametri'!$B$7*U261)+S261/(Q261+R261+S261))))*S261/(Q261+R261+S261))</f>
        <v>1950.1320794448736</v>
      </c>
      <c r="Y261" s="18">
        <f t="shared" si="47"/>
        <v>99426.587307266062</v>
      </c>
      <c r="Z261" s="18">
        <f t="shared" si="48"/>
        <v>85190.54378937975</v>
      </c>
      <c r="AA261" s="18">
        <f t="shared" si="49"/>
        <v>46721.529918738444</v>
      </c>
      <c r="AB261" s="18">
        <f t="shared" si="50"/>
        <v>37581.60791384631</v>
      </c>
      <c r="AC261" s="18">
        <f t="shared" si="51"/>
        <v>15437.759156120639</v>
      </c>
      <c r="AD261" s="18">
        <f t="shared" si="52"/>
        <v>7021.6094098566455</v>
      </c>
      <c r="AE261" s="18">
        <f>IF(AG261=0,AE260,AE260+H261+V261*T261*'P-Parametri'!$B$6+W261*U261*'P-Parametri'!$B$7)</f>
        <v>3866.889998504656</v>
      </c>
      <c r="AF261" s="18">
        <f t="shared" si="39"/>
        <v>161585.87638212516</v>
      </c>
      <c r="AG261" s="10">
        <f>IF(AND(AG260=1,(X261+W261*(1-'P-Parametri'!$B$7*U261)+V261*(1-'P-Parametri'!$B$6*T261))&gt;=MAX(0,$B$5-IF($A261&gt;='1-Input'!$C$12,'1-Input'!$B$12,0))-0.01),1,0)</f>
        <v>1</v>
      </c>
      <c r="AI261" s="11">
        <f t="shared" si="53"/>
        <v>8.5149586984430564E-2</v>
      </c>
      <c r="AJ261" s="11">
        <f t="shared" si="54"/>
        <v>0.25819144534195587</v>
      </c>
      <c r="AK261" s="18">
        <f>MAX(0,BE260-('P-Parametri'!$B$31*BL260))</f>
        <v>14987.211823572929</v>
      </c>
      <c r="AL261" s="18">
        <f>MAX(0,BG260-('P-Parametri'!$C$31*BL260))</f>
        <v>2574.308679664071</v>
      </c>
      <c r="AM261" s="18">
        <f>MAX(0,BI260-('P-Parametri'!$D$31*BL260))</f>
        <v>0</v>
      </c>
      <c r="AN261" s="18">
        <f>AK261*AI261*'P-Parametri'!$B$6+AL261*AJ261*'P-Parametri'!$B$7</f>
        <v>414.88333301945744</v>
      </c>
      <c r="AO261" s="18">
        <f t="shared" si="55"/>
        <v>17146.637170217542</v>
      </c>
      <c r="AP261" s="18">
        <f>MAX(0,('P-Parametri'!$B$31*BL260)-BE260)+MAX(0,('P-Parametri'!$C$31*BL260)-BG260)+MAX(0,('P-Parametri'!$D$31*BL260)-BI260)</f>
        <v>17561.520503236981</v>
      </c>
      <c r="AQ261" s="18">
        <f>BE260-AK261+IF(AP261&lt;=0,0,AO261*MAX(0,('P-Parametri'!$B$31*BL260)-BE260)/AP261)</f>
        <v>105369.12301942187</v>
      </c>
      <c r="AR261" s="18">
        <f>BF260-AK261*(1-AI261)+IF(AP261&lt;=0,0,AO261*MAX(0,('P-Parametri'!$B$31*BL260)-BE260)/AP261)</f>
        <v>96396.985713406437</v>
      </c>
      <c r="AS261" s="18">
        <f>BG260-AL261+IF(AP261&lt;=0,0,AO261*MAX(0,('P-Parametri'!$C$31*BL260)-BG260)/AP261)</f>
        <v>52684.561509710933</v>
      </c>
      <c r="AT261" s="18">
        <f>BH260-AL261*(1-AJ261)+IF(AP261&lt;=0,0,AO261*MAX(0,('P-Parametri'!$C$31*BL260)-BG260)/AP261)</f>
        <v>39081.85842631149</v>
      </c>
      <c r="AU261" s="18">
        <f>BI260-AM261+IF(AP261&lt;=0,0,AO261*MAX(0,('P-Parametri'!$D$31*BL260)-BI260)/AP261)</f>
        <v>17146.637170217542</v>
      </c>
      <c r="AV261" s="18">
        <f>BJ260-AM261+IF(AP261&lt;=0,0,AO261*MAX(0,('P-Parametri'!$D$31*BL260)-BI260)/AP261)</f>
        <v>8663.5055755173889</v>
      </c>
      <c r="AW261" s="18">
        <f t="shared" si="56"/>
        <v>112588.17237572849</v>
      </c>
      <c r="AX261" s="18">
        <f>AS261*(1+'P-Parametri'!$C$29)</f>
        <v>52947.984317259485</v>
      </c>
      <c r="AY261" s="18">
        <f>AU261*(1+'1-Input'!$B$27)</f>
        <v>17084.909276404756</v>
      </c>
      <c r="AZ261" s="11">
        <f t="shared" si="57"/>
        <v>0.14380894831731469</v>
      </c>
      <c r="BA261" s="11">
        <f t="shared" si="58"/>
        <v>0.26188203516612524</v>
      </c>
      <c r="BB261" s="18">
        <f>IF(BM260=0,0,MIN(MAX(AW261,0),(MAX(0,$B$5-IF($A261&gt;='1-Input'!$C$12,'1-Input'!$B$12,0))-BD261-BC261*(1-'P-Parametri'!$B$7*BA261))/(1-'P-Parametri'!$B$6*AZ261)))</f>
        <v>0</v>
      </c>
      <c r="BC261" s="18">
        <f>IF(BM260=0,0,MIN(MAX(AX261,0),(MAX(0,$B$5-IF($A261&gt;='1-Input'!$C$12,'1-Input'!$B$12,0))-BD261)/(1-'P-Parametri'!$B$7*BA261)))</f>
        <v>2806.9778578554219</v>
      </c>
      <c r="BD261" s="18">
        <f>IF(BM260=0,0,MIN(MAX(AY261,0),MAX(0,$B$5-IF($A261&gt;='1-Input'!$C$12,'1-Input'!$B$12,0))))</f>
        <v>17084.909276404756</v>
      </c>
      <c r="BE261" s="18">
        <f t="shared" si="59"/>
        <v>112588.17237572849</v>
      </c>
      <c r="BF261" s="18">
        <f t="shared" si="60"/>
        <v>96396.985713406437</v>
      </c>
      <c r="BG261" s="18">
        <f t="shared" si="61"/>
        <v>50141.00645940406</v>
      </c>
      <c r="BH261" s="18">
        <f t="shared" si="62"/>
        <v>37009.977642537495</v>
      </c>
      <c r="BI261" s="18">
        <f t="shared" si="63"/>
        <v>0</v>
      </c>
      <c r="BJ261" s="18">
        <f t="shared" si="64"/>
        <v>-8421.4037008873674</v>
      </c>
      <c r="BK261" s="18">
        <f>IF(BM261=0,BK260,BK260+AN261+BB261*AZ261*'P-Parametri'!$B$6+BC261*BA261*'P-Parametri'!$B$7)</f>
        <v>2904.2852691411649</v>
      </c>
      <c r="BL261" s="18">
        <f t="shared" si="40"/>
        <v>162729.17883513257</v>
      </c>
      <c r="BM261" s="10">
        <f>IF(AND(BM260=1,(BD261+BC261*(1-'P-Parametri'!$B$7*BA261)+BB261*(1-'P-Parametri'!$B$6*AZ261))&gt;=MAX(0,$B$5-IF($A261&gt;='1-Input'!$C$12,'1-Input'!$B$12,0))-0.01),1,0)</f>
        <v>1</v>
      </c>
    </row>
    <row r="262" spans="1:65">
      <c r="A262" s="10">
        <f>13</f>
        <v>13</v>
      </c>
      <c r="B262" s="11">
        <f>IF(A262=1,'P-Parametri'!$B$30,IF(A262=2,'P-Parametri'!$C$30,'P-Parametri'!$B$29))</f>
        <v>6.8512000000000003E-2</v>
      </c>
      <c r="C262" s="11">
        <f t="shared" si="41"/>
        <v>0.14318145582017724</v>
      </c>
      <c r="D262" s="11">
        <f t="shared" si="42"/>
        <v>0.1956254861685601</v>
      </c>
      <c r="E262" s="18">
        <f>MAX(0,Y261-('P-Parametri'!$B$31*AF261))</f>
        <v>2475.0614779909665</v>
      </c>
      <c r="F262" s="18">
        <f>MAX(0,AA261-('P-Parametri'!$C$31*AF261))</f>
        <v>0</v>
      </c>
      <c r="G262" s="18">
        <f>MAX(0,AC261-('P-Parametri'!$D$31*AF261))</f>
        <v>0</v>
      </c>
      <c r="H262" s="18">
        <f>E262*C262*'P-Parametri'!$B$6+F262*D262*'P-Parametri'!$B$7</f>
        <v>92.139555472428412</v>
      </c>
      <c r="I262" s="18">
        <f t="shared" si="43"/>
        <v>2382.9219225185379</v>
      </c>
      <c r="J262" s="18">
        <f>MAX(0,('P-Parametri'!$B$31*AF261)-Y261)+MAX(0,('P-Parametri'!$C$31*AF261)-AA261)+MAX(0,('P-Parametri'!$D$31*AF261)-AC261)</f>
        <v>2475.0614779909811</v>
      </c>
      <c r="K262" s="18">
        <f>Y261-E262+IF(J262&lt;=0,0,I262*MAX(0,('P-Parametri'!$B$31*AF261)-Y261)/J262)</f>
        <v>96951.525829275095</v>
      </c>
      <c r="L262" s="18">
        <f>Z261-E262*(1-C262)+IF(J262&lt;=0,0,I262*MAX(0,('P-Parametri'!$B$31*AF261)-Y261)/J262)</f>
        <v>83069.865217051964</v>
      </c>
      <c r="M262" s="18">
        <f>AA261-F262+IF(J262&lt;=0,0,I262*MAX(0,('P-Parametri'!$C$31*AF261)-AA261)/J262)</f>
        <v>48410.457769745379</v>
      </c>
      <c r="N262" s="18">
        <f>AB261-F262*(1-D262)+IF(J262&lt;=0,0,I262*MAX(0,('P-Parametri'!$C$31*AF261)-AA261)/J262)</f>
        <v>39270.535764853237</v>
      </c>
      <c r="O262" s="18">
        <f>AC261-G262+IF(J262&lt;=0,0,I262*MAX(0,('P-Parametri'!$D$31*AF261)-AC261)/J262)</f>
        <v>16131.753227632245</v>
      </c>
      <c r="P262" s="18">
        <f>AD261-G262+IF(J262&lt;=0,0,I262*MAX(0,('P-Parametri'!$D$31*AF261)-AC261)/J262)</f>
        <v>7715.6034813682527</v>
      </c>
      <c r="Q262" s="18">
        <f t="shared" si="44"/>
        <v>103593.86876689039</v>
      </c>
      <c r="R262" s="18">
        <f>M262*(1+'P-Parametri'!$C$29)</f>
        <v>48652.510058594104</v>
      </c>
      <c r="S262" s="18">
        <f>O262*(1+'1-Input'!$B$27)</f>
        <v>16073.678916012768</v>
      </c>
      <c r="T262" s="11">
        <f t="shared" si="45"/>
        <v>0.19811986746070917</v>
      </c>
      <c r="U262" s="11">
        <f t="shared" si="46"/>
        <v>0.19283638773090619</v>
      </c>
      <c r="V262" s="18">
        <f>IF(AG261=0,0,(MIN((Q262+R262+S262),MAX(0,$B$5-IF($A262&gt;='1-Input'!$C$12,'1-Input'!$B$12,0))/(Q262/(Q262+R262+S262)*(1-'P-Parametri'!$B$6*T262)+R262/(Q262+R262+S262)*(1-'P-Parametri'!$B$7*U262)+S262/(Q262+R262+S262))))*Q262/(Q262+R262+S262))</f>
        <v>12676.256335126209</v>
      </c>
      <c r="W262" s="18">
        <f>IF(AG261=0,0,(MIN((Q262+R262+S262),MAX(0,$B$5-IF($A262&gt;='1-Input'!$C$12,'1-Input'!$B$12,0))/(Q262/(Q262+R262+S262)*(1-'P-Parametri'!$B$6*T262)+R262/(Q262+R262+S262)*(1-'P-Parametri'!$B$7*U262)+S262/(Q262+R262+S262))))*R262/(Q262+R262+S262))</f>
        <v>5953.3609101696038</v>
      </c>
      <c r="X262" s="18">
        <f>IF(AG261=0,0,(MIN((Q262+R262+S262),MAX(0,$B$5-IF($A262&gt;='1-Input'!$C$12,'1-Input'!$B$12,0))/(Q262/(Q262+R262+S262)*(1-'P-Parametri'!$B$6*T262)+R262/(Q262+R262+S262)*(1-'P-Parametri'!$B$7*U262)+S262/(Q262+R262+S262))))*S262/(Q262+R262+S262))</f>
        <v>1966.8545698045521</v>
      </c>
      <c r="Y262" s="18">
        <f t="shared" si="47"/>
        <v>90917.612431764181</v>
      </c>
      <c r="Z262" s="18">
        <f t="shared" si="48"/>
        <v>72905.027106938942</v>
      </c>
      <c r="AA262" s="18">
        <f t="shared" si="49"/>
        <v>42699.149148424498</v>
      </c>
      <c r="AB262" s="18">
        <f t="shared" si="50"/>
        <v>34465.199467459119</v>
      </c>
      <c r="AC262" s="18">
        <f t="shared" si="51"/>
        <v>14106.824346208216</v>
      </c>
      <c r="AD262" s="18">
        <f t="shared" si="52"/>
        <v>5748.7489115637009</v>
      </c>
      <c r="AE262" s="18">
        <f>IF(AG262=0,AE261,AE261+H262+V262*T262*'P-Parametri'!$B$6+W262*U262*'P-Parametri'!$B$7)</f>
        <v>4755.5013690774467</v>
      </c>
      <c r="AF262" s="18">
        <f t="shared" si="39"/>
        <v>147723.58592639689</v>
      </c>
      <c r="AG262" s="10">
        <f>IF(AND(AG261=1,(X262+W262*(1-'P-Parametri'!$B$7*U262)+V262*(1-'P-Parametri'!$B$6*T262))&gt;=MAX(0,$B$5-IF($A262&gt;='1-Input'!$C$12,'1-Input'!$B$12,0))-0.01),1,0)</f>
        <v>1</v>
      </c>
      <c r="AI262" s="11">
        <f t="shared" si="53"/>
        <v>0.14380894831731469</v>
      </c>
      <c r="AJ262" s="11">
        <f t="shared" si="54"/>
        <v>0.26188203516612518</v>
      </c>
      <c r="AK262" s="18">
        <f>MAX(0,BE261-('P-Parametri'!$B$31*BL261))</f>
        <v>14950.665074648961</v>
      </c>
      <c r="AL262" s="18">
        <f>MAX(0,BG261-('P-Parametri'!$C$31*BL261))</f>
        <v>1322.2528088642939</v>
      </c>
      <c r="AM262" s="18">
        <f>MAX(0,BI261-('P-Parametri'!$D$31*BL261))</f>
        <v>0</v>
      </c>
      <c r="AN262" s="18">
        <f>AK262*AI262*'P-Parametri'!$B$6+AL262*AJ262*'P-Parametri'!$B$7</f>
        <v>602.29453154140379</v>
      </c>
      <c r="AO262" s="18">
        <f t="shared" si="55"/>
        <v>15670.623351971852</v>
      </c>
      <c r="AP262" s="18">
        <f>MAX(0,('P-Parametri'!$B$31*BL261)-BE261)+MAX(0,('P-Parametri'!$C$31*BL261)-BG261)+MAX(0,('P-Parametri'!$D$31*BL261)-BI261)</f>
        <v>16272.917883513257</v>
      </c>
      <c r="AQ262" s="18">
        <f>BE261-AK262+IF(AP262&lt;=0,0,AO262*MAX(0,('P-Parametri'!$B$31*BL261)-BE261)/AP262)</f>
        <v>97637.507301079531</v>
      </c>
      <c r="AR262" s="18">
        <f>BF261-AK262*(1-AI262)+IF(AP262&lt;=0,0,AO262*MAX(0,('P-Parametri'!$B$31*BL261)-BE261)/AP262)</f>
        <v>83596.360059787155</v>
      </c>
      <c r="AS262" s="18">
        <f>BG261-AL262+IF(AP262&lt;=0,0,AO262*MAX(0,('P-Parametri'!$C$31*BL261)-BG261)/AP262)</f>
        <v>48818.753650539766</v>
      </c>
      <c r="AT262" s="18">
        <f>BH261-AL262*(1-AJ262)+IF(AP262&lt;=0,0,AO262*MAX(0,('P-Parametri'!$C$31*BL261)-BG261)/AP262)</f>
        <v>36033.999090262711</v>
      </c>
      <c r="AU262" s="18">
        <f>BI261-AM262+IF(AP262&lt;=0,0,AO262*MAX(0,('P-Parametri'!$D$31*BL261)-BI261)/AP262)</f>
        <v>15670.623351971852</v>
      </c>
      <c r="AV262" s="18">
        <f>BJ261-AM262+IF(AP262&lt;=0,0,AO262*MAX(0,('P-Parametri'!$D$31*BL261)-BI261)/AP262)</f>
        <v>7249.2196510844842</v>
      </c>
      <c r="AW262" s="18">
        <f t="shared" si="56"/>
        <v>104326.84820129108</v>
      </c>
      <c r="AX262" s="18">
        <f>AS262*(1+'P-Parametri'!$C$29)</f>
        <v>49062.847418792458</v>
      </c>
      <c r="AY262" s="18">
        <f>AU262*(1+'1-Input'!$B$27)</f>
        <v>15614.209107904751</v>
      </c>
      <c r="AZ262" s="11">
        <f t="shared" si="57"/>
        <v>0.1987071257199868</v>
      </c>
      <c r="BA262" s="11">
        <f t="shared" si="58"/>
        <v>0.26555426384689063</v>
      </c>
      <c r="BB262" s="18">
        <f>IF(BM261=0,0,MIN(MAX(AW262,0),(MAX(0,$B$5-IF($A262&gt;='1-Input'!$C$12,'1-Input'!$B$12,0))-BD262-BC262*(1-'P-Parametri'!$B$7*BA262))/(1-'P-Parametri'!$B$6*AZ262)))</f>
        <v>0</v>
      </c>
      <c r="BC262" s="18">
        <f>IF(BM261=0,0,MIN(MAX(AX262,0),(MAX(0,$B$5-IF($A262&gt;='1-Input'!$C$12,'1-Input'!$B$12,0))-BD262)/(1-'P-Parametri'!$B$7*BA262)))</f>
        <v>4329.5057304800648</v>
      </c>
      <c r="BD262" s="18">
        <f>IF(BM261=0,0,MIN(MAX(AY262,0),MAX(0,$B$5-IF($A262&gt;='1-Input'!$C$12,'1-Input'!$B$12,0))))</f>
        <v>15614.209107904751</v>
      </c>
      <c r="BE262" s="18">
        <f t="shared" si="59"/>
        <v>104326.84820129108</v>
      </c>
      <c r="BF262" s="18">
        <f t="shared" si="60"/>
        <v>83596.360059787155</v>
      </c>
      <c r="BG262" s="18">
        <f t="shared" si="61"/>
        <v>44733.341688312394</v>
      </c>
      <c r="BH262" s="18">
        <f t="shared" si="62"/>
        <v>32854.212066861175</v>
      </c>
      <c r="BI262" s="18">
        <f t="shared" si="63"/>
        <v>0</v>
      </c>
      <c r="BJ262" s="18">
        <f t="shared" si="64"/>
        <v>-8364.9894568202672</v>
      </c>
      <c r="BK262" s="18">
        <f>IF(BM262=0,BK261,BK261+AN262+BB262*AZ262*'P-Parametri'!$B$6+BC262*BA262*'P-Parametri'!$B$7)</f>
        <v>3650.2946390673851</v>
      </c>
      <c r="BL262" s="18">
        <f t="shared" si="40"/>
        <v>149060.18988960347</v>
      </c>
      <c r="BM262" s="10">
        <f>IF(AND(BM261=1,(BD262+BC262*(1-'P-Parametri'!$B$7*BA262)+BB262*(1-'P-Parametri'!$B$6*AZ262))&gt;=MAX(0,$B$5-IF($A262&gt;='1-Input'!$C$12,'1-Input'!$B$12,0))-0.01),1,0)</f>
        <v>1</v>
      </c>
    </row>
    <row r="263" spans="1:65">
      <c r="A263" s="10">
        <f>14</f>
        <v>14</v>
      </c>
      <c r="B263" s="11">
        <f>IF(A263=1,'P-Parametri'!$B$30,IF(A263=2,'P-Parametri'!$C$30,'P-Parametri'!$B$29))</f>
        <v>6.8512000000000003E-2</v>
      </c>
      <c r="C263" s="11">
        <f t="shared" si="41"/>
        <v>0.19811986746070911</v>
      </c>
      <c r="D263" s="11">
        <f t="shared" si="42"/>
        <v>0.19283638773090619</v>
      </c>
      <c r="E263" s="18">
        <f>MAX(0,Y262-('P-Parametri'!$B$31*AF262))</f>
        <v>2283.4608759260445</v>
      </c>
      <c r="F263" s="18">
        <f>MAX(0,AA262-('P-Parametri'!$C$31*AF262))</f>
        <v>0</v>
      </c>
      <c r="G263" s="18">
        <f>MAX(0,AC262-('P-Parametri'!$D$31*AF262))</f>
        <v>0</v>
      </c>
      <c r="H263" s="18">
        <f>E263*C263*'P-Parametri'!$B$6+F263*D263*'P-Parametri'!$B$7</f>
        <v>117.6237311834475</v>
      </c>
      <c r="I263" s="18">
        <f t="shared" si="43"/>
        <v>2165.837144742597</v>
      </c>
      <c r="J263" s="18">
        <f>MAX(0,('P-Parametri'!$B$31*AF262)-Y262)+MAX(0,('P-Parametri'!$C$31*AF262)-AA262)+MAX(0,('P-Parametri'!$D$31*AF262)-AC262)</f>
        <v>2283.4608759260445</v>
      </c>
      <c r="K263" s="18">
        <f>Y262-E263+IF(J263&lt;=0,0,I263*MAX(0,('P-Parametri'!$B$31*AF262)-Y262)/J263)</f>
        <v>88634.151555838136</v>
      </c>
      <c r="L263" s="18">
        <f>Z262-E263*(1-C263)+IF(J263&lt;=0,0,I263*MAX(0,('P-Parametri'!$B$31*AF262)-Y262)/J263)</f>
        <v>71073.965197103083</v>
      </c>
      <c r="M263" s="18">
        <f>AA262-F263+IF(J263&lt;=0,0,I263*MAX(0,('P-Parametri'!$C$31*AF262)-AA262)/J263)</f>
        <v>44233.734491475945</v>
      </c>
      <c r="N263" s="18">
        <f>AB262-F263*(1-D263)+IF(J263&lt;=0,0,I263*MAX(0,('P-Parametri'!$C$31*AF262)-AA262)/J263)</f>
        <v>35999.784810510566</v>
      </c>
      <c r="O263" s="18">
        <f>AC262-G263+IF(J263&lt;=0,0,I263*MAX(0,('P-Parametri'!$D$31*AF262)-AC262)/J263)</f>
        <v>14738.076147899363</v>
      </c>
      <c r="P263" s="18">
        <f>AD262-G263+IF(J263&lt;=0,0,I263*MAX(0,('P-Parametri'!$D$31*AF262)-AC262)/J263)</f>
        <v>6380.0007132548481</v>
      </c>
      <c r="Q263" s="18">
        <f t="shared" si="44"/>
        <v>94706.654547231708</v>
      </c>
      <c r="R263" s="18">
        <f>M263*(1+'P-Parametri'!$C$29)</f>
        <v>44454.903163933319</v>
      </c>
      <c r="S263" s="18">
        <f>O263*(1+'1-Input'!$B$27)</f>
        <v>14685.019073766924</v>
      </c>
      <c r="T263" s="11">
        <f t="shared" si="45"/>
        <v>0.24953567901971058</v>
      </c>
      <c r="U263" s="11">
        <f t="shared" si="46"/>
        <v>0.19019540594303824</v>
      </c>
      <c r="V263" s="18">
        <f>IF(AG262=0,0,(MIN((Q263+R263+S263),MAX(0,$B$5-IF($A263&gt;='1-Input'!$C$12,'1-Input'!$B$12,0))/(Q263/(Q263+R263+S263)*(1-'P-Parametri'!$B$6*T263)+R263/(Q263+R263+S263)*(1-'P-Parametri'!$B$7*U263)+S263/(Q263+R263+S263))))*Q263/(Q263+R263+S263))</f>
        <v>12787.271022542554</v>
      </c>
      <c r="W263" s="18">
        <f>IF(AG262=0,0,(MIN((Q263+R263+S263),MAX(0,$B$5-IF($A263&gt;='1-Input'!$C$12,'1-Input'!$B$12,0))/(Q263/(Q263+R263+S263)*(1-'P-Parametri'!$B$6*T263)+R263/(Q263+R263+S263)*(1-'P-Parametri'!$B$7*U263)+S263/(Q263+R263+S263))))*R263/(Q263+R263+S263))</f>
        <v>6002.2909451901442</v>
      </c>
      <c r="X263" s="18">
        <f>IF(AG262=0,0,(MIN((Q263+R263+S263),MAX(0,$B$5-IF($A263&gt;='1-Input'!$C$12,'1-Input'!$B$12,0))/(Q263/(Q263+R263+S263)*(1-'P-Parametri'!$B$6*T263)+R263/(Q263+R263+S263)*(1-'P-Parametri'!$B$7*U263)+S263/(Q263+R263+S263))))*S263/(Q263+R263+S263))</f>
        <v>1982.7679455598861</v>
      </c>
      <c r="Y263" s="18">
        <f t="shared" si="47"/>
        <v>81919.383524689154</v>
      </c>
      <c r="Z263" s="18">
        <f t="shared" si="48"/>
        <v>61477.574531979757</v>
      </c>
      <c r="AA263" s="18">
        <f t="shared" si="49"/>
        <v>38452.612218743176</v>
      </c>
      <c r="AB263" s="18">
        <f t="shared" si="50"/>
        <v>31139.102028229085</v>
      </c>
      <c r="AC263" s="18">
        <f t="shared" si="51"/>
        <v>12702.251128207037</v>
      </c>
      <c r="AD263" s="18">
        <f t="shared" si="52"/>
        <v>4397.2327676949617</v>
      </c>
      <c r="AE263" s="18">
        <f>IF(AG263=0,AE262,AE262+H263+V263*T263*'P-Parametri'!$B$6+W263*U263*'P-Parametri'!$B$7)</f>
        <v>5845.4550135534755</v>
      </c>
      <c r="AF263" s="18">
        <f t="shared" si="39"/>
        <v>133074.24687163936</v>
      </c>
      <c r="AG263" s="10">
        <f>IF(AND(AG262=1,(X263+W263*(1-'P-Parametri'!$B$7*U263)+V263*(1-'P-Parametri'!$B$6*T263))&gt;=MAX(0,$B$5-IF($A263&gt;='1-Input'!$C$12,'1-Input'!$B$12,0))-0.01),1,0)</f>
        <v>1</v>
      </c>
      <c r="AI263" s="11">
        <f t="shared" si="53"/>
        <v>0.1987071257199868</v>
      </c>
      <c r="AJ263" s="11">
        <f t="shared" si="54"/>
        <v>0.26555426384689057</v>
      </c>
      <c r="AK263" s="18">
        <f>MAX(0,BE262-('P-Parametri'!$B$31*BL262))</f>
        <v>14890.734267528998</v>
      </c>
      <c r="AL263" s="18">
        <f>MAX(0,BG262-('P-Parametri'!$C$31*BL262))</f>
        <v>15.2847214313515</v>
      </c>
      <c r="AM263" s="18">
        <f>MAX(0,BI262-('P-Parametri'!$D$31*BL262))</f>
        <v>0</v>
      </c>
      <c r="AN263" s="18">
        <f>AK263*AI263*'P-Parametri'!$B$6+AL263*AJ263*'P-Parametri'!$B$7</f>
        <v>769.82006697028396</v>
      </c>
      <c r="AO263" s="18">
        <f t="shared" si="55"/>
        <v>14136.198921990066</v>
      </c>
      <c r="AP263" s="18">
        <f>MAX(0,('P-Parametri'!$B$31*BL262)-BE262)+MAX(0,('P-Parametri'!$C$31*BL262)-BG262)+MAX(0,('P-Parametri'!$D$31*BL262)-BI262)</f>
        <v>14906.018988960348</v>
      </c>
      <c r="AQ263" s="18">
        <f>BE262-AK263+IF(AP263&lt;=0,0,AO263*MAX(0,('P-Parametri'!$B$31*BL262)-BE262)/AP263)</f>
        <v>89436.113933762084</v>
      </c>
      <c r="AR263" s="18">
        <f>BF262-AK263*(1-AI263)+IF(AP263&lt;=0,0,AO263*MAX(0,('P-Parametri'!$B$31*BL262)-BE262)/AP263)</f>
        <v>71664.520798418962</v>
      </c>
      <c r="AS263" s="18">
        <f>BG262-AL263+IF(AP263&lt;=0,0,AO263*MAX(0,('P-Parametri'!$C$31*BL262)-BG262)/AP263)</f>
        <v>44718.056966881042</v>
      </c>
      <c r="AT263" s="18">
        <f>BH262-AL263*(1-AJ263)+IF(AP263&lt;=0,0,AO263*MAX(0,('P-Parametri'!$C$31*BL262)-BG262)/AP263)</f>
        <v>32842.98626837763</v>
      </c>
      <c r="AU263" s="18">
        <f>BI262-AM263+IF(AP263&lt;=0,0,AO263*MAX(0,('P-Parametri'!$D$31*BL262)-BI262)/AP263)</f>
        <v>14136.198921990066</v>
      </c>
      <c r="AV263" s="18">
        <f>BJ262-AM263+IF(AP263&lt;=0,0,AO263*MAX(0,('P-Parametri'!$D$31*BL262)-BI262)/AP263)</f>
        <v>5771.2094651697989</v>
      </c>
      <c r="AW263" s="18">
        <f t="shared" si="56"/>
        <v>95563.560971591985</v>
      </c>
      <c r="AX263" s="18">
        <f>AS263*(1+'P-Parametri'!$C$29)</f>
        <v>44941.64725171544</v>
      </c>
      <c r="AY263" s="18">
        <f>AU263*(1+'1-Input'!$B$27)</f>
        <v>14085.308605870901</v>
      </c>
      <c r="AZ263" s="11">
        <f t="shared" si="57"/>
        <v>0.25008528282320341</v>
      </c>
      <c r="BA263" s="11">
        <f t="shared" si="58"/>
        <v>0.26920822273322437</v>
      </c>
      <c r="BB263" s="18">
        <f>IF(BM262=0,0,MIN(MAX(AW263,0),(MAX(0,$B$5-IF($A263&gt;='1-Input'!$C$12,'1-Input'!$B$12,0))-BD263-BC263*(1-'P-Parametri'!$B$7*BA263))/(1-'P-Parametri'!$B$6*AZ263)))</f>
        <v>0</v>
      </c>
      <c r="BC263" s="18">
        <f>IF(BM262=0,0,MIN(MAX(AX263,0),(MAX(0,$B$5-IF($A263&gt;='1-Input'!$C$12,'1-Input'!$B$12,0))-BD263)/(1-'P-Parametri'!$B$7*BA263)))</f>
        <v>5913.6932503434</v>
      </c>
      <c r="BD263" s="18">
        <f>IF(BM262=0,0,MIN(MAX(AY263,0),MAX(0,$B$5-IF($A263&gt;='1-Input'!$C$12,'1-Input'!$B$12,0))))</f>
        <v>14085.308605870901</v>
      </c>
      <c r="BE263" s="18">
        <f t="shared" si="59"/>
        <v>95563.560971591985</v>
      </c>
      <c r="BF263" s="18">
        <f t="shared" si="60"/>
        <v>71664.520798418962</v>
      </c>
      <c r="BG263" s="18">
        <f t="shared" si="61"/>
        <v>39027.95400137204</v>
      </c>
      <c r="BH263" s="18">
        <f t="shared" si="62"/>
        <v>28521.307867748641</v>
      </c>
      <c r="BI263" s="18">
        <f t="shared" si="63"/>
        <v>0</v>
      </c>
      <c r="BJ263" s="18">
        <f t="shared" si="64"/>
        <v>-8314.0991407011024</v>
      </c>
      <c r="BK263" s="18">
        <f>IF(BM263=0,BK262,BK262+AN263+BB263*AZ263*'P-Parametri'!$B$6+BC263*BA263*'P-Parametri'!$B$7)</f>
        <v>4619.1165622519702</v>
      </c>
      <c r="BL263" s="18">
        <f t="shared" si="40"/>
        <v>134591.51497296401</v>
      </c>
      <c r="BM263" s="10">
        <f>IF(AND(BM262=1,(BD263+BC263*(1-'P-Parametri'!$B$7*BA263)+BB263*(1-'P-Parametri'!$B$6*AZ263))&gt;=MAX(0,$B$5-IF($A263&gt;='1-Input'!$C$12,'1-Input'!$B$12,0))-0.01),1,0)</f>
        <v>1</v>
      </c>
    </row>
    <row r="264" spans="1:65">
      <c r="A264" s="10">
        <f>15</f>
        <v>15</v>
      </c>
      <c r="B264" s="11">
        <f>IF(A264=1,'P-Parametri'!$B$30,IF(A264=2,'P-Parametri'!$C$30,'P-Parametri'!$B$29))</f>
        <v>6.8512000000000003E-2</v>
      </c>
      <c r="C264" s="11">
        <f t="shared" si="41"/>
        <v>0.24953567901971055</v>
      </c>
      <c r="D264" s="11">
        <f t="shared" si="42"/>
        <v>0.19019540594303824</v>
      </c>
      <c r="E264" s="18">
        <f>MAX(0,Y263-('P-Parametri'!$B$31*AF263))</f>
        <v>2074.835401705539</v>
      </c>
      <c r="F264" s="18">
        <f>MAX(0,AA263-('P-Parametri'!$C$31*AF263))</f>
        <v>0</v>
      </c>
      <c r="G264" s="18">
        <f>MAX(0,AC263-('P-Parametri'!$D$31*AF263))</f>
        <v>0</v>
      </c>
      <c r="H264" s="18">
        <f>E264*C264*'P-Parametri'!$B$6+F264*D264*'P-Parametri'!$B$7</f>
        <v>134.61381981286863</v>
      </c>
      <c r="I264" s="18">
        <f t="shared" si="43"/>
        <v>1940.2215818926704</v>
      </c>
      <c r="J264" s="18">
        <f>MAX(0,('P-Parametri'!$B$31*AF263)-Y263)+MAX(0,('P-Parametri'!$C$31*AF263)-AA263)+MAX(0,('P-Parametri'!$D$31*AF263)-AC263)</f>
        <v>2074.8354017055317</v>
      </c>
      <c r="K264" s="18">
        <f>Y263-E264+IF(J264&lt;=0,0,I264*MAX(0,('P-Parametri'!$B$31*AF263)-Y263)/J264)</f>
        <v>79844.548122983615</v>
      </c>
      <c r="L264" s="18">
        <f>Z263-E264*(1-C264)+IF(J264&lt;=0,0,I264*MAX(0,('P-Parametri'!$B$31*AF263)-Y263)/J264)</f>
        <v>59920.484591092943</v>
      </c>
      <c r="M264" s="18">
        <f>AA263-F264+IF(J264&lt;=0,0,I264*MAX(0,('P-Parametri'!$C$31*AF263)-AA263)/J264)</f>
        <v>39826.923464368308</v>
      </c>
      <c r="N264" s="18">
        <f>AB263-F264*(1-D264)+IF(J264&lt;=0,0,I264*MAX(0,('P-Parametri'!$C$31*AF263)-AA263)/J264)</f>
        <v>32513.413273854214</v>
      </c>
      <c r="O264" s="18">
        <f>AC263-G264+IF(J264&lt;=0,0,I264*MAX(0,('P-Parametri'!$D$31*AF263)-AC263)/J264)</f>
        <v>13268.161464474577</v>
      </c>
      <c r="P264" s="18">
        <f>AD263-G264+IF(J264&lt;=0,0,I264*MAX(0,('P-Parametri'!$D$31*AF263)-AC263)/J264)</f>
        <v>4963.1431039625013</v>
      </c>
      <c r="Q264" s="18">
        <f t="shared" si="44"/>
        <v>85314.857803985462</v>
      </c>
      <c r="R264" s="18">
        <f>M264*(1+'P-Parametri'!$C$29)</f>
        <v>40026.058081690149</v>
      </c>
      <c r="S264" s="18">
        <f>O264*(1+'1-Input'!$B$27)</f>
        <v>13220.396083202468</v>
      </c>
      <c r="T264" s="11">
        <f t="shared" si="45"/>
        <v>0.29765475635248878</v>
      </c>
      <c r="U264" s="11">
        <f t="shared" si="46"/>
        <v>0.18769384665617575</v>
      </c>
      <c r="V264" s="18">
        <f>IF(AG263=0,0,(MIN((Q264+R264+S264),MAX(0,$B$5-IF($A264&gt;='1-Input'!$C$12,'1-Input'!$B$12,0))/(Q264/(Q264+R264+S264)*(1-'P-Parametri'!$B$6*T264)+R264/(Q264+R264+S264)*(1-'P-Parametri'!$B$7*U264)+S264/(Q264+R264+S264))))*Q264/(Q264+R264+S264))</f>
        <v>12892.979129010915</v>
      </c>
      <c r="W264" s="18">
        <f>IF(AG263=0,0,(MIN((Q264+R264+S264),MAX(0,$B$5-IF($A264&gt;='1-Input'!$C$12,'1-Input'!$B$12,0))/(Q264/(Q264+R264+S264)*(1-'P-Parametri'!$B$6*T264)+R264/(Q264+R264+S264)*(1-'P-Parametri'!$B$7*U264)+S264/(Q264+R264+S264))))*R264/(Q264+R264+S264))</f>
        <v>6048.8307048400466</v>
      </c>
      <c r="X264" s="18">
        <f>IF(AG263=0,0,(MIN((Q264+R264+S264),MAX(0,$B$5-IF($A264&gt;='1-Input'!$C$12,'1-Input'!$B$12,0))/(Q264/(Q264+R264+S264)*(1-'P-Parametri'!$B$6*T264)+R264/(Q264+R264+S264)*(1-'P-Parametri'!$B$7*U264)+S264/(Q264+R264+S264))))*S264/(Q264+R264+S264))</f>
        <v>1997.896909933366</v>
      </c>
      <c r="Y264" s="18">
        <f t="shared" si="47"/>
        <v>72421.878674974549</v>
      </c>
      <c r="Z264" s="18">
        <f t="shared" si="48"/>
        <v>50865.162023385492</v>
      </c>
      <c r="AA264" s="18">
        <f t="shared" si="49"/>
        <v>33977.227376850104</v>
      </c>
      <c r="AB264" s="18">
        <f t="shared" si="50"/>
        <v>27599.910871777582</v>
      </c>
      <c r="AC264" s="18">
        <f t="shared" si="51"/>
        <v>11222.499173269101</v>
      </c>
      <c r="AD264" s="18">
        <f t="shared" si="52"/>
        <v>2965.246194029135</v>
      </c>
      <c r="AE264" s="18">
        <f>IF(AG264=0,AE263,AE263+H264+V264*T264*'P-Parametri'!$B$6+W264*U264*'P-Parametri'!$B$7)</f>
        <v>7119.7755771506727</v>
      </c>
      <c r="AF264" s="18">
        <f t="shared" si="39"/>
        <v>117621.60522509375</v>
      </c>
      <c r="AG264" s="10">
        <f>IF(AND(AG263=1,(X264+W264*(1-'P-Parametri'!$B$7*U264)+V264*(1-'P-Parametri'!$B$6*T264))&gt;=MAX(0,$B$5-IF($A264&gt;='1-Input'!$C$12,'1-Input'!$B$12,0))-0.01),1,0)</f>
        <v>1</v>
      </c>
      <c r="AI264" s="11">
        <f t="shared" si="53"/>
        <v>0.25008528282320341</v>
      </c>
      <c r="AJ264" s="11">
        <f t="shared" si="54"/>
        <v>0.26920822273322437</v>
      </c>
      <c r="AK264" s="18">
        <f>MAX(0,BE263-('P-Parametri'!$B$31*BL263))</f>
        <v>14808.651987813588</v>
      </c>
      <c r="AL264" s="18">
        <f>MAX(0,BG263-('P-Parametri'!$C$31*BL263))</f>
        <v>0</v>
      </c>
      <c r="AM264" s="18">
        <f>MAX(0,BI263-('P-Parametri'!$D$31*BL263))</f>
        <v>0</v>
      </c>
      <c r="AN264" s="18">
        <f>AK264*AI264*'P-Parametri'!$B$6+AL264*AJ264*'P-Parametri'!$B$7</f>
        <v>962.89073935671627</v>
      </c>
      <c r="AO264" s="18">
        <f t="shared" si="55"/>
        <v>13845.761248456871</v>
      </c>
      <c r="AP264" s="18">
        <f>MAX(0,('P-Parametri'!$B$31*BL263)-BE263)+MAX(0,('P-Parametri'!$C$31*BL263)-BG263)+MAX(0,('P-Parametri'!$D$31*BL263)-BI263)</f>
        <v>14808.65198781356</v>
      </c>
      <c r="AQ264" s="18">
        <f>BE263-AK264+IF(AP264&lt;=0,0,AO264*MAX(0,('P-Parametri'!$B$31*BL263)-BE263)/AP264)</f>
        <v>80754.908983778398</v>
      </c>
      <c r="AR264" s="18">
        <f>BF263-AK264*(1-AI264)+IF(AP264&lt;=0,0,AO264*MAX(0,('P-Parametri'!$B$31*BL263)-BE263)/AP264)</f>
        <v>60559.294731208131</v>
      </c>
      <c r="AS264" s="18">
        <f>BG263-AL264+IF(AP264&lt;=0,0,AO264*MAX(0,('P-Parametri'!$C$31*BL263)-BG263)/AP264)</f>
        <v>40289.707036810534</v>
      </c>
      <c r="AT264" s="18">
        <f>BH263-AL264*(1-AJ264)+IF(AP264&lt;=0,0,AO264*MAX(0,('P-Parametri'!$C$31*BL263)-BG263)/AP264)</f>
        <v>29783.060903187132</v>
      </c>
      <c r="AU264" s="18">
        <f>BI263-AM264+IF(AP264&lt;=0,0,AO264*MAX(0,('P-Parametri'!$D$31*BL263)-BI263)/AP264)</f>
        <v>12584.00821301838</v>
      </c>
      <c r="AV264" s="18">
        <f>BJ263-AM264+IF(AP264&lt;=0,0,AO264*MAX(0,('P-Parametri'!$D$31*BL263)-BI263)/AP264)</f>
        <v>4269.9090723172776</v>
      </c>
      <c r="AW264" s="18">
        <f t="shared" si="56"/>
        <v>86287.58930807501</v>
      </c>
      <c r="AX264" s="18">
        <f>AS264*(1+'P-Parametri'!$C$29)</f>
        <v>40491.155571994583</v>
      </c>
      <c r="AY264" s="18">
        <f>AU264*(1+'1-Input'!$B$27)</f>
        <v>12538.705783451513</v>
      </c>
      <c r="AZ264" s="11">
        <f t="shared" si="57"/>
        <v>0.29816912006903362</v>
      </c>
      <c r="BA264" s="11">
        <f t="shared" si="58"/>
        <v>0.26445515119389745</v>
      </c>
      <c r="BB264" s="18">
        <f>IF(BM263=0,0,MIN(MAX(AW264,0),(MAX(0,$B$5-IF($A264&gt;='1-Input'!$C$12,'1-Input'!$B$12,0))-BD264-BC264*(1-'P-Parametri'!$B$7*BA264))/(1-'P-Parametri'!$B$6*AZ264)))</f>
        <v>0</v>
      </c>
      <c r="BC264" s="18">
        <f>IF(BM263=0,0,MIN(MAX(AX264,0),(MAX(0,$B$5-IF($A264&gt;='1-Input'!$C$12,'1-Input'!$B$12,0))-BD264)/(1-'P-Parametri'!$B$7*BA264)))</f>
        <v>7509.5361565066114</v>
      </c>
      <c r="BD264" s="18">
        <f>IF(BM263=0,0,MIN(MAX(AY264,0),MAX(0,$B$5-IF($A264&gt;='1-Input'!$C$12,'1-Input'!$B$12,0))))</f>
        <v>12538.705783451513</v>
      </c>
      <c r="BE264" s="18">
        <f t="shared" si="59"/>
        <v>86287.58930807501</v>
      </c>
      <c r="BF264" s="18">
        <f t="shared" si="60"/>
        <v>60559.294731208131</v>
      </c>
      <c r="BG264" s="18">
        <f t="shared" si="61"/>
        <v>32981.61941548797</v>
      </c>
      <c r="BH264" s="18">
        <f t="shared" si="62"/>
        <v>24259.460266345515</v>
      </c>
      <c r="BI264" s="18">
        <f t="shared" si="63"/>
        <v>0</v>
      </c>
      <c r="BJ264" s="18">
        <f t="shared" si="64"/>
        <v>-8268.796711134235</v>
      </c>
      <c r="BK264" s="18">
        <f>IF(BM264=0,BK263,BK263+AN264+BB264*AZ264*'P-Parametri'!$B$6+BC264*BA264*'P-Parametri'!$B$7)</f>
        <v>5830.2492415668103</v>
      </c>
      <c r="BL264" s="18">
        <f t="shared" si="40"/>
        <v>119269.20872356297</v>
      </c>
      <c r="BM264" s="10">
        <f>IF(AND(BM263=1,(BD264+BC264*(1-'P-Parametri'!$B$7*BA264)+BB264*(1-'P-Parametri'!$B$6*AZ264))&gt;=MAX(0,$B$5-IF($A264&gt;='1-Input'!$C$12,'1-Input'!$B$12,0))-0.01),1,0)</f>
        <v>1</v>
      </c>
    </row>
    <row r="265" spans="1:65">
      <c r="A265" s="10">
        <f>16</f>
        <v>16</v>
      </c>
      <c r="B265" s="11">
        <f>IF(A265=1,'P-Parametri'!$B$30,IF(A265=2,'P-Parametri'!$C$30,'P-Parametri'!$B$29))</f>
        <v>6.8512000000000003E-2</v>
      </c>
      <c r="C265" s="11">
        <f t="shared" si="41"/>
        <v>0.29765475635248884</v>
      </c>
      <c r="D265" s="11">
        <f t="shared" si="42"/>
        <v>0.18769384665617581</v>
      </c>
      <c r="E265" s="18">
        <f>MAX(0,Y264-('P-Parametri'!$B$31*AF264))</f>
        <v>1848.9155399183073</v>
      </c>
      <c r="F265" s="18">
        <f>MAX(0,AA264-('P-Parametri'!$C$31*AF264))</f>
        <v>0</v>
      </c>
      <c r="G265" s="18">
        <f>MAX(0,AC264-('P-Parametri'!$D$31*AF264))</f>
        <v>0</v>
      </c>
      <c r="H265" s="18">
        <f>E265*C265*'P-Parametri'!$B$6+F265*D265*'P-Parametri'!$B$7</f>
        <v>143.08801118318567</v>
      </c>
      <c r="I265" s="18">
        <f t="shared" si="43"/>
        <v>1705.8275287351216</v>
      </c>
      <c r="J265" s="18">
        <f>MAX(0,('P-Parametri'!$B$31*AF264)-Y264)+MAX(0,('P-Parametri'!$C$31*AF264)-AA264)+MAX(0,('P-Parametri'!$D$31*AF264)-AC264)</f>
        <v>1848.915539918291</v>
      </c>
      <c r="K265" s="18">
        <f>Y264-E265+IF(J265&lt;=0,0,I265*MAX(0,('P-Parametri'!$B$31*AF264)-Y264)/J265)</f>
        <v>70572.963135056241</v>
      </c>
      <c r="L265" s="18">
        <f>Z264-E265*(1-C265)+IF(J265&lt;=0,0,I265*MAX(0,('P-Parametri'!$B$31*AF264)-Y264)/J265)</f>
        <v>49566.584988017901</v>
      </c>
      <c r="M265" s="18">
        <f>AA264-F265+IF(J265&lt;=0,0,I265*MAX(0,('P-Parametri'!$C$31*AF264)-AA264)/J265)</f>
        <v>35185.158075874402</v>
      </c>
      <c r="N265" s="18">
        <f>AB264-F265*(1-D265)+IF(J265&lt;=0,0,I265*MAX(0,('P-Parametri'!$C$31*AF264)-AA264)/J265)</f>
        <v>28807.841570801877</v>
      </c>
      <c r="O265" s="18">
        <f>AC264-G265+IF(J265&lt;=0,0,I265*MAX(0,('P-Parametri'!$D$31*AF264)-AC264)/J265)</f>
        <v>11720.396002979927</v>
      </c>
      <c r="P265" s="18">
        <f>AD264-G265+IF(J265&lt;=0,0,I265*MAX(0,('P-Parametri'!$D$31*AF264)-AC264)/J265)</f>
        <v>3463.1430237399613</v>
      </c>
      <c r="Q265" s="18">
        <f t="shared" si="44"/>
        <v>75408.057985365202</v>
      </c>
      <c r="R265" s="18">
        <f>M265*(1+'P-Parametri'!$C$29)</f>
        <v>35361.083866253772</v>
      </c>
      <c r="S265" s="18">
        <f>O265*(1+'1-Input'!$B$27)</f>
        <v>11678.202577369198</v>
      </c>
      <c r="T265" s="11">
        <f t="shared" si="45"/>
        <v>0.34268848300485971</v>
      </c>
      <c r="U265" s="11">
        <f t="shared" si="46"/>
        <v>0.1853235698384762</v>
      </c>
      <c r="V265" s="18">
        <f>IF(AG264=0,0,(MIN((Q265+R265+S265),MAX(0,$B$5-IF($A265&gt;='1-Input'!$C$12,'1-Input'!$B$12,0))/(Q265/(Q265+R265+S265)*(1-'P-Parametri'!$B$6*T265)+R265/(Q265+R265+S265)*(1-'P-Parametri'!$B$7*U265)+S265/(Q265+R265+S265))))*Q265/(Q265+R265+S265))</f>
        <v>12993.536368951203</v>
      </c>
      <c r="W265" s="18">
        <f>IF(AG264=0,0,(MIN((Q265+R265+S265),MAX(0,$B$5-IF($A265&gt;='1-Input'!$C$12,'1-Input'!$B$12,0))/(Q265/(Q265+R265+S265)*(1-'P-Parametri'!$B$6*T265)+R265/(Q265+R265+S265)*(1-'P-Parametri'!$B$7*U265)+S265/(Q265+R265+S265))))*R265/(Q265+R265+S265))</f>
        <v>6093.0561207513483</v>
      </c>
      <c r="X265" s="18">
        <f>IF(AG264=0,0,(MIN((Q265+R265+S265),MAX(0,$B$5-IF($A265&gt;='1-Input'!$C$12,'1-Input'!$B$12,0))/(Q265/(Q265+R265+S265)*(1-'P-Parametri'!$B$6*T265)+R265/(Q265+R265+S265)*(1-'P-Parametri'!$B$7*U265)+S265/(Q265+R265+S265))))*S265/(Q265+R265+S265))</f>
        <v>2012.2670436954561</v>
      </c>
      <c r="Y265" s="18">
        <f t="shared" si="47"/>
        <v>62414.521616414</v>
      </c>
      <c r="Z265" s="18">
        <f t="shared" si="48"/>
        <v>41025.783886211058</v>
      </c>
      <c r="AA265" s="18">
        <f t="shared" si="49"/>
        <v>29268.027745502422</v>
      </c>
      <c r="AB265" s="18">
        <f t="shared" si="50"/>
        <v>23843.972361574346</v>
      </c>
      <c r="AC265" s="18">
        <f t="shared" si="51"/>
        <v>9665.9355336737426</v>
      </c>
      <c r="AD265" s="18">
        <f t="shared" si="52"/>
        <v>1450.8759800445052</v>
      </c>
      <c r="AE265" s="18">
        <f>IF(AG265=0,AE264,AE264+H265+V265*T265*'P-Parametri'!$B$6+W265*U265*'P-Parametri'!$B$7)</f>
        <v>8561.7231217318695</v>
      </c>
      <c r="AF265" s="18">
        <f t="shared" si="39"/>
        <v>101348.48489559017</v>
      </c>
      <c r="AG265" s="10">
        <f>IF(AND(AG264=1,(X265+W265*(1-'P-Parametri'!$B$7*U265)+V265*(1-'P-Parametri'!$B$6*T265))&gt;=MAX(0,$B$5-IF($A265&gt;='1-Input'!$C$12,'1-Input'!$B$12,0))-0.01),1,0)</f>
        <v>1</v>
      </c>
      <c r="AI265" s="11">
        <f t="shared" si="53"/>
        <v>0.29816912006903362</v>
      </c>
      <c r="AJ265" s="11">
        <f t="shared" si="54"/>
        <v>0.26445515119389745</v>
      </c>
      <c r="AK265" s="18">
        <f>MAX(0,BE264-('P-Parametri'!$B$31*BL264))</f>
        <v>14726.064073937232</v>
      </c>
      <c r="AL265" s="18">
        <f>MAX(0,BG264-('P-Parametri'!$C$31*BL264))</f>
        <v>0</v>
      </c>
      <c r="AM265" s="18">
        <f>MAX(0,BI264-('P-Parametri'!$D$31*BL264))</f>
        <v>0</v>
      </c>
      <c r="AN265" s="18">
        <f>AK265*AI265*'P-Parametri'!$B$6+AL265*AJ265*'P-Parametri'!$B$7</f>
        <v>1141.622967421579</v>
      </c>
      <c r="AO265" s="18">
        <f t="shared" si="55"/>
        <v>13584.441106515653</v>
      </c>
      <c r="AP265" s="18">
        <f>MAX(0,('P-Parametri'!$B$31*BL264)-BE264)+MAX(0,('P-Parametri'!$C$31*BL264)-BG264)+MAX(0,('P-Parametri'!$D$31*BL264)-BI264)</f>
        <v>14726.064073937217</v>
      </c>
      <c r="AQ265" s="18">
        <f>BE264-AK265+IF(AP265&lt;=0,0,AO265*MAX(0,('P-Parametri'!$B$31*BL264)-BE264)/AP265)</f>
        <v>71561.525234137778</v>
      </c>
      <c r="AR265" s="18">
        <f>BF264-AK265*(1-AI265)+IF(AP265&lt;=0,0,AO265*MAX(0,('P-Parametri'!$B$31*BL264)-BE264)/AP265)</f>
        <v>50224.088224276973</v>
      </c>
      <c r="AS265" s="18">
        <f>BG264-AL265+IF(AP265&lt;=0,0,AO265*MAX(0,('P-Parametri'!$C$31*BL264)-BG264)/AP265)</f>
        <v>35563.761920074612</v>
      </c>
      <c r="AT265" s="18">
        <f>BH264-AL265*(1-AJ265)+IF(AP265&lt;=0,0,AO265*MAX(0,('P-Parametri'!$C$31*BL264)-BG264)/AP265)</f>
        <v>26841.602770932161</v>
      </c>
      <c r="AU265" s="18">
        <f>BI264-AM265+IF(AP265&lt;=0,0,AO265*MAX(0,('P-Parametri'!$D$31*BL264)-BI264)/AP265)</f>
        <v>11002.298601929007</v>
      </c>
      <c r="AV265" s="18">
        <f>BJ264-AM265+IF(AP265&lt;=0,0,AO265*MAX(0,('P-Parametri'!$D$31*BL264)-BI264)/AP265)</f>
        <v>2733.5018907947724</v>
      </c>
      <c r="AW265" s="18">
        <f t="shared" si="56"/>
        <v>76464.348450979014</v>
      </c>
      <c r="AX265" s="18">
        <f>AS265*(1+'P-Parametri'!$C$29)</f>
        <v>35741.580729674984</v>
      </c>
      <c r="AY265" s="18">
        <f>AU265*(1+'1-Input'!$B$27)</f>
        <v>10962.690326962062</v>
      </c>
      <c r="AZ265" s="11">
        <f t="shared" si="57"/>
        <v>0.34316986619619949</v>
      </c>
      <c r="BA265" s="11">
        <f t="shared" si="58"/>
        <v>0.24900907506179443</v>
      </c>
      <c r="BB265" s="18">
        <f>IF(BM264=0,0,MIN(MAX(AW265,0),(MAX(0,$B$5-IF($A265&gt;='1-Input'!$C$12,'1-Input'!$B$12,0))-BD265-BC265*(1-'P-Parametri'!$B$7*BA265))/(1-'P-Parametri'!$B$6*AZ265)))</f>
        <v>0</v>
      </c>
      <c r="BC265" s="18">
        <f>IF(BM264=0,0,MIN(MAX(AX265,0),(MAX(0,$B$5-IF($A265&gt;='1-Input'!$C$12,'1-Input'!$B$12,0))-BD265)/(1-'P-Parametri'!$B$7*BA265)))</f>
        <v>9121.2179279989468</v>
      </c>
      <c r="BD265" s="18">
        <f>IF(BM264=0,0,MIN(MAX(AY265,0),MAX(0,$B$5-IF($A265&gt;='1-Input'!$C$12,'1-Input'!$B$12,0))))</f>
        <v>10962.690326962062</v>
      </c>
      <c r="BE265" s="18">
        <f t="shared" si="59"/>
        <v>76464.348450979014</v>
      </c>
      <c r="BF265" s="18">
        <f t="shared" si="60"/>
        <v>50224.088224276973</v>
      </c>
      <c r="BG265" s="18">
        <f t="shared" si="61"/>
        <v>26620.362801676038</v>
      </c>
      <c r="BH265" s="18">
        <f t="shared" si="62"/>
        <v>19991.650882621288</v>
      </c>
      <c r="BI265" s="18">
        <f t="shared" si="63"/>
        <v>0</v>
      </c>
      <c r="BJ265" s="18">
        <f t="shared" si="64"/>
        <v>-8229.1884361672892</v>
      </c>
      <c r="BK265" s="18">
        <f>IF(BM265=0,BK264,BK264+AN265+BB265*AZ265*'P-Parametri'!$B$6+BC265*BA265*'P-Parametri'!$B$7)</f>
        <v>7255.7804639493988</v>
      </c>
      <c r="BL265" s="18">
        <f t="shared" si="40"/>
        <v>103084.71125265505</v>
      </c>
      <c r="BM265" s="10">
        <f>IF(AND(BM264=1,(BD265+BC265*(1-'P-Parametri'!$B$7*BA265)+BB265*(1-'P-Parametri'!$B$6*AZ265))&gt;=MAX(0,$B$5-IF($A265&gt;='1-Input'!$C$12,'1-Input'!$B$12,0))-0.01),1,0)</f>
        <v>1</v>
      </c>
    </row>
    <row r="266" spans="1:65">
      <c r="A266" s="10">
        <f>17</f>
        <v>17</v>
      </c>
      <c r="B266" s="11">
        <f>IF(A266=1,'P-Parametri'!$B$30,IF(A266=2,'P-Parametri'!$C$30,'P-Parametri'!$B$29))</f>
        <v>6.8512000000000003E-2</v>
      </c>
      <c r="C266" s="11">
        <f t="shared" si="41"/>
        <v>0.34268848300485977</v>
      </c>
      <c r="D266" s="11">
        <f t="shared" si="42"/>
        <v>0.18532356983847617</v>
      </c>
      <c r="E266" s="18">
        <f>MAX(0,Y265-('P-Parametri'!$B$31*AF265))</f>
        <v>1605.4306790599003</v>
      </c>
      <c r="F266" s="18">
        <f>MAX(0,AA265-('P-Parametri'!$C$31*AF265))</f>
        <v>0</v>
      </c>
      <c r="G266" s="18">
        <f>MAX(0,AC265-('P-Parametri'!$D$31*AF265))</f>
        <v>0</v>
      </c>
      <c r="H266" s="18">
        <f>E266*C266*'P-Parametri'!$B$6+F266*D266*'P-Parametri'!$B$7</f>
        <v>143.04227703388977</v>
      </c>
      <c r="I266" s="18">
        <f t="shared" si="43"/>
        <v>1462.3884020260105</v>
      </c>
      <c r="J266" s="18">
        <f>MAX(0,('P-Parametri'!$B$31*AF265)-Y265)+MAX(0,('P-Parametri'!$C$31*AF265)-AA265)+MAX(0,('P-Parametri'!$D$31*AF265)-AC265)</f>
        <v>1605.4306790599021</v>
      </c>
      <c r="K266" s="18">
        <f>Y265-E266+IF(J266&lt;=0,0,I266*MAX(0,('P-Parametri'!$B$31*AF265)-Y265)/J266)</f>
        <v>60809.0909373541</v>
      </c>
      <c r="L266" s="18">
        <f>Z265-E266*(1-C266)+IF(J266&lt;=0,0,I266*MAX(0,('P-Parametri'!$B$31*AF265)-Y265)/J266)</f>
        <v>39970.515811127654</v>
      </c>
      <c r="M266" s="18">
        <f>AA265-F266+IF(J266&lt;=0,0,I266*MAX(0,('P-Parametri'!$C$31*AF265)-AA265)/J266)</f>
        <v>30303.282869716706</v>
      </c>
      <c r="N266" s="18">
        <f>AB265-F266*(1-D266)+IF(J266&lt;=0,0,I266*MAX(0,('P-Parametri'!$C$31*AF265)-AA265)/J266)</f>
        <v>24879.22748578863</v>
      </c>
      <c r="O266" s="18">
        <f>AC265-G266+IF(J266&lt;=0,0,I266*MAX(0,('P-Parametri'!$D$31*AF265)-AC265)/J266)</f>
        <v>10093.068811485467</v>
      </c>
      <c r="P266" s="18">
        <f>AD265-G266+IF(J266&lt;=0,0,I266*MAX(0,('P-Parametri'!$D$31*AF265)-AC265)/J266)</f>
        <v>1878.0092578562305</v>
      </c>
      <c r="Q266" s="18">
        <f t="shared" si="44"/>
        <v>64975.2433756541</v>
      </c>
      <c r="R266" s="18">
        <f>M266*(1+'P-Parametri'!$C$29)</f>
        <v>30454.799284065288</v>
      </c>
      <c r="S266" s="18">
        <f>O266*(1+'1-Input'!$B$27)</f>
        <v>10056.733763764119</v>
      </c>
      <c r="T266" s="11">
        <f t="shared" si="45"/>
        <v>0.38483468880542265</v>
      </c>
      <c r="U266" s="11">
        <f t="shared" si="46"/>
        <v>0.18307695106675476</v>
      </c>
      <c r="V266" s="18">
        <f>IF(AG265=0,0,(MIN((Q266+R266+S266),MAX(0,$B$5-IF($A266&gt;='1-Input'!$C$12,'1-Input'!$B$12,0))/(Q266/(Q266+R266+S266)*(1-'P-Parametri'!$B$6*T266)+R266/(Q266+R266+S266)*(1-'P-Parametri'!$B$7*U266)+S266/(Q266+R266+S266))))*Q266/(Q266+R266+S266))</f>
        <v>13089.105029507913</v>
      </c>
      <c r="W266" s="18">
        <f>IF(AG265=0,0,(MIN((Q266+R266+S266),MAX(0,$B$5-IF($A266&gt;='1-Input'!$C$12,'1-Input'!$B$12,0))/(Q266/(Q266+R266+S266)*(1-'P-Parametri'!$B$6*T266)+R266/(Q266+R266+S266)*(1-'P-Parametri'!$B$7*U266)+S266/(Q266+R266+S266))))*R266/(Q266+R266+S266))</f>
        <v>6135.0453768531188</v>
      </c>
      <c r="X266" s="18">
        <f>IF(AG265=0,0,(MIN((Q266+R266+S266),MAX(0,$B$5-IF($A266&gt;='1-Input'!$C$12,'1-Input'!$B$12,0))/(Q266/(Q266+R266+S266)*(1-'P-Parametri'!$B$6*T266)+R266/(Q266+R266+S266)*(1-'P-Parametri'!$B$7*U266)+S266/(Q266+R266+S266))))*S266/(Q266+R266+S266))</f>
        <v>2025.9046007210409</v>
      </c>
      <c r="Y266" s="18">
        <f t="shared" si="47"/>
        <v>51886.138346146188</v>
      </c>
      <c r="Z266" s="18">
        <f t="shared" si="48"/>
        <v>31918.552442391912</v>
      </c>
      <c r="AA266" s="18">
        <f t="shared" si="49"/>
        <v>24319.753907212169</v>
      </c>
      <c r="AB266" s="18">
        <f t="shared" si="50"/>
        <v>19867.36751118597</v>
      </c>
      <c r="AC266" s="18">
        <f t="shared" si="51"/>
        <v>8030.8291630430786</v>
      </c>
      <c r="AD266" s="18">
        <f t="shared" si="52"/>
        <v>-147.89534286481035</v>
      </c>
      <c r="AE266" s="18">
        <f>IF(AG266=0,AE265,AE265+H266+V266*T266*'P-Parametri'!$B$6+W266*U266*'P-Parametri'!$B$7)</f>
        <v>10154.820405847831</v>
      </c>
      <c r="AF266" s="18">
        <f t="shared" si="39"/>
        <v>84236.721416401429</v>
      </c>
      <c r="AG266" s="10">
        <f>IF(AND(AG265=1,(X266+W266*(1-'P-Parametri'!$B$7*U266)+V266*(1-'P-Parametri'!$B$6*T266))&gt;=MAX(0,$B$5-IF($A266&gt;='1-Input'!$C$12,'1-Input'!$B$12,0))-0.01),1,0)</f>
        <v>1</v>
      </c>
      <c r="AI266" s="11">
        <f t="shared" si="53"/>
        <v>0.34316986619619949</v>
      </c>
      <c r="AJ266" s="11">
        <f t="shared" si="54"/>
        <v>0.24900907506179445</v>
      </c>
      <c r="AK266" s="18">
        <f>MAX(0,BE265-('P-Parametri'!$B$31*BL265))</f>
        <v>14613.521699385987</v>
      </c>
      <c r="AL266" s="18">
        <f>MAX(0,BG265-('P-Parametri'!$C$31*BL265))</f>
        <v>0</v>
      </c>
      <c r="AM266" s="18">
        <f>MAX(0,BI265-('P-Parametri'!$D$31*BL265))</f>
        <v>0</v>
      </c>
      <c r="AN266" s="18">
        <f>AK266*AI266*'P-Parametri'!$B$6+AL266*AJ266*'P-Parametri'!$B$7</f>
        <v>1303.8792744207221</v>
      </c>
      <c r="AO266" s="18">
        <f t="shared" si="55"/>
        <v>13309.642424965265</v>
      </c>
      <c r="AP266" s="18">
        <f>MAX(0,('P-Parametri'!$B$31*BL265)-BE265)+MAX(0,('P-Parametri'!$C$31*BL265)-BG265)+MAX(0,('P-Parametri'!$D$31*BL265)-BI265)</f>
        <v>14613.521699385981</v>
      </c>
      <c r="AQ266" s="18">
        <f>BE265-AK266+IF(AP266&lt;=0,0,AO266*MAX(0,('P-Parametri'!$B$31*BL265)-BE265)/AP266)</f>
        <v>61850.826751593027</v>
      </c>
      <c r="AR266" s="18">
        <f>BF265-AK266*(1-AI266)+IF(AP266&lt;=0,0,AO266*MAX(0,('P-Parametri'!$B$31*BL265)-BE265)/AP266)</f>
        <v>40625.486811124531</v>
      </c>
      <c r="AS266" s="18">
        <f>BG265-AL266+IF(AP266&lt;=0,0,AO266*MAX(0,('P-Parametri'!$C$31*BL265)-BG265)/AP266)</f>
        <v>30541.298832129429</v>
      </c>
      <c r="AT266" s="18">
        <f>BH265-AL266*(1-AJ266)+IF(AP266&lt;=0,0,AO266*MAX(0,('P-Parametri'!$C$31*BL265)-BG265)/AP266)</f>
        <v>23912.58691307468</v>
      </c>
      <c r="AU266" s="18">
        <f>BI265-AM266+IF(AP266&lt;=0,0,AO266*MAX(0,('P-Parametri'!$D$31*BL265)-BI265)/AP266)</f>
        <v>9388.7063945118753</v>
      </c>
      <c r="AV266" s="18">
        <f>BJ265-AM266+IF(AP266&lt;=0,0,AO266*MAX(0,('P-Parametri'!$D$31*BL265)-BI265)/AP266)</f>
        <v>1159.5179583445861</v>
      </c>
      <c r="AW266" s="18">
        <f t="shared" si="56"/>
        <v>66088.35059399817</v>
      </c>
      <c r="AX266" s="18">
        <f>AS266*(1+'P-Parametri'!$C$29)</f>
        <v>30694.005326290073</v>
      </c>
      <c r="AY266" s="18">
        <f>AU266*(1+'1-Input'!$B$27)</f>
        <v>9354.907051491633</v>
      </c>
      <c r="AZ266" s="11">
        <f t="shared" si="57"/>
        <v>0.38528520615229361</v>
      </c>
      <c r="BA266" s="11">
        <f t="shared" si="58"/>
        <v>0.22093624931403016</v>
      </c>
      <c r="BB266" s="18">
        <f>IF(BM265=0,0,MIN(MAX(AW266,0),(MAX(0,$B$5-IF($A266&gt;='1-Input'!$C$12,'1-Input'!$B$12,0))-BD266-BC266*(1-'P-Parametri'!$B$7*BA266))/(1-'P-Parametri'!$B$6*AZ266)))</f>
        <v>0</v>
      </c>
      <c r="BC266" s="18">
        <f>IF(BM265=0,0,MIN(MAX(AX266,0),(MAX(0,$B$5-IF($A266&gt;='1-Input'!$C$12,'1-Input'!$B$12,0))-BD266)/(1-'P-Parametri'!$B$7*BA266)))</f>
        <v>10741.748141696155</v>
      </c>
      <c r="BD266" s="18">
        <f>IF(BM265=0,0,MIN(MAX(AY266,0),MAX(0,$B$5-IF($A266&gt;='1-Input'!$C$12,'1-Input'!$B$12,0))))</f>
        <v>9354.907051491633</v>
      </c>
      <c r="BE266" s="18">
        <f t="shared" si="59"/>
        <v>66088.35059399817</v>
      </c>
      <c r="BF266" s="18">
        <f t="shared" si="60"/>
        <v>40625.486811124531</v>
      </c>
      <c r="BG266" s="18">
        <f t="shared" si="61"/>
        <v>19952.257184593916</v>
      </c>
      <c r="BH266" s="18">
        <f t="shared" si="62"/>
        <v>15544.080316880827</v>
      </c>
      <c r="BI266" s="18">
        <f t="shared" si="63"/>
        <v>0</v>
      </c>
      <c r="BJ266" s="18">
        <f t="shared" si="64"/>
        <v>-8195.3890931470469</v>
      </c>
      <c r="BK266" s="18">
        <f>IF(BM266=0,BK265,BK265+AN266+BB266*AZ266*'P-Parametri'!$B$6+BC266*BA266*'P-Parametri'!$B$7)</f>
        <v>8856.3149315579085</v>
      </c>
      <c r="BL266" s="18">
        <f t="shared" si="40"/>
        <v>86040.607778592093</v>
      </c>
      <c r="BM266" s="10">
        <f>IF(AND(BM265=1,(BD266+BC266*(1-'P-Parametri'!$B$7*BA266)+BB266*(1-'P-Parametri'!$B$6*AZ266))&gt;=MAX(0,$B$5-IF($A266&gt;='1-Input'!$C$12,'1-Input'!$B$12,0))-0.01),1,0)</f>
        <v>1</v>
      </c>
    </row>
    <row r="267" spans="1:65">
      <c r="A267" s="10">
        <f>18</f>
        <v>18</v>
      </c>
      <c r="B267" s="11">
        <f>IF(A267=1,'P-Parametri'!$B$30,IF(A267=2,'P-Parametri'!$C$30,'P-Parametri'!$B$29))</f>
        <v>6.8512000000000003E-2</v>
      </c>
      <c r="C267" s="11">
        <f t="shared" si="41"/>
        <v>0.38483468880542265</v>
      </c>
      <c r="D267" s="11">
        <f t="shared" si="42"/>
        <v>0.1830769510667547</v>
      </c>
      <c r="E267" s="18">
        <f>MAX(0,Y266-('P-Parametri'!$B$31*AF266))</f>
        <v>1344.1054963053321</v>
      </c>
      <c r="F267" s="18">
        <f>MAX(0,AA266-('P-Parametri'!$C$31*AF266))</f>
        <v>0</v>
      </c>
      <c r="G267" s="18">
        <f>MAX(0,AC266-('P-Parametri'!$D$31*AF266))</f>
        <v>0</v>
      </c>
      <c r="H267" s="18">
        <f>E267*C267*'P-Parametri'!$B$6+F267*D267*'P-Parametri'!$B$7</f>
        <v>134.48718930200337</v>
      </c>
      <c r="I267" s="18">
        <f t="shared" si="43"/>
        <v>1209.6183070033287</v>
      </c>
      <c r="J267" s="18">
        <f>MAX(0,('P-Parametri'!$B$31*AF266)-Y266)+MAX(0,('P-Parametri'!$C$31*AF266)-AA266)+MAX(0,('P-Parametri'!$D$31*AF266)-AC266)</f>
        <v>1344.1054963053239</v>
      </c>
      <c r="K267" s="18">
        <f>Y266-E267+IF(J267&lt;=0,0,I267*MAX(0,('P-Parametri'!$B$31*AF266)-Y266)/J267)</f>
        <v>50542.032849840856</v>
      </c>
      <c r="L267" s="18">
        <f>Z266-E267*(1-C267)+IF(J267&lt;=0,0,I267*MAX(0,('P-Parametri'!$B$31*AF266)-Y266)/J267)</f>
        <v>31091.705366478902</v>
      </c>
      <c r="M267" s="18">
        <f>AA266-F267+IF(J267&lt;=0,0,I267*MAX(0,('P-Parametri'!$C$31*AF266)-AA266)/J267)</f>
        <v>25175.835933027058</v>
      </c>
      <c r="N267" s="18">
        <f>AB266-F267*(1-D267)+IF(J267&lt;=0,0,I267*MAX(0,('P-Parametri'!$C$31*AF266)-AA266)/J267)</f>
        <v>20723.449537000859</v>
      </c>
      <c r="O267" s="18">
        <f>AC266-G267+IF(J267&lt;=0,0,I267*MAX(0,('P-Parametri'!$D$31*AF266)-AC266)/J267)</f>
        <v>8384.3654442315183</v>
      </c>
      <c r="P267" s="18">
        <f>AD266-G267+IF(J267&lt;=0,0,I267*MAX(0,('P-Parametri'!$D$31*AF266)-AC266)/J267)</f>
        <v>205.64093832362943</v>
      </c>
      <c r="Q267" s="18">
        <f t="shared" si="44"/>
        <v>54004.768604449149</v>
      </c>
      <c r="R267" s="18">
        <f>M267*(1+'P-Parametri'!$C$29)</f>
        <v>25301.715112692189</v>
      </c>
      <c r="S267" s="18">
        <f>O267*(1+'1-Input'!$B$27)</f>
        <v>8354.1817286322839</v>
      </c>
      <c r="T267" s="11">
        <f t="shared" si="45"/>
        <v>0.42427851891735668</v>
      </c>
      <c r="U267" s="11">
        <f t="shared" si="46"/>
        <v>0.18094684709317269</v>
      </c>
      <c r="V267" s="18">
        <f>IF(AG266=0,0,(MIN((Q267+R267+S267),MAX(0,$B$5-IF($A267&gt;='1-Input'!$C$12,'1-Input'!$B$12,0))/(Q267/(Q267+R267+S267)*(1-'P-Parametri'!$B$6*T267)+R267/(Q267+R267+S267)*(1-'P-Parametri'!$B$7*U267)+S267/(Q267+R267+S267))))*Q267/(Q267+R267+S267))</f>
        <v>13179.852404512823</v>
      </c>
      <c r="W267" s="18">
        <f>IF(AG266=0,0,(MIN((Q267+R267+S267),MAX(0,$B$5-IF($A267&gt;='1-Input'!$C$12,'1-Input'!$B$12,0))/(Q267/(Q267+R267+S267)*(1-'P-Parametri'!$B$6*T267)+R267/(Q267+R267+S267)*(1-'P-Parametri'!$B$7*U267)+S267/(Q267+R267+S267))))*R267/(Q267+R267+S267))</f>
        <v>6174.8782447119238</v>
      </c>
      <c r="X267" s="18">
        <f>IF(AG266=0,0,(MIN((Q267+R267+S267),MAX(0,$B$5-IF($A267&gt;='1-Input'!$C$12,'1-Input'!$B$12,0))/(Q267/(Q267+R267+S267)*(1-'P-Parametri'!$B$6*T267)+R267/(Q267+R267+S267)*(1-'P-Parametri'!$B$7*U267)+S267/(Q267+R267+S267))))*S267/(Q267+R267+S267))</f>
        <v>2038.8362914822344</v>
      </c>
      <c r="Y267" s="18">
        <f t="shared" si="47"/>
        <v>40824.916199936328</v>
      </c>
      <c r="Z267" s="18">
        <f t="shared" si="48"/>
        <v>23503.781219702141</v>
      </c>
      <c r="AA267" s="18">
        <f t="shared" si="49"/>
        <v>19126.836867980266</v>
      </c>
      <c r="AB267" s="18">
        <f t="shared" si="50"/>
        <v>15665.896041853783</v>
      </c>
      <c r="AC267" s="18">
        <f t="shared" si="51"/>
        <v>6315.3454371500493</v>
      </c>
      <c r="AD267" s="18">
        <f t="shared" si="52"/>
        <v>-1833.195353158605</v>
      </c>
      <c r="AE267" s="18">
        <f>IF(AG267=0,AE266,AE266+H267+V267*T267*'P-Parametri'!$B$6+W267*U267*'P-Parametri'!$B$7)</f>
        <v>11882.874535856818</v>
      </c>
      <c r="AF267" s="18">
        <f t="shared" si="39"/>
        <v>66267.09850506665</v>
      </c>
      <c r="AG267" s="10">
        <f>IF(AND(AG266=1,(X267+W267*(1-'P-Parametri'!$B$7*U267)+V267*(1-'P-Parametri'!$B$6*T267))&gt;=MAX(0,$B$5-IF($A267&gt;='1-Input'!$C$12,'1-Input'!$B$12,0))-0.01),1,0)</f>
        <v>1</v>
      </c>
      <c r="AI267" s="11">
        <f t="shared" si="53"/>
        <v>0.38528520615229361</v>
      </c>
      <c r="AJ267" s="11">
        <f t="shared" si="54"/>
        <v>0.22093624931403008</v>
      </c>
      <c r="AK267" s="18">
        <f>MAX(0,BE266-('P-Parametri'!$B$31*BL266))</f>
        <v>14463.985926842914</v>
      </c>
      <c r="AL267" s="18">
        <f>MAX(0,BG266-('P-Parametri'!$C$31*BL266))</f>
        <v>0</v>
      </c>
      <c r="AM267" s="18">
        <f>MAX(0,BI266-('P-Parametri'!$D$31*BL266))</f>
        <v>0</v>
      </c>
      <c r="AN267" s="18">
        <f>AK267*AI267*'P-Parametri'!$B$6+AL267*AJ267*'P-Parametri'!$B$7</f>
        <v>1448.9175478979619</v>
      </c>
      <c r="AO267" s="18">
        <f t="shared" si="55"/>
        <v>13015.068378944952</v>
      </c>
      <c r="AP267" s="18">
        <f>MAX(0,('P-Parametri'!$B$31*BL266)-BE266)+MAX(0,('P-Parametri'!$C$31*BL266)-BG266)+MAX(0,('P-Parametri'!$D$31*BL266)-BI266)</f>
        <v>14463.985926842921</v>
      </c>
      <c r="AQ267" s="18">
        <f>BE266-AK267+IF(AP267&lt;=0,0,AO267*MAX(0,('P-Parametri'!$B$31*BL266)-BE266)/AP267)</f>
        <v>51624.364667155256</v>
      </c>
      <c r="AR267" s="18">
        <f>BF266-AK267*(1-AI267)+IF(AP267&lt;=0,0,AO267*MAX(0,('P-Parametri'!$B$31*BL266)-BE266)/AP267)</f>
        <v>31734.260683889162</v>
      </c>
      <c r="AS267" s="18">
        <f>BG266-AL267+IF(AP267&lt;=0,0,AO267*MAX(0,('P-Parametri'!$C$31*BL266)-BG266)/AP267)</f>
        <v>25225.169291621194</v>
      </c>
      <c r="AT267" s="18">
        <f>BH266-AL267*(1-AJ267)+IF(AP267&lt;=0,0,AO267*MAX(0,('P-Parametri'!$C$31*BL266)-BG266)/AP267)</f>
        <v>20816.992423908105</v>
      </c>
      <c r="AU267" s="18">
        <f>BI266-AM267+IF(AP267&lt;=0,0,AO267*MAX(0,('P-Parametri'!$D$31*BL266)-BI266)/AP267)</f>
        <v>7742.1562719176745</v>
      </c>
      <c r="AV267" s="18">
        <f>BJ266-AM267+IF(AP267&lt;=0,0,AO267*MAX(0,('P-Parametri'!$D$31*BL266)-BI266)/AP267)</f>
        <v>-453.23282122937235</v>
      </c>
      <c r="AW267" s="18">
        <f t="shared" si="56"/>
        <v>55161.25313923139</v>
      </c>
      <c r="AX267" s="18">
        <f>AS267*(1+'P-Parametri'!$C$29)</f>
        <v>25351.295138079298</v>
      </c>
      <c r="AY267" s="18">
        <f>AU267*(1+'1-Input'!$B$27)</f>
        <v>7714.2845093387705</v>
      </c>
      <c r="AZ267" s="11">
        <f t="shared" si="57"/>
        <v>0.42470014950912438</v>
      </c>
      <c r="BA267" s="11">
        <f t="shared" si="58"/>
        <v>0.17885881922302169</v>
      </c>
      <c r="BB267" s="18">
        <f>IF(BM266=0,0,MIN(MAX(AW267,0),(MAX(0,$B$5-IF($A267&gt;='1-Input'!$C$12,'1-Input'!$B$12,0))-BD267-BC267*(1-'P-Parametri'!$B$7*BA267))/(1-'P-Parametri'!$B$6*AZ267)))</f>
        <v>0</v>
      </c>
      <c r="BC267" s="18">
        <f>IF(BM266=0,0,MIN(MAX(AX267,0),(MAX(0,$B$5-IF($A267&gt;='1-Input'!$C$12,'1-Input'!$B$12,0))-BD267)/(1-'P-Parametri'!$B$7*BA267)))</f>
        <v>12362.099301177013</v>
      </c>
      <c r="BD267" s="18">
        <f>IF(BM266=0,0,MIN(MAX(AY267,0),MAX(0,$B$5-IF($A267&gt;='1-Input'!$C$12,'1-Input'!$B$12,0))))</f>
        <v>7714.2845093387705</v>
      </c>
      <c r="BE267" s="18">
        <f t="shared" si="59"/>
        <v>55161.25313923139</v>
      </c>
      <c r="BF267" s="18">
        <f t="shared" si="60"/>
        <v>31734.260683889162</v>
      </c>
      <c r="BG267" s="18">
        <f t="shared" si="61"/>
        <v>12989.195836902285</v>
      </c>
      <c r="BH267" s="18">
        <f t="shared" si="62"/>
        <v>10665.963606857355</v>
      </c>
      <c r="BI267" s="18">
        <f t="shared" si="63"/>
        <v>0</v>
      </c>
      <c r="BJ267" s="18">
        <f t="shared" si="64"/>
        <v>-8167.5173305681428</v>
      </c>
      <c r="BK267" s="18">
        <f>IF(BM267=0,BK266,BK266+AN267+BB267*AZ267*'P-Parametri'!$B$6+BC267*BA267*'P-Parametri'!$B$7)</f>
        <v>10581.616289971653</v>
      </c>
      <c r="BL267" s="18">
        <f t="shared" si="40"/>
        <v>68150.448976133674</v>
      </c>
      <c r="BM267" s="10">
        <f>IF(AND(BM266=1,(BD267+BC267*(1-'P-Parametri'!$B$7*BA267)+BB267*(1-'P-Parametri'!$B$6*AZ267))&gt;=MAX(0,$B$5-IF($A267&gt;='1-Input'!$C$12,'1-Input'!$B$12,0))-0.01),1,0)</f>
        <v>1</v>
      </c>
    </row>
    <row r="268" spans="1:65">
      <c r="A268" s="10">
        <f>19</f>
        <v>19</v>
      </c>
      <c r="B268" s="11">
        <f>IF(A268=1,'P-Parametri'!$B$30,IF(A268=2,'P-Parametri'!$C$30,'P-Parametri'!$B$29))</f>
        <v>6.8512000000000003E-2</v>
      </c>
      <c r="C268" s="11">
        <f t="shared" si="41"/>
        <v>0.42427851891735668</v>
      </c>
      <c r="D268" s="11">
        <f t="shared" si="42"/>
        <v>0.18094684709317271</v>
      </c>
      <c r="E268" s="18">
        <f>MAX(0,Y267-('P-Parametri'!$B$31*AF267))</f>
        <v>1064.6570968963424</v>
      </c>
      <c r="F268" s="18">
        <f>MAX(0,AA267-('P-Parametri'!$C$31*AF267))</f>
        <v>0</v>
      </c>
      <c r="G268" s="18">
        <f>MAX(0,AC267-('P-Parametri'!$D$31*AF267))</f>
        <v>0</v>
      </c>
      <c r="H268" s="18">
        <f>E268*C268*'P-Parametri'!$B$6+F268*D268*'P-Parametri'!$B$7</f>
        <v>117.44489541876855</v>
      </c>
      <c r="I268" s="18">
        <f t="shared" si="43"/>
        <v>947.2122014775739</v>
      </c>
      <c r="J268" s="18">
        <f>MAX(0,('P-Parametri'!$B$31*AF267)-Y267)+MAX(0,('P-Parametri'!$C$31*AF267)-AA267)+MAX(0,('P-Parametri'!$D$31*AF267)-AC267)</f>
        <v>1064.6570968963424</v>
      </c>
      <c r="K268" s="18">
        <f>Y267-E268+IF(J268&lt;=0,0,I268*MAX(0,('P-Parametri'!$B$31*AF267)-Y267)/J268)</f>
        <v>39760.259103039985</v>
      </c>
      <c r="L268" s="18">
        <f>Z267-E268*(1-C268)+IF(J268&lt;=0,0,I268*MAX(0,('P-Parametri'!$B$31*AF267)-Y267)/J268)</f>
        <v>22890.835259031832</v>
      </c>
      <c r="M268" s="18">
        <f>AA267-F268+IF(J268&lt;=0,0,I268*MAX(0,('P-Parametri'!$C$31*AF267)-AA267)/J268)</f>
        <v>19797.032016458277</v>
      </c>
      <c r="N268" s="18">
        <f>AB267-F268*(1-D268)+IF(J268&lt;=0,0,I268*MAX(0,('P-Parametri'!$C$31*AF267)-AA267)/J268)</f>
        <v>16336.091190331796</v>
      </c>
      <c r="O268" s="18">
        <f>AC267-G268+IF(J268&lt;=0,0,I268*MAX(0,('P-Parametri'!$D$31*AF267)-AC267)/J268)</f>
        <v>6592.3624901496105</v>
      </c>
      <c r="P268" s="18">
        <f>AD267-G268+IF(J268&lt;=0,0,I268*MAX(0,('P-Parametri'!$D$31*AF267)-AC267)/J268)</f>
        <v>-1556.1783001590434</v>
      </c>
      <c r="Q268" s="18">
        <f t="shared" si="44"/>
        <v>42484.31397470746</v>
      </c>
      <c r="R268" s="18">
        <f>M268*(1+'P-Parametri'!$C$29)</f>
        <v>19896.017176540565</v>
      </c>
      <c r="S268" s="18">
        <f>O268*(1+'1-Input'!$B$27)</f>
        <v>6568.6299851850717</v>
      </c>
      <c r="T268" s="11">
        <f t="shared" si="45"/>
        <v>0.46119324716742222</v>
      </c>
      <c r="U268" s="11">
        <f t="shared" si="46"/>
        <v>0.17892656377509994</v>
      </c>
      <c r="V268" s="18">
        <f>IF(AG267=0,0,(MIN((Q268+R268+S268),MAX(0,$B$5-IF($A268&gt;='1-Input'!$C$12,'1-Input'!$B$12,0))/(Q268/(Q268+R268+S268)*(1-'P-Parametri'!$B$6*T268)+R268/(Q268+R268+S268)*(1-'P-Parametri'!$B$7*U268)+S268/(Q268+R268+S268))))*Q268/(Q268+R268+S268))</f>
        <v>13265.949354359835</v>
      </c>
      <c r="W268" s="18">
        <f>IF(AG267=0,0,(MIN((Q268+R268+S268),MAX(0,$B$5-IF($A268&gt;='1-Input'!$C$12,'1-Input'!$B$12,0))/(Q268/(Q268+R268+S268)*(1-'P-Parametri'!$B$6*T268)+R268/(Q268+R268+S268)*(1-'P-Parametri'!$B$7*U268)+S268/(Q268+R268+S268))))*R268/(Q268+R268+S268))</f>
        <v>6212.6354770514545</v>
      </c>
      <c r="X268" s="18">
        <f>IF(AG267=0,0,(MIN((Q268+R268+S268),MAX(0,$B$5-IF($A268&gt;='1-Input'!$C$12,'1-Input'!$B$12,0))/(Q268/(Q268+R268+S268)*(1-'P-Parametri'!$B$6*T268)+R268/(Q268+R268+S268)*(1-'P-Parametri'!$B$7*U268)+S268/(Q268+R268+S268))))*S268/(Q268+R268+S268))</f>
        <v>2051.0890857946256</v>
      </c>
      <c r="Y268" s="18">
        <f t="shared" si="47"/>
        <v>29218.364620347624</v>
      </c>
      <c r="Z268" s="18">
        <f t="shared" si="48"/>
        <v>15743.052164167777</v>
      </c>
      <c r="AA268" s="18">
        <f t="shared" si="49"/>
        <v>13683.381699489109</v>
      </c>
      <c r="AB268" s="18">
        <f t="shared" si="50"/>
        <v>11235.061231176438</v>
      </c>
      <c r="AC268" s="18">
        <f t="shared" si="51"/>
        <v>4517.5408993904457</v>
      </c>
      <c r="AD268" s="18">
        <f t="shared" si="52"/>
        <v>-3607.267385953669</v>
      </c>
      <c r="AE268" s="18">
        <f>IF(AG268=0,AE267,AE267+H268+V268*T268*'P-Parametri'!$B$6+W268*U268*'P-Parametri'!$B$7)</f>
        <v>13729.993348481501</v>
      </c>
      <c r="AF268" s="18">
        <f t="shared" si="39"/>
        <v>47419.287219227175</v>
      </c>
      <c r="AG268" s="10">
        <f>IF(AND(AG267=1,(X268+W268*(1-'P-Parametri'!$B$7*U268)+V268*(1-'P-Parametri'!$B$6*T268))&gt;=MAX(0,$B$5-IF($A268&gt;='1-Input'!$C$12,'1-Input'!$B$12,0))-0.01),1,0)</f>
        <v>1</v>
      </c>
      <c r="AI268" s="11">
        <f t="shared" si="53"/>
        <v>0.42470014950912438</v>
      </c>
      <c r="AJ268" s="11">
        <f t="shared" si="54"/>
        <v>0.1788588192230216</v>
      </c>
      <c r="AK268" s="18">
        <f>MAX(0,BE267-('P-Parametri'!$B$31*BL267))</f>
        <v>14270.983753551191</v>
      </c>
      <c r="AL268" s="18">
        <f>MAX(0,BG267-('P-Parametri'!$C$31*BL267))</f>
        <v>0</v>
      </c>
      <c r="AM268" s="18">
        <f>MAX(0,BI267-('P-Parametri'!$D$31*BL267))</f>
        <v>0</v>
      </c>
      <c r="AN268" s="18">
        <f>AK268*AI268*'P-Parametri'!$B$6+AL268*AJ268*'P-Parametri'!$B$7</f>
        <v>1575.8311227816237</v>
      </c>
      <c r="AO268" s="18">
        <f t="shared" si="55"/>
        <v>12695.152630769568</v>
      </c>
      <c r="AP268" s="18">
        <f>MAX(0,('P-Parametri'!$B$31*BL267)-BE267)+MAX(0,('P-Parametri'!$C$31*BL267)-BG267)+MAX(0,('P-Parametri'!$D$31*BL267)-BI267)</f>
        <v>14270.983753551183</v>
      </c>
      <c r="AQ268" s="18">
        <f>BE267-AK268+IF(AP268&lt;=0,0,AO268*MAX(0,('P-Parametri'!$B$31*BL267)-BE267)/AP268)</f>
        <v>40890.2693856802</v>
      </c>
      <c r="AR268" s="18">
        <f>BF267-AK268*(1-AI268)+IF(AP268&lt;=0,0,AO268*MAX(0,('P-Parametri'!$B$31*BL267)-BE267)/AP268)</f>
        <v>23524.165864113449</v>
      </c>
      <c r="AS268" s="18">
        <f>BG267-AL268+IF(AP268&lt;=0,0,AO268*MAX(0,('P-Parametri'!$C$31*BL267)-BG267)/AP268)</f>
        <v>19621.834722659707</v>
      </c>
      <c r="AT268" s="18">
        <f>BH267-AL268*(1-AJ268)+IF(AP268&lt;=0,0,AO268*MAX(0,('P-Parametri'!$C$31*BL267)-BG267)/AP268)</f>
        <v>17298.602492614777</v>
      </c>
      <c r="AU268" s="18">
        <f>BI267-AM268+IF(AP268&lt;=0,0,AO268*MAX(0,('P-Parametri'!$D$31*BL267)-BI267)/AP268)</f>
        <v>6062.5137450121447</v>
      </c>
      <c r="AV268" s="18">
        <f>BJ267-AM268+IF(AP268&lt;=0,0,AO268*MAX(0,('P-Parametri'!$D$31*BL267)-BI267)/AP268)</f>
        <v>-2105.0035855559981</v>
      </c>
      <c r="AW268" s="18">
        <f t="shared" si="56"/>
        <v>43691.743521831915</v>
      </c>
      <c r="AX268" s="18">
        <f>AS268*(1+'P-Parametri'!$C$29)</f>
        <v>19719.943896273002</v>
      </c>
      <c r="AY268" s="18">
        <f>AU268*(1+'1-Input'!$B$27)</f>
        <v>6040.6886955301006</v>
      </c>
      <c r="AZ268" s="11">
        <f t="shared" si="57"/>
        <v>0.46158784319607477</v>
      </c>
      <c r="BA268" s="11">
        <f t="shared" si="58"/>
        <v>0.12278642456563227</v>
      </c>
      <c r="BB268" s="18">
        <f>IF(BM267=0,0,MIN(MAX(AW268,0),(MAX(0,$B$5-IF($A268&gt;='1-Input'!$C$12,'1-Input'!$B$12,0))-BD268-BC268*(1-'P-Parametri'!$B$7*BA268))/(1-'P-Parametri'!$B$6*AZ268)))</f>
        <v>0</v>
      </c>
      <c r="BC268" s="18">
        <f>IF(BM267=0,0,MIN(MAX(AX268,0),(MAX(0,$B$5-IF($A268&gt;='1-Input'!$C$12,'1-Input'!$B$12,0))-BD268)/(1-'P-Parametri'!$B$7*BA268)))</f>
        <v>13973.785194682807</v>
      </c>
      <c r="BD268" s="18">
        <f>IF(BM267=0,0,MIN(MAX(AY268,0),MAX(0,$B$5-IF($A268&gt;='1-Input'!$C$12,'1-Input'!$B$12,0))))</f>
        <v>6040.6886955301006</v>
      </c>
      <c r="BE268" s="18">
        <f t="shared" si="59"/>
        <v>43691.743521831915</v>
      </c>
      <c r="BF268" s="18">
        <f t="shared" si="60"/>
        <v>23524.165864113449</v>
      </c>
      <c r="BG268" s="18">
        <f t="shared" si="61"/>
        <v>5746.1587015901951</v>
      </c>
      <c r="BH268" s="18">
        <f t="shared" si="62"/>
        <v>5040.6084196352385</v>
      </c>
      <c r="BI268" s="18">
        <f t="shared" si="63"/>
        <v>0</v>
      </c>
      <c r="BJ268" s="18">
        <f t="shared" si="64"/>
        <v>-8145.6922810860988</v>
      </c>
      <c r="BK268" s="18">
        <f>IF(BM268=0,BK267,BK267+AN268+BB268*AZ268*'P-Parametri'!$B$6+BC268*BA268*'P-Parametri'!$B$7)</f>
        <v>12371.921302966184</v>
      </c>
      <c r="BL268" s="18">
        <f t="shared" si="40"/>
        <v>49437.902223422112</v>
      </c>
      <c r="BM268" s="10">
        <f>IF(AND(BM267=1,(BD268+BC268*(1-'P-Parametri'!$B$7*BA268)+BB268*(1-'P-Parametri'!$B$6*AZ268))&gt;=MAX(0,$B$5-IF($A268&gt;='1-Input'!$C$12,'1-Input'!$B$12,0))-0.01),1,0)</f>
        <v>1</v>
      </c>
    </row>
    <row r="269" spans="1:65">
      <c r="A269" s="10">
        <f>20</f>
        <v>20</v>
      </c>
      <c r="B269" s="11">
        <f>IF(A269=1,'P-Parametri'!$B$30,IF(A269=2,'P-Parametri'!$C$30,'P-Parametri'!$B$29))</f>
        <v>6.8512000000000003E-2</v>
      </c>
      <c r="C269" s="11">
        <f t="shared" si="41"/>
        <v>0.46119324716742222</v>
      </c>
      <c r="D269" s="11">
        <f t="shared" si="42"/>
        <v>0.17892656377509977</v>
      </c>
      <c r="E269" s="18">
        <f>MAX(0,Y268-('P-Parametri'!$B$31*AF268))</f>
        <v>766.79228881132076</v>
      </c>
      <c r="F269" s="18">
        <f>MAX(0,AA268-('P-Parametri'!$C$31*AF268))</f>
        <v>0</v>
      </c>
      <c r="G269" s="18">
        <f>MAX(0,AC268-('P-Parametri'!$D$31*AF268))</f>
        <v>0</v>
      </c>
      <c r="H269" s="18">
        <f>E269*C269*'P-Parametri'!$B$6+F269*D269*'P-Parametri'!$B$7</f>
        <v>91.946250650756539</v>
      </c>
      <c r="I269" s="18">
        <f t="shared" si="43"/>
        <v>674.84603816056426</v>
      </c>
      <c r="J269" s="18">
        <f>MAX(0,('P-Parametri'!$B$31*AF268)-Y268)+MAX(0,('P-Parametri'!$C$31*AF268)-AA268)+MAX(0,('P-Parametri'!$D$31*AF268)-AC268)</f>
        <v>766.79228881131439</v>
      </c>
      <c r="K269" s="18">
        <f>Y268-E269+IF(J269&lt;=0,0,I269*MAX(0,('P-Parametri'!$B$31*AF268)-Y268)/J269)</f>
        <v>28451.572331536303</v>
      </c>
      <c r="L269" s="18">
        <f>Z268-E269*(1-C269)+IF(J269&lt;=0,0,I269*MAX(0,('P-Parametri'!$B$31*AF268)-Y268)/J269)</f>
        <v>15329.899300936289</v>
      </c>
      <c r="M269" s="18">
        <f>AA268-F269+IF(J269&lt;=0,0,I269*MAX(0,('P-Parametri'!$C$31*AF268)-AA268)/J269)</f>
        <v>14160.746313727006</v>
      </c>
      <c r="N269" s="18">
        <f>AB268-F269*(1-D269)+IF(J269&lt;=0,0,I269*MAX(0,('P-Parametri'!$C$31*AF268)-AA268)/J269)</f>
        <v>11712.425845414335</v>
      </c>
      <c r="O269" s="18">
        <f>AC268-G269+IF(J269&lt;=0,0,I269*MAX(0,('P-Parametri'!$D$31*AF268)-AC268)/J269)</f>
        <v>4715.0223233131137</v>
      </c>
      <c r="P269" s="18">
        <f>AD268-G269+IF(J269&lt;=0,0,I269*MAX(0,('P-Parametri'!$D$31*AF268)-AC268)/J269)</f>
        <v>-3409.7859620310014</v>
      </c>
      <c r="Q269" s="18">
        <f t="shared" si="44"/>
        <v>30400.846455114515</v>
      </c>
      <c r="R269" s="18">
        <f>M269*(1+'P-Parametri'!$C$29)</f>
        <v>14231.55004529564</v>
      </c>
      <c r="S269" s="18">
        <f>O269*(1+'1-Input'!$B$27)</f>
        <v>4698.0482429491867</v>
      </c>
      <c r="T269" s="11">
        <f t="shared" si="45"/>
        <v>0.49574103722505891</v>
      </c>
      <c r="U269" s="11">
        <f t="shared" si="46"/>
        <v>0.17700982618643313</v>
      </c>
      <c r="V269" s="18">
        <f>IF(AG268=0,0,(MIN((Q269+R269+S269),MAX(0,$B$5-IF($A269&gt;='1-Input'!$C$12,'1-Input'!$B$12,0))/(Q269/(Q269+R269+S269)*(1-'P-Parametri'!$B$6*T269)+R269/(Q269+R269+S269)*(1-'P-Parametri'!$B$7*U269)+S269/(Q269+R269+S269))))*Q269/(Q269+R269+S269))</f>
        <v>13347.568991963371</v>
      </c>
      <c r="W269" s="18">
        <f>IF(AG268=0,0,(MIN((Q269+R269+S269),MAX(0,$B$5-IF($A269&gt;='1-Input'!$C$12,'1-Input'!$B$12,0))/(Q269/(Q269+R269+S269)*(1-'P-Parametri'!$B$6*T269)+R269/(Q269+R269+S269)*(1-'P-Parametri'!$B$7*U269)+S269/(Q269+R269+S269))))*R269/(Q269+R269+S269))</f>
        <v>6248.3982599834981</v>
      </c>
      <c r="X269" s="18">
        <f>IF(AG268=0,0,(MIN((Q269+R269+S269),MAX(0,$B$5-IF($A269&gt;='1-Input'!$C$12,'1-Input'!$B$12,0))/(Q269/(Q269+R269+S269)*(1-'P-Parametri'!$B$6*T269)+R269/(Q269+R269+S269)*(1-'P-Parametri'!$B$7*U269)+S269/(Q269+R269+S269))))*S269/(Q269+R269+S269))</f>
        <v>2062.6900353883702</v>
      </c>
      <c r="Y269" s="18">
        <f t="shared" si="47"/>
        <v>17053.277463151142</v>
      </c>
      <c r="Z269" s="18">
        <f t="shared" si="48"/>
        <v>8599.2680054818738</v>
      </c>
      <c r="AA269" s="18">
        <f t="shared" si="49"/>
        <v>7983.1517853121422</v>
      </c>
      <c r="AB269" s="18">
        <f t="shared" si="50"/>
        <v>6570.0554753741271</v>
      </c>
      <c r="AC269" s="18">
        <f t="shared" si="51"/>
        <v>2635.3582075608165</v>
      </c>
      <c r="AD269" s="18">
        <f t="shared" si="52"/>
        <v>-5472.4759974193712</v>
      </c>
      <c r="AE269" s="18">
        <f>IF(AG269=0,AE268,AE268+H269+V269*T269*'P-Parametri'!$B$6+W269*U269*'P-Parametri'!$B$7)</f>
        <v>15680.596886467498</v>
      </c>
      <c r="AF269" s="18">
        <f t="shared" si="39"/>
        <v>27671.7874560241</v>
      </c>
      <c r="AG269" s="10">
        <f>IF(AND(AG268=1,(X269+W269*(1-'P-Parametri'!$B$7*U269)+V269*(1-'P-Parametri'!$B$6*T269))&gt;=MAX(0,$B$5-IF($A269&gt;='1-Input'!$C$12,'1-Input'!$B$12,0))-0.01),1,0)</f>
        <v>1</v>
      </c>
      <c r="AI269" s="11">
        <f t="shared" si="53"/>
        <v>0.46158784319607477</v>
      </c>
      <c r="AJ269" s="11">
        <f t="shared" si="54"/>
        <v>0.12278642456563237</v>
      </c>
      <c r="AK269" s="18">
        <f>MAX(0,BE268-('P-Parametri'!$B$31*BL268))</f>
        <v>14029.002187778649</v>
      </c>
      <c r="AL269" s="18">
        <f>MAX(0,BG268-('P-Parametri'!$C$31*BL268))</f>
        <v>0</v>
      </c>
      <c r="AM269" s="18">
        <f>MAX(0,BI268-('P-Parametri'!$D$31*BL268))</f>
        <v>0</v>
      </c>
      <c r="AN269" s="18">
        <f>AK269*AI269*'P-Parametri'!$B$6+AL269*AJ269*'P-Parametri'!$B$7</f>
        <v>1683.6603841329379</v>
      </c>
      <c r="AO269" s="18">
        <f t="shared" si="55"/>
        <v>12345.341803645711</v>
      </c>
      <c r="AP269" s="18">
        <f>MAX(0,('P-Parametri'!$B$31*BL268)-BE268)+MAX(0,('P-Parametri'!$C$31*BL268)-BG268)+MAX(0,('P-Parametri'!$D$31*BL268)-BI268)</f>
        <v>14029.002187778649</v>
      </c>
      <c r="AQ269" s="18">
        <f>BE268-AK269+IF(AP269&lt;=0,0,AO269*MAX(0,('P-Parametri'!$B$31*BL268)-BE268)/AP269)</f>
        <v>29662.741334053266</v>
      </c>
      <c r="AR269" s="18">
        <f>BF268-AK269*(1-AI269)+IF(AP269&lt;=0,0,AO269*MAX(0,('P-Parametri'!$B$31*BL268)-BE268)/AP269)</f>
        <v>15970.780538384559</v>
      </c>
      <c r="AS269" s="18">
        <f>BG268-AL269+IF(AP269&lt;=0,0,AO269*MAX(0,('P-Parametri'!$C$31*BL268)-BG268)/AP269)</f>
        <v>13741.028584039339</v>
      </c>
      <c r="AT269" s="18">
        <f>BH268-AL269*(1-AJ269)+IF(AP269&lt;=0,0,AO269*MAX(0,('P-Parametri'!$C$31*BL268)-BG268)/AP269)</f>
        <v>13035.478302084382</v>
      </c>
      <c r="AU269" s="18">
        <f>BI268-AM269+IF(AP269&lt;=0,0,AO269*MAX(0,('P-Parametri'!$D$31*BL268)-BI268)/AP269)</f>
        <v>4350.4719211965676</v>
      </c>
      <c r="AV269" s="18">
        <f>BJ268-AM269+IF(AP269&lt;=0,0,AO269*MAX(0,('P-Parametri'!$D$31*BL268)-BI268)/AP269)</f>
        <v>-3795.2203598895312</v>
      </c>
      <c r="AW269" s="18">
        <f t="shared" si="56"/>
        <v>31694.995068331922</v>
      </c>
      <c r="AX269" s="18">
        <f>AS269*(1+'P-Parametri'!$C$29)</f>
        <v>13809.733726959534</v>
      </c>
      <c r="AY269" s="18">
        <f>AU269*(1+'1-Input'!$B$27)</f>
        <v>4334.8102222802599</v>
      </c>
      <c r="AZ269" s="11">
        <f t="shared" si="57"/>
        <v>0.49611033212174954</v>
      </c>
      <c r="BA269" s="11">
        <f t="shared" si="58"/>
        <v>5.6065919892694251E-2</v>
      </c>
      <c r="BB269" s="18">
        <f>IF(BM268=0,0,MIN(MAX(AW269,0),(MAX(0,$B$5-IF($A269&gt;='1-Input'!$C$12,'1-Input'!$B$12,0))-BD269-BC269*(1-'P-Parametri'!$B$7*BA269))/(1-'P-Parametri'!$B$6*AZ269)))</f>
        <v>2011.7281502695084</v>
      </c>
      <c r="BC269" s="18">
        <f>IF(BM268=0,0,MIN(MAX(AX269,0),(MAX(0,$B$5-IF($A269&gt;='1-Input'!$C$12,'1-Input'!$B$12,0))-BD269)/(1-'P-Parametri'!$B$7*BA269)))</f>
        <v>13809.733726959534</v>
      </c>
      <c r="BD269" s="18">
        <f>IF(BM268=0,0,MIN(MAX(AY269,0),MAX(0,$B$5-IF($A269&gt;='1-Input'!$C$12,'1-Input'!$B$12,0))))</f>
        <v>4334.8102222802599</v>
      </c>
      <c r="BE269" s="18">
        <f t="shared" si="59"/>
        <v>29683.266918062414</v>
      </c>
      <c r="BF269" s="18">
        <f t="shared" si="60"/>
        <v>14957.091508883928</v>
      </c>
      <c r="BG269" s="18">
        <f t="shared" si="61"/>
        <v>0</v>
      </c>
      <c r="BH269" s="18">
        <f t="shared" si="62"/>
        <v>0</v>
      </c>
      <c r="BI269" s="18">
        <f t="shared" si="63"/>
        <v>0</v>
      </c>
      <c r="BJ269" s="18">
        <f t="shared" si="64"/>
        <v>-8130.0305821697912</v>
      </c>
      <c r="BK269" s="18">
        <f>IF(BM269=0,BK268,BK268+AN269+BB269*AZ269*'P-Parametri'!$B$6+BC269*BA269*'P-Parametri'!$B$7)</f>
        <v>14411.853786608424</v>
      </c>
      <c r="BL269" s="18">
        <f t="shared" si="40"/>
        <v>29683.266918062414</v>
      </c>
      <c r="BM269" s="10">
        <f>IF(AND(BM268=1,(BD269+BC269*(1-'P-Parametri'!$B$7*BA269)+BB269*(1-'P-Parametri'!$B$6*AZ269))&gt;=MAX(0,$B$5-IF($A269&gt;='1-Input'!$C$12,'1-Input'!$B$12,0))-0.01),1,0)</f>
        <v>1</v>
      </c>
    </row>
    <row r="270" spans="1:65">
      <c r="A270" s="10">
        <f>21</f>
        <v>21</v>
      </c>
      <c r="B270" s="11">
        <f>IF(A270=1,'P-Parametri'!$B$30,IF(A270=2,'P-Parametri'!$C$30,'P-Parametri'!$B$29))</f>
        <v>6.8512000000000003E-2</v>
      </c>
      <c r="C270" s="11">
        <f t="shared" si="41"/>
        <v>0.49574103722505891</v>
      </c>
      <c r="D270" s="11">
        <f t="shared" si="42"/>
        <v>0.17700982618643307</v>
      </c>
      <c r="E270" s="18">
        <f>MAX(0,Y269-('P-Parametri'!$B$31*AF269))</f>
        <v>450.20498953668357</v>
      </c>
      <c r="F270" s="18">
        <f>MAX(0,AA269-('P-Parametri'!$C$31*AF269))</f>
        <v>0</v>
      </c>
      <c r="G270" s="18">
        <f>MAX(0,AC269-('P-Parametri'!$D$31*AF269))</f>
        <v>0</v>
      </c>
      <c r="H270" s="18">
        <f>E270*C270*'P-Parametri'!$B$6+F270*D270*'P-Parametri'!$B$7</f>
        <v>58.028123003971196</v>
      </c>
      <c r="I270" s="18">
        <f t="shared" si="43"/>
        <v>392.17686653271238</v>
      </c>
      <c r="J270" s="18">
        <f>MAX(0,('P-Parametri'!$B$31*AF269)-Y269)+MAX(0,('P-Parametri'!$C$31*AF269)-AA269)+MAX(0,('P-Parametri'!$D$31*AF269)-AC269)</f>
        <v>450.20498953668084</v>
      </c>
      <c r="K270" s="18">
        <f>Y269-E270+IF(J270&lt;=0,0,I270*MAX(0,('P-Parametri'!$B$31*AF269)-Y269)/J270)</f>
        <v>16603.072473614458</v>
      </c>
      <c r="L270" s="18">
        <f>Z269-E270*(1-C270)+IF(J270&lt;=0,0,I270*MAX(0,('P-Parametri'!$B$31*AF269)-Y269)/J270)</f>
        <v>8372.2481044220021</v>
      </c>
      <c r="M270" s="18">
        <f>AA269-F270+IF(J270&lt;=0,0,I270*MAX(0,('P-Parametri'!$C$31*AF269)-AA269)/J270)</f>
        <v>8260.4988148698994</v>
      </c>
      <c r="N270" s="18">
        <f>AB269-F270*(1-D270)+IF(J270&lt;=0,0,I270*MAX(0,('P-Parametri'!$C$31*AF269)-AA269)/J270)</f>
        <v>6847.4025049318843</v>
      </c>
      <c r="O270" s="18">
        <f>AC269-G270+IF(J270&lt;=0,0,I270*MAX(0,('P-Parametri'!$D$31*AF269)-AC269)/J270)</f>
        <v>2750.188044535772</v>
      </c>
      <c r="P270" s="18">
        <f>AD269-G270+IF(J270&lt;=0,0,I270*MAX(0,('P-Parametri'!$D$31*AF269)-AC269)/J270)</f>
        <v>-5357.6461604444157</v>
      </c>
      <c r="Q270" s="18">
        <f t="shared" si="44"/>
        <v>17740.582174926731</v>
      </c>
      <c r="R270" s="18">
        <f>M270*(1+'P-Parametri'!$C$29)</f>
        <v>8301.8013089442484</v>
      </c>
      <c r="S270" s="18">
        <f>O270*(1+'1-Input'!$B$27)</f>
        <v>2740.2873675754431</v>
      </c>
      <c r="T270" s="11">
        <f t="shared" si="45"/>
        <v>0.52807365497538528</v>
      </c>
      <c r="U270" s="11">
        <f t="shared" si="46"/>
        <v>0.17519075076458582</v>
      </c>
      <c r="V270" s="18">
        <f>IF(AG269=0,0,(MIN((Q270+R270+S270),MAX(0,$B$5-IF($A270&gt;='1-Input'!$C$12,'1-Input'!$B$12,0))/(Q270/(Q270+R270+S270)*(1-'P-Parametri'!$B$6*T270)+R270/(Q270+R270+S270)*(1-'P-Parametri'!$B$7*U270)+S270/(Q270+R270+S270))))*Q270/(Q270+R270+S270))</f>
        <v>13424.885494396558</v>
      </c>
      <c r="W270" s="18">
        <f>IF(AG269=0,0,(MIN((Q270+R270+S270),MAX(0,$B$5-IF($A270&gt;='1-Input'!$C$12,'1-Input'!$B$12,0))/(Q270/(Q270+R270+S270)*(1-'P-Parametri'!$B$6*T270)+R270/(Q270+R270+S270)*(1-'P-Parametri'!$B$7*U270)+S270/(Q270+R270+S270))))*R270/(Q270+R270+S270))</f>
        <v>6282.2477228128664</v>
      </c>
      <c r="X270" s="18">
        <f>IF(AG269=0,0,(MIN((Q270+R270+S270),MAX(0,$B$5-IF($A270&gt;='1-Input'!$C$12,'1-Input'!$B$12,0))/(Q270/(Q270+R270+S270)*(1-'P-Parametri'!$B$6*T270)+R270/(Q270+R270+S270)*(1-'P-Parametri'!$B$7*U270)+S270/(Q270+R270+S270))))*S270/(Q270+R270+S270))</f>
        <v>2073.6661158411862</v>
      </c>
      <c r="Y270" s="18">
        <f t="shared" si="47"/>
        <v>4315.6966805301727</v>
      </c>
      <c r="Z270" s="18">
        <f t="shared" si="48"/>
        <v>2036.690960677467</v>
      </c>
      <c r="AA270" s="18">
        <f t="shared" si="49"/>
        <v>2019.553586131382</v>
      </c>
      <c r="AB270" s="18">
        <f t="shared" si="50"/>
        <v>1665.7464771677132</v>
      </c>
      <c r="AC270" s="18">
        <f t="shared" si="51"/>
        <v>666.62125173425693</v>
      </c>
      <c r="AD270" s="18">
        <f t="shared" si="52"/>
        <v>-7431.3122762856019</v>
      </c>
      <c r="AE270" s="18">
        <f>IF(AG270=0,AE269,AE269+H270+V270*T270*'P-Parametri'!$B$6+W270*U270*'P-Parametri'!$B$7)</f>
        <v>17719.424342522081</v>
      </c>
      <c r="AF270" s="18">
        <f t="shared" si="39"/>
        <v>7001.871518395812</v>
      </c>
      <c r="AG270" s="10">
        <f>IF(AND(AG269=1,(X270+W270*(1-'P-Parametri'!$B$7*U270)+V270*(1-'P-Parametri'!$B$6*T270))&gt;=MAX(0,$B$5-IF($A270&gt;='1-Input'!$C$12,'1-Input'!$B$12,0))-0.01),1,0)</f>
        <v>1</v>
      </c>
      <c r="AI270" s="11">
        <f t="shared" si="53"/>
        <v>0.49611033212174954</v>
      </c>
      <c r="AJ270" s="11">
        <f t="shared" si="54"/>
        <v>0</v>
      </c>
      <c r="AK270" s="18">
        <f>MAX(0,BE269-('P-Parametri'!$B$31*BL269))</f>
        <v>11873.306767224967</v>
      </c>
      <c r="AL270" s="18">
        <f>MAX(0,BG269-('P-Parametri'!$C$31*BL269))</f>
        <v>0</v>
      </c>
      <c r="AM270" s="18">
        <f>MAX(0,BI269-('P-Parametri'!$D$31*BL269))</f>
        <v>0</v>
      </c>
      <c r="AN270" s="18">
        <f>AK270*AI270*'P-Parametri'!$B$6+AL270*AJ270*'P-Parametri'!$B$7</f>
        <v>1531.5222425545626</v>
      </c>
      <c r="AO270" s="18">
        <f t="shared" si="55"/>
        <v>10341.784524670406</v>
      </c>
      <c r="AP270" s="18">
        <f>MAX(0,('P-Parametri'!$B$31*BL269)-BE269)+MAX(0,('P-Parametri'!$C$31*BL269)-BG269)+MAX(0,('P-Parametri'!$D$31*BL269)-BI269)</f>
        <v>11873.306767224965</v>
      </c>
      <c r="AQ270" s="18">
        <f>BE269-AK270+IF(AP270&lt;=0,0,AO270*MAX(0,('P-Parametri'!$B$31*BL269)-BE269)/AP270)</f>
        <v>17809.960150837447</v>
      </c>
      <c r="AR270" s="18">
        <f>BF269-AK270*(1-AI270)+IF(AP270&lt;=0,0,AO270*MAX(0,('P-Parametri'!$B$31*BL269)-BE269)/AP270)</f>
        <v>8974.2549053303555</v>
      </c>
      <c r="AS270" s="18">
        <f>BG269-AL270+IF(AP270&lt;=0,0,AO270*MAX(0,('P-Parametri'!$C$31*BL269)-BG269)/AP270)</f>
        <v>7756.3383935028041</v>
      </c>
      <c r="AT270" s="18">
        <f>BH269-AL270*(1-AJ270)+IF(AP270&lt;=0,0,AO270*MAX(0,('P-Parametri'!$C$31*BL269)-BG269)/AP270)</f>
        <v>7756.3383935028041</v>
      </c>
      <c r="AU270" s="18">
        <f>BI269-AM270+IF(AP270&lt;=0,0,AO270*MAX(0,('P-Parametri'!$D$31*BL269)-BI269)/AP270)</f>
        <v>2585.4461311676018</v>
      </c>
      <c r="AV270" s="18">
        <f>BJ269-AM270+IF(AP270&lt;=0,0,AO270*MAX(0,('P-Parametri'!$D$31*BL269)-BI269)/AP270)</f>
        <v>-5544.5844510021889</v>
      </c>
      <c r="AW270" s="18">
        <f t="shared" si="56"/>
        <v>19030.156140691619</v>
      </c>
      <c r="AX270" s="18">
        <f>AS270*(1+'P-Parametri'!$C$29)</f>
        <v>7795.1200854703175</v>
      </c>
      <c r="AY270" s="18">
        <f>AU270*(1+'1-Input'!$B$27)</f>
        <v>2576.1385250953986</v>
      </c>
      <c r="AZ270" s="11">
        <f t="shared" si="57"/>
        <v>0.52841927102526642</v>
      </c>
      <c r="BA270" s="11">
        <f t="shared" si="58"/>
        <v>4.9751243781093642E-3</v>
      </c>
      <c r="BB270" s="18">
        <f>IF(BM269=0,0,MIN(MAX(AW270,0),(MAX(0,$B$5-IF($A270&gt;='1-Input'!$C$12,'1-Input'!$B$12,0))-BD270-BC270*(1-'P-Parametri'!$B$7*BA270))/(1-'P-Parametri'!$B$6*AZ270)))</f>
        <v>10936.087315595953</v>
      </c>
      <c r="BC270" s="18">
        <f>IF(BM269=0,0,MIN(MAX(AX270,0),(MAX(0,$B$5-IF($A270&gt;='1-Input'!$C$12,'1-Input'!$B$12,0))-BD270)/(1-'P-Parametri'!$B$7*BA270)))</f>
        <v>7795.1200854703175</v>
      </c>
      <c r="BD270" s="18">
        <f>IF(BM269=0,0,MIN(MAX(AY270,0),MAX(0,$B$5-IF($A270&gt;='1-Input'!$C$12,'1-Input'!$B$12,0))))</f>
        <v>2576.1385250953986</v>
      </c>
      <c r="BE270" s="18">
        <f t="shared" si="59"/>
        <v>8094.0688250956664</v>
      </c>
      <c r="BF270" s="18">
        <f t="shared" si="60"/>
        <v>3817.0068769102791</v>
      </c>
      <c r="BG270" s="18">
        <f t="shared" si="61"/>
        <v>0</v>
      </c>
      <c r="BH270" s="18">
        <f t="shared" si="62"/>
        <v>0</v>
      </c>
      <c r="BI270" s="18">
        <f t="shared" si="63"/>
        <v>0</v>
      </c>
      <c r="BJ270" s="18">
        <f t="shared" si="64"/>
        <v>-8120.7229760975879</v>
      </c>
      <c r="BK270" s="18">
        <f>IF(BM270=0,BK269,BK269+AN270+BB270*AZ270*'P-Parametri'!$B$6+BC270*BA270*'P-Parametri'!$B$7)</f>
        <v>17450.721955324654</v>
      </c>
      <c r="BL270" s="18">
        <f t="shared" si="40"/>
        <v>8094.0688250956664</v>
      </c>
      <c r="BM270" s="10">
        <f>IF(AND(BM269=1,(BD270+BC270*(1-'P-Parametri'!$B$7*BA270)+BB270*(1-'P-Parametri'!$B$6*AZ270))&gt;=MAX(0,$B$5-IF($A270&gt;='1-Input'!$C$12,'1-Input'!$B$12,0))-0.01),1,0)</f>
        <v>1</v>
      </c>
    </row>
    <row r="271" spans="1:65">
      <c r="A271" s="10">
        <f>22</f>
        <v>22</v>
      </c>
      <c r="B271" s="11">
        <f>IF(A271=1,'P-Parametri'!$B$30,IF(A271=2,'P-Parametri'!$C$30,'P-Parametri'!$B$29))</f>
        <v>6.8512000000000003E-2</v>
      </c>
      <c r="C271" s="11">
        <f t="shared" si="41"/>
        <v>0.52807365497538516</v>
      </c>
      <c r="D271" s="11">
        <f t="shared" si="42"/>
        <v>0.17519075076458596</v>
      </c>
      <c r="E271" s="18">
        <f>MAX(0,Y270-('P-Parametri'!$B$31*AF270))</f>
        <v>114.57376949268564</v>
      </c>
      <c r="F271" s="18">
        <f>MAX(0,AA270-('P-Parametri'!$C$31*AF270))</f>
        <v>0</v>
      </c>
      <c r="G271" s="18">
        <f>MAX(0,AC270-('P-Parametri'!$D$31*AF270))</f>
        <v>0</v>
      </c>
      <c r="H271" s="18">
        <f>E271*C271*'P-Parametri'!$B$6+F271*D271*'P-Parametri'!$B$7</f>
        <v>15.730881197280544</v>
      </c>
      <c r="I271" s="18">
        <f t="shared" si="43"/>
        <v>98.842888295405103</v>
      </c>
      <c r="J271" s="18">
        <f>MAX(0,('P-Parametri'!$B$31*AF270)-Y270)+MAX(0,('P-Parametri'!$C$31*AF270)-AA270)+MAX(0,('P-Parametri'!$D$31*AF270)-AC270)</f>
        <v>114.57376949268587</v>
      </c>
      <c r="K271" s="18">
        <f>Y270-E271+IF(J271&lt;=0,0,I271*MAX(0,('P-Parametri'!$B$31*AF270)-Y270)/J271)</f>
        <v>4201.122911037487</v>
      </c>
      <c r="L271" s="18">
        <f>Z270-E271*(1-C271)+IF(J271&lt;=0,0,I271*MAX(0,('P-Parametri'!$B$31*AF270)-Y270)/J271)</f>
        <v>1982.6205804050912</v>
      </c>
      <c r="M271" s="18">
        <f>AA270-F271+IF(J271&lt;=0,0,I271*MAX(0,('P-Parametri'!$C$31*AF270)-AA270)/J271)</f>
        <v>2089.4391438847638</v>
      </c>
      <c r="N271" s="18">
        <f>AB270-F271*(1-D271)+IF(J271&lt;=0,0,I271*MAX(0,('P-Parametri'!$C$31*AF270)-AA270)/J271)</f>
        <v>1735.6320349210951</v>
      </c>
      <c r="O271" s="18">
        <f>AC270-G271+IF(J271&lt;=0,0,I271*MAX(0,('P-Parametri'!$D$31*AF270)-AC270)/J271)</f>
        <v>695.57858227628026</v>
      </c>
      <c r="P271" s="18">
        <f>AD270-G271+IF(J271&lt;=0,0,I271*MAX(0,('P-Parametri'!$D$31*AF270)-AC270)/J271)</f>
        <v>-7402.3549457435784</v>
      </c>
      <c r="Q271" s="18">
        <f t="shared" si="44"/>
        <v>4488.9502439184871</v>
      </c>
      <c r="R271" s="18">
        <f>M271*(1+'P-Parametri'!$C$29)</f>
        <v>2099.8863396041875</v>
      </c>
      <c r="S271" s="18">
        <f>O271*(1+'1-Input'!$B$27)</f>
        <v>693.07449938008563</v>
      </c>
      <c r="T271" s="11">
        <f t="shared" si="45"/>
        <v>0.55833313521550076</v>
      </c>
      <c r="U271" s="11">
        <f t="shared" si="46"/>
        <v>0.17346381935688557</v>
      </c>
      <c r="V271" s="18">
        <f>IF(AG270=0,0,(MIN((Q271+R271+S271),MAX(0,$B$5-IF($A271&gt;='1-Input'!$C$12,'1-Input'!$B$12,0))/(Q271/(Q271+R271+S271)*(1-'P-Parametri'!$B$6*T271)+R271/(Q271+R271+S271)*(1-'P-Parametri'!$B$7*U271)+S271/(Q271+R271+S271))))*Q271/(Q271+R271+S271))</f>
        <v>4488.9502439184871</v>
      </c>
      <c r="W271" s="18">
        <f>IF(AG270=0,0,(MIN((Q271+R271+S271),MAX(0,$B$5-IF($A271&gt;='1-Input'!$C$12,'1-Input'!$B$12,0))/(Q271/(Q271+R271+S271)*(1-'P-Parametri'!$B$6*T271)+R271/(Q271+R271+S271)*(1-'P-Parametri'!$B$7*U271)+S271/(Q271+R271+S271))))*R271/(Q271+R271+S271))</f>
        <v>2099.8863396041875</v>
      </c>
      <c r="X271" s="18">
        <f>IF(AG270=0,0,(MIN((Q271+R271+S271),MAX(0,$B$5-IF($A271&gt;='1-Input'!$C$12,'1-Input'!$B$12,0))/(Q271/(Q271+R271+S271)*(1-'P-Parametri'!$B$6*T271)+R271/(Q271+R271+S271)*(1-'P-Parametri'!$B$7*U271)+S271/(Q271+R271+S271))))*S271/(Q271+R271+S271))</f>
        <v>693.07449938008563</v>
      </c>
      <c r="Y271" s="18">
        <f t="shared" si="47"/>
        <v>4315.6966805301727</v>
      </c>
      <c r="Z271" s="18">
        <f t="shared" si="48"/>
        <v>2036.690960677467</v>
      </c>
      <c r="AA271" s="18">
        <f t="shared" si="49"/>
        <v>2019.553586131382</v>
      </c>
      <c r="AB271" s="18">
        <f t="shared" si="50"/>
        <v>1665.7464771677132</v>
      </c>
      <c r="AC271" s="18">
        <f t="shared" si="51"/>
        <v>666.62125173425693</v>
      </c>
      <c r="AD271" s="18">
        <f t="shared" si="52"/>
        <v>-7431.3122762856019</v>
      </c>
      <c r="AE271" s="18">
        <f>IF(AG271=0,AE270,AE270+H271+V271*T271*'P-Parametri'!$B$6+W271*U271*'P-Parametri'!$B$7)</f>
        <v>17719.424342522081</v>
      </c>
      <c r="AF271" s="18">
        <f t="shared" si="39"/>
        <v>7001.871518395812</v>
      </c>
      <c r="AG271" s="10">
        <f>IF(AND(AG270=1,(X271+W271*(1-'P-Parametri'!$B$7*U271)+V271*(1-'P-Parametri'!$B$6*T271))&gt;=MAX(0,$B$5-IF($A271&gt;='1-Input'!$C$12,'1-Input'!$B$12,0))-0.01),1,0)</f>
        <v>0</v>
      </c>
      <c r="AI271" s="11">
        <f t="shared" si="53"/>
        <v>0.52841927102526653</v>
      </c>
      <c r="AJ271" s="11">
        <f t="shared" si="54"/>
        <v>0</v>
      </c>
      <c r="AK271" s="18">
        <f>MAX(0,BE270-('P-Parametri'!$B$31*BL270))</f>
        <v>3237.6275300382667</v>
      </c>
      <c r="AL271" s="18">
        <f>MAX(0,BG270-('P-Parametri'!$C$31*BL270))</f>
        <v>0</v>
      </c>
      <c r="AM271" s="18">
        <f>MAX(0,BI270-('P-Parametri'!$D$31*BL270))</f>
        <v>0</v>
      </c>
      <c r="AN271" s="18">
        <f>AK271*AI271*'P-Parametri'!$B$6+AL271*AJ271*'P-Parametri'!$B$7</f>
        <v>444.81444261128036</v>
      </c>
      <c r="AO271" s="18">
        <f t="shared" si="55"/>
        <v>2792.8130874269864</v>
      </c>
      <c r="AP271" s="18">
        <f>MAX(0,('P-Parametri'!$B$31*BL270)-BE270)+MAX(0,('P-Parametri'!$C$31*BL270)-BG270)+MAX(0,('P-Parametri'!$D$31*BL270)-BI270)</f>
        <v>3237.6275300382667</v>
      </c>
      <c r="AQ271" s="18">
        <f>BE270-AK271+IF(AP271&lt;=0,0,AO271*MAX(0,('P-Parametri'!$B$31*BL270)-BE270)/AP271)</f>
        <v>4856.4412950573997</v>
      </c>
      <c r="AR271" s="18">
        <f>BF270-AK271*(1-AI271)+IF(AP271&lt;=0,0,AO271*MAX(0,('P-Parametri'!$B$31*BL270)-BE270)/AP271)</f>
        <v>2290.2041261461673</v>
      </c>
      <c r="AS271" s="18">
        <f>BG270-AL271+IF(AP271&lt;=0,0,AO271*MAX(0,('P-Parametri'!$C$31*BL270)-BG270)/AP271)</f>
        <v>2094.6098155702393</v>
      </c>
      <c r="AT271" s="18">
        <f>BH270-AL271*(1-AJ271)+IF(AP271&lt;=0,0,AO271*MAX(0,('P-Parametri'!$C$31*BL270)-BG270)/AP271)</f>
        <v>2094.6098155702393</v>
      </c>
      <c r="AU271" s="18">
        <f>BI270-AM271+IF(AP271&lt;=0,0,AO271*MAX(0,('P-Parametri'!$D$31*BL270)-BI270)/AP271)</f>
        <v>698.2032718567466</v>
      </c>
      <c r="AV271" s="18">
        <f>BJ270-AM271+IF(AP271&lt;=0,0,AO271*MAX(0,('P-Parametri'!$D$31*BL270)-BI270)/AP271)</f>
        <v>-7422.5197042408417</v>
      </c>
      <c r="AW271" s="18">
        <f t="shared" si="56"/>
        <v>5189.1658010643714</v>
      </c>
      <c r="AX271" s="18">
        <f>AS271*(1+'P-Parametri'!$C$29)</f>
        <v>2105.0828646480904</v>
      </c>
      <c r="AY271" s="18">
        <f>AU271*(1+'1-Input'!$B$27)</f>
        <v>695.6897400780623</v>
      </c>
      <c r="AZ271" s="11">
        <f t="shared" si="57"/>
        <v>0.5586565906843034</v>
      </c>
      <c r="BA271" s="11">
        <f t="shared" si="58"/>
        <v>4.9751243781094075E-3</v>
      </c>
      <c r="BB271" s="18">
        <f>IF(BM270=0,0,MIN(MAX(AW271,0),(MAX(0,$B$5-IF($A271&gt;='1-Input'!$C$12,'1-Input'!$B$12,0))-BD271-BC271*(1-'P-Parametri'!$B$7*BA271))/(1-'P-Parametri'!$B$6*AZ271)))</f>
        <v>5189.1658010643714</v>
      </c>
      <c r="BC271" s="18">
        <f>IF(BM270=0,0,MIN(MAX(AX271,0),(MAX(0,$B$5-IF($A271&gt;='1-Input'!$C$12,'1-Input'!$B$12,0))-BD271)/(1-'P-Parametri'!$B$7*BA271)))</f>
        <v>2105.0828646480904</v>
      </c>
      <c r="BD271" s="18">
        <f>IF(BM270=0,0,MIN(MAX(AY271,0),MAX(0,$B$5-IF($A271&gt;='1-Input'!$C$12,'1-Input'!$B$12,0))))</f>
        <v>695.6897400780623</v>
      </c>
      <c r="BE271" s="18">
        <f t="shared" si="59"/>
        <v>8094.0688250956664</v>
      </c>
      <c r="BF271" s="18">
        <f t="shared" si="60"/>
        <v>3817.0068769102791</v>
      </c>
      <c r="BG271" s="18">
        <f t="shared" si="61"/>
        <v>0</v>
      </c>
      <c r="BH271" s="18">
        <f t="shared" si="62"/>
        <v>0</v>
      </c>
      <c r="BI271" s="18">
        <f t="shared" si="63"/>
        <v>0</v>
      </c>
      <c r="BJ271" s="18">
        <f t="shared" si="64"/>
        <v>-8120.7229760975879</v>
      </c>
      <c r="BK271" s="18">
        <f>IF(BM271=0,BK270,BK270+AN271+BB271*AZ271*'P-Parametri'!$B$6+BC271*BA271*'P-Parametri'!$B$7)</f>
        <v>17450.721955324654</v>
      </c>
      <c r="BL271" s="18">
        <f t="shared" si="40"/>
        <v>8094.0688250956664</v>
      </c>
      <c r="BM271" s="10">
        <f>IF(AND(BM270=1,(BD271+BC271*(1-'P-Parametri'!$B$7*BA271)+BB271*(1-'P-Parametri'!$B$6*AZ271))&gt;=MAX(0,$B$5-IF($A271&gt;='1-Input'!$C$12,'1-Input'!$B$12,0))-0.01),1,0)</f>
        <v>0</v>
      </c>
    </row>
    <row r="272" spans="1:65">
      <c r="A272" s="10">
        <f>23</f>
        <v>23</v>
      </c>
      <c r="B272" s="11">
        <f>IF(A272=1,'P-Parametri'!$B$30,IF(A272=2,'P-Parametri'!$C$30,'P-Parametri'!$B$29))</f>
        <v>6.8512000000000003E-2</v>
      </c>
      <c r="C272" s="11">
        <f t="shared" si="41"/>
        <v>0.52807365497538516</v>
      </c>
      <c r="D272" s="11">
        <f t="shared" si="42"/>
        <v>0.17519075076458596</v>
      </c>
      <c r="E272" s="18">
        <f>MAX(0,Y271-('P-Parametri'!$B$31*AF271))</f>
        <v>114.57376949268564</v>
      </c>
      <c r="F272" s="18">
        <f>MAX(0,AA271-('P-Parametri'!$C$31*AF271))</f>
        <v>0</v>
      </c>
      <c r="G272" s="18">
        <f>MAX(0,AC271-('P-Parametri'!$D$31*AF271))</f>
        <v>0</v>
      </c>
      <c r="H272" s="18">
        <f>E272*C272*'P-Parametri'!$B$6+F272*D272*'P-Parametri'!$B$7</f>
        <v>15.730881197280544</v>
      </c>
      <c r="I272" s="18">
        <f t="shared" si="43"/>
        <v>98.842888295405103</v>
      </c>
      <c r="J272" s="18">
        <f>MAX(0,('P-Parametri'!$B$31*AF271)-Y271)+MAX(0,('P-Parametri'!$C$31*AF271)-AA271)+MAX(0,('P-Parametri'!$D$31*AF271)-AC271)</f>
        <v>114.57376949268587</v>
      </c>
      <c r="K272" s="18">
        <f>Y271-E272+IF(J272&lt;=0,0,I272*MAX(0,('P-Parametri'!$B$31*AF271)-Y271)/J272)</f>
        <v>4201.122911037487</v>
      </c>
      <c r="L272" s="18">
        <f>Z271-E272*(1-C272)+IF(J272&lt;=0,0,I272*MAX(0,('P-Parametri'!$B$31*AF271)-Y271)/J272)</f>
        <v>1982.6205804050912</v>
      </c>
      <c r="M272" s="18">
        <f>AA271-F272+IF(J272&lt;=0,0,I272*MAX(0,('P-Parametri'!$C$31*AF271)-AA271)/J272)</f>
        <v>2089.4391438847638</v>
      </c>
      <c r="N272" s="18">
        <f>AB271-F272*(1-D272)+IF(J272&lt;=0,0,I272*MAX(0,('P-Parametri'!$C$31*AF271)-AA271)/J272)</f>
        <v>1735.6320349210951</v>
      </c>
      <c r="O272" s="18">
        <f>AC271-G272+IF(J272&lt;=0,0,I272*MAX(0,('P-Parametri'!$D$31*AF271)-AC271)/J272)</f>
        <v>695.57858227628026</v>
      </c>
      <c r="P272" s="18">
        <f>AD271-G272+IF(J272&lt;=0,0,I272*MAX(0,('P-Parametri'!$D$31*AF271)-AC271)/J272)</f>
        <v>-7402.3549457435784</v>
      </c>
      <c r="Q272" s="18">
        <f t="shared" si="44"/>
        <v>4488.9502439184871</v>
      </c>
      <c r="R272" s="18">
        <f>M272*(1+'P-Parametri'!$C$29)</f>
        <v>2099.8863396041875</v>
      </c>
      <c r="S272" s="18">
        <f>O272*(1+'1-Input'!$B$27)</f>
        <v>693.07449938008563</v>
      </c>
      <c r="T272" s="11">
        <f t="shared" si="45"/>
        <v>0.55833313521550076</v>
      </c>
      <c r="U272" s="11">
        <f t="shared" si="46"/>
        <v>0.17346381935688557</v>
      </c>
      <c r="V272" s="18">
        <f>IF(AG271=0,0,(MIN((Q272+R272+S272),MAX(0,$B$5-IF($A272&gt;='1-Input'!$C$12,'1-Input'!$B$12,0))/(Q272/(Q272+R272+S272)*(1-'P-Parametri'!$B$6*T272)+R272/(Q272+R272+S272)*(1-'P-Parametri'!$B$7*U272)+S272/(Q272+R272+S272))))*Q272/(Q272+R272+S272))</f>
        <v>0</v>
      </c>
      <c r="W272" s="18">
        <f>IF(AG271=0,0,(MIN((Q272+R272+S272),MAX(0,$B$5-IF($A272&gt;='1-Input'!$C$12,'1-Input'!$B$12,0))/(Q272/(Q272+R272+S272)*(1-'P-Parametri'!$B$6*T272)+R272/(Q272+R272+S272)*(1-'P-Parametri'!$B$7*U272)+S272/(Q272+R272+S272))))*R272/(Q272+R272+S272))</f>
        <v>0</v>
      </c>
      <c r="X272" s="18">
        <f>IF(AG271=0,0,(MIN((Q272+R272+S272),MAX(0,$B$5-IF($A272&gt;='1-Input'!$C$12,'1-Input'!$B$12,0))/(Q272/(Q272+R272+S272)*(1-'P-Parametri'!$B$6*T272)+R272/(Q272+R272+S272)*(1-'P-Parametri'!$B$7*U272)+S272/(Q272+R272+S272))))*S272/(Q272+R272+S272))</f>
        <v>0</v>
      </c>
      <c r="Y272" s="18">
        <f t="shared" si="47"/>
        <v>4315.6966805301727</v>
      </c>
      <c r="Z272" s="18">
        <f t="shared" si="48"/>
        <v>2036.690960677467</v>
      </c>
      <c r="AA272" s="18">
        <f t="shared" si="49"/>
        <v>2019.553586131382</v>
      </c>
      <c r="AB272" s="18">
        <f t="shared" si="50"/>
        <v>1665.7464771677132</v>
      </c>
      <c r="AC272" s="18">
        <f t="shared" si="51"/>
        <v>666.62125173425693</v>
      </c>
      <c r="AD272" s="18">
        <f t="shared" si="52"/>
        <v>-7431.3122762856019</v>
      </c>
      <c r="AE272" s="18">
        <f>IF(AG272=0,AE271,AE271+H272+V272*T272*'P-Parametri'!$B$6+W272*U272*'P-Parametri'!$B$7)</f>
        <v>17719.424342522081</v>
      </c>
      <c r="AF272" s="18">
        <f t="shared" si="39"/>
        <v>7001.871518395812</v>
      </c>
      <c r="AG272" s="10">
        <f>IF(AND(AG271=1,(X272+W272*(1-'P-Parametri'!$B$7*U272)+V272*(1-'P-Parametri'!$B$6*T272))&gt;=MAX(0,$B$5-IF($A272&gt;='1-Input'!$C$12,'1-Input'!$B$12,0))-0.01),1,0)</f>
        <v>0</v>
      </c>
      <c r="AI272" s="11">
        <f t="shared" si="53"/>
        <v>0.52841927102526653</v>
      </c>
      <c r="AJ272" s="11">
        <f t="shared" si="54"/>
        <v>0</v>
      </c>
      <c r="AK272" s="18">
        <f>MAX(0,BE271-('P-Parametri'!$B$31*BL271))</f>
        <v>3237.6275300382667</v>
      </c>
      <c r="AL272" s="18">
        <f>MAX(0,BG271-('P-Parametri'!$C$31*BL271))</f>
        <v>0</v>
      </c>
      <c r="AM272" s="18">
        <f>MAX(0,BI271-('P-Parametri'!$D$31*BL271))</f>
        <v>0</v>
      </c>
      <c r="AN272" s="18">
        <f>AK272*AI272*'P-Parametri'!$B$6+AL272*AJ272*'P-Parametri'!$B$7</f>
        <v>444.81444261128036</v>
      </c>
      <c r="AO272" s="18">
        <f t="shared" si="55"/>
        <v>2792.8130874269864</v>
      </c>
      <c r="AP272" s="18">
        <f>MAX(0,('P-Parametri'!$B$31*BL271)-BE271)+MAX(0,('P-Parametri'!$C$31*BL271)-BG271)+MAX(0,('P-Parametri'!$D$31*BL271)-BI271)</f>
        <v>3237.6275300382667</v>
      </c>
      <c r="AQ272" s="18">
        <f>BE271-AK272+IF(AP272&lt;=0,0,AO272*MAX(0,('P-Parametri'!$B$31*BL271)-BE271)/AP272)</f>
        <v>4856.4412950573997</v>
      </c>
      <c r="AR272" s="18">
        <f>BF271-AK272*(1-AI272)+IF(AP272&lt;=0,0,AO272*MAX(0,('P-Parametri'!$B$31*BL271)-BE271)/AP272)</f>
        <v>2290.2041261461673</v>
      </c>
      <c r="AS272" s="18">
        <f>BG271-AL272+IF(AP272&lt;=0,0,AO272*MAX(0,('P-Parametri'!$C$31*BL271)-BG271)/AP272)</f>
        <v>2094.6098155702393</v>
      </c>
      <c r="AT272" s="18">
        <f>BH271-AL272*(1-AJ272)+IF(AP272&lt;=0,0,AO272*MAX(0,('P-Parametri'!$C$31*BL271)-BG271)/AP272)</f>
        <v>2094.6098155702393</v>
      </c>
      <c r="AU272" s="18">
        <f>BI271-AM272+IF(AP272&lt;=0,0,AO272*MAX(0,('P-Parametri'!$D$31*BL271)-BI271)/AP272)</f>
        <v>698.2032718567466</v>
      </c>
      <c r="AV272" s="18">
        <f>BJ271-AM272+IF(AP272&lt;=0,0,AO272*MAX(0,('P-Parametri'!$D$31*BL271)-BI271)/AP272)</f>
        <v>-7422.5197042408417</v>
      </c>
      <c r="AW272" s="18">
        <f t="shared" si="56"/>
        <v>5189.1658010643714</v>
      </c>
      <c r="AX272" s="18">
        <f>AS272*(1+'P-Parametri'!$C$29)</f>
        <v>2105.0828646480904</v>
      </c>
      <c r="AY272" s="18">
        <f>AU272*(1+'1-Input'!$B$27)</f>
        <v>695.6897400780623</v>
      </c>
      <c r="AZ272" s="11">
        <f t="shared" si="57"/>
        <v>0.5586565906843034</v>
      </c>
      <c r="BA272" s="11">
        <f t="shared" si="58"/>
        <v>4.9751243781094075E-3</v>
      </c>
      <c r="BB272" s="18">
        <f>IF(BM271=0,0,MIN(MAX(AW272,0),(MAX(0,$B$5-IF($A272&gt;='1-Input'!$C$12,'1-Input'!$B$12,0))-BD272-BC272*(1-'P-Parametri'!$B$7*BA272))/(1-'P-Parametri'!$B$6*AZ272)))</f>
        <v>0</v>
      </c>
      <c r="BC272" s="18">
        <f>IF(BM271=0,0,MIN(MAX(AX272,0),(MAX(0,$B$5-IF($A272&gt;='1-Input'!$C$12,'1-Input'!$B$12,0))-BD272)/(1-'P-Parametri'!$B$7*BA272)))</f>
        <v>0</v>
      </c>
      <c r="BD272" s="18">
        <f>IF(BM271=0,0,MIN(MAX(AY272,0),MAX(0,$B$5-IF($A272&gt;='1-Input'!$C$12,'1-Input'!$B$12,0))))</f>
        <v>0</v>
      </c>
      <c r="BE272" s="18">
        <f t="shared" si="59"/>
        <v>8094.0688250956664</v>
      </c>
      <c r="BF272" s="18">
        <f t="shared" si="60"/>
        <v>3817.0068769102791</v>
      </c>
      <c r="BG272" s="18">
        <f t="shared" si="61"/>
        <v>0</v>
      </c>
      <c r="BH272" s="18">
        <f t="shared" si="62"/>
        <v>0</v>
      </c>
      <c r="BI272" s="18">
        <f t="shared" si="63"/>
        <v>0</v>
      </c>
      <c r="BJ272" s="18">
        <f t="shared" si="64"/>
        <v>-8120.7229760975879</v>
      </c>
      <c r="BK272" s="18">
        <f>IF(BM272=0,BK271,BK271+AN272+BB272*AZ272*'P-Parametri'!$B$6+BC272*BA272*'P-Parametri'!$B$7)</f>
        <v>17450.721955324654</v>
      </c>
      <c r="BL272" s="18">
        <f t="shared" si="40"/>
        <v>8094.0688250956664</v>
      </c>
      <c r="BM272" s="10">
        <f>IF(AND(BM271=1,(BD272+BC272*(1-'P-Parametri'!$B$7*BA272)+BB272*(1-'P-Parametri'!$B$6*AZ272))&gt;=MAX(0,$B$5-IF($A272&gt;='1-Input'!$C$12,'1-Input'!$B$12,0))-0.01),1,0)</f>
        <v>0</v>
      </c>
    </row>
    <row r="273" spans="1:65">
      <c r="A273" s="10">
        <f>24</f>
        <v>24</v>
      </c>
      <c r="B273" s="11">
        <f>IF(A273=1,'P-Parametri'!$B$30,IF(A273=2,'P-Parametri'!$C$30,'P-Parametri'!$B$29))</f>
        <v>6.8512000000000003E-2</v>
      </c>
      <c r="C273" s="11">
        <f t="shared" si="41"/>
        <v>0.52807365497538516</v>
      </c>
      <c r="D273" s="11">
        <f t="shared" si="42"/>
        <v>0.17519075076458596</v>
      </c>
      <c r="E273" s="18">
        <f>MAX(0,Y272-('P-Parametri'!$B$31*AF272))</f>
        <v>114.57376949268564</v>
      </c>
      <c r="F273" s="18">
        <f>MAX(0,AA272-('P-Parametri'!$C$31*AF272))</f>
        <v>0</v>
      </c>
      <c r="G273" s="18">
        <f>MAX(0,AC272-('P-Parametri'!$D$31*AF272))</f>
        <v>0</v>
      </c>
      <c r="H273" s="18">
        <f>E273*C273*'P-Parametri'!$B$6+F273*D273*'P-Parametri'!$B$7</f>
        <v>15.730881197280544</v>
      </c>
      <c r="I273" s="18">
        <f t="shared" si="43"/>
        <v>98.842888295405103</v>
      </c>
      <c r="J273" s="18">
        <f>MAX(0,('P-Parametri'!$B$31*AF272)-Y272)+MAX(0,('P-Parametri'!$C$31*AF272)-AA272)+MAX(0,('P-Parametri'!$D$31*AF272)-AC272)</f>
        <v>114.57376949268587</v>
      </c>
      <c r="K273" s="18">
        <f>Y272-E273+IF(J273&lt;=0,0,I273*MAX(0,('P-Parametri'!$B$31*AF272)-Y272)/J273)</f>
        <v>4201.122911037487</v>
      </c>
      <c r="L273" s="18">
        <f>Z272-E273*(1-C273)+IF(J273&lt;=0,0,I273*MAX(0,('P-Parametri'!$B$31*AF272)-Y272)/J273)</f>
        <v>1982.6205804050912</v>
      </c>
      <c r="M273" s="18">
        <f>AA272-F273+IF(J273&lt;=0,0,I273*MAX(0,('P-Parametri'!$C$31*AF272)-AA272)/J273)</f>
        <v>2089.4391438847638</v>
      </c>
      <c r="N273" s="18">
        <f>AB272-F273*(1-D273)+IF(J273&lt;=0,0,I273*MAX(0,('P-Parametri'!$C$31*AF272)-AA272)/J273)</f>
        <v>1735.6320349210951</v>
      </c>
      <c r="O273" s="18">
        <f>AC272-G273+IF(J273&lt;=0,0,I273*MAX(0,('P-Parametri'!$D$31*AF272)-AC272)/J273)</f>
        <v>695.57858227628026</v>
      </c>
      <c r="P273" s="18">
        <f>AD272-G273+IF(J273&lt;=0,0,I273*MAX(0,('P-Parametri'!$D$31*AF272)-AC272)/J273)</f>
        <v>-7402.3549457435784</v>
      </c>
      <c r="Q273" s="18">
        <f t="shared" si="44"/>
        <v>4488.9502439184871</v>
      </c>
      <c r="R273" s="18">
        <f>M273*(1+'P-Parametri'!$C$29)</f>
        <v>2099.8863396041875</v>
      </c>
      <c r="S273" s="18">
        <f>O273*(1+'1-Input'!$B$27)</f>
        <v>693.07449938008563</v>
      </c>
      <c r="T273" s="11">
        <f t="shared" si="45"/>
        <v>0.55833313521550076</v>
      </c>
      <c r="U273" s="11">
        <f t="shared" si="46"/>
        <v>0.17346381935688557</v>
      </c>
      <c r="V273" s="18">
        <f>IF(AG272=0,0,(MIN((Q273+R273+S273),MAX(0,$B$5-IF($A273&gt;='1-Input'!$C$12,'1-Input'!$B$12,0))/(Q273/(Q273+R273+S273)*(1-'P-Parametri'!$B$6*T273)+R273/(Q273+R273+S273)*(1-'P-Parametri'!$B$7*U273)+S273/(Q273+R273+S273))))*Q273/(Q273+R273+S273))</f>
        <v>0</v>
      </c>
      <c r="W273" s="18">
        <f>IF(AG272=0,0,(MIN((Q273+R273+S273),MAX(0,$B$5-IF($A273&gt;='1-Input'!$C$12,'1-Input'!$B$12,0))/(Q273/(Q273+R273+S273)*(1-'P-Parametri'!$B$6*T273)+R273/(Q273+R273+S273)*(1-'P-Parametri'!$B$7*U273)+S273/(Q273+R273+S273))))*R273/(Q273+R273+S273))</f>
        <v>0</v>
      </c>
      <c r="X273" s="18">
        <f>IF(AG272=0,0,(MIN((Q273+R273+S273),MAX(0,$B$5-IF($A273&gt;='1-Input'!$C$12,'1-Input'!$B$12,0))/(Q273/(Q273+R273+S273)*(1-'P-Parametri'!$B$6*T273)+R273/(Q273+R273+S273)*(1-'P-Parametri'!$B$7*U273)+S273/(Q273+R273+S273))))*S273/(Q273+R273+S273))</f>
        <v>0</v>
      </c>
      <c r="Y273" s="18">
        <f t="shared" si="47"/>
        <v>4315.6966805301727</v>
      </c>
      <c r="Z273" s="18">
        <f t="shared" si="48"/>
        <v>2036.690960677467</v>
      </c>
      <c r="AA273" s="18">
        <f t="shared" si="49"/>
        <v>2019.553586131382</v>
      </c>
      <c r="AB273" s="18">
        <f t="shared" si="50"/>
        <v>1665.7464771677132</v>
      </c>
      <c r="AC273" s="18">
        <f t="shared" si="51"/>
        <v>666.62125173425693</v>
      </c>
      <c r="AD273" s="18">
        <f t="shared" si="52"/>
        <v>-7431.3122762856019</v>
      </c>
      <c r="AE273" s="18">
        <f>IF(AG273=0,AE272,AE272+H273+V273*T273*'P-Parametri'!$B$6+W273*U273*'P-Parametri'!$B$7)</f>
        <v>17719.424342522081</v>
      </c>
      <c r="AF273" s="18">
        <f t="shared" si="39"/>
        <v>7001.871518395812</v>
      </c>
      <c r="AG273" s="10">
        <f>IF(AND(AG272=1,(X273+W273*(1-'P-Parametri'!$B$7*U273)+V273*(1-'P-Parametri'!$B$6*T273))&gt;=MAX(0,$B$5-IF($A273&gt;='1-Input'!$C$12,'1-Input'!$B$12,0))-0.01),1,0)</f>
        <v>0</v>
      </c>
      <c r="AI273" s="11">
        <f t="shared" si="53"/>
        <v>0.52841927102526653</v>
      </c>
      <c r="AJ273" s="11">
        <f t="shared" si="54"/>
        <v>0</v>
      </c>
      <c r="AK273" s="18">
        <f>MAX(0,BE272-('P-Parametri'!$B$31*BL272))</f>
        <v>3237.6275300382667</v>
      </c>
      <c r="AL273" s="18">
        <f>MAX(0,BG272-('P-Parametri'!$C$31*BL272))</f>
        <v>0</v>
      </c>
      <c r="AM273" s="18">
        <f>MAX(0,BI272-('P-Parametri'!$D$31*BL272))</f>
        <v>0</v>
      </c>
      <c r="AN273" s="18">
        <f>AK273*AI273*'P-Parametri'!$B$6+AL273*AJ273*'P-Parametri'!$B$7</f>
        <v>444.81444261128036</v>
      </c>
      <c r="AO273" s="18">
        <f t="shared" si="55"/>
        <v>2792.8130874269864</v>
      </c>
      <c r="AP273" s="18">
        <f>MAX(0,('P-Parametri'!$B$31*BL272)-BE272)+MAX(0,('P-Parametri'!$C$31*BL272)-BG272)+MAX(0,('P-Parametri'!$D$31*BL272)-BI272)</f>
        <v>3237.6275300382667</v>
      </c>
      <c r="AQ273" s="18">
        <f>BE272-AK273+IF(AP273&lt;=0,0,AO273*MAX(0,('P-Parametri'!$B$31*BL272)-BE272)/AP273)</f>
        <v>4856.4412950573997</v>
      </c>
      <c r="AR273" s="18">
        <f>BF272-AK273*(1-AI273)+IF(AP273&lt;=0,0,AO273*MAX(0,('P-Parametri'!$B$31*BL272)-BE272)/AP273)</f>
        <v>2290.2041261461673</v>
      </c>
      <c r="AS273" s="18">
        <f>BG272-AL273+IF(AP273&lt;=0,0,AO273*MAX(0,('P-Parametri'!$C$31*BL272)-BG272)/AP273)</f>
        <v>2094.6098155702393</v>
      </c>
      <c r="AT273" s="18">
        <f>BH272-AL273*(1-AJ273)+IF(AP273&lt;=0,0,AO273*MAX(0,('P-Parametri'!$C$31*BL272)-BG272)/AP273)</f>
        <v>2094.6098155702393</v>
      </c>
      <c r="AU273" s="18">
        <f>BI272-AM273+IF(AP273&lt;=0,0,AO273*MAX(0,('P-Parametri'!$D$31*BL272)-BI272)/AP273)</f>
        <v>698.2032718567466</v>
      </c>
      <c r="AV273" s="18">
        <f>BJ272-AM273+IF(AP273&lt;=0,0,AO273*MAX(0,('P-Parametri'!$D$31*BL272)-BI272)/AP273)</f>
        <v>-7422.5197042408417</v>
      </c>
      <c r="AW273" s="18">
        <f t="shared" si="56"/>
        <v>5189.1658010643714</v>
      </c>
      <c r="AX273" s="18">
        <f>AS273*(1+'P-Parametri'!$C$29)</f>
        <v>2105.0828646480904</v>
      </c>
      <c r="AY273" s="18">
        <f>AU273*(1+'1-Input'!$B$27)</f>
        <v>695.6897400780623</v>
      </c>
      <c r="AZ273" s="11">
        <f t="shared" si="57"/>
        <v>0.5586565906843034</v>
      </c>
      <c r="BA273" s="11">
        <f t="shared" si="58"/>
        <v>4.9751243781094075E-3</v>
      </c>
      <c r="BB273" s="18">
        <f>IF(BM272=0,0,MIN(MAX(AW273,0),(MAX(0,$B$5-IF($A273&gt;='1-Input'!$C$12,'1-Input'!$B$12,0))-BD273-BC273*(1-'P-Parametri'!$B$7*BA273))/(1-'P-Parametri'!$B$6*AZ273)))</f>
        <v>0</v>
      </c>
      <c r="BC273" s="18">
        <f>IF(BM272=0,0,MIN(MAX(AX273,0),(MAX(0,$B$5-IF($A273&gt;='1-Input'!$C$12,'1-Input'!$B$12,0))-BD273)/(1-'P-Parametri'!$B$7*BA273)))</f>
        <v>0</v>
      </c>
      <c r="BD273" s="18">
        <f>IF(BM272=0,0,MIN(MAX(AY273,0),MAX(0,$B$5-IF($A273&gt;='1-Input'!$C$12,'1-Input'!$B$12,0))))</f>
        <v>0</v>
      </c>
      <c r="BE273" s="18">
        <f t="shared" si="59"/>
        <v>8094.0688250956664</v>
      </c>
      <c r="BF273" s="18">
        <f t="shared" si="60"/>
        <v>3817.0068769102791</v>
      </c>
      <c r="BG273" s="18">
        <f t="shared" si="61"/>
        <v>0</v>
      </c>
      <c r="BH273" s="18">
        <f t="shared" si="62"/>
        <v>0</v>
      </c>
      <c r="BI273" s="18">
        <f t="shared" si="63"/>
        <v>0</v>
      </c>
      <c r="BJ273" s="18">
        <f t="shared" si="64"/>
        <v>-8120.7229760975879</v>
      </c>
      <c r="BK273" s="18">
        <f>IF(BM273=0,BK272,BK272+AN273+BB273*AZ273*'P-Parametri'!$B$6+BC273*BA273*'P-Parametri'!$B$7)</f>
        <v>17450.721955324654</v>
      </c>
      <c r="BL273" s="18">
        <f t="shared" si="40"/>
        <v>8094.0688250956664</v>
      </c>
      <c r="BM273" s="10">
        <f>IF(AND(BM272=1,(BD273+BC273*(1-'P-Parametri'!$B$7*BA273)+BB273*(1-'P-Parametri'!$B$6*AZ273))&gt;=MAX(0,$B$5-IF($A273&gt;='1-Input'!$C$12,'1-Input'!$B$12,0))-0.01),1,0)</f>
        <v>0</v>
      </c>
    </row>
    <row r="274" spans="1:65">
      <c r="A274" s="10">
        <f>25</f>
        <v>25</v>
      </c>
      <c r="B274" s="11">
        <f>IF(A274=1,'P-Parametri'!$B$30,IF(A274=2,'P-Parametri'!$C$30,'P-Parametri'!$B$29))</f>
        <v>6.8512000000000003E-2</v>
      </c>
      <c r="C274" s="11">
        <f t="shared" si="41"/>
        <v>0.52807365497538516</v>
      </c>
      <c r="D274" s="11">
        <f t="shared" si="42"/>
        <v>0.17519075076458596</v>
      </c>
      <c r="E274" s="18">
        <f>MAX(0,Y273-('P-Parametri'!$B$31*AF273))</f>
        <v>114.57376949268564</v>
      </c>
      <c r="F274" s="18">
        <f>MAX(0,AA273-('P-Parametri'!$C$31*AF273))</f>
        <v>0</v>
      </c>
      <c r="G274" s="18">
        <f>MAX(0,AC273-('P-Parametri'!$D$31*AF273))</f>
        <v>0</v>
      </c>
      <c r="H274" s="18">
        <f>E274*C274*'P-Parametri'!$B$6+F274*D274*'P-Parametri'!$B$7</f>
        <v>15.730881197280544</v>
      </c>
      <c r="I274" s="18">
        <f t="shared" si="43"/>
        <v>98.842888295405103</v>
      </c>
      <c r="J274" s="18">
        <f>MAX(0,('P-Parametri'!$B$31*AF273)-Y273)+MAX(0,('P-Parametri'!$C$31*AF273)-AA273)+MAX(0,('P-Parametri'!$D$31*AF273)-AC273)</f>
        <v>114.57376949268587</v>
      </c>
      <c r="K274" s="18">
        <f>Y273-E274+IF(J274&lt;=0,0,I274*MAX(0,('P-Parametri'!$B$31*AF273)-Y273)/J274)</f>
        <v>4201.122911037487</v>
      </c>
      <c r="L274" s="18">
        <f>Z273-E274*(1-C274)+IF(J274&lt;=0,0,I274*MAX(0,('P-Parametri'!$B$31*AF273)-Y273)/J274)</f>
        <v>1982.6205804050912</v>
      </c>
      <c r="M274" s="18">
        <f>AA273-F274+IF(J274&lt;=0,0,I274*MAX(0,('P-Parametri'!$C$31*AF273)-AA273)/J274)</f>
        <v>2089.4391438847638</v>
      </c>
      <c r="N274" s="18">
        <f>AB273-F274*(1-D274)+IF(J274&lt;=0,0,I274*MAX(0,('P-Parametri'!$C$31*AF273)-AA273)/J274)</f>
        <v>1735.6320349210951</v>
      </c>
      <c r="O274" s="18">
        <f>AC273-G274+IF(J274&lt;=0,0,I274*MAX(0,('P-Parametri'!$D$31*AF273)-AC273)/J274)</f>
        <v>695.57858227628026</v>
      </c>
      <c r="P274" s="18">
        <f>AD273-G274+IF(J274&lt;=0,0,I274*MAX(0,('P-Parametri'!$D$31*AF273)-AC273)/J274)</f>
        <v>-7402.3549457435784</v>
      </c>
      <c r="Q274" s="18">
        <f t="shared" si="44"/>
        <v>4488.9502439184871</v>
      </c>
      <c r="R274" s="18">
        <f>M274*(1+'P-Parametri'!$C$29)</f>
        <v>2099.8863396041875</v>
      </c>
      <c r="S274" s="18">
        <f>O274*(1+'1-Input'!$B$27)</f>
        <v>693.07449938008563</v>
      </c>
      <c r="T274" s="11">
        <f t="shared" si="45"/>
        <v>0.55833313521550076</v>
      </c>
      <c r="U274" s="11">
        <f t="shared" si="46"/>
        <v>0.17346381935688557</v>
      </c>
      <c r="V274" s="18">
        <f>IF(AG273=0,0,(MIN((Q274+R274+S274),MAX(0,$B$5-IF($A274&gt;='1-Input'!$C$12,'1-Input'!$B$12,0))/(Q274/(Q274+R274+S274)*(1-'P-Parametri'!$B$6*T274)+R274/(Q274+R274+S274)*(1-'P-Parametri'!$B$7*U274)+S274/(Q274+R274+S274))))*Q274/(Q274+R274+S274))</f>
        <v>0</v>
      </c>
      <c r="W274" s="18">
        <f>IF(AG273=0,0,(MIN((Q274+R274+S274),MAX(0,$B$5-IF($A274&gt;='1-Input'!$C$12,'1-Input'!$B$12,0))/(Q274/(Q274+R274+S274)*(1-'P-Parametri'!$B$6*T274)+R274/(Q274+R274+S274)*(1-'P-Parametri'!$B$7*U274)+S274/(Q274+R274+S274))))*R274/(Q274+R274+S274))</f>
        <v>0</v>
      </c>
      <c r="X274" s="18">
        <f>IF(AG273=0,0,(MIN((Q274+R274+S274),MAX(0,$B$5-IF($A274&gt;='1-Input'!$C$12,'1-Input'!$B$12,0))/(Q274/(Q274+R274+S274)*(1-'P-Parametri'!$B$6*T274)+R274/(Q274+R274+S274)*(1-'P-Parametri'!$B$7*U274)+S274/(Q274+R274+S274))))*S274/(Q274+R274+S274))</f>
        <v>0</v>
      </c>
      <c r="Y274" s="18">
        <f t="shared" si="47"/>
        <v>4315.6966805301727</v>
      </c>
      <c r="Z274" s="18">
        <f t="shared" si="48"/>
        <v>2036.690960677467</v>
      </c>
      <c r="AA274" s="18">
        <f t="shared" si="49"/>
        <v>2019.553586131382</v>
      </c>
      <c r="AB274" s="18">
        <f t="shared" si="50"/>
        <v>1665.7464771677132</v>
      </c>
      <c r="AC274" s="18">
        <f t="shared" si="51"/>
        <v>666.62125173425693</v>
      </c>
      <c r="AD274" s="18">
        <f t="shared" si="52"/>
        <v>-7431.3122762856019</v>
      </c>
      <c r="AE274" s="18">
        <f>IF(AG274=0,AE273,AE273+H274+V274*T274*'P-Parametri'!$B$6+W274*U274*'P-Parametri'!$B$7)</f>
        <v>17719.424342522081</v>
      </c>
      <c r="AF274" s="18">
        <f t="shared" si="39"/>
        <v>7001.871518395812</v>
      </c>
      <c r="AG274" s="10">
        <f>IF(AND(AG273=1,(X274+W274*(1-'P-Parametri'!$B$7*U274)+V274*(1-'P-Parametri'!$B$6*T274))&gt;=MAX(0,$B$5-IF($A274&gt;='1-Input'!$C$12,'1-Input'!$B$12,0))-0.01),1,0)</f>
        <v>0</v>
      </c>
      <c r="AI274" s="11">
        <f t="shared" si="53"/>
        <v>0.52841927102526653</v>
      </c>
      <c r="AJ274" s="11">
        <f t="shared" si="54"/>
        <v>0</v>
      </c>
      <c r="AK274" s="18">
        <f>MAX(0,BE273-('P-Parametri'!$B$31*BL273))</f>
        <v>3237.6275300382667</v>
      </c>
      <c r="AL274" s="18">
        <f>MAX(0,BG273-('P-Parametri'!$C$31*BL273))</f>
        <v>0</v>
      </c>
      <c r="AM274" s="18">
        <f>MAX(0,BI273-('P-Parametri'!$D$31*BL273))</f>
        <v>0</v>
      </c>
      <c r="AN274" s="18">
        <f>AK274*AI274*'P-Parametri'!$B$6+AL274*AJ274*'P-Parametri'!$B$7</f>
        <v>444.81444261128036</v>
      </c>
      <c r="AO274" s="18">
        <f t="shared" si="55"/>
        <v>2792.8130874269864</v>
      </c>
      <c r="AP274" s="18">
        <f>MAX(0,('P-Parametri'!$B$31*BL273)-BE273)+MAX(0,('P-Parametri'!$C$31*BL273)-BG273)+MAX(0,('P-Parametri'!$D$31*BL273)-BI273)</f>
        <v>3237.6275300382667</v>
      </c>
      <c r="AQ274" s="18">
        <f>BE273-AK274+IF(AP274&lt;=0,0,AO274*MAX(0,('P-Parametri'!$B$31*BL273)-BE273)/AP274)</f>
        <v>4856.4412950573997</v>
      </c>
      <c r="AR274" s="18">
        <f>BF273-AK274*(1-AI274)+IF(AP274&lt;=0,0,AO274*MAX(0,('P-Parametri'!$B$31*BL273)-BE273)/AP274)</f>
        <v>2290.2041261461673</v>
      </c>
      <c r="AS274" s="18">
        <f>BG273-AL274+IF(AP274&lt;=0,0,AO274*MAX(0,('P-Parametri'!$C$31*BL273)-BG273)/AP274)</f>
        <v>2094.6098155702393</v>
      </c>
      <c r="AT274" s="18">
        <f>BH273-AL274*(1-AJ274)+IF(AP274&lt;=0,0,AO274*MAX(0,('P-Parametri'!$C$31*BL273)-BG273)/AP274)</f>
        <v>2094.6098155702393</v>
      </c>
      <c r="AU274" s="18">
        <f>BI273-AM274+IF(AP274&lt;=0,0,AO274*MAX(0,('P-Parametri'!$D$31*BL273)-BI273)/AP274)</f>
        <v>698.2032718567466</v>
      </c>
      <c r="AV274" s="18">
        <f>BJ273-AM274+IF(AP274&lt;=0,0,AO274*MAX(0,('P-Parametri'!$D$31*BL273)-BI273)/AP274)</f>
        <v>-7422.5197042408417</v>
      </c>
      <c r="AW274" s="18">
        <f t="shared" si="56"/>
        <v>5189.1658010643714</v>
      </c>
      <c r="AX274" s="18">
        <f>AS274*(1+'P-Parametri'!$C$29)</f>
        <v>2105.0828646480904</v>
      </c>
      <c r="AY274" s="18">
        <f>AU274*(1+'1-Input'!$B$27)</f>
        <v>695.6897400780623</v>
      </c>
      <c r="AZ274" s="11">
        <f t="shared" si="57"/>
        <v>0.5586565906843034</v>
      </c>
      <c r="BA274" s="11">
        <f t="shared" si="58"/>
        <v>4.9751243781094075E-3</v>
      </c>
      <c r="BB274" s="18">
        <f>IF(BM273=0,0,MIN(MAX(AW274,0),(MAX(0,$B$5-IF($A274&gt;='1-Input'!$C$12,'1-Input'!$B$12,0))-BD274-BC274*(1-'P-Parametri'!$B$7*BA274))/(1-'P-Parametri'!$B$6*AZ274)))</f>
        <v>0</v>
      </c>
      <c r="BC274" s="18">
        <f>IF(BM273=0,0,MIN(MAX(AX274,0),(MAX(0,$B$5-IF($A274&gt;='1-Input'!$C$12,'1-Input'!$B$12,0))-BD274)/(1-'P-Parametri'!$B$7*BA274)))</f>
        <v>0</v>
      </c>
      <c r="BD274" s="18">
        <f>IF(BM273=0,0,MIN(MAX(AY274,0),MAX(0,$B$5-IF($A274&gt;='1-Input'!$C$12,'1-Input'!$B$12,0))))</f>
        <v>0</v>
      </c>
      <c r="BE274" s="18">
        <f t="shared" si="59"/>
        <v>8094.0688250956664</v>
      </c>
      <c r="BF274" s="18">
        <f t="shared" si="60"/>
        <v>3817.0068769102791</v>
      </c>
      <c r="BG274" s="18">
        <f t="shared" si="61"/>
        <v>0</v>
      </c>
      <c r="BH274" s="18">
        <f t="shared" si="62"/>
        <v>0</v>
      </c>
      <c r="BI274" s="18">
        <f t="shared" si="63"/>
        <v>0</v>
      </c>
      <c r="BJ274" s="18">
        <f t="shared" si="64"/>
        <v>-8120.7229760975879</v>
      </c>
      <c r="BK274" s="18">
        <f>IF(BM274=0,BK273,BK273+AN274+BB274*AZ274*'P-Parametri'!$B$6+BC274*BA274*'P-Parametri'!$B$7)</f>
        <v>17450.721955324654</v>
      </c>
      <c r="BL274" s="18">
        <f t="shared" si="40"/>
        <v>8094.0688250956664</v>
      </c>
      <c r="BM274" s="10">
        <f>IF(AND(BM273=1,(BD274+BC274*(1-'P-Parametri'!$B$7*BA274)+BB274*(1-'P-Parametri'!$B$6*AZ274))&gt;=MAX(0,$B$5-IF($A274&gt;='1-Input'!$C$12,'1-Input'!$B$12,0))-0.01),1,0)</f>
        <v>0</v>
      </c>
    </row>
    <row r="275" spans="1:65">
      <c r="A275" s="10">
        <f>26</f>
        <v>26</v>
      </c>
      <c r="B275" s="11">
        <f>IF(A275=1,'P-Parametri'!$B$30,IF(A275=2,'P-Parametri'!$C$30,'P-Parametri'!$B$29))</f>
        <v>6.8512000000000003E-2</v>
      </c>
      <c r="C275" s="11">
        <f t="shared" si="41"/>
        <v>0.52807365497538516</v>
      </c>
      <c r="D275" s="11">
        <f t="shared" si="42"/>
        <v>0.17519075076458596</v>
      </c>
      <c r="E275" s="18">
        <f>MAX(0,Y274-('P-Parametri'!$B$31*AF274))</f>
        <v>114.57376949268564</v>
      </c>
      <c r="F275" s="18">
        <f>MAX(0,AA274-('P-Parametri'!$C$31*AF274))</f>
        <v>0</v>
      </c>
      <c r="G275" s="18">
        <f>MAX(0,AC274-('P-Parametri'!$D$31*AF274))</f>
        <v>0</v>
      </c>
      <c r="H275" s="18">
        <f>E275*C275*'P-Parametri'!$B$6+F275*D275*'P-Parametri'!$B$7</f>
        <v>15.730881197280544</v>
      </c>
      <c r="I275" s="18">
        <f t="shared" si="43"/>
        <v>98.842888295405103</v>
      </c>
      <c r="J275" s="18">
        <f>MAX(0,('P-Parametri'!$B$31*AF274)-Y274)+MAX(0,('P-Parametri'!$C$31*AF274)-AA274)+MAX(0,('P-Parametri'!$D$31*AF274)-AC274)</f>
        <v>114.57376949268587</v>
      </c>
      <c r="K275" s="18">
        <f>Y274-E275+IF(J275&lt;=0,0,I275*MAX(0,('P-Parametri'!$B$31*AF274)-Y274)/J275)</f>
        <v>4201.122911037487</v>
      </c>
      <c r="L275" s="18">
        <f>Z274-E275*(1-C275)+IF(J275&lt;=0,0,I275*MAX(0,('P-Parametri'!$B$31*AF274)-Y274)/J275)</f>
        <v>1982.6205804050912</v>
      </c>
      <c r="M275" s="18">
        <f>AA274-F275+IF(J275&lt;=0,0,I275*MAX(0,('P-Parametri'!$C$31*AF274)-AA274)/J275)</f>
        <v>2089.4391438847638</v>
      </c>
      <c r="N275" s="18">
        <f>AB274-F275*(1-D275)+IF(J275&lt;=0,0,I275*MAX(0,('P-Parametri'!$C$31*AF274)-AA274)/J275)</f>
        <v>1735.6320349210951</v>
      </c>
      <c r="O275" s="18">
        <f>AC274-G275+IF(J275&lt;=0,0,I275*MAX(0,('P-Parametri'!$D$31*AF274)-AC274)/J275)</f>
        <v>695.57858227628026</v>
      </c>
      <c r="P275" s="18">
        <f>AD274-G275+IF(J275&lt;=0,0,I275*MAX(0,('P-Parametri'!$D$31*AF274)-AC274)/J275)</f>
        <v>-7402.3549457435784</v>
      </c>
      <c r="Q275" s="18">
        <f t="shared" si="44"/>
        <v>4488.9502439184871</v>
      </c>
      <c r="R275" s="18">
        <f>M275*(1+'P-Parametri'!$C$29)</f>
        <v>2099.8863396041875</v>
      </c>
      <c r="S275" s="18">
        <f>O275*(1+'1-Input'!$B$27)</f>
        <v>693.07449938008563</v>
      </c>
      <c r="T275" s="11">
        <f t="shared" si="45"/>
        <v>0.55833313521550076</v>
      </c>
      <c r="U275" s="11">
        <f t="shared" si="46"/>
        <v>0.17346381935688557</v>
      </c>
      <c r="V275" s="18">
        <f>IF(AG274=0,0,(MIN((Q275+R275+S275),MAX(0,$B$5-IF($A275&gt;='1-Input'!$C$12,'1-Input'!$B$12,0))/(Q275/(Q275+R275+S275)*(1-'P-Parametri'!$B$6*T275)+R275/(Q275+R275+S275)*(1-'P-Parametri'!$B$7*U275)+S275/(Q275+R275+S275))))*Q275/(Q275+R275+S275))</f>
        <v>0</v>
      </c>
      <c r="W275" s="18">
        <f>IF(AG274=0,0,(MIN((Q275+R275+S275),MAX(0,$B$5-IF($A275&gt;='1-Input'!$C$12,'1-Input'!$B$12,0))/(Q275/(Q275+R275+S275)*(1-'P-Parametri'!$B$6*T275)+R275/(Q275+R275+S275)*(1-'P-Parametri'!$B$7*U275)+S275/(Q275+R275+S275))))*R275/(Q275+R275+S275))</f>
        <v>0</v>
      </c>
      <c r="X275" s="18">
        <f>IF(AG274=0,0,(MIN((Q275+R275+S275),MAX(0,$B$5-IF($A275&gt;='1-Input'!$C$12,'1-Input'!$B$12,0))/(Q275/(Q275+R275+S275)*(1-'P-Parametri'!$B$6*T275)+R275/(Q275+R275+S275)*(1-'P-Parametri'!$B$7*U275)+S275/(Q275+R275+S275))))*S275/(Q275+R275+S275))</f>
        <v>0</v>
      </c>
      <c r="Y275" s="18">
        <f t="shared" si="47"/>
        <v>4315.6966805301727</v>
      </c>
      <c r="Z275" s="18">
        <f t="shared" si="48"/>
        <v>2036.690960677467</v>
      </c>
      <c r="AA275" s="18">
        <f t="shared" si="49"/>
        <v>2019.553586131382</v>
      </c>
      <c r="AB275" s="18">
        <f t="shared" si="50"/>
        <v>1665.7464771677132</v>
      </c>
      <c r="AC275" s="18">
        <f t="shared" si="51"/>
        <v>666.62125173425693</v>
      </c>
      <c r="AD275" s="18">
        <f t="shared" si="52"/>
        <v>-7431.3122762856019</v>
      </c>
      <c r="AE275" s="18">
        <f>IF(AG275=0,AE274,AE274+H275+V275*T275*'P-Parametri'!$B$6+W275*U275*'P-Parametri'!$B$7)</f>
        <v>17719.424342522081</v>
      </c>
      <c r="AF275" s="18">
        <f t="shared" si="39"/>
        <v>7001.871518395812</v>
      </c>
      <c r="AG275" s="10">
        <f>IF(AND(AG274=1,(X275+W275*(1-'P-Parametri'!$B$7*U275)+V275*(1-'P-Parametri'!$B$6*T275))&gt;=MAX(0,$B$5-IF($A275&gt;='1-Input'!$C$12,'1-Input'!$B$12,0))-0.01),1,0)</f>
        <v>0</v>
      </c>
      <c r="AI275" s="11">
        <f t="shared" si="53"/>
        <v>0.52841927102526653</v>
      </c>
      <c r="AJ275" s="11">
        <f t="shared" si="54"/>
        <v>0</v>
      </c>
      <c r="AK275" s="18">
        <f>MAX(0,BE274-('P-Parametri'!$B$31*BL274))</f>
        <v>3237.6275300382667</v>
      </c>
      <c r="AL275" s="18">
        <f>MAX(0,BG274-('P-Parametri'!$C$31*BL274))</f>
        <v>0</v>
      </c>
      <c r="AM275" s="18">
        <f>MAX(0,BI274-('P-Parametri'!$D$31*BL274))</f>
        <v>0</v>
      </c>
      <c r="AN275" s="18">
        <f>AK275*AI275*'P-Parametri'!$B$6+AL275*AJ275*'P-Parametri'!$B$7</f>
        <v>444.81444261128036</v>
      </c>
      <c r="AO275" s="18">
        <f t="shared" si="55"/>
        <v>2792.8130874269864</v>
      </c>
      <c r="AP275" s="18">
        <f>MAX(0,('P-Parametri'!$B$31*BL274)-BE274)+MAX(0,('P-Parametri'!$C$31*BL274)-BG274)+MAX(0,('P-Parametri'!$D$31*BL274)-BI274)</f>
        <v>3237.6275300382667</v>
      </c>
      <c r="AQ275" s="18">
        <f>BE274-AK275+IF(AP275&lt;=0,0,AO275*MAX(0,('P-Parametri'!$B$31*BL274)-BE274)/AP275)</f>
        <v>4856.4412950573997</v>
      </c>
      <c r="AR275" s="18">
        <f>BF274-AK275*(1-AI275)+IF(AP275&lt;=0,0,AO275*MAX(0,('P-Parametri'!$B$31*BL274)-BE274)/AP275)</f>
        <v>2290.2041261461673</v>
      </c>
      <c r="AS275" s="18">
        <f>BG274-AL275+IF(AP275&lt;=0,0,AO275*MAX(0,('P-Parametri'!$C$31*BL274)-BG274)/AP275)</f>
        <v>2094.6098155702393</v>
      </c>
      <c r="AT275" s="18">
        <f>BH274-AL275*(1-AJ275)+IF(AP275&lt;=0,0,AO275*MAX(0,('P-Parametri'!$C$31*BL274)-BG274)/AP275)</f>
        <v>2094.6098155702393</v>
      </c>
      <c r="AU275" s="18">
        <f>BI274-AM275+IF(AP275&lt;=0,0,AO275*MAX(0,('P-Parametri'!$D$31*BL274)-BI274)/AP275)</f>
        <v>698.2032718567466</v>
      </c>
      <c r="AV275" s="18">
        <f>BJ274-AM275+IF(AP275&lt;=0,0,AO275*MAX(0,('P-Parametri'!$D$31*BL274)-BI274)/AP275)</f>
        <v>-7422.5197042408417</v>
      </c>
      <c r="AW275" s="18">
        <f t="shared" si="56"/>
        <v>5189.1658010643714</v>
      </c>
      <c r="AX275" s="18">
        <f>AS275*(1+'P-Parametri'!$C$29)</f>
        <v>2105.0828646480904</v>
      </c>
      <c r="AY275" s="18">
        <f>AU275*(1+'1-Input'!$B$27)</f>
        <v>695.6897400780623</v>
      </c>
      <c r="AZ275" s="11">
        <f t="shared" si="57"/>
        <v>0.5586565906843034</v>
      </c>
      <c r="BA275" s="11">
        <f t="shared" si="58"/>
        <v>4.9751243781094075E-3</v>
      </c>
      <c r="BB275" s="18">
        <f>IF(BM274=0,0,MIN(MAX(AW275,0),(MAX(0,$B$5-IF($A275&gt;='1-Input'!$C$12,'1-Input'!$B$12,0))-BD275-BC275*(1-'P-Parametri'!$B$7*BA275))/(1-'P-Parametri'!$B$6*AZ275)))</f>
        <v>0</v>
      </c>
      <c r="BC275" s="18">
        <f>IF(BM274=0,0,MIN(MAX(AX275,0),(MAX(0,$B$5-IF($A275&gt;='1-Input'!$C$12,'1-Input'!$B$12,0))-BD275)/(1-'P-Parametri'!$B$7*BA275)))</f>
        <v>0</v>
      </c>
      <c r="BD275" s="18">
        <f>IF(BM274=0,0,MIN(MAX(AY275,0),MAX(0,$B$5-IF($A275&gt;='1-Input'!$C$12,'1-Input'!$B$12,0))))</f>
        <v>0</v>
      </c>
      <c r="BE275" s="18">
        <f t="shared" si="59"/>
        <v>8094.0688250956664</v>
      </c>
      <c r="BF275" s="18">
        <f t="shared" si="60"/>
        <v>3817.0068769102791</v>
      </c>
      <c r="BG275" s="18">
        <f t="shared" si="61"/>
        <v>0</v>
      </c>
      <c r="BH275" s="18">
        <f t="shared" si="62"/>
        <v>0</v>
      </c>
      <c r="BI275" s="18">
        <f t="shared" si="63"/>
        <v>0</v>
      </c>
      <c r="BJ275" s="18">
        <f t="shared" si="64"/>
        <v>-8120.7229760975879</v>
      </c>
      <c r="BK275" s="18">
        <f>IF(BM275=0,BK274,BK274+AN275+BB275*AZ275*'P-Parametri'!$B$6+BC275*BA275*'P-Parametri'!$B$7)</f>
        <v>17450.721955324654</v>
      </c>
      <c r="BL275" s="18">
        <f t="shared" si="40"/>
        <v>8094.0688250956664</v>
      </c>
      <c r="BM275" s="10">
        <f>IF(AND(BM274=1,(BD275+BC275*(1-'P-Parametri'!$B$7*BA275)+BB275*(1-'P-Parametri'!$B$6*AZ275))&gt;=MAX(0,$B$5-IF($A275&gt;='1-Input'!$C$12,'1-Input'!$B$12,0))-0.01),1,0)</f>
        <v>0</v>
      </c>
    </row>
    <row r="276" spans="1:65">
      <c r="A276" s="10">
        <f>27</f>
        <v>27</v>
      </c>
      <c r="B276" s="11">
        <f>IF(A276=1,'P-Parametri'!$B$30,IF(A276=2,'P-Parametri'!$C$30,'P-Parametri'!$B$29))</f>
        <v>6.8512000000000003E-2</v>
      </c>
      <c r="C276" s="11">
        <f t="shared" si="41"/>
        <v>0.52807365497538516</v>
      </c>
      <c r="D276" s="11">
        <f t="shared" si="42"/>
        <v>0.17519075076458596</v>
      </c>
      <c r="E276" s="18">
        <f>MAX(0,Y275-('P-Parametri'!$B$31*AF275))</f>
        <v>114.57376949268564</v>
      </c>
      <c r="F276" s="18">
        <f>MAX(0,AA275-('P-Parametri'!$C$31*AF275))</f>
        <v>0</v>
      </c>
      <c r="G276" s="18">
        <f>MAX(0,AC275-('P-Parametri'!$D$31*AF275))</f>
        <v>0</v>
      </c>
      <c r="H276" s="18">
        <f>E276*C276*'P-Parametri'!$B$6+F276*D276*'P-Parametri'!$B$7</f>
        <v>15.730881197280544</v>
      </c>
      <c r="I276" s="18">
        <f t="shared" si="43"/>
        <v>98.842888295405103</v>
      </c>
      <c r="J276" s="18">
        <f>MAX(0,('P-Parametri'!$B$31*AF275)-Y275)+MAX(0,('P-Parametri'!$C$31*AF275)-AA275)+MAX(0,('P-Parametri'!$D$31*AF275)-AC275)</f>
        <v>114.57376949268587</v>
      </c>
      <c r="K276" s="18">
        <f>Y275-E276+IF(J276&lt;=0,0,I276*MAX(0,('P-Parametri'!$B$31*AF275)-Y275)/J276)</f>
        <v>4201.122911037487</v>
      </c>
      <c r="L276" s="18">
        <f>Z275-E276*(1-C276)+IF(J276&lt;=0,0,I276*MAX(0,('P-Parametri'!$B$31*AF275)-Y275)/J276)</f>
        <v>1982.6205804050912</v>
      </c>
      <c r="M276" s="18">
        <f>AA275-F276+IF(J276&lt;=0,0,I276*MAX(0,('P-Parametri'!$C$31*AF275)-AA275)/J276)</f>
        <v>2089.4391438847638</v>
      </c>
      <c r="N276" s="18">
        <f>AB275-F276*(1-D276)+IF(J276&lt;=0,0,I276*MAX(0,('P-Parametri'!$C$31*AF275)-AA275)/J276)</f>
        <v>1735.6320349210951</v>
      </c>
      <c r="O276" s="18">
        <f>AC275-G276+IF(J276&lt;=0,0,I276*MAX(0,('P-Parametri'!$D$31*AF275)-AC275)/J276)</f>
        <v>695.57858227628026</v>
      </c>
      <c r="P276" s="18">
        <f>AD275-G276+IF(J276&lt;=0,0,I276*MAX(0,('P-Parametri'!$D$31*AF275)-AC275)/J276)</f>
        <v>-7402.3549457435784</v>
      </c>
      <c r="Q276" s="18">
        <f t="shared" si="44"/>
        <v>4488.9502439184871</v>
      </c>
      <c r="R276" s="18">
        <f>M276*(1+'P-Parametri'!$C$29)</f>
        <v>2099.8863396041875</v>
      </c>
      <c r="S276" s="18">
        <f>O276*(1+'1-Input'!$B$27)</f>
        <v>693.07449938008563</v>
      </c>
      <c r="T276" s="11">
        <f t="shared" si="45"/>
        <v>0.55833313521550076</v>
      </c>
      <c r="U276" s="11">
        <f t="shared" si="46"/>
        <v>0.17346381935688557</v>
      </c>
      <c r="V276" s="18">
        <f>IF(AG275=0,0,(MIN((Q276+R276+S276),MAX(0,$B$5-IF($A276&gt;='1-Input'!$C$12,'1-Input'!$B$12,0))/(Q276/(Q276+R276+S276)*(1-'P-Parametri'!$B$6*T276)+R276/(Q276+R276+S276)*(1-'P-Parametri'!$B$7*U276)+S276/(Q276+R276+S276))))*Q276/(Q276+R276+S276))</f>
        <v>0</v>
      </c>
      <c r="W276" s="18">
        <f>IF(AG275=0,0,(MIN((Q276+R276+S276),MAX(0,$B$5-IF($A276&gt;='1-Input'!$C$12,'1-Input'!$B$12,0))/(Q276/(Q276+R276+S276)*(1-'P-Parametri'!$B$6*T276)+R276/(Q276+R276+S276)*(1-'P-Parametri'!$B$7*U276)+S276/(Q276+R276+S276))))*R276/(Q276+R276+S276))</f>
        <v>0</v>
      </c>
      <c r="X276" s="18">
        <f>IF(AG275=0,0,(MIN((Q276+R276+S276),MAX(0,$B$5-IF($A276&gt;='1-Input'!$C$12,'1-Input'!$B$12,0))/(Q276/(Q276+R276+S276)*(1-'P-Parametri'!$B$6*T276)+R276/(Q276+R276+S276)*(1-'P-Parametri'!$B$7*U276)+S276/(Q276+R276+S276))))*S276/(Q276+R276+S276))</f>
        <v>0</v>
      </c>
      <c r="Y276" s="18">
        <f t="shared" si="47"/>
        <v>4315.6966805301727</v>
      </c>
      <c r="Z276" s="18">
        <f t="shared" si="48"/>
        <v>2036.690960677467</v>
      </c>
      <c r="AA276" s="18">
        <f t="shared" si="49"/>
        <v>2019.553586131382</v>
      </c>
      <c r="AB276" s="18">
        <f t="shared" si="50"/>
        <v>1665.7464771677132</v>
      </c>
      <c r="AC276" s="18">
        <f t="shared" si="51"/>
        <v>666.62125173425693</v>
      </c>
      <c r="AD276" s="18">
        <f t="shared" si="52"/>
        <v>-7431.3122762856019</v>
      </c>
      <c r="AE276" s="18">
        <f>IF(AG276=0,AE275,AE275+H276+V276*T276*'P-Parametri'!$B$6+W276*U276*'P-Parametri'!$B$7)</f>
        <v>17719.424342522081</v>
      </c>
      <c r="AF276" s="18">
        <f t="shared" si="39"/>
        <v>7001.871518395812</v>
      </c>
      <c r="AG276" s="10">
        <f>IF(AND(AG275=1,(X276+W276*(1-'P-Parametri'!$B$7*U276)+V276*(1-'P-Parametri'!$B$6*T276))&gt;=MAX(0,$B$5-IF($A276&gt;='1-Input'!$C$12,'1-Input'!$B$12,0))-0.01),1,0)</f>
        <v>0</v>
      </c>
      <c r="AI276" s="11">
        <f t="shared" si="53"/>
        <v>0.52841927102526653</v>
      </c>
      <c r="AJ276" s="11">
        <f t="shared" si="54"/>
        <v>0</v>
      </c>
      <c r="AK276" s="18">
        <f>MAX(0,BE275-('P-Parametri'!$B$31*BL275))</f>
        <v>3237.6275300382667</v>
      </c>
      <c r="AL276" s="18">
        <f>MAX(0,BG275-('P-Parametri'!$C$31*BL275))</f>
        <v>0</v>
      </c>
      <c r="AM276" s="18">
        <f>MAX(0,BI275-('P-Parametri'!$D$31*BL275))</f>
        <v>0</v>
      </c>
      <c r="AN276" s="18">
        <f>AK276*AI276*'P-Parametri'!$B$6+AL276*AJ276*'P-Parametri'!$B$7</f>
        <v>444.81444261128036</v>
      </c>
      <c r="AO276" s="18">
        <f t="shared" si="55"/>
        <v>2792.8130874269864</v>
      </c>
      <c r="AP276" s="18">
        <f>MAX(0,('P-Parametri'!$B$31*BL275)-BE275)+MAX(0,('P-Parametri'!$C$31*BL275)-BG275)+MAX(0,('P-Parametri'!$D$31*BL275)-BI275)</f>
        <v>3237.6275300382667</v>
      </c>
      <c r="AQ276" s="18">
        <f>BE275-AK276+IF(AP276&lt;=0,0,AO276*MAX(0,('P-Parametri'!$B$31*BL275)-BE275)/AP276)</f>
        <v>4856.4412950573997</v>
      </c>
      <c r="AR276" s="18">
        <f>BF275-AK276*(1-AI276)+IF(AP276&lt;=0,0,AO276*MAX(0,('P-Parametri'!$B$31*BL275)-BE275)/AP276)</f>
        <v>2290.2041261461673</v>
      </c>
      <c r="AS276" s="18">
        <f>BG275-AL276+IF(AP276&lt;=0,0,AO276*MAX(0,('P-Parametri'!$C$31*BL275)-BG275)/AP276)</f>
        <v>2094.6098155702393</v>
      </c>
      <c r="AT276" s="18">
        <f>BH275-AL276*(1-AJ276)+IF(AP276&lt;=0,0,AO276*MAX(0,('P-Parametri'!$C$31*BL275)-BG275)/AP276)</f>
        <v>2094.6098155702393</v>
      </c>
      <c r="AU276" s="18">
        <f>BI275-AM276+IF(AP276&lt;=0,0,AO276*MAX(0,('P-Parametri'!$D$31*BL275)-BI275)/AP276)</f>
        <v>698.2032718567466</v>
      </c>
      <c r="AV276" s="18">
        <f>BJ275-AM276+IF(AP276&lt;=0,0,AO276*MAX(0,('P-Parametri'!$D$31*BL275)-BI275)/AP276)</f>
        <v>-7422.5197042408417</v>
      </c>
      <c r="AW276" s="18">
        <f t="shared" si="56"/>
        <v>5189.1658010643714</v>
      </c>
      <c r="AX276" s="18">
        <f>AS276*(1+'P-Parametri'!$C$29)</f>
        <v>2105.0828646480904</v>
      </c>
      <c r="AY276" s="18">
        <f>AU276*(1+'1-Input'!$B$27)</f>
        <v>695.6897400780623</v>
      </c>
      <c r="AZ276" s="11">
        <f t="shared" si="57"/>
        <v>0.5586565906843034</v>
      </c>
      <c r="BA276" s="11">
        <f t="shared" si="58"/>
        <v>4.9751243781094075E-3</v>
      </c>
      <c r="BB276" s="18">
        <f>IF(BM275=0,0,MIN(MAX(AW276,0),(MAX(0,$B$5-IF($A276&gt;='1-Input'!$C$12,'1-Input'!$B$12,0))-BD276-BC276*(1-'P-Parametri'!$B$7*BA276))/(1-'P-Parametri'!$B$6*AZ276)))</f>
        <v>0</v>
      </c>
      <c r="BC276" s="18">
        <f>IF(BM275=0,0,MIN(MAX(AX276,0),(MAX(0,$B$5-IF($A276&gt;='1-Input'!$C$12,'1-Input'!$B$12,0))-BD276)/(1-'P-Parametri'!$B$7*BA276)))</f>
        <v>0</v>
      </c>
      <c r="BD276" s="18">
        <f>IF(BM275=0,0,MIN(MAX(AY276,0),MAX(0,$B$5-IF($A276&gt;='1-Input'!$C$12,'1-Input'!$B$12,0))))</f>
        <v>0</v>
      </c>
      <c r="BE276" s="18">
        <f t="shared" si="59"/>
        <v>8094.0688250956664</v>
      </c>
      <c r="BF276" s="18">
        <f t="shared" si="60"/>
        <v>3817.0068769102791</v>
      </c>
      <c r="BG276" s="18">
        <f t="shared" si="61"/>
        <v>0</v>
      </c>
      <c r="BH276" s="18">
        <f t="shared" si="62"/>
        <v>0</v>
      </c>
      <c r="BI276" s="18">
        <f t="shared" si="63"/>
        <v>0</v>
      </c>
      <c r="BJ276" s="18">
        <f t="shared" si="64"/>
        <v>-8120.7229760975879</v>
      </c>
      <c r="BK276" s="18">
        <f>IF(BM276=0,BK275,BK275+AN276+BB276*AZ276*'P-Parametri'!$B$6+BC276*BA276*'P-Parametri'!$B$7)</f>
        <v>17450.721955324654</v>
      </c>
      <c r="BL276" s="18">
        <f t="shared" si="40"/>
        <v>8094.0688250956664</v>
      </c>
      <c r="BM276" s="10">
        <f>IF(AND(BM275=1,(BD276+BC276*(1-'P-Parametri'!$B$7*BA276)+BB276*(1-'P-Parametri'!$B$6*AZ276))&gt;=MAX(0,$B$5-IF($A276&gt;='1-Input'!$C$12,'1-Input'!$B$12,0))-0.01),1,0)</f>
        <v>0</v>
      </c>
    </row>
    <row r="277" spans="1:65">
      <c r="A277" s="10">
        <f>28</f>
        <v>28</v>
      </c>
      <c r="B277" s="11">
        <f>IF(A277=1,'P-Parametri'!$B$30,IF(A277=2,'P-Parametri'!$C$30,'P-Parametri'!$B$29))</f>
        <v>6.8512000000000003E-2</v>
      </c>
      <c r="C277" s="11">
        <f t="shared" si="41"/>
        <v>0.52807365497538516</v>
      </c>
      <c r="D277" s="11">
        <f t="shared" si="42"/>
        <v>0.17519075076458596</v>
      </c>
      <c r="E277" s="18">
        <f>MAX(0,Y276-('P-Parametri'!$B$31*AF276))</f>
        <v>114.57376949268564</v>
      </c>
      <c r="F277" s="18">
        <f>MAX(0,AA276-('P-Parametri'!$C$31*AF276))</f>
        <v>0</v>
      </c>
      <c r="G277" s="18">
        <f>MAX(0,AC276-('P-Parametri'!$D$31*AF276))</f>
        <v>0</v>
      </c>
      <c r="H277" s="18">
        <f>E277*C277*'P-Parametri'!$B$6+F277*D277*'P-Parametri'!$B$7</f>
        <v>15.730881197280544</v>
      </c>
      <c r="I277" s="18">
        <f t="shared" si="43"/>
        <v>98.842888295405103</v>
      </c>
      <c r="J277" s="18">
        <f>MAX(0,('P-Parametri'!$B$31*AF276)-Y276)+MAX(0,('P-Parametri'!$C$31*AF276)-AA276)+MAX(0,('P-Parametri'!$D$31*AF276)-AC276)</f>
        <v>114.57376949268587</v>
      </c>
      <c r="K277" s="18">
        <f>Y276-E277+IF(J277&lt;=0,0,I277*MAX(0,('P-Parametri'!$B$31*AF276)-Y276)/J277)</f>
        <v>4201.122911037487</v>
      </c>
      <c r="L277" s="18">
        <f>Z276-E277*(1-C277)+IF(J277&lt;=0,0,I277*MAX(0,('P-Parametri'!$B$31*AF276)-Y276)/J277)</f>
        <v>1982.6205804050912</v>
      </c>
      <c r="M277" s="18">
        <f>AA276-F277+IF(J277&lt;=0,0,I277*MAX(0,('P-Parametri'!$C$31*AF276)-AA276)/J277)</f>
        <v>2089.4391438847638</v>
      </c>
      <c r="N277" s="18">
        <f>AB276-F277*(1-D277)+IF(J277&lt;=0,0,I277*MAX(0,('P-Parametri'!$C$31*AF276)-AA276)/J277)</f>
        <v>1735.6320349210951</v>
      </c>
      <c r="O277" s="18">
        <f>AC276-G277+IF(J277&lt;=0,0,I277*MAX(0,('P-Parametri'!$D$31*AF276)-AC276)/J277)</f>
        <v>695.57858227628026</v>
      </c>
      <c r="P277" s="18">
        <f>AD276-G277+IF(J277&lt;=0,0,I277*MAX(0,('P-Parametri'!$D$31*AF276)-AC276)/J277)</f>
        <v>-7402.3549457435784</v>
      </c>
      <c r="Q277" s="18">
        <f t="shared" si="44"/>
        <v>4488.9502439184871</v>
      </c>
      <c r="R277" s="18">
        <f>M277*(1+'P-Parametri'!$C$29)</f>
        <v>2099.8863396041875</v>
      </c>
      <c r="S277" s="18">
        <f>O277*(1+'1-Input'!$B$27)</f>
        <v>693.07449938008563</v>
      </c>
      <c r="T277" s="11">
        <f t="shared" si="45"/>
        <v>0.55833313521550076</v>
      </c>
      <c r="U277" s="11">
        <f t="shared" si="46"/>
        <v>0.17346381935688557</v>
      </c>
      <c r="V277" s="18">
        <f>IF(AG276=0,0,(MIN((Q277+R277+S277),MAX(0,$B$5-IF($A277&gt;='1-Input'!$C$12,'1-Input'!$B$12,0))/(Q277/(Q277+R277+S277)*(1-'P-Parametri'!$B$6*T277)+R277/(Q277+R277+S277)*(1-'P-Parametri'!$B$7*U277)+S277/(Q277+R277+S277))))*Q277/(Q277+R277+S277))</f>
        <v>0</v>
      </c>
      <c r="W277" s="18">
        <f>IF(AG276=0,0,(MIN((Q277+R277+S277),MAX(0,$B$5-IF($A277&gt;='1-Input'!$C$12,'1-Input'!$B$12,0))/(Q277/(Q277+R277+S277)*(1-'P-Parametri'!$B$6*T277)+R277/(Q277+R277+S277)*(1-'P-Parametri'!$B$7*U277)+S277/(Q277+R277+S277))))*R277/(Q277+R277+S277))</f>
        <v>0</v>
      </c>
      <c r="X277" s="18">
        <f>IF(AG276=0,0,(MIN((Q277+R277+S277),MAX(0,$B$5-IF($A277&gt;='1-Input'!$C$12,'1-Input'!$B$12,0))/(Q277/(Q277+R277+S277)*(1-'P-Parametri'!$B$6*T277)+R277/(Q277+R277+S277)*(1-'P-Parametri'!$B$7*U277)+S277/(Q277+R277+S277))))*S277/(Q277+R277+S277))</f>
        <v>0</v>
      </c>
      <c r="Y277" s="18">
        <f t="shared" si="47"/>
        <v>4315.6966805301727</v>
      </c>
      <c r="Z277" s="18">
        <f t="shared" si="48"/>
        <v>2036.690960677467</v>
      </c>
      <c r="AA277" s="18">
        <f t="shared" si="49"/>
        <v>2019.553586131382</v>
      </c>
      <c r="AB277" s="18">
        <f t="shared" si="50"/>
        <v>1665.7464771677132</v>
      </c>
      <c r="AC277" s="18">
        <f t="shared" si="51"/>
        <v>666.62125173425693</v>
      </c>
      <c r="AD277" s="18">
        <f t="shared" si="52"/>
        <v>-7431.3122762856019</v>
      </c>
      <c r="AE277" s="18">
        <f>IF(AG277=0,AE276,AE276+H277+V277*T277*'P-Parametri'!$B$6+W277*U277*'P-Parametri'!$B$7)</f>
        <v>17719.424342522081</v>
      </c>
      <c r="AF277" s="18">
        <f t="shared" si="39"/>
        <v>7001.871518395812</v>
      </c>
      <c r="AG277" s="10">
        <f>IF(AND(AG276=1,(X277+W277*(1-'P-Parametri'!$B$7*U277)+V277*(1-'P-Parametri'!$B$6*T277))&gt;=MAX(0,$B$5-IF($A277&gt;='1-Input'!$C$12,'1-Input'!$B$12,0))-0.01),1,0)</f>
        <v>0</v>
      </c>
      <c r="AI277" s="11">
        <f t="shared" si="53"/>
        <v>0.52841927102526653</v>
      </c>
      <c r="AJ277" s="11">
        <f t="shared" si="54"/>
        <v>0</v>
      </c>
      <c r="AK277" s="18">
        <f>MAX(0,BE276-('P-Parametri'!$B$31*BL276))</f>
        <v>3237.6275300382667</v>
      </c>
      <c r="AL277" s="18">
        <f>MAX(0,BG276-('P-Parametri'!$C$31*BL276))</f>
        <v>0</v>
      </c>
      <c r="AM277" s="18">
        <f>MAX(0,BI276-('P-Parametri'!$D$31*BL276))</f>
        <v>0</v>
      </c>
      <c r="AN277" s="18">
        <f>AK277*AI277*'P-Parametri'!$B$6+AL277*AJ277*'P-Parametri'!$B$7</f>
        <v>444.81444261128036</v>
      </c>
      <c r="AO277" s="18">
        <f t="shared" si="55"/>
        <v>2792.8130874269864</v>
      </c>
      <c r="AP277" s="18">
        <f>MAX(0,('P-Parametri'!$B$31*BL276)-BE276)+MAX(0,('P-Parametri'!$C$31*BL276)-BG276)+MAX(0,('P-Parametri'!$D$31*BL276)-BI276)</f>
        <v>3237.6275300382667</v>
      </c>
      <c r="AQ277" s="18">
        <f>BE276-AK277+IF(AP277&lt;=0,0,AO277*MAX(0,('P-Parametri'!$B$31*BL276)-BE276)/AP277)</f>
        <v>4856.4412950573997</v>
      </c>
      <c r="AR277" s="18">
        <f>BF276-AK277*(1-AI277)+IF(AP277&lt;=0,0,AO277*MAX(0,('P-Parametri'!$B$31*BL276)-BE276)/AP277)</f>
        <v>2290.2041261461673</v>
      </c>
      <c r="AS277" s="18">
        <f>BG276-AL277+IF(AP277&lt;=0,0,AO277*MAX(0,('P-Parametri'!$C$31*BL276)-BG276)/AP277)</f>
        <v>2094.6098155702393</v>
      </c>
      <c r="AT277" s="18">
        <f>BH276-AL277*(1-AJ277)+IF(AP277&lt;=0,0,AO277*MAX(0,('P-Parametri'!$C$31*BL276)-BG276)/AP277)</f>
        <v>2094.6098155702393</v>
      </c>
      <c r="AU277" s="18">
        <f>BI276-AM277+IF(AP277&lt;=0,0,AO277*MAX(0,('P-Parametri'!$D$31*BL276)-BI276)/AP277)</f>
        <v>698.2032718567466</v>
      </c>
      <c r="AV277" s="18">
        <f>BJ276-AM277+IF(AP277&lt;=0,0,AO277*MAX(0,('P-Parametri'!$D$31*BL276)-BI276)/AP277)</f>
        <v>-7422.5197042408417</v>
      </c>
      <c r="AW277" s="18">
        <f t="shared" si="56"/>
        <v>5189.1658010643714</v>
      </c>
      <c r="AX277" s="18">
        <f>AS277*(1+'P-Parametri'!$C$29)</f>
        <v>2105.0828646480904</v>
      </c>
      <c r="AY277" s="18">
        <f>AU277*(1+'1-Input'!$B$27)</f>
        <v>695.6897400780623</v>
      </c>
      <c r="AZ277" s="11">
        <f t="shared" si="57"/>
        <v>0.5586565906843034</v>
      </c>
      <c r="BA277" s="11">
        <f t="shared" si="58"/>
        <v>4.9751243781094075E-3</v>
      </c>
      <c r="BB277" s="18">
        <f>IF(BM276=0,0,MIN(MAX(AW277,0),(MAX(0,$B$5-IF($A277&gt;='1-Input'!$C$12,'1-Input'!$B$12,0))-BD277-BC277*(1-'P-Parametri'!$B$7*BA277))/(1-'P-Parametri'!$B$6*AZ277)))</f>
        <v>0</v>
      </c>
      <c r="BC277" s="18">
        <f>IF(BM276=0,0,MIN(MAX(AX277,0),(MAX(0,$B$5-IF($A277&gt;='1-Input'!$C$12,'1-Input'!$B$12,0))-BD277)/(1-'P-Parametri'!$B$7*BA277)))</f>
        <v>0</v>
      </c>
      <c r="BD277" s="18">
        <f>IF(BM276=0,0,MIN(MAX(AY277,0),MAX(0,$B$5-IF($A277&gt;='1-Input'!$C$12,'1-Input'!$B$12,0))))</f>
        <v>0</v>
      </c>
      <c r="BE277" s="18">
        <f t="shared" si="59"/>
        <v>8094.0688250956664</v>
      </c>
      <c r="BF277" s="18">
        <f t="shared" si="60"/>
        <v>3817.0068769102791</v>
      </c>
      <c r="BG277" s="18">
        <f t="shared" si="61"/>
        <v>0</v>
      </c>
      <c r="BH277" s="18">
        <f t="shared" si="62"/>
        <v>0</v>
      </c>
      <c r="BI277" s="18">
        <f t="shared" si="63"/>
        <v>0</v>
      </c>
      <c r="BJ277" s="18">
        <f t="shared" si="64"/>
        <v>-8120.7229760975879</v>
      </c>
      <c r="BK277" s="18">
        <f>IF(BM277=0,BK276,BK276+AN277+BB277*AZ277*'P-Parametri'!$B$6+BC277*BA277*'P-Parametri'!$B$7)</f>
        <v>17450.721955324654</v>
      </c>
      <c r="BL277" s="18">
        <f t="shared" si="40"/>
        <v>8094.0688250956664</v>
      </c>
      <c r="BM277" s="10">
        <f>IF(AND(BM276=1,(BD277+BC277*(1-'P-Parametri'!$B$7*BA277)+BB277*(1-'P-Parametri'!$B$6*AZ277))&gt;=MAX(0,$B$5-IF($A277&gt;='1-Input'!$C$12,'1-Input'!$B$12,0))-0.01),1,0)</f>
        <v>0</v>
      </c>
    </row>
    <row r="278" spans="1:65">
      <c r="A278" s="10">
        <f>29</f>
        <v>29</v>
      </c>
      <c r="B278" s="11">
        <f>IF(A278=1,'P-Parametri'!$B$30,IF(A278=2,'P-Parametri'!$C$30,'P-Parametri'!$B$29))</f>
        <v>6.8512000000000003E-2</v>
      </c>
      <c r="C278" s="11">
        <f t="shared" si="41"/>
        <v>0.52807365497538516</v>
      </c>
      <c r="D278" s="11">
        <f t="shared" si="42"/>
        <v>0.17519075076458596</v>
      </c>
      <c r="E278" s="18">
        <f>MAX(0,Y277-('P-Parametri'!$B$31*AF277))</f>
        <v>114.57376949268564</v>
      </c>
      <c r="F278" s="18">
        <f>MAX(0,AA277-('P-Parametri'!$C$31*AF277))</f>
        <v>0</v>
      </c>
      <c r="G278" s="18">
        <f>MAX(0,AC277-('P-Parametri'!$D$31*AF277))</f>
        <v>0</v>
      </c>
      <c r="H278" s="18">
        <f>E278*C278*'P-Parametri'!$B$6+F278*D278*'P-Parametri'!$B$7</f>
        <v>15.730881197280544</v>
      </c>
      <c r="I278" s="18">
        <f t="shared" si="43"/>
        <v>98.842888295405103</v>
      </c>
      <c r="J278" s="18">
        <f>MAX(0,('P-Parametri'!$B$31*AF277)-Y277)+MAX(0,('P-Parametri'!$C$31*AF277)-AA277)+MAX(0,('P-Parametri'!$D$31*AF277)-AC277)</f>
        <v>114.57376949268587</v>
      </c>
      <c r="K278" s="18">
        <f>Y277-E278+IF(J278&lt;=0,0,I278*MAX(0,('P-Parametri'!$B$31*AF277)-Y277)/J278)</f>
        <v>4201.122911037487</v>
      </c>
      <c r="L278" s="18">
        <f>Z277-E278*(1-C278)+IF(J278&lt;=0,0,I278*MAX(0,('P-Parametri'!$B$31*AF277)-Y277)/J278)</f>
        <v>1982.6205804050912</v>
      </c>
      <c r="M278" s="18">
        <f>AA277-F278+IF(J278&lt;=0,0,I278*MAX(0,('P-Parametri'!$C$31*AF277)-AA277)/J278)</f>
        <v>2089.4391438847638</v>
      </c>
      <c r="N278" s="18">
        <f>AB277-F278*(1-D278)+IF(J278&lt;=0,0,I278*MAX(0,('P-Parametri'!$C$31*AF277)-AA277)/J278)</f>
        <v>1735.6320349210951</v>
      </c>
      <c r="O278" s="18">
        <f>AC277-G278+IF(J278&lt;=0,0,I278*MAX(0,('P-Parametri'!$D$31*AF277)-AC277)/J278)</f>
        <v>695.57858227628026</v>
      </c>
      <c r="P278" s="18">
        <f>AD277-G278+IF(J278&lt;=0,0,I278*MAX(0,('P-Parametri'!$D$31*AF277)-AC277)/J278)</f>
        <v>-7402.3549457435784</v>
      </c>
      <c r="Q278" s="18">
        <f t="shared" si="44"/>
        <v>4488.9502439184871</v>
      </c>
      <c r="R278" s="18">
        <f>M278*(1+'P-Parametri'!$C$29)</f>
        <v>2099.8863396041875</v>
      </c>
      <c r="S278" s="18">
        <f>O278*(1+'1-Input'!$B$27)</f>
        <v>693.07449938008563</v>
      </c>
      <c r="T278" s="11">
        <f t="shared" si="45"/>
        <v>0.55833313521550076</v>
      </c>
      <c r="U278" s="11">
        <f t="shared" si="46"/>
        <v>0.17346381935688557</v>
      </c>
      <c r="V278" s="18">
        <f>IF(AG277=0,0,(MIN((Q278+R278+S278),MAX(0,$B$5-IF($A278&gt;='1-Input'!$C$12,'1-Input'!$B$12,0))/(Q278/(Q278+R278+S278)*(1-'P-Parametri'!$B$6*T278)+R278/(Q278+R278+S278)*(1-'P-Parametri'!$B$7*U278)+S278/(Q278+R278+S278))))*Q278/(Q278+R278+S278))</f>
        <v>0</v>
      </c>
      <c r="W278" s="18">
        <f>IF(AG277=0,0,(MIN((Q278+R278+S278),MAX(0,$B$5-IF($A278&gt;='1-Input'!$C$12,'1-Input'!$B$12,0))/(Q278/(Q278+R278+S278)*(1-'P-Parametri'!$B$6*T278)+R278/(Q278+R278+S278)*(1-'P-Parametri'!$B$7*U278)+S278/(Q278+R278+S278))))*R278/(Q278+R278+S278))</f>
        <v>0</v>
      </c>
      <c r="X278" s="18">
        <f>IF(AG277=0,0,(MIN((Q278+R278+S278),MAX(0,$B$5-IF($A278&gt;='1-Input'!$C$12,'1-Input'!$B$12,0))/(Q278/(Q278+R278+S278)*(1-'P-Parametri'!$B$6*T278)+R278/(Q278+R278+S278)*(1-'P-Parametri'!$B$7*U278)+S278/(Q278+R278+S278))))*S278/(Q278+R278+S278))</f>
        <v>0</v>
      </c>
      <c r="Y278" s="18">
        <f t="shared" si="47"/>
        <v>4315.6966805301727</v>
      </c>
      <c r="Z278" s="18">
        <f t="shared" si="48"/>
        <v>2036.690960677467</v>
      </c>
      <c r="AA278" s="18">
        <f t="shared" si="49"/>
        <v>2019.553586131382</v>
      </c>
      <c r="AB278" s="18">
        <f t="shared" si="50"/>
        <v>1665.7464771677132</v>
      </c>
      <c r="AC278" s="18">
        <f t="shared" si="51"/>
        <v>666.62125173425693</v>
      </c>
      <c r="AD278" s="18">
        <f t="shared" si="52"/>
        <v>-7431.3122762856019</v>
      </c>
      <c r="AE278" s="18">
        <f>IF(AG278=0,AE277,AE277+H278+V278*T278*'P-Parametri'!$B$6+W278*U278*'P-Parametri'!$B$7)</f>
        <v>17719.424342522081</v>
      </c>
      <c r="AF278" s="18">
        <f t="shared" si="39"/>
        <v>7001.871518395812</v>
      </c>
      <c r="AG278" s="10">
        <f>IF(AND(AG277=1,(X278+W278*(1-'P-Parametri'!$B$7*U278)+V278*(1-'P-Parametri'!$B$6*T278))&gt;=MAX(0,$B$5-IF($A278&gt;='1-Input'!$C$12,'1-Input'!$B$12,0))-0.01),1,0)</f>
        <v>0</v>
      </c>
      <c r="AI278" s="11">
        <f t="shared" si="53"/>
        <v>0.52841927102526653</v>
      </c>
      <c r="AJ278" s="11">
        <f t="shared" si="54"/>
        <v>0</v>
      </c>
      <c r="AK278" s="18">
        <f>MAX(0,BE277-('P-Parametri'!$B$31*BL277))</f>
        <v>3237.6275300382667</v>
      </c>
      <c r="AL278" s="18">
        <f>MAX(0,BG277-('P-Parametri'!$C$31*BL277))</f>
        <v>0</v>
      </c>
      <c r="AM278" s="18">
        <f>MAX(0,BI277-('P-Parametri'!$D$31*BL277))</f>
        <v>0</v>
      </c>
      <c r="AN278" s="18">
        <f>AK278*AI278*'P-Parametri'!$B$6+AL278*AJ278*'P-Parametri'!$B$7</f>
        <v>444.81444261128036</v>
      </c>
      <c r="AO278" s="18">
        <f t="shared" si="55"/>
        <v>2792.8130874269864</v>
      </c>
      <c r="AP278" s="18">
        <f>MAX(0,('P-Parametri'!$B$31*BL277)-BE277)+MAX(0,('P-Parametri'!$C$31*BL277)-BG277)+MAX(0,('P-Parametri'!$D$31*BL277)-BI277)</f>
        <v>3237.6275300382667</v>
      </c>
      <c r="AQ278" s="18">
        <f>BE277-AK278+IF(AP278&lt;=0,0,AO278*MAX(0,('P-Parametri'!$B$31*BL277)-BE277)/AP278)</f>
        <v>4856.4412950573997</v>
      </c>
      <c r="AR278" s="18">
        <f>BF277-AK278*(1-AI278)+IF(AP278&lt;=0,0,AO278*MAX(0,('P-Parametri'!$B$31*BL277)-BE277)/AP278)</f>
        <v>2290.2041261461673</v>
      </c>
      <c r="AS278" s="18">
        <f>BG277-AL278+IF(AP278&lt;=0,0,AO278*MAX(0,('P-Parametri'!$C$31*BL277)-BG277)/AP278)</f>
        <v>2094.6098155702393</v>
      </c>
      <c r="AT278" s="18">
        <f>BH277-AL278*(1-AJ278)+IF(AP278&lt;=0,0,AO278*MAX(0,('P-Parametri'!$C$31*BL277)-BG277)/AP278)</f>
        <v>2094.6098155702393</v>
      </c>
      <c r="AU278" s="18">
        <f>BI277-AM278+IF(AP278&lt;=0,0,AO278*MAX(0,('P-Parametri'!$D$31*BL277)-BI277)/AP278)</f>
        <v>698.2032718567466</v>
      </c>
      <c r="AV278" s="18">
        <f>BJ277-AM278+IF(AP278&lt;=0,0,AO278*MAX(0,('P-Parametri'!$D$31*BL277)-BI277)/AP278)</f>
        <v>-7422.5197042408417</v>
      </c>
      <c r="AW278" s="18">
        <f t="shared" si="56"/>
        <v>5189.1658010643714</v>
      </c>
      <c r="AX278" s="18">
        <f>AS278*(1+'P-Parametri'!$C$29)</f>
        <v>2105.0828646480904</v>
      </c>
      <c r="AY278" s="18">
        <f>AU278*(1+'1-Input'!$B$27)</f>
        <v>695.6897400780623</v>
      </c>
      <c r="AZ278" s="11">
        <f t="shared" si="57"/>
        <v>0.5586565906843034</v>
      </c>
      <c r="BA278" s="11">
        <f t="shared" si="58"/>
        <v>4.9751243781094075E-3</v>
      </c>
      <c r="BB278" s="18">
        <f>IF(BM277=0,0,MIN(MAX(AW278,0),(MAX(0,$B$5-IF($A278&gt;='1-Input'!$C$12,'1-Input'!$B$12,0))-BD278-BC278*(1-'P-Parametri'!$B$7*BA278))/(1-'P-Parametri'!$B$6*AZ278)))</f>
        <v>0</v>
      </c>
      <c r="BC278" s="18">
        <f>IF(BM277=0,0,MIN(MAX(AX278,0),(MAX(0,$B$5-IF($A278&gt;='1-Input'!$C$12,'1-Input'!$B$12,0))-BD278)/(1-'P-Parametri'!$B$7*BA278)))</f>
        <v>0</v>
      </c>
      <c r="BD278" s="18">
        <f>IF(BM277=0,0,MIN(MAX(AY278,0),MAX(0,$B$5-IF($A278&gt;='1-Input'!$C$12,'1-Input'!$B$12,0))))</f>
        <v>0</v>
      </c>
      <c r="BE278" s="18">
        <f t="shared" si="59"/>
        <v>8094.0688250956664</v>
      </c>
      <c r="BF278" s="18">
        <f t="shared" si="60"/>
        <v>3817.0068769102791</v>
      </c>
      <c r="BG278" s="18">
        <f t="shared" si="61"/>
        <v>0</v>
      </c>
      <c r="BH278" s="18">
        <f t="shared" si="62"/>
        <v>0</v>
      </c>
      <c r="BI278" s="18">
        <f t="shared" si="63"/>
        <v>0</v>
      </c>
      <c r="BJ278" s="18">
        <f t="shared" si="64"/>
        <v>-8120.7229760975879</v>
      </c>
      <c r="BK278" s="18">
        <f>IF(BM278=0,BK277,BK277+AN278+BB278*AZ278*'P-Parametri'!$B$6+BC278*BA278*'P-Parametri'!$B$7)</f>
        <v>17450.721955324654</v>
      </c>
      <c r="BL278" s="18">
        <f t="shared" si="40"/>
        <v>8094.0688250956664</v>
      </c>
      <c r="BM278" s="10">
        <f>IF(AND(BM277=1,(BD278+BC278*(1-'P-Parametri'!$B$7*BA278)+BB278*(1-'P-Parametri'!$B$6*AZ278))&gt;=MAX(0,$B$5-IF($A278&gt;='1-Input'!$C$12,'1-Input'!$B$12,0))-0.01),1,0)</f>
        <v>0</v>
      </c>
    </row>
    <row r="279" spans="1:65">
      <c r="A279" s="10">
        <f>30</f>
        <v>30</v>
      </c>
      <c r="B279" s="11">
        <f>IF(A279=1,'P-Parametri'!$B$30,IF(A279=2,'P-Parametri'!$C$30,'P-Parametri'!$B$29))</f>
        <v>6.8512000000000003E-2</v>
      </c>
      <c r="C279" s="11">
        <f t="shared" si="41"/>
        <v>0.52807365497538516</v>
      </c>
      <c r="D279" s="11">
        <f t="shared" si="42"/>
        <v>0.17519075076458596</v>
      </c>
      <c r="E279" s="18">
        <f>MAX(0,Y278-('P-Parametri'!$B$31*AF278))</f>
        <v>114.57376949268564</v>
      </c>
      <c r="F279" s="18">
        <f>MAX(0,AA278-('P-Parametri'!$C$31*AF278))</f>
        <v>0</v>
      </c>
      <c r="G279" s="18">
        <f>MAX(0,AC278-('P-Parametri'!$D$31*AF278))</f>
        <v>0</v>
      </c>
      <c r="H279" s="18">
        <f>E279*C279*'P-Parametri'!$B$6+F279*D279*'P-Parametri'!$B$7</f>
        <v>15.730881197280544</v>
      </c>
      <c r="I279" s="18">
        <f t="shared" si="43"/>
        <v>98.842888295405103</v>
      </c>
      <c r="J279" s="18">
        <f>MAX(0,('P-Parametri'!$B$31*AF278)-Y278)+MAX(0,('P-Parametri'!$C$31*AF278)-AA278)+MAX(0,('P-Parametri'!$D$31*AF278)-AC278)</f>
        <v>114.57376949268587</v>
      </c>
      <c r="K279" s="18">
        <f>Y278-E279+IF(J279&lt;=0,0,I279*MAX(0,('P-Parametri'!$B$31*AF278)-Y278)/J279)</f>
        <v>4201.122911037487</v>
      </c>
      <c r="L279" s="18">
        <f>Z278-E279*(1-C279)+IF(J279&lt;=0,0,I279*MAX(0,('P-Parametri'!$B$31*AF278)-Y278)/J279)</f>
        <v>1982.6205804050912</v>
      </c>
      <c r="M279" s="18">
        <f>AA278-F279+IF(J279&lt;=0,0,I279*MAX(0,('P-Parametri'!$C$31*AF278)-AA278)/J279)</f>
        <v>2089.4391438847638</v>
      </c>
      <c r="N279" s="18">
        <f>AB278-F279*(1-D279)+IF(J279&lt;=0,0,I279*MAX(0,('P-Parametri'!$C$31*AF278)-AA278)/J279)</f>
        <v>1735.6320349210951</v>
      </c>
      <c r="O279" s="18">
        <f>AC278-G279+IF(J279&lt;=0,0,I279*MAX(0,('P-Parametri'!$D$31*AF278)-AC278)/J279)</f>
        <v>695.57858227628026</v>
      </c>
      <c r="P279" s="18">
        <f>AD278-G279+IF(J279&lt;=0,0,I279*MAX(0,('P-Parametri'!$D$31*AF278)-AC278)/J279)</f>
        <v>-7402.3549457435784</v>
      </c>
      <c r="Q279" s="18">
        <f t="shared" si="44"/>
        <v>4488.9502439184871</v>
      </c>
      <c r="R279" s="18">
        <f>M279*(1+'P-Parametri'!$C$29)</f>
        <v>2099.8863396041875</v>
      </c>
      <c r="S279" s="18">
        <f>O279*(1+'1-Input'!$B$27)</f>
        <v>693.07449938008563</v>
      </c>
      <c r="T279" s="11">
        <f t="shared" si="45"/>
        <v>0.55833313521550076</v>
      </c>
      <c r="U279" s="11">
        <f t="shared" si="46"/>
        <v>0.17346381935688557</v>
      </c>
      <c r="V279" s="18">
        <f>IF(AG278=0,0,(MIN((Q279+R279+S279),MAX(0,$B$5-IF($A279&gt;='1-Input'!$C$12,'1-Input'!$B$12,0))/(Q279/(Q279+R279+S279)*(1-'P-Parametri'!$B$6*T279)+R279/(Q279+R279+S279)*(1-'P-Parametri'!$B$7*U279)+S279/(Q279+R279+S279))))*Q279/(Q279+R279+S279))</f>
        <v>0</v>
      </c>
      <c r="W279" s="18">
        <f>IF(AG278=0,0,(MIN((Q279+R279+S279),MAX(0,$B$5-IF($A279&gt;='1-Input'!$C$12,'1-Input'!$B$12,0))/(Q279/(Q279+R279+S279)*(1-'P-Parametri'!$B$6*T279)+R279/(Q279+R279+S279)*(1-'P-Parametri'!$B$7*U279)+S279/(Q279+R279+S279))))*R279/(Q279+R279+S279))</f>
        <v>0</v>
      </c>
      <c r="X279" s="18">
        <f>IF(AG278=0,0,(MIN((Q279+R279+S279),MAX(0,$B$5-IF($A279&gt;='1-Input'!$C$12,'1-Input'!$B$12,0))/(Q279/(Q279+R279+S279)*(1-'P-Parametri'!$B$6*T279)+R279/(Q279+R279+S279)*(1-'P-Parametri'!$B$7*U279)+S279/(Q279+R279+S279))))*S279/(Q279+R279+S279))</f>
        <v>0</v>
      </c>
      <c r="Y279" s="18">
        <f t="shared" si="47"/>
        <v>4315.6966805301727</v>
      </c>
      <c r="Z279" s="18">
        <f t="shared" si="48"/>
        <v>2036.690960677467</v>
      </c>
      <c r="AA279" s="18">
        <f t="shared" si="49"/>
        <v>2019.553586131382</v>
      </c>
      <c r="AB279" s="18">
        <f t="shared" si="50"/>
        <v>1665.7464771677132</v>
      </c>
      <c r="AC279" s="18">
        <f t="shared" si="51"/>
        <v>666.62125173425693</v>
      </c>
      <c r="AD279" s="18">
        <f t="shared" si="52"/>
        <v>-7431.3122762856019</v>
      </c>
      <c r="AE279" s="18">
        <f>IF(AG279=0,AE278,AE278+H279+V279*T279*'P-Parametri'!$B$6+W279*U279*'P-Parametri'!$B$7)</f>
        <v>17719.424342522081</v>
      </c>
      <c r="AF279" s="18">
        <f t="shared" si="39"/>
        <v>7001.871518395812</v>
      </c>
      <c r="AG279" s="10">
        <f>IF(AND(AG278=1,(X279+W279*(1-'P-Parametri'!$B$7*U279)+V279*(1-'P-Parametri'!$B$6*T279))&gt;=MAX(0,$B$5-IF($A279&gt;='1-Input'!$C$12,'1-Input'!$B$12,0))-0.01),1,0)</f>
        <v>0</v>
      </c>
      <c r="AI279" s="11">
        <f t="shared" si="53"/>
        <v>0.52841927102526653</v>
      </c>
      <c r="AJ279" s="11">
        <f t="shared" si="54"/>
        <v>0</v>
      </c>
      <c r="AK279" s="18">
        <f>MAX(0,BE278-('P-Parametri'!$B$31*BL278))</f>
        <v>3237.6275300382667</v>
      </c>
      <c r="AL279" s="18">
        <f>MAX(0,BG278-('P-Parametri'!$C$31*BL278))</f>
        <v>0</v>
      </c>
      <c r="AM279" s="18">
        <f>MAX(0,BI278-('P-Parametri'!$D$31*BL278))</f>
        <v>0</v>
      </c>
      <c r="AN279" s="18">
        <f>AK279*AI279*'P-Parametri'!$B$6+AL279*AJ279*'P-Parametri'!$B$7</f>
        <v>444.81444261128036</v>
      </c>
      <c r="AO279" s="18">
        <f t="shared" si="55"/>
        <v>2792.8130874269864</v>
      </c>
      <c r="AP279" s="18">
        <f>MAX(0,('P-Parametri'!$B$31*BL278)-BE278)+MAX(0,('P-Parametri'!$C$31*BL278)-BG278)+MAX(0,('P-Parametri'!$D$31*BL278)-BI278)</f>
        <v>3237.6275300382667</v>
      </c>
      <c r="AQ279" s="18">
        <f>BE278-AK279+IF(AP279&lt;=0,0,AO279*MAX(0,('P-Parametri'!$B$31*BL278)-BE278)/AP279)</f>
        <v>4856.4412950573997</v>
      </c>
      <c r="AR279" s="18">
        <f>BF278-AK279*(1-AI279)+IF(AP279&lt;=0,0,AO279*MAX(0,('P-Parametri'!$B$31*BL278)-BE278)/AP279)</f>
        <v>2290.2041261461673</v>
      </c>
      <c r="AS279" s="18">
        <f>BG278-AL279+IF(AP279&lt;=0,0,AO279*MAX(0,('P-Parametri'!$C$31*BL278)-BG278)/AP279)</f>
        <v>2094.6098155702393</v>
      </c>
      <c r="AT279" s="18">
        <f>BH278-AL279*(1-AJ279)+IF(AP279&lt;=0,0,AO279*MAX(0,('P-Parametri'!$C$31*BL278)-BG278)/AP279)</f>
        <v>2094.6098155702393</v>
      </c>
      <c r="AU279" s="18">
        <f>BI278-AM279+IF(AP279&lt;=0,0,AO279*MAX(0,('P-Parametri'!$D$31*BL278)-BI278)/AP279)</f>
        <v>698.2032718567466</v>
      </c>
      <c r="AV279" s="18">
        <f>BJ278-AM279+IF(AP279&lt;=0,0,AO279*MAX(0,('P-Parametri'!$D$31*BL278)-BI278)/AP279)</f>
        <v>-7422.5197042408417</v>
      </c>
      <c r="AW279" s="18">
        <f t="shared" si="56"/>
        <v>5189.1658010643714</v>
      </c>
      <c r="AX279" s="18">
        <f>AS279*(1+'P-Parametri'!$C$29)</f>
        <v>2105.0828646480904</v>
      </c>
      <c r="AY279" s="18">
        <f>AU279*(1+'1-Input'!$B$27)</f>
        <v>695.6897400780623</v>
      </c>
      <c r="AZ279" s="11">
        <f t="shared" si="57"/>
        <v>0.5586565906843034</v>
      </c>
      <c r="BA279" s="11">
        <f t="shared" si="58"/>
        <v>4.9751243781094075E-3</v>
      </c>
      <c r="BB279" s="18">
        <f>IF(BM278=0,0,MIN(MAX(AW279,0),(MAX(0,$B$5-IF($A279&gt;='1-Input'!$C$12,'1-Input'!$B$12,0))-BD279-BC279*(1-'P-Parametri'!$B$7*BA279))/(1-'P-Parametri'!$B$6*AZ279)))</f>
        <v>0</v>
      </c>
      <c r="BC279" s="18">
        <f>IF(BM278=0,0,MIN(MAX(AX279,0),(MAX(0,$B$5-IF($A279&gt;='1-Input'!$C$12,'1-Input'!$B$12,0))-BD279)/(1-'P-Parametri'!$B$7*BA279)))</f>
        <v>0</v>
      </c>
      <c r="BD279" s="18">
        <f>IF(BM278=0,0,MIN(MAX(AY279,0),MAX(0,$B$5-IF($A279&gt;='1-Input'!$C$12,'1-Input'!$B$12,0))))</f>
        <v>0</v>
      </c>
      <c r="BE279" s="18">
        <f t="shared" si="59"/>
        <v>8094.0688250956664</v>
      </c>
      <c r="BF279" s="18">
        <f t="shared" si="60"/>
        <v>3817.0068769102791</v>
      </c>
      <c r="BG279" s="18">
        <f t="shared" si="61"/>
        <v>0</v>
      </c>
      <c r="BH279" s="18">
        <f t="shared" si="62"/>
        <v>0</v>
      </c>
      <c r="BI279" s="18">
        <f t="shared" si="63"/>
        <v>0</v>
      </c>
      <c r="BJ279" s="18">
        <f t="shared" si="64"/>
        <v>-8120.7229760975879</v>
      </c>
      <c r="BK279" s="18">
        <f>IF(BM279=0,BK278,BK278+AN279+BB279*AZ279*'P-Parametri'!$B$6+BC279*BA279*'P-Parametri'!$B$7)</f>
        <v>17450.721955324654</v>
      </c>
      <c r="BL279" s="18">
        <f t="shared" si="40"/>
        <v>8094.0688250956664</v>
      </c>
      <c r="BM279" s="10">
        <f>IF(AND(BM278=1,(BD279+BC279*(1-'P-Parametri'!$B$7*BA279)+BB279*(1-'P-Parametri'!$B$6*AZ279))&gt;=MAX(0,$B$5-IF($A279&gt;='1-Input'!$C$12,'1-Input'!$B$12,0))-0.01),1,0)</f>
        <v>0</v>
      </c>
    </row>
    <row r="280" spans="1:65">
      <c r="A280" s="10">
        <f>31</f>
        <v>31</v>
      </c>
      <c r="B280" s="11">
        <f>IF(A280=1,'P-Parametri'!$B$30,IF(A280=2,'P-Parametri'!$C$30,'P-Parametri'!$B$29))</f>
        <v>6.8512000000000003E-2</v>
      </c>
      <c r="C280" s="11">
        <f t="shared" si="41"/>
        <v>0.52807365497538516</v>
      </c>
      <c r="D280" s="11">
        <f t="shared" si="42"/>
        <v>0.17519075076458596</v>
      </c>
      <c r="E280" s="18">
        <f>MAX(0,Y279-('P-Parametri'!$B$31*AF279))</f>
        <v>114.57376949268564</v>
      </c>
      <c r="F280" s="18">
        <f>MAX(0,AA279-('P-Parametri'!$C$31*AF279))</f>
        <v>0</v>
      </c>
      <c r="G280" s="18">
        <f>MAX(0,AC279-('P-Parametri'!$D$31*AF279))</f>
        <v>0</v>
      </c>
      <c r="H280" s="18">
        <f>E280*C280*'P-Parametri'!$B$6+F280*D280*'P-Parametri'!$B$7</f>
        <v>15.730881197280544</v>
      </c>
      <c r="I280" s="18">
        <f t="shared" si="43"/>
        <v>98.842888295405103</v>
      </c>
      <c r="J280" s="18">
        <f>MAX(0,('P-Parametri'!$B$31*AF279)-Y279)+MAX(0,('P-Parametri'!$C$31*AF279)-AA279)+MAX(0,('P-Parametri'!$D$31*AF279)-AC279)</f>
        <v>114.57376949268587</v>
      </c>
      <c r="K280" s="18">
        <f>Y279-E280+IF(J280&lt;=0,0,I280*MAX(0,('P-Parametri'!$B$31*AF279)-Y279)/J280)</f>
        <v>4201.122911037487</v>
      </c>
      <c r="L280" s="18">
        <f>Z279-E280*(1-C280)+IF(J280&lt;=0,0,I280*MAX(0,('P-Parametri'!$B$31*AF279)-Y279)/J280)</f>
        <v>1982.6205804050912</v>
      </c>
      <c r="M280" s="18">
        <f>AA279-F280+IF(J280&lt;=0,0,I280*MAX(0,('P-Parametri'!$C$31*AF279)-AA279)/J280)</f>
        <v>2089.4391438847638</v>
      </c>
      <c r="N280" s="18">
        <f>AB279-F280*(1-D280)+IF(J280&lt;=0,0,I280*MAX(0,('P-Parametri'!$C$31*AF279)-AA279)/J280)</f>
        <v>1735.6320349210951</v>
      </c>
      <c r="O280" s="18">
        <f>AC279-G280+IF(J280&lt;=0,0,I280*MAX(0,('P-Parametri'!$D$31*AF279)-AC279)/J280)</f>
        <v>695.57858227628026</v>
      </c>
      <c r="P280" s="18">
        <f>AD279-G280+IF(J280&lt;=0,0,I280*MAX(0,('P-Parametri'!$D$31*AF279)-AC279)/J280)</f>
        <v>-7402.3549457435784</v>
      </c>
      <c r="Q280" s="18">
        <f t="shared" si="44"/>
        <v>4488.9502439184871</v>
      </c>
      <c r="R280" s="18">
        <f>M280*(1+'P-Parametri'!$C$29)</f>
        <v>2099.8863396041875</v>
      </c>
      <c r="S280" s="18">
        <f>O280*(1+'1-Input'!$B$27)</f>
        <v>693.07449938008563</v>
      </c>
      <c r="T280" s="11">
        <f t="shared" si="45"/>
        <v>0.55833313521550076</v>
      </c>
      <c r="U280" s="11">
        <f t="shared" si="46"/>
        <v>0.17346381935688557</v>
      </c>
      <c r="V280" s="18">
        <f>IF(AG279=0,0,(MIN((Q280+R280+S280),MAX(0,$B$5-IF($A280&gt;='1-Input'!$C$12,'1-Input'!$B$12,0))/(Q280/(Q280+R280+S280)*(1-'P-Parametri'!$B$6*T280)+R280/(Q280+R280+S280)*(1-'P-Parametri'!$B$7*U280)+S280/(Q280+R280+S280))))*Q280/(Q280+R280+S280))</f>
        <v>0</v>
      </c>
      <c r="W280" s="18">
        <f>IF(AG279=0,0,(MIN((Q280+R280+S280),MAX(0,$B$5-IF($A280&gt;='1-Input'!$C$12,'1-Input'!$B$12,0))/(Q280/(Q280+R280+S280)*(1-'P-Parametri'!$B$6*T280)+R280/(Q280+R280+S280)*(1-'P-Parametri'!$B$7*U280)+S280/(Q280+R280+S280))))*R280/(Q280+R280+S280))</f>
        <v>0</v>
      </c>
      <c r="X280" s="18">
        <f>IF(AG279=0,0,(MIN((Q280+R280+S280),MAX(0,$B$5-IF($A280&gt;='1-Input'!$C$12,'1-Input'!$B$12,0))/(Q280/(Q280+R280+S280)*(1-'P-Parametri'!$B$6*T280)+R280/(Q280+R280+S280)*(1-'P-Parametri'!$B$7*U280)+S280/(Q280+R280+S280))))*S280/(Q280+R280+S280))</f>
        <v>0</v>
      </c>
      <c r="Y280" s="18">
        <f t="shared" si="47"/>
        <v>4315.6966805301727</v>
      </c>
      <c r="Z280" s="18">
        <f t="shared" si="48"/>
        <v>2036.690960677467</v>
      </c>
      <c r="AA280" s="18">
        <f t="shared" si="49"/>
        <v>2019.553586131382</v>
      </c>
      <c r="AB280" s="18">
        <f t="shared" si="50"/>
        <v>1665.7464771677132</v>
      </c>
      <c r="AC280" s="18">
        <f t="shared" si="51"/>
        <v>666.62125173425693</v>
      </c>
      <c r="AD280" s="18">
        <f t="shared" si="52"/>
        <v>-7431.3122762856019</v>
      </c>
      <c r="AE280" s="18">
        <f>IF(AG280=0,AE279,AE279+H280+V280*T280*'P-Parametri'!$B$6+W280*U280*'P-Parametri'!$B$7)</f>
        <v>17719.424342522081</v>
      </c>
      <c r="AF280" s="18">
        <f t="shared" si="39"/>
        <v>7001.871518395812</v>
      </c>
      <c r="AG280" s="10">
        <f>IF(AND(AG279=1,(X280+W280*(1-'P-Parametri'!$B$7*U280)+V280*(1-'P-Parametri'!$B$6*T280))&gt;=MAX(0,$B$5-IF($A280&gt;='1-Input'!$C$12,'1-Input'!$B$12,0))-0.01),1,0)</f>
        <v>0</v>
      </c>
      <c r="AI280" s="11">
        <f t="shared" si="53"/>
        <v>0.52841927102526653</v>
      </c>
      <c r="AJ280" s="11">
        <f t="shared" si="54"/>
        <v>0</v>
      </c>
      <c r="AK280" s="18">
        <f>MAX(0,BE279-('P-Parametri'!$B$31*BL279))</f>
        <v>3237.6275300382667</v>
      </c>
      <c r="AL280" s="18">
        <f>MAX(0,BG279-('P-Parametri'!$C$31*BL279))</f>
        <v>0</v>
      </c>
      <c r="AM280" s="18">
        <f>MAX(0,BI279-('P-Parametri'!$D$31*BL279))</f>
        <v>0</v>
      </c>
      <c r="AN280" s="18">
        <f>AK280*AI280*'P-Parametri'!$B$6+AL280*AJ280*'P-Parametri'!$B$7</f>
        <v>444.81444261128036</v>
      </c>
      <c r="AO280" s="18">
        <f t="shared" si="55"/>
        <v>2792.8130874269864</v>
      </c>
      <c r="AP280" s="18">
        <f>MAX(0,('P-Parametri'!$B$31*BL279)-BE279)+MAX(0,('P-Parametri'!$C$31*BL279)-BG279)+MAX(0,('P-Parametri'!$D$31*BL279)-BI279)</f>
        <v>3237.6275300382667</v>
      </c>
      <c r="AQ280" s="18">
        <f>BE279-AK280+IF(AP280&lt;=0,0,AO280*MAX(0,('P-Parametri'!$B$31*BL279)-BE279)/AP280)</f>
        <v>4856.4412950573997</v>
      </c>
      <c r="AR280" s="18">
        <f>BF279-AK280*(1-AI280)+IF(AP280&lt;=0,0,AO280*MAX(0,('P-Parametri'!$B$31*BL279)-BE279)/AP280)</f>
        <v>2290.2041261461673</v>
      </c>
      <c r="AS280" s="18">
        <f>BG279-AL280+IF(AP280&lt;=0,0,AO280*MAX(0,('P-Parametri'!$C$31*BL279)-BG279)/AP280)</f>
        <v>2094.6098155702393</v>
      </c>
      <c r="AT280" s="18">
        <f>BH279-AL280*(1-AJ280)+IF(AP280&lt;=0,0,AO280*MAX(0,('P-Parametri'!$C$31*BL279)-BG279)/AP280)</f>
        <v>2094.6098155702393</v>
      </c>
      <c r="AU280" s="18">
        <f>BI279-AM280+IF(AP280&lt;=0,0,AO280*MAX(0,('P-Parametri'!$D$31*BL279)-BI279)/AP280)</f>
        <v>698.2032718567466</v>
      </c>
      <c r="AV280" s="18">
        <f>BJ279-AM280+IF(AP280&lt;=0,0,AO280*MAX(0,('P-Parametri'!$D$31*BL279)-BI279)/AP280)</f>
        <v>-7422.5197042408417</v>
      </c>
      <c r="AW280" s="18">
        <f t="shared" si="56"/>
        <v>5189.1658010643714</v>
      </c>
      <c r="AX280" s="18">
        <f>AS280*(1+'P-Parametri'!$C$29)</f>
        <v>2105.0828646480904</v>
      </c>
      <c r="AY280" s="18">
        <f>AU280*(1+'1-Input'!$B$27)</f>
        <v>695.6897400780623</v>
      </c>
      <c r="AZ280" s="11">
        <f t="shared" si="57"/>
        <v>0.5586565906843034</v>
      </c>
      <c r="BA280" s="11">
        <f t="shared" si="58"/>
        <v>4.9751243781094075E-3</v>
      </c>
      <c r="BB280" s="18">
        <f>IF(BM279=0,0,MIN(MAX(AW280,0),(MAX(0,$B$5-IF($A280&gt;='1-Input'!$C$12,'1-Input'!$B$12,0))-BD280-BC280*(1-'P-Parametri'!$B$7*BA280))/(1-'P-Parametri'!$B$6*AZ280)))</f>
        <v>0</v>
      </c>
      <c r="BC280" s="18">
        <f>IF(BM279=0,0,MIN(MAX(AX280,0),(MAX(0,$B$5-IF($A280&gt;='1-Input'!$C$12,'1-Input'!$B$12,0))-BD280)/(1-'P-Parametri'!$B$7*BA280)))</f>
        <v>0</v>
      </c>
      <c r="BD280" s="18">
        <f>IF(BM279=0,0,MIN(MAX(AY280,0),MAX(0,$B$5-IF($A280&gt;='1-Input'!$C$12,'1-Input'!$B$12,0))))</f>
        <v>0</v>
      </c>
      <c r="BE280" s="18">
        <f t="shared" si="59"/>
        <v>8094.0688250956664</v>
      </c>
      <c r="BF280" s="18">
        <f t="shared" si="60"/>
        <v>3817.0068769102791</v>
      </c>
      <c r="BG280" s="18">
        <f t="shared" si="61"/>
        <v>0</v>
      </c>
      <c r="BH280" s="18">
        <f t="shared" si="62"/>
        <v>0</v>
      </c>
      <c r="BI280" s="18">
        <f t="shared" si="63"/>
        <v>0</v>
      </c>
      <c r="BJ280" s="18">
        <f t="shared" si="64"/>
        <v>-8120.7229760975879</v>
      </c>
      <c r="BK280" s="18">
        <f>IF(BM280=0,BK279,BK279+AN280+BB280*AZ280*'P-Parametri'!$B$6+BC280*BA280*'P-Parametri'!$B$7)</f>
        <v>17450.721955324654</v>
      </c>
      <c r="BL280" s="18">
        <f t="shared" si="40"/>
        <v>8094.0688250956664</v>
      </c>
      <c r="BM280" s="10">
        <f>IF(AND(BM279=1,(BD280+BC280*(1-'P-Parametri'!$B$7*BA280)+BB280*(1-'P-Parametri'!$B$6*AZ280))&gt;=MAX(0,$B$5-IF($A280&gt;='1-Input'!$C$12,'1-Input'!$B$12,0))-0.01),1,0)</f>
        <v>0</v>
      </c>
    </row>
    <row r="281" spans="1:65">
      <c r="A281" s="10">
        <f>32</f>
        <v>32</v>
      </c>
      <c r="B281" s="11">
        <f>IF(A281=1,'P-Parametri'!$B$30,IF(A281=2,'P-Parametri'!$C$30,'P-Parametri'!$B$29))</f>
        <v>6.8512000000000003E-2</v>
      </c>
      <c r="C281" s="11">
        <f t="shared" si="41"/>
        <v>0.52807365497538516</v>
      </c>
      <c r="D281" s="11">
        <f t="shared" si="42"/>
        <v>0.17519075076458596</v>
      </c>
      <c r="E281" s="18">
        <f>MAX(0,Y280-('P-Parametri'!$B$31*AF280))</f>
        <v>114.57376949268564</v>
      </c>
      <c r="F281" s="18">
        <f>MAX(0,AA280-('P-Parametri'!$C$31*AF280))</f>
        <v>0</v>
      </c>
      <c r="G281" s="18">
        <f>MAX(0,AC280-('P-Parametri'!$D$31*AF280))</f>
        <v>0</v>
      </c>
      <c r="H281" s="18">
        <f>E281*C281*'P-Parametri'!$B$6+F281*D281*'P-Parametri'!$B$7</f>
        <v>15.730881197280544</v>
      </c>
      <c r="I281" s="18">
        <f t="shared" si="43"/>
        <v>98.842888295405103</v>
      </c>
      <c r="J281" s="18">
        <f>MAX(0,('P-Parametri'!$B$31*AF280)-Y280)+MAX(0,('P-Parametri'!$C$31*AF280)-AA280)+MAX(0,('P-Parametri'!$D$31*AF280)-AC280)</f>
        <v>114.57376949268587</v>
      </c>
      <c r="K281" s="18">
        <f>Y280-E281+IF(J281&lt;=0,0,I281*MAX(0,('P-Parametri'!$B$31*AF280)-Y280)/J281)</f>
        <v>4201.122911037487</v>
      </c>
      <c r="L281" s="18">
        <f>Z280-E281*(1-C281)+IF(J281&lt;=0,0,I281*MAX(0,('P-Parametri'!$B$31*AF280)-Y280)/J281)</f>
        <v>1982.6205804050912</v>
      </c>
      <c r="M281" s="18">
        <f>AA280-F281+IF(J281&lt;=0,0,I281*MAX(0,('P-Parametri'!$C$31*AF280)-AA280)/J281)</f>
        <v>2089.4391438847638</v>
      </c>
      <c r="N281" s="18">
        <f>AB280-F281*(1-D281)+IF(J281&lt;=0,0,I281*MAX(0,('P-Parametri'!$C$31*AF280)-AA280)/J281)</f>
        <v>1735.6320349210951</v>
      </c>
      <c r="O281" s="18">
        <f>AC280-G281+IF(J281&lt;=0,0,I281*MAX(0,('P-Parametri'!$D$31*AF280)-AC280)/J281)</f>
        <v>695.57858227628026</v>
      </c>
      <c r="P281" s="18">
        <f>AD280-G281+IF(J281&lt;=0,0,I281*MAX(0,('P-Parametri'!$D$31*AF280)-AC280)/J281)</f>
        <v>-7402.3549457435784</v>
      </c>
      <c r="Q281" s="18">
        <f t="shared" si="44"/>
        <v>4488.9502439184871</v>
      </c>
      <c r="R281" s="18">
        <f>M281*(1+'P-Parametri'!$C$29)</f>
        <v>2099.8863396041875</v>
      </c>
      <c r="S281" s="18">
        <f>O281*(1+'1-Input'!$B$27)</f>
        <v>693.07449938008563</v>
      </c>
      <c r="T281" s="11">
        <f t="shared" si="45"/>
        <v>0.55833313521550076</v>
      </c>
      <c r="U281" s="11">
        <f t="shared" si="46"/>
        <v>0.17346381935688557</v>
      </c>
      <c r="V281" s="18">
        <f>IF(AG280=0,0,(MIN((Q281+R281+S281),MAX(0,$B$5-IF($A281&gt;='1-Input'!$C$12,'1-Input'!$B$12,0))/(Q281/(Q281+R281+S281)*(1-'P-Parametri'!$B$6*T281)+R281/(Q281+R281+S281)*(1-'P-Parametri'!$B$7*U281)+S281/(Q281+R281+S281))))*Q281/(Q281+R281+S281))</f>
        <v>0</v>
      </c>
      <c r="W281" s="18">
        <f>IF(AG280=0,0,(MIN((Q281+R281+S281),MAX(0,$B$5-IF($A281&gt;='1-Input'!$C$12,'1-Input'!$B$12,0))/(Q281/(Q281+R281+S281)*(1-'P-Parametri'!$B$6*T281)+R281/(Q281+R281+S281)*(1-'P-Parametri'!$B$7*U281)+S281/(Q281+R281+S281))))*R281/(Q281+R281+S281))</f>
        <v>0</v>
      </c>
      <c r="X281" s="18">
        <f>IF(AG280=0,0,(MIN((Q281+R281+S281),MAX(0,$B$5-IF($A281&gt;='1-Input'!$C$12,'1-Input'!$B$12,0))/(Q281/(Q281+R281+S281)*(1-'P-Parametri'!$B$6*T281)+R281/(Q281+R281+S281)*(1-'P-Parametri'!$B$7*U281)+S281/(Q281+R281+S281))))*S281/(Q281+R281+S281))</f>
        <v>0</v>
      </c>
      <c r="Y281" s="18">
        <f t="shared" si="47"/>
        <v>4315.6966805301727</v>
      </c>
      <c r="Z281" s="18">
        <f t="shared" si="48"/>
        <v>2036.690960677467</v>
      </c>
      <c r="AA281" s="18">
        <f t="shared" si="49"/>
        <v>2019.553586131382</v>
      </c>
      <c r="AB281" s="18">
        <f t="shared" si="50"/>
        <v>1665.7464771677132</v>
      </c>
      <c r="AC281" s="18">
        <f t="shared" si="51"/>
        <v>666.62125173425693</v>
      </c>
      <c r="AD281" s="18">
        <f t="shared" si="52"/>
        <v>-7431.3122762856019</v>
      </c>
      <c r="AE281" s="18">
        <f>IF(AG281=0,AE280,AE280+H281+V281*T281*'P-Parametri'!$B$6+W281*U281*'P-Parametri'!$B$7)</f>
        <v>17719.424342522081</v>
      </c>
      <c r="AF281" s="18">
        <f t="shared" si="39"/>
        <v>7001.871518395812</v>
      </c>
      <c r="AG281" s="10">
        <f>IF(AND(AG280=1,(X281+W281*(1-'P-Parametri'!$B$7*U281)+V281*(1-'P-Parametri'!$B$6*T281))&gt;=MAX(0,$B$5-IF($A281&gt;='1-Input'!$C$12,'1-Input'!$B$12,0))-0.01),1,0)</f>
        <v>0</v>
      </c>
      <c r="AI281" s="11">
        <f t="shared" si="53"/>
        <v>0.52841927102526653</v>
      </c>
      <c r="AJ281" s="11">
        <f t="shared" si="54"/>
        <v>0</v>
      </c>
      <c r="AK281" s="18">
        <f>MAX(0,BE280-('P-Parametri'!$B$31*BL280))</f>
        <v>3237.6275300382667</v>
      </c>
      <c r="AL281" s="18">
        <f>MAX(0,BG280-('P-Parametri'!$C$31*BL280))</f>
        <v>0</v>
      </c>
      <c r="AM281" s="18">
        <f>MAX(0,BI280-('P-Parametri'!$D$31*BL280))</f>
        <v>0</v>
      </c>
      <c r="AN281" s="18">
        <f>AK281*AI281*'P-Parametri'!$B$6+AL281*AJ281*'P-Parametri'!$B$7</f>
        <v>444.81444261128036</v>
      </c>
      <c r="AO281" s="18">
        <f t="shared" si="55"/>
        <v>2792.8130874269864</v>
      </c>
      <c r="AP281" s="18">
        <f>MAX(0,('P-Parametri'!$B$31*BL280)-BE280)+MAX(0,('P-Parametri'!$C$31*BL280)-BG280)+MAX(0,('P-Parametri'!$D$31*BL280)-BI280)</f>
        <v>3237.6275300382667</v>
      </c>
      <c r="AQ281" s="18">
        <f>BE280-AK281+IF(AP281&lt;=0,0,AO281*MAX(0,('P-Parametri'!$B$31*BL280)-BE280)/AP281)</f>
        <v>4856.4412950573997</v>
      </c>
      <c r="AR281" s="18">
        <f>BF280-AK281*(1-AI281)+IF(AP281&lt;=0,0,AO281*MAX(0,('P-Parametri'!$B$31*BL280)-BE280)/AP281)</f>
        <v>2290.2041261461673</v>
      </c>
      <c r="AS281" s="18">
        <f>BG280-AL281+IF(AP281&lt;=0,0,AO281*MAX(0,('P-Parametri'!$C$31*BL280)-BG280)/AP281)</f>
        <v>2094.6098155702393</v>
      </c>
      <c r="AT281" s="18">
        <f>BH280-AL281*(1-AJ281)+IF(AP281&lt;=0,0,AO281*MAX(0,('P-Parametri'!$C$31*BL280)-BG280)/AP281)</f>
        <v>2094.6098155702393</v>
      </c>
      <c r="AU281" s="18">
        <f>BI280-AM281+IF(AP281&lt;=0,0,AO281*MAX(0,('P-Parametri'!$D$31*BL280)-BI280)/AP281)</f>
        <v>698.2032718567466</v>
      </c>
      <c r="AV281" s="18">
        <f>BJ280-AM281+IF(AP281&lt;=0,0,AO281*MAX(0,('P-Parametri'!$D$31*BL280)-BI280)/AP281)</f>
        <v>-7422.5197042408417</v>
      </c>
      <c r="AW281" s="18">
        <f t="shared" si="56"/>
        <v>5189.1658010643714</v>
      </c>
      <c r="AX281" s="18">
        <f>AS281*(1+'P-Parametri'!$C$29)</f>
        <v>2105.0828646480904</v>
      </c>
      <c r="AY281" s="18">
        <f>AU281*(1+'1-Input'!$B$27)</f>
        <v>695.6897400780623</v>
      </c>
      <c r="AZ281" s="11">
        <f t="shared" si="57"/>
        <v>0.5586565906843034</v>
      </c>
      <c r="BA281" s="11">
        <f t="shared" si="58"/>
        <v>4.9751243781094075E-3</v>
      </c>
      <c r="BB281" s="18">
        <f>IF(BM280=0,0,MIN(MAX(AW281,0),(MAX(0,$B$5-IF($A281&gt;='1-Input'!$C$12,'1-Input'!$B$12,0))-BD281-BC281*(1-'P-Parametri'!$B$7*BA281))/(1-'P-Parametri'!$B$6*AZ281)))</f>
        <v>0</v>
      </c>
      <c r="BC281" s="18">
        <f>IF(BM280=0,0,MIN(MAX(AX281,0),(MAX(0,$B$5-IF($A281&gt;='1-Input'!$C$12,'1-Input'!$B$12,0))-BD281)/(1-'P-Parametri'!$B$7*BA281)))</f>
        <v>0</v>
      </c>
      <c r="BD281" s="18">
        <f>IF(BM280=0,0,MIN(MAX(AY281,0),MAX(0,$B$5-IF($A281&gt;='1-Input'!$C$12,'1-Input'!$B$12,0))))</f>
        <v>0</v>
      </c>
      <c r="BE281" s="18">
        <f t="shared" si="59"/>
        <v>8094.0688250956664</v>
      </c>
      <c r="BF281" s="18">
        <f t="shared" si="60"/>
        <v>3817.0068769102791</v>
      </c>
      <c r="BG281" s="18">
        <f t="shared" si="61"/>
        <v>0</v>
      </c>
      <c r="BH281" s="18">
        <f t="shared" si="62"/>
        <v>0</v>
      </c>
      <c r="BI281" s="18">
        <f t="shared" si="63"/>
        <v>0</v>
      </c>
      <c r="BJ281" s="18">
        <f t="shared" si="64"/>
        <v>-8120.7229760975879</v>
      </c>
      <c r="BK281" s="18">
        <f>IF(BM281=0,BK280,BK280+AN281+BB281*AZ281*'P-Parametri'!$B$6+BC281*BA281*'P-Parametri'!$B$7)</f>
        <v>17450.721955324654</v>
      </c>
      <c r="BL281" s="18">
        <f t="shared" si="40"/>
        <v>8094.0688250956664</v>
      </c>
      <c r="BM281" s="10">
        <f>IF(AND(BM280=1,(BD281+BC281*(1-'P-Parametri'!$B$7*BA281)+BB281*(1-'P-Parametri'!$B$6*AZ281))&gt;=MAX(0,$B$5-IF($A281&gt;='1-Input'!$C$12,'1-Input'!$B$12,0))-0.01),1,0)</f>
        <v>0</v>
      </c>
    </row>
    <row r="282" spans="1:65">
      <c r="A282" s="10">
        <f>33</f>
        <v>33</v>
      </c>
      <c r="B282" s="11">
        <f>IF(A282=1,'P-Parametri'!$B$30,IF(A282=2,'P-Parametri'!$C$30,'P-Parametri'!$B$29))</f>
        <v>6.8512000000000003E-2</v>
      </c>
      <c r="C282" s="11">
        <f t="shared" si="41"/>
        <v>0.52807365497538516</v>
      </c>
      <c r="D282" s="11">
        <f t="shared" si="42"/>
        <v>0.17519075076458596</v>
      </c>
      <c r="E282" s="18">
        <f>MAX(0,Y281-('P-Parametri'!$B$31*AF281))</f>
        <v>114.57376949268564</v>
      </c>
      <c r="F282" s="18">
        <f>MAX(0,AA281-('P-Parametri'!$C$31*AF281))</f>
        <v>0</v>
      </c>
      <c r="G282" s="18">
        <f>MAX(0,AC281-('P-Parametri'!$D$31*AF281))</f>
        <v>0</v>
      </c>
      <c r="H282" s="18">
        <f>E282*C282*'P-Parametri'!$B$6+F282*D282*'P-Parametri'!$B$7</f>
        <v>15.730881197280544</v>
      </c>
      <c r="I282" s="18">
        <f t="shared" si="43"/>
        <v>98.842888295405103</v>
      </c>
      <c r="J282" s="18">
        <f>MAX(0,('P-Parametri'!$B$31*AF281)-Y281)+MAX(0,('P-Parametri'!$C$31*AF281)-AA281)+MAX(0,('P-Parametri'!$D$31*AF281)-AC281)</f>
        <v>114.57376949268587</v>
      </c>
      <c r="K282" s="18">
        <f>Y281-E282+IF(J282&lt;=0,0,I282*MAX(0,('P-Parametri'!$B$31*AF281)-Y281)/J282)</f>
        <v>4201.122911037487</v>
      </c>
      <c r="L282" s="18">
        <f>Z281-E282*(1-C282)+IF(J282&lt;=0,0,I282*MAX(0,('P-Parametri'!$B$31*AF281)-Y281)/J282)</f>
        <v>1982.6205804050912</v>
      </c>
      <c r="M282" s="18">
        <f>AA281-F282+IF(J282&lt;=0,0,I282*MAX(0,('P-Parametri'!$C$31*AF281)-AA281)/J282)</f>
        <v>2089.4391438847638</v>
      </c>
      <c r="N282" s="18">
        <f>AB281-F282*(1-D282)+IF(J282&lt;=0,0,I282*MAX(0,('P-Parametri'!$C$31*AF281)-AA281)/J282)</f>
        <v>1735.6320349210951</v>
      </c>
      <c r="O282" s="18">
        <f>AC281-G282+IF(J282&lt;=0,0,I282*MAX(0,('P-Parametri'!$D$31*AF281)-AC281)/J282)</f>
        <v>695.57858227628026</v>
      </c>
      <c r="P282" s="18">
        <f>AD281-G282+IF(J282&lt;=0,0,I282*MAX(0,('P-Parametri'!$D$31*AF281)-AC281)/J282)</f>
        <v>-7402.3549457435784</v>
      </c>
      <c r="Q282" s="18">
        <f t="shared" si="44"/>
        <v>4488.9502439184871</v>
      </c>
      <c r="R282" s="18">
        <f>M282*(1+'P-Parametri'!$C$29)</f>
        <v>2099.8863396041875</v>
      </c>
      <c r="S282" s="18">
        <f>O282*(1+'1-Input'!$B$27)</f>
        <v>693.07449938008563</v>
      </c>
      <c r="T282" s="11">
        <f t="shared" si="45"/>
        <v>0.55833313521550076</v>
      </c>
      <c r="U282" s="11">
        <f t="shared" si="46"/>
        <v>0.17346381935688557</v>
      </c>
      <c r="V282" s="18">
        <f>IF(AG281=0,0,(MIN((Q282+R282+S282),MAX(0,$B$5-IF($A282&gt;='1-Input'!$C$12,'1-Input'!$B$12,0))/(Q282/(Q282+R282+S282)*(1-'P-Parametri'!$B$6*T282)+R282/(Q282+R282+S282)*(1-'P-Parametri'!$B$7*U282)+S282/(Q282+R282+S282))))*Q282/(Q282+R282+S282))</f>
        <v>0</v>
      </c>
      <c r="W282" s="18">
        <f>IF(AG281=0,0,(MIN((Q282+R282+S282),MAX(0,$B$5-IF($A282&gt;='1-Input'!$C$12,'1-Input'!$B$12,0))/(Q282/(Q282+R282+S282)*(1-'P-Parametri'!$B$6*T282)+R282/(Q282+R282+S282)*(1-'P-Parametri'!$B$7*U282)+S282/(Q282+R282+S282))))*R282/(Q282+R282+S282))</f>
        <v>0</v>
      </c>
      <c r="X282" s="18">
        <f>IF(AG281=0,0,(MIN((Q282+R282+S282),MAX(0,$B$5-IF($A282&gt;='1-Input'!$C$12,'1-Input'!$B$12,0))/(Q282/(Q282+R282+S282)*(1-'P-Parametri'!$B$6*T282)+R282/(Q282+R282+S282)*(1-'P-Parametri'!$B$7*U282)+S282/(Q282+R282+S282))))*S282/(Q282+R282+S282))</f>
        <v>0</v>
      </c>
      <c r="Y282" s="18">
        <f t="shared" si="47"/>
        <v>4315.6966805301727</v>
      </c>
      <c r="Z282" s="18">
        <f t="shared" si="48"/>
        <v>2036.690960677467</v>
      </c>
      <c r="AA282" s="18">
        <f t="shared" si="49"/>
        <v>2019.553586131382</v>
      </c>
      <c r="AB282" s="18">
        <f t="shared" si="50"/>
        <v>1665.7464771677132</v>
      </c>
      <c r="AC282" s="18">
        <f t="shared" si="51"/>
        <v>666.62125173425693</v>
      </c>
      <c r="AD282" s="18">
        <f t="shared" si="52"/>
        <v>-7431.3122762856019</v>
      </c>
      <c r="AE282" s="18">
        <f>IF(AG282=0,AE281,AE281+H282+V282*T282*'P-Parametri'!$B$6+W282*U282*'P-Parametri'!$B$7)</f>
        <v>17719.424342522081</v>
      </c>
      <c r="AF282" s="18">
        <f t="shared" si="39"/>
        <v>7001.871518395812</v>
      </c>
      <c r="AG282" s="10">
        <f>IF(AND(AG281=1,(X282+W282*(1-'P-Parametri'!$B$7*U282)+V282*(1-'P-Parametri'!$B$6*T282))&gt;=MAX(0,$B$5-IF($A282&gt;='1-Input'!$C$12,'1-Input'!$B$12,0))-0.01),1,0)</f>
        <v>0</v>
      </c>
      <c r="AI282" s="11">
        <f t="shared" si="53"/>
        <v>0.52841927102526653</v>
      </c>
      <c r="AJ282" s="11">
        <f t="shared" si="54"/>
        <v>0</v>
      </c>
      <c r="AK282" s="18">
        <f>MAX(0,BE281-('P-Parametri'!$B$31*BL281))</f>
        <v>3237.6275300382667</v>
      </c>
      <c r="AL282" s="18">
        <f>MAX(0,BG281-('P-Parametri'!$C$31*BL281))</f>
        <v>0</v>
      </c>
      <c r="AM282" s="18">
        <f>MAX(0,BI281-('P-Parametri'!$D$31*BL281))</f>
        <v>0</v>
      </c>
      <c r="AN282" s="18">
        <f>AK282*AI282*'P-Parametri'!$B$6+AL282*AJ282*'P-Parametri'!$B$7</f>
        <v>444.81444261128036</v>
      </c>
      <c r="AO282" s="18">
        <f t="shared" si="55"/>
        <v>2792.8130874269864</v>
      </c>
      <c r="AP282" s="18">
        <f>MAX(0,('P-Parametri'!$B$31*BL281)-BE281)+MAX(0,('P-Parametri'!$C$31*BL281)-BG281)+MAX(0,('P-Parametri'!$D$31*BL281)-BI281)</f>
        <v>3237.6275300382667</v>
      </c>
      <c r="AQ282" s="18">
        <f>BE281-AK282+IF(AP282&lt;=0,0,AO282*MAX(0,('P-Parametri'!$B$31*BL281)-BE281)/AP282)</f>
        <v>4856.4412950573997</v>
      </c>
      <c r="AR282" s="18">
        <f>BF281-AK282*(1-AI282)+IF(AP282&lt;=0,0,AO282*MAX(0,('P-Parametri'!$B$31*BL281)-BE281)/AP282)</f>
        <v>2290.2041261461673</v>
      </c>
      <c r="AS282" s="18">
        <f>BG281-AL282+IF(AP282&lt;=0,0,AO282*MAX(0,('P-Parametri'!$C$31*BL281)-BG281)/AP282)</f>
        <v>2094.6098155702393</v>
      </c>
      <c r="AT282" s="18">
        <f>BH281-AL282*(1-AJ282)+IF(AP282&lt;=0,0,AO282*MAX(0,('P-Parametri'!$C$31*BL281)-BG281)/AP282)</f>
        <v>2094.6098155702393</v>
      </c>
      <c r="AU282" s="18">
        <f>BI281-AM282+IF(AP282&lt;=0,0,AO282*MAX(0,('P-Parametri'!$D$31*BL281)-BI281)/AP282)</f>
        <v>698.2032718567466</v>
      </c>
      <c r="AV282" s="18">
        <f>BJ281-AM282+IF(AP282&lt;=0,0,AO282*MAX(0,('P-Parametri'!$D$31*BL281)-BI281)/AP282)</f>
        <v>-7422.5197042408417</v>
      </c>
      <c r="AW282" s="18">
        <f t="shared" si="56"/>
        <v>5189.1658010643714</v>
      </c>
      <c r="AX282" s="18">
        <f>AS282*(1+'P-Parametri'!$C$29)</f>
        <v>2105.0828646480904</v>
      </c>
      <c r="AY282" s="18">
        <f>AU282*(1+'1-Input'!$B$27)</f>
        <v>695.6897400780623</v>
      </c>
      <c r="AZ282" s="11">
        <f t="shared" si="57"/>
        <v>0.5586565906843034</v>
      </c>
      <c r="BA282" s="11">
        <f t="shared" si="58"/>
        <v>4.9751243781094075E-3</v>
      </c>
      <c r="BB282" s="18">
        <f>IF(BM281=0,0,MIN(MAX(AW282,0),(MAX(0,$B$5-IF($A282&gt;='1-Input'!$C$12,'1-Input'!$B$12,0))-BD282-BC282*(1-'P-Parametri'!$B$7*BA282))/(1-'P-Parametri'!$B$6*AZ282)))</f>
        <v>0</v>
      </c>
      <c r="BC282" s="18">
        <f>IF(BM281=0,0,MIN(MAX(AX282,0),(MAX(0,$B$5-IF($A282&gt;='1-Input'!$C$12,'1-Input'!$B$12,0))-BD282)/(1-'P-Parametri'!$B$7*BA282)))</f>
        <v>0</v>
      </c>
      <c r="BD282" s="18">
        <f>IF(BM281=0,0,MIN(MAX(AY282,0),MAX(0,$B$5-IF($A282&gt;='1-Input'!$C$12,'1-Input'!$B$12,0))))</f>
        <v>0</v>
      </c>
      <c r="BE282" s="18">
        <f t="shared" si="59"/>
        <v>8094.0688250956664</v>
      </c>
      <c r="BF282" s="18">
        <f t="shared" si="60"/>
        <v>3817.0068769102791</v>
      </c>
      <c r="BG282" s="18">
        <f t="shared" si="61"/>
        <v>0</v>
      </c>
      <c r="BH282" s="18">
        <f t="shared" si="62"/>
        <v>0</v>
      </c>
      <c r="BI282" s="18">
        <f t="shared" si="63"/>
        <v>0</v>
      </c>
      <c r="BJ282" s="18">
        <f t="shared" si="64"/>
        <v>-8120.7229760975879</v>
      </c>
      <c r="BK282" s="18">
        <f>IF(BM282=0,BK281,BK281+AN282+BB282*AZ282*'P-Parametri'!$B$6+BC282*BA282*'P-Parametri'!$B$7)</f>
        <v>17450.721955324654</v>
      </c>
      <c r="BL282" s="18">
        <f t="shared" si="40"/>
        <v>8094.0688250956664</v>
      </c>
      <c r="BM282" s="10">
        <f>IF(AND(BM281=1,(BD282+BC282*(1-'P-Parametri'!$B$7*BA282)+BB282*(1-'P-Parametri'!$B$6*AZ282))&gt;=MAX(0,$B$5-IF($A282&gt;='1-Input'!$C$12,'1-Input'!$B$12,0))-0.01),1,0)</f>
        <v>0</v>
      </c>
    </row>
    <row r="283" spans="1:65">
      <c r="A283" s="10">
        <f>34</f>
        <v>34</v>
      </c>
      <c r="B283" s="11">
        <f>IF(A283=1,'P-Parametri'!$B$30,IF(A283=2,'P-Parametri'!$C$30,'P-Parametri'!$B$29))</f>
        <v>6.8512000000000003E-2</v>
      </c>
      <c r="C283" s="11">
        <f t="shared" si="41"/>
        <v>0.52807365497538516</v>
      </c>
      <c r="D283" s="11">
        <f t="shared" si="42"/>
        <v>0.17519075076458596</v>
      </c>
      <c r="E283" s="18">
        <f>MAX(0,Y282-('P-Parametri'!$B$31*AF282))</f>
        <v>114.57376949268564</v>
      </c>
      <c r="F283" s="18">
        <f>MAX(0,AA282-('P-Parametri'!$C$31*AF282))</f>
        <v>0</v>
      </c>
      <c r="G283" s="18">
        <f>MAX(0,AC282-('P-Parametri'!$D$31*AF282))</f>
        <v>0</v>
      </c>
      <c r="H283" s="18">
        <f>E283*C283*'P-Parametri'!$B$6+F283*D283*'P-Parametri'!$B$7</f>
        <v>15.730881197280544</v>
      </c>
      <c r="I283" s="18">
        <f t="shared" si="43"/>
        <v>98.842888295405103</v>
      </c>
      <c r="J283" s="18">
        <f>MAX(0,('P-Parametri'!$B$31*AF282)-Y282)+MAX(0,('P-Parametri'!$C$31*AF282)-AA282)+MAX(0,('P-Parametri'!$D$31*AF282)-AC282)</f>
        <v>114.57376949268587</v>
      </c>
      <c r="K283" s="18">
        <f>Y282-E283+IF(J283&lt;=0,0,I283*MAX(0,('P-Parametri'!$B$31*AF282)-Y282)/J283)</f>
        <v>4201.122911037487</v>
      </c>
      <c r="L283" s="18">
        <f>Z282-E283*(1-C283)+IF(J283&lt;=0,0,I283*MAX(0,('P-Parametri'!$B$31*AF282)-Y282)/J283)</f>
        <v>1982.6205804050912</v>
      </c>
      <c r="M283" s="18">
        <f>AA282-F283+IF(J283&lt;=0,0,I283*MAX(0,('P-Parametri'!$C$31*AF282)-AA282)/J283)</f>
        <v>2089.4391438847638</v>
      </c>
      <c r="N283" s="18">
        <f>AB282-F283*(1-D283)+IF(J283&lt;=0,0,I283*MAX(0,('P-Parametri'!$C$31*AF282)-AA282)/J283)</f>
        <v>1735.6320349210951</v>
      </c>
      <c r="O283" s="18">
        <f>AC282-G283+IF(J283&lt;=0,0,I283*MAX(0,('P-Parametri'!$D$31*AF282)-AC282)/J283)</f>
        <v>695.57858227628026</v>
      </c>
      <c r="P283" s="18">
        <f>AD282-G283+IF(J283&lt;=0,0,I283*MAX(0,('P-Parametri'!$D$31*AF282)-AC282)/J283)</f>
        <v>-7402.3549457435784</v>
      </c>
      <c r="Q283" s="18">
        <f t="shared" si="44"/>
        <v>4488.9502439184871</v>
      </c>
      <c r="R283" s="18">
        <f>M283*(1+'P-Parametri'!$C$29)</f>
        <v>2099.8863396041875</v>
      </c>
      <c r="S283" s="18">
        <f>O283*(1+'1-Input'!$B$27)</f>
        <v>693.07449938008563</v>
      </c>
      <c r="T283" s="11">
        <f t="shared" si="45"/>
        <v>0.55833313521550076</v>
      </c>
      <c r="U283" s="11">
        <f t="shared" si="46"/>
        <v>0.17346381935688557</v>
      </c>
      <c r="V283" s="18">
        <f>IF(AG282=0,0,(MIN((Q283+R283+S283),MAX(0,$B$5-IF($A283&gt;='1-Input'!$C$12,'1-Input'!$B$12,0))/(Q283/(Q283+R283+S283)*(1-'P-Parametri'!$B$6*T283)+R283/(Q283+R283+S283)*(1-'P-Parametri'!$B$7*U283)+S283/(Q283+R283+S283))))*Q283/(Q283+R283+S283))</f>
        <v>0</v>
      </c>
      <c r="W283" s="18">
        <f>IF(AG282=0,0,(MIN((Q283+R283+S283),MAX(0,$B$5-IF($A283&gt;='1-Input'!$C$12,'1-Input'!$B$12,0))/(Q283/(Q283+R283+S283)*(1-'P-Parametri'!$B$6*T283)+R283/(Q283+R283+S283)*(1-'P-Parametri'!$B$7*U283)+S283/(Q283+R283+S283))))*R283/(Q283+R283+S283))</f>
        <v>0</v>
      </c>
      <c r="X283" s="18">
        <f>IF(AG282=0,0,(MIN((Q283+R283+S283),MAX(0,$B$5-IF($A283&gt;='1-Input'!$C$12,'1-Input'!$B$12,0))/(Q283/(Q283+R283+S283)*(1-'P-Parametri'!$B$6*T283)+R283/(Q283+R283+S283)*(1-'P-Parametri'!$B$7*U283)+S283/(Q283+R283+S283))))*S283/(Q283+R283+S283))</f>
        <v>0</v>
      </c>
      <c r="Y283" s="18">
        <f t="shared" si="47"/>
        <v>4315.6966805301727</v>
      </c>
      <c r="Z283" s="18">
        <f t="shared" si="48"/>
        <v>2036.690960677467</v>
      </c>
      <c r="AA283" s="18">
        <f t="shared" si="49"/>
        <v>2019.553586131382</v>
      </c>
      <c r="AB283" s="18">
        <f t="shared" si="50"/>
        <v>1665.7464771677132</v>
      </c>
      <c r="AC283" s="18">
        <f t="shared" si="51"/>
        <v>666.62125173425693</v>
      </c>
      <c r="AD283" s="18">
        <f t="shared" si="52"/>
        <v>-7431.3122762856019</v>
      </c>
      <c r="AE283" s="18">
        <f>IF(AG283=0,AE282,AE282+H283+V283*T283*'P-Parametri'!$B$6+W283*U283*'P-Parametri'!$B$7)</f>
        <v>17719.424342522081</v>
      </c>
      <c r="AF283" s="18">
        <f t="shared" si="39"/>
        <v>7001.871518395812</v>
      </c>
      <c r="AG283" s="10">
        <f>IF(AND(AG282=1,(X283+W283*(1-'P-Parametri'!$B$7*U283)+V283*(1-'P-Parametri'!$B$6*T283))&gt;=MAX(0,$B$5-IF($A283&gt;='1-Input'!$C$12,'1-Input'!$B$12,0))-0.01),1,0)</f>
        <v>0</v>
      </c>
      <c r="AI283" s="11">
        <f t="shared" si="53"/>
        <v>0.52841927102526653</v>
      </c>
      <c r="AJ283" s="11">
        <f t="shared" si="54"/>
        <v>0</v>
      </c>
      <c r="AK283" s="18">
        <f>MAX(0,BE282-('P-Parametri'!$B$31*BL282))</f>
        <v>3237.6275300382667</v>
      </c>
      <c r="AL283" s="18">
        <f>MAX(0,BG282-('P-Parametri'!$C$31*BL282))</f>
        <v>0</v>
      </c>
      <c r="AM283" s="18">
        <f>MAX(0,BI282-('P-Parametri'!$D$31*BL282))</f>
        <v>0</v>
      </c>
      <c r="AN283" s="18">
        <f>AK283*AI283*'P-Parametri'!$B$6+AL283*AJ283*'P-Parametri'!$B$7</f>
        <v>444.81444261128036</v>
      </c>
      <c r="AO283" s="18">
        <f t="shared" si="55"/>
        <v>2792.8130874269864</v>
      </c>
      <c r="AP283" s="18">
        <f>MAX(0,('P-Parametri'!$B$31*BL282)-BE282)+MAX(0,('P-Parametri'!$C$31*BL282)-BG282)+MAX(0,('P-Parametri'!$D$31*BL282)-BI282)</f>
        <v>3237.6275300382667</v>
      </c>
      <c r="AQ283" s="18">
        <f>BE282-AK283+IF(AP283&lt;=0,0,AO283*MAX(0,('P-Parametri'!$B$31*BL282)-BE282)/AP283)</f>
        <v>4856.4412950573997</v>
      </c>
      <c r="AR283" s="18">
        <f>BF282-AK283*(1-AI283)+IF(AP283&lt;=0,0,AO283*MAX(0,('P-Parametri'!$B$31*BL282)-BE282)/AP283)</f>
        <v>2290.2041261461673</v>
      </c>
      <c r="AS283" s="18">
        <f>BG282-AL283+IF(AP283&lt;=0,0,AO283*MAX(0,('P-Parametri'!$C$31*BL282)-BG282)/AP283)</f>
        <v>2094.6098155702393</v>
      </c>
      <c r="AT283" s="18">
        <f>BH282-AL283*(1-AJ283)+IF(AP283&lt;=0,0,AO283*MAX(0,('P-Parametri'!$C$31*BL282)-BG282)/AP283)</f>
        <v>2094.6098155702393</v>
      </c>
      <c r="AU283" s="18">
        <f>BI282-AM283+IF(AP283&lt;=0,0,AO283*MAX(0,('P-Parametri'!$D$31*BL282)-BI282)/AP283)</f>
        <v>698.2032718567466</v>
      </c>
      <c r="AV283" s="18">
        <f>BJ282-AM283+IF(AP283&lt;=0,0,AO283*MAX(0,('P-Parametri'!$D$31*BL282)-BI282)/AP283)</f>
        <v>-7422.5197042408417</v>
      </c>
      <c r="AW283" s="18">
        <f t="shared" si="56"/>
        <v>5189.1658010643714</v>
      </c>
      <c r="AX283" s="18">
        <f>AS283*(1+'P-Parametri'!$C$29)</f>
        <v>2105.0828646480904</v>
      </c>
      <c r="AY283" s="18">
        <f>AU283*(1+'1-Input'!$B$27)</f>
        <v>695.6897400780623</v>
      </c>
      <c r="AZ283" s="11">
        <f t="shared" si="57"/>
        <v>0.5586565906843034</v>
      </c>
      <c r="BA283" s="11">
        <f t="shared" si="58"/>
        <v>4.9751243781094075E-3</v>
      </c>
      <c r="BB283" s="18">
        <f>IF(BM282=0,0,MIN(MAX(AW283,0),(MAX(0,$B$5-IF($A283&gt;='1-Input'!$C$12,'1-Input'!$B$12,0))-BD283-BC283*(1-'P-Parametri'!$B$7*BA283))/(1-'P-Parametri'!$B$6*AZ283)))</f>
        <v>0</v>
      </c>
      <c r="BC283" s="18">
        <f>IF(BM282=0,0,MIN(MAX(AX283,0),(MAX(0,$B$5-IF($A283&gt;='1-Input'!$C$12,'1-Input'!$B$12,0))-BD283)/(1-'P-Parametri'!$B$7*BA283)))</f>
        <v>0</v>
      </c>
      <c r="BD283" s="18">
        <f>IF(BM282=0,0,MIN(MAX(AY283,0),MAX(0,$B$5-IF($A283&gt;='1-Input'!$C$12,'1-Input'!$B$12,0))))</f>
        <v>0</v>
      </c>
      <c r="BE283" s="18">
        <f t="shared" si="59"/>
        <v>8094.0688250956664</v>
      </c>
      <c r="BF283" s="18">
        <f t="shared" si="60"/>
        <v>3817.0068769102791</v>
      </c>
      <c r="BG283" s="18">
        <f t="shared" si="61"/>
        <v>0</v>
      </c>
      <c r="BH283" s="18">
        <f t="shared" si="62"/>
        <v>0</v>
      </c>
      <c r="BI283" s="18">
        <f t="shared" si="63"/>
        <v>0</v>
      </c>
      <c r="BJ283" s="18">
        <f t="shared" si="64"/>
        <v>-8120.7229760975879</v>
      </c>
      <c r="BK283" s="18">
        <f>IF(BM283=0,BK282,BK282+AN283+BB283*AZ283*'P-Parametri'!$B$6+BC283*BA283*'P-Parametri'!$B$7)</f>
        <v>17450.721955324654</v>
      </c>
      <c r="BL283" s="18">
        <f t="shared" si="40"/>
        <v>8094.0688250956664</v>
      </c>
      <c r="BM283" s="10">
        <f>IF(AND(BM282=1,(BD283+BC283*(1-'P-Parametri'!$B$7*BA283)+BB283*(1-'P-Parametri'!$B$6*AZ283))&gt;=MAX(0,$B$5-IF($A283&gt;='1-Input'!$C$12,'1-Input'!$B$12,0))-0.01),1,0)</f>
        <v>0</v>
      </c>
    </row>
    <row r="284" spans="1:65">
      <c r="A284" s="10">
        <f>35</f>
        <v>35</v>
      </c>
      <c r="B284" s="11">
        <f>IF(A284=1,'P-Parametri'!$B$30,IF(A284=2,'P-Parametri'!$C$30,'P-Parametri'!$B$29))</f>
        <v>6.8512000000000003E-2</v>
      </c>
      <c r="C284" s="11">
        <f t="shared" si="41"/>
        <v>0.52807365497538516</v>
      </c>
      <c r="D284" s="11">
        <f t="shared" si="42"/>
        <v>0.17519075076458596</v>
      </c>
      <c r="E284" s="18">
        <f>MAX(0,Y283-('P-Parametri'!$B$31*AF283))</f>
        <v>114.57376949268564</v>
      </c>
      <c r="F284" s="18">
        <f>MAX(0,AA283-('P-Parametri'!$C$31*AF283))</f>
        <v>0</v>
      </c>
      <c r="G284" s="18">
        <f>MAX(0,AC283-('P-Parametri'!$D$31*AF283))</f>
        <v>0</v>
      </c>
      <c r="H284" s="18">
        <f>E284*C284*'P-Parametri'!$B$6+F284*D284*'P-Parametri'!$B$7</f>
        <v>15.730881197280544</v>
      </c>
      <c r="I284" s="18">
        <f t="shared" si="43"/>
        <v>98.842888295405103</v>
      </c>
      <c r="J284" s="18">
        <f>MAX(0,('P-Parametri'!$B$31*AF283)-Y283)+MAX(0,('P-Parametri'!$C$31*AF283)-AA283)+MAX(0,('P-Parametri'!$D$31*AF283)-AC283)</f>
        <v>114.57376949268587</v>
      </c>
      <c r="K284" s="18">
        <f>Y283-E284+IF(J284&lt;=0,0,I284*MAX(0,('P-Parametri'!$B$31*AF283)-Y283)/J284)</f>
        <v>4201.122911037487</v>
      </c>
      <c r="L284" s="18">
        <f>Z283-E284*(1-C284)+IF(J284&lt;=0,0,I284*MAX(0,('P-Parametri'!$B$31*AF283)-Y283)/J284)</f>
        <v>1982.6205804050912</v>
      </c>
      <c r="M284" s="18">
        <f>AA283-F284+IF(J284&lt;=0,0,I284*MAX(0,('P-Parametri'!$C$31*AF283)-AA283)/J284)</f>
        <v>2089.4391438847638</v>
      </c>
      <c r="N284" s="18">
        <f>AB283-F284*(1-D284)+IF(J284&lt;=0,0,I284*MAX(0,('P-Parametri'!$C$31*AF283)-AA283)/J284)</f>
        <v>1735.6320349210951</v>
      </c>
      <c r="O284" s="18">
        <f>AC283-G284+IF(J284&lt;=0,0,I284*MAX(0,('P-Parametri'!$D$31*AF283)-AC283)/J284)</f>
        <v>695.57858227628026</v>
      </c>
      <c r="P284" s="18">
        <f>AD283-G284+IF(J284&lt;=0,0,I284*MAX(0,('P-Parametri'!$D$31*AF283)-AC283)/J284)</f>
        <v>-7402.3549457435784</v>
      </c>
      <c r="Q284" s="18">
        <f t="shared" si="44"/>
        <v>4488.9502439184871</v>
      </c>
      <c r="R284" s="18">
        <f>M284*(1+'P-Parametri'!$C$29)</f>
        <v>2099.8863396041875</v>
      </c>
      <c r="S284" s="18">
        <f>O284*(1+'1-Input'!$B$27)</f>
        <v>693.07449938008563</v>
      </c>
      <c r="T284" s="11">
        <f t="shared" si="45"/>
        <v>0.55833313521550076</v>
      </c>
      <c r="U284" s="11">
        <f t="shared" si="46"/>
        <v>0.17346381935688557</v>
      </c>
      <c r="V284" s="18">
        <f>IF(AG283=0,0,(MIN((Q284+R284+S284),MAX(0,$B$5-IF($A284&gt;='1-Input'!$C$12,'1-Input'!$B$12,0))/(Q284/(Q284+R284+S284)*(1-'P-Parametri'!$B$6*T284)+R284/(Q284+R284+S284)*(1-'P-Parametri'!$B$7*U284)+S284/(Q284+R284+S284))))*Q284/(Q284+R284+S284))</f>
        <v>0</v>
      </c>
      <c r="W284" s="18">
        <f>IF(AG283=0,0,(MIN((Q284+R284+S284),MAX(0,$B$5-IF($A284&gt;='1-Input'!$C$12,'1-Input'!$B$12,0))/(Q284/(Q284+R284+S284)*(1-'P-Parametri'!$B$6*T284)+R284/(Q284+R284+S284)*(1-'P-Parametri'!$B$7*U284)+S284/(Q284+R284+S284))))*R284/(Q284+R284+S284))</f>
        <v>0</v>
      </c>
      <c r="X284" s="18">
        <f>IF(AG283=0,0,(MIN((Q284+R284+S284),MAX(0,$B$5-IF($A284&gt;='1-Input'!$C$12,'1-Input'!$B$12,0))/(Q284/(Q284+R284+S284)*(1-'P-Parametri'!$B$6*T284)+R284/(Q284+R284+S284)*(1-'P-Parametri'!$B$7*U284)+S284/(Q284+R284+S284))))*S284/(Q284+R284+S284))</f>
        <v>0</v>
      </c>
      <c r="Y284" s="18">
        <f t="shared" si="47"/>
        <v>4315.6966805301727</v>
      </c>
      <c r="Z284" s="18">
        <f t="shared" si="48"/>
        <v>2036.690960677467</v>
      </c>
      <c r="AA284" s="18">
        <f t="shared" si="49"/>
        <v>2019.553586131382</v>
      </c>
      <c r="AB284" s="18">
        <f t="shared" si="50"/>
        <v>1665.7464771677132</v>
      </c>
      <c r="AC284" s="18">
        <f t="shared" si="51"/>
        <v>666.62125173425693</v>
      </c>
      <c r="AD284" s="18">
        <f t="shared" si="52"/>
        <v>-7431.3122762856019</v>
      </c>
      <c r="AE284" s="18">
        <f>IF(AG284=0,AE283,AE283+H284+V284*T284*'P-Parametri'!$B$6+W284*U284*'P-Parametri'!$B$7)</f>
        <v>17719.424342522081</v>
      </c>
      <c r="AF284" s="18">
        <f t="shared" si="39"/>
        <v>7001.871518395812</v>
      </c>
      <c r="AG284" s="10">
        <f>IF(AND(AG283=1,(X284+W284*(1-'P-Parametri'!$B$7*U284)+V284*(1-'P-Parametri'!$B$6*T284))&gt;=MAX(0,$B$5-IF($A284&gt;='1-Input'!$C$12,'1-Input'!$B$12,0))-0.01),1,0)</f>
        <v>0</v>
      </c>
      <c r="AI284" s="11">
        <f t="shared" si="53"/>
        <v>0.52841927102526653</v>
      </c>
      <c r="AJ284" s="11">
        <f t="shared" si="54"/>
        <v>0</v>
      </c>
      <c r="AK284" s="18">
        <f>MAX(0,BE283-('P-Parametri'!$B$31*BL283))</f>
        <v>3237.6275300382667</v>
      </c>
      <c r="AL284" s="18">
        <f>MAX(0,BG283-('P-Parametri'!$C$31*BL283))</f>
        <v>0</v>
      </c>
      <c r="AM284" s="18">
        <f>MAX(0,BI283-('P-Parametri'!$D$31*BL283))</f>
        <v>0</v>
      </c>
      <c r="AN284" s="18">
        <f>AK284*AI284*'P-Parametri'!$B$6+AL284*AJ284*'P-Parametri'!$B$7</f>
        <v>444.81444261128036</v>
      </c>
      <c r="AO284" s="18">
        <f t="shared" si="55"/>
        <v>2792.8130874269864</v>
      </c>
      <c r="AP284" s="18">
        <f>MAX(0,('P-Parametri'!$B$31*BL283)-BE283)+MAX(0,('P-Parametri'!$C$31*BL283)-BG283)+MAX(0,('P-Parametri'!$D$31*BL283)-BI283)</f>
        <v>3237.6275300382667</v>
      </c>
      <c r="AQ284" s="18">
        <f>BE283-AK284+IF(AP284&lt;=0,0,AO284*MAX(0,('P-Parametri'!$B$31*BL283)-BE283)/AP284)</f>
        <v>4856.4412950573997</v>
      </c>
      <c r="AR284" s="18">
        <f>BF283-AK284*(1-AI284)+IF(AP284&lt;=0,0,AO284*MAX(0,('P-Parametri'!$B$31*BL283)-BE283)/AP284)</f>
        <v>2290.2041261461673</v>
      </c>
      <c r="AS284" s="18">
        <f>BG283-AL284+IF(AP284&lt;=0,0,AO284*MAX(0,('P-Parametri'!$C$31*BL283)-BG283)/AP284)</f>
        <v>2094.6098155702393</v>
      </c>
      <c r="AT284" s="18">
        <f>BH283-AL284*(1-AJ284)+IF(AP284&lt;=0,0,AO284*MAX(0,('P-Parametri'!$C$31*BL283)-BG283)/AP284)</f>
        <v>2094.6098155702393</v>
      </c>
      <c r="AU284" s="18">
        <f>BI283-AM284+IF(AP284&lt;=0,0,AO284*MAX(0,('P-Parametri'!$D$31*BL283)-BI283)/AP284)</f>
        <v>698.2032718567466</v>
      </c>
      <c r="AV284" s="18">
        <f>BJ283-AM284+IF(AP284&lt;=0,0,AO284*MAX(0,('P-Parametri'!$D$31*BL283)-BI283)/AP284)</f>
        <v>-7422.5197042408417</v>
      </c>
      <c r="AW284" s="18">
        <f t="shared" si="56"/>
        <v>5189.1658010643714</v>
      </c>
      <c r="AX284" s="18">
        <f>AS284*(1+'P-Parametri'!$C$29)</f>
        <v>2105.0828646480904</v>
      </c>
      <c r="AY284" s="18">
        <f>AU284*(1+'1-Input'!$B$27)</f>
        <v>695.6897400780623</v>
      </c>
      <c r="AZ284" s="11">
        <f t="shared" si="57"/>
        <v>0.5586565906843034</v>
      </c>
      <c r="BA284" s="11">
        <f t="shared" si="58"/>
        <v>4.9751243781094075E-3</v>
      </c>
      <c r="BB284" s="18">
        <f>IF(BM283=0,0,MIN(MAX(AW284,0),(MAX(0,$B$5-IF($A284&gt;='1-Input'!$C$12,'1-Input'!$B$12,0))-BD284-BC284*(1-'P-Parametri'!$B$7*BA284))/(1-'P-Parametri'!$B$6*AZ284)))</f>
        <v>0</v>
      </c>
      <c r="BC284" s="18">
        <f>IF(BM283=0,0,MIN(MAX(AX284,0),(MAX(0,$B$5-IF($A284&gt;='1-Input'!$C$12,'1-Input'!$B$12,0))-BD284)/(1-'P-Parametri'!$B$7*BA284)))</f>
        <v>0</v>
      </c>
      <c r="BD284" s="18">
        <f>IF(BM283=0,0,MIN(MAX(AY284,0),MAX(0,$B$5-IF($A284&gt;='1-Input'!$C$12,'1-Input'!$B$12,0))))</f>
        <v>0</v>
      </c>
      <c r="BE284" s="18">
        <f t="shared" si="59"/>
        <v>8094.0688250956664</v>
      </c>
      <c r="BF284" s="18">
        <f t="shared" si="60"/>
        <v>3817.0068769102791</v>
      </c>
      <c r="BG284" s="18">
        <f t="shared" si="61"/>
        <v>0</v>
      </c>
      <c r="BH284" s="18">
        <f t="shared" si="62"/>
        <v>0</v>
      </c>
      <c r="BI284" s="18">
        <f t="shared" si="63"/>
        <v>0</v>
      </c>
      <c r="BJ284" s="18">
        <f t="shared" si="64"/>
        <v>-8120.7229760975879</v>
      </c>
      <c r="BK284" s="18">
        <f>IF(BM284=0,BK283,BK283+AN284+BB284*AZ284*'P-Parametri'!$B$6+BC284*BA284*'P-Parametri'!$B$7)</f>
        <v>17450.721955324654</v>
      </c>
      <c r="BL284" s="18">
        <f t="shared" si="40"/>
        <v>8094.0688250956664</v>
      </c>
      <c r="BM284" s="10">
        <f>IF(AND(BM283=1,(BD284+BC284*(1-'P-Parametri'!$B$7*BA284)+BB284*(1-'P-Parametri'!$B$6*AZ284))&gt;=MAX(0,$B$5-IF($A284&gt;='1-Input'!$C$12,'1-Input'!$B$12,0))-0.01),1,0)</f>
        <v>0</v>
      </c>
    </row>
    <row r="285" spans="1:65">
      <c r="A285" s="10">
        <f>36</f>
        <v>36</v>
      </c>
      <c r="B285" s="11">
        <f>IF(A285=1,'P-Parametri'!$B$30,IF(A285=2,'P-Parametri'!$C$30,'P-Parametri'!$B$29))</f>
        <v>6.8512000000000003E-2</v>
      </c>
      <c r="C285" s="11">
        <f t="shared" si="41"/>
        <v>0.52807365497538516</v>
      </c>
      <c r="D285" s="11">
        <f t="shared" si="42"/>
        <v>0.17519075076458596</v>
      </c>
      <c r="E285" s="18">
        <f>MAX(0,Y284-('P-Parametri'!$B$31*AF284))</f>
        <v>114.57376949268564</v>
      </c>
      <c r="F285" s="18">
        <f>MAX(0,AA284-('P-Parametri'!$C$31*AF284))</f>
        <v>0</v>
      </c>
      <c r="G285" s="18">
        <f>MAX(0,AC284-('P-Parametri'!$D$31*AF284))</f>
        <v>0</v>
      </c>
      <c r="H285" s="18">
        <f>E285*C285*'P-Parametri'!$B$6+F285*D285*'P-Parametri'!$B$7</f>
        <v>15.730881197280544</v>
      </c>
      <c r="I285" s="18">
        <f t="shared" si="43"/>
        <v>98.842888295405103</v>
      </c>
      <c r="J285" s="18">
        <f>MAX(0,('P-Parametri'!$B$31*AF284)-Y284)+MAX(0,('P-Parametri'!$C$31*AF284)-AA284)+MAX(0,('P-Parametri'!$D$31*AF284)-AC284)</f>
        <v>114.57376949268587</v>
      </c>
      <c r="K285" s="18">
        <f>Y284-E285+IF(J285&lt;=0,0,I285*MAX(0,('P-Parametri'!$B$31*AF284)-Y284)/J285)</f>
        <v>4201.122911037487</v>
      </c>
      <c r="L285" s="18">
        <f>Z284-E285*(1-C285)+IF(J285&lt;=0,0,I285*MAX(0,('P-Parametri'!$B$31*AF284)-Y284)/J285)</f>
        <v>1982.6205804050912</v>
      </c>
      <c r="M285" s="18">
        <f>AA284-F285+IF(J285&lt;=0,0,I285*MAX(0,('P-Parametri'!$C$31*AF284)-AA284)/J285)</f>
        <v>2089.4391438847638</v>
      </c>
      <c r="N285" s="18">
        <f>AB284-F285*(1-D285)+IF(J285&lt;=0,0,I285*MAX(0,('P-Parametri'!$C$31*AF284)-AA284)/J285)</f>
        <v>1735.6320349210951</v>
      </c>
      <c r="O285" s="18">
        <f>AC284-G285+IF(J285&lt;=0,0,I285*MAX(0,('P-Parametri'!$D$31*AF284)-AC284)/J285)</f>
        <v>695.57858227628026</v>
      </c>
      <c r="P285" s="18">
        <f>AD284-G285+IF(J285&lt;=0,0,I285*MAX(0,('P-Parametri'!$D$31*AF284)-AC284)/J285)</f>
        <v>-7402.3549457435784</v>
      </c>
      <c r="Q285" s="18">
        <f t="shared" si="44"/>
        <v>4488.9502439184871</v>
      </c>
      <c r="R285" s="18">
        <f>M285*(1+'P-Parametri'!$C$29)</f>
        <v>2099.8863396041875</v>
      </c>
      <c r="S285" s="18">
        <f>O285*(1+'1-Input'!$B$27)</f>
        <v>693.07449938008563</v>
      </c>
      <c r="T285" s="11">
        <f t="shared" si="45"/>
        <v>0.55833313521550076</v>
      </c>
      <c r="U285" s="11">
        <f t="shared" si="46"/>
        <v>0.17346381935688557</v>
      </c>
      <c r="V285" s="18">
        <f>IF(AG284=0,0,(MIN((Q285+R285+S285),MAX(0,$B$5-IF($A285&gt;='1-Input'!$C$12,'1-Input'!$B$12,0))/(Q285/(Q285+R285+S285)*(1-'P-Parametri'!$B$6*T285)+R285/(Q285+R285+S285)*(1-'P-Parametri'!$B$7*U285)+S285/(Q285+R285+S285))))*Q285/(Q285+R285+S285))</f>
        <v>0</v>
      </c>
      <c r="W285" s="18">
        <f>IF(AG284=0,0,(MIN((Q285+R285+S285),MAX(0,$B$5-IF($A285&gt;='1-Input'!$C$12,'1-Input'!$B$12,0))/(Q285/(Q285+R285+S285)*(1-'P-Parametri'!$B$6*T285)+R285/(Q285+R285+S285)*(1-'P-Parametri'!$B$7*U285)+S285/(Q285+R285+S285))))*R285/(Q285+R285+S285))</f>
        <v>0</v>
      </c>
      <c r="X285" s="18">
        <f>IF(AG284=0,0,(MIN((Q285+R285+S285),MAX(0,$B$5-IF($A285&gt;='1-Input'!$C$12,'1-Input'!$B$12,0))/(Q285/(Q285+R285+S285)*(1-'P-Parametri'!$B$6*T285)+R285/(Q285+R285+S285)*(1-'P-Parametri'!$B$7*U285)+S285/(Q285+R285+S285))))*S285/(Q285+R285+S285))</f>
        <v>0</v>
      </c>
      <c r="Y285" s="18">
        <f t="shared" si="47"/>
        <v>4315.6966805301727</v>
      </c>
      <c r="Z285" s="18">
        <f t="shared" si="48"/>
        <v>2036.690960677467</v>
      </c>
      <c r="AA285" s="18">
        <f t="shared" si="49"/>
        <v>2019.553586131382</v>
      </c>
      <c r="AB285" s="18">
        <f t="shared" si="50"/>
        <v>1665.7464771677132</v>
      </c>
      <c r="AC285" s="18">
        <f t="shared" si="51"/>
        <v>666.62125173425693</v>
      </c>
      <c r="AD285" s="18">
        <f t="shared" si="52"/>
        <v>-7431.3122762856019</v>
      </c>
      <c r="AE285" s="18">
        <f>IF(AG285=0,AE284,AE284+H285+V285*T285*'P-Parametri'!$B$6+W285*U285*'P-Parametri'!$B$7)</f>
        <v>17719.424342522081</v>
      </c>
      <c r="AF285" s="18">
        <f t="shared" si="39"/>
        <v>7001.871518395812</v>
      </c>
      <c r="AG285" s="10">
        <f>IF(AND(AG284=1,(X285+W285*(1-'P-Parametri'!$B$7*U285)+V285*(1-'P-Parametri'!$B$6*T285))&gt;=MAX(0,$B$5-IF($A285&gt;='1-Input'!$C$12,'1-Input'!$B$12,0))-0.01),1,0)</f>
        <v>0</v>
      </c>
      <c r="AI285" s="11">
        <f t="shared" si="53"/>
        <v>0.52841927102526653</v>
      </c>
      <c r="AJ285" s="11">
        <f t="shared" si="54"/>
        <v>0</v>
      </c>
      <c r="AK285" s="18">
        <f>MAX(0,BE284-('P-Parametri'!$B$31*BL284))</f>
        <v>3237.6275300382667</v>
      </c>
      <c r="AL285" s="18">
        <f>MAX(0,BG284-('P-Parametri'!$C$31*BL284))</f>
        <v>0</v>
      </c>
      <c r="AM285" s="18">
        <f>MAX(0,BI284-('P-Parametri'!$D$31*BL284))</f>
        <v>0</v>
      </c>
      <c r="AN285" s="18">
        <f>AK285*AI285*'P-Parametri'!$B$6+AL285*AJ285*'P-Parametri'!$B$7</f>
        <v>444.81444261128036</v>
      </c>
      <c r="AO285" s="18">
        <f t="shared" si="55"/>
        <v>2792.8130874269864</v>
      </c>
      <c r="AP285" s="18">
        <f>MAX(0,('P-Parametri'!$B$31*BL284)-BE284)+MAX(0,('P-Parametri'!$C$31*BL284)-BG284)+MAX(0,('P-Parametri'!$D$31*BL284)-BI284)</f>
        <v>3237.6275300382667</v>
      </c>
      <c r="AQ285" s="18">
        <f>BE284-AK285+IF(AP285&lt;=0,0,AO285*MAX(0,('P-Parametri'!$B$31*BL284)-BE284)/AP285)</f>
        <v>4856.4412950573997</v>
      </c>
      <c r="AR285" s="18">
        <f>BF284-AK285*(1-AI285)+IF(AP285&lt;=0,0,AO285*MAX(0,('P-Parametri'!$B$31*BL284)-BE284)/AP285)</f>
        <v>2290.2041261461673</v>
      </c>
      <c r="AS285" s="18">
        <f>BG284-AL285+IF(AP285&lt;=0,0,AO285*MAX(0,('P-Parametri'!$C$31*BL284)-BG284)/AP285)</f>
        <v>2094.6098155702393</v>
      </c>
      <c r="AT285" s="18">
        <f>BH284-AL285*(1-AJ285)+IF(AP285&lt;=0,0,AO285*MAX(0,('P-Parametri'!$C$31*BL284)-BG284)/AP285)</f>
        <v>2094.6098155702393</v>
      </c>
      <c r="AU285" s="18">
        <f>BI284-AM285+IF(AP285&lt;=0,0,AO285*MAX(0,('P-Parametri'!$D$31*BL284)-BI284)/AP285)</f>
        <v>698.2032718567466</v>
      </c>
      <c r="AV285" s="18">
        <f>BJ284-AM285+IF(AP285&lt;=0,0,AO285*MAX(0,('P-Parametri'!$D$31*BL284)-BI284)/AP285)</f>
        <v>-7422.5197042408417</v>
      </c>
      <c r="AW285" s="18">
        <f t="shared" si="56"/>
        <v>5189.1658010643714</v>
      </c>
      <c r="AX285" s="18">
        <f>AS285*(1+'P-Parametri'!$C$29)</f>
        <v>2105.0828646480904</v>
      </c>
      <c r="AY285" s="18">
        <f>AU285*(1+'1-Input'!$B$27)</f>
        <v>695.6897400780623</v>
      </c>
      <c r="AZ285" s="11">
        <f t="shared" si="57"/>
        <v>0.5586565906843034</v>
      </c>
      <c r="BA285" s="11">
        <f t="shared" si="58"/>
        <v>4.9751243781094075E-3</v>
      </c>
      <c r="BB285" s="18">
        <f>IF(BM284=0,0,MIN(MAX(AW285,0),(MAX(0,$B$5-IF($A285&gt;='1-Input'!$C$12,'1-Input'!$B$12,0))-BD285-BC285*(1-'P-Parametri'!$B$7*BA285))/(1-'P-Parametri'!$B$6*AZ285)))</f>
        <v>0</v>
      </c>
      <c r="BC285" s="18">
        <f>IF(BM284=0,0,MIN(MAX(AX285,0),(MAX(0,$B$5-IF($A285&gt;='1-Input'!$C$12,'1-Input'!$B$12,0))-BD285)/(1-'P-Parametri'!$B$7*BA285)))</f>
        <v>0</v>
      </c>
      <c r="BD285" s="18">
        <f>IF(BM284=0,0,MIN(MAX(AY285,0),MAX(0,$B$5-IF($A285&gt;='1-Input'!$C$12,'1-Input'!$B$12,0))))</f>
        <v>0</v>
      </c>
      <c r="BE285" s="18">
        <f t="shared" si="59"/>
        <v>8094.0688250956664</v>
      </c>
      <c r="BF285" s="18">
        <f t="shared" si="60"/>
        <v>3817.0068769102791</v>
      </c>
      <c r="BG285" s="18">
        <f t="shared" si="61"/>
        <v>0</v>
      </c>
      <c r="BH285" s="18">
        <f t="shared" si="62"/>
        <v>0</v>
      </c>
      <c r="BI285" s="18">
        <f t="shared" si="63"/>
        <v>0</v>
      </c>
      <c r="BJ285" s="18">
        <f t="shared" si="64"/>
        <v>-8120.7229760975879</v>
      </c>
      <c r="BK285" s="18">
        <f>IF(BM285=0,BK284,BK284+AN285+BB285*AZ285*'P-Parametri'!$B$6+BC285*BA285*'P-Parametri'!$B$7)</f>
        <v>17450.721955324654</v>
      </c>
      <c r="BL285" s="18">
        <f t="shared" si="40"/>
        <v>8094.0688250956664</v>
      </c>
      <c r="BM285" s="10">
        <f>IF(AND(BM284=1,(BD285+BC285*(1-'P-Parametri'!$B$7*BA285)+BB285*(1-'P-Parametri'!$B$6*AZ285))&gt;=MAX(0,$B$5-IF($A285&gt;='1-Input'!$C$12,'1-Input'!$B$12,0))-0.01),1,0)</f>
        <v>0</v>
      </c>
    </row>
    <row r="286" spans="1:65">
      <c r="A286" s="10">
        <f>37</f>
        <v>37</v>
      </c>
      <c r="B286" s="11">
        <f>IF(A286=1,'P-Parametri'!$B$30,IF(A286=2,'P-Parametri'!$C$30,'P-Parametri'!$B$29))</f>
        <v>6.8512000000000003E-2</v>
      </c>
      <c r="C286" s="11">
        <f t="shared" si="41"/>
        <v>0.52807365497538516</v>
      </c>
      <c r="D286" s="11">
        <f t="shared" si="42"/>
        <v>0.17519075076458596</v>
      </c>
      <c r="E286" s="18">
        <f>MAX(0,Y285-('P-Parametri'!$B$31*AF285))</f>
        <v>114.57376949268564</v>
      </c>
      <c r="F286" s="18">
        <f>MAX(0,AA285-('P-Parametri'!$C$31*AF285))</f>
        <v>0</v>
      </c>
      <c r="G286" s="18">
        <f>MAX(0,AC285-('P-Parametri'!$D$31*AF285))</f>
        <v>0</v>
      </c>
      <c r="H286" s="18">
        <f>E286*C286*'P-Parametri'!$B$6+F286*D286*'P-Parametri'!$B$7</f>
        <v>15.730881197280544</v>
      </c>
      <c r="I286" s="18">
        <f t="shared" si="43"/>
        <v>98.842888295405103</v>
      </c>
      <c r="J286" s="18">
        <f>MAX(0,('P-Parametri'!$B$31*AF285)-Y285)+MAX(0,('P-Parametri'!$C$31*AF285)-AA285)+MAX(0,('P-Parametri'!$D$31*AF285)-AC285)</f>
        <v>114.57376949268587</v>
      </c>
      <c r="K286" s="18">
        <f>Y285-E286+IF(J286&lt;=0,0,I286*MAX(0,('P-Parametri'!$B$31*AF285)-Y285)/J286)</f>
        <v>4201.122911037487</v>
      </c>
      <c r="L286" s="18">
        <f>Z285-E286*(1-C286)+IF(J286&lt;=0,0,I286*MAX(0,('P-Parametri'!$B$31*AF285)-Y285)/J286)</f>
        <v>1982.6205804050912</v>
      </c>
      <c r="M286" s="18">
        <f>AA285-F286+IF(J286&lt;=0,0,I286*MAX(0,('P-Parametri'!$C$31*AF285)-AA285)/J286)</f>
        <v>2089.4391438847638</v>
      </c>
      <c r="N286" s="18">
        <f>AB285-F286*(1-D286)+IF(J286&lt;=0,0,I286*MAX(0,('P-Parametri'!$C$31*AF285)-AA285)/J286)</f>
        <v>1735.6320349210951</v>
      </c>
      <c r="O286" s="18">
        <f>AC285-G286+IF(J286&lt;=0,0,I286*MAX(0,('P-Parametri'!$D$31*AF285)-AC285)/J286)</f>
        <v>695.57858227628026</v>
      </c>
      <c r="P286" s="18">
        <f>AD285-G286+IF(J286&lt;=0,0,I286*MAX(0,('P-Parametri'!$D$31*AF285)-AC285)/J286)</f>
        <v>-7402.3549457435784</v>
      </c>
      <c r="Q286" s="18">
        <f t="shared" si="44"/>
        <v>4488.9502439184871</v>
      </c>
      <c r="R286" s="18">
        <f>M286*(1+'P-Parametri'!$C$29)</f>
        <v>2099.8863396041875</v>
      </c>
      <c r="S286" s="18">
        <f>O286*(1+'1-Input'!$B$27)</f>
        <v>693.07449938008563</v>
      </c>
      <c r="T286" s="11">
        <f t="shared" si="45"/>
        <v>0.55833313521550076</v>
      </c>
      <c r="U286" s="11">
        <f t="shared" si="46"/>
        <v>0.17346381935688557</v>
      </c>
      <c r="V286" s="18">
        <f>IF(AG285=0,0,(MIN((Q286+R286+S286),MAX(0,$B$5-IF($A286&gt;='1-Input'!$C$12,'1-Input'!$B$12,0))/(Q286/(Q286+R286+S286)*(1-'P-Parametri'!$B$6*T286)+R286/(Q286+R286+S286)*(1-'P-Parametri'!$B$7*U286)+S286/(Q286+R286+S286))))*Q286/(Q286+R286+S286))</f>
        <v>0</v>
      </c>
      <c r="W286" s="18">
        <f>IF(AG285=0,0,(MIN((Q286+R286+S286),MAX(0,$B$5-IF($A286&gt;='1-Input'!$C$12,'1-Input'!$B$12,0))/(Q286/(Q286+R286+S286)*(1-'P-Parametri'!$B$6*T286)+R286/(Q286+R286+S286)*(1-'P-Parametri'!$B$7*U286)+S286/(Q286+R286+S286))))*R286/(Q286+R286+S286))</f>
        <v>0</v>
      </c>
      <c r="X286" s="18">
        <f>IF(AG285=0,0,(MIN((Q286+R286+S286),MAX(0,$B$5-IF($A286&gt;='1-Input'!$C$12,'1-Input'!$B$12,0))/(Q286/(Q286+R286+S286)*(1-'P-Parametri'!$B$6*T286)+R286/(Q286+R286+S286)*(1-'P-Parametri'!$B$7*U286)+S286/(Q286+R286+S286))))*S286/(Q286+R286+S286))</f>
        <v>0</v>
      </c>
      <c r="Y286" s="18">
        <f t="shared" si="47"/>
        <v>4315.6966805301727</v>
      </c>
      <c r="Z286" s="18">
        <f t="shared" si="48"/>
        <v>2036.690960677467</v>
      </c>
      <c r="AA286" s="18">
        <f t="shared" si="49"/>
        <v>2019.553586131382</v>
      </c>
      <c r="AB286" s="18">
        <f t="shared" si="50"/>
        <v>1665.7464771677132</v>
      </c>
      <c r="AC286" s="18">
        <f t="shared" si="51"/>
        <v>666.62125173425693</v>
      </c>
      <c r="AD286" s="18">
        <f t="shared" si="52"/>
        <v>-7431.3122762856019</v>
      </c>
      <c r="AE286" s="18">
        <f>IF(AG286=0,AE285,AE285+H286+V286*T286*'P-Parametri'!$B$6+W286*U286*'P-Parametri'!$B$7)</f>
        <v>17719.424342522081</v>
      </c>
      <c r="AF286" s="18">
        <f t="shared" si="39"/>
        <v>7001.871518395812</v>
      </c>
      <c r="AG286" s="10">
        <f>IF(AND(AG285=1,(X286+W286*(1-'P-Parametri'!$B$7*U286)+V286*(1-'P-Parametri'!$B$6*T286))&gt;=MAX(0,$B$5-IF($A286&gt;='1-Input'!$C$12,'1-Input'!$B$12,0))-0.01),1,0)</f>
        <v>0</v>
      </c>
      <c r="AI286" s="11">
        <f t="shared" si="53"/>
        <v>0.52841927102526653</v>
      </c>
      <c r="AJ286" s="11">
        <f t="shared" si="54"/>
        <v>0</v>
      </c>
      <c r="AK286" s="18">
        <f>MAX(0,BE285-('P-Parametri'!$B$31*BL285))</f>
        <v>3237.6275300382667</v>
      </c>
      <c r="AL286" s="18">
        <f>MAX(0,BG285-('P-Parametri'!$C$31*BL285))</f>
        <v>0</v>
      </c>
      <c r="AM286" s="18">
        <f>MAX(0,BI285-('P-Parametri'!$D$31*BL285))</f>
        <v>0</v>
      </c>
      <c r="AN286" s="18">
        <f>AK286*AI286*'P-Parametri'!$B$6+AL286*AJ286*'P-Parametri'!$B$7</f>
        <v>444.81444261128036</v>
      </c>
      <c r="AO286" s="18">
        <f t="shared" si="55"/>
        <v>2792.8130874269864</v>
      </c>
      <c r="AP286" s="18">
        <f>MAX(0,('P-Parametri'!$B$31*BL285)-BE285)+MAX(0,('P-Parametri'!$C$31*BL285)-BG285)+MAX(0,('P-Parametri'!$D$31*BL285)-BI285)</f>
        <v>3237.6275300382667</v>
      </c>
      <c r="AQ286" s="18">
        <f>BE285-AK286+IF(AP286&lt;=0,0,AO286*MAX(0,('P-Parametri'!$B$31*BL285)-BE285)/AP286)</f>
        <v>4856.4412950573997</v>
      </c>
      <c r="AR286" s="18">
        <f>BF285-AK286*(1-AI286)+IF(AP286&lt;=0,0,AO286*MAX(0,('P-Parametri'!$B$31*BL285)-BE285)/AP286)</f>
        <v>2290.2041261461673</v>
      </c>
      <c r="AS286" s="18">
        <f>BG285-AL286+IF(AP286&lt;=0,0,AO286*MAX(0,('P-Parametri'!$C$31*BL285)-BG285)/AP286)</f>
        <v>2094.6098155702393</v>
      </c>
      <c r="AT286" s="18">
        <f>BH285-AL286*(1-AJ286)+IF(AP286&lt;=0,0,AO286*MAX(0,('P-Parametri'!$C$31*BL285)-BG285)/AP286)</f>
        <v>2094.6098155702393</v>
      </c>
      <c r="AU286" s="18">
        <f>BI285-AM286+IF(AP286&lt;=0,0,AO286*MAX(0,('P-Parametri'!$D$31*BL285)-BI285)/AP286)</f>
        <v>698.2032718567466</v>
      </c>
      <c r="AV286" s="18">
        <f>BJ285-AM286+IF(AP286&lt;=0,0,AO286*MAX(0,('P-Parametri'!$D$31*BL285)-BI285)/AP286)</f>
        <v>-7422.5197042408417</v>
      </c>
      <c r="AW286" s="18">
        <f t="shared" si="56"/>
        <v>5189.1658010643714</v>
      </c>
      <c r="AX286" s="18">
        <f>AS286*(1+'P-Parametri'!$C$29)</f>
        <v>2105.0828646480904</v>
      </c>
      <c r="AY286" s="18">
        <f>AU286*(1+'1-Input'!$B$27)</f>
        <v>695.6897400780623</v>
      </c>
      <c r="AZ286" s="11">
        <f t="shared" si="57"/>
        <v>0.5586565906843034</v>
      </c>
      <c r="BA286" s="11">
        <f t="shared" si="58"/>
        <v>4.9751243781094075E-3</v>
      </c>
      <c r="BB286" s="18">
        <f>IF(BM285=0,0,MIN(MAX(AW286,0),(MAX(0,$B$5-IF($A286&gt;='1-Input'!$C$12,'1-Input'!$B$12,0))-BD286-BC286*(1-'P-Parametri'!$B$7*BA286))/(1-'P-Parametri'!$B$6*AZ286)))</f>
        <v>0</v>
      </c>
      <c r="BC286" s="18">
        <f>IF(BM285=0,0,MIN(MAX(AX286,0),(MAX(0,$B$5-IF($A286&gt;='1-Input'!$C$12,'1-Input'!$B$12,0))-BD286)/(1-'P-Parametri'!$B$7*BA286)))</f>
        <v>0</v>
      </c>
      <c r="BD286" s="18">
        <f>IF(BM285=0,0,MIN(MAX(AY286,0),MAX(0,$B$5-IF($A286&gt;='1-Input'!$C$12,'1-Input'!$B$12,0))))</f>
        <v>0</v>
      </c>
      <c r="BE286" s="18">
        <f t="shared" si="59"/>
        <v>8094.0688250956664</v>
      </c>
      <c r="BF286" s="18">
        <f t="shared" si="60"/>
        <v>3817.0068769102791</v>
      </c>
      <c r="BG286" s="18">
        <f t="shared" si="61"/>
        <v>0</v>
      </c>
      <c r="BH286" s="18">
        <f t="shared" si="62"/>
        <v>0</v>
      </c>
      <c r="BI286" s="18">
        <f t="shared" si="63"/>
        <v>0</v>
      </c>
      <c r="BJ286" s="18">
        <f t="shared" si="64"/>
        <v>-8120.7229760975879</v>
      </c>
      <c r="BK286" s="18">
        <f>IF(BM286=0,BK285,BK285+AN286+BB286*AZ286*'P-Parametri'!$B$6+BC286*BA286*'P-Parametri'!$B$7)</f>
        <v>17450.721955324654</v>
      </c>
      <c r="BL286" s="18">
        <f t="shared" si="40"/>
        <v>8094.0688250956664</v>
      </c>
      <c r="BM286" s="10">
        <f>IF(AND(BM285=1,(BD286+BC286*(1-'P-Parametri'!$B$7*BA286)+BB286*(1-'P-Parametri'!$B$6*AZ286))&gt;=MAX(0,$B$5-IF($A286&gt;='1-Input'!$C$12,'1-Input'!$B$12,0))-0.01),1,0)</f>
        <v>0</v>
      </c>
    </row>
    <row r="287" spans="1:65">
      <c r="A287" s="10">
        <f>38</f>
        <v>38</v>
      </c>
      <c r="B287" s="11">
        <f>IF(A287=1,'P-Parametri'!$B$30,IF(A287=2,'P-Parametri'!$C$30,'P-Parametri'!$B$29))</f>
        <v>6.8512000000000003E-2</v>
      </c>
      <c r="C287" s="11">
        <f t="shared" si="41"/>
        <v>0.52807365497538516</v>
      </c>
      <c r="D287" s="11">
        <f t="shared" si="42"/>
        <v>0.17519075076458596</v>
      </c>
      <c r="E287" s="18">
        <f>MAX(0,Y286-('P-Parametri'!$B$31*AF286))</f>
        <v>114.57376949268564</v>
      </c>
      <c r="F287" s="18">
        <f>MAX(0,AA286-('P-Parametri'!$C$31*AF286))</f>
        <v>0</v>
      </c>
      <c r="G287" s="18">
        <f>MAX(0,AC286-('P-Parametri'!$D$31*AF286))</f>
        <v>0</v>
      </c>
      <c r="H287" s="18">
        <f>E287*C287*'P-Parametri'!$B$6+F287*D287*'P-Parametri'!$B$7</f>
        <v>15.730881197280544</v>
      </c>
      <c r="I287" s="18">
        <f t="shared" si="43"/>
        <v>98.842888295405103</v>
      </c>
      <c r="J287" s="18">
        <f>MAX(0,('P-Parametri'!$B$31*AF286)-Y286)+MAX(0,('P-Parametri'!$C$31*AF286)-AA286)+MAX(0,('P-Parametri'!$D$31*AF286)-AC286)</f>
        <v>114.57376949268587</v>
      </c>
      <c r="K287" s="18">
        <f>Y286-E287+IF(J287&lt;=0,0,I287*MAX(0,('P-Parametri'!$B$31*AF286)-Y286)/J287)</f>
        <v>4201.122911037487</v>
      </c>
      <c r="L287" s="18">
        <f>Z286-E287*(1-C287)+IF(J287&lt;=0,0,I287*MAX(0,('P-Parametri'!$B$31*AF286)-Y286)/J287)</f>
        <v>1982.6205804050912</v>
      </c>
      <c r="M287" s="18">
        <f>AA286-F287+IF(J287&lt;=0,0,I287*MAX(0,('P-Parametri'!$C$31*AF286)-AA286)/J287)</f>
        <v>2089.4391438847638</v>
      </c>
      <c r="N287" s="18">
        <f>AB286-F287*(1-D287)+IF(J287&lt;=0,0,I287*MAX(0,('P-Parametri'!$C$31*AF286)-AA286)/J287)</f>
        <v>1735.6320349210951</v>
      </c>
      <c r="O287" s="18">
        <f>AC286-G287+IF(J287&lt;=0,0,I287*MAX(0,('P-Parametri'!$D$31*AF286)-AC286)/J287)</f>
        <v>695.57858227628026</v>
      </c>
      <c r="P287" s="18">
        <f>AD286-G287+IF(J287&lt;=0,0,I287*MAX(0,('P-Parametri'!$D$31*AF286)-AC286)/J287)</f>
        <v>-7402.3549457435784</v>
      </c>
      <c r="Q287" s="18">
        <f t="shared" si="44"/>
        <v>4488.9502439184871</v>
      </c>
      <c r="R287" s="18">
        <f>M287*(1+'P-Parametri'!$C$29)</f>
        <v>2099.8863396041875</v>
      </c>
      <c r="S287" s="18">
        <f>O287*(1+'1-Input'!$B$27)</f>
        <v>693.07449938008563</v>
      </c>
      <c r="T287" s="11">
        <f t="shared" si="45"/>
        <v>0.55833313521550076</v>
      </c>
      <c r="U287" s="11">
        <f t="shared" si="46"/>
        <v>0.17346381935688557</v>
      </c>
      <c r="V287" s="18">
        <f>IF(AG286=0,0,(MIN((Q287+R287+S287),MAX(0,$B$5-IF($A287&gt;='1-Input'!$C$12,'1-Input'!$B$12,0))/(Q287/(Q287+R287+S287)*(1-'P-Parametri'!$B$6*T287)+R287/(Q287+R287+S287)*(1-'P-Parametri'!$B$7*U287)+S287/(Q287+R287+S287))))*Q287/(Q287+R287+S287))</f>
        <v>0</v>
      </c>
      <c r="W287" s="18">
        <f>IF(AG286=0,0,(MIN((Q287+R287+S287),MAX(0,$B$5-IF($A287&gt;='1-Input'!$C$12,'1-Input'!$B$12,0))/(Q287/(Q287+R287+S287)*(1-'P-Parametri'!$B$6*T287)+R287/(Q287+R287+S287)*(1-'P-Parametri'!$B$7*U287)+S287/(Q287+R287+S287))))*R287/(Q287+R287+S287))</f>
        <v>0</v>
      </c>
      <c r="X287" s="18">
        <f>IF(AG286=0,0,(MIN((Q287+R287+S287),MAX(0,$B$5-IF($A287&gt;='1-Input'!$C$12,'1-Input'!$B$12,0))/(Q287/(Q287+R287+S287)*(1-'P-Parametri'!$B$6*T287)+R287/(Q287+R287+S287)*(1-'P-Parametri'!$B$7*U287)+S287/(Q287+R287+S287))))*S287/(Q287+R287+S287))</f>
        <v>0</v>
      </c>
      <c r="Y287" s="18">
        <f t="shared" si="47"/>
        <v>4315.6966805301727</v>
      </c>
      <c r="Z287" s="18">
        <f t="shared" si="48"/>
        <v>2036.690960677467</v>
      </c>
      <c r="AA287" s="18">
        <f t="shared" si="49"/>
        <v>2019.553586131382</v>
      </c>
      <c r="AB287" s="18">
        <f t="shared" si="50"/>
        <v>1665.7464771677132</v>
      </c>
      <c r="AC287" s="18">
        <f t="shared" si="51"/>
        <v>666.62125173425693</v>
      </c>
      <c r="AD287" s="18">
        <f t="shared" si="52"/>
        <v>-7431.3122762856019</v>
      </c>
      <c r="AE287" s="18">
        <f>IF(AG287=0,AE286,AE286+H287+V287*T287*'P-Parametri'!$B$6+W287*U287*'P-Parametri'!$B$7)</f>
        <v>17719.424342522081</v>
      </c>
      <c r="AF287" s="18">
        <f t="shared" si="39"/>
        <v>7001.871518395812</v>
      </c>
      <c r="AG287" s="10">
        <f>IF(AND(AG286=1,(X287+W287*(1-'P-Parametri'!$B$7*U287)+V287*(1-'P-Parametri'!$B$6*T287))&gt;=MAX(0,$B$5-IF($A287&gt;='1-Input'!$C$12,'1-Input'!$B$12,0))-0.01),1,0)</f>
        <v>0</v>
      </c>
      <c r="AI287" s="11">
        <f t="shared" si="53"/>
        <v>0.52841927102526653</v>
      </c>
      <c r="AJ287" s="11">
        <f t="shared" si="54"/>
        <v>0</v>
      </c>
      <c r="AK287" s="18">
        <f>MAX(0,BE286-('P-Parametri'!$B$31*BL286))</f>
        <v>3237.6275300382667</v>
      </c>
      <c r="AL287" s="18">
        <f>MAX(0,BG286-('P-Parametri'!$C$31*BL286))</f>
        <v>0</v>
      </c>
      <c r="AM287" s="18">
        <f>MAX(0,BI286-('P-Parametri'!$D$31*BL286))</f>
        <v>0</v>
      </c>
      <c r="AN287" s="18">
        <f>AK287*AI287*'P-Parametri'!$B$6+AL287*AJ287*'P-Parametri'!$B$7</f>
        <v>444.81444261128036</v>
      </c>
      <c r="AO287" s="18">
        <f t="shared" si="55"/>
        <v>2792.8130874269864</v>
      </c>
      <c r="AP287" s="18">
        <f>MAX(0,('P-Parametri'!$B$31*BL286)-BE286)+MAX(0,('P-Parametri'!$C$31*BL286)-BG286)+MAX(0,('P-Parametri'!$D$31*BL286)-BI286)</f>
        <v>3237.6275300382667</v>
      </c>
      <c r="AQ287" s="18">
        <f>BE286-AK287+IF(AP287&lt;=0,0,AO287*MAX(0,('P-Parametri'!$B$31*BL286)-BE286)/AP287)</f>
        <v>4856.4412950573997</v>
      </c>
      <c r="AR287" s="18">
        <f>BF286-AK287*(1-AI287)+IF(AP287&lt;=0,0,AO287*MAX(0,('P-Parametri'!$B$31*BL286)-BE286)/AP287)</f>
        <v>2290.2041261461673</v>
      </c>
      <c r="AS287" s="18">
        <f>BG286-AL287+IF(AP287&lt;=0,0,AO287*MAX(0,('P-Parametri'!$C$31*BL286)-BG286)/AP287)</f>
        <v>2094.6098155702393</v>
      </c>
      <c r="AT287" s="18">
        <f>BH286-AL287*(1-AJ287)+IF(AP287&lt;=0,0,AO287*MAX(0,('P-Parametri'!$C$31*BL286)-BG286)/AP287)</f>
        <v>2094.6098155702393</v>
      </c>
      <c r="AU287" s="18">
        <f>BI286-AM287+IF(AP287&lt;=0,0,AO287*MAX(0,('P-Parametri'!$D$31*BL286)-BI286)/AP287)</f>
        <v>698.2032718567466</v>
      </c>
      <c r="AV287" s="18">
        <f>BJ286-AM287+IF(AP287&lt;=0,0,AO287*MAX(0,('P-Parametri'!$D$31*BL286)-BI286)/AP287)</f>
        <v>-7422.5197042408417</v>
      </c>
      <c r="AW287" s="18">
        <f t="shared" si="56"/>
        <v>5189.1658010643714</v>
      </c>
      <c r="AX287" s="18">
        <f>AS287*(1+'P-Parametri'!$C$29)</f>
        <v>2105.0828646480904</v>
      </c>
      <c r="AY287" s="18">
        <f>AU287*(1+'1-Input'!$B$27)</f>
        <v>695.6897400780623</v>
      </c>
      <c r="AZ287" s="11">
        <f t="shared" si="57"/>
        <v>0.5586565906843034</v>
      </c>
      <c r="BA287" s="11">
        <f t="shared" si="58"/>
        <v>4.9751243781094075E-3</v>
      </c>
      <c r="BB287" s="18">
        <f>IF(BM286=0,0,MIN(MAX(AW287,0),(MAX(0,$B$5-IF($A287&gt;='1-Input'!$C$12,'1-Input'!$B$12,0))-BD287-BC287*(1-'P-Parametri'!$B$7*BA287))/(1-'P-Parametri'!$B$6*AZ287)))</f>
        <v>0</v>
      </c>
      <c r="BC287" s="18">
        <f>IF(BM286=0,0,MIN(MAX(AX287,0),(MAX(0,$B$5-IF($A287&gt;='1-Input'!$C$12,'1-Input'!$B$12,0))-BD287)/(1-'P-Parametri'!$B$7*BA287)))</f>
        <v>0</v>
      </c>
      <c r="BD287" s="18">
        <f>IF(BM286=0,0,MIN(MAX(AY287,0),MAX(0,$B$5-IF($A287&gt;='1-Input'!$C$12,'1-Input'!$B$12,0))))</f>
        <v>0</v>
      </c>
      <c r="BE287" s="18">
        <f t="shared" si="59"/>
        <v>8094.0688250956664</v>
      </c>
      <c r="BF287" s="18">
        <f t="shared" si="60"/>
        <v>3817.0068769102791</v>
      </c>
      <c r="BG287" s="18">
        <f t="shared" si="61"/>
        <v>0</v>
      </c>
      <c r="BH287" s="18">
        <f t="shared" si="62"/>
        <v>0</v>
      </c>
      <c r="BI287" s="18">
        <f t="shared" si="63"/>
        <v>0</v>
      </c>
      <c r="BJ287" s="18">
        <f t="shared" si="64"/>
        <v>-8120.7229760975879</v>
      </c>
      <c r="BK287" s="18">
        <f>IF(BM287=0,BK286,BK286+AN287+BB287*AZ287*'P-Parametri'!$B$6+BC287*BA287*'P-Parametri'!$B$7)</f>
        <v>17450.721955324654</v>
      </c>
      <c r="BL287" s="18">
        <f t="shared" si="40"/>
        <v>8094.0688250956664</v>
      </c>
      <c r="BM287" s="10">
        <f>IF(AND(BM286=1,(BD287+BC287*(1-'P-Parametri'!$B$7*BA287)+BB287*(1-'P-Parametri'!$B$6*AZ287))&gt;=MAX(0,$B$5-IF($A287&gt;='1-Input'!$C$12,'1-Input'!$B$12,0))-0.01),1,0)</f>
        <v>0</v>
      </c>
    </row>
    <row r="288" spans="1:65">
      <c r="A288" s="10">
        <f>39</f>
        <v>39</v>
      </c>
      <c r="B288" s="11">
        <f>IF(A288=1,'P-Parametri'!$B$30,IF(A288=2,'P-Parametri'!$C$30,'P-Parametri'!$B$29))</f>
        <v>6.8512000000000003E-2</v>
      </c>
      <c r="C288" s="11">
        <f t="shared" si="41"/>
        <v>0.52807365497538516</v>
      </c>
      <c r="D288" s="11">
        <f t="shared" si="42"/>
        <v>0.17519075076458596</v>
      </c>
      <c r="E288" s="18">
        <f>MAX(0,Y287-('P-Parametri'!$B$31*AF287))</f>
        <v>114.57376949268564</v>
      </c>
      <c r="F288" s="18">
        <f>MAX(0,AA287-('P-Parametri'!$C$31*AF287))</f>
        <v>0</v>
      </c>
      <c r="G288" s="18">
        <f>MAX(0,AC287-('P-Parametri'!$D$31*AF287))</f>
        <v>0</v>
      </c>
      <c r="H288" s="18">
        <f>E288*C288*'P-Parametri'!$B$6+F288*D288*'P-Parametri'!$B$7</f>
        <v>15.730881197280544</v>
      </c>
      <c r="I288" s="18">
        <f t="shared" si="43"/>
        <v>98.842888295405103</v>
      </c>
      <c r="J288" s="18">
        <f>MAX(0,('P-Parametri'!$B$31*AF287)-Y287)+MAX(0,('P-Parametri'!$C$31*AF287)-AA287)+MAX(0,('P-Parametri'!$D$31*AF287)-AC287)</f>
        <v>114.57376949268587</v>
      </c>
      <c r="K288" s="18">
        <f>Y287-E288+IF(J288&lt;=0,0,I288*MAX(0,('P-Parametri'!$B$31*AF287)-Y287)/J288)</f>
        <v>4201.122911037487</v>
      </c>
      <c r="L288" s="18">
        <f>Z287-E288*(1-C288)+IF(J288&lt;=0,0,I288*MAX(0,('P-Parametri'!$B$31*AF287)-Y287)/J288)</f>
        <v>1982.6205804050912</v>
      </c>
      <c r="M288" s="18">
        <f>AA287-F288+IF(J288&lt;=0,0,I288*MAX(0,('P-Parametri'!$C$31*AF287)-AA287)/J288)</f>
        <v>2089.4391438847638</v>
      </c>
      <c r="N288" s="18">
        <f>AB287-F288*(1-D288)+IF(J288&lt;=0,0,I288*MAX(0,('P-Parametri'!$C$31*AF287)-AA287)/J288)</f>
        <v>1735.6320349210951</v>
      </c>
      <c r="O288" s="18">
        <f>AC287-G288+IF(J288&lt;=0,0,I288*MAX(0,('P-Parametri'!$D$31*AF287)-AC287)/J288)</f>
        <v>695.57858227628026</v>
      </c>
      <c r="P288" s="18">
        <f>AD287-G288+IF(J288&lt;=0,0,I288*MAX(0,('P-Parametri'!$D$31*AF287)-AC287)/J288)</f>
        <v>-7402.3549457435784</v>
      </c>
      <c r="Q288" s="18">
        <f t="shared" si="44"/>
        <v>4488.9502439184871</v>
      </c>
      <c r="R288" s="18">
        <f>M288*(1+'P-Parametri'!$C$29)</f>
        <v>2099.8863396041875</v>
      </c>
      <c r="S288" s="18">
        <f>O288*(1+'1-Input'!$B$27)</f>
        <v>693.07449938008563</v>
      </c>
      <c r="T288" s="11">
        <f t="shared" si="45"/>
        <v>0.55833313521550076</v>
      </c>
      <c r="U288" s="11">
        <f t="shared" si="46"/>
        <v>0.17346381935688557</v>
      </c>
      <c r="V288" s="18">
        <f>IF(AG287=0,0,(MIN((Q288+R288+S288),MAX(0,$B$5-IF($A288&gt;='1-Input'!$C$12,'1-Input'!$B$12,0))/(Q288/(Q288+R288+S288)*(1-'P-Parametri'!$B$6*T288)+R288/(Q288+R288+S288)*(1-'P-Parametri'!$B$7*U288)+S288/(Q288+R288+S288))))*Q288/(Q288+R288+S288))</f>
        <v>0</v>
      </c>
      <c r="W288" s="18">
        <f>IF(AG287=0,0,(MIN((Q288+R288+S288),MAX(0,$B$5-IF($A288&gt;='1-Input'!$C$12,'1-Input'!$B$12,0))/(Q288/(Q288+R288+S288)*(1-'P-Parametri'!$B$6*T288)+R288/(Q288+R288+S288)*(1-'P-Parametri'!$B$7*U288)+S288/(Q288+R288+S288))))*R288/(Q288+R288+S288))</f>
        <v>0</v>
      </c>
      <c r="X288" s="18">
        <f>IF(AG287=0,0,(MIN((Q288+R288+S288),MAX(0,$B$5-IF($A288&gt;='1-Input'!$C$12,'1-Input'!$B$12,0))/(Q288/(Q288+R288+S288)*(1-'P-Parametri'!$B$6*T288)+R288/(Q288+R288+S288)*(1-'P-Parametri'!$B$7*U288)+S288/(Q288+R288+S288))))*S288/(Q288+R288+S288))</f>
        <v>0</v>
      </c>
      <c r="Y288" s="18">
        <f t="shared" si="47"/>
        <v>4315.6966805301727</v>
      </c>
      <c r="Z288" s="18">
        <f t="shared" si="48"/>
        <v>2036.690960677467</v>
      </c>
      <c r="AA288" s="18">
        <f t="shared" si="49"/>
        <v>2019.553586131382</v>
      </c>
      <c r="AB288" s="18">
        <f t="shared" si="50"/>
        <v>1665.7464771677132</v>
      </c>
      <c r="AC288" s="18">
        <f t="shared" si="51"/>
        <v>666.62125173425693</v>
      </c>
      <c r="AD288" s="18">
        <f t="shared" si="52"/>
        <v>-7431.3122762856019</v>
      </c>
      <c r="AE288" s="18">
        <f>IF(AG288=0,AE287,AE287+H288+V288*T288*'P-Parametri'!$B$6+W288*U288*'P-Parametri'!$B$7)</f>
        <v>17719.424342522081</v>
      </c>
      <c r="AF288" s="18">
        <f t="shared" si="39"/>
        <v>7001.871518395812</v>
      </c>
      <c r="AG288" s="10">
        <f>IF(AND(AG287=1,(X288+W288*(1-'P-Parametri'!$B$7*U288)+V288*(1-'P-Parametri'!$B$6*T288))&gt;=MAX(0,$B$5-IF($A288&gt;='1-Input'!$C$12,'1-Input'!$B$12,0))-0.01),1,0)</f>
        <v>0</v>
      </c>
      <c r="AI288" s="11">
        <f t="shared" si="53"/>
        <v>0.52841927102526653</v>
      </c>
      <c r="AJ288" s="11">
        <f t="shared" si="54"/>
        <v>0</v>
      </c>
      <c r="AK288" s="18">
        <f>MAX(0,BE287-('P-Parametri'!$B$31*BL287))</f>
        <v>3237.6275300382667</v>
      </c>
      <c r="AL288" s="18">
        <f>MAX(0,BG287-('P-Parametri'!$C$31*BL287))</f>
        <v>0</v>
      </c>
      <c r="AM288" s="18">
        <f>MAX(0,BI287-('P-Parametri'!$D$31*BL287))</f>
        <v>0</v>
      </c>
      <c r="AN288" s="18">
        <f>AK288*AI288*'P-Parametri'!$B$6+AL288*AJ288*'P-Parametri'!$B$7</f>
        <v>444.81444261128036</v>
      </c>
      <c r="AO288" s="18">
        <f t="shared" si="55"/>
        <v>2792.8130874269864</v>
      </c>
      <c r="AP288" s="18">
        <f>MAX(0,('P-Parametri'!$B$31*BL287)-BE287)+MAX(0,('P-Parametri'!$C$31*BL287)-BG287)+MAX(0,('P-Parametri'!$D$31*BL287)-BI287)</f>
        <v>3237.6275300382667</v>
      </c>
      <c r="AQ288" s="18">
        <f>BE287-AK288+IF(AP288&lt;=0,0,AO288*MAX(0,('P-Parametri'!$B$31*BL287)-BE287)/AP288)</f>
        <v>4856.4412950573997</v>
      </c>
      <c r="AR288" s="18">
        <f>BF287-AK288*(1-AI288)+IF(AP288&lt;=0,0,AO288*MAX(0,('P-Parametri'!$B$31*BL287)-BE287)/AP288)</f>
        <v>2290.2041261461673</v>
      </c>
      <c r="AS288" s="18">
        <f>BG287-AL288+IF(AP288&lt;=0,0,AO288*MAX(0,('P-Parametri'!$C$31*BL287)-BG287)/AP288)</f>
        <v>2094.6098155702393</v>
      </c>
      <c r="AT288" s="18">
        <f>BH287-AL288*(1-AJ288)+IF(AP288&lt;=0,0,AO288*MAX(0,('P-Parametri'!$C$31*BL287)-BG287)/AP288)</f>
        <v>2094.6098155702393</v>
      </c>
      <c r="AU288" s="18">
        <f>BI287-AM288+IF(AP288&lt;=0,0,AO288*MAX(0,('P-Parametri'!$D$31*BL287)-BI287)/AP288)</f>
        <v>698.2032718567466</v>
      </c>
      <c r="AV288" s="18">
        <f>BJ287-AM288+IF(AP288&lt;=0,0,AO288*MAX(0,('P-Parametri'!$D$31*BL287)-BI287)/AP288)</f>
        <v>-7422.5197042408417</v>
      </c>
      <c r="AW288" s="18">
        <f t="shared" si="56"/>
        <v>5189.1658010643714</v>
      </c>
      <c r="AX288" s="18">
        <f>AS288*(1+'P-Parametri'!$C$29)</f>
        <v>2105.0828646480904</v>
      </c>
      <c r="AY288" s="18">
        <f>AU288*(1+'1-Input'!$B$27)</f>
        <v>695.6897400780623</v>
      </c>
      <c r="AZ288" s="11">
        <f t="shared" si="57"/>
        <v>0.5586565906843034</v>
      </c>
      <c r="BA288" s="11">
        <f t="shared" si="58"/>
        <v>4.9751243781094075E-3</v>
      </c>
      <c r="BB288" s="18">
        <f>IF(BM287=0,0,MIN(MAX(AW288,0),(MAX(0,$B$5-IF($A288&gt;='1-Input'!$C$12,'1-Input'!$B$12,0))-BD288-BC288*(1-'P-Parametri'!$B$7*BA288))/(1-'P-Parametri'!$B$6*AZ288)))</f>
        <v>0</v>
      </c>
      <c r="BC288" s="18">
        <f>IF(BM287=0,0,MIN(MAX(AX288,0),(MAX(0,$B$5-IF($A288&gt;='1-Input'!$C$12,'1-Input'!$B$12,0))-BD288)/(1-'P-Parametri'!$B$7*BA288)))</f>
        <v>0</v>
      </c>
      <c r="BD288" s="18">
        <f>IF(BM287=0,0,MIN(MAX(AY288,0),MAX(0,$B$5-IF($A288&gt;='1-Input'!$C$12,'1-Input'!$B$12,0))))</f>
        <v>0</v>
      </c>
      <c r="BE288" s="18">
        <f t="shared" si="59"/>
        <v>8094.0688250956664</v>
      </c>
      <c r="BF288" s="18">
        <f t="shared" si="60"/>
        <v>3817.0068769102791</v>
      </c>
      <c r="BG288" s="18">
        <f t="shared" si="61"/>
        <v>0</v>
      </c>
      <c r="BH288" s="18">
        <f t="shared" si="62"/>
        <v>0</v>
      </c>
      <c r="BI288" s="18">
        <f t="shared" si="63"/>
        <v>0</v>
      </c>
      <c r="BJ288" s="18">
        <f t="shared" si="64"/>
        <v>-8120.7229760975879</v>
      </c>
      <c r="BK288" s="18">
        <f>IF(BM288=0,BK287,BK287+AN288+BB288*AZ288*'P-Parametri'!$B$6+BC288*BA288*'P-Parametri'!$B$7)</f>
        <v>17450.721955324654</v>
      </c>
      <c r="BL288" s="18">
        <f t="shared" si="40"/>
        <v>8094.0688250956664</v>
      </c>
      <c r="BM288" s="10">
        <f>IF(AND(BM287=1,(BD288+BC288*(1-'P-Parametri'!$B$7*BA288)+BB288*(1-'P-Parametri'!$B$6*AZ288))&gt;=MAX(0,$B$5-IF($A288&gt;='1-Input'!$C$12,'1-Input'!$B$12,0))-0.01),1,0)</f>
        <v>0</v>
      </c>
    </row>
    <row r="289" spans="1:65">
      <c r="A289" s="10">
        <f>40</f>
        <v>40</v>
      </c>
      <c r="B289" s="11">
        <f>IF(A289=1,'P-Parametri'!$B$30,IF(A289=2,'P-Parametri'!$C$30,'P-Parametri'!$B$29))</f>
        <v>6.8512000000000003E-2</v>
      </c>
      <c r="C289" s="11">
        <f t="shared" si="41"/>
        <v>0.52807365497538516</v>
      </c>
      <c r="D289" s="11">
        <f t="shared" si="42"/>
        <v>0.17519075076458596</v>
      </c>
      <c r="E289" s="18">
        <f>MAX(0,Y288-('P-Parametri'!$B$31*AF288))</f>
        <v>114.57376949268564</v>
      </c>
      <c r="F289" s="18">
        <f>MAX(0,AA288-('P-Parametri'!$C$31*AF288))</f>
        <v>0</v>
      </c>
      <c r="G289" s="18">
        <f>MAX(0,AC288-('P-Parametri'!$D$31*AF288))</f>
        <v>0</v>
      </c>
      <c r="H289" s="18">
        <f>E289*C289*'P-Parametri'!$B$6+F289*D289*'P-Parametri'!$B$7</f>
        <v>15.730881197280544</v>
      </c>
      <c r="I289" s="18">
        <f t="shared" si="43"/>
        <v>98.842888295405103</v>
      </c>
      <c r="J289" s="18">
        <f>MAX(0,('P-Parametri'!$B$31*AF288)-Y288)+MAX(0,('P-Parametri'!$C$31*AF288)-AA288)+MAX(0,('P-Parametri'!$D$31*AF288)-AC288)</f>
        <v>114.57376949268587</v>
      </c>
      <c r="K289" s="18">
        <f>Y288-E289+IF(J289&lt;=0,0,I289*MAX(0,('P-Parametri'!$B$31*AF288)-Y288)/J289)</f>
        <v>4201.122911037487</v>
      </c>
      <c r="L289" s="18">
        <f>Z288-E289*(1-C289)+IF(J289&lt;=0,0,I289*MAX(0,('P-Parametri'!$B$31*AF288)-Y288)/J289)</f>
        <v>1982.6205804050912</v>
      </c>
      <c r="M289" s="18">
        <f>AA288-F289+IF(J289&lt;=0,0,I289*MAX(0,('P-Parametri'!$C$31*AF288)-AA288)/J289)</f>
        <v>2089.4391438847638</v>
      </c>
      <c r="N289" s="18">
        <f>AB288-F289*(1-D289)+IF(J289&lt;=0,0,I289*MAX(0,('P-Parametri'!$C$31*AF288)-AA288)/J289)</f>
        <v>1735.6320349210951</v>
      </c>
      <c r="O289" s="18">
        <f>AC288-G289+IF(J289&lt;=0,0,I289*MAX(0,('P-Parametri'!$D$31*AF288)-AC288)/J289)</f>
        <v>695.57858227628026</v>
      </c>
      <c r="P289" s="18">
        <f>AD288-G289+IF(J289&lt;=0,0,I289*MAX(0,('P-Parametri'!$D$31*AF288)-AC288)/J289)</f>
        <v>-7402.3549457435784</v>
      </c>
      <c r="Q289" s="18">
        <f t="shared" si="44"/>
        <v>4488.9502439184871</v>
      </c>
      <c r="R289" s="18">
        <f>M289*(1+'P-Parametri'!$C$29)</f>
        <v>2099.8863396041875</v>
      </c>
      <c r="S289" s="18">
        <f>O289*(1+'1-Input'!$B$27)</f>
        <v>693.07449938008563</v>
      </c>
      <c r="T289" s="11">
        <f t="shared" si="45"/>
        <v>0.55833313521550076</v>
      </c>
      <c r="U289" s="11">
        <f t="shared" si="46"/>
        <v>0.17346381935688557</v>
      </c>
      <c r="V289" s="18">
        <f>IF(AG288=0,0,(MIN((Q289+R289+S289),MAX(0,$B$5-IF($A289&gt;='1-Input'!$C$12,'1-Input'!$B$12,0))/(Q289/(Q289+R289+S289)*(1-'P-Parametri'!$B$6*T289)+R289/(Q289+R289+S289)*(1-'P-Parametri'!$B$7*U289)+S289/(Q289+R289+S289))))*Q289/(Q289+R289+S289))</f>
        <v>0</v>
      </c>
      <c r="W289" s="18">
        <f>IF(AG288=0,0,(MIN((Q289+R289+S289),MAX(0,$B$5-IF($A289&gt;='1-Input'!$C$12,'1-Input'!$B$12,0))/(Q289/(Q289+R289+S289)*(1-'P-Parametri'!$B$6*T289)+R289/(Q289+R289+S289)*(1-'P-Parametri'!$B$7*U289)+S289/(Q289+R289+S289))))*R289/(Q289+R289+S289))</f>
        <v>0</v>
      </c>
      <c r="X289" s="18">
        <f>IF(AG288=0,0,(MIN((Q289+R289+S289),MAX(0,$B$5-IF($A289&gt;='1-Input'!$C$12,'1-Input'!$B$12,0))/(Q289/(Q289+R289+S289)*(1-'P-Parametri'!$B$6*T289)+R289/(Q289+R289+S289)*(1-'P-Parametri'!$B$7*U289)+S289/(Q289+R289+S289))))*S289/(Q289+R289+S289))</f>
        <v>0</v>
      </c>
      <c r="Y289" s="18">
        <f t="shared" si="47"/>
        <v>4315.6966805301727</v>
      </c>
      <c r="Z289" s="18">
        <f t="shared" si="48"/>
        <v>2036.690960677467</v>
      </c>
      <c r="AA289" s="18">
        <f t="shared" si="49"/>
        <v>2019.553586131382</v>
      </c>
      <c r="AB289" s="18">
        <f t="shared" si="50"/>
        <v>1665.7464771677132</v>
      </c>
      <c r="AC289" s="18">
        <f t="shared" si="51"/>
        <v>666.62125173425693</v>
      </c>
      <c r="AD289" s="18">
        <f t="shared" si="52"/>
        <v>-7431.3122762856019</v>
      </c>
      <c r="AE289" s="18">
        <f>IF(AG289=0,AE288,AE288+H289+V289*T289*'P-Parametri'!$B$6+W289*U289*'P-Parametri'!$B$7)</f>
        <v>17719.424342522081</v>
      </c>
      <c r="AF289" s="18">
        <f t="shared" si="39"/>
        <v>7001.871518395812</v>
      </c>
      <c r="AG289" s="10">
        <f>IF(AND(AG288=1,(X289+W289*(1-'P-Parametri'!$B$7*U289)+V289*(1-'P-Parametri'!$B$6*T289))&gt;=MAX(0,$B$5-IF($A289&gt;='1-Input'!$C$12,'1-Input'!$B$12,0))-0.01),1,0)</f>
        <v>0</v>
      </c>
      <c r="AI289" s="11">
        <f t="shared" si="53"/>
        <v>0.52841927102526653</v>
      </c>
      <c r="AJ289" s="11">
        <f t="shared" si="54"/>
        <v>0</v>
      </c>
      <c r="AK289" s="18">
        <f>MAX(0,BE288-('P-Parametri'!$B$31*BL288))</f>
        <v>3237.6275300382667</v>
      </c>
      <c r="AL289" s="18">
        <f>MAX(0,BG288-('P-Parametri'!$C$31*BL288))</f>
        <v>0</v>
      </c>
      <c r="AM289" s="18">
        <f>MAX(0,BI288-('P-Parametri'!$D$31*BL288))</f>
        <v>0</v>
      </c>
      <c r="AN289" s="18">
        <f>AK289*AI289*'P-Parametri'!$B$6+AL289*AJ289*'P-Parametri'!$B$7</f>
        <v>444.81444261128036</v>
      </c>
      <c r="AO289" s="18">
        <f t="shared" si="55"/>
        <v>2792.8130874269864</v>
      </c>
      <c r="AP289" s="18">
        <f>MAX(0,('P-Parametri'!$B$31*BL288)-BE288)+MAX(0,('P-Parametri'!$C$31*BL288)-BG288)+MAX(0,('P-Parametri'!$D$31*BL288)-BI288)</f>
        <v>3237.6275300382667</v>
      </c>
      <c r="AQ289" s="18">
        <f>BE288-AK289+IF(AP289&lt;=0,0,AO289*MAX(0,('P-Parametri'!$B$31*BL288)-BE288)/AP289)</f>
        <v>4856.4412950573997</v>
      </c>
      <c r="AR289" s="18">
        <f>BF288-AK289*(1-AI289)+IF(AP289&lt;=0,0,AO289*MAX(0,('P-Parametri'!$B$31*BL288)-BE288)/AP289)</f>
        <v>2290.2041261461673</v>
      </c>
      <c r="AS289" s="18">
        <f>BG288-AL289+IF(AP289&lt;=0,0,AO289*MAX(0,('P-Parametri'!$C$31*BL288)-BG288)/AP289)</f>
        <v>2094.6098155702393</v>
      </c>
      <c r="AT289" s="18">
        <f>BH288-AL289*(1-AJ289)+IF(AP289&lt;=0,0,AO289*MAX(0,('P-Parametri'!$C$31*BL288)-BG288)/AP289)</f>
        <v>2094.6098155702393</v>
      </c>
      <c r="AU289" s="18">
        <f>BI288-AM289+IF(AP289&lt;=0,0,AO289*MAX(0,('P-Parametri'!$D$31*BL288)-BI288)/AP289)</f>
        <v>698.2032718567466</v>
      </c>
      <c r="AV289" s="18">
        <f>BJ288-AM289+IF(AP289&lt;=0,0,AO289*MAX(0,('P-Parametri'!$D$31*BL288)-BI288)/AP289)</f>
        <v>-7422.5197042408417</v>
      </c>
      <c r="AW289" s="18">
        <f t="shared" si="56"/>
        <v>5189.1658010643714</v>
      </c>
      <c r="AX289" s="18">
        <f>AS289*(1+'P-Parametri'!$C$29)</f>
        <v>2105.0828646480904</v>
      </c>
      <c r="AY289" s="18">
        <f>AU289*(1+'1-Input'!$B$27)</f>
        <v>695.6897400780623</v>
      </c>
      <c r="AZ289" s="11">
        <f t="shared" si="57"/>
        <v>0.5586565906843034</v>
      </c>
      <c r="BA289" s="11">
        <f t="shared" si="58"/>
        <v>4.9751243781094075E-3</v>
      </c>
      <c r="BB289" s="18">
        <f>IF(BM288=0,0,MIN(MAX(AW289,0),(MAX(0,$B$5-IF($A289&gt;='1-Input'!$C$12,'1-Input'!$B$12,0))-BD289-BC289*(1-'P-Parametri'!$B$7*BA289))/(1-'P-Parametri'!$B$6*AZ289)))</f>
        <v>0</v>
      </c>
      <c r="BC289" s="18">
        <f>IF(BM288=0,0,MIN(MAX(AX289,0),(MAX(0,$B$5-IF($A289&gt;='1-Input'!$C$12,'1-Input'!$B$12,0))-BD289)/(1-'P-Parametri'!$B$7*BA289)))</f>
        <v>0</v>
      </c>
      <c r="BD289" s="18">
        <f>IF(BM288=0,0,MIN(MAX(AY289,0),MAX(0,$B$5-IF($A289&gt;='1-Input'!$C$12,'1-Input'!$B$12,0))))</f>
        <v>0</v>
      </c>
      <c r="BE289" s="18">
        <f t="shared" si="59"/>
        <v>8094.0688250956664</v>
      </c>
      <c r="BF289" s="18">
        <f t="shared" si="60"/>
        <v>3817.0068769102791</v>
      </c>
      <c r="BG289" s="18">
        <f t="shared" si="61"/>
        <v>0</v>
      </c>
      <c r="BH289" s="18">
        <f t="shared" si="62"/>
        <v>0</v>
      </c>
      <c r="BI289" s="18">
        <f t="shared" si="63"/>
        <v>0</v>
      </c>
      <c r="BJ289" s="18">
        <f t="shared" si="64"/>
        <v>-8120.7229760975879</v>
      </c>
      <c r="BK289" s="18">
        <f>IF(BM289=0,BK288,BK288+AN289+BB289*AZ289*'P-Parametri'!$B$6+BC289*BA289*'P-Parametri'!$B$7)</f>
        <v>17450.721955324654</v>
      </c>
      <c r="BL289" s="18">
        <f t="shared" si="40"/>
        <v>8094.0688250956664</v>
      </c>
      <c r="BM289" s="10">
        <f>IF(AND(BM288=1,(BD289+BC289*(1-'P-Parametri'!$B$7*BA289)+BB289*(1-'P-Parametri'!$B$6*AZ289))&gt;=MAX(0,$B$5-IF($A289&gt;='1-Input'!$C$12,'1-Input'!$B$12,0))-0.01),1,0)</f>
        <v>0</v>
      </c>
    </row>
    <row r="290" spans="1:65">
      <c r="A290" s="10">
        <f>41</f>
        <v>41</v>
      </c>
      <c r="B290" s="11">
        <f>IF(A290=1,'P-Parametri'!$B$30,IF(A290=2,'P-Parametri'!$C$30,'P-Parametri'!$B$29))</f>
        <v>6.8512000000000003E-2</v>
      </c>
      <c r="C290" s="11">
        <f t="shared" si="41"/>
        <v>0.52807365497538516</v>
      </c>
      <c r="D290" s="11">
        <f t="shared" si="42"/>
        <v>0.17519075076458596</v>
      </c>
      <c r="E290" s="18">
        <f>MAX(0,Y289-('P-Parametri'!$B$31*AF289))</f>
        <v>114.57376949268564</v>
      </c>
      <c r="F290" s="18">
        <f>MAX(0,AA289-('P-Parametri'!$C$31*AF289))</f>
        <v>0</v>
      </c>
      <c r="G290" s="18">
        <f>MAX(0,AC289-('P-Parametri'!$D$31*AF289))</f>
        <v>0</v>
      </c>
      <c r="H290" s="18">
        <f>E290*C290*'P-Parametri'!$B$6+F290*D290*'P-Parametri'!$B$7</f>
        <v>15.730881197280544</v>
      </c>
      <c r="I290" s="18">
        <f t="shared" si="43"/>
        <v>98.842888295405103</v>
      </c>
      <c r="J290" s="18">
        <f>MAX(0,('P-Parametri'!$B$31*AF289)-Y289)+MAX(0,('P-Parametri'!$C$31*AF289)-AA289)+MAX(0,('P-Parametri'!$D$31*AF289)-AC289)</f>
        <v>114.57376949268587</v>
      </c>
      <c r="K290" s="18">
        <f>Y289-E290+IF(J290&lt;=0,0,I290*MAX(0,('P-Parametri'!$B$31*AF289)-Y289)/J290)</f>
        <v>4201.122911037487</v>
      </c>
      <c r="L290" s="18">
        <f>Z289-E290*(1-C290)+IF(J290&lt;=0,0,I290*MAX(0,('P-Parametri'!$B$31*AF289)-Y289)/J290)</f>
        <v>1982.6205804050912</v>
      </c>
      <c r="M290" s="18">
        <f>AA289-F290+IF(J290&lt;=0,0,I290*MAX(0,('P-Parametri'!$C$31*AF289)-AA289)/J290)</f>
        <v>2089.4391438847638</v>
      </c>
      <c r="N290" s="18">
        <f>AB289-F290*(1-D290)+IF(J290&lt;=0,0,I290*MAX(0,('P-Parametri'!$C$31*AF289)-AA289)/J290)</f>
        <v>1735.6320349210951</v>
      </c>
      <c r="O290" s="18">
        <f>AC289-G290+IF(J290&lt;=0,0,I290*MAX(0,('P-Parametri'!$D$31*AF289)-AC289)/J290)</f>
        <v>695.57858227628026</v>
      </c>
      <c r="P290" s="18">
        <f>AD289-G290+IF(J290&lt;=0,0,I290*MAX(0,('P-Parametri'!$D$31*AF289)-AC289)/J290)</f>
        <v>-7402.3549457435784</v>
      </c>
      <c r="Q290" s="18">
        <f t="shared" si="44"/>
        <v>4488.9502439184871</v>
      </c>
      <c r="R290" s="18">
        <f>M290*(1+'P-Parametri'!$C$29)</f>
        <v>2099.8863396041875</v>
      </c>
      <c r="S290" s="18">
        <f>O290*(1+'1-Input'!$B$27)</f>
        <v>693.07449938008563</v>
      </c>
      <c r="T290" s="11">
        <f t="shared" si="45"/>
        <v>0.55833313521550076</v>
      </c>
      <c r="U290" s="11">
        <f t="shared" si="46"/>
        <v>0.17346381935688557</v>
      </c>
      <c r="V290" s="18">
        <f>IF(AG289=0,0,(MIN((Q290+R290+S290),MAX(0,$B$5-IF($A290&gt;='1-Input'!$C$12,'1-Input'!$B$12,0))/(Q290/(Q290+R290+S290)*(1-'P-Parametri'!$B$6*T290)+R290/(Q290+R290+S290)*(1-'P-Parametri'!$B$7*U290)+S290/(Q290+R290+S290))))*Q290/(Q290+R290+S290))</f>
        <v>0</v>
      </c>
      <c r="W290" s="18">
        <f>IF(AG289=0,0,(MIN((Q290+R290+S290),MAX(0,$B$5-IF($A290&gt;='1-Input'!$C$12,'1-Input'!$B$12,0))/(Q290/(Q290+R290+S290)*(1-'P-Parametri'!$B$6*T290)+R290/(Q290+R290+S290)*(1-'P-Parametri'!$B$7*U290)+S290/(Q290+R290+S290))))*R290/(Q290+R290+S290))</f>
        <v>0</v>
      </c>
      <c r="X290" s="18">
        <f>IF(AG289=0,0,(MIN((Q290+R290+S290),MAX(0,$B$5-IF($A290&gt;='1-Input'!$C$12,'1-Input'!$B$12,0))/(Q290/(Q290+R290+S290)*(1-'P-Parametri'!$B$6*T290)+R290/(Q290+R290+S290)*(1-'P-Parametri'!$B$7*U290)+S290/(Q290+R290+S290))))*S290/(Q290+R290+S290))</f>
        <v>0</v>
      </c>
      <c r="Y290" s="18">
        <f t="shared" si="47"/>
        <v>4315.6966805301727</v>
      </c>
      <c r="Z290" s="18">
        <f t="shared" si="48"/>
        <v>2036.690960677467</v>
      </c>
      <c r="AA290" s="18">
        <f t="shared" si="49"/>
        <v>2019.553586131382</v>
      </c>
      <c r="AB290" s="18">
        <f t="shared" si="50"/>
        <v>1665.7464771677132</v>
      </c>
      <c r="AC290" s="18">
        <f t="shared" si="51"/>
        <v>666.62125173425693</v>
      </c>
      <c r="AD290" s="18">
        <f t="shared" si="52"/>
        <v>-7431.3122762856019</v>
      </c>
      <c r="AE290" s="18">
        <f>IF(AG290=0,AE289,AE289+H290+V290*T290*'P-Parametri'!$B$6+W290*U290*'P-Parametri'!$B$7)</f>
        <v>17719.424342522081</v>
      </c>
      <c r="AF290" s="18">
        <f t="shared" si="39"/>
        <v>7001.871518395812</v>
      </c>
      <c r="AG290" s="10">
        <f>IF(AND(AG289=1,(X290+W290*(1-'P-Parametri'!$B$7*U290)+V290*(1-'P-Parametri'!$B$6*T290))&gt;=MAX(0,$B$5-IF($A290&gt;='1-Input'!$C$12,'1-Input'!$B$12,0))-0.01),1,0)</f>
        <v>0</v>
      </c>
      <c r="AI290" s="11">
        <f t="shared" si="53"/>
        <v>0.52841927102526653</v>
      </c>
      <c r="AJ290" s="11">
        <f t="shared" si="54"/>
        <v>0</v>
      </c>
      <c r="AK290" s="18">
        <f>MAX(0,BE289-('P-Parametri'!$B$31*BL289))</f>
        <v>3237.6275300382667</v>
      </c>
      <c r="AL290" s="18">
        <f>MAX(0,BG289-('P-Parametri'!$C$31*BL289))</f>
        <v>0</v>
      </c>
      <c r="AM290" s="18">
        <f>MAX(0,BI289-('P-Parametri'!$D$31*BL289))</f>
        <v>0</v>
      </c>
      <c r="AN290" s="18">
        <f>AK290*AI290*'P-Parametri'!$B$6+AL290*AJ290*'P-Parametri'!$B$7</f>
        <v>444.81444261128036</v>
      </c>
      <c r="AO290" s="18">
        <f t="shared" si="55"/>
        <v>2792.8130874269864</v>
      </c>
      <c r="AP290" s="18">
        <f>MAX(0,('P-Parametri'!$B$31*BL289)-BE289)+MAX(0,('P-Parametri'!$C$31*BL289)-BG289)+MAX(0,('P-Parametri'!$D$31*BL289)-BI289)</f>
        <v>3237.6275300382667</v>
      </c>
      <c r="AQ290" s="18">
        <f>BE289-AK290+IF(AP290&lt;=0,0,AO290*MAX(0,('P-Parametri'!$B$31*BL289)-BE289)/AP290)</f>
        <v>4856.4412950573997</v>
      </c>
      <c r="AR290" s="18">
        <f>BF289-AK290*(1-AI290)+IF(AP290&lt;=0,0,AO290*MAX(0,('P-Parametri'!$B$31*BL289)-BE289)/AP290)</f>
        <v>2290.2041261461673</v>
      </c>
      <c r="AS290" s="18">
        <f>BG289-AL290+IF(AP290&lt;=0,0,AO290*MAX(0,('P-Parametri'!$C$31*BL289)-BG289)/AP290)</f>
        <v>2094.6098155702393</v>
      </c>
      <c r="AT290" s="18">
        <f>BH289-AL290*(1-AJ290)+IF(AP290&lt;=0,0,AO290*MAX(0,('P-Parametri'!$C$31*BL289)-BG289)/AP290)</f>
        <v>2094.6098155702393</v>
      </c>
      <c r="AU290" s="18">
        <f>BI289-AM290+IF(AP290&lt;=0,0,AO290*MAX(0,('P-Parametri'!$D$31*BL289)-BI289)/AP290)</f>
        <v>698.2032718567466</v>
      </c>
      <c r="AV290" s="18">
        <f>BJ289-AM290+IF(AP290&lt;=0,0,AO290*MAX(0,('P-Parametri'!$D$31*BL289)-BI289)/AP290)</f>
        <v>-7422.5197042408417</v>
      </c>
      <c r="AW290" s="18">
        <f t="shared" si="56"/>
        <v>5189.1658010643714</v>
      </c>
      <c r="AX290" s="18">
        <f>AS290*(1+'P-Parametri'!$C$29)</f>
        <v>2105.0828646480904</v>
      </c>
      <c r="AY290" s="18">
        <f>AU290*(1+'1-Input'!$B$27)</f>
        <v>695.6897400780623</v>
      </c>
      <c r="AZ290" s="11">
        <f t="shared" si="57"/>
        <v>0.5586565906843034</v>
      </c>
      <c r="BA290" s="11">
        <f t="shared" si="58"/>
        <v>4.9751243781094075E-3</v>
      </c>
      <c r="BB290" s="18">
        <f>IF(BM289=0,0,MIN(MAX(AW290,0),(MAX(0,$B$5-IF($A290&gt;='1-Input'!$C$12,'1-Input'!$B$12,0))-BD290-BC290*(1-'P-Parametri'!$B$7*BA290))/(1-'P-Parametri'!$B$6*AZ290)))</f>
        <v>0</v>
      </c>
      <c r="BC290" s="18">
        <f>IF(BM289=0,0,MIN(MAX(AX290,0),(MAX(0,$B$5-IF($A290&gt;='1-Input'!$C$12,'1-Input'!$B$12,0))-BD290)/(1-'P-Parametri'!$B$7*BA290)))</f>
        <v>0</v>
      </c>
      <c r="BD290" s="18">
        <f>IF(BM289=0,0,MIN(MAX(AY290,0),MAX(0,$B$5-IF($A290&gt;='1-Input'!$C$12,'1-Input'!$B$12,0))))</f>
        <v>0</v>
      </c>
      <c r="BE290" s="18">
        <f t="shared" si="59"/>
        <v>8094.0688250956664</v>
      </c>
      <c r="BF290" s="18">
        <f t="shared" si="60"/>
        <v>3817.0068769102791</v>
      </c>
      <c r="BG290" s="18">
        <f t="shared" si="61"/>
        <v>0</v>
      </c>
      <c r="BH290" s="18">
        <f t="shared" si="62"/>
        <v>0</v>
      </c>
      <c r="BI290" s="18">
        <f t="shared" si="63"/>
        <v>0</v>
      </c>
      <c r="BJ290" s="18">
        <f t="shared" si="64"/>
        <v>-8120.7229760975879</v>
      </c>
      <c r="BK290" s="18">
        <f>IF(BM290=0,BK289,BK289+AN290+BB290*AZ290*'P-Parametri'!$B$6+BC290*BA290*'P-Parametri'!$B$7)</f>
        <v>17450.721955324654</v>
      </c>
      <c r="BL290" s="18">
        <f t="shared" si="40"/>
        <v>8094.0688250956664</v>
      </c>
      <c r="BM290" s="10">
        <f>IF(AND(BM289=1,(BD290+BC290*(1-'P-Parametri'!$B$7*BA290)+BB290*(1-'P-Parametri'!$B$6*AZ290))&gt;=MAX(0,$B$5-IF($A290&gt;='1-Input'!$C$12,'1-Input'!$B$12,0))-0.01),1,0)</f>
        <v>0</v>
      </c>
    </row>
    <row r="291" spans="1:65">
      <c r="A291" s="10">
        <f>42</f>
        <v>42</v>
      </c>
      <c r="B291" s="11">
        <f>IF(A291=1,'P-Parametri'!$B$30,IF(A291=2,'P-Parametri'!$C$30,'P-Parametri'!$B$29))</f>
        <v>6.8512000000000003E-2</v>
      </c>
      <c r="C291" s="11">
        <f t="shared" si="41"/>
        <v>0.52807365497538516</v>
      </c>
      <c r="D291" s="11">
        <f t="shared" si="42"/>
        <v>0.17519075076458596</v>
      </c>
      <c r="E291" s="18">
        <f>MAX(0,Y290-('P-Parametri'!$B$31*AF290))</f>
        <v>114.57376949268564</v>
      </c>
      <c r="F291" s="18">
        <f>MAX(0,AA290-('P-Parametri'!$C$31*AF290))</f>
        <v>0</v>
      </c>
      <c r="G291" s="18">
        <f>MAX(0,AC290-('P-Parametri'!$D$31*AF290))</f>
        <v>0</v>
      </c>
      <c r="H291" s="18">
        <f>E291*C291*'P-Parametri'!$B$6+F291*D291*'P-Parametri'!$B$7</f>
        <v>15.730881197280544</v>
      </c>
      <c r="I291" s="18">
        <f t="shared" si="43"/>
        <v>98.842888295405103</v>
      </c>
      <c r="J291" s="18">
        <f>MAX(0,('P-Parametri'!$B$31*AF290)-Y290)+MAX(0,('P-Parametri'!$C$31*AF290)-AA290)+MAX(0,('P-Parametri'!$D$31*AF290)-AC290)</f>
        <v>114.57376949268587</v>
      </c>
      <c r="K291" s="18">
        <f>Y290-E291+IF(J291&lt;=0,0,I291*MAX(0,('P-Parametri'!$B$31*AF290)-Y290)/J291)</f>
        <v>4201.122911037487</v>
      </c>
      <c r="L291" s="18">
        <f>Z290-E291*(1-C291)+IF(J291&lt;=0,0,I291*MAX(0,('P-Parametri'!$B$31*AF290)-Y290)/J291)</f>
        <v>1982.6205804050912</v>
      </c>
      <c r="M291" s="18">
        <f>AA290-F291+IF(J291&lt;=0,0,I291*MAX(0,('P-Parametri'!$C$31*AF290)-AA290)/J291)</f>
        <v>2089.4391438847638</v>
      </c>
      <c r="N291" s="18">
        <f>AB290-F291*(1-D291)+IF(J291&lt;=0,0,I291*MAX(0,('P-Parametri'!$C$31*AF290)-AA290)/J291)</f>
        <v>1735.6320349210951</v>
      </c>
      <c r="O291" s="18">
        <f>AC290-G291+IF(J291&lt;=0,0,I291*MAX(0,('P-Parametri'!$D$31*AF290)-AC290)/J291)</f>
        <v>695.57858227628026</v>
      </c>
      <c r="P291" s="18">
        <f>AD290-G291+IF(J291&lt;=0,0,I291*MAX(0,('P-Parametri'!$D$31*AF290)-AC290)/J291)</f>
        <v>-7402.3549457435784</v>
      </c>
      <c r="Q291" s="18">
        <f t="shared" si="44"/>
        <v>4488.9502439184871</v>
      </c>
      <c r="R291" s="18">
        <f>M291*(1+'P-Parametri'!$C$29)</f>
        <v>2099.8863396041875</v>
      </c>
      <c r="S291" s="18">
        <f>O291*(1+'1-Input'!$B$27)</f>
        <v>693.07449938008563</v>
      </c>
      <c r="T291" s="11">
        <f t="shared" si="45"/>
        <v>0.55833313521550076</v>
      </c>
      <c r="U291" s="11">
        <f t="shared" si="46"/>
        <v>0.17346381935688557</v>
      </c>
      <c r="V291" s="18">
        <f>IF(AG290=0,0,(MIN((Q291+R291+S291),MAX(0,$B$5-IF($A291&gt;='1-Input'!$C$12,'1-Input'!$B$12,0))/(Q291/(Q291+R291+S291)*(1-'P-Parametri'!$B$6*T291)+R291/(Q291+R291+S291)*(1-'P-Parametri'!$B$7*U291)+S291/(Q291+R291+S291))))*Q291/(Q291+R291+S291))</f>
        <v>0</v>
      </c>
      <c r="W291" s="18">
        <f>IF(AG290=0,0,(MIN((Q291+R291+S291),MAX(0,$B$5-IF($A291&gt;='1-Input'!$C$12,'1-Input'!$B$12,0))/(Q291/(Q291+R291+S291)*(1-'P-Parametri'!$B$6*T291)+R291/(Q291+R291+S291)*(1-'P-Parametri'!$B$7*U291)+S291/(Q291+R291+S291))))*R291/(Q291+R291+S291))</f>
        <v>0</v>
      </c>
      <c r="X291" s="18">
        <f>IF(AG290=0,0,(MIN((Q291+R291+S291),MAX(0,$B$5-IF($A291&gt;='1-Input'!$C$12,'1-Input'!$B$12,0))/(Q291/(Q291+R291+S291)*(1-'P-Parametri'!$B$6*T291)+R291/(Q291+R291+S291)*(1-'P-Parametri'!$B$7*U291)+S291/(Q291+R291+S291))))*S291/(Q291+R291+S291))</f>
        <v>0</v>
      </c>
      <c r="Y291" s="18">
        <f t="shared" si="47"/>
        <v>4315.6966805301727</v>
      </c>
      <c r="Z291" s="18">
        <f t="shared" si="48"/>
        <v>2036.690960677467</v>
      </c>
      <c r="AA291" s="18">
        <f t="shared" si="49"/>
        <v>2019.553586131382</v>
      </c>
      <c r="AB291" s="18">
        <f t="shared" si="50"/>
        <v>1665.7464771677132</v>
      </c>
      <c r="AC291" s="18">
        <f t="shared" si="51"/>
        <v>666.62125173425693</v>
      </c>
      <c r="AD291" s="18">
        <f t="shared" si="52"/>
        <v>-7431.3122762856019</v>
      </c>
      <c r="AE291" s="18">
        <f>IF(AG291=0,AE290,AE290+H291+V291*T291*'P-Parametri'!$B$6+W291*U291*'P-Parametri'!$B$7)</f>
        <v>17719.424342522081</v>
      </c>
      <c r="AF291" s="18">
        <f t="shared" si="39"/>
        <v>7001.871518395812</v>
      </c>
      <c r="AG291" s="10">
        <f>IF(AND(AG290=1,(X291+W291*(1-'P-Parametri'!$B$7*U291)+V291*(1-'P-Parametri'!$B$6*T291))&gt;=MAX(0,$B$5-IF($A291&gt;='1-Input'!$C$12,'1-Input'!$B$12,0))-0.01),1,0)</f>
        <v>0</v>
      </c>
      <c r="AI291" s="11">
        <f t="shared" si="53"/>
        <v>0.52841927102526653</v>
      </c>
      <c r="AJ291" s="11">
        <f t="shared" si="54"/>
        <v>0</v>
      </c>
      <c r="AK291" s="18">
        <f>MAX(0,BE290-('P-Parametri'!$B$31*BL290))</f>
        <v>3237.6275300382667</v>
      </c>
      <c r="AL291" s="18">
        <f>MAX(0,BG290-('P-Parametri'!$C$31*BL290))</f>
        <v>0</v>
      </c>
      <c r="AM291" s="18">
        <f>MAX(0,BI290-('P-Parametri'!$D$31*BL290))</f>
        <v>0</v>
      </c>
      <c r="AN291" s="18">
        <f>AK291*AI291*'P-Parametri'!$B$6+AL291*AJ291*'P-Parametri'!$B$7</f>
        <v>444.81444261128036</v>
      </c>
      <c r="AO291" s="18">
        <f t="shared" si="55"/>
        <v>2792.8130874269864</v>
      </c>
      <c r="AP291" s="18">
        <f>MAX(0,('P-Parametri'!$B$31*BL290)-BE290)+MAX(0,('P-Parametri'!$C$31*BL290)-BG290)+MAX(0,('P-Parametri'!$D$31*BL290)-BI290)</f>
        <v>3237.6275300382667</v>
      </c>
      <c r="AQ291" s="18">
        <f>BE290-AK291+IF(AP291&lt;=0,0,AO291*MAX(0,('P-Parametri'!$B$31*BL290)-BE290)/AP291)</f>
        <v>4856.4412950573997</v>
      </c>
      <c r="AR291" s="18">
        <f>BF290-AK291*(1-AI291)+IF(AP291&lt;=0,0,AO291*MAX(0,('P-Parametri'!$B$31*BL290)-BE290)/AP291)</f>
        <v>2290.2041261461673</v>
      </c>
      <c r="AS291" s="18">
        <f>BG290-AL291+IF(AP291&lt;=0,0,AO291*MAX(0,('P-Parametri'!$C$31*BL290)-BG290)/AP291)</f>
        <v>2094.6098155702393</v>
      </c>
      <c r="AT291" s="18">
        <f>BH290-AL291*(1-AJ291)+IF(AP291&lt;=0,0,AO291*MAX(0,('P-Parametri'!$C$31*BL290)-BG290)/AP291)</f>
        <v>2094.6098155702393</v>
      </c>
      <c r="AU291" s="18">
        <f>BI290-AM291+IF(AP291&lt;=0,0,AO291*MAX(0,('P-Parametri'!$D$31*BL290)-BI290)/AP291)</f>
        <v>698.2032718567466</v>
      </c>
      <c r="AV291" s="18">
        <f>BJ290-AM291+IF(AP291&lt;=0,0,AO291*MAX(0,('P-Parametri'!$D$31*BL290)-BI290)/AP291)</f>
        <v>-7422.5197042408417</v>
      </c>
      <c r="AW291" s="18">
        <f t="shared" si="56"/>
        <v>5189.1658010643714</v>
      </c>
      <c r="AX291" s="18">
        <f>AS291*(1+'P-Parametri'!$C$29)</f>
        <v>2105.0828646480904</v>
      </c>
      <c r="AY291" s="18">
        <f>AU291*(1+'1-Input'!$B$27)</f>
        <v>695.6897400780623</v>
      </c>
      <c r="AZ291" s="11">
        <f t="shared" si="57"/>
        <v>0.5586565906843034</v>
      </c>
      <c r="BA291" s="11">
        <f t="shared" si="58"/>
        <v>4.9751243781094075E-3</v>
      </c>
      <c r="BB291" s="18">
        <f>IF(BM290=0,0,MIN(MAX(AW291,0),(MAX(0,$B$5-IF($A291&gt;='1-Input'!$C$12,'1-Input'!$B$12,0))-BD291-BC291*(1-'P-Parametri'!$B$7*BA291))/(1-'P-Parametri'!$B$6*AZ291)))</f>
        <v>0</v>
      </c>
      <c r="BC291" s="18">
        <f>IF(BM290=0,0,MIN(MAX(AX291,0),(MAX(0,$B$5-IF($A291&gt;='1-Input'!$C$12,'1-Input'!$B$12,0))-BD291)/(1-'P-Parametri'!$B$7*BA291)))</f>
        <v>0</v>
      </c>
      <c r="BD291" s="18">
        <f>IF(BM290=0,0,MIN(MAX(AY291,0),MAX(0,$B$5-IF($A291&gt;='1-Input'!$C$12,'1-Input'!$B$12,0))))</f>
        <v>0</v>
      </c>
      <c r="BE291" s="18">
        <f t="shared" si="59"/>
        <v>8094.0688250956664</v>
      </c>
      <c r="BF291" s="18">
        <f t="shared" si="60"/>
        <v>3817.0068769102791</v>
      </c>
      <c r="BG291" s="18">
        <f t="shared" si="61"/>
        <v>0</v>
      </c>
      <c r="BH291" s="18">
        <f t="shared" si="62"/>
        <v>0</v>
      </c>
      <c r="BI291" s="18">
        <f t="shared" si="63"/>
        <v>0</v>
      </c>
      <c r="BJ291" s="18">
        <f t="shared" si="64"/>
        <v>-8120.7229760975879</v>
      </c>
      <c r="BK291" s="18">
        <f>IF(BM291=0,BK290,BK290+AN291+BB291*AZ291*'P-Parametri'!$B$6+BC291*BA291*'P-Parametri'!$B$7)</f>
        <v>17450.721955324654</v>
      </c>
      <c r="BL291" s="18">
        <f t="shared" si="40"/>
        <v>8094.0688250956664</v>
      </c>
      <c r="BM291" s="10">
        <f>IF(AND(BM290=1,(BD291+BC291*(1-'P-Parametri'!$B$7*BA291)+BB291*(1-'P-Parametri'!$B$6*AZ291))&gt;=MAX(0,$B$5-IF($A291&gt;='1-Input'!$C$12,'1-Input'!$B$12,0))-0.01),1,0)</f>
        <v>0</v>
      </c>
    </row>
    <row r="292" spans="1:65">
      <c r="A292" s="10">
        <f>43</f>
        <v>43</v>
      </c>
      <c r="B292" s="11">
        <f>IF(A292=1,'P-Parametri'!$B$30,IF(A292=2,'P-Parametri'!$C$30,'P-Parametri'!$B$29))</f>
        <v>6.8512000000000003E-2</v>
      </c>
      <c r="C292" s="11">
        <f t="shared" si="41"/>
        <v>0.52807365497538516</v>
      </c>
      <c r="D292" s="11">
        <f t="shared" si="42"/>
        <v>0.17519075076458596</v>
      </c>
      <c r="E292" s="18">
        <f>MAX(0,Y291-('P-Parametri'!$B$31*AF291))</f>
        <v>114.57376949268564</v>
      </c>
      <c r="F292" s="18">
        <f>MAX(0,AA291-('P-Parametri'!$C$31*AF291))</f>
        <v>0</v>
      </c>
      <c r="G292" s="18">
        <f>MAX(0,AC291-('P-Parametri'!$D$31*AF291))</f>
        <v>0</v>
      </c>
      <c r="H292" s="18">
        <f>E292*C292*'P-Parametri'!$B$6+F292*D292*'P-Parametri'!$B$7</f>
        <v>15.730881197280544</v>
      </c>
      <c r="I292" s="18">
        <f t="shared" si="43"/>
        <v>98.842888295405103</v>
      </c>
      <c r="J292" s="18">
        <f>MAX(0,('P-Parametri'!$B$31*AF291)-Y291)+MAX(0,('P-Parametri'!$C$31*AF291)-AA291)+MAX(0,('P-Parametri'!$D$31*AF291)-AC291)</f>
        <v>114.57376949268587</v>
      </c>
      <c r="K292" s="18">
        <f>Y291-E292+IF(J292&lt;=0,0,I292*MAX(0,('P-Parametri'!$B$31*AF291)-Y291)/J292)</f>
        <v>4201.122911037487</v>
      </c>
      <c r="L292" s="18">
        <f>Z291-E292*(1-C292)+IF(J292&lt;=0,0,I292*MAX(0,('P-Parametri'!$B$31*AF291)-Y291)/J292)</f>
        <v>1982.6205804050912</v>
      </c>
      <c r="M292" s="18">
        <f>AA291-F292+IF(J292&lt;=0,0,I292*MAX(0,('P-Parametri'!$C$31*AF291)-AA291)/J292)</f>
        <v>2089.4391438847638</v>
      </c>
      <c r="N292" s="18">
        <f>AB291-F292*(1-D292)+IF(J292&lt;=0,0,I292*MAX(0,('P-Parametri'!$C$31*AF291)-AA291)/J292)</f>
        <v>1735.6320349210951</v>
      </c>
      <c r="O292" s="18">
        <f>AC291-G292+IF(J292&lt;=0,0,I292*MAX(0,('P-Parametri'!$D$31*AF291)-AC291)/J292)</f>
        <v>695.57858227628026</v>
      </c>
      <c r="P292" s="18">
        <f>AD291-G292+IF(J292&lt;=0,0,I292*MAX(0,('P-Parametri'!$D$31*AF291)-AC291)/J292)</f>
        <v>-7402.3549457435784</v>
      </c>
      <c r="Q292" s="18">
        <f t="shared" si="44"/>
        <v>4488.9502439184871</v>
      </c>
      <c r="R292" s="18">
        <f>M292*(1+'P-Parametri'!$C$29)</f>
        <v>2099.8863396041875</v>
      </c>
      <c r="S292" s="18">
        <f>O292*(1+'1-Input'!$B$27)</f>
        <v>693.07449938008563</v>
      </c>
      <c r="T292" s="11">
        <f t="shared" si="45"/>
        <v>0.55833313521550076</v>
      </c>
      <c r="U292" s="11">
        <f t="shared" si="46"/>
        <v>0.17346381935688557</v>
      </c>
      <c r="V292" s="18">
        <f>IF(AG291=0,0,(MIN((Q292+R292+S292),MAX(0,$B$5-IF($A292&gt;='1-Input'!$C$12,'1-Input'!$B$12,0))/(Q292/(Q292+R292+S292)*(1-'P-Parametri'!$B$6*T292)+R292/(Q292+R292+S292)*(1-'P-Parametri'!$B$7*U292)+S292/(Q292+R292+S292))))*Q292/(Q292+R292+S292))</f>
        <v>0</v>
      </c>
      <c r="W292" s="18">
        <f>IF(AG291=0,0,(MIN((Q292+R292+S292),MAX(0,$B$5-IF($A292&gt;='1-Input'!$C$12,'1-Input'!$B$12,0))/(Q292/(Q292+R292+S292)*(1-'P-Parametri'!$B$6*T292)+R292/(Q292+R292+S292)*(1-'P-Parametri'!$B$7*U292)+S292/(Q292+R292+S292))))*R292/(Q292+R292+S292))</f>
        <v>0</v>
      </c>
      <c r="X292" s="18">
        <f>IF(AG291=0,0,(MIN((Q292+R292+S292),MAX(0,$B$5-IF($A292&gt;='1-Input'!$C$12,'1-Input'!$B$12,0))/(Q292/(Q292+R292+S292)*(1-'P-Parametri'!$B$6*T292)+R292/(Q292+R292+S292)*(1-'P-Parametri'!$B$7*U292)+S292/(Q292+R292+S292))))*S292/(Q292+R292+S292))</f>
        <v>0</v>
      </c>
      <c r="Y292" s="18">
        <f t="shared" si="47"/>
        <v>4315.6966805301727</v>
      </c>
      <c r="Z292" s="18">
        <f t="shared" si="48"/>
        <v>2036.690960677467</v>
      </c>
      <c r="AA292" s="18">
        <f t="shared" si="49"/>
        <v>2019.553586131382</v>
      </c>
      <c r="AB292" s="18">
        <f t="shared" si="50"/>
        <v>1665.7464771677132</v>
      </c>
      <c r="AC292" s="18">
        <f t="shared" si="51"/>
        <v>666.62125173425693</v>
      </c>
      <c r="AD292" s="18">
        <f t="shared" si="52"/>
        <v>-7431.3122762856019</v>
      </c>
      <c r="AE292" s="18">
        <f>IF(AG292=0,AE291,AE291+H292+V292*T292*'P-Parametri'!$B$6+W292*U292*'P-Parametri'!$B$7)</f>
        <v>17719.424342522081</v>
      </c>
      <c r="AF292" s="18">
        <f t="shared" si="39"/>
        <v>7001.871518395812</v>
      </c>
      <c r="AG292" s="10">
        <f>IF(AND(AG291=1,(X292+W292*(1-'P-Parametri'!$B$7*U292)+V292*(1-'P-Parametri'!$B$6*T292))&gt;=MAX(0,$B$5-IF($A292&gt;='1-Input'!$C$12,'1-Input'!$B$12,0))-0.01),1,0)</f>
        <v>0</v>
      </c>
      <c r="AI292" s="11">
        <f t="shared" si="53"/>
        <v>0.52841927102526653</v>
      </c>
      <c r="AJ292" s="11">
        <f t="shared" si="54"/>
        <v>0</v>
      </c>
      <c r="AK292" s="18">
        <f>MAX(0,BE291-('P-Parametri'!$B$31*BL291))</f>
        <v>3237.6275300382667</v>
      </c>
      <c r="AL292" s="18">
        <f>MAX(0,BG291-('P-Parametri'!$C$31*BL291))</f>
        <v>0</v>
      </c>
      <c r="AM292" s="18">
        <f>MAX(0,BI291-('P-Parametri'!$D$31*BL291))</f>
        <v>0</v>
      </c>
      <c r="AN292" s="18">
        <f>AK292*AI292*'P-Parametri'!$B$6+AL292*AJ292*'P-Parametri'!$B$7</f>
        <v>444.81444261128036</v>
      </c>
      <c r="AO292" s="18">
        <f t="shared" si="55"/>
        <v>2792.8130874269864</v>
      </c>
      <c r="AP292" s="18">
        <f>MAX(0,('P-Parametri'!$B$31*BL291)-BE291)+MAX(0,('P-Parametri'!$C$31*BL291)-BG291)+MAX(0,('P-Parametri'!$D$31*BL291)-BI291)</f>
        <v>3237.6275300382667</v>
      </c>
      <c r="AQ292" s="18">
        <f>BE291-AK292+IF(AP292&lt;=0,0,AO292*MAX(0,('P-Parametri'!$B$31*BL291)-BE291)/AP292)</f>
        <v>4856.4412950573997</v>
      </c>
      <c r="AR292" s="18">
        <f>BF291-AK292*(1-AI292)+IF(AP292&lt;=0,0,AO292*MAX(0,('P-Parametri'!$B$31*BL291)-BE291)/AP292)</f>
        <v>2290.2041261461673</v>
      </c>
      <c r="AS292" s="18">
        <f>BG291-AL292+IF(AP292&lt;=0,0,AO292*MAX(0,('P-Parametri'!$C$31*BL291)-BG291)/AP292)</f>
        <v>2094.6098155702393</v>
      </c>
      <c r="AT292" s="18">
        <f>BH291-AL292*(1-AJ292)+IF(AP292&lt;=0,0,AO292*MAX(0,('P-Parametri'!$C$31*BL291)-BG291)/AP292)</f>
        <v>2094.6098155702393</v>
      </c>
      <c r="AU292" s="18">
        <f>BI291-AM292+IF(AP292&lt;=0,0,AO292*MAX(0,('P-Parametri'!$D$31*BL291)-BI291)/AP292)</f>
        <v>698.2032718567466</v>
      </c>
      <c r="AV292" s="18">
        <f>BJ291-AM292+IF(AP292&lt;=0,0,AO292*MAX(0,('P-Parametri'!$D$31*BL291)-BI291)/AP292)</f>
        <v>-7422.5197042408417</v>
      </c>
      <c r="AW292" s="18">
        <f t="shared" si="56"/>
        <v>5189.1658010643714</v>
      </c>
      <c r="AX292" s="18">
        <f>AS292*(1+'P-Parametri'!$C$29)</f>
        <v>2105.0828646480904</v>
      </c>
      <c r="AY292" s="18">
        <f>AU292*(1+'1-Input'!$B$27)</f>
        <v>695.6897400780623</v>
      </c>
      <c r="AZ292" s="11">
        <f t="shared" si="57"/>
        <v>0.5586565906843034</v>
      </c>
      <c r="BA292" s="11">
        <f t="shared" si="58"/>
        <v>4.9751243781094075E-3</v>
      </c>
      <c r="BB292" s="18">
        <f>IF(BM291=0,0,MIN(MAX(AW292,0),(MAX(0,$B$5-IF($A292&gt;='1-Input'!$C$12,'1-Input'!$B$12,0))-BD292-BC292*(1-'P-Parametri'!$B$7*BA292))/(1-'P-Parametri'!$B$6*AZ292)))</f>
        <v>0</v>
      </c>
      <c r="BC292" s="18">
        <f>IF(BM291=0,0,MIN(MAX(AX292,0),(MAX(0,$B$5-IF($A292&gt;='1-Input'!$C$12,'1-Input'!$B$12,0))-BD292)/(1-'P-Parametri'!$B$7*BA292)))</f>
        <v>0</v>
      </c>
      <c r="BD292" s="18">
        <f>IF(BM291=0,0,MIN(MAX(AY292,0),MAX(0,$B$5-IF($A292&gt;='1-Input'!$C$12,'1-Input'!$B$12,0))))</f>
        <v>0</v>
      </c>
      <c r="BE292" s="18">
        <f t="shared" si="59"/>
        <v>8094.0688250956664</v>
      </c>
      <c r="BF292" s="18">
        <f t="shared" si="60"/>
        <v>3817.0068769102791</v>
      </c>
      <c r="BG292" s="18">
        <f t="shared" si="61"/>
        <v>0</v>
      </c>
      <c r="BH292" s="18">
        <f t="shared" si="62"/>
        <v>0</v>
      </c>
      <c r="BI292" s="18">
        <f t="shared" si="63"/>
        <v>0</v>
      </c>
      <c r="BJ292" s="18">
        <f t="shared" si="64"/>
        <v>-8120.7229760975879</v>
      </c>
      <c r="BK292" s="18">
        <f>IF(BM292=0,BK291,BK291+AN292+BB292*AZ292*'P-Parametri'!$B$6+BC292*BA292*'P-Parametri'!$B$7)</f>
        <v>17450.721955324654</v>
      </c>
      <c r="BL292" s="18">
        <f t="shared" si="40"/>
        <v>8094.0688250956664</v>
      </c>
      <c r="BM292" s="10">
        <f>IF(AND(BM291=1,(BD292+BC292*(1-'P-Parametri'!$B$7*BA292)+BB292*(1-'P-Parametri'!$B$6*AZ292))&gt;=MAX(0,$B$5-IF($A292&gt;='1-Input'!$C$12,'1-Input'!$B$12,0))-0.01),1,0)</f>
        <v>0</v>
      </c>
    </row>
    <row r="293" spans="1:65">
      <c r="A293" s="10">
        <f>44</f>
        <v>44</v>
      </c>
      <c r="B293" s="11">
        <f>IF(A293=1,'P-Parametri'!$B$30,IF(A293=2,'P-Parametri'!$C$30,'P-Parametri'!$B$29))</f>
        <v>6.8512000000000003E-2</v>
      </c>
      <c r="C293" s="11">
        <f t="shared" si="41"/>
        <v>0.52807365497538516</v>
      </c>
      <c r="D293" s="11">
        <f t="shared" si="42"/>
        <v>0.17519075076458596</v>
      </c>
      <c r="E293" s="18">
        <f>MAX(0,Y292-('P-Parametri'!$B$31*AF292))</f>
        <v>114.57376949268564</v>
      </c>
      <c r="F293" s="18">
        <f>MAX(0,AA292-('P-Parametri'!$C$31*AF292))</f>
        <v>0</v>
      </c>
      <c r="G293" s="18">
        <f>MAX(0,AC292-('P-Parametri'!$D$31*AF292))</f>
        <v>0</v>
      </c>
      <c r="H293" s="18">
        <f>E293*C293*'P-Parametri'!$B$6+F293*D293*'P-Parametri'!$B$7</f>
        <v>15.730881197280544</v>
      </c>
      <c r="I293" s="18">
        <f t="shared" si="43"/>
        <v>98.842888295405103</v>
      </c>
      <c r="J293" s="18">
        <f>MAX(0,('P-Parametri'!$B$31*AF292)-Y292)+MAX(0,('P-Parametri'!$C$31*AF292)-AA292)+MAX(0,('P-Parametri'!$D$31*AF292)-AC292)</f>
        <v>114.57376949268587</v>
      </c>
      <c r="K293" s="18">
        <f>Y292-E293+IF(J293&lt;=0,0,I293*MAX(0,('P-Parametri'!$B$31*AF292)-Y292)/J293)</f>
        <v>4201.122911037487</v>
      </c>
      <c r="L293" s="18">
        <f>Z292-E293*(1-C293)+IF(J293&lt;=0,0,I293*MAX(0,('P-Parametri'!$B$31*AF292)-Y292)/J293)</f>
        <v>1982.6205804050912</v>
      </c>
      <c r="M293" s="18">
        <f>AA292-F293+IF(J293&lt;=0,0,I293*MAX(0,('P-Parametri'!$C$31*AF292)-AA292)/J293)</f>
        <v>2089.4391438847638</v>
      </c>
      <c r="N293" s="18">
        <f>AB292-F293*(1-D293)+IF(J293&lt;=0,0,I293*MAX(0,('P-Parametri'!$C$31*AF292)-AA292)/J293)</f>
        <v>1735.6320349210951</v>
      </c>
      <c r="O293" s="18">
        <f>AC292-G293+IF(J293&lt;=0,0,I293*MAX(0,('P-Parametri'!$D$31*AF292)-AC292)/J293)</f>
        <v>695.57858227628026</v>
      </c>
      <c r="P293" s="18">
        <f>AD292-G293+IF(J293&lt;=0,0,I293*MAX(0,('P-Parametri'!$D$31*AF292)-AC292)/J293)</f>
        <v>-7402.3549457435784</v>
      </c>
      <c r="Q293" s="18">
        <f t="shared" si="44"/>
        <v>4488.9502439184871</v>
      </c>
      <c r="R293" s="18">
        <f>M293*(1+'P-Parametri'!$C$29)</f>
        <v>2099.8863396041875</v>
      </c>
      <c r="S293" s="18">
        <f>O293*(1+'1-Input'!$B$27)</f>
        <v>693.07449938008563</v>
      </c>
      <c r="T293" s="11">
        <f t="shared" si="45"/>
        <v>0.55833313521550076</v>
      </c>
      <c r="U293" s="11">
        <f t="shared" si="46"/>
        <v>0.17346381935688557</v>
      </c>
      <c r="V293" s="18">
        <f>IF(AG292=0,0,(MIN((Q293+R293+S293),MAX(0,$B$5-IF($A293&gt;='1-Input'!$C$12,'1-Input'!$B$12,0))/(Q293/(Q293+R293+S293)*(1-'P-Parametri'!$B$6*T293)+R293/(Q293+R293+S293)*(1-'P-Parametri'!$B$7*U293)+S293/(Q293+R293+S293))))*Q293/(Q293+R293+S293))</f>
        <v>0</v>
      </c>
      <c r="W293" s="18">
        <f>IF(AG292=0,0,(MIN((Q293+R293+S293),MAX(0,$B$5-IF($A293&gt;='1-Input'!$C$12,'1-Input'!$B$12,0))/(Q293/(Q293+R293+S293)*(1-'P-Parametri'!$B$6*T293)+R293/(Q293+R293+S293)*(1-'P-Parametri'!$B$7*U293)+S293/(Q293+R293+S293))))*R293/(Q293+R293+S293))</f>
        <v>0</v>
      </c>
      <c r="X293" s="18">
        <f>IF(AG292=0,0,(MIN((Q293+R293+S293),MAX(0,$B$5-IF($A293&gt;='1-Input'!$C$12,'1-Input'!$B$12,0))/(Q293/(Q293+R293+S293)*(1-'P-Parametri'!$B$6*T293)+R293/(Q293+R293+S293)*(1-'P-Parametri'!$B$7*U293)+S293/(Q293+R293+S293))))*S293/(Q293+R293+S293))</f>
        <v>0</v>
      </c>
      <c r="Y293" s="18">
        <f t="shared" si="47"/>
        <v>4315.6966805301727</v>
      </c>
      <c r="Z293" s="18">
        <f t="shared" si="48"/>
        <v>2036.690960677467</v>
      </c>
      <c r="AA293" s="18">
        <f t="shared" si="49"/>
        <v>2019.553586131382</v>
      </c>
      <c r="AB293" s="18">
        <f t="shared" si="50"/>
        <v>1665.7464771677132</v>
      </c>
      <c r="AC293" s="18">
        <f t="shared" si="51"/>
        <v>666.62125173425693</v>
      </c>
      <c r="AD293" s="18">
        <f t="shared" si="52"/>
        <v>-7431.3122762856019</v>
      </c>
      <c r="AE293" s="18">
        <f>IF(AG293=0,AE292,AE292+H293+V293*T293*'P-Parametri'!$B$6+W293*U293*'P-Parametri'!$B$7)</f>
        <v>17719.424342522081</v>
      </c>
      <c r="AF293" s="18">
        <f t="shared" si="39"/>
        <v>7001.871518395812</v>
      </c>
      <c r="AG293" s="10">
        <f>IF(AND(AG292=1,(X293+W293*(1-'P-Parametri'!$B$7*U293)+V293*(1-'P-Parametri'!$B$6*T293))&gt;=MAX(0,$B$5-IF($A293&gt;='1-Input'!$C$12,'1-Input'!$B$12,0))-0.01),1,0)</f>
        <v>0</v>
      </c>
      <c r="AI293" s="11">
        <f t="shared" si="53"/>
        <v>0.52841927102526653</v>
      </c>
      <c r="AJ293" s="11">
        <f t="shared" si="54"/>
        <v>0</v>
      </c>
      <c r="AK293" s="18">
        <f>MAX(0,BE292-('P-Parametri'!$B$31*BL292))</f>
        <v>3237.6275300382667</v>
      </c>
      <c r="AL293" s="18">
        <f>MAX(0,BG292-('P-Parametri'!$C$31*BL292))</f>
        <v>0</v>
      </c>
      <c r="AM293" s="18">
        <f>MAX(0,BI292-('P-Parametri'!$D$31*BL292))</f>
        <v>0</v>
      </c>
      <c r="AN293" s="18">
        <f>AK293*AI293*'P-Parametri'!$B$6+AL293*AJ293*'P-Parametri'!$B$7</f>
        <v>444.81444261128036</v>
      </c>
      <c r="AO293" s="18">
        <f t="shared" si="55"/>
        <v>2792.8130874269864</v>
      </c>
      <c r="AP293" s="18">
        <f>MAX(0,('P-Parametri'!$B$31*BL292)-BE292)+MAX(0,('P-Parametri'!$C$31*BL292)-BG292)+MAX(0,('P-Parametri'!$D$31*BL292)-BI292)</f>
        <v>3237.6275300382667</v>
      </c>
      <c r="AQ293" s="18">
        <f>BE292-AK293+IF(AP293&lt;=0,0,AO293*MAX(0,('P-Parametri'!$B$31*BL292)-BE292)/AP293)</f>
        <v>4856.4412950573997</v>
      </c>
      <c r="AR293" s="18">
        <f>BF292-AK293*(1-AI293)+IF(AP293&lt;=0,0,AO293*MAX(0,('P-Parametri'!$B$31*BL292)-BE292)/AP293)</f>
        <v>2290.2041261461673</v>
      </c>
      <c r="AS293" s="18">
        <f>BG292-AL293+IF(AP293&lt;=0,0,AO293*MAX(0,('P-Parametri'!$C$31*BL292)-BG292)/AP293)</f>
        <v>2094.6098155702393</v>
      </c>
      <c r="AT293" s="18">
        <f>BH292-AL293*(1-AJ293)+IF(AP293&lt;=0,0,AO293*MAX(0,('P-Parametri'!$C$31*BL292)-BG292)/AP293)</f>
        <v>2094.6098155702393</v>
      </c>
      <c r="AU293" s="18">
        <f>BI292-AM293+IF(AP293&lt;=0,0,AO293*MAX(0,('P-Parametri'!$D$31*BL292)-BI292)/AP293)</f>
        <v>698.2032718567466</v>
      </c>
      <c r="AV293" s="18">
        <f>BJ292-AM293+IF(AP293&lt;=0,0,AO293*MAX(0,('P-Parametri'!$D$31*BL292)-BI292)/AP293)</f>
        <v>-7422.5197042408417</v>
      </c>
      <c r="AW293" s="18">
        <f t="shared" si="56"/>
        <v>5189.1658010643714</v>
      </c>
      <c r="AX293" s="18">
        <f>AS293*(1+'P-Parametri'!$C$29)</f>
        <v>2105.0828646480904</v>
      </c>
      <c r="AY293" s="18">
        <f>AU293*(1+'1-Input'!$B$27)</f>
        <v>695.6897400780623</v>
      </c>
      <c r="AZ293" s="11">
        <f t="shared" si="57"/>
        <v>0.5586565906843034</v>
      </c>
      <c r="BA293" s="11">
        <f t="shared" si="58"/>
        <v>4.9751243781094075E-3</v>
      </c>
      <c r="BB293" s="18">
        <f>IF(BM292=0,0,MIN(MAX(AW293,0),(MAX(0,$B$5-IF($A293&gt;='1-Input'!$C$12,'1-Input'!$B$12,0))-BD293-BC293*(1-'P-Parametri'!$B$7*BA293))/(1-'P-Parametri'!$B$6*AZ293)))</f>
        <v>0</v>
      </c>
      <c r="BC293" s="18">
        <f>IF(BM292=0,0,MIN(MAX(AX293,0),(MAX(0,$B$5-IF($A293&gt;='1-Input'!$C$12,'1-Input'!$B$12,0))-BD293)/(1-'P-Parametri'!$B$7*BA293)))</f>
        <v>0</v>
      </c>
      <c r="BD293" s="18">
        <f>IF(BM292=0,0,MIN(MAX(AY293,0),MAX(0,$B$5-IF($A293&gt;='1-Input'!$C$12,'1-Input'!$B$12,0))))</f>
        <v>0</v>
      </c>
      <c r="BE293" s="18">
        <f t="shared" si="59"/>
        <v>8094.0688250956664</v>
      </c>
      <c r="BF293" s="18">
        <f t="shared" si="60"/>
        <v>3817.0068769102791</v>
      </c>
      <c r="BG293" s="18">
        <f t="shared" si="61"/>
        <v>0</v>
      </c>
      <c r="BH293" s="18">
        <f t="shared" si="62"/>
        <v>0</v>
      </c>
      <c r="BI293" s="18">
        <f t="shared" si="63"/>
        <v>0</v>
      </c>
      <c r="BJ293" s="18">
        <f t="shared" si="64"/>
        <v>-8120.7229760975879</v>
      </c>
      <c r="BK293" s="18">
        <f>IF(BM293=0,BK292,BK292+AN293+BB293*AZ293*'P-Parametri'!$B$6+BC293*BA293*'P-Parametri'!$B$7)</f>
        <v>17450.721955324654</v>
      </c>
      <c r="BL293" s="18">
        <f t="shared" si="40"/>
        <v>8094.0688250956664</v>
      </c>
      <c r="BM293" s="10">
        <f>IF(AND(BM292=1,(BD293+BC293*(1-'P-Parametri'!$B$7*BA293)+BB293*(1-'P-Parametri'!$B$6*AZ293))&gt;=MAX(0,$B$5-IF($A293&gt;='1-Input'!$C$12,'1-Input'!$B$12,0))-0.01),1,0)</f>
        <v>0</v>
      </c>
    </row>
    <row r="294" spans="1:65">
      <c r="A294" s="10">
        <f>45</f>
        <v>45</v>
      </c>
      <c r="B294" s="11">
        <f>IF(A294=1,'P-Parametri'!$B$30,IF(A294=2,'P-Parametri'!$C$30,'P-Parametri'!$B$29))</f>
        <v>6.8512000000000003E-2</v>
      </c>
      <c r="C294" s="11">
        <f t="shared" si="41"/>
        <v>0.52807365497538516</v>
      </c>
      <c r="D294" s="11">
        <f t="shared" si="42"/>
        <v>0.17519075076458596</v>
      </c>
      <c r="E294" s="18">
        <f>MAX(0,Y293-('P-Parametri'!$B$31*AF293))</f>
        <v>114.57376949268564</v>
      </c>
      <c r="F294" s="18">
        <f>MAX(0,AA293-('P-Parametri'!$C$31*AF293))</f>
        <v>0</v>
      </c>
      <c r="G294" s="18">
        <f>MAX(0,AC293-('P-Parametri'!$D$31*AF293))</f>
        <v>0</v>
      </c>
      <c r="H294" s="18">
        <f>E294*C294*'P-Parametri'!$B$6+F294*D294*'P-Parametri'!$B$7</f>
        <v>15.730881197280544</v>
      </c>
      <c r="I294" s="18">
        <f t="shared" si="43"/>
        <v>98.842888295405103</v>
      </c>
      <c r="J294" s="18">
        <f>MAX(0,('P-Parametri'!$B$31*AF293)-Y293)+MAX(0,('P-Parametri'!$C$31*AF293)-AA293)+MAX(0,('P-Parametri'!$D$31*AF293)-AC293)</f>
        <v>114.57376949268587</v>
      </c>
      <c r="K294" s="18">
        <f>Y293-E294+IF(J294&lt;=0,0,I294*MAX(0,('P-Parametri'!$B$31*AF293)-Y293)/J294)</f>
        <v>4201.122911037487</v>
      </c>
      <c r="L294" s="18">
        <f>Z293-E294*(1-C294)+IF(J294&lt;=0,0,I294*MAX(0,('P-Parametri'!$B$31*AF293)-Y293)/J294)</f>
        <v>1982.6205804050912</v>
      </c>
      <c r="M294" s="18">
        <f>AA293-F294+IF(J294&lt;=0,0,I294*MAX(0,('P-Parametri'!$C$31*AF293)-AA293)/J294)</f>
        <v>2089.4391438847638</v>
      </c>
      <c r="N294" s="18">
        <f>AB293-F294*(1-D294)+IF(J294&lt;=0,0,I294*MAX(0,('P-Parametri'!$C$31*AF293)-AA293)/J294)</f>
        <v>1735.6320349210951</v>
      </c>
      <c r="O294" s="18">
        <f>AC293-G294+IF(J294&lt;=0,0,I294*MAX(0,('P-Parametri'!$D$31*AF293)-AC293)/J294)</f>
        <v>695.57858227628026</v>
      </c>
      <c r="P294" s="18">
        <f>AD293-G294+IF(J294&lt;=0,0,I294*MAX(0,('P-Parametri'!$D$31*AF293)-AC293)/J294)</f>
        <v>-7402.3549457435784</v>
      </c>
      <c r="Q294" s="18">
        <f t="shared" si="44"/>
        <v>4488.9502439184871</v>
      </c>
      <c r="R294" s="18">
        <f>M294*(1+'P-Parametri'!$C$29)</f>
        <v>2099.8863396041875</v>
      </c>
      <c r="S294" s="18">
        <f>O294*(1+'1-Input'!$B$27)</f>
        <v>693.07449938008563</v>
      </c>
      <c r="T294" s="11">
        <f t="shared" si="45"/>
        <v>0.55833313521550076</v>
      </c>
      <c r="U294" s="11">
        <f t="shared" si="46"/>
        <v>0.17346381935688557</v>
      </c>
      <c r="V294" s="18">
        <f>IF(AG293=0,0,(MIN((Q294+R294+S294),MAX(0,$B$5-IF($A294&gt;='1-Input'!$C$12,'1-Input'!$B$12,0))/(Q294/(Q294+R294+S294)*(1-'P-Parametri'!$B$6*T294)+R294/(Q294+R294+S294)*(1-'P-Parametri'!$B$7*U294)+S294/(Q294+R294+S294))))*Q294/(Q294+R294+S294))</f>
        <v>0</v>
      </c>
      <c r="W294" s="18">
        <f>IF(AG293=0,0,(MIN((Q294+R294+S294),MAX(0,$B$5-IF($A294&gt;='1-Input'!$C$12,'1-Input'!$B$12,0))/(Q294/(Q294+R294+S294)*(1-'P-Parametri'!$B$6*T294)+R294/(Q294+R294+S294)*(1-'P-Parametri'!$B$7*U294)+S294/(Q294+R294+S294))))*R294/(Q294+R294+S294))</f>
        <v>0</v>
      </c>
      <c r="X294" s="18">
        <f>IF(AG293=0,0,(MIN((Q294+R294+S294),MAX(0,$B$5-IF($A294&gt;='1-Input'!$C$12,'1-Input'!$B$12,0))/(Q294/(Q294+R294+S294)*(1-'P-Parametri'!$B$6*T294)+R294/(Q294+R294+S294)*(1-'P-Parametri'!$B$7*U294)+S294/(Q294+R294+S294))))*S294/(Q294+R294+S294))</f>
        <v>0</v>
      </c>
      <c r="Y294" s="18">
        <f t="shared" si="47"/>
        <v>4315.6966805301727</v>
      </c>
      <c r="Z294" s="18">
        <f t="shared" si="48"/>
        <v>2036.690960677467</v>
      </c>
      <c r="AA294" s="18">
        <f t="shared" si="49"/>
        <v>2019.553586131382</v>
      </c>
      <c r="AB294" s="18">
        <f t="shared" si="50"/>
        <v>1665.7464771677132</v>
      </c>
      <c r="AC294" s="18">
        <f t="shared" si="51"/>
        <v>666.62125173425693</v>
      </c>
      <c r="AD294" s="18">
        <f t="shared" si="52"/>
        <v>-7431.3122762856019</v>
      </c>
      <c r="AE294" s="18">
        <f>IF(AG294=0,AE293,AE293+H294+V294*T294*'P-Parametri'!$B$6+W294*U294*'P-Parametri'!$B$7)</f>
        <v>17719.424342522081</v>
      </c>
      <c r="AF294" s="18">
        <f t="shared" si="39"/>
        <v>7001.871518395812</v>
      </c>
      <c r="AG294" s="10">
        <f>IF(AND(AG293=1,(X294+W294*(1-'P-Parametri'!$B$7*U294)+V294*(1-'P-Parametri'!$B$6*T294))&gt;=MAX(0,$B$5-IF($A294&gt;='1-Input'!$C$12,'1-Input'!$B$12,0))-0.01),1,0)</f>
        <v>0</v>
      </c>
      <c r="AI294" s="11">
        <f t="shared" si="53"/>
        <v>0.52841927102526653</v>
      </c>
      <c r="AJ294" s="11">
        <f t="shared" si="54"/>
        <v>0</v>
      </c>
      <c r="AK294" s="18">
        <f>MAX(0,BE293-('P-Parametri'!$B$31*BL293))</f>
        <v>3237.6275300382667</v>
      </c>
      <c r="AL294" s="18">
        <f>MAX(0,BG293-('P-Parametri'!$C$31*BL293))</f>
        <v>0</v>
      </c>
      <c r="AM294" s="18">
        <f>MAX(0,BI293-('P-Parametri'!$D$31*BL293))</f>
        <v>0</v>
      </c>
      <c r="AN294" s="18">
        <f>AK294*AI294*'P-Parametri'!$B$6+AL294*AJ294*'P-Parametri'!$B$7</f>
        <v>444.81444261128036</v>
      </c>
      <c r="AO294" s="18">
        <f t="shared" si="55"/>
        <v>2792.8130874269864</v>
      </c>
      <c r="AP294" s="18">
        <f>MAX(0,('P-Parametri'!$B$31*BL293)-BE293)+MAX(0,('P-Parametri'!$C$31*BL293)-BG293)+MAX(0,('P-Parametri'!$D$31*BL293)-BI293)</f>
        <v>3237.6275300382667</v>
      </c>
      <c r="AQ294" s="18">
        <f>BE293-AK294+IF(AP294&lt;=0,0,AO294*MAX(0,('P-Parametri'!$B$31*BL293)-BE293)/AP294)</f>
        <v>4856.4412950573997</v>
      </c>
      <c r="AR294" s="18">
        <f>BF293-AK294*(1-AI294)+IF(AP294&lt;=0,0,AO294*MAX(0,('P-Parametri'!$B$31*BL293)-BE293)/AP294)</f>
        <v>2290.2041261461673</v>
      </c>
      <c r="AS294" s="18">
        <f>BG293-AL294+IF(AP294&lt;=0,0,AO294*MAX(0,('P-Parametri'!$C$31*BL293)-BG293)/AP294)</f>
        <v>2094.6098155702393</v>
      </c>
      <c r="AT294" s="18">
        <f>BH293-AL294*(1-AJ294)+IF(AP294&lt;=0,0,AO294*MAX(0,('P-Parametri'!$C$31*BL293)-BG293)/AP294)</f>
        <v>2094.6098155702393</v>
      </c>
      <c r="AU294" s="18">
        <f>BI293-AM294+IF(AP294&lt;=0,0,AO294*MAX(0,('P-Parametri'!$D$31*BL293)-BI293)/AP294)</f>
        <v>698.2032718567466</v>
      </c>
      <c r="AV294" s="18">
        <f>BJ293-AM294+IF(AP294&lt;=0,0,AO294*MAX(0,('P-Parametri'!$D$31*BL293)-BI293)/AP294)</f>
        <v>-7422.5197042408417</v>
      </c>
      <c r="AW294" s="18">
        <f t="shared" si="56"/>
        <v>5189.1658010643714</v>
      </c>
      <c r="AX294" s="18">
        <f>AS294*(1+'P-Parametri'!$C$29)</f>
        <v>2105.0828646480904</v>
      </c>
      <c r="AY294" s="18">
        <f>AU294*(1+'1-Input'!$B$27)</f>
        <v>695.6897400780623</v>
      </c>
      <c r="AZ294" s="11">
        <f t="shared" si="57"/>
        <v>0.5586565906843034</v>
      </c>
      <c r="BA294" s="11">
        <f t="shared" si="58"/>
        <v>4.9751243781094075E-3</v>
      </c>
      <c r="BB294" s="18">
        <f>IF(BM293=0,0,MIN(MAX(AW294,0),(MAX(0,$B$5-IF($A294&gt;='1-Input'!$C$12,'1-Input'!$B$12,0))-BD294-BC294*(1-'P-Parametri'!$B$7*BA294))/(1-'P-Parametri'!$B$6*AZ294)))</f>
        <v>0</v>
      </c>
      <c r="BC294" s="18">
        <f>IF(BM293=0,0,MIN(MAX(AX294,0),(MAX(0,$B$5-IF($A294&gt;='1-Input'!$C$12,'1-Input'!$B$12,0))-BD294)/(1-'P-Parametri'!$B$7*BA294)))</f>
        <v>0</v>
      </c>
      <c r="BD294" s="18">
        <f>IF(BM293=0,0,MIN(MAX(AY294,0),MAX(0,$B$5-IF($A294&gt;='1-Input'!$C$12,'1-Input'!$B$12,0))))</f>
        <v>0</v>
      </c>
      <c r="BE294" s="18">
        <f t="shared" si="59"/>
        <v>8094.0688250956664</v>
      </c>
      <c r="BF294" s="18">
        <f t="shared" si="60"/>
        <v>3817.0068769102791</v>
      </c>
      <c r="BG294" s="18">
        <f t="shared" si="61"/>
        <v>0</v>
      </c>
      <c r="BH294" s="18">
        <f t="shared" si="62"/>
        <v>0</v>
      </c>
      <c r="BI294" s="18">
        <f t="shared" si="63"/>
        <v>0</v>
      </c>
      <c r="BJ294" s="18">
        <f t="shared" si="64"/>
        <v>-8120.7229760975879</v>
      </c>
      <c r="BK294" s="18">
        <f>IF(BM294=0,BK293,BK293+AN294+BB294*AZ294*'P-Parametri'!$B$6+BC294*BA294*'P-Parametri'!$B$7)</f>
        <v>17450.721955324654</v>
      </c>
      <c r="BL294" s="18">
        <f t="shared" si="40"/>
        <v>8094.0688250956664</v>
      </c>
      <c r="BM294" s="10">
        <f>IF(AND(BM293=1,(BD294+BC294*(1-'P-Parametri'!$B$7*BA294)+BB294*(1-'P-Parametri'!$B$6*AZ294))&gt;=MAX(0,$B$5-IF($A294&gt;='1-Input'!$C$12,'1-Input'!$B$12,0))-0.01),1,0)</f>
        <v>0</v>
      </c>
    </row>
    <row r="297" spans="1:65" ht="30">
      <c r="A297" s="25" t="s">
        <v>262</v>
      </c>
      <c r="C297" s="25" t="s">
        <v>532</v>
      </c>
      <c r="D297" s="25" t="s">
        <v>361</v>
      </c>
      <c r="E297" s="25" t="s">
        <v>263</v>
      </c>
      <c r="F297" s="25" t="s">
        <v>533</v>
      </c>
      <c r="G297" s="25" t="s">
        <v>364</v>
      </c>
      <c r="H297" s="25" t="s">
        <v>381</v>
      </c>
      <c r="I297" s="25" t="s">
        <v>305</v>
      </c>
      <c r="K297" s="25" t="s">
        <v>532</v>
      </c>
      <c r="L297" s="25" t="s">
        <v>361</v>
      </c>
      <c r="M297" s="25" t="s">
        <v>263</v>
      </c>
      <c r="N297" s="25" t="s">
        <v>533</v>
      </c>
      <c r="O297" s="25" t="s">
        <v>364</v>
      </c>
      <c r="P297" s="25" t="s">
        <v>381</v>
      </c>
      <c r="Q297" s="25" t="s">
        <v>305</v>
      </c>
      <c r="S297" s="25" t="s">
        <v>532</v>
      </c>
      <c r="T297" s="25" t="s">
        <v>361</v>
      </c>
      <c r="U297" s="25" t="s">
        <v>263</v>
      </c>
      <c r="V297" s="25" t="s">
        <v>533</v>
      </c>
      <c r="W297" s="25" t="s">
        <v>364</v>
      </c>
      <c r="X297" s="25" t="s">
        <v>381</v>
      </c>
      <c r="Y297" s="25" t="s">
        <v>305</v>
      </c>
    </row>
    <row r="298" spans="1:65">
      <c r="A298" s="3">
        <v>0</v>
      </c>
      <c r="F298" s="18">
        <f>'2-Caso'!$B$12</f>
        <v>438975.13985857379</v>
      </c>
      <c r="G298" s="18">
        <f>'2-Caso'!$B$13</f>
        <v>344000</v>
      </c>
      <c r="H298" s="18">
        <f>0</f>
        <v>0</v>
      </c>
      <c r="I298" s="10">
        <f>1</f>
        <v>1</v>
      </c>
      <c r="N298" s="18">
        <f>'2-Caso'!$B$12</f>
        <v>438975.13985857379</v>
      </c>
      <c r="O298" s="18">
        <f>'2-Caso'!$B$13</f>
        <v>344000</v>
      </c>
      <c r="P298" s="18">
        <f>0</f>
        <v>0</v>
      </c>
      <c r="Q298" s="10">
        <f>1</f>
        <v>1</v>
      </c>
      <c r="V298" s="18">
        <f>'2-Caso'!$B$12</f>
        <v>438975.13985857379</v>
      </c>
      <c r="W298" s="18">
        <f>'2-Caso'!$B$13</f>
        <v>344000</v>
      </c>
      <c r="X298" s="18">
        <f>0</f>
        <v>0</v>
      </c>
      <c r="Y298" s="10">
        <f>1</f>
        <v>1</v>
      </c>
    </row>
    <row r="299" spans="1:65">
      <c r="A299" s="10">
        <f>1</f>
        <v>1</v>
      </c>
      <c r="B299" s="11">
        <f>IF(A299=1,'P-Parametri'!$B$30,IF(A299=2,'P-Parametri'!$C$30,'P-Parametri'!$B$29))</f>
        <v>-0.35</v>
      </c>
      <c r="C299" s="18">
        <f>F298*(1+('P-Parametri'!$B$31*$B299+'P-Parametri'!$C$31*'P-Parametri'!$C$29+'P-Parametri'!$D$31*'1-Input'!$B$27-0))</f>
        <v>347290.79214771203</v>
      </c>
      <c r="D299" s="11">
        <f t="shared" ref="D299:D343" si="65">IF(C299&lt;=0,0,MAX(0,(C299-G298)/C299))</f>
        <v>9.475610128794788E-3</v>
      </c>
      <c r="E299" s="18">
        <f>IF(I298=0,0,MIN(MAX(C299,0),MAX(0,$B$4-IF($A299&gt;='1-Input'!$C$12,'1-Input'!$B$12,0))/(1-'P-Parametri'!$B$6*D299)))</f>
        <v>13032.106662090579</v>
      </c>
      <c r="F299" s="18">
        <f t="shared" ref="F299:F343" si="66">IF(I299=0,F298,C299-E299)</f>
        <v>334258.68548562145</v>
      </c>
      <c r="G299" s="18">
        <f t="shared" ref="G299:G343" si="67">IF(I299=0,G298,G298-E299*(1-D299))</f>
        <v>331091.38049979624</v>
      </c>
      <c r="H299" s="18">
        <f>IF(I299=0,H298,H298+E299*D299*'P-Parametri'!$B$6)</f>
        <v>32.106662090578276</v>
      </c>
      <c r="I299" s="10">
        <f>IF(AND(I298=1,E299*(1-'P-Parametri'!$B$6*D299)&gt;=MAX(0,$B$4-IF($A299&gt;='1-Input'!$C$12,'1-Input'!$B$12,0))-0.01),1,0)</f>
        <v>1</v>
      </c>
      <c r="K299" s="18">
        <f>N298*(1+('P-Parametri'!$B$31*$B299+'P-Parametri'!$C$31*'P-Parametri'!$C$29+'P-Parametri'!$D$31*'1-Input'!$B$27-'1-Input'!$B$21))</f>
        <v>346851.81700785353</v>
      </c>
      <c r="L299" s="11">
        <f t="shared" ref="L299:L343" si="68">IF(K299&lt;=0,0,MAX(0,(K299-O298)/K299))</f>
        <v>8.2220039452437447E-3</v>
      </c>
      <c r="M299" s="18">
        <f>IF(Q298=0,0,MIN(MAX(K299,0),MAX(0,$B$4-IF($A299&gt;='1-Input'!$C$12,'1-Input'!$B$12,0))/(1-'P-Parametri'!$B$6*L299)))</f>
        <v>13027.849908670254</v>
      </c>
      <c r="N299" s="18">
        <f t="shared" ref="N299:N343" si="69">IF(Q299=0,N298,K299-M299)</f>
        <v>333823.9670991833</v>
      </c>
      <c r="O299" s="18">
        <f t="shared" ref="O299:O343" si="70">IF(Q299=0,O298,O298-M299*(1-L299))</f>
        <v>331079.26512467687</v>
      </c>
      <c r="P299" s="18">
        <f>IF(Q299=0,P298,P298+M299*L299*'P-Parametri'!$B$6)</f>
        <v>27.84990867025385</v>
      </c>
      <c r="Q299" s="10">
        <f>IF(AND(Q298=1,M299*(1-'P-Parametri'!$B$6*L299)&gt;=MAX(0,$B$4-IF($A299&gt;='1-Input'!$C$12,'1-Input'!$B$12,0))-0.01),1,0)</f>
        <v>1</v>
      </c>
      <c r="S299" s="18">
        <f>V298*(1+('P-Parametri'!$B$31*$B299+'P-Parametri'!$C$31*'P-Parametri'!$C$29+'P-Parametri'!$D$31*'1-Input'!$B$27-0))</f>
        <v>347290.79214771203</v>
      </c>
      <c r="T299" s="11">
        <f t="shared" ref="T299:T343" si="71">IF(S299&lt;=0,0,MAX(0,(S299-W298)/S299))</f>
        <v>9.475610128794788E-3</v>
      </c>
      <c r="U299" s="18">
        <f>IF(Y298=0,0,MIN(MAX(S299,0),MAX(0,$B$5-IF($A299&gt;='1-Input'!$C$12,'1-Input'!$B$12,0))/(1-'P-Parametri'!$B$6*T299)))</f>
        <v>19848.900916107188</v>
      </c>
      <c r="V299" s="18">
        <f t="shared" ref="V299:V343" si="72">IF(Y299=0,V298,S299-U299)</f>
        <v>327441.89123160485</v>
      </c>
      <c r="W299" s="18">
        <f t="shared" ref="W299:W343" si="73">IF(Y299=0,W298,W298-U299*(1-T299))</f>
        <v>324339.17953045893</v>
      </c>
      <c r="X299" s="18">
        <f>IF(Y299=0,X298,X298+U299*T299*'P-Parametri'!$B$6)</f>
        <v>48.900916107188451</v>
      </c>
      <c r="Y299" s="10">
        <f>IF(AND(Y298=1,U299*(1-'P-Parametri'!$B$6*T299)&gt;=MAX(0,$B$5-IF($A299&gt;='1-Input'!$C$12,'1-Input'!$B$12,0))-0.01),1,0)</f>
        <v>1</v>
      </c>
    </row>
    <row r="300" spans="1:65">
      <c r="A300" s="10">
        <f>2</f>
        <v>2</v>
      </c>
      <c r="B300" s="11">
        <f>IF(A300=1,'P-Parametri'!$B$30,IF(A300=2,'P-Parametri'!$C$30,'P-Parametri'!$B$29))</f>
        <v>-0.2</v>
      </c>
      <c r="C300" s="18">
        <f>F299*(1+('P-Parametri'!$B$31*$B300+'P-Parametri'!$C$31*'P-Parametri'!$C$29+'P-Parametri'!$D$31*'1-Input'!$B$27-0))</f>
        <v>294528.69812880049</v>
      </c>
      <c r="D300" s="11">
        <f t="shared" si="65"/>
        <v>0</v>
      </c>
      <c r="E300" s="18">
        <f>IF(I299=0,0,MIN(MAX(C300,0),MAX(0,$B$4-IF($A300&gt;='1-Input'!$C$12,'1-Input'!$B$12,0))/(1-'P-Parametri'!$B$6*D300)))</f>
        <v>13000</v>
      </c>
      <c r="F300" s="18">
        <f t="shared" si="66"/>
        <v>281528.69812880049</v>
      </c>
      <c r="G300" s="18">
        <f t="shared" si="67"/>
        <v>318091.38049979624</v>
      </c>
      <c r="H300" s="18">
        <f>IF(I300=0,H299,H299+E300*D300*'P-Parametri'!$B$6)</f>
        <v>32.106662090578276</v>
      </c>
      <c r="I300" s="10">
        <f>IF(AND(I299=1,E300*(1-'P-Parametri'!$B$6*D300)&gt;=MAX(0,$B$4-IF($A300&gt;='1-Input'!$C$12,'1-Input'!$B$12,0))-0.01),1,0)</f>
        <v>1</v>
      </c>
      <c r="K300" s="18">
        <f>N299*(1+('P-Parametri'!$B$31*$B300+'P-Parametri'!$C$31*'P-Parametri'!$C$29+'P-Parametri'!$D$31*'1-Input'!$B$27-'1-Input'!$B$21))</f>
        <v>293811.82640267519</v>
      </c>
      <c r="L300" s="11">
        <f t="shared" si="68"/>
        <v>0</v>
      </c>
      <c r="M300" s="18">
        <f>IF(Q299=0,0,MIN(MAX(K300,0),MAX(0,$B$4-IF($A300&gt;='1-Input'!$C$12,'1-Input'!$B$12,0))/(1-'P-Parametri'!$B$6*L300)))</f>
        <v>13000</v>
      </c>
      <c r="N300" s="18">
        <f t="shared" si="69"/>
        <v>280811.82640267519</v>
      </c>
      <c r="O300" s="18">
        <f t="shared" si="70"/>
        <v>318079.26512467687</v>
      </c>
      <c r="P300" s="18">
        <f>IF(Q300=0,P299,P299+M300*L300*'P-Parametri'!$B$6)</f>
        <v>27.84990867025385</v>
      </c>
      <c r="Q300" s="10">
        <f>IF(AND(Q299=1,M300*(1-'P-Parametri'!$B$6*L300)&gt;=MAX(0,$B$4-IF($A300&gt;='1-Input'!$C$12,'1-Input'!$B$12,0))-0.01),1,0)</f>
        <v>1</v>
      </c>
      <c r="S300" s="18">
        <f>V299*(1+('P-Parametri'!$B$31*$B300+'P-Parametri'!$C$31*'P-Parametri'!$C$29+'P-Parametri'!$D$31*'1-Input'!$B$27-0))</f>
        <v>288522.1480398163</v>
      </c>
      <c r="T300" s="11">
        <f t="shared" si="71"/>
        <v>0</v>
      </c>
      <c r="U300" s="18">
        <f>IF(Y299=0,0,MIN(MAX(S300,0),MAX(0,$B$5-IF($A300&gt;='1-Input'!$C$12,'1-Input'!$B$12,0))/(1-'P-Parametri'!$B$6*T300)))</f>
        <v>19800</v>
      </c>
      <c r="V300" s="18">
        <f t="shared" si="72"/>
        <v>268722.1480398163</v>
      </c>
      <c r="W300" s="18">
        <f t="shared" si="73"/>
        <v>304539.17953045893</v>
      </c>
      <c r="X300" s="18">
        <f>IF(Y300=0,X299,X299+U300*T300*'P-Parametri'!$B$6)</f>
        <v>48.900916107188451</v>
      </c>
      <c r="Y300" s="10">
        <f>IF(AND(Y299=1,U300*(1-'P-Parametri'!$B$6*T300)&gt;=MAX(0,$B$5-IF($A300&gt;='1-Input'!$C$12,'1-Input'!$B$12,0))-0.01),1,0)</f>
        <v>1</v>
      </c>
    </row>
    <row r="301" spans="1:65">
      <c r="A301" s="10">
        <f>3</f>
        <v>3</v>
      </c>
      <c r="B301" s="11">
        <f>IF(A301=1,'P-Parametri'!$B$30,IF(A301=2,'P-Parametri'!$C$30,'P-Parametri'!$B$29))</f>
        <v>6.8512000000000003E-2</v>
      </c>
      <c r="C301" s="18">
        <f>F300*(1+('P-Parametri'!$B$31*$B301+'P-Parametri'!$C$31*'P-Parametri'!$C$29+'P-Parametri'!$D$31*'1-Input'!$B$27-0))</f>
        <v>293422.49734438758</v>
      </c>
      <c r="D301" s="11">
        <f t="shared" si="65"/>
        <v>0</v>
      </c>
      <c r="E301" s="18">
        <f>IF(I300=0,0,MIN(MAX(C301,0),MAX(0,$B$4-IF($A301&gt;='1-Input'!$C$12,'1-Input'!$B$12,0))/(1-'P-Parametri'!$B$6*D301)))</f>
        <v>13000</v>
      </c>
      <c r="F301" s="18">
        <f t="shared" si="66"/>
        <v>280422.49734438758</v>
      </c>
      <c r="G301" s="18">
        <f t="shared" si="67"/>
        <v>305091.38049979624</v>
      </c>
      <c r="H301" s="18">
        <f>IF(I301=0,H300,H300+E301*D301*'P-Parametri'!$B$6)</f>
        <v>32.106662090578276</v>
      </c>
      <c r="I301" s="10">
        <f>IF(AND(I300=1,E301*(1-'P-Parametri'!$B$6*D301)&gt;=MAX(0,$B$4-IF($A301&gt;='1-Input'!$C$12,'1-Input'!$B$12,0))-0.01),1,0)</f>
        <v>1</v>
      </c>
      <c r="K301" s="18">
        <f>N300*(1+('P-Parametri'!$B$31*$B301+'P-Parametri'!$C$31*'P-Parametri'!$C$29+'P-Parametri'!$D$31*'1-Input'!$B$27-'1-Input'!$B$21))</f>
        <v>292394.52796867158</v>
      </c>
      <c r="L301" s="11">
        <f t="shared" si="68"/>
        <v>0</v>
      </c>
      <c r="M301" s="18">
        <f>IF(Q300=0,0,MIN(MAX(K301,0),MAX(0,$B$4-IF($A301&gt;='1-Input'!$C$12,'1-Input'!$B$12,0))/(1-'P-Parametri'!$B$6*L301)))</f>
        <v>13000</v>
      </c>
      <c r="N301" s="18">
        <f t="shared" si="69"/>
        <v>279394.52796867158</v>
      </c>
      <c r="O301" s="18">
        <f t="shared" si="70"/>
        <v>305079.26512467687</v>
      </c>
      <c r="P301" s="18">
        <f>IF(Q301=0,P300,P300+M301*L301*'P-Parametri'!$B$6)</f>
        <v>27.84990867025385</v>
      </c>
      <c r="Q301" s="10">
        <f>IF(AND(Q300=1,M301*(1-'P-Parametri'!$B$6*L301)&gt;=MAX(0,$B$4-IF($A301&gt;='1-Input'!$C$12,'1-Input'!$B$12,0))-0.01),1,0)</f>
        <v>1</v>
      </c>
      <c r="S301" s="18">
        <f>V300*(1+('P-Parametri'!$B$31*$B301+'P-Parametri'!$C$31*'P-Parametri'!$C$29+'P-Parametri'!$D$31*'1-Input'!$B$27-0))</f>
        <v>280074.90637248405</v>
      </c>
      <c r="T301" s="11">
        <f t="shared" si="71"/>
        <v>0</v>
      </c>
      <c r="U301" s="18">
        <f>IF(Y300=0,0,MIN(MAX(S301,0),MAX(0,$B$5-IF($A301&gt;='1-Input'!$C$12,'1-Input'!$B$12,0))/(1-'P-Parametri'!$B$6*T301)))</f>
        <v>19800</v>
      </c>
      <c r="V301" s="18">
        <f t="shared" si="72"/>
        <v>260274.90637248405</v>
      </c>
      <c r="W301" s="18">
        <f t="shared" si="73"/>
        <v>284739.17953045893</v>
      </c>
      <c r="X301" s="18">
        <f>IF(Y301=0,X300,X300+U301*T301*'P-Parametri'!$B$6)</f>
        <v>48.900916107188451</v>
      </c>
      <c r="Y301" s="10">
        <f>IF(AND(Y300=1,U301*(1-'P-Parametri'!$B$6*T301)&gt;=MAX(0,$B$5-IF($A301&gt;='1-Input'!$C$12,'1-Input'!$B$12,0))-0.01),1,0)</f>
        <v>1</v>
      </c>
    </row>
    <row r="302" spans="1:65">
      <c r="A302" s="10">
        <f>4</f>
        <v>4</v>
      </c>
      <c r="B302" s="11">
        <f>IF(A302=1,'P-Parametri'!$B$30,IF(A302=2,'P-Parametri'!$C$30,'P-Parametri'!$B$29))</f>
        <v>6.8512000000000003E-2</v>
      </c>
      <c r="C302" s="18">
        <f>F301*(1+('P-Parametri'!$B$31*$B302+'P-Parametri'!$C$31*'P-Parametri'!$C$29+'P-Parametri'!$D$31*'1-Input'!$B$27-0))</f>
        <v>292269.56267419539</v>
      </c>
      <c r="D302" s="11">
        <f t="shared" si="65"/>
        <v>0</v>
      </c>
      <c r="E302" s="18">
        <f>IF(I301=0,0,MIN(MAX(C302,0),MAX(0,$B$4-IF($A302&gt;='1-Input'!$C$12,'1-Input'!$B$12,0))/(1-'P-Parametri'!$B$6*D302)))</f>
        <v>13000</v>
      </c>
      <c r="F302" s="18">
        <f t="shared" si="66"/>
        <v>279269.56267419539</v>
      </c>
      <c r="G302" s="18">
        <f t="shared" si="67"/>
        <v>292091.38049979624</v>
      </c>
      <c r="H302" s="18">
        <f>IF(I302=0,H301,H301+E302*D302*'P-Parametri'!$B$6)</f>
        <v>32.106662090578276</v>
      </c>
      <c r="I302" s="10">
        <f>IF(AND(I301=1,E302*(1-'P-Parametri'!$B$6*D302)&gt;=MAX(0,$B$4-IF($A302&gt;='1-Input'!$C$12,'1-Input'!$B$12,0))-0.01),1,0)</f>
        <v>1</v>
      </c>
      <c r="K302" s="18">
        <f>N301*(1+('P-Parametri'!$B$31*$B302+'P-Parametri'!$C$31*'P-Parametri'!$C$29+'P-Parametri'!$D$31*'1-Input'!$B$27-'1-Input'!$B$21))</f>
        <v>290918.76994270098</v>
      </c>
      <c r="L302" s="11">
        <f t="shared" si="68"/>
        <v>0</v>
      </c>
      <c r="M302" s="18">
        <f>IF(Q301=0,0,MIN(MAX(K302,0),MAX(0,$B$4-IF($A302&gt;='1-Input'!$C$12,'1-Input'!$B$12,0))/(1-'P-Parametri'!$B$6*L302)))</f>
        <v>13000</v>
      </c>
      <c r="N302" s="18">
        <f t="shared" si="69"/>
        <v>277918.76994270098</v>
      </c>
      <c r="O302" s="18">
        <f t="shared" si="70"/>
        <v>292079.26512467687</v>
      </c>
      <c r="P302" s="18">
        <f>IF(Q302=0,P301,P301+M302*L302*'P-Parametri'!$B$6)</f>
        <v>27.84990867025385</v>
      </c>
      <c r="Q302" s="10">
        <f>IF(AND(Q301=1,M302*(1-'P-Parametri'!$B$6*L302)&gt;=MAX(0,$B$4-IF($A302&gt;='1-Input'!$C$12,'1-Input'!$B$12,0))-0.01),1,0)</f>
        <v>1</v>
      </c>
      <c r="S302" s="18">
        <f>V301*(1+('P-Parametri'!$B$31*$B302+'P-Parametri'!$C$31*'P-Parametri'!$C$29+'P-Parametri'!$D$31*'1-Input'!$B$27-0))</f>
        <v>271270.79239698366</v>
      </c>
      <c r="T302" s="11">
        <f t="shared" si="71"/>
        <v>0</v>
      </c>
      <c r="U302" s="18">
        <f>IF(Y301=0,0,MIN(MAX(S302,0),MAX(0,$B$5-IF($A302&gt;='1-Input'!$C$12,'1-Input'!$B$12,0))/(1-'P-Parametri'!$B$6*T302)))</f>
        <v>19800</v>
      </c>
      <c r="V302" s="18">
        <f t="shared" si="72"/>
        <v>251470.79239698366</v>
      </c>
      <c r="W302" s="18">
        <f t="shared" si="73"/>
        <v>264939.17953045893</v>
      </c>
      <c r="X302" s="18">
        <f>IF(Y302=0,X301,X301+U302*T302*'P-Parametri'!$B$6)</f>
        <v>48.900916107188451</v>
      </c>
      <c r="Y302" s="10">
        <f>IF(AND(Y301=1,U302*(1-'P-Parametri'!$B$6*T302)&gt;=MAX(0,$B$5-IF($A302&gt;='1-Input'!$C$12,'1-Input'!$B$12,0))-0.01),1,0)</f>
        <v>1</v>
      </c>
    </row>
    <row r="303" spans="1:65">
      <c r="A303" s="10">
        <f>5</f>
        <v>5</v>
      </c>
      <c r="B303" s="11">
        <f>IF(A303=1,'P-Parametri'!$B$30,IF(A303=2,'P-Parametri'!$C$30,'P-Parametri'!$B$29))</f>
        <v>6.8512000000000003E-2</v>
      </c>
      <c r="C303" s="18">
        <f>F302*(1+('P-Parametri'!$B$31*$B303+'P-Parametri'!$C$31*'P-Parametri'!$C$29+'P-Parametri'!$D$31*'1-Input'!$B$27-0))</f>
        <v>291067.91974240466</v>
      </c>
      <c r="D303" s="11">
        <f t="shared" si="65"/>
        <v>0</v>
      </c>
      <c r="E303" s="18">
        <f>IF(I302=0,0,MIN(MAX(C303,0),MAX(0,$B$4-IF($A303&gt;='1-Input'!$C$12,'1-Input'!$B$12,0))/(1-'P-Parametri'!$B$6*D303)))</f>
        <v>13000</v>
      </c>
      <c r="F303" s="18">
        <f t="shared" si="66"/>
        <v>278067.91974240466</v>
      </c>
      <c r="G303" s="18">
        <f t="shared" si="67"/>
        <v>279091.38049979624</v>
      </c>
      <c r="H303" s="18">
        <f>IF(I303=0,H302,H302+E303*D303*'P-Parametri'!$B$6)</f>
        <v>32.106662090578276</v>
      </c>
      <c r="I303" s="10">
        <f>IF(AND(I302=1,E303*(1-'P-Parametri'!$B$6*D303)&gt;=MAX(0,$B$4-IF($A303&gt;='1-Input'!$C$12,'1-Input'!$B$12,0))-0.01),1,0)</f>
        <v>1</v>
      </c>
      <c r="K303" s="18">
        <f>N302*(1+('P-Parametri'!$B$31*$B303+'P-Parametri'!$C$31*'P-Parametri'!$C$29+'P-Parametri'!$D$31*'1-Input'!$B$27-'1-Input'!$B$21))</f>
        <v>289382.14103028155</v>
      </c>
      <c r="L303" s="11">
        <f t="shared" si="68"/>
        <v>0</v>
      </c>
      <c r="M303" s="18">
        <f>IF(Q302=0,0,MIN(MAX(K303,0),MAX(0,$B$4-IF($A303&gt;='1-Input'!$C$12,'1-Input'!$B$12,0))/(1-'P-Parametri'!$B$6*L303)))</f>
        <v>13000</v>
      </c>
      <c r="N303" s="18">
        <f t="shared" si="69"/>
        <v>276382.14103028155</v>
      </c>
      <c r="O303" s="18">
        <f t="shared" si="70"/>
        <v>279079.26512467687</v>
      </c>
      <c r="P303" s="18">
        <f>IF(Q303=0,P302,P302+M303*L303*'P-Parametri'!$B$6)</f>
        <v>27.84990867025385</v>
      </c>
      <c r="Q303" s="10">
        <f>IF(AND(Q302=1,M303*(1-'P-Parametri'!$B$6*L303)&gt;=MAX(0,$B$4-IF($A303&gt;='1-Input'!$C$12,'1-Input'!$B$12,0))-0.01),1,0)</f>
        <v>1</v>
      </c>
      <c r="S303" s="18">
        <f>V302*(1+('P-Parametri'!$B$31*$B303+'P-Parametri'!$C$31*'P-Parametri'!$C$29+'P-Parametri'!$D$31*'1-Input'!$B$27-0))</f>
        <v>262094.72925753752</v>
      </c>
      <c r="T303" s="11">
        <f t="shared" si="71"/>
        <v>0</v>
      </c>
      <c r="U303" s="18">
        <f>IF(Y302=0,0,MIN(MAX(S303,0),MAX(0,$B$5-IF($A303&gt;='1-Input'!$C$12,'1-Input'!$B$12,0))/(1-'P-Parametri'!$B$6*T303)))</f>
        <v>19800</v>
      </c>
      <c r="V303" s="18">
        <f t="shared" si="72"/>
        <v>242294.72925753752</v>
      </c>
      <c r="W303" s="18">
        <f t="shared" si="73"/>
        <v>245139.17953045893</v>
      </c>
      <c r="X303" s="18">
        <f>IF(Y303=0,X302,X302+U303*T303*'P-Parametri'!$B$6)</f>
        <v>48.900916107188451</v>
      </c>
      <c r="Y303" s="10">
        <f>IF(AND(Y302=1,U303*(1-'P-Parametri'!$B$6*T303)&gt;=MAX(0,$B$5-IF($A303&gt;='1-Input'!$C$12,'1-Input'!$B$12,0))-0.01),1,0)</f>
        <v>1</v>
      </c>
    </row>
    <row r="304" spans="1:65">
      <c r="A304" s="10">
        <f>6</f>
        <v>6</v>
      </c>
      <c r="B304" s="11">
        <f>IF(A304=1,'P-Parametri'!$B$30,IF(A304=2,'P-Parametri'!$C$30,'P-Parametri'!$B$29))</f>
        <v>6.8512000000000003E-2</v>
      </c>
      <c r="C304" s="18">
        <f>F303*(1+('P-Parametri'!$B$31*$B304+'P-Parametri'!$C$31*'P-Parametri'!$C$29+'P-Parametri'!$D$31*'1-Input'!$B$27-0))</f>
        <v>289815.51076134597</v>
      </c>
      <c r="D304" s="11">
        <f t="shared" si="65"/>
        <v>3.7003299904057631E-2</v>
      </c>
      <c r="E304" s="18">
        <f>IF(I303=0,0,MIN(MAX(C304,0),MAX(0,$B$4-IF($A304&gt;='1-Input'!$C$12,'1-Input'!$B$12,0))/(1-'P-Parametri'!$B$6*D304)))</f>
        <v>13126.286134641317</v>
      </c>
      <c r="F304" s="18">
        <f t="shared" si="66"/>
        <v>276689.22462670464</v>
      </c>
      <c r="G304" s="18">
        <f t="shared" si="67"/>
        <v>266450.81026762153</v>
      </c>
      <c r="H304" s="18">
        <f>IF(I304=0,H303,H303+E304*D304*'P-Parametri'!$B$6)</f>
        <v>158.39279673189586</v>
      </c>
      <c r="I304" s="10">
        <f>IF(AND(I303=1,E304*(1-'P-Parametri'!$B$6*D304)&gt;=MAX(0,$B$4-IF($A304&gt;='1-Input'!$C$12,'1-Input'!$B$12,0))-0.01),1,0)</f>
        <v>1</v>
      </c>
      <c r="K304" s="18">
        <f>N303*(1+('P-Parametri'!$B$31*$B304+'P-Parametri'!$C$31*'P-Parametri'!$C$29+'P-Parametri'!$D$31*'1-Input'!$B$27-'1-Input'!$B$21))</f>
        <v>287782.13047778577</v>
      </c>
      <c r="L304" s="11">
        <f t="shared" si="68"/>
        <v>3.0241159653172738E-2</v>
      </c>
      <c r="M304" s="18">
        <f>IF(Q303=0,0,MIN(MAX(K304,0),MAX(0,$B$4-IF($A304&gt;='1-Input'!$C$12,'1-Input'!$B$12,0))/(1-'P-Parametri'!$B$6*L304)))</f>
        <v>13103.025175833298</v>
      </c>
      <c r="N304" s="18">
        <f t="shared" si="69"/>
        <v>274679.10530195246</v>
      </c>
      <c r="O304" s="18">
        <f t="shared" si="70"/>
        <v>266372.49062512547</v>
      </c>
      <c r="P304" s="18">
        <f>IF(Q304=0,P303,P303+M304*L304*'P-Parametri'!$B$6)</f>
        <v>130.87508450355216</v>
      </c>
      <c r="Q304" s="10">
        <f>IF(AND(Q303=1,M304*(1-'P-Parametri'!$B$6*L304)&gt;=MAX(0,$B$4-IF($A304&gt;='1-Input'!$C$12,'1-Input'!$B$12,0))-0.01),1,0)</f>
        <v>1</v>
      </c>
      <c r="S304" s="18">
        <f>V303*(1+('P-Parametri'!$B$31*$B304+'P-Parametri'!$C$31*'P-Parametri'!$C$29+'P-Parametri'!$D$31*'1-Input'!$B$27-0))</f>
        <v>252531.00314342655</v>
      </c>
      <c r="T304" s="11">
        <f t="shared" si="71"/>
        <v>2.9270954936053497E-2</v>
      </c>
      <c r="U304" s="18">
        <f>IF(Y303=0,0,MIN(MAX(S304,0),MAX(0,$B$5-IF($A304&gt;='1-Input'!$C$12,'1-Input'!$B$12,0))/(1-'P-Parametri'!$B$6*T304)))</f>
        <v>19951.84246523973</v>
      </c>
      <c r="V304" s="18">
        <f t="shared" si="72"/>
        <v>232579.16067818683</v>
      </c>
      <c r="W304" s="18">
        <f t="shared" si="73"/>
        <v>225771.34654691047</v>
      </c>
      <c r="X304" s="18">
        <f>IF(Y304=0,X303,X303+U304*T304*'P-Parametri'!$B$6)</f>
        <v>200.7433813469188</v>
      </c>
      <c r="Y304" s="10">
        <f>IF(AND(Y303=1,U304*(1-'P-Parametri'!$B$6*T304)&gt;=MAX(0,$B$5-IF($A304&gt;='1-Input'!$C$12,'1-Input'!$B$12,0))-0.01),1,0)</f>
        <v>1</v>
      </c>
    </row>
    <row r="305" spans="1:25">
      <c r="A305" s="10">
        <f>7</f>
        <v>7</v>
      </c>
      <c r="B305" s="11">
        <f>IF(A305=1,'P-Parametri'!$B$30,IF(A305=2,'P-Parametri'!$C$30,'P-Parametri'!$B$29))</f>
        <v>6.8512000000000003E-2</v>
      </c>
      <c r="C305" s="18">
        <f>F304*(1+('P-Parametri'!$B$31*$B305+'P-Parametri'!$C$31*'P-Parametri'!$C$29+'P-Parametri'!$D$31*'1-Input'!$B$27-0))</f>
        <v>288378.569637354</v>
      </c>
      <c r="D305" s="11">
        <f t="shared" si="65"/>
        <v>7.6038102960658202E-2</v>
      </c>
      <c r="E305" s="18">
        <f>IF(I304=0,0,MIN(MAX(C305,0),MAX(0,$B$4-IF($A305&gt;='1-Input'!$C$12,'1-Input'!$B$12,0))/(1-'P-Parametri'!$B$6*D305)))</f>
        <v>13262.192305441351</v>
      </c>
      <c r="F305" s="18">
        <f t="shared" si="66"/>
        <v>275116.37733191263</v>
      </c>
      <c r="G305" s="18">
        <f t="shared" si="67"/>
        <v>254197.04990618539</v>
      </c>
      <c r="H305" s="18">
        <f>IF(I305=0,H304,H304+E305*D305*'P-Parametri'!$B$6)</f>
        <v>420.58510217324749</v>
      </c>
      <c r="I305" s="10">
        <f>IF(AND(I304=1,E305*(1-'P-Parametri'!$B$6*D305)&gt;=MAX(0,$B$4-IF($A305&gt;='1-Input'!$C$12,'1-Input'!$B$12,0))-0.01),1,0)</f>
        <v>1</v>
      </c>
      <c r="K305" s="18">
        <f>N304*(1+('P-Parametri'!$B$31*$B305+'P-Parametri'!$C$31*'P-Parametri'!$C$29+'P-Parametri'!$D$31*'1-Input'!$B$27-'1-Input'!$B$21))</f>
        <v>286008.84929416311</v>
      </c>
      <c r="L305" s="11">
        <f t="shared" si="68"/>
        <v>6.8656472404605345E-2</v>
      </c>
      <c r="M305" s="18">
        <f>IF(Q304=0,0,MIN(MAX(K305,0),MAX(0,$B$4-IF($A305&gt;='1-Input'!$C$12,'1-Input'!$B$12,0))/(1-'P-Parametri'!$B$6*L305)))</f>
        <v>13236.276574925587</v>
      </c>
      <c r="N305" s="18">
        <f t="shared" si="69"/>
        <v>272772.57271923753</v>
      </c>
      <c r="O305" s="18">
        <f t="shared" si="70"/>
        <v>254044.970107606</v>
      </c>
      <c r="P305" s="18">
        <f>IF(Q305=0,P304,P304+M305*L305*'P-Parametri'!$B$6)</f>
        <v>367.15165942913887</v>
      </c>
      <c r="Q305" s="10">
        <f>IF(AND(Q304=1,M305*(1-'P-Parametri'!$B$6*L305)&gt;=MAX(0,$B$4-IF($A305&gt;='1-Input'!$C$12,'1-Input'!$B$12,0))-0.01),1,0)</f>
        <v>1</v>
      </c>
      <c r="S305" s="18">
        <f>V304*(1+('P-Parametri'!$B$31*$B305+'P-Parametri'!$C$31*'P-Parametri'!$C$29+'P-Parametri'!$D$31*'1-Input'!$B$27-0))</f>
        <v>242404.97899519032</v>
      </c>
      <c r="T305" s="11">
        <f t="shared" si="71"/>
        <v>6.8619186442576696E-2</v>
      </c>
      <c r="U305" s="18">
        <f>IF(Y304=0,0,MIN(MAX(S305,0),MAX(0,$B$5-IF($A305&gt;='1-Input'!$C$12,'1-Input'!$B$12,0))/(1-'P-Parametri'!$B$6*T305)))</f>
        <v>20159.668411796087</v>
      </c>
      <c r="V305" s="18">
        <f t="shared" si="72"/>
        <v>222245.31058339422</v>
      </c>
      <c r="W305" s="18">
        <f t="shared" si="73"/>
        <v>206995.01818048395</v>
      </c>
      <c r="X305" s="18">
        <f>IF(Y305=0,X304,X304+U305*T305*'P-Parametri'!$B$6)</f>
        <v>560.41179314300439</v>
      </c>
      <c r="Y305" s="10">
        <f>IF(AND(Y304=1,U305*(1-'P-Parametri'!$B$6*T305)&gt;=MAX(0,$B$5-IF($A305&gt;='1-Input'!$C$12,'1-Input'!$B$12,0))-0.01),1,0)</f>
        <v>1</v>
      </c>
    </row>
    <row r="306" spans="1:25">
      <c r="A306" s="10">
        <f>8</f>
        <v>8</v>
      </c>
      <c r="B306" s="11">
        <f>IF(A306=1,'P-Parametri'!$B$30,IF(A306=2,'P-Parametri'!$C$30,'P-Parametri'!$B$29))</f>
        <v>6.8512000000000003E-2</v>
      </c>
      <c r="C306" s="18">
        <f>F305*(1+('P-Parametri'!$B$31*$B306+'P-Parametri'!$C$31*'P-Parametri'!$C$29+'P-Parametri'!$D$31*'1-Input'!$B$27-0))</f>
        <v>286739.27394832944</v>
      </c>
      <c r="D306" s="11">
        <f t="shared" si="65"/>
        <v>0.11349064114603351</v>
      </c>
      <c r="E306" s="18">
        <f>IF(I305=0,0,MIN(MAX(C306,0),MAX(0,$B$4-IF($A306&gt;='1-Input'!$C$12,'1-Input'!$B$12,0))/(1-'P-Parametri'!$B$6*D306)))</f>
        <v>13395.261574341623</v>
      </c>
      <c r="F306" s="18">
        <f t="shared" si="66"/>
        <v>273344.01237398782</v>
      </c>
      <c r="G306" s="18">
        <f t="shared" si="67"/>
        <v>242322.02515623462</v>
      </c>
      <c r="H306" s="18">
        <f>IF(I306=0,H305,H305+E306*D306*'P-Parametri'!$B$6)</f>
        <v>815.8466765148703</v>
      </c>
      <c r="I306" s="10">
        <f>IF(AND(I305=1,E306*(1-'P-Parametri'!$B$6*D306)&gt;=MAX(0,$B$4-IF($A306&gt;='1-Input'!$C$12,'1-Input'!$B$12,0))-0.01),1,0)</f>
        <v>1</v>
      </c>
      <c r="K306" s="18">
        <f>N305*(1+('P-Parametri'!$B$31*$B306+'P-Parametri'!$C$31*'P-Parametri'!$C$29+'P-Parametri'!$D$31*'1-Input'!$B$27-'1-Input'!$B$21))</f>
        <v>284023.67758070247</v>
      </c>
      <c r="L306" s="11">
        <f t="shared" si="68"/>
        <v>0.10555002923859515</v>
      </c>
      <c r="M306" s="18">
        <f>IF(Q305=0,0,MIN(MAX(K306,0),MAX(0,$B$4-IF($A306&gt;='1-Input'!$C$12,'1-Input'!$B$12,0))/(1-'P-Parametri'!$B$6*L306)))</f>
        <v>13366.825904923902</v>
      </c>
      <c r="N306" s="18">
        <f t="shared" si="69"/>
        <v>270656.85167577857</v>
      </c>
      <c r="O306" s="18">
        <f t="shared" si="70"/>
        <v>242089.01306777404</v>
      </c>
      <c r="P306" s="18">
        <f>IF(Q306=0,P305,P305+M306*L306*'P-Parametri'!$B$6)</f>
        <v>733.97756435304041</v>
      </c>
      <c r="Q306" s="10">
        <f>IF(AND(Q305=1,M306*(1-'P-Parametri'!$B$6*L306)&gt;=MAX(0,$B$4-IF($A306&gt;='1-Input'!$C$12,'1-Input'!$B$12,0))-0.01),1,0)</f>
        <v>1</v>
      </c>
      <c r="S306" s="18">
        <f>V305*(1+('P-Parametri'!$B$31*$B306+'P-Parametri'!$C$31*'P-Parametri'!$C$29+'P-Parametri'!$D$31*'1-Input'!$B$27-0))</f>
        <v>231634.55266867302</v>
      </c>
      <c r="T306" s="11">
        <f t="shared" si="71"/>
        <v>0.10637244834294271</v>
      </c>
      <c r="U306" s="18">
        <f>IF(Y305=0,0,MIN(MAX(S306,0),MAX(0,$B$5-IF($A306&gt;='1-Input'!$C$12,'1-Input'!$B$12,0))/(1-'P-Parametri'!$B$6*T306)))</f>
        <v>20363.181173750723</v>
      </c>
      <c r="V306" s="18">
        <f t="shared" si="72"/>
        <v>211271.37149492229</v>
      </c>
      <c r="W306" s="18">
        <f t="shared" si="73"/>
        <v>188797.91844423601</v>
      </c>
      <c r="X306" s="18">
        <f>IF(Y306=0,X305,X305+U306*T306*'P-Parametri'!$B$6)</f>
        <v>1123.5929668937279</v>
      </c>
      <c r="Y306" s="10">
        <f>IF(AND(Y305=1,U306*(1-'P-Parametri'!$B$6*T306)&gt;=MAX(0,$B$5-IF($A306&gt;='1-Input'!$C$12,'1-Input'!$B$12,0))-0.01),1,0)</f>
        <v>1</v>
      </c>
    </row>
    <row r="307" spans="1:25">
      <c r="A307" s="10">
        <f>9</f>
        <v>9</v>
      </c>
      <c r="B307" s="11">
        <f>IF(A307=1,'P-Parametri'!$B$30,IF(A307=2,'P-Parametri'!$C$30,'P-Parametri'!$B$29))</f>
        <v>6.8512000000000003E-2</v>
      </c>
      <c r="C307" s="18">
        <f>F306*(1+('P-Parametri'!$B$31*$B307+'P-Parametri'!$C$31*'P-Parametri'!$C$29+'P-Parametri'!$D$31*'1-Input'!$B$27-0))</f>
        <v>284892.0315335542</v>
      </c>
      <c r="D307" s="11">
        <f t="shared" si="65"/>
        <v>0.14942505112609911</v>
      </c>
      <c r="E307" s="18">
        <f>IF(I306=0,0,MIN(MAX(C307,0),MAX(0,$B$4-IF($A307&gt;='1-Input'!$C$12,'1-Input'!$B$12,0))/(1-'P-Parametri'!$B$6*D307)))</f>
        <v>13525.471510718358</v>
      </c>
      <c r="F307" s="18">
        <f t="shared" si="66"/>
        <v>271366.56002283585</v>
      </c>
      <c r="G307" s="18">
        <f t="shared" si="67"/>
        <v>230817.59791750996</v>
      </c>
      <c r="H307" s="18">
        <f>IF(I307=0,H306,H306+E307*D307*'P-Parametri'!$B$6)</f>
        <v>1341.3181872332291</v>
      </c>
      <c r="I307" s="10">
        <f>IF(AND(I306=1,E307*(1-'P-Parametri'!$B$6*D307)&gt;=MAX(0,$B$4-IF($A307&gt;='1-Input'!$C$12,'1-Input'!$B$12,0))-0.01),1,0)</f>
        <v>1</v>
      </c>
      <c r="K307" s="18">
        <f>N306*(1+('P-Parametri'!$B$31*$B307+'P-Parametri'!$C$31*'P-Parametri'!$C$29+'P-Parametri'!$D$31*'1-Input'!$B$27-'1-Input'!$B$21))</f>
        <v>281820.68896821974</v>
      </c>
      <c r="L307" s="11">
        <f t="shared" si="68"/>
        <v>0.14098211187371751</v>
      </c>
      <c r="M307" s="18">
        <f>IF(Q306=0,0,MIN(MAX(K307,0),MAX(0,$B$4-IF($A307&gt;='1-Input'!$C$12,'1-Input'!$B$12,0))/(1-'P-Parametri'!$B$6*L307)))</f>
        <v>13494.651148663806</v>
      </c>
      <c r="N307" s="18">
        <f t="shared" si="69"/>
        <v>268326.0378195559</v>
      </c>
      <c r="O307" s="18">
        <f t="shared" si="70"/>
        <v>230496.86633704795</v>
      </c>
      <c r="P307" s="18">
        <f>IF(Q307=0,P306,P306+M307*L307*'P-Parametri'!$B$6)</f>
        <v>1228.6287130168453</v>
      </c>
      <c r="Q307" s="10">
        <f>IF(AND(Q306=1,M307*(1-'P-Parametri'!$B$6*L307)&gt;=MAX(0,$B$4-IF($A307&gt;='1-Input'!$C$12,'1-Input'!$B$12,0))-0.01),1,0)</f>
        <v>1</v>
      </c>
      <c r="S307" s="18">
        <f>V306*(1+('P-Parametri'!$B$31*$B307+'P-Parametri'!$C$31*'P-Parametri'!$C$29+'P-Parametri'!$D$31*'1-Input'!$B$27-0))</f>
        <v>220196.99538074259</v>
      </c>
      <c r="T307" s="11">
        <f t="shared" si="71"/>
        <v>0.14259539228595938</v>
      </c>
      <c r="U307" s="18">
        <f>IF(Y306=0,0,MIN(MAX(S307,0),MAX(0,$B$5-IF($A307&gt;='1-Input'!$C$12,'1-Input'!$B$12,0))/(1-'P-Parametri'!$B$6*T307)))</f>
        <v>20562.344864386665</v>
      </c>
      <c r="V307" s="18">
        <f t="shared" si="72"/>
        <v>199634.65051635593</v>
      </c>
      <c r="W307" s="18">
        <f t="shared" si="73"/>
        <v>171167.66921210574</v>
      </c>
      <c r="X307" s="18">
        <f>IF(Y307=0,X306,X306+U307*T307*'P-Parametri'!$B$6)</f>
        <v>1885.9378312803915</v>
      </c>
      <c r="Y307" s="10">
        <f>IF(AND(Y306=1,U307*(1-'P-Parametri'!$B$6*T307)&gt;=MAX(0,$B$5-IF($A307&gt;='1-Input'!$C$12,'1-Input'!$B$12,0))-0.01),1,0)</f>
        <v>1</v>
      </c>
    </row>
    <row r="308" spans="1:25">
      <c r="A308" s="10">
        <f>10</f>
        <v>10</v>
      </c>
      <c r="B308" s="11">
        <f>IF(A308=1,'P-Parametri'!$B$30,IF(A308=2,'P-Parametri'!$C$30,'P-Parametri'!$B$29))</f>
        <v>6.8512000000000003E-2</v>
      </c>
      <c r="C308" s="18">
        <f>F307*(1+('P-Parametri'!$B$31*$B308+'P-Parametri'!$C$31*'P-Parametri'!$C$29+'P-Parametri'!$D$31*'1-Input'!$B$27-0))</f>
        <v>282831.03735743259</v>
      </c>
      <c r="D308" s="11">
        <f t="shared" si="65"/>
        <v>0.18390286980487841</v>
      </c>
      <c r="E308" s="18">
        <f>IF(I307=0,0,MIN(MAX(C308,0),MAX(0,$B$4-IF($A308&gt;='1-Input'!$C$12,'1-Input'!$B$12,0))/(1-'P-Parametri'!$B$6*D308)))</f>
        <v>13652.80542565295</v>
      </c>
      <c r="F308" s="18">
        <f t="shared" si="66"/>
        <v>269178.23193177965</v>
      </c>
      <c r="G308" s="18">
        <f t="shared" si="67"/>
        <v>219675.58259052222</v>
      </c>
      <c r="H308" s="18">
        <f>IF(I308=0,H307,H307+E308*D308*'P-Parametri'!$B$6)</f>
        <v>1994.1236128861792</v>
      </c>
      <c r="I308" s="10">
        <f>IF(AND(I307=1,E308*(1-'P-Parametri'!$B$6*D308)&gt;=MAX(0,$B$4-IF($A308&gt;='1-Input'!$C$12,'1-Input'!$B$12,0))-0.01),1,0)</f>
        <v>1</v>
      </c>
      <c r="K308" s="18">
        <f>N307*(1+('P-Parametri'!$B$31*$B308+'P-Parametri'!$C$31*'P-Parametri'!$C$29+'P-Parametri'!$D$31*'1-Input'!$B$27-'1-Input'!$B$21))</f>
        <v>279393.73556670669</v>
      </c>
      <c r="L308" s="11">
        <f t="shared" si="68"/>
        <v>0.17501061407292851</v>
      </c>
      <c r="M308" s="18">
        <f>IF(Q307=0,0,MIN(MAX(K308,0),MAX(0,$B$4-IF($A308&gt;='1-Input'!$C$12,'1-Input'!$B$12,0))/(1-'P-Parametri'!$B$6*L308)))</f>
        <v>13619.735553509976</v>
      </c>
      <c r="N308" s="18">
        <f t="shared" si="69"/>
        <v>265774.00001319672</v>
      </c>
      <c r="O308" s="18">
        <f t="shared" si="70"/>
        <v>219260.72906626866</v>
      </c>
      <c r="P308" s="18">
        <f>IF(Q308=0,P307,P307+M308*L308*'P-Parametri'!$B$6)</f>
        <v>1848.3642665268214</v>
      </c>
      <c r="Q308" s="10">
        <f>IF(AND(Q307=1,M308*(1-'P-Parametri'!$B$6*L308)&gt;=MAX(0,$B$4-IF($A308&gt;='1-Input'!$C$12,'1-Input'!$B$12,0))-0.01),1,0)</f>
        <v>1</v>
      </c>
      <c r="S308" s="18">
        <f>V307*(1+('P-Parametri'!$B$31*$B308+'P-Parametri'!$C$31*'P-Parametri'!$C$29+'P-Parametri'!$D$31*'1-Input'!$B$27-0))</f>
        <v>208068.65552365052</v>
      </c>
      <c r="T308" s="11">
        <f t="shared" si="71"/>
        <v>0.17735004928385459</v>
      </c>
      <c r="U308" s="18">
        <f>IF(Y307=0,0,MIN(MAX(S308,0),MAX(0,$B$5-IF($A308&gt;='1-Input'!$C$12,'1-Input'!$B$12,0))/(1-'P-Parametri'!$B$6*T308)))</f>
        <v>20757.132397981095</v>
      </c>
      <c r="V308" s="18">
        <f t="shared" si="72"/>
        <v>187311.52312566942</v>
      </c>
      <c r="W308" s="18">
        <f t="shared" si="73"/>
        <v>154091.81526789808</v>
      </c>
      <c r="X308" s="18">
        <f>IF(Y308=0,X307,X307+U308*T308*'P-Parametri'!$B$6)</f>
        <v>2843.0702292614865</v>
      </c>
      <c r="Y308" s="10">
        <f>IF(AND(Y307=1,U308*(1-'P-Parametri'!$B$6*T308)&gt;=MAX(0,$B$5-IF($A308&gt;='1-Input'!$C$12,'1-Input'!$B$12,0))-0.01),1,0)</f>
        <v>1</v>
      </c>
    </row>
    <row r="309" spans="1:25">
      <c r="A309" s="10">
        <f>11</f>
        <v>11</v>
      </c>
      <c r="B309" s="11">
        <f>IF(A309=1,'P-Parametri'!$B$30,IF(A309=2,'P-Parametri'!$C$30,'P-Parametri'!$B$29))</f>
        <v>6.8512000000000003E-2</v>
      </c>
      <c r="C309" s="18">
        <f>F308*(1+('P-Parametri'!$B$31*$B309+'P-Parametri'!$C$31*'P-Parametri'!$C$29+'P-Parametri'!$D$31*'1-Input'!$B$27-0))</f>
        <v>280550.25853184797</v>
      </c>
      <c r="D309" s="11">
        <f t="shared" si="65"/>
        <v>0.21698313970512803</v>
      </c>
      <c r="E309" s="18">
        <f>IF(I308=0,0,MIN(MAX(C309,0),MAX(0,$B$4-IF($A309&gt;='1-Input'!$C$12,'1-Input'!$B$12,0))/(1-'P-Parametri'!$B$6*D309)))</f>
        <v>13777.252172556773</v>
      </c>
      <c r="F309" s="18">
        <f t="shared" si="66"/>
        <v>266773.0063592912</v>
      </c>
      <c r="G309" s="18">
        <f t="shared" si="67"/>
        <v>208887.76185087609</v>
      </c>
      <c r="H309" s="18">
        <f>IF(I309=0,H308,H308+E309*D309*'P-Parametri'!$B$6)</f>
        <v>2771.3757854429523</v>
      </c>
      <c r="I309" s="10">
        <f>IF(AND(I308=1,E309*(1-'P-Parametri'!$B$6*D309)&gt;=MAX(0,$B$4-IF($A309&gt;='1-Input'!$C$12,'1-Input'!$B$12,0))-0.01),1,0)</f>
        <v>1</v>
      </c>
      <c r="K309" s="18">
        <f>N308*(1+('P-Parametri'!$B$31*$B309+'P-Parametri'!$C$31*'P-Parametri'!$C$29+'P-Parametri'!$D$31*'1-Input'!$B$27-'1-Input'!$B$21))</f>
        <v>276736.43334654102</v>
      </c>
      <c r="L309" s="11">
        <f t="shared" si="68"/>
        <v>0.20769113623828078</v>
      </c>
      <c r="M309" s="18">
        <f>IF(Q308=0,0,MIN(MAX(K309,0),MAX(0,$B$4-IF($A309&gt;='1-Input'!$C$12,'1-Input'!$B$12,0))/(1-'P-Parametri'!$B$6*L309)))</f>
        <v>13742.067457154262</v>
      </c>
      <c r="N309" s="18">
        <f t="shared" si="69"/>
        <v>262994.36588938674</v>
      </c>
      <c r="O309" s="18">
        <f t="shared" si="70"/>
        <v>208372.76721355386</v>
      </c>
      <c r="P309" s="18">
        <f>IF(Q309=0,P308,P308+M309*L309*'P-Parametri'!$B$6)</f>
        <v>2590.4317236810839</v>
      </c>
      <c r="Q309" s="10">
        <f>IF(AND(Q308=1,M309*(1-'P-Parametri'!$B$6*L309)&gt;=MAX(0,$B$4-IF($A309&gt;='1-Input'!$C$12,'1-Input'!$B$12,0))-0.01),1,0)</f>
        <v>1</v>
      </c>
      <c r="S309" s="18">
        <f>V308*(1+('P-Parametri'!$B$31*$B309+'P-Parametri'!$C$31*'P-Parametri'!$C$29+'P-Parametri'!$D$31*'1-Input'!$B$27-0))</f>
        <v>195224.91050546421</v>
      </c>
      <c r="T309" s="11">
        <f t="shared" si="71"/>
        <v>0.21069593593905037</v>
      </c>
      <c r="U309" s="18">
        <f>IF(Y308=0,0,MIN(MAX(S309,0),MAX(0,$B$5-IF($A309&gt;='1-Input'!$C$12,'1-Input'!$B$12,0))/(1-'P-Parametri'!$B$6*T309)))</f>
        <v>20947.525190670331</v>
      </c>
      <c r="V309" s="18">
        <f t="shared" si="72"/>
        <v>174277.38531479388</v>
      </c>
      <c r="W309" s="18">
        <f t="shared" si="73"/>
        <v>137557.84850288287</v>
      </c>
      <c r="X309" s="18">
        <f>IF(Y309=0,X308,X308+U309*T309*'P-Parametri'!$B$6)</f>
        <v>3990.5954199318176</v>
      </c>
      <c r="Y309" s="10">
        <f>IF(AND(Y308=1,U309*(1-'P-Parametri'!$B$6*T309)&gt;=MAX(0,$B$5-IF($A309&gt;='1-Input'!$C$12,'1-Input'!$B$12,0))-0.01),1,0)</f>
        <v>1</v>
      </c>
    </row>
    <row r="310" spans="1:25">
      <c r="A310" s="10">
        <f>12</f>
        <v>12</v>
      </c>
      <c r="B310" s="11">
        <f>IF(A310=1,'P-Parametri'!$B$30,IF(A310=2,'P-Parametri'!$C$30,'P-Parametri'!$B$29))</f>
        <v>6.8512000000000003E-2</v>
      </c>
      <c r="C310" s="18">
        <f>F309*(1+('P-Parametri'!$B$31*$B310+'P-Parametri'!$C$31*'P-Parametri'!$C$29+'P-Parametri'!$D$31*'1-Input'!$B$27-0))</f>
        <v>278043.41891355347</v>
      </c>
      <c r="D310" s="11">
        <f t="shared" si="65"/>
        <v>0.24872251007738677</v>
      </c>
      <c r="E310" s="18">
        <f>IF(I309=0,0,MIN(MAX(C310,0),MAX(0,$B$4-IF($A310&gt;='1-Input'!$C$12,'1-Input'!$B$12,0))/(1-'P-Parametri'!$B$6*D310)))</f>
        <v>13898.805933717285</v>
      </c>
      <c r="F310" s="18">
        <f t="shared" si="66"/>
        <v>264144.61297983618</v>
      </c>
      <c r="G310" s="18">
        <f t="shared" si="67"/>
        <v>198445.90181607145</v>
      </c>
      <c r="H310" s="18">
        <f>IF(I310=0,H309,H309+E310*D310*'P-Parametri'!$B$6)</f>
        <v>3670.181719160239</v>
      </c>
      <c r="I310" s="10">
        <f>IF(AND(I309=1,E310*(1-'P-Parametri'!$B$6*D310)&gt;=MAX(0,$B$4-IF($A310&gt;='1-Input'!$C$12,'1-Input'!$B$12,0))-0.01),1,0)</f>
        <v>1</v>
      </c>
      <c r="K310" s="18">
        <f>N309*(1+('P-Parametri'!$B$31*$B310+'P-Parametri'!$C$31*'P-Parametri'!$C$29+'P-Parametri'!$D$31*'1-Input'!$B$27-'1-Input'!$B$21))</f>
        <v>273842.14709809941</v>
      </c>
      <c r="L310" s="11">
        <f t="shared" si="68"/>
        <v>0.23907707625843375</v>
      </c>
      <c r="M310" s="18">
        <f>IF(Q309=0,0,MIN(MAX(K310,0),MAX(0,$B$4-IF($A310&gt;='1-Input'!$C$12,'1-Input'!$B$12,0))/(1-'P-Parametri'!$B$6*L310)))</f>
        <v>13861.640100731694</v>
      </c>
      <c r="N310" s="18">
        <f t="shared" si="69"/>
        <v>259980.50699736772</v>
      </c>
      <c r="O310" s="18">
        <f t="shared" si="70"/>
        <v>197825.12750025175</v>
      </c>
      <c r="P310" s="18">
        <f>IF(Q310=0,P309,P309+M310*L310*'P-Parametri'!$B$6)</f>
        <v>3452.0718244127784</v>
      </c>
      <c r="Q310" s="10">
        <f>IF(AND(Q309=1,M310*(1-'P-Parametri'!$B$6*L310)&gt;=MAX(0,$B$4-IF($A310&gt;='1-Input'!$C$12,'1-Input'!$B$12,0))-0.01),1,0)</f>
        <v>1</v>
      </c>
      <c r="S310" s="18">
        <f>V309*(1+('P-Parametri'!$B$31*$B310+'P-Parametri'!$C$31*'P-Parametri'!$C$29+'P-Parametri'!$D$31*'1-Input'!$B$27-0))</f>
        <v>181640.11686766506</v>
      </c>
      <c r="T310" s="11">
        <f t="shared" si="71"/>
        <v>0.24269015636506427</v>
      </c>
      <c r="U310" s="18">
        <f>IF(Y309=0,0,MIN(MAX(S310,0),MAX(0,$B$5-IF($A310&gt;='1-Input'!$C$12,'1-Input'!$B$12,0))/(1-'P-Parametri'!$B$6*T310)))</f>
        <v>21133.512839228839</v>
      </c>
      <c r="V310" s="18">
        <f t="shared" si="72"/>
        <v>160506.60402843621</v>
      </c>
      <c r="W310" s="18">
        <f t="shared" si="73"/>
        <v>121553.23119914958</v>
      </c>
      <c r="X310" s="18">
        <f>IF(Y310=0,X309,X309+U310*T310*'P-Parametri'!$B$6)</f>
        <v>5324.1082591606582</v>
      </c>
      <c r="Y310" s="10">
        <f>IF(AND(Y309=1,U310*(1-'P-Parametri'!$B$6*T310)&gt;=MAX(0,$B$5-IF($A310&gt;='1-Input'!$C$12,'1-Input'!$B$12,0))-0.01),1,0)</f>
        <v>1</v>
      </c>
    </row>
    <row r="311" spans="1:25">
      <c r="A311" s="10">
        <f>13</f>
        <v>13</v>
      </c>
      <c r="B311" s="11">
        <f>IF(A311=1,'P-Parametri'!$B$30,IF(A311=2,'P-Parametri'!$C$30,'P-Parametri'!$B$29))</f>
        <v>6.8512000000000003E-2</v>
      </c>
      <c r="C311" s="18">
        <f>F310*(1+('P-Parametri'!$B$31*$B311+'P-Parametri'!$C$31*'P-Parametri'!$C$29+'P-Parametri'!$D$31*'1-Input'!$B$27-0))</f>
        <v>275303.98327331792</v>
      </c>
      <c r="D311" s="11">
        <f t="shared" si="65"/>
        <v>0.27917533391059896</v>
      </c>
      <c r="E311" s="18">
        <f>IF(I310=0,0,MIN(MAX(C311,0),MAX(0,$B$4-IF($A311&gt;='1-Input'!$C$12,'1-Input'!$B$12,0))/(1-'P-Parametri'!$B$6*D311)))</f>
        <v>14017.465994925593</v>
      </c>
      <c r="F311" s="18">
        <f t="shared" si="66"/>
        <v>261286.51727839233</v>
      </c>
      <c r="G311" s="18">
        <f t="shared" si="67"/>
        <v>188341.76657085968</v>
      </c>
      <c r="H311" s="18">
        <f>IF(I311=0,H310,H310+E311*D311*'P-Parametri'!$B$6)</f>
        <v>4687.6477140858315</v>
      </c>
      <c r="I311" s="10">
        <f>IF(AND(I310=1,E311*(1-'P-Parametri'!$B$6*D311)&gt;=MAX(0,$B$4-IF($A311&gt;='1-Input'!$C$12,'1-Input'!$B$12,0))-0.01),1,0)</f>
        <v>1</v>
      </c>
      <c r="K311" s="18">
        <f>N310*(1+('P-Parametri'!$B$31*$B311+'P-Parametri'!$C$31*'P-Parametri'!$C$29+'P-Parametri'!$D$31*'1-Input'!$B$27-'1-Input'!$B$21))</f>
        <v>270703.97496558953</v>
      </c>
      <c r="L311" s="11">
        <f t="shared" si="68"/>
        <v>0.26921971675739803</v>
      </c>
      <c r="M311" s="18">
        <f>IF(Q310=0,0,MIN(MAX(K311,0),MAX(0,$B$4-IF($A311&gt;='1-Input'!$C$12,'1-Input'!$B$12,0))/(1-'P-Parametri'!$B$6*L311)))</f>
        <v>13978.451431096586</v>
      </c>
      <c r="N311" s="18">
        <f t="shared" si="69"/>
        <v>256725.52353449294</v>
      </c>
      <c r="O311" s="18">
        <f t="shared" si="70"/>
        <v>187609.95080414202</v>
      </c>
      <c r="P311" s="18">
        <f>IF(Q311=0,P310,P310+M311*L311*'P-Parametri'!$B$6)</f>
        <v>4430.5232555093644</v>
      </c>
      <c r="Q311" s="10">
        <f>IF(AND(Q310=1,M311*(1-'P-Parametri'!$B$6*L311)&gt;=MAX(0,$B$4-IF($A311&gt;='1-Input'!$C$12,'1-Input'!$B$12,0))-0.01),1,0)</f>
        <v>1</v>
      </c>
      <c r="S311" s="18">
        <f>V310*(1+('P-Parametri'!$B$31*$B311+'P-Parametri'!$C$31*'P-Parametri'!$C$29+'P-Parametri'!$D$31*'1-Input'!$B$27-0))</f>
        <v>167287.55863014638</v>
      </c>
      <c r="T311" s="11">
        <f t="shared" si="71"/>
        <v>0.27338749997607503</v>
      </c>
      <c r="U311" s="18">
        <f>IF(Y310=0,0,MIN(MAX(S311,0),MAX(0,$B$5-IF($A311&gt;='1-Input'!$C$12,'1-Input'!$B$12,0))/(1-'P-Parametri'!$B$6*T311)))</f>
        <v>21315.092781065105</v>
      </c>
      <c r="V311" s="18">
        <f t="shared" si="72"/>
        <v>145972.46584908129</v>
      </c>
      <c r="W311" s="18">
        <f t="shared" si="73"/>
        <v>106065.41834525795</v>
      </c>
      <c r="X311" s="18">
        <f>IF(Y311=0,X310,X310+U311*T311*'P-Parametri'!$B$6)</f>
        <v>6839.2010402257611</v>
      </c>
      <c r="Y311" s="10">
        <f>IF(AND(Y310=1,U311*(1-'P-Parametri'!$B$6*T311)&gt;=MAX(0,$B$5-IF($A311&gt;='1-Input'!$C$12,'1-Input'!$B$12,0))-0.01),1,0)</f>
        <v>1</v>
      </c>
    </row>
    <row r="312" spans="1:25">
      <c r="A312" s="10">
        <f>14</f>
        <v>14</v>
      </c>
      <c r="B312" s="11">
        <f>IF(A312=1,'P-Parametri'!$B$30,IF(A312=2,'P-Parametri'!$C$30,'P-Parametri'!$B$29))</f>
        <v>6.8512000000000003E-2</v>
      </c>
      <c r="C312" s="18">
        <f>F311*(1+('P-Parametri'!$B$31*$B312+'P-Parametri'!$C$31*'P-Parametri'!$C$29+'P-Parametri'!$D$31*'1-Input'!$B$27-0))</f>
        <v>272325.14103115606</v>
      </c>
      <c r="D312" s="11">
        <f t="shared" si="65"/>
        <v>0.3083937610104388</v>
      </c>
      <c r="E312" s="18">
        <f>IF(I311=0,0,MIN(MAX(C312,0),MAX(0,$B$4-IF($A312&gt;='1-Input'!$C$12,'1-Input'!$B$12,0))/(1-'P-Parametri'!$B$6*D312)))</f>
        <v>14133.236510291283</v>
      </c>
      <c r="F312" s="18">
        <f t="shared" si="66"/>
        <v>258191.90452086477</v>
      </c>
      <c r="G312" s="18">
        <f t="shared" si="67"/>
        <v>178567.13202322717</v>
      </c>
      <c r="H312" s="18">
        <f>IF(I312=0,H311,H311+E312*D312*'P-Parametri'!$B$6)</f>
        <v>5820.8842243771142</v>
      </c>
      <c r="I312" s="10">
        <f>IF(AND(I311=1,E312*(1-'P-Parametri'!$B$6*D312)&gt;=MAX(0,$B$4-IF($A312&gt;='1-Input'!$C$12,'1-Input'!$B$12,0))-0.01),1,0)</f>
        <v>1</v>
      </c>
      <c r="K312" s="18">
        <f>N311*(1+('P-Parametri'!$B$31*$B312+'P-Parametri'!$C$31*'P-Parametri'!$C$29+'P-Parametri'!$D$31*'1-Input'!$B$27-'1-Input'!$B$21))</f>
        <v>267314.73254882486</v>
      </c>
      <c r="L312" s="11">
        <f t="shared" si="68"/>
        <v>0.29816830888707124</v>
      </c>
      <c r="M312" s="18">
        <f>IF(Q311=0,0,MIN(MAX(K312,0),MAX(0,$B$4-IF($A312&gt;='1-Input'!$C$12,'1-Input'!$B$12,0))/(1-'P-Parametri'!$B$6*L312)))</f>
        <v>14092.503894059835</v>
      </c>
      <c r="N312" s="18">
        <f t="shared" si="69"/>
        <v>253222.22865476503</v>
      </c>
      <c r="O312" s="18">
        <f t="shared" si="70"/>
        <v>177719.38496415847</v>
      </c>
      <c r="P312" s="18">
        <f>IF(Q312=0,P311,P311+M312*L312*'P-Parametri'!$B$6)</f>
        <v>5523.0271495691995</v>
      </c>
      <c r="Q312" s="10">
        <f>IF(AND(Q311=1,M312*(1-'P-Parametri'!$B$6*L312)&gt;=MAX(0,$B$4-IF($A312&gt;='1-Input'!$C$12,'1-Input'!$B$12,0))-0.01),1,0)</f>
        <v>1</v>
      </c>
      <c r="S312" s="18">
        <f>V311*(1+('P-Parametri'!$B$31*$B312+'P-Parametri'!$C$31*'P-Parametri'!$C$29+'P-Parametri'!$D$31*'1-Input'!$B$27-0))</f>
        <v>152139.39380830061</v>
      </c>
      <c r="T312" s="11">
        <f t="shared" si="71"/>
        <v>0.30284053531261607</v>
      </c>
      <c r="U312" s="18">
        <f>IF(Y311=0,0,MIN(MAX(S312,0),MAX(0,$B$5-IF($A312&gt;='1-Input'!$C$12,'1-Input'!$B$12,0))/(1-'P-Parametri'!$B$6*T312)))</f>
        <v>21492.269938659814</v>
      </c>
      <c r="V312" s="18">
        <f t="shared" si="72"/>
        <v>130647.1238696408</v>
      </c>
      <c r="W312" s="18">
        <f t="shared" si="73"/>
        <v>91081.878939905117</v>
      </c>
      <c r="X312" s="18">
        <f>IF(Y312=0,X311,X311+U312*T312*'P-Parametri'!$B$6)</f>
        <v>8531.4709788855762</v>
      </c>
      <c r="Y312" s="10">
        <f>IF(AND(Y311=1,U312*(1-'P-Parametri'!$B$6*T312)&gt;=MAX(0,$B$5-IF($A312&gt;='1-Input'!$C$12,'1-Input'!$B$12,0))-0.01),1,0)</f>
        <v>1</v>
      </c>
    </row>
    <row r="313" spans="1:25">
      <c r="A313" s="10">
        <f>15</f>
        <v>15</v>
      </c>
      <c r="B313" s="11">
        <f>IF(A313=1,'P-Parametri'!$B$30,IF(A313=2,'P-Parametri'!$C$30,'P-Parametri'!$B$29))</f>
        <v>6.8512000000000003E-2</v>
      </c>
      <c r="C313" s="18">
        <f>F312*(1+('P-Parametri'!$B$31*$B313+'P-Parametri'!$C$31*'P-Parametri'!$C$29+'P-Parametri'!$D$31*'1-Input'!$B$27-0))</f>
        <v>269099.78954953863</v>
      </c>
      <c r="D313" s="11">
        <f t="shared" si="65"/>
        <v>0.33642782730473036</v>
      </c>
      <c r="E313" s="18">
        <f>IF(I312=0,0,MIN(MAX(C313,0),MAX(0,$B$4-IF($A313&gt;='1-Input'!$C$12,'1-Input'!$B$12,0))/(1-'P-Parametri'!$B$6*D313)))</f>
        <v>14246.126259278679</v>
      </c>
      <c r="F313" s="18">
        <f t="shared" si="66"/>
        <v>254853.66329025995</v>
      </c>
      <c r="G313" s="18">
        <f t="shared" si="67"/>
        <v>169113.79906886647</v>
      </c>
      <c r="H313" s="18">
        <f>IF(I313=0,H312,H312+E313*D313*'P-Parametri'!$B$6)</f>
        <v>7067.0104836557921</v>
      </c>
      <c r="I313" s="10">
        <f>IF(AND(I312=1,E313*(1-'P-Parametri'!$B$6*D313)&gt;=MAX(0,$B$4-IF($A313&gt;='1-Input'!$C$12,'1-Input'!$B$12,0))-0.01),1,0)</f>
        <v>1</v>
      </c>
      <c r="K313" s="18">
        <f>N312*(1+('P-Parametri'!$B$31*$B313+'P-Parametri'!$C$31*'P-Parametri'!$C$29+'P-Parametri'!$D$31*'1-Input'!$B$27-'1-Input'!$B$21))</f>
        <v>263666.93656453385</v>
      </c>
      <c r="L313" s="11">
        <f t="shared" si="68"/>
        <v>0.32597015280047931</v>
      </c>
      <c r="M313" s="18">
        <f>IF(Q312=0,0,MIN(MAX(K313,0),MAX(0,$B$4-IF($A313&gt;='1-Input'!$C$12,'1-Input'!$B$12,0))/(1-'P-Parametri'!$B$6*L313)))</f>
        <v>14203.804220333011</v>
      </c>
      <c r="N313" s="18">
        <f t="shared" si="69"/>
        <v>249463.13234420086</v>
      </c>
      <c r="O313" s="18">
        <f t="shared" si="70"/>
        <v>168145.59697587549</v>
      </c>
      <c r="P313" s="18">
        <f>IF(Q313=0,P312,P312+M313*L313*'P-Parametri'!$B$6)</f>
        <v>6726.831369902211</v>
      </c>
      <c r="Q313" s="10">
        <f>IF(AND(Q312=1,M313*(1-'P-Parametri'!$B$6*L313)&gt;=MAX(0,$B$4-IF($A313&gt;='1-Input'!$C$12,'1-Input'!$B$12,0))-0.01),1,0)</f>
        <v>1</v>
      </c>
      <c r="S313" s="18">
        <f>V312*(1+('P-Parametri'!$B$31*$B313+'P-Parametri'!$C$31*'P-Parametri'!$C$29+'P-Parametri'!$D$31*'1-Input'!$B$27-0))</f>
        <v>136166.5990411863</v>
      </c>
      <c r="T313" s="11">
        <f t="shared" si="71"/>
        <v>0.33109970006406941</v>
      </c>
      <c r="U313" s="18">
        <f>IF(Y312=0,0,MIN(MAX(S313,0),MAX(0,$B$5-IF($A313&gt;='1-Input'!$C$12,'1-Input'!$B$12,0))/(1-'P-Parametri'!$B$6*T313)))</f>
        <v>21665.056351567546</v>
      </c>
      <c r="V313" s="18">
        <f t="shared" si="72"/>
        <v>114501.54268961876</v>
      </c>
      <c r="W313" s="18">
        <f t="shared" si="73"/>
        <v>76590.116248212755</v>
      </c>
      <c r="X313" s="18">
        <f>IF(Y313=0,X312,X312+U313*T313*'P-Parametri'!$B$6)</f>
        <v>10396.527330453122</v>
      </c>
      <c r="Y313" s="10">
        <f>IF(AND(Y312=1,U313*(1-'P-Parametri'!$B$6*T313)&gt;=MAX(0,$B$5-IF($A313&gt;='1-Input'!$C$12,'1-Input'!$B$12,0))-0.01),1,0)</f>
        <v>1</v>
      </c>
    </row>
    <row r="314" spans="1:25">
      <c r="A314" s="10">
        <f>16</f>
        <v>16</v>
      </c>
      <c r="B314" s="11">
        <f>IF(A314=1,'P-Parametri'!$B$30,IF(A314=2,'P-Parametri'!$C$30,'P-Parametri'!$B$29))</f>
        <v>6.8512000000000003E-2</v>
      </c>
      <c r="C314" s="18">
        <f>F313*(1+('P-Parametri'!$B$31*$B314+'P-Parametri'!$C$31*'P-Parametri'!$C$29+'P-Parametri'!$D$31*'1-Input'!$B$27-0))</f>
        <v>265620.51697401621</v>
      </c>
      <c r="D314" s="11">
        <f t="shared" si="65"/>
        <v>0.36332554052889787</v>
      </c>
      <c r="E314" s="18">
        <f>IF(I313=0,0,MIN(MAX(C314,0),MAX(0,$B$4-IF($A314&gt;='1-Input'!$C$12,'1-Input'!$B$12,0))/(1-'P-Parametri'!$B$6*D314)))</f>
        <v>14356.148397911953</v>
      </c>
      <c r="F314" s="18">
        <f t="shared" si="66"/>
        <v>251264.36857610426</v>
      </c>
      <c r="G314" s="18">
        <f t="shared" si="67"/>
        <v>159973.60604753895</v>
      </c>
      <c r="H314" s="18">
        <f>IF(I314=0,H313,H313+E314*D314*'P-Parametri'!$B$6)</f>
        <v>8423.1588815677442</v>
      </c>
      <c r="I314" s="10">
        <f>IF(AND(I313=1,E314*(1-'P-Parametri'!$B$6*D314)&gt;=MAX(0,$B$4-IF($A314&gt;='1-Input'!$C$12,'1-Input'!$B$12,0))-0.01),1,0)</f>
        <v>1</v>
      </c>
      <c r="K314" s="18">
        <f>N313*(1+('P-Parametri'!$B$31*$B314+'P-Parametri'!$C$31*'P-Parametri'!$C$29+'P-Parametri'!$D$31*'1-Input'!$B$27-'1-Input'!$B$21))</f>
        <v>259752.78805662857</v>
      </c>
      <c r="L314" s="11">
        <f t="shared" si="68"/>
        <v>0.35267067493720933</v>
      </c>
      <c r="M314" s="18">
        <f>IF(Q313=0,0,MIN(MAX(K314,0),MAX(0,$B$4-IF($A314&gt;='1-Input'!$C$12,'1-Input'!$B$12,0))/(1-'P-Parametri'!$B$6*L314)))</f>
        <v>14312.363205856536</v>
      </c>
      <c r="N314" s="18">
        <f t="shared" si="69"/>
        <v>245440.42485077205</v>
      </c>
      <c r="O314" s="18">
        <f t="shared" si="70"/>
        <v>158880.78456177487</v>
      </c>
      <c r="P314" s="18">
        <f>IF(Q314=0,P313,P313+M314*L314*'P-Parametri'!$B$6)</f>
        <v>8039.1945757587464</v>
      </c>
      <c r="Q314" s="10">
        <f>IF(AND(Q313=1,M314*(1-'P-Parametri'!$B$6*L314)&gt;=MAX(0,$B$4-IF($A314&gt;='1-Input'!$C$12,'1-Input'!$B$12,0))-0.01),1,0)</f>
        <v>1</v>
      </c>
      <c r="S314" s="18">
        <f>V313*(1+('P-Parametri'!$B$31*$B314+'P-Parametri'!$C$31*'P-Parametri'!$C$29+'P-Parametri'!$D$31*'1-Input'!$B$27-0))</f>
        <v>119338.91226393562</v>
      </c>
      <c r="T314" s="11">
        <f t="shared" si="71"/>
        <v>0.35821338744212444</v>
      </c>
      <c r="U314" s="18">
        <f>IF(Y313=0,0,MIN(MAX(S314,0),MAX(0,$B$5-IF($A314&gt;='1-Input'!$C$12,'1-Input'!$B$12,0))/(1-'P-Parametri'!$B$6*T314)))</f>
        <v>21833.47079897509</v>
      </c>
      <c r="V314" s="18">
        <f t="shared" si="72"/>
        <v>97505.441464960531</v>
      </c>
      <c r="W314" s="18">
        <f t="shared" si="73"/>
        <v>62577.686983757245</v>
      </c>
      <c r="X314" s="18">
        <f>IF(Y314=0,X313,X313+U314*T314*'P-Parametri'!$B$6)</f>
        <v>12429.998129428212</v>
      </c>
      <c r="Y314" s="10">
        <f>IF(AND(Y313=1,U314*(1-'P-Parametri'!$B$6*T314)&gt;=MAX(0,$B$5-IF($A314&gt;='1-Input'!$C$12,'1-Input'!$B$12,0))-0.01),1,0)</f>
        <v>1</v>
      </c>
    </row>
    <row r="315" spans="1:25">
      <c r="A315" s="10">
        <f>17</f>
        <v>17</v>
      </c>
      <c r="B315" s="11">
        <f>IF(A315=1,'P-Parametri'!$B$30,IF(A315=2,'P-Parametri'!$C$30,'P-Parametri'!$B$29))</f>
        <v>6.8512000000000003E-2</v>
      </c>
      <c r="C315" s="18">
        <f>F314*(1+('P-Parametri'!$B$31*$B315+'P-Parametri'!$C$31*'P-Parametri'!$C$29+'P-Parametri'!$D$31*'1-Input'!$B$27-0))</f>
        <v>261879.58460821267</v>
      </c>
      <c r="D315" s="11">
        <f t="shared" si="65"/>
        <v>0.38913296243817969</v>
      </c>
      <c r="E315" s="18">
        <f>IF(I314=0,0,MIN(MAX(C315,0),MAX(0,$B$4-IF($A315&gt;='1-Input'!$C$12,'1-Input'!$B$12,0))/(1-'P-Parametri'!$B$6*D315)))</f>
        <v>14463.320205997461</v>
      </c>
      <c r="F315" s="18">
        <f t="shared" si="66"/>
        <v>247416.26440221519</v>
      </c>
      <c r="G315" s="18">
        <f t="shared" si="67"/>
        <v>151138.44047999327</v>
      </c>
      <c r="H315" s="18">
        <f>IF(I315=0,H314,H314+E315*D315*'P-Parametri'!$B$6)</f>
        <v>9886.4790875652052</v>
      </c>
      <c r="I315" s="10">
        <f>IF(AND(I314=1,E315*(1-'P-Parametri'!$B$6*D315)&gt;=MAX(0,$B$4-IF($A315&gt;='1-Input'!$C$12,'1-Input'!$B$12,0))-0.01),1,0)</f>
        <v>1</v>
      </c>
      <c r="K315" s="18">
        <f>N314*(1+('P-Parametri'!$B$31*$B315+'P-Parametri'!$C$31*'P-Parametri'!$C$29+'P-Parametri'!$D$31*'1-Input'!$B$27-'1-Input'!$B$21))</f>
        <v>255564.15514267678</v>
      </c>
      <c r="L315" s="11">
        <f t="shared" si="68"/>
        <v>0.37831350224731386</v>
      </c>
      <c r="M315" s="18">
        <f>IF(Q314=0,0,MIN(MAX(K315,0),MAX(0,$B$4-IF($A315&gt;='1-Input'!$C$12,'1-Input'!$B$12,0))/(1-'P-Parametri'!$B$6*L315)))</f>
        <v>14418.19548811029</v>
      </c>
      <c r="N315" s="18">
        <f t="shared" si="69"/>
        <v>241145.95965456648</v>
      </c>
      <c r="O315" s="18">
        <f t="shared" si="70"/>
        <v>149917.18710485799</v>
      </c>
      <c r="P315" s="18">
        <f>IF(Q315=0,P314,P314+M315*L315*'P-Parametri'!$B$6)</f>
        <v>9457.3900638690357</v>
      </c>
      <c r="Q315" s="10">
        <f>IF(AND(Q314=1,M315*(1-'P-Parametri'!$B$6*L315)&gt;=MAX(0,$B$4-IF($A315&gt;='1-Input'!$C$12,'1-Input'!$B$12,0))-0.01),1,0)</f>
        <v>1</v>
      </c>
      <c r="S315" s="18">
        <f>V314*(1+('P-Parametri'!$B$31*$B315+'P-Parametri'!$C$31*'P-Parametri'!$C$29+'P-Parametri'!$D$31*'1-Input'!$B$27-0))</f>
        <v>101624.77335161902</v>
      </c>
      <c r="T315" s="11">
        <f t="shared" si="71"/>
        <v>0.38422802905311182</v>
      </c>
      <c r="U315" s="18">
        <f>IF(Y314=0,0,MIN(MAX(S315,0),MAX(0,$B$5-IF($A315&gt;='1-Input'!$C$12,'1-Input'!$B$12,0))/(1-'P-Parametri'!$B$6*T315)))</f>
        <v>21997.538415662199</v>
      </c>
      <c r="V315" s="18">
        <f t="shared" si="72"/>
        <v>79627.234935956818</v>
      </c>
      <c r="W315" s="18">
        <f t="shared" si="73"/>
        <v>49032.219397565044</v>
      </c>
      <c r="X315" s="18">
        <f>IF(Y315=0,X314,X314+U315*T315*'P-Parametri'!$B$6)</f>
        <v>14627.53654509041</v>
      </c>
      <c r="Y315" s="10">
        <f>IF(AND(Y314=1,U315*(1-'P-Parametri'!$B$6*T315)&gt;=MAX(0,$B$5-IF($A315&gt;='1-Input'!$C$12,'1-Input'!$B$12,0))-0.01),1,0)</f>
        <v>1</v>
      </c>
    </row>
    <row r="316" spans="1:25">
      <c r="A316" s="10">
        <f>18</f>
        <v>18</v>
      </c>
      <c r="B316" s="11">
        <f>IF(A316=1,'P-Parametri'!$B$30,IF(A316=2,'P-Parametri'!$C$30,'P-Parametri'!$B$29))</f>
        <v>6.8512000000000003E-2</v>
      </c>
      <c r="C316" s="18">
        <f>F315*(1+('P-Parametri'!$B$31*$B316+'P-Parametri'!$C$31*'P-Parametri'!$C$29+'P-Parametri'!$D$31*'1-Input'!$B$27-0))</f>
        <v>257868.90880766846</v>
      </c>
      <c r="D316" s="11">
        <f t="shared" si="65"/>
        <v>0.41389428768739278</v>
      </c>
      <c r="E316" s="18">
        <f>IF(I315=0,0,MIN(MAX(C316,0),MAX(0,$B$4-IF($A316&gt;='1-Input'!$C$12,'1-Input'!$B$12,0))/(1-'P-Parametri'!$B$6*D316)))</f>
        <v>14567.662832102416</v>
      </c>
      <c r="F316" s="18">
        <f t="shared" si="66"/>
        <v>243301.24597556604</v>
      </c>
      <c r="G316" s="18">
        <f t="shared" si="67"/>
        <v>142600.25007905398</v>
      </c>
      <c r="H316" s="18">
        <f>IF(I316=0,H315,H315+E316*D316*'P-Parametri'!$B$6)</f>
        <v>11454.141919667622</v>
      </c>
      <c r="I316" s="10">
        <f>IF(AND(I315=1,E316*(1-'P-Parametri'!$B$6*D316)&gt;=MAX(0,$B$4-IF($A316&gt;='1-Input'!$C$12,'1-Input'!$B$12,0))-0.01),1,0)</f>
        <v>1</v>
      </c>
      <c r="K316" s="18">
        <f>N315*(1+('P-Parametri'!$B$31*$B316+'P-Parametri'!$C$31*'P-Parametri'!$C$29+'P-Parametri'!$D$31*'1-Input'!$B$27-'1-Input'!$B$21))</f>
        <v>251092.55528163031</v>
      </c>
      <c r="L316" s="11">
        <f t="shared" si="68"/>
        <v>0.40294053347496522</v>
      </c>
      <c r="M316" s="18">
        <f>IF(Q315=0,0,MIN(MAX(K316,0),MAX(0,$B$4-IF($A316&gt;='1-Input'!$C$12,'1-Input'!$B$12,0))/(1-'P-Parametri'!$B$6*L316)))</f>
        <v>14521.319319917218</v>
      </c>
      <c r="N316" s="18">
        <f t="shared" si="69"/>
        <v>236571.2359617131</v>
      </c>
      <c r="O316" s="18">
        <f t="shared" si="70"/>
        <v>141247.09593846853</v>
      </c>
      <c r="P316" s="18">
        <f>IF(Q316=0,P315,P315+M316*L316*'P-Parametri'!$B$6)</f>
        <v>10978.709383786254</v>
      </c>
      <c r="Q316" s="10">
        <f>IF(AND(Q315=1,M316*(1-'P-Parametri'!$B$6*L316)&gt;=MAX(0,$B$4-IF($A316&gt;='1-Input'!$C$12,'1-Input'!$B$12,0))-0.01),1,0)</f>
        <v>1</v>
      </c>
      <c r="S316" s="18">
        <f>V315*(1+('P-Parametri'!$B$31*$B316+'P-Parametri'!$C$31*'P-Parametri'!$C$29+'P-Parametri'!$D$31*'1-Input'!$B$27-0))</f>
        <v>82991.262655743179</v>
      </c>
      <c r="T316" s="11">
        <f t="shared" si="71"/>
        <v>0.40918817441112992</v>
      </c>
      <c r="U316" s="18">
        <f>IF(Y315=0,0,MIN(MAX(S316,0),MAX(0,$B$5-IF($A316&gt;='1-Input'!$C$12,'1-Input'!$B$12,0))/(1-'P-Parametri'!$B$6*T316)))</f>
        <v>22157.290304046677</v>
      </c>
      <c r="V316" s="18">
        <f t="shared" si="72"/>
        <v>60833.972351696502</v>
      </c>
      <c r="W316" s="18">
        <f t="shared" si="73"/>
        <v>35941.430262928654</v>
      </c>
      <c r="X316" s="18">
        <f>IF(Y316=0,X315,X315+U316*T316*'P-Parametri'!$B$6)</f>
        <v>16984.826849137084</v>
      </c>
      <c r="Y316" s="10">
        <f>IF(AND(Y315=1,U316*(1-'P-Parametri'!$B$6*T316)&gt;=MAX(0,$B$5-IF($A316&gt;='1-Input'!$C$12,'1-Input'!$B$12,0))-0.01),1,0)</f>
        <v>1</v>
      </c>
    </row>
    <row r="317" spans="1:25">
      <c r="A317" s="10">
        <f>19</f>
        <v>19</v>
      </c>
      <c r="B317" s="11">
        <f>IF(A317=1,'P-Parametri'!$B$30,IF(A317=2,'P-Parametri'!$C$30,'P-Parametri'!$B$29))</f>
        <v>6.8512000000000003E-2</v>
      </c>
      <c r="C317" s="18">
        <f>F316*(1+('P-Parametri'!$B$31*$B317+'P-Parametri'!$C$31*'P-Parametri'!$C$29+'P-Parametri'!$D$31*'1-Input'!$B$27-0))</f>
        <v>253580.04237454498</v>
      </c>
      <c r="D317" s="11">
        <f t="shared" si="65"/>
        <v>0.43765191951332932</v>
      </c>
      <c r="E317" s="18">
        <f>IF(I316=0,0,MIN(MAX(C317,0),MAX(0,$B$4-IF($A317&gt;='1-Input'!$C$12,'1-Input'!$B$12,0))/(1-'P-Parametri'!$B$6*D317)))</f>
        <v>14669.201037911964</v>
      </c>
      <c r="F317" s="18">
        <f t="shared" si="66"/>
        <v>238910.84133663302</v>
      </c>
      <c r="G317" s="18">
        <f t="shared" si="67"/>
        <v>134351.05303311109</v>
      </c>
      <c r="H317" s="18">
        <f>IF(I317=0,H316,H316+E317*D317*'P-Parametri'!$B$6)</f>
        <v>13123.342957579585</v>
      </c>
      <c r="I317" s="10">
        <f>IF(AND(I316=1,E317*(1-'P-Parametri'!$B$6*D317)&gt;=MAX(0,$B$4-IF($A317&gt;='1-Input'!$C$12,'1-Input'!$B$12,0))-0.01),1,0)</f>
        <v>1</v>
      </c>
      <c r="K317" s="18">
        <f>N316*(1+('P-Parametri'!$B$31*$B317+'P-Parametri'!$C$31*'P-Parametri'!$C$29+'P-Parametri'!$D$31*'1-Input'!$B$27-'1-Input'!$B$21))</f>
        <v>246329.13704567307</v>
      </c>
      <c r="L317" s="11">
        <f t="shared" si="68"/>
        <v>0.42659200761833049</v>
      </c>
      <c r="M317" s="18">
        <f>IF(Q316=0,0,MIN(MAX(K317,0),MAX(0,$B$4-IF($A317&gt;='1-Input'!$C$12,'1-Input'!$B$12,0))/(1-'P-Parametri'!$B$6*L317)))</f>
        <v>14621.756342155617</v>
      </c>
      <c r="N317" s="18">
        <f t="shared" si="69"/>
        <v>231707.38070351744</v>
      </c>
      <c r="O317" s="18">
        <f t="shared" si="70"/>
        <v>132862.86398921913</v>
      </c>
      <c r="P317" s="18">
        <f>IF(Q317=0,P316,P316+M317*L317*'P-Parametri'!$B$6)</f>
        <v>12600.465725941871</v>
      </c>
      <c r="Q317" s="10">
        <f>IF(AND(Q316=1,M317*(1-'P-Parametri'!$B$6*L317)&gt;=MAX(0,$B$4-IF($A317&gt;='1-Input'!$C$12,'1-Input'!$B$12,0))-0.01),1,0)</f>
        <v>1</v>
      </c>
      <c r="S317" s="18">
        <f>V316*(1+('P-Parametri'!$B$31*$B317+'P-Parametri'!$C$31*'P-Parametri'!$C$29+'P-Parametri'!$D$31*'1-Input'!$B$27-0))</f>
        <v>63404.037348433099</v>
      </c>
      <c r="T317" s="11">
        <f t="shared" si="71"/>
        <v>0.43313656722812982</v>
      </c>
      <c r="U317" s="18">
        <f>IF(Y316=0,0,MIN(MAX(S317,0),MAX(0,$B$5-IF($A317&gt;='1-Input'!$C$12,'1-Input'!$B$12,0))/(1-'P-Parametri'!$B$6*T317)))</f>
        <v>22312.763144819586</v>
      </c>
      <c r="V317" s="18">
        <f t="shared" si="72"/>
        <v>41091.274203613517</v>
      </c>
      <c r="W317" s="18">
        <f t="shared" si="73"/>
        <v>23293.140752030551</v>
      </c>
      <c r="X317" s="18">
        <f>IF(Y317=0,X316,X316+U317*T317*'P-Parametri'!$B$6)</f>
        <v>19497.58999395667</v>
      </c>
      <c r="Y317" s="10">
        <f>IF(AND(Y316=1,U317*(1-'P-Parametri'!$B$6*T317)&gt;=MAX(0,$B$5-IF($A317&gt;='1-Input'!$C$12,'1-Input'!$B$12,0))-0.01),1,0)</f>
        <v>1</v>
      </c>
    </row>
    <row r="318" spans="1:25">
      <c r="A318" s="10">
        <f>20</f>
        <v>20</v>
      </c>
      <c r="B318" s="11">
        <f>IF(A318=1,'P-Parametri'!$B$30,IF(A318=2,'P-Parametri'!$C$30,'P-Parametri'!$B$29))</f>
        <v>6.8512000000000003E-2</v>
      </c>
      <c r="C318" s="18">
        <f>F317*(1+('P-Parametri'!$B$31*$B318+'P-Parametri'!$C$31*'P-Parametri'!$C$29+'P-Parametri'!$D$31*'1-Input'!$B$27-0))</f>
        <v>249004.15543275003</v>
      </c>
      <c r="D318" s="11">
        <f t="shared" si="65"/>
        <v>0.46044654234938642</v>
      </c>
      <c r="E318" s="18">
        <f>IF(I317=0,0,MIN(MAX(C318,0),MAX(0,$B$4-IF($A318&gt;='1-Input'!$C$12,'1-Input'!$B$12,0))/(1-'P-Parametri'!$B$6*D318)))</f>
        <v>14767.962943464097</v>
      </c>
      <c r="F318" s="18">
        <f t="shared" si="66"/>
        <v>234236.19248928592</v>
      </c>
      <c r="G318" s="18">
        <f t="shared" si="67"/>
        <v>126382.94756450891</v>
      </c>
      <c r="H318" s="18">
        <f>IF(I318=0,H317,H317+E318*D318*'P-Parametri'!$B$6)</f>
        <v>14891.305901043683</v>
      </c>
      <c r="I318" s="10">
        <f>IF(AND(I317=1,E318*(1-'P-Parametri'!$B$6*D318)&gt;=MAX(0,$B$4-IF($A318&gt;='1-Input'!$C$12,'1-Input'!$B$12,0))-0.01),1,0)</f>
        <v>1</v>
      </c>
      <c r="K318" s="18">
        <f>N317*(1+('P-Parametri'!$B$31*$B318+'P-Parametri'!$C$31*'P-Parametri'!$C$29+'P-Parametri'!$D$31*'1-Input'!$B$27-'1-Input'!$B$21))</f>
        <v>241264.66137687155</v>
      </c>
      <c r="L318" s="11">
        <f t="shared" si="68"/>
        <v>0.44930656967752752</v>
      </c>
      <c r="M318" s="18">
        <f>IF(Q317=0,0,MIN(MAX(K318,0),MAX(0,$B$4-IF($A318&gt;='1-Input'!$C$12,'1-Input'!$B$12,0))/(1-'P-Parametri'!$B$6*L318)))</f>
        <v>14719.53135669583</v>
      </c>
      <c r="N318" s="18">
        <f t="shared" si="69"/>
        <v>226545.13002017571</v>
      </c>
      <c r="O318" s="18">
        <f t="shared" si="70"/>
        <v>124756.9147736611</v>
      </c>
      <c r="P318" s="18">
        <f>IF(Q318=0,P317,P317+M318*L318*'P-Parametri'!$B$6)</f>
        <v>14319.997082637701</v>
      </c>
      <c r="Q318" s="10">
        <f>IF(AND(Q317=1,M318*(1-'P-Parametri'!$B$6*L318)&gt;=MAX(0,$B$4-IF($A318&gt;='1-Input'!$C$12,'1-Input'!$B$12,0))-0.01),1,0)</f>
        <v>1</v>
      </c>
      <c r="S318" s="18">
        <f>V317*(1+('P-Parametri'!$B$31*$B318+'P-Parametri'!$C$31*'P-Parametri'!$C$29+'P-Parametri'!$D$31*'1-Input'!$B$27-0))</f>
        <v>42827.265483148418</v>
      </c>
      <c r="T318" s="11">
        <f t="shared" si="71"/>
        <v>0.45611421861160184</v>
      </c>
      <c r="U318" s="18">
        <f>IF(Y317=0,0,MIN(MAX(S318,0),MAX(0,$B$5-IF($A318&gt;='1-Input'!$C$12,'1-Input'!$B$12,0))/(1-'P-Parametri'!$B$6*T318)))</f>
        <v>22463.998808490971</v>
      </c>
      <c r="V318" s="18">
        <f t="shared" si="72"/>
        <v>20363.266674657447</v>
      </c>
      <c r="W318" s="18">
        <f t="shared" si="73"/>
        <v>11075.291206966394</v>
      </c>
      <c r="X318" s="18">
        <f>IF(Y318=0,X317,X317+U318*T318*'P-Parametri'!$B$6)</f>
        <v>22161.588802447641</v>
      </c>
      <c r="Y318" s="10">
        <f>IF(AND(Y317=1,U318*(1-'P-Parametri'!$B$6*T318)&gt;=MAX(0,$B$5-IF($A318&gt;='1-Input'!$C$12,'1-Input'!$B$12,0))-0.01),1,0)</f>
        <v>1</v>
      </c>
    </row>
    <row r="319" spans="1:25">
      <c r="A319" s="10">
        <f>21</f>
        <v>21</v>
      </c>
      <c r="B319" s="11">
        <f>IF(A319=1,'P-Parametri'!$B$30,IF(A319=2,'P-Parametri'!$C$30,'P-Parametri'!$B$29))</f>
        <v>6.8512000000000003E-2</v>
      </c>
      <c r="C319" s="18">
        <f>F318*(1+('P-Parametri'!$B$31*$B319+'P-Parametri'!$C$31*'P-Parametri'!$C$29+'P-Parametri'!$D$31*'1-Input'!$B$27-0))</f>
        <v>244132.01576061928</v>
      </c>
      <c r="D319" s="11">
        <f t="shared" si="65"/>
        <v>0.48231719149678348</v>
      </c>
      <c r="E319" s="18">
        <f>IF(I318=0,0,MIN(MAX(C319,0),MAX(0,$B$4-IF($A319&gt;='1-Input'!$C$12,'1-Input'!$B$12,0))/(1-'P-Parametri'!$B$6*D319)))</f>
        <v>14863.979774635463</v>
      </c>
      <c r="F319" s="18">
        <f t="shared" si="66"/>
        <v>229268.03598598382</v>
      </c>
      <c r="G319" s="18">
        <f t="shared" si="67"/>
        <v>118688.12076924062</v>
      </c>
      <c r="H319" s="18">
        <f>IF(I319=0,H318,H318+E319*D319*'P-Parametri'!$B$6)</f>
        <v>16755.285675679148</v>
      </c>
      <c r="I319" s="10">
        <f>IF(AND(I318=1,E319*(1-'P-Parametri'!$B$6*D319)&gt;=MAX(0,$B$4-IF($A319&gt;='1-Input'!$C$12,'1-Input'!$B$12,0))-0.01),1,0)</f>
        <v>1</v>
      </c>
      <c r="K319" s="18">
        <f>N318*(1+('P-Parametri'!$B$31*$B319+'P-Parametri'!$C$31*'P-Parametri'!$C$29+'P-Parametri'!$D$31*'1-Input'!$B$27-'1-Input'!$B$21))</f>
        <v>235889.48230714389</v>
      </c>
      <c r="L319" s="11">
        <f t="shared" si="68"/>
        <v>0.47112133379809085</v>
      </c>
      <c r="M319" s="18">
        <f>IF(Q318=0,0,MIN(MAX(K319,0),MAX(0,$B$4-IF($A319&gt;='1-Input'!$C$12,'1-Input'!$B$12,0))/(1-'P-Parametri'!$B$6*L319)))</f>
        <v>14814.67210077341</v>
      </c>
      <c r="N319" s="18">
        <f t="shared" si="69"/>
        <v>221074.81020637049</v>
      </c>
      <c r="O319" s="18">
        <f t="shared" si="70"/>
        <v>116921.75075278543</v>
      </c>
      <c r="P319" s="18">
        <f>IF(Q319=0,P318,P318+M319*L319*'P-Parametri'!$B$6)</f>
        <v>16134.669183411112</v>
      </c>
      <c r="Q319" s="10">
        <f>IF(AND(Q318=1,M319*(1-'P-Parametri'!$B$6*L319)&gt;=MAX(0,$B$4-IF($A319&gt;='1-Input'!$C$12,'1-Input'!$B$12,0))-0.01),1,0)</f>
        <v>1</v>
      </c>
      <c r="S319" s="18">
        <f>V318*(1+('P-Parametri'!$B$31*$B319+'P-Parametri'!$C$31*'P-Parametri'!$C$29+'P-Parametri'!$D$31*'1-Input'!$B$27-0))</f>
        <v>21223.557674515036</v>
      </c>
      <c r="T319" s="11">
        <f t="shared" si="71"/>
        <v>0.47816047729521538</v>
      </c>
      <c r="U319" s="18">
        <f>IF(Y318=0,0,MIN(MAX(S319,0),MAX(0,$B$5-IF($A319&gt;='1-Input'!$C$12,'1-Input'!$B$12,0))/(1-'P-Parametri'!$B$6*T319)))</f>
        <v>21223.557674515036</v>
      </c>
      <c r="V319" s="18">
        <f t="shared" si="72"/>
        <v>20363.266674657447</v>
      </c>
      <c r="W319" s="18">
        <f t="shared" si="73"/>
        <v>11075.291206966394</v>
      </c>
      <c r="X319" s="18">
        <f>IF(Y319=0,X318,X318+U319*T319*'P-Parametri'!$B$6)</f>
        <v>22161.588802447641</v>
      </c>
      <c r="Y319" s="10">
        <f>IF(AND(Y318=1,U319*(1-'P-Parametri'!$B$6*T319)&gt;=MAX(0,$B$5-IF($A319&gt;='1-Input'!$C$12,'1-Input'!$B$12,0))-0.01),1,0)</f>
        <v>0</v>
      </c>
    </row>
    <row r="320" spans="1:25">
      <c r="A320" s="10">
        <f>22</f>
        <v>22</v>
      </c>
      <c r="B320" s="11">
        <f>IF(A320=1,'P-Parametri'!$B$30,IF(A320=2,'P-Parametri'!$C$30,'P-Parametri'!$B$29))</f>
        <v>6.8512000000000003E-2</v>
      </c>
      <c r="C320" s="18">
        <f>F319*(1+('P-Parametri'!$B$31*$B320+'P-Parametri'!$C$31*'P-Parametri'!$C$29+'P-Parametri'!$D$31*'1-Input'!$B$27-0))</f>
        <v>238953.9685558909</v>
      </c>
      <c r="D320" s="11">
        <f t="shared" si="65"/>
        <v>0.50330131997167615</v>
      </c>
      <c r="E320" s="18">
        <f>IF(I319=0,0,MIN(MAX(C320,0),MAX(0,$B$4-IF($A320&gt;='1-Input'!$C$12,'1-Input'!$B$12,0))/(1-'P-Parametri'!$B$6*D320)))</f>
        <v>14957.28561412321</v>
      </c>
      <c r="F320" s="18">
        <f t="shared" si="66"/>
        <v>223996.68294176768</v>
      </c>
      <c r="G320" s="18">
        <f t="shared" si="67"/>
        <v>111258.85674789899</v>
      </c>
      <c r="H320" s="18">
        <f>IF(I320=0,H319,H319+E320*D320*'P-Parametri'!$B$6)</f>
        <v>18712.571289802356</v>
      </c>
      <c r="I320" s="10">
        <f>IF(AND(I319=1,E320*(1-'P-Parametri'!$B$6*D320)&gt;=MAX(0,$B$4-IF($A320&gt;='1-Input'!$C$12,'1-Input'!$B$12,0))-0.01),1,0)</f>
        <v>1</v>
      </c>
      <c r="K320" s="18">
        <f>N319*(1+('P-Parametri'!$B$31*$B320+'P-Parametri'!$C$31*'P-Parametri'!$C$29+'P-Parametri'!$D$31*'1-Input'!$B$27-'1-Input'!$B$21))</f>
        <v>230193.52711791467</v>
      </c>
      <c r="L320" s="11">
        <f t="shared" si="68"/>
        <v>0.49207194391311765</v>
      </c>
      <c r="M320" s="18">
        <f>IF(Q319=0,0,MIN(MAX(K320,0),MAX(0,$B$4-IF($A320&gt;='1-Input'!$C$12,'1-Input'!$B$12,0))/(1-'P-Parametri'!$B$6*L320)))</f>
        <v>14907.209023905169</v>
      </c>
      <c r="N320" s="18">
        <f t="shared" si="69"/>
        <v>215286.3180940095</v>
      </c>
      <c r="O320" s="18">
        <f t="shared" si="70"/>
        <v>109349.96105159244</v>
      </c>
      <c r="P320" s="18">
        <f>IF(Q320=0,P319,P319+M320*L320*'P-Parametri'!$B$6)</f>
        <v>18041.87820731628</v>
      </c>
      <c r="Q320" s="10">
        <f>IF(AND(Q319=1,M320*(1-'P-Parametri'!$B$6*L320)&gt;=MAX(0,$B$4-IF($A320&gt;='1-Input'!$C$12,'1-Input'!$B$12,0))-0.01),1,0)</f>
        <v>1</v>
      </c>
      <c r="S320" s="18">
        <f>V319*(1+('P-Parametri'!$B$31*$B320+'P-Parametri'!$C$31*'P-Parametri'!$C$29+'P-Parametri'!$D$31*'1-Input'!$B$27-0))</f>
        <v>21223.557674515036</v>
      </c>
      <c r="T320" s="11">
        <f t="shared" si="71"/>
        <v>0.47816047729521538</v>
      </c>
      <c r="U320" s="18">
        <f>IF(Y319=0,0,MIN(MAX(S320,0),MAX(0,$B$5-IF($A320&gt;='1-Input'!$C$12,'1-Input'!$B$12,0))/(1-'P-Parametri'!$B$6*T320)))</f>
        <v>0</v>
      </c>
      <c r="V320" s="18">
        <f t="shared" si="72"/>
        <v>20363.266674657447</v>
      </c>
      <c r="W320" s="18">
        <f t="shared" si="73"/>
        <v>11075.291206966394</v>
      </c>
      <c r="X320" s="18">
        <f>IF(Y320=0,X319,X319+U320*T320*'P-Parametri'!$B$6)</f>
        <v>22161.588802447641</v>
      </c>
      <c r="Y320" s="10">
        <f>IF(AND(Y319=1,U320*(1-'P-Parametri'!$B$6*T320)&gt;=MAX(0,$B$5-IF($A320&gt;='1-Input'!$C$12,'1-Input'!$B$12,0))-0.01),1,0)</f>
        <v>0</v>
      </c>
    </row>
    <row r="321" spans="1:25">
      <c r="A321" s="10">
        <f>23</f>
        <v>23</v>
      </c>
      <c r="B321" s="11">
        <f>IF(A321=1,'P-Parametri'!$B$30,IF(A321=2,'P-Parametri'!$C$30,'P-Parametri'!$B$29))</f>
        <v>6.8512000000000003E-2</v>
      </c>
      <c r="C321" s="18">
        <f>F320*(1+('P-Parametri'!$B$31*$B321+'P-Parametri'!$C$31*'P-Parametri'!$C$29+'P-Parametri'!$D$31*'1-Input'!$B$27-0))</f>
        <v>233459.91560534513</v>
      </c>
      <c r="D321" s="11">
        <f t="shared" si="65"/>
        <v>0.52343486264263994</v>
      </c>
      <c r="E321" s="18">
        <f>IF(I320=0,0,MIN(MAX(C321,0),MAX(0,$B$4-IF($A321&gt;='1-Input'!$C$12,'1-Input'!$B$12,0))/(1-'P-Parametri'!$B$6*D321)))</f>
        <v>2196.9959049278054</v>
      </c>
      <c r="F321" s="18">
        <f t="shared" si="66"/>
        <v>231262.91970041732</v>
      </c>
      <c r="G321" s="18">
        <f t="shared" si="67"/>
        <v>110211.8450926935</v>
      </c>
      <c r="H321" s="18">
        <f>IF(I321=0,H320,H320+E321*D321*'P-Parametri'!$B$6)</f>
        <v>19011.56719473016</v>
      </c>
      <c r="I321" s="10">
        <f>IF(AND(I320=1,E321*(1-'P-Parametri'!$B$6*D321)&gt;=MAX(0,$B$4-IF($A321&gt;='1-Input'!$C$12,'1-Input'!$B$12,0))-0.01),1,0)</f>
        <v>1</v>
      </c>
      <c r="K321" s="18">
        <f>N320*(1+('P-Parametri'!$B$31*$B321+'P-Parametri'!$C$31*'P-Parametri'!$C$29+'P-Parametri'!$D$31*'1-Input'!$B$27-'1-Input'!$B$21))</f>
        <v>224166.27591369671</v>
      </c>
      <c r="L321" s="11">
        <f t="shared" si="68"/>
        <v>0.51219263198318099</v>
      </c>
      <c r="M321" s="18">
        <f>IF(Q320=0,0,MIN(MAX(K321,0),MAX(0,$B$4-IF($A321&gt;='1-Input'!$C$12,'1-Input'!$B$12,0))/(1-'P-Parametri'!$B$6*L321)))</f>
        <v>2189.5875599788287</v>
      </c>
      <c r="N321" s="18">
        <f t="shared" si="69"/>
        <v>221976.68835371788</v>
      </c>
      <c r="O321" s="18">
        <f t="shared" si="70"/>
        <v>108281.86410691681</v>
      </c>
      <c r="P321" s="18">
        <f>IF(Q321=0,P320,P320+M321*L321*'P-Parametri'!$B$6)</f>
        <v>18333.465767295111</v>
      </c>
      <c r="Q321" s="10">
        <f>IF(AND(Q320=1,M321*(1-'P-Parametri'!$B$6*L321)&gt;=MAX(0,$B$4-IF($A321&gt;='1-Input'!$C$12,'1-Input'!$B$12,0))-0.01),1,0)</f>
        <v>1</v>
      </c>
      <c r="S321" s="18">
        <f>V320*(1+('P-Parametri'!$B$31*$B321+'P-Parametri'!$C$31*'P-Parametri'!$C$29+'P-Parametri'!$D$31*'1-Input'!$B$27-0))</f>
        <v>21223.557674515036</v>
      </c>
      <c r="T321" s="11">
        <f t="shared" si="71"/>
        <v>0.47816047729521538</v>
      </c>
      <c r="U321" s="18">
        <f>IF(Y320=0,0,MIN(MAX(S321,0),MAX(0,$B$5-IF($A321&gt;='1-Input'!$C$12,'1-Input'!$B$12,0))/(1-'P-Parametri'!$B$6*T321)))</f>
        <v>0</v>
      </c>
      <c r="V321" s="18">
        <f t="shared" si="72"/>
        <v>20363.266674657447</v>
      </c>
      <c r="W321" s="18">
        <f t="shared" si="73"/>
        <v>11075.291206966394</v>
      </c>
      <c r="X321" s="18">
        <f>IF(Y321=0,X320,X320+U321*T321*'P-Parametri'!$B$6)</f>
        <v>22161.588802447641</v>
      </c>
      <c r="Y321" s="10">
        <f>IF(AND(Y320=1,U321*(1-'P-Parametri'!$B$6*T321)&gt;=MAX(0,$B$5-IF($A321&gt;='1-Input'!$C$12,'1-Input'!$B$12,0))-0.01),1,0)</f>
        <v>0</v>
      </c>
    </row>
    <row r="322" spans="1:25">
      <c r="A322" s="10">
        <f>24</f>
        <v>24</v>
      </c>
      <c r="B322" s="11">
        <f>IF(A322=1,'P-Parametri'!$B$30,IF(A322=2,'P-Parametri'!$C$30,'P-Parametri'!$B$29))</f>
        <v>6.8512000000000003E-2</v>
      </c>
      <c r="C322" s="18">
        <f>F321*(1+('P-Parametri'!$B$31*$B322+'P-Parametri'!$C$31*'P-Parametri'!$C$29+'P-Parametri'!$D$31*'1-Input'!$B$27-0))</f>
        <v>241033.1305215848</v>
      </c>
      <c r="D322" s="11">
        <f t="shared" si="65"/>
        <v>0.54275229776836054</v>
      </c>
      <c r="E322" s="18">
        <f>IF(I321=0,0,MIN(MAX(C322,0),MAX(0,$B$4-IF($A322&gt;='1-Input'!$C$12,'1-Input'!$B$12,0))/(1-'P-Parametri'!$B$6*D322)))</f>
        <v>2209.8433669281967</v>
      </c>
      <c r="F322" s="18">
        <f t="shared" si="66"/>
        <v>238823.2871546566</v>
      </c>
      <c r="G322" s="18">
        <f t="shared" si="67"/>
        <v>109201.39929087376</v>
      </c>
      <c r="H322" s="18">
        <f>IF(I322=0,H321,H321+E322*D322*'P-Parametri'!$B$6)</f>
        <v>19323.410561658358</v>
      </c>
      <c r="I322" s="10">
        <f>IF(AND(I321=1,E322*(1-'P-Parametri'!$B$6*D322)&gt;=MAX(0,$B$4-IF($A322&gt;='1-Input'!$C$12,'1-Input'!$B$12,0))-0.01),1,0)</f>
        <v>1</v>
      </c>
      <c r="K322" s="18">
        <f>N321*(1+('P-Parametri'!$B$31*$B322+'P-Parametri'!$C$31*'P-Parametri'!$C$29+'P-Parametri'!$D$31*'1-Input'!$B$27-'1-Input'!$B$21))</f>
        <v>231132.60521358132</v>
      </c>
      <c r="L322" s="11">
        <f t="shared" si="68"/>
        <v>0.53151627392916967</v>
      </c>
      <c r="M322" s="18">
        <f>IF(Q321=0,0,MIN(MAX(K322,0),MAX(0,$B$4-IF($A322&gt;='1-Input'!$C$12,'1-Input'!$B$12,0))/(1-'P-Parametri'!$B$6*L322)))</f>
        <v>2202.3523962833979</v>
      </c>
      <c r="N322" s="18">
        <f t="shared" si="69"/>
        <v>228930.25281729794</v>
      </c>
      <c r="O322" s="18">
        <f t="shared" si="70"/>
        <v>107250.09785018495</v>
      </c>
      <c r="P322" s="18">
        <f>IF(Q322=0,P321,P321+M322*L322*'P-Parametri'!$B$6)</f>
        <v>18637.818163578508</v>
      </c>
      <c r="Q322" s="10">
        <f>IF(AND(Q321=1,M322*(1-'P-Parametri'!$B$6*L322)&gt;=MAX(0,$B$4-IF($A322&gt;='1-Input'!$C$12,'1-Input'!$B$12,0))-0.01),1,0)</f>
        <v>1</v>
      </c>
      <c r="S322" s="18">
        <f>V321*(1+('P-Parametri'!$B$31*$B322+'P-Parametri'!$C$31*'P-Parametri'!$C$29+'P-Parametri'!$D$31*'1-Input'!$B$27-0))</f>
        <v>21223.557674515036</v>
      </c>
      <c r="T322" s="11">
        <f t="shared" si="71"/>
        <v>0.47816047729521538</v>
      </c>
      <c r="U322" s="18">
        <f>IF(Y321=0,0,MIN(MAX(S322,0),MAX(0,$B$5-IF($A322&gt;='1-Input'!$C$12,'1-Input'!$B$12,0))/(1-'P-Parametri'!$B$6*T322)))</f>
        <v>0</v>
      </c>
      <c r="V322" s="18">
        <f t="shared" si="72"/>
        <v>20363.266674657447</v>
      </c>
      <c r="W322" s="18">
        <f t="shared" si="73"/>
        <v>11075.291206966394</v>
      </c>
      <c r="X322" s="18">
        <f>IF(Y322=0,X321,X321+U322*T322*'P-Parametri'!$B$6)</f>
        <v>22161.588802447641</v>
      </c>
      <c r="Y322" s="10">
        <f>IF(AND(Y321=1,U322*(1-'P-Parametri'!$B$6*T322)&gt;=MAX(0,$B$5-IF($A322&gt;='1-Input'!$C$12,'1-Input'!$B$12,0))-0.01),1,0)</f>
        <v>0</v>
      </c>
    </row>
    <row r="323" spans="1:25">
      <c r="A323" s="10">
        <f>25</f>
        <v>25</v>
      </c>
      <c r="B323" s="11">
        <f>IF(A323=1,'P-Parametri'!$B$30,IF(A323=2,'P-Parametri'!$C$30,'P-Parametri'!$B$29))</f>
        <v>6.8512000000000003E-2</v>
      </c>
      <c r="C323" s="18">
        <f>F322*(1+('P-Parametri'!$B$31*$B323+'P-Parametri'!$C$31*'P-Parametri'!$C$29+'P-Parametri'!$D$31*'1-Input'!$B$27-0))</f>
        <v>248912.90233173681</v>
      </c>
      <c r="D323" s="11">
        <f t="shared" si="65"/>
        <v>0.56128670604090902</v>
      </c>
      <c r="E323" s="18">
        <f>IF(I322=0,0,MIN(MAX(C323,0),MAX(0,$B$4-IF($A323&gt;='1-Input'!$C$12,'1-Input'!$B$12,0))/(1-'P-Parametri'!$B$6*D323)))</f>
        <v>2222.3121023241806</v>
      </c>
      <c r="F323" s="18">
        <f t="shared" si="66"/>
        <v>246690.59022941263</v>
      </c>
      <c r="G323" s="18">
        <f t="shared" si="67"/>
        <v>108226.44142825797</v>
      </c>
      <c r="H323" s="18">
        <f>IF(I323=0,H322,H322+E323*D323*'P-Parametri'!$B$6)</f>
        <v>19647.722663982539</v>
      </c>
      <c r="I323" s="10">
        <f>IF(AND(I322=1,E323*(1-'P-Parametri'!$B$6*D323)&gt;=MAX(0,$B$4-IF($A323&gt;='1-Input'!$C$12,'1-Input'!$B$12,0))-0.01),1,0)</f>
        <v>1</v>
      </c>
      <c r="K323" s="18">
        <f>N322*(1+('P-Parametri'!$B$31*$B323+'P-Parametri'!$C$31*'P-Parametri'!$C$29+'P-Parametri'!$D$31*'1-Input'!$B$27-'1-Input'!$B$21))</f>
        <v>238372.98474130357</v>
      </c>
      <c r="L323" s="11">
        <f t="shared" si="68"/>
        <v>0.55007444334944633</v>
      </c>
      <c r="M323" s="18">
        <f>IF(Q322=0,0,MIN(MAX(K323,0),MAX(0,$B$4-IF($A323&gt;='1-Input'!$C$12,'1-Input'!$B$12,0))/(1-'P-Parametri'!$B$6*L323)))</f>
        <v>2214.7524704013344</v>
      </c>
      <c r="N323" s="18">
        <f t="shared" si="69"/>
        <v>236158.23227090223</v>
      </c>
      <c r="O323" s="18">
        <f t="shared" si="70"/>
        <v>106253.62411209644</v>
      </c>
      <c r="P323" s="18">
        <f>IF(Q323=0,P322,P322+M323*L323*'P-Parametri'!$B$6)</f>
        <v>18954.570633979842</v>
      </c>
      <c r="Q323" s="10">
        <f>IF(AND(Q322=1,M323*(1-'P-Parametri'!$B$6*L323)&gt;=MAX(0,$B$4-IF($A323&gt;='1-Input'!$C$12,'1-Input'!$B$12,0))-0.01),1,0)</f>
        <v>1</v>
      </c>
      <c r="S323" s="18">
        <f>V322*(1+('P-Parametri'!$B$31*$B323+'P-Parametri'!$C$31*'P-Parametri'!$C$29+'P-Parametri'!$D$31*'1-Input'!$B$27-0))</f>
        <v>21223.557674515036</v>
      </c>
      <c r="T323" s="11">
        <f t="shared" si="71"/>
        <v>0.47816047729521538</v>
      </c>
      <c r="U323" s="18">
        <f>IF(Y322=0,0,MIN(MAX(S323,0),MAX(0,$B$5-IF($A323&gt;='1-Input'!$C$12,'1-Input'!$B$12,0))/(1-'P-Parametri'!$B$6*T323)))</f>
        <v>0</v>
      </c>
      <c r="V323" s="18">
        <f t="shared" si="72"/>
        <v>20363.266674657447</v>
      </c>
      <c r="W323" s="18">
        <f t="shared" si="73"/>
        <v>11075.291206966394</v>
      </c>
      <c r="X323" s="18">
        <f>IF(Y323=0,X322,X322+U323*T323*'P-Parametri'!$B$6)</f>
        <v>22161.588802447641</v>
      </c>
      <c r="Y323" s="10">
        <f>IF(AND(Y322=1,U323*(1-'P-Parametri'!$B$6*T323)&gt;=MAX(0,$B$5-IF($A323&gt;='1-Input'!$C$12,'1-Input'!$B$12,0))-0.01),1,0)</f>
        <v>0</v>
      </c>
    </row>
    <row r="324" spans="1:25">
      <c r="A324" s="10">
        <f>26</f>
        <v>26</v>
      </c>
      <c r="B324" s="11">
        <f>IF(A324=1,'P-Parametri'!$B$30,IF(A324=2,'P-Parametri'!$C$30,'P-Parametri'!$B$29))</f>
        <v>6.8512000000000003E-2</v>
      </c>
      <c r="C324" s="18">
        <f>F323*(1+('P-Parametri'!$B$31*$B324+'P-Parametri'!$C$31*'P-Parametri'!$C$29+'P-Parametri'!$D$31*'1-Input'!$B$27-0))</f>
        <v>257112.57693295268</v>
      </c>
      <c r="D324" s="11">
        <f t="shared" si="65"/>
        <v>0.57906982723571621</v>
      </c>
      <c r="E324" s="18">
        <f>IF(I323=0,0,MIN(MAX(C324,0),MAX(0,$B$4-IF($A324&gt;='1-Input'!$C$12,'1-Input'!$B$12,0))/(1-'P-Parametri'!$B$6*D324)))</f>
        <v>2234.4084075368651</v>
      </c>
      <c r="F324" s="18">
        <f t="shared" si="66"/>
        <v>254878.16852541582</v>
      </c>
      <c r="G324" s="18">
        <f t="shared" si="67"/>
        <v>107285.91151124751</v>
      </c>
      <c r="H324" s="18">
        <f>IF(I324=0,H323,H323+E324*D324*'P-Parametri'!$B$6)</f>
        <v>19984.131071519405</v>
      </c>
      <c r="I324" s="10">
        <f>IF(AND(I323=1,E324*(1-'P-Parametri'!$B$6*D324)&gt;=MAX(0,$B$4-IF($A324&gt;='1-Input'!$C$12,'1-Input'!$B$12,0))-0.01),1,0)</f>
        <v>1</v>
      </c>
      <c r="K324" s="18">
        <f>N323*(1+('P-Parametri'!$B$31*$B324+'P-Parametri'!$C$31*'P-Parametri'!$C$29+'P-Parametri'!$D$31*'1-Input'!$B$27-'1-Input'!$B$21))</f>
        <v>245899.09810902656</v>
      </c>
      <c r="L324" s="11">
        <f t="shared" si="68"/>
        <v>0.56789746310909284</v>
      </c>
      <c r="M324" s="18">
        <f>IF(Q323=0,0,MIN(MAX(K324,0),MAX(0,$B$4-IF($A324&gt;='1-Input'!$C$12,'1-Input'!$B$12,0))/(1-'P-Parametri'!$B$6*L324)))</f>
        <v>2226.7934984450371</v>
      </c>
      <c r="N324" s="18">
        <f t="shared" si="69"/>
        <v>243672.30461058152</v>
      </c>
      <c r="O324" s="18">
        <f t="shared" si="70"/>
        <v>105291.42099228616</v>
      </c>
      <c r="P324" s="18">
        <f>IF(Q324=0,P323,P323+M324*L324*'P-Parametri'!$B$6)</f>
        <v>19283.364132424878</v>
      </c>
      <c r="Q324" s="10">
        <f>IF(AND(Q323=1,M324*(1-'P-Parametri'!$B$6*L324)&gt;=MAX(0,$B$4-IF($A324&gt;='1-Input'!$C$12,'1-Input'!$B$12,0))-0.01),1,0)</f>
        <v>1</v>
      </c>
      <c r="S324" s="18">
        <f>V323*(1+('P-Parametri'!$B$31*$B324+'P-Parametri'!$C$31*'P-Parametri'!$C$29+'P-Parametri'!$D$31*'1-Input'!$B$27-0))</f>
        <v>21223.557674515036</v>
      </c>
      <c r="T324" s="11">
        <f t="shared" si="71"/>
        <v>0.47816047729521538</v>
      </c>
      <c r="U324" s="18">
        <f>IF(Y323=0,0,MIN(MAX(S324,0),MAX(0,$B$5-IF($A324&gt;='1-Input'!$C$12,'1-Input'!$B$12,0))/(1-'P-Parametri'!$B$6*T324)))</f>
        <v>0</v>
      </c>
      <c r="V324" s="18">
        <f t="shared" si="72"/>
        <v>20363.266674657447</v>
      </c>
      <c r="W324" s="18">
        <f t="shared" si="73"/>
        <v>11075.291206966394</v>
      </c>
      <c r="X324" s="18">
        <f>IF(Y324=0,X323,X323+U324*T324*'P-Parametri'!$B$6)</f>
        <v>22161.588802447641</v>
      </c>
      <c r="Y324" s="10">
        <f>IF(AND(Y323=1,U324*(1-'P-Parametri'!$B$6*T324)&gt;=MAX(0,$B$5-IF($A324&gt;='1-Input'!$C$12,'1-Input'!$B$12,0))-0.01),1,0)</f>
        <v>0</v>
      </c>
    </row>
    <row r="325" spans="1:25">
      <c r="A325" s="10">
        <f>27</f>
        <v>27</v>
      </c>
      <c r="B325" s="11">
        <f>IF(A325=1,'P-Parametri'!$B$30,IF(A325=2,'P-Parametri'!$C$30,'P-Parametri'!$B$29))</f>
        <v>6.8512000000000003E-2</v>
      </c>
      <c r="C325" s="18">
        <f>F324*(1+('P-Parametri'!$B$31*$B325+'P-Parametri'!$C$31*'P-Parametri'!$C$29+'P-Parametri'!$D$31*'1-Input'!$B$27-0))</f>
        <v>265646.05748674279</v>
      </c>
      <c r="D325" s="11">
        <f t="shared" si="65"/>
        <v>0.59613211456525506</v>
      </c>
      <c r="E325" s="18">
        <f>IF(I324=0,0,MIN(MAX(C325,0),MAX(0,$B$4-IF($A325&gt;='1-Input'!$C$12,'1-Input'!$B$12,0))/(1-'P-Parametri'!$B$6*D325)))</f>
        <v>2246.1388270261823</v>
      </c>
      <c r="F325" s="18">
        <f t="shared" si="66"/>
        <v>263399.91865971661</v>
      </c>
      <c r="G325" s="18">
        <f t="shared" si="67"/>
        <v>106378.76817278357</v>
      </c>
      <c r="H325" s="18">
        <f>IF(I325=0,H324,H324+E325*D325*'P-Parametri'!$B$6)</f>
        <v>20332.269898545586</v>
      </c>
      <c r="I325" s="10">
        <f>IF(AND(I324=1,E325*(1-'P-Parametri'!$B$6*D325)&gt;=MAX(0,$B$4-IF($A325&gt;='1-Input'!$C$12,'1-Input'!$B$12,0))-0.01),1,0)</f>
        <v>1</v>
      </c>
      <c r="K325" s="18">
        <f>N324*(1+('P-Parametri'!$B$31*$B325+'P-Parametri'!$C$31*'P-Parametri'!$C$29+'P-Parametri'!$D$31*'1-Input'!$B$27-'1-Input'!$B$21))</f>
        <v>253723.10489331509</v>
      </c>
      <c r="L325" s="11">
        <f t="shared" si="68"/>
        <v>0.58501445488553816</v>
      </c>
      <c r="M325" s="18">
        <f>IF(Q324=0,0,MIN(MAX(K325,0),MAX(0,$B$4-IF($A325&gt;='1-Input'!$C$12,'1-Input'!$B$12,0))/(1-'P-Parametri'!$B$6*L325)))</f>
        <v>2238.4814398138669</v>
      </c>
      <c r="N325" s="18">
        <f t="shared" si="69"/>
        <v>251484.62345350123</v>
      </c>
      <c r="O325" s="18">
        <f t="shared" si="70"/>
        <v>104362.48355175641</v>
      </c>
      <c r="P325" s="18">
        <f>IF(Q325=0,P324,P324+M325*L325*'P-Parametri'!$B$6)</f>
        <v>19623.845572238744</v>
      </c>
      <c r="Q325" s="10">
        <f>IF(AND(Q324=1,M325*(1-'P-Parametri'!$B$6*L325)&gt;=MAX(0,$B$4-IF($A325&gt;='1-Input'!$C$12,'1-Input'!$B$12,0))-0.01),1,0)</f>
        <v>1</v>
      </c>
      <c r="S325" s="18">
        <f>V324*(1+('P-Parametri'!$B$31*$B325+'P-Parametri'!$C$31*'P-Parametri'!$C$29+'P-Parametri'!$D$31*'1-Input'!$B$27-0))</f>
        <v>21223.557674515036</v>
      </c>
      <c r="T325" s="11">
        <f t="shared" si="71"/>
        <v>0.47816047729521538</v>
      </c>
      <c r="U325" s="18">
        <f>IF(Y324=0,0,MIN(MAX(S325,0),MAX(0,$B$5-IF($A325&gt;='1-Input'!$C$12,'1-Input'!$B$12,0))/(1-'P-Parametri'!$B$6*T325)))</f>
        <v>0</v>
      </c>
      <c r="V325" s="18">
        <f t="shared" si="72"/>
        <v>20363.266674657447</v>
      </c>
      <c r="W325" s="18">
        <f t="shared" si="73"/>
        <v>11075.291206966394</v>
      </c>
      <c r="X325" s="18">
        <f>IF(Y325=0,X324,X324+U325*T325*'P-Parametri'!$B$6)</f>
        <v>22161.588802447641</v>
      </c>
      <c r="Y325" s="10">
        <f>IF(AND(Y324=1,U325*(1-'P-Parametri'!$B$6*T325)&gt;=MAX(0,$B$5-IF($A325&gt;='1-Input'!$C$12,'1-Input'!$B$12,0))-0.01),1,0)</f>
        <v>0</v>
      </c>
    </row>
    <row r="326" spans="1:25">
      <c r="A326" s="10">
        <f>28</f>
        <v>28</v>
      </c>
      <c r="B326" s="11">
        <f>IF(A326=1,'P-Parametri'!$B$30,IF(A326=2,'P-Parametri'!$C$30,'P-Parametri'!$B$29))</f>
        <v>6.8512000000000003E-2</v>
      </c>
      <c r="C326" s="18">
        <f>F325*(1+('P-Parametri'!$B$31*$B326+'P-Parametri'!$C$31*'P-Parametri'!$C$29+'P-Parametri'!$D$31*'1-Input'!$B$27-0))</f>
        <v>274527.82770331739</v>
      </c>
      <c r="D326" s="11">
        <f t="shared" si="65"/>
        <v>0.61250278682951131</v>
      </c>
      <c r="E326" s="18">
        <f>IF(I325=0,0,MIN(MAX(C326,0),MAX(0,$B$4-IF($A326&gt;='1-Input'!$C$12,'1-Input'!$B$12,0))/(1-'P-Parametri'!$B$6*D326)))</f>
        <v>2257.5101227914556</v>
      </c>
      <c r="F326" s="18">
        <f t="shared" si="66"/>
        <v>272270.31758052594</v>
      </c>
      <c r="G326" s="18">
        <f t="shared" si="67"/>
        <v>105503.98929149771</v>
      </c>
      <c r="H326" s="18">
        <f>IF(I326=0,H325,H325+E326*D326*'P-Parametri'!$B$6)</f>
        <v>20691.780021337043</v>
      </c>
      <c r="I326" s="10">
        <f>IF(AND(I325=1,E326*(1-'P-Parametri'!$B$6*D326)&gt;=MAX(0,$B$4-IF($A326&gt;='1-Input'!$C$12,'1-Input'!$B$12,0))-0.01),1,0)</f>
        <v>1</v>
      </c>
      <c r="K326" s="18">
        <f>N325*(1+('P-Parametri'!$B$31*$B326+'P-Parametri'!$C$31*'P-Parametri'!$C$29+'P-Parametri'!$D$31*'1-Input'!$B$27-'1-Input'!$B$21))</f>
        <v>261857.66001401248</v>
      </c>
      <c r="L326" s="11">
        <f t="shared" si="68"/>
        <v>0.60145338675152071</v>
      </c>
      <c r="M326" s="18">
        <f>IF(Q325=0,0,MIN(MAX(K326,0),MAX(0,$B$4-IF($A326&gt;='1-Input'!$C$12,'1-Input'!$B$12,0))/(1-'P-Parametri'!$B$6*L326)))</f>
        <v>2249.8224693889497</v>
      </c>
      <c r="N326" s="18">
        <f t="shared" si="69"/>
        <v>259607.83754462353</v>
      </c>
      <c r="O326" s="18">
        <f t="shared" si="70"/>
        <v>103465.82442617111</v>
      </c>
      <c r="P326" s="18">
        <f>IF(Q326=0,P325,P325+M326*L326*'P-Parametri'!$B$6)</f>
        <v>19975.668041627694</v>
      </c>
      <c r="Q326" s="10">
        <f>IF(AND(Q325=1,M326*(1-'P-Parametri'!$B$6*L326)&gt;=MAX(0,$B$4-IF($A326&gt;='1-Input'!$C$12,'1-Input'!$B$12,0))-0.01),1,0)</f>
        <v>1</v>
      </c>
      <c r="S326" s="18">
        <f>V325*(1+('P-Parametri'!$B$31*$B326+'P-Parametri'!$C$31*'P-Parametri'!$C$29+'P-Parametri'!$D$31*'1-Input'!$B$27-0))</f>
        <v>21223.557674515036</v>
      </c>
      <c r="T326" s="11">
        <f t="shared" si="71"/>
        <v>0.47816047729521538</v>
      </c>
      <c r="U326" s="18">
        <f>IF(Y325=0,0,MIN(MAX(S326,0),MAX(0,$B$5-IF($A326&gt;='1-Input'!$C$12,'1-Input'!$B$12,0))/(1-'P-Parametri'!$B$6*T326)))</f>
        <v>0</v>
      </c>
      <c r="V326" s="18">
        <f t="shared" si="72"/>
        <v>20363.266674657447</v>
      </c>
      <c r="W326" s="18">
        <f t="shared" si="73"/>
        <v>11075.291206966394</v>
      </c>
      <c r="X326" s="18">
        <f>IF(Y326=0,X325,X325+U326*T326*'P-Parametri'!$B$6)</f>
        <v>22161.588802447641</v>
      </c>
      <c r="Y326" s="10">
        <f>IF(AND(Y325=1,U326*(1-'P-Parametri'!$B$6*T326)&gt;=MAX(0,$B$5-IF($A326&gt;='1-Input'!$C$12,'1-Input'!$B$12,0))-0.01),1,0)</f>
        <v>0</v>
      </c>
    </row>
    <row r="327" spans="1:25">
      <c r="A327" s="10">
        <f>29</f>
        <v>29</v>
      </c>
      <c r="B327" s="11">
        <f>IF(A327=1,'P-Parametri'!$B$30,IF(A327=2,'P-Parametri'!$C$30,'P-Parametri'!$B$29))</f>
        <v>6.8512000000000003E-2</v>
      </c>
      <c r="C327" s="18">
        <f>F326*(1+('P-Parametri'!$B$31*$B327+'P-Parametri'!$C$31*'P-Parametri'!$C$29+'P-Parametri'!$D$31*'1-Input'!$B$27-0))</f>
        <v>283772.97614141396</v>
      </c>
      <c r="D327" s="11">
        <f t="shared" si="65"/>
        <v>0.62820987845255072</v>
      </c>
      <c r="E327" s="18">
        <f>IF(I326=0,0,MIN(MAX(C327,0),MAX(0,$B$4-IF($A327&gt;='1-Input'!$C$12,'1-Input'!$B$12,0))/(1-'P-Parametri'!$B$6*D327)))</f>
        <v>2268.529245154843</v>
      </c>
      <c r="F327" s="18">
        <f t="shared" si="66"/>
        <v>281504.44689625915</v>
      </c>
      <c r="G327" s="18">
        <f t="shared" si="67"/>
        <v>104660.57252770764</v>
      </c>
      <c r="H327" s="18">
        <f>IF(I327=0,H326,H326+E327*D327*'P-Parametri'!$B$6)</f>
        <v>21062.309266491884</v>
      </c>
      <c r="I327" s="10">
        <f>IF(AND(I326=1,E327*(1-'P-Parametri'!$B$6*D327)&gt;=MAX(0,$B$4-IF($A327&gt;='1-Input'!$C$12,'1-Input'!$B$12,0))-0.01),1,0)</f>
        <v>1</v>
      </c>
      <c r="K327" s="18">
        <f>N326*(1+('P-Parametri'!$B$31*$B327+'P-Parametri'!$C$31*'P-Parametri'!$C$29+'P-Parametri'!$D$31*'1-Input'!$B$27-'1-Input'!$B$21))</f>
        <v>270315.93394139409</v>
      </c>
      <c r="L327" s="11">
        <f t="shared" si="68"/>
        <v>0.6172411188731366</v>
      </c>
      <c r="M327" s="18">
        <f>IF(Q326=0,0,MIN(MAX(K327,0),MAX(0,$B$4-IF($A327&gt;='1-Input'!$C$12,'1-Input'!$B$12,0))/(1-'P-Parametri'!$B$6*L327)))</f>
        <v>2260.8229508103905</v>
      </c>
      <c r="N327" s="18">
        <f t="shared" si="69"/>
        <v>268055.11099058372</v>
      </c>
      <c r="O327" s="18">
        <f t="shared" si="70"/>
        <v>102600.47436309299</v>
      </c>
      <c r="P327" s="18">
        <f>IF(Q327=0,P326,P326+M327*L327*'P-Parametri'!$B$6)</f>
        <v>20338.490992438085</v>
      </c>
      <c r="Q327" s="10">
        <f>IF(AND(Q326=1,M327*(1-'P-Parametri'!$B$6*L327)&gt;=MAX(0,$B$4-IF($A327&gt;='1-Input'!$C$12,'1-Input'!$B$12,0))-0.01),1,0)</f>
        <v>1</v>
      </c>
      <c r="S327" s="18">
        <f>V326*(1+('P-Parametri'!$B$31*$B327+'P-Parametri'!$C$31*'P-Parametri'!$C$29+'P-Parametri'!$D$31*'1-Input'!$B$27-0))</f>
        <v>21223.557674515036</v>
      </c>
      <c r="T327" s="11">
        <f t="shared" si="71"/>
        <v>0.47816047729521538</v>
      </c>
      <c r="U327" s="18">
        <f>IF(Y326=0,0,MIN(MAX(S327,0),MAX(0,$B$5-IF($A327&gt;='1-Input'!$C$12,'1-Input'!$B$12,0))/(1-'P-Parametri'!$B$6*T327)))</f>
        <v>0</v>
      </c>
      <c r="V327" s="18">
        <f t="shared" si="72"/>
        <v>20363.266674657447</v>
      </c>
      <c r="W327" s="18">
        <f t="shared" si="73"/>
        <v>11075.291206966394</v>
      </c>
      <c r="X327" s="18">
        <f>IF(Y327=0,X326,X326+U327*T327*'P-Parametri'!$B$6)</f>
        <v>22161.588802447641</v>
      </c>
      <c r="Y327" s="10">
        <f>IF(AND(Y326=1,U327*(1-'P-Parametri'!$B$6*T327)&gt;=MAX(0,$B$5-IF($A327&gt;='1-Input'!$C$12,'1-Input'!$B$12,0))-0.01),1,0)</f>
        <v>0</v>
      </c>
    </row>
    <row r="328" spans="1:25">
      <c r="A328" s="10">
        <f>30</f>
        <v>30</v>
      </c>
      <c r="B328" s="11">
        <f>IF(A328=1,'P-Parametri'!$B$30,IF(A328=2,'P-Parametri'!$C$30,'P-Parametri'!$B$29))</f>
        <v>6.8512000000000003E-2</v>
      </c>
      <c r="C328" s="18">
        <f>F327*(1+('P-Parametri'!$B$31*$B328+'P-Parametri'!$C$31*'P-Parametri'!$C$29+'P-Parametri'!$D$31*'1-Input'!$B$27-0))</f>
        <v>293397.22156517481</v>
      </c>
      <c r="D328" s="11">
        <f t="shared" si="65"/>
        <v>0.64328028749086674</v>
      </c>
      <c r="E328" s="18">
        <f>IF(I327=0,0,MIN(MAX(C328,0),MAX(0,$B$4-IF($A328&gt;='1-Input'!$C$12,'1-Input'!$B$12,0))/(1-'P-Parametri'!$B$6*D328)))</f>
        <v>2279.2033048745584</v>
      </c>
      <c r="F328" s="18">
        <f t="shared" si="66"/>
        <v>291118.01826030028</v>
      </c>
      <c r="G328" s="18">
        <f t="shared" si="67"/>
        <v>103847.53578004292</v>
      </c>
      <c r="H328" s="18">
        <f>IF(I328=0,H327,H327+E328*D328*'P-Parametri'!$B$6)</f>
        <v>21443.512571366442</v>
      </c>
      <c r="I328" s="10">
        <f>IF(AND(I327=1,E328*(1-'P-Parametri'!$B$6*D328)&gt;=MAX(0,$B$4-IF($A328&gt;='1-Input'!$C$12,'1-Input'!$B$12,0))-0.01),1,0)</f>
        <v>1</v>
      </c>
      <c r="K328" s="18">
        <f>N327*(1+('P-Parametri'!$B$31*$B328+'P-Parametri'!$C$31*'P-Parametri'!$C$29+'P-Parametri'!$D$31*'1-Input'!$B$27-'1-Input'!$B$21))</f>
        <v>279111.63376463449</v>
      </c>
      <c r="L328" s="11">
        <f t="shared" si="68"/>
        <v>0.63240344739763688</v>
      </c>
      <c r="M328" s="18">
        <f>IF(Q327=0,0,MIN(MAX(K328,0),MAX(0,$B$4-IF($A328&gt;='1-Input'!$C$12,'1-Input'!$B$12,0))/(1-'P-Parametri'!$B$6*L328)))</f>
        <v>2271.4894108843232</v>
      </c>
      <c r="N328" s="18">
        <f t="shared" si="69"/>
        <v>276840.14435375016</v>
      </c>
      <c r="O328" s="18">
        <f t="shared" si="70"/>
        <v>101765.48268637914</v>
      </c>
      <c r="P328" s="18">
        <f>IF(Q328=0,P327,P327+M328*L328*'P-Parametri'!$B$6)</f>
        <v>20711.980403322406</v>
      </c>
      <c r="Q328" s="10">
        <f>IF(AND(Q327=1,M328*(1-'P-Parametri'!$B$6*L328)&gt;=MAX(0,$B$4-IF($A328&gt;='1-Input'!$C$12,'1-Input'!$B$12,0))-0.01),1,0)</f>
        <v>1</v>
      </c>
      <c r="S328" s="18">
        <f>V327*(1+('P-Parametri'!$B$31*$B328+'P-Parametri'!$C$31*'P-Parametri'!$C$29+'P-Parametri'!$D$31*'1-Input'!$B$27-0))</f>
        <v>21223.557674515036</v>
      </c>
      <c r="T328" s="11">
        <f t="shared" si="71"/>
        <v>0.47816047729521538</v>
      </c>
      <c r="U328" s="18">
        <f>IF(Y327=0,0,MIN(MAX(S328,0),MAX(0,$B$5-IF($A328&gt;='1-Input'!$C$12,'1-Input'!$B$12,0))/(1-'P-Parametri'!$B$6*T328)))</f>
        <v>0</v>
      </c>
      <c r="V328" s="18">
        <f t="shared" si="72"/>
        <v>20363.266674657447</v>
      </c>
      <c r="W328" s="18">
        <f t="shared" si="73"/>
        <v>11075.291206966394</v>
      </c>
      <c r="X328" s="18">
        <f>IF(Y328=0,X327,X327+U328*T328*'P-Parametri'!$B$6)</f>
        <v>22161.588802447641</v>
      </c>
      <c r="Y328" s="10">
        <f>IF(AND(Y327=1,U328*(1-'P-Parametri'!$B$6*T328)&gt;=MAX(0,$B$5-IF($A328&gt;='1-Input'!$C$12,'1-Input'!$B$12,0))-0.01),1,0)</f>
        <v>0</v>
      </c>
    </row>
    <row r="329" spans="1:25">
      <c r="A329" s="10">
        <f>31</f>
        <v>31</v>
      </c>
      <c r="B329" s="11">
        <f>IF(A329=1,'P-Parametri'!$B$30,IF(A329=2,'P-Parametri'!$C$30,'P-Parametri'!$B$29))</f>
        <v>6.8512000000000003E-2</v>
      </c>
      <c r="C329" s="18">
        <f>F328*(1+('P-Parametri'!$B$31*$B329+'P-Parametri'!$C$31*'P-Parametri'!$C$29+'P-Parametri'!$D$31*'1-Input'!$B$27-0))</f>
        <v>303416.93940134684</v>
      </c>
      <c r="D329" s="11">
        <f t="shared" si="65"/>
        <v>0.6577398216957232</v>
      </c>
      <c r="E329" s="18">
        <f>IF(I328=0,0,MIN(MAX(C329,0),MAX(0,$B$4-IF($A329&gt;='1-Input'!$C$12,'1-Input'!$B$12,0))/(1-'P-Parametri'!$B$6*D329)))</f>
        <v>2289.5395466216623</v>
      </c>
      <c r="F329" s="18">
        <f t="shared" si="66"/>
        <v>301127.39985472517</v>
      </c>
      <c r="G329" s="18">
        <f t="shared" si="67"/>
        <v>103063.9175665815</v>
      </c>
      <c r="H329" s="18">
        <f>IF(I329=0,H328,H328+E329*D329*'P-Parametri'!$B$6)</f>
        <v>21835.052117988103</v>
      </c>
      <c r="I329" s="10">
        <f>IF(AND(I328=1,E329*(1-'P-Parametri'!$B$6*D329)&gt;=MAX(0,$B$4-IF($A329&gt;='1-Input'!$C$12,'1-Input'!$B$12,0))-0.01),1,0)</f>
        <v>1</v>
      </c>
      <c r="K329" s="18">
        <f>N328*(1+('P-Parametri'!$B$31*$B329+'P-Parametri'!$C$31*'P-Parametri'!$C$29+'P-Parametri'!$D$31*'1-Input'!$B$27-'1-Input'!$B$21))</f>
        <v>288259.02515593817</v>
      </c>
      <c r="L329" s="11">
        <f t="shared" si="68"/>
        <v>0.64696514660268645</v>
      </c>
      <c r="M329" s="18">
        <f>IF(Q328=0,0,MIN(MAX(K329,0),MAX(0,$B$4-IF($A329&gt;='1-Input'!$C$12,'1-Input'!$B$12,0))/(1-'P-Parametri'!$B$6*L329)))</f>
        <v>2281.8285151557884</v>
      </c>
      <c r="N329" s="18">
        <f t="shared" si="69"/>
        <v>285977.19664078241</v>
      </c>
      <c r="O329" s="18">
        <f t="shared" si="70"/>
        <v>100959.9176910533</v>
      </c>
      <c r="P329" s="18">
        <f>IF(Q329=0,P328,P328+M329*L329*'P-Parametri'!$B$6)</f>
        <v>21095.808918478193</v>
      </c>
      <c r="Q329" s="10">
        <f>IF(AND(Q328=1,M329*(1-'P-Parametri'!$B$6*L329)&gt;=MAX(0,$B$4-IF($A329&gt;='1-Input'!$C$12,'1-Input'!$B$12,0))-0.01),1,0)</f>
        <v>1</v>
      </c>
      <c r="S329" s="18">
        <f>V328*(1+('P-Parametri'!$B$31*$B329+'P-Parametri'!$C$31*'P-Parametri'!$C$29+'P-Parametri'!$D$31*'1-Input'!$B$27-0))</f>
        <v>21223.557674515036</v>
      </c>
      <c r="T329" s="11">
        <f t="shared" si="71"/>
        <v>0.47816047729521538</v>
      </c>
      <c r="U329" s="18">
        <f>IF(Y328=0,0,MIN(MAX(S329,0),MAX(0,$B$5-IF($A329&gt;='1-Input'!$C$12,'1-Input'!$B$12,0))/(1-'P-Parametri'!$B$6*T329)))</f>
        <v>0</v>
      </c>
      <c r="V329" s="18">
        <f t="shared" si="72"/>
        <v>20363.266674657447</v>
      </c>
      <c r="W329" s="18">
        <f t="shared" si="73"/>
        <v>11075.291206966394</v>
      </c>
      <c r="X329" s="18">
        <f>IF(Y329=0,X328,X328+U329*T329*'P-Parametri'!$B$6)</f>
        <v>22161.588802447641</v>
      </c>
      <c r="Y329" s="10">
        <f>IF(AND(Y328=1,U329*(1-'P-Parametri'!$B$6*T329)&gt;=MAX(0,$B$5-IF($A329&gt;='1-Input'!$C$12,'1-Input'!$B$12,0))-0.01),1,0)</f>
        <v>0</v>
      </c>
    </row>
    <row r="330" spans="1:25">
      <c r="A330" s="10">
        <f>32</f>
        <v>32</v>
      </c>
      <c r="B330" s="11">
        <f>IF(A330=1,'P-Parametri'!$B$30,IF(A330=2,'P-Parametri'!$C$30,'P-Parametri'!$B$29))</f>
        <v>6.8512000000000003E-2</v>
      </c>
      <c r="C330" s="18">
        <f>F329*(1+('P-Parametri'!$B$31*$B330+'P-Parametri'!$C$31*'P-Parametri'!$C$29+'P-Parametri'!$D$31*'1-Input'!$B$27-0))</f>
        <v>313849.18934186775</v>
      </c>
      <c r="D330" s="11">
        <f t="shared" si="65"/>
        <v>0.67161324270837397</v>
      </c>
      <c r="E330" s="18">
        <f>IF(I329=0,0,MIN(MAX(C330,0),MAX(0,$B$4-IF($A330&gt;='1-Input'!$C$12,'1-Input'!$B$12,0))/(1-'P-Parametri'!$B$6*D330)))</f>
        <v>2299.5453238421269</v>
      </c>
      <c r="F330" s="18">
        <f t="shared" si="66"/>
        <v>311549.6440180256</v>
      </c>
      <c r="G330" s="18">
        <f t="shared" si="67"/>
        <v>102308.77733443986</v>
      </c>
      <c r="H330" s="18">
        <f>IF(I330=0,H329,H329+E330*D330*'P-Parametri'!$B$6)</f>
        <v>22236.597441830232</v>
      </c>
      <c r="I330" s="10">
        <f>IF(AND(I329=1,E330*(1-'P-Parametri'!$B$6*D330)&gt;=MAX(0,$B$4-IF($A330&gt;='1-Input'!$C$12,'1-Input'!$B$12,0))-0.01),1,0)</f>
        <v>1</v>
      </c>
      <c r="K330" s="18">
        <f>N329*(1+('P-Parametri'!$B$31*$B330+'P-Parametri'!$C$31*'P-Parametri'!$C$29+'P-Parametri'!$D$31*'1-Input'!$B$27-'1-Input'!$B$21))</f>
        <v>297772.95526606409</v>
      </c>
      <c r="L330" s="11">
        <f t="shared" si="68"/>
        <v>0.66095000937595472</v>
      </c>
      <c r="M330" s="18">
        <f>IF(Q329=0,0,MIN(MAX(K330,0),MAX(0,$B$4-IF($A330&gt;='1-Input'!$C$12,'1-Input'!$B$12,0))/(1-'P-Parametri'!$B$6*L330)))</f>
        <v>2291.8470446728393</v>
      </c>
      <c r="N330" s="18">
        <f t="shared" si="69"/>
        <v>295481.10822139127</v>
      </c>
      <c r="O330" s="18">
        <f t="shared" si="70"/>
        <v>100182.86697204523</v>
      </c>
      <c r="P330" s="18">
        <f>IF(Q330=0,P329,P329+M330*L330*'P-Parametri'!$B$6)</f>
        <v>21489.655963151032</v>
      </c>
      <c r="Q330" s="10">
        <f>IF(AND(Q329=1,M330*(1-'P-Parametri'!$B$6*L330)&gt;=MAX(0,$B$4-IF($A330&gt;='1-Input'!$C$12,'1-Input'!$B$12,0))-0.01),1,0)</f>
        <v>1</v>
      </c>
      <c r="S330" s="18">
        <f>V329*(1+('P-Parametri'!$B$31*$B330+'P-Parametri'!$C$31*'P-Parametri'!$C$29+'P-Parametri'!$D$31*'1-Input'!$B$27-0))</f>
        <v>21223.557674515036</v>
      </c>
      <c r="T330" s="11">
        <f t="shared" si="71"/>
        <v>0.47816047729521538</v>
      </c>
      <c r="U330" s="18">
        <f>IF(Y329=0,0,MIN(MAX(S330,0),MAX(0,$B$5-IF($A330&gt;='1-Input'!$C$12,'1-Input'!$B$12,0))/(1-'P-Parametri'!$B$6*T330)))</f>
        <v>0</v>
      </c>
      <c r="V330" s="18">
        <f t="shared" si="72"/>
        <v>20363.266674657447</v>
      </c>
      <c r="W330" s="18">
        <f t="shared" si="73"/>
        <v>11075.291206966394</v>
      </c>
      <c r="X330" s="18">
        <f>IF(Y330=0,X329,X329+U330*T330*'P-Parametri'!$B$6)</f>
        <v>22161.588802447641</v>
      </c>
      <c r="Y330" s="10">
        <f>IF(AND(Y329=1,U330*(1-'P-Parametri'!$B$6*T330)&gt;=MAX(0,$B$5-IF($A330&gt;='1-Input'!$C$12,'1-Input'!$B$12,0))-0.01),1,0)</f>
        <v>0</v>
      </c>
    </row>
    <row r="331" spans="1:25">
      <c r="A331" s="10">
        <f>33</f>
        <v>33</v>
      </c>
      <c r="B331" s="11">
        <f>IF(A331=1,'P-Parametri'!$B$30,IF(A331=2,'P-Parametri'!$C$30,'P-Parametri'!$B$29))</f>
        <v>6.8512000000000003E-2</v>
      </c>
      <c r="C331" s="18">
        <f>F330*(1+('P-Parametri'!$B$31*$B331+'P-Parametri'!$C$31*'P-Parametri'!$C$29+'P-Parametri'!$D$31*'1-Input'!$B$27-0))</f>
        <v>324711.74413878395</v>
      </c>
      <c r="D331" s="11">
        <f t="shared" si="65"/>
        <v>0.68492430846384045</v>
      </c>
      <c r="E331" s="18">
        <f>IF(I330=0,0,MIN(MAX(C331,0),MAX(0,$B$4-IF($A331&gt;='1-Input'!$C$12,'1-Input'!$B$12,0))/(1-'P-Parametri'!$B$6*D331)))</f>
        <v>2309.2280750148575</v>
      </c>
      <c r="F331" s="18">
        <f t="shared" si="66"/>
        <v>322402.51606376912</v>
      </c>
      <c r="G331" s="18">
        <f t="shared" si="67"/>
        <v>101581.19570178984</v>
      </c>
      <c r="H331" s="18">
        <f>IF(I331=0,H330,H330+E331*D331*'P-Parametri'!$B$6)</f>
        <v>22647.825516845089</v>
      </c>
      <c r="I331" s="10">
        <f>IF(AND(I330=1,E331*(1-'P-Parametri'!$B$6*D331)&gt;=MAX(0,$B$4-IF($A331&gt;='1-Input'!$C$12,'1-Input'!$B$12,0))-0.01),1,0)</f>
        <v>1</v>
      </c>
      <c r="K331" s="18">
        <f>N330*(1+('P-Parametri'!$B$31*$B331+'P-Parametri'!$C$31*'P-Parametri'!$C$29+'P-Parametri'!$D$31*'1-Input'!$B$27-'1-Input'!$B$21))</f>
        <v>307668.87658842065</v>
      </c>
      <c r="L331" s="11">
        <f t="shared" si="68"/>
        <v>0.67438088609117486</v>
      </c>
      <c r="M331" s="18">
        <f>IF(Q330=0,0,MIN(MAX(K331,0),MAX(0,$B$4-IF($A331&gt;='1-Input'!$C$12,'1-Input'!$B$12,0))/(1-'P-Parametri'!$B$6*L331)))</f>
        <v>2301.55187395751</v>
      </c>
      <c r="N331" s="18">
        <f t="shared" si="69"/>
        <v>305367.32471446315</v>
      </c>
      <c r="O331" s="18">
        <f t="shared" si="70"/>
        <v>99433.437690231993</v>
      </c>
      <c r="P331" s="18">
        <f>IF(Q331=0,P330,P330+M331*L331*'P-Parametri'!$B$6)</f>
        <v>21893.207837108541</v>
      </c>
      <c r="Q331" s="10">
        <f>IF(AND(Q330=1,M331*(1-'P-Parametri'!$B$6*L331)&gt;=MAX(0,$B$4-IF($A331&gt;='1-Input'!$C$12,'1-Input'!$B$12,0))-0.01),1,0)</f>
        <v>1</v>
      </c>
      <c r="S331" s="18">
        <f>V330*(1+('P-Parametri'!$B$31*$B331+'P-Parametri'!$C$31*'P-Parametri'!$C$29+'P-Parametri'!$D$31*'1-Input'!$B$27-0))</f>
        <v>21223.557674515036</v>
      </c>
      <c r="T331" s="11">
        <f t="shared" si="71"/>
        <v>0.47816047729521538</v>
      </c>
      <c r="U331" s="18">
        <f>IF(Y330=0,0,MIN(MAX(S331,0),MAX(0,$B$5-IF($A331&gt;='1-Input'!$C$12,'1-Input'!$B$12,0))/(1-'P-Parametri'!$B$6*T331)))</f>
        <v>0</v>
      </c>
      <c r="V331" s="18">
        <f t="shared" si="72"/>
        <v>20363.266674657447</v>
      </c>
      <c r="W331" s="18">
        <f t="shared" si="73"/>
        <v>11075.291206966394</v>
      </c>
      <c r="X331" s="18">
        <f>IF(Y331=0,X330,X330+U331*T331*'P-Parametri'!$B$6)</f>
        <v>22161.588802447641</v>
      </c>
      <c r="Y331" s="10">
        <f>IF(AND(Y330=1,U331*(1-'P-Parametri'!$B$6*T331)&gt;=MAX(0,$B$5-IF($A331&gt;='1-Input'!$C$12,'1-Input'!$B$12,0))-0.01),1,0)</f>
        <v>0</v>
      </c>
    </row>
    <row r="332" spans="1:25">
      <c r="A332" s="10">
        <f>34</f>
        <v>34</v>
      </c>
      <c r="B332" s="11">
        <f>IF(A332=1,'P-Parametri'!$B$30,IF(A332=2,'P-Parametri'!$C$30,'P-Parametri'!$B$29))</f>
        <v>6.8512000000000003E-2</v>
      </c>
      <c r="C332" s="18">
        <f>F331*(1+('P-Parametri'!$B$31*$B332+'P-Parametri'!$C$31*'P-Parametri'!$C$29+'P-Parametri'!$D$31*'1-Input'!$B$27-0))</f>
        <v>336023.11964041839</v>
      </c>
      <c r="D332" s="11">
        <f t="shared" si="65"/>
        <v>0.6976958138758641</v>
      </c>
      <c r="E332" s="18">
        <f>IF(I331=0,0,MIN(MAX(C332,0),MAX(0,$B$4-IF($A332&gt;='1-Input'!$C$12,'1-Input'!$B$12,0))/(1-'P-Parametri'!$B$6*D332)))</f>
        <v>2318.5953013063609</v>
      </c>
      <c r="F332" s="18">
        <f t="shared" si="66"/>
        <v>333704.52433911205</v>
      </c>
      <c r="G332" s="18">
        <f t="shared" si="67"/>
        <v>100880.27463627717</v>
      </c>
      <c r="H332" s="18">
        <f>IF(I332=0,H331,H331+E332*D332*'P-Parametri'!$B$6)</f>
        <v>23068.420818151451</v>
      </c>
      <c r="I332" s="10">
        <f>IF(AND(I331=1,E332*(1-'P-Parametri'!$B$6*D332)&gt;=MAX(0,$B$4-IF($A332&gt;='1-Input'!$C$12,'1-Input'!$B$12,0))-0.01),1,0)</f>
        <v>1</v>
      </c>
      <c r="K332" s="18">
        <f>N331*(1+('P-Parametri'!$B$31*$B332+'P-Parametri'!$C$31*'P-Parametri'!$C$29+'P-Parametri'!$D$31*'1-Input'!$B$27-'1-Input'!$B$21))</f>
        <v>317962.87183042552</v>
      </c>
      <c r="L332" s="11">
        <f t="shared" si="68"/>
        <v>0.68727972194419795</v>
      </c>
      <c r="M332" s="18">
        <f>IF(Q331=0,0,MIN(MAX(K332,0),MAX(0,$B$4-IF($A332&gt;='1-Input'!$C$12,'1-Input'!$B$12,0))/(1-'P-Parametri'!$B$6*L332)))</f>
        <v>2310.9499501903906</v>
      </c>
      <c r="N332" s="18">
        <f t="shared" si="69"/>
        <v>315651.92188023514</v>
      </c>
      <c r="O332" s="18">
        <f t="shared" si="70"/>
        <v>98710.756779235409</v>
      </c>
      <c r="P332" s="18">
        <f>IF(Q332=0,P331,P331+M332*L332*'P-Parametri'!$B$6)</f>
        <v>22306.157787298933</v>
      </c>
      <c r="Q332" s="10">
        <f>IF(AND(Q331=1,M332*(1-'P-Parametri'!$B$6*L332)&gt;=MAX(0,$B$4-IF($A332&gt;='1-Input'!$C$12,'1-Input'!$B$12,0))-0.01),1,0)</f>
        <v>1</v>
      </c>
      <c r="S332" s="18">
        <f>V331*(1+('P-Parametri'!$B$31*$B332+'P-Parametri'!$C$31*'P-Parametri'!$C$29+'P-Parametri'!$D$31*'1-Input'!$B$27-0))</f>
        <v>21223.557674515036</v>
      </c>
      <c r="T332" s="11">
        <f t="shared" si="71"/>
        <v>0.47816047729521538</v>
      </c>
      <c r="U332" s="18">
        <f>IF(Y331=0,0,MIN(MAX(S332,0),MAX(0,$B$5-IF($A332&gt;='1-Input'!$C$12,'1-Input'!$B$12,0))/(1-'P-Parametri'!$B$6*T332)))</f>
        <v>0</v>
      </c>
      <c r="V332" s="18">
        <f t="shared" si="72"/>
        <v>20363.266674657447</v>
      </c>
      <c r="W332" s="18">
        <f t="shared" si="73"/>
        <v>11075.291206966394</v>
      </c>
      <c r="X332" s="18">
        <f>IF(Y332=0,X331,X331+U332*T332*'P-Parametri'!$B$6)</f>
        <v>22161.588802447641</v>
      </c>
      <c r="Y332" s="10">
        <f>IF(AND(Y331=1,U332*(1-'P-Parametri'!$B$6*T332)&gt;=MAX(0,$B$5-IF($A332&gt;='1-Input'!$C$12,'1-Input'!$B$12,0))-0.01),1,0)</f>
        <v>0</v>
      </c>
    </row>
    <row r="333" spans="1:25">
      <c r="A333" s="10">
        <f>35</f>
        <v>35</v>
      </c>
      <c r="B333" s="11">
        <f>IF(A333=1,'P-Parametri'!$B$30,IF(A333=2,'P-Parametri'!$C$30,'P-Parametri'!$B$29))</f>
        <v>6.8512000000000003E-2</v>
      </c>
      <c r="C333" s="18">
        <f>F332*(1+('P-Parametri'!$B$31*$B333+'P-Parametri'!$C$31*'P-Parametri'!$C$29+'P-Parametri'!$D$31*'1-Input'!$B$27-0))</f>
        <v>347802.60611977137</v>
      </c>
      <c r="D333" s="11">
        <f t="shared" si="65"/>
        <v>0.70994962987270593</v>
      </c>
      <c r="E333" s="18">
        <f>IF(I332=0,0,MIN(MAX(C333,0),MAX(0,$B$4-IF($A333&gt;='1-Input'!$C$12,'1-Input'!$B$12,0))/(1-'P-Parametri'!$B$6*D333)))</f>
        <v>2327.6545456138124</v>
      </c>
      <c r="F333" s="18">
        <f t="shared" si="66"/>
        <v>345474.95157415757</v>
      </c>
      <c r="G333" s="18">
        <f t="shared" si="67"/>
        <v>100205.13757379341</v>
      </c>
      <c r="H333" s="18">
        <f>IF(I333=0,H332,H332+E333*D333*'P-Parametri'!$B$6)</f>
        <v>23498.075363765263</v>
      </c>
      <c r="I333" s="10">
        <f>IF(AND(I332=1,E333*(1-'P-Parametri'!$B$6*D333)&gt;=MAX(0,$B$4-IF($A333&gt;='1-Input'!$C$12,'1-Input'!$B$12,0))-0.01),1,0)</f>
        <v>1</v>
      </c>
      <c r="K333" s="18">
        <f>N332*(1+('P-Parametri'!$B$31*$B333+'P-Parametri'!$C$31*'P-Parametri'!$C$29+'P-Parametri'!$D$31*'1-Input'!$B$27-'1-Input'!$B$21))</f>
        <v>328671.67983241356</v>
      </c>
      <c r="L333" s="11">
        <f t="shared" si="68"/>
        <v>0.69966759281004365</v>
      </c>
      <c r="M333" s="18">
        <f>IF(Q332=0,0,MIN(MAX(K333,0),MAX(0,$B$4-IF($A333&gt;='1-Input'!$C$12,'1-Input'!$B$12,0))/(1-'P-Parametri'!$B$6*L333)))</f>
        <v>2320.0482736074937</v>
      </c>
      <c r="N333" s="18">
        <f t="shared" si="69"/>
        <v>326351.63155880605</v>
      </c>
      <c r="O333" s="18">
        <f t="shared" si="70"/>
        <v>98013.971096425972</v>
      </c>
      <c r="P333" s="18">
        <f>IF(Q333=0,P332,P332+M333*L333*'P-Parametri'!$B$6)</f>
        <v>22728.206060906428</v>
      </c>
      <c r="Q333" s="10">
        <f>IF(AND(Q332=1,M333*(1-'P-Parametri'!$B$6*L333)&gt;=MAX(0,$B$4-IF($A333&gt;='1-Input'!$C$12,'1-Input'!$B$12,0))-0.01),1,0)</f>
        <v>1</v>
      </c>
      <c r="S333" s="18">
        <f>V332*(1+('P-Parametri'!$B$31*$B333+'P-Parametri'!$C$31*'P-Parametri'!$C$29+'P-Parametri'!$D$31*'1-Input'!$B$27-0))</f>
        <v>21223.557674515036</v>
      </c>
      <c r="T333" s="11">
        <f t="shared" si="71"/>
        <v>0.47816047729521538</v>
      </c>
      <c r="U333" s="18">
        <f>IF(Y332=0,0,MIN(MAX(S333,0),MAX(0,$B$5-IF($A333&gt;='1-Input'!$C$12,'1-Input'!$B$12,0))/(1-'P-Parametri'!$B$6*T333)))</f>
        <v>0</v>
      </c>
      <c r="V333" s="18">
        <f t="shared" si="72"/>
        <v>20363.266674657447</v>
      </c>
      <c r="W333" s="18">
        <f t="shared" si="73"/>
        <v>11075.291206966394</v>
      </c>
      <c r="X333" s="18">
        <f>IF(Y333=0,X332,X332+U333*T333*'P-Parametri'!$B$6)</f>
        <v>22161.588802447641</v>
      </c>
      <c r="Y333" s="10">
        <f>IF(AND(Y332=1,U333*(1-'P-Parametri'!$B$6*T333)&gt;=MAX(0,$B$5-IF($A333&gt;='1-Input'!$C$12,'1-Input'!$B$12,0))-0.01),1,0)</f>
        <v>0</v>
      </c>
    </row>
    <row r="334" spans="1:25">
      <c r="A334" s="10">
        <f>36</f>
        <v>36</v>
      </c>
      <c r="B334" s="11">
        <f>IF(A334=1,'P-Parametri'!$B$30,IF(A334=2,'P-Parametri'!$C$30,'P-Parametri'!$B$29))</f>
        <v>6.8512000000000003E-2</v>
      </c>
      <c r="C334" s="18">
        <f>F333*(1+('P-Parametri'!$B$31*$B334+'P-Parametri'!$C$31*'P-Parametri'!$C$29+'P-Parametri'!$D$31*'1-Input'!$B$27-0))</f>
        <v>360070.30094830133</v>
      </c>
      <c r="D334" s="11">
        <f t="shared" si="65"/>
        <v>0.72170674085064068</v>
      </c>
      <c r="E334" s="18">
        <f>IF(I333=0,0,MIN(MAX(C334,0),MAX(0,$B$4-IF($A334&gt;='1-Input'!$C$12,'1-Input'!$B$12,0))/(1-'P-Parametri'!$B$6*D334)))</f>
        <v>2336.4133729803011</v>
      </c>
      <c r="F334" s="18">
        <f t="shared" si="66"/>
        <v>357733.88757532102</v>
      </c>
      <c r="G334" s="18">
        <f t="shared" si="67"/>
        <v>99554.92948150658</v>
      </c>
      <c r="H334" s="18">
        <f>IF(I334=0,H333,H333+E334*D334*'P-Parametri'!$B$6)</f>
        <v>23936.488736745563</v>
      </c>
      <c r="I334" s="10">
        <f>IF(AND(I333=1,E334*(1-'P-Parametri'!$B$6*D334)&gt;=MAX(0,$B$4-IF($A334&gt;='1-Input'!$C$12,'1-Input'!$B$12,0))-0.01),1,0)</f>
        <v>1</v>
      </c>
      <c r="K334" s="18">
        <f>N333*(1+('P-Parametri'!$B$31*$B334+'P-Parametri'!$C$31*'P-Parametri'!$C$29+'P-Parametri'!$D$31*'1-Input'!$B$27-'1-Input'!$B$21))</f>
        <v>339812.72257603839</v>
      </c>
      <c r="L334" s="11">
        <f t="shared" si="68"/>
        <v>0.71156473967953393</v>
      </c>
      <c r="M334" s="18">
        <f>IF(Q333=0,0,MIN(MAX(K334,0),MAX(0,$B$4-IF($A334&gt;='1-Input'!$C$12,'1-Input'!$B$12,0))/(1-'P-Parametri'!$B$6*L334)))</f>
        <v>2328.8538791008596</v>
      </c>
      <c r="N334" s="18">
        <f t="shared" si="69"/>
        <v>337483.86869693751</v>
      </c>
      <c r="O334" s="18">
        <f t="shared" si="70"/>
        <v>97342.247521559184</v>
      </c>
      <c r="P334" s="18">
        <f>IF(Q334=0,P333,P333+M334*L334*'P-Parametri'!$B$6)</f>
        <v>23159.05994000729</v>
      </c>
      <c r="Q334" s="10">
        <f>IF(AND(Q333=1,M334*(1-'P-Parametri'!$B$6*L334)&gt;=MAX(0,$B$4-IF($A334&gt;='1-Input'!$C$12,'1-Input'!$B$12,0))-0.01),1,0)</f>
        <v>1</v>
      </c>
      <c r="S334" s="18">
        <f>V333*(1+('P-Parametri'!$B$31*$B334+'P-Parametri'!$C$31*'P-Parametri'!$C$29+'P-Parametri'!$D$31*'1-Input'!$B$27-0))</f>
        <v>21223.557674515036</v>
      </c>
      <c r="T334" s="11">
        <f t="shared" si="71"/>
        <v>0.47816047729521538</v>
      </c>
      <c r="U334" s="18">
        <f>IF(Y333=0,0,MIN(MAX(S334,0),MAX(0,$B$5-IF($A334&gt;='1-Input'!$C$12,'1-Input'!$B$12,0))/(1-'P-Parametri'!$B$6*T334)))</f>
        <v>0</v>
      </c>
      <c r="V334" s="18">
        <f t="shared" si="72"/>
        <v>20363.266674657447</v>
      </c>
      <c r="W334" s="18">
        <f t="shared" si="73"/>
        <v>11075.291206966394</v>
      </c>
      <c r="X334" s="18">
        <f>IF(Y334=0,X333,X333+U334*T334*'P-Parametri'!$B$6)</f>
        <v>22161.588802447641</v>
      </c>
      <c r="Y334" s="10">
        <f>IF(AND(Y333=1,U334*(1-'P-Parametri'!$B$6*T334)&gt;=MAX(0,$B$5-IF($A334&gt;='1-Input'!$C$12,'1-Input'!$B$12,0))-0.01),1,0)</f>
        <v>0</v>
      </c>
    </row>
    <row r="335" spans="1:25">
      <c r="A335" s="10">
        <f>37</f>
        <v>37</v>
      </c>
      <c r="B335" s="11">
        <f>IF(A335=1,'P-Parametri'!$B$30,IF(A335=2,'P-Parametri'!$C$30,'P-Parametri'!$B$29))</f>
        <v>6.8512000000000003E-2</v>
      </c>
      <c r="C335" s="18">
        <f>F334*(1+('P-Parametri'!$B$31*$B335+'P-Parametri'!$C$31*'P-Parametri'!$C$29+'P-Parametri'!$D$31*'1-Input'!$B$27-0))</f>
        <v>372847.14267049311</v>
      </c>
      <c r="D335" s="11">
        <f t="shared" si="65"/>
        <v>0.73298728060928409</v>
      </c>
      <c r="E335" s="18">
        <f>IF(I334=0,0,MIN(MAX(C335,0),MAX(0,$B$4-IF($A335&gt;='1-Input'!$C$12,'1-Input'!$B$12,0))/(1-'P-Parametri'!$B$6*D335)))</f>
        <v>2344.8793523590562</v>
      </c>
      <c r="F335" s="18">
        <f t="shared" si="66"/>
        <v>370502.26331813406</v>
      </c>
      <c r="G335" s="18">
        <f t="shared" si="67"/>
        <v>98928.816868990049</v>
      </c>
      <c r="H335" s="18">
        <f>IF(I335=0,H334,H334+E335*D335*'P-Parametri'!$B$6)</f>
        <v>24383.368089104621</v>
      </c>
      <c r="I335" s="10">
        <f>IF(AND(I334=1,E335*(1-'P-Parametri'!$B$6*D335)&gt;=MAX(0,$B$4-IF($A335&gt;='1-Input'!$C$12,'1-Input'!$B$12,0))-0.01),1,0)</f>
        <v>1</v>
      </c>
      <c r="K335" s="18">
        <f>N334*(1+('P-Parametri'!$B$31*$B335+'P-Parametri'!$C$31*'P-Parametri'!$C$29+'P-Parametri'!$D$31*'1-Input'!$B$27-'1-Input'!$B$21))</f>
        <v>351404.13332585379</v>
      </c>
      <c r="L335" s="11">
        <f t="shared" si="68"/>
        <v>0.72299060173178264</v>
      </c>
      <c r="M335" s="18">
        <f>IF(Q334=0,0,MIN(MAX(K335,0),MAX(0,$B$4-IF($A335&gt;='1-Input'!$C$12,'1-Input'!$B$12,0))/(1-'P-Parametri'!$B$6*L335)))</f>
        <v>2337.3738190079312</v>
      </c>
      <c r="N335" s="18">
        <f t="shared" si="69"/>
        <v>349066.75950684585</v>
      </c>
      <c r="O335" s="18">
        <f t="shared" si="70"/>
        <v>96694.773006427917</v>
      </c>
      <c r="P335" s="18">
        <f>IF(Q335=0,P334,P334+M335*L335*'P-Parametri'!$B$6)</f>
        <v>23598.433759015221</v>
      </c>
      <c r="Q335" s="10">
        <f>IF(AND(Q334=1,M335*(1-'P-Parametri'!$B$6*L335)&gt;=MAX(0,$B$4-IF($A335&gt;='1-Input'!$C$12,'1-Input'!$B$12,0))-0.01),1,0)</f>
        <v>1</v>
      </c>
      <c r="S335" s="18">
        <f>V334*(1+('P-Parametri'!$B$31*$B335+'P-Parametri'!$C$31*'P-Parametri'!$C$29+'P-Parametri'!$D$31*'1-Input'!$B$27-0))</f>
        <v>21223.557674515036</v>
      </c>
      <c r="T335" s="11">
        <f t="shared" si="71"/>
        <v>0.47816047729521538</v>
      </c>
      <c r="U335" s="18">
        <f>IF(Y334=0,0,MIN(MAX(S335,0),MAX(0,$B$5-IF($A335&gt;='1-Input'!$C$12,'1-Input'!$B$12,0))/(1-'P-Parametri'!$B$6*T335)))</f>
        <v>0</v>
      </c>
      <c r="V335" s="18">
        <f t="shared" si="72"/>
        <v>20363.266674657447</v>
      </c>
      <c r="W335" s="18">
        <f t="shared" si="73"/>
        <v>11075.291206966394</v>
      </c>
      <c r="X335" s="18">
        <f>IF(Y335=0,X334,X334+U335*T335*'P-Parametri'!$B$6)</f>
        <v>22161.588802447641</v>
      </c>
      <c r="Y335" s="10">
        <f>IF(AND(Y334=1,U335*(1-'P-Parametri'!$B$6*T335)&gt;=MAX(0,$B$5-IF($A335&gt;='1-Input'!$C$12,'1-Input'!$B$12,0))-0.01),1,0)</f>
        <v>0</v>
      </c>
    </row>
    <row r="336" spans="1:25">
      <c r="A336" s="10">
        <f>38</f>
        <v>38</v>
      </c>
      <c r="B336" s="11">
        <f>IF(A336=1,'P-Parametri'!$B$30,IF(A336=2,'P-Parametri'!$C$30,'P-Parametri'!$B$29))</f>
        <v>6.8512000000000003E-2</v>
      </c>
      <c r="C336" s="18">
        <f>F335*(1+('P-Parametri'!$B$31*$B336+'P-Parametri'!$C$31*'P-Parametri'!$C$29+'P-Parametri'!$D$31*'1-Input'!$B$27-0))</f>
        <v>386154.94653698796</v>
      </c>
      <c r="D336" s="11">
        <f t="shared" si="65"/>
        <v>0.74381056683029156</v>
      </c>
      <c r="E336" s="18">
        <f>IF(I335=0,0,MIN(MAX(C336,0),MAX(0,$B$4-IF($A336&gt;='1-Input'!$C$12,'1-Input'!$B$12,0))/(1-'P-Parametri'!$B$6*D336)))</f>
        <v>2353.0600396973855</v>
      </c>
      <c r="F336" s="18">
        <f t="shared" si="66"/>
        <v>383801.88649729057</v>
      </c>
      <c r="G336" s="18">
        <f t="shared" si="67"/>
        <v>98325.987751205685</v>
      </c>
      <c r="H336" s="18">
        <f>IF(I336=0,H335,H335+E336*D336*'P-Parametri'!$B$6)</f>
        <v>24838.428128802007</v>
      </c>
      <c r="I336" s="10">
        <f>IF(AND(I335=1,E336*(1-'P-Parametri'!$B$6*D336)&gt;=MAX(0,$B$4-IF($A336&gt;='1-Input'!$C$12,'1-Input'!$B$12,0))-0.01),1,0)</f>
        <v>1</v>
      </c>
      <c r="K336" s="18">
        <f>N335*(1+('P-Parametri'!$B$31*$B336+'P-Parametri'!$C$31*'P-Parametri'!$C$29+'P-Parametri'!$D$31*'1-Input'!$B$27-'1-Input'!$B$21))</f>
        <v>363464.78594957659</v>
      </c>
      <c r="L336" s="11">
        <f t="shared" si="68"/>
        <v>0.73396384809657356</v>
      </c>
      <c r="M336" s="18">
        <f>IF(Q335=0,0,MIN(MAX(K336,0),MAX(0,$B$4-IF($A336&gt;='1-Input'!$C$12,'1-Input'!$B$12,0))/(1-'P-Parametri'!$B$6*L336)))</f>
        <v>2345.6151470690706</v>
      </c>
      <c r="N336" s="18">
        <f t="shared" si="69"/>
        <v>361119.17080250749</v>
      </c>
      <c r="O336" s="18">
        <f t="shared" si="70"/>
        <v>96070.754578855267</v>
      </c>
      <c r="P336" s="18">
        <f>IF(Q336=0,P335,P335+M336*L336*'P-Parametri'!$B$6)</f>
        <v>24046.048906084292</v>
      </c>
      <c r="Q336" s="10">
        <f>IF(AND(Q335=1,M336*(1-'P-Parametri'!$B$6*L336)&gt;=MAX(0,$B$4-IF($A336&gt;='1-Input'!$C$12,'1-Input'!$B$12,0))-0.01),1,0)</f>
        <v>1</v>
      </c>
      <c r="S336" s="18">
        <f>V335*(1+('P-Parametri'!$B$31*$B336+'P-Parametri'!$C$31*'P-Parametri'!$C$29+'P-Parametri'!$D$31*'1-Input'!$B$27-0))</f>
        <v>21223.557674515036</v>
      </c>
      <c r="T336" s="11">
        <f t="shared" si="71"/>
        <v>0.47816047729521538</v>
      </c>
      <c r="U336" s="18">
        <f>IF(Y335=0,0,MIN(MAX(S336,0),MAX(0,$B$5-IF($A336&gt;='1-Input'!$C$12,'1-Input'!$B$12,0))/(1-'P-Parametri'!$B$6*T336)))</f>
        <v>0</v>
      </c>
      <c r="V336" s="18">
        <f t="shared" si="72"/>
        <v>20363.266674657447</v>
      </c>
      <c r="W336" s="18">
        <f t="shared" si="73"/>
        <v>11075.291206966394</v>
      </c>
      <c r="X336" s="18">
        <f>IF(Y336=0,X335,X335+U336*T336*'P-Parametri'!$B$6)</f>
        <v>22161.588802447641</v>
      </c>
      <c r="Y336" s="10">
        <f>IF(AND(Y335=1,U336*(1-'P-Parametri'!$B$6*T336)&gt;=MAX(0,$B$5-IF($A336&gt;='1-Input'!$C$12,'1-Input'!$B$12,0))-0.01),1,0)</f>
        <v>0</v>
      </c>
    </row>
    <row r="337" spans="1:25">
      <c r="A337" s="10">
        <f>39</f>
        <v>39</v>
      </c>
      <c r="B337" s="11">
        <f>IF(A337=1,'P-Parametri'!$B$30,IF(A337=2,'P-Parametri'!$C$30,'P-Parametri'!$B$29))</f>
        <v>6.8512000000000003E-2</v>
      </c>
      <c r="C337" s="18">
        <f>F336*(1+('P-Parametri'!$B$31*$B337+'P-Parametri'!$C$31*'P-Parametri'!$C$29+'P-Parametri'!$D$31*'1-Input'!$B$27-0))</f>
        <v>400016.4415565189</v>
      </c>
      <c r="D337" s="11">
        <f t="shared" si="65"/>
        <v>0.75419513415847172</v>
      </c>
      <c r="E337" s="18">
        <f>IF(I336=0,0,MIN(MAX(C337,0),MAX(0,$B$4-IF($A337&gt;='1-Input'!$C$12,'1-Input'!$B$12,0))/(1-'P-Parametri'!$B$6*D337)))</f>
        <v>2360.9629623058568</v>
      </c>
      <c r="F337" s="18">
        <f t="shared" si="66"/>
        <v>397655.47859421303</v>
      </c>
      <c r="G337" s="18">
        <f t="shared" si="67"/>
        <v>97745.65156699928</v>
      </c>
      <c r="H337" s="18">
        <f>IF(I337=0,H336,H336+E337*D337*'P-Parametri'!$B$6)</f>
        <v>25301.391091107864</v>
      </c>
      <c r="I337" s="10">
        <f>IF(AND(I336=1,E337*(1-'P-Parametri'!$B$6*D337)&gt;=MAX(0,$B$4-IF($A337&gt;='1-Input'!$C$12,'1-Input'!$B$12,0))-0.01),1,0)</f>
        <v>1</v>
      </c>
      <c r="K337" s="18">
        <f>N336*(1+('P-Parametri'!$B$31*$B337+'P-Parametri'!$C$31*'P-Parametri'!$C$29+'P-Parametri'!$D$31*'1-Input'!$B$27-'1-Input'!$B$21))</f>
        <v>376014.32546443265</v>
      </c>
      <c r="L337" s="11">
        <f t="shared" si="68"/>
        <v>0.74450240835852766</v>
      </c>
      <c r="M337" s="18">
        <f>IF(Q336=0,0,MIN(MAX(K337,0),MAX(0,$B$4-IF($A337&gt;='1-Input'!$C$12,'1-Input'!$B$12,0))/(1-'P-Parametri'!$B$6*L337)))</f>
        <v>2353.5849035276851</v>
      </c>
      <c r="N337" s="18">
        <f t="shared" si="69"/>
        <v>373660.74056090496</v>
      </c>
      <c r="O337" s="18">
        <f t="shared" si="70"/>
        <v>95469.419304280222</v>
      </c>
      <c r="P337" s="18">
        <f>IF(Q337=0,P336,P336+M337*L337*'P-Parametri'!$B$6)</f>
        <v>24501.633809611976</v>
      </c>
      <c r="Q337" s="10">
        <f>IF(AND(Q336=1,M337*(1-'P-Parametri'!$B$6*L337)&gt;=MAX(0,$B$4-IF($A337&gt;='1-Input'!$C$12,'1-Input'!$B$12,0))-0.01),1,0)</f>
        <v>1</v>
      </c>
      <c r="S337" s="18">
        <f>V336*(1+('P-Parametri'!$B$31*$B337+'P-Parametri'!$C$31*'P-Parametri'!$C$29+'P-Parametri'!$D$31*'1-Input'!$B$27-0))</f>
        <v>21223.557674515036</v>
      </c>
      <c r="T337" s="11">
        <f t="shared" si="71"/>
        <v>0.47816047729521538</v>
      </c>
      <c r="U337" s="18">
        <f>IF(Y336=0,0,MIN(MAX(S337,0),MAX(0,$B$5-IF($A337&gt;='1-Input'!$C$12,'1-Input'!$B$12,0))/(1-'P-Parametri'!$B$6*T337)))</f>
        <v>0</v>
      </c>
      <c r="V337" s="18">
        <f t="shared" si="72"/>
        <v>20363.266674657447</v>
      </c>
      <c r="W337" s="18">
        <f t="shared" si="73"/>
        <v>11075.291206966394</v>
      </c>
      <c r="X337" s="18">
        <f>IF(Y337=0,X336,X336+U337*T337*'P-Parametri'!$B$6)</f>
        <v>22161.588802447641</v>
      </c>
      <c r="Y337" s="10">
        <f>IF(AND(Y336=1,U337*(1-'P-Parametri'!$B$6*T337)&gt;=MAX(0,$B$5-IF($A337&gt;='1-Input'!$C$12,'1-Input'!$B$12,0))-0.01),1,0)</f>
        <v>0</v>
      </c>
    </row>
    <row r="338" spans="1:25">
      <c r="A338" s="10">
        <f>40</f>
        <v>40</v>
      </c>
      <c r="B338" s="11">
        <f>IF(A338=1,'P-Parametri'!$B$30,IF(A338=2,'P-Parametri'!$C$30,'P-Parametri'!$B$29))</f>
        <v>6.8512000000000003E-2</v>
      </c>
      <c r="C338" s="18">
        <f>F337*(1+('P-Parametri'!$B$31*$B338+'P-Parametri'!$C$31*'P-Parametri'!$C$29+'P-Parametri'!$D$31*'1-Input'!$B$27-0))</f>
        <v>414455.30912947847</v>
      </c>
      <c r="D338" s="11">
        <f t="shared" si="65"/>
        <v>0.76415876594196819</v>
      </c>
      <c r="E338" s="18">
        <f>IF(I337=0,0,MIN(MAX(C338,0),MAX(0,$B$4-IF($A338&gt;='1-Input'!$C$12,'1-Input'!$B$12,0))/(1-'P-Parametri'!$B$6*D338)))</f>
        <v>2368.5956044738873</v>
      </c>
      <c r="F338" s="18">
        <f t="shared" si="66"/>
        <v>412086.71352500457</v>
      </c>
      <c r="G338" s="18">
        <f t="shared" si="67"/>
        <v>97187.039056655733</v>
      </c>
      <c r="H338" s="18">
        <f>IF(I338=0,H337,H337+E338*D338*'P-Parametri'!$B$6)</f>
        <v>25771.986695581752</v>
      </c>
      <c r="I338" s="10">
        <f>IF(AND(I337=1,E338*(1-'P-Parametri'!$B$6*D338)&gt;=MAX(0,$B$4-IF($A338&gt;='1-Input'!$C$12,'1-Input'!$B$12,0))-0.01),1,0)</f>
        <v>1</v>
      </c>
      <c r="K338" s="18">
        <f>N337*(1+('P-Parametri'!$B$31*$B338+'P-Parametri'!$C$31*'P-Parametri'!$C$29+'P-Parametri'!$D$31*'1-Input'!$B$27-'1-Input'!$B$21))</f>
        <v>389073.19985896867</v>
      </c>
      <c r="L338" s="11">
        <f t="shared" si="68"/>
        <v>0.75462350185290061</v>
      </c>
      <c r="M338" s="18">
        <f>IF(Q337=0,0,MIN(MAX(K338,0),MAX(0,$B$4-IF($A338&gt;='1-Input'!$C$12,'1-Input'!$B$12,0))/(1-'P-Parametri'!$B$6*L338)))</f>
        <v>2361.2901013432138</v>
      </c>
      <c r="N338" s="18">
        <f t="shared" si="69"/>
        <v>386711.90975762543</v>
      </c>
      <c r="O338" s="18">
        <f t="shared" si="70"/>
        <v>94890.01420810321</v>
      </c>
      <c r="P338" s="18">
        <f>IF(Q338=0,P337,P337+M338*L338*'P-Parametri'!$B$6)</f>
        <v>24964.923910955189</v>
      </c>
      <c r="Q338" s="10">
        <f>IF(AND(Q337=1,M338*(1-'P-Parametri'!$B$6*L338)&gt;=MAX(0,$B$4-IF($A338&gt;='1-Input'!$C$12,'1-Input'!$B$12,0))-0.01),1,0)</f>
        <v>1</v>
      </c>
      <c r="S338" s="18">
        <f>V337*(1+('P-Parametri'!$B$31*$B338+'P-Parametri'!$C$31*'P-Parametri'!$C$29+'P-Parametri'!$D$31*'1-Input'!$B$27-0))</f>
        <v>21223.557674515036</v>
      </c>
      <c r="T338" s="11">
        <f t="shared" si="71"/>
        <v>0.47816047729521538</v>
      </c>
      <c r="U338" s="18">
        <f>IF(Y337=0,0,MIN(MAX(S338,0),MAX(0,$B$5-IF($A338&gt;='1-Input'!$C$12,'1-Input'!$B$12,0))/(1-'P-Parametri'!$B$6*T338)))</f>
        <v>0</v>
      </c>
      <c r="V338" s="18">
        <f t="shared" si="72"/>
        <v>20363.266674657447</v>
      </c>
      <c r="W338" s="18">
        <f t="shared" si="73"/>
        <v>11075.291206966394</v>
      </c>
      <c r="X338" s="18">
        <f>IF(Y338=0,X337,X337+U338*T338*'P-Parametri'!$B$6)</f>
        <v>22161.588802447641</v>
      </c>
      <c r="Y338" s="10">
        <f>IF(AND(Y337=1,U338*(1-'P-Parametri'!$B$6*T338)&gt;=MAX(0,$B$5-IF($A338&gt;='1-Input'!$C$12,'1-Input'!$B$12,0))-0.01),1,0)</f>
        <v>0</v>
      </c>
    </row>
    <row r="339" spans="1:25">
      <c r="A339" s="10">
        <f>41</f>
        <v>41</v>
      </c>
      <c r="B339" s="11">
        <f>IF(A339=1,'P-Parametri'!$B$30,IF(A339=2,'P-Parametri'!$C$30,'P-Parametri'!$B$29))</f>
        <v>6.8512000000000003E-2</v>
      </c>
      <c r="C339" s="18">
        <f>F338*(1+('P-Parametri'!$B$31*$B339+'P-Parametri'!$C$31*'P-Parametri'!$C$29+'P-Parametri'!$D$31*'1-Input'!$B$27-0))</f>
        <v>429496.22332863818</v>
      </c>
      <c r="D339" s="11">
        <f t="shared" si="65"/>
        <v>0.77371852468585978</v>
      </c>
      <c r="E339" s="18">
        <f>IF(I338=0,0,MIN(MAX(C339,0),MAX(0,$B$4-IF($A339&gt;='1-Input'!$C$12,'1-Input'!$B$12,0))/(1-'P-Parametri'!$B$6*D339)))</f>
        <v>2375.9653942892819</v>
      </c>
      <c r="F339" s="18">
        <f t="shared" si="66"/>
        <v>427120.25793434889</v>
      </c>
      <c r="G339" s="18">
        <f t="shared" si="67"/>
        <v>96649.402101940606</v>
      </c>
      <c r="H339" s="18">
        <f>IF(I339=0,H338,H338+E339*D339*'P-Parametri'!$B$6)</f>
        <v>26249.952089871033</v>
      </c>
      <c r="I339" s="10">
        <f>IF(AND(I338=1,E339*(1-'P-Parametri'!$B$6*D339)&gt;=MAX(0,$B$4-IF($A339&gt;='1-Input'!$C$12,'1-Input'!$B$12,0))-0.01),1,0)</f>
        <v>1</v>
      </c>
      <c r="K339" s="18">
        <f>N338*(1+('P-Parametri'!$B$31*$B339+'P-Parametri'!$C$31*'P-Parametri'!$C$29+'P-Parametri'!$D$31*'1-Input'!$B$27-'1-Input'!$B$21))</f>
        <v>402662.6932417801</v>
      </c>
      <c r="L339" s="11">
        <f t="shared" si="68"/>
        <v>0.76434366580087854</v>
      </c>
      <c r="M339" s="18">
        <f>IF(Q338=0,0,MIN(MAX(K339,0),MAX(0,$B$4-IF($A339&gt;='1-Input'!$C$12,'1-Input'!$B$12,0))/(1-'P-Parametri'!$B$6*L339)))</f>
        <v>2368.7377134836747</v>
      </c>
      <c r="N339" s="18">
        <f t="shared" si="69"/>
        <v>400293.95552829641</v>
      </c>
      <c r="O339" s="18">
        <f t="shared" si="70"/>
        <v>94331.806161864442</v>
      </c>
      <c r="P339" s="18">
        <f>IF(Q339=0,P338,P338+M339*L339*'P-Parametri'!$B$6)</f>
        <v>25435.661624438864</v>
      </c>
      <c r="Q339" s="10">
        <f>IF(AND(Q338=1,M339*(1-'P-Parametri'!$B$6*L339)&gt;=MAX(0,$B$4-IF($A339&gt;='1-Input'!$C$12,'1-Input'!$B$12,0))-0.01),1,0)</f>
        <v>1</v>
      </c>
      <c r="S339" s="18">
        <f>V338*(1+('P-Parametri'!$B$31*$B339+'P-Parametri'!$C$31*'P-Parametri'!$C$29+'P-Parametri'!$D$31*'1-Input'!$B$27-0))</f>
        <v>21223.557674515036</v>
      </c>
      <c r="T339" s="11">
        <f t="shared" si="71"/>
        <v>0.47816047729521538</v>
      </c>
      <c r="U339" s="18">
        <f>IF(Y338=0,0,MIN(MAX(S339,0),MAX(0,$B$5-IF($A339&gt;='1-Input'!$C$12,'1-Input'!$B$12,0))/(1-'P-Parametri'!$B$6*T339)))</f>
        <v>0</v>
      </c>
      <c r="V339" s="18">
        <f t="shared" si="72"/>
        <v>20363.266674657447</v>
      </c>
      <c r="W339" s="18">
        <f t="shared" si="73"/>
        <v>11075.291206966394</v>
      </c>
      <c r="X339" s="18">
        <f>IF(Y339=0,X338,X338+U339*T339*'P-Parametri'!$B$6)</f>
        <v>22161.588802447641</v>
      </c>
      <c r="Y339" s="10">
        <f>IF(AND(Y338=1,U339*(1-'P-Parametri'!$B$6*T339)&gt;=MAX(0,$B$5-IF($A339&gt;='1-Input'!$C$12,'1-Input'!$B$12,0))-0.01),1,0)</f>
        <v>0</v>
      </c>
    </row>
    <row r="340" spans="1:25">
      <c r="A340" s="10">
        <f>42</f>
        <v>42</v>
      </c>
      <c r="B340" s="11">
        <f>IF(A340=1,'P-Parametri'!$B$30,IF(A340=2,'P-Parametri'!$C$30,'P-Parametri'!$B$29))</f>
        <v>6.8512000000000003E-2</v>
      </c>
      <c r="C340" s="18">
        <f>F339*(1+('P-Parametri'!$B$31*$B340+'P-Parametri'!$C$31*'P-Parametri'!$C$29+'P-Parametri'!$D$31*'1-Input'!$B$27-0))</f>
        <v>445164.89289535291</v>
      </c>
      <c r="D340" s="11">
        <f t="shared" si="65"/>
        <v>0.78289078127133349</v>
      </c>
      <c r="E340" s="18">
        <f>IF(I339=0,0,MIN(MAX(C340,0),MAX(0,$B$4-IF($A340&gt;='1-Input'!$C$12,'1-Input'!$B$12,0))/(1-'P-Parametri'!$B$6*D340)))</f>
        <v>2383.0796916163586</v>
      </c>
      <c r="F340" s="18">
        <f t="shared" si="66"/>
        <v>442781.81320373656</v>
      </c>
      <c r="G340" s="18">
        <f t="shared" si="67"/>
        <v>96132.013531925622</v>
      </c>
      <c r="H340" s="18">
        <f>IF(I340=0,H339,H339+E340*D340*'P-Parametri'!$B$6)</f>
        <v>26735.031781487392</v>
      </c>
      <c r="I340" s="10">
        <f>IF(AND(I339=1,E340*(1-'P-Parametri'!$B$6*D340)&gt;=MAX(0,$B$4-IF($A340&gt;='1-Input'!$C$12,'1-Input'!$B$12,0))-0.01),1,0)</f>
        <v>1</v>
      </c>
      <c r="K340" s="18">
        <f>N339*(1+('P-Parametri'!$B$31*$B340+'P-Parametri'!$C$31*'P-Parametri'!$C$29+'P-Parametri'!$D$31*'1-Input'!$B$27-'1-Input'!$B$21))</f>
        <v>416804.96037076315</v>
      </c>
      <c r="L340" s="11">
        <f t="shared" si="68"/>
        <v>0.7736787823303426</v>
      </c>
      <c r="M340" s="18">
        <f>IF(Q339=0,0,MIN(MAX(K340,0),MAX(0,$B$4-IF($A340&gt;='1-Input'!$C$12,'1-Input'!$B$12,0))/(1-'P-Parametri'!$B$6*L340)))</f>
        <v>2375.9346612615323</v>
      </c>
      <c r="N340" s="18">
        <f t="shared" si="69"/>
        <v>414429.02570950164</v>
      </c>
      <c r="O340" s="18">
        <f t="shared" si="70"/>
        <v>93794.081736224194</v>
      </c>
      <c r="P340" s="18">
        <f>IF(Q340=0,P339,P339+M340*L340*'P-Parametri'!$B$6)</f>
        <v>25913.596285700398</v>
      </c>
      <c r="Q340" s="10">
        <f>IF(AND(Q339=1,M340*(1-'P-Parametri'!$B$6*L340)&gt;=MAX(0,$B$4-IF($A340&gt;='1-Input'!$C$12,'1-Input'!$B$12,0))-0.01),1,0)</f>
        <v>1</v>
      </c>
      <c r="S340" s="18">
        <f>V339*(1+('P-Parametri'!$B$31*$B340+'P-Parametri'!$C$31*'P-Parametri'!$C$29+'P-Parametri'!$D$31*'1-Input'!$B$27-0))</f>
        <v>21223.557674515036</v>
      </c>
      <c r="T340" s="11">
        <f t="shared" si="71"/>
        <v>0.47816047729521538</v>
      </c>
      <c r="U340" s="18">
        <f>IF(Y339=0,0,MIN(MAX(S340,0),MAX(0,$B$5-IF($A340&gt;='1-Input'!$C$12,'1-Input'!$B$12,0))/(1-'P-Parametri'!$B$6*T340)))</f>
        <v>0</v>
      </c>
      <c r="V340" s="18">
        <f t="shared" si="72"/>
        <v>20363.266674657447</v>
      </c>
      <c r="W340" s="18">
        <f t="shared" si="73"/>
        <v>11075.291206966394</v>
      </c>
      <c r="X340" s="18">
        <f>IF(Y340=0,X339,X339+U340*T340*'P-Parametri'!$B$6)</f>
        <v>22161.588802447641</v>
      </c>
      <c r="Y340" s="10">
        <f>IF(AND(Y339=1,U340*(1-'P-Parametri'!$B$6*T340)&gt;=MAX(0,$B$5-IF($A340&gt;='1-Input'!$C$12,'1-Input'!$B$12,0))-0.01),1,0)</f>
        <v>0</v>
      </c>
    </row>
    <row r="341" spans="1:25">
      <c r="A341" s="10">
        <f>43</f>
        <v>43</v>
      </c>
      <c r="B341" s="11">
        <f>IF(A341=1,'P-Parametri'!$B$30,IF(A341=2,'P-Parametri'!$C$30,'P-Parametri'!$B$29))</f>
        <v>6.8512000000000003E-2</v>
      </c>
      <c r="C341" s="18">
        <f>F340*(1+('P-Parametri'!$B$31*$B341+'P-Parametri'!$C$31*'P-Parametri'!$C$29+'P-Parametri'!$D$31*'1-Input'!$B$27-0))</f>
        <v>461488.1050225175</v>
      </c>
      <c r="D341" s="11">
        <f t="shared" si="65"/>
        <v>0.79169124299046656</v>
      </c>
      <c r="E341" s="18">
        <f>IF(I340=0,0,MIN(MAX(C341,0),MAX(0,$B$4-IF($A341&gt;='1-Input'!$C$12,'1-Input'!$B$12,0))/(1-'P-Parametri'!$B$6*D341)))</f>
        <v>2389.9457771850584</v>
      </c>
      <c r="F341" s="18">
        <f t="shared" si="66"/>
        <v>459098.15924533241</v>
      </c>
      <c r="G341" s="18">
        <f t="shared" si="67"/>
        <v>95634.16689776002</v>
      </c>
      <c r="H341" s="18">
        <f>IF(I341=0,H340,H340+E341*D341*'P-Parametri'!$B$6)</f>
        <v>27226.97755867245</v>
      </c>
      <c r="I341" s="10">
        <f>IF(AND(I340=1,E341*(1-'P-Parametri'!$B$6*D341)&gt;=MAX(0,$B$4-IF($A341&gt;='1-Input'!$C$12,'1-Input'!$B$12,0))-0.01),1,0)</f>
        <v>1</v>
      </c>
      <c r="K341" s="18">
        <f>N340*(1+('P-Parametri'!$B$31*$B341+'P-Parametri'!$C$31*'P-Parametri'!$C$29+'P-Parametri'!$D$31*'1-Input'!$B$27-'1-Input'!$B$21))</f>
        <v>431523.0626187466</v>
      </c>
      <c r="L341" s="11">
        <f t="shared" si="68"/>
        <v>0.7826441044262521</v>
      </c>
      <c r="M341" s="18">
        <f>IF(Q340=0,0,MIN(MAX(K341,0),MAX(0,$B$4-IF($A341&gt;='1-Input'!$C$12,'1-Input'!$B$12,0))/(1-'P-Parametri'!$B$6*L341)))</f>
        <v>2382.8878036742713</v>
      </c>
      <c r="N341" s="18">
        <f t="shared" si="69"/>
        <v>429140.17481507233</v>
      </c>
      <c r="O341" s="18">
        <f t="shared" si="70"/>
        <v>93276.147023604819</v>
      </c>
      <c r="P341" s="18">
        <f>IF(Q341=0,P340,P340+M341*L341*'P-Parametri'!$B$6)</f>
        <v>26398.48408937467</v>
      </c>
      <c r="Q341" s="10">
        <f>IF(AND(Q340=1,M341*(1-'P-Parametri'!$B$6*L341)&gt;=MAX(0,$B$4-IF($A341&gt;='1-Input'!$C$12,'1-Input'!$B$12,0))-0.01),1,0)</f>
        <v>1</v>
      </c>
      <c r="S341" s="18">
        <f>V340*(1+('P-Parametri'!$B$31*$B341+'P-Parametri'!$C$31*'P-Parametri'!$C$29+'P-Parametri'!$D$31*'1-Input'!$B$27-0))</f>
        <v>21223.557674515036</v>
      </c>
      <c r="T341" s="11">
        <f t="shared" si="71"/>
        <v>0.47816047729521538</v>
      </c>
      <c r="U341" s="18">
        <f>IF(Y340=0,0,MIN(MAX(S341,0),MAX(0,$B$5-IF($A341&gt;='1-Input'!$C$12,'1-Input'!$B$12,0))/(1-'P-Parametri'!$B$6*T341)))</f>
        <v>0</v>
      </c>
      <c r="V341" s="18">
        <f t="shared" si="72"/>
        <v>20363.266674657447</v>
      </c>
      <c r="W341" s="18">
        <f t="shared" si="73"/>
        <v>11075.291206966394</v>
      </c>
      <c r="X341" s="18">
        <f>IF(Y341=0,X340,X340+U341*T341*'P-Parametri'!$B$6)</f>
        <v>22161.588802447641</v>
      </c>
      <c r="Y341" s="10">
        <f>IF(AND(Y340=1,U341*(1-'P-Parametri'!$B$6*T341)&gt;=MAX(0,$B$5-IF($A341&gt;='1-Input'!$C$12,'1-Input'!$B$12,0))-0.01),1,0)</f>
        <v>0</v>
      </c>
    </row>
    <row r="342" spans="1:25">
      <c r="A342" s="10">
        <f>44</f>
        <v>44</v>
      </c>
      <c r="B342" s="11">
        <f>IF(A342=1,'P-Parametri'!$B$30,IF(A342=2,'P-Parametri'!$C$30,'P-Parametri'!$B$29))</f>
        <v>6.8512000000000003E-2</v>
      </c>
      <c r="C342" s="18">
        <f>F341*(1+('P-Parametri'!$B$31*$B342+'P-Parametri'!$C$31*'P-Parametri'!$C$29+'P-Parametri'!$D$31*'1-Input'!$B$27-0))</f>
        <v>478493.77099860186</v>
      </c>
      <c r="D342" s="11">
        <f t="shared" si="65"/>
        <v>0.80013498044462639</v>
      </c>
      <c r="E342" s="18">
        <f>IF(I341=0,0,MIN(MAX(C342,0),MAX(0,$B$4-IF($A342&gt;='1-Input'!$C$12,'1-Input'!$B$12,0))/(1-'P-Parametri'!$B$6*D342)))</f>
        <v>2396.5708427417453</v>
      </c>
      <c r="F342" s="18">
        <f t="shared" si="66"/>
        <v>476097.2001558601</v>
      </c>
      <c r="G342" s="18">
        <f t="shared" si="67"/>
        <v>95155.176219409608</v>
      </c>
      <c r="H342" s="18">
        <f>IF(I342=0,H341,H341+E342*D342*'P-Parametri'!$B$6)</f>
        <v>27725.548401414195</v>
      </c>
      <c r="I342" s="10">
        <f>IF(AND(I341=1,E342*(1-'P-Parametri'!$B$6*D342)&gt;=MAX(0,$B$4-IF($A342&gt;='1-Input'!$C$12,'1-Input'!$B$12,0))-0.01),1,0)</f>
        <v>1</v>
      </c>
      <c r="K342" s="18">
        <f>N341*(1+('P-Parametri'!$B$31*$B342+'P-Parametri'!$C$31*'P-Parametri'!$C$29+'P-Parametri'!$D$31*'1-Input'!$B$27-'1-Input'!$B$21))</f>
        <v>446841.00543370453</v>
      </c>
      <c r="L342" s="11">
        <f t="shared" si="68"/>
        <v>0.79125428085305005</v>
      </c>
      <c r="M342" s="18">
        <f>IF(Q341=0,0,MIN(MAX(K342,0),MAX(0,$B$4-IF($A342&gt;='1-Input'!$C$12,'1-Input'!$B$12,0))/(1-'P-Parametri'!$B$6*L342)))</f>
        <v>2389.6039277092295</v>
      </c>
      <c r="N342" s="18">
        <f t="shared" si="69"/>
        <v>444451.40150599531</v>
      </c>
      <c r="O342" s="18">
        <f t="shared" si="70"/>
        <v>92777.327433238781</v>
      </c>
      <c r="P342" s="18">
        <f>IF(Q342=0,P341,P341+M342*L342*'P-Parametri'!$B$6)</f>
        <v>26890.088017083897</v>
      </c>
      <c r="Q342" s="10">
        <f>IF(AND(Q341=1,M342*(1-'P-Parametri'!$B$6*L342)&gt;=MAX(0,$B$4-IF($A342&gt;='1-Input'!$C$12,'1-Input'!$B$12,0))-0.01),1,0)</f>
        <v>1</v>
      </c>
      <c r="S342" s="18">
        <f>V341*(1+('P-Parametri'!$B$31*$B342+'P-Parametri'!$C$31*'P-Parametri'!$C$29+'P-Parametri'!$D$31*'1-Input'!$B$27-0))</f>
        <v>21223.557674515036</v>
      </c>
      <c r="T342" s="11">
        <f t="shared" si="71"/>
        <v>0.47816047729521538</v>
      </c>
      <c r="U342" s="18">
        <f>IF(Y341=0,0,MIN(MAX(S342,0),MAX(0,$B$5-IF($A342&gt;='1-Input'!$C$12,'1-Input'!$B$12,0))/(1-'P-Parametri'!$B$6*T342)))</f>
        <v>0</v>
      </c>
      <c r="V342" s="18">
        <f t="shared" si="72"/>
        <v>20363.266674657447</v>
      </c>
      <c r="W342" s="18">
        <f t="shared" si="73"/>
        <v>11075.291206966394</v>
      </c>
      <c r="X342" s="18">
        <f>IF(Y342=0,X341,X341+U342*T342*'P-Parametri'!$B$6)</f>
        <v>22161.588802447641</v>
      </c>
      <c r="Y342" s="10">
        <f>IF(AND(Y341=1,U342*(1-'P-Parametri'!$B$6*T342)&gt;=MAX(0,$B$5-IF($A342&gt;='1-Input'!$C$12,'1-Input'!$B$12,0))-0.01),1,0)</f>
        <v>0</v>
      </c>
    </row>
    <row r="343" spans="1:25">
      <c r="A343" s="10">
        <f>45</f>
        <v>45</v>
      </c>
      <c r="B343" s="11">
        <f>IF(A343=1,'P-Parametri'!$B$30,IF(A343=2,'P-Parametri'!$C$30,'P-Parametri'!$B$29))</f>
        <v>6.8512000000000003E-2</v>
      </c>
      <c r="C343" s="18">
        <f>F342*(1+('P-Parametri'!$B$31*$B343+'P-Parametri'!$C$31*'P-Parametri'!$C$29+'P-Parametri'!$D$31*'1-Input'!$B$27-0))</f>
        <v>496210.97379028477</v>
      </c>
      <c r="D343" s="11">
        <f t="shared" si="65"/>
        <v>0.80823645335255045</v>
      </c>
      <c r="E343" s="18">
        <f>IF(I342=0,0,MIN(MAX(C343,0),MAX(0,$B$4-IF($A343&gt;='1-Input'!$C$12,'1-Input'!$B$12,0))/(1-'P-Parametri'!$B$6*D343)))</f>
        <v>2402.9619822113045</v>
      </c>
      <c r="F343" s="18">
        <f t="shared" si="66"/>
        <v>493808.01180807344</v>
      </c>
      <c r="G343" s="18">
        <f t="shared" si="67"/>
        <v>94694.375707241779</v>
      </c>
      <c r="H343" s="18">
        <f>IF(I343=0,H342,H342+E343*D343*'P-Parametri'!$B$6)</f>
        <v>28230.5103836255</v>
      </c>
      <c r="I343" s="10">
        <f>IF(AND(I342=1,E343*(1-'P-Parametri'!$B$6*D343)&gt;=MAX(0,$B$4-IF($A343&gt;='1-Input'!$C$12,'1-Input'!$B$12,0))-0.01),1,0)</f>
        <v>1</v>
      </c>
      <c r="K343" s="18">
        <f>N342*(1+('P-Parametri'!$B$31*$B343+'P-Parametri'!$C$31*'P-Parametri'!$C$29+'P-Parametri'!$D$31*'1-Input'!$B$27-'1-Input'!$B$21))</f>
        <v>462783.77735419339</v>
      </c>
      <c r="L343" s="11">
        <f t="shared" si="68"/>
        <v>0.79952338008980961</v>
      </c>
      <c r="M343" s="18">
        <f>IF(Q342=0,0,MIN(MAX(K343,0),MAX(0,$B$4-IF($A343&gt;='1-Input'!$C$12,'1-Input'!$B$12,0))/(1-'P-Parametri'!$B$6*L343)))</f>
        <v>2396.0897395708516</v>
      </c>
      <c r="N343" s="18">
        <f t="shared" si="69"/>
        <v>460387.68761462253</v>
      </c>
      <c r="O343" s="18">
        <f t="shared" si="70"/>
        <v>92296.967461248132</v>
      </c>
      <c r="P343" s="18">
        <f>IF(Q343=0,P342,P342+M343*L343*'P-Parametri'!$B$6)</f>
        <v>27388.17775665475</v>
      </c>
      <c r="Q343" s="10">
        <f>IF(AND(Q342=1,M343*(1-'P-Parametri'!$B$6*L343)&gt;=MAX(0,$B$4-IF($A343&gt;='1-Input'!$C$12,'1-Input'!$B$12,0))-0.01),1,0)</f>
        <v>1</v>
      </c>
      <c r="S343" s="18">
        <f>V342*(1+('P-Parametri'!$B$31*$B343+'P-Parametri'!$C$31*'P-Parametri'!$C$29+'P-Parametri'!$D$31*'1-Input'!$B$27-0))</f>
        <v>21223.557674515036</v>
      </c>
      <c r="T343" s="11">
        <f t="shared" si="71"/>
        <v>0.47816047729521538</v>
      </c>
      <c r="U343" s="18">
        <f>IF(Y342=0,0,MIN(MAX(S343,0),MAX(0,$B$5-IF($A343&gt;='1-Input'!$C$12,'1-Input'!$B$12,0))/(1-'P-Parametri'!$B$6*T343)))</f>
        <v>0</v>
      </c>
      <c r="V343" s="18">
        <f t="shared" si="72"/>
        <v>20363.266674657447</v>
      </c>
      <c r="W343" s="18">
        <f t="shared" si="73"/>
        <v>11075.291206966394</v>
      </c>
      <c r="X343" s="18">
        <f>IF(Y343=0,X342,X342+U343*T343*'P-Parametri'!$B$6)</f>
        <v>22161.588802447641</v>
      </c>
      <c r="Y343" s="10">
        <f>IF(AND(Y342=1,U343*(1-'P-Parametri'!$B$6*T343)&gt;=MAX(0,$B$5-IF($A343&gt;='1-Input'!$C$12,'1-Input'!$B$12,0))-0.01),1,0)</f>
        <v>0</v>
      </c>
    </row>
  </sheetData>
  <mergeCells count="10">
    <mergeCell ref="A2:F2"/>
    <mergeCell ref="A16:F16"/>
    <mergeCell ref="A28:F28"/>
    <mergeCell ref="A36:F36"/>
    <mergeCell ref="A1:F1"/>
    <mergeCell ref="A23:F23"/>
    <mergeCell ref="A8:F8"/>
    <mergeCell ref="A6:F6"/>
    <mergeCell ref="A35:F35"/>
    <mergeCell ref="A30:F30"/>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338"/>
  <sheetViews>
    <sheetView workbookViewId="0"/>
  </sheetViews>
  <sheetFormatPr defaultRowHeight="15"/>
  <cols>
    <col min="1" max="1" width="50" customWidth="1"/>
    <col min="2" max="4" width="20" customWidth="1"/>
    <col min="5" max="7" width="18" customWidth="1"/>
    <col min="8" max="47" width="15" customWidth="1"/>
  </cols>
  <sheetData>
    <row r="1" spans="1:6" ht="24.95" customHeight="1">
      <c r="A1" s="34" t="s">
        <v>534</v>
      </c>
      <c r="B1" s="33"/>
      <c r="C1" s="33"/>
      <c r="D1" s="33"/>
      <c r="E1" s="33"/>
      <c r="F1" s="33"/>
    </row>
    <row r="2" spans="1:6" ht="32.1" customHeight="1">
      <c r="A2" s="32" t="s">
        <v>1</v>
      </c>
      <c r="B2" s="33"/>
      <c r="C2" s="33"/>
      <c r="D2" s="33"/>
      <c r="E2" s="33"/>
      <c r="F2" s="33"/>
    </row>
    <row r="3" spans="1:6" ht="45" customHeight="1">
      <c r="A3" s="35" t="s">
        <v>535</v>
      </c>
      <c r="B3" s="33"/>
      <c r="C3" s="33"/>
      <c r="D3" s="33"/>
      <c r="E3" s="33"/>
      <c r="F3" s="33"/>
    </row>
    <row r="5" spans="1:6">
      <c r="A5" s="36" t="s">
        <v>536</v>
      </c>
      <c r="B5" s="33"/>
      <c r="C5" s="33"/>
      <c r="D5" s="33"/>
      <c r="E5" s="33"/>
      <c r="F5" s="33"/>
    </row>
    <row r="6" spans="1:6" ht="45">
      <c r="A6" s="25" t="s">
        <v>537</v>
      </c>
      <c r="B6" s="25" t="s">
        <v>538</v>
      </c>
      <c r="C6" s="25" t="s">
        <v>539</v>
      </c>
      <c r="D6" s="25" t="s">
        <v>540</v>
      </c>
      <c r="E6" s="25" t="s">
        <v>541</v>
      </c>
    </row>
    <row r="7" spans="1:6">
      <c r="A7" s="5" t="s">
        <v>331</v>
      </c>
      <c r="B7" s="18">
        <f>'5-Roberta'!$B$503</f>
        <v>18374.499232016908</v>
      </c>
      <c r="C7" s="18">
        <f>$B$173</f>
        <v>18483.748642111765</v>
      </c>
      <c r="D7" s="18">
        <f>C7-B7</f>
        <v>109.24941009485701</v>
      </c>
      <c r="E7" s="11">
        <f>D7/B7</f>
        <v>5.9457081640893819E-3</v>
      </c>
    </row>
    <row r="8" spans="1:6">
      <c r="A8" s="5" t="s">
        <v>332</v>
      </c>
      <c r="B8" s="18">
        <f>'5-Roberta'!$B$558</f>
        <v>17944.67221618972</v>
      </c>
      <c r="C8" s="18">
        <f>$B$228</f>
        <v>18133.836127058927</v>
      </c>
      <c r="D8" s="18">
        <f>C8-B8</f>
        <v>189.16391086920703</v>
      </c>
      <c r="E8" s="11">
        <f>D8/B8</f>
        <v>1.0541508286707125E-2</v>
      </c>
    </row>
    <row r="9" spans="1:6">
      <c r="A9" s="5" t="s">
        <v>333</v>
      </c>
      <c r="B9" s="18">
        <f>'5-Roberta'!$B$613</f>
        <v>17554.718806543973</v>
      </c>
      <c r="C9" s="18">
        <f>$B$283</f>
        <v>17791.573144440612</v>
      </c>
      <c r="D9" s="18">
        <f>C9-B9</f>
        <v>236.85433789663875</v>
      </c>
      <c r="E9" s="11">
        <f>D9/B9</f>
        <v>1.3492345876160956E-2</v>
      </c>
    </row>
    <row r="10" spans="1:6">
      <c r="A10" s="5" t="s">
        <v>334</v>
      </c>
      <c r="B10" s="18">
        <f>'5-Roberta'!$B$668</f>
        <v>16889.427030002513</v>
      </c>
      <c r="C10" s="18">
        <f>$B$338</f>
        <v>17123.979847132377</v>
      </c>
      <c r="D10" s="18">
        <f>C10-B10</f>
        <v>234.55281712986471</v>
      </c>
      <c r="E10" s="11">
        <f>D10/B10</f>
        <v>1.3887553243410993E-2</v>
      </c>
    </row>
    <row r="12" spans="1:6" ht="30">
      <c r="A12" s="5" t="s">
        <v>542</v>
      </c>
      <c r="B12" s="18">
        <f>INDEX(D7:D10,MATCH('1-Input'!$B$15,{1;2;3;5},0))</f>
        <v>189.16391086920703</v>
      </c>
    </row>
    <row r="13" spans="1:6" ht="30" customHeight="1">
      <c r="A13" s="35" t="s">
        <v>543</v>
      </c>
      <c r="B13" s="33"/>
      <c r="C13" s="33"/>
      <c r="D13" s="33"/>
      <c r="E13" s="33"/>
      <c r="F13" s="33"/>
    </row>
    <row r="14" spans="1:6" ht="45" customHeight="1">
      <c r="A14" s="35" t="s">
        <v>544</v>
      </c>
      <c r="B14" s="33"/>
      <c r="C14" s="33"/>
      <c r="D14" s="33"/>
      <c r="E14" s="33"/>
      <c r="F14" s="33"/>
    </row>
    <row r="120" spans="1:43">
      <c r="A120" s="2" t="s">
        <v>545</v>
      </c>
    </row>
    <row r="121" spans="1:43">
      <c r="A121" s="4" t="s">
        <v>360</v>
      </c>
      <c r="B121" s="9">
        <f>0.038*'2-Caso'!$B$12</f>
        <v>16681.055314625803</v>
      </c>
      <c r="I121" s="9">
        <f>0.05*'2-Caso'!$B$12</f>
        <v>21948.756992928691</v>
      </c>
      <c r="P121" s="18">
        <f>IFERROR(I121-I172*(I121-B121)/(I172-B172),I121)</f>
        <v>18749.712486855453</v>
      </c>
      <c r="W121" s="18">
        <f>IFERROR(P121-P172*(P121-I121)/(P172-I172),P121)</f>
        <v>18490.714964382412</v>
      </c>
      <c r="AD121" s="18">
        <f>IFERROR(W121-W172*(W121-P121)/(W172-P172),W121)</f>
        <v>18483.704786564489</v>
      </c>
      <c r="AK121" s="18">
        <f>IFERROR(AD121-AD172*(AD121-W121)/(AD172-W172),AD121)</f>
        <v>18483.7481659244</v>
      </c>
    </row>
    <row r="122" spans="1:43" ht="30">
      <c r="A122" s="25" t="s">
        <v>262</v>
      </c>
      <c r="B122" s="25" t="s">
        <v>361</v>
      </c>
      <c r="C122" s="25" t="s">
        <v>263</v>
      </c>
      <c r="D122" s="25" t="s">
        <v>362</v>
      </c>
      <c r="E122" s="25" t="s">
        <v>363</v>
      </c>
      <c r="F122" s="25" t="s">
        <v>264</v>
      </c>
      <c r="G122" s="25" t="s">
        <v>265</v>
      </c>
      <c r="H122" s="25" t="s">
        <v>364</v>
      </c>
      <c r="I122" s="25" t="s">
        <v>361</v>
      </c>
      <c r="J122" s="25" t="s">
        <v>263</v>
      </c>
      <c r="K122" s="25" t="s">
        <v>362</v>
      </c>
      <c r="L122" s="25" t="s">
        <v>363</v>
      </c>
      <c r="M122" s="25" t="s">
        <v>264</v>
      </c>
      <c r="N122" s="25" t="s">
        <v>265</v>
      </c>
      <c r="O122" s="25" t="s">
        <v>364</v>
      </c>
      <c r="P122" s="25" t="s">
        <v>361</v>
      </c>
      <c r="Q122" s="25" t="s">
        <v>263</v>
      </c>
      <c r="R122" s="25" t="s">
        <v>362</v>
      </c>
      <c r="S122" s="25" t="s">
        <v>363</v>
      </c>
      <c r="T122" s="25" t="s">
        <v>264</v>
      </c>
      <c r="U122" s="25" t="s">
        <v>265</v>
      </c>
      <c r="V122" s="25" t="s">
        <v>364</v>
      </c>
      <c r="W122" s="25" t="s">
        <v>361</v>
      </c>
      <c r="X122" s="25" t="s">
        <v>263</v>
      </c>
      <c r="Y122" s="25" t="s">
        <v>362</v>
      </c>
      <c r="Z122" s="25" t="s">
        <v>363</v>
      </c>
      <c r="AA122" s="25" t="s">
        <v>264</v>
      </c>
      <c r="AB122" s="25" t="s">
        <v>265</v>
      </c>
      <c r="AC122" s="25" t="s">
        <v>364</v>
      </c>
      <c r="AD122" s="25" t="s">
        <v>361</v>
      </c>
      <c r="AE122" s="25" t="s">
        <v>263</v>
      </c>
      <c r="AF122" s="25" t="s">
        <v>362</v>
      </c>
      <c r="AG122" s="25" t="s">
        <v>363</v>
      </c>
      <c r="AH122" s="25" t="s">
        <v>264</v>
      </c>
      <c r="AI122" s="25" t="s">
        <v>265</v>
      </c>
      <c r="AJ122" s="25" t="s">
        <v>364</v>
      </c>
      <c r="AK122" s="25" t="s">
        <v>361</v>
      </c>
      <c r="AL122" s="25" t="s">
        <v>263</v>
      </c>
      <c r="AM122" s="25" t="s">
        <v>362</v>
      </c>
      <c r="AN122" s="25" t="s">
        <v>363</v>
      </c>
      <c r="AO122" s="25" t="s">
        <v>264</v>
      </c>
      <c r="AP122" s="25" t="s">
        <v>265</v>
      </c>
      <c r="AQ122" s="25" t="s">
        <v>364</v>
      </c>
    </row>
    <row r="123" spans="1:43">
      <c r="A123" s="3">
        <v>0</v>
      </c>
      <c r="F123" s="18">
        <f>MIN(1*B121,'2-Caso'!$B$12)</f>
        <v>16681.055314625803</v>
      </c>
      <c r="G123" s="18">
        <f>'2-Caso'!$B$12-F123</f>
        <v>422294.084543948</v>
      </c>
      <c r="H123" s="18">
        <f>'2-Caso'!$B$13*G123/'2-Caso'!$B$12</f>
        <v>330928</v>
      </c>
      <c r="M123" s="18">
        <f>MIN(1*I121,'2-Caso'!$B$12)</f>
        <v>21948.756992928691</v>
      </c>
      <c r="N123" s="18">
        <f>'2-Caso'!$B$12-M123</f>
        <v>417026.38286564511</v>
      </c>
      <c r="O123" s="18">
        <f>'2-Caso'!$B$13*N123/'2-Caso'!$B$12</f>
        <v>326800</v>
      </c>
      <c r="T123" s="18">
        <f>MIN(1*P121,'2-Caso'!$B$12)</f>
        <v>18749.712486855453</v>
      </c>
      <c r="U123" s="18">
        <f>'2-Caso'!$B$12-T123</f>
        <v>420225.42737171834</v>
      </c>
      <c r="V123" s="18">
        <f>'2-Caso'!$B$13*U123/'2-Caso'!$B$12</f>
        <v>329306.91032399633</v>
      </c>
      <c r="AA123" s="18">
        <f>MIN(1*W121,'2-Caso'!$B$12)</f>
        <v>18490.714964382412</v>
      </c>
      <c r="AB123" s="18">
        <f>'2-Caso'!$B$12-AA123</f>
        <v>420484.42489419138</v>
      </c>
      <c r="AC123" s="18">
        <f>'2-Caso'!$B$13*AB123/'2-Caso'!$B$12</f>
        <v>329509.87204014143</v>
      </c>
      <c r="AH123" s="18">
        <f>MIN(1*AD121,'2-Caso'!$B$12)</f>
        <v>18483.704786564489</v>
      </c>
      <c r="AI123" s="18">
        <f>'2-Caso'!$B$12-AH123</f>
        <v>420491.43507200928</v>
      </c>
      <c r="AJ123" s="18">
        <f>'2-Caso'!$B$13*AI123/'2-Caso'!$B$12</f>
        <v>329515.36552018253</v>
      </c>
      <c r="AO123" s="18">
        <f>MIN(1*AK121,'2-Caso'!$B$12)</f>
        <v>18483.7481659244</v>
      </c>
      <c r="AP123" s="18">
        <f>'2-Caso'!$B$12-AO123</f>
        <v>420491.3916926494</v>
      </c>
      <c r="AQ123" s="18">
        <f>'2-Caso'!$B$13*AP123/'2-Caso'!$B$12</f>
        <v>329515.33152623061</v>
      </c>
    </row>
    <row r="124" spans="1:43">
      <c r="A124" s="10">
        <f>1</f>
        <v>1</v>
      </c>
      <c r="B124" s="11">
        <f>IF($A124&gt;'1-Input'!$B$26,0,IF(G123&lt;=0,0,MAX(0,(G123-H123)/G123)))</f>
        <v>0.21635653419729484</v>
      </c>
      <c r="C124" s="18">
        <f>IF($A124&gt;'1-Input'!$B$26,0,(MAX(0,B121-IF($A124&gt;='1-Input'!$C$12,'1-Input'!$B$12,0))-MIN(MAX(F123,0),MAX(0,B121-IF($A124&gt;='1-Input'!$C$12,'1-Input'!$B$12,0))))*(1/(1-'P-Parametri'!$B$6*B124))+MIN(MAX(0,G123-(MAX(0,B121-IF($A124&gt;='1-Input'!$C$12,'1-Input'!$B$12,0))-MIN(MAX(F123,0),MAX(0,B121-IF($A124&gt;='1-Input'!$C$12,'1-Input'!$B$12,0))))*(1/(1-'P-Parametri'!$B$6*B124))),MAX(0,1*MAX(0,B121-IF($A124&gt;='1-Input'!$C$12,'1-Input'!$B$12,0))-(F123-MIN(MAX(F123,0),MAX(0,B121-IF($A124&gt;='1-Input'!$C$12,'1-Input'!$B$12,0)))))*(1/(1-'P-Parametri'!$B$6*B124))))</f>
        <v>17675.340946701614</v>
      </c>
      <c r="D124" s="18">
        <f>IF($A124&gt;'1-Input'!$B$26,F123,(F123-MAX(0,B121-IF($A124&gt;='1-Input'!$C$12,'1-Input'!$B$12,0))+C124*(1-'P-Parametri'!$B$6*B124))*(1+'1-Input'!$B$27))</f>
        <v>16621.003515493147</v>
      </c>
      <c r="E124" s="18">
        <f>IF($A124&gt;'1-Input'!$B$26,G123,(G123-C124)*(1+'5-Roberta'!$C$4))</f>
        <v>416757.30590516381</v>
      </c>
      <c r="F124" s="18">
        <f>IF($A124&gt;'1-Input'!$B$26,D124,D124-'P-Parametri'!$B$8*(E124+D124)+MIN(MAX(E124,0),'P-Parametri'!$B$8*(E124+D124)))</f>
        <v>16621.003515493147</v>
      </c>
      <c r="G124" s="18">
        <f>IF($A124&gt;'1-Input'!$B$26,E124,E124-MIN(MAX(E124,0),'P-Parametri'!$B$8*(E124+D124)))</f>
        <v>415890.54928632249</v>
      </c>
      <c r="H124" s="18">
        <f>IF($A124&gt;'1-Input'!$B$26,H123,H123-C124*(1-B124))</f>
        <v>317076.8345612823</v>
      </c>
      <c r="I124" s="11">
        <f>IF($A124&gt;'1-Input'!$B$26,0,IF(N123&lt;=0,0,MAX(0,(N123-O123)/N123)))</f>
        <v>0.21635653419729481</v>
      </c>
      <c r="J124" s="18">
        <f>IF($A124&gt;'1-Input'!$B$26,0,(MAX(0,I121-IF($A124&gt;='1-Input'!$C$12,'1-Input'!$B$12,0))-MIN(MAX(M123,0),MAX(0,I121-IF($A124&gt;='1-Input'!$C$12,'1-Input'!$B$12,0))))*(1/(1-'P-Parametri'!$B$6*I124))+MIN(MAX(0,N123-(MAX(0,I121-IF($A124&gt;='1-Input'!$C$12,'1-Input'!$B$12,0))-MIN(MAX(M123,0),MAX(0,I121-IF($A124&gt;='1-Input'!$C$12,'1-Input'!$B$12,0))))*(1/(1-'P-Parametri'!$B$6*I124))),MAX(0,1*MAX(0,I121-IF($A124&gt;='1-Input'!$C$12,'1-Input'!$B$12,0))-(M123-MIN(MAX(M123,0),MAX(0,I121-IF($A124&gt;='1-Input'!$C$12,'1-Input'!$B$12,0)))))*(1/(1-'P-Parametri'!$B$6*I124))))</f>
        <v>23257.027561449497</v>
      </c>
      <c r="K124" s="18">
        <f>IF($A124&gt;'1-Input'!$B$26,M123,(M123-MAX(0,I121-IF($A124&gt;='1-Input'!$C$12,'1-Input'!$B$12,0))+J124*(1-'P-Parametri'!$B$6*I124))*(1+'1-Input'!$B$27))</f>
        <v>21869.741467754146</v>
      </c>
      <c r="L124" s="18">
        <f>IF($A124&gt;'1-Input'!$B$26,N123,(N123-J124)*(1+'5-Roberta'!$C$4))</f>
        <v>405582.43596332148</v>
      </c>
      <c r="M124" s="18">
        <f>IF($A124&gt;'1-Input'!$B$26,K124,K124-'P-Parametri'!$B$8*(L124+K124)+MIN(MAX(L124,0),'P-Parametri'!$B$8*(L124+K124)))</f>
        <v>21869.741467754146</v>
      </c>
      <c r="N124" s="18">
        <f>IF($A124&gt;'1-Input'!$B$26,L124,L124-MIN(MAX(L124,0),'P-Parametri'!$B$8*(L124+K124)))</f>
        <v>404727.53160845931</v>
      </c>
      <c r="O124" s="18">
        <f>IF($A124&gt;'1-Input'!$B$26,O123,O123-J124*(1-I124))</f>
        <v>308574.7823174767</v>
      </c>
      <c r="P124" s="11">
        <f>IF($A124&gt;'1-Input'!$B$26,0,IF(U123&lt;=0,0,MAX(0,(U123-V123)/U123)))</f>
        <v>0.21635653419729481</v>
      </c>
      <c r="Q124" s="18">
        <f>IF($A124&gt;'1-Input'!$B$26,0,(MAX(0,P121-IF($A124&gt;='1-Input'!$C$12,'1-Input'!$B$12,0))-MIN(MAX(T123,0),MAX(0,P121-IF($A124&gt;='1-Input'!$C$12,'1-Input'!$B$12,0))))*(1/(1-'P-Parametri'!$B$6*P124))+MIN(MAX(0,U123-(MAX(0,P121-IF($A124&gt;='1-Input'!$C$12,'1-Input'!$B$12,0))-MIN(MAX(T123,0),MAX(0,P121-IF($A124&gt;='1-Input'!$C$12,'1-Input'!$B$12,0))))*(1/(1-'P-Parametri'!$B$6*P124))),MAX(0,1*MAX(0,P121-IF($A124&gt;='1-Input'!$C$12,'1-Input'!$B$12,0))-(T123-MIN(MAX(T123,0),MAX(0,P121-IF($A124&gt;='1-Input'!$C$12,'1-Input'!$B$12,0)))))*(1/(1-'P-Parametri'!$B$6*P124))))</f>
        <v>19867.301834748039</v>
      </c>
      <c r="R124" s="18">
        <f>IF($A124&gt;'1-Input'!$B$26,T123,(T123-MAX(0,P121-IF($A124&gt;='1-Input'!$C$12,'1-Input'!$B$12,0))+Q124*(1-'P-Parametri'!$B$6*P124))*(1+'1-Input'!$B$27))</f>
        <v>18682.213521902773</v>
      </c>
      <c r="S124" s="18">
        <f>IF($A124&gt;'1-Input'!$B$26,U123,(U123-Q124)*(1+'5-Roberta'!$C$4))</f>
        <v>412368.86930307944</v>
      </c>
      <c r="T124" s="18">
        <f>IF($A124&gt;'1-Input'!$B$26,R124,R124-'P-Parametri'!$B$8*(S124+R124)+MIN(MAX(S124,0),'P-Parametri'!$B$8*(S124+R124)))</f>
        <v>18682.213521902773</v>
      </c>
      <c r="U124" s="18">
        <f>IF($A124&gt;'1-Input'!$B$26,S124,S124-MIN(MAX(S124,0),'P-Parametri'!$B$8*(S124+R124)))</f>
        <v>411506.7671374295</v>
      </c>
      <c r="V124" s="18">
        <f>IF($A124&gt;'1-Input'!$B$26,V123,V123-Q124*(1-P124))</f>
        <v>313738.02905806591</v>
      </c>
      <c r="W124" s="11">
        <f>IF($A124&gt;'1-Input'!$B$26,0,IF(AB123&lt;=0,0,MAX(0,(AB123-AC123)/AB123)))</f>
        <v>0.21635653419729478</v>
      </c>
      <c r="X124" s="18">
        <f>IF($A124&gt;'1-Input'!$B$26,0,(MAX(0,W121-IF($A124&gt;='1-Input'!$C$12,'1-Input'!$B$12,0))-MIN(MAX(AA123,0),MAX(0,W121-IF($A124&gt;='1-Input'!$C$12,'1-Input'!$B$12,0))))*(1/(1-'P-Parametri'!$B$6*W124))+MIN(MAX(0,AB123-(MAX(0,W121-IF($A124&gt;='1-Input'!$C$12,'1-Input'!$B$12,0))-MIN(MAX(AA123,0),MAX(0,W121-IF($A124&gt;='1-Input'!$C$12,'1-Input'!$B$12,0))))*(1/(1-'P-Parametri'!$B$6*W124))),MAX(0,1*MAX(0,W121-IF($A124&gt;='1-Input'!$C$12,'1-Input'!$B$12,0))-(AA123-MIN(MAX(AA123,0),MAX(0,W121-IF($A124&gt;='1-Input'!$C$12,'1-Input'!$B$12,0)))))*(1/(1-'P-Parametri'!$B$6*W124))))</f>
        <v>19592.866589032612</v>
      </c>
      <c r="Y124" s="18">
        <f>IF($A124&gt;'1-Input'!$B$26,AA123,(AA123-MAX(0,W121-IF($A124&gt;='1-Input'!$C$12,'1-Input'!$B$12,0))+X124*(1-'P-Parametri'!$B$6*W124))*(1+'1-Input'!$B$27))</f>
        <v>18424.148390510636</v>
      </c>
      <c r="Z124" s="18">
        <f>IF($A124&gt;'1-Input'!$B$26,AB123,(AB123-X124)*(1+'5-Roberta'!$C$4))</f>
        <v>412918.3050543135</v>
      </c>
      <c r="AA124" s="18">
        <f>IF($A124&gt;'1-Input'!$B$26,Y124,Y124-'P-Parametri'!$B$8*(Z124+Y124)+MIN(MAX(Z124,0),'P-Parametri'!$B$8*(Z124+Y124)))</f>
        <v>18424.148390510636</v>
      </c>
      <c r="AB124" s="18">
        <f>IF($A124&gt;'1-Input'!$B$26,Z124,Z124-MIN(MAX(Z124,0),'P-Parametri'!$B$8*(Z124+Y124)))</f>
        <v>412055.62014742388</v>
      </c>
      <c r="AC124" s="18">
        <f>IF($A124&gt;'1-Input'!$B$26,AC123,AC123-X124*(1-W124))</f>
        <v>314156.05016130192</v>
      </c>
      <c r="AD124" s="11">
        <f>IF($A124&gt;'1-Input'!$B$26,0,IF(AI123&lt;=0,0,MAX(0,(AI123-AJ123)/AI123)))</f>
        <v>0.21635653419729481</v>
      </c>
      <c r="AE124" s="18">
        <f>IF($A124&gt;'1-Input'!$B$26,0,(MAX(0,AD121-IF($A124&gt;='1-Input'!$C$12,'1-Input'!$B$12,0))-MIN(MAX(AH123,0),MAX(0,AD121-IF($A124&gt;='1-Input'!$C$12,'1-Input'!$B$12,0))))*(1/(1-'P-Parametri'!$B$6*AD124))+MIN(MAX(0,AI123-(MAX(0,AD121-IF($A124&gt;='1-Input'!$C$12,'1-Input'!$B$12,0))-MIN(MAX(AH123,0),MAX(0,AD121-IF($A124&gt;='1-Input'!$C$12,'1-Input'!$B$12,0))))*(1/(1-'P-Parametri'!$B$6*AD124))),MAX(0,1*MAX(0,AD121-IF($A124&gt;='1-Input'!$C$12,'1-Input'!$B$12,0))-(AH123-MIN(MAX(AH123,0),MAX(0,AD121-IF($A124&gt;='1-Input'!$C$12,'1-Input'!$B$12,0)))))*(1/(1-'P-Parametri'!$B$6*AD124))))</f>
        <v>19585.438564804423</v>
      </c>
      <c r="AF124" s="18">
        <f>IF($A124&gt;'1-Input'!$B$26,AH123,(AH123-MAX(0,AD121-IF($A124&gt;='1-Input'!$C$12,'1-Input'!$B$12,0))+AE124*(1-'P-Parametri'!$B$6*AD124))*(1+'1-Input'!$B$27))</f>
        <v>18417.163449332857</v>
      </c>
      <c r="AG124" s="18">
        <f>IF($A124&gt;'1-Input'!$B$26,AI123,(AI123-AE124)*(1+'5-Roberta'!$C$4))</f>
        <v>412933.17640242097</v>
      </c>
      <c r="AH124" s="18">
        <f>IF($A124&gt;'1-Input'!$B$26,AF124,AF124-'P-Parametri'!$B$8*(AG124+AF124)+MIN(MAX(AG124,0),'P-Parametri'!$B$8*(AG124+AF124)))</f>
        <v>18417.163449332857</v>
      </c>
      <c r="AI124" s="18">
        <f>IF($A124&gt;'1-Input'!$B$26,AG124,AG124-MIN(MAX(AG124,0),'P-Parametri'!$B$8*(AG124+AF124)))</f>
        <v>412070.47572271747</v>
      </c>
      <c r="AJ124" s="18">
        <f>IF($A124&gt;'1-Input'!$B$26,AJ123,AJ123-AE124*(1-AD124))</f>
        <v>314167.36456399324</v>
      </c>
      <c r="AK124" s="11">
        <f>IF($A124&gt;'1-Input'!$B$26,0,IF(AP123&lt;=0,0,MAX(0,(AP123-AQ123)/AP123)))</f>
        <v>0.21635653419729481</v>
      </c>
      <c r="AL124" s="18">
        <f>IF($A124&gt;'1-Input'!$B$26,0,(MAX(0,AK121-IF($A124&gt;='1-Input'!$C$12,'1-Input'!$B$12,0))-MIN(MAX(AO123,0),MAX(0,AK121-IF($A124&gt;='1-Input'!$C$12,'1-Input'!$B$12,0))))*(1/(1-'P-Parametri'!$B$6*AK124))+MIN(MAX(0,AP123-(MAX(0,AK121-IF($A124&gt;='1-Input'!$C$12,'1-Input'!$B$12,0))-MIN(MAX(AO123,0),MAX(0,AK121-IF($A124&gt;='1-Input'!$C$12,'1-Input'!$B$12,0))))*(1/(1-'P-Parametri'!$B$6*AK124))),MAX(0,1*MAX(0,AK121-IF($A124&gt;='1-Input'!$C$12,'1-Input'!$B$12,0))-(AO123-MIN(MAX(AO123,0),MAX(0,AK121-IF($A124&gt;='1-Input'!$C$12,'1-Input'!$B$12,0)))))*(1/(1-'P-Parametri'!$B$6*AK124))))</f>
        <v>19585.484529820544</v>
      </c>
      <c r="AM124" s="18">
        <f>IF($A124&gt;'1-Input'!$B$26,AO123,(AO123-MAX(0,AK121-IF($A124&gt;='1-Input'!$C$12,'1-Input'!$B$12,0))+AL124*(1-'P-Parametri'!$B$6*AK124))*(1+'1-Input'!$B$27))</f>
        <v>18417.206672527071</v>
      </c>
      <c r="AN124" s="18">
        <f>IF($A124&gt;'1-Input'!$B$26,AP123,(AP123-AL124)*(1+'5-Roberta'!$C$4))</f>
        <v>412933.08437771373</v>
      </c>
      <c r="AO124" s="18">
        <f>IF($A124&gt;'1-Input'!$B$26,AM124,AM124-'P-Parametri'!$B$8*(AN124+AM124)+MIN(MAX(AN124,0),'P-Parametri'!$B$8*(AN124+AM124)))</f>
        <v>18417.206672527071</v>
      </c>
      <c r="AP124" s="18">
        <f>IF($A124&gt;'1-Input'!$B$26,AN124,AN124-MIN(MAX(AN124,0),'P-Parametri'!$B$8*(AN124+AM124)))</f>
        <v>412070.38379561325</v>
      </c>
      <c r="AQ124" s="18">
        <f>IF($A124&gt;'1-Input'!$B$26,AQ123,AQ123-AL124*(1-AK124))</f>
        <v>314167.2945498568</v>
      </c>
    </row>
    <row r="125" spans="1:43">
      <c r="A125" s="10">
        <f>2</f>
        <v>2</v>
      </c>
      <c r="B125" s="11">
        <f>IF($A125&gt;'1-Input'!$B$26,0,IF(G124&lt;=0,0,MAX(0,(G124-H124)/G124)))</f>
        <v>0.23759548009592124</v>
      </c>
      <c r="C125" s="18">
        <f>IF($A125&gt;'1-Input'!$B$26,0,(MAX(0,B121-IF($A125&gt;='1-Input'!$C$12,'1-Input'!$B$12,0))-MIN(MAX(F124,0),MAX(0,B121-IF($A125&gt;='1-Input'!$C$12,'1-Input'!$B$12,0))))*(1/(1-'P-Parametri'!$B$6*B125))+MIN(MAX(0,G124-(MAX(0,B121-IF($A125&gt;='1-Input'!$C$12,'1-Input'!$B$12,0))-MIN(MAX(F124,0),MAX(0,B121-IF($A125&gt;='1-Input'!$C$12,'1-Input'!$B$12,0))))*(1/(1-'P-Parametri'!$B$6*B125))),MAX(0,1*MAX(0,B121-IF($A125&gt;='1-Input'!$C$12,'1-Input'!$B$12,0))-(F124-MIN(MAX(F124,0),MAX(0,B121-IF($A125&gt;='1-Input'!$C$12,'1-Input'!$B$12,0)))))*(1/(1-'P-Parametri'!$B$6*B125))))</f>
        <v>17843.378707712451</v>
      </c>
      <c r="D125" s="18">
        <f>IF($A125&gt;'1-Input'!$B$26,F124,(F124-MAX(0,B121-IF($A125&gt;='1-Input'!$C$12,'1-Input'!$B$12,0))+C125*(1-'P-Parametri'!$B$6*B125))*(1+'1-Input'!$B$27))</f>
        <v>16621.00351549315</v>
      </c>
      <c r="E125" s="18">
        <f>IF($A125&gt;'1-Input'!$B$26,G124,(G124-C125)*(1+'5-Roberta'!$C$4))</f>
        <v>409988.58569596836</v>
      </c>
      <c r="F125" s="18">
        <f>IF($A125&gt;'1-Input'!$B$26,D125,D125-'P-Parametri'!$B$8*(E125+D125)+MIN(MAX(E125,0),'P-Parametri'!$B$8*(E125+D125)))</f>
        <v>16621.00351549315</v>
      </c>
      <c r="G125" s="18">
        <f>IF($A125&gt;'1-Input'!$B$26,E125,E125-MIN(MAX(E125,0),'P-Parametri'!$B$8*(E125+D125)))</f>
        <v>409135.36651754542</v>
      </c>
      <c r="H125" s="18">
        <f>IF($A125&gt;'1-Input'!$B$26,H124,H124-C125*(1-B125))</f>
        <v>303472.9619841621</v>
      </c>
      <c r="I125" s="11">
        <f>IF($A125&gt;'1-Input'!$B$26,0,IF(N124&lt;=0,0,MAX(0,(N124-O124)/N124)))</f>
        <v>0.23757402642922376</v>
      </c>
      <c r="J125" s="18">
        <f>IF($A125&gt;'1-Input'!$B$26,0,(MAX(0,I121-IF($A125&gt;='1-Input'!$C$12,'1-Input'!$B$12,0))-MIN(MAX(M124,0),MAX(0,I121-IF($A125&gt;='1-Input'!$C$12,'1-Input'!$B$12,0))))*(1/(1-'P-Parametri'!$B$6*I125))+MIN(MAX(0,N124-(MAX(0,I121-IF($A125&gt;='1-Input'!$C$12,'1-Input'!$B$12,0))-MIN(MAX(M124,0),MAX(0,I121-IF($A125&gt;='1-Input'!$C$12,'1-Input'!$B$12,0))))*(1/(1-'P-Parametri'!$B$6*I125))),MAX(0,1*MAX(0,I121-IF($A125&gt;='1-Input'!$C$12,'1-Input'!$B$12,0))-(M124-MIN(MAX(M124,0),MAX(0,I121-IF($A125&gt;='1-Input'!$C$12,'1-Input'!$B$12,0)))))*(1/(1-'P-Parametri'!$B$6*I125))))</f>
        <v>23477.990296794953</v>
      </c>
      <c r="K125" s="18">
        <f>IF($A125&gt;'1-Input'!$B$26,M124,(M124-MAX(0,I121-IF($A125&gt;='1-Input'!$C$12,'1-Input'!$B$12,0))+J125*(1-'P-Parametri'!$B$6*I125))*(1+'1-Input'!$B$27))</f>
        <v>21869.741467754146</v>
      </c>
      <c r="L125" s="18">
        <f>IF($A125&gt;'1-Input'!$B$26,N124,(N124-J125)*(1+'5-Roberta'!$C$4))</f>
        <v>392687.02755101427</v>
      </c>
      <c r="M125" s="18">
        <f>IF($A125&gt;'1-Input'!$B$26,K125,K125-'P-Parametri'!$B$8*(L125+K125)+MIN(MAX(L125,0),'P-Parametri'!$B$8*(L125+K125)))</f>
        <v>21869.741467754146</v>
      </c>
      <c r="N125" s="18">
        <f>IF($A125&gt;'1-Input'!$B$26,L125,L125-MIN(MAX(L125,0),'P-Parametri'!$B$8*(L125+K125)))</f>
        <v>391857.91401297675</v>
      </c>
      <c r="O125" s="18">
        <f>IF($A125&gt;'1-Input'!$B$26,O124,O124-J125*(1-I125))</f>
        <v>290674.55270795757</v>
      </c>
      <c r="P125" s="11">
        <f>IF($A125&gt;'1-Input'!$B$26,0,IF(U124&lt;=0,0,MAX(0,(U124-V124)/U124)))</f>
        <v>0.2375871939105004</v>
      </c>
      <c r="Q125" s="18">
        <f>IF($A125&gt;'1-Input'!$B$26,0,(MAX(0,P121-IF($A125&gt;='1-Input'!$C$12,'1-Input'!$B$12,0))-MIN(MAX(T124,0),MAX(0,P121-IF($A125&gt;='1-Input'!$C$12,'1-Input'!$B$12,0))))*(1/(1-'P-Parametri'!$B$6*P125))+MIN(MAX(0,U124-(MAX(0,P121-IF($A125&gt;='1-Input'!$C$12,'1-Input'!$B$12,0))-MIN(MAX(T124,0),MAX(0,P121-IF($A125&gt;='1-Input'!$C$12,'1-Input'!$B$12,0))))*(1/(1-'P-Parametri'!$B$6*P125))),MAX(0,1*MAX(0,P121-IF($A125&gt;='1-Input'!$C$12,'1-Input'!$B$12,0))-(T124-MIN(MAX(T124,0),MAX(0,P121-IF($A125&gt;='1-Input'!$C$12,'1-Input'!$B$12,0)))))*(1/(1-'P-Parametri'!$B$6*P125))))</f>
        <v>20056.132302355898</v>
      </c>
      <c r="R125" s="18">
        <f>IF($A125&gt;'1-Input'!$B$26,T124,(T124-MAX(0,P121-IF($A125&gt;='1-Input'!$C$12,'1-Input'!$B$12,0))+Q125*(1-'P-Parametri'!$B$6*P125))*(1+'1-Input'!$B$27))</f>
        <v>18682.213521902773</v>
      </c>
      <c r="S125" s="18">
        <f>IF($A125&gt;'1-Input'!$B$26,U124,(U124-Q125)*(1+'5-Roberta'!$C$4))</f>
        <v>403194.15388012584</v>
      </c>
      <c r="T125" s="18">
        <f>IF($A125&gt;'1-Input'!$B$26,R125,R125-'P-Parametri'!$B$8*(S125+R125)+MIN(MAX(S125,0),'P-Parametri'!$B$8*(S125+R125)))</f>
        <v>18682.213521902773</v>
      </c>
      <c r="U125" s="18">
        <f>IF($A125&gt;'1-Input'!$B$26,S125,S125-MIN(MAX(S125,0),'P-Parametri'!$B$8*(S125+R125)))</f>
        <v>402350.40114532178</v>
      </c>
      <c r="V125" s="18">
        <f>IF($A125&gt;'1-Input'!$B$26,V124,V124-Q125*(1-P125))</f>
        <v>298446.97695012449</v>
      </c>
      <c r="W125" s="11">
        <f>IF($A125&gt;'1-Input'!$B$26,0,IF(AB124&lt;=0,0,MAX(0,(AB124-AC124)/AB124)))</f>
        <v>0.23758824100274564</v>
      </c>
      <c r="X125" s="18">
        <f>IF($A125&gt;'1-Input'!$B$26,0,(MAX(0,W121-IF($A125&gt;='1-Input'!$C$12,'1-Input'!$B$12,0))-MIN(MAX(AA124,0),MAX(0,W121-IF($A125&gt;='1-Input'!$C$12,'1-Input'!$B$12,0))))*(1/(1-'P-Parametri'!$B$6*W125))+MIN(MAX(0,AB124-(MAX(0,W121-IF($A125&gt;='1-Input'!$C$12,'1-Input'!$B$12,0))-MIN(MAX(AA124,0),MAX(0,W121-IF($A125&gt;='1-Input'!$C$12,'1-Input'!$B$12,0))))*(1/(1-'P-Parametri'!$B$6*W125))),MAX(0,1*MAX(0,W121-IF($A125&gt;='1-Input'!$C$12,'1-Input'!$B$12,0))-(AA124-MIN(MAX(AA124,0),MAX(0,W121-IF($A125&gt;='1-Input'!$C$12,'1-Input'!$B$12,0)))))*(1/(1-'P-Parametri'!$B$6*W125))))</f>
        <v>19779.094402671242</v>
      </c>
      <c r="Y125" s="18">
        <f>IF($A125&gt;'1-Input'!$B$26,AA124,(AA124-MAX(0,W121-IF($A125&gt;='1-Input'!$C$12,'1-Input'!$B$12,0))+X125*(1-'P-Parametri'!$B$6*W125))*(1+'1-Input'!$B$27))</f>
        <v>18424.148390510632</v>
      </c>
      <c r="Z125" s="18">
        <f>IF($A125&gt;'1-Input'!$B$26,AB124,(AB124-X125)*(1+'5-Roberta'!$C$4))</f>
        <v>404044.8215170952</v>
      </c>
      <c r="AA125" s="18">
        <f>IF($A125&gt;'1-Input'!$B$26,Y125,Y125-'P-Parametri'!$B$8*(Z125+Y125)+MIN(MAX(Z125,0),'P-Parametri'!$B$8*(Z125+Y125)))</f>
        <v>18424.148390510632</v>
      </c>
      <c r="AB125" s="18">
        <f>IF($A125&gt;'1-Input'!$B$26,Z125,Z125-MIN(MAX(Z125,0),'P-Parametri'!$B$8*(Z125+Y125)))</f>
        <v>403199.88357727998</v>
      </c>
      <c r="AC125" s="18">
        <f>IF($A125&gt;'1-Input'!$B$26,AC124,AC124-X125*(1-W125))</f>
        <v>299076.23600638856</v>
      </c>
      <c r="AD125" s="11">
        <f>IF($A125&gt;'1-Input'!$B$26,0,IF(AI124&lt;=0,0,MAX(0,(AI124-AJ124)/AI124)))</f>
        <v>0.23758826930518387</v>
      </c>
      <c r="AE125" s="18">
        <f>IF($A125&gt;'1-Input'!$B$26,0,(MAX(0,AD121-IF($A125&gt;='1-Input'!$C$12,'1-Input'!$B$12,0))-MIN(MAX(AH124,0),MAX(0,AD121-IF($A125&gt;='1-Input'!$C$12,'1-Input'!$B$12,0))))*(1/(1-'P-Parametri'!$B$6*AD125))+MIN(MAX(0,AI124-(MAX(0,AD121-IF($A125&gt;='1-Input'!$C$12,'1-Input'!$B$12,0))-MIN(MAX(AH124,0),MAX(0,AD121-IF($A125&gt;='1-Input'!$C$12,'1-Input'!$B$12,0))))*(1/(1-'P-Parametri'!$B$6*AD125))),MAX(0,1*MAX(0,AD121-IF($A125&gt;='1-Input'!$C$12,'1-Input'!$B$12,0))-(AH124-MIN(MAX(AH124,0),MAX(0,AD121-IF($A125&gt;='1-Input'!$C$12,'1-Input'!$B$12,0)))))*(1/(1-'P-Parametri'!$B$6*AD125))))</f>
        <v>19771.595931047454</v>
      </c>
      <c r="AF125" s="18">
        <f>IF($A125&gt;'1-Input'!$B$26,AH124,(AH124-MAX(0,AD121-IF($A125&gt;='1-Input'!$C$12,'1-Input'!$B$12,0))+AE125*(1-'P-Parametri'!$B$6*AD125))*(1+'1-Input'!$B$27))</f>
        <v>18417.163449332853</v>
      </c>
      <c r="AG125" s="18">
        <f>IF($A125&gt;'1-Input'!$B$26,AI124,(AI124-AE125)*(1+'5-Roberta'!$C$4))</f>
        <v>404067.84618542012</v>
      </c>
      <c r="AH125" s="18">
        <f>IF($A125&gt;'1-Input'!$B$26,AF125,AF125-'P-Parametri'!$B$8*(AG125+AF125)+MIN(MAX(AG125,0),'P-Parametri'!$B$8*(AG125+AF125)))</f>
        <v>18417.163449332853</v>
      </c>
      <c r="AI125" s="18">
        <f>IF($A125&gt;'1-Input'!$B$26,AG125,AG125-MIN(MAX(AG125,0),'P-Parametri'!$B$8*(AG125+AF125)))</f>
        <v>403222.87616615061</v>
      </c>
      <c r="AJ125" s="18">
        <f>IF($A125&gt;'1-Input'!$B$26,AJ124,AJ124-AE125*(1-AD125))</f>
        <v>299093.26789160474</v>
      </c>
      <c r="AK125" s="11">
        <f>IF($A125&gt;'1-Input'!$B$26,0,IF(AP124&lt;=0,0,MAX(0,(AP124-AQ124)/AP124)))</f>
        <v>0.23758826913005313</v>
      </c>
      <c r="AL125" s="18">
        <f>IF($A125&gt;'1-Input'!$B$26,0,(MAX(0,AK121-IF($A125&gt;='1-Input'!$C$12,'1-Input'!$B$12,0))-MIN(MAX(AO124,0),MAX(0,AK121-IF($A125&gt;='1-Input'!$C$12,'1-Input'!$B$12,0))))*(1/(1-'P-Parametri'!$B$6*AK125))+MIN(MAX(0,AP124-(MAX(0,AK121-IF($A125&gt;='1-Input'!$C$12,'1-Input'!$B$12,0))-MIN(MAX(AO124,0),MAX(0,AK121-IF($A125&gt;='1-Input'!$C$12,'1-Input'!$B$12,0))))*(1/(1-'P-Parametri'!$B$6*AK125))),MAX(0,1*MAX(0,AK121-IF($A125&gt;='1-Input'!$C$12,'1-Input'!$B$12,0))-(AO124-MIN(MAX(AO124,0),MAX(0,AK121-IF($A125&gt;='1-Input'!$C$12,'1-Input'!$B$12,0)))))*(1/(1-'P-Parametri'!$B$6*AK125))))</f>
        <v>19771.642331996274</v>
      </c>
      <c r="AM125" s="18">
        <f>IF($A125&gt;'1-Input'!$B$26,AO124,(AO124-MAX(0,AK121-IF($A125&gt;='1-Input'!$C$12,'1-Input'!$B$12,0))+AL125*(1-'P-Parametri'!$B$6*AK125))*(1+'1-Input'!$B$27))</f>
        <v>18417.206672527071</v>
      </c>
      <c r="AN125" s="18">
        <f>IF($A125&gt;'1-Input'!$B$26,AP124,(AP124-AL125)*(1+'5-Roberta'!$C$4))</f>
        <v>404067.70370752545</v>
      </c>
      <c r="AO125" s="18">
        <f>IF($A125&gt;'1-Input'!$B$26,AM125,AM125-'P-Parametri'!$B$8*(AN125+AM125)+MIN(MAX(AN125,0),'P-Parametri'!$B$8*(AN125+AM125)))</f>
        <v>18417.206672527071</v>
      </c>
      <c r="AP125" s="18">
        <f>IF($A125&gt;'1-Input'!$B$26,AN125,AN125-MIN(MAX(AN125,0),'P-Parametri'!$B$8*(AN125+AM125)))</f>
        <v>403222.73388676532</v>
      </c>
      <c r="AQ125" s="18">
        <f>IF($A125&gt;'1-Input'!$B$26,AQ124,AQ124-AL125*(1-AK125))</f>
        <v>299093.16249737801</v>
      </c>
    </row>
    <row r="126" spans="1:43">
      <c r="A126" s="10">
        <f>3</f>
        <v>3</v>
      </c>
      <c r="B126" s="11">
        <f>IF($A126&gt;'1-Input'!$B$26,0,IF(G125&lt;=0,0,MAX(0,(G125-H125)/G125)))</f>
        <v>0.25825781191382796</v>
      </c>
      <c r="C126" s="18">
        <f>IF($A126&gt;'1-Input'!$B$26,0,(MAX(0,B121-IF($A126&gt;='1-Input'!$C$12,'1-Input'!$B$12,0))-MIN(MAX(F125,0),MAX(0,B121-IF($A126&gt;='1-Input'!$C$12,'1-Input'!$B$12,0))))*(1/(1-'P-Parametri'!$B$6*B126))+MIN(MAX(0,G125-(MAX(0,B121-IF($A126&gt;='1-Input'!$C$12,'1-Input'!$B$12,0))-MIN(MAX(F125,0),MAX(0,B121-IF($A126&gt;='1-Input'!$C$12,'1-Input'!$B$12,0))))*(1/(1-'P-Parametri'!$B$6*B126))),MAX(0,1*MAX(0,B121-IF($A126&gt;='1-Input'!$C$12,'1-Input'!$B$12,0))-(F125-MIN(MAX(F125,0),MAX(0,B121-IF($A126&gt;='1-Input'!$C$12,'1-Input'!$B$12,0)))))*(1/(1-'P-Parametri'!$B$6*B126))))</f>
        <v>17946.136928154981</v>
      </c>
      <c r="D126" s="18">
        <f>IF($A126&gt;'1-Input'!$B$26,F125,(F125-MAX(0,B121-IF($A126&gt;='1-Input'!$C$12,'1-Input'!$B$12,0))+C126*(1-'P-Parametri'!$B$6*B126))*(1+'1-Input'!$B$27))</f>
        <v>16621.00351549315</v>
      </c>
      <c r="E126" s="18">
        <f>IF($A126&gt;'1-Input'!$B$26,G125,(G125-C126)*(1+'5-Roberta'!$C$4))</f>
        <v>402924.90647707216</v>
      </c>
      <c r="F126" s="18">
        <f>IF($A126&gt;'1-Input'!$B$26,D126,D126-'P-Parametri'!$B$8*(E126+D126)+MIN(MAX(E126,0),'P-Parametri'!$B$8*(E126+D126)))</f>
        <v>16621.00351549315</v>
      </c>
      <c r="G126" s="18">
        <f>IF($A126&gt;'1-Input'!$B$26,E126,E126-MIN(MAX(E126,0),'P-Parametri'!$B$8*(E126+D126)))</f>
        <v>402085.81465708703</v>
      </c>
      <c r="H126" s="18">
        <f>IF($A126&gt;'1-Input'!$B$26,H125,H125-C126*(1-B126))</f>
        <v>290161.55511137837</v>
      </c>
      <c r="I126" s="11">
        <f>IF($A126&gt;'1-Input'!$B$26,0,IF(N125&lt;=0,0,MAX(0,(N125-O125)/N125)))</f>
        <v>0.25821441314993676</v>
      </c>
      <c r="J126" s="18">
        <f>IF($A126&gt;'1-Input'!$B$26,0,(MAX(0,I121-IF($A126&gt;='1-Input'!$C$12,'1-Input'!$B$12,0))-MIN(MAX(M125,0),MAX(0,I121-IF($A126&gt;='1-Input'!$C$12,'1-Input'!$B$12,0))))*(1/(1-'P-Parametri'!$B$6*I126))+MIN(MAX(0,N125-(MAX(0,I121-IF($A126&gt;='1-Input'!$C$12,'1-Input'!$B$12,0))-MIN(MAX(M125,0),MAX(0,I121-IF($A126&gt;='1-Input'!$C$12,'1-Input'!$B$12,0))))*(1/(1-'P-Parametri'!$B$6*I126))),MAX(0,1*MAX(0,I121-IF($A126&gt;='1-Input'!$C$12,'1-Input'!$B$12,0))-(M125-MIN(MAX(M125,0),MAX(0,I121-IF($A126&gt;='1-Input'!$C$12,'1-Input'!$B$12,0)))))*(1/(1-'P-Parametri'!$B$6*I126))))</f>
        <v>23613.052442686661</v>
      </c>
      <c r="K126" s="18">
        <f>IF($A126&gt;'1-Input'!$B$26,M125,(M125-MAX(0,I121-IF($A126&gt;='1-Input'!$C$12,'1-Input'!$B$12,0))+J126*(1-'P-Parametri'!$B$6*I126))*(1+'1-Input'!$B$27))</f>
        <v>21869.741467754146</v>
      </c>
      <c r="L126" s="18">
        <f>IF($A126&gt;'1-Input'!$B$26,N125,(N125-J126)*(1+'5-Roberta'!$C$4))</f>
        <v>379292.20741739875</v>
      </c>
      <c r="M126" s="18">
        <f>IF($A126&gt;'1-Input'!$B$26,K126,K126-'P-Parametri'!$B$8*(L126+K126)+MIN(MAX(L126,0),'P-Parametri'!$B$8*(L126+K126)))</f>
        <v>21869.741467754146</v>
      </c>
      <c r="N126" s="18">
        <f>IF($A126&gt;'1-Input'!$B$26,L126,L126-MIN(MAX(L126,0),'P-Parametri'!$B$8*(L126+K126)))</f>
        <v>378489.88351962843</v>
      </c>
      <c r="O126" s="18">
        <f>IF($A126&gt;'1-Input'!$B$26,O125,O125-J126*(1-I126))</f>
        <v>273158.7307444379</v>
      </c>
      <c r="P126" s="11">
        <f>IF($A126&gt;'1-Input'!$B$26,0,IF(U125&lt;=0,0,MAX(0,(U125-V125)/U125)))</f>
        <v>0.25824113484024896</v>
      </c>
      <c r="Q126" s="18">
        <f>IF($A126&gt;'1-Input'!$B$26,0,(MAX(0,P121-IF($A126&gt;='1-Input'!$C$12,'1-Input'!$B$12,0))-MIN(MAX(T125,0),MAX(0,P121-IF($A126&gt;='1-Input'!$C$12,'1-Input'!$B$12,0))))*(1/(1-'P-Parametri'!$B$6*P126))+MIN(MAX(0,U125-(MAX(0,P121-IF($A126&gt;='1-Input'!$C$12,'1-Input'!$B$12,0))-MIN(MAX(T125,0),MAX(0,P121-IF($A126&gt;='1-Input'!$C$12,'1-Input'!$B$12,0))))*(1/(1-'P-Parametri'!$B$6*P126))),MAX(0,1*MAX(0,P121-IF($A126&gt;='1-Input'!$C$12,'1-Input'!$B$12,0))-(T125-MIN(MAX(T125,0),MAX(0,P121-IF($A126&gt;='1-Input'!$C$12,'1-Input'!$B$12,0)))))*(1/(1-'P-Parametri'!$B$6*P126))))</f>
        <v>20171.586106609797</v>
      </c>
      <c r="R126" s="18">
        <f>IF($A126&gt;'1-Input'!$B$26,T125,(T125-MAX(0,P121-IF($A126&gt;='1-Input'!$C$12,'1-Input'!$B$12,0))+Q126*(1-'P-Parametri'!$B$6*P126))*(1+'1-Input'!$B$27))</f>
        <v>18682.213521902773</v>
      </c>
      <c r="S126" s="18">
        <f>IF($A126&gt;'1-Input'!$B$26,U125,(U125-Q126)*(1+'5-Roberta'!$C$4))</f>
        <v>393644.17948987335</v>
      </c>
      <c r="T126" s="18">
        <f>IF($A126&gt;'1-Input'!$B$26,R126,R126-'P-Parametri'!$B$8*(S126+R126)+MIN(MAX(S126,0),'P-Parametri'!$B$8*(S126+R126)))</f>
        <v>18682.213521902773</v>
      </c>
      <c r="U126" s="18">
        <f>IF($A126&gt;'1-Input'!$B$26,S126,S126-MIN(MAX(S126,0),'P-Parametri'!$B$8*(S126+R126)))</f>
        <v>392819.52670384978</v>
      </c>
      <c r="V126" s="18">
        <f>IF($A126&gt;'1-Input'!$B$26,V125,V125-Q126*(1-P126))</f>
        <v>283484.52413121343</v>
      </c>
      <c r="W126" s="11">
        <f>IF($A126&gt;'1-Input'!$B$26,0,IF(AB125&lt;=0,0,MAX(0,(AB125-AC125)/AB125)))</f>
        <v>0.25824324810583532</v>
      </c>
      <c r="X126" s="18">
        <f>IF($A126&gt;'1-Input'!$B$26,0,(MAX(0,W121-IF($A126&gt;='1-Input'!$C$12,'1-Input'!$B$12,0))-MIN(MAX(AA125,0),MAX(0,W121-IF($A126&gt;='1-Input'!$C$12,'1-Input'!$B$12,0))))*(1/(1-'P-Parametri'!$B$6*W126))+MIN(MAX(0,AB125-(MAX(0,W121-IF($A126&gt;='1-Input'!$C$12,'1-Input'!$B$12,0))-MIN(MAX(AA125,0),MAX(0,W121-IF($A126&gt;='1-Input'!$C$12,'1-Input'!$B$12,0))))*(1/(1-'P-Parametri'!$B$6*W126))),MAX(0,1*MAX(0,W121-IF($A126&gt;='1-Input'!$C$12,'1-Input'!$B$12,0))-(AA125-MIN(MAX(AA125,0),MAX(0,W121-IF($A126&gt;='1-Input'!$C$12,'1-Input'!$B$12,0)))))*(1/(1-'P-Parametri'!$B$6*W126))))</f>
        <v>19892.959373443409</v>
      </c>
      <c r="Y126" s="18">
        <f>IF($A126&gt;'1-Input'!$B$26,AA125,(AA125-MAX(0,W121-IF($A126&gt;='1-Input'!$C$12,'1-Input'!$B$12,0))+X126*(1-'P-Parametri'!$B$6*W126))*(1+'1-Input'!$B$27))</f>
        <v>18424.148390510636</v>
      </c>
      <c r="Z126" s="18">
        <f>IF($A126&gt;'1-Input'!$B$26,AB125,(AB125-X126)*(1+'5-Roberta'!$C$4))</f>
        <v>394806.13192995172</v>
      </c>
      <c r="AA126" s="18">
        <f>IF($A126&gt;'1-Input'!$B$26,Y126,Y126-'P-Parametri'!$B$8*(Z126+Y126)+MIN(MAX(Z126,0),'P-Parametri'!$B$8*(Z126+Y126)))</f>
        <v>18424.148390510636</v>
      </c>
      <c r="AB126" s="18">
        <f>IF($A126&gt;'1-Input'!$B$26,Z126,Z126-MIN(MAX(Z126,0),'P-Parametri'!$B$8*(Z126+Y126)))</f>
        <v>393979.67136931082</v>
      </c>
      <c r="AC126" s="18">
        <f>IF($A126&gt;'1-Input'!$B$26,AC125,AC125-X126*(1-W126))</f>
        <v>284320.49907598062</v>
      </c>
      <c r="AD126" s="11">
        <f>IF($A126&gt;'1-Input'!$B$26,0,IF(AI125&lt;=0,0,MAX(0,(AI125-AJ125)/AI125)))</f>
        <v>0.2582433052028491</v>
      </c>
      <c r="AE126" s="18">
        <f>IF($A126&gt;'1-Input'!$B$26,0,(MAX(0,AD121-IF($A126&gt;='1-Input'!$C$12,'1-Input'!$B$12,0))-MIN(MAX(AH125,0),MAX(0,AD121-IF($A126&gt;='1-Input'!$C$12,'1-Input'!$B$12,0))))*(1/(1-'P-Parametri'!$B$6*AD126))+MIN(MAX(0,AI125-(MAX(0,AD121-IF($A126&gt;='1-Input'!$C$12,'1-Input'!$B$12,0))-MIN(MAX(AH125,0),MAX(0,AD121-IF($A126&gt;='1-Input'!$C$12,'1-Input'!$B$12,0))))*(1/(1-'P-Parametri'!$B$6*AD126))),MAX(0,1*MAX(0,AD121-IF($A126&gt;='1-Input'!$C$12,'1-Input'!$B$12,0))-(AH125-MIN(MAX(AH125,0),MAX(0,AD121-IF($A126&gt;='1-Input'!$C$12,'1-Input'!$B$12,0)))))*(1/(1-'P-Parametri'!$B$6*AD126))))</f>
        <v>19885.417894847502</v>
      </c>
      <c r="AF126" s="18">
        <f>IF($A126&gt;'1-Input'!$B$26,AH125,(AH125-MAX(0,AD121-IF($A126&gt;='1-Input'!$C$12,'1-Input'!$B$12,0))+AE126*(1-'P-Parametri'!$B$6*AD126))*(1+'1-Input'!$B$27))</f>
        <v>18417.163449332853</v>
      </c>
      <c r="AG126" s="18">
        <f>IF($A126&gt;'1-Input'!$B$26,AI125,(AI125-AE126)*(1+'5-Roberta'!$C$4))</f>
        <v>394837.58201944223</v>
      </c>
      <c r="AH126" s="18">
        <f>IF($A126&gt;'1-Input'!$B$26,AF126,AF126-'P-Parametri'!$B$8*(AG126+AF126)+MIN(MAX(AG126,0),'P-Parametri'!$B$8*(AG126+AF126)))</f>
        <v>18417.163449332853</v>
      </c>
      <c r="AI126" s="18">
        <f>IF($A126&gt;'1-Input'!$B$26,AG126,AG126-MIN(MAX(AG126,0),'P-Parametri'!$B$8*(AG126+AF126)))</f>
        <v>394011.07252850465</v>
      </c>
      <c r="AJ126" s="18">
        <f>IF($A126&gt;'1-Input'!$B$26,AJ125,AJ125-AE126*(1-AD126))</f>
        <v>284343.12603926257</v>
      </c>
      <c r="AK126" s="11">
        <f>IF($A126&gt;'1-Input'!$B$26,0,IF(AP125&lt;=0,0,MAX(0,(AP125-AQ125)/AP125)))</f>
        <v>0.258243304849546</v>
      </c>
      <c r="AL126" s="18">
        <f>IF($A126&gt;'1-Input'!$B$26,0,(MAX(0,AK121-IF($A126&gt;='1-Input'!$C$12,'1-Input'!$B$12,0))-MIN(MAX(AO125,0),MAX(0,AK121-IF($A126&gt;='1-Input'!$C$12,'1-Input'!$B$12,0))))*(1/(1-'P-Parametri'!$B$6*AK126))+MIN(MAX(0,AP125-(MAX(0,AK121-IF($A126&gt;='1-Input'!$C$12,'1-Input'!$B$12,0))-MIN(MAX(AO125,0),MAX(0,AK121-IF($A126&gt;='1-Input'!$C$12,'1-Input'!$B$12,0))))*(1/(1-'P-Parametri'!$B$6*AK126))),MAX(0,1*MAX(0,AK121-IF($A126&gt;='1-Input'!$C$12,'1-Input'!$B$12,0))-(AO125-MIN(MAX(AO125,0),MAX(0,AK121-IF($A126&gt;='1-Input'!$C$12,'1-Input'!$B$12,0)))))*(1/(1-'P-Parametri'!$B$6*AK126))))</f>
        <v>19885.464561926223</v>
      </c>
      <c r="AM126" s="18">
        <f>IF($A126&gt;'1-Input'!$B$26,AO125,(AO125-MAX(0,AK121-IF($A126&gt;='1-Input'!$C$12,'1-Input'!$B$12,0))+AL126*(1-'P-Parametri'!$B$6*AK126))*(1+'1-Input'!$B$27))</f>
        <v>18417.206672527071</v>
      </c>
      <c r="AN126" s="18">
        <f>IF($A126&gt;'1-Input'!$B$26,AP125,(AP125-AL126)*(1+'5-Roberta'!$C$4))</f>
        <v>394837.38740458433</v>
      </c>
      <c r="AO126" s="18">
        <f>IF($A126&gt;'1-Input'!$B$26,AM126,AM126-'P-Parametri'!$B$8*(AN126+AM126)+MIN(MAX(AN126,0),'P-Parametri'!$B$8*(AN126+AM126)))</f>
        <v>18417.206672527071</v>
      </c>
      <c r="AP126" s="18">
        <f>IF($A126&gt;'1-Input'!$B$26,AN126,AN126-MIN(MAX(AN126,0),'P-Parametri'!$B$8*(AN126+AM126)))</f>
        <v>394010.87821643008</v>
      </c>
      <c r="AQ126" s="18">
        <f>IF($A126&gt;'1-Input'!$B$26,AQ125,AQ125-AL126*(1-AK126))</f>
        <v>284342.98602239217</v>
      </c>
    </row>
    <row r="127" spans="1:43">
      <c r="A127" s="10">
        <f>4</f>
        <v>4</v>
      </c>
      <c r="B127" s="11">
        <f>IF($A127&gt;'1-Input'!$B$26,0,IF(G126&lt;=0,0,MAX(0,(G126-H126)/G126)))</f>
        <v>0.27835913495521253</v>
      </c>
      <c r="C127" s="18">
        <f>IF($A127&gt;'1-Input'!$B$26,0,(MAX(0,B121-IF($A127&gt;='1-Input'!$C$12,'1-Input'!$B$12,0))-MIN(MAX(F126,0),MAX(0,B121-IF($A127&gt;='1-Input'!$C$12,'1-Input'!$B$12,0))))*(1/(1-'P-Parametri'!$B$6*B127))+MIN(MAX(0,G126-(MAX(0,B121-IF($A127&gt;='1-Input'!$C$12,'1-Input'!$B$12,0))-MIN(MAX(F126,0),MAX(0,B121-IF($A127&gt;='1-Input'!$C$12,'1-Input'!$B$12,0))))*(1/(1-'P-Parametri'!$B$6*B127))),MAX(0,1*MAX(0,B121-IF($A127&gt;='1-Input'!$C$12,'1-Input'!$B$12,0))-(F126-MIN(MAX(F126,0),MAX(0,B121-IF($A127&gt;='1-Input'!$C$12,'1-Input'!$B$12,0)))))*(1/(1-'P-Parametri'!$B$6*B127))))</f>
        <v>18047.247312843167</v>
      </c>
      <c r="D127" s="18">
        <f>IF($A127&gt;'1-Input'!$B$26,F126,(F126-MAX(0,B121-IF($A127&gt;='1-Input'!$C$12,'1-Input'!$B$12,0))+C127*(1-'P-Parametri'!$B$6*B127))*(1+'1-Input'!$B$27))</f>
        <v>16621.00351549315</v>
      </c>
      <c r="E127" s="18">
        <f>IF($A127&gt;'1-Input'!$B$26,G126,(G126-C127)*(1+'5-Roberta'!$C$4))</f>
        <v>395559.72436457122</v>
      </c>
      <c r="F127" s="18">
        <f>IF($A127&gt;'1-Input'!$B$26,D127,D127-'P-Parametri'!$B$8*(E127+D127)+MIN(MAX(E127,0),'P-Parametri'!$B$8*(E127+D127)))</f>
        <v>16621.00351549315</v>
      </c>
      <c r="G127" s="18">
        <f>IF($A127&gt;'1-Input'!$B$26,E127,E127-MIN(MAX(E127,0),'P-Parametri'!$B$8*(E127+D127)))</f>
        <v>394735.36290881108</v>
      </c>
      <c r="H127" s="18">
        <f>IF($A127&gt;'1-Input'!$B$26,H126,H126-C127*(1-B127))</f>
        <v>277137.92394886102</v>
      </c>
      <c r="I127" s="11">
        <f>IF($A127&gt;'1-Input'!$B$26,0,IF(N126&lt;=0,0,MAX(0,(N126-O126)/N126)))</f>
        <v>0.2782931786596301</v>
      </c>
      <c r="J127" s="18">
        <f>IF($A127&gt;'1-Input'!$B$26,0,(MAX(0,I121-IF($A127&gt;='1-Input'!$C$12,'1-Input'!$B$12,0))-MIN(MAX(M126,0),MAX(0,I121-IF($A127&gt;='1-Input'!$C$12,'1-Input'!$B$12,0))))*(1/(1-'P-Parametri'!$B$6*I127))+MIN(MAX(0,N126-(MAX(0,I121-IF($A127&gt;='1-Input'!$C$12,'1-Input'!$B$12,0))-MIN(MAX(M126,0),MAX(0,I121-IF($A127&gt;='1-Input'!$C$12,'1-Input'!$B$12,0))))*(1/(1-'P-Parametri'!$B$6*I127))),MAX(0,1*MAX(0,I121-IF($A127&gt;='1-Input'!$C$12,'1-Input'!$B$12,0))-(M126-MIN(MAX(M126,0),MAX(0,I121-IF($A127&gt;='1-Input'!$C$12,'1-Input'!$B$12,0)))))*(1/(1-'P-Parametri'!$B$6*I127))))</f>
        <v>23745.939062190722</v>
      </c>
      <c r="K127" s="18">
        <f>IF($A127&gt;'1-Input'!$B$26,M126,(M126-MAX(0,I121-IF($A127&gt;='1-Input'!$C$12,'1-Input'!$B$12,0))+J127*(1-'P-Parametri'!$B$6*I127))*(1+'1-Input'!$B$27))</f>
        <v>21869.741467754149</v>
      </c>
      <c r="L127" s="18">
        <f>IF($A127&gt;'1-Input'!$B$26,N126,(N126-J127)*(1+'5-Roberta'!$C$4))</f>
        <v>365386.26279116084</v>
      </c>
      <c r="M127" s="18">
        <f>IF($A127&gt;'1-Input'!$B$26,K127,K127-'P-Parametri'!$B$8*(L127+K127)+MIN(MAX(L127,0),'P-Parametri'!$B$8*(L127+K127)))</f>
        <v>21869.741467754149</v>
      </c>
      <c r="N127" s="18">
        <f>IF($A127&gt;'1-Input'!$B$26,L127,L127-MIN(MAX(L127,0),'P-Parametri'!$B$8*(L127+K127)))</f>
        <v>364611.75078264304</v>
      </c>
      <c r="O127" s="18">
        <f>IF($A127&gt;'1-Input'!$B$26,O126,O126-J127*(1-I127))</f>
        <v>256021.12454412211</v>
      </c>
      <c r="P127" s="11">
        <f>IF($A127&gt;'1-Input'!$B$26,0,IF(U126&lt;=0,0,MAX(0,(U126-V126)/U126)))</f>
        <v>0.27833392980758059</v>
      </c>
      <c r="Q127" s="18">
        <f>IF($A127&gt;'1-Input'!$B$26,0,(MAX(0,P121-IF($A127&gt;='1-Input'!$C$12,'1-Input'!$B$12,0))-MIN(MAX(T126,0),MAX(0,P121-IF($A127&gt;='1-Input'!$C$12,'1-Input'!$B$12,0))))*(1/(1-'P-Parametri'!$B$6*P127))+MIN(MAX(0,U126-(MAX(0,P121-IF($A127&gt;='1-Input'!$C$12,'1-Input'!$B$12,0))-MIN(MAX(T126,0),MAX(0,P121-IF($A127&gt;='1-Input'!$C$12,'1-Input'!$B$12,0))))*(1/(1-'P-Parametri'!$B$6*P127))),MAX(0,1*MAX(0,P121-IF($A127&gt;='1-Input'!$C$12,'1-Input'!$B$12,0))-(T126-MIN(MAX(T126,0),MAX(0,P121-IF($A127&gt;='1-Input'!$C$12,'1-Input'!$B$12,0)))))*(1/(1-'P-Parametri'!$B$6*P127))))</f>
        <v>20285.185882750142</v>
      </c>
      <c r="R127" s="18">
        <f>IF($A127&gt;'1-Input'!$B$26,T126,(T126-MAX(0,P121-IF($A127&gt;='1-Input'!$C$12,'1-Input'!$B$12,0))+Q127*(1-'P-Parametri'!$B$6*P127))*(1+'1-Input'!$B$27))</f>
        <v>18682.213521902773</v>
      </c>
      <c r="S127" s="18">
        <f>IF($A127&gt;'1-Input'!$B$26,U126,(U126-Q127)*(1+'5-Roberta'!$C$4))</f>
        <v>383710.37104573264</v>
      </c>
      <c r="T127" s="18">
        <f>IF($A127&gt;'1-Input'!$B$26,R127,R127-'P-Parametri'!$B$8*(S127+R127)+MIN(MAX(S127,0),'P-Parametri'!$B$8*(S127+R127)))</f>
        <v>18682.213521902773</v>
      </c>
      <c r="U127" s="18">
        <f>IF($A127&gt;'1-Input'!$B$26,S127,S127-MIN(MAX(S127,0),'P-Parametri'!$B$8*(S127+R127)))</f>
        <v>382905.58587659738</v>
      </c>
      <c r="V127" s="18">
        <f>IF($A127&gt;'1-Input'!$B$26,V126,V126-Q127*(1-P127))</f>
        <v>268845.39375208638</v>
      </c>
      <c r="W127" s="11">
        <f>IF($A127&gt;'1-Input'!$B$26,0,IF(AB126&lt;=0,0,MAX(0,(AB126-AC126)/AB126)))</f>
        <v>0.27833713326426246</v>
      </c>
      <c r="X127" s="18">
        <f>IF($A127&gt;'1-Input'!$B$26,0,(MAX(0,W121-IF($A127&gt;='1-Input'!$C$12,'1-Input'!$B$12,0))-MIN(MAX(AA126,0),MAX(0,W121-IF($A127&gt;='1-Input'!$C$12,'1-Input'!$B$12,0))))*(1/(1-'P-Parametri'!$B$6*W127))+MIN(MAX(0,AB126-(MAX(0,W121-IF($A127&gt;='1-Input'!$C$12,'1-Input'!$B$12,0))-MIN(MAX(AA126,0),MAX(0,W121-IF($A127&gt;='1-Input'!$C$12,'1-Input'!$B$12,0))))*(1/(1-'P-Parametri'!$B$6*W127))),MAX(0,1*MAX(0,W121-IF($A127&gt;='1-Input'!$C$12,'1-Input'!$B$12,0))-(AA126-MIN(MAX(AA126,0),MAX(0,W121-IF($A127&gt;='1-Input'!$C$12,'1-Input'!$B$12,0)))))*(1/(1-'P-Parametri'!$B$6*W127))))</f>
        <v>20004.996194075789</v>
      </c>
      <c r="Y127" s="18">
        <f>IF($A127&gt;'1-Input'!$B$26,AA126,(AA126-MAX(0,W121-IF($A127&gt;='1-Input'!$C$12,'1-Input'!$B$12,0))+X127*(1-'P-Parametri'!$B$6*W127))*(1+'1-Input'!$B$27))</f>
        <v>18424.14839051064</v>
      </c>
      <c r="Z127" s="18">
        <f>IF($A127&gt;'1-Input'!$B$26,AB126,(AB126-X127)*(1+'5-Roberta'!$C$4))</f>
        <v>385193.91543049208</v>
      </c>
      <c r="AA127" s="18">
        <f>IF($A127&gt;'1-Input'!$B$26,Y127,Y127-'P-Parametri'!$B$8*(Z127+Y127)+MIN(MAX(Z127,0),'P-Parametri'!$B$8*(Z127+Y127)))</f>
        <v>18424.14839051064</v>
      </c>
      <c r="AB127" s="18">
        <f>IF($A127&gt;'1-Input'!$B$26,Z127,Z127-MIN(MAX(Z127,0),'P-Parametri'!$B$8*(Z127+Y127)))</f>
        <v>384386.6793028501</v>
      </c>
      <c r="AC127" s="18">
        <f>IF($A127&gt;'1-Input'!$B$26,AC126,AC126-X127*(1-W127))</f>
        <v>269883.63617352635</v>
      </c>
      <c r="AD127" s="11">
        <f>IF($A127&gt;'1-Input'!$B$26,0,IF(AI126&lt;=0,0,MAX(0,(AI126-AJ126)/AI126)))</f>
        <v>0.27833721977777204</v>
      </c>
      <c r="AE127" s="18">
        <f>IF($A127&gt;'1-Input'!$B$26,0,(MAX(0,AD121-IF($A127&gt;='1-Input'!$C$12,'1-Input'!$B$12,0))-MIN(MAX(AH126,0),MAX(0,AD121-IF($A127&gt;='1-Input'!$C$12,'1-Input'!$B$12,0))))*(1/(1-'P-Parametri'!$B$6*AD127))+MIN(MAX(0,AI126-(MAX(0,AD121-IF($A127&gt;='1-Input'!$C$12,'1-Input'!$B$12,0))-MIN(MAX(AH126,0),MAX(0,AD121-IF($A127&gt;='1-Input'!$C$12,'1-Input'!$B$12,0))))*(1/(1-'P-Parametri'!$B$6*AD127))),MAX(0,1*MAX(0,AD121-IF($A127&gt;='1-Input'!$C$12,'1-Input'!$B$12,0))-(AH126-MIN(MAX(AH126,0),MAX(0,AD121-IF($A127&gt;='1-Input'!$C$12,'1-Input'!$B$12,0)))))*(1/(1-'P-Parametri'!$B$6*AD127))))</f>
        <v>19997.412408666329</v>
      </c>
      <c r="AF127" s="18">
        <f>IF($A127&gt;'1-Input'!$B$26,AH126,(AH126-MAX(0,AD121-IF($A127&gt;='1-Input'!$C$12,'1-Input'!$B$12,0))+AE127*(1-'P-Parametri'!$B$6*AD127))*(1+'1-Input'!$B$27))</f>
        <v>18417.163449332857</v>
      </c>
      <c r="AG127" s="18">
        <f>IF($A127&gt;'1-Input'!$B$26,AI126,(AI126-AE127)*(1+'5-Roberta'!$C$4))</f>
        <v>385234.06992343348</v>
      </c>
      <c r="AH127" s="18">
        <f>IF($A127&gt;'1-Input'!$B$26,AF127,AF127-'P-Parametri'!$B$8*(AG127+AF127)+MIN(MAX(AG127,0),'P-Parametri'!$B$8*(AG127+AF127)))</f>
        <v>18417.163449332857</v>
      </c>
      <c r="AI127" s="18">
        <f>IF($A127&gt;'1-Input'!$B$26,AG127,AG127-MIN(MAX(AG127,0),'P-Parametri'!$B$8*(AG127+AF127)))</f>
        <v>384426.76745668793</v>
      </c>
      <c r="AJ127" s="18">
        <f>IF($A127&gt;'1-Input'!$B$26,AJ126,AJ126-AE127*(1-AD127))</f>
        <v>269911.73780317395</v>
      </c>
      <c r="AK127" s="11">
        <f>IF($A127&gt;'1-Input'!$B$26,0,IF(AP126&lt;=0,0,MAX(0,(AP126-AQ126)/AP126)))</f>
        <v>0.27833721924245292</v>
      </c>
      <c r="AL127" s="18">
        <f>IF($A127&gt;'1-Input'!$B$26,0,(MAX(0,AK121-IF($A127&gt;='1-Input'!$C$12,'1-Input'!$B$12,0))-MIN(MAX(AO126,0),MAX(0,AK121-IF($A127&gt;='1-Input'!$C$12,'1-Input'!$B$12,0))))*(1/(1-'P-Parametri'!$B$6*AK127))+MIN(MAX(0,AP126-(MAX(0,AK121-IF($A127&gt;='1-Input'!$C$12,'1-Input'!$B$12,0))-MIN(MAX(AO126,0),MAX(0,AK121-IF($A127&gt;='1-Input'!$C$12,'1-Input'!$B$12,0))))*(1/(1-'P-Parametri'!$B$6*AK127))),MAX(0,1*MAX(0,AK121-IF($A127&gt;='1-Input'!$C$12,'1-Input'!$B$12,0))-(AO126-MIN(MAX(AO126,0),MAX(0,AK121-IF($A127&gt;='1-Input'!$C$12,'1-Input'!$B$12,0)))))*(1/(1-'P-Parametri'!$B$6*AK127))))</f>
        <v>19997.459337542376</v>
      </c>
      <c r="AM127" s="18">
        <f>IF($A127&gt;'1-Input'!$B$26,AO126,(AO126-MAX(0,AK121-IF($A127&gt;='1-Input'!$C$12,'1-Input'!$B$12,0))+AL127*(1-'P-Parametri'!$B$6*AK127))*(1+'1-Input'!$B$27))</f>
        <v>18417.206672527071</v>
      </c>
      <c r="AN127" s="18">
        <f>IF($A127&gt;'1-Input'!$B$26,AP126,(AP126-AL127)*(1+'5-Roberta'!$C$4))</f>
        <v>385233.82144525438</v>
      </c>
      <c r="AO127" s="18">
        <f>IF($A127&gt;'1-Input'!$B$26,AM127,AM127-'P-Parametri'!$B$8*(AN127+AM127)+MIN(MAX(AN127,0),'P-Parametri'!$B$8*(AN127+AM127)))</f>
        <v>18417.206672527071</v>
      </c>
      <c r="AP127" s="18">
        <f>IF($A127&gt;'1-Input'!$B$26,AN127,AN127-MIN(MAX(AN127,0),'P-Parametri'!$B$8*(AN127+AM127)))</f>
        <v>384426.51938901882</v>
      </c>
      <c r="AQ127" s="18">
        <f>IF($A127&gt;'1-Input'!$B$26,AQ126,AQ126-AL127*(1-AK127))</f>
        <v>269911.56390877534</v>
      </c>
    </row>
    <row r="128" spans="1:43">
      <c r="A128" s="10">
        <f>5</f>
        <v>5</v>
      </c>
      <c r="B128" s="11">
        <f>IF($A128&gt;'1-Input'!$B$26,0,IF(G127&lt;=0,0,MAX(0,(G127-H127)/G127)))</f>
        <v>0.29791462840666894</v>
      </c>
      <c r="C128" s="18">
        <f>IF($A128&gt;'1-Input'!$B$26,0,(MAX(0,B121-IF($A128&gt;='1-Input'!$C$12,'1-Input'!$B$12,0))-MIN(MAX(F127,0),MAX(0,B121-IF($A128&gt;='1-Input'!$C$12,'1-Input'!$B$12,0))))*(1/(1-'P-Parametri'!$B$6*B128))+MIN(MAX(0,G127-(MAX(0,B121-IF($A128&gt;='1-Input'!$C$12,'1-Input'!$B$12,0))-MIN(MAX(F127,0),MAX(0,B121-IF($A128&gt;='1-Input'!$C$12,'1-Input'!$B$12,0))))*(1/(1-'P-Parametri'!$B$6*B128))),MAX(0,1*MAX(0,B121-IF($A128&gt;='1-Input'!$C$12,'1-Input'!$B$12,0))-(F127-MIN(MAX(F127,0),MAX(0,B121-IF($A128&gt;='1-Input'!$C$12,'1-Input'!$B$12,0)))))*(1/(1-'P-Parametri'!$B$6*B128))))</f>
        <v>18146.711527340853</v>
      </c>
      <c r="D128" s="18">
        <f>IF($A128&gt;'1-Input'!$B$26,F127,(F127-MAX(0,B121-IF($A128&gt;='1-Input'!$C$12,'1-Input'!$B$12,0))+C128*(1-'P-Parametri'!$B$6*B128))*(1+'1-Input'!$B$27))</f>
        <v>16621.00351549315</v>
      </c>
      <c r="E128" s="18">
        <f>IF($A128&gt;'1-Input'!$B$26,G127,(G127-C128)*(1+'5-Roberta'!$C$4))</f>
        <v>387886.3109229143</v>
      </c>
      <c r="F128" s="18">
        <f>IF($A128&gt;'1-Input'!$B$26,D128,D128-'P-Parametri'!$B$8*(E128+D128)+MIN(MAX(E128,0),'P-Parametri'!$B$8*(E128+D128)))</f>
        <v>16621.00351549315</v>
      </c>
      <c r="G128" s="18">
        <f>IF($A128&gt;'1-Input'!$B$26,E128,E128-MIN(MAX(E128,0),'P-Parametri'!$B$8*(E128+D128)))</f>
        <v>387077.29629403749</v>
      </c>
      <c r="H128" s="18">
        <f>IF($A128&gt;'1-Input'!$B$26,H127,H127-C128*(1-B128))</f>
        <v>264397.38324299094</v>
      </c>
      <c r="I128" s="11">
        <f>IF($A128&gt;'1-Input'!$B$26,0,IF(N127&lt;=0,0,MAX(0,(N127-O127)/N127)))</f>
        <v>0.2978253608267698</v>
      </c>
      <c r="J128" s="18">
        <f>IF($A128&gt;'1-Input'!$B$26,0,(MAX(0,I121-IF($A128&gt;='1-Input'!$C$12,'1-Input'!$B$12,0))-MIN(MAX(M127,0),MAX(0,I121-IF($A128&gt;='1-Input'!$C$12,'1-Input'!$B$12,0))))*(1/(1-'P-Parametri'!$B$6*I128))+MIN(MAX(0,N127-(MAX(0,I121-IF($A128&gt;='1-Input'!$C$12,'1-Input'!$B$12,0))-MIN(MAX(M127,0),MAX(0,I121-IF($A128&gt;='1-Input'!$C$12,'1-Input'!$B$12,0))))*(1/(1-'P-Parametri'!$B$6*I128))),MAX(0,1*MAX(0,I121-IF($A128&gt;='1-Input'!$C$12,'1-Input'!$B$12,0))-(M127-MIN(MAX(M127,0),MAX(0,I121-IF($A128&gt;='1-Input'!$C$12,'1-Input'!$B$12,0)))))*(1/(1-'P-Parametri'!$B$6*I128))))</f>
        <v>23876.651314286435</v>
      </c>
      <c r="K128" s="18">
        <f>IF($A128&gt;'1-Input'!$B$26,M127,(M127-MAX(0,I121-IF($A128&gt;='1-Input'!$C$12,'1-Input'!$B$12,0))+J128*(1-'P-Parametri'!$B$6*I128))*(1+'1-Input'!$B$27))</f>
        <v>21869.741467754146</v>
      </c>
      <c r="L128" s="18">
        <f>IF($A128&gt;'1-Input'!$B$26,N127,(N127-J128)*(1+'5-Roberta'!$C$4))</f>
        <v>350957.15245240729</v>
      </c>
      <c r="M128" s="18">
        <f>IF($A128&gt;'1-Input'!$B$26,K128,K128-'P-Parametri'!$B$8*(L128+K128)+MIN(MAX(L128,0),'P-Parametri'!$B$8*(L128+K128)))</f>
        <v>21869.741467754146</v>
      </c>
      <c r="N128" s="18">
        <f>IF($A128&gt;'1-Input'!$B$26,L128,L128-MIN(MAX(L128,0),'P-Parametri'!$B$8*(L128+K128)))</f>
        <v>350211.49866456696</v>
      </c>
      <c r="O128" s="18">
        <f>IF($A128&gt;'1-Input'!$B$26,O127,O127-J128*(1-I128))</f>
        <v>239255.545522848</v>
      </c>
      <c r="P128" s="11">
        <f>IF($A128&gt;'1-Input'!$B$26,0,IF(U127&lt;=0,0,MAX(0,(U127-V127)/U127)))</f>
        <v>0.2978807213360169</v>
      </c>
      <c r="Q128" s="18">
        <f>IF($A128&gt;'1-Input'!$B$26,0,(MAX(0,P121-IF($A128&gt;='1-Input'!$C$12,'1-Input'!$B$12,0))-MIN(MAX(T127,0),MAX(0,P121-IF($A128&gt;='1-Input'!$C$12,'1-Input'!$B$12,0))))*(1/(1-'P-Parametri'!$B$6*P128))+MIN(MAX(0,U127-(MAX(0,P121-IF($A128&gt;='1-Input'!$C$12,'1-Input'!$B$12,0))-MIN(MAX(T127,0),MAX(0,P121-IF($A128&gt;='1-Input'!$C$12,'1-Input'!$B$12,0))))*(1/(1-'P-Parametri'!$B$6*P128))),MAX(0,1*MAX(0,P121-IF($A128&gt;='1-Input'!$C$12,'1-Input'!$B$12,0))-(T127-MIN(MAX(T127,0),MAX(0,P121-IF($A128&gt;='1-Input'!$C$12,'1-Input'!$B$12,0)))))*(1/(1-'P-Parametri'!$B$6*P128))))</f>
        <v>20396.93328370199</v>
      </c>
      <c r="R128" s="18">
        <f>IF($A128&gt;'1-Input'!$B$26,T127,(T127-MAX(0,P121-IF($A128&gt;='1-Input'!$C$12,'1-Input'!$B$12,0))+Q128*(1-'P-Parametri'!$B$6*P128))*(1+'1-Input'!$B$27))</f>
        <v>18682.213521902773</v>
      </c>
      <c r="S128" s="18">
        <f>IF($A128&gt;'1-Input'!$B$26,U127,(U127-Q128)*(1+'5-Roberta'!$C$4))</f>
        <v>373383.91217068228</v>
      </c>
      <c r="T128" s="18">
        <f>IF($A128&gt;'1-Input'!$B$26,R128,R128-'P-Parametri'!$B$8*(S128+R128)+MIN(MAX(S128,0),'P-Parametri'!$B$8*(S128+R128)))</f>
        <v>18682.213521902773</v>
      </c>
      <c r="U128" s="18">
        <f>IF($A128&gt;'1-Input'!$B$26,S128,S128-MIN(MAX(S128,0),'P-Parametri'!$B$8*(S128+R128)))</f>
        <v>372599.77991929709</v>
      </c>
      <c r="V128" s="18">
        <f>IF($A128&gt;'1-Input'!$B$26,V127,V127-Q128*(1-P128))</f>
        <v>254524.31366797615</v>
      </c>
      <c r="W128" s="11">
        <f>IF($A128&gt;'1-Input'!$B$26,0,IF(AB127&lt;=0,0,MAX(0,(AB127-AC127)/AB127)))</f>
        <v>0.29788504465605903</v>
      </c>
      <c r="X128" s="18">
        <f>IF($A128&gt;'1-Input'!$B$26,0,(MAX(0,W121-IF($A128&gt;='1-Input'!$C$12,'1-Input'!$B$12,0))-MIN(MAX(AA127,0),MAX(0,W121-IF($A128&gt;='1-Input'!$C$12,'1-Input'!$B$12,0))))*(1/(1-'P-Parametri'!$B$6*W128))+MIN(MAX(0,AB127-(MAX(0,W121-IF($A128&gt;='1-Input'!$C$12,'1-Input'!$B$12,0))-MIN(MAX(AA127,0),MAX(0,W121-IF($A128&gt;='1-Input'!$C$12,'1-Input'!$B$12,0))))*(1/(1-'P-Parametri'!$B$6*W128))),MAX(0,1*MAX(0,W121-IF($A128&gt;='1-Input'!$C$12,'1-Input'!$B$12,0))-(AA127-MIN(MAX(AA127,0),MAX(0,W121-IF($A128&gt;='1-Input'!$C$12,'1-Input'!$B$12,0)))))*(1/(1-'P-Parametri'!$B$6*W128))))</f>
        <v>20115.206528994589</v>
      </c>
      <c r="Y128" s="18">
        <f>IF($A128&gt;'1-Input'!$B$26,AA127,(AA127-MAX(0,W121-IF($A128&gt;='1-Input'!$C$12,'1-Input'!$B$12,0))+X128*(1-'P-Parametri'!$B$6*W128))*(1+'1-Input'!$B$27))</f>
        <v>18424.148390510636</v>
      </c>
      <c r="Z128" s="18">
        <f>IF($A128&gt;'1-Input'!$B$26,AB127,(AB127-X128)*(1+'5-Roberta'!$C$4))</f>
        <v>375199.61695707118</v>
      </c>
      <c r="AA128" s="18">
        <f>IF($A128&gt;'1-Input'!$B$26,Y128,Y128-'P-Parametri'!$B$8*(Z128+Y128)+MIN(MAX(Z128,0),'P-Parametri'!$B$8*(Z128+Y128)))</f>
        <v>18424.148390510636</v>
      </c>
      <c r="AB128" s="18">
        <f>IF($A128&gt;'1-Input'!$B$26,Z128,Z128-MIN(MAX(Z128,0),'P-Parametri'!$B$8*(Z128+Y128)))</f>
        <v>374412.36942637601</v>
      </c>
      <c r="AC128" s="18">
        <f>IF($A128&gt;'1-Input'!$B$26,AC127,AC127-X128*(1-W128))</f>
        <v>255760.44883968716</v>
      </c>
      <c r="AD128" s="11">
        <f>IF($A128&gt;'1-Input'!$B$26,0,IF(AI127&lt;=0,0,MAX(0,(AI127-AJ127)/AI127)))</f>
        <v>0.29788516135629395</v>
      </c>
      <c r="AE128" s="18">
        <f>IF($A128&gt;'1-Input'!$B$26,0,(MAX(0,AD121-IF($A128&gt;='1-Input'!$C$12,'1-Input'!$B$12,0))-MIN(MAX(AH127,0),MAX(0,AD121-IF($A128&gt;='1-Input'!$C$12,'1-Input'!$B$12,0))))*(1/(1-'P-Parametri'!$B$6*AD128))+MIN(MAX(0,AI127-(MAX(0,AD121-IF($A128&gt;='1-Input'!$C$12,'1-Input'!$B$12,0))-MIN(MAX(AH127,0),MAX(0,AD121-IF($A128&gt;='1-Input'!$C$12,'1-Input'!$B$12,0))))*(1/(1-'P-Parametri'!$B$6*AD128))),MAX(0,1*MAX(0,AD121-IF($A128&gt;='1-Input'!$C$12,'1-Input'!$B$12,0))-(AH127-MIN(MAX(AH127,0),MAX(0,AD121-IF($A128&gt;='1-Input'!$C$12,'1-Input'!$B$12,0)))))*(1/(1-'P-Parametri'!$B$6*AD128))))</f>
        <v>20107.581137196117</v>
      </c>
      <c r="AF128" s="18">
        <f>IF($A128&gt;'1-Input'!$B$26,AH127,(AH127-MAX(0,AD121-IF($A128&gt;='1-Input'!$C$12,'1-Input'!$B$12,0))+AE128*(1-'P-Parametri'!$B$6*AD128))*(1+'1-Input'!$B$27))</f>
        <v>18417.163449332857</v>
      </c>
      <c r="AG128" s="18">
        <f>IF($A128&gt;'1-Input'!$B$26,AI127,(AI127-AE128)*(1+'5-Roberta'!$C$4))</f>
        <v>375248.76190907659</v>
      </c>
      <c r="AH128" s="18">
        <f>IF($A128&gt;'1-Input'!$B$26,AF128,AF128-'P-Parametri'!$B$8*(AG128+AF128)+MIN(MAX(AG128,0),'P-Parametri'!$B$8*(AG128+AF128)))</f>
        <v>18417.163449332857</v>
      </c>
      <c r="AI128" s="18">
        <f>IF($A128&gt;'1-Input'!$B$26,AG128,AG128-MIN(MAX(AG128,0),'P-Parametri'!$B$8*(AG128+AF128)))</f>
        <v>374461.43005835975</v>
      </c>
      <c r="AJ128" s="18">
        <f>IF($A128&gt;'1-Input'!$B$26,AJ127,AJ127-AE128*(1-AD128))</f>
        <v>255793.90671751628</v>
      </c>
      <c r="AK128" s="11">
        <f>IF($A128&gt;'1-Input'!$B$26,0,IF(AP127&lt;=0,0,MAX(0,(AP127-AQ127)/AP127)))</f>
        <v>0.29788516063419795</v>
      </c>
      <c r="AL128" s="18">
        <f>IF($A128&gt;'1-Input'!$B$26,0,(MAX(0,AK121-IF($A128&gt;='1-Input'!$C$12,'1-Input'!$B$12,0))-MIN(MAX(AO127,0),MAX(0,AK121-IF($A128&gt;='1-Input'!$C$12,'1-Input'!$B$12,0))))*(1/(1-'P-Parametri'!$B$6*AK128))+MIN(MAX(0,AP127-(MAX(0,AK121-IF($A128&gt;='1-Input'!$C$12,'1-Input'!$B$12,0))-MIN(MAX(AO127,0),MAX(0,AK121-IF($A128&gt;='1-Input'!$C$12,'1-Input'!$B$12,0))))*(1/(1-'P-Parametri'!$B$6*AK128))),MAX(0,1*MAX(0,AK121-IF($A128&gt;='1-Input'!$C$12,'1-Input'!$B$12,0))-(AO127-MIN(MAX(AO127,0),MAX(0,AK121-IF($A128&gt;='1-Input'!$C$12,'1-Input'!$B$12,0)))))*(1/(1-'P-Parametri'!$B$6*AK128))))</f>
        <v>20107.628323535286</v>
      </c>
      <c r="AM128" s="18">
        <f>IF($A128&gt;'1-Input'!$B$26,AO127,(AO127-MAX(0,AK121-IF($A128&gt;='1-Input'!$C$12,'1-Input'!$B$12,0))+AL128*(1-'P-Parametri'!$B$6*AK128))*(1+'1-Input'!$B$27))</f>
        <v>18417.206672527071</v>
      </c>
      <c r="AN128" s="18">
        <f>IF($A128&gt;'1-Input'!$B$26,AP127,(AP127-AL128)*(1+'5-Roberta'!$C$4))</f>
        <v>375248.45779744809</v>
      </c>
      <c r="AO128" s="18">
        <f>IF($A128&gt;'1-Input'!$B$26,AM128,AM128-'P-Parametri'!$B$8*(AN128+AM128)+MIN(MAX(AN128,0),'P-Parametri'!$B$8*(AN128+AM128)))</f>
        <v>18417.206672527071</v>
      </c>
      <c r="AP128" s="18">
        <f>IF($A128&gt;'1-Input'!$B$26,AN128,AN128-MIN(MAX(AN128,0),'P-Parametri'!$B$8*(AN128+AM128)))</f>
        <v>374461.12646850816</v>
      </c>
      <c r="AQ128" s="18">
        <f>IF($A128&gt;'1-Input'!$B$26,AQ127,AQ127-AL128*(1-AK128))</f>
        <v>255793.6996783691</v>
      </c>
    </row>
    <row r="129" spans="1:43">
      <c r="A129" s="10">
        <f>6</f>
        <v>6</v>
      </c>
      <c r="B129" s="11">
        <f>IF($A129&gt;'1-Input'!$B$26,0,IF(G128&lt;=0,0,MAX(0,(G128-H128)/G128)))</f>
        <v>0.3169390564251916</v>
      </c>
      <c r="C129" s="18">
        <f>IF($A129&gt;'1-Input'!$B$26,0,(MAX(0,B121-IF($A129&gt;='1-Input'!$C$12,'1-Input'!$B$12,0))-MIN(MAX(F128,0),MAX(0,B121-IF($A129&gt;='1-Input'!$C$12,'1-Input'!$B$12,0))))*(1/(1-'P-Parametri'!$B$6*B129))+MIN(MAX(0,G128-(MAX(0,B121-IF($A129&gt;='1-Input'!$C$12,'1-Input'!$B$12,0))-MIN(MAX(F128,0),MAX(0,B121-IF($A129&gt;='1-Input'!$C$12,'1-Input'!$B$12,0))))*(1/(1-'P-Parametri'!$B$6*B129))),MAX(0,1*MAX(0,B121-IF($A129&gt;='1-Input'!$C$12,'1-Input'!$B$12,0))-(F128-MIN(MAX(F128,0),MAX(0,B121-IF($A129&gt;='1-Input'!$C$12,'1-Input'!$B$12,0)))))*(1/(1-'P-Parametri'!$B$6*B129))))</f>
        <v>18244.532382061723</v>
      </c>
      <c r="D129" s="18">
        <f>IF($A129&gt;'1-Input'!$B$26,F128,(F128-MAX(0,B121-IF($A129&gt;='1-Input'!$C$12,'1-Input'!$B$12,0))+C129*(1-'P-Parametri'!$B$6*B129))*(1+'1-Input'!$B$27))</f>
        <v>16621.00351549315</v>
      </c>
      <c r="E129" s="18">
        <f>IF($A129&gt;'1-Input'!$B$26,G128,(G128-C129)*(1+'5-Roberta'!$C$4))</f>
        <v>379897.74682933505</v>
      </c>
      <c r="F129" s="18">
        <f>IF($A129&gt;'1-Input'!$B$26,D129,D129-'P-Parametri'!$B$8*(E129+D129)+MIN(MAX(E129,0),'P-Parametri'!$B$8*(E129+D129)))</f>
        <v>16621.00351549315</v>
      </c>
      <c r="G129" s="18">
        <f>IF($A129&gt;'1-Input'!$B$26,E129,E129-MIN(MAX(E129,0),'P-Parametri'!$B$8*(E129+D129)))</f>
        <v>379104.70932864537</v>
      </c>
      <c r="H129" s="18">
        <f>IF($A129&gt;'1-Input'!$B$26,H128,H128-C129*(1-B129))</f>
        <v>251935.2557390187</v>
      </c>
      <c r="I129" s="11">
        <f>IF($A129&gt;'1-Input'!$B$26,0,IF(N128&lt;=0,0,MAX(0,(N128-O128)/N128)))</f>
        <v>0.31682555702716292</v>
      </c>
      <c r="J129" s="18">
        <f>IF($A129&gt;'1-Input'!$B$26,0,(MAX(0,I121-IF($A129&gt;='1-Input'!$C$12,'1-Input'!$B$12,0))-MIN(MAX(M128,0),MAX(0,I121-IF($A129&gt;='1-Input'!$C$12,'1-Input'!$B$12,0))))*(1/(1-'P-Parametri'!$B$6*I129))+MIN(MAX(0,N128-(MAX(0,I121-IF($A129&gt;='1-Input'!$C$12,'1-Input'!$B$12,0))-MIN(MAX(M128,0),MAX(0,I121-IF($A129&gt;='1-Input'!$C$12,'1-Input'!$B$12,0))))*(1/(1-'P-Parametri'!$B$6*I129))),MAX(0,1*MAX(0,I121-IF($A129&gt;='1-Input'!$C$12,'1-Input'!$B$12,0))-(M128-MIN(MAX(M128,0),MAX(0,I121-IF($A129&gt;='1-Input'!$C$12,'1-Input'!$B$12,0)))))*(1/(1-'P-Parametri'!$B$6*I129))))</f>
        <v>24005.191654661543</v>
      </c>
      <c r="K129" s="18">
        <f>IF($A129&gt;'1-Input'!$B$26,M128,(M128-MAX(0,I121-IF($A129&gt;='1-Input'!$C$12,'1-Input'!$B$12,0))+J129*(1-'P-Parametri'!$B$6*I129))*(1+'1-Input'!$B$27))</f>
        <v>21869.741467754146</v>
      </c>
      <c r="L129" s="18">
        <f>IF($A129&gt;'1-Input'!$B$26,N128,(N128-J129)*(1+'5-Roberta'!$C$4))</f>
        <v>335992.49622020259</v>
      </c>
      <c r="M129" s="18">
        <f>IF($A129&gt;'1-Input'!$B$26,K129,K129-'P-Parametri'!$B$8*(L129+K129)+MIN(MAX(L129,0),'P-Parametri'!$B$8*(L129+K129)))</f>
        <v>21869.741467754146</v>
      </c>
      <c r="N129" s="18">
        <f>IF($A129&gt;'1-Input'!$B$26,L129,L129-MIN(MAX(L129,0),'P-Parametri'!$B$8*(L129+K129)))</f>
        <v>335276.77174482669</v>
      </c>
      <c r="O129" s="18">
        <f>IF($A129&gt;'1-Input'!$B$26,O128,O128-J129*(1-I129))</f>
        <v>222855.81208571841</v>
      </c>
      <c r="P129" s="11">
        <f>IF($A129&gt;'1-Input'!$B$26,0,IF(U128&lt;=0,0,MAX(0,(U128-V128)/U128)))</f>
        <v>0.31689623186813309</v>
      </c>
      <c r="Q129" s="18">
        <f>IF($A129&gt;'1-Input'!$B$26,0,(MAX(0,P121-IF($A129&gt;='1-Input'!$C$12,'1-Input'!$B$12,0))-MIN(MAX(T128,0),MAX(0,P121-IF($A129&gt;='1-Input'!$C$12,'1-Input'!$B$12,0))))*(1/(1-'P-Parametri'!$B$6*P129))+MIN(MAX(0,U128-(MAX(0,P121-IF($A129&gt;='1-Input'!$C$12,'1-Input'!$B$12,0))-MIN(MAX(T128,0),MAX(0,P121-IF($A129&gt;='1-Input'!$C$12,'1-Input'!$B$12,0))))*(1/(1-'P-Parametri'!$B$6*P129))),MAX(0,1*MAX(0,P121-IF($A129&gt;='1-Input'!$C$12,'1-Input'!$B$12,0))-(T128-MIN(MAX(T128,0),MAX(0,P121-IF($A129&gt;='1-Input'!$C$12,'1-Input'!$B$12,0)))))*(1/(1-'P-Parametri'!$B$6*P129))))</f>
        <v>20506.831211841079</v>
      </c>
      <c r="R129" s="18">
        <f>IF($A129&gt;'1-Input'!$B$26,T128,(T128-MAX(0,P121-IF($A129&gt;='1-Input'!$C$12,'1-Input'!$B$12,0))+Q129*(1-'P-Parametri'!$B$6*P129))*(1+'1-Input'!$B$27))</f>
        <v>18682.213521902773</v>
      </c>
      <c r="S129" s="18">
        <f>IF($A129&gt;'1-Input'!$B$26,U128,(U128-Q129)*(1+'5-Roberta'!$C$4))</f>
        <v>362655.73716867971</v>
      </c>
      <c r="T129" s="18">
        <f>IF($A129&gt;'1-Input'!$B$26,R129,R129-'P-Parametri'!$B$8*(S129+R129)+MIN(MAX(S129,0),'P-Parametri'!$B$8*(S129+R129)))</f>
        <v>18682.213521902773</v>
      </c>
      <c r="U129" s="18">
        <f>IF($A129&gt;'1-Input'!$B$26,S129,S129-MIN(MAX(S129,0),'P-Parametri'!$B$8*(S129+R129)))</f>
        <v>361893.06126729853</v>
      </c>
      <c r="V129" s="18">
        <f>IF($A129&gt;'1-Input'!$B$26,V128,V128-Q129*(1-P129))</f>
        <v>240516.01999472332</v>
      </c>
      <c r="W129" s="11">
        <f>IF($A129&gt;'1-Input'!$B$26,0,IF(AB128&lt;=0,0,MAX(0,(AB128-AC128)/AB128)))</f>
        <v>0.3169017112561513</v>
      </c>
      <c r="X129" s="18">
        <f>IF($A129&gt;'1-Input'!$B$26,0,(MAX(0,W121-IF($A129&gt;='1-Input'!$C$12,'1-Input'!$B$12,0))-MIN(MAX(AA128,0),MAX(0,W121-IF($A129&gt;='1-Input'!$C$12,'1-Input'!$B$12,0))))*(1/(1-'P-Parametri'!$B$6*W129))+MIN(MAX(0,AB128-(MAX(0,W121-IF($A129&gt;='1-Input'!$C$12,'1-Input'!$B$12,0))-MIN(MAX(AA128,0),MAX(0,W121-IF($A129&gt;='1-Input'!$C$12,'1-Input'!$B$12,0))))*(1/(1-'P-Parametri'!$B$6*W129))),MAX(0,1*MAX(0,W121-IF($A129&gt;='1-Input'!$C$12,'1-Input'!$B$12,0))-(AA128-MIN(MAX(AA128,0),MAX(0,W121-IF($A129&gt;='1-Input'!$C$12,'1-Input'!$B$12,0)))))*(1/(1-'P-Parametri'!$B$6*W129))))</f>
        <v>20223.593281069192</v>
      </c>
      <c r="Y129" s="18">
        <f>IF($A129&gt;'1-Input'!$B$26,AA128,(AA128-MAX(0,W121-IF($A129&gt;='1-Input'!$C$12,'1-Input'!$B$12,0))+X129*(1-'P-Parametri'!$B$6*W129))*(1+'1-Input'!$B$27))</f>
        <v>18424.14839051064</v>
      </c>
      <c r="Z129" s="18">
        <f>IF($A129&gt;'1-Input'!$B$26,AB128,(AB128-X129)*(1+'5-Roberta'!$C$4))</f>
        <v>364814.43942966603</v>
      </c>
      <c r="AA129" s="18">
        <f>IF($A129&gt;'1-Input'!$B$26,Y129,Y129-'P-Parametri'!$B$8*(Z129+Y129)+MIN(MAX(Z129,0),'P-Parametri'!$B$8*(Z129+Y129)))</f>
        <v>18424.14839051064</v>
      </c>
      <c r="AB129" s="18">
        <f>IF($A129&gt;'1-Input'!$B$26,Z129,Z129-MIN(MAX(Z129,0),'P-Parametri'!$B$8*(Z129+Y129)))</f>
        <v>364047.96225402568</v>
      </c>
      <c r="AC129" s="18">
        <f>IF($A129&gt;'1-Input'!$B$26,AC128,AC128-X129*(1-W129))</f>
        <v>241945.74687713719</v>
      </c>
      <c r="AD129" s="11">
        <f>IF($A129&gt;'1-Input'!$B$26,0,IF(AI128&lt;=0,0,MAX(0,(AI128-AJ128)/AI128)))</f>
        <v>0.31690185908425644</v>
      </c>
      <c r="AE129" s="18">
        <f>IF($A129&gt;'1-Input'!$B$26,0,(MAX(0,AD121-IF($A129&gt;='1-Input'!$C$12,'1-Input'!$B$12,0))-MIN(MAX(AH128,0),MAX(0,AD121-IF($A129&gt;='1-Input'!$C$12,'1-Input'!$B$12,0))))*(1/(1-'P-Parametri'!$B$6*AD129))+MIN(MAX(0,AI128-(MAX(0,AD121-IF($A129&gt;='1-Input'!$C$12,'1-Input'!$B$12,0))-MIN(MAX(AH128,0),MAX(0,AD121-IF($A129&gt;='1-Input'!$C$12,'1-Input'!$B$12,0))))*(1/(1-'P-Parametri'!$B$6*AD129))),MAX(0,1*MAX(0,AD121-IF($A129&gt;='1-Input'!$C$12,'1-Input'!$B$12,0))-(AH128-MIN(MAX(AH128,0),MAX(0,AD121-IF($A129&gt;='1-Input'!$C$12,'1-Input'!$B$12,0)))))*(1/(1-'P-Parametri'!$B$6*AD129))))</f>
        <v>20215.926983264206</v>
      </c>
      <c r="AF129" s="18">
        <f>IF($A129&gt;'1-Input'!$B$26,AH128,(AH128-MAX(0,AD121-IF($A129&gt;='1-Input'!$C$12,'1-Input'!$B$12,0))+AE129*(1-'P-Parametri'!$B$6*AD129))*(1+'1-Input'!$B$27))</f>
        <v>18417.163449332857</v>
      </c>
      <c r="AG129" s="18">
        <f>IF($A129&gt;'1-Input'!$B$26,AI128,(AI128-AE129)*(1+'5-Roberta'!$C$4))</f>
        <v>364872.86816734838</v>
      </c>
      <c r="AH129" s="18">
        <f>IF($A129&gt;'1-Input'!$B$26,AF129,AF129-'P-Parametri'!$B$8*(AG129+AF129)+MIN(MAX(AG129,0),'P-Parametri'!$B$8*(AG129+AF129)))</f>
        <v>18417.163449332857</v>
      </c>
      <c r="AI129" s="18">
        <f>IF($A129&gt;'1-Input'!$B$26,AG129,AG129-MIN(MAX(AG129,0),'P-Parametri'!$B$8*(AG129+AF129)))</f>
        <v>364106.288104115</v>
      </c>
      <c r="AJ129" s="18">
        <f>IF($A129&gt;'1-Input'!$B$26,AJ128,AJ128-AE129*(1-AD129))</f>
        <v>241984.4445783601</v>
      </c>
      <c r="AK129" s="11">
        <f>IF($A129&gt;'1-Input'!$B$26,0,IF(AP128&lt;=0,0,MAX(0,(AP128-AQ128)/AP128)))</f>
        <v>0.3169018581695659</v>
      </c>
      <c r="AL129" s="18">
        <f>IF($A129&gt;'1-Input'!$B$26,0,(MAX(0,AK121-IF($A129&gt;='1-Input'!$C$12,'1-Input'!$B$12,0))-MIN(MAX(AO128,0),MAX(0,AK121-IF($A129&gt;='1-Input'!$C$12,'1-Input'!$B$12,0))))*(1/(1-'P-Parametri'!$B$6*AK129))+MIN(MAX(0,AP128-(MAX(0,AK121-IF($A129&gt;='1-Input'!$C$12,'1-Input'!$B$12,0))-MIN(MAX(AO128,0),MAX(0,AK121-IF($A129&gt;='1-Input'!$C$12,'1-Input'!$B$12,0))))*(1/(1-'P-Parametri'!$B$6*AK129))),MAX(0,1*MAX(0,AK121-IF($A129&gt;='1-Input'!$C$12,'1-Input'!$B$12,0))-(AO128-MIN(MAX(AO128,0),MAX(0,AK121-IF($A129&gt;='1-Input'!$C$12,'1-Input'!$B$12,0)))))*(1/(1-'P-Parametri'!$B$6*AK129))))</f>
        <v>20215.974422732543</v>
      </c>
      <c r="AM129" s="18">
        <f>IF($A129&gt;'1-Input'!$B$26,AO128,(AO128-MAX(0,AK121-IF($A129&gt;='1-Input'!$C$12,'1-Input'!$B$12,0))+AL129*(1-'P-Parametri'!$B$6*AK129))*(1+'1-Input'!$B$27))</f>
        <v>18417.206672527071</v>
      </c>
      <c r="AN129" s="18">
        <f>IF($A129&gt;'1-Input'!$B$26,AP128,(AP128-AL129)*(1+'5-Roberta'!$C$4))</f>
        <v>364872.50660714891</v>
      </c>
      <c r="AO129" s="18">
        <f>IF($A129&gt;'1-Input'!$B$26,AM129,AM129-'P-Parametri'!$B$8*(AN129+AM129)+MIN(MAX(AN129,0),'P-Parametri'!$B$8*(AN129+AM129)))</f>
        <v>18417.206672527071</v>
      </c>
      <c r="AP129" s="18">
        <f>IF($A129&gt;'1-Input'!$B$26,AN129,AN129-MIN(MAX(AN129,0),'P-Parametri'!$B$8*(AN129+AM129)))</f>
        <v>364105.92718058958</v>
      </c>
      <c r="AQ129" s="18">
        <f>IF($A129&gt;'1-Input'!$B$26,AQ128,AQ128-AL129*(1-AK129))</f>
        <v>241984.20511490892</v>
      </c>
    </row>
    <row r="130" spans="1:43">
      <c r="A130" s="10">
        <f>7</f>
        <v>7</v>
      </c>
      <c r="B130" s="11">
        <f>IF($A130&gt;'1-Input'!$B$26,0,IF(G129&lt;=0,0,MAX(0,(G129-H129)/G129)))</f>
        <v>0.33544677884595636</v>
      </c>
      <c r="C130" s="18">
        <f>IF($A130&gt;'1-Input'!$B$26,0,(MAX(0,B121-IF($A130&gt;='1-Input'!$C$12,'1-Input'!$B$12,0))-MIN(MAX(F129,0),MAX(0,B121-IF($A130&gt;='1-Input'!$C$12,'1-Input'!$B$12,0))))*(1/(1-'P-Parametri'!$B$6*B130))+MIN(MAX(0,G129-(MAX(0,B121-IF($A130&gt;='1-Input'!$C$12,'1-Input'!$B$12,0))-MIN(MAX(F129,0),MAX(0,B121-IF($A130&gt;='1-Input'!$C$12,'1-Input'!$B$12,0))))*(1/(1-'P-Parametri'!$B$6*B130))),MAX(0,1*MAX(0,B121-IF($A130&gt;='1-Input'!$C$12,'1-Input'!$B$12,0))-(F129-MIN(MAX(F129,0),MAX(0,B121-IF($A130&gt;='1-Input'!$C$12,'1-Input'!$B$12,0)))))*(1/(1-'P-Parametri'!$B$6*B130))))</f>
        <v>18340.713787844117</v>
      </c>
      <c r="D130" s="18">
        <f>IF($A130&gt;'1-Input'!$B$26,F129,(F129-MAX(0,B121-IF($A130&gt;='1-Input'!$C$12,'1-Input'!$B$12,0))+C130*(1-'P-Parametri'!$B$6*B130))*(1+'1-Input'!$B$27))</f>
        <v>16621.00351549315</v>
      </c>
      <c r="E130" s="18">
        <f>IF($A130&gt;'1-Input'!$B$26,G129,(G129-C130)*(1+'5-Roberta'!$C$4))</f>
        <v>371586.91540702531</v>
      </c>
      <c r="F130" s="18">
        <f>IF($A130&gt;'1-Input'!$B$26,D130,D130-'P-Parametri'!$B$8*(E130+D130)+MIN(MAX(E130,0),'P-Parametri'!$B$8*(E130+D130)))</f>
        <v>16621.00351549315</v>
      </c>
      <c r="G130" s="18">
        <f>IF($A130&gt;'1-Input'!$B$26,E130,E130-MIN(MAX(E130,0),'P-Parametri'!$B$8*(E130+D130)))</f>
        <v>370810.49956918031</v>
      </c>
      <c r="H130" s="18">
        <f>IF($A130&gt;'1-Input'!$B$26,H129,H129-C130*(1-B130))</f>
        <v>239746.87531304252</v>
      </c>
      <c r="I130" s="11">
        <f>IF($A130&gt;'1-Input'!$B$26,0,IF(N129&lt;=0,0,MAX(0,(N129-O129)/N129)))</f>
        <v>0.33530792805613718</v>
      </c>
      <c r="J130" s="18">
        <f>IF($A130&gt;'1-Input'!$B$26,0,(MAX(0,I121-IF($A130&gt;='1-Input'!$C$12,'1-Input'!$B$12,0))-MIN(MAX(M129,0),MAX(0,I121-IF($A130&gt;='1-Input'!$C$12,'1-Input'!$B$12,0))))*(1/(1-'P-Parametri'!$B$6*I130))+MIN(MAX(0,N129-(MAX(0,I121-IF($A130&gt;='1-Input'!$C$12,'1-Input'!$B$12,0))-MIN(MAX(M129,0),MAX(0,I121-IF($A130&gt;='1-Input'!$C$12,'1-Input'!$B$12,0))))*(1/(1-'P-Parametri'!$B$6*I130))),MAX(0,1*MAX(0,I121-IF($A130&gt;='1-Input'!$C$12,'1-Input'!$B$12,0))-(M129-MIN(MAX(M129,0),MAX(0,I121-IF($A130&gt;='1-Input'!$C$12,'1-Input'!$B$12,0)))))*(1/(1-'P-Parametri'!$B$6*I130))))</f>
        <v>24131.563722571456</v>
      </c>
      <c r="K130" s="18">
        <f>IF($A130&gt;'1-Input'!$B$26,M129,(M129-MAX(0,I121-IF($A130&gt;='1-Input'!$C$12,'1-Input'!$B$12,0))+J130*(1-'P-Parametri'!$B$6*I130))*(1+'1-Input'!$B$27))</f>
        <v>21869.741467754146</v>
      </c>
      <c r="L130" s="18">
        <f>IF($A130&gt;'1-Input'!$B$26,N129,(N129-J130)*(1+'5-Roberta'!$C$4))</f>
        <v>320479.56426292291</v>
      </c>
      <c r="M130" s="18">
        <f>IF($A130&gt;'1-Input'!$B$26,K130,K130-'P-Parametri'!$B$8*(L130+K130)+MIN(MAX(L130,0),'P-Parametri'!$B$8*(L130+K130)))</f>
        <v>21869.741467754146</v>
      </c>
      <c r="N130" s="18">
        <f>IF($A130&gt;'1-Input'!$B$26,L130,L130-MIN(MAX(L130,0),'P-Parametri'!$B$8*(L130+K130)))</f>
        <v>319794.86565146153</v>
      </c>
      <c r="O130" s="18">
        <f>IF($A130&gt;'1-Input'!$B$26,O129,O129-J130*(1-I130))</f>
        <v>206815.75299571705</v>
      </c>
      <c r="P130" s="11">
        <f>IF($A130&gt;'1-Input'!$B$26,0,IF(U129&lt;=0,0,MAX(0,(U129-V129)/U129)))</f>
        <v>0.33539477338286039</v>
      </c>
      <c r="Q130" s="18">
        <f>IF($A130&gt;'1-Input'!$B$26,0,(MAX(0,P121-IF($A130&gt;='1-Input'!$C$12,'1-Input'!$B$12,0))-MIN(MAX(T129,0),MAX(0,P121-IF($A130&gt;='1-Input'!$C$12,'1-Input'!$B$12,0))))*(1/(1-'P-Parametri'!$B$6*P130))+MIN(MAX(0,U129-(MAX(0,P121-IF($A130&gt;='1-Input'!$C$12,'1-Input'!$B$12,0))-MIN(MAX(T129,0),MAX(0,P121-IF($A130&gt;='1-Input'!$C$12,'1-Input'!$B$12,0))))*(1/(1-'P-Parametri'!$B$6*P130))),MAX(0,1*MAX(0,P121-IF($A130&gt;='1-Input'!$C$12,'1-Input'!$B$12,0))-(T129-MIN(MAX(T129,0),MAX(0,P121-IF($A130&gt;='1-Input'!$C$12,'1-Input'!$B$12,0)))))*(1/(1-'P-Parametri'!$B$6*P130))))</f>
        <v>20614.883761345231</v>
      </c>
      <c r="R130" s="18">
        <f>IF($A130&gt;'1-Input'!$B$26,T129,(T129-MAX(0,P121-IF($A130&gt;='1-Input'!$C$12,'1-Input'!$B$12,0))+Q130*(1-'P-Parametri'!$B$6*P130))*(1+'1-Input'!$B$27))</f>
        <v>18682.21352190277</v>
      </c>
      <c r="S130" s="18">
        <f>IF($A130&gt;'1-Input'!$B$26,U129,(U129-Q130)*(1+'5-Roberta'!$C$4))</f>
        <v>351516.52283113188</v>
      </c>
      <c r="T130" s="18">
        <f>IF($A130&gt;'1-Input'!$B$26,R130,R130-'P-Parametri'!$B$8*(S130+R130)+MIN(MAX(S130,0),'P-Parametri'!$B$8*(S130+R130)))</f>
        <v>18682.21352190277</v>
      </c>
      <c r="U130" s="18">
        <f>IF($A130&gt;'1-Input'!$B$26,S130,S130-MIN(MAX(S130,0),'P-Parametri'!$B$8*(S130+R130)))</f>
        <v>350776.12535842584</v>
      </c>
      <c r="V130" s="18">
        <f>IF($A130&gt;'1-Input'!$B$26,V129,V129-Q130*(1-P130))</f>
        <v>226815.26050082847</v>
      </c>
      <c r="W130" s="11">
        <f>IF($A130&gt;'1-Input'!$B$26,0,IF(AB129&lt;=0,0,MAX(0,(AB129-AC129)/AB129)))</f>
        <v>0.33540145265718563</v>
      </c>
      <c r="X130" s="18">
        <f>IF($A130&gt;'1-Input'!$B$26,0,(MAX(0,W121-IF($A130&gt;='1-Input'!$C$12,'1-Input'!$B$12,0))-MIN(MAX(AA129,0),MAX(0,W121-IF($A130&gt;='1-Input'!$C$12,'1-Input'!$B$12,0))))*(1/(1-'P-Parametri'!$B$6*W130))+MIN(MAX(0,AB129-(MAX(0,W121-IF($A130&gt;='1-Input'!$C$12,'1-Input'!$B$12,0))-MIN(MAX(AA129,0),MAX(0,W121-IF($A130&gt;='1-Input'!$C$12,'1-Input'!$B$12,0))))*(1/(1-'P-Parametri'!$B$6*W130))),MAX(0,1*MAX(0,W121-IF($A130&gt;='1-Input'!$C$12,'1-Input'!$B$12,0))-(AA129-MIN(MAX(AA129,0),MAX(0,W121-IF($A130&gt;='1-Input'!$C$12,'1-Input'!$B$12,0)))))*(1/(1-'P-Parametri'!$B$6*W130))))</f>
        <v>20330.160536165993</v>
      </c>
      <c r="Y130" s="18">
        <f>IF($A130&gt;'1-Input'!$B$26,AA129,(AA129-MAX(0,W121-IF($A130&gt;='1-Input'!$C$12,'1-Input'!$B$12,0))+X130*(1-'P-Parametri'!$B$6*W130))*(1+'1-Input'!$B$27))</f>
        <v>18424.14839051064</v>
      </c>
      <c r="Z130" s="18">
        <f>IF($A130&gt;'1-Input'!$B$26,AB129,(AB129-X130)*(1+'5-Roberta'!$C$4))</f>
        <v>354029.33576939552</v>
      </c>
      <c r="AA130" s="18">
        <f>IF($A130&gt;'1-Input'!$B$26,Y130,Y130-'P-Parametri'!$B$8*(Z130+Y130)+MIN(MAX(Z130,0),'P-Parametri'!$B$8*(Z130+Y130)))</f>
        <v>18424.14839051064</v>
      </c>
      <c r="AB130" s="18">
        <f>IF($A130&gt;'1-Input'!$B$26,Z130,Z130-MIN(MAX(Z130,0),'P-Parametri'!$B$8*(Z130+Y130)))</f>
        <v>353284.42880107573</v>
      </c>
      <c r="AC130" s="18">
        <f>IF($A130&gt;'1-Input'!$B$26,AC129,AC129-X130*(1-W130))</f>
        <v>228434.35171755505</v>
      </c>
      <c r="AD130" s="11">
        <f>IF($A130&gt;'1-Input'!$B$26,0,IF(AI129&lt;=0,0,MAX(0,(AI129-AJ129)/AI129)))</f>
        <v>0.33540163275300139</v>
      </c>
      <c r="AE130" s="18">
        <f>IF($A130&gt;'1-Input'!$B$26,0,(MAX(0,AD121-IF($A130&gt;='1-Input'!$C$12,'1-Input'!$B$12,0))-MIN(MAX(AH129,0),MAX(0,AD121-IF($A130&gt;='1-Input'!$C$12,'1-Input'!$B$12,0))))*(1/(1-'P-Parametri'!$B$6*AD130))+MIN(MAX(0,AI129-(MAX(0,AD121-IF($A130&gt;='1-Input'!$C$12,'1-Input'!$B$12,0))-MIN(MAX(AH129,0),MAX(0,AD121-IF($A130&gt;='1-Input'!$C$12,'1-Input'!$B$12,0))))*(1/(1-'P-Parametri'!$B$6*AD130))),MAX(0,1*MAX(0,AD121-IF($A130&gt;='1-Input'!$C$12,'1-Input'!$B$12,0))-(AH129-MIN(MAX(AH129,0),MAX(0,AD121-IF($A130&gt;='1-Input'!$C$12,'1-Input'!$B$12,0)))))*(1/(1-'P-Parametri'!$B$6*AD130))))</f>
        <v>20322.45403244378</v>
      </c>
      <c r="AF130" s="18">
        <f>IF($A130&gt;'1-Input'!$B$26,AH129,(AH129-MAX(0,AD121-IF($A130&gt;='1-Input'!$C$12,'1-Input'!$B$12,0))+AE130*(1-'P-Parametri'!$B$6*AD130))*(1+'1-Input'!$B$27))</f>
        <v>18417.163449332857</v>
      </c>
      <c r="AG130" s="18">
        <f>IF($A130&gt;'1-Input'!$B$26,AI129,(AI129-AE130)*(1+'5-Roberta'!$C$4))</f>
        <v>354097.34909382137</v>
      </c>
      <c r="AH130" s="18">
        <f>IF($A130&gt;'1-Input'!$B$26,AF130,AF130-'P-Parametri'!$B$8*(AG130+AF130)+MIN(MAX(AG130,0),'P-Parametri'!$B$8*(AG130+AF130)))</f>
        <v>18417.163449332857</v>
      </c>
      <c r="AI130" s="18">
        <f>IF($A130&gt;'1-Input'!$B$26,AG130,AG130-MIN(MAX(AG130,0),'P-Parametri'!$B$8*(AG130+AF130)))</f>
        <v>353352.32006873505</v>
      </c>
      <c r="AJ130" s="18">
        <f>IF($A130&gt;'1-Input'!$B$26,AJ129,AJ129-AE130*(1-AD130))</f>
        <v>228478.17480994578</v>
      </c>
      <c r="AK130" s="11">
        <f>IF($A130&gt;'1-Input'!$B$26,0,IF(AP129&lt;=0,0,MAX(0,(AP129-AQ129)/AP129)))</f>
        <v>0.33540163163867043</v>
      </c>
      <c r="AL130" s="18">
        <f>IF($A130&gt;'1-Input'!$B$26,0,(MAX(0,AK121-IF($A130&gt;='1-Input'!$C$12,'1-Input'!$B$12,0))-MIN(MAX(AO129,0),MAX(0,AK121-IF($A130&gt;='1-Input'!$C$12,'1-Input'!$B$12,0))))*(1/(1-'P-Parametri'!$B$6*AK130))+MIN(MAX(0,AP129-(MAX(0,AK121-IF($A130&gt;='1-Input'!$C$12,'1-Input'!$B$12,0))-MIN(MAX(AO129,0),MAX(0,AK121-IF($A130&gt;='1-Input'!$C$12,'1-Input'!$B$12,0))))*(1/(1-'P-Parametri'!$B$6*AK130))),MAX(0,1*MAX(0,AK121-IF($A130&gt;='1-Input'!$C$12,'1-Input'!$B$12,0))-(AO129-MIN(MAX(AO129,0),MAX(0,AK121-IF($A130&gt;='1-Input'!$C$12,'1-Input'!$B$12,0)))))*(1/(1-'P-Parametri'!$B$6*AK130))))</f>
        <v>20322.501720709173</v>
      </c>
      <c r="AM130" s="18">
        <f>IF($A130&gt;'1-Input'!$B$26,AO129,(AO129-MAX(0,AK121-IF($A130&gt;='1-Input'!$C$12,'1-Input'!$B$12,0))+AL130*(1-'P-Parametri'!$B$6*AK130))*(1+'1-Input'!$B$27))</f>
        <v>18417.206672527071</v>
      </c>
      <c r="AN130" s="18">
        <f>IF($A130&gt;'1-Input'!$B$26,AP129,(AP129-AL130)*(1+'5-Roberta'!$C$4))</f>
        <v>354096.9282236768</v>
      </c>
      <c r="AO130" s="18">
        <f>IF($A130&gt;'1-Input'!$B$26,AM130,AM130-'P-Parametri'!$B$8*(AN130+AM130)+MIN(MAX(AN130,0),'P-Parametri'!$B$8*(AN130+AM130)))</f>
        <v>18417.206672527071</v>
      </c>
      <c r="AP130" s="18">
        <f>IF($A130&gt;'1-Input'!$B$26,AN130,AN130-MIN(MAX(AN130,0),'P-Parametri'!$B$8*(AN130+AM130)))</f>
        <v>353351.89995388442</v>
      </c>
      <c r="AQ130" s="18">
        <f>IF($A130&gt;'1-Input'!$B$26,AQ129,AQ129-AL130*(1-AK130))</f>
        <v>228477.90363030529</v>
      </c>
    </row>
    <row r="131" spans="1:43">
      <c r="A131" s="10">
        <f>8</f>
        <v>8</v>
      </c>
      <c r="B131" s="11">
        <f>IF($A131&gt;'1-Input'!$B$26,0,IF(G130&lt;=0,0,MAX(0,(G130-H130)/G130)))</f>
        <v>0.35345176150193097</v>
      </c>
      <c r="C131" s="18">
        <f>IF($A131&gt;'1-Input'!$B$26,0,(MAX(0,B121-IF($A131&gt;='1-Input'!$C$12,'1-Input'!$B$12,0))-MIN(MAX(F130,0),MAX(0,B121-IF($A131&gt;='1-Input'!$C$12,'1-Input'!$B$12,0))))*(1/(1-'P-Parametri'!$B$6*B131))+MIN(MAX(0,G130-(MAX(0,B121-IF($A131&gt;='1-Input'!$C$12,'1-Input'!$B$12,0))-MIN(MAX(F130,0),MAX(0,B121-IF($A131&gt;='1-Input'!$C$12,'1-Input'!$B$12,0))))*(1/(1-'P-Parametri'!$B$6*B131))),MAX(0,1*MAX(0,B121-IF($A131&gt;='1-Input'!$C$12,'1-Input'!$B$12,0))-(F130-MIN(MAX(F130,0),MAX(0,B121-IF($A131&gt;='1-Input'!$C$12,'1-Input'!$B$12,0)))))*(1/(1-'P-Parametri'!$B$6*B131))))</f>
        <v>18435.260710440078</v>
      </c>
      <c r="D131" s="18">
        <f>IF($A131&gt;'1-Input'!$B$26,F130,(F130-MAX(0,B121-IF($A131&gt;='1-Input'!$C$12,'1-Input'!$B$12,0))+C131*(1-'P-Parametri'!$B$6*B131))*(1+'1-Input'!$B$27))</f>
        <v>16621.003515493154</v>
      </c>
      <c r="E131" s="18">
        <f>IF($A131&gt;'1-Input'!$B$26,G130,(G130-C131)*(1+'5-Roberta'!$C$4))</f>
        <v>362946.49602450244</v>
      </c>
      <c r="F131" s="18">
        <f>IF($A131&gt;'1-Input'!$B$26,D131,D131-'P-Parametri'!$B$8*(E131+D131)+MIN(MAX(E131,0),'P-Parametri'!$B$8*(E131+D131)))</f>
        <v>16621.003515493154</v>
      </c>
      <c r="G131" s="18">
        <f>IF($A131&gt;'1-Input'!$B$26,E131,E131-MIN(MAX(E131,0),'P-Parametri'!$B$8*(E131+D131)))</f>
        <v>362187.36102542246</v>
      </c>
      <c r="H131" s="18">
        <f>IF($A131&gt;'1-Input'!$B$26,H130,H130-C131*(1-B131))</f>
        <v>227827.58997445484</v>
      </c>
      <c r="I131" s="11">
        <f>IF($A131&gt;'1-Input'!$B$26,0,IF(N130&lt;=0,0,MAX(0,(N130-O130)/N130)))</f>
        <v>0.35328619934404548</v>
      </c>
      <c r="J131" s="18">
        <f>IF($A131&gt;'1-Input'!$B$26,0,(MAX(0,I121-IF($A131&gt;='1-Input'!$C$12,'1-Input'!$B$12,0))-MIN(MAX(M130,0),MAX(0,I121-IF($A131&gt;='1-Input'!$C$12,'1-Input'!$B$12,0))))*(1/(1-'P-Parametri'!$B$6*I131))+MIN(MAX(0,N130-(MAX(0,I121-IF($A131&gt;='1-Input'!$C$12,'1-Input'!$B$12,0))-MIN(MAX(M130,0),MAX(0,I121-IF($A131&gt;='1-Input'!$C$12,'1-Input'!$B$12,0))))*(1/(1-'P-Parametri'!$B$6*I131))),MAX(0,1*MAX(0,I121-IF($A131&gt;='1-Input'!$C$12,'1-Input'!$B$12,0))-(M130-MIN(MAX(M130,0),MAX(0,I121-IF($A131&gt;='1-Input'!$C$12,'1-Input'!$B$12,0)))))*(1/(1-'P-Parametri'!$B$6*I131))))</f>
        <v>24255.772207711765</v>
      </c>
      <c r="K131" s="18">
        <f>IF($A131&gt;'1-Input'!$B$26,M130,(M130-MAX(0,I121-IF($A131&gt;='1-Input'!$C$12,'1-Input'!$B$12,0))+J131*(1-'P-Parametri'!$B$6*I131))*(1+'1-Input'!$B$27))</f>
        <v>21869.741467754146</v>
      </c>
      <c r="L131" s="18">
        <f>IF($A131&gt;'1-Input'!$B$26,N130,(N130-J131)*(1+'5-Roberta'!$C$4))</f>
        <v>304405.26624706225</v>
      </c>
      <c r="M131" s="18">
        <f>IF($A131&gt;'1-Input'!$B$26,K131,K131-'P-Parametri'!$B$8*(L131+K131)+MIN(MAX(L131,0),'P-Parametri'!$B$8*(L131+K131)))</f>
        <v>21869.741467754146</v>
      </c>
      <c r="N131" s="18">
        <f>IF($A131&gt;'1-Input'!$B$26,L131,L131-MIN(MAX(L131,0),'P-Parametri'!$B$8*(L131+K131)))</f>
        <v>303752.71623163263</v>
      </c>
      <c r="O131" s="18">
        <f>IF($A131&gt;'1-Input'!$B$26,O130,O130-J131*(1-I131))</f>
        <v>191129.2103634227</v>
      </c>
      <c r="P131" s="11">
        <f>IF($A131&gt;'1-Input'!$B$26,0,IF(U130&lt;=0,0,MAX(0,(U130-V130)/U130)))</f>
        <v>0.35339025633780852</v>
      </c>
      <c r="Q131" s="18">
        <f>IF($A131&gt;'1-Input'!$B$26,0,(MAX(0,P121-IF($A131&gt;='1-Input'!$C$12,'1-Input'!$B$12,0))-MIN(MAX(T130,0),MAX(0,P121-IF($A131&gt;='1-Input'!$C$12,'1-Input'!$B$12,0))))*(1/(1-'P-Parametri'!$B$6*P131))+MIN(MAX(0,U130-(MAX(0,P121-IF($A131&gt;='1-Input'!$C$12,'1-Input'!$B$12,0))-MIN(MAX(T130,0),MAX(0,P121-IF($A131&gt;='1-Input'!$C$12,'1-Input'!$B$12,0))))*(1/(1-'P-Parametri'!$B$6*P131))),MAX(0,1*MAX(0,P121-IF($A131&gt;='1-Input'!$C$12,'1-Input'!$B$12,0))-(T130-MIN(MAX(T130,0),MAX(0,P121-IF($A131&gt;='1-Input'!$C$12,'1-Input'!$B$12,0)))))*(1/(1-'P-Parametri'!$B$6*P131))))</f>
        <v>20721.096157290729</v>
      </c>
      <c r="R131" s="18">
        <f>IF($A131&gt;'1-Input'!$B$26,T130,(T130-MAX(0,P121-IF($A131&gt;='1-Input'!$C$12,'1-Input'!$B$12,0))+Q131*(1-'P-Parametri'!$B$6*P131))*(1+'1-Input'!$B$27))</f>
        <v>18682.213521902773</v>
      </c>
      <c r="S131" s="18">
        <f>IF($A131&gt;'1-Input'!$B$26,U130,(U130-Q131)*(1+'5-Roberta'!$C$4))</f>
        <v>339956.68007716915</v>
      </c>
      <c r="T131" s="18">
        <f>IF($A131&gt;'1-Input'!$B$26,R131,R131-'P-Parametri'!$B$8*(S131+R131)+MIN(MAX(S131,0),'P-Parametri'!$B$8*(S131+R131)))</f>
        <v>18682.213521902773</v>
      </c>
      <c r="U131" s="18">
        <f>IF($A131&gt;'1-Input'!$B$26,S131,S131-MIN(MAX(S131,0),'P-Parametri'!$B$8*(S131+R131)))</f>
        <v>339239.40228997101</v>
      </c>
      <c r="V131" s="18">
        <f>IF($A131&gt;'1-Input'!$B$26,V130,V130-Q131*(1-P131))</f>
        <v>213416.79782616309</v>
      </c>
      <c r="W131" s="11">
        <f>IF($A131&gt;'1-Input'!$B$26,0,IF(AB130&lt;=0,0,MAX(0,(AB130-AC130)/AB130)))</f>
        <v>0.35339818827344965</v>
      </c>
      <c r="X131" s="18">
        <f>IF($A131&gt;'1-Input'!$B$26,0,(MAX(0,W121-IF($A131&gt;='1-Input'!$C$12,'1-Input'!$B$12,0))-MIN(MAX(AA130,0),MAX(0,W121-IF($A131&gt;='1-Input'!$C$12,'1-Input'!$B$12,0))))*(1/(1-'P-Parametri'!$B$6*W131))+MIN(MAX(0,AB130-(MAX(0,W121-IF($A131&gt;='1-Input'!$C$12,'1-Input'!$B$12,0))-MIN(MAX(AA130,0),MAX(0,W121-IF($A131&gt;='1-Input'!$C$12,'1-Input'!$B$12,0))))*(1/(1-'P-Parametri'!$B$6*W131))),MAX(0,1*MAX(0,W121-IF($A131&gt;='1-Input'!$C$12,'1-Input'!$B$12,0))-(AA130-MIN(MAX(AA130,0),MAX(0,W121-IF($A131&gt;='1-Input'!$C$12,'1-Input'!$B$12,0)))))*(1/(1-'P-Parametri'!$B$6*W131))))</f>
        <v>20434.913504894299</v>
      </c>
      <c r="Y131" s="18">
        <f>IF($A131&gt;'1-Input'!$B$26,AA130,(AA130-MAX(0,W121-IF($A131&gt;='1-Input'!$C$12,'1-Input'!$B$12,0))+X131*(1-'P-Parametri'!$B$6*W131))*(1+'1-Input'!$B$27))</f>
        <v>18424.148390510636</v>
      </c>
      <c r="Z131" s="18">
        <f>IF($A131&gt;'1-Input'!$B$26,AB130,(AB130-X131)*(1+'5-Roberta'!$C$4))</f>
        <v>342835.00075506687</v>
      </c>
      <c r="AA131" s="18">
        <f>IF($A131&gt;'1-Input'!$B$26,Y131,Y131-'P-Parametri'!$B$8*(Z131+Y131)+MIN(MAX(Z131,0),'P-Parametri'!$B$8*(Z131+Y131)))</f>
        <v>18424.148390510636</v>
      </c>
      <c r="AB131" s="18">
        <f>IF($A131&gt;'1-Input'!$B$26,Z131,Z131-MIN(MAX(Z131,0),'P-Parametri'!$B$8*(Z131+Y131)))</f>
        <v>342112.48245677573</v>
      </c>
      <c r="AC131" s="18">
        <f>IF($A131&gt;'1-Input'!$B$26,AC130,AC130-X131*(1-W131))</f>
        <v>215221.09962281503</v>
      </c>
      <c r="AD131" s="11">
        <f>IF($A131&gt;'1-Input'!$B$26,0,IF(AI130&lt;=0,0,MAX(0,(AI130-AJ130)/AI130)))</f>
        <v>0.35339840200992145</v>
      </c>
      <c r="AE131" s="18">
        <f>IF($A131&gt;'1-Input'!$B$26,0,(MAX(0,AD121-IF($A131&gt;='1-Input'!$C$12,'1-Input'!$B$12,0))-MIN(MAX(AH130,0),MAX(0,AD121-IF($A131&gt;='1-Input'!$C$12,'1-Input'!$B$12,0))))*(1/(1-'P-Parametri'!$B$6*AD131))+MIN(MAX(0,AI130-(MAX(0,AD121-IF($A131&gt;='1-Input'!$C$12,'1-Input'!$B$12,0))-MIN(MAX(AH130,0),MAX(0,AD121-IF($A131&gt;='1-Input'!$C$12,'1-Input'!$B$12,0))))*(1/(1-'P-Parametri'!$B$6*AD131))),MAX(0,1*MAX(0,AD121-IF($A131&gt;='1-Input'!$C$12,'1-Input'!$B$12,0))-(AH130-MIN(MAX(AH130,0),MAX(0,AD121-IF($A131&gt;='1-Input'!$C$12,'1-Input'!$B$12,0)))))*(1/(1-'P-Parametri'!$B$6*AD131))))</f>
        <v>20427.167494867692</v>
      </c>
      <c r="AF131" s="18">
        <f>IF($A131&gt;'1-Input'!$B$26,AH130,(AH130-MAX(0,AD121-IF($A131&gt;='1-Input'!$C$12,'1-Input'!$B$12,0))+AE131*(1-'P-Parametri'!$B$6*AD131))*(1+'1-Input'!$B$27))</f>
        <v>18417.16344933286</v>
      </c>
      <c r="AG131" s="18">
        <f>IF($A131&gt;'1-Input'!$B$26,AI130,(AI130-AE131)*(1+'5-Roberta'!$C$4))</f>
        <v>342912.9071510834</v>
      </c>
      <c r="AH131" s="18">
        <f>IF($A131&gt;'1-Input'!$B$26,AF131,AF131-'P-Parametri'!$B$8*(AG131+AF131)+MIN(MAX(AG131,0),'P-Parametri'!$B$8*(AG131+AF131)))</f>
        <v>18417.16344933286</v>
      </c>
      <c r="AI131" s="18">
        <f>IF($A131&gt;'1-Input'!$B$26,AG131,AG131-MIN(MAX(AG131,0),'P-Parametri'!$B$8*(AG131+AF131)))</f>
        <v>342190.24700988259</v>
      </c>
      <c r="AJ131" s="18">
        <f>IF($A131&gt;'1-Input'!$B$26,AJ130,AJ130-AE131*(1-AD131))</f>
        <v>215269.93566535335</v>
      </c>
      <c r="AK131" s="11">
        <f>IF($A131&gt;'1-Input'!$B$26,0,IF(AP130&lt;=0,0,MAX(0,(AP130-AQ130)/AP130)))</f>
        <v>0.35339840068746287</v>
      </c>
      <c r="AL131" s="18">
        <f>IF($A131&gt;'1-Input'!$B$26,0,(MAX(0,AK121-IF($A131&gt;='1-Input'!$C$12,'1-Input'!$B$12,0))-MIN(MAX(AO130,0),MAX(0,AK121-IF($A131&gt;='1-Input'!$C$12,'1-Input'!$B$12,0))))*(1/(1-'P-Parametri'!$B$6*AK131))+MIN(MAX(0,AP130-(MAX(0,AK121-IF($A131&gt;='1-Input'!$C$12,'1-Input'!$B$12,0))-MIN(MAX(AO130,0),MAX(0,AK121-IF($A131&gt;='1-Input'!$C$12,'1-Input'!$B$12,0))))*(1/(1-'P-Parametri'!$B$6*AK131))),MAX(0,1*MAX(0,AK121-IF($A131&gt;='1-Input'!$C$12,'1-Input'!$B$12,0))-(AO130-MIN(MAX(AO130,0),MAX(0,AK121-IF($A131&gt;='1-Input'!$C$12,'1-Input'!$B$12,0)))))*(1/(1-'P-Parametri'!$B$6*AK131))))</f>
        <v>20427.215427600964</v>
      </c>
      <c r="AM131" s="18">
        <f>IF($A131&gt;'1-Input'!$B$26,AO130,(AO130-MAX(0,AK121-IF($A131&gt;='1-Input'!$C$12,'1-Input'!$B$12,0))+AL131*(1-'P-Parametri'!$B$6*AK131))*(1+'1-Input'!$B$27))</f>
        <v>18417.206672527067</v>
      </c>
      <c r="AN131" s="18">
        <f>IF($A131&gt;'1-Input'!$B$26,AP130,(AP130-AL131)*(1+'5-Roberta'!$C$4))</f>
        <v>342912.425062072</v>
      </c>
      <c r="AO131" s="18">
        <f>IF($A131&gt;'1-Input'!$B$26,AM131,AM131-'P-Parametri'!$B$8*(AN131+AM131)+MIN(MAX(AN131,0),'P-Parametri'!$B$8*(AN131+AM131)))</f>
        <v>18417.206672527067</v>
      </c>
      <c r="AP131" s="18">
        <f>IF($A131&gt;'1-Input'!$B$26,AN131,AN131-MIN(MAX(AN131,0),'P-Parametri'!$B$8*(AN131+AM131)))</f>
        <v>342189.76579860278</v>
      </c>
      <c r="AQ131" s="18">
        <f>IF($A131&gt;'1-Input'!$B$26,AQ130,AQ130-AL131*(1-AK131))</f>
        <v>215269.63346531676</v>
      </c>
    </row>
    <row r="132" spans="1:43">
      <c r="A132" s="10">
        <f>9</f>
        <v>9</v>
      </c>
      <c r="B132" s="11">
        <f>IF($A132&gt;'1-Input'!$B$26,0,IF(G131&lt;=0,0,MAX(0,(G131-H131)/G131)))</f>
        <v>0.37096758614262276</v>
      </c>
      <c r="C132" s="18">
        <f>IF($A132&gt;'1-Input'!$B$26,0,(MAX(0,B121-IF($A132&gt;='1-Input'!$C$12,'1-Input'!$B$12,0))-MIN(MAX(F131,0),MAX(0,B121-IF($A132&gt;='1-Input'!$C$12,'1-Input'!$B$12,0))))*(1/(1-'P-Parametri'!$B$6*B132))+MIN(MAX(0,G131-(MAX(0,B121-IF($A132&gt;='1-Input'!$C$12,'1-Input'!$B$12,0))-MIN(MAX(F131,0),MAX(0,B121-IF($A132&gt;='1-Input'!$C$12,'1-Input'!$B$12,0))))*(1/(1-'P-Parametri'!$B$6*B132))),MAX(0,1*MAX(0,B121-IF($A132&gt;='1-Input'!$C$12,'1-Input'!$B$12,0))-(F131-MIN(MAX(F131,0),MAX(0,B121-IF($A132&gt;='1-Input'!$C$12,'1-Input'!$B$12,0)))))*(1/(1-'P-Parametri'!$B$6*B132))))</f>
        <v>18528.179123914826</v>
      </c>
      <c r="D132" s="18">
        <f>IF($A132&gt;'1-Input'!$B$26,F131,(F131-MAX(0,B121-IF($A132&gt;='1-Input'!$C$12,'1-Input'!$B$12,0))+C132*(1-'P-Parametri'!$B$6*B132))*(1+'1-Input'!$B$27))</f>
        <v>16621.003515493154</v>
      </c>
      <c r="E132" s="18">
        <f>IF($A132&gt;'1-Input'!$B$26,G131,(G131-C132)*(1+'5-Roberta'!$C$4))</f>
        <v>353968.9573585529</v>
      </c>
      <c r="F132" s="18">
        <f>IF($A132&gt;'1-Input'!$B$26,D132,D132-'P-Parametri'!$B$8*(E132+D132)+MIN(MAX(E132,0),'P-Parametri'!$B$8*(E132+D132)))</f>
        <v>16621.003515493154</v>
      </c>
      <c r="G132" s="18">
        <f>IF($A132&gt;'1-Input'!$B$26,E132,E132-MIN(MAX(E132,0),'P-Parametri'!$B$8*(E132+D132)))</f>
        <v>353227.77743680478</v>
      </c>
      <c r="H132" s="18">
        <f>IF($A132&gt;'1-Input'!$B$26,H131,H131-C132*(1-B132))</f>
        <v>216172.76473575682</v>
      </c>
      <c r="I132" s="11">
        <f>IF($A132&gt;'1-Input'!$B$26,0,IF(N131&lt;=0,0,MAX(0,(N131-O131)/N131)))</f>
        <v>0.37077365847265925</v>
      </c>
      <c r="J132" s="18">
        <f>IF($A132&gt;'1-Input'!$B$26,0,(MAX(0,I121-IF($A132&gt;='1-Input'!$C$12,'1-Input'!$B$12,0))-MIN(MAX(M131,0),MAX(0,I121-IF($A132&gt;='1-Input'!$C$12,'1-Input'!$B$12,0))))*(1/(1-'P-Parametri'!$B$6*I132))+MIN(MAX(0,N131-(MAX(0,I121-IF($A132&gt;='1-Input'!$C$12,'1-Input'!$B$12,0))-MIN(MAX(M131,0),MAX(0,I121-IF($A132&gt;='1-Input'!$C$12,'1-Input'!$B$12,0))))*(1/(1-'P-Parametri'!$B$6*I132))),MAX(0,1*MAX(0,I121-IF($A132&gt;='1-Input'!$C$12,'1-Input'!$B$12,0))-(M131-MIN(MAX(M131,0),MAX(0,I121-IF($A132&gt;='1-Input'!$C$12,'1-Input'!$B$12,0)))))*(1/(1-'P-Parametri'!$B$6*I132))))</f>
        <v>24377.822689158038</v>
      </c>
      <c r="K132" s="18">
        <f>IF($A132&gt;'1-Input'!$B$26,M131,(M131-MAX(0,I121-IF($A132&gt;='1-Input'!$C$12,'1-Input'!$B$12,0))+J132*(1-'P-Parametri'!$B$6*I132))*(1+'1-Input'!$B$27))</f>
        <v>21869.741467754146</v>
      </c>
      <c r="L132" s="18">
        <f>IF($A132&gt;'1-Input'!$B$26,N131,(N131-J132)*(1+'5-Roberta'!$C$4))</f>
        <v>287756.14034874883</v>
      </c>
      <c r="M132" s="18">
        <f>IF($A132&gt;'1-Input'!$B$26,K132,K132-'P-Parametri'!$B$8*(L132+K132)+MIN(MAX(L132,0),'P-Parametri'!$B$8*(L132+K132)))</f>
        <v>21869.741467754146</v>
      </c>
      <c r="N132" s="18">
        <f>IF($A132&gt;'1-Input'!$B$26,L132,L132-MIN(MAX(L132,0),'P-Parametri'!$B$8*(L132+K132)))</f>
        <v>287136.88858511584</v>
      </c>
      <c r="O132" s="18">
        <f>IF($A132&gt;'1-Input'!$B$26,O131,O131-J132*(1-I132))</f>
        <v>175790.04217832157</v>
      </c>
      <c r="P132" s="11">
        <f>IF($A132&gt;'1-Input'!$B$26,0,IF(U131&lt;=0,0,MAX(0,(U131-V131)/U131)))</f>
        <v>0.37089619783099009</v>
      </c>
      <c r="Q132" s="18">
        <f>IF($A132&gt;'1-Input'!$B$26,0,(MAX(0,P121-IF($A132&gt;='1-Input'!$C$12,'1-Input'!$B$12,0))-MIN(MAX(T131,0),MAX(0,P121-IF($A132&gt;='1-Input'!$C$12,'1-Input'!$B$12,0))))*(1/(1-'P-Parametri'!$B$6*P132))+MIN(MAX(0,U131-(MAX(0,P121-IF($A132&gt;='1-Input'!$C$12,'1-Input'!$B$12,0))-MIN(MAX(T131,0),MAX(0,P121-IF($A132&gt;='1-Input'!$C$12,'1-Input'!$B$12,0))))*(1/(1-'P-Parametri'!$B$6*P132))),MAX(0,1*MAX(0,P121-IF($A132&gt;='1-Input'!$C$12,'1-Input'!$B$12,0))-(T131-MIN(MAX(T131,0),MAX(0,P121-IF($A132&gt;='1-Input'!$C$12,'1-Input'!$B$12,0)))))*(1/(1-'P-Parametri'!$B$6*P132))))</f>
        <v>20825.474690830295</v>
      </c>
      <c r="R132" s="18">
        <f>IF($A132&gt;'1-Input'!$B$26,T131,(T131-MAX(0,P121-IF($A132&gt;='1-Input'!$C$12,'1-Input'!$B$12,0))+Q132*(1-'P-Parametri'!$B$6*P132))*(1+'1-Input'!$B$27))</f>
        <v>18682.213521902773</v>
      </c>
      <c r="S132" s="18">
        <f>IF($A132&gt;'1-Input'!$B$26,U131,(U131-Q132)*(1+'5-Roberta'!$C$4))</f>
        <v>327966.34542711498</v>
      </c>
      <c r="T132" s="18">
        <f>IF($A132&gt;'1-Input'!$B$26,R132,R132-'P-Parametri'!$B$8*(S132+R132)+MIN(MAX(S132,0),'P-Parametri'!$B$8*(S132+R132)))</f>
        <v>18682.213521902773</v>
      </c>
      <c r="U132" s="18">
        <f>IF($A132&gt;'1-Input'!$B$26,S132,S132-MIN(MAX(S132,0),'P-Parametri'!$B$8*(S132+R132)))</f>
        <v>327273.04830921697</v>
      </c>
      <c r="V132" s="18">
        <f>IF($A132&gt;'1-Input'!$B$26,V131,V131-Q132*(1-P132))</f>
        <v>200315.41251618727</v>
      </c>
      <c r="W132" s="11">
        <f>IF($A132&gt;'1-Input'!$B$26,0,IF(AB131&lt;=0,0,MAX(0,(AB131-AC131)/AB131)))</f>
        <v>0.37090544584263396</v>
      </c>
      <c r="X132" s="18">
        <f>IF($A132&gt;'1-Input'!$B$26,0,(MAX(0,W121-IF($A132&gt;='1-Input'!$C$12,'1-Input'!$B$12,0))-MIN(MAX(AA131,0),MAX(0,W121-IF($A132&gt;='1-Input'!$C$12,'1-Input'!$B$12,0))))*(1/(1-'P-Parametri'!$B$6*W132))+MIN(MAX(0,AB131-(MAX(0,W121-IF($A132&gt;='1-Input'!$C$12,'1-Input'!$B$12,0))-MIN(MAX(AA131,0),MAX(0,W121-IF($A132&gt;='1-Input'!$C$12,'1-Input'!$B$12,0))))*(1/(1-'P-Parametri'!$B$6*W132))),MAX(0,1*MAX(0,W121-IF($A132&gt;='1-Input'!$C$12,'1-Input'!$B$12,0))-(AA131-MIN(MAX(AA131,0),MAX(0,W121-IF($A132&gt;='1-Input'!$C$12,'1-Input'!$B$12,0)))))*(1/(1-'P-Parametri'!$B$6*W132))))</f>
        <v>20537.85846103101</v>
      </c>
      <c r="Y132" s="18">
        <f>IF($A132&gt;'1-Input'!$B$26,AA131,(AA131-MAX(0,W121-IF($A132&gt;='1-Input'!$C$12,'1-Input'!$B$12,0))+X132*(1-'P-Parametri'!$B$6*W132))*(1+'1-Input'!$B$27))</f>
        <v>18424.148390510636</v>
      </c>
      <c r="Z132" s="18">
        <f>IF($A132&gt;'1-Input'!$B$26,AB131,(AB131-X132)*(1+'5-Roberta'!$C$4))</f>
        <v>331221.86271561711</v>
      </c>
      <c r="AA132" s="18">
        <f>IF($A132&gt;'1-Input'!$B$26,Y132,Y132-'P-Parametri'!$B$8*(Z132+Y132)+MIN(MAX(Z132,0),'P-Parametri'!$B$8*(Z132+Y132)))</f>
        <v>18424.148390510636</v>
      </c>
      <c r="AB132" s="18">
        <f>IF($A132&gt;'1-Input'!$B$26,Z132,Z132-MIN(MAX(Z132,0),'P-Parametri'!$B$8*(Z132+Y132)))</f>
        <v>330522.57069340488</v>
      </c>
      <c r="AC132" s="18">
        <f>IF($A132&gt;'1-Input'!$B$26,AC131,AC131-X132*(1-W132))</f>
        <v>202300.84471092565</v>
      </c>
      <c r="AD132" s="11">
        <f>IF($A132&gt;'1-Input'!$B$26,0,IF(AI131&lt;=0,0,MAX(0,(AI131-AJ131)/AI131)))</f>
        <v>0.37090569486880709</v>
      </c>
      <c r="AE132" s="18">
        <f>IF($A132&gt;'1-Input'!$B$26,0,(MAX(0,AD121-IF($A132&gt;='1-Input'!$C$12,'1-Input'!$B$12,0))-MIN(MAX(AH131,0),MAX(0,AD121-IF($A132&gt;='1-Input'!$C$12,'1-Input'!$B$12,0))))*(1/(1-'P-Parametri'!$B$6*AD132))+MIN(MAX(0,AI131-(MAX(0,AD121-IF($A132&gt;='1-Input'!$C$12,'1-Input'!$B$12,0))-MIN(MAX(AH131,0),MAX(0,AD121-IF($A132&gt;='1-Input'!$C$12,'1-Input'!$B$12,0))))*(1/(1-'P-Parametri'!$B$6*AD132))),MAX(0,1*MAX(0,AD121-IF($A132&gt;='1-Input'!$C$12,'1-Input'!$B$12,0))-(AH131-MIN(MAX(AH131,0),MAX(0,AD121-IF($A132&gt;='1-Input'!$C$12,'1-Input'!$B$12,0)))))*(1/(1-'P-Parametri'!$B$6*AD132))))</f>
        <v>20530.073643735905</v>
      </c>
      <c r="AF132" s="18">
        <f>IF($A132&gt;'1-Input'!$B$26,AH131,(AH131-MAX(0,AD121-IF($A132&gt;='1-Input'!$C$12,'1-Input'!$B$12,0))+AE132*(1-'P-Parametri'!$B$6*AD132))*(1+'1-Input'!$B$27))</f>
        <v>18417.163449332857</v>
      </c>
      <c r="AG132" s="18">
        <f>IF($A132&gt;'1-Input'!$B$26,AI131,(AI131-AE132)*(1+'5-Roberta'!$C$4))</f>
        <v>331309.9785671311</v>
      </c>
      <c r="AH132" s="18">
        <f>IF($A132&gt;'1-Input'!$B$26,AF132,AF132-'P-Parametri'!$B$8*(AG132+AF132)+MIN(MAX(AG132,0),'P-Parametri'!$B$8*(AG132+AF132)))</f>
        <v>18417.163449332857</v>
      </c>
      <c r="AI132" s="18">
        <f>IF($A132&gt;'1-Input'!$B$26,AG132,AG132-MIN(MAX(AG132,0),'P-Parametri'!$B$8*(AG132+AF132)))</f>
        <v>330610.52428309817</v>
      </c>
      <c r="AJ132" s="18">
        <f>IF($A132&gt;'1-Input'!$B$26,AJ131,AJ131-AE132*(1-AD132))</f>
        <v>202354.58325215511</v>
      </c>
      <c r="AK132" s="11">
        <f>IF($A132&gt;'1-Input'!$B$26,0,IF(AP131&lt;=0,0,MAX(0,(AP131-AQ131)/AP131)))</f>
        <v>0.3709056933280272</v>
      </c>
      <c r="AL132" s="18">
        <f>IF($A132&gt;'1-Input'!$B$26,0,(MAX(0,AK121-IF($A132&gt;='1-Input'!$C$12,'1-Input'!$B$12,0))-MIN(MAX(AO131,0),MAX(0,AK121-IF($A132&gt;='1-Input'!$C$12,'1-Input'!$B$12,0))))*(1/(1-'P-Parametri'!$B$6*AK132))+MIN(MAX(0,AP131-(MAX(0,AK121-IF($A132&gt;='1-Input'!$C$12,'1-Input'!$B$12,0))-MIN(MAX(AO131,0),MAX(0,AK121-IF($A132&gt;='1-Input'!$C$12,'1-Input'!$B$12,0))))*(1/(1-'P-Parametri'!$B$6*AK132))),MAX(0,1*MAX(0,AK121-IF($A132&gt;='1-Input'!$C$12,'1-Input'!$B$12,0))-(AO131-MIN(MAX(AO131,0),MAX(0,AK121-IF($A132&gt;='1-Input'!$C$12,'1-Input'!$B$12,0)))))*(1/(1-'P-Parametri'!$B$6*AK132))))</f>
        <v>20530.121816611514</v>
      </c>
      <c r="AM132" s="18">
        <f>IF($A132&gt;'1-Input'!$B$26,AO131,(AO131-MAX(0,AK121-IF($A132&gt;='1-Input'!$C$12,'1-Input'!$B$12,0))+AL132*(1-'P-Parametri'!$B$6*AK132))*(1+'1-Input'!$B$27))</f>
        <v>18417.206672527074</v>
      </c>
      <c r="AN132" s="18">
        <f>IF($A132&gt;'1-Input'!$B$26,AP131,(AP131-AL132)*(1+'5-Roberta'!$C$4))</f>
        <v>331309.43330145103</v>
      </c>
      <c r="AO132" s="18">
        <f>IF($A132&gt;'1-Input'!$B$26,AM132,AM132-'P-Parametri'!$B$8*(AN132+AM132)+MIN(MAX(AN132,0),'P-Parametri'!$B$8*(AN132+AM132)))</f>
        <v>18417.206672527074</v>
      </c>
      <c r="AP132" s="18">
        <f>IF($A132&gt;'1-Input'!$B$26,AN132,AN132-MIN(MAX(AN132,0),'P-Parametri'!$B$8*(AN132+AM132)))</f>
        <v>330609.98002150306</v>
      </c>
      <c r="AQ132" s="18">
        <f>IF($A132&gt;'1-Input'!$B$26,AQ131,AQ131-AL132*(1-AK132))</f>
        <v>202354.2507152044</v>
      </c>
    </row>
    <row r="133" spans="1:43">
      <c r="A133" s="10">
        <f>10</f>
        <v>10</v>
      </c>
      <c r="B133" s="11">
        <f>IF($A133&gt;'1-Input'!$B$26,0,IF(G132&lt;=0,0,MAX(0,(G132-H132)/G132)))</f>
        <v>0.38800745993304048</v>
      </c>
      <c r="C133" s="18">
        <f>IF($A133&gt;'1-Input'!$B$26,0,(MAX(0,B121-IF($A133&gt;='1-Input'!$C$12,'1-Input'!$B$12,0))-MIN(MAX(F132,0),MAX(0,B121-IF($A133&gt;='1-Input'!$C$12,'1-Input'!$B$12,0))))*(1/(1-'P-Parametri'!$B$6*B133))+MIN(MAX(0,G132-(MAX(0,B121-IF($A133&gt;='1-Input'!$C$12,'1-Input'!$B$12,0))-MIN(MAX(F132,0),MAX(0,B121-IF($A133&gt;='1-Input'!$C$12,'1-Input'!$B$12,0))))*(1/(1-'P-Parametri'!$B$6*B133))),MAX(0,1*MAX(0,B121-IF($A133&gt;='1-Input'!$C$12,'1-Input'!$B$12,0))-(F132-MIN(MAX(F132,0),MAX(0,B121-IF($A133&gt;='1-Input'!$C$12,'1-Input'!$B$12,0)))))*(1/(1-'P-Parametri'!$B$6*B133))))</f>
        <v>18619.475962908036</v>
      </c>
      <c r="D133" s="18">
        <f>IF($A133&gt;'1-Input'!$B$26,F132,(F132-MAX(0,B121-IF($A133&gt;='1-Input'!$C$12,'1-Input'!$B$12,0))+C133*(1-'P-Parametri'!$B$6*B133))*(1+'1-Input'!$B$27))</f>
        <v>16621.00351549315</v>
      </c>
      <c r="E133" s="18">
        <f>IF($A133&gt;'1-Input'!$B$26,G132,(G132-C133)*(1+'5-Roberta'!$C$4))</f>
        <v>344646.55051811365</v>
      </c>
      <c r="F133" s="18">
        <f>IF($A133&gt;'1-Input'!$B$26,D133,D133-'P-Parametri'!$B$8*(E133+D133)+MIN(MAX(E133,0),'P-Parametri'!$B$8*(E133+D133)))</f>
        <v>16621.00351549315</v>
      </c>
      <c r="G133" s="18">
        <f>IF($A133&gt;'1-Input'!$B$26,E133,E133-MIN(MAX(E133,0),'P-Parametri'!$B$8*(E133+D133)))</f>
        <v>343924.01541004644</v>
      </c>
      <c r="H133" s="18">
        <f>IF($A133&gt;'1-Input'!$B$26,H132,H132-C133*(1-B133))</f>
        <v>204777.78434650102</v>
      </c>
      <c r="I133" s="11">
        <f>IF($A133&gt;'1-Input'!$B$26,0,IF(N132&lt;=0,0,MAX(0,(N132-O132)/N132)))</f>
        <v>0.38778314745786407</v>
      </c>
      <c r="J133" s="18">
        <f>IF($A133&gt;'1-Input'!$B$26,0,(MAX(0,I121-IF($A133&gt;='1-Input'!$C$12,'1-Input'!$B$12,0))-MIN(MAX(M132,0),MAX(0,I121-IF($A133&gt;='1-Input'!$C$12,'1-Input'!$B$12,0))))*(1/(1-'P-Parametri'!$B$6*I133))+MIN(MAX(0,N132-(MAX(0,I121-IF($A133&gt;='1-Input'!$C$12,'1-Input'!$B$12,0))-MIN(MAX(M132,0),MAX(0,I121-IF($A133&gt;='1-Input'!$C$12,'1-Input'!$B$12,0))))*(1/(1-'P-Parametri'!$B$6*I133))),MAX(0,1*MAX(0,I121-IF($A133&gt;='1-Input'!$C$12,'1-Input'!$B$12,0))-(M132-MIN(MAX(M132,0),MAX(0,I121-IF($A133&gt;='1-Input'!$C$12,'1-Input'!$B$12,0)))))*(1/(1-'P-Parametri'!$B$6*I133))))</f>
        <v>24497.721434156905</v>
      </c>
      <c r="K133" s="18">
        <f>IF($A133&gt;'1-Input'!$B$26,M132,(M132-MAX(0,I121-IF($A133&gt;='1-Input'!$C$12,'1-Input'!$B$12,0))+J133*(1-'P-Parametri'!$B$6*I133))*(1+'1-Input'!$B$27))</f>
        <v>21869.741467754146</v>
      </c>
      <c r="L133" s="18">
        <f>IF($A133&gt;'1-Input'!$B$26,N132,(N132-J133)*(1+'5-Roberta'!$C$4))</f>
        <v>270518.3421654877</v>
      </c>
      <c r="M133" s="18">
        <f>IF($A133&gt;'1-Input'!$B$26,K133,K133-'P-Parametri'!$B$8*(L133+K133)+MIN(MAX(L133,0),'P-Parametri'!$B$8*(L133+K133)))</f>
        <v>21869.741467754146</v>
      </c>
      <c r="N133" s="18">
        <f>IF($A133&gt;'1-Input'!$B$26,L133,L133-MIN(MAX(L133,0),'P-Parametri'!$B$8*(L133+K133)))</f>
        <v>269933.56599822122</v>
      </c>
      <c r="O133" s="18">
        <f>IF($A133&gt;'1-Input'!$B$26,O132,O132-J133*(1-I133))</f>
        <v>160792.124267448</v>
      </c>
      <c r="P133" s="11">
        <f>IF($A133&gt;'1-Input'!$B$26,0,IF(U132&lt;=0,0,MAX(0,(U132-V132)/U132)))</f>
        <v>0.38792572883385279</v>
      </c>
      <c r="Q133" s="18">
        <f>IF($A133&gt;'1-Input'!$B$26,0,(MAX(0,P121-IF($A133&gt;='1-Input'!$C$12,'1-Input'!$B$12,0))-MIN(MAX(T132,0),MAX(0,P121-IF($A133&gt;='1-Input'!$C$12,'1-Input'!$B$12,0))))*(1/(1-'P-Parametri'!$B$6*P133))+MIN(MAX(0,U132-(MAX(0,P121-IF($A133&gt;='1-Input'!$C$12,'1-Input'!$B$12,0))-MIN(MAX(T132,0),MAX(0,P121-IF($A133&gt;='1-Input'!$C$12,'1-Input'!$B$12,0))))*(1/(1-'P-Parametri'!$B$6*P133))),MAX(0,1*MAX(0,P121-IF($A133&gt;='1-Input'!$C$12,'1-Input'!$B$12,0))-(T132-MIN(MAX(T132,0),MAX(0,P121-IF($A133&gt;='1-Input'!$C$12,'1-Input'!$B$12,0)))))*(1/(1-'P-Parametri'!$B$6*P133))))</f>
        <v>20928.026649482363</v>
      </c>
      <c r="R133" s="18">
        <f>IF($A133&gt;'1-Input'!$B$26,T132,(T132-MAX(0,P121-IF($A133&gt;='1-Input'!$C$12,'1-Input'!$B$12,0))+Q133*(1-'P-Parametri'!$B$6*P133))*(1+'1-Input'!$B$27))</f>
        <v>18682.21352190277</v>
      </c>
      <c r="S133" s="18">
        <f>IF($A133&gt;'1-Input'!$B$26,U132,(U132-Q133)*(1+'5-Roberta'!$C$4))</f>
        <v>315535.37230952666</v>
      </c>
      <c r="T133" s="18">
        <f>IF($A133&gt;'1-Input'!$B$26,R133,R133-'P-Parametri'!$B$8*(S133+R133)+MIN(MAX(S133,0),'P-Parametri'!$B$8*(S133+R133)))</f>
        <v>18682.21352190277</v>
      </c>
      <c r="U133" s="18">
        <f>IF($A133&gt;'1-Input'!$B$26,S133,S133-MIN(MAX(S133,0),'P-Parametri'!$B$8*(S133+R133)))</f>
        <v>314866.93713786383</v>
      </c>
      <c r="V133" s="18">
        <f>IF($A133&gt;'1-Input'!$B$26,V132,V132-Q133*(1-P133))</f>
        <v>187505.90585775964</v>
      </c>
      <c r="W133" s="11">
        <f>IF($A133&gt;'1-Input'!$B$26,0,IF(AB132&lt;=0,0,MAX(0,(AB132-AC132)/AB132)))</f>
        <v>0.38793636910629814</v>
      </c>
      <c r="X133" s="18">
        <f>IF($A133&gt;'1-Input'!$B$26,0,(MAX(0,W121-IF($A133&gt;='1-Input'!$C$12,'1-Input'!$B$12,0))-MIN(MAX(AA132,0),MAX(0,W121-IF($A133&gt;='1-Input'!$C$12,'1-Input'!$B$12,0))))*(1/(1-'P-Parametri'!$B$6*W133))+MIN(MAX(0,AB132-(MAX(0,W121-IF($A133&gt;='1-Input'!$C$12,'1-Input'!$B$12,0))-MIN(MAX(AA132,0),MAX(0,W121-IF($A133&gt;='1-Input'!$C$12,'1-Input'!$B$12,0))))*(1/(1-'P-Parametri'!$B$6*W133))),MAX(0,1*MAX(0,W121-IF($A133&gt;='1-Input'!$C$12,'1-Input'!$B$12,0))-(AA132-MIN(MAX(AA132,0),MAX(0,W121-IF($A133&gt;='1-Input'!$C$12,'1-Input'!$B$12,0)))))*(1/(1-'P-Parametri'!$B$6*W133))))</f>
        <v>20639.002675867505</v>
      </c>
      <c r="Y133" s="18">
        <f>IF($A133&gt;'1-Input'!$B$26,AA132,(AA132-MAX(0,W121-IF($A133&gt;='1-Input'!$C$12,'1-Input'!$B$12,0))+X133*(1-'P-Parametri'!$B$6*W133))*(1+'1-Input'!$B$27))</f>
        <v>18424.148390510636</v>
      </c>
      <c r="Z133" s="18">
        <f>IF($A133&gt;'1-Input'!$B$26,AB132,(AB132-X133)*(1+'5-Roberta'!$C$4))</f>
        <v>319180.07505806349</v>
      </c>
      <c r="AA133" s="18">
        <f>IF($A133&gt;'1-Input'!$B$26,Y133,Y133-'P-Parametri'!$B$8*(Z133+Y133)+MIN(MAX(Z133,0),'P-Parametri'!$B$8*(Z133+Y133)))</f>
        <v>18424.148390510636</v>
      </c>
      <c r="AB133" s="18">
        <f>IF($A133&gt;'1-Input'!$B$26,Z133,Z133-MIN(MAX(Z133,0),'P-Parametri'!$B$8*(Z133+Y133)))</f>
        <v>318504.86661116633</v>
      </c>
      <c r="AC133" s="18">
        <f>IF($A133&gt;'1-Input'!$B$26,AC132,AC132-X133*(1-W133))</f>
        <v>189668.46179510935</v>
      </c>
      <c r="AD133" s="11">
        <f>IF($A133&gt;'1-Input'!$B$26,0,IF(AI132&lt;=0,0,MAX(0,(AI132-AJ132)/AI132)))</f>
        <v>0.38793665540156524</v>
      </c>
      <c r="AE133" s="18">
        <f>IF($A133&gt;'1-Input'!$B$26,0,(MAX(0,AD121-IF($A133&gt;='1-Input'!$C$12,'1-Input'!$B$12,0))-MIN(MAX(AH132,0),MAX(0,AD121-IF($A133&gt;='1-Input'!$C$12,'1-Input'!$B$12,0))))*(1/(1-'P-Parametri'!$B$6*AD133))+MIN(MAX(0,AI132-(MAX(0,AD121-IF($A133&gt;='1-Input'!$C$12,'1-Input'!$B$12,0))-MIN(MAX(AH132,0),MAX(0,AD121-IF($A133&gt;='1-Input'!$C$12,'1-Input'!$B$12,0))))*(1/(1-'P-Parametri'!$B$6*AD133))),MAX(0,1*MAX(0,AD121-IF($A133&gt;='1-Input'!$C$12,'1-Input'!$B$12,0))-(AH132-MIN(MAX(AH132,0),MAX(0,AD121-IF($A133&gt;='1-Input'!$C$12,'1-Input'!$B$12,0)))))*(1/(1-'P-Parametri'!$B$6*AD133))))</f>
        <v>20631.179749765368</v>
      </c>
      <c r="AF133" s="18">
        <f>IF($A133&gt;'1-Input'!$B$26,AH132,(AH132-MAX(0,AD121-IF($A133&gt;='1-Input'!$C$12,'1-Input'!$B$12,0))+AE133*(1-'P-Parametri'!$B$6*AD133))*(1+'1-Input'!$B$27))</f>
        <v>18417.163449332857</v>
      </c>
      <c r="AG133" s="18">
        <f>IF($A133&gt;'1-Input'!$B$26,AI132,(AI132-AE133)*(1+'5-Roberta'!$C$4))</f>
        <v>319278.7248693328</v>
      </c>
      <c r="AH133" s="18">
        <f>IF($A133&gt;'1-Input'!$B$26,AF133,AF133-'P-Parametri'!$B$8*(AG133+AF133)+MIN(MAX(AG133,0),'P-Parametri'!$B$8*(AG133+AF133)))</f>
        <v>18417.163449332857</v>
      </c>
      <c r="AI133" s="18">
        <f>IF($A133&gt;'1-Input'!$B$26,AG133,AG133-MIN(MAX(AG133,0),'P-Parametri'!$B$8*(AG133+AF133)))</f>
        <v>318603.33309269545</v>
      </c>
      <c r="AJ133" s="18">
        <f>IF($A133&gt;'1-Input'!$B$26,AJ132,AJ132-AE133*(1-AD133))</f>
        <v>189726.99437150222</v>
      </c>
      <c r="AK133" s="11">
        <f>IF($A133&gt;'1-Input'!$B$26,0,IF(AP132&lt;=0,0,MAX(0,(AP132-AQ132)/AP132)))</f>
        <v>0.38793665363022867</v>
      </c>
      <c r="AL133" s="18">
        <f>IF($A133&gt;'1-Input'!$B$26,0,(MAX(0,AK121-IF($A133&gt;='1-Input'!$C$12,'1-Input'!$B$12,0))-MIN(MAX(AO132,0),MAX(0,AK121-IF($A133&gt;='1-Input'!$C$12,'1-Input'!$B$12,0))))*(1/(1-'P-Parametri'!$B$6*AK133))+MIN(MAX(0,AP132-(MAX(0,AK121-IF($A133&gt;='1-Input'!$C$12,'1-Input'!$B$12,0))-MIN(MAX(AO132,0),MAX(0,AK121-IF($A133&gt;='1-Input'!$C$12,'1-Input'!$B$12,0))))*(1/(1-'P-Parametri'!$B$6*AK133))),MAX(0,1*MAX(0,AK121-IF($A133&gt;='1-Input'!$C$12,'1-Input'!$B$12,0))-(AO132-MIN(MAX(AO132,0),MAX(0,AK121-IF($A133&gt;='1-Input'!$C$12,'1-Input'!$B$12,0)))))*(1/(1-'P-Parametri'!$B$6*AK133))))</f>
        <v>20631.228158461287</v>
      </c>
      <c r="AM133" s="18">
        <f>IF($A133&gt;'1-Input'!$B$26,AO132,(AO132-MAX(0,AK121-IF($A133&gt;='1-Input'!$C$12,'1-Input'!$B$12,0))+AL133*(1-'P-Parametri'!$B$6*AK133))*(1+'1-Input'!$B$27))</f>
        <v>18417.206672527074</v>
      </c>
      <c r="AN133" s="18">
        <f>IF($A133&gt;'1-Input'!$B$26,AP132,(AP132-AL133)*(1+'5-Roberta'!$C$4))</f>
        <v>319278.11441893305</v>
      </c>
      <c r="AO133" s="18">
        <f>IF($A133&gt;'1-Input'!$B$26,AM133,AM133-'P-Parametri'!$B$8*(AN133+AM133)+MIN(MAX(AN133,0),'P-Parametri'!$B$8*(AN133+AM133)))</f>
        <v>18417.206672527074</v>
      </c>
      <c r="AP133" s="18">
        <f>IF($A133&gt;'1-Input'!$B$26,AN133,AN133-MIN(MAX(AN133,0),'P-Parametri'!$B$8*(AN133+AM133)))</f>
        <v>318602.72377675015</v>
      </c>
      <c r="AQ133" s="18">
        <f>IF($A133&gt;'1-Input'!$B$26,AQ132,AQ132-AL133*(1-AK133))</f>
        <v>189726.63216881832</v>
      </c>
    </row>
    <row r="134" spans="1:43">
      <c r="A134" s="10">
        <f>11</f>
        <v>11</v>
      </c>
      <c r="B134" s="11">
        <f>IF($A134&gt;'1-Input'!$B$26,0,IF(G133&lt;=0,0,MAX(0,(G133-H133)/G133)))</f>
        <v>0.40458422450565745</v>
      </c>
      <c r="C134" s="18">
        <f>IF($A134&gt;'1-Input'!$B$26,0,(MAX(0,B121-IF($A134&gt;='1-Input'!$C$12,'1-Input'!$B$12,0))-MIN(MAX(F133,0),MAX(0,B121-IF($A134&gt;='1-Input'!$C$12,'1-Input'!$B$12,0))))*(1/(1-'P-Parametri'!$B$6*B134))+MIN(MAX(0,G133-(MAX(0,B121-IF($A134&gt;='1-Input'!$C$12,'1-Input'!$B$12,0))-MIN(MAX(F133,0),MAX(0,B121-IF($A134&gt;='1-Input'!$C$12,'1-Input'!$B$12,0))))*(1/(1-'P-Parametri'!$B$6*B134))),MAX(0,1*MAX(0,B121-IF($A134&gt;='1-Input'!$C$12,'1-Input'!$B$12,0))-(F133-MIN(MAX(F133,0),MAX(0,B121-IF($A134&gt;='1-Input'!$C$12,'1-Input'!$B$12,0)))))*(1/(1-'P-Parametri'!$B$6*B134))))</f>
        <v>18709.159073649473</v>
      </c>
      <c r="D134" s="18">
        <f>IF($A134&gt;'1-Input'!$B$26,F133,(F133-MAX(0,B121-IF($A134&gt;='1-Input'!$C$12,'1-Input'!$B$12,0))+C134*(1-'P-Parametri'!$B$6*B134))*(1+'1-Input'!$B$27))</f>
        <v>16621.00351549315</v>
      </c>
      <c r="E134" s="18">
        <f>IF($A134&gt;'1-Input'!$B$26,G133,(G133-C134)*(1+'5-Roberta'!$C$4))</f>
        <v>334971.30202648888</v>
      </c>
      <c r="F134" s="18">
        <f>IF($A134&gt;'1-Input'!$B$26,D134,D134-'P-Parametri'!$B$8*(E134+D134)+MIN(MAX(E134,0),'P-Parametri'!$B$8*(E134+D134)))</f>
        <v>16621.00351549315</v>
      </c>
      <c r="G134" s="18">
        <f>IF($A134&gt;'1-Input'!$B$26,E134,E134-MIN(MAX(E134,0),'P-Parametri'!$B$8*(E134+D134)))</f>
        <v>334268.11741540494</v>
      </c>
      <c r="H134" s="18">
        <f>IF($A134&gt;'1-Input'!$B$26,H133,H133-C134*(1-B134))</f>
        <v>193638.055887817</v>
      </c>
      <c r="I134" s="11">
        <f>IF($A134&gt;'1-Input'!$B$26,0,IF(N133&lt;=0,0,MAX(0,(N133-O133)/N133)))</f>
        <v>0.40432704738725389</v>
      </c>
      <c r="J134" s="18">
        <f>IF($A134&gt;'1-Input'!$B$26,0,(MAX(0,I121-IF($A134&gt;='1-Input'!$C$12,'1-Input'!$B$12,0))-MIN(MAX(M133,0),MAX(0,I121-IF($A134&gt;='1-Input'!$C$12,'1-Input'!$B$12,0))))*(1/(1-'P-Parametri'!$B$6*I134))+MIN(MAX(0,N133-(MAX(0,I121-IF($A134&gt;='1-Input'!$C$12,'1-Input'!$B$12,0))-MIN(MAX(M133,0),MAX(0,I121-IF($A134&gt;='1-Input'!$C$12,'1-Input'!$B$12,0))))*(1/(1-'P-Parametri'!$B$6*I134))),MAX(0,1*MAX(0,I121-IF($A134&gt;='1-Input'!$C$12,'1-Input'!$B$12,0))-(M133-MIN(MAX(M133,0),MAX(0,I121-IF($A134&gt;='1-Input'!$C$12,'1-Input'!$B$12,0)))))*(1/(1-'P-Parametri'!$B$6*I134))))</f>
        <v>24615.475137524547</v>
      </c>
      <c r="K134" s="18">
        <f>IF($A134&gt;'1-Input'!$B$26,M133,(M133-MAX(0,I121-IF($A134&gt;='1-Input'!$C$12,'1-Input'!$B$12,0))+J134*(1-'P-Parametri'!$B$6*I134))*(1+'1-Input'!$B$27))</f>
        <v>21869.741467754146</v>
      </c>
      <c r="L134" s="18">
        <f>IF($A134&gt;'1-Input'!$B$26,N133,(N133-J134)*(1+'5-Roberta'!$C$4))</f>
        <v>252677.63358651759</v>
      </c>
      <c r="M134" s="18">
        <f>IF($A134&gt;'1-Input'!$B$26,K134,K134-'P-Parametri'!$B$8*(L134+K134)+MIN(MAX(L134,0),'P-Parametri'!$B$8*(L134+K134)))</f>
        <v>21869.741467754146</v>
      </c>
      <c r="N134" s="18">
        <f>IF($A134&gt;'1-Input'!$B$26,L134,L134-MIN(MAX(L134,0),'P-Parametri'!$B$8*(L134+K134)))</f>
        <v>252128.53883640905</v>
      </c>
      <c r="O134" s="18">
        <f>IF($A134&gt;'1-Input'!$B$26,O133,O133-J134*(1-I134))</f>
        <v>146129.35151231312</v>
      </c>
      <c r="P134" s="11">
        <f>IF($A134&gt;'1-Input'!$B$26,0,IF(U133&lt;=0,0,MAX(0,(U133-V133)/U133)))</f>
        <v>0.40449160028618508</v>
      </c>
      <c r="Q134" s="18">
        <f>IF($A134&gt;'1-Input'!$B$26,0,(MAX(0,P121-IF($A134&gt;='1-Input'!$C$12,'1-Input'!$B$12,0))-MIN(MAX(T133,0),MAX(0,P121-IF($A134&gt;='1-Input'!$C$12,'1-Input'!$B$12,0))))*(1/(1-'P-Parametri'!$B$6*P134))+MIN(MAX(0,U133-(MAX(0,P121-IF($A134&gt;='1-Input'!$C$12,'1-Input'!$B$12,0))-MIN(MAX(T133,0),MAX(0,P121-IF($A134&gt;='1-Input'!$C$12,'1-Input'!$B$12,0))))*(1/(1-'P-Parametri'!$B$6*P134))),MAX(0,1*MAX(0,P121-IF($A134&gt;='1-Input'!$C$12,'1-Input'!$B$12,0))-(T133-MIN(MAX(T133,0),MAX(0,P121-IF($A134&gt;='1-Input'!$C$12,'1-Input'!$B$12,0)))))*(1/(1-'P-Parametri'!$B$6*P134))))</f>
        <v>21028.760241118962</v>
      </c>
      <c r="R134" s="18">
        <f>IF($A134&gt;'1-Input'!$B$26,T133,(T133-MAX(0,P121-IF($A134&gt;='1-Input'!$C$12,'1-Input'!$B$12,0))+Q134*(1-'P-Parametri'!$B$6*P134))*(1+'1-Input'!$B$27))</f>
        <v>18682.213521902773</v>
      </c>
      <c r="S134" s="18">
        <f>IF($A134&gt;'1-Input'!$B$26,U133,(U133-Q134)*(1+'5-Roberta'!$C$4))</f>
        <v>302653.32220364723</v>
      </c>
      <c r="T134" s="18">
        <f>IF($A134&gt;'1-Input'!$B$26,R134,R134-'P-Parametri'!$B$8*(S134+R134)+MIN(MAX(S134,0),'P-Parametri'!$B$8*(S134+R134)))</f>
        <v>18682.213521902773</v>
      </c>
      <c r="U134" s="18">
        <f>IF($A134&gt;'1-Input'!$B$26,S134,S134-MIN(MAX(S134,0),'P-Parametri'!$B$8*(S134+R134)))</f>
        <v>302010.65113219613</v>
      </c>
      <c r="V134" s="18">
        <f>IF($A134&gt;'1-Input'!$B$26,V133,V133-Q134*(1-P134))</f>
        <v>174983.10249860538</v>
      </c>
      <c r="W134" s="11">
        <f>IF($A134&gt;'1-Input'!$B$26,0,IF(AB133&lt;=0,0,MAX(0,(AB133-AC133)/AB133)))</f>
        <v>0.40450372450145838</v>
      </c>
      <c r="X134" s="18">
        <f>IF($A134&gt;'1-Input'!$B$26,0,(MAX(0,W121-IF($A134&gt;='1-Input'!$C$12,'1-Input'!$B$12,0))-MIN(MAX(AA133,0),MAX(0,W121-IF($A134&gt;='1-Input'!$C$12,'1-Input'!$B$12,0))))*(1/(1-'P-Parametri'!$B$6*W134))+MIN(MAX(0,AB133-(MAX(0,W121-IF($A134&gt;='1-Input'!$C$12,'1-Input'!$B$12,0))-MIN(MAX(AA133,0),MAX(0,W121-IF($A134&gt;='1-Input'!$C$12,'1-Input'!$B$12,0))))*(1/(1-'P-Parametri'!$B$6*W134))),MAX(0,1*MAX(0,W121-IF($A134&gt;='1-Input'!$C$12,'1-Input'!$B$12,0))-(AA133-MIN(MAX(AA133,0),MAX(0,W121-IF($A134&gt;='1-Input'!$C$12,'1-Input'!$B$12,0)))))*(1/(1-'P-Parametri'!$B$6*W134))))</f>
        <v>20738.35434737576</v>
      </c>
      <c r="Y134" s="18">
        <f>IF($A134&gt;'1-Input'!$B$26,AA133,(AA133-MAX(0,W121-IF($A134&gt;='1-Input'!$C$12,'1-Input'!$B$12,0))+X134*(1-'P-Parametri'!$B$6*W134))*(1+'1-Input'!$B$27))</f>
        <v>18424.148390510636</v>
      </c>
      <c r="Z134" s="18">
        <f>IF($A134&gt;'1-Input'!$B$26,AB133,(AB133-X134)*(1+'5-Roberta'!$C$4))</f>
        <v>306699.50763170433</v>
      </c>
      <c r="AA134" s="18">
        <f>IF($A134&gt;'1-Input'!$B$26,Y134,Y134-'P-Parametri'!$B$8*(Z134+Y134)+MIN(MAX(Z134,0),'P-Parametri'!$B$8*(Z134+Y134)))</f>
        <v>18424.148390510636</v>
      </c>
      <c r="AB134" s="18">
        <f>IF($A134&gt;'1-Input'!$B$26,Z134,Z134-MIN(MAX(Z134,0),'P-Parametri'!$B$8*(Z134+Y134)))</f>
        <v>306049.26031965989</v>
      </c>
      <c r="AC134" s="18">
        <f>IF($A134&gt;'1-Input'!$B$26,AC133,AC133-X134*(1-W134))</f>
        <v>177318.84902127809</v>
      </c>
      <c r="AD134" s="11">
        <f>IF($A134&gt;'1-Input'!$B$26,0,IF(AI133&lt;=0,0,MAX(0,(AI133-AJ133)/AI133)))</f>
        <v>0.40450405044475019</v>
      </c>
      <c r="AE134" s="18">
        <f>IF($A134&gt;'1-Input'!$B$26,0,(MAX(0,AD121-IF($A134&gt;='1-Input'!$C$12,'1-Input'!$B$12,0))-MIN(MAX(AH133,0),MAX(0,AD121-IF($A134&gt;='1-Input'!$C$12,'1-Input'!$B$12,0))))*(1/(1-'P-Parametri'!$B$6*AD134))+MIN(MAX(0,AI133-(MAX(0,AD121-IF($A134&gt;='1-Input'!$C$12,'1-Input'!$B$12,0))-MIN(MAX(AH133,0),MAX(0,AD121-IF($A134&gt;='1-Input'!$C$12,'1-Input'!$B$12,0))))*(1/(1-'P-Parametri'!$B$6*AD134))),MAX(0,1*MAX(0,AD121-IF($A134&gt;='1-Input'!$C$12,'1-Input'!$B$12,0))-(AH133-MIN(MAX(AH133,0),MAX(0,AD121-IF($A134&gt;='1-Input'!$C$12,'1-Input'!$B$12,0)))))*(1/(1-'P-Parametri'!$B$6*AD134))))</f>
        <v>20730.494010486334</v>
      </c>
      <c r="AF134" s="18">
        <f>IF($A134&gt;'1-Input'!$B$26,AH133,(AH133-MAX(0,AD121-IF($A134&gt;='1-Input'!$C$12,'1-Input'!$B$12,0))+AE134*(1-'P-Parametri'!$B$6*AD134))*(1+'1-Input'!$B$27))</f>
        <v>18417.163449332857</v>
      </c>
      <c r="AG134" s="18">
        <f>IF($A134&gt;'1-Input'!$B$26,AI133,(AI133-AE134)*(1+'5-Roberta'!$C$4))</f>
        <v>306809.02425467537</v>
      </c>
      <c r="AH134" s="18">
        <f>IF($A134&gt;'1-Input'!$B$26,AF134,AF134-'P-Parametri'!$B$8*(AG134+AF134)+MIN(MAX(AG134,0),'P-Parametri'!$B$8*(AG134+AF134)))</f>
        <v>18417.163449332857</v>
      </c>
      <c r="AI134" s="18">
        <f>IF($A134&gt;'1-Input'!$B$26,AG134,AG134-MIN(MAX(AG134,0),'P-Parametri'!$B$8*(AG134+AF134)))</f>
        <v>306158.57187926734</v>
      </c>
      <c r="AJ134" s="18">
        <f>IF($A134&gt;'1-Input'!$B$26,AJ133,AJ133-AE134*(1-AD134))</f>
        <v>177382.06915597824</v>
      </c>
      <c r="AK134" s="11">
        <f>IF($A134&gt;'1-Input'!$B$26,0,IF(AP133&lt;=0,0,MAX(0,(AP133-AQ133)/AP133)))</f>
        <v>0.40450404842815246</v>
      </c>
      <c r="AL134" s="18">
        <f>IF($A134&gt;'1-Input'!$B$26,0,(MAX(0,AK121-IF($A134&gt;='1-Input'!$C$12,'1-Input'!$B$12,0))-MIN(MAX(AO133,0),MAX(0,AK121-IF($A134&gt;='1-Input'!$C$12,'1-Input'!$B$12,0))))*(1/(1-'P-Parametri'!$B$6*AK134))+MIN(MAX(0,AP133-(MAX(0,AK121-IF($A134&gt;='1-Input'!$C$12,'1-Input'!$B$12,0))-MIN(MAX(AO133,0),MAX(0,AK121-IF($A134&gt;='1-Input'!$C$12,'1-Input'!$B$12,0))))*(1/(1-'P-Parametri'!$B$6*AK134))),MAX(0,1*MAX(0,AK121-IF($A134&gt;='1-Input'!$C$12,'1-Input'!$B$12,0))-(AO133-MIN(MAX(AO133,0),MAX(0,AK121-IF($A134&gt;='1-Input'!$C$12,'1-Input'!$B$12,0)))))*(1/(1-'P-Parametri'!$B$6*AK134))))</f>
        <v>20730.542650683339</v>
      </c>
      <c r="AM134" s="18">
        <f>IF($A134&gt;'1-Input'!$B$26,AO133,(AO133-MAX(0,AK121-IF($A134&gt;='1-Input'!$C$12,'1-Input'!$B$12,0))+AL134*(1-'P-Parametri'!$B$6*AK134))*(1+'1-Input'!$B$27))</f>
        <v>18417.206672527071</v>
      </c>
      <c r="AN134" s="18">
        <f>IF($A134&gt;'1-Input'!$B$26,AP133,(AP133-AL134)*(1+'5-Roberta'!$C$4))</f>
        <v>306808.34655984887</v>
      </c>
      <c r="AO134" s="18">
        <f>IF($A134&gt;'1-Input'!$B$26,AM134,AM134-'P-Parametri'!$B$8*(AN134+AM134)+MIN(MAX(AN134,0),'P-Parametri'!$B$8*(AN134+AM134)))</f>
        <v>18417.206672527071</v>
      </c>
      <c r="AP134" s="18">
        <f>IF($A134&gt;'1-Input'!$B$26,AN134,AN134-MIN(MAX(AN134,0),'P-Parametri'!$B$8*(AN134+AM134)))</f>
        <v>306157.89545338415</v>
      </c>
      <c r="AQ134" s="18">
        <f>IF($A134&gt;'1-Input'!$B$26,AQ133,AQ133-AL134*(1-AK134))</f>
        <v>177381.67794644888</v>
      </c>
    </row>
    <row r="135" spans="1:43">
      <c r="A135" s="10">
        <f>12</f>
        <v>12</v>
      </c>
      <c r="B135" s="11">
        <f>IF($A135&gt;'1-Input'!$B$26,0,IF(G134&lt;=0,0,MAX(0,(G134-H134)/G134)))</f>
        <v>0.42071036452699667</v>
      </c>
      <c r="C135" s="18">
        <f>IF($A135&gt;'1-Input'!$B$26,0,(MAX(0,B121-IF($A135&gt;='1-Input'!$C$12,'1-Input'!$B$12,0))-MIN(MAX(F134,0),MAX(0,B121-IF($A135&gt;='1-Input'!$C$12,'1-Input'!$B$12,0))))*(1/(1-'P-Parametri'!$B$6*B135))+MIN(MAX(0,G134-(MAX(0,B121-IF($A135&gt;='1-Input'!$C$12,'1-Input'!$B$12,0))-MIN(MAX(F134,0),MAX(0,B121-IF($A135&gt;='1-Input'!$C$12,'1-Input'!$B$12,0))))*(1/(1-'P-Parametri'!$B$6*B135))),MAX(0,1*MAX(0,B121-IF($A135&gt;='1-Input'!$C$12,'1-Input'!$B$12,0))-(F134-MIN(MAX(F134,0),MAX(0,B121-IF($A135&gt;='1-Input'!$C$12,'1-Input'!$B$12,0)))))*(1/(1-'P-Parametri'!$B$6*B135))))</f>
        <v>18797.237163543952</v>
      </c>
      <c r="D135" s="18">
        <f>IF($A135&gt;'1-Input'!$B$26,F134,(F134-MAX(0,B121-IF($A135&gt;='1-Input'!$C$12,'1-Input'!$B$12,0))+C135*(1-'P-Parametri'!$B$6*B135))*(1+'1-Input'!$B$27))</f>
        <v>16621.00351549315</v>
      </c>
      <c r="E135" s="18">
        <f>IF($A135&gt;'1-Input'!$B$26,G134,(G134-C135)*(1+'5-Roberta'!$C$4))</f>
        <v>324935.00665941683</v>
      </c>
      <c r="F135" s="18">
        <f>IF($A135&gt;'1-Input'!$B$26,D135,D135-'P-Parametri'!$B$8*(E135+D135)+MIN(MAX(E135,0),'P-Parametri'!$B$8*(E135+D135)))</f>
        <v>16621.00351549315</v>
      </c>
      <c r="G135" s="18">
        <f>IF($A135&gt;'1-Input'!$B$26,E135,E135-MIN(MAX(E135,0),'P-Parametri'!$B$8*(E135+D135)))</f>
        <v>324251.894639067</v>
      </c>
      <c r="H135" s="18">
        <f>IF($A135&gt;'1-Input'!$B$26,H134,H134-C135*(1-B135))</f>
        <v>182749.01122344803</v>
      </c>
      <c r="I135" s="11">
        <f>IF($A135&gt;'1-Input'!$B$26,0,IF(N134&lt;=0,0,MAX(0,(N134-O134)/N134)))</f>
        <v>0.42041725150706716</v>
      </c>
      <c r="J135" s="18">
        <f>IF($A135&gt;'1-Input'!$B$26,0,(MAX(0,I121-IF($A135&gt;='1-Input'!$C$12,'1-Input'!$B$12,0))-MIN(MAX(M134,0),MAX(0,I121-IF($A135&gt;='1-Input'!$C$12,'1-Input'!$B$12,0))))*(1/(1-'P-Parametri'!$B$6*I135))+MIN(MAX(0,N134-(MAX(0,I121-IF($A135&gt;='1-Input'!$C$12,'1-Input'!$B$12,0))-MIN(MAX(M134,0),MAX(0,I121-IF($A135&gt;='1-Input'!$C$12,'1-Input'!$B$12,0))))*(1/(1-'P-Parametri'!$B$6*I135))),MAX(0,1*MAX(0,I121-IF($A135&gt;='1-Input'!$C$12,'1-Input'!$B$12,0))-(M134-MIN(MAX(M134,0),MAX(0,I121-IF($A135&gt;='1-Input'!$C$12,'1-Input'!$B$12,0)))))*(1/(1-'P-Parametri'!$B$6*I135))))</f>
        <v>24731.09057044717</v>
      </c>
      <c r="K135" s="18">
        <f>IF($A135&gt;'1-Input'!$B$26,M134,(M134-MAX(0,I121-IF($A135&gt;='1-Input'!$C$12,'1-Input'!$B$12,0))+J135*(1-'P-Parametri'!$B$6*I135))*(1+'1-Input'!$B$27))</f>
        <v>21869.741467754146</v>
      </c>
      <c r="L135" s="18">
        <f>IF($A135&gt;'1-Input'!$B$26,N134,(N134-J135)*(1+'5-Roberta'!$C$4))</f>
        <v>234219.37171394072</v>
      </c>
      <c r="M135" s="18">
        <f>IF($A135&gt;'1-Input'!$B$26,K135,K135-'P-Parametri'!$B$8*(L135+K135)+MIN(MAX(L135,0),'P-Parametri'!$B$8*(L135+K135)))</f>
        <v>21869.741467754146</v>
      </c>
      <c r="N135" s="18">
        <f>IF($A135&gt;'1-Input'!$B$26,L135,L135-MIN(MAX(L135,0),'P-Parametri'!$B$8*(L135+K135)))</f>
        <v>233707.19348757734</v>
      </c>
      <c r="O135" s="18">
        <f>IF($A135&gt;'1-Input'!$B$26,O134,O134-J135*(1-I135))</f>
        <v>131795.6380662657</v>
      </c>
      <c r="P135" s="11">
        <f>IF($A135&gt;'1-Input'!$B$26,0,IF(U134&lt;=0,0,MAX(0,(U134-V134)/U134)))</f>
        <v>0.42060618775325326</v>
      </c>
      <c r="Q135" s="18">
        <f>IF($A135&gt;'1-Input'!$B$26,0,(MAX(0,P121-IF($A135&gt;='1-Input'!$C$12,'1-Input'!$B$12,0))-MIN(MAX(T134,0),MAX(0,P121-IF($A135&gt;='1-Input'!$C$12,'1-Input'!$B$12,0))))*(1/(1-'P-Parametri'!$B$6*P135))+MIN(MAX(0,U134-(MAX(0,P121-IF($A135&gt;='1-Input'!$C$12,'1-Input'!$B$12,0))-MIN(MAX(T134,0),MAX(0,P121-IF($A135&gt;='1-Input'!$C$12,'1-Input'!$B$12,0))))*(1/(1-'P-Parametri'!$B$6*P135))),MAX(0,1*MAX(0,P121-IF($A135&gt;='1-Input'!$C$12,'1-Input'!$B$12,0))-(T134-MIN(MAX(T134,0),MAX(0,P121-IF($A135&gt;='1-Input'!$C$12,'1-Input'!$B$12,0)))))*(1/(1-'P-Parametri'!$B$6*P135))))</f>
        <v>21127.684509592789</v>
      </c>
      <c r="R135" s="18">
        <f>IF($A135&gt;'1-Input'!$B$26,T134,(T134-MAX(0,P121-IF($A135&gt;='1-Input'!$C$12,'1-Input'!$B$12,0))+Q135*(1-'P-Parametri'!$B$6*P135))*(1+'1-Input'!$B$27))</f>
        <v>18682.213521902773</v>
      </c>
      <c r="S135" s="18">
        <f>IF($A135&gt;'1-Input'!$B$26,U134,(U134-Q135)*(1+'5-Roberta'!$C$4))</f>
        <v>289309.45562128146</v>
      </c>
      <c r="T135" s="18">
        <f>IF($A135&gt;'1-Input'!$B$26,R135,R135-'P-Parametri'!$B$8*(S135+R135)+MIN(MAX(S135,0),'P-Parametri'!$B$8*(S135+R135)))</f>
        <v>18682.213521902773</v>
      </c>
      <c r="U135" s="18">
        <f>IF($A135&gt;'1-Input'!$B$26,S135,S135-MIN(MAX(S135,0),'P-Parametri'!$B$8*(S135+R135)))</f>
        <v>288693.47228299512</v>
      </c>
      <c r="V135" s="18">
        <f>IF($A135&gt;'1-Input'!$B$26,V134,V134-Q135*(1-P135))</f>
        <v>162741.85282664589</v>
      </c>
      <c r="W135" s="11">
        <f>IF($A135&gt;'1-Input'!$B$26,0,IF(AB134&lt;=0,0,MAX(0,(AB134-AC134)/AB134)))</f>
        <v>0.42061990662524879</v>
      </c>
      <c r="X135" s="18">
        <f>IF($A135&gt;'1-Input'!$B$26,0,(MAX(0,W121-IF($A135&gt;='1-Input'!$C$12,'1-Input'!$B$12,0))-MIN(MAX(AA134,0),MAX(0,W121-IF($A135&gt;='1-Input'!$C$12,'1-Input'!$B$12,0))))*(1/(1-'P-Parametri'!$B$6*W135))+MIN(MAX(0,AB134-(MAX(0,W121-IF($A135&gt;='1-Input'!$C$12,'1-Input'!$B$12,0))-MIN(MAX(AA134,0),MAX(0,W121-IF($A135&gt;='1-Input'!$C$12,'1-Input'!$B$12,0))))*(1/(1-'P-Parametri'!$B$6*W135))),MAX(0,1*MAX(0,W121-IF($A135&gt;='1-Input'!$C$12,'1-Input'!$B$12,0))-(AA134-MIN(MAX(AA134,0),MAX(0,W121-IF($A135&gt;='1-Input'!$C$12,'1-Input'!$B$12,0)))))*(1/(1-'P-Parametri'!$B$6*W135))))</f>
        <v>20835.92252258876</v>
      </c>
      <c r="Y135" s="18">
        <f>IF($A135&gt;'1-Input'!$B$26,AA134,(AA134-MAX(0,W121-IF($A135&gt;='1-Input'!$C$12,'1-Input'!$B$12,0))+X135*(1-'P-Parametri'!$B$6*W135))*(1+'1-Input'!$B$27))</f>
        <v>18424.148390510636</v>
      </c>
      <c r="Z135" s="18">
        <f>IF($A135&gt;'1-Input'!$B$26,AB134,(AB134-X135)*(1+'5-Roberta'!$C$4))</f>
        <v>293769.7379309833</v>
      </c>
      <c r="AA135" s="18">
        <f>IF($A135&gt;'1-Input'!$B$26,Y135,Y135-'P-Parametri'!$B$8*(Z135+Y135)+MIN(MAX(Z135,0),'P-Parametri'!$B$8*(Z135+Y135)))</f>
        <v>18424.148390510636</v>
      </c>
      <c r="AB135" s="18">
        <f>IF($A135&gt;'1-Input'!$B$26,Z135,Z135-MIN(MAX(Z135,0),'P-Parametri'!$B$8*(Z135+Y135)))</f>
        <v>293145.3501583403</v>
      </c>
      <c r="AC135" s="18">
        <f>IF($A135&gt;'1-Input'!$B$26,AC134,AC134-X135*(1-W135))</f>
        <v>165246.93028459154</v>
      </c>
      <c r="AD135" s="11">
        <f>IF($A135&gt;'1-Input'!$B$26,0,IF(AI134&lt;=0,0,MAX(0,(AI134-AJ134)/AI134)))</f>
        <v>0.42062027508434979</v>
      </c>
      <c r="AE135" s="18">
        <f>IF($A135&gt;'1-Input'!$B$26,0,(MAX(0,AD121-IF($A135&gt;='1-Input'!$C$12,'1-Input'!$B$12,0))-MIN(MAX(AH134,0),MAX(0,AD121-IF($A135&gt;='1-Input'!$C$12,'1-Input'!$B$12,0))))*(1/(1-'P-Parametri'!$B$6*AD135))+MIN(MAX(0,AI134-(MAX(0,AD121-IF($A135&gt;='1-Input'!$C$12,'1-Input'!$B$12,0))-MIN(MAX(AH134,0),MAX(0,AD121-IF($A135&gt;='1-Input'!$C$12,'1-Input'!$B$12,0))))*(1/(1-'P-Parametri'!$B$6*AD135))),MAX(0,1*MAX(0,AD121-IF($A135&gt;='1-Input'!$C$12,'1-Input'!$B$12,0))-(AH134-MIN(MAX(AH134,0),MAX(0,AD121-IF($A135&gt;='1-Input'!$C$12,'1-Input'!$B$12,0)))))*(1/(1-'P-Parametri'!$B$6*AD135))))</f>
        <v>20828.0254727918</v>
      </c>
      <c r="AF135" s="18">
        <f>IF($A135&gt;'1-Input'!$B$26,AH134,(AH134-MAX(0,AD121-IF($A135&gt;='1-Input'!$C$12,'1-Input'!$B$12,0))+AE135*(1-'P-Parametri'!$B$6*AD135))*(1+'1-Input'!$B$27))</f>
        <v>18417.163449332857</v>
      </c>
      <c r="AG135" s="18">
        <f>IF($A135&gt;'1-Input'!$B$26,AI134,(AI134-AE135)*(1+'5-Roberta'!$C$4))</f>
        <v>293890.46279866982</v>
      </c>
      <c r="AH135" s="18">
        <f>IF($A135&gt;'1-Input'!$B$26,AF135,AF135-'P-Parametri'!$B$8*(AG135+AF135)+MIN(MAX(AG135,0),'P-Parametri'!$B$8*(AG135+AF135)))</f>
        <v>18417.163449332857</v>
      </c>
      <c r="AI135" s="18">
        <f>IF($A135&gt;'1-Input'!$B$26,AG135,AG135-MIN(MAX(AG135,0),'P-Parametri'!$B$8*(AG135+AF135)))</f>
        <v>293265.84754617378</v>
      </c>
      <c r="AJ135" s="18">
        <f>IF($A135&gt;'1-Input'!$B$26,AJ134,AJ134-AE135*(1-AD135))</f>
        <v>165314.73348701597</v>
      </c>
      <c r="AK135" s="11">
        <f>IF($A135&gt;'1-Input'!$B$26,0,IF(AP134&lt;=0,0,MAX(0,(AP134-AQ134)/AP134)))</f>
        <v>0.42062027280476533</v>
      </c>
      <c r="AL135" s="18">
        <f>IF($A135&gt;'1-Input'!$B$26,0,(MAX(0,AK121-IF($A135&gt;='1-Input'!$C$12,'1-Input'!$B$12,0))-MIN(MAX(AO134,0),MAX(0,AK121-IF($A135&gt;='1-Input'!$C$12,'1-Input'!$B$12,0))))*(1/(1-'P-Parametri'!$B$6*AK135))+MIN(MAX(0,AP134-(MAX(0,AK121-IF($A135&gt;='1-Input'!$C$12,'1-Input'!$B$12,0))-MIN(MAX(AO134,0),MAX(0,AK121-IF($A135&gt;='1-Input'!$C$12,'1-Input'!$B$12,0))))*(1/(1-'P-Parametri'!$B$6*AK135))),MAX(0,1*MAX(0,AK121-IF($A135&gt;='1-Input'!$C$12,'1-Input'!$B$12,0))-(AO134-MIN(MAX(AO134,0),MAX(0,AK121-IF($A135&gt;='1-Input'!$C$12,'1-Input'!$B$12,0)))))*(1/(1-'P-Parametri'!$B$6*AK135))))</f>
        <v>20828.074340171563</v>
      </c>
      <c r="AM135" s="18">
        <f>IF($A135&gt;'1-Input'!$B$26,AO134,(AO134-MAX(0,AK121-IF($A135&gt;='1-Input'!$C$12,'1-Input'!$B$12,0))+AL135*(1-'P-Parametri'!$B$6*AK135))*(1+'1-Input'!$B$27))</f>
        <v>18417.206672527071</v>
      </c>
      <c r="AN135" s="18">
        <f>IF($A135&gt;'1-Input'!$B$26,AP134,(AP134-AL135)*(1+'5-Roberta'!$C$4))</f>
        <v>293889.71574660897</v>
      </c>
      <c r="AO135" s="18">
        <f>IF($A135&gt;'1-Input'!$B$26,AM135,AM135-'P-Parametri'!$B$8*(AN135+AM135)+MIN(MAX(AN135,0),'P-Parametri'!$B$8*(AN135+AM135)))</f>
        <v>18417.206672527071</v>
      </c>
      <c r="AP135" s="18">
        <f>IF($A135&gt;'1-Input'!$B$26,AN135,AN135-MIN(MAX(AN135,0),'P-Parametri'!$B$8*(AN135+AM135)))</f>
        <v>293265.10190177069</v>
      </c>
      <c r="AQ135" s="18">
        <f>IF($A135&gt;'1-Input'!$B$26,AQ134,AQ134-AL135*(1-AK135))</f>
        <v>165314.31391723821</v>
      </c>
    </row>
    <row r="136" spans="1:43">
      <c r="A136" s="10">
        <f>13</f>
        <v>13</v>
      </c>
      <c r="B136" s="11">
        <f>IF($A136&gt;'1-Input'!$B$26,0,IF(G135&lt;=0,0,MAX(0,(G135-H135)/G135)))</f>
        <v>0.43639801572518</v>
      </c>
      <c r="C136" s="18">
        <f>IF($A136&gt;'1-Input'!$B$26,0,(MAX(0,B121-IF($A136&gt;='1-Input'!$C$12,'1-Input'!$B$12,0))-MIN(MAX(F135,0),MAX(0,B121-IF($A136&gt;='1-Input'!$C$12,'1-Input'!$B$12,0))))*(1/(1-'P-Parametri'!$B$6*B136))+MIN(MAX(0,G135-(MAX(0,B121-IF($A136&gt;='1-Input'!$C$12,'1-Input'!$B$12,0))-MIN(MAX(F135,0),MAX(0,B121-IF($A136&gt;='1-Input'!$C$12,'1-Input'!$B$12,0))))*(1/(1-'P-Parametri'!$B$6*B136))),MAX(0,1*MAX(0,B121-IF($A136&gt;='1-Input'!$C$12,'1-Input'!$B$12,0))-(F135-MIN(MAX(F135,0),MAX(0,B121-IF($A136&gt;='1-Input'!$C$12,'1-Input'!$B$12,0)))))*(1/(1-'P-Parametri'!$B$6*B136))))</f>
        <v>18883.71974903575</v>
      </c>
      <c r="D136" s="18">
        <f>IF($A136&gt;'1-Input'!$B$26,F135,(F135-MAX(0,B121-IF($A136&gt;='1-Input'!$C$12,'1-Input'!$B$12,0))+C136*(1-'P-Parametri'!$B$6*B136))*(1+'1-Input'!$B$27))</f>
        <v>16621.00351549315</v>
      </c>
      <c r="E136" s="18">
        <f>IF($A136&gt;'1-Input'!$B$26,G135,(G135-C136)*(1+'5-Roberta'!$C$4))</f>
        <v>314529.22013673215</v>
      </c>
      <c r="F136" s="18">
        <f>IF($A136&gt;'1-Input'!$B$26,D136,D136-'P-Parametri'!$B$8*(E136+D136)+MIN(MAX(E136,0),'P-Parametri'!$B$8*(E136+D136)))</f>
        <v>16621.00351549315</v>
      </c>
      <c r="G136" s="18">
        <f>IF($A136&gt;'1-Input'!$B$26,E136,E136-MIN(MAX(E136,0),'P-Parametri'!$B$8*(E136+D136)))</f>
        <v>313866.91968942771</v>
      </c>
      <c r="H136" s="18">
        <f>IF($A136&gt;'1-Input'!$B$26,H135,H135-C136*(1-B136))</f>
        <v>172106.10930240189</v>
      </c>
      <c r="I136" s="11">
        <f>IF($A136&gt;'1-Input'!$B$26,0,IF(N135&lt;=0,0,MAX(0,(N135-O135)/N135)))</f>
        <v>0.43606512020661753</v>
      </c>
      <c r="J136" s="18">
        <f>IF($A136&gt;'1-Input'!$B$26,0,(MAX(0,I121-IF($A136&gt;='1-Input'!$C$12,'1-Input'!$B$12,0))-MIN(MAX(M135,0),MAX(0,I121-IF($A136&gt;='1-Input'!$C$12,'1-Input'!$B$12,0))))*(1/(1-'P-Parametri'!$B$6*I136))+MIN(MAX(0,N135-(MAX(0,I121-IF($A136&gt;='1-Input'!$C$12,'1-Input'!$B$12,0))-MIN(MAX(M135,0),MAX(0,I121-IF($A136&gt;='1-Input'!$C$12,'1-Input'!$B$12,0))))*(1/(1-'P-Parametri'!$B$6*I136))),MAX(0,1*MAX(0,I121-IF($A136&gt;='1-Input'!$C$12,'1-Input'!$B$12,0))-(M135-MIN(MAX(M135,0),MAX(0,I121-IF($A136&gt;='1-Input'!$C$12,'1-Input'!$B$12,0)))))*(1/(1-'P-Parametri'!$B$6*I136))))</f>
        <v>24844.574086315381</v>
      </c>
      <c r="K136" s="18">
        <f>IF($A136&gt;'1-Input'!$B$26,M135,(M135-MAX(0,I121-IF($A136&gt;='1-Input'!$C$12,'1-Input'!$B$12,0))+J136*(1-'P-Parametri'!$B$6*I136))*(1+'1-Input'!$B$27))</f>
        <v>21869.741467754146</v>
      </c>
      <c r="L136" s="18">
        <f>IF($A136&gt;'1-Input'!$B$26,N135,(N135-J136)*(1+'5-Roberta'!$C$4))</f>
        <v>215128.49798329984</v>
      </c>
      <c r="M136" s="18">
        <f>IF($A136&gt;'1-Input'!$B$26,K136,K136-'P-Parametri'!$B$8*(L136+K136)+MIN(MAX(L136,0),'P-Parametri'!$B$8*(L136+K136)))</f>
        <v>21869.741467754146</v>
      </c>
      <c r="N136" s="18">
        <f>IF($A136&gt;'1-Input'!$B$26,L136,L136-MIN(MAX(L136,0),'P-Parametri'!$B$8*(L136+K136)))</f>
        <v>214654.50150439772</v>
      </c>
      <c r="O136" s="18">
        <f>IF($A136&gt;'1-Input'!$B$26,O135,O135-J136*(1-I136))</f>
        <v>117784.91616538166</v>
      </c>
      <c r="P136" s="11">
        <f>IF($A136&gt;'1-Input'!$B$26,0,IF(U135&lt;=0,0,MAX(0,(U135-V135)/U135)))</f>
        <v>0.43628149421017631</v>
      </c>
      <c r="Q136" s="18">
        <f>IF($A136&gt;'1-Input'!$B$26,0,(MAX(0,P121-IF($A136&gt;='1-Input'!$C$12,'1-Input'!$B$12,0))-MIN(MAX(T135,0),MAX(0,P121-IF($A136&gt;='1-Input'!$C$12,'1-Input'!$B$12,0))))*(1/(1-'P-Parametri'!$B$6*P136))+MIN(MAX(0,U135-(MAX(0,P121-IF($A136&gt;='1-Input'!$C$12,'1-Input'!$B$12,0))-MIN(MAX(T135,0),MAX(0,P121-IF($A136&gt;='1-Input'!$C$12,'1-Input'!$B$12,0))))*(1/(1-'P-Parametri'!$B$6*P136))),MAX(0,1*MAX(0,P121-IF($A136&gt;='1-Input'!$C$12,'1-Input'!$B$12,0))-(T135-MIN(MAX(T135,0),MAX(0,P121-IF($A136&gt;='1-Input'!$C$12,'1-Input'!$B$12,0)))))*(1/(1-'P-Parametri'!$B$6*P136))))</f>
        <v>21224.809238975769</v>
      </c>
      <c r="R136" s="18">
        <f>IF($A136&gt;'1-Input'!$B$26,T135,(T135-MAX(0,P121-IF($A136&gt;='1-Input'!$C$12,'1-Input'!$B$12,0))+Q136*(1-'P-Parametri'!$B$6*P136))*(1+'1-Input'!$B$27))</f>
        <v>18682.213521902773</v>
      </c>
      <c r="S136" s="18">
        <f>IF($A136&gt;'1-Input'!$B$26,U135,(U135-Q136)*(1+'5-Roberta'!$C$4))</f>
        <v>275492.72293533996</v>
      </c>
      <c r="T136" s="18">
        <f>IF($A136&gt;'1-Input'!$B$26,R136,R136-'P-Parametri'!$B$8*(S136+R136)+MIN(MAX(S136,0),'P-Parametri'!$B$8*(S136+R136)))</f>
        <v>18682.213521902773</v>
      </c>
      <c r="U136" s="18">
        <f>IF($A136&gt;'1-Input'!$B$26,S136,S136-MIN(MAX(S136,0),'P-Parametri'!$B$8*(S136+R136)))</f>
        <v>274904.37306242547</v>
      </c>
      <c r="V136" s="18">
        <f>IF($A136&gt;'1-Input'!$B$26,V135,V135-Q136*(1-P136))</f>
        <v>150777.03507677643</v>
      </c>
      <c r="W136" s="11">
        <f>IF($A136&gt;'1-Input'!$B$26,0,IF(AB135&lt;=0,0,MAX(0,(AB135-AC135)/AB135)))</f>
        <v>0.43629694213012543</v>
      </c>
      <c r="X136" s="18">
        <f>IF($A136&gt;'1-Input'!$B$26,0,(MAX(0,W121-IF($A136&gt;='1-Input'!$C$12,'1-Input'!$B$12,0))-MIN(MAX(AA135,0),MAX(0,W121-IF($A136&gt;='1-Input'!$C$12,'1-Input'!$B$12,0))))*(1/(1-'P-Parametri'!$B$6*W136))+MIN(MAX(0,AB135-(MAX(0,W121-IF($A136&gt;='1-Input'!$C$12,'1-Input'!$B$12,0))-MIN(MAX(AA135,0),MAX(0,W121-IF($A136&gt;='1-Input'!$C$12,'1-Input'!$B$12,0))))*(1/(1-'P-Parametri'!$B$6*W136))),MAX(0,1*MAX(0,W121-IF($A136&gt;='1-Input'!$C$12,'1-Input'!$B$12,0))-(AA135-MIN(MAX(AA135,0),MAX(0,W121-IF($A136&gt;='1-Input'!$C$12,'1-Input'!$B$12,0)))))*(1/(1-'P-Parametri'!$B$6*W136))))</f>
        <v>20931.717010849552</v>
      </c>
      <c r="Y136" s="18">
        <f>IF($A136&gt;'1-Input'!$B$26,AA135,(AA135-MAX(0,W121-IF($A136&gt;='1-Input'!$C$12,'1-Input'!$B$12,0))+X136*(1-'P-Parametri'!$B$6*W136))*(1+'1-Input'!$B$27))</f>
        <v>18424.148390510636</v>
      </c>
      <c r="Z136" s="18">
        <f>IF($A136&gt;'1-Input'!$B$26,AB135,(AB135-X136)*(1+'5-Roberta'!$C$4))</f>
        <v>280380.04214191547</v>
      </c>
      <c r="AA136" s="18">
        <f>IF($A136&gt;'1-Input'!$B$26,Y136,Y136-'P-Parametri'!$B$8*(Z136+Y136)+MIN(MAX(Z136,0),'P-Parametri'!$B$8*(Z136+Y136)))</f>
        <v>18424.148390510636</v>
      </c>
      <c r="AB136" s="18">
        <f>IF($A136&gt;'1-Input'!$B$26,Z136,Z136-MIN(MAX(Z136,0),'P-Parametri'!$B$8*(Z136+Y136)))</f>
        <v>279782.43376085063</v>
      </c>
      <c r="AC136" s="18">
        <f>IF($A136&gt;'1-Input'!$B$26,AC135,AC135-X136*(1-W136))</f>
        <v>153447.65739910878</v>
      </c>
      <c r="AD136" s="11">
        <f>IF($A136&gt;'1-Input'!$B$26,0,IF(AI135&lt;=0,0,MAX(0,(AI135-AJ135)/AI135)))</f>
        <v>0.43629735657853003</v>
      </c>
      <c r="AE136" s="18">
        <f>IF($A136&gt;'1-Input'!$B$26,0,(MAX(0,AD121-IF($A136&gt;='1-Input'!$C$12,'1-Input'!$B$12,0))-MIN(MAX(AH135,0),MAX(0,AD121-IF($A136&gt;='1-Input'!$C$12,'1-Input'!$B$12,0))))*(1/(1-'P-Parametri'!$B$6*AD136))+MIN(MAX(0,AI135-(MAX(0,AD121-IF($A136&gt;='1-Input'!$C$12,'1-Input'!$B$12,0))-MIN(MAX(AH135,0),MAX(0,AD121-IF($A136&gt;='1-Input'!$C$12,'1-Input'!$B$12,0))))*(1/(1-'P-Parametri'!$B$6*AD136))),MAX(0,1*MAX(0,AD121-IF($A136&gt;='1-Input'!$C$12,'1-Input'!$B$12,0))-(AH135-MIN(MAX(AH135,0),MAX(0,AD121-IF($A136&gt;='1-Input'!$C$12,'1-Input'!$B$12,0)))))*(1/(1-'P-Parametri'!$B$6*AD136))))</f>
        <v>20923.783946410284</v>
      </c>
      <c r="AF136" s="18">
        <f>IF($A136&gt;'1-Input'!$B$26,AH135,(AH135-MAX(0,AD121-IF($A136&gt;='1-Input'!$C$12,'1-Input'!$B$12,0))+AE136*(1-'P-Parametri'!$B$6*AD136))*(1+'1-Input'!$B$27))</f>
        <v>18417.163449332857</v>
      </c>
      <c r="AG136" s="18">
        <f>IF($A136&gt;'1-Input'!$B$26,AI135,(AI135-AE136)*(1+'5-Roberta'!$C$4))</f>
        <v>280512.32550775638</v>
      </c>
      <c r="AH136" s="18">
        <f>IF($A136&gt;'1-Input'!$B$26,AF136,AF136-'P-Parametri'!$B$8*(AG136+AF136)+MIN(MAX(AG136,0),'P-Parametri'!$B$8*(AG136+AF136)))</f>
        <v>18417.163449332853</v>
      </c>
      <c r="AI136" s="18">
        <f>IF($A136&gt;'1-Input'!$B$26,AG136,AG136-MIN(MAX(AG136,0),'P-Parametri'!$B$8*(AG136+AF136)))</f>
        <v>279914.46652984218</v>
      </c>
      <c r="AJ136" s="18">
        <f>IF($A136&gt;'1-Input'!$B$26,AJ135,AJ135-AE136*(1-AD136))</f>
        <v>153519.94116604477</v>
      </c>
      <c r="AK136" s="11">
        <f>IF($A136&gt;'1-Input'!$B$26,0,IF(AP135&lt;=0,0,MAX(0,(AP135-AQ135)/AP135)))</f>
        <v>0.43629735401449049</v>
      </c>
      <c r="AL136" s="18">
        <f>IF($A136&gt;'1-Input'!$B$26,0,(MAX(0,AK121-IF($A136&gt;='1-Input'!$C$12,'1-Input'!$B$12,0))-MIN(MAX(AO135,0),MAX(0,AK121-IF($A136&gt;='1-Input'!$C$12,'1-Input'!$B$12,0))))*(1/(1-'P-Parametri'!$B$6*AK136))+MIN(MAX(0,AP135-(MAX(0,AK121-IF($A136&gt;='1-Input'!$C$12,'1-Input'!$B$12,0))-MIN(MAX(AO135,0),MAX(0,AK121-IF($A136&gt;='1-Input'!$C$12,'1-Input'!$B$12,0))))*(1/(1-'P-Parametri'!$B$6*AK136))),MAX(0,1*MAX(0,AK121-IF($A136&gt;='1-Input'!$C$12,'1-Input'!$B$12,0))-(AO135-MIN(MAX(AO135,0),MAX(0,AK121-IF($A136&gt;='1-Input'!$C$12,'1-Input'!$B$12,0)))))*(1/(1-'P-Parametri'!$B$6*AK136))))</f>
        <v>20923.83303665213</v>
      </c>
      <c r="AM136" s="18">
        <f>IF($A136&gt;'1-Input'!$B$26,AO135,(AO135-MAX(0,AK121-IF($A136&gt;='1-Input'!$C$12,'1-Input'!$B$12,0))+AL136*(1-'P-Parametri'!$B$6*AK136))*(1+'1-Input'!$B$27))</f>
        <v>18417.206672527071</v>
      </c>
      <c r="AN136" s="18">
        <f>IF($A136&gt;'1-Input'!$B$26,AP135,(AP135-AL136)*(1+'5-Roberta'!$C$4))</f>
        <v>280511.5069310721</v>
      </c>
      <c r="AO136" s="18">
        <f>IF($A136&gt;'1-Input'!$B$26,AM136,AM136-'P-Parametri'!$B$8*(AN136+AM136)+MIN(MAX(AN136,0),'P-Parametri'!$B$8*(AN136+AM136)))</f>
        <v>18417.206672527071</v>
      </c>
      <c r="AP136" s="18">
        <f>IF($A136&gt;'1-Input'!$B$26,AN136,AN136-MIN(MAX(AN136,0),'P-Parametri'!$B$8*(AN136+AM136)))</f>
        <v>279913.64950386493</v>
      </c>
      <c r="AQ136" s="18">
        <f>IF($A136&gt;'1-Input'!$B$26,AQ135,AQ135-AL136*(1-AK136))</f>
        <v>153519.49387031837</v>
      </c>
    </row>
    <row r="137" spans="1:43">
      <c r="A137" s="10">
        <f>14</f>
        <v>14</v>
      </c>
      <c r="B137" s="11">
        <f>IF($A137&gt;'1-Input'!$B$26,0,IF(G136&lt;=0,0,MAX(0,(G136-H136)/G136)))</f>
        <v>0.45165897230360746</v>
      </c>
      <c r="C137" s="18">
        <f>IF($A137&gt;'1-Input'!$B$26,0,(MAX(0,B121-IF($A137&gt;='1-Input'!$C$12,'1-Input'!$B$12,0))-MIN(MAX(F136,0),MAX(0,B121-IF($A137&gt;='1-Input'!$C$12,'1-Input'!$B$12,0))))*(1/(1-'P-Parametri'!$B$6*B137))+MIN(MAX(0,G136-(MAX(0,B121-IF($A137&gt;='1-Input'!$C$12,'1-Input'!$B$12,0))-MIN(MAX(F136,0),MAX(0,B121-IF($A137&gt;='1-Input'!$C$12,'1-Input'!$B$12,0))))*(1/(1-'P-Parametri'!$B$6*B137))),MAX(0,1*MAX(0,B121-IF($A137&gt;='1-Input'!$C$12,'1-Input'!$B$12,0))-(F136-MIN(MAX(F136,0),MAX(0,B121-IF($A137&gt;='1-Input'!$C$12,'1-Input'!$B$12,0)))))*(1/(1-'P-Parametri'!$B$6*B137))))</f>
        <v>18968.61710131908</v>
      </c>
      <c r="D137" s="18">
        <f>IF($A137&gt;'1-Input'!$B$26,F136,(F136-MAX(0,B121-IF($A137&gt;='1-Input'!$C$12,'1-Input'!$B$12,0))+C137*(1-'P-Parametri'!$B$6*B137))*(1+'1-Input'!$B$27))</f>
        <v>16621.00351549315</v>
      </c>
      <c r="E137" s="18">
        <f>IF($A137&gt;'1-Input'!$B$26,G136,(G136-C137)*(1+'5-Roberta'!$C$4))</f>
        <v>303745.25166575192</v>
      </c>
      <c r="F137" s="18">
        <f>IF($A137&gt;'1-Input'!$B$26,D137,D137-'P-Parametri'!$B$8*(E137+D137)+MIN(MAX(E137,0),'P-Parametri'!$B$8*(E137+D137)))</f>
        <v>16621.00351549315</v>
      </c>
      <c r="G137" s="18">
        <f>IF($A137&gt;'1-Input'!$B$26,E137,E137-MIN(MAX(E137,0),'P-Parametri'!$B$8*(E137+D137)))</f>
        <v>303104.5191553894</v>
      </c>
      <c r="H137" s="18">
        <f>IF($A137&gt;'1-Input'!$B$26,H136,H136-C137*(1-B137))</f>
        <v>161704.83830708521</v>
      </c>
      <c r="I137" s="11">
        <f>IF($A137&gt;'1-Input'!$B$26,0,IF(N136&lt;=0,0,MAX(0,(N136-O136)/N136)))</f>
        <v>0.45128140644668219</v>
      </c>
      <c r="J137" s="18">
        <f>IF($A137&gt;'1-Input'!$B$26,0,(MAX(0,I121-IF($A137&gt;='1-Input'!$C$12,'1-Input'!$B$12,0))-MIN(MAX(M136,0),MAX(0,I121-IF($A137&gt;='1-Input'!$C$12,'1-Input'!$B$12,0))))*(1/(1-'P-Parametri'!$B$6*I137))+MIN(MAX(0,N136-(MAX(0,I121-IF($A137&gt;='1-Input'!$C$12,'1-Input'!$B$12,0))-MIN(MAX(M136,0),MAX(0,I121-IF($A137&gt;='1-Input'!$C$12,'1-Input'!$B$12,0))))*(1/(1-'P-Parametri'!$B$6*I137))),MAX(0,1*MAX(0,I121-IF($A137&gt;='1-Input'!$C$12,'1-Input'!$B$12,0))-(M136-MIN(MAX(M136,0),MAX(0,I121-IF($A137&gt;='1-Input'!$C$12,'1-Input'!$B$12,0)))))*(1/(1-'P-Parametri'!$B$6*I137))))</f>
        <v>24955.930892064018</v>
      </c>
      <c r="K137" s="18">
        <f>IF($A137&gt;'1-Input'!$B$26,M136,(M136-MAX(0,I121-IF($A137&gt;='1-Input'!$C$12,'1-Input'!$B$12,0))+J137*(1-'P-Parametri'!$B$6*I137))*(1+'1-Input'!$B$27))</f>
        <v>21869.741467754146</v>
      </c>
      <c r="L137" s="18">
        <f>IF($A137&gt;'1-Input'!$B$26,N136,(N136-J137)*(1+'5-Roberta'!$C$4))</f>
        <v>195389.52773070373</v>
      </c>
      <c r="M137" s="18">
        <f>IF($A137&gt;'1-Input'!$B$26,K137,K137-'P-Parametri'!$B$8*(L137+K137)+MIN(MAX(L137,0),'P-Parametri'!$B$8*(L137+K137)))</f>
        <v>21869.741467754146</v>
      </c>
      <c r="N137" s="18">
        <f>IF($A137&gt;'1-Input'!$B$26,L137,L137-MIN(MAX(L137,0),'P-Parametri'!$B$8*(L137+K137)))</f>
        <v>194955.00919230681</v>
      </c>
      <c r="O137" s="18">
        <f>IF($A137&gt;'1-Input'!$B$26,O136,O136-J137*(1-I137))</f>
        <v>104091.13286547449</v>
      </c>
      <c r="P137" s="11">
        <f>IF($A137&gt;'1-Input'!$B$26,0,IF(U136&lt;=0,0,MAX(0,(U136-V136)/U136)))</f>
        <v>0.45152915031097784</v>
      </c>
      <c r="Q137" s="18">
        <f>IF($A137&gt;'1-Input'!$B$26,0,(MAX(0,P121-IF($A137&gt;='1-Input'!$C$12,'1-Input'!$B$12,0))-MIN(MAX(T136,0),MAX(0,P121-IF($A137&gt;='1-Input'!$C$12,'1-Input'!$B$12,0))))*(1/(1-'P-Parametri'!$B$6*P137))+MIN(MAX(0,U136-(MAX(0,P121-IF($A137&gt;='1-Input'!$C$12,'1-Input'!$B$12,0))-MIN(MAX(T136,0),MAX(0,P121-IF($A137&gt;='1-Input'!$C$12,'1-Input'!$B$12,0))))*(1/(1-'P-Parametri'!$B$6*P137))),MAX(0,1*MAX(0,P121-IF($A137&gt;='1-Input'!$C$12,'1-Input'!$B$12,0))-(T136-MIN(MAX(T136,0),MAX(0,P121-IF($A137&gt;='1-Input'!$C$12,'1-Input'!$B$12,0)))))*(1/(1-'P-Parametri'!$B$6*P137))))</f>
        <v>21320.144841900401</v>
      </c>
      <c r="R137" s="18">
        <f>IF($A137&gt;'1-Input'!$B$26,T136,(T136-MAX(0,P121-IF($A137&gt;='1-Input'!$C$12,'1-Input'!$B$12,0))+Q137*(1-'P-Parametri'!$B$6*P137))*(1+'1-Input'!$B$27))</f>
        <v>18682.213521902773</v>
      </c>
      <c r="S137" s="18">
        <f>IF($A137&gt;'1-Input'!$B$26,U136,(U136-Q137)*(1+'5-Roberta'!$C$4))</f>
        <v>261191.75506714085</v>
      </c>
      <c r="T137" s="18">
        <f>IF($A137&gt;'1-Input'!$B$26,R137,R137-'P-Parametri'!$B$8*(S137+R137)+MIN(MAX(S137,0),'P-Parametri'!$B$8*(S137+R137)))</f>
        <v>18682.213521902773</v>
      </c>
      <c r="U137" s="18">
        <f>IF($A137&gt;'1-Input'!$B$26,S137,S137-MIN(MAX(S137,0),'P-Parametri'!$B$8*(S137+R137)))</f>
        <v>260632.00712996276</v>
      </c>
      <c r="V137" s="18">
        <f>IF($A137&gt;'1-Input'!$B$26,V136,V136-Q137*(1-P137))</f>
        <v>139083.55711984629</v>
      </c>
      <c r="W137" s="11">
        <f>IF($A137&gt;'1-Input'!$B$26,0,IF(AB136&lt;=0,0,MAX(0,(AB136-AC136)/AB136)))</f>
        <v>0.45154649154896159</v>
      </c>
      <c r="X137" s="18">
        <f>IF($A137&gt;'1-Input'!$B$26,0,(MAX(0,W121-IF($A137&gt;='1-Input'!$C$12,'1-Input'!$B$12,0))-MIN(MAX(AA136,0),MAX(0,W121-IF($A137&gt;='1-Input'!$C$12,'1-Input'!$B$12,0))))*(1/(1-'P-Parametri'!$B$6*W137))+MIN(MAX(0,AB136-(MAX(0,W121-IF($A137&gt;='1-Input'!$C$12,'1-Input'!$B$12,0))-MIN(MAX(AA136,0),MAX(0,W121-IF($A137&gt;='1-Input'!$C$12,'1-Input'!$B$12,0))))*(1/(1-'P-Parametri'!$B$6*W137))),MAX(0,1*MAX(0,W121-IF($A137&gt;='1-Input'!$C$12,'1-Input'!$B$12,0))-(AA136-MIN(MAX(AA136,0),MAX(0,W121-IF($A137&gt;='1-Input'!$C$12,'1-Input'!$B$12,0)))))*(1/(1-'P-Parametri'!$B$6*W137))))</f>
        <v>21025.748284465055</v>
      </c>
      <c r="Y137" s="18">
        <f>IF($A137&gt;'1-Input'!$B$26,AA136,(AA136-MAX(0,W121-IF($A137&gt;='1-Input'!$C$12,'1-Input'!$B$12,0))+X137*(1-'P-Parametri'!$B$6*W137))*(1+'1-Input'!$B$27))</f>
        <v>18424.148390510636</v>
      </c>
      <c r="Z137" s="18">
        <f>IF($A137&gt;'1-Input'!$B$26,AB136,(AB136-X137)*(1+'5-Roberta'!$C$4))</f>
        <v>266519.38604067714</v>
      </c>
      <c r="AA137" s="18">
        <f>IF($A137&gt;'1-Input'!$B$26,Y137,Y137-'P-Parametri'!$B$8*(Z137+Y137)+MIN(MAX(Z137,0),'P-Parametri'!$B$8*(Z137+Y137)))</f>
        <v>18424.148390510636</v>
      </c>
      <c r="AB137" s="18">
        <f>IF($A137&gt;'1-Input'!$B$26,Z137,Z137-MIN(MAX(Z137,0),'P-Parametri'!$B$8*(Z137+Y137)))</f>
        <v>265949.49897181476</v>
      </c>
      <c r="AC137" s="18">
        <f>IF($A137&gt;'1-Input'!$B$26,AC136,AC136-X137*(1-W137))</f>
        <v>141916.01198468552</v>
      </c>
      <c r="AD137" s="11">
        <f>IF($A137&gt;'1-Input'!$B$26,0,IF(AI136&lt;=0,0,MAX(0,(AI136-AJ136)/AI136)))</f>
        <v>0.45154695622107927</v>
      </c>
      <c r="AE137" s="18">
        <f>IF($A137&gt;'1-Input'!$B$26,0,(MAX(0,AD121-IF($A137&gt;='1-Input'!$C$12,'1-Input'!$B$12,0))-MIN(MAX(AH136,0),MAX(0,AD121-IF($A137&gt;='1-Input'!$C$12,'1-Input'!$B$12,0))))*(1/(1-'P-Parametri'!$B$6*AD137))+MIN(MAX(0,AI136-(MAX(0,AD121-IF($A137&gt;='1-Input'!$C$12,'1-Input'!$B$12,0))-MIN(MAX(AH136,0),MAX(0,AD121-IF($A137&gt;='1-Input'!$C$12,'1-Input'!$B$12,0))))*(1/(1-'P-Parametri'!$B$6*AD137))),MAX(0,1*MAX(0,AD121-IF($A137&gt;='1-Input'!$C$12,'1-Input'!$B$12,0))-(AH136-MIN(MAX(AH136,0),MAX(0,AD121-IF($A137&gt;='1-Input'!$C$12,'1-Input'!$B$12,0)))))*(1/(1-'P-Parametri'!$B$6*AD137))))</f>
        <v>21017.779904863164</v>
      </c>
      <c r="AF137" s="18">
        <f>IF($A137&gt;'1-Input'!$B$26,AH136,(AH136-MAX(0,AD121-IF($A137&gt;='1-Input'!$C$12,'1-Input'!$B$12,0))+AE137*(1-'P-Parametri'!$B$6*AD137))*(1+'1-Input'!$B$27))</f>
        <v>18417.163449332857</v>
      </c>
      <c r="AG137" s="18">
        <f>IF($A137&gt;'1-Input'!$B$26,AI136,(AI136-AE137)*(1+'5-Roberta'!$C$4))</f>
        <v>266663.58722372842</v>
      </c>
      <c r="AH137" s="18">
        <f>IF($A137&gt;'1-Input'!$B$26,AF137,AF137-'P-Parametri'!$B$8*(AG137+AF137)+MIN(MAX(AG137,0),'P-Parametri'!$B$8*(AG137+AF137)))</f>
        <v>18417.163449332857</v>
      </c>
      <c r="AI137" s="18">
        <f>IF($A137&gt;'1-Input'!$B$26,AG137,AG137-MIN(MAX(AG137,0),'P-Parametri'!$B$8*(AG137+AF137)))</f>
        <v>266093.42572238232</v>
      </c>
      <c r="AJ137" s="18">
        <f>IF($A137&gt;'1-Input'!$B$26,AJ136,AJ136-AE137*(1-AD137))</f>
        <v>141992.67580374712</v>
      </c>
      <c r="AK137" s="11">
        <f>IF($A137&gt;'1-Input'!$B$26,0,IF(AP136&lt;=0,0,MAX(0,(AP136-AQ136)/AP136)))</f>
        <v>0.45154695334641537</v>
      </c>
      <c r="AL137" s="18">
        <f>IF($A137&gt;'1-Input'!$B$26,0,(MAX(0,AK121-IF($A137&gt;='1-Input'!$C$12,'1-Input'!$B$12,0))-MIN(MAX(AO136,0),MAX(0,AK121-IF($A137&gt;='1-Input'!$C$12,'1-Input'!$B$12,0))))*(1/(1-'P-Parametri'!$B$6*AK137))+MIN(MAX(0,AP136-(MAX(0,AK121-IF($A137&gt;='1-Input'!$C$12,'1-Input'!$B$12,0))-MIN(MAX(AO136,0),MAX(0,AK121-IF($A137&gt;='1-Input'!$C$12,'1-Input'!$B$12,0))))*(1/(1-'P-Parametri'!$B$6*AK137))),MAX(0,1*MAX(0,AK121-IF($A137&gt;='1-Input'!$C$12,'1-Input'!$B$12,0))-(AO136-MIN(MAX(AO136,0),MAX(0,AK121-IF($A137&gt;='1-Input'!$C$12,'1-Input'!$B$12,0)))))*(1/(1-'P-Parametri'!$B$6*AK137))))</f>
        <v>21017.829213638961</v>
      </c>
      <c r="AM137" s="18">
        <f>IF($A137&gt;'1-Input'!$B$26,AO136,(AO136-MAX(0,AK121-IF($A137&gt;='1-Input'!$C$12,'1-Input'!$B$12,0))+AL137*(1-'P-Parametri'!$B$6*AK137))*(1+'1-Input'!$B$27))</f>
        <v>18417.206672527071</v>
      </c>
      <c r="AN137" s="18">
        <f>IF($A137&gt;'1-Input'!$B$26,AP136,(AP136-AL137)*(1+'5-Roberta'!$C$4))</f>
        <v>266662.69489893276</v>
      </c>
      <c r="AO137" s="18">
        <f>IF($A137&gt;'1-Input'!$B$26,AM137,AM137-'P-Parametri'!$B$8*(AN137+AM137)+MIN(MAX(AN137,0),'P-Parametri'!$B$8*(AN137+AM137)))</f>
        <v>18417.206672527071</v>
      </c>
      <c r="AP137" s="18">
        <f>IF($A137&gt;'1-Input'!$B$26,AN137,AN137-MIN(MAX(AN137,0),'P-Parametri'!$B$8*(AN137+AM137)))</f>
        <v>266092.53509578982</v>
      </c>
      <c r="AQ137" s="18">
        <f>IF($A137&gt;'1-Input'!$B$26,AQ136,AQ136-AL137*(1-AK137))</f>
        <v>141992.20140405337</v>
      </c>
    </row>
    <row r="138" spans="1:43">
      <c r="A138" s="10">
        <f>15</f>
        <v>15</v>
      </c>
      <c r="B138" s="11">
        <f>IF($A138&gt;'1-Input'!$B$26,0,IF(G137&lt;=0,0,MAX(0,(G137-H137)/G137)))</f>
        <v>0.46650469363610608</v>
      </c>
      <c r="C138" s="18">
        <f>IF($A138&gt;'1-Input'!$B$26,0,(MAX(0,B121-IF($A138&gt;='1-Input'!$C$12,'1-Input'!$B$12,0))-MIN(MAX(F137,0),MAX(0,B121-IF($A138&gt;='1-Input'!$C$12,'1-Input'!$B$12,0))))*(1/(1-'P-Parametri'!$B$6*B138))+MIN(MAX(0,G137-(MAX(0,B121-IF($A138&gt;='1-Input'!$C$12,'1-Input'!$B$12,0))-MIN(MAX(F137,0),MAX(0,B121-IF($A138&gt;='1-Input'!$C$12,'1-Input'!$B$12,0))))*(1/(1-'P-Parametri'!$B$6*B138))),MAX(0,1*MAX(0,B121-IF($A138&gt;='1-Input'!$C$12,'1-Input'!$B$12,0))-(F137-MIN(MAX(F137,0),MAX(0,B121-IF($A138&gt;='1-Input'!$C$12,'1-Input'!$B$12,0)))))*(1/(1-'P-Parametri'!$B$6*B138))))</f>
        <v>19051.940189261291</v>
      </c>
      <c r="D138" s="18">
        <f>IF($A138&gt;'1-Input'!$B$26,F137,(F137-MAX(0,B121-IF($A138&gt;='1-Input'!$C$12,'1-Input'!$B$12,0))+C138*(1-'P-Parametri'!$B$6*B138))*(1+'1-Input'!$B$27))</f>
        <v>16621.00351549315</v>
      </c>
      <c r="E138" s="18">
        <f>IF($A138&gt;'1-Input'!$B$26,G137,(G137-C138)*(1+'5-Roberta'!$C$4))</f>
        <v>292574.15633511194</v>
      </c>
      <c r="F138" s="18">
        <f>IF($A138&gt;'1-Input'!$B$26,D138,D138-'P-Parametri'!$B$8*(E138+D138)+MIN(MAX(E138,0),'P-Parametri'!$B$8*(E138+D138)))</f>
        <v>16621.00351549315</v>
      </c>
      <c r="G138" s="18">
        <f>IF($A138&gt;'1-Input'!$B$26,E138,E138-MIN(MAX(E138,0),'P-Parametri'!$B$8*(E138+D138)))</f>
        <v>291955.76601541071</v>
      </c>
      <c r="H138" s="18">
        <f>IF($A138&gt;'1-Input'!$B$26,H137,H137-C138*(1-B138))</f>
        <v>151540.71763898869</v>
      </c>
      <c r="I138" s="11">
        <f>IF($A138&gt;'1-Input'!$B$26,0,IF(N137&lt;=0,0,MAX(0,(N137-O137)/N137)))</f>
        <v>0.46607613060715308</v>
      </c>
      <c r="J138" s="18">
        <f>IF($A138&gt;'1-Input'!$B$26,0,(MAX(0,I121-IF($A138&gt;='1-Input'!$C$12,'1-Input'!$B$12,0))-MIN(MAX(M137,0),MAX(0,I121-IF($A138&gt;='1-Input'!$C$12,'1-Input'!$B$12,0))))*(1/(1-'P-Parametri'!$B$6*I138))+MIN(MAX(0,N137-(MAX(0,I121-IF($A138&gt;='1-Input'!$C$12,'1-Input'!$B$12,0))-MIN(MAX(M137,0),MAX(0,I121-IF($A138&gt;='1-Input'!$C$12,'1-Input'!$B$12,0))))*(1/(1-'P-Parametri'!$B$6*I138))),MAX(0,1*MAX(0,I121-IF($A138&gt;='1-Input'!$C$12,'1-Input'!$B$12,0))-(M137-MIN(MAX(M137,0),MAX(0,I121-IF($A138&gt;='1-Input'!$C$12,'1-Input'!$B$12,0)))))*(1/(1-'P-Parametri'!$B$6*I138))))</f>
        <v>25065.163917097041</v>
      </c>
      <c r="K138" s="18">
        <f>IF($A138&gt;'1-Input'!$B$26,M137,(M137-MAX(0,I121-IF($A138&gt;='1-Input'!$C$12,'1-Input'!$B$12,0))+J138*(1-'P-Parametri'!$B$6*I138))*(1+'1-Input'!$B$27))</f>
        <v>21869.741467754149</v>
      </c>
      <c r="L138" s="18">
        <f>IF($A138&gt;'1-Input'!$B$26,N137,(N137-J138)*(1+'5-Roberta'!$C$4))</f>
        <v>174986.54063346607</v>
      </c>
      <c r="M138" s="18">
        <f>IF($A138&gt;'1-Input'!$B$26,K138,K138-'P-Parametri'!$B$8*(L138+K138)+MIN(MAX(L138,0),'P-Parametri'!$B$8*(L138+K138)))</f>
        <v>21869.741467754149</v>
      </c>
      <c r="N138" s="18">
        <f>IF($A138&gt;'1-Input'!$B$26,L138,L138-MIN(MAX(L138,0),'P-Parametri'!$B$8*(L138+K138)))</f>
        <v>174592.82806926363</v>
      </c>
      <c r="O138" s="18">
        <f>IF($A138&gt;'1-Input'!$B$26,O137,O137-J138*(1-I138))</f>
        <v>90708.243559892071</v>
      </c>
      <c r="P138" s="11">
        <f>IF($A138&gt;'1-Input'!$B$26,0,IF(U137&lt;=0,0,MAX(0,(U137-V137)/U137)))</f>
        <v>0.46636041117354782</v>
      </c>
      <c r="Q138" s="18">
        <f>IF($A138&gt;'1-Input'!$B$26,0,(MAX(0,P121-IF($A138&gt;='1-Input'!$C$12,'1-Input'!$B$12,0))-MIN(MAX(T137,0),MAX(0,P121-IF($A138&gt;='1-Input'!$C$12,'1-Input'!$B$12,0))))*(1/(1-'P-Parametri'!$B$6*P138))+MIN(MAX(0,U137-(MAX(0,P121-IF($A138&gt;='1-Input'!$C$12,'1-Input'!$B$12,0))-MIN(MAX(T137,0),MAX(0,P121-IF($A138&gt;='1-Input'!$C$12,'1-Input'!$B$12,0))))*(1/(1-'P-Parametri'!$B$6*P138))),MAX(0,1*MAX(0,P121-IF($A138&gt;='1-Input'!$C$12,'1-Input'!$B$12,0))-(T137-MIN(MAX(T137,0),MAX(0,P121-IF($A138&gt;='1-Input'!$C$12,'1-Input'!$B$12,0)))))*(1/(1-'P-Parametri'!$B$6*P138))))</f>
        <v>21413.702225172809</v>
      </c>
      <c r="R138" s="18">
        <f>IF($A138&gt;'1-Input'!$B$26,T137,(T137-MAX(0,P121-IF($A138&gt;='1-Input'!$C$12,'1-Input'!$B$12,0))+Q138*(1-'P-Parametri'!$B$6*P138))*(1+'1-Input'!$B$27))</f>
        <v>18682.213521902777</v>
      </c>
      <c r="S138" s="18">
        <f>IF($A138&gt;'1-Input'!$B$26,U137,(U137-Q138)*(1+'5-Roberta'!$C$4))</f>
        <v>246394.85405193365</v>
      </c>
      <c r="T138" s="18">
        <f>IF($A138&gt;'1-Input'!$B$26,R138,R138-'P-Parametri'!$B$8*(S138+R138)+MIN(MAX(S138,0),'P-Parametri'!$B$8*(S138+R138)))</f>
        <v>18682.213521902777</v>
      </c>
      <c r="U138" s="18">
        <f>IF($A138&gt;'1-Input'!$B$26,S138,S138-MIN(MAX(S138,0),'P-Parametri'!$B$8*(S138+R138)))</f>
        <v>245864.69991678599</v>
      </c>
      <c r="V138" s="18">
        <f>IF($A138&gt;'1-Input'!$B$26,V137,V137-Q138*(1-P138))</f>
        <v>127656.35786915298</v>
      </c>
      <c r="W138" s="11">
        <f>IF($A138&gt;'1-Input'!$B$26,0,IF(AB137&lt;=0,0,MAX(0,(AB137-AC137)/AB137)))</f>
        <v>0.46637984830448681</v>
      </c>
      <c r="X138" s="18">
        <f>IF($A138&gt;'1-Input'!$B$26,0,(MAX(0,W121-IF($A138&gt;='1-Input'!$C$12,'1-Input'!$B$12,0))-MIN(MAX(AA137,0),MAX(0,W121-IF($A138&gt;='1-Input'!$C$12,'1-Input'!$B$12,0))))*(1/(1-'P-Parametri'!$B$6*W138))+MIN(MAX(0,AB137-(MAX(0,W121-IF($A138&gt;='1-Input'!$C$12,'1-Input'!$B$12,0))-MIN(MAX(AA137,0),MAX(0,W121-IF($A138&gt;='1-Input'!$C$12,'1-Input'!$B$12,0))))*(1/(1-'P-Parametri'!$B$6*W138))),MAX(0,1*MAX(0,W121-IF($A138&gt;='1-Input'!$C$12,'1-Input'!$B$12,0))-(AA137-MIN(MAX(AA137,0),MAX(0,W121-IF($A138&gt;='1-Input'!$C$12,'1-Input'!$B$12,0)))))*(1/(1-'P-Parametri'!$B$6*W138))))</f>
        <v>21118.027361573109</v>
      </c>
      <c r="Y138" s="18">
        <f>IF($A138&gt;'1-Input'!$B$26,AA137,(AA137-MAX(0,W121-IF($A138&gt;='1-Input'!$C$12,'1-Input'!$B$12,0))+X138*(1-'P-Parametri'!$B$6*W138))*(1+'1-Input'!$B$27))</f>
        <v>18424.148390510632</v>
      </c>
      <c r="Z138" s="18">
        <f>IF($A138&gt;'1-Input'!$B$26,AB137,(AB137-X138)*(1+'5-Roberta'!$C$4))</f>
        <v>252176.41575854892</v>
      </c>
      <c r="AA138" s="18">
        <f>IF($A138&gt;'1-Input'!$B$26,Y138,Y138-'P-Parametri'!$B$8*(Z138+Y138)+MIN(MAX(Z138,0),'P-Parametri'!$B$8*(Z138+Y138)))</f>
        <v>18424.148390510632</v>
      </c>
      <c r="AB138" s="18">
        <f>IF($A138&gt;'1-Input'!$B$26,Z138,Z138-MIN(MAX(Z138,0),'P-Parametri'!$B$8*(Z138+Y138)))</f>
        <v>251635.21463025079</v>
      </c>
      <c r="AC138" s="18">
        <f>IF($A138&gt;'1-Input'!$B$26,AC137,AC137-X138*(1-W138))</f>
        <v>130647.00702049288</v>
      </c>
      <c r="AD138" s="11">
        <f>IF($A138&gt;'1-Input'!$B$26,0,IF(AI137&lt;=0,0,MAX(0,(AI137-AJ137)/AI137)))</f>
        <v>0.46638036840530828</v>
      </c>
      <c r="AE138" s="18">
        <f>IF($A138&gt;'1-Input'!$B$26,0,(MAX(0,AD121-IF($A138&gt;='1-Input'!$C$12,'1-Input'!$B$12,0))-MIN(MAX(AH137,0),MAX(0,AD121-IF($A138&gt;='1-Input'!$C$12,'1-Input'!$B$12,0))))*(1/(1-'P-Parametri'!$B$6*AD138))+MIN(MAX(0,AI137-(MAX(0,AD121-IF($A138&gt;='1-Input'!$C$12,'1-Input'!$B$12,0))-MIN(MAX(AH137,0),MAX(0,AD121-IF($A138&gt;='1-Input'!$C$12,'1-Input'!$B$12,0))))*(1/(1-'P-Parametri'!$B$6*AD138))),MAX(0,1*MAX(0,AD121-IF($A138&gt;='1-Input'!$C$12,'1-Input'!$B$12,0))-(AH137-MIN(MAX(AH137,0),MAX(0,AD121-IF($A138&gt;='1-Input'!$C$12,'1-Input'!$B$12,0)))))*(1/(1-'P-Parametri'!$B$6*AD138))))</f>
        <v>21110.024368753657</v>
      </c>
      <c r="AF138" s="18">
        <f>IF($A138&gt;'1-Input'!$B$26,AH137,(AH137-MAX(0,AD121-IF($A138&gt;='1-Input'!$C$12,'1-Input'!$B$12,0))+AE138*(1-'P-Parametri'!$B$6*AD138))*(1+'1-Input'!$B$27))</f>
        <v>18417.163449332857</v>
      </c>
      <c r="AG138" s="18">
        <f>IF($A138&gt;'1-Input'!$B$26,AI137,(AI137-AE138)*(1+'5-Roberta'!$C$4))</f>
        <v>252332.90339423754</v>
      </c>
      <c r="AH138" s="18">
        <f>IF($A138&gt;'1-Input'!$B$26,AF138,AF138-'P-Parametri'!$B$8*(AG138+AF138)+MIN(MAX(AG138,0),'P-Parametri'!$B$8*(AG138+AF138)))</f>
        <v>18417.163449332857</v>
      </c>
      <c r="AI138" s="18">
        <f>IF($A138&gt;'1-Input'!$B$26,AG138,AG138-MIN(MAX(AG138,0),'P-Parametri'!$B$8*(AG138+AF138)))</f>
        <v>251791.4032605504</v>
      </c>
      <c r="AJ138" s="18">
        <f>IF($A138&gt;'1-Input'!$B$26,AJ137,AJ137-AE138*(1-AD138))</f>
        <v>130727.95237713783</v>
      </c>
      <c r="AK138" s="11">
        <f>IF($A138&gt;'1-Input'!$B$26,0,IF(AP137&lt;=0,0,MAX(0,(AP137-AQ137)/AP137)))</f>
        <v>0.46638036518785453</v>
      </c>
      <c r="AL138" s="18">
        <f>IF($A138&gt;'1-Input'!$B$26,0,(MAX(0,AK121-IF($A138&gt;='1-Input'!$C$12,'1-Input'!$B$12,0))-MIN(MAX(AO137,0),MAX(0,AK121-IF($A138&gt;='1-Input'!$C$12,'1-Input'!$B$12,0))))*(1/(1-'P-Parametri'!$B$6*AK138))+MIN(MAX(0,AP137-(MAX(0,AK121-IF($A138&gt;='1-Input'!$C$12,'1-Input'!$B$12,0))-MIN(MAX(AO137,0),MAX(0,AK121-IF($A138&gt;='1-Input'!$C$12,'1-Input'!$B$12,0))))*(1/(1-'P-Parametri'!$B$6*AK138))),MAX(0,1*MAX(0,AK121-IF($A138&gt;='1-Input'!$C$12,'1-Input'!$B$12,0))-(AO137-MIN(MAX(AO137,0),MAX(0,AK121-IF($A138&gt;='1-Input'!$C$12,'1-Input'!$B$12,0)))))*(1/(1-'P-Parametri'!$B$6*AK138))))</f>
        <v>21110.073891720116</v>
      </c>
      <c r="AM138" s="18">
        <f>IF($A138&gt;'1-Input'!$B$26,AO137,(AO137-MAX(0,AK121-IF($A138&gt;='1-Input'!$C$12,'1-Input'!$B$12,0))+AL138*(1-'P-Parametri'!$B$6*AK138))*(1+'1-Input'!$B$27))</f>
        <v>18417.206672527071</v>
      </c>
      <c r="AN138" s="18">
        <f>IF($A138&gt;'1-Input'!$B$26,AP137,(AP137-AL138)*(1+'5-Roberta'!$C$4))</f>
        <v>252331.93504019181</v>
      </c>
      <c r="AO138" s="18">
        <f>IF($A138&gt;'1-Input'!$B$26,AM138,AM138-'P-Parametri'!$B$8*(AN138+AM138)+MIN(MAX(AN138,0),'P-Parametri'!$B$8*(AN138+AM138)))</f>
        <v>18417.206672527071</v>
      </c>
      <c r="AP138" s="18">
        <f>IF($A138&gt;'1-Input'!$B$26,AN138,AN138-MIN(MAX(AN138,0),'P-Parametri'!$B$8*(AN138+AM138)))</f>
        <v>251790.43675676637</v>
      </c>
      <c r="AQ138" s="18">
        <f>IF($A138&gt;'1-Input'!$B$26,AQ137,AQ137-AL138*(1-AK138))</f>
        <v>130727.45148309627</v>
      </c>
    </row>
    <row r="139" spans="1:43">
      <c r="A139" s="10">
        <f>16</f>
        <v>16</v>
      </c>
      <c r="B139" s="11">
        <f>IF($A139&gt;'1-Input'!$B$26,0,IF(G138&lt;=0,0,MAX(0,(G138-H138)/G138)))</f>
        <v>0.48094631009620237</v>
      </c>
      <c r="C139" s="18">
        <f>IF($A139&gt;'1-Input'!$B$26,0,(MAX(0,B121-IF($A139&gt;='1-Input'!$C$12,'1-Input'!$B$12,0))-MIN(MAX(F138,0),MAX(0,B121-IF($A139&gt;='1-Input'!$C$12,'1-Input'!$B$12,0))))*(1/(1-'P-Parametri'!$B$6*B139))+MIN(MAX(0,G138-(MAX(0,B121-IF($A139&gt;='1-Input'!$C$12,'1-Input'!$B$12,0))-MIN(MAX(F138,0),MAX(0,B121-IF($A139&gt;='1-Input'!$C$12,'1-Input'!$B$12,0))))*(1/(1-'P-Parametri'!$B$6*B139))),MAX(0,1*MAX(0,B121-IF($A139&gt;='1-Input'!$C$12,'1-Input'!$B$12,0))-(F138-MIN(MAX(F138,0),MAX(0,B121-IF($A139&gt;='1-Input'!$C$12,'1-Input'!$B$12,0)))))*(1/(1-'P-Parametri'!$B$6*B139))))</f>
        <v>19133.70061862142</v>
      </c>
      <c r="D139" s="18">
        <f>IF($A139&gt;'1-Input'!$B$26,F138,(F138-MAX(0,B121-IF($A139&gt;='1-Input'!$C$12,'1-Input'!$B$12,0))+C139*(1-'P-Parametri'!$B$6*B139))*(1+'1-Input'!$B$27))</f>
        <v>16621.00351549315</v>
      </c>
      <c r="E139" s="18">
        <f>IF($A139&gt;'1-Input'!$B$26,G138,(G138-C139)*(1+'5-Roberta'!$C$4))</f>
        <v>281006.72735869297</v>
      </c>
      <c r="F139" s="18">
        <f>IF($A139&gt;'1-Input'!$B$26,D139,D139-'P-Parametri'!$B$8*(E139+D139)+MIN(MAX(E139,0),'P-Parametri'!$B$8*(E139+D139)))</f>
        <v>16621.00351549315</v>
      </c>
      <c r="G139" s="18">
        <f>IF($A139&gt;'1-Input'!$B$26,E139,E139-MIN(MAX(E139,0),'P-Parametri'!$B$8*(E139+D139)))</f>
        <v>280411.47189694457</v>
      </c>
      <c r="H139" s="18">
        <f>IF($A139&gt;'1-Input'!$B$26,H138,H138-C139*(1-B139))</f>
        <v>141609.29973137868</v>
      </c>
      <c r="I139" s="11">
        <f>IF($A139&gt;'1-Input'!$B$26,0,IF(N138&lt;=0,0,MAX(0,(N138-O138)/N138)))</f>
        <v>0.48045836382290152</v>
      </c>
      <c r="J139" s="18">
        <f>IF($A139&gt;'1-Input'!$B$26,0,(MAX(0,I121-IF($A139&gt;='1-Input'!$C$12,'1-Input'!$B$12,0))-MIN(MAX(M138,0),MAX(0,I121-IF($A139&gt;='1-Input'!$C$12,'1-Input'!$B$12,0))))*(1/(1-'P-Parametri'!$B$6*I139))+MIN(MAX(0,N138-(MAX(0,I121-IF($A139&gt;='1-Input'!$C$12,'1-Input'!$B$12,0))-MIN(MAX(M138,0),MAX(0,I121-IF($A139&gt;='1-Input'!$C$12,'1-Input'!$B$12,0))))*(1/(1-'P-Parametri'!$B$6*I139))),MAX(0,1*MAX(0,I121-IF($A139&gt;='1-Input'!$C$12,'1-Input'!$B$12,0))-(M138-MIN(MAX(M138,0),MAX(0,I121-IF($A139&gt;='1-Input'!$C$12,'1-Input'!$B$12,0)))))*(1/(1-'P-Parametri'!$B$6*I139))))</f>
        <v>25172.271953144606</v>
      </c>
      <c r="K139" s="18">
        <f>IF($A139&gt;'1-Input'!$B$26,M138,(M138-MAX(0,I121-IF($A139&gt;='1-Input'!$C$12,'1-Input'!$B$12,0))+J139*(1-'P-Parametri'!$B$6*I139))*(1+'1-Input'!$B$27))</f>
        <v>21869.741467754146</v>
      </c>
      <c r="L139" s="18">
        <f>IF($A139&gt;'1-Input'!$B$26,N138,(N138-J139)*(1+'5-Roberta'!$C$4))</f>
        <v>153903.17279960259</v>
      </c>
      <c r="M139" s="18">
        <f>IF($A139&gt;'1-Input'!$B$26,K139,K139-'P-Parametri'!$B$8*(L139+K139)+MIN(MAX(L139,0),'P-Parametri'!$B$8*(L139+K139)))</f>
        <v>21869.741467754146</v>
      </c>
      <c r="N139" s="18">
        <f>IF($A139&gt;'1-Input'!$B$26,L139,L139-MIN(MAX(L139,0),'P-Parametri'!$B$8*(L139+K139)))</f>
        <v>153551.62697106786</v>
      </c>
      <c r="O139" s="18">
        <f>IF($A139&gt;'1-Input'!$B$26,O138,O138-J139*(1-I139))</f>
        <v>77630.200203060434</v>
      </c>
      <c r="P139" s="11">
        <f>IF($A139&gt;'1-Input'!$B$26,0,IF(U138&lt;=0,0,MAX(0,(U138-V138)/U138)))</f>
        <v>0.48078614818492099</v>
      </c>
      <c r="Q139" s="18">
        <f>IF($A139&gt;'1-Input'!$B$26,0,(MAX(0,P121-IF($A139&gt;='1-Input'!$C$12,'1-Input'!$B$12,0))-MIN(MAX(T138,0),MAX(0,P121-IF($A139&gt;='1-Input'!$C$12,'1-Input'!$B$12,0))))*(1/(1-'P-Parametri'!$B$6*P139))+MIN(MAX(0,U138-(MAX(0,P121-IF($A139&gt;='1-Input'!$C$12,'1-Input'!$B$12,0))-MIN(MAX(T138,0),MAX(0,P121-IF($A139&gt;='1-Input'!$C$12,'1-Input'!$B$12,0))))*(1/(1-'P-Parametri'!$B$6*P139))),MAX(0,1*MAX(0,P121-IF($A139&gt;='1-Input'!$C$12,'1-Input'!$B$12,0))-(T138-MIN(MAX(T138,0),MAX(0,P121-IF($A139&gt;='1-Input'!$C$12,'1-Input'!$B$12,0)))))*(1/(1-'P-Parametri'!$B$6*P139))))</f>
        <v>21505.492622081474</v>
      </c>
      <c r="R139" s="18">
        <f>IF($A139&gt;'1-Input'!$B$26,T138,(T138-MAX(0,P121-IF($A139&gt;='1-Input'!$C$12,'1-Input'!$B$12,0))+Q139*(1-'P-Parametri'!$B$6*P139))*(1+'1-Input'!$B$27))</f>
        <v>18682.213521902773</v>
      </c>
      <c r="S139" s="18">
        <f>IF($A139&gt;'1-Input'!$B$26,U138,(U138-Q139)*(1+'5-Roberta'!$C$4))</f>
        <v>231089.98351354565</v>
      </c>
      <c r="T139" s="18">
        <f>IF($A139&gt;'1-Input'!$B$26,R139,R139-'P-Parametri'!$B$8*(S139+R139)+MIN(MAX(S139,0),'P-Parametri'!$B$8*(S139+R139)))</f>
        <v>18682.213521902773</v>
      </c>
      <c r="U139" s="18">
        <f>IF($A139&gt;'1-Input'!$B$26,S139,S139-MIN(MAX(S139,0),'P-Parametri'!$B$8*(S139+R139)))</f>
        <v>230590.43911947476</v>
      </c>
      <c r="V139" s="18">
        <f>IF($A139&gt;'1-Input'!$B$26,V138,V138-Q139*(1-P139))</f>
        <v>116490.4082096613</v>
      </c>
      <c r="W139" s="11">
        <f>IF($A139&gt;'1-Input'!$B$26,0,IF(AB138&lt;=0,0,MAX(0,(AB138-AC138)/AB138)))</f>
        <v>0.48080793376847619</v>
      </c>
      <c r="X139" s="18">
        <f>IF($A139&gt;'1-Input'!$B$26,0,(MAX(0,W121-IF($A139&gt;='1-Input'!$C$12,'1-Input'!$B$12,0))-MIN(MAX(AA138,0),MAX(0,W121-IF($A139&gt;='1-Input'!$C$12,'1-Input'!$B$12,0))))*(1/(1-'P-Parametri'!$B$6*W139))+MIN(MAX(0,AB138-(MAX(0,W121-IF($A139&gt;='1-Input'!$C$12,'1-Input'!$B$12,0))-MIN(MAX(AA138,0),MAX(0,W121-IF($A139&gt;='1-Input'!$C$12,'1-Input'!$B$12,0))))*(1/(1-'P-Parametri'!$B$6*W139))),MAX(0,1*MAX(0,W121-IF($A139&gt;='1-Input'!$C$12,'1-Input'!$B$12,0))-(AA138-MIN(MAX(AA138,0),MAX(0,W121-IF($A139&gt;='1-Input'!$C$12,'1-Input'!$B$12,0)))))*(1/(1-'P-Parametri'!$B$6*W139))))</f>
        <v>21208.565663291905</v>
      </c>
      <c r="Y139" s="18">
        <f>IF($A139&gt;'1-Input'!$B$26,AA138,(AA138-MAX(0,W121-IF($A139&gt;='1-Input'!$C$12,'1-Input'!$B$12,0))+X139*(1-'P-Parametri'!$B$6*W139))*(1+'1-Input'!$B$27))</f>
        <v>18424.148390510636</v>
      </c>
      <c r="Z139" s="18">
        <f>IF($A139&gt;'1-Input'!$B$26,AB138,(AB138-X139)*(1+'5-Roberta'!$C$4))</f>
        <v>237339.44843596767</v>
      </c>
      <c r="AA139" s="18">
        <f>IF($A139&gt;'1-Input'!$B$26,Y139,Y139-'P-Parametri'!$B$8*(Z139+Y139)+MIN(MAX(Z139,0),'P-Parametri'!$B$8*(Z139+Y139)))</f>
        <v>18424.148390510636</v>
      </c>
      <c r="AB139" s="18">
        <f>IF($A139&gt;'1-Input'!$B$26,Z139,Z139-MIN(MAX(Z139,0),'P-Parametri'!$B$8*(Z139+Y139)))</f>
        <v>236827.92124231471</v>
      </c>
      <c r="AC139" s="18">
        <f>IF($A139&gt;'1-Input'!$B$26,AC138,AC138-X139*(1-W139))</f>
        <v>119635.6879919614</v>
      </c>
      <c r="AD139" s="11">
        <f>IF($A139&gt;'1-Input'!$B$26,0,IF(AI138&lt;=0,0,MAX(0,(AI138-AJ138)/AI138)))</f>
        <v>0.48080851576230232</v>
      </c>
      <c r="AE139" s="18">
        <f>IF($A139&gt;'1-Input'!$B$26,0,(MAX(0,AD121-IF($A139&gt;='1-Input'!$C$12,'1-Input'!$B$12,0))-MIN(MAX(AH138,0),MAX(0,AD121-IF($A139&gt;='1-Input'!$C$12,'1-Input'!$B$12,0))))*(1/(1-'P-Parametri'!$B$6*AD139))+MIN(MAX(0,AI138-(MAX(0,AD121-IF($A139&gt;='1-Input'!$C$12,'1-Input'!$B$12,0))-MIN(MAX(AH138,0),MAX(0,AD121-IF($A139&gt;='1-Input'!$C$12,'1-Input'!$B$12,0))))*(1/(1-'P-Parametri'!$B$6*AD139))),MAX(0,1*MAX(0,AD121-IF($A139&gt;='1-Input'!$C$12,'1-Input'!$B$12,0))-(AH138-MIN(MAX(AH138,0),MAX(0,AD121-IF($A139&gt;='1-Input'!$C$12,'1-Input'!$B$12,0)))))*(1/(1-'P-Parametri'!$B$6*AD139))))</f>
        <v>21200.5287635186</v>
      </c>
      <c r="AF139" s="18">
        <f>IF($A139&gt;'1-Input'!$B$26,AH138,(AH138-MAX(0,AD121-IF($A139&gt;='1-Input'!$C$12,'1-Input'!$B$12,0))+AE139*(1-'P-Parametri'!$B$6*AD139))*(1+'1-Input'!$B$27))</f>
        <v>18417.163449332857</v>
      </c>
      <c r="AG139" s="18">
        <f>IF($A139&gt;'1-Input'!$B$26,AI138,(AI138-AE139)*(1+'5-Roberta'!$C$4))</f>
        <v>237508.60073194274</v>
      </c>
      <c r="AH139" s="18">
        <f>IF($A139&gt;'1-Input'!$B$26,AF139,AF139-'P-Parametri'!$B$8*(AG139+AF139)+MIN(MAX(AG139,0),'P-Parametri'!$B$8*(AG139+AF139)))</f>
        <v>18417.163449332857</v>
      </c>
      <c r="AI139" s="18">
        <f>IF($A139&gt;'1-Input'!$B$26,AG139,AG139-MIN(MAX(AG139,0),'P-Parametri'!$B$8*(AG139+AF139)))</f>
        <v>236996.7492035802</v>
      </c>
      <c r="AJ139" s="18">
        <f>IF($A139&gt;'1-Input'!$B$26,AJ138,AJ138-AE139*(1-AD139))</f>
        <v>119720.81838178261</v>
      </c>
      <c r="AK139" s="11">
        <f>IF($A139&gt;'1-Input'!$B$26,0,IF(AP138&lt;=0,0,MAX(0,(AP138-AQ138)/AP138)))</f>
        <v>0.48080851216211556</v>
      </c>
      <c r="AL139" s="18">
        <f>IF($A139&gt;'1-Input'!$B$26,0,(MAX(0,AK121-IF($A139&gt;='1-Input'!$C$12,'1-Input'!$B$12,0))-MIN(MAX(AO138,0),MAX(0,AK121-IF($A139&gt;='1-Input'!$C$12,'1-Input'!$B$12,0))))*(1/(1-'P-Parametri'!$B$6*AK139))+MIN(MAX(0,AP138-(MAX(0,AK121-IF($A139&gt;='1-Input'!$C$12,'1-Input'!$B$12,0))-MIN(MAX(AO138,0),MAX(0,AK121-IF($A139&gt;='1-Input'!$C$12,'1-Input'!$B$12,0))))*(1/(1-'P-Parametri'!$B$6*AK139))),MAX(0,1*MAX(0,AK121-IF($A139&gt;='1-Input'!$C$12,'1-Input'!$B$12,0))-(AO138-MIN(MAX(AO138,0),MAX(0,AK121-IF($A139&gt;='1-Input'!$C$12,'1-Input'!$B$12,0)))))*(1/(1-'P-Parametri'!$B$6*AK139))))</f>
        <v>21200.578496305814</v>
      </c>
      <c r="AM139" s="18">
        <f>IF($A139&gt;'1-Input'!$B$26,AO138,(AO138-MAX(0,AK121-IF($A139&gt;='1-Input'!$C$12,'1-Input'!$B$12,0))+AL139*(1-'P-Parametri'!$B$6*AK139))*(1+'1-Input'!$B$27))</f>
        <v>18417.206672527071</v>
      </c>
      <c r="AN139" s="18">
        <f>IF($A139&gt;'1-Input'!$B$26,AP138,(AP138-AL139)*(1+'5-Roberta'!$C$4))</f>
        <v>237507.55400827437</v>
      </c>
      <c r="AO139" s="18">
        <f>IF($A139&gt;'1-Input'!$B$26,AM139,AM139-'P-Parametri'!$B$8*(AN139+AM139)+MIN(MAX(AN139,0),'P-Parametri'!$B$8*(AN139+AM139)))</f>
        <v>18417.206672527071</v>
      </c>
      <c r="AP139" s="18">
        <f>IF($A139&gt;'1-Input'!$B$26,AN139,AN139-MIN(MAX(AN139,0),'P-Parametri'!$B$8*(AN139+AM139)))</f>
        <v>236995.70448691276</v>
      </c>
      <c r="AQ139" s="18">
        <f>IF($A139&gt;'1-Input'!$B$26,AQ138,AQ138-AL139*(1-AK139))</f>
        <v>119720.29159057539</v>
      </c>
    </row>
    <row r="140" spans="1:43">
      <c r="A140" s="10">
        <f>17</f>
        <v>17</v>
      </c>
      <c r="B140" s="11">
        <f>IF($A140&gt;'1-Input'!$B$26,0,IF(G139&lt;=0,0,MAX(0,(G139-H139)/G139)))</f>
        <v>0.49499462781101117</v>
      </c>
      <c r="C140" s="18">
        <f>IF($A140&gt;'1-Input'!$B$26,0,(MAX(0,B121-IF($A140&gt;='1-Input'!$C$12,'1-Input'!$B$12,0))-MIN(MAX(F139,0),MAX(0,B121-IF($A140&gt;='1-Input'!$C$12,'1-Input'!$B$12,0))))*(1/(1-'P-Parametri'!$B$6*B140))+MIN(MAX(0,G139-(MAX(0,B121-IF($A140&gt;='1-Input'!$C$12,'1-Input'!$B$12,0))-MIN(MAX(F139,0),MAX(0,B121-IF($A140&gt;='1-Input'!$C$12,'1-Input'!$B$12,0))))*(1/(1-'P-Parametri'!$B$6*B140))),MAX(0,1*MAX(0,B121-IF($A140&gt;='1-Input'!$C$12,'1-Input'!$B$12,0))-(F139-MIN(MAX(F139,0),MAX(0,B121-IF($A140&gt;='1-Input'!$C$12,'1-Input'!$B$12,0)))))*(1/(1-'P-Parametri'!$B$6*B140))))</f>
        <v>19213.910566235711</v>
      </c>
      <c r="D140" s="18">
        <f>IF($A140&gt;'1-Input'!$B$26,F139,(F139-MAX(0,B121-IF($A140&gt;='1-Input'!$C$12,'1-Input'!$B$12,0))+C140*(1-'P-Parametri'!$B$6*B140))*(1+'1-Input'!$B$27))</f>
        <v>16621.00351549315</v>
      </c>
      <c r="E140" s="18">
        <f>IF($A140&gt;'1-Input'!$B$26,G139,(G139-C140)*(1+'5-Roberta'!$C$4))</f>
        <v>269033.48817063012</v>
      </c>
      <c r="F140" s="18">
        <f>IF($A140&gt;'1-Input'!$B$26,D140,D140-'P-Parametri'!$B$8*(E140+D140)+MIN(MAX(E140,0),'P-Parametri'!$B$8*(E140+D140)))</f>
        <v>16621.00351549315</v>
      </c>
      <c r="G140" s="18">
        <f>IF($A140&gt;'1-Input'!$B$26,E140,E140-MIN(MAX(E140,0),'P-Parametri'!$B$8*(E140+D140)))</f>
        <v>268462.17918725789</v>
      </c>
      <c r="H140" s="18">
        <f>IF($A140&gt;'1-Input'!$B$26,H139,H139-C140*(1-B140))</f>
        <v>131906.17167467086</v>
      </c>
      <c r="I140" s="11">
        <f>IF($A140&gt;'1-Input'!$B$26,0,IF(N139&lt;=0,0,MAX(0,(N139-O139)/N139)))</f>
        <v>0.49443583415962444</v>
      </c>
      <c r="J140" s="18">
        <f>IF($A140&gt;'1-Input'!$B$26,0,(MAX(0,I121-IF($A140&gt;='1-Input'!$C$12,'1-Input'!$B$12,0))-MIN(MAX(M139,0),MAX(0,I121-IF($A140&gt;='1-Input'!$C$12,'1-Input'!$B$12,0))))*(1/(1-'P-Parametri'!$B$6*I140))+MIN(MAX(0,N139-(MAX(0,I121-IF($A140&gt;='1-Input'!$C$12,'1-Input'!$B$12,0))-MIN(MAX(M139,0),MAX(0,I121-IF($A140&gt;='1-Input'!$C$12,'1-Input'!$B$12,0))))*(1/(1-'P-Parametri'!$B$6*I140))),MAX(0,1*MAX(0,I121-IF($A140&gt;='1-Input'!$C$12,'1-Input'!$B$12,0))-(M139-MIN(MAX(M139,0),MAX(0,I121-IF($A140&gt;='1-Input'!$C$12,'1-Input'!$B$12,0)))))*(1/(1-'P-Parametri'!$B$6*I140))))</f>
        <v>25277.246382160985</v>
      </c>
      <c r="K140" s="18">
        <f>IF($A140&gt;'1-Input'!$B$26,M139,(M139-MAX(0,I121-IF($A140&gt;='1-Input'!$C$12,'1-Input'!$B$12,0))+J140*(1-'P-Parametri'!$B$6*I140))*(1+'1-Input'!$B$27))</f>
        <v>21869.741467754142</v>
      </c>
      <c r="L140" s="18">
        <f>IF($A140&gt;'1-Input'!$B$26,N139,(N139-J140)*(1+'5-Roberta'!$C$4))</f>
        <v>132122.61200657408</v>
      </c>
      <c r="M140" s="18">
        <f>IF($A140&gt;'1-Input'!$B$26,K140,K140-'P-Parametri'!$B$8*(L140+K140)+MIN(MAX(L140,0),'P-Parametri'!$B$8*(L140+K140)))</f>
        <v>21869.741467754142</v>
      </c>
      <c r="N140" s="18">
        <f>IF($A140&gt;'1-Input'!$B$26,L140,L140-MIN(MAX(L140,0),'P-Parametri'!$B$8*(L140+K140)))</f>
        <v>131814.62729962543</v>
      </c>
      <c r="O140" s="18">
        <f>IF($A140&gt;'1-Input'!$B$26,O139,O139-J140*(1-I140))</f>
        <v>64850.930221121569</v>
      </c>
      <c r="P140" s="11">
        <f>IF($A140&gt;'1-Input'!$B$26,0,IF(U139&lt;=0,0,MAX(0,(U139-V139)/U139)))</f>
        <v>0.4948168334537727</v>
      </c>
      <c r="Q140" s="18">
        <f>IF($A140&gt;'1-Input'!$B$26,0,(MAX(0,P121-IF($A140&gt;='1-Input'!$C$12,'1-Input'!$B$12,0))-MIN(MAX(T139,0),MAX(0,P121-IF($A140&gt;='1-Input'!$C$12,'1-Input'!$B$12,0))))*(1/(1-'P-Parametri'!$B$6*P140))+MIN(MAX(0,U139-(MAX(0,P121-IF($A140&gt;='1-Input'!$C$12,'1-Input'!$B$12,0))-MIN(MAX(T139,0),MAX(0,P121-IF($A140&gt;='1-Input'!$C$12,'1-Input'!$B$12,0))))*(1/(1-'P-Parametri'!$B$6*P140))),MAX(0,1*MAX(0,P121-IF($A140&gt;='1-Input'!$C$12,'1-Input'!$B$12,0))-(T139-MIN(MAX(T139,0),MAX(0,P121-IF($A140&gt;='1-Input'!$C$12,'1-Input'!$B$12,0)))))*(1/(1-'P-Parametri'!$B$6*P140))))</f>
        <v>21595.527374596248</v>
      </c>
      <c r="R140" s="18">
        <f>IF($A140&gt;'1-Input'!$B$26,T139,(T139-MAX(0,P121-IF($A140&gt;='1-Input'!$C$12,'1-Input'!$B$12,0))+Q140*(1-'P-Parametri'!$B$6*P140))*(1+'1-Input'!$B$27))</f>
        <v>18682.213521902773</v>
      </c>
      <c r="S140" s="18">
        <f>IF($A140&gt;'1-Input'!$B$26,U139,(U139-Q140)*(1+'5-Roberta'!$C$4))</f>
        <v>215264.75909722486</v>
      </c>
      <c r="T140" s="18">
        <f>IF($A140&gt;'1-Input'!$B$26,R140,R140-'P-Parametri'!$B$8*(S140+R140)+MIN(MAX(S140,0),'P-Parametri'!$B$8*(S140+R140)))</f>
        <v>18682.213521902773</v>
      </c>
      <c r="U140" s="18">
        <f>IF($A140&gt;'1-Input'!$B$26,S140,S140-MIN(MAX(S140,0),'P-Parametri'!$B$8*(S140+R140)))</f>
        <v>214796.8651519866</v>
      </c>
      <c r="V140" s="18">
        <f>IF($A140&gt;'1-Input'!$B$26,V139,V139-Q140*(1-P140))</f>
        <v>105580.71130732703</v>
      </c>
      <c r="W140" s="11">
        <f>IF($A140&gt;'1-Input'!$B$26,0,IF(AB139&lt;=0,0,MAX(0,(AB139-AC139)/AB139)))</f>
        <v>0.49484128660001192</v>
      </c>
      <c r="X140" s="18">
        <f>IF($A140&gt;'1-Input'!$B$26,0,(MAX(0,W121-IF($A140&gt;='1-Input'!$C$12,'1-Input'!$B$12,0))-MIN(MAX(AA139,0),MAX(0,W121-IF($A140&gt;='1-Input'!$C$12,'1-Input'!$B$12,0))))*(1/(1-'P-Parametri'!$B$6*W140))+MIN(MAX(0,AB139-(MAX(0,W121-IF($A140&gt;='1-Input'!$C$12,'1-Input'!$B$12,0))-MIN(MAX(AA139,0),MAX(0,W121-IF($A140&gt;='1-Input'!$C$12,'1-Input'!$B$12,0))))*(1/(1-'P-Parametri'!$B$6*W140))),MAX(0,1*MAX(0,W121-IF($A140&gt;='1-Input'!$C$12,'1-Input'!$B$12,0))-(AA139-MIN(MAX(AA139,0),MAX(0,W121-IF($A140&gt;='1-Input'!$C$12,'1-Input'!$B$12,0)))))*(1/(1-'P-Parametri'!$B$6*W140))))</f>
        <v>21297.374832748592</v>
      </c>
      <c r="Y140" s="18">
        <f>IF($A140&gt;'1-Input'!$B$26,AA139,(AA139-MAX(0,W121-IF($A140&gt;='1-Input'!$C$12,'1-Input'!$B$12,0))+X140*(1-'P-Parametri'!$B$6*W140))*(1+'1-Input'!$B$27))</f>
        <v>18424.148390510632</v>
      </c>
      <c r="Z140" s="18">
        <f>IF($A140&gt;'1-Input'!$B$26,AB139,(AB139-X140)*(1+'5-Roberta'!$C$4))</f>
        <v>221996.46280185311</v>
      </c>
      <c r="AA140" s="18">
        <f>IF($A140&gt;'1-Input'!$B$26,Y140,Y140-'P-Parametri'!$B$8*(Z140+Y140)+MIN(MAX(Z140,0),'P-Parametri'!$B$8*(Z140+Y140)))</f>
        <v>18424.148390510632</v>
      </c>
      <c r="AB140" s="18">
        <f>IF($A140&gt;'1-Input'!$B$26,Z140,Z140-MIN(MAX(Z140,0),'P-Parametri'!$B$8*(Z140+Y140)))</f>
        <v>221515.62157946837</v>
      </c>
      <c r="AC140" s="18">
        <f>IF($A140&gt;'1-Input'!$B$26,AC139,AC139-X140*(1-W140))</f>
        <v>108877.13352265283</v>
      </c>
      <c r="AD140" s="11">
        <f>IF($A140&gt;'1-Input'!$B$26,0,IF(AI139&lt;=0,0,MAX(0,(AI139-AJ139)/AI139)))</f>
        <v>0.4948419386168777</v>
      </c>
      <c r="AE140" s="18">
        <f>IF($A140&gt;'1-Input'!$B$26,0,(MAX(0,AD121-IF($A140&gt;='1-Input'!$C$12,'1-Input'!$B$12,0))-MIN(MAX(AH139,0),MAX(0,AD121-IF($A140&gt;='1-Input'!$C$12,'1-Input'!$B$12,0))))*(1/(1-'P-Parametri'!$B$6*AD140))+MIN(MAX(0,AI139-(MAX(0,AD121-IF($A140&gt;='1-Input'!$C$12,'1-Input'!$B$12,0))-MIN(MAX(AH139,0),MAX(0,AD121-IF($A140&gt;='1-Input'!$C$12,'1-Input'!$B$12,0))))*(1/(1-'P-Parametri'!$B$6*AD140))),MAX(0,1*MAX(0,AD121-IF($A140&gt;='1-Input'!$C$12,'1-Input'!$B$12,0))-(AH139-MIN(MAX(AH139,0),MAX(0,AD121-IF($A140&gt;='1-Input'!$C$12,'1-Input'!$B$12,0)))))*(1/(1-'P-Parametri'!$B$6*AD140))))</f>
        <v>21289.304739341664</v>
      </c>
      <c r="AF140" s="18">
        <f>IF($A140&gt;'1-Input'!$B$26,AH139,(AH139-MAX(0,AD121-IF($A140&gt;='1-Input'!$C$12,'1-Input'!$B$12,0))+AE140*(1-'P-Parametri'!$B$6*AD140))*(1+'1-Input'!$B$27))</f>
        <v>18417.163449332857</v>
      </c>
      <c r="AG140" s="18">
        <f>IF($A140&gt;'1-Input'!$B$26,AI139,(AI139-AE140)*(1+'5-Roberta'!$C$4))</f>
        <v>222178.6677981657</v>
      </c>
      <c r="AH140" s="18">
        <f>IF($A140&gt;'1-Input'!$B$26,AF140,AF140-'P-Parametri'!$B$8*(AG140+AF140)+MIN(MAX(AG140,0),'P-Parametri'!$B$8*(AG140+AF140)))</f>
        <v>18417.163449332857</v>
      </c>
      <c r="AI140" s="18">
        <f>IF($A140&gt;'1-Input'!$B$26,AG140,AG140-MIN(MAX(AG140,0),'P-Parametri'!$B$8*(AG140+AF140)))</f>
        <v>221697.4761356707</v>
      </c>
      <c r="AJ140" s="18">
        <f>IF($A140&gt;'1-Input'!$B$26,AJ139,AJ139-AE140*(1-AD140))</f>
        <v>108966.35447146225</v>
      </c>
      <c r="AK140" s="11">
        <f>IF($A140&gt;'1-Input'!$B$26,0,IF(AP139&lt;=0,0,MAX(0,(AP139-AQ139)/AP139)))</f>
        <v>0.49484193458372777</v>
      </c>
      <c r="AL140" s="18">
        <f>IF($A140&gt;'1-Input'!$B$26,0,(MAX(0,AK121-IF($A140&gt;='1-Input'!$C$12,'1-Input'!$B$12,0))-MIN(MAX(AO139,0),MAX(0,AK121-IF($A140&gt;='1-Input'!$C$12,'1-Input'!$B$12,0))))*(1/(1-'P-Parametri'!$B$6*AK140))+MIN(MAX(0,AP139-(MAX(0,AK121-IF($A140&gt;='1-Input'!$C$12,'1-Input'!$B$12,0))-MIN(MAX(AO139,0),MAX(0,AK121-IF($A140&gt;='1-Input'!$C$12,'1-Input'!$B$12,0))))*(1/(1-'P-Parametri'!$B$6*AK140))),MAX(0,1*MAX(0,AK121-IF($A140&gt;='1-Input'!$C$12,'1-Input'!$B$12,0))-(AO139-MIN(MAX(AO139,0),MAX(0,AK121-IF($A140&gt;='1-Input'!$C$12,'1-Input'!$B$12,0)))))*(1/(1-'P-Parametri'!$B$6*AK140))))</f>
        <v>21289.35467753623</v>
      </c>
      <c r="AM140" s="18">
        <f>IF($A140&gt;'1-Input'!$B$26,AO139,(AO139-MAX(0,AK121-IF($A140&gt;='1-Input'!$C$12,'1-Input'!$B$12,0))+AL140*(1-'P-Parametri'!$B$6*AK140))*(1+'1-Input'!$B$27))</f>
        <v>18417.206672527071</v>
      </c>
      <c r="AN140" s="18">
        <f>IF($A140&gt;'1-Input'!$B$26,AP139,(AP139-AL140)*(1+'5-Roberta'!$C$4))</f>
        <v>222177.54030365782</v>
      </c>
      <c r="AO140" s="18">
        <f>IF($A140&gt;'1-Input'!$B$26,AM140,AM140-'P-Parametri'!$B$8*(AN140+AM140)+MIN(MAX(AN140,0),'P-Parametri'!$B$8*(AN140+AM140)))</f>
        <v>18417.206672527071</v>
      </c>
      <c r="AP140" s="18">
        <f>IF($A140&gt;'1-Input'!$B$26,AN140,AN140-MIN(MAX(AN140,0),'P-Parametri'!$B$8*(AN140+AM140)))</f>
        <v>221696.35080970544</v>
      </c>
      <c r="AQ140" s="18">
        <f>IF($A140&gt;'1-Input'!$B$26,AQ139,AQ139-AL140*(1-AK140))</f>
        <v>108965.80236771032</v>
      </c>
    </row>
    <row r="141" spans="1:43">
      <c r="A141" s="10">
        <f>18</f>
        <v>18</v>
      </c>
      <c r="B141" s="11">
        <f>IF($A141&gt;'1-Input'!$B$26,0,IF(G140&lt;=0,0,MAX(0,(G140-H140)/G140)))</f>
        <v>0.50866013203795235</v>
      </c>
      <c r="C141" s="18">
        <f>IF($A141&gt;'1-Input'!$B$26,0,(MAX(0,B121-IF($A141&gt;='1-Input'!$C$12,'1-Input'!$B$12,0))-MIN(MAX(F140,0),MAX(0,B121-IF($A141&gt;='1-Input'!$C$12,'1-Input'!$B$12,0))))*(1/(1-'P-Parametri'!$B$6*B141))+MIN(MAX(0,G140-(MAX(0,B121-IF($A141&gt;='1-Input'!$C$12,'1-Input'!$B$12,0))-MIN(MAX(F140,0),MAX(0,B121-IF($A141&gt;='1-Input'!$C$12,'1-Input'!$B$12,0))))*(1/(1-'P-Parametri'!$B$6*B141))),MAX(0,1*MAX(0,B121-IF($A141&gt;='1-Input'!$C$12,'1-Input'!$B$12,0))-(F140-MIN(MAX(F140,0),MAX(0,B121-IF($A141&gt;='1-Input'!$C$12,'1-Input'!$B$12,0)))))*(1/(1-'P-Parametri'!$B$6*B141))))</f>
        <v>19292.582707234338</v>
      </c>
      <c r="D141" s="18">
        <f>IF($A141&gt;'1-Input'!$B$26,F140,(F140-MAX(0,B121-IF($A141&gt;='1-Input'!$C$12,'1-Input'!$B$12,0))+C141*(1-'P-Parametri'!$B$6*B141))*(1+'1-Input'!$B$27))</f>
        <v>16621.00351549315</v>
      </c>
      <c r="E141" s="18">
        <f>IF($A141&gt;'1-Input'!$B$26,G140,(G140-C141)*(1+'5-Roberta'!$C$4))</f>
        <v>256644.68437442428</v>
      </c>
      <c r="F141" s="18">
        <f>IF($A141&gt;'1-Input'!$B$26,D141,D141-'P-Parametri'!$B$8*(E141+D141)+MIN(MAX(E141,0),'P-Parametri'!$B$8*(E141+D141)))</f>
        <v>16621.00351549315</v>
      </c>
      <c r="G141" s="18">
        <f>IF($A141&gt;'1-Input'!$B$26,E141,E141-MIN(MAX(E141,0),'P-Parametri'!$B$8*(E141+D141)))</f>
        <v>256098.15299864445</v>
      </c>
      <c r="H141" s="18">
        <f>IF($A141&gt;'1-Input'!$B$26,H140,H140-C141*(1-B141))</f>
        <v>122426.95663465145</v>
      </c>
      <c r="I141" s="11">
        <f>IF($A141&gt;'1-Input'!$B$26,0,IF(N140&lt;=0,0,MAX(0,(N140-O140)/N140)))</f>
        <v>0.50801415935645666</v>
      </c>
      <c r="J141" s="18">
        <f>IF($A141&gt;'1-Input'!$B$26,0,(MAX(0,I121-IF($A141&gt;='1-Input'!$C$12,'1-Input'!$B$12,0))-MIN(MAX(M140,0),MAX(0,I121-IF($A141&gt;='1-Input'!$C$12,'1-Input'!$B$12,0))))*(1/(1-'P-Parametri'!$B$6*I141))+MIN(MAX(0,N140-(MAX(0,I121-IF($A141&gt;='1-Input'!$C$12,'1-Input'!$B$12,0))-MIN(MAX(M140,0),MAX(0,I121-IF($A141&gt;='1-Input'!$C$12,'1-Input'!$B$12,0))))*(1/(1-'P-Parametri'!$B$6*I141))),MAX(0,1*MAX(0,I121-IF($A141&gt;='1-Input'!$C$12,'1-Input'!$B$12,0))-(M140-MIN(MAX(M140,0),MAX(0,I121-IF($A141&gt;='1-Input'!$C$12,'1-Input'!$B$12,0)))))*(1/(1-'P-Parametri'!$B$6*I141))))</f>
        <v>25380.064928914711</v>
      </c>
      <c r="K141" s="18">
        <f>IF($A141&gt;'1-Input'!$B$26,M140,(M140-MAX(0,I121-IF($A141&gt;='1-Input'!$C$12,'1-Input'!$B$12,0))+J141*(1-'P-Parametri'!$B$6*I141))*(1+'1-Input'!$B$27))</f>
        <v>21869.741467754146</v>
      </c>
      <c r="L141" s="18">
        <f>IF($A141&gt;'1-Input'!$B$26,N140,(N140-J141)*(1+'5-Roberta'!$C$4))</f>
        <v>109627.59924183204</v>
      </c>
      <c r="M141" s="18">
        <f>IF($A141&gt;'1-Input'!$B$26,K141,K141-'P-Parametri'!$B$8*(L141+K141)+MIN(MAX(L141,0),'P-Parametri'!$B$8*(L141+K141)))</f>
        <v>21869.741467754146</v>
      </c>
      <c r="N141" s="18">
        <f>IF($A141&gt;'1-Input'!$B$26,L141,L141-MIN(MAX(L141,0),'P-Parametri'!$B$8*(L141+K141)))</f>
        <v>109364.60456041286</v>
      </c>
      <c r="O141" s="18">
        <f>IF($A141&gt;'1-Input'!$B$26,O140,O140-J141*(1-I141))</f>
        <v>52364.297641481753</v>
      </c>
      <c r="P141" s="11">
        <f>IF($A141&gt;'1-Input'!$B$26,0,IF(U140&lt;=0,0,MAX(0,(U140-V140)/U140)))</f>
        <v>0.50846251302308387</v>
      </c>
      <c r="Q141" s="18">
        <f>IF($A141&gt;'1-Input'!$B$26,0,(MAX(0,P121-IF($A141&gt;='1-Input'!$C$12,'1-Input'!$B$12,0))-MIN(MAX(T140,0),MAX(0,P121-IF($A141&gt;='1-Input'!$C$12,'1-Input'!$B$12,0))))*(1/(1-'P-Parametri'!$B$6*P141))+MIN(MAX(0,U140-(MAX(0,P121-IF($A141&gt;='1-Input'!$C$12,'1-Input'!$B$12,0))-MIN(MAX(T140,0),MAX(0,P121-IF($A141&gt;='1-Input'!$C$12,'1-Input'!$B$12,0))))*(1/(1-'P-Parametri'!$B$6*P141))),MAX(0,1*MAX(0,P121-IF($A141&gt;='1-Input'!$C$12,'1-Input'!$B$12,0))-(T140-MIN(MAX(T140,0),MAX(0,P121-IF($A141&gt;='1-Input'!$C$12,'1-Input'!$B$12,0)))))*(1/(1-'P-Parametri'!$B$6*P141))))</f>
        <v>21683.817637916556</v>
      </c>
      <c r="R141" s="18">
        <f>IF($A141&gt;'1-Input'!$B$26,T140,(T140-MAX(0,P121-IF($A141&gt;='1-Input'!$C$12,'1-Input'!$B$12,0))+Q141*(1-'P-Parametri'!$B$6*P141))*(1+'1-Input'!$B$27))</f>
        <v>18682.213521902773</v>
      </c>
      <c r="S141" s="18">
        <f>IF($A141&gt;'1-Input'!$B$26,U140,(U140-Q141)*(1+'5-Roberta'!$C$4))</f>
        <v>198906.43893949213</v>
      </c>
      <c r="T141" s="18">
        <f>IF($A141&gt;'1-Input'!$B$26,R141,R141-'P-Parametri'!$B$8*(S141+R141)+MIN(MAX(S141,0),'P-Parametri'!$B$8*(S141+R141)))</f>
        <v>18682.213521902773</v>
      </c>
      <c r="U141" s="18">
        <f>IF($A141&gt;'1-Input'!$B$26,S141,S141-MIN(MAX(S141,0),'P-Parametri'!$B$8*(S141+R141)))</f>
        <v>198471.26163456935</v>
      </c>
      <c r="V141" s="18">
        <f>IF($A141&gt;'1-Input'!$B$26,V140,V140-Q141*(1-P141))</f>
        <v>94922.302077519795</v>
      </c>
      <c r="W141" s="11">
        <f>IF($A141&gt;'1-Input'!$B$26,0,IF(AB140&lt;=0,0,MAX(0,(AB140-AC140)/AB140)))</f>
        <v>0.50849004351779614</v>
      </c>
      <c r="X141" s="18">
        <f>IF($A141&gt;'1-Input'!$B$26,0,(MAX(0,W121-IF($A141&gt;='1-Input'!$C$12,'1-Input'!$B$12,0))-MIN(MAX(AA140,0),MAX(0,W121-IF($A141&gt;='1-Input'!$C$12,'1-Input'!$B$12,0))))*(1/(1-'P-Parametri'!$B$6*W141))+MIN(MAX(0,AB140-(MAX(0,W121-IF($A141&gt;='1-Input'!$C$12,'1-Input'!$B$12,0))-MIN(MAX(AA140,0),MAX(0,W121-IF($A141&gt;='1-Input'!$C$12,'1-Input'!$B$12,0))))*(1/(1-'P-Parametri'!$B$6*W141))),MAX(0,1*MAX(0,W121-IF($A141&gt;='1-Input'!$C$12,'1-Input'!$B$12,0))-(AA140-MIN(MAX(AA140,0),MAX(0,W121-IF($A141&gt;='1-Input'!$C$12,'1-Input'!$B$12,0)))))*(1/(1-'P-Parametri'!$B$6*W141))))</f>
        <v>21384.466496040015</v>
      </c>
      <c r="Y141" s="18">
        <f>IF($A141&gt;'1-Input'!$B$26,AA140,(AA140-MAX(0,W121-IF($A141&gt;='1-Input'!$C$12,'1-Input'!$B$12,0))+X141*(1-'P-Parametri'!$B$6*W141))*(1+'1-Input'!$B$27))</f>
        <v>18424.148390510636</v>
      </c>
      <c r="Z141" s="18">
        <f>IF($A141&gt;'1-Input'!$B$26,AB140,(AB140-X141)*(1+'5-Roberta'!$C$4))</f>
        <v>206135.08973593119</v>
      </c>
      <c r="AA141" s="18">
        <f>IF($A141&gt;'1-Input'!$B$26,Y141,Y141-'P-Parametri'!$B$8*(Z141+Y141)+MIN(MAX(Z141,0),'P-Parametri'!$B$8*(Z141+Y141)))</f>
        <v>18424.148390510636</v>
      </c>
      <c r="AB141" s="18">
        <f>IF($A141&gt;'1-Input'!$B$26,Z141,Z141-MIN(MAX(Z141,0),'P-Parametri'!$B$8*(Z141+Y141)))</f>
        <v>205685.97125967831</v>
      </c>
      <c r="AC141" s="18">
        <f>IF($A141&gt;'1-Input'!$B$26,AC140,AC140-X141*(1-W141))</f>
        <v>98366.455325789051</v>
      </c>
      <c r="AD141" s="11">
        <f>IF($A141&gt;'1-Input'!$B$26,0,IF(AI140&lt;=0,0,MAX(0,(AI140-AJ140)/AI140)))</f>
        <v>0.50849077594018777</v>
      </c>
      <c r="AE141" s="18">
        <f>IF($A141&gt;'1-Input'!$B$26,0,(MAX(0,AD121-IF($A141&gt;='1-Input'!$C$12,'1-Input'!$B$12,0))-MIN(MAX(AH140,0),MAX(0,AD121-IF($A141&gt;='1-Input'!$C$12,'1-Input'!$B$12,0))))*(1/(1-'P-Parametri'!$B$6*AD141))+MIN(MAX(0,AI140-(MAX(0,AD121-IF($A141&gt;='1-Input'!$C$12,'1-Input'!$B$12,0))-MIN(MAX(AH140,0),MAX(0,AD121-IF($A141&gt;='1-Input'!$C$12,'1-Input'!$B$12,0))))*(1/(1-'P-Parametri'!$B$6*AD141))),MAX(0,1*MAX(0,AD121-IF($A141&gt;='1-Input'!$C$12,'1-Input'!$B$12,0))-(AH140-MIN(MAX(AH140,0),MAX(0,AD121-IF($A141&gt;='1-Input'!$C$12,'1-Input'!$B$12,0)))))*(1/(1-'P-Parametri'!$B$6*AD141))))</f>
        <v>21376.363933454701</v>
      </c>
      <c r="AF141" s="18">
        <f>IF($A141&gt;'1-Input'!$B$26,AH140,(AH140-MAX(0,AD121-IF($A141&gt;='1-Input'!$C$12,'1-Input'!$B$12,0))+AE141*(1-'P-Parametri'!$B$6*AD141))*(1+'1-Input'!$B$27))</f>
        <v>18417.163449332857</v>
      </c>
      <c r="AG141" s="18">
        <f>IF($A141&gt;'1-Input'!$B$26,AI140,(AI140-AE141)*(1+'5-Roberta'!$C$4))</f>
        <v>206330.74556828249</v>
      </c>
      <c r="AH141" s="18">
        <f>IF($A141&gt;'1-Input'!$B$26,AF141,AF141-'P-Parametri'!$B$8*(AG141+AF141)+MIN(MAX(AG141,0),'P-Parametri'!$B$8*(AG141+AF141)))</f>
        <v>18417.163449332857</v>
      </c>
      <c r="AI141" s="18">
        <f>IF($A141&gt;'1-Input'!$B$26,AG141,AG141-MIN(MAX(AG141,0),'P-Parametri'!$B$8*(AG141+AF141)))</f>
        <v>205881.24975024725</v>
      </c>
      <c r="AJ141" s="18">
        <f>IF($A141&gt;'1-Input'!$B$26,AJ140,AJ140-AE141*(1-AD141))</f>
        <v>98459.674421309785</v>
      </c>
      <c r="AK141" s="11">
        <f>IF($A141&gt;'1-Input'!$B$26,0,IF(AP140&lt;=0,0,MAX(0,(AP140-AQ140)/AP140)))</f>
        <v>0.50849077140993693</v>
      </c>
      <c r="AL141" s="18">
        <f>IF($A141&gt;'1-Input'!$B$26,0,(MAX(0,AK121-IF($A141&gt;='1-Input'!$C$12,'1-Input'!$B$12,0))-MIN(MAX(AO140,0),MAX(0,AK121-IF($A141&gt;='1-Input'!$C$12,'1-Input'!$B$12,0))))*(1/(1-'P-Parametri'!$B$6*AK141))+MIN(MAX(0,AP140-(MAX(0,AK121-IF($A141&gt;='1-Input'!$C$12,'1-Input'!$B$12,0))-MIN(MAX(AO140,0),MAX(0,AK121-IF($A141&gt;='1-Input'!$C$12,'1-Input'!$B$12,0))))*(1/(1-'P-Parametri'!$B$6*AK141))),MAX(0,1*MAX(0,AK121-IF($A141&gt;='1-Input'!$C$12,'1-Input'!$B$12,0))-(AO140-MIN(MAX(AO140,0),MAX(0,AK121-IF($A141&gt;='1-Input'!$C$12,'1-Input'!$B$12,0)))))*(1/(1-'P-Parametri'!$B$6*AK141))))</f>
        <v>21376.414072574564</v>
      </c>
      <c r="AM141" s="18">
        <f>IF($A141&gt;'1-Input'!$B$26,AO140,(AO140-MAX(0,AK121-IF($A141&gt;='1-Input'!$C$12,'1-Input'!$B$12,0))+AL141*(1-'P-Parametri'!$B$6*AK141))*(1+'1-Input'!$B$27))</f>
        <v>18417.206672527071</v>
      </c>
      <c r="AN141" s="18">
        <f>IF($A141&gt;'1-Input'!$B$26,AP140,(AP140-AL141)*(1+'5-Roberta'!$C$4))</f>
        <v>206329.53483924482</v>
      </c>
      <c r="AO141" s="18">
        <f>IF($A141&gt;'1-Input'!$B$26,AM141,AM141-'P-Parametri'!$B$8*(AN141+AM141)+MIN(MAX(AN141,0),'P-Parametri'!$B$8*(AN141+AM141)))</f>
        <v>18417.206672527071</v>
      </c>
      <c r="AP141" s="18">
        <f>IF($A141&gt;'1-Input'!$B$26,AN141,AN141-MIN(MAX(AN141,0),'P-Parametri'!$B$8*(AN141+AM141)))</f>
        <v>205880.04135622128</v>
      </c>
      <c r="AQ141" s="18">
        <f>IF($A141&gt;'1-Input'!$B$26,AQ140,AQ140-AL141*(1-AK141))</f>
        <v>98459.097576877422</v>
      </c>
    </row>
    <row r="142" spans="1:43">
      <c r="A142" s="10">
        <f>19</f>
        <v>19</v>
      </c>
      <c r="B142" s="11">
        <f>IF($A142&gt;'1-Input'!$B$26,0,IF(G141&lt;=0,0,MAX(0,(G141-H141)/G141)))</f>
        <v>0.52195298872265006</v>
      </c>
      <c r="C142" s="18">
        <f>IF($A142&gt;'1-Input'!$B$26,0,(MAX(0,B121-IF($A142&gt;='1-Input'!$C$12,'1-Input'!$B$12,0))-MIN(MAX(F141,0),MAX(0,B121-IF($A142&gt;='1-Input'!$C$12,'1-Input'!$B$12,0))))*(1/(1-'P-Parametri'!$B$6*B142))+MIN(MAX(0,G141-(MAX(0,B121-IF($A142&gt;='1-Input'!$C$12,'1-Input'!$B$12,0))-MIN(MAX(F141,0),MAX(0,B121-IF($A142&gt;='1-Input'!$C$12,'1-Input'!$B$12,0))))*(1/(1-'P-Parametri'!$B$6*B142))),MAX(0,1*MAX(0,B121-IF($A142&gt;='1-Input'!$C$12,'1-Input'!$B$12,0))-(F141-MIN(MAX(F141,0),MAX(0,B121-IF($A142&gt;='1-Input'!$C$12,'1-Input'!$B$12,0)))))*(1/(1-'P-Parametri'!$B$6*B142))))</f>
        <v>19369.730132436292</v>
      </c>
      <c r="D142" s="18">
        <f>IF($A142&gt;'1-Input'!$B$26,F141,(F141-MAX(0,B121-IF($A142&gt;='1-Input'!$C$12,'1-Input'!$B$12,0))+C142*(1-'P-Parametri'!$B$6*B142))*(1+'1-Input'!$B$27))</f>
        <v>16621.00351549315</v>
      </c>
      <c r="E142" s="18">
        <f>IF($A142&gt;'1-Input'!$B$26,G141,(G141-C142)*(1+'5-Roberta'!$C$4))</f>
        <v>243830.27555219442</v>
      </c>
      <c r="F142" s="18">
        <f>IF($A142&gt;'1-Input'!$B$26,D142,D142-'P-Parametri'!$B$8*(E142+D142)+MIN(MAX(E142,0),'P-Parametri'!$B$8*(E142+D142)))</f>
        <v>16621.00351549315</v>
      </c>
      <c r="G142" s="18">
        <f>IF($A142&gt;'1-Input'!$B$26,E142,E142-MIN(MAX(E142,0),'P-Parametri'!$B$8*(E142+D142)))</f>
        <v>243309.37299405906</v>
      </c>
      <c r="H142" s="18">
        <f>IF($A142&gt;'1-Input'!$B$26,H141,H141-C142*(1-B142))</f>
        <v>113167.31503559145</v>
      </c>
      <c r="I142" s="11">
        <f>IF($A142&gt;'1-Input'!$B$26,0,IF(N141&lt;=0,0,MAX(0,(N141-O141)/N141)))</f>
        <v>0.52119519974530892</v>
      </c>
      <c r="J142" s="18">
        <f>IF($A142&gt;'1-Input'!$B$26,0,(MAX(0,I121-IF($A142&gt;='1-Input'!$C$12,'1-Input'!$B$12,0))-MIN(MAX(M141,0),MAX(0,I121-IF($A142&gt;='1-Input'!$C$12,'1-Input'!$B$12,0))))*(1/(1-'P-Parametri'!$B$6*I142))+MIN(MAX(0,N141-(MAX(0,I121-IF($A142&gt;='1-Input'!$C$12,'1-Input'!$B$12,0))-MIN(MAX(M141,0),MAX(0,I121-IF($A142&gt;='1-Input'!$C$12,'1-Input'!$B$12,0))))*(1/(1-'P-Parametri'!$B$6*I142))),MAX(0,1*MAX(0,I121-IF($A142&gt;='1-Input'!$C$12,'1-Input'!$B$12,0))-(M141-MIN(MAX(M141,0),MAX(0,I121-IF($A142&gt;='1-Input'!$C$12,'1-Input'!$B$12,0)))))*(1/(1-'P-Parametri'!$B$6*I142))))</f>
        <v>25480.678409103726</v>
      </c>
      <c r="K142" s="18">
        <f>IF($A142&gt;'1-Input'!$B$26,M141,(M141-MAX(0,I121-IF($A142&gt;='1-Input'!$C$12,'1-Input'!$B$12,0))+J142*(1-'P-Parametri'!$B$6*I142))*(1+'1-Input'!$B$27))</f>
        <v>21869.741467754146</v>
      </c>
      <c r="L142" s="18">
        <f>IF($A142&gt;'1-Input'!$B$26,N141,(N141-J142)*(1+'5-Roberta'!$C$4))</f>
        <v>86400.443935848409</v>
      </c>
      <c r="M142" s="18">
        <f>IF($A142&gt;'1-Input'!$B$26,K142,K142-'P-Parametri'!$B$8*(L142+K142)+MIN(MAX(L142,0),'P-Parametri'!$B$8*(L142+K142)))</f>
        <v>21869.741467754146</v>
      </c>
      <c r="N142" s="18">
        <f>IF($A142&gt;'1-Input'!$B$26,L142,L142-MIN(MAX(L142,0),'P-Parametri'!$B$8*(L142+K142)))</f>
        <v>86183.903565041197</v>
      </c>
      <c r="O142" s="18">
        <f>IF($A142&gt;'1-Input'!$B$26,O141,O141-J142*(1-I142))</f>
        <v>40164.026505456823</v>
      </c>
      <c r="P142" s="11">
        <f>IF($A142&gt;'1-Input'!$B$26,0,IF(U141&lt;=0,0,MAX(0,(U141-V141)/U141)))</f>
        <v>0.52173276223590848</v>
      </c>
      <c r="Q142" s="18">
        <f>IF($A142&gt;'1-Input'!$B$26,0,(MAX(0,P121-IF($A142&gt;='1-Input'!$C$12,'1-Input'!$B$12,0))-MIN(MAX(T141,0),MAX(0,P121-IF($A142&gt;='1-Input'!$C$12,'1-Input'!$B$12,0))))*(1/(1-'P-Parametri'!$B$6*P142))+MIN(MAX(0,U141-(MAX(0,P121-IF($A142&gt;='1-Input'!$C$12,'1-Input'!$B$12,0))-MIN(MAX(T141,0),MAX(0,P121-IF($A142&gt;='1-Input'!$C$12,'1-Input'!$B$12,0))))*(1/(1-'P-Parametri'!$B$6*P142))),MAX(0,1*MAX(0,P121-IF($A142&gt;='1-Input'!$C$12,'1-Input'!$B$12,0))-(T141-MIN(MAX(T141,0),MAX(0,P121-IF($A142&gt;='1-Input'!$C$12,'1-Input'!$B$12,0)))))*(1/(1-'P-Parametri'!$B$6*P142))))</f>
        <v>21770.373960559496</v>
      </c>
      <c r="R142" s="18">
        <f>IF($A142&gt;'1-Input'!$B$26,T141,(T141-MAX(0,P121-IF($A142&gt;='1-Input'!$C$12,'1-Input'!$B$12,0))+Q142*(1-'P-Parametri'!$B$6*P142))*(1+'1-Input'!$B$27))</f>
        <v>18682.213521902773</v>
      </c>
      <c r="S142" s="18">
        <f>IF($A142&gt;'1-Input'!$B$26,U141,(U141-Q142)*(1+'5-Roberta'!$C$4))</f>
        <v>182001.91430423016</v>
      </c>
      <c r="T142" s="18">
        <f>IF($A142&gt;'1-Input'!$B$26,R142,R142-'P-Parametri'!$B$8*(S142+R142)+MIN(MAX(S142,0),'P-Parametri'!$B$8*(S142+R142)))</f>
        <v>18682.213521902773</v>
      </c>
      <c r="U142" s="18">
        <f>IF($A142&gt;'1-Input'!$B$26,S142,S142-MIN(MAX(S142,0),'P-Parametri'!$B$8*(S142+R142)))</f>
        <v>181600.5460485779</v>
      </c>
      <c r="V142" s="18">
        <f>IF($A142&gt;'1-Input'!$B$26,V141,V141-Q142*(1-P142))</f>
        <v>84510.245458311692</v>
      </c>
      <c r="W142" s="11">
        <f>IF($A142&gt;'1-Input'!$B$26,0,IF(AB141&lt;=0,0,MAX(0,(AB141-AC141)/AB141)))</f>
        <v>0.52176390677805873</v>
      </c>
      <c r="X142" s="18">
        <f>IF($A142&gt;'1-Input'!$B$26,0,(MAX(0,W121-IF($A142&gt;='1-Input'!$C$12,'1-Input'!$B$12,0))-MIN(MAX(AA141,0),MAX(0,W121-IF($A142&gt;='1-Input'!$C$12,'1-Input'!$B$12,0))))*(1/(1-'P-Parametri'!$B$6*W142))+MIN(MAX(0,AB141-(MAX(0,W121-IF($A142&gt;='1-Input'!$C$12,'1-Input'!$B$12,0))-MIN(MAX(AA141,0),MAX(0,W121-IF($A142&gt;='1-Input'!$C$12,'1-Input'!$B$12,0))))*(1/(1-'P-Parametri'!$B$6*W142))),MAX(0,1*MAX(0,W121-IF($A142&gt;='1-Input'!$C$12,'1-Input'!$B$12,0))-(AA141-MIN(MAX(AA141,0),MAX(0,W121-IF($A142&gt;='1-Input'!$C$12,'1-Input'!$B$12,0)))))*(1/(1-'P-Parametri'!$B$6*W142))))</f>
        <v>21469.851931966157</v>
      </c>
      <c r="Y142" s="18">
        <f>IF($A142&gt;'1-Input'!$B$26,AA141,(AA141-MAX(0,W121-IF($A142&gt;='1-Input'!$C$12,'1-Input'!$B$12,0))+X142*(1-'P-Parametri'!$B$6*W142))*(1+'1-Input'!$B$27))</f>
        <v>18424.148390510636</v>
      </c>
      <c r="Z142" s="18">
        <f>IF($A142&gt;'1-Input'!$B$26,AB141,(AB141-X142)*(1+'5-Roberta'!$C$4))</f>
        <v>189742.60290754354</v>
      </c>
      <c r="AA142" s="18">
        <f>IF($A142&gt;'1-Input'!$B$26,Y142,Y142-'P-Parametri'!$B$8*(Z142+Y142)+MIN(MAX(Z142,0),'P-Parametri'!$B$8*(Z142+Y142)))</f>
        <v>18424.148390510636</v>
      </c>
      <c r="AB142" s="18">
        <f>IF($A142&gt;'1-Input'!$B$26,Z142,Z142-MIN(MAX(Z142,0),'P-Parametri'!$B$8*(Z142+Y142)))</f>
        <v>189326.26940494744</v>
      </c>
      <c r="AC142" s="18">
        <f>IF($A142&gt;'1-Input'!$B$26,AC141,AC141-X142*(1-W142))</f>
        <v>88098.797215792001</v>
      </c>
      <c r="AD142" s="11">
        <f>IF($A142&gt;'1-Input'!$B$26,0,IF(AI141&lt;=0,0,MAX(0,(AI141-AJ141)/AI141)))</f>
        <v>0.52176473311313998</v>
      </c>
      <c r="AE142" s="18">
        <f>IF($A142&gt;'1-Input'!$B$26,0,(MAX(0,AD121-IF($A142&gt;='1-Input'!$C$12,'1-Input'!$B$12,0))-MIN(MAX(AH141,0),MAX(0,AD121-IF($A142&gt;='1-Input'!$C$12,'1-Input'!$B$12,0))))*(1/(1-'P-Parametri'!$B$6*AD142))+MIN(MAX(0,AI141-(MAX(0,AD121-IF($A142&gt;='1-Input'!$C$12,'1-Input'!$B$12,0))-MIN(MAX(AH141,0),MAX(0,AD121-IF($A142&gt;='1-Input'!$C$12,'1-Input'!$B$12,0))))*(1/(1-'P-Parametri'!$B$6*AD142))),MAX(0,1*MAX(0,AD121-IF($A142&gt;='1-Input'!$C$12,'1-Input'!$B$12,0))-(AH141-MIN(MAX(AH141,0),MAX(0,AD121-IF($A142&gt;='1-Input'!$C$12,'1-Input'!$B$12,0)))))*(1/(1-'P-Parametri'!$B$6*AD142))))</f>
        <v>21461.71764197608</v>
      </c>
      <c r="AF142" s="18">
        <f>IF($A142&gt;'1-Input'!$B$26,AH141,(AH141-MAX(0,AD121-IF($A142&gt;='1-Input'!$C$12,'1-Input'!$B$12,0))+AE142*(1-'P-Parametri'!$B$6*AD142))*(1+'1-Input'!$B$27))</f>
        <v>18417.163449332857</v>
      </c>
      <c r="AG142" s="18">
        <f>IF($A142&gt;'1-Input'!$B$26,AI141,(AI141-AE142)*(1+'5-Roberta'!$C$4))</f>
        <v>189952.1180715193</v>
      </c>
      <c r="AH142" s="18">
        <f>IF($A142&gt;'1-Input'!$B$26,AF142,AF142-'P-Parametri'!$B$8*(AG142+AF142)+MIN(MAX(AG142,0),'P-Parametri'!$B$8*(AG142+AF142)))</f>
        <v>18417.163449332857</v>
      </c>
      <c r="AI142" s="18">
        <f>IF($A142&gt;'1-Input'!$B$26,AG142,AG142-MIN(MAX(AG142,0),'P-Parametri'!$B$8*(AG142+AF142)))</f>
        <v>189535.37950847761</v>
      </c>
      <c r="AJ142" s="18">
        <f>IF($A142&gt;'1-Input'!$B$26,AJ141,AJ141-AE142*(1-AD142))</f>
        <v>88195.924156948924</v>
      </c>
      <c r="AK142" s="11">
        <f>IF($A142&gt;'1-Input'!$B$26,0,IF(AP141&lt;=0,0,MAX(0,(AP141-AQ141)/AP141)))</f>
        <v>0.52176472800236207</v>
      </c>
      <c r="AL142" s="18">
        <f>IF($A142&gt;'1-Input'!$B$26,0,(MAX(0,AK121-IF($A142&gt;='1-Input'!$C$12,'1-Input'!$B$12,0))-MIN(MAX(AO141,0),MAX(0,AK121-IF($A142&gt;='1-Input'!$C$12,'1-Input'!$B$12,0))))*(1/(1-'P-Parametri'!$B$6*AK142))+MIN(MAX(0,AP141-(MAX(0,AK121-IF($A142&gt;='1-Input'!$C$12,'1-Input'!$B$12,0))-MIN(MAX(AO141,0),MAX(0,AK121-IF($A142&gt;='1-Input'!$C$12,'1-Input'!$B$12,0))))*(1/(1-'P-Parametri'!$B$6*AK142))),MAX(0,1*MAX(0,AK121-IF($A142&gt;='1-Input'!$C$12,'1-Input'!$B$12,0))-(AO141-MIN(MAX(AO141,0),MAX(0,AK121-IF($A142&gt;='1-Input'!$C$12,'1-Input'!$B$12,0)))))*(1/(1-'P-Parametri'!$B$6*AK142))))</f>
        <v>21461.767977432381</v>
      </c>
      <c r="AM142" s="18">
        <f>IF($A142&gt;'1-Input'!$B$26,AO141,(AO141-MAX(0,AK121-IF($A142&gt;='1-Input'!$C$12,'1-Input'!$B$12,0))+AL142*(1-'P-Parametri'!$B$6*AK142))*(1+'1-Input'!$B$27))</f>
        <v>18417.206672527071</v>
      </c>
      <c r="AN142" s="18">
        <f>IF($A142&gt;'1-Input'!$B$26,AP141,(AP141-AL142)*(1+'5-Roberta'!$C$4))</f>
        <v>189950.82158015258</v>
      </c>
      <c r="AO142" s="18">
        <f>IF($A142&gt;'1-Input'!$B$26,AM142,AM142-'P-Parametri'!$B$8*(AN142+AM142)+MIN(MAX(AN142,0),'P-Parametri'!$B$8*(AN142+AM142)))</f>
        <v>18417.206672527071</v>
      </c>
      <c r="AP142" s="18">
        <f>IF($A142&gt;'1-Input'!$B$26,AN142,AN142-MIN(MAX(AN142,0),'P-Parametri'!$B$8*(AN142+AM142)))</f>
        <v>189534.08552364723</v>
      </c>
      <c r="AQ142" s="18">
        <f>IF($A142&gt;'1-Input'!$B$26,AQ141,AQ141-AL142*(1-AK142))</f>
        <v>88195.323130639852</v>
      </c>
    </row>
    <row r="143" spans="1:43">
      <c r="A143" s="10">
        <f>20</f>
        <v>20</v>
      </c>
      <c r="B143" s="11">
        <f>IF($A143&gt;'1-Input'!$B$26,0,IF(G142&lt;=0,0,MAX(0,(G142-H142)/G142)))</f>
        <v>0.53488304357944039</v>
      </c>
      <c r="C143" s="18">
        <f>IF($A143&gt;'1-Input'!$B$26,0,(MAX(0,B121-IF($A143&gt;='1-Input'!$C$12,'1-Input'!$B$12,0))-MIN(MAX(F142,0),MAX(0,B121-IF($A143&gt;='1-Input'!$C$12,'1-Input'!$B$12,0))))*(1/(1-'P-Parametri'!$B$6*B143))+MIN(MAX(0,G142-(MAX(0,B121-IF($A143&gt;='1-Input'!$C$12,'1-Input'!$B$12,0))-MIN(MAX(F142,0),MAX(0,B121-IF($A143&gt;='1-Input'!$C$12,'1-Input'!$B$12,0))))*(1/(1-'P-Parametri'!$B$6*B143))),MAX(0,1*MAX(0,B121-IF($A143&gt;='1-Input'!$C$12,'1-Input'!$B$12,0))-(F142-MIN(MAX(F142,0),MAX(0,B121-IF($A143&gt;='1-Input'!$C$12,'1-Input'!$B$12,0)))))*(1/(1-'P-Parametri'!$B$6*B143))))</f>
        <v>19445.366251650375</v>
      </c>
      <c r="D143" s="18">
        <f>IF($A143&gt;'1-Input'!$B$26,F142,(F142-MAX(0,B121-IF($A143&gt;='1-Input'!$C$12,'1-Input'!$B$12,0))+C143*(1-'P-Parametri'!$B$6*B143))*(1+'1-Input'!$B$27))</f>
        <v>16621.00351549315</v>
      </c>
      <c r="E143" s="18">
        <f>IF($A143&gt;'1-Input'!$B$26,G142,(G142-C143)*(1+'5-Roberta'!$C$4))</f>
        <v>230579.92694468095</v>
      </c>
      <c r="F143" s="18">
        <f>IF($A143&gt;'1-Input'!$B$26,D143,D143-'P-Parametri'!$B$8*(E143+D143)+MIN(MAX(E143,0),'P-Parametri'!$B$8*(E143+D143)))</f>
        <v>16621.00351549315</v>
      </c>
      <c r="G143" s="18">
        <f>IF($A143&gt;'1-Input'!$B$26,E143,E143-MIN(MAX(E143,0),'P-Parametri'!$B$8*(E143+D143)))</f>
        <v>230085.52508376061</v>
      </c>
      <c r="H143" s="18">
        <f>IF($A143&gt;'1-Input'!$B$26,H142,H142-C143*(1-B143))</f>
        <v>104122.94546814077</v>
      </c>
      <c r="I143" s="11">
        <f>IF($A143&gt;'1-Input'!$B$26,0,IF(N142&lt;=0,0,MAX(0,(N142-O142)/N142)))</f>
        <v>0.53397299444500246</v>
      </c>
      <c r="J143" s="18">
        <f>IF($A143&gt;'1-Input'!$B$26,0,(MAX(0,I121-IF($A143&gt;='1-Input'!$C$12,'1-Input'!$B$12,0))-MIN(MAX(M142,0),MAX(0,I121-IF($A143&gt;='1-Input'!$C$12,'1-Input'!$B$12,0))))*(1/(1-'P-Parametri'!$B$6*I143))+MIN(MAX(0,N142-(MAX(0,I121-IF($A143&gt;='1-Input'!$C$12,'1-Input'!$B$12,0))-MIN(MAX(M142,0),MAX(0,I121-IF($A143&gt;='1-Input'!$C$12,'1-Input'!$B$12,0))))*(1/(1-'P-Parametri'!$B$6*I143))),MAX(0,1*MAX(0,I121-IF($A143&gt;='1-Input'!$C$12,'1-Input'!$B$12,0))-(M142-MIN(MAX(M142,0),MAX(0,I121-IF($A143&gt;='1-Input'!$C$12,'1-Input'!$B$12,0)))))*(1/(1-'P-Parametri'!$B$6*I143))))</f>
        <v>25578.978258084633</v>
      </c>
      <c r="K143" s="18">
        <f>IF($A143&gt;'1-Input'!$B$26,M142,(M142-MAX(0,I121-IF($A143&gt;='1-Input'!$C$12,'1-Input'!$B$12,0))+J143*(1-'P-Parametri'!$B$6*I143))*(1+'1-Input'!$B$27))</f>
        <v>21869.741467754146</v>
      </c>
      <c r="L143" s="18">
        <f>IF($A143&gt;'1-Input'!$B$26,N142,(N142-J143)*(1+'5-Roberta'!$C$4))</f>
        <v>62423.073066165256</v>
      </c>
      <c r="M143" s="18">
        <f>IF($A143&gt;'1-Input'!$B$26,K143,K143-'P-Parametri'!$B$8*(L143+K143)+MIN(MAX(L143,0),'P-Parametri'!$B$8*(L143+K143)))</f>
        <v>21869.741467754146</v>
      </c>
      <c r="N143" s="18">
        <f>IF($A143&gt;'1-Input'!$B$26,L143,L143-MIN(MAX(L143,0),'P-Parametri'!$B$8*(L143+K143)))</f>
        <v>62254.487437097414</v>
      </c>
      <c r="O143" s="18">
        <f>IF($A143&gt;'1-Input'!$B$26,O142,O142-J143*(1-I143))</f>
        <v>28243.531862685253</v>
      </c>
      <c r="P143" s="11">
        <f>IF($A143&gt;'1-Input'!$B$26,0,IF(U142&lt;=0,0,MAX(0,(U142-V142)/U142)))</f>
        <v>0.53463661152370479</v>
      </c>
      <c r="Q143" s="18">
        <f>IF($A143&gt;'1-Input'!$B$26,0,(MAX(0,P121-IF($A143&gt;='1-Input'!$C$12,'1-Input'!$B$12,0))-MIN(MAX(T142,0),MAX(0,P121-IF($A143&gt;='1-Input'!$C$12,'1-Input'!$B$12,0))))*(1/(1-'P-Parametri'!$B$6*P143))+MIN(MAX(0,U142-(MAX(0,P121-IF($A143&gt;='1-Input'!$C$12,'1-Input'!$B$12,0))-MIN(MAX(T142,0),MAX(0,P121-IF($A143&gt;='1-Input'!$C$12,'1-Input'!$B$12,0))))*(1/(1-'P-Parametri'!$B$6*P143))),MAX(0,1*MAX(0,P121-IF($A143&gt;='1-Input'!$C$12,'1-Input'!$B$12,0))-(T142-MIN(MAX(T142,0),MAX(0,P121-IF($A143&gt;='1-Input'!$C$12,'1-Input'!$B$12,0)))))*(1/(1-'P-Parametri'!$B$6*P143))))</f>
        <v>21855.205656915561</v>
      </c>
      <c r="R143" s="18">
        <f>IF($A143&gt;'1-Input'!$B$26,T142,(T142-MAX(0,P121-IF($A143&gt;='1-Input'!$C$12,'1-Input'!$B$12,0))+Q143*(1-'P-Parametri'!$B$6*P143))*(1+'1-Input'!$B$27))</f>
        <v>18682.213521902773</v>
      </c>
      <c r="S143" s="18">
        <f>IF($A143&gt;'1-Input'!$B$26,U142,(U142-Q143)*(1+'5-Roberta'!$C$4))</f>
        <v>164537.70060341223</v>
      </c>
      <c r="T143" s="18">
        <f>IF($A143&gt;'1-Input'!$B$26,R143,R143-'P-Parametri'!$B$8*(S143+R143)+MIN(MAX(S143,0),'P-Parametri'!$B$8*(S143+R143)))</f>
        <v>18682.213521902773</v>
      </c>
      <c r="U143" s="18">
        <f>IF($A143&gt;'1-Input'!$B$26,S143,S143-MIN(MAX(S143,0),'P-Parametri'!$B$8*(S143+R143)))</f>
        <v>164171.26077516159</v>
      </c>
      <c r="V143" s="18">
        <f>IF($A143&gt;'1-Input'!$B$26,V142,V142-Q143*(1-P143))</f>
        <v>74339.632897963165</v>
      </c>
      <c r="W143" s="11">
        <f>IF($A143&gt;'1-Input'!$B$26,0,IF(AB142&lt;=0,0,MAX(0,(AB142-AC142)/AB142)))</f>
        <v>0.53467209018227335</v>
      </c>
      <c r="X143" s="18">
        <f>IF($A143&gt;'1-Input'!$B$26,0,(MAX(0,W121-IF($A143&gt;='1-Input'!$C$12,'1-Input'!$B$12,0))-MIN(MAX(AA142,0),MAX(0,W121-IF($A143&gt;='1-Input'!$C$12,'1-Input'!$B$12,0))))*(1/(1-'P-Parametri'!$B$6*W143))+MIN(MAX(0,AB142-(MAX(0,W121-IF($A143&gt;='1-Input'!$C$12,'1-Input'!$B$12,0))-MIN(MAX(AA142,0),MAX(0,W121-IF($A143&gt;='1-Input'!$C$12,'1-Input'!$B$12,0))))*(1/(1-'P-Parametri'!$B$6*W143))),MAX(0,1*MAX(0,W121-IF($A143&gt;='1-Input'!$C$12,'1-Input'!$B$12,0))-(AA142-MIN(MAX(AA142,0),MAX(0,W121-IF($A143&gt;='1-Input'!$C$12,'1-Input'!$B$12,0)))))*(1/(1-'P-Parametri'!$B$6*W143))))</f>
        <v>21553.541593218069</v>
      </c>
      <c r="Y143" s="18">
        <f>IF($A143&gt;'1-Input'!$B$26,AA142,(AA142-MAX(0,W121-IF($A143&gt;='1-Input'!$C$12,'1-Input'!$B$12,0))+X143*(1-'P-Parametri'!$B$6*W143))*(1+'1-Input'!$B$27))</f>
        <v>18424.148390510636</v>
      </c>
      <c r="Z143" s="18">
        <f>IF($A143&gt;'1-Input'!$B$26,AB142,(AB142-X143)*(1+'5-Roberta'!$C$4))</f>
        <v>172805.90964608124</v>
      </c>
      <c r="AA143" s="18">
        <f>IF($A143&gt;'1-Input'!$B$26,Y143,Y143-'P-Parametri'!$B$8*(Z143+Y143)+MIN(MAX(Z143,0),'P-Parametri'!$B$8*(Z143+Y143)))</f>
        <v>18424.148390510636</v>
      </c>
      <c r="AB143" s="18">
        <f>IF($A143&gt;'1-Input'!$B$26,Z143,Z143-MIN(MAX(Z143,0),'P-Parametri'!$B$8*(Z143+Y143)))</f>
        <v>172423.44953000805</v>
      </c>
      <c r="AC143" s="18">
        <f>IF($A143&gt;'1-Input'!$B$26,AC142,AC142-X143*(1-W143))</f>
        <v>78069.332757050404</v>
      </c>
      <c r="AD143" s="11">
        <f>IF($A143&gt;'1-Input'!$B$26,0,IF(AI142&lt;=0,0,MAX(0,(AI142-AJ142)/AI142)))</f>
        <v>0.53467302840415576</v>
      </c>
      <c r="AE143" s="18">
        <f>IF($A143&gt;'1-Input'!$B$26,0,(MAX(0,AD121-IF($A143&gt;='1-Input'!$C$12,'1-Input'!$B$12,0))-MIN(MAX(AH142,0),MAX(0,AD121-IF($A143&gt;='1-Input'!$C$12,'1-Input'!$B$12,0))))*(1/(1-'P-Parametri'!$B$6*AD143))+MIN(MAX(0,AI142-(MAX(0,AD121-IF($A143&gt;='1-Input'!$C$12,'1-Input'!$B$12,0))-MIN(MAX(AH142,0),MAX(0,AD121-IF($A143&gt;='1-Input'!$C$12,'1-Input'!$B$12,0))))*(1/(1-'P-Parametri'!$B$6*AD143))),MAX(0,1*MAX(0,AD121-IF($A143&gt;='1-Input'!$C$12,'1-Input'!$B$12,0))-(AH142-MIN(MAX(AH142,0),MAX(0,AD121-IF($A143&gt;='1-Input'!$C$12,'1-Input'!$B$12,0)))))*(1/(1-'P-Parametri'!$B$6*AD143))))</f>
        <v>21545.376344539029</v>
      </c>
      <c r="AF143" s="18">
        <f>IF($A143&gt;'1-Input'!$B$26,AH142,(AH142-MAX(0,AD121-IF($A143&gt;='1-Input'!$C$12,'1-Input'!$B$12,0))+AE143*(1-'P-Parametri'!$B$6*AD143))*(1+'1-Input'!$B$27))</f>
        <v>18417.163449332857</v>
      </c>
      <c r="AG143" s="18">
        <f>IF($A143&gt;'1-Input'!$B$26,AI142,(AI142-AE143)*(1+'5-Roberta'!$C$4))</f>
        <v>173029.70325885675</v>
      </c>
      <c r="AH143" s="18">
        <f>IF($A143&gt;'1-Input'!$B$26,AF143,AF143-'P-Parametri'!$B$8*(AG143+AF143)+MIN(MAX(AG143,0),'P-Parametri'!$B$8*(AG143+AF143)))</f>
        <v>18417.163449332857</v>
      </c>
      <c r="AI143" s="18">
        <f>IF($A143&gt;'1-Input'!$B$26,AG143,AG143-MIN(MAX(AG143,0),'P-Parametri'!$B$8*(AG143+AF143)))</f>
        <v>172646.80952544036</v>
      </c>
      <c r="AJ143" s="18">
        <f>IF($A143&gt;'1-Input'!$B$26,AJ142,AJ142-AE143*(1-AD143))</f>
        <v>78170.279430651834</v>
      </c>
      <c r="AK143" s="11">
        <f>IF($A143&gt;'1-Input'!$B$26,0,IF(AP142&lt;=0,0,MAX(0,(AP142-AQ142)/AP142)))</f>
        <v>0.53467302260185723</v>
      </c>
      <c r="AL143" s="18">
        <f>IF($A143&gt;'1-Input'!$B$26,0,(MAX(0,AK121-IF($A143&gt;='1-Input'!$C$12,'1-Input'!$B$12,0))-MIN(MAX(AO142,0),MAX(0,AK121-IF($A143&gt;='1-Input'!$C$12,'1-Input'!$B$12,0))))*(1/(1-'P-Parametri'!$B$6*AK143))+MIN(MAX(0,AP142-(MAX(0,AK121-IF($A143&gt;='1-Input'!$C$12,'1-Input'!$B$12,0))-MIN(MAX(AO142,0),MAX(0,AK121-IF($A143&gt;='1-Input'!$C$12,'1-Input'!$B$12,0))))*(1/(1-'P-Parametri'!$B$6*AK143))),MAX(0,1*MAX(0,AK121-IF($A143&gt;='1-Input'!$C$12,'1-Input'!$B$12,0))-(AO142-MIN(MAX(AO142,0),MAX(0,AK121-IF($A143&gt;='1-Input'!$C$12,'1-Input'!$B$12,0)))))*(1/(1-'P-Parametri'!$B$6*AK143))))</f>
        <v>21545.426871576768</v>
      </c>
      <c r="AM143" s="18">
        <f>IF($A143&gt;'1-Input'!$B$26,AO142,(AO142-MAX(0,AK121-IF($A143&gt;='1-Input'!$C$12,'1-Input'!$B$12,0))+AL143*(1-'P-Parametri'!$B$6*AK143))*(1+'1-Input'!$B$27))</f>
        <v>18417.206672527071</v>
      </c>
      <c r="AN143" s="18">
        <f>IF($A143&gt;'1-Input'!$B$26,AP142,(AP142-AL143)*(1+'5-Roberta'!$C$4))</f>
        <v>173028.31841163256</v>
      </c>
      <c r="AO143" s="18">
        <f>IF($A143&gt;'1-Input'!$B$26,AM143,AM143-'P-Parametri'!$B$8*(AN143+AM143)+MIN(MAX(AN143,0),'P-Parametri'!$B$8*(AN143+AM143)))</f>
        <v>18417.206672527071</v>
      </c>
      <c r="AP143" s="18">
        <f>IF($A143&gt;'1-Input'!$B$26,AN143,AN143-MIN(MAX(AN143,0),'P-Parametri'!$B$8*(AN143+AM143)))</f>
        <v>172645.42736146424</v>
      </c>
      <c r="AQ143" s="18">
        <f>IF($A143&gt;'1-Input'!$B$26,AQ142,AQ142-AL143*(1-AK143))</f>
        <v>78169.654767736312</v>
      </c>
    </row>
    <row r="144" spans="1:43">
      <c r="A144" s="10">
        <f>21</f>
        <v>21</v>
      </c>
      <c r="B144" s="11">
        <f>IF($A144&gt;'1-Input'!$B$26,0,IF(G143&lt;=0,0,MAX(0,(G143-H143)/G143)))</f>
        <v>0.54745981769067953</v>
      </c>
      <c r="C144" s="18">
        <f>IF($A144&gt;'1-Input'!$B$26,0,(MAX(0,B121-IF($A144&gt;='1-Input'!$C$12,'1-Input'!$B$12,0))-MIN(MAX(F143,0),MAX(0,B121-IF($A144&gt;='1-Input'!$C$12,'1-Input'!$B$12,0))))*(1/(1-'P-Parametri'!$B$6*B144))+MIN(MAX(0,G143-(MAX(0,B121-IF($A144&gt;='1-Input'!$C$12,'1-Input'!$B$12,0))-MIN(MAX(F143,0),MAX(0,B121-IF($A144&gt;='1-Input'!$C$12,'1-Input'!$B$12,0))))*(1/(1-'P-Parametri'!$B$6*B144))),MAX(0,1*MAX(0,B121-IF($A144&gt;='1-Input'!$C$12,'1-Input'!$B$12,0))-(F143-MIN(MAX(F143,0),MAX(0,B121-IF($A144&gt;='1-Input'!$C$12,'1-Input'!$B$12,0)))))*(1/(1-'P-Parametri'!$B$6*B144))))</f>
        <v>19519.504676356366</v>
      </c>
      <c r="D144" s="18">
        <f>IF($A144&gt;'1-Input'!$B$26,F143,(F143-MAX(0,B121-IF($A144&gt;='1-Input'!$C$12,'1-Input'!$B$12,0))+C144*(1-'P-Parametri'!$B$6*B144))*(1+'1-Input'!$B$27))</f>
        <v>16621.00351549315</v>
      </c>
      <c r="E144" s="18">
        <f>IF($A144&gt;'1-Input'!$B$26,G143,(G143-C144)*(1+'5-Roberta'!$C$4))</f>
        <v>216883.00101962639</v>
      </c>
      <c r="F144" s="18">
        <f>IF($A144&gt;'1-Input'!$B$26,D144,D144-'P-Parametri'!$B$8*(E144+D144)+MIN(MAX(E144,0),'P-Parametri'!$B$8*(E144+D144)))</f>
        <v>16621.00351549315</v>
      </c>
      <c r="G144" s="18">
        <f>IF($A144&gt;'1-Input'!$B$26,E144,E144-MIN(MAX(E144,0),'P-Parametri'!$B$8*(E144+D144)))</f>
        <v>216415.99301055615</v>
      </c>
      <c r="H144" s="18">
        <f>IF($A144&gt;'1-Input'!$B$26,H143,H143-C144*(1-B144))</f>
        <v>95289.585263314817</v>
      </c>
      <c r="I144" s="11">
        <f>IF($A144&gt;'1-Input'!$B$26,0,IF(N143&lt;=0,0,MAX(0,(N143-O143)/N143)))</f>
        <v>0.54632134926461628</v>
      </c>
      <c r="J144" s="18">
        <f>IF($A144&gt;'1-Input'!$B$26,0,(MAX(0,I121-IF($A144&gt;='1-Input'!$C$12,'1-Input'!$B$12,0))-MIN(MAX(M143,0),MAX(0,I121-IF($A144&gt;='1-Input'!$C$12,'1-Input'!$B$12,0))))*(1/(1-'P-Parametri'!$B$6*I144))+MIN(MAX(0,N143-(MAX(0,I121-IF($A144&gt;='1-Input'!$C$12,'1-Input'!$B$12,0))-MIN(MAX(M143,0),MAX(0,I121-IF($A144&gt;='1-Input'!$C$12,'1-Input'!$B$12,0))))*(1/(1-'P-Parametri'!$B$6*I144))),MAX(0,1*MAX(0,I121-IF($A144&gt;='1-Input'!$C$12,'1-Input'!$B$12,0))-(M143-MIN(MAX(M143,0),MAX(0,I121-IF($A144&gt;='1-Input'!$C$12,'1-Input'!$B$12,0)))))*(1/(1-'P-Parametri'!$B$6*I144))))</f>
        <v>25674.697752862561</v>
      </c>
      <c r="K144" s="18">
        <f>IF($A144&gt;'1-Input'!$B$26,M143,(M143-MAX(0,I121-IF($A144&gt;='1-Input'!$C$12,'1-Input'!$B$12,0))+J144*(1-'P-Parametri'!$B$6*I144))*(1+'1-Input'!$B$27))</f>
        <v>21869.741467754146</v>
      </c>
      <c r="L144" s="18">
        <f>IF($A144&gt;'1-Input'!$B$26,N143,(N143-J144)*(1+'5-Roberta'!$C$4))</f>
        <v>37677.183374761902</v>
      </c>
      <c r="M144" s="18">
        <f>IF($A144&gt;'1-Input'!$B$26,K144,K144-'P-Parametri'!$B$8*(L144+K144)+MIN(MAX(L144,0),'P-Parametri'!$B$8*(L144+K144)))</f>
        <v>21869.741467754146</v>
      </c>
      <c r="N144" s="18">
        <f>IF($A144&gt;'1-Input'!$B$26,L144,L144-MIN(MAX(L144,0),'P-Parametri'!$B$8*(L144+K144)))</f>
        <v>37558.089525076874</v>
      </c>
      <c r="O144" s="18">
        <f>IF($A144&gt;'1-Input'!$B$26,O143,O143-J144*(1-I144))</f>
        <v>16595.469628127779</v>
      </c>
      <c r="P144" s="11">
        <f>IF($A144&gt;'1-Input'!$B$26,0,IF(U143&lt;=0,0,MAX(0,(U143-V143)/U143)))</f>
        <v>0.54718242068096223</v>
      </c>
      <c r="Q144" s="18">
        <f>IF($A144&gt;'1-Input'!$B$26,0,(MAX(0,P121-IF($A144&gt;='1-Input'!$C$12,'1-Input'!$B$12,0))-MIN(MAX(T143,0),MAX(0,P121-IF($A144&gt;='1-Input'!$C$12,'1-Input'!$B$12,0))))*(1/(1-'P-Parametri'!$B$6*P144))+MIN(MAX(0,U143-(MAX(0,P121-IF($A144&gt;='1-Input'!$C$12,'1-Input'!$B$12,0))-MIN(MAX(T143,0),MAX(0,P121-IF($A144&gt;='1-Input'!$C$12,'1-Input'!$B$12,0))))*(1/(1-'P-Parametri'!$B$6*P144))),MAX(0,1*MAX(0,P121-IF($A144&gt;='1-Input'!$C$12,'1-Input'!$B$12,0))-(T143-MIN(MAX(T143,0),MAX(0,P121-IF($A144&gt;='1-Input'!$C$12,'1-Input'!$B$12,0)))))*(1/(1-'P-Parametri'!$B$6*P144))))</f>
        <v>21938.31981702835</v>
      </c>
      <c r="R144" s="18">
        <f>IF($A144&gt;'1-Input'!$B$26,T143,(T143-MAX(0,P121-IF($A144&gt;='1-Input'!$C$12,'1-Input'!$B$12,0))+Q144*(1-'P-Parametri'!$B$6*P144))*(1+'1-Input'!$B$27))</f>
        <v>18682.21352190277</v>
      </c>
      <c r="S144" s="18">
        <f>IF($A144&gt;'1-Input'!$B$26,U143,(U143-Q144)*(1+'5-Roberta'!$C$4))</f>
        <v>146499.92918687724</v>
      </c>
      <c r="T144" s="18">
        <f>IF($A144&gt;'1-Input'!$B$26,R144,R144-'P-Parametri'!$B$8*(S144+R144)+MIN(MAX(S144,0),'P-Parametri'!$B$8*(S144+R144)))</f>
        <v>18682.21352190277</v>
      </c>
      <c r="U144" s="18">
        <f>IF($A144&gt;'1-Input'!$B$26,S144,S144-MIN(MAX(S144,0),'P-Parametri'!$B$8*(S144+R144)))</f>
        <v>146169.56490145967</v>
      </c>
      <c r="V144" s="18">
        <f>IF($A144&gt;'1-Input'!$B$26,V143,V143-Q144*(1-P144))</f>
        <v>64405.576024089511</v>
      </c>
      <c r="W144" s="11">
        <f>IF($A144&gt;'1-Input'!$B$26,0,IF(AB143&lt;=0,0,MAX(0,(AB143-AC143)/AB143)))</f>
        <v>0.54722322880181407</v>
      </c>
      <c r="X144" s="18">
        <f>IF($A144&gt;'1-Input'!$B$26,0,(MAX(0,W121-IF($A144&gt;='1-Input'!$C$12,'1-Input'!$B$12,0))-MIN(MAX(AA143,0),MAX(0,W121-IF($A144&gt;='1-Input'!$C$12,'1-Input'!$B$12,0))))*(1/(1-'P-Parametri'!$B$6*W144))+MIN(MAX(0,AB143-(MAX(0,W121-IF($A144&gt;='1-Input'!$C$12,'1-Input'!$B$12,0))-MIN(MAX(AA143,0),MAX(0,W121-IF($A144&gt;='1-Input'!$C$12,'1-Input'!$B$12,0))))*(1/(1-'P-Parametri'!$B$6*W144))),MAX(0,1*MAX(0,W121-IF($A144&gt;='1-Input'!$C$12,'1-Input'!$B$12,0))-(AA143-MIN(MAX(AA143,0),MAX(0,W121-IF($A144&gt;='1-Input'!$C$12,'1-Input'!$B$12,0)))))*(1/(1-'P-Parametri'!$B$6*W144))))</f>
        <v>21635.544375227371</v>
      </c>
      <c r="Y144" s="18">
        <f>IF($A144&gt;'1-Input'!$B$26,AA143,(AA143-MAX(0,W121-IF($A144&gt;='1-Input'!$C$12,'1-Input'!$B$12,0))+X144*(1-'P-Parametri'!$B$6*W144))*(1+'1-Input'!$B$27))</f>
        <v>18424.148390510636</v>
      </c>
      <c r="Z144" s="18">
        <f>IF($A144&gt;'1-Input'!$B$26,AB143,(AB143-X144)*(1+'5-Roberta'!$C$4))</f>
        <v>155311.54230942408</v>
      </c>
      <c r="AA144" s="18">
        <f>IF($A144&gt;'1-Input'!$B$26,Y144,Y144-'P-Parametri'!$B$8*(Z144+Y144)+MIN(MAX(Z144,0),'P-Parametri'!$B$8*(Z144+Y144)))</f>
        <v>18424.148390510636</v>
      </c>
      <c r="AB144" s="18">
        <f>IF($A144&gt;'1-Input'!$B$26,Z144,Z144-MIN(MAX(Z144,0),'P-Parametri'!$B$8*(Z144+Y144)))</f>
        <v>154964.07092802422</v>
      </c>
      <c r="AC144" s="18">
        <f>IF($A144&gt;'1-Input'!$B$26,AC143,AC143-X144*(1-W144))</f>
        <v>68273.260831719876</v>
      </c>
      <c r="AD144" s="11">
        <f>IF($A144&gt;'1-Input'!$B$26,0,IF(AI143&lt;=0,0,MAX(0,(AI143-AJ143)/AI143)))</f>
        <v>0.54722430350424134</v>
      </c>
      <c r="AE144" s="18">
        <f>IF($A144&gt;'1-Input'!$B$26,0,(MAX(0,AD121-IF($A144&gt;='1-Input'!$C$12,'1-Input'!$B$12,0))-MIN(MAX(AH143,0),MAX(0,AD121-IF($A144&gt;='1-Input'!$C$12,'1-Input'!$B$12,0))))*(1/(1-'P-Parametri'!$B$6*AD144))+MIN(MAX(0,AI143-(MAX(0,AD121-IF($A144&gt;='1-Input'!$C$12,'1-Input'!$B$12,0))-MIN(MAX(AH143,0),MAX(0,AD121-IF($A144&gt;='1-Input'!$C$12,'1-Input'!$B$12,0))))*(1/(1-'P-Parametri'!$B$6*AD144))),MAX(0,1*MAX(0,AD121-IF($A144&gt;='1-Input'!$C$12,'1-Input'!$B$12,0))-(AH143-MIN(MAX(AH143,0),MAX(0,AD121-IF($A144&gt;='1-Input'!$C$12,'1-Input'!$B$12,0)))))*(1/(1-'P-Parametri'!$B$6*AD144))))</f>
        <v>21627.348979037302</v>
      </c>
      <c r="AF144" s="18">
        <f>IF($A144&gt;'1-Input'!$B$26,AH143,(AH143-MAX(0,AD121-IF($A144&gt;='1-Input'!$C$12,'1-Input'!$B$12,0))+AE144*(1-'P-Parametri'!$B$6*AD144))*(1+'1-Input'!$B$27))</f>
        <v>18417.163449332857</v>
      </c>
      <c r="AG144" s="18">
        <f>IF($A144&gt;'1-Input'!$B$26,AI143,(AI143-AE144)*(1+'5-Roberta'!$C$4))</f>
        <v>155550.04436279513</v>
      </c>
      <c r="AH144" s="18">
        <f>IF($A144&gt;'1-Input'!$B$26,AF144,AF144-'P-Parametri'!$B$8*(AG144+AF144)+MIN(MAX(AG144,0),'P-Parametri'!$B$8*(AG144+AF144)))</f>
        <v>18417.163449332857</v>
      </c>
      <c r="AI144" s="18">
        <f>IF($A144&gt;'1-Input'!$B$26,AG144,AG144-MIN(MAX(AG144,0),'P-Parametri'!$B$8*(AG144+AF144)))</f>
        <v>155202.10994717089</v>
      </c>
      <c r="AJ144" s="18">
        <f>IF($A144&gt;'1-Input'!$B$26,AJ143,AJ143-AE144*(1-AD144))</f>
        <v>68377.941433311382</v>
      </c>
      <c r="AK144" s="11">
        <f>IF($A144&gt;'1-Input'!$B$26,0,IF(AP143&lt;=0,0,MAX(0,(AP143-AQ143)/AP143)))</f>
        <v>0.54722429685858931</v>
      </c>
      <c r="AL144" s="18">
        <f>IF($A144&gt;'1-Input'!$B$26,0,(MAX(0,AK121-IF($A144&gt;='1-Input'!$C$12,'1-Input'!$B$12,0))-MIN(MAX(AO143,0),MAX(0,AK121-IF($A144&gt;='1-Input'!$C$12,'1-Input'!$B$12,0))))*(1/(1-'P-Parametri'!$B$6*AK144))+MIN(MAX(0,AP143-(MAX(0,AK121-IF($A144&gt;='1-Input'!$C$12,'1-Input'!$B$12,0))-MIN(MAX(AO143,0),MAX(0,AK121-IF($A144&gt;='1-Input'!$C$12,'1-Input'!$B$12,0))))*(1/(1-'P-Parametri'!$B$6*AK144))),MAX(0,1*MAX(0,AK121-IF($A144&gt;='1-Input'!$C$12,'1-Input'!$B$12,0))-(AO143-MIN(MAX(AO143,0),MAX(0,AK121-IF($A144&gt;='1-Input'!$C$12,'1-Input'!$B$12,0)))))*(1/(1-'P-Parametri'!$B$6*AK144))))</f>
        <v>21627.399692639679</v>
      </c>
      <c r="AM144" s="18">
        <f>IF($A144&gt;'1-Input'!$B$26,AO143,(AO143-MAX(0,AK121-IF($A144&gt;='1-Input'!$C$12,'1-Input'!$B$12,0))+AL144*(1-'P-Parametri'!$B$6*AK144))*(1+'1-Input'!$B$27))</f>
        <v>18417.206672527071</v>
      </c>
      <c r="AN144" s="18">
        <f>IF($A144&gt;'1-Input'!$B$26,AP143,(AP143-AL144)*(1+'5-Roberta'!$C$4))</f>
        <v>155548.5684988893</v>
      </c>
      <c r="AO144" s="18">
        <f>IF($A144&gt;'1-Input'!$B$26,AM144,AM144-'P-Parametri'!$B$8*(AN144+AM144)+MIN(MAX(AN144,0),'P-Parametri'!$B$8*(AN144+AM144)))</f>
        <v>18417.206672527071</v>
      </c>
      <c r="AP144" s="18">
        <f>IF($A144&gt;'1-Input'!$B$26,AN144,AN144-MIN(MAX(AN144,0),'P-Parametri'!$B$8*(AN144+AM144)))</f>
        <v>155200.63694854648</v>
      </c>
      <c r="AQ144" s="18">
        <f>IF($A144&gt;'1-Input'!$B$26,AQ143,AQ143-AL144*(1-AK144))</f>
        <v>68377.293664781057</v>
      </c>
    </row>
    <row r="145" spans="1:43">
      <c r="A145" s="10">
        <f>22</f>
        <v>22</v>
      </c>
      <c r="B145" s="11">
        <f>IF($A145&gt;'1-Input'!$B$26,0,IF(G144&lt;=0,0,MAX(0,(G144-H144)/G144)))</f>
        <v>0.55969249805550714</v>
      </c>
      <c r="C145" s="18">
        <f>IF($A145&gt;'1-Input'!$B$26,0,(MAX(0,B121-IF($A145&gt;='1-Input'!$C$12,'1-Input'!$B$12,0))-MIN(MAX(F144,0),MAX(0,B121-IF($A145&gt;='1-Input'!$C$12,'1-Input'!$B$12,0))))*(1/(1-'P-Parametri'!$B$6*B145))+MIN(MAX(0,G144-(MAX(0,B121-IF($A145&gt;='1-Input'!$C$12,'1-Input'!$B$12,0))-MIN(MAX(F144,0),MAX(0,B121-IF($A145&gt;='1-Input'!$C$12,'1-Input'!$B$12,0))))*(1/(1-'P-Parametri'!$B$6*B145))),MAX(0,1*MAX(0,B121-IF($A145&gt;='1-Input'!$C$12,'1-Input'!$B$12,0))-(F144-MIN(MAX(F144,0),MAX(0,B121-IF($A145&gt;='1-Input'!$C$12,'1-Input'!$B$12,0)))))*(1/(1-'P-Parametri'!$B$6*B145))))</f>
        <v>19592.159071553735</v>
      </c>
      <c r="D145" s="18">
        <f>IF($A145&gt;'1-Input'!$B$26,F144,(F144-MAX(0,B121-IF($A145&gt;='1-Input'!$C$12,'1-Input'!$B$12,0))+C145*(1-'P-Parametri'!$B$6*B145))*(1+'1-Input'!$B$27))</f>
        <v>16621.00351549315</v>
      </c>
      <c r="E145" s="18">
        <f>IF($A145&gt;'1-Input'!$B$26,G144,(G144-C145)*(1+'5-Roberta'!$C$4))</f>
        <v>202728.54895717249</v>
      </c>
      <c r="F145" s="18">
        <f>IF($A145&gt;'1-Input'!$B$26,D145,D145-'P-Parametri'!$B$8*(E145+D145)+MIN(MAX(E145,0),'P-Parametri'!$B$8*(E145+D145)))</f>
        <v>16621.00351549315</v>
      </c>
      <c r="G145" s="18">
        <f>IF($A145&gt;'1-Input'!$B$26,E145,E145-MIN(MAX(E145,0),'P-Parametri'!$B$8*(E145+D145)))</f>
        <v>202289.84985222717</v>
      </c>
      <c r="H145" s="18">
        <f>IF($A145&gt;'1-Input'!$B$26,H144,H144-C145*(1-B145))</f>
        <v>86663.010644819849</v>
      </c>
      <c r="I145" s="11">
        <f>IF($A145&gt;'1-Input'!$B$26,0,IF(N144&lt;=0,0,MAX(0,(N144-O144)/N144)))</f>
        <v>0.55813861040383117</v>
      </c>
      <c r="J145" s="18">
        <f>IF($A145&gt;'1-Input'!$B$26,0,(MAX(0,I121-IF($A145&gt;='1-Input'!$C$12,'1-Input'!$B$12,0))-MIN(MAX(M144,0),MAX(0,I121-IF($A145&gt;='1-Input'!$C$12,'1-Input'!$B$12,0))))*(1/(1-'P-Parametri'!$B$6*I145))+MIN(MAX(0,N144-(MAX(0,I121-IF($A145&gt;='1-Input'!$C$12,'1-Input'!$B$12,0))-MIN(MAX(M144,0),MAX(0,I121-IF($A145&gt;='1-Input'!$C$12,'1-Input'!$B$12,0))))*(1/(1-'P-Parametri'!$B$6*I145))),MAX(0,1*MAX(0,I121-IF($A145&gt;='1-Input'!$C$12,'1-Input'!$B$12,0))-(M144-MIN(MAX(M144,0),MAX(0,I121-IF($A145&gt;='1-Input'!$C$12,'1-Input'!$B$12,0)))))*(1/(1-'P-Parametri'!$B$6*I145))))</f>
        <v>25766.973665917078</v>
      </c>
      <c r="K145" s="18">
        <f>IF($A145&gt;'1-Input'!$B$26,M144,(M144-MAX(0,I121-IF($A145&gt;='1-Input'!$C$12,'1-Input'!$B$12,0))+J145*(1-'P-Parametri'!$B$6*I145))*(1+'1-Input'!$B$27))</f>
        <v>21869.741467754149</v>
      </c>
      <c r="L145" s="18">
        <f>IF($A145&gt;'1-Input'!$B$26,N144,(N144-J145)*(1+'5-Roberta'!$C$4))</f>
        <v>12144.84933493459</v>
      </c>
      <c r="M145" s="18">
        <f>IF($A145&gt;'1-Input'!$B$26,K145,K145-'P-Parametri'!$B$8*(L145+K145)+MIN(MAX(L145,0),'P-Parametri'!$B$8*(L145+K145)))</f>
        <v>21869.741467754149</v>
      </c>
      <c r="N145" s="18">
        <f>IF($A145&gt;'1-Input'!$B$26,L145,L145-MIN(MAX(L145,0),'P-Parametri'!$B$8*(L145+K145)))</f>
        <v>12076.820153329212</v>
      </c>
      <c r="O145" s="18">
        <f>IF($A145&gt;'1-Input'!$B$26,O144,O144-J145*(1-I145))</f>
        <v>5210.0388384177713</v>
      </c>
      <c r="P145" s="11">
        <f>IF($A145&gt;'1-Input'!$B$26,0,IF(U144&lt;=0,0,MAX(0,(U144-V144)/U144)))</f>
        <v>0.55937765794467154</v>
      </c>
      <c r="Q145" s="18">
        <f>IF($A145&gt;'1-Input'!$B$26,0,(MAX(0,P121-IF($A145&gt;='1-Input'!$C$12,'1-Input'!$B$12,0))-MIN(MAX(T144,0),MAX(0,P121-IF($A145&gt;='1-Input'!$C$12,'1-Input'!$B$12,0))))*(1/(1-'P-Parametri'!$B$6*P145))+MIN(MAX(0,U144-(MAX(0,P121-IF($A145&gt;='1-Input'!$C$12,'1-Input'!$B$12,0))-MIN(MAX(T144,0),MAX(0,P121-IF($A145&gt;='1-Input'!$C$12,'1-Input'!$B$12,0))))*(1/(1-'P-Parametri'!$B$6*P145))),MAX(0,1*MAX(0,P121-IF($A145&gt;='1-Input'!$C$12,'1-Input'!$B$12,0))-(T144-MIN(MAX(T144,0),MAX(0,P121-IF($A145&gt;='1-Input'!$C$12,'1-Input'!$B$12,0)))))*(1/(1-'P-Parametri'!$B$6*P145))))</f>
        <v>22019.71964470618</v>
      </c>
      <c r="R145" s="18">
        <f>IF($A145&gt;'1-Input'!$B$26,T144,(T144-MAX(0,P121-IF($A145&gt;='1-Input'!$C$12,'1-Input'!$B$12,0))+Q145*(1-'P-Parametri'!$B$6*P145))*(1+'1-Input'!$B$27))</f>
        <v>18682.213521902773</v>
      </c>
      <c r="S145" s="18">
        <f>IF($A145&gt;'1-Input'!$B$26,U144,(U144-Q145)*(1+'5-Roberta'!$C$4))</f>
        <v>127874.3406144561</v>
      </c>
      <c r="T145" s="18">
        <f>IF($A145&gt;'1-Input'!$B$26,R145,R145-'P-Parametri'!$B$8*(S145+R145)+MIN(MAX(S145,0),'P-Parametri'!$B$8*(S145+R145)))</f>
        <v>18682.213521902773</v>
      </c>
      <c r="U145" s="18">
        <f>IF($A145&gt;'1-Input'!$B$26,S145,S145-MIN(MAX(S145,0),'P-Parametri'!$B$8*(S145+R145)))</f>
        <v>127581.22750618338</v>
      </c>
      <c r="V145" s="18">
        <f>IF($A145&gt;'1-Input'!$B$26,V144,V144-Q145*(1-P145))</f>
        <v>54703.195582837347</v>
      </c>
      <c r="W145" s="11">
        <f>IF($A145&gt;'1-Input'!$B$26,0,IF(AB144&lt;=0,0,MAX(0,(AB144-AC144)/AB144)))</f>
        <v>0.55942522403512107</v>
      </c>
      <c r="X145" s="18">
        <f>IF($A145&gt;'1-Input'!$B$26,0,(MAX(0,W121-IF($A145&gt;='1-Input'!$C$12,'1-Input'!$B$12,0))-MIN(MAX(AA144,0),MAX(0,W121-IF($A145&gt;='1-Input'!$C$12,'1-Input'!$B$12,0))))*(1/(1-'P-Parametri'!$B$6*W145))+MIN(MAX(0,AB144-(MAX(0,W121-IF($A145&gt;='1-Input'!$C$12,'1-Input'!$B$12,0))-MIN(MAX(AA144,0),MAX(0,W121-IF($A145&gt;='1-Input'!$C$12,'1-Input'!$B$12,0))))*(1/(1-'P-Parametri'!$B$6*W145))),MAX(0,1*MAX(0,W121-IF($A145&gt;='1-Input'!$C$12,'1-Input'!$B$12,0))-(AA144-MIN(MAX(AA144,0),MAX(0,W121-IF($A145&gt;='1-Input'!$C$12,'1-Input'!$B$12,0)))))*(1/(1-'P-Parametri'!$B$6*W145))))</f>
        <v>21715.866433933374</v>
      </c>
      <c r="Y145" s="18">
        <f>IF($A145&gt;'1-Input'!$B$26,AA144,(AA144-MAX(0,W121-IF($A145&gt;='1-Input'!$C$12,'1-Input'!$B$12,0))+X145*(1-'P-Parametri'!$B$6*W145))*(1+'1-Input'!$B$27))</f>
        <v>18424.148390510636</v>
      </c>
      <c r="Z145" s="18">
        <f>IF($A145&gt;'1-Input'!$B$26,AB144,(AB144-X145)*(1+'5-Roberta'!$C$4))</f>
        <v>137245.65062891357</v>
      </c>
      <c r="AA145" s="18">
        <f>IF($A145&gt;'1-Input'!$B$26,Y145,Y145-'P-Parametri'!$B$8*(Z145+Y145)+MIN(MAX(Z145,0),'P-Parametri'!$B$8*(Z145+Y145)))</f>
        <v>18424.148390510636</v>
      </c>
      <c r="AB145" s="18">
        <f>IF($A145&gt;'1-Input'!$B$26,Z145,Z145-MIN(MAX(Z145,0),'P-Parametri'!$B$8*(Z145+Y145)))</f>
        <v>136934.31103087473</v>
      </c>
      <c r="AC145" s="18">
        <f>IF($A145&gt;'1-Input'!$B$26,AC144,AC144-X145*(1-W145))</f>
        <v>58705.797842706444</v>
      </c>
      <c r="AD145" s="11">
        <f>IF($A145&gt;'1-Input'!$B$26,0,IF(AI144&lt;=0,0,MAX(0,(AI144-AJ144)/AI144)))</f>
        <v>0.55942647006160873</v>
      </c>
      <c r="AE145" s="18">
        <f>IF($A145&gt;'1-Input'!$B$26,0,(MAX(0,AD121-IF($A145&gt;='1-Input'!$C$12,'1-Input'!$B$12,0))-MIN(MAX(AH144,0),MAX(0,AD121-IF($A145&gt;='1-Input'!$C$12,'1-Input'!$B$12,0))))*(1/(1-'P-Parametri'!$B$6*AD145))+MIN(MAX(0,AI144-(MAX(0,AD121-IF($A145&gt;='1-Input'!$C$12,'1-Input'!$B$12,0))-MIN(MAX(AH144,0),MAX(0,AD121-IF($A145&gt;='1-Input'!$C$12,'1-Input'!$B$12,0))))*(1/(1-'P-Parametri'!$B$6*AD145))),MAX(0,1*MAX(0,AD121-IF($A145&gt;='1-Input'!$C$12,'1-Input'!$B$12,0))-(AH144-MIN(MAX(AH144,0),MAX(0,AD121-IF($A145&gt;='1-Input'!$C$12,'1-Input'!$B$12,0)))))*(1/(1-'P-Parametri'!$B$6*AD145))))</f>
        <v>21707.641770084152</v>
      </c>
      <c r="AF145" s="18">
        <f>IF($A145&gt;'1-Input'!$B$26,AH144,(AH144-MAX(0,AD121-IF($A145&gt;='1-Input'!$C$12,'1-Input'!$B$12,0))+AE145*(1-'P-Parametri'!$B$6*AD145))*(1+'1-Input'!$B$27))</f>
        <v>18417.163449332857</v>
      </c>
      <c r="AG145" s="18">
        <f>IF($A145&gt;'1-Input'!$B$26,AI144,(AI144-AE145)*(1+'5-Roberta'!$C$4))</f>
        <v>137499.30222239933</v>
      </c>
      <c r="AH145" s="18">
        <f>IF($A145&gt;'1-Input'!$B$26,AF145,AF145-'P-Parametri'!$B$8*(AG145+AF145)+MIN(MAX(AG145,0),'P-Parametri'!$B$8*(AG145+AF145)))</f>
        <v>18417.163449332857</v>
      </c>
      <c r="AI145" s="18">
        <f>IF($A145&gt;'1-Input'!$B$26,AG145,AG145-MIN(MAX(AG145,0),'P-Parametri'!$B$8*(AG145+AF145)))</f>
        <v>137187.46929105587</v>
      </c>
      <c r="AJ145" s="18">
        <f>IF($A145&gt;'1-Input'!$B$26,AJ144,AJ144-AE145*(1-AD145))</f>
        <v>58814.129072027339</v>
      </c>
      <c r="AK145" s="11">
        <f>IF($A145&gt;'1-Input'!$B$26,0,IF(AP144&lt;=0,0,MAX(0,(AP144-AQ144)/AP144)))</f>
        <v>0.55942646235756033</v>
      </c>
      <c r="AL145" s="18">
        <f>IF($A145&gt;'1-Input'!$B$26,0,(MAX(0,AK121-IF($A145&gt;='1-Input'!$C$12,'1-Input'!$B$12,0))-MIN(MAX(AO144,0),MAX(0,AK121-IF($A145&gt;='1-Input'!$C$12,'1-Input'!$B$12,0))))*(1/(1-'P-Parametri'!$B$6*AK145))+MIN(MAX(0,AP144-(MAX(0,AK121-IF($A145&gt;='1-Input'!$C$12,'1-Input'!$B$12,0))-MIN(MAX(AO144,0),MAX(0,AK121-IF($A145&gt;='1-Input'!$C$12,'1-Input'!$B$12,0))))*(1/(1-'P-Parametri'!$B$6*AK145))),MAX(0,1*MAX(0,AK121-IF($A145&gt;='1-Input'!$C$12,'1-Input'!$B$12,0))-(AO144-MIN(MAX(AO144,0),MAX(0,AK121-IF($A145&gt;='1-Input'!$C$12,'1-Input'!$B$12,0)))))*(1/(1-'P-Parametri'!$B$6*AK145))))</f>
        <v>21707.692664811031</v>
      </c>
      <c r="AM145" s="18">
        <f>IF($A145&gt;'1-Input'!$B$26,AO144,(AO144-MAX(0,AK121-IF($A145&gt;='1-Input'!$C$12,'1-Input'!$B$12,0))+AL145*(1-'P-Parametri'!$B$6*AK145))*(1+'1-Input'!$B$27))</f>
        <v>18417.206672527067</v>
      </c>
      <c r="AN145" s="18">
        <f>IF($A145&gt;'1-Input'!$B$26,AP144,(AP144-AL145)*(1+'5-Roberta'!$C$4))</f>
        <v>137497.73261224752</v>
      </c>
      <c r="AO145" s="18">
        <f>IF($A145&gt;'1-Input'!$B$26,AM145,AM145-'P-Parametri'!$B$8*(AN145+AM145)+MIN(MAX(AN145,0),'P-Parametri'!$B$8*(AN145+AM145)))</f>
        <v>18417.206672527067</v>
      </c>
      <c r="AP145" s="18">
        <f>IF($A145&gt;'1-Input'!$B$26,AN145,AN145-MIN(MAX(AN145,0),'P-Parametri'!$B$8*(AN145+AM145)))</f>
        <v>137185.90273367797</v>
      </c>
      <c r="AQ145" s="18">
        <f>IF($A145&gt;'1-Input'!$B$26,AQ144,AQ144-AL145*(1-AK145))</f>
        <v>58813.458713390421</v>
      </c>
    </row>
    <row r="146" spans="1:43">
      <c r="A146" s="10">
        <f>23</f>
        <v>23</v>
      </c>
      <c r="B146" s="11">
        <f>IF($A146&gt;'1-Input'!$B$26,0,IF(G145&lt;=0,0,MAX(0,(G145-H145)/G145)))</f>
        <v>0.57158992056137659</v>
      </c>
      <c r="C146" s="18">
        <f>IF($A146&gt;'1-Input'!$B$26,0,(MAX(0,B121-IF($A146&gt;='1-Input'!$C$12,'1-Input'!$B$12,0))-MIN(MAX(F145,0),MAX(0,B121-IF($A146&gt;='1-Input'!$C$12,'1-Input'!$B$12,0))))*(1/(1-'P-Parametri'!$B$6*B146))+MIN(MAX(0,G145-(MAX(0,B121-IF($A146&gt;='1-Input'!$C$12,'1-Input'!$B$12,0))-MIN(MAX(F145,0),MAX(0,B121-IF($A146&gt;='1-Input'!$C$12,'1-Input'!$B$12,0))))*(1/(1-'P-Parametri'!$B$6*B146))),MAX(0,1*MAX(0,B121-IF($A146&gt;='1-Input'!$C$12,'1-Input'!$B$12,0))-(F145-MIN(MAX(F145,0),MAX(0,B121-IF($A146&gt;='1-Input'!$C$12,'1-Input'!$B$12,0)))))*(1/(1-'P-Parametri'!$B$6*B146))))</f>
        <v>0</v>
      </c>
      <c r="D146" s="18">
        <f>IF($A146&gt;'1-Input'!$B$26,F145,(F145-MAX(0,B121-IF($A146&gt;='1-Input'!$C$12,'1-Input'!$B$12,0))+C146*(1-'P-Parametri'!$B$6*B146))*(1+'1-Input'!$B$27))</f>
        <v>11002.197187344225</v>
      </c>
      <c r="E146" s="18">
        <f>IF($A146&gt;'1-Input'!$B$26,G145,(G145-C146)*(1+'5-Roberta'!$C$4))</f>
        <v>208358.54534779399</v>
      </c>
      <c r="F146" s="18">
        <f>IF($A146&gt;'1-Input'!$B$26,D146,D146-'P-Parametri'!$B$8*(E146+D146)+MIN(MAX(E146,0),'P-Parametri'!$B$8*(E146+D146)))</f>
        <v>11002.197187344225</v>
      </c>
      <c r="G146" s="18">
        <f>IF($A146&gt;'1-Input'!$B$26,E146,E146-MIN(MAX(E146,0),'P-Parametri'!$B$8*(E146+D146)))</f>
        <v>207919.82386272372</v>
      </c>
      <c r="H146" s="18">
        <f>IF($A146&gt;'1-Input'!$B$26,H145,H145-C146*(1-B146))</f>
        <v>86663.010644819849</v>
      </c>
      <c r="I146" s="11">
        <f>IF($A146&gt;'1-Input'!$B$26,0,IF(N145&lt;=0,0,MAX(0,(N145-O145)/N145)))</f>
        <v>0.56859183358944676</v>
      </c>
      <c r="J146" s="18">
        <f>IF($A146&gt;'1-Input'!$B$26,0,(MAX(0,I121-IF($A146&gt;='1-Input'!$C$12,'1-Input'!$B$12,0))-MIN(MAX(M145,0),MAX(0,I121-IF($A146&gt;='1-Input'!$C$12,'1-Input'!$B$12,0))))*(1/(1-'P-Parametri'!$B$6*I146))+MIN(MAX(0,N145-(MAX(0,I121-IF($A146&gt;='1-Input'!$C$12,'1-Input'!$B$12,0))-MIN(MAX(M145,0),MAX(0,I121-IF($A146&gt;='1-Input'!$C$12,'1-Input'!$B$12,0))))*(1/(1-'P-Parametri'!$B$6*I146))),MAX(0,1*MAX(0,I121-IF($A146&gt;='1-Input'!$C$12,'1-Input'!$B$12,0))-(M145-MIN(MAX(M145,0),MAX(0,I121-IF($A146&gt;='1-Input'!$C$12,'1-Input'!$B$12,0)))))*(1/(1-'P-Parametri'!$B$6*I146))))</f>
        <v>0</v>
      </c>
      <c r="K146" s="18">
        <f>IF($A146&gt;'1-Input'!$B$26,M145,(M145-MAX(0,I121-IF($A146&gt;='1-Input'!$C$12,'1-Input'!$B$12,0))+J146*(1-'P-Parametri'!$B$6*I146))*(1+'1-Input'!$B$27))</f>
        <v>10983.301730716086</v>
      </c>
      <c r="L146" s="18">
        <f>IF($A146&gt;'1-Input'!$B$26,N145,(N145-J146)*(1+'5-Roberta'!$C$4))</f>
        <v>12439.124757929088</v>
      </c>
      <c r="M146" s="18">
        <f>IF($A146&gt;'1-Input'!$B$26,K146,K146-'P-Parametri'!$B$8*(L146+K146)+MIN(MAX(L146,0),'P-Parametri'!$B$8*(L146+K146)))</f>
        <v>10983.301730716086</v>
      </c>
      <c r="N146" s="18">
        <f>IF($A146&gt;'1-Input'!$B$26,L146,L146-MIN(MAX(L146,0),'P-Parametri'!$B$8*(L146+K146)))</f>
        <v>12392.279904951798</v>
      </c>
      <c r="O146" s="18">
        <f>IF($A146&gt;'1-Input'!$B$26,O145,O145-J146*(1-I146))</f>
        <v>5210.0388384177713</v>
      </c>
      <c r="P146" s="11">
        <f>IF($A146&gt;'1-Input'!$B$26,0,IF(U145&lt;=0,0,MAX(0,(U145-V145)/U145)))</f>
        <v>0.57122848986394892</v>
      </c>
      <c r="Q146" s="18">
        <f>IF($A146&gt;'1-Input'!$B$26,0,(MAX(0,P121-IF($A146&gt;='1-Input'!$C$12,'1-Input'!$B$12,0))-MIN(MAX(T145,0),MAX(0,P121-IF($A146&gt;='1-Input'!$C$12,'1-Input'!$B$12,0))))*(1/(1-'P-Parametri'!$B$6*P146))+MIN(MAX(0,U145-(MAX(0,P121-IF($A146&gt;='1-Input'!$C$12,'1-Input'!$B$12,0))-MIN(MAX(T145,0),MAX(0,P121-IF($A146&gt;='1-Input'!$C$12,'1-Input'!$B$12,0))))*(1/(1-'P-Parametri'!$B$6*P146))),MAX(0,1*MAX(0,P121-IF($A146&gt;='1-Input'!$C$12,'1-Input'!$B$12,0))-(T145-MIN(MAX(T145,0),MAX(0,P121-IF($A146&gt;='1-Input'!$C$12,'1-Input'!$B$12,0)))))*(1/(1-'P-Parametri'!$B$6*P146))))</f>
        <v>0</v>
      </c>
      <c r="R146" s="18">
        <f>IF($A146&gt;'1-Input'!$B$26,T145,(T145-MAX(0,P121-IF($A146&gt;='1-Input'!$C$12,'1-Input'!$B$12,0))+Q146*(1-'P-Parametri'!$B$6*P146))*(1+'1-Input'!$B$27))</f>
        <v>10994.776831321149</v>
      </c>
      <c r="S146" s="18">
        <f>IF($A146&gt;'1-Input'!$B$26,U145,(U145-Q146)*(1+'5-Roberta'!$C$4))</f>
        <v>131408.66433136887</v>
      </c>
      <c r="T146" s="18">
        <f>IF($A146&gt;'1-Input'!$B$26,R146,R146-'P-Parametri'!$B$8*(S146+R146)+MIN(MAX(S146,0),'P-Parametri'!$B$8*(S146+R146)))</f>
        <v>10994.776831321149</v>
      </c>
      <c r="U146" s="18">
        <f>IF($A146&gt;'1-Input'!$B$26,S146,S146-MIN(MAX(S146,0),'P-Parametri'!$B$8*(S146+R146)))</f>
        <v>131123.85744904348</v>
      </c>
      <c r="V146" s="18">
        <f>IF($A146&gt;'1-Input'!$B$26,V145,V145-Q146*(1-P146))</f>
        <v>54703.195582837347</v>
      </c>
      <c r="W146" s="11">
        <f>IF($A146&gt;'1-Input'!$B$26,0,IF(AB145&lt;=0,0,MAX(0,(AB145-AC145)/AB145)))</f>
        <v>0.5712849657565372</v>
      </c>
      <c r="X146" s="18">
        <f>IF($A146&gt;'1-Input'!$B$26,0,(MAX(0,W121-IF($A146&gt;='1-Input'!$C$12,'1-Input'!$B$12,0))-MIN(MAX(AA145,0),MAX(0,W121-IF($A146&gt;='1-Input'!$C$12,'1-Input'!$B$12,0))))*(1/(1-'P-Parametri'!$B$6*W146))+MIN(MAX(0,AB145-(MAX(0,W121-IF($A146&gt;='1-Input'!$C$12,'1-Input'!$B$12,0))-MIN(MAX(AA145,0),MAX(0,W121-IF($A146&gt;='1-Input'!$C$12,'1-Input'!$B$12,0))))*(1/(1-'P-Parametri'!$B$6*W146))),MAX(0,1*MAX(0,W121-IF($A146&gt;='1-Input'!$C$12,'1-Input'!$B$12,0))-(AA145-MIN(MAX(AA145,0),MAX(0,W121-IF($A146&gt;='1-Input'!$C$12,'1-Input'!$B$12,0)))))*(1/(1-'P-Parametri'!$B$6*W146))))</f>
        <v>0</v>
      </c>
      <c r="Y146" s="18">
        <f>IF($A146&gt;'1-Input'!$B$26,AA145,(AA145-MAX(0,W121-IF($A146&gt;='1-Input'!$C$12,'1-Input'!$B$12,0))+X146*(1-'P-Parametri'!$B$6*W146))*(1+'1-Input'!$B$27))</f>
        <v>10995.705865794162</v>
      </c>
      <c r="Z146" s="18">
        <f>IF($A146&gt;'1-Input'!$B$26,AB145,(AB145-X146)*(1+'5-Roberta'!$C$4))</f>
        <v>141042.34036180098</v>
      </c>
      <c r="AA146" s="18">
        <f>IF($A146&gt;'1-Input'!$B$26,Y146,Y146-'P-Parametri'!$B$8*(Z146+Y146)+MIN(MAX(Z146,0),'P-Parametri'!$B$8*(Z146+Y146)))</f>
        <v>10995.705865794162</v>
      </c>
      <c r="AB146" s="18">
        <f>IF($A146&gt;'1-Input'!$B$26,Z146,Z146-MIN(MAX(Z146,0),'P-Parametri'!$B$8*(Z146+Y146)))</f>
        <v>140738.26426934579</v>
      </c>
      <c r="AC146" s="18">
        <f>IF($A146&gt;'1-Input'!$B$26,AC145,AC145-X146*(1-W146))</f>
        <v>58705.797842706444</v>
      </c>
      <c r="AD146" s="11">
        <f>IF($A146&gt;'1-Input'!$B$26,0,IF(AI145&lt;=0,0,MAX(0,(AI145-AJ145)/AI145)))</f>
        <v>0.5712864347162222</v>
      </c>
      <c r="AE146" s="18">
        <f>IF($A146&gt;'1-Input'!$B$26,0,(MAX(0,AD121-IF($A146&gt;='1-Input'!$C$12,'1-Input'!$B$12,0))-MIN(MAX(AH145,0),MAX(0,AD121-IF($A146&gt;='1-Input'!$C$12,'1-Input'!$B$12,0))))*(1/(1-'P-Parametri'!$B$6*AD146))+MIN(MAX(0,AI145-(MAX(0,AD121-IF($A146&gt;='1-Input'!$C$12,'1-Input'!$B$12,0))-MIN(MAX(AH145,0),MAX(0,AD121-IF($A146&gt;='1-Input'!$C$12,'1-Input'!$B$12,0))))*(1/(1-'P-Parametri'!$B$6*AD146))),MAX(0,1*MAX(0,AD121-IF($A146&gt;='1-Input'!$C$12,'1-Input'!$B$12,0))-(AH145-MIN(MAX(AH145,0),MAX(0,AD121-IF($A146&gt;='1-Input'!$C$12,'1-Input'!$B$12,0)))))*(1/(1-'P-Parametri'!$B$6*AD146))))</f>
        <v>0</v>
      </c>
      <c r="AF146" s="18">
        <f>IF($A146&gt;'1-Input'!$B$26,AH145,(AH145-MAX(0,AD121-IF($A146&gt;='1-Input'!$C$12,'1-Input'!$B$12,0))+AE146*(1-'P-Parametri'!$B$6*AD146))*(1+'1-Input'!$B$27))</f>
        <v>10995.7310115824</v>
      </c>
      <c r="AG146" s="18">
        <f>IF($A146&gt;'1-Input'!$B$26,AI145,(AI145-AE146)*(1+'5-Roberta'!$C$4))</f>
        <v>141303.09336978756</v>
      </c>
      <c r="AH146" s="18">
        <f>IF($A146&gt;'1-Input'!$B$26,AF146,AF146-'P-Parametri'!$B$8*(AG146+AF146)+MIN(MAX(AG146,0),'P-Parametri'!$B$8*(AG146+AF146)))</f>
        <v>10995.7310115824</v>
      </c>
      <c r="AI146" s="18">
        <f>IF($A146&gt;'1-Input'!$B$26,AG146,AG146-MIN(MAX(AG146,0),'P-Parametri'!$B$8*(AG146+AF146)))</f>
        <v>140998.49572102481</v>
      </c>
      <c r="AJ146" s="18">
        <f>IF($A146&gt;'1-Input'!$B$26,AJ145,AJ145-AE146*(1-AD146))</f>
        <v>58814.129072027339</v>
      </c>
      <c r="AK146" s="11">
        <f>IF($A146&gt;'1-Input'!$B$26,0,IF(AP145&lt;=0,0,MAX(0,(AP145-AQ145)/AP145)))</f>
        <v>0.57128642563539278</v>
      </c>
      <c r="AL146" s="18">
        <f>IF($A146&gt;'1-Input'!$B$26,0,(MAX(0,AK121-IF($A146&gt;='1-Input'!$C$12,'1-Input'!$B$12,0))-MIN(MAX(AO145,0),MAX(0,AK121-IF($A146&gt;='1-Input'!$C$12,'1-Input'!$B$12,0))))*(1/(1-'P-Parametri'!$B$6*AK146))+MIN(MAX(0,AP145-(MAX(0,AK121-IF($A146&gt;='1-Input'!$C$12,'1-Input'!$B$12,0))-MIN(MAX(AO145,0),MAX(0,AK121-IF($A146&gt;='1-Input'!$C$12,'1-Input'!$B$12,0))))*(1/(1-'P-Parametri'!$B$6*AK146))),MAX(0,1*MAX(0,AK121-IF($A146&gt;='1-Input'!$C$12,'1-Input'!$B$12,0))-(AO145-MIN(MAX(AO145,0),MAX(0,AK121-IF($A146&gt;='1-Input'!$C$12,'1-Input'!$B$12,0)))))*(1/(1-'P-Parametri'!$B$6*AK146))))</f>
        <v>0</v>
      </c>
      <c r="AM146" s="18">
        <f>IF($A146&gt;'1-Input'!$B$26,AO145,(AO145-MAX(0,AK121-IF($A146&gt;='1-Input'!$C$12,'1-Input'!$B$12,0))+AL146*(1-'P-Parametri'!$B$6*AK146))*(1+'1-Input'!$B$27))</f>
        <v>10995.730855978896</v>
      </c>
      <c r="AN146" s="18">
        <f>IF($A146&gt;'1-Input'!$B$26,AP145,(AP145-AL146)*(1+'5-Roberta'!$C$4))</f>
        <v>141301.4798156883</v>
      </c>
      <c r="AO146" s="18">
        <f>IF($A146&gt;'1-Input'!$B$26,AM146,AM146-'P-Parametri'!$B$8*(AN146+AM146)+MIN(MAX(AN146,0),'P-Parametri'!$B$8*(AN146+AM146)))</f>
        <v>10995.730855978896</v>
      </c>
      <c r="AP146" s="18">
        <f>IF($A146&gt;'1-Input'!$B$26,AN146,AN146-MIN(MAX(AN146,0),'P-Parametri'!$B$8*(AN146+AM146)))</f>
        <v>140996.88539434498</v>
      </c>
      <c r="AQ146" s="18">
        <f>IF($A146&gt;'1-Input'!$B$26,AQ145,AQ145-AL146*(1-AK146))</f>
        <v>58813.458713390421</v>
      </c>
    </row>
    <row r="147" spans="1:43">
      <c r="A147" s="10">
        <f>24</f>
        <v>24</v>
      </c>
      <c r="B147" s="11">
        <f>IF($A147&gt;'1-Input'!$B$26,0,IF(G146&lt;=0,0,MAX(0,(G146-H146)/G146)))</f>
        <v>0.58319024595731694</v>
      </c>
      <c r="C147" s="18">
        <f>IF($A147&gt;'1-Input'!$B$26,0,(MAX(0,B121-IF($A147&gt;='1-Input'!$C$12,'1-Input'!$B$12,0))-MIN(MAX(F146,0),MAX(0,B121-IF($A147&gt;='1-Input'!$C$12,'1-Input'!$B$12,0))))*(1/(1-'P-Parametri'!$B$6*B147))+MIN(MAX(0,G146-(MAX(0,B121-IF($A147&gt;='1-Input'!$C$12,'1-Input'!$B$12,0))-MIN(MAX(F146,0),MAX(0,B121-IF($A147&gt;='1-Input'!$C$12,'1-Input'!$B$12,0))))*(1/(1-'P-Parametri'!$B$6*B147))),MAX(0,1*MAX(0,B121-IF($A147&gt;='1-Input'!$C$12,'1-Input'!$B$12,0))-(F146-MIN(MAX(F146,0),MAX(0,B121-IF($A147&gt;='1-Input'!$C$12,'1-Input'!$B$12,0)))))*(1/(1-'P-Parametri'!$B$6*B147))))</f>
        <v>183.7798877753448</v>
      </c>
      <c r="D147" s="18">
        <f>IF($A147&gt;'1-Input'!$B$26,F146,(F146-MAX(0,B121-IF($A147&gt;='1-Input'!$C$12,'1-Input'!$B$12,0))+C147*(1-'P-Parametri'!$B$6*B147))*(1+'1-Input'!$B$27))</f>
        <v>5558.9707154931493</v>
      </c>
      <c r="E147" s="18">
        <f>IF($A147&gt;'1-Input'!$B$26,G146,(G146-C147)*(1+'5-Roberta'!$C$4))</f>
        <v>213968.12529419683</v>
      </c>
      <c r="F147" s="18">
        <f>IF($A147&gt;'1-Input'!$B$26,D147,D147-'P-Parametri'!$B$8*(E147+D147)+MIN(MAX(E147,0),'P-Parametri'!$B$8*(E147+D147)))</f>
        <v>5558.9707154931493</v>
      </c>
      <c r="G147" s="18">
        <f>IF($A147&gt;'1-Input'!$B$26,E147,E147-MIN(MAX(E147,0),'P-Parametri'!$B$8*(E147+D147)))</f>
        <v>213529.07110217743</v>
      </c>
      <c r="H147" s="18">
        <f>IF($A147&gt;'1-Input'!$B$26,H146,H146-C147*(1-B147))</f>
        <v>86586.40939499822</v>
      </c>
      <c r="I147" s="11">
        <f>IF($A147&gt;'1-Input'!$B$26,0,IF(N146&lt;=0,0,MAX(0,(N146-O146)/N146)))</f>
        <v>0.57957382512511635</v>
      </c>
      <c r="J147" s="18">
        <f>IF($A147&gt;'1-Input'!$B$26,0,(MAX(0,I121-IF($A147&gt;='1-Input'!$C$12,'1-Input'!$B$12,0))-MIN(MAX(M146,0),MAX(0,I121-IF($A147&gt;='1-Input'!$C$12,'1-Input'!$B$12,0))))*(1/(1-'P-Parametri'!$B$6*I147))+MIN(MAX(0,N146-(MAX(0,I121-IF($A147&gt;='1-Input'!$C$12,'1-Input'!$B$12,0))-MIN(MAX(M146,0),MAX(0,I121-IF($A147&gt;='1-Input'!$C$12,'1-Input'!$B$12,0))))*(1/(1-'P-Parametri'!$B$6*I147))),MAX(0,1*MAX(0,I121-IF($A147&gt;='1-Input'!$C$12,'1-Input'!$B$12,0))-(M146-MIN(MAX(M146,0),MAX(0,I121-IF($A147&gt;='1-Input'!$C$12,'1-Input'!$B$12,0)))))*(1/(1-'P-Parametri'!$B$6*I147))))</f>
        <v>12392.279904951798</v>
      </c>
      <c r="K147" s="18">
        <f>IF($A147&gt;'1-Input'!$B$26,M146,(M146-MAX(0,I121-IF($A147&gt;='1-Input'!$C$12,'1-Input'!$B$12,0))+J147*(1-'P-Parametri'!$B$6*I147))*(1+'1-Input'!$B$27))</f>
        <v>10623.060774364762</v>
      </c>
      <c r="L147" s="18">
        <f>IF($A147&gt;'1-Input'!$B$26,N146,(N146-J147)*(1+'5-Roberta'!$C$4))</f>
        <v>0</v>
      </c>
      <c r="M147" s="18">
        <f>IF($A147&gt;'1-Input'!$B$26,K147,K147-'P-Parametri'!$B$8*(L147+K147)+MIN(MAX(L147,0),'P-Parametri'!$B$8*(L147+K147)))</f>
        <v>10601.814652816032</v>
      </c>
      <c r="N147" s="18">
        <f>IF($A147&gt;'1-Input'!$B$26,L147,L147-MIN(MAX(L147,0),'P-Parametri'!$B$8*(L147+K147)))</f>
        <v>0</v>
      </c>
      <c r="O147" s="18">
        <f>IF($A147&gt;'1-Input'!$B$26,O146,O146-J147*(1-I147))</f>
        <v>0</v>
      </c>
      <c r="P147" s="11">
        <f>IF($A147&gt;'1-Input'!$B$26,0,IF(U146&lt;=0,0,MAX(0,(U146-V146)/U146)))</f>
        <v>0.58281279511552087</v>
      </c>
      <c r="Q147" s="18">
        <f>IF($A147&gt;'1-Input'!$B$26,0,(MAX(0,P121-IF($A147&gt;='1-Input'!$C$12,'1-Input'!$B$12,0))-MIN(MAX(T146,0),MAX(0,P121-IF($A147&gt;='1-Input'!$C$12,'1-Input'!$B$12,0))))*(1/(1-'P-Parametri'!$B$6*P147))+MIN(MAX(0,U146-(MAX(0,P121-IF($A147&gt;='1-Input'!$C$12,'1-Input'!$B$12,0))-MIN(MAX(T146,0),MAX(0,P121-IF($A147&gt;='1-Input'!$C$12,'1-Input'!$B$12,0))))*(1/(1-'P-Parametri'!$B$6*P147))),MAX(0,1*MAX(0,P121-IF($A147&gt;='1-Input'!$C$12,'1-Input'!$B$12,0))-(T146-MIN(MAX(T146,0),MAX(0,P121-IF($A147&gt;='1-Input'!$C$12,'1-Input'!$B$12,0)))))*(1/(1-'P-Parametri'!$B$6*P147))))</f>
        <v>5068.7176531989444</v>
      </c>
      <c r="R147" s="18">
        <f>IF($A147&gt;'1-Input'!$B$26,T146,(T146-MAX(0,P121-IF($A147&gt;='1-Input'!$C$12,'1-Input'!$B$12,0))+Q147*(1-'P-Parametri'!$B$6*P147))*(1+'1-Input'!$B$27))</f>
        <v>7620.1807219027733</v>
      </c>
      <c r="S147" s="18">
        <f>IF($A147&gt;'1-Input'!$B$26,U146,(U146-Q147)*(1+'5-Roberta'!$C$4))</f>
        <v>129836.79398971988</v>
      </c>
      <c r="T147" s="18">
        <f>IF($A147&gt;'1-Input'!$B$26,R147,R147-'P-Parametri'!$B$8*(S147+R147)+MIN(MAX(S147,0),'P-Parametri'!$B$8*(S147+R147)))</f>
        <v>7620.1807219027733</v>
      </c>
      <c r="U147" s="18">
        <f>IF($A147&gt;'1-Input'!$B$26,S147,S147-MIN(MAX(S147,0),'P-Parametri'!$B$8*(S147+R147)))</f>
        <v>129561.88004029663</v>
      </c>
      <c r="V147" s="18">
        <f>IF($A147&gt;'1-Input'!$B$26,V146,V146-Q147*(1-P147))</f>
        <v>52588.591432750662</v>
      </c>
      <c r="W147" s="11">
        <f>IF($A147&gt;'1-Input'!$B$26,0,IF(AB146&lt;=0,0,MAX(0,(AB146-AC146)/AB146)))</f>
        <v>0.58287251766616288</v>
      </c>
      <c r="X147" s="18">
        <f>IF($A147&gt;'1-Input'!$B$26,0,(MAX(0,W121-IF($A147&gt;='1-Input'!$C$12,'1-Input'!$B$12,0))-MIN(MAX(AA146,0),MAX(0,W121-IF($A147&gt;='1-Input'!$C$12,'1-Input'!$B$12,0))))*(1/(1-'P-Parametri'!$B$6*W147))+MIN(MAX(0,AB146-(MAX(0,W121-IF($A147&gt;='1-Input'!$C$12,'1-Input'!$B$12,0))-MIN(MAX(AA146,0),MAX(0,W121-IF($A147&gt;='1-Input'!$C$12,'1-Input'!$B$12,0))))*(1/(1-'P-Parametri'!$B$6*W147))),MAX(0,1*MAX(0,W121-IF($A147&gt;='1-Input'!$C$12,'1-Input'!$B$12,0))-(AA146-MIN(MAX(AA146,0),MAX(0,W121-IF($A147&gt;='1-Input'!$C$12,'1-Input'!$B$12,0)))))*(1/(1-'P-Parametri'!$B$6*W147))))</f>
        <v>4457.1984716462866</v>
      </c>
      <c r="Y147" s="18">
        <f>IF($A147&gt;'1-Input'!$B$26,AA146,(AA146-MAX(0,W121-IF($A147&gt;='1-Input'!$C$12,'1-Input'!$B$12,0))+X147*(1-'P-Parametri'!$B$6*W147))*(1+'1-Input'!$B$27))</f>
        <v>7362.1155905106352</v>
      </c>
      <c r="Z147" s="18">
        <f>IF($A147&gt;'1-Input'!$B$26,AB146,(AB146-X147)*(1+'5-Roberta'!$C$4))</f>
        <v>140369.4977716305</v>
      </c>
      <c r="AA147" s="18">
        <f>IF($A147&gt;'1-Input'!$B$26,Y147,Y147-'P-Parametri'!$B$8*(Z147+Y147)+MIN(MAX(Z147,0),'P-Parametri'!$B$8*(Z147+Y147)))</f>
        <v>7362.1155905106352</v>
      </c>
      <c r="AB147" s="18">
        <f>IF($A147&gt;'1-Input'!$B$26,Z147,Z147-MIN(MAX(Z147,0),'P-Parametri'!$B$8*(Z147+Y147)))</f>
        <v>140074.03454490623</v>
      </c>
      <c r="AC147" s="18">
        <f>IF($A147&gt;'1-Input'!$B$26,AC146,AC146-X147*(1-W147))</f>
        <v>56846.577865966399</v>
      </c>
      <c r="AD147" s="11">
        <f>IF($A147&gt;'1-Input'!$B$26,0,IF(AI146&lt;=0,0,MAX(0,(AI146-AJ146)/AI146)))</f>
        <v>0.58287406705107603</v>
      </c>
      <c r="AE147" s="18">
        <f>IF($A147&gt;'1-Input'!$B$26,0,(MAX(0,AD121-IF($A147&gt;='1-Input'!$C$12,'1-Input'!$B$12,0))-MIN(MAX(AH146,0),MAX(0,AD121-IF($A147&gt;='1-Input'!$C$12,'1-Input'!$B$12,0))))*(1/(1-'P-Parametri'!$B$6*AD147))+MIN(MAX(0,AI146-(MAX(0,AD121-IF($A147&gt;='1-Input'!$C$12,'1-Input'!$B$12,0))-MIN(MAX(AH146,0),MAX(0,AD121-IF($A147&gt;='1-Input'!$C$12,'1-Input'!$B$12,0))))*(1/(1-'P-Parametri'!$B$6*AD147))),MAX(0,1*MAX(0,AD121-IF($A147&gt;='1-Input'!$C$12,'1-Input'!$B$12,0))-(AH146-MIN(MAX(AH146,0),MAX(0,AD121-IF($A147&gt;='1-Input'!$C$12,'1-Input'!$B$12,0)))))*(1/(1-'P-Parametri'!$B$6*AD147))))</f>
        <v>4440.6463348196403</v>
      </c>
      <c r="AF147" s="18">
        <f>IF($A147&gt;'1-Input'!$B$26,AH146,(AH146-MAX(0,AD121-IF($A147&gt;='1-Input'!$C$12,'1-Input'!$B$12,0))+AE147*(1-'P-Parametri'!$B$6*AD147))*(1+'1-Input'!$B$27))</f>
        <v>7355.1306493328566</v>
      </c>
      <c r="AG147" s="18">
        <f>IF($A147&gt;'1-Input'!$B$26,AI146,(AI146-AE147)*(1+'5-Roberta'!$C$4))</f>
        <v>140654.58486779133</v>
      </c>
      <c r="AH147" s="18">
        <f>IF($A147&gt;'1-Input'!$B$26,AF147,AF147-'P-Parametri'!$B$8*(AG147+AF147)+MIN(MAX(AG147,0),'P-Parametri'!$B$8*(AG147+AF147)))</f>
        <v>7355.1306493328566</v>
      </c>
      <c r="AI147" s="18">
        <f>IF($A147&gt;'1-Input'!$B$26,AG147,AG147-MIN(MAX(AG147,0),'P-Parametri'!$B$8*(AG147+AF147)))</f>
        <v>140358.56543675708</v>
      </c>
      <c r="AJ147" s="18">
        <f>IF($A147&gt;'1-Input'!$B$26,AJ146,AJ146-AE147*(1-AD147))</f>
        <v>56961.820326719477</v>
      </c>
      <c r="AK147" s="11">
        <f>IF($A147&gt;'1-Input'!$B$26,0,IF(AP146&lt;=0,0,MAX(0,(AP146-AQ146)/AP146)))</f>
        <v>0.58287405747368881</v>
      </c>
      <c r="AL147" s="18">
        <f>IF($A147&gt;'1-Input'!$B$26,0,(MAX(0,AK121-IF($A147&gt;='1-Input'!$C$12,'1-Input'!$B$12,0))-MIN(MAX(AO146,0),MAX(0,AK121-IF($A147&gt;='1-Input'!$C$12,'1-Input'!$B$12,0))))*(1/(1-'P-Parametri'!$B$6*AK147))+MIN(MAX(0,AP146-(MAX(0,AK121-IF($A147&gt;='1-Input'!$C$12,'1-Input'!$B$12,0))-MIN(MAX(AO146,0),MAX(0,AK121-IF($A147&gt;='1-Input'!$C$12,'1-Input'!$B$12,0))))*(1/(1-'P-Parametri'!$B$6*AK147))),MAX(0,1*MAX(0,AK121-IF($A147&gt;='1-Input'!$C$12,'1-Input'!$B$12,0))-(AO146-MIN(MAX(AO146,0),MAX(0,AK121-IF($A147&gt;='1-Input'!$C$12,'1-Input'!$B$12,0)))))*(1/(1-'P-Parametri'!$B$6*AK147))))</f>
        <v>4440.7487604008975</v>
      </c>
      <c r="AM147" s="18">
        <f>IF($A147&gt;'1-Input'!$B$26,AO146,(AO146-MAX(0,AK121-IF($A147&gt;='1-Input'!$C$12,'1-Input'!$B$12,0))+AL147*(1-'P-Parametri'!$B$6*AK147))*(1+'1-Input'!$B$27))</f>
        <v>7355.1738725270725</v>
      </c>
      <c r="AN147" s="18">
        <f>IF($A147&gt;'1-Input'!$B$26,AP146,(AP146-AL147)*(1+'5-Roberta'!$C$4))</f>
        <v>140652.8207329624</v>
      </c>
      <c r="AO147" s="18">
        <f>IF($A147&gt;'1-Input'!$B$26,AM147,AM147-'P-Parametri'!$B$8*(AN147+AM147)+MIN(MAX(AN147,0),'P-Parametri'!$B$8*(AN147+AM147)))</f>
        <v>7355.1738725270725</v>
      </c>
      <c r="AP147" s="18">
        <f>IF($A147&gt;'1-Input'!$B$26,AN147,AN147-MIN(MAX(AN147,0),'P-Parametri'!$B$8*(AN147+AM147)))</f>
        <v>140356.80474375142</v>
      </c>
      <c r="AQ147" s="18">
        <f>IF($A147&gt;'1-Input'!$B$26,AQ146,AQ146-AL147*(1-AK147))</f>
        <v>56961.107201185645</v>
      </c>
    </row>
    <row r="148" spans="1:43">
      <c r="A148" s="10">
        <f>25</f>
        <v>25</v>
      </c>
      <c r="B148" s="11">
        <f>IF($A148&gt;'1-Input'!$B$26,0,IF(G147&lt;=0,0,MAX(0,(G147-H147)/G147)))</f>
        <v>0.59449826223631586</v>
      </c>
      <c r="C148" s="18">
        <f>IF($A148&gt;'1-Input'!$B$26,0,(MAX(0,B121-IF($A148&gt;='1-Input'!$C$12,'1-Input'!$B$12,0))-MIN(MAX(F147,0),MAX(0,B121-IF($A148&gt;='1-Input'!$C$12,'1-Input'!$B$12,0))))*(1/(1-'P-Parametri'!$B$6*B148))+MIN(MAX(0,G147-(MAX(0,B121-IF($A148&gt;='1-Input'!$C$12,'1-Input'!$B$12,0))-MIN(MAX(F147,0),MAX(0,B121-IF($A148&gt;='1-Input'!$C$12,'1-Input'!$B$12,0))))*(1/(1-'P-Parametri'!$B$6*B148))),MAX(0,1*MAX(0,B121-IF($A148&gt;='1-Input'!$C$12,'1-Input'!$B$12,0))-(F147-MIN(MAX(F147,0),MAX(0,B121-IF($A148&gt;='1-Input'!$C$12,'1-Input'!$B$12,0)))))*(1/(1-'P-Parametri'!$B$6*B148))))</f>
        <v>6622.8273440050116</v>
      </c>
      <c r="D148" s="18">
        <f>IF($A148&gt;'1-Input'!$B$26,F147,(F147-MAX(0,B121-IF($A148&gt;='1-Input'!$C$12,'1-Input'!$B$12,0))+C148*(1-'P-Parametri'!$B$6*B148))*(1+'1-Input'!$B$27))</f>
        <v>5558.9707154931493</v>
      </c>
      <c r="E148" s="18">
        <f>IF($A148&gt;'1-Input'!$B$26,G147,(G147-C148)*(1+'5-Roberta'!$C$4))</f>
        <v>213113.43107091758</v>
      </c>
      <c r="F148" s="18">
        <f>IF($A148&gt;'1-Input'!$B$26,D148,D148-'P-Parametri'!$B$8*(E148+D148)+MIN(MAX(E148,0),'P-Parametri'!$B$8*(E148+D148)))</f>
        <v>5558.9707154931493</v>
      </c>
      <c r="G148" s="18">
        <f>IF($A148&gt;'1-Input'!$B$26,E148,E148-MIN(MAX(E148,0),'P-Parametri'!$B$8*(E148+D148)))</f>
        <v>212676.08626734477</v>
      </c>
      <c r="H148" s="18">
        <f>IF($A148&gt;'1-Input'!$B$26,H147,H147-C148*(1-B148))</f>
        <v>83900.841398095348</v>
      </c>
      <c r="I148" s="11">
        <f>IF($A148&gt;'1-Input'!$B$26,0,IF(N147&lt;=0,0,MAX(0,(N147-O147)/N147)))</f>
        <v>0</v>
      </c>
      <c r="J148" s="18">
        <f>IF($A148&gt;'1-Input'!$B$26,0,(MAX(0,I121-IF($A148&gt;='1-Input'!$C$12,'1-Input'!$B$12,0))-MIN(MAX(M147,0),MAX(0,I121-IF($A148&gt;='1-Input'!$C$12,'1-Input'!$B$12,0))))*(1/(1-'P-Parametri'!$B$6*I148))+MIN(MAX(0,N147-(MAX(0,I121-IF($A148&gt;='1-Input'!$C$12,'1-Input'!$B$12,0))-MIN(MAX(M147,0),MAX(0,I121-IF($A148&gt;='1-Input'!$C$12,'1-Input'!$B$12,0))))*(1/(1-'P-Parametri'!$B$6*I148))),MAX(0,1*MAX(0,I121-IF($A148&gt;='1-Input'!$C$12,'1-Input'!$B$12,0))-(M147-MIN(MAX(M147,0),MAX(0,I121-IF($A148&gt;='1-Input'!$C$12,'1-Input'!$B$12,0)))))*(1/(1-'P-Parametri'!$B$6*I148))))</f>
        <v>244.94234011265871</v>
      </c>
      <c r="K148" s="18">
        <f>IF($A148&gt;'1-Input'!$B$26,M147,(M147-MAX(0,I121-IF($A148&gt;='1-Input'!$C$12,'1-Input'!$B$12,0))+J148*(1-'P-Parametri'!$B$6*I148))*(1+'1-Input'!$B$27))</f>
        <v>0</v>
      </c>
      <c r="L148" s="18">
        <f>IF($A148&gt;'1-Input'!$B$26,N147,(N147-J148)*(1+'5-Roberta'!$C$4))</f>
        <v>-252.29061031603848</v>
      </c>
      <c r="M148" s="18">
        <f>IF($A148&gt;'1-Input'!$B$26,K148,K148-'P-Parametri'!$B$8*(L148+K148)+MIN(MAX(L148,0),'P-Parametri'!$B$8*(L148+K148)))</f>
        <v>0</v>
      </c>
      <c r="N148" s="18">
        <f>IF($A148&gt;'1-Input'!$B$26,L148,L148-MIN(MAX(L148,0),'P-Parametri'!$B$8*(L148+K148)))</f>
        <v>-251.78602909540641</v>
      </c>
      <c r="O148" s="18">
        <f>IF($A148&gt;'1-Input'!$B$26,O147,O147-J148*(1-I148))</f>
        <v>-244.94234011265871</v>
      </c>
      <c r="P148" s="11">
        <f>IF($A148&gt;'1-Input'!$B$26,0,IF(U147&lt;=0,0,MAX(0,(U147-V147)/U147)))</f>
        <v>0.59410444324831935</v>
      </c>
      <c r="Q148" s="18">
        <f>IF($A148&gt;'1-Input'!$B$26,0,(MAX(0,P121-IF($A148&gt;='1-Input'!$C$12,'1-Input'!$B$12,0))-MIN(MAX(T147,0),MAX(0,P121-IF($A148&gt;='1-Input'!$C$12,'1-Input'!$B$12,0))))*(1/(1-'P-Parametri'!$B$6*P148))+MIN(MAX(0,U147-(MAX(0,P121-IF($A148&gt;='1-Input'!$C$12,'1-Input'!$B$12,0))-MIN(MAX(T147,0),MAX(0,P121-IF($A148&gt;='1-Input'!$C$12,'1-Input'!$B$12,0))))*(1/(1-'P-Parametri'!$B$6*P148))),MAX(0,1*MAX(0,P121-IF($A148&gt;='1-Input'!$C$12,'1-Input'!$B$12,0))-(T147-MIN(MAX(T147,0),MAX(0,P121-IF($A148&gt;='1-Input'!$C$12,'1-Input'!$B$12,0)))))*(1/(1-'P-Parametri'!$B$6*P148))))</f>
        <v>9077.4052118911259</v>
      </c>
      <c r="R148" s="18">
        <f>IF($A148&gt;'1-Input'!$B$26,T147,(T147-MAX(0,P121-IF($A148&gt;='1-Input'!$C$12,'1-Input'!$B$12,0))+Q148*(1-'P-Parametri'!$B$6*P148))*(1+'1-Input'!$B$27))</f>
        <v>7620.1807219027751</v>
      </c>
      <c r="S148" s="18">
        <f>IF($A148&gt;'1-Input'!$B$26,U147,(U147-Q148)*(1+'5-Roberta'!$C$4))</f>
        <v>124099.00907325768</v>
      </c>
      <c r="T148" s="18">
        <f>IF($A148&gt;'1-Input'!$B$26,R148,R148-'P-Parametri'!$B$8*(S148+R148)+MIN(MAX(S148,0),'P-Parametri'!$B$8*(S148+R148)))</f>
        <v>7620.1807219027751</v>
      </c>
      <c r="U148" s="18">
        <f>IF($A148&gt;'1-Input'!$B$26,S148,S148-MIN(MAX(S148,0),'P-Parametri'!$B$8*(S148+R148)))</f>
        <v>123835.57069366735</v>
      </c>
      <c r="V148" s="18">
        <f>IF($A148&gt;'1-Input'!$B$26,V147,V147-Q148*(1-P148))</f>
        <v>48904.112990409507</v>
      </c>
      <c r="W148" s="11">
        <f>IF($A148&gt;'1-Input'!$B$26,0,IF(AB147&lt;=0,0,MAX(0,(AB147-AC147)/AB147)))</f>
        <v>0.59416762677923729</v>
      </c>
      <c r="X148" s="18">
        <f>IF($A148&gt;'1-Input'!$B$26,0,(MAX(0,W121-IF($A148&gt;='1-Input'!$C$12,'1-Input'!$B$12,0))-MIN(MAX(AA147,0),MAX(0,W121-IF($A148&gt;='1-Input'!$C$12,'1-Input'!$B$12,0))))*(1/(1-'P-Parametri'!$B$6*W148))+MIN(MAX(0,AB147-(MAX(0,W121-IF($A148&gt;='1-Input'!$C$12,'1-Input'!$B$12,0))-MIN(MAX(AA147,0),MAX(0,W121-IF($A148&gt;='1-Input'!$C$12,'1-Input'!$B$12,0))))*(1/(1-'P-Parametri'!$B$6*W148))),MAX(0,1*MAX(0,W121-IF($A148&gt;='1-Input'!$C$12,'1-Input'!$B$12,0))-(AA147-MIN(MAX(AA147,0),MAX(0,W121-IF($A148&gt;='1-Input'!$C$12,'1-Input'!$B$12,0)))))*(1/(1-'P-Parametri'!$B$6*W148))))</f>
        <v>8770.1600924990671</v>
      </c>
      <c r="Y148" s="18">
        <f>IF($A148&gt;'1-Input'!$B$26,AA147,(AA147-MAX(0,W121-IF($A148&gt;='1-Input'!$C$12,'1-Input'!$B$12,0))+X148*(1-'P-Parametri'!$B$6*W148))*(1+'1-Input'!$B$27))</f>
        <v>7362.1155905106352</v>
      </c>
      <c r="Z148" s="18">
        <f>IF($A148&gt;'1-Input'!$B$26,AB147,(AB147-X148)*(1+'5-Roberta'!$C$4))</f>
        <v>135242.99068597937</v>
      </c>
      <c r="AA148" s="18">
        <f>IF($A148&gt;'1-Input'!$B$26,Y148,Y148-'P-Parametri'!$B$8*(Z148+Y148)+MIN(MAX(Z148,0),'P-Parametri'!$B$8*(Z148+Y148)))</f>
        <v>7362.1155905106352</v>
      </c>
      <c r="AB148" s="18">
        <f>IF($A148&gt;'1-Input'!$B$26,Z148,Z148-MIN(MAX(Z148,0),'P-Parametri'!$B$8*(Z148+Y148)))</f>
        <v>134957.78047342639</v>
      </c>
      <c r="AC148" s="18">
        <f>IF($A148&gt;'1-Input'!$B$26,AC147,AC147-X148*(1-W148))</f>
        <v>53287.362982101477</v>
      </c>
      <c r="AD148" s="11">
        <f>IF($A148&gt;'1-Input'!$B$26,0,IF(AI147&lt;=0,0,MAX(0,(AI147-AJ147)/AI147)))</f>
        <v>0.59416926106739532</v>
      </c>
      <c r="AE148" s="18">
        <f>IF($A148&gt;'1-Input'!$B$26,0,(MAX(0,AD121-IF($A148&gt;='1-Input'!$C$12,'1-Input'!$B$12,0))-MIN(MAX(AH147,0),MAX(0,AD121-IF($A148&gt;='1-Input'!$C$12,'1-Input'!$B$12,0))))*(1/(1-'P-Parametri'!$B$6*AD148))+MIN(MAX(0,AI147-(MAX(0,AD121-IF($A148&gt;='1-Input'!$C$12,'1-Input'!$B$12,0))-MIN(MAX(AH147,0),MAX(0,AD121-IF($A148&gt;='1-Input'!$C$12,'1-Input'!$B$12,0))))*(1/(1-'P-Parametri'!$B$6*AD148))),MAX(0,1*MAX(0,AD121-IF($A148&gt;='1-Input'!$C$12,'1-Input'!$B$12,0))-(AH147-MIN(MAX(AH147,0),MAX(0,AD121-IF($A148&gt;='1-Input'!$C$12,'1-Input'!$B$12,0)))))*(1/(1-'P-Parametri'!$B$6*AD148))))</f>
        <v>8761.8436467408592</v>
      </c>
      <c r="AF148" s="18">
        <f>IF($A148&gt;'1-Input'!$B$26,AH147,(AH147-MAX(0,AD121-IF($A148&gt;='1-Input'!$C$12,'1-Input'!$B$12,0))+AE148*(1-'P-Parametri'!$B$6*AD148))*(1+'1-Input'!$B$27))</f>
        <v>7355.1306493328566</v>
      </c>
      <c r="AG148" s="18">
        <f>IF($A148&gt;'1-Input'!$B$26,AI147,(AI147-AE148)*(1+'5-Roberta'!$C$4))</f>
        <v>135544.6234437167</v>
      </c>
      <c r="AH148" s="18">
        <f>IF($A148&gt;'1-Input'!$B$26,AF148,AF148-'P-Parametri'!$B$8*(AG148+AF148)+MIN(MAX(AG148,0),'P-Parametri'!$B$8*(AG148+AF148)))</f>
        <v>7355.1306493328566</v>
      </c>
      <c r="AI148" s="18">
        <f>IF($A148&gt;'1-Input'!$B$26,AG148,AG148-MIN(MAX(AG148,0),'P-Parametri'!$B$8*(AG148+AF148)))</f>
        <v>135258.82393553061</v>
      </c>
      <c r="AJ148" s="18">
        <f>IF($A148&gt;'1-Input'!$B$26,AJ147,AJ147-AE148*(1-AD148))</f>
        <v>53405.994845150686</v>
      </c>
      <c r="AK148" s="11">
        <f>IF($A148&gt;'1-Input'!$B$26,0,IF(AP147&lt;=0,0,MAX(0,(AP147-AQ147)/AP147)))</f>
        <v>0.59416925096592788</v>
      </c>
      <c r="AL148" s="18">
        <f>IF($A148&gt;'1-Input'!$B$26,0,(MAX(0,AK121-IF($A148&gt;='1-Input'!$C$12,'1-Input'!$B$12,0))-MIN(MAX(AO147,0),MAX(0,AK121-IF($A148&gt;='1-Input'!$C$12,'1-Input'!$B$12,0))))*(1/(1-'P-Parametri'!$B$6*AK148))+MIN(MAX(0,AP147-(MAX(0,AK121-IF($A148&gt;='1-Input'!$C$12,'1-Input'!$B$12,0))-MIN(MAX(AO147,0),MAX(0,AK121-IF($A148&gt;='1-Input'!$C$12,'1-Input'!$B$12,0))))*(1/(1-'P-Parametri'!$B$6*AK148))),MAX(0,1*MAX(0,AK121-IF($A148&gt;='1-Input'!$C$12,'1-Input'!$B$12,0))-(AO147-MIN(MAX(AO147,0),MAX(0,AK121-IF($A148&gt;='1-Input'!$C$12,'1-Input'!$B$12,0)))))*(1/(1-'P-Parametri'!$B$6*AK148))))</f>
        <v>8761.8951094144595</v>
      </c>
      <c r="AM148" s="18">
        <f>IF($A148&gt;'1-Input'!$B$26,AO147,(AO147-MAX(0,AK121-IF($A148&gt;='1-Input'!$C$12,'1-Input'!$B$12,0))+AL148*(1-'P-Parametri'!$B$6*AK148))*(1+'1-Input'!$B$27))</f>
        <v>7355.1738725270716</v>
      </c>
      <c r="AN148" s="18">
        <f>IF($A148&gt;'1-Input'!$B$26,AP147,(AP147-AL148)*(1+'5-Roberta'!$C$4))</f>
        <v>135542.75692336707</v>
      </c>
      <c r="AO148" s="18">
        <f>IF($A148&gt;'1-Input'!$B$26,AM148,AM148-'P-Parametri'!$B$8*(AN148+AM148)+MIN(MAX(AN148,0),'P-Parametri'!$B$8*(AN148+AM148)))</f>
        <v>7355.1738725270716</v>
      </c>
      <c r="AP148" s="18">
        <f>IF($A148&gt;'1-Input'!$B$26,AN148,AN148-MIN(MAX(AN148,0),'P-Parametri'!$B$8*(AN148+AM148)))</f>
        <v>135256.96106177528</v>
      </c>
      <c r="AQ148" s="18">
        <f>IF($A148&gt;'1-Input'!$B$26,AQ147,AQ147-AL148*(1-AK148))</f>
        <v>53405.260745974003</v>
      </c>
    </row>
    <row r="149" spans="1:43">
      <c r="A149" s="10">
        <f>26</f>
        <v>26</v>
      </c>
      <c r="B149" s="11">
        <f>IF($A149&gt;'1-Input'!$B$26,0,IF(G148&lt;=0,0,MAX(0,(G148-H148)/G148)))</f>
        <v>0.60549941053256129</v>
      </c>
      <c r="C149" s="18">
        <f>IF($A149&gt;'1-Input'!$B$26,0,(MAX(0,B121-IF($A149&gt;='1-Input'!$C$12,'1-Input'!$B$12,0))-MIN(MAX(F148,0),MAX(0,B121-IF($A149&gt;='1-Input'!$C$12,'1-Input'!$B$12,0))))*(1/(1-'P-Parametri'!$B$6*B149))+MIN(MAX(0,G148-(MAX(0,B121-IF($A149&gt;='1-Input'!$C$12,'1-Input'!$B$12,0))-MIN(MAX(F148,0),MAX(0,B121-IF($A149&gt;='1-Input'!$C$12,'1-Input'!$B$12,0))))*(1/(1-'P-Parametri'!$B$6*B149))),MAX(0,1*MAX(0,B121-IF($A149&gt;='1-Input'!$C$12,'1-Input'!$B$12,0))-(F148-MIN(MAX(F148,0),MAX(0,B121-IF($A149&gt;='1-Input'!$C$12,'1-Input'!$B$12,0)))))*(1/(1-'P-Parametri'!$B$6*B149))))</f>
        <v>6645.3100576664756</v>
      </c>
      <c r="D149" s="18">
        <f>IF($A149&gt;'1-Input'!$B$26,F148,(F148-MAX(0,B121-IF($A149&gt;='1-Input'!$C$12,'1-Input'!$B$12,0))+C149*(1-'P-Parametri'!$B$6*B149))*(1+'1-Input'!$B$27))</f>
        <v>5558.9707154931493</v>
      </c>
      <c r="E149" s="18">
        <f>IF($A149&gt;'1-Input'!$B$26,G148,(G148-C149)*(1+'5-Roberta'!$C$4))</f>
        <v>212211.69949596864</v>
      </c>
      <c r="F149" s="18">
        <f>IF($A149&gt;'1-Input'!$B$26,D149,D149-'P-Parametri'!$B$8*(E149+D149)+MIN(MAX(E149,0),'P-Parametri'!$B$8*(E149+D149)))</f>
        <v>5558.9707154931493</v>
      </c>
      <c r="G149" s="18">
        <f>IF($A149&gt;'1-Input'!$B$26,E149,E149-MIN(MAX(E149,0),'P-Parametri'!$B$8*(E149+D149)))</f>
        <v>211776.15815554571</v>
      </c>
      <c r="H149" s="18">
        <f>IF($A149&gt;'1-Input'!$B$26,H148,H148-C149*(1-B149))</f>
        <v>81279.262663152025</v>
      </c>
      <c r="I149" s="11">
        <f>IF($A149&gt;'1-Input'!$B$26,0,IF(N148&lt;=0,0,MAX(0,(N148-O148)/N148)))</f>
        <v>0</v>
      </c>
      <c r="J149" s="18">
        <f>IF($A149&gt;'1-Input'!$B$26,0,(MAX(0,I121-IF($A149&gt;='1-Input'!$C$12,'1-Input'!$B$12,0))-MIN(MAX(M148,0),MAX(0,I121-IF($A149&gt;='1-Input'!$C$12,'1-Input'!$B$12,0))))*(1/(1-'P-Parametri'!$B$6*I149))+MIN(MAX(0,N148-(MAX(0,I121-IF($A149&gt;='1-Input'!$C$12,'1-Input'!$B$12,0))-MIN(MAX(M148,0),MAX(0,I121-IF($A149&gt;='1-Input'!$C$12,'1-Input'!$B$12,0))))*(1/(1-'P-Parametri'!$B$6*I149))),MAX(0,1*MAX(0,I121-IF($A149&gt;='1-Input'!$C$12,'1-Input'!$B$12,0))-(M148-MIN(MAX(M148,0),MAX(0,I121-IF($A149&gt;='1-Input'!$C$12,'1-Input'!$B$12,0)))))*(1/(1-'P-Parametri'!$B$6*I149))))</f>
        <v>10846.756992928691</v>
      </c>
      <c r="K149" s="18">
        <f>IF($A149&gt;'1-Input'!$B$26,M148,(M148-MAX(0,I121-IF($A149&gt;='1-Input'!$C$12,'1-Input'!$B$12,0))+J149*(1-'P-Parametri'!$B$6*I149))*(1+'1-Input'!$B$27))</f>
        <v>0</v>
      </c>
      <c r="L149" s="18">
        <f>IF($A149&gt;'1-Input'!$B$26,N148,(N148-J149)*(1+'5-Roberta'!$C$4))</f>
        <v>-11431.49931268482</v>
      </c>
      <c r="M149" s="18">
        <f>IF($A149&gt;'1-Input'!$B$26,K149,K149-'P-Parametri'!$B$8*(L149+K149)+MIN(MAX(L149,0),'P-Parametri'!$B$8*(L149+K149)))</f>
        <v>0</v>
      </c>
      <c r="N149" s="18">
        <f>IF($A149&gt;'1-Input'!$B$26,L149,L149-MIN(MAX(L149,0),'P-Parametri'!$B$8*(L149+K149)))</f>
        <v>-11408.636314059451</v>
      </c>
      <c r="O149" s="18">
        <f>IF($A149&gt;'1-Input'!$B$26,O148,O148-J149*(1-I149))</f>
        <v>-11091.69933304135</v>
      </c>
      <c r="P149" s="11">
        <f>IF($A149&gt;'1-Input'!$B$26,0,IF(U148&lt;=0,0,MAX(0,(U148-V148)/U148)))</f>
        <v>0.60508832222864428</v>
      </c>
      <c r="Q149" s="18">
        <f>IF($A149&gt;'1-Input'!$B$26,0,(MAX(0,P121-IF($A149&gt;='1-Input'!$C$12,'1-Input'!$B$12,0))-MIN(MAX(T148,0),MAX(0,P121-IF($A149&gt;='1-Input'!$C$12,'1-Input'!$B$12,0))))*(1/(1-'P-Parametri'!$B$6*P149))+MIN(MAX(0,U148-(MAX(0,P121-IF($A149&gt;='1-Input'!$C$12,'1-Input'!$B$12,0))-MIN(MAX(T148,0),MAX(0,P121-IF($A149&gt;='1-Input'!$C$12,'1-Input'!$B$12,0))))*(1/(1-'P-Parametri'!$B$6*P149))),MAX(0,1*MAX(0,P121-IF($A149&gt;='1-Input'!$C$12,'1-Input'!$B$12,0))-(T148-MIN(MAX(T148,0),MAX(0,P121-IF($A149&gt;='1-Input'!$C$12,'1-Input'!$B$12,0)))))*(1/(1-'P-Parametri'!$B$6*P149))))</f>
        <v>9108.1682802606974</v>
      </c>
      <c r="R149" s="18">
        <f>IF($A149&gt;'1-Input'!$B$26,T148,(T148-MAX(0,P121-IF($A149&gt;='1-Input'!$C$12,'1-Input'!$B$12,0))+Q149*(1-'P-Parametri'!$B$6*P149))*(1+'1-Input'!$B$27))</f>
        <v>7620.1807219027733</v>
      </c>
      <c r="S149" s="18">
        <f>IF($A149&gt;'1-Input'!$B$26,U148,(U148-Q149)*(1+'5-Roberta'!$C$4))</f>
        <v>118169.22448580885</v>
      </c>
      <c r="T149" s="18">
        <f>IF($A149&gt;'1-Input'!$B$26,R149,R149-'P-Parametri'!$B$8*(S149+R149)+MIN(MAX(S149,0),'P-Parametri'!$B$8*(S149+R149)))</f>
        <v>7620.1807219027733</v>
      </c>
      <c r="U149" s="18">
        <f>IF($A149&gt;'1-Input'!$B$26,S149,S149-MIN(MAX(S149,0),'P-Parametri'!$B$8*(S149+R149)))</f>
        <v>117917.64567539343</v>
      </c>
      <c r="V149" s="18">
        <f>IF($A149&gt;'1-Input'!$B$26,V148,V148-Q149*(1-P149))</f>
        <v>45307.190973427911</v>
      </c>
      <c r="W149" s="11">
        <f>IF($A149&gt;'1-Input'!$B$26,0,IF(AB148&lt;=0,0,MAX(0,(AB148-AC148)/AB148)))</f>
        <v>0.60515531008903989</v>
      </c>
      <c r="X149" s="18">
        <f>IF($A149&gt;'1-Input'!$B$26,0,(MAX(0,W121-IF($A149&gt;='1-Input'!$C$12,'1-Input'!$B$12,0))-MIN(MAX(AA148,0),MAX(0,W121-IF($A149&gt;='1-Input'!$C$12,'1-Input'!$B$12,0))))*(1/(1-'P-Parametri'!$B$6*W149))+MIN(MAX(0,AB148-(MAX(0,W121-IF($A149&gt;='1-Input'!$C$12,'1-Input'!$B$12,0))-MIN(MAX(AA148,0),MAX(0,W121-IF($A149&gt;='1-Input'!$C$12,'1-Input'!$B$12,0))))*(1/(1-'P-Parametri'!$B$6*W149))),MAX(0,1*MAX(0,W121-IF($A149&gt;='1-Input'!$C$12,'1-Input'!$B$12,0))-(AA148-MIN(MAX(AA148,0),MAX(0,W121-IF($A149&gt;='1-Input'!$C$12,'1-Input'!$B$12,0)))))*(1/(1-'P-Parametri'!$B$6*W149))))</f>
        <v>8799.8928247420299</v>
      </c>
      <c r="Y149" s="18">
        <f>IF($A149&gt;'1-Input'!$B$26,AA148,(AA148-MAX(0,W121-IF($A149&gt;='1-Input'!$C$12,'1-Input'!$B$12,0))+X149*(1-'P-Parametri'!$B$6*W149))*(1+'1-Input'!$B$27))</f>
        <v>7362.1155905106352</v>
      </c>
      <c r="Z149" s="18">
        <f>IF($A149&gt;'1-Input'!$B$26,AB148,(AB148-X149)*(1+'5-Roberta'!$C$4))</f>
        <v>129942.6242781449</v>
      </c>
      <c r="AA149" s="18">
        <f>IF($A149&gt;'1-Input'!$B$26,Y149,Y149-'P-Parametri'!$B$8*(Z149+Y149)+MIN(MAX(Z149,0),'P-Parametri'!$B$8*(Z149+Y149)))</f>
        <v>7362.1155905106352</v>
      </c>
      <c r="AB149" s="18">
        <f>IF($A149&gt;'1-Input'!$B$26,Z149,Z149-MIN(MAX(Z149,0),'P-Parametri'!$B$8*(Z149+Y149)))</f>
        <v>129668.01479840759</v>
      </c>
      <c r="AC149" s="18">
        <f>IF($A149&gt;'1-Input'!$B$26,AC148,AC148-X149*(1-W149))</f>
        <v>49812.772028466527</v>
      </c>
      <c r="AD149" s="11">
        <f>IF($A149&gt;'1-Input'!$B$26,0,IF(AI148&lt;=0,0,MAX(0,(AI148-AJ148)/AI148)))</f>
        <v>0.60515703677413335</v>
      </c>
      <c r="AE149" s="18">
        <f>IF($A149&gt;'1-Input'!$B$26,0,(MAX(0,AD121-IF($A149&gt;='1-Input'!$C$12,'1-Input'!$B$12,0))-MIN(MAX(AH148,0),MAX(0,AD121-IF($A149&gt;='1-Input'!$C$12,'1-Input'!$B$12,0))))*(1/(1-'P-Parametri'!$B$6*AD149))+MIN(MAX(0,AI148-(MAX(0,AD121-IF($A149&gt;='1-Input'!$C$12,'1-Input'!$B$12,0))-MIN(MAX(AH148,0),MAX(0,AD121-IF($A149&gt;='1-Input'!$C$12,'1-Input'!$B$12,0))))*(1/(1-'P-Parametri'!$B$6*AD149))),MAX(0,1*MAX(0,AD121-IF($A149&gt;='1-Input'!$C$12,'1-Input'!$B$12,0))-(AH148-MIN(MAX(AH148,0),MAX(0,AD121-IF($A149&gt;='1-Input'!$C$12,'1-Input'!$B$12,0)))))*(1/(1-'P-Parametri'!$B$6*AD149))))</f>
        <v>8791.5484500560851</v>
      </c>
      <c r="AF149" s="18">
        <f>IF($A149&gt;'1-Input'!$B$26,AH148,(AH148-MAX(0,AD121-IF($A149&gt;='1-Input'!$C$12,'1-Input'!$B$12,0))+AE149*(1-'P-Parametri'!$B$6*AD149))*(1+'1-Input'!$B$27))</f>
        <v>7355.1306493328566</v>
      </c>
      <c r="AG149" s="18">
        <f>IF($A149&gt;'1-Input'!$B$26,AI148,(AI148-AE149)*(1+'5-Roberta'!$C$4))</f>
        <v>130261.29375003876</v>
      </c>
      <c r="AH149" s="18">
        <f>IF($A149&gt;'1-Input'!$B$26,AF149,AF149-'P-Parametri'!$B$8*(AG149+AF149)+MIN(MAX(AG149,0),'P-Parametri'!$B$8*(AG149+AF149)))</f>
        <v>7355.1306493328566</v>
      </c>
      <c r="AI149" s="18">
        <f>IF($A149&gt;'1-Input'!$B$26,AG149,AG149-MIN(MAX(AG149,0),'P-Parametri'!$B$8*(AG149+AF149)))</f>
        <v>129986.06090124002</v>
      </c>
      <c r="AJ149" s="18">
        <f>IF($A149&gt;'1-Input'!$B$26,AJ148,AJ148-AE149*(1-AD149))</f>
        <v>49934.71380378677</v>
      </c>
      <c r="AK149" s="11">
        <f>IF($A149&gt;'1-Input'!$B$26,0,IF(AP148&lt;=0,0,MAX(0,(AP148-AQ148)/AP148)))</f>
        <v>0.60515702610246835</v>
      </c>
      <c r="AL149" s="18">
        <f>IF($A149&gt;'1-Input'!$B$26,0,(MAX(0,AK121-IF($A149&gt;='1-Input'!$C$12,'1-Input'!$B$12,0))-MIN(MAX(AO148,0),MAX(0,AK121-IF($A149&gt;='1-Input'!$C$12,'1-Input'!$B$12,0))))*(1/(1-'P-Parametri'!$B$6*AK149))+MIN(MAX(0,AP148-(MAX(0,AK121-IF($A149&gt;='1-Input'!$C$12,'1-Input'!$B$12,0))-MIN(MAX(AO148,0),MAX(0,AK121-IF($A149&gt;='1-Input'!$C$12,'1-Input'!$B$12,0))))*(1/(1-'P-Parametri'!$B$6*AK149))),MAX(0,1*MAX(0,AK121-IF($A149&gt;='1-Input'!$C$12,'1-Input'!$B$12,0))-(AO148-MIN(MAX(AO148,0),MAX(0,AK121-IF($A149&gt;='1-Input'!$C$12,'1-Input'!$B$12,0)))))*(1/(1-'P-Parametri'!$B$6*AK149))))</f>
        <v>8791.600085561482</v>
      </c>
      <c r="AM149" s="18">
        <f>IF($A149&gt;'1-Input'!$B$26,AO148,(AO148-MAX(0,AK121-IF($A149&gt;='1-Input'!$C$12,'1-Input'!$B$12,0))+AL149*(1-'P-Parametri'!$B$6*AK149))*(1+'1-Input'!$B$27))</f>
        <v>7355.1738725270716</v>
      </c>
      <c r="AN149" s="18">
        <f>IF($A149&gt;'1-Input'!$B$26,AP148,(AP148-AL149)*(1+'5-Roberta'!$C$4))</f>
        <v>130259.32180550021</v>
      </c>
      <c r="AO149" s="18">
        <f>IF($A149&gt;'1-Input'!$B$26,AM149,AM149-'P-Parametri'!$B$8*(AN149+AM149)+MIN(MAX(AN149,0),'P-Parametri'!$B$8*(AN149+AM149)))</f>
        <v>7355.1738725270716</v>
      </c>
      <c r="AP149" s="18">
        <f>IF($A149&gt;'1-Input'!$B$26,AN149,AN149-MIN(MAX(AN149,0),'P-Parametri'!$B$8*(AN149+AM149)))</f>
        <v>129984.09281414415</v>
      </c>
      <c r="AQ149" s="18">
        <f>IF($A149&gt;'1-Input'!$B$26,AQ148,AQ148-AL149*(1-AK149))</f>
        <v>49933.959222873113</v>
      </c>
    </row>
    <row r="150" spans="1:43">
      <c r="A150" s="10">
        <f>27</f>
        <v>27</v>
      </c>
      <c r="B150" s="11">
        <f>IF($A150&gt;'1-Input'!$B$26,0,IF(G149&lt;=0,0,MAX(0,(G149-H149)/G149)))</f>
        <v>0.61620201550991449</v>
      </c>
      <c r="C150" s="18">
        <f>IF($A150&gt;'1-Input'!$B$26,0,(MAX(0,B121-IF($A150&gt;='1-Input'!$C$12,'1-Input'!$B$12,0))-MIN(MAX(F149,0),MAX(0,B121-IF($A150&gt;='1-Input'!$C$12,'1-Input'!$B$12,0))))*(1/(1-'P-Parametri'!$B$6*B150))+MIN(MAX(0,G149-(MAX(0,B121-IF($A150&gt;='1-Input'!$C$12,'1-Input'!$B$12,0))-MIN(MAX(F149,0),MAX(0,B121-IF($A150&gt;='1-Input'!$C$12,'1-Input'!$B$12,0))))*(1/(1-'P-Parametri'!$B$6*B150))),MAX(0,1*MAX(0,B121-IF($A150&gt;='1-Input'!$C$12,'1-Input'!$B$12,0))-(F149-MIN(MAX(F149,0),MAX(0,B121-IF($A150&gt;='1-Input'!$C$12,'1-Input'!$B$12,0)))))*(1/(1-'P-Parametri'!$B$6*B150))))</f>
        <v>6667.3296208762022</v>
      </c>
      <c r="D150" s="18">
        <f>IF($A150&gt;'1-Input'!$B$26,F149,(F149-MAX(0,B121-IF($A150&gt;='1-Input'!$C$12,'1-Input'!$B$12,0))+C150*(1-'P-Parametri'!$B$6*B150))*(1+'1-Input'!$B$27))</f>
        <v>5558.9707154931493</v>
      </c>
      <c r="E150" s="18">
        <f>IF($A150&gt;'1-Input'!$B$26,G149,(G149-C150)*(1+'5-Roberta'!$C$4))</f>
        <v>211262.0933907096</v>
      </c>
      <c r="F150" s="18">
        <f>IF($A150&gt;'1-Input'!$B$26,D150,D150-'P-Parametri'!$B$8*(E150+D150)+MIN(MAX(E150,0),'P-Parametri'!$B$8*(E150+D150)))</f>
        <v>5558.9707154931493</v>
      </c>
      <c r="G150" s="18">
        <f>IF($A150&gt;'1-Input'!$B$26,E150,E150-MIN(MAX(E150,0),'P-Parametri'!$B$8*(E150+D150)))</f>
        <v>210828.4512624972</v>
      </c>
      <c r="H150" s="18">
        <f>IF($A150&gt;'1-Input'!$B$26,H149,H149-C150*(1-B150))</f>
        <v>78720.354992728695</v>
      </c>
      <c r="I150" s="11">
        <f>IF($A150&gt;'1-Input'!$B$26,0,IF(N149&lt;=0,0,MAX(0,(N149-O149)/N149)))</f>
        <v>0</v>
      </c>
      <c r="J150" s="18">
        <f>IF($A150&gt;'1-Input'!$B$26,0,(MAX(0,I121-IF($A150&gt;='1-Input'!$C$12,'1-Input'!$B$12,0))-MIN(MAX(M149,0),MAX(0,I121-IF($A150&gt;='1-Input'!$C$12,'1-Input'!$B$12,0))))*(1/(1-'P-Parametri'!$B$6*I150))+MIN(MAX(0,N149-(MAX(0,I121-IF($A150&gt;='1-Input'!$C$12,'1-Input'!$B$12,0))-MIN(MAX(M149,0),MAX(0,I121-IF($A150&gt;='1-Input'!$C$12,'1-Input'!$B$12,0))))*(1/(1-'P-Parametri'!$B$6*I150))),MAX(0,1*MAX(0,I121-IF($A150&gt;='1-Input'!$C$12,'1-Input'!$B$12,0))-(M149-MIN(MAX(M149,0),MAX(0,I121-IF($A150&gt;='1-Input'!$C$12,'1-Input'!$B$12,0)))))*(1/(1-'P-Parametri'!$B$6*I150))))</f>
        <v>10846.756992928691</v>
      </c>
      <c r="K150" s="18">
        <f>IF($A150&gt;'1-Input'!$B$26,M149,(M149-MAX(0,I121-IF($A150&gt;='1-Input'!$C$12,'1-Input'!$B$12,0))+J150*(1-'P-Parametri'!$B$6*I150))*(1+'1-Input'!$B$27))</f>
        <v>0</v>
      </c>
      <c r="L150" s="18">
        <f>IF($A150&gt;'1-Input'!$B$26,N149,(N149-J150)*(1+'5-Roberta'!$C$4))</f>
        <v>-22923.055106197786</v>
      </c>
      <c r="M150" s="18">
        <f>IF($A150&gt;'1-Input'!$B$26,K150,K150-'P-Parametri'!$B$8*(L150+K150)+MIN(MAX(L150,0),'P-Parametri'!$B$8*(L150+K150)))</f>
        <v>0</v>
      </c>
      <c r="N150" s="18">
        <f>IF($A150&gt;'1-Input'!$B$26,L150,L150-MIN(MAX(L150,0),'P-Parametri'!$B$8*(L150+K150)))</f>
        <v>-22877.208995985391</v>
      </c>
      <c r="O150" s="18">
        <f>IF($A150&gt;'1-Input'!$B$26,O149,O149-J150*(1-I150))</f>
        <v>-21938.456325970041</v>
      </c>
      <c r="P150" s="11">
        <f>IF($A150&gt;'1-Input'!$B$26,0,IF(U149&lt;=0,0,MAX(0,(U149-V149)/U149)))</f>
        <v>0.61577259523862404</v>
      </c>
      <c r="Q150" s="18">
        <f>IF($A150&gt;'1-Input'!$B$26,0,(MAX(0,P121-IF($A150&gt;='1-Input'!$C$12,'1-Input'!$B$12,0))-MIN(MAX(T149,0),MAX(0,P121-IF($A150&gt;='1-Input'!$C$12,'1-Input'!$B$12,0))))*(1/(1-'P-Parametri'!$B$6*P150))+MIN(MAX(0,U149-(MAX(0,P121-IF($A150&gt;='1-Input'!$C$12,'1-Input'!$B$12,0))-MIN(MAX(T149,0),MAX(0,P121-IF($A150&gt;='1-Input'!$C$12,'1-Input'!$B$12,0))))*(1/(1-'P-Parametri'!$B$6*P150))),MAX(0,1*MAX(0,P121-IF($A150&gt;='1-Input'!$C$12,'1-Input'!$B$12,0))-(T149-MIN(MAX(T149,0),MAX(0,P121-IF($A150&gt;='1-Input'!$C$12,'1-Input'!$B$12,0)))))*(1/(1-'P-Parametri'!$B$6*P150))))</f>
        <v>9138.2929463506753</v>
      </c>
      <c r="R150" s="18">
        <f>IF($A150&gt;'1-Input'!$B$26,T149,(T149-MAX(0,P121-IF($A150&gt;='1-Input'!$C$12,'1-Input'!$B$12,0))+Q150*(1-'P-Parametri'!$B$6*P150))*(1+'1-Input'!$B$27))</f>
        <v>7620.1807219027723</v>
      </c>
      <c r="S150" s="18">
        <f>IF($A150&gt;'1-Input'!$B$26,U149,(U149-Q150)*(1+'5-Roberta'!$C$4))</f>
        <v>112042.73331091405</v>
      </c>
      <c r="T150" s="18">
        <f>IF($A150&gt;'1-Input'!$B$26,R150,R150-'P-Parametri'!$B$8*(S150+R150)+MIN(MAX(S150,0),'P-Parametri'!$B$8*(S150+R150)))</f>
        <v>7620.1807219027723</v>
      </c>
      <c r="U150" s="18">
        <f>IF($A150&gt;'1-Input'!$B$26,S150,S150-MIN(MAX(S150,0),'P-Parametri'!$B$8*(S150+R150)))</f>
        <v>111803.40748284842</v>
      </c>
      <c r="V150" s="18">
        <f>IF($A150&gt;'1-Input'!$B$26,V149,V149-Q150*(1-P150))</f>
        <v>41796.008390702402</v>
      </c>
      <c r="W150" s="11">
        <f>IF($A150&gt;'1-Input'!$B$26,0,IF(AB149&lt;=0,0,MAX(0,(AB149-AC149)/AB149)))</f>
        <v>0.61584379844243398</v>
      </c>
      <c r="X150" s="18">
        <f>IF($A150&gt;'1-Input'!$B$26,0,(MAX(0,W121-IF($A150&gt;='1-Input'!$C$12,'1-Input'!$B$12,0))-MIN(MAX(AA149,0),MAX(0,W121-IF($A150&gt;='1-Input'!$C$12,'1-Input'!$B$12,0))))*(1/(1-'P-Parametri'!$B$6*W150))+MIN(MAX(0,AB149-(MAX(0,W121-IF($A150&gt;='1-Input'!$C$12,'1-Input'!$B$12,0))-MIN(MAX(AA149,0),MAX(0,W121-IF($A150&gt;='1-Input'!$C$12,'1-Input'!$B$12,0))))*(1/(1-'P-Parametri'!$B$6*W150))),MAX(0,1*MAX(0,W121-IF($A150&gt;='1-Input'!$C$12,'1-Input'!$B$12,0))-(AA149-MIN(MAX(AA149,0),MAX(0,W121-IF($A150&gt;='1-Input'!$C$12,'1-Input'!$B$12,0)))))*(1/(1-'P-Parametri'!$B$6*W150))))</f>
        <v>8829.01001491237</v>
      </c>
      <c r="Y150" s="18">
        <f>IF($A150&gt;'1-Input'!$B$26,AA149,(AA149-MAX(0,W121-IF($A150&gt;='1-Input'!$C$12,'1-Input'!$B$12,0))+X150*(1-'P-Parametri'!$B$6*W150))*(1+'1-Input'!$B$27))</f>
        <v>7362.1155905106352</v>
      </c>
      <c r="Z150" s="18">
        <f>IF($A150&gt;'1-Input'!$B$26,AB149,(AB149-X150)*(1+'5-Roberta'!$C$4))</f>
        <v>124464.17492700007</v>
      </c>
      <c r="AA150" s="18">
        <f>IF($A150&gt;'1-Input'!$B$26,Y150,Y150-'P-Parametri'!$B$8*(Z150+Y150)+MIN(MAX(Z150,0),'P-Parametri'!$B$8*(Z150+Y150)))</f>
        <v>7362.1155905106352</v>
      </c>
      <c r="AB150" s="18">
        <f>IF($A150&gt;'1-Input'!$B$26,Z150,Z150-MIN(MAX(Z150,0),'P-Parametri'!$B$8*(Z150+Y150)))</f>
        <v>124200.52234596504</v>
      </c>
      <c r="AC150" s="18">
        <f>IF($A150&gt;'1-Input'!$B$26,AC149,AC149-X150*(1-W150))</f>
        <v>46421.053077624078</v>
      </c>
      <c r="AD150" s="11">
        <f>IF($A150&gt;'1-Input'!$B$26,0,IF(AI149&lt;=0,0,MAX(0,(AI149-AJ149)/AI149)))</f>
        <v>0.61584562638815676</v>
      </c>
      <c r="AE150" s="18">
        <f>IF($A150&gt;'1-Input'!$B$26,0,(MAX(0,AD121-IF($A150&gt;='1-Input'!$C$12,'1-Input'!$B$12,0))-MIN(MAX(AH149,0),MAX(0,AD121-IF($A150&gt;='1-Input'!$C$12,'1-Input'!$B$12,0))))*(1/(1-'P-Parametri'!$B$6*AD150))+MIN(MAX(0,AI149-(MAX(0,AD121-IF($A150&gt;='1-Input'!$C$12,'1-Input'!$B$12,0))-MIN(MAX(AH149,0),MAX(0,AD121-IF($A150&gt;='1-Input'!$C$12,'1-Input'!$B$12,0))))*(1/(1-'P-Parametri'!$B$6*AD150))),MAX(0,1*MAX(0,AD121-IF($A150&gt;='1-Input'!$C$12,'1-Input'!$B$12,0))-(AH149-MIN(MAX(AH149,0),MAX(0,AD121-IF($A150&gt;='1-Input'!$C$12,'1-Input'!$B$12,0)))))*(1/(1-'P-Parametri'!$B$6*AD150))))</f>
        <v>8820.6383223102148</v>
      </c>
      <c r="AF150" s="18">
        <f>IF($A150&gt;'1-Input'!$B$26,AH149,(AH149-MAX(0,AD121-IF($A150&gt;='1-Input'!$C$12,'1-Input'!$B$12,0))+AE150*(1-'P-Parametri'!$B$6*AD150))*(1+'1-Input'!$B$27))</f>
        <v>7355.1306493328566</v>
      </c>
      <c r="AG150" s="18">
        <f>IF($A150&gt;'1-Input'!$B$26,AI149,(AI149-AE150)*(1+'5-Roberta'!$C$4))</f>
        <v>124800.38525629771</v>
      </c>
      <c r="AH150" s="18">
        <f>IF($A150&gt;'1-Input'!$B$26,AF150,AF150-'P-Parametri'!$B$8*(AG150+AF150)+MIN(MAX(AG150,0),'P-Parametri'!$B$8*(AG150+AF150)))</f>
        <v>7355.1306493328566</v>
      </c>
      <c r="AI150" s="18">
        <f>IF($A150&gt;'1-Input'!$B$26,AG150,AG150-MIN(MAX(AG150,0),'P-Parametri'!$B$8*(AG150+AF150)))</f>
        <v>124536.07422448645</v>
      </c>
      <c r="AJ150" s="18">
        <f>IF($A150&gt;'1-Input'!$B$26,AJ149,AJ149-AE150*(1-AD150))</f>
        <v>46546.22701422307</v>
      </c>
      <c r="AK150" s="11">
        <f>IF($A150&gt;'1-Input'!$B$26,0,IF(AP149&lt;=0,0,MAX(0,(AP149-AQ149)/AP149)))</f>
        <v>0.61584561509176006</v>
      </c>
      <c r="AL150" s="18">
        <f>IF($A150&gt;'1-Input'!$B$26,0,(MAX(0,AK121-IF($A150&gt;='1-Input'!$C$12,'1-Input'!$B$12,0))-MIN(MAX(AO149,0),MAX(0,AK121-IF($A150&gt;='1-Input'!$C$12,'1-Input'!$B$12,0))))*(1/(1-'P-Parametri'!$B$6*AK150))+MIN(MAX(0,AP149-(MAX(0,AK121-IF($A150&gt;='1-Input'!$C$12,'1-Input'!$B$12,0))-MIN(MAX(AO149,0),MAX(0,AK121-IF($A150&gt;='1-Input'!$C$12,'1-Input'!$B$12,0))))*(1/(1-'P-Parametri'!$B$6*AK150))),MAX(0,1*MAX(0,AK121-IF($A150&gt;='1-Input'!$C$12,'1-Input'!$B$12,0))-(AO149-MIN(MAX(AO149,0),MAX(0,AK121-IF($A150&gt;='1-Input'!$C$12,'1-Input'!$B$12,0)))))*(1/(1-'P-Parametri'!$B$6*AK150))))</f>
        <v>8820.6901268675083</v>
      </c>
      <c r="AM150" s="18">
        <f>IF($A150&gt;'1-Input'!$B$26,AO149,(AO149-MAX(0,AK121-IF($A150&gt;='1-Input'!$C$12,'1-Input'!$B$12,0))+AL150*(1-'P-Parametri'!$B$6*AK150))*(1+'1-Input'!$B$27))</f>
        <v>7355.1738725270725</v>
      </c>
      <c r="AN150" s="18">
        <f>IF($A150&gt;'1-Input'!$B$26,AP149,(AP149-AL150)*(1+'5-Roberta'!$C$4))</f>
        <v>124798.30476789494</v>
      </c>
      <c r="AO150" s="18">
        <f>IF($A150&gt;'1-Input'!$B$26,AM150,AM150-'P-Parametri'!$B$8*(AN150+AM150)+MIN(MAX(AN150,0),'P-Parametri'!$B$8*(AN150+AM150)))</f>
        <v>7355.1738725270725</v>
      </c>
      <c r="AP150" s="18">
        <f>IF($A150&gt;'1-Input'!$B$26,AN150,AN150-MIN(MAX(AN150,0),'P-Parametri'!$B$8*(AN150+AM150)))</f>
        <v>124533.99781061409</v>
      </c>
      <c r="AQ150" s="18">
        <f>IF($A150&gt;'1-Input'!$B$26,AQ149,AQ149-AL150*(1-AK150))</f>
        <v>46545.452432720136</v>
      </c>
    </row>
    <row r="151" spans="1:43">
      <c r="A151" s="10">
        <f>28</f>
        <v>28</v>
      </c>
      <c r="B151" s="11">
        <f>IF($A151&gt;'1-Input'!$B$26,0,IF(G150&lt;=0,0,MAX(0,(G150-H150)/G150)))</f>
        <v>0.62661417602164149</v>
      </c>
      <c r="C151" s="18">
        <f>IF($A151&gt;'1-Input'!$B$26,0,(MAX(0,B121-IF($A151&gt;='1-Input'!$C$12,'1-Input'!$B$12,0))-MIN(MAX(F150,0),MAX(0,B121-IF($A151&gt;='1-Input'!$C$12,'1-Input'!$B$12,0))))*(1/(1-'P-Parametri'!$B$6*B151))+MIN(MAX(0,G150-(MAX(0,B121-IF($A151&gt;='1-Input'!$C$12,'1-Input'!$B$12,0))-MIN(MAX(F150,0),MAX(0,B121-IF($A151&gt;='1-Input'!$C$12,'1-Input'!$B$12,0))))*(1/(1-'P-Parametri'!$B$6*B151))),MAX(0,1*MAX(0,B121-IF($A151&gt;='1-Input'!$C$12,'1-Input'!$B$12,0))-(F150-MIN(MAX(F150,0),MAX(0,B121-IF($A151&gt;='1-Input'!$C$12,'1-Input'!$B$12,0)))))*(1/(1-'P-Parametri'!$B$6*B151))))</f>
        <v>6688.8921153039546</v>
      </c>
      <c r="D151" s="18">
        <f>IF($A151&gt;'1-Input'!$B$26,F150,(F150-MAX(0,B121-IF($A151&gt;='1-Input'!$C$12,'1-Input'!$B$12,0))+C151*(1-'P-Parametri'!$B$6*B151))*(1+'1-Input'!$B$27))</f>
        <v>5558.9707154931493</v>
      </c>
      <c r="E151" s="18">
        <f>IF($A151&gt;'1-Input'!$B$26,G150,(G150-C151)*(1+'5-Roberta'!$C$4))</f>
        <v>210263.74592160905</v>
      </c>
      <c r="F151" s="18">
        <f>IF($A151&gt;'1-Input'!$B$26,D151,D151-'P-Parametri'!$B$8*(E151+D151)+MIN(MAX(E151,0),'P-Parametri'!$B$8*(E151+D151)))</f>
        <v>5558.9707154931493</v>
      </c>
      <c r="G151" s="18">
        <f>IF($A151&gt;'1-Input'!$B$26,E151,E151-MIN(MAX(E151,0),'P-Parametri'!$B$8*(E151+D151)))</f>
        <v>209832.10048833484</v>
      </c>
      <c r="H151" s="18">
        <f>IF($A151&gt;'1-Input'!$B$26,H150,H150-C151*(1-B151))</f>
        <v>76222.817498753575</v>
      </c>
      <c r="I151" s="11">
        <f>IF($A151&gt;'1-Input'!$B$26,0,IF(N150&lt;=0,0,MAX(0,(N150-O150)/N150)))</f>
        <v>0</v>
      </c>
      <c r="J151" s="18">
        <f>IF($A151&gt;'1-Input'!$B$26,0,(MAX(0,I121-IF($A151&gt;='1-Input'!$C$12,'1-Input'!$B$12,0))-MIN(MAX(M150,0),MAX(0,I121-IF($A151&gt;='1-Input'!$C$12,'1-Input'!$B$12,0))))*(1/(1-'P-Parametri'!$B$6*I151))+MIN(MAX(0,N150-(MAX(0,I121-IF($A151&gt;='1-Input'!$C$12,'1-Input'!$B$12,0))-MIN(MAX(M150,0),MAX(0,I121-IF($A151&gt;='1-Input'!$C$12,'1-Input'!$B$12,0))))*(1/(1-'P-Parametri'!$B$6*I151))),MAX(0,1*MAX(0,I121-IF($A151&gt;='1-Input'!$C$12,'1-Input'!$B$12,0))-(M150-MIN(MAX(M150,0),MAX(0,I121-IF($A151&gt;='1-Input'!$C$12,'1-Input'!$B$12,0)))))*(1/(1-'P-Parametri'!$B$6*I151))))</f>
        <v>10846.756992928691</v>
      </c>
      <c r="K151" s="18">
        <f>IF($A151&gt;'1-Input'!$B$26,M150,(M150-MAX(0,I121-IF($A151&gt;='1-Input'!$C$12,'1-Input'!$B$12,0))+J151*(1-'P-Parametri'!$B$6*I151))*(1+'1-Input'!$B$27))</f>
        <v>0</v>
      </c>
      <c r="L151" s="18">
        <f>IF($A151&gt;'1-Input'!$B$26,N150,(N150-J151)*(1+'5-Roberta'!$C$4))</f>
        <v>-34735.684968581503</v>
      </c>
      <c r="M151" s="18">
        <f>IF($A151&gt;'1-Input'!$B$26,K151,K151-'P-Parametri'!$B$8*(L151+K151)+MIN(MAX(L151,0),'P-Parametri'!$B$8*(L151+K151)))</f>
        <v>0</v>
      </c>
      <c r="N151" s="18">
        <f>IF($A151&gt;'1-Input'!$B$26,L151,L151-MIN(MAX(L151,0),'P-Parametri'!$B$8*(L151+K151)))</f>
        <v>-34666.213598644339</v>
      </c>
      <c r="O151" s="18">
        <f>IF($A151&gt;'1-Input'!$B$26,O150,O150-J151*(1-I151))</f>
        <v>-32785.213318898735</v>
      </c>
      <c r="P151" s="11">
        <f>IF($A151&gt;'1-Input'!$B$26,0,IF(U150&lt;=0,0,MAX(0,(U150-V150)/U150)))</f>
        <v>0.62616516498288077</v>
      </c>
      <c r="Q151" s="18">
        <f>IF($A151&gt;'1-Input'!$B$26,0,(MAX(0,P121-IF($A151&gt;='1-Input'!$C$12,'1-Input'!$B$12,0))-MIN(MAX(T150,0),MAX(0,P121-IF($A151&gt;='1-Input'!$C$12,'1-Input'!$B$12,0))))*(1/(1-'P-Parametri'!$B$6*P151))+MIN(MAX(0,U150-(MAX(0,P121-IF($A151&gt;='1-Input'!$C$12,'1-Input'!$B$12,0))-MIN(MAX(T150,0),MAX(0,P121-IF($A151&gt;='1-Input'!$C$12,'1-Input'!$B$12,0))))*(1/(1-'P-Parametri'!$B$6*P151))),MAX(0,1*MAX(0,P121-IF($A151&gt;='1-Input'!$C$12,'1-Input'!$B$12,0))-(T150-MIN(MAX(T150,0),MAX(0,P121-IF($A151&gt;='1-Input'!$C$12,'1-Input'!$B$12,0)))))*(1/(1-'P-Parametri'!$B$6*P151))))</f>
        <v>9167.7869465450713</v>
      </c>
      <c r="R151" s="18">
        <f>IF($A151&gt;'1-Input'!$B$26,T150,(T150-MAX(0,P121-IF($A151&gt;='1-Input'!$C$12,'1-Input'!$B$12,0))+Q151*(1-'P-Parametri'!$B$6*P151))*(1+'1-Input'!$B$27))</f>
        <v>7620.1807219027742</v>
      </c>
      <c r="S151" s="18">
        <f>IF($A151&gt;'1-Input'!$B$26,U150,(U150-Q151)*(1+'5-Roberta'!$C$4))</f>
        <v>105714.68915239246</v>
      </c>
      <c r="T151" s="18">
        <f>IF($A151&gt;'1-Input'!$B$26,R151,R151-'P-Parametri'!$B$8*(S151+R151)+MIN(MAX(S151,0),'P-Parametri'!$B$8*(S151+R151)))</f>
        <v>7620.1807219027742</v>
      </c>
      <c r="U151" s="18">
        <f>IF($A151&gt;'1-Input'!$B$26,S151,S151-MIN(MAX(S151,0),'P-Parametri'!$B$8*(S151+R151)))</f>
        <v>105488.01941264387</v>
      </c>
      <c r="V151" s="18">
        <f>IF($A151&gt;'1-Input'!$B$26,V150,V150-Q151*(1-P151))</f>
        <v>38368.770270068628</v>
      </c>
      <c r="W151" s="11">
        <f>IF($A151&gt;'1-Input'!$B$26,0,IF(AB150&lt;=0,0,MAX(0,(AB150-AC150)/AB150)))</f>
        <v>0.62624108014363611</v>
      </c>
      <c r="X151" s="18">
        <f>IF($A151&gt;'1-Input'!$B$26,0,(MAX(0,W121-IF($A151&gt;='1-Input'!$C$12,'1-Input'!$B$12,0))-MIN(MAX(AA150,0),MAX(0,W121-IF($A151&gt;='1-Input'!$C$12,'1-Input'!$B$12,0))))*(1/(1-'P-Parametri'!$B$6*W151))+MIN(MAX(0,AB150-(MAX(0,W121-IF($A151&gt;='1-Input'!$C$12,'1-Input'!$B$12,0))-MIN(MAX(AA150,0),MAX(0,W121-IF($A151&gt;='1-Input'!$C$12,'1-Input'!$B$12,0))))*(1/(1-'P-Parametri'!$B$6*W151))),MAX(0,1*MAX(0,W121-IF($A151&gt;='1-Input'!$C$12,'1-Input'!$B$12,0))-(AA150-MIN(MAX(AA150,0),MAX(0,W121-IF($A151&gt;='1-Input'!$C$12,'1-Input'!$B$12,0)))))*(1/(1-'P-Parametri'!$B$6*W151))))</f>
        <v>8857.5193910783346</v>
      </c>
      <c r="Y151" s="18">
        <f>IF($A151&gt;'1-Input'!$B$26,AA150,(AA150-MAX(0,W121-IF($A151&gt;='1-Input'!$C$12,'1-Input'!$B$12,0))+X151*(1-'P-Parametri'!$B$6*W151))*(1+'1-Input'!$B$27))</f>
        <v>7362.1155905106343</v>
      </c>
      <c r="Z151" s="18">
        <f>IF($A151&gt;'1-Input'!$B$26,AB150,(AB150-X151)*(1+'5-Roberta'!$C$4))</f>
        <v>118803.29304353331</v>
      </c>
      <c r="AA151" s="18">
        <f>IF($A151&gt;'1-Input'!$B$26,Y151,Y151-'P-Parametri'!$B$8*(Z151+Y151)+MIN(MAX(Z151,0),'P-Parametri'!$B$8*(Z151+Y151)))</f>
        <v>7362.1155905106343</v>
      </c>
      <c r="AB151" s="18">
        <f>IF($A151&gt;'1-Input'!$B$26,Z151,Z151-MIN(MAX(Z151,0),'P-Parametri'!$B$8*(Z151+Y151)))</f>
        <v>118550.96222626523</v>
      </c>
      <c r="AC151" s="18">
        <f>IF($A151&gt;'1-Input'!$B$26,AC150,AC150-X151*(1-W151))</f>
        <v>43110.476197407843</v>
      </c>
      <c r="AD151" s="11">
        <f>IF($A151&gt;'1-Input'!$B$26,0,IF(AI150&lt;=0,0,MAX(0,(AI150-AJ150)/AI150)))</f>
        <v>0.62624301991148612</v>
      </c>
      <c r="AE151" s="18">
        <f>IF($A151&gt;'1-Input'!$B$26,0,(MAX(0,AD121-IF($A151&gt;='1-Input'!$C$12,'1-Input'!$B$12,0))-MIN(MAX(AH150,0),MAX(0,AD121-IF($A151&gt;='1-Input'!$C$12,'1-Input'!$B$12,0))))*(1/(1-'P-Parametri'!$B$6*AD151))+MIN(MAX(0,AI150-(MAX(0,AD121-IF($A151&gt;='1-Input'!$C$12,'1-Input'!$B$12,0))-MIN(MAX(AH150,0),MAX(0,AD121-IF($A151&gt;='1-Input'!$C$12,'1-Input'!$B$12,0))))*(1/(1-'P-Parametri'!$B$6*AD151))),MAX(0,1*MAX(0,AD121-IF($A151&gt;='1-Input'!$C$12,'1-Input'!$B$12,0))-(AH150-MIN(MAX(AH150,0),MAX(0,AD121-IF($A151&gt;='1-Input'!$C$12,'1-Input'!$B$12,0)))))*(1/(1-'P-Parametri'!$B$6*AD151))))</f>
        <v>8849.1209892886181</v>
      </c>
      <c r="AF151" s="18">
        <f>IF($A151&gt;'1-Input'!$B$26,AH150,(AH150-MAX(0,AD121-IF($A151&gt;='1-Input'!$C$12,'1-Input'!$B$12,0))+AE151*(1-'P-Parametri'!$B$6*AD151))*(1+'1-Input'!$B$27))</f>
        <v>7355.1306493328557</v>
      </c>
      <c r="AG151" s="18">
        <f>IF($A151&gt;'1-Input'!$B$26,AI150,(AI150-AE151)*(1+'5-Roberta'!$C$4))</f>
        <v>119157.56183225378</v>
      </c>
      <c r="AH151" s="18">
        <f>IF($A151&gt;'1-Input'!$B$26,AF151,AF151-'P-Parametri'!$B$8*(AG151+AF151)+MIN(MAX(AG151,0),'P-Parametri'!$B$8*(AG151+AF151)))</f>
        <v>7355.1306493328557</v>
      </c>
      <c r="AI151" s="18">
        <f>IF($A151&gt;'1-Input'!$B$26,AG151,AG151-MIN(MAX(AG151,0),'P-Parametri'!$B$8*(AG151+AF151)))</f>
        <v>118904.53644729061</v>
      </c>
      <c r="AJ151" s="18">
        <f>IF($A151&gt;'1-Input'!$B$26,AJ150,AJ150-AE151*(1-AD151))</f>
        <v>43238.806276828676</v>
      </c>
      <c r="AK151" s="11">
        <f>IF($A151&gt;'1-Input'!$B$26,0,IF(AP150&lt;=0,0,MAX(0,(AP150-AQ150)/AP150)))</f>
        <v>0.62624300792539844</v>
      </c>
      <c r="AL151" s="18">
        <f>IF($A151&gt;'1-Input'!$B$26,0,(MAX(0,AK121-IF($A151&gt;='1-Input'!$C$12,'1-Input'!$B$12,0))-MIN(MAX(AO150,0),MAX(0,AK121-IF($A151&gt;='1-Input'!$C$12,'1-Input'!$B$12,0))))*(1/(1-'P-Parametri'!$B$6*AK151))+MIN(MAX(0,AP150-(MAX(0,AK121-IF($A151&gt;='1-Input'!$C$12,'1-Input'!$B$12,0))-MIN(MAX(AO150,0),MAX(0,AK121-IF($A151&gt;='1-Input'!$C$12,'1-Input'!$B$12,0))))*(1/(1-'P-Parametri'!$B$6*AK151))),MAX(0,1*MAX(0,AK121-IF($A151&gt;='1-Input'!$C$12,'1-Input'!$B$12,0))-(AO150-MIN(MAX(AO150,0),MAX(0,AK121-IF($A151&gt;='1-Input'!$C$12,'1-Input'!$B$12,0)))))*(1/(1-'P-Parametri'!$B$6*AK151))))</f>
        <v>8849.1729591322965</v>
      </c>
      <c r="AM151" s="18">
        <f>IF($A151&gt;'1-Input'!$B$26,AO150,(AO150-MAX(0,AK121-IF($A151&gt;='1-Input'!$C$12,'1-Input'!$B$12,0))+AL151*(1-'P-Parametri'!$B$6*AK151))*(1+'1-Input'!$B$27))</f>
        <v>7355.1738725270725</v>
      </c>
      <c r="AN151" s="18">
        <f>IF($A151&gt;'1-Input'!$B$26,AP150,(AP150-AL151)*(1+'5-Roberta'!$C$4))</f>
        <v>119155.36959702625</v>
      </c>
      <c r="AO151" s="18">
        <f>IF($A151&gt;'1-Input'!$B$26,AM151,AM151-'P-Parametri'!$B$8*(AN151+AM151)+MIN(MAX(AN151,0),'P-Parametri'!$B$8*(AN151+AM151)))</f>
        <v>7355.1738725270725</v>
      </c>
      <c r="AP151" s="18">
        <f>IF($A151&gt;'1-Input'!$B$26,AN151,AN151-MIN(MAX(AN151,0),'P-Parametri'!$B$8*(AN151+AM151)))</f>
        <v>118902.34851008715</v>
      </c>
      <c r="AQ151" s="18">
        <f>IF($A151&gt;'1-Input'!$B$26,AQ150,AQ150-AL151*(1-AK151))</f>
        <v>43238.012165166947</v>
      </c>
    </row>
    <row r="152" spans="1:43">
      <c r="A152" s="10">
        <f>29</f>
        <v>29</v>
      </c>
      <c r="B152" s="11">
        <f>IF($A152&gt;'1-Input'!$B$26,0,IF(G151&lt;=0,0,MAX(0,(G151-H151)/G151)))</f>
        <v>0.63674377122774395</v>
      </c>
      <c r="C152" s="18">
        <f>IF($A152&gt;'1-Input'!$B$26,0,(MAX(0,B121-IF($A152&gt;='1-Input'!$C$12,'1-Input'!$B$12,0))-MIN(MAX(F151,0),MAX(0,B121-IF($A152&gt;='1-Input'!$C$12,'1-Input'!$B$12,0))))*(1/(1-'P-Parametri'!$B$6*B152))+MIN(MAX(0,G151-(MAX(0,B121-IF($A152&gt;='1-Input'!$C$12,'1-Input'!$B$12,0))-MIN(MAX(F151,0),MAX(0,B121-IF($A152&gt;='1-Input'!$C$12,'1-Input'!$B$12,0))))*(1/(1-'P-Parametri'!$B$6*B152))),MAX(0,1*MAX(0,B121-IF($A152&gt;='1-Input'!$C$12,'1-Input'!$B$12,0))-(F151-MIN(MAX(F151,0),MAX(0,B121-IF($A152&gt;='1-Input'!$C$12,'1-Input'!$B$12,0)))))*(1/(1-'P-Parametri'!$B$6*B152))))</f>
        <v>6710.0037114925099</v>
      </c>
      <c r="D152" s="18">
        <f>IF($A152&gt;'1-Input'!$B$26,F151,(F151-MAX(0,B121-IF($A152&gt;='1-Input'!$C$12,'1-Input'!$B$12,0))+C152*(1-'P-Parametri'!$B$6*B152))*(1+'1-Input'!$B$27))</f>
        <v>5558.9707154931493</v>
      </c>
      <c r="E152" s="18">
        <f>IF($A152&gt;'1-Input'!$B$26,G151,(G151-C152)*(1+'5-Roberta'!$C$4))</f>
        <v>209215.7596801476</v>
      </c>
      <c r="F152" s="18">
        <f>IF($A152&gt;'1-Input'!$B$26,D152,D152-'P-Parametri'!$B$8*(E152+D152)+MIN(MAX(E152,0),'P-Parametri'!$B$8*(E152+D152)))</f>
        <v>5558.9707154931493</v>
      </c>
      <c r="G152" s="18">
        <f>IF($A152&gt;'1-Input'!$B$26,E152,E152-MIN(MAX(E152,0),'P-Parametri'!$B$8*(E152+D152)))</f>
        <v>208786.21021935632</v>
      </c>
      <c r="H152" s="18">
        <f>IF($A152&gt;'1-Input'!$B$26,H151,H151-C152*(1-B152))</f>
        <v>73785.366855468965</v>
      </c>
      <c r="I152" s="11">
        <f>IF($A152&gt;'1-Input'!$B$26,0,IF(N151&lt;=0,0,MAX(0,(N151-O151)/N151)))</f>
        <v>0</v>
      </c>
      <c r="J152" s="18">
        <f>IF($A152&gt;'1-Input'!$B$26,0,(MAX(0,I121-IF($A152&gt;='1-Input'!$C$12,'1-Input'!$B$12,0))-MIN(MAX(M151,0),MAX(0,I121-IF($A152&gt;='1-Input'!$C$12,'1-Input'!$B$12,0))))*(1/(1-'P-Parametri'!$B$6*I152))+MIN(MAX(0,N151-(MAX(0,I121-IF($A152&gt;='1-Input'!$C$12,'1-Input'!$B$12,0))-MIN(MAX(M151,0),MAX(0,I121-IF($A152&gt;='1-Input'!$C$12,'1-Input'!$B$12,0))))*(1/(1-'P-Parametri'!$B$6*I152))),MAX(0,1*MAX(0,I121-IF($A152&gt;='1-Input'!$C$12,'1-Input'!$B$12,0))-(M151-MIN(MAX(M151,0),MAX(0,I121-IF($A152&gt;='1-Input'!$C$12,'1-Input'!$B$12,0)))))*(1/(1-'P-Parametri'!$B$6*I152))))</f>
        <v>10846.756992928691</v>
      </c>
      <c r="K152" s="18">
        <f>IF($A152&gt;'1-Input'!$B$26,M151,(M151-MAX(0,I121-IF($A152&gt;='1-Input'!$C$12,'1-Input'!$B$12,0))+J152*(1-'P-Parametri'!$B$6*I152))*(1+'1-Input'!$B$27))</f>
        <v>0</v>
      </c>
      <c r="L152" s="18">
        <f>IF($A152&gt;'1-Input'!$B$26,N151,(N151-J152)*(1+'5-Roberta'!$C$4))</f>
        <v>-46878.359709320219</v>
      </c>
      <c r="M152" s="18">
        <f>IF($A152&gt;'1-Input'!$B$26,K152,K152-'P-Parametri'!$B$8*(L152+K152)+MIN(MAX(L152,0),'P-Parametri'!$B$8*(L152+K152)))</f>
        <v>0</v>
      </c>
      <c r="N152" s="18">
        <f>IF($A152&gt;'1-Input'!$B$26,L152,L152-MIN(MAX(L152,0),'P-Parametri'!$B$8*(L152+K152)))</f>
        <v>-46784.602989901578</v>
      </c>
      <c r="O152" s="18">
        <f>IF($A152&gt;'1-Input'!$B$26,O151,O151-J152*(1-I152))</f>
        <v>-43631.970311827426</v>
      </c>
      <c r="P152" s="11">
        <f>IF($A152&gt;'1-Input'!$B$26,0,IF(U151&lt;=0,0,MAX(0,(U151-V151)/U151)))</f>
        <v>0.63627366895591075</v>
      </c>
      <c r="Q152" s="18">
        <f>IF($A152&gt;'1-Input'!$B$26,0,(MAX(0,P121-IF($A152&gt;='1-Input'!$C$12,'1-Input'!$B$12,0))-MIN(MAX(T151,0),MAX(0,P121-IF($A152&gt;='1-Input'!$C$12,'1-Input'!$B$12,0))))*(1/(1-'P-Parametri'!$B$6*P152))+MIN(MAX(0,U151-(MAX(0,P121-IF($A152&gt;='1-Input'!$C$12,'1-Input'!$B$12,0))-MIN(MAX(T151,0),MAX(0,P121-IF($A152&gt;='1-Input'!$C$12,'1-Input'!$B$12,0))))*(1/(1-'P-Parametri'!$B$6*P152))),MAX(0,1*MAX(0,P121-IF($A152&gt;='1-Input'!$C$12,'1-Input'!$B$12,0))-(T151-MIN(MAX(T151,0),MAX(0,P121-IF($A152&gt;='1-Input'!$C$12,'1-Input'!$B$12,0)))))*(1/(1-'P-Parametri'!$B$6*P152))))</f>
        <v>9196.6579964463581</v>
      </c>
      <c r="R152" s="18">
        <f>IF($A152&gt;'1-Input'!$B$26,T151,(T151-MAX(0,P121-IF($A152&gt;='1-Input'!$C$12,'1-Input'!$B$12,0))+Q152*(1-'P-Parametri'!$B$6*P152))*(1+'1-Input'!$B$27))</f>
        <v>7620.1807219027733</v>
      </c>
      <c r="S152" s="18">
        <f>IF($A152&gt;'1-Input'!$B$26,U151,(U151-Q152)*(1+'5-Roberta'!$C$4))</f>
        <v>99180.102258683444</v>
      </c>
      <c r="T152" s="18">
        <f>IF($A152&gt;'1-Input'!$B$26,R152,R152-'P-Parametri'!$B$8*(S152+R152)+MIN(MAX(S152,0),'P-Parametri'!$B$8*(S152+R152)))</f>
        <v>7620.1807219027733</v>
      </c>
      <c r="U152" s="18">
        <f>IF($A152&gt;'1-Input'!$B$26,S152,S152-MIN(MAX(S152,0),'P-Parametri'!$B$8*(S152+R152)))</f>
        <v>98966.501692722275</v>
      </c>
      <c r="V152" s="18">
        <f>IF($A152&gt;'1-Input'!$B$26,V151,V151-Q152*(1-P152))</f>
        <v>35023.703599153909</v>
      </c>
      <c r="W152" s="11">
        <f>IF($A152&gt;'1-Input'!$B$26,0,IF(AB151&lt;=0,0,MAX(0,(AB151-AC151)/AB151)))</f>
        <v>0.63635490266938866</v>
      </c>
      <c r="X152" s="18">
        <f>IF($A152&gt;'1-Input'!$B$26,0,(MAX(0,W121-IF($A152&gt;='1-Input'!$C$12,'1-Input'!$B$12,0))-MIN(MAX(AA151,0),MAX(0,W121-IF($A152&gt;='1-Input'!$C$12,'1-Input'!$B$12,0))))*(1/(1-'P-Parametri'!$B$6*W152))+MIN(MAX(0,AB151-(MAX(0,W121-IF($A152&gt;='1-Input'!$C$12,'1-Input'!$B$12,0))-MIN(MAX(AA151,0),MAX(0,W121-IF($A152&gt;='1-Input'!$C$12,'1-Input'!$B$12,0))))*(1/(1-'P-Parametri'!$B$6*W152))),MAX(0,1*MAX(0,W121-IF($A152&gt;='1-Input'!$C$12,'1-Input'!$B$12,0))-(AA151-MIN(MAX(AA151,0),MAX(0,W121-IF($A152&gt;='1-Input'!$C$12,'1-Input'!$B$12,0)))))*(1/(1-'P-Parametri'!$B$6*W152))))</f>
        <v>8885.428733911669</v>
      </c>
      <c r="Y152" s="18">
        <f>IF($A152&gt;'1-Input'!$B$26,AA151,(AA151-MAX(0,W121-IF($A152&gt;='1-Input'!$C$12,'1-Input'!$B$12,0))+X152*(1-'P-Parametri'!$B$6*W152))*(1+'1-Input'!$B$27))</f>
        <v>7362.1155905106352</v>
      </c>
      <c r="Z152" s="18">
        <f>IF($A152&gt;'1-Input'!$B$26,AB151,(AB151-X152)*(1+'5-Roberta'!$C$4))</f>
        <v>112955.49949712417</v>
      </c>
      <c r="AA152" s="18">
        <f>IF($A152&gt;'1-Input'!$B$26,Y152,Y152-'P-Parametri'!$B$8*(Z152+Y152)+MIN(MAX(Z152,0),'P-Parametri'!$B$8*(Z152+Y152)))</f>
        <v>7362.1155905106352</v>
      </c>
      <c r="AB152" s="18">
        <f>IF($A152&gt;'1-Input'!$B$26,Z152,Z152-MIN(MAX(Z152,0),'P-Parametri'!$B$8*(Z152+Y152)))</f>
        <v>112714.86426694891</v>
      </c>
      <c r="AC152" s="18">
        <f>IF($A152&gt;'1-Input'!$B$26,AC151,AC151-X152*(1-W152))</f>
        <v>39879.333600640326</v>
      </c>
      <c r="AD152" s="11">
        <f>IF($A152&gt;'1-Input'!$B$26,0,IF(AI151&lt;=0,0,MAX(0,(AI151-AJ151)/AI151)))</f>
        <v>0.63635696695225685</v>
      </c>
      <c r="AE152" s="18">
        <f>IF($A152&gt;'1-Input'!$B$26,0,(MAX(0,AD121-IF($A152&gt;='1-Input'!$C$12,'1-Input'!$B$12,0))-MIN(MAX(AH151,0),MAX(0,AD121-IF($A152&gt;='1-Input'!$C$12,'1-Input'!$B$12,0))))*(1/(1-'P-Parametri'!$B$6*AD152))+MIN(MAX(0,AI151-(MAX(0,AD121-IF($A152&gt;='1-Input'!$C$12,'1-Input'!$B$12,0))-MIN(MAX(AH151,0),MAX(0,AD121-IF($A152&gt;='1-Input'!$C$12,'1-Input'!$B$12,0))))*(1/(1-'P-Parametri'!$B$6*AD152))),MAX(0,1*MAX(0,AD121-IF($A152&gt;='1-Input'!$C$12,'1-Input'!$B$12,0))-(AH151-MIN(MAX(AH151,0),MAX(0,AD121-IF($A152&gt;='1-Input'!$C$12,'1-Input'!$B$12,0)))))*(1/(1-'P-Parametri'!$B$6*AD152))))</f>
        <v>8877.004230631077</v>
      </c>
      <c r="AF152" s="18">
        <f>IF($A152&gt;'1-Input'!$B$26,AH151,(AH151-MAX(0,AD121-IF($A152&gt;='1-Input'!$C$12,'1-Input'!$B$12,0))+AE152*(1-'P-Parametri'!$B$6*AD152))*(1+'1-Input'!$B$27))</f>
        <v>7355.1306493328575</v>
      </c>
      <c r="AG152" s="18">
        <f>IF($A152&gt;'1-Input'!$B$26,AI151,(AI151-AE152)*(1+'5-Roberta'!$C$4))</f>
        <v>113328.35818315932</v>
      </c>
      <c r="AH152" s="18">
        <f>IF($A152&gt;'1-Input'!$B$26,AF152,AF152-'P-Parametri'!$B$8*(AG152+AF152)+MIN(MAX(AG152,0),'P-Parametri'!$B$8*(AG152+AF152)))</f>
        <v>7355.1306493328575</v>
      </c>
      <c r="AI152" s="18">
        <f>IF($A152&gt;'1-Input'!$B$26,AG152,AG152-MIN(MAX(AG152,0),'P-Parametri'!$B$8*(AG152+AF152)))</f>
        <v>113086.99120549433</v>
      </c>
      <c r="AJ152" s="18">
        <f>IF($A152&gt;'1-Input'!$B$26,AJ151,AJ151-AE152*(1-AD152))</f>
        <v>40010.745534024347</v>
      </c>
      <c r="AK152" s="11">
        <f>IF($A152&gt;'1-Input'!$B$26,0,IF(AP151&lt;=0,0,MAX(0,(AP151-AQ151)/AP151)))</f>
        <v>0.63635695419843763</v>
      </c>
      <c r="AL152" s="18">
        <f>IF($A152&gt;'1-Input'!$B$26,0,(MAX(0,AK121-IF($A152&gt;='1-Input'!$C$12,'1-Input'!$B$12,0))-MIN(MAX(AO151,0),MAX(0,AK121-IF($A152&gt;='1-Input'!$C$12,'1-Input'!$B$12,0))))*(1/(1-'P-Parametri'!$B$6*AK152))+MIN(MAX(0,AP151-(MAX(0,AK121-IF($A152&gt;='1-Input'!$C$12,'1-Input'!$B$12,0))-MIN(MAX(AO151,0),MAX(0,AK121-IF($A152&gt;='1-Input'!$C$12,'1-Input'!$B$12,0))))*(1/(1-'P-Parametri'!$B$6*AK152))),MAX(0,1*MAX(0,AK121-IF($A152&gt;='1-Input'!$C$12,'1-Input'!$B$12,0))-(AO151-MIN(MAX(AO151,0),MAX(0,AK121-IF($A152&gt;='1-Input'!$C$12,'1-Input'!$B$12,0)))))*(1/(1-'P-Parametri'!$B$6*AK152))))</f>
        <v>8877.0563620023677</v>
      </c>
      <c r="AM152" s="18">
        <f>IF($A152&gt;'1-Input'!$B$26,AO151,(AO151-MAX(0,AK121-IF($A152&gt;='1-Input'!$C$12,'1-Input'!$B$12,0))+AL152*(1-'P-Parametri'!$B$6*AK152))*(1+'1-Input'!$B$27))</f>
        <v>7355.1738725270725</v>
      </c>
      <c r="AN152" s="18">
        <f>IF($A152&gt;'1-Input'!$B$26,AP151,(AP151-AL152)*(1+'5-Roberta'!$C$4))</f>
        <v>113326.05091252734</v>
      </c>
      <c r="AO152" s="18">
        <f>IF($A152&gt;'1-Input'!$B$26,AM152,AM152-'P-Parametri'!$B$8*(AN152+AM152)+MIN(MAX(AN152,0),'P-Parametri'!$B$8*(AN152+AM152)))</f>
        <v>7355.1738725270725</v>
      </c>
      <c r="AP152" s="18">
        <f>IF($A152&gt;'1-Input'!$B$26,AN152,AN152-MIN(MAX(AN152,0),'P-Parametri'!$B$8*(AN152+AM152)))</f>
        <v>113084.68846295723</v>
      </c>
      <c r="AQ152" s="18">
        <f>IF($A152&gt;'1-Input'!$B$26,AQ151,AQ151-AL152*(1-AK152))</f>
        <v>40009.932351936266</v>
      </c>
    </row>
    <row r="153" spans="1:43">
      <c r="A153" s="10">
        <f>30</f>
        <v>30</v>
      </c>
      <c r="B153" s="11">
        <f>IF($A153&gt;'1-Input'!$B$26,0,IF(G152&lt;=0,0,MAX(0,(G152-H152)/G152)))</f>
        <v>0.64659846654648256</v>
      </c>
      <c r="C153" s="18">
        <f>IF($A153&gt;'1-Input'!$B$26,0,(MAX(0,B121-IF($A153&gt;='1-Input'!$C$12,'1-Input'!$B$12,0))-MIN(MAX(F152,0),MAX(0,B121-IF($A153&gt;='1-Input'!$C$12,'1-Input'!$B$12,0))))*(1/(1-'P-Parametri'!$B$6*B153))+MIN(MAX(0,G152-(MAX(0,B121-IF($A153&gt;='1-Input'!$C$12,'1-Input'!$B$12,0))-MIN(MAX(F152,0),MAX(0,B121-IF($A153&gt;='1-Input'!$C$12,'1-Input'!$B$12,0))))*(1/(1-'P-Parametri'!$B$6*B153))),MAX(0,1*MAX(0,B121-IF($A153&gt;='1-Input'!$C$12,'1-Input'!$B$12,0))-(F152-MIN(MAX(F152,0),MAX(0,B121-IF($A153&gt;='1-Input'!$C$12,'1-Input'!$B$12,0)))))*(1/(1-'P-Parametri'!$B$6*B153))))</f>
        <v>6730.6706587145572</v>
      </c>
      <c r="D153" s="18">
        <f>IF($A153&gt;'1-Input'!$B$26,F152,(F152-MAX(0,B121-IF($A153&gt;='1-Input'!$C$12,'1-Input'!$B$12,0))+C153*(1-'P-Parametri'!$B$6*B153))*(1+'1-Input'!$B$27))</f>
        <v>5558.9707154931493</v>
      </c>
      <c r="E153" s="18">
        <f>IF($A153&gt;'1-Input'!$B$26,G152,(G152-C153)*(1+'5-Roberta'!$C$4))</f>
        <v>208117.20574746103</v>
      </c>
      <c r="F153" s="18">
        <f>IF($A153&gt;'1-Input'!$B$26,D153,D153-'P-Parametri'!$B$8*(E153+D153)+MIN(MAX(E153,0),'P-Parametri'!$B$8*(E153+D153)))</f>
        <v>5558.9707154931493</v>
      </c>
      <c r="G153" s="18">
        <f>IF($A153&gt;'1-Input'!$B$26,E153,E153-MIN(MAX(E153,0),'P-Parametri'!$B$8*(E153+D153)))</f>
        <v>207689.85339453514</v>
      </c>
      <c r="H153" s="18">
        <f>IF($A153&gt;'1-Input'!$B$26,H152,H152-C153*(1-B153))</f>
        <v>71406.737523508637</v>
      </c>
      <c r="I153" s="11">
        <f>IF($A153&gt;'1-Input'!$B$26,0,IF(N152&lt;=0,0,MAX(0,(N152-O152)/N152)))</f>
        <v>0</v>
      </c>
      <c r="J153" s="18">
        <f>IF($A153&gt;'1-Input'!$B$26,0,(MAX(0,I121-IF($A153&gt;='1-Input'!$C$12,'1-Input'!$B$12,0))-MIN(MAX(M152,0),MAX(0,I121-IF($A153&gt;='1-Input'!$C$12,'1-Input'!$B$12,0))))*(1/(1-'P-Parametri'!$B$6*I153))+MIN(MAX(0,N152-(MAX(0,I121-IF($A153&gt;='1-Input'!$C$12,'1-Input'!$B$12,0))-MIN(MAX(M152,0),MAX(0,I121-IF($A153&gt;='1-Input'!$C$12,'1-Input'!$B$12,0))))*(1/(1-'P-Parametri'!$B$6*I153))),MAX(0,1*MAX(0,I121-IF($A153&gt;='1-Input'!$C$12,'1-Input'!$B$12,0))-(M152-MIN(MAX(M152,0),MAX(0,I121-IF($A153&gt;='1-Input'!$C$12,'1-Input'!$B$12,0)))))*(1/(1-'P-Parametri'!$B$6*I153))))</f>
        <v>10846.756992928691</v>
      </c>
      <c r="K153" s="18">
        <f>IF($A153&gt;'1-Input'!$B$26,M152,(M152-MAX(0,I121-IF($A153&gt;='1-Input'!$C$12,'1-Input'!$B$12,0))+J153*(1-'P-Parametri'!$B$6*I153))*(1+'1-Input'!$B$27))</f>
        <v>0</v>
      </c>
      <c r="L153" s="18">
        <f>IF($A153&gt;'1-Input'!$B$26,N152,(N152-J153)*(1+'5-Roberta'!$C$4))</f>
        <v>-59360.300782315178</v>
      </c>
      <c r="M153" s="18">
        <f>IF($A153&gt;'1-Input'!$B$26,K153,K153-'P-Parametri'!$B$8*(L153+K153)+MIN(MAX(L153,0),'P-Parametri'!$B$8*(L153+K153)))</f>
        <v>0</v>
      </c>
      <c r="N153" s="18">
        <f>IF($A153&gt;'1-Input'!$B$26,L153,L153-MIN(MAX(L153,0),'P-Parametri'!$B$8*(L153+K153)))</f>
        <v>-59241.580180750549</v>
      </c>
      <c r="O153" s="18">
        <f>IF($A153&gt;'1-Input'!$B$26,O152,O152-J153*(1-I153))</f>
        <v>-54478.727304756118</v>
      </c>
      <c r="P153" s="11">
        <f>IF($A153&gt;'1-Input'!$B$26,0,IF(U152&lt;=0,0,MAX(0,(U152-V152)/U152)))</f>
        <v>0.64610547003168994</v>
      </c>
      <c r="Q153" s="18">
        <f>IF($A153&gt;'1-Input'!$B$26,0,(MAX(0,P121-IF($A153&gt;='1-Input'!$C$12,'1-Input'!$B$12,0))-MIN(MAX(T152,0),MAX(0,P121-IF($A153&gt;='1-Input'!$C$12,'1-Input'!$B$12,0))))*(1/(1-'P-Parametri'!$B$6*P153))+MIN(MAX(0,U152-(MAX(0,P121-IF($A153&gt;='1-Input'!$C$12,'1-Input'!$B$12,0))-MIN(MAX(T152,0),MAX(0,P121-IF($A153&gt;='1-Input'!$C$12,'1-Input'!$B$12,0))))*(1/(1-'P-Parametri'!$B$6*P153))),MAX(0,1*MAX(0,P121-IF($A153&gt;='1-Input'!$C$12,'1-Input'!$B$12,0))-(T152-MIN(MAX(T152,0),MAX(0,P121-IF($A153&gt;='1-Input'!$C$12,'1-Input'!$B$12,0)))))*(1/(1-'P-Parametri'!$B$6*P153))))</f>
        <v>9224.9137292839368</v>
      </c>
      <c r="R153" s="18">
        <f>IF($A153&gt;'1-Input'!$B$26,T152,(T152-MAX(0,P121-IF($A153&gt;='1-Input'!$C$12,'1-Input'!$B$12,0))+Q153*(1-'P-Parametri'!$B$6*P153))*(1+'1-Input'!$B$27))</f>
        <v>7620.1807219027733</v>
      </c>
      <c r="S153" s="18">
        <f>IF($A153&gt;'1-Input'!$B$26,U152,(U152-Q153)*(1+'5-Roberta'!$C$4))</f>
        <v>92433.835602341482</v>
      </c>
      <c r="T153" s="18">
        <f>IF($A153&gt;'1-Input'!$B$26,R153,R153-'P-Parametri'!$B$8*(S153+R153)+MIN(MAX(S153,0),'P-Parametri'!$B$8*(S153+R153)))</f>
        <v>7620.1807219027733</v>
      </c>
      <c r="U153" s="18">
        <f>IF($A153&gt;'1-Input'!$B$26,S153,S153-MIN(MAX(S153,0),'P-Parametri'!$B$8*(S153+R153)))</f>
        <v>92233.727569692986</v>
      </c>
      <c r="V153" s="18">
        <f>IF($A153&gt;'1-Input'!$B$26,V152,V152-Q153*(1-P153))</f>
        <v>31759.057090930761</v>
      </c>
      <c r="W153" s="11">
        <f>IF($A153&gt;'1-Input'!$B$26,0,IF(AB152&lt;=0,0,MAX(0,(AB152-AC152)/AB152)))</f>
        <v>0.64619277271015585</v>
      </c>
      <c r="X153" s="18">
        <f>IF($A153&gt;'1-Input'!$B$26,0,(MAX(0,W121-IF($A153&gt;='1-Input'!$C$12,'1-Input'!$B$12,0))-MIN(MAX(AA152,0),MAX(0,W121-IF($A153&gt;='1-Input'!$C$12,'1-Input'!$B$12,0))))*(1/(1-'P-Parametri'!$B$6*W153))+MIN(MAX(0,AB152-(MAX(0,W121-IF($A153&gt;='1-Input'!$C$12,'1-Input'!$B$12,0))-MIN(MAX(AA152,0),MAX(0,W121-IF($A153&gt;='1-Input'!$C$12,'1-Input'!$B$12,0))))*(1/(1-'P-Parametri'!$B$6*W153))),MAX(0,1*MAX(0,W121-IF($A153&gt;='1-Input'!$C$12,'1-Input'!$B$12,0))-(AA152-MIN(MAX(AA152,0),MAX(0,W121-IF($A153&gt;='1-Input'!$C$12,'1-Input'!$B$12,0)))))*(1/(1-'P-Parametri'!$B$6*W153))))</f>
        <v>8912.745845318479</v>
      </c>
      <c r="Y153" s="18">
        <f>IF($A153&gt;'1-Input'!$B$26,AA152,(AA152-MAX(0,W121-IF($A153&gt;='1-Input'!$C$12,'1-Input'!$B$12,0))+X153*(1-'P-Parametri'!$B$6*W153))*(1+'1-Input'!$B$27))</f>
        <v>7362.1155905106352</v>
      </c>
      <c r="Z153" s="18">
        <f>IF($A153&gt;'1-Input'!$B$26,AB152,(AB152-X153)*(1+'5-Roberta'!$C$4))</f>
        <v>106916.18197427935</v>
      </c>
      <c r="AA153" s="18">
        <f>IF($A153&gt;'1-Input'!$B$26,Y153,Y153-'P-Parametri'!$B$8*(Z153+Y153)+MIN(MAX(Z153,0),'P-Parametri'!$B$8*(Z153+Y153)))</f>
        <v>7362.1155905106352</v>
      </c>
      <c r="AB153" s="18">
        <f>IF($A153&gt;'1-Input'!$B$26,Z153,Z153-MIN(MAX(Z153,0),'P-Parametri'!$B$8*(Z153+Y153)))</f>
        <v>106687.62537914976</v>
      </c>
      <c r="AC153" s="18">
        <f>IF($A153&gt;'1-Input'!$B$26,AC152,AC152-X153*(1-W153))</f>
        <v>36725.939705569115</v>
      </c>
      <c r="AD153" s="11">
        <f>IF($A153&gt;'1-Input'!$B$26,0,IF(AI152&lt;=0,0,MAX(0,(AI152-AJ152)/AI152)))</f>
        <v>0.64619497691543126</v>
      </c>
      <c r="AE153" s="18">
        <f>IF($A153&gt;'1-Input'!$B$26,0,(MAX(0,AD121-IF($A153&gt;='1-Input'!$C$12,'1-Input'!$B$12,0))-MIN(MAX(AH152,0),MAX(0,AD121-IF($A153&gt;='1-Input'!$C$12,'1-Input'!$B$12,0))))*(1/(1-'P-Parametri'!$B$6*AD153))+MIN(MAX(0,AI152-(MAX(0,AD121-IF($A153&gt;='1-Input'!$C$12,'1-Input'!$B$12,0))-MIN(MAX(AH152,0),MAX(0,AD121-IF($A153&gt;='1-Input'!$C$12,'1-Input'!$B$12,0))))*(1/(1-'P-Parametri'!$B$6*AD153))),MAX(0,1*MAX(0,AD121-IF($A153&gt;='1-Input'!$C$12,'1-Input'!$B$12,0))-(AH152-MIN(MAX(AH152,0),MAX(0,AD121-IF($A153&gt;='1-Input'!$C$12,'1-Input'!$B$12,0)))))*(1/(1-'P-Parametri'!$B$6*AD153))))</f>
        <v>8904.295848940179</v>
      </c>
      <c r="AF153" s="18">
        <f>IF($A153&gt;'1-Input'!$B$26,AH152,(AH152-MAX(0,AD121-IF($A153&gt;='1-Input'!$C$12,'1-Input'!$B$12,0))+AE153*(1-'P-Parametri'!$B$6*AD153))*(1+'1-Input'!$B$27))</f>
        <v>7355.1306493328566</v>
      </c>
      <c r="AG153" s="18">
        <f>IF($A153&gt;'1-Input'!$B$26,AI152,(AI152-AE153)*(1+'5-Roberta'!$C$4))</f>
        <v>107308.17621725077</v>
      </c>
      <c r="AH153" s="18">
        <f>IF($A153&gt;'1-Input'!$B$26,AF153,AF153-'P-Parametri'!$B$8*(AG153+AF153)+MIN(MAX(AG153,0),'P-Parametri'!$B$8*(AG153+AF153)))</f>
        <v>7355.1306493328566</v>
      </c>
      <c r="AI153" s="18">
        <f>IF($A153&gt;'1-Input'!$B$26,AG153,AG153-MIN(MAX(AG153,0),'P-Parametri'!$B$8*(AG153+AF153)))</f>
        <v>107078.84960351761</v>
      </c>
      <c r="AJ153" s="18">
        <f>IF($A153&gt;'1-Input'!$B$26,AJ152,AJ152-AE153*(1-AD153))</f>
        <v>36860.360935638237</v>
      </c>
      <c r="AK153" s="11">
        <f>IF($A153&gt;'1-Input'!$B$26,0,IF(AP152&lt;=0,0,MAX(0,(AP152-AQ152)/AP152)))</f>
        <v>0.6461949632991898</v>
      </c>
      <c r="AL153" s="18">
        <f>IF($A153&gt;'1-Input'!$B$26,0,(MAX(0,AK121-IF($A153&gt;='1-Input'!$C$12,'1-Input'!$B$12,0))-MIN(MAX(AO152,0),MAX(0,AK121-IF($A153&gt;='1-Input'!$C$12,'1-Input'!$B$12,0))))*(1/(1-'P-Parametri'!$B$6*AK153))+MIN(MAX(0,AP152-(MAX(0,AK121-IF($A153&gt;='1-Input'!$C$12,'1-Input'!$B$12,0))-MIN(MAX(AO152,0),MAX(0,AK121-IF($A153&gt;='1-Input'!$C$12,'1-Input'!$B$12,0))))*(1/(1-'P-Parametri'!$B$6*AK153))),MAX(0,1*MAX(0,AK121-IF($A153&gt;='1-Input'!$C$12,'1-Input'!$B$12,0))-(AO152-MIN(MAX(AO152,0),MAX(0,AK121-IF($A153&gt;='1-Input'!$C$12,'1-Input'!$B$12,0)))))*(1/(1-'P-Parametri'!$B$6*AK153))))</f>
        <v>8904.3481380764915</v>
      </c>
      <c r="AM153" s="18">
        <f>IF($A153&gt;'1-Input'!$B$26,AO152,(AO152-MAX(0,AK121-IF($A153&gt;='1-Input'!$C$12,'1-Input'!$B$12,0))+AL153*(1-'P-Parametri'!$B$6*AK153))*(1+'1-Input'!$B$27))</f>
        <v>7355.1738725270734</v>
      </c>
      <c r="AN153" s="18">
        <f>IF($A153&gt;'1-Input'!$B$26,AP152,(AP152-AL153)*(1+'5-Roberta'!$C$4))</f>
        <v>107305.75053462716</v>
      </c>
      <c r="AO153" s="18">
        <f>IF($A153&gt;'1-Input'!$B$26,AM153,AM153-'P-Parametri'!$B$8*(AN153+AM153)+MIN(MAX(AN153,0),'P-Parametri'!$B$8*(AN153+AM153)))</f>
        <v>7355.1738725270734</v>
      </c>
      <c r="AP153" s="18">
        <f>IF($A153&gt;'1-Input'!$B$26,AN153,AN153-MIN(MAX(AN153,0),'P-Parametri'!$B$8*(AN153+AM153)))</f>
        <v>107076.42868581286</v>
      </c>
      <c r="AQ153" s="18">
        <f>IF($A153&gt;'1-Input'!$B$26,AQ152,AQ152-AL153*(1-AK153))</f>
        <v>36859.52913214732</v>
      </c>
    </row>
    <row r="154" spans="1:43">
      <c r="A154" s="10">
        <f>31</f>
        <v>31</v>
      </c>
      <c r="B154" s="11">
        <f>IF($A154&gt;'1-Input'!$B$26,0,IF(G153&lt;=0,0,MAX(0,(G153-H153)/G153)))</f>
        <v>0.65618571944455162</v>
      </c>
      <c r="C154" s="18">
        <f>IF($A154&gt;'1-Input'!$B$26,0,(MAX(0,B121-IF($A154&gt;='1-Input'!$C$12,'1-Input'!$B$12,0))-MIN(MAX(F153,0),MAX(0,B121-IF($A154&gt;='1-Input'!$C$12,'1-Input'!$B$12,0))))*(1/(1-'P-Parametri'!$B$6*B154))+MIN(MAX(0,G153-(MAX(0,B121-IF($A154&gt;='1-Input'!$C$12,'1-Input'!$B$12,0))-MIN(MAX(F153,0),MAX(0,B121-IF($A154&gt;='1-Input'!$C$12,'1-Input'!$B$12,0))))*(1/(1-'P-Parametri'!$B$6*B154))),MAX(0,1*MAX(0,B121-IF($A154&gt;='1-Input'!$C$12,'1-Input'!$B$12,0))-(F153-MIN(MAX(F153,0),MAX(0,B121-IF($A154&gt;='1-Input'!$C$12,'1-Input'!$B$12,0)))))*(1/(1-'P-Parametri'!$B$6*B154))))</f>
        <v>6750.8992751820442</v>
      </c>
      <c r="D154" s="18">
        <f>IF($A154&gt;'1-Input'!$B$26,F153,(F153-MAX(0,B121-IF($A154&gt;='1-Input'!$C$12,'1-Input'!$B$12,0))+C154*(1-'P-Parametri'!$B$6*B154))*(1+'1-Input'!$B$27))</f>
        <v>5558.9707154931493</v>
      </c>
      <c r="E154" s="18">
        <f>IF($A154&gt;'1-Input'!$B$26,G153,(G153-C154)*(1+'5-Roberta'!$C$4))</f>
        <v>206967.12274293369</v>
      </c>
      <c r="F154" s="18">
        <f>IF($A154&gt;'1-Input'!$B$26,D154,D154-'P-Parametri'!$B$8*(E154+D154)+MIN(MAX(E154,0),'P-Parametri'!$B$8*(E154+D154)))</f>
        <v>5558.9707154931493</v>
      </c>
      <c r="G154" s="18">
        <f>IF($A154&gt;'1-Input'!$B$26,E154,E154-MIN(MAX(E154,0),'P-Parametri'!$B$8*(E154+D154)))</f>
        <v>206542.07055601684</v>
      </c>
      <c r="H154" s="18">
        <f>IF($A154&gt;'1-Input'!$B$26,H153,H153-C154*(1-B154))</f>
        <v>69085.681946109631</v>
      </c>
      <c r="I154" s="11">
        <f>IF($A154&gt;'1-Input'!$B$26,0,IF(N153&lt;=0,0,MAX(0,(N153-O153)/N153)))</f>
        <v>0</v>
      </c>
      <c r="J154" s="18">
        <f>IF($A154&gt;'1-Input'!$B$26,0,(MAX(0,I121-IF($A154&gt;='1-Input'!$C$12,'1-Input'!$B$12,0))-MIN(MAX(M153,0),MAX(0,I121-IF($A154&gt;='1-Input'!$C$12,'1-Input'!$B$12,0))))*(1/(1-'P-Parametri'!$B$6*I154))+MIN(MAX(0,N153-(MAX(0,I121-IF($A154&gt;='1-Input'!$C$12,'1-Input'!$B$12,0))-MIN(MAX(M153,0),MAX(0,I121-IF($A154&gt;='1-Input'!$C$12,'1-Input'!$B$12,0))))*(1/(1-'P-Parametri'!$B$6*I154))),MAX(0,1*MAX(0,I121-IF($A154&gt;='1-Input'!$C$12,'1-Input'!$B$12,0))-(M153-MIN(MAX(M153,0),MAX(0,I121-IF($A154&gt;='1-Input'!$C$12,'1-Input'!$B$12,0)))))*(1/(1-'P-Parametri'!$B$6*I154))))</f>
        <v>10846.756992928691</v>
      </c>
      <c r="K154" s="18">
        <f>IF($A154&gt;'1-Input'!$B$26,M153,(M153-MAX(0,I121-IF($A154&gt;='1-Input'!$C$12,'1-Input'!$B$12,0))+J154*(1-'P-Parametri'!$B$6*I154))*(1+'1-Input'!$B$27))</f>
        <v>0</v>
      </c>
      <c r="L154" s="18">
        <f>IF($A154&gt;'1-Input'!$B$26,N153,(N153-J154)*(1+'5-Roberta'!$C$4))</f>
        <v>-72190.987288889606</v>
      </c>
      <c r="M154" s="18">
        <f>IF($A154&gt;'1-Input'!$B$26,K154,K154-'P-Parametri'!$B$8*(L154+K154)+MIN(MAX(L154,0),'P-Parametri'!$B$8*(L154+K154)))</f>
        <v>0</v>
      </c>
      <c r="N154" s="18">
        <f>IF($A154&gt;'1-Input'!$B$26,L154,L154-MIN(MAX(L154,0),'P-Parametri'!$B$8*(L154+K154)))</f>
        <v>-72046.605314311833</v>
      </c>
      <c r="O154" s="18">
        <f>IF($A154&gt;'1-Input'!$B$26,O153,O153-J154*(1-I154))</f>
        <v>-65325.484297684809</v>
      </c>
      <c r="P154" s="11">
        <f>IF($A154&gt;'1-Input'!$B$26,0,IF(U153&lt;=0,0,MAX(0,(U153-V153)/U153)))</f>
        <v>0.65566763994295685</v>
      </c>
      <c r="Q154" s="18">
        <f>IF($A154&gt;'1-Input'!$B$26,0,(MAX(0,P121-IF($A154&gt;='1-Input'!$C$12,'1-Input'!$B$12,0))-MIN(MAX(T153,0),MAX(0,P121-IF($A154&gt;='1-Input'!$C$12,'1-Input'!$B$12,0))))*(1/(1-'P-Parametri'!$B$6*P154))+MIN(MAX(0,U153-(MAX(0,P121-IF($A154&gt;='1-Input'!$C$12,'1-Input'!$B$12,0))-MIN(MAX(T153,0),MAX(0,P121-IF($A154&gt;='1-Input'!$C$12,'1-Input'!$B$12,0))))*(1/(1-'P-Parametri'!$B$6*P154))),MAX(0,1*MAX(0,P121-IF($A154&gt;='1-Input'!$C$12,'1-Input'!$B$12,0))-(T153-MIN(MAX(T153,0),MAX(0,P121-IF($A154&gt;='1-Input'!$C$12,'1-Input'!$B$12,0)))))*(1/(1-'P-Parametri'!$B$6*P154))))</f>
        <v>9252.5616132724263</v>
      </c>
      <c r="R154" s="18">
        <f>IF($A154&gt;'1-Input'!$B$26,T153,(T153-MAX(0,P121-IF($A154&gt;='1-Input'!$C$12,'1-Input'!$B$12,0))+Q154*(1-'P-Parametri'!$B$6*P154))*(1+'1-Input'!$B$27))</f>
        <v>7620.1807219027742</v>
      </c>
      <c r="S154" s="18">
        <f>IF($A154&gt;'1-Input'!$B$26,U153,(U153-Q154)*(1+'5-Roberta'!$C$4))</f>
        <v>85470.60093511318</v>
      </c>
      <c r="T154" s="18">
        <f>IF($A154&gt;'1-Input'!$B$26,R154,R154-'P-Parametri'!$B$8*(S154+R154)+MIN(MAX(S154,0),'P-Parametri'!$B$8*(S154+R154)))</f>
        <v>7620.1807219027742</v>
      </c>
      <c r="U154" s="18">
        <f>IF($A154&gt;'1-Input'!$B$26,S154,S154-MIN(MAX(S154,0),'P-Parametri'!$B$8*(S154+R154)))</f>
        <v>85284.419371799144</v>
      </c>
      <c r="V154" s="18">
        <f>IF($A154&gt;'1-Input'!$B$26,V153,V153-Q154*(1-P154))</f>
        <v>28573.100714059463</v>
      </c>
      <c r="W154" s="11">
        <f>IF($A154&gt;'1-Input'!$B$26,0,IF(AB153&lt;=0,0,MAX(0,(AB153-AC153)/AB153)))</f>
        <v>0.65576195388123659</v>
      </c>
      <c r="X154" s="18">
        <f>IF($A154&gt;'1-Input'!$B$26,0,(MAX(0,W121-IF($A154&gt;='1-Input'!$C$12,'1-Input'!$B$12,0))-MIN(MAX(AA153,0),MAX(0,W121-IF($A154&gt;='1-Input'!$C$12,'1-Input'!$B$12,0))))*(1/(1-'P-Parametri'!$B$6*W154))+MIN(MAX(0,AB153-(MAX(0,W121-IF($A154&gt;='1-Input'!$C$12,'1-Input'!$B$12,0))-MIN(MAX(AA153,0),MAX(0,W121-IF($A154&gt;='1-Input'!$C$12,'1-Input'!$B$12,0))))*(1/(1-'P-Parametri'!$B$6*W154))),MAX(0,1*MAX(0,W121-IF($A154&gt;='1-Input'!$C$12,'1-Input'!$B$12,0))-(AA153-MIN(MAX(AA153,0),MAX(0,W121-IF($A154&gt;='1-Input'!$C$12,'1-Input'!$B$12,0)))))*(1/(1-'P-Parametri'!$B$6*W154))))</f>
        <v>8939.4785109612858</v>
      </c>
      <c r="Y154" s="18">
        <f>IF($A154&gt;'1-Input'!$B$26,AA153,(AA153-MAX(0,W121-IF($A154&gt;='1-Input'!$C$12,'1-Input'!$B$12,0))+X154*(1-'P-Parametri'!$B$6*W154))*(1+'1-Input'!$B$27))</f>
        <v>7362.1155905106343</v>
      </c>
      <c r="Z154" s="18">
        <f>IF($A154&gt;'1-Input'!$B$26,AB153,(AB153-X154)*(1+'5-Roberta'!$C$4))</f>
        <v>100680.59127423413</v>
      </c>
      <c r="AA154" s="18">
        <f>IF($A154&gt;'1-Input'!$B$26,Y154,Y154-'P-Parametri'!$B$8*(Z154+Y154)+MIN(MAX(Z154,0),'P-Parametri'!$B$8*(Z154+Y154)))</f>
        <v>7362.1155905106343</v>
      </c>
      <c r="AB154" s="18">
        <f>IF($A154&gt;'1-Input'!$B$26,Z154,Z154-MIN(MAX(Z154,0),'P-Parametri'!$B$8*(Z154+Y154)))</f>
        <v>100464.50586050464</v>
      </c>
      <c r="AC154" s="18">
        <f>IF($A154&gt;'1-Input'!$B$26,AC153,AC153-X154*(1-W154))</f>
        <v>33648.631089635128</v>
      </c>
      <c r="AD154" s="11">
        <f>IF($A154&gt;'1-Input'!$B$26,0,IF(AI153&lt;=0,0,MAX(0,(AI153-AJ153)/AI153)))</f>
        <v>0.65576431692979875</v>
      </c>
      <c r="AE154" s="18">
        <f>IF($A154&gt;'1-Input'!$B$26,0,(MAX(0,AD121-IF($A154&gt;='1-Input'!$C$12,'1-Input'!$B$12,0))-MIN(MAX(AH153,0),MAX(0,AD121-IF($A154&gt;='1-Input'!$C$12,'1-Input'!$B$12,0))))*(1/(1-'P-Parametri'!$B$6*AD154))+MIN(MAX(0,AI153-(MAX(0,AD121-IF($A154&gt;='1-Input'!$C$12,'1-Input'!$B$12,0))-MIN(MAX(AH153,0),MAX(0,AD121-IF($A154&gt;='1-Input'!$C$12,'1-Input'!$B$12,0))))*(1/(1-'P-Parametri'!$B$6*AD154))),MAX(0,1*MAX(0,AD121-IF($A154&gt;='1-Input'!$C$12,'1-Input'!$B$12,0))-(AH153-MIN(MAX(AH153,0),MAX(0,AD121-IF($A154&gt;='1-Input'!$C$12,'1-Input'!$B$12,0)))))*(1/(1-'P-Parametri'!$B$6*AD154))))</f>
        <v>8931.0036329855211</v>
      </c>
      <c r="AF154" s="18">
        <f>IF($A154&gt;'1-Input'!$B$26,AH153,(AH153-MAX(0,AD121-IF($A154&gt;='1-Input'!$C$12,'1-Input'!$B$12,0))+AE154*(1-'P-Parametri'!$B$6*AD154))*(1+'1-Input'!$B$27))</f>
        <v>7355.1306493328575</v>
      </c>
      <c r="AG154" s="18">
        <f>IF($A154&gt;'1-Input'!$B$26,AI153,(AI153-AE154)*(1+'5-Roberta'!$C$4))</f>
        <v>101092.28134964805</v>
      </c>
      <c r="AH154" s="18">
        <f>IF($A154&gt;'1-Input'!$B$26,AF154,AF154-'P-Parametri'!$B$8*(AG154+AF154)+MIN(MAX(AG154,0),'P-Parametri'!$B$8*(AG154+AF154)))</f>
        <v>7355.1306493328575</v>
      </c>
      <c r="AI154" s="18">
        <f>IF($A154&gt;'1-Input'!$B$26,AG154,AG154-MIN(MAX(AG154,0),'P-Parametri'!$B$8*(AG154+AF154)))</f>
        <v>100875.38652565009</v>
      </c>
      <c r="AJ154" s="18">
        <f>IF($A154&gt;'1-Input'!$B$26,AJ153,AJ153-AE154*(1-AD154))</f>
        <v>33785.990799535015</v>
      </c>
      <c r="AK154" s="11">
        <f>IF($A154&gt;'1-Input'!$B$26,0,IF(AP153&lt;=0,0,MAX(0,(AP153-AQ153)/AP153)))</f>
        <v>0.65576430233490746</v>
      </c>
      <c r="AL154" s="18">
        <f>IF($A154&gt;'1-Input'!$B$26,0,(MAX(0,AK121-IF($A154&gt;='1-Input'!$C$12,'1-Input'!$B$12,0))-MIN(MAX(AO153,0),MAX(0,AK121-IF($A154&gt;='1-Input'!$C$12,'1-Input'!$B$12,0))))*(1/(1-'P-Parametri'!$B$6*AK154))+MIN(MAX(0,AP153-(MAX(0,AK121-IF($A154&gt;='1-Input'!$C$12,'1-Input'!$B$12,0))-MIN(MAX(AO153,0),MAX(0,AK121-IF($A154&gt;='1-Input'!$C$12,'1-Input'!$B$12,0))))*(1/(1-'P-Parametri'!$B$6*AK154))),MAX(0,1*MAX(0,AK121-IF($A154&gt;='1-Input'!$C$12,'1-Input'!$B$12,0))-(AO153-MIN(MAX(AO153,0),MAX(0,AK121-IF($A154&gt;='1-Input'!$C$12,'1-Input'!$B$12,0)))))*(1/(1-'P-Parametri'!$B$6*AK154))))</f>
        <v>8931.0560761056859</v>
      </c>
      <c r="AM154" s="18">
        <f>IF($A154&gt;'1-Input'!$B$26,AO153,(AO153-MAX(0,AK121-IF($A154&gt;='1-Input'!$C$12,'1-Input'!$B$12,0))+AL154*(1-'P-Parametri'!$B$6*AK154))*(1+'1-Input'!$B$27))</f>
        <v>7355.1738725270725</v>
      </c>
      <c r="AN154" s="18">
        <f>IF($A154&gt;'1-Input'!$B$26,AP153,(AP153-AL154)*(1+'5-Roberta'!$C$4))</f>
        <v>101089.7337879984</v>
      </c>
      <c r="AO154" s="18">
        <f>IF($A154&gt;'1-Input'!$B$26,AM154,AM154-'P-Parametri'!$B$8*(AN154+AM154)+MIN(MAX(AN154,0),'P-Parametri'!$B$8*(AN154+AM154)))</f>
        <v>7355.1738725270725</v>
      </c>
      <c r="AP154" s="18">
        <f>IF($A154&gt;'1-Input'!$B$26,AN154,AN154-MIN(MAX(AN154,0),'P-Parametri'!$B$8*(AN154+AM154)))</f>
        <v>100872.84397267735</v>
      </c>
      <c r="AQ154" s="18">
        <f>IF($A154&gt;'1-Input'!$B$26,AQ153,AQ153-AL154*(1-AK154))</f>
        <v>33785.140812903017</v>
      </c>
    </row>
    <row r="155" spans="1:43">
      <c r="A155" s="10">
        <f>32</f>
        <v>32</v>
      </c>
      <c r="B155" s="11">
        <f>IF($A155&gt;'1-Input'!$B$26,0,IF(G154&lt;=0,0,MAX(0,(G154-H154)/G154)))</f>
        <v>0.66551278507023237</v>
      </c>
      <c r="C155" s="18">
        <f>IF($A155&gt;'1-Input'!$B$26,0,(MAX(0,B121-IF($A155&gt;='1-Input'!$C$12,'1-Input'!$B$12,0))-MIN(MAX(F154,0),MAX(0,B121-IF($A155&gt;='1-Input'!$C$12,'1-Input'!$B$12,0))))*(1/(1-'P-Parametri'!$B$6*B155))+MIN(MAX(0,G154-(MAX(0,B121-IF($A155&gt;='1-Input'!$C$12,'1-Input'!$B$12,0))-MIN(MAX(F154,0),MAX(0,B121-IF($A155&gt;='1-Input'!$C$12,'1-Input'!$B$12,0))))*(1/(1-'P-Parametri'!$B$6*B155))),MAX(0,1*MAX(0,B121-IF($A155&gt;='1-Input'!$C$12,'1-Input'!$B$12,0))-(F154-MIN(MAX(F154,0),MAX(0,B121-IF($A155&gt;='1-Input'!$C$12,'1-Input'!$B$12,0)))))*(1/(1-'P-Parametri'!$B$6*B155))))</f>
        <v>6770.6959386101807</v>
      </c>
      <c r="D155" s="18">
        <f>IF($A155&gt;'1-Input'!$B$26,F154,(F154-MAX(0,B121-IF($A155&gt;='1-Input'!$C$12,'1-Input'!$B$12,0))+C155*(1-'P-Parametri'!$B$6*B155))*(1+'1-Input'!$B$27))</f>
        <v>5558.9707154931493</v>
      </c>
      <c r="E155" s="18">
        <f>IF($A155&gt;'1-Input'!$B$26,G154,(G154-C155)*(1+'5-Roberta'!$C$4))</f>
        <v>205764.51585592885</v>
      </c>
      <c r="F155" s="18">
        <f>IF($A155&gt;'1-Input'!$B$26,D155,D155-'P-Parametri'!$B$8*(E155+D155)+MIN(MAX(E155,0),'P-Parametri'!$B$8*(E155+D155)))</f>
        <v>5558.9707154931493</v>
      </c>
      <c r="G155" s="18">
        <f>IF($A155&gt;'1-Input'!$B$26,E155,E155-MIN(MAX(E155,0),'P-Parametri'!$B$8*(E155+D155)))</f>
        <v>205341.86888278602</v>
      </c>
      <c r="H155" s="18">
        <f>IF($A155&gt;'1-Input'!$B$26,H154,H154-C155*(1-B155))</f>
        <v>66820.970718467623</v>
      </c>
      <c r="I155" s="11">
        <f>IF($A155&gt;'1-Input'!$B$26,0,IF(N154&lt;=0,0,MAX(0,(N154-O154)/N154)))</f>
        <v>0</v>
      </c>
      <c r="J155" s="18">
        <f>IF($A155&gt;'1-Input'!$B$26,0,(MAX(0,I121-IF($A155&gt;='1-Input'!$C$12,'1-Input'!$B$12,0))-MIN(MAX(M154,0),MAX(0,I121-IF($A155&gt;='1-Input'!$C$12,'1-Input'!$B$12,0))))*(1/(1-'P-Parametri'!$B$6*I155))+MIN(MAX(0,N154-(MAX(0,I121-IF($A155&gt;='1-Input'!$C$12,'1-Input'!$B$12,0))-MIN(MAX(M154,0),MAX(0,I121-IF($A155&gt;='1-Input'!$C$12,'1-Input'!$B$12,0))))*(1/(1-'P-Parametri'!$B$6*I155))),MAX(0,1*MAX(0,I121-IF($A155&gt;='1-Input'!$C$12,'1-Input'!$B$12,0))-(M154-MIN(MAX(M154,0),MAX(0,I121-IF($A155&gt;='1-Input'!$C$12,'1-Input'!$B$12,0)))))*(1/(1-'P-Parametri'!$B$6*I155))))</f>
        <v>10846.756992928691</v>
      </c>
      <c r="K155" s="18">
        <f>IF($A155&gt;'1-Input'!$B$26,M154,(M154-MAX(0,I121-IF($A155&gt;='1-Input'!$C$12,'1-Input'!$B$12,0))+J155*(1-'P-Parametri'!$B$6*I155))*(1+'1-Input'!$B$27))</f>
        <v>0</v>
      </c>
      <c r="L155" s="18">
        <f>IF($A155&gt;'1-Input'!$B$26,N154,(N154-J155)*(1+'5-Roberta'!$C$4))</f>
        <v>-85380.163176457732</v>
      </c>
      <c r="M155" s="18">
        <f>IF($A155&gt;'1-Input'!$B$26,K155,K155-'P-Parametri'!$B$8*(L155+K155)+MIN(MAX(L155,0),'P-Parametri'!$B$8*(L155+K155)))</f>
        <v>0</v>
      </c>
      <c r="N155" s="18">
        <f>IF($A155&gt;'1-Input'!$B$26,L155,L155-MIN(MAX(L155,0),'P-Parametri'!$B$8*(L155+K155)))</f>
        <v>-85209.402850104816</v>
      </c>
      <c r="O155" s="18">
        <f>IF($A155&gt;'1-Input'!$B$26,O154,O154-J155*(1-I155))</f>
        <v>-76172.2412906135</v>
      </c>
      <c r="P155" s="11">
        <f>IF($A155&gt;'1-Input'!$B$26,0,IF(U154&lt;=0,0,MAX(0,(U154-V154)/U154)))</f>
        <v>0.66496693153887287</v>
      </c>
      <c r="Q155" s="18">
        <f>IF($A155&gt;'1-Input'!$B$26,0,(MAX(0,P121-IF($A155&gt;='1-Input'!$C$12,'1-Input'!$B$12,0))-MIN(MAX(T154,0),MAX(0,P121-IF($A155&gt;='1-Input'!$C$12,'1-Input'!$B$12,0))))*(1/(1-'P-Parametri'!$B$6*P155))+MIN(MAX(0,U154-(MAX(0,P121-IF($A155&gt;='1-Input'!$C$12,'1-Input'!$B$12,0))-MIN(MAX(T154,0),MAX(0,P121-IF($A155&gt;='1-Input'!$C$12,'1-Input'!$B$12,0))))*(1/(1-'P-Parametri'!$B$6*P155))),MAX(0,1*MAX(0,P121-IF($A155&gt;='1-Input'!$C$12,'1-Input'!$B$12,0))-(T154-MIN(MAX(T154,0),MAX(0,P121-IF($A155&gt;='1-Input'!$C$12,'1-Input'!$B$12,0)))))*(1/(1-'P-Parametri'!$B$6*P155))))</f>
        <v>9279.6088351931812</v>
      </c>
      <c r="R155" s="18">
        <f>IF($A155&gt;'1-Input'!$B$26,T154,(T154-MAX(0,P121-IF($A155&gt;='1-Input'!$C$12,'1-Input'!$B$12,0))+Q155*(1-'P-Parametri'!$B$6*P155))*(1+'1-Input'!$B$27))</f>
        <v>7620.1807219027733</v>
      </c>
      <c r="S155" s="18">
        <f>IF($A155&gt;'1-Input'!$B$26,U154,(U154-Q155)*(1+'5-Roberta'!$C$4))</f>
        <v>78284.954852704148</v>
      </c>
      <c r="T155" s="18">
        <f>IF($A155&gt;'1-Input'!$B$26,R155,R155-'P-Parametri'!$B$8*(S155+R155)+MIN(MAX(S155,0),'P-Parametri'!$B$8*(S155+R155)))</f>
        <v>7620.1807219027733</v>
      </c>
      <c r="U155" s="18">
        <f>IF($A155&gt;'1-Input'!$B$26,S155,S155-MIN(MAX(S155,0),'P-Parametri'!$B$8*(S155+R155)))</f>
        <v>78113.144581554938</v>
      </c>
      <c r="V155" s="18">
        <f>IF($A155&gt;'1-Input'!$B$26,V154,V154-Q155*(1-P155))</f>
        <v>25464.124891885705</v>
      </c>
      <c r="W155" s="11">
        <f>IF($A155&gt;'1-Input'!$B$26,0,IF(AB154&lt;=0,0,MAX(0,(AB154-AC154)/AB154)))</f>
        <v>0.66506946108552611</v>
      </c>
      <c r="X155" s="18">
        <f>IF($A155&gt;'1-Input'!$B$26,0,(MAX(0,W121-IF($A155&gt;='1-Input'!$C$12,'1-Input'!$B$12,0))-MIN(MAX(AA154,0),MAX(0,W121-IF($A155&gt;='1-Input'!$C$12,'1-Input'!$B$12,0))))*(1/(1-'P-Parametri'!$B$6*W155))+MIN(MAX(0,AB154-(MAX(0,W121-IF($A155&gt;='1-Input'!$C$12,'1-Input'!$B$12,0))-MIN(MAX(AA154,0),MAX(0,W121-IF($A155&gt;='1-Input'!$C$12,'1-Input'!$B$12,0))))*(1/(1-'P-Parametri'!$B$6*W155))),MAX(0,1*MAX(0,W121-IF($A155&gt;='1-Input'!$C$12,'1-Input'!$B$12,0))-(AA154-MIN(MAX(AA154,0),MAX(0,W121-IF($A155&gt;='1-Input'!$C$12,'1-Input'!$B$12,0)))))*(1/(1-'P-Parametri'!$B$6*W155))))</f>
        <v>8965.6344535807038</v>
      </c>
      <c r="Y155" s="18">
        <f>IF($A155&gt;'1-Input'!$B$26,AA154,(AA154-MAX(0,W121-IF($A155&gt;='1-Input'!$C$12,'1-Input'!$B$12,0))+X155*(1-'P-Parametri'!$B$6*W155))*(1+'1-Input'!$B$27))</f>
        <v>7362.1155905106352</v>
      </c>
      <c r="Z155" s="18">
        <f>IF($A155&gt;'1-Input'!$B$26,AB154,(AB154-X155)*(1+'5-Roberta'!$C$4))</f>
        <v>94243.837549131655</v>
      </c>
      <c r="AA155" s="18">
        <f>IF($A155&gt;'1-Input'!$B$26,Y155,Y155-'P-Parametri'!$B$8*(Z155+Y155)+MIN(MAX(Z155,0),'P-Parametri'!$B$8*(Z155+Y155)))</f>
        <v>7362.1155905106352</v>
      </c>
      <c r="AB155" s="18">
        <f>IF($A155&gt;'1-Input'!$B$26,Z155,Z155-MIN(MAX(Z155,0),'P-Parametri'!$B$8*(Z155+Y155)))</f>
        <v>94040.625642852363</v>
      </c>
      <c r="AC155" s="18">
        <f>IF($A155&gt;'1-Input'!$B$26,AC154,AC154-X155*(1-W155))</f>
        <v>30645.766310387167</v>
      </c>
      <c r="AD155" s="11">
        <f>IF($A155&gt;'1-Input'!$B$26,0,IF(AI154&lt;=0,0,MAX(0,(AI154-AJ154)/AI154)))</f>
        <v>0.66507200653011533</v>
      </c>
      <c r="AE155" s="18">
        <f>IF($A155&gt;'1-Input'!$B$26,0,(MAX(0,AD121-IF($A155&gt;='1-Input'!$C$12,'1-Input'!$B$12,0))-MIN(MAX(AH154,0),MAX(0,AD121-IF($A155&gt;='1-Input'!$C$12,'1-Input'!$B$12,0))))*(1/(1-'P-Parametri'!$B$6*AD155))+MIN(MAX(0,AI154-(MAX(0,AD121-IF($A155&gt;='1-Input'!$C$12,'1-Input'!$B$12,0))-MIN(MAX(AH154,0),MAX(0,AD121-IF($A155&gt;='1-Input'!$C$12,'1-Input'!$B$12,0))))*(1/(1-'P-Parametri'!$B$6*AD155))),MAX(0,1*MAX(0,AD121-IF($A155&gt;='1-Input'!$C$12,'1-Input'!$B$12,0))-(AH154-MIN(MAX(AH154,0),MAX(0,AD121-IF($A155&gt;='1-Input'!$C$12,'1-Input'!$B$12,0)))))*(1/(1-'P-Parametri'!$B$6*AD155))))</f>
        <v>8957.1353120261811</v>
      </c>
      <c r="AF155" s="18">
        <f>IF($A155&gt;'1-Input'!$B$26,AH154,(AH154-MAX(0,AD121-IF($A155&gt;='1-Input'!$C$12,'1-Input'!$B$12,0))+AE155*(1-'P-Parametri'!$B$6*AD155))*(1+'1-Input'!$B$27))</f>
        <v>7355.1306493328566</v>
      </c>
      <c r="AG155" s="18">
        <f>IF($A155&gt;'1-Input'!$B$26,AI154,(AI154-AE155)*(1+'5-Roberta'!$C$4))</f>
        <v>94675.798750032627</v>
      </c>
      <c r="AH155" s="18">
        <f>IF($A155&gt;'1-Input'!$B$26,AF155,AF155-'P-Parametri'!$B$8*(AG155+AF155)+MIN(MAX(AG155,0),'P-Parametri'!$B$8*(AG155+AF155)))</f>
        <v>7355.1306493328566</v>
      </c>
      <c r="AI155" s="18">
        <f>IF($A155&gt;'1-Input'!$B$26,AG155,AG155-MIN(MAX(AG155,0),'P-Parametri'!$B$8*(AG155+AF155)))</f>
        <v>94471.736891233901</v>
      </c>
      <c r="AJ155" s="18">
        <f>IF($A155&gt;'1-Input'!$B$26,AJ154,AJ154-AE155*(1-AD155))</f>
        <v>30785.995442239837</v>
      </c>
      <c r="AK155" s="11">
        <f>IF($A155&gt;'1-Input'!$B$26,0,IF(AP154&lt;=0,0,MAX(0,(AP154-AQ154)/AP154)))</f>
        <v>0.66507199081197577</v>
      </c>
      <c r="AL155" s="18">
        <f>IF($A155&gt;'1-Input'!$B$26,0,(MAX(0,AK121-IF($A155&gt;='1-Input'!$C$12,'1-Input'!$B$12,0))-MIN(MAX(AO154,0),MAX(0,AK121-IF($A155&gt;='1-Input'!$C$12,'1-Input'!$B$12,0))))*(1/(1-'P-Parametri'!$B$6*AK155))+MIN(MAX(0,AP154-(MAX(0,AK121-IF($A155&gt;='1-Input'!$C$12,'1-Input'!$B$12,0))-MIN(MAX(AO154,0),MAX(0,AK121-IF($A155&gt;='1-Input'!$C$12,'1-Input'!$B$12,0))))*(1/(1-'P-Parametri'!$B$6*AK155))),MAX(0,1*MAX(0,AK121-IF($A155&gt;='1-Input'!$C$12,'1-Input'!$B$12,0))-(AO154-MIN(MAX(AO154,0),MAX(0,AK121-IF($A155&gt;='1-Input'!$C$12,'1-Input'!$B$12,0)))))*(1/(1-'P-Parametri'!$B$6*AK155))))</f>
        <v>8957.1879053096509</v>
      </c>
      <c r="AM155" s="18">
        <f>IF($A155&gt;'1-Input'!$B$26,AO154,(AO154-MAX(0,AK121-IF($A155&gt;='1-Input'!$C$12,'1-Input'!$B$12,0))+AL155*(1-'P-Parametri'!$B$6*AK155))*(1+'1-Input'!$B$27))</f>
        <v>7355.1738725270716</v>
      </c>
      <c r="AN155" s="18">
        <f>IF($A155&gt;'1-Input'!$B$26,AP154,(AP154-AL155)*(1+'5-Roberta'!$C$4))</f>
        <v>94673.125749388739</v>
      </c>
      <c r="AO155" s="18">
        <f>IF($A155&gt;'1-Input'!$B$26,AM155,AM155-'P-Parametri'!$B$8*(AN155+AM155)+MIN(MAX(AN155,0),'P-Parametri'!$B$8*(AN155+AM155)))</f>
        <v>7355.1738725270716</v>
      </c>
      <c r="AP155" s="18">
        <f>IF($A155&gt;'1-Input'!$B$26,AN155,AN155-MIN(MAX(AN155,0),'P-Parametri'!$B$8*(AN155+AM155)))</f>
        <v>94469.069150144904</v>
      </c>
      <c r="AQ155" s="18">
        <f>IF($A155&gt;'1-Input'!$B$26,AQ154,AQ154-AL155*(1-AK155))</f>
        <v>30785.127699854605</v>
      </c>
    </row>
    <row r="156" spans="1:43">
      <c r="A156" s="10">
        <f>33</f>
        <v>33</v>
      </c>
      <c r="B156" s="11">
        <f>IF($A156&gt;'1-Input'!$B$26,0,IF(G155&lt;=0,0,MAX(0,(G155-H155)/G155)))</f>
        <v>0.67458672173374157</v>
      </c>
      <c r="C156" s="18">
        <f>IF($A156&gt;'1-Input'!$B$26,0,(MAX(0,B121-IF($A156&gt;='1-Input'!$C$12,'1-Input'!$B$12,0))-MIN(MAX(F155,0),MAX(0,B121-IF($A156&gt;='1-Input'!$C$12,'1-Input'!$B$12,0))))*(1/(1-'P-Parametri'!$B$6*B156))+MIN(MAX(0,G155-(MAX(0,B121-IF($A156&gt;='1-Input'!$C$12,'1-Input'!$B$12,0))-MIN(MAX(F155,0),MAX(0,B121-IF($A156&gt;='1-Input'!$C$12,'1-Input'!$B$12,0))))*(1/(1-'P-Parametri'!$B$6*B156))),MAX(0,1*MAX(0,B121-IF($A156&gt;='1-Input'!$C$12,'1-Input'!$B$12,0))-(F155-MIN(MAX(F155,0),MAX(0,B121-IF($A156&gt;='1-Input'!$C$12,'1-Input'!$B$12,0)))))*(1/(1-'P-Parametri'!$B$6*B156))))</f>
        <v>6790.0670771371833</v>
      </c>
      <c r="D156" s="18">
        <f>IF($A156&gt;'1-Input'!$B$26,F155,(F155-MAX(0,B121-IF($A156&gt;='1-Input'!$C$12,'1-Input'!$B$12,0))+C156*(1-'P-Parametri'!$B$6*B156))*(1+'1-Input'!$B$27))</f>
        <v>5558.9707154931493</v>
      </c>
      <c r="E156" s="18">
        <f>IF($A156&gt;'1-Input'!$B$26,G155,(G155-C156)*(1+'5-Roberta'!$C$4))</f>
        <v>204508.35585981832</v>
      </c>
      <c r="F156" s="18">
        <f>IF($A156&gt;'1-Input'!$B$26,D156,D156-'P-Parametri'!$B$8*(E156+D156)+MIN(MAX(E156,0),'P-Parametri'!$B$8*(E156+D156)))</f>
        <v>5558.9707154931493</v>
      </c>
      <c r="G156" s="18">
        <f>IF($A156&gt;'1-Input'!$B$26,E156,E156-MIN(MAX(E156,0),'P-Parametri'!$B$8*(E156+D156)))</f>
        <v>204088.22120666769</v>
      </c>
      <c r="H156" s="18">
        <f>IF($A156&gt;'1-Input'!$B$26,H155,H155-C156*(1-B156))</f>
        <v>64611.392731248619</v>
      </c>
      <c r="I156" s="11">
        <f>IF($A156&gt;'1-Input'!$B$26,0,IF(N155&lt;=0,0,MAX(0,(N155-O155)/N155)))</f>
        <v>0</v>
      </c>
      <c r="J156" s="18">
        <f>IF($A156&gt;'1-Input'!$B$26,0,(MAX(0,I121-IF($A156&gt;='1-Input'!$C$12,'1-Input'!$B$12,0))-MIN(MAX(M155,0),MAX(0,I121-IF($A156&gt;='1-Input'!$C$12,'1-Input'!$B$12,0))))*(1/(1-'P-Parametri'!$B$6*I156))+MIN(MAX(0,N155-(MAX(0,I121-IF($A156&gt;='1-Input'!$C$12,'1-Input'!$B$12,0))-MIN(MAX(M155,0),MAX(0,I121-IF($A156&gt;='1-Input'!$C$12,'1-Input'!$B$12,0))))*(1/(1-'P-Parametri'!$B$6*I156))),MAX(0,1*MAX(0,I121-IF($A156&gt;='1-Input'!$C$12,'1-Input'!$B$12,0))-(M155-MIN(MAX(M155,0),MAX(0,I121-IF($A156&gt;='1-Input'!$C$12,'1-Input'!$B$12,0)))))*(1/(1-'P-Parametri'!$B$6*I156))))</f>
        <v>10846.756992928691</v>
      </c>
      <c r="K156" s="18">
        <f>IF($A156&gt;'1-Input'!$B$26,M155,(M155-MAX(0,I121-IF($A156&gt;='1-Input'!$C$12,'1-Input'!$B$12,0))+J156*(1-'P-Parametri'!$B$6*I156))*(1+'1-Input'!$B$27))</f>
        <v>0</v>
      </c>
      <c r="L156" s="18">
        <f>IF($A156&gt;'1-Input'!$B$26,N155,(N155-J156)*(1+'5-Roberta'!$C$4))</f>
        <v>-98937.844638324503</v>
      </c>
      <c r="M156" s="18">
        <f>IF($A156&gt;'1-Input'!$B$26,K156,K156-'P-Parametri'!$B$8*(L156+K156)+MIN(MAX(L156,0),'P-Parametri'!$B$8*(L156+K156)))</f>
        <v>0</v>
      </c>
      <c r="N156" s="18">
        <f>IF($A156&gt;'1-Input'!$B$26,L156,L156-MIN(MAX(L156,0),'P-Parametri'!$B$8*(L156+K156)))</f>
        <v>-98739.968949047849</v>
      </c>
      <c r="O156" s="18">
        <f>IF($A156&gt;'1-Input'!$B$26,O155,O155-J156*(1-I156))</f>
        <v>-87018.998283542198</v>
      </c>
      <c r="P156" s="11">
        <f>IF($A156&gt;'1-Input'!$B$26,0,IF(U155&lt;=0,0,MAX(0,(U155-V155)/U155)))</f>
        <v>0.67400973257068675</v>
      </c>
      <c r="Q156" s="18">
        <f>IF($A156&gt;'1-Input'!$B$26,0,(MAX(0,P121-IF($A156&gt;='1-Input'!$C$12,'1-Input'!$B$12,0))-MIN(MAX(T155,0),MAX(0,P121-IF($A156&gt;='1-Input'!$C$12,'1-Input'!$B$12,0))))*(1/(1-'P-Parametri'!$B$6*P156))+MIN(MAX(0,U155-(MAX(0,P121-IF($A156&gt;='1-Input'!$C$12,'1-Input'!$B$12,0))-MIN(MAX(T155,0),MAX(0,P121-IF($A156&gt;='1-Input'!$C$12,'1-Input'!$B$12,0))))*(1/(1-'P-Parametri'!$B$6*P156))),MAX(0,1*MAX(0,P121-IF($A156&gt;='1-Input'!$C$12,'1-Input'!$B$12,0))-(T155-MIN(MAX(T155,0),MAX(0,P121-IF($A156&gt;='1-Input'!$C$12,'1-Input'!$B$12,0)))))*(1/(1-'P-Parametri'!$B$6*P156))))</f>
        <v>9306.0621277754453</v>
      </c>
      <c r="R156" s="18">
        <f>IF($A156&gt;'1-Input'!$B$26,T155,(T155-MAX(0,P121-IF($A156&gt;='1-Input'!$C$12,'1-Input'!$B$12,0))+Q156*(1-'P-Parametri'!$B$6*P156))*(1+'1-Input'!$B$27))</f>
        <v>7620.1807219027742</v>
      </c>
      <c r="S156" s="18">
        <f>IF($A156&gt;'1-Input'!$B$26,U155,(U155-Q156)*(1+'5-Roberta'!$C$4))</f>
        <v>70871.294927392883</v>
      </c>
      <c r="T156" s="18">
        <f>IF($A156&gt;'1-Input'!$B$26,R156,R156-'P-Parametri'!$B$8*(S156+R156)+MIN(MAX(S156,0),'P-Parametri'!$B$8*(S156+R156)))</f>
        <v>7620.1807219027742</v>
      </c>
      <c r="U156" s="18">
        <f>IF($A156&gt;'1-Input'!$B$26,S156,S156-MIN(MAX(S156,0),'P-Parametri'!$B$8*(S156+R156)))</f>
        <v>70714.311976094294</v>
      </c>
      <c r="V156" s="18">
        <f>IF($A156&gt;'1-Input'!$B$26,V155,V155-Q156*(1-P156))</f>
        <v>22430.439210138386</v>
      </c>
      <c r="W156" s="11">
        <f>IF($A156&gt;'1-Input'!$B$26,0,IF(AB155&lt;=0,0,MAX(0,(AB155-AC155)/AB155)))</f>
        <v>0.67412204990241442</v>
      </c>
      <c r="X156" s="18">
        <f>IF($A156&gt;'1-Input'!$B$26,0,(MAX(0,W121-IF($A156&gt;='1-Input'!$C$12,'1-Input'!$B$12,0))-MIN(MAX(AA155,0),MAX(0,W121-IF($A156&gt;='1-Input'!$C$12,'1-Input'!$B$12,0))))*(1/(1-'P-Parametri'!$B$6*W156))+MIN(MAX(0,AB155-(MAX(0,W121-IF($A156&gt;='1-Input'!$C$12,'1-Input'!$B$12,0))-MIN(MAX(AA155,0),MAX(0,W121-IF($A156&gt;='1-Input'!$C$12,'1-Input'!$B$12,0))))*(1/(1-'P-Parametri'!$B$6*W156))),MAX(0,1*MAX(0,W121-IF($A156&gt;='1-Input'!$C$12,'1-Input'!$B$12,0))-(AA155-MIN(MAX(AA155,0),MAX(0,W121-IF($A156&gt;='1-Input'!$C$12,'1-Input'!$B$12,0)))))*(1/(1-'P-Parametri'!$B$6*W156))))</f>
        <v>8991.2212721891137</v>
      </c>
      <c r="Y156" s="18">
        <f>IF($A156&gt;'1-Input'!$B$26,AA155,(AA155-MAX(0,W121-IF($A156&gt;='1-Input'!$C$12,'1-Input'!$B$12,0))+X156*(1-'P-Parametri'!$B$6*W156))*(1+'1-Input'!$B$27))</f>
        <v>7362.115590510637</v>
      </c>
      <c r="Z156" s="18">
        <f>IF($A156&gt;'1-Input'!$B$26,AB155,(AB155-X156)*(1+'5-Roberta'!$C$4))</f>
        <v>87600.886501783156</v>
      </c>
      <c r="AA156" s="18">
        <f>IF($A156&gt;'1-Input'!$B$26,Y156,Y156-'P-Parametri'!$B$8*(Z156+Y156)+MIN(MAX(Z156,0),'P-Parametri'!$B$8*(Z156+Y156)))</f>
        <v>7362.115590510637</v>
      </c>
      <c r="AB156" s="18">
        <f>IF($A156&gt;'1-Input'!$B$26,Z156,Z156-MIN(MAX(Z156,0),'P-Parametri'!$B$8*(Z156+Y156)))</f>
        <v>87410.960497598571</v>
      </c>
      <c r="AC156" s="18">
        <f>IF($A156&gt;'1-Input'!$B$26,AC155,AC155-X156*(1-W156))</f>
        <v>27715.725553332373</v>
      </c>
      <c r="AD156" s="11">
        <f>IF($A156&gt;'1-Input'!$B$26,0,IF(AI155&lt;=0,0,MAX(0,(AI155-AJ155)/AI155)))</f>
        <v>0.67412480753175941</v>
      </c>
      <c r="AE156" s="18">
        <f>IF($A156&gt;'1-Input'!$B$26,0,(MAX(0,AD121-IF($A156&gt;='1-Input'!$C$12,'1-Input'!$B$12,0))-MIN(MAX(AH155,0),MAX(0,AD121-IF($A156&gt;='1-Input'!$C$12,'1-Input'!$B$12,0))))*(1/(1-'P-Parametri'!$B$6*AD156))+MIN(MAX(0,AI155-(MAX(0,AD121-IF($A156&gt;='1-Input'!$C$12,'1-Input'!$B$12,0))-MIN(MAX(AH155,0),MAX(0,AD121-IF($A156&gt;='1-Input'!$C$12,'1-Input'!$B$12,0))))*(1/(1-'P-Parametri'!$B$6*AD156))),MAX(0,1*MAX(0,AD121-IF($A156&gt;='1-Input'!$C$12,'1-Input'!$B$12,0))-(AH155-MIN(MAX(AH155,0),MAX(0,AD121-IF($A156&gt;='1-Input'!$C$12,'1-Input'!$B$12,0)))))*(1/(1-'P-Parametri'!$B$6*AD156))))</f>
        <v>8982.6984965170141</v>
      </c>
      <c r="AF156" s="18">
        <f>IF($A156&gt;'1-Input'!$B$26,AH155,(AH155-MAX(0,AD121-IF($A156&gt;='1-Input'!$C$12,'1-Input'!$B$12,0))+AE156*(1-'P-Parametri'!$B$6*AD156))*(1+'1-Input'!$B$27))</f>
        <v>7355.1306493328566</v>
      </c>
      <c r="AG156" s="18">
        <f>IF($A156&gt;'1-Input'!$B$26,AI155,(AI155-AE156)*(1+'5-Roberta'!$C$4))</f>
        <v>88053.709546558399</v>
      </c>
      <c r="AH156" s="18">
        <f>IF($A156&gt;'1-Input'!$B$26,AF156,AF156-'P-Parametri'!$B$8*(AG156+AF156)+MIN(MAX(AG156,0),'P-Parametri'!$B$8*(AG156+AF156)))</f>
        <v>7355.1306493328566</v>
      </c>
      <c r="AI156" s="18">
        <f>IF($A156&gt;'1-Input'!$B$26,AG156,AG156-MIN(MAX(AG156,0),'P-Parametri'!$B$8*(AG156+AF156)))</f>
        <v>87862.89186616661</v>
      </c>
      <c r="AJ156" s="18">
        <f>IF($A156&gt;'1-Input'!$B$26,AJ155,AJ155-AE156*(1-AD156))</f>
        <v>27858.75684080318</v>
      </c>
      <c r="AK156" s="11">
        <f>IF($A156&gt;'1-Input'!$B$26,0,IF(AP155&lt;=0,0,MAX(0,(AP155-AQ155)/AP155)))</f>
        <v>0.67412479050760932</v>
      </c>
      <c r="AL156" s="18">
        <f>IF($A156&gt;'1-Input'!$B$26,0,(MAX(0,AK121-IF($A156&gt;='1-Input'!$C$12,'1-Input'!$B$12,0))-MIN(MAX(AO155,0),MAX(0,AK121-IF($A156&gt;='1-Input'!$C$12,'1-Input'!$B$12,0))))*(1/(1-'P-Parametri'!$B$6*AK156))+MIN(MAX(0,AP155-(MAX(0,AK121-IF($A156&gt;='1-Input'!$C$12,'1-Input'!$B$12,0))-MIN(MAX(AO155,0),MAX(0,AK121-IF($A156&gt;='1-Input'!$C$12,'1-Input'!$B$12,0))))*(1/(1-'P-Parametri'!$B$6*AK156))),MAX(0,1*MAX(0,AK121-IF($A156&gt;='1-Input'!$C$12,'1-Input'!$B$12,0))-(AO155-MIN(MAX(AO155,0),MAX(0,AK121-IF($A156&gt;='1-Input'!$C$12,'1-Input'!$B$12,0)))))*(1/(1-'P-Parametri'!$B$6*AK156))))</f>
        <v>8982.7512360737837</v>
      </c>
      <c r="AM156" s="18">
        <f>IF($A156&gt;'1-Input'!$B$26,AO155,(AO155-MAX(0,AK121-IF($A156&gt;='1-Input'!$C$12,'1-Input'!$B$12,0))+AL156*(1-'P-Parametri'!$B$6*AK156))*(1+'1-Input'!$B$27))</f>
        <v>7355.1738725270734</v>
      </c>
      <c r="AN156" s="18">
        <f>IF($A156&gt;'1-Input'!$B$26,AP155,(AP155-AL156)*(1+'5-Roberta'!$C$4))</f>
        <v>88050.907451493244</v>
      </c>
      <c r="AO156" s="18">
        <f>IF($A156&gt;'1-Input'!$B$26,AM156,AM156-'P-Parametri'!$B$8*(AN156+AM156)+MIN(MAX(AN156,0),'P-Parametri'!$B$8*(AN156+AM156)))</f>
        <v>7355.1738725270734</v>
      </c>
      <c r="AP156" s="18">
        <f>IF($A156&gt;'1-Input'!$B$26,AN156,AN156-MIN(MAX(AN156,0),'P-Parametri'!$B$8*(AN156+AM156)))</f>
        <v>87860.095288845201</v>
      </c>
      <c r="AQ156" s="18">
        <f>IF($A156&gt;'1-Input'!$B$26,AQ155,AQ155-AL156*(1-AK156))</f>
        <v>27857.871758981029</v>
      </c>
    </row>
    <row r="157" spans="1:43">
      <c r="A157" s="10">
        <f>34</f>
        <v>34</v>
      </c>
      <c r="B157" s="11">
        <f>IF($A157&gt;'1-Input'!$B$26,0,IF(G156&lt;=0,0,MAX(0,(G156-H156)/G156)))</f>
        <v>0.68341439623886679</v>
      </c>
      <c r="C157" s="18">
        <f>IF($A157&gt;'1-Input'!$B$26,0,(MAX(0,B121-IF($A157&gt;='1-Input'!$C$12,'1-Input'!$B$12,0))-MIN(MAX(F156,0),MAX(0,B121-IF($A157&gt;='1-Input'!$C$12,'1-Input'!$B$12,0))))*(1/(1-'P-Parametri'!$B$6*B157))+MIN(MAX(0,G156-(MAX(0,B121-IF($A157&gt;='1-Input'!$C$12,'1-Input'!$B$12,0))-MIN(MAX(F156,0),MAX(0,B121-IF($A157&gt;='1-Input'!$C$12,'1-Input'!$B$12,0))))*(1/(1-'P-Parametri'!$B$6*B157))),MAX(0,1*MAX(0,B121-IF($A157&gt;='1-Input'!$C$12,'1-Input'!$B$12,0))-(F156-MIN(MAX(F156,0),MAX(0,B121-IF($A157&gt;='1-Input'!$C$12,'1-Input'!$B$12,0)))))*(1/(1-'P-Parametri'!$B$6*B157))))</f>
        <v>6809.0191605996824</v>
      </c>
      <c r="D157" s="18">
        <f>IF($A157&gt;'1-Input'!$B$26,F156,(F156-MAX(0,B121-IF($A157&gt;='1-Input'!$C$12,'1-Input'!$B$12,0))+C157*(1-'P-Parametri'!$B$6*B157))*(1+'1-Input'!$B$27))</f>
        <v>5558.9707154931484</v>
      </c>
      <c r="E157" s="18">
        <f>IF($A157&gt;'1-Input'!$B$26,G156,(G156-C157)*(1+'5-Roberta'!$C$4))</f>
        <v>203197.57810745004</v>
      </c>
      <c r="F157" s="18">
        <f>IF($A157&gt;'1-Input'!$B$26,D157,D157-'P-Parametri'!$B$8*(E157+D157)+MIN(MAX(E157,0),'P-Parametri'!$B$8*(E157+D157)))</f>
        <v>5558.9707154931484</v>
      </c>
      <c r="G157" s="18">
        <f>IF($A157&gt;'1-Input'!$B$26,E157,E157-MIN(MAX(E157,0),'P-Parametri'!$B$8*(E157+D157)))</f>
        <v>202780.06500980415</v>
      </c>
      <c r="H157" s="18">
        <f>IF($A157&gt;'1-Input'!$B$26,H156,H156-C157*(1-B157))</f>
        <v>62455.755289269044</v>
      </c>
      <c r="I157" s="11">
        <f>IF($A157&gt;'1-Input'!$B$26,0,IF(N156&lt;=0,0,MAX(0,(N156-O156)/N156)))</f>
        <v>0</v>
      </c>
      <c r="J157" s="18">
        <f>IF($A157&gt;'1-Input'!$B$26,0,(MAX(0,I121-IF($A157&gt;='1-Input'!$C$12,'1-Input'!$B$12,0))-MIN(MAX(M156,0),MAX(0,I121-IF($A157&gt;='1-Input'!$C$12,'1-Input'!$B$12,0))))*(1/(1-'P-Parametri'!$B$6*I157))+MIN(MAX(0,N156-(MAX(0,I121-IF($A157&gt;='1-Input'!$C$12,'1-Input'!$B$12,0))-MIN(MAX(M156,0),MAX(0,I121-IF($A157&gt;='1-Input'!$C$12,'1-Input'!$B$12,0))))*(1/(1-'P-Parametri'!$B$6*I157))),MAX(0,1*MAX(0,I121-IF($A157&gt;='1-Input'!$C$12,'1-Input'!$B$12,0))-(M156-MIN(MAX(M156,0),MAX(0,I121-IF($A157&gt;='1-Input'!$C$12,'1-Input'!$B$12,0)))))*(1/(1-'P-Parametri'!$B$6*I157))))</f>
        <v>10846.756992928691</v>
      </c>
      <c r="K157" s="18">
        <f>IF($A157&gt;'1-Input'!$B$26,M156,(M156-MAX(0,I121-IF($A157&gt;='1-Input'!$C$12,'1-Input'!$B$12,0))+J157*(1-'P-Parametri'!$B$6*I157))*(1+'1-Input'!$B$27))</f>
        <v>0</v>
      </c>
      <c r="L157" s="18">
        <f>IF($A157&gt;'1-Input'!$B$26,N156,(N156-J157)*(1+'5-Roberta'!$C$4))</f>
        <v>-112874.32772023583</v>
      </c>
      <c r="M157" s="18">
        <f>IF($A157&gt;'1-Input'!$B$26,K157,K157-'P-Parametri'!$B$8*(L157+K157)+MIN(MAX(L157,0),'P-Parametri'!$B$8*(L157+K157)))</f>
        <v>0</v>
      </c>
      <c r="N157" s="18">
        <f>IF($A157&gt;'1-Input'!$B$26,L157,L157-MIN(MAX(L157,0),'P-Parametri'!$B$8*(L157+K157)))</f>
        <v>-112648.57906479535</v>
      </c>
      <c r="O157" s="18">
        <f>IF($A157&gt;'1-Input'!$B$26,O156,O156-J157*(1-I157))</f>
        <v>-97865.755276470882</v>
      </c>
      <c r="P157" s="11">
        <f>IF($A157&gt;'1-Input'!$B$26,0,IF(U156&lt;=0,0,MAX(0,(U156-V156)/U156)))</f>
        <v>0.6828019875563347</v>
      </c>
      <c r="Q157" s="18">
        <f>IF($A157&gt;'1-Input'!$B$26,0,(MAX(0,P121-IF($A157&gt;='1-Input'!$C$12,'1-Input'!$B$12,0))-MIN(MAX(T156,0),MAX(0,P121-IF($A157&gt;='1-Input'!$C$12,'1-Input'!$B$12,0))))*(1/(1-'P-Parametri'!$B$6*P157))+MIN(MAX(0,U156-(MAX(0,P121-IF($A157&gt;='1-Input'!$C$12,'1-Input'!$B$12,0))-MIN(MAX(T156,0),MAX(0,P121-IF($A157&gt;='1-Input'!$C$12,'1-Input'!$B$12,0))))*(1/(1-'P-Parametri'!$B$6*P157))),MAX(0,1*MAX(0,P121-IF($A157&gt;='1-Input'!$C$12,'1-Input'!$B$12,0))-(T156-MIN(MAX(T156,0),MAX(0,P121-IF($A157&gt;='1-Input'!$C$12,'1-Input'!$B$12,0)))))*(1/(1-'P-Parametri'!$B$6*P157))))</f>
        <v>9331.9274993171202</v>
      </c>
      <c r="R157" s="18">
        <f>IF($A157&gt;'1-Input'!$B$26,T156,(T156-MAX(0,P121-IF($A157&gt;='1-Input'!$C$12,'1-Input'!$B$12,0))+Q157*(1-'P-Parametri'!$B$6*P157))*(1+'1-Input'!$B$27))</f>
        <v>7620.1807219027723</v>
      </c>
      <c r="S157" s="18">
        <f>IF($A157&gt;'1-Input'!$B$26,U156,(U156-Q157)*(1+'5-Roberta'!$C$4))</f>
        <v>63223.85601108049</v>
      </c>
      <c r="T157" s="18">
        <f>IF($A157&gt;'1-Input'!$B$26,R157,R157-'P-Parametri'!$B$8*(S157+R157)+MIN(MAX(S157,0),'P-Parametri'!$B$8*(S157+R157)))</f>
        <v>7620.1807219027723</v>
      </c>
      <c r="U157" s="18">
        <f>IF($A157&gt;'1-Input'!$B$26,S157,S157-MIN(MAX(S157,0),'P-Parametri'!$B$8*(S157+R157)))</f>
        <v>63082.167937614526</v>
      </c>
      <c r="V157" s="18">
        <f>IF($A157&gt;'1-Input'!$B$26,V156,V156-Q157*(1-P157))</f>
        <v>19470.370355086612</v>
      </c>
      <c r="W157" s="11">
        <f>IF($A157&gt;'1-Input'!$B$26,0,IF(AB156&lt;=0,0,MAX(0,(AB156-AC156)/AB156)))</f>
        <v>0.68292619832161883</v>
      </c>
      <c r="X157" s="18">
        <f>IF($A157&gt;'1-Input'!$B$26,0,(MAX(0,W121-IF($A157&gt;='1-Input'!$C$12,'1-Input'!$B$12,0))-MIN(MAX(AA156,0),MAX(0,W121-IF($A157&gt;='1-Input'!$C$12,'1-Input'!$B$12,0))))*(1/(1-'P-Parametri'!$B$6*W157))+MIN(MAX(0,AB156-(MAX(0,W121-IF($A157&gt;='1-Input'!$C$12,'1-Input'!$B$12,0))-MIN(MAX(AA156,0),MAX(0,W121-IF($A157&gt;='1-Input'!$C$12,'1-Input'!$B$12,0))))*(1/(1-'P-Parametri'!$B$6*W157))),MAX(0,1*MAX(0,W121-IF($A157&gt;='1-Input'!$C$12,'1-Input'!$B$12,0))-(AA156-MIN(MAX(AA156,0),MAX(0,W121-IF($A157&gt;='1-Input'!$C$12,'1-Input'!$B$12,0)))))*(1/(1-'P-Parametri'!$B$6*W157))))</f>
        <v>9016.2463590191746</v>
      </c>
      <c r="Y157" s="18">
        <f>IF($A157&gt;'1-Input'!$B$26,AA156,(AA156-MAX(0,W121-IF($A157&gt;='1-Input'!$C$12,'1-Input'!$B$12,0))+X157*(1-'P-Parametri'!$B$6*W157))*(1+'1-Input'!$B$27))</f>
        <v>7362.1155905106352</v>
      </c>
      <c r="Z157" s="18">
        <f>IF($A157&gt;'1-Input'!$B$26,AB156,(AB156-X157)*(1+'5-Roberta'!$C$4))</f>
        <v>80746.555562736772</v>
      </c>
      <c r="AA157" s="18">
        <f>IF($A157&gt;'1-Input'!$B$26,Y157,Y157-'P-Parametri'!$B$8*(Z157+Y157)+MIN(MAX(Z157,0),'P-Parametri'!$B$8*(Z157+Y157)))</f>
        <v>7362.1155905106352</v>
      </c>
      <c r="AB157" s="18">
        <f>IF($A157&gt;'1-Input'!$B$26,Z157,Z157-MIN(MAX(Z157,0),'P-Parametri'!$B$8*(Z157+Y157)))</f>
        <v>80570.338220430276</v>
      </c>
      <c r="AC157" s="18">
        <f>IF($A157&gt;'1-Input'!$B$26,AC156,AC156-X157*(1-W157))</f>
        <v>24856.910043409302</v>
      </c>
      <c r="AD157" s="11">
        <f>IF($A157&gt;'1-Input'!$B$26,0,IF(AI156&lt;=0,0,MAX(0,(AI156-AJ156)/AI156)))</f>
        <v>0.68292920652739453</v>
      </c>
      <c r="AE157" s="18">
        <f>IF($A157&gt;'1-Input'!$B$26,0,(MAX(0,AD121-IF($A157&gt;='1-Input'!$C$12,'1-Input'!$B$12,0))-MIN(MAX(AH156,0),MAX(0,AD121-IF($A157&gt;='1-Input'!$C$12,'1-Input'!$B$12,0))))*(1/(1-'P-Parametri'!$B$6*AD157))+MIN(MAX(0,AI156-(MAX(0,AD121-IF($A157&gt;='1-Input'!$C$12,'1-Input'!$B$12,0))-MIN(MAX(AH156,0),MAX(0,AD121-IF($A157&gt;='1-Input'!$C$12,'1-Input'!$B$12,0))))*(1/(1-'P-Parametri'!$B$6*AD157))),MAX(0,1*MAX(0,AD121-IF($A157&gt;='1-Input'!$C$12,'1-Input'!$B$12,0))-(AH156-MIN(MAX(AH156,0),MAX(0,AD121-IF($A157&gt;='1-Input'!$C$12,'1-Input'!$B$12,0)))))*(1/(1-'P-Parametri'!$B$6*AD157))))</f>
        <v>9007.7005974206568</v>
      </c>
      <c r="AF157" s="18">
        <f>IF($A157&gt;'1-Input'!$B$26,AH156,(AH156-MAX(0,AD121-IF($A157&gt;='1-Input'!$C$12,'1-Input'!$B$12,0))+AE157*(1-'P-Parametri'!$B$6*AD157))*(1+'1-Input'!$B$27))</f>
        <v>7355.1306493328575</v>
      </c>
      <c r="AG157" s="18">
        <f>IF($A157&gt;'1-Input'!$B$26,AI156,(AI156-AE157)*(1+'5-Roberta'!$C$4))</f>
        <v>81220.847006808341</v>
      </c>
      <c r="AH157" s="18">
        <f>IF($A157&gt;'1-Input'!$B$26,AF157,AF157-'P-Parametri'!$B$8*(AG157+AF157)+MIN(MAX(AG157,0),'P-Parametri'!$B$8*(AG157+AF157)))</f>
        <v>7355.1306493328575</v>
      </c>
      <c r="AI157" s="18">
        <f>IF($A157&gt;'1-Input'!$B$26,AG157,AG157-MIN(MAX(AG157,0),'P-Parametri'!$B$8*(AG157+AF157)))</f>
        <v>81043.695051496063</v>
      </c>
      <c r="AJ157" s="18">
        <f>IF($A157&gt;'1-Input'!$B$26,AJ156,AJ156-AE157*(1-AD157))</f>
        <v>25002.678065015349</v>
      </c>
      <c r="AK157" s="11">
        <f>IF($A157&gt;'1-Input'!$B$26,0,IF(AP156&lt;=0,0,MAX(0,(AP156-AQ156)/AP156)))</f>
        <v>0.68292918796187685</v>
      </c>
      <c r="AL157" s="18">
        <f>IF($A157&gt;'1-Input'!$B$26,0,(MAX(0,AK121-IF($A157&gt;='1-Input'!$C$12,'1-Input'!$B$12,0))-MIN(MAX(AO156,0),MAX(0,AK121-IF($A157&gt;='1-Input'!$C$12,'1-Input'!$B$12,0))))*(1/(1-'P-Parametri'!$B$6*AK157))+MIN(MAX(0,AP156-(MAX(0,AK121-IF($A157&gt;='1-Input'!$C$12,'1-Input'!$B$12,0))-MIN(MAX(AO156,0),MAX(0,AK121-IF($A157&gt;='1-Input'!$C$12,'1-Input'!$B$12,0))))*(1/(1-'P-Parametri'!$B$6*AK157))),MAX(0,1*MAX(0,AK121-IF($A157&gt;='1-Input'!$C$12,'1-Input'!$B$12,0))-(AO156-MIN(MAX(AO156,0),MAX(0,AK121-IF($A157&gt;='1-Input'!$C$12,'1-Input'!$B$12,0)))))*(1/(1-'P-Parametri'!$B$6*AK157))))</f>
        <v>9007.753479246865</v>
      </c>
      <c r="AM157" s="18">
        <f>IF($A157&gt;'1-Input'!$B$26,AO156,(AO156-MAX(0,AK121-IF($A157&gt;='1-Input'!$C$12,'1-Input'!$B$12,0))+AL157*(1-'P-Parametri'!$B$6*AK157))*(1+'1-Input'!$B$27))</f>
        <v>7355.1738725270734</v>
      </c>
      <c r="AN157" s="18">
        <f>IF($A157&gt;'1-Input'!$B$26,AP156,(AP156-AL157)*(1+'5-Roberta'!$C$4))</f>
        <v>81217.912063886295</v>
      </c>
      <c r="AO157" s="18">
        <f>IF($A157&gt;'1-Input'!$B$26,AM157,AM157-'P-Parametri'!$B$8*(AN157+AM157)+MIN(MAX(AN157,0),'P-Parametri'!$B$8*(AN157+AM157)))</f>
        <v>7355.1738725270734</v>
      </c>
      <c r="AP157" s="18">
        <f>IF($A157&gt;'1-Input'!$B$26,AN157,AN157-MIN(MAX(AN157,0),'P-Parametri'!$B$8*(AN157+AM157)))</f>
        <v>81040.765892013471</v>
      </c>
      <c r="AQ157" s="18">
        <f>IF($A157&gt;'1-Input'!$B$26,AQ156,AQ156-AL157*(1-AK157))</f>
        <v>25001.776048676998</v>
      </c>
    </row>
    <row r="158" spans="1:43">
      <c r="A158" s="10">
        <f>35</f>
        <v>35</v>
      </c>
      <c r="B158" s="11">
        <f>IF($A158&gt;'1-Input'!$B$26,0,IF(G157&lt;=0,0,MAX(0,(G157-H157)/G157)))</f>
        <v>0.69200248906987294</v>
      </c>
      <c r="C158" s="18">
        <f>IF($A158&gt;'1-Input'!$B$26,0,(MAX(0,B121-IF($A158&gt;='1-Input'!$C$12,'1-Input'!$B$12,0))-MIN(MAX(F157,0),MAX(0,B121-IF($A158&gt;='1-Input'!$C$12,'1-Input'!$B$12,0))))*(1/(1-'P-Parametri'!$B$6*B158))+MIN(MAX(0,G157-(MAX(0,B121-IF($A158&gt;='1-Input'!$C$12,'1-Input'!$B$12,0))-MIN(MAX(F157,0),MAX(0,B121-IF($A158&gt;='1-Input'!$C$12,'1-Input'!$B$12,0))))*(1/(1-'P-Parametri'!$B$6*B158))),MAX(0,1*MAX(0,B121-IF($A158&gt;='1-Input'!$C$12,'1-Input'!$B$12,0))-(F157-MIN(MAX(F157,0),MAX(0,B121-IF($A158&gt;='1-Input'!$C$12,'1-Input'!$B$12,0)))))*(1/(1-'P-Parametri'!$B$6*B158))))</f>
        <v>6827.5586921627455</v>
      </c>
      <c r="D158" s="18">
        <f>IF($A158&gt;'1-Input'!$B$26,F157,(F157-MAX(0,B121-IF($A158&gt;='1-Input'!$C$12,'1-Input'!$B$12,0))+C158*(1-'P-Parametri'!$B$6*B158))*(1+'1-Input'!$B$27))</f>
        <v>5558.9707154931493</v>
      </c>
      <c r="E158" s="18">
        <f>IF($A158&gt;'1-Input'!$B$26,G157,(G157-C158)*(1+'5-Roberta'!$C$4))</f>
        <v>201831.08150717066</v>
      </c>
      <c r="F158" s="18">
        <f>IF($A158&gt;'1-Input'!$B$26,D158,D158-'P-Parametri'!$B$8*(E158+D158)+MIN(MAX(E158,0),'P-Parametri'!$B$8*(E158+D158)))</f>
        <v>5558.9707154931493</v>
      </c>
      <c r="G158" s="18">
        <f>IF($A158&gt;'1-Input'!$B$26,E158,E158-MIN(MAX(E158,0),'P-Parametri'!$B$8*(E158+D158)))</f>
        <v>201416.30140272534</v>
      </c>
      <c r="H158" s="18">
        <f>IF($A158&gt;'1-Input'!$B$26,H157,H157-C158*(1-B158))</f>
        <v>60352.884206353563</v>
      </c>
      <c r="I158" s="11">
        <f>IF($A158&gt;'1-Input'!$B$26,0,IF(N157&lt;=0,0,MAX(0,(N157-O157)/N157)))</f>
        <v>0</v>
      </c>
      <c r="J158" s="18">
        <f>IF($A158&gt;'1-Input'!$B$26,0,(MAX(0,I121-IF($A158&gt;='1-Input'!$C$12,'1-Input'!$B$12,0))-MIN(MAX(M157,0),MAX(0,I121-IF($A158&gt;='1-Input'!$C$12,'1-Input'!$B$12,0))))*(1/(1-'P-Parametri'!$B$6*I158))+MIN(MAX(0,N157-(MAX(0,I121-IF($A158&gt;='1-Input'!$C$12,'1-Input'!$B$12,0))-MIN(MAX(M157,0),MAX(0,I121-IF($A158&gt;='1-Input'!$C$12,'1-Input'!$B$12,0))))*(1/(1-'P-Parametri'!$B$6*I158))),MAX(0,1*MAX(0,I121-IF($A158&gt;='1-Input'!$C$12,'1-Input'!$B$12,0))-(M157-MIN(MAX(M157,0),MAX(0,I121-IF($A158&gt;='1-Input'!$C$12,'1-Input'!$B$12,0)))))*(1/(1-'P-Parametri'!$B$6*I158))))</f>
        <v>10846.756992928691</v>
      </c>
      <c r="K158" s="18">
        <f>IF($A158&gt;'1-Input'!$B$26,M157,(M157-MAX(0,I121-IF($A158&gt;='1-Input'!$C$12,'1-Input'!$B$12,0))+J158*(1-'P-Parametri'!$B$6*I158))*(1+'1-Input'!$B$27))</f>
        <v>0</v>
      </c>
      <c r="L158" s="18">
        <f>IF($A158&gt;'1-Input'!$B$26,N157,(N157-J158)*(1+'5-Roberta'!$C$4))</f>
        <v>-127200.19613945577</v>
      </c>
      <c r="M158" s="18">
        <f>IF($A158&gt;'1-Input'!$B$26,K158,K158-'P-Parametri'!$B$8*(L158+K158)+MIN(MAX(L158,0),'P-Parametri'!$B$8*(L158+K158)))</f>
        <v>0</v>
      </c>
      <c r="N158" s="18">
        <f>IF($A158&gt;'1-Input'!$B$26,L158,L158-MIN(MAX(L158,0),'P-Parametri'!$B$8*(L158+K158)))</f>
        <v>-126945.79574717686</v>
      </c>
      <c r="O158" s="18">
        <f>IF($A158&gt;'1-Input'!$B$26,O157,O157-J158*(1-I158))</f>
        <v>-108712.51226939957</v>
      </c>
      <c r="P158" s="11">
        <f>IF($A158&gt;'1-Input'!$B$26,0,IF(U157&lt;=0,0,MAX(0,(U157-V157)/U157)))</f>
        <v>0.69134906120629924</v>
      </c>
      <c r="Q158" s="18">
        <f>IF($A158&gt;'1-Input'!$B$26,0,(MAX(0,P121-IF($A158&gt;='1-Input'!$C$12,'1-Input'!$B$12,0))-MIN(MAX(T157,0),MAX(0,P121-IF($A158&gt;='1-Input'!$C$12,'1-Input'!$B$12,0))))*(1/(1-'P-Parametri'!$B$6*P158))+MIN(MAX(0,U157-(MAX(0,P121-IF($A158&gt;='1-Input'!$C$12,'1-Input'!$B$12,0))-MIN(MAX(T157,0),MAX(0,P121-IF($A158&gt;='1-Input'!$C$12,'1-Input'!$B$12,0))))*(1/(1-'P-Parametri'!$B$6*P158))),MAX(0,1*MAX(0,P121-IF($A158&gt;='1-Input'!$C$12,'1-Input'!$B$12,0))-(T157-MIN(MAX(T157,0),MAX(0,P121-IF($A158&gt;='1-Input'!$C$12,'1-Input'!$B$12,0)))))*(1/(1-'P-Parametri'!$B$6*P158))))</f>
        <v>9357.2097836642733</v>
      </c>
      <c r="R158" s="18">
        <f>IF($A158&gt;'1-Input'!$B$26,T157,(T157-MAX(0,P121-IF($A158&gt;='1-Input'!$C$12,'1-Input'!$B$12,0))+Q158*(1-'P-Parametri'!$B$6*P158))*(1+'1-Input'!$B$27))</f>
        <v>7620.1807219027733</v>
      </c>
      <c r="S158" s="18">
        <f>IF($A158&gt;'1-Input'!$B$26,U157,(U157-Q158)*(1+'5-Roberta'!$C$4))</f>
        <v>55336.706898568766</v>
      </c>
      <c r="T158" s="18">
        <f>IF($A158&gt;'1-Input'!$B$26,R158,R158-'P-Parametri'!$B$8*(S158+R158)+MIN(MAX(S158,0),'P-Parametri'!$B$8*(S158+R158)))</f>
        <v>7620.1807219027733</v>
      </c>
      <c r="U158" s="18">
        <f>IF($A158&gt;'1-Input'!$B$26,S158,S158-MIN(MAX(S158,0),'P-Parametri'!$B$8*(S158+R158)))</f>
        <v>55210.793123327821</v>
      </c>
      <c r="V158" s="18">
        <f>IF($A158&gt;'1-Input'!$B$26,V157,V157-Q158*(1-P158))</f>
        <v>16582.258770869033</v>
      </c>
      <c r="W158" s="11">
        <f>IF($A158&gt;'1-Input'!$B$26,0,IF(AB157&lt;=0,0,MAX(0,(AB157-AC157)/AB157)))</f>
        <v>0.69148807622720998</v>
      </c>
      <c r="X158" s="18">
        <f>IF($A158&gt;'1-Input'!$B$26,0,(MAX(0,W121-IF($A158&gt;='1-Input'!$C$12,'1-Input'!$B$12,0))-MIN(MAX(AA157,0),MAX(0,W121-IF($A158&gt;='1-Input'!$C$12,'1-Input'!$B$12,0))))*(1/(1-'P-Parametri'!$B$6*W158))+MIN(MAX(0,AB157-(MAX(0,W121-IF($A158&gt;='1-Input'!$C$12,'1-Input'!$B$12,0))-MIN(MAX(AA157,0),MAX(0,W121-IF($A158&gt;='1-Input'!$C$12,'1-Input'!$B$12,0))))*(1/(1-'P-Parametri'!$B$6*W158))),MAX(0,1*MAX(0,W121-IF($A158&gt;='1-Input'!$C$12,'1-Input'!$B$12,0))-(AA157-MIN(MAX(AA157,0),MAX(0,W121-IF($A158&gt;='1-Input'!$C$12,'1-Input'!$B$12,0)))))*(1/(1-'P-Parametri'!$B$6*W158))))</f>
        <v>9040.7167803324446</v>
      </c>
      <c r="Y158" s="18">
        <f>IF($A158&gt;'1-Input'!$B$26,AA157,(AA157-MAX(0,W121-IF($A158&gt;='1-Input'!$C$12,'1-Input'!$B$12,0))+X158*(1-'P-Parametri'!$B$6*W158))*(1+'1-Input'!$B$27))</f>
        <v>7362.1155905106343</v>
      </c>
      <c r="Z158" s="18">
        <f>IF($A158&gt;'1-Input'!$B$26,AB157,(AB157-X158)*(1+'5-Roberta'!$C$4))</f>
        <v>73675.510083300775</v>
      </c>
      <c r="AA158" s="18">
        <f>IF($A158&gt;'1-Input'!$B$26,Y158,Y158-'P-Parametri'!$B$8*(Z158+Y158)+MIN(MAX(Z158,0),'P-Parametri'!$B$8*(Z158+Y158)))</f>
        <v>7362.1155905106343</v>
      </c>
      <c r="AB158" s="18">
        <f>IF($A158&gt;'1-Input'!$B$26,Z158,Z158-MIN(MAX(Z158,0),'P-Parametri'!$B$8*(Z158+Y158)))</f>
        <v>73513.434831953156</v>
      </c>
      <c r="AC158" s="18">
        <f>IF($A158&gt;'1-Input'!$B$26,AC157,AC157-X158*(1-W158))</f>
        <v>22067.741117223995</v>
      </c>
      <c r="AD158" s="11">
        <f>IF($A158&gt;'1-Input'!$B$26,0,IF(AI157&lt;=0,0,MAX(0,(AI157-AJ157)/AI157)))</f>
        <v>0.69149138561453338</v>
      </c>
      <c r="AE158" s="18">
        <f>IF($A158&gt;'1-Input'!$B$26,0,(MAX(0,AD121-IF($A158&gt;='1-Input'!$C$12,'1-Input'!$B$12,0))-MIN(MAX(AH157,0),MAX(0,AD121-IF($A158&gt;='1-Input'!$C$12,'1-Input'!$B$12,0))))*(1/(1-'P-Parametri'!$B$6*AD158))+MIN(MAX(0,AI157-(MAX(0,AD121-IF($A158&gt;='1-Input'!$C$12,'1-Input'!$B$12,0))-MIN(MAX(AH157,0),MAX(0,AD121-IF($A158&gt;='1-Input'!$C$12,'1-Input'!$B$12,0))))*(1/(1-'P-Parametri'!$B$6*AD158))),MAX(0,1*MAX(0,AD121-IF($A158&gt;='1-Input'!$C$12,'1-Input'!$B$12,0))-(AH157-MIN(MAX(AH157,0),MAX(0,AD121-IF($A158&gt;='1-Input'!$C$12,'1-Input'!$B$12,0)))))*(1/(1-'P-Parametri'!$B$6*AD158))))</f>
        <v>9032.1487108537658</v>
      </c>
      <c r="AF158" s="18">
        <f>IF($A158&gt;'1-Input'!$B$26,AH157,(AH157-MAX(0,AD121-IF($A158&gt;='1-Input'!$C$12,'1-Input'!$B$12,0))+AE158*(1-'P-Parametri'!$B$6*AD158))*(1+'1-Input'!$B$27))</f>
        <v>7355.1306493328557</v>
      </c>
      <c r="AG158" s="18">
        <f>IF($A158&gt;'1-Input'!$B$26,AI157,(AI157-AE158)*(1+'5-Roberta'!$C$4))</f>
        <v>74171.892730861568</v>
      </c>
      <c r="AH158" s="18">
        <f>IF($A158&gt;'1-Input'!$B$26,AF158,AF158-'P-Parametri'!$B$8*(AG158+AF158)+MIN(MAX(AG158,0),'P-Parametri'!$B$8*(AG158+AF158)))</f>
        <v>7355.1306493328557</v>
      </c>
      <c r="AI158" s="18">
        <f>IF($A158&gt;'1-Input'!$B$26,AG158,AG158-MIN(MAX(AG158,0),'P-Parametri'!$B$8*(AG158+AF158)))</f>
        <v>74008.838684101182</v>
      </c>
      <c r="AJ158" s="18">
        <f>IF($A158&gt;'1-Input'!$B$26,AJ157,AJ157-AE158*(1-AD158))</f>
        <v>22216.182381306375</v>
      </c>
      <c r="AK158" s="11">
        <f>IF($A158&gt;'1-Input'!$B$26,0,IF(AP157&lt;=0,0,MAX(0,(AP157-AQ157)/AP157)))</f>
        <v>0.69149136519771082</v>
      </c>
      <c r="AL158" s="18">
        <f>IF($A158&gt;'1-Input'!$B$26,0,(MAX(0,AK121-IF($A158&gt;='1-Input'!$C$12,'1-Input'!$B$12,0))-MIN(MAX(AO157,0),MAX(0,AK121-IF($A158&gt;='1-Input'!$C$12,'1-Input'!$B$12,0))))*(1/(1-'P-Parametri'!$B$6*AK158))+MIN(MAX(0,AP157-(MAX(0,AK121-IF($A158&gt;='1-Input'!$C$12,'1-Input'!$B$12,0))-MIN(MAX(AO157,0),MAX(0,AK121-IF($A158&gt;='1-Input'!$C$12,'1-Input'!$B$12,0))))*(1/(1-'P-Parametri'!$B$6*AK158))),MAX(0,1*MAX(0,AK121-IF($A158&gt;='1-Input'!$C$12,'1-Input'!$B$12,0))-(AO157-MIN(MAX(AO157,0),MAX(0,AK121-IF($A158&gt;='1-Input'!$C$12,'1-Input'!$B$12,0)))))*(1/(1-'P-Parametri'!$B$6*AK158))))</f>
        <v>9032.2017307639744</v>
      </c>
      <c r="AM158" s="18">
        <f>IF($A158&gt;'1-Input'!$B$26,AO157,(AO157-MAX(0,AK121-IF($A158&gt;='1-Input'!$C$12,'1-Input'!$B$12,0))+AL158*(1-'P-Parametri'!$B$6*AK158))*(1+'1-Input'!$B$27))</f>
        <v>7355.1738725270716</v>
      </c>
      <c r="AN158" s="18">
        <f>IF($A158&gt;'1-Input'!$B$26,AP157,(AP157-AL158)*(1+'5-Roberta'!$C$4))</f>
        <v>74168.821086086988</v>
      </c>
      <c r="AO158" s="18">
        <f>IF($A158&gt;'1-Input'!$B$26,AM158,AM158-'P-Parametri'!$B$8*(AN158+AM158)+MIN(MAX(AN158,0),'P-Parametri'!$B$8*(AN158+AM158)))</f>
        <v>7355.1738725270716</v>
      </c>
      <c r="AP158" s="18">
        <f>IF($A158&gt;'1-Input'!$B$26,AN158,AN158-MIN(MAX(AN158,0),'P-Parametri'!$B$8*(AN158+AM158)))</f>
        <v>74005.773096169753</v>
      </c>
      <c r="AQ158" s="18">
        <f>IF($A158&gt;'1-Input'!$B$26,AQ157,AQ157-AL158*(1-AK158))</f>
        <v>22215.263823460133</v>
      </c>
    </row>
    <row r="159" spans="1:43">
      <c r="A159" s="10">
        <f>36</f>
        <v>36</v>
      </c>
      <c r="B159" s="11">
        <f>IF($A159&gt;'1-Input'!$B$26,0,IF(G158&lt;=0,0,MAX(0,(G158-H158)/G158)))</f>
        <v>0.70035749943754577</v>
      </c>
      <c r="C159" s="18">
        <f>IF($A159&gt;'1-Input'!$B$26,0,(MAX(0,B121-IF($A159&gt;='1-Input'!$C$12,'1-Input'!$B$12,0))-MIN(MAX(F158,0),MAX(0,B121-IF($A159&gt;='1-Input'!$C$12,'1-Input'!$B$12,0))))*(1/(1-'P-Parametri'!$B$6*B159))+MIN(MAX(0,G158-(MAX(0,B121-IF($A159&gt;='1-Input'!$C$12,'1-Input'!$B$12,0))-MIN(MAX(F158,0),MAX(0,B121-IF($A159&gt;='1-Input'!$C$12,'1-Input'!$B$12,0))))*(1/(1-'P-Parametri'!$B$6*B159))),MAX(0,1*MAX(0,B121-IF($A159&gt;='1-Input'!$C$12,'1-Input'!$B$12,0))-(F158-MIN(MAX(F158,0),MAX(0,B121-IF($A159&gt;='1-Input'!$C$12,'1-Input'!$B$12,0)))))*(1/(1-'P-Parametri'!$B$6*B159))))</f>
        <v>6845.6922003024129</v>
      </c>
      <c r="D159" s="18">
        <f>IF($A159&gt;'1-Input'!$B$26,F158,(F158-MAX(0,B121-IF($A159&gt;='1-Input'!$C$12,'1-Input'!$B$12,0))+C159*(1-'P-Parametri'!$B$6*B159))*(1+'1-Input'!$B$27))</f>
        <v>5558.9707154931502</v>
      </c>
      <c r="E159" s="18">
        <f>IF($A159&gt;'1-Input'!$B$26,G158,(G158-C159)*(1+'5-Roberta'!$C$4))</f>
        <v>200407.72747849562</v>
      </c>
      <c r="F159" s="18">
        <f>IF($A159&gt;'1-Input'!$B$26,D159,D159-'P-Parametri'!$B$8*(E159+D159)+MIN(MAX(E159,0),'P-Parametri'!$B$8*(E159+D159)))</f>
        <v>5558.9707154931502</v>
      </c>
      <c r="G159" s="18">
        <f>IF($A159&gt;'1-Input'!$B$26,E159,E159-MIN(MAX(E159,0),'P-Parametri'!$B$8*(E159+D159)))</f>
        <v>199995.79408210763</v>
      </c>
      <c r="H159" s="18">
        <f>IF($A159&gt;'1-Input'!$B$26,H158,H158-C159*(1-B159))</f>
        <v>58301.623877374062</v>
      </c>
      <c r="I159" s="11">
        <f>IF($A159&gt;'1-Input'!$B$26,0,IF(N158&lt;=0,0,MAX(0,(N158-O158)/N158)))</f>
        <v>0</v>
      </c>
      <c r="J159" s="18">
        <f>IF($A159&gt;'1-Input'!$B$26,0,(MAX(0,I121-IF($A159&gt;='1-Input'!$C$12,'1-Input'!$B$12,0))-MIN(MAX(M158,0),MAX(0,I121-IF($A159&gt;='1-Input'!$C$12,'1-Input'!$B$12,0))))*(1/(1-'P-Parametri'!$B$6*I159))+MIN(MAX(0,N158-(MAX(0,I121-IF($A159&gt;='1-Input'!$C$12,'1-Input'!$B$12,0))-MIN(MAX(M158,0),MAX(0,I121-IF($A159&gt;='1-Input'!$C$12,'1-Input'!$B$12,0))))*(1/(1-'P-Parametri'!$B$6*I159))),MAX(0,1*MAX(0,I121-IF($A159&gt;='1-Input'!$C$12,'1-Input'!$B$12,0))-(M158-MIN(MAX(M158,0),MAX(0,I121-IF($A159&gt;='1-Input'!$C$12,'1-Input'!$B$12,0)))))*(1/(1-'P-Parametri'!$B$6*I159))))</f>
        <v>10846.756992928691</v>
      </c>
      <c r="K159" s="18">
        <f>IF($A159&gt;'1-Input'!$B$26,M158,(M158-MAX(0,I121-IF($A159&gt;='1-Input'!$C$12,'1-Input'!$B$12,0))+J159*(1-'P-Parametri'!$B$6*I159))*(1+'1-Input'!$B$27))</f>
        <v>0</v>
      </c>
      <c r="L159" s="18">
        <f>IF($A159&gt;'1-Input'!$B$26,N158,(N158-J159)*(1+'5-Roberta'!$C$4))</f>
        <v>-141926.32932230871</v>
      </c>
      <c r="M159" s="18">
        <f>IF($A159&gt;'1-Input'!$B$26,K159,K159-'P-Parametri'!$B$8*(L159+K159)+MIN(MAX(L159,0),'P-Parametri'!$B$8*(L159+K159)))</f>
        <v>0</v>
      </c>
      <c r="N159" s="18">
        <f>IF($A159&gt;'1-Input'!$B$26,L159,L159-MIN(MAX(L159,0),'P-Parametri'!$B$8*(L159+K159)))</f>
        <v>-141642.4766636641</v>
      </c>
      <c r="O159" s="18">
        <f>IF($A159&gt;'1-Input'!$B$26,O158,O158-J159*(1-I159))</f>
        <v>-119559.26926232825</v>
      </c>
      <c r="P159" s="11">
        <f>IF($A159&gt;'1-Input'!$B$26,0,IF(U158&lt;=0,0,MAX(0,(U158-V158)/U158)))</f>
        <v>0.69965548703804714</v>
      </c>
      <c r="Q159" s="18">
        <f>IF($A159&gt;'1-Input'!$B$26,0,(MAX(0,P121-IF($A159&gt;='1-Input'!$C$12,'1-Input'!$B$12,0))-MIN(MAX(T158,0),MAX(0,P121-IF($A159&gt;='1-Input'!$C$12,'1-Input'!$B$12,0))))*(1/(1-'P-Parametri'!$B$6*P159))+MIN(MAX(0,U158-(MAX(0,P121-IF($A159&gt;='1-Input'!$C$12,'1-Input'!$B$12,0))-MIN(MAX(T158,0),MAX(0,P121-IF($A159&gt;='1-Input'!$C$12,'1-Input'!$B$12,0))))*(1/(1-'P-Parametri'!$B$6*P159))),MAX(0,1*MAX(0,P121-IF($A159&gt;='1-Input'!$C$12,'1-Input'!$B$12,0))-(T158-MIN(MAX(T158,0),MAX(0,P121-IF($A159&gt;='1-Input'!$C$12,'1-Input'!$B$12,0)))))*(1/(1-'P-Parametri'!$B$6*P159))))</f>
        <v>9381.9118366098701</v>
      </c>
      <c r="R159" s="18">
        <f>IF($A159&gt;'1-Input'!$B$26,T158,(T158-MAX(0,P121-IF($A159&gt;='1-Input'!$C$12,'1-Input'!$B$12,0))+Q159*(1-'P-Parametri'!$B$6*P159))*(1+'1-Input'!$B$27))</f>
        <v>7620.1807219027723</v>
      </c>
      <c r="S159" s="18">
        <f>IF($A159&gt;'1-Input'!$B$26,U158,(U158-Q159)*(1+'5-Roberta'!$C$4))</f>
        <v>47203.747725319488</v>
      </c>
      <c r="T159" s="18">
        <f>IF($A159&gt;'1-Input'!$B$26,R159,R159-'P-Parametri'!$B$8*(S159+R159)+MIN(MAX(S159,0),'P-Parametri'!$B$8*(S159+R159)))</f>
        <v>7620.1807219027723</v>
      </c>
      <c r="U159" s="18">
        <f>IF($A159&gt;'1-Input'!$B$26,S159,S159-MIN(MAX(S159,0),'P-Parametri'!$B$8*(S159+R159)))</f>
        <v>47094.099868425044</v>
      </c>
      <c r="V159" s="18">
        <f>IF($A159&gt;'1-Input'!$B$26,V158,V158-Q159*(1-P159))</f>
        <v>13764.453029650462</v>
      </c>
      <c r="W159" s="11">
        <f>IF($A159&gt;'1-Input'!$B$26,0,IF(AB158&lt;=0,0,MAX(0,(AB158-AC158)/AB158)))</f>
        <v>0.69981349439501239</v>
      </c>
      <c r="X159" s="18">
        <f>IF($A159&gt;'1-Input'!$B$26,0,(MAX(0,W121-IF($A159&gt;='1-Input'!$C$12,'1-Input'!$B$12,0))-MIN(MAX(AA158,0),MAX(0,W121-IF($A159&gt;='1-Input'!$C$12,'1-Input'!$B$12,0))))*(1/(1-'P-Parametri'!$B$6*W159))+MIN(MAX(0,AB158-(MAX(0,W121-IF($A159&gt;='1-Input'!$C$12,'1-Input'!$B$12,0))-MIN(MAX(AA158,0),MAX(0,W121-IF($A159&gt;='1-Input'!$C$12,'1-Input'!$B$12,0))))*(1/(1-'P-Parametri'!$B$6*W159))),MAX(0,1*MAX(0,W121-IF($A159&gt;='1-Input'!$C$12,'1-Input'!$B$12,0))-(AA158-MIN(MAX(AA158,0),MAX(0,W121-IF($A159&gt;='1-Input'!$C$12,'1-Input'!$B$12,0)))))*(1/(1-'P-Parametri'!$B$6*W159))))</f>
        <v>9064.6390962036003</v>
      </c>
      <c r="Y159" s="18">
        <f>IF($A159&gt;'1-Input'!$B$26,AA158,(AA158-MAX(0,W121-IF($A159&gt;='1-Input'!$C$12,'1-Input'!$B$12,0))+X159*(1-'P-Parametri'!$B$6*W159))*(1+'1-Input'!$B$27))</f>
        <v>7362.1155905106343</v>
      </c>
      <c r="Z159" s="18">
        <f>IF($A159&gt;'1-Input'!$B$26,AB158,(AB158-X159)*(1+'5-Roberta'!$C$4))</f>
        <v>66382.259607822038</v>
      </c>
      <c r="AA159" s="18">
        <f>IF($A159&gt;'1-Input'!$B$26,Y159,Y159-'P-Parametri'!$B$8*(Z159+Y159)+MIN(MAX(Z159,0),'P-Parametri'!$B$8*(Z159+Y159)))</f>
        <v>7362.1155905106343</v>
      </c>
      <c r="AB159" s="18">
        <f>IF($A159&gt;'1-Input'!$B$26,Z159,Z159-MIN(MAX(Z159,0),'P-Parametri'!$B$8*(Z159+Y159)))</f>
        <v>66234.770857425377</v>
      </c>
      <c r="AC159" s="18">
        <f>IF($A159&gt;'1-Input'!$B$26,AC158,AC158-X159*(1-W159))</f>
        <v>19346.658782364284</v>
      </c>
      <c r="AD159" s="11">
        <f>IF($A159&gt;'1-Input'!$B$26,0,IF(AI158&lt;=0,0,MAX(0,(AI158-AJ158)/AI158)))</f>
        <v>0.69981717351175077</v>
      </c>
      <c r="AE159" s="18">
        <f>IF($A159&gt;'1-Input'!$B$26,0,(MAX(0,AD121-IF($A159&gt;='1-Input'!$C$12,'1-Input'!$B$12,0))-MIN(MAX(AH158,0),MAX(0,AD121-IF($A159&gt;='1-Input'!$C$12,'1-Input'!$B$12,0))))*(1/(1-'P-Parametri'!$B$6*AD159))+MIN(MAX(0,AI158-(MAX(0,AD121-IF($A159&gt;='1-Input'!$C$12,'1-Input'!$B$12,0))-MIN(MAX(AH158,0),MAX(0,AD121-IF($A159&gt;='1-Input'!$C$12,'1-Input'!$B$12,0))))*(1/(1-'P-Parametri'!$B$6*AD159))),MAX(0,1*MAX(0,AD121-IF($A159&gt;='1-Input'!$C$12,'1-Input'!$B$12,0))-(AH158-MIN(MAX(AH158,0),MAX(0,AD121-IF($A159&gt;='1-Input'!$C$12,'1-Input'!$B$12,0)))))*(1/(1-'P-Parametri'!$B$6*AD159))))</f>
        <v>9056.0494443882853</v>
      </c>
      <c r="AF159" s="18">
        <f>IF($A159&gt;'1-Input'!$B$26,AH158,(AH158-MAX(0,AD121-IF($A159&gt;='1-Input'!$C$12,'1-Input'!$B$12,0))+AE159*(1-'P-Parametri'!$B$6*AD159))*(1+'1-Input'!$B$27))</f>
        <v>7355.1306493328575</v>
      </c>
      <c r="AG159" s="18">
        <f>IF($A159&gt;'1-Input'!$B$26,AI158,(AI158-AE159)*(1+'5-Roberta'!$C$4))</f>
        <v>66901.372916904278</v>
      </c>
      <c r="AH159" s="18">
        <f>IF($A159&gt;'1-Input'!$B$26,AF159,AF159-'P-Parametri'!$B$8*(AG159+AF159)+MIN(MAX(AG159,0),'P-Parametri'!$B$8*(AG159+AF159)))</f>
        <v>7355.1306493328575</v>
      </c>
      <c r="AI159" s="18">
        <f>IF($A159&gt;'1-Input'!$B$26,AG159,AG159-MIN(MAX(AG159,0),'P-Parametri'!$B$8*(AG159+AF159)))</f>
        <v>66752.859909771811</v>
      </c>
      <c r="AJ159" s="18">
        <f>IF($A159&gt;'1-Input'!$B$26,AJ158,AJ158-AE159*(1-AD159))</f>
        <v>19497.711862272561</v>
      </c>
      <c r="AK159" s="11">
        <f>IF($A159&gt;'1-Input'!$B$26,0,IF(AP158&lt;=0,0,MAX(0,(AP158-AQ158)/AP158)))</f>
        <v>0.69981715082427931</v>
      </c>
      <c r="AL159" s="18">
        <f>IF($A159&gt;'1-Input'!$B$26,0,(MAX(0,AK121-IF($A159&gt;='1-Input'!$C$12,'1-Input'!$B$12,0))-MIN(MAX(AO158,0),MAX(0,AK121-IF($A159&gt;='1-Input'!$C$12,'1-Input'!$B$12,0))))*(1/(1-'P-Parametri'!$B$6*AK159))+MIN(MAX(0,AP158-(MAX(0,AK121-IF($A159&gt;='1-Input'!$C$12,'1-Input'!$B$12,0))-MIN(MAX(AO158,0),MAX(0,AK121-IF($A159&gt;='1-Input'!$C$12,'1-Input'!$B$12,0))))*(1/(1-'P-Parametri'!$B$6*AK159))),MAX(0,1*MAX(0,AK121-IF($A159&gt;='1-Input'!$C$12,'1-Input'!$B$12,0))-(AO158-MIN(MAX(AO158,0),MAX(0,AK121-IF($A159&gt;='1-Input'!$C$12,'1-Input'!$B$12,0)))))*(1/(1-'P-Parametri'!$B$6*AK159))))</f>
        <v>9056.1025979082642</v>
      </c>
      <c r="AM159" s="18">
        <f>IF($A159&gt;'1-Input'!$B$26,AO158,(AO158-MAX(0,AK121-IF($A159&gt;='1-Input'!$C$12,'1-Input'!$B$12,0))+AL159*(1-'P-Parametri'!$B$6*AK159))*(1+'1-Input'!$B$27))</f>
        <v>7355.1738725270725</v>
      </c>
      <c r="AN159" s="18">
        <f>IF($A159&gt;'1-Input'!$B$26,AP158,(AP158-AL159)*(1+'5-Roberta'!$C$4))</f>
        <v>66898.160613209329</v>
      </c>
      <c r="AO159" s="18">
        <f>IF($A159&gt;'1-Input'!$B$26,AM159,AM159-'P-Parametri'!$B$8*(AN159+AM159)+MIN(MAX(AN159,0),'P-Parametri'!$B$8*(AN159+AM159)))</f>
        <v>7355.1738725270725</v>
      </c>
      <c r="AP159" s="18">
        <f>IF($A159&gt;'1-Input'!$B$26,AN159,AN159-MIN(MAX(AN159,0),'P-Parametri'!$B$8*(AN159+AM159)))</f>
        <v>66749.653944237856</v>
      </c>
      <c r="AQ159" s="18">
        <f>IF($A159&gt;'1-Input'!$B$26,AQ158,AQ158-AL159*(1-AK159))</f>
        <v>19496.777143192383</v>
      </c>
    </row>
    <row r="160" spans="1:43">
      <c r="A160" s="10">
        <f>37</f>
        <v>37</v>
      </c>
      <c r="B160" s="11">
        <f>IF($A160&gt;'1-Input'!$B$26,0,IF(G159&lt;=0,0,MAX(0,(G159-H159)/G159)))</f>
        <v>0.70848575018813376</v>
      </c>
      <c r="C160" s="18">
        <f>IF($A160&gt;'1-Input'!$B$26,0,(MAX(0,B121-IF($A160&gt;='1-Input'!$C$12,'1-Input'!$B$12,0))-MIN(MAX(F159,0),MAX(0,B121-IF($A160&gt;='1-Input'!$C$12,'1-Input'!$B$12,0))))*(1/(1-'P-Parametri'!$B$6*B160))+MIN(MAX(0,G159-(MAX(0,B121-IF($A160&gt;='1-Input'!$C$12,'1-Input'!$B$12,0))-MIN(MAX(F159,0),MAX(0,B121-IF($A160&gt;='1-Input'!$C$12,'1-Input'!$B$12,0))))*(1/(1-'P-Parametri'!$B$6*B160))),MAX(0,1*MAX(0,B121-IF($A160&gt;='1-Input'!$C$12,'1-Input'!$B$12,0))-(F159-MIN(MAX(F159,0),MAX(0,B121-IF($A160&gt;='1-Input'!$C$12,'1-Input'!$B$12,0)))))*(1/(1-'P-Parametri'!$B$6*B160))))</f>
        <v>6863.4262311379043</v>
      </c>
      <c r="D160" s="18">
        <f>IF($A160&gt;'1-Input'!$B$26,F159,(F159-MAX(0,B121-IF($A160&gt;='1-Input'!$C$12,'1-Input'!$B$12,0))+C160*(1-'P-Parametri'!$B$6*B160))*(1+'1-Input'!$B$27))</f>
        <v>5558.9707154931493</v>
      </c>
      <c r="E160" s="18">
        <f>IF($A160&gt;'1-Input'!$B$26,G159,(G159-C160)*(1+'5-Roberta'!$C$4))</f>
        <v>198926.33888649882</v>
      </c>
      <c r="F160" s="18">
        <f>IF($A160&gt;'1-Input'!$B$26,D160,D160-'P-Parametri'!$B$8*(E160+D160)+MIN(MAX(E160,0),'P-Parametri'!$B$8*(E160+D160)))</f>
        <v>5558.9707154931493</v>
      </c>
      <c r="G160" s="18">
        <f>IF($A160&gt;'1-Input'!$B$26,E160,E160-MIN(MAX(E160,0),'P-Parametri'!$B$8*(E160+D160)))</f>
        <v>198517.36826729483</v>
      </c>
      <c r="H160" s="18">
        <f>IF($A160&gt;'1-Input'!$B$26,H159,H159-C160*(1-B160))</f>
        <v>56300.837328464811</v>
      </c>
      <c r="I160" s="11">
        <f>IF($A160&gt;'1-Input'!$B$26,0,IF(N159&lt;=0,0,MAX(0,(N159-O159)/N159)))</f>
        <v>0</v>
      </c>
      <c r="J160" s="18">
        <f>IF($A160&gt;'1-Input'!$B$26,0,(MAX(0,I121-IF($A160&gt;='1-Input'!$C$12,'1-Input'!$B$12,0))-MIN(MAX(M159,0),MAX(0,I121-IF($A160&gt;='1-Input'!$C$12,'1-Input'!$B$12,0))))*(1/(1-'P-Parametri'!$B$6*I160))+MIN(MAX(0,N159-(MAX(0,I121-IF($A160&gt;='1-Input'!$C$12,'1-Input'!$B$12,0))-MIN(MAX(M159,0),MAX(0,I121-IF($A160&gt;='1-Input'!$C$12,'1-Input'!$B$12,0))))*(1/(1-'P-Parametri'!$B$6*I160))),MAX(0,1*MAX(0,I121-IF($A160&gt;='1-Input'!$C$12,'1-Input'!$B$12,0))-(M159-MIN(MAX(M159,0),MAX(0,I121-IF($A160&gt;='1-Input'!$C$12,'1-Input'!$B$12,0)))))*(1/(1-'P-Parametri'!$B$6*I160))))</f>
        <v>10846.756992928691</v>
      </c>
      <c r="K160" s="18">
        <f>IF($A160&gt;'1-Input'!$B$26,M159,(M159-MAX(0,I121-IF($A160&gt;='1-Input'!$C$12,'1-Input'!$B$12,0))+J160*(1-'P-Parametri'!$B$6*I160))*(1+'1-Input'!$B$27))</f>
        <v>0</v>
      </c>
      <c r="L160" s="18">
        <f>IF($A160&gt;'1-Input'!$B$26,N159,(N159-J160)*(1+'5-Roberta'!$C$4))</f>
        <v>-157063.91066629058</v>
      </c>
      <c r="M160" s="18">
        <f>IF($A160&gt;'1-Input'!$B$26,K160,K160-'P-Parametri'!$B$8*(L160+K160)+MIN(MAX(L160,0),'P-Parametri'!$B$8*(L160+K160)))</f>
        <v>0</v>
      </c>
      <c r="N160" s="18">
        <f>IF($A160&gt;'1-Input'!$B$26,L160,L160-MIN(MAX(L160,0),'P-Parametri'!$B$8*(L160+K160)))</f>
        <v>-156749.78284495801</v>
      </c>
      <c r="O160" s="18">
        <f>IF($A160&gt;'1-Input'!$B$26,O159,O159-J160*(1-I160))</f>
        <v>-130406.02625525693</v>
      </c>
      <c r="P160" s="11">
        <f>IF($A160&gt;'1-Input'!$B$26,0,IF(U159&lt;=0,0,MAX(0,(U159-V159)/U159)))</f>
        <v>0.70772446934740019</v>
      </c>
      <c r="Q160" s="18">
        <f>IF($A160&gt;'1-Input'!$B$26,0,(MAX(0,P121-IF($A160&gt;='1-Input'!$C$12,'1-Input'!$B$12,0))-MIN(MAX(T159,0),MAX(0,P121-IF($A160&gt;='1-Input'!$C$12,'1-Input'!$B$12,0))))*(1/(1-'P-Parametri'!$B$6*P160))+MIN(MAX(0,U159-(MAX(0,P121-IF($A160&gt;='1-Input'!$C$12,'1-Input'!$B$12,0))-MIN(MAX(T159,0),MAX(0,P121-IF($A160&gt;='1-Input'!$C$12,'1-Input'!$B$12,0))))*(1/(1-'P-Parametri'!$B$6*P160))),MAX(0,1*MAX(0,P121-IF($A160&gt;='1-Input'!$C$12,'1-Input'!$B$12,0))-(T159-MIN(MAX(T159,0),MAX(0,P121-IF($A160&gt;='1-Input'!$C$12,'1-Input'!$B$12,0)))))*(1/(1-'P-Parametri'!$B$6*P160))))</f>
        <v>9406.032972231711</v>
      </c>
      <c r="R160" s="18">
        <f>IF($A160&gt;'1-Input'!$B$26,T159,(T159-MAX(0,P121-IF($A160&gt;='1-Input'!$C$12,'1-Input'!$B$12,0))+Q160*(1-'P-Parametri'!$B$6*P160))*(1+'1-Input'!$B$27))</f>
        <v>7620.1807219027723</v>
      </c>
      <c r="S160" s="18">
        <f>IF($A160&gt;'1-Input'!$B$26,U159,(U159-Q160)*(1+'5-Roberta'!$C$4))</f>
        <v>38818.708903079132</v>
      </c>
      <c r="T160" s="18">
        <f>IF($A160&gt;'1-Input'!$B$26,R160,R160-'P-Parametri'!$B$8*(S160+R160)+MIN(MAX(S160,0),'P-Parametri'!$B$8*(S160+R160)))</f>
        <v>7620.1807219027723</v>
      </c>
      <c r="U160" s="18">
        <f>IF($A160&gt;'1-Input'!$B$26,S160,S160-MIN(MAX(S160,0),'P-Parametri'!$B$8*(S160+R160)))</f>
        <v>38725.831123829172</v>
      </c>
      <c r="V160" s="18">
        <f>IF($A160&gt;'1-Input'!$B$26,V159,V159-Q160*(1-P160))</f>
        <v>11015.299751355587</v>
      </c>
      <c r="W160" s="11">
        <f>IF($A160&gt;'1-Input'!$B$26,0,IF(AB159&lt;=0,0,MAX(0,(AB159-AC159)/AB159)))</f>
        <v>0.70790781742101572</v>
      </c>
      <c r="X160" s="18">
        <f>IF($A160&gt;'1-Input'!$B$26,0,(MAX(0,W121-IF($A160&gt;='1-Input'!$C$12,'1-Input'!$B$12,0))-MIN(MAX(AA159,0),MAX(0,W121-IF($A160&gt;='1-Input'!$C$12,'1-Input'!$B$12,0))))*(1/(1-'P-Parametri'!$B$6*W160))+MIN(MAX(0,AB159-(MAX(0,W121-IF($A160&gt;='1-Input'!$C$12,'1-Input'!$B$12,0))-MIN(MAX(AA159,0),MAX(0,W121-IF($A160&gt;='1-Input'!$C$12,'1-Input'!$B$12,0))))*(1/(1-'P-Parametri'!$B$6*W160))),MAX(0,1*MAX(0,W121-IF($A160&gt;='1-Input'!$C$12,'1-Input'!$B$12,0))-(AA159-MIN(MAX(AA159,0),MAX(0,W121-IF($A160&gt;='1-Input'!$C$12,'1-Input'!$B$12,0)))))*(1/(1-'P-Parametri'!$B$6*W160))))</f>
        <v>9088.0190722434145</v>
      </c>
      <c r="Y160" s="18">
        <f>IF($A160&gt;'1-Input'!$B$26,AA159,(AA159-MAX(0,W121-IF($A160&gt;='1-Input'!$C$12,'1-Input'!$B$12,0))+X160*(1-'P-Parametri'!$B$6*W160))*(1+'1-Input'!$B$27))</f>
        <v>7362.1155905106352</v>
      </c>
      <c r="Z160" s="18">
        <f>IF($A160&gt;'1-Input'!$B$26,AB159,(AB159-X160)*(1+'5-Roberta'!$C$4))</f>
        <v>58861.154338737426</v>
      </c>
      <c r="AA160" s="18">
        <f>IF($A160&gt;'1-Input'!$B$26,Y160,Y160-'P-Parametri'!$B$8*(Z160+Y160)+MIN(MAX(Z160,0),'P-Parametri'!$B$8*(Z160+Y160)))</f>
        <v>7362.1155905106352</v>
      </c>
      <c r="AB160" s="18">
        <f>IF($A160&gt;'1-Input'!$B$26,Z160,Z160-MIN(MAX(Z160,0),'P-Parametri'!$B$8*(Z160+Y160)))</f>
        <v>58728.707798878931</v>
      </c>
      <c r="AC160" s="18">
        <f>IF($A160&gt;'1-Input'!$B$26,AC159,AC159-X160*(1-W160))</f>
        <v>16692.119456233268</v>
      </c>
      <c r="AD160" s="11">
        <f>IF($A160&gt;'1-Input'!$B$26,0,IF(AI159&lt;=0,0,MAX(0,(AI159-AJ159)/AI159)))</f>
        <v>0.70791196229454234</v>
      </c>
      <c r="AE160" s="18">
        <f>IF($A160&gt;'1-Input'!$B$26,0,(MAX(0,AD121-IF($A160&gt;='1-Input'!$C$12,'1-Input'!$B$12,0))-MIN(MAX(AH159,0),MAX(0,AD121-IF($A160&gt;='1-Input'!$C$12,'1-Input'!$B$12,0))))*(1/(1-'P-Parametri'!$B$6*AD160))+MIN(MAX(0,AI159-(MAX(0,AD121-IF($A160&gt;='1-Input'!$C$12,'1-Input'!$B$12,0))-MIN(MAX(AH159,0),MAX(0,AD121-IF($A160&gt;='1-Input'!$C$12,'1-Input'!$B$12,0))))*(1/(1-'P-Parametri'!$B$6*AD160))),MAX(0,1*MAX(0,AD121-IF($A160&gt;='1-Input'!$C$12,'1-Input'!$B$12,0))-(AH159-MIN(MAX(AH159,0),MAX(0,AD121-IF($A160&gt;='1-Input'!$C$12,'1-Input'!$B$12,0)))))*(1/(1-'P-Parametri'!$B$6*AD160))))</f>
        <v>9079.408640451491</v>
      </c>
      <c r="AF160" s="18">
        <f>IF($A160&gt;'1-Input'!$B$26,AH159,(AH159-MAX(0,AD121-IF($A160&gt;='1-Input'!$C$12,'1-Input'!$B$12,0))+AE160*(1-'P-Parametri'!$B$6*AD160))*(1+'1-Input'!$B$27))</f>
        <v>7355.1306493328575</v>
      </c>
      <c r="AG160" s="18">
        <f>IF($A160&gt;'1-Input'!$B$26,AI159,(AI159-AE160)*(1+'5-Roberta'!$C$4))</f>
        <v>59403.654807399929</v>
      </c>
      <c r="AH160" s="18">
        <f>IF($A160&gt;'1-Input'!$B$26,AF160,AF160-'P-Parametri'!$B$8*(AG160+AF160)+MIN(MAX(AG160,0),'P-Parametri'!$B$8*(AG160+AF160)))</f>
        <v>7355.1306493328575</v>
      </c>
      <c r="AI160" s="18">
        <f>IF($A160&gt;'1-Input'!$B$26,AG160,AG160-MIN(MAX(AG160,0),'P-Parametri'!$B$8*(AG160+AF160)))</f>
        <v>59270.137236486466</v>
      </c>
      <c r="AJ160" s="18">
        <f>IF($A160&gt;'1-Input'!$B$26,AJ159,AJ159-AE160*(1-AD160))</f>
        <v>16845.725208957108</v>
      </c>
      <c r="AK160" s="11">
        <f>IF($A160&gt;'1-Input'!$B$26,0,IF(AP159&lt;=0,0,MAX(0,(AP159-AQ159)/AP159)))</f>
        <v>0.70791193674981689</v>
      </c>
      <c r="AL160" s="18">
        <f>IF($A160&gt;'1-Input'!$B$26,0,(MAX(0,AK121-IF($A160&gt;='1-Input'!$C$12,'1-Input'!$B$12,0))-MIN(MAX(AO159,0),MAX(0,AK121-IF($A160&gt;='1-Input'!$C$12,'1-Input'!$B$12,0))))*(1/(1-'P-Parametri'!$B$6*AK160))+MIN(MAX(0,AP159-(MAX(0,AK121-IF($A160&gt;='1-Input'!$C$12,'1-Input'!$B$12,0))-MIN(MAX(AO159,0),MAX(0,AK121-IF($A160&gt;='1-Input'!$C$12,'1-Input'!$B$12,0))))*(1/(1-'P-Parametri'!$B$6*AK160))),MAX(0,1*MAX(0,AK121-IF($A160&gt;='1-Input'!$C$12,'1-Input'!$B$12,0))-(AO159-MIN(MAX(AO159,0),MAX(0,AK121-IF($A160&gt;='1-Input'!$C$12,'1-Input'!$B$12,0)))))*(1/(1-'P-Parametri'!$B$6*AK160))))</f>
        <v>9079.4619226403993</v>
      </c>
      <c r="AM160" s="18">
        <f>IF($A160&gt;'1-Input'!$B$26,AO159,(AO159-MAX(0,AK121-IF($A160&gt;='1-Input'!$C$12,'1-Input'!$B$12,0))+AL160*(1-'P-Parametri'!$B$6*AK160))*(1+'1-Input'!$B$27))</f>
        <v>7355.1738725270725</v>
      </c>
      <c r="AN160" s="18">
        <f>IF($A160&gt;'1-Input'!$B$26,AP159,(AP159-AL160)*(1+'5-Roberta'!$C$4))</f>
        <v>59400.297782245376</v>
      </c>
      <c r="AO160" s="18">
        <f>IF($A160&gt;'1-Input'!$B$26,AM160,AM160-'P-Parametri'!$B$8*(AN160+AM160)+MIN(MAX(AN160,0),'P-Parametri'!$B$8*(AN160+AM160)))</f>
        <v>7355.1738725270725</v>
      </c>
      <c r="AP160" s="18">
        <f>IF($A160&gt;'1-Input'!$B$26,AN160,AN160-MIN(MAX(AN160,0),'P-Parametri'!$B$8*(AN160+AM160)))</f>
        <v>59266.786838935834</v>
      </c>
      <c r="AQ160" s="18">
        <f>IF($A160&gt;'1-Input'!$B$26,AQ159,AQ159-AL160*(1-AK160))</f>
        <v>16844.774694854565</v>
      </c>
    </row>
    <row r="161" spans="1:43">
      <c r="A161" s="10">
        <f>38</f>
        <v>38</v>
      </c>
      <c r="B161" s="11">
        <f>IF($A161&gt;'1-Input'!$B$26,0,IF(G160&lt;=0,0,MAX(0,(G160-H160)/G160)))</f>
        <v>0.71639339257883861</v>
      </c>
      <c r="C161" s="18">
        <f>IF($A161&gt;'1-Input'!$B$26,0,(MAX(0,B121-IF($A161&gt;='1-Input'!$C$12,'1-Input'!$B$12,0))-MIN(MAX(F160,0),MAX(0,B121-IF($A161&gt;='1-Input'!$C$12,'1-Input'!$B$12,0))))*(1/(1-'P-Parametri'!$B$6*B161))+MIN(MAX(0,G160-(MAX(0,B121-IF($A161&gt;='1-Input'!$C$12,'1-Input'!$B$12,0))-MIN(MAX(F160,0),MAX(0,B121-IF($A161&gt;='1-Input'!$C$12,'1-Input'!$B$12,0))))*(1/(1-'P-Parametri'!$B$6*B161))),MAX(0,1*MAX(0,B121-IF($A161&gt;='1-Input'!$C$12,'1-Input'!$B$12,0))-(F160-MIN(MAX(F160,0),MAX(0,B121-IF($A161&gt;='1-Input'!$C$12,'1-Input'!$B$12,0)))))*(1/(1-'P-Parametri'!$B$6*B161))))</f>
        <v>6880.7673411097012</v>
      </c>
      <c r="D161" s="18">
        <f>IF($A161&gt;'1-Input'!$B$26,F160,(F160-MAX(0,B121-IF($A161&gt;='1-Input'!$C$12,'1-Input'!$B$12,0))+C161*(1-'P-Parametri'!$B$6*B161))*(1+'1-Input'!$B$27))</f>
        <v>5558.9707154931493</v>
      </c>
      <c r="E161" s="18">
        <f>IF($A161&gt;'1-Input'!$B$26,G160,(G160-C161)*(1+'5-Roberta'!$C$4))</f>
        <v>197385.69895397071</v>
      </c>
      <c r="F161" s="18">
        <f>IF($A161&gt;'1-Input'!$B$26,D161,D161-'P-Parametri'!$B$8*(E161+D161)+MIN(MAX(E161,0),'P-Parametri'!$B$8*(E161+D161)))</f>
        <v>5558.9707154931493</v>
      </c>
      <c r="G161" s="18">
        <f>IF($A161&gt;'1-Input'!$B$26,E161,E161-MIN(MAX(E161,0),'P-Parametri'!$B$8*(E161+D161)))</f>
        <v>196979.80961463178</v>
      </c>
      <c r="H161" s="18">
        <f>IF($A161&gt;'1-Input'!$B$26,H160,H160-C161*(1-B161))</f>
        <v>54349.406246398365</v>
      </c>
      <c r="I161" s="11">
        <f>IF($A161&gt;'1-Input'!$B$26,0,IF(N160&lt;=0,0,MAX(0,(N160-O160)/N160)))</f>
        <v>0</v>
      </c>
      <c r="J161" s="18">
        <f>IF($A161&gt;'1-Input'!$B$26,0,(MAX(0,I121-IF($A161&gt;='1-Input'!$C$12,'1-Input'!$B$12,0))-MIN(MAX(M160,0),MAX(0,I121-IF($A161&gt;='1-Input'!$C$12,'1-Input'!$B$12,0))))*(1/(1-'P-Parametri'!$B$6*I161))+MIN(MAX(0,N160-(MAX(0,I121-IF($A161&gt;='1-Input'!$C$12,'1-Input'!$B$12,0))-MIN(MAX(M160,0),MAX(0,I121-IF($A161&gt;='1-Input'!$C$12,'1-Input'!$B$12,0))))*(1/(1-'P-Parametri'!$B$6*I161))),MAX(0,1*MAX(0,I121-IF($A161&gt;='1-Input'!$C$12,'1-Input'!$B$12,0))-(M160-MIN(MAX(M160,0),MAX(0,I121-IF($A161&gt;='1-Input'!$C$12,'1-Input'!$B$12,0)))))*(1/(1-'P-Parametri'!$B$6*I161))))</f>
        <v>10846.756992928691</v>
      </c>
      <c r="K161" s="18">
        <f>IF($A161&gt;'1-Input'!$B$26,M160,(M160-MAX(0,I121-IF($A161&gt;='1-Input'!$C$12,'1-Input'!$B$12,0))+J161*(1-'P-Parametri'!$B$6*I161))*(1+'1-Input'!$B$27))</f>
        <v>0</v>
      </c>
      <c r="L161" s="18">
        <f>IF($A161&gt;'1-Input'!$B$26,N160,(N160-J161)*(1+'5-Roberta'!$C$4))</f>
        <v>-172624.43603302329</v>
      </c>
      <c r="M161" s="18">
        <f>IF($A161&gt;'1-Input'!$B$26,K161,K161-'P-Parametri'!$B$8*(L161+K161)+MIN(MAX(L161,0),'P-Parametri'!$B$8*(L161+K161)))</f>
        <v>0</v>
      </c>
      <c r="N161" s="18">
        <f>IF($A161&gt;'1-Input'!$B$26,L161,L161-MIN(MAX(L161,0),'P-Parametri'!$B$8*(L161+K161)))</f>
        <v>-172279.18716095726</v>
      </c>
      <c r="O161" s="18">
        <f>IF($A161&gt;'1-Input'!$B$26,O160,O160-J161*(1-I161))</f>
        <v>-141252.78324818562</v>
      </c>
      <c r="P161" s="11">
        <f>IF($A161&gt;'1-Input'!$B$26,0,IF(U160&lt;=0,0,MAX(0,(U160-V160)/U160)))</f>
        <v>0.71555678905552156</v>
      </c>
      <c r="Q161" s="18">
        <f>IF($A161&gt;'1-Input'!$B$26,0,(MAX(0,P121-IF($A161&gt;='1-Input'!$C$12,'1-Input'!$B$12,0))-MIN(MAX(T160,0),MAX(0,P121-IF($A161&gt;='1-Input'!$C$12,'1-Input'!$B$12,0))))*(1/(1-'P-Parametri'!$B$6*P161))+MIN(MAX(0,U160-(MAX(0,P121-IF($A161&gt;='1-Input'!$C$12,'1-Input'!$B$12,0))-MIN(MAX(T160,0),MAX(0,P121-IF($A161&gt;='1-Input'!$C$12,'1-Input'!$B$12,0))))*(1/(1-'P-Parametri'!$B$6*P161))),MAX(0,1*MAX(0,P121-IF($A161&gt;='1-Input'!$C$12,'1-Input'!$B$12,0))-(T160-MIN(MAX(T160,0),MAX(0,P121-IF($A161&gt;='1-Input'!$C$12,'1-Input'!$B$12,0)))))*(1/(1-'P-Parametri'!$B$6*P161))))</f>
        <v>9429.5655623670682</v>
      </c>
      <c r="R161" s="18">
        <f>IF($A161&gt;'1-Input'!$B$26,T160,(T160-MAX(0,P121-IF($A161&gt;='1-Input'!$C$12,'1-Input'!$B$12,0))+Q161*(1-'P-Parametri'!$B$6*P161))*(1+'1-Input'!$B$27))</f>
        <v>7620.1807219027733</v>
      </c>
      <c r="S161" s="18">
        <f>IF($A161&gt;'1-Input'!$B$26,U160,(U160-Q161)*(1+'5-Roberta'!$C$4))</f>
        <v>30175.153528305967</v>
      </c>
      <c r="T161" s="18">
        <f>IF($A161&gt;'1-Input'!$B$26,R161,R161-'P-Parametri'!$B$8*(S161+R161)+MIN(MAX(S161,0),'P-Parametri'!$B$8*(S161+R161)))</f>
        <v>7620.1807219027733</v>
      </c>
      <c r="U161" s="18">
        <f>IF($A161&gt;'1-Input'!$B$26,S161,S161-MIN(MAX(S161,0),'P-Parametri'!$B$8*(S161+R161)))</f>
        <v>30099.562859805548</v>
      </c>
      <c r="V161" s="18">
        <f>IF($A161&gt;'1-Input'!$B$26,V160,V160-Q161*(1-P161))</f>
        <v>8333.1238449844222</v>
      </c>
      <c r="W161" s="11">
        <f>IF($A161&gt;'1-Input'!$B$26,0,IF(AB160&lt;=0,0,MAX(0,(AB160-AC160)/AB160)))</f>
        <v>0.71577580910860938</v>
      </c>
      <c r="X161" s="18">
        <f>IF($A161&gt;'1-Input'!$B$26,0,(MAX(0,W121-IF($A161&gt;='1-Input'!$C$12,'1-Input'!$B$12,0))-MIN(MAX(AA160,0),MAX(0,W121-IF($A161&gt;='1-Input'!$C$12,'1-Input'!$B$12,0))))*(1/(1-'P-Parametri'!$B$6*W161))+MIN(MAX(0,AB160-(MAX(0,W121-IF($A161&gt;='1-Input'!$C$12,'1-Input'!$B$12,0))-MIN(MAX(AA160,0),MAX(0,W121-IF($A161&gt;='1-Input'!$C$12,'1-Input'!$B$12,0))))*(1/(1-'P-Parametri'!$B$6*W161))),MAX(0,1*MAX(0,W121-IF($A161&gt;='1-Input'!$C$12,'1-Input'!$B$12,0))-(AA160-MIN(MAX(AA160,0),MAX(0,W121-IF($A161&gt;='1-Input'!$C$12,'1-Input'!$B$12,0)))))*(1/(1-'P-Parametri'!$B$6*W161))))</f>
        <v>9110.8611883300055</v>
      </c>
      <c r="Y161" s="18">
        <f>IF($A161&gt;'1-Input'!$B$26,AA160,(AA160-MAX(0,W121-IF($A161&gt;='1-Input'!$C$12,'1-Input'!$B$12,0))+X161*(1-'P-Parametri'!$B$6*W161))*(1+'1-Input'!$B$27))</f>
        <v>7362.1155905106361</v>
      </c>
      <c r="Z161" s="18">
        <f>IF($A161&gt;'1-Input'!$B$26,AB160,(AB160-X161)*(1+'5-Roberta'!$C$4))</f>
        <v>51106.382008865396</v>
      </c>
      <c r="AA161" s="18">
        <f>IF($A161&gt;'1-Input'!$B$26,Y161,Y161-'P-Parametri'!$B$8*(Z161+Y161)+MIN(MAX(Z161,0),'P-Parametri'!$B$8*(Z161+Y161)))</f>
        <v>7362.1155905106361</v>
      </c>
      <c r="AB161" s="18">
        <f>IF($A161&gt;'1-Input'!$B$26,Z161,Z161-MIN(MAX(Z161,0),'P-Parametri'!$B$8*(Z161+Y161)))</f>
        <v>50989.445013666642</v>
      </c>
      <c r="AC161" s="18">
        <f>IF($A161&gt;'1-Input'!$B$26,AC160,AC160-X161*(1-W161))</f>
        <v>14102.592306656399</v>
      </c>
      <c r="AD161" s="11">
        <f>IF($A161&gt;'1-Input'!$B$26,0,IF(AI160&lt;=0,0,MAX(0,(AI160-AJ160)/AI160)))</f>
        <v>0.7157805600863878</v>
      </c>
      <c r="AE161" s="18">
        <f>IF($A161&gt;'1-Input'!$B$26,0,(MAX(0,AD121-IF($A161&gt;='1-Input'!$C$12,'1-Input'!$B$12,0))-MIN(MAX(AH160,0),MAX(0,AD121-IF($A161&gt;='1-Input'!$C$12,'1-Input'!$B$12,0))))*(1/(1-'P-Parametri'!$B$6*AD161))+MIN(MAX(0,AI160-(MAX(0,AD121-IF($A161&gt;='1-Input'!$C$12,'1-Input'!$B$12,0))-MIN(MAX(AH160,0),MAX(0,AD121-IF($A161&gt;='1-Input'!$C$12,'1-Input'!$B$12,0))))*(1/(1-'P-Parametri'!$B$6*AD161))),MAX(0,1*MAX(0,AD121-IF($A161&gt;='1-Input'!$C$12,'1-Input'!$B$12,0))-(AH160-MIN(MAX(AH160,0),MAX(0,AD121-IF($A161&gt;='1-Input'!$C$12,'1-Input'!$B$12,0)))))*(1/(1-'P-Parametri'!$B$6*AD161))))</f>
        <v>9102.2309073988508</v>
      </c>
      <c r="AF161" s="18">
        <f>IF($A161&gt;'1-Input'!$B$26,AH160,(AH160-MAX(0,AD121-IF($A161&gt;='1-Input'!$C$12,'1-Input'!$B$12,0))+AE161*(1-'P-Parametri'!$B$6*AD161))*(1+'1-Input'!$B$27))</f>
        <v>7355.1306493328566</v>
      </c>
      <c r="AG161" s="18">
        <f>IF($A161&gt;'1-Input'!$B$26,AI160,(AI160-AE161)*(1+'5-Roberta'!$C$4))</f>
        <v>51672.943518960245</v>
      </c>
      <c r="AH161" s="18">
        <f>IF($A161&gt;'1-Input'!$B$26,AF161,AF161-'P-Parametri'!$B$8*(AG161+AF161)+MIN(MAX(AG161,0),'P-Parametri'!$B$8*(AG161+AF161)))</f>
        <v>7355.1306493328566</v>
      </c>
      <c r="AI161" s="18">
        <f>IF($A161&gt;'1-Input'!$B$26,AG161,AG161-MIN(MAX(AG161,0),'P-Parametri'!$B$8*(AG161+AF161)))</f>
        <v>51554.887370623655</v>
      </c>
      <c r="AJ161" s="18">
        <f>IF($A161&gt;'1-Input'!$B$26,AJ160,AJ160-AE161*(1-AD161))</f>
        <v>14258.694238491837</v>
      </c>
      <c r="AK161" s="11">
        <f>IF($A161&gt;'1-Input'!$B$26,0,IF(AP160&lt;=0,0,MAX(0,(AP160-AQ160)/AP160)))</f>
        <v>0.71578053082863868</v>
      </c>
      <c r="AL161" s="18">
        <f>IF($A161&gt;'1-Input'!$B$26,0,(MAX(0,AK121-IF($A161&gt;='1-Input'!$C$12,'1-Input'!$B$12,0))-MIN(MAX(AO160,0),MAX(0,AK121-IF($A161&gt;='1-Input'!$C$12,'1-Input'!$B$12,0))))*(1/(1-'P-Parametri'!$B$6*AK161))+MIN(MAX(0,AP160-(MAX(0,AK121-IF($A161&gt;='1-Input'!$C$12,'1-Input'!$B$12,0))-MIN(MAX(AO160,0),MAX(0,AK121-IF($A161&gt;='1-Input'!$C$12,'1-Input'!$B$12,0))))*(1/(1-'P-Parametri'!$B$6*AK161))),MAX(0,1*MAX(0,AK121-IF($A161&gt;='1-Input'!$C$12,'1-Input'!$B$12,0))-(AO160-MIN(MAX(AO160,0),MAX(0,AK121-IF($A161&gt;='1-Input'!$C$12,'1-Input'!$B$12,0)))))*(1/(1-'P-Parametri'!$B$6*AK161))))</f>
        <v>9102.2843125367144</v>
      </c>
      <c r="AM161" s="18">
        <f>IF($A161&gt;'1-Input'!$B$26,AO160,(AO160-MAX(0,AK121-IF($A161&gt;='1-Input'!$C$12,'1-Input'!$B$12,0))+AL161*(1-'P-Parametri'!$B$6*AK161))*(1+'1-Input'!$B$27))</f>
        <v>7355.1738725270716</v>
      </c>
      <c r="AN161" s="18">
        <f>IF($A161&gt;'1-Input'!$B$26,AP160,(AP160-AL161)*(1+'5-Roberta'!$C$4))</f>
        <v>51669.437602191094</v>
      </c>
      <c r="AO161" s="18">
        <f>IF($A161&gt;'1-Input'!$B$26,AM161,AM161-'P-Parametri'!$B$8*(AN161+AM161)+MIN(MAX(AN161,0),'P-Parametri'!$B$8*(AN161+AM161)))</f>
        <v>7355.1738725270716</v>
      </c>
      <c r="AP161" s="18">
        <f>IF($A161&gt;'1-Input'!$B$26,AN161,AN161-MIN(MAX(AN161,0),'P-Parametri'!$B$8*(AN161+AM161)))</f>
        <v>51551.38837924166</v>
      </c>
      <c r="AQ161" s="18">
        <f>IF($A161&gt;'1-Input'!$B$26,AQ160,AQ160-AL161*(1-AK161))</f>
        <v>14257.72827929857</v>
      </c>
    </row>
    <row r="162" spans="1:43">
      <c r="A162" s="10">
        <f>39</f>
        <v>39</v>
      </c>
      <c r="B162" s="11">
        <f>IF($A162&gt;'1-Input'!$B$26,0,IF(G161&lt;=0,0,MAX(0,(G161-H161)/G161)))</f>
        <v>0.7240864109234002</v>
      </c>
      <c r="C162" s="18">
        <f>IF($A162&gt;'1-Input'!$B$26,0,(MAX(0,B121-IF($A162&gt;='1-Input'!$C$12,'1-Input'!$B$12,0))-MIN(MAX(F161,0),MAX(0,B121-IF($A162&gt;='1-Input'!$C$12,'1-Input'!$B$12,0))))*(1/(1-'P-Parametri'!$B$6*B162))+MIN(MAX(0,G161-(MAX(0,B121-IF($A162&gt;='1-Input'!$C$12,'1-Input'!$B$12,0))-MIN(MAX(F161,0),MAX(0,B121-IF($A162&gt;='1-Input'!$C$12,'1-Input'!$B$12,0))))*(1/(1-'P-Parametri'!$B$6*B162))),MAX(0,1*MAX(0,B121-IF($A162&gt;='1-Input'!$C$12,'1-Input'!$B$12,0))-(F161-MIN(MAX(F161,0),MAX(0,B121-IF($A162&gt;='1-Input'!$C$12,'1-Input'!$B$12,0)))))*(1/(1-'P-Parametri'!$B$6*B162))))</f>
        <v>6897.7220899990098</v>
      </c>
      <c r="D162" s="18">
        <f>IF($A162&gt;'1-Input'!$B$26,F161,(F161-MAX(0,B121-IF($A162&gt;='1-Input'!$C$12,'1-Input'!$B$12,0))+C162*(1-'P-Parametri'!$B$6*B162))*(1+'1-Input'!$B$27))</f>
        <v>5558.9707154931493</v>
      </c>
      <c r="E162" s="18">
        <f>IF($A162&gt;'1-Input'!$B$26,G161,(G161-C162)*(1+'5-Roberta'!$C$4))</f>
        <v>195784.55015037177</v>
      </c>
      <c r="F162" s="18">
        <f>IF($A162&gt;'1-Input'!$B$26,D162,D162-'P-Parametri'!$B$8*(E162+D162)+MIN(MAX(E162,0),'P-Parametri'!$B$8*(E162+D162)))</f>
        <v>5558.9707154931493</v>
      </c>
      <c r="G162" s="18">
        <f>IF($A162&gt;'1-Input'!$B$26,E162,E162-MIN(MAX(E162,0),'P-Parametri'!$B$8*(E162+D162)))</f>
        <v>195381.86310864004</v>
      </c>
      <c r="H162" s="18">
        <f>IF($A162&gt;'1-Input'!$B$26,H161,H161-C162*(1-B162))</f>
        <v>52446.23098809379</v>
      </c>
      <c r="I162" s="11">
        <f>IF($A162&gt;'1-Input'!$B$26,0,IF(N161&lt;=0,0,MAX(0,(N161-O161)/N161)))</f>
        <v>0</v>
      </c>
      <c r="J162" s="18">
        <f>IF($A162&gt;'1-Input'!$B$26,0,(MAX(0,I121-IF($A162&gt;='1-Input'!$C$12,'1-Input'!$B$12,0))-MIN(MAX(M161,0),MAX(0,I121-IF($A162&gt;='1-Input'!$C$12,'1-Input'!$B$12,0))))*(1/(1-'P-Parametri'!$B$6*I162))+MIN(MAX(0,N161-(MAX(0,I121-IF($A162&gt;='1-Input'!$C$12,'1-Input'!$B$12,0))-MIN(MAX(M161,0),MAX(0,I121-IF($A162&gt;='1-Input'!$C$12,'1-Input'!$B$12,0))))*(1/(1-'P-Parametri'!$B$6*I162))),MAX(0,1*MAX(0,I121-IF($A162&gt;='1-Input'!$C$12,'1-Input'!$B$12,0))-(M161-MIN(MAX(M161,0),MAX(0,I121-IF($A162&gt;='1-Input'!$C$12,'1-Input'!$B$12,0)))))*(1/(1-'P-Parametri'!$B$6*I162))))</f>
        <v>10846.756992928691</v>
      </c>
      <c r="K162" s="18">
        <f>IF($A162&gt;'1-Input'!$B$26,M161,(M161-MAX(0,I121-IF($A162&gt;='1-Input'!$C$12,'1-Input'!$B$12,0))+J162*(1-'P-Parametri'!$B$6*I162))*(1+'1-Input'!$B$27))</f>
        <v>0</v>
      </c>
      <c r="L162" s="18">
        <f>IF($A162&gt;'1-Input'!$B$26,N161,(N161-J162)*(1+'5-Roberta'!$C$4))</f>
        <v>-188619.72247850252</v>
      </c>
      <c r="M162" s="18">
        <f>IF($A162&gt;'1-Input'!$B$26,K162,K162-'P-Parametri'!$B$8*(L162+K162)+MIN(MAX(L162,0),'P-Parametri'!$B$8*(L162+K162)))</f>
        <v>0</v>
      </c>
      <c r="N162" s="18">
        <f>IF($A162&gt;'1-Input'!$B$26,L162,L162-MIN(MAX(L162,0),'P-Parametri'!$B$8*(L162+K162)))</f>
        <v>-188242.48303354552</v>
      </c>
      <c r="O162" s="18">
        <f>IF($A162&gt;'1-Input'!$B$26,O161,O161-J162*(1-I162))</f>
        <v>-152099.5402411143</v>
      </c>
      <c r="P162" s="11">
        <f>IF($A162&gt;'1-Input'!$B$26,0,IF(U161&lt;=0,0,MAX(0,(U161-V161)/U161)))</f>
        <v>0.72314801102602266</v>
      </c>
      <c r="Q162" s="18">
        <f>IF($A162&gt;'1-Input'!$B$26,0,(MAX(0,P121-IF($A162&gt;='1-Input'!$C$12,'1-Input'!$B$12,0))-MIN(MAX(T161,0),MAX(0,P121-IF($A162&gt;='1-Input'!$C$12,'1-Input'!$B$12,0))))*(1/(1-'P-Parametri'!$B$6*P162))+MIN(MAX(0,U161-(MAX(0,P121-IF($A162&gt;='1-Input'!$C$12,'1-Input'!$B$12,0))-MIN(MAX(T161,0),MAX(0,P121-IF($A162&gt;='1-Input'!$C$12,'1-Input'!$B$12,0))))*(1/(1-'P-Parametri'!$B$6*P162))),MAX(0,1*MAX(0,P121-IF($A162&gt;='1-Input'!$C$12,'1-Input'!$B$12,0))-(T161-MIN(MAX(T161,0),MAX(0,P121-IF($A162&gt;='1-Input'!$C$12,'1-Input'!$B$12,0)))))*(1/(1-'P-Parametri'!$B$6*P162))))</f>
        <v>9452.4864049937987</v>
      </c>
      <c r="R162" s="18">
        <f>IF($A162&gt;'1-Input'!$B$26,T161,(T161-MAX(0,P121-IF($A162&gt;='1-Input'!$C$12,'1-Input'!$B$12,0))+Q162*(1-'P-Parametri'!$B$6*P162))*(1+'1-Input'!$B$27))</f>
        <v>7620.1807219027751</v>
      </c>
      <c r="S162" s="18">
        <f>IF($A162&gt;'1-Input'!$B$26,U161,(U161-Q162)*(1+'5-Roberta'!$C$4))</f>
        <v>21266.488748456104</v>
      </c>
      <c r="T162" s="18">
        <f>IF($A162&gt;'1-Input'!$B$26,R162,R162-'P-Parametri'!$B$8*(S162+R162)+MIN(MAX(S162,0),'P-Parametri'!$B$8*(S162+R162)))</f>
        <v>7620.1807219027751</v>
      </c>
      <c r="U162" s="18">
        <f>IF($A162&gt;'1-Input'!$B$26,S162,S162-MIN(MAX(S162,0),'P-Parametri'!$B$8*(S162+R162)))</f>
        <v>21208.715409515386</v>
      </c>
      <c r="V162" s="18">
        <f>IF($A162&gt;'1-Input'!$B$26,V161,V161-Q162*(1-P162))</f>
        <v>5716.1841830124085</v>
      </c>
      <c r="W162" s="11">
        <f>IF($A162&gt;'1-Input'!$B$26,0,IF(AB161&lt;=0,0,MAX(0,(AB161-AC161)/AB161)))</f>
        <v>0.7234213413604228</v>
      </c>
      <c r="X162" s="18">
        <f>IF($A162&gt;'1-Input'!$B$26,0,(MAX(0,W121-IF($A162&gt;='1-Input'!$C$12,'1-Input'!$B$12,0))-MIN(MAX(AA161,0),MAX(0,W121-IF($A162&gt;='1-Input'!$C$12,'1-Input'!$B$12,0))))*(1/(1-'P-Parametri'!$B$6*W162))+MIN(MAX(0,AB161-(MAX(0,W121-IF($A162&gt;='1-Input'!$C$12,'1-Input'!$B$12,0))-MIN(MAX(AA161,0),MAX(0,W121-IF($A162&gt;='1-Input'!$C$12,'1-Input'!$B$12,0))))*(1/(1-'P-Parametri'!$B$6*W162))),MAX(0,1*MAX(0,W121-IF($A162&gt;='1-Input'!$C$12,'1-Input'!$B$12,0))-(AA161-MIN(MAX(AA161,0),MAX(0,W121-IF($A162&gt;='1-Input'!$C$12,'1-Input'!$B$12,0)))))*(1/(1-'P-Parametri'!$B$6*W162))))</f>
        <v>9133.1677365054402</v>
      </c>
      <c r="Y162" s="18">
        <f>IF($A162&gt;'1-Input'!$B$26,AA161,(AA161-MAX(0,W121-IF($A162&gt;='1-Input'!$C$12,'1-Input'!$B$12,0))+X162*(1-'P-Parametri'!$B$6*W162))*(1+'1-Input'!$B$27))</f>
        <v>7362.1155905106361</v>
      </c>
      <c r="Z162" s="18">
        <f>IF($A162&gt;'1-Input'!$B$26,AB161,(AB161-X162)*(1+'5-Roberta'!$C$4))</f>
        <v>43111.965595476038</v>
      </c>
      <c r="AA162" s="18">
        <f>IF($A162&gt;'1-Input'!$B$26,Y162,Y162-'P-Parametri'!$B$8*(Z162+Y162)+MIN(MAX(Z162,0),'P-Parametri'!$B$8*(Z162+Y162)))</f>
        <v>7362.1155905106361</v>
      </c>
      <c r="AB162" s="18">
        <f>IF($A162&gt;'1-Input'!$B$26,Z162,Z162-MIN(MAX(Z162,0),'P-Parametri'!$B$8*(Z162+Y162)))</f>
        <v>43011.017433104062</v>
      </c>
      <c r="AC162" s="18">
        <f>IF($A162&gt;'1-Input'!$B$26,AC161,AC161-X162*(1-W162))</f>
        <v>11576.553024963461</v>
      </c>
      <c r="AD162" s="11">
        <f>IF($A162&gt;'1-Input'!$B$26,0,IF(AI161&lt;=0,0,MAX(0,(AI161-AJ161)/AI161)))</f>
        <v>0.72342691516349733</v>
      </c>
      <c r="AE162" s="18">
        <f>IF($A162&gt;'1-Input'!$B$26,0,(MAX(0,AD121-IF($A162&gt;='1-Input'!$C$12,'1-Input'!$B$12,0))-MIN(MAX(AH161,0),MAX(0,AD121-IF($A162&gt;='1-Input'!$C$12,'1-Input'!$B$12,0))))*(1/(1-'P-Parametri'!$B$6*AD162))+MIN(MAX(0,AI161-(MAX(0,AD121-IF($A162&gt;='1-Input'!$C$12,'1-Input'!$B$12,0))-MIN(MAX(AH161,0),MAX(0,AD121-IF($A162&gt;='1-Input'!$C$12,'1-Input'!$B$12,0))))*(1/(1-'P-Parametri'!$B$6*AD162))),MAX(0,1*MAX(0,AD121-IF($A162&gt;='1-Input'!$C$12,'1-Input'!$B$12,0))-(AH161-MIN(MAX(AH161,0),MAX(0,AD121-IF($A162&gt;='1-Input'!$C$12,'1-Input'!$B$12,0)))))*(1/(1-'P-Parametri'!$B$6*AD162))))</f>
        <v>9124.5187638300686</v>
      </c>
      <c r="AF162" s="18">
        <f>IF($A162&gt;'1-Input'!$B$26,AH161,(AH161-MAX(0,AD121-IF($A162&gt;='1-Input'!$C$12,'1-Input'!$B$12,0))+AE162*(1-'P-Parametri'!$B$6*AD162))*(1+'1-Input'!$B$27))</f>
        <v>7355.1306493328548</v>
      </c>
      <c r="AG162" s="18">
        <f>IF($A162&gt;'1-Input'!$B$26,AI161,(AI161-AE162)*(1+'5-Roberta'!$C$4))</f>
        <v>43703.279664997397</v>
      </c>
      <c r="AH162" s="18">
        <f>IF($A162&gt;'1-Input'!$B$26,AF162,AF162-'P-Parametri'!$B$8*(AG162+AF162)+MIN(MAX(AG162,0),'P-Parametri'!$B$8*(AG162+AF162)))</f>
        <v>7355.1306493328548</v>
      </c>
      <c r="AI162" s="18">
        <f>IF($A162&gt;'1-Input'!$B$26,AG162,AG162-MIN(MAX(AG162,0),'P-Parametri'!$B$8*(AG162+AF162)))</f>
        <v>43601.162844368737</v>
      </c>
      <c r="AJ162" s="18">
        <f>IF($A162&gt;'1-Input'!$B$26,AJ161,AJ161-AE162*(1-AD162))</f>
        <v>11735.097936330803</v>
      </c>
      <c r="AK162" s="11">
        <f>IF($A162&gt;'1-Input'!$B$26,0,IF(AP161&lt;=0,0,MAX(0,(AP161-AQ161)/AP161)))</f>
        <v>0.72342688087446794</v>
      </c>
      <c r="AL162" s="18">
        <f>IF($A162&gt;'1-Input'!$B$26,0,(MAX(0,AK121-IF($A162&gt;='1-Input'!$C$12,'1-Input'!$B$12,0))-MIN(MAX(AO161,0),MAX(0,AK121-IF($A162&gt;='1-Input'!$C$12,'1-Input'!$B$12,0))))*(1/(1-'P-Parametri'!$B$6*AK162))+MIN(MAX(0,AP161-(MAX(0,AK121-IF($A162&gt;='1-Input'!$C$12,'1-Input'!$B$12,0))-MIN(MAX(AO161,0),MAX(0,AK121-IF($A162&gt;='1-Input'!$C$12,'1-Input'!$B$12,0))))*(1/(1-'P-Parametri'!$B$6*AK162))),MAX(0,1*MAX(0,AK121-IF($A162&gt;='1-Input'!$C$12,'1-Input'!$B$12,0))-(AO161-MIN(MAX(AO161,0),MAX(0,AK121-IF($A162&gt;='1-Input'!$C$12,'1-Input'!$B$12,0)))))*(1/(1-'P-Parametri'!$B$6*AK162))))</f>
        <v>9124.5722848263758</v>
      </c>
      <c r="AM162" s="18">
        <f>IF($A162&gt;'1-Input'!$B$26,AO161,(AO161-MAX(0,AK121-IF($A162&gt;='1-Input'!$C$12,'1-Input'!$B$12,0))+AL162*(1-'P-Parametri'!$B$6*AK162))*(1+'1-Input'!$B$27))</f>
        <v>7355.1738725270734</v>
      </c>
      <c r="AN162" s="18">
        <f>IF($A162&gt;'1-Input'!$B$26,AP161,(AP161-AL162)*(1+'5-Roberta'!$C$4))</f>
        <v>43699.620577247741</v>
      </c>
      <c r="AO162" s="18">
        <f>IF($A162&gt;'1-Input'!$B$26,AM162,AM162-'P-Parametri'!$B$8*(AN162+AM162)+MIN(MAX(AN162,0),'P-Parametri'!$B$8*(AN162+AM162)))</f>
        <v>7355.1738725270734</v>
      </c>
      <c r="AP162" s="18">
        <f>IF($A162&gt;'1-Input'!$B$26,AN162,AN162-MIN(MAX(AN162,0),'P-Parametri'!$B$8*(AN162+AM162)))</f>
        <v>43597.510988348193</v>
      </c>
      <c r="AQ162" s="18">
        <f>IF($A162&gt;'1-Input'!$B$26,AQ161,AQ161-AL162*(1-AK162))</f>
        <v>11734.116861797756</v>
      </c>
    </row>
    <row r="163" spans="1:43">
      <c r="A163" s="10">
        <f>40</f>
        <v>40</v>
      </c>
      <c r="B163" s="11">
        <f>IF($A163&gt;'1-Input'!$B$26,0,IF(G162&lt;=0,0,MAX(0,(G162-H162)/G162)))</f>
        <v>0.73157062711121956</v>
      </c>
      <c r="C163" s="18">
        <f>IF($A163&gt;'1-Input'!$B$26,0,(MAX(0,B121-IF($A163&gt;='1-Input'!$C$12,'1-Input'!$B$12,0))-MIN(MAX(F162,0),MAX(0,B121-IF($A163&gt;='1-Input'!$C$12,'1-Input'!$B$12,0))))*(1/(1-'P-Parametri'!$B$6*B163))+MIN(MAX(0,G162-(MAX(0,B121-IF($A163&gt;='1-Input'!$C$12,'1-Input'!$B$12,0))-MIN(MAX(F162,0),MAX(0,B121-IF($A163&gt;='1-Input'!$C$12,'1-Input'!$B$12,0))))*(1/(1-'P-Parametri'!$B$6*B163))),MAX(0,1*MAX(0,B121-IF($A163&gt;='1-Input'!$C$12,'1-Input'!$B$12,0))-(F162-MIN(MAX(F162,0),MAX(0,B121-IF($A163&gt;='1-Input'!$C$12,'1-Input'!$B$12,0)))))*(1/(1-'P-Parametri'!$B$6*B163))))</f>
        <v>6914.2970342835033</v>
      </c>
      <c r="D163" s="18">
        <f>IF($A163&gt;'1-Input'!$B$26,F162,(F162-MAX(0,B121-IF($A163&gt;='1-Input'!$C$12,'1-Input'!$B$12,0))+C163*(1-'P-Parametri'!$B$6*B163))*(1+'1-Input'!$B$27))</f>
        <v>5558.9707154931493</v>
      </c>
      <c r="E163" s="18">
        <f>IF($A163&gt;'1-Input'!$B$26,G162,(G162-C163)*(1+'5-Roberta'!$C$4))</f>
        <v>194121.59305658724</v>
      </c>
      <c r="F163" s="18">
        <f>IF($A163&gt;'1-Input'!$B$26,D163,D163-'P-Parametri'!$B$8*(E163+D163)+MIN(MAX(E163,0),'P-Parametri'!$B$8*(E163+D163)))</f>
        <v>5558.9707154931493</v>
      </c>
      <c r="G163" s="18">
        <f>IF($A163&gt;'1-Input'!$B$26,E163,E163-MIN(MAX(E163,0),'P-Parametri'!$B$8*(E163+D163)))</f>
        <v>193722.23192904308</v>
      </c>
      <c r="H163" s="18">
        <f>IF($A163&gt;'1-Input'!$B$26,H162,H162-C163*(1-B163))</f>
        <v>50590.230571214313</v>
      </c>
      <c r="I163" s="11">
        <f>IF($A163&gt;'1-Input'!$B$26,0,IF(N162&lt;=0,0,MAX(0,(N162-O162)/N162)))</f>
        <v>0</v>
      </c>
      <c r="J163" s="18">
        <f>IF($A163&gt;'1-Input'!$B$26,0,(MAX(0,I121-IF($A163&gt;='1-Input'!$C$12,'1-Input'!$B$12,0))-MIN(MAX(M162,0),MAX(0,I121-IF($A163&gt;='1-Input'!$C$12,'1-Input'!$B$12,0))))*(1/(1-'P-Parametri'!$B$6*I163))+MIN(MAX(0,N162-(MAX(0,I121-IF($A163&gt;='1-Input'!$C$12,'1-Input'!$B$12,0))-MIN(MAX(M162,0),MAX(0,I121-IF($A163&gt;='1-Input'!$C$12,'1-Input'!$B$12,0))))*(1/(1-'P-Parametri'!$B$6*I163))),MAX(0,1*MAX(0,I121-IF($A163&gt;='1-Input'!$C$12,'1-Input'!$B$12,0))-(M162-MIN(MAX(M162,0),MAX(0,I121-IF($A163&gt;='1-Input'!$C$12,'1-Input'!$B$12,0)))))*(1/(1-'P-Parametri'!$B$6*I163))))</f>
        <v>10846.756992928691</v>
      </c>
      <c r="K163" s="18">
        <f>IF($A163&gt;'1-Input'!$B$26,M162,(M162-MAX(0,I121-IF($A163&gt;='1-Input'!$C$12,'1-Input'!$B$12,0))+J163*(1-'P-Parametri'!$B$6*I163))*(1+'1-Input'!$B$27))</f>
        <v>0</v>
      </c>
      <c r="L163" s="18">
        <f>IF($A163&gt;'1-Input'!$B$26,N162,(N162-J163)*(1+'5-Roberta'!$C$4))</f>
        <v>-205061.91722726842</v>
      </c>
      <c r="M163" s="18">
        <f>IF($A163&gt;'1-Input'!$B$26,K163,K163-'P-Parametri'!$B$8*(L163+K163)+MIN(MAX(L163,0),'P-Parametri'!$B$8*(L163+K163)))</f>
        <v>0</v>
      </c>
      <c r="N163" s="18">
        <f>IF($A163&gt;'1-Input'!$B$26,L163,L163-MIN(MAX(L163,0),'P-Parametri'!$B$8*(L163+K163)))</f>
        <v>-204651.79339281388</v>
      </c>
      <c r="O163" s="18">
        <f>IF($A163&gt;'1-Input'!$B$26,O162,O162-J163*(1-I163))</f>
        <v>-162946.29723404298</v>
      </c>
      <c r="P163" s="11">
        <f>IF($A163&gt;'1-Input'!$B$26,0,IF(U162&lt;=0,0,MAX(0,(U162-V162)/U162)))</f>
        <v>0.73047947163986104</v>
      </c>
      <c r="Q163" s="18">
        <f>IF($A163&gt;'1-Input'!$B$26,0,(MAX(0,P121-IF($A163&gt;='1-Input'!$C$12,'1-Input'!$B$12,0))-MIN(MAX(T162,0),MAX(0,P121-IF($A163&gt;='1-Input'!$C$12,'1-Input'!$B$12,0))))*(1/(1-'P-Parametri'!$B$6*P163))+MIN(MAX(0,U162-(MAX(0,P121-IF($A163&gt;='1-Input'!$C$12,'1-Input'!$B$12,0))-MIN(MAX(T162,0),MAX(0,P121-IF($A163&gt;='1-Input'!$C$12,'1-Input'!$B$12,0))))*(1/(1-'P-Parametri'!$B$6*P163))),MAX(0,1*MAX(0,P121-IF($A163&gt;='1-Input'!$C$12,'1-Input'!$B$12,0))-(T162-MIN(MAX(T162,0),MAX(0,P121-IF($A163&gt;='1-Input'!$C$12,'1-Input'!$B$12,0)))))*(1/(1-'P-Parametri'!$B$6*P163))))</f>
        <v>9474.7289513740998</v>
      </c>
      <c r="R163" s="18">
        <f>IF($A163&gt;'1-Input'!$B$26,T162,(T162-MAX(0,P121-IF($A163&gt;='1-Input'!$C$12,'1-Input'!$B$12,0))+Q163*(1-'P-Parametri'!$B$6*P163))*(1+'1-Input'!$B$27))</f>
        <v>7620.1807219027742</v>
      </c>
      <c r="S163" s="18">
        <f>IF($A163&gt;'1-Input'!$B$26,U162,(U162-Q163)*(1+'5-Roberta'!$C$4))</f>
        <v>12086.006051885524</v>
      </c>
      <c r="T163" s="18">
        <f>IF($A163&gt;'1-Input'!$B$26,R163,R163-'P-Parametri'!$B$8*(S163+R163)+MIN(MAX(S163,0),'P-Parametri'!$B$8*(S163+R163)))</f>
        <v>7620.1807219027742</v>
      </c>
      <c r="U163" s="18">
        <f>IF($A163&gt;'1-Input'!$B$26,S163,S163-MIN(MAX(S163,0),'P-Parametri'!$B$8*(S163+R163)))</f>
        <v>12046.593678337947</v>
      </c>
      <c r="V163" s="18">
        <f>IF($A163&gt;'1-Input'!$B$26,V162,V162-Q163*(1-P163))</f>
        <v>3162.550229968956</v>
      </c>
      <c r="W163" s="11">
        <f>IF($A163&gt;'1-Input'!$B$26,0,IF(AB162&lt;=0,0,MAX(0,(AB162-AC162)/AB162)))</f>
        <v>0.73084679889359239</v>
      </c>
      <c r="X163" s="18">
        <f>IF($A163&gt;'1-Input'!$B$26,0,(MAX(0,W121-IF($A163&gt;='1-Input'!$C$12,'1-Input'!$B$12,0))-MIN(MAX(AA162,0),MAX(0,W121-IF($A163&gt;='1-Input'!$C$12,'1-Input'!$B$12,0))))*(1/(1-'P-Parametri'!$B$6*W163))+MIN(MAX(0,AB162-(MAX(0,W121-IF($A163&gt;='1-Input'!$C$12,'1-Input'!$B$12,0))-MIN(MAX(AA162,0),MAX(0,W121-IF($A163&gt;='1-Input'!$C$12,'1-Input'!$B$12,0))))*(1/(1-'P-Parametri'!$B$6*W163))),MAX(0,1*MAX(0,W121-IF($A163&gt;='1-Input'!$C$12,'1-Input'!$B$12,0))-(AA162-MIN(MAX(AA162,0),MAX(0,W121-IF($A163&gt;='1-Input'!$C$12,'1-Input'!$B$12,0)))))*(1/(1-'P-Parametri'!$B$6*W163))))</f>
        <v>9154.9370029507409</v>
      </c>
      <c r="Y163" s="18">
        <f>IF($A163&gt;'1-Input'!$B$26,AA162,(AA162-MAX(0,W121-IF($A163&gt;='1-Input'!$C$12,'1-Input'!$B$12,0))+X163*(1-'P-Parametri'!$B$6*W163))*(1+'1-Input'!$B$27))</f>
        <v>7362.1155905106352</v>
      </c>
      <c r="Z163" s="18">
        <f>IF($A163&gt;'1-Input'!$B$26,AB162,(AB162-X163)*(1+'5-Roberta'!$C$4))</f>
        <v>34871.762843057921</v>
      </c>
      <c r="AA163" s="18">
        <f>IF($A163&gt;'1-Input'!$B$26,Y163,Y163-'P-Parametri'!$B$8*(Z163+Y163)+MIN(MAX(Z163,0),'P-Parametri'!$B$8*(Z163+Y163)))</f>
        <v>7362.1155905106352</v>
      </c>
      <c r="AB163" s="18">
        <f>IF($A163&gt;'1-Input'!$B$26,Z163,Z163-MIN(MAX(Z163,0),'P-Parametri'!$B$8*(Z163+Y163)))</f>
        <v>34787.295086190781</v>
      </c>
      <c r="AC163" s="18">
        <f>IF($A163&gt;'1-Input'!$B$26,AC162,AC162-X163*(1-W163))</f>
        <v>9112.4724246917685</v>
      </c>
      <c r="AD163" s="11">
        <f>IF($A163&gt;'1-Input'!$B$26,0,IF(AI162&lt;=0,0,MAX(0,(AI162-AJ162)/AI162)))</f>
        <v>0.73085355594256962</v>
      </c>
      <c r="AE163" s="18">
        <f>IF($A163&gt;'1-Input'!$B$26,0,(MAX(0,AD121-IF($A163&gt;='1-Input'!$C$12,'1-Input'!$B$12,0))-MIN(MAX(AH162,0),MAX(0,AD121-IF($A163&gt;='1-Input'!$C$12,'1-Input'!$B$12,0))))*(1/(1-'P-Parametri'!$B$6*AD163))+MIN(MAX(0,AI162-(MAX(0,AD121-IF($A163&gt;='1-Input'!$C$12,'1-Input'!$B$12,0))-MIN(MAX(AH162,0),MAX(0,AD121-IF($A163&gt;='1-Input'!$C$12,'1-Input'!$B$12,0))))*(1/(1-'P-Parametri'!$B$6*AD163))),MAX(0,1*MAX(0,AD121-IF($A163&gt;='1-Input'!$C$12,'1-Input'!$B$12,0))-(AH162-MIN(MAX(AH162,0),MAX(0,AD121-IF($A163&gt;='1-Input'!$C$12,'1-Input'!$B$12,0)))))*(1/(1-'P-Parametri'!$B$6*AD163))))</f>
        <v>9146.2709279324536</v>
      </c>
      <c r="AF163" s="18">
        <f>IF($A163&gt;'1-Input'!$B$26,AH162,(AH162-MAX(0,AD121-IF($A163&gt;='1-Input'!$C$12,'1-Input'!$B$12,0))+AE163*(1-'P-Parametri'!$B$6*AD163))*(1+'1-Input'!$B$27))</f>
        <v>7355.1306493328566</v>
      </c>
      <c r="AG163" s="18">
        <f>IF($A163&gt;'1-Input'!$B$26,AI162,(AI162-AE163)*(1+'5-Roberta'!$C$4))</f>
        <v>35488.538673929368</v>
      </c>
      <c r="AH163" s="18">
        <f>IF($A163&gt;'1-Input'!$B$26,AF163,AF163-'P-Parametri'!$B$8*(AG163+AF163)+MIN(MAX(AG163,0),'P-Parametri'!$B$8*(AG163+AF163)))</f>
        <v>7355.1306493328566</v>
      </c>
      <c r="AI163" s="18">
        <f>IF($A163&gt;'1-Input'!$B$26,AG163,AG163-MIN(MAX(AG163,0),'P-Parametri'!$B$8*(AG163+AF163)))</f>
        <v>35402.851335282845</v>
      </c>
      <c r="AJ163" s="18">
        <f>IF($A163&gt;'1-Input'!$B$26,AJ162,AJ162-AE163*(1-AD163))</f>
        <v>9273.4116396919289</v>
      </c>
      <c r="AK163" s="11">
        <f>IF($A163&gt;'1-Input'!$B$26,0,IF(AP162&lt;=0,0,MAX(0,(AP162-AQ162)/AP162)))</f>
        <v>0.73085351443723934</v>
      </c>
      <c r="AL163" s="18">
        <f>IF($A163&gt;'1-Input'!$B$26,0,(MAX(0,AK121-IF($A163&gt;='1-Input'!$C$12,'1-Input'!$B$12,0))-MIN(MAX(AO162,0),MAX(0,AK121-IF($A163&gt;='1-Input'!$C$12,'1-Input'!$B$12,0))))*(1/(1-'P-Parametri'!$B$6*AK163))+MIN(MAX(0,AP162-(MAX(0,AK121-IF($A163&gt;='1-Input'!$C$12,'1-Input'!$B$12,0))-MIN(MAX(AO162,0),MAX(0,AK121-IF($A163&gt;='1-Input'!$C$12,'1-Input'!$B$12,0))))*(1/(1-'P-Parametri'!$B$6*AK163))),MAX(0,1*MAX(0,AK121-IF($A163&gt;='1-Input'!$C$12,'1-Input'!$B$12,0))-(AO162-MIN(MAX(AO162,0),MAX(0,AK121-IF($A163&gt;='1-Input'!$C$12,'1-Input'!$B$12,0)))))*(1/(1-'P-Parametri'!$B$6*AK163))))</f>
        <v>9146.3245550927477</v>
      </c>
      <c r="AM163" s="18">
        <f>IF($A163&gt;'1-Input'!$B$26,AO162,(AO162-MAX(0,AK121-IF($A163&gt;='1-Input'!$C$12,'1-Input'!$B$12,0))+AL163*(1-'P-Parametri'!$B$6*AK163))*(1+'1-Input'!$B$27))</f>
        <v>7355.1738725270725</v>
      </c>
      <c r="AN163" s="18">
        <f>IF($A163&gt;'1-Input'!$B$26,AP162,(AP162-AL163)*(1+'5-Roberta'!$C$4))</f>
        <v>35484.722026253112</v>
      </c>
      <c r="AO163" s="18">
        <f>IF($A163&gt;'1-Input'!$B$26,AM163,AM163-'P-Parametri'!$B$8*(AN163+AM163)+MIN(MAX(AN163,0),'P-Parametri'!$B$8*(AN163+AM163)))</f>
        <v>7355.1738725270725</v>
      </c>
      <c r="AP163" s="18">
        <f>IF($A163&gt;'1-Input'!$B$26,AN163,AN163-MIN(MAX(AN163,0),'P-Parametri'!$B$8*(AN163+AM163)))</f>
        <v>35399.042234455548</v>
      </c>
      <c r="AQ163" s="18">
        <f>IF($A163&gt;'1-Input'!$B$26,AQ162,AQ162-AL163*(1-AK163))</f>
        <v>9272.415751978162</v>
      </c>
    </row>
    <row r="164" spans="1:43">
      <c r="A164" s="10">
        <f>41</f>
        <v>41</v>
      </c>
      <c r="B164" s="11">
        <f>IF($A164&gt;'1-Input'!$B$26,0,IF(G163&lt;=0,0,MAX(0,(G163-H163)/G163)))</f>
        <v>0.73885170500335451</v>
      </c>
      <c r="C164" s="18">
        <f>IF($A164&gt;'1-Input'!$B$26,0,(MAX(0,B121-IF($A164&gt;='1-Input'!$C$12,'1-Input'!$B$12,0))-MIN(MAX(F163,0),MAX(0,B121-IF($A164&gt;='1-Input'!$C$12,'1-Input'!$B$12,0))))*(1/(1-'P-Parametri'!$B$6*B164))+MIN(MAX(0,G163-(MAX(0,B121-IF($A164&gt;='1-Input'!$C$12,'1-Input'!$B$12,0))-MIN(MAX(F163,0),MAX(0,B121-IF($A164&gt;='1-Input'!$C$12,'1-Input'!$B$12,0))))*(1/(1-'P-Parametri'!$B$6*B164))),MAX(0,1*MAX(0,B121-IF($A164&gt;='1-Input'!$C$12,'1-Input'!$B$12,0))-(F163-MIN(MAX(F163,0),MAX(0,B121-IF($A164&gt;='1-Input'!$C$12,'1-Input'!$B$12,0)))))*(1/(1-'P-Parametri'!$B$6*B164))))</f>
        <v>6930.4987208234988</v>
      </c>
      <c r="D164" s="18">
        <f>IF($A164&gt;'1-Input'!$B$26,F163,(F163-MAX(0,B121-IF($A164&gt;='1-Input'!$C$12,'1-Input'!$B$12,0))+C164*(1-'P-Parametri'!$B$6*B164))*(1+'1-Input'!$B$27))</f>
        <v>5558.9707154931493</v>
      </c>
      <c r="E164" s="18">
        <f>IF($A164&gt;'1-Input'!$B$26,G163,(G163-C164)*(1+'5-Roberta'!$C$4))</f>
        <v>192395.48520446618</v>
      </c>
      <c r="F164" s="18">
        <f>IF($A164&gt;'1-Input'!$B$26,D164,D164-'P-Parametri'!$B$8*(E164+D164)+MIN(MAX(E164,0),'P-Parametri'!$B$8*(E164+D164)))</f>
        <v>5558.9707154931493</v>
      </c>
      <c r="G164" s="18">
        <f>IF($A164&gt;'1-Input'!$B$26,E164,E164-MIN(MAX(E164,0),'P-Parametri'!$B$8*(E164+D164)))</f>
        <v>191999.57629262627</v>
      </c>
      <c r="H164" s="18">
        <f>IF($A164&gt;'1-Input'!$B$26,H163,H163-C164*(1-B164))</f>
        <v>48780.342646794823</v>
      </c>
      <c r="I164" s="11">
        <f>IF($A164&gt;'1-Input'!$B$26,0,IF(N163&lt;=0,0,MAX(0,(N163-O163)/N163)))</f>
        <v>0</v>
      </c>
      <c r="J164" s="18">
        <f>IF($A164&gt;'1-Input'!$B$26,0,(MAX(0,I121-IF($A164&gt;='1-Input'!$C$12,'1-Input'!$B$12,0))-MIN(MAX(M163,0),MAX(0,I121-IF($A164&gt;='1-Input'!$C$12,'1-Input'!$B$12,0))))*(1/(1-'P-Parametri'!$B$6*I164))+MIN(MAX(0,N163-(MAX(0,I121-IF($A164&gt;='1-Input'!$C$12,'1-Input'!$B$12,0))-MIN(MAX(M163,0),MAX(0,I121-IF($A164&gt;='1-Input'!$C$12,'1-Input'!$B$12,0))))*(1/(1-'P-Parametri'!$B$6*I164))),MAX(0,1*MAX(0,I121-IF($A164&gt;='1-Input'!$C$12,'1-Input'!$B$12,0))-(M163-MIN(MAX(M163,0),MAX(0,I121-IF($A164&gt;='1-Input'!$C$12,'1-Input'!$B$12,0)))))*(1/(1-'P-Parametri'!$B$6*I164))))</f>
        <v>10846.756992928691</v>
      </c>
      <c r="K164" s="18">
        <f>IF($A164&gt;'1-Input'!$B$26,M163,(M163-MAX(0,I121-IF($A164&gt;='1-Input'!$C$12,'1-Input'!$B$12,0))+J164*(1-'P-Parametri'!$B$6*I164))*(1+'1-Input'!$B$27))</f>
        <v>0</v>
      </c>
      <c r="L164" s="18">
        <f>IF($A164&gt;'1-Input'!$B$26,N163,(N163-J164)*(1+'5-Roberta'!$C$4))</f>
        <v>-221963.50689731486</v>
      </c>
      <c r="M164" s="18">
        <f>IF($A164&gt;'1-Input'!$B$26,K164,K164-'P-Parametri'!$B$8*(L164+K164)+MIN(MAX(L164,0),'P-Parametri'!$B$8*(L164+K164)))</f>
        <v>0</v>
      </c>
      <c r="N164" s="18">
        <f>IF($A164&gt;'1-Input'!$B$26,L164,L164-MIN(MAX(L164,0),'P-Parametri'!$B$8*(L164+K164)))</f>
        <v>-221519.57988352023</v>
      </c>
      <c r="O164" s="18">
        <f>IF($A164&gt;'1-Input'!$B$26,O163,O163-J164*(1-I164))</f>
        <v>-173793.05422697167</v>
      </c>
      <c r="P164" s="11">
        <f>IF($A164&gt;'1-Input'!$B$26,0,IF(U163&lt;=0,0,MAX(0,(U163-V163)/U163)))</f>
        <v>0.73747348716045602</v>
      </c>
      <c r="Q164" s="18">
        <f>IF($A164&gt;'1-Input'!$B$26,0,(MAX(0,P121-IF($A164&gt;='1-Input'!$C$12,'1-Input'!$B$12,0))-MIN(MAX(T163,0),MAX(0,P121-IF($A164&gt;='1-Input'!$C$12,'1-Input'!$B$12,0))))*(1/(1-'P-Parametri'!$B$6*P164))+MIN(MAX(0,U163-(MAX(0,P121-IF($A164&gt;='1-Input'!$C$12,'1-Input'!$B$12,0))-MIN(MAX(T163,0),MAX(0,P121-IF($A164&gt;='1-Input'!$C$12,'1-Input'!$B$12,0))))*(1/(1-'P-Parametri'!$B$6*P164))),MAX(0,1*MAX(0,P121-IF($A164&gt;='1-Input'!$C$12,'1-Input'!$B$12,0))-(T163-MIN(MAX(T163,0),MAX(0,P121-IF($A164&gt;='1-Input'!$C$12,'1-Input'!$B$12,0)))))*(1/(1-'P-Parametri'!$B$6*P164))))</f>
        <v>9496.0455210071359</v>
      </c>
      <c r="R164" s="18">
        <f>IF($A164&gt;'1-Input'!$B$26,T163,(T163-MAX(0,P121-IF($A164&gt;='1-Input'!$C$12,'1-Input'!$B$12,0))+Q164*(1-'P-Parametri'!$B$6*P164))*(1+'1-Input'!$B$27))</f>
        <v>7620.1807219027714</v>
      </c>
      <c r="S164" s="18">
        <f>IF($A164&gt;'1-Input'!$B$26,U163,(U163-Q164)*(1+'5-Roberta'!$C$4))</f>
        <v>2627.0646020507361</v>
      </c>
      <c r="T164" s="18">
        <f>IF($A164&gt;'1-Input'!$B$26,R164,R164-'P-Parametri'!$B$8*(S164+R164)+MIN(MAX(S164,0),'P-Parametri'!$B$8*(S164+R164)))</f>
        <v>7620.1807219027714</v>
      </c>
      <c r="U164" s="18">
        <f>IF($A164&gt;'1-Input'!$B$26,S164,S164-MIN(MAX(S164,0),'P-Parametri'!$B$8*(S164+R164)))</f>
        <v>2606.5701114028288</v>
      </c>
      <c r="V164" s="18">
        <f>IF($A164&gt;'1-Input'!$B$26,V163,V163-Q164*(1-P164))</f>
        <v>669.58651357338204</v>
      </c>
      <c r="W164" s="11">
        <f>IF($A164&gt;'1-Input'!$B$26,0,IF(AB163&lt;=0,0,MAX(0,(AB163-AC163)/AB163)))</f>
        <v>0.73805171105961986</v>
      </c>
      <c r="X164" s="18">
        <f>IF($A164&gt;'1-Input'!$B$26,0,(MAX(0,W121-IF($A164&gt;='1-Input'!$C$12,'1-Input'!$B$12,0))-MIN(MAX(AA163,0),MAX(0,W121-IF($A164&gt;='1-Input'!$C$12,'1-Input'!$B$12,0))))*(1/(1-'P-Parametri'!$B$6*W164))+MIN(MAX(0,AB163-(MAX(0,W121-IF($A164&gt;='1-Input'!$C$12,'1-Input'!$B$12,0))-MIN(MAX(AA163,0),MAX(0,W121-IF($A164&gt;='1-Input'!$C$12,'1-Input'!$B$12,0))))*(1/(1-'P-Parametri'!$B$6*W164))),MAX(0,1*MAX(0,W121-IF($A164&gt;='1-Input'!$C$12,'1-Input'!$B$12,0))-(AA163-MIN(MAX(AA163,0),MAX(0,W121-IF($A164&gt;='1-Input'!$C$12,'1-Input'!$B$12,0)))))*(1/(1-'P-Parametri'!$B$6*W164))))</f>
        <v>9176.1591231143648</v>
      </c>
      <c r="Y164" s="18">
        <f>IF($A164&gt;'1-Input'!$B$26,AA163,(AA163-MAX(0,W121-IF($A164&gt;='1-Input'!$C$12,'1-Input'!$B$12,0))+X164*(1-'P-Parametri'!$B$6*W164))*(1+'1-Input'!$B$27))</f>
        <v>7362.115590510637</v>
      </c>
      <c r="Z164" s="18">
        <f>IF($A164&gt;'1-Input'!$B$26,AB163,(AB163-X164)*(1+'5-Roberta'!$C$4))</f>
        <v>26379.470041968711</v>
      </c>
      <c r="AA164" s="18">
        <f>IF($A164&gt;'1-Input'!$B$26,Y164,Y164-'P-Parametri'!$B$8*(Z164+Y164)+MIN(MAX(Z164,0),'P-Parametri'!$B$8*(Z164+Y164)))</f>
        <v>7362.115590510637</v>
      </c>
      <c r="AB164" s="18">
        <f>IF($A164&gt;'1-Input'!$B$26,Z164,Z164-MIN(MAX(Z164,0),'P-Parametri'!$B$8*(Z164+Y164)))</f>
        <v>26311.986870703753</v>
      </c>
      <c r="AC164" s="18">
        <f>IF($A164&gt;'1-Input'!$B$26,AC163,AC163-X164*(1-W164))</f>
        <v>6708.7932433473015</v>
      </c>
      <c r="AD164" s="11">
        <f>IF($A164&gt;'1-Input'!$B$26,0,IF(AI163&lt;=0,0,MAX(0,(AI163-AJ163)/AI163)))</f>
        <v>0.73806031746234091</v>
      </c>
      <c r="AE164" s="18">
        <f>IF($A164&gt;'1-Input'!$B$26,0,(MAX(0,AD121-IF($A164&gt;='1-Input'!$C$12,'1-Input'!$B$12,0))-MIN(MAX(AH163,0),MAX(0,AD121-IF($A164&gt;='1-Input'!$C$12,'1-Input'!$B$12,0))))*(1/(1-'P-Parametri'!$B$6*AD164))+MIN(MAX(0,AI163-(MAX(0,AD121-IF($A164&gt;='1-Input'!$C$12,'1-Input'!$B$12,0))-MIN(MAX(AH163,0),MAX(0,AD121-IF($A164&gt;='1-Input'!$C$12,'1-Input'!$B$12,0))))*(1/(1-'P-Parametri'!$B$6*AD164))),MAX(0,1*MAX(0,AD121-IF($A164&gt;='1-Input'!$C$12,'1-Input'!$B$12,0))-(AH163-MIN(MAX(AH163,0),MAX(0,AD121-IF($A164&gt;='1-Input'!$C$12,'1-Input'!$B$12,0)))))*(1/(1-'P-Parametri'!$B$6*AD164))))</f>
        <v>9167.4784600624698</v>
      </c>
      <c r="AF164" s="18">
        <f>IF($A164&gt;'1-Input'!$B$26,AH163,(AH163-MAX(0,AD121-IF($A164&gt;='1-Input'!$C$12,'1-Input'!$B$12,0))+AE164*(1-'P-Parametri'!$B$6*AD164))*(1+'1-Input'!$B$27))</f>
        <v>7355.1306493328566</v>
      </c>
      <c r="AG164" s="18">
        <f>IF($A164&gt;'1-Input'!$B$26,AI163,(AI163-AE164)*(1+'5-Roberta'!$C$4))</f>
        <v>27022.434061476986</v>
      </c>
      <c r="AH164" s="18">
        <f>IF($A164&gt;'1-Input'!$B$26,AF164,AF164-'P-Parametri'!$B$8*(AG164+AF164)+MIN(MAX(AG164,0),'P-Parametri'!$B$8*(AG164+AF164)))</f>
        <v>7355.1306493328566</v>
      </c>
      <c r="AI164" s="18">
        <f>IF($A164&gt;'1-Input'!$B$26,AG164,AG164-MIN(MAX(AG164,0),'P-Parametri'!$B$8*(AG164+AF164)))</f>
        <v>26953.678932055365</v>
      </c>
      <c r="AJ164" s="18">
        <f>IF($A164&gt;'1-Input'!$B$26,AJ163,AJ163-AE164*(1-AD164))</f>
        <v>6872.0852421923373</v>
      </c>
      <c r="AK164" s="11">
        <f>IF($A164&gt;'1-Input'!$B$26,0,IF(AP163&lt;=0,0,MAX(0,(AP163-AQ163)/AP163)))</f>
        <v>0.7380602647222787</v>
      </c>
      <c r="AL164" s="18">
        <f>IF($A164&gt;'1-Input'!$B$26,0,(MAX(0,AK121-IF($A164&gt;='1-Input'!$C$12,'1-Input'!$B$12,0))-MIN(MAX(AO163,0),MAX(0,AK121-IF($A164&gt;='1-Input'!$C$12,'1-Input'!$B$12,0))))*(1/(1-'P-Parametri'!$B$6*AK164))+MIN(MAX(0,AP163-(MAX(0,AK121-IF($A164&gt;='1-Input'!$C$12,'1-Input'!$B$12,0))-MIN(MAX(AO163,0),MAX(0,AK121-IF($A164&gt;='1-Input'!$C$12,'1-Input'!$B$12,0))))*(1/(1-'P-Parametri'!$B$6*AK164))),MAX(0,1*MAX(0,AK121-IF($A164&gt;='1-Input'!$C$12,'1-Input'!$B$12,0))-(AO163-MIN(MAX(AO163,0),MAX(0,AK121-IF($A164&gt;='1-Input'!$C$12,'1-Input'!$B$12,0)))))*(1/(1-'P-Parametri'!$B$6*AK164))))</f>
        <v>9167.5321781476869</v>
      </c>
      <c r="AM164" s="18">
        <f>IF($A164&gt;'1-Input'!$B$26,AO163,(AO163-MAX(0,AK121-IF($A164&gt;='1-Input'!$C$12,'1-Input'!$B$12,0))+AL164*(1-'P-Parametri'!$B$6*AK164))*(1+'1-Input'!$B$27))</f>
        <v>7355.1738725270725</v>
      </c>
      <c r="AN164" s="18">
        <f>IF($A164&gt;'1-Input'!$B$26,AP163,(AP163-AL164)*(1+'5-Roberta'!$C$4))</f>
        <v>27018.455357997096</v>
      </c>
      <c r="AO164" s="18">
        <f>IF($A164&gt;'1-Input'!$B$26,AM164,AM164-'P-Parametri'!$B$8*(AN164+AM164)+MIN(MAX(AN164,0),'P-Parametri'!$B$8*(AN164+AM164)))</f>
        <v>7355.1738725270725</v>
      </c>
      <c r="AP164" s="18">
        <f>IF($A164&gt;'1-Input'!$B$26,AN164,AN164-MIN(MAX(AN164,0),'P-Parametri'!$B$8*(AN164+AM164)))</f>
        <v>26949.708099536048</v>
      </c>
      <c r="AQ164" s="18">
        <f>IF($A164&gt;'1-Input'!$B$26,AQ163,AQ163-AL164*(1-AK164))</f>
        <v>6871.074800084165</v>
      </c>
    </row>
    <row r="165" spans="1:43">
      <c r="A165" s="10">
        <f>42</f>
        <v>42</v>
      </c>
      <c r="B165" s="11">
        <f>IF($A165&gt;'1-Input'!$B$26,0,IF(G164&lt;=0,0,MAX(0,(G164-H164)/G164)))</f>
        <v>0.74593515470862926</v>
      </c>
      <c r="C165" s="18">
        <f>IF($A165&gt;'1-Input'!$B$26,0,(MAX(0,B121-IF($A165&gt;='1-Input'!$C$12,'1-Input'!$B$12,0))-MIN(MAX(F164,0),MAX(0,B121-IF($A165&gt;='1-Input'!$C$12,'1-Input'!$B$12,0))))*(1/(1-'P-Parametri'!$B$6*B165))+MIN(MAX(0,G164-(MAX(0,B121-IF($A165&gt;='1-Input'!$C$12,'1-Input'!$B$12,0))-MIN(MAX(F164,0),MAX(0,B121-IF($A165&gt;='1-Input'!$C$12,'1-Input'!$B$12,0))))*(1/(1-'P-Parametri'!$B$6*B165))),MAX(0,1*MAX(0,B121-IF($A165&gt;='1-Input'!$C$12,'1-Input'!$B$12,0))-(F164-MIN(MAX(F164,0),MAX(0,B121-IF($A165&gt;='1-Input'!$C$12,'1-Input'!$B$12,0)))))*(1/(1-'P-Parametri'!$B$6*B165))))</f>
        <v>6946.3336808722488</v>
      </c>
      <c r="D165" s="18">
        <f>IF($A165&gt;'1-Input'!$B$26,F164,(F164-MAX(0,B121-IF($A165&gt;='1-Input'!$C$12,'1-Input'!$B$12,0))+C165*(1-'P-Parametri'!$B$6*B165))*(1+'1-Input'!$B$27))</f>
        <v>5558.9707154931493</v>
      </c>
      <c r="E165" s="18">
        <f>IF($A165&gt;'1-Input'!$B$26,G164,(G164-C165)*(1+'5-Roberta'!$C$4))</f>
        <v>190604.83989010664</v>
      </c>
      <c r="F165" s="18">
        <f>IF($A165&gt;'1-Input'!$B$26,D165,D165-'P-Parametri'!$B$8*(E165+D165)+MIN(MAX(E165,0),'P-Parametri'!$B$8*(E165+D165)))</f>
        <v>5558.9707154931493</v>
      </c>
      <c r="G165" s="18">
        <f>IF($A165&gt;'1-Input'!$B$26,E165,E165-MIN(MAX(E165,0),'P-Parametri'!$B$8*(E165+D165)))</f>
        <v>190212.51226889543</v>
      </c>
      <c r="H165" s="18">
        <f>IF($A165&gt;'1-Input'!$B$26,H164,H164-C165*(1-B165))</f>
        <v>47015.523454821778</v>
      </c>
      <c r="I165" s="11">
        <f>IF($A165&gt;'1-Input'!$B$26,0,IF(N164&lt;=0,0,MAX(0,(N164-O164)/N164)))</f>
        <v>0</v>
      </c>
      <c r="J165" s="18">
        <f>IF($A165&gt;'1-Input'!$B$26,0,(MAX(0,I121-IF($A165&gt;='1-Input'!$C$12,'1-Input'!$B$12,0))-MIN(MAX(M164,0),MAX(0,I121-IF($A165&gt;='1-Input'!$C$12,'1-Input'!$B$12,0))))*(1/(1-'P-Parametri'!$B$6*I165))+MIN(MAX(0,N164-(MAX(0,I121-IF($A165&gt;='1-Input'!$C$12,'1-Input'!$B$12,0))-MIN(MAX(M164,0),MAX(0,I121-IF($A165&gt;='1-Input'!$C$12,'1-Input'!$B$12,0))))*(1/(1-'P-Parametri'!$B$6*I165))),MAX(0,1*MAX(0,I121-IF($A165&gt;='1-Input'!$C$12,'1-Input'!$B$12,0))-(M164-MIN(MAX(M164,0),MAX(0,I121-IF($A165&gt;='1-Input'!$C$12,'1-Input'!$B$12,0)))))*(1/(1-'P-Parametri'!$B$6*I165))))</f>
        <v>10846.756992928691</v>
      </c>
      <c r="K165" s="18">
        <f>IF($A165&gt;'1-Input'!$B$26,M164,(M164-MAX(0,I121-IF($A165&gt;='1-Input'!$C$12,'1-Input'!$B$12,0))+J165*(1-'P-Parametri'!$B$6*I165))*(1+'1-Input'!$B$27))</f>
        <v>0</v>
      </c>
      <c r="L165" s="18">
        <f>IF($A165&gt;'1-Input'!$B$26,N164,(N164-J165)*(1+'5-Roberta'!$C$4))</f>
        <v>-239337.32698274238</v>
      </c>
      <c r="M165" s="18">
        <f>IF($A165&gt;'1-Input'!$B$26,K165,K165-'P-Parametri'!$B$8*(L165+K165)+MIN(MAX(L165,0),'P-Parametri'!$B$8*(L165+K165)))</f>
        <v>0</v>
      </c>
      <c r="N165" s="18">
        <f>IF($A165&gt;'1-Input'!$B$26,L165,L165-MIN(MAX(L165,0),'P-Parametri'!$B$8*(L165+K165)))</f>
        <v>-238858.65232877689</v>
      </c>
      <c r="O165" s="18">
        <f>IF($A165&gt;'1-Input'!$B$26,O164,O164-J165*(1-I165))</f>
        <v>-184639.81121990035</v>
      </c>
      <c r="P165" s="11">
        <f>IF($A165&gt;'1-Input'!$B$26,0,IF(U164&lt;=0,0,MAX(0,(U164-V164)/U164)))</f>
        <v>0.74311586300933319</v>
      </c>
      <c r="Q165" s="18">
        <f>IF($A165&gt;'1-Input'!$B$26,0,(MAX(0,P121-IF($A165&gt;='1-Input'!$C$12,'1-Input'!$B$12,0))-MIN(MAX(T164,0),MAX(0,P121-IF($A165&gt;='1-Input'!$C$12,'1-Input'!$B$12,0))))*(1/(1-'P-Parametri'!$B$6*P165))+MIN(MAX(0,U164-(MAX(0,P121-IF($A165&gt;='1-Input'!$C$12,'1-Input'!$B$12,0))-MIN(MAX(T164,0),MAX(0,P121-IF($A165&gt;='1-Input'!$C$12,'1-Input'!$B$12,0))))*(1/(1-'P-Parametri'!$B$6*P165))),MAX(0,1*MAX(0,P121-IF($A165&gt;='1-Input'!$C$12,'1-Input'!$B$12,0))-(T164-MIN(MAX(T164,0),MAX(0,P121-IF($A165&gt;='1-Input'!$C$12,'1-Input'!$B$12,0)))))*(1/(1-'P-Parametri'!$B$6*P165))))</f>
        <v>2606.5701114028288</v>
      </c>
      <c r="R165" s="18">
        <f>IF($A165&gt;'1-Input'!$B$26,T164,(T164-MAX(0,P121-IF($A165&gt;='1-Input'!$C$12,'1-Input'!$B$12,0))+Q165*(1-'P-Parametri'!$B$6*P165))*(1+'1-Input'!$B$27))</f>
        <v>2067.9510896148386</v>
      </c>
      <c r="S165" s="18">
        <f>IF($A165&gt;'1-Input'!$B$26,U164,(U164-Q165)*(1+'5-Roberta'!$C$4))</f>
        <v>0</v>
      </c>
      <c r="T165" s="18">
        <f>IF($A165&gt;'1-Input'!$B$26,R165,R165-'P-Parametri'!$B$8*(S165+R165)+MIN(MAX(S165,0),'P-Parametri'!$B$8*(S165+R165)))</f>
        <v>2063.815187435609</v>
      </c>
      <c r="U165" s="18">
        <f>IF($A165&gt;'1-Input'!$B$26,S165,S165-MIN(MAX(S165,0),'P-Parametri'!$B$8*(S165+R165)))</f>
        <v>0</v>
      </c>
      <c r="V165" s="18">
        <f>IF($A165&gt;'1-Input'!$B$26,V164,V164-Q165*(1-P165))</f>
        <v>1.1368683772161603E-13</v>
      </c>
      <c r="W165" s="11">
        <f>IF($A165&gt;'1-Input'!$B$26,0,IF(AB164&lt;=0,0,MAX(0,(AB164-AC164)/AB164)))</f>
        <v>0.74502901372237318</v>
      </c>
      <c r="X165" s="18">
        <f>IF($A165&gt;'1-Input'!$B$26,0,(MAX(0,W121-IF($A165&gt;='1-Input'!$C$12,'1-Input'!$B$12,0))-MIN(MAX(AA164,0),MAX(0,W121-IF($A165&gt;='1-Input'!$C$12,'1-Input'!$B$12,0))))*(1/(1-'P-Parametri'!$B$6*W165))+MIN(MAX(0,AB164-(MAX(0,W121-IF($A165&gt;='1-Input'!$C$12,'1-Input'!$B$12,0))-MIN(MAX(AA164,0),MAX(0,W121-IF($A165&gt;='1-Input'!$C$12,'1-Input'!$B$12,0))))*(1/(1-'P-Parametri'!$B$6*W165))),MAX(0,1*MAX(0,W121-IF($A165&gt;='1-Input'!$C$12,'1-Input'!$B$12,0))-(AA164-MIN(MAX(AA164,0),MAX(0,W121-IF($A165&gt;='1-Input'!$C$12,'1-Input'!$B$12,0)))))*(1/(1-'P-Parametri'!$B$6*W165))))</f>
        <v>9196.8048058724307</v>
      </c>
      <c r="Y165" s="18">
        <f>IF($A165&gt;'1-Input'!$B$26,AA164,(AA164-MAX(0,W121-IF($A165&gt;='1-Input'!$C$12,'1-Input'!$B$12,0))+X165*(1-'P-Parametri'!$B$6*W165))*(1+'1-Input'!$B$27))</f>
        <v>7362.1155905106352</v>
      </c>
      <c r="Z165" s="18">
        <f>IF($A165&gt;'1-Input'!$B$26,AB164,(AB164-X165)*(1+'5-Roberta'!$C$4))</f>
        <v>17628.637526776263</v>
      </c>
      <c r="AA165" s="18">
        <f>IF($A165&gt;'1-Input'!$B$26,Y165,Y165-'P-Parametri'!$B$8*(Z165+Y165)+MIN(MAX(Z165,0),'P-Parametri'!$B$8*(Z165+Y165)))</f>
        <v>7362.1155905106352</v>
      </c>
      <c r="AB165" s="18">
        <f>IF($A165&gt;'1-Input'!$B$26,Z165,Z165-MIN(MAX(Z165,0),'P-Parametri'!$B$8*(Z165+Y165)))</f>
        <v>17578.65602054169</v>
      </c>
      <c r="AC165" s="18">
        <f>IF($A165&gt;'1-Input'!$B$26,AC164,AC164-X165*(1-W165))</f>
        <v>4363.8748513911896</v>
      </c>
      <c r="AD165" s="11">
        <f>IF($A165&gt;'1-Input'!$B$26,0,IF(AI164&lt;=0,0,MAX(0,(AI164-AJ164)/AI164)))</f>
        <v>0.74504091780882897</v>
      </c>
      <c r="AE165" s="18">
        <f>IF($A165&gt;'1-Input'!$B$26,0,(MAX(0,AD121-IF($A165&gt;='1-Input'!$C$12,'1-Input'!$B$12,0))-MIN(MAX(AH164,0),MAX(0,AD121-IF($A165&gt;='1-Input'!$C$12,'1-Input'!$B$12,0))))*(1/(1-'P-Parametri'!$B$6*AD165))+MIN(MAX(0,AI164-(MAX(0,AD121-IF($A165&gt;='1-Input'!$C$12,'1-Input'!$B$12,0))-MIN(MAX(AH164,0),MAX(0,AD121-IF($A165&gt;='1-Input'!$C$12,'1-Input'!$B$12,0))))*(1/(1-'P-Parametri'!$B$6*AD165))),MAX(0,1*MAX(0,AD121-IF($A165&gt;='1-Input'!$C$12,'1-Input'!$B$12,0))-(AH164-MIN(MAX(AH164,0),MAX(0,AD121-IF($A165&gt;='1-Input'!$C$12,'1-Input'!$B$12,0)))))*(1/(1-'P-Parametri'!$B$6*AD165))))</f>
        <v>9188.1144397231292</v>
      </c>
      <c r="AF165" s="18">
        <f>IF($A165&gt;'1-Input'!$B$26,AH164,(AH164-MAX(0,AD121-IF($A165&gt;='1-Input'!$C$12,'1-Input'!$B$12,0))+AE165*(1-'P-Parametri'!$B$6*AD165))*(1+'1-Input'!$B$27))</f>
        <v>7355.1306493328566</v>
      </c>
      <c r="AG165" s="18">
        <f>IF($A165&gt;'1-Input'!$B$26,AI164,(AI164-AE165)*(1+'5-Roberta'!$C$4))</f>
        <v>18298.531427102203</v>
      </c>
      <c r="AH165" s="18">
        <f>IF($A165&gt;'1-Input'!$B$26,AF165,AF165-'P-Parametri'!$B$8*(AG165+AF165)+MIN(MAX(AG165,0),'P-Parametri'!$B$8*(AG165+AF165)))</f>
        <v>7355.1306493328566</v>
      </c>
      <c r="AI165" s="18">
        <f>IF($A165&gt;'1-Input'!$B$26,AG165,AG165-MIN(MAX(AG165,0),'P-Parametri'!$B$8*(AG165+AF165)))</f>
        <v>18247.224102949334</v>
      </c>
      <c r="AJ165" s="18">
        <f>IF($A165&gt;'1-Input'!$B$26,AJ164,AJ164-AE165*(1-AD165))</f>
        <v>4529.4920175730822</v>
      </c>
      <c r="AK165" s="11">
        <f>IF($A165&gt;'1-Input'!$B$26,0,IF(AP164&lt;=0,0,MAX(0,(AP164-AQ164)/AP164)))</f>
        <v>0.74504084516587188</v>
      </c>
      <c r="AL165" s="18">
        <f>IF($A165&gt;'1-Input'!$B$26,0,(MAX(0,AK121-IF($A165&gt;='1-Input'!$C$12,'1-Input'!$B$12,0))-MIN(MAX(AO164,0),MAX(0,AK121-IF($A165&gt;='1-Input'!$C$12,'1-Input'!$B$12,0))))*(1/(1-'P-Parametri'!$B$6*AK165))+MIN(MAX(0,AP164-(MAX(0,AK121-IF($A165&gt;='1-Input'!$C$12,'1-Input'!$B$12,0))-MIN(MAX(AO164,0),MAX(0,AK121-IF($A165&gt;='1-Input'!$C$12,'1-Input'!$B$12,0))))*(1/(1-'P-Parametri'!$B$6*AK165))),MAX(0,1*MAX(0,AK121-IF($A165&gt;='1-Input'!$C$12,'1-Input'!$B$12,0))-(AO164-MIN(MAX(AO164,0),MAX(0,AK121-IF($A165&gt;='1-Input'!$C$12,'1-Input'!$B$12,0)))))*(1/(1-'P-Parametri'!$B$6*AK165))))</f>
        <v>9188.1682194071964</v>
      </c>
      <c r="AM165" s="18">
        <f>IF($A165&gt;'1-Input'!$B$26,AO164,(AO164-MAX(0,AK121-IF($A165&gt;='1-Input'!$C$12,'1-Input'!$B$12,0))+AL165*(1-'P-Parametri'!$B$6*AK165))*(1+'1-Input'!$B$27))</f>
        <v>7355.1738725270725</v>
      </c>
      <c r="AN165" s="18">
        <f>IF($A165&gt;'1-Input'!$B$26,AP164,(AP164-AL165)*(1+'5-Roberta'!$C$4))</f>
        <v>18294.386076532719</v>
      </c>
      <c r="AO165" s="18">
        <f>IF($A165&gt;'1-Input'!$B$26,AM165,AM165-'P-Parametri'!$B$8*(AN165+AM165)+MIN(MAX(AN165,0),'P-Parametri'!$B$8*(AN165+AM165)))</f>
        <v>7355.1738725270725</v>
      </c>
      <c r="AP165" s="18">
        <f>IF($A165&gt;'1-Input'!$B$26,AN165,AN165-MIN(MAX(AN165,0),'P-Parametri'!$B$8*(AN165+AM165)))</f>
        <v>18243.086956634601</v>
      </c>
      <c r="AQ165" s="18">
        <f>IF($A165&gt;'1-Input'!$B$26,AQ164,AQ164-AL165*(1-AK165))</f>
        <v>4528.4671963903102</v>
      </c>
    </row>
    <row r="166" spans="1:43">
      <c r="A166" s="10">
        <f>43</f>
        <v>43</v>
      </c>
      <c r="B166" s="11">
        <f>IF($A166&gt;'1-Input'!$B$26,0,IF(G165&lt;=0,0,MAX(0,(G165-H165)/G165)))</f>
        <v>0.75282633674299027</v>
      </c>
      <c r="C166" s="18">
        <f>IF($A166&gt;'1-Input'!$B$26,0,(MAX(0,B121-IF($A166&gt;='1-Input'!$C$12,'1-Input'!$B$12,0))-MIN(MAX(F165,0),MAX(0,B121-IF($A166&gt;='1-Input'!$C$12,'1-Input'!$B$12,0))))*(1/(1-'P-Parametri'!$B$6*B166))+MIN(MAX(0,G165-(MAX(0,B121-IF($A166&gt;='1-Input'!$C$12,'1-Input'!$B$12,0))-MIN(MAX(F165,0),MAX(0,B121-IF($A166&gt;='1-Input'!$C$12,'1-Input'!$B$12,0))))*(1/(1-'P-Parametri'!$B$6*B166))),MAX(0,1*MAX(0,B121-IF($A166&gt;='1-Input'!$C$12,'1-Input'!$B$12,0))-(F165-MIN(MAX(F165,0),MAX(0,B121-IF($A166&gt;='1-Input'!$C$12,'1-Input'!$B$12,0)))))*(1/(1-'P-Parametri'!$B$6*B166))))</f>
        <v>6961.8084244035026</v>
      </c>
      <c r="D166" s="18">
        <f>IF($A166&gt;'1-Input'!$B$26,F165,(F165-MAX(0,B121-IF($A166&gt;='1-Input'!$C$12,'1-Input'!$B$12,0))+C166*(1-'P-Parametri'!$B$6*B166))*(1+'1-Input'!$B$27))</f>
        <v>5558.9707154931493</v>
      </c>
      <c r="E166" s="18">
        <f>IF($A166&gt;'1-Input'!$B$26,G165,(G165-C166)*(1+'5-Roberta'!$C$4))</f>
        <v>188748.22495982668</v>
      </c>
      <c r="F166" s="18">
        <f>IF($A166&gt;'1-Input'!$B$26,D166,D166-'P-Parametri'!$B$8*(E166+D166)+MIN(MAX(E166,0),'P-Parametri'!$B$8*(E166+D166)))</f>
        <v>5558.9707154931493</v>
      </c>
      <c r="G166" s="18">
        <f>IF($A166&gt;'1-Input'!$B$26,E166,E166-MIN(MAX(E166,0),'P-Parametri'!$B$8*(E166+D166)))</f>
        <v>188359.61056847603</v>
      </c>
      <c r="H166" s="18">
        <f>IF($A166&gt;'1-Input'!$B$26,H165,H165-C166*(1-B166))</f>
        <v>45294.747763668456</v>
      </c>
      <c r="I166" s="11">
        <f>IF($A166&gt;'1-Input'!$B$26,0,IF(N165&lt;=0,0,MAX(0,(N165-O165)/N165)))</f>
        <v>0</v>
      </c>
      <c r="J166" s="18">
        <f>IF($A166&gt;'1-Input'!$B$26,0,(MAX(0,I121-IF($A166&gt;='1-Input'!$C$12,'1-Input'!$B$12,0))-MIN(MAX(M165,0),MAX(0,I121-IF($A166&gt;='1-Input'!$C$12,'1-Input'!$B$12,0))))*(1/(1-'P-Parametri'!$B$6*I166))+MIN(MAX(0,N165-(MAX(0,I121-IF($A166&gt;='1-Input'!$C$12,'1-Input'!$B$12,0))-MIN(MAX(M165,0),MAX(0,I121-IF($A166&gt;='1-Input'!$C$12,'1-Input'!$B$12,0))))*(1/(1-'P-Parametri'!$B$6*I166))),MAX(0,1*MAX(0,I121-IF($A166&gt;='1-Input'!$C$12,'1-Input'!$B$12,0))-(M165-MIN(MAX(M165,0),MAX(0,I121-IF($A166&gt;='1-Input'!$C$12,'1-Input'!$B$12,0)))))*(1/(1-'P-Parametri'!$B$6*I166))))</f>
        <v>10846.756992928691</v>
      </c>
      <c r="K166" s="18">
        <f>IF($A166&gt;'1-Input'!$B$26,M165,(M165-MAX(0,I121-IF($A166&gt;='1-Input'!$C$12,'1-Input'!$B$12,0))+J166*(1-'P-Parametri'!$B$6*I166))*(1+'1-Input'!$B$27))</f>
        <v>0</v>
      </c>
      <c r="L166" s="18">
        <f>IF($A166&gt;'1-Input'!$B$26,N165,(N165-J166)*(1+'5-Roberta'!$C$4))</f>
        <v>-257196.57160135676</v>
      </c>
      <c r="M166" s="18">
        <f>IF($A166&gt;'1-Input'!$B$26,K166,K166-'P-Parametri'!$B$8*(L166+K166)+MIN(MAX(L166,0),'P-Parametri'!$B$8*(L166+K166)))</f>
        <v>0</v>
      </c>
      <c r="N166" s="18">
        <f>IF($A166&gt;'1-Input'!$B$26,L166,L166-MIN(MAX(L166,0),'P-Parametri'!$B$8*(L166+K166)))</f>
        <v>-256682.17845815406</v>
      </c>
      <c r="O166" s="18">
        <f>IF($A166&gt;'1-Input'!$B$26,O165,O165-J166*(1-I166))</f>
        <v>-195486.56821282904</v>
      </c>
      <c r="P166" s="11">
        <f>IF($A166&gt;'1-Input'!$B$26,0,IF(U165&lt;=0,0,MAX(0,(U165-V165)/U165)))</f>
        <v>0</v>
      </c>
      <c r="Q166" s="18">
        <f>IF($A166&gt;'1-Input'!$B$26,0,(MAX(0,P121-IF($A166&gt;='1-Input'!$C$12,'1-Input'!$B$12,0))-MIN(MAX(T165,0),MAX(0,P121-IF($A166&gt;='1-Input'!$C$12,'1-Input'!$B$12,0))))*(1/(1-'P-Parametri'!$B$6*P166))+MIN(MAX(0,U165-(MAX(0,P121-IF($A166&gt;='1-Input'!$C$12,'1-Input'!$B$12,0))-MIN(MAX(T165,0),MAX(0,P121-IF($A166&gt;='1-Input'!$C$12,'1-Input'!$B$12,0))))*(1/(1-'P-Parametri'!$B$6*P166))),MAX(0,1*MAX(0,P121-IF($A166&gt;='1-Input'!$C$12,'1-Input'!$B$12,0))-(T165-MIN(MAX(T165,0),MAX(0,P121-IF($A166&gt;='1-Input'!$C$12,'1-Input'!$B$12,0)))))*(1/(1-'P-Parametri'!$B$6*P166))))</f>
        <v>5583.8972994198439</v>
      </c>
      <c r="R166" s="18">
        <f>IF($A166&gt;'1-Input'!$B$26,T165,(T165-MAX(0,P121-IF($A166&gt;='1-Input'!$C$12,'1-Input'!$B$12,0))+Q166*(1-'P-Parametri'!$B$6*P166))*(1+'1-Input'!$B$27))</f>
        <v>0</v>
      </c>
      <c r="S166" s="18">
        <f>IF($A166&gt;'1-Input'!$B$26,U165,(U165-Q166)*(1+'5-Roberta'!$C$4))</f>
        <v>-5751.4142184024395</v>
      </c>
      <c r="T166" s="18">
        <f>IF($A166&gt;'1-Input'!$B$26,R166,R166-'P-Parametri'!$B$8*(S166+R166)+MIN(MAX(S166,0),'P-Parametri'!$B$8*(S166+R166)))</f>
        <v>0</v>
      </c>
      <c r="U166" s="18">
        <f>IF($A166&gt;'1-Input'!$B$26,S166,S166-MIN(MAX(S166,0),'P-Parametri'!$B$8*(S166+R166)))</f>
        <v>-5739.911389965635</v>
      </c>
      <c r="V166" s="18">
        <f>IF($A166&gt;'1-Input'!$B$26,V165,V165-Q166*(1-P166))</f>
        <v>-5583.8972994198439</v>
      </c>
      <c r="W166" s="11">
        <f>IF($A166&gt;'1-Input'!$B$26,0,IF(AB165&lt;=0,0,MAX(0,(AB165-AC165)/AB165)))</f>
        <v>0.7517515078347432</v>
      </c>
      <c r="X166" s="18">
        <f>IF($A166&gt;'1-Input'!$B$26,0,(MAX(0,W121-IF($A166&gt;='1-Input'!$C$12,'1-Input'!$B$12,0))-MIN(MAX(AA165,0),MAX(0,W121-IF($A166&gt;='1-Input'!$C$12,'1-Input'!$B$12,0))))*(1/(1-'P-Parametri'!$B$6*W166))+MIN(MAX(0,AB165-(MAX(0,W121-IF($A166&gt;='1-Input'!$C$12,'1-Input'!$B$12,0))-MIN(MAX(AA165,0),MAX(0,W121-IF($A166&gt;='1-Input'!$C$12,'1-Input'!$B$12,0))))*(1/(1-'P-Parametri'!$B$6*W166))),MAX(0,1*MAX(0,W121-IF($A166&gt;='1-Input'!$C$12,'1-Input'!$B$12,0))-(AA165-MIN(MAX(AA165,0),MAX(0,W121-IF($A166&gt;='1-Input'!$C$12,'1-Input'!$B$12,0)))))*(1/(1-'P-Parametri'!$B$6*W166))))</f>
        <v>9216.7845820620023</v>
      </c>
      <c r="Y166" s="18">
        <f>IF($A166&gt;'1-Input'!$B$26,AA165,(AA165-MAX(0,W121-IF($A166&gt;='1-Input'!$C$12,'1-Input'!$B$12,0))+X166*(1-'P-Parametri'!$B$6*W166))*(1+'1-Input'!$B$27))</f>
        <v>7362.1155905106361</v>
      </c>
      <c r="Z166" s="18">
        <f>IF($A166&gt;'1-Input'!$B$26,AB165,(AB165-X166)*(1+'5-Roberta'!$C$4))</f>
        <v>8612.7275816340789</v>
      </c>
      <c r="AA166" s="18">
        <f>IF($A166&gt;'1-Input'!$B$26,Y166,Y166-'P-Parametri'!$B$8*(Z166+Y166)+MIN(MAX(Z166,0),'P-Parametri'!$B$8*(Z166+Y166)))</f>
        <v>7362.1155905106361</v>
      </c>
      <c r="AB166" s="18">
        <f>IF($A166&gt;'1-Input'!$B$26,Z166,Z166-MIN(MAX(Z166,0),'P-Parametri'!$B$8*(Z166+Y166)))</f>
        <v>8580.7778952897897</v>
      </c>
      <c r="AC166" s="18">
        <f>IF($A166&gt;'1-Input'!$B$26,AC165,AC165-X166*(1-W166))</f>
        <v>2075.821976282311</v>
      </c>
      <c r="AD166" s="11">
        <f>IF($A166&gt;'1-Input'!$B$26,0,IF(AI165&lt;=0,0,MAX(0,(AI165-AJ165)/AI165)))</f>
        <v>0.75177089994521573</v>
      </c>
      <c r="AE166" s="18">
        <f>IF($A166&gt;'1-Input'!$B$26,0,(MAX(0,AD121-IF($A166&gt;='1-Input'!$C$12,'1-Input'!$B$12,0))-MIN(MAX(AH165,0),MAX(0,AD121-IF($A166&gt;='1-Input'!$C$12,'1-Input'!$B$12,0))))*(1/(1-'P-Parametri'!$B$6*AD166))+MIN(MAX(0,AI165-(MAX(0,AD121-IF($A166&gt;='1-Input'!$C$12,'1-Input'!$B$12,0))-MIN(MAX(AH165,0),MAX(0,AD121-IF($A166&gt;='1-Input'!$C$12,'1-Input'!$B$12,0))))*(1/(1-'P-Parametri'!$B$6*AD166))),MAX(0,1*MAX(0,AD121-IF($A166&gt;='1-Input'!$C$12,'1-Input'!$B$12,0))-(AH165-MIN(MAX(AH165,0),MAX(0,AD121-IF($A166&gt;='1-Input'!$C$12,'1-Input'!$B$12,0)))))*(1/(1-'P-Parametri'!$B$6*AD166))))</f>
        <v>9208.0976955519436</v>
      </c>
      <c r="AF166" s="18">
        <f>IF($A166&gt;'1-Input'!$B$26,AH165,(AH165-MAX(0,AD121-IF($A166&gt;='1-Input'!$C$12,'1-Input'!$B$12,0))+AE166*(1-'P-Parametri'!$B$6*AD166))*(1+'1-Input'!$B$27))</f>
        <v>7355.1306493328557</v>
      </c>
      <c r="AG166" s="18">
        <f>IF($A166&gt;'1-Input'!$B$26,AI165,(AI165-AE166)*(1+'5-Roberta'!$C$4))</f>
        <v>9310.3001996193125</v>
      </c>
      <c r="AH166" s="18">
        <f>IF($A166&gt;'1-Input'!$B$26,AF166,AF166-'P-Parametri'!$B$8*(AG166+AF166)+MIN(MAX(AG166,0),'P-Parametri'!$B$8*(AG166+AF166)))</f>
        <v>7355.1306493328557</v>
      </c>
      <c r="AI166" s="18">
        <f>IF($A166&gt;'1-Input'!$B$26,AG166,AG166-MIN(MAX(AG166,0),'P-Parametri'!$B$8*(AG166+AF166)))</f>
        <v>9276.9693379214077</v>
      </c>
      <c r="AJ166" s="18">
        <f>IF($A166&gt;'1-Input'!$B$26,AJ165,AJ165-AE166*(1-AD166))</f>
        <v>2243.7742133896904</v>
      </c>
      <c r="AK166" s="11">
        <f>IF($A166&gt;'1-Input'!$B$26,0,IF(AP165&lt;=0,0,MAX(0,(AP165-AQ165)/AP165)))</f>
        <v>0.75177078269950315</v>
      </c>
      <c r="AL166" s="18">
        <f>IF($A166&gt;'1-Input'!$B$26,0,(MAX(0,AK121-IF($A166&gt;='1-Input'!$C$12,'1-Input'!$B$12,0))-MIN(MAX(AO165,0),MAX(0,AK121-IF($A166&gt;='1-Input'!$C$12,'1-Input'!$B$12,0))))*(1/(1-'P-Parametri'!$B$6*AK166))+MIN(MAX(0,AP165-(MAX(0,AK121-IF($A166&gt;='1-Input'!$C$12,'1-Input'!$B$12,0))-MIN(MAX(AO165,0),MAX(0,AK121-IF($A166&gt;='1-Input'!$C$12,'1-Input'!$B$12,0))))*(1/(1-'P-Parametri'!$B$6*AK166))),MAX(0,1*MAX(0,AK121-IF($A166&gt;='1-Input'!$C$12,'1-Input'!$B$12,0))-(AO165-MIN(MAX(AO165,0),MAX(0,AK121-IF($A166&gt;='1-Input'!$C$12,'1-Input'!$B$12,0)))))*(1/(1-'P-Parametri'!$B$6*AK166))))</f>
        <v>9208.1514590052302</v>
      </c>
      <c r="AM166" s="18">
        <f>IF($A166&gt;'1-Input'!$B$26,AO165,(AO165-MAX(0,AK121-IF($A166&gt;='1-Input'!$C$12,'1-Input'!$B$12,0))+AL166*(1-'P-Parametri'!$B$6*AK166))*(1+'1-Input'!$B$27))</f>
        <v>7355.1738725270725</v>
      </c>
      <c r="AN166" s="18">
        <f>IF($A166&gt;'1-Input'!$B$26,AP165,(AP165-AL166)*(1+'5-Roberta'!$C$4))</f>
        <v>9305.9835625582527</v>
      </c>
      <c r="AO166" s="18">
        <f>IF($A166&gt;'1-Input'!$B$26,AM166,AM166-'P-Parametri'!$B$8*(AN166+AM166)+MIN(MAX(AN166,0),'P-Parametri'!$B$8*(AN166+AM166)))</f>
        <v>7355.1738725270725</v>
      </c>
      <c r="AP166" s="18">
        <f>IF($A166&gt;'1-Input'!$B$26,AN166,AN166-MIN(MAX(AN166,0),'P-Parametri'!$B$8*(AN166+AM166)))</f>
        <v>9272.6612476880819</v>
      </c>
      <c r="AQ166" s="18">
        <f>IF($A166&gt;'1-Input'!$B$26,AQ165,AQ165-AL166*(1-AK166))</f>
        <v>2242.7349669370137</v>
      </c>
    </row>
    <row r="167" spans="1:43">
      <c r="A167" s="10">
        <f>44</f>
        <v>44</v>
      </c>
      <c r="B167" s="11">
        <f>IF($A167&gt;'1-Input'!$B$26,0,IF(G166&lt;=0,0,MAX(0,(G166-H166)/G166)))</f>
        <v>0.75953046607514596</v>
      </c>
      <c r="C167" s="18">
        <f>IF($A167&gt;'1-Input'!$B$26,0,(MAX(0,B121-IF($A167&gt;='1-Input'!$C$12,'1-Input'!$B$12,0))-MIN(MAX(F166,0),MAX(0,B121-IF($A167&gt;='1-Input'!$C$12,'1-Input'!$B$12,0))))*(1/(1-'P-Parametri'!$B$6*B167))+MIN(MAX(0,G166-(MAX(0,B121-IF($A167&gt;='1-Input'!$C$12,'1-Input'!$B$12,0))-MIN(MAX(F166,0),MAX(0,B121-IF($A167&gt;='1-Input'!$C$12,'1-Input'!$B$12,0))))*(1/(1-'P-Parametri'!$B$6*B167))),MAX(0,1*MAX(0,B121-IF($A167&gt;='1-Input'!$C$12,'1-Input'!$B$12,0))-(F166-MIN(MAX(F166,0),MAX(0,B121-IF($A167&gt;='1-Input'!$C$12,'1-Input'!$B$12,0)))))*(1/(1-'P-Parametri'!$B$6*B167))))</f>
        <v>6976.9294347490204</v>
      </c>
      <c r="D167" s="18">
        <f>IF($A167&gt;'1-Input'!$B$26,F166,(F166-MAX(0,B121-IF($A167&gt;='1-Input'!$C$12,'1-Input'!$B$12,0))+C167*(1-'P-Parametri'!$B$6*B167))*(1+'1-Input'!$B$27))</f>
        <v>5558.9707154931484</v>
      </c>
      <c r="E167" s="18">
        <f>IF($A167&gt;'1-Input'!$B$26,G166,(G166-C167)*(1+'5-Roberta'!$C$4))</f>
        <v>186824.16156773883</v>
      </c>
      <c r="F167" s="18">
        <f>IF($A167&gt;'1-Input'!$B$26,D167,D167-'P-Parametri'!$B$8*(E167+D167)+MIN(MAX(E167,0),'P-Parametri'!$B$8*(E167+D167)))</f>
        <v>5558.9707154931484</v>
      </c>
      <c r="G167" s="18">
        <f>IF($A167&gt;'1-Input'!$B$26,E167,E167-MIN(MAX(E167,0),'P-Parametri'!$B$8*(E167+D167)))</f>
        <v>186439.39530317238</v>
      </c>
      <c r="H167" s="18">
        <f>IF($A167&gt;'1-Input'!$B$26,H166,H166-C167*(1-B167))</f>
        <v>43617.008794267764</v>
      </c>
      <c r="I167" s="11">
        <f>IF($A167&gt;'1-Input'!$B$26,0,IF(N166&lt;=0,0,MAX(0,(N166-O166)/N166)))</f>
        <v>0</v>
      </c>
      <c r="J167" s="18">
        <f>IF($A167&gt;'1-Input'!$B$26,0,(MAX(0,I121-IF($A167&gt;='1-Input'!$C$12,'1-Input'!$B$12,0))-MIN(MAX(M166,0),MAX(0,I121-IF($A167&gt;='1-Input'!$C$12,'1-Input'!$B$12,0))))*(1/(1-'P-Parametri'!$B$6*I167))+MIN(MAX(0,N166-(MAX(0,I121-IF($A167&gt;='1-Input'!$C$12,'1-Input'!$B$12,0))-MIN(MAX(M166,0),MAX(0,I121-IF($A167&gt;='1-Input'!$C$12,'1-Input'!$B$12,0))))*(1/(1-'P-Parametri'!$B$6*I167))),MAX(0,1*MAX(0,I121-IF($A167&gt;='1-Input'!$C$12,'1-Input'!$B$12,0))-(M166-MIN(MAX(M166,0),MAX(0,I121-IF($A167&gt;='1-Input'!$C$12,'1-Input'!$B$12,0)))))*(1/(1-'P-Parametri'!$B$6*I167))))</f>
        <v>10846.756992928691</v>
      </c>
      <c r="K167" s="18">
        <f>IF($A167&gt;'1-Input'!$B$26,M166,(M166-MAX(0,I121-IF($A167&gt;='1-Input'!$C$12,'1-Input'!$B$12,0))+J167*(1-'P-Parametri'!$B$6*I167))*(1+'1-Input'!$B$27))</f>
        <v>0</v>
      </c>
      <c r="L167" s="18">
        <f>IF($A167&gt;'1-Input'!$B$26,N166,(N166-J167)*(1+'5-Roberta'!$C$4))</f>
        <v>-275554.80351461528</v>
      </c>
      <c r="M167" s="18">
        <f>IF($A167&gt;'1-Input'!$B$26,K167,K167-'P-Parametri'!$B$8*(L167+K167)+MIN(MAX(L167,0),'P-Parametri'!$B$8*(L167+K167)))</f>
        <v>0</v>
      </c>
      <c r="N167" s="18">
        <f>IF($A167&gt;'1-Input'!$B$26,L167,L167-MIN(MAX(L167,0),'P-Parametri'!$B$8*(L167+K167)))</f>
        <v>-275003.69390758604</v>
      </c>
      <c r="O167" s="18">
        <f>IF($A167&gt;'1-Input'!$B$26,O166,O166-J167*(1-I167))</f>
        <v>-206333.32520575772</v>
      </c>
      <c r="P167" s="11">
        <f>IF($A167&gt;'1-Input'!$B$26,0,IF(U166&lt;=0,0,MAX(0,(U166-V166)/U166)))</f>
        <v>0</v>
      </c>
      <c r="Q167" s="18">
        <f>IF($A167&gt;'1-Input'!$B$26,0,(MAX(0,P121-IF($A167&gt;='1-Input'!$C$12,'1-Input'!$B$12,0))-MIN(MAX(T166,0),MAX(0,P121-IF($A167&gt;='1-Input'!$C$12,'1-Input'!$B$12,0))))*(1/(1-'P-Parametri'!$B$6*P167))+MIN(MAX(0,U166-(MAX(0,P121-IF($A167&gt;='1-Input'!$C$12,'1-Input'!$B$12,0))-MIN(MAX(T166,0),MAX(0,P121-IF($A167&gt;='1-Input'!$C$12,'1-Input'!$B$12,0))))*(1/(1-'P-Parametri'!$B$6*P167))),MAX(0,1*MAX(0,P121-IF($A167&gt;='1-Input'!$C$12,'1-Input'!$B$12,0))-(T166-MIN(MAX(T166,0),MAX(0,P121-IF($A167&gt;='1-Input'!$C$12,'1-Input'!$B$12,0)))))*(1/(1-'P-Parametri'!$B$6*P167))))</f>
        <v>7647.7124868554529</v>
      </c>
      <c r="R167" s="18">
        <f>IF($A167&gt;'1-Input'!$B$26,T166,(T166-MAX(0,P121-IF($A167&gt;='1-Input'!$C$12,'1-Input'!$B$12,0))+Q167*(1-'P-Parametri'!$B$6*P167))*(1+'1-Input'!$B$27))</f>
        <v>0</v>
      </c>
      <c r="S167" s="18">
        <f>IF($A167&gt;'1-Input'!$B$26,U166,(U166-Q167)*(1+'5-Roberta'!$C$4))</f>
        <v>-13789.252593125721</v>
      </c>
      <c r="T167" s="18">
        <f>IF($A167&gt;'1-Input'!$B$26,R167,R167-'P-Parametri'!$B$8*(S167+R167)+MIN(MAX(S167,0),'P-Parametri'!$B$8*(S167+R167)))</f>
        <v>0</v>
      </c>
      <c r="U167" s="18">
        <f>IF($A167&gt;'1-Input'!$B$26,S167,S167-MIN(MAX(S167,0),'P-Parametri'!$B$8*(S167+R167)))</f>
        <v>-13761.674087939469</v>
      </c>
      <c r="V167" s="18">
        <f>IF($A167&gt;'1-Input'!$B$26,V166,V166-Q167*(1-P167))</f>
        <v>-13231.609786275298</v>
      </c>
      <c r="W167" s="11">
        <f>IF($A167&gt;'1-Input'!$B$26,0,IF(AB166&lt;=0,0,MAX(0,(AB166-AC166)/AB166)))</f>
        <v>0.75808463968962725</v>
      </c>
      <c r="X167" s="18">
        <f>IF($A167&gt;'1-Input'!$B$26,0,(MAX(0,W121-IF($A167&gt;='1-Input'!$C$12,'1-Input'!$B$12,0))-MIN(MAX(AA166,0),MAX(0,W121-IF($A167&gt;='1-Input'!$C$12,'1-Input'!$B$12,0))))*(1/(1-'P-Parametri'!$B$6*W167))+MIN(MAX(0,AB166-(MAX(0,W121-IF($A167&gt;='1-Input'!$C$12,'1-Input'!$B$12,0))-MIN(MAX(AA166,0),MAX(0,W121-IF($A167&gt;='1-Input'!$C$12,'1-Input'!$B$12,0))))*(1/(1-'P-Parametri'!$B$6*W167))),MAX(0,1*MAX(0,W121-IF($A167&gt;='1-Input'!$C$12,'1-Input'!$B$12,0))-(AA166-MIN(MAX(AA166,0),MAX(0,W121-IF($A167&gt;='1-Input'!$C$12,'1-Input'!$B$12,0)))))*(1/(1-'P-Parametri'!$B$6*W167))))</f>
        <v>8580.7778952897897</v>
      </c>
      <c r="Y167" s="18">
        <f>IF($A167&gt;'1-Input'!$B$26,AA166,(AA166-MAX(0,W121-IF($A167&gt;='1-Input'!$C$12,'1-Input'!$B$12,0))+X167*(1-'P-Parametri'!$B$6*W167))*(1+'1-Input'!$B$27))</f>
        <v>6838.183578539155</v>
      </c>
      <c r="Z167" s="18">
        <f>IF($A167&gt;'1-Input'!$B$26,AB166,(AB166-X167)*(1+'5-Roberta'!$C$4))</f>
        <v>0</v>
      </c>
      <c r="AA167" s="18">
        <f>IF($A167&gt;'1-Input'!$B$26,Y167,Y167-'P-Parametri'!$B$8*(Z167+Y167)+MIN(MAX(Z167,0),'P-Parametri'!$B$8*(Z167+Y167)))</f>
        <v>6824.507211382077</v>
      </c>
      <c r="AB167" s="18">
        <f>IF($A167&gt;'1-Input'!$B$26,Z167,Z167-MIN(MAX(Z167,0),'P-Parametri'!$B$8*(Z167+Y167)))</f>
        <v>0</v>
      </c>
      <c r="AC167" s="18">
        <f>IF($A167&gt;'1-Input'!$B$26,AC166,AC166-X167*(1-W167))</f>
        <v>-4.5474735088646412E-13</v>
      </c>
      <c r="AD167" s="11">
        <f>IF($A167&gt;'1-Input'!$B$26,0,IF(AI166&lt;=0,0,MAX(0,(AI166-AJ166)/AI166)))</f>
        <v>0.75813499736192635</v>
      </c>
      <c r="AE167" s="18">
        <f>IF($A167&gt;'1-Input'!$B$26,0,(MAX(0,AD121-IF($A167&gt;='1-Input'!$C$12,'1-Input'!$B$12,0))-MIN(MAX(AH166,0),MAX(0,AD121-IF($A167&gt;='1-Input'!$C$12,'1-Input'!$B$12,0))))*(1/(1-'P-Parametri'!$B$6*AD167))+MIN(MAX(0,AI166-(MAX(0,AD121-IF($A167&gt;='1-Input'!$C$12,'1-Input'!$B$12,0))-MIN(MAX(AH166,0),MAX(0,AD121-IF($A167&gt;='1-Input'!$C$12,'1-Input'!$B$12,0))))*(1/(1-'P-Parametri'!$B$6*AD167))),MAX(0,1*MAX(0,AD121-IF($A167&gt;='1-Input'!$C$12,'1-Input'!$B$12,0))-(AH166-MIN(MAX(AH166,0),MAX(0,AD121-IF($A167&gt;='1-Input'!$C$12,'1-Input'!$B$12,0)))))*(1/(1-'P-Parametri'!$B$6*AD167))))</f>
        <v>9227.0746622178103</v>
      </c>
      <c r="AF167" s="18">
        <f>IF($A167&gt;'1-Input'!$B$26,AH166,(AH166-MAX(0,AD121-IF($A167&gt;='1-Input'!$C$12,'1-Input'!$B$12,0))+AE167*(1-'P-Parametri'!$B$6*AD167))*(1+'1-Input'!$B$27))</f>
        <v>7355.1306493328575</v>
      </c>
      <c r="AG167" s="18">
        <f>IF($A167&gt;'1-Input'!$B$26,AI166,(AI166-AE167)*(1+'5-Roberta'!$C$4))</f>
        <v>51.391515974705307</v>
      </c>
      <c r="AH167" s="18">
        <f>IF($A167&gt;'1-Input'!$B$26,AF167,AF167-'P-Parametri'!$B$8*(AG167+AF167)+MIN(MAX(AG167,0),'P-Parametri'!$B$8*(AG167+AF167)))</f>
        <v>7355.1306493328575</v>
      </c>
      <c r="AI167" s="18">
        <f>IF($A167&gt;'1-Input'!$B$26,AG167,AG167-MIN(MAX(AG167,0),'P-Parametri'!$B$8*(AG167+AF167)))</f>
        <v>36.578471644090179</v>
      </c>
      <c r="AJ167" s="18">
        <f>IF($A167&gt;'1-Input'!$B$26,AJ166,AJ166-AE167*(1-AD167))</f>
        <v>12.067775870677451</v>
      </c>
      <c r="AK167" s="11">
        <f>IF($A167&gt;'1-Input'!$B$26,0,IF(AP166&lt;=0,0,MAX(0,(AP166-AQ166)/AP166)))</f>
        <v>0.75813470296931351</v>
      </c>
      <c r="AL167" s="18">
        <f>IF($A167&gt;'1-Input'!$B$26,0,(MAX(0,AK121-IF($A167&gt;='1-Input'!$C$12,'1-Input'!$B$12,0))-MIN(MAX(AO166,0),MAX(0,AK121-IF($A167&gt;='1-Input'!$C$12,'1-Input'!$B$12,0))))*(1/(1-'P-Parametri'!$B$6*AK167))+MIN(MAX(0,AP166-(MAX(0,AK121-IF($A167&gt;='1-Input'!$C$12,'1-Input'!$B$12,0))-MIN(MAX(AO166,0),MAX(0,AK121-IF($A167&gt;='1-Input'!$C$12,'1-Input'!$B$12,0))))*(1/(1-'P-Parametri'!$B$6*AK167))),MAX(0,1*MAX(0,AK121-IF($A167&gt;='1-Input'!$C$12,'1-Input'!$B$12,0))-(AO166-MIN(MAX(AO166,0),MAX(0,AK121-IF($A167&gt;='1-Input'!$C$12,'1-Input'!$B$12,0)))))*(1/(1-'P-Parametri'!$B$6*AK167))))</f>
        <v>9227.1280064294206</v>
      </c>
      <c r="AM167" s="18">
        <f>IF($A167&gt;'1-Input'!$B$26,AO166,(AO166-MAX(0,AK121-IF($A167&gt;='1-Input'!$C$12,'1-Input'!$B$12,0))+AL167*(1-'P-Parametri'!$B$6*AK167))*(1+'1-Input'!$B$27))</f>
        <v>7355.1738725270716</v>
      </c>
      <c r="AN167" s="18">
        <f>IF($A167&gt;'1-Input'!$B$26,AP166,(AP166-AL167)*(1+'5-Roberta'!$C$4))</f>
        <v>46.899238496421134</v>
      </c>
      <c r="AO167" s="18">
        <f>IF($A167&gt;'1-Input'!$B$26,AM167,AM167-'P-Parametri'!$B$8*(AN167+AM167)+MIN(MAX(AN167,0),'P-Parametri'!$B$8*(AN167+AM167)))</f>
        <v>7355.1738725270716</v>
      </c>
      <c r="AP167" s="18">
        <f>IF($A167&gt;'1-Input'!$B$26,AN167,AN167-MIN(MAX(AN167,0),'P-Parametri'!$B$8*(AN167+AM167)))</f>
        <v>32.095092274374146</v>
      </c>
      <c r="AQ167" s="18">
        <f>IF($A167&gt;'1-Input'!$B$26,AQ166,AQ166-AL167*(1-AK167))</f>
        <v>11.012910921795992</v>
      </c>
    </row>
    <row r="168" spans="1:43">
      <c r="A168" s="10">
        <f>45</f>
        <v>45</v>
      </c>
      <c r="B168" s="11">
        <f>IF($A168&gt;'1-Input'!$B$26,0,IF(G167&lt;=0,0,MAX(0,(G167-H167)/G167)))</f>
        <v>0.76605261606142117</v>
      </c>
      <c r="C168" s="18">
        <f>IF($A168&gt;'1-Input'!$B$26,0,(MAX(0,B121-IF($A168&gt;='1-Input'!$C$12,'1-Input'!$B$12,0))-MIN(MAX(F167,0),MAX(0,B121-IF($A168&gt;='1-Input'!$C$12,'1-Input'!$B$12,0))))*(1/(1-'P-Parametri'!$B$6*B168))+MIN(MAX(0,G167-(MAX(0,B121-IF($A168&gt;='1-Input'!$C$12,'1-Input'!$B$12,0))-MIN(MAX(F167,0),MAX(0,B121-IF($A168&gt;='1-Input'!$C$12,'1-Input'!$B$12,0))))*(1/(1-'P-Parametri'!$B$6*B168))),MAX(0,1*MAX(0,B121-IF($A168&gt;='1-Input'!$C$12,'1-Input'!$B$12,0))-(F167-MIN(MAX(F167,0),MAX(0,B121-IF($A168&gt;='1-Input'!$C$12,'1-Input'!$B$12,0)))))*(1/(1-'P-Parametri'!$B$6*B168))))</f>
        <v>6991.703163538361</v>
      </c>
      <c r="D168" s="18">
        <f>IF($A168&gt;'1-Input'!$B$26,F167,(F167-MAX(0,B121-IF($A168&gt;='1-Input'!$C$12,'1-Input'!$B$12,0))+C168*(1-'P-Parametri'!$B$6*B168))*(1+'1-Input'!$B$27))</f>
        <v>5558.9707154931502</v>
      </c>
      <c r="E168" s="18">
        <f>IF($A168&gt;'1-Input'!$B$26,G167,(G167-C168)*(1+'5-Roberta'!$C$4))</f>
        <v>184831.12290382304</v>
      </c>
      <c r="F168" s="18">
        <f>IF($A168&gt;'1-Input'!$B$26,D168,D168-'P-Parametri'!$B$8*(E168+D168)+MIN(MAX(E168,0),'P-Parametri'!$B$8*(E168+D168)))</f>
        <v>5558.9707154931502</v>
      </c>
      <c r="G168" s="18">
        <f>IF($A168&gt;'1-Input'!$B$26,E168,E168-MIN(MAX(E168,0),'P-Parametri'!$B$8*(E168+D168)))</f>
        <v>184450.34271658442</v>
      </c>
      <c r="H168" s="18">
        <f>IF($A168&gt;'1-Input'!$B$26,H167,H167-C168*(1-B168))</f>
        <v>41981.318129882879</v>
      </c>
      <c r="I168" s="11">
        <f>IF($A168&gt;'1-Input'!$B$26,0,IF(N167&lt;=0,0,MAX(0,(N167-O167)/N167)))</f>
        <v>0</v>
      </c>
      <c r="J168" s="18">
        <f>IF($A168&gt;'1-Input'!$B$26,0,(MAX(0,I121-IF($A168&gt;='1-Input'!$C$12,'1-Input'!$B$12,0))-MIN(MAX(M167,0),MAX(0,I121-IF($A168&gt;='1-Input'!$C$12,'1-Input'!$B$12,0))))*(1/(1-'P-Parametri'!$B$6*I168))+MIN(MAX(0,N167-(MAX(0,I121-IF($A168&gt;='1-Input'!$C$12,'1-Input'!$B$12,0))-MIN(MAX(M167,0),MAX(0,I121-IF($A168&gt;='1-Input'!$C$12,'1-Input'!$B$12,0))))*(1/(1-'P-Parametri'!$B$6*I168))),MAX(0,1*MAX(0,I121-IF($A168&gt;='1-Input'!$C$12,'1-Input'!$B$12,0))-(M167-MIN(MAX(M167,0),MAX(0,I121-IF($A168&gt;='1-Input'!$C$12,'1-Input'!$B$12,0)))))*(1/(1-'P-Parametri'!$B$6*I168))))</f>
        <v>10846.756992928691</v>
      </c>
      <c r="K168" s="18">
        <f>IF($A168&gt;'1-Input'!$B$26,M167,(M167-MAX(0,I121-IF($A168&gt;='1-Input'!$C$12,'1-Input'!$B$12,0))+J168*(1-'P-Parametri'!$B$6*I168))*(1+'1-Input'!$B$27))</f>
        <v>0</v>
      </c>
      <c r="L168" s="18">
        <f>IF($A168&gt;'1-Input'!$B$26,N167,(N167-J168)*(1+'5-Roberta'!$C$4))</f>
        <v>-294425.96442753018</v>
      </c>
      <c r="M168" s="18">
        <f>IF($A168&gt;'1-Input'!$B$26,K168,K168-'P-Parametri'!$B$8*(L168+K168)+MIN(MAX(L168,0),'P-Parametri'!$B$8*(L168+K168)))</f>
        <v>0</v>
      </c>
      <c r="N168" s="18">
        <f>IF($A168&gt;'1-Input'!$B$26,L168,L168-MIN(MAX(L168,0),'P-Parametri'!$B$8*(L168+K168)))</f>
        <v>-293837.11249867512</v>
      </c>
      <c r="O168" s="18">
        <f>IF($A168&gt;'1-Input'!$B$26,O167,O167-J168*(1-I168))</f>
        <v>-217180.0821986864</v>
      </c>
      <c r="P168" s="11">
        <f>IF($A168&gt;'1-Input'!$B$26,0,IF(U167&lt;=0,0,MAX(0,(U167-V167)/U167)))</f>
        <v>0</v>
      </c>
      <c r="Q168" s="18">
        <f>IF($A168&gt;'1-Input'!$B$26,0,(MAX(0,P121-IF($A168&gt;='1-Input'!$C$12,'1-Input'!$B$12,0))-MIN(MAX(T167,0),MAX(0,P121-IF($A168&gt;='1-Input'!$C$12,'1-Input'!$B$12,0))))*(1/(1-'P-Parametri'!$B$6*P168))+MIN(MAX(0,U167-(MAX(0,P121-IF($A168&gt;='1-Input'!$C$12,'1-Input'!$B$12,0))-MIN(MAX(T167,0),MAX(0,P121-IF($A168&gt;='1-Input'!$C$12,'1-Input'!$B$12,0))))*(1/(1-'P-Parametri'!$B$6*P168))),MAX(0,1*MAX(0,P121-IF($A168&gt;='1-Input'!$C$12,'1-Input'!$B$12,0))-(T167-MIN(MAX(T167,0),MAX(0,P121-IF($A168&gt;='1-Input'!$C$12,'1-Input'!$B$12,0)))))*(1/(1-'P-Parametri'!$B$6*P168))))</f>
        <v>7647.7124868554529</v>
      </c>
      <c r="R168" s="18">
        <f>IF($A168&gt;'1-Input'!$B$26,T167,(T167-MAX(0,P121-IF($A168&gt;='1-Input'!$C$12,'1-Input'!$B$12,0))+Q168*(1-'P-Parametri'!$B$6*P168))*(1+'1-Input'!$B$27))</f>
        <v>0</v>
      </c>
      <c r="S168" s="18">
        <f>IF($A168&gt;'1-Input'!$B$26,U167,(U167-Q168)*(1+'5-Roberta'!$C$4))</f>
        <v>-22051.668172038771</v>
      </c>
      <c r="T168" s="18">
        <f>IF($A168&gt;'1-Input'!$B$26,R168,R168-'P-Parametri'!$B$8*(S168+R168)+MIN(MAX(S168,0),'P-Parametri'!$B$8*(S168+R168)))</f>
        <v>0</v>
      </c>
      <c r="U168" s="18">
        <f>IF($A168&gt;'1-Input'!$B$26,S168,S168-MIN(MAX(S168,0),'P-Parametri'!$B$8*(S168+R168)))</f>
        <v>-22007.564835694695</v>
      </c>
      <c r="V168" s="18">
        <f>IF($A168&gt;'1-Input'!$B$26,V167,V167-Q168*(1-P168))</f>
        <v>-20879.322273130751</v>
      </c>
      <c r="W168" s="11">
        <f>IF($A168&gt;'1-Input'!$B$26,0,IF(AB167&lt;=0,0,MAX(0,(AB167-AC167)/AB167)))</f>
        <v>0</v>
      </c>
      <c r="X168" s="18">
        <f>IF($A168&gt;'1-Input'!$B$26,0,(MAX(0,W121-IF($A168&gt;='1-Input'!$C$12,'1-Input'!$B$12,0))-MIN(MAX(AA167,0),MAX(0,W121-IF($A168&gt;='1-Input'!$C$12,'1-Input'!$B$12,0))))*(1/(1-'P-Parametri'!$B$6*W168))+MIN(MAX(0,AB167-(MAX(0,W121-IF($A168&gt;='1-Input'!$C$12,'1-Input'!$B$12,0))-MIN(MAX(AA167,0),MAX(0,W121-IF($A168&gt;='1-Input'!$C$12,'1-Input'!$B$12,0))))*(1/(1-'P-Parametri'!$B$6*W168))),MAX(0,1*MAX(0,W121-IF($A168&gt;='1-Input'!$C$12,'1-Input'!$B$12,0))-(AA167-MIN(MAX(AA167,0),MAX(0,W121-IF($A168&gt;='1-Input'!$C$12,'1-Input'!$B$12,0)))))*(1/(1-'P-Parametri'!$B$6*W168))))</f>
        <v>564.20775300033529</v>
      </c>
      <c r="Y168" s="18">
        <f>IF($A168&gt;'1-Input'!$B$26,AA167,(AA167-MAX(0,W121-IF($A168&gt;='1-Input'!$C$12,'1-Input'!$B$12,0))+X168*(1-'P-Parametri'!$B$6*W168))*(1+'1-Input'!$B$27))</f>
        <v>0</v>
      </c>
      <c r="Z168" s="18">
        <f>IF($A168&gt;'1-Input'!$B$26,AB167,(AB167-X168)*(1+'5-Roberta'!$C$4))</f>
        <v>-581.13398559034533</v>
      </c>
      <c r="AA168" s="18">
        <f>IF($A168&gt;'1-Input'!$B$26,Y168,Y168-'P-Parametri'!$B$8*(Z168+Y168)+MIN(MAX(Z168,0),'P-Parametri'!$B$8*(Z168+Y168)))</f>
        <v>0</v>
      </c>
      <c r="AB168" s="18">
        <f>IF($A168&gt;'1-Input'!$B$26,Z168,Z168-MIN(MAX(Z168,0),'P-Parametri'!$B$8*(Z168+Y168)))</f>
        <v>-579.97171761916468</v>
      </c>
      <c r="AC168" s="18">
        <f>IF($A168&gt;'1-Input'!$B$26,AC167,AC167-X168*(1-W168))</f>
        <v>-564.20775300033574</v>
      </c>
      <c r="AD168" s="11">
        <f>IF($A168&gt;'1-Input'!$B$26,0,IF(AI167&lt;=0,0,MAX(0,(AI167-AJ167)/AI167)))</f>
        <v>0.67008528983667393</v>
      </c>
      <c r="AE168" s="18">
        <f>IF($A168&gt;'1-Input'!$B$26,0,(MAX(0,AD121-IF($A168&gt;='1-Input'!$C$12,'1-Input'!$B$12,0))-MIN(MAX(AH167,0),MAX(0,AD121-IF($A168&gt;='1-Input'!$C$12,'1-Input'!$B$12,0))))*(1/(1-'P-Parametri'!$B$6*AD168))+MIN(MAX(0,AI167-(MAX(0,AD121-IF($A168&gt;='1-Input'!$C$12,'1-Input'!$B$12,0))-MIN(MAX(AH167,0),MAX(0,AD121-IF($A168&gt;='1-Input'!$C$12,'1-Input'!$B$12,0))))*(1/(1-'P-Parametri'!$B$6*AD168))),MAX(0,1*MAX(0,AD121-IF($A168&gt;='1-Input'!$C$12,'1-Input'!$B$12,0))-(AH167-MIN(MAX(AH167,0),MAX(0,AD121-IF($A168&gt;='1-Input'!$C$12,'1-Input'!$B$12,0)))))*(1/(1-'P-Parametri'!$B$6*AD168))))</f>
        <v>36.578471644090179</v>
      </c>
      <c r="AF168" s="18">
        <f>IF($A168&gt;'1-Input'!$B$26,AH167,(AH167-MAX(0,AD121-IF($A168&gt;='1-Input'!$C$12,'1-Input'!$B$12,0))+AE168*(1-'P-Parametri'!$B$6*AD168))*(1+'1-Input'!$B$27))</f>
        <v>3.6184799187303924</v>
      </c>
      <c r="AG168" s="18">
        <f>IF($A168&gt;'1-Input'!$B$26,AI167,(AI167-AE168)*(1+'5-Roberta'!$C$4))</f>
        <v>0</v>
      </c>
      <c r="AH168" s="18">
        <f>IF($A168&gt;'1-Input'!$B$26,AF168,AF168-'P-Parametri'!$B$8*(AG168+AF168)+MIN(MAX(AG168,0),'P-Parametri'!$B$8*(AG168+AF168)))</f>
        <v>3.6112429588929316</v>
      </c>
      <c r="AI168" s="18">
        <f>IF($A168&gt;'1-Input'!$B$26,AG168,AG168-MIN(MAX(AG168,0),'P-Parametri'!$B$8*(AG168+AF168)))</f>
        <v>0</v>
      </c>
      <c r="AJ168" s="18">
        <f>IF($A168&gt;'1-Input'!$B$26,AJ167,AJ167-AE168*(1-AD168))</f>
        <v>-1.7763568394002505E-15</v>
      </c>
      <c r="AK168" s="11">
        <f>IF($A168&gt;'1-Input'!$B$26,0,IF(AP167&lt;=0,0,MAX(0,(AP167-AQ167)/AP167)))</f>
        <v>0.65686620160961218</v>
      </c>
      <c r="AL168" s="18">
        <f>IF($A168&gt;'1-Input'!$B$26,0,(MAX(0,AK121-IF($A168&gt;='1-Input'!$C$12,'1-Input'!$B$12,0))-MIN(MAX(AO167,0),MAX(0,AK121-IF($A168&gt;='1-Input'!$C$12,'1-Input'!$B$12,0))))*(1/(1-'P-Parametri'!$B$6*AK168))+MIN(MAX(0,AP167-(MAX(0,AK121-IF($A168&gt;='1-Input'!$C$12,'1-Input'!$B$12,0))-MIN(MAX(AO167,0),MAX(0,AK121-IF($A168&gt;='1-Input'!$C$12,'1-Input'!$B$12,0))))*(1/(1-'P-Parametri'!$B$6*AK168))),MAX(0,1*MAX(0,AK121-IF($A168&gt;='1-Input'!$C$12,'1-Input'!$B$12,0))-(AO167-MIN(MAX(AO167,0),MAX(0,AK121-IF($A168&gt;='1-Input'!$C$12,'1-Input'!$B$12,0)))))*(1/(1-'P-Parametri'!$B$6*AK168))))</f>
        <v>32.095092274374146</v>
      </c>
      <c r="AM168" s="18">
        <f>IF($A168&gt;'1-Input'!$B$26,AO167,(AO167-MAX(0,AK121-IF($A168&gt;='1-Input'!$C$12,'1-Input'!$B$12,0))+AL168*(1-'P-Parametri'!$B$6*AK168))*(1+'1-Input'!$B$27))</f>
        <v>3.9289771163674395E-2</v>
      </c>
      <c r="AN168" s="18">
        <f>IF($A168&gt;'1-Input'!$B$26,AP167,(AP167-AL168)*(1+'5-Roberta'!$C$4))</f>
        <v>0</v>
      </c>
      <c r="AO168" s="18">
        <f>IF($A168&gt;'1-Input'!$B$26,AM168,AM168-'P-Parametri'!$B$8*(AN168+AM168)+MIN(MAX(AN168,0),'P-Parametri'!$B$8*(AN168+AM168)))</f>
        <v>3.9211191621347043E-2</v>
      </c>
      <c r="AP168" s="18">
        <f>IF($A168&gt;'1-Input'!$B$26,AN168,AN168-MIN(MAX(AN168,0),'P-Parametri'!$B$8*(AN168+AM168)))</f>
        <v>0</v>
      </c>
      <c r="AQ168" s="18">
        <f>IF($A168&gt;'1-Input'!$B$26,AQ167,AQ167-AL168*(1-AK168))</f>
        <v>0</v>
      </c>
    </row>
    <row r="169" spans="1:43">
      <c r="A169" s="10">
        <f>46</f>
        <v>46</v>
      </c>
      <c r="B169" s="11">
        <f>IF($A169&gt;'1-Input'!$B$26,0,IF(G168&lt;=0,0,MAX(0,(G168-H168)/G168)))</f>
        <v>0</v>
      </c>
      <c r="C169" s="18">
        <f>IF($A169&gt;'1-Input'!$B$26,0,(MAX(0,B121-IF($A169&gt;='1-Input'!$C$12,'1-Input'!$B$12,0))-MIN(MAX(F168,0),MAX(0,B121-IF($A169&gt;='1-Input'!$C$12,'1-Input'!$B$12,0))))*(1/(1-'P-Parametri'!$B$6*B169))+MIN(MAX(0,G168-(MAX(0,B121-IF($A169&gt;='1-Input'!$C$12,'1-Input'!$B$12,0))-MIN(MAX(F168,0),MAX(0,B121-IF($A169&gt;='1-Input'!$C$12,'1-Input'!$B$12,0))))*(1/(1-'P-Parametri'!$B$6*B169))),MAX(0,1*MAX(0,B121-IF($A169&gt;='1-Input'!$C$12,'1-Input'!$B$12,0))-(F168-MIN(MAX(F168,0),MAX(0,B121-IF($A169&gt;='1-Input'!$C$12,'1-Input'!$B$12,0)))))*(1/(1-'P-Parametri'!$B$6*B169))))</f>
        <v>0</v>
      </c>
      <c r="D169" s="18">
        <f>IF($A169&gt;'1-Input'!$B$26,F168,(F168-MAX(0,B121-IF($A169&gt;='1-Input'!$C$12,'1-Input'!$B$12,0))+C169*(1-'P-Parametri'!$B$6*B169))*(1+'1-Input'!$B$27))</f>
        <v>5558.9707154931502</v>
      </c>
      <c r="E169" s="18">
        <f>IF($A169&gt;'1-Input'!$B$26,G168,(G168-C169)*(1+'5-Roberta'!$C$4))</f>
        <v>184450.34271658442</v>
      </c>
      <c r="F169" s="18">
        <f>IF($A169&gt;'1-Input'!$B$26,D169,D169-'P-Parametri'!$B$8*(E169+D169)+MIN(MAX(E169,0),'P-Parametri'!$B$8*(E169+D169)))</f>
        <v>5558.9707154931502</v>
      </c>
      <c r="G169" s="18">
        <f>IF($A169&gt;'1-Input'!$B$26,E169,E169-MIN(MAX(E169,0),'P-Parametri'!$B$8*(E169+D169)))</f>
        <v>184450.34271658442</v>
      </c>
      <c r="H169" s="18">
        <f>IF($A169&gt;'1-Input'!$B$26,H168,H168-C169*(1-B169))</f>
        <v>41981.318129882879</v>
      </c>
      <c r="I169" s="11">
        <f>IF($A169&gt;'1-Input'!$B$26,0,IF(N168&lt;=0,0,MAX(0,(N168-O168)/N168)))</f>
        <v>0</v>
      </c>
      <c r="J169" s="18">
        <f>IF($A169&gt;'1-Input'!$B$26,0,(MAX(0,I121-IF($A169&gt;='1-Input'!$C$12,'1-Input'!$B$12,0))-MIN(MAX(M168,0),MAX(0,I121-IF($A169&gt;='1-Input'!$C$12,'1-Input'!$B$12,0))))*(1/(1-'P-Parametri'!$B$6*I169))+MIN(MAX(0,N168-(MAX(0,I121-IF($A169&gt;='1-Input'!$C$12,'1-Input'!$B$12,0))-MIN(MAX(M168,0),MAX(0,I121-IF($A169&gt;='1-Input'!$C$12,'1-Input'!$B$12,0))))*(1/(1-'P-Parametri'!$B$6*I169))),MAX(0,1*MAX(0,I121-IF($A169&gt;='1-Input'!$C$12,'1-Input'!$B$12,0))-(M168-MIN(MAX(M168,0),MAX(0,I121-IF($A169&gt;='1-Input'!$C$12,'1-Input'!$B$12,0)))))*(1/(1-'P-Parametri'!$B$6*I169))))</f>
        <v>0</v>
      </c>
      <c r="K169" s="18">
        <f>IF($A169&gt;'1-Input'!$B$26,M168,(M168-MAX(0,I121-IF($A169&gt;='1-Input'!$C$12,'1-Input'!$B$12,0))+J169*(1-'P-Parametri'!$B$6*I169))*(1+'1-Input'!$B$27))</f>
        <v>0</v>
      </c>
      <c r="L169" s="18">
        <f>IF($A169&gt;'1-Input'!$B$26,N168,(N168-J169)*(1+'5-Roberta'!$C$4))</f>
        <v>-293837.11249867512</v>
      </c>
      <c r="M169" s="18">
        <f>IF($A169&gt;'1-Input'!$B$26,K169,K169-'P-Parametri'!$B$8*(L169+K169)+MIN(MAX(L169,0),'P-Parametri'!$B$8*(L169+K169)))</f>
        <v>0</v>
      </c>
      <c r="N169" s="18">
        <f>IF($A169&gt;'1-Input'!$B$26,L169,L169-MIN(MAX(L169,0),'P-Parametri'!$B$8*(L169+K169)))</f>
        <v>-293837.11249867512</v>
      </c>
      <c r="O169" s="18">
        <f>IF($A169&gt;'1-Input'!$B$26,O168,O168-J169*(1-I169))</f>
        <v>-217180.0821986864</v>
      </c>
      <c r="P169" s="11">
        <f>IF($A169&gt;'1-Input'!$B$26,0,IF(U168&lt;=0,0,MAX(0,(U168-V168)/U168)))</f>
        <v>0</v>
      </c>
      <c r="Q169" s="18">
        <f>IF($A169&gt;'1-Input'!$B$26,0,(MAX(0,P121-IF($A169&gt;='1-Input'!$C$12,'1-Input'!$B$12,0))-MIN(MAX(T168,0),MAX(0,P121-IF($A169&gt;='1-Input'!$C$12,'1-Input'!$B$12,0))))*(1/(1-'P-Parametri'!$B$6*P169))+MIN(MAX(0,U168-(MAX(0,P121-IF($A169&gt;='1-Input'!$C$12,'1-Input'!$B$12,0))-MIN(MAX(T168,0),MAX(0,P121-IF($A169&gt;='1-Input'!$C$12,'1-Input'!$B$12,0))))*(1/(1-'P-Parametri'!$B$6*P169))),MAX(0,1*MAX(0,P121-IF($A169&gt;='1-Input'!$C$12,'1-Input'!$B$12,0))-(T168-MIN(MAX(T168,0),MAX(0,P121-IF($A169&gt;='1-Input'!$C$12,'1-Input'!$B$12,0)))))*(1/(1-'P-Parametri'!$B$6*P169))))</f>
        <v>0</v>
      </c>
      <c r="R169" s="18">
        <f>IF($A169&gt;'1-Input'!$B$26,T168,(T168-MAX(0,P121-IF($A169&gt;='1-Input'!$C$12,'1-Input'!$B$12,0))+Q169*(1-'P-Parametri'!$B$6*P169))*(1+'1-Input'!$B$27))</f>
        <v>0</v>
      </c>
      <c r="S169" s="18">
        <f>IF($A169&gt;'1-Input'!$B$26,U168,(U168-Q169)*(1+'5-Roberta'!$C$4))</f>
        <v>-22007.564835694695</v>
      </c>
      <c r="T169" s="18">
        <f>IF($A169&gt;'1-Input'!$B$26,R169,R169-'P-Parametri'!$B$8*(S169+R169)+MIN(MAX(S169,0),'P-Parametri'!$B$8*(S169+R169)))</f>
        <v>0</v>
      </c>
      <c r="U169" s="18">
        <f>IF($A169&gt;'1-Input'!$B$26,S169,S169-MIN(MAX(S169,0),'P-Parametri'!$B$8*(S169+R169)))</f>
        <v>-22007.564835694695</v>
      </c>
      <c r="V169" s="18">
        <f>IF($A169&gt;'1-Input'!$B$26,V168,V168-Q169*(1-P169))</f>
        <v>-20879.322273130751</v>
      </c>
      <c r="W169" s="11">
        <f>IF($A169&gt;'1-Input'!$B$26,0,IF(AB168&lt;=0,0,MAX(0,(AB168-AC168)/AB168)))</f>
        <v>0</v>
      </c>
      <c r="X169" s="18">
        <f>IF($A169&gt;'1-Input'!$B$26,0,(MAX(0,W121-IF($A169&gt;='1-Input'!$C$12,'1-Input'!$B$12,0))-MIN(MAX(AA168,0),MAX(0,W121-IF($A169&gt;='1-Input'!$C$12,'1-Input'!$B$12,0))))*(1/(1-'P-Parametri'!$B$6*W169))+MIN(MAX(0,AB168-(MAX(0,W121-IF($A169&gt;='1-Input'!$C$12,'1-Input'!$B$12,0))-MIN(MAX(AA168,0),MAX(0,W121-IF($A169&gt;='1-Input'!$C$12,'1-Input'!$B$12,0))))*(1/(1-'P-Parametri'!$B$6*W169))),MAX(0,1*MAX(0,W121-IF($A169&gt;='1-Input'!$C$12,'1-Input'!$B$12,0))-(AA168-MIN(MAX(AA168,0),MAX(0,W121-IF($A169&gt;='1-Input'!$C$12,'1-Input'!$B$12,0)))))*(1/(1-'P-Parametri'!$B$6*W169))))</f>
        <v>0</v>
      </c>
      <c r="Y169" s="18">
        <f>IF($A169&gt;'1-Input'!$B$26,AA168,(AA168-MAX(0,W121-IF($A169&gt;='1-Input'!$C$12,'1-Input'!$B$12,0))+X169*(1-'P-Parametri'!$B$6*W169))*(1+'1-Input'!$B$27))</f>
        <v>0</v>
      </c>
      <c r="Z169" s="18">
        <f>IF($A169&gt;'1-Input'!$B$26,AB168,(AB168-X169)*(1+'5-Roberta'!$C$4))</f>
        <v>-579.97171761916468</v>
      </c>
      <c r="AA169" s="18">
        <f>IF($A169&gt;'1-Input'!$B$26,Y169,Y169-'P-Parametri'!$B$8*(Z169+Y169)+MIN(MAX(Z169,0),'P-Parametri'!$B$8*(Z169+Y169)))</f>
        <v>0</v>
      </c>
      <c r="AB169" s="18">
        <f>IF($A169&gt;'1-Input'!$B$26,Z169,Z169-MIN(MAX(Z169,0),'P-Parametri'!$B$8*(Z169+Y169)))</f>
        <v>-579.97171761916468</v>
      </c>
      <c r="AC169" s="18">
        <f>IF($A169&gt;'1-Input'!$B$26,AC168,AC168-X169*(1-W169))</f>
        <v>-564.20775300033574</v>
      </c>
      <c r="AD169" s="11">
        <f>IF($A169&gt;'1-Input'!$B$26,0,IF(AI168&lt;=0,0,MAX(0,(AI168-AJ168)/AI168)))</f>
        <v>0</v>
      </c>
      <c r="AE169" s="18">
        <f>IF($A169&gt;'1-Input'!$B$26,0,(MAX(0,AD121-IF($A169&gt;='1-Input'!$C$12,'1-Input'!$B$12,0))-MIN(MAX(AH168,0),MAX(0,AD121-IF($A169&gt;='1-Input'!$C$12,'1-Input'!$B$12,0))))*(1/(1-'P-Parametri'!$B$6*AD169))+MIN(MAX(0,AI168-(MAX(0,AD121-IF($A169&gt;='1-Input'!$C$12,'1-Input'!$B$12,0))-MIN(MAX(AH168,0),MAX(0,AD121-IF($A169&gt;='1-Input'!$C$12,'1-Input'!$B$12,0))))*(1/(1-'P-Parametri'!$B$6*AD169))),MAX(0,1*MAX(0,AD121-IF($A169&gt;='1-Input'!$C$12,'1-Input'!$B$12,0))-(AH168-MIN(MAX(AH168,0),MAX(0,AD121-IF($A169&gt;='1-Input'!$C$12,'1-Input'!$B$12,0)))))*(1/(1-'P-Parametri'!$B$6*AD169))))</f>
        <v>0</v>
      </c>
      <c r="AF169" s="18">
        <f>IF($A169&gt;'1-Input'!$B$26,AH168,(AH168-MAX(0,AD121-IF($A169&gt;='1-Input'!$C$12,'1-Input'!$B$12,0))+AE169*(1-'P-Parametri'!$B$6*AD169))*(1+'1-Input'!$B$27))</f>
        <v>3.6112429588929316</v>
      </c>
      <c r="AG169" s="18">
        <f>IF($A169&gt;'1-Input'!$B$26,AI168,(AI168-AE169)*(1+'5-Roberta'!$C$4))</f>
        <v>0</v>
      </c>
      <c r="AH169" s="18">
        <f>IF($A169&gt;'1-Input'!$B$26,AF169,AF169-'P-Parametri'!$B$8*(AG169+AF169)+MIN(MAX(AG169,0),'P-Parametri'!$B$8*(AG169+AF169)))</f>
        <v>3.6112429588929316</v>
      </c>
      <c r="AI169" s="18">
        <f>IF($A169&gt;'1-Input'!$B$26,AG169,AG169-MIN(MAX(AG169,0),'P-Parametri'!$B$8*(AG169+AF169)))</f>
        <v>0</v>
      </c>
      <c r="AJ169" s="18">
        <f>IF($A169&gt;'1-Input'!$B$26,AJ168,AJ168-AE169*(1-AD169))</f>
        <v>-1.7763568394002505E-15</v>
      </c>
      <c r="AK169" s="11">
        <f>IF($A169&gt;'1-Input'!$B$26,0,IF(AP168&lt;=0,0,MAX(0,(AP168-AQ168)/AP168)))</f>
        <v>0</v>
      </c>
      <c r="AL169" s="18">
        <f>IF($A169&gt;'1-Input'!$B$26,0,(MAX(0,AK121-IF($A169&gt;='1-Input'!$C$12,'1-Input'!$B$12,0))-MIN(MAX(AO168,0),MAX(0,AK121-IF($A169&gt;='1-Input'!$C$12,'1-Input'!$B$12,0))))*(1/(1-'P-Parametri'!$B$6*AK169))+MIN(MAX(0,AP168-(MAX(0,AK121-IF($A169&gt;='1-Input'!$C$12,'1-Input'!$B$12,0))-MIN(MAX(AO168,0),MAX(0,AK121-IF($A169&gt;='1-Input'!$C$12,'1-Input'!$B$12,0))))*(1/(1-'P-Parametri'!$B$6*AK169))),MAX(0,1*MAX(0,AK121-IF($A169&gt;='1-Input'!$C$12,'1-Input'!$B$12,0))-(AO168-MIN(MAX(AO168,0),MAX(0,AK121-IF($A169&gt;='1-Input'!$C$12,'1-Input'!$B$12,0)))))*(1/(1-'P-Parametri'!$B$6*AK169))))</f>
        <v>0</v>
      </c>
      <c r="AM169" s="18">
        <f>IF($A169&gt;'1-Input'!$B$26,AO168,(AO168-MAX(0,AK121-IF($A169&gt;='1-Input'!$C$12,'1-Input'!$B$12,0))+AL169*(1-'P-Parametri'!$B$6*AK169))*(1+'1-Input'!$B$27))</f>
        <v>3.9211191621347043E-2</v>
      </c>
      <c r="AN169" s="18">
        <f>IF($A169&gt;'1-Input'!$B$26,AP168,(AP168-AL169)*(1+'5-Roberta'!$C$4))</f>
        <v>0</v>
      </c>
      <c r="AO169" s="18">
        <f>IF($A169&gt;'1-Input'!$B$26,AM169,AM169-'P-Parametri'!$B$8*(AN169+AM169)+MIN(MAX(AN169,0),'P-Parametri'!$B$8*(AN169+AM169)))</f>
        <v>3.9211191621347043E-2</v>
      </c>
      <c r="AP169" s="18">
        <f>IF($A169&gt;'1-Input'!$B$26,AN169,AN169-MIN(MAX(AN169,0),'P-Parametri'!$B$8*(AN169+AM169)))</f>
        <v>0</v>
      </c>
      <c r="AQ169" s="18">
        <f>IF($A169&gt;'1-Input'!$B$26,AQ168,AQ168-AL169*(1-AK169))</f>
        <v>0</v>
      </c>
    </row>
    <row r="170" spans="1:43">
      <c r="A170" s="10">
        <f>47</f>
        <v>47</v>
      </c>
      <c r="B170" s="11">
        <f>IF($A170&gt;'1-Input'!$B$26,0,IF(G169&lt;=0,0,MAX(0,(G169-H169)/G169)))</f>
        <v>0</v>
      </c>
      <c r="C170" s="18">
        <f>IF($A170&gt;'1-Input'!$B$26,0,(MAX(0,B121-IF($A170&gt;='1-Input'!$C$12,'1-Input'!$B$12,0))-MIN(MAX(F169,0),MAX(0,B121-IF($A170&gt;='1-Input'!$C$12,'1-Input'!$B$12,0))))*(1/(1-'P-Parametri'!$B$6*B170))+MIN(MAX(0,G169-(MAX(0,B121-IF($A170&gt;='1-Input'!$C$12,'1-Input'!$B$12,0))-MIN(MAX(F169,0),MAX(0,B121-IF($A170&gt;='1-Input'!$C$12,'1-Input'!$B$12,0))))*(1/(1-'P-Parametri'!$B$6*B170))),MAX(0,1*MAX(0,B121-IF($A170&gt;='1-Input'!$C$12,'1-Input'!$B$12,0))-(F169-MIN(MAX(F169,0),MAX(0,B121-IF($A170&gt;='1-Input'!$C$12,'1-Input'!$B$12,0)))))*(1/(1-'P-Parametri'!$B$6*B170))))</f>
        <v>0</v>
      </c>
      <c r="D170" s="18">
        <f>IF($A170&gt;'1-Input'!$B$26,F169,(F169-MAX(0,B121-IF($A170&gt;='1-Input'!$C$12,'1-Input'!$B$12,0))+C170*(1-'P-Parametri'!$B$6*B170))*(1+'1-Input'!$B$27))</f>
        <v>5558.9707154931502</v>
      </c>
      <c r="E170" s="18">
        <f>IF($A170&gt;'1-Input'!$B$26,G169,(G169-C170)*(1+'5-Roberta'!$C$4))</f>
        <v>184450.34271658442</v>
      </c>
      <c r="F170" s="18">
        <f>IF($A170&gt;'1-Input'!$B$26,D170,D170-'P-Parametri'!$B$8*(E170+D170)+MIN(MAX(E170,0),'P-Parametri'!$B$8*(E170+D170)))</f>
        <v>5558.9707154931502</v>
      </c>
      <c r="G170" s="18">
        <f>IF($A170&gt;'1-Input'!$B$26,E170,E170-MIN(MAX(E170,0),'P-Parametri'!$B$8*(E170+D170)))</f>
        <v>184450.34271658442</v>
      </c>
      <c r="H170" s="18">
        <f>IF($A170&gt;'1-Input'!$B$26,H169,H169-C170*(1-B170))</f>
        <v>41981.318129882879</v>
      </c>
      <c r="I170" s="11">
        <f>IF($A170&gt;'1-Input'!$B$26,0,IF(N169&lt;=0,0,MAX(0,(N169-O169)/N169)))</f>
        <v>0</v>
      </c>
      <c r="J170" s="18">
        <f>IF($A170&gt;'1-Input'!$B$26,0,(MAX(0,I121-IF($A170&gt;='1-Input'!$C$12,'1-Input'!$B$12,0))-MIN(MAX(M169,0),MAX(0,I121-IF($A170&gt;='1-Input'!$C$12,'1-Input'!$B$12,0))))*(1/(1-'P-Parametri'!$B$6*I170))+MIN(MAX(0,N169-(MAX(0,I121-IF($A170&gt;='1-Input'!$C$12,'1-Input'!$B$12,0))-MIN(MAX(M169,0),MAX(0,I121-IF($A170&gt;='1-Input'!$C$12,'1-Input'!$B$12,0))))*(1/(1-'P-Parametri'!$B$6*I170))),MAX(0,1*MAX(0,I121-IF($A170&gt;='1-Input'!$C$12,'1-Input'!$B$12,0))-(M169-MIN(MAX(M169,0),MAX(0,I121-IF($A170&gt;='1-Input'!$C$12,'1-Input'!$B$12,0)))))*(1/(1-'P-Parametri'!$B$6*I170))))</f>
        <v>0</v>
      </c>
      <c r="K170" s="18">
        <f>IF($A170&gt;'1-Input'!$B$26,M169,(M169-MAX(0,I121-IF($A170&gt;='1-Input'!$C$12,'1-Input'!$B$12,0))+J170*(1-'P-Parametri'!$B$6*I170))*(1+'1-Input'!$B$27))</f>
        <v>0</v>
      </c>
      <c r="L170" s="18">
        <f>IF($A170&gt;'1-Input'!$B$26,N169,(N169-J170)*(1+'5-Roberta'!$C$4))</f>
        <v>-293837.11249867512</v>
      </c>
      <c r="M170" s="18">
        <f>IF($A170&gt;'1-Input'!$B$26,K170,K170-'P-Parametri'!$B$8*(L170+K170)+MIN(MAX(L170,0),'P-Parametri'!$B$8*(L170+K170)))</f>
        <v>0</v>
      </c>
      <c r="N170" s="18">
        <f>IF($A170&gt;'1-Input'!$B$26,L170,L170-MIN(MAX(L170,0),'P-Parametri'!$B$8*(L170+K170)))</f>
        <v>-293837.11249867512</v>
      </c>
      <c r="O170" s="18">
        <f>IF($A170&gt;'1-Input'!$B$26,O169,O169-J170*(1-I170))</f>
        <v>-217180.0821986864</v>
      </c>
      <c r="P170" s="11">
        <f>IF($A170&gt;'1-Input'!$B$26,0,IF(U169&lt;=0,0,MAX(0,(U169-V169)/U169)))</f>
        <v>0</v>
      </c>
      <c r="Q170" s="18">
        <f>IF($A170&gt;'1-Input'!$B$26,0,(MAX(0,P121-IF($A170&gt;='1-Input'!$C$12,'1-Input'!$B$12,0))-MIN(MAX(T169,0),MAX(0,P121-IF($A170&gt;='1-Input'!$C$12,'1-Input'!$B$12,0))))*(1/(1-'P-Parametri'!$B$6*P170))+MIN(MAX(0,U169-(MAX(0,P121-IF($A170&gt;='1-Input'!$C$12,'1-Input'!$B$12,0))-MIN(MAX(T169,0),MAX(0,P121-IF($A170&gt;='1-Input'!$C$12,'1-Input'!$B$12,0))))*(1/(1-'P-Parametri'!$B$6*P170))),MAX(0,1*MAX(0,P121-IF($A170&gt;='1-Input'!$C$12,'1-Input'!$B$12,0))-(T169-MIN(MAX(T169,0),MAX(0,P121-IF($A170&gt;='1-Input'!$C$12,'1-Input'!$B$12,0)))))*(1/(1-'P-Parametri'!$B$6*P170))))</f>
        <v>0</v>
      </c>
      <c r="R170" s="18">
        <f>IF($A170&gt;'1-Input'!$B$26,T169,(T169-MAX(0,P121-IF($A170&gt;='1-Input'!$C$12,'1-Input'!$B$12,0))+Q170*(1-'P-Parametri'!$B$6*P170))*(1+'1-Input'!$B$27))</f>
        <v>0</v>
      </c>
      <c r="S170" s="18">
        <f>IF($A170&gt;'1-Input'!$B$26,U169,(U169-Q170)*(1+'5-Roberta'!$C$4))</f>
        <v>-22007.564835694695</v>
      </c>
      <c r="T170" s="18">
        <f>IF($A170&gt;'1-Input'!$B$26,R170,R170-'P-Parametri'!$B$8*(S170+R170)+MIN(MAX(S170,0),'P-Parametri'!$B$8*(S170+R170)))</f>
        <v>0</v>
      </c>
      <c r="U170" s="18">
        <f>IF($A170&gt;'1-Input'!$B$26,S170,S170-MIN(MAX(S170,0),'P-Parametri'!$B$8*(S170+R170)))</f>
        <v>-22007.564835694695</v>
      </c>
      <c r="V170" s="18">
        <f>IF($A170&gt;'1-Input'!$B$26,V169,V169-Q170*(1-P170))</f>
        <v>-20879.322273130751</v>
      </c>
      <c r="W170" s="11">
        <f>IF($A170&gt;'1-Input'!$B$26,0,IF(AB169&lt;=0,0,MAX(0,(AB169-AC169)/AB169)))</f>
        <v>0</v>
      </c>
      <c r="X170" s="18">
        <f>IF($A170&gt;'1-Input'!$B$26,0,(MAX(0,W121-IF($A170&gt;='1-Input'!$C$12,'1-Input'!$B$12,0))-MIN(MAX(AA169,0),MAX(0,W121-IF($A170&gt;='1-Input'!$C$12,'1-Input'!$B$12,0))))*(1/(1-'P-Parametri'!$B$6*W170))+MIN(MAX(0,AB169-(MAX(0,W121-IF($A170&gt;='1-Input'!$C$12,'1-Input'!$B$12,0))-MIN(MAX(AA169,0),MAX(0,W121-IF($A170&gt;='1-Input'!$C$12,'1-Input'!$B$12,0))))*(1/(1-'P-Parametri'!$B$6*W170))),MAX(0,1*MAX(0,W121-IF($A170&gt;='1-Input'!$C$12,'1-Input'!$B$12,0))-(AA169-MIN(MAX(AA169,0),MAX(0,W121-IF($A170&gt;='1-Input'!$C$12,'1-Input'!$B$12,0)))))*(1/(1-'P-Parametri'!$B$6*W170))))</f>
        <v>0</v>
      </c>
      <c r="Y170" s="18">
        <f>IF($A170&gt;'1-Input'!$B$26,AA169,(AA169-MAX(0,W121-IF($A170&gt;='1-Input'!$C$12,'1-Input'!$B$12,0))+X170*(1-'P-Parametri'!$B$6*W170))*(1+'1-Input'!$B$27))</f>
        <v>0</v>
      </c>
      <c r="Z170" s="18">
        <f>IF($A170&gt;'1-Input'!$B$26,AB169,(AB169-X170)*(1+'5-Roberta'!$C$4))</f>
        <v>-579.97171761916468</v>
      </c>
      <c r="AA170" s="18">
        <f>IF($A170&gt;'1-Input'!$B$26,Y170,Y170-'P-Parametri'!$B$8*(Z170+Y170)+MIN(MAX(Z170,0),'P-Parametri'!$B$8*(Z170+Y170)))</f>
        <v>0</v>
      </c>
      <c r="AB170" s="18">
        <f>IF($A170&gt;'1-Input'!$B$26,Z170,Z170-MIN(MAX(Z170,0),'P-Parametri'!$B$8*(Z170+Y170)))</f>
        <v>-579.97171761916468</v>
      </c>
      <c r="AC170" s="18">
        <f>IF($A170&gt;'1-Input'!$B$26,AC169,AC169-X170*(1-W170))</f>
        <v>-564.20775300033574</v>
      </c>
      <c r="AD170" s="11">
        <f>IF($A170&gt;'1-Input'!$B$26,0,IF(AI169&lt;=0,0,MAX(0,(AI169-AJ169)/AI169)))</f>
        <v>0</v>
      </c>
      <c r="AE170" s="18">
        <f>IF($A170&gt;'1-Input'!$B$26,0,(MAX(0,AD121-IF($A170&gt;='1-Input'!$C$12,'1-Input'!$B$12,0))-MIN(MAX(AH169,0),MAX(0,AD121-IF($A170&gt;='1-Input'!$C$12,'1-Input'!$B$12,0))))*(1/(1-'P-Parametri'!$B$6*AD170))+MIN(MAX(0,AI169-(MAX(0,AD121-IF($A170&gt;='1-Input'!$C$12,'1-Input'!$B$12,0))-MIN(MAX(AH169,0),MAX(0,AD121-IF($A170&gt;='1-Input'!$C$12,'1-Input'!$B$12,0))))*(1/(1-'P-Parametri'!$B$6*AD170))),MAX(0,1*MAX(0,AD121-IF($A170&gt;='1-Input'!$C$12,'1-Input'!$B$12,0))-(AH169-MIN(MAX(AH169,0),MAX(0,AD121-IF($A170&gt;='1-Input'!$C$12,'1-Input'!$B$12,0)))))*(1/(1-'P-Parametri'!$B$6*AD170))))</f>
        <v>0</v>
      </c>
      <c r="AF170" s="18">
        <f>IF($A170&gt;'1-Input'!$B$26,AH169,(AH169-MAX(0,AD121-IF($A170&gt;='1-Input'!$C$12,'1-Input'!$B$12,0))+AE170*(1-'P-Parametri'!$B$6*AD170))*(1+'1-Input'!$B$27))</f>
        <v>3.6112429588929316</v>
      </c>
      <c r="AG170" s="18">
        <f>IF($A170&gt;'1-Input'!$B$26,AI169,(AI169-AE170)*(1+'5-Roberta'!$C$4))</f>
        <v>0</v>
      </c>
      <c r="AH170" s="18">
        <f>IF($A170&gt;'1-Input'!$B$26,AF170,AF170-'P-Parametri'!$B$8*(AG170+AF170)+MIN(MAX(AG170,0),'P-Parametri'!$B$8*(AG170+AF170)))</f>
        <v>3.6112429588929316</v>
      </c>
      <c r="AI170" s="18">
        <f>IF($A170&gt;'1-Input'!$B$26,AG170,AG170-MIN(MAX(AG170,0),'P-Parametri'!$B$8*(AG170+AF170)))</f>
        <v>0</v>
      </c>
      <c r="AJ170" s="18">
        <f>IF($A170&gt;'1-Input'!$B$26,AJ169,AJ169-AE170*(1-AD170))</f>
        <v>-1.7763568394002505E-15</v>
      </c>
      <c r="AK170" s="11">
        <f>IF($A170&gt;'1-Input'!$B$26,0,IF(AP169&lt;=0,0,MAX(0,(AP169-AQ169)/AP169)))</f>
        <v>0</v>
      </c>
      <c r="AL170" s="18">
        <f>IF($A170&gt;'1-Input'!$B$26,0,(MAX(0,AK121-IF($A170&gt;='1-Input'!$C$12,'1-Input'!$B$12,0))-MIN(MAX(AO169,0),MAX(0,AK121-IF($A170&gt;='1-Input'!$C$12,'1-Input'!$B$12,0))))*(1/(1-'P-Parametri'!$B$6*AK170))+MIN(MAX(0,AP169-(MAX(0,AK121-IF($A170&gt;='1-Input'!$C$12,'1-Input'!$B$12,0))-MIN(MAX(AO169,0),MAX(0,AK121-IF($A170&gt;='1-Input'!$C$12,'1-Input'!$B$12,0))))*(1/(1-'P-Parametri'!$B$6*AK170))),MAX(0,1*MAX(0,AK121-IF($A170&gt;='1-Input'!$C$12,'1-Input'!$B$12,0))-(AO169-MIN(MAX(AO169,0),MAX(0,AK121-IF($A170&gt;='1-Input'!$C$12,'1-Input'!$B$12,0)))))*(1/(1-'P-Parametri'!$B$6*AK170))))</f>
        <v>0</v>
      </c>
      <c r="AM170" s="18">
        <f>IF($A170&gt;'1-Input'!$B$26,AO169,(AO169-MAX(0,AK121-IF($A170&gt;='1-Input'!$C$12,'1-Input'!$B$12,0))+AL170*(1-'P-Parametri'!$B$6*AK170))*(1+'1-Input'!$B$27))</f>
        <v>3.9211191621347043E-2</v>
      </c>
      <c r="AN170" s="18">
        <f>IF($A170&gt;'1-Input'!$B$26,AP169,(AP169-AL170)*(1+'5-Roberta'!$C$4))</f>
        <v>0</v>
      </c>
      <c r="AO170" s="18">
        <f>IF($A170&gt;'1-Input'!$B$26,AM170,AM170-'P-Parametri'!$B$8*(AN170+AM170)+MIN(MAX(AN170,0),'P-Parametri'!$B$8*(AN170+AM170)))</f>
        <v>3.9211191621347043E-2</v>
      </c>
      <c r="AP170" s="18">
        <f>IF($A170&gt;'1-Input'!$B$26,AN170,AN170-MIN(MAX(AN170,0),'P-Parametri'!$B$8*(AN170+AM170)))</f>
        <v>0</v>
      </c>
      <c r="AQ170" s="18">
        <f>IF($A170&gt;'1-Input'!$B$26,AQ169,AQ169-AL170*(1-AK170))</f>
        <v>0</v>
      </c>
    </row>
    <row r="171" spans="1:43">
      <c r="A171" s="10">
        <f>48</f>
        <v>48</v>
      </c>
      <c r="B171" s="11">
        <f>IF($A171&gt;'1-Input'!$B$26,0,IF(G170&lt;=0,0,MAX(0,(G170-H170)/G170)))</f>
        <v>0</v>
      </c>
      <c r="C171" s="18">
        <f>IF($A171&gt;'1-Input'!$B$26,0,(MAX(0,B121-IF($A171&gt;='1-Input'!$C$12,'1-Input'!$B$12,0))-MIN(MAX(F170,0),MAX(0,B121-IF($A171&gt;='1-Input'!$C$12,'1-Input'!$B$12,0))))*(1/(1-'P-Parametri'!$B$6*B171))+MIN(MAX(0,G170-(MAX(0,B121-IF($A171&gt;='1-Input'!$C$12,'1-Input'!$B$12,0))-MIN(MAX(F170,0),MAX(0,B121-IF($A171&gt;='1-Input'!$C$12,'1-Input'!$B$12,0))))*(1/(1-'P-Parametri'!$B$6*B171))),MAX(0,1*MAX(0,B121-IF($A171&gt;='1-Input'!$C$12,'1-Input'!$B$12,0))-(F170-MIN(MAX(F170,0),MAX(0,B121-IF($A171&gt;='1-Input'!$C$12,'1-Input'!$B$12,0)))))*(1/(1-'P-Parametri'!$B$6*B171))))</f>
        <v>0</v>
      </c>
      <c r="D171" s="18">
        <f>IF($A171&gt;'1-Input'!$B$26,F170,(F170-MAX(0,B121-IF($A171&gt;='1-Input'!$C$12,'1-Input'!$B$12,0))+C171*(1-'P-Parametri'!$B$6*B171))*(1+'1-Input'!$B$27))</f>
        <v>5558.9707154931502</v>
      </c>
      <c r="E171" s="18">
        <f>IF($A171&gt;'1-Input'!$B$26,G170,(G170-C171)*(1+'5-Roberta'!$C$4))</f>
        <v>184450.34271658442</v>
      </c>
      <c r="F171" s="18">
        <f>IF($A171&gt;'1-Input'!$B$26,D171,D171-'P-Parametri'!$B$8*(E171+D171)+MIN(MAX(E171,0),'P-Parametri'!$B$8*(E171+D171)))</f>
        <v>5558.9707154931502</v>
      </c>
      <c r="G171" s="18">
        <f>IF($A171&gt;'1-Input'!$B$26,E171,E171-MIN(MAX(E171,0),'P-Parametri'!$B$8*(E171+D171)))</f>
        <v>184450.34271658442</v>
      </c>
      <c r="H171" s="18">
        <f>IF($A171&gt;'1-Input'!$B$26,H170,H170-C171*(1-B171))</f>
        <v>41981.318129882879</v>
      </c>
      <c r="I171" s="11">
        <f>IF($A171&gt;'1-Input'!$B$26,0,IF(N170&lt;=0,0,MAX(0,(N170-O170)/N170)))</f>
        <v>0</v>
      </c>
      <c r="J171" s="18">
        <f>IF($A171&gt;'1-Input'!$B$26,0,(MAX(0,I121-IF($A171&gt;='1-Input'!$C$12,'1-Input'!$B$12,0))-MIN(MAX(M170,0),MAX(0,I121-IF($A171&gt;='1-Input'!$C$12,'1-Input'!$B$12,0))))*(1/(1-'P-Parametri'!$B$6*I171))+MIN(MAX(0,N170-(MAX(0,I121-IF($A171&gt;='1-Input'!$C$12,'1-Input'!$B$12,0))-MIN(MAX(M170,0),MAX(0,I121-IF($A171&gt;='1-Input'!$C$12,'1-Input'!$B$12,0))))*(1/(1-'P-Parametri'!$B$6*I171))),MAX(0,1*MAX(0,I121-IF($A171&gt;='1-Input'!$C$12,'1-Input'!$B$12,0))-(M170-MIN(MAX(M170,0),MAX(0,I121-IF($A171&gt;='1-Input'!$C$12,'1-Input'!$B$12,0)))))*(1/(1-'P-Parametri'!$B$6*I171))))</f>
        <v>0</v>
      </c>
      <c r="K171" s="18">
        <f>IF($A171&gt;'1-Input'!$B$26,M170,(M170-MAX(0,I121-IF($A171&gt;='1-Input'!$C$12,'1-Input'!$B$12,0))+J171*(1-'P-Parametri'!$B$6*I171))*(1+'1-Input'!$B$27))</f>
        <v>0</v>
      </c>
      <c r="L171" s="18">
        <f>IF($A171&gt;'1-Input'!$B$26,N170,(N170-J171)*(1+'5-Roberta'!$C$4))</f>
        <v>-293837.11249867512</v>
      </c>
      <c r="M171" s="18">
        <f>IF($A171&gt;'1-Input'!$B$26,K171,K171-'P-Parametri'!$B$8*(L171+K171)+MIN(MAX(L171,0),'P-Parametri'!$B$8*(L171+K171)))</f>
        <v>0</v>
      </c>
      <c r="N171" s="18">
        <f>IF($A171&gt;'1-Input'!$B$26,L171,L171-MIN(MAX(L171,0),'P-Parametri'!$B$8*(L171+K171)))</f>
        <v>-293837.11249867512</v>
      </c>
      <c r="O171" s="18">
        <f>IF($A171&gt;'1-Input'!$B$26,O170,O170-J171*(1-I171))</f>
        <v>-217180.0821986864</v>
      </c>
      <c r="P171" s="11">
        <f>IF($A171&gt;'1-Input'!$B$26,0,IF(U170&lt;=0,0,MAX(0,(U170-V170)/U170)))</f>
        <v>0</v>
      </c>
      <c r="Q171" s="18">
        <f>IF($A171&gt;'1-Input'!$B$26,0,(MAX(0,P121-IF($A171&gt;='1-Input'!$C$12,'1-Input'!$B$12,0))-MIN(MAX(T170,0),MAX(0,P121-IF($A171&gt;='1-Input'!$C$12,'1-Input'!$B$12,0))))*(1/(1-'P-Parametri'!$B$6*P171))+MIN(MAX(0,U170-(MAX(0,P121-IF($A171&gt;='1-Input'!$C$12,'1-Input'!$B$12,0))-MIN(MAX(T170,0),MAX(0,P121-IF($A171&gt;='1-Input'!$C$12,'1-Input'!$B$12,0))))*(1/(1-'P-Parametri'!$B$6*P171))),MAX(0,1*MAX(0,P121-IF($A171&gt;='1-Input'!$C$12,'1-Input'!$B$12,0))-(T170-MIN(MAX(T170,0),MAX(0,P121-IF($A171&gt;='1-Input'!$C$12,'1-Input'!$B$12,0)))))*(1/(1-'P-Parametri'!$B$6*P171))))</f>
        <v>0</v>
      </c>
      <c r="R171" s="18">
        <f>IF($A171&gt;'1-Input'!$B$26,T170,(T170-MAX(0,P121-IF($A171&gt;='1-Input'!$C$12,'1-Input'!$B$12,0))+Q171*(1-'P-Parametri'!$B$6*P171))*(1+'1-Input'!$B$27))</f>
        <v>0</v>
      </c>
      <c r="S171" s="18">
        <f>IF($A171&gt;'1-Input'!$B$26,U170,(U170-Q171)*(1+'5-Roberta'!$C$4))</f>
        <v>-22007.564835694695</v>
      </c>
      <c r="T171" s="18">
        <f>IF($A171&gt;'1-Input'!$B$26,R171,R171-'P-Parametri'!$B$8*(S171+R171)+MIN(MAX(S171,0),'P-Parametri'!$B$8*(S171+R171)))</f>
        <v>0</v>
      </c>
      <c r="U171" s="18">
        <f>IF($A171&gt;'1-Input'!$B$26,S171,S171-MIN(MAX(S171,0),'P-Parametri'!$B$8*(S171+R171)))</f>
        <v>-22007.564835694695</v>
      </c>
      <c r="V171" s="18">
        <f>IF($A171&gt;'1-Input'!$B$26,V170,V170-Q171*(1-P171))</f>
        <v>-20879.322273130751</v>
      </c>
      <c r="W171" s="11">
        <f>IF($A171&gt;'1-Input'!$B$26,0,IF(AB170&lt;=0,0,MAX(0,(AB170-AC170)/AB170)))</f>
        <v>0</v>
      </c>
      <c r="X171" s="18">
        <f>IF($A171&gt;'1-Input'!$B$26,0,(MAX(0,W121-IF($A171&gt;='1-Input'!$C$12,'1-Input'!$B$12,0))-MIN(MAX(AA170,0),MAX(0,W121-IF($A171&gt;='1-Input'!$C$12,'1-Input'!$B$12,0))))*(1/(1-'P-Parametri'!$B$6*W171))+MIN(MAX(0,AB170-(MAX(0,W121-IF($A171&gt;='1-Input'!$C$12,'1-Input'!$B$12,0))-MIN(MAX(AA170,0),MAX(0,W121-IF($A171&gt;='1-Input'!$C$12,'1-Input'!$B$12,0))))*(1/(1-'P-Parametri'!$B$6*W171))),MAX(0,1*MAX(0,W121-IF($A171&gt;='1-Input'!$C$12,'1-Input'!$B$12,0))-(AA170-MIN(MAX(AA170,0),MAX(0,W121-IF($A171&gt;='1-Input'!$C$12,'1-Input'!$B$12,0)))))*(1/(1-'P-Parametri'!$B$6*W171))))</f>
        <v>0</v>
      </c>
      <c r="Y171" s="18">
        <f>IF($A171&gt;'1-Input'!$B$26,AA170,(AA170-MAX(0,W121-IF($A171&gt;='1-Input'!$C$12,'1-Input'!$B$12,0))+X171*(1-'P-Parametri'!$B$6*W171))*(1+'1-Input'!$B$27))</f>
        <v>0</v>
      </c>
      <c r="Z171" s="18">
        <f>IF($A171&gt;'1-Input'!$B$26,AB170,(AB170-X171)*(1+'5-Roberta'!$C$4))</f>
        <v>-579.97171761916468</v>
      </c>
      <c r="AA171" s="18">
        <f>IF($A171&gt;'1-Input'!$B$26,Y171,Y171-'P-Parametri'!$B$8*(Z171+Y171)+MIN(MAX(Z171,0),'P-Parametri'!$B$8*(Z171+Y171)))</f>
        <v>0</v>
      </c>
      <c r="AB171" s="18">
        <f>IF($A171&gt;'1-Input'!$B$26,Z171,Z171-MIN(MAX(Z171,0),'P-Parametri'!$B$8*(Z171+Y171)))</f>
        <v>-579.97171761916468</v>
      </c>
      <c r="AC171" s="18">
        <f>IF($A171&gt;'1-Input'!$B$26,AC170,AC170-X171*(1-W171))</f>
        <v>-564.20775300033574</v>
      </c>
      <c r="AD171" s="11">
        <f>IF($A171&gt;'1-Input'!$B$26,0,IF(AI170&lt;=0,0,MAX(0,(AI170-AJ170)/AI170)))</f>
        <v>0</v>
      </c>
      <c r="AE171" s="18">
        <f>IF($A171&gt;'1-Input'!$B$26,0,(MAX(0,AD121-IF($A171&gt;='1-Input'!$C$12,'1-Input'!$B$12,0))-MIN(MAX(AH170,0),MAX(0,AD121-IF($A171&gt;='1-Input'!$C$12,'1-Input'!$B$12,0))))*(1/(1-'P-Parametri'!$B$6*AD171))+MIN(MAX(0,AI170-(MAX(0,AD121-IF($A171&gt;='1-Input'!$C$12,'1-Input'!$B$12,0))-MIN(MAX(AH170,0),MAX(0,AD121-IF($A171&gt;='1-Input'!$C$12,'1-Input'!$B$12,0))))*(1/(1-'P-Parametri'!$B$6*AD171))),MAX(0,1*MAX(0,AD121-IF($A171&gt;='1-Input'!$C$12,'1-Input'!$B$12,0))-(AH170-MIN(MAX(AH170,0),MAX(0,AD121-IF($A171&gt;='1-Input'!$C$12,'1-Input'!$B$12,0)))))*(1/(1-'P-Parametri'!$B$6*AD171))))</f>
        <v>0</v>
      </c>
      <c r="AF171" s="18">
        <f>IF($A171&gt;'1-Input'!$B$26,AH170,(AH170-MAX(0,AD121-IF($A171&gt;='1-Input'!$C$12,'1-Input'!$B$12,0))+AE171*(1-'P-Parametri'!$B$6*AD171))*(1+'1-Input'!$B$27))</f>
        <v>3.6112429588929316</v>
      </c>
      <c r="AG171" s="18">
        <f>IF($A171&gt;'1-Input'!$B$26,AI170,(AI170-AE171)*(1+'5-Roberta'!$C$4))</f>
        <v>0</v>
      </c>
      <c r="AH171" s="18">
        <f>IF($A171&gt;'1-Input'!$B$26,AF171,AF171-'P-Parametri'!$B$8*(AG171+AF171)+MIN(MAX(AG171,0),'P-Parametri'!$B$8*(AG171+AF171)))</f>
        <v>3.6112429588929316</v>
      </c>
      <c r="AI171" s="18">
        <f>IF($A171&gt;'1-Input'!$B$26,AG171,AG171-MIN(MAX(AG171,0),'P-Parametri'!$B$8*(AG171+AF171)))</f>
        <v>0</v>
      </c>
      <c r="AJ171" s="18">
        <f>IF($A171&gt;'1-Input'!$B$26,AJ170,AJ170-AE171*(1-AD171))</f>
        <v>-1.7763568394002505E-15</v>
      </c>
      <c r="AK171" s="11">
        <f>IF($A171&gt;'1-Input'!$B$26,0,IF(AP170&lt;=0,0,MAX(0,(AP170-AQ170)/AP170)))</f>
        <v>0</v>
      </c>
      <c r="AL171" s="18">
        <f>IF($A171&gt;'1-Input'!$B$26,0,(MAX(0,AK121-IF($A171&gt;='1-Input'!$C$12,'1-Input'!$B$12,0))-MIN(MAX(AO170,0),MAX(0,AK121-IF($A171&gt;='1-Input'!$C$12,'1-Input'!$B$12,0))))*(1/(1-'P-Parametri'!$B$6*AK171))+MIN(MAX(0,AP170-(MAX(0,AK121-IF($A171&gt;='1-Input'!$C$12,'1-Input'!$B$12,0))-MIN(MAX(AO170,0),MAX(0,AK121-IF($A171&gt;='1-Input'!$C$12,'1-Input'!$B$12,0))))*(1/(1-'P-Parametri'!$B$6*AK171))),MAX(0,1*MAX(0,AK121-IF($A171&gt;='1-Input'!$C$12,'1-Input'!$B$12,0))-(AO170-MIN(MAX(AO170,0),MAX(0,AK121-IF($A171&gt;='1-Input'!$C$12,'1-Input'!$B$12,0)))))*(1/(1-'P-Parametri'!$B$6*AK171))))</f>
        <v>0</v>
      </c>
      <c r="AM171" s="18">
        <f>IF($A171&gt;'1-Input'!$B$26,AO170,(AO170-MAX(0,AK121-IF($A171&gt;='1-Input'!$C$12,'1-Input'!$B$12,0))+AL171*(1-'P-Parametri'!$B$6*AK171))*(1+'1-Input'!$B$27))</f>
        <v>3.9211191621347043E-2</v>
      </c>
      <c r="AN171" s="18">
        <f>IF($A171&gt;'1-Input'!$B$26,AP170,(AP170-AL171)*(1+'5-Roberta'!$C$4))</f>
        <v>0</v>
      </c>
      <c r="AO171" s="18">
        <f>IF($A171&gt;'1-Input'!$B$26,AM171,AM171-'P-Parametri'!$B$8*(AN171+AM171)+MIN(MAX(AN171,0),'P-Parametri'!$B$8*(AN171+AM171)))</f>
        <v>3.9211191621347043E-2</v>
      </c>
      <c r="AP171" s="18">
        <f>IF($A171&gt;'1-Input'!$B$26,AN171,AN171-MIN(MAX(AN171,0),'P-Parametri'!$B$8*(AN171+AM171)))</f>
        <v>0</v>
      </c>
      <c r="AQ171" s="18">
        <f>IF($A171&gt;'1-Input'!$B$26,AQ170,AQ170-AL171*(1-AK171))</f>
        <v>0</v>
      </c>
    </row>
    <row r="172" spans="1:43">
      <c r="A172" s="4" t="s">
        <v>365</v>
      </c>
      <c r="B172" s="18">
        <f>F171+G171</f>
        <v>190009.31343207756</v>
      </c>
      <c r="I172" s="18">
        <f>M171+N171</f>
        <v>-293837.11249867512</v>
      </c>
      <c r="P172" s="18">
        <f>T171+U171</f>
        <v>-22007.564835694695</v>
      </c>
      <c r="W172" s="18">
        <f>AA171+AB171</f>
        <v>-579.97171761916468</v>
      </c>
      <c r="AD172" s="18">
        <f>AH171+AI171</f>
        <v>3.6112429588929316</v>
      </c>
      <c r="AK172" s="18">
        <f>AO171+AP171</f>
        <v>3.9211191621347043E-2</v>
      </c>
    </row>
    <row r="173" spans="1:43">
      <c r="A173" s="5" t="s">
        <v>266</v>
      </c>
      <c r="B173" s="18">
        <f>IFERROR(AK121-AK172*(AK121-AD121)/(AK172-AD172),AK121)</f>
        <v>18483.748642111765</v>
      </c>
    </row>
    <row r="175" spans="1:43">
      <c r="A175" s="2" t="s">
        <v>546</v>
      </c>
    </row>
    <row r="176" spans="1:43">
      <c r="A176" s="4" t="s">
        <v>360</v>
      </c>
      <c r="B176" s="9">
        <f>0.038*'2-Caso'!$B$12</f>
        <v>16681.055314625803</v>
      </c>
      <c r="I176" s="9">
        <f>0.05*'2-Caso'!$B$12</f>
        <v>21948.756992928691</v>
      </c>
      <c r="P176" s="18">
        <f>IFERROR(I176-I227*(I176-B176)/(I227-B227),I176)</f>
        <v>18393.178875173449</v>
      </c>
      <c r="W176" s="18">
        <f>IFERROR(P176-P227*(P176-I176)/(P227-I227),P176)</f>
        <v>18140.272899174153</v>
      </c>
      <c r="AD176" s="18">
        <f>IFERROR(W176-W227*(W176-P176)/(W227-P227),W176)</f>
        <v>18133.724214444755</v>
      </c>
      <c r="AK176" s="18">
        <f>IFERROR(AD176-AD227*(AD176-W176)/(AD227-W227),AD176)</f>
        <v>18133.833653250837</v>
      </c>
    </row>
    <row r="177" spans="1:43" ht="30">
      <c r="A177" s="25" t="s">
        <v>262</v>
      </c>
      <c r="B177" s="25" t="s">
        <v>361</v>
      </c>
      <c r="C177" s="25" t="s">
        <v>263</v>
      </c>
      <c r="D177" s="25" t="s">
        <v>362</v>
      </c>
      <c r="E177" s="25" t="s">
        <v>363</v>
      </c>
      <c r="F177" s="25" t="s">
        <v>264</v>
      </c>
      <c r="G177" s="25" t="s">
        <v>265</v>
      </c>
      <c r="H177" s="25" t="s">
        <v>364</v>
      </c>
      <c r="I177" s="25" t="s">
        <v>361</v>
      </c>
      <c r="J177" s="25" t="s">
        <v>263</v>
      </c>
      <c r="K177" s="25" t="s">
        <v>362</v>
      </c>
      <c r="L177" s="25" t="s">
        <v>363</v>
      </c>
      <c r="M177" s="25" t="s">
        <v>264</v>
      </c>
      <c r="N177" s="25" t="s">
        <v>265</v>
      </c>
      <c r="O177" s="25" t="s">
        <v>364</v>
      </c>
      <c r="P177" s="25" t="s">
        <v>361</v>
      </c>
      <c r="Q177" s="25" t="s">
        <v>263</v>
      </c>
      <c r="R177" s="25" t="s">
        <v>362</v>
      </c>
      <c r="S177" s="25" t="s">
        <v>363</v>
      </c>
      <c r="T177" s="25" t="s">
        <v>264</v>
      </c>
      <c r="U177" s="25" t="s">
        <v>265</v>
      </c>
      <c r="V177" s="25" t="s">
        <v>364</v>
      </c>
      <c r="W177" s="25" t="s">
        <v>361</v>
      </c>
      <c r="X177" s="25" t="s">
        <v>263</v>
      </c>
      <c r="Y177" s="25" t="s">
        <v>362</v>
      </c>
      <c r="Z177" s="25" t="s">
        <v>363</v>
      </c>
      <c r="AA177" s="25" t="s">
        <v>264</v>
      </c>
      <c r="AB177" s="25" t="s">
        <v>265</v>
      </c>
      <c r="AC177" s="25" t="s">
        <v>364</v>
      </c>
      <c r="AD177" s="25" t="s">
        <v>361</v>
      </c>
      <c r="AE177" s="25" t="s">
        <v>263</v>
      </c>
      <c r="AF177" s="25" t="s">
        <v>362</v>
      </c>
      <c r="AG177" s="25" t="s">
        <v>363</v>
      </c>
      <c r="AH177" s="25" t="s">
        <v>264</v>
      </c>
      <c r="AI177" s="25" t="s">
        <v>265</v>
      </c>
      <c r="AJ177" s="25" t="s">
        <v>364</v>
      </c>
      <c r="AK177" s="25" t="s">
        <v>361</v>
      </c>
      <c r="AL177" s="25" t="s">
        <v>263</v>
      </c>
      <c r="AM177" s="25" t="s">
        <v>362</v>
      </c>
      <c r="AN177" s="25" t="s">
        <v>363</v>
      </c>
      <c r="AO177" s="25" t="s">
        <v>264</v>
      </c>
      <c r="AP177" s="25" t="s">
        <v>265</v>
      </c>
      <c r="AQ177" s="25" t="s">
        <v>364</v>
      </c>
    </row>
    <row r="178" spans="1:43">
      <c r="A178" s="3">
        <v>0</v>
      </c>
      <c r="F178" s="18">
        <f>MIN(2*B176,'2-Caso'!$B$12)</f>
        <v>33362.110629251605</v>
      </c>
      <c r="G178" s="18">
        <f>'2-Caso'!$B$12-F178</f>
        <v>405613.02922932222</v>
      </c>
      <c r="H178" s="18">
        <f>'2-Caso'!$B$13*G178/'2-Caso'!$B$12</f>
        <v>317856</v>
      </c>
      <c r="M178" s="18">
        <f>MIN(2*I176,'2-Caso'!$B$12)</f>
        <v>43897.513985857382</v>
      </c>
      <c r="N178" s="18">
        <f>'2-Caso'!$B$12-M178</f>
        <v>395077.62587271642</v>
      </c>
      <c r="O178" s="18">
        <f>'2-Caso'!$B$13*N178/'2-Caso'!$B$12</f>
        <v>309600</v>
      </c>
      <c r="T178" s="18">
        <f>MIN(2*P176,'2-Caso'!$B$12)</f>
        <v>36786.357750346899</v>
      </c>
      <c r="U178" s="18">
        <f>'2-Caso'!$B$12-T178</f>
        <v>402188.78210822691</v>
      </c>
      <c r="V178" s="18">
        <f>'2-Caso'!$B$13*U178/'2-Caso'!$B$12</f>
        <v>315172.61111825996</v>
      </c>
      <c r="AA178" s="18">
        <f>MIN(2*W176,'2-Caso'!$B$12)</f>
        <v>36280.545798348307</v>
      </c>
      <c r="AB178" s="18">
        <f>'2-Caso'!$B$12-AA178</f>
        <v>402694.59406022547</v>
      </c>
      <c r="AC178" s="18">
        <f>'2-Caso'!$B$13*AB178/'2-Caso'!$B$12</f>
        <v>315568.98734936852</v>
      </c>
      <c r="AH178" s="18">
        <f>MIN(2*AD176,'2-Caso'!$B$12)</f>
        <v>36267.448428889511</v>
      </c>
      <c r="AI178" s="18">
        <f>'2-Caso'!$B$12-AH178</f>
        <v>402707.69142968429</v>
      </c>
      <c r="AJ178" s="18">
        <f>'2-Caso'!$B$13*AI178/'2-Caso'!$B$12</f>
        <v>315579.25101736415</v>
      </c>
      <c r="AO178" s="18">
        <f>MIN(2*AK176,'2-Caso'!$B$12)</f>
        <v>36267.667306501673</v>
      </c>
      <c r="AP178" s="18">
        <f>'2-Caso'!$B$12-AO178</f>
        <v>402707.47255207214</v>
      </c>
      <c r="AQ178" s="18">
        <f>'2-Caso'!$B$13*AP178/'2-Caso'!$B$12</f>
        <v>315579.07949535357</v>
      </c>
    </row>
    <row r="179" spans="1:43">
      <c r="A179" s="10">
        <f>1</f>
        <v>1</v>
      </c>
      <c r="B179" s="11">
        <f>IF($A179&gt;'1-Input'!$B$26,0,IF(G178&lt;=0,0,MAX(0,(G178-H178)/G178)))</f>
        <v>0.21635653419729486</v>
      </c>
      <c r="C179" s="18">
        <f>IF($A179&gt;'1-Input'!$B$26,0,(MAX(0,B176-IF($A179&gt;='1-Input'!$C$12,'1-Input'!$B$12,0))-MIN(MAX(F178,0),MAX(0,B176-IF($A179&gt;='1-Input'!$C$12,'1-Input'!$B$12,0))))*(1/(1-'P-Parametri'!$B$6*B179))+MIN(MAX(0,G178-(MAX(0,B176-IF($A179&gt;='1-Input'!$C$12,'1-Input'!$B$12,0))-MIN(MAX(F178,0),MAX(0,B176-IF($A179&gt;='1-Input'!$C$12,'1-Input'!$B$12,0))))*(1/(1-'P-Parametri'!$B$6*B179))),MAX(0,2*MAX(0,B176-IF($A179&gt;='1-Input'!$C$12,'1-Input'!$B$12,0))-(F178-MIN(MAX(F178,0),MAX(0,B176-IF($A179&gt;='1-Input'!$C$12,'1-Input'!$B$12,0)))))*(1/(1-'P-Parametri'!$B$6*B179))))</f>
        <v>17675.340946701614</v>
      </c>
      <c r="D179" s="18">
        <f>IF($A179&gt;'1-Input'!$B$26,F178,(F178-MAX(0,B176-IF($A179&gt;='1-Input'!$C$12,'1-Input'!$B$12,0))+C179*(1-'P-Parametri'!$B$6*B179))*(1+'1-Input'!$B$27))</f>
        <v>33242.0070309863</v>
      </c>
      <c r="E179" s="18">
        <f>IF($A179&gt;'1-Input'!$B$26,G178,(G178-C179)*(1+'5-Roberta'!$C$4))</f>
        <v>399575.81893109926</v>
      </c>
      <c r="F179" s="18">
        <f>IF($A179&gt;'1-Input'!$B$26,D179,D179-'P-Parametri'!$B$8*(E179+D179)+MIN(MAX(E179,0),'P-Parametri'!$B$8*(E179+D179)))</f>
        <v>33242.0070309863</v>
      </c>
      <c r="G179" s="18">
        <f>IF($A179&gt;'1-Input'!$B$26,E179,E179-MIN(MAX(E179,0),'P-Parametri'!$B$8*(E179+D179)))</f>
        <v>398710.18327917508</v>
      </c>
      <c r="H179" s="18">
        <f>IF($A179&gt;'1-Input'!$B$26,H178,H178-C179*(1-B179))</f>
        <v>304004.8345612823</v>
      </c>
      <c r="I179" s="11">
        <f>IF($A179&gt;'1-Input'!$B$26,0,IF(N178&lt;=0,0,MAX(0,(N178-O178)/N178)))</f>
        <v>0.21635653419729484</v>
      </c>
      <c r="J179" s="18">
        <f>IF($A179&gt;'1-Input'!$B$26,0,(MAX(0,I176-IF($A179&gt;='1-Input'!$C$12,'1-Input'!$B$12,0))-MIN(MAX(M178,0),MAX(0,I176-IF($A179&gt;='1-Input'!$C$12,'1-Input'!$B$12,0))))*(1/(1-'P-Parametri'!$B$6*I179))+MIN(MAX(0,N178-(MAX(0,I176-IF($A179&gt;='1-Input'!$C$12,'1-Input'!$B$12,0))-MIN(MAX(M178,0),MAX(0,I176-IF($A179&gt;='1-Input'!$C$12,'1-Input'!$B$12,0))))*(1/(1-'P-Parametri'!$B$6*I179))),MAX(0,2*MAX(0,I176-IF($A179&gt;='1-Input'!$C$12,'1-Input'!$B$12,0))-(M178-MIN(MAX(M178,0),MAX(0,I176-IF($A179&gt;='1-Input'!$C$12,'1-Input'!$B$12,0)))))*(1/(1-'P-Parametri'!$B$6*I179))))</f>
        <v>23257.027561449497</v>
      </c>
      <c r="K179" s="18">
        <f>IF($A179&gt;'1-Input'!$B$26,M178,(M178-MAX(0,I176-IF($A179&gt;='1-Input'!$C$12,'1-Input'!$B$12,0))+J179*(1-'P-Parametri'!$B$6*I179))*(1+'1-Input'!$B$27))</f>
        <v>43739.482935508291</v>
      </c>
      <c r="L179" s="18">
        <f>IF($A179&gt;'1-Input'!$B$26,N178,(N178-J179)*(1+'5-Roberta'!$C$4))</f>
        <v>382975.21626060491</v>
      </c>
      <c r="M179" s="18">
        <f>IF($A179&gt;'1-Input'!$B$26,K179,K179-'P-Parametri'!$B$8*(L179+K179)+MIN(MAX(L179,0),'P-Parametri'!$B$8*(L179+K179)))</f>
        <v>43739.482935508291</v>
      </c>
      <c r="N179" s="18">
        <f>IF($A179&gt;'1-Input'!$B$26,L179,L179-MIN(MAX(L179,0),'P-Parametri'!$B$8*(L179+K179)))</f>
        <v>382121.7868622127</v>
      </c>
      <c r="O179" s="18">
        <f>IF($A179&gt;'1-Input'!$B$26,O178,O178-J179*(1-I179))</f>
        <v>291374.7823174767</v>
      </c>
      <c r="P179" s="11">
        <f>IF($A179&gt;'1-Input'!$B$26,0,IF(U178&lt;=0,0,MAX(0,(U178-V178)/U178)))</f>
        <v>0.21635653419729484</v>
      </c>
      <c r="Q179" s="18">
        <f>IF($A179&gt;'1-Input'!$B$26,0,(MAX(0,P176-IF($A179&gt;='1-Input'!$C$12,'1-Input'!$B$12,0))-MIN(MAX(T178,0),MAX(0,P176-IF($A179&gt;='1-Input'!$C$12,'1-Input'!$B$12,0))))*(1/(1-'P-Parametri'!$B$6*P179))+MIN(MAX(0,U178-(MAX(0,P176-IF($A179&gt;='1-Input'!$C$12,'1-Input'!$B$12,0))-MIN(MAX(T178,0),MAX(0,P176-IF($A179&gt;='1-Input'!$C$12,'1-Input'!$B$12,0))))*(1/(1-'P-Parametri'!$B$6*P179))),MAX(0,2*MAX(0,P176-IF($A179&gt;='1-Input'!$C$12,'1-Input'!$B$12,0))-(T178-MIN(MAX(T178,0),MAX(0,P176-IF($A179&gt;='1-Input'!$C$12,'1-Input'!$B$12,0)))))*(1/(1-'P-Parametri'!$B$6*P179))))</f>
        <v>19489.51679497823</v>
      </c>
      <c r="R179" s="18">
        <f>IF($A179&gt;'1-Input'!$B$26,T178,(T178-MAX(0,P176-IF($A179&gt;='1-Input'!$C$12,'1-Input'!$B$12,0))+Q179*(1-'P-Parametri'!$B$6*P179))*(1+'1-Input'!$B$27))</f>
        <v>36653.926862445645</v>
      </c>
      <c r="S179" s="18">
        <f>IF($A179&gt;'1-Input'!$B$26,U178,(U178-Q179)*(1+'5-Roberta'!$C$4))</f>
        <v>394180.24327264616</v>
      </c>
      <c r="T179" s="18">
        <f>IF($A179&gt;'1-Input'!$B$26,R179,R179-'P-Parametri'!$B$8*(S179+R179)+MIN(MAX(S179,0),'P-Parametri'!$B$8*(S179+R179)))</f>
        <v>36653.926862445645</v>
      </c>
      <c r="U179" s="18">
        <f>IF($A179&gt;'1-Input'!$B$26,S179,S179-MIN(MAX(S179,0),'P-Parametri'!$B$8*(S179+R179)))</f>
        <v>393318.57493237598</v>
      </c>
      <c r="V179" s="18">
        <f>IF($A179&gt;'1-Input'!$B$26,V178,V178-Q179*(1-P179))</f>
        <v>299899.77863022318</v>
      </c>
      <c r="W179" s="11">
        <f>IF($A179&gt;'1-Input'!$B$26,0,IF(AB178&lt;=0,0,MAX(0,(AB178-AC178)/AB178)))</f>
        <v>0.21635653419729489</v>
      </c>
      <c r="X179" s="18">
        <f>IF($A179&gt;'1-Input'!$B$26,0,(MAX(0,W176-IF($A179&gt;='1-Input'!$C$12,'1-Input'!$B$12,0))-MIN(MAX(AA178,0),MAX(0,W176-IF($A179&gt;='1-Input'!$C$12,'1-Input'!$B$12,0))))*(1/(1-'P-Parametri'!$B$6*W179))+MIN(MAX(0,AB178-(MAX(0,W176-IF($A179&gt;='1-Input'!$C$12,'1-Input'!$B$12,0))-MIN(MAX(AA178,0),MAX(0,W176-IF($A179&gt;='1-Input'!$C$12,'1-Input'!$B$12,0))))*(1/(1-'P-Parametri'!$B$6*W179))),MAX(0,2*MAX(0,W176-IF($A179&gt;='1-Input'!$C$12,'1-Input'!$B$12,0))-(AA178-MIN(MAX(AA178,0),MAX(0,W176-IF($A179&gt;='1-Input'!$C$12,'1-Input'!$B$12,0)))))*(1/(1-'P-Parametri'!$B$6*W179))))</f>
        <v>19221.536186501591</v>
      </c>
      <c r="Y179" s="18">
        <f>IF($A179&gt;'1-Input'!$B$26,AA178,(AA178-MAX(0,W176-IF($A179&gt;='1-Input'!$C$12,'1-Input'!$B$12,0))+X179*(1-'P-Parametri'!$B$6*W179))*(1+'1-Input'!$B$27))</f>
        <v>36149.93583347425</v>
      </c>
      <c r="Z179" s="18">
        <f>IF($A179&gt;'1-Input'!$B$26,AB178,(AB178-X179)*(1+'5-Roberta'!$C$4))</f>
        <v>394977.24960993556</v>
      </c>
      <c r="AA179" s="18">
        <f>IF($A179&gt;'1-Input'!$B$26,Y179,Y179-'P-Parametri'!$B$8*(Z179+Y179)+MIN(MAX(Z179,0),'P-Parametri'!$B$8*(Z179+Y179)))</f>
        <v>36149.93583347425</v>
      </c>
      <c r="AB179" s="18">
        <f>IF($A179&gt;'1-Input'!$B$26,Z179,Z179-MIN(MAX(Z179,0),'P-Parametri'!$B$8*(Z179+Y179)))</f>
        <v>394114.99523904873</v>
      </c>
      <c r="AC179" s="18">
        <f>IF($A179&gt;'1-Input'!$B$26,AC178,AC178-X179*(1-W179))</f>
        <v>300506.15611412632</v>
      </c>
      <c r="AD179" s="11">
        <f>IF($A179&gt;'1-Input'!$B$26,0,IF(AI178&lt;=0,0,MAX(0,(AI178-AJ178)/AI178)))</f>
        <v>0.21635653419729481</v>
      </c>
      <c r="AE179" s="18">
        <f>IF($A179&gt;'1-Input'!$B$26,0,(MAX(0,AD176-IF($A179&gt;='1-Input'!$C$12,'1-Input'!$B$12,0))-MIN(MAX(AH178,0),MAX(0,AD176-IF($A179&gt;='1-Input'!$C$12,'1-Input'!$B$12,0))))*(1/(1-'P-Parametri'!$B$6*AD179))+MIN(MAX(0,AI178-(MAX(0,AD176-IF($A179&gt;='1-Input'!$C$12,'1-Input'!$B$12,0))-MIN(MAX(AH178,0),MAX(0,AD176-IF($A179&gt;='1-Input'!$C$12,'1-Input'!$B$12,0))))*(1/(1-'P-Parametri'!$B$6*AD179))),MAX(0,2*MAX(0,AD176-IF($A179&gt;='1-Input'!$C$12,'1-Input'!$B$12,0))-(AH178-MIN(MAX(AH178,0),MAX(0,AD176-IF($A179&gt;='1-Input'!$C$12,'1-Input'!$B$12,0)))))*(1/(1-'P-Parametri'!$B$6*AD179))))</f>
        <v>19214.59716297092</v>
      </c>
      <c r="AF179" s="18">
        <f>IF($A179&gt;'1-Input'!$B$26,AH178,(AH178-MAX(0,AD176-IF($A179&gt;='1-Input'!$C$12,'1-Input'!$B$12,0))+AE179*(1-'P-Parametri'!$B$6*AD179))*(1+'1-Input'!$B$27))</f>
        <v>36136.885614545499</v>
      </c>
      <c r="AG179" s="18">
        <f>IF($A179&gt;'1-Input'!$B$26,AI178,(AI178-AE179)*(1+'5-Roberta'!$C$4))</f>
        <v>394997.8870947148</v>
      </c>
      <c r="AH179" s="18">
        <f>IF($A179&gt;'1-Input'!$B$26,AF179,AF179-'P-Parametri'!$B$8*(AG179+AF179)+MIN(MAX(AG179,0),'P-Parametri'!$B$8*(AG179+AF179)))</f>
        <v>36136.885614545499</v>
      </c>
      <c r="AI179" s="18">
        <f>IF($A179&gt;'1-Input'!$B$26,AG179,AG179-MIN(MAX(AG179,0),'P-Parametri'!$B$8*(AG179+AF179)))</f>
        <v>394135.61754929629</v>
      </c>
      <c r="AJ179" s="18">
        <f>IF($A179&gt;'1-Input'!$B$26,AJ178,AJ178-AE179*(1-AD179))</f>
        <v>300521.85750257078</v>
      </c>
      <c r="AK179" s="11">
        <f>IF($A179&gt;'1-Input'!$B$26,0,IF(AP178&lt;=0,0,MAX(0,(AP178-AQ178)/AP178)))</f>
        <v>0.21635653419729486</v>
      </c>
      <c r="AL179" s="18">
        <f>IF($A179&gt;'1-Input'!$B$26,0,(MAX(0,AK176-IF($A179&gt;='1-Input'!$C$12,'1-Input'!$B$12,0))-MIN(MAX(AO178,0),MAX(0,AK176-IF($A179&gt;='1-Input'!$C$12,'1-Input'!$B$12,0))))*(1/(1-'P-Parametri'!$B$6*AK179))+MIN(MAX(0,AP178-(MAX(0,AK176-IF($A179&gt;='1-Input'!$C$12,'1-Input'!$B$12,0))-MIN(MAX(AO178,0),MAX(0,AK176-IF($A179&gt;='1-Input'!$C$12,'1-Input'!$B$12,0))))*(1/(1-'P-Parametri'!$B$6*AK179))),MAX(0,2*MAX(0,AK176-IF($A179&gt;='1-Input'!$C$12,'1-Input'!$B$12,0))-(AO178-MIN(MAX(AO178,0),MAX(0,AK176-IF($A179&gt;='1-Input'!$C$12,'1-Input'!$B$12,0)))))*(1/(1-'P-Parametri'!$B$6*AK179))))</f>
        <v>19214.713124951373</v>
      </c>
      <c r="AM179" s="18">
        <f>IF($A179&gt;'1-Input'!$B$26,AO178,(AO178-MAX(0,AK176-IF($A179&gt;='1-Input'!$C$12,'1-Input'!$B$12,0))+AL179*(1-'P-Parametri'!$B$6*AK179))*(1+'1-Input'!$B$27))</f>
        <v>36137.103704198264</v>
      </c>
      <c r="AN179" s="18">
        <f>IF($A179&gt;'1-Input'!$B$26,AP178,(AP178-AL179)*(1+'5-Roberta'!$C$4))</f>
        <v>394997.54220993444</v>
      </c>
      <c r="AO179" s="18">
        <f>IF($A179&gt;'1-Input'!$B$26,AM179,AM179-'P-Parametri'!$B$8*(AN179+AM179)+MIN(MAX(AN179,0),'P-Parametri'!$B$8*(AN179+AM179)))</f>
        <v>36137.103704198264</v>
      </c>
      <c r="AP179" s="18">
        <f>IF($A179&gt;'1-Input'!$B$26,AN179,AN179-MIN(MAX(AN179,0),'P-Parametri'!$B$8*(AN179+AM179)))</f>
        <v>394135.27291810617</v>
      </c>
      <c r="AQ179" s="18">
        <f>IF($A179&gt;'1-Input'!$B$26,AQ178,AQ178-AL179*(1-AK179))</f>
        <v>300521.59510771197</v>
      </c>
    </row>
    <row r="180" spans="1:43">
      <c r="A180" s="10">
        <f>2</f>
        <v>2</v>
      </c>
      <c r="B180" s="11">
        <f>IF($A180&gt;'1-Input'!$B$26,0,IF(G179&lt;=0,0,MAX(0,(G179-H179)/G179)))</f>
        <v>0.23752929493546573</v>
      </c>
      <c r="C180" s="18">
        <f>IF($A180&gt;'1-Input'!$B$26,0,(MAX(0,B176-IF($A180&gt;='1-Input'!$C$12,'1-Input'!$B$12,0))-MIN(MAX(F179,0),MAX(0,B176-IF($A180&gt;='1-Input'!$C$12,'1-Input'!$B$12,0))))*(1/(1-'P-Parametri'!$B$6*B180))+MIN(MAX(0,G179-(MAX(0,B176-IF($A180&gt;='1-Input'!$C$12,'1-Input'!$B$12,0))-MIN(MAX(F179,0),MAX(0,B176-IF($A180&gt;='1-Input'!$C$12,'1-Input'!$B$12,0))))*(1/(1-'P-Parametri'!$B$6*B180))),MAX(0,2*MAX(0,B176-IF($A180&gt;='1-Input'!$C$12,'1-Input'!$B$12,0))-(F179-MIN(MAX(F179,0),MAX(0,B176-IF($A180&gt;='1-Input'!$C$12,'1-Input'!$B$12,0)))))*(1/(1-'P-Parametri'!$B$6*B180))))</f>
        <v>17907.056014137157</v>
      </c>
      <c r="D180" s="18">
        <f>IF($A180&gt;'1-Input'!$B$26,F179,(F179-MAX(0,B176-IF($A180&gt;='1-Input'!$C$12,'1-Input'!$B$12,0))+C180*(1-'P-Parametri'!$B$6*B180))*(1+'1-Input'!$B$27))</f>
        <v>33242.0070309863</v>
      </c>
      <c r="E180" s="18">
        <f>IF($A180&gt;'1-Input'!$B$26,G179,(G179-C180)*(1+'5-Roberta'!$C$4))</f>
        <v>392227.22108298907</v>
      </c>
      <c r="F180" s="18">
        <f>IF($A180&gt;'1-Input'!$B$26,D180,D180-'P-Parametri'!$B$8*(E180+D180)+MIN(MAX(E180,0),'P-Parametri'!$B$8*(E180+D180)))</f>
        <v>33242.0070309863</v>
      </c>
      <c r="G180" s="18">
        <f>IF($A180&gt;'1-Input'!$B$26,E180,E180-MIN(MAX(E180,0),'P-Parametri'!$B$8*(E180+D180)))</f>
        <v>391376.28262676112</v>
      </c>
      <c r="H180" s="18">
        <f>IF($A180&gt;'1-Input'!$B$26,H179,H179-C180*(1-B180))</f>
        <v>290351.22893655306</v>
      </c>
      <c r="I180" s="11">
        <f>IF($A180&gt;'1-Input'!$B$26,0,IF(N179&lt;=0,0,MAX(0,(N179-O179)/N179)))</f>
        <v>0.23748189102197931</v>
      </c>
      <c r="J180" s="18">
        <f>IF($A180&gt;'1-Input'!$B$26,0,(MAX(0,I176-IF($A180&gt;='1-Input'!$C$12,'1-Input'!$B$12,0))-MIN(MAX(M179,0),MAX(0,I176-IF($A180&gt;='1-Input'!$C$12,'1-Input'!$B$12,0))))*(1/(1-'P-Parametri'!$B$6*I180))+MIN(MAX(0,N179-(MAX(0,I176-IF($A180&gt;='1-Input'!$C$12,'1-Input'!$B$12,0))-MIN(MAX(M179,0),MAX(0,I176-IF($A180&gt;='1-Input'!$C$12,'1-Input'!$B$12,0))))*(1/(1-'P-Parametri'!$B$6*I180))),MAX(0,2*MAX(0,I176-IF($A180&gt;='1-Input'!$C$12,'1-Input'!$B$12,0))-(M179-MIN(MAX(M179,0),MAX(0,I176-IF($A180&gt;='1-Input'!$C$12,'1-Input'!$B$12,0)))))*(1/(1-'P-Parametri'!$B$6*I180))))</f>
        <v>23561.606296146056</v>
      </c>
      <c r="K180" s="18">
        <f>IF($A180&gt;'1-Input'!$B$26,M179,(M179-MAX(0,I176-IF($A180&gt;='1-Input'!$C$12,'1-Input'!$B$12,0))+J180*(1-'P-Parametri'!$B$6*I180))*(1+'1-Input'!$B$27))</f>
        <v>43739.482935508291</v>
      </c>
      <c r="L180" s="18">
        <f>IF($A180&gt;'1-Input'!$B$26,N179,(N179-J180)*(1+'5-Roberta'!$C$4))</f>
        <v>369316.98598304862</v>
      </c>
      <c r="M180" s="18">
        <f>IF($A180&gt;'1-Input'!$B$26,K180,K180-'P-Parametri'!$B$8*(L180+K180)+MIN(MAX(L180,0),'P-Parametri'!$B$8*(L180+K180)))</f>
        <v>43739.482935508291</v>
      </c>
      <c r="N180" s="18">
        <f>IF($A180&gt;'1-Input'!$B$26,L180,L180-MIN(MAX(L180,0),'P-Parametri'!$B$8*(L180+K180)))</f>
        <v>368490.87304521148</v>
      </c>
      <c r="O180" s="18">
        <f>IF($A180&gt;'1-Input'!$B$26,O179,O179-J180*(1-I180))</f>
        <v>273408.63084005477</v>
      </c>
      <c r="P180" s="11">
        <f>IF($A180&gt;'1-Input'!$B$26,0,IF(U179&lt;=0,0,MAX(0,(U179-V179)/U179)))</f>
        <v>0.23751432618765708</v>
      </c>
      <c r="Q180" s="18">
        <f>IF($A180&gt;'1-Input'!$B$26,0,(MAX(0,P176-IF($A180&gt;='1-Input'!$C$12,'1-Input'!$B$12,0))-MIN(MAX(T179,0),MAX(0,P176-IF($A180&gt;='1-Input'!$C$12,'1-Input'!$B$12,0))))*(1/(1-'P-Parametri'!$B$6*P180))+MIN(MAX(0,U179-(MAX(0,P176-IF($A180&gt;='1-Input'!$C$12,'1-Input'!$B$12,0))-MIN(MAX(T179,0),MAX(0,P176-IF($A180&gt;='1-Input'!$C$12,'1-Input'!$B$12,0))))*(1/(1-'P-Parametri'!$B$6*P180))),MAX(0,2*MAX(0,P176-IF($A180&gt;='1-Input'!$C$12,'1-Input'!$B$12,0))-(T179-MIN(MAX(T179,0),MAX(0,P176-IF($A180&gt;='1-Input'!$C$12,'1-Input'!$B$12,0)))))*(1/(1-'P-Parametri'!$B$6*P180))))</f>
        <v>19744.932916785936</v>
      </c>
      <c r="R180" s="18">
        <f>IF($A180&gt;'1-Input'!$B$26,T179,(T179-MAX(0,P176-IF($A180&gt;='1-Input'!$C$12,'1-Input'!$B$12,0))+Q180*(1-'P-Parametri'!$B$6*P180))*(1+'1-Input'!$B$27))</f>
        <v>36653.926862445645</v>
      </c>
      <c r="S180" s="18">
        <f>IF($A180&gt;'1-Input'!$B$26,U179,(U179-Q180)*(1+'5-Roberta'!$C$4))</f>
        <v>384780.85127605777</v>
      </c>
      <c r="T180" s="18">
        <f>IF($A180&gt;'1-Input'!$B$26,R180,R180-'P-Parametri'!$B$8*(S180+R180)+MIN(MAX(S180,0),'P-Parametri'!$B$8*(S180+R180)))</f>
        <v>36653.926862445645</v>
      </c>
      <c r="U180" s="18">
        <f>IF($A180&gt;'1-Input'!$B$26,S180,S180-MIN(MAX(S180,0),'P-Parametri'!$B$8*(S180+R180)))</f>
        <v>383937.98171978077</v>
      </c>
      <c r="V180" s="18">
        <f>IF($A180&gt;'1-Input'!$B$26,V179,V179-Q180*(1-P180))</f>
        <v>284844.55015078816</v>
      </c>
      <c r="W180" s="11">
        <f>IF($A180&gt;'1-Input'!$B$26,0,IF(AB179&lt;=0,0,MAX(0,(AB179-AC179)/AB179)))</f>
        <v>0.23751656307353738</v>
      </c>
      <c r="X180" s="18">
        <f>IF($A180&gt;'1-Input'!$B$26,0,(MAX(0,W176-IF($A180&gt;='1-Input'!$C$12,'1-Input'!$B$12,0))-MIN(MAX(AA179,0),MAX(0,W176-IF($A180&gt;='1-Input'!$C$12,'1-Input'!$B$12,0))))*(1/(1-'P-Parametri'!$B$6*W180))+MIN(MAX(0,AB179-(MAX(0,W176-IF($A180&gt;='1-Input'!$C$12,'1-Input'!$B$12,0))-MIN(MAX(AA179,0),MAX(0,W176-IF($A180&gt;='1-Input'!$C$12,'1-Input'!$B$12,0))))*(1/(1-'P-Parametri'!$B$6*W180))),MAX(0,2*MAX(0,W176-IF($A180&gt;='1-Input'!$C$12,'1-Input'!$B$12,0))-(AA179-MIN(MAX(AA179,0),MAX(0,W176-IF($A180&gt;='1-Input'!$C$12,'1-Input'!$B$12,0)))))*(1/(1-'P-Parametri'!$B$6*W180))))</f>
        <v>19473.452410878264</v>
      </c>
      <c r="Y180" s="18">
        <f>IF($A180&gt;'1-Input'!$B$26,AA179,(AA179-MAX(0,W176-IF($A180&gt;='1-Input'!$C$12,'1-Input'!$B$12,0))+X180*(1-'P-Parametri'!$B$6*W180))*(1+'1-Input'!$B$27))</f>
        <v>36149.93583347425</v>
      </c>
      <c r="Z180" s="18">
        <f>IF($A180&gt;'1-Input'!$B$26,AB179,(AB179-X180)*(1+'5-Roberta'!$C$4))</f>
        <v>385880.78911301558</v>
      </c>
      <c r="AA180" s="18">
        <f>IF($A180&gt;'1-Input'!$B$26,Y180,Y180-'P-Parametri'!$B$8*(Z180+Y180)+MIN(MAX(Z180,0),'P-Parametri'!$B$8*(Z180+Y180)))</f>
        <v>36149.93583347425</v>
      </c>
      <c r="AB180" s="18">
        <f>IF($A180&gt;'1-Input'!$B$26,Z180,Z180-MIN(MAX(Z180,0),'P-Parametri'!$B$8*(Z180+Y180)))</f>
        <v>385036.72766312258</v>
      </c>
      <c r="AC180" s="18">
        <f>IF($A180&gt;'1-Input'!$B$26,AC179,AC179-X180*(1-W180))</f>
        <v>285657.97119105596</v>
      </c>
      <c r="AD180" s="11">
        <f>IF($A180&gt;'1-Input'!$B$26,0,IF(AI179&lt;=0,0,MAX(0,(AI179-AJ179)/AI179)))</f>
        <v>0.23751662087483585</v>
      </c>
      <c r="AE180" s="18">
        <f>IF($A180&gt;'1-Input'!$B$26,0,(MAX(0,AD176-IF($A180&gt;='1-Input'!$C$12,'1-Input'!$B$12,0))-MIN(MAX(AH179,0),MAX(0,AD176-IF($A180&gt;='1-Input'!$C$12,'1-Input'!$B$12,0))))*(1/(1-'P-Parametri'!$B$6*AD180))+MIN(MAX(0,AI179-(MAX(0,AD176-IF($A180&gt;='1-Input'!$C$12,'1-Input'!$B$12,0))-MIN(MAX(AH179,0),MAX(0,AD176-IF($A180&gt;='1-Input'!$C$12,'1-Input'!$B$12,0))))*(1/(1-'P-Parametri'!$B$6*AD180))),MAX(0,2*MAX(0,AD176-IF($A180&gt;='1-Input'!$C$12,'1-Input'!$B$12,0))-(AH179-MIN(MAX(AH179,0),MAX(0,AD176-IF($A180&gt;='1-Input'!$C$12,'1-Input'!$B$12,0)))))*(1/(1-'P-Parametri'!$B$6*AD180))))</f>
        <v>19466.422756751999</v>
      </c>
      <c r="AF180" s="18">
        <f>IF($A180&gt;'1-Input'!$B$26,AH179,(AH179-MAX(0,AD176-IF($A180&gt;='1-Input'!$C$12,'1-Input'!$B$12,0))+AE180*(1-'P-Parametri'!$B$6*AD180))*(1+'1-Input'!$B$27))</f>
        <v>36136.885614545507</v>
      </c>
      <c r="AG180" s="18">
        <f>IF($A180&gt;'1-Input'!$B$26,AI179,(AI179-AE180)*(1+'5-Roberta'!$C$4))</f>
        <v>385909.27063632064</v>
      </c>
      <c r="AH180" s="18">
        <f>IF($A180&gt;'1-Input'!$B$26,AF180,AF180-'P-Parametri'!$B$8*(AG180+AF180)+MIN(MAX(AG180,0),'P-Parametri'!$B$8*(AG180+AF180)))</f>
        <v>36136.885614545507</v>
      </c>
      <c r="AI180" s="18">
        <f>IF($A180&gt;'1-Input'!$B$26,AG180,AG180-MIN(MAX(AG180,0),'P-Parametri'!$B$8*(AG180+AF180)))</f>
        <v>385065.17832381889</v>
      </c>
      <c r="AJ180" s="18">
        <f>IF($A180&gt;'1-Input'!$B$26,AJ179,AJ179-AE180*(1-AD180))</f>
        <v>285679.03369952354</v>
      </c>
      <c r="AK180" s="11">
        <f>IF($A180&gt;'1-Input'!$B$26,0,IF(AP179&lt;=0,0,MAX(0,(AP179-AQ179)/AP179)))</f>
        <v>0.23751661990893505</v>
      </c>
      <c r="AL180" s="18">
        <f>IF($A180&gt;'1-Input'!$B$26,0,(MAX(0,AK176-IF($A180&gt;='1-Input'!$C$12,'1-Input'!$B$12,0))-MIN(MAX(AO179,0),MAX(0,AK176-IF($A180&gt;='1-Input'!$C$12,'1-Input'!$B$12,0))))*(1/(1-'P-Parametri'!$B$6*AK180))+MIN(MAX(0,AP179-(MAX(0,AK176-IF($A180&gt;='1-Input'!$C$12,'1-Input'!$B$12,0))-MIN(MAX(AO179,0),MAX(0,AK176-IF($A180&gt;='1-Input'!$C$12,'1-Input'!$B$12,0))))*(1/(1-'P-Parametri'!$B$6*AK180))),MAX(0,2*MAX(0,AK176-IF($A180&gt;='1-Input'!$C$12,'1-Input'!$B$12,0))-(AO179-MIN(MAX(AO179,0),MAX(0,AK176-IF($A180&gt;='1-Input'!$C$12,'1-Input'!$B$12,0)))))*(1/(1-'P-Parametri'!$B$6*AK180))))</f>
        <v>19466.540233314143</v>
      </c>
      <c r="AM180" s="18">
        <f>IF($A180&gt;'1-Input'!$B$26,AO179,(AO179-MAX(0,AK176-IF($A180&gt;='1-Input'!$C$12,'1-Input'!$B$12,0))+AL180*(1-'P-Parametri'!$B$6*AK180))*(1+'1-Input'!$B$27))</f>
        <v>36137.103704198264</v>
      </c>
      <c r="AN180" s="18">
        <f>IF($A180&gt;'1-Input'!$B$26,AP179,(AP179-AL180)*(1+'5-Roberta'!$C$4))</f>
        <v>385908.79466533579</v>
      </c>
      <c r="AO180" s="18">
        <f>IF($A180&gt;'1-Input'!$B$26,AM180,AM180-'P-Parametri'!$B$8*(AN180+AM180)+MIN(MAX(AN180,0),'P-Parametri'!$B$8*(AN180+AM180)))</f>
        <v>36137.103704198264</v>
      </c>
      <c r="AP180" s="18">
        <f>IF($A180&gt;'1-Input'!$B$26,AN180,AN180-MIN(MAX(AN180,0),'P-Parametri'!$B$8*(AN180+AM180)))</f>
        <v>385064.70286859671</v>
      </c>
      <c r="AQ180" s="18">
        <f>IF($A180&gt;'1-Input'!$B$26,AQ179,AQ179-AL180*(1-AK180))</f>
        <v>285678.6817119359</v>
      </c>
    </row>
    <row r="181" spans="1:43">
      <c r="A181" s="10">
        <f>3</f>
        <v>3</v>
      </c>
      <c r="B181" s="11">
        <f>IF($A181&gt;'1-Input'!$B$26,0,IF(G180&lt;=0,0,MAX(0,(G180-H180)/G180)))</f>
        <v>0.25812768472368408</v>
      </c>
      <c r="C181" s="18">
        <f>IF($A181&gt;'1-Input'!$B$26,0,(MAX(0,B176-IF($A181&gt;='1-Input'!$C$12,'1-Input'!$B$12,0))-MIN(MAX(F180,0),MAX(0,B176-IF($A181&gt;='1-Input'!$C$12,'1-Input'!$B$12,0))))*(1/(1-'P-Parametri'!$B$6*B181))+MIN(MAX(0,G180-(MAX(0,B176-IF($A181&gt;='1-Input'!$C$12,'1-Input'!$B$12,0))-MIN(MAX(F180,0),MAX(0,B176-IF($A181&gt;='1-Input'!$C$12,'1-Input'!$B$12,0))))*(1/(1-'P-Parametri'!$B$6*B181))),MAX(0,2*MAX(0,B176-IF($A181&gt;='1-Input'!$C$12,'1-Input'!$B$12,0))-(F180-MIN(MAX(F180,0),MAX(0,B176-IF($A181&gt;='1-Input'!$C$12,'1-Input'!$B$12,0)))))*(1/(1-'P-Parametri'!$B$6*B181))))</f>
        <v>18009.85808500936</v>
      </c>
      <c r="D181" s="18">
        <f>IF($A181&gt;'1-Input'!$B$26,F180,(F180-MAX(0,B176-IF($A181&gt;='1-Input'!$C$12,'1-Input'!$B$12,0))+C181*(1-'P-Parametri'!$B$6*B181))*(1+'1-Input'!$B$27))</f>
        <v>33242.0070309863</v>
      </c>
      <c r="E181" s="18">
        <f>IF($A181&gt;'1-Input'!$B$26,G180,(G180-C181)*(1+'5-Roberta'!$C$4))</f>
        <v>384567.41727800429</v>
      </c>
      <c r="F181" s="18">
        <f>IF($A181&gt;'1-Input'!$B$26,D181,D181-'P-Parametri'!$B$8*(E181+D181)+MIN(MAX(E181,0),'P-Parametri'!$B$8*(E181+D181)))</f>
        <v>33242.0070309863</v>
      </c>
      <c r="G181" s="18">
        <f>IF($A181&gt;'1-Input'!$B$26,E181,E181-MIN(MAX(E181,0),'P-Parametri'!$B$8*(E181+D181)))</f>
        <v>383731.79842938628</v>
      </c>
      <c r="H181" s="18">
        <f>IF($A181&gt;'1-Input'!$B$26,H180,H180-C181*(1-B181))</f>
        <v>276990.21382122929</v>
      </c>
      <c r="I181" s="11">
        <f>IF($A181&gt;'1-Input'!$B$26,0,IF(N180&lt;=0,0,MAX(0,(N180-O180)/N180)))</f>
        <v>0.25803147149723493</v>
      </c>
      <c r="J181" s="18">
        <f>IF($A181&gt;'1-Input'!$B$26,0,(MAX(0,I176-IF($A181&gt;='1-Input'!$C$12,'1-Input'!$B$12,0))-MIN(MAX(M180,0),MAX(0,I176-IF($A181&gt;='1-Input'!$C$12,'1-Input'!$B$12,0))))*(1/(1-'P-Parametri'!$B$6*I181))+MIN(MAX(0,N180-(MAX(0,I176-IF($A181&gt;='1-Input'!$C$12,'1-Input'!$B$12,0))-MIN(MAX(M180,0),MAX(0,I176-IF($A181&gt;='1-Input'!$C$12,'1-Input'!$B$12,0))))*(1/(1-'P-Parametri'!$B$6*I181))),MAX(0,2*MAX(0,I176-IF($A181&gt;='1-Input'!$C$12,'1-Input'!$B$12,0))-(M180-MIN(MAX(M180,0),MAX(0,I176-IF($A181&gt;='1-Input'!$C$12,'1-Input'!$B$12,0)))))*(1/(1-'P-Parametri'!$B$6*I181))))</f>
        <v>23696.546265899819</v>
      </c>
      <c r="K181" s="18">
        <f>IF($A181&gt;'1-Input'!$B$26,M180,(M180-MAX(0,I176-IF($A181&gt;='1-Input'!$C$12,'1-Input'!$B$12,0))+J181*(1-'P-Parametri'!$B$6*I181))*(1+'1-Input'!$B$27))</f>
        <v>43739.482935508291</v>
      </c>
      <c r="L181" s="18">
        <f>IF($A181&gt;'1-Input'!$B$26,N180,(N180-J181)*(1+'5-Roberta'!$C$4))</f>
        <v>355138.15658269101</v>
      </c>
      <c r="M181" s="18">
        <f>IF($A181&gt;'1-Input'!$B$26,K181,K181-'P-Parametri'!$B$8*(L181+K181)+MIN(MAX(L181,0),'P-Parametri'!$B$8*(L181+K181)))</f>
        <v>43739.482935508291</v>
      </c>
      <c r="N181" s="18">
        <f>IF($A181&gt;'1-Input'!$B$26,L181,L181-MIN(MAX(L181,0),'P-Parametri'!$B$8*(L181+K181)))</f>
        <v>354340.40130365459</v>
      </c>
      <c r="O181" s="18">
        <f>IF($A181&gt;'1-Input'!$B$26,O180,O180-J181*(1-I181))</f>
        <v>255826.53927654738</v>
      </c>
      <c r="P181" s="11">
        <f>IF($A181&gt;'1-Input'!$B$26,0,IF(U180&lt;=0,0,MAX(0,(U180-V180)/U180)))</f>
        <v>0.25809749565573459</v>
      </c>
      <c r="Q181" s="18">
        <f>IF($A181&gt;'1-Input'!$B$26,0,(MAX(0,P176-IF($A181&gt;='1-Input'!$C$12,'1-Input'!$B$12,0))-MIN(MAX(T180,0),MAX(0,P176-IF($A181&gt;='1-Input'!$C$12,'1-Input'!$B$12,0))))*(1/(1-'P-Parametri'!$B$6*P181))+MIN(MAX(0,U180-(MAX(0,P176-IF($A181&gt;='1-Input'!$C$12,'1-Input'!$B$12,0))-MIN(MAX(T180,0),MAX(0,P176-IF($A181&gt;='1-Input'!$C$12,'1-Input'!$B$12,0))))*(1/(1-'P-Parametri'!$B$6*P181))),MAX(0,2*MAX(0,P176-IF($A181&gt;='1-Input'!$C$12,'1-Input'!$B$12,0))-(T180-MIN(MAX(T180,0),MAX(0,P176-IF($A181&gt;='1-Input'!$C$12,'1-Input'!$B$12,0)))))*(1/(1-'P-Parametri'!$B$6*P181))))</f>
        <v>19858.201288478485</v>
      </c>
      <c r="R181" s="18">
        <f>IF($A181&gt;'1-Input'!$B$26,T180,(T180-MAX(0,P176-IF($A181&gt;='1-Input'!$C$12,'1-Input'!$B$12,0))+Q181*(1-'P-Parametri'!$B$6*P181))*(1+'1-Input'!$B$27))</f>
        <v>36653.926862445645</v>
      </c>
      <c r="S181" s="18">
        <f>IF($A181&gt;'1-Input'!$B$26,U180,(U180-Q181)*(1+'5-Roberta'!$C$4))</f>
        <v>375002.17384424136</v>
      </c>
      <c r="T181" s="18">
        <f>IF($A181&gt;'1-Input'!$B$26,R181,R181-'P-Parametri'!$B$8*(S181+R181)+MIN(MAX(S181,0),'P-Parametri'!$B$8*(S181+R181)))</f>
        <v>36653.926862445645</v>
      </c>
      <c r="U181" s="18">
        <f>IF($A181&gt;'1-Input'!$B$26,S181,S181-MIN(MAX(S181,0),'P-Parametri'!$B$8*(S181+R181)))</f>
        <v>374178.86164282798</v>
      </c>
      <c r="V181" s="18">
        <f>IF($A181&gt;'1-Input'!$B$26,V180,V180-Q181*(1-P181))</f>
        <v>270111.70088309346</v>
      </c>
      <c r="W181" s="11">
        <f>IF($A181&gt;'1-Input'!$B$26,0,IF(AB180&lt;=0,0,MAX(0,(AB180-AC180)/AB180)))</f>
        <v>0.25810201815089018</v>
      </c>
      <c r="X181" s="18">
        <f>IF($A181&gt;'1-Input'!$B$26,0,(MAX(0,W176-IF($A181&gt;='1-Input'!$C$12,'1-Input'!$B$12,0))-MIN(MAX(AA180,0),MAX(0,W176-IF($A181&gt;='1-Input'!$C$12,'1-Input'!$B$12,0))))*(1/(1-'P-Parametri'!$B$6*W181))+MIN(MAX(0,AB180-(MAX(0,W176-IF($A181&gt;='1-Input'!$C$12,'1-Input'!$B$12,0))-MIN(MAX(AA180,0),MAX(0,W176-IF($A181&gt;='1-Input'!$C$12,'1-Input'!$B$12,0))))*(1/(1-'P-Parametri'!$B$6*W181))),MAX(0,2*MAX(0,W176-IF($A181&gt;='1-Input'!$C$12,'1-Input'!$B$12,0))-(AA180-MIN(MAX(AA180,0),MAX(0,W176-IF($A181&gt;='1-Input'!$C$12,'1-Input'!$B$12,0)))))*(1/(1-'P-Parametri'!$B$6*W181))))</f>
        <v>19585.175958647702</v>
      </c>
      <c r="Y181" s="18">
        <f>IF($A181&gt;'1-Input'!$B$26,AA180,(AA180-MAX(0,W176-IF($A181&gt;='1-Input'!$C$12,'1-Input'!$B$12,0))+X181*(1-'P-Parametri'!$B$6*W181))*(1+'1-Input'!$B$27))</f>
        <v>36149.93583347425</v>
      </c>
      <c r="Z181" s="18">
        <f>IF($A181&gt;'1-Input'!$B$26,AB180,(AB180-X181)*(1+'5-Roberta'!$C$4))</f>
        <v>376415.09825560916</v>
      </c>
      <c r="AA181" s="18">
        <f>IF($A181&gt;'1-Input'!$B$26,Y181,Y181-'P-Parametri'!$B$8*(Z181+Y181)+MIN(MAX(Z181,0),'P-Parametri'!$B$8*(Z181+Y181)))</f>
        <v>36149.93583347425</v>
      </c>
      <c r="AB181" s="18">
        <f>IF($A181&gt;'1-Input'!$B$26,Z181,Z181-MIN(MAX(Z181,0),'P-Parametri'!$B$8*(Z181+Y181)))</f>
        <v>375589.96818743099</v>
      </c>
      <c r="AC181" s="18">
        <f>IF($A181&gt;'1-Input'!$B$26,AC180,AC180-X181*(1-W181))</f>
        <v>271127.76867317554</v>
      </c>
      <c r="AD181" s="11">
        <f>IF($A181&gt;'1-Input'!$B$26,0,IF(AI180&lt;=0,0,MAX(0,(AI180-AJ180)/AI180)))</f>
        <v>0.25810213496042739</v>
      </c>
      <c r="AE181" s="18">
        <f>IF($A181&gt;'1-Input'!$B$26,0,(MAX(0,AD176-IF($A181&gt;='1-Input'!$C$12,'1-Input'!$B$12,0))-MIN(MAX(AH180,0),MAX(0,AD176-IF($A181&gt;='1-Input'!$C$12,'1-Input'!$B$12,0))))*(1/(1-'P-Parametri'!$B$6*AD181))+MIN(MAX(0,AI180-(MAX(0,AD176-IF($A181&gt;='1-Input'!$C$12,'1-Input'!$B$12,0))-MIN(MAX(AH180,0),MAX(0,AD176-IF($A181&gt;='1-Input'!$C$12,'1-Input'!$B$12,0))))*(1/(1-'P-Parametri'!$B$6*AD181))),MAX(0,2*MAX(0,AD176-IF($A181&gt;='1-Input'!$C$12,'1-Input'!$B$12,0))-(AH180-MIN(MAX(AH180,0),MAX(0,AD176-IF($A181&gt;='1-Input'!$C$12,'1-Input'!$B$12,0)))))*(1/(1-'P-Parametri'!$B$6*AD181))))</f>
        <v>19578.106297600938</v>
      </c>
      <c r="AF181" s="18">
        <f>IF($A181&gt;'1-Input'!$B$26,AH180,(AH180-MAX(0,AD176-IF($A181&gt;='1-Input'!$C$12,'1-Input'!$B$12,0))+AE181*(1-'P-Parametri'!$B$6*AD181))*(1+'1-Input'!$B$27))</f>
        <v>36136.885614545507</v>
      </c>
      <c r="AG181" s="18">
        <f>IF($A181&gt;'1-Input'!$B$26,AI180,(AI180-AE181)*(1+'5-Roberta'!$C$4))</f>
        <v>376451.68418700446</v>
      </c>
      <c r="AH181" s="18">
        <f>IF($A181&gt;'1-Input'!$B$26,AF181,AF181-'P-Parametri'!$B$8*(AG181+AF181)+MIN(MAX(AG181,0),'P-Parametri'!$B$8*(AG181+AF181)))</f>
        <v>36136.885614545507</v>
      </c>
      <c r="AI181" s="18">
        <f>IF($A181&gt;'1-Input'!$B$26,AG181,AG181-MIN(MAX(AG181,0),'P-Parametri'!$B$8*(AG181+AF181)))</f>
        <v>375626.50704740133</v>
      </c>
      <c r="AJ181" s="18">
        <f>IF($A181&gt;'1-Input'!$B$26,AJ180,AJ180-AE181*(1-AD181))</f>
        <v>271154.07843581558</v>
      </c>
      <c r="AK181" s="11">
        <f>IF($A181&gt;'1-Input'!$B$26,0,IF(AP180&lt;=0,0,MAX(0,(AP180-AQ180)/AP180)))</f>
        <v>0.25810213300847851</v>
      </c>
      <c r="AL181" s="18">
        <f>IF($A181&gt;'1-Input'!$B$26,0,(MAX(0,AK176-IF($A181&gt;='1-Input'!$C$12,'1-Input'!$B$12,0))-MIN(MAX(AO180,0),MAX(0,AK176-IF($A181&gt;='1-Input'!$C$12,'1-Input'!$B$12,0))))*(1/(1-'P-Parametri'!$B$6*AK181))+MIN(MAX(0,AP180-(MAX(0,AK176-IF($A181&gt;='1-Input'!$C$12,'1-Input'!$B$12,0))-MIN(MAX(AO180,0),MAX(0,AK176-IF($A181&gt;='1-Input'!$C$12,'1-Input'!$B$12,0))))*(1/(1-'P-Parametri'!$B$6*AK181))),MAX(0,2*MAX(0,AK176-IF($A181&gt;='1-Input'!$C$12,'1-Input'!$B$12,0))-(AO180-MIN(MAX(AO180,0),MAX(0,AK176-IF($A181&gt;='1-Input'!$C$12,'1-Input'!$B$12,0)))))*(1/(1-'P-Parametri'!$B$6*AK181))))</f>
        <v>19578.224442743889</v>
      </c>
      <c r="AM181" s="18">
        <f>IF($A181&gt;'1-Input'!$B$26,AO180,(AO180-MAX(0,AK176-IF($A181&gt;='1-Input'!$C$12,'1-Input'!$B$12,0))+AL181*(1-'P-Parametri'!$B$6*AK181))*(1+'1-Input'!$B$27))</f>
        <v>36137.103704198271</v>
      </c>
      <c r="AN181" s="18">
        <f>IF($A181&gt;'1-Input'!$B$26,AP180,(AP180-AL181)*(1+'5-Roberta'!$C$4))</f>
        <v>376451.07277862844</v>
      </c>
      <c r="AO181" s="18">
        <f>IF($A181&gt;'1-Input'!$B$26,AM181,AM181-'P-Parametri'!$B$8*(AN181+AM181)+MIN(MAX(AN181,0),'P-Parametri'!$B$8*(AN181+AM181)))</f>
        <v>36137.103704198271</v>
      </c>
      <c r="AP181" s="18">
        <f>IF($A181&gt;'1-Input'!$B$26,AN181,AN181-MIN(MAX(AN181,0),'P-Parametri'!$B$8*(AN181+AM181)))</f>
        <v>375625.8964256628</v>
      </c>
      <c r="AQ181" s="18">
        <f>IF($A181&gt;'1-Input'!$B$26,AQ180,AQ180-AL181*(1-AK181))</f>
        <v>271153.63875838293</v>
      </c>
    </row>
    <row r="182" spans="1:43">
      <c r="A182" s="10">
        <f>4</f>
        <v>4</v>
      </c>
      <c r="B182" s="11">
        <f>IF($A182&gt;'1-Input'!$B$26,0,IF(G181&lt;=0,0,MAX(0,(G181-H181)/G181)))</f>
        <v>0.27816716009736525</v>
      </c>
      <c r="C182" s="18">
        <f>IF($A182&gt;'1-Input'!$B$26,0,(MAX(0,B176-IF($A182&gt;='1-Input'!$C$12,'1-Input'!$B$12,0))-MIN(MAX(F181,0),MAX(0,B176-IF($A182&gt;='1-Input'!$C$12,'1-Input'!$B$12,0))))*(1/(1-'P-Parametri'!$B$6*B182))+MIN(MAX(0,G181-(MAX(0,B176-IF($A182&gt;='1-Input'!$C$12,'1-Input'!$B$12,0))-MIN(MAX(F181,0),MAX(0,B176-IF($A182&gt;='1-Input'!$C$12,'1-Input'!$B$12,0))))*(1/(1-'P-Parametri'!$B$6*B182))),MAX(0,2*MAX(0,B176-IF($A182&gt;='1-Input'!$C$12,'1-Input'!$B$12,0))-(F181-MIN(MAX(F181,0),MAX(0,B176-IF($A182&gt;='1-Input'!$C$12,'1-Input'!$B$12,0)))))*(1/(1-'P-Parametri'!$B$6*B182))))</f>
        <v>18111.009837898029</v>
      </c>
      <c r="D182" s="18">
        <f>IF($A182&gt;'1-Input'!$B$26,F181,(F181-MAX(0,B176-IF($A182&gt;='1-Input'!$C$12,'1-Input'!$B$12,0))+C182*(1-'P-Parametri'!$B$6*B182))*(1+'1-Input'!$B$27))</f>
        <v>33242.0070309863</v>
      </c>
      <c r="E182" s="18">
        <f>IF($A182&gt;'1-Input'!$B$26,G181,(G181-C182)*(1+'5-Roberta'!$C$4))</f>
        <v>376589.41224923293</v>
      </c>
      <c r="F182" s="18">
        <f>IF($A182&gt;'1-Input'!$B$26,D182,D182-'P-Parametri'!$B$8*(E182+D182)+MIN(MAX(E182,0),'P-Parametri'!$B$8*(E182+D182)))</f>
        <v>33242.0070309863</v>
      </c>
      <c r="G182" s="18">
        <f>IF($A182&gt;'1-Input'!$B$26,E182,E182-MIN(MAX(E182,0),'P-Parametri'!$B$8*(E182+D182)))</f>
        <v>375769.74941067252</v>
      </c>
      <c r="H182" s="18">
        <f>IF($A182&gt;'1-Input'!$B$26,H181,H181-C182*(1-B182))</f>
        <v>263917.09215643478</v>
      </c>
      <c r="I182" s="11">
        <f>IF($A182&gt;'1-Input'!$B$26,0,IF(N181&lt;=0,0,MAX(0,(N181-O181)/N181)))</f>
        <v>0.27802040541994261</v>
      </c>
      <c r="J182" s="18">
        <f>IF($A182&gt;'1-Input'!$B$26,0,(MAX(0,I176-IF($A182&gt;='1-Input'!$C$12,'1-Input'!$B$12,0))-MIN(MAX(M181,0),MAX(0,I176-IF($A182&gt;='1-Input'!$C$12,'1-Input'!$B$12,0))))*(1/(1-'P-Parametri'!$B$6*I182))+MIN(MAX(0,N181-(MAX(0,I176-IF($A182&gt;='1-Input'!$C$12,'1-Input'!$B$12,0))-MIN(MAX(M181,0),MAX(0,I176-IF($A182&gt;='1-Input'!$C$12,'1-Input'!$B$12,0))))*(1/(1-'P-Parametri'!$B$6*I182))),MAX(0,2*MAX(0,I176-IF($A182&gt;='1-Input'!$C$12,'1-Input'!$B$12,0))-(M181-MIN(MAX(M181,0),MAX(0,I176-IF($A182&gt;='1-Input'!$C$12,'1-Input'!$B$12,0)))))*(1/(1-'P-Parametri'!$B$6*I182))))</f>
        <v>23829.295980946357</v>
      </c>
      <c r="K182" s="18">
        <f>IF($A182&gt;'1-Input'!$B$26,M181,(M181-MAX(0,I176-IF($A182&gt;='1-Input'!$C$12,'1-Input'!$B$12,0))+J182*(1-'P-Parametri'!$B$6*I182))*(1+'1-Input'!$B$27))</f>
        <v>43739.482935508291</v>
      </c>
      <c r="L182" s="18">
        <f>IF($A182&gt;'1-Input'!$B$26,N181,(N181-J182)*(1+'5-Roberta'!$C$4))</f>
        <v>340426.43848238949</v>
      </c>
      <c r="M182" s="18">
        <f>IF($A182&gt;'1-Input'!$B$26,K182,K182-'P-Parametri'!$B$8*(L182+K182)+MIN(MAX(L182,0),'P-Parametri'!$B$8*(L182+K182)))</f>
        <v>43739.482935508291</v>
      </c>
      <c r="N182" s="18">
        <f>IF($A182&gt;'1-Input'!$B$26,L182,L182-MIN(MAX(L182,0),'P-Parametri'!$B$8*(L182+K182)))</f>
        <v>339658.10663955368</v>
      </c>
      <c r="O182" s="18">
        <f>IF($A182&gt;'1-Input'!$B$26,O181,O181-J182*(1-I182))</f>
        <v>238622.27382509553</v>
      </c>
      <c r="P182" s="11">
        <f>IF($A182&gt;'1-Input'!$B$26,0,IF(U181&lt;=0,0,MAX(0,(U181-V181)/U181)))</f>
        <v>0.27812143182762611</v>
      </c>
      <c r="Q182" s="18">
        <f>IF($A182&gt;'1-Input'!$B$26,0,(MAX(0,P176-IF($A182&gt;='1-Input'!$C$12,'1-Input'!$B$12,0))-MIN(MAX(T181,0),MAX(0,P176-IF($A182&gt;='1-Input'!$C$12,'1-Input'!$B$12,0))))*(1/(1-'P-Parametri'!$B$6*P182))+MIN(MAX(0,U181-(MAX(0,P176-IF($A182&gt;='1-Input'!$C$12,'1-Input'!$B$12,0))-MIN(MAX(T181,0),MAX(0,P176-IF($A182&gt;='1-Input'!$C$12,'1-Input'!$B$12,0))))*(1/(1-'P-Parametri'!$B$6*P182))),MAX(0,2*MAX(0,P176-IF($A182&gt;='1-Input'!$C$12,'1-Input'!$B$12,0))-(T181-MIN(MAX(T181,0),MAX(0,P176-IF($A182&gt;='1-Input'!$C$12,'1-Input'!$B$12,0)))))*(1/(1-'P-Parametri'!$B$6*P182))))</f>
        <v>19969.646283622726</v>
      </c>
      <c r="R182" s="18">
        <f>IF($A182&gt;'1-Input'!$B$26,T181,(T181-MAX(0,P176-IF($A182&gt;='1-Input'!$C$12,'1-Input'!$B$12,0))+Q182*(1-'P-Parametri'!$B$6*P182))*(1+'1-Input'!$B$27))</f>
        <v>36653.926862445645</v>
      </c>
      <c r="S182" s="18">
        <f>IF($A182&gt;'1-Input'!$B$26,U181,(U181-Q182)*(1+'5-Roberta'!$C$4))</f>
        <v>364835.49181998143</v>
      </c>
      <c r="T182" s="18">
        <f>IF($A182&gt;'1-Input'!$B$26,R182,R182-'P-Parametri'!$B$8*(S182+R182)+MIN(MAX(S182,0),'P-Parametri'!$B$8*(S182+R182)))</f>
        <v>36653.926862445645</v>
      </c>
      <c r="U182" s="18">
        <f>IF($A182&gt;'1-Input'!$B$26,S182,S182-MIN(MAX(S182,0),'P-Parametri'!$B$8*(S182+R182)))</f>
        <v>364032.51298261655</v>
      </c>
      <c r="V182" s="18">
        <f>IF($A182&gt;'1-Input'!$B$26,V181,V181-Q182*(1-P182))</f>
        <v>255696.04121696312</v>
      </c>
      <c r="W182" s="11">
        <f>IF($A182&gt;'1-Input'!$B$26,0,IF(AB181&lt;=0,0,MAX(0,(AB181-AC181)/AB181)))</f>
        <v>0.27812830043992437</v>
      </c>
      <c r="X182" s="18">
        <f>IF($A182&gt;'1-Input'!$B$26,0,(MAX(0,W176-IF($A182&gt;='1-Input'!$C$12,'1-Input'!$B$12,0))-MIN(MAX(AA181,0),MAX(0,W176-IF($A182&gt;='1-Input'!$C$12,'1-Input'!$B$12,0))))*(1/(1-'P-Parametri'!$B$6*W182))+MIN(MAX(0,AB181-(MAX(0,W176-IF($A182&gt;='1-Input'!$C$12,'1-Input'!$B$12,0))-MIN(MAX(AA181,0),MAX(0,W176-IF($A182&gt;='1-Input'!$C$12,'1-Input'!$B$12,0))))*(1/(1-'P-Parametri'!$B$6*W182))),MAX(0,2*MAX(0,W176-IF($A182&gt;='1-Input'!$C$12,'1-Input'!$B$12,0))-(AA181-MIN(MAX(AA181,0),MAX(0,W176-IF($A182&gt;='1-Input'!$C$12,'1-Input'!$B$12,0)))))*(1/(1-'P-Parametri'!$B$6*W182))))</f>
        <v>19695.101814671751</v>
      </c>
      <c r="Y182" s="18">
        <f>IF($A182&gt;'1-Input'!$B$26,AA181,(AA181-MAX(0,W176-IF($A182&gt;='1-Input'!$C$12,'1-Input'!$B$12,0))+X182*(1-'P-Parametri'!$B$6*W182))*(1+'1-Input'!$B$27))</f>
        <v>36149.93583347425</v>
      </c>
      <c r="Z182" s="18">
        <f>IF($A182&gt;'1-Input'!$B$26,AB181,(AB181-X182)*(1+'5-Roberta'!$C$4))</f>
        <v>366571.712363942</v>
      </c>
      <c r="AA182" s="18">
        <f>IF($A182&gt;'1-Input'!$B$26,Y182,Y182-'P-Parametri'!$B$8*(Z182+Y182)+MIN(MAX(Z182,0),'P-Parametri'!$B$8*(Z182+Y182)))</f>
        <v>36149.93583347425</v>
      </c>
      <c r="AB182" s="18">
        <f>IF($A182&gt;'1-Input'!$B$26,Z182,Z182-MIN(MAX(Z182,0),'P-Parametri'!$B$8*(Z182+Y182)))</f>
        <v>365766.26906754717</v>
      </c>
      <c r="AC182" s="18">
        <f>IF($A182&gt;'1-Input'!$B$26,AC181,AC181-X182*(1-W182))</f>
        <v>256910.43205320972</v>
      </c>
      <c r="AD182" s="11">
        <f>IF($A182&gt;'1-Input'!$B$26,0,IF(AI181&lt;=0,0,MAX(0,(AI181-AJ181)/AI181)))</f>
        <v>0.27812847776049548</v>
      </c>
      <c r="AE182" s="18">
        <f>IF($A182&gt;'1-Input'!$B$26,0,(MAX(0,AD176-IF($A182&gt;='1-Input'!$C$12,'1-Input'!$B$12,0))-MIN(MAX(AH181,0),MAX(0,AD176-IF($A182&gt;='1-Input'!$C$12,'1-Input'!$B$12,0))))*(1/(1-'P-Parametri'!$B$6*AD182))+MIN(MAX(0,AI181-(MAX(0,AD176-IF($A182&gt;='1-Input'!$C$12,'1-Input'!$B$12,0))-MIN(MAX(AH181,0),MAX(0,AD176-IF($A182&gt;='1-Input'!$C$12,'1-Input'!$B$12,0))))*(1/(1-'P-Parametri'!$B$6*AD182))),MAX(0,2*MAX(0,AD176-IF($A182&gt;='1-Input'!$C$12,'1-Input'!$B$12,0))-(AH181-MIN(MAX(AH181,0),MAX(0,AD176-IF($A182&gt;='1-Input'!$C$12,'1-Input'!$B$12,0)))))*(1/(1-'P-Parametri'!$B$6*AD182))))</f>
        <v>19687.992811179309</v>
      </c>
      <c r="AF182" s="18">
        <f>IF($A182&gt;'1-Input'!$B$26,AH181,(AH181-MAX(0,AD176-IF($A182&gt;='1-Input'!$C$12,'1-Input'!$B$12,0))+AE182*(1-'P-Parametri'!$B$6*AD182))*(1+'1-Input'!$B$27))</f>
        <v>36136.885614545507</v>
      </c>
      <c r="AG182" s="18">
        <f>IF($A182&gt;'1-Input'!$B$26,AI181,(AI181-AE182)*(1+'5-Roberta'!$C$4))</f>
        <v>366616.66966330871</v>
      </c>
      <c r="AH182" s="18">
        <f>IF($A182&gt;'1-Input'!$B$26,AF182,AF182-'P-Parametri'!$B$8*(AG182+AF182)+MIN(MAX(AG182,0),'P-Parametri'!$B$8*(AG182+AF182)))</f>
        <v>36136.885614545507</v>
      </c>
      <c r="AI182" s="18">
        <f>IF($A182&gt;'1-Input'!$B$26,AG182,AG182-MIN(MAX(AG182,0),'P-Parametri'!$B$8*(AG182+AF182)))</f>
        <v>365811.162552753</v>
      </c>
      <c r="AJ182" s="18">
        <f>IF($A182&gt;'1-Input'!$B$26,AJ181,AJ181-AE182*(1-AD182))</f>
        <v>256941.87709536916</v>
      </c>
      <c r="AK182" s="11">
        <f>IF($A182&gt;'1-Input'!$B$26,0,IF(AP181&lt;=0,0,MAX(0,(AP181-AQ181)/AP181)))</f>
        <v>0.27812847479741098</v>
      </c>
      <c r="AL182" s="18">
        <f>IF($A182&gt;'1-Input'!$B$26,0,(MAX(0,AK176-IF($A182&gt;='1-Input'!$C$12,'1-Input'!$B$12,0))-MIN(MAX(AO181,0),MAX(0,AK176-IF($A182&gt;='1-Input'!$C$12,'1-Input'!$B$12,0))))*(1/(1-'P-Parametri'!$B$6*AK182))+MIN(MAX(0,AP181-(MAX(0,AK176-IF($A182&gt;='1-Input'!$C$12,'1-Input'!$B$12,0))-MIN(MAX(AO181,0),MAX(0,AK176-IF($A182&gt;='1-Input'!$C$12,'1-Input'!$B$12,0))))*(1/(1-'P-Parametri'!$B$6*AK182))),MAX(0,2*MAX(0,AK176-IF($A182&gt;='1-Input'!$C$12,'1-Input'!$B$12,0))-(AO181-MIN(MAX(AO181,0),MAX(0,AK176-IF($A182&gt;='1-Input'!$C$12,'1-Input'!$B$12,0)))))*(1/(1-'P-Parametri'!$B$6*AK182))))</f>
        <v>19688.111613798876</v>
      </c>
      <c r="AM182" s="18">
        <f>IF($A182&gt;'1-Input'!$B$26,AO181,(AO181-MAX(0,AK176-IF($A182&gt;='1-Input'!$C$12,'1-Input'!$B$12,0))+AL182*(1-'P-Parametri'!$B$6*AK182))*(1+'1-Input'!$B$27))</f>
        <v>36137.103704198256</v>
      </c>
      <c r="AN182" s="18">
        <f>IF($A182&gt;'1-Input'!$B$26,AP181,(AP181-AL182)*(1+'5-Roberta'!$C$4))</f>
        <v>366615.91835621983</v>
      </c>
      <c r="AO182" s="18">
        <f>IF($A182&gt;'1-Input'!$B$26,AM182,AM182-'P-Parametri'!$B$8*(AN182+AM182)+MIN(MAX(AN182,0),'P-Parametri'!$B$8*(AN182+AM182)))</f>
        <v>36137.103704198256</v>
      </c>
      <c r="AP182" s="18">
        <f>IF($A182&gt;'1-Input'!$B$26,AN182,AN182-MIN(MAX(AN182,0),'P-Parametri'!$B$8*(AN182+AM182)))</f>
        <v>365810.41231209901</v>
      </c>
      <c r="AQ182" s="18">
        <f>IF($A182&gt;'1-Input'!$B$26,AQ181,AQ181-AL182*(1-AK182))</f>
        <v>256941.35159937112</v>
      </c>
    </row>
    <row r="183" spans="1:43">
      <c r="A183" s="10">
        <f>5</f>
        <v>5</v>
      </c>
      <c r="B183" s="11">
        <f>IF($A183&gt;'1-Input'!$B$26,0,IF(G182&lt;=0,0,MAX(0,(G182-H182)/G182)))</f>
        <v>0.29766275073940512</v>
      </c>
      <c r="C183" s="18">
        <f>IF($A183&gt;'1-Input'!$B$26,0,(MAX(0,B176-IF($A183&gt;='1-Input'!$C$12,'1-Input'!$B$12,0))-MIN(MAX(F182,0),MAX(0,B176-IF($A183&gt;='1-Input'!$C$12,'1-Input'!$B$12,0))))*(1/(1-'P-Parametri'!$B$6*B183))+MIN(MAX(0,G182-(MAX(0,B176-IF($A183&gt;='1-Input'!$C$12,'1-Input'!$B$12,0))-MIN(MAX(F182,0),MAX(0,B176-IF($A183&gt;='1-Input'!$C$12,'1-Input'!$B$12,0))))*(1/(1-'P-Parametri'!$B$6*B183))),MAX(0,2*MAX(0,B176-IF($A183&gt;='1-Input'!$C$12,'1-Input'!$B$12,0))-(F182-MIN(MAX(F182,0),MAX(0,B176-IF($A183&gt;='1-Input'!$C$12,'1-Input'!$B$12,0)))))*(1/(1-'P-Parametri'!$B$6*B183))))</f>
        <v>18210.512647520372</v>
      </c>
      <c r="D183" s="18">
        <f>IF($A183&gt;'1-Input'!$B$26,F182,(F182-MAX(0,B176-IF($A183&gt;='1-Input'!$C$12,'1-Input'!$B$12,0))+C183*(1-'P-Parametri'!$B$6*B183))*(1+'1-Input'!$B$27))</f>
        <v>33242.0070309863</v>
      </c>
      <c r="E183" s="18">
        <f>IF($A183&gt;'1-Input'!$B$26,G182,(G182-C183)*(1+'5-Roberta'!$C$4))</f>
        <v>368286.01386604673</v>
      </c>
      <c r="F183" s="18">
        <f>IF($A183&gt;'1-Input'!$B$26,D183,D183-'P-Parametri'!$B$8*(E183+D183)+MIN(MAX(E183,0),'P-Parametri'!$B$8*(E183+D183)))</f>
        <v>33242.0070309863</v>
      </c>
      <c r="G183" s="18">
        <f>IF($A183&gt;'1-Input'!$B$26,E183,E183-MIN(MAX(E183,0),'P-Parametri'!$B$8*(E183+D183)))</f>
        <v>367482.95782425266</v>
      </c>
      <c r="H183" s="18">
        <f>IF($A183&gt;'1-Input'!$B$26,H182,H182-C183*(1-B183))</f>
        <v>251127.17079595005</v>
      </c>
      <c r="I183" s="11">
        <f>IF($A183&gt;'1-Input'!$B$26,0,IF(N182&lt;=0,0,MAX(0,(N182-O182)/N182)))</f>
        <v>0.29746333398035957</v>
      </c>
      <c r="J183" s="18">
        <f>IF($A183&gt;'1-Input'!$B$26,0,(MAX(0,I176-IF($A183&gt;='1-Input'!$C$12,'1-Input'!$B$12,0))-MIN(MAX(M182,0),MAX(0,I176-IF($A183&gt;='1-Input'!$C$12,'1-Input'!$B$12,0))))*(1/(1-'P-Parametri'!$B$6*I183))+MIN(MAX(0,N182-(MAX(0,I176-IF($A183&gt;='1-Input'!$C$12,'1-Input'!$B$12,0))-MIN(MAX(M182,0),MAX(0,I176-IF($A183&gt;='1-Input'!$C$12,'1-Input'!$B$12,0))))*(1/(1-'P-Parametri'!$B$6*I183))),MAX(0,2*MAX(0,I176-IF($A183&gt;='1-Input'!$C$12,'1-Input'!$B$12,0))-(M182-MIN(MAX(M182,0),MAX(0,I176-IF($A183&gt;='1-Input'!$C$12,'1-Input'!$B$12,0)))))*(1/(1-'P-Parametri'!$B$6*I183))))</f>
        <v>23959.854365176598</v>
      </c>
      <c r="K183" s="18">
        <f>IF($A183&gt;'1-Input'!$B$26,M182,(M182-MAX(0,I176-IF($A183&gt;='1-Input'!$C$12,'1-Input'!$B$12,0))+J183*(1-'P-Parametri'!$B$6*I183))*(1+'1-Input'!$B$27))</f>
        <v>43739.482935508291</v>
      </c>
      <c r="L183" s="18">
        <f>IF($A183&gt;'1-Input'!$B$26,N182,(N182-J183)*(1+'5-Roberta'!$C$4))</f>
        <v>325169.19984260842</v>
      </c>
      <c r="M183" s="18">
        <f>IF($A183&gt;'1-Input'!$B$26,K183,K183-'P-Parametri'!$B$8*(L183+K183)+MIN(MAX(L183,0),'P-Parametri'!$B$8*(L183+K183)))</f>
        <v>43739.482935508291</v>
      </c>
      <c r="N183" s="18">
        <f>IF($A183&gt;'1-Input'!$B$26,L183,L183-MIN(MAX(L183,0),'P-Parametri'!$B$8*(L183+K183)))</f>
        <v>324431.38247705216</v>
      </c>
      <c r="O183" s="18">
        <f>IF($A183&gt;'1-Input'!$B$26,O182,O182-J183*(1-I183))</f>
        <v>221789.59762106824</v>
      </c>
      <c r="P183" s="11">
        <f>IF($A183&gt;'1-Input'!$B$26,0,IF(U182&lt;=0,0,MAX(0,(U182-V182)/U182)))</f>
        <v>0.29760108754578951</v>
      </c>
      <c r="Q183" s="18">
        <f>IF($A183&gt;'1-Input'!$B$26,0,(MAX(0,P176-IF($A183&gt;='1-Input'!$C$12,'1-Input'!$B$12,0))-MIN(MAX(T182,0),MAX(0,P176-IF($A183&gt;='1-Input'!$C$12,'1-Input'!$B$12,0))))*(1/(1-'P-Parametri'!$B$6*P183))+MIN(MAX(0,U182-(MAX(0,P176-IF($A183&gt;='1-Input'!$C$12,'1-Input'!$B$12,0))-MIN(MAX(T182,0),MAX(0,P176-IF($A183&gt;='1-Input'!$C$12,'1-Input'!$B$12,0))))*(1/(1-'P-Parametri'!$B$6*P183))),MAX(0,2*MAX(0,P176-IF($A183&gt;='1-Input'!$C$12,'1-Input'!$B$12,0))-(T182-MIN(MAX(T182,0),MAX(0,P176-IF($A183&gt;='1-Input'!$C$12,'1-Input'!$B$12,0)))))*(1/(1-'P-Parametri'!$B$6*P183))))</f>
        <v>20079.268955421761</v>
      </c>
      <c r="R183" s="18">
        <f>IF($A183&gt;'1-Input'!$B$26,T182,(T182-MAX(0,P176-IF($A183&gt;='1-Input'!$C$12,'1-Input'!$B$12,0))+Q183*(1-'P-Parametri'!$B$6*P183))*(1+'1-Input'!$B$27))</f>
        <v>36653.926862445645</v>
      </c>
      <c r="S183" s="18">
        <f>IF($A183&gt;'1-Input'!$B$26,U182,(U182-Q183)*(1+'5-Roberta'!$C$4))</f>
        <v>354271.84134801064</v>
      </c>
      <c r="T183" s="18">
        <f>IF($A183&gt;'1-Input'!$B$26,R183,R183-'P-Parametri'!$B$8*(S183+R183)+MIN(MAX(S183,0),'P-Parametri'!$B$8*(S183+R183)))</f>
        <v>36653.926862445645</v>
      </c>
      <c r="U183" s="18">
        <f>IF($A183&gt;'1-Input'!$B$26,S183,S183-MIN(MAX(S183,0),'P-Parametri'!$B$8*(S183+R183)))</f>
        <v>353489.98981158971</v>
      </c>
      <c r="V183" s="18">
        <f>IF($A183&gt;'1-Input'!$B$26,V182,V182-Q183*(1-P183))</f>
        <v>241592.38453979927</v>
      </c>
      <c r="W183" s="11">
        <f>IF($A183&gt;'1-Input'!$B$26,0,IF(AB182&lt;=0,0,MAX(0,(AB182-AC182)/AB182)))</f>
        <v>0.29761037640743931</v>
      </c>
      <c r="X183" s="18">
        <f>IF($A183&gt;'1-Input'!$B$26,0,(MAX(0,W176-IF($A183&gt;='1-Input'!$C$12,'1-Input'!$B$12,0))-MIN(MAX(AA182,0),MAX(0,W176-IF($A183&gt;='1-Input'!$C$12,'1-Input'!$B$12,0))))*(1/(1-'P-Parametri'!$B$6*W183))+MIN(MAX(0,AB182-(MAX(0,W176-IF($A183&gt;='1-Input'!$C$12,'1-Input'!$B$12,0))-MIN(MAX(AA182,0),MAX(0,W176-IF($A183&gt;='1-Input'!$C$12,'1-Input'!$B$12,0))))*(1/(1-'P-Parametri'!$B$6*W183))),MAX(0,2*MAX(0,W176-IF($A183&gt;='1-Input'!$C$12,'1-Input'!$B$12,0))-(AA182-MIN(MAX(AA182,0),MAX(0,W176-IF($A183&gt;='1-Input'!$C$12,'1-Input'!$B$12,0)))))*(1/(1-'P-Parametri'!$B$6*W183))))</f>
        <v>19803.231100113138</v>
      </c>
      <c r="Y183" s="18">
        <f>IF($A183&gt;'1-Input'!$B$26,AA182,(AA182-MAX(0,W176-IF($A183&gt;='1-Input'!$C$12,'1-Input'!$B$12,0))+X183*(1-'P-Parametri'!$B$6*W183))*(1+'1-Input'!$B$27))</f>
        <v>36149.93583347425</v>
      </c>
      <c r="Z183" s="18">
        <f>IF($A183&gt;'1-Input'!$B$26,AB182,(AB182-X183)*(1+'5-Roberta'!$C$4))</f>
        <v>356341.92910645704</v>
      </c>
      <c r="AA183" s="18">
        <f>IF($A183&gt;'1-Input'!$B$26,Y183,Y183-'P-Parametri'!$B$8*(Z183+Y183)+MIN(MAX(Z183,0),'P-Parametri'!$B$8*(Z183+Y183)))</f>
        <v>36149.93583347425</v>
      </c>
      <c r="AB183" s="18">
        <f>IF($A183&gt;'1-Input'!$B$26,Z183,Z183-MIN(MAX(Z183,0),'P-Parametri'!$B$8*(Z183+Y183)))</f>
        <v>355556.94537657721</v>
      </c>
      <c r="AC183" s="18">
        <f>IF($A183&gt;'1-Input'!$B$26,AC182,AC182-X183*(1-W183))</f>
        <v>243000.84801488477</v>
      </c>
      <c r="AD183" s="11">
        <f>IF($A183&gt;'1-Input'!$B$26,0,IF(AI182&lt;=0,0,MAX(0,(AI182-AJ182)/AI182)))</f>
        <v>0.29761061608305622</v>
      </c>
      <c r="AE183" s="18">
        <f>IF($A183&gt;'1-Input'!$B$26,0,(MAX(0,AD176-IF($A183&gt;='1-Input'!$C$12,'1-Input'!$B$12,0))-MIN(MAX(AH182,0),MAX(0,AD176-IF($A183&gt;='1-Input'!$C$12,'1-Input'!$B$12,0))))*(1/(1-'P-Parametri'!$B$6*AD183))+MIN(MAX(0,AI182-(MAX(0,AD176-IF($A183&gt;='1-Input'!$C$12,'1-Input'!$B$12,0))-MIN(MAX(AH182,0),MAX(0,AD176-IF($A183&gt;='1-Input'!$C$12,'1-Input'!$B$12,0))))*(1/(1-'P-Parametri'!$B$6*AD183))),MAX(0,2*MAX(0,AD176-IF($A183&gt;='1-Input'!$C$12,'1-Input'!$B$12,0))-(AH182-MIN(MAX(AH182,0),MAX(0,AD176-IF($A183&gt;='1-Input'!$C$12,'1-Input'!$B$12,0)))))*(1/(1-'P-Parametri'!$B$6*AD183))))</f>
        <v>19796.083420303246</v>
      </c>
      <c r="AF183" s="18">
        <f>IF($A183&gt;'1-Input'!$B$26,AH182,(AH182-MAX(0,AD176-IF($A183&gt;='1-Input'!$C$12,'1-Input'!$B$12,0))+AE183*(1-'P-Parametri'!$B$6*AD183))*(1+'1-Input'!$B$27))</f>
        <v>36136.885614545507</v>
      </c>
      <c r="AG183" s="18">
        <f>IF($A183&gt;'1-Input'!$B$26,AI182,(AI182-AE183)*(1+'5-Roberta'!$C$4))</f>
        <v>356395.53150642326</v>
      </c>
      <c r="AH183" s="18">
        <f>IF($A183&gt;'1-Input'!$B$26,AF183,AF183-'P-Parametri'!$B$8*(AG183+AF183)+MIN(MAX(AG183,0),'P-Parametri'!$B$8*(AG183+AF183)))</f>
        <v>36136.885614545507</v>
      </c>
      <c r="AI183" s="18">
        <f>IF($A183&gt;'1-Input'!$B$26,AG183,AG183-MIN(MAX(AG183,0),'P-Parametri'!$B$8*(AG183+AF183)))</f>
        <v>355610.46667218133</v>
      </c>
      <c r="AJ183" s="18">
        <f>IF($A183&gt;'1-Input'!$B$26,AJ182,AJ182-AE183*(1-AD183))</f>
        <v>243037.31825781392</v>
      </c>
      <c r="AK183" s="11">
        <f>IF($A183&gt;'1-Input'!$B$26,0,IF(AP182&lt;=0,0,MAX(0,(AP182-AQ182)/AP182)))</f>
        <v>0.29761061207805073</v>
      </c>
      <c r="AL183" s="18">
        <f>IF($A183&gt;'1-Input'!$B$26,0,(MAX(0,AK176-IF($A183&gt;='1-Input'!$C$12,'1-Input'!$B$12,0))-MIN(MAX(AO182,0),MAX(0,AK176-IF($A183&gt;='1-Input'!$C$12,'1-Input'!$B$12,0))))*(1/(1-'P-Parametri'!$B$6*AK183))+MIN(MAX(0,AP182-(MAX(0,AK176-IF($A183&gt;='1-Input'!$C$12,'1-Input'!$B$12,0))-MIN(MAX(AO182,0),MAX(0,AK176-IF($A183&gt;='1-Input'!$C$12,'1-Input'!$B$12,0))))*(1/(1-'P-Parametri'!$B$6*AK183))),MAX(0,2*MAX(0,AK176-IF($A183&gt;='1-Input'!$C$12,'1-Input'!$B$12,0))-(AO182-MIN(MAX(AO182,0),MAX(0,AK176-IF($A183&gt;='1-Input'!$C$12,'1-Input'!$B$12,0)))))*(1/(1-'P-Parametri'!$B$6*AK183))))</f>
        <v>19796.202869267701</v>
      </c>
      <c r="AM183" s="18">
        <f>IF($A183&gt;'1-Input'!$B$26,AO182,(AO182-MAX(0,AK176-IF($A183&gt;='1-Input'!$C$12,'1-Input'!$B$12,0))+AL183*(1-'P-Parametri'!$B$6*AK183))*(1+'1-Input'!$B$27))</f>
        <v>36137.103704198264</v>
      </c>
      <c r="AN183" s="18">
        <f>IF($A183&gt;'1-Input'!$B$26,AP182,(AP182-AL183)*(1+'5-Roberta'!$C$4))</f>
        <v>356394.63572611625</v>
      </c>
      <c r="AO183" s="18">
        <f>IF($A183&gt;'1-Input'!$B$26,AM183,AM183-'P-Parametri'!$B$8*(AN183+AM183)+MIN(MAX(AN183,0),'P-Parametri'!$B$8*(AN183+AM183)))</f>
        <v>36137.103704198264</v>
      </c>
      <c r="AP183" s="18">
        <f>IF($A183&gt;'1-Input'!$B$26,AN183,AN183-MIN(MAX(AN183,0),'P-Parametri'!$B$8*(AN183+AM183)))</f>
        <v>355609.57224725559</v>
      </c>
      <c r="AQ183" s="18">
        <f>IF($A183&gt;'1-Input'!$B$26,AQ182,AQ182-AL183*(1-AK183))</f>
        <v>243036.70878284745</v>
      </c>
    </row>
    <row r="184" spans="1:43">
      <c r="A184" s="10">
        <f>6</f>
        <v>6</v>
      </c>
      <c r="B184" s="11">
        <f>IF($A184&gt;'1-Input'!$B$26,0,IF(G183&lt;=0,0,MAX(0,(G183-H183)/G183)))</f>
        <v>0.31662906959606363</v>
      </c>
      <c r="C184" s="18">
        <f>IF($A184&gt;'1-Input'!$B$26,0,(MAX(0,B176-IF($A184&gt;='1-Input'!$C$12,'1-Input'!$B$12,0))-MIN(MAX(F183,0),MAX(0,B176-IF($A184&gt;='1-Input'!$C$12,'1-Input'!$B$12,0))))*(1/(1-'P-Parametri'!$B$6*B184))+MIN(MAX(0,G183-(MAX(0,B176-IF($A184&gt;='1-Input'!$C$12,'1-Input'!$B$12,0))-MIN(MAX(F183,0),MAX(0,B176-IF($A184&gt;='1-Input'!$C$12,'1-Input'!$B$12,0))))*(1/(1-'P-Parametri'!$B$6*B184))),MAX(0,2*MAX(0,B176-IF($A184&gt;='1-Input'!$C$12,'1-Input'!$B$12,0))-(F183-MIN(MAX(F183,0),MAX(0,B176-IF($A184&gt;='1-Input'!$C$12,'1-Input'!$B$12,0)))))*(1/(1-'P-Parametri'!$B$6*B184))))</f>
        <v>18308.368991159059</v>
      </c>
      <c r="D184" s="18">
        <f>IF($A184&gt;'1-Input'!$B$26,F183,(F183-MAX(0,B176-IF($A184&gt;='1-Input'!$C$12,'1-Input'!$B$12,0))+C184*(1-'P-Parametri'!$B$6*B184))*(1+'1-Input'!$B$27))</f>
        <v>33242.0070309863</v>
      </c>
      <c r="E184" s="18">
        <f>IF($A184&gt;'1-Input'!$B$26,G183,(G183-C184)*(1+'5-Roberta'!$C$4))</f>
        <v>359649.82649808639</v>
      </c>
      <c r="F184" s="18">
        <f>IF($A184&gt;'1-Input'!$B$26,D184,D184-'P-Parametri'!$B$8*(E184+D184)+MIN(MAX(E184,0),'P-Parametri'!$B$8*(E184+D184)))</f>
        <v>33242.0070309863</v>
      </c>
      <c r="G184" s="18">
        <f>IF($A184&gt;'1-Input'!$B$26,E184,E184-MIN(MAX(E184,0),'P-Parametri'!$B$8*(E184+D184)))</f>
        <v>358864.04283102823</v>
      </c>
      <c r="H184" s="18">
        <f>IF($A184&gt;'1-Input'!$B$26,H183,H183-C184*(1-B184))</f>
        <v>238615.76364428311</v>
      </c>
      <c r="I184" s="11">
        <f>IF($A184&gt;'1-Input'!$B$26,0,IF(N183&lt;=0,0,MAX(0,(N183-O183)/N183)))</f>
        <v>0.31637440272364536</v>
      </c>
      <c r="J184" s="18">
        <f>IF($A184&gt;'1-Input'!$B$26,0,(MAX(0,I176-IF($A184&gt;='1-Input'!$C$12,'1-Input'!$B$12,0))-MIN(MAX(M183,0),MAX(0,I176-IF($A184&gt;='1-Input'!$C$12,'1-Input'!$B$12,0))))*(1/(1-'P-Parametri'!$B$6*I184))+MIN(MAX(0,N183-(MAX(0,I176-IF($A184&gt;='1-Input'!$C$12,'1-Input'!$B$12,0))-MIN(MAX(M183,0),MAX(0,I176-IF($A184&gt;='1-Input'!$C$12,'1-Input'!$B$12,0))))*(1/(1-'P-Parametri'!$B$6*I184))),MAX(0,2*MAX(0,I176-IF($A184&gt;='1-Input'!$C$12,'1-Input'!$B$12,0))-(M183-MIN(MAX(M183,0),MAX(0,I176-IF($A184&gt;='1-Input'!$C$12,'1-Input'!$B$12,0)))))*(1/(1-'P-Parametri'!$B$6*I184))))</f>
        <v>24088.221154161765</v>
      </c>
      <c r="K184" s="18">
        <f>IF($A184&gt;'1-Input'!$B$26,M183,(M183-MAX(0,I176-IF($A184&gt;='1-Input'!$C$12,'1-Input'!$B$12,0))+J184*(1-'P-Parametri'!$B$6*I184))*(1+'1-Input'!$B$27))</f>
        <v>43739.482935508291</v>
      </c>
      <c r="L184" s="18">
        <f>IF($A184&gt;'1-Input'!$B$26,N183,(N183-J184)*(1+'5-Roberta'!$C$4))</f>
        <v>309353.45616257709</v>
      </c>
      <c r="M184" s="18">
        <f>IF($A184&gt;'1-Input'!$B$26,K184,K184-'P-Parametri'!$B$8*(L184+K184)+MIN(MAX(L184,0),'P-Parametri'!$B$8*(L184+K184)))</f>
        <v>43739.482935508291</v>
      </c>
      <c r="N184" s="18">
        <f>IF($A184&gt;'1-Input'!$B$26,L184,L184-MIN(MAX(L184,0),'P-Parametri'!$B$8*(L184+K184)))</f>
        <v>308647.27028438094</v>
      </c>
      <c r="O184" s="18">
        <f>IF($A184&gt;'1-Input'!$B$26,O183,O183-J184*(1-I184))</f>
        <v>205322.27304722948</v>
      </c>
      <c r="P184" s="11">
        <f>IF($A184&gt;'1-Input'!$B$26,0,IF(U183&lt;=0,0,MAX(0,(U183-V183)/U183)))</f>
        <v>0.31655098728943332</v>
      </c>
      <c r="Q184" s="18">
        <f>IF($A184&gt;'1-Input'!$B$26,0,(MAX(0,P176-IF($A184&gt;='1-Input'!$C$12,'1-Input'!$B$12,0))-MIN(MAX(T183,0),MAX(0,P176-IF($A184&gt;='1-Input'!$C$12,'1-Input'!$B$12,0))))*(1/(1-'P-Parametri'!$B$6*P184))+MIN(MAX(0,U183-(MAX(0,P176-IF($A184&gt;='1-Input'!$C$12,'1-Input'!$B$12,0))-MIN(MAX(T183,0),MAX(0,P176-IF($A184&gt;='1-Input'!$C$12,'1-Input'!$B$12,0))))*(1/(1-'P-Parametri'!$B$6*P184))),MAX(0,2*MAX(0,P176-IF($A184&gt;='1-Input'!$C$12,'1-Input'!$B$12,0))-(T183-MIN(MAX(T183,0),MAX(0,P176-IF($A184&gt;='1-Input'!$C$12,'1-Input'!$B$12,0)))))*(1/(1-'P-Parametri'!$B$6*P184))))</f>
        <v>20187.07148982738</v>
      </c>
      <c r="R184" s="18">
        <f>IF($A184&gt;'1-Input'!$B$26,T183,(T183-MAX(0,P176-IF($A184&gt;='1-Input'!$C$12,'1-Input'!$B$12,0))+Q184*(1-'P-Parametri'!$B$6*P184))*(1+'1-Input'!$B$27))</f>
        <v>36653.926862445645</v>
      </c>
      <c r="S184" s="18">
        <f>IF($A184&gt;'1-Input'!$B$26,U183,(U183-Q184)*(1+'5-Roberta'!$C$4))</f>
        <v>343302.00587141525</v>
      </c>
      <c r="T184" s="18">
        <f>IF($A184&gt;'1-Input'!$B$26,R184,R184-'P-Parametri'!$B$8*(S184+R184)+MIN(MAX(S184,0),'P-Parametri'!$B$8*(S184+R184)))</f>
        <v>36653.926862445645</v>
      </c>
      <c r="U184" s="18">
        <f>IF($A184&gt;'1-Input'!$B$26,S184,S184-MIN(MAX(S184,0),'P-Parametri'!$B$8*(S184+R184)))</f>
        <v>342542.09400594753</v>
      </c>
      <c r="V184" s="18">
        <f>IF($A184&gt;'1-Input'!$B$26,V183,V183-Q184*(1-P184))</f>
        <v>227795.55046055911</v>
      </c>
      <c r="W184" s="11">
        <f>IF($A184&gt;'1-Input'!$B$26,0,IF(AB183&lt;=0,0,MAX(0,(AB183-AC183)/AB183)))</f>
        <v>0.31656278642646707</v>
      </c>
      <c r="X184" s="18">
        <f>IF($A184&gt;'1-Input'!$B$26,0,(MAX(0,W176-IF($A184&gt;='1-Input'!$C$12,'1-Input'!$B$12,0))-MIN(MAX(AA183,0),MAX(0,W176-IF($A184&gt;='1-Input'!$C$12,'1-Input'!$B$12,0))))*(1/(1-'P-Parametri'!$B$6*W184))+MIN(MAX(0,AB183-(MAX(0,W176-IF($A184&gt;='1-Input'!$C$12,'1-Input'!$B$12,0))-MIN(MAX(AA183,0),MAX(0,W176-IF($A184&gt;='1-Input'!$C$12,'1-Input'!$B$12,0))))*(1/(1-'P-Parametri'!$B$6*W184))),MAX(0,2*MAX(0,W176-IF($A184&gt;='1-Input'!$C$12,'1-Input'!$B$12,0))-(AA183-MIN(MAX(AA183,0),MAX(0,W176-IF($A184&gt;='1-Input'!$C$12,'1-Input'!$B$12,0)))))*(1/(1-'P-Parametri'!$B$6*W184))))</f>
        <v>19909.566068997578</v>
      </c>
      <c r="Y184" s="18">
        <f>IF($A184&gt;'1-Input'!$B$26,AA183,(AA183-MAX(0,W176-IF($A184&gt;='1-Input'!$C$12,'1-Input'!$B$12,0))+X184*(1-'P-Parametri'!$B$6*W184))*(1+'1-Input'!$B$27))</f>
        <v>36149.93583347425</v>
      </c>
      <c r="Z184" s="18">
        <f>IF($A184&gt;'1-Input'!$B$26,AB183,(AB183-X184)*(1+'5-Roberta'!$C$4))</f>
        <v>345716.80068680702</v>
      </c>
      <c r="AA184" s="18">
        <f>IF($A184&gt;'1-Input'!$B$26,Y184,Y184-'P-Parametri'!$B$8*(Z184+Y184)+MIN(MAX(Z184,0),'P-Parametri'!$B$8*(Z184+Y184)))</f>
        <v>36149.93583347425</v>
      </c>
      <c r="AB184" s="18">
        <f>IF($A184&gt;'1-Input'!$B$26,Z184,Z184-MIN(MAX(Z184,0),'P-Parametri'!$B$8*(Z184+Y184)))</f>
        <v>344953.06721376645</v>
      </c>
      <c r="AC184" s="18">
        <f>IF($A184&gt;'1-Input'!$B$26,AC183,AC183-X184*(1-W184))</f>
        <v>229393.90965723092</v>
      </c>
      <c r="AD184" s="11">
        <f>IF($A184&gt;'1-Input'!$B$26,0,IF(AI183&lt;=0,0,MAX(0,(AI183-AJ183)/AI183)))</f>
        <v>0.31656309069817873</v>
      </c>
      <c r="AE184" s="18">
        <f>IF($A184&gt;'1-Input'!$B$26,0,(MAX(0,AD176-IF($A184&gt;='1-Input'!$C$12,'1-Input'!$B$12,0))-MIN(MAX(AH183,0),MAX(0,AD176-IF($A184&gt;='1-Input'!$C$12,'1-Input'!$B$12,0))))*(1/(1-'P-Parametri'!$B$6*AD184))+MIN(MAX(0,AI183-(MAX(0,AD176-IF($A184&gt;='1-Input'!$C$12,'1-Input'!$B$12,0))-MIN(MAX(AH183,0),MAX(0,AD176-IF($A184&gt;='1-Input'!$C$12,'1-Input'!$B$12,0))))*(1/(1-'P-Parametri'!$B$6*AD184))),MAX(0,2*MAX(0,AD176-IF($A184&gt;='1-Input'!$C$12,'1-Input'!$B$12,0))-(AH183-MIN(MAX(AH183,0),MAX(0,AD176-IF($A184&gt;='1-Input'!$C$12,'1-Input'!$B$12,0)))))*(1/(1-'P-Parametri'!$B$6*AD184))))</f>
        <v>19902.38038062994</v>
      </c>
      <c r="AF184" s="18">
        <f>IF($A184&gt;'1-Input'!$B$26,AH183,(AH183-MAX(0,AD176-IF($A184&gt;='1-Input'!$C$12,'1-Input'!$B$12,0))+AE184*(1-'P-Parametri'!$B$6*AD184))*(1+'1-Input'!$B$27))</f>
        <v>36136.885614545507</v>
      </c>
      <c r="AG184" s="18">
        <f>IF($A184&gt;'1-Input'!$B$26,AI183,(AI183-AE184)*(1+'5-Roberta'!$C$4))</f>
        <v>345779.32888029789</v>
      </c>
      <c r="AH184" s="18">
        <f>IF($A184&gt;'1-Input'!$B$26,AF184,AF184-'P-Parametri'!$B$8*(AG184+AF184)+MIN(MAX(AG184,0),'P-Parametri'!$B$8*(AG184+AF184)))</f>
        <v>36136.885614545507</v>
      </c>
      <c r="AI184" s="18">
        <f>IF($A184&gt;'1-Input'!$B$26,AG184,AG184-MIN(MAX(AG184,0),'P-Parametri'!$B$8*(AG184+AF184)))</f>
        <v>345015.49645130819</v>
      </c>
      <c r="AJ184" s="18">
        <f>IF($A184&gt;'1-Input'!$B$26,AJ183,AJ183-AE184*(1-AD184))</f>
        <v>229435.29692272699</v>
      </c>
      <c r="AK184" s="11">
        <f>IF($A184&gt;'1-Input'!$B$26,0,IF(AP183&lt;=0,0,MAX(0,(AP183-AQ183)/AP183)))</f>
        <v>0.31656308561383761</v>
      </c>
      <c r="AL184" s="18">
        <f>IF($A184&gt;'1-Input'!$B$26,0,(MAX(0,AK176-IF($A184&gt;='1-Input'!$C$12,'1-Input'!$B$12,0))-MIN(MAX(AO183,0),MAX(0,AK176-IF($A184&gt;='1-Input'!$C$12,'1-Input'!$B$12,0))))*(1/(1-'P-Parametri'!$B$6*AK184))+MIN(MAX(0,AP183-(MAX(0,AK176-IF($A184&gt;='1-Input'!$C$12,'1-Input'!$B$12,0))-MIN(MAX(AO183,0),MAX(0,AK176-IF($A184&gt;='1-Input'!$C$12,'1-Input'!$B$12,0))))*(1/(1-'P-Parametri'!$B$6*AK184))),MAX(0,2*MAX(0,AK176-IF($A184&gt;='1-Input'!$C$12,'1-Input'!$B$12,0))-(AO183-MIN(MAX(AO183,0),MAX(0,AK176-IF($A184&gt;='1-Input'!$C$12,'1-Input'!$B$12,0)))))*(1/(1-'P-Parametri'!$B$6*AK184))))</f>
        <v>19902.500464780285</v>
      </c>
      <c r="AM184" s="18">
        <f>IF($A184&gt;'1-Input'!$B$26,AO183,(AO183-MAX(0,AK176-IF($A184&gt;='1-Input'!$C$12,'1-Input'!$B$12,0))+AL184*(1-'P-Parametri'!$B$6*AK184))*(1+'1-Input'!$B$27))</f>
        <v>36137.103704198264</v>
      </c>
      <c r="AN184" s="18">
        <f>IF($A184&gt;'1-Input'!$B$26,AP183,(AP183-AL184)*(1+'5-Roberta'!$C$4))</f>
        <v>345778.28393594961</v>
      </c>
      <c r="AO184" s="18">
        <f>IF($A184&gt;'1-Input'!$B$26,AM184,AM184-'P-Parametri'!$B$8*(AN184+AM184)+MIN(MAX(AN184,0),'P-Parametri'!$B$8*(AN184+AM184)))</f>
        <v>36137.103704198264</v>
      </c>
      <c r="AP184" s="18">
        <f>IF($A184&gt;'1-Input'!$B$26,AN184,AN184-MIN(MAX(AN184,0),'P-Parametri'!$B$8*(AN184+AM184)))</f>
        <v>345014.45316066931</v>
      </c>
      <c r="AQ184" s="18">
        <f>IF($A184&gt;'1-Input'!$B$26,AQ183,AQ183-AL184*(1-AK184))</f>
        <v>229434.60527662883</v>
      </c>
    </row>
    <row r="185" spans="1:43">
      <c r="A185" s="10">
        <f>7</f>
        <v>7</v>
      </c>
      <c r="B185" s="11">
        <f>IF($A185&gt;'1-Input'!$B$26,0,IF(G184&lt;=0,0,MAX(0,(G184-H184)/G184)))</f>
        <v>0.33508032244780855</v>
      </c>
      <c r="C185" s="18">
        <f>IF($A185&gt;'1-Input'!$B$26,0,(MAX(0,B176-IF($A185&gt;='1-Input'!$C$12,'1-Input'!$B$12,0))-MIN(MAX(F184,0),MAX(0,B176-IF($A185&gt;='1-Input'!$C$12,'1-Input'!$B$12,0))))*(1/(1-'P-Parametri'!$B$6*B185))+MIN(MAX(0,G184-(MAX(0,B176-IF($A185&gt;='1-Input'!$C$12,'1-Input'!$B$12,0))-MIN(MAX(F184,0),MAX(0,B176-IF($A185&gt;='1-Input'!$C$12,'1-Input'!$B$12,0))))*(1/(1-'P-Parametri'!$B$6*B185))),MAX(0,2*MAX(0,B176-IF($A185&gt;='1-Input'!$C$12,'1-Input'!$B$12,0))-(F184-MIN(MAX(F184,0),MAX(0,B176-IF($A185&gt;='1-Input'!$C$12,'1-Input'!$B$12,0)))))*(1/(1-'P-Parametri'!$B$6*B185))))</f>
        <v>18404.582398049595</v>
      </c>
      <c r="D185" s="18">
        <f>IF($A185&gt;'1-Input'!$B$26,F184,(F184-MAX(0,B176-IF($A185&gt;='1-Input'!$C$12,'1-Input'!$B$12,0))+C185*(1-'P-Parametri'!$B$6*B185))*(1+'1-Input'!$B$27))</f>
        <v>33242.0070309863</v>
      </c>
      <c r="E185" s="18">
        <f>IF($A185&gt;'1-Input'!$B$26,G184,(G184-C185)*(1+'5-Roberta'!$C$4))</f>
        <v>350673.244245968</v>
      </c>
      <c r="F185" s="18">
        <f>IF($A185&gt;'1-Input'!$B$26,D185,D185-'P-Parametri'!$B$8*(E185+D185)+MIN(MAX(E185,0),'P-Parametri'!$B$8*(E185+D185)))</f>
        <v>33242.0070309863</v>
      </c>
      <c r="G185" s="18">
        <f>IF($A185&gt;'1-Input'!$B$26,E185,E185-MIN(MAX(E185,0),'P-Parametri'!$B$8*(E185+D185)))</f>
        <v>349905.4137434141</v>
      </c>
      <c r="H185" s="18">
        <f>IF($A185&gt;'1-Input'!$B$26,H184,H184-C185*(1-B185))</f>
        <v>226378.19465068923</v>
      </c>
      <c r="I185" s="11">
        <f>IF($A185&gt;'1-Input'!$B$26,0,IF(N184&lt;=0,0,MAX(0,(N184-O184)/N184)))</f>
        <v>0.33476724787473428</v>
      </c>
      <c r="J185" s="18">
        <f>IF($A185&gt;'1-Input'!$B$26,0,(MAX(0,I176-IF($A185&gt;='1-Input'!$C$12,'1-Input'!$B$12,0))-MIN(MAX(M184,0),MAX(0,I176-IF($A185&gt;='1-Input'!$C$12,'1-Input'!$B$12,0))))*(1/(1-'P-Parametri'!$B$6*I185))+MIN(MAX(0,N184-(MAX(0,I176-IF($A185&gt;='1-Input'!$C$12,'1-Input'!$B$12,0))-MIN(MAX(M184,0),MAX(0,I176-IF($A185&gt;='1-Input'!$C$12,'1-Input'!$B$12,0))))*(1/(1-'P-Parametri'!$B$6*I185))),MAX(0,2*MAX(0,I176-IF($A185&gt;='1-Input'!$C$12,'1-Input'!$B$12,0))-(M184-MIN(MAX(M184,0),MAX(0,I176-IF($A185&gt;='1-Input'!$C$12,'1-Input'!$B$12,0)))))*(1/(1-'P-Parametri'!$B$6*I185))))</f>
        <v>24214.396643317763</v>
      </c>
      <c r="K185" s="18">
        <f>IF($A185&gt;'1-Input'!$B$26,M184,(M184-MAX(0,I176-IF($A185&gt;='1-Input'!$C$12,'1-Input'!$B$12,0))+J185*(1-'P-Parametri'!$B$6*I185))*(1+'1-Input'!$B$27))</f>
        <v>43739.482935508291</v>
      </c>
      <c r="L185" s="18">
        <f>IF($A185&gt;'1-Input'!$B$26,N184,(N184-J185)*(1+'5-Roberta'!$C$4))</f>
        <v>292965.85985029506</v>
      </c>
      <c r="M185" s="18">
        <f>IF($A185&gt;'1-Input'!$B$26,K185,K185-'P-Parametri'!$B$8*(L185+K185)+MIN(MAX(L185,0),'P-Parametri'!$B$8*(L185+K185)))</f>
        <v>43739.482935508291</v>
      </c>
      <c r="N185" s="18">
        <f>IF($A185&gt;'1-Input'!$B$26,L185,L185-MIN(MAX(L185,0),'P-Parametri'!$B$8*(L185+K185)))</f>
        <v>292292.44916472345</v>
      </c>
      <c r="O185" s="18">
        <f>IF($A185&gt;'1-Input'!$B$26,O184,O184-J185*(1-I185))</f>
        <v>189214.06332714242</v>
      </c>
      <c r="P185" s="11">
        <f>IF($A185&gt;'1-Input'!$B$26,0,IF(U184&lt;=0,0,MAX(0,(U184-V184)/U184)))</f>
        <v>0.33498523408745229</v>
      </c>
      <c r="Q185" s="18">
        <f>IF($A185&gt;'1-Input'!$B$26,0,(MAX(0,P176-IF($A185&gt;='1-Input'!$C$12,'1-Input'!$B$12,0))-MIN(MAX(T184,0),MAX(0,P176-IF($A185&gt;='1-Input'!$C$12,'1-Input'!$B$12,0))))*(1/(1-'P-Parametri'!$B$6*P185))+MIN(MAX(0,U184-(MAX(0,P176-IF($A185&gt;='1-Input'!$C$12,'1-Input'!$B$12,0))-MIN(MAX(T184,0),MAX(0,P176-IF($A185&gt;='1-Input'!$C$12,'1-Input'!$B$12,0))))*(1/(1-'P-Parametri'!$B$6*P185))),MAX(0,2*MAX(0,P176-IF($A185&gt;='1-Input'!$C$12,'1-Input'!$B$12,0))-(T184-MIN(MAX(T184,0),MAX(0,P176-IF($A185&gt;='1-Input'!$C$12,'1-Input'!$B$12,0)))))*(1/(1-'P-Parametri'!$B$6*P185))))</f>
        <v>20293.057131386682</v>
      </c>
      <c r="R185" s="18">
        <f>IF($A185&gt;'1-Input'!$B$26,T184,(T184-MAX(0,P176-IF($A185&gt;='1-Input'!$C$12,'1-Input'!$B$12,0))+Q185*(1-'P-Parametri'!$B$6*P185))*(1+'1-Input'!$B$27))</f>
        <v>36653.926862445645</v>
      </c>
      <c r="S185" s="18">
        <f>IF($A185&gt;'1-Input'!$B$26,U184,(U184-Q185)*(1+'5-Roberta'!$C$4))</f>
        <v>331916.50798079773</v>
      </c>
      <c r="T185" s="18">
        <f>IF($A185&gt;'1-Input'!$B$26,R185,R185-'P-Parametri'!$B$8*(S185+R185)+MIN(MAX(S185,0),'P-Parametri'!$B$8*(S185+R185)))</f>
        <v>36653.926862445645</v>
      </c>
      <c r="U185" s="18">
        <f>IF($A185&gt;'1-Input'!$B$26,S185,S185-MIN(MAX(S185,0),'P-Parametri'!$B$8*(S185+R185)))</f>
        <v>331179.36711111123</v>
      </c>
      <c r="V185" s="18">
        <f>IF($A185&gt;'1-Input'!$B$26,V184,V184-Q185*(1-P185))</f>
        <v>214300.36782268004</v>
      </c>
      <c r="W185" s="11">
        <f>IF($A185&gt;'1-Input'!$B$26,0,IF(AB184&lt;=0,0,MAX(0,(AB184-AC184)/AB184)))</f>
        <v>0.3349996522423262</v>
      </c>
      <c r="X185" s="18">
        <f>IF($A185&gt;'1-Input'!$B$26,0,(MAX(0,W176-IF($A185&gt;='1-Input'!$C$12,'1-Input'!$B$12,0))-MIN(MAX(AA184,0),MAX(0,W176-IF($A185&gt;='1-Input'!$C$12,'1-Input'!$B$12,0))))*(1/(1-'P-Parametri'!$B$6*W185))+MIN(MAX(0,AB184-(MAX(0,W176-IF($A185&gt;='1-Input'!$C$12,'1-Input'!$B$12,0))-MIN(MAX(AA184,0),MAX(0,W176-IF($A185&gt;='1-Input'!$C$12,'1-Input'!$B$12,0))))*(1/(1-'P-Parametri'!$B$6*W185))),MAX(0,2*MAX(0,W176-IF($A185&gt;='1-Input'!$C$12,'1-Input'!$B$12,0))-(AA184-MIN(MAX(AA184,0),MAX(0,W176-IF($A185&gt;='1-Input'!$C$12,'1-Input'!$B$12,0)))))*(1/(1-'P-Parametri'!$B$6*W185))))</f>
        <v>20014.110038813142</v>
      </c>
      <c r="Y185" s="18">
        <f>IF($A185&gt;'1-Input'!$B$26,AA184,(AA184-MAX(0,W176-IF($A185&gt;='1-Input'!$C$12,'1-Input'!$B$12,0))+X185*(1-'P-Parametri'!$B$6*W185))*(1+'1-Input'!$B$27))</f>
        <v>36149.93583347425</v>
      </c>
      <c r="Z185" s="18">
        <f>IF($A185&gt;'1-Input'!$B$26,AB184,(AB184-X185)*(1+'5-Roberta'!$C$4))</f>
        <v>334687.12589020189</v>
      </c>
      <c r="AA185" s="18">
        <f>IF($A185&gt;'1-Input'!$B$26,Y185,Y185-'P-Parametri'!$B$8*(Z185+Y185)+MIN(MAX(Z185,0),'P-Parametri'!$B$8*(Z185+Y185)))</f>
        <v>36149.93583347425</v>
      </c>
      <c r="AB185" s="18">
        <f>IF($A185&gt;'1-Input'!$B$26,Z185,Z185-MIN(MAX(Z185,0),'P-Parametri'!$B$8*(Z185+Y185)))</f>
        <v>333945.45176675456</v>
      </c>
      <c r="AC185" s="18">
        <f>IF($A185&gt;'1-Input'!$B$26,AC184,AC184-X185*(1-W185))</f>
        <v>216084.51952135982</v>
      </c>
      <c r="AD185" s="11">
        <f>IF($A185&gt;'1-Input'!$B$26,0,IF(AI184&lt;=0,0,MAX(0,(AI184-AJ184)/AI184)))</f>
        <v>0.33500002381746047</v>
      </c>
      <c r="AE185" s="18">
        <f>IF($A185&gt;'1-Input'!$B$26,0,(MAX(0,AD176-IF($A185&gt;='1-Input'!$C$12,'1-Input'!$B$12,0))-MIN(MAX(AH184,0),MAX(0,AD176-IF($A185&gt;='1-Input'!$C$12,'1-Input'!$B$12,0))))*(1/(1-'P-Parametri'!$B$6*AD185))+MIN(MAX(0,AI184-(MAX(0,AD176-IF($A185&gt;='1-Input'!$C$12,'1-Input'!$B$12,0))-MIN(MAX(AH184,0),MAX(0,AD176-IF($A185&gt;='1-Input'!$C$12,'1-Input'!$B$12,0))))*(1/(1-'P-Parametri'!$B$6*AD185))),MAX(0,2*MAX(0,AD176-IF($A185&gt;='1-Input'!$C$12,'1-Input'!$B$12,0))-(AH184-MIN(MAX(AH184,0),MAX(0,AD176-IF($A185&gt;='1-Input'!$C$12,'1-Input'!$B$12,0)))))*(1/(1-'P-Parametri'!$B$6*AD185))))</f>
        <v>20006.887011372775</v>
      </c>
      <c r="AF185" s="18">
        <f>IF($A185&gt;'1-Input'!$B$26,AH184,(AH184-MAX(0,AD176-IF($A185&gt;='1-Input'!$C$12,'1-Input'!$B$12,0))+AE185*(1-'P-Parametri'!$B$6*AD185))*(1+'1-Input'!$B$27))</f>
        <v>36136.885614545514</v>
      </c>
      <c r="AG185" s="18">
        <f>IF($A185&gt;'1-Input'!$B$26,AI184,(AI184-AE185)*(1+'5-Roberta'!$C$4))</f>
        <v>334758.86772313347</v>
      </c>
      <c r="AH185" s="18">
        <f>IF($A185&gt;'1-Input'!$B$26,AF185,AF185-'P-Parametri'!$B$8*(AG185+AF185)+MIN(MAX(AG185,0),'P-Parametri'!$B$8*(AG185+AF185)))</f>
        <v>36136.885614545514</v>
      </c>
      <c r="AI185" s="18">
        <f>IF($A185&gt;'1-Input'!$B$26,AG185,AG185-MIN(MAX(AG185,0),'P-Parametri'!$B$8*(AG185+AF185)))</f>
        <v>334017.07621645811</v>
      </c>
      <c r="AJ185" s="18">
        <f>IF($A185&gt;'1-Input'!$B$26,AJ184,AJ184-AE185*(1-AD185))</f>
        <v>216130.71753667734</v>
      </c>
      <c r="AK185" s="11">
        <f>IF($A185&gt;'1-Input'!$B$26,0,IF(AP184&lt;=0,0,MAX(0,(AP184-AQ184)/AP184)))</f>
        <v>0.33500001760858478</v>
      </c>
      <c r="AL185" s="18">
        <f>IF($A185&gt;'1-Input'!$B$26,0,(MAX(0,AK176-IF($A185&gt;='1-Input'!$C$12,'1-Input'!$B$12,0))-MIN(MAX(AO184,0),MAX(0,AK176-IF($A185&gt;='1-Input'!$C$12,'1-Input'!$B$12,0))))*(1/(1-'P-Parametri'!$B$6*AK185))+MIN(MAX(0,AP184-(MAX(0,AK176-IF($A185&gt;='1-Input'!$C$12,'1-Input'!$B$12,0))-MIN(MAX(AO184,0),MAX(0,AK176-IF($A185&gt;='1-Input'!$C$12,'1-Input'!$B$12,0))))*(1/(1-'P-Parametri'!$B$6*AK185))),MAX(0,2*MAX(0,AK176-IF($A185&gt;='1-Input'!$C$12,'1-Input'!$B$12,0))-(AO184-MIN(MAX(AO184,0),MAX(0,AK176-IF($A185&gt;='1-Input'!$C$12,'1-Input'!$B$12,0)))))*(1/(1-'P-Parametri'!$B$6*AK185))))</f>
        <v>20007.007719521273</v>
      </c>
      <c r="AM185" s="18">
        <f>IF($A185&gt;'1-Input'!$B$26,AO184,(AO184-MAX(0,AK176-IF($A185&gt;='1-Input'!$C$12,'1-Input'!$B$12,0))+AL185*(1-'P-Parametri'!$B$6*AK185))*(1+'1-Input'!$B$27))</f>
        <v>36137.103704198264</v>
      </c>
      <c r="AN185" s="18">
        <f>IF($A185&gt;'1-Input'!$B$26,AP184,(AP184-AL185)*(1+'5-Roberta'!$C$4))</f>
        <v>334757.66880438244</v>
      </c>
      <c r="AO185" s="18">
        <f>IF($A185&gt;'1-Input'!$B$26,AM185,AM185-'P-Parametri'!$B$8*(AN185+AM185)+MIN(MAX(AN185,0),'P-Parametri'!$B$8*(AN185+AM185)))</f>
        <v>36137.103704198264</v>
      </c>
      <c r="AP185" s="18">
        <f>IF($A185&gt;'1-Input'!$B$26,AN185,AN185-MIN(MAX(AN185,0),'P-Parametri'!$B$8*(AN185+AM185)))</f>
        <v>334015.87925936526</v>
      </c>
      <c r="AQ185" s="18">
        <f>IF($A185&gt;'1-Input'!$B$26,AQ184,AQ184-AL185*(1-AK185))</f>
        <v>216129.94549544228</v>
      </c>
    </row>
    <row r="186" spans="1:43">
      <c r="A186" s="10">
        <f>8</f>
        <v>8</v>
      </c>
      <c r="B186" s="11">
        <f>IF($A186&gt;'1-Input'!$B$26,0,IF(G185&lt;=0,0,MAX(0,(G185-H185)/G185)))</f>
        <v>0.35303031688245751</v>
      </c>
      <c r="C186" s="18">
        <f>IF($A186&gt;'1-Input'!$B$26,0,(MAX(0,B176-IF($A186&gt;='1-Input'!$C$12,'1-Input'!$B$12,0))-MIN(MAX(F185,0),MAX(0,B176-IF($A186&gt;='1-Input'!$C$12,'1-Input'!$B$12,0))))*(1/(1-'P-Parametri'!$B$6*B186))+MIN(MAX(0,G185-(MAX(0,B176-IF($A186&gt;='1-Input'!$C$12,'1-Input'!$B$12,0))-MIN(MAX(F185,0),MAX(0,B176-IF($A186&gt;='1-Input'!$C$12,'1-Input'!$B$12,0))))*(1/(1-'P-Parametri'!$B$6*B186))),MAX(0,2*MAX(0,B176-IF($A186&gt;='1-Input'!$C$12,'1-Input'!$B$12,0))-(F185-MIN(MAX(F185,0),MAX(0,B176-IF($A186&gt;='1-Input'!$C$12,'1-Input'!$B$12,0)))))*(1/(1-'P-Parametri'!$B$6*B186))))</f>
        <v>18499.157396285038</v>
      </c>
      <c r="D186" s="18">
        <f>IF($A186&gt;'1-Input'!$B$26,F185,(F185-MAX(0,B176-IF($A186&gt;='1-Input'!$C$12,'1-Input'!$B$12,0))+C186*(1-'P-Parametri'!$B$6*B186))*(1+'1-Input'!$B$27))</f>
        <v>33242.0070309863</v>
      </c>
      <c r="E186" s="18">
        <f>IF($A186&gt;'1-Input'!$B$26,G185,(G185-C186)*(1+'5-Roberta'!$C$4))</f>
        <v>341348.44403754297</v>
      </c>
      <c r="F186" s="18">
        <f>IF($A186&gt;'1-Input'!$B$26,D186,D186-'P-Parametri'!$B$8*(E186+D186)+MIN(MAX(E186,0),'P-Parametri'!$B$8*(E186+D186)))</f>
        <v>33242.0070309863</v>
      </c>
      <c r="G186" s="18">
        <f>IF($A186&gt;'1-Input'!$B$26,E186,E186-MIN(MAX(E186,0),'P-Parametri'!$B$8*(E186+D186)))</f>
        <v>340599.2631354059</v>
      </c>
      <c r="H186" s="18">
        <f>IF($A186&gt;'1-Input'!$B$26,H185,H185-C186*(1-B186))</f>
        <v>214409.80065207314</v>
      </c>
      <c r="I186" s="11">
        <f>IF($A186&gt;'1-Input'!$B$26,0,IF(N185&lt;=0,0,MAX(0,(N185-O185)/N185)))</f>
        <v>0.35265497323706263</v>
      </c>
      <c r="J186" s="18">
        <f>IF($A186&gt;'1-Input'!$B$26,0,(MAX(0,I176-IF($A186&gt;='1-Input'!$C$12,'1-Input'!$B$12,0))-MIN(MAX(M185,0),MAX(0,I176-IF($A186&gt;='1-Input'!$C$12,'1-Input'!$B$12,0))))*(1/(1-'P-Parametri'!$B$6*I186))+MIN(MAX(0,N185-(MAX(0,I176-IF($A186&gt;='1-Input'!$C$12,'1-Input'!$B$12,0))-MIN(MAX(M185,0),MAX(0,I176-IF($A186&gt;='1-Input'!$C$12,'1-Input'!$B$12,0))))*(1/(1-'P-Parametri'!$B$6*I186))),MAX(0,2*MAX(0,I176-IF($A186&gt;='1-Input'!$C$12,'1-Input'!$B$12,0))-(M185-MIN(MAX(M185,0),MAX(0,I176-IF($A186&gt;='1-Input'!$C$12,'1-Input'!$B$12,0)))))*(1/(1-'P-Parametri'!$B$6*I186))))</f>
        <v>24338.381362571017</v>
      </c>
      <c r="K186" s="18">
        <f>IF($A186&gt;'1-Input'!$B$26,M185,(M185-MAX(0,I176-IF($A186&gt;='1-Input'!$C$12,'1-Input'!$B$12,0))+J186*(1-'P-Parametri'!$B$6*I186))*(1+'1-Input'!$B$27))</f>
        <v>43739.482935508291</v>
      </c>
      <c r="L186" s="18">
        <f>IF($A186&gt;'1-Input'!$B$26,N185,(N185-J186)*(1+'5-Roberta'!$C$4))</f>
        <v>275992.68983621697</v>
      </c>
      <c r="M186" s="18">
        <f>IF($A186&gt;'1-Input'!$B$26,K186,K186-'P-Parametri'!$B$8*(L186+K186)+MIN(MAX(L186,0),'P-Parametri'!$B$8*(L186+K186)))</f>
        <v>43739.482935508291</v>
      </c>
      <c r="N186" s="18">
        <f>IF($A186&gt;'1-Input'!$B$26,L186,L186-MIN(MAX(L186,0),'P-Parametri'!$B$8*(L186+K186)))</f>
        <v>275353.2254906735</v>
      </c>
      <c r="O186" s="18">
        <f>IF($A186&gt;'1-Input'!$B$26,O185,O185-J186*(1-I186))</f>
        <v>173458.73319262231</v>
      </c>
      <c r="P186" s="11">
        <f>IF($A186&gt;'1-Input'!$B$26,0,IF(U185&lt;=0,0,MAX(0,(U185-V185)/U185)))</f>
        <v>0.35291751508546754</v>
      </c>
      <c r="Q186" s="18">
        <f>IF($A186&gt;'1-Input'!$B$26,0,(MAX(0,P176-IF($A186&gt;='1-Input'!$C$12,'1-Input'!$B$12,0))-MIN(MAX(T185,0),MAX(0,P176-IF($A186&gt;='1-Input'!$C$12,'1-Input'!$B$12,0))))*(1/(1-'P-Parametri'!$B$6*P186))+MIN(MAX(0,U185-(MAX(0,P176-IF($A186&gt;='1-Input'!$C$12,'1-Input'!$B$12,0))-MIN(MAX(T185,0),MAX(0,P176-IF($A186&gt;='1-Input'!$C$12,'1-Input'!$B$12,0))))*(1/(1-'P-Parametri'!$B$6*P186))),MAX(0,2*MAX(0,P176-IF($A186&gt;='1-Input'!$C$12,'1-Input'!$B$12,0))-(T185-MIN(MAX(T185,0),MAX(0,P176-IF($A186&gt;='1-Input'!$C$12,'1-Input'!$B$12,0)))))*(1/(1-'P-Parametri'!$B$6*P186))))</f>
        <v>20397.230101177563</v>
      </c>
      <c r="R186" s="18">
        <f>IF($A186&gt;'1-Input'!$B$26,T185,(T185-MAX(0,P176-IF($A186&gt;='1-Input'!$C$12,'1-Input'!$B$12,0))+Q186*(1-'P-Parametri'!$B$6*P186))*(1+'1-Input'!$B$27))</f>
        <v>36653.926862445645</v>
      </c>
      <c r="S186" s="18">
        <f>IF($A186&gt;'1-Input'!$B$26,U185,(U185-Q186)*(1+'5-Roberta'!$C$4))</f>
        <v>320105.60112023167</v>
      </c>
      <c r="T186" s="18">
        <f>IF($A186&gt;'1-Input'!$B$26,R186,R186-'P-Parametri'!$B$8*(S186+R186)+MIN(MAX(S186,0),'P-Parametri'!$B$8*(S186+R186)))</f>
        <v>36653.926862445645</v>
      </c>
      <c r="U186" s="18">
        <f>IF($A186&gt;'1-Input'!$B$26,S186,S186-MIN(MAX(S186,0),'P-Parametri'!$B$8*(S186+R186)))</f>
        <v>319392.08206426632</v>
      </c>
      <c r="V186" s="18">
        <f>IF($A186&gt;'1-Input'!$B$26,V185,V185-Q186*(1-P186))</f>
        <v>201101.67748343656</v>
      </c>
      <c r="W186" s="11">
        <f>IF($A186&gt;'1-Input'!$B$26,0,IF(AB185&lt;=0,0,MAX(0,(AB185-AC185)/AB185)))</f>
        <v>0.35293468325993294</v>
      </c>
      <c r="X186" s="18">
        <f>IF($A186&gt;'1-Input'!$B$26,0,(MAX(0,W176-IF($A186&gt;='1-Input'!$C$12,'1-Input'!$B$12,0))-MIN(MAX(AA185,0),MAX(0,W176-IF($A186&gt;='1-Input'!$C$12,'1-Input'!$B$12,0))))*(1/(1-'P-Parametri'!$B$6*W186))+MIN(MAX(0,AB185-(MAX(0,W176-IF($A186&gt;='1-Input'!$C$12,'1-Input'!$B$12,0))-MIN(MAX(AA185,0),MAX(0,W176-IF($A186&gt;='1-Input'!$C$12,'1-Input'!$B$12,0))))*(1/(1-'P-Parametri'!$B$6*W186))),MAX(0,2*MAX(0,W176-IF($A186&gt;='1-Input'!$C$12,'1-Input'!$B$12,0))-(AA185-MIN(MAX(AA185,0),MAX(0,W176-IF($A186&gt;='1-Input'!$C$12,'1-Input'!$B$12,0)))))*(1/(1-'P-Parametri'!$B$6*W186))))</f>
        <v>20116.867314436968</v>
      </c>
      <c r="Y186" s="18">
        <f>IF($A186&gt;'1-Input'!$B$26,AA185,(AA185-MAX(0,W176-IF($A186&gt;='1-Input'!$C$12,'1-Input'!$B$12,0))+X186*(1-'P-Parametri'!$B$6*W186))*(1+'1-Input'!$B$27))</f>
        <v>36149.93583347425</v>
      </c>
      <c r="Z186" s="18">
        <f>IF($A186&gt;'1-Input'!$B$26,AB185,(AB185-X186)*(1+'5-Roberta'!$C$4))</f>
        <v>323243.44198588713</v>
      </c>
      <c r="AA186" s="18">
        <f>IF($A186&gt;'1-Input'!$B$26,Y186,Y186-'P-Parametri'!$B$8*(Z186+Y186)+MIN(MAX(Z186,0),'P-Parametri'!$B$8*(Z186+Y186)))</f>
        <v>36149.93583347425</v>
      </c>
      <c r="AB186" s="18">
        <f>IF($A186&gt;'1-Input'!$B$26,Z186,Z186-MIN(MAX(Z186,0),'P-Parametri'!$B$8*(Z186+Y186)))</f>
        <v>322524.65523024841</v>
      </c>
      <c r="AC186" s="18">
        <f>IF($A186&gt;'1-Input'!$B$26,AC185,AC185-X186*(1-W186))</f>
        <v>203067.59240072576</v>
      </c>
      <c r="AD186" s="11">
        <f>IF($A186&gt;'1-Input'!$B$26,0,IF(AI185&lt;=0,0,MAX(0,(AI185-AJ185)/AI185)))</f>
        <v>0.35293512539875382</v>
      </c>
      <c r="AE186" s="18">
        <f>IF($A186&gt;'1-Input'!$B$26,0,(MAX(0,AD176-IF($A186&gt;='1-Input'!$C$12,'1-Input'!$B$12,0))-MIN(MAX(AH185,0),MAX(0,AD176-IF($A186&gt;='1-Input'!$C$12,'1-Input'!$B$12,0))))*(1/(1-'P-Parametri'!$B$6*AD186))+MIN(MAX(0,AI185-(MAX(0,AD176-IF($A186&gt;='1-Input'!$C$12,'1-Input'!$B$12,0))-MIN(MAX(AH185,0),MAX(0,AD176-IF($A186&gt;='1-Input'!$C$12,'1-Input'!$B$12,0))))*(1/(1-'P-Parametri'!$B$6*AD186))),MAX(0,2*MAX(0,AD176-IF($A186&gt;='1-Input'!$C$12,'1-Input'!$B$12,0))-(AH185-MIN(MAX(AH185,0),MAX(0,AD176-IF($A186&gt;='1-Input'!$C$12,'1-Input'!$B$12,0)))))*(1/(1-'P-Parametri'!$B$6*AD186))))</f>
        <v>20109.607619373186</v>
      </c>
      <c r="AF186" s="18">
        <f>IF($A186&gt;'1-Input'!$B$26,AH185,(AH185-MAX(0,AD176-IF($A186&gt;='1-Input'!$C$12,'1-Input'!$B$12,0))+AE186*(1-'P-Parametri'!$B$6*AD186))*(1+'1-Input'!$B$27))</f>
        <v>36136.885614545507</v>
      </c>
      <c r="AG186" s="18">
        <f>IF($A186&gt;'1-Input'!$B$26,AI185,(AI185-AE186)*(1+'5-Roberta'!$C$4))</f>
        <v>323324.69265499746</v>
      </c>
      <c r="AH186" s="18">
        <f>IF($A186&gt;'1-Input'!$B$26,AF186,AF186-'P-Parametri'!$B$8*(AG186+AF186)+MIN(MAX(AG186,0),'P-Parametri'!$B$8*(AG186+AF186)))</f>
        <v>36136.885614545507</v>
      </c>
      <c r="AI186" s="18">
        <f>IF($A186&gt;'1-Input'!$B$26,AG186,AG186-MIN(MAX(AG186,0),'P-Parametri'!$B$8*(AG186+AF186)))</f>
        <v>322605.76949845836</v>
      </c>
      <c r="AJ186" s="18">
        <f>IF($A186&gt;'1-Input'!$B$26,AJ185,AJ185-AE186*(1-AD186))</f>
        <v>203118.49680416737</v>
      </c>
      <c r="AK186" s="11">
        <f>IF($A186&gt;'1-Input'!$B$26,0,IF(AP185&lt;=0,0,MAX(0,(AP185-AQ185)/AP185)))</f>
        <v>0.3529351180109131</v>
      </c>
      <c r="AL186" s="18">
        <f>IF($A186&gt;'1-Input'!$B$26,0,(MAX(0,AK176-IF($A186&gt;='1-Input'!$C$12,'1-Input'!$B$12,0))-MIN(MAX(AO185,0),MAX(0,AK176-IF($A186&gt;='1-Input'!$C$12,'1-Input'!$B$12,0))))*(1/(1-'P-Parametri'!$B$6*AK186))+MIN(MAX(0,AP185-(MAX(0,AK176-IF($A186&gt;='1-Input'!$C$12,'1-Input'!$B$12,0))-MIN(MAX(AO185,0),MAX(0,AK176-IF($A186&gt;='1-Input'!$C$12,'1-Input'!$B$12,0))))*(1/(1-'P-Parametri'!$B$6*AK186))),MAX(0,2*MAX(0,AK176-IF($A186&gt;='1-Input'!$C$12,'1-Input'!$B$12,0))-(AO185-MIN(MAX(AO185,0),MAX(0,AK176-IF($A186&gt;='1-Input'!$C$12,'1-Input'!$B$12,0)))))*(1/(1-'P-Parametri'!$B$6*AK186))))</f>
        <v>20109.728940299374</v>
      </c>
      <c r="AM186" s="18">
        <f>IF($A186&gt;'1-Input'!$B$26,AO185,(AO185-MAX(0,AK176-IF($A186&gt;='1-Input'!$C$12,'1-Input'!$B$12,0))+AL186*(1-'P-Parametri'!$B$6*AK186))*(1+'1-Input'!$B$27))</f>
        <v>36137.103704198264</v>
      </c>
      <c r="AN186" s="18">
        <f>IF($A186&gt;'1-Input'!$B$26,AP185,(AP185-AL186)*(1+'5-Roberta'!$C$4))</f>
        <v>323323.33482863789</v>
      </c>
      <c r="AO186" s="18">
        <f>IF($A186&gt;'1-Input'!$B$26,AM186,AM186-'P-Parametri'!$B$8*(AN186+AM186)+MIN(MAX(AN186,0),'P-Parametri'!$B$8*(AN186+AM186)))</f>
        <v>36137.103704198264</v>
      </c>
      <c r="AP186" s="18">
        <f>IF($A186&gt;'1-Input'!$B$26,AN186,AN186-MIN(MAX(AN186,0),'P-Parametri'!$B$8*(AN186+AM186)))</f>
        <v>322604.41395157221</v>
      </c>
      <c r="AQ186" s="18">
        <f>IF($A186&gt;'1-Input'!$B$26,AQ185,AQ185-AL186*(1-AK186))</f>
        <v>203117.64611185493</v>
      </c>
    </row>
    <row r="187" spans="1:43">
      <c r="A187" s="10">
        <f>9</f>
        <v>9</v>
      </c>
      <c r="B187" s="11">
        <f>IF($A187&gt;'1-Input'!$B$26,0,IF(G186&lt;=0,0,MAX(0,(G186-H186)/G186)))</f>
        <v>0.37049247059928575</v>
      </c>
      <c r="C187" s="18">
        <f>IF($A187&gt;'1-Input'!$B$26,0,(MAX(0,B176-IF($A187&gt;='1-Input'!$C$12,'1-Input'!$B$12,0))-MIN(MAX(F186,0),MAX(0,B176-IF($A187&gt;='1-Input'!$C$12,'1-Input'!$B$12,0))))*(1/(1-'P-Parametri'!$B$6*B187))+MIN(MAX(0,G186-(MAX(0,B176-IF($A187&gt;='1-Input'!$C$12,'1-Input'!$B$12,0))-MIN(MAX(F186,0),MAX(0,B176-IF($A187&gt;='1-Input'!$C$12,'1-Input'!$B$12,0))))*(1/(1-'P-Parametri'!$B$6*B187))),MAX(0,2*MAX(0,B176-IF($A187&gt;='1-Input'!$C$12,'1-Input'!$B$12,0))-(F186-MIN(MAX(F186,0),MAX(0,B176-IF($A187&gt;='1-Input'!$C$12,'1-Input'!$B$12,0)))))*(1/(1-'P-Parametri'!$B$6*B187))))</f>
        <v>18592.099456854499</v>
      </c>
      <c r="D187" s="18">
        <f>IF($A187&gt;'1-Input'!$B$26,F186,(F186-MAX(0,B176-IF($A187&gt;='1-Input'!$C$12,'1-Input'!$B$12,0))+C187*(1-'P-Parametri'!$B$6*B187))*(1+'1-Input'!$B$27))</f>
        <v>33242.0070309863</v>
      </c>
      <c r="E187" s="18">
        <f>IF($A187&gt;'1-Input'!$B$26,G186,(G186-C187)*(1+'5-Roberta'!$C$4))</f>
        <v>331667.37858890794</v>
      </c>
      <c r="F187" s="18">
        <f>IF($A187&gt;'1-Input'!$B$26,D187,D187-'P-Parametri'!$B$8*(E187+D187)+MIN(MAX(E187,0),'P-Parametri'!$B$8*(E187+D187)))</f>
        <v>33242.0070309863</v>
      </c>
      <c r="G187" s="18">
        <f>IF($A187&gt;'1-Input'!$B$26,E187,E187-MIN(MAX(E187,0),'P-Parametri'!$B$8*(E187+D187)))</f>
        <v>330937.55981766817</v>
      </c>
      <c r="H187" s="18">
        <f>IF($A187&gt;'1-Input'!$B$26,H186,H186-C187*(1-B187))</f>
        <v>202705.9340566163</v>
      </c>
      <c r="I187" s="11">
        <f>IF($A187&gt;'1-Input'!$B$26,0,IF(N186&lt;=0,0,MAX(0,(N186-O186)/N186)))</f>
        <v>0.37005011332798954</v>
      </c>
      <c r="J187" s="18">
        <f>IF($A187&gt;'1-Input'!$B$26,0,(MAX(0,I176-IF($A187&gt;='1-Input'!$C$12,'1-Input'!$B$12,0))-MIN(MAX(M186,0),MAX(0,I176-IF($A187&gt;='1-Input'!$C$12,'1-Input'!$B$12,0))))*(1/(1-'P-Parametri'!$B$6*I187))+MIN(MAX(0,N186-(MAX(0,I176-IF($A187&gt;='1-Input'!$C$12,'1-Input'!$B$12,0))-MIN(MAX(M186,0),MAX(0,I176-IF($A187&gt;='1-Input'!$C$12,'1-Input'!$B$12,0))))*(1/(1-'P-Parametri'!$B$6*I187))),MAX(0,2*MAX(0,I176-IF($A187&gt;='1-Input'!$C$12,'1-Input'!$B$12,0))-(M186-MIN(MAX(M186,0),MAX(0,I176-IF($A187&gt;='1-Input'!$C$12,'1-Input'!$B$12,0)))))*(1/(1-'P-Parametri'!$B$6*I187))))</f>
        <v>24460.175643158884</v>
      </c>
      <c r="K187" s="18">
        <f>IF($A187&gt;'1-Input'!$B$26,M186,(M186-MAX(0,I176-IF($A187&gt;='1-Input'!$C$12,'1-Input'!$B$12,0))+J187*(1-'P-Parametri'!$B$6*I187))*(1+'1-Input'!$B$27))</f>
        <v>43739.482935508291</v>
      </c>
      <c r="L187" s="18">
        <f>IF($A187&gt;'1-Input'!$B$26,N186,(N186-J187)*(1+'5-Roberta'!$C$4))</f>
        <v>258419.84134294008</v>
      </c>
      <c r="M187" s="18">
        <f>IF($A187&gt;'1-Input'!$B$26,K187,K187-'P-Parametri'!$B$8*(L187+K187)+MIN(MAX(L187,0),'P-Parametri'!$B$8*(L187+K187)))</f>
        <v>43739.482935508291</v>
      </c>
      <c r="N187" s="18">
        <f>IF($A187&gt;'1-Input'!$B$26,L187,L187-MIN(MAX(L187,0),'P-Parametri'!$B$8*(L187+K187)))</f>
        <v>257815.52269438319</v>
      </c>
      <c r="O187" s="18">
        <f>IF($A187&gt;'1-Input'!$B$26,O186,O186-J187*(1-I187))</f>
        <v>158050.04831823689</v>
      </c>
      <c r="P187" s="11">
        <f>IF($A187&gt;'1-Input'!$B$26,0,IF(U186&lt;=0,0,MAX(0,(U186-V186)/U186)))</f>
        <v>0.3703611054360077</v>
      </c>
      <c r="Q187" s="18">
        <f>IF($A187&gt;'1-Input'!$B$26,0,(MAX(0,P176-IF($A187&gt;='1-Input'!$C$12,'1-Input'!$B$12,0))-MIN(MAX(T186,0),MAX(0,P176-IF($A187&gt;='1-Input'!$C$12,'1-Input'!$B$12,0))))*(1/(1-'P-Parametri'!$B$6*P187))+MIN(MAX(0,U186-(MAX(0,P176-IF($A187&gt;='1-Input'!$C$12,'1-Input'!$B$12,0))-MIN(MAX(T186,0),MAX(0,P176-IF($A187&gt;='1-Input'!$C$12,'1-Input'!$B$12,0))))*(1/(1-'P-Parametri'!$B$6*P187))),MAX(0,2*MAX(0,P176-IF($A187&gt;='1-Input'!$C$12,'1-Input'!$B$12,0))-(T186-MIN(MAX(T186,0),MAX(0,P176-IF($A187&gt;='1-Input'!$C$12,'1-Input'!$B$12,0)))))*(1/(1-'P-Parametri'!$B$6*P187))))</f>
        <v>20499.59550461562</v>
      </c>
      <c r="R187" s="18">
        <f>IF($A187&gt;'1-Input'!$B$26,T186,(T186-MAX(0,P176-IF($A187&gt;='1-Input'!$C$12,'1-Input'!$B$12,0))+Q187*(1-'P-Parametri'!$B$6*P187))*(1+'1-Input'!$B$27))</f>
        <v>36653.926862445645</v>
      </c>
      <c r="S187" s="18">
        <f>IF($A187&gt;'1-Input'!$B$26,U186,(U186-Q187)*(1+'5-Roberta'!$C$4))</f>
        <v>307859.26115644019</v>
      </c>
      <c r="T187" s="18">
        <f>IF($A187&gt;'1-Input'!$B$26,R187,R187-'P-Parametri'!$B$8*(S187+R187)+MIN(MAX(S187,0),'P-Parametri'!$B$8*(S187+R187)))</f>
        <v>36653.926862445645</v>
      </c>
      <c r="U187" s="18">
        <f>IF($A187&gt;'1-Input'!$B$26,S187,S187-MIN(MAX(S187,0),'P-Parametri'!$B$8*(S187+R187)))</f>
        <v>307170.23478040239</v>
      </c>
      <c r="V187" s="18">
        <f>IF($A187&gt;'1-Input'!$B$26,V186,V186-Q187*(1-P187))</f>
        <v>188194.33483090141</v>
      </c>
      <c r="W187" s="11">
        <f>IF($A187&gt;'1-Input'!$B$26,0,IF(AB186&lt;=0,0,MAX(0,(AB186-AC186)/AB186)))</f>
        <v>0.37038118138361537</v>
      </c>
      <c r="X187" s="18">
        <f>IF($A187&gt;'1-Input'!$B$26,0,(MAX(0,W176-IF($A187&gt;='1-Input'!$C$12,'1-Input'!$B$12,0))-MIN(MAX(AA186,0),MAX(0,W176-IF($A187&gt;='1-Input'!$C$12,'1-Input'!$B$12,0))))*(1/(1-'P-Parametri'!$B$6*W187))+MIN(MAX(0,AB186-(MAX(0,W176-IF($A187&gt;='1-Input'!$C$12,'1-Input'!$B$12,0))-MIN(MAX(AA186,0),MAX(0,W176-IF($A187&gt;='1-Input'!$C$12,'1-Input'!$B$12,0))))*(1/(1-'P-Parametri'!$B$6*W187))),MAX(0,2*MAX(0,W176-IF($A187&gt;='1-Input'!$C$12,'1-Input'!$B$12,0))-(AA186-MIN(MAX(AA186,0),MAX(0,W176-IF($A187&gt;='1-Input'!$C$12,'1-Input'!$B$12,0)))))*(1/(1-'P-Parametri'!$B$6*W187))))</f>
        <v>20217.843103622792</v>
      </c>
      <c r="Y187" s="18">
        <f>IF($A187&gt;'1-Input'!$B$26,AA186,(AA186-MAX(0,W176-IF($A187&gt;='1-Input'!$C$12,'1-Input'!$B$12,0))+X187*(1-'P-Parametri'!$B$6*W187))*(1+'1-Input'!$B$27))</f>
        <v>36149.93583347425</v>
      </c>
      <c r="Z187" s="18">
        <f>IF($A187&gt;'1-Input'!$B$26,AB186,(AB186-X187)*(1+'5-Roberta'!$C$4))</f>
        <v>311376.0164904244</v>
      </c>
      <c r="AA187" s="18">
        <f>IF($A187&gt;'1-Input'!$B$26,Y187,Y187-'P-Parametri'!$B$8*(Z187+Y187)+MIN(MAX(Z187,0),'P-Parametri'!$B$8*(Z187+Y187)))</f>
        <v>36149.93583347425</v>
      </c>
      <c r="AB187" s="18">
        <f>IF($A187&gt;'1-Input'!$B$26,Z187,Z187-MIN(MAX(Z187,0),'P-Parametri'!$B$8*(Z187+Y187)))</f>
        <v>310680.96458577662</v>
      </c>
      <c r="AC187" s="18">
        <f>IF($A187&gt;'1-Input'!$B$26,AC186,AC186-X187*(1-W187))</f>
        <v>190338.05791085135</v>
      </c>
      <c r="AD187" s="11">
        <f>IF($A187&gt;'1-Input'!$B$26,0,IF(AI186&lt;=0,0,MAX(0,(AI186-AJ186)/AI186)))</f>
        <v>0.37038169800885096</v>
      </c>
      <c r="AE187" s="18">
        <f>IF($A187&gt;'1-Input'!$B$26,0,(MAX(0,AD176-IF($A187&gt;='1-Input'!$C$12,'1-Input'!$B$12,0))-MIN(MAX(AH186,0),MAX(0,AD176-IF($A187&gt;='1-Input'!$C$12,'1-Input'!$B$12,0))))*(1/(1-'P-Parametri'!$B$6*AD187))+MIN(MAX(0,AI186-(MAX(0,AD176-IF($A187&gt;='1-Input'!$C$12,'1-Input'!$B$12,0))-MIN(MAX(AH186,0),MAX(0,AD176-IF($A187&gt;='1-Input'!$C$12,'1-Input'!$B$12,0))))*(1/(1-'P-Parametri'!$B$6*AD187))),MAX(0,2*MAX(0,AD176-IF($A187&gt;='1-Input'!$C$12,'1-Input'!$B$12,0))-(AH186-MIN(MAX(AH186,0),MAX(0,AD176-IF($A187&gt;='1-Input'!$C$12,'1-Input'!$B$12,0)))))*(1/(1-'P-Parametri'!$B$6*AD187))))</f>
        <v>20210.547414773537</v>
      </c>
      <c r="AF187" s="18">
        <f>IF($A187&gt;'1-Input'!$B$26,AH186,(AH186-MAX(0,AD176-IF($A187&gt;='1-Input'!$C$12,'1-Input'!$B$12,0))+AE187*(1-'P-Parametri'!$B$6*AD187))*(1+'1-Input'!$B$27))</f>
        <v>36136.885614545507</v>
      </c>
      <c r="AG187" s="18">
        <f>IF($A187&gt;'1-Input'!$B$26,AI186,(AI186-AE187)*(1+'5-Roberta'!$C$4))</f>
        <v>311467.07874619536</v>
      </c>
      <c r="AH187" s="18">
        <f>IF($A187&gt;'1-Input'!$B$26,AF187,AF187-'P-Parametri'!$B$8*(AG187+AF187)+MIN(MAX(AG187,0),'P-Parametri'!$B$8*(AG187+AF187)))</f>
        <v>36136.885614545507</v>
      </c>
      <c r="AI187" s="18">
        <f>IF($A187&gt;'1-Input'!$B$26,AG187,AG187-MIN(MAX(AG187,0),'P-Parametri'!$B$8*(AG187+AF187)))</f>
        <v>310771.87081747386</v>
      </c>
      <c r="AJ187" s="18">
        <f>IF($A187&gt;'1-Input'!$B$26,AJ186,AJ186-AE187*(1-AD187))</f>
        <v>190393.56625856605</v>
      </c>
      <c r="AK187" s="11">
        <f>IF($A187&gt;'1-Input'!$B$26,0,IF(AP186&lt;=0,0,MAX(0,(AP186-AQ186)/AP186)))</f>
        <v>0.37038168937655652</v>
      </c>
      <c r="AL187" s="18">
        <f>IF($A187&gt;'1-Input'!$B$26,0,(MAX(0,AK176-IF($A187&gt;='1-Input'!$C$12,'1-Input'!$B$12,0))-MIN(MAX(AO186,0),MAX(0,AK176-IF($A187&gt;='1-Input'!$C$12,'1-Input'!$B$12,0))))*(1/(1-'P-Parametri'!$B$6*AK187))+MIN(MAX(0,AP186-(MAX(0,AK176-IF($A187&gt;='1-Input'!$C$12,'1-Input'!$B$12,0))-MIN(MAX(AO186,0),MAX(0,AK176-IF($A187&gt;='1-Input'!$C$12,'1-Input'!$B$12,0))))*(1/(1-'P-Parametri'!$B$6*AK187))),MAX(0,2*MAX(0,AK176-IF($A187&gt;='1-Input'!$C$12,'1-Input'!$B$12,0))-(AO186-MIN(MAX(AO186,0),MAX(0,AK176-IF($A187&gt;='1-Input'!$C$12,'1-Input'!$B$12,0)))))*(1/(1-'P-Parametri'!$B$6*AK187))))</f>
        <v>20210.669337217103</v>
      </c>
      <c r="AM187" s="18">
        <f>IF($A187&gt;'1-Input'!$B$26,AO186,(AO186-MAX(0,AK176-IF($A187&gt;='1-Input'!$C$12,'1-Input'!$B$12,0))+AL187*(1-'P-Parametri'!$B$6*AK187))*(1+'1-Input'!$B$27))</f>
        <v>36137.103704198264</v>
      </c>
      <c r="AN187" s="18">
        <f>IF($A187&gt;'1-Input'!$B$26,AP186,(AP186-AL187)*(1+'5-Roberta'!$C$4))</f>
        <v>311465.55695278576</v>
      </c>
      <c r="AO187" s="18">
        <f>IF($A187&gt;'1-Input'!$B$26,AM187,AM187-'P-Parametri'!$B$8*(AN187+AM187)+MIN(MAX(AN187,0),'P-Parametri'!$B$8*(AN187+AM187)))</f>
        <v>36137.103704198264</v>
      </c>
      <c r="AP187" s="18">
        <f>IF($A187&gt;'1-Input'!$B$26,AN187,AN187-MIN(MAX(AN187,0),'P-Parametri'!$B$8*(AN187+AM187)))</f>
        <v>310770.35163147177</v>
      </c>
      <c r="AQ187" s="18">
        <f>IF($A187&gt;'1-Input'!$B$26,AQ186,AQ186-AL187*(1-AK187))</f>
        <v>190392.63862718726</v>
      </c>
    </row>
    <row r="188" spans="1:43">
      <c r="A188" s="10">
        <f>10</f>
        <v>10</v>
      </c>
      <c r="B188" s="11">
        <f>IF($A188&gt;'1-Input'!$B$26,0,IF(G187&lt;=0,0,MAX(0,(G187-H187)/G187)))</f>
        <v>0.38747981894742251</v>
      </c>
      <c r="C188" s="18">
        <f>IF($A188&gt;'1-Input'!$B$26,0,(MAX(0,B176-IF($A188&gt;='1-Input'!$C$12,'1-Input'!$B$12,0))-MIN(MAX(F187,0),MAX(0,B176-IF($A188&gt;='1-Input'!$C$12,'1-Input'!$B$12,0))))*(1/(1-'P-Parametri'!$B$6*B188))+MIN(MAX(0,G187-(MAX(0,B176-IF($A188&gt;='1-Input'!$C$12,'1-Input'!$B$12,0))-MIN(MAX(F187,0),MAX(0,B176-IF($A188&gt;='1-Input'!$C$12,'1-Input'!$B$12,0))))*(1/(1-'P-Parametri'!$B$6*B188))),MAX(0,2*MAX(0,B176-IF($A188&gt;='1-Input'!$C$12,'1-Input'!$B$12,0))-(F187-MIN(MAX(F187,0),MAX(0,B176-IF($A188&gt;='1-Input'!$C$12,'1-Input'!$B$12,0)))))*(1/(1-'P-Parametri'!$B$6*B188))))</f>
        <v>18683.414934263597</v>
      </c>
      <c r="D188" s="18">
        <f>IF($A188&gt;'1-Input'!$B$26,F187,(F187-MAX(0,B176-IF($A188&gt;='1-Input'!$C$12,'1-Input'!$B$12,0))+C188*(1-'P-Parametri'!$B$6*B188))*(1+'1-Input'!$B$27))</f>
        <v>33242.0070309863</v>
      </c>
      <c r="E188" s="18">
        <f>IF($A188&gt;'1-Input'!$B$26,G187,(G187-C188)*(1+'5-Roberta'!$C$4))</f>
        <v>321621.76922990667</v>
      </c>
      <c r="F188" s="18">
        <f>IF($A188&gt;'1-Input'!$B$26,D188,D188-'P-Parametri'!$B$8*(E188+D188)+MIN(MAX(E188,0),'P-Parametri'!$B$8*(E188+D188)))</f>
        <v>33242.0070309863</v>
      </c>
      <c r="G188" s="18">
        <f>IF($A188&gt;'1-Input'!$B$26,E188,E188-MIN(MAX(E188,0),'P-Parametri'!$B$8*(E188+D188)))</f>
        <v>320912.04167738487</v>
      </c>
      <c r="H188" s="18">
        <f>IF($A188&gt;'1-Input'!$B$26,H187,H187-C188*(1-B188))</f>
        <v>191261.96535840072</v>
      </c>
      <c r="I188" s="11">
        <f>IF($A188&gt;'1-Input'!$B$26,0,IF(N187&lt;=0,0,MAX(0,(N187-O187)/N187)))</f>
        <v>0.38696457580798649</v>
      </c>
      <c r="J188" s="18">
        <f>IF($A188&gt;'1-Input'!$B$26,0,(MAX(0,I176-IF($A188&gt;='1-Input'!$C$12,'1-Input'!$B$12,0))-MIN(MAX(M187,0),MAX(0,I176-IF($A188&gt;='1-Input'!$C$12,'1-Input'!$B$12,0))))*(1/(1-'P-Parametri'!$B$6*I188))+MIN(MAX(0,N187-(MAX(0,I176-IF($A188&gt;='1-Input'!$C$12,'1-Input'!$B$12,0))-MIN(MAX(M187,0),MAX(0,I176-IF($A188&gt;='1-Input'!$C$12,'1-Input'!$B$12,0))))*(1/(1-'P-Parametri'!$B$6*I188))),MAX(0,2*MAX(0,I176-IF($A188&gt;='1-Input'!$C$12,'1-Input'!$B$12,0))-(M187-MIN(MAX(M187,0),MAX(0,I176-IF($A188&gt;='1-Input'!$C$12,'1-Input'!$B$12,0)))))*(1/(1-'P-Parametri'!$B$6*I188))))</f>
        <v>24579.779021533435</v>
      </c>
      <c r="K188" s="18">
        <f>IF($A188&gt;'1-Input'!$B$26,M187,(M187-MAX(0,I176-IF($A188&gt;='1-Input'!$C$12,'1-Input'!$B$12,0))+J188*(1-'P-Parametri'!$B$6*I188))*(1+'1-Input'!$B$27))</f>
        <v>43739.482935508291</v>
      </c>
      <c r="L188" s="18">
        <f>IF($A188&gt;'1-Input'!$B$26,N187,(N187-J188)*(1+'5-Roberta'!$C$4))</f>
        <v>240232.81598303525</v>
      </c>
      <c r="M188" s="18">
        <f>IF($A188&gt;'1-Input'!$B$26,K188,K188-'P-Parametri'!$B$8*(L188+K188)+MIN(MAX(L188,0),'P-Parametri'!$B$8*(L188+K188)))</f>
        <v>43739.482935508291</v>
      </c>
      <c r="N188" s="18">
        <f>IF($A188&gt;'1-Input'!$B$26,L188,L188-MIN(MAX(L188,0),'P-Parametri'!$B$8*(L188+K188)))</f>
        <v>239664.87138519817</v>
      </c>
      <c r="O188" s="18">
        <f>IF($A188&gt;'1-Input'!$B$26,O187,O187-J188*(1-I188))</f>
        <v>142981.77305922518</v>
      </c>
      <c r="P188" s="11">
        <f>IF($A188&gt;'1-Input'!$B$26,0,IF(U187&lt;=0,0,MAX(0,(U187-V187)/U187)))</f>
        <v>0.38732887004679173</v>
      </c>
      <c r="Q188" s="18">
        <f>IF($A188&gt;'1-Input'!$B$26,0,(MAX(0,P176-IF($A188&gt;='1-Input'!$C$12,'1-Input'!$B$12,0))-MIN(MAX(T187,0),MAX(0,P176-IF($A188&gt;='1-Input'!$C$12,'1-Input'!$B$12,0))))*(1/(1-'P-Parametri'!$B$6*P188))+MIN(MAX(0,U187-(MAX(0,P176-IF($A188&gt;='1-Input'!$C$12,'1-Input'!$B$12,0))-MIN(MAX(T187,0),MAX(0,P176-IF($A188&gt;='1-Input'!$C$12,'1-Input'!$B$12,0))))*(1/(1-'P-Parametri'!$B$6*P188))),MAX(0,2*MAX(0,P176-IF($A188&gt;='1-Input'!$C$12,'1-Input'!$B$12,0))-(T187-MIN(MAX(T187,0),MAX(0,P176-IF($A188&gt;='1-Input'!$C$12,'1-Input'!$B$12,0)))))*(1/(1-'P-Parametri'!$B$6*P188))))</f>
        <v>20600.159225978041</v>
      </c>
      <c r="R188" s="18">
        <f>IF($A188&gt;'1-Input'!$B$26,T187,(T187-MAX(0,P176-IF($A188&gt;='1-Input'!$C$12,'1-Input'!$B$12,0))+Q188*(1-'P-Parametri'!$B$6*P188))*(1+'1-Input'!$B$27))</f>
        <v>36653.926862445645</v>
      </c>
      <c r="S188" s="18">
        <f>IF($A188&gt;'1-Input'!$B$26,U187,(U187-Q188)*(1+'5-Roberta'!$C$4))</f>
        <v>295167.17782105709</v>
      </c>
      <c r="T188" s="18">
        <f>IF($A188&gt;'1-Input'!$B$26,R188,R188-'P-Parametri'!$B$8*(S188+R188)+MIN(MAX(S188,0),'P-Parametri'!$B$8*(S188+R188)))</f>
        <v>36653.926862445645</v>
      </c>
      <c r="U188" s="18">
        <f>IF($A188&gt;'1-Input'!$B$26,S188,S188-MIN(MAX(S188,0),'P-Parametri'!$B$8*(S188+R188)))</f>
        <v>294503.53561169008</v>
      </c>
      <c r="V188" s="18">
        <f>IF($A188&gt;'1-Input'!$B$26,V187,V187-Q188*(1-P188))</f>
        <v>175573.21200070545</v>
      </c>
      <c r="W188" s="11">
        <f>IF($A188&gt;'1-Input'!$B$26,0,IF(AB187&lt;=0,0,MAX(0,(AB187-AC187)/AB187)))</f>
        <v>0.38735204403454698</v>
      </c>
      <c r="X188" s="18">
        <f>IF($A188&gt;'1-Input'!$B$26,0,(MAX(0,W176-IF($A188&gt;='1-Input'!$C$12,'1-Input'!$B$12,0))-MIN(MAX(AA187,0),MAX(0,W176-IF($A188&gt;='1-Input'!$C$12,'1-Input'!$B$12,0))))*(1/(1-'P-Parametri'!$B$6*W188))+MIN(MAX(0,AB187-(MAX(0,W176-IF($A188&gt;='1-Input'!$C$12,'1-Input'!$B$12,0))-MIN(MAX(AA187,0),MAX(0,W176-IF($A188&gt;='1-Input'!$C$12,'1-Input'!$B$12,0))))*(1/(1-'P-Parametri'!$B$6*W188))),MAX(0,2*MAX(0,W176-IF($A188&gt;='1-Input'!$C$12,'1-Input'!$B$12,0))-(AA187-MIN(MAX(AA187,0),MAX(0,W176-IF($A188&gt;='1-Input'!$C$12,'1-Input'!$B$12,0)))))*(1/(1-'P-Parametri'!$B$6*W188))))</f>
        <v>20317.043421547754</v>
      </c>
      <c r="Y188" s="18">
        <f>IF($A188&gt;'1-Input'!$B$26,AA187,(AA187-MAX(0,W176-IF($A188&gt;='1-Input'!$C$12,'1-Input'!$B$12,0))+X188*(1-'P-Parametri'!$B$6*W188))*(1+'1-Input'!$B$27))</f>
        <v>36149.93583347425</v>
      </c>
      <c r="Z188" s="18">
        <f>IF($A188&gt;'1-Input'!$B$26,AB187,(AB187-X188)*(1+'5-Roberta'!$C$4))</f>
        <v>299074.83879915572</v>
      </c>
      <c r="AA188" s="18">
        <f>IF($A188&gt;'1-Input'!$B$26,Y188,Y188-'P-Parametri'!$B$8*(Z188+Y188)+MIN(MAX(Z188,0),'P-Parametri'!$B$8*(Z188+Y188)))</f>
        <v>36149.93583347425</v>
      </c>
      <c r="AB188" s="18">
        <f>IF($A188&gt;'1-Input'!$B$26,Z188,Z188-MIN(MAX(Z188,0),'P-Parametri'!$B$8*(Z188+Y188)))</f>
        <v>298404.38924989046</v>
      </c>
      <c r="AC188" s="18">
        <f>IF($A188&gt;'1-Input'!$B$26,AC187,AC187-X188*(1-W188))</f>
        <v>177890.86278737878</v>
      </c>
      <c r="AD188" s="11">
        <f>IF($A188&gt;'1-Input'!$B$26,0,IF(AI187&lt;=0,0,MAX(0,(AI187-AJ187)/AI187)))</f>
        <v>0.38735263987135371</v>
      </c>
      <c r="AE188" s="18">
        <f>IF($A188&gt;'1-Input'!$B$26,0,(MAX(0,AD176-IF($A188&gt;='1-Input'!$C$12,'1-Input'!$B$12,0))-MIN(MAX(AH187,0),MAX(0,AD176-IF($A188&gt;='1-Input'!$C$12,'1-Input'!$B$12,0))))*(1/(1-'P-Parametri'!$B$6*AD188))+MIN(MAX(0,AI187-(MAX(0,AD176-IF($A188&gt;='1-Input'!$C$12,'1-Input'!$B$12,0))-MIN(MAX(AH187,0),MAX(0,AD176-IF($A188&gt;='1-Input'!$C$12,'1-Input'!$B$12,0))))*(1/(1-'P-Parametri'!$B$6*AD188))),MAX(0,2*MAX(0,AD176-IF($A188&gt;='1-Input'!$C$12,'1-Input'!$B$12,0))-(AH187-MIN(MAX(AH187,0),MAX(0,AD176-IF($A188&gt;='1-Input'!$C$12,'1-Input'!$B$12,0)))))*(1/(1-'P-Parametri'!$B$6*AD188))))</f>
        <v>20309.712415804086</v>
      </c>
      <c r="AF188" s="18">
        <f>IF($A188&gt;'1-Input'!$B$26,AH187,(AH187-MAX(0,AD176-IF($A188&gt;='1-Input'!$C$12,'1-Input'!$B$12,0))+AE188*(1-'P-Parametri'!$B$6*AD188))*(1+'1-Input'!$B$27))</f>
        <v>36136.885614545507</v>
      </c>
      <c r="AG188" s="18">
        <f>IF($A188&gt;'1-Input'!$B$26,AI187,(AI187-AE188)*(1+'5-Roberta'!$C$4))</f>
        <v>299176.02315371984</v>
      </c>
      <c r="AH188" s="18">
        <f>IF($A188&gt;'1-Input'!$B$26,AF188,AF188-'P-Parametri'!$B$8*(AG188+AF188)+MIN(MAX(AG188,0),'P-Parametri'!$B$8*(AG188+AF188)))</f>
        <v>36136.885614545507</v>
      </c>
      <c r="AI188" s="18">
        <f>IF($A188&gt;'1-Input'!$B$26,AG188,AG188-MIN(MAX(AG188,0),'P-Parametri'!$B$8*(AG188+AF188)))</f>
        <v>298505.39733618329</v>
      </c>
      <c r="AJ188" s="18">
        <f>IF($A188&gt;'1-Input'!$B$26,AJ187,AJ187-AE188*(1-AD188))</f>
        <v>177950.87456205167</v>
      </c>
      <c r="AK188" s="11">
        <f>IF($A188&gt;'1-Input'!$B$26,0,IF(AP187&lt;=0,0,MAX(0,(AP187-AQ187)/AP187)))</f>
        <v>0.38735262991572272</v>
      </c>
      <c r="AL188" s="18">
        <f>IF($A188&gt;'1-Input'!$B$26,0,(MAX(0,AK176-IF($A188&gt;='1-Input'!$C$12,'1-Input'!$B$12,0))-MIN(MAX(AO187,0),MAX(0,AK176-IF($A188&gt;='1-Input'!$C$12,'1-Input'!$B$12,0))))*(1/(1-'P-Parametri'!$B$6*AK188))+MIN(MAX(0,AP187-(MAX(0,AK176-IF($A188&gt;='1-Input'!$C$12,'1-Input'!$B$12,0))-MIN(MAX(AO187,0),MAX(0,AK176-IF($A188&gt;='1-Input'!$C$12,'1-Input'!$B$12,0))))*(1/(1-'P-Parametri'!$B$6*AK188))),MAX(0,2*MAX(0,AK176-IF($A188&gt;='1-Input'!$C$12,'1-Input'!$B$12,0))-(AO187-MIN(MAX(AO187,0),MAX(0,AK176-IF($A188&gt;='1-Input'!$C$12,'1-Input'!$B$12,0)))))*(1/(1-'P-Parametri'!$B$6*AK188))))</f>
        <v>20309.834928453853</v>
      </c>
      <c r="AM188" s="18">
        <f>IF($A188&gt;'1-Input'!$B$26,AO187,(AO187-MAX(0,AK176-IF($A188&gt;='1-Input'!$C$12,'1-Input'!$B$12,0))+AL188*(1-'P-Parametri'!$B$6*AK188))*(1+'1-Input'!$B$27))</f>
        <v>36137.103704198256</v>
      </c>
      <c r="AN188" s="18">
        <f>IF($A188&gt;'1-Input'!$B$26,AP187,(AP187-AL188)*(1+'5-Roberta'!$C$4))</f>
        <v>299174.33220410848</v>
      </c>
      <c r="AO188" s="18">
        <f>IF($A188&gt;'1-Input'!$B$26,AM188,AM188-'P-Parametri'!$B$8*(AN188+AM188)+MIN(MAX(AN188,0),'P-Parametri'!$B$8*(AN188+AM188)))</f>
        <v>36137.103704198256</v>
      </c>
      <c r="AP188" s="18">
        <f>IF($A188&gt;'1-Input'!$B$26,AN188,AN188-MIN(MAX(AN188,0),'P-Parametri'!$B$8*(AN188+AM188)))</f>
        <v>298503.70933229185</v>
      </c>
      <c r="AQ188" s="18">
        <f>IF($A188&gt;'1-Input'!$B$26,AQ187,AQ187-AL188*(1-AK188))</f>
        <v>177949.87167142422</v>
      </c>
    </row>
    <row r="189" spans="1:43">
      <c r="A189" s="10">
        <f>11</f>
        <v>11</v>
      </c>
      <c r="B189" s="11">
        <f>IF($A189&gt;'1-Input'!$B$26,0,IF(G188&lt;=0,0,MAX(0,(G188-H188)/G188)))</f>
        <v>0.40400502156700707</v>
      </c>
      <c r="C189" s="18">
        <f>IF($A189&gt;'1-Input'!$B$26,0,(MAX(0,B176-IF($A189&gt;='1-Input'!$C$12,'1-Input'!$B$12,0))-MIN(MAX(F188,0),MAX(0,B176-IF($A189&gt;='1-Input'!$C$12,'1-Input'!$B$12,0))))*(1/(1-'P-Parametri'!$B$6*B189))+MIN(MAX(0,G188-(MAX(0,B176-IF($A189&gt;='1-Input'!$C$12,'1-Input'!$B$12,0))-MIN(MAX(F188,0),MAX(0,B176-IF($A189&gt;='1-Input'!$C$12,'1-Input'!$B$12,0))))*(1/(1-'P-Parametri'!$B$6*B189))),MAX(0,2*MAX(0,B176-IF($A189&gt;='1-Input'!$C$12,'1-Input'!$B$12,0))-(F188-MIN(MAX(F188,0),MAX(0,B176-IF($A189&gt;='1-Input'!$C$12,'1-Input'!$B$12,0)))))*(1/(1-'P-Parametri'!$B$6*B189))))</f>
        <v>18773.111002954505</v>
      </c>
      <c r="D189" s="18">
        <f>IF($A189&gt;'1-Input'!$B$26,F188,(F188-MAX(0,B176-IF($A189&gt;='1-Input'!$C$12,'1-Input'!$B$12,0))+C189*(1-'P-Parametri'!$B$6*B189))*(1+'1-Input'!$B$27))</f>
        <v>33242.0070309863</v>
      </c>
      <c r="E189" s="18">
        <f>IF($A189&gt;'1-Input'!$B$26,G188,(G188-C189)*(1+'5-Roberta'!$C$4))</f>
        <v>311203.09859466332</v>
      </c>
      <c r="F189" s="18">
        <f>IF($A189&gt;'1-Input'!$B$26,D189,D189-'P-Parametri'!$B$8*(E189+D189)+MIN(MAX(E189,0),'P-Parametri'!$B$8*(E189+D189)))</f>
        <v>33242.0070309863</v>
      </c>
      <c r="G189" s="18">
        <f>IF($A189&gt;'1-Input'!$B$26,E189,E189-MIN(MAX(E189,0),'P-Parametri'!$B$8*(E189+D189)))</f>
        <v>310514.20838341204</v>
      </c>
      <c r="H189" s="18">
        <f>IF($A189&gt;'1-Input'!$B$26,H188,H188-C189*(1-B189))</f>
        <v>180073.28547107466</v>
      </c>
      <c r="I189" s="11">
        <f>IF($A189&gt;'1-Input'!$B$26,0,IF(N188&lt;=0,0,MAX(0,(N188-O188)/N188)))</f>
        <v>0.4034095517093132</v>
      </c>
      <c r="J189" s="18">
        <f>IF($A189&gt;'1-Input'!$B$26,0,(MAX(0,I176-IF($A189&gt;='1-Input'!$C$12,'1-Input'!$B$12,0))-MIN(MAX(M188,0),MAX(0,I176-IF($A189&gt;='1-Input'!$C$12,'1-Input'!$B$12,0))))*(1/(1-'P-Parametri'!$B$6*I189))+MIN(MAX(0,N188-(MAX(0,I176-IF($A189&gt;='1-Input'!$C$12,'1-Input'!$B$12,0))-MIN(MAX(M188,0),MAX(0,I176-IF($A189&gt;='1-Input'!$C$12,'1-Input'!$B$12,0))))*(1/(1-'P-Parametri'!$B$6*I189))),MAX(0,2*MAX(0,I176-IF($A189&gt;='1-Input'!$C$12,'1-Input'!$B$12,0))-(M188-MIN(MAX(M188,0),MAX(0,I176-IF($A189&gt;='1-Input'!$C$12,'1-Input'!$B$12,0)))))*(1/(1-'P-Parametri'!$B$6*I189))))</f>
        <v>24697.189389280269</v>
      </c>
      <c r="K189" s="18">
        <f>IF($A189&gt;'1-Input'!$B$26,M188,(M188-MAX(0,I176-IF($A189&gt;='1-Input'!$C$12,'1-Input'!$B$12,0))+J189*(1-'P-Parametri'!$B$6*I189))*(1+'1-Input'!$B$27))</f>
        <v>43739.482935508291</v>
      </c>
      <c r="L189" s="18">
        <f>IF($A189&gt;'1-Input'!$B$26,N188,(N188-J189)*(1+'5-Roberta'!$C$4))</f>
        <v>221416.71245579544</v>
      </c>
      <c r="M189" s="18">
        <f>IF($A189&gt;'1-Input'!$B$26,K189,K189-'P-Parametri'!$B$8*(L189+K189)+MIN(MAX(L189,0),'P-Parametri'!$B$8*(L189+K189)))</f>
        <v>43739.482935508291</v>
      </c>
      <c r="N189" s="18">
        <f>IF($A189&gt;'1-Input'!$B$26,L189,L189-MIN(MAX(L189,0),'P-Parametri'!$B$8*(L189+K189)))</f>
        <v>220886.40006501283</v>
      </c>
      <c r="O189" s="18">
        <f>IF($A189&gt;'1-Input'!$B$26,O188,O188-J189*(1-I189))</f>
        <v>128247.66576995447</v>
      </c>
      <c r="P189" s="11">
        <f>IF($A189&gt;'1-Input'!$B$26,0,IF(U188&lt;=0,0,MAX(0,(U188-V188)/U188)))</f>
        <v>0.40383326252421325</v>
      </c>
      <c r="Q189" s="18">
        <f>IF($A189&gt;'1-Input'!$B$26,0,(MAX(0,P176-IF($A189&gt;='1-Input'!$C$12,'1-Input'!$B$12,0))-MIN(MAX(T188,0),MAX(0,P176-IF($A189&gt;='1-Input'!$C$12,'1-Input'!$B$12,0))))*(1/(1-'P-Parametri'!$B$6*P189))+MIN(MAX(0,U188-(MAX(0,P176-IF($A189&gt;='1-Input'!$C$12,'1-Input'!$B$12,0))-MIN(MAX(T188,0),MAX(0,P176-IF($A189&gt;='1-Input'!$C$12,'1-Input'!$B$12,0))))*(1/(1-'P-Parametri'!$B$6*P189))),MAX(0,2*MAX(0,P176-IF($A189&gt;='1-Input'!$C$12,'1-Input'!$B$12,0))-(T188-MIN(MAX(T188,0),MAX(0,P176-IF($A189&gt;='1-Input'!$C$12,'1-Input'!$B$12,0)))))*(1/(1-'P-Parametri'!$B$6*P189))))</f>
        <v>20698.927805110325</v>
      </c>
      <c r="R189" s="18">
        <f>IF($A189&gt;'1-Input'!$B$26,T188,(T188-MAX(0,P176-IF($A189&gt;='1-Input'!$C$12,'1-Input'!$B$12,0))+Q189*(1-'P-Parametri'!$B$6*P189))*(1+'1-Input'!$B$27))</f>
        <v>36653.926862445645</v>
      </c>
      <c r="S189" s="18">
        <f>IF($A189&gt;'1-Input'!$B$26,U188,(U188-Q189)*(1+'5-Roberta'!$C$4))</f>
        <v>282018.74604077713</v>
      </c>
      <c r="T189" s="18">
        <f>IF($A189&gt;'1-Input'!$B$26,R189,R189-'P-Parametri'!$B$8*(S189+R189)+MIN(MAX(S189,0),'P-Parametri'!$B$8*(S189+R189)))</f>
        <v>36653.926862445645</v>
      </c>
      <c r="U189" s="18">
        <f>IF($A189&gt;'1-Input'!$B$26,S189,S189-MIN(MAX(S189,0),'P-Parametri'!$B$8*(S189+R189)))</f>
        <v>281381.40069497068</v>
      </c>
      <c r="V189" s="18">
        <f>IF($A189&gt;'1-Input'!$B$26,V188,V188-Q189*(1-P189))</f>
        <v>163233.19974188597</v>
      </c>
      <c r="W189" s="11">
        <f>IF($A189&gt;'1-Input'!$B$26,0,IF(AB188&lt;=0,0,MAX(0,(AB188-AC188)/AB188)))</f>
        <v>0.40385976481596247</v>
      </c>
      <c r="X189" s="18">
        <f>IF($A189&gt;'1-Input'!$B$26,0,(MAX(0,W176-IF($A189&gt;='1-Input'!$C$12,'1-Input'!$B$12,0))-MIN(MAX(AA188,0),MAX(0,W176-IF($A189&gt;='1-Input'!$C$12,'1-Input'!$B$12,0))))*(1/(1-'P-Parametri'!$B$6*W189))+MIN(MAX(0,AB188-(MAX(0,W176-IF($A189&gt;='1-Input'!$C$12,'1-Input'!$B$12,0))-MIN(MAX(AA188,0),MAX(0,W176-IF($A189&gt;='1-Input'!$C$12,'1-Input'!$B$12,0))))*(1/(1-'P-Parametri'!$B$6*W189))),MAX(0,2*MAX(0,W176-IF($A189&gt;='1-Input'!$C$12,'1-Input'!$B$12,0))-(AA188-MIN(MAX(AA188,0),MAX(0,W176-IF($A189&gt;='1-Input'!$C$12,'1-Input'!$B$12,0)))))*(1/(1-'P-Parametri'!$B$6*W189))))</f>
        <v>20414.474980845687</v>
      </c>
      <c r="Y189" s="18">
        <f>IF($A189&gt;'1-Input'!$B$26,AA188,(AA188-MAX(0,W176-IF($A189&gt;='1-Input'!$C$12,'1-Input'!$B$12,0))+X189*(1-'P-Parametri'!$B$6*W189))*(1+'1-Input'!$B$27))</f>
        <v>36149.93583347425</v>
      </c>
      <c r="Z189" s="18">
        <f>IF($A189&gt;'1-Input'!$B$26,AB188,(AB188-X189)*(1+'5-Roberta'!$C$4))</f>
        <v>286329.61169711611</v>
      </c>
      <c r="AA189" s="18">
        <f>IF($A189&gt;'1-Input'!$B$26,Y189,Y189-'P-Parametri'!$B$8*(Z189+Y189)+MIN(MAX(Z189,0),'P-Parametri'!$B$8*(Z189+Y189)))</f>
        <v>36149.93583347425</v>
      </c>
      <c r="AB189" s="18">
        <f>IF($A189&gt;'1-Input'!$B$26,Z189,Z189-MIN(MAX(Z189,0),'P-Parametri'!$B$8*(Z189+Y189)))</f>
        <v>285684.65260205494</v>
      </c>
      <c r="AC189" s="18">
        <f>IF($A189&gt;'1-Input'!$B$26,AC188,AC188-X189*(1-W189))</f>
        <v>165720.97287113877</v>
      </c>
      <c r="AD189" s="11">
        <f>IF($A189&gt;'1-Input'!$B$26,0,IF(AI188&lt;=0,0,MAX(0,(AI188-AJ188)/AI188)))</f>
        <v>0.40386044557298401</v>
      </c>
      <c r="AE189" s="18">
        <f>IF($A189&gt;'1-Input'!$B$26,0,(MAX(0,AD176-IF($A189&gt;='1-Input'!$C$12,'1-Input'!$B$12,0))-MIN(MAX(AH188,0),MAX(0,AD176-IF($A189&gt;='1-Input'!$C$12,'1-Input'!$B$12,0))))*(1/(1-'P-Parametri'!$B$6*AD189))+MIN(MAX(0,AI188-(MAX(0,AD176-IF($A189&gt;='1-Input'!$C$12,'1-Input'!$B$12,0))-MIN(MAX(AH188,0),MAX(0,AD176-IF($A189&gt;='1-Input'!$C$12,'1-Input'!$B$12,0))))*(1/(1-'P-Parametri'!$B$6*AD189))),MAX(0,2*MAX(0,AD176-IF($A189&gt;='1-Input'!$C$12,'1-Input'!$B$12,0))-(AH188-MIN(MAX(AH188,0),MAX(0,AD176-IF($A189&gt;='1-Input'!$C$12,'1-Input'!$B$12,0)))))*(1/(1-'P-Parametri'!$B$6*AD189))))</f>
        <v>20407.109339134189</v>
      </c>
      <c r="AF189" s="18">
        <f>IF($A189&gt;'1-Input'!$B$26,AH188,(AH188-MAX(0,AD176-IF($A189&gt;='1-Input'!$C$12,'1-Input'!$B$12,0))+AE189*(1-'P-Parametri'!$B$6*AD189))*(1+'1-Input'!$B$27))</f>
        <v>36136.885614545514</v>
      </c>
      <c r="AG189" s="18">
        <f>IF($A189&gt;'1-Input'!$B$26,AI188,(AI188-AE189)*(1+'5-Roberta'!$C$4))</f>
        <v>286441.23663696059</v>
      </c>
      <c r="AH189" s="18">
        <f>IF($A189&gt;'1-Input'!$B$26,AF189,AF189-'P-Parametri'!$B$8*(AG189+AF189)+MIN(MAX(AG189,0),'P-Parametri'!$B$8*(AG189+AF189)))</f>
        <v>36136.885614545514</v>
      </c>
      <c r="AI189" s="18">
        <f>IF($A189&gt;'1-Input'!$B$26,AG189,AG189-MIN(MAX(AG189,0),'P-Parametri'!$B$8*(AG189+AF189)))</f>
        <v>285796.0803924576</v>
      </c>
      <c r="AJ189" s="18">
        <f>IF($A189&gt;'1-Input'!$B$26,AJ188,AJ188-AE189*(1-AD189))</f>
        <v>165785.38949347683</v>
      </c>
      <c r="AK189" s="11">
        <f>IF($A189&gt;'1-Input'!$B$26,0,IF(AP188&lt;=0,0,MAX(0,(AP188-AQ188)/AP188)))</f>
        <v>0.40386043419871914</v>
      </c>
      <c r="AL189" s="18">
        <f>IF($A189&gt;'1-Input'!$B$26,0,(MAX(0,AK176-IF($A189&gt;='1-Input'!$C$12,'1-Input'!$B$12,0))-MIN(MAX(AO188,0),MAX(0,AK176-IF($A189&gt;='1-Input'!$C$12,'1-Input'!$B$12,0))))*(1/(1-'P-Parametri'!$B$6*AK189))+MIN(MAX(0,AP188-(MAX(0,AK176-IF($A189&gt;='1-Input'!$C$12,'1-Input'!$B$12,0))-MIN(MAX(AO188,0),MAX(0,AK176-IF($A189&gt;='1-Input'!$C$12,'1-Input'!$B$12,0))))*(1/(1-'P-Parametri'!$B$6*AK189))),MAX(0,2*MAX(0,AK176-IF($A189&gt;='1-Input'!$C$12,'1-Input'!$B$12,0))-(AO188-MIN(MAX(AO188,0),MAX(0,AK176-IF($A189&gt;='1-Input'!$C$12,'1-Input'!$B$12,0)))))*(1/(1-'P-Parametri'!$B$6*AK189))))</f>
        <v>20407.232430611723</v>
      </c>
      <c r="AM189" s="18">
        <f>IF($A189&gt;'1-Input'!$B$26,AO188,(AO188-MAX(0,AK176-IF($A189&gt;='1-Input'!$C$12,'1-Input'!$B$12,0))+AL189*(1-'P-Parametri'!$B$6*AK189))*(1+'1-Input'!$B$27))</f>
        <v>36137.103704198264</v>
      </c>
      <c r="AN189" s="18">
        <f>IF($A189&gt;'1-Input'!$B$26,AP188,(AP188-AL189)*(1+'5-Roberta'!$C$4))</f>
        <v>286439.3712087305</v>
      </c>
      <c r="AO189" s="18">
        <f>IF($A189&gt;'1-Input'!$B$26,AM189,AM189-'P-Parametri'!$B$8*(AN189+AM189)+MIN(MAX(AN189,0),'P-Parametri'!$B$8*(AN189+AM189)))</f>
        <v>36137.103704198264</v>
      </c>
      <c r="AP189" s="18">
        <f>IF($A189&gt;'1-Input'!$B$26,AN189,AN189-MIN(MAX(AN189,0),'P-Parametri'!$B$8*(AN189+AM189)))</f>
        <v>285794.21825890464</v>
      </c>
      <c r="AQ189" s="18">
        <f>IF($A189&gt;'1-Input'!$B$26,AQ188,AQ188-AL189*(1-AK189))</f>
        <v>165784.31299103354</v>
      </c>
    </row>
    <row r="190" spans="1:43">
      <c r="A190" s="10">
        <f>12</f>
        <v>12</v>
      </c>
      <c r="B190" s="11">
        <f>IF($A190&gt;'1-Input'!$B$26,0,IF(G189&lt;=0,0,MAX(0,(G189-H189)/G189)))</f>
        <v>0.42008036795299719</v>
      </c>
      <c r="C190" s="18">
        <f>IF($A190&gt;'1-Input'!$B$26,0,(MAX(0,B176-IF($A190&gt;='1-Input'!$C$12,'1-Input'!$B$12,0))-MIN(MAX(F189,0),MAX(0,B176-IF($A190&gt;='1-Input'!$C$12,'1-Input'!$B$12,0))))*(1/(1-'P-Parametri'!$B$6*B190))+MIN(MAX(0,G189-(MAX(0,B176-IF($A190&gt;='1-Input'!$C$12,'1-Input'!$B$12,0))-MIN(MAX(F189,0),MAX(0,B176-IF($A190&gt;='1-Input'!$C$12,'1-Input'!$B$12,0))))*(1/(1-'P-Parametri'!$B$6*B190))),MAX(0,2*MAX(0,B176-IF($A190&gt;='1-Input'!$C$12,'1-Input'!$B$12,0))-(F189-MIN(MAX(F189,0),MAX(0,B176-IF($A190&gt;='1-Input'!$C$12,'1-Input'!$B$12,0)))))*(1/(1-'P-Parametri'!$B$6*B190))))</f>
        <v>18861.195588423936</v>
      </c>
      <c r="D190" s="18">
        <f>IF($A190&gt;'1-Input'!$B$26,F189,(F189-MAX(0,B176-IF($A190&gt;='1-Input'!$C$12,'1-Input'!$B$12,0))+C190*(1-'P-Parametri'!$B$6*B190))*(1+'1-Input'!$B$27))</f>
        <v>33242.0070309863</v>
      </c>
      <c r="E190" s="18">
        <f>IF($A190&gt;'1-Input'!$B$26,G189,(G189-C190)*(1+'5-Roberta'!$C$4))</f>
        <v>300402.60317883774</v>
      </c>
      <c r="F190" s="18">
        <f>IF($A190&gt;'1-Input'!$B$26,D190,D190-'P-Parametri'!$B$8*(E190+D190)+MIN(MAX(E190,0),'P-Parametri'!$B$8*(E190+D190)))</f>
        <v>33242.0070309863</v>
      </c>
      <c r="G190" s="18">
        <f>IF($A190&gt;'1-Input'!$B$26,E190,E190-MIN(MAX(E190,0),'P-Parametri'!$B$8*(E190+D190)))</f>
        <v>299735.31395841809</v>
      </c>
      <c r="H190" s="18">
        <f>IF($A190&gt;'1-Input'!$B$26,H189,H189-C190*(1-B190))</f>
        <v>169135.30786546931</v>
      </c>
      <c r="I190" s="11">
        <f>IF($A190&gt;'1-Input'!$B$26,0,IF(N189&lt;=0,0,MAX(0,(N189-O189)/N189)))</f>
        <v>0.41939537367530222</v>
      </c>
      <c r="J190" s="18">
        <f>IF($A190&gt;'1-Input'!$B$26,0,(MAX(0,I176-IF($A190&gt;='1-Input'!$C$12,'1-Input'!$B$12,0))-MIN(MAX(M189,0),MAX(0,I176-IF($A190&gt;='1-Input'!$C$12,'1-Input'!$B$12,0))))*(1/(1-'P-Parametri'!$B$6*I190))+MIN(MAX(0,N189-(MAX(0,I176-IF($A190&gt;='1-Input'!$C$12,'1-Input'!$B$12,0))-MIN(MAX(M189,0),MAX(0,I176-IF($A190&gt;='1-Input'!$C$12,'1-Input'!$B$12,0))))*(1/(1-'P-Parametri'!$B$6*I190))),MAX(0,2*MAX(0,I176-IF($A190&gt;='1-Input'!$C$12,'1-Input'!$B$12,0))-(M189-MIN(MAX(M189,0),MAX(0,I176-IF($A190&gt;='1-Input'!$C$12,'1-Input'!$B$12,0)))))*(1/(1-'P-Parametri'!$B$6*I190))))</f>
        <v>24812.401732317619</v>
      </c>
      <c r="K190" s="18">
        <f>IF($A190&gt;'1-Input'!$B$26,M189,(M189-MAX(0,I176-IF($A190&gt;='1-Input'!$C$12,'1-Input'!$B$12,0))+J190*(1-'P-Parametri'!$B$6*I190))*(1+'1-Input'!$B$27))</f>
        <v>43739.482935508291</v>
      </c>
      <c r="L190" s="18">
        <f>IF($A190&gt;'1-Input'!$B$26,N189,(N189-J190)*(1+'5-Roberta'!$C$4))</f>
        <v>201956.21828267607</v>
      </c>
      <c r="M190" s="18">
        <f>IF($A190&gt;'1-Input'!$B$26,K190,K190-'P-Parametri'!$B$8*(L190+K190)+MIN(MAX(L190,0),'P-Parametri'!$B$8*(L190+K190)))</f>
        <v>43739.482935508291</v>
      </c>
      <c r="N190" s="18">
        <f>IF($A190&gt;'1-Input'!$B$26,L190,L190-MIN(MAX(L190,0),'P-Parametri'!$B$8*(L190+K190)))</f>
        <v>201464.82688023971</v>
      </c>
      <c r="O190" s="18">
        <f>IF($A190&gt;'1-Input'!$B$26,O189,O189-J190*(1-I190))</f>
        <v>113841.47053394392</v>
      </c>
      <c r="P190" s="11">
        <f>IF($A190&gt;'1-Input'!$B$26,0,IF(U189&lt;=0,0,MAX(0,(U189-V189)/U189)))</f>
        <v>0.41988632035122447</v>
      </c>
      <c r="Q190" s="18">
        <f>IF($A190&gt;'1-Input'!$B$26,0,(MAX(0,P176-IF($A190&gt;='1-Input'!$C$12,'1-Input'!$B$12,0))-MIN(MAX(T189,0),MAX(0,P176-IF($A190&gt;='1-Input'!$C$12,'1-Input'!$B$12,0))))*(1/(1-'P-Parametri'!$B$6*P190))+MIN(MAX(0,U189-(MAX(0,P176-IF($A190&gt;='1-Input'!$C$12,'1-Input'!$B$12,0))-MIN(MAX(T189,0),MAX(0,P176-IF($A190&gt;='1-Input'!$C$12,'1-Input'!$B$12,0))))*(1/(1-'P-Parametri'!$B$6*P190))),MAX(0,2*MAX(0,P176-IF($A190&gt;='1-Input'!$C$12,'1-Input'!$B$12,0))-(T189-MIN(MAX(T189,0),MAX(0,P176-IF($A190&gt;='1-Input'!$C$12,'1-Input'!$B$12,0)))))*(1/(1-'P-Parametri'!$B$6*P190))))</f>
        <v>20795.908289707691</v>
      </c>
      <c r="R190" s="18">
        <f>IF($A190&gt;'1-Input'!$B$26,T189,(T189-MAX(0,P176-IF($A190&gt;='1-Input'!$C$12,'1-Input'!$B$12,0))+Q190*(1-'P-Parametri'!$B$6*P190))*(1+'1-Input'!$B$27))</f>
        <v>36653.926862445645</v>
      </c>
      <c r="S190" s="18">
        <f>IF($A190&gt;'1-Input'!$B$26,U189,(U189-Q190)*(1+'5-Roberta'!$C$4))</f>
        <v>268403.05717742088</v>
      </c>
      <c r="T190" s="18">
        <f>IF($A190&gt;'1-Input'!$B$26,R190,R190-'P-Parametri'!$B$8*(S190+R190)+MIN(MAX(S190,0),'P-Parametri'!$B$8*(S190+R190)))</f>
        <v>36653.926862445645</v>
      </c>
      <c r="U190" s="18">
        <f>IF($A190&gt;'1-Input'!$B$26,S190,S190-MIN(MAX(S190,0),'P-Parametri'!$B$8*(S190+R190)))</f>
        <v>267792.94320934115</v>
      </c>
      <c r="V190" s="18">
        <f>IF($A190&gt;'1-Input'!$B$26,V189,V189-Q190*(1-P190))</f>
        <v>151169.20886230515</v>
      </c>
      <c r="W190" s="11">
        <f>IF($A190&gt;'1-Input'!$B$26,0,IF(AB189&lt;=0,0,MAX(0,(AB189-AC189)/AB189)))</f>
        <v>0.41991643106575921</v>
      </c>
      <c r="X190" s="18">
        <f>IF($A190&gt;'1-Input'!$B$26,0,(MAX(0,W176-IF($A190&gt;='1-Input'!$C$12,'1-Input'!$B$12,0))-MIN(MAX(AA189,0),MAX(0,W176-IF($A190&gt;='1-Input'!$C$12,'1-Input'!$B$12,0))))*(1/(1-'P-Parametri'!$B$6*W190))+MIN(MAX(0,AB189-(MAX(0,W176-IF($A190&gt;='1-Input'!$C$12,'1-Input'!$B$12,0))-MIN(MAX(AA189,0),MAX(0,W176-IF($A190&gt;='1-Input'!$C$12,'1-Input'!$B$12,0))))*(1/(1-'P-Parametri'!$B$6*W190))),MAX(0,2*MAX(0,W176-IF($A190&gt;='1-Input'!$C$12,'1-Input'!$B$12,0))-(AA189-MIN(MAX(AA189,0),MAX(0,W176-IF($A190&gt;='1-Input'!$C$12,'1-Input'!$B$12,0)))))*(1/(1-'P-Parametri'!$B$6*W190))))</f>
        <v>20510.145061964056</v>
      </c>
      <c r="Y190" s="18">
        <f>IF($A190&gt;'1-Input'!$B$26,AA189,(AA189-MAX(0,W176-IF($A190&gt;='1-Input'!$C$12,'1-Input'!$B$12,0))+X190*(1-'P-Parametri'!$B$6*W190))*(1+'1-Input'!$B$27))</f>
        <v>36149.93583347425</v>
      </c>
      <c r="Z190" s="18">
        <f>IF($A190&gt;'1-Input'!$B$26,AB189,(AB189-X190)*(1+'5-Roberta'!$C$4))</f>
        <v>273129.74276629364</v>
      </c>
      <c r="AA190" s="18">
        <f>IF($A190&gt;'1-Input'!$B$26,Y190,Y190-'P-Parametri'!$B$8*(Z190+Y190)+MIN(MAX(Z190,0),'P-Parametri'!$B$8*(Z190+Y190)))</f>
        <v>36149.93583347425</v>
      </c>
      <c r="AB190" s="18">
        <f>IF($A190&gt;'1-Input'!$B$26,Z190,Z190-MIN(MAX(Z190,0),'P-Parametri'!$B$8*(Z190+Y190)))</f>
        <v>272511.18340909411</v>
      </c>
      <c r="AC190" s="18">
        <f>IF($A190&gt;'1-Input'!$B$26,AC189,AC189-X190*(1-W190))</f>
        <v>153823.37472423568</v>
      </c>
      <c r="AD190" s="11">
        <f>IF($A190&gt;'1-Input'!$B$26,0,IF(AI189&lt;=0,0,MAX(0,(AI189-AJ189)/AI189)))</f>
        <v>0.41991720367256635</v>
      </c>
      <c r="AE190" s="18">
        <f>IF($A190&gt;'1-Input'!$B$26,0,(MAX(0,AD176-IF($A190&gt;='1-Input'!$C$12,'1-Input'!$B$12,0))-MIN(MAX(AH189,0),MAX(0,AD176-IF($A190&gt;='1-Input'!$C$12,'1-Input'!$B$12,0))))*(1/(1-'P-Parametri'!$B$6*AD190))+MIN(MAX(0,AI189-(MAX(0,AD176-IF($A190&gt;='1-Input'!$C$12,'1-Input'!$B$12,0))-MIN(MAX(AH189,0),MAX(0,AD176-IF($A190&gt;='1-Input'!$C$12,'1-Input'!$B$12,0))))*(1/(1-'P-Parametri'!$B$6*AD190))),MAX(0,2*MAX(0,AD176-IF($A190&gt;='1-Input'!$C$12,'1-Input'!$B$12,0))-(AH189-MIN(MAX(AH189,0),MAX(0,AD176-IF($A190&gt;='1-Input'!$C$12,'1-Input'!$B$12,0)))))*(1/(1-'P-Parametri'!$B$6*AD190))))</f>
        <v>20502.745470657457</v>
      </c>
      <c r="AF190" s="18">
        <f>IF($A190&gt;'1-Input'!$B$26,AH189,(AH189-MAX(0,AD176-IF($A190&gt;='1-Input'!$C$12,'1-Input'!$B$12,0))+AE190*(1-'P-Parametri'!$B$6*AD190))*(1+'1-Input'!$B$27))</f>
        <v>36136.885614545514</v>
      </c>
      <c r="AG190" s="18">
        <f>IF($A190&gt;'1-Input'!$B$26,AI189,(AI189-AE190)*(1+'5-Roberta'!$C$4))</f>
        <v>273252.13496945414</v>
      </c>
      <c r="AH190" s="18">
        <f>IF($A190&gt;'1-Input'!$B$26,AF190,AF190-'P-Parametri'!$B$8*(AG190+AF190)+MIN(MAX(AG190,0),'P-Parametri'!$B$8*(AG190+AF190)))</f>
        <v>36136.885614545514</v>
      </c>
      <c r="AI190" s="18">
        <f>IF($A190&gt;'1-Input'!$B$26,AG190,AG190-MIN(MAX(AG190,0),'P-Parametri'!$B$8*(AG190+AF190)))</f>
        <v>272633.35692828614</v>
      </c>
      <c r="AJ190" s="18">
        <f>IF($A190&gt;'1-Input'!$B$26,AJ189,AJ189-AE190*(1-AD190))</f>
        <v>153892.09956846823</v>
      </c>
      <c r="AK190" s="11">
        <f>IF($A190&gt;'1-Input'!$B$26,0,IF(AP189&lt;=0,0,MAX(0,(AP189-AQ189)/AP189)))</f>
        <v>0.41991719076399436</v>
      </c>
      <c r="AL190" s="18">
        <f>IF($A190&gt;'1-Input'!$B$26,0,(MAX(0,AK176-IF($A190&gt;='1-Input'!$C$12,'1-Input'!$B$12,0))-MIN(MAX(AO189,0),MAX(0,AK176-IF($A190&gt;='1-Input'!$C$12,'1-Input'!$B$12,0))))*(1/(1-'P-Parametri'!$B$6*AK190))+MIN(MAX(0,AP189-(MAX(0,AK176-IF($A190&gt;='1-Input'!$C$12,'1-Input'!$B$12,0))-MIN(MAX(AO189,0),MAX(0,AK176-IF($A190&gt;='1-Input'!$C$12,'1-Input'!$B$12,0))))*(1/(1-'P-Parametri'!$B$6*AK190))),MAX(0,2*MAX(0,AK176-IF($A190&gt;='1-Input'!$C$12,'1-Input'!$B$12,0))-(AO189-MIN(MAX(AO189,0),MAX(0,AK176-IF($A190&gt;='1-Input'!$C$12,'1-Input'!$B$12,0)))))*(1/(1-'P-Parametri'!$B$6*AK190))))</f>
        <v>20502.86912949352</v>
      </c>
      <c r="AM190" s="18">
        <f>IF($A190&gt;'1-Input'!$B$26,AO189,(AO189-MAX(0,AK176-IF($A190&gt;='1-Input'!$C$12,'1-Input'!$B$12,0))+AL190*(1-'P-Parametri'!$B$6*AK190))*(1+'1-Input'!$B$27))</f>
        <v>36137.103704198264</v>
      </c>
      <c r="AN190" s="18">
        <f>IF($A190&gt;'1-Input'!$B$26,AP189,(AP189-AL190)*(1+'5-Roberta'!$C$4))</f>
        <v>273250.08960329345</v>
      </c>
      <c r="AO190" s="18">
        <f>IF($A190&gt;'1-Input'!$B$26,AM190,AM190-'P-Parametri'!$B$8*(AN190+AM190)+MIN(MAX(AN190,0),'P-Parametri'!$B$8*(AN190+AM190)))</f>
        <v>36137.103704198264</v>
      </c>
      <c r="AP190" s="18">
        <f>IF($A190&gt;'1-Input'!$B$26,AN190,AN190-MIN(MAX(AN190,0),'P-Parametri'!$B$8*(AN190+AM190)))</f>
        <v>272631.31521667849</v>
      </c>
      <c r="AQ190" s="18">
        <f>IF($A190&gt;'1-Input'!$B$26,AQ189,AQ189-AL190*(1-AK190))</f>
        <v>153890.95106899875</v>
      </c>
    </row>
    <row r="191" spans="1:43">
      <c r="A191" s="10">
        <f>13</f>
        <v>13</v>
      </c>
      <c r="B191" s="11">
        <f>IF($A191&gt;'1-Input'!$B$26,0,IF(G190&lt;=0,0,MAX(0,(G190-H190)/G190)))</f>
        <v>0.43571778169277298</v>
      </c>
      <c r="C191" s="18">
        <f>IF($A191&gt;'1-Input'!$B$26,0,(MAX(0,B176-IF($A191&gt;='1-Input'!$C$12,'1-Input'!$B$12,0))-MIN(MAX(F190,0),MAX(0,B176-IF($A191&gt;='1-Input'!$C$12,'1-Input'!$B$12,0))))*(1/(1-'P-Parametri'!$B$6*B191))+MIN(MAX(0,G190-(MAX(0,B176-IF($A191&gt;='1-Input'!$C$12,'1-Input'!$B$12,0))-MIN(MAX(F190,0),MAX(0,B176-IF($A191&gt;='1-Input'!$C$12,'1-Input'!$B$12,0))))*(1/(1-'P-Parametri'!$B$6*B191))),MAX(0,2*MAX(0,B176-IF($A191&gt;='1-Input'!$C$12,'1-Input'!$B$12,0))-(F190-MIN(MAX(F190,0),MAX(0,B176-IF($A191&gt;='1-Input'!$C$12,'1-Input'!$B$12,0)))))*(1/(1-'P-Parametri'!$B$6*B191))))</f>
        <v>18947.677291487216</v>
      </c>
      <c r="D191" s="18">
        <f>IF($A191&gt;'1-Input'!$B$26,F190,(F190-MAX(0,B176-IF($A191&gt;='1-Input'!$C$12,'1-Input'!$B$12,0))+C191*(1-'P-Parametri'!$B$6*B191))*(1+'1-Input'!$B$27))</f>
        <v>33242.0070309863</v>
      </c>
      <c r="E191" s="18">
        <f>IF($A191&gt;'1-Input'!$B$26,G190,(G190-C191)*(1+'5-Roberta'!$C$4))</f>
        <v>289211.2657669388</v>
      </c>
      <c r="F191" s="18">
        <f>IF($A191&gt;'1-Input'!$B$26,D191,D191-'P-Parametri'!$B$8*(E191+D191)+MIN(MAX(E191,0),'P-Parametri'!$B$8*(E191+D191)))</f>
        <v>33242.0070309863</v>
      </c>
      <c r="G191" s="18">
        <f>IF($A191&gt;'1-Input'!$B$26,E191,E191-MIN(MAX(E191,0),'P-Parametri'!$B$8*(E191+D191)))</f>
        <v>288566.35922134295</v>
      </c>
      <c r="H191" s="18">
        <f>IF($A191&gt;'1-Input'!$B$26,H190,H190-C191*(1-B191))</f>
        <v>158443.47049165942</v>
      </c>
      <c r="I191" s="11">
        <f>IF($A191&gt;'1-Input'!$B$26,0,IF(N190&lt;=0,0,MAX(0,(N190-O190)/N190)))</f>
        <v>0.43493128653362051</v>
      </c>
      <c r="J191" s="18">
        <f>IF($A191&gt;'1-Input'!$B$26,0,(MAX(0,I176-IF($A191&gt;='1-Input'!$C$12,'1-Input'!$B$12,0))-MIN(MAX(M190,0),MAX(0,I176-IF($A191&gt;='1-Input'!$C$12,'1-Input'!$B$12,0))))*(1/(1-'P-Parametri'!$B$6*I191))+MIN(MAX(0,N190-(MAX(0,I176-IF($A191&gt;='1-Input'!$C$12,'1-Input'!$B$12,0))-MIN(MAX(M190,0),MAX(0,I176-IF($A191&gt;='1-Input'!$C$12,'1-Input'!$B$12,0))))*(1/(1-'P-Parametri'!$B$6*I191))),MAX(0,2*MAX(0,I176-IF($A191&gt;='1-Input'!$C$12,'1-Input'!$B$12,0))-(M190-MIN(MAX(M190,0),MAX(0,I176-IF($A191&gt;='1-Input'!$C$12,'1-Input'!$B$12,0)))))*(1/(1-'P-Parametri'!$B$6*I191))))</f>
        <v>24925.406177023739</v>
      </c>
      <c r="K191" s="18">
        <f>IF($A191&gt;'1-Input'!$B$26,M190,(M190-MAX(0,I176-IF($A191&gt;='1-Input'!$C$12,'1-Input'!$B$12,0))+J191*(1-'P-Parametri'!$B$6*I191))*(1+'1-Input'!$B$27))</f>
        <v>43739.482935508291</v>
      </c>
      <c r="L191" s="18">
        <f>IF($A191&gt;'1-Input'!$B$26,N190,(N190-J191)*(1+'5-Roberta'!$C$4))</f>
        <v>181835.60332431245</v>
      </c>
      <c r="M191" s="18">
        <f>IF($A191&gt;'1-Input'!$B$26,K191,K191-'P-Parametri'!$B$8*(L191+K191)+MIN(MAX(L191,0),'P-Parametri'!$B$8*(L191+K191)))</f>
        <v>43739.482935508291</v>
      </c>
      <c r="N191" s="18">
        <f>IF($A191&gt;'1-Input'!$B$26,L191,L191-MIN(MAX(L191,0),'P-Parametri'!$B$8*(L191+K191)))</f>
        <v>181384.45315179281</v>
      </c>
      <c r="O191" s="18">
        <f>IF($A191&gt;'1-Input'!$B$26,O190,O190-J191*(1-I191))</f>
        <v>99756.903332866175</v>
      </c>
      <c r="P191" s="11">
        <f>IF($A191&gt;'1-Input'!$B$26,0,IF(U190&lt;=0,0,MAX(0,(U190-V190)/U190)))</f>
        <v>0.43549965488025572</v>
      </c>
      <c r="Q191" s="18">
        <f>IF($A191&gt;'1-Input'!$B$26,0,(MAX(0,P176-IF($A191&gt;='1-Input'!$C$12,'1-Input'!$B$12,0))-MIN(MAX(T190,0),MAX(0,P176-IF($A191&gt;='1-Input'!$C$12,'1-Input'!$B$12,0))))*(1/(1-'P-Parametri'!$B$6*P191))+MIN(MAX(0,U190-(MAX(0,P176-IF($A191&gt;='1-Input'!$C$12,'1-Input'!$B$12,0))-MIN(MAX(T190,0),MAX(0,P176-IF($A191&gt;='1-Input'!$C$12,'1-Input'!$B$12,0))))*(1/(1-'P-Parametri'!$B$6*P191))),MAX(0,2*MAX(0,P176-IF($A191&gt;='1-Input'!$C$12,'1-Input'!$B$12,0))-(T190-MIN(MAX(T190,0),MAX(0,P176-IF($A191&gt;='1-Input'!$C$12,'1-Input'!$B$12,0)))))*(1/(1-'P-Parametri'!$B$6*P191))))</f>
        <v>20891.108053375618</v>
      </c>
      <c r="R191" s="18">
        <f>IF($A191&gt;'1-Input'!$B$26,T190,(T190-MAX(0,P176-IF($A191&gt;='1-Input'!$C$12,'1-Input'!$B$12,0))+Q191*(1-'P-Parametri'!$B$6*P191))*(1+'1-Input'!$B$27))</f>
        <v>36653.926862445645</v>
      </c>
      <c r="S191" s="18">
        <f>IF($A191&gt;'1-Input'!$B$26,U190,(U190-Q191)*(1+'5-Roberta'!$C$4))</f>
        <v>254308.89021064449</v>
      </c>
      <c r="T191" s="18">
        <f>IF($A191&gt;'1-Input'!$B$26,R191,R191-'P-Parametri'!$B$8*(S191+R191)+MIN(MAX(S191,0),'P-Parametri'!$B$8*(S191+R191)))</f>
        <v>36653.926862445645</v>
      </c>
      <c r="U191" s="18">
        <f>IF($A191&gt;'1-Input'!$B$26,S191,S191-MIN(MAX(S191,0),'P-Parametri'!$B$8*(S191+R191)))</f>
        <v>253726.96457649831</v>
      </c>
      <c r="V191" s="18">
        <f>IF($A191&gt;'1-Input'!$B$26,V190,V190-Q191*(1-P191))</f>
        <v>139376.17115624074</v>
      </c>
      <c r="W191" s="11">
        <f>IF($A191&gt;'1-Input'!$B$26,0,IF(AB190&lt;=0,0,MAX(0,(AB190-AC190)/AB190)))</f>
        <v>0.43553371718577932</v>
      </c>
      <c r="X191" s="18">
        <f>IF($A191&gt;'1-Input'!$B$26,0,(MAX(0,W176-IF($A191&gt;='1-Input'!$C$12,'1-Input'!$B$12,0))-MIN(MAX(AA190,0),MAX(0,W176-IF($A191&gt;='1-Input'!$C$12,'1-Input'!$B$12,0))))*(1/(1-'P-Parametri'!$B$6*W191))+MIN(MAX(0,AB190-(MAX(0,W176-IF($A191&gt;='1-Input'!$C$12,'1-Input'!$B$12,0))-MIN(MAX(AA190,0),MAX(0,W176-IF($A191&gt;='1-Input'!$C$12,'1-Input'!$B$12,0))))*(1/(1-'P-Parametri'!$B$6*W191))),MAX(0,2*MAX(0,W176-IF($A191&gt;='1-Input'!$C$12,'1-Input'!$B$12,0))-(AA190-MIN(MAX(AA190,0),MAX(0,W176-IF($A191&gt;='1-Input'!$C$12,'1-Input'!$B$12,0)))))*(1/(1-'P-Parametri'!$B$6*W191))))</f>
        <v>20604.061356269376</v>
      </c>
      <c r="Y191" s="18">
        <f>IF($A191&gt;'1-Input'!$B$26,AA190,(AA190-MAX(0,W176-IF($A191&gt;='1-Input'!$C$12,'1-Input'!$B$12,0))+X191*(1-'P-Parametri'!$B$6*W191))*(1+'1-Input'!$B$27))</f>
        <v>36149.93583347425</v>
      </c>
      <c r="Z191" s="18">
        <f>IF($A191&gt;'1-Input'!$B$26,AB190,(AB190-X191)*(1+'5-Roberta'!$C$4))</f>
        <v>259464.33571440948</v>
      </c>
      <c r="AA191" s="18">
        <f>IF($A191&gt;'1-Input'!$B$26,Y191,Y191-'P-Parametri'!$B$8*(Z191+Y191)+MIN(MAX(Z191,0),'P-Parametri'!$B$8*(Z191+Y191)))</f>
        <v>36149.93583347425</v>
      </c>
      <c r="AB191" s="18">
        <f>IF($A191&gt;'1-Input'!$B$26,Z191,Z191-MIN(MAX(Z191,0),'P-Parametri'!$B$8*(Z191+Y191)))</f>
        <v>258873.10717131372</v>
      </c>
      <c r="AC191" s="18">
        <f>IF($A191&gt;'1-Input'!$B$26,AC190,AC190-X191*(1-W191))</f>
        <v>142193.07679958618</v>
      </c>
      <c r="AD191" s="11">
        <f>IF($A191&gt;'1-Input'!$B$26,0,IF(AI190&lt;=0,0,MAX(0,(AI190-AJ190)/AI190)))</f>
        <v>0.43553459010905909</v>
      </c>
      <c r="AE191" s="18">
        <f>IF($A191&gt;'1-Input'!$B$26,0,(MAX(0,AD176-IF($A191&gt;='1-Input'!$C$12,'1-Input'!$B$12,0))-MIN(MAX(AH190,0),MAX(0,AD176-IF($A191&gt;='1-Input'!$C$12,'1-Input'!$B$12,0))))*(1/(1-'P-Parametri'!$B$6*AD191))+MIN(MAX(0,AI190-(MAX(0,AD176-IF($A191&gt;='1-Input'!$C$12,'1-Input'!$B$12,0))-MIN(MAX(AH190,0),MAX(0,AD176-IF($A191&gt;='1-Input'!$C$12,'1-Input'!$B$12,0))))*(1/(1-'P-Parametri'!$B$6*AD191))),MAX(0,2*MAX(0,AD176-IF($A191&gt;='1-Input'!$C$12,'1-Input'!$B$12,0))-(AH190-MIN(MAX(AH190,0),MAX(0,AD176-IF($A191&gt;='1-Input'!$C$12,'1-Input'!$B$12,0)))))*(1/(1-'P-Parametri'!$B$6*AD191))))</f>
        <v>20596.628509186838</v>
      </c>
      <c r="AF191" s="18">
        <f>IF($A191&gt;'1-Input'!$B$26,AH190,(AH190-MAX(0,AD176-IF($A191&gt;='1-Input'!$C$12,'1-Input'!$B$12,0))+AE191*(1-'P-Parametri'!$B$6*AD191))*(1+'1-Input'!$B$27))</f>
        <v>36136.885614545507</v>
      </c>
      <c r="AG191" s="18">
        <f>IF($A191&gt;'1-Input'!$B$26,AI190,(AI190-AE191)*(1+'5-Roberta'!$C$4))</f>
        <v>259597.83027167228</v>
      </c>
      <c r="AH191" s="18">
        <f>IF($A191&gt;'1-Input'!$B$26,AF191,AF191-'P-Parametri'!$B$8*(AG191+AF191)+MIN(MAX(AG191,0),'P-Parametri'!$B$8*(AG191+AF191)))</f>
        <v>36136.885614545507</v>
      </c>
      <c r="AI191" s="18">
        <f>IF($A191&gt;'1-Input'!$B$26,AG191,AG191-MIN(MAX(AG191,0),'P-Parametri'!$B$8*(AG191+AF191)))</f>
        <v>259006.36083989983</v>
      </c>
      <c r="AJ191" s="18">
        <f>IF($A191&gt;'1-Input'!$B$26,AJ190,AJ190-AE191*(1-AD191))</f>
        <v>142266.01521465863</v>
      </c>
      <c r="AK191" s="11">
        <f>IF($A191&gt;'1-Input'!$B$26,0,IF(AP190&lt;=0,0,MAX(0,(AP190-AQ190)/AP190)))</f>
        <v>0.43553457552485769</v>
      </c>
      <c r="AL191" s="18">
        <f>IF($A191&gt;'1-Input'!$B$26,0,(MAX(0,AK176-IF($A191&gt;='1-Input'!$C$12,'1-Input'!$B$12,0))-MIN(MAX(AO190,0),MAX(0,AK176-IF($A191&gt;='1-Input'!$C$12,'1-Input'!$B$12,0))))*(1/(1-'P-Parametri'!$B$6*AK191))+MIN(MAX(0,AP190-(MAX(0,AK176-IF($A191&gt;='1-Input'!$C$12,'1-Input'!$B$12,0))-MIN(MAX(AO190,0),MAX(0,AK176-IF($A191&gt;='1-Input'!$C$12,'1-Input'!$B$12,0))))*(1/(1-'P-Parametri'!$B$6*AK191))),MAX(0,2*MAX(0,AK176-IF($A191&gt;='1-Input'!$C$12,'1-Input'!$B$12,0))-(AO190-MIN(MAX(AO190,0),MAX(0,AK176-IF($A191&gt;='1-Input'!$C$12,'1-Input'!$B$12,0)))))*(1/(1-'P-Parametri'!$B$6*AK191))))</f>
        <v>20596.752723788075</v>
      </c>
      <c r="AM191" s="18">
        <f>IF($A191&gt;'1-Input'!$B$26,AO190,(AO190-MAX(0,AK176-IF($A191&gt;='1-Input'!$C$12,'1-Input'!$B$12,0))+AL191*(1-'P-Parametri'!$B$6*AK191))*(1+'1-Input'!$B$27))</f>
        <v>36137.103704198264</v>
      </c>
      <c r="AN191" s="18">
        <f>IF($A191&gt;'1-Input'!$B$26,AP190,(AP190-AL191)*(1+'5-Roberta'!$C$4))</f>
        <v>259595.59936767712</v>
      </c>
      <c r="AO191" s="18">
        <f>IF($A191&gt;'1-Input'!$B$26,AM191,AM191-'P-Parametri'!$B$8*(AN191+AM191)+MIN(MAX(AN191,0),'P-Parametri'!$B$8*(AN191+AM191)))</f>
        <v>36137.103704198264</v>
      </c>
      <c r="AP191" s="18">
        <f>IF($A191&gt;'1-Input'!$B$26,AN191,AN191-MIN(MAX(AN191,0),'P-Parametri'!$B$8*(AN191+AM191)))</f>
        <v>259004.13396153337</v>
      </c>
      <c r="AQ191" s="18">
        <f>IF($A191&gt;'1-Input'!$B$26,AQ190,AQ190-AL191*(1-AK191))</f>
        <v>142264.79629995616</v>
      </c>
    </row>
    <row r="192" spans="1:43">
      <c r="A192" s="10">
        <f>14</f>
        <v>14</v>
      </c>
      <c r="B192" s="11">
        <f>IF($A192&gt;'1-Input'!$B$26,0,IF(G191&lt;=0,0,MAX(0,(G191-H191)/G191)))</f>
        <v>0.45092882302983078</v>
      </c>
      <c r="C192" s="18">
        <f>IF($A192&gt;'1-Input'!$B$26,0,(MAX(0,B176-IF($A192&gt;='1-Input'!$C$12,'1-Input'!$B$12,0))-MIN(MAX(F191,0),MAX(0,B176-IF($A192&gt;='1-Input'!$C$12,'1-Input'!$B$12,0))))*(1/(1-'P-Parametri'!$B$6*B192))+MIN(MAX(0,G191-(MAX(0,B176-IF($A192&gt;='1-Input'!$C$12,'1-Input'!$B$12,0))-MIN(MAX(F191,0),MAX(0,B176-IF($A192&gt;='1-Input'!$C$12,'1-Input'!$B$12,0))))*(1/(1-'P-Parametri'!$B$6*B192))),MAX(0,2*MAX(0,B176-IF($A192&gt;='1-Input'!$C$12,'1-Input'!$B$12,0))-(F191-MIN(MAX(F191,0),MAX(0,B176-IF($A192&gt;='1-Input'!$C$12,'1-Input'!$B$12,0)))))*(1/(1-'P-Parametri'!$B$6*B192))))</f>
        <v>19032.565303492043</v>
      </c>
      <c r="D192" s="18">
        <f>IF($A192&gt;'1-Input'!$B$26,F191,(F191-MAX(0,B176-IF($A192&gt;='1-Input'!$C$12,'1-Input'!$B$12,0))+C192*(1-'P-Parametri'!$B$6*B192))*(1+'1-Input'!$B$27))</f>
        <v>33242.0070309863</v>
      </c>
      <c r="E192" s="18">
        <f>IF($A192&gt;'1-Input'!$B$26,G191,(G191-C192)*(1+'5-Roberta'!$C$4))</f>
        <v>277619.80773538642</v>
      </c>
      <c r="F192" s="18">
        <f>IF($A192&gt;'1-Input'!$B$26,D192,D192-'P-Parametri'!$B$8*(E192+D192)+MIN(MAX(E192,0),'P-Parametri'!$B$8*(E192+D192)))</f>
        <v>33242.0070309863</v>
      </c>
      <c r="G192" s="18">
        <f>IF($A192&gt;'1-Input'!$B$26,E192,E192-MIN(MAX(E192,0),'P-Parametri'!$B$8*(E192+D192)))</f>
        <v>276998.08410585369</v>
      </c>
      <c r="H192" s="18">
        <f>IF($A192&gt;'1-Input'!$B$26,H191,H191-C192*(1-B192))</f>
        <v>147993.23745970943</v>
      </c>
      <c r="I192" s="11">
        <f>IF($A192&gt;'1-Input'!$B$26,0,IF(N191&lt;=0,0,MAX(0,(N191-O191)/N191)))</f>
        <v>0.45002506223957389</v>
      </c>
      <c r="J192" s="18">
        <f>IF($A192&gt;'1-Input'!$B$26,0,(MAX(0,I176-IF($A192&gt;='1-Input'!$C$12,'1-Input'!$B$12,0))-MIN(MAX(M191,0),MAX(0,I176-IF($A192&gt;='1-Input'!$C$12,'1-Input'!$B$12,0))))*(1/(1-'P-Parametri'!$B$6*I192))+MIN(MAX(0,N191-(MAX(0,I176-IF($A192&gt;='1-Input'!$C$12,'1-Input'!$B$12,0))-MIN(MAX(M191,0),MAX(0,I176-IF($A192&gt;='1-Input'!$C$12,'1-Input'!$B$12,0))))*(1/(1-'P-Parametri'!$B$6*I192))),MAX(0,2*MAX(0,I176-IF($A192&gt;='1-Input'!$C$12,'1-Input'!$B$12,0))-(M191-MIN(MAX(M191,0),MAX(0,I176-IF($A192&gt;='1-Input'!$C$12,'1-Input'!$B$12,0)))))*(1/(1-'P-Parametri'!$B$6*I192))))</f>
        <v>25036.184805913705</v>
      </c>
      <c r="K192" s="18">
        <f>IF($A192&gt;'1-Input'!$B$26,M191,(M191-MAX(0,I176-IF($A192&gt;='1-Input'!$C$12,'1-Input'!$B$12,0))+J192*(1-'P-Parametri'!$B$6*I192))*(1+'1-Input'!$B$27))</f>
        <v>43739.482935508291</v>
      </c>
      <c r="L192" s="18">
        <f>IF($A192&gt;'1-Input'!$B$26,N191,(N191-J192)*(1+'5-Roberta'!$C$4))</f>
        <v>161038.71639625548</v>
      </c>
      <c r="M192" s="18">
        <f>IF($A192&gt;'1-Input'!$B$26,K192,K192-'P-Parametri'!$B$8*(L192+K192)+MIN(MAX(L192,0),'P-Parametri'!$B$8*(L192+K192)))</f>
        <v>43739.482935508291</v>
      </c>
      <c r="N192" s="18">
        <f>IF($A192&gt;'1-Input'!$B$26,L192,L192-MIN(MAX(L192,0),'P-Parametri'!$B$8*(L192+K192)))</f>
        <v>160629.15999759195</v>
      </c>
      <c r="O192" s="18">
        <f>IF($A192&gt;'1-Input'!$B$26,O191,O191-J192*(1-I192))</f>
        <v>85987.62915247526</v>
      </c>
      <c r="P192" s="11">
        <f>IF($A192&gt;'1-Input'!$B$26,0,IF(U191&lt;=0,0,MAX(0,(U191-V191)/U191)))</f>
        <v>0.45068443399826735</v>
      </c>
      <c r="Q192" s="18">
        <f>IF($A192&gt;'1-Input'!$B$26,0,(MAX(0,P176-IF($A192&gt;='1-Input'!$C$12,'1-Input'!$B$12,0))-MIN(MAX(T191,0),MAX(0,P176-IF($A192&gt;='1-Input'!$C$12,'1-Input'!$B$12,0))))*(1/(1-'P-Parametri'!$B$6*P192))+MIN(MAX(0,U191-(MAX(0,P176-IF($A192&gt;='1-Input'!$C$12,'1-Input'!$B$12,0))-MIN(MAX(T191,0),MAX(0,P176-IF($A192&gt;='1-Input'!$C$12,'1-Input'!$B$12,0))))*(1/(1-'P-Parametri'!$B$6*P192))),MAX(0,2*MAX(0,P176-IF($A192&gt;='1-Input'!$C$12,'1-Input'!$B$12,0))-(T191-MIN(MAX(T191,0),MAX(0,P176-IF($A192&gt;='1-Input'!$C$12,'1-Input'!$B$12,0)))))*(1/(1-'P-Parametri'!$B$6*P192))))</f>
        <v>20984.534564651312</v>
      </c>
      <c r="R192" s="18">
        <f>IF($A192&gt;'1-Input'!$B$26,T191,(T191-MAX(0,P176-IF($A192&gt;='1-Input'!$C$12,'1-Input'!$B$12,0))+Q192*(1-'P-Parametri'!$B$6*P192))*(1+'1-Input'!$B$27))</f>
        <v>36653.926862445645</v>
      </c>
      <c r="S192" s="18">
        <f>IF($A192&gt;'1-Input'!$B$26,U191,(U191-Q192)*(1+'5-Roberta'!$C$4))</f>
        <v>239724.70291220243</v>
      </c>
      <c r="T192" s="18">
        <f>IF($A192&gt;'1-Input'!$B$26,R192,R192-'P-Parametri'!$B$8*(S192+R192)+MIN(MAX(S192,0),'P-Parametri'!$B$8*(S192+R192)))</f>
        <v>36653.926862445645</v>
      </c>
      <c r="U192" s="18">
        <f>IF($A192&gt;'1-Input'!$B$26,S192,S192-MIN(MAX(S192,0),'P-Parametri'!$B$8*(S192+R192)))</f>
        <v>239171.94565265314</v>
      </c>
      <c r="V192" s="18">
        <f>IF($A192&gt;'1-Input'!$B$26,V191,V191-Q192*(1-P192))</f>
        <v>127849.03967457639</v>
      </c>
      <c r="W192" s="11">
        <f>IF($A192&gt;'1-Input'!$B$26,0,IF(AB191&lt;=0,0,MAX(0,(AB191-AC191)/AB191)))</f>
        <v>0.45072287209235884</v>
      </c>
      <c r="X192" s="18">
        <f>IF($A192&gt;'1-Input'!$B$26,0,(MAX(0,W176-IF($A192&gt;='1-Input'!$C$12,'1-Input'!$B$12,0))-MIN(MAX(AA191,0),MAX(0,W176-IF($A192&gt;='1-Input'!$C$12,'1-Input'!$B$12,0))))*(1/(1-'P-Parametri'!$B$6*W192))+MIN(MAX(0,AB191-(MAX(0,W176-IF($A192&gt;='1-Input'!$C$12,'1-Input'!$B$12,0))-MIN(MAX(AA191,0),MAX(0,W176-IF($A192&gt;='1-Input'!$C$12,'1-Input'!$B$12,0))))*(1/(1-'P-Parametri'!$B$6*W192))),MAX(0,2*MAX(0,W176-IF($A192&gt;='1-Input'!$C$12,'1-Input'!$B$12,0))-(AA191-MIN(MAX(AA191,0),MAX(0,W176-IF($A192&gt;='1-Input'!$C$12,'1-Input'!$B$12,0)))))*(1/(1-'P-Parametri'!$B$6*W192))))</f>
        <v>20696.231770580787</v>
      </c>
      <c r="Y192" s="18">
        <f>IF($A192&gt;'1-Input'!$B$26,AA191,(AA191-MAX(0,W176-IF($A192&gt;='1-Input'!$C$12,'1-Input'!$B$12,0))+X192*(1-'P-Parametri'!$B$6*W192))*(1+'1-Input'!$B$27))</f>
        <v>36149.93583347425</v>
      </c>
      <c r="Z192" s="18">
        <f>IF($A192&gt;'1-Input'!$B$26,AB191,(AB191-X192)*(1+'5-Roberta'!$C$4))</f>
        <v>245322.18166275494</v>
      </c>
      <c r="AA192" s="18">
        <f>IF($A192&gt;'1-Input'!$B$26,Y192,Y192-'P-Parametri'!$B$8*(Z192+Y192)+MIN(MAX(Z192,0),'P-Parametri'!$B$8*(Z192+Y192)))</f>
        <v>36149.93583347425</v>
      </c>
      <c r="AB192" s="18">
        <f>IF($A192&gt;'1-Input'!$B$26,Z192,Z192-MIN(MAX(Z192,0),'P-Parametri'!$B$8*(Z192+Y192)))</f>
        <v>244759.23742776248</v>
      </c>
      <c r="AC192" s="18">
        <f>IF($A192&gt;'1-Input'!$B$26,AC191,AC191-X192*(1-W192))</f>
        <v>130825.1100541307</v>
      </c>
      <c r="AD192" s="11">
        <f>IF($A192&gt;'1-Input'!$B$26,0,IF(AI191&lt;=0,0,MAX(0,(AI191-AJ191)/AI191)))</f>
        <v>0.45072385576430751</v>
      </c>
      <c r="AE192" s="18">
        <f>IF($A192&gt;'1-Input'!$B$26,0,(MAX(0,AD176-IF($A192&gt;='1-Input'!$C$12,'1-Input'!$B$12,0))-MIN(MAX(AH191,0),MAX(0,AD176-IF($A192&gt;='1-Input'!$C$12,'1-Input'!$B$12,0))))*(1/(1-'P-Parametri'!$B$6*AD192))+MIN(MAX(0,AI191-(MAX(0,AD176-IF($A192&gt;='1-Input'!$C$12,'1-Input'!$B$12,0))-MIN(MAX(AH191,0),MAX(0,AD176-IF($A192&gt;='1-Input'!$C$12,'1-Input'!$B$12,0))))*(1/(1-'P-Parametri'!$B$6*AD192))),MAX(0,2*MAX(0,AD176-IF($A192&gt;='1-Input'!$C$12,'1-Input'!$B$12,0))-(AH191-MIN(MAX(AH191,0),MAX(0,AD176-IF($A192&gt;='1-Input'!$C$12,'1-Input'!$B$12,0)))))*(1/(1-'P-Parametri'!$B$6*AD192))))</f>
        <v>20688.766371818085</v>
      </c>
      <c r="AF192" s="18">
        <f>IF($A192&gt;'1-Input'!$B$26,AH191,(AH191-MAX(0,AD176-IF($A192&gt;='1-Input'!$C$12,'1-Input'!$B$12,0))+AE192*(1-'P-Parametri'!$B$6*AD192))*(1+'1-Input'!$B$27))</f>
        <v>36136.885614545507</v>
      </c>
      <c r="AG192" s="18">
        <f>IF($A192&gt;'1-Input'!$B$26,AI191,(AI191-AE192)*(1+'5-Roberta'!$C$4))</f>
        <v>245467.12230212422</v>
      </c>
      <c r="AH192" s="18">
        <f>IF($A192&gt;'1-Input'!$B$26,AF192,AF192-'P-Parametri'!$B$8*(AG192+AF192)+MIN(MAX(AG192,0),'P-Parametri'!$B$8*(AG192+AF192)))</f>
        <v>36136.885614545507</v>
      </c>
      <c r="AI192" s="18">
        <f>IF($A192&gt;'1-Input'!$B$26,AG192,AG192-MIN(MAX(AG192,0),'P-Parametri'!$B$8*(AG192+AF192)))</f>
        <v>244903.91428629088</v>
      </c>
      <c r="AJ192" s="18">
        <f>IF($A192&gt;'1-Input'!$B$26,AJ191,AJ191-AE192*(1-AD192))</f>
        <v>130902.16939295334</v>
      </c>
      <c r="AK192" s="11">
        <f>IF($A192&gt;'1-Input'!$B$26,0,IF(AP191&lt;=0,0,MAX(0,(AP191-AQ191)/AP191)))</f>
        <v>0.45072383933036003</v>
      </c>
      <c r="AL192" s="18">
        <f>IF($A192&gt;'1-Input'!$B$26,0,(MAX(0,AK176-IF($A192&gt;='1-Input'!$C$12,'1-Input'!$B$12,0))-MIN(MAX(AO191,0),MAX(0,AK176-IF($A192&gt;='1-Input'!$C$12,'1-Input'!$B$12,0))))*(1/(1-'P-Parametri'!$B$6*AK192))+MIN(MAX(0,AP191-(MAX(0,AK176-IF($A192&gt;='1-Input'!$C$12,'1-Input'!$B$12,0))-MIN(MAX(AO191,0),MAX(0,AK176-IF($A192&gt;='1-Input'!$C$12,'1-Input'!$B$12,0))))*(1/(1-'P-Parametri'!$B$6*AK192))),MAX(0,2*MAX(0,AK176-IF($A192&gt;='1-Input'!$C$12,'1-Input'!$B$12,0))-(AO191-MIN(MAX(AO191,0),MAX(0,AK176-IF($A192&gt;='1-Input'!$C$12,'1-Input'!$B$12,0)))))*(1/(1-'P-Parametri'!$B$6*AK192))))</f>
        <v>20688.891130419815</v>
      </c>
      <c r="AM192" s="18">
        <f>IF($A192&gt;'1-Input'!$B$26,AO191,(AO191-MAX(0,AK176-IF($A192&gt;='1-Input'!$C$12,'1-Input'!$B$12,0))+AL192*(1-'P-Parametri'!$B$6*AK192))*(1+'1-Input'!$B$27))</f>
        <v>36137.103704198264</v>
      </c>
      <c r="AN192" s="18">
        <f>IF($A192&gt;'1-Input'!$B$26,AP191,(AP191-AL192)*(1+'5-Roberta'!$C$4))</f>
        <v>245464.70011604697</v>
      </c>
      <c r="AO192" s="18">
        <f>IF($A192&gt;'1-Input'!$B$26,AM192,AM192-'P-Parametri'!$B$8*(AN192+AM192)+MIN(MAX(AN192,0),'P-Parametri'!$B$8*(AN192+AM192)))</f>
        <v>36137.103704198264</v>
      </c>
      <c r="AP192" s="18">
        <f>IF($A192&gt;'1-Input'!$B$26,AN192,AN192-MIN(MAX(AN192,0),'P-Parametri'!$B$8*(AN192+AM192)))</f>
        <v>244901.49650840648</v>
      </c>
      <c r="AQ192" s="18">
        <f>IF($A192&gt;'1-Input'!$B$26,AQ191,AQ191-AL192*(1-AK192))</f>
        <v>130900.881611327</v>
      </c>
    </row>
    <row r="193" spans="1:43">
      <c r="A193" s="10">
        <f>15</f>
        <v>15</v>
      </c>
      <c r="B193" s="11">
        <f>IF($A193&gt;'1-Input'!$B$26,0,IF(G192&lt;=0,0,MAX(0,(G192-H192)/G192)))</f>
        <v>0.46572468926119209</v>
      </c>
      <c r="C193" s="18">
        <f>IF($A193&gt;'1-Input'!$B$26,0,(MAX(0,B176-IF($A193&gt;='1-Input'!$C$12,'1-Input'!$B$12,0))-MIN(MAX(F192,0),MAX(0,B176-IF($A193&gt;='1-Input'!$C$12,'1-Input'!$B$12,0))))*(1/(1-'P-Parametri'!$B$6*B193))+MIN(MAX(0,G192-(MAX(0,B176-IF($A193&gt;='1-Input'!$C$12,'1-Input'!$B$12,0))-MIN(MAX(F192,0),MAX(0,B176-IF($A193&gt;='1-Input'!$C$12,'1-Input'!$B$12,0))))*(1/(1-'P-Parametri'!$B$6*B193))),MAX(0,2*MAX(0,B176-IF($A193&gt;='1-Input'!$C$12,'1-Input'!$B$12,0))-(F192-MIN(MAX(F192,0),MAX(0,B176-IF($A193&gt;='1-Input'!$C$12,'1-Input'!$B$12,0)))))*(1/(1-'P-Parametri'!$B$6*B193))))</f>
        <v>19115.869309344653</v>
      </c>
      <c r="D193" s="18">
        <f>IF($A193&gt;'1-Input'!$B$26,F192,(F192-MAX(0,B176-IF($A193&gt;='1-Input'!$C$12,'1-Input'!$B$12,0))+C193*(1-'P-Parametri'!$B$6*B193))*(1+'1-Input'!$B$27))</f>
        <v>33242.0070309863</v>
      </c>
      <c r="E193" s="18">
        <f>IF($A193&gt;'1-Input'!$B$26,G192,(G192-C193)*(1+'5-Roberta'!$C$4))</f>
        <v>265618.68124040432</v>
      </c>
      <c r="F193" s="18">
        <f>IF($A193&gt;'1-Input'!$B$26,D193,D193-'P-Parametri'!$B$8*(E193+D193)+MIN(MAX(E193,0),'P-Parametri'!$B$8*(E193+D193)))</f>
        <v>33242.0070309863</v>
      </c>
      <c r="G193" s="18">
        <f>IF($A193&gt;'1-Input'!$B$26,E193,E193-MIN(MAX(E193,0),'P-Parametri'!$B$8*(E193+D193)))</f>
        <v>265020.95986386156</v>
      </c>
      <c r="H193" s="18">
        <f>IF($A193&gt;'1-Input'!$B$26,H192,H192-C193*(1-B193))</f>
        <v>137780.10044441686</v>
      </c>
      <c r="I193" s="11">
        <f>IF($A193&gt;'1-Input'!$B$26,0,IF(N192&lt;=0,0,MAX(0,(N192-O192)/N192)))</f>
        <v>0.46468232073326954</v>
      </c>
      <c r="J193" s="18">
        <f>IF($A193&gt;'1-Input'!$B$26,0,(MAX(0,I176-IF($A193&gt;='1-Input'!$C$12,'1-Input'!$B$12,0))-MIN(MAX(M192,0),MAX(0,I176-IF($A193&gt;='1-Input'!$C$12,'1-Input'!$B$12,0))))*(1/(1-'P-Parametri'!$B$6*I193))+MIN(MAX(0,N192-(MAX(0,I176-IF($A193&gt;='1-Input'!$C$12,'1-Input'!$B$12,0))-MIN(MAX(M192,0),MAX(0,I176-IF($A193&gt;='1-Input'!$C$12,'1-Input'!$B$12,0))))*(1/(1-'P-Parametri'!$B$6*I193))),MAX(0,2*MAX(0,I176-IF($A193&gt;='1-Input'!$C$12,'1-Input'!$B$12,0))-(M192-MIN(MAX(M192,0),MAX(0,I176-IF($A193&gt;='1-Input'!$C$12,'1-Input'!$B$12,0)))))*(1/(1-'P-Parametri'!$B$6*I193))))</f>
        <v>25144.706149251226</v>
      </c>
      <c r="K193" s="18">
        <f>IF($A193&gt;'1-Input'!$B$26,M192,(M192-MAX(0,I176-IF($A193&gt;='1-Input'!$C$12,'1-Input'!$B$12,0))+J193*(1-'P-Parametri'!$B$6*I193))*(1+'1-Input'!$B$27))</f>
        <v>43739.482935508291</v>
      </c>
      <c r="L193" s="18">
        <f>IF($A193&gt;'1-Input'!$B$26,N192,(N192-J193)*(1+'5-Roberta'!$C$4))</f>
        <v>139548.98746379095</v>
      </c>
      <c r="M193" s="18">
        <f>IF($A193&gt;'1-Input'!$B$26,K193,K193-'P-Parametri'!$B$8*(L193+K193)+MIN(MAX(L193,0),'P-Parametri'!$B$8*(L193+K193)))</f>
        <v>43739.482935508291</v>
      </c>
      <c r="N193" s="18">
        <f>IF($A193&gt;'1-Input'!$B$26,L193,L193-MIN(MAX(L193,0),'P-Parametri'!$B$8*(L193+K193)))</f>
        <v>139182.41052299234</v>
      </c>
      <c r="O193" s="18">
        <f>IF($A193&gt;'1-Input'!$B$26,O192,O192-J193*(1-I193))</f>
        <v>72527.223410814215</v>
      </c>
      <c r="P193" s="11">
        <f>IF($A193&gt;'1-Input'!$B$26,0,IF(U192&lt;=0,0,MAX(0,(U192-V192)/U192)))</f>
        <v>0.46545135414732053</v>
      </c>
      <c r="Q193" s="18">
        <f>IF($A193&gt;'1-Input'!$B$26,0,(MAX(0,P176-IF($A193&gt;='1-Input'!$C$12,'1-Input'!$B$12,0))-MIN(MAX(T192,0),MAX(0,P176-IF($A193&gt;='1-Input'!$C$12,'1-Input'!$B$12,0))))*(1/(1-'P-Parametri'!$B$6*P193))+MIN(MAX(0,U192-(MAX(0,P176-IF($A193&gt;='1-Input'!$C$12,'1-Input'!$B$12,0))-MIN(MAX(T192,0),MAX(0,P176-IF($A193&gt;='1-Input'!$C$12,'1-Input'!$B$12,0))))*(1/(1-'P-Parametri'!$B$6*P193))),MAX(0,2*MAX(0,P176-IF($A193&gt;='1-Input'!$C$12,'1-Input'!$B$12,0))-(T192-MIN(MAX(T192,0),MAX(0,P176-IF($A193&gt;='1-Input'!$C$12,'1-Input'!$B$12,0)))))*(1/(1-'P-Parametri'!$B$6*P193))))</f>
        <v>21076.195084029736</v>
      </c>
      <c r="R193" s="18">
        <f>IF($A193&gt;'1-Input'!$B$26,T192,(T192-MAX(0,P176-IF($A193&gt;='1-Input'!$C$12,'1-Input'!$B$12,0))+Q193*(1-'P-Parametri'!$B$6*P193))*(1+'1-Input'!$B$27))</f>
        <v>36653.926862445645</v>
      </c>
      <c r="S193" s="18">
        <f>IF($A193&gt;'1-Input'!$B$26,U192,(U192-Q193)*(1+'5-Roberta'!$C$4))</f>
        <v>224638.62308568213</v>
      </c>
      <c r="T193" s="18">
        <f>IF($A193&gt;'1-Input'!$B$26,R193,R193-'P-Parametri'!$B$8*(S193+R193)+MIN(MAX(S193,0),'P-Parametri'!$B$8*(S193+R193)))</f>
        <v>36653.926862445645</v>
      </c>
      <c r="U193" s="18">
        <f>IF($A193&gt;'1-Input'!$B$26,S193,S193-MIN(MAX(S193,0),'P-Parametri'!$B$8*(S193+R193)))</f>
        <v>224116.03798578589</v>
      </c>
      <c r="V193" s="18">
        <f>IF($A193&gt;'1-Input'!$B$26,V192,V192-Q193*(1-P193))</f>
        <v>116582.78813268139</v>
      </c>
      <c r="W193" s="11">
        <f>IF($A193&gt;'1-Input'!$B$26,0,IF(AB192&lt;=0,0,MAX(0,(AB192-AC192)/AB192)))</f>
        <v>0.46549469826346379</v>
      </c>
      <c r="X193" s="18">
        <f>IF($A193&gt;'1-Input'!$B$26,0,(MAX(0,W176-IF($A193&gt;='1-Input'!$C$12,'1-Input'!$B$12,0))-MIN(MAX(AA192,0),MAX(0,W176-IF($A193&gt;='1-Input'!$C$12,'1-Input'!$B$12,0))))*(1/(1-'P-Parametri'!$B$6*W193))+MIN(MAX(0,AB192-(MAX(0,W176-IF($A193&gt;='1-Input'!$C$12,'1-Input'!$B$12,0))-MIN(MAX(AA192,0),MAX(0,W176-IF($A193&gt;='1-Input'!$C$12,'1-Input'!$B$12,0))))*(1/(1-'P-Parametri'!$B$6*W193))),MAX(0,2*MAX(0,W176-IF($A193&gt;='1-Input'!$C$12,'1-Input'!$B$12,0))-(AA192-MIN(MAX(AA192,0),MAX(0,W176-IF($A193&gt;='1-Input'!$C$12,'1-Input'!$B$12,0)))))*(1/(1-'P-Parametri'!$B$6*W193))))</f>
        <v>20786.664175841961</v>
      </c>
      <c r="Y193" s="18">
        <f>IF($A193&gt;'1-Input'!$B$26,AA192,(AA192-MAX(0,W176-IF($A193&gt;='1-Input'!$C$12,'1-Input'!$B$12,0))+X193*(1-'P-Parametri'!$B$6*W193))*(1+'1-Input'!$B$27))</f>
        <v>36149.93583347425</v>
      </c>
      <c r="Z193" s="18">
        <f>IF($A193&gt;'1-Input'!$B$26,AB192,(AB192-X193)*(1+'5-Roberta'!$C$4))</f>
        <v>230691.75044947813</v>
      </c>
      <c r="AA193" s="18">
        <f>IF($A193&gt;'1-Input'!$B$26,Y193,Y193-'P-Parametri'!$B$8*(Z193+Y193)+MIN(MAX(Z193,0),'P-Parametri'!$B$8*(Z193+Y193)))</f>
        <v>36149.93583347425</v>
      </c>
      <c r="AB193" s="18">
        <f>IF($A193&gt;'1-Input'!$B$26,Z193,Z193-MIN(MAX(Z193,0),'P-Parametri'!$B$8*(Z193+Y193)))</f>
        <v>230158.06707691224</v>
      </c>
      <c r="AC193" s="18">
        <f>IF($A193&gt;'1-Input'!$B$26,AC192,AC192-X193*(1-W193))</f>
        <v>119714.52784672624</v>
      </c>
      <c r="AD193" s="11">
        <f>IF($A193&gt;'1-Input'!$B$26,0,IF(AI192&lt;=0,0,MAX(0,(AI192-AJ192)/AI192)))</f>
        <v>0.46549580567369103</v>
      </c>
      <c r="AE193" s="18">
        <f>IF($A193&gt;'1-Input'!$B$26,0,(MAX(0,AD176-IF($A193&gt;='1-Input'!$C$12,'1-Input'!$B$12,0))-MIN(MAX(AH192,0),MAX(0,AD176-IF($A193&gt;='1-Input'!$C$12,'1-Input'!$B$12,0))))*(1/(1-'P-Parametri'!$B$6*AD193))+MIN(MAX(0,AI192-(MAX(0,AD176-IF($A193&gt;='1-Input'!$C$12,'1-Input'!$B$12,0))-MIN(MAX(AH192,0),MAX(0,AD176-IF($A193&gt;='1-Input'!$C$12,'1-Input'!$B$12,0))))*(1/(1-'P-Parametri'!$B$6*AD193))),MAX(0,2*MAX(0,AD176-IF($A193&gt;='1-Input'!$C$12,'1-Input'!$B$12,0))-(AH192-MIN(MAX(AH192,0),MAX(0,AD176-IF($A193&gt;='1-Input'!$C$12,'1-Input'!$B$12,0)))))*(1/(1-'P-Parametri'!$B$6*AD193))))</f>
        <v>20779.166943799046</v>
      </c>
      <c r="AF193" s="18">
        <f>IF($A193&gt;'1-Input'!$B$26,AH192,(AH192-MAX(0,AD176-IF($A193&gt;='1-Input'!$C$12,'1-Input'!$B$12,0))+AE193*(1-'P-Parametri'!$B$6*AD193))*(1+'1-Input'!$B$27))</f>
        <v>36136.885614545507</v>
      </c>
      <c r="AG193" s="18">
        <f>IF($A193&gt;'1-Input'!$B$26,AI192,(AI192-AE193)*(1+'5-Roberta'!$C$4))</f>
        <v>230848.48976276661</v>
      </c>
      <c r="AH193" s="18">
        <f>IF($A193&gt;'1-Input'!$B$26,AF193,AF193-'P-Parametri'!$B$8*(AG193+AF193)+MIN(MAX(AG193,0),'P-Parametri'!$B$8*(AG193+AF193)))</f>
        <v>36136.885614545507</v>
      </c>
      <c r="AI193" s="18">
        <f>IF($A193&gt;'1-Input'!$B$26,AG193,AG193-MIN(MAX(AG193,0),'P-Parametri'!$B$8*(AG193+AF193)))</f>
        <v>230314.519012012</v>
      </c>
      <c r="AJ193" s="18">
        <f>IF($A193&gt;'1-Input'!$B$26,AJ192,AJ192-AE193*(1-AD193))</f>
        <v>119795.61750688616</v>
      </c>
      <c r="AK193" s="11">
        <f>IF($A193&gt;'1-Input'!$B$26,0,IF(AP192&lt;=0,0,MAX(0,(AP192-AQ192)/AP192)))</f>
        <v>0.46549578717321677</v>
      </c>
      <c r="AL193" s="18">
        <f>IF($A193&gt;'1-Input'!$B$26,0,(MAX(0,AK176-IF($A193&gt;='1-Input'!$C$12,'1-Input'!$B$12,0))-MIN(MAX(AO192,0),MAX(0,AK176-IF($A193&gt;='1-Input'!$C$12,'1-Input'!$B$12,0))))*(1/(1-'P-Parametri'!$B$6*AK193))+MIN(MAX(0,AP192-(MAX(0,AK176-IF($A193&gt;='1-Input'!$C$12,'1-Input'!$B$12,0))-MIN(MAX(AO192,0),MAX(0,AK176-IF($A193&gt;='1-Input'!$C$12,'1-Input'!$B$12,0))))*(1/(1-'P-Parametri'!$B$6*AK193))),MAX(0,2*MAX(0,AK176-IF($A193&gt;='1-Input'!$C$12,'1-Input'!$B$12,0))-(AO192-MIN(MAX(AO192,0),MAX(0,AK176-IF($A193&gt;='1-Input'!$C$12,'1-Input'!$B$12,0)))))*(1/(1-'P-Parametri'!$B$6*AK193))))</f>
        <v>20779.292234398152</v>
      </c>
      <c r="AM193" s="18">
        <f>IF($A193&gt;'1-Input'!$B$26,AO192,(AO192-MAX(0,AK176-IF($A193&gt;='1-Input'!$C$12,'1-Input'!$B$12,0))+AL193*(1-'P-Parametri'!$B$6*AK193))*(1+'1-Input'!$B$27))</f>
        <v>36137.103704198264</v>
      </c>
      <c r="AN193" s="18">
        <f>IF($A193&gt;'1-Input'!$B$26,AP192,(AP192-AL193)*(1+'5-Roberta'!$C$4))</f>
        <v>230845.87040222858</v>
      </c>
      <c r="AO193" s="18">
        <f>IF($A193&gt;'1-Input'!$B$26,AM193,AM193-'P-Parametri'!$B$8*(AN193+AM193)+MIN(MAX(AN193,0),'P-Parametri'!$B$8*(AN193+AM193)))</f>
        <v>36137.103704198264</v>
      </c>
      <c r="AP193" s="18">
        <f>IF($A193&gt;'1-Input'!$B$26,AN193,AN193-MIN(MAX(AN193,0),'P-Parametri'!$B$8*(AN193+AM193)))</f>
        <v>230311.90445401572</v>
      </c>
      <c r="AQ193" s="18">
        <f>IF($A193&gt;'1-Input'!$B$26,AQ192,AQ192-AL193*(1-AK193))</f>
        <v>119794.26237248234</v>
      </c>
    </row>
    <row r="194" spans="1:43">
      <c r="A194" s="10">
        <f>16</f>
        <v>16</v>
      </c>
      <c r="B194" s="11">
        <f>IF($A194&gt;'1-Input'!$B$26,0,IF(G193&lt;=0,0,MAX(0,(G193-H193)/G193)))</f>
        <v>0.48011621226036977</v>
      </c>
      <c r="C194" s="18">
        <f>IF($A194&gt;'1-Input'!$B$26,0,(MAX(0,B176-IF($A194&gt;='1-Input'!$C$12,'1-Input'!$B$12,0))-MIN(MAX(F193,0),MAX(0,B176-IF($A194&gt;='1-Input'!$C$12,'1-Input'!$B$12,0))))*(1/(1-'P-Parametri'!$B$6*B194))+MIN(MAX(0,G193-(MAX(0,B176-IF($A194&gt;='1-Input'!$C$12,'1-Input'!$B$12,0))-MIN(MAX(F193,0),MAX(0,B176-IF($A194&gt;='1-Input'!$C$12,'1-Input'!$B$12,0))))*(1/(1-'P-Parametri'!$B$6*B194))),MAX(0,2*MAX(0,B176-IF($A194&gt;='1-Input'!$C$12,'1-Input'!$B$12,0))-(F193-MIN(MAX(F193,0),MAX(0,B176-IF($A194&gt;='1-Input'!$C$12,'1-Input'!$B$12,0)))))*(1/(1-'P-Parametri'!$B$6*B194))))</f>
        <v>19197.599373811132</v>
      </c>
      <c r="D194" s="18">
        <f>IF($A194&gt;'1-Input'!$B$26,F193,(F193-MAX(0,B176-IF($A194&gt;='1-Input'!$C$12,'1-Input'!$B$12,0))+C194*(1-'P-Parametri'!$B$6*B194))*(1+'1-Input'!$B$27))</f>
        <v>33242.0070309863</v>
      </c>
      <c r="E194" s="18">
        <f>IF($A194&gt;'1-Input'!$B$26,G193,(G193-C194)*(1+'5-Roberta'!$C$4))</f>
        <v>253198.06130475196</v>
      </c>
      <c r="F194" s="18">
        <f>IF($A194&gt;'1-Input'!$B$26,D194,D194-'P-Parametri'!$B$8*(E194+D194)+MIN(MAX(E194,0),'P-Parametri'!$B$8*(E194+D194)))</f>
        <v>33242.0070309863</v>
      </c>
      <c r="G194" s="18">
        <f>IF($A194&gt;'1-Input'!$B$26,E194,E194-MIN(MAX(E194,0),'P-Parametri'!$B$8*(E194+D194)))</f>
        <v>252625.18116808048</v>
      </c>
      <c r="H194" s="18">
        <f>IF($A194&gt;'1-Input'!$B$26,H193,H193-C194*(1-B194))</f>
        <v>127799.57976645198</v>
      </c>
      <c r="I194" s="11">
        <f>IF($A194&gt;'1-Input'!$B$26,0,IF(N193&lt;=0,0,MAX(0,(N193-O193)/N193)))</f>
        <v>0.47890525003636847</v>
      </c>
      <c r="J194" s="18">
        <f>IF($A194&gt;'1-Input'!$B$26,0,(MAX(0,I176-IF($A194&gt;='1-Input'!$C$12,'1-Input'!$B$12,0))-MIN(MAX(M193,0),MAX(0,I176-IF($A194&gt;='1-Input'!$C$12,'1-Input'!$B$12,0))))*(1/(1-'P-Parametri'!$B$6*I194))+MIN(MAX(0,N193-(MAX(0,I176-IF($A194&gt;='1-Input'!$C$12,'1-Input'!$B$12,0))-MIN(MAX(M193,0),MAX(0,I176-IF($A194&gt;='1-Input'!$C$12,'1-Input'!$B$12,0))))*(1/(1-'P-Parametri'!$B$6*I194))),MAX(0,2*MAX(0,I176-IF($A194&gt;='1-Input'!$C$12,'1-Input'!$B$12,0))-(M193-MIN(MAX(M193,0),MAX(0,I176-IF($A194&gt;='1-Input'!$C$12,'1-Input'!$B$12,0)))))*(1/(1-'P-Parametri'!$B$6*I194))))</f>
        <v>25250.914932980577</v>
      </c>
      <c r="K194" s="18">
        <f>IF($A194&gt;'1-Input'!$B$26,M193,(M193-MAX(0,I176-IF($A194&gt;='1-Input'!$C$12,'1-Input'!$B$12,0))+J194*(1-'P-Parametri'!$B$6*I194))*(1+'1-Input'!$B$27))</f>
        <v>43739.482935508291</v>
      </c>
      <c r="L194" s="18">
        <f>IF($A194&gt;'1-Input'!$B$26,N193,(N193-J194)*(1+'5-Roberta'!$C$4))</f>
        <v>117349.44045771212</v>
      </c>
      <c r="M194" s="18">
        <f>IF($A194&gt;'1-Input'!$B$26,K194,K194-'P-Parametri'!$B$8*(L194+K194)+MIN(MAX(L194,0),'P-Parametri'!$B$8*(L194+K194)))</f>
        <v>43739.482935508291</v>
      </c>
      <c r="N194" s="18">
        <f>IF($A194&gt;'1-Input'!$B$26,L194,L194-MIN(MAX(L194,0),'P-Parametri'!$B$8*(L194+K194)))</f>
        <v>117027.26261092568</v>
      </c>
      <c r="O194" s="18">
        <f>IF($A194&gt;'1-Input'!$B$26,O193,O193-J194*(1-I194))</f>
        <v>59369.104207459772</v>
      </c>
      <c r="P194" s="11">
        <f>IF($A194&gt;'1-Input'!$B$26,0,IF(U193&lt;=0,0,MAX(0,(U193-V193)/U193)))</f>
        <v>0.4798105964193628</v>
      </c>
      <c r="Q194" s="18">
        <f>IF($A194&gt;'1-Input'!$B$26,0,(MAX(0,P176-IF($A194&gt;='1-Input'!$C$12,'1-Input'!$B$12,0))-MIN(MAX(T193,0),MAX(0,P176-IF($A194&gt;='1-Input'!$C$12,'1-Input'!$B$12,0))))*(1/(1-'P-Parametri'!$B$6*P194))+MIN(MAX(0,U193-(MAX(0,P176-IF($A194&gt;='1-Input'!$C$12,'1-Input'!$B$12,0))-MIN(MAX(T193,0),MAX(0,P176-IF($A194&gt;='1-Input'!$C$12,'1-Input'!$B$12,0))))*(1/(1-'P-Parametri'!$B$6*P194))),MAX(0,2*MAX(0,P176-IF($A194&gt;='1-Input'!$C$12,'1-Input'!$B$12,0))-(T193-MIN(MAX(T193,0),MAX(0,P176-IF($A194&gt;='1-Input'!$C$12,'1-Input'!$B$12,0)))))*(1/(1-'P-Parametri'!$B$6*P194))))</f>
        <v>21166.096252429092</v>
      </c>
      <c r="R194" s="18">
        <f>IF($A194&gt;'1-Input'!$B$26,T193,(T193-MAX(0,P176-IF($A194&gt;='1-Input'!$C$12,'1-Input'!$B$12,0))+Q194*(1-'P-Parametri'!$B$6*P194))*(1+'1-Input'!$B$27))</f>
        <v>36653.926862445645</v>
      </c>
      <c r="S194" s="18">
        <f>IF($A194&gt;'1-Input'!$B$26,U193,(U193-Q194)*(1+'5-Roberta'!$C$4))</f>
        <v>209038.43998535752</v>
      </c>
      <c r="T194" s="18">
        <f>IF($A194&gt;'1-Input'!$B$26,R194,R194-'P-Parametri'!$B$8*(S194+R194)+MIN(MAX(S194,0),'P-Parametri'!$B$8*(S194+R194)))</f>
        <v>36653.926862445645</v>
      </c>
      <c r="U194" s="18">
        <f>IF($A194&gt;'1-Input'!$B$26,S194,S194-MIN(MAX(S194,0),'P-Parametri'!$B$8*(S194+R194)))</f>
        <v>208547.05525166192</v>
      </c>
      <c r="V194" s="18">
        <f>IF($A194&gt;'1-Input'!$B$26,V193,V193-Q194*(1-P194))</f>
        <v>105572.40914699994</v>
      </c>
      <c r="W194" s="11">
        <f>IF($A194&gt;'1-Input'!$B$26,0,IF(AB193&lt;=0,0,MAX(0,(AB193-AC193)/AB193)))</f>
        <v>0.47985951842947538</v>
      </c>
      <c r="X194" s="18">
        <f>IF($A194&gt;'1-Input'!$B$26,0,(MAX(0,W176-IF($A194&gt;='1-Input'!$C$12,'1-Input'!$B$12,0))-MIN(MAX(AA193,0),MAX(0,W176-IF($A194&gt;='1-Input'!$C$12,'1-Input'!$B$12,0))))*(1/(1-'P-Parametri'!$B$6*W194))+MIN(MAX(0,AB193-(MAX(0,W176-IF($A194&gt;='1-Input'!$C$12,'1-Input'!$B$12,0))-MIN(MAX(AA193,0),MAX(0,W176-IF($A194&gt;='1-Input'!$C$12,'1-Input'!$B$12,0))))*(1/(1-'P-Parametri'!$B$6*W194))),MAX(0,2*MAX(0,W176-IF($A194&gt;='1-Input'!$C$12,'1-Input'!$B$12,0))-(AA193-MIN(MAX(AA193,0),MAX(0,W176-IF($A194&gt;='1-Input'!$C$12,'1-Input'!$B$12,0)))))*(1/(1-'P-Parametri'!$B$6*W194))))</f>
        <v>20875.366072844263</v>
      </c>
      <c r="Y194" s="18">
        <f>IF($A194&gt;'1-Input'!$B$26,AA193,(AA193-MAX(0,W176-IF($A194&gt;='1-Input'!$C$12,'1-Input'!$B$12,0))+X194*(1-'P-Parametri'!$B$6*W194))*(1+'1-Input'!$B$27))</f>
        <v>36149.93583347425</v>
      </c>
      <c r="Z194" s="18">
        <f>IF($A194&gt;'1-Input'!$B$26,AB193,(AB193-X194)*(1+'5-Roberta'!$C$4))</f>
        <v>215561.18203419002</v>
      </c>
      <c r="AA194" s="18">
        <f>IF($A194&gt;'1-Input'!$B$26,Y194,Y194-'P-Parametri'!$B$8*(Z194+Y194)+MIN(MAX(Z194,0),'P-Parametri'!$B$8*(Z194+Y194)))</f>
        <v>36149.93583347425</v>
      </c>
      <c r="AB194" s="18">
        <f>IF($A194&gt;'1-Input'!$B$26,Z194,Z194-MIN(MAX(Z194,0),'P-Parametri'!$B$8*(Z194+Y194)))</f>
        <v>215057.75979845467</v>
      </c>
      <c r="AC194" s="18">
        <f>IF($A194&gt;'1-Input'!$B$26,AC193,AC193-X194*(1-W194))</f>
        <v>108856.40488463604</v>
      </c>
      <c r="AD194" s="11">
        <f>IF($A194&gt;'1-Input'!$B$26,0,IF(AI193&lt;=0,0,MAX(0,(AI193-AJ193)/AI193)))</f>
        <v>0.47986076596135802</v>
      </c>
      <c r="AE194" s="18">
        <f>IF($A194&gt;'1-Input'!$B$26,0,(MAX(0,AD176-IF($A194&gt;='1-Input'!$C$12,'1-Input'!$B$12,0))-MIN(MAX(AH193,0),MAX(0,AD176-IF($A194&gt;='1-Input'!$C$12,'1-Input'!$B$12,0))))*(1/(1-'P-Parametri'!$B$6*AD194))+MIN(MAX(0,AI193-(MAX(0,AD176-IF($A194&gt;='1-Input'!$C$12,'1-Input'!$B$12,0))-MIN(MAX(AH193,0),MAX(0,AD176-IF($A194&gt;='1-Input'!$C$12,'1-Input'!$B$12,0))))*(1/(1-'P-Parametri'!$B$6*AD194))),MAX(0,2*MAX(0,AD176-IF($A194&gt;='1-Input'!$C$12,'1-Input'!$B$12,0))-(AH193-MIN(MAX(AH193,0),MAX(0,AD176-IF($A194&gt;='1-Input'!$C$12,'1-Input'!$B$12,0)))))*(1/(1-'P-Parametri'!$B$6*AD194))))</f>
        <v>20867.837746028006</v>
      </c>
      <c r="AF194" s="18">
        <f>IF($A194&gt;'1-Input'!$B$26,AH193,(AH193-MAX(0,AD176-IF($A194&gt;='1-Input'!$C$12,'1-Input'!$B$12,0))+AE194*(1-'P-Parametri'!$B$6*AD194))*(1+'1-Input'!$B$27))</f>
        <v>36136.885614545507</v>
      </c>
      <c r="AG194" s="18">
        <f>IF($A194&gt;'1-Input'!$B$26,AI193,(AI193-AE194)*(1+'5-Roberta'!$C$4))</f>
        <v>215730.08170396351</v>
      </c>
      <c r="AH194" s="18">
        <f>IF($A194&gt;'1-Input'!$B$26,AF194,AF194-'P-Parametri'!$B$8*(AG194+AF194)+MIN(MAX(AG194,0),'P-Parametri'!$B$8*(AG194+AF194)))</f>
        <v>36136.885614545507</v>
      </c>
      <c r="AI194" s="18">
        <f>IF($A194&gt;'1-Input'!$B$26,AG194,AG194-MIN(MAX(AG194,0),'P-Parametri'!$B$8*(AG194+AF194)))</f>
        <v>215226.3477693265</v>
      </c>
      <c r="AJ194" s="18">
        <f>IF($A194&gt;'1-Input'!$B$26,AJ193,AJ193-AE194*(1-AD194))</f>
        <v>108941.4363656245</v>
      </c>
      <c r="AK194" s="11">
        <f>IF($A194&gt;'1-Input'!$B$26,0,IF(AP193&lt;=0,0,MAX(0,(AP193-AQ193)/AP193)))</f>
        <v>0.47986074512096893</v>
      </c>
      <c r="AL194" s="18">
        <f>IF($A194&gt;'1-Input'!$B$26,0,(MAX(0,AK176-IF($A194&gt;='1-Input'!$C$12,'1-Input'!$B$12,0))-MIN(MAX(AO193,0),MAX(0,AK176-IF($A194&gt;='1-Input'!$C$12,'1-Input'!$B$12,0))))*(1/(1-'P-Parametri'!$B$6*AK194))+MIN(MAX(0,AP193-(MAX(0,AK176-IF($A194&gt;='1-Input'!$C$12,'1-Input'!$B$12,0))-MIN(MAX(AO193,0),MAX(0,AK176-IF($A194&gt;='1-Input'!$C$12,'1-Input'!$B$12,0))))*(1/(1-'P-Parametri'!$B$6*AK194))),MAX(0,2*MAX(0,AK176-IF($A194&gt;='1-Input'!$C$12,'1-Input'!$B$12,0))-(AO193-MIN(MAX(AO193,0),MAX(0,AK176-IF($A194&gt;='1-Input'!$C$12,'1-Input'!$B$12,0)))))*(1/(1-'P-Parametri'!$B$6*AK194))))</f>
        <v>20867.963556286191</v>
      </c>
      <c r="AM194" s="18">
        <f>IF($A194&gt;'1-Input'!$B$26,AO193,(AO193-MAX(0,AK176-IF($A194&gt;='1-Input'!$C$12,'1-Input'!$B$12,0))+AL194*(1-'P-Parametri'!$B$6*AK194))*(1+'1-Input'!$B$27))</f>
        <v>36137.103704198256</v>
      </c>
      <c r="AN194" s="18">
        <f>IF($A194&gt;'1-Input'!$B$26,AP193,(AP193-AL194)*(1+'5-Roberta'!$C$4))</f>
        <v>215727.25912466142</v>
      </c>
      <c r="AO194" s="18">
        <f>IF($A194&gt;'1-Input'!$B$26,AM194,AM194-'P-Parametri'!$B$8*(AN194+AM194)+MIN(MAX(AN194,0),'P-Parametri'!$B$8*(AN194+AM194)))</f>
        <v>36137.103704198256</v>
      </c>
      <c r="AP194" s="18">
        <f>IF($A194&gt;'1-Input'!$B$26,AN194,AN194-MIN(MAX(AN194,0),'P-Parametri'!$B$8*(AN194+AM194)))</f>
        <v>215223.53039900371</v>
      </c>
      <c r="AQ194" s="18">
        <f>IF($A194&gt;'1-Input'!$B$26,AQ193,AQ193-AL194*(1-AK194))</f>
        <v>108940.01535747286</v>
      </c>
    </row>
    <row r="195" spans="1:43">
      <c r="A195" s="10">
        <f>17</f>
        <v>17</v>
      </c>
      <c r="B195" s="11">
        <f>IF($A195&gt;'1-Input'!$B$26,0,IF(G194&lt;=0,0,MAX(0,(G194-H194)/G194)))</f>
        <v>0.49411385208894759</v>
      </c>
      <c r="C195" s="18">
        <f>IF($A195&gt;'1-Input'!$B$26,0,(MAX(0,B176-IF($A195&gt;='1-Input'!$C$12,'1-Input'!$B$12,0))-MIN(MAX(F194,0),MAX(0,B176-IF($A195&gt;='1-Input'!$C$12,'1-Input'!$B$12,0))))*(1/(1-'P-Parametri'!$B$6*B195))+MIN(MAX(0,G194-(MAX(0,B176-IF($A195&gt;='1-Input'!$C$12,'1-Input'!$B$12,0))-MIN(MAX(F194,0),MAX(0,B176-IF($A195&gt;='1-Input'!$C$12,'1-Input'!$B$12,0))))*(1/(1-'P-Parametri'!$B$6*B195))),MAX(0,2*MAX(0,B176-IF($A195&gt;='1-Input'!$C$12,'1-Input'!$B$12,0))-(F194-MIN(MAX(F194,0),MAX(0,B176-IF($A195&gt;='1-Input'!$C$12,'1-Input'!$B$12,0)))))*(1/(1-'P-Parametri'!$B$6*B195))))</f>
        <v>19277.765804427632</v>
      </c>
      <c r="D195" s="18">
        <f>IF($A195&gt;'1-Input'!$B$26,F194,(F194-MAX(0,B176-IF($A195&gt;='1-Input'!$C$12,'1-Input'!$B$12,0))+C195*(1-'P-Parametri'!$B$6*B195))*(1+'1-Input'!$B$27))</f>
        <v>33242.0070309863</v>
      </c>
      <c r="E195" s="18">
        <f>IF($A195&gt;'1-Input'!$B$26,G194,(G194-C195)*(1+'5-Roberta'!$C$4))</f>
        <v>240347.83782456245</v>
      </c>
      <c r="F195" s="18">
        <f>IF($A195&gt;'1-Input'!$B$26,D195,D195-'P-Parametri'!$B$8*(E195+D195)+MIN(MAX(E195,0),'P-Parametri'!$B$8*(E195+D195)))</f>
        <v>33242.0070309863</v>
      </c>
      <c r="G195" s="18">
        <f>IF($A195&gt;'1-Input'!$B$26,E195,E195-MIN(MAX(E195,0),'P-Parametri'!$B$8*(E195+D195)))</f>
        <v>239800.65813485134</v>
      </c>
      <c r="H195" s="18">
        <f>IF($A195&gt;'1-Input'!$B$26,H194,H194-C195*(1-B195))</f>
        <v>118047.22508331867</v>
      </c>
      <c r="I195" s="11">
        <f>IF($A195&gt;'1-Input'!$B$26,0,IF(N194&lt;=0,0,MAX(0,(N194-O194)/N194)))</f>
        <v>0.49268996913273894</v>
      </c>
      <c r="J195" s="18">
        <f>IF($A195&gt;'1-Input'!$B$26,0,(MAX(0,I176-IF($A195&gt;='1-Input'!$C$12,'1-Input'!$B$12,0))-MIN(MAX(M194,0),MAX(0,I176-IF($A195&gt;='1-Input'!$C$12,'1-Input'!$B$12,0))))*(1/(1-'P-Parametri'!$B$6*I195))+MIN(MAX(0,N194-(MAX(0,I176-IF($A195&gt;='1-Input'!$C$12,'1-Input'!$B$12,0))-MIN(MAX(M194,0),MAX(0,I176-IF($A195&gt;='1-Input'!$C$12,'1-Input'!$B$12,0))))*(1/(1-'P-Parametri'!$B$6*I195))),MAX(0,2*MAX(0,I176-IF($A195&gt;='1-Input'!$C$12,'1-Input'!$B$12,0))-(M194-MIN(MAX(M194,0),MAX(0,I176-IF($A195&gt;='1-Input'!$C$12,'1-Input'!$B$12,0)))))*(1/(1-'P-Parametri'!$B$6*I195))))</f>
        <v>25354.711121650627</v>
      </c>
      <c r="K195" s="18">
        <f>IF($A195&gt;'1-Input'!$B$26,M194,(M194-MAX(0,I176-IF($A195&gt;='1-Input'!$C$12,'1-Input'!$B$12,0))+J195*(1-'P-Parametri'!$B$6*I195))*(1+'1-Input'!$B$27))</f>
        <v>43739.482935508291</v>
      </c>
      <c r="L195" s="18">
        <f>IF($A195&gt;'1-Input'!$B$26,N194,(N194-J195)*(1+'5-Roberta'!$C$4))</f>
        <v>94422.728033953303</v>
      </c>
      <c r="M195" s="18">
        <f>IF($A195&gt;'1-Input'!$B$26,K195,K195-'P-Parametri'!$B$8*(L195+K195)+MIN(MAX(L195,0),'P-Parametri'!$B$8*(L195+K195)))</f>
        <v>43739.482935508291</v>
      </c>
      <c r="N195" s="18">
        <f>IF($A195&gt;'1-Input'!$B$26,L195,L195-MIN(MAX(L195,0),'P-Parametri'!$B$8*(L195+K195)))</f>
        <v>94146.403612014386</v>
      </c>
      <c r="O195" s="18">
        <f>IF($A195&gt;'1-Input'!$B$26,O194,O194-J195*(1-I195))</f>
        <v>46506.404925704701</v>
      </c>
      <c r="P195" s="11">
        <f>IF($A195&gt;'1-Input'!$B$26,0,IF(U194&lt;=0,0,MAX(0,(U194-V194)/U194)))</f>
        <v>0.49377175803512752</v>
      </c>
      <c r="Q195" s="18">
        <f>IF($A195&gt;'1-Input'!$B$26,0,(MAX(0,P176-IF($A195&gt;='1-Input'!$C$12,'1-Input'!$B$12,0))-MIN(MAX(T194,0),MAX(0,P176-IF($A195&gt;='1-Input'!$C$12,'1-Input'!$B$12,0))))*(1/(1-'P-Parametri'!$B$6*P195))+MIN(MAX(0,U194-(MAX(0,P176-IF($A195&gt;='1-Input'!$C$12,'1-Input'!$B$12,0))-MIN(MAX(T194,0),MAX(0,P176-IF($A195&gt;='1-Input'!$C$12,'1-Input'!$B$12,0))))*(1/(1-'P-Parametri'!$B$6*P195))),MAX(0,2*MAX(0,P176-IF($A195&gt;='1-Input'!$C$12,'1-Input'!$B$12,0))-(T194-MIN(MAX(T194,0),MAX(0,P176-IF($A195&gt;='1-Input'!$C$12,'1-Input'!$B$12,0)))))*(1/(1-'P-Parametri'!$B$6*P195))))</f>
        <v>21254.243510941862</v>
      </c>
      <c r="R195" s="18">
        <f>IF($A195&gt;'1-Input'!$B$26,T194,(T194-MAX(0,P176-IF($A195&gt;='1-Input'!$C$12,'1-Input'!$B$12,0))+Q195*(1-'P-Parametri'!$B$6*P195))*(1+'1-Input'!$B$27))</f>
        <v>36653.926862445645</v>
      </c>
      <c r="S195" s="18">
        <f>IF($A195&gt;'1-Input'!$B$26,U194,(U194-Q195)*(1+'5-Roberta'!$C$4))</f>
        <v>192911.59609294168</v>
      </c>
      <c r="T195" s="18">
        <f>IF($A195&gt;'1-Input'!$B$26,R195,R195-'P-Parametri'!$B$8*(S195+R195)+MIN(MAX(S195,0),'P-Parametri'!$B$8*(S195+R195)))</f>
        <v>36653.926862445645</v>
      </c>
      <c r="U195" s="18">
        <f>IF($A195&gt;'1-Input'!$B$26,S195,S195-MIN(MAX(S195,0),'P-Parametri'!$B$8*(S195+R195)))</f>
        <v>192452.46504703091</v>
      </c>
      <c r="V195" s="18">
        <f>IF($A195&gt;'1-Input'!$B$26,V194,V194-Q195*(1-P195))</f>
        <v>94812.910820162535</v>
      </c>
      <c r="W195" s="11">
        <f>IF($A195&gt;'1-Input'!$B$26,0,IF(AB194&lt;=0,0,MAX(0,(AB194-AC194)/AB194)))</f>
        <v>0.49382712352880076</v>
      </c>
      <c r="X195" s="18">
        <f>IF($A195&gt;'1-Input'!$B$26,0,(MAX(0,W176-IF($A195&gt;='1-Input'!$C$12,'1-Input'!$B$12,0))-MIN(MAX(AA194,0),MAX(0,W176-IF($A195&gt;='1-Input'!$C$12,'1-Input'!$B$12,0))))*(1/(1-'P-Parametri'!$B$6*W195))+MIN(MAX(0,AB194-(MAX(0,W176-IF($A195&gt;='1-Input'!$C$12,'1-Input'!$B$12,0))-MIN(MAX(AA194,0),MAX(0,W176-IF($A195&gt;='1-Input'!$C$12,'1-Input'!$B$12,0))))*(1/(1-'P-Parametri'!$B$6*W195))),MAX(0,2*MAX(0,W176-IF($A195&gt;='1-Input'!$C$12,'1-Input'!$B$12,0))-(AA194-MIN(MAX(AA194,0),MAX(0,W176-IF($A195&gt;='1-Input'!$C$12,'1-Input'!$B$12,0)))))*(1/(1-'P-Parametri'!$B$6*W195))))</f>
        <v>20962.344131289898</v>
      </c>
      <c r="Y195" s="18">
        <f>IF($A195&gt;'1-Input'!$B$26,AA194,(AA194-MAX(0,W176-IF($A195&gt;='1-Input'!$C$12,'1-Input'!$B$12,0))+X195*(1-'P-Parametri'!$B$6*W195))*(1+'1-Input'!$B$27))</f>
        <v>36149.93583347425</v>
      </c>
      <c r="Z195" s="18">
        <f>IF($A195&gt;'1-Input'!$B$26,AB194,(AB194-X195)*(1+'5-Roberta'!$C$4))</f>
        <v>199918.27813717973</v>
      </c>
      <c r="AA195" s="18">
        <f>IF($A195&gt;'1-Input'!$B$26,Y195,Y195-'P-Parametri'!$B$8*(Z195+Y195)+MIN(MAX(Z195,0),'P-Parametri'!$B$8*(Z195+Y195)))</f>
        <v>36149.93583347425</v>
      </c>
      <c r="AB195" s="18">
        <f>IF($A195&gt;'1-Input'!$B$26,Z195,Z195-MIN(MAX(Z195,0),'P-Parametri'!$B$8*(Z195+Y195)))</f>
        <v>199446.14170923844</v>
      </c>
      <c r="AC195" s="18">
        <f>IF($A195&gt;'1-Input'!$B$26,AC194,AC194-X195*(1-W195))</f>
        <v>98245.834858121874</v>
      </c>
      <c r="AD195" s="11">
        <f>IF($A195&gt;'1-Input'!$B$26,0,IF(AI194&lt;=0,0,MAX(0,(AI194-AJ194)/AI194)))</f>
        <v>0.49382853217216305</v>
      </c>
      <c r="AE195" s="18">
        <f>IF($A195&gt;'1-Input'!$B$26,0,(MAX(0,AD176-IF($A195&gt;='1-Input'!$C$12,'1-Input'!$B$12,0))-MIN(MAX(AH194,0),MAX(0,AD176-IF($A195&gt;='1-Input'!$C$12,'1-Input'!$B$12,0))))*(1/(1-'P-Parametri'!$B$6*AD195))+MIN(MAX(0,AI194-(MAX(0,AD176-IF($A195&gt;='1-Input'!$C$12,'1-Input'!$B$12,0))-MIN(MAX(AH194,0),MAX(0,AD176-IF($A195&gt;='1-Input'!$C$12,'1-Input'!$B$12,0))))*(1/(1-'P-Parametri'!$B$6*AD195))),MAX(0,2*MAX(0,AD176-IF($A195&gt;='1-Input'!$C$12,'1-Input'!$B$12,0))-(AH194-MIN(MAX(AH194,0),MAX(0,AD176-IF($A195&gt;='1-Input'!$C$12,'1-Input'!$B$12,0)))))*(1/(1-'P-Parametri'!$B$6*AD195))))</f>
        <v>20954.785476830224</v>
      </c>
      <c r="AF195" s="18">
        <f>IF($A195&gt;'1-Input'!$B$26,AH194,(AH194-MAX(0,AD176-IF($A195&gt;='1-Input'!$C$12,'1-Input'!$B$12,0))+AE195*(1-'P-Parametri'!$B$6*AD195))*(1+'1-Input'!$B$27))</f>
        <v>36136.885614545507</v>
      </c>
      <c r="AG195" s="18">
        <f>IF($A195&gt;'1-Input'!$B$26,AI194,(AI194-AE195)*(1+'5-Roberta'!$C$4))</f>
        <v>200099.70916127117</v>
      </c>
      <c r="AH195" s="18">
        <f>IF($A195&gt;'1-Input'!$B$26,AF195,AF195-'P-Parametri'!$B$8*(AG195+AF195)+MIN(MAX(AG195,0),'P-Parametri'!$B$8*(AG195+AF195)))</f>
        <v>36136.885614545507</v>
      </c>
      <c r="AI195" s="18">
        <f>IF($A195&gt;'1-Input'!$B$26,AG195,AG195-MIN(MAX(AG195,0),'P-Parametri'!$B$8*(AG195+AF195)))</f>
        <v>199627.23597171952</v>
      </c>
      <c r="AJ195" s="18">
        <f>IF($A195&gt;'1-Input'!$B$26,AJ194,AJ194-AE195*(1-AD195))</f>
        <v>98334.721842799903</v>
      </c>
      <c r="AK195" s="11">
        <f>IF($A195&gt;'1-Input'!$B$26,0,IF(AP194&lt;=0,0,MAX(0,(AP194-AQ194)/AP194)))</f>
        <v>0.49382850864165012</v>
      </c>
      <c r="AL195" s="18">
        <f>IF($A195&gt;'1-Input'!$B$26,0,(MAX(0,AK176-IF($A195&gt;='1-Input'!$C$12,'1-Input'!$B$12,0))-MIN(MAX(AO194,0),MAX(0,AK176-IF($A195&gt;='1-Input'!$C$12,'1-Input'!$B$12,0))))*(1/(1-'P-Parametri'!$B$6*AK195))+MIN(MAX(0,AP194-(MAX(0,AK176-IF($A195&gt;='1-Input'!$C$12,'1-Input'!$B$12,0))-MIN(MAX(AO194,0),MAX(0,AK176-IF($A195&gt;='1-Input'!$C$12,'1-Input'!$B$12,0))))*(1/(1-'P-Parametri'!$B$6*AK195))),MAX(0,2*MAX(0,AK176-IF($A195&gt;='1-Input'!$C$12,'1-Input'!$B$12,0))-(AO194-MIN(MAX(AO194,0),MAX(0,AK176-IF($A195&gt;='1-Input'!$C$12,'1-Input'!$B$12,0)))))*(1/(1-'P-Parametri'!$B$6*AK195))))</f>
        <v>20954.911793932108</v>
      </c>
      <c r="AM195" s="18">
        <f>IF($A195&gt;'1-Input'!$B$26,AO194,(AO194-MAX(0,AK176-IF($A195&gt;='1-Input'!$C$12,'1-Input'!$B$12,0))+AL195*(1-'P-Parametri'!$B$6*AK195))*(1+'1-Input'!$B$27))</f>
        <v>36137.103704198264</v>
      </c>
      <c r="AN195" s="18">
        <f>IF($A195&gt;'1-Input'!$B$26,AP194,(AP194-AL195)*(1+'5-Roberta'!$C$4))</f>
        <v>200096.67716322374</v>
      </c>
      <c r="AO195" s="18">
        <f>IF($A195&gt;'1-Input'!$B$26,AM195,AM195-'P-Parametri'!$B$8*(AN195+AM195)+MIN(MAX(AN195,0),'P-Parametri'!$B$8*(AN195+AM195)))</f>
        <v>36137.103704198264</v>
      </c>
      <c r="AP195" s="18">
        <f>IF($A195&gt;'1-Input'!$B$26,AN195,AN195-MIN(MAX(AN195,0),'P-Parametri'!$B$8*(AN195+AM195)))</f>
        <v>199624.2096014889</v>
      </c>
      <c r="AQ195" s="18">
        <f>IF($A195&gt;'1-Input'!$B$26,AQ194,AQ194-AL195*(1-AK195))</f>
        <v>98333.236403455565</v>
      </c>
    </row>
    <row r="196" spans="1:43">
      <c r="A196" s="10">
        <f>18</f>
        <v>18</v>
      </c>
      <c r="B196" s="11">
        <f>IF($A196&gt;'1-Input'!$B$26,0,IF(G195&lt;=0,0,MAX(0,(G195-H195)/G195)))</f>
        <v>0.50772768514698952</v>
      </c>
      <c r="C196" s="18">
        <f>IF($A196&gt;'1-Input'!$B$26,0,(MAX(0,B176-IF($A196&gt;='1-Input'!$C$12,'1-Input'!$B$12,0))-MIN(MAX(F195,0),MAX(0,B176-IF($A196&gt;='1-Input'!$C$12,'1-Input'!$B$12,0))))*(1/(1-'P-Parametri'!$B$6*B196))+MIN(MAX(0,G195-(MAX(0,B176-IF($A196&gt;='1-Input'!$C$12,'1-Input'!$B$12,0))-MIN(MAX(F195,0),MAX(0,B176-IF($A196&gt;='1-Input'!$C$12,'1-Input'!$B$12,0))))*(1/(1-'P-Parametri'!$B$6*B196))),MAX(0,2*MAX(0,B176-IF($A196&gt;='1-Input'!$C$12,'1-Input'!$B$12,0))-(F195-MIN(MAX(F195,0),MAX(0,B176-IF($A196&gt;='1-Input'!$C$12,'1-Input'!$B$12,0)))))*(1/(1-'P-Parametri'!$B$6*B196))))</f>
        <v>19356.37898103728</v>
      </c>
      <c r="D196" s="18">
        <f>IF($A196&gt;'1-Input'!$B$26,F195,(F195-MAX(0,B176-IF($A196&gt;='1-Input'!$C$12,'1-Input'!$B$12,0))+C196*(1-'P-Parametri'!$B$6*B196))*(1+'1-Input'!$B$27))</f>
        <v>33242.0070309863</v>
      </c>
      <c r="E196" s="18">
        <f>IF($A196&gt;'1-Input'!$B$26,G195,(G195-C196)*(1+'5-Roberta'!$C$4))</f>
        <v>227057.60752842849</v>
      </c>
      <c r="F196" s="18">
        <f>IF($A196&gt;'1-Input'!$B$26,D196,D196-'P-Parametri'!$B$8*(E196+D196)+MIN(MAX(E196,0),'P-Parametri'!$B$8*(E196+D196)))</f>
        <v>33242.0070309863</v>
      </c>
      <c r="G196" s="18">
        <f>IF($A196&gt;'1-Input'!$B$26,E196,E196-MIN(MAX(E196,0),'P-Parametri'!$B$8*(E196+D196)))</f>
        <v>226537.00829930967</v>
      </c>
      <c r="H196" s="18">
        <f>IF($A196&gt;'1-Input'!$B$26,H195,H195-C196*(1-B196))</f>
        <v>108518.61559515129</v>
      </c>
      <c r="I196" s="11">
        <f>IF($A196&gt;'1-Input'!$B$26,0,IF(N195&lt;=0,0,MAX(0,(N195-O195)/N195)))</f>
        <v>0.50602037739687133</v>
      </c>
      <c r="J196" s="18">
        <f>IF($A196&gt;'1-Input'!$B$26,0,(MAX(0,I176-IF($A196&gt;='1-Input'!$C$12,'1-Input'!$B$12,0))-MIN(MAX(M195,0),MAX(0,I176-IF($A196&gt;='1-Input'!$C$12,'1-Input'!$B$12,0))))*(1/(1-'P-Parametri'!$B$6*I196))+MIN(MAX(0,N195-(MAX(0,I176-IF($A196&gt;='1-Input'!$C$12,'1-Input'!$B$12,0))-MIN(MAX(M195,0),MAX(0,I176-IF($A196&gt;='1-Input'!$C$12,'1-Input'!$B$12,0))))*(1/(1-'P-Parametri'!$B$6*I196))),MAX(0,2*MAX(0,I176-IF($A196&gt;='1-Input'!$C$12,'1-Input'!$B$12,0))-(M195-MIN(MAX(M195,0),MAX(0,I176-IF($A196&gt;='1-Input'!$C$12,'1-Input'!$B$12,0)))))*(1/(1-'P-Parametri'!$B$6*I196))))</f>
        <v>25455.901284807944</v>
      </c>
      <c r="K196" s="18">
        <f>IF($A196&gt;'1-Input'!$B$26,M195,(M195-MAX(0,I176-IF($A196&gt;='1-Input'!$C$12,'1-Input'!$B$12,0))+J196*(1-'P-Parametri'!$B$6*I196))*(1+'1-Input'!$B$27))</f>
        <v>43739.482935508291</v>
      </c>
      <c r="L196" s="18">
        <f>IF($A196&gt;'1-Input'!$B$26,N195,(N195-J196)*(1+'5-Roberta'!$C$4))</f>
        <v>70751.217397022643</v>
      </c>
      <c r="M196" s="18">
        <f>IF($A196&gt;'1-Input'!$B$26,K196,K196-'P-Parametri'!$B$8*(L196+K196)+MIN(MAX(L196,0),'P-Parametri'!$B$8*(L196+K196)))</f>
        <v>43739.482935508291</v>
      </c>
      <c r="N196" s="18">
        <f>IF($A196&gt;'1-Input'!$B$26,L196,L196-MIN(MAX(L196,0),'P-Parametri'!$B$8*(L196+K196)))</f>
        <v>70522.235996357587</v>
      </c>
      <c r="O196" s="18">
        <f>IF($A196&gt;'1-Input'!$B$26,O195,O195-J196*(1-I196))</f>
        <v>33931.708416012771</v>
      </c>
      <c r="P196" s="11">
        <f>IF($A196&gt;'1-Input'!$B$26,0,IF(U195&lt;=0,0,MAX(0,(U195-V195)/U195)))</f>
        <v>0.50734374435270313</v>
      </c>
      <c r="Q196" s="18">
        <f>IF($A196&gt;'1-Input'!$B$26,0,(MAX(0,P176-IF($A196&gt;='1-Input'!$C$12,'1-Input'!$B$12,0))-MIN(MAX(T195,0),MAX(0,P176-IF($A196&gt;='1-Input'!$C$12,'1-Input'!$B$12,0))))*(1/(1-'P-Parametri'!$B$6*P196))+MIN(MAX(0,U195-(MAX(0,P176-IF($A196&gt;='1-Input'!$C$12,'1-Input'!$B$12,0))-MIN(MAX(T195,0),MAX(0,P176-IF($A196&gt;='1-Input'!$C$12,'1-Input'!$B$12,0))))*(1/(1-'P-Parametri'!$B$6*P196))),MAX(0,2*MAX(0,P176-IF($A196&gt;='1-Input'!$C$12,'1-Input'!$B$12,0))-(T195-MIN(MAX(T195,0),MAX(0,P176-IF($A196&gt;='1-Input'!$C$12,'1-Input'!$B$12,0)))))*(1/(1-'P-Parametri'!$B$6*P196))))</f>
        <v>21340.640249098764</v>
      </c>
      <c r="R196" s="18">
        <f>IF($A196&gt;'1-Input'!$B$26,T195,(T195-MAX(0,P176-IF($A196&gt;='1-Input'!$C$12,'1-Input'!$B$12,0))+Q196*(1-'P-Parametri'!$B$6*P196))*(1+'1-Input'!$B$27))</f>
        <v>36653.926862445645</v>
      </c>
      <c r="S196" s="18">
        <f>IF($A196&gt;'1-Input'!$B$26,U195,(U195-Q196)*(1+'5-Roberta'!$C$4))</f>
        <v>176245.17954187011</v>
      </c>
      <c r="T196" s="18">
        <f>IF($A196&gt;'1-Input'!$B$26,R196,R196-'P-Parametri'!$B$8*(S196+R196)+MIN(MAX(S196,0),'P-Parametri'!$B$8*(S196+R196)))</f>
        <v>36653.926862445645</v>
      </c>
      <c r="U196" s="18">
        <f>IF($A196&gt;'1-Input'!$B$26,S196,S196-MIN(MAX(S196,0),'P-Parametri'!$B$8*(S196+R196)))</f>
        <v>175819.38132906146</v>
      </c>
      <c r="V196" s="18">
        <f>IF($A196&gt;'1-Input'!$B$26,V195,V195-Q196*(1-P196))</f>
        <v>84299.310901925535</v>
      </c>
      <c r="W196" s="11">
        <f>IF($A196&gt;'1-Input'!$B$26,0,IF(AB195&lt;=0,0,MAX(0,(AB195-AC195)/AB195)))</f>
        <v>0.50740669126931981</v>
      </c>
      <c r="X196" s="18">
        <f>IF($A196&gt;'1-Input'!$B$26,0,(MAX(0,W176-IF($A196&gt;='1-Input'!$C$12,'1-Input'!$B$12,0))-MIN(MAX(AA195,0),MAX(0,W176-IF($A196&gt;='1-Input'!$C$12,'1-Input'!$B$12,0))))*(1/(1-'P-Parametri'!$B$6*W196))+MIN(MAX(0,AB195-(MAX(0,W176-IF($A196&gt;='1-Input'!$C$12,'1-Input'!$B$12,0))-MIN(MAX(AA195,0),MAX(0,W176-IF($A196&gt;='1-Input'!$C$12,'1-Input'!$B$12,0))))*(1/(1-'P-Parametri'!$B$6*W196))),MAX(0,2*MAX(0,W176-IF($A196&gt;='1-Input'!$C$12,'1-Input'!$B$12,0))-(AA195-MIN(MAX(AA195,0),MAX(0,W176-IF($A196&gt;='1-Input'!$C$12,'1-Input'!$B$12,0)))))*(1/(1-'P-Parametri'!$B$6*W196))))</f>
        <v>21047.603529179458</v>
      </c>
      <c r="Y196" s="18">
        <f>IF($A196&gt;'1-Input'!$B$26,AA195,(AA195-MAX(0,W176-IF($A196&gt;='1-Input'!$C$12,'1-Input'!$B$12,0))+X196*(1-'P-Parametri'!$B$6*W196))*(1+'1-Input'!$B$27))</f>
        <v>36149.93583347425</v>
      </c>
      <c r="Z196" s="18">
        <f>IF($A196&gt;'1-Input'!$B$26,AB195,(AB195-X196)*(1+'5-Roberta'!$C$4))</f>
        <v>183750.49432546075</v>
      </c>
      <c r="AA196" s="18">
        <f>IF($A196&gt;'1-Input'!$B$26,Y196,Y196-'P-Parametri'!$B$8*(Z196+Y196)+MIN(MAX(Z196,0),'P-Parametri'!$B$8*(Z196+Y196)))</f>
        <v>36149.93583347425</v>
      </c>
      <c r="AB196" s="18">
        <f>IF($A196&gt;'1-Input'!$B$26,Z196,Z196-MIN(MAX(Z196,0),'P-Parametri'!$B$8*(Z196+Y196)))</f>
        <v>183310.69346514289</v>
      </c>
      <c r="AC196" s="18">
        <f>IF($A196&gt;'1-Input'!$B$26,AC195,AC195-X196*(1-W196))</f>
        <v>87877.926194831816</v>
      </c>
      <c r="AD196" s="11">
        <f>IF($A196&gt;'1-Input'!$B$26,0,IF(AI195&lt;=0,0,MAX(0,(AI195-AJ195)/AI195)))</f>
        <v>0.50740828843249308</v>
      </c>
      <c r="AE196" s="18">
        <f>IF($A196&gt;'1-Input'!$B$26,0,(MAX(0,AD176-IF($A196&gt;='1-Input'!$C$12,'1-Input'!$B$12,0))-MIN(MAX(AH195,0),MAX(0,AD176-IF($A196&gt;='1-Input'!$C$12,'1-Input'!$B$12,0))))*(1/(1-'P-Parametri'!$B$6*AD196))+MIN(MAX(0,AI195-(MAX(0,AD176-IF($A196&gt;='1-Input'!$C$12,'1-Input'!$B$12,0))-MIN(MAX(AH195,0),MAX(0,AD176-IF($A196&gt;='1-Input'!$C$12,'1-Input'!$B$12,0))))*(1/(1-'P-Parametri'!$B$6*AD196))),MAX(0,2*MAX(0,AD176-IF($A196&gt;='1-Input'!$C$12,'1-Input'!$B$12,0))-(AH195-MIN(MAX(AH195,0),MAX(0,AD176-IF($A196&gt;='1-Input'!$C$12,'1-Input'!$B$12,0)))))*(1/(1-'P-Parametri'!$B$6*AD196))))</f>
        <v>21040.015355640473</v>
      </c>
      <c r="AF196" s="18">
        <f>IF($A196&gt;'1-Input'!$B$26,AH195,(AH195-MAX(0,AD176-IF($A196&gt;='1-Input'!$C$12,'1-Input'!$B$12,0))+AE196*(1-'P-Parametri'!$B$6*AD196))*(1+'1-Input'!$B$27))</f>
        <v>36136.885614545499</v>
      </c>
      <c r="AG196" s="18">
        <f>IF($A196&gt;'1-Input'!$B$26,AI195,(AI195-AE196)*(1+'5-Roberta'!$C$4))</f>
        <v>183944.83723456142</v>
      </c>
      <c r="AH196" s="18">
        <f>IF($A196&gt;'1-Input'!$B$26,AF196,AF196-'P-Parametri'!$B$8*(AG196+AF196)+MIN(MAX(AG196,0),'P-Parametri'!$B$8*(AG196+AF196)))</f>
        <v>36136.885614545499</v>
      </c>
      <c r="AI196" s="18">
        <f>IF($A196&gt;'1-Input'!$B$26,AG196,AG196-MIN(MAX(AG196,0),'P-Parametri'!$B$8*(AG196+AF196)))</f>
        <v>183504.67378886321</v>
      </c>
      <c r="AJ196" s="18">
        <f>IF($A196&gt;'1-Input'!$B$26,AJ195,AJ195-AE196*(1-AD196))</f>
        <v>87970.584667358329</v>
      </c>
      <c r="AK196" s="11">
        <f>IF($A196&gt;'1-Input'!$B$26,0,IF(AP195&lt;=0,0,MAX(0,(AP195-AQ195)/AP195)))</f>
        <v>0.50740826175462961</v>
      </c>
      <c r="AL196" s="18">
        <f>IF($A196&gt;'1-Input'!$B$26,0,(MAX(0,AK176-IF($A196&gt;='1-Input'!$C$12,'1-Input'!$B$12,0))-MIN(MAX(AO195,0),MAX(0,AK176-IF($A196&gt;='1-Input'!$C$12,'1-Input'!$B$12,0))))*(1/(1-'P-Parametri'!$B$6*AK196))+MIN(MAX(0,AP195-(MAX(0,AK176-IF($A196&gt;='1-Input'!$C$12,'1-Input'!$B$12,0))-MIN(MAX(AO195,0),MAX(0,AK176-IF($A196&gt;='1-Input'!$C$12,'1-Input'!$B$12,0))))*(1/(1-'P-Parametri'!$B$6*AK196))),MAX(0,2*MAX(0,AK176-IF($A196&gt;='1-Input'!$C$12,'1-Input'!$B$12,0))-(AO195-MIN(MAX(AO195,0),MAX(0,AK176-IF($A196&gt;='1-Input'!$C$12,'1-Input'!$B$12,0)))))*(1/(1-'P-Parametri'!$B$6*AK196))))</f>
        <v>21040.142166080106</v>
      </c>
      <c r="AM196" s="18">
        <f>IF($A196&gt;'1-Input'!$B$26,AO195,(AO195-MAX(0,AK176-IF($A196&gt;='1-Input'!$C$12,'1-Input'!$B$12,0))+AL196*(1-'P-Parametri'!$B$6*AK196))*(1+'1-Input'!$B$27))</f>
        <v>36137.103704198264</v>
      </c>
      <c r="AN196" s="18">
        <f>IF($A196&gt;'1-Input'!$B$26,AP195,(AP195-AL196)*(1+'5-Roberta'!$C$4))</f>
        <v>183941.58945847108</v>
      </c>
      <c r="AO196" s="18">
        <f>IF($A196&gt;'1-Input'!$B$26,AM196,AM196-'P-Parametri'!$B$8*(AN196+AM196)+MIN(MAX(AN196,0),'P-Parametri'!$B$8*(AN196+AM196)))</f>
        <v>36137.103704198264</v>
      </c>
      <c r="AP196" s="18">
        <f>IF($A196&gt;'1-Input'!$B$26,AN196,AN196-MIN(MAX(AN196,0),'P-Parametri'!$B$8*(AN196+AM196)))</f>
        <v>183501.43207214575</v>
      </c>
      <c r="AQ196" s="18">
        <f>IF($A196&gt;'1-Input'!$B$26,AQ195,AQ195-AL196*(1-AK196))</f>
        <v>87969.036200936447</v>
      </c>
    </row>
    <row r="197" spans="1:43">
      <c r="A197" s="10">
        <f>19</f>
        <v>19</v>
      </c>
      <c r="B197" s="11">
        <f>IF($A197&gt;'1-Input'!$B$26,0,IF(G196&lt;=0,0,MAX(0,(G196-H196)/G196)))</f>
        <v>0.52096738449122537</v>
      </c>
      <c r="C197" s="18">
        <f>IF($A197&gt;'1-Input'!$B$26,0,(MAX(0,B176-IF($A197&gt;='1-Input'!$C$12,'1-Input'!$B$12,0))-MIN(MAX(F196,0),MAX(0,B176-IF($A197&gt;='1-Input'!$C$12,'1-Input'!$B$12,0))))*(1/(1-'P-Parametri'!$B$6*B197))+MIN(MAX(0,G196-(MAX(0,B176-IF($A197&gt;='1-Input'!$C$12,'1-Input'!$B$12,0))-MIN(MAX(F196,0),MAX(0,B176-IF($A197&gt;='1-Input'!$C$12,'1-Input'!$B$12,0))))*(1/(1-'P-Parametri'!$B$6*B197))),MAX(0,2*MAX(0,B176-IF($A197&gt;='1-Input'!$C$12,'1-Input'!$B$12,0))-(F196-MIN(MAX(F196,0),MAX(0,B176-IF($A197&gt;='1-Input'!$C$12,'1-Input'!$B$12,0)))))*(1/(1-'P-Parametri'!$B$6*B197))))</f>
        <v>19433.449136668161</v>
      </c>
      <c r="D197" s="18">
        <f>IF($A197&gt;'1-Input'!$B$26,F196,(F196-MAX(0,B176-IF($A197&gt;='1-Input'!$C$12,'1-Input'!$B$12,0))+C197*(1-'P-Parametri'!$B$6*B197))*(1+'1-Input'!$B$27))</f>
        <v>33242.0070309863</v>
      </c>
      <c r="E197" s="18">
        <f>IF($A197&gt;'1-Input'!$B$26,G196,(G196-C197)*(1+'5-Roberta'!$C$4))</f>
        <v>213316.66593752077</v>
      </c>
      <c r="F197" s="18">
        <f>IF($A197&gt;'1-Input'!$B$26,D197,D197-'P-Parametri'!$B$8*(E197+D197)+MIN(MAX(E197,0),'P-Parametri'!$B$8*(E197+D197)))</f>
        <v>33242.0070309863</v>
      </c>
      <c r="G197" s="18">
        <f>IF($A197&gt;'1-Input'!$B$26,E197,E197-MIN(MAX(E197,0),'P-Parametri'!$B$8*(E197+D197)))</f>
        <v>212823.54859158376</v>
      </c>
      <c r="H197" s="18">
        <f>IF($A197&gt;'1-Input'!$B$26,H196,H196-C197*(1-B197))</f>
        <v>99209.3596268564</v>
      </c>
      <c r="I197" s="11">
        <f>IF($A197&gt;'1-Input'!$B$26,0,IF(N196&lt;=0,0,MAX(0,(N196-O196)/N196)))</f>
        <v>0.51885092784401621</v>
      </c>
      <c r="J197" s="18">
        <f>IF($A197&gt;'1-Input'!$B$26,0,(MAX(0,I176-IF($A197&gt;='1-Input'!$C$12,'1-Input'!$B$12,0))-MIN(MAX(M196,0),MAX(0,I176-IF($A197&gt;='1-Input'!$C$12,'1-Input'!$B$12,0))))*(1/(1-'P-Parametri'!$B$6*I197))+MIN(MAX(0,N196-(MAX(0,I176-IF($A197&gt;='1-Input'!$C$12,'1-Input'!$B$12,0))-MIN(MAX(M196,0),MAX(0,I176-IF($A197&gt;='1-Input'!$C$12,'1-Input'!$B$12,0))))*(1/(1-'P-Parametri'!$B$6*I197))),MAX(0,2*MAX(0,I176-IF($A197&gt;='1-Input'!$C$12,'1-Input'!$B$12,0))-(M196-MIN(MAX(M196,0),MAX(0,I176-IF($A197&gt;='1-Input'!$C$12,'1-Input'!$B$12,0)))))*(1/(1-'P-Parametri'!$B$6*I197))))</f>
        <v>25554.062838964903</v>
      </c>
      <c r="K197" s="18">
        <f>IF($A197&gt;'1-Input'!$B$26,M196,(M196-MAX(0,I176-IF($A197&gt;='1-Input'!$C$12,'1-Input'!$B$12,0))+J197*(1-'P-Parametri'!$B$6*I197))*(1+'1-Input'!$B$27))</f>
        <v>43739.482935508291</v>
      </c>
      <c r="L197" s="18">
        <f>IF($A197&gt;'1-Input'!$B$26,N196,(N196-J197)*(1+'5-Roberta'!$C$4))</f>
        <v>46317.218352114462</v>
      </c>
      <c r="M197" s="18">
        <f>IF($A197&gt;'1-Input'!$B$26,K197,K197-'P-Parametri'!$B$8*(L197+K197)+MIN(MAX(L197,0),'P-Parametri'!$B$8*(L197+K197)))</f>
        <v>43739.482935508291</v>
      </c>
      <c r="N197" s="18">
        <f>IF($A197&gt;'1-Input'!$B$26,L197,L197-MIN(MAX(L197,0),'P-Parametri'!$B$8*(L197+K197)))</f>
        <v>46137.104949539214</v>
      </c>
      <c r="O197" s="18">
        <f>IF($A197&gt;'1-Input'!$B$26,O196,O196-J197*(1-I197))</f>
        <v>21636.394791229104</v>
      </c>
      <c r="P197" s="11">
        <f>IF($A197&gt;'1-Input'!$B$26,0,IF(U196&lt;=0,0,MAX(0,(U196-V196)/U196)))</f>
        <v>0.52053459485133813</v>
      </c>
      <c r="Q197" s="18">
        <f>IF($A197&gt;'1-Input'!$B$26,0,(MAX(0,P176-IF($A197&gt;='1-Input'!$C$12,'1-Input'!$B$12,0))-MIN(MAX(T196,0),MAX(0,P176-IF($A197&gt;='1-Input'!$C$12,'1-Input'!$B$12,0))))*(1/(1-'P-Parametri'!$B$6*P197))+MIN(MAX(0,U196-(MAX(0,P176-IF($A197&gt;='1-Input'!$C$12,'1-Input'!$B$12,0))-MIN(MAX(T196,0),MAX(0,P176-IF($A197&gt;='1-Input'!$C$12,'1-Input'!$B$12,0))))*(1/(1-'P-Parametri'!$B$6*P197))),MAX(0,2*MAX(0,P176-IF($A197&gt;='1-Input'!$C$12,'1-Input'!$B$12,0))-(T196-MIN(MAX(T196,0),MAX(0,P176-IF($A197&gt;='1-Input'!$C$12,'1-Input'!$B$12,0)))))*(1/(1-'P-Parametri'!$B$6*P197))))</f>
        <v>21425.286498052476</v>
      </c>
      <c r="R197" s="18">
        <f>IF($A197&gt;'1-Input'!$B$26,T196,(T196-MAX(0,P176-IF($A197&gt;='1-Input'!$C$12,'1-Input'!$B$12,0))+Q197*(1-'P-Parametri'!$B$6*P197))*(1+'1-Input'!$B$27))</f>
        <v>36653.926862445645</v>
      </c>
      <c r="S197" s="18">
        <f>IF($A197&gt;'1-Input'!$B$26,U196,(U196-Q197)*(1+'5-Roberta'!$C$4))</f>
        <v>159025.91767593927</v>
      </c>
      <c r="T197" s="18">
        <f>IF($A197&gt;'1-Input'!$B$26,R197,R197-'P-Parametri'!$B$8*(S197+R197)+MIN(MAX(S197,0),'P-Parametri'!$B$8*(S197+R197)))</f>
        <v>36653.926862445645</v>
      </c>
      <c r="U197" s="18">
        <f>IF($A197&gt;'1-Input'!$B$26,S197,S197-MIN(MAX(S197,0),'P-Parametri'!$B$8*(S197+R197)))</f>
        <v>158634.55798686249</v>
      </c>
      <c r="V197" s="18">
        <f>IF($A197&gt;'1-Input'!$B$26,V196,V196-Q197*(1-P197))</f>
        <v>74026.627230710656</v>
      </c>
      <c r="W197" s="11">
        <f>IF($A197&gt;'1-Input'!$B$26,0,IF(AB196&lt;=0,0,MAX(0,(AB196-AC196)/AB196)))</f>
        <v>0.52060665674399353</v>
      </c>
      <c r="X197" s="18">
        <f>IF($A197&gt;'1-Input'!$B$26,0,(MAX(0,W176-IF($A197&gt;='1-Input'!$C$12,'1-Input'!$B$12,0))-MIN(MAX(AA196,0),MAX(0,W176-IF($A197&gt;='1-Input'!$C$12,'1-Input'!$B$12,0))))*(1/(1-'P-Parametri'!$B$6*W197))+MIN(MAX(0,AB196-(MAX(0,W176-IF($A197&gt;='1-Input'!$C$12,'1-Input'!$B$12,0))-MIN(MAX(AA196,0),MAX(0,W176-IF($A197&gt;='1-Input'!$C$12,'1-Input'!$B$12,0))))*(1/(1-'P-Parametri'!$B$6*W197))),MAX(0,2*MAX(0,W176-IF($A197&gt;='1-Input'!$C$12,'1-Input'!$B$12,0))-(AA196-MIN(MAX(AA196,0),MAX(0,W176-IF($A197&gt;='1-Input'!$C$12,'1-Input'!$B$12,0)))))*(1/(1-'P-Parametri'!$B$6*W197))))</f>
        <v>21131.146965518154</v>
      </c>
      <c r="Y197" s="18">
        <f>IF($A197&gt;'1-Input'!$B$26,AA196,(AA196-MAX(0,W176-IF($A197&gt;='1-Input'!$C$12,'1-Input'!$B$12,0))+X197*(1-'P-Parametri'!$B$6*W197))*(1+'1-Input'!$B$27))</f>
        <v>36149.93583347425</v>
      </c>
      <c r="Z197" s="18">
        <f>IF($A197&gt;'1-Input'!$B$26,AB196,(AB196-X197)*(1+'5-Roberta'!$C$4))</f>
        <v>167044.93289461348</v>
      </c>
      <c r="AA197" s="18">
        <f>IF($A197&gt;'1-Input'!$B$26,Y197,Y197-'P-Parametri'!$B$8*(Z197+Y197)+MIN(MAX(Z197,0),'P-Parametri'!$B$8*(Z197+Y197)))</f>
        <v>36149.93583347425</v>
      </c>
      <c r="AB197" s="18">
        <f>IF($A197&gt;'1-Input'!$B$26,Z197,Z197-MIN(MAX(Z197,0),'P-Parametri'!$B$8*(Z197+Y197)))</f>
        <v>166638.54315715731</v>
      </c>
      <c r="AC197" s="18">
        <f>IF($A197&gt;'1-Input'!$B$26,AC196,AC196-X197*(1-W197))</f>
        <v>77747.795004198051</v>
      </c>
      <c r="AD197" s="11">
        <f>IF($A197&gt;'1-Input'!$B$26,0,IF(AI196&lt;=0,0,MAX(0,(AI196-AJ196)/AI196)))</f>
        <v>0.52060847905936436</v>
      </c>
      <c r="AE197" s="18">
        <f>IF($A197&gt;'1-Input'!$B$26,0,(MAX(0,AD176-IF($A197&gt;='1-Input'!$C$12,'1-Input'!$B$12,0))-MIN(MAX(AH196,0),MAX(0,AD176-IF($A197&gt;='1-Input'!$C$12,'1-Input'!$B$12,0))))*(1/(1-'P-Parametri'!$B$6*AD197))+MIN(MAX(0,AI196-(MAX(0,AD176-IF($A197&gt;='1-Input'!$C$12,'1-Input'!$B$12,0))-MIN(MAX(AH196,0),MAX(0,AD176-IF($A197&gt;='1-Input'!$C$12,'1-Input'!$B$12,0))))*(1/(1-'P-Parametri'!$B$6*AD197))),MAX(0,2*MAX(0,AD176-IF($A197&gt;='1-Input'!$C$12,'1-Input'!$B$12,0))-(AH196-MIN(MAX(AH196,0),MAX(0,AD176-IF($A197&gt;='1-Input'!$C$12,'1-Input'!$B$12,0)))))*(1/(1-'P-Parametri'!$B$6*AD197))))</f>
        <v>21123.530142789339</v>
      </c>
      <c r="AF197" s="18">
        <f>IF($A197&gt;'1-Input'!$B$26,AH196,(AH196-MAX(0,AD176-IF($A197&gt;='1-Input'!$C$12,'1-Input'!$B$12,0))+AE197*(1-'P-Parametri'!$B$6*AD197))*(1+'1-Input'!$B$27))</f>
        <v>36136.885614545514</v>
      </c>
      <c r="AG197" s="18">
        <f>IF($A197&gt;'1-Input'!$B$26,AI196,(AI196-AE197)*(1+'5-Roberta'!$C$4))</f>
        <v>167252.5779554561</v>
      </c>
      <c r="AH197" s="18">
        <f>IF($A197&gt;'1-Input'!$B$26,AF197,AF197-'P-Parametri'!$B$8*(AG197+AF197)+MIN(MAX(AG197,0),'P-Parametri'!$B$8*(AG197+AF197)))</f>
        <v>36136.885614545514</v>
      </c>
      <c r="AI197" s="18">
        <f>IF($A197&gt;'1-Input'!$B$26,AG197,AG197-MIN(MAX(AG197,0),'P-Parametri'!$B$8*(AG197+AF197)))</f>
        <v>166845.79902831611</v>
      </c>
      <c r="AJ197" s="18">
        <f>IF($A197&gt;'1-Input'!$B$26,AJ196,AJ196-AE197*(1-AD197))</f>
        <v>77844.143424571186</v>
      </c>
      <c r="AK197" s="11">
        <f>IF($A197&gt;'1-Input'!$B$26,0,IF(AP196&lt;=0,0,MAX(0,(AP196-AQ196)/AP196)))</f>
        <v>0.52060844862316724</v>
      </c>
      <c r="AL197" s="18">
        <f>IF($A197&gt;'1-Input'!$B$26,0,(MAX(0,AK176-IF($A197&gt;='1-Input'!$C$12,'1-Input'!$B$12,0))-MIN(MAX(AO196,0),MAX(0,AK176-IF($A197&gt;='1-Input'!$C$12,'1-Input'!$B$12,0))))*(1/(1-'P-Parametri'!$B$6*AK197))+MIN(MAX(0,AP196-(MAX(0,AK176-IF($A197&gt;='1-Input'!$C$12,'1-Input'!$B$12,0))-MIN(MAX(AO196,0),MAX(0,AK176-IF($A197&gt;='1-Input'!$C$12,'1-Input'!$B$12,0))))*(1/(1-'P-Parametri'!$B$6*AK197))),MAX(0,2*MAX(0,AK176-IF($A197&gt;='1-Input'!$C$12,'1-Input'!$B$12,0))-(AO196-MIN(MAX(AO196,0),MAX(0,AK176-IF($A197&gt;='1-Input'!$C$12,'1-Input'!$B$12,0)))))*(1/(1-'P-Parametri'!$B$6*AK197))))</f>
        <v>21123.657432038908</v>
      </c>
      <c r="AM197" s="18">
        <f>IF($A197&gt;'1-Input'!$B$26,AO196,(AO196-MAX(0,AK176-IF($A197&gt;='1-Input'!$C$12,'1-Input'!$B$12,0))+AL197*(1-'P-Parametri'!$B$6*AK197))*(1+'1-Input'!$B$27))</f>
        <v>36137.103704198264</v>
      </c>
      <c r="AN197" s="18">
        <f>IF($A197&gt;'1-Input'!$B$26,AP196,(AP196-AL197)*(1+'5-Roberta'!$C$4))</f>
        <v>167249.10787931003</v>
      </c>
      <c r="AO197" s="18">
        <f>IF($A197&gt;'1-Input'!$B$26,AM197,AM197-'P-Parametri'!$B$8*(AN197+AM197)+MIN(MAX(AN197,0),'P-Parametri'!$B$8*(AN197+AM197)))</f>
        <v>36137.103704198264</v>
      </c>
      <c r="AP197" s="18">
        <f>IF($A197&gt;'1-Input'!$B$26,AN197,AN197-MIN(MAX(AN197,0),'P-Parametri'!$B$8*(AN197+AM197)))</f>
        <v>166842.33545614302</v>
      </c>
      <c r="AQ197" s="18">
        <f>IF($A197&gt;'1-Input'!$B$26,AQ196,AQ196-AL197*(1-AK197))</f>
        <v>77842.533293838555</v>
      </c>
    </row>
    <row r="198" spans="1:43">
      <c r="A198" s="10">
        <f>20</f>
        <v>20</v>
      </c>
      <c r="B198" s="11">
        <f>IF($A198&gt;'1-Input'!$B$26,0,IF(G197&lt;=0,0,MAX(0,(G197-H197)/G197)))</f>
        <v>0.53384218859519716</v>
      </c>
      <c r="C198" s="18">
        <f>IF($A198&gt;'1-Input'!$B$26,0,(MAX(0,B176-IF($A198&gt;='1-Input'!$C$12,'1-Input'!$B$12,0))-MIN(MAX(F197,0),MAX(0,B176-IF($A198&gt;='1-Input'!$C$12,'1-Input'!$B$12,0))))*(1/(1-'P-Parametri'!$B$6*B198))+MIN(MAX(0,G197-(MAX(0,B176-IF($A198&gt;='1-Input'!$C$12,'1-Input'!$B$12,0))-MIN(MAX(F197,0),MAX(0,B176-IF($A198&gt;='1-Input'!$C$12,'1-Input'!$B$12,0))))*(1/(1-'P-Parametri'!$B$6*B198))),MAX(0,2*MAX(0,B176-IF($A198&gt;='1-Input'!$C$12,'1-Input'!$B$12,0))-(F197-MIN(MAX(F197,0),MAX(0,B176-IF($A198&gt;='1-Input'!$C$12,'1-Input'!$B$12,0)))))*(1/(1-'P-Parametri'!$B$6*B198))))</f>
        <v>19508.9860657274</v>
      </c>
      <c r="D198" s="18">
        <f>IF($A198&gt;'1-Input'!$B$26,F197,(F197-MAX(0,B176-IF($A198&gt;='1-Input'!$C$12,'1-Input'!$B$12,0))+C198*(1-'P-Parametri'!$B$6*B198))*(1+'1-Input'!$B$27))</f>
        <v>33242.0070309863</v>
      </c>
      <c r="E198" s="18">
        <f>IF($A198&gt;'1-Input'!$B$26,G197,(G197-C198)*(1+'5-Roberta'!$C$4))</f>
        <v>199113.99940163206</v>
      </c>
      <c r="F198" s="18">
        <f>IF($A198&gt;'1-Input'!$B$26,D198,D198-'P-Parametri'!$B$8*(E198+D198)+MIN(MAX(E198,0),'P-Parametri'!$B$8*(E198+D198)))</f>
        <v>33242.0070309863</v>
      </c>
      <c r="G198" s="18">
        <f>IF($A198&gt;'1-Input'!$B$26,E198,E198-MIN(MAX(E198,0),'P-Parametri'!$B$8*(E198+D198)))</f>
        <v>198649.28738876682</v>
      </c>
      <c r="H198" s="18">
        <f>IF($A198&gt;'1-Input'!$B$26,H197,H197-C198*(1-B198))</f>
        <v>90115.093379730126</v>
      </c>
      <c r="I198" s="11">
        <f>IF($A198&gt;'1-Input'!$B$26,0,IF(N197&lt;=0,0,MAX(0,(N197-O197)/N197)))</f>
        <v>0.5310413426483277</v>
      </c>
      <c r="J198" s="18">
        <f>IF($A198&gt;'1-Input'!$B$26,0,(MAX(0,I176-IF($A198&gt;='1-Input'!$C$12,'1-Input'!$B$12,0))-MIN(MAX(M197,0),MAX(0,I176-IF($A198&gt;='1-Input'!$C$12,'1-Input'!$B$12,0))))*(1/(1-'P-Parametri'!$B$6*I198))+MIN(MAX(0,N197-(MAX(0,I176-IF($A198&gt;='1-Input'!$C$12,'1-Input'!$B$12,0))-MIN(MAX(M197,0),MAX(0,I176-IF($A198&gt;='1-Input'!$C$12,'1-Input'!$B$12,0))))*(1/(1-'P-Parametri'!$B$6*I198))),MAX(0,2*MAX(0,I176-IF($A198&gt;='1-Input'!$C$12,'1-Input'!$B$12,0))-(M197-MIN(MAX(M197,0),MAX(0,I176-IF($A198&gt;='1-Input'!$C$12,'1-Input'!$B$12,0)))))*(1/(1-'P-Parametri'!$B$6*I198))))</f>
        <v>25648.030879450111</v>
      </c>
      <c r="K198" s="18">
        <f>IF($A198&gt;'1-Input'!$B$26,M197,(M197-MAX(0,I176-IF($A198&gt;='1-Input'!$C$12,'1-Input'!$B$12,0))+J198*(1-'P-Parametri'!$B$6*I198))*(1+'1-Input'!$B$27))</f>
        <v>43739.482935508291</v>
      </c>
      <c r="L198" s="18">
        <f>IF($A198&gt;'1-Input'!$B$26,N197,(N197-J198)*(1+'5-Roberta'!$C$4))</f>
        <v>21103.746292191776</v>
      </c>
      <c r="M198" s="18">
        <f>IF($A198&gt;'1-Input'!$B$26,K198,K198-'P-Parametri'!$B$8*(L198+K198)+MIN(MAX(L198,0),'P-Parametri'!$B$8*(L198+K198)))</f>
        <v>43739.482935508291</v>
      </c>
      <c r="N198" s="18">
        <f>IF($A198&gt;'1-Input'!$B$26,L198,L198-MIN(MAX(L198,0),'P-Parametri'!$B$8*(L198+K198)))</f>
        <v>20974.059833736377</v>
      </c>
      <c r="O198" s="18">
        <f>IF($A198&gt;'1-Input'!$B$26,O197,O197-J198*(1-I198))</f>
        <v>9608.5286662879498</v>
      </c>
      <c r="P198" s="11">
        <f>IF($A198&gt;'1-Input'!$B$26,0,IF(U197&lt;=0,0,MAX(0,(U197-V197)/U197)))</f>
        <v>0.53335119301784639</v>
      </c>
      <c r="Q198" s="18">
        <f>IF($A198&gt;'1-Input'!$B$26,0,(MAX(0,P176-IF($A198&gt;='1-Input'!$C$12,'1-Input'!$B$12,0))-MIN(MAX(T197,0),MAX(0,P176-IF($A198&gt;='1-Input'!$C$12,'1-Input'!$B$12,0))))*(1/(1-'P-Parametri'!$B$6*P198))+MIN(MAX(0,U197-(MAX(0,P176-IF($A198&gt;='1-Input'!$C$12,'1-Input'!$B$12,0))-MIN(MAX(T197,0),MAX(0,P176-IF($A198&gt;='1-Input'!$C$12,'1-Input'!$B$12,0))))*(1/(1-'P-Parametri'!$B$6*P198))),MAX(0,2*MAX(0,P176-IF($A198&gt;='1-Input'!$C$12,'1-Input'!$B$12,0))-(T197-MIN(MAX(T197,0),MAX(0,P176-IF($A198&gt;='1-Input'!$C$12,'1-Input'!$B$12,0)))))*(1/(1-'P-Parametri'!$B$6*P198))))</f>
        <v>21508.176822771307</v>
      </c>
      <c r="R198" s="18">
        <f>IF($A198&gt;'1-Input'!$B$26,T197,(T197-MAX(0,P176-IF($A198&gt;='1-Input'!$C$12,'1-Input'!$B$12,0))+Q198*(1-'P-Parametri'!$B$6*P198))*(1+'1-Input'!$B$27))</f>
        <v>36653.926862445645</v>
      </c>
      <c r="S198" s="18">
        <f>IF($A198&gt;'1-Input'!$B$26,U197,(U197-Q198)*(1+'5-Roberta'!$C$4))</f>
        <v>141240.17259901392</v>
      </c>
      <c r="T198" s="18">
        <f>IF($A198&gt;'1-Input'!$B$26,R198,R198-'P-Parametri'!$B$8*(S198+R198)+MIN(MAX(S198,0),'P-Parametri'!$B$8*(S198+R198)))</f>
        <v>36653.926862445645</v>
      </c>
      <c r="U198" s="18">
        <f>IF($A198&gt;'1-Input'!$B$26,S198,S198-MIN(MAX(S198,0),'P-Parametri'!$B$8*(S198+R198)))</f>
        <v>140884.38440009102</v>
      </c>
      <c r="V198" s="18">
        <f>IF($A198&gt;'1-Input'!$B$26,V197,V197-Q198*(1-P198))</f>
        <v>63989.862176003218</v>
      </c>
      <c r="W198" s="11">
        <f>IF($A198&gt;'1-Input'!$B$26,0,IF(AB197&lt;=0,0,MAX(0,(AB197-AC197)/AB197)))</f>
        <v>0.53343450121936153</v>
      </c>
      <c r="X198" s="18">
        <f>IF($A198&gt;'1-Input'!$B$26,0,(MAX(0,W176-IF($A198&gt;='1-Input'!$C$12,'1-Input'!$B$12,0))-MIN(MAX(AA197,0),MAX(0,W176-IF($A198&gt;='1-Input'!$C$12,'1-Input'!$B$12,0))))*(1/(1-'P-Parametri'!$B$6*W198))+MIN(MAX(0,AB197-(MAX(0,W176-IF($A198&gt;='1-Input'!$C$12,'1-Input'!$B$12,0))-MIN(MAX(AA197,0),MAX(0,W176-IF($A198&gt;='1-Input'!$C$12,'1-Input'!$B$12,0))))*(1/(1-'P-Parametri'!$B$6*W198))),MAX(0,2*MAX(0,W176-IF($A198&gt;='1-Input'!$C$12,'1-Input'!$B$12,0))-(AA197-MIN(MAX(AA197,0),MAX(0,W176-IF($A198&gt;='1-Input'!$C$12,'1-Input'!$B$12,0)))))*(1/(1-'P-Parametri'!$B$6*W198))))</f>
        <v>21212.973114562228</v>
      </c>
      <c r="Y198" s="18">
        <f>IF($A198&gt;'1-Input'!$B$26,AA197,(AA197-MAX(0,W176-IF($A198&gt;='1-Input'!$C$12,'1-Input'!$B$12,0))+X198*(1-'P-Parametri'!$B$6*W198))*(1+'1-Input'!$B$27))</f>
        <v>36149.93583347425</v>
      </c>
      <c r="Z198" s="18">
        <f>IF($A198&gt;'1-Input'!$B$26,AB197,(AB197-X198)*(1+'5-Roberta'!$C$4))</f>
        <v>149788.33714387295</v>
      </c>
      <c r="AA198" s="18">
        <f>IF($A198&gt;'1-Input'!$B$26,Y198,Y198-'P-Parametri'!$B$8*(Z198+Y198)+MIN(MAX(Z198,0),'P-Parametri'!$B$8*(Z198+Y198)))</f>
        <v>36149.93583347425</v>
      </c>
      <c r="AB198" s="18">
        <f>IF($A198&gt;'1-Input'!$B$26,Z198,Z198-MIN(MAX(Z198,0),'P-Parametri'!$B$8*(Z198+Y198)))</f>
        <v>149416.46059791825</v>
      </c>
      <c r="AC198" s="18">
        <f>IF($A198&gt;'1-Input'!$B$26,AC197,AC197-X198*(1-W198))</f>
        <v>67850.553622382053</v>
      </c>
      <c r="AD198" s="11">
        <f>IF($A198&gt;'1-Input'!$B$26,0,IF(AI197&lt;=0,0,MAX(0,(AI197-AJ197)/AI197)))</f>
        <v>0.53343659907577334</v>
      </c>
      <c r="AE198" s="18">
        <f>IF($A198&gt;'1-Input'!$B$26,0,(MAX(0,AD176-IF($A198&gt;='1-Input'!$C$12,'1-Input'!$B$12,0))-MIN(MAX(AH197,0),MAX(0,AD176-IF($A198&gt;='1-Input'!$C$12,'1-Input'!$B$12,0))))*(1/(1-'P-Parametri'!$B$6*AD198))+MIN(MAX(0,AI197-(MAX(0,AD176-IF($A198&gt;='1-Input'!$C$12,'1-Input'!$B$12,0))-MIN(MAX(AH197,0),MAX(0,AD176-IF($A198&gt;='1-Input'!$C$12,'1-Input'!$B$12,0))))*(1/(1-'P-Parametri'!$B$6*AD198))),MAX(0,2*MAX(0,AD176-IF($A198&gt;='1-Input'!$C$12,'1-Input'!$B$12,0))-(AH197-MIN(MAX(AH197,0),MAX(0,AD176-IF($A198&gt;='1-Input'!$C$12,'1-Input'!$B$12,0)))))*(1/(1-'P-Parametri'!$B$6*AD198))))</f>
        <v>21205.328605993796</v>
      </c>
      <c r="AF198" s="18">
        <f>IF($A198&gt;'1-Input'!$B$26,AH197,(AH197-MAX(0,AD176-IF($A198&gt;='1-Input'!$C$12,'1-Input'!$B$12,0))+AE198*(1-'P-Parametri'!$B$6*AD198))*(1+'1-Input'!$B$27))</f>
        <v>36136.885614545514</v>
      </c>
      <c r="AG198" s="18">
        <f>IF($A198&gt;'1-Input'!$B$26,AI197,(AI197-AE198)*(1+'5-Roberta'!$C$4))</f>
        <v>150009.68453499197</v>
      </c>
      <c r="AH198" s="18">
        <f>IF($A198&gt;'1-Input'!$B$26,AF198,AF198-'P-Parametri'!$B$8*(AG198+AF198)+MIN(MAX(AG198,0),'P-Parametri'!$B$8*(AG198+AF198)))</f>
        <v>36136.885614545514</v>
      </c>
      <c r="AI198" s="18">
        <f>IF($A198&gt;'1-Input'!$B$26,AG198,AG198-MIN(MAX(AG198,0),'P-Parametri'!$B$8*(AG198+AF198)))</f>
        <v>149637.39139469291</v>
      </c>
      <c r="AJ198" s="18">
        <f>IF($A198&gt;'1-Input'!$B$26,AJ197,AJ197-AE198*(1-AD198))</f>
        <v>67950.51319244293</v>
      </c>
      <c r="AK198" s="11">
        <f>IF($A198&gt;'1-Input'!$B$26,0,IF(AP197&lt;=0,0,MAX(0,(AP197-AQ197)/AP197)))</f>
        <v>0.53343656404102169</v>
      </c>
      <c r="AL198" s="18">
        <f>IF($A198&gt;'1-Input'!$B$26,0,(MAX(0,AK176-IF($A198&gt;='1-Input'!$C$12,'1-Input'!$B$12,0))-MIN(MAX(AO197,0),MAX(0,AK176-IF($A198&gt;='1-Input'!$C$12,'1-Input'!$B$12,0))))*(1/(1-'P-Parametri'!$B$6*AK198))+MIN(MAX(0,AP197-(MAX(0,AK176-IF($A198&gt;='1-Input'!$C$12,'1-Input'!$B$12,0))-MIN(MAX(AO197,0),MAX(0,AK176-IF($A198&gt;='1-Input'!$C$12,'1-Input'!$B$12,0))))*(1/(1-'P-Parametri'!$B$6*AK198))),MAX(0,2*MAX(0,AK176-IF($A198&gt;='1-Input'!$C$12,'1-Input'!$B$12,0))-(AO197-MIN(MAX(AO197,0),MAX(0,AK176-IF($A198&gt;='1-Input'!$C$12,'1-Input'!$B$12,0)))))*(1/(1-'P-Parametri'!$B$6*AK198))))</f>
        <v>21205.456357968556</v>
      </c>
      <c r="AM198" s="18">
        <f>IF($A198&gt;'1-Input'!$B$26,AO197,(AO197-MAX(0,AK176-IF($A198&gt;='1-Input'!$C$12,'1-Input'!$B$12,0))+AL198*(1-'P-Parametri'!$B$6*AK198))*(1+'1-Input'!$B$27))</f>
        <v>36137.103704198264</v>
      </c>
      <c r="AN198" s="18">
        <f>IF($A198&gt;'1-Input'!$B$26,AP197,(AP197-AL198)*(1+'5-Roberta'!$C$4))</f>
        <v>150005.9854711197</v>
      </c>
      <c r="AO198" s="18">
        <f>IF($A198&gt;'1-Input'!$B$26,AM198,AM198-'P-Parametri'!$B$8*(AN198+AM198)+MIN(MAX(AN198,0),'P-Parametri'!$B$8*(AN198+AM198)))</f>
        <v>36137.103704198264</v>
      </c>
      <c r="AP198" s="18">
        <f>IF($A198&gt;'1-Input'!$B$26,AN198,AN198-MIN(MAX(AN198,0),'P-Parametri'!$B$8*(AN198+AM198)))</f>
        <v>149633.69929276907</v>
      </c>
      <c r="AQ198" s="18">
        <f>IF($A198&gt;'1-Input'!$B$26,AQ197,AQ197-AL198*(1-AK198))</f>
        <v>67948.842714386585</v>
      </c>
    </row>
    <row r="199" spans="1:43">
      <c r="A199" s="10">
        <f>21</f>
        <v>21</v>
      </c>
      <c r="B199" s="11">
        <f>IF($A199&gt;'1-Input'!$B$26,0,IF(G198&lt;=0,0,MAX(0,(G198-H198)/G198)))</f>
        <v>0.54636085251405775</v>
      </c>
      <c r="C199" s="18">
        <f>IF($A199&gt;'1-Input'!$B$26,0,(MAX(0,B176-IF($A199&gt;='1-Input'!$C$12,'1-Input'!$B$12,0))-MIN(MAX(F198,0),MAX(0,B176-IF($A199&gt;='1-Input'!$C$12,'1-Input'!$B$12,0))))*(1/(1-'P-Parametri'!$B$6*B199))+MIN(MAX(0,G198-(MAX(0,B176-IF($A199&gt;='1-Input'!$C$12,'1-Input'!$B$12,0))-MIN(MAX(F198,0),MAX(0,B176-IF($A199&gt;='1-Input'!$C$12,'1-Input'!$B$12,0))))*(1/(1-'P-Parametri'!$B$6*B199))),MAX(0,2*MAX(0,B176-IF($A199&gt;='1-Input'!$C$12,'1-Input'!$B$12,0))-(F198-MIN(MAX(F198,0),MAX(0,B176-IF($A199&gt;='1-Input'!$C$12,'1-Input'!$B$12,0)))))*(1/(1-'P-Parametri'!$B$6*B199))))</f>
        <v>19582.998720589479</v>
      </c>
      <c r="D199" s="18">
        <f>IF($A199&gt;'1-Input'!$B$26,F198,(F198-MAX(0,B176-IF($A199&gt;='1-Input'!$C$12,'1-Input'!$B$12,0))+C199*(1-'P-Parametri'!$B$6*B199))*(1+'1-Input'!$B$27))</f>
        <v>33242.0070309863</v>
      </c>
      <c r="E199" s="18">
        <f>IF($A199&gt;'1-Input'!$B$26,G198,(G198-C199)*(1+'5-Roberta'!$C$4))</f>
        <v>184438.27732822267</v>
      </c>
      <c r="F199" s="18">
        <f>IF($A199&gt;'1-Input'!$B$26,D199,D199-'P-Parametri'!$B$8*(E199+D199)+MIN(MAX(E199,0),'P-Parametri'!$B$8*(E199+D199)))</f>
        <v>33242.0070309863</v>
      </c>
      <c r="G199" s="18">
        <f>IF($A199&gt;'1-Input'!$B$26,E199,E199-MIN(MAX(E199,0),'P-Parametri'!$B$8*(E199+D199)))</f>
        <v>184002.91675950424</v>
      </c>
      <c r="H199" s="18">
        <f>IF($A199&gt;'1-Input'!$B$26,H198,H198-C199*(1-B199))</f>
        <v>81231.47853490361</v>
      </c>
      <c r="I199" s="11">
        <f>IF($A199&gt;'1-Input'!$B$26,0,IF(N198&lt;=0,0,MAX(0,(N198-O198)/N198)))</f>
        <v>0.54188513132622929</v>
      </c>
      <c r="J199" s="18">
        <f>IF($A199&gt;'1-Input'!$B$26,0,(MAX(0,I176-IF($A199&gt;='1-Input'!$C$12,'1-Input'!$B$12,0))-MIN(MAX(M198,0),MAX(0,I176-IF($A199&gt;='1-Input'!$C$12,'1-Input'!$B$12,0))))*(1/(1-'P-Parametri'!$B$6*I199))+MIN(MAX(0,N198-(MAX(0,I176-IF($A199&gt;='1-Input'!$C$12,'1-Input'!$B$12,0))-MIN(MAX(M198,0),MAX(0,I176-IF($A199&gt;='1-Input'!$C$12,'1-Input'!$B$12,0))))*(1/(1-'P-Parametri'!$B$6*I199))),MAX(0,2*MAX(0,I176-IF($A199&gt;='1-Input'!$C$12,'1-Input'!$B$12,0))-(M198-MIN(MAX(M198,0),MAX(0,I176-IF($A199&gt;='1-Input'!$C$12,'1-Input'!$B$12,0)))))*(1/(1-'P-Parametri'!$B$6*I199))))</f>
        <v>20974.059833736377</v>
      </c>
      <c r="K199" s="18">
        <f>IF($A199&gt;'1-Input'!$B$26,M198,(M198-MAX(0,I176-IF($A199&gt;='1-Input'!$C$12,'1-Input'!$B$12,0))+J199*(1-'P-Parametri'!$B$6*I199))*(1+'1-Input'!$B$27))</f>
        <v>39666.432581157373</v>
      </c>
      <c r="L199" s="18">
        <f>IF($A199&gt;'1-Input'!$B$26,N198,(N198-J199)*(1+'5-Roberta'!$C$4))</f>
        <v>0</v>
      </c>
      <c r="M199" s="18">
        <f>IF($A199&gt;'1-Input'!$B$26,K199,K199-'P-Parametri'!$B$8*(L199+K199)+MIN(MAX(L199,0),'P-Parametri'!$B$8*(L199+K199)))</f>
        <v>39587.099715995057</v>
      </c>
      <c r="N199" s="18">
        <f>IF($A199&gt;'1-Input'!$B$26,L199,L199-MIN(MAX(L199,0),'P-Parametri'!$B$8*(L199+K199)))</f>
        <v>0</v>
      </c>
      <c r="O199" s="18">
        <f>IF($A199&gt;'1-Input'!$B$26,O198,O198-J199*(1-I199))</f>
        <v>0</v>
      </c>
      <c r="P199" s="11">
        <f>IF($A199&gt;'1-Input'!$B$26,0,IF(U198&lt;=0,0,MAX(0,(U198-V198)/U198)))</f>
        <v>0.54579875939776701</v>
      </c>
      <c r="Q199" s="18">
        <f>IF($A199&gt;'1-Input'!$B$26,0,(MAX(0,P176-IF($A199&gt;='1-Input'!$C$12,'1-Input'!$B$12,0))-MIN(MAX(T198,0),MAX(0,P176-IF($A199&gt;='1-Input'!$C$12,'1-Input'!$B$12,0))))*(1/(1-'P-Parametri'!$B$6*P199))+MIN(MAX(0,U198-(MAX(0,P176-IF($A199&gt;='1-Input'!$C$12,'1-Input'!$B$12,0))-MIN(MAX(T198,0),MAX(0,P176-IF($A199&gt;='1-Input'!$C$12,'1-Input'!$B$12,0))))*(1/(1-'P-Parametri'!$B$6*P199))),MAX(0,2*MAX(0,P176-IF($A199&gt;='1-Input'!$C$12,'1-Input'!$B$12,0))-(T198-MIN(MAX(T198,0),MAX(0,P176-IF($A199&gt;='1-Input'!$C$12,'1-Input'!$B$12,0)))))*(1/(1-'P-Parametri'!$B$6*P199))))</f>
        <v>21589.296717956786</v>
      </c>
      <c r="R199" s="18">
        <f>IF($A199&gt;'1-Input'!$B$26,T198,(T198-MAX(0,P176-IF($A199&gt;='1-Input'!$C$12,'1-Input'!$B$12,0))+Q199*(1-'P-Parametri'!$B$6*P199))*(1+'1-Input'!$B$27))</f>
        <v>36653.926862445645</v>
      </c>
      <c r="S199" s="18">
        <f>IF($A199&gt;'1-Input'!$B$26,U198,(U198-Q199)*(1+'5-Roberta'!$C$4))</f>
        <v>122873.94031259826</v>
      </c>
      <c r="T199" s="18">
        <f>IF($A199&gt;'1-Input'!$B$26,R199,R199-'P-Parametri'!$B$8*(S199+R199)+MIN(MAX(S199,0),'P-Parametri'!$B$8*(S199+R199)))</f>
        <v>36653.926862445645</v>
      </c>
      <c r="U199" s="18">
        <f>IF($A199&gt;'1-Input'!$B$26,S199,S199-MIN(MAX(S199,0),'P-Parametri'!$B$8*(S199+R199)))</f>
        <v>122554.88457824818</v>
      </c>
      <c r="V199" s="18">
        <f>IF($A199&gt;'1-Input'!$B$26,V198,V198-Q199*(1-P199))</f>
        <v>54183.976822977529</v>
      </c>
      <c r="W199" s="11">
        <f>IF($A199&gt;'1-Input'!$B$26,0,IF(AB198&lt;=0,0,MAX(0,(AB198-AC198)/AB198)))</f>
        <v>0.54589639353746422</v>
      </c>
      <c r="X199" s="18">
        <f>IF($A199&gt;'1-Input'!$B$26,0,(MAX(0,W176-IF($A199&gt;='1-Input'!$C$12,'1-Input'!$B$12,0))-MIN(MAX(AA198,0),MAX(0,W176-IF($A199&gt;='1-Input'!$C$12,'1-Input'!$B$12,0))))*(1/(1-'P-Parametri'!$B$6*W199))+MIN(MAX(0,AB198-(MAX(0,W176-IF($A199&gt;='1-Input'!$C$12,'1-Input'!$B$12,0))-MIN(MAX(AA198,0),MAX(0,W176-IF($A199&gt;='1-Input'!$C$12,'1-Input'!$B$12,0))))*(1/(1-'P-Parametri'!$B$6*W199))),MAX(0,2*MAX(0,W176-IF($A199&gt;='1-Input'!$C$12,'1-Input'!$B$12,0))-(AA198-MIN(MAX(AA198,0),MAX(0,W176-IF($A199&gt;='1-Input'!$C$12,'1-Input'!$B$12,0)))))*(1/(1-'P-Parametri'!$B$6*W199))))</f>
        <v>21293.074073501328</v>
      </c>
      <c r="Y199" s="18">
        <f>IF($A199&gt;'1-Input'!$B$26,AA198,(AA198-MAX(0,W176-IF($A199&gt;='1-Input'!$C$12,'1-Input'!$B$12,0))+X199*(1-'P-Parametri'!$B$6*W199))*(1+'1-Input'!$B$27))</f>
        <v>36149.93583347425</v>
      </c>
      <c r="Z199" s="18">
        <f>IF($A199&gt;'1-Input'!$B$26,AB198,(AB198-X199)*(1+'5-Roberta'!$C$4))</f>
        <v>131967.08812014945</v>
      </c>
      <c r="AA199" s="18">
        <f>IF($A199&gt;'1-Input'!$B$26,Y199,Y199-'P-Parametri'!$B$8*(Z199+Y199)+MIN(MAX(Z199,0),'P-Parametri'!$B$8*(Z199+Y199)))</f>
        <v>36149.93583347425</v>
      </c>
      <c r="AB199" s="18">
        <f>IF($A199&gt;'1-Input'!$B$26,Z199,Z199-MIN(MAX(Z199,0),'P-Parametri'!$B$8*(Z199+Y199)))</f>
        <v>131630.85407224219</v>
      </c>
      <c r="AC199" s="18">
        <f>IF($A199&gt;'1-Input'!$B$26,AC198,AC198-X199*(1-W199))</f>
        <v>58181.291892931185</v>
      </c>
      <c r="AD199" s="11">
        <f>IF($A199&gt;'1-Input'!$B$26,0,IF(AI198&lt;=0,0,MAX(0,(AI198-AJ198)/AI198)))</f>
        <v>0.54589883879215439</v>
      </c>
      <c r="AE199" s="18">
        <f>IF($A199&gt;'1-Input'!$B$26,0,(MAX(0,AD176-IF($A199&gt;='1-Input'!$C$12,'1-Input'!$B$12,0))-MIN(MAX(AH198,0),MAX(0,AD176-IF($A199&gt;='1-Input'!$C$12,'1-Input'!$B$12,0))))*(1/(1-'P-Parametri'!$B$6*AD199))+MIN(MAX(0,AI198-(MAX(0,AD176-IF($A199&gt;='1-Input'!$C$12,'1-Input'!$B$12,0))-MIN(MAX(AH198,0),MAX(0,AD176-IF($A199&gt;='1-Input'!$C$12,'1-Input'!$B$12,0))))*(1/(1-'P-Parametri'!$B$6*AD199))),MAX(0,2*MAX(0,AD176-IF($A199&gt;='1-Input'!$C$12,'1-Input'!$B$12,0))-(AH198-MIN(MAX(AH198,0),MAX(0,AD176-IF($A199&gt;='1-Input'!$C$12,'1-Input'!$B$12,0)))))*(1/(1-'P-Parametri'!$B$6*AD199))))</f>
        <v>21285.402990477127</v>
      </c>
      <c r="AF199" s="18">
        <f>IF($A199&gt;'1-Input'!$B$26,AH198,(AH198-MAX(0,AD176-IF($A199&gt;='1-Input'!$C$12,'1-Input'!$B$12,0))+AE199*(1-'P-Parametri'!$B$6*AD199))*(1+'1-Input'!$B$27))</f>
        <v>36136.885614545507</v>
      </c>
      <c r="AG199" s="18">
        <f>IF($A199&gt;'1-Input'!$B$26,AI198,(AI198-AE199)*(1+'5-Roberta'!$C$4))</f>
        <v>132202.54805634226</v>
      </c>
      <c r="AH199" s="18">
        <f>IF($A199&gt;'1-Input'!$B$26,AF199,AF199-'P-Parametri'!$B$8*(AG199+AF199)+MIN(MAX(AG199,0),'P-Parametri'!$B$8*(AG199+AF199)))</f>
        <v>36136.885614545507</v>
      </c>
      <c r="AI199" s="18">
        <f>IF($A199&gt;'1-Input'!$B$26,AG199,AG199-MIN(MAX(AG199,0),'P-Parametri'!$B$8*(AG199+AF199)))</f>
        <v>131865.86918900048</v>
      </c>
      <c r="AJ199" s="18">
        <f>IF($A199&gt;'1-Input'!$B$26,AJ198,AJ198-AE199*(1-AD199))</f>
        <v>58284.786977690317</v>
      </c>
      <c r="AK199" s="11">
        <f>IF($A199&gt;'1-Input'!$B$26,0,IF(AP198&lt;=0,0,MAX(0,(AP198-AQ198)/AP198)))</f>
        <v>0.54589879796101415</v>
      </c>
      <c r="AL199" s="18">
        <f>IF($A199&gt;'1-Input'!$B$26,0,(MAX(0,AK176-IF($A199&gt;='1-Input'!$C$12,'1-Input'!$B$12,0))-MIN(MAX(AO198,0),MAX(0,AK176-IF($A199&gt;='1-Input'!$C$12,'1-Input'!$B$12,0))))*(1/(1-'P-Parametri'!$B$6*AK199))+MIN(MAX(0,AP198-(MAX(0,AK176-IF($A199&gt;='1-Input'!$C$12,'1-Input'!$B$12,0))-MIN(MAX(AO198,0),MAX(0,AK176-IF($A199&gt;='1-Input'!$C$12,'1-Input'!$B$12,0))))*(1/(1-'P-Parametri'!$B$6*AK199))),MAX(0,2*MAX(0,AK176-IF($A199&gt;='1-Input'!$C$12,'1-Input'!$B$12,0))-(AO198-MIN(MAX(AO198,0),MAX(0,AK176-IF($A199&gt;='1-Input'!$C$12,'1-Input'!$B$12,0)))))*(1/(1-'P-Parametri'!$B$6*AK199))))</f>
        <v>21285.531186627002</v>
      </c>
      <c r="AM199" s="18">
        <f>IF($A199&gt;'1-Input'!$B$26,AO198,(AO198-MAX(0,AK176-IF($A199&gt;='1-Input'!$C$12,'1-Input'!$B$12,0))+AL199*(1-'P-Parametri'!$B$6*AK199))*(1+'1-Input'!$B$27))</f>
        <v>36137.103704198271</v>
      </c>
      <c r="AN199" s="18">
        <f>IF($A199&gt;'1-Input'!$B$26,AP198,(AP198-AL199)*(1+'5-Roberta'!$C$4))</f>
        <v>132198.61314932632</v>
      </c>
      <c r="AO199" s="18">
        <f>IF($A199&gt;'1-Input'!$B$26,AM199,AM199-'P-Parametri'!$B$8*(AN199+AM199)+MIN(MAX(AN199,0),'P-Parametri'!$B$8*(AN199+AM199)))</f>
        <v>36137.103704198271</v>
      </c>
      <c r="AP199" s="18">
        <f>IF($A199&gt;'1-Input'!$B$26,AN199,AN199-MIN(MAX(AN199,0),'P-Parametri'!$B$8*(AN199+AM199)))</f>
        <v>131861.94171561926</v>
      </c>
      <c r="AQ199" s="18">
        <f>IF($A199&gt;'1-Input'!$B$26,AQ198,AQ198-AL199*(1-AK199))</f>
        <v>58283.057416500946</v>
      </c>
    </row>
    <row r="200" spans="1:43">
      <c r="A200" s="10">
        <f>22</f>
        <v>22</v>
      </c>
      <c r="B200" s="11">
        <f>IF($A200&gt;'1-Input'!$B$26,0,IF(G199&lt;=0,0,MAX(0,(G199-H199)/G199)))</f>
        <v>0.55853157131701936</v>
      </c>
      <c r="C200" s="18">
        <f>IF($A200&gt;'1-Input'!$B$26,0,(MAX(0,B176-IF($A200&gt;='1-Input'!$C$12,'1-Input'!$B$12,0))-MIN(MAX(F199,0),MAX(0,B176-IF($A200&gt;='1-Input'!$C$12,'1-Input'!$B$12,0))))*(1/(1-'P-Parametri'!$B$6*B200))+MIN(MAX(0,G199-(MAX(0,B176-IF($A200&gt;='1-Input'!$C$12,'1-Input'!$B$12,0))-MIN(MAX(F199,0),MAX(0,B176-IF($A200&gt;='1-Input'!$C$12,'1-Input'!$B$12,0))))*(1/(1-'P-Parametri'!$B$6*B200))),MAX(0,2*MAX(0,B176-IF($A200&gt;='1-Input'!$C$12,'1-Input'!$B$12,0))-(F199-MIN(MAX(F199,0),MAX(0,B176-IF($A200&gt;='1-Input'!$C$12,'1-Input'!$B$12,0)))))*(1/(1-'P-Parametri'!$B$6*B200))))</f>
        <v>19655.494631257585</v>
      </c>
      <c r="D200" s="18">
        <f>IF($A200&gt;'1-Input'!$B$26,F199,(F199-MAX(0,B176-IF($A200&gt;='1-Input'!$C$12,'1-Input'!$B$12,0))+C200*(1-'P-Parametri'!$B$6*B200))*(1+'1-Input'!$B$27))</f>
        <v>33242.0070309863</v>
      </c>
      <c r="E200" s="18">
        <f>IF($A200&gt;'1-Input'!$B$26,G199,(G199-C200)*(1+'5-Roberta'!$C$4))</f>
        <v>169277.84479209405</v>
      </c>
      <c r="F200" s="18">
        <f>IF($A200&gt;'1-Input'!$B$26,D200,D200-'P-Parametri'!$B$8*(E200+D200)+MIN(MAX(E200,0),'P-Parametri'!$B$8*(E200+D200)))</f>
        <v>33242.0070309863</v>
      </c>
      <c r="G200" s="18">
        <f>IF($A200&gt;'1-Input'!$B$26,E200,E200-MIN(MAX(E200,0),'P-Parametri'!$B$8*(E200+D200)))</f>
        <v>168872.8050884479</v>
      </c>
      <c r="H200" s="18">
        <f>IF($A200&gt;'1-Input'!$B$26,H199,H199-C200*(1-B200))</f>
        <v>72554.198205055567</v>
      </c>
      <c r="I200" s="11">
        <f>IF($A200&gt;'1-Input'!$B$26,0,IF(N199&lt;=0,0,MAX(0,(N199-O199)/N199)))</f>
        <v>0</v>
      </c>
      <c r="J200" s="18">
        <f>IF($A200&gt;'1-Input'!$B$26,0,(MAX(0,I176-IF($A200&gt;='1-Input'!$C$12,'1-Input'!$B$12,0))-MIN(MAX(M199,0),MAX(0,I176-IF($A200&gt;='1-Input'!$C$12,'1-Input'!$B$12,0))))*(1/(1-'P-Parametri'!$B$6*I200))+MIN(MAX(0,N199-(MAX(0,I176-IF($A200&gt;='1-Input'!$C$12,'1-Input'!$B$12,0))-MIN(MAX(M199,0),MAX(0,I176-IF($A200&gt;='1-Input'!$C$12,'1-Input'!$B$12,0))))*(1/(1-'P-Parametri'!$B$6*I200))),MAX(0,2*MAX(0,I176-IF($A200&gt;='1-Input'!$C$12,'1-Input'!$B$12,0))-(M199-MIN(MAX(M199,0),MAX(0,I176-IF($A200&gt;='1-Input'!$C$12,'1-Input'!$B$12,0)))))*(1/(1-'P-Parametri'!$B$6*I200))))</f>
        <v>0</v>
      </c>
      <c r="K200" s="18">
        <f>IF($A200&gt;'1-Input'!$B$26,M199,(M199-MAX(0,I176-IF($A200&gt;='1-Input'!$C$12,'1-Input'!$B$12,0))+J200*(1-'P-Parametri'!$B$6*I200))*(1+'1-Input'!$B$27))</f>
        <v>17574.844689263326</v>
      </c>
      <c r="L200" s="18">
        <f>IF($A200&gt;'1-Input'!$B$26,N199,(N199-J200)*(1+'5-Roberta'!$C$4))</f>
        <v>0</v>
      </c>
      <c r="M200" s="18">
        <f>IF($A200&gt;'1-Input'!$B$26,K200,K200-'P-Parametri'!$B$8*(L200+K200)+MIN(MAX(L200,0),'P-Parametri'!$B$8*(L200+K200)))</f>
        <v>17539.694999884799</v>
      </c>
      <c r="N200" s="18">
        <f>IF($A200&gt;'1-Input'!$B$26,L200,L200-MIN(MAX(L200,0),'P-Parametri'!$B$8*(L200+K200)))</f>
        <v>0</v>
      </c>
      <c r="O200" s="18">
        <f>IF($A200&gt;'1-Input'!$B$26,O199,O199-J200*(1-I200))</f>
        <v>0</v>
      </c>
      <c r="P200" s="11">
        <f>IF($A200&gt;'1-Input'!$B$26,0,IF(U199&lt;=0,0,MAX(0,(U199-V199)/U199)))</f>
        <v>0.5578799081779362</v>
      </c>
      <c r="Q200" s="18">
        <f>IF($A200&gt;'1-Input'!$B$26,0,(MAX(0,P176-IF($A200&gt;='1-Input'!$C$12,'1-Input'!$B$12,0))-MIN(MAX(T199,0),MAX(0,P176-IF($A200&gt;='1-Input'!$C$12,'1-Input'!$B$12,0))))*(1/(1-'P-Parametri'!$B$6*P200))+MIN(MAX(0,U199-(MAX(0,P176-IF($A200&gt;='1-Input'!$C$12,'1-Input'!$B$12,0))-MIN(MAX(T199,0),MAX(0,P176-IF($A200&gt;='1-Input'!$C$12,'1-Input'!$B$12,0))))*(1/(1-'P-Parametri'!$B$6*P200))),MAX(0,2*MAX(0,P176-IF($A200&gt;='1-Input'!$C$12,'1-Input'!$B$12,0))-(T199-MIN(MAX(T199,0),MAX(0,P176-IF($A200&gt;='1-Input'!$C$12,'1-Input'!$B$12,0)))))*(1/(1-'P-Parametri'!$B$6*P200))))</f>
        <v>21668.615993244846</v>
      </c>
      <c r="R200" s="18">
        <f>IF($A200&gt;'1-Input'!$B$26,T199,(T199-MAX(0,P176-IF($A200&gt;='1-Input'!$C$12,'1-Input'!$B$12,0))+Q200*(1-'P-Parametri'!$B$6*P200))*(1+'1-Input'!$B$27))</f>
        <v>36653.926862445645</v>
      </c>
      <c r="S200" s="18">
        <f>IF($A200&gt;'1-Input'!$B$26,U199,(U199-Q200)*(1+'5-Roberta'!$C$4))</f>
        <v>103912.85664255344</v>
      </c>
      <c r="T200" s="18">
        <f>IF($A200&gt;'1-Input'!$B$26,R200,R200-'P-Parametri'!$B$8*(S200+R200)+MIN(MAX(S200,0),'P-Parametri'!$B$8*(S200+R200)))</f>
        <v>36653.926862445645</v>
      </c>
      <c r="U200" s="18">
        <f>IF($A200&gt;'1-Input'!$B$26,S200,S200-MIN(MAX(S200,0),'P-Parametri'!$B$8*(S200+R200)))</f>
        <v>103631.72307554344</v>
      </c>
      <c r="V200" s="18">
        <f>IF($A200&gt;'1-Input'!$B$26,V199,V199-Q200*(1-P200))</f>
        <v>44603.846330387081</v>
      </c>
      <c r="W200" s="11">
        <f>IF($A200&gt;'1-Input'!$B$26,0,IF(AB199&lt;=0,0,MAX(0,(AB199-AC199)/AB199)))</f>
        <v>0.55799654797499154</v>
      </c>
      <c r="X200" s="18">
        <f>IF($A200&gt;'1-Input'!$B$26,0,(MAX(0,W176-IF($A200&gt;='1-Input'!$C$12,'1-Input'!$B$12,0))-MIN(MAX(AA199,0),MAX(0,W176-IF($A200&gt;='1-Input'!$C$12,'1-Input'!$B$12,0))))*(1/(1-'P-Parametri'!$B$6*W200))+MIN(MAX(0,AB199-(MAX(0,W176-IF($A200&gt;='1-Input'!$C$12,'1-Input'!$B$12,0))-MIN(MAX(AA199,0),MAX(0,W176-IF($A200&gt;='1-Input'!$C$12,'1-Input'!$B$12,0))))*(1/(1-'P-Parametri'!$B$6*W200))),MAX(0,2*MAX(0,W176-IF($A200&gt;='1-Input'!$C$12,'1-Input'!$B$12,0))-(AA199-MIN(MAX(AA199,0),MAX(0,W176-IF($A200&gt;='1-Input'!$C$12,'1-Input'!$B$12,0)))))*(1/(1-'P-Parametri'!$B$6*W200))))</f>
        <v>21371.430873792415</v>
      </c>
      <c r="Y200" s="18">
        <f>IF($A200&gt;'1-Input'!$B$26,AA199,(AA199-MAX(0,W176-IF($A200&gt;='1-Input'!$C$12,'1-Input'!$B$12,0))+X200*(1-'P-Parametri'!$B$6*W200))*(1+'1-Input'!$B$27))</f>
        <v>36149.93583347425</v>
      </c>
      <c r="Z200" s="18">
        <f>IF($A200&gt;'1-Input'!$B$26,AB199,(AB199-X200)*(1+'5-Roberta'!$C$4))</f>
        <v>113567.20589440328</v>
      </c>
      <c r="AA200" s="18">
        <f>IF($A200&gt;'1-Input'!$B$26,Y200,Y200-'P-Parametri'!$B$8*(Z200+Y200)+MIN(MAX(Z200,0),'P-Parametri'!$B$8*(Z200+Y200)))</f>
        <v>36149.93583347425</v>
      </c>
      <c r="AB200" s="18">
        <f>IF($A200&gt;'1-Input'!$B$26,Z200,Z200-MIN(MAX(Z200,0),'P-Parametri'!$B$8*(Z200+Y200)))</f>
        <v>113267.77161094752</v>
      </c>
      <c r="AC200" s="18">
        <f>IF($A200&gt;'1-Input'!$B$26,AC199,AC199-X200*(1-W200))</f>
        <v>48735.045672001099</v>
      </c>
      <c r="AD200" s="11">
        <f>IF($A200&gt;'1-Input'!$B$26,0,IF(AI199&lt;=0,0,MAX(0,(AI199-AJ199)/AI199)))</f>
        <v>0.55799944795304079</v>
      </c>
      <c r="AE200" s="18">
        <f>IF($A200&gt;'1-Input'!$B$26,0,(MAX(0,AD176-IF($A200&gt;='1-Input'!$C$12,'1-Input'!$B$12,0))-MIN(MAX(AH199,0),MAX(0,AD176-IF($A200&gt;='1-Input'!$C$12,'1-Input'!$B$12,0))))*(1/(1-'P-Parametri'!$B$6*AD200))+MIN(MAX(0,AI199-(MAX(0,AD176-IF($A200&gt;='1-Input'!$C$12,'1-Input'!$B$12,0))-MIN(MAX(AH199,0),MAX(0,AD176-IF($A200&gt;='1-Input'!$C$12,'1-Input'!$B$12,0))))*(1/(1-'P-Parametri'!$B$6*AD200))),MAX(0,2*MAX(0,AD176-IF($A200&gt;='1-Input'!$C$12,'1-Input'!$B$12,0))-(AH199-MIN(MAX(AH199,0),MAX(0,AD176-IF($A200&gt;='1-Input'!$C$12,'1-Input'!$B$12,0)))))*(1/(1-'P-Parametri'!$B$6*AD200))))</f>
        <v>21363.73457446865</v>
      </c>
      <c r="AF200" s="18">
        <f>IF($A200&gt;'1-Input'!$B$26,AH199,(AH199-MAX(0,AD176-IF($A200&gt;='1-Input'!$C$12,'1-Input'!$B$12,0))+AE200*(1-'P-Parametri'!$B$6*AD200))*(1+'1-Input'!$B$27))</f>
        <v>36136.885614545507</v>
      </c>
      <c r="AG200" s="18">
        <f>IF($A200&gt;'1-Input'!$B$26,AI199,(AI199-AE200)*(1+'5-Roberta'!$C$4))</f>
        <v>113817.1986529678</v>
      </c>
      <c r="AH200" s="18">
        <f>IF($A200&gt;'1-Input'!$B$26,AF200,AF200-'P-Parametri'!$B$8*(AG200+AF200)+MIN(MAX(AG200,0),'P-Parametri'!$B$8*(AG200+AF200)))</f>
        <v>36136.885614545507</v>
      </c>
      <c r="AI200" s="18">
        <f>IF($A200&gt;'1-Input'!$B$26,AG200,AG200-MIN(MAX(AG200,0),'P-Parametri'!$B$8*(AG200+AF200)))</f>
        <v>113517.29048443277</v>
      </c>
      <c r="AJ200" s="18">
        <f>IF($A200&gt;'1-Input'!$B$26,AJ199,AJ199-AE200*(1-AD200))</f>
        <v>48842.004501990465</v>
      </c>
      <c r="AK200" s="11">
        <f>IF($A200&gt;'1-Input'!$B$26,0,IF(AP199&lt;=0,0,MAX(0,(AP199-AQ199)/AP199)))</f>
        <v>0.55799939953715072</v>
      </c>
      <c r="AL200" s="18">
        <f>IF($A200&gt;'1-Input'!$B$26,0,(MAX(0,AK176-IF($A200&gt;='1-Input'!$C$12,'1-Input'!$B$12,0))-MIN(MAX(AO199,0),MAX(0,AK176-IF($A200&gt;='1-Input'!$C$12,'1-Input'!$B$12,0))))*(1/(1-'P-Parametri'!$B$6*AK200))+MIN(MAX(0,AP199-(MAX(0,AK176-IF($A200&gt;='1-Input'!$C$12,'1-Input'!$B$12,0))-MIN(MAX(AO199,0),MAX(0,AK176-IF($A200&gt;='1-Input'!$C$12,'1-Input'!$B$12,0))))*(1/(1-'P-Parametri'!$B$6*AK200))),MAX(0,2*MAX(0,AK176-IF($A200&gt;='1-Input'!$C$12,'1-Input'!$B$12,0))-(AO199-MIN(MAX(AO199,0),MAX(0,AK176-IF($A200&gt;='1-Input'!$C$12,'1-Input'!$B$12,0)))))*(1/(1-'P-Parametri'!$B$6*AK200))))</f>
        <v>21363.863192135679</v>
      </c>
      <c r="AM200" s="18">
        <f>IF($A200&gt;'1-Input'!$B$26,AO199,(AO199-MAX(0,AK176-IF($A200&gt;='1-Input'!$C$12,'1-Input'!$B$12,0))+AL200*(1-'P-Parametri'!$B$6*AK200))*(1+'1-Input'!$B$27))</f>
        <v>36137.103704198256</v>
      </c>
      <c r="AN200" s="18">
        <f>IF($A200&gt;'1-Input'!$B$26,AP199,(AP199-AL200)*(1+'5-Roberta'!$C$4))</f>
        <v>113813.0208791881</v>
      </c>
      <c r="AO200" s="18">
        <f>IF($A200&gt;'1-Input'!$B$26,AM200,AM200-'P-Parametri'!$B$8*(AN200+AM200)+MIN(MAX(AN200,0),'P-Parametri'!$B$8*(AN200+AM200)))</f>
        <v>36137.103704198256</v>
      </c>
      <c r="AP200" s="18">
        <f>IF($A200&gt;'1-Input'!$B$26,AN200,AN200-MIN(MAX(AN200,0),'P-Parametri'!$B$8*(AN200+AM200)))</f>
        <v>113513.12063002132</v>
      </c>
      <c r="AQ200" s="18">
        <f>IF($A200&gt;'1-Input'!$B$26,AQ199,AQ199-AL200*(1-AK200))</f>
        <v>48840.217057370814</v>
      </c>
    </row>
    <row r="201" spans="1:43">
      <c r="A201" s="10">
        <f>23</f>
        <v>23</v>
      </c>
      <c r="B201" s="11">
        <f>IF($A201&gt;'1-Input'!$B$26,0,IF(G200&lt;=0,0,MAX(0,(G200-H200)/G200)))</f>
        <v>0.57036185804425421</v>
      </c>
      <c r="C201" s="18">
        <f>IF($A201&gt;'1-Input'!$B$26,0,(MAX(0,B176-IF($A201&gt;='1-Input'!$C$12,'1-Input'!$B$12,0))-MIN(MAX(F200,0),MAX(0,B176-IF($A201&gt;='1-Input'!$C$12,'1-Input'!$B$12,0))))*(1/(1-'P-Parametri'!$B$6*B201))+MIN(MAX(0,G200-(MAX(0,B176-IF($A201&gt;='1-Input'!$C$12,'1-Input'!$B$12,0))-MIN(MAX(F200,0),MAX(0,B176-IF($A201&gt;='1-Input'!$C$12,'1-Input'!$B$12,0))))*(1/(1-'P-Parametri'!$B$6*B201))),MAX(0,2*MAX(0,B176-IF($A201&gt;='1-Input'!$C$12,'1-Input'!$B$12,0))-(F200-MIN(MAX(F200,0),MAX(0,B176-IF($A201&gt;='1-Input'!$C$12,'1-Input'!$B$12,0)))))*(1/(1-'P-Parametri'!$B$6*B201))))</f>
        <v>0</v>
      </c>
      <c r="D201" s="18">
        <f>IF($A201&gt;'1-Input'!$B$26,F200,(F200-MAX(0,B176-IF($A201&gt;='1-Input'!$C$12,'1-Input'!$B$12,0))+C201*(1-'P-Parametri'!$B$6*B201))*(1+'1-Input'!$B$27))</f>
        <v>27563.3650901816</v>
      </c>
      <c r="E201" s="18">
        <f>IF($A201&gt;'1-Input'!$B$26,G200,(G200-C201)*(1+'5-Roberta'!$C$4))</f>
        <v>173938.98924110134</v>
      </c>
      <c r="F201" s="18">
        <f>IF($A201&gt;'1-Input'!$B$26,D201,D201-'P-Parametri'!$B$8*(E201+D201)+MIN(MAX(E201,0),'P-Parametri'!$B$8*(E201+D201)))</f>
        <v>27563.3650901816</v>
      </c>
      <c r="G201" s="18">
        <f>IF($A201&gt;'1-Input'!$B$26,E201,E201-MIN(MAX(E201,0),'P-Parametri'!$B$8*(E201+D201)))</f>
        <v>173535.98453243877</v>
      </c>
      <c r="H201" s="18">
        <f>IF($A201&gt;'1-Input'!$B$26,H200,H200-C201*(1-B201))</f>
        <v>72554.198205055567</v>
      </c>
      <c r="I201" s="11">
        <f>IF($A201&gt;'1-Input'!$B$26,0,IF(N200&lt;=0,0,MAX(0,(N200-O200)/N200)))</f>
        <v>0</v>
      </c>
      <c r="J201" s="18">
        <f>IF($A201&gt;'1-Input'!$B$26,0,(MAX(0,I176-IF($A201&gt;='1-Input'!$C$12,'1-Input'!$B$12,0))-MIN(MAX(M200,0),MAX(0,I176-IF($A201&gt;='1-Input'!$C$12,'1-Input'!$B$12,0))))*(1/(1-'P-Parametri'!$B$6*I201))+MIN(MAX(0,N200-(MAX(0,I176-IF($A201&gt;='1-Input'!$C$12,'1-Input'!$B$12,0))-MIN(MAX(M200,0),MAX(0,I176-IF($A201&gt;='1-Input'!$C$12,'1-Input'!$B$12,0))))*(1/(1-'P-Parametri'!$B$6*I201))),MAX(0,2*MAX(0,I176-IF($A201&gt;='1-Input'!$C$12,'1-Input'!$B$12,0))-(M200-MIN(MAX(M200,0),MAX(0,I176-IF($A201&gt;='1-Input'!$C$12,'1-Input'!$B$12,0)))))*(1/(1-'P-Parametri'!$B$6*I201))))</f>
        <v>0</v>
      </c>
      <c r="K201" s="18">
        <f>IF($A201&gt;'1-Input'!$B$26,M200,(M200-MAX(0,I176-IF($A201&gt;='1-Input'!$C$12,'1-Input'!$B$12,0))+J201*(1-'P-Parametri'!$B$6*I201))*(1+'1-Input'!$B$27))</f>
        <v>6668.8434301310663</v>
      </c>
      <c r="L201" s="18">
        <f>IF($A201&gt;'1-Input'!$B$26,N200,(N200-J201)*(1+'5-Roberta'!$C$4))</f>
        <v>0</v>
      </c>
      <c r="M201" s="18">
        <f>IF($A201&gt;'1-Input'!$B$26,K201,K201-'P-Parametri'!$B$8*(L201+K201)+MIN(MAX(L201,0),'P-Parametri'!$B$8*(L201+K201)))</f>
        <v>6655.5057432708045</v>
      </c>
      <c r="N201" s="18">
        <f>IF($A201&gt;'1-Input'!$B$26,L201,L201-MIN(MAX(L201,0),'P-Parametri'!$B$8*(L201+K201)))</f>
        <v>0</v>
      </c>
      <c r="O201" s="18">
        <f>IF($A201&gt;'1-Input'!$B$26,O200,O200-J201*(1-I201))</f>
        <v>0</v>
      </c>
      <c r="P201" s="11">
        <f>IF($A201&gt;'1-Input'!$B$26,0,IF(U200&lt;=0,0,MAX(0,(U200-V200)/U200)))</f>
        <v>0.56959273659984755</v>
      </c>
      <c r="Q201" s="18">
        <f>IF($A201&gt;'1-Input'!$B$26,0,(MAX(0,P176-IF($A201&gt;='1-Input'!$C$12,'1-Input'!$B$12,0))-MIN(MAX(T200,0),MAX(0,P176-IF($A201&gt;='1-Input'!$C$12,'1-Input'!$B$12,0))))*(1/(1-'P-Parametri'!$B$6*P201))+MIN(MAX(0,U200-(MAX(0,P176-IF($A201&gt;='1-Input'!$C$12,'1-Input'!$B$12,0))-MIN(MAX(T200,0),MAX(0,P176-IF($A201&gt;='1-Input'!$C$12,'1-Input'!$B$12,0))))*(1/(1-'P-Parametri'!$B$6*P201))),MAX(0,2*MAX(0,P176-IF($A201&gt;='1-Input'!$C$12,'1-Input'!$B$12,0))-(T200-MIN(MAX(T200,0),MAX(0,P176-IF($A201&gt;='1-Input'!$C$12,'1-Input'!$B$12,0)))))*(1/(1-'P-Parametri'!$B$6*P201))))</f>
        <v>0</v>
      </c>
      <c r="R201" s="18">
        <f>IF($A201&gt;'1-Input'!$B$26,T200,(T200-MAX(0,P176-IF($A201&gt;='1-Input'!$C$12,'1-Input'!$B$12,0))+Q201*(1-'P-Parametri'!$B$6*P201))*(1+'1-Input'!$B$27))</f>
        <v>29257.042094518016</v>
      </c>
      <c r="S201" s="18">
        <f>IF($A201&gt;'1-Input'!$B$26,U200,(U200-Q201)*(1+'5-Roberta'!$C$4))</f>
        <v>106740.67476780975</v>
      </c>
      <c r="T201" s="18">
        <f>IF($A201&gt;'1-Input'!$B$26,R201,R201-'P-Parametri'!$B$8*(S201+R201)+MIN(MAX(S201,0),'P-Parametri'!$B$8*(S201+R201)))</f>
        <v>29257.042094518016</v>
      </c>
      <c r="U201" s="18">
        <f>IF($A201&gt;'1-Input'!$B$26,S201,S201-MIN(MAX(S201,0),'P-Parametri'!$B$8*(S201+R201)))</f>
        <v>106468.67933408509</v>
      </c>
      <c r="V201" s="18">
        <f>IF($A201&gt;'1-Input'!$B$26,V200,V200-Q201*(1-P201))</f>
        <v>44603.846330387081</v>
      </c>
      <c r="W201" s="11">
        <f>IF($A201&gt;'1-Input'!$B$26,0,IF(AB200&lt;=0,0,MAX(0,(AB200-AC200)/AB200)))</f>
        <v>0.56973598951521376</v>
      </c>
      <c r="X201" s="18">
        <f>IF($A201&gt;'1-Input'!$B$26,0,(MAX(0,W176-IF($A201&gt;='1-Input'!$C$12,'1-Input'!$B$12,0))-MIN(MAX(AA200,0),MAX(0,W176-IF($A201&gt;='1-Input'!$C$12,'1-Input'!$B$12,0))))*(1/(1-'P-Parametri'!$B$6*W201))+MIN(MAX(0,AB200-(MAX(0,W176-IF($A201&gt;='1-Input'!$C$12,'1-Input'!$B$12,0))-MIN(MAX(AA200,0),MAX(0,W176-IF($A201&gt;='1-Input'!$C$12,'1-Input'!$B$12,0))))*(1/(1-'P-Parametri'!$B$6*W201))),MAX(0,2*MAX(0,W176-IF($A201&gt;='1-Input'!$C$12,'1-Input'!$B$12,0))-(AA200-MIN(MAX(AA200,0),MAX(0,W176-IF($A201&gt;='1-Input'!$C$12,'1-Input'!$B$12,0)))))*(1/(1-'P-Parametri'!$B$6*W201))))</f>
        <v>0</v>
      </c>
      <c r="Y201" s="18">
        <f>IF($A201&gt;'1-Input'!$B$26,AA200,(AA200-MAX(0,W176-IF($A201&gt;='1-Input'!$C$12,'1-Input'!$B$12,0))+X201*(1-'P-Parametri'!$B$6*W201))*(1+'1-Input'!$B$27))</f>
        <v>29006.860947736615</v>
      </c>
      <c r="Z201" s="18">
        <f>IF($A201&gt;'1-Input'!$B$26,AB200,(AB200-X201)*(1+'5-Roberta'!$C$4))</f>
        <v>116665.80475927594</v>
      </c>
      <c r="AA201" s="18">
        <f>IF($A201&gt;'1-Input'!$B$26,Y201,Y201-'P-Parametri'!$B$8*(Z201+Y201)+MIN(MAX(Z201,0),'P-Parametri'!$B$8*(Z201+Y201)))</f>
        <v>29006.860947736615</v>
      </c>
      <c r="AB201" s="18">
        <f>IF($A201&gt;'1-Input'!$B$26,Z201,Z201-MIN(MAX(Z201,0),'P-Parametri'!$B$8*(Z201+Y201)))</f>
        <v>116374.45942786192</v>
      </c>
      <c r="AC201" s="18">
        <f>IF($A201&gt;'1-Input'!$B$26,AC200,AC200-X201*(1-W201))</f>
        <v>48735.045672001099</v>
      </c>
      <c r="AD201" s="11">
        <f>IF($A201&gt;'1-Input'!$B$26,0,IF(AI200&lt;=0,0,MAX(0,(AI200-AJ200)/AI200)))</f>
        <v>0.56973951462761152</v>
      </c>
      <c r="AE201" s="18">
        <f>IF($A201&gt;'1-Input'!$B$26,0,(MAX(0,AD176-IF($A201&gt;='1-Input'!$C$12,'1-Input'!$B$12,0))-MIN(MAX(AH200,0),MAX(0,AD176-IF($A201&gt;='1-Input'!$C$12,'1-Input'!$B$12,0))))*(1/(1-'P-Parametri'!$B$6*AD201))+MIN(MAX(0,AI200-(MAX(0,AD176-IF($A201&gt;='1-Input'!$C$12,'1-Input'!$B$12,0))-MIN(MAX(AH200,0),MAX(0,AD176-IF($A201&gt;='1-Input'!$C$12,'1-Input'!$B$12,0))))*(1/(1-'P-Parametri'!$B$6*AD201))),MAX(0,2*MAX(0,AD176-IF($A201&gt;='1-Input'!$C$12,'1-Input'!$B$12,0))-(AH200-MIN(MAX(AH200,0),MAX(0,AD176-IF($A201&gt;='1-Input'!$C$12,'1-Input'!$B$12,0)))))*(1/(1-'P-Parametri'!$B$6*AD201))))</f>
        <v>0</v>
      </c>
      <c r="AF201" s="18">
        <f>IF($A201&gt;'1-Input'!$B$26,AH200,(AH200-MAX(0,AD176-IF($A201&gt;='1-Input'!$C$12,'1-Input'!$B$12,0))+AE201*(1-'P-Parametri'!$B$6*AD201))*(1+'1-Input'!$B$27))</f>
        <v>29000.382819060385</v>
      </c>
      <c r="AG201" s="18">
        <f>IF($A201&gt;'1-Input'!$B$26,AI200,(AI200-AE201)*(1+'5-Roberta'!$C$4))</f>
        <v>116922.80919896576</v>
      </c>
      <c r="AH201" s="18">
        <f>IF($A201&gt;'1-Input'!$B$26,AF201,AF201-'P-Parametri'!$B$8*(AG201+AF201)+MIN(MAX(AG201,0),'P-Parametri'!$B$8*(AG201+AF201)))</f>
        <v>29000.382819060385</v>
      </c>
      <c r="AI201" s="18">
        <f>IF($A201&gt;'1-Input'!$B$26,AG201,AG201-MIN(MAX(AG201,0),'P-Parametri'!$B$8*(AG201+AF201)))</f>
        <v>116630.96281492971</v>
      </c>
      <c r="AJ201" s="18">
        <f>IF($A201&gt;'1-Input'!$B$26,AJ200,AJ200-AE201*(1-AD201))</f>
        <v>48842.004501990465</v>
      </c>
      <c r="AK201" s="11">
        <f>IF($A201&gt;'1-Input'!$B$26,0,IF(AP200&lt;=0,0,MAX(0,(AP200-AQ200)/AP200)))</f>
        <v>0.56973945578892116</v>
      </c>
      <c r="AL201" s="18">
        <f>IF($A201&gt;'1-Input'!$B$26,0,(MAX(0,AK176-IF($A201&gt;='1-Input'!$C$12,'1-Input'!$B$12,0))-MIN(MAX(AO200,0),MAX(0,AK176-IF($A201&gt;='1-Input'!$C$12,'1-Input'!$B$12,0))))*(1/(1-'P-Parametri'!$B$6*AK201))+MIN(MAX(0,AP200-(MAX(0,AK176-IF($A201&gt;='1-Input'!$C$12,'1-Input'!$B$12,0))-MIN(MAX(AO200,0),MAX(0,AK176-IF($A201&gt;='1-Input'!$C$12,'1-Input'!$B$12,0))))*(1/(1-'P-Parametri'!$B$6*AK201))),MAX(0,2*MAX(0,AK176-IF($A201&gt;='1-Input'!$C$12,'1-Input'!$B$12,0))-(AO200-MIN(MAX(AO200,0),MAX(0,AK176-IF($A201&gt;='1-Input'!$C$12,'1-Input'!$B$12,0)))))*(1/(1-'P-Parametri'!$B$6*AK201))))</f>
        <v>0</v>
      </c>
      <c r="AM201" s="18">
        <f>IF($A201&gt;'1-Input'!$B$26,AO200,(AO200-MAX(0,AK176-IF($A201&gt;='1-Input'!$C$12,'1-Input'!$B$12,0))+AL201*(1-'P-Parametri'!$B$6*AK201))*(1+'1-Input'!$B$27))</f>
        <v>29000.491078764007</v>
      </c>
      <c r="AN201" s="18">
        <f>IF($A201&gt;'1-Input'!$B$26,AP200,(AP200-AL201)*(1+'5-Roberta'!$C$4))</f>
        <v>116918.51424892197</v>
      </c>
      <c r="AO201" s="18">
        <f>IF($A201&gt;'1-Input'!$B$26,AM201,AM201-'P-Parametri'!$B$8*(AN201+AM201)+MIN(MAX(AN201,0),'P-Parametri'!$B$8*(AN201+AM201)))</f>
        <v>29000.491078764007</v>
      </c>
      <c r="AP201" s="18">
        <f>IF($A201&gt;'1-Input'!$B$26,AN201,AN201-MIN(MAX(AN201,0),'P-Parametri'!$B$8*(AN201+AM201)))</f>
        <v>116626.67623826661</v>
      </c>
      <c r="AQ201" s="18">
        <f>IF($A201&gt;'1-Input'!$B$26,AQ200,AQ200-AL201*(1-AK201))</f>
        <v>48840.217057370814</v>
      </c>
    </row>
    <row r="202" spans="1:43">
      <c r="A202" s="10">
        <f>24</f>
        <v>24</v>
      </c>
      <c r="B202" s="11">
        <f>IF($A202&gt;'1-Input'!$B$26,0,IF(G201&lt;=0,0,MAX(0,(G201-H201)/G201)))</f>
        <v>0.58190689728969069</v>
      </c>
      <c r="C202" s="18">
        <f>IF($A202&gt;'1-Input'!$B$26,0,(MAX(0,B176-IF($A202&gt;='1-Input'!$C$12,'1-Input'!$B$12,0))-MIN(MAX(F201,0),MAX(0,B176-IF($A202&gt;='1-Input'!$C$12,'1-Input'!$B$12,0))))*(1/(1-'P-Parametri'!$B$6*B202))+MIN(MAX(0,G201-(MAX(0,B176-IF($A202&gt;='1-Input'!$C$12,'1-Input'!$B$12,0))-MIN(MAX(F201,0),MAX(0,B176-IF($A202&gt;='1-Input'!$C$12,'1-Input'!$B$12,0))))*(1/(1-'P-Parametri'!$B$6*B202))),MAX(0,2*MAX(0,B176-IF($A202&gt;='1-Input'!$C$12,'1-Input'!$B$12,0))-(F201-MIN(MAX(F201,0),MAX(0,B176-IF($A202&gt;='1-Input'!$C$12,'1-Input'!$B$12,0)))))*(1/(1-'P-Parametri'!$B$6*B202))))</f>
        <v>0</v>
      </c>
      <c r="D202" s="18">
        <f>IF($A202&gt;'1-Input'!$B$26,F201,(F201-MAX(0,B176-IF($A202&gt;='1-Input'!$C$12,'1-Input'!$B$12,0))+C202*(1-'P-Parametri'!$B$6*B202))*(1+'1-Input'!$B$27))</f>
        <v>21905.166260363796</v>
      </c>
      <c r="E202" s="18">
        <f>IF($A202&gt;'1-Input'!$B$26,G201,(G201-C202)*(1+'5-Roberta'!$C$4))</f>
        <v>178742.06406841194</v>
      </c>
      <c r="F202" s="18">
        <f>IF($A202&gt;'1-Input'!$B$26,D202,D202-'P-Parametri'!$B$8*(E202+D202)+MIN(MAX(E202,0),'P-Parametri'!$B$8*(E202+D202)))</f>
        <v>21905.166260363796</v>
      </c>
      <c r="G202" s="18">
        <f>IF($A202&gt;'1-Input'!$B$26,E202,E202-MIN(MAX(E202,0),'P-Parametri'!$B$8*(E202+D202)))</f>
        <v>178340.7696077544</v>
      </c>
      <c r="H202" s="18">
        <f>IF($A202&gt;'1-Input'!$B$26,H201,H201-C202*(1-B202))</f>
        <v>72554.198205055567</v>
      </c>
      <c r="I202" s="11">
        <f>IF($A202&gt;'1-Input'!$B$26,0,IF(N201&lt;=0,0,MAX(0,(N201-O201)/N201)))</f>
        <v>0</v>
      </c>
      <c r="J202" s="18">
        <f>IF($A202&gt;'1-Input'!$B$26,0,(MAX(0,I176-IF($A202&gt;='1-Input'!$C$12,'1-Input'!$B$12,0))-MIN(MAX(M201,0),MAX(0,I176-IF($A202&gt;='1-Input'!$C$12,'1-Input'!$B$12,0))))*(1/(1-'P-Parametri'!$B$6*I202))+MIN(MAX(0,N201-(MAX(0,I176-IF($A202&gt;='1-Input'!$C$12,'1-Input'!$B$12,0))-MIN(MAX(M201,0),MAX(0,I176-IF($A202&gt;='1-Input'!$C$12,'1-Input'!$B$12,0))))*(1/(1-'P-Parametri'!$B$6*I202))),MAX(0,2*MAX(0,I176-IF($A202&gt;='1-Input'!$C$12,'1-Input'!$B$12,0))-(M201-MIN(MAX(M201,0),MAX(0,I176-IF($A202&gt;='1-Input'!$C$12,'1-Input'!$B$12,0)))))*(1/(1-'P-Parametri'!$B$6*I202))))</f>
        <v>4191.2512496578865</v>
      </c>
      <c r="K202" s="18">
        <f>IF($A202&gt;'1-Input'!$B$26,M201,(M201-MAX(0,I176-IF($A202&gt;='1-Input'!$C$12,'1-Input'!$B$12,0))+J202*(1-'P-Parametri'!$B$6*I202))*(1+'1-Input'!$B$27))</f>
        <v>0</v>
      </c>
      <c r="L202" s="18">
        <f>IF($A202&gt;'1-Input'!$B$26,N201,(N201-J202)*(1+'5-Roberta'!$C$4))</f>
        <v>-4316.988787147623</v>
      </c>
      <c r="M202" s="18">
        <f>IF($A202&gt;'1-Input'!$B$26,K202,K202-'P-Parametri'!$B$8*(L202+K202)+MIN(MAX(L202,0),'P-Parametri'!$B$8*(L202+K202)))</f>
        <v>0</v>
      </c>
      <c r="N202" s="18">
        <f>IF($A202&gt;'1-Input'!$B$26,L202,L202-MIN(MAX(L202,0),'P-Parametri'!$B$8*(L202+K202)))</f>
        <v>-4308.3548095733277</v>
      </c>
      <c r="O202" s="18">
        <f>IF($A202&gt;'1-Input'!$B$26,O201,O201-J202*(1-I202))</f>
        <v>-4191.2512496578865</v>
      </c>
      <c r="P202" s="11">
        <f>IF($A202&gt;'1-Input'!$B$26,0,IF(U201&lt;=0,0,MAX(0,(U201-V201)/U201)))</f>
        <v>0.58106133550857786</v>
      </c>
      <c r="Q202" s="18">
        <f>IF($A202&gt;'1-Input'!$B$26,0,(MAX(0,P176-IF($A202&gt;='1-Input'!$C$12,'1-Input'!$B$12,0))-MIN(MAX(T201,0),MAX(0,P176-IF($A202&gt;='1-Input'!$C$12,'1-Input'!$B$12,0))))*(1/(1-'P-Parametri'!$B$6*P202))+MIN(MAX(0,U201-(MAX(0,P176-IF($A202&gt;='1-Input'!$C$12,'1-Input'!$B$12,0))-MIN(MAX(T201,0),MAX(0,P176-IF($A202&gt;='1-Input'!$C$12,'1-Input'!$B$12,0))))*(1/(1-'P-Parametri'!$B$6*P202))),MAX(0,2*MAX(0,P176-IF($A202&gt;='1-Input'!$C$12,'1-Input'!$B$12,0))-(T201-MIN(MAX(T201,0),MAX(0,P176-IF($A202&gt;='1-Input'!$C$12,'1-Input'!$B$12,0)))))*(1/(1-'P-Parametri'!$B$6*P202))))</f>
        <v>0</v>
      </c>
      <c r="R202" s="18">
        <f>IF($A202&gt;'1-Input'!$B$26,T201,(T201-MAX(0,P176-IF($A202&gt;='1-Input'!$C$12,'1-Input'!$B$12,0))+Q202*(1-'P-Parametri'!$B$6*P202))*(1+'1-Input'!$B$27))</f>
        <v>21886.786111754926</v>
      </c>
      <c r="S202" s="18">
        <f>IF($A202&gt;'1-Input'!$B$26,U201,(U201-Q202)*(1+'5-Roberta'!$C$4))</f>
        <v>109662.73971410764</v>
      </c>
      <c r="T202" s="18">
        <f>IF($A202&gt;'1-Input'!$B$26,R202,R202-'P-Parametri'!$B$8*(S202+R202)+MIN(MAX(S202,0),'P-Parametri'!$B$8*(S202+R202)))</f>
        <v>21886.786111754926</v>
      </c>
      <c r="U202" s="18">
        <f>IF($A202&gt;'1-Input'!$B$26,S202,S202-MIN(MAX(S202,0),'P-Parametri'!$B$8*(S202+R202)))</f>
        <v>109399.64066245592</v>
      </c>
      <c r="V202" s="18">
        <f>IF($A202&gt;'1-Input'!$B$26,V201,V201-Q202*(1-P202))</f>
        <v>44603.846330387081</v>
      </c>
      <c r="W202" s="11">
        <f>IF($A202&gt;'1-Input'!$B$26,0,IF(AB201&lt;=0,0,MAX(0,(AB201-AC201)/AB201)))</f>
        <v>0.58122215208044914</v>
      </c>
      <c r="X202" s="18">
        <f>IF($A202&gt;'1-Input'!$B$26,0,(MAX(0,W176-IF($A202&gt;='1-Input'!$C$12,'1-Input'!$B$12,0))-MIN(MAX(AA201,0),MAX(0,W176-IF($A202&gt;='1-Input'!$C$12,'1-Input'!$B$12,0))))*(1/(1-'P-Parametri'!$B$6*W202))+MIN(MAX(0,AB201-(MAX(0,W176-IF($A202&gt;='1-Input'!$C$12,'1-Input'!$B$12,0))-MIN(MAX(AA201,0),MAX(0,W176-IF($A202&gt;='1-Input'!$C$12,'1-Input'!$B$12,0))))*(1/(1-'P-Parametri'!$B$6*W202))),MAX(0,2*MAX(0,W176-IF($A202&gt;='1-Input'!$C$12,'1-Input'!$B$12,0))-(AA201-MIN(MAX(AA201,0),MAX(0,W176-IF($A202&gt;='1-Input'!$C$12,'1-Input'!$B$12,0)))))*(1/(1-'P-Parametri'!$B$6*W202))))</f>
        <v>0</v>
      </c>
      <c r="Y202" s="18">
        <f>IF($A202&gt;'1-Input'!$B$26,AA201,(AA201-MAX(0,W176-IF($A202&gt;='1-Input'!$C$12,'1-Input'!$B$12,0))+X202*(1-'P-Parametri'!$B$6*W202))*(1+'1-Input'!$B$27))</f>
        <v>21889.501131587636</v>
      </c>
      <c r="Z202" s="18">
        <f>IF($A202&gt;'1-Input'!$B$26,AB201,(AB201-X202)*(1+'5-Roberta'!$C$4))</f>
        <v>119865.69321069778</v>
      </c>
      <c r="AA202" s="18">
        <f>IF($A202&gt;'1-Input'!$B$26,Y202,Y202-'P-Parametri'!$B$8*(Z202+Y202)+MIN(MAX(Z202,0),'P-Parametri'!$B$8*(Z202+Y202)))</f>
        <v>21889.501131587636</v>
      </c>
      <c r="AB202" s="18">
        <f>IF($A202&gt;'1-Input'!$B$26,Z202,Z202-MIN(MAX(Z202,0),'P-Parametri'!$B$8*(Z202+Y202)))</f>
        <v>119582.1828220132</v>
      </c>
      <c r="AC202" s="18">
        <f>IF($A202&gt;'1-Input'!$B$26,AC201,AC201-X202*(1-W202))</f>
        <v>48735.045672001099</v>
      </c>
      <c r="AD202" s="11">
        <f>IF($A202&gt;'1-Input'!$B$26,0,IF(AI201&lt;=0,0,MAX(0,(AI201-AJ201)/AI201)))</f>
        <v>0.58122608848309798</v>
      </c>
      <c r="AE202" s="18">
        <f>IF($A202&gt;'1-Input'!$B$26,0,(MAX(0,AD176-IF($A202&gt;='1-Input'!$C$12,'1-Input'!$B$12,0))-MIN(MAX(AH201,0),MAX(0,AD176-IF($A202&gt;='1-Input'!$C$12,'1-Input'!$B$12,0))))*(1/(1-'P-Parametri'!$B$6*AD202))+MIN(MAX(0,AI201-(MAX(0,AD176-IF($A202&gt;='1-Input'!$C$12,'1-Input'!$B$12,0))-MIN(MAX(AH201,0),MAX(0,AD176-IF($A202&gt;='1-Input'!$C$12,'1-Input'!$B$12,0))))*(1/(1-'P-Parametri'!$B$6*AD202))),MAX(0,2*MAX(0,AD176-IF($A202&gt;='1-Input'!$C$12,'1-Input'!$B$12,0))-(AH201-MIN(MAX(AH201,0),MAX(0,AD176-IF($A202&gt;='1-Input'!$C$12,'1-Input'!$B$12,0)))))*(1/(1-'P-Parametri'!$B$6*AD202))))</f>
        <v>0</v>
      </c>
      <c r="AF202" s="18">
        <f>IF($A202&gt;'1-Input'!$B$26,AH201,(AH201-MAX(0,AD176-IF($A202&gt;='1-Input'!$C$12,'1-Input'!$B$12,0))+AE202*(1-'P-Parametri'!$B$6*AD202))*(1+'1-Input'!$B$27))</f>
        <v>21889.571433639012</v>
      </c>
      <c r="AG202" s="18">
        <f>IF($A202&gt;'1-Input'!$B$26,AI201,(AI201-AE202)*(1+'5-Roberta'!$C$4))</f>
        <v>120129.89169937761</v>
      </c>
      <c r="AH202" s="18">
        <f>IF($A202&gt;'1-Input'!$B$26,AF202,AF202-'P-Parametri'!$B$8*(AG202+AF202)+MIN(MAX(AG202,0),'P-Parametri'!$B$8*(AG202+AF202)))</f>
        <v>21889.571433639012</v>
      </c>
      <c r="AI202" s="18">
        <f>IF($A202&gt;'1-Input'!$B$26,AG202,AG202-MIN(MAX(AG202,0),'P-Parametri'!$B$8*(AG202+AF202)))</f>
        <v>119845.85277311158</v>
      </c>
      <c r="AJ202" s="18">
        <f>IF($A202&gt;'1-Input'!$B$26,AJ201,AJ201-AE202*(1-AD202))</f>
        <v>48842.004501990465</v>
      </c>
      <c r="AK202" s="11">
        <f>IF($A202&gt;'1-Input'!$B$26,0,IF(AP201&lt;=0,0,MAX(0,(AP201-AQ201)/AP201)))</f>
        <v>0.58122602278752278</v>
      </c>
      <c r="AL202" s="18">
        <f>IF($A202&gt;'1-Input'!$B$26,0,(MAX(0,AK176-IF($A202&gt;='1-Input'!$C$12,'1-Input'!$B$12,0))-MIN(MAX(AO201,0),MAX(0,AK176-IF($A202&gt;='1-Input'!$C$12,'1-Input'!$B$12,0))))*(1/(1-'P-Parametri'!$B$6*AK202))+MIN(MAX(0,AP201-(MAX(0,AK176-IF($A202&gt;='1-Input'!$C$12,'1-Input'!$B$12,0))-MIN(MAX(AO201,0),MAX(0,AK176-IF($A202&gt;='1-Input'!$C$12,'1-Input'!$B$12,0))))*(1/(1-'P-Parametri'!$B$6*AK202))),MAX(0,2*MAX(0,AK176-IF($A202&gt;='1-Input'!$C$12,'1-Input'!$B$12,0))-(AO201-MIN(MAX(AO201,0),MAX(0,AK176-IF($A202&gt;='1-Input'!$C$12,'1-Input'!$B$12,0)))))*(1/(1-'P-Parametri'!$B$6*AK202))))</f>
        <v>0</v>
      </c>
      <c r="AM202" s="18">
        <f>IF($A202&gt;'1-Input'!$B$26,AO201,(AO201-MAX(0,AK176-IF($A202&gt;='1-Input'!$C$12,'1-Input'!$B$12,0))+AL202*(1-'P-Parametri'!$B$6*AK202))*(1+'1-Input'!$B$27))</f>
        <v>21889.570258781321</v>
      </c>
      <c r="AN202" s="18">
        <f>IF($A202&gt;'1-Input'!$B$26,AP201,(AP201-AL202)*(1+'5-Roberta'!$C$4))</f>
        <v>120125.4765254146</v>
      </c>
      <c r="AO202" s="18">
        <f>IF($A202&gt;'1-Input'!$B$26,AM202,AM202-'P-Parametri'!$B$8*(AN202+AM202)+MIN(MAX(AN202,0),'P-Parametri'!$B$8*(AN202+AM202)))</f>
        <v>21889.570258781321</v>
      </c>
      <c r="AP202" s="18">
        <f>IF($A202&gt;'1-Input'!$B$26,AN202,AN202-MIN(MAX(AN202,0),'P-Parametri'!$B$8*(AN202+AM202)))</f>
        <v>119841.44643184621</v>
      </c>
      <c r="AQ202" s="18">
        <f>IF($A202&gt;'1-Input'!$B$26,AQ201,AQ201-AL202*(1-AK202))</f>
        <v>48840.217057370814</v>
      </c>
    </row>
    <row r="203" spans="1:43">
      <c r="A203" s="10">
        <f>25</f>
        <v>25</v>
      </c>
      <c r="B203" s="11">
        <f>IF($A203&gt;'1-Input'!$B$26,0,IF(G202&lt;=0,0,MAX(0,(G202-H202)/G202)))</f>
        <v>0.59317099301167953</v>
      </c>
      <c r="C203" s="18">
        <f>IF($A203&gt;'1-Input'!$B$26,0,(MAX(0,B176-IF($A203&gt;='1-Input'!$C$12,'1-Input'!$B$12,0))-MIN(MAX(F202,0),MAX(0,B176-IF($A203&gt;='1-Input'!$C$12,'1-Input'!$B$12,0))))*(1/(1-'P-Parametri'!$B$6*B203))+MIN(MAX(0,G202-(MAX(0,B176-IF($A203&gt;='1-Input'!$C$12,'1-Input'!$B$12,0))-MIN(MAX(F202,0),MAX(0,B176-IF($A203&gt;='1-Input'!$C$12,'1-Input'!$B$12,0))))*(1/(1-'P-Parametri'!$B$6*B203))),MAX(0,2*MAX(0,B176-IF($A203&gt;='1-Input'!$C$12,'1-Input'!$B$12,0))-(F202-MIN(MAX(F202,0),MAX(0,B176-IF($A203&gt;='1-Input'!$C$12,'1-Input'!$B$12,0)))))*(1/(1-'P-Parametri'!$B$6*B203))))</f>
        <v>0</v>
      </c>
      <c r="D203" s="18">
        <f>IF($A203&gt;'1-Input'!$B$26,F202,(F202-MAX(0,B176-IF($A203&gt;='1-Input'!$C$12,'1-Input'!$B$12,0))+C203*(1-'P-Parametri'!$B$6*B203))*(1+'1-Input'!$B$27))</f>
        <v>16267.336946333337</v>
      </c>
      <c r="E203" s="18">
        <f>IF($A203&gt;'1-Input'!$B$26,G202,(G202-C203)*(1+'5-Roberta'!$C$4))</f>
        <v>183690.99269598702</v>
      </c>
      <c r="F203" s="18">
        <f>IF($A203&gt;'1-Input'!$B$26,D203,D203-'P-Parametri'!$B$8*(E203+D203)+MIN(MAX(E203,0),'P-Parametri'!$B$8*(E203+D203)))</f>
        <v>16267.336946333337</v>
      </c>
      <c r="G203" s="18">
        <f>IF($A203&gt;'1-Input'!$B$26,E203,E203-MIN(MAX(E203,0),'P-Parametri'!$B$8*(E203+D203)))</f>
        <v>183291.07603670238</v>
      </c>
      <c r="H203" s="18">
        <f>IF($A203&gt;'1-Input'!$B$26,H202,H202-C203*(1-B203))</f>
        <v>72554.198205055567</v>
      </c>
      <c r="I203" s="11">
        <f>IF($A203&gt;'1-Input'!$B$26,0,IF(N202&lt;=0,0,MAX(0,(N202-O202)/N202)))</f>
        <v>0</v>
      </c>
      <c r="J203" s="18">
        <f>IF($A203&gt;'1-Input'!$B$26,0,(MAX(0,I176-IF($A203&gt;='1-Input'!$C$12,'1-Input'!$B$12,0))-MIN(MAX(M202,0),MAX(0,I176-IF($A203&gt;='1-Input'!$C$12,'1-Input'!$B$12,0))))*(1/(1-'P-Parametri'!$B$6*I203))+MIN(MAX(0,N202-(MAX(0,I176-IF($A203&gt;='1-Input'!$C$12,'1-Input'!$B$12,0))-MIN(MAX(M202,0),MAX(0,I176-IF($A203&gt;='1-Input'!$C$12,'1-Input'!$B$12,0))))*(1/(1-'P-Parametri'!$B$6*I203))),MAX(0,2*MAX(0,I176-IF($A203&gt;='1-Input'!$C$12,'1-Input'!$B$12,0))-(M202-MIN(MAX(M202,0),MAX(0,I176-IF($A203&gt;='1-Input'!$C$12,'1-Input'!$B$12,0)))))*(1/(1-'P-Parametri'!$B$6*I203))))</f>
        <v>10846.756992928691</v>
      </c>
      <c r="K203" s="18">
        <f>IF($A203&gt;'1-Input'!$B$26,M202,(M202-MAX(0,I176-IF($A203&gt;='1-Input'!$C$12,'1-Input'!$B$12,0))+J203*(1-'P-Parametri'!$B$6*I203))*(1+'1-Input'!$B$27))</f>
        <v>0</v>
      </c>
      <c r="L203" s="18">
        <f>IF($A203&gt;'1-Input'!$B$26,N202,(N202-J203)*(1+'5-Roberta'!$C$4))</f>
        <v>-15609.765156577079</v>
      </c>
      <c r="M203" s="18">
        <f>IF($A203&gt;'1-Input'!$B$26,K203,K203-'P-Parametri'!$B$8*(L203+K203)+MIN(MAX(L203,0),'P-Parametri'!$B$8*(L203+K203)))</f>
        <v>0</v>
      </c>
      <c r="N203" s="18">
        <f>IF($A203&gt;'1-Input'!$B$26,L203,L203-MIN(MAX(L203,0),'P-Parametri'!$B$8*(L203+K203)))</f>
        <v>-15578.545626263925</v>
      </c>
      <c r="O203" s="18">
        <f>IF($A203&gt;'1-Input'!$B$26,O202,O202-J203*(1-I203))</f>
        <v>-15038.008242586577</v>
      </c>
      <c r="P203" s="11">
        <f>IF($A203&gt;'1-Input'!$B$26,0,IF(U202&lt;=0,0,MAX(0,(U202-V202)/U202)))</f>
        <v>0.59228525742594729</v>
      </c>
      <c r="Q203" s="18">
        <f>IF($A203&gt;'1-Input'!$B$26,0,(MAX(0,P176-IF($A203&gt;='1-Input'!$C$12,'1-Input'!$B$12,0))-MIN(MAX(T202,0),MAX(0,P176-IF($A203&gt;='1-Input'!$C$12,'1-Input'!$B$12,0))))*(1/(1-'P-Parametri'!$B$6*P203))+MIN(MAX(0,U202-(MAX(0,P176-IF($A203&gt;='1-Input'!$C$12,'1-Input'!$B$12,0))-MIN(MAX(T202,0),MAX(0,P176-IF($A203&gt;='1-Input'!$C$12,'1-Input'!$B$12,0))))*(1/(1-'P-Parametri'!$B$6*P203))),MAX(0,2*MAX(0,P176-IF($A203&gt;='1-Input'!$C$12,'1-Input'!$B$12,0))-(T202-MIN(MAX(T202,0),MAX(0,P176-IF($A203&gt;='1-Input'!$C$12,'1-Input'!$B$12,0)))))*(1/(1-'P-Parametri'!$B$6*P203))))</f>
        <v>0</v>
      </c>
      <c r="R203" s="18">
        <f>IF($A203&gt;'1-Input'!$B$26,T202,(T202-MAX(0,P176-IF($A203&gt;='1-Input'!$C$12,'1-Input'!$B$12,0))+Q203*(1-'P-Parametri'!$B$6*P203))*(1+'1-Input'!$B$27))</f>
        <v>14543.063050529781</v>
      </c>
      <c r="S203" s="18">
        <f>IF($A203&gt;'1-Input'!$B$26,U202,(U202-Q203)*(1+'5-Roberta'!$C$4))</f>
        <v>112681.62988232959</v>
      </c>
      <c r="T203" s="18">
        <f>IF($A203&gt;'1-Input'!$B$26,R203,R203-'P-Parametri'!$B$8*(S203+R203)+MIN(MAX(S203,0),'P-Parametri'!$B$8*(S203+R203)))</f>
        <v>14543.063050529781</v>
      </c>
      <c r="U203" s="18">
        <f>IF($A203&gt;'1-Input'!$B$26,S203,S203-MIN(MAX(S203,0),'P-Parametri'!$B$8*(S203+R203)))</f>
        <v>112427.18049646387</v>
      </c>
      <c r="V203" s="18">
        <f>IF($A203&gt;'1-Input'!$B$26,V202,V202-Q203*(1-P203))</f>
        <v>44603.846330387081</v>
      </c>
      <c r="W203" s="11">
        <f>IF($A203&gt;'1-Input'!$B$26,0,IF(AB202&lt;=0,0,MAX(0,(AB202-AC202)/AB202)))</f>
        <v>0.59245562740279945</v>
      </c>
      <c r="X203" s="18">
        <f>IF($A203&gt;'1-Input'!$B$26,0,(MAX(0,W176-IF($A203&gt;='1-Input'!$C$12,'1-Input'!$B$12,0))-MIN(MAX(AA202,0),MAX(0,W176-IF($A203&gt;='1-Input'!$C$12,'1-Input'!$B$12,0))))*(1/(1-'P-Parametri'!$B$6*W203))+MIN(MAX(0,AB202-(MAX(0,W176-IF($A203&gt;='1-Input'!$C$12,'1-Input'!$B$12,0))-MIN(MAX(AA202,0),MAX(0,W176-IF($A203&gt;='1-Input'!$C$12,'1-Input'!$B$12,0))))*(1/(1-'P-Parametri'!$B$6*W203))),MAX(0,2*MAX(0,W176-IF($A203&gt;='1-Input'!$C$12,'1-Input'!$B$12,0))-(AA202-MIN(MAX(AA202,0),MAX(0,W176-IF($A203&gt;='1-Input'!$C$12,'1-Input'!$B$12,0)))))*(1/(1-'P-Parametri'!$B$6*W203))))</f>
        <v>0</v>
      </c>
      <c r="Y203" s="18">
        <f>IF($A203&gt;'1-Input'!$B$26,AA202,(AA202-MAX(0,W176-IF($A203&gt;='1-Input'!$C$12,'1-Input'!$B$12,0))+X203*(1-'P-Parametri'!$B$6*W203))*(1+'1-Input'!$B$27))</f>
        <v>14797.763810776794</v>
      </c>
      <c r="Z203" s="18">
        <f>IF($A203&gt;'1-Input'!$B$26,AB202,(AB202-X203)*(1+'5-Roberta'!$C$4))</f>
        <v>123169.6483066736</v>
      </c>
      <c r="AA203" s="18">
        <f>IF($A203&gt;'1-Input'!$B$26,Y203,Y203-'P-Parametri'!$B$8*(Z203+Y203)+MIN(MAX(Z203,0),'P-Parametri'!$B$8*(Z203+Y203)))</f>
        <v>14797.763810776794</v>
      </c>
      <c r="AB203" s="18">
        <f>IF($A203&gt;'1-Input'!$B$26,Z203,Z203-MIN(MAX(Z203,0),'P-Parametri'!$B$8*(Z203+Y203)))</f>
        <v>122893.71348243869</v>
      </c>
      <c r="AC203" s="18">
        <f>IF($A203&gt;'1-Input'!$B$26,AC202,AC202-X203*(1-W203))</f>
        <v>48735.045672001099</v>
      </c>
      <c r="AD203" s="11">
        <f>IF($A203&gt;'1-Input'!$B$26,0,IF(AI202&lt;=0,0,MAX(0,(AI202-AJ202)/AI202)))</f>
        <v>0.59245978586796311</v>
      </c>
      <c r="AE203" s="18">
        <f>IF($A203&gt;'1-Input'!$B$26,0,(MAX(0,AD176-IF($A203&gt;='1-Input'!$C$12,'1-Input'!$B$12,0))-MIN(MAX(AH202,0),MAX(0,AD176-IF($A203&gt;='1-Input'!$C$12,'1-Input'!$B$12,0))))*(1/(1-'P-Parametri'!$B$6*AD203))+MIN(MAX(0,AI202-(MAX(0,AD176-IF($A203&gt;='1-Input'!$C$12,'1-Input'!$B$12,0))-MIN(MAX(AH202,0),MAX(0,AD176-IF($A203&gt;='1-Input'!$C$12,'1-Input'!$B$12,0))))*(1/(1-'P-Parametri'!$B$6*AD203))),MAX(0,2*MAX(0,AD176-IF($A203&gt;='1-Input'!$C$12,'1-Input'!$B$12,0))-(AH202-MIN(MAX(AH202,0),MAX(0,AD176-IF($A203&gt;='1-Input'!$C$12,'1-Input'!$B$12,0)))))*(1/(1-'P-Parametri'!$B$6*AD203))))</f>
        <v>0</v>
      </c>
      <c r="AF203" s="18">
        <f>IF($A203&gt;'1-Input'!$B$26,AH202,(AH202-MAX(0,AD176-IF($A203&gt;='1-Input'!$C$12,'1-Input'!$B$12,0))+AE203*(1-'P-Parametri'!$B$6*AD203))*(1+'1-Input'!$B$27))</f>
        <v>14804.358969205157</v>
      </c>
      <c r="AG203" s="18">
        <f>IF($A203&gt;'1-Input'!$B$26,AI202,(AI202-AE203)*(1+'5-Roberta'!$C$4))</f>
        <v>123441.22835630493</v>
      </c>
      <c r="AH203" s="18">
        <f>IF($A203&gt;'1-Input'!$B$26,AF203,AF203-'P-Parametri'!$B$8*(AG203+AF203)+MIN(MAX(AG203,0),'P-Parametri'!$B$8*(AG203+AF203)))</f>
        <v>14804.358969205157</v>
      </c>
      <c r="AI203" s="18">
        <f>IF($A203&gt;'1-Input'!$B$26,AG203,AG203-MIN(MAX(AG203,0),'P-Parametri'!$B$8*(AG203+AF203)))</f>
        <v>123164.73718165391</v>
      </c>
      <c r="AJ203" s="18">
        <f>IF($A203&gt;'1-Input'!$B$26,AJ202,AJ202-AE203*(1-AD203))</f>
        <v>48842.004501990465</v>
      </c>
      <c r="AK203" s="11">
        <f>IF($A203&gt;'1-Input'!$B$26,0,IF(AP202&lt;=0,0,MAX(0,(AP202-AQ202)/AP202)))</f>
        <v>0.59245971647091034</v>
      </c>
      <c r="AL203" s="18">
        <f>IF($A203&gt;'1-Input'!$B$26,0,(MAX(0,AK176-IF($A203&gt;='1-Input'!$C$12,'1-Input'!$B$12,0))-MIN(MAX(AO202,0),MAX(0,AK176-IF($A203&gt;='1-Input'!$C$12,'1-Input'!$B$12,0))))*(1/(1-'P-Parametri'!$B$6*AK203))+MIN(MAX(0,AP202-(MAX(0,AK176-IF($A203&gt;='1-Input'!$C$12,'1-Input'!$B$12,0))-MIN(MAX(AO202,0),MAX(0,AK176-IF($A203&gt;='1-Input'!$C$12,'1-Input'!$B$12,0))))*(1/(1-'P-Parametri'!$B$6*AK203))),MAX(0,2*MAX(0,AK176-IF($A203&gt;='1-Input'!$C$12,'1-Input'!$B$12,0))-(AO202-MIN(MAX(AO202,0),MAX(0,AK176-IF($A203&gt;='1-Input'!$C$12,'1-Input'!$B$12,0)))))*(1/(1-'P-Parametri'!$B$6*AK203))))</f>
        <v>0</v>
      </c>
      <c r="AM203" s="18">
        <f>IF($A203&gt;'1-Input'!$B$26,AO202,(AO202-MAX(0,AK176-IF($A203&gt;='1-Input'!$C$12,'1-Input'!$B$12,0))+AL203*(1-'P-Parametri'!$B$6*AK203))*(1+'1-Input'!$B$27))</f>
        <v>14804.248753750575</v>
      </c>
      <c r="AN203" s="18">
        <f>IF($A203&gt;'1-Input'!$B$26,AP202,(AP202-AL203)*(1+'5-Roberta'!$C$4))</f>
        <v>123436.68982480161</v>
      </c>
      <c r="AO203" s="18">
        <f>IF($A203&gt;'1-Input'!$B$26,AM203,AM203-'P-Parametri'!$B$8*(AN203+AM203)+MIN(MAX(AN203,0),'P-Parametri'!$B$8*(AN203+AM203)))</f>
        <v>14804.248753750575</v>
      </c>
      <c r="AP203" s="18">
        <f>IF($A203&gt;'1-Input'!$B$26,AN203,AN203-MIN(MAX(AN203,0),'P-Parametri'!$B$8*(AN203+AM203)))</f>
        <v>123160.20794764451</v>
      </c>
      <c r="AQ203" s="18">
        <f>IF($A203&gt;'1-Input'!$B$26,AQ202,AQ202-AL203*(1-AK203))</f>
        <v>48840.217057370814</v>
      </c>
    </row>
    <row r="204" spans="1:43">
      <c r="A204" s="10">
        <f>26</f>
        <v>26</v>
      </c>
      <c r="B204" s="11">
        <f>IF($A204&gt;'1-Input'!$B$26,0,IF(G203&lt;=0,0,MAX(0,(G203-H203)/G203)))</f>
        <v>0.60415858876551498</v>
      </c>
      <c r="C204" s="18">
        <f>IF($A204&gt;'1-Input'!$B$26,0,(MAX(0,B176-IF($A204&gt;='1-Input'!$C$12,'1-Input'!$B$12,0))-MIN(MAX(F203,0),MAX(0,B176-IF($A204&gt;='1-Input'!$C$12,'1-Input'!$B$12,0))))*(1/(1-'P-Parametri'!$B$6*B204))+MIN(MAX(0,G203-(MAX(0,B176-IF($A204&gt;='1-Input'!$C$12,'1-Input'!$B$12,0))-MIN(MAX(F203,0),MAX(0,B176-IF($A204&gt;='1-Input'!$C$12,'1-Input'!$B$12,0))))*(1/(1-'P-Parametri'!$B$6*B204))),MAX(0,2*MAX(0,B176-IF($A204&gt;='1-Input'!$C$12,'1-Input'!$B$12,0))-(F203-MIN(MAX(F203,0),MAX(0,B176-IF($A204&gt;='1-Input'!$C$12,'1-Input'!$B$12,0)))))*(1/(1-'P-Parametri'!$B$6*B204))))</f>
        <v>557.38348223076559</v>
      </c>
      <c r="D204" s="18">
        <f>IF($A204&gt;'1-Input'!$B$26,F203,(F203-MAX(0,B176-IF($A204&gt;='1-Input'!$C$12,'1-Input'!$B$12,0))+C204*(1-'P-Parametri'!$B$6*B204))*(1+'1-Input'!$B$27))</f>
        <v>11117.941430986299</v>
      </c>
      <c r="E204" s="18">
        <f>IF($A204&gt;'1-Input'!$B$26,G203,(G203-C204)*(1+'5-Roberta'!$C$4))</f>
        <v>188215.70333110576</v>
      </c>
      <c r="F204" s="18">
        <f>IF($A204&gt;'1-Input'!$B$26,D204,D204-'P-Parametri'!$B$8*(E204+D204)+MIN(MAX(E204,0),'P-Parametri'!$B$8*(E204+D204)))</f>
        <v>11117.941430986299</v>
      </c>
      <c r="G204" s="18">
        <f>IF($A204&gt;'1-Input'!$B$26,E204,E204-MIN(MAX(E204,0),'P-Parametri'!$B$8*(E204+D204)))</f>
        <v>187817.03604158157</v>
      </c>
      <c r="H204" s="18">
        <f>IF($A204&gt;'1-Input'!$B$26,H203,H203-C204*(1-B204))</f>
        <v>72333.562740850553</v>
      </c>
      <c r="I204" s="11">
        <f>IF($A204&gt;'1-Input'!$B$26,0,IF(N203&lt;=0,0,MAX(0,(N203-O203)/N203)))</f>
        <v>0</v>
      </c>
      <c r="J204" s="18">
        <f>IF($A204&gt;'1-Input'!$B$26,0,(MAX(0,I176-IF($A204&gt;='1-Input'!$C$12,'1-Input'!$B$12,0))-MIN(MAX(M203,0),MAX(0,I176-IF($A204&gt;='1-Input'!$C$12,'1-Input'!$B$12,0))))*(1/(1-'P-Parametri'!$B$6*I204))+MIN(MAX(0,N203-(MAX(0,I176-IF($A204&gt;='1-Input'!$C$12,'1-Input'!$B$12,0))-MIN(MAX(M203,0),MAX(0,I176-IF($A204&gt;='1-Input'!$C$12,'1-Input'!$B$12,0))))*(1/(1-'P-Parametri'!$B$6*I204))),MAX(0,2*MAX(0,I176-IF($A204&gt;='1-Input'!$C$12,'1-Input'!$B$12,0))-(M203-MIN(MAX(M203,0),MAX(0,I176-IF($A204&gt;='1-Input'!$C$12,'1-Input'!$B$12,0)))))*(1/(1-'P-Parametri'!$B$6*I204))))</f>
        <v>10846.756992928691</v>
      </c>
      <c r="K204" s="18">
        <f>IF($A204&gt;'1-Input'!$B$26,M203,(M203-MAX(0,I176-IF($A204&gt;='1-Input'!$C$12,'1-Input'!$B$12,0))+J204*(1-'P-Parametri'!$B$6*I204))*(1+'1-Input'!$B$27))</f>
        <v>0</v>
      </c>
      <c r="L204" s="18">
        <f>IF($A204&gt;'1-Input'!$B$26,N203,(N203-J204)*(1+'5-Roberta'!$C$4))</f>
        <v>-27218.061697768397</v>
      </c>
      <c r="M204" s="18">
        <f>IF($A204&gt;'1-Input'!$B$26,K204,K204-'P-Parametri'!$B$8*(L204+K204)+MIN(MAX(L204,0),'P-Parametri'!$B$8*(L204+K204)))</f>
        <v>0</v>
      </c>
      <c r="N204" s="18">
        <f>IF($A204&gt;'1-Input'!$B$26,L204,L204-MIN(MAX(L204,0),'P-Parametri'!$B$8*(L204+K204)))</f>
        <v>-27163.625574372862</v>
      </c>
      <c r="O204" s="18">
        <f>IF($A204&gt;'1-Input'!$B$26,O203,O203-J204*(1-I204))</f>
        <v>-25884.765235515268</v>
      </c>
      <c r="P204" s="11">
        <f>IF($A204&gt;'1-Input'!$B$26,0,IF(U203&lt;=0,0,MAX(0,(U203-V203)/U203)))</f>
        <v>0.60326456526418015</v>
      </c>
      <c r="Q204" s="18">
        <f>IF($A204&gt;'1-Input'!$B$26,0,(MAX(0,P176-IF($A204&gt;='1-Input'!$C$12,'1-Input'!$B$12,0))-MIN(MAX(T203,0),MAX(0,P176-IF($A204&gt;='1-Input'!$C$12,'1-Input'!$B$12,0))))*(1/(1-'P-Parametri'!$B$6*P204))+MIN(MAX(0,U203-(MAX(0,P176-IF($A204&gt;='1-Input'!$C$12,'1-Input'!$B$12,0))-MIN(MAX(T203,0),MAX(0,P176-IF($A204&gt;='1-Input'!$C$12,'1-Input'!$B$12,0))))*(1/(1-'P-Parametri'!$B$6*P204))),MAX(0,2*MAX(0,P176-IF($A204&gt;='1-Input'!$C$12,'1-Input'!$B$12,0))-(T203-MIN(MAX(T203,0),MAX(0,P176-IF($A204&gt;='1-Input'!$C$12,'1-Input'!$B$12,0)))))*(1/(1-'P-Parametri'!$B$6*P204))))</f>
        <v>8694.1386808137413</v>
      </c>
      <c r="R204" s="18">
        <f>IF($A204&gt;'1-Input'!$B$26,T203,(T203-MAX(0,P176-IF($A204&gt;='1-Input'!$C$12,'1-Input'!$B$12,0))+Q204*(1-'P-Parametri'!$B$6*P204))*(1+'1-Input'!$B$27))</f>
        <v>14529.861262445649</v>
      </c>
      <c r="S204" s="18">
        <f>IF($A204&gt;'1-Input'!$B$26,U203,(U203-Q204)*(1+'5-Roberta'!$C$4))</f>
        <v>106845.03307011964</v>
      </c>
      <c r="T204" s="18">
        <f>IF($A204&gt;'1-Input'!$B$26,R204,R204-'P-Parametri'!$B$8*(S204+R204)+MIN(MAX(S204,0),'P-Parametri'!$B$8*(S204+R204)))</f>
        <v>14529.861262445649</v>
      </c>
      <c r="U204" s="18">
        <f>IF($A204&gt;'1-Input'!$B$26,S204,S204-MIN(MAX(S204,0),'P-Parametri'!$B$8*(S204+R204)))</f>
        <v>106602.28328145451</v>
      </c>
      <c r="V204" s="18">
        <f>IF($A204&gt;'1-Input'!$B$26,V203,V203-Q204*(1-P204))</f>
        <v>41154.573441200933</v>
      </c>
      <c r="W204" s="11">
        <f>IF($A204&gt;'1-Input'!$B$26,0,IF(AB203&lt;=0,0,MAX(0,(AB203-AC203)/AB203)))</f>
        <v>0.60343743962977192</v>
      </c>
      <c r="X204" s="18">
        <f>IF($A204&gt;'1-Input'!$B$26,0,(MAX(0,W176-IF($A204&gt;='1-Input'!$C$12,'1-Input'!$B$12,0))-MIN(MAX(AA203,0),MAX(0,W176-IF($A204&gt;='1-Input'!$C$12,'1-Input'!$B$12,0))))*(1/(1-'P-Parametri'!$B$6*W204))+MIN(MAX(0,AB203-(MAX(0,W176-IF($A204&gt;='1-Input'!$C$12,'1-Input'!$B$12,0))-MIN(MAX(AA203,0),MAX(0,W176-IF($A204&gt;='1-Input'!$C$12,'1-Input'!$B$12,0))))*(1/(1-'P-Parametri'!$B$6*W204))),MAX(0,2*MAX(0,W176-IF($A204&gt;='1-Input'!$C$12,'1-Input'!$B$12,0))-(AA203-MIN(MAX(AA203,0),MAX(0,W176-IF($A204&gt;='1-Input'!$C$12,'1-Input'!$B$12,0)))))*(1/(1-'P-Parametri'!$B$6*W204))))</f>
        <v>7492.5962998612931</v>
      </c>
      <c r="Y204" s="18">
        <f>IF($A204&gt;'1-Input'!$B$26,AA203,(AA203-MAX(0,W176-IF($A204&gt;='1-Input'!$C$12,'1-Input'!$B$12,0))+X204*(1-'P-Parametri'!$B$6*W204))*(1+'1-Input'!$B$27))</f>
        <v>14025.870233474252</v>
      </c>
      <c r="Z204" s="18">
        <f>IF($A204&gt;'1-Input'!$B$26,AB203,(AB203-X204)*(1+'5-Roberta'!$C$4))</f>
        <v>118863.15069805471</v>
      </c>
      <c r="AA204" s="18">
        <f>IF($A204&gt;'1-Input'!$B$26,Y204,Y204-'P-Parametri'!$B$8*(Z204+Y204)+MIN(MAX(Z204,0),'P-Parametri'!$B$8*(Z204+Y204)))</f>
        <v>14025.870233474252</v>
      </c>
      <c r="AB204" s="18">
        <f>IF($A204&gt;'1-Input'!$B$26,Z204,Z204-MIN(MAX(Z204,0),'P-Parametri'!$B$8*(Z204+Y204)))</f>
        <v>118597.37265619166</v>
      </c>
      <c r="AC204" s="18">
        <f>IF($A204&gt;'1-Input'!$B$26,AC203,AC203-X204*(1-W204))</f>
        <v>45763.762499507604</v>
      </c>
      <c r="AD204" s="11">
        <f>IF($A204&gt;'1-Input'!$B$26,0,IF(AI203&lt;=0,0,MAX(0,(AI203-AJ203)/AI203)))</f>
        <v>0.60344165367759373</v>
      </c>
      <c r="AE204" s="18">
        <f>IF($A204&gt;'1-Input'!$B$26,0,(MAX(0,AD176-IF($A204&gt;='1-Input'!$C$12,'1-Input'!$B$12,0))-MIN(MAX(AH203,0),MAX(0,AD176-IF($A204&gt;='1-Input'!$C$12,'1-Input'!$B$12,0))))*(1/(1-'P-Parametri'!$B$6*AD204))+MIN(MAX(0,AI203-(MAX(0,AD176-IF($A204&gt;='1-Input'!$C$12,'1-Input'!$B$12,0))-MIN(MAX(AH203,0),MAX(0,AD176-IF($A204&gt;='1-Input'!$C$12,'1-Input'!$B$12,0))))*(1/(1-'P-Parametri'!$B$6*AD204))),MAX(0,2*MAX(0,AD176-IF($A204&gt;='1-Input'!$C$12,'1-Input'!$B$12,0))-(AH203-MIN(MAX(AH203,0),MAX(0,AD176-IF($A204&gt;='1-Input'!$C$12,'1-Input'!$B$12,0)))))*(1/(1-'P-Parametri'!$B$6*AD204))))</f>
        <v>7461.4815537213517</v>
      </c>
      <c r="AF204" s="18">
        <f>IF($A204&gt;'1-Input'!$B$26,AH203,(AH203-MAX(0,AD176-IF($A204&gt;='1-Input'!$C$12,'1-Input'!$B$12,0))+AE204*(1-'P-Parametri'!$B$6*AD204))*(1+'1-Input'!$B$27))</f>
        <v>14012.820014545508</v>
      </c>
      <c r="AG204" s="18">
        <f>IF($A204&gt;'1-Input'!$B$26,AI203,(AI203-AE204)*(1+'5-Roberta'!$C$4))</f>
        <v>119174.35329677053</v>
      </c>
      <c r="AH204" s="18">
        <f>IF($A204&gt;'1-Input'!$B$26,AF204,AF204-'P-Parametri'!$B$8*(AG204+AF204)+MIN(MAX(AG204,0),'P-Parametri'!$B$8*(AG204+AF204)))</f>
        <v>14012.820014545508</v>
      </c>
      <c r="AI204" s="18">
        <f>IF($A204&gt;'1-Input'!$B$26,AG204,AG204-MIN(MAX(AG204,0),'P-Parametri'!$B$8*(AG204+AF204)))</f>
        <v>118907.9789501479</v>
      </c>
      <c r="AJ204" s="18">
        <f>IF($A204&gt;'1-Input'!$B$26,AJ203,AJ203-AE204*(1-AD204))</f>
        <v>45883.091715931587</v>
      </c>
      <c r="AK204" s="11">
        <f>IF($A204&gt;'1-Input'!$B$26,0,IF(AP203&lt;=0,0,MAX(0,(AP203-AQ203)/AP203)))</f>
        <v>0.60344158335513021</v>
      </c>
      <c r="AL204" s="18">
        <f>IF($A204&gt;'1-Input'!$B$26,0,(MAX(0,AK176-IF($A204&gt;='1-Input'!$C$12,'1-Input'!$B$12,0))-MIN(MAX(AO203,0),MAX(0,AK176-IF($A204&gt;='1-Input'!$C$12,'1-Input'!$B$12,0))))*(1/(1-'P-Parametri'!$B$6*AK204))+MIN(MAX(0,AP203-(MAX(0,AK176-IF($A204&gt;='1-Input'!$C$12,'1-Input'!$B$12,0))-MIN(MAX(AO203,0),MAX(0,AK176-IF($A204&gt;='1-Input'!$C$12,'1-Input'!$B$12,0))))*(1/(1-'P-Parametri'!$B$6*AK204))),MAX(0,2*MAX(0,AK176-IF($A204&gt;='1-Input'!$C$12,'1-Input'!$B$12,0))-(AO203-MIN(MAX(AO203,0),MAX(0,AK176-IF($A204&gt;='1-Input'!$C$12,'1-Input'!$B$12,0)))))*(1/(1-'P-Parametri'!$B$6*AK204))))</f>
        <v>7462.0015308895117</v>
      </c>
      <c r="AM204" s="18">
        <f>IF($A204&gt;'1-Input'!$B$26,AO203,(AO203-MAX(0,AK176-IF($A204&gt;='1-Input'!$C$12,'1-Input'!$B$12,0))+AL204*(1-'P-Parametri'!$B$6*AK204))*(1+'1-Input'!$B$27))</f>
        <v>14013.038104198266</v>
      </c>
      <c r="AN204" s="18">
        <f>IF($A204&gt;'1-Input'!$B$26,AP203,(AP203-AL204)*(1+'5-Roberta'!$C$4))</f>
        <v>119169.15260925765</v>
      </c>
      <c r="AO204" s="18">
        <f>IF($A204&gt;'1-Input'!$B$26,AM204,AM204-'P-Parametri'!$B$8*(AN204+AM204)+MIN(MAX(AN204,0),'P-Parametri'!$B$8*(AN204+AM204)))</f>
        <v>14013.038104198266</v>
      </c>
      <c r="AP204" s="18">
        <f>IF($A204&gt;'1-Input'!$B$26,AN204,AN204-MIN(MAX(AN204,0),'P-Parametri'!$B$8*(AN204+AM204)))</f>
        <v>118902.78822783074</v>
      </c>
      <c r="AQ204" s="18">
        <f>IF($A204&gt;'1-Input'!$B$26,AQ203,AQ203-AL204*(1-AK204))</f>
        <v>45881.097545279677</v>
      </c>
    </row>
    <row r="205" spans="1:43">
      <c r="A205" s="10">
        <f>27</f>
        <v>27</v>
      </c>
      <c r="B205" s="11">
        <f>IF($A205&gt;'1-Input'!$B$26,0,IF(G204&lt;=0,0,MAX(0,(G204-H204)/G204)))</f>
        <v>0.61487219548690819</v>
      </c>
      <c r="C205" s="18">
        <f>IF($A205&gt;'1-Input'!$B$26,0,(MAX(0,B176-IF($A205&gt;='1-Input'!$C$12,'1-Input'!$B$12,0))-MIN(MAX(F204,0),MAX(0,B176-IF($A205&gt;='1-Input'!$C$12,'1-Input'!$B$12,0))))*(1/(1-'P-Parametri'!$B$6*B205))+MIN(MAX(0,G204-(MAX(0,B176-IF($A205&gt;='1-Input'!$C$12,'1-Input'!$B$12,0))-MIN(MAX(F204,0),MAX(0,B176-IF($A205&gt;='1-Input'!$C$12,'1-Input'!$B$12,0))))*(1/(1-'P-Parametri'!$B$6*B205))),MAX(0,2*MAX(0,B176-IF($A205&gt;='1-Input'!$C$12,'1-Input'!$B$12,0))-(F204-MIN(MAX(F204,0),MAX(0,B176-IF($A205&gt;='1-Input'!$C$12,'1-Input'!$B$12,0)))))*(1/(1-'P-Parametri'!$B$6*B205))))</f>
        <v>6688.4921554879938</v>
      </c>
      <c r="D205" s="18">
        <f>IF($A205&gt;'1-Input'!$B$26,F204,(F204-MAX(0,B176-IF($A205&gt;='1-Input'!$C$12,'1-Input'!$B$12,0))+C205*(1-'P-Parametri'!$B$6*B205))*(1+'1-Input'!$B$27))</f>
        <v>11117.941430986299</v>
      </c>
      <c r="E205" s="18">
        <f>IF($A205&gt;'1-Input'!$B$26,G204,(G204-C205)*(1+'5-Roberta'!$C$4))</f>
        <v>186562.40020267639</v>
      </c>
      <c r="F205" s="18">
        <f>IF($A205&gt;'1-Input'!$B$26,D205,D205-'P-Parametri'!$B$8*(E205+D205)+MIN(MAX(E205,0),'P-Parametri'!$B$8*(E205+D205)))</f>
        <v>11117.941430986299</v>
      </c>
      <c r="G205" s="18">
        <f>IF($A205&gt;'1-Input'!$B$26,E205,E205-MIN(MAX(E205,0),'P-Parametri'!$B$8*(E205+D205)))</f>
        <v>186167.03951940907</v>
      </c>
      <c r="H205" s="18">
        <f>IF($A205&gt;'1-Input'!$B$26,H204,H204-C205*(1-B205))</f>
        <v>69757.63844150443</v>
      </c>
      <c r="I205" s="11">
        <f>IF($A205&gt;'1-Input'!$B$26,0,IF(N204&lt;=0,0,MAX(0,(N204-O204)/N204)))</f>
        <v>0</v>
      </c>
      <c r="J205" s="18">
        <f>IF($A205&gt;'1-Input'!$B$26,0,(MAX(0,I176-IF($A205&gt;='1-Input'!$C$12,'1-Input'!$B$12,0))-MIN(MAX(M204,0),MAX(0,I176-IF($A205&gt;='1-Input'!$C$12,'1-Input'!$B$12,0))))*(1/(1-'P-Parametri'!$B$6*I205))+MIN(MAX(0,N204-(MAX(0,I176-IF($A205&gt;='1-Input'!$C$12,'1-Input'!$B$12,0))-MIN(MAX(M204,0),MAX(0,I176-IF($A205&gt;='1-Input'!$C$12,'1-Input'!$B$12,0))))*(1/(1-'P-Parametri'!$B$6*I205))),MAX(0,2*MAX(0,I176-IF($A205&gt;='1-Input'!$C$12,'1-Input'!$B$12,0))-(M204-MIN(MAX(M204,0),MAX(0,I176-IF($A205&gt;='1-Input'!$C$12,'1-Input'!$B$12,0)))))*(1/(1-'P-Parametri'!$B$6*I205))))</f>
        <v>10846.756992928691</v>
      </c>
      <c r="K205" s="18">
        <f>IF($A205&gt;'1-Input'!$B$26,M204,(M204-MAX(0,I176-IF($A205&gt;='1-Input'!$C$12,'1-Input'!$B$12,0))+J205*(1-'P-Parametri'!$B$6*I205))*(1+'1-Input'!$B$27))</f>
        <v>0</v>
      </c>
      <c r="L205" s="18">
        <f>IF($A205&gt;'1-Input'!$B$26,N204,(N204-J205)*(1+'5-Roberta'!$C$4))</f>
        <v>-39150.694044320597</v>
      </c>
      <c r="M205" s="18">
        <f>IF($A205&gt;'1-Input'!$B$26,K205,K205-'P-Parametri'!$B$8*(L205+K205)+MIN(MAX(L205,0),'P-Parametri'!$B$8*(L205+K205)))</f>
        <v>0</v>
      </c>
      <c r="N205" s="18">
        <f>IF($A205&gt;'1-Input'!$B$26,L205,L205-MIN(MAX(L205,0),'P-Parametri'!$B$8*(L205+K205)))</f>
        <v>-39072.392656231954</v>
      </c>
      <c r="O205" s="18">
        <f>IF($A205&gt;'1-Input'!$B$26,O204,O204-J205*(1-I205))</f>
        <v>-36731.522228443959</v>
      </c>
      <c r="P205" s="11">
        <f>IF($A205&gt;'1-Input'!$B$26,0,IF(U204&lt;=0,0,MAX(0,(U204-V204)/U204)))</f>
        <v>0.61394285211937338</v>
      </c>
      <c r="Q205" s="18">
        <f>IF($A205&gt;'1-Input'!$B$26,0,(MAX(0,P176-IF($A205&gt;='1-Input'!$C$12,'1-Input'!$B$12,0))-MIN(MAX(T204,0),MAX(0,P176-IF($A205&gt;='1-Input'!$C$12,'1-Input'!$B$12,0))))*(1/(1-'P-Parametri'!$B$6*P205))+MIN(MAX(0,U204-(MAX(0,P176-IF($A205&gt;='1-Input'!$C$12,'1-Input'!$B$12,0))-MIN(MAX(T204,0),MAX(0,P176-IF($A205&gt;='1-Input'!$C$12,'1-Input'!$B$12,0))))*(1/(1-'P-Parametri'!$B$6*P205))),MAX(0,2*MAX(0,P176-IF($A205&gt;='1-Input'!$C$12,'1-Input'!$B$12,0))-(T204-MIN(MAX(T204,0),MAX(0,P176-IF($A205&gt;='1-Input'!$C$12,'1-Input'!$B$12,0)))))*(1/(1-'P-Parametri'!$B$6*P205))))</f>
        <v>8738.5709951253721</v>
      </c>
      <c r="R205" s="18">
        <f>IF($A205&gt;'1-Input'!$B$26,T204,(T204-MAX(0,P176-IF($A205&gt;='1-Input'!$C$12,'1-Input'!$B$12,0))+Q205*(1-'P-Parametri'!$B$6*P205))*(1+'1-Input'!$B$27))</f>
        <v>14529.861262445649</v>
      </c>
      <c r="S205" s="18">
        <f>IF($A205&gt;'1-Input'!$B$26,U204,(U204-Q205)*(1+'5-Roberta'!$C$4))</f>
        <v>100799.62365491902</v>
      </c>
      <c r="T205" s="18">
        <f>IF($A205&gt;'1-Input'!$B$26,R205,R205-'P-Parametri'!$B$8*(S205+R205)+MIN(MAX(S205,0),'P-Parametri'!$B$8*(S205+R205)))</f>
        <v>14529.861262445649</v>
      </c>
      <c r="U205" s="18">
        <f>IF($A205&gt;'1-Input'!$B$26,S205,S205-MIN(MAX(S205,0),'P-Parametri'!$B$8*(S205+R205)))</f>
        <v>100568.9646850843</v>
      </c>
      <c r="V205" s="18">
        <f>IF($A205&gt;'1-Input'!$B$26,V204,V204-Q205*(1-P205))</f>
        <v>37780.985646270463</v>
      </c>
      <c r="W205" s="11">
        <f>IF($A205&gt;'1-Input'!$B$26,0,IF(AB204&lt;=0,0,MAX(0,(AB204-AC204)/AB204)))</f>
        <v>0.61412498882100319</v>
      </c>
      <c r="X205" s="18">
        <f>IF($A205&gt;'1-Input'!$B$26,0,(MAX(0,W176-IF($A205&gt;='1-Input'!$C$12,'1-Input'!$B$12,0))-MIN(MAX(AA204,0),MAX(0,W176-IF($A205&gt;='1-Input'!$C$12,'1-Input'!$B$12,0))))*(1/(1-'P-Parametri'!$B$6*W205))+MIN(MAX(0,AB204-(MAX(0,W176-IF($A205&gt;='1-Input'!$C$12,'1-Input'!$B$12,0))-MIN(MAX(AA204,0),MAX(0,W176-IF($A205&gt;='1-Input'!$C$12,'1-Input'!$B$12,0))))*(1/(1-'P-Parametri'!$B$6*W205))),MAX(0,2*MAX(0,W176-IF($A205&gt;='1-Input'!$C$12,'1-Input'!$B$12,0))-(AA204-MIN(MAX(AA204,0),MAX(0,W176-IF($A205&gt;='1-Input'!$C$12,'1-Input'!$B$12,0)))))*(1/(1-'P-Parametri'!$B$6*W205))))</f>
        <v>8435.9353222747468</v>
      </c>
      <c r="Y205" s="18">
        <f>IF($A205&gt;'1-Input'!$B$26,AA204,(AA204-MAX(0,W176-IF($A205&gt;='1-Input'!$C$12,'1-Input'!$B$12,0))+X205*(1-'P-Parametri'!$B$6*W205))*(1+'1-Input'!$B$27))</f>
        <v>14025.870233474252</v>
      </c>
      <c r="Z205" s="18">
        <f>IF($A205&gt;'1-Input'!$B$26,AB204,(AB204-X205)*(1+'5-Roberta'!$C$4))</f>
        <v>113466.28045393442</v>
      </c>
      <c r="AA205" s="18">
        <f>IF($A205&gt;'1-Input'!$B$26,Y205,Y205-'P-Parametri'!$B$8*(Z205+Y205)+MIN(MAX(Z205,0),'P-Parametri'!$B$8*(Z205+Y205)))</f>
        <v>14025.870233474252</v>
      </c>
      <c r="AB205" s="18">
        <f>IF($A205&gt;'1-Input'!$B$26,Z205,Z205-MIN(MAX(Z205,0),'P-Parametri'!$B$8*(Z205+Y205)))</f>
        <v>113211.2961525596</v>
      </c>
      <c r="AC205" s="18">
        <f>IF($A205&gt;'1-Input'!$B$26,AC204,AC204-X205*(1-W205))</f>
        <v>42508.54586271954</v>
      </c>
      <c r="AD205" s="11">
        <f>IF($A205&gt;'1-Input'!$B$26,0,IF(AI204&lt;=0,0,MAX(0,(AI204-AJ204)/AI204)))</f>
        <v>0.61412941233179952</v>
      </c>
      <c r="AE205" s="18">
        <f>IF($A205&gt;'1-Input'!$B$26,0,(MAX(0,AD176-IF($A205&gt;='1-Input'!$C$12,'1-Input'!$B$12,0))-MIN(MAX(AH204,0),MAX(0,AD176-IF($A205&gt;='1-Input'!$C$12,'1-Input'!$B$12,0))))*(1/(1-'P-Parametri'!$B$6*AD205))+MIN(MAX(0,AI204-(MAX(0,AD176-IF($A205&gt;='1-Input'!$C$12,'1-Input'!$B$12,0))-MIN(MAX(AH204,0),MAX(0,AD176-IF($A205&gt;='1-Input'!$C$12,'1-Input'!$B$12,0))))*(1/(1-'P-Parametri'!$B$6*AD205))),MAX(0,2*MAX(0,AD176-IF($A205&gt;='1-Input'!$C$12,'1-Input'!$B$12,0))-(AH204-MIN(MAX(AH204,0),MAX(0,AD176-IF($A205&gt;='1-Input'!$C$12,'1-Input'!$B$12,0)))))*(1/(1-'P-Parametri'!$B$6*AD205))))</f>
        <v>8428.0977327950168</v>
      </c>
      <c r="AF205" s="18">
        <f>IF($A205&gt;'1-Input'!$B$26,AH204,(AH204-MAX(0,AD176-IF($A205&gt;='1-Input'!$C$12,'1-Input'!$B$12,0))+AE205*(1-'P-Parametri'!$B$6*AD205))*(1+'1-Input'!$B$27))</f>
        <v>14012.820014545508</v>
      </c>
      <c r="AG205" s="18">
        <f>IF($A205&gt;'1-Input'!$B$26,AI204,(AI204-AE205)*(1+'5-Roberta'!$C$4))</f>
        <v>113794.27765387346</v>
      </c>
      <c r="AH205" s="18">
        <f>IF($A205&gt;'1-Input'!$B$26,AF205,AF205-'P-Parametri'!$B$8*(AG205+AF205)+MIN(MAX(AG205,0),'P-Parametri'!$B$8*(AG205+AF205)))</f>
        <v>14012.820014545508</v>
      </c>
      <c r="AI205" s="18">
        <f>IF($A205&gt;'1-Input'!$B$26,AG205,AG205-MIN(MAX(AG205,0),'P-Parametri'!$B$8*(AG205+AF205)))</f>
        <v>113538.66345853663</v>
      </c>
      <c r="AJ205" s="18">
        <f>IF($A205&gt;'1-Input'!$B$26,AJ204,AJ204-AE205*(1-AD205))</f>
        <v>42630.936690852948</v>
      </c>
      <c r="AK205" s="11">
        <f>IF($A205&gt;'1-Input'!$B$26,0,IF(AP204&lt;=0,0,MAX(0,(AP204-AQ204)/AP204)))</f>
        <v>0.61412933852008189</v>
      </c>
      <c r="AL205" s="18">
        <f>IF($A205&gt;'1-Input'!$B$26,0,(MAX(0,AK176-IF($A205&gt;='1-Input'!$C$12,'1-Input'!$B$12,0))-MIN(MAX(AO204,0),MAX(0,AK176-IF($A205&gt;='1-Input'!$C$12,'1-Input'!$B$12,0))))*(1/(1-'P-Parametri'!$B$6*AK205))+MIN(MAX(0,AP204-(MAX(0,AK176-IF($A205&gt;='1-Input'!$C$12,'1-Input'!$B$12,0))-MIN(MAX(AO204,0),MAX(0,AK176-IF($A205&gt;='1-Input'!$C$12,'1-Input'!$B$12,0))))*(1/(1-'P-Parametri'!$B$6*AK205))),MAX(0,2*MAX(0,AK176-IF($A205&gt;='1-Input'!$C$12,'1-Input'!$B$12,0))-(AO204-MIN(MAX(AO204,0),MAX(0,AK176-IF($A205&gt;='1-Input'!$C$12,'1-Input'!$B$12,0)))))*(1/(1-'P-Parametri'!$B$6*AK205))))</f>
        <v>8428.2287116921907</v>
      </c>
      <c r="AM205" s="18">
        <f>IF($A205&gt;'1-Input'!$B$26,AO204,(AO204-MAX(0,AK176-IF($A205&gt;='1-Input'!$C$12,'1-Input'!$B$12,0))+AL205*(1-'P-Parametri'!$B$6*AK205))*(1+'1-Input'!$B$27))</f>
        <v>14013.038104198266</v>
      </c>
      <c r="AN205" s="18">
        <f>IF($A205&gt;'1-Input'!$B$26,AP204,(AP204-AL205)*(1+'5-Roberta'!$C$4))</f>
        <v>113788.7963016227</v>
      </c>
      <c r="AO205" s="18">
        <f>IF($A205&gt;'1-Input'!$B$26,AM205,AM205-'P-Parametri'!$B$8*(AN205+AM205)+MIN(MAX(AN205,0),'P-Parametri'!$B$8*(AN205+AM205)))</f>
        <v>14013.038104198266</v>
      </c>
      <c r="AP205" s="18">
        <f>IF($A205&gt;'1-Input'!$B$26,AN205,AN205-MIN(MAX(AN205,0),'P-Parametri'!$B$8*(AN205+AM205)))</f>
        <v>113533.19263281106</v>
      </c>
      <c r="AQ205" s="18">
        <f>IF($A205&gt;'1-Input'!$B$26,AQ204,AQ204-AL205*(1-AK205))</f>
        <v>42628.891357194974</v>
      </c>
    </row>
    <row r="206" spans="1:43">
      <c r="A206" s="10">
        <f>28</f>
        <v>28</v>
      </c>
      <c r="B206" s="11">
        <f>IF($A206&gt;'1-Input'!$B$26,0,IF(G205&lt;=0,0,MAX(0,(G205-H205)/G205)))</f>
        <v>0.62529544101048151</v>
      </c>
      <c r="C206" s="18">
        <f>IF($A206&gt;'1-Input'!$B$26,0,(MAX(0,B176-IF($A206&gt;='1-Input'!$C$12,'1-Input'!$B$12,0))-MIN(MAX(F205,0),MAX(0,B176-IF($A206&gt;='1-Input'!$C$12,'1-Input'!$B$12,0))))*(1/(1-'P-Parametri'!$B$6*B206))+MIN(MAX(0,G205-(MAX(0,B176-IF($A206&gt;='1-Input'!$C$12,'1-Input'!$B$12,0))-MIN(MAX(F205,0),MAX(0,B176-IF($A206&gt;='1-Input'!$C$12,'1-Input'!$B$12,0))))*(1/(1-'P-Parametri'!$B$6*B206))),MAX(0,2*MAX(0,B176-IF($A206&gt;='1-Input'!$C$12,'1-Input'!$B$12,0))-(F205-MIN(MAX(F205,0),MAX(0,B176-IF($A206&gt;='1-Input'!$C$12,'1-Input'!$B$12,0)))))*(1/(1-'P-Parametri'!$B$6*B206))))</f>
        <v>6710.1372535177052</v>
      </c>
      <c r="D206" s="18">
        <f>IF($A206&gt;'1-Input'!$B$26,F205,(F205-MAX(0,B176-IF($A206&gt;='1-Input'!$C$12,'1-Input'!$B$12,0))+C206*(1-'P-Parametri'!$B$6*B206))*(1+'1-Input'!$B$27))</f>
        <v>11117.941430986299</v>
      </c>
      <c r="E206" s="18">
        <f>IF($A206&gt;'1-Input'!$B$26,G205,(G205-C206)*(1+'5-Roberta'!$C$4))</f>
        <v>184840.60933386811</v>
      </c>
      <c r="F206" s="18">
        <f>IF($A206&gt;'1-Input'!$B$26,D206,D206-'P-Parametri'!$B$8*(E206+D206)+MIN(MAX(E206,0),'P-Parametri'!$B$8*(E206+D206)))</f>
        <v>11117.941430986299</v>
      </c>
      <c r="G206" s="18">
        <f>IF($A206&gt;'1-Input'!$B$26,E206,E206-MIN(MAX(E206,0),'P-Parametri'!$B$8*(E206+D206)))</f>
        <v>184448.69223233839</v>
      </c>
      <c r="H206" s="18">
        <f>IF($A206&gt;'1-Input'!$B$26,H205,H205-C206*(1-B206))</f>
        <v>67243.319421165943</v>
      </c>
      <c r="I206" s="11">
        <f>IF($A206&gt;'1-Input'!$B$26,0,IF(N205&lt;=0,0,MAX(0,(N205-O205)/N205)))</f>
        <v>0</v>
      </c>
      <c r="J206" s="18">
        <f>IF($A206&gt;'1-Input'!$B$26,0,(MAX(0,I176-IF($A206&gt;='1-Input'!$C$12,'1-Input'!$B$12,0))-MIN(MAX(M205,0),MAX(0,I176-IF($A206&gt;='1-Input'!$C$12,'1-Input'!$B$12,0))))*(1/(1-'P-Parametri'!$B$6*I206))+MIN(MAX(0,N205-(MAX(0,I176-IF($A206&gt;='1-Input'!$C$12,'1-Input'!$B$12,0))-MIN(MAX(M205,0),MAX(0,I176-IF($A206&gt;='1-Input'!$C$12,'1-Input'!$B$12,0))))*(1/(1-'P-Parametri'!$B$6*I206))),MAX(0,2*MAX(0,I176-IF($A206&gt;='1-Input'!$C$12,'1-Input'!$B$12,0))-(M205-MIN(MAX(M205,0),MAX(0,I176-IF($A206&gt;='1-Input'!$C$12,'1-Input'!$B$12,0)))))*(1/(1-'P-Parametri'!$B$6*I206))))</f>
        <v>10846.756992928691</v>
      </c>
      <c r="K206" s="18">
        <f>IF($A206&gt;'1-Input'!$B$26,M205,(M205-MAX(0,I176-IF($A206&gt;='1-Input'!$C$12,'1-Input'!$B$12,0))+J206*(1-'P-Parametri'!$B$6*I206))*(1+'1-Input'!$B$27))</f>
        <v>0</v>
      </c>
      <c r="L206" s="18">
        <f>IF($A206&gt;'1-Input'!$B$26,N205,(N205-J206)*(1+'5-Roberta'!$C$4))</f>
        <v>-51416.724138635465</v>
      </c>
      <c r="M206" s="18">
        <f>IF($A206&gt;'1-Input'!$B$26,K206,K206-'P-Parametri'!$B$8*(L206+K206)+MIN(MAX(L206,0),'P-Parametri'!$B$8*(L206+K206)))</f>
        <v>0</v>
      </c>
      <c r="N206" s="18">
        <f>IF($A206&gt;'1-Input'!$B$26,L206,L206-MIN(MAX(L206,0),'P-Parametri'!$B$8*(L206+K206)))</f>
        <v>-51313.890690358196</v>
      </c>
      <c r="O206" s="18">
        <f>IF($A206&gt;'1-Input'!$B$26,O205,O205-J206*(1-I206))</f>
        <v>-47578.27922137265</v>
      </c>
      <c r="P206" s="11">
        <f>IF($A206&gt;'1-Input'!$B$26,0,IF(U205&lt;=0,0,MAX(0,(U205-V205)/U205)))</f>
        <v>0.62432758689944157</v>
      </c>
      <c r="Q206" s="18">
        <f>IF($A206&gt;'1-Input'!$B$26,0,(MAX(0,P176-IF($A206&gt;='1-Input'!$C$12,'1-Input'!$B$12,0))-MIN(MAX(T205,0),MAX(0,P176-IF($A206&gt;='1-Input'!$C$12,'1-Input'!$B$12,0))))*(1/(1-'P-Parametri'!$B$6*P206))+MIN(MAX(0,U205-(MAX(0,P176-IF($A206&gt;='1-Input'!$C$12,'1-Input'!$B$12,0))-MIN(MAX(T205,0),MAX(0,P176-IF($A206&gt;='1-Input'!$C$12,'1-Input'!$B$12,0))))*(1/(1-'P-Parametri'!$B$6*P206))),MAX(0,2*MAX(0,P176-IF($A206&gt;='1-Input'!$C$12,'1-Input'!$B$12,0))-(T205-MIN(MAX(T205,0),MAX(0,P176-IF($A206&gt;='1-Input'!$C$12,'1-Input'!$B$12,0)))))*(1/(1-'P-Parametri'!$B$6*P206))))</f>
        <v>8766.7375487626196</v>
      </c>
      <c r="R206" s="18">
        <f>IF($A206&gt;'1-Input'!$B$26,T205,(T205-MAX(0,P176-IF($A206&gt;='1-Input'!$C$12,'1-Input'!$B$12,0))+Q206*(1-'P-Parametri'!$B$6*P206))*(1+'1-Input'!$B$27))</f>
        <v>14529.861262445649</v>
      </c>
      <c r="S206" s="18">
        <f>IF($A206&gt;'1-Input'!$B$26,U205,(U205-Q206)*(1+'5-Roberta'!$C$4))</f>
        <v>94556.293950411346</v>
      </c>
      <c r="T206" s="18">
        <f>IF($A206&gt;'1-Input'!$B$26,R206,R206-'P-Parametri'!$B$8*(S206+R206)+MIN(MAX(S206,0),'P-Parametri'!$B$8*(S206+R206)))</f>
        <v>14529.861262445649</v>
      </c>
      <c r="U206" s="18">
        <f>IF($A206&gt;'1-Input'!$B$26,S206,S206-MIN(MAX(S206,0),'P-Parametri'!$B$8*(S206+R206)))</f>
        <v>94338.121639985635</v>
      </c>
      <c r="V206" s="18">
        <f>IF($A206&gt;'1-Input'!$B$26,V205,V205-Q206*(1-P206))</f>
        <v>34487.564196307532</v>
      </c>
      <c r="W206" s="11">
        <f>IF($A206&gt;'1-Input'!$B$26,0,IF(AB205&lt;=0,0,MAX(0,(AB205-AC205)/AB205)))</f>
        <v>0.62452027927110298</v>
      </c>
      <c r="X206" s="18">
        <f>IF($A206&gt;'1-Input'!$B$26,0,(MAX(0,W176-IF($A206&gt;='1-Input'!$C$12,'1-Input'!$B$12,0))-MIN(MAX(AA205,0),MAX(0,W176-IF($A206&gt;='1-Input'!$C$12,'1-Input'!$B$12,0))))*(1/(1-'P-Parametri'!$B$6*W206))+MIN(MAX(0,AB205-(MAX(0,W176-IF($A206&gt;='1-Input'!$C$12,'1-Input'!$B$12,0))-MIN(MAX(AA205,0),MAX(0,W176-IF($A206&gt;='1-Input'!$C$12,'1-Input'!$B$12,0))))*(1/(1-'P-Parametri'!$B$6*W206))),MAX(0,2*MAX(0,W176-IF($A206&gt;='1-Input'!$C$12,'1-Input'!$B$12,0))-(AA205-MIN(MAX(AA205,0),MAX(0,W176-IF($A206&gt;='1-Input'!$C$12,'1-Input'!$B$12,0)))))*(1/(1-'P-Parametri'!$B$6*W206))))</f>
        <v>8463.1556737122155</v>
      </c>
      <c r="Y206" s="18">
        <f>IF($A206&gt;'1-Input'!$B$26,AA205,(AA205-MAX(0,W176-IF($A206&gt;='1-Input'!$C$12,'1-Input'!$B$12,0))+X206*(1-'P-Parametri'!$B$6*W206))*(1+'1-Input'!$B$27))</f>
        <v>14025.870233474252</v>
      </c>
      <c r="Z206" s="18">
        <f>IF($A206&gt;'1-Input'!$B$26,AB205,(AB205-X206)*(1+'5-Roberta'!$C$4))</f>
        <v>107890.58469321282</v>
      </c>
      <c r="AA206" s="18">
        <f>IF($A206&gt;'1-Input'!$B$26,Y206,Y206-'P-Parametri'!$B$8*(Z206+Y206)+MIN(MAX(Z206,0),'P-Parametri'!$B$8*(Z206+Y206)))</f>
        <v>14025.870233474252</v>
      </c>
      <c r="AB206" s="18">
        <f>IF($A206&gt;'1-Input'!$B$26,Z206,Z206-MIN(MAX(Z206,0),'P-Parametri'!$B$8*(Z206+Y206)))</f>
        <v>107646.75178335945</v>
      </c>
      <c r="AC206" s="18">
        <f>IF($A206&gt;'1-Input'!$B$26,AC205,AC205-X206*(1-W206))</f>
        <v>39330.802533868897</v>
      </c>
      <c r="AD206" s="11">
        <f>IF($A206&gt;'1-Input'!$B$26,0,IF(AI205&lt;=0,0,MAX(0,(AI205-AJ205)/AI205)))</f>
        <v>0.62452493809369691</v>
      </c>
      <c r="AE206" s="18">
        <f>IF($A206&gt;'1-Input'!$B$26,0,(MAX(0,AD176-IF($A206&gt;='1-Input'!$C$12,'1-Input'!$B$12,0))-MIN(MAX(AH205,0),MAX(0,AD176-IF($A206&gt;='1-Input'!$C$12,'1-Input'!$B$12,0))))*(1/(1-'P-Parametri'!$B$6*AD206))+MIN(MAX(0,AI205-(MAX(0,AD176-IF($A206&gt;='1-Input'!$C$12,'1-Input'!$B$12,0))-MIN(MAX(AH205,0),MAX(0,AD176-IF($A206&gt;='1-Input'!$C$12,'1-Input'!$B$12,0))))*(1/(1-'P-Parametri'!$B$6*AD206))),MAX(0,2*MAX(0,AD176-IF($A206&gt;='1-Input'!$C$12,'1-Input'!$B$12,0))-(AH205-MIN(MAX(AH205,0),MAX(0,AD176-IF($A206&gt;='1-Input'!$C$12,'1-Input'!$B$12,0)))))*(1/(1-'P-Parametri'!$B$6*AD206))))</f>
        <v>8455.2934494977853</v>
      </c>
      <c r="AF206" s="18">
        <f>IF($A206&gt;'1-Input'!$B$26,AH205,(AH205-MAX(0,AD176-IF($A206&gt;='1-Input'!$C$12,'1-Input'!$B$12,0))+AE206*(1-'P-Parametri'!$B$6*AD206))*(1+'1-Input'!$B$27))</f>
        <v>14012.820014545508</v>
      </c>
      <c r="AG206" s="18">
        <f>IF($A206&gt;'1-Input'!$B$26,AI205,(AI205-AE206)*(1+'5-Roberta'!$C$4))</f>
        <v>108235.87110931001</v>
      </c>
      <c r="AH206" s="18">
        <f>IF($A206&gt;'1-Input'!$B$26,AF206,AF206-'P-Parametri'!$B$8*(AG206+AF206)+MIN(MAX(AG206,0),'P-Parametri'!$B$8*(AG206+AF206)))</f>
        <v>14012.820014545508</v>
      </c>
      <c r="AI206" s="18">
        <f>IF($A206&gt;'1-Input'!$B$26,AG206,AG206-MIN(MAX(AG206,0),'P-Parametri'!$B$8*(AG206+AF206)))</f>
        <v>107991.37372706231</v>
      </c>
      <c r="AJ206" s="18">
        <f>IF($A206&gt;'1-Input'!$B$26,AJ205,AJ205-AE206*(1-AD206))</f>
        <v>39456.184859466812</v>
      </c>
      <c r="AK206" s="11">
        <f>IF($A206&gt;'1-Input'!$B$26,0,IF(AP205&lt;=0,0,MAX(0,(AP205-AQ205)/AP205)))</f>
        <v>0.62452486036338906</v>
      </c>
      <c r="AL206" s="18">
        <f>IF($A206&gt;'1-Input'!$B$26,0,(MAX(0,AK176-IF($A206&gt;='1-Input'!$C$12,'1-Input'!$B$12,0))-MIN(MAX(AO205,0),MAX(0,AK176-IF($A206&gt;='1-Input'!$C$12,'1-Input'!$B$12,0))))*(1/(1-'P-Parametri'!$B$6*AK206))+MIN(MAX(0,AP205-(MAX(0,AK176-IF($A206&gt;='1-Input'!$C$12,'1-Input'!$B$12,0))-MIN(MAX(AO205,0),MAX(0,AK176-IF($A206&gt;='1-Input'!$C$12,'1-Input'!$B$12,0))))*(1/(1-'P-Parametri'!$B$6*AK206))),MAX(0,2*MAX(0,AK176-IF($A206&gt;='1-Input'!$C$12,'1-Input'!$B$12,0))-(AO205-MIN(MAX(AO205,0),MAX(0,AK176-IF($A206&gt;='1-Input'!$C$12,'1-Input'!$B$12,0)))))*(1/(1-'P-Parametri'!$B$6*AK206))))</f>
        <v>8455.4248401288369</v>
      </c>
      <c r="AM206" s="18">
        <f>IF($A206&gt;'1-Input'!$B$26,AO205,(AO205-MAX(0,AK176-IF($A206&gt;='1-Input'!$C$12,'1-Input'!$B$12,0))+AL206*(1-'P-Parametri'!$B$6*AK206))*(1+'1-Input'!$B$27))</f>
        <v>14013.038104198266</v>
      </c>
      <c r="AN206" s="18">
        <f>IF($A206&gt;'1-Input'!$B$26,AP205,(AP205-AL206)*(1+'5-Roberta'!$C$4))</f>
        <v>108230.10082646269</v>
      </c>
      <c r="AO206" s="18">
        <f>IF($A206&gt;'1-Input'!$B$26,AM206,AM206-'P-Parametri'!$B$8*(AN206+AM206)+MIN(MAX(AN206,0),'P-Parametri'!$B$8*(AN206+AM206)))</f>
        <v>14013.038104198266</v>
      </c>
      <c r="AP206" s="18">
        <f>IF($A206&gt;'1-Input'!$B$26,AN206,AN206-MIN(MAX(AN206,0),'P-Parametri'!$B$8*(AN206+AM206)))</f>
        <v>107985.61454860137</v>
      </c>
      <c r="AQ206" s="18">
        <f>IF($A206&gt;'1-Input'!$B$26,AQ205,AQ205-AL206*(1-AK206))</f>
        <v>39454.089534660729</v>
      </c>
    </row>
    <row r="207" spans="1:43">
      <c r="A207" s="10">
        <f>29</f>
        <v>29</v>
      </c>
      <c r="B207" s="11">
        <f>IF($A207&gt;'1-Input'!$B$26,0,IF(G206&lt;=0,0,MAX(0,(G206-H206)/G206)))</f>
        <v>0.63543618223942855</v>
      </c>
      <c r="C207" s="18">
        <f>IF($A207&gt;'1-Input'!$B$26,0,(MAX(0,B176-IF($A207&gt;='1-Input'!$C$12,'1-Input'!$B$12,0))-MIN(MAX(F206,0),MAX(0,B176-IF($A207&gt;='1-Input'!$C$12,'1-Input'!$B$12,0))))*(1/(1-'P-Parametri'!$B$6*B207))+MIN(MAX(0,G206-(MAX(0,B176-IF($A207&gt;='1-Input'!$C$12,'1-Input'!$B$12,0))-MIN(MAX(F206,0),MAX(0,B176-IF($A207&gt;='1-Input'!$C$12,'1-Input'!$B$12,0))))*(1/(1-'P-Parametri'!$B$6*B207))),MAX(0,2*MAX(0,B176-IF($A207&gt;='1-Input'!$C$12,'1-Input'!$B$12,0))-(F206-MIN(MAX(F206,0),MAX(0,B176-IF($A207&gt;='1-Input'!$C$12,'1-Input'!$B$12,0)))))*(1/(1-'P-Parametri'!$B$6*B207))))</f>
        <v>6731.3305730871616</v>
      </c>
      <c r="D207" s="18">
        <f>IF($A207&gt;'1-Input'!$B$26,F206,(F206-MAX(0,B176-IF($A207&gt;='1-Input'!$C$12,'1-Input'!$B$12,0))+C207*(1-'P-Parametri'!$B$6*B207))*(1+'1-Input'!$B$27))</f>
        <v>11117.941430986299</v>
      </c>
      <c r="E207" s="18">
        <f>IF($A207&gt;'1-Input'!$B$26,G206,(G206-C207)*(1+'5-Roberta'!$C$4))</f>
        <v>183048.88250902877</v>
      </c>
      <c r="F207" s="18">
        <f>IF($A207&gt;'1-Input'!$B$26,D207,D207-'P-Parametri'!$B$8*(E207+D207)+MIN(MAX(E207,0),'P-Parametri'!$B$8*(E207+D207)))</f>
        <v>11117.941430986299</v>
      </c>
      <c r="G207" s="18">
        <f>IF($A207&gt;'1-Input'!$B$26,E207,E207-MIN(MAX(E207,0),'P-Parametri'!$B$8*(E207+D207)))</f>
        <v>182660.54886114874</v>
      </c>
      <c r="H207" s="18">
        <f>IF($A207&gt;'1-Input'!$B$26,H206,H206-C207*(1-B207))</f>
        <v>64789.319848832834</v>
      </c>
      <c r="I207" s="11">
        <f>IF($A207&gt;'1-Input'!$B$26,0,IF(N206&lt;=0,0,MAX(0,(N206-O206)/N206)))</f>
        <v>0</v>
      </c>
      <c r="J207" s="18">
        <f>IF($A207&gt;'1-Input'!$B$26,0,(MAX(0,I176-IF($A207&gt;='1-Input'!$C$12,'1-Input'!$B$12,0))-MIN(MAX(M206,0),MAX(0,I176-IF($A207&gt;='1-Input'!$C$12,'1-Input'!$B$12,0))))*(1/(1-'P-Parametri'!$B$6*I207))+MIN(MAX(0,N206-(MAX(0,I176-IF($A207&gt;='1-Input'!$C$12,'1-Input'!$B$12,0))-MIN(MAX(M206,0),MAX(0,I176-IF($A207&gt;='1-Input'!$C$12,'1-Input'!$B$12,0))))*(1/(1-'P-Parametri'!$B$6*I207))),MAX(0,2*MAX(0,I176-IF($A207&gt;='1-Input'!$C$12,'1-Input'!$B$12,0))-(M206-MIN(MAX(M206,0),MAX(0,I176-IF($A207&gt;='1-Input'!$C$12,'1-Input'!$B$12,0)))))*(1/(1-'P-Parametri'!$B$6*I207))))</f>
        <v>10846.756992928691</v>
      </c>
      <c r="K207" s="18">
        <f>IF($A207&gt;'1-Input'!$B$26,M206,(M206-MAX(0,I176-IF($A207&gt;='1-Input'!$C$12,'1-Input'!$B$12,0))+J207*(1-'P-Parametri'!$B$6*I207))*(1+'1-Input'!$B$27))</f>
        <v>0</v>
      </c>
      <c r="L207" s="18">
        <f>IF($A207&gt;'1-Input'!$B$26,N206,(N206-J207)*(1+'5-Roberta'!$C$4))</f>
        <v>-64025.467113785497</v>
      </c>
      <c r="M207" s="18">
        <f>IF($A207&gt;'1-Input'!$B$26,K207,K207-'P-Parametri'!$B$8*(L207+K207)+MIN(MAX(L207,0),'P-Parametri'!$B$8*(L207+K207)))</f>
        <v>0</v>
      </c>
      <c r="N207" s="18">
        <f>IF($A207&gt;'1-Input'!$B$26,L207,L207-MIN(MAX(L207,0),'P-Parametri'!$B$8*(L207+K207)))</f>
        <v>-63897.416179557928</v>
      </c>
      <c r="O207" s="18">
        <f>IF($A207&gt;'1-Input'!$B$26,O206,O206-J207*(1-I207))</f>
        <v>-58425.036214301341</v>
      </c>
      <c r="P207" s="11">
        <f>IF($A207&gt;'1-Input'!$B$26,0,IF(U206&lt;=0,0,MAX(0,(U206-V206)/U206)))</f>
        <v>0.63442600301159879</v>
      </c>
      <c r="Q207" s="18">
        <f>IF($A207&gt;'1-Input'!$B$26,0,(MAX(0,P176-IF($A207&gt;='1-Input'!$C$12,'1-Input'!$B$12,0))-MIN(MAX(T206,0),MAX(0,P176-IF($A207&gt;='1-Input'!$C$12,'1-Input'!$B$12,0))))*(1/(1-'P-Parametri'!$B$6*P207))+MIN(MAX(0,U206-(MAX(0,P176-IF($A207&gt;='1-Input'!$C$12,'1-Input'!$B$12,0))-MIN(MAX(T206,0),MAX(0,P176-IF($A207&gt;='1-Input'!$C$12,'1-Input'!$B$12,0))))*(1/(1-'P-Parametri'!$B$6*P207))),MAX(0,2*MAX(0,P176-IF($A207&gt;='1-Input'!$C$12,'1-Input'!$B$12,0))-(T206-MIN(MAX(T206,0),MAX(0,P176-IF($A207&gt;='1-Input'!$C$12,'1-Input'!$B$12,0)))))*(1/(1-'P-Parametri'!$B$6*P207))))</f>
        <v>8794.3022018207885</v>
      </c>
      <c r="R207" s="18">
        <f>IF($A207&gt;'1-Input'!$B$26,T206,(T206-MAX(0,P176-IF($A207&gt;='1-Input'!$C$12,'1-Input'!$B$12,0))+Q207*(1-'P-Parametri'!$B$6*P207))*(1+'1-Input'!$B$27))</f>
        <v>14529.861262445649</v>
      </c>
      <c r="S207" s="18">
        <f>IF($A207&gt;'1-Input'!$B$26,U206,(U206-Q207)*(1+'5-Roberta'!$C$4))</f>
        <v>88110.134021309801</v>
      </c>
      <c r="T207" s="18">
        <f>IF($A207&gt;'1-Input'!$B$26,R207,R207-'P-Parametri'!$B$8*(S207+R207)+MIN(MAX(S207,0),'P-Parametri'!$B$8*(S207+R207)))</f>
        <v>14529.861262445649</v>
      </c>
      <c r="U207" s="18">
        <f>IF($A207&gt;'1-Input'!$B$26,S207,S207-MIN(MAX(S207,0),'P-Parametri'!$B$8*(S207+R207)))</f>
        <v>87904.854030742295</v>
      </c>
      <c r="V207" s="18">
        <f>IF($A207&gt;'1-Input'!$B$26,V206,V206-Q207*(1-P207))</f>
        <v>31272.595989664009</v>
      </c>
      <c r="W207" s="11">
        <f>IF($A207&gt;'1-Input'!$B$26,0,IF(AB206&lt;=0,0,MAX(0,(AB206-AC206)/AB206)))</f>
        <v>0.63463084689241089</v>
      </c>
      <c r="X207" s="18">
        <f>IF($A207&gt;'1-Input'!$B$26,0,(MAX(0,W176-IF($A207&gt;='1-Input'!$C$12,'1-Input'!$B$12,0))-MIN(MAX(AA206,0),MAX(0,W176-IF($A207&gt;='1-Input'!$C$12,'1-Input'!$B$12,0))))*(1/(1-'P-Parametri'!$B$6*W207))+MIN(MAX(0,AB206-(MAX(0,W176-IF($A207&gt;='1-Input'!$C$12,'1-Input'!$B$12,0))-MIN(MAX(AA206,0),MAX(0,W176-IF($A207&gt;='1-Input'!$C$12,'1-Input'!$B$12,0))))*(1/(1-'P-Parametri'!$B$6*W207))),MAX(0,2*MAX(0,W176-IF($A207&gt;='1-Input'!$C$12,'1-Input'!$B$12,0))-(AA206-MIN(MAX(AA206,0),MAX(0,W176-IF($A207&gt;='1-Input'!$C$12,'1-Input'!$B$12,0)))))*(1/(1-'P-Parametri'!$B$6*W207))))</f>
        <v>8489.799514577875</v>
      </c>
      <c r="Y207" s="18">
        <f>IF($A207&gt;'1-Input'!$B$26,AA206,(AA206-MAX(0,W176-IF($A207&gt;='1-Input'!$C$12,'1-Input'!$B$12,0))+X207*(1-'P-Parametri'!$B$6*W207))*(1+'1-Input'!$B$27))</f>
        <v>14025.870233474252</v>
      </c>
      <c r="Z207" s="18">
        <f>IF($A207&gt;'1-Input'!$B$26,AB206,(AB206-X207)*(1+'5-Roberta'!$C$4))</f>
        <v>102131.66083684503</v>
      </c>
      <c r="AA207" s="18">
        <f>IF($A207&gt;'1-Input'!$B$26,Y207,Y207-'P-Parametri'!$B$8*(Z207+Y207)+MIN(MAX(Z207,0),'P-Parametri'!$B$8*(Z207+Y207)))</f>
        <v>14025.870233474252</v>
      </c>
      <c r="AB207" s="18">
        <f>IF($A207&gt;'1-Input'!$B$26,Z207,Z207-MIN(MAX(Z207,0),'P-Parametri'!$B$8*(Z207+Y207)))</f>
        <v>101899.34577470439</v>
      </c>
      <c r="AC207" s="18">
        <f>IF($A207&gt;'1-Input'!$B$26,AC206,AC206-X207*(1-W207))</f>
        <v>36228.89167517436</v>
      </c>
      <c r="AD207" s="11">
        <f>IF($A207&gt;'1-Input'!$B$26,0,IF(AI206&lt;=0,0,MAX(0,(AI206-AJ206)/AI206)))</f>
        <v>0.63463577230540213</v>
      </c>
      <c r="AE207" s="18">
        <f>IF($A207&gt;'1-Input'!$B$26,0,(MAX(0,AD176-IF($A207&gt;='1-Input'!$C$12,'1-Input'!$B$12,0))-MIN(MAX(AH206,0),MAX(0,AD176-IF($A207&gt;='1-Input'!$C$12,'1-Input'!$B$12,0))))*(1/(1-'P-Parametri'!$B$6*AD207))+MIN(MAX(0,AI206-(MAX(0,AD176-IF($A207&gt;='1-Input'!$C$12,'1-Input'!$B$12,0))-MIN(MAX(AH206,0),MAX(0,AD176-IF($A207&gt;='1-Input'!$C$12,'1-Input'!$B$12,0))))*(1/(1-'P-Parametri'!$B$6*AD207))),MAX(0,2*MAX(0,AD176-IF($A207&gt;='1-Input'!$C$12,'1-Input'!$B$12,0))-(AH206-MIN(MAX(AH206,0),MAX(0,AD176-IF($A207&gt;='1-Input'!$C$12,'1-Input'!$B$12,0)))))*(1/(1-'P-Parametri'!$B$6*AD207))))</f>
        <v>8481.9132810893752</v>
      </c>
      <c r="AF207" s="18">
        <f>IF($A207&gt;'1-Input'!$B$26,AH206,(AH206-MAX(0,AD176-IF($A207&gt;='1-Input'!$C$12,'1-Input'!$B$12,0))+AE207*(1-'P-Parametri'!$B$6*AD207))*(1+'1-Input'!$B$27))</f>
        <v>14012.820014545508</v>
      </c>
      <c r="AG207" s="18">
        <f>IF($A207&gt;'1-Input'!$B$26,AI206,(AI206-AE207)*(1+'5-Roberta'!$C$4))</f>
        <v>102494.74425935213</v>
      </c>
      <c r="AH207" s="18">
        <f>IF($A207&gt;'1-Input'!$B$26,AF207,AF207-'P-Parametri'!$B$8*(AG207+AF207)+MIN(MAX(AG207,0),'P-Parametri'!$B$8*(AG207+AF207)))</f>
        <v>14012.820014545508</v>
      </c>
      <c r="AI207" s="18">
        <f>IF($A207&gt;'1-Input'!$B$26,AG207,AG207-MIN(MAX(AG207,0),'P-Parametri'!$B$8*(AG207+AF207)))</f>
        <v>102261.72913080433</v>
      </c>
      <c r="AJ207" s="18">
        <f>IF($A207&gt;'1-Input'!$B$26,AJ206,AJ206-AE207*(1-AD207))</f>
        <v>36357.197164149038</v>
      </c>
      <c r="AK207" s="11">
        <f>IF($A207&gt;'1-Input'!$B$26,0,IF(AP206&lt;=0,0,MAX(0,(AP206-AQ206)/AP206)))</f>
        <v>0.6346356901371939</v>
      </c>
      <c r="AL207" s="18">
        <f>IF($A207&gt;'1-Input'!$B$26,0,(MAX(0,AK176-IF($A207&gt;='1-Input'!$C$12,'1-Input'!$B$12,0))-MIN(MAX(AO206,0),MAX(0,AK176-IF($A207&gt;='1-Input'!$C$12,'1-Input'!$B$12,0))))*(1/(1-'P-Parametri'!$B$6*AK207))+MIN(MAX(0,AP206-(MAX(0,AK176-IF($A207&gt;='1-Input'!$C$12,'1-Input'!$B$12,0))-MIN(MAX(AO206,0),MAX(0,AK176-IF($A207&gt;='1-Input'!$C$12,'1-Input'!$B$12,0))))*(1/(1-'P-Parametri'!$B$6*AK207))),MAX(0,2*MAX(0,AK176-IF($A207&gt;='1-Input'!$C$12,'1-Input'!$B$12,0))-(AO206-MIN(MAX(AO206,0),MAX(0,AK176-IF($A207&gt;='1-Input'!$C$12,'1-Input'!$B$12,0)))))*(1/(1-'P-Parametri'!$B$6*AK207))))</f>
        <v>8482.0450730126486</v>
      </c>
      <c r="AM207" s="18">
        <f>IF($A207&gt;'1-Input'!$B$26,AO206,(AO206-MAX(0,AK176-IF($A207&gt;='1-Input'!$C$12,'1-Input'!$B$12,0))+AL207*(1-'P-Parametri'!$B$6*AK207))*(1+'1-Input'!$B$27))</f>
        <v>14013.038104198266</v>
      </c>
      <c r="AN207" s="18">
        <f>IF($A207&gt;'1-Input'!$B$26,AP206,(AP206-AL207)*(1+'5-Roberta'!$C$4))</f>
        <v>102488.67655985639</v>
      </c>
      <c r="AO207" s="18">
        <f>IF($A207&gt;'1-Input'!$B$26,AM207,AM207-'P-Parametri'!$B$8*(AN207+AM207)+MIN(MAX(AN207,0),'P-Parametri'!$B$8*(AN207+AM207)))</f>
        <v>14013.038104198266</v>
      </c>
      <c r="AP207" s="18">
        <f>IF($A207&gt;'1-Input'!$B$26,AN207,AN207-MIN(MAX(AN207,0),'P-Parametri'!$B$8*(AN207+AM207)))</f>
        <v>102255.67313052829</v>
      </c>
      <c r="AQ207" s="18">
        <f>IF($A207&gt;'1-Input'!$B$26,AQ206,AQ206-AL207*(1-AK207))</f>
        <v>36355.052990334247</v>
      </c>
    </row>
    <row r="208" spans="1:43">
      <c r="A208" s="10">
        <f>30</f>
        <v>30</v>
      </c>
      <c r="B208" s="11">
        <f>IF($A208&gt;'1-Input'!$B$26,0,IF(G207&lt;=0,0,MAX(0,(G207-H207)/G207)))</f>
        <v>0.64530206301918491</v>
      </c>
      <c r="C208" s="18">
        <f>IF($A208&gt;'1-Input'!$B$26,0,(MAX(0,B176-IF($A208&gt;='1-Input'!$C$12,'1-Input'!$B$12,0))-MIN(MAX(F207,0),MAX(0,B176-IF($A208&gt;='1-Input'!$C$12,'1-Input'!$B$12,0))))*(1/(1-'P-Parametri'!$B$6*B208))+MIN(MAX(0,G207-(MAX(0,B176-IF($A208&gt;='1-Input'!$C$12,'1-Input'!$B$12,0))-MIN(MAX(F207,0),MAX(0,B176-IF($A208&gt;='1-Input'!$C$12,'1-Input'!$B$12,0))))*(1/(1-'P-Parametri'!$B$6*B208))),MAX(0,2*MAX(0,B176-IF($A208&gt;='1-Input'!$C$12,'1-Input'!$B$12,0))-(F207-MIN(MAX(F207,0),MAX(0,B176-IF($A208&gt;='1-Input'!$C$12,'1-Input'!$B$12,0)))))*(1/(1-'P-Parametri'!$B$6*B208))))</f>
        <v>6752.0783331906214</v>
      </c>
      <c r="D208" s="18">
        <f>IF($A208&gt;'1-Input'!$B$26,F207,(F207-MAX(0,B176-IF($A208&gt;='1-Input'!$C$12,'1-Input'!$B$12,0))+C208*(1-'P-Parametri'!$B$6*B208))*(1+'1-Input'!$B$27))</f>
        <v>11117.941430986299</v>
      </c>
      <c r="E208" s="18">
        <f>IF($A208&gt;'1-Input'!$B$26,G207,(G207-C208)*(1+'5-Roberta'!$C$4))</f>
        <v>181185.72464379689</v>
      </c>
      <c r="F208" s="18">
        <f>IF($A208&gt;'1-Input'!$B$26,D208,D208-'P-Parametri'!$B$8*(E208+D208)+MIN(MAX(E208,0),'P-Parametri'!$B$8*(E208+D208)))</f>
        <v>11117.941430986299</v>
      </c>
      <c r="G208" s="18">
        <f>IF($A208&gt;'1-Input'!$B$26,E208,E208-MIN(MAX(E208,0),'P-Parametri'!$B$8*(E208+D208)))</f>
        <v>180801.11731164731</v>
      </c>
      <c r="H208" s="18">
        <f>IF($A208&gt;'1-Input'!$B$26,H207,H207-C208*(1-B208))</f>
        <v>62394.37159371726</v>
      </c>
      <c r="I208" s="11">
        <f>IF($A208&gt;'1-Input'!$B$26,0,IF(N207&lt;=0,0,MAX(0,(N207-O207)/N207)))</f>
        <v>0</v>
      </c>
      <c r="J208" s="18">
        <f>IF($A208&gt;'1-Input'!$B$26,0,(MAX(0,I176-IF($A208&gt;='1-Input'!$C$12,'1-Input'!$B$12,0))-MIN(MAX(M207,0),MAX(0,I176-IF($A208&gt;='1-Input'!$C$12,'1-Input'!$B$12,0))))*(1/(1-'P-Parametri'!$B$6*I208))+MIN(MAX(0,N207-(MAX(0,I176-IF($A208&gt;='1-Input'!$C$12,'1-Input'!$B$12,0))-MIN(MAX(M207,0),MAX(0,I176-IF($A208&gt;='1-Input'!$C$12,'1-Input'!$B$12,0))))*(1/(1-'P-Parametri'!$B$6*I208))),MAX(0,2*MAX(0,I176-IF($A208&gt;='1-Input'!$C$12,'1-Input'!$B$12,0))-(M207-MIN(MAX(M207,0),MAX(0,I176-IF($A208&gt;='1-Input'!$C$12,'1-Input'!$B$12,0)))))*(1/(1-'P-Parametri'!$B$6*I208))))</f>
        <v>10846.756992928691</v>
      </c>
      <c r="K208" s="18">
        <f>IF($A208&gt;'1-Input'!$B$26,M207,(M207-MAX(0,I176-IF($A208&gt;='1-Input'!$C$12,'1-Input'!$B$12,0))+J208*(1-'P-Parametri'!$B$6*I208))*(1+'1-Input'!$B$27))</f>
        <v>0</v>
      </c>
      <c r="L208" s="18">
        <f>IF($A208&gt;'1-Input'!$B$26,N207,(N207-J208)*(1+'5-Roberta'!$C$4))</f>
        <v>-76986.498367661232</v>
      </c>
      <c r="M208" s="18">
        <f>IF($A208&gt;'1-Input'!$B$26,K208,K208-'P-Parametri'!$B$8*(L208+K208)+MIN(MAX(L208,0),'P-Parametri'!$B$8*(L208+K208)))</f>
        <v>0</v>
      </c>
      <c r="N208" s="18">
        <f>IF($A208&gt;'1-Input'!$B$26,L208,L208-MIN(MAX(L208,0),'P-Parametri'!$B$8*(L208+K208)))</f>
        <v>-76832.525370925912</v>
      </c>
      <c r="O208" s="18">
        <f>IF($A208&gt;'1-Input'!$B$26,O207,O207-J208*(1-I208))</f>
        <v>-69271.793207230032</v>
      </c>
      <c r="P208" s="11">
        <f>IF($A208&gt;'1-Input'!$B$26,0,IF(U207&lt;=0,0,MAX(0,(U207-V207)/U207)))</f>
        <v>0.64424494717063874</v>
      </c>
      <c r="Q208" s="18">
        <f>IF($A208&gt;'1-Input'!$B$26,0,(MAX(0,P176-IF($A208&gt;='1-Input'!$C$12,'1-Input'!$B$12,0))-MIN(MAX(T207,0),MAX(0,P176-IF($A208&gt;='1-Input'!$C$12,'1-Input'!$B$12,0))))*(1/(1-'P-Parametri'!$B$6*P208))+MIN(MAX(0,U207-(MAX(0,P176-IF($A208&gt;='1-Input'!$C$12,'1-Input'!$B$12,0))-MIN(MAX(T207,0),MAX(0,P176-IF($A208&gt;='1-Input'!$C$12,'1-Input'!$B$12,0))))*(1/(1-'P-Parametri'!$B$6*P208))),MAX(0,2*MAX(0,P176-IF($A208&gt;='1-Input'!$C$12,'1-Input'!$B$12,0))-(T207-MIN(MAX(T207,0),MAX(0,P176-IF($A208&gt;='1-Input'!$C$12,'1-Input'!$B$12,0)))))*(1/(1-'P-Parametri'!$B$6*P208))))</f>
        <v>8821.2707274602344</v>
      </c>
      <c r="R208" s="18">
        <f>IF($A208&gt;'1-Input'!$B$26,T207,(T207-MAX(0,P176-IF($A208&gt;='1-Input'!$C$12,'1-Input'!$B$12,0))+Q208*(1-'P-Parametri'!$B$6*P208))*(1+'1-Input'!$B$27))</f>
        <v>14529.861262445649</v>
      </c>
      <c r="S208" s="18">
        <f>IF($A208&gt;'1-Input'!$B$26,U207,(U207-Q208)*(1+'5-Roberta'!$C$4))</f>
        <v>81456.090802380524</v>
      </c>
      <c r="T208" s="18">
        <f>IF($A208&gt;'1-Input'!$B$26,R208,R208-'P-Parametri'!$B$8*(S208+R208)+MIN(MAX(S208,0),'P-Parametri'!$B$8*(S208+R208)))</f>
        <v>14529.861262445649</v>
      </c>
      <c r="U208" s="18">
        <f>IF($A208&gt;'1-Input'!$B$26,S208,S208-MIN(MAX(S208,0),'P-Parametri'!$B$8*(S208+R208)))</f>
        <v>81264.118898250876</v>
      </c>
      <c r="V208" s="18">
        <f>IF($A208&gt;'1-Input'!$B$26,V207,V207-Q208*(1-P208))</f>
        <v>28134.384355994294</v>
      </c>
      <c r="W208" s="11">
        <f>IF($A208&gt;'1-Input'!$B$26,0,IF(AB207&lt;=0,0,MAX(0,(AB207-AC207)/AB207)))</f>
        <v>0.64446394233702864</v>
      </c>
      <c r="X208" s="18">
        <f>IF($A208&gt;'1-Input'!$B$26,0,(MAX(0,W176-IF($A208&gt;='1-Input'!$C$12,'1-Input'!$B$12,0))-MIN(MAX(AA207,0),MAX(0,W176-IF($A208&gt;='1-Input'!$C$12,'1-Input'!$B$12,0))))*(1/(1-'P-Parametri'!$B$6*W208))+MIN(MAX(0,AB207-(MAX(0,W176-IF($A208&gt;='1-Input'!$C$12,'1-Input'!$B$12,0))-MIN(MAX(AA207,0),MAX(0,W176-IF($A208&gt;='1-Input'!$C$12,'1-Input'!$B$12,0))))*(1/(1-'P-Parametri'!$B$6*W208))),MAX(0,2*MAX(0,W176-IF($A208&gt;='1-Input'!$C$12,'1-Input'!$B$12,0))-(AA207-MIN(MAX(AA207,0),MAX(0,W176-IF($A208&gt;='1-Input'!$C$12,'1-Input'!$B$12,0)))))*(1/(1-'P-Parametri'!$B$6*W208))))</f>
        <v>8515.8735602976049</v>
      </c>
      <c r="Y208" s="18">
        <f>IF($A208&gt;'1-Input'!$B$26,AA207,(AA207-MAX(0,W176-IF($A208&gt;='1-Input'!$C$12,'1-Input'!$B$12,0))+X208*(1-'P-Parametri'!$B$6*W208))*(1+'1-Input'!$B$27))</f>
        <v>14025.870233474252</v>
      </c>
      <c r="Z208" s="18">
        <f>IF($A208&gt;'1-Input'!$B$26,AB207,(AB207-X208)*(1+'5-Roberta'!$C$4))</f>
        <v>96184.976380838983</v>
      </c>
      <c r="AA208" s="18">
        <f>IF($A208&gt;'1-Input'!$B$26,Y208,Y208-'P-Parametri'!$B$8*(Z208+Y208)+MIN(MAX(Z208,0),'P-Parametri'!$B$8*(Z208+Y208)))</f>
        <v>14025.870233474252</v>
      </c>
      <c r="AB208" s="18">
        <f>IF($A208&gt;'1-Input'!$B$26,Z208,Z208-MIN(MAX(Z208,0),'P-Parametri'!$B$8*(Z208+Y208)))</f>
        <v>95964.554687610362</v>
      </c>
      <c r="AC208" s="18">
        <f>IF($A208&gt;'1-Input'!$B$26,AC207,AC207-X208*(1-W208))</f>
        <v>33201.191561989821</v>
      </c>
      <c r="AD208" s="11">
        <f>IF($A208&gt;'1-Input'!$B$26,0,IF(AI207&lt;=0,0,MAX(0,(AI207-AJ207)/AI207)))</f>
        <v>0.6444691726496814</v>
      </c>
      <c r="AE208" s="18">
        <f>IF($A208&gt;'1-Input'!$B$26,0,(MAX(0,AD176-IF($A208&gt;='1-Input'!$C$12,'1-Input'!$B$12,0))-MIN(MAX(AH207,0),MAX(0,AD176-IF($A208&gt;='1-Input'!$C$12,'1-Input'!$B$12,0))))*(1/(1-'P-Parametri'!$B$6*AD208))+MIN(MAX(0,AI207-(MAX(0,AD176-IF($A208&gt;='1-Input'!$C$12,'1-Input'!$B$12,0))-MIN(MAX(AH207,0),MAX(0,AD176-IF($A208&gt;='1-Input'!$C$12,'1-Input'!$B$12,0))))*(1/(1-'P-Parametri'!$B$6*AD208))),MAX(0,2*MAX(0,AD176-IF($A208&gt;='1-Input'!$C$12,'1-Input'!$B$12,0))-(AH207-MIN(MAX(AH207,0),MAX(0,AD176-IF($A208&gt;='1-Input'!$C$12,'1-Input'!$B$12,0)))))*(1/(1-'P-Parametri'!$B$6*AD208))))</f>
        <v>8507.9639567441773</v>
      </c>
      <c r="AF208" s="18">
        <f>IF($A208&gt;'1-Input'!$B$26,AH207,(AH207-MAX(0,AD176-IF($A208&gt;='1-Input'!$C$12,'1-Input'!$B$12,0))+AE208*(1-'P-Parametri'!$B$6*AD208))*(1+'1-Input'!$B$27))</f>
        <v>14012.820014545508</v>
      </c>
      <c r="AG208" s="18">
        <f>IF($A208&gt;'1-Input'!$B$26,AI207,(AI207-AE208)*(1+'5-Roberta'!$C$4))</f>
        <v>96566.378129281962</v>
      </c>
      <c r="AH208" s="18">
        <f>IF($A208&gt;'1-Input'!$B$26,AF208,AF208-'P-Parametri'!$B$8*(AG208+AF208)+MIN(MAX(AG208,0),'P-Parametri'!$B$8*(AG208+AF208)))</f>
        <v>14012.820014545508</v>
      </c>
      <c r="AI208" s="18">
        <f>IF($A208&gt;'1-Input'!$B$26,AG208,AG208-MIN(MAX(AG208,0),'P-Parametri'!$B$8*(AG208+AF208)))</f>
        <v>96345.219732994301</v>
      </c>
      <c r="AJ208" s="18">
        <f>IF($A208&gt;'1-Input'!$B$26,AJ207,AJ207-AE208*(1-AD208))</f>
        <v>33332.35369954109</v>
      </c>
      <c r="AK208" s="11">
        <f>IF($A208&gt;'1-Input'!$B$26,0,IF(AP207&lt;=0,0,MAX(0,(AP207-AQ207)/AP207)))</f>
        <v>0.64446908540783454</v>
      </c>
      <c r="AL208" s="18">
        <f>IF($A208&gt;'1-Input'!$B$26,0,(MAX(0,AK176-IF($A208&gt;='1-Input'!$C$12,'1-Input'!$B$12,0))-MIN(MAX(AO207,0),MAX(0,AK176-IF($A208&gt;='1-Input'!$C$12,'1-Input'!$B$12,0))))*(1/(1-'P-Parametri'!$B$6*AK208))+MIN(MAX(0,AP207-(MAX(0,AK176-IF($A208&gt;='1-Input'!$C$12,'1-Input'!$B$12,0))-MIN(MAX(AO207,0),MAX(0,AK176-IF($A208&gt;='1-Input'!$C$12,'1-Input'!$B$12,0))))*(1/(1-'P-Parametri'!$B$6*AK208))),MAX(0,2*MAX(0,AK176-IF($A208&gt;='1-Input'!$C$12,'1-Input'!$B$12,0))-(AO207-MIN(MAX(AO207,0),MAX(0,AK176-IF($A208&gt;='1-Input'!$C$12,'1-Input'!$B$12,0)))))*(1/(1-'P-Parametri'!$B$6*AK208))))</f>
        <v>8508.0961392915415</v>
      </c>
      <c r="AM208" s="18">
        <f>IF($A208&gt;'1-Input'!$B$26,AO207,(AO207-MAX(0,AK176-IF($A208&gt;='1-Input'!$C$12,'1-Input'!$B$12,0))+AL208*(1-'P-Parametri'!$B$6*AK208))*(1+'1-Input'!$B$27))</f>
        <v>14013.038104198266</v>
      </c>
      <c r="AN208" s="18">
        <f>IF($A208&gt;'1-Input'!$B$26,AP207,(AP207-AL208)*(1+'5-Roberta'!$C$4))</f>
        <v>96560.004300973844</v>
      </c>
      <c r="AO208" s="18">
        <f>IF($A208&gt;'1-Input'!$B$26,AM208,AM208-'P-Parametri'!$B$8*(AN208+AM208)+MIN(MAX(AN208,0),'P-Parametri'!$B$8*(AN208+AM208)))</f>
        <v>14013.038104198266</v>
      </c>
      <c r="AP208" s="18">
        <f>IF($A208&gt;'1-Input'!$B$26,AN208,AN208-MIN(MAX(AN208,0),'P-Parametri'!$B$8*(AN208+AM208)))</f>
        <v>96338.858216163499</v>
      </c>
      <c r="AQ208" s="18">
        <f>IF($A208&gt;'1-Input'!$B$26,AQ207,AQ207-AL208*(1-AK208))</f>
        <v>33330.161788493853</v>
      </c>
    </row>
    <row r="209" spans="1:43">
      <c r="A209" s="10">
        <f>31</f>
        <v>31</v>
      </c>
      <c r="B209" s="11">
        <f>IF($A209&gt;'1-Input'!$B$26,0,IF(G208&lt;=0,0,MAX(0,(G208-H208)/G208)))</f>
        <v>0.65490051985592579</v>
      </c>
      <c r="C209" s="18">
        <f>IF($A209&gt;'1-Input'!$B$26,0,(MAX(0,B176-IF($A209&gt;='1-Input'!$C$12,'1-Input'!$B$12,0))-MIN(MAX(F208,0),MAX(0,B176-IF($A209&gt;='1-Input'!$C$12,'1-Input'!$B$12,0))))*(1/(1-'P-Parametri'!$B$6*B209))+MIN(MAX(0,G208-(MAX(0,B176-IF($A209&gt;='1-Input'!$C$12,'1-Input'!$B$12,0))-MIN(MAX(F208,0),MAX(0,B176-IF($A209&gt;='1-Input'!$C$12,'1-Input'!$B$12,0))))*(1/(1-'P-Parametri'!$B$6*B209))),MAX(0,2*MAX(0,B176-IF($A209&gt;='1-Input'!$C$12,'1-Input'!$B$12,0))-(F208-MIN(MAX(F208,0),MAX(0,B176-IF($A209&gt;='1-Input'!$C$12,'1-Input'!$B$12,0)))))*(1/(1-'P-Parametri'!$B$6*B209))))</f>
        <v>6772.3868219919823</v>
      </c>
      <c r="D209" s="18">
        <f>IF($A209&gt;'1-Input'!$B$26,F208,(F208-MAX(0,B176-IF($A209&gt;='1-Input'!$C$12,'1-Input'!$B$12,0))+C209*(1-'P-Parametri'!$B$6*B209))*(1+'1-Input'!$B$27))</f>
        <v>11117.941430986299</v>
      </c>
      <c r="E209" s="18">
        <f>IF($A209&gt;'1-Input'!$B$26,G208,(G208-C209)*(1+'5-Roberta'!$C$4))</f>
        <v>179249.59240434499</v>
      </c>
      <c r="F209" s="18">
        <f>IF($A209&gt;'1-Input'!$B$26,D209,D209-'P-Parametri'!$B$8*(E209+D209)+MIN(MAX(E209,0),'P-Parametri'!$B$8*(E209+D209)))</f>
        <v>11117.941430986299</v>
      </c>
      <c r="G209" s="18">
        <f>IF($A209&gt;'1-Input'!$B$26,E209,E209-MIN(MAX(E209,0),'P-Parametri'!$B$8*(E209+D209)))</f>
        <v>178868.85733667432</v>
      </c>
      <c r="H209" s="18">
        <f>IF($A209&gt;'1-Input'!$B$26,H208,H208-C209*(1-B209))</f>
        <v>60057.22442211325</v>
      </c>
      <c r="I209" s="11">
        <f>IF($A209&gt;'1-Input'!$B$26,0,IF(N208&lt;=0,0,MAX(0,(N208-O208)/N208)))</f>
        <v>0</v>
      </c>
      <c r="J209" s="18">
        <f>IF($A209&gt;'1-Input'!$B$26,0,(MAX(0,I176-IF($A209&gt;='1-Input'!$C$12,'1-Input'!$B$12,0))-MIN(MAX(M208,0),MAX(0,I176-IF($A209&gt;='1-Input'!$C$12,'1-Input'!$B$12,0))))*(1/(1-'P-Parametri'!$B$6*I209))+MIN(MAX(0,N208-(MAX(0,I176-IF($A209&gt;='1-Input'!$C$12,'1-Input'!$B$12,0))-MIN(MAX(M208,0),MAX(0,I176-IF($A209&gt;='1-Input'!$C$12,'1-Input'!$B$12,0))))*(1/(1-'P-Parametri'!$B$6*I209))),MAX(0,2*MAX(0,I176-IF($A209&gt;='1-Input'!$C$12,'1-Input'!$B$12,0))-(M208-MIN(MAX(M208,0),MAX(0,I176-IF($A209&gt;='1-Input'!$C$12,'1-Input'!$B$12,0)))))*(1/(1-'P-Parametri'!$B$6*I209))))</f>
        <v>10846.756992928691</v>
      </c>
      <c r="K209" s="18">
        <f>IF($A209&gt;'1-Input'!$B$26,M208,(M208-MAX(0,I176-IF($A209&gt;='1-Input'!$C$12,'1-Input'!$B$12,0))+J209*(1-'P-Parametri'!$B$6*I209))*(1+'1-Input'!$B$27))</f>
        <v>0</v>
      </c>
      <c r="L209" s="18">
        <f>IF($A209&gt;'1-Input'!$B$26,N208,(N208-J209)*(1+'5-Roberta'!$C$4))</f>
        <v>-90309.660834770257</v>
      </c>
      <c r="M209" s="18">
        <f>IF($A209&gt;'1-Input'!$B$26,K209,K209-'P-Parametri'!$B$8*(L209+K209)+MIN(MAX(L209,0),'P-Parametri'!$B$8*(L209+K209)))</f>
        <v>0</v>
      </c>
      <c r="N209" s="18">
        <f>IF($A209&gt;'1-Input'!$B$26,L209,L209-MIN(MAX(L209,0),'P-Parametri'!$B$8*(L209+K209)))</f>
        <v>-90129.041513100718</v>
      </c>
      <c r="O209" s="18">
        <f>IF($A209&gt;'1-Input'!$B$26,O208,O208-J209*(1-I209))</f>
        <v>-80118.55020015873</v>
      </c>
      <c r="P209" s="11">
        <f>IF($A209&gt;'1-Input'!$B$26,0,IF(U208&lt;=0,0,MAX(0,(U208-V208)/U208)))</f>
        <v>0.65379081521549787</v>
      </c>
      <c r="Q209" s="18">
        <f>IF($A209&gt;'1-Input'!$B$26,0,(MAX(0,P176-IF($A209&gt;='1-Input'!$C$12,'1-Input'!$B$12,0))-MIN(MAX(T208,0),MAX(0,P176-IF($A209&gt;='1-Input'!$C$12,'1-Input'!$B$12,0))))*(1/(1-'P-Parametri'!$B$6*P209))+MIN(MAX(0,U208-(MAX(0,P176-IF($A209&gt;='1-Input'!$C$12,'1-Input'!$B$12,0))-MIN(MAX(T208,0),MAX(0,P176-IF($A209&gt;='1-Input'!$C$12,'1-Input'!$B$12,0))))*(1/(1-'P-Parametri'!$B$6*P209))),MAX(0,2*MAX(0,P176-IF($A209&gt;='1-Input'!$C$12,'1-Input'!$B$12,0))-(T208-MIN(MAX(T208,0),MAX(0,P176-IF($A209&gt;='1-Input'!$C$12,'1-Input'!$B$12,0)))))*(1/(1-'P-Parametri'!$B$6*P209))))</f>
        <v>8847.6482683402155</v>
      </c>
      <c r="R209" s="18">
        <f>IF($A209&gt;'1-Input'!$B$26,T208,(T208-MAX(0,P176-IF($A209&gt;='1-Input'!$C$12,'1-Input'!$B$12,0))+Q209*(1-'P-Parametri'!$B$6*P209))*(1+'1-Input'!$B$27))</f>
        <v>14529.861262445649</v>
      </c>
      <c r="S209" s="18">
        <f>IF($A209&gt;'1-Input'!$B$26,U208,(U208-Q209)*(1+'5-Roberta'!$C$4))</f>
        <v>74588.964748807979</v>
      </c>
      <c r="T209" s="18">
        <f>IF($A209&gt;'1-Input'!$B$26,R209,R209-'P-Parametri'!$B$8*(S209+R209)+MIN(MAX(S209,0),'P-Parametri'!$B$8*(S209+R209)))</f>
        <v>14529.861262445649</v>
      </c>
      <c r="U209" s="18">
        <f>IF($A209&gt;'1-Input'!$B$26,S209,S209-MIN(MAX(S209,0),'P-Parametri'!$B$8*(S209+R209)))</f>
        <v>74410.727096785471</v>
      </c>
      <c r="V209" s="18">
        <f>IF($A209&gt;'1-Input'!$B$26,V208,V208-Q209*(1-P209))</f>
        <v>25071.247261752214</v>
      </c>
      <c r="W209" s="11">
        <f>IF($A209&gt;'1-Input'!$B$26,0,IF(AB208&lt;=0,0,MAX(0,(AB208-AC208)/AB208)))</f>
        <v>0.65402651353858354</v>
      </c>
      <c r="X209" s="18">
        <f>IF($A209&gt;'1-Input'!$B$26,0,(MAX(0,W176-IF($A209&gt;='1-Input'!$C$12,'1-Input'!$B$12,0))-MIN(MAX(AA208,0),MAX(0,W176-IF($A209&gt;='1-Input'!$C$12,'1-Input'!$B$12,0))))*(1/(1-'P-Parametri'!$B$6*W209))+MIN(MAX(0,AB208-(MAX(0,W176-IF($A209&gt;='1-Input'!$C$12,'1-Input'!$B$12,0))-MIN(MAX(AA208,0),MAX(0,W176-IF($A209&gt;='1-Input'!$C$12,'1-Input'!$B$12,0))))*(1/(1-'P-Parametri'!$B$6*W209))),MAX(0,2*MAX(0,W176-IF($A209&gt;='1-Input'!$C$12,'1-Input'!$B$12,0))-(AA208-MIN(MAX(AA208,0),MAX(0,W176-IF($A209&gt;='1-Input'!$C$12,'1-Input'!$B$12,0)))))*(1/(1-'P-Parametri'!$B$6*W209))))</f>
        <v>8541.3843368984435</v>
      </c>
      <c r="Y209" s="18">
        <f>IF($A209&gt;'1-Input'!$B$26,AA208,(AA208-MAX(0,W176-IF($A209&gt;='1-Input'!$C$12,'1-Input'!$B$12,0))+X209*(1-'P-Parametri'!$B$6*W209))*(1+'1-Input'!$B$27))</f>
        <v>14025.870233474252</v>
      </c>
      <c r="Z209" s="18">
        <f>IF($A209&gt;'1-Input'!$B$26,AB208,(AB208-X209)*(1+'5-Roberta'!$C$4))</f>
        <v>90045.86546123329</v>
      </c>
      <c r="AA209" s="18">
        <f>IF($A209&gt;'1-Input'!$B$26,Y209,Y209-'P-Parametri'!$B$8*(Z209+Y209)+MIN(MAX(Z209,0),'P-Parametri'!$B$8*(Z209+Y209)))</f>
        <v>14025.870233474252</v>
      </c>
      <c r="AB209" s="18">
        <f>IF($A209&gt;'1-Input'!$B$26,Z209,Z209-MIN(MAX(Z209,0),'P-Parametri'!$B$8*(Z209+Y209)))</f>
        <v>89837.721989843878</v>
      </c>
      <c r="AC209" s="18">
        <f>IF($A209&gt;'1-Input'!$B$26,AC208,AC208-X209*(1-W209))</f>
        <v>30246.099043746133</v>
      </c>
      <c r="AD209" s="11">
        <f>IF($A209&gt;'1-Input'!$B$26,0,IF(AI208&lt;=0,0,MAX(0,(AI208-AJ208)/AI208)))</f>
        <v>0.6540320963311258</v>
      </c>
      <c r="AE209" s="18">
        <f>IF($A209&gt;'1-Input'!$B$26,0,(MAX(0,AD176-IF($A209&gt;='1-Input'!$C$12,'1-Input'!$B$12,0))-MIN(MAX(AH208,0),MAX(0,AD176-IF($A209&gt;='1-Input'!$C$12,'1-Input'!$B$12,0))))*(1/(1-'P-Parametri'!$B$6*AD209))+MIN(MAX(0,AI208-(MAX(0,AD176-IF($A209&gt;='1-Input'!$C$12,'1-Input'!$B$12,0))-MIN(MAX(AH208,0),MAX(0,AD176-IF($A209&gt;='1-Input'!$C$12,'1-Input'!$B$12,0))))*(1/(1-'P-Parametri'!$B$6*AD209))),MAX(0,2*MAX(0,AD176-IF($A209&gt;='1-Input'!$C$12,'1-Input'!$B$12,0))-(AH208-MIN(MAX(AH208,0),MAX(0,AD176-IF($A209&gt;='1-Input'!$C$12,'1-Input'!$B$12,0)))))*(1/(1-'P-Parametri'!$B$6*AD209))))</f>
        <v>8533.4520227953362</v>
      </c>
      <c r="AF209" s="18">
        <f>IF($A209&gt;'1-Input'!$B$26,AH208,(AH208-MAX(0,AD176-IF($A209&gt;='1-Input'!$C$12,'1-Input'!$B$12,0))+AE209*(1-'P-Parametri'!$B$6*AD209))*(1+'1-Input'!$B$27))</f>
        <v>14012.820014545508</v>
      </c>
      <c r="AG209" s="18">
        <f>IF($A209&gt;'1-Input'!$B$26,AI208,(AI208-AE209)*(1+'5-Roberta'!$C$4))</f>
        <v>90446.120741504943</v>
      </c>
      <c r="AH209" s="18">
        <f>IF($A209&gt;'1-Input'!$B$26,AF209,AF209-'P-Parametri'!$B$8*(AG209+AF209)+MIN(MAX(AG209,0),'P-Parametri'!$B$8*(AG209+AF209)))</f>
        <v>14012.820014545508</v>
      </c>
      <c r="AI209" s="18">
        <f>IF($A209&gt;'1-Input'!$B$26,AG209,AG209-MIN(MAX(AG209,0),'P-Parametri'!$B$8*(AG209+AF209)))</f>
        <v>90237.202859992845</v>
      </c>
      <c r="AJ209" s="18">
        <f>IF($A209&gt;'1-Input'!$B$26,AJ208,AJ208-AE209*(1-AD209))</f>
        <v>30380.053192155676</v>
      </c>
      <c r="AK209" s="11">
        <f>IF($A209&gt;'1-Input'!$B$26,0,IF(AP208&lt;=0,0,MAX(0,(AP208-AQ208)/AP208)))</f>
        <v>0.65403200322648414</v>
      </c>
      <c r="AL209" s="18">
        <f>IF($A209&gt;'1-Input'!$B$26,0,(MAX(0,AK176-IF($A209&gt;='1-Input'!$C$12,'1-Input'!$B$12,0))-MIN(MAX(AO208,0),MAX(0,AK176-IF($A209&gt;='1-Input'!$C$12,'1-Input'!$B$12,0))))*(1/(1-'P-Parametri'!$B$6*AK209))+MIN(MAX(0,AP208-(MAX(0,AK176-IF($A209&gt;='1-Input'!$C$12,'1-Input'!$B$12,0))-MIN(MAX(AO208,0),MAX(0,AK176-IF($A209&gt;='1-Input'!$C$12,'1-Input'!$B$12,0))))*(1/(1-'P-Parametri'!$B$6*AK209))),MAX(0,2*MAX(0,AK176-IF($A209&gt;='1-Input'!$C$12,'1-Input'!$B$12,0))-(AO208-MIN(MAX(AO208,0),MAX(0,AK176-IF($A209&gt;='1-Input'!$C$12,'1-Input'!$B$12,0)))))*(1/(1-'P-Parametri'!$B$6*AK209))))</f>
        <v>8533.5845849639682</v>
      </c>
      <c r="AM209" s="18">
        <f>IF($A209&gt;'1-Input'!$B$26,AO208,(AO208-MAX(0,AK176-IF($A209&gt;='1-Input'!$C$12,'1-Input'!$B$12,0))+AL209*(1-'P-Parametri'!$B$6*AK209))*(1+'1-Input'!$B$27))</f>
        <v>14013.038104198266</v>
      </c>
      <c r="AN209" s="18">
        <f>IF($A209&gt;'1-Input'!$B$26,AP208,(AP208-AL209)*(1+'5-Roberta'!$C$4))</f>
        <v>90439.431840135512</v>
      </c>
      <c r="AO209" s="18">
        <f>IF($A209&gt;'1-Input'!$B$26,AM209,AM209-'P-Parametri'!$B$8*(AN209+AM209)+MIN(MAX(AN209,0),'P-Parametri'!$B$8*(AN209+AM209)))</f>
        <v>14013.038104198266</v>
      </c>
      <c r="AP209" s="18">
        <f>IF($A209&gt;'1-Input'!$B$26,AN209,AN209-MIN(MAX(AN209,0),'P-Parametri'!$B$8*(AN209+AM209)))</f>
        <v>90230.526900246841</v>
      </c>
      <c r="AQ209" s="18">
        <f>IF($A209&gt;'1-Input'!$B$26,AQ208,AQ208-AL209*(1-AK209))</f>
        <v>30377.814624336515</v>
      </c>
    </row>
    <row r="210" spans="1:43">
      <c r="A210" s="10">
        <f>32</f>
        <v>32</v>
      </c>
      <c r="B210" s="11">
        <f>IF($A210&gt;'1-Input'!$B$26,0,IF(G209&lt;=0,0,MAX(0,(G209-H209)/G209)))</f>
        <v>0.66423878747617271</v>
      </c>
      <c r="C210" s="18">
        <f>IF($A210&gt;'1-Input'!$B$26,0,(MAX(0,B176-IF($A210&gt;='1-Input'!$C$12,'1-Input'!$B$12,0))-MIN(MAX(F209,0),MAX(0,B176-IF($A210&gt;='1-Input'!$C$12,'1-Input'!$B$12,0))))*(1/(1-'P-Parametri'!$B$6*B210))+MIN(MAX(0,G209-(MAX(0,B176-IF($A210&gt;='1-Input'!$C$12,'1-Input'!$B$12,0))-MIN(MAX(F209,0),MAX(0,B176-IF($A210&gt;='1-Input'!$C$12,'1-Input'!$B$12,0))))*(1/(1-'P-Parametri'!$B$6*B210))),MAX(0,2*MAX(0,B176-IF($A210&gt;='1-Input'!$C$12,'1-Input'!$B$12,0))-(F209-MIN(MAX(F209,0),MAX(0,B176-IF($A210&gt;='1-Input'!$C$12,'1-Input'!$B$12,0)))))*(1/(1-'P-Parametri'!$B$6*B210))))</f>
        <v>6792.2623873057446</v>
      </c>
      <c r="D210" s="18">
        <f>IF($A210&gt;'1-Input'!$B$26,F209,(F209-MAX(0,B176-IF($A210&gt;='1-Input'!$C$12,'1-Input'!$B$12,0))+C210*(1-'P-Parametri'!$B$6*B210))*(1+'1-Input'!$B$27))</f>
        <v>11117.941430986299</v>
      </c>
      <c r="E210" s="18">
        <f>IF($A210&gt;'1-Input'!$B$26,G209,(G209-C210)*(1+'5-Roberta'!$C$4))</f>
        <v>177238.89279784966</v>
      </c>
      <c r="F210" s="18">
        <f>IF($A210&gt;'1-Input'!$B$26,D210,D210-'P-Parametri'!$B$8*(E210+D210)+MIN(MAX(E210,0),'P-Parametri'!$B$8*(E210+D210)))</f>
        <v>11117.941430986299</v>
      </c>
      <c r="G210" s="18">
        <f>IF($A210&gt;'1-Input'!$B$26,E210,E210-MIN(MAX(E210,0),'P-Parametri'!$B$8*(E210+D210)))</f>
        <v>176862.179129392</v>
      </c>
      <c r="H210" s="18">
        <f>IF($A210&gt;'1-Input'!$B$26,H209,H209-C210*(1-B210))</f>
        <v>57776.646167171486</v>
      </c>
      <c r="I210" s="11">
        <f>IF($A210&gt;'1-Input'!$B$26,0,IF(N209&lt;=0,0,MAX(0,(N209-O209)/N209)))</f>
        <v>0</v>
      </c>
      <c r="J210" s="18">
        <f>IF($A210&gt;'1-Input'!$B$26,0,(MAX(0,I176-IF($A210&gt;='1-Input'!$C$12,'1-Input'!$B$12,0))-MIN(MAX(M209,0),MAX(0,I176-IF($A210&gt;='1-Input'!$C$12,'1-Input'!$B$12,0))))*(1/(1-'P-Parametri'!$B$6*I210))+MIN(MAX(0,N209-(MAX(0,I176-IF($A210&gt;='1-Input'!$C$12,'1-Input'!$B$12,0))-MIN(MAX(M209,0),MAX(0,I176-IF($A210&gt;='1-Input'!$C$12,'1-Input'!$B$12,0))))*(1/(1-'P-Parametri'!$B$6*I210))),MAX(0,2*MAX(0,I176-IF($A210&gt;='1-Input'!$C$12,'1-Input'!$B$12,0))-(M209-MIN(MAX(M209,0),MAX(0,I176-IF($A210&gt;='1-Input'!$C$12,'1-Input'!$B$12,0)))))*(1/(1-'P-Parametri'!$B$6*I210))))</f>
        <v>10846.756992928691</v>
      </c>
      <c r="K210" s="18">
        <f>IF($A210&gt;'1-Input'!$B$26,M209,(M209-MAX(0,I176-IF($A210&gt;='1-Input'!$C$12,'1-Input'!$B$12,0))+J210*(1-'P-Parametri'!$B$6*I210))*(1+'1-Input'!$B$27))</f>
        <v>0</v>
      </c>
      <c r="L210" s="18">
        <f>IF($A210&gt;'1-Input'!$B$26,N209,(N209-J210)*(1+'5-Roberta'!$C$4))</f>
        <v>-104005.07246121031</v>
      </c>
      <c r="M210" s="18">
        <f>IF($A210&gt;'1-Input'!$B$26,K210,K210-'P-Parametri'!$B$8*(L210+K210)+MIN(MAX(L210,0),'P-Parametri'!$B$8*(L210+K210)))</f>
        <v>0</v>
      </c>
      <c r="N210" s="18">
        <f>IF($A210&gt;'1-Input'!$B$26,L210,L210-MIN(MAX(L210,0),'P-Parametri'!$B$8*(L210+K210)))</f>
        <v>-103797.06231628789</v>
      </c>
      <c r="O210" s="18">
        <f>IF($A210&gt;'1-Input'!$B$26,O209,O209-J210*(1-I210))</f>
        <v>-90965.307193087414</v>
      </c>
      <c r="P210" s="11">
        <f>IF($A210&gt;'1-Input'!$B$26,0,IF(U209&lt;=0,0,MAX(0,(U209-V209)/U209)))</f>
        <v>0.66306944925908018</v>
      </c>
      <c r="Q210" s="18">
        <f>IF($A210&gt;'1-Input'!$B$26,0,(MAX(0,P176-IF($A210&gt;='1-Input'!$C$12,'1-Input'!$B$12,0))-MIN(MAX(T209,0),MAX(0,P176-IF($A210&gt;='1-Input'!$C$12,'1-Input'!$B$12,0))))*(1/(1-'P-Parametri'!$B$6*P210))+MIN(MAX(0,U209-(MAX(0,P176-IF($A210&gt;='1-Input'!$C$12,'1-Input'!$B$12,0))-MIN(MAX(T209,0),MAX(0,P176-IF($A210&gt;='1-Input'!$C$12,'1-Input'!$B$12,0))))*(1/(1-'P-Parametri'!$B$6*P210))),MAX(0,2*MAX(0,P176-IF($A210&gt;='1-Input'!$C$12,'1-Input'!$B$12,0))-(T209-MIN(MAX(T209,0),MAX(0,P176-IF($A210&gt;='1-Input'!$C$12,'1-Input'!$B$12,0)))))*(1/(1-'P-Parametri'!$B$6*P210))))</f>
        <v>8873.4390046802091</v>
      </c>
      <c r="R210" s="18">
        <f>IF($A210&gt;'1-Input'!$B$26,T209,(T209-MAX(0,P176-IF($A210&gt;='1-Input'!$C$12,'1-Input'!$B$12,0))+Q210*(1-'P-Parametri'!$B$6*P210))*(1+'1-Input'!$B$27))</f>
        <v>14529.861262445649</v>
      </c>
      <c r="S210" s="18">
        <f>IF($A210&gt;'1-Input'!$B$26,U209,(U209-Q210)*(1+'5-Roberta'!$C$4))</f>
        <v>67503.406734868418</v>
      </c>
      <c r="T210" s="18">
        <f>IF($A210&gt;'1-Input'!$B$26,R210,R210-'P-Parametri'!$B$8*(S210+R210)+MIN(MAX(S210,0),'P-Parametri'!$B$8*(S210+R210)))</f>
        <v>14529.861262445649</v>
      </c>
      <c r="U210" s="18">
        <f>IF($A210&gt;'1-Input'!$B$26,S210,S210-MIN(MAX(S210,0),'P-Parametri'!$B$8*(S210+R210)))</f>
        <v>67339.34019887379</v>
      </c>
      <c r="V210" s="18">
        <f>IF($A210&gt;'1-Input'!$B$26,V209,V209-Q210*(1-P210))</f>
        <v>22081.514570939351</v>
      </c>
      <c r="W210" s="11">
        <f>IF($A210&gt;'1-Input'!$B$26,0,IF(AB209&lt;=0,0,MAX(0,(AB209-AC209)/AB209)))</f>
        <v>0.66332517817887859</v>
      </c>
      <c r="X210" s="18">
        <f>IF($A210&gt;'1-Input'!$B$26,0,(MAX(0,W176-IF($A210&gt;='1-Input'!$C$12,'1-Input'!$B$12,0))-MIN(MAX(AA209,0),MAX(0,W176-IF($A210&gt;='1-Input'!$C$12,'1-Input'!$B$12,0))))*(1/(1-'P-Parametri'!$B$6*W210))+MIN(MAX(0,AB209-(MAX(0,W176-IF($A210&gt;='1-Input'!$C$12,'1-Input'!$B$12,0))-MIN(MAX(AA209,0),MAX(0,W176-IF($A210&gt;='1-Input'!$C$12,'1-Input'!$B$12,0))))*(1/(1-'P-Parametri'!$B$6*W210))),MAX(0,2*MAX(0,W176-IF($A210&gt;='1-Input'!$C$12,'1-Input'!$B$12,0))-(AA209-MIN(MAX(AA209,0),MAX(0,W176-IF($A210&gt;='1-Input'!$C$12,'1-Input'!$B$12,0)))))*(1/(1-'P-Parametri'!$B$6*W210))))</f>
        <v>8566.3380735892788</v>
      </c>
      <c r="Y210" s="18">
        <f>IF($A210&gt;'1-Input'!$B$26,AA209,(AA209-MAX(0,W176-IF($A210&gt;='1-Input'!$C$12,'1-Input'!$B$12,0))+X210*(1-'P-Parametri'!$B$6*W210))*(1+'1-Input'!$B$27))</f>
        <v>14025.870233474252</v>
      </c>
      <c r="Z210" s="18">
        <f>IF($A210&gt;'1-Input'!$B$26,AB209,(AB209-X210)*(1+'5-Roberta'!$C$4))</f>
        <v>83709.525433742238</v>
      </c>
      <c r="AA210" s="18">
        <f>IF($A210&gt;'1-Input'!$B$26,Y210,Y210-'P-Parametri'!$B$8*(Z210+Y210)+MIN(MAX(Z210,0),'P-Parametri'!$B$8*(Z210+Y210)))</f>
        <v>14025.870233474252</v>
      </c>
      <c r="AB210" s="18">
        <f>IF($A210&gt;'1-Input'!$B$26,Z210,Z210-MIN(MAX(Z210,0),'P-Parametri'!$B$8*(Z210+Y210)))</f>
        <v>83514.054642407806</v>
      </c>
      <c r="AC210" s="18">
        <f>IF($A210&gt;'1-Input'!$B$26,AC209,AC209-X210*(1-W210))</f>
        <v>27362.028699160976</v>
      </c>
      <c r="AD210" s="11">
        <f>IF($A210&gt;'1-Input'!$B$26,0,IF(AI209&lt;=0,0,MAX(0,(AI209-AJ209)/AI209)))</f>
        <v>0.66333117351507753</v>
      </c>
      <c r="AE210" s="18">
        <f>IF($A210&gt;'1-Input'!$B$26,0,(MAX(0,AD176-IF($A210&gt;='1-Input'!$C$12,'1-Input'!$B$12,0))-MIN(MAX(AH209,0),MAX(0,AD176-IF($A210&gt;='1-Input'!$C$12,'1-Input'!$B$12,0))))*(1/(1-'P-Parametri'!$B$6*AD210))+MIN(MAX(0,AI209-(MAX(0,AD176-IF($A210&gt;='1-Input'!$C$12,'1-Input'!$B$12,0))-MIN(MAX(AH209,0),MAX(0,AD176-IF($A210&gt;='1-Input'!$C$12,'1-Input'!$B$12,0))))*(1/(1-'P-Parametri'!$B$6*AD210))),MAX(0,2*MAX(0,AD176-IF($A210&gt;='1-Input'!$C$12,'1-Input'!$B$12,0))-(AH209-MIN(MAX(AH209,0),MAX(0,AD176-IF($A210&gt;='1-Input'!$C$12,'1-Input'!$B$12,0)))))*(1/(1-'P-Parametri'!$B$6*AD210))))</f>
        <v>8558.3837381835947</v>
      </c>
      <c r="AF210" s="18">
        <f>IF($A210&gt;'1-Input'!$B$26,AH209,(AH209-MAX(0,AD176-IF($A210&gt;='1-Input'!$C$12,'1-Input'!$B$12,0))+AE210*(1-'P-Parametri'!$B$6*AD210))*(1+'1-Input'!$B$27))</f>
        <v>14012.820014545508</v>
      </c>
      <c r="AG210" s="18">
        <f>IF($A210&gt;'1-Input'!$B$26,AI209,(AI209-AE210)*(1+'5-Roberta'!$C$4))</f>
        <v>84129.183695463536</v>
      </c>
      <c r="AH210" s="18">
        <f>IF($A210&gt;'1-Input'!$B$26,AF210,AF210-'P-Parametri'!$B$8*(AG210+AF210)+MIN(MAX(AG210,0),'P-Parametri'!$B$8*(AG210+AF210)))</f>
        <v>14012.820014545508</v>
      </c>
      <c r="AI210" s="18">
        <f>IF($A210&gt;'1-Input'!$B$26,AG210,AG210-MIN(MAX(AG210,0),'P-Parametri'!$B$8*(AG210+AF210)))</f>
        <v>83932.899688043515</v>
      </c>
      <c r="AJ210" s="18">
        <f>IF($A210&gt;'1-Input'!$B$26,AJ209,AJ209-AE210*(1-AD210))</f>
        <v>27498.712182413761</v>
      </c>
      <c r="AK210" s="11">
        <f>IF($A210&gt;'1-Input'!$B$26,0,IF(AP209&lt;=0,0,MAX(0,(AP209-AQ209)/AP209)))</f>
        <v>0.66333107355207721</v>
      </c>
      <c r="AL210" s="18">
        <f>IF($A210&gt;'1-Input'!$B$26,0,(MAX(0,AK176-IF($A210&gt;='1-Input'!$C$12,'1-Input'!$B$12,0))-MIN(MAX(AO209,0),MAX(0,AK176-IF($A210&gt;='1-Input'!$C$12,'1-Input'!$B$12,0))))*(1/(1-'P-Parametri'!$B$6*AK210))+MIN(MAX(0,AP209-(MAX(0,AK176-IF($A210&gt;='1-Input'!$C$12,'1-Input'!$B$12,0))-MIN(MAX(AO209,0),MAX(0,AK176-IF($A210&gt;='1-Input'!$C$12,'1-Input'!$B$12,0))))*(1/(1-'P-Parametri'!$B$6*AK210))),MAX(0,2*MAX(0,AK176-IF($A210&gt;='1-Input'!$C$12,'1-Input'!$B$12,0))-(AO209-MIN(MAX(AO209,0),MAX(0,AK176-IF($A210&gt;='1-Input'!$C$12,'1-Input'!$B$12,0)))))*(1/(1-'P-Parametri'!$B$6*AK210))))</f>
        <v>8558.5166684805463</v>
      </c>
      <c r="AM210" s="18">
        <f>IF($A210&gt;'1-Input'!$B$26,AO209,(AO209-MAX(0,AK176-IF($A210&gt;='1-Input'!$C$12,'1-Input'!$B$12,0))+AL210*(1-'P-Parametri'!$B$6*AK210))*(1+'1-Input'!$B$27))</f>
        <v>14013.038104198266</v>
      </c>
      <c r="AN210" s="18">
        <f>IF($A210&gt;'1-Input'!$B$26,AP209,(AP209-AL210)*(1+'5-Roberta'!$C$4))</f>
        <v>84122.170538719292</v>
      </c>
      <c r="AO210" s="18">
        <f>IF($A210&gt;'1-Input'!$B$26,AM210,AM210-'P-Parametri'!$B$8*(AN210+AM210)+MIN(MAX(AN210,0),'P-Parametri'!$B$8*(AN210+AM210)))</f>
        <v>14013.038104198266</v>
      </c>
      <c r="AP210" s="18">
        <f>IF($A210&gt;'1-Input'!$B$26,AN210,AN210-MIN(MAX(AN210,0),'P-Parametri'!$B$8*(AN210+AM210)))</f>
        <v>83925.900121433457</v>
      </c>
      <c r="AQ210" s="18">
        <f>IF($A210&gt;'1-Input'!$B$26,AQ209,AQ209-AL210*(1-AK210))</f>
        <v>27496.428005572518</v>
      </c>
    </row>
    <row r="211" spans="1:43">
      <c r="A211" s="10">
        <f>33</f>
        <v>33</v>
      </c>
      <c r="B211" s="11">
        <f>IF($A211&gt;'1-Input'!$B$26,0,IF(G210&lt;=0,0,MAX(0,(G210-H210)/G210)))</f>
        <v>0.67332390423108945</v>
      </c>
      <c r="C211" s="18">
        <f>IF($A211&gt;'1-Input'!$B$26,0,(MAX(0,B176-IF($A211&gt;='1-Input'!$C$12,'1-Input'!$B$12,0))-MIN(MAX(F210,0),MAX(0,B176-IF($A211&gt;='1-Input'!$C$12,'1-Input'!$B$12,0))))*(1/(1-'P-Parametri'!$B$6*B211))+MIN(MAX(0,G210-(MAX(0,B176-IF($A211&gt;='1-Input'!$C$12,'1-Input'!$B$12,0))-MIN(MAX(F210,0),MAX(0,B176-IF($A211&gt;='1-Input'!$C$12,'1-Input'!$B$12,0))))*(1/(1-'P-Parametri'!$B$6*B211))),MAX(0,2*MAX(0,B176-IF($A211&gt;='1-Input'!$C$12,'1-Input'!$B$12,0))-(F210-MIN(MAX(F210,0),MAX(0,B176-IF($A211&gt;='1-Input'!$C$12,'1-Input'!$B$12,0)))))*(1/(1-'P-Parametri'!$B$6*B211))))</f>
        <v>6811.7114274207988</v>
      </c>
      <c r="D211" s="18">
        <f>IF($A211&gt;'1-Input'!$B$26,F210,(F210-MAX(0,B176-IF($A211&gt;='1-Input'!$C$12,'1-Input'!$B$12,0))+C211*(1-'P-Parametri'!$B$6*B211))*(1+'1-Input'!$B$27))</f>
        <v>11117.941430986299</v>
      </c>
      <c r="E211" s="18">
        <f>IF($A211&gt;'1-Input'!$B$26,G210,(G210-C211)*(1+'5-Roberta'!$C$4))</f>
        <v>175151.98173303035</v>
      </c>
      <c r="F211" s="18">
        <f>IF($A211&gt;'1-Input'!$B$26,D211,D211-'P-Parametri'!$B$8*(E211+D211)+MIN(MAX(E211,0),'P-Parametri'!$B$8*(E211+D211)))</f>
        <v>11117.941430986299</v>
      </c>
      <c r="G211" s="18">
        <f>IF($A211&gt;'1-Input'!$B$26,E211,E211-MIN(MAX(E211,0),'P-Parametri'!$B$8*(E211+D211)))</f>
        <v>174779.44188670232</v>
      </c>
      <c r="H211" s="18">
        <f>IF($A211&gt;'1-Input'!$B$26,H210,H210-C211*(1-B211))</f>
        <v>55551.422872557188</v>
      </c>
      <c r="I211" s="11">
        <f>IF($A211&gt;'1-Input'!$B$26,0,IF(N210&lt;=0,0,MAX(0,(N210-O210)/N210)))</f>
        <v>0</v>
      </c>
      <c r="J211" s="18">
        <f>IF($A211&gt;'1-Input'!$B$26,0,(MAX(0,I176-IF($A211&gt;='1-Input'!$C$12,'1-Input'!$B$12,0))-MIN(MAX(M210,0),MAX(0,I176-IF($A211&gt;='1-Input'!$C$12,'1-Input'!$B$12,0))))*(1/(1-'P-Parametri'!$B$6*I211))+MIN(MAX(0,N210-(MAX(0,I176-IF($A211&gt;='1-Input'!$C$12,'1-Input'!$B$12,0))-MIN(MAX(M210,0),MAX(0,I176-IF($A211&gt;='1-Input'!$C$12,'1-Input'!$B$12,0))))*(1/(1-'P-Parametri'!$B$6*I211))),MAX(0,2*MAX(0,I176-IF($A211&gt;='1-Input'!$C$12,'1-Input'!$B$12,0))-(M210-MIN(MAX(M210,0),MAX(0,I176-IF($A211&gt;='1-Input'!$C$12,'1-Input'!$B$12,0)))))*(1/(1-'P-Parametri'!$B$6*I211))))</f>
        <v>10846.756992928691</v>
      </c>
      <c r="K211" s="18">
        <f>IF($A211&gt;'1-Input'!$B$26,M210,(M210-MAX(0,I176-IF($A211&gt;='1-Input'!$C$12,'1-Input'!$B$12,0))+J211*(1-'P-Parametri'!$B$6*I211))*(1+'1-Input'!$B$27))</f>
        <v>0</v>
      </c>
      <c r="L211" s="18">
        <f>IF($A211&gt;'1-Input'!$B$26,N210,(N210-J211)*(1+'5-Roberta'!$C$4))</f>
        <v>-118083.13388849307</v>
      </c>
      <c r="M211" s="18">
        <f>IF($A211&gt;'1-Input'!$B$26,K211,K211-'P-Parametri'!$B$8*(L211+K211)+MIN(MAX(L211,0),'P-Parametri'!$B$8*(L211+K211)))</f>
        <v>0</v>
      </c>
      <c r="N211" s="18">
        <f>IF($A211&gt;'1-Input'!$B$26,L211,L211-MIN(MAX(L211,0),'P-Parametri'!$B$8*(L211+K211)))</f>
        <v>-117846.96762071608</v>
      </c>
      <c r="O211" s="18">
        <f>IF($A211&gt;'1-Input'!$B$26,O210,O210-J211*(1-I211))</f>
        <v>-101812.0641860161</v>
      </c>
      <c r="P211" s="11">
        <f>IF($A211&gt;'1-Input'!$B$26,0,IF(U210&lt;=0,0,MAX(0,(U210-V210)/U210)))</f>
        <v>0.67208596779050922</v>
      </c>
      <c r="Q211" s="18">
        <f>IF($A211&gt;'1-Input'!$B$26,0,(MAX(0,P176-IF($A211&gt;='1-Input'!$C$12,'1-Input'!$B$12,0))-MIN(MAX(T210,0),MAX(0,P176-IF($A211&gt;='1-Input'!$C$12,'1-Input'!$B$12,0))))*(1/(1-'P-Parametri'!$B$6*P211))+MIN(MAX(0,U210-(MAX(0,P176-IF($A211&gt;='1-Input'!$C$12,'1-Input'!$B$12,0))-MIN(MAX(T210,0),MAX(0,P176-IF($A211&gt;='1-Input'!$C$12,'1-Input'!$B$12,0))))*(1/(1-'P-Parametri'!$B$6*P211))),MAX(0,2*MAX(0,P176-IF($A211&gt;='1-Input'!$C$12,'1-Input'!$B$12,0))-(T210-MIN(MAX(T210,0),MAX(0,P176-IF($A211&gt;='1-Input'!$C$12,'1-Input'!$B$12,0)))))*(1/(1-'P-Parametri'!$B$6*P211))))</f>
        <v>8898.6456260535542</v>
      </c>
      <c r="R211" s="18">
        <f>IF($A211&gt;'1-Input'!$B$26,T210,(T210-MAX(0,P176-IF($A211&gt;='1-Input'!$C$12,'1-Input'!$B$12,0))+Q211*(1-'P-Parametri'!$B$6*P211))*(1+'1-Input'!$B$27))</f>
        <v>14529.861262445649</v>
      </c>
      <c r="S211" s="18">
        <f>IF($A211&gt;'1-Input'!$B$26,U210,(U210-Q211)*(1+'5-Roberta'!$C$4))</f>
        <v>60193.91541000484</v>
      </c>
      <c r="T211" s="18">
        <f>IF($A211&gt;'1-Input'!$B$26,R211,R211-'P-Parametri'!$B$8*(S211+R211)+MIN(MAX(S211,0),'P-Parametri'!$B$8*(S211+R211)))</f>
        <v>14529.861262445649</v>
      </c>
      <c r="U211" s="18">
        <f>IF($A211&gt;'1-Input'!$B$26,S211,S211-MIN(MAX(S211,0),'P-Parametri'!$B$8*(S211+R211)))</f>
        <v>60044.46785665994</v>
      </c>
      <c r="V211" s="18">
        <f>IF($A211&gt;'1-Input'!$B$26,V210,V210-Q211*(1-P211))</f>
        <v>19163.52380249678</v>
      </c>
      <c r="W211" s="11">
        <f>IF($A211&gt;'1-Input'!$B$26,0,IF(AB210&lt;=0,0,MAX(0,(AB210-AC210)/AB210)))</f>
        <v>0.67236618056301689</v>
      </c>
      <c r="X211" s="18">
        <f>IF($A211&gt;'1-Input'!$B$26,0,(MAX(0,W176-IF($A211&gt;='1-Input'!$C$12,'1-Input'!$B$12,0))-MIN(MAX(AA210,0),MAX(0,W176-IF($A211&gt;='1-Input'!$C$12,'1-Input'!$B$12,0))))*(1/(1-'P-Parametri'!$B$6*W211))+MIN(MAX(0,AB210-(MAX(0,W176-IF($A211&gt;='1-Input'!$C$12,'1-Input'!$B$12,0))-MIN(MAX(AA210,0),MAX(0,W176-IF($A211&gt;='1-Input'!$C$12,'1-Input'!$B$12,0))))*(1/(1-'P-Parametri'!$B$6*W211))),MAX(0,2*MAX(0,W176-IF($A211&gt;='1-Input'!$C$12,'1-Input'!$B$12,0))-(AA210-MIN(MAX(AA210,0),MAX(0,W176-IF($A211&gt;='1-Input'!$C$12,'1-Input'!$B$12,0)))))*(1/(1-'P-Parametri'!$B$6*W211))))</f>
        <v>8590.7405513562462</v>
      </c>
      <c r="Y211" s="18">
        <f>IF($A211&gt;'1-Input'!$B$26,AA210,(AA210-MAX(0,W176-IF($A211&gt;='1-Input'!$C$12,'1-Input'!$B$12,0))+X211*(1-'P-Parametri'!$B$6*W211))*(1+'1-Input'!$B$27))</f>
        <v>14025.870233474252</v>
      </c>
      <c r="Z211" s="18">
        <f>IF($A211&gt;'1-Input'!$B$26,AB210,(AB210-X211)*(1+'5-Roberta'!$C$4))</f>
        <v>77171.013513783109</v>
      </c>
      <c r="AA211" s="18">
        <f>IF($A211&gt;'1-Input'!$B$26,Y211,Y211-'P-Parametri'!$B$8*(Z211+Y211)+MIN(MAX(Z211,0),'P-Parametri'!$B$8*(Z211+Y211)))</f>
        <v>14025.870233474252</v>
      </c>
      <c r="AB211" s="18">
        <f>IF($A211&gt;'1-Input'!$B$26,Z211,Z211-MIN(MAX(Z211,0),'P-Parametri'!$B$8*(Z211+Y211)))</f>
        <v>76988.61974628859</v>
      </c>
      <c r="AC211" s="18">
        <f>IF($A211&gt;'1-Input'!$B$26,AC210,AC210-X211*(1-W211))</f>
        <v>24547.411560527955</v>
      </c>
      <c r="AD211" s="11">
        <f>IF($A211&gt;'1-Input'!$B$26,0,IF(AI210&lt;=0,0,MAX(0,(AI210-AJ210)/AI210)))</f>
        <v>0.67237266572918097</v>
      </c>
      <c r="AE211" s="18">
        <f>IF($A211&gt;'1-Input'!$B$26,0,(MAX(0,AD176-IF($A211&gt;='1-Input'!$C$12,'1-Input'!$B$12,0))-MIN(MAX(AH210,0),MAX(0,AD176-IF($A211&gt;='1-Input'!$C$12,'1-Input'!$B$12,0))))*(1/(1-'P-Parametri'!$B$6*AD211))+MIN(MAX(0,AI210-(MAX(0,AD176-IF($A211&gt;='1-Input'!$C$12,'1-Input'!$B$12,0))-MIN(MAX(AH210,0),MAX(0,AD176-IF($A211&gt;='1-Input'!$C$12,'1-Input'!$B$12,0))))*(1/(1-'P-Parametri'!$B$6*AD211))),MAX(0,2*MAX(0,AD176-IF($A211&gt;='1-Input'!$C$12,'1-Input'!$B$12,0))-(AH210-MIN(MAX(AH210,0),MAX(0,AD176-IF($A211&gt;='1-Input'!$C$12,'1-Input'!$B$12,0)))))*(1/(1-'P-Parametri'!$B$6*AD211))))</f>
        <v>8582.7649275394851</v>
      </c>
      <c r="AF211" s="18">
        <f>IF($A211&gt;'1-Input'!$B$26,AH210,(AH210-MAX(0,AD176-IF($A211&gt;='1-Input'!$C$12,'1-Input'!$B$12,0))+AE211*(1-'P-Parametri'!$B$6*AD211))*(1+'1-Input'!$B$27))</f>
        <v>14012.820014545508</v>
      </c>
      <c r="AG211" s="18">
        <f>IF($A211&gt;'1-Input'!$B$26,AI210,(AI210-AE211)*(1+'5-Roberta'!$C$4))</f>
        <v>77610.638803319162</v>
      </c>
      <c r="AH211" s="18">
        <f>IF($A211&gt;'1-Input'!$B$26,AF211,AF211-'P-Parametri'!$B$8*(AG211+AF211)+MIN(MAX(AG211,0),'P-Parametri'!$B$8*(AG211+AF211)))</f>
        <v>14012.820014545508</v>
      </c>
      <c r="AI211" s="18">
        <f>IF($A211&gt;'1-Input'!$B$26,AG211,AG211-MIN(MAX(AG211,0),'P-Parametri'!$B$8*(AG211+AF211)))</f>
        <v>77427.391885683435</v>
      </c>
      <c r="AJ211" s="18">
        <f>IF($A211&gt;'1-Input'!$B$26,AJ210,AJ210-AE211*(1-AD211))</f>
        <v>24686.76378853092</v>
      </c>
      <c r="AK211" s="11">
        <f>IF($A211&gt;'1-Input'!$B$26,0,IF(AP210&lt;=0,0,MAX(0,(AP210-AQ210)/AP210)))</f>
        <v>0.67237255762776948</v>
      </c>
      <c r="AL211" s="18">
        <f>IF($A211&gt;'1-Input'!$B$26,0,(MAX(0,AK176-IF($A211&gt;='1-Input'!$C$12,'1-Input'!$B$12,0))-MIN(MAX(AO210,0),MAX(0,AK176-IF($A211&gt;='1-Input'!$C$12,'1-Input'!$B$12,0))))*(1/(1-'P-Parametri'!$B$6*AK211))+MIN(MAX(0,AP210-(MAX(0,AK176-IF($A211&gt;='1-Input'!$C$12,'1-Input'!$B$12,0))-MIN(MAX(AO210,0),MAX(0,AK176-IF($A211&gt;='1-Input'!$C$12,'1-Input'!$B$12,0))))*(1/(1-'P-Parametri'!$B$6*AK211))),MAX(0,2*MAX(0,AK176-IF($A211&gt;='1-Input'!$C$12,'1-Input'!$B$12,0))-(AO210-MIN(MAX(AO210,0),MAX(0,AK176-IF($A211&gt;='1-Input'!$C$12,'1-Input'!$B$12,0)))))*(1/(1-'P-Parametri'!$B$6*AK211))))</f>
        <v>8582.8982137525436</v>
      </c>
      <c r="AM211" s="18">
        <f>IF($A211&gt;'1-Input'!$B$26,AO210,(AO210-MAX(0,AK176-IF($A211&gt;='1-Input'!$C$12,'1-Input'!$B$12,0))+AL211*(1-'P-Parametri'!$B$6*AK211))*(1+'1-Input'!$B$27))</f>
        <v>14013.038104198266</v>
      </c>
      <c r="AN211" s="18">
        <f>IF($A211&gt;'1-Input'!$B$26,AP210,(AP210-AL211)*(1+'5-Roberta'!$C$4))</f>
        <v>77603.291964911346</v>
      </c>
      <c r="AO211" s="18">
        <f>IF($A211&gt;'1-Input'!$B$26,AM211,AM211-'P-Parametri'!$B$8*(AN211+AM211)+MIN(MAX(AN211,0),'P-Parametri'!$B$8*(AN211+AM211)))</f>
        <v>14013.038104198266</v>
      </c>
      <c r="AP211" s="18">
        <f>IF($A211&gt;'1-Input'!$B$26,AN211,AN211-MIN(MAX(AN211,0),'P-Parametri'!$B$8*(AN211+AM211)))</f>
        <v>77420.059304773124</v>
      </c>
      <c r="AQ211" s="18">
        <f>IF($A211&gt;'1-Input'!$B$26,AQ210,AQ210-AL211*(1-AK211))</f>
        <v>24684.435015659586</v>
      </c>
    </row>
    <row r="212" spans="1:43">
      <c r="A212" s="10">
        <f>34</f>
        <v>34</v>
      </c>
      <c r="B212" s="11">
        <f>IF($A212&gt;'1-Input'!$B$26,0,IF(G211&lt;=0,0,MAX(0,(G211-H211)/G211)))</f>
        <v>0.68216271734883205</v>
      </c>
      <c r="C212" s="18">
        <f>IF($A212&gt;'1-Input'!$B$26,0,(MAX(0,B176-IF($A212&gt;='1-Input'!$C$12,'1-Input'!$B$12,0))-MIN(MAX(F211,0),MAX(0,B176-IF($A212&gt;='1-Input'!$C$12,'1-Input'!$B$12,0))))*(1/(1-'P-Parametri'!$B$6*B212))+MIN(MAX(0,G211-(MAX(0,B176-IF($A212&gt;='1-Input'!$C$12,'1-Input'!$B$12,0))-MIN(MAX(F211,0),MAX(0,B176-IF($A212&gt;='1-Input'!$C$12,'1-Input'!$B$12,0))))*(1/(1-'P-Parametri'!$B$6*B212))),MAX(0,2*MAX(0,B176-IF($A212&gt;='1-Input'!$C$12,'1-Input'!$B$12,0))-(F211-MIN(MAX(F211,0),MAX(0,B176-IF($A212&gt;='1-Input'!$C$12,'1-Input'!$B$12,0)))))*(1/(1-'P-Parametri'!$B$6*B212))))</f>
        <v>6830.7403822654678</v>
      </c>
      <c r="D212" s="18">
        <f>IF($A212&gt;'1-Input'!$B$26,F211,(F211-MAX(0,B176-IF($A212&gt;='1-Input'!$C$12,'1-Input'!$B$12,0))+C212*(1-'P-Parametri'!$B$6*B212))*(1+'1-Input'!$B$27))</f>
        <v>11117.941430986299</v>
      </c>
      <c r="E212" s="18">
        <f>IF($A212&gt;'1-Input'!$B$26,G211,(G211-C212)*(1+'5-Roberta'!$C$4))</f>
        <v>172987.16254956994</v>
      </c>
      <c r="F212" s="18">
        <f>IF($A212&gt;'1-Input'!$B$26,D212,D212-'P-Parametri'!$B$8*(E212+D212)+MIN(MAX(E212,0),'P-Parametri'!$B$8*(E212+D212)))</f>
        <v>11117.941430986299</v>
      </c>
      <c r="G212" s="18">
        <f>IF($A212&gt;'1-Input'!$B$26,E212,E212-MIN(MAX(E212,0),'P-Parametri'!$B$8*(E212+D212)))</f>
        <v>172618.95234160882</v>
      </c>
      <c r="H212" s="18">
        <f>IF($A212&gt;'1-Input'!$B$26,H211,H211-C212*(1-B212))</f>
        <v>53380.358910962328</v>
      </c>
      <c r="I212" s="11">
        <f>IF($A212&gt;'1-Input'!$B$26,0,IF(N211&lt;=0,0,MAX(0,(N211-O211)/N211)))</f>
        <v>0</v>
      </c>
      <c r="J212" s="18">
        <f>IF($A212&gt;'1-Input'!$B$26,0,(MAX(0,I176-IF($A212&gt;='1-Input'!$C$12,'1-Input'!$B$12,0))-MIN(MAX(M211,0),MAX(0,I176-IF($A212&gt;='1-Input'!$C$12,'1-Input'!$B$12,0))))*(1/(1-'P-Parametri'!$B$6*I212))+MIN(MAX(0,N211-(MAX(0,I176-IF($A212&gt;='1-Input'!$C$12,'1-Input'!$B$12,0))-MIN(MAX(M211,0),MAX(0,I176-IF($A212&gt;='1-Input'!$C$12,'1-Input'!$B$12,0))))*(1/(1-'P-Parametri'!$B$6*I212))),MAX(0,2*MAX(0,I176-IF($A212&gt;='1-Input'!$C$12,'1-Input'!$B$12,0))-(M211-MIN(MAX(M211,0),MAX(0,I176-IF($A212&gt;='1-Input'!$C$12,'1-Input'!$B$12,0)))))*(1/(1-'P-Parametri'!$B$6*I212))))</f>
        <v>10846.756992928691</v>
      </c>
      <c r="K212" s="18">
        <f>IF($A212&gt;'1-Input'!$B$26,M211,(M211-MAX(0,I176-IF($A212&gt;='1-Input'!$C$12,'1-Input'!$B$12,0))+J212*(1-'P-Parametri'!$B$6*I212))*(1+'1-Input'!$B$27))</f>
        <v>0</v>
      </c>
      <c r="L212" s="18">
        <f>IF($A212&gt;'1-Input'!$B$26,N211,(N211-J212)*(1+'5-Roberta'!$C$4))</f>
        <v>-132554.5363520541</v>
      </c>
      <c r="M212" s="18">
        <f>IF($A212&gt;'1-Input'!$B$26,K212,K212-'P-Parametri'!$B$8*(L212+K212)+MIN(MAX(L212,0),'P-Parametri'!$B$8*(L212+K212)))</f>
        <v>0</v>
      </c>
      <c r="N212" s="18">
        <f>IF($A212&gt;'1-Input'!$B$26,L212,L212-MIN(MAX(L212,0),'P-Parametri'!$B$8*(L212+K212)))</f>
        <v>-132289.42727935</v>
      </c>
      <c r="O212" s="18">
        <f>IF($A212&gt;'1-Input'!$B$26,O211,O211-J212*(1-I212))</f>
        <v>-112658.82117894478</v>
      </c>
      <c r="P212" s="11">
        <f>IF($A212&gt;'1-Input'!$B$26,0,IF(U211&lt;=0,0,MAX(0,(U211-V211)/U211)))</f>
        <v>0.68084447266241832</v>
      </c>
      <c r="Q212" s="18">
        <f>IF($A212&gt;'1-Input'!$B$26,0,(MAX(0,P176-IF($A212&gt;='1-Input'!$C$12,'1-Input'!$B$12,0))-MIN(MAX(T211,0),MAX(0,P176-IF($A212&gt;='1-Input'!$C$12,'1-Input'!$B$12,0))))*(1/(1-'P-Parametri'!$B$6*P212))+MIN(MAX(0,U211-(MAX(0,P176-IF($A212&gt;='1-Input'!$C$12,'1-Input'!$B$12,0))-MIN(MAX(T211,0),MAX(0,P176-IF($A212&gt;='1-Input'!$C$12,'1-Input'!$B$12,0))))*(1/(1-'P-Parametri'!$B$6*P212))),MAX(0,2*MAX(0,P176-IF($A212&gt;='1-Input'!$C$12,'1-Input'!$B$12,0))-(T211-MIN(MAX(T211,0),MAX(0,P176-IF($A212&gt;='1-Input'!$C$12,'1-Input'!$B$12,0)))))*(1/(1-'P-Parametri'!$B$6*P212))))</f>
        <v>8923.2684423008068</v>
      </c>
      <c r="R212" s="18">
        <f>IF($A212&gt;'1-Input'!$B$26,T211,(T211-MAX(0,P176-IF($A212&gt;='1-Input'!$C$12,'1-Input'!$B$12,0))+Q212*(1-'P-Parametri'!$B$6*P212))*(1+'1-Input'!$B$27))</f>
        <v>14529.861262445649</v>
      </c>
      <c r="S212" s="18">
        <f>IF($A212&gt;'1-Input'!$B$26,U211,(U211-Q212)*(1+'5-Roberta'!$C$4))</f>
        <v>52654.835396789902</v>
      </c>
      <c r="T212" s="18">
        <f>IF($A212&gt;'1-Input'!$B$26,R212,R212-'P-Parametri'!$B$8*(S212+R212)+MIN(MAX(S212,0),'P-Parametri'!$B$8*(S212+R212)))</f>
        <v>14529.861262445649</v>
      </c>
      <c r="U212" s="18">
        <f>IF($A212&gt;'1-Input'!$B$26,S212,S212-MIN(MAX(S212,0),'P-Parametri'!$B$8*(S212+R212)))</f>
        <v>52520.466003471432</v>
      </c>
      <c r="V212" s="18">
        <f>IF($A212&gt;'1-Input'!$B$26,V211,V211-Q212*(1-P212))</f>
        <v>16315.613357219465</v>
      </c>
      <c r="W212" s="11">
        <f>IF($A212&gt;'1-Input'!$B$26,0,IF(AB211&lt;=0,0,MAX(0,(AB211-AC211)/AB211)))</f>
        <v>0.68115532345660323</v>
      </c>
      <c r="X212" s="18">
        <f>IF($A212&gt;'1-Input'!$B$26,0,(MAX(0,W176-IF($A212&gt;='1-Input'!$C$12,'1-Input'!$B$12,0))-MIN(MAX(AA211,0),MAX(0,W176-IF($A212&gt;='1-Input'!$C$12,'1-Input'!$B$12,0))))*(1/(1-'P-Parametri'!$B$6*W212))+MIN(MAX(0,AB211-(MAX(0,W176-IF($A212&gt;='1-Input'!$C$12,'1-Input'!$B$12,0))-MIN(MAX(AA211,0),MAX(0,W176-IF($A212&gt;='1-Input'!$C$12,'1-Input'!$B$12,0))))*(1/(1-'P-Parametri'!$B$6*W212))),MAX(0,2*MAX(0,W176-IF($A212&gt;='1-Input'!$C$12,'1-Input'!$B$12,0))-(AA211-MIN(MAX(AA211,0),MAX(0,W176-IF($A212&gt;='1-Input'!$C$12,'1-Input'!$B$12,0)))))*(1/(1-'P-Parametri'!$B$6*W212))))</f>
        <v>8614.5968804275308</v>
      </c>
      <c r="Y212" s="18">
        <f>IF($A212&gt;'1-Input'!$B$26,AA211,(AA211-MAX(0,W176-IF($A212&gt;='1-Input'!$C$12,'1-Input'!$B$12,0))+X212*(1-'P-Parametri'!$B$6*W212))*(1+'1-Input'!$B$27))</f>
        <v>14025.870233474252</v>
      </c>
      <c r="Z212" s="18">
        <f>IF($A212&gt;'1-Input'!$B$26,AB211,(AB211-X212)*(1+'5-Roberta'!$C$4))</f>
        <v>70425.243551836887</v>
      </c>
      <c r="AA212" s="18">
        <f>IF($A212&gt;'1-Input'!$B$26,Y212,Y212-'P-Parametri'!$B$8*(Z212+Y212)+MIN(MAX(Z212,0),'P-Parametri'!$B$8*(Z212+Y212)))</f>
        <v>14025.870233474252</v>
      </c>
      <c r="AB212" s="18">
        <f>IF($A212&gt;'1-Input'!$B$26,Z212,Z212-MIN(MAX(Z212,0),'P-Parametri'!$B$8*(Z212+Y212)))</f>
        <v>70256.341324266265</v>
      </c>
      <c r="AC212" s="18">
        <f>IF($A212&gt;'1-Input'!$B$26,AC211,AC211-X212*(1-W212))</f>
        <v>21800.693204636285</v>
      </c>
      <c r="AD212" s="11">
        <f>IF($A212&gt;'1-Input'!$B$26,0,IF(AI211&lt;=0,0,MAX(0,(AI211-AJ211)/AI211)))</f>
        <v>0.6811624001880453</v>
      </c>
      <c r="AE212" s="18">
        <f>IF($A212&gt;'1-Input'!$B$26,0,(MAX(0,AD176-IF($A212&gt;='1-Input'!$C$12,'1-Input'!$B$12,0))-MIN(MAX(AH211,0),MAX(0,AD176-IF($A212&gt;='1-Input'!$C$12,'1-Input'!$B$12,0))))*(1/(1-'P-Parametri'!$B$6*AD212))+MIN(MAX(0,AI211-(MAX(0,AD176-IF($A212&gt;='1-Input'!$C$12,'1-Input'!$B$12,0))-MIN(MAX(AH211,0),MAX(0,AD176-IF($A212&gt;='1-Input'!$C$12,'1-Input'!$B$12,0))))*(1/(1-'P-Parametri'!$B$6*AD212))),MAX(0,2*MAX(0,AD176-IF($A212&gt;='1-Input'!$C$12,'1-Input'!$B$12,0))-(AH211-MIN(MAX(AH211,0),MAX(0,AD176-IF($A212&gt;='1-Input'!$C$12,'1-Input'!$B$12,0)))))*(1/(1-'P-Parametri'!$B$6*AD212))))</f>
        <v>8606.6007659371171</v>
      </c>
      <c r="AF212" s="18">
        <f>IF($A212&gt;'1-Input'!$B$26,AH211,(AH211-MAX(0,AD176-IF($A212&gt;='1-Input'!$C$12,'1-Input'!$B$12,0))+AE212*(1-'P-Parametri'!$B$6*AD212))*(1+'1-Input'!$B$27))</f>
        <v>14012.820014545508</v>
      </c>
      <c r="AG212" s="18">
        <f>IF($A212&gt;'1-Input'!$B$26,AI211,(AI211-AE212)*(1+'5-Roberta'!$C$4))</f>
        <v>70885.414853338705</v>
      </c>
      <c r="AH212" s="18">
        <f>IF($A212&gt;'1-Input'!$B$26,AF212,AF212-'P-Parametri'!$B$8*(AG212+AF212)+MIN(MAX(AG212,0),'P-Parametri'!$B$8*(AG212+AF212)))</f>
        <v>14012.820014545508</v>
      </c>
      <c r="AI212" s="18">
        <f>IF($A212&gt;'1-Input'!$B$26,AG212,AG212-MIN(MAX(AG212,0),'P-Parametri'!$B$8*(AG212+AF212)))</f>
        <v>70715.618383602938</v>
      </c>
      <c r="AJ212" s="18">
        <f>IF($A212&gt;'1-Input'!$B$26,AJ211,AJ211-AE212*(1-AD212))</f>
        <v>21942.655857779799</v>
      </c>
      <c r="AK212" s="11">
        <f>IF($A212&gt;'1-Input'!$B$26,0,IF(AP211&lt;=0,0,MAX(0,(AP211-AQ211)/AP211)))</f>
        <v>0.6811622822647756</v>
      </c>
      <c r="AL212" s="18">
        <f>IF($A212&gt;'1-Input'!$B$26,0,(MAX(0,AK176-IF($A212&gt;='1-Input'!$C$12,'1-Input'!$B$12,0))-MIN(MAX(AO211,0),MAX(0,AK176-IF($A212&gt;='1-Input'!$C$12,'1-Input'!$B$12,0))))*(1/(1-'P-Parametri'!$B$6*AK212))+MIN(MAX(0,AP211-(MAX(0,AK176-IF($A212&gt;='1-Input'!$C$12,'1-Input'!$B$12,0))-MIN(MAX(AO211,0),MAX(0,AK176-IF($A212&gt;='1-Input'!$C$12,'1-Input'!$B$12,0))))*(1/(1-'P-Parametri'!$B$6*AK212))),MAX(0,2*MAX(0,AK176-IF($A212&gt;='1-Input'!$C$12,'1-Input'!$B$12,0))-(AO211-MIN(MAX(AO211,0),MAX(0,AK176-IF($A212&gt;='1-Input'!$C$12,'1-Input'!$B$12,0)))))*(1/(1-'P-Parametri'!$B$6*AK212))))</f>
        <v>8606.7343947860372</v>
      </c>
      <c r="AM212" s="18">
        <f>IF($A212&gt;'1-Input'!$B$26,AO211,(AO211-MAX(0,AK176-IF($A212&gt;='1-Input'!$C$12,'1-Input'!$B$12,0))+AL212*(1-'P-Parametri'!$B$6*AK212))*(1+'1-Input'!$B$27))</f>
        <v>14013.038104198266</v>
      </c>
      <c r="AN212" s="18">
        <f>IF($A212&gt;'1-Input'!$B$26,AP211,(AP211-AL212)*(1+'5-Roberta'!$C$4))</f>
        <v>70877.724657286701</v>
      </c>
      <c r="AO212" s="18">
        <f>IF($A212&gt;'1-Input'!$B$26,AM212,AM212-'P-Parametri'!$B$8*(AN212+AM212)+MIN(MAX(AN212,0),'P-Parametri'!$B$8*(AN212+AM212)))</f>
        <v>14013.038104198266</v>
      </c>
      <c r="AP212" s="18">
        <f>IF($A212&gt;'1-Input'!$B$26,AN212,AN212-MIN(MAX(AN212,0),'P-Parametri'!$B$8*(AN212+AM212)))</f>
        <v>70707.943131763735</v>
      </c>
      <c r="AQ212" s="18">
        <f>IF($A212&gt;'1-Input'!$B$26,AQ211,AQ211-AL212*(1-AK212))</f>
        <v>21940.283464072749</v>
      </c>
    </row>
    <row r="213" spans="1:43">
      <c r="A213" s="10">
        <f>35</f>
        <v>35</v>
      </c>
      <c r="B213" s="11">
        <f>IF($A213&gt;'1-Input'!$B$26,0,IF(G212&lt;=0,0,MAX(0,(G212-H212)/G212)))</f>
        <v>0.69076188803808825</v>
      </c>
      <c r="C213" s="18">
        <f>IF($A213&gt;'1-Input'!$B$26,0,(MAX(0,B176-IF($A213&gt;='1-Input'!$C$12,'1-Input'!$B$12,0))-MIN(MAX(F212,0),MAX(0,B176-IF($A213&gt;='1-Input'!$C$12,'1-Input'!$B$12,0))))*(1/(1-'P-Parametri'!$B$6*B213))+MIN(MAX(0,G212-(MAX(0,B176-IF($A213&gt;='1-Input'!$C$12,'1-Input'!$B$12,0))-MIN(MAX(F212,0),MAX(0,B176-IF($A213&gt;='1-Input'!$C$12,'1-Input'!$B$12,0))))*(1/(1-'P-Parametri'!$B$6*B213))),MAX(0,2*MAX(0,B176-IF($A213&gt;='1-Input'!$C$12,'1-Input'!$B$12,0))-(F212-MIN(MAX(F212,0),MAX(0,B176-IF($A213&gt;='1-Input'!$C$12,'1-Input'!$B$12,0)))))*(1/(1-'P-Parametri'!$B$6*B213))))</f>
        <v>6849.3557249109417</v>
      </c>
      <c r="D213" s="18">
        <f>IF($A213&gt;'1-Input'!$B$26,F212,(F212-MAX(0,B176-IF($A213&gt;='1-Input'!$C$12,'1-Input'!$B$12,0))+C213*(1-'P-Parametri'!$B$6*B213))*(1+'1-Input'!$B$27))</f>
        <v>11117.941430986299</v>
      </c>
      <c r="E213" s="18">
        <f>IF($A213&gt;'1-Input'!$B$26,G212,(G212-C213)*(1+'5-Roberta'!$C$4))</f>
        <v>170742.68451519881</v>
      </c>
      <c r="F213" s="18">
        <f>IF($A213&gt;'1-Input'!$B$26,D213,D213-'P-Parametri'!$B$8*(E213+D213)+MIN(MAX(E213,0),'P-Parametri'!$B$8*(E213+D213)))</f>
        <v>11117.941430986299</v>
      </c>
      <c r="G213" s="18">
        <f>IF($A213&gt;'1-Input'!$B$26,E213,E213-MIN(MAX(E213,0),'P-Parametri'!$B$8*(E213+D213)))</f>
        <v>170378.96326330645</v>
      </c>
      <c r="H213" s="18">
        <f>IF($A213&gt;'1-Input'!$B$26,H212,H212-C213*(1-B213))</f>
        <v>51262.277078435356</v>
      </c>
      <c r="I213" s="11">
        <f>IF($A213&gt;'1-Input'!$B$26,0,IF(N212&lt;=0,0,MAX(0,(N212-O212)/N212)))</f>
        <v>0</v>
      </c>
      <c r="J213" s="18">
        <f>IF($A213&gt;'1-Input'!$B$26,0,(MAX(0,I176-IF($A213&gt;='1-Input'!$C$12,'1-Input'!$B$12,0))-MIN(MAX(M212,0),MAX(0,I176-IF($A213&gt;='1-Input'!$C$12,'1-Input'!$B$12,0))))*(1/(1-'P-Parametri'!$B$6*I213))+MIN(MAX(0,N212-(MAX(0,I176-IF($A213&gt;='1-Input'!$C$12,'1-Input'!$B$12,0))-MIN(MAX(M212,0),MAX(0,I176-IF($A213&gt;='1-Input'!$C$12,'1-Input'!$B$12,0))))*(1/(1-'P-Parametri'!$B$6*I213))),MAX(0,2*MAX(0,I176-IF($A213&gt;='1-Input'!$C$12,'1-Input'!$B$12,0))-(M212-MIN(MAX(M212,0),MAX(0,I176-IF($A213&gt;='1-Input'!$C$12,'1-Input'!$B$12,0)))))*(1/(1-'P-Parametri'!$B$6*I213))))</f>
        <v>10846.756992928691</v>
      </c>
      <c r="K213" s="18">
        <f>IF($A213&gt;'1-Input'!$B$26,M212,(M212-MAX(0,I176-IF($A213&gt;='1-Input'!$C$12,'1-Input'!$B$12,0))+J213*(1-'P-Parametri'!$B$6*I213))*(1+'1-Input'!$B$27))</f>
        <v>0</v>
      </c>
      <c r="L213" s="18">
        <f>IF($A213&gt;'1-Input'!$B$26,N212,(N212-J213)*(1+'5-Roberta'!$C$4))</f>
        <v>-147430.26980044704</v>
      </c>
      <c r="M213" s="18">
        <f>IF($A213&gt;'1-Input'!$B$26,K213,K213-'P-Parametri'!$B$8*(L213+K213)+MIN(MAX(L213,0),'P-Parametri'!$B$8*(L213+K213)))</f>
        <v>0</v>
      </c>
      <c r="N213" s="18">
        <f>IF($A213&gt;'1-Input'!$B$26,L213,L213-MIN(MAX(L213,0),'P-Parametri'!$B$8*(L213+K213)))</f>
        <v>-147135.40926084615</v>
      </c>
      <c r="O213" s="18">
        <f>IF($A213&gt;'1-Input'!$B$26,O212,O212-J213*(1-I213))</f>
        <v>-123505.57817187347</v>
      </c>
      <c r="P213" s="11">
        <f>IF($A213&gt;'1-Input'!$B$26,0,IF(U212&lt;=0,0,MAX(0,(U212-V212)/U212)))</f>
        <v>0.68934751347901102</v>
      </c>
      <c r="Q213" s="18">
        <f>IF($A213&gt;'1-Input'!$B$26,0,(MAX(0,P176-IF($A213&gt;='1-Input'!$C$12,'1-Input'!$B$12,0))-MIN(MAX(T212,0),MAX(0,P176-IF($A213&gt;='1-Input'!$C$12,'1-Input'!$B$12,0))))*(1/(1-'P-Parametri'!$B$6*P213))+MIN(MAX(0,U212-(MAX(0,P176-IF($A213&gt;='1-Input'!$C$12,'1-Input'!$B$12,0))-MIN(MAX(T212,0),MAX(0,P176-IF($A213&gt;='1-Input'!$C$12,'1-Input'!$B$12,0))))*(1/(1-'P-Parametri'!$B$6*P213))),MAX(0,2*MAX(0,P176-IF($A213&gt;='1-Input'!$C$12,'1-Input'!$B$12,0))-(T212-MIN(MAX(T212,0),MAX(0,P176-IF($A213&gt;='1-Input'!$C$12,'1-Input'!$B$12,0)))))*(1/(1-'P-Parametri'!$B$6*P213))))</f>
        <v>8947.3037830174508</v>
      </c>
      <c r="R213" s="18">
        <f>IF($A213&gt;'1-Input'!$B$26,T212,(T212-MAX(0,P176-IF($A213&gt;='1-Input'!$C$12,'1-Input'!$B$12,0))+Q213*(1-'P-Parametri'!$B$6*P213))*(1+'1-Input'!$B$27))</f>
        <v>14529.861262445649</v>
      </c>
      <c r="S213" s="18">
        <f>IF($A213&gt;'1-Input'!$B$26,U212,(U212-Q213)*(1+'5-Roberta'!$C$4))</f>
        <v>44880.357087067605</v>
      </c>
      <c r="T213" s="18">
        <f>IF($A213&gt;'1-Input'!$B$26,R213,R213-'P-Parametri'!$B$8*(S213+R213)+MIN(MAX(S213,0),'P-Parametri'!$B$8*(S213+R213)))</f>
        <v>14529.861262445649</v>
      </c>
      <c r="U213" s="18">
        <f>IF($A213&gt;'1-Input'!$B$26,S213,S213-MIN(MAX(S213,0),'P-Parametri'!$B$8*(S213+R213)))</f>
        <v>44761.53665036858</v>
      </c>
      <c r="V213" s="18">
        <f>IF($A213&gt;'1-Input'!$B$26,V212,V212-Q213*(1-P213))</f>
        <v>13536.111189366442</v>
      </c>
      <c r="W213" s="11">
        <f>IF($A213&gt;'1-Input'!$B$26,0,IF(AB212&lt;=0,0,MAX(0,(AB212-AC212)/AB212)))</f>
        <v>0.68969785796251804</v>
      </c>
      <c r="X213" s="18">
        <f>IF($A213&gt;'1-Input'!$B$26,0,(MAX(0,W176-IF($A213&gt;='1-Input'!$C$12,'1-Input'!$B$12,0))-MIN(MAX(AA212,0),MAX(0,W176-IF($A213&gt;='1-Input'!$C$12,'1-Input'!$B$12,0))))*(1/(1-'P-Parametri'!$B$6*W213))+MIN(MAX(0,AB212-(MAX(0,W176-IF($A213&gt;='1-Input'!$C$12,'1-Input'!$B$12,0))-MIN(MAX(AA212,0),MAX(0,W176-IF($A213&gt;='1-Input'!$C$12,'1-Input'!$B$12,0))))*(1/(1-'P-Parametri'!$B$6*W213))),MAX(0,2*MAX(0,W176-IF($A213&gt;='1-Input'!$C$12,'1-Input'!$B$12,0))-(AA212-MIN(MAX(AA212,0),MAX(0,W176-IF($A213&gt;='1-Input'!$C$12,'1-Input'!$B$12,0)))))*(1/(1-'P-Parametri'!$B$6*W213))))</f>
        <v>8637.9111580163553</v>
      </c>
      <c r="Y213" s="18">
        <f>IF($A213&gt;'1-Input'!$B$26,AA212,(AA212-MAX(0,W176-IF($A213&gt;='1-Input'!$C$12,'1-Input'!$B$12,0))+X213*(1-'P-Parametri'!$B$6*W213))*(1+'1-Input'!$B$27))</f>
        <v>14025.870233474252</v>
      </c>
      <c r="Z213" s="18">
        <f>IF($A213&gt;'1-Input'!$B$26,AB212,(AB212-X213)*(1+'5-Roberta'!$C$4))</f>
        <v>63466.983071237402</v>
      </c>
      <c r="AA213" s="18">
        <f>IF($A213&gt;'1-Input'!$B$26,Y213,Y213-'P-Parametri'!$B$8*(Z213+Y213)+MIN(MAX(Z213,0),'P-Parametri'!$B$8*(Z213+Y213)))</f>
        <v>14025.870233474252</v>
      </c>
      <c r="AB213" s="18">
        <f>IF($A213&gt;'1-Input'!$B$26,Z213,Z213-MIN(MAX(Z213,0),'P-Parametri'!$B$8*(Z213+Y213)))</f>
        <v>63311.997364627976</v>
      </c>
      <c r="AC213" s="18">
        <f>IF($A213&gt;'1-Input'!$B$26,AC212,AC212-X213*(1-W213))</f>
        <v>19120.330869574344</v>
      </c>
      <c r="AD213" s="11">
        <f>IF($A213&gt;'1-Input'!$B$26,0,IF(AI212&lt;=0,0,MAX(0,(AI212-AJ212)/AI212)))</f>
        <v>0.68970566390652233</v>
      </c>
      <c r="AE213" s="18">
        <f>IF($A213&gt;'1-Input'!$B$26,0,(MAX(0,AD176-IF($A213&gt;='1-Input'!$C$12,'1-Input'!$B$12,0))-MIN(MAX(AH212,0),MAX(0,AD176-IF($A213&gt;='1-Input'!$C$12,'1-Input'!$B$12,0))))*(1/(1-'P-Parametri'!$B$6*AD213))+MIN(MAX(0,AI212-(MAX(0,AD176-IF($A213&gt;='1-Input'!$C$12,'1-Input'!$B$12,0))-MIN(MAX(AH212,0),MAX(0,AD176-IF($A213&gt;='1-Input'!$C$12,'1-Input'!$B$12,0))))*(1/(1-'P-Parametri'!$B$6*AD213))),MAX(0,2*MAX(0,AD176-IF($A213&gt;='1-Input'!$C$12,'1-Input'!$B$12,0))-(AH212-MIN(MAX(AH212,0),MAX(0,AD176-IF($A213&gt;='1-Input'!$C$12,'1-Input'!$B$12,0)))))*(1/(1-'P-Parametri'!$B$6*AD213))))</f>
        <v>8629.8954490168489</v>
      </c>
      <c r="AF213" s="18">
        <f>IF($A213&gt;'1-Input'!$B$26,AH212,(AH212-MAX(0,AD176-IF($A213&gt;='1-Input'!$C$12,'1-Input'!$B$12,0))+AE213*(1-'P-Parametri'!$B$6*AD213))*(1+'1-Input'!$B$27))</f>
        <v>14012.820014545508</v>
      </c>
      <c r="AG213" s="18">
        <f>IF($A213&gt;'1-Input'!$B$26,AI212,(AI212-AE213)*(1+'5-Roberta'!$C$4))</f>
        <v>63948.294622623675</v>
      </c>
      <c r="AH213" s="18">
        <f>IF($A213&gt;'1-Input'!$B$26,AF213,AF213-'P-Parametri'!$B$8*(AG213+AF213)+MIN(MAX(AG213,0),'P-Parametri'!$B$8*(AG213+AF213)))</f>
        <v>14012.820014545508</v>
      </c>
      <c r="AI213" s="18">
        <f>IF($A213&gt;'1-Input'!$B$26,AG213,AG213-MIN(MAX(AG213,0),'P-Parametri'!$B$8*(AG213+AF213)))</f>
        <v>63792.372393349338</v>
      </c>
      <c r="AJ213" s="18">
        <f>IF($A213&gt;'1-Input'!$B$26,AJ212,AJ212-AE213*(1-AD213))</f>
        <v>19264.848178870991</v>
      </c>
      <c r="AK213" s="11">
        <f>IF($A213&gt;'1-Input'!$B$26,0,IF(AP212&lt;=0,0,MAX(0,(AP212-AQ212)/AP212)))</f>
        <v>0.68970553388623967</v>
      </c>
      <c r="AL213" s="18">
        <f>IF($A213&gt;'1-Input'!$B$26,0,(MAX(0,AK176-IF($A213&gt;='1-Input'!$C$12,'1-Input'!$B$12,0))-MIN(MAX(AO212,0),MAX(0,AK176-IF($A213&gt;='1-Input'!$C$12,'1-Input'!$B$12,0))))*(1/(1-'P-Parametri'!$B$6*AK213))+MIN(MAX(0,AP212-(MAX(0,AK176-IF($A213&gt;='1-Input'!$C$12,'1-Input'!$B$12,0))-MIN(MAX(AO212,0),MAX(0,AK176-IF($A213&gt;='1-Input'!$C$12,'1-Input'!$B$12,0))))*(1/(1-'P-Parametri'!$B$6*AK213))),MAX(0,2*MAX(0,AK176-IF($A213&gt;='1-Input'!$C$12,'1-Input'!$B$12,0))-(AO212-MIN(MAX(AO212,0),MAX(0,AK176-IF($A213&gt;='1-Input'!$C$12,'1-Input'!$B$12,0)))))*(1/(1-'P-Parametri'!$B$6*AK213))))</f>
        <v>8630.0294056018301</v>
      </c>
      <c r="AM213" s="18">
        <f>IF($A213&gt;'1-Input'!$B$26,AO212,(AO212-MAX(0,AK176-IF($A213&gt;='1-Input'!$C$12,'1-Input'!$B$12,0))+AL213*(1-'P-Parametri'!$B$6*AK213))*(1+'1-Input'!$B$27))</f>
        <v>14013.038104198266</v>
      </c>
      <c r="AN213" s="18">
        <f>IF($A213&gt;'1-Input'!$B$26,AP212,(AP212-AL213)*(1+'5-Roberta'!$C$4))</f>
        <v>63940.251137946761</v>
      </c>
      <c r="AO213" s="18">
        <f>IF($A213&gt;'1-Input'!$B$26,AM213,AM213-'P-Parametri'!$B$8*(AN213+AM213)+MIN(MAX(AN213,0),'P-Parametri'!$B$8*(AN213+AM213)))</f>
        <v>14013.038104198266</v>
      </c>
      <c r="AP213" s="18">
        <f>IF($A213&gt;'1-Input'!$B$26,AN213,AN213-MIN(MAX(AN213,0),'P-Parametri'!$B$8*(AN213+AM213)))</f>
        <v>63784.344559462472</v>
      </c>
      <c r="AQ213" s="18">
        <f>IF($A213&gt;'1-Input'!$B$26,AQ212,AQ212-AL213*(1-AK213))</f>
        <v>19262.433097115478</v>
      </c>
    </row>
    <row r="214" spans="1:43">
      <c r="A214" s="10">
        <f>36</f>
        <v>36</v>
      </c>
      <c r="B214" s="11">
        <f>IF($A214&gt;'1-Input'!$B$26,0,IF(G213&lt;=0,0,MAX(0,(G213-H213)/G213)))</f>
        <v>0.6991278964456793</v>
      </c>
      <c r="C214" s="18">
        <f>IF($A214&gt;'1-Input'!$B$26,0,(MAX(0,B176-IF($A214&gt;='1-Input'!$C$12,'1-Input'!$B$12,0))-MIN(MAX(F213,0),MAX(0,B176-IF($A214&gt;='1-Input'!$C$12,'1-Input'!$B$12,0))))*(1/(1-'P-Parametri'!$B$6*B214))+MIN(MAX(0,G213-(MAX(0,B176-IF($A214&gt;='1-Input'!$C$12,'1-Input'!$B$12,0))-MIN(MAX(F213,0),MAX(0,B176-IF($A214&gt;='1-Input'!$C$12,'1-Input'!$B$12,0))))*(1/(1-'P-Parametri'!$B$6*B214))),MAX(0,2*MAX(0,B176-IF($A214&gt;='1-Input'!$C$12,'1-Input'!$B$12,0))-(F213-MIN(MAX(F213,0),MAX(0,B176-IF($A214&gt;='1-Input'!$C$12,'1-Input'!$B$12,0)))))*(1/(1-'P-Parametri'!$B$6*B214))))</f>
        <v>6867.5639534088668</v>
      </c>
      <c r="D214" s="18">
        <f>IF($A214&gt;'1-Input'!$B$26,F213,(F213-MAX(0,B176-IF($A214&gt;='1-Input'!$C$12,'1-Input'!$B$12,0))+C214*(1-'P-Parametri'!$B$6*B214))*(1+'1-Input'!$B$27))</f>
        <v>11117.941430986299</v>
      </c>
      <c r="E214" s="18">
        <f>IF($A214&gt;'1-Input'!$B$26,G213,(G213-C214)*(1+'5-Roberta'!$C$4))</f>
        <v>168416.74128919453</v>
      </c>
      <c r="F214" s="18">
        <f>IF($A214&gt;'1-Input'!$B$26,D214,D214-'P-Parametri'!$B$8*(E214+D214)+MIN(MAX(E214,0),'P-Parametri'!$B$8*(E214+D214)))</f>
        <v>11117.941430986299</v>
      </c>
      <c r="G214" s="18">
        <f>IF($A214&gt;'1-Input'!$B$26,E214,E214-MIN(MAX(E214,0),'P-Parametri'!$B$8*(E214+D214)))</f>
        <v>168057.67192375415</v>
      </c>
      <c r="H214" s="18">
        <f>IF($A214&gt;'1-Input'!$B$26,H213,H213-C214*(1-B214))</f>
        <v>49196.018665479402</v>
      </c>
      <c r="I214" s="11">
        <f>IF($A214&gt;'1-Input'!$B$26,0,IF(N213&lt;=0,0,MAX(0,(N213-O213)/N213)))</f>
        <v>0</v>
      </c>
      <c r="J214" s="18">
        <f>IF($A214&gt;'1-Input'!$B$26,0,(MAX(0,I176-IF($A214&gt;='1-Input'!$C$12,'1-Input'!$B$12,0))-MIN(MAX(M213,0),MAX(0,I176-IF($A214&gt;='1-Input'!$C$12,'1-Input'!$B$12,0))))*(1/(1-'P-Parametri'!$B$6*I214))+MIN(MAX(0,N213-(MAX(0,I176-IF($A214&gt;='1-Input'!$C$12,'1-Input'!$B$12,0))-MIN(MAX(M213,0),MAX(0,I176-IF($A214&gt;='1-Input'!$C$12,'1-Input'!$B$12,0))))*(1/(1-'P-Parametri'!$B$6*I214))),MAX(0,2*MAX(0,I176-IF($A214&gt;='1-Input'!$C$12,'1-Input'!$B$12,0))-(M213-MIN(MAX(M213,0),MAX(0,I176-IF($A214&gt;='1-Input'!$C$12,'1-Input'!$B$12,0)))))*(1/(1-'P-Parametri'!$B$6*I214))))</f>
        <v>10846.756992928691</v>
      </c>
      <c r="K214" s="18">
        <f>IF($A214&gt;'1-Input'!$B$26,M213,(M213-MAX(0,I176-IF($A214&gt;='1-Input'!$C$12,'1-Input'!$B$12,0))+J214*(1-'P-Parametri'!$B$6*I214))*(1+'1-Input'!$B$27))</f>
        <v>0</v>
      </c>
      <c r="L214" s="18">
        <f>IF($A214&gt;'1-Input'!$B$26,N213,(N213-J214)*(1+'5-Roberta'!$C$4))</f>
        <v>-162721.6312413881</v>
      </c>
      <c r="M214" s="18">
        <f>IF($A214&gt;'1-Input'!$B$26,K214,K214-'P-Parametri'!$B$8*(L214+K214)+MIN(MAX(L214,0),'P-Parametri'!$B$8*(L214+K214)))</f>
        <v>0</v>
      </c>
      <c r="N214" s="18">
        <f>IF($A214&gt;'1-Input'!$B$26,L214,L214-MIN(MAX(L214,0),'P-Parametri'!$B$8*(L214+K214)))</f>
        <v>-162396.18797890531</v>
      </c>
      <c r="O214" s="18">
        <f>IF($A214&gt;'1-Input'!$B$26,O213,O213-J214*(1-I214))</f>
        <v>-134352.33516480215</v>
      </c>
      <c r="P214" s="11">
        <f>IF($A214&gt;'1-Input'!$B$26,0,IF(U213&lt;=0,0,MAX(0,(U213-V213)/U213)))</f>
        <v>0.69759502907380677</v>
      </c>
      <c r="Q214" s="18">
        <f>IF($A214&gt;'1-Input'!$B$26,0,(MAX(0,P176-IF($A214&gt;='1-Input'!$C$12,'1-Input'!$B$12,0))-MIN(MAX(T213,0),MAX(0,P176-IF($A214&gt;='1-Input'!$C$12,'1-Input'!$B$12,0))))*(1/(1-'P-Parametri'!$B$6*P214))+MIN(MAX(0,U213-(MAX(0,P176-IF($A214&gt;='1-Input'!$C$12,'1-Input'!$B$12,0))-MIN(MAX(T213,0),MAX(0,P176-IF($A214&gt;='1-Input'!$C$12,'1-Input'!$B$12,0))))*(1/(1-'P-Parametri'!$B$6*P214))),MAX(0,2*MAX(0,P176-IF($A214&gt;='1-Input'!$C$12,'1-Input'!$B$12,0))-(T213-MIN(MAX(T213,0),MAX(0,P176-IF($A214&gt;='1-Input'!$C$12,'1-Input'!$B$12,0)))))*(1/(1-'P-Parametri'!$B$6*P214))))</f>
        <v>8970.7408638436082</v>
      </c>
      <c r="R214" s="18">
        <f>IF($A214&gt;'1-Input'!$B$26,T213,(T213-MAX(0,P176-IF($A214&gt;='1-Input'!$C$12,'1-Input'!$B$12,0))+Q214*(1-'P-Parametri'!$B$6*P214))*(1+'1-Input'!$B$27))</f>
        <v>14529.861262445649</v>
      </c>
      <c r="S214" s="18">
        <f>IF($A214&gt;'1-Input'!$B$26,U213,(U213-Q214)*(1+'5-Roberta'!$C$4))</f>
        <v>36864.519660120721</v>
      </c>
      <c r="T214" s="18">
        <f>IF($A214&gt;'1-Input'!$B$26,R214,R214-'P-Parametri'!$B$8*(S214+R214)+MIN(MAX(S214,0),'P-Parametri'!$B$8*(S214+R214)))</f>
        <v>14529.861262445649</v>
      </c>
      <c r="U214" s="18">
        <f>IF($A214&gt;'1-Input'!$B$26,S214,S214-MIN(MAX(S214,0),'P-Parametri'!$B$8*(S214+R214)))</f>
        <v>36761.730898275586</v>
      </c>
      <c r="V214" s="18">
        <f>IF($A214&gt;'1-Input'!$B$26,V213,V213-Q214*(1-P214))</f>
        <v>10823.314559249402</v>
      </c>
      <c r="W214" s="11">
        <f>IF($A214&gt;'1-Input'!$B$26,0,IF(AB213&lt;=0,0,MAX(0,(AB213-AC213)/AB213)))</f>
        <v>0.69799829944621605</v>
      </c>
      <c r="X214" s="18">
        <f>IF($A214&gt;'1-Input'!$B$26,0,(MAX(0,W176-IF($A214&gt;='1-Input'!$C$12,'1-Input'!$B$12,0))-MIN(MAX(AA213,0),MAX(0,W176-IF($A214&gt;='1-Input'!$C$12,'1-Input'!$B$12,0))))*(1/(1-'P-Parametri'!$B$6*W214))+MIN(MAX(0,AB213-(MAX(0,W176-IF($A214&gt;='1-Input'!$C$12,'1-Input'!$B$12,0))-MIN(MAX(AA213,0),MAX(0,W176-IF($A214&gt;='1-Input'!$C$12,'1-Input'!$B$12,0))))*(1/(1-'P-Parametri'!$B$6*W214))),MAX(0,2*MAX(0,W176-IF($A214&gt;='1-Input'!$C$12,'1-Input'!$B$12,0))-(AA213-MIN(MAX(AA213,0),MAX(0,W176-IF($A214&gt;='1-Input'!$C$12,'1-Input'!$B$12,0)))))*(1/(1-'P-Parametri'!$B$6*W214))))</f>
        <v>8660.6859145506969</v>
      </c>
      <c r="Y214" s="18">
        <f>IF($A214&gt;'1-Input'!$B$26,AA213,(AA213-MAX(0,W176-IF($A214&gt;='1-Input'!$C$12,'1-Input'!$B$12,0))+X214*(1-'P-Parametri'!$B$6*W214))*(1+'1-Input'!$B$27))</f>
        <v>14025.870233474252</v>
      </c>
      <c r="Z214" s="18">
        <f>IF($A214&gt;'1-Input'!$B$26,AB213,(AB213-X214)*(1+'5-Roberta'!$C$4))</f>
        <v>56290.850793579601</v>
      </c>
      <c r="AA214" s="18">
        <f>IF($A214&gt;'1-Input'!$B$26,Y214,Y214-'P-Parametri'!$B$8*(Z214+Y214)+MIN(MAX(Z214,0),'P-Parametri'!$B$8*(Z214+Y214)))</f>
        <v>14025.870233474252</v>
      </c>
      <c r="AB214" s="18">
        <f>IF($A214&gt;'1-Input'!$B$26,Z214,Z214-MIN(MAX(Z214,0),'P-Parametri'!$B$8*(Z214+Y214)))</f>
        <v>56150.217351525491</v>
      </c>
      <c r="AC214" s="18">
        <f>IF($A214&gt;'1-Input'!$B$26,AC213,AC213-X214*(1-W214))</f>
        <v>16504.788995417828</v>
      </c>
      <c r="AD214" s="11">
        <f>IF($A214&gt;'1-Input'!$B$26,0,IF(AI213&lt;=0,0,MAX(0,(AI213-AJ213)/AI213)))</f>
        <v>0.69800702723387908</v>
      </c>
      <c r="AE214" s="18">
        <f>IF($A214&gt;'1-Input'!$B$26,0,(MAX(0,AD176-IF($A214&gt;='1-Input'!$C$12,'1-Input'!$B$12,0))-MIN(MAX(AH213,0),MAX(0,AD176-IF($A214&gt;='1-Input'!$C$12,'1-Input'!$B$12,0))))*(1/(1-'P-Parametri'!$B$6*AD214))+MIN(MAX(0,AI213-(MAX(0,AD176-IF($A214&gt;='1-Input'!$C$12,'1-Input'!$B$12,0))-MIN(MAX(AH213,0),MAX(0,AD176-IF($A214&gt;='1-Input'!$C$12,'1-Input'!$B$12,0))))*(1/(1-'P-Parametri'!$B$6*AD214))),MAX(0,2*MAX(0,AD176-IF($A214&gt;='1-Input'!$C$12,'1-Input'!$B$12,0))-(AH213-MIN(MAX(AH213,0),MAX(0,AD176-IF($A214&gt;='1-Input'!$C$12,'1-Input'!$B$12,0)))))*(1/(1-'P-Parametri'!$B$6*AD214))))</f>
        <v>8652.6516613919648</v>
      </c>
      <c r="AF214" s="18">
        <f>IF($A214&gt;'1-Input'!$B$26,AH213,(AH213-MAX(0,AD176-IF($A214&gt;='1-Input'!$C$12,'1-Input'!$B$12,0))+AE214*(1-'P-Parametri'!$B$6*AD214))*(1+'1-Input'!$B$27))</f>
        <v>14012.820014545508</v>
      </c>
      <c r="AG214" s="18">
        <f>IF($A214&gt;'1-Input'!$B$26,AI213,(AI213-AE214)*(1+'5-Roberta'!$C$4))</f>
        <v>56793.912353916094</v>
      </c>
      <c r="AH214" s="18">
        <f>IF($A214&gt;'1-Input'!$B$26,AF214,AF214-'P-Parametri'!$B$8*(AG214+AF214)+MIN(MAX(AG214,0),'P-Parametri'!$B$8*(AG214+AF214)))</f>
        <v>14012.820014545508</v>
      </c>
      <c r="AI214" s="18">
        <f>IF($A214&gt;'1-Input'!$B$26,AG214,AG214-MIN(MAX(AG214,0),'P-Parametri'!$B$8*(AG214+AF214)))</f>
        <v>56652.298889179168</v>
      </c>
      <c r="AJ214" s="18">
        <f>IF($A214&gt;'1-Input'!$B$26,AJ213,AJ213-AE214*(1-AD214))</f>
        <v>16651.808181337517</v>
      </c>
      <c r="AK214" s="11">
        <f>IF($A214&gt;'1-Input'!$B$26,0,IF(AP213&lt;=0,0,MAX(0,(AP213-AQ213)/AP213)))</f>
        <v>0.6980068819370211</v>
      </c>
      <c r="AL214" s="18">
        <f>IF($A214&gt;'1-Input'!$B$26,0,(MAX(0,AK176-IF($A214&gt;='1-Input'!$C$12,'1-Input'!$B$12,0))-MIN(MAX(AO213,0),MAX(0,AK176-IF($A214&gt;='1-Input'!$C$12,'1-Input'!$B$12,0))))*(1/(1-'P-Parametri'!$B$6*AK214))+MIN(MAX(0,AP213-(MAX(0,AK176-IF($A214&gt;='1-Input'!$C$12,'1-Input'!$B$12,0))-MIN(MAX(AO213,0),MAX(0,AK176-IF($A214&gt;='1-Input'!$C$12,'1-Input'!$B$12,0))))*(1/(1-'P-Parametri'!$B$6*AK214))),MAX(0,2*MAX(0,AK176-IF($A214&gt;='1-Input'!$C$12,'1-Input'!$B$12,0))-(AO213-MIN(MAX(AO213,0),MAX(0,AK176-IF($A214&gt;='1-Input'!$C$12,'1-Input'!$B$12,0)))))*(1/(1-'P-Parametri'!$B$6*AK214))))</f>
        <v>8652.7859282796708</v>
      </c>
      <c r="AM214" s="18">
        <f>IF($A214&gt;'1-Input'!$B$26,AO213,(AO213-MAX(0,AK176-IF($A214&gt;='1-Input'!$C$12,'1-Input'!$B$12,0))+AL214*(1-'P-Parametri'!$B$6*AK214))*(1+'1-Input'!$B$27))</f>
        <v>14013.038104198266</v>
      </c>
      <c r="AN214" s="18">
        <f>IF($A214&gt;'1-Input'!$B$26,AP213,(AP213-AL214)*(1+'5-Roberta'!$C$4))</f>
        <v>56785.505390118284</v>
      </c>
      <c r="AO214" s="18">
        <f>IF($A214&gt;'1-Input'!$B$26,AM214,AM214-'P-Parametri'!$B$8*(AN214+AM214)+MIN(MAX(AN214,0),'P-Parametri'!$B$8*(AN214+AM214)))</f>
        <v>14013.038104198266</v>
      </c>
      <c r="AP214" s="18">
        <f>IF($A214&gt;'1-Input'!$B$26,AN214,AN214-MIN(MAX(AN214,0),'P-Parametri'!$B$8*(AN214+AM214)))</f>
        <v>56643.908303129654</v>
      </c>
      <c r="AQ214" s="18">
        <f>IF($A214&gt;'1-Input'!$B$26,AQ213,AQ213-AL214*(1-AK214))</f>
        <v>16649.351294702832</v>
      </c>
    </row>
    <row r="215" spans="1:43">
      <c r="A215" s="10">
        <f>37</f>
        <v>37</v>
      </c>
      <c r="B215" s="11">
        <f>IF($A215&gt;'1-Input'!$B$26,0,IF(G214&lt;=0,0,MAX(0,(G214-H214)/G214)))</f>
        <v>0.70726704647081462</v>
      </c>
      <c r="C215" s="18">
        <f>IF($A215&gt;'1-Input'!$B$26,0,(MAX(0,B176-IF($A215&gt;='1-Input'!$C$12,'1-Input'!$B$12,0))-MIN(MAX(F214,0),MAX(0,B176-IF($A215&gt;='1-Input'!$C$12,'1-Input'!$B$12,0))))*(1/(1-'P-Parametri'!$B$6*B215))+MIN(MAX(0,G214-(MAX(0,B176-IF($A215&gt;='1-Input'!$C$12,'1-Input'!$B$12,0))-MIN(MAX(F214,0),MAX(0,B176-IF($A215&gt;='1-Input'!$C$12,'1-Input'!$B$12,0))))*(1/(1-'P-Parametri'!$B$6*B215))),MAX(0,2*MAX(0,B176-IF($A215&gt;='1-Input'!$C$12,'1-Input'!$B$12,0))-(F214-MIN(MAX(F214,0),MAX(0,B176-IF($A215&gt;='1-Input'!$C$12,'1-Input'!$B$12,0)))))*(1/(1-'P-Parametri'!$B$6*B215))))</f>
        <v>6885.3715829575494</v>
      </c>
      <c r="D215" s="18">
        <f>IF($A215&gt;'1-Input'!$B$26,F214,(F214-MAX(0,B176-IF($A215&gt;='1-Input'!$C$12,'1-Input'!$B$12,0))+C215*(1-'P-Parametri'!$B$6*B215))*(1+'1-Input'!$B$27))</f>
        <v>11117.941430986299</v>
      </c>
      <c r="E215" s="18">
        <f>IF($A215&gt;'1-Input'!$B$26,G214,(G214-C215)*(1+'5-Roberta'!$C$4))</f>
        <v>166007.46935102053</v>
      </c>
      <c r="F215" s="18">
        <f>IF($A215&gt;'1-Input'!$B$26,D215,D215-'P-Parametri'!$B$8*(E215+D215)+MIN(MAX(E215,0),'P-Parametri'!$B$8*(E215+D215)))</f>
        <v>11117.941430986299</v>
      </c>
      <c r="G215" s="18">
        <f>IF($A215&gt;'1-Input'!$B$26,E215,E215-MIN(MAX(E215,0),'P-Parametri'!$B$8*(E215+D215)))</f>
        <v>165653.2185294565</v>
      </c>
      <c r="H215" s="18">
        <f>IF($A215&gt;'1-Input'!$B$26,H214,H214-C215*(1-B215))</f>
        <v>47180.443505854317</v>
      </c>
      <c r="I215" s="11">
        <f>IF($A215&gt;'1-Input'!$B$26,0,IF(N214&lt;=0,0,MAX(0,(N214-O214)/N214)))</f>
        <v>0</v>
      </c>
      <c r="J215" s="18">
        <f>IF($A215&gt;'1-Input'!$B$26,0,(MAX(0,I176-IF($A215&gt;='1-Input'!$C$12,'1-Input'!$B$12,0))-MIN(MAX(M214,0),MAX(0,I176-IF($A215&gt;='1-Input'!$C$12,'1-Input'!$B$12,0))))*(1/(1-'P-Parametri'!$B$6*I215))+MIN(MAX(0,N214-(MAX(0,I176-IF($A215&gt;='1-Input'!$C$12,'1-Input'!$B$12,0))-MIN(MAX(M214,0),MAX(0,I176-IF($A215&gt;='1-Input'!$C$12,'1-Input'!$B$12,0))))*(1/(1-'P-Parametri'!$B$6*I215))),MAX(0,2*MAX(0,I176-IF($A215&gt;='1-Input'!$C$12,'1-Input'!$B$12,0))-(M214-MIN(MAX(M214,0),MAX(0,I176-IF($A215&gt;='1-Input'!$C$12,'1-Input'!$B$12,0)))))*(1/(1-'P-Parametri'!$B$6*I215))))</f>
        <v>10846.756992928691</v>
      </c>
      <c r="K215" s="18">
        <f>IF($A215&gt;'1-Input'!$B$26,M214,(M214-MAX(0,I176-IF($A215&gt;='1-Input'!$C$12,'1-Input'!$B$12,0))+J215*(1-'P-Parametri'!$B$6*I215))*(1+'1-Input'!$B$27))</f>
        <v>0</v>
      </c>
      <c r="L215" s="18">
        <f>IF($A215&gt;'1-Input'!$B$26,N214,(N214-J215)*(1+'5-Roberta'!$C$4))</f>
        <v>-178440.23332098901</v>
      </c>
      <c r="M215" s="18">
        <f>IF($A215&gt;'1-Input'!$B$26,K215,K215-'P-Parametri'!$B$8*(L215+K215)+MIN(MAX(L215,0),'P-Parametri'!$B$8*(L215+K215)))</f>
        <v>0</v>
      </c>
      <c r="N215" s="18">
        <f>IF($A215&gt;'1-Input'!$B$26,L215,L215-MIN(MAX(L215,0),'P-Parametri'!$B$8*(L215+K215)))</f>
        <v>-178083.35285434703</v>
      </c>
      <c r="O215" s="18">
        <f>IF($A215&gt;'1-Input'!$B$26,O214,O214-J215*(1-I215))</f>
        <v>-145199.09215773083</v>
      </c>
      <c r="P215" s="11">
        <f>IF($A215&gt;'1-Input'!$B$26,0,IF(U214&lt;=0,0,MAX(0,(U214-V214)/U214)))</f>
        <v>0.70558201981297075</v>
      </c>
      <c r="Q215" s="18">
        <f>IF($A215&gt;'1-Input'!$B$26,0,(MAX(0,P176-IF($A215&gt;='1-Input'!$C$12,'1-Input'!$B$12,0))-MIN(MAX(T214,0),MAX(0,P176-IF($A215&gt;='1-Input'!$C$12,'1-Input'!$B$12,0))))*(1/(1-'P-Parametri'!$B$6*P215))+MIN(MAX(0,U214-(MAX(0,P176-IF($A215&gt;='1-Input'!$C$12,'1-Input'!$B$12,0))-MIN(MAX(T214,0),MAX(0,P176-IF($A215&gt;='1-Input'!$C$12,'1-Input'!$B$12,0))))*(1/(1-'P-Parametri'!$B$6*P215))),MAX(0,2*MAX(0,P176-IF($A215&gt;='1-Input'!$C$12,'1-Input'!$B$12,0))-(T214-MIN(MAX(T214,0),MAX(0,P176-IF($A215&gt;='1-Input'!$C$12,'1-Input'!$B$12,0)))))*(1/(1-'P-Parametri'!$B$6*P215))))</f>
        <v>8993.5549334350144</v>
      </c>
      <c r="R215" s="18">
        <f>IF($A215&gt;'1-Input'!$B$26,T214,(T214-MAX(0,P176-IF($A215&gt;='1-Input'!$C$12,'1-Input'!$B$12,0))+Q215*(1-'P-Parametri'!$B$6*P215))*(1+'1-Input'!$B$27))</f>
        <v>14529.861262445649</v>
      </c>
      <c r="S215" s="18">
        <f>IF($A215&gt;'1-Input'!$B$26,U214,(U214-Q215)*(1+'5-Roberta'!$C$4))</f>
        <v>28601.221243785789</v>
      </c>
      <c r="T215" s="18">
        <f>IF($A215&gt;'1-Input'!$B$26,R215,R215-'P-Parametri'!$B$8*(S215+R215)+MIN(MAX(S215,0),'P-Parametri'!$B$8*(S215+R215)))</f>
        <v>14529.861262445649</v>
      </c>
      <c r="U215" s="18">
        <f>IF($A215&gt;'1-Input'!$B$26,S215,S215-MIN(MAX(S215,0),'P-Parametri'!$B$8*(S215+R215)))</f>
        <v>28514.959078773325</v>
      </c>
      <c r="V215" s="18">
        <f>IF($A215&gt;'1-Input'!$B$26,V214,V214-Q215*(1-P215))</f>
        <v>8175.4502810463728</v>
      </c>
      <c r="W215" s="11">
        <f>IF($A215&gt;'1-Input'!$B$26,0,IF(AB214&lt;=0,0,MAX(0,(AB214-AC214)/AB214)))</f>
        <v>0.70606010494865112</v>
      </c>
      <c r="X215" s="18">
        <f>IF($A215&gt;'1-Input'!$B$26,0,(MAX(0,W176-IF($A215&gt;='1-Input'!$C$12,'1-Input'!$B$12,0))-MIN(MAX(AA214,0),MAX(0,W176-IF($A215&gt;='1-Input'!$C$12,'1-Input'!$B$12,0))))*(1/(1-'P-Parametri'!$B$6*W215))+MIN(MAX(0,AB214-(MAX(0,W176-IF($A215&gt;='1-Input'!$C$12,'1-Input'!$B$12,0))-MIN(MAX(AA214,0),MAX(0,W176-IF($A215&gt;='1-Input'!$C$12,'1-Input'!$B$12,0))))*(1/(1-'P-Parametri'!$B$6*W215))),MAX(0,2*MAX(0,W176-IF($A215&gt;='1-Input'!$C$12,'1-Input'!$B$12,0))-(AA214-MIN(MAX(AA214,0),MAX(0,W176-IF($A215&gt;='1-Input'!$C$12,'1-Input'!$B$12,0)))))*(1/(1-'P-Parametri'!$B$6*W215))))</f>
        <v>8682.9211632773749</v>
      </c>
      <c r="Y215" s="18">
        <f>IF($A215&gt;'1-Input'!$B$26,AA214,(AA214-MAX(0,W176-IF($A215&gt;='1-Input'!$C$12,'1-Input'!$B$12,0))+X215*(1-'P-Parametri'!$B$6*W215))*(1+'1-Input'!$B$27))</f>
        <v>14025.870233474252</v>
      </c>
      <c r="Z215" s="18">
        <f>IF($A215&gt;'1-Input'!$B$26,AB214,(AB214-X215)*(1+'5-Roberta'!$C$4))</f>
        <v>48891.315073895559</v>
      </c>
      <c r="AA215" s="18">
        <f>IF($A215&gt;'1-Input'!$B$26,Y215,Y215-'P-Parametri'!$B$8*(Z215+Y215)+MIN(MAX(Z215,0),'P-Parametri'!$B$8*(Z215+Y215)))</f>
        <v>14025.870233474252</v>
      </c>
      <c r="AB215" s="18">
        <f>IF($A215&gt;'1-Input'!$B$26,Z215,Z215-MIN(MAX(Z215,0),'P-Parametri'!$B$8*(Z215+Y215)))</f>
        <v>48765.480703280817</v>
      </c>
      <c r="AC215" s="18">
        <f>IF($A215&gt;'1-Input'!$B$26,AC214,AC214-X215*(1-W215))</f>
        <v>13952.532059944941</v>
      </c>
      <c r="AD215" s="11">
        <f>IF($A215&gt;'1-Input'!$B$26,0,IF(AI214&lt;=0,0,MAX(0,(AI214-AJ214)/AI214)))</f>
        <v>0.70607003585307138</v>
      </c>
      <c r="AE215" s="18">
        <f>IF($A215&gt;'1-Input'!$B$26,0,(MAX(0,AD176-IF($A215&gt;='1-Input'!$C$12,'1-Input'!$B$12,0))-MIN(MAX(AH214,0),MAX(0,AD176-IF($A215&gt;='1-Input'!$C$12,'1-Input'!$B$12,0))))*(1/(1-'P-Parametri'!$B$6*AD215))+MIN(MAX(0,AI214-(MAX(0,AD176-IF($A215&gt;='1-Input'!$C$12,'1-Input'!$B$12,0))-MIN(MAX(AH214,0),MAX(0,AD176-IF($A215&gt;='1-Input'!$C$12,'1-Input'!$B$12,0))))*(1/(1-'P-Parametri'!$B$6*AD215))),MAX(0,2*MAX(0,AD176-IF($A215&gt;='1-Input'!$C$12,'1-Input'!$B$12,0))-(AH214-MIN(MAX(AH214,0),MAX(0,AD176-IF($A215&gt;='1-Input'!$C$12,'1-Input'!$B$12,0)))))*(1/(1-'P-Parametri'!$B$6*AD215))))</f>
        <v>8674.8696686616477</v>
      </c>
      <c r="AF215" s="18">
        <f>IF($A215&gt;'1-Input'!$B$26,AH214,(AH214-MAX(0,AD176-IF($A215&gt;='1-Input'!$C$12,'1-Input'!$B$12,0))+AE215*(1-'P-Parametri'!$B$6*AD215))*(1+'1-Input'!$B$27))</f>
        <v>14012.820014545508</v>
      </c>
      <c r="AG215" s="18">
        <f>IF($A215&gt;'1-Input'!$B$26,AI214,(AI214-AE215)*(1+'5-Roberta'!$C$4))</f>
        <v>49416.752097133052</v>
      </c>
      <c r="AH215" s="18">
        <f>IF($A215&gt;'1-Input'!$B$26,AF215,AF215-'P-Parametri'!$B$8*(AG215+AF215)+MIN(MAX(AG215,0),'P-Parametri'!$B$8*(AG215+AF215)))</f>
        <v>14012.820014545508</v>
      </c>
      <c r="AI215" s="18">
        <f>IF($A215&gt;'1-Input'!$B$26,AG215,AG215-MIN(MAX(AG215,0),'P-Parametri'!$B$8*(AG215+AF215)))</f>
        <v>49289.892952909693</v>
      </c>
      <c r="AJ215" s="18">
        <f>IF($A215&gt;'1-Input'!$B$26,AJ214,AJ214-AE215*(1-AD215))</f>
        <v>14102.00405064852</v>
      </c>
      <c r="AK215" s="11">
        <f>IF($A215&gt;'1-Input'!$B$26,0,IF(AP214&lt;=0,0,MAX(0,(AP214-AQ214)/AP214)))</f>
        <v>0.70606987064515592</v>
      </c>
      <c r="AL215" s="18">
        <f>IF($A215&gt;'1-Input'!$B$26,0,(MAX(0,AK176-IF($A215&gt;='1-Input'!$C$12,'1-Input'!$B$12,0))-MIN(MAX(AO214,0),MAX(0,AK176-IF($A215&gt;='1-Input'!$C$12,'1-Input'!$B$12,0))))*(1/(1-'P-Parametri'!$B$6*AK215))+MIN(MAX(0,AP214-(MAX(0,AK176-IF($A215&gt;='1-Input'!$C$12,'1-Input'!$B$12,0))-MIN(MAX(AO214,0),MAX(0,AK176-IF($A215&gt;='1-Input'!$C$12,'1-Input'!$B$12,0))))*(1/(1-'P-Parametri'!$B$6*AK215))),MAX(0,2*MAX(0,AK176-IF($A215&gt;='1-Input'!$C$12,'1-Input'!$B$12,0))-(AO214-MIN(MAX(AO214,0),MAX(0,AK176-IF($A215&gt;='1-Input'!$C$12,'1-Input'!$B$12,0)))))*(1/(1-'P-Parametri'!$B$6*AK215))))</f>
        <v>8675.0042242799627</v>
      </c>
      <c r="AM215" s="18">
        <f>IF($A215&gt;'1-Input'!$B$26,AO214,(AO214-MAX(0,AK176-IF($A215&gt;='1-Input'!$C$12,'1-Input'!$B$12,0))+AL215*(1-'P-Parametri'!$B$6*AK215))*(1+'1-Input'!$B$27))</f>
        <v>14013.038104198266</v>
      </c>
      <c r="AN215" s="18">
        <f>IF($A215&gt;'1-Input'!$B$26,AP214,(AP214-AL215)*(1+'5-Roberta'!$C$4))</f>
        <v>49407.971201215187</v>
      </c>
      <c r="AO215" s="18">
        <f>IF($A215&gt;'1-Input'!$B$26,AM215,AM215-'P-Parametri'!$B$8*(AN215+AM215)+MIN(MAX(AN215,0),'P-Parametri'!$B$8*(AN215+AM215)))</f>
        <v>14013.038104198266</v>
      </c>
      <c r="AP215" s="18">
        <f>IF($A215&gt;'1-Input'!$B$26,AN215,AN215-MIN(MAX(AN215,0),'P-Parametri'!$B$8*(AN215+AM215)))</f>
        <v>49281.12918260436</v>
      </c>
      <c r="AQ215" s="18">
        <f>IF($A215&gt;'1-Input'!$B$26,AQ214,AQ214-AL215*(1-AK215))</f>
        <v>14099.506180906403</v>
      </c>
    </row>
    <row r="216" spans="1:43">
      <c r="A216" s="10">
        <f>38</f>
        <v>38</v>
      </c>
      <c r="B216" s="11">
        <f>IF($A216&gt;'1-Input'!$B$26,0,IF(G215&lt;=0,0,MAX(0,(G215-H215)/G215)))</f>
        <v>0.71518547043826575</v>
      </c>
      <c r="C216" s="18">
        <f>IF($A216&gt;'1-Input'!$B$26,0,(MAX(0,B176-IF($A216&gt;='1-Input'!$C$12,'1-Input'!$B$12,0))-MIN(MAX(F215,0),MAX(0,B176-IF($A216&gt;='1-Input'!$C$12,'1-Input'!$B$12,0))))*(1/(1-'P-Parametri'!$B$6*B216))+MIN(MAX(0,G215-(MAX(0,B176-IF($A216&gt;='1-Input'!$C$12,'1-Input'!$B$12,0))-MIN(MAX(F215,0),MAX(0,B176-IF($A216&gt;='1-Input'!$C$12,'1-Input'!$B$12,0))))*(1/(1-'P-Parametri'!$B$6*B216))),MAX(0,2*MAX(0,B176-IF($A216&gt;='1-Input'!$C$12,'1-Input'!$B$12,0))-(F215-MIN(MAX(F215,0),MAX(0,B176-IF($A216&gt;='1-Input'!$C$12,'1-Input'!$B$12,0)))))*(1/(1-'P-Parametri'!$B$6*B216))))</f>
        <v>6902.7851383898496</v>
      </c>
      <c r="D216" s="18">
        <f>IF($A216&gt;'1-Input'!$B$26,F215,(F215-MAX(0,B176-IF($A216&gt;='1-Input'!$C$12,'1-Input'!$B$12,0))+C216*(1-'P-Parametri'!$B$6*B216))*(1+'1-Input'!$B$27))</f>
        <v>11117.941430986299</v>
      </c>
      <c r="E216" s="18">
        <f>IF($A216&gt;'1-Input'!$B$26,G215,(G215-C216)*(1+'5-Roberta'!$C$4))</f>
        <v>163512.94639279865</v>
      </c>
      <c r="F216" s="18">
        <f>IF($A216&gt;'1-Input'!$B$26,D216,D216-'P-Parametri'!$B$8*(E216+D216)+MIN(MAX(E216,0),'P-Parametri'!$B$8*(E216+D216)))</f>
        <v>11117.941430986299</v>
      </c>
      <c r="G216" s="18">
        <f>IF($A216&gt;'1-Input'!$B$26,E216,E216-MIN(MAX(E216,0),'P-Parametri'!$B$8*(E216+D216)))</f>
        <v>163163.68461715107</v>
      </c>
      <c r="H216" s="18">
        <f>IF($A216&gt;'1-Input'!$B$26,H215,H215-C216*(1-B216))</f>
        <v>45214.430003998081</v>
      </c>
      <c r="I216" s="11">
        <f>IF($A216&gt;'1-Input'!$B$26,0,IF(N215&lt;=0,0,MAX(0,(N215-O215)/N215)))</f>
        <v>0</v>
      </c>
      <c r="J216" s="18">
        <f>IF($A216&gt;'1-Input'!$B$26,0,(MAX(0,I176-IF($A216&gt;='1-Input'!$C$12,'1-Input'!$B$12,0))-MIN(MAX(M215,0),MAX(0,I176-IF($A216&gt;='1-Input'!$C$12,'1-Input'!$B$12,0))))*(1/(1-'P-Parametri'!$B$6*I216))+MIN(MAX(0,N215-(MAX(0,I176-IF($A216&gt;='1-Input'!$C$12,'1-Input'!$B$12,0))-MIN(MAX(M215,0),MAX(0,I176-IF($A216&gt;='1-Input'!$C$12,'1-Input'!$B$12,0))))*(1/(1-'P-Parametri'!$B$6*I216))),MAX(0,2*MAX(0,I176-IF($A216&gt;='1-Input'!$C$12,'1-Input'!$B$12,0))-(M215-MIN(MAX(M215,0),MAX(0,I176-IF($A216&gt;='1-Input'!$C$12,'1-Input'!$B$12,0)))))*(1/(1-'P-Parametri'!$B$6*I216))))</f>
        <v>10846.756992928691</v>
      </c>
      <c r="K216" s="18">
        <f>IF($A216&gt;'1-Input'!$B$26,M215,(M215-MAX(0,I176-IF($A216&gt;='1-Input'!$C$12,'1-Input'!$B$12,0))+J216*(1-'P-Parametri'!$B$6*I216))*(1+'1-Input'!$B$27))</f>
        <v>0</v>
      </c>
      <c r="L216" s="18">
        <f>IF($A216&gt;'1-Input'!$B$26,N215,(N215-J216)*(1+'5-Roberta'!$C$4))</f>
        <v>-194598.01314269399</v>
      </c>
      <c r="M216" s="18">
        <f>IF($A216&gt;'1-Input'!$B$26,K216,K216-'P-Parametri'!$B$8*(L216+K216)+MIN(MAX(L216,0),'P-Parametri'!$B$8*(L216+K216)))</f>
        <v>0</v>
      </c>
      <c r="N216" s="18">
        <f>IF($A216&gt;'1-Input'!$B$26,L216,L216-MIN(MAX(L216,0),'P-Parametri'!$B$8*(L216+K216)))</f>
        <v>-194208.81711640861</v>
      </c>
      <c r="O216" s="18">
        <f>IF($A216&gt;'1-Input'!$B$26,O215,O215-J216*(1-I216))</f>
        <v>-156045.84915065952</v>
      </c>
      <c r="P216" s="11">
        <f>IF($A216&gt;'1-Input'!$B$26,0,IF(U215&lt;=0,0,MAX(0,(U215-V215)/U215)))</f>
        <v>0.71329258237890236</v>
      </c>
      <c r="Q216" s="18">
        <f>IF($A216&gt;'1-Input'!$B$26,0,(MAX(0,P176-IF($A216&gt;='1-Input'!$C$12,'1-Input'!$B$12,0))-MIN(MAX(T215,0),MAX(0,P176-IF($A216&gt;='1-Input'!$C$12,'1-Input'!$B$12,0))))*(1/(1-'P-Parametri'!$B$6*P216))+MIN(MAX(0,U215-(MAX(0,P176-IF($A216&gt;='1-Input'!$C$12,'1-Input'!$B$12,0))-MIN(MAX(T215,0),MAX(0,P176-IF($A216&gt;='1-Input'!$C$12,'1-Input'!$B$12,0))))*(1/(1-'P-Parametri'!$B$6*P216))),MAX(0,2*MAX(0,P176-IF($A216&gt;='1-Input'!$C$12,'1-Input'!$B$12,0))-(T215-MIN(MAX(T215,0),MAX(0,P176-IF($A216&gt;='1-Input'!$C$12,'1-Input'!$B$12,0)))))*(1/(1-'P-Parametri'!$B$6*P216))))</f>
        <v>9015.6897687072415</v>
      </c>
      <c r="R216" s="18">
        <f>IF($A216&gt;'1-Input'!$B$26,T215,(T215-MAX(0,P176-IF($A216&gt;='1-Input'!$C$12,'1-Input'!$B$12,0))+Q216*(1-'P-Parametri'!$B$6*P216))*(1+'1-Input'!$B$27))</f>
        <v>14529.861262445649</v>
      </c>
      <c r="S216" s="18">
        <f>IF($A216&gt;'1-Input'!$B$26,U215,(U215-Q216)*(1+'5-Roberta'!$C$4))</f>
        <v>20084.247389368065</v>
      </c>
      <c r="T216" s="18">
        <f>IF($A216&gt;'1-Input'!$B$26,R216,R216-'P-Parametri'!$B$8*(S216+R216)+MIN(MAX(S216,0),'P-Parametri'!$B$8*(S216+R216)))</f>
        <v>14529.861262445649</v>
      </c>
      <c r="U216" s="18">
        <f>IF($A216&gt;'1-Input'!$B$26,S216,S216-MIN(MAX(S216,0),'P-Parametri'!$B$8*(S216+R216)))</f>
        <v>20015.019172064436</v>
      </c>
      <c r="V216" s="18">
        <f>IF($A216&gt;'1-Input'!$B$26,V215,V215-Q216*(1-P216))</f>
        <v>5590.5851493873688</v>
      </c>
      <c r="W216" s="11">
        <f>IF($A216&gt;'1-Input'!$B$26,0,IF(AB215&lt;=0,0,MAX(0,(AB215-AC215)/AB215)))</f>
        <v>0.71388507077699637</v>
      </c>
      <c r="X216" s="18">
        <f>IF($A216&gt;'1-Input'!$B$26,0,(MAX(0,W176-IF($A216&gt;='1-Input'!$C$12,'1-Input'!$B$12,0))-MIN(MAX(AA215,0),MAX(0,W176-IF($A216&gt;='1-Input'!$C$12,'1-Input'!$B$12,0))))*(1/(1-'P-Parametri'!$B$6*W216))+MIN(MAX(0,AB215-(MAX(0,W176-IF($A216&gt;='1-Input'!$C$12,'1-Input'!$B$12,0))-MIN(MAX(AA215,0),MAX(0,W176-IF($A216&gt;='1-Input'!$C$12,'1-Input'!$B$12,0))))*(1/(1-'P-Parametri'!$B$6*W216))),MAX(0,2*MAX(0,W176-IF($A216&gt;='1-Input'!$C$12,'1-Input'!$B$12,0))-(AA215-MIN(MAX(AA215,0),MAX(0,W176-IF($A216&gt;='1-Input'!$C$12,'1-Input'!$B$12,0)))))*(1/(1-'P-Parametri'!$B$6*W216))))</f>
        <v>8704.6126483526587</v>
      </c>
      <c r="Y216" s="18">
        <f>IF($A216&gt;'1-Input'!$B$26,AA215,(AA215-MAX(0,W176-IF($A216&gt;='1-Input'!$C$12,'1-Input'!$B$12,0))+X216*(1-'P-Parametri'!$B$6*W216))*(1+'1-Input'!$B$27))</f>
        <v>14025.870233474252</v>
      </c>
      <c r="Z216" s="18">
        <f>IF($A216&gt;'1-Input'!$B$26,AB215,(AB215-X216)*(1+'5-Roberta'!$C$4))</f>
        <v>41262.694096576</v>
      </c>
      <c r="AA216" s="18">
        <f>IF($A216&gt;'1-Input'!$B$26,Y216,Y216-'P-Parametri'!$B$8*(Z216+Y216)+MIN(MAX(Z216,0),'P-Parametri'!$B$8*(Z216+Y216)))</f>
        <v>14025.870233474252</v>
      </c>
      <c r="AB216" s="18">
        <f>IF($A216&gt;'1-Input'!$B$26,Z216,Z216-MIN(MAX(Z216,0),'P-Parametri'!$B$8*(Z216+Y216)))</f>
        <v>41152.116967915899</v>
      </c>
      <c r="AC216" s="18">
        <f>IF($A216&gt;'1-Input'!$B$26,AC215,AC215-X216*(1-W216))</f>
        <v>11462.012428147857</v>
      </c>
      <c r="AD216" s="11">
        <f>IF($A216&gt;'1-Input'!$B$26,0,IF(AI215&lt;=0,0,MAX(0,(AI215-AJ215)/AI215)))</f>
        <v>0.71389663872629594</v>
      </c>
      <c r="AE216" s="18">
        <f>IF($A216&gt;'1-Input'!$B$26,0,(MAX(0,AD176-IF($A216&gt;='1-Input'!$C$12,'1-Input'!$B$12,0))-MIN(MAX(AH215,0),MAX(0,AD176-IF($A216&gt;='1-Input'!$C$12,'1-Input'!$B$12,0))))*(1/(1-'P-Parametri'!$B$6*AD216))+MIN(MAX(0,AI215-(MAX(0,AD176-IF($A216&gt;='1-Input'!$C$12,'1-Input'!$B$12,0))-MIN(MAX(AH215,0),MAX(0,AD176-IF($A216&gt;='1-Input'!$C$12,'1-Input'!$B$12,0))))*(1/(1-'P-Parametri'!$B$6*AD216))),MAX(0,2*MAX(0,AD176-IF($A216&gt;='1-Input'!$C$12,'1-Input'!$B$12,0))-(AH215-MIN(MAX(AH215,0),MAX(0,AD176-IF($A216&gt;='1-Input'!$C$12,'1-Input'!$B$12,0)))))*(1/(1-'P-Parametri'!$B$6*AD216))))</f>
        <v>8696.5456535432841</v>
      </c>
      <c r="AF216" s="18">
        <f>IF($A216&gt;'1-Input'!$B$26,AH215,(AH215-MAX(0,AD176-IF($A216&gt;='1-Input'!$C$12,'1-Input'!$B$12,0))+AE216*(1-'P-Parametri'!$B$6*AD216))*(1+'1-Input'!$B$27))</f>
        <v>14012.820014545508</v>
      </c>
      <c r="AG216" s="18">
        <f>IF($A216&gt;'1-Input'!$B$26,AI215,(AI215-AE216)*(1+'5-Roberta'!$C$4))</f>
        <v>41811.147718347405</v>
      </c>
      <c r="AH216" s="18">
        <f>IF($A216&gt;'1-Input'!$B$26,AF216,AF216-'P-Parametri'!$B$8*(AG216+AF216)+MIN(MAX(AG216,0),'P-Parametri'!$B$8*(AG216+AF216)))</f>
        <v>14012.820014545508</v>
      </c>
      <c r="AI216" s="18">
        <f>IF($A216&gt;'1-Input'!$B$26,AG216,AG216-MIN(MAX(AG216,0),'P-Parametri'!$B$8*(AG216+AF216)))</f>
        <v>41699.499782881619</v>
      </c>
      <c r="AJ216" s="18">
        <f>IF($A216&gt;'1-Input'!$B$26,AJ215,AJ215-AE216*(1-AD216))</f>
        <v>11613.893107699565</v>
      </c>
      <c r="AK216" s="11">
        <f>IF($A216&gt;'1-Input'!$B$26,0,IF(AP215&lt;=0,0,MAX(0,(AP215-AQ215)/AP215)))</f>
        <v>0.71389644647421424</v>
      </c>
      <c r="AL216" s="18">
        <f>IF($A216&gt;'1-Input'!$B$26,0,(MAX(0,AK176-IF($A216&gt;='1-Input'!$C$12,'1-Input'!$B$12,0))-MIN(MAX(AO215,0),MAX(0,AK176-IF($A216&gt;='1-Input'!$C$12,'1-Input'!$B$12,0))))*(1/(1-'P-Parametri'!$B$6*AK216))+MIN(MAX(0,AP215-(MAX(0,AK176-IF($A216&gt;='1-Input'!$C$12,'1-Input'!$B$12,0))-MIN(MAX(AO215,0),MAX(0,AK176-IF($A216&gt;='1-Input'!$C$12,'1-Input'!$B$12,0))))*(1/(1-'P-Parametri'!$B$6*AK216))),MAX(0,2*MAX(0,AK176-IF($A216&gt;='1-Input'!$C$12,'1-Input'!$B$12,0))-(AO215-MIN(MAX(AO215,0),MAX(0,AK176-IF($A216&gt;='1-Input'!$C$12,'1-Input'!$B$12,0)))))*(1/(1-'P-Parametri'!$B$6*AK216))))</f>
        <v>8696.680469145942</v>
      </c>
      <c r="AM216" s="18">
        <f>IF($A216&gt;'1-Input'!$B$26,AO215,(AO215-MAX(0,AK176-IF($A216&gt;='1-Input'!$C$12,'1-Input'!$B$12,0))+AL216*(1-'P-Parametri'!$B$6*AK216))*(1+'1-Input'!$B$27))</f>
        <v>14013.038104198266</v>
      </c>
      <c r="AN216" s="18">
        <f>IF($A216&gt;'1-Input'!$B$26,AP215,(AP215-AL216)*(1+'5-Roberta'!$C$4))</f>
        <v>41801.982174862176</v>
      </c>
      <c r="AO216" s="18">
        <f>IF($A216&gt;'1-Input'!$B$26,AM216,AM216-'P-Parametri'!$B$8*(AN216+AM216)+MIN(MAX(AN216,0),'P-Parametri'!$B$8*(AN216+AM216)))</f>
        <v>14013.038104198266</v>
      </c>
      <c r="AP216" s="18">
        <f>IF($A216&gt;'1-Input'!$B$26,AN216,AN216-MIN(MAX(AN216,0),'P-Parametri'!$B$8*(AN216+AM216)))</f>
        <v>41690.352134304056</v>
      </c>
      <c r="AQ216" s="18">
        <f>IF($A216&gt;'1-Input'!$B$26,AQ215,AQ215-AL216*(1-AK216))</f>
        <v>11611.354994805451</v>
      </c>
    </row>
    <row r="217" spans="1:43">
      <c r="A217" s="10">
        <f>39</f>
        <v>39</v>
      </c>
      <c r="B217" s="11">
        <f>IF($A217&gt;'1-Input'!$B$26,0,IF(G216&lt;=0,0,MAX(0,(G216-H216)/G216)))</f>
        <v>0.72288913363234186</v>
      </c>
      <c r="C217" s="18">
        <f>IF($A217&gt;'1-Input'!$B$26,0,(MAX(0,B176-IF($A217&gt;='1-Input'!$C$12,'1-Input'!$B$12,0))-MIN(MAX(F216,0),MAX(0,B176-IF($A217&gt;='1-Input'!$C$12,'1-Input'!$B$12,0))))*(1/(1-'P-Parametri'!$B$6*B217))+MIN(MAX(0,G216-(MAX(0,B176-IF($A217&gt;='1-Input'!$C$12,'1-Input'!$B$12,0))-MIN(MAX(F216,0),MAX(0,B176-IF($A217&gt;='1-Input'!$C$12,'1-Input'!$B$12,0))))*(1/(1-'P-Parametri'!$B$6*B217))),MAX(0,2*MAX(0,B176-IF($A217&gt;='1-Input'!$C$12,'1-Input'!$B$12,0))-(F216-MIN(MAX(F216,0),MAX(0,B176-IF($A217&gt;='1-Input'!$C$12,'1-Input'!$B$12,0)))))*(1/(1-'P-Parametri'!$B$6*B217))))</f>
        <v>6919.8111469744035</v>
      </c>
      <c r="D217" s="18">
        <f>IF($A217&gt;'1-Input'!$B$26,F216,(F216-MAX(0,B176-IF($A217&gt;='1-Input'!$C$12,'1-Input'!$B$12,0))+C217*(1-'P-Parametri'!$B$6*B217))*(1+'1-Input'!$B$27))</f>
        <v>11117.941430986299</v>
      </c>
      <c r="E217" s="18">
        <f>IF($A217&gt;'1-Input'!$B$26,G216,(G216-C217)*(1+'5-Roberta'!$C$4))</f>
        <v>160931.18967428195</v>
      </c>
      <c r="F217" s="18">
        <f>IF($A217&gt;'1-Input'!$B$26,D217,D217-'P-Parametri'!$B$8*(E217+D217)+MIN(MAX(E217,0),'P-Parametri'!$B$8*(E217+D217)))</f>
        <v>11117.941430986299</v>
      </c>
      <c r="G217" s="18">
        <f>IF($A217&gt;'1-Input'!$B$26,E217,E217-MIN(MAX(E217,0),'P-Parametri'!$B$8*(E217+D217)))</f>
        <v>160587.09141207143</v>
      </c>
      <c r="H217" s="18">
        <f>IF($A217&gt;'1-Input'!$B$26,H216,H216-C217*(1-B217))</f>
        <v>43296.875141959426</v>
      </c>
      <c r="I217" s="11">
        <f>IF($A217&gt;'1-Input'!$B$26,0,IF(N216&lt;=0,0,MAX(0,(N216-O216)/N216)))</f>
        <v>0</v>
      </c>
      <c r="J217" s="18">
        <f>IF($A217&gt;'1-Input'!$B$26,0,(MAX(0,I176-IF($A217&gt;='1-Input'!$C$12,'1-Input'!$B$12,0))-MIN(MAX(M216,0),MAX(0,I176-IF($A217&gt;='1-Input'!$C$12,'1-Input'!$B$12,0))))*(1/(1-'P-Parametri'!$B$6*I217))+MIN(MAX(0,N216-(MAX(0,I176-IF($A217&gt;='1-Input'!$C$12,'1-Input'!$B$12,0))-MIN(MAX(M216,0),MAX(0,I176-IF($A217&gt;='1-Input'!$C$12,'1-Input'!$B$12,0))))*(1/(1-'P-Parametri'!$B$6*I217))),MAX(0,2*MAX(0,I176-IF($A217&gt;='1-Input'!$C$12,'1-Input'!$B$12,0))-(M216-MIN(MAX(M216,0),MAX(0,I176-IF($A217&gt;='1-Input'!$C$12,'1-Input'!$B$12,0)))))*(1/(1-'P-Parametri'!$B$6*I217))))</f>
        <v>10846.756992928691</v>
      </c>
      <c r="K217" s="18">
        <f>IF($A217&gt;'1-Input'!$B$26,M216,(M216-MAX(0,I176-IF($A217&gt;='1-Input'!$C$12,'1-Input'!$B$12,0))+J217*(1-'P-Parametri'!$B$6*I217))*(1+'1-Input'!$B$27))</f>
        <v>0</v>
      </c>
      <c r="L217" s="18">
        <f>IF($A217&gt;'1-Input'!$B$26,N216,(N216-J217)*(1+'5-Roberta'!$C$4))</f>
        <v>-211207.24133261741</v>
      </c>
      <c r="M217" s="18">
        <f>IF($A217&gt;'1-Input'!$B$26,K217,K217-'P-Parametri'!$B$8*(L217+K217)+MIN(MAX(L217,0),'P-Parametri'!$B$8*(L217+K217)))</f>
        <v>0</v>
      </c>
      <c r="N217" s="18">
        <f>IF($A217&gt;'1-Input'!$B$26,L217,L217-MIN(MAX(L217,0),'P-Parametri'!$B$8*(L217+K217)))</f>
        <v>-210784.82684995217</v>
      </c>
      <c r="O217" s="18">
        <f>IF($A217&gt;'1-Input'!$B$26,O216,O216-J217*(1-I217))</f>
        <v>-166892.6061435882</v>
      </c>
      <c r="P217" s="11">
        <f>IF($A217&gt;'1-Input'!$B$26,0,IF(U216&lt;=0,0,MAX(0,(U216-V216)/U216)))</f>
        <v>0.72068049991227001</v>
      </c>
      <c r="Q217" s="18">
        <f>IF($A217&gt;'1-Input'!$B$26,0,(MAX(0,P176-IF($A217&gt;='1-Input'!$C$12,'1-Input'!$B$12,0))-MIN(MAX(T216,0),MAX(0,P176-IF($A217&gt;='1-Input'!$C$12,'1-Input'!$B$12,0))))*(1/(1-'P-Parametri'!$B$6*P217))+MIN(MAX(0,U216-(MAX(0,P176-IF($A217&gt;='1-Input'!$C$12,'1-Input'!$B$12,0))-MIN(MAX(T216,0),MAX(0,P176-IF($A217&gt;='1-Input'!$C$12,'1-Input'!$B$12,0))))*(1/(1-'P-Parametri'!$B$6*P217))),MAX(0,2*MAX(0,P176-IF($A217&gt;='1-Input'!$C$12,'1-Input'!$B$12,0))-(T216-MIN(MAX(T216,0),MAX(0,P176-IF($A217&gt;='1-Input'!$C$12,'1-Input'!$B$12,0)))))*(1/(1-'P-Parametri'!$B$6*P217))))</f>
        <v>9037.0008359085441</v>
      </c>
      <c r="R217" s="18">
        <f>IF($A217&gt;'1-Input'!$B$26,T216,(T216-MAX(0,P176-IF($A217&gt;='1-Input'!$C$12,'1-Input'!$B$12,0))+Q217*(1-'P-Parametri'!$B$6*P217))*(1+'1-Input'!$B$27))</f>
        <v>14529.861262445649</v>
      </c>
      <c r="S217" s="18">
        <f>IF($A217&gt;'1-Input'!$B$26,U216,(U216-Q217)*(1+'5-Roberta'!$C$4))</f>
        <v>11307.358886240569</v>
      </c>
      <c r="T217" s="18">
        <f>IF($A217&gt;'1-Input'!$B$26,R217,R217-'P-Parametri'!$B$8*(S217+R217)+MIN(MAX(S217,0),'P-Parametri'!$B$8*(S217+R217)))</f>
        <v>14529.861262445649</v>
      </c>
      <c r="U217" s="18">
        <f>IF($A217&gt;'1-Input'!$B$26,S217,S217-MIN(MAX(S217,0),'P-Parametri'!$B$8*(S217+R217)))</f>
        <v>11255.684445943196</v>
      </c>
      <c r="V217" s="18">
        <f>IF($A217&gt;'1-Input'!$B$26,V216,V216-Q217*(1-P217))</f>
        <v>3066.3745936089963</v>
      </c>
      <c r="W217" s="11">
        <f>IF($A217&gt;'1-Input'!$B$26,0,IF(AB216&lt;=0,0,MAX(0,(AB216-AC216)/AB216)))</f>
        <v>0.72147210708299225</v>
      </c>
      <c r="X217" s="18">
        <f>IF($A217&gt;'1-Input'!$B$26,0,(MAX(0,W176-IF($A217&gt;='1-Input'!$C$12,'1-Input'!$B$12,0))-MIN(MAX(AA216,0),MAX(0,W176-IF($A217&gt;='1-Input'!$C$12,'1-Input'!$B$12,0))))*(1/(1-'P-Parametri'!$B$6*W217))+MIN(MAX(0,AB216-(MAX(0,W176-IF($A217&gt;='1-Input'!$C$12,'1-Input'!$B$12,0))-MIN(MAX(AA216,0),MAX(0,W176-IF($A217&gt;='1-Input'!$C$12,'1-Input'!$B$12,0))))*(1/(1-'P-Parametri'!$B$6*W217))),MAX(0,2*MAX(0,W176-IF($A217&gt;='1-Input'!$C$12,'1-Input'!$B$12,0))-(AA216-MIN(MAX(AA216,0),MAX(0,W176-IF($A217&gt;='1-Input'!$C$12,'1-Input'!$B$12,0)))))*(1/(1-'P-Parametri'!$B$6*W217))))</f>
        <v>8725.7483087838918</v>
      </c>
      <c r="Y217" s="18">
        <f>IF($A217&gt;'1-Input'!$B$26,AA216,(AA216-MAX(0,W176-IF($A217&gt;='1-Input'!$C$12,'1-Input'!$B$12,0))+X217*(1-'P-Parametri'!$B$6*W217))*(1+'1-Input'!$B$27))</f>
        <v>14025.870233474252</v>
      </c>
      <c r="Z217" s="18">
        <f>IF($A217&gt;'1-Input'!$B$26,AB216,(AB216-X217)*(1+'5-Roberta'!$C$4))</f>
        <v>33399.159718905968</v>
      </c>
      <c r="AA217" s="18">
        <f>IF($A217&gt;'1-Input'!$B$26,Y217,Y217-'P-Parametri'!$B$8*(Z217+Y217)+MIN(MAX(Z217,0),'P-Parametri'!$B$8*(Z217+Y217)))</f>
        <v>14025.870233474252</v>
      </c>
      <c r="AB217" s="18">
        <f>IF($A217&gt;'1-Input'!$B$26,Z217,Z217-MIN(MAX(Z217,0),'P-Parametri'!$B$8*(Z217+Y217)))</f>
        <v>33304.309659001206</v>
      </c>
      <c r="AC217" s="18">
        <f>IF($A217&gt;'1-Input'!$B$26,AC216,AC216-X217*(1-W217))</f>
        <v>9031.648137578135</v>
      </c>
      <c r="AD217" s="11">
        <f>IF($A217&gt;'1-Input'!$B$26,0,IF(AI216&lt;=0,0,MAX(0,(AI216-AJ216)/AI216)))</f>
        <v>0.72148603296993807</v>
      </c>
      <c r="AE217" s="18">
        <f>IF($A217&gt;'1-Input'!$B$26,0,(MAX(0,AD176-IF($A217&gt;='1-Input'!$C$12,'1-Input'!$B$12,0))-MIN(MAX(AH216,0),MAX(0,AD176-IF($A217&gt;='1-Input'!$C$12,'1-Input'!$B$12,0))))*(1/(1-'P-Parametri'!$B$6*AD217))+MIN(MAX(0,AI216-(MAX(0,AD176-IF($A217&gt;='1-Input'!$C$12,'1-Input'!$B$12,0))-MIN(MAX(AH216,0),MAX(0,AD176-IF($A217&gt;='1-Input'!$C$12,'1-Input'!$B$12,0))))*(1/(1-'P-Parametri'!$B$6*AD217))),MAX(0,2*MAX(0,AD176-IF($A217&gt;='1-Input'!$C$12,'1-Input'!$B$12,0))-(AH216-MIN(MAX(AH216,0),MAX(0,AD176-IF($A217&gt;='1-Input'!$C$12,'1-Input'!$B$12,0)))))*(1/(1-'P-Parametri'!$B$6*AD217))))</f>
        <v>8717.668383212047</v>
      </c>
      <c r="AF217" s="18">
        <f>IF($A217&gt;'1-Input'!$B$26,AH216,(AH216-MAX(0,AD176-IF($A217&gt;='1-Input'!$C$12,'1-Input'!$B$12,0))+AE217*(1-'P-Parametri'!$B$6*AD217))*(1+'1-Input'!$B$27))</f>
        <v>14012.820014545508</v>
      </c>
      <c r="AG217" s="18">
        <f>IF($A217&gt;'1-Input'!$B$26,AI216,(AI216-AE217)*(1+'5-Roberta'!$C$4))</f>
        <v>33971.286341659659</v>
      </c>
      <c r="AH217" s="18">
        <f>IF($A217&gt;'1-Input'!$B$26,AF217,AF217-'P-Parametri'!$B$8*(AG217+AF217)+MIN(MAX(AG217,0),'P-Parametri'!$B$8*(AG217+AF217)))</f>
        <v>14012.820014545508</v>
      </c>
      <c r="AI217" s="18">
        <f>IF($A217&gt;'1-Input'!$B$26,AG217,AG217-MIN(MAX(AG217,0),'P-Parametri'!$B$8*(AG217+AF217)))</f>
        <v>33875.318128947249</v>
      </c>
      <c r="AJ217" s="18">
        <f>IF($A217&gt;'1-Input'!$B$26,AJ216,AJ216-AE217*(1-AD217))</f>
        <v>9185.900703038631</v>
      </c>
      <c r="AK217" s="11">
        <f>IF($A217&gt;'1-Input'!$B$26,0,IF(AP216&lt;=0,0,MAX(0,(AP216-AQ216)/AP216)))</f>
        <v>0.72148580186130684</v>
      </c>
      <c r="AL217" s="18">
        <f>IF($A217&gt;'1-Input'!$B$26,0,(MAX(0,AK176-IF($A217&gt;='1-Input'!$C$12,'1-Input'!$B$12,0))-MIN(MAX(AO216,0),MAX(0,AK176-IF($A217&gt;='1-Input'!$C$12,'1-Input'!$B$12,0))))*(1/(1-'P-Parametri'!$B$6*AK217))+MIN(MAX(0,AP216-(MAX(0,AK176-IF($A217&gt;='1-Input'!$C$12,'1-Input'!$B$12,0))-MIN(MAX(AO216,0),MAX(0,AK176-IF($A217&gt;='1-Input'!$C$12,'1-Input'!$B$12,0))))*(1/(1-'P-Parametri'!$B$6*AK217))),MAX(0,2*MAX(0,AK176-IF($A217&gt;='1-Input'!$C$12,'1-Input'!$B$12,0))-(AO216-MIN(MAX(AO216,0),MAX(0,AK176-IF($A217&gt;='1-Input'!$C$12,'1-Input'!$B$12,0)))))*(1/(1-'P-Parametri'!$B$6*AK217))))</f>
        <v>8717.8034165543522</v>
      </c>
      <c r="AM217" s="18">
        <f>IF($A217&gt;'1-Input'!$B$26,AO216,(AO216-MAX(0,AK176-IF($A217&gt;='1-Input'!$C$12,'1-Input'!$B$12,0))+AL217*(1-'P-Parametri'!$B$6*AK217))*(1+'1-Input'!$B$27))</f>
        <v>14013.038104198266</v>
      </c>
      <c r="AN217" s="18">
        <f>IF($A217&gt;'1-Input'!$B$26,AP216,(AP216-AL217)*(1+'5-Roberta'!$C$4))</f>
        <v>33961.725179282199</v>
      </c>
      <c r="AO217" s="18">
        <f>IF($A217&gt;'1-Input'!$B$26,AM217,AM217-'P-Parametri'!$B$8*(AN217+AM217)+MIN(MAX(AN217,0),'P-Parametri'!$B$8*(AN217+AM217)))</f>
        <v>14013.038104198266</v>
      </c>
      <c r="AP217" s="18">
        <f>IF($A217&gt;'1-Input'!$B$26,AN217,AN217-MIN(MAX(AN217,0),'P-Parametri'!$B$8*(AN217+AM217)))</f>
        <v>33865.775652715238</v>
      </c>
      <c r="AQ217" s="18">
        <f>IF($A217&gt;'1-Input'!$B$26,AQ216,AQ216-AL217*(1-AK217))</f>
        <v>9183.3229667130563</v>
      </c>
    </row>
    <row r="218" spans="1:43">
      <c r="A218" s="10">
        <f>40</f>
        <v>40</v>
      </c>
      <c r="B218" s="11">
        <f>IF($A218&gt;'1-Input'!$B$26,0,IF(G217&lt;=0,0,MAX(0,(G217-H217)/G217)))</f>
        <v>0.73038383869312185</v>
      </c>
      <c r="C218" s="18">
        <f>IF($A218&gt;'1-Input'!$B$26,0,(MAX(0,B176-IF($A218&gt;='1-Input'!$C$12,'1-Input'!$B$12,0))-MIN(MAX(F217,0),MAX(0,B176-IF($A218&gt;='1-Input'!$C$12,'1-Input'!$B$12,0))))*(1/(1-'P-Parametri'!$B$6*B218))+MIN(MAX(0,G217-(MAX(0,B176-IF($A218&gt;='1-Input'!$C$12,'1-Input'!$B$12,0))-MIN(MAX(F217,0),MAX(0,B176-IF($A218&gt;='1-Input'!$C$12,'1-Input'!$B$12,0))))*(1/(1-'P-Parametri'!$B$6*B218))),MAX(0,2*MAX(0,B176-IF($A218&gt;='1-Input'!$C$12,'1-Input'!$B$12,0))-(F217-MIN(MAX(F217,0),MAX(0,B176-IF($A218&gt;='1-Input'!$C$12,'1-Input'!$B$12,0)))))*(1/(1-'P-Parametri'!$B$6*B218))))</f>
        <v>6936.4561315203382</v>
      </c>
      <c r="D218" s="18">
        <f>IF($A218&gt;'1-Input'!$B$26,F217,(F217-MAX(0,B176-IF($A218&gt;='1-Input'!$C$12,'1-Input'!$B$12,0))+C218*(1-'P-Parametri'!$B$6*B218))*(1+'1-Input'!$B$27))</f>
        <v>11117.941430986299</v>
      </c>
      <c r="E218" s="18">
        <f>IF($A218&gt;'1-Input'!$B$26,G217,(G217-C218)*(1+'5-Roberta'!$C$4))</f>
        <v>158260.15433896764</v>
      </c>
      <c r="F218" s="18">
        <f>IF($A218&gt;'1-Input'!$B$26,D218,D218-'P-Parametri'!$B$8*(E218+D218)+MIN(MAX(E218,0),'P-Parametri'!$B$8*(E218+D218)))</f>
        <v>11117.941430986299</v>
      </c>
      <c r="G218" s="18">
        <f>IF($A218&gt;'1-Input'!$B$26,E218,E218-MIN(MAX(E218,0),'P-Parametri'!$B$8*(E218+D218)))</f>
        <v>157921.39814742774</v>
      </c>
      <c r="H218" s="18">
        <f>IF($A218&gt;'1-Input'!$B$26,H217,H217-C218*(1-B218))</f>
        <v>41426.694466705354</v>
      </c>
      <c r="I218" s="11">
        <f>IF($A218&gt;'1-Input'!$B$26,0,IF(N217&lt;=0,0,MAX(0,(N217-O217)/N217)))</f>
        <v>0</v>
      </c>
      <c r="J218" s="18">
        <f>IF($A218&gt;'1-Input'!$B$26,0,(MAX(0,I176-IF($A218&gt;='1-Input'!$C$12,'1-Input'!$B$12,0))-MIN(MAX(M217,0),MAX(0,I176-IF($A218&gt;='1-Input'!$C$12,'1-Input'!$B$12,0))))*(1/(1-'P-Parametri'!$B$6*I218))+MIN(MAX(0,N217-(MAX(0,I176-IF($A218&gt;='1-Input'!$C$12,'1-Input'!$B$12,0))-MIN(MAX(M217,0),MAX(0,I176-IF($A218&gt;='1-Input'!$C$12,'1-Input'!$B$12,0))))*(1/(1-'P-Parametri'!$B$6*I218))),MAX(0,2*MAX(0,I176-IF($A218&gt;='1-Input'!$C$12,'1-Input'!$B$12,0))-(M217-MIN(MAX(M217,0),MAX(0,I176-IF($A218&gt;='1-Input'!$C$12,'1-Input'!$B$12,0)))))*(1/(1-'P-Parametri'!$B$6*I218))))</f>
        <v>10846.756992928691</v>
      </c>
      <c r="K218" s="18">
        <f>IF($A218&gt;'1-Input'!$B$26,M217,(M217-MAX(0,I176-IF($A218&gt;='1-Input'!$C$12,'1-Input'!$B$12,0))+J218*(1-'P-Parametri'!$B$6*I218))*(1+'1-Input'!$B$27))</f>
        <v>0</v>
      </c>
      <c r="L218" s="18">
        <f>IF($A218&gt;'1-Input'!$B$26,N217,(N217-J218)*(1+'5-Roberta'!$C$4))</f>
        <v>-228280.53135816727</v>
      </c>
      <c r="M218" s="18">
        <f>IF($A218&gt;'1-Input'!$B$26,K218,K218-'P-Parametri'!$B$8*(L218+K218)+MIN(MAX(L218,0),'P-Parametri'!$B$8*(L218+K218)))</f>
        <v>0</v>
      </c>
      <c r="N218" s="18">
        <f>IF($A218&gt;'1-Input'!$B$26,L218,L218-MIN(MAX(L218,0),'P-Parametri'!$B$8*(L218+K218)))</f>
        <v>-227823.97029545094</v>
      </c>
      <c r="O218" s="18">
        <f>IF($A218&gt;'1-Input'!$B$26,O217,O217-J218*(1-I218))</f>
        <v>-177739.36313651688</v>
      </c>
      <c r="P218" s="11">
        <f>IF($A218&gt;'1-Input'!$B$26,0,IF(U217&lt;=0,0,MAX(0,(U217-V217)/U217)))</f>
        <v>0.72757102348278901</v>
      </c>
      <c r="Q218" s="18">
        <f>IF($A218&gt;'1-Input'!$B$26,0,(MAX(0,P176-IF($A218&gt;='1-Input'!$C$12,'1-Input'!$B$12,0))-MIN(MAX(T217,0),MAX(0,P176-IF($A218&gt;='1-Input'!$C$12,'1-Input'!$B$12,0))))*(1/(1-'P-Parametri'!$B$6*P218))+MIN(MAX(0,U217-(MAX(0,P176-IF($A218&gt;='1-Input'!$C$12,'1-Input'!$B$12,0))-MIN(MAX(T217,0),MAX(0,P176-IF($A218&gt;='1-Input'!$C$12,'1-Input'!$B$12,0))))*(1/(1-'P-Parametri'!$B$6*P218))),MAX(0,2*MAX(0,P176-IF($A218&gt;='1-Input'!$C$12,'1-Input'!$B$12,0))-(T217-MIN(MAX(T217,0),MAX(0,P176-IF($A218&gt;='1-Input'!$C$12,'1-Input'!$B$12,0)))))*(1/(1-'P-Parametri'!$B$6*P218))))</f>
        <v>9056.968132211834</v>
      </c>
      <c r="R218" s="18">
        <f>IF($A218&gt;'1-Input'!$B$26,T217,(T217-MAX(0,P176-IF($A218&gt;='1-Input'!$C$12,'1-Input'!$B$12,0))+Q218*(1-'P-Parametri'!$B$6*P218))*(1+'1-Input'!$B$27))</f>
        <v>14529.861262445649</v>
      </c>
      <c r="S218" s="18">
        <f>IF($A218&gt;'1-Input'!$B$26,U217,(U217-Q218)*(1+'5-Roberta'!$C$4))</f>
        <v>2264.6778031433028</v>
      </c>
      <c r="T218" s="18">
        <f>IF($A218&gt;'1-Input'!$B$26,R218,R218-'P-Parametri'!$B$8*(S218+R218)+MIN(MAX(S218,0),'P-Parametri'!$B$8*(S218+R218)))</f>
        <v>14529.861262445649</v>
      </c>
      <c r="U218" s="18">
        <f>IF($A218&gt;'1-Input'!$B$26,S218,S218-MIN(MAX(S218,0),'P-Parametri'!$B$8*(S218+R218)))</f>
        <v>2231.088725012125</v>
      </c>
      <c r="V218" s="18">
        <f>IF($A218&gt;'1-Input'!$B$26,V217,V217-Q218*(1-P218))</f>
        <v>598.99403500153039</v>
      </c>
      <c r="W218" s="11">
        <f>IF($A218&gt;'1-Input'!$B$26,0,IF(AB217&lt;=0,0,MAX(0,(AB217-AC217)/AB217)))</f>
        <v>0.72881443182422667</v>
      </c>
      <c r="X218" s="18">
        <f>IF($A218&gt;'1-Input'!$B$26,0,(MAX(0,W176-IF($A218&gt;='1-Input'!$C$12,'1-Input'!$B$12,0))-MIN(MAX(AA217,0),MAX(0,W176-IF($A218&gt;='1-Input'!$C$12,'1-Input'!$B$12,0))))*(1/(1-'P-Parametri'!$B$6*W218))+MIN(MAX(0,AB217-(MAX(0,W176-IF($A218&gt;='1-Input'!$C$12,'1-Input'!$B$12,0))-MIN(MAX(AA217,0),MAX(0,W176-IF($A218&gt;='1-Input'!$C$12,'1-Input'!$B$12,0))))*(1/(1-'P-Parametri'!$B$6*W218))),MAX(0,2*MAX(0,W176-IF($A218&gt;='1-Input'!$C$12,'1-Input'!$B$12,0))-(AA217-MIN(MAX(AA217,0),MAX(0,W176-IF($A218&gt;='1-Input'!$C$12,'1-Input'!$B$12,0)))))*(1/(1-'P-Parametri'!$B$6*W218))))</f>
        <v>8746.3002183381959</v>
      </c>
      <c r="Y218" s="18">
        <f>IF($A218&gt;'1-Input'!$B$26,AA217,(AA217-MAX(0,W176-IF($A218&gt;='1-Input'!$C$12,'1-Input'!$B$12,0))+X218*(1-'P-Parametri'!$B$6*W218))*(1+'1-Input'!$B$27))</f>
        <v>14025.870233474252</v>
      </c>
      <c r="Z218" s="18">
        <f>IF($A218&gt;'1-Input'!$B$26,AB217,(AB217-X218)*(1+'5-Roberta'!$C$4))</f>
        <v>25294.749723882898</v>
      </c>
      <c r="AA218" s="18">
        <f>IF($A218&gt;'1-Input'!$B$26,Y218,Y218-'P-Parametri'!$B$8*(Z218+Y218)+MIN(MAX(Z218,0),'P-Parametri'!$B$8*(Z218+Y218)))</f>
        <v>14025.870233474252</v>
      </c>
      <c r="AB218" s="18">
        <f>IF($A218&gt;'1-Input'!$B$26,Z218,Z218-MIN(MAX(Z218,0),'P-Parametri'!$B$8*(Z218+Y218)))</f>
        <v>25216.108483968183</v>
      </c>
      <c r="AC218" s="18">
        <f>IF($A218&gt;'1-Input'!$B$26,AC217,AC217-X218*(1-W218))</f>
        <v>6659.7777434322015</v>
      </c>
      <c r="AD218" s="11">
        <f>IF($A218&gt;'1-Input'!$B$26,0,IF(AI217&lt;=0,0,MAX(0,(AI217-AJ217)/AI217)))</f>
        <v>0.72883204615017139</v>
      </c>
      <c r="AE218" s="18">
        <f>IF($A218&gt;'1-Input'!$B$26,0,(MAX(0,AD176-IF($A218&gt;='1-Input'!$C$12,'1-Input'!$B$12,0))-MIN(MAX(AH217,0),MAX(0,AD176-IF($A218&gt;='1-Input'!$C$12,'1-Input'!$B$12,0))))*(1/(1-'P-Parametri'!$B$6*AD218))+MIN(MAX(0,AI217-(MAX(0,AD176-IF($A218&gt;='1-Input'!$C$12,'1-Input'!$B$12,0))-MIN(MAX(AH217,0),MAX(0,AD176-IF($A218&gt;='1-Input'!$C$12,'1-Input'!$B$12,0))))*(1/(1-'P-Parametri'!$B$6*AD218))),MAX(0,2*MAX(0,AD176-IF($A218&gt;='1-Input'!$C$12,'1-Input'!$B$12,0))-(AH217-MIN(MAX(AH217,0),MAX(0,AD176-IF($A218&gt;='1-Input'!$C$12,'1-Input'!$B$12,0)))))*(1/(1-'P-Parametri'!$B$6*AD218))))</f>
        <v>8738.2116928068117</v>
      </c>
      <c r="AF218" s="18">
        <f>IF($A218&gt;'1-Input'!$B$26,AH217,(AH217-MAX(0,AD176-IF($A218&gt;='1-Input'!$C$12,'1-Input'!$B$12,0))+AE218*(1-'P-Parametri'!$B$6*AD218))*(1+'1-Input'!$B$27))</f>
        <v>14012.820014545508</v>
      </c>
      <c r="AG218" s="18">
        <f>IF($A218&gt;'1-Input'!$B$26,AI217,(AI217-AE218)*(1+'5-Roberta'!$C$4))</f>
        <v>25891.219629224648</v>
      </c>
      <c r="AH218" s="18">
        <f>IF($A218&gt;'1-Input'!$B$26,AF218,AF218-'P-Parametri'!$B$8*(AG218+AF218)+MIN(MAX(AG218,0),'P-Parametri'!$B$8*(AG218+AF218)))</f>
        <v>14012.820014545508</v>
      </c>
      <c r="AI218" s="18">
        <f>IF($A218&gt;'1-Input'!$B$26,AG218,AG218-MIN(MAX(AG218,0),'P-Parametri'!$B$8*(AG218+AF218)))</f>
        <v>25811.411549937107</v>
      </c>
      <c r="AJ218" s="18">
        <f>IF($A218&gt;'1-Input'!$B$26,AJ217,AJ217-AE218*(1-AD218))</f>
        <v>6816.3777179935605</v>
      </c>
      <c r="AK218" s="11">
        <f>IF($A218&gt;'1-Input'!$B$26,0,IF(AP217&lt;=0,0,MAX(0,(AP217-AQ217)/AP217)))</f>
        <v>0.72883175448613202</v>
      </c>
      <c r="AL218" s="18">
        <f>IF($A218&gt;'1-Input'!$B$26,0,(MAX(0,AK176-IF($A218&gt;='1-Input'!$C$12,'1-Input'!$B$12,0))-MIN(MAX(AO217,0),MAX(0,AK176-IF($A218&gt;='1-Input'!$C$12,'1-Input'!$B$12,0))))*(1/(1-'P-Parametri'!$B$6*AK218))+MIN(MAX(0,AP217-(MAX(0,AK176-IF($A218&gt;='1-Input'!$C$12,'1-Input'!$B$12,0))-MIN(MAX(AO217,0),MAX(0,AK176-IF($A218&gt;='1-Input'!$C$12,'1-Input'!$B$12,0))))*(1/(1-'P-Parametri'!$B$6*AK218))),MAX(0,2*MAX(0,AK176-IF($A218&gt;='1-Input'!$C$12,'1-Input'!$B$12,0))-(AO217-MIN(MAX(AO217,0),MAX(0,AK176-IF($A218&gt;='1-Input'!$C$12,'1-Input'!$B$12,0)))))*(1/(1-'P-Parametri'!$B$6*AK218))))</f>
        <v>8738.3468730876775</v>
      </c>
      <c r="AM218" s="18">
        <f>IF($A218&gt;'1-Input'!$B$26,AO217,(AO217-MAX(0,AK176-IF($A218&gt;='1-Input'!$C$12,'1-Input'!$B$12,0))+AL218*(1-'P-Parametri'!$B$6*AK218))*(1+'1-Input'!$B$27))</f>
        <v>14013.038104198266</v>
      </c>
      <c r="AN218" s="18">
        <f>IF($A218&gt;'1-Input'!$B$26,AP217,(AP217-AL218)*(1+'5-Roberta'!$C$4))</f>
        <v>25881.251643016389</v>
      </c>
      <c r="AO218" s="18">
        <f>IF($A218&gt;'1-Input'!$B$26,AM218,AM218-'P-Parametri'!$B$8*(AN218+AM218)+MIN(MAX(AN218,0),'P-Parametri'!$B$8*(AN218+AM218)))</f>
        <v>14013.038104198266</v>
      </c>
      <c r="AP218" s="18">
        <f>IF($A218&gt;'1-Input'!$B$26,AN218,AN218-MIN(MAX(AN218,0),'P-Parametri'!$B$8*(AN218+AM218)))</f>
        <v>25801.463063521958</v>
      </c>
      <c r="AQ218" s="18">
        <f>IF($A218&gt;'1-Input'!$B$26,AQ217,AQ217-AL218*(1-AK218))</f>
        <v>6813.7607764462764</v>
      </c>
    </row>
    <row r="219" spans="1:43">
      <c r="A219" s="10">
        <f>41</f>
        <v>41</v>
      </c>
      <c r="B219" s="11">
        <f>IF($A219&gt;'1-Input'!$B$26,0,IF(G218&lt;=0,0,MAX(0,(G218-H218)/G218)))</f>
        <v>0.73767522987586898</v>
      </c>
      <c r="C219" s="18">
        <f>IF($A219&gt;'1-Input'!$B$26,0,(MAX(0,B176-IF($A219&gt;='1-Input'!$C$12,'1-Input'!$B$12,0))-MIN(MAX(F218,0),MAX(0,B176-IF($A219&gt;='1-Input'!$C$12,'1-Input'!$B$12,0))))*(1/(1-'P-Parametri'!$B$6*B219))+MIN(MAX(0,G218-(MAX(0,B176-IF($A219&gt;='1-Input'!$C$12,'1-Input'!$B$12,0))-MIN(MAX(F218,0),MAX(0,B176-IF($A219&gt;='1-Input'!$C$12,'1-Input'!$B$12,0))))*(1/(1-'P-Parametri'!$B$6*B219))),MAX(0,2*MAX(0,B176-IF($A219&gt;='1-Input'!$C$12,'1-Input'!$B$12,0))-(F218-MIN(MAX(F218,0),MAX(0,B176-IF($A219&gt;='1-Input'!$C$12,'1-Input'!$B$12,0)))))*(1/(1-'P-Parametri'!$B$6*B219))))</f>
        <v>6952.72660377388</v>
      </c>
      <c r="D219" s="18">
        <f>IF($A219&gt;'1-Input'!$B$26,F218,(F218-MAX(0,B176-IF($A219&gt;='1-Input'!$C$12,'1-Input'!$B$12,0))+C219*(1-'P-Parametri'!$B$6*B219))*(1+'1-Input'!$B$27))</f>
        <v>11117.941430986299</v>
      </c>
      <c r="E219" s="18">
        <f>IF($A219&gt;'1-Input'!$B$26,G218,(G218-C219)*(1+'5-Roberta'!$C$4))</f>
        <v>155497.73168996346</v>
      </c>
      <c r="F219" s="18">
        <f>IF($A219&gt;'1-Input'!$B$26,D219,D219-'P-Parametri'!$B$8*(E219+D219)+MIN(MAX(E219,0),'P-Parametri'!$B$8*(E219+D219)))</f>
        <v>11117.941430986299</v>
      </c>
      <c r="G219" s="18">
        <f>IF($A219&gt;'1-Input'!$B$26,E219,E219-MIN(MAX(E219,0),'P-Parametri'!$B$8*(E219+D219)))</f>
        <v>155164.50034372156</v>
      </c>
      <c r="H219" s="18">
        <f>IF($A219&gt;'1-Input'!$B$26,H218,H218-C219*(1-B219))</f>
        <v>39602.82205863444</v>
      </c>
      <c r="I219" s="11">
        <f>IF($A219&gt;'1-Input'!$B$26,0,IF(N218&lt;=0,0,MAX(0,(N218-O218)/N218)))</f>
        <v>0</v>
      </c>
      <c r="J219" s="18">
        <f>IF($A219&gt;'1-Input'!$B$26,0,(MAX(0,I176-IF($A219&gt;='1-Input'!$C$12,'1-Input'!$B$12,0))-MIN(MAX(M218,0),MAX(0,I176-IF($A219&gt;='1-Input'!$C$12,'1-Input'!$B$12,0))))*(1/(1-'P-Parametri'!$B$6*I219))+MIN(MAX(0,N218-(MAX(0,I176-IF($A219&gt;='1-Input'!$C$12,'1-Input'!$B$12,0))-MIN(MAX(M218,0),MAX(0,I176-IF($A219&gt;='1-Input'!$C$12,'1-Input'!$B$12,0))))*(1/(1-'P-Parametri'!$B$6*I219))),MAX(0,2*MAX(0,I176-IF($A219&gt;='1-Input'!$C$12,'1-Input'!$B$12,0))-(M218-MIN(MAX(M218,0),MAX(0,I176-IF($A219&gt;='1-Input'!$C$12,'1-Input'!$B$12,0)))))*(1/(1-'P-Parametri'!$B$6*I219))))</f>
        <v>10846.756992928691</v>
      </c>
      <c r="K219" s="18">
        <f>IF($A219&gt;'1-Input'!$B$26,M218,(M218-MAX(0,I176-IF($A219&gt;='1-Input'!$C$12,'1-Input'!$B$12,0))+J219*(1-'P-Parametri'!$B$6*I219))*(1+'1-Input'!$B$27))</f>
        <v>0</v>
      </c>
      <c r="L219" s="18">
        <f>IF($A219&gt;'1-Input'!$B$26,N218,(N218-J219)*(1+'5-Roberta'!$C$4))</f>
        <v>-245830.84910703101</v>
      </c>
      <c r="M219" s="18">
        <f>IF($A219&gt;'1-Input'!$B$26,K219,K219-'P-Parametri'!$B$8*(L219+K219)+MIN(MAX(L219,0),'P-Parametri'!$B$8*(L219+K219)))</f>
        <v>0</v>
      </c>
      <c r="N219" s="18">
        <f>IF($A219&gt;'1-Input'!$B$26,L219,L219-MIN(MAX(L219,0),'P-Parametri'!$B$8*(L219+K219)))</f>
        <v>-245339.18740881694</v>
      </c>
      <c r="O219" s="18">
        <f>IF($A219&gt;'1-Input'!$B$26,O218,O218-J219*(1-I219))</f>
        <v>-188586.12012944557</v>
      </c>
      <c r="P219" s="11">
        <f>IF($A219&gt;'1-Input'!$B$26,0,IF(U218&lt;=0,0,MAX(0,(U218-V218)/U218)))</f>
        <v>0.7315238841528926</v>
      </c>
      <c r="Q219" s="18">
        <f>IF($A219&gt;'1-Input'!$B$26,0,(MAX(0,P176-IF($A219&gt;='1-Input'!$C$12,'1-Input'!$B$12,0))-MIN(MAX(T218,0),MAX(0,P176-IF($A219&gt;='1-Input'!$C$12,'1-Input'!$B$12,0))))*(1/(1-'P-Parametri'!$B$6*P219))+MIN(MAX(0,U218-(MAX(0,P176-IF($A219&gt;='1-Input'!$C$12,'1-Input'!$B$12,0))-MIN(MAX(T218,0),MAX(0,P176-IF($A219&gt;='1-Input'!$C$12,'1-Input'!$B$12,0))))*(1/(1-'P-Parametri'!$B$6*P219))),MAX(0,2*MAX(0,P176-IF($A219&gt;='1-Input'!$C$12,'1-Input'!$B$12,0))-(T218-MIN(MAX(T218,0),MAX(0,P176-IF($A219&gt;='1-Input'!$C$12,'1-Input'!$B$12,0)))))*(1/(1-'P-Parametri'!$B$6*P219))))</f>
        <v>2231.088725012125</v>
      </c>
      <c r="R219" s="18">
        <f>IF($A219&gt;'1-Input'!$B$26,T218,(T218-MAX(0,P176-IF($A219&gt;='1-Input'!$C$12,'1-Input'!$B$12,0))+Q219*(1-'P-Parametri'!$B$6*P219))*(1+'1-Input'!$B$27))</f>
        <v>9012.8629575071955</v>
      </c>
      <c r="S219" s="18">
        <f>IF($A219&gt;'1-Input'!$B$26,U218,(U218-Q219)*(1+'5-Roberta'!$C$4))</f>
        <v>0</v>
      </c>
      <c r="T219" s="18">
        <f>IF($A219&gt;'1-Input'!$B$26,R219,R219-'P-Parametri'!$B$8*(S219+R219)+MIN(MAX(S219,0),'P-Parametri'!$B$8*(S219+R219)))</f>
        <v>8994.8372315921806</v>
      </c>
      <c r="U219" s="18">
        <f>IF($A219&gt;'1-Input'!$B$26,S219,S219-MIN(MAX(S219,0),'P-Parametri'!$B$8*(S219+R219)))</f>
        <v>0</v>
      </c>
      <c r="V219" s="18">
        <f>IF($A219&gt;'1-Input'!$B$26,V218,V218-Q219*(1-P219))</f>
        <v>0</v>
      </c>
      <c r="W219" s="11">
        <f>IF($A219&gt;'1-Input'!$B$26,0,IF(AB218&lt;=0,0,MAX(0,(AB218-AC218)/AB218)))</f>
        <v>0.73589193004676623</v>
      </c>
      <c r="X219" s="18">
        <f>IF($A219&gt;'1-Input'!$B$26,0,(MAX(0,W176-IF($A219&gt;='1-Input'!$C$12,'1-Input'!$B$12,0))-MIN(MAX(AA218,0),MAX(0,W176-IF($A219&gt;='1-Input'!$C$12,'1-Input'!$B$12,0))))*(1/(1-'P-Parametri'!$B$6*W219))+MIN(MAX(0,AB218-(MAX(0,W176-IF($A219&gt;='1-Input'!$C$12,'1-Input'!$B$12,0))-MIN(MAX(AA218,0),MAX(0,W176-IF($A219&gt;='1-Input'!$C$12,'1-Input'!$B$12,0))))*(1/(1-'P-Parametri'!$B$6*W219))),MAX(0,2*MAX(0,W176-IF($A219&gt;='1-Input'!$C$12,'1-Input'!$B$12,0))-(AA218-MIN(MAX(AA218,0),MAX(0,W176-IF($A219&gt;='1-Input'!$C$12,'1-Input'!$B$12,0)))))*(1/(1-'P-Parametri'!$B$6*W219))))</f>
        <v>8766.2026979102593</v>
      </c>
      <c r="Y219" s="18">
        <f>IF($A219&gt;'1-Input'!$B$26,AA218,(AA218-MAX(0,W176-IF($A219&gt;='1-Input'!$C$12,'1-Input'!$B$12,0))+X219*(1-'P-Parametri'!$B$6*W219))*(1+'1-Input'!$B$27))</f>
        <v>14025.870233474252</v>
      </c>
      <c r="Z219" s="18">
        <f>IF($A219&gt;'1-Input'!$B$26,AB218,(AB218-X219)*(1+'5-Roberta'!$C$4))</f>
        <v>16943.402959639661</v>
      </c>
      <c r="AA219" s="18">
        <f>IF($A219&gt;'1-Input'!$B$26,Y219,Y219-'P-Parametri'!$B$8*(Z219+Y219)+MIN(MAX(Z219,0),'P-Parametri'!$B$8*(Z219+Y219)))</f>
        <v>14025.870233474252</v>
      </c>
      <c r="AB219" s="18">
        <f>IF($A219&gt;'1-Input'!$B$26,Z219,Z219-MIN(MAX(Z219,0),'P-Parametri'!$B$8*(Z219+Y219)))</f>
        <v>16881.464413253434</v>
      </c>
      <c r="AC219" s="18">
        <f>IF($A219&gt;'1-Input'!$B$26,AC218,AC218-X219*(1-W219))</f>
        <v>4344.5528680682928</v>
      </c>
      <c r="AD219" s="11">
        <f>IF($A219&gt;'1-Input'!$B$26,0,IF(AI218&lt;=0,0,MAX(0,(AI218-AJ218)/AI218)))</f>
        <v>0.73591611970519411</v>
      </c>
      <c r="AE219" s="18">
        <f>IF($A219&gt;'1-Input'!$B$26,0,(MAX(0,AD176-IF($A219&gt;='1-Input'!$C$12,'1-Input'!$B$12,0))-MIN(MAX(AH218,0),MAX(0,AD176-IF($A219&gt;='1-Input'!$C$12,'1-Input'!$B$12,0))))*(1/(1-'P-Parametri'!$B$6*AD219))+MIN(MAX(0,AI218-(MAX(0,AD176-IF($A219&gt;='1-Input'!$C$12,'1-Input'!$B$12,0))-MIN(MAX(AH218,0),MAX(0,AD176-IF($A219&gt;='1-Input'!$C$12,'1-Input'!$B$12,0))))*(1/(1-'P-Parametri'!$B$6*AD219))),MAX(0,2*MAX(0,AD176-IF($A219&gt;='1-Input'!$C$12,'1-Input'!$B$12,0))-(AH218-MIN(MAX(AH218,0),MAX(0,AD176-IF($A219&gt;='1-Input'!$C$12,'1-Input'!$B$12,0)))))*(1/(1-'P-Parametri'!$B$6*AD219))))</f>
        <v>8758.1143947272467</v>
      </c>
      <c r="AF219" s="18">
        <f>IF($A219&gt;'1-Input'!$B$26,AH218,(AH218-MAX(0,AD176-IF($A219&gt;='1-Input'!$C$12,'1-Input'!$B$12,0))+AE219*(1-'P-Parametri'!$B$6*AD219))*(1+'1-Input'!$B$27))</f>
        <v>14012.820014545508</v>
      </c>
      <c r="AG219" s="18">
        <f>IF($A219&gt;'1-Input'!$B$26,AI218,(AI218-AE219)*(1+'5-Roberta'!$C$4))</f>
        <v>17564.896069866158</v>
      </c>
      <c r="AH219" s="18">
        <f>IF($A219&gt;'1-Input'!$B$26,AF219,AF219-'P-Parametri'!$B$8*(AG219+AF219)+MIN(MAX(AG219,0),'P-Parametri'!$B$8*(AG219+AF219)))</f>
        <v>14012.820014545508</v>
      </c>
      <c r="AI219" s="18">
        <f>IF($A219&gt;'1-Input'!$B$26,AG219,AG219-MIN(MAX(AG219,0),'P-Parametri'!$B$8*(AG219+AF219)))</f>
        <v>17501.740637697334</v>
      </c>
      <c r="AJ219" s="18">
        <f>IF($A219&gt;'1-Input'!$B$26,AJ218,AJ218-AE219*(1-AD219))</f>
        <v>4503.5008845681941</v>
      </c>
      <c r="AK219" s="11">
        <f>IF($A219&gt;'1-Input'!$B$26,0,IF(AP218&lt;=0,0,MAX(0,(AP218-AQ218)/AP218)))</f>
        <v>0.73591572076082945</v>
      </c>
      <c r="AL219" s="18">
        <f>IF($A219&gt;'1-Input'!$B$26,0,(MAX(0,AK176-IF($A219&gt;='1-Input'!$C$12,'1-Input'!$B$12,0))-MIN(MAX(AO218,0),MAX(0,AK176-IF($A219&gt;='1-Input'!$C$12,'1-Input'!$B$12,0))))*(1/(1-'P-Parametri'!$B$6*AK219))+MIN(MAX(0,AP218-(MAX(0,AK176-IF($A219&gt;='1-Input'!$C$12,'1-Input'!$B$12,0))-MIN(MAX(AO218,0),MAX(0,AK176-IF($A219&gt;='1-Input'!$C$12,'1-Input'!$B$12,0))))*(1/(1-'P-Parametri'!$B$6*AK219))),MAX(0,2*MAX(0,AK176-IF($A219&gt;='1-Input'!$C$12,'1-Input'!$B$12,0))-(AO218-MIN(MAX(AO218,0),MAX(0,AK176-IF($A219&gt;='1-Input'!$C$12,'1-Input'!$B$12,0)))))*(1/(1-'P-Parametri'!$B$6*AK219))))</f>
        <v>8758.2495789416662</v>
      </c>
      <c r="AM219" s="18">
        <f>IF($A219&gt;'1-Input'!$B$26,AO218,(AO218-MAX(0,AK176-IF($A219&gt;='1-Input'!$C$12,'1-Input'!$B$12,0))+AL219*(1-'P-Parametri'!$B$6*AK219))*(1+'1-Input'!$B$27))</f>
        <v>14013.038104198266</v>
      </c>
      <c r="AN219" s="18">
        <f>IF($A219&gt;'1-Input'!$B$26,AP218,(AP218-AL219)*(1+'5-Roberta'!$C$4))</f>
        <v>17554.509889117704</v>
      </c>
      <c r="AO219" s="18">
        <f>IF($A219&gt;'1-Input'!$B$26,AM219,AM219-'P-Parametri'!$B$8*(AN219+AM219)+MIN(MAX(AN219,0),'P-Parametri'!$B$8*(AN219+AM219)))</f>
        <v>14013.038104198266</v>
      </c>
      <c r="AP219" s="18">
        <f>IF($A219&gt;'1-Input'!$B$26,AN219,AN219-MIN(MAX(AN219,0),'P-Parametri'!$B$8*(AN219+AM219)))</f>
        <v>17491.374793131072</v>
      </c>
      <c r="AQ219" s="18">
        <f>IF($A219&gt;'1-Input'!$B$26,AQ218,AQ218-AL219*(1-AK219))</f>
        <v>4500.8447489946975</v>
      </c>
    </row>
    <row r="220" spans="1:43">
      <c r="A220" s="10">
        <f>42</f>
        <v>42</v>
      </c>
      <c r="B220" s="11">
        <f>IF($A220&gt;'1-Input'!$B$26,0,IF(G219&lt;=0,0,MAX(0,(G219-H219)/G219)))</f>
        <v>0.74476879717392852</v>
      </c>
      <c r="C220" s="18">
        <f>IF($A220&gt;'1-Input'!$B$26,0,(MAX(0,B176-IF($A220&gt;='1-Input'!$C$12,'1-Input'!$B$12,0))-MIN(MAX(F219,0),MAX(0,B176-IF($A220&gt;='1-Input'!$C$12,'1-Input'!$B$12,0))))*(1/(1-'P-Parametri'!$B$6*B220))+MIN(MAX(0,G219-(MAX(0,B176-IF($A220&gt;='1-Input'!$C$12,'1-Input'!$B$12,0))-MIN(MAX(F219,0),MAX(0,B176-IF($A220&gt;='1-Input'!$C$12,'1-Input'!$B$12,0))))*(1/(1-'P-Parametri'!$B$6*B220))),MAX(0,2*MAX(0,B176-IF($A220&gt;='1-Input'!$C$12,'1-Input'!$B$12,0))-(F219-MIN(MAX(F219,0),MAX(0,B176-IF($A220&gt;='1-Input'!$C$12,'1-Input'!$B$12,0)))))*(1/(1-'P-Parametri'!$B$6*B220))))</f>
        <v>6968.6290580934765</v>
      </c>
      <c r="D220" s="18">
        <f>IF($A220&gt;'1-Input'!$B$26,F219,(F219-MAX(0,B176-IF($A220&gt;='1-Input'!$C$12,'1-Input'!$B$12,0))+C220*(1-'P-Parametri'!$B$6*B220))*(1+'1-Input'!$B$27))</f>
        <v>11117.941430986299</v>
      </c>
      <c r="E220" s="18">
        <f>IF($A220&gt;'1-Input'!$B$26,G219,(G219-C220)*(1+'5-Roberta'!$C$4))</f>
        <v>152641.74742419695</v>
      </c>
      <c r="F220" s="18">
        <f>IF($A220&gt;'1-Input'!$B$26,D220,D220-'P-Parametri'!$B$8*(E220+D220)+MIN(MAX(E220,0),'P-Parametri'!$B$8*(E220+D220)))</f>
        <v>11117.941430986299</v>
      </c>
      <c r="G220" s="18">
        <f>IF($A220&gt;'1-Input'!$B$26,E220,E220-MIN(MAX(E220,0),'P-Parametri'!$B$8*(E220+D220)))</f>
        <v>152314.22804648659</v>
      </c>
      <c r="H220" s="18">
        <f>IF($A220&gt;'1-Input'!$B$26,H219,H219-C220*(1-B220))</f>
        <v>37824.210482088529</v>
      </c>
      <c r="I220" s="11">
        <f>IF($A220&gt;'1-Input'!$B$26,0,IF(N219&lt;=0,0,MAX(0,(N219-O219)/N219)))</f>
        <v>0</v>
      </c>
      <c r="J220" s="18">
        <f>IF($A220&gt;'1-Input'!$B$26,0,(MAX(0,I176-IF($A220&gt;='1-Input'!$C$12,'1-Input'!$B$12,0))-MIN(MAX(M219,0),MAX(0,I176-IF($A220&gt;='1-Input'!$C$12,'1-Input'!$B$12,0))))*(1/(1-'P-Parametri'!$B$6*I220))+MIN(MAX(0,N219-(MAX(0,I176-IF($A220&gt;='1-Input'!$C$12,'1-Input'!$B$12,0))-MIN(MAX(M219,0),MAX(0,I176-IF($A220&gt;='1-Input'!$C$12,'1-Input'!$B$12,0))))*(1/(1-'P-Parametri'!$B$6*I220))),MAX(0,2*MAX(0,I176-IF($A220&gt;='1-Input'!$C$12,'1-Input'!$B$12,0))-(M219-MIN(MAX(M219,0),MAX(0,I176-IF($A220&gt;='1-Input'!$C$12,'1-Input'!$B$12,0)))))*(1/(1-'P-Parametri'!$B$6*I220))))</f>
        <v>10846.756992928691</v>
      </c>
      <c r="K220" s="18">
        <f>IF($A220&gt;'1-Input'!$B$26,M219,(M219-MAX(0,I176-IF($A220&gt;='1-Input'!$C$12,'1-Input'!$B$12,0))+J220*(1-'P-Parametri'!$B$6*I220))*(1+'1-Input'!$B$27))</f>
        <v>0</v>
      </c>
      <c r="L220" s="18">
        <f>IF($A220&gt;'1-Input'!$B$26,N219,(N219-J220)*(1+'5-Roberta'!$C$4))</f>
        <v>-263871.52273379802</v>
      </c>
      <c r="M220" s="18">
        <f>IF($A220&gt;'1-Input'!$B$26,K220,K220-'P-Parametri'!$B$8*(L220+K220)+MIN(MAX(L220,0),'P-Parametri'!$B$8*(L220+K220)))</f>
        <v>0</v>
      </c>
      <c r="N220" s="18">
        <f>IF($A220&gt;'1-Input'!$B$26,L220,L220-MIN(MAX(L220,0),'P-Parametri'!$B$8*(L220+K220)))</f>
        <v>-263343.77968833043</v>
      </c>
      <c r="O220" s="18">
        <f>IF($A220&gt;'1-Input'!$B$26,O219,O219-J220*(1-I220))</f>
        <v>-199432.87712237425</v>
      </c>
      <c r="P220" s="11">
        <f>IF($A220&gt;'1-Input'!$B$26,0,IF(U219&lt;=0,0,MAX(0,(U219-V219)/U219)))</f>
        <v>0</v>
      </c>
      <c r="Q220" s="18">
        <f>IF($A220&gt;'1-Input'!$B$26,0,(MAX(0,P176-IF($A220&gt;='1-Input'!$C$12,'1-Input'!$B$12,0))-MIN(MAX(T219,0),MAX(0,P176-IF($A220&gt;='1-Input'!$C$12,'1-Input'!$B$12,0))))*(1/(1-'P-Parametri'!$B$6*P220))+MIN(MAX(0,U219-(MAX(0,P176-IF($A220&gt;='1-Input'!$C$12,'1-Input'!$B$12,0))-MIN(MAX(T219,0),MAX(0,P176-IF($A220&gt;='1-Input'!$C$12,'1-Input'!$B$12,0))))*(1/(1-'P-Parametri'!$B$6*P220))),MAX(0,2*MAX(0,P176-IF($A220&gt;='1-Input'!$C$12,'1-Input'!$B$12,0))-(T219-MIN(MAX(T219,0),MAX(0,P176-IF($A220&gt;='1-Input'!$C$12,'1-Input'!$B$12,0)))))*(1/(1-'P-Parametri'!$B$6*P220))))</f>
        <v>0</v>
      </c>
      <c r="R220" s="18">
        <f>IF($A220&gt;'1-Input'!$B$26,T219,(T219-MAX(0,P176-IF($A220&gt;='1-Input'!$C$12,'1-Input'!$B$12,0))+Q220*(1-'P-Parametri'!$B$6*P220))*(1+'1-Input'!$B$27))</f>
        <v>1697.5251863356239</v>
      </c>
      <c r="S220" s="18">
        <f>IF($A220&gt;'1-Input'!$B$26,U219,(U219-Q220)*(1+'5-Roberta'!$C$4))</f>
        <v>0</v>
      </c>
      <c r="T220" s="18">
        <f>IF($A220&gt;'1-Input'!$B$26,R220,R220-'P-Parametri'!$B$8*(S220+R220)+MIN(MAX(S220,0),'P-Parametri'!$B$8*(S220+R220)))</f>
        <v>1694.1301359629526</v>
      </c>
      <c r="U220" s="18">
        <f>IF($A220&gt;'1-Input'!$B$26,S220,S220-MIN(MAX(S220,0),'P-Parametri'!$B$8*(S220+R220)))</f>
        <v>0</v>
      </c>
      <c r="V220" s="18">
        <f>IF($A220&gt;'1-Input'!$B$26,V219,V219-Q220*(1-P220))</f>
        <v>0</v>
      </c>
      <c r="W220" s="11">
        <f>IF($A220&gt;'1-Input'!$B$26,0,IF(AB219&lt;=0,0,MAX(0,(AB219-AC219)/AB219)))</f>
        <v>0.74264360237270433</v>
      </c>
      <c r="X220" s="18">
        <f>IF($A220&gt;'1-Input'!$B$26,0,(MAX(0,W176-IF($A220&gt;='1-Input'!$C$12,'1-Input'!$B$12,0))-MIN(MAX(AA219,0),MAX(0,W176-IF($A220&gt;='1-Input'!$C$12,'1-Input'!$B$12,0))))*(1/(1-'P-Parametri'!$B$6*W220))+MIN(MAX(0,AB219-(MAX(0,W176-IF($A220&gt;='1-Input'!$C$12,'1-Input'!$B$12,0))-MIN(MAX(AA219,0),MAX(0,W176-IF($A220&gt;='1-Input'!$C$12,'1-Input'!$B$12,0))))*(1/(1-'P-Parametri'!$B$6*W220))),MAX(0,2*MAX(0,W176-IF($A220&gt;='1-Input'!$C$12,'1-Input'!$B$12,0))-(AA219-MIN(MAX(AA219,0),MAX(0,W176-IF($A220&gt;='1-Input'!$C$12,'1-Input'!$B$12,0)))))*(1/(1-'P-Parametri'!$B$6*W220))))</f>
        <v>8785.2735317435436</v>
      </c>
      <c r="Y220" s="18">
        <f>IF($A220&gt;'1-Input'!$B$26,AA219,(AA219-MAX(0,W176-IF($A220&gt;='1-Input'!$C$12,'1-Input'!$B$12,0))+X220*(1-'P-Parametri'!$B$6*W220))*(1+'1-Input'!$B$27))</f>
        <v>14025.870233474252</v>
      </c>
      <c r="Z220" s="18">
        <f>IF($A220&gt;'1-Input'!$B$26,AB219,(AB219-X220)*(1+'5-Roberta'!$C$4))</f>
        <v>8339.0766079551868</v>
      </c>
      <c r="AA220" s="18">
        <f>IF($A220&gt;'1-Input'!$B$26,Y220,Y220-'P-Parametri'!$B$8*(Z220+Y220)+MIN(MAX(Z220,0),'P-Parametri'!$B$8*(Z220+Y220)))</f>
        <v>14025.870233474252</v>
      </c>
      <c r="AB220" s="18">
        <f>IF($A220&gt;'1-Input'!$B$26,Z220,Z220-MIN(MAX(Z220,0),'P-Parametri'!$B$8*(Z220+Y220)))</f>
        <v>8294.3467142723275</v>
      </c>
      <c r="AC220" s="18">
        <f>IF($A220&gt;'1-Input'!$B$26,AC219,AC219-X220*(1-W220))</f>
        <v>2083.6065197683452</v>
      </c>
      <c r="AD220" s="11">
        <f>IF($A220&gt;'1-Input'!$B$26,0,IF(AI219&lt;=0,0,MAX(0,(AI219-AJ219)/AI219)))</f>
        <v>0.74268268637988966</v>
      </c>
      <c r="AE220" s="18">
        <f>IF($A220&gt;'1-Input'!$B$26,0,(MAX(0,AD176-IF($A220&gt;='1-Input'!$C$12,'1-Input'!$B$12,0))-MIN(MAX(AH219,0),MAX(0,AD176-IF($A220&gt;='1-Input'!$C$12,'1-Input'!$B$12,0))))*(1/(1-'P-Parametri'!$B$6*AD220))+MIN(MAX(0,AI219-(MAX(0,AD176-IF($A220&gt;='1-Input'!$C$12,'1-Input'!$B$12,0))-MIN(MAX(AH219,0),MAX(0,AD176-IF($A220&gt;='1-Input'!$C$12,'1-Input'!$B$12,0))))*(1/(1-'P-Parametri'!$B$6*AD220))),MAX(0,2*MAX(0,AD176-IF($A220&gt;='1-Input'!$C$12,'1-Input'!$B$12,0))-(AH219-MIN(MAX(AH219,0),MAX(0,AD176-IF($A220&gt;='1-Input'!$C$12,'1-Input'!$B$12,0)))))*(1/(1-'P-Parametri'!$B$6*AD220))))</f>
        <v>8777.2099048659165</v>
      </c>
      <c r="AF220" s="18">
        <f>IF($A220&gt;'1-Input'!$B$26,AH219,(AH219-MAX(0,AD176-IF($A220&gt;='1-Input'!$C$12,'1-Input'!$B$12,0))+AE220*(1-'P-Parametri'!$B$6*AD220))*(1+'1-Input'!$B$27))</f>
        <v>14012.820014545508</v>
      </c>
      <c r="AG220" s="18">
        <f>IF($A220&gt;'1-Input'!$B$26,AI219,(AI219-AE220)*(1+'5-Roberta'!$C$4))</f>
        <v>8986.2666548163597</v>
      </c>
      <c r="AH220" s="18">
        <f>IF($A220&gt;'1-Input'!$B$26,AF220,AF220-'P-Parametri'!$B$8*(AG220+AF220)+MIN(MAX(AG220,0),'P-Parametri'!$B$8*(AG220+AF220)))</f>
        <v>14012.820014545508</v>
      </c>
      <c r="AI220" s="18">
        <f>IF($A220&gt;'1-Input'!$B$26,AG220,AG220-MIN(MAX(AG220,0),'P-Parametri'!$B$8*(AG220+AF220)))</f>
        <v>8940.2684814776367</v>
      </c>
      <c r="AJ220" s="18">
        <f>IF($A220&gt;'1-Input'!$B$26,AJ219,AJ219-AE220*(1-AD220))</f>
        <v>2244.9728107682722</v>
      </c>
      <c r="AK220" s="11">
        <f>IF($A220&gt;'1-Input'!$B$26,0,IF(AP219&lt;=0,0,MAX(0,(AP219-AQ219)/AP219)))</f>
        <v>0.74268204745334276</v>
      </c>
      <c r="AL220" s="18">
        <f>IF($A220&gt;'1-Input'!$B$26,0,(MAX(0,AK176-IF($A220&gt;='1-Input'!$C$12,'1-Input'!$B$12,0))-MIN(MAX(AO219,0),MAX(0,AK176-IF($A220&gt;='1-Input'!$C$12,'1-Input'!$B$12,0))))*(1/(1-'P-Parametri'!$B$6*AK220))+MIN(MAX(0,AP219-(MAX(0,AK176-IF($A220&gt;='1-Input'!$C$12,'1-Input'!$B$12,0))-MIN(MAX(AO219,0),MAX(0,AK176-IF($A220&gt;='1-Input'!$C$12,'1-Input'!$B$12,0))))*(1/(1-'P-Parametri'!$B$6*AK220))),MAX(0,2*MAX(0,AK176-IF($A220&gt;='1-Input'!$C$12,'1-Input'!$B$12,0))-(AO219-MIN(MAX(AO219,0),MAX(0,AK176-IF($A220&gt;='1-Input'!$C$12,'1-Input'!$B$12,0)))))*(1/(1-'P-Parametri'!$B$6*AK220))))</f>
        <v>8777.3447026449012</v>
      </c>
      <c r="AM220" s="18">
        <f>IF($A220&gt;'1-Input'!$B$26,AO219,(AO219-MAX(0,AK176-IF($A220&gt;='1-Input'!$C$12,'1-Input'!$B$12,0))+AL220*(1-'P-Parametri'!$B$6*AK220))*(1+'1-Input'!$B$27))</f>
        <v>14013.038104198266</v>
      </c>
      <c r="AN220" s="18">
        <f>IF($A220&gt;'1-Input'!$B$26,AP219,(AP219-AL220)*(1+'5-Roberta'!$C$4))</f>
        <v>8975.4509932007568</v>
      </c>
      <c r="AO220" s="18">
        <f>IF($A220&gt;'1-Input'!$B$26,AM220,AM220-'P-Parametri'!$B$8*(AN220+AM220)+MIN(MAX(AN220,0),'P-Parametri'!$B$8*(AN220+AM220)))</f>
        <v>14013.038104198266</v>
      </c>
      <c r="AP220" s="18">
        <f>IF($A220&gt;'1-Input'!$B$26,AN220,AN220-MIN(MAX(AN220,0),'P-Parametri'!$B$8*(AN220+AM220)))</f>
        <v>8929.4740150059588</v>
      </c>
      <c r="AQ220" s="18">
        <f>IF($A220&gt;'1-Input'!$B$26,AQ219,AQ219-AL220*(1-AK220))</f>
        <v>2242.2763813138636</v>
      </c>
    </row>
    <row r="221" spans="1:43">
      <c r="A221" s="10">
        <f>43</f>
        <v>43</v>
      </c>
      <c r="B221" s="11">
        <f>IF($A221&gt;'1-Input'!$B$26,0,IF(G220&lt;=0,0,MAX(0,(G220-H220)/G220)))</f>
        <v>0.75166988030465209</v>
      </c>
      <c r="C221" s="18">
        <f>IF($A221&gt;'1-Input'!$B$26,0,(MAX(0,B176-IF($A221&gt;='1-Input'!$C$12,'1-Input'!$B$12,0))-MIN(MAX(F220,0),MAX(0,B176-IF($A221&gt;='1-Input'!$C$12,'1-Input'!$B$12,0))))*(1/(1-'P-Parametri'!$B$6*B221))+MIN(MAX(0,G220-(MAX(0,B176-IF($A221&gt;='1-Input'!$C$12,'1-Input'!$B$12,0))-MIN(MAX(F220,0),MAX(0,B176-IF($A221&gt;='1-Input'!$C$12,'1-Input'!$B$12,0))))*(1/(1-'P-Parametri'!$B$6*B221))),MAX(0,2*MAX(0,B176-IF($A221&gt;='1-Input'!$C$12,'1-Input'!$B$12,0))-(F220-MIN(MAX(F220,0),MAX(0,B176-IF($A221&gt;='1-Input'!$C$12,'1-Input'!$B$12,0)))))*(1/(1-'P-Parametri'!$B$6*B221))))</f>
        <v>6984.169965387815</v>
      </c>
      <c r="D221" s="18">
        <f>IF($A221&gt;'1-Input'!$B$26,F220,(F220-MAX(0,B176-IF($A221&gt;='1-Input'!$C$12,'1-Input'!$B$12,0))+C221*(1-'P-Parametri'!$B$6*B221))*(1+'1-Input'!$B$27))</f>
        <v>11117.941430986299</v>
      </c>
      <c r="E221" s="18">
        <f>IF($A221&gt;'1-Input'!$B$26,G220,(G220-C221)*(1+'5-Roberta'!$C$4))</f>
        <v>149689.95982353174</v>
      </c>
      <c r="F221" s="18">
        <f>IF($A221&gt;'1-Input'!$B$26,D221,D221-'P-Parametri'!$B$8*(E221+D221)+MIN(MAX(E221,0),'P-Parametri'!$B$8*(E221+D221)))</f>
        <v>11117.941430986299</v>
      </c>
      <c r="G221" s="18">
        <f>IF($A221&gt;'1-Input'!$B$26,E221,E221-MIN(MAX(E221,0),'P-Parametri'!$B$8*(E221+D221)))</f>
        <v>149368.3440210227</v>
      </c>
      <c r="H221" s="18">
        <f>IF($A221&gt;'1-Input'!$B$26,H220,H220-C221*(1-B221))</f>
        <v>36089.83071861112</v>
      </c>
      <c r="I221" s="11">
        <f>IF($A221&gt;'1-Input'!$B$26,0,IF(N220&lt;=0,0,MAX(0,(N220-O220)/N220)))</f>
        <v>0</v>
      </c>
      <c r="J221" s="18">
        <f>IF($A221&gt;'1-Input'!$B$26,0,(MAX(0,I176-IF($A221&gt;='1-Input'!$C$12,'1-Input'!$B$12,0))-MIN(MAX(M220,0),MAX(0,I176-IF($A221&gt;='1-Input'!$C$12,'1-Input'!$B$12,0))))*(1/(1-'P-Parametri'!$B$6*I221))+MIN(MAX(0,N220-(MAX(0,I176-IF($A221&gt;='1-Input'!$C$12,'1-Input'!$B$12,0))-MIN(MAX(M220,0),MAX(0,I176-IF($A221&gt;='1-Input'!$C$12,'1-Input'!$B$12,0))))*(1/(1-'P-Parametri'!$B$6*I221))),MAX(0,2*MAX(0,I176-IF($A221&gt;='1-Input'!$C$12,'1-Input'!$B$12,0))-(M220-MIN(MAX(M220,0),MAX(0,I176-IF($A221&gt;='1-Input'!$C$12,'1-Input'!$B$12,0)))))*(1/(1-'P-Parametri'!$B$6*I221))))</f>
        <v>10846.756992928691</v>
      </c>
      <c r="K221" s="18">
        <f>IF($A221&gt;'1-Input'!$B$26,M220,(M220-MAX(0,I176-IF($A221&gt;='1-Input'!$C$12,'1-Input'!$B$12,0))+J221*(1-'P-Parametri'!$B$6*I221))*(1+'1-Input'!$B$27))</f>
        <v>0</v>
      </c>
      <c r="L221" s="18">
        <f>IF($A221&gt;'1-Input'!$B$26,N220,(N220-J221)*(1+'5-Roberta'!$C$4))</f>
        <v>-282416.25278169691</v>
      </c>
      <c r="M221" s="18">
        <f>IF($A221&gt;'1-Input'!$B$26,K221,K221-'P-Parametri'!$B$8*(L221+K221)+MIN(MAX(L221,0),'P-Parametri'!$B$8*(L221+K221)))</f>
        <v>0</v>
      </c>
      <c r="N221" s="18">
        <f>IF($A221&gt;'1-Input'!$B$26,L221,L221-MIN(MAX(L221,0),'P-Parametri'!$B$8*(L221+K221)))</f>
        <v>-281851.42027613352</v>
      </c>
      <c r="O221" s="18">
        <f>IF($A221&gt;'1-Input'!$B$26,O220,O220-J221*(1-I221))</f>
        <v>-210279.63411530294</v>
      </c>
      <c r="P221" s="11">
        <f>IF($A221&gt;'1-Input'!$B$26,0,IF(U220&lt;=0,0,MAX(0,(U220-V220)/U220)))</f>
        <v>0</v>
      </c>
      <c r="Q221" s="18">
        <f>IF($A221&gt;'1-Input'!$B$26,0,(MAX(0,P176-IF($A221&gt;='1-Input'!$C$12,'1-Input'!$B$12,0))-MIN(MAX(T220,0),MAX(0,P176-IF($A221&gt;='1-Input'!$C$12,'1-Input'!$B$12,0))))*(1/(1-'P-Parametri'!$B$6*P221))+MIN(MAX(0,U220-(MAX(0,P176-IF($A221&gt;='1-Input'!$C$12,'1-Input'!$B$12,0))-MIN(MAX(T220,0),MAX(0,P176-IF($A221&gt;='1-Input'!$C$12,'1-Input'!$B$12,0))))*(1/(1-'P-Parametri'!$B$6*P221))),MAX(0,2*MAX(0,P176-IF($A221&gt;='1-Input'!$C$12,'1-Input'!$B$12,0))-(T220-MIN(MAX(T220,0),MAX(0,P176-IF($A221&gt;='1-Input'!$C$12,'1-Input'!$B$12,0)))))*(1/(1-'P-Parametri'!$B$6*P221))))</f>
        <v>5597.0487392104969</v>
      </c>
      <c r="R221" s="18">
        <f>IF($A221&gt;'1-Input'!$B$26,T220,(T220-MAX(0,P176-IF($A221&gt;='1-Input'!$C$12,'1-Input'!$B$12,0))+Q221*(1-'P-Parametri'!$B$6*P221))*(1+'1-Input'!$B$27))</f>
        <v>0</v>
      </c>
      <c r="S221" s="18">
        <f>IF($A221&gt;'1-Input'!$B$26,U220,(U220-Q221)*(1+'5-Roberta'!$C$4))</f>
        <v>-5764.9602013868116</v>
      </c>
      <c r="T221" s="18">
        <f>IF($A221&gt;'1-Input'!$B$26,R221,R221-'P-Parametri'!$B$8*(S221+R221)+MIN(MAX(S221,0),'P-Parametri'!$B$8*(S221+R221)))</f>
        <v>0</v>
      </c>
      <c r="U221" s="18">
        <f>IF($A221&gt;'1-Input'!$B$26,S221,S221-MIN(MAX(S221,0),'P-Parametri'!$B$8*(S221+R221)))</f>
        <v>-5753.4302809840383</v>
      </c>
      <c r="V221" s="18">
        <f>IF($A221&gt;'1-Input'!$B$26,V220,V220-Q221*(1-P221))</f>
        <v>-5597.0487392104969</v>
      </c>
      <c r="W221" s="11">
        <f>IF($A221&gt;'1-Input'!$B$26,0,IF(AB220&lt;=0,0,MAX(0,(AB220-AC220)/AB220)))</f>
        <v>0.74879196740316845</v>
      </c>
      <c r="X221" s="18">
        <f>IF($A221&gt;'1-Input'!$B$26,0,(MAX(0,W176-IF($A221&gt;='1-Input'!$C$12,'1-Input'!$B$12,0))-MIN(MAX(AA220,0),MAX(0,W176-IF($A221&gt;='1-Input'!$C$12,'1-Input'!$B$12,0))))*(1/(1-'P-Parametri'!$B$6*W221))+MIN(MAX(0,AB220-(MAX(0,W176-IF($A221&gt;='1-Input'!$C$12,'1-Input'!$B$12,0))-MIN(MAX(AA220,0),MAX(0,W176-IF($A221&gt;='1-Input'!$C$12,'1-Input'!$B$12,0))))*(1/(1-'P-Parametri'!$B$6*W221))),MAX(0,2*MAX(0,W176-IF($A221&gt;='1-Input'!$C$12,'1-Input'!$B$12,0))-(AA220-MIN(MAX(AA220,0),MAX(0,W176-IF($A221&gt;='1-Input'!$C$12,'1-Input'!$B$12,0)))))*(1/(1-'P-Parametri'!$B$6*W221))))</f>
        <v>8294.3467142723275</v>
      </c>
      <c r="Y221" s="18">
        <f>IF($A221&gt;'1-Input'!$B$26,AA220,(AA220-MAX(0,W176-IF($A221&gt;='1-Input'!$C$12,'1-Input'!$B$12,0))+X221*(1-'P-Parametri'!$B$6*W221))*(1+'1-Input'!$B$27))</f>
        <v>13617.949852248585</v>
      </c>
      <c r="Z221" s="18">
        <f>IF($A221&gt;'1-Input'!$B$26,AB220,(AB220-X221)*(1+'5-Roberta'!$C$4))</f>
        <v>0</v>
      </c>
      <c r="AA221" s="18">
        <f>IF($A221&gt;'1-Input'!$B$26,Y221,Y221-'P-Parametri'!$B$8*(Z221+Y221)+MIN(MAX(Z221,0),'P-Parametri'!$B$8*(Z221+Y221)))</f>
        <v>13590.713952544087</v>
      </c>
      <c r="AB221" s="18">
        <f>IF($A221&gt;'1-Input'!$B$26,Z221,Z221-MIN(MAX(Z221,0),'P-Parametri'!$B$8*(Z221+Y221)))</f>
        <v>0</v>
      </c>
      <c r="AC221" s="18">
        <f>IF($A221&gt;'1-Input'!$B$26,AC220,AC220-X221*(1-W221))</f>
        <v>-4.5474735088646412E-13</v>
      </c>
      <c r="AD221" s="11">
        <f>IF($A221&gt;'1-Input'!$B$26,0,IF(AI220&lt;=0,0,MAX(0,(AI220-AJ220)/AI220)))</f>
        <v>0.74889201421418317</v>
      </c>
      <c r="AE221" s="18">
        <f>IF($A221&gt;'1-Input'!$B$26,0,(MAX(0,AD176-IF($A221&gt;='1-Input'!$C$12,'1-Input'!$B$12,0))-MIN(MAX(AH220,0),MAX(0,AD176-IF($A221&gt;='1-Input'!$C$12,'1-Input'!$B$12,0))))*(1/(1-'P-Parametri'!$B$6*AD221))+MIN(MAX(0,AI220-(MAX(0,AD176-IF($A221&gt;='1-Input'!$C$12,'1-Input'!$B$12,0))-MIN(MAX(AH220,0),MAX(0,AD176-IF($A221&gt;='1-Input'!$C$12,'1-Input'!$B$12,0))))*(1/(1-'P-Parametri'!$B$6*AD221))),MAX(0,2*MAX(0,AD176-IF($A221&gt;='1-Input'!$C$12,'1-Input'!$B$12,0))-(AH220-MIN(MAX(AH220,0),MAX(0,AD176-IF($A221&gt;='1-Input'!$C$12,'1-Input'!$B$12,0)))))*(1/(1-'P-Parametri'!$B$6*AD221))))</f>
        <v>8794.8062776386996</v>
      </c>
      <c r="AF221" s="18">
        <f>IF($A221&gt;'1-Input'!$B$26,AH220,(AH220-MAX(0,AD176-IF($A221&gt;='1-Input'!$C$12,'1-Input'!$B$12,0))+AE221*(1-'P-Parametri'!$B$6*AD221))*(1+'1-Input'!$B$27))</f>
        <v>14012.820014545508</v>
      </c>
      <c r="AG221" s="18">
        <f>IF($A221&gt;'1-Input'!$B$26,AI220,(AI220-AE221)*(1+'5-Roberta'!$C$4))</f>
        <v>149.82606995410518</v>
      </c>
      <c r="AH221" s="18">
        <f>IF($A221&gt;'1-Input'!$B$26,AF221,AF221-'P-Parametri'!$B$8*(AG221+AF221)+MIN(MAX(AG221,0),'P-Parametri'!$B$8*(AG221+AF221)))</f>
        <v>14012.820014545508</v>
      </c>
      <c r="AI221" s="18">
        <f>IF($A221&gt;'1-Input'!$B$26,AG221,AG221-MIN(MAX(AG221,0),'P-Parametri'!$B$8*(AG221+AF221)))</f>
        <v>121.50077778510595</v>
      </c>
      <c r="AJ221" s="18">
        <f>IF($A221&gt;'1-Input'!$B$26,AJ220,AJ220-AE221*(1-AD221))</f>
        <v>36.526721013960923</v>
      </c>
      <c r="AK221" s="11">
        <f>IF($A221&gt;'1-Input'!$B$26,0,IF(AP220&lt;=0,0,MAX(0,(AP220-AQ220)/AP220)))</f>
        <v>0.74889042987910337</v>
      </c>
      <c r="AL221" s="18">
        <f>IF($A221&gt;'1-Input'!$B$26,0,(MAX(0,AK176-IF($A221&gt;='1-Input'!$C$12,'1-Input'!$B$12,0))-MIN(MAX(AO220,0),MAX(0,AK176-IF($A221&gt;='1-Input'!$C$12,'1-Input'!$B$12,0))))*(1/(1-'P-Parametri'!$B$6*AK221))+MIN(MAX(0,AP220-(MAX(0,AK176-IF($A221&gt;='1-Input'!$C$12,'1-Input'!$B$12,0))-MIN(MAX(AO220,0),MAX(0,AK176-IF($A221&gt;='1-Input'!$C$12,'1-Input'!$B$12,0))))*(1/(1-'P-Parametri'!$B$6*AK221))),MAX(0,2*MAX(0,AK176-IF($A221&gt;='1-Input'!$C$12,'1-Input'!$B$12,0))-(AO220-MIN(MAX(AO220,0),MAX(0,AK176-IF($A221&gt;='1-Input'!$C$12,'1-Input'!$B$12,0)))))*(1/(1-'P-Parametri'!$B$6*AK221))))</f>
        <v>8794.938657460114</v>
      </c>
      <c r="AM221" s="18">
        <f>IF($A221&gt;'1-Input'!$B$26,AO220,(AO220-MAX(0,AK176-IF($A221&gt;='1-Input'!$C$12,'1-Input'!$B$12,0))+AL221*(1-'P-Parametri'!$B$6*AK221))*(1+'1-Input'!$B$27))</f>
        <v>14013.038104198266</v>
      </c>
      <c r="AN221" s="18">
        <f>IF($A221&gt;'1-Input'!$B$26,AP220,(AP220-AL221)*(1+'5-Roberta'!$C$4))</f>
        <v>138.57141827222017</v>
      </c>
      <c r="AO221" s="18">
        <f>IF($A221&gt;'1-Input'!$B$26,AM221,AM221-'P-Parametri'!$B$8*(AN221+AM221)+MIN(MAX(AN221,0),'P-Parametri'!$B$8*(AN221+AM221)))</f>
        <v>14013.038104198266</v>
      </c>
      <c r="AP221" s="18">
        <f>IF($A221&gt;'1-Input'!$B$26,AN221,AN221-MIN(MAX(AN221,0),'P-Parametri'!$B$8*(AN221+AM221)))</f>
        <v>110.2681992272792</v>
      </c>
      <c r="AQ221" s="18">
        <f>IF($A221&gt;'1-Input'!$B$26,AQ220,AQ220-AL221*(1-AK221))</f>
        <v>33.783115799398729</v>
      </c>
    </row>
    <row r="222" spans="1:43">
      <c r="A222" s="10">
        <f>44</f>
        <v>44</v>
      </c>
      <c r="B222" s="11">
        <f>IF($A222&gt;'1-Input'!$B$26,0,IF(G221&lt;=0,0,MAX(0,(G221-H221)/G221)))</f>
        <v>0.7583836725569395</v>
      </c>
      <c r="C222" s="18">
        <f>IF($A222&gt;'1-Input'!$B$26,0,(MAX(0,B176-IF($A222&gt;='1-Input'!$C$12,'1-Input'!$B$12,0))-MIN(MAX(F221,0),MAX(0,B176-IF($A222&gt;='1-Input'!$C$12,'1-Input'!$B$12,0))))*(1/(1-'P-Parametri'!$B$6*B222))+MIN(MAX(0,G221-(MAX(0,B176-IF($A222&gt;='1-Input'!$C$12,'1-Input'!$B$12,0))-MIN(MAX(F221,0),MAX(0,B176-IF($A222&gt;='1-Input'!$C$12,'1-Input'!$B$12,0))))*(1/(1-'P-Parametri'!$B$6*B222))),MAX(0,2*MAX(0,B176-IF($A222&gt;='1-Input'!$C$12,'1-Input'!$B$12,0))-(F221-MIN(MAX(F221,0),MAX(0,B176-IF($A222&gt;='1-Input'!$C$12,'1-Input'!$B$12,0)))))*(1/(1-'P-Parametri'!$B$6*B222))))</f>
        <v>6999.3557672986008</v>
      </c>
      <c r="D222" s="18">
        <f>IF($A222&gt;'1-Input'!$B$26,F221,(F221-MAX(0,B176-IF($A222&gt;='1-Input'!$C$12,'1-Input'!$B$12,0))+C222*(1-'P-Parametri'!$B$6*B222))*(1+'1-Input'!$B$27))</f>
        <v>11117.941430986299</v>
      </c>
      <c r="E222" s="18">
        <f>IF($A222&gt;'1-Input'!$B$26,G221,(G221-C222)*(1+'5-Roberta'!$C$4))</f>
        <v>146640.05790133582</v>
      </c>
      <c r="F222" s="18">
        <f>IF($A222&gt;'1-Input'!$B$26,D222,D222-'P-Parametri'!$B$8*(E222+D222)+MIN(MAX(E222,0),'P-Parametri'!$B$8*(E222+D222)))</f>
        <v>11117.941430986299</v>
      </c>
      <c r="G222" s="18">
        <f>IF($A222&gt;'1-Input'!$B$26,E222,E222-MIN(MAX(E222,0),'P-Parametri'!$B$8*(E222+D222)))</f>
        <v>146324.54190267119</v>
      </c>
      <c r="H222" s="18">
        <f>IF($A222&gt;'1-Input'!$B$26,H221,H221-C222*(1-B222))</f>
        <v>34398.672083649028</v>
      </c>
      <c r="I222" s="11">
        <f>IF($A222&gt;'1-Input'!$B$26,0,IF(N221&lt;=0,0,MAX(0,(N221-O221)/N221)))</f>
        <v>0</v>
      </c>
      <c r="J222" s="18">
        <f>IF($A222&gt;'1-Input'!$B$26,0,(MAX(0,I176-IF($A222&gt;='1-Input'!$C$12,'1-Input'!$B$12,0))-MIN(MAX(M221,0),MAX(0,I176-IF($A222&gt;='1-Input'!$C$12,'1-Input'!$B$12,0))))*(1/(1-'P-Parametri'!$B$6*I222))+MIN(MAX(0,N221-(MAX(0,I176-IF($A222&gt;='1-Input'!$C$12,'1-Input'!$B$12,0))-MIN(MAX(M221,0),MAX(0,I176-IF($A222&gt;='1-Input'!$C$12,'1-Input'!$B$12,0))))*(1/(1-'P-Parametri'!$B$6*I222))),MAX(0,2*MAX(0,I176-IF($A222&gt;='1-Input'!$C$12,'1-Input'!$B$12,0))-(M221-MIN(MAX(M221,0),MAX(0,I176-IF($A222&gt;='1-Input'!$C$12,'1-Input'!$B$12,0)))))*(1/(1-'P-Parametri'!$B$6*I222))))</f>
        <v>10846.756992928691</v>
      </c>
      <c r="K222" s="18">
        <f>IF($A222&gt;'1-Input'!$B$26,M221,(M221-MAX(0,I176-IF($A222&gt;='1-Input'!$C$12,'1-Input'!$B$12,0))+J222*(1-'P-Parametri'!$B$6*I222))*(1+'1-Input'!$B$27))</f>
        <v>0</v>
      </c>
      <c r="L222" s="18">
        <f>IF($A222&gt;'1-Input'!$B$26,N221,(N221-J222)*(1+'5-Roberta'!$C$4))</f>
        <v>-301479.12258713407</v>
      </c>
      <c r="M222" s="18">
        <f>IF($A222&gt;'1-Input'!$B$26,K222,K222-'P-Parametri'!$B$8*(L222+K222)+MIN(MAX(L222,0),'P-Parametri'!$B$8*(L222+K222)))</f>
        <v>0</v>
      </c>
      <c r="N222" s="18">
        <f>IF($A222&gt;'1-Input'!$B$26,L222,L222-MIN(MAX(L222,0),'P-Parametri'!$B$8*(L222+K222)))</f>
        <v>-300876.16434195981</v>
      </c>
      <c r="O222" s="18">
        <f>IF($A222&gt;'1-Input'!$B$26,O221,O221-J222*(1-I222))</f>
        <v>-221126.39110823162</v>
      </c>
      <c r="P222" s="11">
        <f>IF($A222&gt;'1-Input'!$B$26,0,IF(U221&lt;=0,0,MAX(0,(U221-V221)/U221)))</f>
        <v>0</v>
      </c>
      <c r="Q222" s="18">
        <f>IF($A222&gt;'1-Input'!$B$26,0,(MAX(0,P176-IF($A222&gt;='1-Input'!$C$12,'1-Input'!$B$12,0))-MIN(MAX(T221,0),MAX(0,P176-IF($A222&gt;='1-Input'!$C$12,'1-Input'!$B$12,0))))*(1/(1-'P-Parametri'!$B$6*P222))+MIN(MAX(0,U221-(MAX(0,P176-IF($A222&gt;='1-Input'!$C$12,'1-Input'!$B$12,0))-MIN(MAX(T221,0),MAX(0,P176-IF($A222&gt;='1-Input'!$C$12,'1-Input'!$B$12,0))))*(1/(1-'P-Parametri'!$B$6*P222))),MAX(0,2*MAX(0,P176-IF($A222&gt;='1-Input'!$C$12,'1-Input'!$B$12,0))-(T221-MIN(MAX(T221,0),MAX(0,P176-IF($A222&gt;='1-Input'!$C$12,'1-Input'!$B$12,0)))))*(1/(1-'P-Parametri'!$B$6*P222))))</f>
        <v>7291.1788751734493</v>
      </c>
      <c r="R222" s="18">
        <f>IF($A222&gt;'1-Input'!$B$26,T221,(T221-MAX(0,P176-IF($A222&gt;='1-Input'!$C$12,'1-Input'!$B$12,0))+Q222*(1-'P-Parametri'!$B$6*P222))*(1+'1-Input'!$B$27))</f>
        <v>0</v>
      </c>
      <c r="S222" s="18">
        <f>IF($A222&gt;'1-Input'!$B$26,U221,(U221-Q222)*(1+'5-Roberta'!$C$4))</f>
        <v>-13435.947430842212</v>
      </c>
      <c r="T222" s="18">
        <f>IF($A222&gt;'1-Input'!$B$26,R222,R222-'P-Parametri'!$B$8*(S222+R222)+MIN(MAX(S222,0),'P-Parametri'!$B$8*(S222+R222)))</f>
        <v>0</v>
      </c>
      <c r="U222" s="18">
        <f>IF($A222&gt;'1-Input'!$B$26,S222,S222-MIN(MAX(S222,0),'P-Parametri'!$B$8*(S222+R222)))</f>
        <v>-13409.075535980528</v>
      </c>
      <c r="V222" s="18">
        <f>IF($A222&gt;'1-Input'!$B$26,V221,V221-Q222*(1-P222))</f>
        <v>-12888.227614383946</v>
      </c>
      <c r="W222" s="11">
        <f>IF($A222&gt;'1-Input'!$B$26,0,IF(AB221&lt;=0,0,MAX(0,(AB221-AC221)/AB221)))</f>
        <v>0</v>
      </c>
      <c r="X222" s="18">
        <f>IF($A222&gt;'1-Input'!$B$26,0,(MAX(0,W176-IF($A222&gt;='1-Input'!$C$12,'1-Input'!$B$12,0))-MIN(MAX(AA221,0),MAX(0,W176-IF($A222&gt;='1-Input'!$C$12,'1-Input'!$B$12,0))))*(1/(1-'P-Parametri'!$B$6*W222))+MIN(MAX(0,AB221-(MAX(0,W176-IF($A222&gt;='1-Input'!$C$12,'1-Input'!$B$12,0))-MIN(MAX(AA221,0),MAX(0,W176-IF($A222&gt;='1-Input'!$C$12,'1-Input'!$B$12,0))))*(1/(1-'P-Parametri'!$B$6*W222))),MAX(0,2*MAX(0,W176-IF($A222&gt;='1-Input'!$C$12,'1-Input'!$B$12,0))-(AA221-MIN(MAX(AA221,0),MAX(0,W176-IF($A222&gt;='1-Input'!$C$12,'1-Input'!$B$12,0)))))*(1/(1-'P-Parametri'!$B$6*W222))))</f>
        <v>0</v>
      </c>
      <c r="Y222" s="18">
        <f>IF($A222&gt;'1-Input'!$B$26,AA221,(AA221-MAX(0,W176-IF($A222&gt;='1-Input'!$C$12,'1-Input'!$B$12,0))+X222*(1-'P-Parametri'!$B$6*W222))*(1+'1-Input'!$B$27))</f>
        <v>6528.8522655778015</v>
      </c>
      <c r="Z222" s="18">
        <f>IF($A222&gt;'1-Input'!$B$26,AB221,(AB221-X222)*(1+'5-Roberta'!$C$4))</f>
        <v>0</v>
      </c>
      <c r="AA222" s="18">
        <f>IF($A222&gt;'1-Input'!$B$26,Y222,Y222-'P-Parametri'!$B$8*(Z222+Y222)+MIN(MAX(Z222,0),'P-Parametri'!$B$8*(Z222+Y222)))</f>
        <v>6515.7945610466459</v>
      </c>
      <c r="AB222" s="18">
        <f>IF($A222&gt;'1-Input'!$B$26,Z222,Z222-MIN(MAX(Z222,0),'P-Parametri'!$B$8*(Z222+Y222)))</f>
        <v>0</v>
      </c>
      <c r="AC222" s="18">
        <f>IF($A222&gt;'1-Input'!$B$26,AC221,AC221-X222*(1-W222))</f>
        <v>-4.5474735088646412E-13</v>
      </c>
      <c r="AD222" s="11">
        <f>IF($A222&gt;'1-Input'!$B$26,0,IF(AI221&lt;=0,0,MAX(0,(AI221-AJ221)/AI221)))</f>
        <v>0.69937047581239009</v>
      </c>
      <c r="AE222" s="18">
        <f>IF($A222&gt;'1-Input'!$B$26,0,(MAX(0,AD176-IF($A222&gt;='1-Input'!$C$12,'1-Input'!$B$12,0))-MIN(MAX(AH221,0),MAX(0,AD176-IF($A222&gt;='1-Input'!$C$12,'1-Input'!$B$12,0))))*(1/(1-'P-Parametri'!$B$6*AD222))+MIN(MAX(0,AI221-(MAX(0,AD176-IF($A222&gt;='1-Input'!$C$12,'1-Input'!$B$12,0))-MIN(MAX(AH221,0),MAX(0,AD176-IF($A222&gt;='1-Input'!$C$12,'1-Input'!$B$12,0))))*(1/(1-'P-Parametri'!$B$6*AD222))),MAX(0,2*MAX(0,AD176-IF($A222&gt;='1-Input'!$C$12,'1-Input'!$B$12,0))-(AH221-MIN(MAX(AH221,0),MAX(0,AD176-IF($A222&gt;='1-Input'!$C$12,'1-Input'!$B$12,0)))))*(1/(1-'P-Parametri'!$B$6*AD222))))</f>
        <v>121.50077778510595</v>
      </c>
      <c r="AF222" s="18">
        <f>IF($A222&gt;'1-Input'!$B$26,AH221,(AH221-MAX(0,AD176-IF($A222&gt;='1-Input'!$C$12,'1-Input'!$B$12,0))+AE222*(1-'P-Parametri'!$B$6*AD222))*(1+'1-Input'!$B$27))</f>
        <v>7055.0135111621094</v>
      </c>
      <c r="AG222" s="18">
        <f>IF($A222&gt;'1-Input'!$B$26,AI221,(AI221-AE222)*(1+'5-Roberta'!$C$4))</f>
        <v>0</v>
      </c>
      <c r="AH222" s="18">
        <f>IF($A222&gt;'1-Input'!$B$26,AF222,AF222-'P-Parametri'!$B$8*(AG222+AF222)+MIN(MAX(AG222,0),'P-Parametri'!$B$8*(AG222+AF222)))</f>
        <v>7040.9034841397852</v>
      </c>
      <c r="AI222" s="18">
        <f>IF($A222&gt;'1-Input'!$B$26,AG222,AG222-MIN(MAX(AG222,0),'P-Parametri'!$B$8*(AG222+AF222)))</f>
        <v>0</v>
      </c>
      <c r="AJ222" s="18">
        <f>IF($A222&gt;'1-Input'!$B$26,AJ221,AJ221-AE222*(1-AD222))</f>
        <v>0</v>
      </c>
      <c r="AK222" s="11">
        <f>IF($A222&gt;'1-Input'!$B$26,0,IF(AP221&lt;=0,0,MAX(0,(AP221-AQ221)/AP221)))</f>
        <v>0.69362775454628867</v>
      </c>
      <c r="AL222" s="18">
        <f>IF($A222&gt;'1-Input'!$B$26,0,(MAX(0,AK176-IF($A222&gt;='1-Input'!$C$12,'1-Input'!$B$12,0))-MIN(MAX(AO221,0),MAX(0,AK176-IF($A222&gt;='1-Input'!$C$12,'1-Input'!$B$12,0))))*(1/(1-'P-Parametri'!$B$6*AK222))+MIN(MAX(0,AP221-(MAX(0,AK176-IF($A222&gt;='1-Input'!$C$12,'1-Input'!$B$12,0))-MIN(MAX(AO221,0),MAX(0,AK176-IF($A222&gt;='1-Input'!$C$12,'1-Input'!$B$12,0))))*(1/(1-'P-Parametri'!$B$6*AK222))),MAX(0,2*MAX(0,AK176-IF($A222&gt;='1-Input'!$C$12,'1-Input'!$B$12,0))-(AO221-MIN(MAX(AO221,0),MAX(0,AK176-IF($A222&gt;='1-Input'!$C$12,'1-Input'!$B$12,0)))))*(1/(1-'P-Parametri'!$B$6*AK222))))</f>
        <v>110.2681992272792</v>
      </c>
      <c r="AM222" s="18">
        <f>IF($A222&gt;'1-Input'!$B$26,AO221,(AO221-MAX(0,AK176-IF($A222&gt;='1-Input'!$C$12,'1-Input'!$B$12,0))+AL222*(1-'P-Parametri'!$B$6*AK222))*(1+'1-Input'!$B$27))</f>
        <v>7046.1288169809186</v>
      </c>
      <c r="AN222" s="18">
        <f>IF($A222&gt;'1-Input'!$B$26,AP221,(AP221-AL222)*(1+'5-Roberta'!$C$4))</f>
        <v>0</v>
      </c>
      <c r="AO222" s="18">
        <f>IF($A222&gt;'1-Input'!$B$26,AM222,AM222-'P-Parametri'!$B$8*(AN222+AM222)+MIN(MAX(AN222,0),'P-Parametri'!$B$8*(AN222+AM222)))</f>
        <v>7032.0365593469569</v>
      </c>
      <c r="AP222" s="18">
        <f>IF($A222&gt;'1-Input'!$B$26,AN222,AN222-MIN(MAX(AN222,0),'P-Parametri'!$B$8*(AN222+AM222)))</f>
        <v>0</v>
      </c>
      <c r="AQ222" s="18">
        <f>IF($A222&gt;'1-Input'!$B$26,AQ221,AQ221-AL222*(1-AK222))</f>
        <v>7.1054273576010019E-15</v>
      </c>
    </row>
    <row r="223" spans="1:43">
      <c r="A223" s="10">
        <f>45</f>
        <v>45</v>
      </c>
      <c r="B223" s="11">
        <f>IF($A223&gt;'1-Input'!$B$26,0,IF(G222&lt;=0,0,MAX(0,(G222-H222)/G222)))</f>
        <v>0.76491522449781835</v>
      </c>
      <c r="C223" s="18">
        <f>IF($A223&gt;'1-Input'!$B$26,0,(MAX(0,B176-IF($A223&gt;='1-Input'!$C$12,'1-Input'!$B$12,0))-MIN(MAX(F222,0),MAX(0,B176-IF($A223&gt;='1-Input'!$C$12,'1-Input'!$B$12,0))))*(1/(1-'P-Parametri'!$B$6*B223))+MIN(MAX(0,G222-(MAX(0,B176-IF($A223&gt;='1-Input'!$C$12,'1-Input'!$B$12,0))-MIN(MAX(F222,0),MAX(0,B176-IF($A223&gt;='1-Input'!$C$12,'1-Input'!$B$12,0))))*(1/(1-'P-Parametri'!$B$6*B223))),MAX(0,2*MAX(0,B176-IF($A223&gt;='1-Input'!$C$12,'1-Input'!$B$12,0))-(F222-MIN(MAX(F222,0),MAX(0,B176-IF($A223&gt;='1-Input'!$C$12,'1-Input'!$B$12,0)))))*(1/(1-'P-Parametri'!$B$6*B223))))</f>
        <v>7014.1928706068256</v>
      </c>
      <c r="D223" s="18">
        <f>IF($A223&gt;'1-Input'!$B$26,F222,(F222-MAX(0,B176-IF($A223&gt;='1-Input'!$C$12,'1-Input'!$B$12,0))+C223*(1-'P-Parametri'!$B$6*B223))*(1+'1-Input'!$B$27))</f>
        <v>11117.941430986299</v>
      </c>
      <c r="E223" s="18">
        <f>IF($A223&gt;'1-Input'!$B$26,G222,(G222-C223)*(1+'5-Roberta'!$C$4))</f>
        <v>143489.65950302631</v>
      </c>
      <c r="F223" s="18">
        <f>IF($A223&gt;'1-Input'!$B$26,D223,D223-'P-Parametri'!$B$8*(E223+D223)+MIN(MAX(E223,0),'P-Parametri'!$B$8*(E223+D223)))</f>
        <v>11117.941430986299</v>
      </c>
      <c r="G223" s="18">
        <f>IF($A223&gt;'1-Input'!$B$26,E223,E223-MIN(MAX(E223,0),'P-Parametri'!$B$8*(E223+D223)))</f>
        <v>143180.44430115828</v>
      </c>
      <c r="H223" s="18">
        <f>IF($A223&gt;'1-Input'!$B$26,H222,H222-C223*(1-B223))</f>
        <v>32749.742127333418</v>
      </c>
      <c r="I223" s="11">
        <f>IF($A223&gt;'1-Input'!$B$26,0,IF(N222&lt;=0,0,MAX(0,(N222-O222)/N222)))</f>
        <v>0</v>
      </c>
      <c r="J223" s="18">
        <f>IF($A223&gt;'1-Input'!$B$26,0,(MAX(0,I176-IF($A223&gt;='1-Input'!$C$12,'1-Input'!$B$12,0))-MIN(MAX(M222,0),MAX(0,I176-IF($A223&gt;='1-Input'!$C$12,'1-Input'!$B$12,0))))*(1/(1-'P-Parametri'!$B$6*I223))+MIN(MAX(0,N222-(MAX(0,I176-IF($A223&gt;='1-Input'!$C$12,'1-Input'!$B$12,0))-MIN(MAX(M222,0),MAX(0,I176-IF($A223&gt;='1-Input'!$C$12,'1-Input'!$B$12,0))))*(1/(1-'P-Parametri'!$B$6*I223))),MAX(0,2*MAX(0,I176-IF($A223&gt;='1-Input'!$C$12,'1-Input'!$B$12,0))-(M222-MIN(MAX(M222,0),MAX(0,I176-IF($A223&gt;='1-Input'!$C$12,'1-Input'!$B$12,0)))))*(1/(1-'P-Parametri'!$B$6*I223))))</f>
        <v>10846.756992928691</v>
      </c>
      <c r="K223" s="18">
        <f>IF($A223&gt;'1-Input'!$B$26,M222,(M222-MAX(0,I176-IF($A223&gt;='1-Input'!$C$12,'1-Input'!$B$12,0))+J223*(1-'P-Parametri'!$B$6*I223))*(1+'1-Input'!$B$27))</f>
        <v>0</v>
      </c>
      <c r="L223" s="18">
        <f>IF($A223&gt;'1-Input'!$B$26,N222,(N222-J223)*(1+'5-Roberta'!$C$4))</f>
        <v>-321074.60897493514</v>
      </c>
      <c r="M223" s="18">
        <f>IF($A223&gt;'1-Input'!$B$26,K223,K223-'P-Parametri'!$B$8*(L223+K223)+MIN(MAX(L223,0),'P-Parametri'!$B$8*(L223+K223)))</f>
        <v>0</v>
      </c>
      <c r="N223" s="18">
        <f>IF($A223&gt;'1-Input'!$B$26,L223,L223-MIN(MAX(L223,0),'P-Parametri'!$B$8*(L223+K223)))</f>
        <v>-320432.45975698525</v>
      </c>
      <c r="O223" s="18">
        <f>IF($A223&gt;'1-Input'!$B$26,O222,O222-J223*(1-I223))</f>
        <v>-231973.1481011603</v>
      </c>
      <c r="P223" s="11">
        <f>IF($A223&gt;'1-Input'!$B$26,0,IF(U222&lt;=0,0,MAX(0,(U222-V222)/U222)))</f>
        <v>0</v>
      </c>
      <c r="Q223" s="18">
        <f>IF($A223&gt;'1-Input'!$B$26,0,(MAX(0,P176-IF($A223&gt;='1-Input'!$C$12,'1-Input'!$B$12,0))-MIN(MAX(T222,0),MAX(0,P176-IF($A223&gt;='1-Input'!$C$12,'1-Input'!$B$12,0))))*(1/(1-'P-Parametri'!$B$6*P223))+MIN(MAX(0,U222-(MAX(0,P176-IF($A223&gt;='1-Input'!$C$12,'1-Input'!$B$12,0))-MIN(MAX(T222,0),MAX(0,P176-IF($A223&gt;='1-Input'!$C$12,'1-Input'!$B$12,0))))*(1/(1-'P-Parametri'!$B$6*P223))),MAX(0,2*MAX(0,P176-IF($A223&gt;='1-Input'!$C$12,'1-Input'!$B$12,0))-(T222-MIN(MAX(T222,0),MAX(0,P176-IF($A223&gt;='1-Input'!$C$12,'1-Input'!$B$12,0)))))*(1/(1-'P-Parametri'!$B$6*P223))))</f>
        <v>7291.1788751734493</v>
      </c>
      <c r="R223" s="18">
        <f>IF($A223&gt;'1-Input'!$B$26,T222,(T222-MAX(0,P176-IF($A223&gt;='1-Input'!$C$12,'1-Input'!$B$12,0))+Q223*(1-'P-Parametri'!$B$6*P223))*(1+'1-Input'!$B$27))</f>
        <v>0</v>
      </c>
      <c r="S223" s="18">
        <f>IF($A223&gt;'1-Input'!$B$26,U222,(U222-Q223)*(1+'5-Roberta'!$C$4))</f>
        <v>-21321.262043488594</v>
      </c>
      <c r="T223" s="18">
        <f>IF($A223&gt;'1-Input'!$B$26,R223,R223-'P-Parametri'!$B$8*(S223+R223)+MIN(MAX(S223,0),'P-Parametri'!$B$8*(S223+R223)))</f>
        <v>0</v>
      </c>
      <c r="U223" s="18">
        <f>IF($A223&gt;'1-Input'!$B$26,S223,S223-MIN(MAX(S223,0),'P-Parametri'!$B$8*(S223+R223)))</f>
        <v>-21278.619519401618</v>
      </c>
      <c r="V223" s="18">
        <f>IF($A223&gt;'1-Input'!$B$26,V222,V222-Q223*(1-P223))</f>
        <v>-20179.406489557397</v>
      </c>
      <c r="W223" s="11">
        <f>IF($A223&gt;'1-Input'!$B$26,0,IF(AB222&lt;=0,0,MAX(0,(AB222-AC222)/AB222)))</f>
        <v>0</v>
      </c>
      <c r="X223" s="18">
        <f>IF($A223&gt;'1-Input'!$B$26,0,(MAX(0,W176-IF($A223&gt;='1-Input'!$C$12,'1-Input'!$B$12,0))-MIN(MAX(AA222,0),MAX(0,W176-IF($A223&gt;='1-Input'!$C$12,'1-Input'!$B$12,0))))*(1/(1-'P-Parametri'!$B$6*W223))+MIN(MAX(0,AB222-(MAX(0,W176-IF($A223&gt;='1-Input'!$C$12,'1-Input'!$B$12,0))-MIN(MAX(AA222,0),MAX(0,W176-IF($A223&gt;='1-Input'!$C$12,'1-Input'!$B$12,0))))*(1/(1-'P-Parametri'!$B$6*W223))),MAX(0,2*MAX(0,W176-IF($A223&gt;='1-Input'!$C$12,'1-Input'!$B$12,0))-(AA222-MIN(MAX(AA222,0),MAX(0,W176-IF($A223&gt;='1-Input'!$C$12,'1-Input'!$B$12,0)))))*(1/(1-'P-Parametri'!$B$6*W223))))</f>
        <v>522.47833812750741</v>
      </c>
      <c r="Y223" s="18">
        <f>IF($A223&gt;'1-Input'!$B$26,AA222,(AA222-MAX(0,W176-IF($A223&gt;='1-Input'!$C$12,'1-Input'!$B$12,0))+X223*(1-'P-Parametri'!$B$6*W223))*(1+'1-Input'!$B$27))</f>
        <v>0</v>
      </c>
      <c r="Z223" s="18">
        <f>IF($A223&gt;'1-Input'!$B$26,AB222,(AB222-X223)*(1+'5-Roberta'!$C$4))</f>
        <v>-538.15268827133264</v>
      </c>
      <c r="AA223" s="18">
        <f>IF($A223&gt;'1-Input'!$B$26,Y223,Y223-'P-Parametri'!$B$8*(Z223+Y223)+MIN(MAX(Z223,0),'P-Parametri'!$B$8*(Z223+Y223)))</f>
        <v>0</v>
      </c>
      <c r="AB223" s="18">
        <f>IF($A223&gt;'1-Input'!$B$26,Z223,Z223-MIN(MAX(Z223,0),'P-Parametri'!$B$8*(Z223+Y223)))</f>
        <v>-537.07638289478996</v>
      </c>
      <c r="AC223" s="18">
        <f>IF($A223&gt;'1-Input'!$B$26,AC222,AC222-X223*(1-W223))</f>
        <v>-522.47833812750787</v>
      </c>
      <c r="AD223" s="11">
        <f>IF($A223&gt;'1-Input'!$B$26,0,IF(AI222&lt;=0,0,MAX(0,(AI222-AJ222)/AI222)))</f>
        <v>0</v>
      </c>
      <c r="AE223" s="18">
        <f>IF($A223&gt;'1-Input'!$B$26,0,(MAX(0,AD176-IF($A223&gt;='1-Input'!$C$12,'1-Input'!$B$12,0))-MIN(MAX(AH222,0),MAX(0,AD176-IF($A223&gt;='1-Input'!$C$12,'1-Input'!$B$12,0))))*(1/(1-'P-Parametri'!$B$6*AD223))+MIN(MAX(0,AI222-(MAX(0,AD176-IF($A223&gt;='1-Input'!$C$12,'1-Input'!$B$12,0))-MIN(MAX(AH222,0),MAX(0,AD176-IF($A223&gt;='1-Input'!$C$12,'1-Input'!$B$12,0))))*(1/(1-'P-Parametri'!$B$6*AD223))),MAX(0,2*MAX(0,AD176-IF($A223&gt;='1-Input'!$C$12,'1-Input'!$B$12,0))-(AH222-MIN(MAX(AH222,0),MAX(0,AD176-IF($A223&gt;='1-Input'!$C$12,'1-Input'!$B$12,0)))))*(1/(1-'P-Parametri'!$B$6*AD223))))</f>
        <v>0</v>
      </c>
      <c r="AF223" s="18">
        <f>IF($A223&gt;'1-Input'!$B$26,AH222,(AH222-MAX(0,AD176-IF($A223&gt;='1-Input'!$C$12,'1-Input'!$B$12,0))+AE223*(1-'P-Parametri'!$B$6*AD223))*(1+'1-Input'!$B$27))</f>
        <v>9.1462243241275818</v>
      </c>
      <c r="AG223" s="18">
        <f>IF($A223&gt;'1-Input'!$B$26,AI222,(AI222-AE223)*(1+'5-Roberta'!$C$4))</f>
        <v>0</v>
      </c>
      <c r="AH223" s="18">
        <f>IF($A223&gt;'1-Input'!$B$26,AF223,AF223-'P-Parametri'!$B$8*(AG223+AF223)+MIN(MAX(AG223,0),'P-Parametri'!$B$8*(AG223+AF223)))</f>
        <v>9.1279318754793266</v>
      </c>
      <c r="AI223" s="18">
        <f>IF($A223&gt;'1-Input'!$B$26,AG223,AG223-MIN(MAX(AG223,0),'P-Parametri'!$B$8*(AG223+AF223)))</f>
        <v>0</v>
      </c>
      <c r="AJ223" s="18">
        <f>IF($A223&gt;'1-Input'!$B$26,AJ222,AJ222-AE223*(1-AD223))</f>
        <v>0</v>
      </c>
      <c r="AK223" s="11">
        <f>IF($A223&gt;'1-Input'!$B$26,0,IF(AP222&lt;=0,0,MAX(0,(AP222-AQ222)/AP222)))</f>
        <v>0</v>
      </c>
      <c r="AL223" s="18">
        <f>IF($A223&gt;'1-Input'!$B$26,0,(MAX(0,AK176-IF($A223&gt;='1-Input'!$C$12,'1-Input'!$B$12,0))-MIN(MAX(AO222,0),MAX(0,AK176-IF($A223&gt;='1-Input'!$C$12,'1-Input'!$B$12,0))))*(1/(1-'P-Parametri'!$B$6*AK223))+MIN(MAX(0,AP222-(MAX(0,AK176-IF($A223&gt;='1-Input'!$C$12,'1-Input'!$B$12,0))-MIN(MAX(AO222,0),MAX(0,AK176-IF($A223&gt;='1-Input'!$C$12,'1-Input'!$B$12,0))))*(1/(1-'P-Parametri'!$B$6*AK223))),MAX(0,2*MAX(0,AK176-IF($A223&gt;='1-Input'!$C$12,'1-Input'!$B$12,0))-(AO222-MIN(MAX(AO222,0),MAX(0,AK176-IF($A223&gt;='1-Input'!$C$12,'1-Input'!$B$12,0)))))*(1/(1-'P-Parametri'!$B$6*AK223))))</f>
        <v>0</v>
      </c>
      <c r="AM223" s="18">
        <f>IF($A223&gt;'1-Input'!$B$26,AO222,(AO222-MAX(0,AK176-IF($A223&gt;='1-Input'!$C$12,'1-Input'!$B$12,0))+AL223*(1-'P-Parametri'!$B$6*AK223))*(1+'1-Input'!$B$27))</f>
        <v>0.20217563417435339</v>
      </c>
      <c r="AN223" s="18">
        <f>IF($A223&gt;'1-Input'!$B$26,AP222,(AP222-AL223)*(1+'5-Roberta'!$C$4))</f>
        <v>0</v>
      </c>
      <c r="AO223" s="18">
        <f>IF($A223&gt;'1-Input'!$B$26,AM223,AM223-'P-Parametri'!$B$8*(AN223+AM223)+MIN(MAX(AN223,0),'P-Parametri'!$B$8*(AN223+AM223)))</f>
        <v>0.20177128290600468</v>
      </c>
      <c r="AP223" s="18">
        <f>IF($A223&gt;'1-Input'!$B$26,AN223,AN223-MIN(MAX(AN223,0),'P-Parametri'!$B$8*(AN223+AM223)))</f>
        <v>0</v>
      </c>
      <c r="AQ223" s="18">
        <f>IF($A223&gt;'1-Input'!$B$26,AQ222,AQ222-AL223*(1-AK223))</f>
        <v>7.1054273576010019E-15</v>
      </c>
    </row>
    <row r="224" spans="1:43">
      <c r="A224" s="10">
        <f>46</f>
        <v>46</v>
      </c>
      <c r="B224" s="11">
        <f>IF($A224&gt;'1-Input'!$B$26,0,IF(G223&lt;=0,0,MAX(0,(G223-H223)/G223)))</f>
        <v>0</v>
      </c>
      <c r="C224" s="18">
        <f>IF($A224&gt;'1-Input'!$B$26,0,(MAX(0,B176-IF($A224&gt;='1-Input'!$C$12,'1-Input'!$B$12,0))-MIN(MAX(F223,0),MAX(0,B176-IF($A224&gt;='1-Input'!$C$12,'1-Input'!$B$12,0))))*(1/(1-'P-Parametri'!$B$6*B224))+MIN(MAX(0,G223-(MAX(0,B176-IF($A224&gt;='1-Input'!$C$12,'1-Input'!$B$12,0))-MIN(MAX(F223,0),MAX(0,B176-IF($A224&gt;='1-Input'!$C$12,'1-Input'!$B$12,0))))*(1/(1-'P-Parametri'!$B$6*B224))),MAX(0,2*MAX(0,B176-IF($A224&gt;='1-Input'!$C$12,'1-Input'!$B$12,0))-(F223-MIN(MAX(F223,0),MAX(0,B176-IF($A224&gt;='1-Input'!$C$12,'1-Input'!$B$12,0)))))*(1/(1-'P-Parametri'!$B$6*B224))))</f>
        <v>0</v>
      </c>
      <c r="D224" s="18">
        <f>IF($A224&gt;'1-Input'!$B$26,F223,(F223-MAX(0,B176-IF($A224&gt;='1-Input'!$C$12,'1-Input'!$B$12,0))+C224*(1-'P-Parametri'!$B$6*B224))*(1+'1-Input'!$B$27))</f>
        <v>11117.941430986299</v>
      </c>
      <c r="E224" s="18">
        <f>IF($A224&gt;'1-Input'!$B$26,G223,(G223-C224)*(1+'5-Roberta'!$C$4))</f>
        <v>143180.44430115828</v>
      </c>
      <c r="F224" s="18">
        <f>IF($A224&gt;'1-Input'!$B$26,D224,D224-'P-Parametri'!$B$8*(E224+D224)+MIN(MAX(E224,0),'P-Parametri'!$B$8*(E224+D224)))</f>
        <v>11117.941430986299</v>
      </c>
      <c r="G224" s="18">
        <f>IF($A224&gt;'1-Input'!$B$26,E224,E224-MIN(MAX(E224,0),'P-Parametri'!$B$8*(E224+D224)))</f>
        <v>143180.44430115828</v>
      </c>
      <c r="H224" s="18">
        <f>IF($A224&gt;'1-Input'!$B$26,H223,H223-C224*(1-B224))</f>
        <v>32749.742127333418</v>
      </c>
      <c r="I224" s="11">
        <f>IF($A224&gt;'1-Input'!$B$26,0,IF(N223&lt;=0,0,MAX(0,(N223-O223)/N223)))</f>
        <v>0</v>
      </c>
      <c r="J224" s="18">
        <f>IF($A224&gt;'1-Input'!$B$26,0,(MAX(0,I176-IF($A224&gt;='1-Input'!$C$12,'1-Input'!$B$12,0))-MIN(MAX(M223,0),MAX(0,I176-IF($A224&gt;='1-Input'!$C$12,'1-Input'!$B$12,0))))*(1/(1-'P-Parametri'!$B$6*I224))+MIN(MAX(0,N223-(MAX(0,I176-IF($A224&gt;='1-Input'!$C$12,'1-Input'!$B$12,0))-MIN(MAX(M223,0),MAX(0,I176-IF($A224&gt;='1-Input'!$C$12,'1-Input'!$B$12,0))))*(1/(1-'P-Parametri'!$B$6*I224))),MAX(0,2*MAX(0,I176-IF($A224&gt;='1-Input'!$C$12,'1-Input'!$B$12,0))-(M223-MIN(MAX(M223,0),MAX(0,I176-IF($A224&gt;='1-Input'!$C$12,'1-Input'!$B$12,0)))))*(1/(1-'P-Parametri'!$B$6*I224))))</f>
        <v>0</v>
      </c>
      <c r="K224" s="18">
        <f>IF($A224&gt;'1-Input'!$B$26,M223,(M223-MAX(0,I176-IF($A224&gt;='1-Input'!$C$12,'1-Input'!$B$12,0))+J224*(1-'P-Parametri'!$B$6*I224))*(1+'1-Input'!$B$27))</f>
        <v>0</v>
      </c>
      <c r="L224" s="18">
        <f>IF($A224&gt;'1-Input'!$B$26,N223,(N223-J224)*(1+'5-Roberta'!$C$4))</f>
        <v>-320432.45975698525</v>
      </c>
      <c r="M224" s="18">
        <f>IF($A224&gt;'1-Input'!$B$26,K224,K224-'P-Parametri'!$B$8*(L224+K224)+MIN(MAX(L224,0),'P-Parametri'!$B$8*(L224+K224)))</f>
        <v>0</v>
      </c>
      <c r="N224" s="18">
        <f>IF($A224&gt;'1-Input'!$B$26,L224,L224-MIN(MAX(L224,0),'P-Parametri'!$B$8*(L224+K224)))</f>
        <v>-320432.45975698525</v>
      </c>
      <c r="O224" s="18">
        <f>IF($A224&gt;'1-Input'!$B$26,O223,O223-J224*(1-I224))</f>
        <v>-231973.1481011603</v>
      </c>
      <c r="P224" s="11">
        <f>IF($A224&gt;'1-Input'!$B$26,0,IF(U223&lt;=0,0,MAX(0,(U223-V223)/U223)))</f>
        <v>0</v>
      </c>
      <c r="Q224" s="18">
        <f>IF($A224&gt;'1-Input'!$B$26,0,(MAX(0,P176-IF($A224&gt;='1-Input'!$C$12,'1-Input'!$B$12,0))-MIN(MAX(T223,0),MAX(0,P176-IF($A224&gt;='1-Input'!$C$12,'1-Input'!$B$12,0))))*(1/(1-'P-Parametri'!$B$6*P224))+MIN(MAX(0,U223-(MAX(0,P176-IF($A224&gt;='1-Input'!$C$12,'1-Input'!$B$12,0))-MIN(MAX(T223,0),MAX(0,P176-IF($A224&gt;='1-Input'!$C$12,'1-Input'!$B$12,0))))*(1/(1-'P-Parametri'!$B$6*P224))),MAX(0,2*MAX(0,P176-IF($A224&gt;='1-Input'!$C$12,'1-Input'!$B$12,0))-(T223-MIN(MAX(T223,0),MAX(0,P176-IF($A224&gt;='1-Input'!$C$12,'1-Input'!$B$12,0)))))*(1/(1-'P-Parametri'!$B$6*P224))))</f>
        <v>0</v>
      </c>
      <c r="R224" s="18">
        <f>IF($A224&gt;'1-Input'!$B$26,T223,(T223-MAX(0,P176-IF($A224&gt;='1-Input'!$C$12,'1-Input'!$B$12,0))+Q224*(1-'P-Parametri'!$B$6*P224))*(1+'1-Input'!$B$27))</f>
        <v>0</v>
      </c>
      <c r="S224" s="18">
        <f>IF($A224&gt;'1-Input'!$B$26,U223,(U223-Q224)*(1+'5-Roberta'!$C$4))</f>
        <v>-21278.619519401618</v>
      </c>
      <c r="T224" s="18">
        <f>IF($A224&gt;'1-Input'!$B$26,R224,R224-'P-Parametri'!$B$8*(S224+R224)+MIN(MAX(S224,0),'P-Parametri'!$B$8*(S224+R224)))</f>
        <v>0</v>
      </c>
      <c r="U224" s="18">
        <f>IF($A224&gt;'1-Input'!$B$26,S224,S224-MIN(MAX(S224,0),'P-Parametri'!$B$8*(S224+R224)))</f>
        <v>-21278.619519401618</v>
      </c>
      <c r="V224" s="18">
        <f>IF($A224&gt;'1-Input'!$B$26,V223,V223-Q224*(1-P224))</f>
        <v>-20179.406489557397</v>
      </c>
      <c r="W224" s="11">
        <f>IF($A224&gt;'1-Input'!$B$26,0,IF(AB223&lt;=0,0,MAX(0,(AB223-AC223)/AB223)))</f>
        <v>0</v>
      </c>
      <c r="X224" s="18">
        <f>IF($A224&gt;'1-Input'!$B$26,0,(MAX(0,W176-IF($A224&gt;='1-Input'!$C$12,'1-Input'!$B$12,0))-MIN(MAX(AA223,0),MAX(0,W176-IF($A224&gt;='1-Input'!$C$12,'1-Input'!$B$12,0))))*(1/(1-'P-Parametri'!$B$6*W224))+MIN(MAX(0,AB223-(MAX(0,W176-IF($A224&gt;='1-Input'!$C$12,'1-Input'!$B$12,0))-MIN(MAX(AA223,0),MAX(0,W176-IF($A224&gt;='1-Input'!$C$12,'1-Input'!$B$12,0))))*(1/(1-'P-Parametri'!$B$6*W224))),MAX(0,2*MAX(0,W176-IF($A224&gt;='1-Input'!$C$12,'1-Input'!$B$12,0))-(AA223-MIN(MAX(AA223,0),MAX(0,W176-IF($A224&gt;='1-Input'!$C$12,'1-Input'!$B$12,0)))))*(1/(1-'P-Parametri'!$B$6*W224))))</f>
        <v>0</v>
      </c>
      <c r="Y224" s="18">
        <f>IF($A224&gt;'1-Input'!$B$26,AA223,(AA223-MAX(0,W176-IF($A224&gt;='1-Input'!$C$12,'1-Input'!$B$12,0))+X224*(1-'P-Parametri'!$B$6*W224))*(1+'1-Input'!$B$27))</f>
        <v>0</v>
      </c>
      <c r="Z224" s="18">
        <f>IF($A224&gt;'1-Input'!$B$26,AB223,(AB223-X224)*(1+'5-Roberta'!$C$4))</f>
        <v>-537.07638289478996</v>
      </c>
      <c r="AA224" s="18">
        <f>IF($A224&gt;'1-Input'!$B$26,Y224,Y224-'P-Parametri'!$B$8*(Z224+Y224)+MIN(MAX(Z224,0),'P-Parametri'!$B$8*(Z224+Y224)))</f>
        <v>0</v>
      </c>
      <c r="AB224" s="18">
        <f>IF($A224&gt;'1-Input'!$B$26,Z224,Z224-MIN(MAX(Z224,0),'P-Parametri'!$B$8*(Z224+Y224)))</f>
        <v>-537.07638289478996</v>
      </c>
      <c r="AC224" s="18">
        <f>IF($A224&gt;'1-Input'!$B$26,AC223,AC223-X224*(1-W224))</f>
        <v>-522.47833812750787</v>
      </c>
      <c r="AD224" s="11">
        <f>IF($A224&gt;'1-Input'!$B$26,0,IF(AI223&lt;=0,0,MAX(0,(AI223-AJ223)/AI223)))</f>
        <v>0</v>
      </c>
      <c r="AE224" s="18">
        <f>IF($A224&gt;'1-Input'!$B$26,0,(MAX(0,AD176-IF($A224&gt;='1-Input'!$C$12,'1-Input'!$B$12,0))-MIN(MAX(AH223,0),MAX(0,AD176-IF($A224&gt;='1-Input'!$C$12,'1-Input'!$B$12,0))))*(1/(1-'P-Parametri'!$B$6*AD224))+MIN(MAX(0,AI223-(MAX(0,AD176-IF($A224&gt;='1-Input'!$C$12,'1-Input'!$B$12,0))-MIN(MAX(AH223,0),MAX(0,AD176-IF($A224&gt;='1-Input'!$C$12,'1-Input'!$B$12,0))))*(1/(1-'P-Parametri'!$B$6*AD224))),MAX(0,2*MAX(0,AD176-IF($A224&gt;='1-Input'!$C$12,'1-Input'!$B$12,0))-(AH223-MIN(MAX(AH223,0),MAX(0,AD176-IF($A224&gt;='1-Input'!$C$12,'1-Input'!$B$12,0)))))*(1/(1-'P-Parametri'!$B$6*AD224))))</f>
        <v>0</v>
      </c>
      <c r="AF224" s="18">
        <f>IF($A224&gt;'1-Input'!$B$26,AH223,(AH223-MAX(0,AD176-IF($A224&gt;='1-Input'!$C$12,'1-Input'!$B$12,0))+AE224*(1-'P-Parametri'!$B$6*AD224))*(1+'1-Input'!$B$27))</f>
        <v>9.1279318754793266</v>
      </c>
      <c r="AG224" s="18">
        <f>IF($A224&gt;'1-Input'!$B$26,AI223,(AI223-AE224)*(1+'5-Roberta'!$C$4))</f>
        <v>0</v>
      </c>
      <c r="AH224" s="18">
        <f>IF($A224&gt;'1-Input'!$B$26,AF224,AF224-'P-Parametri'!$B$8*(AG224+AF224)+MIN(MAX(AG224,0),'P-Parametri'!$B$8*(AG224+AF224)))</f>
        <v>9.1279318754793266</v>
      </c>
      <c r="AI224" s="18">
        <f>IF($A224&gt;'1-Input'!$B$26,AG224,AG224-MIN(MAX(AG224,0),'P-Parametri'!$B$8*(AG224+AF224)))</f>
        <v>0</v>
      </c>
      <c r="AJ224" s="18">
        <f>IF($A224&gt;'1-Input'!$B$26,AJ223,AJ223-AE224*(1-AD224))</f>
        <v>0</v>
      </c>
      <c r="AK224" s="11">
        <f>IF($A224&gt;'1-Input'!$B$26,0,IF(AP223&lt;=0,0,MAX(0,(AP223-AQ223)/AP223)))</f>
        <v>0</v>
      </c>
      <c r="AL224" s="18">
        <f>IF($A224&gt;'1-Input'!$B$26,0,(MAX(0,AK176-IF($A224&gt;='1-Input'!$C$12,'1-Input'!$B$12,0))-MIN(MAX(AO223,0),MAX(0,AK176-IF($A224&gt;='1-Input'!$C$12,'1-Input'!$B$12,0))))*(1/(1-'P-Parametri'!$B$6*AK224))+MIN(MAX(0,AP223-(MAX(0,AK176-IF($A224&gt;='1-Input'!$C$12,'1-Input'!$B$12,0))-MIN(MAX(AO223,0),MAX(0,AK176-IF($A224&gt;='1-Input'!$C$12,'1-Input'!$B$12,0))))*(1/(1-'P-Parametri'!$B$6*AK224))),MAX(0,2*MAX(0,AK176-IF($A224&gt;='1-Input'!$C$12,'1-Input'!$B$12,0))-(AO223-MIN(MAX(AO223,0),MAX(0,AK176-IF($A224&gt;='1-Input'!$C$12,'1-Input'!$B$12,0)))))*(1/(1-'P-Parametri'!$B$6*AK224))))</f>
        <v>0</v>
      </c>
      <c r="AM224" s="18">
        <f>IF($A224&gt;'1-Input'!$B$26,AO223,(AO223-MAX(0,AK176-IF($A224&gt;='1-Input'!$C$12,'1-Input'!$B$12,0))+AL224*(1-'P-Parametri'!$B$6*AK224))*(1+'1-Input'!$B$27))</f>
        <v>0.20177128290600468</v>
      </c>
      <c r="AN224" s="18">
        <f>IF($A224&gt;'1-Input'!$B$26,AP223,(AP223-AL224)*(1+'5-Roberta'!$C$4))</f>
        <v>0</v>
      </c>
      <c r="AO224" s="18">
        <f>IF($A224&gt;'1-Input'!$B$26,AM224,AM224-'P-Parametri'!$B$8*(AN224+AM224)+MIN(MAX(AN224,0),'P-Parametri'!$B$8*(AN224+AM224)))</f>
        <v>0.20177128290600468</v>
      </c>
      <c r="AP224" s="18">
        <f>IF($A224&gt;'1-Input'!$B$26,AN224,AN224-MIN(MAX(AN224,0),'P-Parametri'!$B$8*(AN224+AM224)))</f>
        <v>0</v>
      </c>
      <c r="AQ224" s="18">
        <f>IF($A224&gt;'1-Input'!$B$26,AQ223,AQ223-AL224*(1-AK224))</f>
        <v>7.1054273576010019E-15</v>
      </c>
    </row>
    <row r="225" spans="1:43">
      <c r="A225" s="10">
        <f>47</f>
        <v>47</v>
      </c>
      <c r="B225" s="11">
        <f>IF($A225&gt;'1-Input'!$B$26,0,IF(G224&lt;=0,0,MAX(0,(G224-H224)/G224)))</f>
        <v>0</v>
      </c>
      <c r="C225" s="18">
        <f>IF($A225&gt;'1-Input'!$B$26,0,(MAX(0,B176-IF($A225&gt;='1-Input'!$C$12,'1-Input'!$B$12,0))-MIN(MAX(F224,0),MAX(0,B176-IF($A225&gt;='1-Input'!$C$12,'1-Input'!$B$12,0))))*(1/(1-'P-Parametri'!$B$6*B225))+MIN(MAX(0,G224-(MAX(0,B176-IF($A225&gt;='1-Input'!$C$12,'1-Input'!$B$12,0))-MIN(MAX(F224,0),MAX(0,B176-IF($A225&gt;='1-Input'!$C$12,'1-Input'!$B$12,0))))*(1/(1-'P-Parametri'!$B$6*B225))),MAX(0,2*MAX(0,B176-IF($A225&gt;='1-Input'!$C$12,'1-Input'!$B$12,0))-(F224-MIN(MAX(F224,0),MAX(0,B176-IF($A225&gt;='1-Input'!$C$12,'1-Input'!$B$12,0)))))*(1/(1-'P-Parametri'!$B$6*B225))))</f>
        <v>0</v>
      </c>
      <c r="D225" s="18">
        <f>IF($A225&gt;'1-Input'!$B$26,F224,(F224-MAX(0,B176-IF($A225&gt;='1-Input'!$C$12,'1-Input'!$B$12,0))+C225*(1-'P-Parametri'!$B$6*B225))*(1+'1-Input'!$B$27))</f>
        <v>11117.941430986299</v>
      </c>
      <c r="E225" s="18">
        <f>IF($A225&gt;'1-Input'!$B$26,G224,(G224-C225)*(1+'5-Roberta'!$C$4))</f>
        <v>143180.44430115828</v>
      </c>
      <c r="F225" s="18">
        <f>IF($A225&gt;'1-Input'!$B$26,D225,D225-'P-Parametri'!$B$8*(E225+D225)+MIN(MAX(E225,0),'P-Parametri'!$B$8*(E225+D225)))</f>
        <v>11117.941430986299</v>
      </c>
      <c r="G225" s="18">
        <f>IF($A225&gt;'1-Input'!$B$26,E225,E225-MIN(MAX(E225,0),'P-Parametri'!$B$8*(E225+D225)))</f>
        <v>143180.44430115828</v>
      </c>
      <c r="H225" s="18">
        <f>IF($A225&gt;'1-Input'!$B$26,H224,H224-C225*(1-B225))</f>
        <v>32749.742127333418</v>
      </c>
      <c r="I225" s="11">
        <f>IF($A225&gt;'1-Input'!$B$26,0,IF(N224&lt;=0,0,MAX(0,(N224-O224)/N224)))</f>
        <v>0</v>
      </c>
      <c r="J225" s="18">
        <f>IF($A225&gt;'1-Input'!$B$26,0,(MAX(0,I176-IF($A225&gt;='1-Input'!$C$12,'1-Input'!$B$12,0))-MIN(MAX(M224,0),MAX(0,I176-IF($A225&gt;='1-Input'!$C$12,'1-Input'!$B$12,0))))*(1/(1-'P-Parametri'!$B$6*I225))+MIN(MAX(0,N224-(MAX(0,I176-IF($A225&gt;='1-Input'!$C$12,'1-Input'!$B$12,0))-MIN(MAX(M224,0),MAX(0,I176-IF($A225&gt;='1-Input'!$C$12,'1-Input'!$B$12,0))))*(1/(1-'P-Parametri'!$B$6*I225))),MAX(0,2*MAX(0,I176-IF($A225&gt;='1-Input'!$C$12,'1-Input'!$B$12,0))-(M224-MIN(MAX(M224,0),MAX(0,I176-IF($A225&gt;='1-Input'!$C$12,'1-Input'!$B$12,0)))))*(1/(1-'P-Parametri'!$B$6*I225))))</f>
        <v>0</v>
      </c>
      <c r="K225" s="18">
        <f>IF($A225&gt;'1-Input'!$B$26,M224,(M224-MAX(0,I176-IF($A225&gt;='1-Input'!$C$12,'1-Input'!$B$12,0))+J225*(1-'P-Parametri'!$B$6*I225))*(1+'1-Input'!$B$27))</f>
        <v>0</v>
      </c>
      <c r="L225" s="18">
        <f>IF($A225&gt;'1-Input'!$B$26,N224,(N224-J225)*(1+'5-Roberta'!$C$4))</f>
        <v>-320432.45975698525</v>
      </c>
      <c r="M225" s="18">
        <f>IF($A225&gt;'1-Input'!$B$26,K225,K225-'P-Parametri'!$B$8*(L225+K225)+MIN(MAX(L225,0),'P-Parametri'!$B$8*(L225+K225)))</f>
        <v>0</v>
      </c>
      <c r="N225" s="18">
        <f>IF($A225&gt;'1-Input'!$B$26,L225,L225-MIN(MAX(L225,0),'P-Parametri'!$B$8*(L225+K225)))</f>
        <v>-320432.45975698525</v>
      </c>
      <c r="O225" s="18">
        <f>IF($A225&gt;'1-Input'!$B$26,O224,O224-J225*(1-I225))</f>
        <v>-231973.1481011603</v>
      </c>
      <c r="P225" s="11">
        <f>IF($A225&gt;'1-Input'!$B$26,0,IF(U224&lt;=0,0,MAX(0,(U224-V224)/U224)))</f>
        <v>0</v>
      </c>
      <c r="Q225" s="18">
        <f>IF($A225&gt;'1-Input'!$B$26,0,(MAX(0,P176-IF($A225&gt;='1-Input'!$C$12,'1-Input'!$B$12,0))-MIN(MAX(T224,0),MAX(0,P176-IF($A225&gt;='1-Input'!$C$12,'1-Input'!$B$12,0))))*(1/(1-'P-Parametri'!$B$6*P225))+MIN(MAX(0,U224-(MAX(0,P176-IF($A225&gt;='1-Input'!$C$12,'1-Input'!$B$12,0))-MIN(MAX(T224,0),MAX(0,P176-IF($A225&gt;='1-Input'!$C$12,'1-Input'!$B$12,0))))*(1/(1-'P-Parametri'!$B$6*P225))),MAX(0,2*MAX(0,P176-IF($A225&gt;='1-Input'!$C$12,'1-Input'!$B$12,0))-(T224-MIN(MAX(T224,0),MAX(0,P176-IF($A225&gt;='1-Input'!$C$12,'1-Input'!$B$12,0)))))*(1/(1-'P-Parametri'!$B$6*P225))))</f>
        <v>0</v>
      </c>
      <c r="R225" s="18">
        <f>IF($A225&gt;'1-Input'!$B$26,T224,(T224-MAX(0,P176-IF($A225&gt;='1-Input'!$C$12,'1-Input'!$B$12,0))+Q225*(1-'P-Parametri'!$B$6*P225))*(1+'1-Input'!$B$27))</f>
        <v>0</v>
      </c>
      <c r="S225" s="18">
        <f>IF($A225&gt;'1-Input'!$B$26,U224,(U224-Q225)*(1+'5-Roberta'!$C$4))</f>
        <v>-21278.619519401618</v>
      </c>
      <c r="T225" s="18">
        <f>IF($A225&gt;'1-Input'!$B$26,R225,R225-'P-Parametri'!$B$8*(S225+R225)+MIN(MAX(S225,0),'P-Parametri'!$B$8*(S225+R225)))</f>
        <v>0</v>
      </c>
      <c r="U225" s="18">
        <f>IF($A225&gt;'1-Input'!$B$26,S225,S225-MIN(MAX(S225,0),'P-Parametri'!$B$8*(S225+R225)))</f>
        <v>-21278.619519401618</v>
      </c>
      <c r="V225" s="18">
        <f>IF($A225&gt;'1-Input'!$B$26,V224,V224-Q225*(1-P225))</f>
        <v>-20179.406489557397</v>
      </c>
      <c r="W225" s="11">
        <f>IF($A225&gt;'1-Input'!$B$26,0,IF(AB224&lt;=0,0,MAX(0,(AB224-AC224)/AB224)))</f>
        <v>0</v>
      </c>
      <c r="X225" s="18">
        <f>IF($A225&gt;'1-Input'!$B$26,0,(MAX(0,W176-IF($A225&gt;='1-Input'!$C$12,'1-Input'!$B$12,0))-MIN(MAX(AA224,0),MAX(0,W176-IF($A225&gt;='1-Input'!$C$12,'1-Input'!$B$12,0))))*(1/(1-'P-Parametri'!$B$6*W225))+MIN(MAX(0,AB224-(MAX(0,W176-IF($A225&gt;='1-Input'!$C$12,'1-Input'!$B$12,0))-MIN(MAX(AA224,0),MAX(0,W176-IF($A225&gt;='1-Input'!$C$12,'1-Input'!$B$12,0))))*(1/(1-'P-Parametri'!$B$6*W225))),MAX(0,2*MAX(0,W176-IF($A225&gt;='1-Input'!$C$12,'1-Input'!$B$12,0))-(AA224-MIN(MAX(AA224,0),MAX(0,W176-IF($A225&gt;='1-Input'!$C$12,'1-Input'!$B$12,0)))))*(1/(1-'P-Parametri'!$B$6*W225))))</f>
        <v>0</v>
      </c>
      <c r="Y225" s="18">
        <f>IF($A225&gt;'1-Input'!$B$26,AA224,(AA224-MAX(0,W176-IF($A225&gt;='1-Input'!$C$12,'1-Input'!$B$12,0))+X225*(1-'P-Parametri'!$B$6*W225))*(1+'1-Input'!$B$27))</f>
        <v>0</v>
      </c>
      <c r="Z225" s="18">
        <f>IF($A225&gt;'1-Input'!$B$26,AB224,(AB224-X225)*(1+'5-Roberta'!$C$4))</f>
        <v>-537.07638289478996</v>
      </c>
      <c r="AA225" s="18">
        <f>IF($A225&gt;'1-Input'!$B$26,Y225,Y225-'P-Parametri'!$B$8*(Z225+Y225)+MIN(MAX(Z225,0),'P-Parametri'!$B$8*(Z225+Y225)))</f>
        <v>0</v>
      </c>
      <c r="AB225" s="18">
        <f>IF($A225&gt;'1-Input'!$B$26,Z225,Z225-MIN(MAX(Z225,0),'P-Parametri'!$B$8*(Z225+Y225)))</f>
        <v>-537.07638289478996</v>
      </c>
      <c r="AC225" s="18">
        <f>IF($A225&gt;'1-Input'!$B$26,AC224,AC224-X225*(1-W225))</f>
        <v>-522.47833812750787</v>
      </c>
      <c r="AD225" s="11">
        <f>IF($A225&gt;'1-Input'!$B$26,0,IF(AI224&lt;=0,0,MAX(0,(AI224-AJ224)/AI224)))</f>
        <v>0</v>
      </c>
      <c r="AE225" s="18">
        <f>IF($A225&gt;'1-Input'!$B$26,0,(MAX(0,AD176-IF($A225&gt;='1-Input'!$C$12,'1-Input'!$B$12,0))-MIN(MAX(AH224,0),MAX(0,AD176-IF($A225&gt;='1-Input'!$C$12,'1-Input'!$B$12,0))))*(1/(1-'P-Parametri'!$B$6*AD225))+MIN(MAX(0,AI224-(MAX(0,AD176-IF($A225&gt;='1-Input'!$C$12,'1-Input'!$B$12,0))-MIN(MAX(AH224,0),MAX(0,AD176-IF($A225&gt;='1-Input'!$C$12,'1-Input'!$B$12,0))))*(1/(1-'P-Parametri'!$B$6*AD225))),MAX(0,2*MAX(0,AD176-IF($A225&gt;='1-Input'!$C$12,'1-Input'!$B$12,0))-(AH224-MIN(MAX(AH224,0),MAX(0,AD176-IF($A225&gt;='1-Input'!$C$12,'1-Input'!$B$12,0)))))*(1/(1-'P-Parametri'!$B$6*AD225))))</f>
        <v>0</v>
      </c>
      <c r="AF225" s="18">
        <f>IF($A225&gt;'1-Input'!$B$26,AH224,(AH224-MAX(0,AD176-IF($A225&gt;='1-Input'!$C$12,'1-Input'!$B$12,0))+AE225*(1-'P-Parametri'!$B$6*AD225))*(1+'1-Input'!$B$27))</f>
        <v>9.1279318754793266</v>
      </c>
      <c r="AG225" s="18">
        <f>IF($A225&gt;'1-Input'!$B$26,AI224,(AI224-AE225)*(1+'5-Roberta'!$C$4))</f>
        <v>0</v>
      </c>
      <c r="AH225" s="18">
        <f>IF($A225&gt;'1-Input'!$B$26,AF225,AF225-'P-Parametri'!$B$8*(AG225+AF225)+MIN(MAX(AG225,0),'P-Parametri'!$B$8*(AG225+AF225)))</f>
        <v>9.1279318754793266</v>
      </c>
      <c r="AI225" s="18">
        <f>IF($A225&gt;'1-Input'!$B$26,AG225,AG225-MIN(MAX(AG225,0),'P-Parametri'!$B$8*(AG225+AF225)))</f>
        <v>0</v>
      </c>
      <c r="AJ225" s="18">
        <f>IF($A225&gt;'1-Input'!$B$26,AJ224,AJ224-AE225*(1-AD225))</f>
        <v>0</v>
      </c>
      <c r="AK225" s="11">
        <f>IF($A225&gt;'1-Input'!$B$26,0,IF(AP224&lt;=0,0,MAX(0,(AP224-AQ224)/AP224)))</f>
        <v>0</v>
      </c>
      <c r="AL225" s="18">
        <f>IF($A225&gt;'1-Input'!$B$26,0,(MAX(0,AK176-IF($A225&gt;='1-Input'!$C$12,'1-Input'!$B$12,0))-MIN(MAX(AO224,0),MAX(0,AK176-IF($A225&gt;='1-Input'!$C$12,'1-Input'!$B$12,0))))*(1/(1-'P-Parametri'!$B$6*AK225))+MIN(MAX(0,AP224-(MAX(0,AK176-IF($A225&gt;='1-Input'!$C$12,'1-Input'!$B$12,0))-MIN(MAX(AO224,0),MAX(0,AK176-IF($A225&gt;='1-Input'!$C$12,'1-Input'!$B$12,0))))*(1/(1-'P-Parametri'!$B$6*AK225))),MAX(0,2*MAX(0,AK176-IF($A225&gt;='1-Input'!$C$12,'1-Input'!$B$12,0))-(AO224-MIN(MAX(AO224,0),MAX(0,AK176-IF($A225&gt;='1-Input'!$C$12,'1-Input'!$B$12,0)))))*(1/(1-'P-Parametri'!$B$6*AK225))))</f>
        <v>0</v>
      </c>
      <c r="AM225" s="18">
        <f>IF($A225&gt;'1-Input'!$B$26,AO224,(AO224-MAX(0,AK176-IF($A225&gt;='1-Input'!$C$12,'1-Input'!$B$12,0))+AL225*(1-'P-Parametri'!$B$6*AK225))*(1+'1-Input'!$B$27))</f>
        <v>0.20177128290600468</v>
      </c>
      <c r="AN225" s="18">
        <f>IF($A225&gt;'1-Input'!$B$26,AP224,(AP224-AL225)*(1+'5-Roberta'!$C$4))</f>
        <v>0</v>
      </c>
      <c r="AO225" s="18">
        <f>IF($A225&gt;'1-Input'!$B$26,AM225,AM225-'P-Parametri'!$B$8*(AN225+AM225)+MIN(MAX(AN225,0),'P-Parametri'!$B$8*(AN225+AM225)))</f>
        <v>0.20177128290600468</v>
      </c>
      <c r="AP225" s="18">
        <f>IF($A225&gt;'1-Input'!$B$26,AN225,AN225-MIN(MAX(AN225,0),'P-Parametri'!$B$8*(AN225+AM225)))</f>
        <v>0</v>
      </c>
      <c r="AQ225" s="18">
        <f>IF($A225&gt;'1-Input'!$B$26,AQ224,AQ224-AL225*(1-AK225))</f>
        <v>7.1054273576010019E-15</v>
      </c>
    </row>
    <row r="226" spans="1:43">
      <c r="A226" s="10">
        <f>48</f>
        <v>48</v>
      </c>
      <c r="B226" s="11">
        <f>IF($A226&gt;'1-Input'!$B$26,0,IF(G225&lt;=0,0,MAX(0,(G225-H225)/G225)))</f>
        <v>0</v>
      </c>
      <c r="C226" s="18">
        <f>IF($A226&gt;'1-Input'!$B$26,0,(MAX(0,B176-IF($A226&gt;='1-Input'!$C$12,'1-Input'!$B$12,0))-MIN(MAX(F225,0),MAX(0,B176-IF($A226&gt;='1-Input'!$C$12,'1-Input'!$B$12,0))))*(1/(1-'P-Parametri'!$B$6*B226))+MIN(MAX(0,G225-(MAX(0,B176-IF($A226&gt;='1-Input'!$C$12,'1-Input'!$B$12,0))-MIN(MAX(F225,0),MAX(0,B176-IF($A226&gt;='1-Input'!$C$12,'1-Input'!$B$12,0))))*(1/(1-'P-Parametri'!$B$6*B226))),MAX(0,2*MAX(0,B176-IF($A226&gt;='1-Input'!$C$12,'1-Input'!$B$12,0))-(F225-MIN(MAX(F225,0),MAX(0,B176-IF($A226&gt;='1-Input'!$C$12,'1-Input'!$B$12,0)))))*(1/(1-'P-Parametri'!$B$6*B226))))</f>
        <v>0</v>
      </c>
      <c r="D226" s="18">
        <f>IF($A226&gt;'1-Input'!$B$26,F225,(F225-MAX(0,B176-IF($A226&gt;='1-Input'!$C$12,'1-Input'!$B$12,0))+C226*(1-'P-Parametri'!$B$6*B226))*(1+'1-Input'!$B$27))</f>
        <v>11117.941430986299</v>
      </c>
      <c r="E226" s="18">
        <f>IF($A226&gt;'1-Input'!$B$26,G225,(G225-C226)*(1+'5-Roberta'!$C$4))</f>
        <v>143180.44430115828</v>
      </c>
      <c r="F226" s="18">
        <f>IF($A226&gt;'1-Input'!$B$26,D226,D226-'P-Parametri'!$B$8*(E226+D226)+MIN(MAX(E226,0),'P-Parametri'!$B$8*(E226+D226)))</f>
        <v>11117.941430986299</v>
      </c>
      <c r="G226" s="18">
        <f>IF($A226&gt;'1-Input'!$B$26,E226,E226-MIN(MAX(E226,0),'P-Parametri'!$B$8*(E226+D226)))</f>
        <v>143180.44430115828</v>
      </c>
      <c r="H226" s="18">
        <f>IF($A226&gt;'1-Input'!$B$26,H225,H225-C226*(1-B226))</f>
        <v>32749.742127333418</v>
      </c>
      <c r="I226" s="11">
        <f>IF($A226&gt;'1-Input'!$B$26,0,IF(N225&lt;=0,0,MAX(0,(N225-O225)/N225)))</f>
        <v>0</v>
      </c>
      <c r="J226" s="18">
        <f>IF($A226&gt;'1-Input'!$B$26,0,(MAX(0,I176-IF($A226&gt;='1-Input'!$C$12,'1-Input'!$B$12,0))-MIN(MAX(M225,0),MAX(0,I176-IF($A226&gt;='1-Input'!$C$12,'1-Input'!$B$12,0))))*(1/(1-'P-Parametri'!$B$6*I226))+MIN(MAX(0,N225-(MAX(0,I176-IF($A226&gt;='1-Input'!$C$12,'1-Input'!$B$12,0))-MIN(MAX(M225,0),MAX(0,I176-IF($A226&gt;='1-Input'!$C$12,'1-Input'!$B$12,0))))*(1/(1-'P-Parametri'!$B$6*I226))),MAX(0,2*MAX(0,I176-IF($A226&gt;='1-Input'!$C$12,'1-Input'!$B$12,0))-(M225-MIN(MAX(M225,0),MAX(0,I176-IF($A226&gt;='1-Input'!$C$12,'1-Input'!$B$12,0)))))*(1/(1-'P-Parametri'!$B$6*I226))))</f>
        <v>0</v>
      </c>
      <c r="K226" s="18">
        <f>IF($A226&gt;'1-Input'!$B$26,M225,(M225-MAX(0,I176-IF($A226&gt;='1-Input'!$C$12,'1-Input'!$B$12,0))+J226*(1-'P-Parametri'!$B$6*I226))*(1+'1-Input'!$B$27))</f>
        <v>0</v>
      </c>
      <c r="L226" s="18">
        <f>IF($A226&gt;'1-Input'!$B$26,N225,(N225-J226)*(1+'5-Roberta'!$C$4))</f>
        <v>-320432.45975698525</v>
      </c>
      <c r="M226" s="18">
        <f>IF($A226&gt;'1-Input'!$B$26,K226,K226-'P-Parametri'!$B$8*(L226+K226)+MIN(MAX(L226,0),'P-Parametri'!$B$8*(L226+K226)))</f>
        <v>0</v>
      </c>
      <c r="N226" s="18">
        <f>IF($A226&gt;'1-Input'!$B$26,L226,L226-MIN(MAX(L226,0),'P-Parametri'!$B$8*(L226+K226)))</f>
        <v>-320432.45975698525</v>
      </c>
      <c r="O226" s="18">
        <f>IF($A226&gt;'1-Input'!$B$26,O225,O225-J226*(1-I226))</f>
        <v>-231973.1481011603</v>
      </c>
      <c r="P226" s="11">
        <f>IF($A226&gt;'1-Input'!$B$26,0,IF(U225&lt;=0,0,MAX(0,(U225-V225)/U225)))</f>
        <v>0</v>
      </c>
      <c r="Q226" s="18">
        <f>IF($A226&gt;'1-Input'!$B$26,0,(MAX(0,P176-IF($A226&gt;='1-Input'!$C$12,'1-Input'!$B$12,0))-MIN(MAX(T225,0),MAX(0,P176-IF($A226&gt;='1-Input'!$C$12,'1-Input'!$B$12,0))))*(1/(1-'P-Parametri'!$B$6*P226))+MIN(MAX(0,U225-(MAX(0,P176-IF($A226&gt;='1-Input'!$C$12,'1-Input'!$B$12,0))-MIN(MAX(T225,0),MAX(0,P176-IF($A226&gt;='1-Input'!$C$12,'1-Input'!$B$12,0))))*(1/(1-'P-Parametri'!$B$6*P226))),MAX(0,2*MAX(0,P176-IF($A226&gt;='1-Input'!$C$12,'1-Input'!$B$12,0))-(T225-MIN(MAX(T225,0),MAX(0,P176-IF($A226&gt;='1-Input'!$C$12,'1-Input'!$B$12,0)))))*(1/(1-'P-Parametri'!$B$6*P226))))</f>
        <v>0</v>
      </c>
      <c r="R226" s="18">
        <f>IF($A226&gt;'1-Input'!$B$26,T225,(T225-MAX(0,P176-IF($A226&gt;='1-Input'!$C$12,'1-Input'!$B$12,0))+Q226*(1-'P-Parametri'!$B$6*P226))*(1+'1-Input'!$B$27))</f>
        <v>0</v>
      </c>
      <c r="S226" s="18">
        <f>IF($A226&gt;'1-Input'!$B$26,U225,(U225-Q226)*(1+'5-Roberta'!$C$4))</f>
        <v>-21278.619519401618</v>
      </c>
      <c r="T226" s="18">
        <f>IF($A226&gt;'1-Input'!$B$26,R226,R226-'P-Parametri'!$B$8*(S226+R226)+MIN(MAX(S226,0),'P-Parametri'!$B$8*(S226+R226)))</f>
        <v>0</v>
      </c>
      <c r="U226" s="18">
        <f>IF($A226&gt;'1-Input'!$B$26,S226,S226-MIN(MAX(S226,0),'P-Parametri'!$B$8*(S226+R226)))</f>
        <v>-21278.619519401618</v>
      </c>
      <c r="V226" s="18">
        <f>IF($A226&gt;'1-Input'!$B$26,V225,V225-Q226*(1-P226))</f>
        <v>-20179.406489557397</v>
      </c>
      <c r="W226" s="11">
        <f>IF($A226&gt;'1-Input'!$B$26,0,IF(AB225&lt;=0,0,MAX(0,(AB225-AC225)/AB225)))</f>
        <v>0</v>
      </c>
      <c r="X226" s="18">
        <f>IF($A226&gt;'1-Input'!$B$26,0,(MAX(0,W176-IF($A226&gt;='1-Input'!$C$12,'1-Input'!$B$12,0))-MIN(MAX(AA225,0),MAX(0,W176-IF($A226&gt;='1-Input'!$C$12,'1-Input'!$B$12,0))))*(1/(1-'P-Parametri'!$B$6*W226))+MIN(MAX(0,AB225-(MAX(0,W176-IF($A226&gt;='1-Input'!$C$12,'1-Input'!$B$12,0))-MIN(MAX(AA225,0),MAX(0,W176-IF($A226&gt;='1-Input'!$C$12,'1-Input'!$B$12,0))))*(1/(1-'P-Parametri'!$B$6*W226))),MAX(0,2*MAX(0,W176-IF($A226&gt;='1-Input'!$C$12,'1-Input'!$B$12,0))-(AA225-MIN(MAX(AA225,0),MAX(0,W176-IF($A226&gt;='1-Input'!$C$12,'1-Input'!$B$12,0)))))*(1/(1-'P-Parametri'!$B$6*W226))))</f>
        <v>0</v>
      </c>
      <c r="Y226" s="18">
        <f>IF($A226&gt;'1-Input'!$B$26,AA225,(AA225-MAX(0,W176-IF($A226&gt;='1-Input'!$C$12,'1-Input'!$B$12,0))+X226*(1-'P-Parametri'!$B$6*W226))*(1+'1-Input'!$B$27))</f>
        <v>0</v>
      </c>
      <c r="Z226" s="18">
        <f>IF($A226&gt;'1-Input'!$B$26,AB225,(AB225-X226)*(1+'5-Roberta'!$C$4))</f>
        <v>-537.07638289478996</v>
      </c>
      <c r="AA226" s="18">
        <f>IF($A226&gt;'1-Input'!$B$26,Y226,Y226-'P-Parametri'!$B$8*(Z226+Y226)+MIN(MAX(Z226,0),'P-Parametri'!$B$8*(Z226+Y226)))</f>
        <v>0</v>
      </c>
      <c r="AB226" s="18">
        <f>IF($A226&gt;'1-Input'!$B$26,Z226,Z226-MIN(MAX(Z226,0),'P-Parametri'!$B$8*(Z226+Y226)))</f>
        <v>-537.07638289478996</v>
      </c>
      <c r="AC226" s="18">
        <f>IF($A226&gt;'1-Input'!$B$26,AC225,AC225-X226*(1-W226))</f>
        <v>-522.47833812750787</v>
      </c>
      <c r="AD226" s="11">
        <f>IF($A226&gt;'1-Input'!$B$26,0,IF(AI225&lt;=0,0,MAX(0,(AI225-AJ225)/AI225)))</f>
        <v>0</v>
      </c>
      <c r="AE226" s="18">
        <f>IF($A226&gt;'1-Input'!$B$26,0,(MAX(0,AD176-IF($A226&gt;='1-Input'!$C$12,'1-Input'!$B$12,0))-MIN(MAX(AH225,0),MAX(0,AD176-IF($A226&gt;='1-Input'!$C$12,'1-Input'!$B$12,0))))*(1/(1-'P-Parametri'!$B$6*AD226))+MIN(MAX(0,AI225-(MAX(0,AD176-IF($A226&gt;='1-Input'!$C$12,'1-Input'!$B$12,0))-MIN(MAX(AH225,0),MAX(0,AD176-IF($A226&gt;='1-Input'!$C$12,'1-Input'!$B$12,0))))*(1/(1-'P-Parametri'!$B$6*AD226))),MAX(0,2*MAX(0,AD176-IF($A226&gt;='1-Input'!$C$12,'1-Input'!$B$12,0))-(AH225-MIN(MAX(AH225,0),MAX(0,AD176-IF($A226&gt;='1-Input'!$C$12,'1-Input'!$B$12,0)))))*(1/(1-'P-Parametri'!$B$6*AD226))))</f>
        <v>0</v>
      </c>
      <c r="AF226" s="18">
        <f>IF($A226&gt;'1-Input'!$B$26,AH225,(AH225-MAX(0,AD176-IF($A226&gt;='1-Input'!$C$12,'1-Input'!$B$12,0))+AE226*(1-'P-Parametri'!$B$6*AD226))*(1+'1-Input'!$B$27))</f>
        <v>9.1279318754793266</v>
      </c>
      <c r="AG226" s="18">
        <f>IF($A226&gt;'1-Input'!$B$26,AI225,(AI225-AE226)*(1+'5-Roberta'!$C$4))</f>
        <v>0</v>
      </c>
      <c r="AH226" s="18">
        <f>IF($A226&gt;'1-Input'!$B$26,AF226,AF226-'P-Parametri'!$B$8*(AG226+AF226)+MIN(MAX(AG226,0),'P-Parametri'!$B$8*(AG226+AF226)))</f>
        <v>9.1279318754793266</v>
      </c>
      <c r="AI226" s="18">
        <f>IF($A226&gt;'1-Input'!$B$26,AG226,AG226-MIN(MAX(AG226,0),'P-Parametri'!$B$8*(AG226+AF226)))</f>
        <v>0</v>
      </c>
      <c r="AJ226" s="18">
        <f>IF($A226&gt;'1-Input'!$B$26,AJ225,AJ225-AE226*(1-AD226))</f>
        <v>0</v>
      </c>
      <c r="AK226" s="11">
        <f>IF($A226&gt;'1-Input'!$B$26,0,IF(AP225&lt;=0,0,MAX(0,(AP225-AQ225)/AP225)))</f>
        <v>0</v>
      </c>
      <c r="AL226" s="18">
        <f>IF($A226&gt;'1-Input'!$B$26,0,(MAX(0,AK176-IF($A226&gt;='1-Input'!$C$12,'1-Input'!$B$12,0))-MIN(MAX(AO225,0),MAX(0,AK176-IF($A226&gt;='1-Input'!$C$12,'1-Input'!$B$12,0))))*(1/(1-'P-Parametri'!$B$6*AK226))+MIN(MAX(0,AP225-(MAX(0,AK176-IF($A226&gt;='1-Input'!$C$12,'1-Input'!$B$12,0))-MIN(MAX(AO225,0),MAX(0,AK176-IF($A226&gt;='1-Input'!$C$12,'1-Input'!$B$12,0))))*(1/(1-'P-Parametri'!$B$6*AK226))),MAX(0,2*MAX(0,AK176-IF($A226&gt;='1-Input'!$C$12,'1-Input'!$B$12,0))-(AO225-MIN(MAX(AO225,0),MAX(0,AK176-IF($A226&gt;='1-Input'!$C$12,'1-Input'!$B$12,0)))))*(1/(1-'P-Parametri'!$B$6*AK226))))</f>
        <v>0</v>
      </c>
      <c r="AM226" s="18">
        <f>IF($A226&gt;'1-Input'!$B$26,AO225,(AO225-MAX(0,AK176-IF($A226&gt;='1-Input'!$C$12,'1-Input'!$B$12,0))+AL226*(1-'P-Parametri'!$B$6*AK226))*(1+'1-Input'!$B$27))</f>
        <v>0.20177128290600468</v>
      </c>
      <c r="AN226" s="18">
        <f>IF($A226&gt;'1-Input'!$B$26,AP225,(AP225-AL226)*(1+'5-Roberta'!$C$4))</f>
        <v>0</v>
      </c>
      <c r="AO226" s="18">
        <f>IF($A226&gt;'1-Input'!$B$26,AM226,AM226-'P-Parametri'!$B$8*(AN226+AM226)+MIN(MAX(AN226,0),'P-Parametri'!$B$8*(AN226+AM226)))</f>
        <v>0.20177128290600468</v>
      </c>
      <c r="AP226" s="18">
        <f>IF($A226&gt;'1-Input'!$B$26,AN226,AN226-MIN(MAX(AN226,0),'P-Parametri'!$B$8*(AN226+AM226)))</f>
        <v>0</v>
      </c>
      <c r="AQ226" s="18">
        <f>IF($A226&gt;'1-Input'!$B$26,AQ225,AQ225-AL226*(1-AK226))</f>
        <v>7.1054273576010019E-15</v>
      </c>
    </row>
    <row r="227" spans="1:43">
      <c r="A227" s="4" t="s">
        <v>365</v>
      </c>
      <c r="B227" s="18">
        <f>F226+G226</f>
        <v>154298.38573214458</v>
      </c>
      <c r="I227" s="18">
        <f>M226+N226</f>
        <v>-320432.45975698525</v>
      </c>
      <c r="P227" s="18">
        <f>T226+U226</f>
        <v>-21278.619519401618</v>
      </c>
      <c r="W227" s="18">
        <f>AA226+AB226</f>
        <v>-537.07638289478996</v>
      </c>
      <c r="AD227" s="18">
        <f>AH226+AI226</f>
        <v>9.1279318754793266</v>
      </c>
      <c r="AK227" s="18">
        <f>AO226+AP226</f>
        <v>0.20177128290600468</v>
      </c>
    </row>
    <row r="228" spans="1:43">
      <c r="A228" s="5" t="s">
        <v>266</v>
      </c>
      <c r="B228" s="18">
        <f>IFERROR(AK176-AK227*(AK176-AD176)/(AK227-AD227),AK176)</f>
        <v>18133.836127058927</v>
      </c>
    </row>
    <row r="230" spans="1:43">
      <c r="A230" s="2" t="s">
        <v>547</v>
      </c>
    </row>
    <row r="231" spans="1:43">
      <c r="A231" s="4" t="s">
        <v>360</v>
      </c>
      <c r="B231" s="9">
        <f>0.038*'2-Caso'!$B$12</f>
        <v>16681.055314625803</v>
      </c>
      <c r="I231" s="9">
        <f>0.05*'2-Caso'!$B$12</f>
        <v>21948.756992928691</v>
      </c>
      <c r="P231" s="18">
        <f>IFERROR(I231-I282*(I231-B231)/(I282-B282),I231)</f>
        <v>18020.029521976205</v>
      </c>
      <c r="W231" s="18">
        <f>IFERROR(P231-P282*(P231-I231)/(P282-I282),P231)</f>
        <v>17795.87734299427</v>
      </c>
      <c r="AD231" s="18">
        <f>IFERROR(W231-W282*(W231-P231)/(W282-P282),W231)</f>
        <v>17791.378560332912</v>
      </c>
      <c r="AK231" s="18">
        <f>IFERROR(AD231-AD282*(AD231-W231)/(AD282-W282),AD231)</f>
        <v>17791.56395177939</v>
      </c>
    </row>
    <row r="232" spans="1:43" ht="30">
      <c r="A232" s="25" t="s">
        <v>262</v>
      </c>
      <c r="B232" s="25" t="s">
        <v>361</v>
      </c>
      <c r="C232" s="25" t="s">
        <v>263</v>
      </c>
      <c r="D232" s="25" t="s">
        <v>362</v>
      </c>
      <c r="E232" s="25" t="s">
        <v>363</v>
      </c>
      <c r="F232" s="25" t="s">
        <v>264</v>
      </c>
      <c r="G232" s="25" t="s">
        <v>265</v>
      </c>
      <c r="H232" s="25" t="s">
        <v>364</v>
      </c>
      <c r="I232" s="25" t="s">
        <v>361</v>
      </c>
      <c r="J232" s="25" t="s">
        <v>263</v>
      </c>
      <c r="K232" s="25" t="s">
        <v>362</v>
      </c>
      <c r="L232" s="25" t="s">
        <v>363</v>
      </c>
      <c r="M232" s="25" t="s">
        <v>264</v>
      </c>
      <c r="N232" s="25" t="s">
        <v>265</v>
      </c>
      <c r="O232" s="25" t="s">
        <v>364</v>
      </c>
      <c r="P232" s="25" t="s">
        <v>361</v>
      </c>
      <c r="Q232" s="25" t="s">
        <v>263</v>
      </c>
      <c r="R232" s="25" t="s">
        <v>362</v>
      </c>
      <c r="S232" s="25" t="s">
        <v>363</v>
      </c>
      <c r="T232" s="25" t="s">
        <v>264</v>
      </c>
      <c r="U232" s="25" t="s">
        <v>265</v>
      </c>
      <c r="V232" s="25" t="s">
        <v>364</v>
      </c>
      <c r="W232" s="25" t="s">
        <v>361</v>
      </c>
      <c r="X232" s="25" t="s">
        <v>263</v>
      </c>
      <c r="Y232" s="25" t="s">
        <v>362</v>
      </c>
      <c r="Z232" s="25" t="s">
        <v>363</v>
      </c>
      <c r="AA232" s="25" t="s">
        <v>264</v>
      </c>
      <c r="AB232" s="25" t="s">
        <v>265</v>
      </c>
      <c r="AC232" s="25" t="s">
        <v>364</v>
      </c>
      <c r="AD232" s="25" t="s">
        <v>361</v>
      </c>
      <c r="AE232" s="25" t="s">
        <v>263</v>
      </c>
      <c r="AF232" s="25" t="s">
        <v>362</v>
      </c>
      <c r="AG232" s="25" t="s">
        <v>363</v>
      </c>
      <c r="AH232" s="25" t="s">
        <v>264</v>
      </c>
      <c r="AI232" s="25" t="s">
        <v>265</v>
      </c>
      <c r="AJ232" s="25" t="s">
        <v>364</v>
      </c>
      <c r="AK232" s="25" t="s">
        <v>361</v>
      </c>
      <c r="AL232" s="25" t="s">
        <v>263</v>
      </c>
      <c r="AM232" s="25" t="s">
        <v>362</v>
      </c>
      <c r="AN232" s="25" t="s">
        <v>363</v>
      </c>
      <c r="AO232" s="25" t="s">
        <v>264</v>
      </c>
      <c r="AP232" s="25" t="s">
        <v>265</v>
      </c>
      <c r="AQ232" s="25" t="s">
        <v>364</v>
      </c>
    </row>
    <row r="233" spans="1:43">
      <c r="A233" s="3">
        <v>0</v>
      </c>
      <c r="F233" s="18">
        <f>MIN(3*B231,'2-Caso'!$B$12)</f>
        <v>50043.165943877408</v>
      </c>
      <c r="G233" s="18">
        <f>'2-Caso'!$B$12-F233</f>
        <v>388931.97391469637</v>
      </c>
      <c r="H233" s="18">
        <f>'2-Caso'!$B$13*G233/'2-Caso'!$B$12</f>
        <v>304784</v>
      </c>
      <c r="M233" s="18">
        <f>MIN(3*I231,'2-Caso'!$B$12)</f>
        <v>65846.27097878608</v>
      </c>
      <c r="N233" s="18">
        <f>'2-Caso'!$B$12-M233</f>
        <v>373128.86887978774</v>
      </c>
      <c r="O233" s="18">
        <f>'2-Caso'!$B$13*N233/'2-Caso'!$B$12</f>
        <v>292400</v>
      </c>
      <c r="T233" s="18">
        <f>MIN(3*P231,'2-Caso'!$B$12)</f>
        <v>54060.088565928614</v>
      </c>
      <c r="U233" s="18">
        <f>'2-Caso'!$B$12-T233</f>
        <v>384915.05129264516</v>
      </c>
      <c r="V233" s="18">
        <f>'2-Caso'!$B$13*U233/'2-Caso'!$B$12</f>
        <v>301636.16483459447</v>
      </c>
      <c r="AA233" s="18">
        <f>MIN(3*W231,'2-Caso'!$B$12)</f>
        <v>53387.632028982815</v>
      </c>
      <c r="AB233" s="18">
        <f>'2-Caso'!$B$12-AA233</f>
        <v>385587.50782959099</v>
      </c>
      <c r="AC233" s="18">
        <f>'2-Caso'!$B$13*AB233/'2-Caso'!$B$12</f>
        <v>302163.13100580842</v>
      </c>
      <c r="AH233" s="18">
        <f>MIN(3*AD231,'2-Caso'!$B$12)</f>
        <v>53374.135680998734</v>
      </c>
      <c r="AI233" s="18">
        <f>'2-Caso'!$B$12-AH233</f>
        <v>385601.00417757506</v>
      </c>
      <c r="AJ233" s="18">
        <f>'2-Caso'!$B$13*AI233/'2-Caso'!$B$12</f>
        <v>302173.70733071829</v>
      </c>
      <c r="AO233" s="18">
        <f>MIN(3*AK231,'2-Caso'!$B$12)</f>
        <v>53374.691855338169</v>
      </c>
      <c r="AP233" s="18">
        <f>'2-Caso'!$B$12-AO233</f>
        <v>385600.44800323562</v>
      </c>
      <c r="AQ233" s="18">
        <f>'2-Caso'!$B$13*AP233/'2-Caso'!$B$12</f>
        <v>302173.27148833137</v>
      </c>
    </row>
    <row r="234" spans="1:43">
      <c r="A234" s="10">
        <f>1</f>
        <v>1</v>
      </c>
      <c r="B234" s="11">
        <f>IF($A234&gt;'1-Input'!$B$26,0,IF(G233&lt;=0,0,MAX(0,(G233-H233)/G233)))</f>
        <v>0.21635653419729478</v>
      </c>
      <c r="C234" s="18">
        <f>IF($A234&gt;'1-Input'!$B$26,0,(MAX(0,B231-IF($A234&gt;='1-Input'!$C$12,'1-Input'!$B$12,0))-MIN(MAX(F233,0),MAX(0,B231-IF($A234&gt;='1-Input'!$C$12,'1-Input'!$B$12,0))))*(1/(1-'P-Parametri'!$B$6*B234))+MIN(MAX(0,G233-(MAX(0,B231-IF($A234&gt;='1-Input'!$C$12,'1-Input'!$B$12,0))-MIN(MAX(F233,0),MAX(0,B231-IF($A234&gt;='1-Input'!$C$12,'1-Input'!$B$12,0))))*(1/(1-'P-Parametri'!$B$6*B234))),MAX(0,3*MAX(0,B231-IF($A234&gt;='1-Input'!$C$12,'1-Input'!$B$12,0))-(F233-MIN(MAX(F233,0),MAX(0,B231-IF($A234&gt;='1-Input'!$C$12,'1-Input'!$B$12,0)))))*(1/(1-'P-Parametri'!$B$6*B234))))</f>
        <v>17675.340946701614</v>
      </c>
      <c r="D234" s="18">
        <f>IF($A234&gt;'1-Input'!$B$26,F233,(F233-MAX(0,B231-IF($A234&gt;='1-Input'!$C$12,'1-Input'!$B$12,0))+C234*(1-'P-Parametri'!$B$6*B234))*(1+'1-Input'!$B$27))</f>
        <v>49863.010546479447</v>
      </c>
      <c r="E234" s="18">
        <f>IF($A234&gt;'1-Input'!$B$26,G233,(G233-C234)*(1+'5-Roberta'!$C$4))</f>
        <v>382394.33195703465</v>
      </c>
      <c r="F234" s="18">
        <f>IF($A234&gt;'1-Input'!$B$26,D234,D234-'P-Parametri'!$B$8*(E234+D234)+MIN(MAX(E234,0),'P-Parametri'!$B$8*(E234+D234)))</f>
        <v>49863.010546479447</v>
      </c>
      <c r="G234" s="18">
        <f>IF($A234&gt;'1-Input'!$B$26,E234,E234-MIN(MAX(E234,0),'P-Parametri'!$B$8*(E234+D234)))</f>
        <v>381529.81727202761</v>
      </c>
      <c r="H234" s="18">
        <f>IF($A234&gt;'1-Input'!$B$26,H233,H233-C234*(1-B234))</f>
        <v>290932.8345612823</v>
      </c>
      <c r="I234" s="11">
        <f>IF($A234&gt;'1-Input'!$B$26,0,IF(N233&lt;=0,0,MAX(0,(N233-O233)/N233)))</f>
        <v>0.21635653419729484</v>
      </c>
      <c r="J234" s="18">
        <f>IF($A234&gt;'1-Input'!$B$26,0,(MAX(0,I231-IF($A234&gt;='1-Input'!$C$12,'1-Input'!$B$12,0))-MIN(MAX(M233,0),MAX(0,I231-IF($A234&gt;='1-Input'!$C$12,'1-Input'!$B$12,0))))*(1/(1-'P-Parametri'!$B$6*I234))+MIN(MAX(0,N233-(MAX(0,I231-IF($A234&gt;='1-Input'!$C$12,'1-Input'!$B$12,0))-MIN(MAX(M233,0),MAX(0,I231-IF($A234&gt;='1-Input'!$C$12,'1-Input'!$B$12,0))))*(1/(1-'P-Parametri'!$B$6*I234))),MAX(0,3*MAX(0,I231-IF($A234&gt;='1-Input'!$C$12,'1-Input'!$B$12,0))-(M233-MIN(MAX(M233,0),MAX(0,I231-IF($A234&gt;='1-Input'!$C$12,'1-Input'!$B$12,0)))))*(1/(1-'P-Parametri'!$B$6*I234))))</f>
        <v>23257.027561449497</v>
      </c>
      <c r="K234" s="18">
        <f>IF($A234&gt;'1-Input'!$B$26,M233,(M233-MAX(0,I231-IF($A234&gt;='1-Input'!$C$12,'1-Input'!$B$12,0))+J234*(1-'P-Parametri'!$B$6*I234))*(1+'1-Input'!$B$27))</f>
        <v>65609.224403262444</v>
      </c>
      <c r="L234" s="18">
        <f>IF($A234&gt;'1-Input'!$B$26,N233,(N233-J234)*(1+'5-Roberta'!$C$4))</f>
        <v>360367.9965578884</v>
      </c>
      <c r="M234" s="18">
        <f>IF($A234&gt;'1-Input'!$B$26,K234,K234-'P-Parametri'!$B$8*(L234+K234)+MIN(MAX(L234,0),'P-Parametri'!$B$8*(L234+K234)))</f>
        <v>65609.224403262444</v>
      </c>
      <c r="N234" s="18">
        <f>IF($A234&gt;'1-Input'!$B$26,L234,L234-MIN(MAX(L234,0),'P-Parametri'!$B$8*(L234+K234)))</f>
        <v>359516.04211596609</v>
      </c>
      <c r="O234" s="18">
        <f>IF($A234&gt;'1-Input'!$B$26,O233,O233-J234*(1-I234))</f>
        <v>274174.7823174767</v>
      </c>
      <c r="P234" s="11">
        <f>IF($A234&gt;'1-Input'!$B$26,0,IF(U233&lt;=0,0,MAX(0,(U233-V233)/U233)))</f>
        <v>0.21635653419729486</v>
      </c>
      <c r="Q234" s="18">
        <f>IF($A234&gt;'1-Input'!$B$26,0,(MAX(0,P231-IF($A234&gt;='1-Input'!$C$12,'1-Input'!$B$12,0))-MIN(MAX(T233,0),MAX(0,P231-IF($A234&gt;='1-Input'!$C$12,'1-Input'!$B$12,0))))*(1/(1-'P-Parametri'!$B$6*P234))+MIN(MAX(0,U233-(MAX(0,P231-IF($A234&gt;='1-Input'!$C$12,'1-Input'!$B$12,0))-MIN(MAX(T233,0),MAX(0,P231-IF($A234&gt;='1-Input'!$C$12,'1-Input'!$B$12,0))))*(1/(1-'P-Parametri'!$B$6*P234))),MAX(0,3*MAX(0,P231-IF($A234&gt;='1-Input'!$C$12,'1-Input'!$B$12,0))-(T233-MIN(MAX(T233,0),MAX(0,P231-IF($A234&gt;='1-Input'!$C$12,'1-Input'!$B$12,0)))))*(1/(1-'P-Parametri'!$B$6*P234))))</f>
        <v>19094.125621134473</v>
      </c>
      <c r="R234" s="18">
        <f>IF($A234&gt;'1-Input'!$B$26,T233,(T233-MAX(0,P231-IF($A234&gt;='1-Input'!$C$12,'1-Input'!$B$12,0))+Q234*(1-'P-Parametri'!$B$6*P234))*(1+'1-Input'!$B$27))</f>
        <v>53865.472247091267</v>
      </c>
      <c r="S234" s="18">
        <f>IF($A234&gt;'1-Input'!$B$26,U233,(U233-Q234)*(1+'5-Roberta'!$C$4))</f>
        <v>376795.553441656</v>
      </c>
      <c r="T234" s="18">
        <f>IF($A234&gt;'1-Input'!$B$26,R234,R234-'P-Parametri'!$B$8*(S234+R234)+MIN(MAX(S234,0),'P-Parametri'!$B$8*(S234+R234)))</f>
        <v>53865.472247091267</v>
      </c>
      <c r="U234" s="18">
        <f>IF($A234&gt;'1-Input'!$B$26,S234,S234-MIN(MAX(S234,0),'P-Parametri'!$B$8*(S234+R234)))</f>
        <v>375934.2313902785</v>
      </c>
      <c r="V234" s="18">
        <f>IF($A234&gt;'1-Input'!$B$26,V233,V233-Q234*(1-P234))</f>
        <v>286673.1780563764</v>
      </c>
      <c r="W234" s="11">
        <f>IF($A234&gt;'1-Input'!$B$26,0,IF(AB233&lt;=0,0,MAX(0,(AB233-AC233)/AB233)))</f>
        <v>0.21635653419729478</v>
      </c>
      <c r="X234" s="18">
        <f>IF($A234&gt;'1-Input'!$B$26,0,(MAX(0,W231-IF($A234&gt;='1-Input'!$C$12,'1-Input'!$B$12,0))-MIN(MAX(AA233,0),MAX(0,W231-IF($A234&gt;='1-Input'!$C$12,'1-Input'!$B$12,0))))*(1/(1-'P-Parametri'!$B$6*W234))+MIN(MAX(0,AB233-(MAX(0,W231-IF($A234&gt;='1-Input'!$C$12,'1-Input'!$B$12,0))-MIN(MAX(AA233,0),MAX(0,W231-IF($A234&gt;='1-Input'!$C$12,'1-Input'!$B$12,0))))*(1/(1-'P-Parametri'!$B$6*W234))),MAX(0,3*MAX(0,W231-IF($A234&gt;='1-Input'!$C$12,'1-Input'!$B$12,0))-(AA233-MIN(MAX(AA233,0),MAX(0,W231-IF($A234&gt;='1-Input'!$C$12,'1-Input'!$B$12,0)))))*(1/(1-'P-Parametri'!$B$6*W234))))</f>
        <v>18856.612699276466</v>
      </c>
      <c r="Y234" s="18">
        <f>IF($A234&gt;'1-Input'!$B$26,AA233,(AA233-MAX(0,W231-IF($A234&gt;='1-Input'!$C$12,'1-Input'!$B$12,0))+X234*(1-'P-Parametri'!$B$6*W234))*(1+'1-Input'!$B$27))</f>
        <v>53195.436553678475</v>
      </c>
      <c r="Z234" s="18">
        <f>IF($A234&gt;'1-Input'!$B$26,AB233,(AB233-X234)*(1+'5-Roberta'!$C$4))</f>
        <v>377732.82198422396</v>
      </c>
      <c r="AA234" s="18">
        <f>IF($A234&gt;'1-Input'!$B$26,Y234,Y234-'P-Parametri'!$B$8*(Z234+Y234)+MIN(MAX(Z234,0),'P-Parametri'!$B$8*(Z234+Y234)))</f>
        <v>53195.436553678475</v>
      </c>
      <c r="AB234" s="18">
        <f>IF($A234&gt;'1-Input'!$B$26,Z234,Z234-MIN(MAX(Z234,0),'P-Parametri'!$B$8*(Z234+Y234)))</f>
        <v>376870.96546714817</v>
      </c>
      <c r="AC234" s="18">
        <f>IF($A234&gt;'1-Input'!$B$26,AC233,AC233-X234*(1-W234))</f>
        <v>287386.26967684808</v>
      </c>
      <c r="AD234" s="11">
        <f>IF($A234&gt;'1-Input'!$B$26,0,IF(AI233&lt;=0,0,MAX(0,(AI233-AJ233)/AI233)))</f>
        <v>0.21635653419729489</v>
      </c>
      <c r="AE234" s="18">
        <f>IF($A234&gt;'1-Input'!$B$26,0,(MAX(0,AD231-IF($A234&gt;='1-Input'!$C$12,'1-Input'!$B$12,0))-MIN(MAX(AH233,0),MAX(0,AD231-IF($A234&gt;='1-Input'!$C$12,'1-Input'!$B$12,0))))*(1/(1-'P-Parametri'!$B$6*AD234))+MIN(MAX(0,AI233-(MAX(0,AD231-IF($A234&gt;='1-Input'!$C$12,'1-Input'!$B$12,0))-MIN(MAX(AH233,0),MAX(0,AD231-IF($A234&gt;='1-Input'!$C$12,'1-Input'!$B$12,0))))*(1/(1-'P-Parametri'!$B$6*AD234))),MAX(0,3*MAX(0,AD231-IF($A234&gt;='1-Input'!$C$12,'1-Input'!$B$12,0))-(AH233-MIN(MAX(AH233,0),MAX(0,AD231-IF($A234&gt;='1-Input'!$C$12,'1-Input'!$B$12,0)))))*(1/(1-'P-Parametri'!$B$6*AD234))))</f>
        <v>18851.845763618938</v>
      </c>
      <c r="AF234" s="18">
        <f>IF($A234&gt;'1-Input'!$B$26,AH233,(AH233-MAX(0,AD231-IF($A234&gt;='1-Input'!$C$12,'1-Input'!$B$12,0))+AE234*(1-'P-Parametri'!$B$6*AD234))*(1+'1-Input'!$B$27))</f>
        <v>53181.988792547134</v>
      </c>
      <c r="AG234" s="18">
        <f>IF($A234&gt;'1-Input'!$B$26,AI233,(AI233-AE234)*(1+'5-Roberta'!$C$4))</f>
        <v>377751.63316637481</v>
      </c>
      <c r="AH234" s="18">
        <f>IF($A234&gt;'1-Input'!$B$26,AF234,AF234-'P-Parametri'!$B$8*(AG234+AF234)+MIN(MAX(AG234,0),'P-Parametri'!$B$8*(AG234+AF234)))</f>
        <v>53181.988792547134</v>
      </c>
      <c r="AI234" s="18">
        <f>IF($A234&gt;'1-Input'!$B$26,AG234,AG234-MIN(MAX(AG234,0),'P-Parametri'!$B$8*(AG234+AF234)))</f>
        <v>376889.76592245698</v>
      </c>
      <c r="AJ234" s="18">
        <f>IF($A234&gt;'1-Input'!$B$26,AJ233,AJ233-AE234*(1-AD234))</f>
        <v>287400.58157973789</v>
      </c>
      <c r="AK234" s="11">
        <f>IF($A234&gt;'1-Input'!$B$26,0,IF(AP233&lt;=0,0,MAX(0,(AP233-AQ233)/AP233)))</f>
        <v>0.21635653419729481</v>
      </c>
      <c r="AL234" s="18">
        <f>IF($A234&gt;'1-Input'!$B$26,0,(MAX(0,AK231-IF($A234&gt;='1-Input'!$C$12,'1-Input'!$B$12,0))-MIN(MAX(AO233,0),MAX(0,AK231-IF($A234&gt;='1-Input'!$C$12,'1-Input'!$B$12,0))))*(1/(1-'P-Parametri'!$B$6*AK234))+MIN(MAX(0,AP233-(MAX(0,AK231-IF($A234&gt;='1-Input'!$C$12,'1-Input'!$B$12,0))-MIN(MAX(AO233,0),MAX(0,AK231-IF($A234&gt;='1-Input'!$C$12,'1-Input'!$B$12,0))))*(1/(1-'P-Parametri'!$B$6*AK234))),MAX(0,3*MAX(0,AK231-IF($A234&gt;='1-Input'!$C$12,'1-Input'!$B$12,0))-(AO233-MIN(MAX(AO233,0),MAX(0,AK231-IF($A234&gt;='1-Input'!$C$12,'1-Input'!$B$12,0)))))*(1/(1-'P-Parametri'!$B$6*AK234))))</f>
        <v>18852.042205448499</v>
      </c>
      <c r="AM234" s="18">
        <f>IF($A234&gt;'1-Input'!$B$26,AO233,(AO233-MAX(0,AK231-IF($A234&gt;='1-Input'!$C$12,'1-Input'!$B$12,0))+AL234*(1-'P-Parametri'!$B$6*AK234))*(1+'1-Input'!$B$27))</f>
        <v>53182.542964658947</v>
      </c>
      <c r="AN234" s="18">
        <f>IF($A234&gt;'1-Input'!$B$26,AP233,(AP233-AL234)*(1+'5-Roberta'!$C$4))</f>
        <v>377750.85797172075</v>
      </c>
      <c r="AO234" s="18">
        <f>IF($A234&gt;'1-Input'!$B$26,AM234,AM234-'P-Parametri'!$B$8*(AN234+AM234)+MIN(MAX(AN234,0),'P-Parametri'!$B$8*(AN234+AM234)))</f>
        <v>53182.542964658947</v>
      </c>
      <c r="AP234" s="18">
        <f>IF($A234&gt;'1-Input'!$B$26,AN234,AN234-MIN(MAX(AN234,0),'P-Parametri'!$B$8*(AN234+AM234)))</f>
        <v>376888.99116984801</v>
      </c>
      <c r="AQ234" s="18">
        <f>IF($A234&gt;'1-Input'!$B$26,AQ233,AQ233-AL234*(1-AK234))</f>
        <v>287399.99179699481</v>
      </c>
    </row>
    <row r="235" spans="1:43">
      <c r="A235" s="10">
        <f>2</f>
        <v>2</v>
      </c>
      <c r="B235" s="11">
        <f>IF($A235&gt;'1-Input'!$B$26,0,IF(G234&lt;=0,0,MAX(0,(G234-H234)/G234)))</f>
        <v>0.2374571491122813</v>
      </c>
      <c r="C235" s="18">
        <f>IF($A235&gt;'1-Input'!$B$26,0,(MAX(0,B231-IF($A235&gt;='1-Input'!$C$12,'1-Input'!$B$12,0))-MIN(MAX(F234,0),MAX(0,B231-IF($A235&gt;='1-Input'!$C$12,'1-Input'!$B$12,0))))*(1/(1-'P-Parametri'!$B$6*B235))+MIN(MAX(0,G234-(MAX(0,B231-IF($A235&gt;='1-Input'!$C$12,'1-Input'!$B$12,0))-MIN(MAX(F234,0),MAX(0,B231-IF($A235&gt;='1-Input'!$C$12,'1-Input'!$B$12,0))))*(1/(1-'P-Parametri'!$B$6*B235))),MAX(0,3*MAX(0,B231-IF($A235&gt;='1-Input'!$C$12,'1-Input'!$B$12,0))-(F234-MIN(MAX(F234,0),MAX(0,B231-IF($A235&gt;='1-Input'!$C$12,'1-Input'!$B$12,0)))))*(1/(1-'P-Parametri'!$B$6*B235))))</f>
        <v>17970.701301670986</v>
      </c>
      <c r="D235" s="18">
        <f>IF($A235&gt;'1-Input'!$B$26,F234,(F234-MAX(0,B231-IF($A235&gt;='1-Input'!$C$12,'1-Input'!$B$12,0))+C235*(1-'P-Parametri'!$B$6*B235))*(1+'1-Input'!$B$27))</f>
        <v>49863.010546479447</v>
      </c>
      <c r="E235" s="18">
        <f>IF($A235&gt;'1-Input'!$B$26,G234,(G234-C235)*(1+'5-Roberta'!$C$4))</f>
        <v>374465.88944946736</v>
      </c>
      <c r="F235" s="18">
        <f>IF($A235&gt;'1-Input'!$B$26,D235,D235-'P-Parametri'!$B$8*(E235+D235)+MIN(MAX(E235,0),'P-Parametri'!$B$8*(E235+D235)))</f>
        <v>49863.010546479447</v>
      </c>
      <c r="G235" s="18">
        <f>IF($A235&gt;'1-Input'!$B$26,E235,E235-MIN(MAX(E235,0),'P-Parametri'!$B$8*(E235+D235)))</f>
        <v>373617.23164947546</v>
      </c>
      <c r="H235" s="18">
        <f>IF($A235&gt;'1-Input'!$B$26,H234,H234-C235*(1-B235))</f>
        <v>277229.40475825447</v>
      </c>
      <c r="I235" s="11">
        <f>IF($A235&gt;'1-Input'!$B$26,0,IF(N234&lt;=0,0,MAX(0,(N234-O234)/N234)))</f>
        <v>0.23737816898574327</v>
      </c>
      <c r="J235" s="18">
        <f>IF($A235&gt;'1-Input'!$B$26,0,(MAX(0,I231-IF($A235&gt;='1-Input'!$C$12,'1-Input'!$B$12,0))-MIN(MAX(M234,0),MAX(0,I231-IF($A235&gt;='1-Input'!$C$12,'1-Input'!$B$12,0))))*(1/(1-'P-Parametri'!$B$6*I235))+MIN(MAX(0,N234-(MAX(0,I231-IF($A235&gt;='1-Input'!$C$12,'1-Input'!$B$12,0))-MIN(MAX(M234,0),MAX(0,I231-IF($A235&gt;='1-Input'!$C$12,'1-Input'!$B$12,0))))*(1/(1-'P-Parametri'!$B$6*I235))),MAX(0,3*MAX(0,I231-IF($A235&gt;='1-Input'!$C$12,'1-Input'!$B$12,0))-(M234-MIN(MAX(M234,0),MAX(0,I231-IF($A235&gt;='1-Input'!$C$12,'1-Input'!$B$12,0)))))*(1/(1-'P-Parametri'!$B$6*I235))))</f>
        <v>23645.142108632605</v>
      </c>
      <c r="K235" s="18">
        <f>IF($A235&gt;'1-Input'!$B$26,M234,(M234-MAX(0,I231-IF($A235&gt;='1-Input'!$C$12,'1-Input'!$B$12,0))+J235*(1-'P-Parametri'!$B$6*I235))*(1+'1-Input'!$B$27))</f>
        <v>65609.224403262444</v>
      </c>
      <c r="L235" s="18">
        <f>IF($A235&gt;'1-Input'!$B$26,N234,(N234-J235)*(1+'5-Roberta'!$C$4))</f>
        <v>345947.02700755349</v>
      </c>
      <c r="M235" s="18">
        <f>IF($A235&gt;'1-Input'!$B$26,K235,K235-'P-Parametri'!$B$8*(L235+K235)+MIN(MAX(L235,0),'P-Parametri'!$B$8*(L235+K235)))</f>
        <v>65609.224403262444</v>
      </c>
      <c r="N235" s="18">
        <f>IF($A235&gt;'1-Input'!$B$26,L235,L235-MIN(MAX(L235,0),'P-Parametri'!$B$8*(L235+K235)))</f>
        <v>345123.91450473189</v>
      </c>
      <c r="O235" s="18">
        <f>IF($A235&gt;'1-Input'!$B$26,O234,O234-J235*(1-I235))</f>
        <v>256142.48074799898</v>
      </c>
      <c r="P235" s="11">
        <f>IF($A235&gt;'1-Input'!$B$26,0,IF(U234&lt;=0,0,MAX(0,(U234-V234)/U234)))</f>
        <v>0.23743795026006867</v>
      </c>
      <c r="Q235" s="18">
        <f>IF($A235&gt;'1-Input'!$B$26,0,(MAX(0,P231-IF($A235&gt;='1-Input'!$C$12,'1-Input'!$B$12,0))-MIN(MAX(T234,0),MAX(0,P231-IF($A235&gt;='1-Input'!$C$12,'1-Input'!$B$12,0))))*(1/(1-'P-Parametri'!$B$6*P235))+MIN(MAX(0,U234-(MAX(0,P231-IF($A235&gt;='1-Input'!$C$12,'1-Input'!$B$12,0))-MIN(MAX(T234,0),MAX(0,P231-IF($A235&gt;='1-Input'!$C$12,'1-Input'!$B$12,0))))*(1/(1-'P-Parametri'!$B$6*P235))),MAX(0,3*MAX(0,P231-IF($A235&gt;='1-Input'!$C$12,'1-Input'!$B$12,0))-(T234-MIN(MAX(T234,0),MAX(0,P231-IF($A235&gt;='1-Input'!$C$12,'1-Input'!$B$12,0)))))*(1/(1-'P-Parametri'!$B$6*P235))))</f>
        <v>19413.091021293661</v>
      </c>
      <c r="R235" s="18">
        <f>IF($A235&gt;'1-Input'!$B$26,T234,(T234-MAX(0,P231-IF($A235&gt;='1-Input'!$C$12,'1-Input'!$B$12,0))+Q235*(1-'P-Parametri'!$B$6*P235))*(1+'1-Input'!$B$27))</f>
        <v>53865.472247091267</v>
      </c>
      <c r="S235" s="18">
        <f>IF($A235&gt;'1-Input'!$B$26,U234,(U234-Q235)*(1+'5-Roberta'!$C$4))</f>
        <v>367216.77458005439</v>
      </c>
      <c r="T235" s="18">
        <f>IF($A235&gt;'1-Input'!$B$26,R235,R235-'P-Parametri'!$B$8*(S235+R235)+MIN(MAX(S235,0),'P-Parametri'!$B$8*(S235+R235)))</f>
        <v>53865.472247091267</v>
      </c>
      <c r="U235" s="18">
        <f>IF($A235&gt;'1-Input'!$B$26,S235,S235-MIN(MAX(S235,0),'P-Parametri'!$B$8*(S235+R235)))</f>
        <v>366374.61008640012</v>
      </c>
      <c r="V235" s="18">
        <f>IF($A235&gt;'1-Input'!$B$26,V234,V234-Q235*(1-P235))</f>
        <v>271869.49157539086</v>
      </c>
      <c r="W235" s="11">
        <f>IF($A235&gt;'1-Input'!$B$26,0,IF(AB234&lt;=0,0,MAX(0,(AB234-AC234)/AB234)))</f>
        <v>0.2374412039924059</v>
      </c>
      <c r="X235" s="18">
        <f>IF($A235&gt;'1-Input'!$B$26,0,(MAX(0,W231-IF($A235&gt;='1-Input'!$C$12,'1-Input'!$B$12,0))-MIN(MAX(AA234,0),MAX(0,W231-IF($A235&gt;='1-Input'!$C$12,'1-Input'!$B$12,0))))*(1/(1-'P-Parametri'!$B$6*W235))+MIN(MAX(0,AB234-(MAX(0,W231-IF($A235&gt;='1-Input'!$C$12,'1-Input'!$B$12,0))-MIN(MAX(AA234,0),MAX(0,W231-IF($A235&gt;='1-Input'!$C$12,'1-Input'!$B$12,0))))*(1/(1-'P-Parametri'!$B$6*W235))),MAX(0,3*MAX(0,W231-IF($A235&gt;='1-Input'!$C$12,'1-Input'!$B$12,0))-(AA234-MIN(MAX(AA234,0),MAX(0,W231-IF($A235&gt;='1-Input'!$C$12,'1-Input'!$B$12,0)))))*(1/(1-'P-Parametri'!$B$6*W235))))</f>
        <v>19171.627756306003</v>
      </c>
      <c r="Y235" s="18">
        <f>IF($A235&gt;'1-Input'!$B$26,AA234,(AA234-MAX(0,W231-IF($A235&gt;='1-Input'!$C$12,'1-Input'!$B$12,0))+X235*(1-'P-Parametri'!$B$6*W235))*(1+'1-Input'!$B$27))</f>
        <v>53195.436553678475</v>
      </c>
      <c r="Z235" s="18">
        <f>IF($A235&gt;'1-Input'!$B$26,AB234,(AB234-X235)*(1+'5-Roberta'!$C$4))</f>
        <v>368430.31784216739</v>
      </c>
      <c r="AA235" s="18">
        <f>IF($A235&gt;'1-Input'!$B$26,Y235,Y235-'P-Parametri'!$B$8*(Z235+Y235)+MIN(MAX(Z235,0),'P-Parametri'!$B$8*(Z235+Y235)))</f>
        <v>53195.436553678475</v>
      </c>
      <c r="AB235" s="18">
        <f>IF($A235&gt;'1-Input'!$B$26,Z235,Z235-MIN(MAX(Z235,0),'P-Parametri'!$B$8*(Z235+Y235)))</f>
        <v>367587.0663333757</v>
      </c>
      <c r="AC235" s="18">
        <f>IF($A235&gt;'1-Input'!$B$26,AC234,AC234-X235*(1-W235))</f>
        <v>272766.7762974936</v>
      </c>
      <c r="AD235" s="11">
        <f>IF($A235&gt;'1-Input'!$B$26,0,IF(AI234&lt;=0,0,MAX(0,(AI234-AJ234)/AI234)))</f>
        <v>0.23744126912995298</v>
      </c>
      <c r="AE235" s="18">
        <f>IF($A235&gt;'1-Input'!$B$26,0,(MAX(0,AD231-IF($A235&gt;='1-Input'!$C$12,'1-Input'!$B$12,0))-MIN(MAX(AH234,0),MAX(0,AD231-IF($A235&gt;='1-Input'!$C$12,'1-Input'!$B$12,0))))*(1/(1-'P-Parametri'!$B$6*AD235))+MIN(MAX(0,AI234-(MAX(0,AD231-IF($A235&gt;='1-Input'!$C$12,'1-Input'!$B$12,0))-MIN(MAX(AH234,0),MAX(0,AD231-IF($A235&gt;='1-Input'!$C$12,'1-Input'!$B$12,0))))*(1/(1-'P-Parametri'!$B$6*AD235))),MAX(0,3*MAX(0,AD231-IF($A235&gt;='1-Input'!$C$12,'1-Input'!$B$12,0))-(AH234-MIN(MAX(AH234,0),MAX(0,AD231-IF($A235&gt;='1-Input'!$C$12,'1-Input'!$B$12,0)))))*(1/(1-'P-Parametri'!$B$6*AD235))))</f>
        <v>19166.781531071811</v>
      </c>
      <c r="AF235" s="18">
        <f>IF($A235&gt;'1-Input'!$B$26,AH234,(AH234-MAX(0,AD231-IF($A235&gt;='1-Input'!$C$12,'1-Input'!$B$12,0))+AE235*(1-'P-Parametri'!$B$6*AD235))*(1+'1-Input'!$B$27))</f>
        <v>53181.988792547134</v>
      </c>
      <c r="AG235" s="18">
        <f>IF($A235&gt;'1-Input'!$B$26,AI234,(AI234-AE235)*(1+'5-Roberta'!$C$4))</f>
        <v>368454.67392312671</v>
      </c>
      <c r="AH235" s="18">
        <f>IF($A235&gt;'1-Input'!$B$26,AF235,AF235-'P-Parametri'!$B$8*(AG235+AF235)+MIN(MAX(AG235,0),'P-Parametri'!$B$8*(AG235+AF235)))</f>
        <v>53181.988792547134</v>
      </c>
      <c r="AI235" s="18">
        <f>IF($A235&gt;'1-Input'!$B$26,AG235,AG235-MIN(MAX(AG235,0),'P-Parametri'!$B$8*(AG235+AF235)))</f>
        <v>367611.40059769538</v>
      </c>
      <c r="AJ235" s="18">
        <f>IF($A235&gt;'1-Input'!$B$26,AJ234,AJ234-AE235*(1-AD235))</f>
        <v>272784.78498054034</v>
      </c>
      <c r="AK235" s="11">
        <f>IF($A235&gt;'1-Input'!$B$26,0,IF(AP234&lt;=0,0,MAX(0,(AP234-AQ234)/AP234)))</f>
        <v>0.23744126644581209</v>
      </c>
      <c r="AL235" s="18">
        <f>IF($A235&gt;'1-Input'!$B$26,0,(MAX(0,AK231-IF($A235&gt;='1-Input'!$C$12,'1-Input'!$B$12,0))-MIN(MAX(AO234,0),MAX(0,AK231-IF($A235&gt;='1-Input'!$C$12,'1-Input'!$B$12,0))))*(1/(1-'P-Parametri'!$B$6*AK235))+MIN(MAX(0,AP234-(MAX(0,AK231-IF($A235&gt;='1-Input'!$C$12,'1-Input'!$B$12,0))-MIN(MAX(AO234,0),MAX(0,AK231-IF($A235&gt;='1-Input'!$C$12,'1-Input'!$B$12,0))))*(1/(1-'P-Parametri'!$B$6*AK235))),MAX(0,3*MAX(0,AK231-IF($A235&gt;='1-Input'!$C$12,'1-Input'!$B$12,0))-(AO234-MIN(MAX(AO234,0),MAX(0,AK231-IF($A235&gt;='1-Input'!$C$12,'1-Input'!$B$12,0)))))*(1/(1-'P-Parametri'!$B$6*AK235))))</f>
        <v>19166.981240369278</v>
      </c>
      <c r="AM235" s="18">
        <f>IF($A235&gt;'1-Input'!$B$26,AO234,(AO234-MAX(0,AK231-IF($A235&gt;='1-Input'!$C$12,'1-Input'!$B$12,0))+AL235*(1-'P-Parametri'!$B$6*AK235))*(1+'1-Input'!$B$27))</f>
        <v>53182.542964658947</v>
      </c>
      <c r="AN235" s="18">
        <f>IF($A235&gt;'1-Input'!$B$26,AP234,(AP234-AL235)*(1+'5-Roberta'!$C$4))</f>
        <v>368453.67022736312</v>
      </c>
      <c r="AO235" s="18">
        <f>IF($A235&gt;'1-Input'!$B$26,AM235,AM235-'P-Parametri'!$B$8*(AN235+AM235)+MIN(MAX(AN235,0),'P-Parametri'!$B$8*(AN235+AM235)))</f>
        <v>53182.542964658947</v>
      </c>
      <c r="AP235" s="18">
        <f>IF($A235&gt;'1-Input'!$B$26,AN235,AN235-MIN(MAX(AN235,0),'P-Parametri'!$B$8*(AN235+AM235)))</f>
        <v>367610.39780097909</v>
      </c>
      <c r="AQ235" s="18">
        <f>IF($A235&gt;'1-Input'!$B$26,AQ234,AQ234-AL235*(1-AK235))</f>
        <v>272784.04285628191</v>
      </c>
    </row>
    <row r="236" spans="1:43">
      <c r="A236" s="10">
        <f>3</f>
        <v>3</v>
      </c>
      <c r="B236" s="11">
        <f>IF($A236&gt;'1-Input'!$B$26,0,IF(G235&lt;=0,0,MAX(0,(G235-H235)/G235)))</f>
        <v>0.25798549618731514</v>
      </c>
      <c r="C236" s="18">
        <f>IF($A236&gt;'1-Input'!$B$26,0,(MAX(0,B231-IF($A236&gt;='1-Input'!$C$12,'1-Input'!$B$12,0))-MIN(MAX(F235,0),MAX(0,B231-IF($A236&gt;='1-Input'!$C$12,'1-Input'!$B$12,0))))*(1/(1-'P-Parametri'!$B$6*B236))+MIN(MAX(0,G235-(MAX(0,B231-IF($A236&gt;='1-Input'!$C$12,'1-Input'!$B$12,0))-MIN(MAX(F235,0),MAX(0,B231-IF($A236&gt;='1-Input'!$C$12,'1-Input'!$B$12,0))))*(1/(1-'P-Parametri'!$B$6*B236))),MAX(0,3*MAX(0,B231-IF($A236&gt;='1-Input'!$C$12,'1-Input'!$B$12,0))-(F235-MIN(MAX(F235,0),MAX(0,B231-IF($A236&gt;='1-Input'!$C$12,'1-Input'!$B$12,0)))))*(1/(1-'P-Parametri'!$B$6*B236))))</f>
        <v>18073.513867170012</v>
      </c>
      <c r="D236" s="18">
        <f>IF($A236&gt;'1-Input'!$B$26,F235,(F235-MAX(0,B231-IF($A236&gt;='1-Input'!$C$12,'1-Input'!$B$12,0))+C236*(1-'P-Parametri'!$B$6*B236))*(1+'1-Input'!$B$27))</f>
        <v>49863.010546479447</v>
      </c>
      <c r="E236" s="18">
        <f>IF($A236&gt;'1-Input'!$B$26,G235,(G235-C236)*(1+'5-Roberta'!$C$4))</f>
        <v>366210.02931577462</v>
      </c>
      <c r="F236" s="18">
        <f>IF($A236&gt;'1-Input'!$B$26,D236,D236-'P-Parametri'!$B$8*(E236+D236)+MIN(MAX(E236,0),'P-Parametri'!$B$8*(E236+D236)))</f>
        <v>49863.010546479447</v>
      </c>
      <c r="G236" s="18">
        <f>IF($A236&gt;'1-Input'!$B$26,E236,E236-MIN(MAX(E236,0),'P-Parametri'!$B$8*(E236+D236)))</f>
        <v>365377.88323605014</v>
      </c>
      <c r="H236" s="18">
        <f>IF($A236&gt;'1-Input'!$B$26,H235,H235-C236*(1-B236))</f>
        <v>263818.59533395461</v>
      </c>
      <c r="I236" s="11">
        <f>IF($A236&gt;'1-Input'!$B$26,0,IF(N235&lt;=0,0,MAX(0,(N235-O235)/N235)))</f>
        <v>0.25782459579604966</v>
      </c>
      <c r="J236" s="18">
        <f>IF($A236&gt;'1-Input'!$B$26,0,(MAX(0,I231-IF($A236&gt;='1-Input'!$C$12,'1-Input'!$B$12,0))-MIN(MAX(M235,0),MAX(0,I231-IF($A236&gt;='1-Input'!$C$12,'1-Input'!$B$12,0))))*(1/(1-'P-Parametri'!$B$6*I236))+MIN(MAX(0,N235-(MAX(0,I231-IF($A236&gt;='1-Input'!$C$12,'1-Input'!$B$12,0))-MIN(MAX(M235,0),MAX(0,I231-IF($A236&gt;='1-Input'!$C$12,'1-Input'!$B$12,0))))*(1/(1-'P-Parametri'!$B$6*I236))),MAX(0,3*MAX(0,I231-IF($A236&gt;='1-Input'!$C$12,'1-Input'!$B$12,0))-(M235-MIN(MAX(M235,0),MAX(0,I231-IF($A236&gt;='1-Input'!$C$12,'1-Input'!$B$12,0)))))*(1/(1-'P-Parametri'!$B$6*I236))))</f>
        <v>23779.87296352705</v>
      </c>
      <c r="K236" s="18">
        <f>IF($A236&gt;'1-Input'!$B$26,M235,(M235-MAX(0,I231-IF($A236&gt;='1-Input'!$C$12,'1-Input'!$B$12,0))+J236*(1-'P-Parametri'!$B$6*I236))*(1+'1-Input'!$B$27))</f>
        <v>65609.224403262444</v>
      </c>
      <c r="L236" s="18">
        <f>IF($A236&gt;'1-Input'!$B$26,N235,(N235-J236)*(1+'5-Roberta'!$C$4))</f>
        <v>330984.362787441</v>
      </c>
      <c r="M236" s="18">
        <f>IF($A236&gt;'1-Input'!$B$26,K236,K236-'P-Parametri'!$B$8*(L236+K236)+MIN(MAX(L236,0),'P-Parametri'!$B$8*(L236+K236)))</f>
        <v>65609.224403262444</v>
      </c>
      <c r="N236" s="18">
        <f>IF($A236&gt;'1-Input'!$B$26,L236,L236-MIN(MAX(L236,0),'P-Parametri'!$B$8*(L236+K236)))</f>
        <v>330191.1756130596</v>
      </c>
      <c r="O236" s="18">
        <f>IF($A236&gt;'1-Input'!$B$26,O235,O235-J236*(1-I236))</f>
        <v>238493.64391937471</v>
      </c>
      <c r="P236" s="11">
        <f>IF($A236&gt;'1-Input'!$B$26,0,IF(U235&lt;=0,0,MAX(0,(U235-V235)/U235)))</f>
        <v>0.25794669147166788</v>
      </c>
      <c r="Q236" s="18">
        <f>IF($A236&gt;'1-Input'!$B$26,0,(MAX(0,P231-IF($A236&gt;='1-Input'!$C$12,'1-Input'!$B$12,0))-MIN(MAX(T235,0),MAX(0,P231-IF($A236&gt;='1-Input'!$C$12,'1-Input'!$B$12,0))))*(1/(1-'P-Parametri'!$B$6*P236))+MIN(MAX(0,U235-(MAX(0,P231-IF($A236&gt;='1-Input'!$C$12,'1-Input'!$B$12,0))-MIN(MAX(T235,0),MAX(0,P231-IF($A236&gt;='1-Input'!$C$12,'1-Input'!$B$12,0))))*(1/(1-'P-Parametri'!$B$6*P236))),MAX(0,3*MAX(0,P231-IF($A236&gt;='1-Input'!$C$12,'1-Input'!$B$12,0))-(T235-MIN(MAX(T235,0),MAX(0,P231-IF($A236&gt;='1-Input'!$C$12,'1-Input'!$B$12,0)))))*(1/(1-'P-Parametri'!$B$6*P236))))</f>
        <v>19524.048399925887</v>
      </c>
      <c r="R236" s="18">
        <f>IF($A236&gt;'1-Input'!$B$26,T235,(T235-MAX(0,P231-IF($A236&gt;='1-Input'!$C$12,'1-Input'!$B$12,0))+Q236*(1-'P-Parametri'!$B$6*P236))*(1+'1-Input'!$B$27))</f>
        <v>53865.472247091267</v>
      </c>
      <c r="S236" s="18">
        <f>IF($A236&gt;'1-Input'!$B$26,U235,(U235-Q236)*(1+'5-Roberta'!$C$4))</f>
        <v>357256.0785370685</v>
      </c>
      <c r="T236" s="18">
        <f>IF($A236&gt;'1-Input'!$B$26,R236,R236-'P-Parametri'!$B$8*(S236+R236)+MIN(MAX(S236,0),'P-Parametri'!$B$8*(S236+R236)))</f>
        <v>53865.472247091267</v>
      </c>
      <c r="U236" s="18">
        <f>IF($A236&gt;'1-Input'!$B$26,S236,S236-MIN(MAX(S236,0),'P-Parametri'!$B$8*(S236+R236)))</f>
        <v>356433.83543550019</v>
      </c>
      <c r="V236" s="18">
        <f>IF($A236&gt;'1-Input'!$B$26,V235,V235-Q236*(1-P236))</f>
        <v>257381.60686435856</v>
      </c>
      <c r="W236" s="11">
        <f>IF($A236&gt;'1-Input'!$B$26,0,IF(AB235&lt;=0,0,MAX(0,(AB235-AC235)/AB235)))</f>
        <v>0.25795328160400166</v>
      </c>
      <c r="X236" s="18">
        <f>IF($A236&gt;'1-Input'!$B$26,0,(MAX(0,W231-IF($A236&gt;='1-Input'!$C$12,'1-Input'!$B$12,0))-MIN(MAX(AA235,0),MAX(0,W231-IF($A236&gt;='1-Input'!$C$12,'1-Input'!$B$12,0))))*(1/(1-'P-Parametri'!$B$6*W236))+MIN(MAX(0,AB235-(MAX(0,W231-IF($A236&gt;='1-Input'!$C$12,'1-Input'!$B$12,0))-MIN(MAX(AA235,0),MAX(0,W231-IF($A236&gt;='1-Input'!$C$12,'1-Input'!$B$12,0))))*(1/(1-'P-Parametri'!$B$6*W236))),MAX(0,3*MAX(0,W231-IF($A236&gt;='1-Input'!$C$12,'1-Input'!$B$12,0))-(AA235-MIN(MAX(AA235,0),MAX(0,W231-IF($A236&gt;='1-Input'!$C$12,'1-Input'!$B$12,0)))))*(1/(1-'P-Parametri'!$B$6*W236))))</f>
        <v>19281.223056067989</v>
      </c>
      <c r="Y236" s="18">
        <f>IF($A236&gt;'1-Input'!$B$26,AA235,(AA235-MAX(0,W231-IF($A236&gt;='1-Input'!$C$12,'1-Input'!$B$12,0))+X236*(1-'P-Parametri'!$B$6*W236))*(1+'1-Input'!$B$27))</f>
        <v>53195.436553678475</v>
      </c>
      <c r="Z236" s="18">
        <f>IF($A236&gt;'1-Input'!$B$26,AB235,(AB235-X236)*(1+'5-Roberta'!$C$4))</f>
        <v>358755.01857562695</v>
      </c>
      <c r="AA236" s="18">
        <f>IF($A236&gt;'1-Input'!$B$26,Y236,Y236-'P-Parametri'!$B$8*(Z236+Y236)+MIN(MAX(Z236,0),'P-Parametri'!$B$8*(Z236+Y236)))</f>
        <v>53195.436553678475</v>
      </c>
      <c r="AB236" s="18">
        <f>IF($A236&gt;'1-Input'!$B$26,Z236,Z236-MIN(MAX(Z236,0),'P-Parametri'!$B$8*(Z236+Y236)))</f>
        <v>357931.11766536837</v>
      </c>
      <c r="AC236" s="18">
        <f>IF($A236&gt;'1-Input'!$B$26,AC235,AC235-X236*(1-W236))</f>
        <v>258459.2080020771</v>
      </c>
      <c r="AD236" s="11">
        <f>IF($A236&gt;'1-Input'!$B$26,0,IF(AI235&lt;=0,0,MAX(0,(AI235-AJ235)/AI235)))</f>
        <v>0.25795341347677869</v>
      </c>
      <c r="AE236" s="18">
        <f>IF($A236&gt;'1-Input'!$B$26,0,(MAX(0,AD231-IF($A236&gt;='1-Input'!$C$12,'1-Input'!$B$12,0))-MIN(MAX(AH235,0),MAX(0,AD231-IF($A236&gt;='1-Input'!$C$12,'1-Input'!$B$12,0))))*(1/(1-'P-Parametri'!$B$6*AD236))+MIN(MAX(0,AI235-(MAX(0,AD231-IF($A236&gt;='1-Input'!$C$12,'1-Input'!$B$12,0))-MIN(MAX(AH235,0),MAX(0,AD231-IF($A236&gt;='1-Input'!$C$12,'1-Input'!$B$12,0))))*(1/(1-'P-Parametri'!$B$6*AD236))),MAX(0,3*MAX(0,AD231-IF($A236&gt;='1-Input'!$C$12,'1-Input'!$B$12,0))-(AH235-MIN(MAX(AH235,0),MAX(0,AD231-IF($A236&gt;='1-Input'!$C$12,'1-Input'!$B$12,0)))))*(1/(1-'P-Parametri'!$B$6*AD236))))</f>
        <v>19276.349487713545</v>
      </c>
      <c r="AF236" s="18">
        <f>IF($A236&gt;'1-Input'!$B$26,AH235,(AH235-MAX(0,AD231-IF($A236&gt;='1-Input'!$C$12,'1-Input'!$B$12,0))+AE236*(1-'P-Parametri'!$B$6*AD236))*(1+'1-Input'!$B$27))</f>
        <v>53181.988792547134</v>
      </c>
      <c r="AG236" s="18">
        <f>IF($A236&gt;'1-Input'!$B$26,AI235,(AI235-AE236)*(1+'5-Roberta'!$C$4))</f>
        <v>358785.10264328128</v>
      </c>
      <c r="AH236" s="18">
        <f>IF($A236&gt;'1-Input'!$B$26,AF236,AF236-'P-Parametri'!$B$8*(AG236+AF236)+MIN(MAX(AG236,0),'P-Parametri'!$B$8*(AG236+AF236)))</f>
        <v>53181.988792547134</v>
      </c>
      <c r="AI236" s="18">
        <f>IF($A236&gt;'1-Input'!$B$26,AG236,AG236-MIN(MAX(AG236,0),'P-Parametri'!$B$8*(AG236+AF236)))</f>
        <v>357961.16846040962</v>
      </c>
      <c r="AJ236" s="18">
        <f>IF($A236&gt;'1-Input'!$B$26,AJ235,AJ235-AE236*(1-AD236))</f>
        <v>258480.83564255387</v>
      </c>
      <c r="AK236" s="11">
        <f>IF($A236&gt;'1-Input'!$B$26,0,IF(AP235&lt;=0,0,MAX(0,(AP235-AQ235)/AP235)))</f>
        <v>0.25795340804270528</v>
      </c>
      <c r="AL236" s="18">
        <f>IF($A236&gt;'1-Input'!$B$26,0,(MAX(0,AK231-IF($A236&gt;='1-Input'!$C$12,'1-Input'!$B$12,0))-MIN(MAX(AO235,0),MAX(0,AK231-IF($A236&gt;='1-Input'!$C$12,'1-Input'!$B$12,0))))*(1/(1-'P-Parametri'!$B$6*AK236))+MIN(MAX(0,AP235-(MAX(0,AK231-IF($A236&gt;='1-Input'!$C$12,'1-Input'!$B$12,0))-MIN(MAX(AO235,0),MAX(0,AK231-IF($A236&gt;='1-Input'!$C$12,'1-Input'!$B$12,0))))*(1/(1-'P-Parametri'!$B$6*AK236))),MAX(0,3*MAX(0,AK231-IF($A236&gt;='1-Input'!$C$12,'1-Input'!$B$12,0))-(AO235-MIN(MAX(AO235,0),MAX(0,AK231-IF($A236&gt;='1-Input'!$C$12,'1-Input'!$B$12,0)))))*(1/(1-'P-Parametri'!$B$6*AK236))))</f>
        <v>19276.550323804986</v>
      </c>
      <c r="AM236" s="18">
        <f>IF($A236&gt;'1-Input'!$B$26,AO235,(AO235-MAX(0,AK231-IF($A236&gt;='1-Input'!$C$12,'1-Input'!$B$12,0))+AL236*(1-'P-Parametri'!$B$6*AK236))*(1+'1-Input'!$B$27))</f>
        <v>53182.542964658947</v>
      </c>
      <c r="AN236" s="18">
        <f>IF($A236&gt;'1-Input'!$B$26,AP235,(AP235-AL236)*(1+'5-Roberta'!$C$4))</f>
        <v>358783.86290148937</v>
      </c>
      <c r="AO236" s="18">
        <f>IF($A236&gt;'1-Input'!$B$26,AM236,AM236-'P-Parametri'!$B$8*(AN236+AM236)+MIN(MAX(AN236,0),'P-Parametri'!$B$8*(AN236+AM236)))</f>
        <v>53182.542964658947</v>
      </c>
      <c r="AP236" s="18">
        <f>IF($A236&gt;'1-Input'!$B$26,AN236,AN236-MIN(MAX(AN236,0),'P-Parametri'!$B$8*(AN236+AM236)))</f>
        <v>357959.93008975708</v>
      </c>
      <c r="AQ236" s="18">
        <f>IF($A236&gt;'1-Input'!$B$26,AQ235,AQ235-AL236*(1-AK236))</f>
        <v>258479.94438380914</v>
      </c>
    </row>
    <row r="237" spans="1:43">
      <c r="A237" s="10">
        <f>4</f>
        <v>4</v>
      </c>
      <c r="B237" s="11">
        <f>IF($A237&gt;'1-Input'!$B$26,0,IF(G236&lt;=0,0,MAX(0,(G236-H236)/G236)))</f>
        <v>0.27795685661817626</v>
      </c>
      <c r="C237" s="18">
        <f>IF($A237&gt;'1-Input'!$B$26,0,(MAX(0,B231-IF($A237&gt;='1-Input'!$C$12,'1-Input'!$B$12,0))-MIN(MAX(F236,0),MAX(0,B231-IF($A237&gt;='1-Input'!$C$12,'1-Input'!$B$12,0))))*(1/(1-'P-Parametri'!$B$6*B237))+MIN(MAX(0,G236-(MAX(0,B231-IF($A237&gt;='1-Input'!$C$12,'1-Input'!$B$12,0))-MIN(MAX(F236,0),MAX(0,B231-IF($A237&gt;='1-Input'!$C$12,'1-Input'!$B$12,0))))*(1/(1-'P-Parametri'!$B$6*B237))),MAX(0,3*MAX(0,B231-IF($A237&gt;='1-Input'!$C$12,'1-Input'!$B$12,0))-(F236-MIN(MAX(F236,0),MAX(0,B231-IF($A237&gt;='1-Input'!$C$12,'1-Input'!$B$12,0)))))*(1/(1-'P-Parametri'!$B$6*B237))))</f>
        <v>18174.672144235981</v>
      </c>
      <c r="D237" s="18">
        <f>IF($A237&gt;'1-Input'!$B$26,F236,(F236-MAX(0,B231-IF($A237&gt;='1-Input'!$C$12,'1-Input'!$B$12,0))+C237*(1-'P-Parametri'!$B$6*B237))*(1+'1-Input'!$B$27))</f>
        <v>49863.010546479447</v>
      </c>
      <c r="E237" s="18">
        <f>IF($A237&gt;'1-Input'!$B$26,G236,(G236-C237)*(1+'5-Roberta'!$C$4))</f>
        <v>357619.30742456857</v>
      </c>
      <c r="F237" s="18">
        <f>IF($A237&gt;'1-Input'!$B$26,D237,D237-'P-Parametri'!$B$8*(E237+D237)+MIN(MAX(E237,0),'P-Parametri'!$B$8*(E237+D237)))</f>
        <v>49863.010546479447</v>
      </c>
      <c r="G237" s="18">
        <f>IF($A237&gt;'1-Input'!$B$26,E237,E237-MIN(MAX(E237,0),'P-Parametri'!$B$8*(E237+D237)))</f>
        <v>356804.3427886265</v>
      </c>
      <c r="H237" s="18">
        <f>IF($A237&gt;'1-Input'!$B$26,H236,H236-C237*(1-B237))</f>
        <v>250695.69792899638</v>
      </c>
      <c r="I237" s="11">
        <f>IF($A237&gt;'1-Input'!$B$26,0,IF(N236&lt;=0,0,MAX(0,(N236-O236)/N236)))</f>
        <v>0.27771042494831016</v>
      </c>
      <c r="J237" s="18">
        <f>IF($A237&gt;'1-Input'!$B$26,0,(MAX(0,I231-IF($A237&gt;='1-Input'!$C$12,'1-Input'!$B$12,0))-MIN(MAX(M236,0),MAX(0,I231-IF($A237&gt;='1-Input'!$C$12,'1-Input'!$B$12,0))))*(1/(1-'P-Parametri'!$B$6*I237))+MIN(MAX(0,N236-(MAX(0,I231-IF($A237&gt;='1-Input'!$C$12,'1-Input'!$B$12,0))-MIN(MAX(M236,0),MAX(0,I231-IF($A237&gt;='1-Input'!$C$12,'1-Input'!$B$12,0))))*(1/(1-'P-Parametri'!$B$6*I237))),MAX(0,3*MAX(0,I231-IF($A237&gt;='1-Input'!$C$12,'1-Input'!$B$12,0))-(M236-MIN(MAX(M236,0),MAX(0,I231-IF($A237&gt;='1-Input'!$C$12,'1-Input'!$B$12,0)))))*(1/(1-'P-Parametri'!$B$6*I237))))</f>
        <v>23912.390825013947</v>
      </c>
      <c r="K237" s="18">
        <f>IF($A237&gt;'1-Input'!$B$26,M236,(M236-MAX(0,I231-IF($A237&gt;='1-Input'!$C$12,'1-Input'!$B$12,0))+J237*(1-'P-Parametri'!$B$6*I237))*(1+'1-Input'!$B$27))</f>
        <v>65609.224403262444</v>
      </c>
      <c r="L237" s="18">
        <f>IF($A237&gt;'1-Input'!$B$26,N236,(N236-J237)*(1+'5-Roberta'!$C$4))</f>
        <v>315467.14833168709</v>
      </c>
      <c r="M237" s="18">
        <f>IF($A237&gt;'1-Input'!$B$26,K237,K237-'P-Parametri'!$B$8*(L237+K237)+MIN(MAX(L237,0),'P-Parametri'!$B$8*(L237+K237)))</f>
        <v>65609.224403262444</v>
      </c>
      <c r="N237" s="18">
        <f>IF($A237&gt;'1-Input'!$B$26,L237,L237-MIN(MAX(L237,0),'P-Parametri'!$B$8*(L237+K237)))</f>
        <v>314704.99558621721</v>
      </c>
      <c r="O237" s="18">
        <f>IF($A237&gt;'1-Input'!$B$26,O236,O236-J237*(1-I237))</f>
        <v>221221.97331190546</v>
      </c>
      <c r="P237" s="11">
        <f>IF($A237&gt;'1-Input'!$B$26,0,IF(U236&lt;=0,0,MAX(0,(U236-V236)/U236)))</f>
        <v>0.27789793988025024</v>
      </c>
      <c r="Q237" s="18">
        <f>IF($A237&gt;'1-Input'!$B$26,0,(MAX(0,P231-IF($A237&gt;='1-Input'!$C$12,'1-Input'!$B$12,0))-MIN(MAX(T236,0),MAX(0,P231-IF($A237&gt;='1-Input'!$C$12,'1-Input'!$B$12,0))))*(1/(1-'P-Parametri'!$B$6*P237))+MIN(MAX(0,U236-(MAX(0,P231-IF($A237&gt;='1-Input'!$C$12,'1-Input'!$B$12,0))-MIN(MAX(T236,0),MAX(0,P231-IF($A237&gt;='1-Input'!$C$12,'1-Input'!$B$12,0))))*(1/(1-'P-Parametri'!$B$6*P237))),MAX(0,3*MAX(0,P231-IF($A237&gt;='1-Input'!$C$12,'1-Input'!$B$12,0))-(T236-MIN(MAX(T236,0),MAX(0,P231-IF($A237&gt;='1-Input'!$C$12,'1-Input'!$B$12,0)))))*(1/(1-'P-Parametri'!$B$6*P237))))</f>
        <v>19633.213535443003</v>
      </c>
      <c r="R237" s="18">
        <f>IF($A237&gt;'1-Input'!$B$26,T236,(T236-MAX(0,P231-IF($A237&gt;='1-Input'!$C$12,'1-Input'!$B$12,0))+Q237*(1-'P-Parametri'!$B$6*P237))*(1+'1-Input'!$B$27))</f>
        <v>53865.472247091267</v>
      </c>
      <c r="S237" s="18">
        <f>IF($A237&gt;'1-Input'!$B$26,U236,(U236-Q237)*(1+'5-Roberta'!$C$4))</f>
        <v>346904.64055705891</v>
      </c>
      <c r="T237" s="18">
        <f>IF($A237&gt;'1-Input'!$B$26,R237,R237-'P-Parametri'!$B$8*(S237+R237)+MIN(MAX(S237,0),'P-Parametri'!$B$8*(S237+R237)))</f>
        <v>53865.472247091267</v>
      </c>
      <c r="U237" s="18">
        <f>IF($A237&gt;'1-Input'!$B$26,S237,S237-MIN(MAX(S237,0),'P-Parametri'!$B$8*(S237+R237)))</f>
        <v>346103.10033145064</v>
      </c>
      <c r="V237" s="18">
        <f>IF($A237&gt;'1-Input'!$B$26,V236,V236-Q237*(1-P237))</f>
        <v>243204.42292364422</v>
      </c>
      <c r="W237" s="11">
        <f>IF($A237&gt;'1-Input'!$B$26,0,IF(AB236&lt;=0,0,MAX(0,(AB236-AC236)/AB236)))</f>
        <v>0.27790796819260644</v>
      </c>
      <c r="X237" s="18">
        <f>IF($A237&gt;'1-Input'!$B$26,0,(MAX(0,W231-IF($A237&gt;='1-Input'!$C$12,'1-Input'!$B$12,0))-MIN(MAX(AA236,0),MAX(0,W231-IF($A237&gt;='1-Input'!$C$12,'1-Input'!$B$12,0))))*(1/(1-'P-Parametri'!$B$6*W237))+MIN(MAX(0,AB236-(MAX(0,W231-IF($A237&gt;='1-Input'!$C$12,'1-Input'!$B$12,0))-MIN(MAX(AA236,0),MAX(0,W231-IF($A237&gt;='1-Input'!$C$12,'1-Input'!$B$12,0))))*(1/(1-'P-Parametri'!$B$6*W237))),MAX(0,3*MAX(0,W231-IF($A237&gt;='1-Input'!$C$12,'1-Input'!$B$12,0))-(AA236-MIN(MAX(AA236,0),MAX(0,W231-IF($A237&gt;='1-Input'!$C$12,'1-Input'!$B$12,0)))))*(1/(1-'P-Parametri'!$B$6*W237))))</f>
        <v>19389.049359604182</v>
      </c>
      <c r="Y237" s="18">
        <f>IF($A237&gt;'1-Input'!$B$26,AA236,(AA236-MAX(0,W231-IF($A237&gt;='1-Input'!$C$12,'1-Input'!$B$12,0))+X237*(1-'P-Parametri'!$B$6*W237))*(1+'1-Input'!$B$27))</f>
        <v>53195.436553678475</v>
      </c>
      <c r="Z237" s="18">
        <f>IF($A237&gt;'1-Input'!$B$26,AB236,(AB236-X237)*(1+'5-Roberta'!$C$4))</f>
        <v>348698.33035493712</v>
      </c>
      <c r="AA237" s="18">
        <f>IF($A237&gt;'1-Input'!$B$26,Y237,Y237-'P-Parametri'!$B$8*(Z237+Y237)+MIN(MAX(Z237,0),'P-Parametri'!$B$8*(Z237+Y237)))</f>
        <v>53195.436553678475</v>
      </c>
      <c r="AB237" s="18">
        <f>IF($A237&gt;'1-Input'!$B$26,Z237,Z237-MIN(MAX(Z237,0),'P-Parametri'!$B$8*(Z237+Y237)))</f>
        <v>347894.54282111989</v>
      </c>
      <c r="AC237" s="18">
        <f>IF($A237&gt;'1-Input'!$B$26,AC236,AC236-X237*(1-W237))</f>
        <v>244458.52995518668</v>
      </c>
      <c r="AD237" s="11">
        <f>IF($A237&gt;'1-Input'!$B$26,0,IF(AI236&lt;=0,0,MAX(0,(AI236-AJ236)/AI236)))</f>
        <v>0.27790816877070912</v>
      </c>
      <c r="AE237" s="18">
        <f>IF($A237&gt;'1-Input'!$B$26,0,(MAX(0,AD231-IF($A237&gt;='1-Input'!$C$12,'1-Input'!$B$12,0))-MIN(MAX(AH236,0),MAX(0,AD231-IF($A237&gt;='1-Input'!$C$12,'1-Input'!$B$12,0))))*(1/(1-'P-Parametri'!$B$6*AD237))+MIN(MAX(0,AI236-(MAX(0,AD231-IF($A237&gt;='1-Input'!$C$12,'1-Input'!$B$12,0))-MIN(MAX(AH236,0),MAX(0,AD231-IF($A237&gt;='1-Input'!$C$12,'1-Input'!$B$12,0))))*(1/(1-'P-Parametri'!$B$6*AD237))),MAX(0,3*MAX(0,AD231-IF($A237&gt;='1-Input'!$C$12,'1-Input'!$B$12,0))-(AH236-MIN(MAX(AH236,0),MAX(0,AD231-IF($A237&gt;='1-Input'!$C$12,'1-Input'!$B$12,0)))))*(1/(1-'P-Parametri'!$B$6*AD237))))</f>
        <v>19384.148914032674</v>
      </c>
      <c r="AF237" s="18">
        <f>IF($A237&gt;'1-Input'!$B$26,AH236,(AH236-MAX(0,AD231-IF($A237&gt;='1-Input'!$C$12,'1-Input'!$B$12,0))+AE237*(1-'P-Parametri'!$B$6*AD237))*(1+'1-Input'!$B$27))</f>
        <v>53181.988792547134</v>
      </c>
      <c r="AG237" s="18">
        <f>IF($A237&gt;'1-Input'!$B$26,AI236,(AI236-AE237)*(1+'5-Roberta'!$C$4))</f>
        <v>348734.33013276826</v>
      </c>
      <c r="AH237" s="18">
        <f>IF($A237&gt;'1-Input'!$B$26,AF237,AF237-'P-Parametri'!$B$8*(AG237+AF237)+MIN(MAX(AG237,0),'P-Parametri'!$B$8*(AG237+AF237)))</f>
        <v>53181.988792547134</v>
      </c>
      <c r="AI237" s="18">
        <f>IF($A237&gt;'1-Input'!$B$26,AG237,AG237-MIN(MAX(AG237,0),'P-Parametri'!$B$8*(AG237+AF237)))</f>
        <v>347930.49749491765</v>
      </c>
      <c r="AJ237" s="18">
        <f>IF($A237&gt;'1-Input'!$B$26,AJ236,AJ236-AE237*(1-AD237))</f>
        <v>244483.70005639875</v>
      </c>
      <c r="AK237" s="11">
        <f>IF($A237&gt;'1-Input'!$B$26,0,IF(AP236&lt;=0,0,MAX(0,(AP236-AQ236)/AP236)))</f>
        <v>0.2779081605055731</v>
      </c>
      <c r="AL237" s="18">
        <f>IF($A237&gt;'1-Input'!$B$26,0,(MAX(0,AK231-IF($A237&gt;='1-Input'!$C$12,'1-Input'!$B$12,0))-MIN(MAX(AO236,0),MAX(0,AK231-IF($A237&gt;='1-Input'!$C$12,'1-Input'!$B$12,0))))*(1/(1-'P-Parametri'!$B$6*AK237))+MIN(MAX(0,AP236-(MAX(0,AK231-IF($A237&gt;='1-Input'!$C$12,'1-Input'!$B$12,0))-MIN(MAX(AO236,0),MAX(0,AK231-IF($A237&gt;='1-Input'!$C$12,'1-Input'!$B$12,0))))*(1/(1-'P-Parametri'!$B$6*AK237))),MAX(0,3*MAX(0,AK231-IF($A237&gt;='1-Input'!$C$12,'1-Input'!$B$12,0))-(AO236-MIN(MAX(AO236,0),MAX(0,AK231-IF($A237&gt;='1-Input'!$C$12,'1-Input'!$B$12,0)))))*(1/(1-'P-Parametri'!$B$6*AK237))))</f>
        <v>19384.350857719081</v>
      </c>
      <c r="AM237" s="18">
        <f>IF($A237&gt;'1-Input'!$B$26,AO236,(AO236-MAX(0,AK231-IF($A237&gt;='1-Input'!$C$12,'1-Input'!$B$12,0))+AL237*(1-'P-Parametri'!$B$6*AK237))*(1+'1-Input'!$B$27))</f>
        <v>53182.542964658947</v>
      </c>
      <c r="AN237" s="18">
        <f>IF($A237&gt;'1-Input'!$B$26,AP236,(AP236-AL237)*(1+'5-Roberta'!$C$4))</f>
        <v>348732.84660899913</v>
      </c>
      <c r="AO237" s="18">
        <f>IF($A237&gt;'1-Input'!$B$26,AM237,AM237-'P-Parametri'!$B$8*(AN237+AM237)+MIN(MAX(AN237,0),'P-Parametri'!$B$8*(AN237+AM237)))</f>
        <v>53182.542964658947</v>
      </c>
      <c r="AP237" s="18">
        <f>IF($A237&gt;'1-Input'!$B$26,AN237,AN237-MIN(MAX(AN237,0),'P-Parametri'!$B$8*(AN237+AM237)))</f>
        <v>347929.01582985179</v>
      </c>
      <c r="AQ237" s="18">
        <f>IF($A237&gt;'1-Input'!$B$26,AQ236,AQ236-AL237*(1-AK237))</f>
        <v>244482.6628155534</v>
      </c>
    </row>
    <row r="238" spans="1:43">
      <c r="A238" s="10">
        <f>5</f>
        <v>5</v>
      </c>
      <c r="B238" s="11">
        <f>IF($A238&gt;'1-Input'!$B$26,0,IF(G237&lt;=0,0,MAX(0,(G237-H237)/G237)))</f>
        <v>0.29738608008616546</v>
      </c>
      <c r="C238" s="18">
        <f>IF($A238&gt;'1-Input'!$B$26,0,(MAX(0,B231-IF($A238&gt;='1-Input'!$C$12,'1-Input'!$B$12,0))-MIN(MAX(F237,0),MAX(0,B231-IF($A238&gt;='1-Input'!$C$12,'1-Input'!$B$12,0))))*(1/(1-'P-Parametri'!$B$6*B238))+MIN(MAX(0,G237-(MAX(0,B231-IF($A238&gt;='1-Input'!$C$12,'1-Input'!$B$12,0))-MIN(MAX(F237,0),MAX(0,B231-IF($A238&gt;='1-Input'!$C$12,'1-Input'!$B$12,0))))*(1/(1-'P-Parametri'!$B$6*B238))),MAX(0,3*MAX(0,B231-IF($A238&gt;='1-Input'!$C$12,'1-Input'!$B$12,0))-(F237-MIN(MAX(F237,0),MAX(0,B231-IF($A238&gt;='1-Input'!$C$12,'1-Input'!$B$12,0)))))*(1/(1-'P-Parametri'!$B$6*B238))))</f>
        <v>18274.17703997028</v>
      </c>
      <c r="D238" s="18">
        <f>IF($A238&gt;'1-Input'!$B$26,F237,(F237-MAX(0,B231-IF($A238&gt;='1-Input'!$C$12,'1-Input'!$B$12,0))+C238*(1-'P-Parametri'!$B$6*B238))*(1+'1-Input'!$B$27))</f>
        <v>49863.010546479447</v>
      </c>
      <c r="E238" s="18">
        <f>IF($A238&gt;'1-Input'!$B$26,G237,(G237-C238)*(1+'5-Roberta'!$C$4))</f>
        <v>348686.07072111592</v>
      </c>
      <c r="F238" s="18">
        <f>IF($A238&gt;'1-Input'!$B$26,D238,D238-'P-Parametri'!$B$8*(E238+D238)+MIN(MAX(E238,0),'P-Parametri'!$B$8*(E238+D238)))</f>
        <v>49863.010546479447</v>
      </c>
      <c r="G238" s="18">
        <f>IF($A238&gt;'1-Input'!$B$26,E238,E238-MIN(MAX(E238,0),'P-Parametri'!$B$8*(E238+D238)))</f>
        <v>347888.97255858075</v>
      </c>
      <c r="H238" s="18">
        <f>IF($A238&gt;'1-Input'!$B$26,H237,H237-C238*(1-B238))</f>
        <v>237856.00676574346</v>
      </c>
      <c r="I238" s="11">
        <f>IF($A238&gt;'1-Input'!$B$26,0,IF(N237&lt;=0,0,MAX(0,(N237-O237)/N237)))</f>
        <v>0.29704969284067484</v>
      </c>
      <c r="J238" s="18">
        <f>IF($A238&gt;'1-Input'!$B$26,0,(MAX(0,I231-IF($A238&gt;='1-Input'!$C$12,'1-Input'!$B$12,0))-MIN(MAX(M237,0),MAX(0,I231-IF($A238&gt;='1-Input'!$C$12,'1-Input'!$B$12,0))))*(1/(1-'P-Parametri'!$B$6*I238))+MIN(MAX(0,N237-(MAX(0,I231-IF($A238&gt;='1-Input'!$C$12,'1-Input'!$B$12,0))-MIN(MAX(M237,0),MAX(0,I231-IF($A238&gt;='1-Input'!$C$12,'1-Input'!$B$12,0))))*(1/(1-'P-Parametri'!$B$6*I238))),MAX(0,3*MAX(0,I231-IF($A238&gt;='1-Input'!$C$12,'1-Input'!$B$12,0))-(M237-MIN(MAX(M237,0),MAX(0,I231-IF($A238&gt;='1-Input'!$C$12,'1-Input'!$B$12,0)))))*(1/(1-'P-Parametri'!$B$6*I238))))</f>
        <v>24042.69078583087</v>
      </c>
      <c r="K238" s="18">
        <f>IF($A238&gt;'1-Input'!$B$26,M237,(M237-MAX(0,I231-IF($A238&gt;='1-Input'!$C$12,'1-Input'!$B$12,0))+J238*(1-'P-Parametri'!$B$6*I238))*(1+'1-Input'!$B$27))</f>
        <v>65609.224403262444</v>
      </c>
      <c r="L238" s="18">
        <f>IF($A238&gt;'1-Input'!$B$26,N237,(N237-J238)*(1+'5-Roberta'!$C$4))</f>
        <v>299382.17394439789</v>
      </c>
      <c r="M238" s="18">
        <f>IF($A238&gt;'1-Input'!$B$26,K238,K238-'P-Parametri'!$B$8*(L238+K238)+MIN(MAX(L238,0),'P-Parametri'!$B$8*(L238+K238)))</f>
        <v>65609.224403262444</v>
      </c>
      <c r="N238" s="18">
        <f>IF($A238&gt;'1-Input'!$B$26,L238,L238-MIN(MAX(L238,0),'P-Parametri'!$B$8*(L238+K238)))</f>
        <v>298652.19114770257</v>
      </c>
      <c r="O238" s="18">
        <f>IF($A238&gt;'1-Input'!$B$26,O237,O237-J238*(1-I238))</f>
        <v>204321.15643906896</v>
      </c>
      <c r="P238" s="11">
        <f>IF($A238&gt;'1-Input'!$B$26,0,IF(U237&lt;=0,0,MAX(0,(U237-V237)/U237)))</f>
        <v>0.29730643068283413</v>
      </c>
      <c r="Q238" s="18">
        <f>IF($A238&gt;'1-Input'!$B$26,0,(MAX(0,P231-IF($A238&gt;='1-Input'!$C$12,'1-Input'!$B$12,0))-MIN(MAX(T237,0),MAX(0,P231-IF($A238&gt;='1-Input'!$C$12,'1-Input'!$B$12,0))))*(1/(1-'P-Parametri'!$B$6*P238))+MIN(MAX(0,U237-(MAX(0,P231-IF($A238&gt;='1-Input'!$C$12,'1-Input'!$B$12,0))-MIN(MAX(T237,0),MAX(0,P231-IF($A238&gt;='1-Input'!$C$12,'1-Input'!$B$12,0))))*(1/(1-'P-Parametri'!$B$6*P238))),MAX(0,3*MAX(0,P231-IF($A238&gt;='1-Input'!$C$12,'1-Input'!$B$12,0))-(T237-MIN(MAX(T237,0),MAX(0,P231-IF($A238&gt;='1-Input'!$C$12,'1-Input'!$B$12,0)))))*(1/(1-'P-Parametri'!$B$6*P238))))</f>
        <v>19740.586718822666</v>
      </c>
      <c r="R238" s="18">
        <f>IF($A238&gt;'1-Input'!$B$26,T237,(T237-MAX(0,P231-IF($A238&gt;='1-Input'!$C$12,'1-Input'!$B$12,0))+Q238*(1-'P-Parametri'!$B$6*P238))*(1+'1-Input'!$B$27))</f>
        <v>53865.472247091267</v>
      </c>
      <c r="S238" s="18">
        <f>IF($A238&gt;'1-Input'!$B$26,U237,(U237-Q238)*(1+'5-Roberta'!$C$4))</f>
        <v>336153.38902100682</v>
      </c>
      <c r="T238" s="18">
        <f>IF($A238&gt;'1-Input'!$B$26,R238,R238-'P-Parametri'!$B$8*(S238+R238)+MIN(MAX(S238,0),'P-Parametri'!$B$8*(S238+R238)))</f>
        <v>53865.472247091267</v>
      </c>
      <c r="U238" s="18">
        <f>IF($A238&gt;'1-Input'!$B$26,S238,S238-MIN(MAX(S238,0),'P-Parametri'!$B$8*(S238+R238)))</f>
        <v>335373.35129847063</v>
      </c>
      <c r="V238" s="18">
        <f>IF($A238&gt;'1-Input'!$B$26,V237,V237-Q238*(1-P238))</f>
        <v>229332.83958177967</v>
      </c>
      <c r="W238" s="11">
        <f>IF($A238&gt;'1-Input'!$B$26,0,IF(AB237&lt;=0,0,MAX(0,(AB237-AC237)/AB237)))</f>
        <v>0.29732002125459567</v>
      </c>
      <c r="X238" s="18">
        <f>IF($A238&gt;'1-Input'!$B$26,0,(MAX(0,W231-IF($A238&gt;='1-Input'!$C$12,'1-Input'!$B$12,0))-MIN(MAX(AA237,0),MAX(0,W231-IF($A238&gt;='1-Input'!$C$12,'1-Input'!$B$12,0))))*(1/(1-'P-Parametri'!$B$6*W238))+MIN(MAX(0,AB237-(MAX(0,W231-IF($A238&gt;='1-Input'!$C$12,'1-Input'!$B$12,0))-MIN(MAX(AA237,0),MAX(0,W231-IF($A238&gt;='1-Input'!$C$12,'1-Input'!$B$12,0))))*(1/(1-'P-Parametri'!$B$6*W238))),MAX(0,3*MAX(0,W231-IF($A238&gt;='1-Input'!$C$12,'1-Input'!$B$12,0))-(AA237-MIN(MAX(AA237,0),MAX(0,W231-IF($A238&gt;='1-Input'!$C$12,'1-Input'!$B$12,0)))))*(1/(1-'P-Parametri'!$B$6*W238))))</f>
        <v>19495.107088300691</v>
      </c>
      <c r="Y238" s="18">
        <f>IF($A238&gt;'1-Input'!$B$26,AA237,(AA237-MAX(0,W231-IF($A238&gt;='1-Input'!$C$12,'1-Input'!$B$12,0))+X238*(1-'P-Parametri'!$B$6*W238))*(1+'1-Input'!$B$27))</f>
        <v>53195.436553678475</v>
      </c>
      <c r="Z238" s="18">
        <f>IF($A238&gt;'1-Input'!$B$26,AB237,(AB237-X238)*(1+'5-Roberta'!$C$4))</f>
        <v>338251.4188048038</v>
      </c>
      <c r="AA238" s="18">
        <f>IF($A238&gt;'1-Input'!$B$26,Y238,Y238-'P-Parametri'!$B$8*(Z238+Y238)+MIN(MAX(Z238,0),'P-Parametri'!$B$8*(Z238+Y238)))</f>
        <v>53195.436553678475</v>
      </c>
      <c r="AB238" s="18">
        <f>IF($A238&gt;'1-Input'!$B$26,Z238,Z238-MIN(MAX(Z238,0),'P-Parametri'!$B$8*(Z238+Y238)))</f>
        <v>337468.52509408683</v>
      </c>
      <c r="AC238" s="18">
        <f>IF($A238&gt;'1-Input'!$B$26,AC237,AC237-X238*(1-W238))</f>
        <v>230759.70852074015</v>
      </c>
      <c r="AD238" s="11">
        <f>IF($A238&gt;'1-Input'!$B$26,0,IF(AI237&lt;=0,0,MAX(0,(AI237-AJ237)/AI237)))</f>
        <v>0.29732029294163842</v>
      </c>
      <c r="AE238" s="18">
        <f>IF($A238&gt;'1-Input'!$B$26,0,(MAX(0,AD231-IF($A238&gt;='1-Input'!$C$12,'1-Input'!$B$12,0))-MIN(MAX(AH237,0),MAX(0,AD231-IF($A238&gt;='1-Input'!$C$12,'1-Input'!$B$12,0))))*(1/(1-'P-Parametri'!$B$6*AD238))+MIN(MAX(0,AI237-(MAX(0,AD231-IF($A238&gt;='1-Input'!$C$12,'1-Input'!$B$12,0))-MIN(MAX(AH237,0),MAX(0,AD231-IF($A238&gt;='1-Input'!$C$12,'1-Input'!$B$12,0))))*(1/(1-'P-Parametri'!$B$6*AD238))),MAX(0,3*MAX(0,AD231-IF($A238&gt;='1-Input'!$C$12,'1-Input'!$B$12,0))-(AH237-MIN(MAX(AH237,0),MAX(0,AD231-IF($A238&gt;='1-Input'!$C$12,'1-Input'!$B$12,0)))))*(1/(1-'P-Parametri'!$B$6*AD238))))</f>
        <v>19490.180233908577</v>
      </c>
      <c r="AF238" s="18">
        <f>IF($A238&gt;'1-Input'!$B$26,AH237,(AH237-MAX(0,AD231-IF($A238&gt;='1-Input'!$C$12,'1-Input'!$B$12,0))+AE238*(1-'P-Parametri'!$B$6*AD238))*(1+'1-Input'!$B$27))</f>
        <v>53181.988792547134</v>
      </c>
      <c r="AG238" s="18">
        <f>IF($A238&gt;'1-Input'!$B$26,AI237,(AI237-AE238)*(1+'5-Roberta'!$C$4))</f>
        <v>338293.52677883935</v>
      </c>
      <c r="AH238" s="18">
        <f>IF($A238&gt;'1-Input'!$B$26,AF238,AF238-'P-Parametri'!$B$8*(AG238+AF238)+MIN(MAX(AG238,0),'P-Parametri'!$B$8*(AG238+AF238)))</f>
        <v>53181.988792547134</v>
      </c>
      <c r="AI238" s="18">
        <f>IF($A238&gt;'1-Input'!$B$26,AG238,AG238-MIN(MAX(AG238,0),'P-Parametri'!$B$8*(AG238+AF238)))</f>
        <v>337510.57574769657</v>
      </c>
      <c r="AJ238" s="18">
        <f>IF($A238&gt;'1-Input'!$B$26,AJ237,AJ237-AE238*(1-AD238))</f>
        <v>230788.3459191212</v>
      </c>
      <c r="AK238" s="11">
        <f>IF($A238&gt;'1-Input'!$B$26,0,IF(AP237&lt;=0,0,MAX(0,(AP237-AQ237)/AP237)))</f>
        <v>0.29732028174645514</v>
      </c>
      <c r="AL238" s="18">
        <f>IF($A238&gt;'1-Input'!$B$26,0,(MAX(0,AK231-IF($A238&gt;='1-Input'!$C$12,'1-Input'!$B$12,0))-MIN(MAX(AO237,0),MAX(0,AK231-IF($A238&gt;='1-Input'!$C$12,'1-Input'!$B$12,0))))*(1/(1-'P-Parametri'!$B$6*AK238))+MIN(MAX(0,AP237-(MAX(0,AK231-IF($A238&gt;='1-Input'!$C$12,'1-Input'!$B$12,0))-MIN(MAX(AO237,0),MAX(0,AK231-IF($A238&gt;='1-Input'!$C$12,'1-Input'!$B$12,0))))*(1/(1-'P-Parametri'!$B$6*AK238))),MAX(0,3*MAX(0,AK231-IF($A238&gt;='1-Input'!$C$12,'1-Input'!$B$12,0))-(AO237-MIN(MAX(AO237,0),MAX(0,AK231-IF($A238&gt;='1-Input'!$C$12,'1-Input'!$B$12,0)))))*(1/(1-'P-Parametri'!$B$6*AK238))))</f>
        <v>19490.383265888289</v>
      </c>
      <c r="AM238" s="18">
        <f>IF($A238&gt;'1-Input'!$B$26,AO237,(AO237-MAX(0,AK231-IF($A238&gt;='1-Input'!$C$12,'1-Input'!$B$12,0))+AL238*(1-'P-Parametri'!$B$6*AK238))*(1+'1-Input'!$B$27))</f>
        <v>53182.542964658947</v>
      </c>
      <c r="AN238" s="18">
        <f>IF($A238&gt;'1-Input'!$B$26,AP237,(AP237-AL238)*(1+'5-Roberta'!$C$4))</f>
        <v>338291.79154088243</v>
      </c>
      <c r="AO238" s="18">
        <f>IF($A238&gt;'1-Input'!$B$26,AM238,AM238-'P-Parametri'!$B$8*(AN238+AM238)+MIN(MAX(AN238,0),'P-Parametri'!$B$8*(AN238+AM238)))</f>
        <v>53182.542964658947</v>
      </c>
      <c r="AP238" s="18">
        <f>IF($A238&gt;'1-Input'!$B$26,AN238,AN238-MIN(MAX(AN238,0),'P-Parametri'!$B$8*(AN238+AM238)))</f>
        <v>337508.84287187137</v>
      </c>
      <c r="AQ238" s="18">
        <f>IF($A238&gt;'1-Input'!$B$26,AQ237,AQ237-AL238*(1-AK238))</f>
        <v>230787.16579362541</v>
      </c>
    </row>
    <row r="239" spans="1:43">
      <c r="A239" s="10">
        <f>6</f>
        <v>6</v>
      </c>
      <c r="B239" s="11">
        <f>IF($A239&gt;'1-Input'!$B$26,0,IF(G238&lt;=0,0,MAX(0,(G238-H238)/G238)))</f>
        <v>0.31628759308922599</v>
      </c>
      <c r="C239" s="18">
        <f>IF($A239&gt;'1-Input'!$B$26,0,(MAX(0,B231-IF($A239&gt;='1-Input'!$C$12,'1-Input'!$B$12,0))-MIN(MAX(F238,0),MAX(0,B231-IF($A239&gt;='1-Input'!$C$12,'1-Input'!$B$12,0))))*(1/(1-'P-Parametri'!$B$6*B239))+MIN(MAX(0,G238-(MAX(0,B231-IF($A239&gt;='1-Input'!$C$12,'1-Input'!$B$12,0))-MIN(MAX(F238,0),MAX(0,B231-IF($A239&gt;='1-Input'!$C$12,'1-Input'!$B$12,0))))*(1/(1-'P-Parametri'!$B$6*B239))),MAX(0,3*MAX(0,B231-IF($A239&gt;='1-Input'!$C$12,'1-Input'!$B$12,0))-(F238-MIN(MAX(F238,0),MAX(0,B231-IF($A239&gt;='1-Input'!$C$12,'1-Input'!$B$12,0)))))*(1/(1-'P-Parametri'!$B$6*B239))))</f>
        <v>18372.030491114878</v>
      </c>
      <c r="D239" s="18">
        <f>IF($A239&gt;'1-Input'!$B$26,F238,(F238-MAX(0,B231-IF($A239&gt;='1-Input'!$C$12,'1-Input'!$B$12,0))+C239*(1-'P-Parametri'!$B$6*B239))*(1+'1-Input'!$B$27))</f>
        <v>49863.010546479447</v>
      </c>
      <c r="E239" s="18">
        <f>IF($A239&gt;'1-Input'!$B$26,G238,(G238-C239)*(1+'5-Roberta'!$C$4))</f>
        <v>339402.45032948983</v>
      </c>
      <c r="F239" s="18">
        <f>IF($A239&gt;'1-Input'!$B$26,D239,D239-'P-Parametri'!$B$8*(E239+D239)+MIN(MAX(E239,0),'P-Parametri'!$B$8*(E239+D239)))</f>
        <v>49863.010546479447</v>
      </c>
      <c r="G239" s="18">
        <f>IF($A239&gt;'1-Input'!$B$26,E239,E239-MIN(MAX(E239,0),'P-Parametri'!$B$8*(E239+D239)))</f>
        <v>338623.91940773791</v>
      </c>
      <c r="H239" s="18">
        <f>IF($A239&gt;'1-Input'!$B$26,H238,H238-C239*(1-B239))</f>
        <v>225294.82157882518</v>
      </c>
      <c r="I239" s="11">
        <f>IF($A239&gt;'1-Input'!$B$26,0,IF(N238&lt;=0,0,MAX(0,(N238-O238)/N238)))</f>
        <v>0.31585582662603301</v>
      </c>
      <c r="J239" s="18">
        <f>IF($A239&gt;'1-Input'!$B$26,0,(MAX(0,I231-IF($A239&gt;='1-Input'!$C$12,'1-Input'!$B$12,0))-MIN(MAX(M238,0),MAX(0,I231-IF($A239&gt;='1-Input'!$C$12,'1-Input'!$B$12,0))))*(1/(1-'P-Parametri'!$B$6*I239))+MIN(MAX(0,N238-(MAX(0,I231-IF($A239&gt;='1-Input'!$C$12,'1-Input'!$B$12,0))-MIN(MAX(M238,0),MAX(0,I231-IF($A239&gt;='1-Input'!$C$12,'1-Input'!$B$12,0))))*(1/(1-'P-Parametri'!$B$6*I239))),MAX(0,3*MAX(0,I231-IF($A239&gt;='1-Input'!$C$12,'1-Input'!$B$12,0))-(M238-MIN(MAX(M238,0),MAX(0,I231-IF($A239&gt;='1-Input'!$C$12,'1-Input'!$B$12,0)))))*(1/(1-'P-Parametri'!$B$6*I239))))</f>
        <v>24170.767808500699</v>
      </c>
      <c r="K239" s="18">
        <f>IF($A239&gt;'1-Input'!$B$26,M238,(M238-MAX(0,I231-IF($A239&gt;='1-Input'!$C$12,'1-Input'!$B$12,0))+J239*(1-'P-Parametri'!$B$6*I239))*(1+'1-Input'!$B$27))</f>
        <v>65609.224403262444</v>
      </c>
      <c r="L239" s="18">
        <f>IF($A239&gt;'1-Input'!$B$26,N238,(N238-J239)*(1+'5-Roberta'!$C$4))</f>
        <v>282715.86603937799</v>
      </c>
      <c r="M239" s="18">
        <f>IF($A239&gt;'1-Input'!$B$26,K239,K239-'P-Parametri'!$B$8*(L239+K239)+MIN(MAX(L239,0),'P-Parametri'!$B$8*(L239+K239)))</f>
        <v>65609.224403262444</v>
      </c>
      <c r="N239" s="18">
        <f>IF($A239&gt;'1-Input'!$B$26,L239,L239-MIN(MAX(L239,0),'P-Parametri'!$B$8*(L239+K239)))</f>
        <v>282019.21585849271</v>
      </c>
      <c r="O239" s="18">
        <f>IF($A239&gt;'1-Input'!$B$26,O238,O238-J239*(1-I239))</f>
        <v>187784.86647690815</v>
      </c>
      <c r="P239" s="11">
        <f>IF($A239&gt;'1-Input'!$B$26,0,IF(U238&lt;=0,0,MAX(0,(U238-V238)/U238)))</f>
        <v>0.31618645699228082</v>
      </c>
      <c r="Q239" s="18">
        <f>IF($A239&gt;'1-Input'!$B$26,0,(MAX(0,P231-IF($A239&gt;='1-Input'!$C$12,'1-Input'!$B$12,0))-MIN(MAX(T238,0),MAX(0,P231-IF($A239&gt;='1-Input'!$C$12,'1-Input'!$B$12,0))))*(1/(1-'P-Parametri'!$B$6*P239))+MIN(MAX(0,U238-(MAX(0,P231-IF($A239&gt;='1-Input'!$C$12,'1-Input'!$B$12,0))-MIN(MAX(T238,0),MAX(0,P231-IF($A239&gt;='1-Input'!$C$12,'1-Input'!$B$12,0))))*(1/(1-'P-Parametri'!$B$6*P239))),MAX(0,3*MAX(0,P231-IF($A239&gt;='1-Input'!$C$12,'1-Input'!$B$12,0))-(T238-MIN(MAX(T238,0),MAX(0,P231-IF($A239&gt;='1-Input'!$C$12,'1-Input'!$B$12,0)))))*(1/(1-'P-Parametri'!$B$6*P239))))</f>
        <v>19846.169223000925</v>
      </c>
      <c r="R239" s="18">
        <f>IF($A239&gt;'1-Input'!$B$26,T238,(T238-MAX(0,P231-IF($A239&gt;='1-Input'!$C$12,'1-Input'!$B$12,0))+Q239*(1-'P-Parametri'!$B$6*P239))*(1+'1-Input'!$B$27))</f>
        <v>53865.472247091267</v>
      </c>
      <c r="S239" s="18">
        <f>IF($A239&gt;'1-Input'!$B$26,U238,(U238-Q239)*(1+'5-Roberta'!$C$4))</f>
        <v>324992.99753773381</v>
      </c>
      <c r="T239" s="18">
        <f>IF($A239&gt;'1-Input'!$B$26,R239,R239-'P-Parametri'!$B$8*(S239+R239)+MIN(MAX(S239,0),'P-Parametri'!$B$8*(S239+R239)))</f>
        <v>53865.472247091267</v>
      </c>
      <c r="U239" s="18">
        <f>IF($A239&gt;'1-Input'!$B$26,S239,S239-MIN(MAX(S239,0),'P-Parametri'!$B$8*(S239+R239)))</f>
        <v>324235.28059816419</v>
      </c>
      <c r="V239" s="18">
        <f>IF($A239&gt;'1-Input'!$B$26,V238,V238-Q239*(1-P239))</f>
        <v>215761.76029026866</v>
      </c>
      <c r="W239" s="11">
        <f>IF($A239&gt;'1-Input'!$B$26,0,IF(AB238&lt;=0,0,MAX(0,(AB238-AC238)/AB238)))</f>
        <v>0.31620376016873297</v>
      </c>
      <c r="X239" s="18">
        <f>IF($A239&gt;'1-Input'!$B$26,0,(MAX(0,W231-IF($A239&gt;='1-Input'!$C$12,'1-Input'!$B$12,0))-MIN(MAX(AA238,0),MAX(0,W231-IF($A239&gt;='1-Input'!$C$12,'1-Input'!$B$12,0))))*(1/(1-'P-Parametri'!$B$6*W239))+MIN(MAX(0,AB238-(MAX(0,W231-IF($A239&gt;='1-Input'!$C$12,'1-Input'!$B$12,0))-MIN(MAX(AA238,0),MAX(0,W231-IF($A239&gt;='1-Input'!$C$12,'1-Input'!$B$12,0))))*(1/(1-'P-Parametri'!$B$6*W239))),MAX(0,3*MAX(0,W231-IF($A239&gt;='1-Input'!$C$12,'1-Input'!$B$12,0))-(AA238-MIN(MAX(AA238,0),MAX(0,W231-IF($A239&gt;='1-Input'!$C$12,'1-Input'!$B$12,0)))))*(1/(1-'P-Parametri'!$B$6*W239))))</f>
        <v>19599.397659949351</v>
      </c>
      <c r="Y239" s="18">
        <f>IF($A239&gt;'1-Input'!$B$26,AA238,(AA238-MAX(0,W231-IF($A239&gt;='1-Input'!$C$12,'1-Input'!$B$12,0))+X239*(1-'P-Parametri'!$B$6*W239))*(1+'1-Input'!$B$27))</f>
        <v>53195.436553678475</v>
      </c>
      <c r="Z239" s="18">
        <f>IF($A239&gt;'1-Input'!$B$26,AB238,(AB238-X239)*(1+'5-Roberta'!$C$4))</f>
        <v>327405.20125716156</v>
      </c>
      <c r="AA239" s="18">
        <f>IF($A239&gt;'1-Input'!$B$26,Y239,Y239-'P-Parametri'!$B$8*(Z239+Y239)+MIN(MAX(Z239,0),'P-Parametri'!$B$8*(Z239+Y239)))</f>
        <v>53195.436553678475</v>
      </c>
      <c r="AB239" s="18">
        <f>IF($A239&gt;'1-Input'!$B$26,Z239,Z239-MIN(MAX(Z239,0),'P-Parametri'!$B$8*(Z239+Y239)))</f>
        <v>326643.99998153991</v>
      </c>
      <c r="AC239" s="18">
        <f>IF($A239&gt;'1-Input'!$B$26,AC238,AC238-X239*(1-W239))</f>
        <v>217357.71409790905</v>
      </c>
      <c r="AD239" s="11">
        <f>IF($A239&gt;'1-Input'!$B$26,0,IF(AI238&lt;=0,0,MAX(0,(AI238-AJ238)/AI238)))</f>
        <v>0.31620410587772141</v>
      </c>
      <c r="AE239" s="18">
        <f>IF($A239&gt;'1-Input'!$B$26,0,(MAX(0,AD231-IF($A239&gt;='1-Input'!$C$12,'1-Input'!$B$12,0))-MIN(MAX(AH238,0),MAX(0,AD231-IF($A239&gt;='1-Input'!$C$12,'1-Input'!$B$12,0))))*(1/(1-'P-Parametri'!$B$6*AD239))+MIN(MAX(0,AI238-(MAX(0,AD231-IF($A239&gt;='1-Input'!$C$12,'1-Input'!$B$12,0))-MIN(MAX(AH238,0),MAX(0,AD231-IF($A239&gt;='1-Input'!$C$12,'1-Input'!$B$12,0))))*(1/(1-'P-Parametri'!$B$6*AD239))),MAX(0,3*MAX(0,AD231-IF($A239&gt;='1-Input'!$C$12,'1-Input'!$B$12,0))-(AH238-MIN(MAX(AH238,0),MAX(0,AD231-IF($A239&gt;='1-Input'!$C$12,'1-Input'!$B$12,0)))))*(1/(1-'P-Parametri'!$B$6*AD239))))</f>
        <v>19594.444867885737</v>
      </c>
      <c r="AF239" s="18">
        <f>IF($A239&gt;'1-Input'!$B$26,AH238,(AH238-MAX(0,AD231-IF($A239&gt;='1-Input'!$C$12,'1-Input'!$B$12,0))+AE239*(1-'P-Parametri'!$B$6*AD239))*(1+'1-Input'!$B$27))</f>
        <v>53181.988792547134</v>
      </c>
      <c r="AG239" s="18">
        <f>IF($A239&gt;'1-Input'!$B$26,AI238,(AI238-AE239)*(1+'5-Roberta'!$C$4))</f>
        <v>327453.61480620515</v>
      </c>
      <c r="AH239" s="18">
        <f>IF($A239&gt;'1-Input'!$B$26,AF239,AF239-'P-Parametri'!$B$8*(AG239+AF239)+MIN(MAX(AG239,0),'P-Parametri'!$B$8*(AG239+AF239)))</f>
        <v>53181.988792547134</v>
      </c>
      <c r="AI239" s="18">
        <f>IF($A239&gt;'1-Input'!$B$26,AG239,AG239-MIN(MAX(AG239,0),'P-Parametri'!$B$8*(AG239+AF239)))</f>
        <v>326692.34359900764</v>
      </c>
      <c r="AJ239" s="18">
        <f>IF($A239&gt;'1-Input'!$B$26,AJ238,AJ238-AE239*(1-AD239))</f>
        <v>217389.74497085559</v>
      </c>
      <c r="AK239" s="11">
        <f>IF($A239&gt;'1-Input'!$B$26,0,IF(AP238&lt;=0,0,MAX(0,(AP238-AQ238)/AP238)))</f>
        <v>0.31620409163252877</v>
      </c>
      <c r="AL239" s="18">
        <f>IF($A239&gt;'1-Input'!$B$26,0,(MAX(0,AK231-IF($A239&gt;='1-Input'!$C$12,'1-Input'!$B$12,0))-MIN(MAX(AO238,0),MAX(0,AK231-IF($A239&gt;='1-Input'!$C$12,'1-Input'!$B$12,0))))*(1/(1-'P-Parametri'!$B$6*AK239))+MIN(MAX(0,AP238-(MAX(0,AK231-IF($A239&gt;='1-Input'!$C$12,'1-Input'!$B$12,0))-MIN(MAX(AO238,0),MAX(0,AK231-IF($A239&gt;='1-Input'!$C$12,'1-Input'!$B$12,0))))*(1/(1-'P-Parametri'!$B$6*AK239))),MAX(0,3*MAX(0,AK231-IF($A239&gt;='1-Input'!$C$12,'1-Input'!$B$12,0))-(AO238-MIN(MAX(AO238,0),MAX(0,AK231-IF($A239&gt;='1-Input'!$C$12,'1-Input'!$B$12,0)))))*(1/(1-'P-Parametri'!$B$6*AK239))))</f>
        <v>19594.648968743786</v>
      </c>
      <c r="AM239" s="18">
        <f>IF($A239&gt;'1-Input'!$B$26,AO238,(AO238-MAX(0,AK231-IF($A239&gt;='1-Input'!$C$12,'1-Input'!$B$12,0))+AL239*(1-'P-Parametri'!$B$6*AK239))*(1+'1-Input'!$B$27))</f>
        <v>53182.542964658947</v>
      </c>
      <c r="AN239" s="18">
        <f>IF($A239&gt;'1-Input'!$B$26,AP238,(AP238-AL239)*(1+'5-Roberta'!$C$4))</f>
        <v>327451.61972022138</v>
      </c>
      <c r="AO239" s="18">
        <f>IF($A239&gt;'1-Input'!$B$26,AM239,AM239-'P-Parametri'!$B$8*(AN239+AM239)+MIN(MAX(AN239,0),'P-Parametri'!$B$8*(AN239+AM239)))</f>
        <v>53182.542964658947</v>
      </c>
      <c r="AP239" s="18">
        <f>IF($A239&gt;'1-Input'!$B$26,AN239,AN239-MIN(MAX(AN239,0),'P-Parametri'!$B$8*(AN239+AM239)))</f>
        <v>326690.35139485163</v>
      </c>
      <c r="AQ239" s="18">
        <f>IF($A239&gt;'1-Input'!$B$26,AQ238,AQ238-AL239*(1-AK239))</f>
        <v>217388.42500290152</v>
      </c>
    </row>
    <row r="240" spans="1:43">
      <c r="A240" s="10">
        <f>7</f>
        <v>7</v>
      </c>
      <c r="B240" s="11">
        <f>IF($A240&gt;'1-Input'!$B$26,0,IF(G239&lt;=0,0,MAX(0,(G239-H239)/G239)))</f>
        <v>0.3346754063538343</v>
      </c>
      <c r="C240" s="18">
        <f>IF($A240&gt;'1-Input'!$B$26,0,(MAX(0,B231-IF($A240&gt;='1-Input'!$C$12,'1-Input'!$B$12,0))-MIN(MAX(F239,0),MAX(0,B231-IF($A240&gt;='1-Input'!$C$12,'1-Input'!$B$12,0))))*(1/(1-'P-Parametri'!$B$6*B240))+MIN(MAX(0,G239-(MAX(0,B231-IF($A240&gt;='1-Input'!$C$12,'1-Input'!$B$12,0))-MIN(MAX(F239,0),MAX(0,B231-IF($A240&gt;='1-Input'!$C$12,'1-Input'!$B$12,0))))*(1/(1-'P-Parametri'!$B$6*B240))),MAX(0,3*MAX(0,B231-IF($A240&gt;='1-Input'!$C$12,'1-Input'!$B$12,0))-(F239-MIN(MAX(F239,0),MAX(0,B231-IF($A240&gt;='1-Input'!$C$12,'1-Input'!$B$12,0)))))*(1/(1-'P-Parametri'!$B$6*B240))))</f>
        <v>18468.235400743073</v>
      </c>
      <c r="D240" s="18">
        <f>IF($A240&gt;'1-Input'!$B$26,F239,(F239-MAX(0,B231-IF($A240&gt;='1-Input'!$C$12,'1-Input'!$B$12,0))+C240*(1-'P-Parametri'!$B$6*B240))*(1+'1-Input'!$B$27))</f>
        <v>49863.010546479447</v>
      </c>
      <c r="E240" s="18">
        <f>IF($A240&gt;'1-Input'!$B$26,G239,(G239-C240)*(1+'5-Roberta'!$C$4))</f>
        <v>329760.3545272047</v>
      </c>
      <c r="F240" s="18">
        <f>IF($A240&gt;'1-Input'!$B$26,D240,D240-'P-Parametri'!$B$8*(E240+D240)+MIN(MAX(E240,0),'P-Parametri'!$B$8*(E240+D240)))</f>
        <v>49863.010546479447</v>
      </c>
      <c r="G240" s="18">
        <f>IF($A240&gt;'1-Input'!$B$26,E240,E240-MIN(MAX(E240,0),'P-Parametri'!$B$8*(E240+D240)))</f>
        <v>329001.10779705731</v>
      </c>
      <c r="H240" s="18">
        <f>IF($A240&gt;'1-Input'!$B$26,H239,H239-C240*(1-B240))</f>
        <v>213007.45036546406</v>
      </c>
      <c r="I240" s="11">
        <f>IF($A240&gt;'1-Input'!$B$26,0,IF(N239&lt;=0,0,MAX(0,(N239-O239)/N239)))</f>
        <v>0.33414159065270227</v>
      </c>
      <c r="J240" s="18">
        <f>IF($A240&gt;'1-Input'!$B$26,0,(MAX(0,I231-IF($A240&gt;='1-Input'!$C$12,'1-Input'!$B$12,0))-MIN(MAX(M239,0),MAX(0,I231-IF($A240&gt;='1-Input'!$C$12,'1-Input'!$B$12,0))))*(1/(1-'P-Parametri'!$B$6*I240))+MIN(MAX(0,N239-(MAX(0,I231-IF($A240&gt;='1-Input'!$C$12,'1-Input'!$B$12,0))-MIN(MAX(M239,0),MAX(0,I231-IF($A240&gt;='1-Input'!$C$12,'1-Input'!$B$12,0))))*(1/(1-'P-Parametri'!$B$6*I240))),MAX(0,3*MAX(0,I231-IF($A240&gt;='1-Input'!$C$12,'1-Input'!$B$12,0))-(M239-MIN(MAX(M239,0),MAX(0,I231-IF($A240&gt;='1-Input'!$C$12,'1-Input'!$B$12,0)))))*(1/(1-'P-Parametri'!$B$6*I240))))</f>
        <v>24296.616161050537</v>
      </c>
      <c r="K240" s="18">
        <f>IF($A240&gt;'1-Input'!$B$26,M239,(M239-MAX(0,I231-IF($A240&gt;='1-Input'!$C$12,'1-Input'!$B$12,0))+J240*(1-'P-Parametri'!$B$6*I240))*(1+'1-Input'!$B$27))</f>
        <v>65609.224403262444</v>
      </c>
      <c r="L240" s="18">
        <f>IF($A240&gt;'1-Input'!$B$26,N239,(N239-J240)*(1+'5-Roberta'!$C$4))</f>
        <v>265454.27768836543</v>
      </c>
      <c r="M240" s="18">
        <f>IF($A240&gt;'1-Input'!$B$26,K240,K240-'P-Parametri'!$B$8*(L240+K240)+MIN(MAX(L240,0),'P-Parametri'!$B$8*(L240+K240)))</f>
        <v>65609.224403262444</v>
      </c>
      <c r="N240" s="18">
        <f>IF($A240&gt;'1-Input'!$B$26,L240,L240-MIN(MAX(L240,0),'P-Parametri'!$B$8*(L240+K240)))</f>
        <v>264792.15068418218</v>
      </c>
      <c r="O240" s="18">
        <f>IF($A240&gt;'1-Input'!$B$26,O239,O239-J240*(1-I240))</f>
        <v>171606.76028738919</v>
      </c>
      <c r="P240" s="11">
        <f>IF($A240&gt;'1-Input'!$B$26,0,IF(U239&lt;=0,0,MAX(0,(U239-V239)/U239)))</f>
        <v>0.33455187266413011</v>
      </c>
      <c r="Q240" s="18">
        <f>IF($A240&gt;'1-Input'!$B$26,0,(MAX(0,P231-IF($A240&gt;='1-Input'!$C$12,'1-Input'!$B$12,0))-MIN(MAX(T239,0),MAX(0,P231-IF($A240&gt;='1-Input'!$C$12,'1-Input'!$B$12,0))))*(1/(1-'P-Parametri'!$B$6*P240))+MIN(MAX(0,U239-(MAX(0,P231-IF($A240&gt;='1-Input'!$C$12,'1-Input'!$B$12,0))-MIN(MAX(T239,0),MAX(0,P231-IF($A240&gt;='1-Input'!$C$12,'1-Input'!$B$12,0))))*(1/(1-'P-Parametri'!$B$6*P240))),MAX(0,3*MAX(0,P231-IF($A240&gt;='1-Input'!$C$12,'1-Input'!$B$12,0))-(T239-MIN(MAX(T239,0),MAX(0,P231-IF($A240&gt;='1-Input'!$C$12,'1-Input'!$B$12,0)))))*(1/(1-'P-Parametri'!$B$6*P240))))</f>
        <v>19949.963203647334</v>
      </c>
      <c r="R240" s="18">
        <f>IF($A240&gt;'1-Input'!$B$26,T239,(T239-MAX(0,P231-IF($A240&gt;='1-Input'!$C$12,'1-Input'!$B$12,0))+Q240*(1-'P-Parametri'!$B$6*P240))*(1+'1-Input'!$B$27))</f>
        <v>53865.472247091267</v>
      </c>
      <c r="S240" s="18">
        <f>IF($A240&gt;'1-Input'!$B$26,U239,(U239-Q240)*(1+'5-Roberta'!$C$4))</f>
        <v>313413.87691635237</v>
      </c>
      <c r="T240" s="18">
        <f>IF($A240&gt;'1-Input'!$B$26,R240,R240-'P-Parametri'!$B$8*(S240+R240)+MIN(MAX(S240,0),'P-Parametri'!$B$8*(S240+R240)))</f>
        <v>53865.472247091267</v>
      </c>
      <c r="U240" s="18">
        <f>IF($A240&gt;'1-Input'!$B$26,S240,S240-MIN(MAX(S240,0),'P-Parametri'!$B$8*(S240+R240)))</f>
        <v>312679.3182180255</v>
      </c>
      <c r="V240" s="18">
        <f>IF($A240&gt;'1-Input'!$B$26,V239,V239-Q240*(1-P240))</f>
        <v>202486.09463598204</v>
      </c>
      <c r="W240" s="11">
        <f>IF($A240&gt;'1-Input'!$B$26,0,IF(AB239&lt;=0,0,MAX(0,(AB239-AC239)/AB239)))</f>
        <v>0.33457307003896325</v>
      </c>
      <c r="X240" s="18">
        <f>IF($A240&gt;'1-Input'!$B$26,0,(MAX(0,W231-IF($A240&gt;='1-Input'!$C$12,'1-Input'!$B$12,0))-MIN(MAX(AA239,0),MAX(0,W231-IF($A240&gt;='1-Input'!$C$12,'1-Input'!$B$12,0))))*(1/(1-'P-Parametri'!$B$6*W240))+MIN(MAX(0,AB239-(MAX(0,W231-IF($A240&gt;='1-Input'!$C$12,'1-Input'!$B$12,0))-MIN(MAX(AA239,0),MAX(0,W231-IF($A240&gt;='1-Input'!$C$12,'1-Input'!$B$12,0))))*(1/(1-'P-Parametri'!$B$6*W240))),MAX(0,3*MAX(0,W231-IF($A240&gt;='1-Input'!$C$12,'1-Input'!$B$12,0))-(AA239-MIN(MAX(AA239,0),MAX(0,W231-IF($A240&gt;='1-Input'!$C$12,'1-Input'!$B$12,0)))))*(1/(1-'P-Parametri'!$B$6*W240))))</f>
        <v>19701.923397456034</v>
      </c>
      <c r="Y240" s="18">
        <f>IF($A240&gt;'1-Input'!$B$26,AA239,(AA239-MAX(0,W231-IF($A240&gt;='1-Input'!$C$12,'1-Input'!$B$12,0))+X240*(1-'P-Parametri'!$B$6*W240))*(1+'1-Input'!$B$27))</f>
        <v>53195.436553678475</v>
      </c>
      <c r="Z240" s="18">
        <f>IF($A240&gt;'1-Input'!$B$26,AB239,(AB239-X240)*(1+'5-Roberta'!$C$4))</f>
        <v>316150.33888160635</v>
      </c>
      <c r="AA240" s="18">
        <f>IF($A240&gt;'1-Input'!$B$26,Y240,Y240-'P-Parametri'!$B$8*(Z240+Y240)+MIN(MAX(Z240,0),'P-Parametri'!$B$8*(Z240+Y240)))</f>
        <v>53195.436553678475</v>
      </c>
      <c r="AB240" s="18">
        <f>IF($A240&gt;'1-Input'!$B$26,Z240,Z240-MIN(MAX(Z240,0),'P-Parametri'!$B$8*(Z240+Y240)))</f>
        <v>315411.64733073581</v>
      </c>
      <c r="AC240" s="18">
        <f>IF($A240&gt;'1-Input'!$B$26,AC239,AC239-X240*(1-W240))</f>
        <v>204247.52369721237</v>
      </c>
      <c r="AD240" s="11">
        <f>IF($A240&gt;'1-Input'!$B$26,0,IF(AI239&lt;=0,0,MAX(0,(AI239-AJ239)/AI239)))</f>
        <v>0.33457349328735253</v>
      </c>
      <c r="AE240" s="18">
        <f>IF($A240&gt;'1-Input'!$B$26,0,(MAX(0,AD231-IF($A240&gt;='1-Input'!$C$12,'1-Input'!$B$12,0))-MIN(MAX(AH239,0),MAX(0,AD231-IF($A240&gt;='1-Input'!$C$12,'1-Input'!$B$12,0))))*(1/(1-'P-Parametri'!$B$6*AD240))+MIN(MAX(0,AI239-(MAX(0,AD231-IF($A240&gt;='1-Input'!$C$12,'1-Input'!$B$12,0))-MIN(MAX(AH239,0),MAX(0,AD231-IF($A240&gt;='1-Input'!$C$12,'1-Input'!$B$12,0))))*(1/(1-'P-Parametri'!$B$6*AD240))),MAX(0,3*MAX(0,AD231-IF($A240&gt;='1-Input'!$C$12,'1-Input'!$B$12,0))-(AH239-MIN(MAX(AH239,0),MAX(0,AD231-IF($A240&gt;='1-Input'!$C$12,'1-Input'!$B$12,0)))))*(1/(1-'P-Parametri'!$B$6*AD240))))</f>
        <v>19696.945142031833</v>
      </c>
      <c r="AF240" s="18">
        <f>IF($A240&gt;'1-Input'!$B$26,AH239,(AH239-MAX(0,AD231-IF($A240&gt;='1-Input'!$C$12,'1-Input'!$B$12,0))+AE240*(1-'P-Parametri'!$B$6*AD240))*(1+'1-Input'!$B$27))</f>
        <v>53181.988792547134</v>
      </c>
      <c r="AG240" s="18">
        <f>IF($A240&gt;'1-Input'!$B$26,AI239,(AI239-AE240)*(1+'5-Roberta'!$C$4))</f>
        <v>316205.26041068509</v>
      </c>
      <c r="AH240" s="18">
        <f>IF($A240&gt;'1-Input'!$B$26,AF240,AF240-'P-Parametri'!$B$8*(AG240+AF240)+MIN(MAX(AG240,0),'P-Parametri'!$B$8*(AG240+AF240)))</f>
        <v>53181.988792547134</v>
      </c>
      <c r="AI240" s="18">
        <f>IF($A240&gt;'1-Input'!$B$26,AG240,AG240-MIN(MAX(AG240,0),'P-Parametri'!$B$8*(AG240+AF240)))</f>
        <v>315466.48591227864</v>
      </c>
      <c r="AJ240" s="18">
        <f>IF($A240&gt;'1-Input'!$B$26,AJ239,AJ239-AE240*(1-AD240))</f>
        <v>204282.8755720827</v>
      </c>
      <c r="AK240" s="11">
        <f>IF($A240&gt;'1-Input'!$B$26,0,IF(AP239&lt;=0,0,MAX(0,(AP239-AQ239)/AP239)))</f>
        <v>0.33457347584729624</v>
      </c>
      <c r="AL240" s="18">
        <f>IF($A240&gt;'1-Input'!$B$26,0,(MAX(0,AK231-IF($A240&gt;='1-Input'!$C$12,'1-Input'!$B$12,0))-MIN(MAX(AO239,0),MAX(0,AK231-IF($A240&gt;='1-Input'!$C$12,'1-Input'!$B$12,0))))*(1/(1-'P-Parametri'!$B$6*AK240))+MIN(MAX(0,AP239-(MAX(0,AK231-IF($A240&gt;='1-Input'!$C$12,'1-Input'!$B$12,0))-MIN(MAX(AO239,0),MAX(0,AK231-IF($A240&gt;='1-Input'!$C$12,'1-Input'!$B$12,0))))*(1/(1-'P-Parametri'!$B$6*AK240))),MAX(0,3*MAX(0,AK231-IF($A240&gt;='1-Input'!$C$12,'1-Input'!$B$12,0))-(AO239-MIN(MAX(AO239,0),MAX(0,AK231-IF($A240&gt;='1-Input'!$C$12,'1-Input'!$B$12,0)))))*(1/(1-'P-Parametri'!$B$6*AK240))))</f>
        <v>19697.150292223083</v>
      </c>
      <c r="AM240" s="18">
        <f>IF($A240&gt;'1-Input'!$B$26,AO239,(AO239-MAX(0,AK231-IF($A240&gt;='1-Input'!$C$12,'1-Input'!$B$12,0))+AL240*(1-'P-Parametri'!$B$6*AK240))*(1+'1-Input'!$B$27))</f>
        <v>53182.542964658947</v>
      </c>
      <c r="AN240" s="18">
        <f>IF($A240&gt;'1-Input'!$B$26,AP239,(AP239-AL240)*(1+'5-Roberta'!$C$4))</f>
        <v>316202.99713570741</v>
      </c>
      <c r="AO240" s="18">
        <f>IF($A240&gt;'1-Input'!$B$26,AM240,AM240-'P-Parametri'!$B$8*(AN240+AM240)+MIN(MAX(AN240,0),'P-Parametri'!$B$8*(AN240+AM240)))</f>
        <v>53182.542964658947</v>
      </c>
      <c r="AP240" s="18">
        <f>IF($A240&gt;'1-Input'!$B$26,AN240,AN240-MIN(MAX(AN240,0),'P-Parametri'!$B$8*(AN240+AM240)))</f>
        <v>315464.22605550668</v>
      </c>
      <c r="AQ240" s="18">
        <f>IF($A240&gt;'1-Input'!$B$26,AQ239,AQ239-AL240*(1-AK240))</f>
        <v>204281.41874823411</v>
      </c>
    </row>
    <row r="241" spans="1:43">
      <c r="A241" s="10">
        <f>8</f>
        <v>8</v>
      </c>
      <c r="B241" s="11">
        <f>IF($A241&gt;'1-Input'!$B$26,0,IF(G240&lt;=0,0,MAX(0,(G240-H240)/G240)))</f>
        <v>0.35256312116475719</v>
      </c>
      <c r="C241" s="18">
        <f>IF($A241&gt;'1-Input'!$B$26,0,(MAX(0,B231-IF($A241&gt;='1-Input'!$C$12,'1-Input'!$B$12,0))-MIN(MAX(F240,0),MAX(0,B231-IF($A241&gt;='1-Input'!$C$12,'1-Input'!$B$12,0))))*(1/(1-'P-Parametri'!$B$6*B241))+MIN(MAX(0,G240-(MAX(0,B231-IF($A241&gt;='1-Input'!$C$12,'1-Input'!$B$12,0))-MIN(MAX(F240,0),MAX(0,B231-IF($A241&gt;='1-Input'!$C$12,'1-Input'!$B$12,0))))*(1/(1-'P-Parametri'!$B$6*B241))),MAX(0,3*MAX(0,B231-IF($A241&gt;='1-Input'!$C$12,'1-Input'!$B$12,0))-(F240-MIN(MAX(F240,0),MAX(0,B231-IF($A241&gt;='1-Input'!$C$12,'1-Input'!$B$12,0)))))*(1/(1-'P-Parametri'!$B$6*B241))))</f>
        <v>18562.795569324499</v>
      </c>
      <c r="D241" s="18">
        <f>IF($A241&gt;'1-Input'!$B$26,F240,(F240-MAX(0,B231-IF($A241&gt;='1-Input'!$C$12,'1-Input'!$B$12,0))+C241*(1-'P-Parametri'!$B$6*B241))*(1+'1-Input'!$B$27))</f>
        <v>49863.010546479447</v>
      </c>
      <c r="E241" s="18">
        <f>IF($A241&gt;'1-Input'!$B$26,G240,(G240-C241)*(1+'5-Roberta'!$C$4))</f>
        <v>319751.46159456478</v>
      </c>
      <c r="F241" s="18">
        <f>IF($A241&gt;'1-Input'!$B$26,D241,D241-'P-Parametri'!$B$8*(E241+D241)+MIN(MAX(E241,0),'P-Parametri'!$B$8*(E241+D241)))</f>
        <v>49863.010546479447</v>
      </c>
      <c r="G241" s="18">
        <f>IF($A241&gt;'1-Input'!$B$26,E241,E241-MIN(MAX(E241,0),'P-Parametri'!$B$8*(E241+D241)))</f>
        <v>319012.23265028268</v>
      </c>
      <c r="H241" s="18">
        <f>IF($A241&gt;'1-Input'!$B$26,H240,H240-C241*(1-B241))</f>
        <v>200989.21193960393</v>
      </c>
      <c r="I241" s="11">
        <f>IF($A241&gt;'1-Input'!$B$26,0,IF(N240&lt;=0,0,MAX(0,(N240-O240)/N240)))</f>
        <v>0.3519190057409794</v>
      </c>
      <c r="J241" s="18">
        <f>IF($A241&gt;'1-Input'!$B$26,0,(MAX(0,I231-IF($A241&gt;='1-Input'!$C$12,'1-Input'!$B$12,0))-MIN(MAX(M240,0),MAX(0,I231-IF($A241&gt;='1-Input'!$C$12,'1-Input'!$B$12,0))))*(1/(1-'P-Parametri'!$B$6*I241))+MIN(MAX(0,N240-(MAX(0,I231-IF($A241&gt;='1-Input'!$C$12,'1-Input'!$B$12,0))-MIN(MAX(M240,0),MAX(0,I231-IF($A241&gt;='1-Input'!$C$12,'1-Input'!$B$12,0))))*(1/(1-'P-Parametri'!$B$6*I241))),MAX(0,3*MAX(0,I231-IF($A241&gt;='1-Input'!$C$12,'1-Input'!$B$12,0))-(M240-MIN(MAX(M240,0),MAX(0,I231-IF($A241&gt;='1-Input'!$C$12,'1-Input'!$B$12,0)))))*(1/(1-'P-Parametri'!$B$6*I241))))</f>
        <v>24420.228640023044</v>
      </c>
      <c r="K241" s="18">
        <f>IF($A241&gt;'1-Input'!$B$26,M240,(M240-MAX(0,I231-IF($A241&gt;='1-Input'!$C$12,'1-Input'!$B$12,0))+J241*(1-'P-Parametri'!$B$6*I241))*(1+'1-Input'!$B$27))</f>
        <v>65609.224403262444</v>
      </c>
      <c r="L241" s="18">
        <f>IF($A241&gt;'1-Input'!$B$26,N240,(N240-J241)*(1+'5-Roberta'!$C$4))</f>
        <v>247583.07970548392</v>
      </c>
      <c r="M241" s="18">
        <f>IF($A241&gt;'1-Input'!$B$26,K241,K241-'P-Parametri'!$B$8*(L241+K241)+MIN(MAX(L241,0),'P-Parametri'!$B$8*(L241+K241)))</f>
        <v>65609.224403262444</v>
      </c>
      <c r="N241" s="18">
        <f>IF($A241&gt;'1-Input'!$B$26,L241,L241-MIN(MAX(L241,0),'P-Parametri'!$B$8*(L241+K241)))</f>
        <v>246956.69509726643</v>
      </c>
      <c r="O241" s="18">
        <f>IF($A241&gt;'1-Input'!$B$26,O240,O240-J241*(1-I241))</f>
        <v>155780.47423033044</v>
      </c>
      <c r="P241" s="11">
        <f>IF($A241&gt;'1-Input'!$B$26,0,IF(U240&lt;=0,0,MAX(0,(U240-V240)/U240)))</f>
        <v>0.35241609266017321</v>
      </c>
      <c r="Q241" s="18">
        <f>IF($A241&gt;'1-Input'!$B$26,0,(MAX(0,P231-IF($A241&gt;='1-Input'!$C$12,'1-Input'!$B$12,0))-MIN(MAX(T240,0),MAX(0,P231-IF($A241&gt;='1-Input'!$C$12,'1-Input'!$B$12,0))))*(1/(1-'P-Parametri'!$B$6*P241))+MIN(MAX(0,U240-(MAX(0,P231-IF($A241&gt;='1-Input'!$C$12,'1-Input'!$B$12,0))-MIN(MAX(T240,0),MAX(0,P231-IF($A241&gt;='1-Input'!$C$12,'1-Input'!$B$12,0))))*(1/(1-'P-Parametri'!$B$6*P241))),MAX(0,3*MAX(0,P231-IF($A241&gt;='1-Input'!$C$12,'1-Input'!$B$12,0))-(T240-MIN(MAX(T240,0),MAX(0,P231-IF($A241&gt;='1-Input'!$C$12,'1-Input'!$B$12,0)))))*(1/(1-'P-Parametri'!$B$6*P241))))</f>
        <v>20051.971584564457</v>
      </c>
      <c r="R241" s="18">
        <f>IF($A241&gt;'1-Input'!$B$26,T240,(T240-MAX(0,P231-IF($A241&gt;='1-Input'!$C$12,'1-Input'!$B$12,0))+Q241*(1-'P-Parametri'!$B$6*P241))*(1+'1-Input'!$B$27))</f>
        <v>53865.472247091267</v>
      </c>
      <c r="S241" s="18">
        <f>IF($A241&gt;'1-Input'!$B$26,U240,(U240-Q241)*(1+'5-Roberta'!$C$4))</f>
        <v>301406.16703246487</v>
      </c>
      <c r="T241" s="18">
        <f>IF($A241&gt;'1-Input'!$B$26,R241,R241-'P-Parametri'!$B$8*(S241+R241)+MIN(MAX(S241,0),'P-Parametri'!$B$8*(S241+R241)))</f>
        <v>53865.472247091267</v>
      </c>
      <c r="U241" s="18">
        <f>IF($A241&gt;'1-Input'!$B$26,S241,S241-MIN(MAX(S241,0),'P-Parametri'!$B$8*(S241+R241)))</f>
        <v>300695.62375390576</v>
      </c>
      <c r="V241" s="18">
        <f>IF($A241&gt;'1-Input'!$B$26,V240,V240-Q241*(1-P241))</f>
        <v>189500.7605273826</v>
      </c>
      <c r="W241" s="11">
        <f>IF($A241&gt;'1-Input'!$B$26,0,IF(AB240&lt;=0,0,MAX(0,(AB240-AC240)/AB240)))</f>
        <v>0.35244140339864638</v>
      </c>
      <c r="X241" s="18">
        <f>IF($A241&gt;'1-Input'!$B$26,0,(MAX(0,W231-IF($A241&gt;='1-Input'!$C$12,'1-Input'!$B$12,0))-MIN(MAX(AA240,0),MAX(0,W231-IF($A241&gt;='1-Input'!$C$12,'1-Input'!$B$12,0))))*(1/(1-'P-Parametri'!$B$6*W241))+MIN(MAX(0,AB240-(MAX(0,W231-IF($A241&gt;='1-Input'!$C$12,'1-Input'!$B$12,0))-MIN(MAX(AA240,0),MAX(0,W231-IF($A241&gt;='1-Input'!$C$12,'1-Input'!$B$12,0))))*(1/(1-'P-Parametri'!$B$6*W241))),MAX(0,3*MAX(0,W231-IF($A241&gt;='1-Input'!$C$12,'1-Input'!$B$12,0))-(AA240-MIN(MAX(AA240,0),MAX(0,W231-IF($A241&gt;='1-Input'!$C$12,'1-Input'!$B$12,0)))))*(1/(1-'P-Parametri'!$B$6*W241))))</f>
        <v>19802.687424507749</v>
      </c>
      <c r="Y241" s="18">
        <f>IF($A241&gt;'1-Input'!$B$26,AA240,(AA240-MAX(0,W231-IF($A241&gt;='1-Input'!$C$12,'1-Input'!$B$12,0))+X241*(1-'P-Parametri'!$B$6*W241))*(1+'1-Input'!$B$27))</f>
        <v>53195.436553678475</v>
      </c>
      <c r="Z241" s="18">
        <f>IF($A241&gt;'1-Input'!$B$26,AB240,(AB240-X241)*(1+'5-Roberta'!$C$4))</f>
        <v>304477.2287034149</v>
      </c>
      <c r="AA241" s="18">
        <f>IF($A241&gt;'1-Input'!$B$26,Y241,Y241-'P-Parametri'!$B$8*(Z241+Y241)+MIN(MAX(Z241,0),'P-Parametri'!$B$8*(Z241+Y241)))</f>
        <v>53195.436553678475</v>
      </c>
      <c r="AB241" s="18">
        <f>IF($A241&gt;'1-Input'!$B$26,Z241,Z241-MIN(MAX(Z241,0),'P-Parametri'!$B$8*(Z241+Y241)))</f>
        <v>303761.88337290072</v>
      </c>
      <c r="AC241" s="18">
        <f>IF($A241&gt;'1-Input'!$B$26,AC240,AC240-X241*(1-W241))</f>
        <v>191424.12321966287</v>
      </c>
      <c r="AD241" s="11">
        <f>IF($A241&gt;'1-Input'!$B$26,0,IF(AI240&lt;=0,0,MAX(0,(AI240-AJ240)/AI240)))</f>
        <v>0.3524419084286266</v>
      </c>
      <c r="AE241" s="18">
        <f>IF($A241&gt;'1-Input'!$B$26,0,(MAX(0,AD231-IF($A241&gt;='1-Input'!$C$12,'1-Input'!$B$12,0))-MIN(MAX(AH240,0),MAX(0,AD231-IF($A241&gt;='1-Input'!$C$12,'1-Input'!$B$12,0))))*(1/(1-'P-Parametri'!$B$6*AD241))+MIN(MAX(0,AI240-(MAX(0,AD231-IF($A241&gt;='1-Input'!$C$12,'1-Input'!$B$12,0))-MIN(MAX(AH240,0),MAX(0,AD231-IF($A241&gt;='1-Input'!$C$12,'1-Input'!$B$12,0))))*(1/(1-'P-Parametri'!$B$6*AD241))),MAX(0,3*MAX(0,AD231-IF($A241&gt;='1-Input'!$C$12,'1-Input'!$B$12,0))-(AH240-MIN(MAX(AH240,0),MAX(0,AD231-IF($A241&gt;='1-Input'!$C$12,'1-Input'!$B$12,0)))))*(1/(1-'P-Parametri'!$B$6*AD241))))</f>
        <v>19797.684183797788</v>
      </c>
      <c r="AF241" s="18">
        <f>IF($A241&gt;'1-Input'!$B$26,AH240,(AH240-MAX(0,AD231-IF($A241&gt;='1-Input'!$C$12,'1-Input'!$B$12,0))+AE241*(1-'P-Parametri'!$B$6*AD241))*(1+'1-Input'!$B$27))</f>
        <v>53181.988792547134</v>
      </c>
      <c r="AG241" s="18">
        <f>IF($A241&gt;'1-Input'!$B$26,AI240,(AI240-AE241)*(1+'5-Roberta'!$C$4))</f>
        <v>304538.86578033527</v>
      </c>
      <c r="AH241" s="18">
        <f>IF($A241&gt;'1-Input'!$B$26,AF241,AF241-'P-Parametri'!$B$8*(AG241+AF241)+MIN(MAX(AG241,0),'P-Parametri'!$B$8*(AG241+AF241)))</f>
        <v>53181.988792547134</v>
      </c>
      <c r="AI241" s="18">
        <f>IF($A241&gt;'1-Input'!$B$26,AG241,AG241-MIN(MAX(AG241,0),'P-Parametri'!$B$8*(AG241+AF241)))</f>
        <v>303823.42407118948</v>
      </c>
      <c r="AJ241" s="18">
        <f>IF($A241&gt;'1-Input'!$B$26,AJ240,AJ240-AE241*(1-AD241))</f>
        <v>191462.72498448985</v>
      </c>
      <c r="AK241" s="11">
        <f>IF($A241&gt;'1-Input'!$B$26,0,IF(AP240&lt;=0,0,MAX(0,(AP240-AQ240)/AP240)))</f>
        <v>0.35244188761900913</v>
      </c>
      <c r="AL241" s="18">
        <f>IF($A241&gt;'1-Input'!$B$26,0,(MAX(0,AK231-IF($A241&gt;='1-Input'!$C$12,'1-Input'!$B$12,0))-MIN(MAX(AO240,0),MAX(0,AK231-IF($A241&gt;='1-Input'!$C$12,'1-Input'!$B$12,0))))*(1/(1-'P-Parametri'!$B$6*AK241))+MIN(MAX(0,AP240-(MAX(0,AK231-IF($A241&gt;='1-Input'!$C$12,'1-Input'!$B$12,0))-MIN(MAX(AO240,0),MAX(0,AK231-IF($A241&gt;='1-Input'!$C$12,'1-Input'!$B$12,0))))*(1/(1-'P-Parametri'!$B$6*AK241))),MAX(0,3*MAX(0,AK231-IF($A241&gt;='1-Input'!$C$12,'1-Input'!$B$12,0))-(AO240-MIN(MAX(AO240,0),MAX(0,AK231-IF($A241&gt;='1-Input'!$C$12,'1-Input'!$B$12,0)))))*(1/(1-'P-Parametri'!$B$6*AK241))))</f>
        <v>19797.890363622202</v>
      </c>
      <c r="AM241" s="18">
        <f>IF($A241&gt;'1-Input'!$B$26,AO240,(AO240-MAX(0,AK231-IF($A241&gt;='1-Input'!$C$12,'1-Input'!$B$12,0))+AL241*(1-'P-Parametri'!$B$6*AK241))*(1+'1-Input'!$B$27))</f>
        <v>53182.542964658947</v>
      </c>
      <c r="AN241" s="18">
        <f>IF($A241&gt;'1-Input'!$B$26,AP240,(AP240-AL241)*(1+'5-Roberta'!$C$4))</f>
        <v>304536.32576264098</v>
      </c>
      <c r="AO241" s="18">
        <f>IF($A241&gt;'1-Input'!$B$26,AM241,AM241-'P-Parametri'!$B$8*(AN241+AM241)+MIN(MAX(AN241,0),'P-Parametri'!$B$8*(AN241+AM241)))</f>
        <v>53182.542964658947</v>
      </c>
      <c r="AP241" s="18">
        <f>IF($A241&gt;'1-Input'!$B$26,AN241,AN241-MIN(MAX(AN241,0),'P-Parametri'!$B$8*(AN241+AM241)))</f>
        <v>303820.88802518637</v>
      </c>
      <c r="AQ241" s="18">
        <f>IF($A241&gt;'1-Input'!$B$26,AQ240,AQ240-AL241*(1-AK241))</f>
        <v>191461.1342352411</v>
      </c>
    </row>
    <row r="242" spans="1:43">
      <c r="A242" s="10">
        <f>9</f>
        <v>9</v>
      </c>
      <c r="B242" s="11">
        <f>IF($A242&gt;'1-Input'!$B$26,0,IF(G241&lt;=0,0,MAX(0,(G241-H241)/G241)))</f>
        <v>0.36996393439263986</v>
      </c>
      <c r="C242" s="18">
        <f>IF($A242&gt;'1-Input'!$B$26,0,(MAX(0,B231-IF($A242&gt;='1-Input'!$C$12,'1-Input'!$B$12,0))-MIN(MAX(F241,0),MAX(0,B231-IF($A242&gt;='1-Input'!$C$12,'1-Input'!$B$12,0))))*(1/(1-'P-Parametri'!$B$6*B242))+MIN(MAX(0,G241-(MAX(0,B231-IF($A242&gt;='1-Input'!$C$12,'1-Input'!$B$12,0))-MIN(MAX(F241,0),MAX(0,B231-IF($A242&gt;='1-Input'!$C$12,'1-Input'!$B$12,0))))*(1/(1-'P-Parametri'!$B$6*B242))),MAX(0,3*MAX(0,B231-IF($A242&gt;='1-Input'!$C$12,'1-Input'!$B$12,0))-(F241-MIN(MAX(F241,0),MAX(0,B231-IF($A242&gt;='1-Input'!$C$12,'1-Input'!$B$12,0)))))*(1/(1-'P-Parametri'!$B$6*B242))))</f>
        <v>18655.715618829374</v>
      </c>
      <c r="D242" s="18">
        <f>IF($A242&gt;'1-Input'!$B$26,F241,(F241-MAX(0,B231-IF($A242&gt;='1-Input'!$C$12,'1-Input'!$B$12,0))+C242*(1-'P-Parametri'!$B$6*B242))*(1+'1-Input'!$B$27))</f>
        <v>49863.010546479447</v>
      </c>
      <c r="E242" s="18">
        <f>IF($A242&gt;'1-Input'!$B$26,G241,(G241-C242)*(1+'5-Roberta'!$C$4))</f>
        <v>309367.21254239691</v>
      </c>
      <c r="F242" s="18">
        <f>IF($A242&gt;'1-Input'!$B$26,D242,D242-'P-Parametri'!$B$8*(E242+D242)+MIN(MAX(E242,0),'P-Parametri'!$B$8*(E242+D242)))</f>
        <v>49863.010546479447</v>
      </c>
      <c r="G242" s="18">
        <f>IF($A242&gt;'1-Input'!$B$26,E242,E242-MIN(MAX(E242,0),'P-Parametri'!$B$8*(E242+D242)))</f>
        <v>308648.75209621916</v>
      </c>
      <c r="H242" s="18">
        <f>IF($A242&gt;'1-Input'!$B$26,H241,H241-C242*(1-B242))</f>
        <v>189235.43827002691</v>
      </c>
      <c r="I242" s="11">
        <f>IF($A242&gt;'1-Input'!$B$26,0,IF(N241&lt;=0,0,MAX(0,(N241-O241)/N241)))</f>
        <v>0.36919922673497596</v>
      </c>
      <c r="J242" s="18">
        <f>IF($A242&gt;'1-Input'!$B$26,0,(MAX(0,I231-IF($A242&gt;='1-Input'!$C$12,'1-Input'!$B$12,0))-MIN(MAX(M241,0),MAX(0,I231-IF($A242&gt;='1-Input'!$C$12,'1-Input'!$B$12,0))))*(1/(1-'P-Parametri'!$B$6*I242))+MIN(MAX(0,N241-(MAX(0,I231-IF($A242&gt;='1-Input'!$C$12,'1-Input'!$B$12,0))-MIN(MAX(M241,0),MAX(0,I231-IF($A242&gt;='1-Input'!$C$12,'1-Input'!$B$12,0))))*(1/(1-'P-Parametri'!$B$6*I242))),MAX(0,3*MAX(0,I231-IF($A242&gt;='1-Input'!$C$12,'1-Input'!$B$12,0))-(M241-MIN(MAX(M241,0),MAX(0,I231-IF($A242&gt;='1-Input'!$C$12,'1-Input'!$B$12,0)))))*(1/(1-'P-Parametri'!$B$6*I242))))</f>
        <v>24541.59546640229</v>
      </c>
      <c r="K242" s="18">
        <f>IF($A242&gt;'1-Input'!$B$26,M241,(M241-MAX(0,I231-IF($A242&gt;='1-Input'!$C$12,'1-Input'!$B$12,0))+J242*(1-'P-Parametri'!$B$6*I242))*(1+'1-Input'!$B$27))</f>
        <v>65609.224403262444</v>
      </c>
      <c r="L242" s="18">
        <f>IF($A242&gt;'1-Input'!$B$26,N241,(N241-J242)*(1+'5-Roberta'!$C$4))</f>
        <v>229087.55261979008</v>
      </c>
      <c r="M242" s="18">
        <f>IF($A242&gt;'1-Input'!$B$26,K242,K242-'P-Parametri'!$B$8*(L242+K242)+MIN(MAX(L242,0),'P-Parametri'!$B$8*(L242+K242)))</f>
        <v>65609.224403262444</v>
      </c>
      <c r="N242" s="18">
        <f>IF($A242&gt;'1-Input'!$B$26,L242,L242-MIN(MAX(L242,0),'P-Parametri'!$B$8*(L242+K242)))</f>
        <v>228498.15906574397</v>
      </c>
      <c r="O242" s="18">
        <f>IF($A242&gt;'1-Input'!$B$26,O241,O241-J242*(1-I242))</f>
        <v>140299.61683296645</v>
      </c>
      <c r="P242" s="11">
        <f>IF($A242&gt;'1-Input'!$B$26,0,IF(U241&lt;=0,0,MAX(0,(U241-V241)/U241)))</f>
        <v>0.36979209021520998</v>
      </c>
      <c r="Q242" s="18">
        <f>IF($A242&gt;'1-Input'!$B$26,0,(MAX(0,P231-IF($A242&gt;='1-Input'!$C$12,'1-Input'!$B$12,0))-MIN(MAX(T241,0),MAX(0,P231-IF($A242&gt;='1-Input'!$C$12,'1-Input'!$B$12,0))))*(1/(1-'P-Parametri'!$B$6*P242))+MIN(MAX(0,U241-(MAX(0,P231-IF($A242&gt;='1-Input'!$C$12,'1-Input'!$B$12,0))-MIN(MAX(T241,0),MAX(0,P231-IF($A242&gt;='1-Input'!$C$12,'1-Input'!$B$12,0))))*(1/(1-'P-Parametri'!$B$6*P242))),MAX(0,3*MAX(0,P231-IF($A242&gt;='1-Input'!$C$12,'1-Input'!$B$12,0))-(T241-MIN(MAX(T241,0),MAX(0,P231-IF($A242&gt;='1-Input'!$C$12,'1-Input'!$B$12,0)))))*(1/(1-'P-Parametri'!$B$6*P242))))</f>
        <v>20152.197922813593</v>
      </c>
      <c r="R242" s="18">
        <f>IF($A242&gt;'1-Input'!$B$26,T241,(T241-MAX(0,P231-IF($A242&gt;='1-Input'!$C$12,'1-Input'!$B$12,0))+Q242*(1-'P-Parametri'!$B$6*P242))*(1+'1-Input'!$B$27))</f>
        <v>53865.472247091267</v>
      </c>
      <c r="S242" s="18">
        <f>IF($A242&gt;'1-Input'!$B$26,U241,(U241-Q242)*(1+'5-Roberta'!$C$4))</f>
        <v>288959.72860602493</v>
      </c>
      <c r="T242" s="18">
        <f>IF($A242&gt;'1-Input'!$B$26,R242,R242-'P-Parametri'!$B$8*(S242+R242)+MIN(MAX(S242,0),'P-Parametri'!$B$8*(S242+R242)))</f>
        <v>53865.472247091267</v>
      </c>
      <c r="U242" s="18">
        <f>IF($A242&gt;'1-Input'!$B$26,S242,S242-MIN(MAX(S242,0),'P-Parametri'!$B$8*(S242+R242)))</f>
        <v>288274.07820431871</v>
      </c>
      <c r="V242" s="18">
        <f>IF($A242&gt;'1-Input'!$B$26,V241,V241-Q242*(1-P242))</f>
        <v>176800.68599687685</v>
      </c>
      <c r="W242" s="11">
        <f>IF($A242&gt;'1-Input'!$B$26,0,IF(AB241&lt;=0,0,MAX(0,(AB241-AC241)/AB241)))</f>
        <v>0.36982177917079556</v>
      </c>
      <c r="X242" s="18">
        <f>IF($A242&gt;'1-Input'!$B$26,0,(MAX(0,W231-IF($A242&gt;='1-Input'!$C$12,'1-Input'!$B$12,0))-MIN(MAX(AA241,0),MAX(0,W231-IF($A242&gt;='1-Input'!$C$12,'1-Input'!$B$12,0))))*(1/(1-'P-Parametri'!$B$6*W242))+MIN(MAX(0,AB241-(MAX(0,W231-IF($A242&gt;='1-Input'!$C$12,'1-Input'!$B$12,0))-MIN(MAX(AA241,0),MAX(0,W231-IF($A242&gt;='1-Input'!$C$12,'1-Input'!$B$12,0))))*(1/(1-'P-Parametri'!$B$6*W242))),MAX(0,3*MAX(0,W231-IF($A242&gt;='1-Input'!$C$12,'1-Input'!$B$12,0))-(AA241-MIN(MAX(AA241,0),MAX(0,W231-IF($A242&gt;='1-Input'!$C$12,'1-Input'!$B$12,0)))))*(1/(1-'P-Parametri'!$B$6*W242))))</f>
        <v>19901.693544206504</v>
      </c>
      <c r="Y242" s="18">
        <f>IF($A242&gt;'1-Input'!$B$26,AA241,(AA241-MAX(0,W231-IF($A242&gt;='1-Input'!$C$12,'1-Input'!$B$12,0))+X242*(1-'P-Parametri'!$B$6*W242))*(1+'1-Input'!$B$27))</f>
        <v>53195.436553678475</v>
      </c>
      <c r="Z242" s="18">
        <f>IF($A242&gt;'1-Input'!$B$26,AB241,(AB241-X242)*(1+'5-Roberta'!$C$4))</f>
        <v>292375.99552355503</v>
      </c>
      <c r="AA242" s="18">
        <f>IF($A242&gt;'1-Input'!$B$26,Y242,Y242-'P-Parametri'!$B$8*(Z242+Y242)+MIN(MAX(Z242,0),'P-Parametri'!$B$8*(Z242+Y242)))</f>
        <v>53195.436553678475</v>
      </c>
      <c r="AB242" s="18">
        <f>IF($A242&gt;'1-Input'!$B$26,Z242,Z242-MIN(MAX(Z242,0),'P-Parametri'!$B$8*(Z242+Y242)))</f>
        <v>291684.85265940055</v>
      </c>
      <c r="AC242" s="18">
        <f>IF($A242&gt;'1-Input'!$B$26,AC241,AC241-X242*(1-W242))</f>
        <v>178882.50939048675</v>
      </c>
      <c r="AD242" s="11">
        <f>IF($A242&gt;'1-Input'!$B$26,0,IF(AI241&lt;=0,0,MAX(0,(AI241-AJ241)/AI241)))</f>
        <v>0.36982237110319766</v>
      </c>
      <c r="AE242" s="18">
        <f>IF($A242&gt;'1-Input'!$B$26,0,(MAX(0,AD231-IF($A242&gt;='1-Input'!$C$12,'1-Input'!$B$12,0))-MIN(MAX(AH241,0),MAX(0,AD231-IF($A242&gt;='1-Input'!$C$12,'1-Input'!$B$12,0))))*(1/(1-'P-Parametri'!$B$6*AD242))+MIN(MAX(0,AI241-(MAX(0,AD231-IF($A242&gt;='1-Input'!$C$12,'1-Input'!$B$12,0))-MIN(MAX(AH241,0),MAX(0,AD231-IF($A242&gt;='1-Input'!$C$12,'1-Input'!$B$12,0))))*(1/(1-'P-Parametri'!$B$6*AD242))),MAX(0,3*MAX(0,AD231-IF($A242&gt;='1-Input'!$C$12,'1-Input'!$B$12,0))-(AH241-MIN(MAX(AH241,0),MAX(0,AD231-IF($A242&gt;='1-Input'!$C$12,'1-Input'!$B$12,0)))))*(1/(1-'P-Parametri'!$B$6*AD242))))</f>
        <v>19896.665800904495</v>
      </c>
      <c r="AF242" s="18">
        <f>IF($A242&gt;'1-Input'!$B$26,AH241,(AH241-MAX(0,AD231-IF($A242&gt;='1-Input'!$C$12,'1-Input'!$B$12,0))+AE242*(1-'P-Parametri'!$B$6*AD242))*(1+'1-Input'!$B$27))</f>
        <v>53181.988792547134</v>
      </c>
      <c r="AG242" s="18">
        <f>IF($A242&gt;'1-Input'!$B$26,AI241,(AI241-AE242)*(1+'5-Roberta'!$C$4))</f>
        <v>292444.56101839355</v>
      </c>
      <c r="AH242" s="18">
        <f>IF($A242&gt;'1-Input'!$B$26,AF242,AF242-'P-Parametri'!$B$8*(AG242+AF242)+MIN(MAX(AG242,0),'P-Parametri'!$B$8*(AG242+AF242)))</f>
        <v>53181.988792547134</v>
      </c>
      <c r="AI242" s="18">
        <f>IF($A242&gt;'1-Input'!$B$26,AG242,AG242-MIN(MAX(AG242,0),'P-Parametri'!$B$8*(AG242+AF242)))</f>
        <v>291753.30791877169</v>
      </c>
      <c r="AJ242" s="18">
        <f>IF($A242&gt;'1-Input'!$B$26,AJ241,AJ241-AE242*(1-AD242))</f>
        <v>178924.29130712376</v>
      </c>
      <c r="AK242" s="11">
        <f>IF($A242&gt;'1-Input'!$B$26,0,IF(AP241&lt;=0,0,MAX(0,(AP241-AQ241)/AP241)))</f>
        <v>0.36982234671314235</v>
      </c>
      <c r="AL242" s="18">
        <f>IF($A242&gt;'1-Input'!$B$26,0,(MAX(0,AK231-IF($A242&gt;='1-Input'!$C$12,'1-Input'!$B$12,0))-MIN(MAX(AO241,0),MAX(0,AK231-IF($A242&gt;='1-Input'!$C$12,'1-Input'!$B$12,0))))*(1/(1-'P-Parametri'!$B$6*AK242))+MIN(MAX(0,AP241-(MAX(0,AK231-IF($A242&gt;='1-Input'!$C$12,'1-Input'!$B$12,0))-MIN(MAX(AO241,0),MAX(0,AK231-IF($A242&gt;='1-Input'!$C$12,'1-Input'!$B$12,0))))*(1/(1-'P-Parametri'!$B$6*AK242))),MAX(0,3*MAX(0,AK231-IF($A242&gt;='1-Input'!$C$12,'1-Input'!$B$12,0))-(AO241-MIN(MAX(AO241,0),MAX(0,AK231-IF($A242&gt;='1-Input'!$C$12,'1-Input'!$B$12,0)))))*(1/(1-'P-Parametri'!$B$6*AK242))))</f>
        <v>19896.872990471926</v>
      </c>
      <c r="AM242" s="18">
        <f>IF($A242&gt;'1-Input'!$B$26,AO241,(AO241-MAX(0,AK231-IF($A242&gt;='1-Input'!$C$12,'1-Input'!$B$12,0))+AL242*(1-'P-Parametri'!$B$6*AK242))*(1+'1-Input'!$B$27))</f>
        <v>53182.542964658947</v>
      </c>
      <c r="AN242" s="18">
        <f>IF($A242&gt;'1-Input'!$B$26,AP241,(AP241-AL242)*(1+'5-Roberta'!$C$4))</f>
        <v>292441.73548575584</v>
      </c>
      <c r="AO242" s="18">
        <f>IF($A242&gt;'1-Input'!$B$26,AM242,AM242-'P-Parametri'!$B$8*(AN242+AM242)+MIN(MAX(AN242,0),'P-Parametri'!$B$8*(AN242+AM242)))</f>
        <v>53182.542964658947</v>
      </c>
      <c r="AP242" s="18">
        <f>IF($A242&gt;'1-Input'!$B$26,AN242,AN242-MIN(MAX(AN242,0),'P-Parametri'!$B$8*(AN242+AM242)))</f>
        <v>291750.48692885501</v>
      </c>
      <c r="AQ242" s="18">
        <f>IF($A242&gt;'1-Input'!$B$26,AQ241,AQ241-AL242*(1-AK242))</f>
        <v>178922.56950635885</v>
      </c>
    </row>
    <row r="243" spans="1:43">
      <c r="A243" s="10">
        <f>10</f>
        <v>10</v>
      </c>
      <c r="B243" s="11">
        <f>IF($A243&gt;'1-Input'!$B$26,0,IF(G242&lt;=0,0,MAX(0,(G242-H242)/G242)))</f>
        <v>0.3868906419196082</v>
      </c>
      <c r="C243" s="18">
        <f>IF($A243&gt;'1-Input'!$B$26,0,(MAX(0,B231-IF($A243&gt;='1-Input'!$C$12,'1-Input'!$B$12,0))-MIN(MAX(F242,0),MAX(0,B231-IF($A243&gt;='1-Input'!$C$12,'1-Input'!$B$12,0))))*(1/(1-'P-Parametri'!$B$6*B243))+MIN(MAX(0,G242-(MAX(0,B231-IF($A243&gt;='1-Input'!$C$12,'1-Input'!$B$12,0))-MIN(MAX(F242,0),MAX(0,B231-IF($A243&gt;='1-Input'!$C$12,'1-Input'!$B$12,0))))*(1/(1-'P-Parametri'!$B$6*B243))),MAX(0,3*MAX(0,B231-IF($A243&gt;='1-Input'!$C$12,'1-Input'!$B$12,0))-(F242-MIN(MAX(F242,0),MAX(0,B231-IF($A243&gt;='1-Input'!$C$12,'1-Input'!$B$12,0)))))*(1/(1-'P-Parametri'!$B$6*B243))))</f>
        <v>18747.000908020345</v>
      </c>
      <c r="D243" s="18">
        <f>IF($A243&gt;'1-Input'!$B$26,F242,(F242-MAX(0,B231-IF($A243&gt;='1-Input'!$C$12,'1-Input'!$B$12,0))+C243*(1-'P-Parametri'!$B$6*B243))*(1+'1-Input'!$B$27))</f>
        <v>49863.010546479447</v>
      </c>
      <c r="E243" s="18">
        <f>IF($A243&gt;'1-Input'!$B$26,G242,(G242-C243)*(1+'5-Roberta'!$C$4))</f>
        <v>298598.80372384476</v>
      </c>
      <c r="F243" s="18">
        <f>IF($A243&gt;'1-Input'!$B$26,D243,D243-'P-Parametri'!$B$8*(E243+D243)+MIN(MAX(E243,0),'P-Parametri'!$B$8*(E243+D243)))</f>
        <v>49863.010546479447</v>
      </c>
      <c r="G243" s="18">
        <f>IF($A243&gt;'1-Input'!$B$26,E243,E243-MIN(MAX(E243,0),'P-Parametri'!$B$8*(E243+D243)))</f>
        <v>297901.88009530411</v>
      </c>
      <c r="H243" s="18">
        <f>IF($A243&gt;'1-Input'!$B$26,H242,H242-C243*(1-B243))</f>
        <v>177741.47657737802</v>
      </c>
      <c r="I243" s="11">
        <f>IF($A243&gt;'1-Input'!$B$26,0,IF(N242&lt;=0,0,MAX(0,(N242-O242)/N242)))</f>
        <v>0.38599235369507223</v>
      </c>
      <c r="J243" s="18">
        <f>IF($A243&gt;'1-Input'!$B$26,0,(MAX(0,I231-IF($A243&gt;='1-Input'!$C$12,'1-Input'!$B$12,0))-MIN(MAX(M242,0),MAX(0,I231-IF($A243&gt;='1-Input'!$C$12,'1-Input'!$B$12,0))))*(1/(1-'P-Parametri'!$B$6*I243))+MIN(MAX(0,N242-(MAX(0,I231-IF($A243&gt;='1-Input'!$C$12,'1-Input'!$B$12,0))-MIN(MAX(M242,0),MAX(0,I231-IF($A243&gt;='1-Input'!$C$12,'1-Input'!$B$12,0))))*(1/(1-'P-Parametri'!$B$6*I243))),MAX(0,3*MAX(0,I231-IF($A243&gt;='1-Input'!$C$12,'1-Input'!$B$12,0))-(M242-MIN(MAX(M242,0),MAX(0,I231-IF($A243&gt;='1-Input'!$C$12,'1-Input'!$B$12,0)))))*(1/(1-'P-Parametri'!$B$6*I243))))</f>
        <v>24660.702661071915</v>
      </c>
      <c r="K243" s="18">
        <f>IF($A243&gt;'1-Input'!$B$26,M242,(M242-MAX(0,I231-IF($A243&gt;='1-Input'!$C$12,'1-Input'!$B$12,0))+J243*(1-'P-Parametri'!$B$6*I243))*(1+'1-Input'!$B$27))</f>
        <v>65609.224403262444</v>
      </c>
      <c r="L243" s="18">
        <f>IF($A243&gt;'1-Input'!$B$26,N242,(N242-J243)*(1+'5-Roberta'!$C$4))</f>
        <v>209952.58009681222</v>
      </c>
      <c r="M243" s="18">
        <f>IF($A243&gt;'1-Input'!$B$26,K243,K243-'P-Parametri'!$B$8*(L243+K243)+MIN(MAX(L243,0),'P-Parametri'!$B$8*(L243+K243)))</f>
        <v>65609.224403262444</v>
      </c>
      <c r="N243" s="18">
        <f>IF($A243&gt;'1-Input'!$B$26,L243,L243-MIN(MAX(L243,0),'P-Parametri'!$B$8*(L243+K243)))</f>
        <v>209401.45648781207</v>
      </c>
      <c r="O243" s="18">
        <f>IF($A243&gt;'1-Input'!$B$26,O242,O242-J243*(1-I243))</f>
        <v>125157.75683581602</v>
      </c>
      <c r="P243" s="11">
        <f>IF($A243&gt;'1-Input'!$B$26,0,IF(U242&lt;=0,0,MAX(0,(U242-V242)/U242)))</f>
        <v>0.38669238976261111</v>
      </c>
      <c r="Q243" s="18">
        <f>IF($A243&gt;'1-Input'!$B$26,0,(MAX(0,P231-IF($A243&gt;='1-Input'!$C$12,'1-Input'!$B$12,0))-MIN(MAX(T242,0),MAX(0,P231-IF($A243&gt;='1-Input'!$C$12,'1-Input'!$B$12,0))))*(1/(1-'P-Parametri'!$B$6*P243))+MIN(MAX(0,U242-(MAX(0,P231-IF($A243&gt;='1-Input'!$C$12,'1-Input'!$B$12,0))-MIN(MAX(T242,0),MAX(0,P231-IF($A243&gt;='1-Input'!$C$12,'1-Input'!$B$12,0))))*(1/(1-'P-Parametri'!$B$6*P243))),MAX(0,3*MAX(0,P231-IF($A243&gt;='1-Input'!$C$12,'1-Input'!$B$12,0))-(T242-MIN(MAX(T242,0),MAX(0,P231-IF($A243&gt;='1-Input'!$C$12,'1-Input'!$B$12,0)))))*(1/(1-'P-Parametri'!$B$6*P243))))</f>
        <v>20250.646246556254</v>
      </c>
      <c r="R243" s="18">
        <f>IF($A243&gt;'1-Input'!$B$26,T242,(T242-MAX(0,P231-IF($A243&gt;='1-Input'!$C$12,'1-Input'!$B$12,0))+Q243*(1-'P-Parametri'!$B$6*P243))*(1+'1-Input'!$B$27))</f>
        <v>53865.472247091267</v>
      </c>
      <c r="S243" s="18">
        <f>IF($A243&gt;'1-Input'!$B$26,U242,(U242-Q243)*(1+'5-Roberta'!$C$4))</f>
        <v>276064.13491649536</v>
      </c>
      <c r="T243" s="18">
        <f>IF($A243&gt;'1-Input'!$B$26,R243,R243-'P-Parametri'!$B$8*(S243+R243)+MIN(MAX(S243,0),'P-Parametri'!$B$8*(S243+R243)))</f>
        <v>53865.472247091267</v>
      </c>
      <c r="U243" s="18">
        <f>IF($A243&gt;'1-Input'!$B$26,S243,S243-MIN(MAX(S243,0),'P-Parametri'!$B$8*(S243+R243)))</f>
        <v>275404.27570216818</v>
      </c>
      <c r="V243" s="18">
        <f>IF($A243&gt;'1-Input'!$B$26,V242,V242-Q243*(1-P243))</f>
        <v>164380.8105416387</v>
      </c>
      <c r="W243" s="11">
        <f>IF($A243&gt;'1-Input'!$B$26,0,IF(AB242&lt;=0,0,MAX(0,(AB242-AC242)/AB242)))</f>
        <v>0.38672677802927508</v>
      </c>
      <c r="X243" s="18">
        <f>IF($A243&gt;'1-Input'!$B$26,0,(MAX(0,W231-IF($A243&gt;='1-Input'!$C$12,'1-Input'!$B$12,0))-MIN(MAX(AA242,0),MAX(0,W231-IF($A243&gt;='1-Input'!$C$12,'1-Input'!$B$12,0))))*(1/(1-'P-Parametri'!$B$6*W243))+MIN(MAX(0,AB242-(MAX(0,W231-IF($A243&gt;='1-Input'!$C$12,'1-Input'!$B$12,0))-MIN(MAX(AA242,0),MAX(0,W231-IF($A243&gt;='1-Input'!$C$12,'1-Input'!$B$12,0))))*(1/(1-'P-Parametri'!$B$6*W243))),MAX(0,3*MAX(0,W231-IF($A243&gt;='1-Input'!$C$12,'1-Input'!$B$12,0))-(AA242-MIN(MAX(AA242,0),MAX(0,W231-IF($A243&gt;='1-Input'!$C$12,'1-Input'!$B$12,0)))))*(1/(1-'P-Parametri'!$B$6*W243))))</f>
        <v>19998.946094996372</v>
      </c>
      <c r="Y243" s="18">
        <f>IF($A243&gt;'1-Input'!$B$26,AA242,(AA242-MAX(0,W231-IF($A243&gt;='1-Input'!$C$12,'1-Input'!$B$12,0))+X243*(1-'P-Parametri'!$B$6*W243))*(1+'1-Input'!$B$27))</f>
        <v>53195.436553678475</v>
      </c>
      <c r="Z243" s="18">
        <f>IF($A243&gt;'1-Input'!$B$26,AB242,(AB242-X243)*(1+'5-Roberta'!$C$4))</f>
        <v>279836.48376133631</v>
      </c>
      <c r="AA243" s="18">
        <f>IF($A243&gt;'1-Input'!$B$26,Y243,Y243-'P-Parametri'!$B$8*(Z243+Y243)+MIN(MAX(Z243,0),'P-Parametri'!$B$8*(Z243+Y243)))</f>
        <v>53195.436553678475</v>
      </c>
      <c r="AB243" s="18">
        <f>IF($A243&gt;'1-Input'!$B$26,Z243,Z243-MIN(MAX(Z243,0),'P-Parametri'!$B$8*(Z243+Y243)))</f>
        <v>279170.41992070625</v>
      </c>
      <c r="AC243" s="18">
        <f>IF($A243&gt;'1-Input'!$B$26,AC242,AC242-X243*(1-W243))</f>
        <v>166617.69128278948</v>
      </c>
      <c r="AD243" s="11">
        <f>IF($A243&gt;'1-Input'!$B$26,0,IF(AI242&lt;=0,0,MAX(0,(AI242-AJ242)/AI242)))</f>
        <v>0.38672746306294203</v>
      </c>
      <c r="AE243" s="18">
        <f>IF($A243&gt;'1-Input'!$B$26,0,(MAX(0,AD231-IF($A243&gt;='1-Input'!$C$12,'1-Input'!$B$12,0))-MIN(MAX(AH242,0),MAX(0,AD231-IF($A243&gt;='1-Input'!$C$12,'1-Input'!$B$12,0))))*(1/(1-'P-Parametri'!$B$6*AD243))+MIN(MAX(0,AI242-(MAX(0,AD231-IF($A243&gt;='1-Input'!$C$12,'1-Input'!$B$12,0))-MIN(MAX(AH242,0),MAX(0,AD231-IF($A243&gt;='1-Input'!$C$12,'1-Input'!$B$12,0))))*(1/(1-'P-Parametri'!$B$6*AD243))),MAX(0,3*MAX(0,AD231-IF($A243&gt;='1-Input'!$C$12,'1-Input'!$B$12,0))-(AH242-MIN(MAX(AH242,0),MAX(0,AD231-IF($A243&gt;='1-Input'!$C$12,'1-Input'!$B$12,0)))))*(1/(1-'P-Parametri'!$B$6*AD243))))</f>
        <v>19993.894337606602</v>
      </c>
      <c r="AF243" s="18">
        <f>IF($A243&gt;'1-Input'!$B$26,AH242,(AH242-MAX(0,AD231-IF($A243&gt;='1-Input'!$C$12,'1-Input'!$B$12,0))+AE243*(1-'P-Parametri'!$B$6*AD243))*(1+'1-Input'!$B$27))</f>
        <v>53181.988792547134</v>
      </c>
      <c r="AG243" s="18">
        <f>IF($A243&gt;'1-Input'!$B$26,AI242,(AI242-AE243)*(1+'5-Roberta'!$C$4))</f>
        <v>279912.19598860003</v>
      </c>
      <c r="AH243" s="18">
        <f>IF($A243&gt;'1-Input'!$B$26,AF243,AF243-'P-Parametri'!$B$8*(AG243+AF243)+MIN(MAX(AG243,0),'P-Parametri'!$B$8*(AG243+AF243)))</f>
        <v>53181.988792547134</v>
      </c>
      <c r="AI243" s="18">
        <f>IF($A243&gt;'1-Input'!$B$26,AG243,AG243-MIN(MAX(AG243,0),'P-Parametri'!$B$8*(AG243+AF243)))</f>
        <v>279246.00761903776</v>
      </c>
      <c r="AJ243" s="18">
        <f>IF($A243&gt;'1-Input'!$B$26,AJ242,AJ242-AE243*(1-AD243))</f>
        <v>166662.58500344827</v>
      </c>
      <c r="AK243" s="11">
        <f>IF($A243&gt;'1-Input'!$B$26,0,IF(AP242&lt;=0,0,MAX(0,(AP242-AQ242)/AP242)))</f>
        <v>0.38672743483718636</v>
      </c>
      <c r="AL243" s="18">
        <f>IF($A243&gt;'1-Input'!$B$26,0,(MAX(0,AK231-IF($A243&gt;='1-Input'!$C$12,'1-Input'!$B$12,0))-MIN(MAX(AO242,0),MAX(0,AK231-IF($A243&gt;='1-Input'!$C$12,'1-Input'!$B$12,0))))*(1/(1-'P-Parametri'!$B$6*AK243))+MIN(MAX(0,AP242-(MAX(0,AK231-IF($A243&gt;='1-Input'!$C$12,'1-Input'!$B$12,0))-MIN(MAX(AO242,0),MAX(0,AK231-IF($A243&gt;='1-Input'!$C$12,'1-Input'!$B$12,0))))*(1/(1-'P-Parametri'!$B$6*AK243))),MAX(0,3*MAX(0,AK231-IF($A243&gt;='1-Input'!$C$12,'1-Input'!$B$12,0))-(AO242-MIN(MAX(AO242,0),MAX(0,AK231-IF($A243&gt;='1-Input'!$C$12,'1-Input'!$B$12,0)))))*(1/(1-'P-Parametri'!$B$6*AK243))))</f>
        <v>19994.102516787771</v>
      </c>
      <c r="AM243" s="18">
        <f>IF($A243&gt;'1-Input'!$B$26,AO242,(AO242-MAX(0,AK231-IF($A243&gt;='1-Input'!$C$12,'1-Input'!$B$12,0))+AL243*(1-'P-Parametri'!$B$6*AK243))*(1+'1-Input'!$B$27))</f>
        <v>53182.542964658947</v>
      </c>
      <c r="AN243" s="18">
        <f>IF($A243&gt;'1-Input'!$B$26,AP242,(AP242-AL243)*(1+'5-Roberta'!$C$4))</f>
        <v>279909.07594442926</v>
      </c>
      <c r="AO243" s="18">
        <f>IF($A243&gt;'1-Input'!$B$26,AM243,AM243-'P-Parametri'!$B$8*(AN243+AM243)+MIN(MAX(AN243,0),'P-Parametri'!$B$8*(AN243+AM243)))</f>
        <v>53182.542964658947</v>
      </c>
      <c r="AP243" s="18">
        <f>IF($A243&gt;'1-Input'!$B$26,AN243,AN243-MIN(MAX(AN243,0),'P-Parametri'!$B$8*(AN243+AM243)))</f>
        <v>279242.89270661108</v>
      </c>
      <c r="AQ243" s="18">
        <f>IF($A243&gt;'1-Input'!$B$26,AQ242,AQ242-AL243*(1-AK243))</f>
        <v>166660.73496776016</v>
      </c>
    </row>
    <row r="244" spans="1:43">
      <c r="A244" s="10">
        <f>11</f>
        <v>11</v>
      </c>
      <c r="B244" s="11">
        <f>IF($A244&gt;'1-Input'!$B$26,0,IF(G243&lt;=0,0,MAX(0,(G243-H243)/G243)))</f>
        <v>0.40335564004995417</v>
      </c>
      <c r="C244" s="18">
        <f>IF($A244&gt;'1-Input'!$B$26,0,(MAX(0,B231-IF($A244&gt;='1-Input'!$C$12,'1-Input'!$B$12,0))-MIN(MAX(F243,0),MAX(0,B231-IF($A244&gt;='1-Input'!$C$12,'1-Input'!$B$12,0))))*(1/(1-'P-Parametri'!$B$6*B244))+MIN(MAX(0,G243-(MAX(0,B231-IF($A244&gt;='1-Input'!$C$12,'1-Input'!$B$12,0))-MIN(MAX(F243,0),MAX(0,B231-IF($A244&gt;='1-Input'!$C$12,'1-Input'!$B$12,0))))*(1/(1-'P-Parametri'!$B$6*B244))),MAX(0,3*MAX(0,B231-IF($A244&gt;='1-Input'!$C$12,'1-Input'!$B$12,0))-(F243-MIN(MAX(F243,0),MAX(0,B231-IF($A244&gt;='1-Input'!$C$12,'1-Input'!$B$12,0)))))*(1/(1-'P-Parametri'!$B$6*B244))))</f>
        <v>18836.657436350382</v>
      </c>
      <c r="D244" s="18">
        <f>IF($A244&gt;'1-Input'!$B$26,F243,(F243-MAX(0,B231-IF($A244&gt;='1-Input'!$C$12,'1-Input'!$B$12,0))+C244*(1-'P-Parametri'!$B$6*B244))*(1+'1-Input'!$B$27))</f>
        <v>49863.010546479447</v>
      </c>
      <c r="E244" s="18">
        <f>IF($A244&gt;'1-Input'!$B$26,G243,(G243-C244)*(1+'5-Roberta'!$C$4))</f>
        <v>287437.17933872237</v>
      </c>
      <c r="F244" s="18">
        <f>IF($A244&gt;'1-Input'!$B$26,D244,D244-'P-Parametri'!$B$8*(E244+D244)+MIN(MAX(E244,0),'P-Parametri'!$B$8*(E244+D244)))</f>
        <v>49863.010546479447</v>
      </c>
      <c r="G244" s="18">
        <f>IF($A244&gt;'1-Input'!$B$26,E244,E244-MIN(MAX(E244,0),'P-Parametri'!$B$8*(E244+D244)))</f>
        <v>286762.57895895198</v>
      </c>
      <c r="H244" s="18">
        <f>IF($A244&gt;'1-Input'!$B$26,H243,H243-C244*(1-B244))</f>
        <v>166502.69115766848</v>
      </c>
      <c r="I244" s="11">
        <f>IF($A244&gt;'1-Input'!$B$26,0,IF(N243&lt;=0,0,MAX(0,(N243-O243)/N243)))</f>
        <v>0.40230713322139355</v>
      </c>
      <c r="J244" s="18">
        <f>IF($A244&gt;'1-Input'!$B$26,0,(MAX(0,I231-IF($A244&gt;='1-Input'!$C$12,'1-Input'!$B$12,0))-MIN(MAX(M243,0),MAX(0,I231-IF($A244&gt;='1-Input'!$C$12,'1-Input'!$B$12,0))))*(1/(1-'P-Parametri'!$B$6*I244))+MIN(MAX(0,N243-(MAX(0,I231-IF($A244&gt;='1-Input'!$C$12,'1-Input'!$B$12,0))-MIN(MAX(M243,0),MAX(0,I231-IF($A244&gt;='1-Input'!$C$12,'1-Input'!$B$12,0))))*(1/(1-'P-Parametri'!$B$6*I244))),MAX(0,3*MAX(0,I231-IF($A244&gt;='1-Input'!$C$12,'1-Input'!$B$12,0))-(M243-MIN(MAX(M243,0),MAX(0,I231-IF($A244&gt;='1-Input'!$C$12,'1-Input'!$B$12,0)))))*(1/(1-'P-Parametri'!$B$6*I244))))</f>
        <v>24777.529558555096</v>
      </c>
      <c r="K244" s="18">
        <f>IF($A244&gt;'1-Input'!$B$26,M243,(M243-MAX(0,I231-IF($A244&gt;='1-Input'!$C$12,'1-Input'!$B$12,0))+J244*(1-'P-Parametri'!$B$6*I244))*(1+'1-Input'!$B$27))</f>
        <v>65609.224403262444</v>
      </c>
      <c r="L244" s="18">
        <f>IF($A244&gt;'1-Input'!$B$26,N243,(N243-J244)*(1+'5-Roberta'!$C$4))</f>
        <v>190162.64473713469</v>
      </c>
      <c r="M244" s="18">
        <f>IF($A244&gt;'1-Input'!$B$26,K244,K244-'P-Parametri'!$B$8*(L244+K244)+MIN(MAX(L244,0),'P-Parametri'!$B$8*(L244+K244)))</f>
        <v>65609.224403262444</v>
      </c>
      <c r="N244" s="18">
        <f>IF($A244&gt;'1-Input'!$B$26,L244,L244-MIN(MAX(L244,0),'P-Parametri'!$B$8*(L244+K244)))</f>
        <v>189651.10099885389</v>
      </c>
      <c r="O244" s="18">
        <f>IF($A244&gt;'1-Input'!$B$26,O243,O243-J244*(1-I244))</f>
        <v>110348.40416227156</v>
      </c>
      <c r="P244" s="11">
        <f>IF($A244&gt;'1-Input'!$B$26,0,IF(U243&lt;=0,0,MAX(0,(U243-V243)/U243)))</f>
        <v>0.40312905410587796</v>
      </c>
      <c r="Q244" s="18">
        <f>IF($A244&gt;'1-Input'!$B$26,0,(MAX(0,P231-IF($A244&gt;='1-Input'!$C$12,'1-Input'!$B$12,0))-MIN(MAX(T243,0),MAX(0,P231-IF($A244&gt;='1-Input'!$C$12,'1-Input'!$B$12,0))))*(1/(1-'P-Parametri'!$B$6*P244))+MIN(MAX(0,U243-(MAX(0,P231-IF($A244&gt;='1-Input'!$C$12,'1-Input'!$B$12,0))-MIN(MAX(T243,0),MAX(0,P231-IF($A244&gt;='1-Input'!$C$12,'1-Input'!$B$12,0))))*(1/(1-'P-Parametri'!$B$6*P244))),MAX(0,3*MAX(0,P231-IF($A244&gt;='1-Input'!$C$12,'1-Input'!$B$12,0))-(T243-MIN(MAX(T243,0),MAX(0,P231-IF($A244&gt;='1-Input'!$C$12,'1-Input'!$B$12,0)))))*(1/(1-'P-Parametri'!$B$6*P244))))</f>
        <v>20347.320855422746</v>
      </c>
      <c r="R244" s="18">
        <f>IF($A244&gt;'1-Input'!$B$26,T243,(T243-MAX(0,P231-IF($A244&gt;='1-Input'!$C$12,'1-Input'!$B$12,0))+Q244*(1-'P-Parametri'!$B$6*P244))*(1+'1-Input'!$B$27))</f>
        <v>53865.472247091267</v>
      </c>
      <c r="S244" s="18">
        <f>IF($A244&gt;'1-Input'!$B$26,U243,(U243-Q244)*(1+'5-Roberta'!$C$4))</f>
        <v>262708.66349214781</v>
      </c>
      <c r="T244" s="18">
        <f>IF($A244&gt;'1-Input'!$B$26,R244,R244-'P-Parametri'!$B$8*(S244+R244)+MIN(MAX(S244,0),'P-Parametri'!$B$8*(S244+R244)))</f>
        <v>53865.472247091267</v>
      </c>
      <c r="U244" s="18">
        <f>IF($A244&gt;'1-Input'!$B$26,S244,S244-MIN(MAX(S244,0),'P-Parametri'!$B$8*(S244+R244)))</f>
        <v>262075.51522066933</v>
      </c>
      <c r="V244" s="18">
        <f>IF($A244&gt;'1-Input'!$B$26,V243,V243-Q244*(1-P244))</f>
        <v>152236.08589625132</v>
      </c>
      <c r="W244" s="11">
        <f>IF($A244&gt;'1-Input'!$B$26,0,IF(AB243&lt;=0,0,MAX(0,(AB243-AC243)/AB243)))</f>
        <v>0.40316853293370231</v>
      </c>
      <c r="X244" s="18">
        <f>IF($A244&gt;'1-Input'!$B$26,0,(MAX(0,W231-IF($A244&gt;='1-Input'!$C$12,'1-Input'!$B$12,0))-MIN(MAX(AA243,0),MAX(0,W231-IF($A244&gt;='1-Input'!$C$12,'1-Input'!$B$12,0))))*(1/(1-'P-Parametri'!$B$6*W244))+MIN(MAX(0,AB243-(MAX(0,W231-IF($A244&gt;='1-Input'!$C$12,'1-Input'!$B$12,0))-MIN(MAX(AA243,0),MAX(0,W231-IF($A244&gt;='1-Input'!$C$12,'1-Input'!$B$12,0))))*(1/(1-'P-Parametri'!$B$6*W244))),MAX(0,3*MAX(0,W231-IF($A244&gt;='1-Input'!$C$12,'1-Input'!$B$12,0))-(AA243-MIN(MAX(AA243,0),MAX(0,W231-IF($A244&gt;='1-Input'!$C$12,'1-Input'!$B$12,0)))))*(1/(1-'P-Parametri'!$B$6*W244))))</f>
        <v>20094.449775705729</v>
      </c>
      <c r="Y244" s="18">
        <f>IF($A244&gt;'1-Input'!$B$26,AA243,(AA243-MAX(0,W231-IF($A244&gt;='1-Input'!$C$12,'1-Input'!$B$12,0))+X244*(1-'P-Parametri'!$B$6*W244))*(1+'1-Input'!$B$27))</f>
        <v>53195.436553678475</v>
      </c>
      <c r="Z244" s="18">
        <f>IF($A244&gt;'1-Input'!$B$26,AB243,(AB243-X244)*(1+'5-Roberta'!$C$4))</f>
        <v>266848.24924935057</v>
      </c>
      <c r="AA244" s="18">
        <f>IF($A244&gt;'1-Input'!$B$26,Y244,Y244-'P-Parametri'!$B$8*(Z244+Y244)+MIN(MAX(Z244,0),'P-Parametri'!$B$8*(Z244+Y244)))</f>
        <v>53195.436553678475</v>
      </c>
      <c r="AB244" s="18">
        <f>IF($A244&gt;'1-Input'!$B$26,Z244,Z244-MIN(MAX(Z244,0),'P-Parametri'!$B$8*(Z244+Y244)))</f>
        <v>266208.16187774454</v>
      </c>
      <c r="AC244" s="18">
        <f>IF($A244&gt;'1-Input'!$B$26,AC243,AC243-X244*(1-W244))</f>
        <v>154624.691343265</v>
      </c>
      <c r="AD244" s="11">
        <f>IF($A244&gt;'1-Input'!$B$26,0,IF(AI243&lt;=0,0,MAX(0,(AI243-AJ243)/AI243)))</f>
        <v>0.403169318607347</v>
      </c>
      <c r="AE244" s="18">
        <f>IF($A244&gt;'1-Input'!$B$26,0,(MAX(0,AD231-IF($A244&gt;='1-Input'!$C$12,'1-Input'!$B$12,0))-MIN(MAX(AH243,0),MAX(0,AD231-IF($A244&gt;='1-Input'!$C$12,'1-Input'!$B$12,0))))*(1/(1-'P-Parametri'!$B$6*AD244))+MIN(MAX(0,AI243-(MAX(0,AD231-IF($A244&gt;='1-Input'!$C$12,'1-Input'!$B$12,0))-MIN(MAX(AH243,0),MAX(0,AD231-IF($A244&gt;='1-Input'!$C$12,'1-Input'!$B$12,0))))*(1/(1-'P-Parametri'!$B$6*AD244))),MAX(0,3*MAX(0,AD231-IF($A244&gt;='1-Input'!$C$12,'1-Input'!$B$12,0))-(AH243-MIN(MAX(AH243,0),MAX(0,AD231-IF($A244&gt;='1-Input'!$C$12,'1-Input'!$B$12,0)))))*(1/(1-'P-Parametri'!$B$6*AD244))))</f>
        <v>20089.374500191963</v>
      </c>
      <c r="AF244" s="18">
        <f>IF($A244&gt;'1-Input'!$B$26,AH243,(AH243-MAX(0,AD231-IF($A244&gt;='1-Input'!$C$12,'1-Input'!$B$12,0))+AE244*(1-'P-Parametri'!$B$6*AD244))*(1+'1-Input'!$B$27))</f>
        <v>53181.988792547134</v>
      </c>
      <c r="AG244" s="18">
        <f>IF($A244&gt;'1-Input'!$B$26,AI243,(AI243-AE244)*(1+'5-Roberta'!$C$4))</f>
        <v>266931.33211241115</v>
      </c>
      <c r="AH244" s="18">
        <f>IF($A244&gt;'1-Input'!$B$26,AF244,AF244-'P-Parametri'!$B$8*(AG244+AF244)+MIN(MAX(AG244,0),'P-Parametri'!$B$8*(AG244+AF244)))</f>
        <v>53181.988792547134</v>
      </c>
      <c r="AI244" s="18">
        <f>IF($A244&gt;'1-Input'!$B$26,AG244,AG244-MIN(MAX(AG244,0),'P-Parametri'!$B$8*(AG244+AF244)))</f>
        <v>266291.10547060124</v>
      </c>
      <c r="AJ244" s="18">
        <f>IF($A244&gt;'1-Input'!$B$26,AJ243,AJ243-AE244*(1-AD244))</f>
        <v>154672.62993174652</v>
      </c>
      <c r="AK244" s="11">
        <f>IF($A244&gt;'1-Input'!$B$26,0,IF(AP243&lt;=0,0,MAX(0,(AP243-AQ243)/AP243)))</f>
        <v>0.403169286235465</v>
      </c>
      <c r="AL244" s="18">
        <f>IF($A244&gt;'1-Input'!$B$26,0,(MAX(0,AK231-IF($A244&gt;='1-Input'!$C$12,'1-Input'!$B$12,0))-MIN(MAX(AO243,0),MAX(0,AK231-IF($A244&gt;='1-Input'!$C$12,'1-Input'!$B$12,0))))*(1/(1-'P-Parametri'!$B$6*AK244))+MIN(MAX(0,AP243-(MAX(0,AK231-IF($A244&gt;='1-Input'!$C$12,'1-Input'!$B$12,0))-MIN(MAX(AO243,0),MAX(0,AK231-IF($A244&gt;='1-Input'!$C$12,'1-Input'!$B$12,0))))*(1/(1-'P-Parametri'!$B$6*AK244))),MAX(0,3*MAX(0,AK231-IF($A244&gt;='1-Input'!$C$12,'1-Input'!$B$12,0))-(AO243-MIN(MAX(AO243,0),MAX(0,AK231-IF($A244&gt;='1-Input'!$C$12,'1-Input'!$B$12,0)))))*(1/(1-'P-Parametri'!$B$6*AK244))))</f>
        <v>20089.583648550601</v>
      </c>
      <c r="AM244" s="18">
        <f>IF($A244&gt;'1-Input'!$B$26,AO243,(AO243-MAX(0,AK231-IF($A244&gt;='1-Input'!$C$12,'1-Input'!$B$12,0))+AL244*(1-'P-Parametri'!$B$6*AK244))*(1+'1-Input'!$B$27))</f>
        <v>53182.542964658947</v>
      </c>
      <c r="AN244" s="18">
        <f>IF($A244&gt;'1-Input'!$B$26,AP243,(AP243-AL244)*(1+'5-Roberta'!$C$4))</f>
        <v>266927.90832980227</v>
      </c>
      <c r="AO244" s="18">
        <f>IF($A244&gt;'1-Input'!$B$26,AM244,AM244-'P-Parametri'!$B$8*(AN244+AM244)+MIN(MAX(AN244,0),'P-Parametri'!$B$8*(AN244+AM244)))</f>
        <v>53182.542964658947</v>
      </c>
      <c r="AP244" s="18">
        <f>IF($A244&gt;'1-Input'!$B$26,AN244,AN244-MIN(MAX(AN244,0),'P-Parametri'!$B$8*(AN244+AM244)))</f>
        <v>266287.68742721336</v>
      </c>
      <c r="AQ244" s="18">
        <f>IF($A244&gt;'1-Input'!$B$26,AQ243,AQ243-AL244*(1-AK244))</f>
        <v>154670.65441956336</v>
      </c>
    </row>
    <row r="245" spans="1:43">
      <c r="A245" s="10">
        <f>12</f>
        <v>12</v>
      </c>
      <c r="B245" s="11">
        <f>IF($A245&gt;'1-Input'!$B$26,0,IF(G244&lt;=0,0,MAX(0,(G244-H244)/G244)))</f>
        <v>0.41937092433004602</v>
      </c>
      <c r="C245" s="18">
        <f>IF($A245&gt;'1-Input'!$B$26,0,(MAX(0,B231-IF($A245&gt;='1-Input'!$C$12,'1-Input'!$B$12,0))-MIN(MAX(F244,0),MAX(0,B231-IF($A245&gt;='1-Input'!$C$12,'1-Input'!$B$12,0))))*(1/(1-'P-Parametri'!$B$6*B245))+MIN(MAX(0,G244-(MAX(0,B231-IF($A245&gt;='1-Input'!$C$12,'1-Input'!$B$12,0))-MIN(MAX(F244,0),MAX(0,B231-IF($A245&gt;='1-Input'!$C$12,'1-Input'!$B$12,0))))*(1/(1-'P-Parametri'!$B$6*B245))),MAX(0,3*MAX(0,B231-IF($A245&gt;='1-Input'!$C$12,'1-Input'!$B$12,0))-(F244-MIN(MAX(F244,0),MAX(0,B231-IF($A245&gt;='1-Input'!$C$12,'1-Input'!$B$12,0)))))*(1/(1-'P-Parametri'!$B$6*B245))))</f>
        <v>18924.691732835465</v>
      </c>
      <c r="D245" s="18">
        <f>IF($A245&gt;'1-Input'!$B$26,F244,(F244-MAX(0,B231-IF($A245&gt;='1-Input'!$C$12,'1-Input'!$B$12,0))+C245*(1-'P-Parametri'!$B$6*B245))*(1+'1-Input'!$B$27))</f>
        <v>49863.010546479447</v>
      </c>
      <c r="E245" s="18">
        <f>IF($A245&gt;'1-Input'!$B$26,G244,(G244-C245)*(1+'5-Roberta'!$C$4))</f>
        <v>275873.0238429</v>
      </c>
      <c r="F245" s="18">
        <f>IF($A245&gt;'1-Input'!$B$26,D245,D245-'P-Parametri'!$B$8*(E245+D245)+MIN(MAX(E245,0),'P-Parametri'!$B$8*(E245+D245)))</f>
        <v>49863.010546479447</v>
      </c>
      <c r="G245" s="18">
        <f>IF($A245&gt;'1-Input'!$B$26,E245,E245-MIN(MAX(E245,0),'P-Parametri'!$B$8*(E245+D245)))</f>
        <v>275221.55177412124</v>
      </c>
      <c r="H245" s="18">
        <f>IF($A245&gt;'1-Input'!$B$26,H244,H244-C245*(1-B245))</f>
        <v>155514.46488949339</v>
      </c>
      <c r="I245" s="11">
        <f>IF($A245&gt;'1-Input'!$B$26,0,IF(N244&lt;=0,0,MAX(0,(N244-O244)/N244)))</f>
        <v>0.41815046903978464</v>
      </c>
      <c r="J245" s="18">
        <f>IF($A245&gt;'1-Input'!$B$26,0,(MAX(0,I231-IF($A245&gt;='1-Input'!$C$12,'1-Input'!$B$12,0))-MIN(MAX(M244,0),MAX(0,I231-IF($A245&gt;='1-Input'!$C$12,'1-Input'!$B$12,0))))*(1/(1-'P-Parametri'!$B$6*I245))+MIN(MAX(0,N244-(MAX(0,I231-IF($A245&gt;='1-Input'!$C$12,'1-Input'!$B$12,0))-MIN(MAX(M244,0),MAX(0,I231-IF($A245&gt;='1-Input'!$C$12,'1-Input'!$B$12,0))))*(1/(1-'P-Parametri'!$B$6*I245))),MAX(0,3*MAX(0,I231-IF($A245&gt;='1-Input'!$C$12,'1-Input'!$B$12,0))-(M244-MIN(MAX(M244,0),MAX(0,I231-IF($A245&gt;='1-Input'!$C$12,'1-Input'!$B$12,0)))))*(1/(1-'P-Parametri'!$B$6*I245))))</f>
        <v>24892.044825420671</v>
      </c>
      <c r="K245" s="18">
        <f>IF($A245&gt;'1-Input'!$B$26,M244,(M244-MAX(0,I231-IF($A245&gt;='1-Input'!$C$12,'1-Input'!$B$12,0))+J245*(1-'P-Parametri'!$B$6*I245))*(1+'1-Input'!$B$27))</f>
        <v>65609.224403262444</v>
      </c>
      <c r="L245" s="18">
        <f>IF($A245&gt;'1-Input'!$B$26,N244,(N244-J245)*(1+'5-Roberta'!$C$4))</f>
        <v>169701.82785863621</v>
      </c>
      <c r="M245" s="18">
        <f>IF($A245&gt;'1-Input'!$B$26,K245,K245-'P-Parametri'!$B$8*(L245+K245)+MIN(MAX(L245,0),'P-Parametri'!$B$8*(L245+K245)))</f>
        <v>65609.224403262444</v>
      </c>
      <c r="N245" s="18">
        <f>IF($A245&gt;'1-Input'!$B$26,L245,L245-MIN(MAX(L245,0),'P-Parametri'!$B$8*(L245+K245)))</f>
        <v>169231.20575411242</v>
      </c>
      <c r="O245" s="18">
        <f>IF($A245&gt;'1-Input'!$B$26,O244,O244-J245*(1-I245))</f>
        <v>95864.979555959886</v>
      </c>
      <c r="P245" s="11">
        <f>IF($A245&gt;'1-Input'!$B$26,0,IF(U244&lt;=0,0,MAX(0,(U244-V244)/U244)))</f>
        <v>0.41911366360162444</v>
      </c>
      <c r="Q245" s="18">
        <f>IF($A245&gt;'1-Input'!$B$26,0,(MAX(0,P231-IF($A245&gt;='1-Input'!$C$12,'1-Input'!$B$12,0))-MIN(MAX(T244,0),MAX(0,P231-IF($A245&gt;='1-Input'!$C$12,'1-Input'!$B$12,0))))*(1/(1-'P-Parametri'!$B$6*P245))+MIN(MAX(0,U244-(MAX(0,P231-IF($A245&gt;='1-Input'!$C$12,'1-Input'!$B$12,0))-MIN(MAX(T244,0),MAX(0,P231-IF($A245&gt;='1-Input'!$C$12,'1-Input'!$B$12,0))))*(1/(1-'P-Parametri'!$B$6*P245))),MAX(0,3*MAX(0,P231-IF($A245&gt;='1-Input'!$C$12,'1-Input'!$B$12,0))-(T244-MIN(MAX(T244,0),MAX(0,P231-IF($A245&gt;='1-Input'!$C$12,'1-Input'!$B$12,0)))))*(1/(1-'P-Parametri'!$B$6*P245))))</f>
        <v>20442.2260683276</v>
      </c>
      <c r="R245" s="18">
        <f>IF($A245&gt;'1-Input'!$B$26,T244,(T244-MAX(0,P231-IF($A245&gt;='1-Input'!$C$12,'1-Input'!$B$12,0))+Q245*(1-'P-Parametri'!$B$6*P245))*(1+'1-Input'!$B$27))</f>
        <v>53865.472247091267</v>
      </c>
      <c r="S245" s="18">
        <f>IF($A245&gt;'1-Input'!$B$26,U244,(U244-Q245)*(1+'5-Roberta'!$C$4))</f>
        <v>248882.28782691198</v>
      </c>
      <c r="T245" s="18">
        <f>IF($A245&gt;'1-Input'!$B$26,R245,R245-'P-Parametri'!$B$8*(S245+R245)+MIN(MAX(S245,0),'P-Parametri'!$B$8*(S245+R245)))</f>
        <v>53865.472247091267</v>
      </c>
      <c r="U245" s="18">
        <f>IF($A245&gt;'1-Input'!$B$26,S245,S245-MIN(MAX(S245,0),'P-Parametri'!$B$8*(S245+R245)))</f>
        <v>248276.79230676396</v>
      </c>
      <c r="V245" s="18">
        <f>IF($A245&gt;'1-Input'!$B$26,V244,V244-Q245*(1-P245))</f>
        <v>140361.47608759312</v>
      </c>
      <c r="W245" s="11">
        <f>IF($A245&gt;'1-Input'!$B$26,0,IF(AB244&lt;=0,0,MAX(0,(AB244-AC244)/AB244)))</f>
        <v>0.41915871304398239</v>
      </c>
      <c r="X245" s="18">
        <f>IF($A245&gt;'1-Input'!$B$26,0,(MAX(0,W231-IF($A245&gt;='1-Input'!$C$12,'1-Input'!$B$12,0))-MIN(MAX(AA244,0),MAX(0,W231-IF($A245&gt;='1-Input'!$C$12,'1-Input'!$B$12,0))))*(1/(1-'P-Parametri'!$B$6*W245))+MIN(MAX(0,AB244-(MAX(0,W231-IF($A245&gt;='1-Input'!$C$12,'1-Input'!$B$12,0))-MIN(MAX(AA244,0),MAX(0,W231-IF($A245&gt;='1-Input'!$C$12,'1-Input'!$B$12,0))))*(1/(1-'P-Parametri'!$B$6*W245))),MAX(0,3*MAX(0,W231-IF($A245&gt;='1-Input'!$C$12,'1-Input'!$B$12,0))-(AA244-MIN(MAX(AA244,0),MAX(0,W231-IF($A245&gt;='1-Input'!$C$12,'1-Input'!$B$12,0)))))*(1/(1-'P-Parametri'!$B$6*W245))))</f>
        <v>20188.209427718695</v>
      </c>
      <c r="Y245" s="18">
        <f>IF($A245&gt;'1-Input'!$B$26,AA244,(AA244-MAX(0,W231-IF($A245&gt;='1-Input'!$C$12,'1-Input'!$B$12,0))+X245*(1-'P-Parametri'!$B$6*W245))*(1+'1-Input'!$B$27))</f>
        <v>53195.436553678475</v>
      </c>
      <c r="Z245" s="18">
        <f>IF($A245&gt;'1-Input'!$B$26,AB244,(AB244-X245)*(1+'5-Roberta'!$C$4))</f>
        <v>253400.55102352664</v>
      </c>
      <c r="AA245" s="18">
        <f>IF($A245&gt;'1-Input'!$B$26,Y245,Y245-'P-Parametri'!$B$8*(Z245+Y245)+MIN(MAX(Z245,0),'P-Parametri'!$B$8*(Z245+Y245)))</f>
        <v>53195.436553678475</v>
      </c>
      <c r="AB245" s="18">
        <f>IF($A245&gt;'1-Input'!$B$26,Z245,Z245-MIN(MAX(Z245,0),'P-Parametri'!$B$8*(Z245+Y245)))</f>
        <v>252787.35904837222</v>
      </c>
      <c r="AC245" s="18">
        <f>IF($A245&gt;'1-Input'!$B$26,AC244,AC244-X245*(1-W245))</f>
        <v>142898.54579793126</v>
      </c>
      <c r="AD245" s="11">
        <f>IF($A245&gt;'1-Input'!$B$26,0,IF(AI244&lt;=0,0,MAX(0,(AI244-AJ244)/AI244)))</f>
        <v>0.41915960858549028</v>
      </c>
      <c r="AE245" s="18">
        <f>IF($A245&gt;'1-Input'!$B$26,0,(MAX(0,AD231-IF($A245&gt;='1-Input'!$C$12,'1-Input'!$B$12,0))-MIN(MAX(AH244,0),MAX(0,AD231-IF($A245&gt;='1-Input'!$C$12,'1-Input'!$B$12,0))))*(1/(1-'P-Parametri'!$B$6*AD245))+MIN(MAX(0,AI244-(MAX(0,AD231-IF($A245&gt;='1-Input'!$C$12,'1-Input'!$B$12,0))-MIN(MAX(AH244,0),MAX(0,AD231-IF($A245&gt;='1-Input'!$C$12,'1-Input'!$B$12,0))))*(1/(1-'P-Parametri'!$B$6*AD245))),MAX(0,3*MAX(0,AD231-IF($A245&gt;='1-Input'!$C$12,'1-Input'!$B$12,0))-(AH244-MIN(MAX(AH244,0),MAX(0,AD231-IF($A245&gt;='1-Input'!$C$12,'1-Input'!$B$12,0)))))*(1/(1-'P-Parametri'!$B$6*AD245))))</f>
        <v>20183.111139785942</v>
      </c>
      <c r="AF245" s="18">
        <f>IF($A245&gt;'1-Input'!$B$26,AH244,(AH244-MAX(0,AD231-IF($A245&gt;='1-Input'!$C$12,'1-Input'!$B$12,0))+AE245*(1-'P-Parametri'!$B$6*AD245))*(1+'1-Input'!$B$27))</f>
        <v>53181.988792547134</v>
      </c>
      <c r="AG245" s="18">
        <f>IF($A245&gt;'1-Input'!$B$26,AI244,(AI244-AE245)*(1+'5-Roberta'!$C$4))</f>
        <v>253491.23416073975</v>
      </c>
      <c r="AH245" s="18">
        <f>IF($A245&gt;'1-Input'!$B$26,AF245,AF245-'P-Parametri'!$B$8*(AG245+AF245)+MIN(MAX(AG245,0),'P-Parametri'!$B$8*(AG245+AF245)))</f>
        <v>53181.988792547134</v>
      </c>
      <c r="AI245" s="18">
        <f>IF($A245&gt;'1-Input'!$B$26,AG245,AG245-MIN(MAX(AG245,0),'P-Parametri'!$B$8*(AG245+AF245)))</f>
        <v>252877.88771483317</v>
      </c>
      <c r="AJ245" s="18">
        <f>IF($A245&gt;'1-Input'!$B$26,AJ244,AJ244-AE245*(1-AD245))</f>
        <v>142949.46375735069</v>
      </c>
      <c r="AK245" s="11">
        <f>IF($A245&gt;'1-Input'!$B$26,0,IF(AP244&lt;=0,0,MAX(0,(AP244-AQ244)/AP244)))</f>
        <v>0.41915957168751639</v>
      </c>
      <c r="AL245" s="18">
        <f>IF($A245&gt;'1-Input'!$B$26,0,(MAX(0,AK231-IF($A245&gt;='1-Input'!$C$12,'1-Input'!$B$12,0))-MIN(MAX(AO244,0),MAX(0,AK231-IF($A245&gt;='1-Input'!$C$12,'1-Input'!$B$12,0))))*(1/(1-'P-Parametri'!$B$6*AK245))+MIN(MAX(0,AP244-(MAX(0,AK231-IF($A245&gt;='1-Input'!$C$12,'1-Input'!$B$12,0))-MIN(MAX(AO244,0),MAX(0,AK231-IF($A245&gt;='1-Input'!$C$12,'1-Input'!$B$12,0))))*(1/(1-'P-Parametri'!$B$6*AK245))),MAX(0,3*MAX(0,AK231-IF($A245&gt;='1-Input'!$C$12,'1-Input'!$B$12,0))-(AO244-MIN(MAX(AO244,0),MAX(0,AK231-IF($A245&gt;='1-Input'!$C$12,'1-Input'!$B$12,0)))))*(1/(1-'P-Parametri'!$B$6*AK245))))</f>
        <v>20183.321236484921</v>
      </c>
      <c r="AM245" s="18">
        <f>IF($A245&gt;'1-Input'!$B$26,AO244,(AO244-MAX(0,AK231-IF($A245&gt;='1-Input'!$C$12,'1-Input'!$B$12,0))+AL245*(1-'P-Parametri'!$B$6*AK245))*(1+'1-Input'!$B$27))</f>
        <v>53182.542964658947</v>
      </c>
      <c r="AN245" s="18">
        <f>IF($A245&gt;'1-Input'!$B$26,AP244,(AP244-AL245)*(1+'5-Roberta'!$C$4))</f>
        <v>253487.4971764503</v>
      </c>
      <c r="AO245" s="18">
        <f>IF($A245&gt;'1-Input'!$B$26,AM245,AM245-'P-Parametri'!$B$8*(AN245+AM245)+MIN(MAX(AN245,0),'P-Parametri'!$B$8*(AN245+AM245)))</f>
        <v>53182.542964658947</v>
      </c>
      <c r="AP245" s="18">
        <f>IF($A245&gt;'1-Input'!$B$26,AN245,AN245-MIN(MAX(AN245,0),'P-Parametri'!$B$8*(AN245+AM245)))</f>
        <v>252874.15709616808</v>
      </c>
      <c r="AQ245" s="18">
        <f>IF($A245&gt;'1-Input'!$B$26,AQ244,AQ244-AL245*(1-AK245))</f>
        <v>142947.36546779503</v>
      </c>
    </row>
    <row r="246" spans="1:43">
      <c r="A246" s="10">
        <f>13</f>
        <v>13</v>
      </c>
      <c r="B246" s="11">
        <f>IF($A246&gt;'1-Input'!$B$26,0,IF(G245&lt;=0,0,MAX(0,(G245-H245)/G245)))</f>
        <v>0.43494808496274079</v>
      </c>
      <c r="C246" s="18">
        <f>IF($A246&gt;'1-Input'!$B$26,0,(MAX(0,B231-IF($A246&gt;='1-Input'!$C$12,'1-Input'!$B$12,0))-MIN(MAX(F245,0),MAX(0,B231-IF($A246&gt;='1-Input'!$C$12,'1-Input'!$B$12,0))))*(1/(1-'P-Parametri'!$B$6*B246))+MIN(MAX(0,G245-(MAX(0,B231-IF($A246&gt;='1-Input'!$C$12,'1-Input'!$B$12,0))-MIN(MAX(F245,0),MAX(0,B231-IF($A246&gt;='1-Input'!$C$12,'1-Input'!$B$12,0))))*(1/(1-'P-Parametri'!$B$6*B246))),MAX(0,3*MAX(0,B231-IF($A246&gt;='1-Input'!$C$12,'1-Input'!$B$12,0))-(F245-MIN(MAX(F245,0),MAX(0,B231-IF($A246&gt;='1-Input'!$C$12,'1-Input'!$B$12,0)))))*(1/(1-'P-Parametri'!$B$6*B246))))</f>
        <v>19011.110724735758</v>
      </c>
      <c r="D246" s="18">
        <f>IF($A246&gt;'1-Input'!$B$26,F245,(F245-MAX(0,B231-IF($A246&gt;='1-Input'!$C$12,'1-Input'!$B$12,0))+C246*(1-'P-Parametri'!$B$6*B246))*(1+'1-Input'!$B$27))</f>
        <v>49863.010546479447</v>
      </c>
      <c r="E246" s="18">
        <f>IF($A246&gt;'1-Input'!$B$26,G245,(G245-C246)*(1+'5-Roberta'!$C$4))</f>
        <v>263896.75428086706</v>
      </c>
      <c r="F246" s="18">
        <f>IF($A246&gt;'1-Input'!$B$26,D246,D246-'P-Parametri'!$B$8*(E246+D246)+MIN(MAX(E246,0),'P-Parametri'!$B$8*(E246+D246)))</f>
        <v>49863.010546479447</v>
      </c>
      <c r="G246" s="18">
        <f>IF($A246&gt;'1-Input'!$B$26,E246,E246-MIN(MAX(E246,0),'P-Parametri'!$B$8*(E246+D246)))</f>
        <v>263269.23475121235</v>
      </c>
      <c r="H246" s="18">
        <f>IF($A246&gt;'1-Input'!$B$26,H245,H245-C246*(1-B246))</f>
        <v>144772.20036749609</v>
      </c>
      <c r="I246" s="11">
        <f>IF($A246&gt;'1-Input'!$B$26,0,IF(N245&lt;=0,0,MAX(0,(N245-O245)/N245)))</f>
        <v>0.43352658199901584</v>
      </c>
      <c r="J246" s="18">
        <f>IF($A246&gt;'1-Input'!$B$26,0,(MAX(0,I231-IF($A246&gt;='1-Input'!$C$12,'1-Input'!$B$12,0))-MIN(MAX(M245,0),MAX(0,I231-IF($A246&gt;='1-Input'!$C$12,'1-Input'!$B$12,0))))*(1/(1-'P-Parametri'!$B$6*I246))+MIN(MAX(0,N245-(MAX(0,I231-IF($A246&gt;='1-Input'!$C$12,'1-Input'!$B$12,0))-MIN(MAX(M245,0),MAX(0,I231-IF($A246&gt;='1-Input'!$C$12,'1-Input'!$B$12,0))))*(1/(1-'P-Parametri'!$B$6*I246))),MAX(0,3*MAX(0,I231-IF($A246&gt;='1-Input'!$C$12,'1-Input'!$B$12,0))-(M245-MIN(MAX(M245,0),MAX(0,I231-IF($A246&gt;='1-Input'!$C$12,'1-Input'!$B$12,0)))))*(1/(1-'P-Parametri'!$B$6*I246))))</f>
        <v>25004.19973229905</v>
      </c>
      <c r="K246" s="18">
        <f>IF($A246&gt;'1-Input'!$B$26,M245,(M245-MAX(0,I231-IF($A246&gt;='1-Input'!$C$12,'1-Input'!$B$12,0))+J246*(1-'P-Parametri'!$B$6*I246))*(1+'1-Input'!$B$27))</f>
        <v>65609.224403262444</v>
      </c>
      <c r="L246" s="18">
        <f>IF($A246&gt;'1-Input'!$B$26,N245,(N245-J246)*(1+'5-Roberta'!$C$4))</f>
        <v>148553.81620246777</v>
      </c>
      <c r="M246" s="18">
        <f>IF($A246&gt;'1-Input'!$B$26,K246,K246-'P-Parametri'!$B$8*(L246+K246)+MIN(MAX(L246,0),'P-Parametri'!$B$8*(L246+K246)))</f>
        <v>65609.224403262444</v>
      </c>
      <c r="N246" s="18">
        <f>IF($A246&gt;'1-Input'!$B$26,L246,L246-MIN(MAX(L246,0),'P-Parametri'!$B$8*(L246+K246)))</f>
        <v>148125.49012125633</v>
      </c>
      <c r="O246" s="18">
        <f>IF($A246&gt;'1-Input'!$B$26,O245,O245-J246*(1-I246))</f>
        <v>81700.765069225148</v>
      </c>
      <c r="P246" s="11">
        <f>IF($A246&gt;'1-Input'!$B$26,0,IF(U245&lt;=0,0,MAX(0,(U245-V245)/U245)))</f>
        <v>0.43465728397938075</v>
      </c>
      <c r="Q246" s="18">
        <f>IF($A246&gt;'1-Input'!$B$26,0,(MAX(0,P231-IF($A246&gt;='1-Input'!$C$12,'1-Input'!$B$12,0))-MIN(MAX(T245,0),MAX(0,P231-IF($A246&gt;='1-Input'!$C$12,'1-Input'!$B$12,0))))*(1/(1-'P-Parametri'!$B$6*P246))+MIN(MAX(0,U245-(MAX(0,P231-IF($A246&gt;='1-Input'!$C$12,'1-Input'!$B$12,0))-MIN(MAX(T245,0),MAX(0,P231-IF($A246&gt;='1-Input'!$C$12,'1-Input'!$B$12,0))))*(1/(1-'P-Parametri'!$B$6*P246))),MAX(0,3*MAX(0,P231-IF($A246&gt;='1-Input'!$C$12,'1-Input'!$B$12,0))-(T245-MIN(MAX(T245,0),MAX(0,P231-IF($A246&gt;='1-Input'!$C$12,'1-Input'!$B$12,0)))))*(1/(1-'P-Parametri'!$B$6*P246))))</f>
        <v>20535.365895934468</v>
      </c>
      <c r="R246" s="18">
        <f>IF($A246&gt;'1-Input'!$B$26,T245,(T245-MAX(0,P231-IF($A246&gt;='1-Input'!$C$12,'1-Input'!$B$12,0))+Q246*(1-'P-Parametri'!$B$6*P246))*(1+'1-Input'!$B$27))</f>
        <v>53865.472247091267</v>
      </c>
      <c r="S246" s="18">
        <f>IF($A246&gt;'1-Input'!$B$26,U245,(U245-Q246)*(1+'5-Roberta'!$C$4))</f>
        <v>234573.66920315439</v>
      </c>
      <c r="T246" s="18">
        <f>IF($A246&gt;'1-Input'!$B$26,R246,R246-'P-Parametri'!$B$8*(S246+R246)+MIN(MAX(S246,0),'P-Parametri'!$B$8*(S246+R246)))</f>
        <v>53865.472247091267</v>
      </c>
      <c r="U246" s="18">
        <f>IF($A246&gt;'1-Input'!$B$26,S246,S246-MIN(MAX(S246,0),'P-Parametri'!$B$8*(S246+R246)))</f>
        <v>233996.7909202539</v>
      </c>
      <c r="V246" s="18">
        <f>IF($A246&gt;'1-Input'!$B$26,V245,V245-Q246*(1-P246))</f>
        <v>128751.95655750834</v>
      </c>
      <c r="W246" s="11">
        <f>IF($A246&gt;'1-Input'!$B$26,0,IF(AB245&lt;=0,0,MAX(0,(AB245-AC245)/AB245)))</f>
        <v>0.43470849833679043</v>
      </c>
      <c r="X246" s="18">
        <f>IF($A246&gt;'1-Input'!$B$26,0,(MAX(0,W231-IF($A246&gt;='1-Input'!$C$12,'1-Input'!$B$12,0))-MIN(MAX(AA245,0),MAX(0,W231-IF($A246&gt;='1-Input'!$C$12,'1-Input'!$B$12,0))))*(1/(1-'P-Parametri'!$B$6*W246))+MIN(MAX(0,AB245-(MAX(0,W231-IF($A246&gt;='1-Input'!$C$12,'1-Input'!$B$12,0))-MIN(MAX(AA245,0),MAX(0,W231-IF($A246&gt;='1-Input'!$C$12,'1-Input'!$B$12,0))))*(1/(1-'P-Parametri'!$B$6*W246))),MAX(0,3*MAX(0,W231-IF($A246&gt;='1-Input'!$C$12,'1-Input'!$B$12,0))-(AA245-MIN(MAX(AA245,0),MAX(0,W231-IF($A246&gt;='1-Input'!$C$12,'1-Input'!$B$12,0)))))*(1/(1-'P-Parametri'!$B$6*W246))))</f>
        <v>20280.229756359793</v>
      </c>
      <c r="Y246" s="18">
        <f>IF($A246&gt;'1-Input'!$B$26,AA245,(AA245-MAX(0,W231-IF($A246&gt;='1-Input'!$C$12,'1-Input'!$B$12,0))+X246*(1-'P-Parametri'!$B$6*W246))*(1+'1-Input'!$B$27))</f>
        <v>53195.436553678475</v>
      </c>
      <c r="Z246" s="18">
        <f>IF($A246&gt;'1-Input'!$B$26,AB245,(AB245-X246)*(1+'5-Roberta'!$C$4))</f>
        <v>239482.3431707728</v>
      </c>
      <c r="AA246" s="18">
        <f>IF($A246&gt;'1-Input'!$B$26,Y246,Y246-'P-Parametri'!$B$8*(Z246+Y246)+MIN(MAX(Z246,0),'P-Parametri'!$B$8*(Z246+Y246)))</f>
        <v>53195.436553678475</v>
      </c>
      <c r="AB246" s="18">
        <f>IF($A246&gt;'1-Input'!$B$26,Z246,Z246-MIN(MAX(Z246,0),'P-Parametri'!$B$8*(Z246+Y246)))</f>
        <v>238896.98761132389</v>
      </c>
      <c r="AC246" s="18">
        <f>IF($A246&gt;'1-Input'!$B$26,AC245,AC245-X246*(1-W246))</f>
        <v>131434.30426488371</v>
      </c>
      <c r="AD246" s="11">
        <f>IF($A246&gt;'1-Input'!$B$26,0,IF(AI245&lt;=0,0,MAX(0,(AI245-AJ245)/AI245)))</f>
        <v>0.43470951513738998</v>
      </c>
      <c r="AE246" s="18">
        <f>IF($A246&gt;'1-Input'!$B$26,0,(MAX(0,AD231-IF($A246&gt;='1-Input'!$C$12,'1-Input'!$B$12,0))-MIN(MAX(AH245,0),MAX(0,AD231-IF($A246&gt;='1-Input'!$C$12,'1-Input'!$B$12,0))))*(1/(1-'P-Parametri'!$B$6*AD246))+MIN(MAX(0,AI245-(MAX(0,AD231-IF($A246&gt;='1-Input'!$C$12,'1-Input'!$B$12,0))-MIN(MAX(AH245,0),MAX(0,AD231-IF($A246&gt;='1-Input'!$C$12,'1-Input'!$B$12,0))))*(1/(1-'P-Parametri'!$B$6*AD246))),MAX(0,3*MAX(0,AD231-IF($A246&gt;='1-Input'!$C$12,'1-Input'!$B$12,0))-(AH245-MIN(MAX(AH245,0),MAX(0,AD231-IF($A246&gt;='1-Input'!$C$12,'1-Input'!$B$12,0)))))*(1/(1-'P-Parametri'!$B$6*AD246))))</f>
        <v>20275.108974631679</v>
      </c>
      <c r="AF246" s="18">
        <f>IF($A246&gt;'1-Input'!$B$26,AH245,(AH245-MAX(0,AD231-IF($A246&gt;='1-Input'!$C$12,'1-Input'!$B$12,0))+AE246*(1-'P-Parametri'!$B$6*AD246))*(1+'1-Input'!$B$27))</f>
        <v>53181.988792547134</v>
      </c>
      <c r="AG246" s="18">
        <f>IF($A246&gt;'1-Input'!$B$26,AI245,(AI245-AE246)*(1+'5-Roberta'!$C$4))</f>
        <v>239580.86210240755</v>
      </c>
      <c r="AH246" s="18">
        <f>IF($A246&gt;'1-Input'!$B$26,AF246,AF246-'P-Parametri'!$B$8*(AG246+AF246)+MIN(MAX(AG246,0),'P-Parametri'!$B$8*(AG246+AF246)))</f>
        <v>53181.988792547141</v>
      </c>
      <c r="AI246" s="18">
        <f>IF($A246&gt;'1-Input'!$B$26,AG246,AG246-MIN(MAX(AG246,0),'P-Parametri'!$B$8*(AG246+AF246)))</f>
        <v>238995.33640061764</v>
      </c>
      <c r="AJ246" s="18">
        <f>IF($A246&gt;'1-Input'!$B$26,AJ245,AJ245-AE246*(1-AD246))</f>
        <v>131488.13757443888</v>
      </c>
      <c r="AK246" s="11">
        <f>IF($A246&gt;'1-Input'!$B$26,0,IF(AP245&lt;=0,0,MAX(0,(AP245-AQ245)/AP245)))</f>
        <v>0.43470947324430581</v>
      </c>
      <c r="AL246" s="18">
        <f>IF($A246&gt;'1-Input'!$B$26,0,(MAX(0,AK231-IF($A246&gt;='1-Input'!$C$12,'1-Input'!$B$12,0))-MIN(MAX(AO245,0),MAX(0,AK231-IF($A246&gt;='1-Input'!$C$12,'1-Input'!$B$12,0))))*(1/(1-'P-Parametri'!$B$6*AK246))+MIN(MAX(0,AP245-(MAX(0,AK231-IF($A246&gt;='1-Input'!$C$12,'1-Input'!$B$12,0))-MIN(MAX(AO245,0),MAX(0,AK231-IF($A246&gt;='1-Input'!$C$12,'1-Input'!$B$12,0))))*(1/(1-'P-Parametri'!$B$6*AK246))),MAX(0,3*MAX(0,AK231-IF($A246&gt;='1-Input'!$C$12,'1-Input'!$B$12,0))-(AO245-MIN(MAX(AO245,0),MAX(0,AK231-IF($A246&gt;='1-Input'!$C$12,'1-Input'!$B$12,0)))))*(1/(1-'P-Parametri'!$B$6*AK246))))</f>
        <v>20275.319998302257</v>
      </c>
      <c r="AM246" s="18">
        <f>IF($A246&gt;'1-Input'!$B$26,AO245,(AO245-MAX(0,AK231-IF($A246&gt;='1-Input'!$C$12,'1-Input'!$B$12,0))+AL246*(1-'P-Parametri'!$B$6*AK246))*(1+'1-Input'!$B$27))</f>
        <v>53182.542964658947</v>
      </c>
      <c r="AN246" s="18">
        <f>IF($A246&gt;'1-Input'!$B$26,AP245,(AP245-AL246)*(1+'5-Roberta'!$C$4))</f>
        <v>239576.8022108018</v>
      </c>
      <c r="AO246" s="18">
        <f>IF($A246&gt;'1-Input'!$B$26,AM246,AM246-'P-Parametri'!$B$8*(AN246+AM246)+MIN(MAX(AN246,0),'P-Parametri'!$B$8*(AN246+AM246)))</f>
        <v>53182.542964658947</v>
      </c>
      <c r="AP246" s="18">
        <f>IF($A246&gt;'1-Input'!$B$26,AN246,AN246-MIN(MAX(AN246,0),'P-Parametri'!$B$8*(AN246+AM246)))</f>
        <v>238991.28352045087</v>
      </c>
      <c r="AQ246" s="18">
        <f>IF($A246&gt;'1-Input'!$B$26,AQ245,AQ245-AL246*(1-AK246))</f>
        <v>131485.91914581449</v>
      </c>
    </row>
    <row r="247" spans="1:43">
      <c r="A247" s="10">
        <f>14</f>
        <v>14</v>
      </c>
      <c r="B247" s="11">
        <f>IF($A247&gt;'1-Input'!$B$26,0,IF(G246&lt;=0,0,MAX(0,(G246-H246)/G246)))</f>
        <v>0.45009829764459625</v>
      </c>
      <c r="C247" s="18">
        <f>IF($A247&gt;'1-Input'!$B$26,0,(MAX(0,B231-IF($A247&gt;='1-Input'!$C$12,'1-Input'!$B$12,0))-MIN(MAX(F246,0),MAX(0,B231-IF($A247&gt;='1-Input'!$C$12,'1-Input'!$B$12,0))))*(1/(1-'P-Parametri'!$B$6*B247))+MIN(MAX(0,G246-(MAX(0,B231-IF($A247&gt;='1-Input'!$C$12,'1-Input'!$B$12,0))-MIN(MAX(F246,0),MAX(0,B231-IF($A247&gt;='1-Input'!$C$12,'1-Input'!$B$12,0))))*(1/(1-'P-Parametri'!$B$6*B247))),MAX(0,3*MAX(0,B231-IF($A247&gt;='1-Input'!$C$12,'1-Input'!$B$12,0))-(F246-MIN(MAX(F246,0),MAX(0,B231-IF($A247&gt;='1-Input'!$C$12,'1-Input'!$B$12,0)))))*(1/(1-'P-Parametri'!$B$6*B247))))</f>
        <v>19095.921578587804</v>
      </c>
      <c r="D247" s="18">
        <f>IF($A247&gt;'1-Input'!$B$26,F246,(F246-MAX(0,B231-IF($A247&gt;='1-Input'!$C$12,'1-Input'!$B$12,0))+C247*(1-'P-Parametri'!$B$6*B247))*(1+'1-Input'!$B$27))</f>
        <v>49863.010546479447</v>
      </c>
      <c r="E247" s="18">
        <f>IF($A247&gt;'1-Input'!$B$26,G246,(G246-C247)*(1+'5-Roberta'!$C$4))</f>
        <v>251498.51256780329</v>
      </c>
      <c r="F247" s="18">
        <f>IF($A247&gt;'1-Input'!$B$26,D247,D247-'P-Parametri'!$B$8*(E247+D247)+MIN(MAX(E247,0),'P-Parametri'!$B$8*(E247+D247)))</f>
        <v>49863.010546479447</v>
      </c>
      <c r="G247" s="18">
        <f>IF($A247&gt;'1-Input'!$B$26,E247,E247-MIN(MAX(E247,0),'P-Parametri'!$B$8*(E247+D247)))</f>
        <v>250895.78952157474</v>
      </c>
      <c r="H247" s="18">
        <f>IF($A247&gt;'1-Input'!$B$26,H246,H246-C247*(1-B247))</f>
        <v>134271.32058338536</v>
      </c>
      <c r="I247" s="11">
        <f>IF($A247&gt;'1-Input'!$B$26,0,IF(N246&lt;=0,0,MAX(0,(N246-O246)/N246)))</f>
        <v>0.44843547857735722</v>
      </c>
      <c r="J247" s="18">
        <f>IF($A247&gt;'1-Input'!$B$26,0,(MAX(0,I231-IF($A247&gt;='1-Input'!$C$12,'1-Input'!$B$12,0))-MIN(MAX(M246,0),MAX(0,I231-IF($A247&gt;='1-Input'!$C$12,'1-Input'!$B$12,0))))*(1/(1-'P-Parametri'!$B$6*I247))+MIN(MAX(0,N246-(MAX(0,I231-IF($A247&gt;='1-Input'!$C$12,'1-Input'!$B$12,0))-MIN(MAX(M246,0),MAX(0,I231-IF($A247&gt;='1-Input'!$C$12,'1-Input'!$B$12,0))))*(1/(1-'P-Parametri'!$B$6*I247))),MAX(0,3*MAX(0,I231-IF($A247&gt;='1-Input'!$C$12,'1-Input'!$B$12,0))-(M246-MIN(MAX(M246,0),MAX(0,I231-IF($A247&gt;='1-Input'!$C$12,'1-Input'!$B$12,0)))))*(1/(1-'P-Parametri'!$B$6*I247))))</f>
        <v>25113.916014669718</v>
      </c>
      <c r="K247" s="18">
        <f>IF($A247&gt;'1-Input'!$B$26,M246,(M246-MAX(0,I231-IF($A247&gt;='1-Input'!$C$12,'1-Input'!$B$12,0))+J247*(1-'P-Parametri'!$B$6*I247))*(1+'1-Input'!$B$27))</f>
        <v>65609.224403262444</v>
      </c>
      <c r="L247" s="18">
        <f>IF($A247&gt;'1-Input'!$B$26,N246,(N246-J247)*(1+'5-Roberta'!$C$4))</f>
        <v>126701.92132978421</v>
      </c>
      <c r="M247" s="18">
        <f>IF($A247&gt;'1-Input'!$B$26,K247,K247-'P-Parametri'!$B$8*(L247+K247)+MIN(MAX(L247,0),'P-Parametri'!$B$8*(L247+K247)))</f>
        <v>65609.224403262444</v>
      </c>
      <c r="N247" s="18">
        <f>IF($A247&gt;'1-Input'!$B$26,L247,L247-MIN(MAX(L247,0),'P-Parametri'!$B$8*(L247+K247)))</f>
        <v>126317.29903831812</v>
      </c>
      <c r="O247" s="18">
        <f>IF($A247&gt;'1-Input'!$B$26,O246,O246-J247*(1-I247))</f>
        <v>67848.820001545406</v>
      </c>
      <c r="P247" s="11">
        <f>IF($A247&gt;'1-Input'!$B$26,0,IF(U246&lt;=0,0,MAX(0,(U246-V246)/U246)))</f>
        <v>0.44977041757214953</v>
      </c>
      <c r="Q247" s="18">
        <f>IF($A247&gt;'1-Input'!$B$26,0,(MAX(0,P231-IF($A247&gt;='1-Input'!$C$12,'1-Input'!$B$12,0))-MIN(MAX(T246,0),MAX(0,P231-IF($A247&gt;='1-Input'!$C$12,'1-Input'!$B$12,0))))*(1/(1-'P-Parametri'!$B$6*P247))+MIN(MAX(0,U246-(MAX(0,P231-IF($A247&gt;='1-Input'!$C$12,'1-Input'!$B$12,0))-MIN(MAX(T246,0),MAX(0,P231-IF($A247&gt;='1-Input'!$C$12,'1-Input'!$B$12,0))))*(1/(1-'P-Parametri'!$B$6*P247))),MAX(0,3*MAX(0,P231-IF($A247&gt;='1-Input'!$C$12,'1-Input'!$B$12,0))-(T246-MIN(MAX(T246,0),MAX(0,P231-IF($A247&gt;='1-Input'!$C$12,'1-Input'!$B$12,0)))))*(1/(1-'P-Parametri'!$B$6*P247))))</f>
        <v>20626.743602453091</v>
      </c>
      <c r="R247" s="18">
        <f>IF($A247&gt;'1-Input'!$B$26,T246,(T246-MAX(0,P231-IF($A247&gt;='1-Input'!$C$12,'1-Input'!$B$12,0))+Q247*(1-'P-Parametri'!$B$6*P247))*(1+'1-Input'!$B$27))</f>
        <v>53865.472247091267</v>
      </c>
      <c r="S247" s="18">
        <f>IF($A247&gt;'1-Input'!$B$26,U246,(U246-Q247)*(1+'5-Roberta'!$C$4))</f>
        <v>219771.14873733485</v>
      </c>
      <c r="T247" s="18">
        <f>IF($A247&gt;'1-Input'!$B$26,R247,R247-'P-Parametri'!$B$8*(S247+R247)+MIN(MAX(S247,0),'P-Parametri'!$B$8*(S247+R247)))</f>
        <v>53865.472247091267</v>
      </c>
      <c r="U247" s="18">
        <f>IF($A247&gt;'1-Input'!$B$26,S247,S247-MIN(MAX(S247,0),'P-Parametri'!$B$8*(S247+R247)))</f>
        <v>219223.875495366</v>
      </c>
      <c r="V247" s="18">
        <f>IF($A247&gt;'1-Input'!$B$26,V246,V246-Q247*(1-P247))</f>
        <v>117402.51203828424</v>
      </c>
      <c r="W247" s="11">
        <f>IF($A247&gt;'1-Input'!$B$26,0,IF(AB246&lt;=0,0,MAX(0,(AB246-AC246)/AB246)))</f>
        <v>0.44982854083232637</v>
      </c>
      <c r="X247" s="18">
        <f>IF($A247&gt;'1-Input'!$B$26,0,(MAX(0,W231-IF($A247&gt;='1-Input'!$C$12,'1-Input'!$B$12,0))-MIN(MAX(AA246,0),MAX(0,W231-IF($A247&gt;='1-Input'!$C$12,'1-Input'!$B$12,0))))*(1/(1-'P-Parametri'!$B$6*W247))+MIN(MAX(0,AB246-(MAX(0,W231-IF($A247&gt;='1-Input'!$C$12,'1-Input'!$B$12,0))-MIN(MAX(AA246,0),MAX(0,W231-IF($A247&gt;='1-Input'!$C$12,'1-Input'!$B$12,0))))*(1/(1-'P-Parametri'!$B$6*W247))),MAX(0,3*MAX(0,W231-IF($A247&gt;='1-Input'!$C$12,'1-Input'!$B$12,0))-(AA246-MIN(MAX(AA246,0),MAX(0,W231-IF($A247&gt;='1-Input'!$C$12,'1-Input'!$B$12,0)))))*(1/(1-'P-Parametri'!$B$6*W247))))</f>
        <v>20370.514964097383</v>
      </c>
      <c r="Y247" s="18">
        <f>IF($A247&gt;'1-Input'!$B$26,AA246,(AA246-MAX(0,W231-IF($A247&gt;='1-Input'!$C$12,'1-Input'!$B$12,0))+X247*(1-'P-Parametri'!$B$6*W247))*(1+'1-Input'!$B$27))</f>
        <v>53195.436553678475</v>
      </c>
      <c r="Z247" s="18">
        <f>IF($A247&gt;'1-Input'!$B$26,AB246,(AB246-X247)*(1+'5-Roberta'!$C$4))</f>
        <v>225082.26682664332</v>
      </c>
      <c r="AA247" s="18">
        <f>IF($A247&gt;'1-Input'!$B$26,Y247,Y247-'P-Parametri'!$B$8*(Z247+Y247)+MIN(MAX(Z247,0),'P-Parametri'!$B$8*(Z247+Y247)))</f>
        <v>53195.436553678475</v>
      </c>
      <c r="AB247" s="18">
        <f>IF($A247&gt;'1-Input'!$B$26,Z247,Z247-MIN(MAX(Z247,0),'P-Parametri'!$B$8*(Z247+Y247)))</f>
        <v>224525.71141988266</v>
      </c>
      <c r="AC247" s="18">
        <f>IF($A247&gt;'1-Input'!$B$26,AC246,AC246-X247*(1-W247))</f>
        <v>120227.02832308933</v>
      </c>
      <c r="AD247" s="11">
        <f>IF($A247&gt;'1-Input'!$B$26,0,IF(AI246&lt;=0,0,MAX(0,(AI246-AJ246)/AI246)))</f>
        <v>0.44982969310317023</v>
      </c>
      <c r="AE247" s="18">
        <f>IF($A247&gt;'1-Input'!$B$26,0,(MAX(0,AD231-IF($A247&gt;='1-Input'!$C$12,'1-Input'!$B$12,0))-MIN(MAX(AH246,0),MAX(0,AD231-IF($A247&gt;='1-Input'!$C$12,'1-Input'!$B$12,0))))*(1/(1-'P-Parametri'!$B$6*AD247))+MIN(MAX(0,AI246-(MAX(0,AD231-IF($A247&gt;='1-Input'!$C$12,'1-Input'!$B$12,0))-MIN(MAX(AH246,0),MAX(0,AD231-IF($A247&gt;='1-Input'!$C$12,'1-Input'!$B$12,0))))*(1/(1-'P-Parametri'!$B$6*AD247))),MAX(0,3*MAX(0,AD231-IF($A247&gt;='1-Input'!$C$12,'1-Input'!$B$12,0))-(AH246-MIN(MAX(AH246,0),MAX(0,AD231-IF($A247&gt;='1-Input'!$C$12,'1-Input'!$B$12,0)))))*(1/(1-'P-Parametri'!$B$6*AD247))))</f>
        <v>20365.372224591687</v>
      </c>
      <c r="AF247" s="18">
        <f>IF($A247&gt;'1-Input'!$B$26,AH246,(AH246-MAX(0,AD231-IF($A247&gt;='1-Input'!$C$12,'1-Input'!$B$12,0))+AE247*(1-'P-Parametri'!$B$6*AD247))*(1+'1-Input'!$B$27))</f>
        <v>53181.988792547134</v>
      </c>
      <c r="AG247" s="18">
        <f>IF($A247&gt;'1-Input'!$B$26,AI246,(AI246-AE247)*(1+'5-Roberta'!$C$4))</f>
        <v>225188.86310130672</v>
      </c>
      <c r="AH247" s="18">
        <f>IF($A247&gt;'1-Input'!$B$26,AF247,AF247-'P-Parametri'!$B$8*(AG247+AF247)+MIN(MAX(AG247,0),'P-Parametri'!$B$8*(AG247+AF247)))</f>
        <v>53181.988792547134</v>
      </c>
      <c r="AI247" s="18">
        <f>IF($A247&gt;'1-Input'!$B$26,AG247,AG247-MIN(MAX(AG247,0),'P-Parametri'!$B$8*(AG247+AF247)))</f>
        <v>224632.12139751902</v>
      </c>
      <c r="AJ247" s="18">
        <f>IF($A247&gt;'1-Input'!$B$26,AJ246,AJ246-AE247*(1-AD247))</f>
        <v>120283.71448756709</v>
      </c>
      <c r="AK247" s="11">
        <f>IF($A247&gt;'1-Input'!$B$26,0,IF(AP246&lt;=0,0,MAX(0,(AP246-AQ246)/AP246)))</f>
        <v>0.44982964562988748</v>
      </c>
      <c r="AL247" s="18">
        <f>IF($A247&gt;'1-Input'!$B$26,0,(MAX(0,AK231-IF($A247&gt;='1-Input'!$C$12,'1-Input'!$B$12,0))-MIN(MAX(AO246,0),MAX(0,AK231-IF($A247&gt;='1-Input'!$C$12,'1-Input'!$B$12,0))))*(1/(1-'P-Parametri'!$B$6*AK247))+MIN(MAX(0,AP246-(MAX(0,AK231-IF($A247&gt;='1-Input'!$C$12,'1-Input'!$B$12,0))-MIN(MAX(AO246,0),MAX(0,AK231-IF($A247&gt;='1-Input'!$C$12,'1-Input'!$B$12,0))))*(1/(1-'P-Parametri'!$B$6*AK247))),MAX(0,3*MAX(0,AK231-IF($A247&gt;='1-Input'!$C$12,'1-Input'!$B$12,0))-(AO246-MIN(MAX(AO246,0),MAX(0,AK231-IF($A247&gt;='1-Input'!$C$12,'1-Input'!$B$12,0)))))*(1/(1-'P-Parametri'!$B$6*AK247))))</f>
        <v>20365.58415314939</v>
      </c>
      <c r="AM247" s="18">
        <f>IF($A247&gt;'1-Input'!$B$26,AO246,(AO246-MAX(0,AK231-IF($A247&gt;='1-Input'!$C$12,'1-Input'!$B$12,0))+AL247*(1-'P-Parametri'!$B$6*AK247))*(1+'1-Input'!$B$27))</f>
        <v>53182.542964658947</v>
      </c>
      <c r="AN247" s="18">
        <f>IF($A247&gt;'1-Input'!$B$26,AP246,(AP246-AL247)*(1+'5-Roberta'!$C$4))</f>
        <v>225184.47034832052</v>
      </c>
      <c r="AO247" s="18">
        <f>IF($A247&gt;'1-Input'!$B$26,AM247,AM247-'P-Parametri'!$B$8*(AN247+AM247)+MIN(MAX(AN247,0),'P-Parametri'!$B$8*(AN247+AM247)))</f>
        <v>53182.542964658947</v>
      </c>
      <c r="AP247" s="18">
        <f>IF($A247&gt;'1-Input'!$B$26,AN247,AN247-MIN(MAX(AN247,0),'P-Parametri'!$B$8*(AN247+AM247)))</f>
        <v>224627.73632169457</v>
      </c>
      <c r="AQ247" s="18">
        <f>IF($A247&gt;'1-Input'!$B$26,AQ246,AQ246-AL247*(1-AK247))</f>
        <v>120281.37849532194</v>
      </c>
    </row>
    <row r="248" spans="1:43">
      <c r="A248" s="10">
        <f>15</f>
        <v>15</v>
      </c>
      <c r="B248" s="11">
        <f>IF($A248&gt;'1-Input'!$B$26,0,IF(G247&lt;=0,0,MAX(0,(G247-H247)/G247)))</f>
        <v>0.46483230810918308</v>
      </c>
      <c r="C248" s="18">
        <f>IF($A248&gt;'1-Input'!$B$26,0,(MAX(0,B231-IF($A248&gt;='1-Input'!$C$12,'1-Input'!$B$12,0))-MIN(MAX(F247,0),MAX(0,B231-IF($A248&gt;='1-Input'!$C$12,'1-Input'!$B$12,0))))*(1/(1-'P-Parametri'!$B$6*B248))+MIN(MAX(0,G247-(MAX(0,B231-IF($A248&gt;='1-Input'!$C$12,'1-Input'!$B$12,0))-MIN(MAX(F247,0),MAX(0,B231-IF($A248&gt;='1-Input'!$C$12,'1-Input'!$B$12,0))))*(1/(1-'P-Parametri'!$B$6*B248))),MAX(0,3*MAX(0,B231-IF($A248&gt;='1-Input'!$C$12,'1-Input'!$B$12,0))-(F247-MIN(MAX(F247,0),MAX(0,B231-IF($A248&gt;='1-Input'!$C$12,'1-Input'!$B$12,0)))))*(1/(1-'P-Parametri'!$B$6*B248))))</f>
        <v>19179.131502637956</v>
      </c>
      <c r="D248" s="18">
        <f>IF($A248&gt;'1-Input'!$B$26,F247,(F247-MAX(0,B231-IF($A248&gt;='1-Input'!$C$12,'1-Input'!$B$12,0))+C248*(1-'P-Parametri'!$B$6*B248))*(1+'1-Input'!$B$27))</f>
        <v>49863.010546479447</v>
      </c>
      <c r="E248" s="18">
        <f>IF($A248&gt;'1-Input'!$B$26,G247,(G247-C248)*(1+'5-Roberta'!$C$4))</f>
        <v>238668.15775950489</v>
      </c>
      <c r="F248" s="18">
        <f>IF($A248&gt;'1-Input'!$B$26,D248,D248-'P-Parametri'!$B$8*(E248+D248)+MIN(MAX(E248,0),'P-Parametri'!$B$8*(E248+D248)))</f>
        <v>49863.010546479447</v>
      </c>
      <c r="G248" s="18">
        <f>IF($A248&gt;'1-Input'!$B$26,E248,E248-MIN(MAX(E248,0),'P-Parametri'!$B$8*(E248+D248)))</f>
        <v>238091.09542289292</v>
      </c>
      <c r="H248" s="18">
        <f>IF($A248&gt;'1-Input'!$B$26,H247,H247-C248*(1-B248))</f>
        <v>124007.26904464814</v>
      </c>
      <c r="I248" s="11">
        <f>IF($A248&gt;'1-Input'!$B$26,0,IF(N247&lt;=0,0,MAX(0,(N247-O247)/N247)))</f>
        <v>0.46286992741220984</v>
      </c>
      <c r="J248" s="18">
        <f>IF($A248&gt;'1-Input'!$B$26,0,(MAX(0,I231-IF($A248&gt;='1-Input'!$C$12,'1-Input'!$B$12,0))-MIN(MAX(M247,0),MAX(0,I231-IF($A248&gt;='1-Input'!$C$12,'1-Input'!$B$12,0))))*(1/(1-'P-Parametri'!$B$6*I248))+MIN(MAX(0,N247-(MAX(0,I231-IF($A248&gt;='1-Input'!$C$12,'1-Input'!$B$12,0))-MIN(MAX(M247,0),MAX(0,I231-IF($A248&gt;='1-Input'!$C$12,'1-Input'!$B$12,0))))*(1/(1-'P-Parametri'!$B$6*I248))),MAX(0,3*MAX(0,I231-IF($A248&gt;='1-Input'!$C$12,'1-Input'!$B$12,0))-(M247-MIN(MAX(M247,0),MAX(0,I231-IF($A248&gt;='1-Input'!$C$12,'1-Input'!$B$12,0)))))*(1/(1-'P-Parametri'!$B$6*I248))))</f>
        <v>25221.06207289689</v>
      </c>
      <c r="K248" s="18">
        <f>IF($A248&gt;'1-Input'!$B$26,M247,(M247-MAX(0,I231-IF($A248&gt;='1-Input'!$C$12,'1-Input'!$B$12,0))+J248*(1-'P-Parametri'!$B$6*I248))*(1+'1-Input'!$B$27))</f>
        <v>65609.224403262444</v>
      </c>
      <c r="L248" s="18">
        <f>IF($A248&gt;'1-Input'!$B$26,N247,(N247-J248)*(1+'5-Roberta'!$C$4))</f>
        <v>104129.12407438386</v>
      </c>
      <c r="M248" s="18">
        <f>IF($A248&gt;'1-Input'!$B$26,K248,K248-'P-Parametri'!$B$8*(L248+K248)+MIN(MAX(L248,0),'P-Parametri'!$B$8*(L248+K248)))</f>
        <v>65609.224403262444</v>
      </c>
      <c r="N248" s="18">
        <f>IF($A248&gt;'1-Input'!$B$26,L248,L248-MIN(MAX(L248,0),'P-Parametri'!$B$8*(L248+K248)))</f>
        <v>103789.64737742857</v>
      </c>
      <c r="O248" s="18">
        <f>IF($A248&gt;'1-Input'!$B$26,O247,O247-J248*(1-I248))</f>
        <v>54301.829099589144</v>
      </c>
      <c r="P248" s="11">
        <f>IF($A248&gt;'1-Input'!$B$26,0,IF(U247&lt;=0,0,MAX(0,(U247-V247)/U247)))</f>
        <v>0.46446292962845681</v>
      </c>
      <c r="Q248" s="18">
        <f>IF($A248&gt;'1-Input'!$B$26,0,(MAX(0,P231-IF($A248&gt;='1-Input'!$C$12,'1-Input'!$B$12,0))-MIN(MAX(T247,0),MAX(0,P231-IF($A248&gt;='1-Input'!$C$12,'1-Input'!$B$12,0))))*(1/(1-'P-Parametri'!$B$6*P248))+MIN(MAX(0,U247-(MAX(0,P231-IF($A248&gt;='1-Input'!$C$12,'1-Input'!$B$12,0))-MIN(MAX(T247,0),MAX(0,P231-IF($A248&gt;='1-Input'!$C$12,'1-Input'!$B$12,0))))*(1/(1-'P-Parametri'!$B$6*P248))),MAX(0,3*MAX(0,P231-IF($A248&gt;='1-Input'!$C$12,'1-Input'!$B$12,0))-(T247-MIN(MAX(T247,0),MAX(0,P231-IF($A248&gt;='1-Input'!$C$12,'1-Input'!$B$12,0)))))*(1/(1-'P-Parametri'!$B$6*P248))))</f>
        <v>20716.361100486523</v>
      </c>
      <c r="R248" s="18">
        <f>IF($A248&gt;'1-Input'!$B$26,T247,(T247-MAX(0,P231-IF($A248&gt;='1-Input'!$C$12,'1-Input'!$B$12,0))+Q248*(1-'P-Parametri'!$B$6*P248))*(1+'1-Input'!$B$27))</f>
        <v>53865.472247091267</v>
      </c>
      <c r="S248" s="18">
        <f>IF($A248&gt;'1-Input'!$B$26,U247,(U247-Q248)*(1+'5-Roberta'!$C$4))</f>
        <v>204462.73982672585</v>
      </c>
      <c r="T248" s="18">
        <f>IF($A248&gt;'1-Input'!$B$26,R248,R248-'P-Parametri'!$B$8*(S248+R248)+MIN(MAX(S248,0),'P-Parametri'!$B$8*(S248+R248)))</f>
        <v>53865.472247091267</v>
      </c>
      <c r="U248" s="18">
        <f>IF($A248&gt;'1-Input'!$B$26,S248,S248-MIN(MAX(S248,0),'P-Parametri'!$B$8*(S248+R248)))</f>
        <v>203946.08340257822</v>
      </c>
      <c r="V248" s="18">
        <f>IF($A248&gt;'1-Input'!$B$26,V247,V247-Q248*(1-P248))</f>
        <v>106308.13270577069</v>
      </c>
      <c r="W248" s="11">
        <f>IF($A248&gt;'1-Input'!$B$26,0,IF(AB247&lt;=0,0,MAX(0,(AB247-AC247)/AB247)))</f>
        <v>0.46452890600910157</v>
      </c>
      <c r="X248" s="18">
        <f>IF($A248&gt;'1-Input'!$B$26,0,(MAX(0,W231-IF($A248&gt;='1-Input'!$C$12,'1-Input'!$B$12,0))-MIN(MAX(AA247,0),MAX(0,W231-IF($A248&gt;='1-Input'!$C$12,'1-Input'!$B$12,0))))*(1/(1-'P-Parametri'!$B$6*W248))+MIN(MAX(0,AB247-(MAX(0,W231-IF($A248&gt;='1-Input'!$C$12,'1-Input'!$B$12,0))-MIN(MAX(AA247,0),MAX(0,W231-IF($A248&gt;='1-Input'!$C$12,'1-Input'!$B$12,0))))*(1/(1-'P-Parametri'!$B$6*W248))),MAX(0,3*MAX(0,W231-IF($A248&gt;='1-Input'!$C$12,'1-Input'!$B$12,0))-(AA247-MIN(MAX(AA247,0),MAX(0,W231-IF($A248&gt;='1-Input'!$C$12,'1-Input'!$B$12,0)))))*(1/(1-'P-Parametri'!$B$6*W248))))</f>
        <v>20459.068252564193</v>
      </c>
      <c r="Y248" s="18">
        <f>IF($A248&gt;'1-Input'!$B$26,AA247,(AA247-MAX(0,W231-IF($A248&gt;='1-Input'!$C$12,'1-Input'!$B$12,0))+X248*(1-'P-Parametri'!$B$6*W248))*(1+'1-Input'!$B$27))</f>
        <v>53195.436553678475</v>
      </c>
      <c r="Z248" s="18">
        <f>IF($A248&gt;'1-Input'!$B$26,AB247,(AB247-X248)*(1+'5-Roberta'!$C$4))</f>
        <v>210188.642462338</v>
      </c>
      <c r="AA248" s="18">
        <f>IF($A248&gt;'1-Input'!$B$26,Y248,Y248-'P-Parametri'!$B$8*(Z248+Y248)+MIN(MAX(Z248,0),'P-Parametri'!$B$8*(Z248+Y248)))</f>
        <v>53195.436553678475</v>
      </c>
      <c r="AB248" s="18">
        <f>IF($A248&gt;'1-Input'!$B$26,Z248,Z248-MIN(MAX(Z248,0),'P-Parametri'!$B$8*(Z248+Y248)))</f>
        <v>209661.87430430597</v>
      </c>
      <c r="AC248" s="18">
        <f>IF($A248&gt;'1-Input'!$B$26,AC247,AC247-X248*(1-W248))</f>
        <v>109271.78866385431</v>
      </c>
      <c r="AD248" s="11">
        <f>IF($A248&gt;'1-Input'!$B$26,0,IF(AI247&lt;=0,0,MAX(0,(AI247-AJ247)/AI247)))</f>
        <v>0.4645302117113177</v>
      </c>
      <c r="AE248" s="18">
        <f>IF($A248&gt;'1-Input'!$B$26,0,(MAX(0,AD231-IF($A248&gt;='1-Input'!$C$12,'1-Input'!$B$12,0))-MIN(MAX(AH247,0),MAX(0,AD231-IF($A248&gt;='1-Input'!$C$12,'1-Input'!$B$12,0))))*(1/(1-'P-Parametri'!$B$6*AD248))+MIN(MAX(0,AI247-(MAX(0,AD231-IF($A248&gt;='1-Input'!$C$12,'1-Input'!$B$12,0))-MIN(MAX(AH247,0),MAX(0,AD231-IF($A248&gt;='1-Input'!$C$12,'1-Input'!$B$12,0))))*(1/(1-'P-Parametri'!$B$6*AD248))),MAX(0,3*MAX(0,AD231-IF($A248&gt;='1-Input'!$C$12,'1-Input'!$B$12,0))-(AH247-MIN(MAX(AH247,0),MAX(0,AD231-IF($A248&gt;='1-Input'!$C$12,'1-Input'!$B$12,0)))))*(1/(1-'P-Parametri'!$B$6*AD248))))</f>
        <v>20453.904115101377</v>
      </c>
      <c r="AF248" s="18">
        <f>IF($A248&gt;'1-Input'!$B$26,AH247,(AH247-MAX(0,AD231-IF($A248&gt;='1-Input'!$C$12,'1-Input'!$B$12,0))+AE248*(1-'P-Parametri'!$B$6*AD248))*(1+'1-Input'!$B$27))</f>
        <v>53181.988792547134</v>
      </c>
      <c r="AG248" s="18">
        <f>IF($A248&gt;'1-Input'!$B$26,AI247,(AI247-AE248)*(1+'5-Roberta'!$C$4))</f>
        <v>210303.56380089017</v>
      </c>
      <c r="AH248" s="18">
        <f>IF($A248&gt;'1-Input'!$B$26,AF248,AF248-'P-Parametri'!$B$8*(AG248+AF248)+MIN(MAX(AG248,0),'P-Parametri'!$B$8*(AG248+AF248)))</f>
        <v>53181.988792547134</v>
      </c>
      <c r="AI248" s="18">
        <f>IF($A248&gt;'1-Input'!$B$26,AG248,AG248-MIN(MAX(AG248,0),'P-Parametri'!$B$8*(AG248+AF248)))</f>
        <v>209776.59269570329</v>
      </c>
      <c r="AJ248" s="18">
        <f>IF($A248&gt;'1-Input'!$B$26,AJ247,AJ247-AE248*(1-AD248))</f>
        <v>109331.26678137675</v>
      </c>
      <c r="AK248" s="11">
        <f>IF($A248&gt;'1-Input'!$B$26,0,IF(AP247&lt;=0,0,MAX(0,(AP247-AQ247)/AP247)))</f>
        <v>0.46453015791841396</v>
      </c>
      <c r="AL248" s="18">
        <f>IF($A248&gt;'1-Input'!$B$26,0,(MAX(0,AK231-IF($A248&gt;='1-Input'!$C$12,'1-Input'!$B$12,0))-MIN(MAX(AO247,0),MAX(0,AK231-IF($A248&gt;='1-Input'!$C$12,'1-Input'!$B$12,0))))*(1/(1-'P-Parametri'!$B$6*AK248))+MIN(MAX(0,AP247-(MAX(0,AK231-IF($A248&gt;='1-Input'!$C$12,'1-Input'!$B$12,0))-MIN(MAX(AO247,0),MAX(0,AK231-IF($A248&gt;='1-Input'!$C$12,'1-Input'!$B$12,0))))*(1/(1-'P-Parametri'!$B$6*AK248))),MAX(0,3*MAX(0,AK231-IF($A248&gt;='1-Input'!$C$12,'1-Input'!$B$12,0))-(AO247-MIN(MAX(AO247,0),MAX(0,AK231-IF($A248&gt;='1-Input'!$C$12,'1-Input'!$B$12,0)))))*(1/(1-'P-Parametri'!$B$6*AK248))))</f>
        <v>20454.116925482384</v>
      </c>
      <c r="AM248" s="18">
        <f>IF($A248&gt;'1-Input'!$B$26,AO247,(AO247-MAX(0,AK231-IF($A248&gt;='1-Input'!$C$12,'1-Input'!$B$12,0))+AL248*(1-'P-Parametri'!$B$6*AK248))*(1+'1-Input'!$B$27))</f>
        <v>53182.542964658947</v>
      </c>
      <c r="AN248" s="18">
        <f>IF($A248&gt;'1-Input'!$B$26,AP247,(AP247-AL248)*(1+'5-Roberta'!$C$4))</f>
        <v>210298.82797809856</v>
      </c>
      <c r="AO248" s="18">
        <f>IF($A248&gt;'1-Input'!$B$26,AM248,AM248-'P-Parametri'!$B$8*(AN248+AM248)+MIN(MAX(AN248,0),'P-Parametri'!$B$8*(AN248+AM248)))</f>
        <v>53182.542964658947</v>
      </c>
      <c r="AP248" s="18">
        <f>IF($A248&gt;'1-Input'!$B$26,AN248,AN248-MIN(MAX(AN248,0),'P-Parametri'!$B$8*(AN248+AM248)))</f>
        <v>209771.86523621305</v>
      </c>
      <c r="AQ248" s="18">
        <f>IF($A248&gt;'1-Input'!$B$26,AQ247,AQ247-AL248*(1-AK248))</f>
        <v>109328.8157353156</v>
      </c>
    </row>
    <row r="249" spans="1:43">
      <c r="A249" s="10">
        <f>16</f>
        <v>16</v>
      </c>
      <c r="B249" s="11">
        <f>IF($A249&gt;'1-Input'!$B$26,0,IF(G248&lt;=0,0,MAX(0,(G248-H248)/G248)))</f>
        <v>0.47916040780782343</v>
      </c>
      <c r="C249" s="18">
        <f>IF($A249&gt;'1-Input'!$B$26,0,(MAX(0,B231-IF($A249&gt;='1-Input'!$C$12,'1-Input'!$B$12,0))-MIN(MAX(F248,0),MAX(0,B231-IF($A249&gt;='1-Input'!$C$12,'1-Input'!$B$12,0))))*(1/(1-'P-Parametri'!$B$6*B249))+MIN(MAX(0,G248-(MAX(0,B231-IF($A249&gt;='1-Input'!$C$12,'1-Input'!$B$12,0))-MIN(MAX(F248,0),MAX(0,B231-IF($A249&gt;='1-Input'!$C$12,'1-Input'!$B$12,0))))*(1/(1-'P-Parametri'!$B$6*B249))),MAX(0,3*MAX(0,B231-IF($A249&gt;='1-Input'!$C$12,'1-Input'!$B$12,0))-(F248-MIN(MAX(F248,0),MAX(0,B231-IF($A249&gt;='1-Input'!$C$12,'1-Input'!$B$12,0)))))*(1/(1-'P-Parametri'!$B$6*B249))))</f>
        <v>19260.747494274139</v>
      </c>
      <c r="D249" s="18">
        <f>IF($A249&gt;'1-Input'!$B$26,F248,(F248-MAX(0,B231-IF($A249&gt;='1-Input'!$C$12,'1-Input'!$B$12,0))+C249*(1-'P-Parametri'!$B$6*B249))*(1+'1-Input'!$B$27))</f>
        <v>49863.010546479447</v>
      </c>
      <c r="E249" s="18">
        <f>IF($A249&gt;'1-Input'!$B$26,G248,(G248-C249)*(1+'5-Roberta'!$C$4))</f>
        <v>225395.25836647736</v>
      </c>
      <c r="F249" s="18">
        <f>IF($A249&gt;'1-Input'!$B$26,D249,D249-'P-Parametri'!$B$8*(E249+D249)+MIN(MAX(E249,0),'P-Parametri'!$B$8*(E249+D249)))</f>
        <v>49863.010546479447</v>
      </c>
      <c r="G249" s="18">
        <f>IF($A249&gt;'1-Input'!$B$26,E249,E249-MIN(MAX(E249,0),'P-Parametri'!$B$8*(E249+D249)))</f>
        <v>224844.74182865143</v>
      </c>
      <c r="H249" s="18">
        <f>IF($A249&gt;'1-Input'!$B$26,H248,H248-C249*(1-B249))</f>
        <v>113975.50917441392</v>
      </c>
      <c r="I249" s="11">
        <f>IF($A249&gt;'1-Input'!$B$26,0,IF(N248&lt;=0,0,MAX(0,(N248-O248)/N248)))</f>
        <v>0.47680881020703497</v>
      </c>
      <c r="J249" s="18">
        <f>IF($A249&gt;'1-Input'!$B$26,0,(MAX(0,I231-IF($A249&gt;='1-Input'!$C$12,'1-Input'!$B$12,0))-MIN(MAX(M248,0),MAX(0,I231-IF($A249&gt;='1-Input'!$C$12,'1-Input'!$B$12,0))))*(1/(1-'P-Parametri'!$B$6*I249))+MIN(MAX(0,N248-(MAX(0,I231-IF($A249&gt;='1-Input'!$C$12,'1-Input'!$B$12,0))-MIN(MAX(M248,0),MAX(0,I231-IF($A249&gt;='1-Input'!$C$12,'1-Input'!$B$12,0))))*(1/(1-'P-Parametri'!$B$6*I249))),MAX(0,3*MAX(0,I231-IF($A249&gt;='1-Input'!$C$12,'1-Input'!$B$12,0))-(M248-MIN(MAX(M248,0),MAX(0,I231-IF($A249&gt;='1-Input'!$C$12,'1-Input'!$B$12,0)))))*(1/(1-'P-Parametri'!$B$6*I249))))</f>
        <v>25325.40087597122</v>
      </c>
      <c r="K249" s="18">
        <f>IF($A249&gt;'1-Input'!$B$26,M248,(M248-MAX(0,I231-IF($A249&gt;='1-Input'!$C$12,'1-Input'!$B$12,0))+J249*(1-'P-Parametri'!$B$6*I249))*(1+'1-Input'!$B$27))</f>
        <v>65609.224403262444</v>
      </c>
      <c r="L249" s="18">
        <f>IF($A249&gt;'1-Input'!$B$26,N248,(N248-J249)*(1+'5-Roberta'!$C$4))</f>
        <v>80818.173896501074</v>
      </c>
      <c r="M249" s="18">
        <f>IF($A249&gt;'1-Input'!$B$26,K249,K249-'P-Parametri'!$B$8*(L249+K249)+MIN(MAX(L249,0),'P-Parametri'!$B$8*(L249+K249)))</f>
        <v>65609.224403262444</v>
      </c>
      <c r="N249" s="18">
        <f>IF($A249&gt;'1-Input'!$B$26,L249,L249-MIN(MAX(L249,0),'P-Parametri'!$B$8*(L249+K249)))</f>
        <v>80525.31909990155</v>
      </c>
      <c r="O249" s="18">
        <f>IF($A249&gt;'1-Input'!$B$26,O248,O248-J249*(1-I249))</f>
        <v>41051.802483305961</v>
      </c>
      <c r="P249" s="11">
        <f>IF($A249&gt;'1-Input'!$B$26,0,IF(U248&lt;=0,0,MAX(0,(U248-V248)/U248)))</f>
        <v>0.4787439359846673</v>
      </c>
      <c r="Q249" s="18">
        <f>IF($A249&gt;'1-Input'!$B$26,0,(MAX(0,P231-IF($A249&gt;='1-Input'!$C$12,'1-Input'!$B$12,0))-MIN(MAX(T248,0),MAX(0,P231-IF($A249&gt;='1-Input'!$C$12,'1-Input'!$B$12,0))))*(1/(1-'P-Parametri'!$B$6*P249))+MIN(MAX(0,U248-(MAX(0,P231-IF($A249&gt;='1-Input'!$C$12,'1-Input'!$B$12,0))-MIN(MAX(T248,0),MAX(0,P231-IF($A249&gt;='1-Input'!$C$12,'1-Input'!$B$12,0))))*(1/(1-'P-Parametri'!$B$6*P249))),MAX(0,3*MAX(0,P231-IF($A249&gt;='1-Input'!$C$12,'1-Input'!$B$12,0))-(T248-MIN(MAX(T248,0),MAX(0,P231-IF($A249&gt;='1-Input'!$C$12,'1-Input'!$B$12,0)))))*(1/(1-'P-Parametri'!$B$6*P249))))</f>
        <v>20804.218086254776</v>
      </c>
      <c r="R249" s="18">
        <f>IF($A249&gt;'1-Input'!$B$26,T248,(T248-MAX(0,P231-IF($A249&gt;='1-Input'!$C$12,'1-Input'!$B$12,0))+Q249*(1-'P-Parametri'!$B$6*P249))*(1+'1-Input'!$B$27))</f>
        <v>53865.472247091267</v>
      </c>
      <c r="S249" s="18">
        <f>IF($A249&gt;'1-Input'!$B$26,U248,(U248-Q249)*(1+'5-Roberta'!$C$4))</f>
        <v>188636.12127581314</v>
      </c>
      <c r="T249" s="18">
        <f>IF($A249&gt;'1-Input'!$B$26,R249,R249-'P-Parametri'!$B$8*(S249+R249)+MIN(MAX(S249,0),'P-Parametri'!$B$8*(S249+R249)))</f>
        <v>53865.472247091267</v>
      </c>
      <c r="U249" s="18">
        <f>IF($A249&gt;'1-Input'!$B$26,S249,S249-MIN(MAX(S249,0),'P-Parametri'!$B$8*(S249+R249)))</f>
        <v>188151.11808876734</v>
      </c>
      <c r="V249" s="18">
        <f>IF($A249&gt;'1-Input'!$B$26,V248,V248-Q249*(1-P249))</f>
        <v>95463.807871212935</v>
      </c>
      <c r="W249" s="11">
        <f>IF($A249&gt;'1-Input'!$B$26,0,IF(AB248&lt;=0,0,MAX(0,(AB248-AC248)/AB248)))</f>
        <v>0.4788189840120583</v>
      </c>
      <c r="X249" s="18">
        <f>IF($A249&gt;'1-Input'!$B$26,0,(MAX(0,W231-IF($A249&gt;='1-Input'!$C$12,'1-Input'!$B$12,0))-MIN(MAX(AA248,0),MAX(0,W231-IF($A249&gt;='1-Input'!$C$12,'1-Input'!$B$12,0))))*(1/(1-'P-Parametri'!$B$6*W249))+MIN(MAX(0,AB248-(MAX(0,W231-IF($A249&gt;='1-Input'!$C$12,'1-Input'!$B$12,0))-MIN(MAX(AA248,0),MAX(0,W231-IF($A249&gt;='1-Input'!$C$12,'1-Input'!$B$12,0))))*(1/(1-'P-Parametri'!$B$6*W249))),MAX(0,3*MAX(0,W231-IF($A249&gt;='1-Input'!$C$12,'1-Input'!$B$12,0))-(AA248-MIN(MAX(AA248,0),MAX(0,W231-IF($A249&gt;='1-Input'!$C$12,'1-Input'!$B$12,0)))))*(1/(1-'P-Parametri'!$B$6*W249))))</f>
        <v>20545.891123815854</v>
      </c>
      <c r="Y249" s="18">
        <f>IF($A249&gt;'1-Input'!$B$26,AA248,(AA248-MAX(0,W231-IF($A249&gt;='1-Input'!$C$12,'1-Input'!$B$12,0))+X249*(1-'P-Parametri'!$B$6*W249))*(1+'1-Input'!$B$27))</f>
        <v>53195.436553678475</v>
      </c>
      <c r="Z249" s="18">
        <f>IF($A249&gt;'1-Input'!$B$26,AB248,(AB248-X249)*(1+'5-Roberta'!$C$4))</f>
        <v>194789.46267590483</v>
      </c>
      <c r="AA249" s="18">
        <f>IF($A249&gt;'1-Input'!$B$26,Y249,Y249-'P-Parametri'!$B$8*(Z249+Y249)+MIN(MAX(Z249,0),'P-Parametri'!$B$8*(Z249+Y249)))</f>
        <v>53195.436553678475</v>
      </c>
      <c r="AB249" s="18">
        <f>IF($A249&gt;'1-Input'!$B$26,Z249,Z249-MIN(MAX(Z249,0),'P-Parametri'!$B$8*(Z249+Y249)))</f>
        <v>194293.49287744565</v>
      </c>
      <c r="AC249" s="18">
        <f>IF($A249&gt;'1-Input'!$B$26,AC248,AC248-X249*(1-W249))</f>
        <v>98563.660253566326</v>
      </c>
      <c r="AD249" s="11">
        <f>IF($A249&gt;'1-Input'!$B$26,0,IF(AI248&lt;=0,0,MAX(0,(AI248-AJ248)/AI248)))</f>
        <v>0.47882046620916396</v>
      </c>
      <c r="AE249" s="18">
        <f>IF($A249&gt;'1-Input'!$B$26,0,(MAX(0,AD231-IF($A249&gt;='1-Input'!$C$12,'1-Input'!$B$12,0))-MIN(MAX(AH248,0),MAX(0,AD231-IF($A249&gt;='1-Input'!$C$12,'1-Input'!$B$12,0))))*(1/(1-'P-Parametri'!$B$6*AD249))+MIN(MAX(0,AI248-(MAX(0,AD231-IF($A249&gt;='1-Input'!$C$12,'1-Input'!$B$12,0))-MIN(MAX(AH248,0),MAX(0,AD231-IF($A249&gt;='1-Input'!$C$12,'1-Input'!$B$12,0))))*(1/(1-'P-Parametri'!$B$6*AD249))),MAX(0,3*MAX(0,AD231-IF($A249&gt;='1-Input'!$C$12,'1-Input'!$B$12,0))-(AH248-MIN(MAX(AH248,0),MAX(0,AD231-IF($A249&gt;='1-Input'!$C$12,'1-Input'!$B$12,0)))))*(1/(1-'P-Parametri'!$B$6*AD249))))</f>
        <v>20540.706181395195</v>
      </c>
      <c r="AF249" s="18">
        <f>IF($A249&gt;'1-Input'!$B$26,AH248,(AH248-MAX(0,AD231-IF($A249&gt;='1-Input'!$C$12,'1-Input'!$B$12,0))+AE249*(1-'P-Parametri'!$B$6*AD249))*(1+'1-Input'!$B$27))</f>
        <v>53181.988792547134</v>
      </c>
      <c r="AG249" s="18">
        <f>IF($A249&gt;'1-Input'!$B$26,AI248,(AI248-AE249)*(1+'5-Roberta'!$C$4))</f>
        <v>194912.96310973735</v>
      </c>
      <c r="AH249" s="18">
        <f>IF($A249&gt;'1-Input'!$B$26,AF249,AF249-'P-Parametri'!$B$8*(AG249+AF249)+MIN(MAX(AG249,0),'P-Parametri'!$B$8*(AG249+AF249)))</f>
        <v>53181.988792547134</v>
      </c>
      <c r="AI249" s="18">
        <f>IF($A249&gt;'1-Input'!$B$26,AG249,AG249-MIN(MAX(AG249,0),'P-Parametri'!$B$8*(AG249+AF249)))</f>
        <v>194416.77320593278</v>
      </c>
      <c r="AJ249" s="18">
        <f>IF($A249&gt;'1-Input'!$B$26,AJ248,AJ248-AE249*(1-AD249))</f>
        <v>98625.87111002265</v>
      </c>
      <c r="AK249" s="11">
        <f>IF($A249&gt;'1-Input'!$B$26,0,IF(AP248&lt;=0,0,MAX(0,(AP248-AQ248)/AP248)))</f>
        <v>0.47882040514724805</v>
      </c>
      <c r="AL249" s="18">
        <f>IF($A249&gt;'1-Input'!$B$26,0,(MAX(0,AK231-IF($A249&gt;='1-Input'!$C$12,'1-Input'!$B$12,0))-MIN(MAX(AO248,0),MAX(0,AK231-IF($A249&gt;='1-Input'!$C$12,'1-Input'!$B$12,0))))*(1/(1-'P-Parametri'!$B$6*AK249))+MIN(MAX(0,AP248-(MAX(0,AK231-IF($A249&gt;='1-Input'!$C$12,'1-Input'!$B$12,0))-MIN(MAX(AO248,0),MAX(0,AK231-IF($A249&gt;='1-Input'!$C$12,'1-Input'!$B$12,0))))*(1/(1-'P-Parametri'!$B$6*AK249))),MAX(0,3*MAX(0,AK231-IF($A249&gt;='1-Input'!$C$12,'1-Input'!$B$12,0))-(AO248-MIN(MAX(AO248,0),MAX(0,AK231-IF($A249&gt;='1-Input'!$C$12,'1-Input'!$B$12,0)))))*(1/(1-'P-Parametri'!$B$6*AK249))))</f>
        <v>20540.919849170641</v>
      </c>
      <c r="AM249" s="18">
        <f>IF($A249&gt;'1-Input'!$B$26,AO248,(AO248-MAX(0,AK231-IF($A249&gt;='1-Input'!$C$12,'1-Input'!$B$12,0))+AL249*(1-'P-Parametri'!$B$6*AK249))*(1+'1-Input'!$B$27))</f>
        <v>53182.542964658947</v>
      </c>
      <c r="AN249" s="18">
        <f>IF($A249&gt;'1-Input'!$B$26,AP248,(AP248-AL249)*(1+'5-Roberta'!$C$4))</f>
        <v>194907.87374865368</v>
      </c>
      <c r="AO249" s="18">
        <f>IF($A249&gt;'1-Input'!$B$26,AM249,AM249-'P-Parametri'!$B$8*(AN249+AM249)+MIN(MAX(AN249,0),'P-Parametri'!$B$8*(AN249+AM249)))</f>
        <v>53182.542964658947</v>
      </c>
      <c r="AP249" s="18">
        <f>IF($A249&gt;'1-Input'!$B$26,AN249,AN249-MIN(MAX(AN249,0),'P-Parametri'!$B$8*(AN249+AM249)))</f>
        <v>194411.69291522706</v>
      </c>
      <c r="AQ249" s="18">
        <f>IF($A249&gt;'1-Input'!$B$26,AQ248,AQ248-AL249*(1-AK249))</f>
        <v>98623.307450421999</v>
      </c>
    </row>
    <row r="250" spans="1:43">
      <c r="A250" s="10">
        <f>17</f>
        <v>17</v>
      </c>
      <c r="B250" s="11">
        <f>IF($A250&gt;'1-Input'!$B$26,0,IF(G249&lt;=0,0,MAX(0,(G249-H249)/G249)))</f>
        <v>0.49309239679141881</v>
      </c>
      <c r="C250" s="18">
        <f>IF($A250&gt;'1-Input'!$B$26,0,(MAX(0,B231-IF($A250&gt;='1-Input'!$C$12,'1-Input'!$B$12,0))-MIN(MAX(F249,0),MAX(0,B231-IF($A250&gt;='1-Input'!$C$12,'1-Input'!$B$12,0))))*(1/(1-'P-Parametri'!$B$6*B250))+MIN(MAX(0,G249-(MAX(0,B231-IF($A250&gt;='1-Input'!$C$12,'1-Input'!$B$12,0))-MIN(MAX(F249,0),MAX(0,B231-IF($A250&gt;='1-Input'!$C$12,'1-Input'!$B$12,0))))*(1/(1-'P-Parametri'!$B$6*B250))),MAX(0,3*MAX(0,B231-IF($A250&gt;='1-Input'!$C$12,'1-Input'!$B$12,0))-(F249-MIN(MAX(F249,0),MAX(0,B231-IF($A250&gt;='1-Input'!$C$12,'1-Input'!$B$12,0)))))*(1/(1-'P-Parametri'!$B$6*B250))))</f>
        <v>19340.776007308716</v>
      </c>
      <c r="D250" s="18">
        <f>IF($A250&gt;'1-Input'!$B$26,F249,(F249-MAX(0,B231-IF($A250&gt;='1-Input'!$C$12,'1-Input'!$B$12,0))+C250*(1-'P-Parametri'!$B$6*B250))*(1+'1-Input'!$B$27))</f>
        <v>49863.010546479447</v>
      </c>
      <c r="E250" s="18">
        <f>IF($A250&gt;'1-Input'!$B$26,G249,(G249-C250)*(1+'5-Roberta'!$C$4))</f>
        <v>211669.08479598301</v>
      </c>
      <c r="F250" s="18">
        <f>IF($A250&gt;'1-Input'!$B$26,D250,D250-'P-Parametri'!$B$8*(E250+D250)+MIN(MAX(E250,0),'P-Parametri'!$B$8*(E250+D250)))</f>
        <v>49863.010546479447</v>
      </c>
      <c r="G250" s="18">
        <f>IF($A250&gt;'1-Input'!$B$26,E250,E250-MIN(MAX(E250,0),'P-Parametri'!$B$8*(E250+D250)))</f>
        <v>211146.02060529808</v>
      </c>
      <c r="H250" s="18">
        <f>IF($A250&gt;'1-Input'!$B$26,H249,H249-C250*(1-B250))</f>
        <v>104171.52276435503</v>
      </c>
      <c r="I250" s="11">
        <f>IF($A250&gt;'1-Input'!$B$26,0,IF(N249&lt;=0,0,MAX(0,(N249-O249)/N249)))</f>
        <v>0.4902000644992644</v>
      </c>
      <c r="J250" s="18">
        <f>IF($A250&gt;'1-Input'!$B$26,0,(MAX(0,I231-IF($A250&gt;='1-Input'!$C$12,'1-Input'!$B$12,0))-MIN(MAX(M249,0),MAX(0,I231-IF($A250&gt;='1-Input'!$C$12,'1-Input'!$B$12,0))))*(1/(1-'P-Parametri'!$B$6*I250))+MIN(MAX(0,N249-(MAX(0,I231-IF($A250&gt;='1-Input'!$C$12,'1-Input'!$B$12,0))-MIN(MAX(M249,0),MAX(0,I231-IF($A250&gt;='1-Input'!$C$12,'1-Input'!$B$12,0))))*(1/(1-'P-Parametri'!$B$6*I250))),MAX(0,3*MAX(0,I231-IF($A250&gt;='1-Input'!$C$12,'1-Input'!$B$12,0))-(M249-MIN(MAX(M249,0),MAX(0,I231-IF($A250&gt;='1-Input'!$C$12,'1-Input'!$B$12,0)))))*(1/(1-'P-Parametri'!$B$6*I250))))</f>
        <v>25426.456762091191</v>
      </c>
      <c r="K250" s="18">
        <f>IF($A250&gt;'1-Input'!$B$26,M249,(M249-MAX(0,I231-IF($A250&gt;='1-Input'!$C$12,'1-Input'!$B$12,0))+J250*(1-'P-Parametri'!$B$6*I250))*(1+'1-Input'!$B$27))</f>
        <v>65609.224403262444</v>
      </c>
      <c r="L250" s="18">
        <f>IF($A250&gt;'1-Input'!$B$26,N249,(N249-J250)*(1+'5-Roberta'!$C$4))</f>
        <v>56751.828207944673</v>
      </c>
      <c r="M250" s="18">
        <f>IF($A250&gt;'1-Input'!$B$26,K250,K250-'P-Parametri'!$B$8*(L250+K250)+MIN(MAX(L250,0),'P-Parametri'!$B$8*(L250+K250)))</f>
        <v>65609.224403262444</v>
      </c>
      <c r="N250" s="18">
        <f>IF($A250&gt;'1-Input'!$B$26,L250,L250-MIN(MAX(L250,0),'P-Parametri'!$B$8*(L250+K250)))</f>
        <v>56507.10610272226</v>
      </c>
      <c r="O250" s="18">
        <f>IF($A250&gt;'1-Input'!$B$26,O249,O249-J250*(1-I250))</f>
        <v>28089.396465979626</v>
      </c>
      <c r="P250" s="11">
        <f>IF($A250&gt;'1-Input'!$B$26,0,IF(U249&lt;=0,0,MAX(0,(U249-V249)/U249)))</f>
        <v>0.49262162860932718</v>
      </c>
      <c r="Q250" s="18">
        <f>IF($A250&gt;'1-Input'!$B$26,0,(MAX(0,P231-IF($A250&gt;='1-Input'!$C$12,'1-Input'!$B$12,0))-MIN(MAX(T249,0),MAX(0,P231-IF($A250&gt;='1-Input'!$C$12,'1-Input'!$B$12,0))))*(1/(1-'P-Parametri'!$B$6*P250))+MIN(MAX(0,U249-(MAX(0,P231-IF($A250&gt;='1-Input'!$C$12,'1-Input'!$B$12,0))-MIN(MAX(T249,0),MAX(0,P231-IF($A250&gt;='1-Input'!$C$12,'1-Input'!$B$12,0))))*(1/(1-'P-Parametri'!$B$6*P250))),MAX(0,3*MAX(0,P231-IF($A250&gt;='1-Input'!$C$12,'1-Input'!$B$12,0))-(T249-MIN(MAX(T249,0),MAX(0,P231-IF($A250&gt;='1-Input'!$C$12,'1-Input'!$B$12,0)))))*(1/(1-'P-Parametri'!$B$6*P250))))</f>
        <v>20890.310756659721</v>
      </c>
      <c r="R250" s="18">
        <f>IF($A250&gt;'1-Input'!$B$26,T249,(T249-MAX(0,P231-IF($A250&gt;='1-Input'!$C$12,'1-Input'!$B$12,0))+Q250*(1-'P-Parametri'!$B$6*P250))*(1+'1-Input'!$B$27))</f>
        <v>53865.472247091267</v>
      </c>
      <c r="S250" s="18">
        <f>IF($A250&gt;'1-Input'!$B$26,U249,(U249-Q250)*(1+'5-Roberta'!$C$4))</f>
        <v>172278.63155207084</v>
      </c>
      <c r="T250" s="18">
        <f>IF($A250&gt;'1-Input'!$B$26,R250,R250-'P-Parametri'!$B$8*(S250+R250)+MIN(MAX(S250,0),'P-Parametri'!$B$8*(S250+R250)))</f>
        <v>53865.472247091267</v>
      </c>
      <c r="U250" s="18">
        <f>IF($A250&gt;'1-Input'!$B$26,S250,S250-MIN(MAX(S250,0),'P-Parametri'!$B$8*(S250+R250)))</f>
        <v>171826.34334447252</v>
      </c>
      <c r="V250" s="18">
        <f>IF($A250&gt;'1-Input'!$B$26,V249,V249-Q250*(1-P250))</f>
        <v>84864.516021653879</v>
      </c>
      <c r="W250" s="11">
        <f>IF($A250&gt;'1-Input'!$B$26,0,IF(AB249&lt;=0,0,MAX(0,(AB249-AC249)/AB249)))</f>
        <v>0.49270735322187426</v>
      </c>
      <c r="X250" s="18">
        <f>IF($A250&gt;'1-Input'!$B$26,0,(MAX(0,W231-IF($A250&gt;='1-Input'!$C$12,'1-Input'!$B$12,0))-MIN(MAX(AA249,0),MAX(0,W231-IF($A250&gt;='1-Input'!$C$12,'1-Input'!$B$12,0))))*(1/(1-'P-Parametri'!$B$6*W250))+MIN(MAX(0,AB249-(MAX(0,W231-IF($A250&gt;='1-Input'!$C$12,'1-Input'!$B$12,0))-MIN(MAX(AA249,0),MAX(0,W231-IF($A250&gt;='1-Input'!$C$12,'1-Input'!$B$12,0))))*(1/(1-'P-Parametri'!$B$6*W250))),MAX(0,3*MAX(0,W231-IF($A250&gt;='1-Input'!$C$12,'1-Input'!$B$12,0))-(AA249-MIN(MAX(AA249,0),MAX(0,W231-IF($A250&gt;='1-Input'!$C$12,'1-Input'!$B$12,0)))))*(1/(1-'P-Parametri'!$B$6*W250))))</f>
        <v>20630.98236420799</v>
      </c>
      <c r="Y250" s="18">
        <f>IF($A250&gt;'1-Input'!$B$26,AA249,(AA249-MAX(0,W231-IF($A250&gt;='1-Input'!$C$12,'1-Input'!$B$12,0))+X250*(1-'P-Parametri'!$B$6*W250))*(1+'1-Input'!$B$27))</f>
        <v>53195.436553678475</v>
      </c>
      <c r="Z250" s="18">
        <f>IF($A250&gt;'1-Input'!$B$26,AB249,(AB249-X250)*(1+'5-Roberta'!$C$4))</f>
        <v>178872.38582863478</v>
      </c>
      <c r="AA250" s="18">
        <f>IF($A250&gt;'1-Input'!$B$26,Y250,Y250-'P-Parametri'!$B$8*(Z250+Y250)+MIN(MAX(Z250,0),'P-Parametri'!$B$8*(Z250+Y250)))</f>
        <v>53195.436553678475</v>
      </c>
      <c r="AB250" s="18">
        <f>IF($A250&gt;'1-Input'!$B$26,Z250,Z250-MIN(MAX(Z250,0),'P-Parametri'!$B$8*(Z250+Y250)))</f>
        <v>178408.25018387014</v>
      </c>
      <c r="AC250" s="18">
        <f>IF($A250&gt;'1-Input'!$B$26,AC249,AC249-X250*(1-W250))</f>
        <v>88097.714604394423</v>
      </c>
      <c r="AD250" s="11">
        <f>IF($A250&gt;'1-Input'!$B$26,0,IF(AI249&lt;=0,0,MAX(0,(AI249-AJ249)/AI249)))</f>
        <v>0.49270904210741728</v>
      </c>
      <c r="AE250" s="18">
        <f>IF($A250&gt;'1-Input'!$B$26,0,(MAX(0,AD231-IF($A250&gt;='1-Input'!$C$12,'1-Input'!$B$12,0))-MIN(MAX(AH249,0),MAX(0,AD231-IF($A250&gt;='1-Input'!$C$12,'1-Input'!$B$12,0))))*(1/(1-'P-Parametri'!$B$6*AD250))+MIN(MAX(0,AI249-(MAX(0,AD231-IF($A250&gt;='1-Input'!$C$12,'1-Input'!$B$12,0))-MIN(MAX(AH249,0),MAX(0,AD231-IF($A250&gt;='1-Input'!$C$12,'1-Input'!$B$12,0))))*(1/(1-'P-Parametri'!$B$6*AD250))),MAX(0,3*MAX(0,AD231-IF($A250&gt;='1-Input'!$C$12,'1-Input'!$B$12,0))-(AH249-MIN(MAX(AH249,0),MAX(0,AD231-IF($A250&gt;='1-Input'!$C$12,'1-Input'!$B$12,0)))))*(1/(1-'P-Parametri'!$B$6*AD250))))</f>
        <v>20625.777257102123</v>
      </c>
      <c r="AF250" s="18">
        <f>IF($A250&gt;'1-Input'!$B$26,AH249,(AH249-MAX(0,AD231-IF($A250&gt;='1-Input'!$C$12,'1-Input'!$B$12,0))+AE250*(1-'P-Parametri'!$B$6*AD250))*(1+'1-Input'!$B$27))</f>
        <v>53181.988792547134</v>
      </c>
      <c r="AG250" s="18">
        <f>IF($A250&gt;'1-Input'!$B$26,AI249,(AI249-AE250)*(1+'5-Roberta'!$C$4))</f>
        <v>179004.72582729557</v>
      </c>
      <c r="AH250" s="18">
        <f>IF($A250&gt;'1-Input'!$B$26,AF250,AF250-'P-Parametri'!$B$8*(AG250+AF250)+MIN(MAX(AG250,0),'P-Parametri'!$B$8*(AG250+AF250)))</f>
        <v>53181.988792547134</v>
      </c>
      <c r="AI250" s="18">
        <f>IF($A250&gt;'1-Input'!$B$26,AG250,AG250-MIN(MAX(AG250,0),'P-Parametri'!$B$8*(AG250+AF250)))</f>
        <v>178540.35239805587</v>
      </c>
      <c r="AJ250" s="18">
        <f>IF($A250&gt;'1-Input'!$B$26,AJ249,AJ249-AE250*(1-AD250))</f>
        <v>88162.600807988259</v>
      </c>
      <c r="AK250" s="11">
        <f>IF($A250&gt;'1-Input'!$B$26,0,IF(AP249&lt;=0,0,MAX(0,(AP249-AQ249)/AP249)))</f>
        <v>0.49270897253373258</v>
      </c>
      <c r="AL250" s="18">
        <f>IF($A250&gt;'1-Input'!$B$26,0,(MAX(0,AK231-IF($A250&gt;='1-Input'!$C$12,'1-Input'!$B$12,0))-MIN(MAX(AO249,0),MAX(0,AK231-IF($A250&gt;='1-Input'!$C$12,'1-Input'!$B$12,0))))*(1/(1-'P-Parametri'!$B$6*AK250))+MIN(MAX(0,AP249-(MAX(0,AK231-IF($A250&gt;='1-Input'!$C$12,'1-Input'!$B$12,0))-MIN(MAX(AO249,0),MAX(0,AK231-IF($A250&gt;='1-Input'!$C$12,'1-Input'!$B$12,0))))*(1/(1-'P-Parametri'!$B$6*AK250))),MAX(0,3*MAX(0,AK231-IF($A250&gt;='1-Input'!$C$12,'1-Input'!$B$12,0))-(AO249-MIN(MAX(AO249,0),MAX(0,AK231-IF($A250&gt;='1-Input'!$C$12,'1-Input'!$B$12,0)))))*(1/(1-'P-Parametri'!$B$6*AK250))))</f>
        <v>20625.991755898489</v>
      </c>
      <c r="AM250" s="18">
        <f>IF($A250&gt;'1-Input'!$B$26,AO249,(AO249-MAX(0,AK231-IF($A250&gt;='1-Input'!$C$12,'1-Input'!$B$12,0))+AL250*(1-'P-Parametri'!$B$6*AK250))*(1+'1-Input'!$B$27))</f>
        <v>53182.542964658947</v>
      </c>
      <c r="AN250" s="18">
        <f>IF($A250&gt;'1-Input'!$B$26,AP249,(AP249-AL250)*(1+'5-Roberta'!$C$4))</f>
        <v>178999.27219410843</v>
      </c>
      <c r="AO250" s="18">
        <f>IF($A250&gt;'1-Input'!$B$26,AM250,AM250-'P-Parametri'!$B$8*(AN250+AM250)+MIN(MAX(AN250,0),'P-Parametri'!$B$8*(AN250+AM250)))</f>
        <v>53182.542964658947</v>
      </c>
      <c r="AP250" s="18">
        <f>IF($A250&gt;'1-Input'!$B$26,AN250,AN250-MIN(MAX(AN250,0),'P-Parametri'!$B$8*(AN250+AM250)))</f>
        <v>178534.9085637909</v>
      </c>
      <c r="AQ250" s="18">
        <f>IF($A250&gt;'1-Input'!$B$26,AQ249,AQ249-AL250*(1-AK250))</f>
        <v>88159.926900061488</v>
      </c>
    </row>
    <row r="251" spans="1:43">
      <c r="A251" s="10">
        <f>18</f>
        <v>18</v>
      </c>
      <c r="B251" s="11">
        <f>IF($A251&gt;'1-Input'!$B$26,0,IF(G250&lt;=0,0,MAX(0,(G250-H250)/G250)))</f>
        <v>0.50663752759477221</v>
      </c>
      <c r="C251" s="18">
        <f>IF($A251&gt;'1-Input'!$B$26,0,(MAX(0,B231-IF($A251&gt;='1-Input'!$C$12,'1-Input'!$B$12,0))-MIN(MAX(F250,0),MAX(0,B231-IF($A251&gt;='1-Input'!$C$12,'1-Input'!$B$12,0))))*(1/(1-'P-Parametri'!$B$6*B251))+MIN(MAX(0,G250-(MAX(0,B231-IF($A251&gt;='1-Input'!$C$12,'1-Input'!$B$12,0))-MIN(MAX(F250,0),MAX(0,B231-IF($A251&gt;='1-Input'!$C$12,'1-Input'!$B$12,0))))*(1/(1-'P-Parametri'!$B$6*B251))),MAX(0,3*MAX(0,B231-IF($A251&gt;='1-Input'!$C$12,'1-Input'!$B$12,0))-(F250-MIN(MAX(F250,0),MAX(0,B231-IF($A251&gt;='1-Input'!$C$12,'1-Input'!$B$12,0)))))*(1/(1-'P-Parametri'!$B$6*B251))))</f>
        <v>19419.222499515225</v>
      </c>
      <c r="D251" s="18">
        <f>IF($A251&gt;'1-Input'!$B$26,F250,(F250-MAX(0,B231-IF($A251&gt;='1-Input'!$C$12,'1-Input'!$B$12,0))+C251*(1-'P-Parametri'!$B$6*B251))*(1+'1-Input'!$B$27))</f>
        <v>49863.010546479447</v>
      </c>
      <c r="E251" s="18">
        <f>IF($A251&gt;'1-Input'!$B$26,G250,(G250-C251)*(1+'5-Roberta'!$C$4))</f>
        <v>197478.60204895635</v>
      </c>
      <c r="F251" s="18">
        <f>IF($A251&gt;'1-Input'!$B$26,D251,D251-'P-Parametri'!$B$8*(E251+D251)+MIN(MAX(E251,0),'P-Parametri'!$B$8*(E251+D251)))</f>
        <v>49863.010546479447</v>
      </c>
      <c r="G251" s="18">
        <f>IF($A251&gt;'1-Input'!$B$26,E251,E251-MIN(MAX(E251,0),'P-Parametri'!$B$8*(E251+D251)))</f>
        <v>196983.91882376547</v>
      </c>
      <c r="H251" s="18">
        <f>IF($A251&gt;'1-Input'!$B$26,H250,H250-C251*(1-B251))</f>
        <v>94590.807139806973</v>
      </c>
      <c r="I251" s="11">
        <f>IF($A251&gt;'1-Input'!$B$26,0,IF(N250&lt;=0,0,MAX(0,(N250-O250)/N250)))</f>
        <v>0.50290506091540221</v>
      </c>
      <c r="J251" s="18">
        <f>IF($A251&gt;'1-Input'!$B$26,0,(MAX(0,I231-IF($A251&gt;='1-Input'!$C$12,'1-Input'!$B$12,0))-MIN(MAX(M250,0),MAX(0,I231-IF($A251&gt;='1-Input'!$C$12,'1-Input'!$B$12,0))))*(1/(1-'P-Parametri'!$B$6*I251))+MIN(MAX(0,N250-(MAX(0,I231-IF($A251&gt;='1-Input'!$C$12,'1-Input'!$B$12,0))-MIN(MAX(M250,0),MAX(0,I231-IF($A251&gt;='1-Input'!$C$12,'1-Input'!$B$12,0))))*(1/(1-'P-Parametri'!$B$6*I251))),MAX(0,3*MAX(0,I231-IF($A251&gt;='1-Input'!$C$12,'1-Input'!$B$12,0))-(M250-MIN(MAX(M250,0),MAX(0,I231-IF($A251&gt;='1-Input'!$C$12,'1-Input'!$B$12,0)))))*(1/(1-'P-Parametri'!$B$6*I251))))</f>
        <v>25523.08224909168</v>
      </c>
      <c r="K251" s="18">
        <f>IF($A251&gt;'1-Input'!$B$26,M250,(M250-MAX(0,I231-IF($A251&gt;='1-Input'!$C$12,'1-Input'!$B$12,0))+J251*(1-'P-Parametri'!$B$6*I251))*(1+'1-Input'!$B$27))</f>
        <v>65609.224403262444</v>
      </c>
      <c r="L251" s="18">
        <f>IF($A251&gt;'1-Input'!$B$26,N250,(N250-J251)*(1+'5-Roberta'!$C$4))</f>
        <v>31913.544569239501</v>
      </c>
      <c r="M251" s="18">
        <f>IF($A251&gt;'1-Input'!$B$26,K251,K251-'P-Parametri'!$B$8*(L251+K251)+MIN(MAX(L251,0),'P-Parametri'!$B$8*(L251+K251)))</f>
        <v>65609.224403262444</v>
      </c>
      <c r="N251" s="18">
        <f>IF($A251&gt;'1-Input'!$B$26,L251,L251-MIN(MAX(L251,0),'P-Parametri'!$B$8*(L251+K251)))</f>
        <v>31718.499031294497</v>
      </c>
      <c r="O251" s="18">
        <f>IF($A251&gt;'1-Input'!$B$26,O250,O250-J251*(1-I251))</f>
        <v>15402.001450116219</v>
      </c>
      <c r="P251" s="11">
        <f>IF($A251&gt;'1-Input'!$B$26,0,IF(U250&lt;=0,0,MAX(0,(U250-V250)/U250)))</f>
        <v>0.50610299695710848</v>
      </c>
      <c r="Q251" s="18">
        <f>IF($A251&gt;'1-Input'!$B$26,0,(MAX(0,P231-IF($A251&gt;='1-Input'!$C$12,'1-Input'!$B$12,0))-MIN(MAX(T250,0),MAX(0,P231-IF($A251&gt;='1-Input'!$C$12,'1-Input'!$B$12,0))))*(1/(1-'P-Parametri'!$B$6*P251))+MIN(MAX(0,U250-(MAX(0,P231-IF($A251&gt;='1-Input'!$C$12,'1-Input'!$B$12,0))-MIN(MAX(T250,0),MAX(0,P231-IF($A251&gt;='1-Input'!$C$12,'1-Input'!$B$12,0))))*(1/(1-'P-Parametri'!$B$6*P251))),MAX(0,3*MAX(0,P231-IF($A251&gt;='1-Input'!$C$12,'1-Input'!$B$12,0))-(T250-MIN(MAX(T250,0),MAX(0,P231-IF($A251&gt;='1-Input'!$C$12,'1-Input'!$B$12,0)))))*(1/(1-'P-Parametri'!$B$6*P251))))</f>
        <v>20974.629824519987</v>
      </c>
      <c r="R251" s="18">
        <f>IF($A251&gt;'1-Input'!$B$26,T250,(T250-MAX(0,P231-IF($A251&gt;='1-Input'!$C$12,'1-Input'!$B$12,0))+Q251*(1-'P-Parametri'!$B$6*P251))*(1+'1-Input'!$B$27))</f>
        <v>53865.472247091267</v>
      </c>
      <c r="S251" s="18">
        <f>IF($A251&gt;'1-Input'!$B$26,U250,(U250-Q251)*(1+'5-Roberta'!$C$4))</f>
        <v>155377.26492555114</v>
      </c>
      <c r="T251" s="18">
        <f>IF($A251&gt;'1-Input'!$B$26,R251,R251-'P-Parametri'!$B$8*(S251+R251)+MIN(MAX(S251,0),'P-Parametri'!$B$8*(S251+R251)))</f>
        <v>53865.472247091267</v>
      </c>
      <c r="U251" s="18">
        <f>IF($A251&gt;'1-Input'!$B$26,S251,S251-MIN(MAX(S251,0),'P-Parametri'!$B$8*(S251+R251)))</f>
        <v>154958.77945120586</v>
      </c>
      <c r="V251" s="18">
        <f>IF($A251&gt;'1-Input'!$B$26,V250,V250-Q251*(1-P251))</f>
        <v>74505.209211389403</v>
      </c>
      <c r="W251" s="11">
        <f>IF($A251&gt;'1-Input'!$B$26,0,IF(AB250&lt;=0,0,MAX(0,(AB250-AC250)/AB250)))</f>
        <v>0.50620156571459207</v>
      </c>
      <c r="X251" s="18">
        <f>IF($A251&gt;'1-Input'!$B$26,0,(MAX(0,W231-IF($A251&gt;='1-Input'!$C$12,'1-Input'!$B$12,0))-MIN(MAX(AA250,0),MAX(0,W231-IF($A251&gt;='1-Input'!$C$12,'1-Input'!$B$12,0))))*(1/(1-'P-Parametri'!$B$6*W251))+MIN(MAX(0,AB250-(MAX(0,W231-IF($A251&gt;='1-Input'!$C$12,'1-Input'!$B$12,0))-MIN(MAX(AA250,0),MAX(0,W231-IF($A251&gt;='1-Input'!$C$12,'1-Input'!$B$12,0))))*(1/(1-'P-Parametri'!$B$6*W251))),MAX(0,3*MAX(0,W231-IF($A251&gt;='1-Input'!$C$12,'1-Input'!$B$12,0))-(AA250-MIN(MAX(AA250,0),MAX(0,W231-IF($A251&gt;='1-Input'!$C$12,'1-Input'!$B$12,0)))))*(1/(1-'P-Parametri'!$B$6*W251))))</f>
        <v>20714.336507195781</v>
      </c>
      <c r="Y251" s="18">
        <f>IF($A251&gt;'1-Input'!$B$26,AA250,(AA250-MAX(0,W231-IF($A251&gt;='1-Input'!$C$12,'1-Input'!$B$12,0))+X251*(1-'P-Parametri'!$B$6*W251))*(1+'1-Input'!$B$27))</f>
        <v>53195.436553678475</v>
      </c>
      <c r="Z251" s="18">
        <f>IF($A251&gt;'1-Input'!$B$26,AB250,(AB250-X251)*(1+'5-Roberta'!$C$4))</f>
        <v>162424.73108697459</v>
      </c>
      <c r="AA251" s="18">
        <f>IF($A251&gt;'1-Input'!$B$26,Y251,Y251-'P-Parametri'!$B$8*(Z251+Y251)+MIN(MAX(Z251,0),'P-Parametri'!$B$8*(Z251+Y251)))</f>
        <v>53195.436553678475</v>
      </c>
      <c r="AB251" s="18">
        <f>IF($A251&gt;'1-Input'!$B$26,Z251,Z251-MIN(MAX(Z251,0),'P-Parametri'!$B$8*(Z251+Y251)))</f>
        <v>161993.49075169329</v>
      </c>
      <c r="AC251" s="18">
        <f>IF($A251&gt;'1-Input'!$B$26,AC250,AC250-X251*(1-W251))</f>
        <v>77869.007669880084</v>
      </c>
      <c r="AD251" s="11">
        <f>IF($A251&gt;'1-Input'!$B$26,0,IF(AI250&lt;=0,0,MAX(0,(AI250-AJ250)/AI250)))</f>
        <v>0.50620350176396167</v>
      </c>
      <c r="AE251" s="18">
        <f>IF($A251&gt;'1-Input'!$B$26,0,(MAX(0,AD231-IF($A251&gt;='1-Input'!$C$12,'1-Input'!$B$12,0))-MIN(MAX(AH250,0),MAX(0,AD231-IF($A251&gt;='1-Input'!$C$12,'1-Input'!$B$12,0))))*(1/(1-'P-Parametri'!$B$6*AD251))+MIN(MAX(0,AI250-(MAX(0,AD231-IF($A251&gt;='1-Input'!$C$12,'1-Input'!$B$12,0))-MIN(MAX(AH250,0),MAX(0,AD231-IF($A251&gt;='1-Input'!$C$12,'1-Input'!$B$12,0))))*(1/(1-'P-Parametri'!$B$6*AD251))),MAX(0,3*MAX(0,AD231-IF($A251&gt;='1-Input'!$C$12,'1-Input'!$B$12,0))-(AH250-MIN(MAX(AH250,0),MAX(0,AD231-IF($A251&gt;='1-Input'!$C$12,'1-Input'!$B$12,0)))))*(1/(1-'P-Parametri'!$B$6*AD251))))</f>
        <v>20709.111944861284</v>
      </c>
      <c r="AF251" s="18">
        <f>IF($A251&gt;'1-Input'!$B$26,AH250,(AH250-MAX(0,AD231-IF($A251&gt;='1-Input'!$C$12,'1-Input'!$B$12,0))+AE251*(1-'P-Parametri'!$B$6*AD251))*(1+'1-Input'!$B$27))</f>
        <v>53181.988792547134</v>
      </c>
      <c r="AG251" s="18">
        <f>IF($A251&gt;'1-Input'!$B$26,AI250,(AI250-AE251)*(1+'5-Roberta'!$C$4))</f>
        <v>162566.17766679043</v>
      </c>
      <c r="AH251" s="18">
        <f>IF($A251&gt;'1-Input'!$B$26,AF251,AF251-'P-Parametri'!$B$8*(AG251+AF251)+MIN(MAX(AG251,0),'P-Parametri'!$B$8*(AG251+AF251)))</f>
        <v>53181.988792547134</v>
      </c>
      <c r="AI251" s="18">
        <f>IF($A251&gt;'1-Input'!$B$26,AG251,AG251-MIN(MAX(AG251,0),'P-Parametri'!$B$8*(AG251+AF251)))</f>
        <v>162134.68133387176</v>
      </c>
      <c r="AJ251" s="18">
        <f>IF($A251&gt;'1-Input'!$B$26,AJ250,AJ250-AE251*(1-AD251))</f>
        <v>77936.513848037648</v>
      </c>
      <c r="AK251" s="11">
        <f>IF($A251&gt;'1-Input'!$B$26,0,IF(AP250&lt;=0,0,MAX(0,(AP250-AQ250)/AP250)))</f>
        <v>0.50620342201277824</v>
      </c>
      <c r="AL251" s="18">
        <f>IF($A251&gt;'1-Input'!$B$26,0,(MAX(0,AK231-IF($A251&gt;='1-Input'!$C$12,'1-Input'!$B$12,0))-MIN(MAX(AO250,0),MAX(0,AK231-IF($A251&gt;='1-Input'!$C$12,'1-Input'!$B$12,0))))*(1/(1-'P-Parametri'!$B$6*AK251))+MIN(MAX(0,AP250-(MAX(0,AK231-IF($A251&gt;='1-Input'!$C$12,'1-Input'!$B$12,0))-MIN(MAX(AO250,0),MAX(0,AK231-IF($A251&gt;='1-Input'!$C$12,'1-Input'!$B$12,0))))*(1/(1-'P-Parametri'!$B$6*AK251))),MAX(0,3*MAX(0,AK231-IF($A251&gt;='1-Input'!$C$12,'1-Input'!$B$12,0))-(AO250-MIN(MAX(AO250,0),MAX(0,AK231-IF($A251&gt;='1-Input'!$C$12,'1-Input'!$B$12,0)))))*(1/(1-'P-Parametri'!$B$6*AK251))))</f>
        <v>20709.327245459463</v>
      </c>
      <c r="AM251" s="18">
        <f>IF($A251&gt;'1-Input'!$B$26,AO250,(AO250-MAX(0,AK231-IF($A251&gt;='1-Input'!$C$12,'1-Input'!$B$12,0))+AL251*(1-'P-Parametri'!$B$6*AK251))*(1+'1-Input'!$B$27))</f>
        <v>53182.542964658947</v>
      </c>
      <c r="AN251" s="18">
        <f>IF($A251&gt;'1-Input'!$B$26,AP250,(AP250-AL251)*(1+'5-Roberta'!$C$4))</f>
        <v>162560.34875788138</v>
      </c>
      <c r="AO251" s="18">
        <f>IF($A251&gt;'1-Input'!$B$26,AM251,AM251-'P-Parametri'!$B$8*(AN251+AM251)+MIN(MAX(AN251,0),'P-Parametri'!$B$8*(AN251+AM251)))</f>
        <v>53182.542964658947</v>
      </c>
      <c r="AP251" s="18">
        <f>IF($A251&gt;'1-Input'!$B$26,AN251,AN251-MIN(MAX(AN251,0),'P-Parametri'!$B$8*(AN251+AM251)))</f>
        <v>162128.86297443631</v>
      </c>
      <c r="AQ251" s="18">
        <f>IF($A251&gt;'1-Input'!$B$26,AQ250,AQ250-AL251*(1-AK251))</f>
        <v>77933.731973836067</v>
      </c>
    </row>
    <row r="252" spans="1:43">
      <c r="A252" s="10">
        <f>19</f>
        <v>19</v>
      </c>
      <c r="B252" s="11">
        <f>IF($A252&gt;'1-Input'!$B$26,0,IF(G251&lt;=0,0,MAX(0,(G251-H251)/G251)))</f>
        <v>0.51980442005301963</v>
      </c>
      <c r="C252" s="18">
        <f>IF($A252&gt;'1-Input'!$B$26,0,(MAX(0,B231-IF($A252&gt;='1-Input'!$C$12,'1-Input'!$B$12,0))-MIN(MAX(F251,0),MAX(0,B231-IF($A252&gt;='1-Input'!$C$12,'1-Input'!$B$12,0))))*(1/(1-'P-Parametri'!$B$6*B252))+MIN(MAX(0,G251-(MAX(0,B231-IF($A252&gt;='1-Input'!$C$12,'1-Input'!$B$12,0))-MIN(MAX(F251,0),MAX(0,B231-IF($A252&gt;='1-Input'!$C$12,'1-Input'!$B$12,0))))*(1/(1-'P-Parametri'!$B$6*B252))),MAX(0,3*MAX(0,B231-IF($A252&gt;='1-Input'!$C$12,'1-Input'!$B$12,0))-(F251-MIN(MAX(F251,0),MAX(0,B231-IF($A252&gt;='1-Input'!$C$12,'1-Input'!$B$12,0)))))*(1/(1-'P-Parametri'!$B$6*B252))))</f>
        <v>19496.090796113163</v>
      </c>
      <c r="D252" s="18">
        <f>IF($A252&gt;'1-Input'!$B$26,F251,(F251-MAX(0,B231-IF($A252&gt;='1-Input'!$C$12,'1-Input'!$B$12,0))+C252*(1-'P-Parametri'!$B$6*B252))*(1+'1-Input'!$B$27))</f>
        <v>49863.010546479447</v>
      </c>
      <c r="E252" s="18">
        <f>IF($A252&gt;'1-Input'!$B$26,G251,(G251-C252)*(1+'5-Roberta'!$C$4))</f>
        <v>182812.46286848187</v>
      </c>
      <c r="F252" s="18">
        <f>IF($A252&gt;'1-Input'!$B$26,D252,D252-'P-Parametri'!$B$8*(E252+D252)+MIN(MAX(E252,0),'P-Parametri'!$B$8*(E252+D252)))</f>
        <v>49863.010546479447</v>
      </c>
      <c r="G252" s="18">
        <f>IF($A252&gt;'1-Input'!$B$26,E252,E252-MIN(MAX(E252,0),'P-Parametri'!$B$8*(E252+D252)))</f>
        <v>182347.11192165196</v>
      </c>
      <c r="H252" s="18">
        <f>IF($A252&gt;'1-Input'!$B$26,H251,H251-C252*(1-B252))</f>
        <v>85228.870513268426</v>
      </c>
      <c r="I252" s="11">
        <f>IF($A252&gt;'1-Input'!$B$26,0,IF(N251&lt;=0,0,MAX(0,(N251-O251)/N251)))</f>
        <v>0.51441581662107949</v>
      </c>
      <c r="J252" s="18">
        <f>IF($A252&gt;'1-Input'!$B$26,0,(MAX(0,I231-IF($A252&gt;='1-Input'!$C$12,'1-Input'!$B$12,0))-MIN(MAX(M251,0),MAX(0,I231-IF($A252&gt;='1-Input'!$C$12,'1-Input'!$B$12,0))))*(1/(1-'P-Parametri'!$B$6*I252))+MIN(MAX(0,N251-(MAX(0,I231-IF($A252&gt;='1-Input'!$C$12,'1-Input'!$B$12,0))-MIN(MAX(M251,0),MAX(0,I231-IF($A252&gt;='1-Input'!$C$12,'1-Input'!$B$12,0))))*(1/(1-'P-Parametri'!$B$6*I252))),MAX(0,3*MAX(0,I231-IF($A252&gt;='1-Input'!$C$12,'1-Input'!$B$12,0))-(M251-MIN(MAX(M251,0),MAX(0,I231-IF($A252&gt;='1-Input'!$C$12,'1-Input'!$B$12,0)))))*(1/(1-'P-Parametri'!$B$6*I252))))</f>
        <v>25611.261440258881</v>
      </c>
      <c r="K252" s="18">
        <f>IF($A252&gt;'1-Input'!$B$26,M251,(M251-MAX(0,I231-IF($A252&gt;='1-Input'!$C$12,'1-Input'!$B$12,0))+J252*(1-'P-Parametri'!$B$6*I252))*(1+'1-Input'!$B$27))</f>
        <v>65609.224403262444</v>
      </c>
      <c r="L252" s="18">
        <f>IF($A252&gt;'1-Input'!$B$26,N251,(N251-J252)*(1+'5-Roberta'!$C$4))</f>
        <v>6290.4547187666858</v>
      </c>
      <c r="M252" s="18">
        <f>IF($A252&gt;'1-Input'!$B$26,K252,K252-'P-Parametri'!$B$8*(L252+K252)+MIN(MAX(L252,0),'P-Parametri'!$B$8*(L252+K252)))</f>
        <v>65609.224403262444</v>
      </c>
      <c r="N252" s="18">
        <f>IF($A252&gt;'1-Input'!$B$26,L252,L252-MIN(MAX(L252,0),'P-Parametri'!$B$8*(L252+K252)))</f>
        <v>6146.6553605226272</v>
      </c>
      <c r="O252" s="18">
        <f>IF($A252&gt;'1-Input'!$B$26,O251,O251-J252*(1-I252))</f>
        <v>2965.5779783440739</v>
      </c>
      <c r="P252" s="11">
        <f>IF($A252&gt;'1-Input'!$B$26,0,IF(U251&lt;=0,0,MAX(0,(U251-V251)/U251)))</f>
        <v>0.51919336564695939</v>
      </c>
      <c r="Q252" s="18">
        <f>IF($A252&gt;'1-Input'!$B$26,0,(MAX(0,P231-IF($A252&gt;='1-Input'!$C$12,'1-Input'!$B$12,0))-MIN(MAX(T251,0),MAX(0,P231-IF($A252&gt;='1-Input'!$C$12,'1-Input'!$B$12,0))))*(1/(1-'P-Parametri'!$B$6*P252))+MIN(MAX(0,U251-(MAX(0,P231-IF($A252&gt;='1-Input'!$C$12,'1-Input'!$B$12,0))-MIN(MAX(T251,0),MAX(0,P231-IF($A252&gt;='1-Input'!$C$12,'1-Input'!$B$12,0))))*(1/(1-'P-Parametri'!$B$6*P252))),MAX(0,3*MAX(0,P231-IF($A252&gt;='1-Input'!$C$12,'1-Input'!$B$12,0))-(T251-MIN(MAX(T251,0),MAX(0,P231-IF($A252&gt;='1-Input'!$C$12,'1-Input'!$B$12,0)))))*(1/(1-'P-Parametri'!$B$6*P252))))</f>
        <v>21057.157296410569</v>
      </c>
      <c r="R252" s="18">
        <f>IF($A252&gt;'1-Input'!$B$26,T251,(T251-MAX(0,P231-IF($A252&gt;='1-Input'!$C$12,'1-Input'!$B$12,0))+Q252*(1-'P-Parametri'!$B$6*P252))*(1+'1-Input'!$B$27))</f>
        <v>53865.472247091267</v>
      </c>
      <c r="S252" s="18">
        <f>IF($A252&gt;'1-Input'!$B$26,U251,(U251-Q252)*(1+'5-Roberta'!$C$4))</f>
        <v>137918.67081943917</v>
      </c>
      <c r="T252" s="18">
        <f>IF($A252&gt;'1-Input'!$B$26,R252,R252-'P-Parametri'!$B$8*(S252+R252)+MIN(MAX(S252,0),'P-Parametri'!$B$8*(S252+R252)))</f>
        <v>53865.472247091267</v>
      </c>
      <c r="U252" s="18">
        <f>IF($A252&gt;'1-Input'!$B$26,S252,S252-MIN(MAX(S252,0),'P-Parametri'!$B$8*(S252+R252)))</f>
        <v>137535.10253330611</v>
      </c>
      <c r="V252" s="18">
        <f>IF($A252&gt;'1-Input'!$B$26,V251,V251-Q252*(1-P252))</f>
        <v>64380.788282659661</v>
      </c>
      <c r="W252" s="11">
        <f>IF($A252&gt;'1-Input'!$B$26,0,IF(AB251&lt;=0,0,MAX(0,(AB251-AC251)/AB251)))</f>
        <v>0.51930779867421228</v>
      </c>
      <c r="X252" s="18">
        <f>IF($A252&gt;'1-Input'!$B$26,0,(MAX(0,W231-IF($A252&gt;='1-Input'!$C$12,'1-Input'!$B$12,0))-MIN(MAX(AA251,0),MAX(0,W231-IF($A252&gt;='1-Input'!$C$12,'1-Input'!$B$12,0))))*(1/(1-'P-Parametri'!$B$6*W252))+MIN(MAX(0,AB251-(MAX(0,W231-IF($A252&gt;='1-Input'!$C$12,'1-Input'!$B$12,0))-MIN(MAX(AA251,0),MAX(0,W231-IF($A252&gt;='1-Input'!$C$12,'1-Input'!$B$12,0))))*(1/(1-'P-Parametri'!$B$6*W252))),MAX(0,3*MAX(0,W231-IF($A252&gt;='1-Input'!$C$12,'1-Input'!$B$12,0))-(AA251-MIN(MAX(AA251,0),MAX(0,W231-IF($A252&gt;='1-Input'!$C$12,'1-Input'!$B$12,0)))))*(1/(1-'P-Parametri'!$B$6*W252))))</f>
        <v>20795.941401438766</v>
      </c>
      <c r="Y252" s="18">
        <f>IF($A252&gt;'1-Input'!$B$26,AA251,(AA251-MAX(0,W231-IF($A252&gt;='1-Input'!$C$12,'1-Input'!$B$12,0))+X252*(1-'P-Parametri'!$B$6*W252))*(1+'1-Input'!$B$27))</f>
        <v>53195.436553678475</v>
      </c>
      <c r="Z252" s="18">
        <f>IF($A252&gt;'1-Input'!$B$26,AB251,(AB251-X252)*(1+'5-Roberta'!$C$4))</f>
        <v>145433.47583076218</v>
      </c>
      <c r="AA252" s="18">
        <f>IF($A252&gt;'1-Input'!$B$26,Y252,Y252-'P-Parametri'!$B$8*(Z252+Y252)+MIN(MAX(Z252,0),'P-Parametri'!$B$8*(Z252+Y252)))</f>
        <v>53195.436553678475</v>
      </c>
      <c r="AB252" s="18">
        <f>IF($A252&gt;'1-Input'!$B$26,Z252,Z252-MIN(MAX(Z252,0),'P-Parametri'!$B$8*(Z252+Y252)))</f>
        <v>145036.21800599329</v>
      </c>
      <c r="AC252" s="18">
        <f>IF($A252&gt;'1-Input'!$B$26,AC251,AC251-X252*(1-W252))</f>
        <v>67872.56081898039</v>
      </c>
      <c r="AD252" s="11">
        <f>IF($A252&gt;'1-Input'!$B$26,0,IF(AI251&lt;=0,0,MAX(0,(AI251-AJ251)/AI251)))</f>
        <v>0.5193100377608364</v>
      </c>
      <c r="AE252" s="18">
        <f>IF($A252&gt;'1-Input'!$B$26,0,(MAX(0,AD231-IF($A252&gt;='1-Input'!$C$12,'1-Input'!$B$12,0))-MIN(MAX(AH251,0),MAX(0,AD231-IF($A252&gt;='1-Input'!$C$12,'1-Input'!$B$12,0))))*(1/(1-'P-Parametri'!$B$6*AD252))+MIN(MAX(0,AI251-(MAX(0,AD231-IF($A252&gt;='1-Input'!$C$12,'1-Input'!$B$12,0))-MIN(MAX(AH251,0),MAX(0,AD231-IF($A252&gt;='1-Input'!$C$12,'1-Input'!$B$12,0))))*(1/(1-'P-Parametri'!$B$6*AD252))),MAX(0,3*MAX(0,AD231-IF($A252&gt;='1-Input'!$C$12,'1-Input'!$B$12,0))-(AH251-MIN(MAX(AH251,0),MAX(0,AD231-IF($A252&gt;='1-Input'!$C$12,'1-Input'!$B$12,0)))))*(1/(1-'P-Parametri'!$B$6*AD252))))</f>
        <v>20790.698198019272</v>
      </c>
      <c r="AF252" s="18">
        <f>IF($A252&gt;'1-Input'!$B$26,AH251,(AH251-MAX(0,AD231-IF($A252&gt;='1-Input'!$C$12,'1-Input'!$B$12,0))+AE252*(1-'P-Parametri'!$B$6*AD252))*(1+'1-Input'!$B$27))</f>
        <v>53181.988792547134</v>
      </c>
      <c r="AG252" s="18">
        <f>IF($A252&gt;'1-Input'!$B$26,AI251,(AI251-AE252)*(1+'5-Roberta'!$C$4))</f>
        <v>145584.30262992808</v>
      </c>
      <c r="AH252" s="18">
        <f>IF($A252&gt;'1-Input'!$B$26,AF252,AF252-'P-Parametri'!$B$8*(AG252+AF252)+MIN(MAX(AG252,0),'P-Parametri'!$B$8*(AG252+AF252)))</f>
        <v>53181.988792547134</v>
      </c>
      <c r="AI252" s="18">
        <f>IF($A252&gt;'1-Input'!$B$26,AG252,AG252-MIN(MAX(AG252,0),'P-Parametri'!$B$8*(AG252+AF252)))</f>
        <v>145186.77004708312</v>
      </c>
      <c r="AJ252" s="18">
        <f>IF($A252&gt;'1-Input'!$B$26,AJ251,AJ251-AE252*(1-AD252))</f>
        <v>67942.633916305917</v>
      </c>
      <c r="AK252" s="11">
        <f>IF($A252&gt;'1-Input'!$B$26,0,IF(AP251&lt;=0,0,MAX(0,(AP251-AQ251)/AP251)))</f>
        <v>0.51930994553311416</v>
      </c>
      <c r="AL252" s="18">
        <f>IF($A252&gt;'1-Input'!$B$26,0,(MAX(0,AK231-IF($A252&gt;='1-Input'!$C$12,'1-Input'!$B$12,0))-MIN(MAX(AO251,0),MAX(0,AK231-IF($A252&gt;='1-Input'!$C$12,'1-Input'!$B$12,0))))*(1/(1-'P-Parametri'!$B$6*AK252))+MIN(MAX(0,AP251-(MAX(0,AK231-IF($A252&gt;='1-Input'!$C$12,'1-Input'!$B$12,0))-MIN(MAX(AO251,0),MAX(0,AK231-IF($A252&gt;='1-Input'!$C$12,'1-Input'!$B$12,0))))*(1/(1-'P-Parametri'!$B$6*AK252))),MAX(0,3*MAX(0,AK231-IF($A252&gt;='1-Input'!$C$12,'1-Input'!$B$12,0))-(AO251-MIN(MAX(AO251,0),MAX(0,AK231-IF($A252&gt;='1-Input'!$C$12,'1-Input'!$B$12,0)))))*(1/(1-'P-Parametri'!$B$6*AK252))))</f>
        <v>20790.914266895095</v>
      </c>
      <c r="AM252" s="18">
        <f>IF($A252&gt;'1-Input'!$B$26,AO251,(AO251-MAX(0,AK231-IF($A252&gt;='1-Input'!$C$12,'1-Input'!$B$12,0))+AL252*(1-'P-Parametri'!$B$6*AK252))*(1+'1-Input'!$B$27))</f>
        <v>53182.542964658947</v>
      </c>
      <c r="AN252" s="18">
        <f>IF($A252&gt;'1-Input'!$B$26,AP251,(AP251-AL252)*(1+'5-Roberta'!$C$4))</f>
        <v>145578.08716876747</v>
      </c>
      <c r="AO252" s="18">
        <f>IF($A252&gt;'1-Input'!$B$26,AM252,AM252-'P-Parametri'!$B$8*(AN252+AM252)+MIN(MAX(AN252,0),'P-Parametri'!$B$8*(AN252+AM252)))</f>
        <v>53182.542964658947</v>
      </c>
      <c r="AP252" s="18">
        <f>IF($A252&gt;'1-Input'!$B$26,AN252,AN252-MIN(MAX(AN252,0),'P-Parametri'!$B$8*(AN252+AM252)))</f>
        <v>145180.5659085006</v>
      </c>
      <c r="AQ252" s="18">
        <f>IF($A252&gt;'1-Input'!$B$26,AQ251,AQ251-AL252*(1-AK252))</f>
        <v>67939.746262465909</v>
      </c>
    </row>
    <row r="253" spans="1:43">
      <c r="A253" s="10">
        <f>20</f>
        <v>20</v>
      </c>
      <c r="B253" s="11">
        <f>IF($A253&gt;'1-Input'!$B$26,0,IF(G252&lt;=0,0,MAX(0,(G252-H252)/G252)))</f>
        <v>0.53260093008828002</v>
      </c>
      <c r="C253" s="18">
        <f>IF($A253&gt;'1-Input'!$B$26,0,(MAX(0,B231-IF($A253&gt;='1-Input'!$C$12,'1-Input'!$B$12,0))-MIN(MAX(F252,0),MAX(0,B231-IF($A253&gt;='1-Input'!$C$12,'1-Input'!$B$12,0))))*(1/(1-'P-Parametri'!$B$6*B253))+MIN(MAX(0,G252-(MAX(0,B231-IF($A253&gt;='1-Input'!$C$12,'1-Input'!$B$12,0))-MIN(MAX(F252,0),MAX(0,B231-IF($A253&gt;='1-Input'!$C$12,'1-Input'!$B$12,0))))*(1/(1-'P-Parametri'!$B$6*B253))),MAX(0,3*MAX(0,B231-IF($A253&gt;='1-Input'!$C$12,'1-Input'!$B$12,0))-(F252-MIN(MAX(F252,0),MAX(0,B231-IF($A253&gt;='1-Input'!$C$12,'1-Input'!$B$12,0)))))*(1/(1-'P-Parametri'!$B$6*B253))))</f>
        <v>19571.382160953366</v>
      </c>
      <c r="D253" s="18">
        <f>IF($A253&gt;'1-Input'!$B$26,F252,(F252-MAX(0,B231-IF($A253&gt;='1-Input'!$C$12,'1-Input'!$B$12,0))+C253*(1-'P-Parametri'!$B$6*B253))*(1+'1-Input'!$B$27))</f>
        <v>49863.010546479447</v>
      </c>
      <c r="E253" s="18">
        <f>IF($A253&gt;'1-Input'!$B$26,G252,(G252-C253)*(1+'5-Roberta'!$C$4))</f>
        <v>167659.00165351955</v>
      </c>
      <c r="F253" s="18">
        <f>IF($A253&gt;'1-Input'!$B$26,D253,D253-'P-Parametri'!$B$8*(E253+D253)+MIN(MAX(E253,0),'P-Parametri'!$B$8*(E253+D253)))</f>
        <v>49863.010546479447</v>
      </c>
      <c r="G253" s="18">
        <f>IF($A253&gt;'1-Input'!$B$26,E253,E253-MIN(MAX(E253,0),'P-Parametri'!$B$8*(E253+D253)))</f>
        <v>167223.95762911954</v>
      </c>
      <c r="H253" s="18">
        <f>IF($A253&gt;'1-Input'!$B$26,H252,H252-C253*(1-B253))</f>
        <v>76081.224694352</v>
      </c>
      <c r="I253" s="11">
        <f>IF($A253&gt;'1-Input'!$B$26,0,IF(N252&lt;=0,0,MAX(0,(N252-O252)/N252)))</f>
        <v>0.51752981021341626</v>
      </c>
      <c r="J253" s="18">
        <f>IF($A253&gt;'1-Input'!$B$26,0,(MAX(0,I231-IF($A253&gt;='1-Input'!$C$12,'1-Input'!$B$12,0))-MIN(MAX(M252,0),MAX(0,I231-IF($A253&gt;='1-Input'!$C$12,'1-Input'!$B$12,0))))*(1/(1-'P-Parametri'!$B$6*I253))+MIN(MAX(0,N252-(MAX(0,I231-IF($A253&gt;='1-Input'!$C$12,'1-Input'!$B$12,0))-MIN(MAX(M252,0),MAX(0,I231-IF($A253&gt;='1-Input'!$C$12,'1-Input'!$B$12,0))))*(1/(1-'P-Parametri'!$B$6*I253))),MAX(0,3*MAX(0,I231-IF($A253&gt;='1-Input'!$C$12,'1-Input'!$B$12,0))-(M252-MIN(MAX(M252,0),MAX(0,I231-IF($A253&gt;='1-Input'!$C$12,'1-Input'!$B$12,0)))))*(1/(1-'P-Parametri'!$B$6*I253))))</f>
        <v>6146.6553605226272</v>
      </c>
      <c r="K253" s="18">
        <f>IF($A253&gt;'1-Input'!$B$26,M252,(M252-MAX(0,I231-IF($A253&gt;='1-Input'!$C$12,'1-Input'!$B$12,0))+J253*(1-'P-Parametri'!$B$6*I253))*(1+'1-Input'!$B$27))</f>
        <v>48803.714497944595</v>
      </c>
      <c r="L253" s="18">
        <f>IF($A253&gt;'1-Input'!$B$26,N252,(N252-J253)*(1+'5-Roberta'!$C$4))</f>
        <v>0</v>
      </c>
      <c r="M253" s="18">
        <f>IF($A253&gt;'1-Input'!$B$26,K253,K253-'P-Parametri'!$B$8*(L253+K253)+MIN(MAX(L253,0),'P-Parametri'!$B$8*(L253+K253)))</f>
        <v>48706.107068948702</v>
      </c>
      <c r="N253" s="18">
        <f>IF($A253&gt;'1-Input'!$B$26,L253,L253-MIN(MAX(L253,0),'P-Parametri'!$B$8*(L253+K253)))</f>
        <v>0</v>
      </c>
      <c r="O253" s="18">
        <f>IF($A253&gt;'1-Input'!$B$26,O252,O252-J253*(1-I253))</f>
        <v>-4.5474735088646412E-13</v>
      </c>
      <c r="P253" s="11">
        <f>IF($A253&gt;'1-Input'!$B$26,0,IF(U252&lt;=0,0,MAX(0,(U252-V252)/U252)))</f>
        <v>0.53189558813126325</v>
      </c>
      <c r="Q253" s="18">
        <f>IF($A253&gt;'1-Input'!$B$26,0,(MAX(0,P231-IF($A253&gt;='1-Input'!$C$12,'1-Input'!$B$12,0))-MIN(MAX(T252,0),MAX(0,P231-IF($A253&gt;='1-Input'!$C$12,'1-Input'!$B$12,0))))*(1/(1-'P-Parametri'!$B$6*P253))+MIN(MAX(0,U252-(MAX(0,P231-IF($A253&gt;='1-Input'!$C$12,'1-Input'!$B$12,0))-MIN(MAX(T252,0),MAX(0,P231-IF($A253&gt;='1-Input'!$C$12,'1-Input'!$B$12,0))))*(1/(1-'P-Parametri'!$B$6*P253))),MAX(0,3*MAX(0,P231-IF($A253&gt;='1-Input'!$C$12,'1-Input'!$B$12,0))-(T252-MIN(MAX(T252,0),MAX(0,P231-IF($A253&gt;='1-Input'!$C$12,'1-Input'!$B$12,0)))))*(1/(1-'P-Parametri'!$B$6*P253))))</f>
        <v>21137.860933859021</v>
      </c>
      <c r="R253" s="18">
        <f>IF($A253&gt;'1-Input'!$B$26,T252,(T252-MAX(0,P231-IF($A253&gt;='1-Input'!$C$12,'1-Input'!$B$12,0))+Q253*(1-'P-Parametri'!$B$6*P253))*(1+'1-Input'!$B$27))</f>
        <v>53865.472247091267</v>
      </c>
      <c r="S253" s="18">
        <f>IF($A253&gt;'1-Input'!$B$26,U252,(U252-Q253)*(1+'5-Roberta'!$C$4))</f>
        <v>119889.1588474305</v>
      </c>
      <c r="T253" s="18">
        <f>IF($A253&gt;'1-Input'!$B$26,R253,R253-'P-Parametri'!$B$8*(S253+R253)+MIN(MAX(S253,0),'P-Parametri'!$B$8*(S253+R253)))</f>
        <v>53865.472247091267</v>
      </c>
      <c r="U253" s="18">
        <f>IF($A253&gt;'1-Input'!$B$26,S253,S253-MIN(MAX(S253,0),'P-Parametri'!$B$8*(S253+R253)))</f>
        <v>119541.64958524145</v>
      </c>
      <c r="V253" s="18">
        <f>IF($A253&gt;'1-Input'!$B$26,V252,V252-Q253*(1-P253))</f>
        <v>54486.062322052436</v>
      </c>
      <c r="W253" s="11">
        <f>IF($A253&gt;'1-Input'!$B$26,0,IF(AB252&lt;=0,0,MAX(0,(AB252-AC252)/AB252)))</f>
        <v>0.53203026283975696</v>
      </c>
      <c r="X253" s="18">
        <f>IF($A253&gt;'1-Input'!$B$26,0,(MAX(0,W231-IF($A253&gt;='1-Input'!$C$12,'1-Input'!$B$12,0))-MIN(MAX(AA252,0),MAX(0,W231-IF($A253&gt;='1-Input'!$C$12,'1-Input'!$B$12,0))))*(1/(1-'P-Parametri'!$B$6*W253))+MIN(MAX(0,AB252-(MAX(0,W231-IF($A253&gt;='1-Input'!$C$12,'1-Input'!$B$12,0))-MIN(MAX(AA252,0),MAX(0,W231-IF($A253&gt;='1-Input'!$C$12,'1-Input'!$B$12,0))))*(1/(1-'P-Parametri'!$B$6*W253))),MAX(0,3*MAX(0,W231-IF($A253&gt;='1-Input'!$C$12,'1-Input'!$B$12,0))-(AA252-MIN(MAX(AA252,0),MAX(0,W231-IF($A253&gt;='1-Input'!$C$12,'1-Input'!$B$12,0)))))*(1/(1-'P-Parametri'!$B$6*W253))))</f>
        <v>20875.774157404976</v>
      </c>
      <c r="Y253" s="18">
        <f>IF($A253&gt;'1-Input'!$B$26,AA252,(AA252-MAX(0,W231-IF($A253&gt;='1-Input'!$C$12,'1-Input'!$B$12,0))+X253*(1-'P-Parametri'!$B$6*W253))*(1+'1-Input'!$B$27))</f>
        <v>53195.436553678475</v>
      </c>
      <c r="Z253" s="18">
        <f>IF($A253&gt;'1-Input'!$B$26,AB252,(AB252-X253)*(1+'5-Roberta'!$C$4))</f>
        <v>127885.25716404596</v>
      </c>
      <c r="AA253" s="18">
        <f>IF($A253&gt;'1-Input'!$B$26,Y253,Y253-'P-Parametri'!$B$8*(Z253+Y253)+MIN(MAX(Z253,0),'P-Parametri'!$B$8*(Z253+Y253)))</f>
        <v>53195.436553678475</v>
      </c>
      <c r="AB253" s="18">
        <f>IF($A253&gt;'1-Input'!$B$26,Z253,Z253-MIN(MAX(Z253,0),'P-Parametri'!$B$8*(Z253+Y253)))</f>
        <v>127523.09577661051</v>
      </c>
      <c r="AC253" s="18">
        <f>IF($A253&gt;'1-Input'!$B$26,AC252,AC252-X253*(1-W253))</f>
        <v>58103.330273522988</v>
      </c>
      <c r="AD253" s="11">
        <f>IF($A253&gt;'1-Input'!$B$26,0,IF(AI252&lt;=0,0,MAX(0,(AI252-AJ252)/AI252)))</f>
        <v>0.53203288499170709</v>
      </c>
      <c r="AE253" s="18">
        <f>IF($A253&gt;'1-Input'!$B$26,0,(MAX(0,AD231-IF($A253&gt;='1-Input'!$C$12,'1-Input'!$B$12,0))-MIN(MAX(AH252,0),MAX(0,AD231-IF($A253&gt;='1-Input'!$C$12,'1-Input'!$B$12,0))))*(1/(1-'P-Parametri'!$B$6*AD253))+MIN(MAX(0,AI252-(MAX(0,AD231-IF($A253&gt;='1-Input'!$C$12,'1-Input'!$B$12,0))-MIN(MAX(AH252,0),MAX(0,AD231-IF($A253&gt;='1-Input'!$C$12,'1-Input'!$B$12,0))))*(1/(1-'P-Parametri'!$B$6*AD253))),MAX(0,3*MAX(0,AD231-IF($A253&gt;='1-Input'!$C$12,'1-Input'!$B$12,0))-(AH252-MIN(MAX(AH252,0),MAX(0,AD231-IF($A253&gt;='1-Input'!$C$12,'1-Input'!$B$12,0)))))*(1/(1-'P-Parametri'!$B$6*AD253))))</f>
        <v>20870.513292307129</v>
      </c>
      <c r="AF253" s="18">
        <f>IF($A253&gt;'1-Input'!$B$26,AH252,(AH252-MAX(0,AD231-IF($A253&gt;='1-Input'!$C$12,'1-Input'!$B$12,0))+AE253*(1-'P-Parametri'!$B$6*AD253))*(1+'1-Input'!$B$27))</f>
        <v>53181.988792547134</v>
      </c>
      <c r="AG253" s="18">
        <f>IF($A253&gt;'1-Input'!$B$26,AI252,(AI252-AE253)*(1+'5-Roberta'!$C$4))</f>
        <v>128045.74445741928</v>
      </c>
      <c r="AH253" s="18">
        <f>IF($A253&gt;'1-Input'!$B$26,AF253,AF253-'P-Parametri'!$B$8*(AG253+AF253)+MIN(MAX(AG253,0),'P-Parametri'!$B$8*(AG253+AF253)))</f>
        <v>53181.988792547134</v>
      </c>
      <c r="AI253" s="18">
        <f>IF($A253&gt;'1-Input'!$B$26,AG253,AG253-MIN(MAX(AG253,0),'P-Parametri'!$B$8*(AG253+AF253)))</f>
        <v>127683.28899091935</v>
      </c>
      <c r="AJ253" s="18">
        <f>IF($A253&gt;'1-Input'!$B$26,AJ252,AJ252-AE253*(1-AD253))</f>
        <v>58175.920022162718</v>
      </c>
      <c r="AK253" s="11">
        <f>IF($A253&gt;'1-Input'!$B$26,0,IF(AP252&lt;=0,0,MAX(0,(AP252-AQ252)/AP252)))</f>
        <v>0.53203277699520313</v>
      </c>
      <c r="AL253" s="18">
        <f>IF($A253&gt;'1-Input'!$B$26,0,(MAX(0,AK231-IF($A253&gt;='1-Input'!$C$12,'1-Input'!$B$12,0))-MIN(MAX(AO252,0),MAX(0,AK231-IF($A253&gt;='1-Input'!$C$12,'1-Input'!$B$12,0))))*(1/(1-'P-Parametri'!$B$6*AK253))+MIN(MAX(0,AP252-(MAX(0,AK231-IF($A253&gt;='1-Input'!$C$12,'1-Input'!$B$12,0))-MIN(MAX(AO252,0),MAX(0,AK231-IF($A253&gt;='1-Input'!$C$12,'1-Input'!$B$12,0))))*(1/(1-'P-Parametri'!$B$6*AK253))),MAX(0,3*MAX(0,AK231-IF($A253&gt;='1-Input'!$C$12,'1-Input'!$B$12,0))-(AO252-MIN(MAX(AO252,0),MAX(0,AK231-IF($A253&gt;='1-Input'!$C$12,'1-Input'!$B$12,0)))))*(1/(1-'P-Parametri'!$B$6*AK253))))</f>
        <v>20870.730089141929</v>
      </c>
      <c r="AM253" s="18">
        <f>IF($A253&gt;'1-Input'!$B$26,AO252,(AO252-MAX(0,AK231-IF($A253&gt;='1-Input'!$C$12,'1-Input'!$B$12,0))+AL253*(1-'P-Parametri'!$B$6*AK253))*(1+'1-Input'!$B$27))</f>
        <v>53182.542964658947</v>
      </c>
      <c r="AN253" s="18">
        <f>IF($A253&gt;'1-Input'!$B$26,AP252,(AP252-AL253)*(1+'5-Roberta'!$C$4))</f>
        <v>128039.13089393944</v>
      </c>
      <c r="AO253" s="18">
        <f>IF($A253&gt;'1-Input'!$B$26,AM253,AM253-'P-Parametri'!$B$8*(AN253+AM253)+MIN(MAX(AN253,0),'P-Parametri'!$B$8*(AN253+AM253)))</f>
        <v>53182.542964658947</v>
      </c>
      <c r="AP253" s="18">
        <f>IF($A253&gt;'1-Input'!$B$26,AN253,AN253-MIN(MAX(AN253,0),'P-Parametri'!$B$8*(AN253+AM253)))</f>
        <v>127676.68754622224</v>
      </c>
      <c r="AQ253" s="18">
        <f>IF($A253&gt;'1-Input'!$B$26,AQ252,AQ252-AL253*(1-AK253))</f>
        <v>58172.928660567501</v>
      </c>
    </row>
    <row r="254" spans="1:43">
      <c r="A254" s="10">
        <f>21</f>
        <v>21</v>
      </c>
      <c r="B254" s="11">
        <f>IF($A254&gt;'1-Input'!$B$26,0,IF(G253&lt;=0,0,MAX(0,(G253-H253)/G253)))</f>
        <v>0.54503394266573923</v>
      </c>
      <c r="C254" s="18">
        <f>IF($A254&gt;'1-Input'!$B$26,0,(MAX(0,B231-IF($A254&gt;='1-Input'!$C$12,'1-Input'!$B$12,0))-MIN(MAX(F253,0),MAX(0,B231-IF($A254&gt;='1-Input'!$C$12,'1-Input'!$B$12,0))))*(1/(1-'P-Parametri'!$B$6*B254))+MIN(MAX(0,G253-(MAX(0,B231-IF($A254&gt;='1-Input'!$C$12,'1-Input'!$B$12,0))-MIN(MAX(F253,0),MAX(0,B231-IF($A254&gt;='1-Input'!$C$12,'1-Input'!$B$12,0))))*(1/(1-'P-Parametri'!$B$6*B254))),MAX(0,3*MAX(0,B231-IF($A254&gt;='1-Input'!$C$12,'1-Input'!$B$12,0))-(F253-MIN(MAX(F253,0),MAX(0,B231-IF($A254&gt;='1-Input'!$C$12,'1-Input'!$B$12,0)))))*(1/(1-'P-Parametri'!$B$6*B254))))</f>
        <v>19645.09388536189</v>
      </c>
      <c r="D254" s="18">
        <f>IF($A254&gt;'1-Input'!$B$26,F253,(F253-MAX(0,B231-IF($A254&gt;='1-Input'!$C$12,'1-Input'!$B$12,0))+C254*(1-'P-Parametri'!$B$6*B254))*(1+'1-Input'!$B$27))</f>
        <v>49863.010546479447</v>
      </c>
      <c r="E254" s="18">
        <f>IF($A254&gt;'1-Input'!$B$26,G253,(G253-C254)*(1+'5-Roberta'!$C$4))</f>
        <v>152006.22965607038</v>
      </c>
      <c r="F254" s="18">
        <f>IF($A254&gt;'1-Input'!$B$26,D254,D254-'P-Parametri'!$B$8*(E254+D254)+MIN(MAX(E254,0),'P-Parametri'!$B$8*(E254+D254)))</f>
        <v>49863.010546479447</v>
      </c>
      <c r="G254" s="18">
        <f>IF($A254&gt;'1-Input'!$B$26,E254,E254-MIN(MAX(E254,0),'P-Parametri'!$B$8*(E254+D254)))</f>
        <v>151602.49117566529</v>
      </c>
      <c r="H254" s="18">
        <f>IF($A254&gt;'1-Input'!$B$26,H253,H253-C254*(1-B254))</f>
        <v>67143.373783367511</v>
      </c>
      <c r="I254" s="11">
        <f>IF($A254&gt;'1-Input'!$B$26,0,IF(N253&lt;=0,0,MAX(0,(N253-O253)/N253)))</f>
        <v>0</v>
      </c>
      <c r="J254" s="18">
        <f>IF($A254&gt;'1-Input'!$B$26,0,(MAX(0,I231-IF($A254&gt;='1-Input'!$C$12,'1-Input'!$B$12,0))-MIN(MAX(M253,0),MAX(0,I231-IF($A254&gt;='1-Input'!$C$12,'1-Input'!$B$12,0))))*(1/(1-'P-Parametri'!$B$6*I254))+MIN(MAX(0,N253-(MAX(0,I231-IF($A254&gt;='1-Input'!$C$12,'1-Input'!$B$12,0))-MIN(MAX(M253,0),MAX(0,I231-IF($A254&gt;='1-Input'!$C$12,'1-Input'!$B$12,0))))*(1/(1-'P-Parametri'!$B$6*I254))),MAX(0,3*MAX(0,I231-IF($A254&gt;='1-Input'!$C$12,'1-Input'!$B$12,0))-(M253-MIN(MAX(M253,0),MAX(0,I231-IF($A254&gt;='1-Input'!$C$12,'1-Input'!$B$12,0)))))*(1/(1-'P-Parametri'!$B$6*I254))))</f>
        <v>0</v>
      </c>
      <c r="K254" s="18">
        <f>IF($A254&gt;'1-Input'!$B$26,M253,(M253-MAX(0,I231-IF($A254&gt;='1-Input'!$C$12,'1-Input'!$B$12,0))+J254*(1-'P-Parametri'!$B$6*I254))*(1+'1-Input'!$B$27))</f>
        <v>26661.023615746337</v>
      </c>
      <c r="L254" s="18">
        <f>IF($A254&gt;'1-Input'!$B$26,N253,(N253-J254)*(1+'5-Roberta'!$C$4))</f>
        <v>0</v>
      </c>
      <c r="M254" s="18">
        <f>IF($A254&gt;'1-Input'!$B$26,K254,K254-'P-Parametri'!$B$8*(L254+K254)+MIN(MAX(L254,0),'P-Parametri'!$B$8*(L254+K254)))</f>
        <v>26607.701568514844</v>
      </c>
      <c r="N254" s="18">
        <f>IF($A254&gt;'1-Input'!$B$26,L254,L254-MIN(MAX(L254,0),'P-Parametri'!$B$8*(L254+K254)))</f>
        <v>0</v>
      </c>
      <c r="O254" s="18">
        <f>IF($A254&gt;'1-Input'!$B$26,O253,O253-J254*(1-I254))</f>
        <v>-4.5474735088646412E-13</v>
      </c>
      <c r="P254" s="11">
        <f>IF($A254&gt;'1-Input'!$B$26,0,IF(U253&lt;=0,0,MAX(0,(U253-V253)/U253)))</f>
        <v>0.54420854563162013</v>
      </c>
      <c r="Q254" s="18">
        <f>IF($A254&gt;'1-Input'!$B$26,0,(MAX(0,P231-IF($A254&gt;='1-Input'!$C$12,'1-Input'!$B$12,0))-MIN(MAX(T253,0),MAX(0,P231-IF($A254&gt;='1-Input'!$C$12,'1-Input'!$B$12,0))))*(1/(1-'P-Parametri'!$B$6*P254))+MIN(MAX(0,U253-(MAX(0,P231-IF($A254&gt;='1-Input'!$C$12,'1-Input'!$B$12,0))-MIN(MAX(T253,0),MAX(0,P231-IF($A254&gt;='1-Input'!$C$12,'1-Input'!$B$12,0))))*(1/(1-'P-Parametri'!$B$6*P254))),MAX(0,3*MAX(0,P231-IF($A254&gt;='1-Input'!$C$12,'1-Input'!$B$12,0))-(T253-MIN(MAX(T253,0),MAX(0,P231-IF($A254&gt;='1-Input'!$C$12,'1-Input'!$B$12,0)))))*(1/(1-'P-Parametri'!$B$6*P254))))</f>
        <v>21216.684039525215</v>
      </c>
      <c r="R254" s="18">
        <f>IF($A254&gt;'1-Input'!$B$26,T253,(T253-MAX(0,P231-IF($A254&gt;='1-Input'!$C$12,'1-Input'!$B$12,0))+Q254*(1-'P-Parametri'!$B$6*P254))*(1+'1-Input'!$B$27))</f>
        <v>53865.472247091267</v>
      </c>
      <c r="S254" s="18">
        <f>IF($A254&gt;'1-Input'!$B$26,U253,(U253-Q254)*(1+'5-Roberta'!$C$4))</f>
        <v>101274.71451208772</v>
      </c>
      <c r="T254" s="18">
        <f>IF($A254&gt;'1-Input'!$B$26,R254,R254-'P-Parametri'!$B$8*(S254+R254)+MIN(MAX(S254,0),'P-Parametri'!$B$8*(S254+R254)))</f>
        <v>53865.472247091267</v>
      </c>
      <c r="U254" s="18">
        <f>IF($A254&gt;'1-Input'!$B$26,S254,S254-MIN(MAX(S254,0),'P-Parametri'!$B$8*(S254+R254)))</f>
        <v>100964.43413856937</v>
      </c>
      <c r="V254" s="18">
        <f>IF($A254&gt;'1-Input'!$B$26,V253,V253-Q254*(1-P254))</f>
        <v>44815.679046802848</v>
      </c>
      <c r="W254" s="11">
        <f>IF($A254&gt;'1-Input'!$B$26,0,IF(AB253&lt;=0,0,MAX(0,(AB253-AC253)/AB253)))</f>
        <v>0.544370140015218</v>
      </c>
      <c r="X254" s="18">
        <f>IF($A254&gt;'1-Input'!$B$26,0,(MAX(0,W231-IF($A254&gt;='1-Input'!$C$12,'1-Input'!$B$12,0))-MIN(MAX(AA253,0),MAX(0,W231-IF($A254&gt;='1-Input'!$C$12,'1-Input'!$B$12,0))))*(1/(1-'P-Parametri'!$B$6*W254))+MIN(MAX(0,AB253-(MAX(0,W231-IF($A254&gt;='1-Input'!$C$12,'1-Input'!$B$12,0))-MIN(MAX(AA253,0),MAX(0,W231-IF($A254&gt;='1-Input'!$C$12,'1-Input'!$B$12,0))))*(1/(1-'P-Parametri'!$B$6*W254))),MAX(0,3*MAX(0,W231-IF($A254&gt;='1-Input'!$C$12,'1-Input'!$B$12,0))-(AA253-MIN(MAX(AA253,0),MAX(0,W231-IF($A254&gt;='1-Input'!$C$12,'1-Input'!$B$12,0)))))*(1/(1-'P-Parametri'!$B$6*W254))))</f>
        <v>20953.793952755626</v>
      </c>
      <c r="Y254" s="18">
        <f>IF($A254&gt;'1-Input'!$B$26,AA253,(AA253-MAX(0,W231-IF($A254&gt;='1-Input'!$C$12,'1-Input'!$B$12,0))+X254*(1-'P-Parametri'!$B$6*W254))*(1+'1-Input'!$B$27))</f>
        <v>53195.436553678475</v>
      </c>
      <c r="Z254" s="18">
        <f>IF($A254&gt;'1-Input'!$B$26,AB253,(AB253-X254)*(1+'5-Roberta'!$C$4))</f>
        <v>109766.38087857053</v>
      </c>
      <c r="AA254" s="18">
        <f>IF($A254&gt;'1-Input'!$B$26,Y254,Y254-'P-Parametri'!$B$8*(Z254+Y254)+MIN(MAX(Z254,0),'P-Parametri'!$B$8*(Z254+Y254)))</f>
        <v>53195.436553678475</v>
      </c>
      <c r="AB254" s="18">
        <f>IF($A254&gt;'1-Input'!$B$26,Z254,Z254-MIN(MAX(Z254,0),'P-Parametri'!$B$8*(Z254+Y254)))</f>
        <v>109440.45724370604</v>
      </c>
      <c r="AC254" s="18">
        <f>IF($A254&gt;'1-Input'!$B$26,AC253,AC253-X254*(1-W254))</f>
        <v>48556.156068678974</v>
      </c>
      <c r="AD254" s="11">
        <f>IF($A254&gt;'1-Input'!$B$26,0,IF(AI253&lt;=0,0,MAX(0,(AI253-AJ253)/AI253)))</f>
        <v>0.54437326542943221</v>
      </c>
      <c r="AE254" s="18">
        <f>IF($A254&gt;'1-Input'!$B$26,0,(MAX(0,AD231-IF($A254&gt;='1-Input'!$C$12,'1-Input'!$B$12,0))-MIN(MAX(AH253,0),MAX(0,AD231-IF($A254&gt;='1-Input'!$C$12,'1-Input'!$B$12,0))))*(1/(1-'P-Parametri'!$B$6*AD254))+MIN(MAX(0,AI253-(MAX(0,AD231-IF($A254&gt;='1-Input'!$C$12,'1-Input'!$B$12,0))-MIN(MAX(AH253,0),MAX(0,AD231-IF($A254&gt;='1-Input'!$C$12,'1-Input'!$B$12,0))))*(1/(1-'P-Parametri'!$B$6*AD254))),MAX(0,3*MAX(0,AD231-IF($A254&gt;='1-Input'!$C$12,'1-Input'!$B$12,0))-(AH253-MIN(MAX(AH253,0),MAX(0,AD231-IF($A254&gt;='1-Input'!$C$12,'1-Input'!$B$12,0)))))*(1/(1-'P-Parametri'!$B$6*AD254))))</f>
        <v>20948.516680982084</v>
      </c>
      <c r="AF254" s="18">
        <f>IF($A254&gt;'1-Input'!$B$26,AH253,(AH253-MAX(0,AD231-IF($A254&gt;='1-Input'!$C$12,'1-Input'!$B$12,0))+AE254*(1-'P-Parametri'!$B$6*AD254))*(1+'1-Input'!$B$27))</f>
        <v>53181.988792547134</v>
      </c>
      <c r="AG254" s="18">
        <f>IF($A254&gt;'1-Input'!$B$26,AI253,(AI253-AE254)*(1+'5-Roberta'!$C$4))</f>
        <v>109936.81547923539</v>
      </c>
      <c r="AH254" s="18">
        <f>IF($A254&gt;'1-Input'!$B$26,AF254,AF254-'P-Parametri'!$B$8*(AG254+AF254)+MIN(MAX(AG254,0),'P-Parametri'!$B$8*(AG254+AF254)))</f>
        <v>53181.988792547134</v>
      </c>
      <c r="AI254" s="18">
        <f>IF($A254&gt;'1-Input'!$B$26,AG254,AG254-MIN(MAX(AG254,0),'P-Parametri'!$B$8*(AG254+AF254)))</f>
        <v>109610.57787069182</v>
      </c>
      <c r="AJ254" s="18">
        <f>IF($A254&gt;'1-Input'!$B$26,AJ253,AJ253-AE254*(1-AD254))</f>
        <v>48631.21577270978</v>
      </c>
      <c r="AK254" s="11">
        <f>IF($A254&gt;'1-Input'!$B$26,0,IF(AP253&lt;=0,0,MAX(0,(AP253-AQ253)/AP253)))</f>
        <v>0.54437313672077048</v>
      </c>
      <c r="AL254" s="18">
        <f>IF($A254&gt;'1-Input'!$B$26,0,(MAX(0,AK231-IF($A254&gt;='1-Input'!$C$12,'1-Input'!$B$12,0))-MIN(MAX(AO253,0),MAX(0,AK231-IF($A254&gt;='1-Input'!$C$12,'1-Input'!$B$12,0))))*(1/(1-'P-Parametri'!$B$6*AK254))+MIN(MAX(0,AP253-(MAX(0,AK231-IF($A254&gt;='1-Input'!$C$12,'1-Input'!$B$12,0))-MIN(MAX(AO253,0),MAX(0,AK231-IF($A254&gt;='1-Input'!$C$12,'1-Input'!$B$12,0))))*(1/(1-'P-Parametri'!$B$6*AK254))),MAX(0,3*MAX(0,AK231-IF($A254&gt;='1-Input'!$C$12,'1-Input'!$B$12,0))-(AO253-MIN(MAX(AO253,0),MAX(0,AK231-IF($A254&gt;='1-Input'!$C$12,'1-Input'!$B$12,0)))))*(1/(1-'P-Parametri'!$B$6*AK254))))</f>
        <v>20948.734154130078</v>
      </c>
      <c r="AM254" s="18">
        <f>IF($A254&gt;'1-Input'!$B$26,AO253,(AO253-MAX(0,AK231-IF($A254&gt;='1-Input'!$C$12,'1-Input'!$B$12,0))+AL254*(1-'P-Parametri'!$B$6*AK254))*(1+'1-Input'!$B$27))</f>
        <v>53182.542964658947</v>
      </c>
      <c r="AN254" s="18">
        <f>IF($A254&gt;'1-Input'!$B$26,AP253,(AP253-AL254)*(1+'5-Roberta'!$C$4))</f>
        <v>109929.79199385493</v>
      </c>
      <c r="AO254" s="18">
        <f>IF($A254&gt;'1-Input'!$B$26,AM254,AM254-'P-Parametri'!$B$8*(AN254+AM254)+MIN(MAX(AN254,0),'P-Parametri'!$B$8*(AN254+AM254)))</f>
        <v>53182.542964658947</v>
      </c>
      <c r="AP254" s="18">
        <f>IF($A254&gt;'1-Input'!$B$26,AN254,AN254-MIN(MAX(AN254,0),'P-Parametri'!$B$8*(AN254+AM254)))</f>
        <v>109603.56732393791</v>
      </c>
      <c r="AQ254" s="18">
        <f>IF($A254&gt;'1-Input'!$B$26,AQ253,AQ253-AL254*(1-AK254))</f>
        <v>48628.122628250749</v>
      </c>
    </row>
    <row r="255" spans="1:43">
      <c r="A255" s="10">
        <f>22</f>
        <v>22</v>
      </c>
      <c r="B255" s="11">
        <f>IF($A255&gt;'1-Input'!$B$26,0,IF(G254&lt;=0,0,MAX(0,(G254-H254)/G254)))</f>
        <v>0.55710903387750443</v>
      </c>
      <c r="C255" s="18">
        <f>IF($A255&gt;'1-Input'!$B$26,0,(MAX(0,B231-IF($A255&gt;='1-Input'!$C$12,'1-Input'!$B$12,0))-MIN(MAX(F254,0),MAX(0,B231-IF($A255&gt;='1-Input'!$C$12,'1-Input'!$B$12,0))))*(1/(1-'P-Parametri'!$B$6*B255))+MIN(MAX(0,G254-(MAX(0,B231-IF($A255&gt;='1-Input'!$C$12,'1-Input'!$B$12,0))-MIN(MAX(F254,0),MAX(0,B231-IF($A255&gt;='1-Input'!$C$12,'1-Input'!$B$12,0))))*(1/(1-'P-Parametri'!$B$6*B255))),MAX(0,3*MAX(0,B231-IF($A255&gt;='1-Input'!$C$12,'1-Input'!$B$12,0))-(F254-MIN(MAX(F254,0),MAX(0,B231-IF($A255&gt;='1-Input'!$C$12,'1-Input'!$B$12,0)))))*(1/(1-'P-Parametri'!$B$6*B255))))</f>
        <v>19717.21704392878</v>
      </c>
      <c r="D255" s="18">
        <f>IF($A255&gt;'1-Input'!$B$26,F254,(F254-MAX(0,B231-IF($A255&gt;='1-Input'!$C$12,'1-Input'!$B$12,0))+C255*(1-'P-Parametri'!$B$6*B255))*(1+'1-Input'!$B$27))</f>
        <v>49863.010546479447</v>
      </c>
      <c r="E255" s="18">
        <f>IF($A255&gt;'1-Input'!$B$26,G254,(G254-C255)*(1+'5-Roberta'!$C$4))</f>
        <v>135841.83235568862</v>
      </c>
      <c r="F255" s="18">
        <f>IF($A255&gt;'1-Input'!$B$26,D255,D255-'P-Parametri'!$B$8*(E255+D255)+MIN(MAX(E255,0),'P-Parametri'!$B$8*(E255+D255)))</f>
        <v>49863.010546479447</v>
      </c>
      <c r="G255" s="18">
        <f>IF($A255&gt;'1-Input'!$B$26,E255,E255-MIN(MAX(E255,0),'P-Parametri'!$B$8*(E255+D255)))</f>
        <v>135470.42266988428</v>
      </c>
      <c r="H255" s="18">
        <f>IF($A255&gt;'1-Input'!$B$26,H254,H254-C255*(1-B255))</f>
        <v>58410.796477534954</v>
      </c>
      <c r="I255" s="11">
        <f>IF($A255&gt;'1-Input'!$B$26,0,IF(N254&lt;=0,0,MAX(0,(N254-O254)/N254)))</f>
        <v>0</v>
      </c>
      <c r="J255" s="18">
        <f>IF($A255&gt;'1-Input'!$B$26,0,(MAX(0,I231-IF($A255&gt;='1-Input'!$C$12,'1-Input'!$B$12,0))-MIN(MAX(M254,0),MAX(0,I231-IF($A255&gt;='1-Input'!$C$12,'1-Input'!$B$12,0))))*(1/(1-'P-Parametri'!$B$6*I255))+MIN(MAX(0,N254-(MAX(0,I231-IF($A255&gt;='1-Input'!$C$12,'1-Input'!$B$12,0))-MIN(MAX(M254,0),MAX(0,I231-IF($A255&gt;='1-Input'!$C$12,'1-Input'!$B$12,0))))*(1/(1-'P-Parametri'!$B$6*I255))),MAX(0,3*MAX(0,I231-IF($A255&gt;='1-Input'!$C$12,'1-Input'!$B$12,0))-(M254-MIN(MAX(M254,0),MAX(0,I231-IF($A255&gt;='1-Input'!$C$12,'1-Input'!$B$12,0)))))*(1/(1-'P-Parametri'!$B$6*I255))))</f>
        <v>0</v>
      </c>
      <c r="K255" s="18">
        <f>IF($A255&gt;'1-Input'!$B$26,M254,(M254-MAX(0,I231-IF($A255&gt;='1-Input'!$C$12,'1-Input'!$B$12,0))+J255*(1-'P-Parametri'!$B$6*I255))*(1+'1-Input'!$B$27))</f>
        <v>4642.1723751140426</v>
      </c>
      <c r="L255" s="18">
        <f>IF($A255&gt;'1-Input'!$B$26,N254,(N254-J255)*(1+'5-Roberta'!$C$4))</f>
        <v>0</v>
      </c>
      <c r="M255" s="18">
        <f>IF($A255&gt;'1-Input'!$B$26,K255,K255-'P-Parametri'!$B$8*(L255+K255)+MIN(MAX(L255,0),'P-Parametri'!$B$8*(L255+K255)))</f>
        <v>4632.8880303638143</v>
      </c>
      <c r="N255" s="18">
        <f>IF($A255&gt;'1-Input'!$B$26,L255,L255-MIN(MAX(L255,0),'P-Parametri'!$B$8*(L255+K255)))</f>
        <v>0</v>
      </c>
      <c r="O255" s="18">
        <f>IF($A255&gt;'1-Input'!$B$26,O254,O254-J255*(1-I255))</f>
        <v>-4.5474735088646412E-13</v>
      </c>
      <c r="P255" s="11">
        <f>IF($A255&gt;'1-Input'!$B$26,0,IF(U254&lt;=0,0,MAX(0,(U254-V254)/U254)))</f>
        <v>0.55612410024211845</v>
      </c>
      <c r="Q255" s="18">
        <f>IF($A255&gt;'1-Input'!$B$26,0,(MAX(0,P231-IF($A255&gt;='1-Input'!$C$12,'1-Input'!$B$12,0))-MIN(MAX(T254,0),MAX(0,P231-IF($A255&gt;='1-Input'!$C$12,'1-Input'!$B$12,0))))*(1/(1-'P-Parametri'!$B$6*P255))+MIN(MAX(0,U254-(MAX(0,P231-IF($A255&gt;='1-Input'!$C$12,'1-Input'!$B$12,0))-MIN(MAX(T254,0),MAX(0,P231-IF($A255&gt;='1-Input'!$C$12,'1-Input'!$B$12,0))))*(1/(1-'P-Parametri'!$B$6*P255))),MAX(0,3*MAX(0,P231-IF($A255&gt;='1-Input'!$C$12,'1-Input'!$B$12,0))-(T254-MIN(MAX(T254,0),MAX(0,P231-IF($A255&gt;='1-Input'!$C$12,'1-Input'!$B$12,0)))))*(1/(1-'P-Parametri'!$B$6*P255))))</f>
        <v>21293.524851569786</v>
      </c>
      <c r="R255" s="18">
        <f>IF($A255&gt;'1-Input'!$B$26,T254,(T254-MAX(0,P231-IF($A255&gt;='1-Input'!$C$12,'1-Input'!$B$12,0))+Q255*(1-'P-Parametri'!$B$6*P255))*(1+'1-Input'!$B$27))</f>
        <v>53865.472247091267</v>
      </c>
      <c r="S255" s="18">
        <f>IF($A255&gt;'1-Input'!$B$26,U254,(U254-Q255)*(1+'5-Roberta'!$C$4))</f>
        <v>82061.036565609567</v>
      </c>
      <c r="T255" s="18">
        <f>IF($A255&gt;'1-Input'!$B$26,R255,R255-'P-Parametri'!$B$8*(S255+R255)+MIN(MAX(S255,0),'P-Parametri'!$B$8*(S255+R255)))</f>
        <v>53865.472247091267</v>
      </c>
      <c r="U255" s="18">
        <f>IF($A255&gt;'1-Input'!$B$26,S255,S255-MIN(MAX(S255,0),'P-Parametri'!$B$8*(S255+R255)))</f>
        <v>81789.183547984168</v>
      </c>
      <c r="V255" s="18">
        <f>IF($A255&gt;'1-Input'!$B$26,V254,V254-Q255*(1-P255))</f>
        <v>35363.9965442955</v>
      </c>
      <c r="W255" s="11">
        <f>IF($A255&gt;'1-Input'!$B$26,0,IF(AB254&lt;=0,0,MAX(0,(AB254-AC254)/AB254)))</f>
        <v>0.55632352704309029</v>
      </c>
      <c r="X255" s="18">
        <f>IF($A255&gt;'1-Input'!$B$26,0,(MAX(0,W231-IF($A255&gt;='1-Input'!$C$12,'1-Input'!$B$12,0))-MIN(MAX(AA254,0),MAX(0,W231-IF($A255&gt;='1-Input'!$C$12,'1-Input'!$B$12,0))))*(1/(1-'P-Parametri'!$B$6*W255))+MIN(MAX(0,AB254-(MAX(0,W231-IF($A255&gt;='1-Input'!$C$12,'1-Input'!$B$12,0))-MIN(MAX(AA254,0),MAX(0,W231-IF($A255&gt;='1-Input'!$C$12,'1-Input'!$B$12,0))))*(1/(1-'P-Parametri'!$B$6*W255))),MAX(0,3*MAX(0,W231-IF($A255&gt;='1-Input'!$C$12,'1-Input'!$B$12,0))-(AA254-MIN(MAX(AA254,0),MAX(0,W231-IF($A255&gt;='1-Input'!$C$12,'1-Input'!$B$12,0)))))*(1/(1-'P-Parametri'!$B$6*W255))))</f>
        <v>21029.92821638758</v>
      </c>
      <c r="Y255" s="18">
        <f>IF($A255&gt;'1-Input'!$B$26,AA254,(AA254-MAX(0,W231-IF($A255&gt;='1-Input'!$C$12,'1-Input'!$B$12,0))+X255*(1-'P-Parametri'!$B$6*W255))*(1+'1-Input'!$B$27))</f>
        <v>53195.436553678475</v>
      </c>
      <c r="Z255" s="18">
        <f>IF($A255&gt;'1-Input'!$B$26,AB254,(AB254-X255)*(1+'5-Roberta'!$C$4))</f>
        <v>91062.844898138021</v>
      </c>
      <c r="AA255" s="18">
        <f>IF($A255&gt;'1-Input'!$B$26,Y255,Y255-'P-Parametri'!$B$8*(Z255+Y255)+MIN(MAX(Z255,0),'P-Parametri'!$B$8*(Z255+Y255)))</f>
        <v>53195.436553678475</v>
      </c>
      <c r="AB255" s="18">
        <f>IF($A255&gt;'1-Input'!$B$26,Z255,Z255-MIN(MAX(Z255,0),'P-Parametri'!$B$8*(Z255+Y255)))</f>
        <v>90774.328335234386</v>
      </c>
      <c r="AC255" s="18">
        <f>IF($A255&gt;'1-Input'!$B$26,AC254,AC254-X255*(1-W255))</f>
        <v>39225.671691095136</v>
      </c>
      <c r="AD255" s="11">
        <f>IF($A255&gt;'1-Input'!$B$26,0,IF(AI254&lt;=0,0,MAX(0,(AI254-AJ254)/AI254)))</f>
        <v>0.55632734798570005</v>
      </c>
      <c r="AE255" s="18">
        <f>IF($A255&gt;'1-Input'!$B$26,0,(MAX(0,AD231-IF($A255&gt;='1-Input'!$C$12,'1-Input'!$B$12,0))-MIN(MAX(AH254,0),MAX(0,AD231-IF($A255&gt;='1-Input'!$C$12,'1-Input'!$B$12,0))))*(1/(1-'P-Parametri'!$B$6*AD255))+MIN(MAX(0,AI254-(MAX(0,AD231-IF($A255&gt;='1-Input'!$C$12,'1-Input'!$B$12,0))-MIN(MAX(AH254,0),MAX(0,AD231-IF($A255&gt;='1-Input'!$C$12,'1-Input'!$B$12,0))))*(1/(1-'P-Parametri'!$B$6*AD255))),MAX(0,3*MAX(0,AD231-IF($A255&gt;='1-Input'!$C$12,'1-Input'!$B$12,0))-(AH254-MIN(MAX(AH254,0),MAX(0,AD231-IF($A255&gt;='1-Input'!$C$12,'1-Input'!$B$12,0)))))*(1/(1-'P-Parametri'!$B$6*AD255))))</f>
        <v>21024.636287282072</v>
      </c>
      <c r="AF255" s="18">
        <f>IF($A255&gt;'1-Input'!$B$26,AH254,(AH254-MAX(0,AD231-IF($A255&gt;='1-Input'!$C$12,'1-Input'!$B$12,0))+AE255*(1-'P-Parametri'!$B$6*AD255))*(1+'1-Input'!$B$27))</f>
        <v>53181.988792547134</v>
      </c>
      <c r="AG255" s="18">
        <f>IF($A255&gt;'1-Input'!$B$26,AI254,(AI254-AE255)*(1+'5-Roberta'!$C$4))</f>
        <v>91243.519830912046</v>
      </c>
      <c r="AH255" s="18">
        <f>IF($A255&gt;'1-Input'!$B$26,AF255,AF255-'P-Parametri'!$B$8*(AG255+AF255)+MIN(MAX(AG255,0),'P-Parametri'!$B$8*(AG255+AF255)))</f>
        <v>53181.988792547134</v>
      </c>
      <c r="AI255" s="18">
        <f>IF($A255&gt;'1-Input'!$B$26,AG255,AG255-MIN(MAX(AG255,0),'P-Parametri'!$B$8*(AG255+AF255)))</f>
        <v>90954.668813665121</v>
      </c>
      <c r="AJ255" s="18">
        <f>IF($A255&gt;'1-Input'!$B$26,AJ254,AJ254-AE255*(1-AD255))</f>
        <v>39303.159633495256</v>
      </c>
      <c r="AK255" s="11">
        <f>IF($A255&gt;'1-Input'!$B$26,0,IF(AP254&lt;=0,0,MAX(0,(AP254-AQ254)/AP254)))</f>
        <v>0.55632719066042524</v>
      </c>
      <c r="AL255" s="18">
        <f>IF($A255&gt;'1-Input'!$B$26,0,(MAX(0,AK231-IF($A255&gt;='1-Input'!$C$12,'1-Input'!$B$12,0))-MIN(MAX(AO254,0),MAX(0,AK231-IF($A255&gt;='1-Input'!$C$12,'1-Input'!$B$12,0))))*(1/(1-'P-Parametri'!$B$6*AK255))+MIN(MAX(0,AP254-(MAX(0,AK231-IF($A255&gt;='1-Input'!$C$12,'1-Input'!$B$12,0))-MIN(MAX(AO254,0),MAX(0,AK231-IF($A255&gt;='1-Input'!$C$12,'1-Input'!$B$12,0))))*(1/(1-'P-Parametri'!$B$6*AK255))),MAX(0,3*MAX(0,AK231-IF($A255&gt;='1-Input'!$C$12,'1-Input'!$B$12,0))-(AO254-MIN(MAX(AO254,0),MAX(0,AK231-IF($A255&gt;='1-Input'!$C$12,'1-Input'!$B$12,0)))))*(1/(1-'P-Parametri'!$B$6*AK255))))</f>
        <v>21024.854364788531</v>
      </c>
      <c r="AM255" s="18">
        <f>IF($A255&gt;'1-Input'!$B$26,AO254,(AO254-MAX(0,AK231-IF($A255&gt;='1-Input'!$C$12,'1-Input'!$B$12,0))+AL255*(1-'P-Parametri'!$B$6*AK255))*(1+'1-Input'!$B$27))</f>
        <v>53182.542964658947</v>
      </c>
      <c r="AN255" s="18">
        <f>IF($A255&gt;'1-Input'!$B$26,AP254,(AP254-AL255)*(1+'5-Roberta'!$C$4))</f>
        <v>91236.074347923874</v>
      </c>
      <c r="AO255" s="18">
        <f>IF($A255&gt;'1-Input'!$B$26,AM255,AM255-'P-Parametri'!$B$8*(AN255+AM255)+MIN(MAX(AN255,0),'P-Parametri'!$B$8*(AN255+AM255)))</f>
        <v>53182.542964658947</v>
      </c>
      <c r="AP255" s="18">
        <f>IF($A255&gt;'1-Input'!$B$26,AN255,AN255-MIN(MAX(AN255,0),'P-Parametri'!$B$8*(AN255+AM255)))</f>
        <v>90947.237113298703</v>
      </c>
      <c r="AQ255" s="18">
        <f>IF($A255&gt;'1-Input'!$B$26,AQ254,AQ254-AL255*(1-AK255))</f>
        <v>39299.966426269602</v>
      </c>
    </row>
    <row r="256" spans="1:43">
      <c r="A256" s="10">
        <f>23</f>
        <v>23</v>
      </c>
      <c r="B256" s="11">
        <f>IF($A256&gt;'1-Input'!$B$26,0,IF(G255&lt;=0,0,MAX(0,(G255-H255)/G255)))</f>
        <v>0.56882989418383245</v>
      </c>
      <c r="C256" s="18">
        <f>IF($A256&gt;'1-Input'!$B$26,0,(MAX(0,B231-IF($A256&gt;='1-Input'!$C$12,'1-Input'!$B$12,0))-MIN(MAX(F255,0),MAX(0,B231-IF($A256&gt;='1-Input'!$C$12,'1-Input'!$B$12,0))))*(1/(1-'P-Parametri'!$B$6*B256))+MIN(MAX(0,G255-(MAX(0,B231-IF($A256&gt;='1-Input'!$C$12,'1-Input'!$B$12,0))-MIN(MAX(F255,0),MAX(0,B231-IF($A256&gt;='1-Input'!$C$12,'1-Input'!$B$12,0))))*(1/(1-'P-Parametri'!$B$6*B256))),MAX(0,3*MAX(0,B231-IF($A256&gt;='1-Input'!$C$12,'1-Input'!$B$12,0))-(F255-MIN(MAX(F255,0),MAX(0,B231-IF($A256&gt;='1-Input'!$C$12,'1-Input'!$B$12,0)))))*(1/(1-'P-Parametri'!$B$6*B256))))</f>
        <v>0</v>
      </c>
      <c r="D256" s="18">
        <f>IF($A256&gt;'1-Input'!$B$26,F255,(F255-MAX(0,B231-IF($A256&gt;='1-Input'!$C$12,'1-Input'!$B$12,0))+C256*(1-'P-Parametri'!$B$6*B256))*(1+'1-Input'!$B$27))</f>
        <v>44124.532993018969</v>
      </c>
      <c r="E256" s="18">
        <f>IF($A256&gt;'1-Input'!$B$26,G255,(G255-C256)*(1+'5-Roberta'!$C$4))</f>
        <v>139534.53534998081</v>
      </c>
      <c r="F256" s="18">
        <f>IF($A256&gt;'1-Input'!$B$26,D256,D256-'P-Parametri'!$B$8*(E256+D256)+MIN(MAX(E256,0),'P-Parametri'!$B$8*(E256+D256)))</f>
        <v>44124.532993018969</v>
      </c>
      <c r="G256" s="18">
        <f>IF($A256&gt;'1-Input'!$B$26,E256,E256-MIN(MAX(E256,0),'P-Parametri'!$B$8*(E256+D256)))</f>
        <v>139167.21721329482</v>
      </c>
      <c r="H256" s="18">
        <f>IF($A256&gt;'1-Input'!$B$26,H255,H255-C256*(1-B256))</f>
        <v>58410.796477534954</v>
      </c>
      <c r="I256" s="11">
        <f>IF($A256&gt;'1-Input'!$B$26,0,IF(N255&lt;=0,0,MAX(0,(N255-O255)/N255)))</f>
        <v>0</v>
      </c>
      <c r="J256" s="18">
        <f>IF($A256&gt;'1-Input'!$B$26,0,(MAX(0,I231-IF($A256&gt;='1-Input'!$C$12,'1-Input'!$B$12,0))-MIN(MAX(M255,0),MAX(0,I231-IF($A256&gt;='1-Input'!$C$12,'1-Input'!$B$12,0))))*(1/(1-'P-Parametri'!$B$6*I256))+MIN(MAX(0,N255-(MAX(0,I231-IF($A256&gt;='1-Input'!$C$12,'1-Input'!$B$12,0))-MIN(MAX(M255,0),MAX(0,I231-IF($A256&gt;='1-Input'!$C$12,'1-Input'!$B$12,0))))*(1/(1-'P-Parametri'!$B$6*I256))),MAX(0,3*MAX(0,I231-IF($A256&gt;='1-Input'!$C$12,'1-Input'!$B$12,0))-(M255-MIN(MAX(M255,0),MAX(0,I231-IF($A256&gt;='1-Input'!$C$12,'1-Input'!$B$12,0)))))*(1/(1-'P-Parametri'!$B$6*I256))))</f>
        <v>6213.8689625648767</v>
      </c>
      <c r="K256" s="18">
        <f>IF($A256&gt;'1-Input'!$B$26,M255,(M255-MAX(0,I231-IF($A256&gt;='1-Input'!$C$12,'1-Input'!$B$12,0))+J256*(1-'P-Parametri'!$B$6*I256))*(1+'1-Input'!$B$27))</f>
        <v>0</v>
      </c>
      <c r="L256" s="18">
        <f>IF($A256&gt;'1-Input'!$B$26,N255,(N255-J256)*(1+'5-Roberta'!$C$4))</f>
        <v>-6400.2850314418229</v>
      </c>
      <c r="M256" s="18">
        <f>IF($A256&gt;'1-Input'!$B$26,K256,K256-'P-Parametri'!$B$8*(L256+K256)+MIN(MAX(L256,0),'P-Parametri'!$B$8*(L256+K256)))</f>
        <v>0</v>
      </c>
      <c r="N256" s="18">
        <f>IF($A256&gt;'1-Input'!$B$26,L256,L256-MIN(MAX(L256,0),'P-Parametri'!$B$8*(L256+K256)))</f>
        <v>-6387.4844613789392</v>
      </c>
      <c r="O256" s="18">
        <f>IF($A256&gt;'1-Input'!$B$26,O255,O255-J256*(1-I256))</f>
        <v>-6213.8689625648767</v>
      </c>
      <c r="P256" s="11">
        <f>IF($A256&gt;'1-Input'!$B$26,0,IF(U255&lt;=0,0,MAX(0,(U255-V255)/U255)))</f>
        <v>0.56762013006832235</v>
      </c>
      <c r="Q256" s="18">
        <f>IF($A256&gt;'1-Input'!$B$26,0,(MAX(0,P231-IF($A256&gt;='1-Input'!$C$12,'1-Input'!$B$12,0))-MIN(MAX(T255,0),MAX(0,P231-IF($A256&gt;='1-Input'!$C$12,'1-Input'!$B$12,0))))*(1/(1-'P-Parametri'!$B$6*P256))+MIN(MAX(0,U255-(MAX(0,P231-IF($A256&gt;='1-Input'!$C$12,'1-Input'!$B$12,0))-MIN(MAX(T255,0),MAX(0,P231-IF($A256&gt;='1-Input'!$C$12,'1-Input'!$B$12,0))))*(1/(1-'P-Parametri'!$B$6*P256))),MAX(0,3*MAX(0,P231-IF($A256&gt;='1-Input'!$C$12,'1-Input'!$B$12,0))-(T255-MIN(MAX(T255,0),MAX(0,P231-IF($A256&gt;='1-Input'!$C$12,'1-Input'!$B$12,0)))))*(1/(1-'P-Parametri'!$B$6*P256))))</f>
        <v>0</v>
      </c>
      <c r="R256" s="18">
        <f>IF($A256&gt;'1-Input'!$B$26,T255,(T255-MAX(0,P231-IF($A256&gt;='1-Input'!$C$12,'1-Input'!$B$12,0))+Q256*(1-'P-Parametri'!$B$6*P256))*(1+'1-Input'!$B$27))</f>
        <v>46778.431931304644</v>
      </c>
      <c r="S256" s="18">
        <f>IF($A256&gt;'1-Input'!$B$26,U255,(U255-Q256)*(1+'5-Roberta'!$C$4))</f>
        <v>84242.859054423694</v>
      </c>
      <c r="T256" s="18">
        <f>IF($A256&gt;'1-Input'!$B$26,R256,R256-'P-Parametri'!$B$8*(S256+R256)+MIN(MAX(S256,0),'P-Parametri'!$B$8*(S256+R256)))</f>
        <v>46778.431931304644</v>
      </c>
      <c r="U256" s="18">
        <f>IF($A256&gt;'1-Input'!$B$26,S256,S256-MIN(MAX(S256,0),'P-Parametri'!$B$8*(S256+R256)))</f>
        <v>83980.816472452236</v>
      </c>
      <c r="V256" s="18">
        <f>IF($A256&gt;'1-Input'!$B$26,V255,V255-Q256*(1-P256))</f>
        <v>35363.9965442955</v>
      </c>
      <c r="W256" s="11">
        <f>IF($A256&gt;'1-Input'!$B$26,0,IF(AB255&lt;=0,0,MAX(0,(AB255-AC255)/AB255)))</f>
        <v>0.56787703736861972</v>
      </c>
      <c r="X256" s="18">
        <f>IF($A256&gt;'1-Input'!$B$26,0,(MAX(0,W231-IF($A256&gt;='1-Input'!$C$12,'1-Input'!$B$12,0))-MIN(MAX(AA255,0),MAX(0,W231-IF($A256&gt;='1-Input'!$C$12,'1-Input'!$B$12,0))))*(1/(1-'P-Parametri'!$B$6*W256))+MIN(MAX(0,AB255-(MAX(0,W231-IF($A256&gt;='1-Input'!$C$12,'1-Input'!$B$12,0))-MIN(MAX(AA255,0),MAX(0,W231-IF($A256&gt;='1-Input'!$C$12,'1-Input'!$B$12,0))))*(1/(1-'P-Parametri'!$B$6*W256))),MAX(0,3*MAX(0,W231-IF($A256&gt;='1-Input'!$C$12,'1-Input'!$B$12,0))-(AA255-MIN(MAX(AA255,0),MAX(0,W231-IF($A256&gt;='1-Input'!$C$12,'1-Input'!$B$12,0)))))*(1/(1-'P-Parametri'!$B$6*W256))))</f>
        <v>0</v>
      </c>
      <c r="Y256" s="18">
        <f>IF($A256&gt;'1-Input'!$B$26,AA255,(AA255-MAX(0,W231-IF($A256&gt;='1-Input'!$C$12,'1-Input'!$B$12,0))+X256*(1-'P-Parametri'!$B$6*W256))*(1+'1-Input'!$B$27))</f>
        <v>46334.153597525743</v>
      </c>
      <c r="Z256" s="18">
        <f>IF($A256&gt;'1-Input'!$B$26,AB255,(AB255-X256)*(1+'5-Roberta'!$C$4))</f>
        <v>93497.558185291418</v>
      </c>
      <c r="AA256" s="18">
        <f>IF($A256&gt;'1-Input'!$B$26,Y256,Y256-'P-Parametri'!$B$8*(Z256+Y256)+MIN(MAX(Z256,0),'P-Parametri'!$B$8*(Z256+Y256)))</f>
        <v>46334.153597525743</v>
      </c>
      <c r="AB256" s="18">
        <f>IF($A256&gt;'1-Input'!$B$26,Z256,Z256-MIN(MAX(Z256,0),'P-Parametri'!$B$8*(Z256+Y256)))</f>
        <v>93217.89476172578</v>
      </c>
      <c r="AC256" s="18">
        <f>IF($A256&gt;'1-Input'!$B$26,AC255,AC255-X256*(1-W256))</f>
        <v>39225.671691095136</v>
      </c>
      <c r="AD256" s="11">
        <f>IF($A256&gt;'1-Input'!$B$26,0,IF(AI255&lt;=0,0,MAX(0,(AI255-AJ255)/AI255)))</f>
        <v>0.56788188944963414</v>
      </c>
      <c r="AE256" s="18">
        <f>IF($A256&gt;'1-Input'!$B$26,0,(MAX(0,AD231-IF($A256&gt;='1-Input'!$C$12,'1-Input'!$B$12,0))-MIN(MAX(AH255,0),MAX(0,AD231-IF($A256&gt;='1-Input'!$C$12,'1-Input'!$B$12,0))))*(1/(1-'P-Parametri'!$B$6*AD256))+MIN(MAX(0,AI255-(MAX(0,AD231-IF($A256&gt;='1-Input'!$C$12,'1-Input'!$B$12,0))-MIN(MAX(AH255,0),MAX(0,AD231-IF($A256&gt;='1-Input'!$C$12,'1-Input'!$B$12,0))))*(1/(1-'P-Parametri'!$B$6*AD256))),MAX(0,3*MAX(0,AD231-IF($A256&gt;='1-Input'!$C$12,'1-Input'!$B$12,0))-(AH255-MIN(MAX(AH255,0),MAX(0,AD231-IF($A256&gt;='1-Input'!$C$12,'1-Input'!$B$12,0)))))*(1/(1-'P-Parametri'!$B$6*AD256))))</f>
        <v>0</v>
      </c>
      <c r="AF256" s="18">
        <f>IF($A256&gt;'1-Input'!$B$26,AH255,(AH255-MAX(0,AD231-IF($A256&gt;='1-Input'!$C$12,'1-Input'!$B$12,0))+AE256*(1-'P-Parametri'!$B$6*AD256))*(1+'1-Input'!$B$27))</f>
        <v>46325.236835378251</v>
      </c>
      <c r="AG256" s="18">
        <f>IF($A256&gt;'1-Input'!$B$26,AI255,(AI255-AE256)*(1+'5-Roberta'!$C$4))</f>
        <v>93683.308878075084</v>
      </c>
      <c r="AH256" s="18">
        <f>IF($A256&gt;'1-Input'!$B$26,AF256,AF256-'P-Parametri'!$B$8*(AG256+AF256)+MIN(MAX(AG256,0),'P-Parametri'!$B$8*(AG256+AF256)))</f>
        <v>46325.236835378251</v>
      </c>
      <c r="AI256" s="18">
        <f>IF($A256&gt;'1-Input'!$B$26,AG256,AG256-MIN(MAX(AG256,0),'P-Parametri'!$B$8*(AG256+AF256)))</f>
        <v>93403.291786648173</v>
      </c>
      <c r="AJ256" s="18">
        <f>IF($A256&gt;'1-Input'!$B$26,AJ255,AJ255-AE256*(1-AD256))</f>
        <v>39303.159633495256</v>
      </c>
      <c r="AK256" s="11">
        <f>IF($A256&gt;'1-Input'!$B$26,0,IF(AP255&lt;=0,0,MAX(0,(AP255-AQ255)/AP255)))</f>
        <v>0.56788168971740005</v>
      </c>
      <c r="AL256" s="18">
        <f>IF($A256&gt;'1-Input'!$B$26,0,(MAX(0,AK231-IF($A256&gt;='1-Input'!$C$12,'1-Input'!$B$12,0))-MIN(MAX(AO255,0),MAX(0,AK231-IF($A256&gt;='1-Input'!$C$12,'1-Input'!$B$12,0))))*(1/(1-'P-Parametri'!$B$6*AK256))+MIN(MAX(0,AP255-(MAX(0,AK231-IF($A256&gt;='1-Input'!$C$12,'1-Input'!$B$12,0))-MIN(MAX(AO255,0),MAX(0,AK231-IF($A256&gt;='1-Input'!$C$12,'1-Input'!$B$12,0))))*(1/(1-'P-Parametri'!$B$6*AK256))),MAX(0,3*MAX(0,AK231-IF($A256&gt;='1-Input'!$C$12,'1-Input'!$B$12,0))-(AO255-MIN(MAX(AO255,0),MAX(0,AK231-IF($A256&gt;='1-Input'!$C$12,'1-Input'!$B$12,0)))))*(1/(1-'P-Parametri'!$B$6*AK256))))</f>
        <v>0</v>
      </c>
      <c r="AM256" s="18">
        <f>IF($A256&gt;'1-Input'!$B$26,AO255,(AO255-MAX(0,AK231-IF($A256&gt;='1-Input'!$C$12,'1-Input'!$B$12,0))+AL256*(1-'P-Parametri'!$B$6*AK256))*(1+'1-Input'!$B$27))</f>
        <v>46325.604288433191</v>
      </c>
      <c r="AN256" s="18">
        <f>IF($A256&gt;'1-Input'!$B$26,AP255,(AP255-AL256)*(1+'5-Roberta'!$C$4))</f>
        <v>93675.654226697661</v>
      </c>
      <c r="AO256" s="18">
        <f>IF($A256&gt;'1-Input'!$B$26,AM256,AM256-'P-Parametri'!$B$8*(AN256+AM256)+MIN(MAX(AN256,0),'P-Parametri'!$B$8*(AN256+AM256)))</f>
        <v>46325.604288433191</v>
      </c>
      <c r="AP256" s="18">
        <f>IF($A256&gt;'1-Input'!$B$26,AN256,AN256-MIN(MAX(AN256,0),'P-Parametri'!$B$8*(AN256+AM256)))</f>
        <v>93395.651709667392</v>
      </c>
      <c r="AQ256" s="18">
        <f>IF($A256&gt;'1-Input'!$B$26,AQ255,AQ255-AL256*(1-AK256))</f>
        <v>39299.966426269602</v>
      </c>
    </row>
    <row r="257" spans="1:43">
      <c r="A257" s="10">
        <f>24</f>
        <v>24</v>
      </c>
      <c r="B257" s="11">
        <f>IF($A257&gt;'1-Input'!$B$26,0,IF(G256&lt;=0,0,MAX(0,(G256-H256)/G256)))</f>
        <v>0.58028336236678812</v>
      </c>
      <c r="C257" s="18">
        <f>IF($A257&gt;'1-Input'!$B$26,0,(MAX(0,B231-IF($A257&gt;='1-Input'!$C$12,'1-Input'!$B$12,0))-MIN(MAX(F256,0),MAX(0,B231-IF($A257&gt;='1-Input'!$C$12,'1-Input'!$B$12,0))))*(1/(1-'P-Parametri'!$B$6*B257))+MIN(MAX(0,G256-(MAX(0,B231-IF($A257&gt;='1-Input'!$C$12,'1-Input'!$B$12,0))-MIN(MAX(F256,0),MAX(0,B231-IF($A257&gt;='1-Input'!$C$12,'1-Input'!$B$12,0))))*(1/(1-'P-Parametri'!$B$6*B257))),MAX(0,3*MAX(0,B231-IF($A257&gt;='1-Input'!$C$12,'1-Input'!$B$12,0))-(F256-MIN(MAX(F256,0),MAX(0,B231-IF($A257&gt;='1-Input'!$C$12,'1-Input'!$B$12,0)))))*(1/(1-'P-Parametri'!$B$6*B257))))</f>
        <v>0</v>
      </c>
      <c r="D257" s="18">
        <f>IF($A257&gt;'1-Input'!$B$26,F256,(F256-MAX(0,B231-IF($A257&gt;='1-Input'!$C$12,'1-Input'!$B$12,0))+C257*(1-'P-Parametri'!$B$6*B257))*(1+'1-Input'!$B$27))</f>
        <v>38406.713958750952</v>
      </c>
      <c r="E257" s="18">
        <f>IF($A257&gt;'1-Input'!$B$26,G256,(G256-C257)*(1+'5-Roberta'!$C$4))</f>
        <v>143342.23372969366</v>
      </c>
      <c r="F257" s="18">
        <f>IF($A257&gt;'1-Input'!$B$26,D257,D257-'P-Parametri'!$B$8*(E257+D257)+MIN(MAX(E257,0),'P-Parametri'!$B$8*(E257+D257)))</f>
        <v>38406.713958750952</v>
      </c>
      <c r="G257" s="18">
        <f>IF($A257&gt;'1-Input'!$B$26,E257,E257-MIN(MAX(E257,0),'P-Parametri'!$B$8*(E257+D257)))</f>
        <v>142978.73583431676</v>
      </c>
      <c r="H257" s="18">
        <f>IF($A257&gt;'1-Input'!$B$26,H256,H256-C257*(1-B257))</f>
        <v>58410.796477534954</v>
      </c>
      <c r="I257" s="11">
        <f>IF($A257&gt;'1-Input'!$B$26,0,IF(N256&lt;=0,0,MAX(0,(N256-O256)/N256)))</f>
        <v>0</v>
      </c>
      <c r="J257" s="18">
        <f>IF($A257&gt;'1-Input'!$B$26,0,(MAX(0,I231-IF($A257&gt;='1-Input'!$C$12,'1-Input'!$B$12,0))-MIN(MAX(M256,0),MAX(0,I231-IF($A257&gt;='1-Input'!$C$12,'1-Input'!$B$12,0))))*(1/(1-'P-Parametri'!$B$6*I257))+MIN(MAX(0,N256-(MAX(0,I231-IF($A257&gt;='1-Input'!$C$12,'1-Input'!$B$12,0))-MIN(MAX(M256,0),MAX(0,I231-IF($A257&gt;='1-Input'!$C$12,'1-Input'!$B$12,0))))*(1/(1-'P-Parametri'!$B$6*I257))),MAX(0,3*MAX(0,I231-IF($A257&gt;='1-Input'!$C$12,'1-Input'!$B$12,0))-(M256-MIN(MAX(M256,0),MAX(0,I231-IF($A257&gt;='1-Input'!$C$12,'1-Input'!$B$12,0)))))*(1/(1-'P-Parametri'!$B$6*I257))))</f>
        <v>10846.756992928691</v>
      </c>
      <c r="K257" s="18">
        <f>IF($A257&gt;'1-Input'!$B$26,M256,(M256-MAX(0,I231-IF($A257&gt;='1-Input'!$C$12,'1-Input'!$B$12,0))+J257*(1-'P-Parametri'!$B$6*I257))*(1+'1-Input'!$B$27))</f>
        <v>0</v>
      </c>
      <c r="L257" s="18">
        <f>IF($A257&gt;'1-Input'!$B$26,N256,(N256-J257)*(1+'5-Roberta'!$C$4))</f>
        <v>-17751.268697936859</v>
      </c>
      <c r="M257" s="18">
        <f>IF($A257&gt;'1-Input'!$B$26,K257,K257-'P-Parametri'!$B$8*(L257+K257)+MIN(MAX(L257,0),'P-Parametri'!$B$8*(L257+K257)))</f>
        <v>0</v>
      </c>
      <c r="N257" s="18">
        <f>IF($A257&gt;'1-Input'!$B$26,L257,L257-MIN(MAX(L257,0),'P-Parametri'!$B$8*(L257+K257)))</f>
        <v>-17715.766160540985</v>
      </c>
      <c r="O257" s="18">
        <f>IF($A257&gt;'1-Input'!$B$26,O256,O256-J257*(1-I257))</f>
        <v>-17060.625955493568</v>
      </c>
      <c r="P257" s="11">
        <f>IF($A257&gt;'1-Input'!$B$26,0,IF(U256&lt;=0,0,MAX(0,(U256-V256)/U256)))</f>
        <v>0.57890387317327696</v>
      </c>
      <c r="Q257" s="18">
        <f>IF($A257&gt;'1-Input'!$B$26,0,(MAX(0,P231-IF($A257&gt;='1-Input'!$C$12,'1-Input'!$B$12,0))-MIN(MAX(T256,0),MAX(0,P231-IF($A257&gt;='1-Input'!$C$12,'1-Input'!$B$12,0))))*(1/(1-'P-Parametri'!$B$6*P257))+MIN(MAX(0,U256-(MAX(0,P231-IF($A257&gt;='1-Input'!$C$12,'1-Input'!$B$12,0))-MIN(MAX(T256,0),MAX(0,P231-IF($A257&gt;='1-Input'!$C$12,'1-Input'!$B$12,0))))*(1/(1-'P-Parametri'!$B$6*P257))),MAX(0,3*MAX(0,P231-IF($A257&gt;='1-Input'!$C$12,'1-Input'!$B$12,0))-(T256-MIN(MAX(T256,0),MAX(0,P231-IF($A257&gt;='1-Input'!$C$12,'1-Input'!$B$12,0)))))*(1/(1-'P-Parametri'!$B$6*P257))))</f>
        <v>0</v>
      </c>
      <c r="R257" s="18">
        <f>IF($A257&gt;'1-Input'!$B$26,T256,(T256-MAX(0,P231-IF($A257&gt;='1-Input'!$C$12,'1-Input'!$B$12,0))+Q257*(1-'P-Parametri'!$B$6*P257))*(1+'1-Input'!$B$27))</f>
        <v>39716.904960654858</v>
      </c>
      <c r="S257" s="18">
        <f>IF($A257&gt;'1-Input'!$B$26,U256,(U256-Q257)*(1+'5-Roberta'!$C$4))</f>
        <v>86500.240966625803</v>
      </c>
      <c r="T257" s="18">
        <f>IF($A257&gt;'1-Input'!$B$26,R257,R257-'P-Parametri'!$B$8*(S257+R257)+MIN(MAX(S257,0),'P-Parametri'!$B$8*(S257+R257)))</f>
        <v>39716.904960654858</v>
      </c>
      <c r="U257" s="18">
        <f>IF($A257&gt;'1-Input'!$B$26,S257,S257-MIN(MAX(S257,0),'P-Parametri'!$B$8*(S257+R257)))</f>
        <v>86247.806674771244</v>
      </c>
      <c r="V257" s="18">
        <f>IF($A257&gt;'1-Input'!$B$26,V256,V256-Q257*(1-P257))</f>
        <v>35363.9965442955</v>
      </c>
      <c r="W257" s="11">
        <f>IF($A257&gt;'1-Input'!$B$26,0,IF(AB256&lt;=0,0,MAX(0,(AB256-AC256)/AB256)))</f>
        <v>0.57920448867291141</v>
      </c>
      <c r="X257" s="18">
        <f>IF($A257&gt;'1-Input'!$B$26,0,(MAX(0,W231-IF($A257&gt;='1-Input'!$C$12,'1-Input'!$B$12,0))-MIN(MAX(AA256,0),MAX(0,W231-IF($A257&gt;='1-Input'!$C$12,'1-Input'!$B$12,0))))*(1/(1-'P-Parametri'!$B$6*W257))+MIN(MAX(0,AB256-(MAX(0,W231-IF($A257&gt;='1-Input'!$C$12,'1-Input'!$B$12,0))-MIN(MAX(AA256,0),MAX(0,W231-IF($A257&gt;='1-Input'!$C$12,'1-Input'!$B$12,0))))*(1/(1-'P-Parametri'!$B$6*W257))),MAX(0,3*MAX(0,W231-IF($A257&gt;='1-Input'!$C$12,'1-Input'!$B$12,0))-(AA256-MIN(MAX(AA256,0),MAX(0,W231-IF($A257&gt;='1-Input'!$C$12,'1-Input'!$B$12,0)))))*(1/(1-'P-Parametri'!$B$6*W257))))</f>
        <v>0</v>
      </c>
      <c r="Y257" s="18">
        <f>IF($A257&gt;'1-Input'!$B$26,AA256,(AA256-MAX(0,W231-IF($A257&gt;='1-Input'!$C$12,'1-Input'!$B$12,0))+X257*(1-'P-Parametri'!$B$6*W257))*(1+'1-Input'!$B$27))</f>
        <v>39497.57126001516</v>
      </c>
      <c r="Z257" s="18">
        <f>IF($A257&gt;'1-Input'!$B$26,AB256,(AB256-X257)*(1+'5-Roberta'!$C$4))</f>
        <v>96014.431604577563</v>
      </c>
      <c r="AA257" s="18">
        <f>IF($A257&gt;'1-Input'!$B$26,Y257,Y257-'P-Parametri'!$B$8*(Z257+Y257)+MIN(MAX(Z257,0),'P-Parametri'!$B$8*(Z257+Y257)))</f>
        <v>39497.57126001516</v>
      </c>
      <c r="AB257" s="18">
        <f>IF($A257&gt;'1-Input'!$B$26,Z257,Z257-MIN(MAX(Z257,0),'P-Parametri'!$B$8*(Z257+Y257)))</f>
        <v>95743.407598848382</v>
      </c>
      <c r="AC257" s="18">
        <f>IF($A257&gt;'1-Input'!$B$26,AC256,AC256-X257*(1-W257))</f>
        <v>39225.671691095136</v>
      </c>
      <c r="AD257" s="11">
        <f>IF($A257&gt;'1-Input'!$B$26,0,IF(AI256&lt;=0,0,MAX(0,(AI256-AJ256)/AI256)))</f>
        <v>0.57921012330837818</v>
      </c>
      <c r="AE257" s="18">
        <f>IF($A257&gt;'1-Input'!$B$26,0,(MAX(0,AD231-IF($A257&gt;='1-Input'!$C$12,'1-Input'!$B$12,0))-MIN(MAX(AH256,0),MAX(0,AD231-IF($A257&gt;='1-Input'!$C$12,'1-Input'!$B$12,0))))*(1/(1-'P-Parametri'!$B$6*AD257))+MIN(MAX(0,AI256-(MAX(0,AD231-IF($A257&gt;='1-Input'!$C$12,'1-Input'!$B$12,0))-MIN(MAX(AH256,0),MAX(0,AD231-IF($A257&gt;='1-Input'!$C$12,'1-Input'!$B$12,0))))*(1/(1-'P-Parametri'!$B$6*AD257))),MAX(0,3*MAX(0,AD231-IF($A257&gt;='1-Input'!$C$12,'1-Input'!$B$12,0))-(AH256-MIN(MAX(AH256,0),MAX(0,AD231-IF($A257&gt;='1-Input'!$C$12,'1-Input'!$B$12,0)))))*(1/(1-'P-Parametri'!$B$6*AD257))))</f>
        <v>0</v>
      </c>
      <c r="AF257" s="18">
        <f>IF($A257&gt;'1-Input'!$B$26,AH256,(AH256-MAX(0,AD231-IF($A257&gt;='1-Input'!$C$12,'1-Input'!$B$12,0))+AE257*(1-'P-Parametri'!$B$6*AD257))*(1+'1-Input'!$B$27))</f>
        <v>39493.169185255167</v>
      </c>
      <c r="AG257" s="18">
        <f>IF($A257&gt;'1-Input'!$B$26,AI256,(AI256-AE257)*(1+'5-Roberta'!$C$4))</f>
        <v>96205.390540247623</v>
      </c>
      <c r="AH257" s="18">
        <f>IF($A257&gt;'1-Input'!$B$26,AF257,AF257-'P-Parametri'!$B$8*(AG257+AF257)+MIN(MAX(AG257,0),'P-Parametri'!$B$8*(AG257+AF257)))</f>
        <v>39493.169185255167</v>
      </c>
      <c r="AI257" s="18">
        <f>IF($A257&gt;'1-Input'!$B$26,AG257,AG257-MIN(MAX(AG257,0),'P-Parametri'!$B$8*(AG257+AF257)))</f>
        <v>95933.993420796614</v>
      </c>
      <c r="AJ257" s="18">
        <f>IF($A257&gt;'1-Input'!$B$26,AJ256,AJ256-AE257*(1-AD257))</f>
        <v>39303.159633495256</v>
      </c>
      <c r="AK257" s="11">
        <f>IF($A257&gt;'1-Input'!$B$26,0,IF(AP256&lt;=0,0,MAX(0,(AP256-AQ256)/AP256)))</f>
        <v>0.57920989139367329</v>
      </c>
      <c r="AL257" s="18">
        <f>IF($A257&gt;'1-Input'!$B$26,0,(MAX(0,AK231-IF($A257&gt;='1-Input'!$C$12,'1-Input'!$B$12,0))-MIN(MAX(AO256,0),MAX(0,AK231-IF($A257&gt;='1-Input'!$C$12,'1-Input'!$B$12,0))))*(1/(1-'P-Parametri'!$B$6*AK257))+MIN(MAX(0,AP256-(MAX(0,AK231-IF($A257&gt;='1-Input'!$C$12,'1-Input'!$B$12,0))-MIN(MAX(AO256,0),MAX(0,AK231-IF($A257&gt;='1-Input'!$C$12,'1-Input'!$B$12,0))))*(1/(1-'P-Parametri'!$B$6*AK257))),MAX(0,3*MAX(0,AK231-IF($A257&gt;='1-Input'!$C$12,'1-Input'!$B$12,0))-(AO256-MIN(MAX(AO256,0),MAX(0,AK231-IF($A257&gt;='1-Input'!$C$12,'1-Input'!$B$12,0)))))*(1/(1-'P-Parametri'!$B$6*AK257))))</f>
        <v>0</v>
      </c>
      <c r="AM257" s="18">
        <f>IF($A257&gt;'1-Input'!$B$26,AO256,(AO256-MAX(0,AK231-IF($A257&gt;='1-Input'!$C$12,'1-Input'!$B$12,0))+AL257*(1-'P-Parametri'!$B$6*AK257))*(1+'1-Input'!$B$27))</f>
        <v>39493.350591441849</v>
      </c>
      <c r="AN257" s="18">
        <f>IF($A257&gt;'1-Input'!$B$26,AP256,(AP256-AL257)*(1+'5-Roberta'!$C$4))</f>
        <v>96197.521260957423</v>
      </c>
      <c r="AO257" s="18">
        <f>IF($A257&gt;'1-Input'!$B$26,AM257,AM257-'P-Parametri'!$B$8*(AN257+AM257)+MIN(MAX(AN257,0),'P-Parametri'!$B$8*(AN257+AM257)))</f>
        <v>39493.350591441849</v>
      </c>
      <c r="AP257" s="18">
        <f>IF($A257&gt;'1-Input'!$B$26,AN257,AN257-MIN(MAX(AN257,0),'P-Parametri'!$B$8*(AN257+AM257)))</f>
        <v>95926.139517252625</v>
      </c>
      <c r="AQ257" s="18">
        <f>IF($A257&gt;'1-Input'!$B$26,AQ256,AQ256-AL257*(1-AK257))</f>
        <v>39299.966426269602</v>
      </c>
    </row>
    <row r="258" spans="1:43">
      <c r="A258" s="10">
        <f>25</f>
        <v>25</v>
      </c>
      <c r="B258" s="11">
        <f>IF($A258&gt;'1-Input'!$B$26,0,IF(G257&lt;=0,0,MAX(0,(G257-H257)/G257)))</f>
        <v>0.59147214348557975</v>
      </c>
      <c r="C258" s="18">
        <f>IF($A258&gt;'1-Input'!$B$26,0,(MAX(0,B231-IF($A258&gt;='1-Input'!$C$12,'1-Input'!$B$12,0))-MIN(MAX(F257,0),MAX(0,B231-IF($A258&gt;='1-Input'!$C$12,'1-Input'!$B$12,0))))*(1/(1-'P-Parametri'!$B$6*B258))+MIN(MAX(0,G257-(MAX(0,B231-IF($A258&gt;='1-Input'!$C$12,'1-Input'!$B$12,0))-MIN(MAX(F257,0),MAX(0,B231-IF($A258&gt;='1-Input'!$C$12,'1-Input'!$B$12,0))))*(1/(1-'P-Parametri'!$B$6*B258))),MAX(0,3*MAX(0,B231-IF($A258&gt;='1-Input'!$C$12,'1-Input'!$B$12,0))-(F257-MIN(MAX(F257,0),MAX(0,B231-IF($A258&gt;='1-Input'!$C$12,'1-Input'!$B$12,0)))))*(1/(1-'P-Parametri'!$B$6*B258))))</f>
        <v>0</v>
      </c>
      <c r="D258" s="18">
        <f>IF($A258&gt;'1-Input'!$B$26,F257,(F257-MAX(0,B231-IF($A258&gt;='1-Input'!$C$12,'1-Input'!$B$12,0))+C258*(1-'P-Parametri'!$B$6*B258))*(1+'1-Input'!$B$27))</f>
        <v>32709.479073006296</v>
      </c>
      <c r="E258" s="18">
        <f>IF($A258&gt;'1-Input'!$B$26,G257,(G257-C258)*(1+'5-Roberta'!$C$4))</f>
        <v>147268.09790934625</v>
      </c>
      <c r="F258" s="18">
        <f>IF($A258&gt;'1-Input'!$B$26,D258,D258-'P-Parametri'!$B$8*(E258+D258)+MIN(MAX(E258,0),'P-Parametri'!$B$8*(E258+D258)))</f>
        <v>32709.479073006296</v>
      </c>
      <c r="G258" s="18">
        <f>IF($A258&gt;'1-Input'!$B$26,E258,E258-MIN(MAX(E258,0),'P-Parametri'!$B$8*(E258+D258)))</f>
        <v>146908.14275538156</v>
      </c>
      <c r="H258" s="18">
        <f>IF($A258&gt;'1-Input'!$B$26,H257,H257-C258*(1-B258))</f>
        <v>58410.796477534954</v>
      </c>
      <c r="I258" s="11">
        <f>IF($A258&gt;'1-Input'!$B$26,0,IF(N257&lt;=0,0,MAX(0,(N257-O257)/N257)))</f>
        <v>0</v>
      </c>
      <c r="J258" s="18">
        <f>IF($A258&gt;'1-Input'!$B$26,0,(MAX(0,I231-IF($A258&gt;='1-Input'!$C$12,'1-Input'!$B$12,0))-MIN(MAX(M257,0),MAX(0,I231-IF($A258&gt;='1-Input'!$C$12,'1-Input'!$B$12,0))))*(1/(1-'P-Parametri'!$B$6*I258))+MIN(MAX(0,N257-(MAX(0,I231-IF($A258&gt;='1-Input'!$C$12,'1-Input'!$B$12,0))-MIN(MAX(M257,0),MAX(0,I231-IF($A258&gt;='1-Input'!$C$12,'1-Input'!$B$12,0))))*(1/(1-'P-Parametri'!$B$6*I258))),MAX(0,3*MAX(0,I231-IF($A258&gt;='1-Input'!$C$12,'1-Input'!$B$12,0))-(M257-MIN(MAX(M257,0),MAX(0,I231-IF($A258&gt;='1-Input'!$C$12,'1-Input'!$B$12,0)))))*(1/(1-'P-Parametri'!$B$6*I258))))</f>
        <v>10846.756992928691</v>
      </c>
      <c r="K258" s="18">
        <f>IF($A258&gt;'1-Input'!$B$26,M257,(M257-MAX(0,I231-IF($A258&gt;='1-Input'!$C$12,'1-Input'!$B$12,0))+J258*(1-'P-Parametri'!$B$6*I258))*(1+'1-Input'!$B$27))</f>
        <v>0</v>
      </c>
      <c r="L258" s="18">
        <f>IF($A258&gt;'1-Input'!$B$26,N257,(N257-J258)*(1+'5-Roberta'!$C$4))</f>
        <v>-29419.398848073768</v>
      </c>
      <c r="M258" s="18">
        <f>IF($A258&gt;'1-Input'!$B$26,K258,K258-'P-Parametri'!$B$8*(L258+K258)+MIN(MAX(L258,0),'P-Parametri'!$B$8*(L258+K258)))</f>
        <v>0</v>
      </c>
      <c r="N258" s="18">
        <f>IF($A258&gt;'1-Input'!$B$26,L258,L258-MIN(MAX(L258,0),'P-Parametri'!$B$8*(L258+K258)))</f>
        <v>-29360.560050377622</v>
      </c>
      <c r="O258" s="18">
        <f>IF($A258&gt;'1-Input'!$B$26,O257,O257-J258*(1-I258))</f>
        <v>-27907.382948422259</v>
      </c>
      <c r="P258" s="11">
        <f>IF($A258&gt;'1-Input'!$B$26,0,IF(U257&lt;=0,0,MAX(0,(U257-V257)/U257)))</f>
        <v>0.58997222181372888</v>
      </c>
      <c r="Q258" s="18">
        <f>IF($A258&gt;'1-Input'!$B$26,0,(MAX(0,P231-IF($A258&gt;='1-Input'!$C$12,'1-Input'!$B$12,0))-MIN(MAX(T257,0),MAX(0,P231-IF($A258&gt;='1-Input'!$C$12,'1-Input'!$B$12,0))))*(1/(1-'P-Parametri'!$B$6*P258))+MIN(MAX(0,U257-(MAX(0,P231-IF($A258&gt;='1-Input'!$C$12,'1-Input'!$B$12,0))-MIN(MAX(T257,0),MAX(0,P231-IF($A258&gt;='1-Input'!$C$12,'1-Input'!$B$12,0))))*(1/(1-'P-Parametri'!$B$6*P258))),MAX(0,3*MAX(0,P231-IF($A258&gt;='1-Input'!$C$12,'1-Input'!$B$12,0))-(T257-MIN(MAX(T257,0),MAX(0,P231-IF($A258&gt;='1-Input'!$C$12,'1-Input'!$B$12,0)))))*(1/(1-'P-Parametri'!$B$6*P258))))</f>
        <v>0</v>
      </c>
      <c r="R258" s="18">
        <f>IF($A258&gt;'1-Input'!$B$26,T257,(T257-MAX(0,P231-IF($A258&gt;='1-Input'!$C$12,'1-Input'!$B$12,0))+Q258*(1-'P-Parametri'!$B$6*P258))*(1+'1-Input'!$B$27))</f>
        <v>32680.799487099408</v>
      </c>
      <c r="S258" s="18">
        <f>IF($A258&gt;'1-Input'!$B$26,U257,(U257-Q258)*(1+'5-Roberta'!$C$4))</f>
        <v>88835.24087501438</v>
      </c>
      <c r="T258" s="18">
        <f>IF($A258&gt;'1-Input'!$B$26,R258,R258-'P-Parametri'!$B$8*(S258+R258)+MIN(MAX(S258,0),'P-Parametri'!$B$8*(S258+R258)))</f>
        <v>32680.799487099408</v>
      </c>
      <c r="U258" s="18">
        <f>IF($A258&gt;'1-Input'!$B$26,S258,S258-MIN(MAX(S258,0),'P-Parametri'!$B$8*(S258+R258)))</f>
        <v>88592.208794290156</v>
      </c>
      <c r="V258" s="18">
        <f>IF($A258&gt;'1-Input'!$B$26,V257,V257-Q258*(1-P258))</f>
        <v>35363.9965442955</v>
      </c>
      <c r="W258" s="11">
        <f>IF($A258&gt;'1-Input'!$B$26,0,IF(AB257&lt;=0,0,MAX(0,(AB257-AC257)/AB257)))</f>
        <v>0.59030420292282404</v>
      </c>
      <c r="X258" s="18">
        <f>IF($A258&gt;'1-Input'!$B$26,0,(MAX(0,W231-IF($A258&gt;='1-Input'!$C$12,'1-Input'!$B$12,0))-MIN(MAX(AA257,0),MAX(0,W231-IF($A258&gt;='1-Input'!$C$12,'1-Input'!$B$12,0))))*(1/(1-'P-Parametri'!$B$6*W258))+MIN(MAX(0,AB257-(MAX(0,W231-IF($A258&gt;='1-Input'!$C$12,'1-Input'!$B$12,0))-MIN(MAX(AA257,0),MAX(0,W231-IF($A258&gt;='1-Input'!$C$12,'1-Input'!$B$12,0))))*(1/(1-'P-Parametri'!$B$6*W258))),MAX(0,3*MAX(0,W231-IF($A258&gt;='1-Input'!$C$12,'1-Input'!$B$12,0))-(AA257-MIN(MAX(AA257,0),MAX(0,W231-IF($A258&gt;='1-Input'!$C$12,'1-Input'!$B$12,0)))))*(1/(1-'P-Parametri'!$B$6*W258))))</f>
        <v>0</v>
      </c>
      <c r="Y258" s="18">
        <f>IF($A258&gt;'1-Input'!$B$26,AA257,(AA257-MAX(0,W231-IF($A258&gt;='1-Input'!$C$12,'1-Input'!$B$12,0))+X258*(1-'P-Parametri'!$B$6*W258))*(1+'1-Input'!$B$27))</f>
        <v>32685.600618919616</v>
      </c>
      <c r="Z258" s="18">
        <f>IF($A258&gt;'1-Input'!$B$26,AB257,(AB257-X258)*(1+'5-Roberta'!$C$4))</f>
        <v>98615.709826813836</v>
      </c>
      <c r="AA258" s="18">
        <f>IF($A258&gt;'1-Input'!$B$26,Y258,Y258-'P-Parametri'!$B$8*(Z258+Y258)+MIN(MAX(Z258,0),'P-Parametri'!$B$8*(Z258+Y258)))</f>
        <v>32685.600618919616</v>
      </c>
      <c r="AB258" s="18">
        <f>IF($A258&gt;'1-Input'!$B$26,Z258,Z258-MIN(MAX(Z258,0),'P-Parametri'!$B$8*(Z258+Y258)))</f>
        <v>98353.107205922366</v>
      </c>
      <c r="AC258" s="18">
        <f>IF($A258&gt;'1-Input'!$B$26,AC257,AC257-X258*(1-W258))</f>
        <v>39225.671691095136</v>
      </c>
      <c r="AD258" s="11">
        <f>IF($A258&gt;'1-Input'!$B$26,0,IF(AI257&lt;=0,0,MAX(0,(AI257-AJ257)/AI257)))</f>
        <v>0.59031039747194447</v>
      </c>
      <c r="AE258" s="18">
        <f>IF($A258&gt;'1-Input'!$B$26,0,(MAX(0,AD231-IF($A258&gt;='1-Input'!$C$12,'1-Input'!$B$12,0))-MIN(MAX(AH257,0),MAX(0,AD231-IF($A258&gt;='1-Input'!$C$12,'1-Input'!$B$12,0))))*(1/(1-'P-Parametri'!$B$6*AD258))+MIN(MAX(0,AI257-(MAX(0,AD231-IF($A258&gt;='1-Input'!$C$12,'1-Input'!$B$12,0))-MIN(MAX(AH257,0),MAX(0,AD231-IF($A258&gt;='1-Input'!$C$12,'1-Input'!$B$12,0))))*(1/(1-'P-Parametri'!$B$6*AD258))),MAX(0,3*MAX(0,AD231-IF($A258&gt;='1-Input'!$C$12,'1-Input'!$B$12,0))-(AH257-MIN(MAX(AH257,0),MAX(0,AD231-IF($A258&gt;='1-Input'!$C$12,'1-Input'!$B$12,0)))))*(1/(1-'P-Parametri'!$B$6*AD258))))</f>
        <v>0</v>
      </c>
      <c r="AF258" s="18">
        <f>IF($A258&gt;'1-Input'!$B$26,AH257,(AH257-MAX(0,AD231-IF($A258&gt;='1-Input'!$C$12,'1-Input'!$B$12,0))+AE258*(1-'P-Parametri'!$B$6*AD258))*(1+'1-Input'!$B$27))</f>
        <v>32685.696978672535</v>
      </c>
      <c r="AG258" s="18">
        <f>IF($A258&gt;'1-Input'!$B$26,AI257,(AI257-AE258)*(1+'5-Roberta'!$C$4))</f>
        <v>98812.013223420508</v>
      </c>
      <c r="AH258" s="18">
        <f>IF($A258&gt;'1-Input'!$B$26,AF258,AF258-'P-Parametri'!$B$8*(AG258+AF258)+MIN(MAX(AG258,0),'P-Parametri'!$B$8*(AG258+AF258)))</f>
        <v>32685.696978672535</v>
      </c>
      <c r="AI258" s="18">
        <f>IF($A258&gt;'1-Input'!$B$26,AG258,AG258-MIN(MAX(AG258,0),'P-Parametri'!$B$8*(AG258+AF258)))</f>
        <v>98549.017803016322</v>
      </c>
      <c r="AJ258" s="18">
        <f>IF($A258&gt;'1-Input'!$B$26,AJ257,AJ257-AE258*(1-AD258))</f>
        <v>39303.159633495256</v>
      </c>
      <c r="AK258" s="11">
        <f>IF($A258&gt;'1-Input'!$B$26,0,IF(AP257&lt;=0,0,MAX(0,(AP257-AQ257)/AP257)))</f>
        <v>0.59031014253209491</v>
      </c>
      <c r="AL258" s="18">
        <f>IF($A258&gt;'1-Input'!$B$26,0,(MAX(0,AK231-IF($A258&gt;='1-Input'!$C$12,'1-Input'!$B$12,0))-MIN(MAX(AO257,0),MAX(0,AK231-IF($A258&gt;='1-Input'!$C$12,'1-Input'!$B$12,0))))*(1/(1-'P-Parametri'!$B$6*AK258))+MIN(MAX(0,AP257-(MAX(0,AK231-IF($A258&gt;='1-Input'!$C$12,'1-Input'!$B$12,0))-MIN(MAX(AO257,0),MAX(0,AK231-IF($A258&gt;='1-Input'!$C$12,'1-Input'!$B$12,0))))*(1/(1-'P-Parametri'!$B$6*AK258))),MAX(0,3*MAX(0,AK231-IF($A258&gt;='1-Input'!$C$12,'1-Input'!$B$12,0))-(AO257-MIN(MAX(AO257,0),MAX(0,AK231-IF($A258&gt;='1-Input'!$C$12,'1-Input'!$B$12,0)))))*(1/(1-'P-Parametri'!$B$6*AK258))))</f>
        <v>0</v>
      </c>
      <c r="AM258" s="18">
        <f>IF($A258&gt;'1-Input'!$B$26,AO257,(AO257-MAX(0,AK231-IF($A258&gt;='1-Input'!$C$12,'1-Input'!$B$12,0))+AL258*(1-'P-Parametri'!$B$6*AK258))*(1+'1-Input'!$B$27))</f>
        <v>32685.693007759673</v>
      </c>
      <c r="AN258" s="18">
        <f>IF($A258&gt;'1-Input'!$B$26,AP257,(AP257-AL258)*(1+'5-Roberta'!$C$4))</f>
        <v>98803.923702770204</v>
      </c>
      <c r="AO258" s="18">
        <f>IF($A258&gt;'1-Input'!$B$26,AM258,AM258-'P-Parametri'!$B$8*(AN258+AM258)+MIN(MAX(AN258,0),'P-Parametri'!$B$8*(AN258+AM258)))</f>
        <v>32685.693007759673</v>
      </c>
      <c r="AP258" s="18">
        <f>IF($A258&gt;'1-Input'!$B$26,AN258,AN258-MIN(MAX(AN258,0),'P-Parametri'!$B$8*(AN258+AM258)))</f>
        <v>98540.944469349139</v>
      </c>
      <c r="AQ258" s="18">
        <f>IF($A258&gt;'1-Input'!$B$26,AQ257,AQ257-AL258*(1-AK258))</f>
        <v>39299.966426269602</v>
      </c>
    </row>
    <row r="259" spans="1:43">
      <c r="A259" s="10">
        <f>26</f>
        <v>26</v>
      </c>
      <c r="B259" s="11">
        <f>IF($A259&gt;'1-Input'!$B$26,0,IF(G258&lt;=0,0,MAX(0,(G258-H258)/G258)))</f>
        <v>0.60239919052822388</v>
      </c>
      <c r="C259" s="18">
        <f>IF($A259&gt;'1-Input'!$B$26,0,(MAX(0,B231-IF($A259&gt;='1-Input'!$C$12,'1-Input'!$B$12,0))-MIN(MAX(F258,0),MAX(0,B231-IF($A259&gt;='1-Input'!$C$12,'1-Input'!$B$12,0))))*(1/(1-'P-Parametri'!$B$6*B259))+MIN(MAX(0,G258-(MAX(0,B231-IF($A259&gt;='1-Input'!$C$12,'1-Input'!$B$12,0))-MIN(MAX(F258,0),MAX(0,B231-IF($A259&gt;='1-Input'!$C$12,'1-Input'!$B$12,0))))*(1/(1-'P-Parametri'!$B$6*B259))),MAX(0,3*MAX(0,B231-IF($A259&gt;='1-Input'!$C$12,'1-Input'!$B$12,0))-(F258-MIN(MAX(F258,0),MAX(0,B231-IF($A259&gt;='1-Input'!$C$12,'1-Input'!$B$12,0)))))*(1/(1-'P-Parametri'!$B$6*B259))))</f>
        <v>0</v>
      </c>
      <c r="D259" s="18">
        <f>IF($A259&gt;'1-Input'!$B$26,F258,(F258-MAX(0,B231-IF($A259&gt;='1-Input'!$C$12,'1-Input'!$B$12,0))+C259*(1-'P-Parametri'!$B$6*B259))*(1+'1-Input'!$B$27))</f>
        <v>27032.754232850322</v>
      </c>
      <c r="E259" s="18">
        <f>IF($A259&gt;'1-Input'!$B$26,G258,(G258-C259)*(1+'5-Roberta'!$C$4))</f>
        <v>151315.387038043</v>
      </c>
      <c r="F259" s="18">
        <f>IF($A259&gt;'1-Input'!$B$26,D259,D259-'P-Parametri'!$B$8*(E259+D259)+MIN(MAX(E259,0),'P-Parametri'!$B$8*(E259+D259)))</f>
        <v>27032.754232850322</v>
      </c>
      <c r="G259" s="18">
        <f>IF($A259&gt;'1-Input'!$B$26,E259,E259-MIN(MAX(E259,0),'P-Parametri'!$B$8*(E259+D259)))</f>
        <v>150958.69075550121</v>
      </c>
      <c r="H259" s="18">
        <f>IF($A259&gt;'1-Input'!$B$26,H258,H258-C259*(1-B259))</f>
        <v>58410.796477534954</v>
      </c>
      <c r="I259" s="11">
        <f>IF($A259&gt;'1-Input'!$B$26,0,IF(N258&lt;=0,0,MAX(0,(N258-O258)/N258)))</f>
        <v>0</v>
      </c>
      <c r="J259" s="18">
        <f>IF($A259&gt;'1-Input'!$B$26,0,(MAX(0,I231-IF($A259&gt;='1-Input'!$C$12,'1-Input'!$B$12,0))-MIN(MAX(M258,0),MAX(0,I231-IF($A259&gt;='1-Input'!$C$12,'1-Input'!$B$12,0))))*(1/(1-'P-Parametri'!$B$6*I259))+MIN(MAX(0,N258-(MAX(0,I231-IF($A259&gt;='1-Input'!$C$12,'1-Input'!$B$12,0))-MIN(MAX(M258,0),MAX(0,I231-IF($A259&gt;='1-Input'!$C$12,'1-Input'!$B$12,0))))*(1/(1-'P-Parametri'!$B$6*I259))),MAX(0,3*MAX(0,I231-IF($A259&gt;='1-Input'!$C$12,'1-Input'!$B$12,0))-(M258-MIN(MAX(M258,0),MAX(0,I231-IF($A259&gt;='1-Input'!$C$12,'1-Input'!$B$12,0)))))*(1/(1-'P-Parametri'!$B$6*I259))))</f>
        <v>10846.756992928691</v>
      </c>
      <c r="K259" s="18">
        <f>IF($A259&gt;'1-Input'!$B$26,M258,(M258-MAX(0,I231-IF($A259&gt;='1-Input'!$C$12,'1-Input'!$B$12,0))+J259*(1-'P-Parametri'!$B$6*I259))*(1+'1-Input'!$B$27))</f>
        <v>0</v>
      </c>
      <c r="L259" s="18">
        <f>IF($A259&gt;'1-Input'!$B$26,N258,(N258-J259)*(1+'5-Roberta'!$C$4))</f>
        <v>-41413.536554605504</v>
      </c>
      <c r="M259" s="18">
        <f>IF($A259&gt;'1-Input'!$B$26,K259,K259-'P-Parametri'!$B$8*(L259+K259)+MIN(MAX(L259,0),'P-Parametri'!$B$8*(L259+K259)))</f>
        <v>0</v>
      </c>
      <c r="N259" s="18">
        <f>IF($A259&gt;'1-Input'!$B$26,L259,L259-MIN(MAX(L259,0),'P-Parametri'!$B$8*(L259+K259)))</f>
        <v>-41330.709481496291</v>
      </c>
      <c r="O259" s="18">
        <f>IF($A259&gt;'1-Input'!$B$26,O258,O258-J259*(1-I259))</f>
        <v>-38754.13994135095</v>
      </c>
      <c r="P259" s="11">
        <f>IF($A259&gt;'1-Input'!$B$26,0,IF(U258&lt;=0,0,MAX(0,(U258-V258)/U258)))</f>
        <v>0.60082272441801066</v>
      </c>
      <c r="Q259" s="18">
        <f>IF($A259&gt;'1-Input'!$B$26,0,(MAX(0,P231-IF($A259&gt;='1-Input'!$C$12,'1-Input'!$B$12,0))-MIN(MAX(T258,0),MAX(0,P231-IF($A259&gt;='1-Input'!$C$12,'1-Input'!$B$12,0))))*(1/(1-'P-Parametri'!$B$6*P259))+MIN(MAX(0,U258-(MAX(0,P231-IF($A259&gt;='1-Input'!$C$12,'1-Input'!$B$12,0))-MIN(MAX(T258,0),MAX(0,P231-IF($A259&gt;='1-Input'!$C$12,'1-Input'!$B$12,0))))*(1/(1-'P-Parametri'!$B$6*P259))),MAX(0,3*MAX(0,P231-IF($A259&gt;='1-Input'!$C$12,'1-Input'!$B$12,0))-(T258-MIN(MAX(T258,0),MAX(0,P231-IF($A259&gt;='1-Input'!$C$12,'1-Input'!$B$12,0)))))*(1/(1-'P-Parametri'!$B$6*P259))))</f>
        <v>0</v>
      </c>
      <c r="R259" s="18">
        <f>IF($A259&gt;'1-Input'!$B$26,T258,(T258-MAX(0,P231-IF($A259&gt;='1-Input'!$C$12,'1-Input'!$B$12,0))+Q259*(1-'P-Parametri'!$B$6*P259))*(1+'1-Input'!$B$27))</f>
        <v>25670.02399324876</v>
      </c>
      <c r="S259" s="18">
        <f>IF($A259&gt;'1-Input'!$B$26,U258,(U258-Q259)*(1+'5-Roberta'!$C$4))</f>
        <v>91249.975058118856</v>
      </c>
      <c r="T259" s="18">
        <f>IF($A259&gt;'1-Input'!$B$26,R259,R259-'P-Parametri'!$B$8*(S259+R259)+MIN(MAX(S259,0),'P-Parametri'!$B$8*(S259+R259)))</f>
        <v>25670.02399324876</v>
      </c>
      <c r="U259" s="18">
        <f>IF($A259&gt;'1-Input'!$B$26,S259,S259-MIN(MAX(S259,0),'P-Parametri'!$B$8*(S259+R259)))</f>
        <v>91016.135060016124</v>
      </c>
      <c r="V259" s="18">
        <f>IF($A259&gt;'1-Input'!$B$26,V258,V258-Q259*(1-P259))</f>
        <v>35363.9965442955</v>
      </c>
      <c r="W259" s="11">
        <f>IF($A259&gt;'1-Input'!$B$26,0,IF(AB258&lt;=0,0,MAX(0,(AB258-AC258)/AB258)))</f>
        <v>0.60117506395636122</v>
      </c>
      <c r="X259" s="18">
        <f>IF($A259&gt;'1-Input'!$B$26,0,(MAX(0,W231-IF($A259&gt;='1-Input'!$C$12,'1-Input'!$B$12,0))-MIN(MAX(AA258,0),MAX(0,W231-IF($A259&gt;='1-Input'!$C$12,'1-Input'!$B$12,0))))*(1/(1-'P-Parametri'!$B$6*W259))+MIN(MAX(0,AB258-(MAX(0,W231-IF($A259&gt;='1-Input'!$C$12,'1-Input'!$B$12,0))-MIN(MAX(AA258,0),MAX(0,W231-IF($A259&gt;='1-Input'!$C$12,'1-Input'!$B$12,0))))*(1/(1-'P-Parametri'!$B$6*W259))),MAX(0,3*MAX(0,W231-IF($A259&gt;='1-Input'!$C$12,'1-Input'!$B$12,0))-(AA258-MIN(MAX(AA258,0),MAX(0,W231-IF($A259&gt;='1-Input'!$C$12,'1-Input'!$B$12,0)))))*(1/(1-'P-Parametri'!$B$6*W259))))</f>
        <v>0</v>
      </c>
      <c r="Y259" s="18">
        <f>IF($A259&gt;'1-Input'!$B$26,AA258,(AA258-MAX(0,W231-IF($A259&gt;='1-Input'!$C$12,'1-Input'!$B$12,0))+X259*(1-'P-Parametri'!$B$6*W259))*(1+'1-Input'!$B$27))</f>
        <v>25898.153072132012</v>
      </c>
      <c r="Z259" s="18">
        <f>IF($A259&gt;'1-Input'!$B$26,AB258,(AB258-X259)*(1+'5-Roberta'!$C$4))</f>
        <v>101303.70042210004</v>
      </c>
      <c r="AA259" s="18">
        <f>IF($A259&gt;'1-Input'!$B$26,Y259,Y259-'P-Parametri'!$B$8*(Z259+Y259)+MIN(MAX(Z259,0),'P-Parametri'!$B$8*(Z259+Y259)))</f>
        <v>25898.153072132012</v>
      </c>
      <c r="AB259" s="18">
        <f>IF($A259&gt;'1-Input'!$B$26,Z259,Z259-MIN(MAX(Z259,0),'P-Parametri'!$B$8*(Z259+Y259)))</f>
        <v>101049.29671511157</v>
      </c>
      <c r="AC259" s="18">
        <f>IF($A259&gt;'1-Input'!$B$26,AC258,AC258-X259*(1-W259))</f>
        <v>39225.671691095136</v>
      </c>
      <c r="AD259" s="11">
        <f>IF($A259&gt;'1-Input'!$B$26,0,IF(AI258&lt;=0,0,MAX(0,(AI258-AJ258)/AI258)))</f>
        <v>0.60118161997255049</v>
      </c>
      <c r="AE259" s="18">
        <f>IF($A259&gt;'1-Input'!$B$26,0,(MAX(0,AD231-IF($A259&gt;='1-Input'!$C$12,'1-Input'!$B$12,0))-MIN(MAX(AH258,0),MAX(0,AD231-IF($A259&gt;='1-Input'!$C$12,'1-Input'!$B$12,0))))*(1/(1-'P-Parametri'!$B$6*AD259))+MIN(MAX(0,AI258-(MAX(0,AD231-IF($A259&gt;='1-Input'!$C$12,'1-Input'!$B$12,0))-MIN(MAX(AH258,0),MAX(0,AD231-IF($A259&gt;='1-Input'!$C$12,'1-Input'!$B$12,0))))*(1/(1-'P-Parametri'!$B$6*AD259))),MAX(0,3*MAX(0,AD231-IF($A259&gt;='1-Input'!$C$12,'1-Input'!$B$12,0))-(AH258-MIN(MAX(AH258,0),MAX(0,AD231-IF($A259&gt;='1-Input'!$C$12,'1-Input'!$B$12,0)))))*(1/(1-'P-Parametri'!$B$6*AD259))))</f>
        <v>0</v>
      </c>
      <c r="AF259" s="18">
        <f>IF($A259&gt;'1-Input'!$B$26,AH258,(AH258-MAX(0,AD231-IF($A259&gt;='1-Input'!$C$12,'1-Input'!$B$12,0))+AE259*(1-'P-Parametri'!$B$6*AD259))*(1+'1-Input'!$B$27))</f>
        <v>25902.731672033598</v>
      </c>
      <c r="AG259" s="18">
        <f>IF($A259&gt;'1-Input'!$B$26,AI258,(AI258-AE259)*(1+'5-Roberta'!$C$4))</f>
        <v>101505.48833710681</v>
      </c>
      <c r="AH259" s="18">
        <f>IF($A259&gt;'1-Input'!$B$26,AF259,AF259-'P-Parametri'!$B$8*(AG259+AF259)+MIN(MAX(AG259,0),'P-Parametri'!$B$8*(AG259+AF259)))</f>
        <v>25902.731672033598</v>
      </c>
      <c r="AI259" s="18">
        <f>IF($A259&gt;'1-Input'!$B$26,AG259,AG259-MIN(MAX(AG259,0),'P-Parametri'!$B$8*(AG259+AF259)))</f>
        <v>101250.67189708853</v>
      </c>
      <c r="AJ259" s="18">
        <f>IF($A259&gt;'1-Input'!$B$26,AJ258,AJ258-AE259*(1-AD259))</f>
        <v>39303.159633495256</v>
      </c>
      <c r="AK259" s="11">
        <f>IF($A259&gt;'1-Input'!$B$26,0,IF(AP258&lt;=0,0,MAX(0,(AP258-AQ258)/AP258)))</f>
        <v>0.60118135016968777</v>
      </c>
      <c r="AL259" s="18">
        <f>IF($A259&gt;'1-Input'!$B$26,0,(MAX(0,AK231-IF($A259&gt;='1-Input'!$C$12,'1-Input'!$B$12,0))-MIN(MAX(AO258,0),MAX(0,AK231-IF($A259&gt;='1-Input'!$C$12,'1-Input'!$B$12,0))))*(1/(1-'P-Parametri'!$B$6*AK259))+MIN(MAX(0,AP258-(MAX(0,AK231-IF($A259&gt;='1-Input'!$C$12,'1-Input'!$B$12,0))-MIN(MAX(AO258,0),MAX(0,AK231-IF($A259&gt;='1-Input'!$C$12,'1-Input'!$B$12,0))))*(1/(1-'P-Parametri'!$B$6*AK259))),MAX(0,3*MAX(0,AK231-IF($A259&gt;='1-Input'!$C$12,'1-Input'!$B$12,0))-(AO258-MIN(MAX(AO258,0),MAX(0,AK231-IF($A259&gt;='1-Input'!$C$12,'1-Input'!$B$12,0)))))*(1/(1-'P-Parametri'!$B$6*AK259))))</f>
        <v>0</v>
      </c>
      <c r="AM259" s="18">
        <f>IF($A259&gt;'1-Input'!$B$26,AO258,(AO258-MAX(0,AK231-IF($A259&gt;='1-Input'!$C$12,'1-Input'!$B$12,0))+AL259*(1-'P-Parametri'!$B$6*AK259))*(1+'1-Input'!$B$27))</f>
        <v>25902.542991378752</v>
      </c>
      <c r="AN259" s="18">
        <f>IF($A259&gt;'1-Input'!$B$26,AP258,(AP258-AL259)*(1+'5-Roberta'!$C$4))</f>
        <v>101497.17280342961</v>
      </c>
      <c r="AO259" s="18">
        <f>IF($A259&gt;'1-Input'!$B$26,AM259,AM259-'P-Parametri'!$B$8*(AN259+AM259)+MIN(MAX(AN259,0),'P-Parametri'!$B$8*(AN259+AM259)))</f>
        <v>25902.542991378752</v>
      </c>
      <c r="AP259" s="18">
        <f>IF($A259&gt;'1-Input'!$B$26,AN259,AN259-MIN(MAX(AN259,0),'P-Parametri'!$B$8*(AN259+AM259)))</f>
        <v>101242.37337183999</v>
      </c>
      <c r="AQ259" s="18">
        <f>IF($A259&gt;'1-Input'!$B$26,AQ258,AQ258-AL259*(1-AK259))</f>
        <v>39299.966426269602</v>
      </c>
    </row>
    <row r="260" spans="1:43">
      <c r="A260" s="10">
        <f>27</f>
        <v>27</v>
      </c>
      <c r="B260" s="11">
        <f>IF($A260&gt;'1-Input'!$B$26,0,IF(G259&lt;=0,0,MAX(0,(G259-H259)/G259)))</f>
        <v>0.61306767973935705</v>
      </c>
      <c r="C260" s="18">
        <f>IF($A260&gt;'1-Input'!$B$26,0,(MAX(0,B231-IF($A260&gt;='1-Input'!$C$12,'1-Input'!$B$12,0))-MIN(MAX(F259,0),MAX(0,B231-IF($A260&gt;='1-Input'!$C$12,'1-Input'!$B$12,0))))*(1/(1-'P-Parametri'!$B$6*B260))+MIN(MAX(0,G259-(MAX(0,B231-IF($A260&gt;='1-Input'!$C$12,'1-Input'!$B$12,0))-MIN(MAX(F259,0),MAX(0,B231-IF($A260&gt;='1-Input'!$C$12,'1-Input'!$B$12,0))))*(1/(1-'P-Parametri'!$B$6*B260))),MAX(0,3*MAX(0,B231-IF($A260&gt;='1-Input'!$C$12,'1-Input'!$B$12,0))-(F259-MIN(MAX(F259,0),MAX(0,B231-IF($A260&gt;='1-Input'!$C$12,'1-Input'!$B$12,0)))))*(1/(1-'P-Parametri'!$B$6*B260))))</f>
        <v>0</v>
      </c>
      <c r="D260" s="18">
        <f>IF($A260&gt;'1-Input'!$B$26,F259,(F259-MAX(0,B231-IF($A260&gt;='1-Input'!$C$12,'1-Input'!$B$12,0))+C260*(1-'P-Parametri'!$B$6*B260))*(1+'1-Input'!$B$27))</f>
        <v>21376.465602118911</v>
      </c>
      <c r="E260" s="18">
        <f>IF($A260&gt;'1-Input'!$B$26,G259,(G259-C260)*(1+'5-Roberta'!$C$4))</f>
        <v>155487.45147816624</v>
      </c>
      <c r="F260" s="18">
        <f>IF($A260&gt;'1-Input'!$B$26,D260,D260-'P-Parametri'!$B$8*(E260+D260)+MIN(MAX(E260,0),'P-Parametri'!$B$8*(E260+D260)))</f>
        <v>21376.465602118911</v>
      </c>
      <c r="G260" s="18">
        <f>IF($A260&gt;'1-Input'!$B$26,E260,E260-MIN(MAX(E260,0),'P-Parametri'!$B$8*(E260+D260)))</f>
        <v>155133.72364400569</v>
      </c>
      <c r="H260" s="18">
        <f>IF($A260&gt;'1-Input'!$B$26,H259,H259-C260*(1-B260))</f>
        <v>58410.796477534954</v>
      </c>
      <c r="I260" s="11">
        <f>IF($A260&gt;'1-Input'!$B$26,0,IF(N259&lt;=0,0,MAX(0,(N259-O259)/N259)))</f>
        <v>0</v>
      </c>
      <c r="J260" s="18">
        <f>IF($A260&gt;'1-Input'!$B$26,0,(MAX(0,I231-IF($A260&gt;='1-Input'!$C$12,'1-Input'!$B$12,0))-MIN(MAX(M259,0),MAX(0,I231-IF($A260&gt;='1-Input'!$C$12,'1-Input'!$B$12,0))))*(1/(1-'P-Parametri'!$B$6*I260))+MIN(MAX(0,N259-(MAX(0,I231-IF($A260&gt;='1-Input'!$C$12,'1-Input'!$B$12,0))-MIN(MAX(M259,0),MAX(0,I231-IF($A260&gt;='1-Input'!$C$12,'1-Input'!$B$12,0))))*(1/(1-'P-Parametri'!$B$6*I260))),MAX(0,3*MAX(0,I231-IF($A260&gt;='1-Input'!$C$12,'1-Input'!$B$12,0))-(M259-MIN(MAX(M259,0),MAX(0,I231-IF($A260&gt;='1-Input'!$C$12,'1-Input'!$B$12,0)))))*(1/(1-'P-Parametri'!$B$6*I260))))</f>
        <v>10846.756992928691</v>
      </c>
      <c r="K260" s="18">
        <f>IF($A260&gt;'1-Input'!$B$26,M259,(M259-MAX(0,I231-IF($A260&gt;='1-Input'!$C$12,'1-Input'!$B$12,0))+J260*(1-'P-Parametri'!$B$6*I260))*(1+'1-Input'!$B$27))</f>
        <v>0</v>
      </c>
      <c r="L260" s="18">
        <f>IF($A260&gt;'1-Input'!$B$26,N259,(N259-J260)*(1+'5-Roberta'!$C$4))</f>
        <v>-53742.790468657731</v>
      </c>
      <c r="M260" s="18">
        <f>IF($A260&gt;'1-Input'!$B$26,K260,K260-'P-Parametri'!$B$8*(L260+K260)+MIN(MAX(L260,0),'P-Parametri'!$B$8*(L260+K260)))</f>
        <v>0</v>
      </c>
      <c r="N260" s="18">
        <f>IF($A260&gt;'1-Input'!$B$26,L260,L260-MIN(MAX(L260,0),'P-Parametri'!$B$8*(L260+K260)))</f>
        <v>-53635.304887720413</v>
      </c>
      <c r="O260" s="18">
        <f>IF($A260&gt;'1-Input'!$B$26,O259,O259-J260*(1-I260))</f>
        <v>-49600.896934279641</v>
      </c>
      <c r="P260" s="11">
        <f>IF($A260&gt;'1-Input'!$B$26,0,IF(U259&lt;=0,0,MAX(0,(U259-V259)/U259)))</f>
        <v>0.61145354589077583</v>
      </c>
      <c r="Q260" s="18">
        <f>IF($A260&gt;'1-Input'!$B$26,0,(MAX(0,P231-IF($A260&gt;='1-Input'!$C$12,'1-Input'!$B$12,0))-MIN(MAX(T259,0),MAX(0,P231-IF($A260&gt;='1-Input'!$C$12,'1-Input'!$B$12,0))))*(1/(1-'P-Parametri'!$B$6*P260))+MIN(MAX(0,U259-(MAX(0,P231-IF($A260&gt;='1-Input'!$C$12,'1-Input'!$B$12,0))-MIN(MAX(T259,0),MAX(0,P231-IF($A260&gt;='1-Input'!$C$12,'1-Input'!$B$12,0))))*(1/(1-'P-Parametri'!$B$6*P260))),MAX(0,3*MAX(0,P231-IF($A260&gt;='1-Input'!$C$12,'1-Input'!$B$12,0))-(T259-MIN(MAX(T259,0),MAX(0,P231-IF($A260&gt;='1-Input'!$C$12,'1-Input'!$B$12,0)))))*(1/(1-'P-Parametri'!$B$6*P260))))</f>
        <v>2380.5487951687678</v>
      </c>
      <c r="R260" s="18">
        <f>IF($A260&gt;'1-Input'!$B$26,T259,(T259-MAX(0,P231-IF($A260&gt;='1-Input'!$C$12,'1-Input'!$B$12,0))+Q260*(1-'P-Parametri'!$B$6*P260))*(1+'1-Input'!$B$27))</f>
        <v>20679.373847091269</v>
      </c>
      <c r="S260" s="18">
        <f>IF($A260&gt;'1-Input'!$B$26,U259,(U259-Q260)*(1+'5-Roberta'!$C$4))</f>
        <v>91294.653852792777</v>
      </c>
      <c r="T260" s="18">
        <f>IF($A260&gt;'1-Input'!$B$26,R260,R260-'P-Parametri'!$B$8*(S260+R260)+MIN(MAX(S260,0),'P-Parametri'!$B$8*(S260+R260)))</f>
        <v>20679.373847091269</v>
      </c>
      <c r="U260" s="18">
        <f>IF($A260&gt;'1-Input'!$B$26,S260,S260-MIN(MAX(S260,0),'P-Parametri'!$B$8*(S260+R260)))</f>
        <v>91070.705797393006</v>
      </c>
      <c r="V260" s="18">
        <f>IF($A260&gt;'1-Input'!$B$26,V259,V259-Q260*(1-P260))</f>
        <v>34439.042751098692</v>
      </c>
      <c r="W260" s="11">
        <f>IF($A260&gt;'1-Input'!$B$26,0,IF(AB259&lt;=0,0,MAX(0,(AB259-AC259)/AB259)))</f>
        <v>0.61181648001287803</v>
      </c>
      <c r="X260" s="18">
        <f>IF($A260&gt;'1-Input'!$B$26,0,(MAX(0,W231-IF($A260&gt;='1-Input'!$C$12,'1-Input'!$B$12,0))-MIN(MAX(AA259,0),MAX(0,W231-IF($A260&gt;='1-Input'!$C$12,'1-Input'!$B$12,0))))*(1/(1-'P-Parametri'!$B$6*W260))+MIN(MAX(0,AB259-(MAX(0,W231-IF($A260&gt;='1-Input'!$C$12,'1-Input'!$B$12,0))-MIN(MAX(AA259,0),MAX(0,W231-IF($A260&gt;='1-Input'!$C$12,'1-Input'!$B$12,0))))*(1/(1-'P-Parametri'!$B$6*W260))),MAX(0,3*MAX(0,W231-IF($A260&gt;='1-Input'!$C$12,'1-Input'!$B$12,0))-(AA259-MIN(MAX(AA259,0),MAX(0,W231-IF($A260&gt;='1-Input'!$C$12,'1-Input'!$B$12,0)))))*(1/(1-'P-Parametri'!$B$6*W260))))</f>
        <v>1043.3195196092429</v>
      </c>
      <c r="Y260" s="18">
        <f>IF($A260&gt;'1-Input'!$B$26,AA259,(AA259-MAX(0,W231-IF($A260&gt;='1-Input'!$C$12,'1-Input'!$B$12,0))+X260*(1-'P-Parametri'!$B$6*W260))*(1+'1-Input'!$B$27))</f>
        <v>20009.338153678473</v>
      </c>
      <c r="Z260" s="18">
        <f>IF($A260&gt;'1-Input'!$B$26,AB259,(AB259-X260)*(1+'5-Roberta'!$C$4))</f>
        <v>103006.1565113674</v>
      </c>
      <c r="AA260" s="18">
        <f>IF($A260&gt;'1-Input'!$B$26,Y260,Y260-'P-Parametri'!$B$8*(Z260+Y260)+MIN(MAX(Z260,0),'P-Parametri'!$B$8*(Z260+Y260)))</f>
        <v>20009.338153678473</v>
      </c>
      <c r="AB260" s="18">
        <f>IF($A260&gt;'1-Input'!$B$26,Z260,Z260-MIN(MAX(Z260,0),'P-Parametri'!$B$8*(Z260+Y260)))</f>
        <v>102760.12552203731</v>
      </c>
      <c r="AC260" s="18">
        <f>IF($A260&gt;'1-Input'!$B$26,AC259,AC259-X260*(1-W260))</f>
        <v>38820.672247501949</v>
      </c>
      <c r="AD260" s="11">
        <f>IF($A260&gt;'1-Input'!$B$26,0,IF(AI259&lt;=0,0,MAX(0,(AI259-AJ259)/AI259)))</f>
        <v>0.61182322154421753</v>
      </c>
      <c r="AE260" s="18">
        <f>IF($A260&gt;'1-Input'!$B$26,0,(MAX(0,AD231-IF($A260&gt;='1-Input'!$C$12,'1-Input'!$B$12,0))-MIN(MAX(AH259,0),MAX(0,AD231-IF($A260&gt;='1-Input'!$C$12,'1-Input'!$B$12,0))))*(1/(1-'P-Parametri'!$B$6*AD260))+MIN(MAX(0,AI259-(MAX(0,AD231-IF($A260&gt;='1-Input'!$C$12,'1-Input'!$B$12,0))-MIN(MAX(AH259,0),MAX(0,AD231-IF($A260&gt;='1-Input'!$C$12,'1-Input'!$B$12,0))))*(1/(1-'P-Parametri'!$B$6*AD260))),MAX(0,3*MAX(0,AD231-IF($A260&gt;='1-Input'!$C$12,'1-Input'!$B$12,0))-(AH259-MIN(MAX(AH259,0),MAX(0,AD231-IF($A260&gt;='1-Input'!$C$12,'1-Input'!$B$12,0)))))*(1/(1-'P-Parametri'!$B$6*AD260))))</f>
        <v>1016.4777965232822</v>
      </c>
      <c r="AF260" s="18">
        <f>IF($A260&gt;'1-Input'!$B$26,AH259,(AH259-MAX(0,AD231-IF($A260&gt;='1-Input'!$C$12,'1-Input'!$B$12,0))+AE260*(1-'P-Parametri'!$B$6*AD260))*(1+'1-Input'!$B$27))</f>
        <v>19995.890392547142</v>
      </c>
      <c r="AG260" s="18">
        <f>IF($A260&gt;'1-Input'!$B$26,AI259,(AI259-AE260)*(1+'5-Roberta'!$C$4))</f>
        <v>103241.2199235822</v>
      </c>
      <c r="AH260" s="18">
        <f>IF($A260&gt;'1-Input'!$B$26,AF260,AF260-'P-Parametri'!$B$8*(AG260+AF260)+MIN(MAX(AG260,0),'P-Parametri'!$B$8*(AG260+AF260)))</f>
        <v>19995.890392547142</v>
      </c>
      <c r="AI260" s="18">
        <f>IF($A260&gt;'1-Input'!$B$26,AG260,AG260-MIN(MAX(AG260,0),'P-Parametri'!$B$8*(AG260+AF260)))</f>
        <v>102994.74570294995</v>
      </c>
      <c r="AJ260" s="18">
        <f>IF($A260&gt;'1-Input'!$B$26,AJ259,AJ259-AE260*(1-AD260))</f>
        <v>38908.586557069015</v>
      </c>
      <c r="AK260" s="11">
        <f>IF($A260&gt;'1-Input'!$B$26,0,IF(AP259&lt;=0,0,MAX(0,(AP259-AQ259)/AP259)))</f>
        <v>0.6118229441152091</v>
      </c>
      <c r="AL260" s="18">
        <f>IF($A260&gt;'1-Input'!$B$26,0,(MAX(0,AK231-IF($A260&gt;='1-Input'!$C$12,'1-Input'!$B$12,0))-MIN(MAX(AO259,0),MAX(0,AK231-IF($A260&gt;='1-Input'!$C$12,'1-Input'!$B$12,0))))*(1/(1-'P-Parametri'!$B$6*AK260))+MIN(MAX(0,AP259-(MAX(0,AK231-IF($A260&gt;='1-Input'!$C$12,'1-Input'!$B$12,0))-MIN(MAX(AO259,0),MAX(0,AK231-IF($A260&gt;='1-Input'!$C$12,'1-Input'!$B$12,0))))*(1/(1-'P-Parametri'!$B$6*AK260))),MAX(0,3*MAX(0,AK231-IF($A260&gt;='1-Input'!$C$12,'1-Input'!$B$12,0))-(AO259-MIN(MAX(AO259,0),MAX(0,AK231-IF($A260&gt;='1-Input'!$C$12,'1-Input'!$B$12,0)))))*(1/(1-'P-Parametri'!$B$6*AK260))))</f>
        <v>1017.5839260548343</v>
      </c>
      <c r="AM260" s="18">
        <f>IF($A260&gt;'1-Input'!$B$26,AO259,(AO259-MAX(0,AK231-IF($A260&gt;='1-Input'!$C$12,'1-Input'!$B$12,0))+AL260*(1-'P-Parametri'!$B$6*AK260))*(1+'1-Input'!$B$27))</f>
        <v>19996.444564658952</v>
      </c>
      <c r="AN260" s="18">
        <f>IF($A260&gt;'1-Input'!$B$26,AP259,(AP259-AL260)*(1+'5-Roberta'!$C$4))</f>
        <v>103231.53312915871</v>
      </c>
      <c r="AO260" s="18">
        <f>IF($A260&gt;'1-Input'!$B$26,AM260,AM260-'P-Parametri'!$B$8*(AN260+AM260)+MIN(MAX(AN260,0),'P-Parametri'!$B$8*(AN260+AM260)))</f>
        <v>19996.444564658952</v>
      </c>
      <c r="AP260" s="18">
        <f>IF($A260&gt;'1-Input'!$B$26,AN260,AN260-MIN(MAX(AN260,0),'P-Parametri'!$B$8*(AN260+AM260)))</f>
        <v>102985.07717377107</v>
      </c>
      <c r="AQ260" s="18">
        <f>IF($A260&gt;'1-Input'!$B$26,AQ259,AQ259-AL260*(1-AK260))</f>
        <v>38904.963693737947</v>
      </c>
    </row>
    <row r="261" spans="1:43">
      <c r="A261" s="10">
        <f>28</f>
        <v>28</v>
      </c>
      <c r="B261" s="11">
        <f>IF($A261&gt;'1-Input'!$B$26,0,IF(G260&lt;=0,0,MAX(0,(G260-H260)/G260)))</f>
        <v>0.62348098720576328</v>
      </c>
      <c r="C261" s="18">
        <f>IF($A261&gt;'1-Input'!$B$26,0,(MAX(0,B231-IF($A261&gt;='1-Input'!$C$12,'1-Input'!$B$12,0))-MIN(MAX(F260,0),MAX(0,B231-IF($A261&gt;='1-Input'!$C$12,'1-Input'!$B$12,0))))*(1/(1-'P-Parametri'!$B$6*B261))+MIN(MAX(0,G260-(MAX(0,B231-IF($A261&gt;='1-Input'!$C$12,'1-Input'!$B$12,0))-MIN(MAX(F260,0),MAX(0,B231-IF($A261&gt;='1-Input'!$C$12,'1-Input'!$B$12,0))))*(1/(1-'P-Parametri'!$B$6*B261))),MAX(0,3*MAX(0,B231-IF($A261&gt;='1-Input'!$C$12,'1-Input'!$B$12,0))-(F260-MIN(MAX(F260,0),MAX(0,B231-IF($A261&gt;='1-Input'!$C$12,'1-Input'!$B$12,0)))))*(1/(1-'P-Parametri'!$B$6*B261))))</f>
        <v>1121.5674039676185</v>
      </c>
      <c r="D261" s="18">
        <f>IF($A261&gt;'1-Input'!$B$26,F260,(F260-MAX(0,B231-IF($A261&gt;='1-Input'!$C$12,'1-Input'!$B$12,0))+C261*(1-'P-Parametri'!$B$6*B261))*(1+'1-Input'!$B$27))</f>
        <v>16676.912146479448</v>
      </c>
      <c r="E261" s="18">
        <f>IF($A261&gt;'1-Input'!$B$26,G260,(G260-C261)*(1+'5-Roberta'!$C$4))</f>
        <v>158632.52092723924</v>
      </c>
      <c r="F261" s="18">
        <f>IF($A261&gt;'1-Input'!$B$26,D261,D261-'P-Parametri'!$B$8*(E261+D261)+MIN(MAX(E261,0),'P-Parametri'!$B$8*(E261+D261)))</f>
        <v>16676.912146479448</v>
      </c>
      <c r="G261" s="18">
        <f>IF($A261&gt;'1-Input'!$B$26,E261,E261-MIN(MAX(E261,0),'P-Parametri'!$B$8*(E261+D261)))</f>
        <v>158281.90206109179</v>
      </c>
      <c r="H261" s="18">
        <f>IF($A261&gt;'1-Input'!$B$26,H260,H260-C261*(1-B261))</f>
        <v>57988.505025810868</v>
      </c>
      <c r="I261" s="11">
        <f>IF($A261&gt;'1-Input'!$B$26,0,IF(N260&lt;=0,0,MAX(0,(N260-O260)/N260)))</f>
        <v>0</v>
      </c>
      <c r="J261" s="18">
        <f>IF($A261&gt;'1-Input'!$B$26,0,(MAX(0,I231-IF($A261&gt;='1-Input'!$C$12,'1-Input'!$B$12,0))-MIN(MAX(M260,0),MAX(0,I231-IF($A261&gt;='1-Input'!$C$12,'1-Input'!$B$12,0))))*(1/(1-'P-Parametri'!$B$6*I261))+MIN(MAX(0,N260-(MAX(0,I231-IF($A261&gt;='1-Input'!$C$12,'1-Input'!$B$12,0))-MIN(MAX(M260,0),MAX(0,I231-IF($A261&gt;='1-Input'!$C$12,'1-Input'!$B$12,0))))*(1/(1-'P-Parametri'!$B$6*I261))),MAX(0,3*MAX(0,I231-IF($A261&gt;='1-Input'!$C$12,'1-Input'!$B$12,0))-(M260-MIN(MAX(M260,0),MAX(0,I231-IF($A261&gt;='1-Input'!$C$12,'1-Input'!$B$12,0)))))*(1/(1-'P-Parametri'!$B$6*I261))))</f>
        <v>10846.756992928691</v>
      </c>
      <c r="K261" s="18">
        <f>IF($A261&gt;'1-Input'!$B$26,M260,(M260-MAX(0,I231-IF($A261&gt;='1-Input'!$C$12,'1-Input'!$B$12,0))+J261*(1-'P-Parametri'!$B$6*I261))*(1+'1-Input'!$B$27))</f>
        <v>0</v>
      </c>
      <c r="L261" s="18">
        <f>IF($A261&gt;'1-Input'!$B$26,N260,(N260-J261)*(1+'5-Roberta'!$C$4))</f>
        <v>-66416.523737068579</v>
      </c>
      <c r="M261" s="18">
        <f>IF($A261&gt;'1-Input'!$B$26,K261,K261-'P-Parametri'!$B$8*(L261+K261)+MIN(MAX(L261,0),'P-Parametri'!$B$8*(L261+K261)))</f>
        <v>0</v>
      </c>
      <c r="N261" s="18">
        <f>IF($A261&gt;'1-Input'!$B$26,L261,L261-MIN(MAX(L261,0),'P-Parametri'!$B$8*(L261+K261)))</f>
        <v>-66283.690689594441</v>
      </c>
      <c r="O261" s="18">
        <f>IF($A261&gt;'1-Input'!$B$26,O260,O260-J261*(1-I261))</f>
        <v>-60447.653927208332</v>
      </c>
      <c r="P261" s="11">
        <f>IF($A261&gt;'1-Input'!$B$26,0,IF(U260&lt;=0,0,MAX(0,(U260-V260)/U260)))</f>
        <v>0.62184280390100433</v>
      </c>
      <c r="Q261" s="18">
        <f>IF($A261&gt;'1-Input'!$B$26,0,(MAX(0,P231-IF($A261&gt;='1-Input'!$C$12,'1-Input'!$B$12,0))-MIN(MAX(T260,0),MAX(0,P231-IF($A261&gt;='1-Input'!$C$12,'1-Input'!$B$12,0))))*(1/(1-'P-Parametri'!$B$6*P261))+MIN(MAX(0,U260-(MAX(0,P231-IF($A261&gt;='1-Input'!$C$12,'1-Input'!$B$12,0))-MIN(MAX(T260,0),MAX(0,P231-IF($A261&gt;='1-Input'!$C$12,'1-Input'!$B$12,0))))*(1/(1-'P-Parametri'!$B$6*P261))),MAX(0,3*MAX(0,P231-IF($A261&gt;='1-Input'!$C$12,'1-Input'!$B$12,0))-(T260-MIN(MAX(T260,0),MAX(0,P231-IF($A261&gt;='1-Input'!$C$12,'1-Input'!$B$12,0)))))*(1/(1-'P-Parametri'!$B$6*P261))))</f>
        <v>8341.3696149436655</v>
      </c>
      <c r="R261" s="18">
        <f>IF($A261&gt;'1-Input'!$B$26,T260,(T260-MAX(0,P231-IF($A261&gt;='1-Input'!$C$12,'1-Input'!$B$12,0))+Q261*(1-'P-Parametri'!$B$6*P261))*(1+'1-Input'!$B$27))</f>
        <v>20679.373847091269</v>
      </c>
      <c r="S261" s="18">
        <f>IF($A261&gt;'1-Input'!$B$26,U260,(U260-Q261)*(1+'5-Roberta'!$C$4))</f>
        <v>85211.21626792282</v>
      </c>
      <c r="T261" s="18">
        <f>IF($A261&gt;'1-Input'!$B$26,R261,R261-'P-Parametri'!$B$8*(S261+R261)+MIN(MAX(S261,0),'P-Parametri'!$B$8*(S261+R261)))</f>
        <v>20679.373847091269</v>
      </c>
      <c r="U261" s="18">
        <f>IF($A261&gt;'1-Input'!$B$26,S261,S261-MIN(MAX(S261,0),'P-Parametri'!$B$8*(S261+R261)))</f>
        <v>84999.435087692793</v>
      </c>
      <c r="V261" s="18">
        <f>IF($A261&gt;'1-Input'!$B$26,V260,V260-Q261*(1-P261))</f>
        <v>31284.693805886236</v>
      </c>
      <c r="W261" s="11">
        <f>IF($A261&gt;'1-Input'!$B$26,0,IF(AB260&lt;=0,0,MAX(0,(AB260-AC260)/AB260)))</f>
        <v>0.62222046683685006</v>
      </c>
      <c r="X261" s="18">
        <f>IF($A261&gt;'1-Input'!$B$26,0,(MAX(0,W231-IF($A261&gt;='1-Input'!$C$12,'1-Input'!$B$12,0))-MIN(MAX(AA260,0),MAX(0,W231-IF($A261&gt;='1-Input'!$C$12,'1-Input'!$B$12,0))))*(1/(1-'P-Parametri'!$B$6*W261))+MIN(MAX(0,AB260-(MAX(0,W231-IF($A261&gt;='1-Input'!$C$12,'1-Input'!$B$12,0))-MIN(MAX(AA260,0),MAX(0,W231-IF($A261&gt;='1-Input'!$C$12,'1-Input'!$B$12,0))))*(1/(1-'P-Parametri'!$B$6*W261))),MAX(0,3*MAX(0,W231-IF($A261&gt;='1-Input'!$C$12,'1-Input'!$B$12,0))-(AA260-MIN(MAX(AA260,0),MAX(0,W231-IF($A261&gt;='1-Input'!$C$12,'1-Input'!$B$12,0)))))*(1/(1-'P-Parametri'!$B$6*W261))))</f>
        <v>8072.0450434704353</v>
      </c>
      <c r="Y261" s="18">
        <f>IF($A261&gt;'1-Input'!$B$26,AA260,(AA260-MAX(0,W231-IF($A261&gt;='1-Input'!$C$12,'1-Input'!$B$12,0))+X261*(1-'P-Parametri'!$B$6*W261))*(1+'1-Input'!$B$27))</f>
        <v>20009.338153678473</v>
      </c>
      <c r="Z261" s="18">
        <f>IF($A261&gt;'1-Input'!$B$26,AB260,(AB260-X261)*(1+'5-Roberta'!$C$4))</f>
        <v>97528.722892923877</v>
      </c>
      <c r="AA261" s="18">
        <f>IF($A261&gt;'1-Input'!$B$26,Y261,Y261-'P-Parametri'!$B$8*(Z261+Y261)+MIN(MAX(Z261,0),'P-Parametri'!$B$8*(Z261+Y261)))</f>
        <v>20009.338153678473</v>
      </c>
      <c r="AB261" s="18">
        <f>IF($A261&gt;'1-Input'!$B$26,Z261,Z261-MIN(MAX(Z261,0),'P-Parametri'!$B$8*(Z261+Y261)))</f>
        <v>97293.646770830674</v>
      </c>
      <c r="AC261" s="18">
        <f>IF($A261&gt;'1-Input'!$B$26,AC260,AC260-X261*(1-W261))</f>
        <v>35771.218839307767</v>
      </c>
      <c r="AD261" s="11">
        <f>IF($A261&gt;'1-Input'!$B$26,0,IF(AI260&lt;=0,0,MAX(0,(AI260-AJ260)/AI260)))</f>
        <v>0.62222746129898343</v>
      </c>
      <c r="AE261" s="18">
        <f>IF($A261&gt;'1-Input'!$B$26,0,(MAX(0,AD231-IF($A261&gt;='1-Input'!$C$12,'1-Input'!$B$12,0))-MIN(MAX(AH260,0),MAX(0,AD231-IF($A261&gt;='1-Input'!$C$12,'1-Input'!$B$12,0))))*(1/(1-'P-Parametri'!$B$6*AD261))+MIN(MAX(0,AI260-(MAX(0,AD231-IF($A261&gt;='1-Input'!$C$12,'1-Input'!$B$12,0))-MIN(MAX(AH260,0),MAX(0,AD231-IF($A261&gt;='1-Input'!$C$12,'1-Input'!$B$12,0))))*(1/(1-'P-Parametri'!$B$6*AD261))),MAX(0,3*MAX(0,AD231-IF($A261&gt;='1-Input'!$C$12,'1-Input'!$B$12,0))-(AH260-MIN(MAX(AH260,0),MAX(0,AD231-IF($A261&gt;='1-Input'!$C$12,'1-Input'!$B$12,0)))))*(1/(1-'P-Parametri'!$B$6*AD261))))</f>
        <v>8066.6375306888021</v>
      </c>
      <c r="AF261" s="18">
        <f>IF($A261&gt;'1-Input'!$B$26,AH260,(AH260-MAX(0,AD231-IF($A261&gt;='1-Input'!$C$12,'1-Input'!$B$12,0))+AE261*(1-'P-Parametri'!$B$6*AD261))*(1+'1-Input'!$B$27))</f>
        <v>19995.890392547142</v>
      </c>
      <c r="AG261" s="18">
        <f>IF($A261&gt;'1-Input'!$B$26,AI260,(AI260-AE261)*(1+'5-Roberta'!$C$4))</f>
        <v>97775.95141742898</v>
      </c>
      <c r="AH261" s="18">
        <f>IF($A261&gt;'1-Input'!$B$26,AF261,AF261-'P-Parametri'!$B$8*(AG261+AF261)+MIN(MAX(AG261,0),'P-Parametri'!$B$8*(AG261+AF261)))</f>
        <v>19995.890392547142</v>
      </c>
      <c r="AI261" s="18">
        <f>IF($A261&gt;'1-Input'!$B$26,AG261,AG261-MIN(MAX(AG261,0),'P-Parametri'!$B$8*(AG261+AF261)))</f>
        <v>97540.407733809028</v>
      </c>
      <c r="AJ261" s="18">
        <f>IF($A261&gt;'1-Input'!$B$26,AJ260,AJ260-AE261*(1-AD261))</f>
        <v>35861.232418319807</v>
      </c>
      <c r="AK261" s="11">
        <f>IF($A261&gt;'1-Input'!$B$26,0,IF(AP260&lt;=0,0,MAX(0,(AP260-AQ260)/AP260)))</f>
        <v>0.62222717347590117</v>
      </c>
      <c r="AL261" s="18">
        <f>IF($A261&gt;'1-Input'!$B$26,0,(MAX(0,AK231-IF($A261&gt;='1-Input'!$C$12,'1-Input'!$B$12,0))-MIN(MAX(AO260,0),MAX(0,AK231-IF($A261&gt;='1-Input'!$C$12,'1-Input'!$B$12,0))))*(1/(1-'P-Parametri'!$B$6*AK261))+MIN(MAX(0,AP260-(MAX(0,AK231-IF($A261&gt;='1-Input'!$C$12,'1-Input'!$B$12,0))-MIN(MAX(AO260,0),MAX(0,AK231-IF($A261&gt;='1-Input'!$C$12,'1-Input'!$B$12,0))))*(1/(1-'P-Parametri'!$B$6*AK261))),MAX(0,3*MAX(0,AK231-IF($A261&gt;='1-Input'!$C$12,'1-Input'!$B$12,0))-(AO260-MIN(MAX(AO260,0),MAX(0,AK231-IF($A261&gt;='1-Input'!$C$12,'1-Input'!$B$12,0)))))*(1/(1-'P-Parametri'!$B$6*AK261))))</f>
        <v>8066.8603717174119</v>
      </c>
      <c r="AM261" s="18">
        <f>IF($A261&gt;'1-Input'!$B$26,AO260,(AO260-MAX(0,AK231-IF($A261&gt;='1-Input'!$C$12,'1-Input'!$B$12,0))+AL261*(1-'P-Parametri'!$B$6*AK261))*(1+'1-Input'!$B$27))</f>
        <v>19996.444564658952</v>
      </c>
      <c r="AN261" s="18">
        <f>IF($A261&gt;'1-Input'!$B$26,AP260,(AP260-AL261)*(1+'5-Roberta'!$C$4))</f>
        <v>97765.763306115274</v>
      </c>
      <c r="AO261" s="18">
        <f>IF($A261&gt;'1-Input'!$B$26,AM261,AM261-'P-Parametri'!$B$8*(AN261+AM261)+MIN(MAX(AN261,0),'P-Parametri'!$B$8*(AN261+AM261)))</f>
        <v>19996.444564658952</v>
      </c>
      <c r="AP261" s="18">
        <f>IF($A261&gt;'1-Input'!$B$26,AN261,AN261-MIN(MAX(AN261,0),'P-Parametri'!$B$8*(AN261+AM261)))</f>
        <v>97530.23889037373</v>
      </c>
      <c r="AQ261" s="18">
        <f>IF($A261&gt;'1-Input'!$B$26,AQ260,AQ260-AL261*(1-AK261))</f>
        <v>35857.523049939016</v>
      </c>
    </row>
    <row r="262" spans="1:43">
      <c r="A262" s="10">
        <f>29</f>
        <v>29</v>
      </c>
      <c r="B262" s="11">
        <f>IF($A262&gt;'1-Input'!$B$26,0,IF(G261&lt;=0,0,MAX(0,(G261-H261)/G261)))</f>
        <v>0.63363780526576474</v>
      </c>
      <c r="C262" s="18">
        <f>IF($A262&gt;'1-Input'!$B$26,0,(MAX(0,B231-IF($A262&gt;='1-Input'!$C$12,'1-Input'!$B$12,0))-MIN(MAX(F261,0),MAX(0,B231-IF($A262&gt;='1-Input'!$C$12,'1-Input'!$B$12,0))))*(1/(1-'P-Parametri'!$B$6*B262))+MIN(MAX(0,G261-(MAX(0,B231-IF($A262&gt;='1-Input'!$C$12,'1-Input'!$B$12,0))-MIN(MAX(F261,0),MAX(0,B231-IF($A262&gt;='1-Input'!$C$12,'1-Input'!$B$12,0))))*(1/(1-'P-Parametri'!$B$6*B262))),MAX(0,3*MAX(0,B231-IF($A262&gt;='1-Input'!$C$12,'1-Input'!$B$12,0))-(F261-MIN(MAX(F261,0),MAX(0,B231-IF($A262&gt;='1-Input'!$C$12,'1-Input'!$B$12,0)))))*(1/(1-'P-Parametri'!$B$6*B262))))</f>
        <v>6751.6084448451957</v>
      </c>
      <c r="D262" s="18">
        <f>IF($A262&gt;'1-Input'!$B$26,F261,(F261-MAX(0,B231-IF($A262&gt;='1-Input'!$C$12,'1-Input'!$B$12,0))+C262*(1-'P-Parametri'!$B$6*B262))*(1+'1-Input'!$B$27))</f>
        <v>16676.912146479448</v>
      </c>
      <c r="E262" s="18">
        <f>IF($A262&gt;'1-Input'!$B$26,G261,(G261-C262)*(1+'5-Roberta'!$C$4))</f>
        <v>156076.20242473402</v>
      </c>
      <c r="F262" s="18">
        <f>IF($A262&gt;'1-Input'!$B$26,D262,D262-'P-Parametri'!$B$8*(E262+D262)+MIN(MAX(E262,0),'P-Parametri'!$B$8*(E262+D262)))</f>
        <v>16676.912146479448</v>
      </c>
      <c r="G262" s="18">
        <f>IF($A262&gt;'1-Input'!$B$26,E262,E262-MIN(MAX(E262,0),'P-Parametri'!$B$8*(E262+D262)))</f>
        <v>155730.69619559159</v>
      </c>
      <c r="H262" s="18">
        <f>IF($A262&gt;'1-Input'!$B$26,H261,H261-C262*(1-B262))</f>
        <v>55514.970937971186</v>
      </c>
      <c r="I262" s="11">
        <f>IF($A262&gt;'1-Input'!$B$26,0,IF(N261&lt;=0,0,MAX(0,(N261-O261)/N261)))</f>
        <v>0</v>
      </c>
      <c r="J262" s="18">
        <f>IF($A262&gt;'1-Input'!$B$26,0,(MAX(0,I231-IF($A262&gt;='1-Input'!$C$12,'1-Input'!$B$12,0))-MIN(MAX(M261,0),MAX(0,I231-IF($A262&gt;='1-Input'!$C$12,'1-Input'!$B$12,0))))*(1/(1-'P-Parametri'!$B$6*I262))+MIN(MAX(0,N261-(MAX(0,I231-IF($A262&gt;='1-Input'!$C$12,'1-Input'!$B$12,0))-MIN(MAX(M261,0),MAX(0,I231-IF($A262&gt;='1-Input'!$C$12,'1-Input'!$B$12,0))))*(1/(1-'P-Parametri'!$B$6*I262))),MAX(0,3*MAX(0,I231-IF($A262&gt;='1-Input'!$C$12,'1-Input'!$B$12,0))-(M261-MIN(MAX(M261,0),MAX(0,I231-IF($A262&gt;='1-Input'!$C$12,'1-Input'!$B$12,0)))))*(1/(1-'P-Parametri'!$B$6*I262))))</f>
        <v>10846.756992928691</v>
      </c>
      <c r="K262" s="18">
        <f>IF($A262&gt;'1-Input'!$B$26,M261,(M261-MAX(0,I231-IF($A262&gt;='1-Input'!$C$12,'1-Input'!$B$12,0))+J262*(1-'P-Parametri'!$B$6*I262))*(1+'1-Input'!$B$27))</f>
        <v>0</v>
      </c>
      <c r="L262" s="18">
        <f>IF($A262&gt;'1-Input'!$B$26,N261,(N261-J262)*(1+'5-Roberta'!$C$4))</f>
        <v>-79444.361112998842</v>
      </c>
      <c r="M262" s="18">
        <f>IF($A262&gt;'1-Input'!$B$26,K262,K262-'P-Parametri'!$B$8*(L262+K262)+MIN(MAX(L262,0),'P-Parametri'!$B$8*(L262+K262)))</f>
        <v>0</v>
      </c>
      <c r="N262" s="18">
        <f>IF($A262&gt;'1-Input'!$B$26,L262,L262-MIN(MAX(L262,0),'P-Parametri'!$B$8*(L262+K262)))</f>
        <v>-79285.472390772848</v>
      </c>
      <c r="O262" s="18">
        <f>IF($A262&gt;'1-Input'!$B$26,O261,O261-J262*(1-I262))</f>
        <v>-71294.410920137016</v>
      </c>
      <c r="P262" s="11">
        <f>IF($A262&gt;'1-Input'!$B$26,0,IF(U261&lt;=0,0,MAX(0,(U261-V261)/U261)))</f>
        <v>0.63194233263303179</v>
      </c>
      <c r="Q262" s="18">
        <f>IF($A262&gt;'1-Input'!$B$26,0,(MAX(0,P231-IF($A262&gt;='1-Input'!$C$12,'1-Input'!$B$12,0))-MIN(MAX(T261,0),MAX(0,P231-IF($A262&gt;='1-Input'!$C$12,'1-Input'!$B$12,0))))*(1/(1-'P-Parametri'!$B$6*P262))+MIN(MAX(0,U261-(MAX(0,P231-IF($A262&gt;='1-Input'!$C$12,'1-Input'!$B$12,0))-MIN(MAX(T261,0),MAX(0,P231-IF($A262&gt;='1-Input'!$C$12,'1-Input'!$B$12,0))))*(1/(1-'P-Parametri'!$B$6*P262))),MAX(0,3*MAX(0,P231-IF($A262&gt;='1-Input'!$C$12,'1-Input'!$B$12,0))-(T261-MIN(MAX(T261,0),MAX(0,P231-IF($A262&gt;='1-Input'!$C$12,'1-Input'!$B$12,0)))))*(1/(1-'P-Parametri'!$B$6*P262))))</f>
        <v>8367.579433972749</v>
      </c>
      <c r="R262" s="18">
        <f>IF($A262&gt;'1-Input'!$B$26,T261,(T261-MAX(0,P231-IF($A262&gt;='1-Input'!$C$12,'1-Input'!$B$12,0))+Q262*(1-'P-Parametri'!$B$6*P262))*(1+'1-Input'!$B$27))</f>
        <v>20679.373847091269</v>
      </c>
      <c r="S262" s="18">
        <f>IF($A262&gt;'1-Input'!$B$26,U261,(U261-Q262)*(1+'5-Roberta'!$C$4))</f>
        <v>78930.811323331654</v>
      </c>
      <c r="T262" s="18">
        <f>IF($A262&gt;'1-Input'!$B$26,R262,R262-'P-Parametri'!$B$8*(S262+R262)+MIN(MAX(S262,0),'P-Parametri'!$B$8*(S262+R262)))</f>
        <v>20679.373847091269</v>
      </c>
      <c r="U262" s="18">
        <f>IF($A262&gt;'1-Input'!$B$26,S262,S262-MIN(MAX(S262,0),'P-Parametri'!$B$8*(S262+R262)))</f>
        <v>78731.590952990809</v>
      </c>
      <c r="V262" s="18">
        <f>IF($A262&gt;'1-Input'!$B$26,V261,V261-Q262*(1-P262))</f>
        <v>28204.942037910409</v>
      </c>
      <c r="W262" s="11">
        <f>IF($A262&gt;'1-Input'!$B$26,0,IF(AB261&lt;=0,0,MAX(0,(AB261-AC261)/AB261)))</f>
        <v>0.63233756749230796</v>
      </c>
      <c r="X262" s="18">
        <f>IF($A262&gt;'1-Input'!$B$26,0,(MAX(0,W231-IF($A262&gt;='1-Input'!$C$12,'1-Input'!$B$12,0))-MIN(MAX(AA261,0),MAX(0,W231-IF($A262&gt;='1-Input'!$C$12,'1-Input'!$B$12,0))))*(1/(1-'P-Parametri'!$B$6*W262))+MIN(MAX(0,AB261-(MAX(0,W231-IF($A262&gt;='1-Input'!$C$12,'1-Input'!$B$12,0))-MIN(MAX(AA261,0),MAX(0,W231-IF($A262&gt;='1-Input'!$C$12,'1-Input'!$B$12,0))))*(1/(1-'P-Parametri'!$B$6*W262))),MAX(0,3*MAX(0,W231-IF($A262&gt;='1-Input'!$C$12,'1-Input'!$B$12,0))-(AA261-MIN(MAX(AA261,0),MAX(0,W231-IF($A262&gt;='1-Input'!$C$12,'1-Input'!$B$12,0)))))*(1/(1-'P-Parametri'!$B$6*W262))))</f>
        <v>8097.455858874665</v>
      </c>
      <c r="Y262" s="18">
        <f>IF($A262&gt;'1-Input'!$B$26,AA261,(AA261-MAX(0,W231-IF($A262&gt;='1-Input'!$C$12,'1-Input'!$B$12,0))+X262*(1-'P-Parametri'!$B$6*W262))*(1+'1-Input'!$B$27))</f>
        <v>20009.338153678473</v>
      </c>
      <c r="Z262" s="18">
        <f>IF($A262&gt;'1-Input'!$B$26,AB261,(AB261-X262)*(1+'5-Roberta'!$C$4))</f>
        <v>91872.076639314691</v>
      </c>
      <c r="AA262" s="18">
        <f>IF($A262&gt;'1-Input'!$B$26,Y262,Y262-'P-Parametri'!$B$8*(Z262+Y262)+MIN(MAX(Z262,0),'P-Parametri'!$B$8*(Z262+Y262)))</f>
        <v>20009.338153678473</v>
      </c>
      <c r="AB262" s="18">
        <f>IF($A262&gt;'1-Input'!$B$26,Z262,Z262-MIN(MAX(Z262,0),'P-Parametri'!$B$8*(Z262+Y262)))</f>
        <v>91648.313809728701</v>
      </c>
      <c r="AC262" s="18">
        <f>IF($A262&gt;'1-Input'!$B$26,AC261,AC261-X262*(1-W262))</f>
        <v>32794.088521110243</v>
      </c>
      <c r="AD262" s="11">
        <f>IF($A262&gt;'1-Input'!$B$26,0,IF(AI261&lt;=0,0,MAX(0,(AI261-AJ261)/AI261)))</f>
        <v>0.63234485838744614</v>
      </c>
      <c r="AE262" s="18">
        <f>IF($A262&gt;'1-Input'!$B$26,0,(MAX(0,AD231-IF($A262&gt;='1-Input'!$C$12,'1-Input'!$B$12,0))-MIN(MAX(AH261,0),MAX(0,AD231-IF($A262&gt;='1-Input'!$C$12,'1-Input'!$B$12,0))))*(1/(1-'P-Parametri'!$B$6*AD262))+MIN(MAX(0,AI261-(MAX(0,AD231-IF($A262&gt;='1-Input'!$C$12,'1-Input'!$B$12,0))-MIN(MAX(AH261,0),MAX(0,AD231-IF($A262&gt;='1-Input'!$C$12,'1-Input'!$B$12,0))))*(1/(1-'P-Parametri'!$B$6*AD262))),MAX(0,3*MAX(0,AD231-IF($A262&gt;='1-Input'!$C$12,'1-Input'!$B$12,0))-(AH261-MIN(MAX(AH261,0),MAX(0,AD231-IF($A262&gt;='1-Input'!$C$12,'1-Input'!$B$12,0)))))*(1/(1-'P-Parametri'!$B$6*AD262))))</f>
        <v>8092.0321248844566</v>
      </c>
      <c r="AF262" s="18">
        <f>IF($A262&gt;'1-Input'!$B$26,AH261,(AH261-MAX(0,AD231-IF($A262&gt;='1-Input'!$C$12,'1-Input'!$B$12,0))+AE262*(1-'P-Parametri'!$B$6*AD262))*(1+'1-Input'!$B$27))</f>
        <v>19995.890392547142</v>
      </c>
      <c r="AG262" s="18">
        <f>IF($A262&gt;'1-Input'!$B$26,AI261,(AI261-AE262)*(1+'5-Roberta'!$C$4))</f>
        <v>92131.826877192318</v>
      </c>
      <c r="AH262" s="18">
        <f>IF($A262&gt;'1-Input'!$B$26,AF262,AF262-'P-Parametri'!$B$8*(AG262+AF262)+MIN(MAX(AG262,0),'P-Parametri'!$B$8*(AG262+AF262)))</f>
        <v>19995.890392547142</v>
      </c>
      <c r="AI262" s="18">
        <f>IF($A262&gt;'1-Input'!$B$26,AG262,AG262-MIN(MAX(AG262,0),'P-Parametri'!$B$8*(AG262+AF262)))</f>
        <v>91907.571442652843</v>
      </c>
      <c r="AJ262" s="18">
        <f>IF($A262&gt;'1-Input'!$B$26,AJ261,AJ261-AE262*(1-AD262))</f>
        <v>32886.155201512076</v>
      </c>
      <c r="AK262" s="11">
        <f>IF($A262&gt;'1-Input'!$B$26,0,IF(AP261&lt;=0,0,MAX(0,(AP261-AQ261)/AP261)))</f>
        <v>0.63234455838620762</v>
      </c>
      <c r="AL262" s="18">
        <f>IF($A262&gt;'1-Input'!$B$26,0,(MAX(0,AK231-IF($A262&gt;='1-Input'!$C$12,'1-Input'!$B$12,0))-MIN(MAX(AO261,0),MAX(0,AK231-IF($A262&gt;='1-Input'!$C$12,'1-Input'!$B$12,0))))*(1/(1-'P-Parametri'!$B$6*AK262))+MIN(MAX(0,AP261-(MAX(0,AK231-IF($A262&gt;='1-Input'!$C$12,'1-Input'!$B$12,0))-MIN(MAX(AO261,0),MAX(0,AK231-IF($A262&gt;='1-Input'!$C$12,'1-Input'!$B$12,0))))*(1/(1-'P-Parametri'!$B$6*AK262))),MAX(0,3*MAX(0,AK231-IF($A262&gt;='1-Input'!$C$12,'1-Input'!$B$12,0))-(AO261-MIN(MAX(AO261,0),MAX(0,AK231-IF($A262&gt;='1-Input'!$C$12,'1-Input'!$B$12,0)))))*(1/(1-'P-Parametri'!$B$6*AK262))))</f>
        <v>8092.2556345007406</v>
      </c>
      <c r="AM262" s="18">
        <f>IF($A262&gt;'1-Input'!$B$26,AO261,(AO261-MAX(0,AK231-IF($A262&gt;='1-Input'!$C$12,'1-Input'!$B$12,0))+AL262*(1-'P-Parametri'!$B$6*AK262))*(1+'1-Input'!$B$27))</f>
        <v>19996.444564658952</v>
      </c>
      <c r="AN262" s="18">
        <f>IF($A262&gt;'1-Input'!$B$26,AP261,(AP261-AL262)*(1+'5-Roberta'!$C$4))</f>
        <v>92121.122753549178</v>
      </c>
      <c r="AO262" s="18">
        <f>IF($A262&gt;'1-Input'!$B$26,AM262,AM262-'P-Parametri'!$B$8*(AN262+AM262)+MIN(MAX(AN262,0),'P-Parametri'!$B$8*(AN262+AM262)))</f>
        <v>19996.444564658952</v>
      </c>
      <c r="AP262" s="18">
        <f>IF($A262&gt;'1-Input'!$B$26,AN262,AN262-MIN(MAX(AN262,0),'P-Parametri'!$B$8*(AN262+AM262)))</f>
        <v>91896.887618912762</v>
      </c>
      <c r="AQ262" s="18">
        <f>IF($A262&gt;'1-Input'!$B$26,AQ261,AQ261-AL262*(1-AK262))</f>
        <v>32882.361230984949</v>
      </c>
    </row>
    <row r="263" spans="1:43">
      <c r="A263" s="10">
        <f>30</f>
        <v>30</v>
      </c>
      <c r="B263" s="11">
        <f>IF($A263&gt;'1-Input'!$B$26,0,IF(G262&lt;=0,0,MAX(0,(G262-H262)/G262)))</f>
        <v>0.64351940693666088</v>
      </c>
      <c r="C263" s="18">
        <f>IF($A263&gt;'1-Input'!$B$26,0,(MAX(0,B231-IF($A263&gt;='1-Input'!$C$12,'1-Input'!$B$12,0))-MIN(MAX(F262,0),MAX(0,B231-IF($A263&gt;='1-Input'!$C$12,'1-Input'!$B$12,0))))*(1/(1-'P-Parametri'!$B$6*B263))+MIN(MAX(0,G262-(MAX(0,B231-IF($A263&gt;='1-Input'!$C$12,'1-Input'!$B$12,0))-MIN(MAX(F262,0),MAX(0,B231-IF($A263&gt;='1-Input'!$C$12,'1-Input'!$B$12,0))))*(1/(1-'P-Parametri'!$B$6*B263))),MAX(0,3*MAX(0,B231-IF($A263&gt;='1-Input'!$C$12,'1-Input'!$B$12,0))-(F262-MIN(MAX(F262,0),MAX(0,B231-IF($A263&gt;='1-Input'!$C$12,'1-Input'!$B$12,0)))))*(1/(1-'P-Parametri'!$B$6*B263))))</f>
        <v>6772.4402651968585</v>
      </c>
      <c r="D263" s="18">
        <f>IF($A263&gt;'1-Input'!$B$26,F262,(F262-MAX(0,B231-IF($A263&gt;='1-Input'!$C$12,'1-Input'!$B$12,0))+C263*(1-'P-Parametri'!$B$6*B263))*(1+'1-Input'!$B$27))</f>
        <v>16676.912146479448</v>
      </c>
      <c r="E263" s="18">
        <f>IF($A263&gt;'1-Input'!$B$26,G262,(G262-C263)*(1+'5-Roberta'!$C$4))</f>
        <v>153427.00360830658</v>
      </c>
      <c r="F263" s="18">
        <f>IF($A263&gt;'1-Input'!$B$26,D263,D263-'P-Parametri'!$B$8*(E263+D263)+MIN(MAX(E263,0),'P-Parametri'!$B$8*(E263+D263)))</f>
        <v>16676.912146479448</v>
      </c>
      <c r="G263" s="18">
        <f>IF($A263&gt;'1-Input'!$B$26,E263,E263-MIN(MAX(E263,0),'P-Parametri'!$B$8*(E263+D263)))</f>
        <v>153086.79577679699</v>
      </c>
      <c r="H263" s="18">
        <f>IF($A263&gt;'1-Input'!$B$26,H262,H262-C263*(1-B263))</f>
        <v>53100.727415747773</v>
      </c>
      <c r="I263" s="11">
        <f>IF($A263&gt;'1-Input'!$B$26,0,IF(N262&lt;=0,0,MAX(0,(N262-O262)/N262)))</f>
        <v>0</v>
      </c>
      <c r="J263" s="18">
        <f>IF($A263&gt;'1-Input'!$B$26,0,(MAX(0,I231-IF($A263&gt;='1-Input'!$C$12,'1-Input'!$B$12,0))-MIN(MAX(M262,0),MAX(0,I231-IF($A263&gt;='1-Input'!$C$12,'1-Input'!$B$12,0))))*(1/(1-'P-Parametri'!$B$6*I263))+MIN(MAX(0,N262-(MAX(0,I231-IF($A263&gt;='1-Input'!$C$12,'1-Input'!$B$12,0))-MIN(MAX(M262,0),MAX(0,I231-IF($A263&gt;='1-Input'!$C$12,'1-Input'!$B$12,0))))*(1/(1-'P-Parametri'!$B$6*I263))),MAX(0,3*MAX(0,I231-IF($A263&gt;='1-Input'!$C$12,'1-Input'!$B$12,0))-(M262-MIN(MAX(M262,0),MAX(0,I231-IF($A263&gt;='1-Input'!$C$12,'1-Input'!$B$12,0)))))*(1/(1-'P-Parametri'!$B$6*I263))))</f>
        <v>10846.756992928691</v>
      </c>
      <c r="K263" s="18">
        <f>IF($A263&gt;'1-Input'!$B$26,M262,(M262-MAX(0,I231-IF($A263&gt;='1-Input'!$C$12,'1-Input'!$B$12,0))+J263*(1-'P-Parametri'!$B$6*I263))*(1+'1-Input'!$B$27))</f>
        <v>0</v>
      </c>
      <c r="L263" s="18">
        <f>IF($A263&gt;'1-Input'!$B$26,N262,(N262-J263)*(1+'5-Roberta'!$C$4))</f>
        <v>-92836.196265212595</v>
      </c>
      <c r="M263" s="18">
        <f>IF($A263&gt;'1-Input'!$B$26,K263,K263-'P-Parametri'!$B$8*(L263+K263)+MIN(MAX(L263,0),'P-Parametri'!$B$8*(L263+K263)))</f>
        <v>0</v>
      </c>
      <c r="N263" s="18">
        <f>IF($A263&gt;'1-Input'!$B$26,L263,L263-MIN(MAX(L263,0),'P-Parametri'!$B$8*(L263+K263)))</f>
        <v>-92650.52387268217</v>
      </c>
      <c r="O263" s="18">
        <f>IF($A263&gt;'1-Input'!$B$26,O262,O262-J263*(1-I263))</f>
        <v>-82141.167913065699</v>
      </c>
      <c r="P263" s="11">
        <f>IF($A263&gt;'1-Input'!$B$26,0,IF(U262&lt;=0,0,MAX(0,(U262-V262)/U262)))</f>
        <v>0.64175826124546287</v>
      </c>
      <c r="Q263" s="18">
        <f>IF($A263&gt;'1-Input'!$B$26,0,(MAX(0,P231-IF($A263&gt;='1-Input'!$C$12,'1-Input'!$B$12,0))-MIN(MAX(T262,0),MAX(0,P231-IF($A263&gt;='1-Input'!$C$12,'1-Input'!$B$12,0))))*(1/(1-'P-Parametri'!$B$6*P263))+MIN(MAX(0,U262-(MAX(0,P231-IF($A263&gt;='1-Input'!$C$12,'1-Input'!$B$12,0))-MIN(MAX(T262,0),MAX(0,P231-IF($A263&gt;='1-Input'!$C$12,'1-Input'!$B$12,0))))*(1/(1-'P-Parametri'!$B$6*P263))),MAX(0,3*MAX(0,P231-IF($A263&gt;='1-Input'!$C$12,'1-Input'!$B$12,0))-(T262-MIN(MAX(T262,0),MAX(0,P231-IF($A263&gt;='1-Input'!$C$12,'1-Input'!$B$12,0)))))*(1/(1-'P-Parametri'!$B$6*P263))))</f>
        <v>8393.2115883701517</v>
      </c>
      <c r="R263" s="18">
        <f>IF($A263&gt;'1-Input'!$B$26,T262,(T262-MAX(0,P231-IF($A263&gt;='1-Input'!$C$12,'1-Input'!$B$12,0))+Q263*(1-'P-Parametri'!$B$6*P263))*(1+'1-Input'!$B$27))</f>
        <v>20679.373847091269</v>
      </c>
      <c r="S263" s="18">
        <f>IF($A263&gt;'1-Input'!$B$26,U262,(U262-Q263)*(1+'5-Roberta'!$C$4))</f>
        <v>72448.530745559285</v>
      </c>
      <c r="T263" s="18">
        <f>IF($A263&gt;'1-Input'!$B$26,R263,R263-'P-Parametri'!$B$8*(S263+R263)+MIN(MAX(S263,0),'P-Parametri'!$B$8*(S263+R263)))</f>
        <v>20679.373847091269</v>
      </c>
      <c r="U263" s="18">
        <f>IF($A263&gt;'1-Input'!$B$26,S263,S263-MIN(MAX(S263,0),'P-Parametri'!$B$8*(S263+R263)))</f>
        <v>72262.274936373986</v>
      </c>
      <c r="V263" s="18">
        <f>IF($A263&gt;'1-Input'!$B$26,V262,V262-Q263*(1-P263))</f>
        <v>25198.143324757955</v>
      </c>
      <c r="W263" s="11">
        <f>IF($A263&gt;'1-Input'!$B$26,0,IF(AB262&lt;=0,0,MAX(0,(AB262-AC262)/AB262)))</f>
        <v>0.64217466576423721</v>
      </c>
      <c r="X263" s="18">
        <f>IF($A263&gt;'1-Input'!$B$26,0,(MAX(0,W231-IF($A263&gt;='1-Input'!$C$12,'1-Input'!$B$12,0))-MIN(MAX(AA262,0),MAX(0,W231-IF($A263&gt;='1-Input'!$C$12,'1-Input'!$B$12,0))))*(1/(1-'P-Parametri'!$B$6*W263))+MIN(MAX(0,AB262-(MAX(0,W231-IF($A263&gt;='1-Input'!$C$12,'1-Input'!$B$12,0))-MIN(MAX(AA262,0),MAX(0,W231-IF($A263&gt;='1-Input'!$C$12,'1-Input'!$B$12,0))))*(1/(1-'P-Parametri'!$B$6*W263))),MAX(0,3*MAX(0,W231-IF($A263&gt;='1-Input'!$C$12,'1-Input'!$B$12,0))-(AA262-MIN(MAX(AA262,0),MAX(0,W231-IF($A263&gt;='1-Input'!$C$12,'1-Input'!$B$12,0)))))*(1/(1-'P-Parametri'!$B$6*W263))))</f>
        <v>8122.3172779262941</v>
      </c>
      <c r="Y263" s="18">
        <f>IF($A263&gt;'1-Input'!$B$26,AA262,(AA262-MAX(0,W231-IF($A263&gt;='1-Input'!$C$12,'1-Input'!$B$12,0))+X263*(1-'P-Parametri'!$B$6*W263))*(1+'1-Input'!$B$27))</f>
        <v>20009.338153678473</v>
      </c>
      <c r="Z263" s="18">
        <f>IF($A263&gt;'1-Input'!$B$26,AB262,(AB262-X263)*(1+'5-Roberta'!$C$4))</f>
        <v>86031.776427756486</v>
      </c>
      <c r="AA263" s="18">
        <f>IF($A263&gt;'1-Input'!$B$26,Y263,Y263-'P-Parametri'!$B$8*(Z263+Y263)+MIN(MAX(Z263,0),'P-Parametri'!$B$8*(Z263+Y263)))</f>
        <v>20009.338153678473</v>
      </c>
      <c r="AB263" s="18">
        <f>IF($A263&gt;'1-Input'!$B$26,Z263,Z263-MIN(MAX(Z263,0),'P-Parametri'!$B$8*(Z263+Y263)))</f>
        <v>85819.694198593614</v>
      </c>
      <c r="AC263" s="18">
        <f>IF($A263&gt;'1-Input'!$B$26,AC262,AC262-X263*(1-W263))</f>
        <v>29887.717626367357</v>
      </c>
      <c r="AD263" s="11">
        <f>IF($A263&gt;'1-Input'!$B$26,0,IF(AI262&lt;=0,0,MAX(0,(AI262-AJ262)/AI262)))</f>
        <v>0.64218230679686816</v>
      </c>
      <c r="AE263" s="18">
        <f>IF($A263&gt;'1-Input'!$B$26,0,(MAX(0,AD231-IF($A263&gt;='1-Input'!$C$12,'1-Input'!$B$12,0))-MIN(MAX(AH262,0),MAX(0,AD231-IF($A263&gt;='1-Input'!$C$12,'1-Input'!$B$12,0))))*(1/(1-'P-Parametri'!$B$6*AD263))+MIN(MAX(0,AI262-(MAX(0,AD231-IF($A263&gt;='1-Input'!$C$12,'1-Input'!$B$12,0))-MIN(MAX(AH262,0),MAX(0,AD231-IF($A263&gt;='1-Input'!$C$12,'1-Input'!$B$12,0))))*(1/(1-'P-Parametri'!$B$6*AD263))),MAX(0,3*MAX(0,AD231-IF($A263&gt;='1-Input'!$C$12,'1-Input'!$B$12,0))-(AH262-MIN(MAX(AH262,0),MAX(0,AD231-IF($A263&gt;='1-Input'!$C$12,'1-Input'!$B$12,0)))))*(1/(1-'P-Parametri'!$B$6*AD263))))</f>
        <v>8116.8778351468864</v>
      </c>
      <c r="AF263" s="18">
        <f>IF($A263&gt;'1-Input'!$B$26,AH262,(AH262-MAX(0,AD231-IF($A263&gt;='1-Input'!$C$12,'1-Input'!$B$12,0))+AE263*(1-'P-Parametri'!$B$6*AD263))*(1+'1-Input'!$B$27))</f>
        <v>19995.890392547142</v>
      </c>
      <c r="AG263" s="18">
        <f>IF($A263&gt;'1-Input'!$B$26,AI262,(AI262-AE263)*(1+'5-Roberta'!$C$4))</f>
        <v>86304.414415731138</v>
      </c>
      <c r="AH263" s="18">
        <f>IF($A263&gt;'1-Input'!$B$26,AF263,AF263-'P-Parametri'!$B$8*(AG263+AF263)+MIN(MAX(AG263,0),'P-Parametri'!$B$8*(AG263+AF263)))</f>
        <v>19995.890392547142</v>
      </c>
      <c r="AI263" s="18">
        <f>IF($A263&gt;'1-Input'!$B$26,AG263,AG263-MIN(MAX(AG263,0),'P-Parametri'!$B$8*(AG263+AF263)))</f>
        <v>86091.813806114587</v>
      </c>
      <c r="AJ263" s="18">
        <f>IF($A263&gt;'1-Input'!$B$26,AJ262,AJ262-AE263*(1-AD263))</f>
        <v>29981.792698528188</v>
      </c>
      <c r="AK263" s="11">
        <f>IF($A263&gt;'1-Input'!$B$26,0,IF(AP262&lt;=0,0,MAX(0,(AP262-AQ262)/AP262)))</f>
        <v>0.64218199241583862</v>
      </c>
      <c r="AL263" s="18">
        <f>IF($A263&gt;'1-Input'!$B$26,0,(MAX(0,AK231-IF($A263&gt;='1-Input'!$C$12,'1-Input'!$B$12,0))-MIN(MAX(AO262,0),MAX(0,AK231-IF($A263&gt;='1-Input'!$C$12,'1-Input'!$B$12,0))))*(1/(1-'P-Parametri'!$B$6*AK263))+MIN(MAX(0,AP262-(MAX(0,AK231-IF($A263&gt;='1-Input'!$C$12,'1-Input'!$B$12,0))-MIN(MAX(AO262,0),MAX(0,AK231-IF($A263&gt;='1-Input'!$C$12,'1-Input'!$B$12,0))))*(1/(1-'P-Parametri'!$B$6*AK263))),MAX(0,3*MAX(0,AK231-IF($A263&gt;='1-Input'!$C$12,'1-Input'!$B$12,0))-(AO262-MIN(MAX(AO262,0),MAX(0,AK231-IF($A263&gt;='1-Input'!$C$12,'1-Input'!$B$12,0)))))*(1/(1-'P-Parametri'!$B$6*AK263))))</f>
        <v>8117.1019922683472</v>
      </c>
      <c r="AM263" s="18">
        <f>IF($A263&gt;'1-Input'!$B$26,AO262,(AO262-MAX(0,AK231-IF($A263&gt;='1-Input'!$C$12,'1-Input'!$B$12,0))+AL263*(1-'P-Parametri'!$B$6*AK263))*(1+'1-Input'!$B$27))</f>
        <v>19996.444564658952</v>
      </c>
      <c r="AN263" s="18">
        <f>IF($A263&gt;'1-Input'!$B$26,AP262,(AP262-AL263)*(1+'5-Roberta'!$C$4))</f>
        <v>86293.17919544375</v>
      </c>
      <c r="AO263" s="18">
        <f>IF($A263&gt;'1-Input'!$B$26,AM263,AM263-'P-Parametri'!$B$8*(AN263+AM263)+MIN(MAX(AN263,0),'P-Parametri'!$B$8*(AN263+AM263)))</f>
        <v>19996.444564658952</v>
      </c>
      <c r="AP263" s="18">
        <f>IF($A263&gt;'1-Input'!$B$26,AN263,AN263-MIN(MAX(AN263,0),'P-Parametri'!$B$8*(AN263+AM263)))</f>
        <v>86080.599947923547</v>
      </c>
      <c r="AQ263" s="18">
        <f>IF($A263&gt;'1-Input'!$B$26,AQ262,AQ262-AL263*(1-AK263))</f>
        <v>29977.915968754063</v>
      </c>
    </row>
    <row r="264" spans="1:43">
      <c r="A264" s="10">
        <f>31</f>
        <v>31</v>
      </c>
      <c r="B264" s="11">
        <f>IF($A264&gt;'1-Input'!$B$26,0,IF(G263&lt;=0,0,MAX(0,(G263-H263)/G263)))</f>
        <v>0.65313319711015783</v>
      </c>
      <c r="C264" s="18">
        <f>IF($A264&gt;'1-Input'!$B$26,0,(MAX(0,B231-IF($A264&gt;='1-Input'!$C$12,'1-Input'!$B$12,0))-MIN(MAX(F263,0),MAX(0,B231-IF($A264&gt;='1-Input'!$C$12,'1-Input'!$B$12,0))))*(1/(1-'P-Parametri'!$B$6*B264))+MIN(MAX(0,G263-(MAX(0,B231-IF($A264&gt;='1-Input'!$C$12,'1-Input'!$B$12,0))-MIN(MAX(F263,0),MAX(0,B231-IF($A264&gt;='1-Input'!$C$12,'1-Input'!$B$12,0))))*(1/(1-'P-Parametri'!$B$6*B264))),MAX(0,3*MAX(0,B231-IF($A264&gt;='1-Input'!$C$12,'1-Input'!$B$12,0))-(F263-MIN(MAX(F263,0),MAX(0,B231-IF($A264&gt;='1-Input'!$C$12,'1-Input'!$B$12,0)))))*(1/(1-'P-Parametri'!$B$6*B264))))</f>
        <v>6792.8312450333469</v>
      </c>
      <c r="D264" s="18">
        <f>IF($A264&gt;'1-Input'!$B$26,F263,(F263-MAX(0,B231-IF($A264&gt;='1-Input'!$C$12,'1-Input'!$B$12,0))+C264*(1-'P-Parametri'!$B$6*B264))*(1+'1-Input'!$B$27))</f>
        <v>16676.912146479448</v>
      </c>
      <c r="E264" s="18">
        <f>IF($A264&gt;'1-Input'!$B$26,G263,(G263-C264)*(1+'5-Roberta'!$C$4))</f>
        <v>150682.78346771654</v>
      </c>
      <c r="F264" s="18">
        <f>IF($A264&gt;'1-Input'!$B$26,D264,D264-'P-Parametri'!$B$8*(E264+D264)+MIN(MAX(E264,0),'P-Parametri'!$B$8*(E264+D264)))</f>
        <v>16676.912146479448</v>
      </c>
      <c r="G264" s="18">
        <f>IF($A264&gt;'1-Input'!$B$26,E264,E264-MIN(MAX(E264,0),'P-Parametri'!$B$8*(E264+D264)))</f>
        <v>150348.06407648814</v>
      </c>
      <c r="H264" s="18">
        <f>IF($A264&gt;'1-Input'!$B$26,H263,H263-C264*(1-B264))</f>
        <v>50744.519759212832</v>
      </c>
      <c r="I264" s="11">
        <f>IF($A264&gt;'1-Input'!$B$26,0,IF(N263&lt;=0,0,MAX(0,(N263-O263)/N263)))</f>
        <v>0</v>
      </c>
      <c r="J264" s="18">
        <f>IF($A264&gt;'1-Input'!$B$26,0,(MAX(0,I231-IF($A264&gt;='1-Input'!$C$12,'1-Input'!$B$12,0))-MIN(MAX(M263,0),MAX(0,I231-IF($A264&gt;='1-Input'!$C$12,'1-Input'!$B$12,0))))*(1/(1-'P-Parametri'!$B$6*I264))+MIN(MAX(0,N263-(MAX(0,I231-IF($A264&gt;='1-Input'!$C$12,'1-Input'!$B$12,0))-MIN(MAX(M263,0),MAX(0,I231-IF($A264&gt;='1-Input'!$C$12,'1-Input'!$B$12,0))))*(1/(1-'P-Parametri'!$B$6*I264))),MAX(0,3*MAX(0,I231-IF($A264&gt;='1-Input'!$C$12,'1-Input'!$B$12,0))-(M263-MIN(MAX(M263,0),MAX(0,I231-IF($A264&gt;='1-Input'!$C$12,'1-Input'!$B$12,0)))))*(1/(1-'P-Parametri'!$B$6*I264))))</f>
        <v>10846.756992928691</v>
      </c>
      <c r="K264" s="18">
        <f>IF($A264&gt;'1-Input'!$B$26,M263,(M263-MAX(0,I231-IF($A264&gt;='1-Input'!$C$12,'1-Input'!$B$12,0))+J264*(1-'P-Parametri'!$B$6*I264))*(1+'1-Input'!$B$27))</f>
        <v>0</v>
      </c>
      <c r="L264" s="18">
        <f>IF($A264&gt;'1-Input'!$B$26,N263,(N263-J264)*(1+'5-Roberta'!$C$4))</f>
        <v>-106602.19929157919</v>
      </c>
      <c r="M264" s="18">
        <f>IF($A264&gt;'1-Input'!$B$26,K264,K264-'P-Parametri'!$B$8*(L264+K264)+MIN(MAX(L264,0),'P-Parametri'!$B$8*(L264+K264)))</f>
        <v>0</v>
      </c>
      <c r="N264" s="18">
        <f>IF($A264&gt;'1-Input'!$B$26,L264,L264-MIN(MAX(L264,0),'P-Parametri'!$B$8*(L264+K264)))</f>
        <v>-106388.99489299604</v>
      </c>
      <c r="O264" s="18">
        <f>IF($A264&gt;'1-Input'!$B$26,O263,O263-J264*(1-I264))</f>
        <v>-92987.924905994383</v>
      </c>
      <c r="P264" s="11">
        <f>IF($A264&gt;'1-Input'!$B$26,0,IF(U263&lt;=0,0,MAX(0,(U263-V263)/U263)))</f>
        <v>0.65129601376451818</v>
      </c>
      <c r="Q264" s="18">
        <f>IF($A264&gt;'1-Input'!$B$26,0,(MAX(0,P231-IF($A264&gt;='1-Input'!$C$12,'1-Input'!$B$12,0))-MIN(MAX(T263,0),MAX(0,P231-IF($A264&gt;='1-Input'!$C$12,'1-Input'!$B$12,0))))*(1/(1-'P-Parametri'!$B$6*P264))+MIN(MAX(0,U263-(MAX(0,P231-IF($A264&gt;='1-Input'!$C$12,'1-Input'!$B$12,0))-MIN(MAX(T263,0),MAX(0,P231-IF($A264&gt;='1-Input'!$C$12,'1-Input'!$B$12,0))))*(1/(1-'P-Parametri'!$B$6*P264))),MAX(0,3*MAX(0,P231-IF($A264&gt;='1-Input'!$C$12,'1-Input'!$B$12,0))-(T263-MIN(MAX(T263,0),MAX(0,P231-IF($A264&gt;='1-Input'!$C$12,'1-Input'!$B$12,0)))))*(1/(1-'P-Parametri'!$B$6*P264))))</f>
        <v>8418.2682197352078</v>
      </c>
      <c r="R264" s="18">
        <f>IF($A264&gt;'1-Input'!$B$26,T263,(T263-MAX(0,P231-IF($A264&gt;='1-Input'!$C$12,'1-Input'!$B$12,0))+Q264*(1-'P-Parametri'!$B$6*P264))*(1+'1-Input'!$B$27))</f>
        <v>20679.373847091269</v>
      </c>
      <c r="S264" s="18">
        <f>IF($A264&gt;'1-Input'!$B$26,U263,(U263-Q264)*(1+'5-Roberta'!$C$4))</f>
        <v>65759.326918137944</v>
      </c>
      <c r="T264" s="18">
        <f>IF($A264&gt;'1-Input'!$B$26,R264,R264-'P-Parametri'!$B$8*(S264+R264)+MIN(MAX(S264,0),'P-Parametri'!$B$8*(S264+R264)))</f>
        <v>20679.373847091269</v>
      </c>
      <c r="U264" s="18">
        <f>IF($A264&gt;'1-Input'!$B$26,S264,S264-MIN(MAX(S264,0),'P-Parametri'!$B$8*(S264+R264)))</f>
        <v>65586.449516607492</v>
      </c>
      <c r="V264" s="18">
        <f>IF($A264&gt;'1-Input'!$B$26,V263,V263-Q264*(1-P264))</f>
        <v>22262.659639336816</v>
      </c>
      <c r="W264" s="11">
        <f>IF($A264&gt;'1-Input'!$B$26,0,IF(AB263&lt;=0,0,MAX(0,(AB263-AC263)/AB263)))</f>
        <v>0.65173824137377134</v>
      </c>
      <c r="X264" s="18">
        <f>IF($A264&gt;'1-Input'!$B$26,0,(MAX(0,W231-IF($A264&gt;='1-Input'!$C$12,'1-Input'!$B$12,0))-MIN(MAX(AA263,0),MAX(0,W231-IF($A264&gt;='1-Input'!$C$12,'1-Input'!$B$12,0))))*(1/(1-'P-Parametri'!$B$6*W264))+MIN(MAX(0,AB263-(MAX(0,W231-IF($A264&gt;='1-Input'!$C$12,'1-Input'!$B$12,0))-MIN(MAX(AA263,0),MAX(0,W231-IF($A264&gt;='1-Input'!$C$12,'1-Input'!$B$12,0))))*(1/(1-'P-Parametri'!$B$6*W264))),MAX(0,3*MAX(0,W231-IF($A264&gt;='1-Input'!$C$12,'1-Input'!$B$12,0))-(AA263-MIN(MAX(AA263,0),MAX(0,W231-IF($A264&gt;='1-Input'!$C$12,'1-Input'!$B$12,0)))))*(1/(1-'P-Parametri'!$B$6*W264))))</f>
        <v>8146.6342125467736</v>
      </c>
      <c r="Y264" s="18">
        <f>IF($A264&gt;'1-Input'!$B$26,AA263,(AA263-MAX(0,W231-IF($A264&gt;='1-Input'!$C$12,'1-Input'!$B$12,0))+X264*(1-'P-Parametri'!$B$6*W264))*(1+'1-Input'!$B$27))</f>
        <v>20009.338153678473</v>
      </c>
      <c r="Z264" s="18">
        <f>IF($A264&gt;'1-Input'!$B$26,AB263,(AB263-X264)*(1+'5-Roberta'!$C$4))</f>
        <v>80003.251785628236</v>
      </c>
      <c r="AA264" s="18">
        <f>IF($A264&gt;'1-Input'!$B$26,Y264,Y264-'P-Parametri'!$B$8*(Z264+Y264)+MIN(MAX(Z264,0),'P-Parametri'!$B$8*(Z264+Y264)))</f>
        <v>20009.338153678473</v>
      </c>
      <c r="AB264" s="18">
        <f>IF($A264&gt;'1-Input'!$B$26,Z264,Z264-MIN(MAX(Z264,0),'P-Parametri'!$B$8*(Z264+Y264)))</f>
        <v>79803.226605749616</v>
      </c>
      <c r="AC264" s="18">
        <f>IF($A264&gt;'1-Input'!$B$26,AC263,AC263-X264*(1-W264))</f>
        <v>27050.556468621216</v>
      </c>
      <c r="AD264" s="11">
        <f>IF($A264&gt;'1-Input'!$B$26,0,IF(AI263&lt;=0,0,MAX(0,(AI263-AJ263)/AI263)))</f>
        <v>0.65174629999026967</v>
      </c>
      <c r="AE264" s="18">
        <f>IF($A264&gt;'1-Input'!$B$26,0,(MAX(0,AD231-IF($A264&gt;='1-Input'!$C$12,'1-Input'!$B$12,0))-MIN(MAX(AH263,0),MAX(0,AD231-IF($A264&gt;='1-Input'!$C$12,'1-Input'!$B$12,0))))*(1/(1-'P-Parametri'!$B$6*AD264))+MIN(MAX(0,AI263-(MAX(0,AD231-IF($A264&gt;='1-Input'!$C$12,'1-Input'!$B$12,0))-MIN(MAX(AH263,0),MAX(0,AD231-IF($A264&gt;='1-Input'!$C$12,'1-Input'!$B$12,0))))*(1/(1-'P-Parametri'!$B$6*AD264))),MAX(0,3*MAX(0,AD231-IF($A264&gt;='1-Input'!$C$12,'1-Input'!$B$12,0))-(AH263-MIN(MAX(AH263,0),MAX(0,AD231-IF($A264&gt;='1-Input'!$C$12,'1-Input'!$B$12,0)))))*(1/(1-'P-Parametri'!$B$6*AD264))))</f>
        <v>8141.1796073049964</v>
      </c>
      <c r="AF264" s="18">
        <f>IF($A264&gt;'1-Input'!$B$26,AH263,(AH263-MAX(0,AD231-IF($A264&gt;='1-Input'!$C$12,'1-Input'!$B$12,0))+AE264*(1-'P-Parametri'!$B$6*AD264))*(1+'1-Input'!$B$27))</f>
        <v>19995.890392547142</v>
      </c>
      <c r="AG264" s="18">
        <f>IF($A264&gt;'1-Input'!$B$26,AI263,(AI263-AE264)*(1+'5-Roberta'!$C$4))</f>
        <v>80289.15322477388</v>
      </c>
      <c r="AH264" s="18">
        <f>IF($A264&gt;'1-Input'!$B$26,AF264,AF264-'P-Parametri'!$B$8*(AG264+AF264)+MIN(MAX(AG264,0),'P-Parametri'!$B$8*(AG264+AF264)))</f>
        <v>19995.890392547142</v>
      </c>
      <c r="AI264" s="18">
        <f>IF($A264&gt;'1-Input'!$B$26,AG264,AG264-MIN(MAX(AG264,0),'P-Parametri'!$B$8*(AG264+AF264)))</f>
        <v>80088.583137539244</v>
      </c>
      <c r="AJ264" s="18">
        <f>IF($A264&gt;'1-Input'!$B$26,AJ263,AJ263-AE264*(1-AD264))</f>
        <v>27146.596777840459</v>
      </c>
      <c r="AK264" s="11">
        <f>IF($A264&gt;'1-Input'!$B$26,0,IF(AP263&lt;=0,0,MAX(0,(AP263-AQ263)/AP263)))</f>
        <v>0.6517459684657182</v>
      </c>
      <c r="AL264" s="18">
        <f>IF($A264&gt;'1-Input'!$B$26,0,(MAX(0,AK231-IF($A264&gt;='1-Input'!$C$12,'1-Input'!$B$12,0))-MIN(MAX(AO263,0),MAX(0,AK231-IF($A264&gt;='1-Input'!$C$12,'1-Input'!$B$12,0))))*(1/(1-'P-Parametri'!$B$6*AK264))+MIN(MAX(0,AP263-(MAX(0,AK231-IF($A264&gt;='1-Input'!$C$12,'1-Input'!$B$12,0))-MIN(MAX(AO263,0),MAX(0,AK231-IF($A264&gt;='1-Input'!$C$12,'1-Input'!$B$12,0))))*(1/(1-'P-Parametri'!$B$6*AK264))),MAX(0,3*MAX(0,AK231-IF($A264&gt;='1-Input'!$C$12,'1-Input'!$B$12,0))-(AO263-MIN(MAX(AO263,0),MAX(0,AK231-IF($A264&gt;='1-Input'!$C$12,'1-Input'!$B$12,0)))))*(1/(1-'P-Parametri'!$B$6*AK264))))</f>
        <v>8141.4043894639935</v>
      </c>
      <c r="AM264" s="18">
        <f>IF($A264&gt;'1-Input'!$B$26,AO263,(AO263-MAX(0,AK231-IF($A264&gt;='1-Input'!$C$12,'1-Input'!$B$12,0))+AL264*(1-'P-Parametri'!$B$6*AK264))*(1+'1-Input'!$B$27))</f>
        <v>19996.444564658952</v>
      </c>
      <c r="AN264" s="18">
        <f>IF($A264&gt;'1-Input'!$B$26,AP263,(AP263-AL264)*(1+'5-Roberta'!$C$4))</f>
        <v>80277.37142521335</v>
      </c>
      <c r="AO264" s="18">
        <f>IF($A264&gt;'1-Input'!$B$26,AM264,AM264-'P-Parametri'!$B$8*(AN264+AM264)+MIN(MAX(AN264,0),'P-Parametri'!$B$8*(AN264+AM264)))</f>
        <v>19996.444564658952</v>
      </c>
      <c r="AP264" s="18">
        <f>IF($A264&gt;'1-Input'!$B$26,AN264,AN264-MIN(MAX(AN264,0),'P-Parametri'!$B$8*(AN264+AM264)))</f>
        <v>80076.823793233605</v>
      </c>
      <c r="AQ264" s="18">
        <f>IF($A264&gt;'1-Input'!$B$26,AQ263,AQ263-AL264*(1-AK264))</f>
        <v>27142.639067772328</v>
      </c>
    </row>
    <row r="265" spans="1:43">
      <c r="A265" s="10">
        <f>32</f>
        <v>32</v>
      </c>
      <c r="B265" s="11">
        <f>IF($A265&gt;'1-Input'!$B$26,0,IF(G264&lt;=0,0,MAX(0,(G264-H264)/G264)))</f>
        <v>0.66248637738762617</v>
      </c>
      <c r="C265" s="18">
        <f>IF($A265&gt;'1-Input'!$B$26,0,(MAX(0,B231-IF($A265&gt;='1-Input'!$C$12,'1-Input'!$B$12,0))-MIN(MAX(F264,0),MAX(0,B231-IF($A265&gt;='1-Input'!$C$12,'1-Input'!$B$12,0))))*(1/(1-'P-Parametri'!$B$6*B265))+MIN(MAX(0,G264-(MAX(0,B231-IF($A265&gt;='1-Input'!$C$12,'1-Input'!$B$12,0))-MIN(MAX(F264,0),MAX(0,B231-IF($A265&gt;='1-Input'!$C$12,'1-Input'!$B$12,0))))*(1/(1-'P-Parametri'!$B$6*B265))),MAX(0,3*MAX(0,B231-IF($A265&gt;='1-Input'!$C$12,'1-Input'!$B$12,0))-(F264-MIN(MAX(F264,0),MAX(0,B231-IF($A265&gt;='1-Input'!$C$12,'1-Input'!$B$12,0)))))*(1/(1-'P-Parametri'!$B$6*B265))))</f>
        <v>6812.7876556360652</v>
      </c>
      <c r="D265" s="18">
        <f>IF($A265&gt;'1-Input'!$B$26,F264,(F264-MAX(0,B231-IF($A265&gt;='1-Input'!$C$12,'1-Input'!$B$12,0))+C265*(1-'P-Parametri'!$B$6*B265))*(1+'1-Input'!$B$27))</f>
        <v>16676.912146479448</v>
      </c>
      <c r="E265" s="18">
        <f>IF($A265&gt;'1-Input'!$B$26,G264,(G264-C265)*(1+'5-Roberta'!$C$4))</f>
        <v>147841.33471347764</v>
      </c>
      <c r="F265" s="18">
        <f>IF($A265&gt;'1-Input'!$B$26,D265,D265-'P-Parametri'!$B$8*(E265+D265)+MIN(MAX(E265,0),'P-Parametri'!$B$8*(E265+D265)))</f>
        <v>16676.912146479448</v>
      </c>
      <c r="G265" s="18">
        <f>IF($A265&gt;'1-Input'!$B$26,E265,E265-MIN(MAX(E265,0),'P-Parametri'!$B$8*(E265+D265)))</f>
        <v>147512.29821975774</v>
      </c>
      <c r="H265" s="18">
        <f>IF($A265&gt;'1-Input'!$B$26,H264,H264-C265*(1-B265))</f>
        <v>48445.111117470238</v>
      </c>
      <c r="I265" s="11">
        <f>IF($A265&gt;'1-Input'!$B$26,0,IF(N264&lt;=0,0,MAX(0,(N264-O264)/N264)))</f>
        <v>0</v>
      </c>
      <c r="J265" s="18">
        <f>IF($A265&gt;'1-Input'!$B$26,0,(MAX(0,I231-IF($A265&gt;='1-Input'!$C$12,'1-Input'!$B$12,0))-MIN(MAX(M264,0),MAX(0,I231-IF($A265&gt;='1-Input'!$C$12,'1-Input'!$B$12,0))))*(1/(1-'P-Parametri'!$B$6*I265))+MIN(MAX(0,N264-(MAX(0,I231-IF($A265&gt;='1-Input'!$C$12,'1-Input'!$B$12,0))-MIN(MAX(M264,0),MAX(0,I231-IF($A265&gt;='1-Input'!$C$12,'1-Input'!$B$12,0))))*(1/(1-'P-Parametri'!$B$6*I265))),MAX(0,3*MAX(0,I231-IF($A265&gt;='1-Input'!$C$12,'1-Input'!$B$12,0))-(M264-MIN(MAX(M264,0),MAX(0,I231-IF($A265&gt;='1-Input'!$C$12,'1-Input'!$B$12,0)))))*(1/(1-'P-Parametri'!$B$6*I265))))</f>
        <v>10846.756992928691</v>
      </c>
      <c r="K265" s="18">
        <f>IF($A265&gt;'1-Input'!$B$26,M264,(M264-MAX(0,I231-IF($A265&gt;='1-Input'!$C$12,'1-Input'!$B$12,0))+J265*(1-'P-Parametri'!$B$6*I265))*(1+'1-Input'!$B$27))</f>
        <v>0</v>
      </c>
      <c r="L265" s="18">
        <f>IF($A265&gt;'1-Input'!$B$26,N264,(N264-J265)*(1+'5-Roberta'!$C$4))</f>
        <v>-120752.82444250246</v>
      </c>
      <c r="M265" s="18">
        <f>IF($A265&gt;'1-Input'!$B$26,K265,K265-'P-Parametri'!$B$8*(L265+K265)+MIN(MAX(L265,0),'P-Parametri'!$B$8*(L265+K265)))</f>
        <v>0</v>
      </c>
      <c r="N265" s="18">
        <f>IF($A265&gt;'1-Input'!$B$26,L265,L265-MIN(MAX(L265,0),'P-Parametri'!$B$8*(L265+K265)))</f>
        <v>-120511.31879361745</v>
      </c>
      <c r="O265" s="18">
        <f>IF($A265&gt;'1-Input'!$B$26,O264,O264-J265*(1-I265))</f>
        <v>-103834.68189892307</v>
      </c>
      <c r="P265" s="11">
        <f>IF($A265&gt;'1-Input'!$B$26,0,IF(U264&lt;=0,0,MAX(0,(U264-V264)/U264)))</f>
        <v>0.66056007295074615</v>
      </c>
      <c r="Q265" s="18">
        <f>IF($A265&gt;'1-Input'!$B$26,0,(MAX(0,P231-IF($A265&gt;='1-Input'!$C$12,'1-Input'!$B$12,0))-MIN(MAX(T264,0),MAX(0,P231-IF($A265&gt;='1-Input'!$C$12,'1-Input'!$B$12,0))))*(1/(1-'P-Parametri'!$B$6*P265))+MIN(MAX(0,U264-(MAX(0,P231-IF($A265&gt;='1-Input'!$C$12,'1-Input'!$B$12,0))-MIN(MAX(T264,0),MAX(0,P231-IF($A265&gt;='1-Input'!$C$12,'1-Input'!$B$12,0))))*(1/(1-'P-Parametri'!$B$6*P265))),MAX(0,3*MAX(0,P231-IF($A265&gt;='1-Input'!$C$12,'1-Input'!$B$12,0))-(T264-MIN(MAX(T264,0),MAX(0,P231-IF($A265&gt;='1-Input'!$C$12,'1-Input'!$B$12,0)))))*(1/(1-'P-Parametri'!$B$6*P265))))</f>
        <v>8442.7494752201947</v>
      </c>
      <c r="R265" s="18">
        <f>IF($A265&gt;'1-Input'!$B$26,T264,(T264-MAX(0,P231-IF($A265&gt;='1-Input'!$C$12,'1-Input'!$B$12,0))+Q265*(1-'P-Parametri'!$B$6*P265))*(1+'1-Input'!$B$27))</f>
        <v>20679.373847091269</v>
      </c>
      <c r="S265" s="18">
        <f>IF($A265&gt;'1-Input'!$B$26,U264,(U264-Q265)*(1+'5-Roberta'!$C$4))</f>
        <v>58858.011042628917</v>
      </c>
      <c r="T265" s="18">
        <f>IF($A265&gt;'1-Input'!$B$26,R265,R265-'P-Parametri'!$B$8*(S265+R265)+MIN(MAX(S265,0),'P-Parametri'!$B$8*(S265+R265)))</f>
        <v>20679.373847091269</v>
      </c>
      <c r="U265" s="18">
        <f>IF($A265&gt;'1-Input'!$B$26,S265,S265-MIN(MAX(S265,0),'P-Parametri'!$B$8*(S265+R265)))</f>
        <v>58698.936272849474</v>
      </c>
      <c r="V265" s="18">
        <f>IF($A265&gt;'1-Input'!$B$26,V264,V264-Q265*(1-P265))</f>
        <v>19396.853373372949</v>
      </c>
      <c r="W265" s="11">
        <f>IF($A265&gt;'1-Input'!$B$26,0,IF(AB264&lt;=0,0,MAX(0,(AB264-AC264)/AB264)))</f>
        <v>0.66103430125377549</v>
      </c>
      <c r="X265" s="18">
        <f>IF($A265&gt;'1-Input'!$B$26,0,(MAX(0,W231-IF($A265&gt;='1-Input'!$C$12,'1-Input'!$B$12,0))-MIN(MAX(AA264,0),MAX(0,W231-IF($A265&gt;='1-Input'!$C$12,'1-Input'!$B$12,0))))*(1/(1-'P-Parametri'!$B$6*W265))+MIN(MAX(0,AB264-(MAX(0,W231-IF($A265&gt;='1-Input'!$C$12,'1-Input'!$B$12,0))-MIN(MAX(AA264,0),MAX(0,W231-IF($A265&gt;='1-Input'!$C$12,'1-Input'!$B$12,0))))*(1/(1-'P-Parametri'!$B$6*W265))),MAX(0,3*MAX(0,W231-IF($A265&gt;='1-Input'!$C$12,'1-Input'!$B$12,0))-(AA264-MIN(MAX(AA264,0),MAX(0,W231-IF($A265&gt;='1-Input'!$C$12,'1-Input'!$B$12,0)))))*(1/(1-'P-Parametri'!$B$6*W265))))</f>
        <v>8170.41090236728</v>
      </c>
      <c r="Y265" s="18">
        <f>IF($A265&gt;'1-Input'!$B$26,AA264,(AA264-MAX(0,W231-IF($A265&gt;='1-Input'!$C$12,'1-Input'!$B$12,0))+X265*(1-'P-Parametri'!$B$6*W265))*(1+'1-Input'!$B$27))</f>
        <v>20009.338153678473</v>
      </c>
      <c r="Z265" s="18">
        <f>IF($A265&gt;'1-Input'!$B$26,AB264,(AB264-X265)*(1+'5-Roberta'!$C$4))</f>
        <v>73781.800174483811</v>
      </c>
      <c r="AA265" s="18">
        <f>IF($A265&gt;'1-Input'!$B$26,Y265,Y265-'P-Parametri'!$B$8*(Z265+Y265)+MIN(MAX(Z265,0),'P-Parametri'!$B$8*(Z265+Y265)))</f>
        <v>20009.338153678473</v>
      </c>
      <c r="AB265" s="18">
        <f>IF($A265&gt;'1-Input'!$B$26,Z265,Z265-MIN(MAX(Z265,0),'P-Parametri'!$B$8*(Z265+Y265)))</f>
        <v>73594.21789782749</v>
      </c>
      <c r="AC265" s="18">
        <f>IF($A265&gt;'1-Input'!$B$26,AC264,AC264-X265*(1-W265))</f>
        <v>24281.067428056522</v>
      </c>
      <c r="AD265" s="11">
        <f>IF($A265&gt;'1-Input'!$B$26,0,IF(AI264&lt;=0,0,MAX(0,(AI264-AJ264)/AI264)))</f>
        <v>0.66104286385962718</v>
      </c>
      <c r="AE265" s="18">
        <f>IF($A265&gt;'1-Input'!$B$26,0,(MAX(0,AD231-IF($A265&gt;='1-Input'!$C$12,'1-Input'!$B$12,0))-MIN(MAX(AH264,0),MAX(0,AD231-IF($A265&gt;='1-Input'!$C$12,'1-Input'!$B$12,0))))*(1/(1-'P-Parametri'!$B$6*AD265))+MIN(MAX(0,AI264-(MAX(0,AD231-IF($A265&gt;='1-Input'!$C$12,'1-Input'!$B$12,0))-MIN(MAX(AH264,0),MAX(0,AD231-IF($A265&gt;='1-Input'!$C$12,'1-Input'!$B$12,0))))*(1/(1-'P-Parametri'!$B$6*AD265))),MAX(0,3*MAX(0,AD231-IF($A265&gt;='1-Input'!$C$12,'1-Input'!$B$12,0))-(AH264-MIN(MAX(AH264,0),MAX(0,AD231-IF($A265&gt;='1-Input'!$C$12,'1-Input'!$B$12,0)))))*(1/(1-'P-Parametri'!$B$6*AD265))))</f>
        <v>8164.9417294451523</v>
      </c>
      <c r="AF265" s="18">
        <f>IF($A265&gt;'1-Input'!$B$26,AH264,(AH264-MAX(0,AD231-IF($A265&gt;='1-Input'!$C$12,'1-Input'!$B$12,0))+AE265*(1-'P-Parametri'!$B$6*AD265))*(1+'1-Input'!$B$27))</f>
        <v>19995.890392547142</v>
      </c>
      <c r="AG265" s="18">
        <f>IF($A265&gt;'1-Input'!$B$26,AI264,(AI264-AE265)*(1+'5-Roberta'!$C$4))</f>
        <v>74081.350650336914</v>
      </c>
      <c r="AH265" s="18">
        <f>IF($A265&gt;'1-Input'!$B$26,AF265,AF265-'P-Parametri'!$B$8*(AG265+AF265)+MIN(MAX(AG265,0),'P-Parametri'!$B$8*(AG265+AF265)))</f>
        <v>19995.890392547142</v>
      </c>
      <c r="AI265" s="18">
        <f>IF($A265&gt;'1-Input'!$B$26,AG265,AG265-MIN(MAX(AG265,0),'P-Parametri'!$B$8*(AG265+AF265)))</f>
        <v>73893.196168251146</v>
      </c>
      <c r="AJ265" s="18">
        <f>IF($A265&gt;'1-Input'!$B$26,AJ264,AJ264-AE265*(1-AD265))</f>
        <v>24379.031512474707</v>
      </c>
      <c r="AK265" s="11">
        <f>IF($A265&gt;'1-Input'!$B$26,0,IF(AP264&lt;=0,0,MAX(0,(AP264-AQ264)/AP264)))</f>
        <v>0.661042511652843</v>
      </c>
      <c r="AL265" s="18">
        <f>IF($A265&gt;'1-Input'!$B$26,0,(MAX(0,AK231-IF($A265&gt;='1-Input'!$C$12,'1-Input'!$B$12,0))-MIN(MAX(AO264,0),MAX(0,AK231-IF($A265&gt;='1-Input'!$C$12,'1-Input'!$B$12,0))))*(1/(1-'P-Parametri'!$B$6*AK265))+MIN(MAX(0,AP264-(MAX(0,AK231-IF($A265&gt;='1-Input'!$C$12,'1-Input'!$B$12,0))-MIN(MAX(AO264,0),MAX(0,AK231-IF($A265&gt;='1-Input'!$C$12,'1-Input'!$B$12,0))))*(1/(1-'P-Parametri'!$B$6*AK265))),MAX(0,3*MAX(0,AK231-IF($A265&gt;='1-Input'!$C$12,'1-Input'!$B$12,0))-(AO264-MIN(MAX(AO264,0),MAX(0,AK231-IF($A265&gt;='1-Input'!$C$12,'1-Input'!$B$12,0)))))*(1/(1-'P-Parametri'!$B$6*AK265))))</f>
        <v>8165.1671121954296</v>
      </c>
      <c r="AM265" s="18">
        <f>IF($A265&gt;'1-Input'!$B$26,AO264,(AO264-MAX(0,AK231-IF($A265&gt;='1-Input'!$C$12,'1-Input'!$B$12,0))+AL265*(1-'P-Parametri'!$B$6*AK265))*(1+'1-Input'!$B$27))</f>
        <v>19996.444564658952</v>
      </c>
      <c r="AN265" s="18">
        <f>IF($A265&gt;'1-Input'!$B$26,AP264,(AP264-AL265)*(1+'5-Roberta'!$C$4))</f>
        <v>74069.006381469328</v>
      </c>
      <c r="AO265" s="18">
        <f>IF($A265&gt;'1-Input'!$B$26,AM265,AM265-'P-Parametri'!$B$8*(AN265+AM265)+MIN(MAX(AN265,0),'P-Parametri'!$B$8*(AN265+AM265)))</f>
        <v>19996.444564658952</v>
      </c>
      <c r="AP265" s="18">
        <f>IF($A265&gt;'1-Input'!$B$26,AN265,AN265-MIN(MAX(AN265,0),'P-Parametri'!$B$8*(AN265+AM265)))</f>
        <v>73880.875479577066</v>
      </c>
      <c r="AQ265" s="18">
        <f>IF($A265&gt;'1-Input'!$B$26,AQ264,AQ264-AL265*(1-AK265))</f>
        <v>24374.994531487755</v>
      </c>
    </row>
    <row r="266" spans="1:43">
      <c r="A266" s="10">
        <f>33</f>
        <v>33</v>
      </c>
      <c r="B266" s="11">
        <f>IF($A266&gt;'1-Input'!$B$26,0,IF(G265&lt;=0,0,MAX(0,(G265-H265)/G265)))</f>
        <v>0.67158595112321606</v>
      </c>
      <c r="C266" s="18">
        <f>IF($A266&gt;'1-Input'!$B$26,0,(MAX(0,B231-IF($A266&gt;='1-Input'!$C$12,'1-Input'!$B$12,0))-MIN(MAX(F265,0),MAX(0,B231-IF($A266&gt;='1-Input'!$C$12,'1-Input'!$B$12,0))))*(1/(1-'P-Parametri'!$B$6*B266))+MIN(MAX(0,G265-(MAX(0,B231-IF($A266&gt;='1-Input'!$C$12,'1-Input'!$B$12,0))-MIN(MAX(F265,0),MAX(0,B231-IF($A266&gt;='1-Input'!$C$12,'1-Input'!$B$12,0))))*(1/(1-'P-Parametri'!$B$6*B266))),MAX(0,3*MAX(0,B231-IF($A266&gt;='1-Input'!$C$12,'1-Input'!$B$12,0))-(F265-MIN(MAX(F265,0),MAX(0,B231-IF($A266&gt;='1-Input'!$C$12,'1-Input'!$B$12,0)))))*(1/(1-'P-Parametri'!$B$6*B266))))</f>
        <v>6832.315813693237</v>
      </c>
      <c r="D266" s="18">
        <f>IF($A266&gt;'1-Input'!$B$26,F265,(F265-MAX(0,B231-IF($A266&gt;='1-Input'!$C$12,'1-Input'!$B$12,0))+C266*(1-'P-Parametri'!$B$6*B266))*(1+'1-Input'!$B$27))</f>
        <v>16676.912146479448</v>
      </c>
      <c r="E266" s="18">
        <f>IF($A266&gt;'1-Input'!$B$26,G265,(G265-C266)*(1+'5-Roberta'!$C$4))</f>
        <v>144900.38187824644</v>
      </c>
      <c r="F266" s="18">
        <f>IF($A266&gt;'1-Input'!$B$26,D266,D266-'P-Parametri'!$B$8*(E266+D266)+MIN(MAX(E266,0),'P-Parametri'!$B$8*(E266+D266)))</f>
        <v>16676.912146479448</v>
      </c>
      <c r="G266" s="18">
        <f>IF($A266&gt;'1-Input'!$B$26,E266,E266-MIN(MAX(E266,0),'P-Parametri'!$B$8*(E266+D266)))</f>
        <v>144577.22729019698</v>
      </c>
      <c r="H266" s="18">
        <f>IF($A266&gt;'1-Input'!$B$26,H265,H265-C266*(1-B266))</f>
        <v>46201.282617890363</v>
      </c>
      <c r="I266" s="11">
        <f>IF($A266&gt;'1-Input'!$B$26,0,IF(N265&lt;=0,0,MAX(0,(N265-O265)/N265)))</f>
        <v>0</v>
      </c>
      <c r="J266" s="18">
        <f>IF($A266&gt;'1-Input'!$B$26,0,(MAX(0,I231-IF($A266&gt;='1-Input'!$C$12,'1-Input'!$B$12,0))-MIN(MAX(M265,0),MAX(0,I231-IF($A266&gt;='1-Input'!$C$12,'1-Input'!$B$12,0))))*(1/(1-'P-Parametri'!$B$6*I266))+MIN(MAX(0,N265-(MAX(0,I231-IF($A266&gt;='1-Input'!$C$12,'1-Input'!$B$12,0))-MIN(MAX(M265,0),MAX(0,I231-IF($A266&gt;='1-Input'!$C$12,'1-Input'!$B$12,0))))*(1/(1-'P-Parametri'!$B$6*I266))),MAX(0,3*MAX(0,I231-IF($A266&gt;='1-Input'!$C$12,'1-Input'!$B$12,0))-(M265-MIN(MAX(M265,0),MAX(0,I231-IF($A266&gt;='1-Input'!$C$12,'1-Input'!$B$12,0)))))*(1/(1-'P-Parametri'!$B$6*I266))))</f>
        <v>10846.756992928691</v>
      </c>
      <c r="K266" s="18">
        <f>IF($A266&gt;'1-Input'!$B$26,M265,(M265-MAX(0,I231-IF($A266&gt;='1-Input'!$C$12,'1-Input'!$B$12,0))+J266*(1-'P-Parametri'!$B$6*I266))*(1+'1-Input'!$B$27))</f>
        <v>0</v>
      </c>
      <c r="L266" s="18">
        <f>IF($A266&gt;'1-Input'!$B$26,N265,(N265-J266)*(1+'5-Roberta'!$C$4))</f>
        <v>-135298.81806014251</v>
      </c>
      <c r="M266" s="18">
        <f>IF($A266&gt;'1-Input'!$B$26,K266,K266-'P-Parametri'!$B$8*(L266+K266)+MIN(MAX(L266,0),'P-Parametri'!$B$8*(L266+K266)))</f>
        <v>0</v>
      </c>
      <c r="N266" s="18">
        <f>IF($A266&gt;'1-Input'!$B$26,L266,L266-MIN(MAX(L266,0),'P-Parametri'!$B$8*(L266+K266)))</f>
        <v>-135028.22042402223</v>
      </c>
      <c r="O266" s="18">
        <f>IF($A266&gt;'1-Input'!$B$26,O265,O265-J266*(1-I266))</f>
        <v>-114681.43889185175</v>
      </c>
      <c r="P266" s="11">
        <f>IF($A266&gt;'1-Input'!$B$26,0,IF(U265&lt;=0,0,MAX(0,(U265-V265)/U265)))</f>
        <v>0.6695535795876979</v>
      </c>
      <c r="Q266" s="18">
        <f>IF($A266&gt;'1-Input'!$B$26,0,(MAX(0,P231-IF($A266&gt;='1-Input'!$C$12,'1-Input'!$B$12,0))-MIN(MAX(T265,0),MAX(0,P231-IF($A266&gt;='1-Input'!$C$12,'1-Input'!$B$12,0))))*(1/(1-'P-Parametri'!$B$6*P266))+MIN(MAX(0,U265-(MAX(0,P231-IF($A266&gt;='1-Input'!$C$12,'1-Input'!$B$12,0))-MIN(MAX(T265,0),MAX(0,P231-IF($A266&gt;='1-Input'!$C$12,'1-Input'!$B$12,0))))*(1/(1-'P-Parametri'!$B$6*P266))),MAX(0,3*MAX(0,P231-IF($A266&gt;='1-Input'!$C$12,'1-Input'!$B$12,0))-(T265-MIN(MAX(T265,0),MAX(0,P231-IF($A266&gt;='1-Input'!$C$12,'1-Input'!$B$12,0)))))*(1/(1-'P-Parametri'!$B$6*P266))))</f>
        <v>8466.652364179401</v>
      </c>
      <c r="R266" s="18">
        <f>IF($A266&gt;'1-Input'!$B$26,T265,(T265-MAX(0,P231-IF($A266&gt;='1-Input'!$C$12,'1-Input'!$B$12,0))+Q266*(1-'P-Parametri'!$B$6*P266))*(1+'1-Input'!$B$27))</f>
        <v>20679.373847091269</v>
      </c>
      <c r="S266" s="18">
        <f>IF($A266&gt;'1-Input'!$B$26,U265,(U265-Q266)*(1+'5-Roberta'!$C$4))</f>
        <v>51739.252425930172</v>
      </c>
      <c r="T266" s="18">
        <f>IF($A266&gt;'1-Input'!$B$26,R266,R266-'P-Parametri'!$B$8*(S266+R266)+MIN(MAX(S266,0),'P-Parametri'!$B$8*(S266+R266)))</f>
        <v>20679.373847091269</v>
      </c>
      <c r="U266" s="18">
        <f>IF($A266&gt;'1-Input'!$B$26,S266,S266-MIN(MAX(S266,0),'P-Parametri'!$B$8*(S266+R266)))</f>
        <v>51594.415173384128</v>
      </c>
      <c r="V266" s="18">
        <f>IF($A266&gt;'1-Input'!$B$26,V265,V265-Q266*(1-P266))</f>
        <v>16599.07840675451</v>
      </c>
      <c r="W266" s="11">
        <f>IF($A266&gt;'1-Input'!$B$26,0,IF(AB265&lt;=0,0,MAX(0,(AB265-AC265)/AB265)))</f>
        <v>0.67006827273079428</v>
      </c>
      <c r="X266" s="18">
        <f>IF($A266&gt;'1-Input'!$B$26,0,(MAX(0,W231-IF($A266&gt;='1-Input'!$C$12,'1-Input'!$B$12,0))-MIN(MAX(AA265,0),MAX(0,W231-IF($A266&gt;='1-Input'!$C$12,'1-Input'!$B$12,0))))*(1/(1-'P-Parametri'!$B$6*W266))+MIN(MAX(0,AB265-(MAX(0,W231-IF($A266&gt;='1-Input'!$C$12,'1-Input'!$B$12,0))-MIN(MAX(AA265,0),MAX(0,W231-IF($A266&gt;='1-Input'!$C$12,'1-Input'!$B$12,0))))*(1/(1-'P-Parametri'!$B$6*W266))),MAX(0,3*MAX(0,W231-IF($A266&gt;='1-Input'!$C$12,'1-Input'!$B$12,0))-(AA265-MIN(MAX(AA265,0),MAX(0,W231-IF($A266&gt;='1-Input'!$C$12,'1-Input'!$B$12,0)))))*(1/(1-'P-Parametri'!$B$6*W266))))</f>
        <v>8193.6505970610087</v>
      </c>
      <c r="Y266" s="18">
        <f>IF($A266&gt;'1-Input'!$B$26,AA265,(AA265-MAX(0,W231-IF($A266&gt;='1-Input'!$C$12,'1-Input'!$B$12,0))+X266*(1-'P-Parametri'!$B$6*W266))*(1+'1-Input'!$B$27))</f>
        <v>20009.338153678473</v>
      </c>
      <c r="Z266" s="18">
        <f>IF($A266&gt;'1-Input'!$B$26,AB265,(AB265-X266)*(1+'5-Roberta'!$C$4))</f>
        <v>67362.584319789472</v>
      </c>
      <c r="AA266" s="18">
        <f>IF($A266&gt;'1-Input'!$B$26,Y266,Y266-'P-Parametri'!$B$8*(Z266+Y266)+MIN(MAX(Z266,0),'P-Parametri'!$B$8*(Z266+Y266)))</f>
        <v>20009.338153678473</v>
      </c>
      <c r="AB266" s="18">
        <f>IF($A266&gt;'1-Input'!$B$26,Z266,Z266-MIN(MAX(Z266,0),'P-Parametri'!$B$8*(Z266+Y266)))</f>
        <v>67187.840474842538</v>
      </c>
      <c r="AC266" s="18">
        <f>IF($A266&gt;'1-Input'!$B$26,AC265,AC265-X266*(1-W266))</f>
        <v>21577.722133927826</v>
      </c>
      <c r="AD266" s="11">
        <f>IF($A266&gt;'1-Input'!$B$26,0,IF(AI265&lt;=0,0,MAX(0,(AI265-AJ265)/AI265)))</f>
        <v>0.67007745263901075</v>
      </c>
      <c r="AE266" s="18">
        <f>IF($A266&gt;'1-Input'!$B$26,0,(MAX(0,AD231-IF($A266&gt;='1-Input'!$C$12,'1-Input'!$B$12,0))-MIN(MAX(AH265,0),MAX(0,AD231-IF($A266&gt;='1-Input'!$C$12,'1-Input'!$B$12,0))))*(1/(1-'P-Parametri'!$B$6*AD266))+MIN(MAX(0,AI265-(MAX(0,AD231-IF($A266&gt;='1-Input'!$C$12,'1-Input'!$B$12,0))-MIN(MAX(AH265,0),MAX(0,AD231-IF($A266&gt;='1-Input'!$C$12,'1-Input'!$B$12,0))))*(1/(1-'P-Parametri'!$B$6*AD266))),MAX(0,3*MAX(0,AD231-IF($A266&gt;='1-Input'!$C$12,'1-Input'!$B$12,0))-(AH265-MIN(MAX(AH265,0),MAX(0,AD231-IF($A266&gt;='1-Input'!$C$12,'1-Input'!$B$12,0)))))*(1/(1-'P-Parametri'!$B$6*AD266))))</f>
        <v>8188.1675218359724</v>
      </c>
      <c r="AF266" s="18">
        <f>IF($A266&gt;'1-Input'!$B$26,AH265,(AH265-MAX(0,AD231-IF($A266&gt;='1-Input'!$C$12,'1-Input'!$B$12,0))+AE266*(1-'P-Parametri'!$B$6*AD266))*(1+'1-Input'!$B$27))</f>
        <v>19995.890392547142</v>
      </c>
      <c r="AG266" s="18">
        <f>IF($A266&gt;'1-Input'!$B$26,AI265,(AI265-AE266)*(1+'5-Roberta'!$C$4))</f>
        <v>67676.179505807624</v>
      </c>
      <c r="AH266" s="18">
        <f>IF($A266&gt;'1-Input'!$B$26,AF266,AF266-'P-Parametri'!$B$8*(AG266+AF266)+MIN(MAX(AG266,0),'P-Parametri'!$B$8*(AG266+AF266)))</f>
        <v>19995.890392547142</v>
      </c>
      <c r="AI266" s="18">
        <f>IF($A266&gt;'1-Input'!$B$26,AG266,AG266-MIN(MAX(AG266,0),'P-Parametri'!$B$8*(AG266+AF266)))</f>
        <v>67500.835366010913</v>
      </c>
      <c r="AJ266" s="18">
        <f>IF($A266&gt;'1-Input'!$B$26,AJ265,AJ265-AE266*(1-AD266))</f>
        <v>21677.570425452064</v>
      </c>
      <c r="AK266" s="11">
        <f>IF($A266&gt;'1-Input'!$B$26,0,IF(AP265&lt;=0,0,MAX(0,(AP265-AQ265)/AP265)))</f>
        <v>0.67007707511227654</v>
      </c>
      <c r="AL266" s="18">
        <f>IF($A266&gt;'1-Input'!$B$26,0,(MAX(0,AK231-IF($A266&gt;='1-Input'!$C$12,'1-Input'!$B$12,0))-MIN(MAX(AO265,0),MAX(0,AK231-IF($A266&gt;='1-Input'!$C$12,'1-Input'!$B$12,0))))*(1/(1-'P-Parametri'!$B$6*AK266))+MIN(MAX(0,AP265-(MAX(0,AK231-IF($A266&gt;='1-Input'!$C$12,'1-Input'!$B$12,0))-MIN(MAX(AO265,0),MAX(0,AK231-IF($A266&gt;='1-Input'!$C$12,'1-Input'!$B$12,0))))*(1/(1-'P-Parametri'!$B$6*AK266))),MAX(0,3*MAX(0,AK231-IF($A266&gt;='1-Input'!$C$12,'1-Input'!$B$12,0))-(AO265-MIN(MAX(AO265,0),MAX(0,AK231-IF($A266&gt;='1-Input'!$C$12,'1-Input'!$B$12,0)))))*(1/(1-'P-Parametri'!$B$6*AK266))))</f>
        <v>8188.3934778502571</v>
      </c>
      <c r="AM266" s="18">
        <f>IF($A266&gt;'1-Input'!$B$26,AO265,(AO265-MAX(0,AK231-IF($A266&gt;='1-Input'!$C$12,'1-Input'!$B$12,0))+AL266*(1-'P-Parametri'!$B$6*AK266))*(1+'1-Input'!$B$27))</f>
        <v>19996.444564658952</v>
      </c>
      <c r="AN266" s="18">
        <f>IF($A266&gt;'1-Input'!$B$26,AP265,(AP265-AL266)*(1+'5-Roberta'!$C$4))</f>
        <v>67663.256461778612</v>
      </c>
      <c r="AO266" s="18">
        <f>IF($A266&gt;'1-Input'!$B$26,AM266,AM266-'P-Parametri'!$B$8*(AN266+AM266)+MIN(MAX(AN266,0),'P-Parametri'!$B$8*(AN266+AM266)))</f>
        <v>19996.444564658952</v>
      </c>
      <c r="AP266" s="18">
        <f>IF($A266&gt;'1-Input'!$B$26,AN266,AN266-MIN(MAX(AN266,0),'P-Parametri'!$B$8*(AN266+AM266)))</f>
        <v>67487.937059725737</v>
      </c>
      <c r="AQ266" s="18">
        <f>IF($A266&gt;'1-Input'!$B$26,AQ265,AQ265-AL266*(1-AK266))</f>
        <v>21673.45580514384</v>
      </c>
    </row>
    <row r="267" spans="1:43">
      <c r="A267" s="10">
        <f>34</f>
        <v>34</v>
      </c>
      <c r="B267" s="11">
        <f>IF($A267&gt;'1-Input'!$B$26,0,IF(G266&lt;=0,0,MAX(0,(G266-H266)/G266)))</f>
        <v>0.68043872825728879</v>
      </c>
      <c r="C267" s="18">
        <f>IF($A267&gt;'1-Input'!$B$26,0,(MAX(0,B231-IF($A267&gt;='1-Input'!$C$12,'1-Input'!$B$12,0))-MIN(MAX(F266,0),MAX(0,B231-IF($A267&gt;='1-Input'!$C$12,'1-Input'!$B$12,0))))*(1/(1-'P-Parametri'!$B$6*B267))+MIN(MAX(0,G266-(MAX(0,B231-IF($A267&gt;='1-Input'!$C$12,'1-Input'!$B$12,0))-MIN(MAX(F266,0),MAX(0,B231-IF($A267&gt;='1-Input'!$C$12,'1-Input'!$B$12,0))))*(1/(1-'P-Parametri'!$B$6*B267))),MAX(0,3*MAX(0,B231-IF($A267&gt;='1-Input'!$C$12,'1-Input'!$B$12,0))-(F266-MIN(MAX(F266,0),MAX(0,B231-IF($A267&gt;='1-Input'!$C$12,'1-Input'!$B$12,0)))))*(1/(1-'P-Parametri'!$B$6*B267))))</f>
        <v>6851.4220715072433</v>
      </c>
      <c r="D267" s="18">
        <f>IF($A267&gt;'1-Input'!$B$26,F266,(F266-MAX(0,B231-IF($A267&gt;='1-Input'!$C$12,'1-Input'!$B$12,0))+C267*(1-'P-Parametri'!$B$6*B267))*(1+'1-Input'!$B$27))</f>
        <v>16676.912146479448</v>
      </c>
      <c r="E267" s="18">
        <f>IF($A267&gt;'1-Input'!$B$26,G266,(G266-C267)*(1+'5-Roberta'!$C$4))</f>
        <v>141857.57937525044</v>
      </c>
      <c r="F267" s="18">
        <f>IF($A267&gt;'1-Input'!$B$26,D267,D267-'P-Parametri'!$B$8*(E267+D267)+MIN(MAX(E267,0),'P-Parametri'!$B$8*(E267+D267)))</f>
        <v>16676.912146479448</v>
      </c>
      <c r="G267" s="18">
        <f>IF($A267&gt;'1-Input'!$B$26,E267,E267-MIN(MAX(E267,0),'P-Parametri'!$B$8*(E267+D267)))</f>
        <v>141540.51039220698</v>
      </c>
      <c r="H267" s="18">
        <f>IF($A267&gt;'1-Input'!$B$26,H266,H266-C267*(1-B267))</f>
        <v>44011.833467473429</v>
      </c>
      <c r="I267" s="11">
        <f>IF($A267&gt;'1-Input'!$B$26,0,IF(N266&lt;=0,0,MAX(0,(N266-O266)/N266)))</f>
        <v>0</v>
      </c>
      <c r="J267" s="18">
        <f>IF($A267&gt;'1-Input'!$B$26,0,(MAX(0,I231-IF($A267&gt;='1-Input'!$C$12,'1-Input'!$B$12,0))-MIN(MAX(M266,0),MAX(0,I231-IF($A267&gt;='1-Input'!$C$12,'1-Input'!$B$12,0))))*(1/(1-'P-Parametri'!$B$6*I267))+MIN(MAX(0,N266-(MAX(0,I231-IF($A267&gt;='1-Input'!$C$12,'1-Input'!$B$12,0))-MIN(MAX(M266,0),MAX(0,I231-IF($A267&gt;='1-Input'!$C$12,'1-Input'!$B$12,0))))*(1/(1-'P-Parametri'!$B$6*I267))),MAX(0,3*MAX(0,I231-IF($A267&gt;='1-Input'!$C$12,'1-Input'!$B$12,0))-(M266-MIN(MAX(M266,0),MAX(0,I231-IF($A267&gt;='1-Input'!$C$12,'1-Input'!$B$12,0)))))*(1/(1-'P-Parametri'!$B$6*I267))))</f>
        <v>10846.756992928691</v>
      </c>
      <c r="K267" s="18">
        <f>IF($A267&gt;'1-Input'!$B$26,M266,(M266-MAX(0,I231-IF($A267&gt;='1-Input'!$C$12,'1-Input'!$B$12,0))+J267*(1-'P-Parametri'!$B$6*I267))*(1+'1-Input'!$B$27))</f>
        <v>0</v>
      </c>
      <c r="L267" s="18">
        <f>IF($A267&gt;'1-Input'!$B$26,N266,(N266-J267)*(1+'5-Roberta'!$C$4))</f>
        <v>-150251.22673945944</v>
      </c>
      <c r="M267" s="18">
        <f>IF($A267&gt;'1-Input'!$B$26,K267,K267-'P-Parametri'!$B$8*(L267+K267)+MIN(MAX(L267,0),'P-Parametri'!$B$8*(L267+K267)))</f>
        <v>0</v>
      </c>
      <c r="N267" s="18">
        <f>IF($A267&gt;'1-Input'!$B$26,L267,L267-MIN(MAX(L267,0),'P-Parametri'!$B$8*(L267+K267)))</f>
        <v>-149950.72428598051</v>
      </c>
      <c r="O267" s="18">
        <f>IF($A267&gt;'1-Input'!$B$26,O266,O266-J267*(1-I267))</f>
        <v>-125528.19588478043</v>
      </c>
      <c r="P267" s="11">
        <f>IF($A267&gt;'1-Input'!$B$26,0,IF(U266&lt;=0,0,MAX(0,(U266-V266)/U266)))</f>
        <v>0.67827761297471922</v>
      </c>
      <c r="Q267" s="18">
        <f>IF($A267&gt;'1-Input'!$B$26,0,(MAX(0,P231-IF($A267&gt;='1-Input'!$C$12,'1-Input'!$B$12,0))-MIN(MAX(T266,0),MAX(0,P231-IF($A267&gt;='1-Input'!$C$12,'1-Input'!$B$12,0))))*(1/(1-'P-Parametri'!$B$6*P267))+MIN(MAX(0,U266-(MAX(0,P231-IF($A267&gt;='1-Input'!$C$12,'1-Input'!$B$12,0))-MIN(MAX(T266,0),MAX(0,P231-IF($A267&gt;='1-Input'!$C$12,'1-Input'!$B$12,0))))*(1/(1-'P-Parametri'!$B$6*P267))),MAX(0,3*MAX(0,P231-IF($A267&gt;='1-Input'!$C$12,'1-Input'!$B$12,0))-(T266-MIN(MAX(T266,0),MAX(0,P231-IF($A267&gt;='1-Input'!$C$12,'1-Input'!$B$12,0)))))*(1/(1-'P-Parametri'!$B$6*P267))))</f>
        <v>8489.9687289817211</v>
      </c>
      <c r="R267" s="18">
        <f>IF($A267&gt;'1-Input'!$B$26,T266,(T266-MAX(0,P231-IF($A267&gt;='1-Input'!$C$12,'1-Input'!$B$12,0))+Q267*(1-'P-Parametri'!$B$6*P267))*(1+'1-Input'!$B$27))</f>
        <v>20679.373847091269</v>
      </c>
      <c r="S267" s="18">
        <f>IF($A267&gt;'1-Input'!$B$26,U266,(U266-Q267)*(1+'5-Roberta'!$C$4))</f>
        <v>44397.579837734476</v>
      </c>
      <c r="T267" s="18">
        <f>IF($A267&gt;'1-Input'!$B$26,R267,R267-'P-Parametri'!$B$8*(S267+R267)+MIN(MAX(S267,0),'P-Parametri'!$B$8*(S267+R267)))</f>
        <v>20679.373847091269</v>
      </c>
      <c r="U267" s="18">
        <f>IF($A267&gt;'1-Input'!$B$26,S267,S267-MIN(MAX(S267,0),'P-Parametri'!$B$8*(S267+R267)))</f>
        <v>44267.425930364821</v>
      </c>
      <c r="V267" s="18">
        <f>IF($A267&gt;'1-Input'!$B$26,V266,V266-Q267*(1-P267))</f>
        <v>13867.665401496521</v>
      </c>
      <c r="W267" s="11">
        <f>IF($A267&gt;'1-Input'!$B$26,0,IF(AB266&lt;=0,0,MAX(0,(AB266-AC266)/AB266)))</f>
        <v>0.67884483291277575</v>
      </c>
      <c r="X267" s="18">
        <f>IF($A267&gt;'1-Input'!$B$26,0,(MAX(0,W231-IF($A267&gt;='1-Input'!$C$12,'1-Input'!$B$12,0))-MIN(MAX(AA266,0),MAX(0,W231-IF($A267&gt;='1-Input'!$C$12,'1-Input'!$B$12,0))))*(1/(1-'P-Parametri'!$B$6*W267))+MIN(MAX(0,AB266-(MAX(0,W231-IF($A267&gt;='1-Input'!$C$12,'1-Input'!$B$12,0))-MIN(MAX(AA266,0),MAX(0,W231-IF($A267&gt;='1-Input'!$C$12,'1-Input'!$B$12,0))))*(1/(1-'P-Parametri'!$B$6*W267))),MAX(0,3*MAX(0,W231-IF($A267&gt;='1-Input'!$C$12,'1-Input'!$B$12,0))-(AA266-MIN(MAX(AA266,0),MAX(0,W231-IF($A267&gt;='1-Input'!$C$12,'1-Input'!$B$12,0)))))*(1/(1-'P-Parametri'!$B$6*W267))))</f>
        <v>8216.3550655150193</v>
      </c>
      <c r="Y267" s="18">
        <f>IF($A267&gt;'1-Input'!$B$26,AA266,(AA266-MAX(0,W231-IF($A267&gt;='1-Input'!$C$12,'1-Input'!$B$12,0))+X267*(1-'P-Parametri'!$B$6*W267))*(1+'1-Input'!$B$27))</f>
        <v>20009.338153678473</v>
      </c>
      <c r="Z267" s="18">
        <f>IF($A267&gt;'1-Input'!$B$26,AB266,(AB266-X267)*(1+'5-Roberta'!$C$4))</f>
        <v>60740.629971607348</v>
      </c>
      <c r="AA267" s="18">
        <f>IF($A267&gt;'1-Input'!$B$26,Y267,Y267-'P-Parametri'!$B$8*(Z267+Y267)+MIN(MAX(Z267,0),'P-Parametri'!$B$8*(Z267+Y267)))</f>
        <v>20009.338153678473</v>
      </c>
      <c r="AB267" s="18">
        <f>IF($A267&gt;'1-Input'!$B$26,Z267,Z267-MIN(MAX(Z267,0),'P-Parametri'!$B$8*(Z267+Y267)))</f>
        <v>60579.130035356779</v>
      </c>
      <c r="AC267" s="18">
        <f>IF($A267&gt;'1-Input'!$B$26,AC266,AC266-X267*(1-W267))</f>
        <v>18938.997250014389</v>
      </c>
      <c r="AD267" s="11">
        <f>IF($A267&gt;'1-Input'!$B$26,0,IF(AI266&lt;=0,0,MAX(0,(AI266-AJ266)/AI266)))</f>
        <v>0.67885478293847157</v>
      </c>
      <c r="AE267" s="18">
        <f>IF($A267&gt;'1-Input'!$B$26,0,(MAX(0,AD231-IF($A267&gt;='1-Input'!$C$12,'1-Input'!$B$12,0))-MIN(MAX(AH266,0),MAX(0,AD231-IF($A267&gt;='1-Input'!$C$12,'1-Input'!$B$12,0))))*(1/(1-'P-Parametri'!$B$6*AD267))+MIN(MAX(0,AI266-(MAX(0,AD231-IF($A267&gt;='1-Input'!$C$12,'1-Input'!$B$12,0))-MIN(MAX(AH266,0),MAX(0,AD231-IF($A267&gt;='1-Input'!$C$12,'1-Input'!$B$12,0))))*(1/(1-'P-Parametri'!$B$6*AD267))),MAX(0,3*MAX(0,AD231-IF($A267&gt;='1-Input'!$C$12,'1-Input'!$B$12,0))-(AH266-MIN(MAX(AH266,0),MAX(0,AD231-IF($A267&gt;='1-Input'!$C$12,'1-Input'!$B$12,0)))))*(1/(1-'P-Parametri'!$B$6*AD267))))</f>
        <v>8210.8588589822411</v>
      </c>
      <c r="AF267" s="18">
        <f>IF($A267&gt;'1-Input'!$B$26,AH266,(AH266-MAX(0,AD231-IF($A267&gt;='1-Input'!$C$12,'1-Input'!$B$12,0))+AE267*(1-'P-Parametri'!$B$6*AD267))*(1+'1-Input'!$B$27))</f>
        <v>19995.890392547142</v>
      </c>
      <c r="AG267" s="18">
        <f>IF($A267&gt;'1-Input'!$B$26,AI266,(AI266-AE267)*(1+'5-Roberta'!$C$4))</f>
        <v>61068.675802239537</v>
      </c>
      <c r="AH267" s="18">
        <f>IF($A267&gt;'1-Input'!$B$26,AF267,AF267-'P-Parametri'!$B$8*(AG267+AF267)+MIN(MAX(AG267,0),'P-Parametri'!$B$8*(AG267+AF267)))</f>
        <v>19995.890392547142</v>
      </c>
      <c r="AI267" s="18">
        <f>IF($A267&gt;'1-Input'!$B$26,AG267,AG267-MIN(MAX(AG267,0),'P-Parametri'!$B$8*(AG267+AF267)))</f>
        <v>60906.546669849966</v>
      </c>
      <c r="AJ267" s="18">
        <f>IF($A267&gt;'1-Input'!$B$26,AJ266,AJ266-AE267*(1-AD267))</f>
        <v>19040.692374922641</v>
      </c>
      <c r="AK267" s="11">
        <f>IF($A267&gt;'1-Input'!$B$26,0,IF(AP266&lt;=0,0,MAX(0,(AP266-AQ266)/AP266)))</f>
        <v>0.67885437384219971</v>
      </c>
      <c r="AL267" s="18">
        <f>IF($A267&gt;'1-Input'!$B$26,0,(MAX(0,AK231-IF($A267&gt;='1-Input'!$C$12,'1-Input'!$B$12,0))-MIN(MAX(AO266,0),MAX(0,AK231-IF($A267&gt;='1-Input'!$C$12,'1-Input'!$B$12,0))))*(1/(1-'P-Parametri'!$B$6*AK267))+MIN(MAX(0,AP266-(MAX(0,AK231-IF($A267&gt;='1-Input'!$C$12,'1-Input'!$B$12,0))-MIN(MAX(AO266,0),MAX(0,AK231-IF($A267&gt;='1-Input'!$C$12,'1-Input'!$B$12,0))))*(1/(1-'P-Parametri'!$B$6*AK267))),MAX(0,3*MAX(0,AK231-IF($A267&gt;='1-Input'!$C$12,'1-Input'!$B$12,0))-(AO266-MIN(MAX(AO266,0),MAX(0,AK231-IF($A267&gt;='1-Input'!$C$12,'1-Input'!$B$12,0)))))*(1/(1-'P-Parametri'!$B$6*AK267))))</f>
        <v>8211.0853566263377</v>
      </c>
      <c r="AM267" s="18">
        <f>IF($A267&gt;'1-Input'!$B$26,AO266,(AO266-MAX(0,AK231-IF($A267&gt;='1-Input'!$C$12,'1-Input'!$B$12,0))+AL267*(1-'P-Parametri'!$B$6*AK267))*(1+'1-Input'!$B$27))</f>
        <v>19996.444564658952</v>
      </c>
      <c r="AN267" s="18">
        <f>IF($A267&gt;'1-Input'!$B$26,AP266,(AP266-AL267)*(1+'5-Roberta'!$C$4))</f>
        <v>61055.157254192382</v>
      </c>
      <c r="AO267" s="18">
        <f>IF($A267&gt;'1-Input'!$B$26,AM267,AM267-'P-Parametri'!$B$8*(AN267+AM267)+MIN(MAX(AN267,0),'P-Parametri'!$B$8*(AN267+AM267)))</f>
        <v>19996.444564658952</v>
      </c>
      <c r="AP267" s="18">
        <f>IF($A267&gt;'1-Input'!$B$26,AN267,AN267-MIN(MAX(AN267,0),'P-Parametri'!$B$8*(AN267+AM267)))</f>
        <v>60893.054050554681</v>
      </c>
      <c r="AQ267" s="18">
        <f>IF($A267&gt;'1-Input'!$B$26,AQ266,AQ266-AL267*(1-AK267))</f>
        <v>19036.501656854929</v>
      </c>
    </row>
    <row r="268" spans="1:43">
      <c r="A268" s="10">
        <f>35</f>
        <v>35</v>
      </c>
      <c r="B268" s="11">
        <f>IF($A268&gt;'1-Input'!$B$26,0,IF(G267&lt;=0,0,MAX(0,(G267-H267)/G267)))</f>
        <v>0.68905132993008733</v>
      </c>
      <c r="C268" s="18">
        <f>IF($A268&gt;'1-Input'!$B$26,0,(MAX(0,B231-IF($A268&gt;='1-Input'!$C$12,'1-Input'!$B$12,0))-MIN(MAX(F267,0),MAX(0,B231-IF($A268&gt;='1-Input'!$C$12,'1-Input'!$B$12,0))))*(1/(1-'P-Parametri'!$B$6*B268))+MIN(MAX(0,G267-(MAX(0,B231-IF($A268&gt;='1-Input'!$C$12,'1-Input'!$B$12,0))-MIN(MAX(F267,0),MAX(0,B231-IF($A268&gt;='1-Input'!$C$12,'1-Input'!$B$12,0))))*(1/(1-'P-Parametri'!$B$6*B268))),MAX(0,3*MAX(0,B231-IF($A268&gt;='1-Input'!$C$12,'1-Input'!$B$12,0))-(F267-MIN(MAX(F267,0),MAX(0,B231-IF($A268&gt;='1-Input'!$C$12,'1-Input'!$B$12,0)))))*(1/(1-'P-Parametri'!$B$6*B268))))</f>
        <v>6870.1128073610444</v>
      </c>
      <c r="D268" s="18">
        <f>IF($A268&gt;'1-Input'!$B$26,F267,(F267-MAX(0,B231-IF($A268&gt;='1-Input'!$C$12,'1-Input'!$B$12,0))+C268*(1-'P-Parametri'!$B$6*B268))*(1+'1-Input'!$B$27))</f>
        <v>16676.912146479448</v>
      </c>
      <c r="E268" s="18">
        <f>IF($A268&gt;'1-Input'!$B$26,G267,(G267-C268)*(1+'5-Roberta'!$C$4))</f>
        <v>138710.50951239135</v>
      </c>
      <c r="F268" s="18">
        <f>IF($A268&gt;'1-Input'!$B$26,D268,D268-'P-Parametri'!$B$8*(E268+D268)+MIN(MAX(E268,0),'P-Parametri'!$B$8*(E268+D268)))</f>
        <v>16676.912146479448</v>
      </c>
      <c r="G268" s="18">
        <f>IF($A268&gt;'1-Input'!$B$26,E268,E268-MIN(MAX(E268,0),'P-Parametri'!$B$8*(E268+D268)))</f>
        <v>138399.7346690736</v>
      </c>
      <c r="H268" s="18">
        <f>IF($A268&gt;'1-Input'!$B$26,H267,H267-C268*(1-B268))</f>
        <v>41875.581026794236</v>
      </c>
      <c r="I268" s="11">
        <f>IF($A268&gt;'1-Input'!$B$26,0,IF(N267&lt;=0,0,MAX(0,(N267-O267)/N267)))</f>
        <v>0</v>
      </c>
      <c r="J268" s="18">
        <f>IF($A268&gt;'1-Input'!$B$26,0,(MAX(0,I231-IF($A268&gt;='1-Input'!$C$12,'1-Input'!$B$12,0))-MIN(MAX(M267,0),MAX(0,I231-IF($A268&gt;='1-Input'!$C$12,'1-Input'!$B$12,0))))*(1/(1-'P-Parametri'!$B$6*I268))+MIN(MAX(0,N267-(MAX(0,I231-IF($A268&gt;='1-Input'!$C$12,'1-Input'!$B$12,0))-MIN(MAX(M267,0),MAX(0,I231-IF($A268&gt;='1-Input'!$C$12,'1-Input'!$B$12,0))))*(1/(1-'P-Parametri'!$B$6*I268))),MAX(0,3*MAX(0,I231-IF($A268&gt;='1-Input'!$C$12,'1-Input'!$B$12,0))-(M267-MIN(MAX(M267,0),MAX(0,I231-IF($A268&gt;='1-Input'!$C$12,'1-Input'!$B$12,0)))))*(1/(1-'P-Parametri'!$B$6*I268))))</f>
        <v>10846.756992928691</v>
      </c>
      <c r="K268" s="18">
        <f>IF($A268&gt;'1-Input'!$B$26,M267,(M267-MAX(0,I231-IF($A268&gt;='1-Input'!$C$12,'1-Input'!$B$12,0))+J268*(1-'P-Parametri'!$B$6*I268))*(1+'1-Input'!$B$27))</f>
        <v>0</v>
      </c>
      <c r="L268" s="18">
        <f>IF($A268&gt;'1-Input'!$B$26,N267,(N267-J268)*(1+'5-Roberta'!$C$4))</f>
        <v>-165621.40571727647</v>
      </c>
      <c r="M268" s="18">
        <f>IF($A268&gt;'1-Input'!$B$26,K268,K268-'P-Parametri'!$B$8*(L268+K268)+MIN(MAX(L268,0),'P-Parametri'!$B$8*(L268+K268)))</f>
        <v>0</v>
      </c>
      <c r="N268" s="18">
        <f>IF($A268&gt;'1-Input'!$B$26,L268,L268-MIN(MAX(L268,0),'P-Parametri'!$B$8*(L268+K268)))</f>
        <v>-165290.16290584192</v>
      </c>
      <c r="O268" s="18">
        <f>IF($A268&gt;'1-Input'!$B$26,O267,O267-J268*(1-I268))</f>
        <v>-136374.95287770912</v>
      </c>
      <c r="P268" s="11">
        <f>IF($A268&gt;'1-Input'!$B$26,0,IF(U267&lt;=0,0,MAX(0,(U267-V267)/U267)))</f>
        <v>0.68672979939445433</v>
      </c>
      <c r="Q268" s="18">
        <f>IF($A268&gt;'1-Input'!$B$26,0,(MAX(0,P231-IF($A268&gt;='1-Input'!$C$12,'1-Input'!$B$12,0))-MIN(MAX(T267,0),MAX(0,P231-IF($A268&gt;='1-Input'!$C$12,'1-Input'!$B$12,0))))*(1/(1-'P-Parametri'!$B$6*P268))+MIN(MAX(0,U267-(MAX(0,P231-IF($A268&gt;='1-Input'!$C$12,'1-Input'!$B$12,0))-MIN(MAX(T267,0),MAX(0,P231-IF($A268&gt;='1-Input'!$C$12,'1-Input'!$B$12,0))))*(1/(1-'P-Parametri'!$B$6*P268))),MAX(0,3*MAX(0,P231-IF($A268&gt;='1-Input'!$C$12,'1-Input'!$B$12,0))-(T267-MIN(MAX(T267,0),MAX(0,P231-IF($A268&gt;='1-Input'!$C$12,'1-Input'!$B$12,0)))))*(1/(1-'P-Parametri'!$B$6*P268))))</f>
        <v>8512.6813491723151</v>
      </c>
      <c r="R268" s="18">
        <f>IF($A268&gt;'1-Input'!$B$26,T267,(T267-MAX(0,P231-IF($A268&gt;='1-Input'!$C$12,'1-Input'!$B$12,0))+Q268*(1-'P-Parametri'!$B$6*P268))*(1+'1-Input'!$B$27))</f>
        <v>20679.373847091269</v>
      </c>
      <c r="S268" s="18">
        <f>IF($A268&gt;'1-Input'!$B$26,U267,(U267-Q268)*(1+'5-Roberta'!$C$4))</f>
        <v>36827.386918628283</v>
      </c>
      <c r="T268" s="18">
        <f>IF($A268&gt;'1-Input'!$B$26,R268,R268-'P-Parametri'!$B$8*(S268+R268)+MIN(MAX(S268,0),'P-Parametri'!$B$8*(S268+R268)))</f>
        <v>20679.373847091269</v>
      </c>
      <c r="U268" s="18">
        <f>IF($A268&gt;'1-Input'!$B$26,S268,S268-MIN(MAX(S268,0),'P-Parametri'!$B$8*(S268+R268)))</f>
        <v>36712.373397096846</v>
      </c>
      <c r="V268" s="18">
        <f>IF($A268&gt;'1-Input'!$B$26,V267,V267-Q268*(1-P268))</f>
        <v>11200.896007550222</v>
      </c>
      <c r="W268" s="11">
        <f>IF($A268&gt;'1-Input'!$B$26,0,IF(AB267&lt;=0,0,MAX(0,(AB267-AC267)/AB267)))</f>
        <v>0.68736762579850985</v>
      </c>
      <c r="X268" s="18">
        <f>IF($A268&gt;'1-Input'!$B$26,0,(MAX(0,W231-IF($A268&gt;='1-Input'!$C$12,'1-Input'!$B$12,0))-MIN(MAX(AA267,0),MAX(0,W231-IF($A268&gt;='1-Input'!$C$12,'1-Input'!$B$12,0))))*(1/(1-'P-Parametri'!$B$6*W268))+MIN(MAX(0,AB267-(MAX(0,W231-IF($A268&gt;='1-Input'!$C$12,'1-Input'!$B$12,0))-MIN(MAX(AA267,0),MAX(0,W231-IF($A268&gt;='1-Input'!$C$12,'1-Input'!$B$12,0))))*(1/(1-'P-Parametri'!$B$6*W268))),MAX(0,3*MAX(0,W231-IF($A268&gt;='1-Input'!$C$12,'1-Input'!$B$12,0))-(AA267-MIN(MAX(AA267,0),MAX(0,W231-IF($A268&gt;='1-Input'!$C$12,'1-Input'!$B$12,0)))))*(1/(1-'P-Parametri'!$B$6*W268))))</f>
        <v>8238.5237998370158</v>
      </c>
      <c r="Y268" s="18">
        <f>IF($A268&gt;'1-Input'!$B$26,AA267,(AA267-MAX(0,W231-IF($A268&gt;='1-Input'!$C$12,'1-Input'!$B$12,0))+X268*(1-'P-Parametri'!$B$6*W268))*(1+'1-Input'!$B$27))</f>
        <v>20009.338153678473</v>
      </c>
      <c r="Z268" s="18">
        <f>IF($A268&gt;'1-Input'!$B$26,AB267,(AB267-X268)*(1+'5-Roberta'!$C$4))</f>
        <v>53910.824422585356</v>
      </c>
      <c r="AA268" s="18">
        <f>IF($A268&gt;'1-Input'!$B$26,Y268,Y268-'P-Parametri'!$B$8*(Z268+Y268)+MIN(MAX(Z268,0),'P-Parametri'!$B$8*(Z268+Y268)))</f>
        <v>20009.338153678473</v>
      </c>
      <c r="AB268" s="18">
        <f>IF($A268&gt;'1-Input'!$B$26,Z268,Z268-MIN(MAX(Z268,0),'P-Parametri'!$B$8*(Z268+Y268)))</f>
        <v>53762.984097432825</v>
      </c>
      <c r="AC268" s="18">
        <f>IF($A268&gt;'1-Input'!$B$26,AC267,AC267-X268*(1-W268))</f>
        <v>16363.36799455586</v>
      </c>
      <c r="AD268" s="11">
        <f>IF($A268&gt;'1-Input'!$B$26,0,IF(AI267&lt;=0,0,MAX(0,(AI267-AJ267)/AI267)))</f>
        <v>0.6873785591861804</v>
      </c>
      <c r="AE268" s="18">
        <f>IF($A268&gt;'1-Input'!$B$26,0,(MAX(0,AD231-IF($A268&gt;='1-Input'!$C$12,'1-Input'!$B$12,0))-MIN(MAX(AH267,0),MAX(0,AD231-IF($A268&gt;='1-Input'!$C$12,'1-Input'!$B$12,0))))*(1/(1-'P-Parametri'!$B$6*AD268))+MIN(MAX(0,AI267-(MAX(0,AD231-IF($A268&gt;='1-Input'!$C$12,'1-Input'!$B$12,0))-MIN(MAX(AH267,0),MAX(0,AD231-IF($A268&gt;='1-Input'!$C$12,'1-Input'!$B$12,0))))*(1/(1-'P-Parametri'!$B$6*AD268))),MAX(0,3*MAX(0,AD231-IF($A268&gt;='1-Input'!$C$12,'1-Input'!$B$12,0))-(AH267-MIN(MAX(AH267,0),MAX(0,AD231-IF($A268&gt;='1-Input'!$C$12,'1-Input'!$B$12,0)))))*(1/(1-'P-Parametri'!$B$6*AD268))))</f>
        <v>8233.0153966771595</v>
      </c>
      <c r="AF268" s="18">
        <f>IF($A268&gt;'1-Input'!$B$26,AH267,(AH267-MAX(0,AD231-IF($A268&gt;='1-Input'!$C$12,'1-Input'!$B$12,0))+AE268*(1-'P-Parametri'!$B$6*AD268))*(1+'1-Input'!$B$27))</f>
        <v>19995.890392547142</v>
      </c>
      <c r="AG268" s="18">
        <f>IF($A268&gt;'1-Input'!$B$26,AI267,(AI267-AE268)*(1+'5-Roberta'!$C$4))</f>
        <v>54253.737211367988</v>
      </c>
      <c r="AH268" s="18">
        <f>IF($A268&gt;'1-Input'!$B$26,AF268,AF268-'P-Parametri'!$B$8*(AG268+AF268)+MIN(MAX(AG268,0),'P-Parametri'!$B$8*(AG268+AF268)))</f>
        <v>19995.890392547142</v>
      </c>
      <c r="AI268" s="18">
        <f>IF($A268&gt;'1-Input'!$B$26,AG268,AG268-MIN(MAX(AG268,0),'P-Parametri'!$B$8*(AG268+AF268)))</f>
        <v>54105.237956160156</v>
      </c>
      <c r="AJ268" s="18">
        <f>IF($A268&gt;'1-Input'!$B$26,AJ267,AJ267-AE268*(1-AD268))</f>
        <v>16466.875239371067</v>
      </c>
      <c r="AK268" s="11">
        <f>IF($A268&gt;'1-Input'!$B$26,0,IF(AP267&lt;=0,0,MAX(0,(AP267-AQ267)/AP267)))</f>
        <v>0.68737810980788661</v>
      </c>
      <c r="AL268" s="18">
        <f>IF($A268&gt;'1-Input'!$B$26,0,(MAX(0,AK231-IF($A268&gt;='1-Input'!$C$12,'1-Input'!$B$12,0))-MIN(MAX(AO267,0),MAX(0,AK231-IF($A268&gt;='1-Input'!$C$12,'1-Input'!$B$12,0))))*(1/(1-'P-Parametri'!$B$6*AK268))+MIN(MAX(0,AP267-(MAX(0,AK231-IF($A268&gt;='1-Input'!$C$12,'1-Input'!$B$12,0))-MIN(MAX(AO267,0),MAX(0,AK231-IF($A268&gt;='1-Input'!$C$12,'1-Input'!$B$12,0))))*(1/(1-'P-Parametri'!$B$6*AK268))),MAX(0,3*MAX(0,AK231-IF($A268&gt;='1-Input'!$C$12,'1-Input'!$B$12,0))-(AO267-MIN(MAX(AO267,0),MAX(0,AK231-IF($A268&gt;='1-Input'!$C$12,'1-Input'!$B$12,0)))))*(1/(1-'P-Parametri'!$B$6*AK268))))</f>
        <v>8233.242397648999</v>
      </c>
      <c r="AM268" s="18">
        <f>IF($A268&gt;'1-Input'!$B$26,AO267,(AO267-MAX(0,AK231-IF($A268&gt;='1-Input'!$C$12,'1-Input'!$B$12,0))+AL268*(1-'P-Parametri'!$B$6*AK268))*(1+'1-Input'!$B$27))</f>
        <v>19996.444564658952</v>
      </c>
      <c r="AN268" s="18">
        <f>IF($A268&gt;'1-Input'!$B$26,AP267,(AP267-AL268)*(1+'5-Roberta'!$C$4))</f>
        <v>54239.606002492859</v>
      </c>
      <c r="AO268" s="18">
        <f>IF($A268&gt;'1-Input'!$B$26,AM268,AM268-'P-Parametri'!$B$8*(AN268+AM268)+MIN(MAX(AN268,0),'P-Parametri'!$B$8*(AN268+AM268)))</f>
        <v>19996.444564658952</v>
      </c>
      <c r="AP268" s="18">
        <f>IF($A268&gt;'1-Input'!$B$26,AN268,AN268-MIN(MAX(AN268,0),'P-Parametri'!$B$8*(AN268+AM268)))</f>
        <v>54091.133901358553</v>
      </c>
      <c r="AQ268" s="18">
        <f>IF($A268&gt;'1-Input'!$B$26,AQ267,AQ267-AL268*(1-AK268))</f>
        <v>16462.609856092051</v>
      </c>
    </row>
    <row r="269" spans="1:43">
      <c r="A269" s="10">
        <f>36</f>
        <v>36</v>
      </c>
      <c r="B269" s="11">
        <f>IF($A269&gt;'1-Input'!$B$26,0,IF(G268&lt;=0,0,MAX(0,(G268-H268)/G268)))</f>
        <v>0.69743019286183905</v>
      </c>
      <c r="C269" s="18">
        <f>IF($A269&gt;'1-Input'!$B$26,0,(MAX(0,B231-IF($A269&gt;='1-Input'!$C$12,'1-Input'!$B$12,0))-MIN(MAX(F268,0),MAX(0,B231-IF($A269&gt;='1-Input'!$C$12,'1-Input'!$B$12,0))))*(1/(1-'P-Parametri'!$B$6*B269))+MIN(MAX(0,G268-(MAX(0,B231-IF($A269&gt;='1-Input'!$C$12,'1-Input'!$B$12,0))-MIN(MAX(F268,0),MAX(0,B231-IF($A269&gt;='1-Input'!$C$12,'1-Input'!$B$12,0))))*(1/(1-'P-Parametri'!$B$6*B269))),MAX(0,3*MAX(0,B231-IF($A269&gt;='1-Input'!$C$12,'1-Input'!$B$12,0))-(F268-MIN(MAX(F268,0),MAX(0,B231-IF($A269&gt;='1-Input'!$C$12,'1-Input'!$B$12,0)))))*(1/(1-'P-Parametri'!$B$6*B269))))</f>
        <v>6888.3944159989978</v>
      </c>
      <c r="D269" s="18">
        <f>IF($A269&gt;'1-Input'!$B$26,F268,(F268-MAX(0,B231-IF($A269&gt;='1-Input'!$C$12,'1-Input'!$B$12,0))+C269*(1-'P-Parametri'!$B$6*B269))*(1+'1-Input'!$B$27))</f>
        <v>16676.912146479448</v>
      </c>
      <c r="E269" s="18">
        <f>IF($A269&gt;'1-Input'!$B$26,G268,(G268-C269)*(1+'5-Roberta'!$C$4))</f>
        <v>135456.68046066683</v>
      </c>
      <c r="F269" s="18">
        <f>IF($A269&gt;'1-Input'!$B$26,D269,D269-'P-Parametri'!$B$8*(E269+D269)+MIN(MAX(E269,0),'P-Parametri'!$B$8*(E269+D269)))</f>
        <v>16676.912146479448</v>
      </c>
      <c r="G269" s="18">
        <f>IF($A269&gt;'1-Input'!$B$26,E269,E269-MIN(MAX(E269,0),'P-Parametri'!$B$8*(E269+D269)))</f>
        <v>135152.41327545253</v>
      </c>
      <c r="H269" s="18">
        <f>IF($A269&gt;'1-Input'!$B$26,H268,H268-C269*(1-B269))</f>
        <v>39791.360856853833</v>
      </c>
      <c r="I269" s="11">
        <f>IF($A269&gt;'1-Input'!$B$26,0,IF(N268&lt;=0,0,MAX(0,(N268-O268)/N268)))</f>
        <v>0</v>
      </c>
      <c r="J269" s="18">
        <f>IF($A269&gt;'1-Input'!$B$26,0,(MAX(0,I231-IF($A269&gt;='1-Input'!$C$12,'1-Input'!$B$12,0))-MIN(MAX(M268,0),MAX(0,I231-IF($A269&gt;='1-Input'!$C$12,'1-Input'!$B$12,0))))*(1/(1-'P-Parametri'!$B$6*I269))+MIN(MAX(0,N268-(MAX(0,I231-IF($A269&gt;='1-Input'!$C$12,'1-Input'!$B$12,0))-MIN(MAX(M268,0),MAX(0,I231-IF($A269&gt;='1-Input'!$C$12,'1-Input'!$B$12,0))))*(1/(1-'P-Parametri'!$B$6*I269))),MAX(0,3*MAX(0,I231-IF($A269&gt;='1-Input'!$C$12,'1-Input'!$B$12,0))-(M268-MIN(MAX(M268,0),MAX(0,I231-IF($A269&gt;='1-Input'!$C$12,'1-Input'!$B$12,0)))))*(1/(1-'P-Parametri'!$B$6*I269))))</f>
        <v>10846.756992928691</v>
      </c>
      <c r="K269" s="18">
        <f>IF($A269&gt;'1-Input'!$B$26,M268,(M268-MAX(0,I231-IF($A269&gt;='1-Input'!$C$12,'1-Input'!$B$12,0))+J269*(1-'P-Parametri'!$B$6*I269))*(1+'1-Input'!$B$27))</f>
        <v>0</v>
      </c>
      <c r="L269" s="18">
        <f>IF($A269&gt;'1-Input'!$B$26,N268,(N268-J269)*(1+'5-Roberta'!$C$4))</f>
        <v>-181421.02749573372</v>
      </c>
      <c r="M269" s="18">
        <f>IF($A269&gt;'1-Input'!$B$26,K269,K269-'P-Parametri'!$B$8*(L269+K269)+MIN(MAX(L269,0),'P-Parametri'!$B$8*(L269+K269)))</f>
        <v>0</v>
      </c>
      <c r="N269" s="18">
        <f>IF($A269&gt;'1-Input'!$B$26,L269,L269-MIN(MAX(L269,0),'P-Parametri'!$B$8*(L269+K269)))</f>
        <v>-181058.18544074227</v>
      </c>
      <c r="O269" s="18">
        <f>IF($A269&gt;'1-Input'!$B$26,O268,O268-J269*(1-I269))</f>
        <v>-147221.7098706378</v>
      </c>
      <c r="P269" s="11">
        <f>IF($A269&gt;'1-Input'!$B$26,0,IF(U268&lt;=0,0,MAX(0,(U268-V268)/U268)))</f>
        <v>0.6949013378569534</v>
      </c>
      <c r="Q269" s="18">
        <f>IF($A269&gt;'1-Input'!$B$26,0,(MAX(0,P231-IF($A269&gt;='1-Input'!$C$12,'1-Input'!$B$12,0))-MIN(MAX(T268,0),MAX(0,P231-IF($A269&gt;='1-Input'!$C$12,'1-Input'!$B$12,0))))*(1/(1-'P-Parametri'!$B$6*P269))+MIN(MAX(0,U268-(MAX(0,P231-IF($A269&gt;='1-Input'!$C$12,'1-Input'!$B$12,0))-MIN(MAX(T268,0),MAX(0,P231-IF($A269&gt;='1-Input'!$C$12,'1-Input'!$B$12,0))))*(1/(1-'P-Parametri'!$B$6*P269))),MAX(0,3*MAX(0,P231-IF($A269&gt;='1-Input'!$C$12,'1-Input'!$B$12,0))-(T268-MIN(MAX(T268,0),MAX(0,P231-IF($A269&gt;='1-Input'!$C$12,'1-Input'!$B$12,0)))))*(1/(1-'P-Parametri'!$B$6*P269))))</f>
        <v>8534.7556522884915</v>
      </c>
      <c r="R269" s="18">
        <f>IF($A269&gt;'1-Input'!$B$26,T268,(T268-MAX(0,P231-IF($A269&gt;='1-Input'!$C$12,'1-Input'!$B$12,0))+Q269*(1-'P-Parametri'!$B$6*P269))*(1+'1-Input'!$B$27))</f>
        <v>20679.373847091269</v>
      </c>
      <c r="S269" s="18">
        <f>IF($A269&gt;'1-Input'!$B$26,U268,(U268-Q269)*(1+'5-Roberta'!$C$4))</f>
        <v>29022.946277152605</v>
      </c>
      <c r="T269" s="18">
        <f>IF($A269&gt;'1-Input'!$B$26,R269,R269-'P-Parametri'!$B$8*(S269+R269)+MIN(MAX(S269,0),'P-Parametri'!$B$8*(S269+R269)))</f>
        <v>20679.373847091269</v>
      </c>
      <c r="U269" s="18">
        <f>IF($A269&gt;'1-Input'!$B$26,S269,S269-MIN(MAX(S269,0),'P-Parametri'!$B$8*(S269+R269)))</f>
        <v>28923.541636904116</v>
      </c>
      <c r="V269" s="18">
        <f>IF($A269&gt;'1-Input'!$B$26,V268,V268-Q269*(1-P269))</f>
        <v>8596.9534763191987</v>
      </c>
      <c r="W269" s="11">
        <f>IF($A269&gt;'1-Input'!$B$26,0,IF(AB268&lt;=0,0,MAX(0,(AB268-AC268)/AB268)))</f>
        <v>0.69563876951284764</v>
      </c>
      <c r="X269" s="18">
        <f>IF($A269&gt;'1-Input'!$B$26,0,(MAX(0,W231-IF($A269&gt;='1-Input'!$C$12,'1-Input'!$B$12,0))-MIN(MAX(AA268,0),MAX(0,W231-IF($A269&gt;='1-Input'!$C$12,'1-Input'!$B$12,0))))*(1/(1-'P-Parametri'!$B$6*W269))+MIN(MAX(0,AB268-(MAX(0,W231-IF($A269&gt;='1-Input'!$C$12,'1-Input'!$B$12,0))-MIN(MAX(AA268,0),MAX(0,W231-IF($A269&gt;='1-Input'!$C$12,'1-Input'!$B$12,0))))*(1/(1-'P-Parametri'!$B$6*W269))),MAX(0,3*MAX(0,W231-IF($A269&gt;='1-Input'!$C$12,'1-Input'!$B$12,0))-(AA268-MIN(MAX(AA268,0),MAX(0,W231-IF($A269&gt;='1-Input'!$C$12,'1-Input'!$B$12,0)))))*(1/(1-'P-Parametri'!$B$6*W269))))</f>
        <v>8260.1526486711864</v>
      </c>
      <c r="Y269" s="18">
        <f>IF($A269&gt;'1-Input'!$B$26,AA268,(AA268-MAX(0,W231-IF($A269&gt;='1-Input'!$C$12,'1-Input'!$B$12,0))+X269*(1-'P-Parametri'!$B$6*W269))*(1+'1-Input'!$B$27))</f>
        <v>20009.338153678473</v>
      </c>
      <c r="Z269" s="18">
        <f>IF($A269&gt;'1-Input'!$B$26,AB268,(AB268-X269)*(1+'5-Roberta'!$C$4))</f>
        <v>46867.916392224484</v>
      </c>
      <c r="AA269" s="18">
        <f>IF($A269&gt;'1-Input'!$B$26,Y269,Y269-'P-Parametri'!$B$8*(Z269+Y269)+MIN(MAX(Z269,0),'P-Parametri'!$B$8*(Z269+Y269)))</f>
        <v>20009.338153678473</v>
      </c>
      <c r="AB269" s="18">
        <f>IF($A269&gt;'1-Input'!$B$26,Z269,Z269-MIN(MAX(Z269,0),'P-Parametri'!$B$8*(Z269+Y269)))</f>
        <v>46734.161883132678</v>
      </c>
      <c r="AC269" s="18">
        <f>IF($A269&gt;'1-Input'!$B$26,AC268,AC268-X269*(1-W269))</f>
        <v>13849.297770394587</v>
      </c>
      <c r="AD269" s="11">
        <f>IF($A269&gt;'1-Input'!$B$26,0,IF(AI268&lt;=0,0,MAX(0,(AI268-AJ268)/AI268)))</f>
        <v>0.69565099680896547</v>
      </c>
      <c r="AE269" s="18">
        <f>IF($A269&gt;'1-Input'!$B$26,0,(MAX(0,AD231-IF($A269&gt;='1-Input'!$C$12,'1-Input'!$B$12,0))-MIN(MAX(AH268,0),MAX(0,AD231-IF($A269&gt;='1-Input'!$C$12,'1-Input'!$B$12,0))))*(1/(1-'P-Parametri'!$B$6*AD269))+MIN(MAX(0,AI268-(MAX(0,AD231-IF($A269&gt;='1-Input'!$C$12,'1-Input'!$B$12,0))-MIN(MAX(AH268,0),MAX(0,AD231-IF($A269&gt;='1-Input'!$C$12,'1-Input'!$B$12,0))))*(1/(1-'P-Parametri'!$B$6*AD269))),MAX(0,3*MAX(0,AD231-IF($A269&gt;='1-Input'!$C$12,'1-Input'!$B$12,0))-(AH268-MIN(MAX(AH268,0),MAX(0,AD231-IF($A269&gt;='1-Input'!$C$12,'1-Input'!$B$12,0)))))*(1/(1-'P-Parametri'!$B$6*AD269))))</f>
        <v>8254.6332493099871</v>
      </c>
      <c r="AF269" s="18">
        <f>IF($A269&gt;'1-Input'!$B$26,AH268,(AH268-MAX(0,AD231-IF($A269&gt;='1-Input'!$C$12,'1-Input'!$B$12,0))+AE269*(1-'P-Parametri'!$B$6*AD269))*(1+'1-Input'!$B$27))</f>
        <v>19995.890392547142</v>
      </c>
      <c r="AG269" s="18">
        <f>IF($A269&gt;'1-Input'!$B$26,AI268,(AI268-AE269)*(1+'5-Roberta'!$C$4))</f>
        <v>47226.122848055667</v>
      </c>
      <c r="AH269" s="18">
        <f>IF($A269&gt;'1-Input'!$B$26,AF269,AF269-'P-Parametri'!$B$8*(AG269+AF269)+MIN(MAX(AG269,0),'P-Parametri'!$B$8*(AG269+AF269)))</f>
        <v>19995.890392547142</v>
      </c>
      <c r="AI269" s="18">
        <f>IF($A269&gt;'1-Input'!$B$26,AG269,AG269-MIN(MAX(AG269,0),'P-Parametri'!$B$8*(AG269+AF269)))</f>
        <v>47091.67882157446</v>
      </c>
      <c r="AJ269" s="18">
        <f>IF($A269&gt;'1-Input'!$B$26,AJ268,AJ268-AE269*(1-AD269))</f>
        <v>13954.585838236002</v>
      </c>
      <c r="AK269" s="11">
        <f>IF($A269&gt;'1-Input'!$B$26,0,IF(AP268&lt;=0,0,MAX(0,(AP268-AQ268)/AP268)))</f>
        <v>0.69565049447634941</v>
      </c>
      <c r="AL269" s="18">
        <f>IF($A269&gt;'1-Input'!$B$26,0,(MAX(0,AK231-IF($A269&gt;='1-Input'!$C$12,'1-Input'!$B$12,0))-MIN(MAX(AO268,0),MAX(0,AK231-IF($A269&gt;='1-Input'!$C$12,'1-Input'!$B$12,0))))*(1/(1-'P-Parametri'!$B$6*AK269))+MIN(MAX(0,AP268-(MAX(0,AK231-IF($A269&gt;='1-Input'!$C$12,'1-Input'!$B$12,0))-MIN(MAX(AO268,0),MAX(0,AK231-IF($A269&gt;='1-Input'!$C$12,'1-Input'!$B$12,0))))*(1/(1-'P-Parametri'!$B$6*AK269))),MAX(0,3*MAX(0,AK231-IF($A269&gt;='1-Input'!$C$12,'1-Input'!$B$12,0))-(AO268-MIN(MAX(AO268,0),MAX(0,AK231-IF($A269&gt;='1-Input'!$C$12,'1-Input'!$B$12,0)))))*(1/(1-'P-Parametri'!$B$6*AK269))))</f>
        <v>8254.8607044969449</v>
      </c>
      <c r="AM269" s="18">
        <f>IF($A269&gt;'1-Input'!$B$26,AO268,(AO268-MAX(0,AK231-IF($A269&gt;='1-Input'!$C$12,'1-Input'!$B$12,0))+AL269*(1-'P-Parametri'!$B$6*AK269))*(1+'1-Input'!$B$27))</f>
        <v>19996.444564658952</v>
      </c>
      <c r="AN269" s="18">
        <f>IF($A269&gt;'1-Input'!$B$26,AP268,(AP268-AL269)*(1+'5-Roberta'!$C$4))</f>
        <v>47211.361392767452</v>
      </c>
      <c r="AO269" s="18">
        <f>IF($A269&gt;'1-Input'!$B$26,AM269,AM269-'P-Parametri'!$B$8*(AN269+AM269)+MIN(MAX(AN269,0),'P-Parametri'!$B$8*(AN269+AM269)))</f>
        <v>19996.444564658952</v>
      </c>
      <c r="AP269" s="18">
        <f>IF($A269&gt;'1-Input'!$B$26,AN269,AN269-MIN(MAX(AN269,0),'P-Parametri'!$B$8*(AN269+AM269)))</f>
        <v>47076.945780852599</v>
      </c>
      <c r="AQ269" s="18">
        <f>IF($A269&gt;'1-Input'!$B$26,AQ268,AQ268-AL269*(1-AK269))</f>
        <v>13950.247082511793</v>
      </c>
    </row>
    <row r="270" spans="1:43">
      <c r="A270" s="10">
        <f>37</f>
        <v>37</v>
      </c>
      <c r="B270" s="11">
        <f>IF($A270&gt;'1-Input'!$B$26,0,IF(G269&lt;=0,0,MAX(0,(G269-H269)/G269)))</f>
        <v>0.70558157348063377</v>
      </c>
      <c r="C270" s="18">
        <f>IF($A270&gt;'1-Input'!$B$26,0,(MAX(0,B231-IF($A270&gt;='1-Input'!$C$12,'1-Input'!$B$12,0))-MIN(MAX(F269,0),MAX(0,B231-IF($A270&gt;='1-Input'!$C$12,'1-Input'!$B$12,0))))*(1/(1-'P-Parametri'!$B$6*B270))+MIN(MAX(0,G269-(MAX(0,B231-IF($A270&gt;='1-Input'!$C$12,'1-Input'!$B$12,0))-MIN(MAX(F269,0),MAX(0,B231-IF($A270&gt;='1-Input'!$C$12,'1-Input'!$B$12,0))))*(1/(1-'P-Parametri'!$B$6*B270))),MAX(0,3*MAX(0,B231-IF($A270&gt;='1-Input'!$C$12,'1-Input'!$B$12,0))-(F269-MIN(MAX(F269,0),MAX(0,B231-IF($A270&gt;='1-Input'!$C$12,'1-Input'!$B$12,0)))))*(1/(1-'P-Parametri'!$B$6*B270))))</f>
        <v>6906.2732991648963</v>
      </c>
      <c r="D270" s="18">
        <f>IF($A270&gt;'1-Input'!$B$26,F269,(F269-MAX(0,B231-IF($A270&gt;='1-Input'!$C$12,'1-Input'!$B$12,0))+C270*(1-'P-Parametri'!$B$6*B270))*(1+'1-Input'!$B$27))</f>
        <v>16676.912146479448</v>
      </c>
      <c r="E270" s="18">
        <f>IF($A270&gt;'1-Input'!$B$26,G269,(G269-C270)*(1+'5-Roberta'!$C$4))</f>
        <v>132093.52417557628</v>
      </c>
      <c r="F270" s="18">
        <f>IF($A270&gt;'1-Input'!$B$26,D270,D270-'P-Parametri'!$B$8*(E270+D270)+MIN(MAX(E270,0),'P-Parametri'!$B$8*(E270+D270)))</f>
        <v>16676.912146479448</v>
      </c>
      <c r="G270" s="18">
        <f>IF($A270&gt;'1-Input'!$B$26,E270,E270-MIN(MAX(E270,0),'P-Parametri'!$B$8*(E270+D270)))</f>
        <v>131795.98330293217</v>
      </c>
      <c r="H270" s="18">
        <f>IF($A270&gt;'1-Input'!$B$26,H269,H269-C270*(1-B270))</f>
        <v>37758.02673900099</v>
      </c>
      <c r="I270" s="11">
        <f>IF($A270&gt;'1-Input'!$B$26,0,IF(N269&lt;=0,0,MAX(0,(N269-O269)/N269)))</f>
        <v>0</v>
      </c>
      <c r="J270" s="18">
        <f>IF($A270&gt;'1-Input'!$B$26,0,(MAX(0,I231-IF($A270&gt;='1-Input'!$C$12,'1-Input'!$B$12,0))-MIN(MAX(M269,0),MAX(0,I231-IF($A270&gt;='1-Input'!$C$12,'1-Input'!$B$12,0))))*(1/(1-'P-Parametri'!$B$6*I270))+MIN(MAX(0,N269-(MAX(0,I231-IF($A270&gt;='1-Input'!$C$12,'1-Input'!$B$12,0))-MIN(MAX(M269,0),MAX(0,I231-IF($A270&gt;='1-Input'!$C$12,'1-Input'!$B$12,0))))*(1/(1-'P-Parametri'!$B$6*I270))),MAX(0,3*MAX(0,I231-IF($A270&gt;='1-Input'!$C$12,'1-Input'!$B$12,0))-(M269-MIN(MAX(M269,0),MAX(0,I231-IF($A270&gt;='1-Input'!$C$12,'1-Input'!$B$12,0)))))*(1/(1-'P-Parametri'!$B$6*I270))))</f>
        <v>10846.756992928691</v>
      </c>
      <c r="K270" s="18">
        <f>IF($A270&gt;'1-Input'!$B$26,M269,(M269-MAX(0,I231-IF($A270&gt;='1-Input'!$C$12,'1-Input'!$B$12,0))+J270*(1-'P-Parametri'!$B$6*I270))*(1+'1-Input'!$B$27))</f>
        <v>0</v>
      </c>
      <c r="L270" s="18">
        <f>IF($A270&gt;'1-Input'!$B$26,N269,(N269-J270)*(1+'5-Roberta'!$C$4))</f>
        <v>-197662.09070668108</v>
      </c>
      <c r="M270" s="18">
        <f>IF($A270&gt;'1-Input'!$B$26,K270,K270-'P-Parametri'!$B$8*(L270+K270)+MIN(MAX(L270,0),'P-Parametri'!$B$8*(L270+K270)))</f>
        <v>0</v>
      </c>
      <c r="N270" s="18">
        <f>IF($A270&gt;'1-Input'!$B$26,L270,L270-MIN(MAX(L270,0),'P-Parametri'!$B$8*(L270+K270)))</f>
        <v>-197266.76652526771</v>
      </c>
      <c r="O270" s="18">
        <f>IF($A270&gt;'1-Input'!$B$26,O269,O269-J270*(1-I270))</f>
        <v>-158068.46686356649</v>
      </c>
      <c r="P270" s="11">
        <f>IF($A270&gt;'1-Input'!$B$26,0,IF(U269&lt;=0,0,MAX(0,(U269-V269)/U269)))</f>
        <v>0.70276968207274537</v>
      </c>
      <c r="Q270" s="18">
        <f>IF($A270&gt;'1-Input'!$B$26,0,(MAX(0,P231-IF($A270&gt;='1-Input'!$C$12,'1-Input'!$B$12,0))-MIN(MAX(T269,0),MAX(0,P231-IF($A270&gt;='1-Input'!$C$12,'1-Input'!$B$12,0))))*(1/(1-'P-Parametri'!$B$6*P270))+MIN(MAX(0,U269-(MAX(0,P231-IF($A270&gt;='1-Input'!$C$12,'1-Input'!$B$12,0))-MIN(MAX(T269,0),MAX(0,P231-IF($A270&gt;='1-Input'!$C$12,'1-Input'!$B$12,0))))*(1/(1-'P-Parametri'!$B$6*P270))),MAX(0,3*MAX(0,P231-IF($A270&gt;='1-Input'!$C$12,'1-Input'!$B$12,0))-(T269-MIN(MAX(T269,0),MAX(0,P231-IF($A270&gt;='1-Input'!$C$12,'1-Input'!$B$12,0)))))*(1/(1-'P-Parametri'!$B$6*P270))))</f>
        <v>8556.1193774218191</v>
      </c>
      <c r="R270" s="18">
        <f>IF($A270&gt;'1-Input'!$B$26,T269,(T269-MAX(0,P231-IF($A270&gt;='1-Input'!$C$12,'1-Input'!$B$12,0))+Q270*(1-'P-Parametri'!$B$6*P270))*(1+'1-Input'!$B$27))</f>
        <v>20679.373847091269</v>
      </c>
      <c r="S270" s="18">
        <f>IF($A270&gt;'1-Input'!$B$26,U269,(U269-Q270)*(1+'5-Roberta'!$C$4))</f>
        <v>20978.444927266766</v>
      </c>
      <c r="T270" s="18">
        <f>IF($A270&gt;'1-Input'!$B$26,R270,R270-'P-Parametri'!$B$8*(S270+R270)+MIN(MAX(S270,0),'P-Parametri'!$B$8*(S270+R270)))</f>
        <v>20679.373847091269</v>
      </c>
      <c r="U270" s="18">
        <f>IF($A270&gt;'1-Input'!$B$26,S270,S270-MIN(MAX(S270,0),'P-Parametri'!$B$8*(S270+R270)))</f>
        <v>20895.12928971805</v>
      </c>
      <c r="V270" s="18">
        <f>IF($A270&gt;'1-Input'!$B$26,V269,V269-Q270*(1-P270))</f>
        <v>6053.815393544568</v>
      </c>
      <c r="W270" s="11">
        <f>IF($A270&gt;'1-Input'!$B$26,0,IF(AB269&lt;=0,0,MAX(0,(AB269-AC269)/AB269)))</f>
        <v>0.70365794073664378</v>
      </c>
      <c r="X270" s="18">
        <f>IF($A270&gt;'1-Input'!$B$26,0,(MAX(0,W231-IF($A270&gt;='1-Input'!$C$12,'1-Input'!$B$12,0))-MIN(MAX(AA269,0),MAX(0,W231-IF($A270&gt;='1-Input'!$C$12,'1-Input'!$B$12,0))))*(1/(1-'P-Parametri'!$B$6*W270))+MIN(MAX(0,AB269-(MAX(0,W231-IF($A270&gt;='1-Input'!$C$12,'1-Input'!$B$12,0))-MIN(MAX(AA269,0),MAX(0,W231-IF($A270&gt;='1-Input'!$C$12,'1-Input'!$B$12,0))))*(1/(1-'P-Parametri'!$B$6*W270))),MAX(0,3*MAX(0,W231-IF($A270&gt;='1-Input'!$C$12,'1-Input'!$B$12,0))-(AA269-MIN(MAX(AA269,0),MAX(0,W231-IF($A270&gt;='1-Input'!$C$12,'1-Input'!$B$12,0)))))*(1/(1-'P-Parametri'!$B$6*W270))))</f>
        <v>8281.2313009329755</v>
      </c>
      <c r="Y270" s="18">
        <f>IF($A270&gt;'1-Input'!$B$26,AA269,(AA269-MAX(0,W231-IF($A270&gt;='1-Input'!$C$12,'1-Input'!$B$12,0))+X270*(1-'P-Parametri'!$B$6*W270))*(1+'1-Input'!$B$27))</f>
        <v>20009.338153678473</v>
      </c>
      <c r="Z270" s="18">
        <f>IF($A270&gt;'1-Input'!$B$26,AB269,(AB269-X270)*(1+'5-Roberta'!$C$4))</f>
        <v>39606.518499665697</v>
      </c>
      <c r="AA270" s="18">
        <f>IF($A270&gt;'1-Input'!$B$26,Y270,Y270-'P-Parametri'!$B$8*(Z270+Y270)+MIN(MAX(Z270,0),'P-Parametri'!$B$8*(Z270+Y270)))</f>
        <v>20009.338153678473</v>
      </c>
      <c r="AB270" s="18">
        <f>IF($A270&gt;'1-Input'!$B$26,Z270,Z270-MIN(MAX(Z270,0),'P-Parametri'!$B$8*(Z270+Y270)))</f>
        <v>39487.286786359007</v>
      </c>
      <c r="AC270" s="18">
        <f>IF($A270&gt;'1-Input'!$B$26,AC269,AC269-X270*(1-W270))</f>
        <v>11395.220633439947</v>
      </c>
      <c r="AD270" s="11">
        <f>IF($A270&gt;'1-Input'!$B$26,0,IF(AI269&lt;=0,0,MAX(0,(AI269-AJ269)/AI269)))</f>
        <v>0.70367193976862674</v>
      </c>
      <c r="AE270" s="18">
        <f>IF($A270&gt;'1-Input'!$B$26,0,(MAX(0,AD231-IF($A270&gt;='1-Input'!$C$12,'1-Input'!$B$12,0))-MIN(MAX(AH269,0),MAX(0,AD231-IF($A270&gt;='1-Input'!$C$12,'1-Input'!$B$12,0))))*(1/(1-'P-Parametri'!$B$6*AD270))+MIN(MAX(0,AI269-(MAX(0,AD231-IF($A270&gt;='1-Input'!$C$12,'1-Input'!$B$12,0))-MIN(MAX(AH269,0),MAX(0,AD231-IF($A270&gt;='1-Input'!$C$12,'1-Input'!$B$12,0))))*(1/(1-'P-Parametri'!$B$6*AD270))),MAX(0,3*MAX(0,AD231-IF($A270&gt;='1-Input'!$C$12,'1-Input'!$B$12,0))-(AH269-MIN(MAX(AH269,0),MAX(0,AD231-IF($A270&gt;='1-Input'!$C$12,'1-Input'!$B$12,0)))))*(1/(1-'P-Parametri'!$B$6*AD270))))</f>
        <v>8275.7025647167375</v>
      </c>
      <c r="AF270" s="18">
        <f>IF($A270&gt;'1-Input'!$B$26,AH269,(AH269-MAX(0,AD231-IF($A270&gt;='1-Input'!$C$12,'1-Input'!$B$12,0))+AE270*(1-'P-Parametri'!$B$6*AD270))*(1+'1-Input'!$B$27))</f>
        <v>19995.890392547142</v>
      </c>
      <c r="AG270" s="18">
        <f>IF($A270&gt;'1-Input'!$B$26,AI269,(AI269-AE270)*(1+'5-Roberta'!$C$4))</f>
        <v>39980.455544563454</v>
      </c>
      <c r="AH270" s="18">
        <f>IF($A270&gt;'1-Input'!$B$26,AF270,AF270-'P-Parametri'!$B$8*(AG270+AF270)+MIN(MAX(AG270,0),'P-Parametri'!$B$8*(AG270+AF270)))</f>
        <v>19995.890392547142</v>
      </c>
      <c r="AI270" s="18">
        <f>IF($A270&gt;'1-Input'!$B$26,AG270,AG270-MIN(MAX(AG270,0),'P-Parametri'!$B$8*(AG270+AF270)))</f>
        <v>39860.502852689235</v>
      </c>
      <c r="AJ270" s="18">
        <f>IF($A270&gt;'1-Input'!$B$26,AJ269,AJ269-AE270*(1-AD270))</f>
        <v>11502.26295018169</v>
      </c>
      <c r="AK270" s="11">
        <f>IF($A270&gt;'1-Input'!$B$26,0,IF(AP269&lt;=0,0,MAX(0,(AP269-AQ269)/AP269)))</f>
        <v>0.7036713650148112</v>
      </c>
      <c r="AL270" s="18">
        <f>IF($A270&gt;'1-Input'!$B$26,0,(MAX(0,AK231-IF($A270&gt;='1-Input'!$C$12,'1-Input'!$B$12,0))-MIN(MAX(AO269,0),MAX(0,AK231-IF($A270&gt;='1-Input'!$C$12,'1-Input'!$B$12,0))))*(1/(1-'P-Parametri'!$B$6*AK270))+MIN(MAX(0,AP269-(MAX(0,AK231-IF($A270&gt;='1-Input'!$C$12,'1-Input'!$B$12,0))-MIN(MAX(AO269,0),MAX(0,AK231-IF($A270&gt;='1-Input'!$C$12,'1-Input'!$B$12,0))))*(1/(1-'P-Parametri'!$B$6*AK270))),MAX(0,3*MAX(0,AK231-IF($A270&gt;='1-Input'!$C$12,'1-Input'!$B$12,0))-(AO269-MIN(MAX(AO269,0),MAX(0,AK231-IF($A270&gt;='1-Input'!$C$12,'1-Input'!$B$12,0)))))*(1/(1-'P-Parametri'!$B$6*AK270))))</f>
        <v>8275.9304063715626</v>
      </c>
      <c r="AM270" s="18">
        <f>IF($A270&gt;'1-Input'!$B$26,AO269,(AO269-MAX(0,AK231-IF($A270&gt;='1-Input'!$C$12,'1-Input'!$B$12,0))+AL270*(1-'P-Parametri'!$B$6*AK270))*(1+'1-Input'!$B$27))</f>
        <v>19996.444564658952</v>
      </c>
      <c r="AN270" s="18">
        <f>IF($A270&gt;'1-Input'!$B$26,AP269,(AP269-AL270)*(1+'5-Roberta'!$C$4))</f>
        <v>39965.045835715471</v>
      </c>
      <c r="AO270" s="18">
        <f>IF($A270&gt;'1-Input'!$B$26,AM270,AM270-'P-Parametri'!$B$8*(AN270+AM270)+MIN(MAX(AN270,0),'P-Parametri'!$B$8*(AN270+AM270)))</f>
        <v>19996.444564658952</v>
      </c>
      <c r="AP270" s="18">
        <f>IF($A270&gt;'1-Input'!$B$26,AN270,AN270-MIN(MAX(AN270,0),'P-Parametri'!$B$8*(AN270+AM270)))</f>
        <v>39845.12285491472</v>
      </c>
      <c r="AQ270" s="18">
        <f>IF($A270&gt;'1-Input'!$B$26,AQ269,AQ269-AL270*(1-AK270))</f>
        <v>11497.851921959289</v>
      </c>
    </row>
    <row r="271" spans="1:43">
      <c r="A271" s="10">
        <f>38</f>
        <v>38</v>
      </c>
      <c r="B271" s="11">
        <f>IF($A271&gt;'1-Input'!$B$26,0,IF(G270&lt;=0,0,MAX(0,(G270-H270)/G270)))</f>
        <v>0.71351155177305814</v>
      </c>
      <c r="C271" s="18">
        <f>IF($A271&gt;'1-Input'!$B$26,0,(MAX(0,B231-IF($A271&gt;='1-Input'!$C$12,'1-Input'!$B$12,0))-MIN(MAX(F270,0),MAX(0,B231-IF($A271&gt;='1-Input'!$C$12,'1-Input'!$B$12,0))))*(1/(1-'P-Parametri'!$B$6*B271))+MIN(MAX(0,G270-(MAX(0,B231-IF($A271&gt;='1-Input'!$C$12,'1-Input'!$B$12,0))-MIN(MAX(F270,0),MAX(0,B231-IF($A271&gt;='1-Input'!$C$12,'1-Input'!$B$12,0))))*(1/(1-'P-Parametri'!$B$6*B271))),MAX(0,3*MAX(0,B231-IF($A271&gt;='1-Input'!$C$12,'1-Input'!$B$12,0))-(F270-MIN(MAX(F270,0),MAX(0,B231-IF($A271&gt;='1-Input'!$C$12,'1-Input'!$B$12,0)))))*(1/(1-'P-Parametri'!$B$6*B271))))</f>
        <v>6923.7558561239739</v>
      </c>
      <c r="D271" s="18">
        <f>IF($A271&gt;'1-Input'!$B$26,F270,(F270-MAX(0,B231-IF($A271&gt;='1-Input'!$C$12,'1-Input'!$B$12,0))+C271*(1-'P-Parametri'!$B$6*B271))*(1+'1-Input'!$B$27))</f>
        <v>16676.912146479448</v>
      </c>
      <c r="E271" s="18">
        <f>IF($A271&gt;'1-Input'!$B$26,G270,(G270-C271)*(1+'5-Roberta'!$C$4))</f>
        <v>128618.39427021245</v>
      </c>
      <c r="F271" s="18">
        <f>IF($A271&gt;'1-Input'!$B$26,D271,D271-'P-Parametri'!$B$8*(E271+D271)+MIN(MAX(E271,0),'P-Parametri'!$B$8*(E271+D271)))</f>
        <v>16676.912146479448</v>
      </c>
      <c r="G271" s="18">
        <f>IF($A271&gt;'1-Input'!$B$26,E271,E271-MIN(MAX(E271,0),'P-Parametri'!$B$8*(E271+D271)))</f>
        <v>128327.80365737906</v>
      </c>
      <c r="H271" s="18">
        <f>IF($A271&gt;'1-Input'!$B$26,H270,H270-C271*(1-B271))</f>
        <v>35774.450667877834</v>
      </c>
      <c r="I271" s="11">
        <f>IF($A271&gt;'1-Input'!$B$26,0,IF(N270&lt;=0,0,MAX(0,(N270-O270)/N270)))</f>
        <v>0</v>
      </c>
      <c r="J271" s="18">
        <f>IF($A271&gt;'1-Input'!$B$26,0,(MAX(0,I231-IF($A271&gt;='1-Input'!$C$12,'1-Input'!$B$12,0))-MIN(MAX(M270,0),MAX(0,I231-IF($A271&gt;='1-Input'!$C$12,'1-Input'!$B$12,0))))*(1/(1-'P-Parametri'!$B$6*I271))+MIN(MAX(0,N270-(MAX(0,I231-IF($A271&gt;='1-Input'!$C$12,'1-Input'!$B$12,0))-MIN(MAX(M270,0),MAX(0,I231-IF($A271&gt;='1-Input'!$C$12,'1-Input'!$B$12,0))))*(1/(1-'P-Parametri'!$B$6*I271))),MAX(0,3*MAX(0,I231-IF($A271&gt;='1-Input'!$C$12,'1-Input'!$B$12,0))-(M270-MIN(MAX(M270,0),MAX(0,I231-IF($A271&gt;='1-Input'!$C$12,'1-Input'!$B$12,0)))))*(1/(1-'P-Parametri'!$B$6*I271))))</f>
        <v>10846.756992928691</v>
      </c>
      <c r="K271" s="18">
        <f>IF($A271&gt;'1-Input'!$B$26,M270,(M270-MAX(0,I231-IF($A271&gt;='1-Input'!$C$12,'1-Input'!$B$12,0))+J271*(1-'P-Parametri'!$B$6*I271))*(1+'1-Input'!$B$27))</f>
        <v>0</v>
      </c>
      <c r="L271" s="18">
        <f>IF($A271&gt;'1-Input'!$B$26,N270,(N270-J271)*(1+'5-Roberta'!$C$4))</f>
        <v>-214356.92922374228</v>
      </c>
      <c r="M271" s="18">
        <f>IF($A271&gt;'1-Input'!$B$26,K271,K271-'P-Parametri'!$B$8*(L271+K271)+MIN(MAX(L271,0),'P-Parametri'!$B$8*(L271+K271)))</f>
        <v>0</v>
      </c>
      <c r="N271" s="18">
        <f>IF($A271&gt;'1-Input'!$B$26,L271,L271-MIN(MAX(L271,0),'P-Parametri'!$B$8*(L271+K271)))</f>
        <v>-213928.2153652948</v>
      </c>
      <c r="O271" s="18">
        <f>IF($A271&gt;'1-Input'!$B$26,O270,O270-J271*(1-I271))</f>
        <v>-168915.22385649517</v>
      </c>
      <c r="P271" s="11">
        <f>IF($A271&gt;'1-Input'!$B$26,0,IF(U270&lt;=0,0,MAX(0,(U270-V270)/U270)))</f>
        <v>0.71027624143376356</v>
      </c>
      <c r="Q271" s="18">
        <f>IF($A271&gt;'1-Input'!$B$26,0,(MAX(0,P231-IF($A271&gt;='1-Input'!$C$12,'1-Input'!$B$12,0))-MIN(MAX(T270,0),MAX(0,P231-IF($A271&gt;='1-Input'!$C$12,'1-Input'!$B$12,0))))*(1/(1-'P-Parametri'!$B$6*P271))+MIN(MAX(0,U270-(MAX(0,P231-IF($A271&gt;='1-Input'!$C$12,'1-Input'!$B$12,0))-MIN(MAX(T270,0),MAX(0,P231-IF($A271&gt;='1-Input'!$C$12,'1-Input'!$B$12,0))))*(1/(1-'P-Parametri'!$B$6*P271))),MAX(0,3*MAX(0,P231-IF($A271&gt;='1-Input'!$C$12,'1-Input'!$B$12,0))-(T270-MIN(MAX(T270,0),MAX(0,P231-IF($A271&gt;='1-Input'!$C$12,'1-Input'!$B$12,0)))))*(1/(1-'P-Parametri'!$B$6*P271))))</f>
        <v>8576.6007310020414</v>
      </c>
      <c r="R271" s="18">
        <f>IF($A271&gt;'1-Input'!$B$26,T270,(T270-MAX(0,P231-IF($A271&gt;='1-Input'!$C$12,'1-Input'!$B$12,0))+Q271*(1-'P-Parametri'!$B$6*P271))*(1+'1-Input'!$B$27))</f>
        <v>20679.373847091269</v>
      </c>
      <c r="S271" s="18">
        <f>IF($A271&gt;'1-Input'!$B$26,U270,(U270-Q271)*(1+'5-Roberta'!$C$4))</f>
        <v>12688.08441547749</v>
      </c>
      <c r="T271" s="18">
        <f>IF($A271&gt;'1-Input'!$B$26,R271,R271-'P-Parametri'!$B$8*(S271+R271)+MIN(MAX(S271,0),'P-Parametri'!$B$8*(S271+R271)))</f>
        <v>20679.373847091269</v>
      </c>
      <c r="U271" s="18">
        <f>IF($A271&gt;'1-Input'!$B$26,S271,S271-MIN(MAX(S271,0),'P-Parametri'!$B$8*(S271+R271)))</f>
        <v>12621.349498952351</v>
      </c>
      <c r="V271" s="18">
        <f>IF($A271&gt;'1-Input'!$B$26,V270,V270-Q271*(1-P271))</f>
        <v>3568.9703940367253</v>
      </c>
      <c r="W271" s="11">
        <f>IF($A271&gt;'1-Input'!$B$26,0,IF(AB270&lt;=0,0,MAX(0,(AB270-AC270)/AB270)))</f>
        <v>0.71142052136698197</v>
      </c>
      <c r="X271" s="18">
        <f>IF($A271&gt;'1-Input'!$B$26,0,(MAX(0,W231-IF($A271&gt;='1-Input'!$C$12,'1-Input'!$B$12,0))-MIN(MAX(AA270,0),MAX(0,W231-IF($A271&gt;='1-Input'!$C$12,'1-Input'!$B$12,0))))*(1/(1-'P-Parametri'!$B$6*W271))+MIN(MAX(0,AB270-(MAX(0,W231-IF($A271&gt;='1-Input'!$C$12,'1-Input'!$B$12,0))-MIN(MAX(AA270,0),MAX(0,W231-IF($A271&gt;='1-Input'!$C$12,'1-Input'!$B$12,0))))*(1/(1-'P-Parametri'!$B$6*W271))),MAX(0,3*MAX(0,W231-IF($A271&gt;='1-Input'!$C$12,'1-Input'!$B$12,0))-(AA270-MIN(MAX(AA270,0),MAX(0,W231-IF($A271&gt;='1-Input'!$C$12,'1-Input'!$B$12,0)))))*(1/(1-'P-Parametri'!$B$6*W271))))</f>
        <v>8301.7382209901516</v>
      </c>
      <c r="Y271" s="18">
        <f>IF($A271&gt;'1-Input'!$B$26,AA270,(AA270-MAX(0,W231-IF($A271&gt;='1-Input'!$C$12,'1-Input'!$B$12,0))+X271*(1-'P-Parametri'!$B$6*W271))*(1+'1-Input'!$B$27))</f>
        <v>20009.338153678473</v>
      </c>
      <c r="Z271" s="18">
        <f>IF($A271&gt;'1-Input'!$B$26,AB270,(AB270-X271)*(1+'5-Roberta'!$C$4))</f>
        <v>32121.115022329923</v>
      </c>
      <c r="AA271" s="18">
        <f>IF($A271&gt;'1-Input'!$B$26,Y271,Y271-'P-Parametri'!$B$8*(Z271+Y271)+MIN(MAX(Z271,0),'P-Parametri'!$B$8*(Z271+Y271)))</f>
        <v>20009.338153678473</v>
      </c>
      <c r="AB271" s="18">
        <f>IF($A271&gt;'1-Input'!$B$26,Z271,Z271-MIN(MAX(Z271,0),'P-Parametri'!$B$8*(Z271+Y271)))</f>
        <v>32016.854115977905</v>
      </c>
      <c r="AC271" s="18">
        <f>IF($A271&gt;'1-Input'!$B$26,AC270,AC270-X271*(1-W271))</f>
        <v>8999.5093458788106</v>
      </c>
      <c r="AD271" s="11">
        <f>IF($A271&gt;'1-Input'!$B$26,0,IF(AI270&lt;=0,0,MAX(0,(AI270-AJ270)/AI270)))</f>
        <v>0.71143708365420988</v>
      </c>
      <c r="AE271" s="18">
        <f>IF($A271&gt;'1-Input'!$B$26,0,(MAX(0,AD231-IF($A271&gt;='1-Input'!$C$12,'1-Input'!$B$12,0))-MIN(MAX(AH270,0),MAX(0,AD231-IF($A271&gt;='1-Input'!$C$12,'1-Input'!$B$12,0))))*(1/(1-'P-Parametri'!$B$6*AD271))+MIN(MAX(0,AI270-(MAX(0,AD231-IF($A271&gt;='1-Input'!$C$12,'1-Input'!$B$12,0))-MIN(MAX(AH270,0),MAX(0,AD231-IF($A271&gt;='1-Input'!$C$12,'1-Input'!$B$12,0))))*(1/(1-'P-Parametri'!$B$6*AD271))),MAX(0,3*MAX(0,AD231-IF($A271&gt;='1-Input'!$C$12,'1-Input'!$B$12,0))-(AH270-MIN(MAX(AH270,0),MAX(0,AD231-IF($A271&gt;='1-Input'!$C$12,'1-Input'!$B$12,0)))))*(1/(1-'P-Parametri'!$B$6*AD271))))</f>
        <v>8296.2026692040326</v>
      </c>
      <c r="AF271" s="18">
        <f>IF($A271&gt;'1-Input'!$B$26,AH270,(AH270-MAX(0,AD231-IF($A271&gt;='1-Input'!$C$12,'1-Input'!$B$12,0))+AE271*(1-'P-Parametri'!$B$6*AD271))*(1+'1-Input'!$B$27))</f>
        <v>19995.890392547142</v>
      </c>
      <c r="AG271" s="18">
        <f>IF($A271&gt;'1-Input'!$B$26,AI270,(AI270-AE271)*(1+'5-Roberta'!$C$4))</f>
        <v>32511.229188989761</v>
      </c>
      <c r="AH271" s="18">
        <f>IF($A271&gt;'1-Input'!$B$26,AF271,AF271-'P-Parametri'!$B$8*(AG271+AF271)+MIN(MAX(AG271,0),'P-Parametri'!$B$8*(AG271+AF271)))</f>
        <v>19995.890392547142</v>
      </c>
      <c r="AI271" s="18">
        <f>IF($A271&gt;'1-Input'!$B$26,AG271,AG271-MIN(MAX(AG271,0),'P-Parametri'!$B$8*(AG271+AF271)))</f>
        <v>32406.214949826688</v>
      </c>
      <c r="AJ271" s="18">
        <f>IF($A271&gt;'1-Input'!$B$26,AJ270,AJ270-AE271*(1-AD271))</f>
        <v>9108.2865133604464</v>
      </c>
      <c r="AK271" s="11">
        <f>IF($A271&gt;'1-Input'!$B$26,0,IF(AP270&lt;=0,0,MAX(0,(AP270-AQ270)/AP270)))</f>
        <v>0.71143640430409461</v>
      </c>
      <c r="AL271" s="18">
        <f>IF($A271&gt;'1-Input'!$B$26,0,(MAX(0,AK231-IF($A271&gt;='1-Input'!$C$12,'1-Input'!$B$12,0))-MIN(MAX(AO270,0),MAX(0,AK231-IF($A271&gt;='1-Input'!$C$12,'1-Input'!$B$12,0))))*(1/(1-'P-Parametri'!$B$6*AK271))+MIN(MAX(0,AP270-(MAX(0,AK231-IF($A271&gt;='1-Input'!$C$12,'1-Input'!$B$12,0))-MIN(MAX(AO270,0),MAX(0,AK231-IF($A271&gt;='1-Input'!$C$12,'1-Input'!$B$12,0))))*(1/(1-'P-Parametri'!$B$6*AK271))),MAX(0,3*MAX(0,AK231-IF($A271&gt;='1-Input'!$C$12,'1-Input'!$B$12,0))-(AO270-MIN(MAX(AO270,0),MAX(0,AK231-IF($A271&gt;='1-Input'!$C$12,'1-Input'!$B$12,0)))))*(1/(1-'P-Parametri'!$B$6*AK271))))</f>
        <v>8296.4307946690569</v>
      </c>
      <c r="AM271" s="18">
        <f>IF($A271&gt;'1-Input'!$B$26,AO270,(AO270-MAX(0,AK231-IF($A271&gt;='1-Input'!$C$12,'1-Input'!$B$12,0))+AL271*(1-'P-Parametri'!$B$6*AK271))*(1+'1-Input'!$B$27))</f>
        <v>19996.444564658952</v>
      </c>
      <c r="AN271" s="18">
        <f>IF($A271&gt;'1-Input'!$B$26,AP270,(AP270-AL271)*(1+'5-Roberta'!$C$4))</f>
        <v>32495.152822053034</v>
      </c>
      <c r="AO271" s="18">
        <f>IF($A271&gt;'1-Input'!$B$26,AM271,AM271-'P-Parametri'!$B$8*(AN271+AM271)+MIN(MAX(AN271,0),'P-Parametri'!$B$8*(AN271+AM271)))</f>
        <v>19996.444564658952</v>
      </c>
      <c r="AP271" s="18">
        <f>IF($A271&gt;'1-Input'!$B$26,AN271,AN271-MIN(MAX(AN271,0),'P-Parametri'!$B$8*(AN271+AM271)))</f>
        <v>32390.169627279611</v>
      </c>
      <c r="AQ271" s="18">
        <f>IF($A271&gt;'1-Input'!$B$26,AQ270,AQ270-AL271*(1-AK271))</f>
        <v>9103.8040204073477</v>
      </c>
    </row>
    <row r="272" spans="1:43">
      <c r="A272" s="10">
        <f>39</f>
        <v>39</v>
      </c>
      <c r="B272" s="11">
        <f>IF($A272&gt;'1-Input'!$B$26,0,IF(G271&lt;=0,0,MAX(0,(G271-H271)/G271)))</f>
        <v>0.72122603482413195</v>
      </c>
      <c r="C272" s="18">
        <f>IF($A272&gt;'1-Input'!$B$26,0,(MAX(0,B231-IF($A272&gt;='1-Input'!$C$12,'1-Input'!$B$12,0))-MIN(MAX(F271,0),MAX(0,B231-IF($A272&gt;='1-Input'!$C$12,'1-Input'!$B$12,0))))*(1/(1-'P-Parametri'!$B$6*B272))+MIN(MAX(0,G271-(MAX(0,B231-IF($A272&gt;='1-Input'!$C$12,'1-Input'!$B$12,0))-MIN(MAX(F271,0),MAX(0,B231-IF($A272&gt;='1-Input'!$C$12,'1-Input'!$B$12,0))))*(1/(1-'P-Parametri'!$B$6*B272))),MAX(0,3*MAX(0,B231-IF($A272&gt;='1-Input'!$C$12,'1-Input'!$B$12,0))-(F271-MIN(MAX(F271,0),MAX(0,B231-IF($A272&gt;='1-Input'!$C$12,'1-Input'!$B$12,0)))))*(1/(1-'P-Parametri'!$B$6*B272))))</f>
        <v>6940.8484740744398</v>
      </c>
      <c r="D272" s="18">
        <f>IF($A272&gt;'1-Input'!$B$26,F271,(F271-MAX(0,B231-IF($A272&gt;='1-Input'!$C$12,'1-Input'!$B$12,0))+C272*(1-'P-Parametri'!$B$6*B272))*(1+'1-Input'!$B$27))</f>
        <v>16676.912146479448</v>
      </c>
      <c r="E272" s="18">
        <f>IF($A272&gt;'1-Input'!$B$26,G271,(G271-C272)*(1+'5-Roberta'!$C$4))</f>
        <v>125028.56383880376</v>
      </c>
      <c r="F272" s="18">
        <f>IF($A272&gt;'1-Input'!$B$26,D272,D272-'P-Parametri'!$B$8*(E272+D272)+MIN(MAX(E272,0),'P-Parametri'!$B$8*(E272+D272)))</f>
        <v>16676.912146479448</v>
      </c>
      <c r="G272" s="18">
        <f>IF($A272&gt;'1-Input'!$B$26,E272,E272-MIN(MAX(E272,0),'P-Parametri'!$B$8*(E272+D272)))</f>
        <v>124745.1528868332</v>
      </c>
      <c r="H272" s="18">
        <f>IF($A272&gt;'1-Input'!$B$26,H271,H271-C272*(1-B272))</f>
        <v>33839.522817075231</v>
      </c>
      <c r="I272" s="11">
        <f>IF($A272&gt;'1-Input'!$B$26,0,IF(N271&lt;=0,0,MAX(0,(N271-O271)/N271)))</f>
        <v>0</v>
      </c>
      <c r="J272" s="18">
        <f>IF($A272&gt;'1-Input'!$B$26,0,(MAX(0,I231-IF($A272&gt;='1-Input'!$C$12,'1-Input'!$B$12,0))-MIN(MAX(M271,0),MAX(0,I231-IF($A272&gt;='1-Input'!$C$12,'1-Input'!$B$12,0))))*(1/(1-'P-Parametri'!$B$6*I272))+MIN(MAX(0,N271-(MAX(0,I231-IF($A272&gt;='1-Input'!$C$12,'1-Input'!$B$12,0))-MIN(MAX(M271,0),MAX(0,I231-IF($A272&gt;='1-Input'!$C$12,'1-Input'!$B$12,0))))*(1/(1-'P-Parametri'!$B$6*I272))),MAX(0,3*MAX(0,I231-IF($A272&gt;='1-Input'!$C$12,'1-Input'!$B$12,0))-(M271-MIN(MAX(M271,0),MAX(0,I231-IF($A272&gt;='1-Input'!$C$12,'1-Input'!$B$12,0)))))*(1/(1-'P-Parametri'!$B$6*I272))))</f>
        <v>10846.756992928691</v>
      </c>
      <c r="K272" s="18">
        <f>IF($A272&gt;'1-Input'!$B$26,M271,(M271-MAX(0,I231-IF($A272&gt;='1-Input'!$C$12,'1-Input'!$B$12,0))+J272*(1-'P-Parametri'!$B$6*I272))*(1+'1-Input'!$B$27))</f>
        <v>0</v>
      </c>
      <c r="L272" s="18">
        <f>IF($A272&gt;'1-Input'!$B$26,N271,(N271-J272)*(1+'5-Roberta'!$C$4))</f>
        <v>-231518.2215289702</v>
      </c>
      <c r="M272" s="18">
        <f>IF($A272&gt;'1-Input'!$B$26,K272,K272-'P-Parametri'!$B$8*(L272+K272)+MIN(MAX(L272,0),'P-Parametri'!$B$8*(L272+K272)))</f>
        <v>0</v>
      </c>
      <c r="N272" s="18">
        <f>IF($A272&gt;'1-Input'!$B$26,L272,L272-MIN(MAX(L272,0),'P-Parametri'!$B$8*(L272+K272)))</f>
        <v>-231055.18508591226</v>
      </c>
      <c r="O272" s="18">
        <f>IF($A272&gt;'1-Input'!$B$26,O271,O271-J272*(1-I272))</f>
        <v>-179761.98084942385</v>
      </c>
      <c r="P272" s="11">
        <f>IF($A272&gt;'1-Input'!$B$26,0,IF(U271&lt;=0,0,MAX(0,(U271-V271)/U271)))</f>
        <v>0.71722751245158278</v>
      </c>
      <c r="Q272" s="18">
        <f>IF($A272&gt;'1-Input'!$B$26,0,(MAX(0,P231-IF($A272&gt;='1-Input'!$C$12,'1-Input'!$B$12,0))-MIN(MAX(T271,0),MAX(0,P231-IF($A272&gt;='1-Input'!$C$12,'1-Input'!$B$12,0))))*(1/(1-'P-Parametri'!$B$6*P272))+MIN(MAX(0,U271-(MAX(0,P231-IF($A272&gt;='1-Input'!$C$12,'1-Input'!$B$12,0))-MIN(MAX(T271,0),MAX(0,P231-IF($A272&gt;='1-Input'!$C$12,'1-Input'!$B$12,0))))*(1/(1-'P-Parametri'!$B$6*P272))),MAX(0,3*MAX(0,P231-IF($A272&gt;='1-Input'!$C$12,'1-Input'!$B$12,0))-(T271-MIN(MAX(T271,0),MAX(0,P231-IF($A272&gt;='1-Input'!$C$12,'1-Input'!$B$12,0)))))*(1/(1-'P-Parametri'!$B$6*P272))))</f>
        <v>8595.6546395107416</v>
      </c>
      <c r="R272" s="18">
        <f>IF($A272&gt;'1-Input'!$B$26,T271,(T271-MAX(0,P231-IF($A272&gt;='1-Input'!$C$12,'1-Input'!$B$12,0))+Q272*(1-'P-Parametri'!$B$6*P272))*(1+'1-Input'!$B$27))</f>
        <v>20679.373847091269</v>
      </c>
      <c r="S272" s="18">
        <f>IF($A272&gt;'1-Input'!$B$26,U271,(U271-Q272)*(1+'5-Roberta'!$C$4))</f>
        <v>4146.4657052248585</v>
      </c>
      <c r="T272" s="18">
        <f>IF($A272&gt;'1-Input'!$B$26,R272,R272-'P-Parametri'!$B$8*(S272+R272)+MIN(MAX(S272,0),'P-Parametri'!$B$8*(S272+R272)))</f>
        <v>20679.373847091269</v>
      </c>
      <c r="U272" s="18">
        <f>IF($A272&gt;'1-Input'!$B$26,S272,S272-MIN(MAX(S272,0),'P-Parametri'!$B$8*(S272+R272)))</f>
        <v>4096.8140261202261</v>
      </c>
      <c r="V272" s="18">
        <f>IF($A272&gt;'1-Input'!$B$26,V271,V271-Q272*(1-P272))</f>
        <v>1138.3557495151795</v>
      </c>
      <c r="W272" s="11">
        <f>IF($A272&gt;'1-Input'!$B$26,0,IF(AB271&lt;=0,0,MAX(0,(AB271-AC271)/AB271)))</f>
        <v>0.71891337876985129</v>
      </c>
      <c r="X272" s="18">
        <f>IF($A272&gt;'1-Input'!$B$26,0,(MAX(0,W231-IF($A272&gt;='1-Input'!$C$12,'1-Input'!$B$12,0))-MIN(MAX(AA271,0),MAX(0,W231-IF($A272&gt;='1-Input'!$C$12,'1-Input'!$B$12,0))))*(1/(1-'P-Parametri'!$B$6*W272))+MIN(MAX(0,AB271-(MAX(0,W231-IF($A272&gt;='1-Input'!$C$12,'1-Input'!$B$12,0))-MIN(MAX(AA271,0),MAX(0,W231-IF($A272&gt;='1-Input'!$C$12,'1-Input'!$B$12,0))))*(1/(1-'P-Parametri'!$B$6*W272))),MAX(0,3*MAX(0,W231-IF($A272&gt;='1-Input'!$C$12,'1-Input'!$B$12,0))-(AA271-MIN(MAX(AA271,0),MAX(0,W231-IF($A272&gt;='1-Input'!$C$12,'1-Input'!$B$12,0)))))*(1/(1-'P-Parametri'!$B$6*W272))))</f>
        <v>8321.6291572115897</v>
      </c>
      <c r="Y272" s="18">
        <f>IF($A272&gt;'1-Input'!$B$26,AA271,(AA271-MAX(0,W231-IF($A272&gt;='1-Input'!$C$12,'1-Input'!$B$12,0))+X272*(1-'P-Parametri'!$B$6*W272))*(1+'1-Input'!$B$27))</f>
        <v>20009.338153678473</v>
      </c>
      <c r="Z272" s="18">
        <f>IF($A272&gt;'1-Input'!$B$26,AB271,(AB271-X272)*(1+'5-Roberta'!$C$4))</f>
        <v>24406.081707529309</v>
      </c>
      <c r="AA272" s="18">
        <f>IF($A272&gt;'1-Input'!$B$26,Y272,Y272-'P-Parametri'!$B$8*(Z272+Y272)+MIN(MAX(Z272,0),'P-Parametri'!$B$8*(Z272+Y272)))</f>
        <v>20009.338153678473</v>
      </c>
      <c r="AB272" s="18">
        <f>IF($A272&gt;'1-Input'!$B$26,Z272,Z272-MIN(MAX(Z272,0),'P-Parametri'!$B$8*(Z272+Y272)))</f>
        <v>24317.250867806892</v>
      </c>
      <c r="AC272" s="18">
        <f>IF($A272&gt;'1-Input'!$B$26,AC271,AC271-X272*(1-W272))</f>
        <v>6660.4107229479141</v>
      </c>
      <c r="AD272" s="11">
        <f>IF($A272&gt;'1-Input'!$B$26,0,IF(AI271&lt;=0,0,MAX(0,(AI271-AJ271)/AI271)))</f>
        <v>0.71893395981411401</v>
      </c>
      <c r="AE272" s="18">
        <f>IF($A272&gt;'1-Input'!$B$26,0,(MAX(0,AD231-IF($A272&gt;='1-Input'!$C$12,'1-Input'!$B$12,0))-MIN(MAX(AH271,0),MAX(0,AD231-IF($A272&gt;='1-Input'!$C$12,'1-Input'!$B$12,0))))*(1/(1-'P-Parametri'!$B$6*AD272))+MIN(MAX(0,AI271-(MAX(0,AD231-IF($A272&gt;='1-Input'!$C$12,'1-Input'!$B$12,0))-MIN(MAX(AH271,0),MAX(0,AD231-IF($A272&gt;='1-Input'!$C$12,'1-Input'!$B$12,0))))*(1/(1-'P-Parametri'!$B$6*AD272))),MAX(0,3*MAX(0,AD231-IF($A272&gt;='1-Input'!$C$12,'1-Input'!$B$12,0))-(AH271-MIN(MAX(AH271,0),MAX(0,AD231-IF($A272&gt;='1-Input'!$C$12,'1-Input'!$B$12,0)))))*(1/(1-'P-Parametri'!$B$6*AD272))))</f>
        <v>8316.0911344444121</v>
      </c>
      <c r="AF272" s="18">
        <f>IF($A272&gt;'1-Input'!$B$26,AH271,(AH271-MAX(0,AD231-IF($A272&gt;='1-Input'!$C$12,'1-Input'!$B$12,0))+AE272*(1-'P-Parametri'!$B$6*AD272))*(1+'1-Input'!$B$27))</f>
        <v>19995.890392547142</v>
      </c>
      <c r="AG272" s="18">
        <f>IF($A272&gt;'1-Input'!$B$26,AI271,(AI271-AE272)*(1+'5-Roberta'!$C$4))</f>
        <v>24812.827529843747</v>
      </c>
      <c r="AH272" s="18">
        <f>IF($A272&gt;'1-Input'!$B$26,AF272,AF272-'P-Parametri'!$B$8*(AG272+AF272)+MIN(MAX(AG272,0),'P-Parametri'!$B$8*(AG272+AF272)))</f>
        <v>19995.890392547142</v>
      </c>
      <c r="AI272" s="18">
        <f>IF($A272&gt;'1-Input'!$B$26,AG272,AG272-MIN(MAX(AG272,0),'P-Parametri'!$B$8*(AG272+AF272)))</f>
        <v>24723.210093998965</v>
      </c>
      <c r="AJ272" s="18">
        <f>IF($A272&gt;'1-Input'!$B$26,AJ271,AJ271-AE272*(1-AD272))</f>
        <v>6770.9157083772025</v>
      </c>
      <c r="AK272" s="11">
        <f>IF($A272&gt;'1-Input'!$B$26,0,IF(AP271&lt;=0,0,MAX(0,(AP271-AQ271)/AP271)))</f>
        <v>0.7189331168942088</v>
      </c>
      <c r="AL272" s="18">
        <f>IF($A272&gt;'1-Input'!$B$26,0,(MAX(0,AK231-IF($A272&gt;='1-Input'!$C$12,'1-Input'!$B$12,0))-MIN(MAX(AO271,0),MAX(0,AK231-IF($A272&gt;='1-Input'!$C$12,'1-Input'!$B$12,0))))*(1/(1-'P-Parametri'!$B$6*AK272))+MIN(MAX(0,AP271-(MAX(0,AK231-IF($A272&gt;='1-Input'!$C$12,'1-Input'!$B$12,0))-MIN(MAX(AO271,0),MAX(0,AK231-IF($A272&gt;='1-Input'!$C$12,'1-Input'!$B$12,0))))*(1/(1-'P-Parametri'!$B$6*AK272))),MAX(0,3*MAX(0,AK231-IF($A272&gt;='1-Input'!$C$12,'1-Input'!$B$12,0))-(AO271-MIN(MAX(AO271,0),MAX(0,AK231-IF($A272&gt;='1-Input'!$C$12,'1-Input'!$B$12,0)))))*(1/(1-'P-Parametri'!$B$6*AK272))))</f>
        <v>8316.3193674869199</v>
      </c>
      <c r="AM272" s="18">
        <f>IF($A272&gt;'1-Input'!$B$26,AO271,(AO271-MAX(0,AK231-IF($A272&gt;='1-Input'!$C$12,'1-Input'!$B$12,0))+AL272*(1-'P-Parametri'!$B$6*AK272))*(1+'1-Input'!$B$27))</f>
        <v>19996.444564658952</v>
      </c>
      <c r="AN272" s="18">
        <f>IF($A272&gt;'1-Input'!$B$26,AP271,(AP271-AL272)*(1+'5-Roberta'!$C$4))</f>
        <v>24796.065767586475</v>
      </c>
      <c r="AO272" s="18">
        <f>IF($A272&gt;'1-Input'!$B$26,AM272,AM272-'P-Parametri'!$B$8*(AN272+AM272)+MIN(MAX(AN272,0),'P-Parametri'!$B$8*(AN272+AM272)))</f>
        <v>19996.444564658952</v>
      </c>
      <c r="AP272" s="18">
        <f>IF($A272&gt;'1-Input'!$B$26,AN272,AN272-MIN(MAX(AN272,0),'P-Parametri'!$B$8*(AN272+AM272)))</f>
        <v>24706.480746921985</v>
      </c>
      <c r="AQ272" s="18">
        <f>IF($A272&gt;'1-Input'!$B$26,AQ271,AQ271-AL272*(1-AK272))</f>
        <v>6766.3620568754741</v>
      </c>
    </row>
    <row r="273" spans="1:43">
      <c r="A273" s="10">
        <f>40</f>
        <v>40</v>
      </c>
      <c r="B273" s="11">
        <f>IF($A273&gt;'1-Input'!$B$26,0,IF(G272&lt;=0,0,MAX(0,(G272-H272)/G272)))</f>
        <v>0.72873076000176207</v>
      </c>
      <c r="C273" s="18">
        <f>IF($A273&gt;'1-Input'!$B$26,0,(MAX(0,B231-IF($A273&gt;='1-Input'!$C$12,'1-Input'!$B$12,0))-MIN(MAX(F272,0),MAX(0,B231-IF($A273&gt;='1-Input'!$C$12,'1-Input'!$B$12,0))))*(1/(1-'P-Parametri'!$B$6*B273))+MIN(MAX(0,G272-(MAX(0,B231-IF($A273&gt;='1-Input'!$C$12,'1-Input'!$B$12,0))-MIN(MAX(F272,0),MAX(0,B231-IF($A273&gt;='1-Input'!$C$12,'1-Input'!$B$12,0))))*(1/(1-'P-Parametri'!$B$6*B273))),MAX(0,3*MAX(0,B231-IF($A273&gt;='1-Input'!$C$12,'1-Input'!$B$12,0))-(F272-MIN(MAX(F272,0),MAX(0,B231-IF($A273&gt;='1-Input'!$C$12,'1-Input'!$B$12,0)))))*(1/(1-'P-Parametri'!$B$6*B273))))</f>
        <v>6957.557518326048</v>
      </c>
      <c r="D273" s="18">
        <f>IF($A273&gt;'1-Input'!$B$26,F272,(F272-MAX(0,B231-IF($A273&gt;='1-Input'!$C$12,'1-Input'!$B$12,0))+C273*(1-'P-Parametri'!$B$6*B273))*(1+'1-Input'!$B$27))</f>
        <v>16676.912146479448</v>
      </c>
      <c r="E273" s="18">
        <f>IF($A273&gt;'1-Input'!$B$26,G272,(G272-C273)*(1+'5-Roberta'!$C$4))</f>
        <v>121321.22322956235</v>
      </c>
      <c r="F273" s="18">
        <f>IF($A273&gt;'1-Input'!$B$26,D273,D273-'P-Parametri'!$B$8*(E273+D273)+MIN(MAX(E273,0),'P-Parametri'!$B$8*(E273+D273)))</f>
        <v>16676.912146479448</v>
      </c>
      <c r="G273" s="18">
        <f>IF($A273&gt;'1-Input'!$B$26,E273,E273-MIN(MAX(E273,0),'P-Parametri'!$B$8*(E273+D273)))</f>
        <v>121045.22695881026</v>
      </c>
      <c r="H273" s="18">
        <f>IF($A273&gt;'1-Input'!$B$26,H272,H272-C273*(1-B273))</f>
        <v>31952.151476834897</v>
      </c>
      <c r="I273" s="11">
        <f>IF($A273&gt;'1-Input'!$B$26,0,IF(N272&lt;=0,0,MAX(0,(N272-O272)/N272)))</f>
        <v>0</v>
      </c>
      <c r="J273" s="18">
        <f>IF($A273&gt;'1-Input'!$B$26,0,(MAX(0,I231-IF($A273&gt;='1-Input'!$C$12,'1-Input'!$B$12,0))-MIN(MAX(M272,0),MAX(0,I231-IF($A273&gt;='1-Input'!$C$12,'1-Input'!$B$12,0))))*(1/(1-'P-Parametri'!$B$6*I273))+MIN(MAX(0,N272-(MAX(0,I231-IF($A273&gt;='1-Input'!$C$12,'1-Input'!$B$12,0))-MIN(MAX(M272,0),MAX(0,I231-IF($A273&gt;='1-Input'!$C$12,'1-Input'!$B$12,0))))*(1/(1-'P-Parametri'!$B$6*I273))),MAX(0,3*MAX(0,I231-IF($A273&gt;='1-Input'!$C$12,'1-Input'!$B$12,0))-(M272-MIN(MAX(M272,0),MAX(0,I231-IF($A273&gt;='1-Input'!$C$12,'1-Input'!$B$12,0)))))*(1/(1-'P-Parametri'!$B$6*I273))))</f>
        <v>10846.756992928691</v>
      </c>
      <c r="K273" s="18">
        <f>IF($A273&gt;'1-Input'!$B$26,M272,(M272-MAX(0,I231-IF($A273&gt;='1-Input'!$C$12,'1-Input'!$B$12,0))+J273*(1-'P-Parametri'!$B$6*I273))*(1+'1-Input'!$B$27))</f>
        <v>0</v>
      </c>
      <c r="L273" s="18">
        <f>IF($A273&gt;'1-Input'!$B$26,N272,(N272-J273)*(1+'5-Roberta'!$C$4))</f>
        <v>-249159.00034120618</v>
      </c>
      <c r="M273" s="18">
        <f>IF($A273&gt;'1-Input'!$B$26,K273,K273-'P-Parametri'!$B$8*(L273+K273)+MIN(MAX(L273,0),'P-Parametri'!$B$8*(L273+K273)))</f>
        <v>0</v>
      </c>
      <c r="N273" s="18">
        <f>IF($A273&gt;'1-Input'!$B$26,L273,L273-MIN(MAX(L273,0),'P-Parametri'!$B$8*(L273+K273)))</f>
        <v>-248660.68234052375</v>
      </c>
      <c r="O273" s="18">
        <f>IF($A273&gt;'1-Input'!$B$26,O272,O272-J273*(1-I273))</f>
        <v>-190608.73784235254</v>
      </c>
      <c r="P273" s="11">
        <f>IF($A273&gt;'1-Input'!$B$26,0,IF(U272&lt;=0,0,MAX(0,(U272-V272)/U272)))</f>
        <v>0.72213633758883911</v>
      </c>
      <c r="Q273" s="18">
        <f>IF($A273&gt;'1-Input'!$B$26,0,(MAX(0,P231-IF($A273&gt;='1-Input'!$C$12,'1-Input'!$B$12,0))-MIN(MAX(T272,0),MAX(0,P231-IF($A273&gt;='1-Input'!$C$12,'1-Input'!$B$12,0))))*(1/(1-'P-Parametri'!$B$6*P273))+MIN(MAX(0,U272-(MAX(0,P231-IF($A273&gt;='1-Input'!$C$12,'1-Input'!$B$12,0))-MIN(MAX(T272,0),MAX(0,P231-IF($A273&gt;='1-Input'!$C$12,'1-Input'!$B$12,0))))*(1/(1-'P-Parametri'!$B$6*P273))),MAX(0,3*MAX(0,P231-IF($A273&gt;='1-Input'!$C$12,'1-Input'!$B$12,0))-(T272-MIN(MAX(T272,0),MAX(0,P231-IF($A273&gt;='1-Input'!$C$12,'1-Input'!$B$12,0)))))*(1/(1-'P-Parametri'!$B$6*P273))))</f>
        <v>4096.8140261202261</v>
      </c>
      <c r="R273" s="18">
        <f>IF($A273&gt;'1-Input'!$B$26,T272,(T272-MAX(0,P231-IF($A273&gt;='1-Input'!$C$12,'1-Input'!$B$12,0))+Q273*(1-'P-Parametri'!$B$6*P273))*(1+'1-Input'!$B$27))</f>
        <v>17027.438946200433</v>
      </c>
      <c r="S273" s="18">
        <f>IF($A273&gt;'1-Input'!$B$26,U272,(U272-Q273)*(1+'5-Roberta'!$C$4))</f>
        <v>0</v>
      </c>
      <c r="T273" s="18">
        <f>IF($A273&gt;'1-Input'!$B$26,R273,R273-'P-Parametri'!$B$8*(S273+R273)+MIN(MAX(S273,0),'P-Parametri'!$B$8*(S273+R273)))</f>
        <v>16993.384068308031</v>
      </c>
      <c r="U273" s="18">
        <f>IF($A273&gt;'1-Input'!$B$26,S273,S273-MIN(MAX(S273,0),'P-Parametri'!$B$8*(S273+R273)))</f>
        <v>0</v>
      </c>
      <c r="V273" s="18">
        <f>IF($A273&gt;'1-Input'!$B$26,V272,V272-Q273*(1-P273))</f>
        <v>0</v>
      </c>
      <c r="W273" s="11">
        <f>IF($A273&gt;'1-Input'!$B$26,0,IF(AB272&lt;=0,0,MAX(0,(AB272-AC272)/AB272)))</f>
        <v>0.72610346625302558</v>
      </c>
      <c r="X273" s="18">
        <f>IF($A273&gt;'1-Input'!$B$26,0,(MAX(0,W231-IF($A273&gt;='1-Input'!$C$12,'1-Input'!$B$12,0))-MIN(MAX(AA272,0),MAX(0,W231-IF($A273&gt;='1-Input'!$C$12,'1-Input'!$B$12,0))))*(1/(1-'P-Parametri'!$B$6*W273))+MIN(MAX(0,AB272-(MAX(0,W231-IF($A273&gt;='1-Input'!$C$12,'1-Input'!$B$12,0))-MIN(MAX(AA272,0),MAX(0,W231-IF($A273&gt;='1-Input'!$C$12,'1-Input'!$B$12,0))))*(1/(1-'P-Parametri'!$B$6*W273))),MAX(0,3*MAX(0,W231-IF($A273&gt;='1-Input'!$C$12,'1-Input'!$B$12,0))-(AA272-MIN(MAX(AA272,0),MAX(0,W231-IF($A273&gt;='1-Input'!$C$12,'1-Input'!$B$12,0)))))*(1/(1-'P-Parametri'!$B$6*W273))))</f>
        <v>8340.806168592022</v>
      </c>
      <c r="Y273" s="18">
        <f>IF($A273&gt;'1-Input'!$B$26,AA272,(AA272-MAX(0,W231-IF($A273&gt;='1-Input'!$C$12,'1-Input'!$B$12,0))+X273*(1-'P-Parametri'!$B$6*W273))*(1+'1-Input'!$B$27))</f>
        <v>20009.338153678473</v>
      </c>
      <c r="Z273" s="18">
        <f>IF($A273&gt;'1-Input'!$B$26,AB272,(AB272-X273)*(1+'5-Roberta'!$C$4))</f>
        <v>16455.738040191318</v>
      </c>
      <c r="AA273" s="18">
        <f>IF($A273&gt;'1-Input'!$B$26,Y273,Y273-'P-Parametri'!$B$8*(Z273+Y273)+MIN(MAX(Z273,0),'P-Parametri'!$B$8*(Z273+Y273)))</f>
        <v>20009.338153678473</v>
      </c>
      <c r="AB273" s="18">
        <f>IF($A273&gt;'1-Input'!$B$26,Z273,Z273-MIN(MAX(Z273,0),'P-Parametri'!$B$8*(Z273+Y273)))</f>
        <v>16382.807887803578</v>
      </c>
      <c r="AC273" s="18">
        <f>IF($A273&gt;'1-Input'!$B$26,AC272,AC272-X273*(1-W273))</f>
        <v>4375.8928247151771</v>
      </c>
      <c r="AD273" s="11">
        <f>IF($A273&gt;'1-Input'!$B$26,0,IF(AI272&lt;=0,0,MAX(0,(AI272-AJ272)/AI272)))</f>
        <v>0.72613120696568845</v>
      </c>
      <c r="AE273" s="18">
        <f>IF($A273&gt;'1-Input'!$B$26,0,(MAX(0,AD231-IF($A273&gt;='1-Input'!$C$12,'1-Input'!$B$12,0))-MIN(MAX(AH272,0),MAX(0,AD231-IF($A273&gt;='1-Input'!$C$12,'1-Input'!$B$12,0))))*(1/(1-'P-Parametri'!$B$6*AD273))+MIN(MAX(0,AI272-(MAX(0,AD231-IF($A273&gt;='1-Input'!$C$12,'1-Input'!$B$12,0))-MIN(MAX(AH272,0),MAX(0,AD231-IF($A273&gt;='1-Input'!$C$12,'1-Input'!$B$12,0))))*(1/(1-'P-Parametri'!$B$6*AD273))),MAX(0,3*MAX(0,AD231-IF($A273&gt;='1-Input'!$C$12,'1-Input'!$B$12,0))-(AH272-MIN(MAX(AH272,0),MAX(0,AD231-IF($A273&gt;='1-Input'!$C$12,'1-Input'!$B$12,0)))))*(1/(1-'P-Parametri'!$B$6*AD273))))</f>
        <v>8335.2746373068094</v>
      </c>
      <c r="AF273" s="18">
        <f>IF($A273&gt;'1-Input'!$B$26,AH272,(AH272-MAX(0,AD231-IF($A273&gt;='1-Input'!$C$12,'1-Input'!$B$12,0))+AE273*(1-'P-Parametri'!$B$6*AD273))*(1+'1-Input'!$B$27))</f>
        <v>19995.890392547142</v>
      </c>
      <c r="AG273" s="18">
        <f>IF($A273&gt;'1-Input'!$B$26,AI272,(AI272-AE273)*(1+'5-Roberta'!$C$4))</f>
        <v>16879.573520392918</v>
      </c>
      <c r="AH273" s="18">
        <f>IF($A273&gt;'1-Input'!$B$26,AF273,AF273-'P-Parametri'!$B$8*(AG273+AF273)+MIN(MAX(AG273,0),'P-Parametri'!$B$8*(AG273+AF273)))</f>
        <v>19995.890392547142</v>
      </c>
      <c r="AI273" s="18">
        <f>IF($A273&gt;'1-Input'!$B$26,AG273,AG273-MIN(MAX(AG273,0),'P-Parametri'!$B$8*(AG273+AF273)))</f>
        <v>16805.822592567038</v>
      </c>
      <c r="AJ273" s="18">
        <f>IF($A273&gt;'1-Input'!$B$26,AJ272,AJ272-AE273*(1-AD273))</f>
        <v>4488.1441038484772</v>
      </c>
      <c r="AK273" s="11">
        <f>IF($A273&gt;'1-Input'!$B$26,0,IF(AP272&lt;=0,0,MAX(0,(AP272-AQ272)/AP272)))</f>
        <v>0.7261300738787555</v>
      </c>
      <c r="AL273" s="18">
        <f>IF($A273&gt;'1-Input'!$B$26,0,(MAX(0,AK231-IF($A273&gt;='1-Input'!$C$12,'1-Input'!$B$12,0))-MIN(MAX(AO272,0),MAX(0,AK231-IF($A273&gt;='1-Input'!$C$12,'1-Input'!$B$12,0))))*(1/(1-'P-Parametri'!$B$6*AK273))+MIN(MAX(0,AP272-(MAX(0,AK231-IF($A273&gt;='1-Input'!$C$12,'1-Input'!$B$12,0))-MIN(MAX(AO272,0),MAX(0,AK231-IF($A273&gt;='1-Input'!$C$12,'1-Input'!$B$12,0))))*(1/(1-'P-Parametri'!$B$6*AK273))),MAX(0,3*MAX(0,AK231-IF($A273&gt;='1-Input'!$C$12,'1-Input'!$B$12,0))-(AO272-MIN(MAX(AO272,0),MAX(0,AK231-IF($A273&gt;='1-Input'!$C$12,'1-Input'!$B$12,0)))))*(1/(1-'P-Parametri'!$B$6*AK273))))</f>
        <v>8335.5026164382271</v>
      </c>
      <c r="AM273" s="18">
        <f>IF($A273&gt;'1-Input'!$B$26,AO272,(AO272-MAX(0,AK231-IF($A273&gt;='1-Input'!$C$12,'1-Input'!$B$12,0))+AL273*(1-'P-Parametri'!$B$6*AK273))*(1+'1-Input'!$B$27))</f>
        <v>19996.444564658952</v>
      </c>
      <c r="AN273" s="18">
        <f>IF($A273&gt;'1-Input'!$B$26,AP272,(AP272-AL273)*(1+'5-Roberta'!$C$4))</f>
        <v>16862.107474398272</v>
      </c>
      <c r="AO273" s="18">
        <f>IF($A273&gt;'1-Input'!$B$26,AM273,AM273-'P-Parametri'!$B$8*(AN273+AM273)+MIN(MAX(AN273,0),'P-Parametri'!$B$8*(AN273+AM273)))</f>
        <v>19996.444564658952</v>
      </c>
      <c r="AP273" s="18">
        <f>IF($A273&gt;'1-Input'!$B$26,AN273,AN273-MIN(MAX(AN273,0),'P-Parametri'!$B$8*(AN273+AM273)))</f>
        <v>16788.390370320158</v>
      </c>
      <c r="AQ273" s="18">
        <f>IF($A273&gt;'1-Input'!$B$26,AQ272,AQ272-AL273*(1-AK273))</f>
        <v>4483.5185711280965</v>
      </c>
    </row>
    <row r="274" spans="1:43">
      <c r="A274" s="10">
        <f>41</f>
        <v>41</v>
      </c>
      <c r="B274" s="11">
        <f>IF($A274&gt;'1-Input'!$B$26,0,IF(G273&lt;=0,0,MAX(0,(G273-H273)/G273)))</f>
        <v>0.73603129772553777</v>
      </c>
      <c r="C274" s="18">
        <f>IF($A274&gt;'1-Input'!$B$26,0,(MAX(0,B231-IF($A274&gt;='1-Input'!$C$12,'1-Input'!$B$12,0))-MIN(MAX(F273,0),MAX(0,B231-IF($A274&gt;='1-Input'!$C$12,'1-Input'!$B$12,0))))*(1/(1-'P-Parametri'!$B$6*B274))+MIN(MAX(0,G273-(MAX(0,B231-IF($A274&gt;='1-Input'!$C$12,'1-Input'!$B$12,0))-MIN(MAX(F273,0),MAX(0,B231-IF($A274&gt;='1-Input'!$C$12,'1-Input'!$B$12,0))))*(1/(1-'P-Parametri'!$B$6*B274))),MAX(0,3*MAX(0,B231-IF($A274&gt;='1-Input'!$C$12,'1-Input'!$B$12,0))-(F273-MIN(MAX(F273,0),MAX(0,B231-IF($A274&gt;='1-Input'!$C$12,'1-Input'!$B$12,0)))))*(1/(1-'P-Parametri'!$B$6*B274))))</f>
        <v>6973.8893220852115</v>
      </c>
      <c r="D274" s="18">
        <f>IF($A274&gt;'1-Input'!$B$26,F273,(F273-MAX(0,B231-IF($A274&gt;='1-Input'!$C$12,'1-Input'!$B$12,0))+C274*(1-'P-Parametri'!$B$6*B274))*(1+'1-Input'!$B$27))</f>
        <v>16676.912146479448</v>
      </c>
      <c r="E274" s="18">
        <f>IF($A274&gt;'1-Input'!$B$26,G273,(G273-C274)*(1+'5-Roberta'!$C$4))</f>
        <v>117493.4777658268</v>
      </c>
      <c r="F274" s="18">
        <f>IF($A274&gt;'1-Input'!$B$26,D274,D274-'P-Parametri'!$B$8*(E274+D274)+MIN(MAX(E274,0),'P-Parametri'!$B$8*(E274+D274)))</f>
        <v>16676.912146479448</v>
      </c>
      <c r="G274" s="18">
        <f>IF($A274&gt;'1-Input'!$B$26,E274,E274-MIN(MAX(E274,0),'P-Parametri'!$B$8*(E274+D274)))</f>
        <v>117225.13698600218</v>
      </c>
      <c r="H274" s="18">
        <f>IF($A274&gt;'1-Input'!$B$26,H273,H273-C274*(1-B274))</f>
        <v>30111.262962678335</v>
      </c>
      <c r="I274" s="11">
        <f>IF($A274&gt;'1-Input'!$B$26,0,IF(N273&lt;=0,0,MAX(0,(N273-O273)/N273)))</f>
        <v>0</v>
      </c>
      <c r="J274" s="18">
        <f>IF($A274&gt;'1-Input'!$B$26,0,(MAX(0,I231-IF($A274&gt;='1-Input'!$C$12,'1-Input'!$B$12,0))-MIN(MAX(M273,0),MAX(0,I231-IF($A274&gt;='1-Input'!$C$12,'1-Input'!$B$12,0))))*(1/(1-'P-Parametri'!$B$6*I274))+MIN(MAX(0,N273-(MAX(0,I231-IF($A274&gt;='1-Input'!$C$12,'1-Input'!$B$12,0))-MIN(MAX(M273,0),MAX(0,I231-IF($A274&gt;='1-Input'!$C$12,'1-Input'!$B$12,0))))*(1/(1-'P-Parametri'!$B$6*I274))),MAX(0,3*MAX(0,I231-IF($A274&gt;='1-Input'!$C$12,'1-Input'!$B$12,0))-(M273-MIN(MAX(M273,0),MAX(0,I231-IF($A274&gt;='1-Input'!$C$12,'1-Input'!$B$12,0)))))*(1/(1-'P-Parametri'!$B$6*I274))))</f>
        <v>10846.756992928691</v>
      </c>
      <c r="K274" s="18">
        <f>IF($A274&gt;'1-Input'!$B$26,M273,(M273-MAX(0,I231-IF($A274&gt;='1-Input'!$C$12,'1-Input'!$B$12,0))+J274*(1-'P-Parametri'!$B$6*I274))*(1+'1-Input'!$B$27))</f>
        <v>0</v>
      </c>
      <c r="L274" s="18">
        <f>IF($A274&gt;'1-Input'!$B$26,N273,(N273-J274)*(1+'5-Roberta'!$C$4))</f>
        <v>-267292.66251345602</v>
      </c>
      <c r="M274" s="18">
        <f>IF($A274&gt;'1-Input'!$B$26,K274,K274-'P-Parametri'!$B$8*(L274+K274)+MIN(MAX(L274,0),'P-Parametri'!$B$8*(L274+K274)))</f>
        <v>0</v>
      </c>
      <c r="N274" s="18">
        <f>IF($A274&gt;'1-Input'!$B$26,L274,L274-MIN(MAX(L274,0),'P-Parametri'!$B$8*(L274+K274)))</f>
        <v>-266758.07718842913</v>
      </c>
      <c r="O274" s="18">
        <f>IF($A274&gt;'1-Input'!$B$26,O273,O273-J274*(1-I274))</f>
        <v>-201455.49483528122</v>
      </c>
      <c r="P274" s="11">
        <f>IF($A274&gt;'1-Input'!$B$26,0,IF(U273&lt;=0,0,MAX(0,(U273-V273)/U273)))</f>
        <v>0</v>
      </c>
      <c r="Q274" s="18">
        <f>IF($A274&gt;'1-Input'!$B$26,0,(MAX(0,P231-IF($A274&gt;='1-Input'!$C$12,'1-Input'!$B$12,0))-MIN(MAX(T273,0),MAX(0,P231-IF($A274&gt;='1-Input'!$C$12,'1-Input'!$B$12,0))))*(1/(1-'P-Parametri'!$B$6*P274))+MIN(MAX(0,U273-(MAX(0,P231-IF($A274&gt;='1-Input'!$C$12,'1-Input'!$B$12,0))-MIN(MAX(T273,0),MAX(0,P231-IF($A274&gt;='1-Input'!$C$12,'1-Input'!$B$12,0))))*(1/(1-'P-Parametri'!$B$6*P274))),MAX(0,3*MAX(0,P231-IF($A274&gt;='1-Input'!$C$12,'1-Input'!$B$12,0))-(T273-MIN(MAX(T273,0),MAX(0,P231-IF($A274&gt;='1-Input'!$C$12,'1-Input'!$B$12,0)))))*(1/(1-'P-Parametri'!$B$6*P274))))</f>
        <v>0</v>
      </c>
      <c r="R274" s="18">
        <f>IF($A274&gt;'1-Input'!$B$26,T273,(T273-MAX(0,P231-IF($A274&gt;='1-Input'!$C$12,'1-Input'!$B$12,0))+Q274*(1-'P-Parametri'!$B$6*P274))*(1+'1-Input'!$B$27))</f>
        <v>10039.083269965031</v>
      </c>
      <c r="S274" s="18">
        <f>IF($A274&gt;'1-Input'!$B$26,U273,(U273-Q274)*(1+'5-Roberta'!$C$4))</f>
        <v>0</v>
      </c>
      <c r="T274" s="18">
        <f>IF($A274&gt;'1-Input'!$B$26,R274,R274-'P-Parametri'!$B$8*(S274+R274)+MIN(MAX(S274,0),'P-Parametri'!$B$8*(S274+R274)))</f>
        <v>10019.005103425101</v>
      </c>
      <c r="U274" s="18">
        <f>IF($A274&gt;'1-Input'!$B$26,S274,S274-MIN(MAX(S274,0),'P-Parametri'!$B$8*(S274+R274)))</f>
        <v>0</v>
      </c>
      <c r="V274" s="18">
        <f>IF($A274&gt;'1-Input'!$B$26,V273,V273-Q274*(1-P274))</f>
        <v>0</v>
      </c>
      <c r="W274" s="11">
        <f>IF($A274&gt;'1-Input'!$B$26,0,IF(AB273&lt;=0,0,MAX(0,(AB273-AC273)/AB273)))</f>
        <v>0.73289726311367687</v>
      </c>
      <c r="X274" s="18">
        <f>IF($A274&gt;'1-Input'!$B$26,0,(MAX(0,W231-IF($A274&gt;='1-Input'!$C$12,'1-Input'!$B$12,0))-MIN(MAX(AA273,0),MAX(0,W231-IF($A274&gt;='1-Input'!$C$12,'1-Input'!$B$12,0))))*(1/(1-'P-Parametri'!$B$6*W274))+MIN(MAX(0,AB273-(MAX(0,W231-IF($A274&gt;='1-Input'!$C$12,'1-Input'!$B$12,0))-MIN(MAX(AA273,0),MAX(0,W231-IF($A274&gt;='1-Input'!$C$12,'1-Input'!$B$12,0))))*(1/(1-'P-Parametri'!$B$6*W274))),MAX(0,3*MAX(0,W231-IF($A274&gt;='1-Input'!$C$12,'1-Input'!$B$12,0))-(AA273-MIN(MAX(AA273,0),MAX(0,W231-IF($A274&gt;='1-Input'!$C$12,'1-Input'!$B$12,0)))))*(1/(1-'P-Parametri'!$B$6*W274))))</f>
        <v>8359.0076053358407</v>
      </c>
      <c r="Y274" s="18">
        <f>IF($A274&gt;'1-Input'!$B$26,AA273,(AA273-MAX(0,W231-IF($A274&gt;='1-Input'!$C$12,'1-Input'!$B$12,0))+X274*(1-'P-Parametri'!$B$6*W274))*(1+'1-Input'!$B$27))</f>
        <v>20009.338153678473</v>
      </c>
      <c r="Z274" s="18">
        <f>IF($A274&gt;'1-Input'!$B$26,AB273,(AB273-X274)*(1+'5-Roberta'!$C$4))</f>
        <v>8264.51429094177</v>
      </c>
      <c r="AA274" s="18">
        <f>IF($A274&gt;'1-Input'!$B$26,Y274,Y274-'P-Parametri'!$B$8*(Z274+Y274)+MIN(MAX(Z274,0),'P-Parametri'!$B$8*(Z274+Y274)))</f>
        <v>20009.338153678473</v>
      </c>
      <c r="AB274" s="18">
        <f>IF($A274&gt;'1-Input'!$B$26,Z274,Z274-MIN(MAX(Z274,0),'P-Parametri'!$B$8*(Z274+Y274)))</f>
        <v>8207.9665860525292</v>
      </c>
      <c r="AC274" s="18">
        <f>IF($A274&gt;'1-Input'!$B$26,AC273,AC273-X274*(1-W274))</f>
        <v>2143.1790156763841</v>
      </c>
      <c r="AD274" s="11">
        <f>IF($A274&gt;'1-Input'!$B$26,0,IF(AI273&lt;=0,0,MAX(0,(AI273-AJ273)/AI273)))</f>
        <v>0.73294112328464567</v>
      </c>
      <c r="AE274" s="18">
        <f>IF($A274&gt;'1-Input'!$B$26,0,(MAX(0,AD231-IF($A274&gt;='1-Input'!$C$12,'1-Input'!$B$12,0))-MIN(MAX(AH273,0),MAX(0,AD231-IF($A274&gt;='1-Input'!$C$12,'1-Input'!$B$12,0))))*(1/(1-'P-Parametri'!$B$6*AD274))+MIN(MAX(0,AI273-(MAX(0,AD231-IF($A274&gt;='1-Input'!$C$12,'1-Input'!$B$12,0))-MIN(MAX(AH273,0),MAX(0,AD231-IF($A274&gt;='1-Input'!$C$12,'1-Input'!$B$12,0))))*(1/(1-'P-Parametri'!$B$6*AD274))),MAX(0,3*MAX(0,AD231-IF($A274&gt;='1-Input'!$C$12,'1-Input'!$B$12,0))-(AH273-MIN(MAX(AH273,0),MAX(0,AD231-IF($A274&gt;='1-Input'!$C$12,'1-Input'!$B$12,0)))))*(1/(1-'P-Parametri'!$B$6*AD274))))</f>
        <v>8353.5074173409575</v>
      </c>
      <c r="AF274" s="18">
        <f>IF($A274&gt;'1-Input'!$B$26,AH273,(AH273-MAX(0,AD231-IF($A274&gt;='1-Input'!$C$12,'1-Input'!$B$12,0))+AE274*(1-'P-Parametri'!$B$6*AD274))*(1+'1-Input'!$B$27))</f>
        <v>19995.890392547142</v>
      </c>
      <c r="AG274" s="18">
        <f>IF($A274&gt;'1-Input'!$B$26,AI273,(AI273-AE274)*(1+'5-Roberta'!$C$4))</f>
        <v>8705.8846304828621</v>
      </c>
      <c r="AH274" s="18">
        <f>IF($A274&gt;'1-Input'!$B$26,AF274,AF274-'P-Parametri'!$B$8*(AG274+AF274)+MIN(MAX(AG274,0),'P-Parametri'!$B$8*(AG274+AF274)))</f>
        <v>19995.890392547142</v>
      </c>
      <c r="AI274" s="18">
        <f>IF($A274&gt;'1-Input'!$B$26,AG274,AG274-MIN(MAX(AG274,0),'P-Parametri'!$B$8*(AG274+AF274)))</f>
        <v>8648.4810804368026</v>
      </c>
      <c r="AJ274" s="18">
        <f>IF($A274&gt;'1-Input'!$B$26,AJ273,AJ273-AE274*(1-AD274))</f>
        <v>2257.2657963400206</v>
      </c>
      <c r="AK274" s="11">
        <f>IF($A274&gt;'1-Input'!$B$26,0,IF(AP273&lt;=0,0,MAX(0,(AP273-AQ273)/AP273)))</f>
        <v>0.73293934247237813</v>
      </c>
      <c r="AL274" s="18">
        <f>IF($A274&gt;'1-Input'!$B$26,0,(MAX(0,AK231-IF($A274&gt;='1-Input'!$C$12,'1-Input'!$B$12,0))-MIN(MAX(AO273,0),MAX(0,AK231-IF($A274&gt;='1-Input'!$C$12,'1-Input'!$B$12,0))))*(1/(1-'P-Parametri'!$B$6*AK274))+MIN(MAX(0,AP273-(MAX(0,AK231-IF($A274&gt;='1-Input'!$C$12,'1-Input'!$B$12,0))-MIN(MAX(AO273,0),MAX(0,AK231-IF($A274&gt;='1-Input'!$C$12,'1-Input'!$B$12,0))))*(1/(1-'P-Parametri'!$B$6*AK274))),MAX(0,3*MAX(0,AK231-IF($A274&gt;='1-Input'!$C$12,'1-Input'!$B$12,0))-(AO273-MIN(MAX(AO273,0),MAX(0,AK231-IF($A274&gt;='1-Input'!$C$12,'1-Input'!$B$12,0)))))*(1/(1-'P-Parametri'!$B$6*AK274))))</f>
        <v>8353.7341504719589</v>
      </c>
      <c r="AM274" s="18">
        <f>IF($A274&gt;'1-Input'!$B$26,AO273,(AO273-MAX(0,AK231-IF($A274&gt;='1-Input'!$C$12,'1-Input'!$B$12,0))+AL274*(1-'P-Parametri'!$B$6*AK274))*(1+'1-Input'!$B$27))</f>
        <v>19996.444564658952</v>
      </c>
      <c r="AN274" s="18">
        <f>IF($A274&gt;'1-Input'!$B$26,AP273,(AP273-AL274)*(1+'5-Roberta'!$C$4))</f>
        <v>8687.6959064436451</v>
      </c>
      <c r="AO274" s="18">
        <f>IF($A274&gt;'1-Input'!$B$26,AM274,AM274-'P-Parametri'!$B$8*(AN274+AM274)+MIN(MAX(AN274,0),'P-Parametri'!$B$8*(AN274+AM274)))</f>
        <v>19996.444564658952</v>
      </c>
      <c r="AP274" s="18">
        <f>IF($A274&gt;'1-Input'!$B$26,AN274,AN274-MIN(MAX(AN274,0),'P-Parametri'!$B$8*(AN274+AM274)))</f>
        <v>8630.3276255014407</v>
      </c>
      <c r="AQ274" s="18">
        <f>IF($A274&gt;'1-Input'!$B$26,AQ273,AQ273-AL274*(1-AK274))</f>
        <v>2252.5648360921055</v>
      </c>
    </row>
    <row r="275" spans="1:43">
      <c r="A275" s="10">
        <f>42</f>
        <v>42</v>
      </c>
      <c r="B275" s="11">
        <f>IF($A275&gt;'1-Input'!$B$26,0,IF(G274&lt;=0,0,MAX(0,(G274-H274)/G274)))</f>
        <v>0.74313305373851768</v>
      </c>
      <c r="C275" s="18">
        <f>IF($A275&gt;'1-Input'!$B$26,0,(MAX(0,B231-IF($A275&gt;='1-Input'!$C$12,'1-Input'!$B$12,0))-MIN(MAX(F274,0),MAX(0,B231-IF($A275&gt;='1-Input'!$C$12,'1-Input'!$B$12,0))))*(1/(1-'P-Parametri'!$B$6*B275))+MIN(MAX(0,G274-(MAX(0,B231-IF($A275&gt;='1-Input'!$C$12,'1-Input'!$B$12,0))-MIN(MAX(F274,0),MAX(0,B231-IF($A275&gt;='1-Input'!$C$12,'1-Input'!$B$12,0))))*(1/(1-'P-Parametri'!$B$6*B275))),MAX(0,3*MAX(0,B231-IF($A275&gt;='1-Input'!$C$12,'1-Input'!$B$12,0))-(F274-MIN(MAX(F274,0),MAX(0,B231-IF($A275&gt;='1-Input'!$C$12,'1-Input'!$B$12,0)))))*(1/(1-'P-Parametri'!$B$6*B275))))</f>
        <v>6989.8501756341238</v>
      </c>
      <c r="D275" s="18">
        <f>IF($A275&gt;'1-Input'!$B$26,F274,(F274-MAX(0,B231-IF($A275&gt;='1-Input'!$C$12,'1-Input'!$B$12,0))+C275*(1-'P-Parametri'!$B$6*B275))*(1+'1-Input'!$B$27))</f>
        <v>16676.912146479448</v>
      </c>
      <c r="E275" s="18">
        <f>IF($A275&gt;'1-Input'!$B$26,G274,(G274-C275)*(1+'5-Roberta'!$C$4))</f>
        <v>113542.34541467909</v>
      </c>
      <c r="F275" s="18">
        <f>IF($A275&gt;'1-Input'!$B$26,D275,D275-'P-Parametri'!$B$8*(E275+D275)+MIN(MAX(E275,0),'P-Parametri'!$B$8*(E275+D275)))</f>
        <v>16676.912146479448</v>
      </c>
      <c r="G275" s="18">
        <f>IF($A275&gt;'1-Input'!$B$26,E275,E275-MIN(MAX(E275,0),'P-Parametri'!$B$8*(E275+D275)))</f>
        <v>113281.90689955678</v>
      </c>
      <c r="H275" s="18">
        <f>IF($A275&gt;'1-Input'!$B$26,H274,H274-C275*(1-B275))</f>
        <v>28315.801493237912</v>
      </c>
      <c r="I275" s="11">
        <f>IF($A275&gt;'1-Input'!$B$26,0,IF(N274&lt;=0,0,MAX(0,(N274-O274)/N274)))</f>
        <v>0</v>
      </c>
      <c r="J275" s="18">
        <f>IF($A275&gt;'1-Input'!$B$26,0,(MAX(0,I231-IF($A275&gt;='1-Input'!$C$12,'1-Input'!$B$12,0))-MIN(MAX(M274,0),MAX(0,I231-IF($A275&gt;='1-Input'!$C$12,'1-Input'!$B$12,0))))*(1/(1-'P-Parametri'!$B$6*I275))+MIN(MAX(0,N274-(MAX(0,I231-IF($A275&gt;='1-Input'!$C$12,'1-Input'!$B$12,0))-MIN(MAX(M274,0),MAX(0,I231-IF($A275&gt;='1-Input'!$C$12,'1-Input'!$B$12,0))))*(1/(1-'P-Parametri'!$B$6*I275))),MAX(0,3*MAX(0,I231-IF($A275&gt;='1-Input'!$C$12,'1-Input'!$B$12,0))-(M274-MIN(MAX(M274,0),MAX(0,I231-IF($A275&gt;='1-Input'!$C$12,'1-Input'!$B$12,0)))))*(1/(1-'P-Parametri'!$B$6*I275))))</f>
        <v>10846.756992928691</v>
      </c>
      <c r="K275" s="18">
        <f>IF($A275&gt;'1-Input'!$B$26,M274,(M274-MAX(0,I231-IF($A275&gt;='1-Input'!$C$12,'1-Input'!$B$12,0))+J275*(1-'P-Parametri'!$B$6*I275))*(1+'1-Input'!$B$27))</f>
        <v>0</v>
      </c>
      <c r="L275" s="18">
        <f>IF($A275&gt;'1-Input'!$B$26,N274,(N274-J275)*(1+'5-Roberta'!$C$4))</f>
        <v>-285932.97920679854</v>
      </c>
      <c r="M275" s="18">
        <f>IF($A275&gt;'1-Input'!$B$26,K275,K275-'P-Parametri'!$B$8*(L275+K275)+MIN(MAX(L275,0),'P-Parametri'!$B$8*(L275+K275)))</f>
        <v>0</v>
      </c>
      <c r="N275" s="18">
        <f>IF($A275&gt;'1-Input'!$B$26,L275,L275-MIN(MAX(L275,0),'P-Parametri'!$B$8*(L275+K275)))</f>
        <v>-285361.11324838497</v>
      </c>
      <c r="O275" s="18">
        <f>IF($A275&gt;'1-Input'!$B$26,O274,O274-J275*(1-I275))</f>
        <v>-212302.2518282099</v>
      </c>
      <c r="P275" s="11">
        <f>IF($A275&gt;'1-Input'!$B$26,0,IF(U274&lt;=0,0,MAX(0,(U274-V274)/U274)))</f>
        <v>0</v>
      </c>
      <c r="Q275" s="18">
        <f>IF($A275&gt;'1-Input'!$B$26,0,(MAX(0,P231-IF($A275&gt;='1-Input'!$C$12,'1-Input'!$B$12,0))-MIN(MAX(T274,0),MAX(0,P231-IF($A275&gt;='1-Input'!$C$12,'1-Input'!$B$12,0))))*(1/(1-'P-Parametri'!$B$6*P275))+MIN(MAX(0,U274-(MAX(0,P231-IF($A275&gt;='1-Input'!$C$12,'1-Input'!$B$12,0))-MIN(MAX(T274,0),MAX(0,P231-IF($A275&gt;='1-Input'!$C$12,'1-Input'!$B$12,0))))*(1/(1-'P-Parametri'!$B$6*P275))),MAX(0,3*MAX(0,P231-IF($A275&gt;='1-Input'!$C$12,'1-Input'!$B$12,0))-(T274-MIN(MAX(T274,0),MAX(0,P231-IF($A275&gt;='1-Input'!$C$12,'1-Input'!$B$12,0)))))*(1/(1-'P-Parametri'!$B$6*P275))))</f>
        <v>0</v>
      </c>
      <c r="R275" s="18">
        <f>IF($A275&gt;'1-Input'!$B$26,T274,(T274-MAX(0,P231-IF($A275&gt;='1-Input'!$C$12,'1-Input'!$B$12,0))+Q275*(1-'P-Parametri'!$B$6*P275))*(1+'1-Input'!$B$27))</f>
        <v>3089.8120693556803</v>
      </c>
      <c r="S275" s="18">
        <f>IF($A275&gt;'1-Input'!$B$26,U274,(U274-Q275)*(1+'5-Roberta'!$C$4))</f>
        <v>0</v>
      </c>
      <c r="T275" s="18">
        <f>IF($A275&gt;'1-Input'!$B$26,R275,R275-'P-Parametri'!$B$8*(S275+R275)+MIN(MAX(S275,0),'P-Parametri'!$B$8*(S275+R275)))</f>
        <v>3083.6324452169688</v>
      </c>
      <c r="U275" s="18">
        <f>IF($A275&gt;'1-Input'!$B$26,S275,S275-MIN(MAX(S275,0),'P-Parametri'!$B$8*(S275+R275)))</f>
        <v>0</v>
      </c>
      <c r="V275" s="18">
        <f>IF($A275&gt;'1-Input'!$B$26,V274,V274-Q275*(1-P275))</f>
        <v>0</v>
      </c>
      <c r="W275" s="11">
        <f>IF($A275&gt;'1-Input'!$B$26,0,IF(AB274&lt;=0,0,MAX(0,(AB274-AC274)/AB274)))</f>
        <v>0.73889038250737982</v>
      </c>
      <c r="X275" s="18">
        <f>IF($A275&gt;'1-Input'!$B$26,0,(MAX(0,W231-IF($A275&gt;='1-Input'!$C$12,'1-Input'!$B$12,0))-MIN(MAX(AA274,0),MAX(0,W231-IF($A275&gt;='1-Input'!$C$12,'1-Input'!$B$12,0))))*(1/(1-'P-Parametri'!$B$6*W275))+MIN(MAX(0,AB274-(MAX(0,W231-IF($A275&gt;='1-Input'!$C$12,'1-Input'!$B$12,0))-MIN(MAX(AA274,0),MAX(0,W231-IF($A275&gt;='1-Input'!$C$12,'1-Input'!$B$12,0))))*(1/(1-'P-Parametri'!$B$6*W275))),MAX(0,3*MAX(0,W231-IF($A275&gt;='1-Input'!$C$12,'1-Input'!$B$12,0))-(AA274-MIN(MAX(AA274,0),MAX(0,W231-IF($A275&gt;='1-Input'!$C$12,'1-Input'!$B$12,0)))))*(1/(1-'P-Parametri'!$B$6*W275))))</f>
        <v>8207.9665860525292</v>
      </c>
      <c r="Y275" s="18">
        <f>IF($A275&gt;'1-Input'!$B$26,AA274,(AA274-MAX(0,W231-IF($A275&gt;='1-Input'!$C$12,'1-Input'!$B$12,0))+X275*(1-'P-Parametri'!$B$6*W275))*(1+'1-Input'!$B$27))</f>
        <v>19874.774930976553</v>
      </c>
      <c r="Z275" s="18">
        <f>IF($A275&gt;'1-Input'!$B$26,AB274,(AB274-X275)*(1+'5-Roberta'!$C$4))</f>
        <v>0</v>
      </c>
      <c r="AA275" s="18">
        <f>IF($A275&gt;'1-Input'!$B$26,Y275,Y275-'P-Parametri'!$B$8*(Z275+Y275)+MIN(MAX(Z275,0),'P-Parametri'!$B$8*(Z275+Y275)))</f>
        <v>19835.025381114599</v>
      </c>
      <c r="AB275" s="18">
        <f>IF($A275&gt;'1-Input'!$B$26,Z275,Z275-MIN(MAX(Z275,0),'P-Parametri'!$B$8*(Z275+Y275)))</f>
        <v>0</v>
      </c>
      <c r="AC275" s="18">
        <f>IF($A275&gt;'1-Input'!$B$26,AC274,AC274-X275*(1-W275))</f>
        <v>4.5474735088646412E-13</v>
      </c>
      <c r="AD275" s="11">
        <f>IF($A275&gt;'1-Input'!$B$26,0,IF(AI274&lt;=0,0,MAX(0,(AI274-AJ274)/AI274)))</f>
        <v>0.73899858537633356</v>
      </c>
      <c r="AE275" s="18">
        <f>IF($A275&gt;'1-Input'!$B$26,0,(MAX(0,AD231-IF($A275&gt;='1-Input'!$C$12,'1-Input'!$B$12,0))-MIN(MAX(AH274,0),MAX(0,AD231-IF($A275&gt;='1-Input'!$C$12,'1-Input'!$B$12,0))))*(1/(1-'P-Parametri'!$B$6*AD275))+MIN(MAX(0,AI274-(MAX(0,AD231-IF($A275&gt;='1-Input'!$C$12,'1-Input'!$B$12,0))-MIN(MAX(AH274,0),MAX(0,AD231-IF($A275&gt;='1-Input'!$C$12,'1-Input'!$B$12,0))))*(1/(1-'P-Parametri'!$B$6*AD275))),MAX(0,3*MAX(0,AD231-IF($A275&gt;='1-Input'!$C$12,'1-Input'!$B$12,0))-(AH274-MIN(MAX(AH274,0),MAX(0,AD231-IF($A275&gt;='1-Input'!$C$12,'1-Input'!$B$12,0)))))*(1/(1-'P-Parametri'!$B$6*AD275))))</f>
        <v>8369.792749185146</v>
      </c>
      <c r="AF275" s="18">
        <f>IF($A275&gt;'1-Input'!$B$26,AH274,(AH274-MAX(0,AD231-IF($A275&gt;='1-Input'!$C$12,'1-Input'!$B$12,0))+AE275*(1-'P-Parametri'!$B$6*AD275))*(1+'1-Input'!$B$27))</f>
        <v>19995.890392547142</v>
      </c>
      <c r="AG275" s="18">
        <f>IF($A275&gt;'1-Input'!$B$26,AI274,(AI274-AE275)*(1+'5-Roberta'!$C$4))</f>
        <v>287.04898118920624</v>
      </c>
      <c r="AH275" s="18">
        <f>IF($A275&gt;'1-Input'!$B$26,AF275,AF275-'P-Parametri'!$B$8*(AG275+AF275)+MIN(MAX(AG275,0),'P-Parametri'!$B$8*(AG275+AF275)))</f>
        <v>19995.890392547142</v>
      </c>
      <c r="AI275" s="18">
        <f>IF($A275&gt;'1-Input'!$B$26,AG275,AG275-MIN(MAX(AG275,0),'P-Parametri'!$B$8*(AG275+AF275)))</f>
        <v>246.48310244173354</v>
      </c>
      <c r="AJ275" s="18">
        <f>IF($A275&gt;'1-Input'!$B$26,AJ274,AJ274-AE275*(1-AD275))</f>
        <v>72.738048695791349</v>
      </c>
      <c r="AK275" s="11">
        <f>IF($A275&gt;'1-Input'!$B$26,0,IF(AP274&lt;=0,0,MAX(0,(AP274-AQ274)/AP274)))</f>
        <v>0.73899428459284855</v>
      </c>
      <c r="AL275" s="18">
        <f>IF($A275&gt;'1-Input'!$B$26,0,(MAX(0,AK231-IF($A275&gt;='1-Input'!$C$12,'1-Input'!$B$12,0))-MIN(MAX(AO274,0),MAX(0,AK231-IF($A275&gt;='1-Input'!$C$12,'1-Input'!$B$12,0))))*(1/(1-'P-Parametri'!$B$6*AK275))+MIN(MAX(0,AP274-(MAX(0,AK231-IF($A275&gt;='1-Input'!$C$12,'1-Input'!$B$12,0))-MIN(MAX(AO274,0),MAX(0,AK231-IF($A275&gt;='1-Input'!$C$12,'1-Input'!$B$12,0))))*(1/(1-'P-Parametri'!$B$6*AK275))),MAX(0,3*MAX(0,AK231-IF($A275&gt;='1-Input'!$C$12,'1-Input'!$B$12,0))-(AO274-MIN(MAX(AO274,0),MAX(0,AK231-IF($A275&gt;='1-Input'!$C$12,'1-Input'!$B$12,0)))))*(1/(1-'P-Parametri'!$B$6*AK275))))</f>
        <v>8370.0131267423276</v>
      </c>
      <c r="AM275" s="18">
        <f>IF($A275&gt;'1-Input'!$B$26,AO274,(AO274-MAX(0,AK231-IF($A275&gt;='1-Input'!$C$12,'1-Input'!$B$12,0))+AL275*(1-'P-Parametri'!$B$6*AK275))*(1+'1-Input'!$B$27))</f>
        <v>19996.444564658952</v>
      </c>
      <c r="AN275" s="18">
        <f>IF($A275&gt;'1-Input'!$B$26,AP274,(AP274-AL275)*(1+'5-Roberta'!$C$4))</f>
        <v>268.12393372188654</v>
      </c>
      <c r="AO275" s="18">
        <f>IF($A275&gt;'1-Input'!$B$26,AM275,AM275-'P-Parametri'!$B$8*(AN275+AM275)+MIN(MAX(AN275,0),'P-Parametri'!$B$8*(AN275+AM275)))</f>
        <v>19996.444564658952</v>
      </c>
      <c r="AP275" s="18">
        <f>IF($A275&gt;'1-Input'!$B$26,AN275,AN275-MIN(MAX(AN275,0),'P-Parametri'!$B$8*(AN275+AM275)))</f>
        <v>227.59479672512487</v>
      </c>
      <c r="AQ275" s="18">
        <f>IF($A275&gt;'1-Input'!$B$26,AQ274,AQ274-AL275*(1-AK275))</f>
        <v>67.943571979475564</v>
      </c>
    </row>
    <row r="276" spans="1:43">
      <c r="A276" s="10">
        <f>43</f>
        <v>43</v>
      </c>
      <c r="B276" s="11">
        <f>IF($A276&gt;'1-Input'!$B$26,0,IF(G275&lt;=0,0,MAX(0,(G275-H275)/G275)))</f>
        <v>0.75004127077111638</v>
      </c>
      <c r="C276" s="18">
        <f>IF($A276&gt;'1-Input'!$B$26,0,(MAX(0,B231-IF($A276&gt;='1-Input'!$C$12,'1-Input'!$B$12,0))-MIN(MAX(F275,0),MAX(0,B231-IF($A276&gt;='1-Input'!$C$12,'1-Input'!$B$12,0))))*(1/(1-'P-Parametri'!$B$6*B276))+MIN(MAX(0,G275-(MAX(0,B231-IF($A276&gt;='1-Input'!$C$12,'1-Input'!$B$12,0))-MIN(MAX(F275,0),MAX(0,B231-IF($A276&gt;='1-Input'!$C$12,'1-Input'!$B$12,0))))*(1/(1-'P-Parametri'!$B$6*B276))),MAX(0,3*MAX(0,B231-IF($A276&gt;='1-Input'!$C$12,'1-Input'!$B$12,0))-(F275-MIN(MAX(F275,0),MAX(0,B231-IF($A276&gt;='1-Input'!$C$12,'1-Input'!$B$12,0)))))*(1/(1-'P-Parametri'!$B$6*B276))))</f>
        <v>7005.4463146190437</v>
      </c>
      <c r="D276" s="18">
        <f>IF($A276&gt;'1-Input'!$B$26,F275,(F275-MAX(0,B231-IF($A276&gt;='1-Input'!$C$12,'1-Input'!$B$12,0))+C276*(1-'P-Parametri'!$B$6*B276))*(1+'1-Input'!$B$27))</f>
        <v>16676.912146479448</v>
      </c>
      <c r="E276" s="18">
        <f>IF($A276&gt;'1-Input'!$B$26,G275,(G275-C276)*(1+'5-Roberta'!$C$4))</f>
        <v>109464.75440248588</v>
      </c>
      <c r="F276" s="18">
        <f>IF($A276&gt;'1-Input'!$B$26,D276,D276-'P-Parametri'!$B$8*(E276+D276)+MIN(MAX(E276,0),'P-Parametri'!$B$8*(E276+D276)))</f>
        <v>16676.912146479448</v>
      </c>
      <c r="G276" s="18">
        <f>IF($A276&gt;'1-Input'!$B$26,E276,E276-MIN(MAX(E276,0),'P-Parametri'!$B$8*(E276+D276)))</f>
        <v>109212.47106938795</v>
      </c>
      <c r="H276" s="18">
        <f>IF($A276&gt;'1-Input'!$B$26,H275,H275-C276*(1-B276))</f>
        <v>26564.729034754571</v>
      </c>
      <c r="I276" s="11">
        <f>IF($A276&gt;'1-Input'!$B$26,0,IF(N275&lt;=0,0,MAX(0,(N275-O275)/N275)))</f>
        <v>0</v>
      </c>
      <c r="J276" s="18">
        <f>IF($A276&gt;'1-Input'!$B$26,0,(MAX(0,I231-IF($A276&gt;='1-Input'!$C$12,'1-Input'!$B$12,0))-MIN(MAX(M275,0),MAX(0,I231-IF($A276&gt;='1-Input'!$C$12,'1-Input'!$B$12,0))))*(1/(1-'P-Parametri'!$B$6*I276))+MIN(MAX(0,N275-(MAX(0,I231-IF($A276&gt;='1-Input'!$C$12,'1-Input'!$B$12,0))-MIN(MAX(M275,0),MAX(0,I231-IF($A276&gt;='1-Input'!$C$12,'1-Input'!$B$12,0))))*(1/(1-'P-Parametri'!$B$6*I276))),MAX(0,3*MAX(0,I231-IF($A276&gt;='1-Input'!$C$12,'1-Input'!$B$12,0))-(M275-MIN(MAX(M275,0),MAX(0,I231-IF($A276&gt;='1-Input'!$C$12,'1-Input'!$B$12,0)))))*(1/(1-'P-Parametri'!$B$6*I276))))</f>
        <v>10846.756992928691</v>
      </c>
      <c r="K276" s="18">
        <f>IF($A276&gt;'1-Input'!$B$26,M275,(M275-MAX(0,I231-IF($A276&gt;='1-Input'!$C$12,'1-Input'!$B$12,0))+J276*(1-'P-Parametri'!$B$6*I276))*(1+'1-Input'!$B$27))</f>
        <v>0</v>
      </c>
      <c r="L276" s="18">
        <f>IF($A276&gt;'1-Input'!$B$26,N275,(N275-J276)*(1+'5-Roberta'!$C$4))</f>
        <v>-305094.10634855309</v>
      </c>
      <c r="M276" s="18">
        <f>IF($A276&gt;'1-Input'!$B$26,K276,K276-'P-Parametri'!$B$8*(L276+K276)+MIN(MAX(L276,0),'P-Parametri'!$B$8*(L276+K276)))</f>
        <v>0</v>
      </c>
      <c r="N276" s="18">
        <f>IF($A276&gt;'1-Input'!$B$26,L276,L276-MIN(MAX(L276,0),'P-Parametri'!$B$8*(L276+K276)))</f>
        <v>-304483.91813585599</v>
      </c>
      <c r="O276" s="18">
        <f>IF($A276&gt;'1-Input'!$B$26,O275,O275-J276*(1-I276))</f>
        <v>-223149.00882113859</v>
      </c>
      <c r="P276" s="11">
        <f>IF($A276&gt;'1-Input'!$B$26,0,IF(U275&lt;=0,0,MAX(0,(U275-V275)/U275)))</f>
        <v>0</v>
      </c>
      <c r="Q276" s="18">
        <f>IF($A276&gt;'1-Input'!$B$26,0,(MAX(0,P231-IF($A276&gt;='1-Input'!$C$12,'1-Input'!$B$12,0))-MIN(MAX(T275,0),MAX(0,P231-IF($A276&gt;='1-Input'!$C$12,'1-Input'!$B$12,0))))*(1/(1-'P-Parametri'!$B$6*P276))+MIN(MAX(0,U275-(MAX(0,P231-IF($A276&gt;='1-Input'!$C$12,'1-Input'!$B$12,0))-MIN(MAX(T275,0),MAX(0,P231-IF($A276&gt;='1-Input'!$C$12,'1-Input'!$B$12,0))))*(1/(1-'P-Parametri'!$B$6*P276))),MAX(0,3*MAX(0,P231-IF($A276&gt;='1-Input'!$C$12,'1-Input'!$B$12,0))-(T275-MIN(MAX(T275,0),MAX(0,P231-IF($A276&gt;='1-Input'!$C$12,'1-Input'!$B$12,0)))))*(1/(1-'P-Parametri'!$B$6*P276))))</f>
        <v>3834.3970767592359</v>
      </c>
      <c r="R276" s="18">
        <f>IF($A276&gt;'1-Input'!$B$26,T275,(T275-MAX(0,P231-IF($A276&gt;='1-Input'!$C$12,'1-Input'!$B$12,0))+Q276*(1-'P-Parametri'!$B$6*P276))*(1+'1-Input'!$B$27))</f>
        <v>0</v>
      </c>
      <c r="S276" s="18">
        <f>IF($A276&gt;'1-Input'!$B$26,U275,(U275-Q276)*(1+'5-Roberta'!$C$4))</f>
        <v>-3949.428989062013</v>
      </c>
      <c r="T276" s="18">
        <f>IF($A276&gt;'1-Input'!$B$26,R276,R276-'P-Parametri'!$B$8*(S276+R276)+MIN(MAX(S276,0),'P-Parametri'!$B$8*(S276+R276)))</f>
        <v>0</v>
      </c>
      <c r="U276" s="18">
        <f>IF($A276&gt;'1-Input'!$B$26,S276,S276-MIN(MAX(S276,0),'P-Parametri'!$B$8*(S276+R276)))</f>
        <v>-3941.530131083889</v>
      </c>
      <c r="V276" s="18">
        <f>IF($A276&gt;'1-Input'!$B$26,V275,V275-Q276*(1-P276))</f>
        <v>-3834.3970767592359</v>
      </c>
      <c r="W276" s="11">
        <f>IF($A276&gt;'1-Input'!$B$26,0,IF(AB275&lt;=0,0,MAX(0,(AB275-AC275)/AB275)))</f>
        <v>0</v>
      </c>
      <c r="X276" s="18">
        <f>IF($A276&gt;'1-Input'!$B$26,0,(MAX(0,W231-IF($A276&gt;='1-Input'!$C$12,'1-Input'!$B$12,0))-MIN(MAX(AA275,0),MAX(0,W231-IF($A276&gt;='1-Input'!$C$12,'1-Input'!$B$12,0))))*(1/(1-'P-Parametri'!$B$6*W276))+MIN(MAX(0,AB275-(MAX(0,W231-IF($A276&gt;='1-Input'!$C$12,'1-Input'!$B$12,0))-MIN(MAX(AA275,0),MAX(0,W231-IF($A276&gt;='1-Input'!$C$12,'1-Input'!$B$12,0))))*(1/(1-'P-Parametri'!$B$6*W276))),MAX(0,3*MAX(0,W231-IF($A276&gt;='1-Input'!$C$12,'1-Input'!$B$12,0))-(AA275-MIN(MAX(AA275,0),MAX(0,W231-IF($A276&gt;='1-Input'!$C$12,'1-Input'!$B$12,0)))))*(1/(1-'P-Parametri'!$B$6*W276))))</f>
        <v>0</v>
      </c>
      <c r="Y276" s="18">
        <f>IF($A276&gt;'1-Input'!$B$26,AA275,(AA275-MAX(0,W231-IF($A276&gt;='1-Input'!$C$12,'1-Input'!$B$12,0))+X276*(1-'P-Parametri'!$B$6*W276))*(1+'1-Input'!$B$27))</f>
        <v>13093.839905183095</v>
      </c>
      <c r="Z276" s="18">
        <f>IF($A276&gt;'1-Input'!$B$26,AB275,(AB275-X276)*(1+'5-Roberta'!$C$4))</f>
        <v>0</v>
      </c>
      <c r="AA276" s="18">
        <f>IF($A276&gt;'1-Input'!$B$26,Y276,Y276-'P-Parametri'!$B$8*(Z276+Y276)+MIN(MAX(Z276,0),'P-Parametri'!$B$8*(Z276+Y276)))</f>
        <v>13067.652225372729</v>
      </c>
      <c r="AB276" s="18">
        <f>IF($A276&gt;'1-Input'!$B$26,Z276,Z276-MIN(MAX(Z276,0),'P-Parametri'!$B$8*(Z276+Y276)))</f>
        <v>0</v>
      </c>
      <c r="AC276" s="18">
        <f>IF($A276&gt;'1-Input'!$B$26,AC275,AC275-X276*(1-W276))</f>
        <v>4.5474735088646412E-13</v>
      </c>
      <c r="AD276" s="11">
        <f>IF($A276&gt;'1-Input'!$B$26,0,IF(AI275&lt;=0,0,MAX(0,(AI275-AJ275)/AI275)))</f>
        <v>0.70489640881980542</v>
      </c>
      <c r="AE276" s="18">
        <f>IF($A276&gt;'1-Input'!$B$26,0,(MAX(0,AD231-IF($A276&gt;='1-Input'!$C$12,'1-Input'!$B$12,0))-MIN(MAX(AH275,0),MAX(0,AD231-IF($A276&gt;='1-Input'!$C$12,'1-Input'!$B$12,0))))*(1/(1-'P-Parametri'!$B$6*AD276))+MIN(MAX(0,AI275-(MAX(0,AD231-IF($A276&gt;='1-Input'!$C$12,'1-Input'!$B$12,0))-MIN(MAX(AH275,0),MAX(0,AD231-IF($A276&gt;='1-Input'!$C$12,'1-Input'!$B$12,0))))*(1/(1-'P-Parametri'!$B$6*AD276))),MAX(0,3*MAX(0,AD231-IF($A276&gt;='1-Input'!$C$12,'1-Input'!$B$12,0))-(AH275-MIN(MAX(AH275,0),MAX(0,AD231-IF($A276&gt;='1-Input'!$C$12,'1-Input'!$B$12,0)))))*(1/(1-'P-Parametri'!$B$6*AD276))))</f>
        <v>246.48310244173354</v>
      </c>
      <c r="AF276" s="18">
        <f>IF($A276&gt;'1-Input'!$B$26,AH275,(AH275-MAX(0,AD231-IF($A276&gt;='1-Input'!$C$12,'1-Input'!$B$12,0))+AE276*(1-'P-Parametri'!$B$6*AD276))*(1+'1-Input'!$B$27))</f>
        <v>13459.193064287563</v>
      </c>
      <c r="AG276" s="18">
        <f>IF($A276&gt;'1-Input'!$B$26,AI275,(AI275-AE276)*(1+'5-Roberta'!$C$4))</f>
        <v>0</v>
      </c>
      <c r="AH276" s="18">
        <f>IF($A276&gt;'1-Input'!$B$26,AF276,AF276-'P-Parametri'!$B$8*(AG276+AF276)+MIN(MAX(AG276,0),'P-Parametri'!$B$8*(AG276+AF276)))</f>
        <v>13432.274678158989</v>
      </c>
      <c r="AI276" s="18">
        <f>IF($A276&gt;'1-Input'!$B$26,AG276,AG276-MIN(MAX(AG276,0),'P-Parametri'!$B$8*(AG276+AF276)))</f>
        <v>0</v>
      </c>
      <c r="AJ276" s="18">
        <f>IF($A276&gt;'1-Input'!$B$26,AJ275,AJ275-AE276*(1-AD276))</f>
        <v>0</v>
      </c>
      <c r="AK276" s="11">
        <f>IF($A276&gt;'1-Input'!$B$26,0,IF(AP275&lt;=0,0,MAX(0,(AP275-AQ275)/AP275)))</f>
        <v>0.7014713299375922</v>
      </c>
      <c r="AL276" s="18">
        <f>IF($A276&gt;'1-Input'!$B$26,0,(MAX(0,AK231-IF($A276&gt;='1-Input'!$C$12,'1-Input'!$B$12,0))-MIN(MAX(AO275,0),MAX(0,AK231-IF($A276&gt;='1-Input'!$C$12,'1-Input'!$B$12,0))))*(1/(1-'P-Parametri'!$B$6*AK276))+MIN(MAX(0,AP275-(MAX(0,AK231-IF($A276&gt;='1-Input'!$C$12,'1-Input'!$B$12,0))-MIN(MAX(AO275,0),MAX(0,AK231-IF($A276&gt;='1-Input'!$C$12,'1-Input'!$B$12,0))))*(1/(1-'P-Parametri'!$B$6*AK276))),MAX(0,3*MAX(0,AK231-IF($A276&gt;='1-Input'!$C$12,'1-Input'!$B$12,0))-(AO275-MIN(MAX(AO275,0),MAX(0,AK231-IF($A276&gt;='1-Input'!$C$12,'1-Input'!$B$12,0)))))*(1/(1-'P-Parametri'!$B$6*AK276))))</f>
        <v>227.59479672512487</v>
      </c>
      <c r="AM276" s="18">
        <f>IF($A276&gt;'1-Input'!$B$26,AO275,(AO275-MAX(0,AK231-IF($A276&gt;='1-Input'!$C$12,'1-Input'!$B$12,0))+AL276*(1-'P-Parametri'!$B$6*AK276))*(1+'1-Input'!$B$27))</f>
        <v>13444.391413242602</v>
      </c>
      <c r="AN276" s="18">
        <f>IF($A276&gt;'1-Input'!$B$26,AP275,(AP275-AL276)*(1+'5-Roberta'!$C$4))</f>
        <v>0</v>
      </c>
      <c r="AO276" s="18">
        <f>IF($A276&gt;'1-Input'!$B$26,AM276,AM276-'P-Parametri'!$B$8*(AN276+AM276)+MIN(MAX(AN276,0),'P-Parametri'!$B$8*(AN276+AM276)))</f>
        <v>13417.502630416117</v>
      </c>
      <c r="AP276" s="18">
        <f>IF($A276&gt;'1-Input'!$B$26,AN276,AN276-MIN(MAX(AN276,0),'P-Parametri'!$B$8*(AN276+AM276)))</f>
        <v>0</v>
      </c>
      <c r="AQ276" s="18">
        <f>IF($A276&gt;'1-Input'!$B$26,AQ275,AQ275-AL276*(1-AK276))</f>
        <v>-1.4210854715202004E-14</v>
      </c>
    </row>
    <row r="277" spans="1:43">
      <c r="A277" s="10">
        <f>44</f>
        <v>44</v>
      </c>
      <c r="B277" s="11">
        <f>IF($A277&gt;'1-Input'!$B$26,0,IF(G276&lt;=0,0,MAX(0,(G276-H276)/G276)))</f>
        <v>0.75676102944436896</v>
      </c>
      <c r="C277" s="18">
        <f>IF($A277&gt;'1-Input'!$B$26,0,(MAX(0,B231-IF($A277&gt;='1-Input'!$C$12,'1-Input'!$B$12,0))-MIN(MAX(F276,0),MAX(0,B231-IF($A277&gt;='1-Input'!$C$12,'1-Input'!$B$12,0))))*(1/(1-'P-Parametri'!$B$6*B277))+MIN(MAX(0,G276-(MAX(0,B231-IF($A277&gt;='1-Input'!$C$12,'1-Input'!$B$12,0))-MIN(MAX(F276,0),MAX(0,B231-IF($A277&gt;='1-Input'!$C$12,'1-Input'!$B$12,0))))*(1/(1-'P-Parametri'!$B$6*B277))),MAX(0,3*MAX(0,B231-IF($A277&gt;='1-Input'!$C$12,'1-Input'!$B$12,0))-(F276-MIN(MAX(F276,0),MAX(0,B231-IF($A277&gt;='1-Input'!$C$12,'1-Input'!$B$12,0)))))*(1/(1-'P-Parametri'!$B$6*B277))))</f>
        <v>7020.6839070605292</v>
      </c>
      <c r="D277" s="18">
        <f>IF($A277&gt;'1-Input'!$B$26,F276,(F276-MAX(0,B231-IF($A277&gt;='1-Input'!$C$12,'1-Input'!$B$12,0))+C277*(1-'P-Parametri'!$B$6*B277))*(1+'1-Input'!$B$27))</f>
        <v>16676.912146479448</v>
      </c>
      <c r="E277" s="18">
        <f>IF($A277&gt;'1-Input'!$B$26,G276,(G276-C277)*(1+'5-Roberta'!$C$4))</f>
        <v>105257.54077719724</v>
      </c>
      <c r="F277" s="18">
        <f>IF($A277&gt;'1-Input'!$B$26,D277,D277-'P-Parametri'!$B$8*(E277+D277)+MIN(MAX(E277,0),'P-Parametri'!$B$8*(E277+D277)))</f>
        <v>16676.912146479448</v>
      </c>
      <c r="G277" s="18">
        <f>IF($A277&gt;'1-Input'!$B$26,E277,E277-MIN(MAX(E277,0),'P-Parametri'!$B$8*(E277+D277)))</f>
        <v>105013.67187134988</v>
      </c>
      <c r="H277" s="18">
        <f>IF($A277&gt;'1-Input'!$B$26,H276,H276-C277*(1-B277))</f>
        <v>24857.025108604681</v>
      </c>
      <c r="I277" s="11">
        <f>IF($A277&gt;'1-Input'!$B$26,0,IF(N276&lt;=0,0,MAX(0,(N276-O276)/N276)))</f>
        <v>0</v>
      </c>
      <c r="J277" s="18">
        <f>IF($A277&gt;'1-Input'!$B$26,0,(MAX(0,I231-IF($A277&gt;='1-Input'!$C$12,'1-Input'!$B$12,0))-MIN(MAX(M276,0),MAX(0,I231-IF($A277&gt;='1-Input'!$C$12,'1-Input'!$B$12,0))))*(1/(1-'P-Parametri'!$B$6*I277))+MIN(MAX(0,N276-(MAX(0,I231-IF($A277&gt;='1-Input'!$C$12,'1-Input'!$B$12,0))-MIN(MAX(M276,0),MAX(0,I231-IF($A277&gt;='1-Input'!$C$12,'1-Input'!$B$12,0))))*(1/(1-'P-Parametri'!$B$6*I277))),MAX(0,3*MAX(0,I231-IF($A277&gt;='1-Input'!$C$12,'1-Input'!$B$12,0))-(M276-MIN(MAX(M276,0),MAX(0,I231-IF($A277&gt;='1-Input'!$C$12,'1-Input'!$B$12,0)))))*(1/(1-'P-Parametri'!$B$6*I277))))</f>
        <v>10846.756992928691</v>
      </c>
      <c r="K277" s="18">
        <f>IF($A277&gt;'1-Input'!$B$26,M276,(M276-MAX(0,I231-IF($A277&gt;='1-Input'!$C$12,'1-Input'!$B$12,0))+J277*(1-'P-Parametri'!$B$6*I277))*(1+'1-Input'!$B$27))</f>
        <v>0</v>
      </c>
      <c r="L277" s="18">
        <f>IF($A277&gt;'1-Input'!$B$26,N276,(N276-J277)*(1+'5-Roberta'!$C$4))</f>
        <v>-324790.59538264823</v>
      </c>
      <c r="M277" s="18">
        <f>IF($A277&gt;'1-Input'!$B$26,K277,K277-'P-Parametri'!$B$8*(L277+K277)+MIN(MAX(L277,0),'P-Parametri'!$B$8*(L277+K277)))</f>
        <v>0</v>
      </c>
      <c r="N277" s="18">
        <f>IF($A277&gt;'1-Input'!$B$26,L277,L277-MIN(MAX(L277,0),'P-Parametri'!$B$8*(L277+K277)))</f>
        <v>-324141.01419188292</v>
      </c>
      <c r="O277" s="18">
        <f>IF($A277&gt;'1-Input'!$B$26,O276,O276-J277*(1-I277))</f>
        <v>-233995.76581406727</v>
      </c>
      <c r="P277" s="11">
        <f>IF($A277&gt;'1-Input'!$B$26,0,IF(U276&lt;=0,0,MAX(0,(U276-V276)/U276)))</f>
        <v>0</v>
      </c>
      <c r="Q277" s="18">
        <f>IF($A277&gt;'1-Input'!$B$26,0,(MAX(0,P231-IF($A277&gt;='1-Input'!$C$12,'1-Input'!$B$12,0))-MIN(MAX(T276,0),MAX(0,P231-IF($A277&gt;='1-Input'!$C$12,'1-Input'!$B$12,0))))*(1/(1-'P-Parametri'!$B$6*P277))+MIN(MAX(0,U276-(MAX(0,P231-IF($A277&gt;='1-Input'!$C$12,'1-Input'!$B$12,0))-MIN(MAX(T276,0),MAX(0,P231-IF($A277&gt;='1-Input'!$C$12,'1-Input'!$B$12,0))))*(1/(1-'P-Parametri'!$B$6*P277))),MAX(0,3*MAX(0,P231-IF($A277&gt;='1-Input'!$C$12,'1-Input'!$B$12,0))-(T276-MIN(MAX(T276,0),MAX(0,P231-IF($A277&gt;='1-Input'!$C$12,'1-Input'!$B$12,0)))))*(1/(1-'P-Parametri'!$B$6*P277))))</f>
        <v>6918.0295219762047</v>
      </c>
      <c r="R277" s="18">
        <f>IF($A277&gt;'1-Input'!$B$26,T276,(T276-MAX(0,P231-IF($A277&gt;='1-Input'!$C$12,'1-Input'!$B$12,0))+Q277*(1-'P-Parametri'!$B$6*P277))*(1+'1-Input'!$B$27))</f>
        <v>0</v>
      </c>
      <c r="S277" s="18">
        <f>IF($A277&gt;'1-Input'!$B$26,U276,(U276-Q277)*(1+'5-Roberta'!$C$4))</f>
        <v>-11185.346442651897</v>
      </c>
      <c r="T277" s="18">
        <f>IF($A277&gt;'1-Input'!$B$26,R277,R277-'P-Parametri'!$B$8*(S277+R277)+MIN(MAX(S277,0),'P-Parametri'!$B$8*(S277+R277)))</f>
        <v>0</v>
      </c>
      <c r="U277" s="18">
        <f>IF($A277&gt;'1-Input'!$B$26,S277,S277-MIN(MAX(S277,0),'P-Parametri'!$B$8*(S277+R277)))</f>
        <v>-11162.975749766592</v>
      </c>
      <c r="V277" s="18">
        <f>IF($A277&gt;'1-Input'!$B$26,V276,V276-Q277*(1-P277))</f>
        <v>-10752.426598735441</v>
      </c>
      <c r="W277" s="11">
        <f>IF($A277&gt;'1-Input'!$B$26,0,IF(AB276&lt;=0,0,MAX(0,(AB276-AC276)/AB276)))</f>
        <v>0</v>
      </c>
      <c r="X277" s="18">
        <f>IF($A277&gt;'1-Input'!$B$26,0,(MAX(0,W231-IF($A277&gt;='1-Input'!$C$12,'1-Input'!$B$12,0))-MIN(MAX(AA276,0),MAX(0,W231-IF($A277&gt;='1-Input'!$C$12,'1-Input'!$B$12,0))))*(1/(1-'P-Parametri'!$B$6*W277))+MIN(MAX(0,AB276-(MAX(0,W231-IF($A277&gt;='1-Input'!$C$12,'1-Input'!$B$12,0))-MIN(MAX(AA276,0),MAX(0,W231-IF($A277&gt;='1-Input'!$C$12,'1-Input'!$B$12,0))))*(1/(1-'P-Parametri'!$B$6*W277))),MAX(0,3*MAX(0,W231-IF($A277&gt;='1-Input'!$C$12,'1-Input'!$B$12,0))-(AA276-MIN(MAX(AA276,0),MAX(0,W231-IF($A277&gt;='1-Input'!$C$12,'1-Input'!$B$12,0)))))*(1/(1-'P-Parametri'!$B$6*W277))))</f>
        <v>0</v>
      </c>
      <c r="Y277" s="18">
        <f>IF($A277&gt;'1-Input'!$B$26,AA276,(AA276-MAX(0,W231-IF($A277&gt;='1-Input'!$C$12,'1-Input'!$B$12,0))+X277*(1-'P-Parametri'!$B$6*W277))*(1+'1-Input'!$B$27))</f>
        <v>6350.8292928018955</v>
      </c>
      <c r="Z277" s="18">
        <f>IF($A277&gt;'1-Input'!$B$26,AB276,(AB276-X277)*(1+'5-Roberta'!$C$4))</f>
        <v>0</v>
      </c>
      <c r="AA277" s="18">
        <f>IF($A277&gt;'1-Input'!$B$26,Y277,Y277-'P-Parametri'!$B$8*(Z277+Y277)+MIN(MAX(Z277,0),'P-Parametri'!$B$8*(Z277+Y277)))</f>
        <v>6338.1276342162919</v>
      </c>
      <c r="AB277" s="18">
        <f>IF($A277&gt;'1-Input'!$B$26,Z277,Z277-MIN(MAX(Z277,0),'P-Parametri'!$B$8*(Z277+Y277)))</f>
        <v>0</v>
      </c>
      <c r="AC277" s="18">
        <f>IF($A277&gt;'1-Input'!$B$26,AC276,AC276-X277*(1-W277))</f>
        <v>4.5474735088646412E-13</v>
      </c>
      <c r="AD277" s="11">
        <f>IF($A277&gt;'1-Input'!$B$26,0,IF(AI276&lt;=0,0,MAX(0,(AI276-AJ276)/AI276)))</f>
        <v>0</v>
      </c>
      <c r="AE277" s="18">
        <f>IF($A277&gt;'1-Input'!$B$26,0,(MAX(0,AD231-IF($A277&gt;='1-Input'!$C$12,'1-Input'!$B$12,0))-MIN(MAX(AH276,0),MAX(0,AD231-IF($A277&gt;='1-Input'!$C$12,'1-Input'!$B$12,0))))*(1/(1-'P-Parametri'!$B$6*AD277))+MIN(MAX(0,AI276-(MAX(0,AD231-IF($A277&gt;='1-Input'!$C$12,'1-Input'!$B$12,0))-MIN(MAX(AH276,0),MAX(0,AD231-IF($A277&gt;='1-Input'!$C$12,'1-Input'!$B$12,0))))*(1/(1-'P-Parametri'!$B$6*AD277))),MAX(0,3*MAX(0,AD231-IF($A277&gt;='1-Input'!$C$12,'1-Input'!$B$12,0))-(AH276-MIN(MAX(AH276,0),MAX(0,AD231-IF($A277&gt;='1-Input'!$C$12,'1-Input'!$B$12,0)))))*(1/(1-'P-Parametri'!$B$6*AD277))))</f>
        <v>0</v>
      </c>
      <c r="AF277" s="18">
        <f>IF($A277&gt;'1-Input'!$B$26,AH276,(AH276-MAX(0,AD231-IF($A277&gt;='1-Input'!$C$12,'1-Input'!$B$12,0))+AE277*(1-'P-Parametri'!$B$6*AD277))*(1+'1-Input'!$B$27))</f>
        <v>6718.6216918019018</v>
      </c>
      <c r="AG277" s="18">
        <f>IF($A277&gt;'1-Input'!$B$26,AI276,(AI276-AE277)*(1+'5-Roberta'!$C$4))</f>
        <v>0</v>
      </c>
      <c r="AH277" s="18">
        <f>IF($A277&gt;'1-Input'!$B$26,AF277,AF277-'P-Parametri'!$B$8*(AG277+AF277)+MIN(MAX(AG277,0),'P-Parametri'!$B$8*(AG277+AF277)))</f>
        <v>6705.1844484182975</v>
      </c>
      <c r="AI277" s="18">
        <f>IF($A277&gt;'1-Input'!$B$26,AG277,AG277-MIN(MAX(AG277,0),'P-Parametri'!$B$8*(AG277+AF277)))</f>
        <v>0</v>
      </c>
      <c r="AJ277" s="18">
        <f>IF($A277&gt;'1-Input'!$B$26,AJ276,AJ276-AE277*(1-AD277))</f>
        <v>0</v>
      </c>
      <c r="AK277" s="11">
        <f>IF($A277&gt;'1-Input'!$B$26,0,IF(AP276&lt;=0,0,MAX(0,(AP276-AQ276)/AP276)))</f>
        <v>0</v>
      </c>
      <c r="AL277" s="18">
        <f>IF($A277&gt;'1-Input'!$B$26,0,(MAX(0,AK231-IF($A277&gt;='1-Input'!$C$12,'1-Input'!$B$12,0))-MIN(MAX(AO276,0),MAX(0,AK231-IF($A277&gt;='1-Input'!$C$12,'1-Input'!$B$12,0))))*(1/(1-'P-Parametri'!$B$6*AK277))+MIN(MAX(0,AP276-(MAX(0,AK231-IF($A277&gt;='1-Input'!$C$12,'1-Input'!$B$12,0))-MIN(MAX(AO276,0),MAX(0,AK231-IF($A277&gt;='1-Input'!$C$12,'1-Input'!$B$12,0))))*(1/(1-'P-Parametri'!$B$6*AK277))),MAX(0,3*MAX(0,AK231-IF($A277&gt;='1-Input'!$C$12,'1-Input'!$B$12,0))-(AO276-MIN(MAX(AO276,0),MAX(0,AK231-IF($A277&gt;='1-Input'!$C$12,'1-Input'!$B$12,0)))))*(1/(1-'P-Parametri'!$B$6*AK277))))</f>
        <v>0</v>
      </c>
      <c r="AM277" s="18">
        <f>IF($A277&gt;'1-Input'!$B$26,AO276,(AO276-MAX(0,AK231-IF($A277&gt;='1-Input'!$C$12,'1-Input'!$B$12,0))+AL277*(1-'P-Parametri'!$B$6*AK277))*(1+'1-Input'!$B$27))</f>
        <v>6703.7180993936345</v>
      </c>
      <c r="AN277" s="18">
        <f>IF($A277&gt;'1-Input'!$B$26,AP276,(AP276-AL277)*(1+'5-Roberta'!$C$4))</f>
        <v>0</v>
      </c>
      <c r="AO277" s="18">
        <f>IF($A277&gt;'1-Input'!$B$26,AM277,AM277-'P-Parametri'!$B$8*(AN277+AM277)+MIN(MAX(AN277,0),'P-Parametri'!$B$8*(AN277+AM277)))</f>
        <v>6690.3106631948476</v>
      </c>
      <c r="AP277" s="18">
        <f>IF($A277&gt;'1-Input'!$B$26,AN277,AN277-MIN(MAX(AN277,0),'P-Parametri'!$B$8*(AN277+AM277)))</f>
        <v>0</v>
      </c>
      <c r="AQ277" s="18">
        <f>IF($A277&gt;'1-Input'!$B$26,AQ276,AQ276-AL277*(1-AK277))</f>
        <v>-1.4210854715202004E-14</v>
      </c>
    </row>
    <row r="278" spans="1:43">
      <c r="A278" s="10">
        <f>45</f>
        <v>45</v>
      </c>
      <c r="B278" s="11">
        <f>IF($A278&gt;'1-Input'!$B$26,0,IF(G277&lt;=0,0,MAX(0,(G277-H277)/G277)))</f>
        <v>0.76329724819967715</v>
      </c>
      <c r="C278" s="18">
        <f>IF($A278&gt;'1-Input'!$B$26,0,(MAX(0,B231-IF($A278&gt;='1-Input'!$C$12,'1-Input'!$B$12,0))-MIN(MAX(F277,0),MAX(0,B231-IF($A278&gt;='1-Input'!$C$12,'1-Input'!$B$12,0))))*(1/(1-'P-Parametri'!$B$6*B278))+MIN(MAX(0,G277-(MAX(0,B231-IF($A278&gt;='1-Input'!$C$12,'1-Input'!$B$12,0))-MIN(MAX(F277,0),MAX(0,B231-IF($A278&gt;='1-Input'!$C$12,'1-Input'!$B$12,0))))*(1/(1-'P-Parametri'!$B$6*B278))),MAX(0,3*MAX(0,B231-IF($A278&gt;='1-Input'!$C$12,'1-Input'!$B$12,0))-(F277-MIN(MAX(F277,0),MAX(0,B231-IF($A278&gt;='1-Input'!$C$12,'1-Input'!$B$12,0)))))*(1/(1-'P-Parametri'!$B$6*B278))))</f>
        <v>7035.5690385515218</v>
      </c>
      <c r="D278" s="18">
        <f>IF($A278&gt;'1-Input'!$B$26,F277,(F277-MAX(0,B231-IF($A278&gt;='1-Input'!$C$12,'1-Input'!$B$12,0))+C278*(1-'P-Parametri'!$B$6*B278))*(1+'1-Input'!$B$27))</f>
        <v>16676.912146479448</v>
      </c>
      <c r="E278" s="18">
        <f>IF($A278&gt;'1-Input'!$B$26,G277,(G277-C278)*(1+'5-Roberta'!$C$4))</f>
        <v>100917.44591778232</v>
      </c>
      <c r="F278" s="18">
        <f>IF($A278&gt;'1-Input'!$B$26,D278,D278-'P-Parametri'!$B$8*(E278+D278)+MIN(MAX(E278,0),'P-Parametri'!$B$8*(E278+D278)))</f>
        <v>16676.912146479448</v>
      </c>
      <c r="G278" s="18">
        <f>IF($A278&gt;'1-Input'!$B$26,E278,E278-MIN(MAX(E278,0),'P-Parametri'!$B$8*(E278+D278)))</f>
        <v>100682.25720165379</v>
      </c>
      <c r="H278" s="18">
        <f>IF($A278&gt;'1-Input'!$B$26,H277,H277-C278*(1-B278))</f>
        <v>23191.686556698383</v>
      </c>
      <c r="I278" s="11">
        <f>IF($A278&gt;'1-Input'!$B$26,0,IF(N277&lt;=0,0,MAX(0,(N277-O277)/N277)))</f>
        <v>0</v>
      </c>
      <c r="J278" s="18">
        <f>IF($A278&gt;'1-Input'!$B$26,0,(MAX(0,I231-IF($A278&gt;='1-Input'!$C$12,'1-Input'!$B$12,0))-MIN(MAX(M277,0),MAX(0,I231-IF($A278&gt;='1-Input'!$C$12,'1-Input'!$B$12,0))))*(1/(1-'P-Parametri'!$B$6*I278))+MIN(MAX(0,N277-(MAX(0,I231-IF($A278&gt;='1-Input'!$C$12,'1-Input'!$B$12,0))-MIN(MAX(M277,0),MAX(0,I231-IF($A278&gt;='1-Input'!$C$12,'1-Input'!$B$12,0))))*(1/(1-'P-Parametri'!$B$6*I278))),MAX(0,3*MAX(0,I231-IF($A278&gt;='1-Input'!$C$12,'1-Input'!$B$12,0))-(M277-MIN(MAX(M277,0),MAX(0,I231-IF($A278&gt;='1-Input'!$C$12,'1-Input'!$B$12,0)))))*(1/(1-'P-Parametri'!$B$6*I278))))</f>
        <v>10846.756992928691</v>
      </c>
      <c r="K278" s="18">
        <f>IF($A278&gt;'1-Input'!$B$26,M277,(M277-MAX(0,I231-IF($A278&gt;='1-Input'!$C$12,'1-Input'!$B$12,0))+J278*(1-'P-Parametri'!$B$6*I278))*(1+'1-Input'!$B$27))</f>
        <v>0</v>
      </c>
      <c r="L278" s="18">
        <f>IF($A278&gt;'1-Input'!$B$26,N277,(N277-J278)*(1+'5-Roberta'!$C$4))</f>
        <v>-345037.40432035597</v>
      </c>
      <c r="M278" s="18">
        <f>IF($A278&gt;'1-Input'!$B$26,K278,K278-'P-Parametri'!$B$8*(L278+K278)+MIN(MAX(L278,0),'P-Parametri'!$B$8*(L278+K278)))</f>
        <v>0</v>
      </c>
      <c r="N278" s="18">
        <f>IF($A278&gt;'1-Input'!$B$26,L278,L278-MIN(MAX(L278,0),'P-Parametri'!$B$8*(L278+K278)))</f>
        <v>-344347.32951171527</v>
      </c>
      <c r="O278" s="18">
        <f>IF($A278&gt;'1-Input'!$B$26,O277,O277-J278*(1-I278))</f>
        <v>-244842.52280699596</v>
      </c>
      <c r="P278" s="11">
        <f>IF($A278&gt;'1-Input'!$B$26,0,IF(U277&lt;=0,0,MAX(0,(U277-V277)/U277)))</f>
        <v>0</v>
      </c>
      <c r="Q278" s="18">
        <f>IF($A278&gt;'1-Input'!$B$26,0,(MAX(0,P231-IF($A278&gt;='1-Input'!$C$12,'1-Input'!$B$12,0))-MIN(MAX(T277,0),MAX(0,P231-IF($A278&gt;='1-Input'!$C$12,'1-Input'!$B$12,0))))*(1/(1-'P-Parametri'!$B$6*P278))+MIN(MAX(0,U277-(MAX(0,P231-IF($A278&gt;='1-Input'!$C$12,'1-Input'!$B$12,0))-MIN(MAX(T277,0),MAX(0,P231-IF($A278&gt;='1-Input'!$C$12,'1-Input'!$B$12,0))))*(1/(1-'P-Parametri'!$B$6*P278))),MAX(0,3*MAX(0,P231-IF($A278&gt;='1-Input'!$C$12,'1-Input'!$B$12,0))-(T277-MIN(MAX(T277,0),MAX(0,P231-IF($A278&gt;='1-Input'!$C$12,'1-Input'!$B$12,0)))))*(1/(1-'P-Parametri'!$B$6*P278))))</f>
        <v>6918.0295219762047</v>
      </c>
      <c r="R278" s="18">
        <f>IF($A278&gt;'1-Input'!$B$26,T277,(T277-MAX(0,P231-IF($A278&gt;='1-Input'!$C$12,'1-Input'!$B$12,0))+Q278*(1-'P-Parametri'!$B$6*P278))*(1+'1-Input'!$B$27))</f>
        <v>0</v>
      </c>
      <c r="S278" s="18">
        <f>IF($A278&gt;'1-Input'!$B$26,U277,(U277-Q278)*(1+'5-Roberta'!$C$4))</f>
        <v>-18623.435429895082</v>
      </c>
      <c r="T278" s="18">
        <f>IF($A278&gt;'1-Input'!$B$26,R278,R278-'P-Parametri'!$B$8*(S278+R278)+MIN(MAX(S278,0),'P-Parametri'!$B$8*(S278+R278)))</f>
        <v>0</v>
      </c>
      <c r="U278" s="18">
        <f>IF($A278&gt;'1-Input'!$B$26,S278,S278-MIN(MAX(S278,0),'P-Parametri'!$B$8*(S278+R278)))</f>
        <v>-18586.18855903529</v>
      </c>
      <c r="V278" s="18">
        <f>IF($A278&gt;'1-Input'!$B$26,V277,V277-Q278*(1-P278))</f>
        <v>-17670.456120711646</v>
      </c>
      <c r="W278" s="11">
        <f>IF($A278&gt;'1-Input'!$B$26,0,IF(AB277&lt;=0,0,MAX(0,(AB277-AC277)/AB277)))</f>
        <v>0</v>
      </c>
      <c r="X278" s="18">
        <f>IF($A278&gt;'1-Input'!$B$26,0,(MAX(0,W231-IF($A278&gt;='1-Input'!$C$12,'1-Input'!$B$12,0))-MIN(MAX(AA277,0),MAX(0,W231-IF($A278&gt;='1-Input'!$C$12,'1-Input'!$B$12,0))))*(1/(1-'P-Parametri'!$B$6*W278))+MIN(MAX(0,AB277-(MAX(0,W231-IF($A278&gt;='1-Input'!$C$12,'1-Input'!$B$12,0))-MIN(MAX(AA277,0),MAX(0,W231-IF($A278&gt;='1-Input'!$C$12,'1-Input'!$B$12,0))))*(1/(1-'P-Parametri'!$B$6*W278))),MAX(0,3*MAX(0,W231-IF($A278&gt;='1-Input'!$C$12,'1-Input'!$B$12,0))-(AA277-MIN(MAX(AA277,0),MAX(0,W231-IF($A278&gt;='1-Input'!$C$12,'1-Input'!$B$12,0)))))*(1/(1-'P-Parametri'!$B$6*W278))))</f>
        <v>355.74970877797841</v>
      </c>
      <c r="Y278" s="18">
        <f>IF($A278&gt;'1-Input'!$B$26,AA277,(AA277-MAX(0,W231-IF($A278&gt;='1-Input'!$C$12,'1-Input'!$B$12,0))+X278*(1-'P-Parametri'!$B$6*W278))*(1+'1-Input'!$B$27))</f>
        <v>0</v>
      </c>
      <c r="Z278" s="18">
        <f>IF($A278&gt;'1-Input'!$B$26,AB277,(AB277-X278)*(1+'5-Roberta'!$C$4))</f>
        <v>-366.42220004131775</v>
      </c>
      <c r="AA278" s="18">
        <f>IF($A278&gt;'1-Input'!$B$26,Y278,Y278-'P-Parametri'!$B$8*(Z278+Y278)+MIN(MAX(Z278,0),'P-Parametri'!$B$8*(Z278+Y278)))</f>
        <v>0</v>
      </c>
      <c r="AB278" s="18">
        <f>IF($A278&gt;'1-Input'!$B$26,Z278,Z278-MIN(MAX(Z278,0),'P-Parametri'!$B$8*(Z278+Y278)))</f>
        <v>-365.68935564123512</v>
      </c>
      <c r="AC278" s="18">
        <f>IF($A278&gt;'1-Input'!$B$26,AC277,AC277-X278*(1-W278))</f>
        <v>-355.74970877797796</v>
      </c>
      <c r="AD278" s="11">
        <f>IF($A278&gt;'1-Input'!$B$26,0,IF(AI277&lt;=0,0,MAX(0,(AI277-AJ277)/AI277)))</f>
        <v>0</v>
      </c>
      <c r="AE278" s="18">
        <f>IF($A278&gt;'1-Input'!$B$26,0,(MAX(0,AD231-IF($A278&gt;='1-Input'!$C$12,'1-Input'!$B$12,0))-MIN(MAX(AH277,0),MAX(0,AD231-IF($A278&gt;='1-Input'!$C$12,'1-Input'!$B$12,0))))*(1/(1-'P-Parametri'!$B$6*AD278))+MIN(MAX(0,AI277-(MAX(0,AD231-IF($A278&gt;='1-Input'!$C$12,'1-Input'!$B$12,0))-MIN(MAX(AH277,0),MAX(0,AD231-IF($A278&gt;='1-Input'!$C$12,'1-Input'!$B$12,0))))*(1/(1-'P-Parametri'!$B$6*AD278))),MAX(0,3*MAX(0,AD231-IF($A278&gt;='1-Input'!$C$12,'1-Input'!$B$12,0))-(AH277-MIN(MAX(AH277,0),MAX(0,AD231-IF($A278&gt;='1-Input'!$C$12,'1-Input'!$B$12,0)))))*(1/(1-'P-Parametri'!$B$6*AD278))))</f>
        <v>0</v>
      </c>
      <c r="AF278" s="18">
        <f>IF($A278&gt;'1-Input'!$B$26,AH277,(AH277-MAX(0,AD231-IF($A278&gt;='1-Input'!$C$12,'1-Input'!$B$12,0))+AE278*(1-'P-Parametri'!$B$6*AD278))*(1+'1-Input'!$B$27))</f>
        <v>15.748986888277663</v>
      </c>
      <c r="AG278" s="18">
        <f>IF($A278&gt;'1-Input'!$B$26,AI277,(AI277-AE278)*(1+'5-Roberta'!$C$4))</f>
        <v>0</v>
      </c>
      <c r="AH278" s="18">
        <f>IF($A278&gt;'1-Input'!$B$26,AF278,AF278-'P-Parametri'!$B$8*(AG278+AF278)+MIN(MAX(AG278,0),'P-Parametri'!$B$8*(AG278+AF278)))</f>
        <v>15.717488914501107</v>
      </c>
      <c r="AI278" s="18">
        <f>IF($A278&gt;'1-Input'!$B$26,AG278,AG278-MIN(MAX(AG278,0),'P-Parametri'!$B$8*(AG278+AF278)))</f>
        <v>0</v>
      </c>
      <c r="AJ278" s="18">
        <f>IF($A278&gt;'1-Input'!$B$26,AJ277,AJ277-AE278*(1-AD278))</f>
        <v>0</v>
      </c>
      <c r="AK278" s="11">
        <f>IF($A278&gt;'1-Input'!$B$26,0,IF(AP277&lt;=0,0,MAX(0,(AP277-AQ277)/AP277)))</f>
        <v>0</v>
      </c>
      <c r="AL278" s="18">
        <f>IF($A278&gt;'1-Input'!$B$26,0,(MAX(0,AK231-IF($A278&gt;='1-Input'!$C$12,'1-Input'!$B$12,0))-MIN(MAX(AO277,0),MAX(0,AK231-IF($A278&gt;='1-Input'!$C$12,'1-Input'!$B$12,0))))*(1/(1-'P-Parametri'!$B$6*AK278))+MIN(MAX(0,AP277-(MAX(0,AK231-IF($A278&gt;='1-Input'!$C$12,'1-Input'!$B$12,0))-MIN(MAX(AO277,0),MAX(0,AK231-IF($A278&gt;='1-Input'!$C$12,'1-Input'!$B$12,0))))*(1/(1-'P-Parametri'!$B$6*AK278))),MAX(0,3*MAX(0,AK231-IF($A278&gt;='1-Input'!$C$12,'1-Input'!$B$12,0))-(AO277-MIN(MAX(AO277,0),MAX(0,AK231-IF($A278&gt;='1-Input'!$C$12,'1-Input'!$B$12,0)))))*(1/(1-'P-Parametri'!$B$6*AK278))))</f>
        <v>0</v>
      </c>
      <c r="AM278" s="18">
        <f>IF($A278&gt;'1-Input'!$B$26,AO277,(AO277-MAX(0,AK231-IF($A278&gt;='1-Input'!$C$12,'1-Input'!$B$12,0))+AL278*(1-'P-Parametri'!$B$6*AK278))*(1+'1-Input'!$B$27))</f>
        <v>0.74402325436221828</v>
      </c>
      <c r="AN278" s="18">
        <f>IF($A278&gt;'1-Input'!$B$26,AP277,(AP277-AL278)*(1+'5-Roberta'!$C$4))</f>
        <v>0</v>
      </c>
      <c r="AO278" s="18">
        <f>IF($A278&gt;'1-Input'!$B$26,AM278,AM278-'P-Parametri'!$B$8*(AN278+AM278)+MIN(MAX(AN278,0),'P-Parametri'!$B$8*(AN278+AM278)))</f>
        <v>0.74253520785349381</v>
      </c>
      <c r="AP278" s="18">
        <f>IF($A278&gt;'1-Input'!$B$26,AN278,AN278-MIN(MAX(AN278,0),'P-Parametri'!$B$8*(AN278+AM278)))</f>
        <v>0</v>
      </c>
      <c r="AQ278" s="18">
        <f>IF($A278&gt;'1-Input'!$B$26,AQ277,AQ277-AL278*(1-AK278))</f>
        <v>-1.4210854715202004E-14</v>
      </c>
    </row>
    <row r="279" spans="1:43">
      <c r="A279" s="10">
        <f>46</f>
        <v>46</v>
      </c>
      <c r="B279" s="11">
        <f>IF($A279&gt;'1-Input'!$B$26,0,IF(G278&lt;=0,0,MAX(0,(G278-H278)/G278)))</f>
        <v>0</v>
      </c>
      <c r="C279" s="18">
        <f>IF($A279&gt;'1-Input'!$B$26,0,(MAX(0,B231-IF($A279&gt;='1-Input'!$C$12,'1-Input'!$B$12,0))-MIN(MAX(F278,0),MAX(0,B231-IF($A279&gt;='1-Input'!$C$12,'1-Input'!$B$12,0))))*(1/(1-'P-Parametri'!$B$6*B279))+MIN(MAX(0,G278-(MAX(0,B231-IF($A279&gt;='1-Input'!$C$12,'1-Input'!$B$12,0))-MIN(MAX(F278,0),MAX(0,B231-IF($A279&gt;='1-Input'!$C$12,'1-Input'!$B$12,0))))*(1/(1-'P-Parametri'!$B$6*B279))),MAX(0,3*MAX(0,B231-IF($A279&gt;='1-Input'!$C$12,'1-Input'!$B$12,0))-(F278-MIN(MAX(F278,0),MAX(0,B231-IF($A279&gt;='1-Input'!$C$12,'1-Input'!$B$12,0)))))*(1/(1-'P-Parametri'!$B$6*B279))))</f>
        <v>0</v>
      </c>
      <c r="D279" s="18">
        <f>IF($A279&gt;'1-Input'!$B$26,F278,(F278-MAX(0,B231-IF($A279&gt;='1-Input'!$C$12,'1-Input'!$B$12,0))+C279*(1-'P-Parametri'!$B$6*B279))*(1+'1-Input'!$B$27))</f>
        <v>16676.912146479448</v>
      </c>
      <c r="E279" s="18">
        <f>IF($A279&gt;'1-Input'!$B$26,G278,(G278-C279)*(1+'5-Roberta'!$C$4))</f>
        <v>100682.25720165379</v>
      </c>
      <c r="F279" s="18">
        <f>IF($A279&gt;'1-Input'!$B$26,D279,D279-'P-Parametri'!$B$8*(E279+D279)+MIN(MAX(E279,0),'P-Parametri'!$B$8*(E279+D279)))</f>
        <v>16676.912146479448</v>
      </c>
      <c r="G279" s="18">
        <f>IF($A279&gt;'1-Input'!$B$26,E279,E279-MIN(MAX(E279,0),'P-Parametri'!$B$8*(E279+D279)))</f>
        <v>100682.25720165379</v>
      </c>
      <c r="H279" s="18">
        <f>IF($A279&gt;'1-Input'!$B$26,H278,H278-C279*(1-B279))</f>
        <v>23191.686556698383</v>
      </c>
      <c r="I279" s="11">
        <f>IF($A279&gt;'1-Input'!$B$26,0,IF(N278&lt;=0,0,MAX(0,(N278-O278)/N278)))</f>
        <v>0</v>
      </c>
      <c r="J279" s="18">
        <f>IF($A279&gt;'1-Input'!$B$26,0,(MAX(0,I231-IF($A279&gt;='1-Input'!$C$12,'1-Input'!$B$12,0))-MIN(MAX(M278,0),MAX(0,I231-IF($A279&gt;='1-Input'!$C$12,'1-Input'!$B$12,0))))*(1/(1-'P-Parametri'!$B$6*I279))+MIN(MAX(0,N278-(MAX(0,I231-IF($A279&gt;='1-Input'!$C$12,'1-Input'!$B$12,0))-MIN(MAX(M278,0),MAX(0,I231-IF($A279&gt;='1-Input'!$C$12,'1-Input'!$B$12,0))))*(1/(1-'P-Parametri'!$B$6*I279))),MAX(0,3*MAX(0,I231-IF($A279&gt;='1-Input'!$C$12,'1-Input'!$B$12,0))-(M278-MIN(MAX(M278,0),MAX(0,I231-IF($A279&gt;='1-Input'!$C$12,'1-Input'!$B$12,0)))))*(1/(1-'P-Parametri'!$B$6*I279))))</f>
        <v>0</v>
      </c>
      <c r="K279" s="18">
        <f>IF($A279&gt;'1-Input'!$B$26,M278,(M278-MAX(0,I231-IF($A279&gt;='1-Input'!$C$12,'1-Input'!$B$12,0))+J279*(1-'P-Parametri'!$B$6*I279))*(1+'1-Input'!$B$27))</f>
        <v>0</v>
      </c>
      <c r="L279" s="18">
        <f>IF($A279&gt;'1-Input'!$B$26,N278,(N278-J279)*(1+'5-Roberta'!$C$4))</f>
        <v>-344347.32951171527</v>
      </c>
      <c r="M279" s="18">
        <f>IF($A279&gt;'1-Input'!$B$26,K279,K279-'P-Parametri'!$B$8*(L279+K279)+MIN(MAX(L279,0),'P-Parametri'!$B$8*(L279+K279)))</f>
        <v>0</v>
      </c>
      <c r="N279" s="18">
        <f>IF($A279&gt;'1-Input'!$B$26,L279,L279-MIN(MAX(L279,0),'P-Parametri'!$B$8*(L279+K279)))</f>
        <v>-344347.32951171527</v>
      </c>
      <c r="O279" s="18">
        <f>IF($A279&gt;'1-Input'!$B$26,O278,O278-J279*(1-I279))</f>
        <v>-244842.52280699596</v>
      </c>
      <c r="P279" s="11">
        <f>IF($A279&gt;'1-Input'!$B$26,0,IF(U278&lt;=0,0,MAX(0,(U278-V278)/U278)))</f>
        <v>0</v>
      </c>
      <c r="Q279" s="18">
        <f>IF($A279&gt;'1-Input'!$B$26,0,(MAX(0,P231-IF($A279&gt;='1-Input'!$C$12,'1-Input'!$B$12,0))-MIN(MAX(T278,0),MAX(0,P231-IF($A279&gt;='1-Input'!$C$12,'1-Input'!$B$12,0))))*(1/(1-'P-Parametri'!$B$6*P279))+MIN(MAX(0,U278-(MAX(0,P231-IF($A279&gt;='1-Input'!$C$12,'1-Input'!$B$12,0))-MIN(MAX(T278,0),MAX(0,P231-IF($A279&gt;='1-Input'!$C$12,'1-Input'!$B$12,0))))*(1/(1-'P-Parametri'!$B$6*P279))),MAX(0,3*MAX(0,P231-IF($A279&gt;='1-Input'!$C$12,'1-Input'!$B$12,0))-(T278-MIN(MAX(T278,0),MAX(0,P231-IF($A279&gt;='1-Input'!$C$12,'1-Input'!$B$12,0)))))*(1/(1-'P-Parametri'!$B$6*P279))))</f>
        <v>0</v>
      </c>
      <c r="R279" s="18">
        <f>IF($A279&gt;'1-Input'!$B$26,T278,(T278-MAX(0,P231-IF($A279&gt;='1-Input'!$C$12,'1-Input'!$B$12,0))+Q279*(1-'P-Parametri'!$B$6*P279))*(1+'1-Input'!$B$27))</f>
        <v>0</v>
      </c>
      <c r="S279" s="18">
        <f>IF($A279&gt;'1-Input'!$B$26,U278,(U278-Q279)*(1+'5-Roberta'!$C$4))</f>
        <v>-18586.18855903529</v>
      </c>
      <c r="T279" s="18">
        <f>IF($A279&gt;'1-Input'!$B$26,R279,R279-'P-Parametri'!$B$8*(S279+R279)+MIN(MAX(S279,0),'P-Parametri'!$B$8*(S279+R279)))</f>
        <v>0</v>
      </c>
      <c r="U279" s="18">
        <f>IF($A279&gt;'1-Input'!$B$26,S279,S279-MIN(MAX(S279,0),'P-Parametri'!$B$8*(S279+R279)))</f>
        <v>-18586.18855903529</v>
      </c>
      <c r="V279" s="18">
        <f>IF($A279&gt;'1-Input'!$B$26,V278,V278-Q279*(1-P279))</f>
        <v>-17670.456120711646</v>
      </c>
      <c r="W279" s="11">
        <f>IF($A279&gt;'1-Input'!$B$26,0,IF(AB278&lt;=0,0,MAX(0,(AB278-AC278)/AB278)))</f>
        <v>0</v>
      </c>
      <c r="X279" s="18">
        <f>IF($A279&gt;'1-Input'!$B$26,0,(MAX(0,W231-IF($A279&gt;='1-Input'!$C$12,'1-Input'!$B$12,0))-MIN(MAX(AA278,0),MAX(0,W231-IF($A279&gt;='1-Input'!$C$12,'1-Input'!$B$12,0))))*(1/(1-'P-Parametri'!$B$6*W279))+MIN(MAX(0,AB278-(MAX(0,W231-IF($A279&gt;='1-Input'!$C$12,'1-Input'!$B$12,0))-MIN(MAX(AA278,0),MAX(0,W231-IF($A279&gt;='1-Input'!$C$12,'1-Input'!$B$12,0))))*(1/(1-'P-Parametri'!$B$6*W279))),MAX(0,3*MAX(0,W231-IF($A279&gt;='1-Input'!$C$12,'1-Input'!$B$12,0))-(AA278-MIN(MAX(AA278,0),MAX(0,W231-IF($A279&gt;='1-Input'!$C$12,'1-Input'!$B$12,0)))))*(1/(1-'P-Parametri'!$B$6*W279))))</f>
        <v>0</v>
      </c>
      <c r="Y279" s="18">
        <f>IF($A279&gt;'1-Input'!$B$26,AA278,(AA278-MAX(0,W231-IF($A279&gt;='1-Input'!$C$12,'1-Input'!$B$12,0))+X279*(1-'P-Parametri'!$B$6*W279))*(1+'1-Input'!$B$27))</f>
        <v>0</v>
      </c>
      <c r="Z279" s="18">
        <f>IF($A279&gt;'1-Input'!$B$26,AB278,(AB278-X279)*(1+'5-Roberta'!$C$4))</f>
        <v>-365.68935564123512</v>
      </c>
      <c r="AA279" s="18">
        <f>IF($A279&gt;'1-Input'!$B$26,Y279,Y279-'P-Parametri'!$B$8*(Z279+Y279)+MIN(MAX(Z279,0),'P-Parametri'!$B$8*(Z279+Y279)))</f>
        <v>0</v>
      </c>
      <c r="AB279" s="18">
        <f>IF($A279&gt;'1-Input'!$B$26,Z279,Z279-MIN(MAX(Z279,0),'P-Parametri'!$B$8*(Z279+Y279)))</f>
        <v>-365.68935564123512</v>
      </c>
      <c r="AC279" s="18">
        <f>IF($A279&gt;'1-Input'!$B$26,AC278,AC278-X279*(1-W279))</f>
        <v>-355.74970877797796</v>
      </c>
      <c r="AD279" s="11">
        <f>IF($A279&gt;'1-Input'!$B$26,0,IF(AI278&lt;=0,0,MAX(0,(AI278-AJ278)/AI278)))</f>
        <v>0</v>
      </c>
      <c r="AE279" s="18">
        <f>IF($A279&gt;'1-Input'!$B$26,0,(MAX(0,AD231-IF($A279&gt;='1-Input'!$C$12,'1-Input'!$B$12,0))-MIN(MAX(AH278,0),MAX(0,AD231-IF($A279&gt;='1-Input'!$C$12,'1-Input'!$B$12,0))))*(1/(1-'P-Parametri'!$B$6*AD279))+MIN(MAX(0,AI278-(MAX(0,AD231-IF($A279&gt;='1-Input'!$C$12,'1-Input'!$B$12,0))-MIN(MAX(AH278,0),MAX(0,AD231-IF($A279&gt;='1-Input'!$C$12,'1-Input'!$B$12,0))))*(1/(1-'P-Parametri'!$B$6*AD279))),MAX(0,3*MAX(0,AD231-IF($A279&gt;='1-Input'!$C$12,'1-Input'!$B$12,0))-(AH278-MIN(MAX(AH278,0),MAX(0,AD231-IF($A279&gt;='1-Input'!$C$12,'1-Input'!$B$12,0)))))*(1/(1-'P-Parametri'!$B$6*AD279))))</f>
        <v>0</v>
      </c>
      <c r="AF279" s="18">
        <f>IF($A279&gt;'1-Input'!$B$26,AH278,(AH278-MAX(0,AD231-IF($A279&gt;='1-Input'!$C$12,'1-Input'!$B$12,0))+AE279*(1-'P-Parametri'!$B$6*AD279))*(1+'1-Input'!$B$27))</f>
        <v>15.717488914501107</v>
      </c>
      <c r="AG279" s="18">
        <f>IF($A279&gt;'1-Input'!$B$26,AI278,(AI278-AE279)*(1+'5-Roberta'!$C$4))</f>
        <v>0</v>
      </c>
      <c r="AH279" s="18">
        <f>IF($A279&gt;'1-Input'!$B$26,AF279,AF279-'P-Parametri'!$B$8*(AG279+AF279)+MIN(MAX(AG279,0),'P-Parametri'!$B$8*(AG279+AF279)))</f>
        <v>15.717488914501107</v>
      </c>
      <c r="AI279" s="18">
        <f>IF($A279&gt;'1-Input'!$B$26,AG279,AG279-MIN(MAX(AG279,0),'P-Parametri'!$B$8*(AG279+AF279)))</f>
        <v>0</v>
      </c>
      <c r="AJ279" s="18">
        <f>IF($A279&gt;'1-Input'!$B$26,AJ278,AJ278-AE279*(1-AD279))</f>
        <v>0</v>
      </c>
      <c r="AK279" s="11">
        <f>IF($A279&gt;'1-Input'!$B$26,0,IF(AP278&lt;=0,0,MAX(0,(AP278-AQ278)/AP278)))</f>
        <v>0</v>
      </c>
      <c r="AL279" s="18">
        <f>IF($A279&gt;'1-Input'!$B$26,0,(MAX(0,AK231-IF($A279&gt;='1-Input'!$C$12,'1-Input'!$B$12,0))-MIN(MAX(AO278,0),MAX(0,AK231-IF($A279&gt;='1-Input'!$C$12,'1-Input'!$B$12,0))))*(1/(1-'P-Parametri'!$B$6*AK279))+MIN(MAX(0,AP278-(MAX(0,AK231-IF($A279&gt;='1-Input'!$C$12,'1-Input'!$B$12,0))-MIN(MAX(AO278,0),MAX(0,AK231-IF($A279&gt;='1-Input'!$C$12,'1-Input'!$B$12,0))))*(1/(1-'P-Parametri'!$B$6*AK279))),MAX(0,3*MAX(0,AK231-IF($A279&gt;='1-Input'!$C$12,'1-Input'!$B$12,0))-(AO278-MIN(MAX(AO278,0),MAX(0,AK231-IF($A279&gt;='1-Input'!$C$12,'1-Input'!$B$12,0)))))*(1/(1-'P-Parametri'!$B$6*AK279))))</f>
        <v>0</v>
      </c>
      <c r="AM279" s="18">
        <f>IF($A279&gt;'1-Input'!$B$26,AO278,(AO278-MAX(0,AK231-IF($A279&gt;='1-Input'!$C$12,'1-Input'!$B$12,0))+AL279*(1-'P-Parametri'!$B$6*AK279))*(1+'1-Input'!$B$27))</f>
        <v>0.74253520785349381</v>
      </c>
      <c r="AN279" s="18">
        <f>IF($A279&gt;'1-Input'!$B$26,AP278,(AP278-AL279)*(1+'5-Roberta'!$C$4))</f>
        <v>0</v>
      </c>
      <c r="AO279" s="18">
        <f>IF($A279&gt;'1-Input'!$B$26,AM279,AM279-'P-Parametri'!$B$8*(AN279+AM279)+MIN(MAX(AN279,0),'P-Parametri'!$B$8*(AN279+AM279)))</f>
        <v>0.74253520785349381</v>
      </c>
      <c r="AP279" s="18">
        <f>IF($A279&gt;'1-Input'!$B$26,AN279,AN279-MIN(MAX(AN279,0),'P-Parametri'!$B$8*(AN279+AM279)))</f>
        <v>0</v>
      </c>
      <c r="AQ279" s="18">
        <f>IF($A279&gt;'1-Input'!$B$26,AQ278,AQ278-AL279*(1-AK279))</f>
        <v>-1.4210854715202004E-14</v>
      </c>
    </row>
    <row r="280" spans="1:43">
      <c r="A280" s="10">
        <f>47</f>
        <v>47</v>
      </c>
      <c r="B280" s="11">
        <f>IF($A280&gt;'1-Input'!$B$26,0,IF(G279&lt;=0,0,MAX(0,(G279-H279)/G279)))</f>
        <v>0</v>
      </c>
      <c r="C280" s="18">
        <f>IF($A280&gt;'1-Input'!$B$26,0,(MAX(0,B231-IF($A280&gt;='1-Input'!$C$12,'1-Input'!$B$12,0))-MIN(MAX(F279,0),MAX(0,B231-IF($A280&gt;='1-Input'!$C$12,'1-Input'!$B$12,0))))*(1/(1-'P-Parametri'!$B$6*B280))+MIN(MAX(0,G279-(MAX(0,B231-IF($A280&gt;='1-Input'!$C$12,'1-Input'!$B$12,0))-MIN(MAX(F279,0),MAX(0,B231-IF($A280&gt;='1-Input'!$C$12,'1-Input'!$B$12,0))))*(1/(1-'P-Parametri'!$B$6*B280))),MAX(0,3*MAX(0,B231-IF($A280&gt;='1-Input'!$C$12,'1-Input'!$B$12,0))-(F279-MIN(MAX(F279,0),MAX(0,B231-IF($A280&gt;='1-Input'!$C$12,'1-Input'!$B$12,0)))))*(1/(1-'P-Parametri'!$B$6*B280))))</f>
        <v>0</v>
      </c>
      <c r="D280" s="18">
        <f>IF($A280&gt;'1-Input'!$B$26,F279,(F279-MAX(0,B231-IF($A280&gt;='1-Input'!$C$12,'1-Input'!$B$12,0))+C280*(1-'P-Parametri'!$B$6*B280))*(1+'1-Input'!$B$27))</f>
        <v>16676.912146479448</v>
      </c>
      <c r="E280" s="18">
        <f>IF($A280&gt;'1-Input'!$B$26,G279,(G279-C280)*(1+'5-Roberta'!$C$4))</f>
        <v>100682.25720165379</v>
      </c>
      <c r="F280" s="18">
        <f>IF($A280&gt;'1-Input'!$B$26,D280,D280-'P-Parametri'!$B$8*(E280+D280)+MIN(MAX(E280,0),'P-Parametri'!$B$8*(E280+D280)))</f>
        <v>16676.912146479448</v>
      </c>
      <c r="G280" s="18">
        <f>IF($A280&gt;'1-Input'!$B$26,E280,E280-MIN(MAX(E280,0),'P-Parametri'!$B$8*(E280+D280)))</f>
        <v>100682.25720165379</v>
      </c>
      <c r="H280" s="18">
        <f>IF($A280&gt;'1-Input'!$B$26,H279,H279-C280*(1-B280))</f>
        <v>23191.686556698383</v>
      </c>
      <c r="I280" s="11">
        <f>IF($A280&gt;'1-Input'!$B$26,0,IF(N279&lt;=0,0,MAX(0,(N279-O279)/N279)))</f>
        <v>0</v>
      </c>
      <c r="J280" s="18">
        <f>IF($A280&gt;'1-Input'!$B$26,0,(MAX(0,I231-IF($A280&gt;='1-Input'!$C$12,'1-Input'!$B$12,0))-MIN(MAX(M279,0),MAX(0,I231-IF($A280&gt;='1-Input'!$C$12,'1-Input'!$B$12,0))))*(1/(1-'P-Parametri'!$B$6*I280))+MIN(MAX(0,N279-(MAX(0,I231-IF($A280&gt;='1-Input'!$C$12,'1-Input'!$B$12,0))-MIN(MAX(M279,0),MAX(0,I231-IF($A280&gt;='1-Input'!$C$12,'1-Input'!$B$12,0))))*(1/(1-'P-Parametri'!$B$6*I280))),MAX(0,3*MAX(0,I231-IF($A280&gt;='1-Input'!$C$12,'1-Input'!$B$12,0))-(M279-MIN(MAX(M279,0),MAX(0,I231-IF($A280&gt;='1-Input'!$C$12,'1-Input'!$B$12,0)))))*(1/(1-'P-Parametri'!$B$6*I280))))</f>
        <v>0</v>
      </c>
      <c r="K280" s="18">
        <f>IF($A280&gt;'1-Input'!$B$26,M279,(M279-MAX(0,I231-IF($A280&gt;='1-Input'!$C$12,'1-Input'!$B$12,0))+J280*(1-'P-Parametri'!$B$6*I280))*(1+'1-Input'!$B$27))</f>
        <v>0</v>
      </c>
      <c r="L280" s="18">
        <f>IF($A280&gt;'1-Input'!$B$26,N279,(N279-J280)*(1+'5-Roberta'!$C$4))</f>
        <v>-344347.32951171527</v>
      </c>
      <c r="M280" s="18">
        <f>IF($A280&gt;'1-Input'!$B$26,K280,K280-'P-Parametri'!$B$8*(L280+K280)+MIN(MAX(L280,0),'P-Parametri'!$B$8*(L280+K280)))</f>
        <v>0</v>
      </c>
      <c r="N280" s="18">
        <f>IF($A280&gt;'1-Input'!$B$26,L280,L280-MIN(MAX(L280,0),'P-Parametri'!$B$8*(L280+K280)))</f>
        <v>-344347.32951171527</v>
      </c>
      <c r="O280" s="18">
        <f>IF($A280&gt;'1-Input'!$B$26,O279,O279-J280*(1-I280))</f>
        <v>-244842.52280699596</v>
      </c>
      <c r="P280" s="11">
        <f>IF($A280&gt;'1-Input'!$B$26,0,IF(U279&lt;=0,0,MAX(0,(U279-V279)/U279)))</f>
        <v>0</v>
      </c>
      <c r="Q280" s="18">
        <f>IF($A280&gt;'1-Input'!$B$26,0,(MAX(0,P231-IF($A280&gt;='1-Input'!$C$12,'1-Input'!$B$12,0))-MIN(MAX(T279,0),MAX(0,P231-IF($A280&gt;='1-Input'!$C$12,'1-Input'!$B$12,0))))*(1/(1-'P-Parametri'!$B$6*P280))+MIN(MAX(0,U279-(MAX(0,P231-IF($A280&gt;='1-Input'!$C$12,'1-Input'!$B$12,0))-MIN(MAX(T279,0),MAX(0,P231-IF($A280&gt;='1-Input'!$C$12,'1-Input'!$B$12,0))))*(1/(1-'P-Parametri'!$B$6*P280))),MAX(0,3*MAX(0,P231-IF($A280&gt;='1-Input'!$C$12,'1-Input'!$B$12,0))-(T279-MIN(MAX(T279,0),MAX(0,P231-IF($A280&gt;='1-Input'!$C$12,'1-Input'!$B$12,0)))))*(1/(1-'P-Parametri'!$B$6*P280))))</f>
        <v>0</v>
      </c>
      <c r="R280" s="18">
        <f>IF($A280&gt;'1-Input'!$B$26,T279,(T279-MAX(0,P231-IF($A280&gt;='1-Input'!$C$12,'1-Input'!$B$12,0))+Q280*(1-'P-Parametri'!$B$6*P280))*(1+'1-Input'!$B$27))</f>
        <v>0</v>
      </c>
      <c r="S280" s="18">
        <f>IF($A280&gt;'1-Input'!$B$26,U279,(U279-Q280)*(1+'5-Roberta'!$C$4))</f>
        <v>-18586.18855903529</v>
      </c>
      <c r="T280" s="18">
        <f>IF($A280&gt;'1-Input'!$B$26,R280,R280-'P-Parametri'!$B$8*(S280+R280)+MIN(MAX(S280,0),'P-Parametri'!$B$8*(S280+R280)))</f>
        <v>0</v>
      </c>
      <c r="U280" s="18">
        <f>IF($A280&gt;'1-Input'!$B$26,S280,S280-MIN(MAX(S280,0),'P-Parametri'!$B$8*(S280+R280)))</f>
        <v>-18586.18855903529</v>
      </c>
      <c r="V280" s="18">
        <f>IF($A280&gt;'1-Input'!$B$26,V279,V279-Q280*(1-P280))</f>
        <v>-17670.456120711646</v>
      </c>
      <c r="W280" s="11">
        <f>IF($A280&gt;'1-Input'!$B$26,0,IF(AB279&lt;=0,0,MAX(0,(AB279-AC279)/AB279)))</f>
        <v>0</v>
      </c>
      <c r="X280" s="18">
        <f>IF($A280&gt;'1-Input'!$B$26,0,(MAX(0,W231-IF($A280&gt;='1-Input'!$C$12,'1-Input'!$B$12,0))-MIN(MAX(AA279,0),MAX(0,W231-IF($A280&gt;='1-Input'!$C$12,'1-Input'!$B$12,0))))*(1/(1-'P-Parametri'!$B$6*W280))+MIN(MAX(0,AB279-(MAX(0,W231-IF($A280&gt;='1-Input'!$C$12,'1-Input'!$B$12,0))-MIN(MAX(AA279,0),MAX(0,W231-IF($A280&gt;='1-Input'!$C$12,'1-Input'!$B$12,0))))*(1/(1-'P-Parametri'!$B$6*W280))),MAX(0,3*MAX(0,W231-IF($A280&gt;='1-Input'!$C$12,'1-Input'!$B$12,0))-(AA279-MIN(MAX(AA279,0),MAX(0,W231-IF($A280&gt;='1-Input'!$C$12,'1-Input'!$B$12,0)))))*(1/(1-'P-Parametri'!$B$6*W280))))</f>
        <v>0</v>
      </c>
      <c r="Y280" s="18">
        <f>IF($A280&gt;'1-Input'!$B$26,AA279,(AA279-MAX(0,W231-IF($A280&gt;='1-Input'!$C$12,'1-Input'!$B$12,0))+X280*(1-'P-Parametri'!$B$6*W280))*(1+'1-Input'!$B$27))</f>
        <v>0</v>
      </c>
      <c r="Z280" s="18">
        <f>IF($A280&gt;'1-Input'!$B$26,AB279,(AB279-X280)*(1+'5-Roberta'!$C$4))</f>
        <v>-365.68935564123512</v>
      </c>
      <c r="AA280" s="18">
        <f>IF($A280&gt;'1-Input'!$B$26,Y280,Y280-'P-Parametri'!$B$8*(Z280+Y280)+MIN(MAX(Z280,0),'P-Parametri'!$B$8*(Z280+Y280)))</f>
        <v>0</v>
      </c>
      <c r="AB280" s="18">
        <f>IF($A280&gt;'1-Input'!$B$26,Z280,Z280-MIN(MAX(Z280,0),'P-Parametri'!$B$8*(Z280+Y280)))</f>
        <v>-365.68935564123512</v>
      </c>
      <c r="AC280" s="18">
        <f>IF($A280&gt;'1-Input'!$B$26,AC279,AC279-X280*(1-W280))</f>
        <v>-355.74970877797796</v>
      </c>
      <c r="AD280" s="11">
        <f>IF($A280&gt;'1-Input'!$B$26,0,IF(AI279&lt;=0,0,MAX(0,(AI279-AJ279)/AI279)))</f>
        <v>0</v>
      </c>
      <c r="AE280" s="18">
        <f>IF($A280&gt;'1-Input'!$B$26,0,(MAX(0,AD231-IF($A280&gt;='1-Input'!$C$12,'1-Input'!$B$12,0))-MIN(MAX(AH279,0),MAX(0,AD231-IF($A280&gt;='1-Input'!$C$12,'1-Input'!$B$12,0))))*(1/(1-'P-Parametri'!$B$6*AD280))+MIN(MAX(0,AI279-(MAX(0,AD231-IF($A280&gt;='1-Input'!$C$12,'1-Input'!$B$12,0))-MIN(MAX(AH279,0),MAX(0,AD231-IF($A280&gt;='1-Input'!$C$12,'1-Input'!$B$12,0))))*(1/(1-'P-Parametri'!$B$6*AD280))),MAX(0,3*MAX(0,AD231-IF($A280&gt;='1-Input'!$C$12,'1-Input'!$B$12,0))-(AH279-MIN(MAX(AH279,0),MAX(0,AD231-IF($A280&gt;='1-Input'!$C$12,'1-Input'!$B$12,0)))))*(1/(1-'P-Parametri'!$B$6*AD280))))</f>
        <v>0</v>
      </c>
      <c r="AF280" s="18">
        <f>IF($A280&gt;'1-Input'!$B$26,AH279,(AH279-MAX(0,AD231-IF($A280&gt;='1-Input'!$C$12,'1-Input'!$B$12,0))+AE280*(1-'P-Parametri'!$B$6*AD280))*(1+'1-Input'!$B$27))</f>
        <v>15.717488914501107</v>
      </c>
      <c r="AG280" s="18">
        <f>IF($A280&gt;'1-Input'!$B$26,AI279,(AI279-AE280)*(1+'5-Roberta'!$C$4))</f>
        <v>0</v>
      </c>
      <c r="AH280" s="18">
        <f>IF($A280&gt;'1-Input'!$B$26,AF280,AF280-'P-Parametri'!$B$8*(AG280+AF280)+MIN(MAX(AG280,0),'P-Parametri'!$B$8*(AG280+AF280)))</f>
        <v>15.717488914501107</v>
      </c>
      <c r="AI280" s="18">
        <f>IF($A280&gt;'1-Input'!$B$26,AG280,AG280-MIN(MAX(AG280,0),'P-Parametri'!$B$8*(AG280+AF280)))</f>
        <v>0</v>
      </c>
      <c r="AJ280" s="18">
        <f>IF($A280&gt;'1-Input'!$B$26,AJ279,AJ279-AE280*(1-AD280))</f>
        <v>0</v>
      </c>
      <c r="AK280" s="11">
        <f>IF($A280&gt;'1-Input'!$B$26,0,IF(AP279&lt;=0,0,MAX(0,(AP279-AQ279)/AP279)))</f>
        <v>0</v>
      </c>
      <c r="AL280" s="18">
        <f>IF($A280&gt;'1-Input'!$B$26,0,(MAX(0,AK231-IF($A280&gt;='1-Input'!$C$12,'1-Input'!$B$12,0))-MIN(MAX(AO279,0),MAX(0,AK231-IF($A280&gt;='1-Input'!$C$12,'1-Input'!$B$12,0))))*(1/(1-'P-Parametri'!$B$6*AK280))+MIN(MAX(0,AP279-(MAX(0,AK231-IF($A280&gt;='1-Input'!$C$12,'1-Input'!$B$12,0))-MIN(MAX(AO279,0),MAX(0,AK231-IF($A280&gt;='1-Input'!$C$12,'1-Input'!$B$12,0))))*(1/(1-'P-Parametri'!$B$6*AK280))),MAX(0,3*MAX(0,AK231-IF($A280&gt;='1-Input'!$C$12,'1-Input'!$B$12,0))-(AO279-MIN(MAX(AO279,0),MAX(0,AK231-IF($A280&gt;='1-Input'!$C$12,'1-Input'!$B$12,0)))))*(1/(1-'P-Parametri'!$B$6*AK280))))</f>
        <v>0</v>
      </c>
      <c r="AM280" s="18">
        <f>IF($A280&gt;'1-Input'!$B$26,AO279,(AO279-MAX(0,AK231-IF($A280&gt;='1-Input'!$C$12,'1-Input'!$B$12,0))+AL280*(1-'P-Parametri'!$B$6*AK280))*(1+'1-Input'!$B$27))</f>
        <v>0.74253520785349381</v>
      </c>
      <c r="AN280" s="18">
        <f>IF($A280&gt;'1-Input'!$B$26,AP279,(AP279-AL280)*(1+'5-Roberta'!$C$4))</f>
        <v>0</v>
      </c>
      <c r="AO280" s="18">
        <f>IF($A280&gt;'1-Input'!$B$26,AM280,AM280-'P-Parametri'!$B$8*(AN280+AM280)+MIN(MAX(AN280,0),'P-Parametri'!$B$8*(AN280+AM280)))</f>
        <v>0.74253520785349381</v>
      </c>
      <c r="AP280" s="18">
        <f>IF($A280&gt;'1-Input'!$B$26,AN280,AN280-MIN(MAX(AN280,0),'P-Parametri'!$B$8*(AN280+AM280)))</f>
        <v>0</v>
      </c>
      <c r="AQ280" s="18">
        <f>IF($A280&gt;'1-Input'!$B$26,AQ279,AQ279-AL280*(1-AK280))</f>
        <v>-1.4210854715202004E-14</v>
      </c>
    </row>
    <row r="281" spans="1:43">
      <c r="A281" s="10">
        <f>48</f>
        <v>48</v>
      </c>
      <c r="B281" s="11">
        <f>IF($A281&gt;'1-Input'!$B$26,0,IF(G280&lt;=0,0,MAX(0,(G280-H280)/G280)))</f>
        <v>0</v>
      </c>
      <c r="C281" s="18">
        <f>IF($A281&gt;'1-Input'!$B$26,0,(MAX(0,B231-IF($A281&gt;='1-Input'!$C$12,'1-Input'!$B$12,0))-MIN(MAX(F280,0),MAX(0,B231-IF($A281&gt;='1-Input'!$C$12,'1-Input'!$B$12,0))))*(1/(1-'P-Parametri'!$B$6*B281))+MIN(MAX(0,G280-(MAX(0,B231-IF($A281&gt;='1-Input'!$C$12,'1-Input'!$B$12,0))-MIN(MAX(F280,0),MAX(0,B231-IF($A281&gt;='1-Input'!$C$12,'1-Input'!$B$12,0))))*(1/(1-'P-Parametri'!$B$6*B281))),MAX(0,3*MAX(0,B231-IF($A281&gt;='1-Input'!$C$12,'1-Input'!$B$12,0))-(F280-MIN(MAX(F280,0),MAX(0,B231-IF($A281&gt;='1-Input'!$C$12,'1-Input'!$B$12,0)))))*(1/(1-'P-Parametri'!$B$6*B281))))</f>
        <v>0</v>
      </c>
      <c r="D281" s="18">
        <f>IF($A281&gt;'1-Input'!$B$26,F280,(F280-MAX(0,B231-IF($A281&gt;='1-Input'!$C$12,'1-Input'!$B$12,0))+C281*(1-'P-Parametri'!$B$6*B281))*(1+'1-Input'!$B$27))</f>
        <v>16676.912146479448</v>
      </c>
      <c r="E281" s="18">
        <f>IF($A281&gt;'1-Input'!$B$26,G280,(G280-C281)*(1+'5-Roberta'!$C$4))</f>
        <v>100682.25720165379</v>
      </c>
      <c r="F281" s="18">
        <f>IF($A281&gt;'1-Input'!$B$26,D281,D281-'P-Parametri'!$B$8*(E281+D281)+MIN(MAX(E281,0),'P-Parametri'!$B$8*(E281+D281)))</f>
        <v>16676.912146479448</v>
      </c>
      <c r="G281" s="18">
        <f>IF($A281&gt;'1-Input'!$B$26,E281,E281-MIN(MAX(E281,0),'P-Parametri'!$B$8*(E281+D281)))</f>
        <v>100682.25720165379</v>
      </c>
      <c r="H281" s="18">
        <f>IF($A281&gt;'1-Input'!$B$26,H280,H280-C281*(1-B281))</f>
        <v>23191.686556698383</v>
      </c>
      <c r="I281" s="11">
        <f>IF($A281&gt;'1-Input'!$B$26,0,IF(N280&lt;=0,0,MAX(0,(N280-O280)/N280)))</f>
        <v>0</v>
      </c>
      <c r="J281" s="18">
        <f>IF($A281&gt;'1-Input'!$B$26,0,(MAX(0,I231-IF($A281&gt;='1-Input'!$C$12,'1-Input'!$B$12,0))-MIN(MAX(M280,0),MAX(0,I231-IF($A281&gt;='1-Input'!$C$12,'1-Input'!$B$12,0))))*(1/(1-'P-Parametri'!$B$6*I281))+MIN(MAX(0,N280-(MAX(0,I231-IF($A281&gt;='1-Input'!$C$12,'1-Input'!$B$12,0))-MIN(MAX(M280,0),MAX(0,I231-IF($A281&gt;='1-Input'!$C$12,'1-Input'!$B$12,0))))*(1/(1-'P-Parametri'!$B$6*I281))),MAX(0,3*MAX(0,I231-IF($A281&gt;='1-Input'!$C$12,'1-Input'!$B$12,0))-(M280-MIN(MAX(M280,0),MAX(0,I231-IF($A281&gt;='1-Input'!$C$12,'1-Input'!$B$12,0)))))*(1/(1-'P-Parametri'!$B$6*I281))))</f>
        <v>0</v>
      </c>
      <c r="K281" s="18">
        <f>IF($A281&gt;'1-Input'!$B$26,M280,(M280-MAX(0,I231-IF($A281&gt;='1-Input'!$C$12,'1-Input'!$B$12,0))+J281*(1-'P-Parametri'!$B$6*I281))*(1+'1-Input'!$B$27))</f>
        <v>0</v>
      </c>
      <c r="L281" s="18">
        <f>IF($A281&gt;'1-Input'!$B$26,N280,(N280-J281)*(1+'5-Roberta'!$C$4))</f>
        <v>-344347.32951171527</v>
      </c>
      <c r="M281" s="18">
        <f>IF($A281&gt;'1-Input'!$B$26,K281,K281-'P-Parametri'!$B$8*(L281+K281)+MIN(MAX(L281,0),'P-Parametri'!$B$8*(L281+K281)))</f>
        <v>0</v>
      </c>
      <c r="N281" s="18">
        <f>IF($A281&gt;'1-Input'!$B$26,L281,L281-MIN(MAX(L281,0),'P-Parametri'!$B$8*(L281+K281)))</f>
        <v>-344347.32951171527</v>
      </c>
      <c r="O281" s="18">
        <f>IF($A281&gt;'1-Input'!$B$26,O280,O280-J281*(1-I281))</f>
        <v>-244842.52280699596</v>
      </c>
      <c r="P281" s="11">
        <f>IF($A281&gt;'1-Input'!$B$26,0,IF(U280&lt;=0,0,MAX(0,(U280-V280)/U280)))</f>
        <v>0</v>
      </c>
      <c r="Q281" s="18">
        <f>IF($A281&gt;'1-Input'!$B$26,0,(MAX(0,P231-IF($A281&gt;='1-Input'!$C$12,'1-Input'!$B$12,0))-MIN(MAX(T280,0),MAX(0,P231-IF($A281&gt;='1-Input'!$C$12,'1-Input'!$B$12,0))))*(1/(1-'P-Parametri'!$B$6*P281))+MIN(MAX(0,U280-(MAX(0,P231-IF($A281&gt;='1-Input'!$C$12,'1-Input'!$B$12,0))-MIN(MAX(T280,0),MAX(0,P231-IF($A281&gt;='1-Input'!$C$12,'1-Input'!$B$12,0))))*(1/(1-'P-Parametri'!$B$6*P281))),MAX(0,3*MAX(0,P231-IF($A281&gt;='1-Input'!$C$12,'1-Input'!$B$12,0))-(T280-MIN(MAX(T280,0),MAX(0,P231-IF($A281&gt;='1-Input'!$C$12,'1-Input'!$B$12,0)))))*(1/(1-'P-Parametri'!$B$6*P281))))</f>
        <v>0</v>
      </c>
      <c r="R281" s="18">
        <f>IF($A281&gt;'1-Input'!$B$26,T280,(T280-MAX(0,P231-IF($A281&gt;='1-Input'!$C$12,'1-Input'!$B$12,0))+Q281*(1-'P-Parametri'!$B$6*P281))*(1+'1-Input'!$B$27))</f>
        <v>0</v>
      </c>
      <c r="S281" s="18">
        <f>IF($A281&gt;'1-Input'!$B$26,U280,(U280-Q281)*(1+'5-Roberta'!$C$4))</f>
        <v>-18586.18855903529</v>
      </c>
      <c r="T281" s="18">
        <f>IF($A281&gt;'1-Input'!$B$26,R281,R281-'P-Parametri'!$B$8*(S281+R281)+MIN(MAX(S281,0),'P-Parametri'!$B$8*(S281+R281)))</f>
        <v>0</v>
      </c>
      <c r="U281" s="18">
        <f>IF($A281&gt;'1-Input'!$B$26,S281,S281-MIN(MAX(S281,0),'P-Parametri'!$B$8*(S281+R281)))</f>
        <v>-18586.18855903529</v>
      </c>
      <c r="V281" s="18">
        <f>IF($A281&gt;'1-Input'!$B$26,V280,V280-Q281*(1-P281))</f>
        <v>-17670.456120711646</v>
      </c>
      <c r="W281" s="11">
        <f>IF($A281&gt;'1-Input'!$B$26,0,IF(AB280&lt;=0,0,MAX(0,(AB280-AC280)/AB280)))</f>
        <v>0</v>
      </c>
      <c r="X281" s="18">
        <f>IF($A281&gt;'1-Input'!$B$26,0,(MAX(0,W231-IF($A281&gt;='1-Input'!$C$12,'1-Input'!$B$12,0))-MIN(MAX(AA280,0),MAX(0,W231-IF($A281&gt;='1-Input'!$C$12,'1-Input'!$B$12,0))))*(1/(1-'P-Parametri'!$B$6*W281))+MIN(MAX(0,AB280-(MAX(0,W231-IF($A281&gt;='1-Input'!$C$12,'1-Input'!$B$12,0))-MIN(MAX(AA280,0),MAX(0,W231-IF($A281&gt;='1-Input'!$C$12,'1-Input'!$B$12,0))))*(1/(1-'P-Parametri'!$B$6*W281))),MAX(0,3*MAX(0,W231-IF($A281&gt;='1-Input'!$C$12,'1-Input'!$B$12,0))-(AA280-MIN(MAX(AA280,0),MAX(0,W231-IF($A281&gt;='1-Input'!$C$12,'1-Input'!$B$12,0)))))*(1/(1-'P-Parametri'!$B$6*W281))))</f>
        <v>0</v>
      </c>
      <c r="Y281" s="18">
        <f>IF($A281&gt;'1-Input'!$B$26,AA280,(AA280-MAX(0,W231-IF($A281&gt;='1-Input'!$C$12,'1-Input'!$B$12,0))+X281*(1-'P-Parametri'!$B$6*W281))*(1+'1-Input'!$B$27))</f>
        <v>0</v>
      </c>
      <c r="Z281" s="18">
        <f>IF($A281&gt;'1-Input'!$B$26,AB280,(AB280-X281)*(1+'5-Roberta'!$C$4))</f>
        <v>-365.68935564123512</v>
      </c>
      <c r="AA281" s="18">
        <f>IF($A281&gt;'1-Input'!$B$26,Y281,Y281-'P-Parametri'!$B$8*(Z281+Y281)+MIN(MAX(Z281,0),'P-Parametri'!$B$8*(Z281+Y281)))</f>
        <v>0</v>
      </c>
      <c r="AB281" s="18">
        <f>IF($A281&gt;'1-Input'!$B$26,Z281,Z281-MIN(MAX(Z281,0),'P-Parametri'!$B$8*(Z281+Y281)))</f>
        <v>-365.68935564123512</v>
      </c>
      <c r="AC281" s="18">
        <f>IF($A281&gt;'1-Input'!$B$26,AC280,AC280-X281*(1-W281))</f>
        <v>-355.74970877797796</v>
      </c>
      <c r="AD281" s="11">
        <f>IF($A281&gt;'1-Input'!$B$26,0,IF(AI280&lt;=0,0,MAX(0,(AI280-AJ280)/AI280)))</f>
        <v>0</v>
      </c>
      <c r="AE281" s="18">
        <f>IF($A281&gt;'1-Input'!$B$26,0,(MAX(0,AD231-IF($A281&gt;='1-Input'!$C$12,'1-Input'!$B$12,0))-MIN(MAX(AH280,0),MAX(0,AD231-IF($A281&gt;='1-Input'!$C$12,'1-Input'!$B$12,0))))*(1/(1-'P-Parametri'!$B$6*AD281))+MIN(MAX(0,AI280-(MAX(0,AD231-IF($A281&gt;='1-Input'!$C$12,'1-Input'!$B$12,0))-MIN(MAX(AH280,0),MAX(0,AD231-IF($A281&gt;='1-Input'!$C$12,'1-Input'!$B$12,0))))*(1/(1-'P-Parametri'!$B$6*AD281))),MAX(0,3*MAX(0,AD231-IF($A281&gt;='1-Input'!$C$12,'1-Input'!$B$12,0))-(AH280-MIN(MAX(AH280,0),MAX(0,AD231-IF($A281&gt;='1-Input'!$C$12,'1-Input'!$B$12,0)))))*(1/(1-'P-Parametri'!$B$6*AD281))))</f>
        <v>0</v>
      </c>
      <c r="AF281" s="18">
        <f>IF($A281&gt;'1-Input'!$B$26,AH280,(AH280-MAX(0,AD231-IF($A281&gt;='1-Input'!$C$12,'1-Input'!$B$12,0))+AE281*(1-'P-Parametri'!$B$6*AD281))*(1+'1-Input'!$B$27))</f>
        <v>15.717488914501107</v>
      </c>
      <c r="AG281" s="18">
        <f>IF($A281&gt;'1-Input'!$B$26,AI280,(AI280-AE281)*(1+'5-Roberta'!$C$4))</f>
        <v>0</v>
      </c>
      <c r="AH281" s="18">
        <f>IF($A281&gt;'1-Input'!$B$26,AF281,AF281-'P-Parametri'!$B$8*(AG281+AF281)+MIN(MAX(AG281,0),'P-Parametri'!$B$8*(AG281+AF281)))</f>
        <v>15.717488914501107</v>
      </c>
      <c r="AI281" s="18">
        <f>IF($A281&gt;'1-Input'!$B$26,AG281,AG281-MIN(MAX(AG281,0),'P-Parametri'!$B$8*(AG281+AF281)))</f>
        <v>0</v>
      </c>
      <c r="AJ281" s="18">
        <f>IF($A281&gt;'1-Input'!$B$26,AJ280,AJ280-AE281*(1-AD281))</f>
        <v>0</v>
      </c>
      <c r="AK281" s="11">
        <f>IF($A281&gt;'1-Input'!$B$26,0,IF(AP280&lt;=0,0,MAX(0,(AP280-AQ280)/AP280)))</f>
        <v>0</v>
      </c>
      <c r="AL281" s="18">
        <f>IF($A281&gt;'1-Input'!$B$26,0,(MAX(0,AK231-IF($A281&gt;='1-Input'!$C$12,'1-Input'!$B$12,0))-MIN(MAX(AO280,0),MAX(0,AK231-IF($A281&gt;='1-Input'!$C$12,'1-Input'!$B$12,0))))*(1/(1-'P-Parametri'!$B$6*AK281))+MIN(MAX(0,AP280-(MAX(0,AK231-IF($A281&gt;='1-Input'!$C$12,'1-Input'!$B$12,0))-MIN(MAX(AO280,0),MAX(0,AK231-IF($A281&gt;='1-Input'!$C$12,'1-Input'!$B$12,0))))*(1/(1-'P-Parametri'!$B$6*AK281))),MAX(0,3*MAX(0,AK231-IF($A281&gt;='1-Input'!$C$12,'1-Input'!$B$12,0))-(AO280-MIN(MAX(AO280,0),MAX(0,AK231-IF($A281&gt;='1-Input'!$C$12,'1-Input'!$B$12,0)))))*(1/(1-'P-Parametri'!$B$6*AK281))))</f>
        <v>0</v>
      </c>
      <c r="AM281" s="18">
        <f>IF($A281&gt;'1-Input'!$B$26,AO280,(AO280-MAX(0,AK231-IF($A281&gt;='1-Input'!$C$12,'1-Input'!$B$12,0))+AL281*(1-'P-Parametri'!$B$6*AK281))*(1+'1-Input'!$B$27))</f>
        <v>0.74253520785349381</v>
      </c>
      <c r="AN281" s="18">
        <f>IF($A281&gt;'1-Input'!$B$26,AP280,(AP280-AL281)*(1+'5-Roberta'!$C$4))</f>
        <v>0</v>
      </c>
      <c r="AO281" s="18">
        <f>IF($A281&gt;'1-Input'!$B$26,AM281,AM281-'P-Parametri'!$B$8*(AN281+AM281)+MIN(MAX(AN281,0),'P-Parametri'!$B$8*(AN281+AM281)))</f>
        <v>0.74253520785349381</v>
      </c>
      <c r="AP281" s="18">
        <f>IF($A281&gt;'1-Input'!$B$26,AN281,AN281-MIN(MAX(AN281,0),'P-Parametri'!$B$8*(AN281+AM281)))</f>
        <v>0</v>
      </c>
      <c r="AQ281" s="18">
        <f>IF($A281&gt;'1-Input'!$B$26,AQ280,AQ280-AL281*(1-AK281))</f>
        <v>-1.4210854715202004E-14</v>
      </c>
    </row>
    <row r="282" spans="1:43">
      <c r="A282" s="4" t="s">
        <v>365</v>
      </c>
      <c r="B282" s="18">
        <f>F281+G281</f>
        <v>117359.16934813323</v>
      </c>
      <c r="I282" s="18">
        <f>M281+N281</f>
        <v>-344347.32951171527</v>
      </c>
      <c r="P282" s="18">
        <f>T281+U281</f>
        <v>-18586.18855903529</v>
      </c>
      <c r="W282" s="18">
        <f>AA281+AB281</f>
        <v>-365.68935564123512</v>
      </c>
      <c r="AD282" s="18">
        <f>AH281+AI281</f>
        <v>15.717488914501107</v>
      </c>
      <c r="AK282" s="18">
        <f>AO281+AP281</f>
        <v>0.74253520785349381</v>
      </c>
    </row>
    <row r="283" spans="1:43">
      <c r="A283" s="5" t="s">
        <v>266</v>
      </c>
      <c r="B283" s="18">
        <f>IFERROR(AK231-AK282*(AK231-AD231)/(AK282-AD282),AK231)</f>
        <v>17791.573144440612</v>
      </c>
    </row>
    <row r="285" spans="1:43">
      <c r="A285" s="2" t="s">
        <v>548</v>
      </c>
    </row>
    <row r="286" spans="1:43">
      <c r="A286" s="4" t="s">
        <v>360</v>
      </c>
      <c r="B286" s="9">
        <f>0.038*'2-Caso'!$B$12</f>
        <v>16681.055314625803</v>
      </c>
      <c r="I286" s="9">
        <f>0.05*'2-Caso'!$B$12</f>
        <v>21948.756992928691</v>
      </c>
      <c r="P286" s="18">
        <f>IFERROR(I286-I337*(I286-B286)/(I337-B337),I286)</f>
        <v>17178.125338481437</v>
      </c>
      <c r="W286" s="18">
        <f>IFERROR(P286-P337*(P286-I286)/(P337-I337),P286)</f>
        <v>17124.588654903706</v>
      </c>
      <c r="AD286" s="18">
        <f>IFERROR(W286-W337*(W286-P286)/(W337-P337),W286)</f>
        <v>17123.965218278205</v>
      </c>
      <c r="AK286" s="18">
        <f>IFERROR(AD286-AD337*(AD286-W286)/(AD337-W337),AD286)</f>
        <v>17123.979380767887</v>
      </c>
    </row>
    <row r="287" spans="1:43" ht="30">
      <c r="A287" s="25" t="s">
        <v>262</v>
      </c>
      <c r="B287" s="25" t="s">
        <v>361</v>
      </c>
      <c r="C287" s="25" t="s">
        <v>263</v>
      </c>
      <c r="D287" s="25" t="s">
        <v>362</v>
      </c>
      <c r="E287" s="25" t="s">
        <v>363</v>
      </c>
      <c r="F287" s="25" t="s">
        <v>264</v>
      </c>
      <c r="G287" s="25" t="s">
        <v>265</v>
      </c>
      <c r="H287" s="25" t="s">
        <v>364</v>
      </c>
      <c r="I287" s="25" t="s">
        <v>361</v>
      </c>
      <c r="J287" s="25" t="s">
        <v>263</v>
      </c>
      <c r="K287" s="25" t="s">
        <v>362</v>
      </c>
      <c r="L287" s="25" t="s">
        <v>363</v>
      </c>
      <c r="M287" s="25" t="s">
        <v>264</v>
      </c>
      <c r="N287" s="25" t="s">
        <v>265</v>
      </c>
      <c r="O287" s="25" t="s">
        <v>364</v>
      </c>
      <c r="P287" s="25" t="s">
        <v>361</v>
      </c>
      <c r="Q287" s="25" t="s">
        <v>263</v>
      </c>
      <c r="R287" s="25" t="s">
        <v>362</v>
      </c>
      <c r="S287" s="25" t="s">
        <v>363</v>
      </c>
      <c r="T287" s="25" t="s">
        <v>264</v>
      </c>
      <c r="U287" s="25" t="s">
        <v>265</v>
      </c>
      <c r="V287" s="25" t="s">
        <v>364</v>
      </c>
      <c r="W287" s="25" t="s">
        <v>361</v>
      </c>
      <c r="X287" s="25" t="s">
        <v>263</v>
      </c>
      <c r="Y287" s="25" t="s">
        <v>362</v>
      </c>
      <c r="Z287" s="25" t="s">
        <v>363</v>
      </c>
      <c r="AA287" s="25" t="s">
        <v>264</v>
      </c>
      <c r="AB287" s="25" t="s">
        <v>265</v>
      </c>
      <c r="AC287" s="25" t="s">
        <v>364</v>
      </c>
      <c r="AD287" s="25" t="s">
        <v>361</v>
      </c>
      <c r="AE287" s="25" t="s">
        <v>263</v>
      </c>
      <c r="AF287" s="25" t="s">
        <v>362</v>
      </c>
      <c r="AG287" s="25" t="s">
        <v>363</v>
      </c>
      <c r="AH287" s="25" t="s">
        <v>264</v>
      </c>
      <c r="AI287" s="25" t="s">
        <v>265</v>
      </c>
      <c r="AJ287" s="25" t="s">
        <v>364</v>
      </c>
      <c r="AK287" s="25" t="s">
        <v>361</v>
      </c>
      <c r="AL287" s="25" t="s">
        <v>263</v>
      </c>
      <c r="AM287" s="25" t="s">
        <v>362</v>
      </c>
      <c r="AN287" s="25" t="s">
        <v>363</v>
      </c>
      <c r="AO287" s="25" t="s">
        <v>264</v>
      </c>
      <c r="AP287" s="25" t="s">
        <v>265</v>
      </c>
      <c r="AQ287" s="25" t="s">
        <v>364</v>
      </c>
    </row>
    <row r="288" spans="1:43">
      <c r="A288" s="3">
        <v>0</v>
      </c>
      <c r="F288" s="18">
        <f>MIN(5*B286,'2-Caso'!$B$12)</f>
        <v>83405.276573129013</v>
      </c>
      <c r="G288" s="18">
        <f>'2-Caso'!$B$12-F288</f>
        <v>355569.86328544479</v>
      </c>
      <c r="H288" s="18">
        <f>'2-Caso'!$B$13*G288/'2-Caso'!$B$12</f>
        <v>278640</v>
      </c>
      <c r="M288" s="18">
        <f>MIN(5*I286,'2-Caso'!$B$12)</f>
        <v>109743.78496464345</v>
      </c>
      <c r="N288" s="18">
        <f>'2-Caso'!$B$12-M288</f>
        <v>329231.35489393037</v>
      </c>
      <c r="O288" s="18">
        <f>'2-Caso'!$B$13*N288/'2-Caso'!$B$12</f>
        <v>258000.00000000003</v>
      </c>
      <c r="T288" s="18">
        <f>MIN(5*P286,'2-Caso'!$B$12)</f>
        <v>85890.626692407182</v>
      </c>
      <c r="U288" s="18">
        <f>'2-Caso'!$B$12-T288</f>
        <v>353084.51316616661</v>
      </c>
      <c r="V288" s="18">
        <f>'2-Caso'!$B$13*U288/'2-Caso'!$B$12</f>
        <v>276692.37161879567</v>
      </c>
      <c r="AA288" s="18">
        <f>MIN(5*W286,'2-Caso'!$B$12)</f>
        <v>85622.943274518533</v>
      </c>
      <c r="AB288" s="18">
        <f>'2-Caso'!$B$12-AA288</f>
        <v>353352.19658405526</v>
      </c>
      <c r="AC288" s="18">
        <f>'2-Caso'!$B$13*AB288/'2-Caso'!$B$12</f>
        <v>276902.13998012786</v>
      </c>
      <c r="AH288" s="18">
        <f>MIN(5*AD286,'2-Caso'!$B$12)</f>
        <v>85619.82609139102</v>
      </c>
      <c r="AI288" s="18">
        <f>'2-Caso'!$B$12-AH288</f>
        <v>353355.31376718276</v>
      </c>
      <c r="AJ288" s="18">
        <f>'2-Caso'!$B$13*AI288/'2-Caso'!$B$12</f>
        <v>276904.58274031745</v>
      </c>
      <c r="AO288" s="18">
        <f>MIN(5*AK286,'2-Caso'!$B$12)</f>
        <v>85619.896903839428</v>
      </c>
      <c r="AP288" s="18">
        <f>'2-Caso'!$B$12-AO288</f>
        <v>353355.24295473436</v>
      </c>
      <c r="AQ288" s="18">
        <f>'2-Caso'!$B$13*AP288/'2-Caso'!$B$12</f>
        <v>276904.52724860498</v>
      </c>
    </row>
    <row r="289" spans="1:43">
      <c r="A289" s="10">
        <f>1</f>
        <v>1</v>
      </c>
      <c r="B289" s="11">
        <f>IF($A289&gt;'1-Input'!$B$26,0,IF(G288&lt;=0,0,MAX(0,(G288-H288)/G288)))</f>
        <v>0.21635653419729486</v>
      </c>
      <c r="C289" s="18">
        <f>IF($A289&gt;'1-Input'!$B$26,0,(MAX(0,B286-IF($A289&gt;='1-Input'!$C$12,'1-Input'!$B$12,0))-MIN(MAX(F288,0),MAX(0,B286-IF($A289&gt;='1-Input'!$C$12,'1-Input'!$B$12,0))))*(1/(1-'P-Parametri'!$B$6*B289))+MIN(MAX(0,G288-(MAX(0,B286-IF($A289&gt;='1-Input'!$C$12,'1-Input'!$B$12,0))-MIN(MAX(F288,0),MAX(0,B286-IF($A289&gt;='1-Input'!$C$12,'1-Input'!$B$12,0))))*(1/(1-'P-Parametri'!$B$6*B289))),MAX(0,5*MAX(0,B286-IF($A289&gt;='1-Input'!$C$12,'1-Input'!$B$12,0))-(F288-MIN(MAX(F288,0),MAX(0,B286-IF($A289&gt;='1-Input'!$C$12,'1-Input'!$B$12,0)))))*(1/(1-'P-Parametri'!$B$6*B289))))</f>
        <v>17675.340946701614</v>
      </c>
      <c r="D289" s="18">
        <f>IF($A289&gt;'1-Input'!$B$26,F288,(F288-MAX(0,B286-IF($A289&gt;='1-Input'!$C$12,'1-Input'!$B$12,0))+C289*(1-'P-Parametri'!$B$6*B289))*(1+'1-Input'!$B$27))</f>
        <v>83105.01757746574</v>
      </c>
      <c r="E289" s="18">
        <f>IF($A289&gt;'1-Input'!$B$26,G288,(G288-C289)*(1+'5-Roberta'!$C$4))</f>
        <v>348031.35800890549</v>
      </c>
      <c r="F289" s="18">
        <f>IF($A289&gt;'1-Input'!$B$26,D289,D289-'P-Parametri'!$B$8*(E289+D289)+MIN(MAX(E289,0),'P-Parametri'!$B$8*(E289+D289)))</f>
        <v>83105.01757746574</v>
      </c>
      <c r="G289" s="18">
        <f>IF($A289&gt;'1-Input'!$B$26,E289,E289-MIN(MAX(E289,0),'P-Parametri'!$B$8*(E289+D289)))</f>
        <v>347169.08525773278</v>
      </c>
      <c r="H289" s="18">
        <f>IF($A289&gt;'1-Input'!$B$26,H288,H288-C289*(1-B289))</f>
        <v>264788.8345612823</v>
      </c>
      <c r="I289" s="11">
        <f>IF($A289&gt;'1-Input'!$B$26,0,IF(N288&lt;=0,0,MAX(0,(N288-O288)/N288)))</f>
        <v>0.21635653419729478</v>
      </c>
      <c r="J289" s="18">
        <f>IF($A289&gt;'1-Input'!$B$26,0,(MAX(0,I286-IF($A289&gt;='1-Input'!$C$12,'1-Input'!$B$12,0))-MIN(MAX(M288,0),MAX(0,I286-IF($A289&gt;='1-Input'!$C$12,'1-Input'!$B$12,0))))*(1/(1-'P-Parametri'!$B$6*I289))+MIN(MAX(0,N288-(MAX(0,I286-IF($A289&gt;='1-Input'!$C$12,'1-Input'!$B$12,0))-MIN(MAX(M288,0),MAX(0,I286-IF($A289&gt;='1-Input'!$C$12,'1-Input'!$B$12,0))))*(1/(1-'P-Parametri'!$B$6*I289))),MAX(0,5*MAX(0,I286-IF($A289&gt;='1-Input'!$C$12,'1-Input'!$B$12,0))-(M288-MIN(MAX(M288,0),MAX(0,I286-IF($A289&gt;='1-Input'!$C$12,'1-Input'!$B$12,0)))))*(1/(1-'P-Parametri'!$B$6*I289))))</f>
        <v>23257.027561449489</v>
      </c>
      <c r="K289" s="18">
        <f>IF($A289&gt;'1-Input'!$B$26,M288,(M288-MAX(0,I286-IF($A289&gt;='1-Input'!$C$12,'1-Input'!$B$12,0))+J289*(1-'P-Parametri'!$B$6*I289))*(1+'1-Input'!$B$27))</f>
        <v>109348.70733877072</v>
      </c>
      <c r="L289" s="18">
        <f>IF($A289&gt;'1-Input'!$B$26,N288,(N288-J289)*(1+'5-Roberta'!$C$4))</f>
        <v>315153.55715245532</v>
      </c>
      <c r="M289" s="18">
        <f>IF($A289&gt;'1-Input'!$B$26,K289,K289-'P-Parametri'!$B$8*(L289+K289)+MIN(MAX(L289,0),'P-Parametri'!$B$8*(L289+K289)))</f>
        <v>109348.70733877072</v>
      </c>
      <c r="N289" s="18">
        <f>IF($A289&gt;'1-Input'!$B$26,L289,L289-MIN(MAX(L289,0),'P-Parametri'!$B$8*(L289+K289)))</f>
        <v>314304.55262347287</v>
      </c>
      <c r="O289" s="18">
        <f>IF($A289&gt;'1-Input'!$B$26,O288,O288-J289*(1-I289))</f>
        <v>239774.78231747673</v>
      </c>
      <c r="P289" s="11">
        <f>IF($A289&gt;'1-Input'!$B$26,0,IF(U288&lt;=0,0,MAX(0,(U288-V288)/U288)))</f>
        <v>0.21635653419729486</v>
      </c>
      <c r="Q289" s="18">
        <f>IF($A289&gt;'1-Input'!$B$26,0,(MAX(0,P286-IF($A289&gt;='1-Input'!$C$12,'1-Input'!$B$12,0))-MIN(MAX(T288,0),MAX(0,P286-IF($A289&gt;='1-Input'!$C$12,'1-Input'!$B$12,0))))*(1/(1-'P-Parametri'!$B$6*P289))+MIN(MAX(0,U288-(MAX(0,P286-IF($A289&gt;='1-Input'!$C$12,'1-Input'!$B$12,0))-MIN(MAX(T288,0),MAX(0,P286-IF($A289&gt;='1-Input'!$C$12,'1-Input'!$B$12,0))))*(1/(1-'P-Parametri'!$B$6*P289))),MAX(0,5*MAX(0,P286-IF($A289&gt;='1-Input'!$C$12,'1-Input'!$B$12,0))-(T288-MIN(MAX(T288,0),MAX(0,P286-IF($A289&gt;='1-Input'!$C$12,'1-Input'!$B$12,0)))))*(1/(1-'P-Parametri'!$B$6*P289))))</f>
        <v>18202.03916694731</v>
      </c>
      <c r="R289" s="18">
        <f>IF($A289&gt;'1-Input'!$B$26,T288,(T288-MAX(0,P286-IF($A289&gt;='1-Input'!$C$12,'1-Input'!$B$12,0))+Q289*(1-'P-Parametri'!$B$6*P289))*(1+'1-Input'!$B$27))</f>
        <v>85581.420436314511</v>
      </c>
      <c r="S289" s="18">
        <f>IF($A289&gt;'1-Input'!$B$26,U288,(U288-Q289)*(1+'5-Roberta'!$C$4))</f>
        <v>344928.94821919588</v>
      </c>
      <c r="T289" s="18">
        <f>IF($A289&gt;'1-Input'!$B$26,R289,R289-'P-Parametri'!$B$8*(S289+R289)+MIN(MAX(S289,0),'P-Parametri'!$B$8*(S289+R289)))</f>
        <v>85581.420436314511</v>
      </c>
      <c r="U289" s="18">
        <f>IF($A289&gt;'1-Input'!$B$26,S289,S289-MIN(MAX(S289,0),'P-Parametri'!$B$8*(S289+R289)))</f>
        <v>344067.92748188484</v>
      </c>
      <c r="V289" s="18">
        <f>IF($A289&gt;'1-Input'!$B$26,V288,V288-Q289*(1-P289))</f>
        <v>262428.4625613325</v>
      </c>
      <c r="W289" s="11">
        <f>IF($A289&gt;'1-Input'!$B$26,0,IF(AB288&lt;=0,0,MAX(0,(AB288-AC288)/AB288)))</f>
        <v>0.21635653419729484</v>
      </c>
      <c r="X289" s="18">
        <f>IF($A289&gt;'1-Input'!$B$26,0,(MAX(0,W286-IF($A289&gt;='1-Input'!$C$12,'1-Input'!$B$12,0))-MIN(MAX(AA288,0),MAX(0,W286-IF($A289&gt;='1-Input'!$C$12,'1-Input'!$B$12,0))))*(1/(1-'P-Parametri'!$B$6*W289))+MIN(MAX(0,AB288-(MAX(0,W286-IF($A289&gt;='1-Input'!$C$12,'1-Input'!$B$12,0))-MIN(MAX(AA288,0),MAX(0,W286-IF($A289&gt;='1-Input'!$C$12,'1-Input'!$B$12,0))))*(1/(1-'P-Parametri'!$B$6*W289))),MAX(0,5*MAX(0,W286-IF($A289&gt;='1-Input'!$C$12,'1-Input'!$B$12,0))-(AA288-MIN(MAX(AA288,0),MAX(0,W286-IF($A289&gt;='1-Input'!$C$12,'1-Input'!$B$12,0)))))*(1/(1-'P-Parametri'!$B$6*W289))))</f>
        <v>18145.311392981937</v>
      </c>
      <c r="Y289" s="18">
        <f>IF($A289&gt;'1-Input'!$B$26,AA288,(AA288-MAX(0,W286-IF($A289&gt;='1-Input'!$C$12,'1-Input'!$B$12,0))+X289*(1-'P-Parametri'!$B$6*W289))*(1+'1-Input'!$B$27))</f>
        <v>85314.700678730267</v>
      </c>
      <c r="Z289" s="18">
        <f>IF($A289&gt;'1-Input'!$B$26,AB288,(AB288-X289)*(1+'5-Roberta'!$C$4))</f>
        <v>345263.09174680553</v>
      </c>
      <c r="AA289" s="18">
        <f>IF($A289&gt;'1-Input'!$B$26,Y289,Y289-'P-Parametri'!$B$8*(Z289+Y289)+MIN(MAX(Z289,0),'P-Parametri'!$B$8*(Z289+Y289)))</f>
        <v>85314.700678730267</v>
      </c>
      <c r="AB289" s="18">
        <f>IF($A289&gt;'1-Input'!$B$26,Z289,Z289-MIN(MAX(Z289,0),'P-Parametri'!$B$8*(Z289+Y289)))</f>
        <v>344401.93616195448</v>
      </c>
      <c r="AC289" s="18">
        <f>IF($A289&gt;'1-Input'!$B$26,AC288,AC288-X289*(1-W289))</f>
        <v>262682.6852720622</v>
      </c>
      <c r="AD289" s="11">
        <f>IF($A289&gt;'1-Input'!$B$26,0,IF(AI288&lt;=0,0,MAX(0,(AI288-AJ288)/AI288)))</f>
        <v>0.21635653419729481</v>
      </c>
      <c r="AE289" s="18">
        <f>IF($A289&gt;'1-Input'!$B$26,0,(MAX(0,AD286-IF($A289&gt;='1-Input'!$C$12,'1-Input'!$B$12,0))-MIN(MAX(AH288,0),MAX(0,AD286-IF($A289&gt;='1-Input'!$C$12,'1-Input'!$B$12,0))))*(1/(1-'P-Parametri'!$B$6*AD289))+MIN(MAX(0,AI288-(MAX(0,AD286-IF($A289&gt;='1-Input'!$C$12,'1-Input'!$B$12,0))-MIN(MAX(AH288,0),MAX(0,AD286-IF($A289&gt;='1-Input'!$C$12,'1-Input'!$B$12,0))))*(1/(1-'P-Parametri'!$B$6*AD289))),MAX(0,5*MAX(0,AD286-IF($A289&gt;='1-Input'!$C$12,'1-Input'!$B$12,0))-(AH288-MIN(MAX(AH288,0),MAX(0,AD286-IF($A289&gt;='1-Input'!$C$12,'1-Input'!$B$12,0)))))*(1/(1-'P-Parametri'!$B$6*AD289))))</f>
        <v>18144.650795992919</v>
      </c>
      <c r="AF289" s="18">
        <f>IF($A289&gt;'1-Input'!$B$26,AH288,(AH288-MAX(0,AD286-IF($A289&gt;='1-Input'!$C$12,'1-Input'!$B$12,0))+AE289*(1-'P-Parametri'!$B$6*AD289))*(1+'1-Input'!$B$27))</f>
        <v>85311.594717462009</v>
      </c>
      <c r="AG289" s="18">
        <f>IF($A289&gt;'1-Input'!$B$26,AI288,(AI288-AE289)*(1+'5-Roberta'!$C$4))</f>
        <v>345266.98286032554</v>
      </c>
      <c r="AH289" s="18">
        <f>IF($A289&gt;'1-Input'!$B$26,AF289,AF289-'P-Parametri'!$B$8*(AG289+AF289)+MIN(MAX(AG289,0),'P-Parametri'!$B$8*(AG289+AF289)))</f>
        <v>85311.594717462009</v>
      </c>
      <c r="AI289" s="18">
        <f>IF($A289&gt;'1-Input'!$B$26,AG289,AG289-MIN(MAX(AG289,0),'P-Parametri'!$B$8*(AG289+AF289)))</f>
        <v>344405.82570516999</v>
      </c>
      <c r="AJ289" s="18">
        <f>IF($A289&gt;'1-Input'!$B$26,AJ288,AJ288-AE289*(1-AD289))</f>
        <v>262685.64570476575</v>
      </c>
      <c r="AK289" s="11">
        <f>IF($A289&gt;'1-Input'!$B$26,0,IF(AP288&lt;=0,0,MAX(0,(AP288-AQ288)/AP288)))</f>
        <v>0.21635653419729475</v>
      </c>
      <c r="AL289" s="18">
        <f>IF($A289&gt;'1-Input'!$B$26,0,(MAX(0,AK286-IF($A289&gt;='1-Input'!$C$12,'1-Input'!$B$12,0))-MIN(MAX(AO288,0),MAX(0,AK286-IF($A289&gt;='1-Input'!$C$12,'1-Input'!$B$12,0))))*(1/(1-'P-Parametri'!$B$6*AK289))+MIN(MAX(0,AP288-(MAX(0,AK286-IF($A289&gt;='1-Input'!$C$12,'1-Input'!$B$12,0))-MIN(MAX(AO288,0),MAX(0,AK286-IF($A289&gt;='1-Input'!$C$12,'1-Input'!$B$12,0))))*(1/(1-'P-Parametri'!$B$6*AK289))),MAX(0,5*MAX(0,AK286-IF($A289&gt;='1-Input'!$C$12,'1-Input'!$B$12,0))-(AO288-MIN(MAX(AO288,0),MAX(0,AK286-IF($A289&gt;='1-Input'!$C$12,'1-Input'!$B$12,0)))))*(1/(1-'P-Parametri'!$B$6*AK289))))</f>
        <v>18144.665802647411</v>
      </c>
      <c r="AM289" s="18">
        <f>IF($A289&gt;'1-Input'!$B$26,AO288,(AO288-MAX(0,AK286-IF($A289&gt;='1-Input'!$C$12,'1-Input'!$B$12,0))+AL289*(1-'P-Parametri'!$B$6*AK289))*(1+'1-Input'!$B$27))</f>
        <v>85311.6652749856</v>
      </c>
      <c r="AN289" s="18">
        <f>IF($A289&gt;'1-Input'!$B$26,AP288,(AP288-AL289)*(1+'5-Roberta'!$C$4))</f>
        <v>345266.89446664957</v>
      </c>
      <c r="AO289" s="18">
        <f>IF($A289&gt;'1-Input'!$B$26,AM289,AM289-'P-Parametri'!$B$8*(AN289+AM289)+MIN(MAX(AN289,0),'P-Parametri'!$B$8*(AN289+AM289)))</f>
        <v>85311.6652749856</v>
      </c>
      <c r="AP289" s="18">
        <f>IF($A289&gt;'1-Input'!$B$26,AN289,AN289-MIN(MAX(AN289,0),'P-Parametri'!$B$8*(AN289+AM289)))</f>
        <v>344405.73734716629</v>
      </c>
      <c r="AQ289" s="18">
        <f>IF($A289&gt;'1-Input'!$B$26,AQ288,AQ288-AL289*(1-AK289))</f>
        <v>262685.57845318655</v>
      </c>
    </row>
    <row r="290" spans="1:43">
      <c r="A290" s="10">
        <f>2</f>
        <v>2</v>
      </c>
      <c r="B290" s="11">
        <f>IF($A290&gt;'1-Input'!$B$26,0,IF(G289&lt;=0,0,MAX(0,(G289-H289)/G289)))</f>
        <v>0.23729143577197459</v>
      </c>
      <c r="C290" s="18">
        <f>IF($A290&gt;'1-Input'!$B$26,0,(MAX(0,B286-IF($A290&gt;='1-Input'!$C$12,'1-Input'!$B$12,0))-MIN(MAX(F289,0),MAX(0,B286-IF($A290&gt;='1-Input'!$C$12,'1-Input'!$B$12,0))))*(1/(1-'P-Parametri'!$B$6*B290))+MIN(MAX(0,G289-(MAX(0,B286-IF($A290&gt;='1-Input'!$C$12,'1-Input'!$B$12,0))-MIN(MAX(F289,0),MAX(0,B286-IF($A290&gt;='1-Input'!$C$12,'1-Input'!$B$12,0))))*(1/(1-'P-Parametri'!$B$6*B290))),MAX(0,5*MAX(0,B286-IF($A290&gt;='1-Input'!$C$12,'1-Input'!$B$12,0))-(F289-MIN(MAX(F289,0),MAX(0,B286-IF($A290&gt;='1-Input'!$C$12,'1-Input'!$B$12,0)))))*(1/(1-'P-Parametri'!$B$6*B290))))</f>
        <v>18097.876815523872</v>
      </c>
      <c r="D290" s="18">
        <f>IF($A290&gt;'1-Input'!$B$26,F289,(F289-MAX(0,B286-IF($A290&gt;='1-Input'!$C$12,'1-Input'!$B$12,0))+C290*(1-'P-Parametri'!$B$6*B290))*(1+'1-Input'!$B$27))</f>
        <v>83105.01757746574</v>
      </c>
      <c r="E290" s="18">
        <f>IF($A290&gt;'1-Input'!$B$26,G289,(G289-C290)*(1+'5-Roberta'!$C$4))</f>
        <v>338943.34469547519</v>
      </c>
      <c r="F290" s="18">
        <f>IF($A290&gt;'1-Input'!$B$26,D290,D290-'P-Parametri'!$B$8*(E290+D290)+MIN(MAX(E290,0),'P-Parametri'!$B$8*(E290+D290)))</f>
        <v>83105.01757746574</v>
      </c>
      <c r="G290" s="18">
        <f>IF($A290&gt;'1-Input'!$B$26,E290,E290-MIN(MAX(E290,0),'P-Parametri'!$B$8*(E290+D290)))</f>
        <v>338099.24797092931</v>
      </c>
      <c r="H290" s="18">
        <f>IF($A290&gt;'1-Input'!$B$26,H289,H289-C290*(1-B290))</f>
        <v>250985.42891973842</v>
      </c>
      <c r="I290" s="11">
        <f>IF($A290&gt;'1-Input'!$B$26,0,IF(N289&lt;=0,0,MAX(0,(N289-O289)/N289)))</f>
        <v>0.23712596487674967</v>
      </c>
      <c r="J290" s="18">
        <f>IF($A290&gt;'1-Input'!$B$26,0,(MAX(0,I286-IF($A290&gt;='1-Input'!$C$12,'1-Input'!$B$12,0))-MIN(MAX(M289,0),MAX(0,I286-IF($A290&gt;='1-Input'!$C$12,'1-Input'!$B$12,0))))*(1/(1-'P-Parametri'!$B$6*I290))+MIN(MAX(0,N289-(MAX(0,I286-IF($A290&gt;='1-Input'!$C$12,'1-Input'!$B$12,0))-MIN(MAX(M289,0),MAX(0,I286-IF($A290&gt;='1-Input'!$C$12,'1-Input'!$B$12,0))))*(1/(1-'P-Parametri'!$B$6*I290))),MAX(0,5*MAX(0,I286-IF($A290&gt;='1-Input'!$C$12,'1-Input'!$B$12,0))-(M289-MIN(MAX(M289,0),MAX(0,I286-IF($A290&gt;='1-Input'!$C$12,'1-Input'!$B$12,0)))))*(1/(1-'P-Parametri'!$B$6*I290))))</f>
        <v>23811.904004055094</v>
      </c>
      <c r="K290" s="18">
        <f>IF($A290&gt;'1-Input'!$B$26,M289,(M289-MAX(0,I286-IF($A290&gt;='1-Input'!$C$12,'1-Input'!$B$12,0))+J290*(1-'P-Parametri'!$B$6*I290))*(1+'1-Input'!$B$27))</f>
        <v>109348.70733877072</v>
      </c>
      <c r="L290" s="18">
        <f>IF($A290&gt;'1-Input'!$B$26,N289,(N289-J290)*(1+'5-Roberta'!$C$4))</f>
        <v>299207.42807800032</v>
      </c>
      <c r="M290" s="18">
        <f>IF($A290&gt;'1-Input'!$B$26,K290,K290-'P-Parametri'!$B$8*(L290+K290)+MIN(MAX(L290,0),'P-Parametri'!$B$8*(L290+K290)))</f>
        <v>109348.70733877072</v>
      </c>
      <c r="N290" s="18">
        <f>IF($A290&gt;'1-Input'!$B$26,L290,L290-MIN(MAX(L290,0),'P-Parametri'!$B$8*(L290+K290)))</f>
        <v>298390.3158071668</v>
      </c>
      <c r="O290" s="18">
        <f>IF($A290&gt;'1-Input'!$B$26,O289,O289-J290*(1-I290))</f>
        <v>221609.29902593573</v>
      </c>
      <c r="P290" s="11">
        <f>IF($A290&gt;'1-Input'!$B$26,0,IF(U289&lt;=0,0,MAX(0,(U289-V289)/U289)))</f>
        <v>0.2372771723247894</v>
      </c>
      <c r="Q290" s="18">
        <f>IF($A290&gt;'1-Input'!$B$26,0,(MAX(0,P286-IF($A290&gt;='1-Input'!$C$12,'1-Input'!$B$12,0))-MIN(MAX(T289,0),MAX(0,P286-IF($A290&gt;='1-Input'!$C$12,'1-Input'!$B$12,0))))*(1/(1-'P-Parametri'!$B$6*P290))+MIN(MAX(0,U289-(MAX(0,P286-IF($A290&gt;='1-Input'!$C$12,'1-Input'!$B$12,0))-MIN(MAX(T289,0),MAX(0,P286-IF($A290&gt;='1-Input'!$C$12,'1-Input'!$B$12,0))))*(1/(1-'P-Parametri'!$B$6*P290))),MAX(0,5*MAX(0,P286-IF($A290&gt;='1-Input'!$C$12,'1-Input'!$B$12,0))-(T289-MIN(MAX(T289,0),MAX(0,P286-IF($A290&gt;='1-Input'!$C$12,'1-Input'!$B$12,0)))))*(1/(1-'P-Parametri'!$B$6*P290))))</f>
        <v>18637.092300545806</v>
      </c>
      <c r="R290" s="18">
        <f>IF($A290&gt;'1-Input'!$B$26,T289,(T289-MAX(0,P286-IF($A290&gt;='1-Input'!$C$12,'1-Input'!$B$12,0))+Q290*(1-'P-Parametri'!$B$6*P290))*(1+'1-Input'!$B$27))</f>
        <v>85581.420436314511</v>
      </c>
      <c r="S290" s="18">
        <f>IF($A290&gt;'1-Input'!$B$26,U289,(U289-Q290)*(1+'5-Roberta'!$C$4))</f>
        <v>335193.76023677917</v>
      </c>
      <c r="T290" s="18">
        <f>IF($A290&gt;'1-Input'!$B$26,R290,R290-'P-Parametri'!$B$8*(S290+R290)+MIN(MAX(S290,0),'P-Parametri'!$B$8*(S290+R290)))</f>
        <v>85581.420436314511</v>
      </c>
      <c r="U290" s="18">
        <f>IF($A290&gt;'1-Input'!$B$26,S290,S290-MIN(MAX(S290,0),'P-Parametri'!$B$8*(S290+R290)))</f>
        <v>334352.20987543301</v>
      </c>
      <c r="V290" s="18">
        <f>IF($A290&gt;'1-Input'!$B$26,V289,V289-Q290*(1-P290))</f>
        <v>248213.52682221631</v>
      </c>
      <c r="W290" s="11">
        <f>IF($A290&gt;'1-Input'!$B$26,0,IF(AB289&lt;=0,0,MAX(0,(AB289-AC289)/AB289)))</f>
        <v>0.23727872090551758</v>
      </c>
      <c r="X290" s="18">
        <f>IF($A290&gt;'1-Input'!$B$26,0,(MAX(0,W286-IF($A290&gt;='1-Input'!$C$12,'1-Input'!$B$12,0))-MIN(MAX(AA289,0),MAX(0,W286-IF($A290&gt;='1-Input'!$C$12,'1-Input'!$B$12,0))))*(1/(1-'P-Parametri'!$B$6*W290))+MIN(MAX(0,AB289-(MAX(0,W286-IF($A290&gt;='1-Input'!$C$12,'1-Input'!$B$12,0))-MIN(MAX(AA289,0),MAX(0,W286-IF($A290&gt;='1-Input'!$C$12,'1-Input'!$B$12,0))))*(1/(1-'P-Parametri'!$B$6*W290))),MAX(0,5*MAX(0,W286-IF($A290&gt;='1-Input'!$C$12,'1-Input'!$B$12,0))-(AA289-MIN(MAX(AA289,0),MAX(0,W286-IF($A290&gt;='1-Input'!$C$12,'1-Input'!$B$12,0)))))*(1/(1-'P-Parametri'!$B$6*W290))))</f>
        <v>18579.016629062829</v>
      </c>
      <c r="Y290" s="18">
        <f>IF($A290&gt;'1-Input'!$B$26,AA289,(AA289-MAX(0,W286-IF($A290&gt;='1-Input'!$C$12,'1-Input'!$B$12,0))+X290*(1-'P-Parametri'!$B$6*W290))*(1+'1-Input'!$B$27))</f>
        <v>85314.700678730267</v>
      </c>
      <c r="Z290" s="18">
        <f>IF($A290&gt;'1-Input'!$B$26,AB289,(AB289-X290)*(1+'5-Roberta'!$C$4))</f>
        <v>335597.6071188784</v>
      </c>
      <c r="AA290" s="18">
        <f>IF($A290&gt;'1-Input'!$B$26,Y290,Y290-'P-Parametri'!$B$8*(Z290+Y290)+MIN(MAX(Z290,0),'P-Parametri'!$B$8*(Z290+Y290)))</f>
        <v>85314.700678730267</v>
      </c>
      <c r="AB290" s="18">
        <f>IF($A290&gt;'1-Input'!$B$26,Z290,Z290-MIN(MAX(Z290,0),'P-Parametri'!$B$8*(Z290+Y290)))</f>
        <v>334755.78250328318</v>
      </c>
      <c r="AC290" s="18">
        <f>IF($A290&gt;'1-Input'!$B$26,AC289,AC289-X290*(1-W290))</f>
        <v>248512.07394442573</v>
      </c>
      <c r="AD290" s="11">
        <f>IF($A290&gt;'1-Input'!$B$26,0,IF(AI289&lt;=0,0,MAX(0,(AI289-AJ289)/AI289)))</f>
        <v>0.2372787389211039</v>
      </c>
      <c r="AE290" s="18">
        <f>IF($A290&gt;'1-Input'!$B$26,0,(MAX(0,AD286-IF($A290&gt;='1-Input'!$C$12,'1-Input'!$B$12,0))-MIN(MAX(AH289,0),MAX(0,AD286-IF($A290&gt;='1-Input'!$C$12,'1-Input'!$B$12,0))))*(1/(1-'P-Parametri'!$B$6*AD290))+MIN(MAX(0,AI289-(MAX(0,AD286-IF($A290&gt;='1-Input'!$C$12,'1-Input'!$B$12,0))-MIN(MAX(AH289,0),MAX(0,AD286-IF($A290&gt;='1-Input'!$C$12,'1-Input'!$B$12,0))))*(1/(1-'P-Parametri'!$B$6*AD290))),MAX(0,5*MAX(0,AD286-IF($A290&gt;='1-Input'!$C$12,'1-Input'!$B$12,0))-(AH289-MIN(MAX(AH289,0),MAX(0,AD286-IF($A290&gt;='1-Input'!$C$12,'1-Input'!$B$12,0)))))*(1/(1-'P-Parametri'!$B$6*AD290))))</f>
        <v>18578.340335373588</v>
      </c>
      <c r="AF290" s="18">
        <f>IF($A290&gt;'1-Input'!$B$26,AH289,(AH289-MAX(0,AD286-IF($A290&gt;='1-Input'!$C$12,'1-Input'!$B$12,0))+AE290*(1-'P-Parametri'!$B$6*AD290))*(1+'1-Input'!$B$27))</f>
        <v>85311.594717462009</v>
      </c>
      <c r="AG290" s="18">
        <f>IF($A290&gt;'1-Input'!$B$26,AI289,(AI289-AE290)*(1+'5-Roberta'!$C$4))</f>
        <v>335602.30993089027</v>
      </c>
      <c r="AH290" s="18">
        <f>IF($A290&gt;'1-Input'!$B$26,AF290,AF290-'P-Parametri'!$B$8*(AG290+AF290)+MIN(MAX(AG290,0),'P-Parametri'!$B$8*(AG290+AF290)))</f>
        <v>85311.594717462009</v>
      </c>
      <c r="AI290" s="18">
        <f>IF($A290&gt;'1-Input'!$B$26,AG290,AG290-MIN(MAX(AG290,0),'P-Parametri'!$B$8*(AG290+AF290)))</f>
        <v>334760.48212159355</v>
      </c>
      <c r="AJ290" s="18">
        <f>IF($A290&gt;'1-Input'!$B$26,AJ289,AJ289-AE290*(1-AD290))</f>
        <v>248515.5505354167</v>
      </c>
      <c r="AK290" s="11">
        <f>IF($A290&gt;'1-Input'!$B$26,0,IF(AP289&lt;=0,0,MAX(0,(AP289-AQ289)/AP289)))</f>
        <v>0.23727873851185166</v>
      </c>
      <c r="AL290" s="18">
        <f>IF($A290&gt;'1-Input'!$B$26,0,(MAX(0,AK286-IF($A290&gt;='1-Input'!$C$12,'1-Input'!$B$12,0))-MIN(MAX(AO289,0),MAX(0,AK286-IF($A290&gt;='1-Input'!$C$12,'1-Input'!$B$12,0))))*(1/(1-'P-Parametri'!$B$6*AK290))+MIN(MAX(0,AP289-(MAX(0,AK286-IF($A290&gt;='1-Input'!$C$12,'1-Input'!$B$12,0))-MIN(MAX(AO289,0),MAX(0,AK286-IF($A290&gt;='1-Input'!$C$12,'1-Input'!$B$12,0))))*(1/(1-'P-Parametri'!$B$6*AK290))),MAX(0,5*MAX(0,AK286-IF($A290&gt;='1-Input'!$C$12,'1-Input'!$B$12,0))-(AO289-MIN(MAX(AO289,0),MAX(0,AK286-IF($A290&gt;='1-Input'!$C$12,'1-Input'!$B$12,0)))))*(1/(1-'P-Parametri'!$B$6*AK290))))</f>
        <v>18578.355698607098</v>
      </c>
      <c r="AM290" s="18">
        <f>IF($A290&gt;'1-Input'!$B$26,AO289,(AO289-MAX(0,AK286-IF($A290&gt;='1-Input'!$C$12,'1-Input'!$B$12,0))+AL290*(1-'P-Parametri'!$B$6*AK290))*(1+'1-Input'!$B$27))</f>
        <v>85311.6652749856</v>
      </c>
      <c r="AN290" s="18">
        <f>IF($A290&gt;'1-Input'!$B$26,AP289,(AP289-AL290)*(1+'5-Roberta'!$C$4))</f>
        <v>335602.20309801598</v>
      </c>
      <c r="AO290" s="18">
        <f>IF($A290&gt;'1-Input'!$B$26,AM290,AM290-'P-Parametri'!$B$8*(AN290+AM290)+MIN(MAX(AN290,0),'P-Parametri'!$B$8*(AN290+AM290)))</f>
        <v>85311.6652749856</v>
      </c>
      <c r="AP290" s="18">
        <f>IF($A290&gt;'1-Input'!$B$26,AN290,AN290-MIN(MAX(AN290,0),'P-Parametri'!$B$8*(AN290+AM290)))</f>
        <v>334760.37536126998</v>
      </c>
      <c r="AQ290" s="18">
        <f>IF($A290&gt;'1-Input'!$B$26,AQ289,AQ289-AL290*(1-AK290))</f>
        <v>248515.47155836941</v>
      </c>
    </row>
    <row r="291" spans="1:43">
      <c r="A291" s="10">
        <f>3</f>
        <v>3</v>
      </c>
      <c r="B291" s="11">
        <f>IF($A291&gt;'1-Input'!$B$26,0,IF(G290&lt;=0,0,MAX(0,(G290-H290)/G290)))</f>
        <v>0.25765753569106187</v>
      </c>
      <c r="C291" s="18">
        <f>IF($A291&gt;'1-Input'!$B$26,0,(MAX(0,B286-IF($A291&gt;='1-Input'!$C$12,'1-Input'!$B$12,0))-MIN(MAX(F290,0),MAX(0,B286-IF($A291&gt;='1-Input'!$C$12,'1-Input'!$B$12,0))))*(1/(1-'P-Parametri'!$B$6*B291))+MIN(MAX(0,G290-(MAX(0,B286-IF($A291&gt;='1-Input'!$C$12,'1-Input'!$B$12,0))-MIN(MAX(F290,0),MAX(0,B286-IF($A291&gt;='1-Input'!$C$12,'1-Input'!$B$12,0))))*(1/(1-'P-Parametri'!$B$6*B291))),MAX(0,5*MAX(0,B286-IF($A291&gt;='1-Input'!$C$12,'1-Input'!$B$12,0))-(F290-MIN(MAX(F290,0),MAX(0,B286-IF($A291&gt;='1-Input'!$C$12,'1-Input'!$B$12,0)))))*(1/(1-'P-Parametri'!$B$6*B291))))</f>
        <v>18200.589243142549</v>
      </c>
      <c r="D291" s="18">
        <f>IF($A291&gt;'1-Input'!$B$26,F290,(F290-MAX(0,B286-IF($A291&gt;='1-Input'!$C$12,'1-Input'!$B$12,0))+C291*(1-'P-Parametri'!$B$6*B291))*(1+'1-Input'!$B$27))</f>
        <v>83105.01757746574</v>
      </c>
      <c r="E291" s="18">
        <f>IF($A291&gt;'1-Input'!$B$26,G290,(G290-C291)*(1+'5-Roberta'!$C$4))</f>
        <v>329495.61848962033</v>
      </c>
      <c r="F291" s="18">
        <f>IF($A291&gt;'1-Input'!$B$26,D291,D291-'P-Parametri'!$B$8*(E291+D291)+MIN(MAX(E291,0),'P-Parametri'!$B$8*(E291+D291)))</f>
        <v>83105.01757746574</v>
      </c>
      <c r="G291" s="18">
        <f>IF($A291&gt;'1-Input'!$B$26,E291,E291-MIN(MAX(E291,0),'P-Parametri'!$B$8*(E291+D291)))</f>
        <v>328670.41721748619</v>
      </c>
      <c r="H291" s="18">
        <f>IF($A291&gt;'1-Input'!$B$26,H290,H290-C291*(1-B291))</f>
        <v>237474.35864910923</v>
      </c>
      <c r="I291" s="11">
        <f>IF($A291&gt;'1-Input'!$B$26,0,IF(N290&lt;=0,0,MAX(0,(N290-O290)/N290)))</f>
        <v>0.25731738837948887</v>
      </c>
      <c r="J291" s="18">
        <f>IF($A291&gt;'1-Input'!$B$26,0,(MAX(0,I286-IF($A291&gt;='1-Input'!$C$12,'1-Input'!$B$12,0))-MIN(MAX(M290,0),MAX(0,I286-IF($A291&gt;='1-Input'!$C$12,'1-Input'!$B$12,0))))*(1/(1-'P-Parametri'!$B$6*I291))+MIN(MAX(0,N290-(MAX(0,I286-IF($A291&gt;='1-Input'!$C$12,'1-Input'!$B$12,0))-MIN(MAX(M290,0),MAX(0,I286-IF($A291&gt;='1-Input'!$C$12,'1-Input'!$B$12,0))))*(1/(1-'P-Parametri'!$B$6*I291))),MAX(0,5*MAX(0,I286-IF($A291&gt;='1-Input'!$C$12,'1-Input'!$B$12,0))-(M290-MIN(MAX(M290,0),MAX(0,I286-IF($A291&gt;='1-Input'!$C$12,'1-Input'!$B$12,0)))))*(1/(1-'P-Parametri'!$B$6*I291))))</f>
        <v>23945.873953315644</v>
      </c>
      <c r="K291" s="18">
        <f>IF($A291&gt;'1-Input'!$B$26,M290,(M290-MAX(0,I286-IF($A291&gt;='1-Input'!$C$12,'1-Input'!$B$12,0))+J291*(1-'P-Parametri'!$B$6*I291))*(1+'1-Input'!$B$27))</f>
        <v>109348.70733877072</v>
      </c>
      <c r="L291" s="18">
        <f>IF($A291&gt;'1-Input'!$B$26,N290,(N290-J291)*(1+'5-Roberta'!$C$4))</f>
        <v>282677.77510946669</v>
      </c>
      <c r="M291" s="18">
        <f>IF($A291&gt;'1-Input'!$B$26,K291,K291-'P-Parametri'!$B$8*(L291+K291)+MIN(MAX(L291,0),'P-Parametri'!$B$8*(L291+K291)))</f>
        <v>109348.70733877072</v>
      </c>
      <c r="N291" s="18">
        <f>IF($A291&gt;'1-Input'!$B$26,L291,L291-MIN(MAX(L291,0),'P-Parametri'!$B$8*(L291+K291)))</f>
        <v>281893.7221445702</v>
      </c>
      <c r="O291" s="18">
        <f>IF($A291&gt;'1-Input'!$B$26,O290,O290-J291*(1-I291))</f>
        <v>203825.11482075171</v>
      </c>
      <c r="P291" s="11">
        <f>IF($A291&gt;'1-Input'!$B$26,0,IF(U290&lt;=0,0,MAX(0,(U290-V290)/U290)))</f>
        <v>0.25762857402769584</v>
      </c>
      <c r="Q291" s="18">
        <f>IF($A291&gt;'1-Input'!$B$26,0,(MAX(0,P286-IF($A291&gt;='1-Input'!$C$12,'1-Input'!$B$12,0))-MIN(MAX(T290,0),MAX(0,P286-IF($A291&gt;='1-Input'!$C$12,'1-Input'!$B$12,0))))*(1/(1-'P-Parametri'!$B$6*P291))+MIN(MAX(0,U290-(MAX(0,P286-IF($A291&gt;='1-Input'!$C$12,'1-Input'!$B$12,0))-MIN(MAX(T290,0),MAX(0,P286-IF($A291&gt;='1-Input'!$C$12,'1-Input'!$B$12,0))))*(1/(1-'P-Parametri'!$B$6*P291))),MAX(0,5*MAX(0,P286-IF($A291&gt;='1-Input'!$C$12,'1-Input'!$B$12,0))-(T290-MIN(MAX(T290,0),MAX(0,P286-IF($A291&gt;='1-Input'!$C$12,'1-Input'!$B$12,0)))))*(1/(1-'P-Parametri'!$B$6*P291))))</f>
        <v>18742.78779471682</v>
      </c>
      <c r="R291" s="18">
        <f>IF($A291&gt;'1-Input'!$B$26,T290,(T290-MAX(0,P286-IF($A291&gt;='1-Input'!$C$12,'1-Input'!$B$12,0))+Q291*(1-'P-Parametri'!$B$6*P291))*(1+'1-Input'!$B$27))</f>
        <v>85581.420436314511</v>
      </c>
      <c r="S291" s="18">
        <f>IF($A291&gt;'1-Input'!$B$26,U290,(U290-Q291)*(1+'5-Roberta'!$C$4))</f>
        <v>325077.70474313764</v>
      </c>
      <c r="T291" s="18">
        <f>IF($A291&gt;'1-Input'!$B$26,R291,R291-'P-Parametri'!$B$8*(S291+R291)+MIN(MAX(S291,0),'P-Parametri'!$B$8*(S291+R291)))</f>
        <v>85581.420436314511</v>
      </c>
      <c r="U291" s="18">
        <f>IF($A291&gt;'1-Input'!$B$26,S291,S291-MIN(MAX(S291,0),'P-Parametri'!$B$8*(S291+R291)))</f>
        <v>324256.38649277872</v>
      </c>
      <c r="V291" s="18">
        <f>IF($A291&gt;'1-Input'!$B$26,V290,V290-Q291*(1-P291))</f>
        <v>234299.41672035609</v>
      </c>
      <c r="W291" s="11">
        <f>IF($A291&gt;'1-Input'!$B$26,0,IF(AB290&lt;=0,0,MAX(0,(AB290-AC290)/AB290)))</f>
        <v>0.2576317215909828</v>
      </c>
      <c r="X291" s="18">
        <f>IF($A291&gt;'1-Input'!$B$26,0,(MAX(0,W286-IF($A291&gt;='1-Input'!$C$12,'1-Input'!$B$12,0))-MIN(MAX(AA290,0),MAX(0,W286-IF($A291&gt;='1-Input'!$C$12,'1-Input'!$B$12,0))))*(1/(1-'P-Parametri'!$B$6*W291))+MIN(MAX(0,AB290-(MAX(0,W286-IF($A291&gt;='1-Input'!$C$12,'1-Input'!$B$12,0))-MIN(MAX(AA290,0),MAX(0,W286-IF($A291&gt;='1-Input'!$C$12,'1-Input'!$B$12,0))))*(1/(1-'P-Parametri'!$B$6*W291))),MAX(0,5*MAX(0,W286-IF($A291&gt;='1-Input'!$C$12,'1-Input'!$B$12,0))-(AA290-MIN(MAX(AA290,0),MAX(0,W286-IF($A291&gt;='1-Input'!$C$12,'1-Input'!$B$12,0)))))*(1/(1-'P-Parametri'!$B$6*W291))))</f>
        <v>18684.391132844841</v>
      </c>
      <c r="Y291" s="18">
        <f>IF($A291&gt;'1-Input'!$B$26,AA290,(AA290-MAX(0,W286-IF($A291&gt;='1-Input'!$C$12,'1-Input'!$B$12,0))+X291*(1-'P-Parametri'!$B$6*W291))*(1+'1-Input'!$B$27))</f>
        <v>85314.700678730267</v>
      </c>
      <c r="Z291" s="18">
        <f>IF($A291&gt;'1-Input'!$B$26,AB290,(AB290-X291)*(1+'5-Roberta'!$C$4))</f>
        <v>325553.53311155149</v>
      </c>
      <c r="AA291" s="18">
        <f>IF($A291&gt;'1-Input'!$B$26,Y291,Y291-'P-Parametri'!$B$8*(Z291+Y291)+MIN(MAX(Z291,0),'P-Parametri'!$B$8*(Z291+Y291)))</f>
        <v>85314.700678730267</v>
      </c>
      <c r="AB291" s="18">
        <f>IF($A291&gt;'1-Input'!$B$26,Z291,Z291-MIN(MAX(Z291,0),'P-Parametri'!$B$8*(Z291+Y291)))</f>
        <v>324731.79664397094</v>
      </c>
      <c r="AC291" s="18">
        <f>IF($A291&gt;'1-Input'!$B$26,AC290,AC290-X291*(1-W291))</f>
        <v>234641.37466601501</v>
      </c>
      <c r="AD291" s="11">
        <f>IF($A291&gt;'1-Input'!$B$26,0,IF(AI290&lt;=0,0,MAX(0,(AI290-AJ290)/AI290)))</f>
        <v>0.25763175820391637</v>
      </c>
      <c r="AE291" s="18">
        <f>IF($A291&gt;'1-Input'!$B$26,0,(MAX(0,AD286-IF($A291&gt;='1-Input'!$C$12,'1-Input'!$B$12,0))-MIN(MAX(AH290,0),MAX(0,AD286-IF($A291&gt;='1-Input'!$C$12,'1-Input'!$B$12,0))))*(1/(1-'P-Parametri'!$B$6*AD291))+MIN(MAX(0,AI290-(MAX(0,AD286-IF($A291&gt;='1-Input'!$C$12,'1-Input'!$B$12,0))-MIN(MAX(AH290,0),MAX(0,AD286-IF($A291&gt;='1-Input'!$C$12,'1-Input'!$B$12,0))))*(1/(1-'P-Parametri'!$B$6*AD291))),MAX(0,5*MAX(0,AD286-IF($A291&gt;='1-Input'!$C$12,'1-Input'!$B$12,0))-(AH290-MIN(MAX(AH290,0),MAX(0,AD286-IF($A291&gt;='1-Input'!$C$12,'1-Input'!$B$12,0)))))*(1/(1-'P-Parametri'!$B$6*AD291))))</f>
        <v>18683.711100780951</v>
      </c>
      <c r="AF291" s="18">
        <f>IF($A291&gt;'1-Input'!$B$26,AH290,(AH290-MAX(0,AD286-IF($A291&gt;='1-Input'!$C$12,'1-Input'!$B$12,0))+AE291*(1-'P-Parametri'!$B$6*AD291))*(1+'1-Input'!$B$27))</f>
        <v>85311.594717462009</v>
      </c>
      <c r="AG291" s="18">
        <f>IF($A291&gt;'1-Input'!$B$26,AI290,(AI290-AE291)*(1+'5-Roberta'!$C$4))</f>
        <v>325559.07415143703</v>
      </c>
      <c r="AH291" s="18">
        <f>IF($A291&gt;'1-Input'!$B$26,AF291,AF291-'P-Parametri'!$B$8*(AG291+AF291)+MIN(MAX(AG291,0),'P-Parametri'!$B$8*(AG291+AF291)))</f>
        <v>85311.594717462009</v>
      </c>
      <c r="AI291" s="18">
        <f>IF($A291&gt;'1-Input'!$B$26,AG291,AG291-MIN(MAX(AG291,0),'P-Parametri'!$B$8*(AG291+AF291)))</f>
        <v>324737.33281369921</v>
      </c>
      <c r="AJ291" s="18">
        <f>IF($A291&gt;'1-Input'!$B$26,AJ290,AJ290-AE291*(1-AD291))</f>
        <v>234645.35677530398</v>
      </c>
      <c r="AK291" s="11">
        <f>IF($A291&gt;'1-Input'!$B$26,0,IF(AP290&lt;=0,0,MAX(0,(AP290-AQ290)/AP290)))</f>
        <v>0.25763175737219779</v>
      </c>
      <c r="AL291" s="18">
        <f>IF($A291&gt;'1-Input'!$B$26,0,(MAX(0,AK286-IF($A291&gt;='1-Input'!$C$12,'1-Input'!$B$12,0))-MIN(MAX(AO290,0),MAX(0,AK286-IF($A291&gt;='1-Input'!$C$12,'1-Input'!$B$12,0))))*(1/(1-'P-Parametri'!$B$6*AK291))+MIN(MAX(0,AP290-(MAX(0,AK286-IF($A291&gt;='1-Input'!$C$12,'1-Input'!$B$12,0))-MIN(MAX(AO290,0),MAX(0,AK286-IF($A291&gt;='1-Input'!$C$12,'1-Input'!$B$12,0))))*(1/(1-'P-Parametri'!$B$6*AK291))),MAX(0,5*MAX(0,AK286-IF($A291&gt;='1-Input'!$C$12,'1-Input'!$B$12,0))-(AO290-MIN(MAX(AO290,0),MAX(0,AK286-IF($A291&gt;='1-Input'!$C$12,'1-Input'!$B$12,0)))))*(1/(1-'P-Parametri'!$B$6*AK291))))</f>
        <v>18683.72654893851</v>
      </c>
      <c r="AM291" s="18">
        <f>IF($A291&gt;'1-Input'!$B$26,AO290,(AO290-MAX(0,AK286-IF($A291&gt;='1-Input'!$C$12,'1-Input'!$B$12,0))+AL291*(1-'P-Parametri'!$B$6*AK291))*(1+'1-Input'!$B$27))</f>
        <v>85311.6652749856</v>
      </c>
      <c r="AN291" s="18">
        <f>IF($A291&gt;'1-Input'!$B$26,AP290,(AP290-AL291)*(1+'5-Roberta'!$C$4))</f>
        <v>325558.94827670144</v>
      </c>
      <c r="AO291" s="18">
        <f>IF($A291&gt;'1-Input'!$B$26,AM291,AM291-'P-Parametri'!$B$8*(AN291+AM291)+MIN(MAX(AN291,0),'P-Parametri'!$B$8*(AN291+AM291)))</f>
        <v>85311.6652749856</v>
      </c>
      <c r="AP291" s="18">
        <f>IF($A291&gt;'1-Input'!$B$26,AN291,AN291-MIN(MAX(AN291,0),'P-Parametri'!$B$8*(AN291+AM291)))</f>
        <v>324737.20704959804</v>
      </c>
      <c r="AQ291" s="18">
        <f>IF($A291&gt;'1-Input'!$B$26,AQ290,AQ290-AL291*(1-AK291))</f>
        <v>234645.2663144955</v>
      </c>
    </row>
    <row r="292" spans="1:43">
      <c r="A292" s="10">
        <f>4</f>
        <v>4</v>
      </c>
      <c r="B292" s="11">
        <f>IF($A292&gt;'1-Input'!$B$26,0,IF(G291&lt;=0,0,MAX(0,(G291-H291)/G291)))</f>
        <v>0.27746962851247775</v>
      </c>
      <c r="C292" s="18">
        <f>IF($A292&gt;'1-Input'!$B$26,0,(MAX(0,B286-IF($A292&gt;='1-Input'!$C$12,'1-Input'!$B$12,0))-MIN(MAX(F291,0),MAX(0,B286-IF($A292&gt;='1-Input'!$C$12,'1-Input'!$B$12,0))))*(1/(1-'P-Parametri'!$B$6*B292))+MIN(MAX(0,G291-(MAX(0,B286-IF($A292&gt;='1-Input'!$C$12,'1-Input'!$B$12,0))-MIN(MAX(F291,0),MAX(0,B286-IF($A292&gt;='1-Input'!$C$12,'1-Input'!$B$12,0))))*(1/(1-'P-Parametri'!$B$6*B292))),MAX(0,5*MAX(0,B286-IF($A292&gt;='1-Input'!$C$12,'1-Input'!$B$12,0))-(F291-MIN(MAX(F291,0),MAX(0,B286-IF($A292&gt;='1-Input'!$C$12,'1-Input'!$B$12,0)))))*(1/(1-'P-Parametri'!$B$6*B292))))</f>
        <v>18301.632580546026</v>
      </c>
      <c r="D292" s="18">
        <f>IF($A292&gt;'1-Input'!$B$26,F291,(F291-MAX(0,B286-IF($A292&gt;='1-Input'!$C$12,'1-Input'!$B$12,0))+C292*(1-'P-Parametri'!$B$6*B292))*(1+'1-Input'!$B$27))</f>
        <v>83105.01757746574</v>
      </c>
      <c r="E292" s="18">
        <f>IF($A292&gt;'1-Input'!$B$26,G291,(G291-C292)*(1+'5-Roberta'!$C$4))</f>
        <v>319679.84817604837</v>
      </c>
      <c r="F292" s="18">
        <f>IF($A292&gt;'1-Input'!$B$26,D292,D292-'P-Parametri'!$B$8*(E292+D292)+MIN(MAX(E292,0),'P-Parametri'!$B$8*(E292+D292)))</f>
        <v>83105.01757746574</v>
      </c>
      <c r="G292" s="18">
        <f>IF($A292&gt;'1-Input'!$B$26,E292,E292-MIN(MAX(E292,0),'P-Parametri'!$B$8*(E292+D292)))</f>
        <v>318874.27844454133</v>
      </c>
      <c r="H292" s="18">
        <f>IF($A292&gt;'1-Input'!$B$26,H291,H291-C292*(1-B292))</f>
        <v>224250.87326185917</v>
      </c>
      <c r="I292" s="11">
        <f>IF($A292&gt;'1-Input'!$B$26,0,IF(N291&lt;=0,0,MAX(0,(N291-O291)/N291)))</f>
        <v>0.27694340523050287</v>
      </c>
      <c r="J292" s="18">
        <f>IF($A292&gt;'1-Input'!$B$26,0,(MAX(0,I286-IF($A292&gt;='1-Input'!$C$12,'1-Input'!$B$12,0))-MIN(MAX(M291,0),MAX(0,I286-IF($A292&gt;='1-Input'!$C$12,'1-Input'!$B$12,0))))*(1/(1-'P-Parametri'!$B$6*I292))+MIN(MAX(0,N291-(MAX(0,I286-IF($A292&gt;='1-Input'!$C$12,'1-Input'!$B$12,0))-MIN(MAX(M291,0),MAX(0,I286-IF($A292&gt;='1-Input'!$C$12,'1-Input'!$B$12,0))))*(1/(1-'P-Parametri'!$B$6*I292))),MAX(0,5*MAX(0,I286-IF($A292&gt;='1-Input'!$C$12,'1-Input'!$B$12,0))-(M291-MIN(MAX(M291,0),MAX(0,I286-IF($A292&gt;='1-Input'!$C$12,'1-Input'!$B$12,0)))))*(1/(1-'P-Parametri'!$B$6*I292))))</f>
        <v>24077.545126394041</v>
      </c>
      <c r="K292" s="18">
        <f>IF($A292&gt;'1-Input'!$B$26,M291,(M291-MAX(0,I286-IF($A292&gt;='1-Input'!$C$12,'1-Input'!$B$12,0))+J292*(1-'P-Parametri'!$B$6*I292))*(1+'1-Input'!$B$27))</f>
        <v>109348.70733877072</v>
      </c>
      <c r="L292" s="18">
        <f>IF($A292&gt;'1-Input'!$B$26,N291,(N291-J292)*(1+'5-Roberta'!$C$4))</f>
        <v>265550.66232872143</v>
      </c>
      <c r="M292" s="18">
        <f>IF($A292&gt;'1-Input'!$B$26,K292,K292-'P-Parametri'!$B$8*(L292+K292)+MIN(MAX(L292,0),'P-Parametri'!$B$8*(L292+K292)))</f>
        <v>109348.70733877072</v>
      </c>
      <c r="N292" s="18">
        <f>IF($A292&gt;'1-Input'!$B$26,L292,L292-MIN(MAX(L292,0),'P-Parametri'!$B$8*(L292+K292)))</f>
        <v>264800.86358938646</v>
      </c>
      <c r="O292" s="18">
        <f>IF($A292&gt;'1-Input'!$B$26,O291,O291-J292*(1-I292))</f>
        <v>186415.68703125234</v>
      </c>
      <c r="P292" s="11">
        <f>IF($A292&gt;'1-Input'!$B$26,0,IF(U291&lt;=0,0,MAX(0,(U291-V291)/U291)))</f>
        <v>0.27742543715303508</v>
      </c>
      <c r="Q292" s="18">
        <f>IF($A292&gt;'1-Input'!$B$26,0,(MAX(0,P286-IF($A292&gt;='1-Input'!$C$12,'1-Input'!$B$12,0))-MIN(MAX(T291,0),MAX(0,P286-IF($A292&gt;='1-Input'!$C$12,'1-Input'!$B$12,0))))*(1/(1-'P-Parametri'!$B$6*P292))+MIN(MAX(0,U291-(MAX(0,P286-IF($A292&gt;='1-Input'!$C$12,'1-Input'!$B$12,0))-MIN(MAX(T291,0),MAX(0,P286-IF($A292&gt;='1-Input'!$C$12,'1-Input'!$B$12,0))))*(1/(1-'P-Parametri'!$B$6*P292))),MAX(0,5*MAX(0,P286-IF($A292&gt;='1-Input'!$C$12,'1-Input'!$B$12,0))-(T291-MIN(MAX(T291,0),MAX(0,P286-IF($A292&gt;='1-Input'!$C$12,'1-Input'!$B$12,0)))))*(1/(1-'P-Parametri'!$B$6*P292))))</f>
        <v>18846.759955675738</v>
      </c>
      <c r="R292" s="18">
        <f>IF($A292&gt;'1-Input'!$B$26,T291,(T291-MAX(0,P286-IF($A292&gt;='1-Input'!$C$12,'1-Input'!$B$12,0))+Q292*(1-'P-Parametri'!$B$6*P292))*(1+'1-Input'!$B$27))</f>
        <v>85581.420436314511</v>
      </c>
      <c r="S292" s="18">
        <f>IF($A292&gt;'1-Input'!$B$26,U291,(U291-Q292)*(1+'5-Roberta'!$C$4))</f>
        <v>314571.91533321608</v>
      </c>
      <c r="T292" s="18">
        <f>IF($A292&gt;'1-Input'!$B$26,R292,R292-'P-Parametri'!$B$8*(S292+R292)+MIN(MAX(S292,0),'P-Parametri'!$B$8*(S292+R292)))</f>
        <v>85581.420436314511</v>
      </c>
      <c r="U292" s="18">
        <f>IF($A292&gt;'1-Input'!$B$26,S292,S292-MIN(MAX(S292,0),'P-Parametri'!$B$8*(S292+R292)))</f>
        <v>313771.60866167699</v>
      </c>
      <c r="V292" s="18">
        <f>IF($A292&gt;'1-Input'!$B$26,V291,V291-Q292*(1-P292))</f>
        <v>220681.22738430201</v>
      </c>
      <c r="W292" s="11">
        <f>IF($A292&gt;'1-Input'!$B$26,0,IF(AB291&lt;=0,0,MAX(0,(AB291-AC291)/AB291)))</f>
        <v>0.27743024523320442</v>
      </c>
      <c r="X292" s="18">
        <f>IF($A292&gt;'1-Input'!$B$26,0,(MAX(0,W286-IF($A292&gt;='1-Input'!$C$12,'1-Input'!$B$12,0))-MIN(MAX(AA291,0),MAX(0,W286-IF($A292&gt;='1-Input'!$C$12,'1-Input'!$B$12,0))))*(1/(1-'P-Parametri'!$B$6*W292))+MIN(MAX(0,AB291-(MAX(0,W286-IF($A292&gt;='1-Input'!$C$12,'1-Input'!$B$12,0))-MIN(MAX(AA291,0),MAX(0,W286-IF($A292&gt;='1-Input'!$C$12,'1-Input'!$B$12,0))))*(1/(1-'P-Parametri'!$B$6*W292))),MAX(0,5*MAX(0,W286-IF($A292&gt;='1-Input'!$C$12,'1-Input'!$B$12,0))-(AA291-MIN(MAX(AA291,0),MAX(0,W286-IF($A292&gt;='1-Input'!$C$12,'1-Input'!$B$12,0)))))*(1/(1-'P-Parametri'!$B$6*W292))))</f>
        <v>18788.048182521856</v>
      </c>
      <c r="Y292" s="18">
        <f>IF($A292&gt;'1-Input'!$B$26,AA291,(AA291-MAX(0,W286-IF($A292&gt;='1-Input'!$C$12,'1-Input'!$B$12,0))+X292*(1-'P-Parametri'!$B$6*W292))*(1+'1-Input'!$B$27))</f>
        <v>85314.700678730267</v>
      </c>
      <c r="Z292" s="18">
        <f>IF($A292&gt;'1-Input'!$B$26,AB291,(AB291-X292)*(1+'5-Roberta'!$C$4))</f>
        <v>315122.06091529259</v>
      </c>
      <c r="AA292" s="18">
        <f>IF($A292&gt;'1-Input'!$B$26,Y292,Y292-'P-Parametri'!$B$8*(Z292+Y292)+MIN(MAX(Z292,0),'P-Parametri'!$B$8*(Z292+Y292)))</f>
        <v>85314.700678730267</v>
      </c>
      <c r="AB292" s="18">
        <f>IF($A292&gt;'1-Input'!$B$26,Z292,Z292-MIN(MAX(Z292,0),'P-Parametri'!$B$8*(Z292+Y292)))</f>
        <v>314321.18739210453</v>
      </c>
      <c r="AC292" s="18">
        <f>IF($A292&gt;'1-Input'!$B$26,AC291,AC291-X292*(1-W292))</f>
        <v>221065.69929822345</v>
      </c>
      <c r="AD292" s="11">
        <f>IF($A292&gt;'1-Input'!$B$26,0,IF(AI291&lt;=0,0,MAX(0,(AI291-AJ291)/AI291)))</f>
        <v>0.27743030115382733</v>
      </c>
      <c r="AE292" s="18">
        <f>IF($A292&gt;'1-Input'!$B$26,0,(MAX(0,AD286-IF($A292&gt;='1-Input'!$C$12,'1-Input'!$B$12,0))-MIN(MAX(AH291,0),MAX(0,AD286-IF($A292&gt;='1-Input'!$C$12,'1-Input'!$B$12,0))))*(1/(1-'P-Parametri'!$B$6*AD292))+MIN(MAX(0,AI291-(MAX(0,AD286-IF($A292&gt;='1-Input'!$C$12,'1-Input'!$B$12,0))-MIN(MAX(AH291,0),MAX(0,AD286-IF($A292&gt;='1-Input'!$C$12,'1-Input'!$B$12,0))))*(1/(1-'P-Parametri'!$B$6*AD292))),MAX(0,5*MAX(0,AD286-IF($A292&gt;='1-Input'!$C$12,'1-Input'!$B$12,0))-(AH291-MIN(MAX(AH291,0),MAX(0,AD286-IF($A292&gt;='1-Input'!$C$12,'1-Input'!$B$12,0)))))*(1/(1-'P-Parametri'!$B$6*AD292))))</f>
        <v>18787.364480491691</v>
      </c>
      <c r="AF292" s="18">
        <f>IF($A292&gt;'1-Input'!$B$26,AH291,(AH291-MAX(0,AD286-IF($A292&gt;='1-Input'!$C$12,'1-Input'!$B$12,0))+AE292*(1-'P-Parametri'!$B$6*AD292))*(1+'1-Input'!$B$27))</f>
        <v>85311.594717462009</v>
      </c>
      <c r="AG292" s="18">
        <f>IF($A292&gt;'1-Input'!$B$26,AI291,(AI291-AE292)*(1+'5-Roberta'!$C$4))</f>
        <v>315128.4673832038</v>
      </c>
      <c r="AH292" s="18">
        <f>IF($A292&gt;'1-Input'!$B$26,AF292,AF292-'P-Parametri'!$B$8*(AG292+AF292)+MIN(MAX(AG292,0),'P-Parametri'!$B$8*(AG292+AF292)))</f>
        <v>85311.594717462009</v>
      </c>
      <c r="AI292" s="18">
        <f>IF($A292&gt;'1-Input'!$B$26,AG292,AG292-MIN(MAX(AG292,0),'P-Parametri'!$B$8*(AG292+AF292)))</f>
        <v>314327.58725900244</v>
      </c>
      <c r="AJ292" s="18">
        <f>IF($A292&gt;'1-Input'!$B$26,AJ291,AJ291-AE292*(1-AD292))</f>
        <v>221070.17648052183</v>
      </c>
      <c r="AK292" s="11">
        <f>IF($A292&gt;'1-Input'!$B$26,0,IF(AP291&lt;=0,0,MAX(0,(AP291-AQ291)/AP291)))</f>
        <v>0.27743029988350715</v>
      </c>
      <c r="AL292" s="18">
        <f>IF($A292&gt;'1-Input'!$B$26,0,(MAX(0,AK286-IF($A292&gt;='1-Input'!$C$12,'1-Input'!$B$12,0))-MIN(MAX(AO291,0),MAX(0,AK286-IF($A292&gt;='1-Input'!$C$12,'1-Input'!$B$12,0))))*(1/(1-'P-Parametri'!$B$6*AK292))+MIN(MAX(0,AP291-(MAX(0,AK286-IF($A292&gt;='1-Input'!$C$12,'1-Input'!$B$12,0))-MIN(MAX(AO291,0),MAX(0,AK286-IF($A292&gt;='1-Input'!$C$12,'1-Input'!$B$12,0))))*(1/(1-'P-Parametri'!$B$6*AK292))),MAX(0,5*MAX(0,AK286-IF($A292&gt;='1-Input'!$C$12,'1-Input'!$B$12,0))-(AO291-MIN(MAX(AO291,0),MAX(0,AK286-IF($A292&gt;='1-Input'!$C$12,'1-Input'!$B$12,0)))))*(1/(1-'P-Parametri'!$B$6*AK292))))</f>
        <v>18787.380012019286</v>
      </c>
      <c r="AM292" s="18">
        <f>IF($A292&gt;'1-Input'!$B$26,AO291,(AO291-MAX(0,AK286-IF($A292&gt;='1-Input'!$C$12,'1-Input'!$B$12,0))+AL292*(1-'P-Parametri'!$B$6*AK292))*(1+'1-Input'!$B$27))</f>
        <v>85311.6652749856</v>
      </c>
      <c r="AN292" s="18">
        <f>IF($A292&gt;'1-Input'!$B$26,AP291,(AP291-AL292)*(1+'5-Roberta'!$C$4))</f>
        <v>315128.32184870611</v>
      </c>
      <c r="AO292" s="18">
        <f>IF($A292&gt;'1-Input'!$B$26,AM292,AM292-'P-Parametri'!$B$8*(AN292+AM292)+MIN(MAX(AN292,0),'P-Parametri'!$B$8*(AN292+AM292)))</f>
        <v>85311.6652749856</v>
      </c>
      <c r="AP292" s="18">
        <f>IF($A292&gt;'1-Input'!$B$26,AN292,AN292-MIN(MAX(AN292,0),'P-Parametri'!$B$8*(AN292+AM292)))</f>
        <v>314327.44187445875</v>
      </c>
      <c r="AQ292" s="18">
        <f>IF($A292&gt;'1-Input'!$B$26,AQ291,AQ291-AL292*(1-AK292))</f>
        <v>221070.07477323612</v>
      </c>
    </row>
    <row r="293" spans="1:43">
      <c r="A293" s="10">
        <f>5</f>
        <v>5</v>
      </c>
      <c r="B293" s="11">
        <f>IF($A293&gt;'1-Input'!$B$26,0,IF(G292&lt;=0,0,MAX(0,(G292-H292)/G292)))</f>
        <v>0.29674204405652327</v>
      </c>
      <c r="C293" s="18">
        <f>IF($A293&gt;'1-Input'!$B$26,0,(MAX(0,B286-IF($A293&gt;='1-Input'!$C$12,'1-Input'!$B$12,0))-MIN(MAX(F292,0),MAX(0,B286-IF($A293&gt;='1-Input'!$C$12,'1-Input'!$B$12,0))))*(1/(1-'P-Parametri'!$B$6*B293))+MIN(MAX(0,G292-(MAX(0,B286-IF($A293&gt;='1-Input'!$C$12,'1-Input'!$B$12,0))-MIN(MAX(F292,0),MAX(0,B286-IF($A293&gt;='1-Input'!$C$12,'1-Input'!$B$12,0))))*(1/(1-'P-Parametri'!$B$6*B293))),MAX(0,5*MAX(0,B286-IF($A293&gt;='1-Input'!$C$12,'1-Input'!$B$12,0))-(F292-MIN(MAX(F292,0),MAX(0,B286-IF($A293&gt;='1-Input'!$C$12,'1-Input'!$B$12,0)))))*(1/(1-'P-Parametri'!$B$6*B293))))</f>
        <v>18401.005853610117</v>
      </c>
      <c r="D293" s="18">
        <f>IF($A293&gt;'1-Input'!$B$26,F292,(F292-MAX(0,B286-IF($A293&gt;='1-Input'!$C$12,'1-Input'!$B$12,0))+C293*(1-'P-Parametri'!$B$6*B293))*(1+'1-Input'!$B$27))</f>
        <v>83105.01757746574</v>
      </c>
      <c r="E293" s="18">
        <f>IF($A293&gt;'1-Input'!$B$26,G292,(G292-C293)*(1+'5-Roberta'!$C$4))</f>
        <v>309487.47076865914</v>
      </c>
      <c r="F293" s="18">
        <f>IF($A293&gt;'1-Input'!$B$26,D293,D293-'P-Parametri'!$B$8*(E293+D293)+MIN(MAX(E293,0),'P-Parametri'!$B$8*(E293+D293)))</f>
        <v>83105.01757746574</v>
      </c>
      <c r="G293" s="18">
        <f>IF($A293&gt;'1-Input'!$B$26,E293,E293-MIN(MAX(E293,0),'P-Parametri'!$B$8*(E293+D293)))</f>
        <v>308702.28579196689</v>
      </c>
      <c r="H293" s="18">
        <f>IF($A293&gt;'1-Input'!$B$26,H292,H292-C293*(1-B293))</f>
        <v>211310.21949794536</v>
      </c>
      <c r="I293" s="11">
        <f>IF($A293&gt;'1-Input'!$B$26,0,IF(N292&lt;=0,0,MAX(0,(N292-O292)/N292)))</f>
        <v>0.29601556239515187</v>
      </c>
      <c r="J293" s="18">
        <f>IF($A293&gt;'1-Input'!$B$26,0,(MAX(0,I286-IF($A293&gt;='1-Input'!$C$12,'1-Input'!$B$12,0))-MIN(MAX(M292,0),MAX(0,I286-IF($A293&gt;='1-Input'!$C$12,'1-Input'!$B$12,0))))*(1/(1-'P-Parametri'!$B$6*I293))+MIN(MAX(0,N292-(MAX(0,I286-IF($A293&gt;='1-Input'!$C$12,'1-Input'!$B$12,0))-MIN(MAX(M292,0),MAX(0,I286-IF($A293&gt;='1-Input'!$C$12,'1-Input'!$B$12,0))))*(1/(1-'P-Parametri'!$B$6*I293))),MAX(0,5*MAX(0,I286-IF($A293&gt;='1-Input'!$C$12,'1-Input'!$B$12,0))-(M292-MIN(MAX(M292,0),MAX(0,I286-IF($A293&gt;='1-Input'!$C$12,'1-Input'!$B$12,0)))))*(1/(1-'P-Parametri'!$B$6*I293))))</f>
        <v>24206.895221541126</v>
      </c>
      <c r="K293" s="18">
        <f>IF($A293&gt;'1-Input'!$B$26,M292,(M292-MAX(0,I286-IF($A293&gt;='1-Input'!$C$12,'1-Input'!$B$12,0))+J293*(1-'P-Parametri'!$B$6*I293))*(1+'1-Input'!$B$27))</f>
        <v>109348.70733877072</v>
      </c>
      <c r="L293" s="18">
        <f>IF($A293&gt;'1-Input'!$B$26,N292,(N292-J293)*(1+'5-Roberta'!$C$4))</f>
        <v>247811.7874188807</v>
      </c>
      <c r="M293" s="18">
        <f>IF($A293&gt;'1-Input'!$B$26,K293,K293-'P-Parametri'!$B$8*(L293+K293)+MIN(MAX(L293,0),'P-Parametri'!$B$8*(L293+K293)))</f>
        <v>109348.70733877072</v>
      </c>
      <c r="N293" s="18">
        <f>IF($A293&gt;'1-Input'!$B$26,L293,L293-MIN(MAX(L293,0),'P-Parametri'!$B$8*(L293+K293)))</f>
        <v>247097.46642936539</v>
      </c>
      <c r="O293" s="18">
        <f>IF($A293&gt;'1-Input'!$B$26,O292,O292-J293*(1-I293))</f>
        <v>169374.40951255622</v>
      </c>
      <c r="P293" s="11">
        <f>IF($A293&gt;'1-Input'!$B$26,0,IF(U292&lt;=0,0,MAX(0,(U292-V292)/U292)))</f>
        <v>0.29668197729689855</v>
      </c>
      <c r="Q293" s="18">
        <f>IF($A293&gt;'1-Input'!$B$26,0,(MAX(0,P286-IF($A293&gt;='1-Input'!$C$12,'1-Input'!$B$12,0))-MIN(MAX(T292,0),MAX(0,P286-IF($A293&gt;='1-Input'!$C$12,'1-Input'!$B$12,0))))*(1/(1-'P-Parametri'!$B$6*P293))+MIN(MAX(0,U292-(MAX(0,P286-IF($A293&gt;='1-Input'!$C$12,'1-Input'!$B$12,0))-MIN(MAX(T292,0),MAX(0,P286-IF($A293&gt;='1-Input'!$C$12,'1-Input'!$B$12,0))))*(1/(1-'P-Parametri'!$B$6*P293))),MAX(0,5*MAX(0,P286-IF($A293&gt;='1-Input'!$C$12,'1-Input'!$B$12,0))-(T292-MIN(MAX(T292,0),MAX(0,P286-IF($A293&gt;='1-Input'!$C$12,'1-Input'!$B$12,0)))))*(1/(1-'P-Parametri'!$B$6*P293))))</f>
        <v>18949.007107668265</v>
      </c>
      <c r="R293" s="18">
        <f>IF($A293&gt;'1-Input'!$B$26,T292,(T292-MAX(0,P286-IF($A293&gt;='1-Input'!$C$12,'1-Input'!$B$12,0))+Q293*(1-'P-Parametri'!$B$6*P293))*(1+'1-Input'!$B$27))</f>
        <v>85581.420436314511</v>
      </c>
      <c r="S293" s="18">
        <f>IF($A293&gt;'1-Input'!$B$26,U292,(U292-Q293)*(1+'5-Roberta'!$C$4))</f>
        <v>303667.279600629</v>
      </c>
      <c r="T293" s="18">
        <f>IF($A293&gt;'1-Input'!$B$26,R293,R293-'P-Parametri'!$B$8*(S293+R293)+MIN(MAX(S293,0),'P-Parametri'!$B$8*(S293+R293)))</f>
        <v>85581.420436314511</v>
      </c>
      <c r="U293" s="18">
        <f>IF($A293&gt;'1-Input'!$B$26,S293,S293-MIN(MAX(S293,0),'P-Parametri'!$B$8*(S293+R293)))</f>
        <v>302888.78220055514</v>
      </c>
      <c r="V293" s="18">
        <f>IF($A293&gt;'1-Input'!$B$26,V292,V292-Q293*(1-P293))</f>
        <v>207354.04917314975</v>
      </c>
      <c r="W293" s="11">
        <f>IF($A293&gt;'1-Input'!$B$26,0,IF(AB292&lt;=0,0,MAX(0,(AB292-AC292)/AB292)))</f>
        <v>0.29668852064225681</v>
      </c>
      <c r="X293" s="18">
        <f>IF($A293&gt;'1-Input'!$B$26,0,(MAX(0,W286-IF($A293&gt;='1-Input'!$C$12,'1-Input'!$B$12,0))-MIN(MAX(AA292,0),MAX(0,W286-IF($A293&gt;='1-Input'!$C$12,'1-Input'!$B$12,0))))*(1/(1-'P-Parametri'!$B$6*W293))+MIN(MAX(0,AB292-(MAX(0,W286-IF($A293&gt;='1-Input'!$C$12,'1-Input'!$B$12,0))-MIN(MAX(AA292,0),MAX(0,W286-IF($A293&gt;='1-Input'!$C$12,'1-Input'!$B$12,0))))*(1/(1-'P-Parametri'!$B$6*W293))),MAX(0,5*MAX(0,W286-IF($A293&gt;='1-Input'!$C$12,'1-Input'!$B$12,0))-(AA292-MIN(MAX(AA292,0),MAX(0,W286-IF($A293&gt;='1-Input'!$C$12,'1-Input'!$B$12,0)))))*(1/(1-'P-Parametri'!$B$6*W293))))</f>
        <v>18889.98618532384</v>
      </c>
      <c r="Y293" s="18">
        <f>IF($A293&gt;'1-Input'!$B$26,AA292,(AA292-MAX(0,W286-IF($A293&gt;='1-Input'!$C$12,'1-Input'!$B$12,0))+X293*(1-'P-Parametri'!$B$6*W293))*(1+'1-Input'!$B$27))</f>
        <v>85314.700678730267</v>
      </c>
      <c r="Z293" s="18">
        <f>IF($A293&gt;'1-Input'!$B$26,AB292,(AB292-X293)*(1+'5-Roberta'!$C$4))</f>
        <v>304294.13724298408</v>
      </c>
      <c r="AA293" s="18">
        <f>IF($A293&gt;'1-Input'!$B$26,Y293,Y293-'P-Parametri'!$B$8*(Z293+Y293)+MIN(MAX(Z293,0),'P-Parametri'!$B$8*(Z293+Y293)))</f>
        <v>85314.700678730267</v>
      </c>
      <c r="AB293" s="18">
        <f>IF($A293&gt;'1-Input'!$B$26,Z293,Z293-MIN(MAX(Z293,0),'P-Parametri'!$B$8*(Z293+Y293)))</f>
        <v>303514.91956714063</v>
      </c>
      <c r="AC293" s="18">
        <f>IF($A293&gt;'1-Input'!$B$26,AC292,AC292-X293*(1-W293))</f>
        <v>207780.155169176</v>
      </c>
      <c r="AD293" s="11">
        <f>IF($A293&gt;'1-Input'!$B$26,0,IF(AI292&lt;=0,0,MAX(0,(AI292-AJ292)/AI292)))</f>
        <v>0.29668859673343767</v>
      </c>
      <c r="AE293" s="18">
        <f>IF($A293&gt;'1-Input'!$B$26,0,(MAX(0,AD286-IF($A293&gt;='1-Input'!$C$12,'1-Input'!$B$12,0))-MIN(MAX(AH292,0),MAX(0,AD286-IF($A293&gt;='1-Input'!$C$12,'1-Input'!$B$12,0))))*(1/(1-'P-Parametri'!$B$6*AD293))+MIN(MAX(0,AI292-(MAX(0,AD286-IF($A293&gt;='1-Input'!$C$12,'1-Input'!$B$12,0))-MIN(MAX(AH292,0),MAX(0,AD286-IF($A293&gt;='1-Input'!$C$12,'1-Input'!$B$12,0))))*(1/(1-'P-Parametri'!$B$6*AD293))),MAX(0,5*MAX(0,AD286-IF($A293&gt;='1-Input'!$C$12,'1-Input'!$B$12,0))-(AH292-MIN(MAX(AH292,0),MAX(0,AD286-IF($A293&gt;='1-Input'!$C$12,'1-Input'!$B$12,0)))))*(1/(1-'P-Parametri'!$B$6*AD293))))</f>
        <v>18889.298882691077</v>
      </c>
      <c r="AF293" s="18">
        <f>IF($A293&gt;'1-Input'!$B$26,AH292,(AH292-MAX(0,AD286-IF($A293&gt;='1-Input'!$C$12,'1-Input'!$B$12,0))+AE293*(1-'P-Parametri'!$B$6*AD293))*(1+'1-Input'!$B$27))</f>
        <v>85311.594717462009</v>
      </c>
      <c r="AG293" s="18">
        <f>IF($A293&gt;'1-Input'!$B$26,AI292,(AI292-AE293)*(1+'5-Roberta'!$C$4))</f>
        <v>304301.43702760071</v>
      </c>
      <c r="AH293" s="18">
        <f>IF($A293&gt;'1-Input'!$B$26,AF293,AF293-'P-Parametri'!$B$8*(AG293+AF293)+MIN(MAX(AG293,0),'P-Parametri'!$B$8*(AG293+AF293)))</f>
        <v>85311.594717462009</v>
      </c>
      <c r="AI293" s="18">
        <f>IF($A293&gt;'1-Input'!$B$26,AG293,AG293-MIN(MAX(AG293,0),'P-Parametri'!$B$8*(AG293+AF293)))</f>
        <v>303522.21096411056</v>
      </c>
      <c r="AJ293" s="18">
        <f>IF($A293&gt;'1-Input'!$B$26,AJ292,AJ292-AE293*(1-AD293))</f>
        <v>207785.11717661485</v>
      </c>
      <c r="AK293" s="11">
        <f>IF($A293&gt;'1-Input'!$B$26,0,IF(AP292&lt;=0,0,MAX(0,(AP292-AQ292)/AP292)))</f>
        <v>0.29668859500491618</v>
      </c>
      <c r="AL293" s="18">
        <f>IF($A293&gt;'1-Input'!$B$26,0,(MAX(0,AK286-IF($A293&gt;='1-Input'!$C$12,'1-Input'!$B$12,0))-MIN(MAX(AO292,0),MAX(0,AK286-IF($A293&gt;='1-Input'!$C$12,'1-Input'!$B$12,0))))*(1/(1-'P-Parametri'!$B$6*AK293))+MIN(MAX(0,AP292-(MAX(0,AK286-IF($A293&gt;='1-Input'!$C$12,'1-Input'!$B$12,0))-MIN(MAX(AO292,0),MAX(0,AK286-IF($A293&gt;='1-Input'!$C$12,'1-Input'!$B$12,0))))*(1/(1-'P-Parametri'!$B$6*AK293))),MAX(0,5*MAX(0,AK286-IF($A293&gt;='1-Input'!$C$12,'1-Input'!$B$12,0))-(AO292-MIN(MAX(AO292,0),MAX(0,AK286-IF($A293&gt;='1-Input'!$C$12,'1-Input'!$B$12,0)))))*(1/(1-'P-Parametri'!$B$6*AK293))))</f>
        <v>18889.314496013012</v>
      </c>
      <c r="AM293" s="18">
        <f>IF($A293&gt;'1-Input'!$B$26,AO292,(AO292-MAX(0,AK286-IF($A293&gt;='1-Input'!$C$12,'1-Input'!$B$12,0))+AL293*(1-'P-Parametri'!$B$6*AK293))*(1+'1-Input'!$B$27))</f>
        <v>85311.6652749856</v>
      </c>
      <c r="AN293" s="18">
        <f>IF($A293&gt;'1-Input'!$B$26,AP292,(AP292-AL293)*(1+'5-Roberta'!$C$4))</f>
        <v>304301.27119979914</v>
      </c>
      <c r="AO293" s="18">
        <f>IF($A293&gt;'1-Input'!$B$26,AM293,AM293-'P-Parametri'!$B$8*(AN293+AM293)+MIN(MAX(AN293,0),'P-Parametri'!$B$8*(AN293+AM293)))</f>
        <v>85311.6652749856</v>
      </c>
      <c r="AP293" s="18">
        <f>IF($A293&gt;'1-Input'!$B$26,AN293,AN293-MIN(MAX(AN293,0),'P-Parametri'!$B$8*(AN293+AM293)))</f>
        <v>303522.04532684956</v>
      </c>
      <c r="AQ293" s="18">
        <f>IF($A293&gt;'1-Input'!$B$26,AQ292,AQ292-AL293*(1-AK293))</f>
        <v>207785.00445565121</v>
      </c>
    </row>
    <row r="294" spans="1:43">
      <c r="A294" s="10">
        <f>6</f>
        <v>6</v>
      </c>
      <c r="B294" s="11">
        <f>IF($A294&gt;'1-Input'!$B$26,0,IF(G293&lt;=0,0,MAX(0,(G293-H293)/G293)))</f>
        <v>0.31548864642892088</v>
      </c>
      <c r="C294" s="18">
        <f>IF($A294&gt;'1-Input'!$B$26,0,(MAX(0,B286-IF($A294&gt;='1-Input'!$C$12,'1-Input'!$B$12,0))-MIN(MAX(F293,0),MAX(0,B286-IF($A294&gt;='1-Input'!$C$12,'1-Input'!$B$12,0))))*(1/(1-'P-Parametri'!$B$6*B294))+MIN(MAX(0,G293-(MAX(0,B286-IF($A294&gt;='1-Input'!$C$12,'1-Input'!$B$12,0))-MIN(MAX(F293,0),MAX(0,B286-IF($A294&gt;='1-Input'!$C$12,'1-Input'!$B$12,0))))*(1/(1-'P-Parametri'!$B$6*B294))),MAX(0,5*MAX(0,B286-IF($A294&gt;='1-Input'!$C$12,'1-Input'!$B$12,0))-(F293-MIN(MAX(F293,0),MAX(0,B286-IF($A294&gt;='1-Input'!$C$12,'1-Input'!$B$12,0)))))*(1/(1-'P-Parametri'!$B$6*B294))))</f>
        <v>18498.70878506243</v>
      </c>
      <c r="D294" s="18">
        <f>IF($A294&gt;'1-Input'!$B$26,F293,(F293-MAX(0,B286-IF($A294&gt;='1-Input'!$C$12,'1-Input'!$B$12,0))+C294*(1-'P-Parametri'!$B$6*B294))*(1+'1-Input'!$B$27))</f>
        <v>83105.01757746574</v>
      </c>
      <c r="E294" s="18">
        <f>IF($A294&gt;'1-Input'!$B$26,G293,(G293-C294)*(1+'5-Roberta'!$C$4))</f>
        <v>298909.68431711162</v>
      </c>
      <c r="F294" s="18">
        <f>IF($A294&gt;'1-Input'!$B$26,D294,D294-'P-Parametri'!$B$8*(E294+D294)+MIN(MAX(E294,0),'P-Parametri'!$B$8*(E294+D294)))</f>
        <v>83105.01757746574</v>
      </c>
      <c r="G294" s="18">
        <f>IF($A294&gt;'1-Input'!$B$26,E294,E294-MIN(MAX(E294,0),'P-Parametri'!$B$8*(E294+D294)))</f>
        <v>298145.65491332248</v>
      </c>
      <c r="H294" s="18">
        <f>IF($A294&gt;'1-Input'!$B$26,H293,H293-C294*(1-B294))</f>
        <v>198647.64330816508</v>
      </c>
      <c r="I294" s="11">
        <f>IF($A294&gt;'1-Input'!$B$26,0,IF(N293&lt;=0,0,MAX(0,(N293-O293)/N293)))</f>
        <v>0.31454412722206876</v>
      </c>
      <c r="J294" s="18">
        <f>IF($A294&gt;'1-Input'!$B$26,0,(MAX(0,I286-IF($A294&gt;='1-Input'!$C$12,'1-Input'!$B$12,0))-MIN(MAX(M293,0),MAX(0,I286-IF($A294&gt;='1-Input'!$C$12,'1-Input'!$B$12,0))))*(1/(1-'P-Parametri'!$B$6*I294))+MIN(MAX(0,N293-(MAX(0,I286-IF($A294&gt;='1-Input'!$C$12,'1-Input'!$B$12,0))-MIN(MAX(M293,0),MAX(0,I286-IF($A294&gt;='1-Input'!$C$12,'1-Input'!$B$12,0))))*(1/(1-'P-Parametri'!$B$6*I294))),MAX(0,5*MAX(0,I286-IF($A294&gt;='1-Input'!$C$12,'1-Input'!$B$12,0))-(M293-MIN(MAX(M293,0),MAX(0,I286-IF($A294&gt;='1-Input'!$C$12,'1-Input'!$B$12,0)))))*(1/(1-'P-Parametri'!$B$6*I294))))</f>
        <v>24333.896522100007</v>
      </c>
      <c r="K294" s="18">
        <f>IF($A294&gt;'1-Input'!$B$26,M293,(M293-MAX(0,I286-IF($A294&gt;='1-Input'!$C$12,'1-Input'!$B$12,0))+J294*(1-'P-Parametri'!$B$6*I294))*(1+'1-Input'!$B$27))</f>
        <v>109348.70733877072</v>
      </c>
      <c r="L294" s="18">
        <f>IF($A294&gt;'1-Input'!$B$26,N293,(N293-J294)*(1+'5-Roberta'!$C$4))</f>
        <v>229446.47700448337</v>
      </c>
      <c r="M294" s="18">
        <f>IF($A294&gt;'1-Input'!$B$26,K294,K294-'P-Parametri'!$B$8*(L294+K294)+MIN(MAX(L294,0),'P-Parametri'!$B$8*(L294+K294)))</f>
        <v>109348.70733877072</v>
      </c>
      <c r="N294" s="18">
        <f>IF($A294&gt;'1-Input'!$B$26,L294,L294-MIN(MAX(L294,0),'P-Parametri'!$B$8*(L294+K294)))</f>
        <v>228768.88663579687</v>
      </c>
      <c r="O294" s="18">
        <f>IF($A294&gt;'1-Input'!$B$26,O293,O293-J294*(1-I294))</f>
        <v>152694.5972339123</v>
      </c>
      <c r="P294" s="11">
        <f>IF($A294&gt;'1-Input'!$B$26,0,IF(U293&lt;=0,0,MAX(0,(U293-V293)/U293)))</f>
        <v>0.31541192226837872</v>
      </c>
      <c r="Q294" s="18">
        <f>IF($A294&gt;'1-Input'!$B$26,0,(MAX(0,P286-IF($A294&gt;='1-Input'!$C$12,'1-Input'!$B$12,0))-MIN(MAX(T293,0),MAX(0,P286-IF($A294&gt;='1-Input'!$C$12,'1-Input'!$B$12,0))))*(1/(1-'P-Parametri'!$B$6*P294))+MIN(MAX(0,U293-(MAX(0,P286-IF($A294&gt;='1-Input'!$C$12,'1-Input'!$B$12,0))-MIN(MAX(T293,0),MAX(0,P286-IF($A294&gt;='1-Input'!$C$12,'1-Input'!$B$12,0))))*(1/(1-'P-Parametri'!$B$6*P294))),MAX(0,5*MAX(0,P286-IF($A294&gt;='1-Input'!$C$12,'1-Input'!$B$12,0))-(T293-MIN(MAX(T293,0),MAX(0,P286-IF($A294&gt;='1-Input'!$C$12,'1-Input'!$B$12,0)))))*(1/(1-'P-Parametri'!$B$6*P294))))</f>
        <v>19049.528150565744</v>
      </c>
      <c r="R294" s="18">
        <f>IF($A294&gt;'1-Input'!$B$26,T293,(T293-MAX(0,P286-IF($A294&gt;='1-Input'!$C$12,'1-Input'!$B$12,0))+Q294*(1-'P-Parametri'!$B$6*P294))*(1+'1-Input'!$B$27))</f>
        <v>85581.420436314511</v>
      </c>
      <c r="S294" s="18">
        <f>IF($A294&gt;'1-Input'!$B$26,U293,(U293-Q294)*(1+'5-Roberta'!$C$4))</f>
        <v>292354.43167148909</v>
      </c>
      <c r="T294" s="18">
        <f>IF($A294&gt;'1-Input'!$B$26,R294,R294-'P-Parametri'!$B$8*(S294+R294)+MIN(MAX(S294,0),'P-Parametri'!$B$8*(S294+R294)))</f>
        <v>85581.420436314511</v>
      </c>
      <c r="U294" s="18">
        <f>IF($A294&gt;'1-Input'!$B$26,S294,S294-MIN(MAX(S294,0),'P-Parametri'!$B$8*(S294+R294)))</f>
        <v>291598.5599672735</v>
      </c>
      <c r="V294" s="18">
        <f>IF($A294&gt;'1-Input'!$B$26,V293,V293-Q294*(1-P294))</f>
        <v>194312.96931485954</v>
      </c>
      <c r="W294" s="11">
        <f>IF($A294&gt;'1-Input'!$B$26,0,IF(AB293&lt;=0,0,MAX(0,(AB293-AC293)/AB293)))</f>
        <v>0.31542029147857792</v>
      </c>
      <c r="X294" s="18">
        <f>IF($A294&gt;'1-Input'!$B$26,0,(MAX(0,W286-IF($A294&gt;='1-Input'!$C$12,'1-Input'!$B$12,0))-MIN(MAX(AA293,0),MAX(0,W286-IF($A294&gt;='1-Input'!$C$12,'1-Input'!$B$12,0))))*(1/(1-'P-Parametri'!$B$6*W294))+MIN(MAX(0,AB293-(MAX(0,W286-IF($A294&gt;='1-Input'!$C$12,'1-Input'!$B$12,0))-MIN(MAX(AA293,0),MAX(0,W286-IF($A294&gt;='1-Input'!$C$12,'1-Input'!$B$12,0))))*(1/(1-'P-Parametri'!$B$6*W294))),MAX(0,5*MAX(0,W286-IF($A294&gt;='1-Input'!$C$12,'1-Input'!$B$12,0))-(AA293-MIN(MAX(AA293,0),MAX(0,W286-IF($A294&gt;='1-Input'!$C$12,'1-Input'!$B$12,0)))))*(1/(1-'P-Parametri'!$B$6*W294))))</f>
        <v>18990.204139141457</v>
      </c>
      <c r="Y294" s="18">
        <f>IF($A294&gt;'1-Input'!$B$26,AA293,(AA293-MAX(0,W286-IF($A294&gt;='1-Input'!$C$12,'1-Input'!$B$12,0))+X294*(1-'P-Parametri'!$B$6*W294))*(1+'1-Input'!$B$27))</f>
        <v>85314.700678730267</v>
      </c>
      <c r="Z294" s="18">
        <f>IF($A294&gt;'1-Input'!$B$26,AB293,(AB293-X294)*(1+'5-Roberta'!$C$4))</f>
        <v>293060.45689083915</v>
      </c>
      <c r="AA294" s="18">
        <f>IF($A294&gt;'1-Input'!$B$26,Y294,Y294-'P-Parametri'!$B$8*(Z294+Y294)+MIN(MAX(Z294,0),'P-Parametri'!$B$8*(Z294+Y294)))</f>
        <v>85314.700678730267</v>
      </c>
      <c r="AB294" s="18">
        <f>IF($A294&gt;'1-Input'!$B$26,Z294,Z294-MIN(MAX(Z294,0),'P-Parametri'!$B$8*(Z294+Y294)))</f>
        <v>292303.70657570002</v>
      </c>
      <c r="AC294" s="18">
        <f>IF($A294&gt;'1-Input'!$B$26,AC293,AC293-X294*(1-W294))</f>
        <v>194779.84675484023</v>
      </c>
      <c r="AD294" s="11">
        <f>IF($A294&gt;'1-Input'!$B$26,0,IF(AI293&lt;=0,0,MAX(0,(AI293-AJ293)/AI293)))</f>
        <v>0.31542038878603179</v>
      </c>
      <c r="AE294" s="18">
        <f>IF($A294&gt;'1-Input'!$B$26,0,(MAX(0,AD286-IF($A294&gt;='1-Input'!$C$12,'1-Input'!$B$12,0))-MIN(MAX(AH293,0),MAX(0,AD286-IF($A294&gt;='1-Input'!$C$12,'1-Input'!$B$12,0))))*(1/(1-'P-Parametri'!$B$6*AD294))+MIN(MAX(0,AI293-(MAX(0,AD286-IF($A294&gt;='1-Input'!$C$12,'1-Input'!$B$12,0))-MIN(MAX(AH293,0),MAX(0,AD286-IF($A294&gt;='1-Input'!$C$12,'1-Input'!$B$12,0))))*(1/(1-'P-Parametri'!$B$6*AD294))),MAX(0,5*MAX(0,AD286-IF($A294&gt;='1-Input'!$C$12,'1-Input'!$B$12,0))-(AH293-MIN(MAX(AH293,0),MAX(0,AD286-IF($A294&gt;='1-Input'!$C$12,'1-Input'!$B$12,0)))))*(1/(1-'P-Parametri'!$B$6*AD294))))</f>
        <v>18989.513306397155</v>
      </c>
      <c r="AF294" s="18">
        <f>IF($A294&gt;'1-Input'!$B$26,AH293,(AH293-MAX(0,AD286-IF($A294&gt;='1-Input'!$C$12,'1-Input'!$B$12,0))+AE294*(1-'P-Parametri'!$B$6*AD294))*(1+'1-Input'!$B$27))</f>
        <v>85311.594717462009</v>
      </c>
      <c r="AG294" s="18">
        <f>IF($A294&gt;'1-Input'!$B$26,AI293,(AI293-AE294)*(1+'5-Roberta'!$C$4))</f>
        <v>293068.67858744483</v>
      </c>
      <c r="AH294" s="18">
        <f>IF($A294&gt;'1-Input'!$B$26,AF294,AF294-'P-Parametri'!$B$8*(AG294+AF294)+MIN(MAX(AG294,0),'P-Parametri'!$B$8*(AG294+AF294)))</f>
        <v>85311.594717462009</v>
      </c>
      <c r="AI294" s="18">
        <f>IF($A294&gt;'1-Input'!$B$26,AG294,AG294-MIN(MAX(AG294,0),'P-Parametri'!$B$8*(AG294+AF294)))</f>
        <v>292311.91804083501</v>
      </c>
      <c r="AJ294" s="18">
        <f>IF($A294&gt;'1-Input'!$B$26,AJ293,AJ293-AE294*(1-AD294))</f>
        <v>194785.28354017902</v>
      </c>
      <c r="AK294" s="11">
        <f>IF($A294&gt;'1-Input'!$B$26,0,IF(AP293&lt;=0,0,MAX(0,(AP293-AQ293)/AP293)))</f>
        <v>0.3154203865755561</v>
      </c>
      <c r="AL294" s="18">
        <f>IF($A294&gt;'1-Input'!$B$26,0,(MAX(0,AK286-IF($A294&gt;='1-Input'!$C$12,'1-Input'!$B$12,0))-MIN(MAX(AO293,0),MAX(0,AK286-IF($A294&gt;='1-Input'!$C$12,'1-Input'!$B$12,0))))*(1/(1-'P-Parametri'!$B$6*AK294))+MIN(MAX(0,AP293-(MAX(0,AK286-IF($A294&gt;='1-Input'!$C$12,'1-Input'!$B$12,0))-MIN(MAX(AO293,0),MAX(0,AK286-IF($A294&gt;='1-Input'!$C$12,'1-Input'!$B$12,0))))*(1/(1-'P-Parametri'!$B$6*AK294))),MAX(0,5*MAX(0,AK286-IF($A294&gt;='1-Input'!$C$12,'1-Input'!$B$12,0))-(AO293-MIN(MAX(AO293,0),MAX(0,AK286-IF($A294&gt;='1-Input'!$C$12,'1-Input'!$B$12,0)))))*(1/(1-'P-Parametri'!$B$6*AK294))))</f>
        <v>18989.528999912112</v>
      </c>
      <c r="AM294" s="18">
        <f>IF($A294&gt;'1-Input'!$B$26,AO293,(AO293-MAX(0,AK286-IF($A294&gt;='1-Input'!$C$12,'1-Input'!$B$12,0))+AL294*(1-'P-Parametri'!$B$6*AK294))*(1+'1-Input'!$B$27))</f>
        <v>85311.6652749856</v>
      </c>
      <c r="AN294" s="18">
        <f>IF($A294&gt;'1-Input'!$B$26,AP293,(AP293-AL294)*(1+'5-Roberta'!$C$4))</f>
        <v>293068.49181674561</v>
      </c>
      <c r="AO294" s="18">
        <f>IF($A294&gt;'1-Input'!$B$26,AM294,AM294-'P-Parametri'!$B$8*(AN294+AM294)+MIN(MAX(AN294,0),'P-Parametri'!$B$8*(AN294+AM294)))</f>
        <v>85311.6652749856</v>
      </c>
      <c r="AP294" s="18">
        <f>IF($A294&gt;'1-Input'!$B$26,AN294,AN294-MIN(MAX(AN294,0),'P-Parametri'!$B$8*(AN294+AM294)))</f>
        <v>292311.73150256212</v>
      </c>
      <c r="AQ294" s="18">
        <f>IF($A294&gt;'1-Input'!$B$26,AQ293,AQ293-AL294*(1-AK294))</f>
        <v>194785.1600337791</v>
      </c>
    </row>
    <row r="295" spans="1:43">
      <c r="A295" s="10">
        <f>7</f>
        <v>7</v>
      </c>
      <c r="B295" s="11">
        <f>IF($A295&gt;'1-Input'!$B$26,0,IF(G294&lt;=0,0,MAX(0,(G294-H294)/G294)))</f>
        <v>0.33372282964876232</v>
      </c>
      <c r="C295" s="18">
        <f>IF($A295&gt;'1-Input'!$B$26,0,(MAX(0,B286-IF($A295&gt;='1-Input'!$C$12,'1-Input'!$B$12,0))-MIN(MAX(F294,0),MAX(0,B286-IF($A295&gt;='1-Input'!$C$12,'1-Input'!$B$12,0))))*(1/(1-'P-Parametri'!$B$6*B295))+MIN(MAX(0,G294-(MAX(0,B286-IF($A295&gt;='1-Input'!$C$12,'1-Input'!$B$12,0))-MIN(MAX(F294,0),MAX(0,B286-IF($A295&gt;='1-Input'!$C$12,'1-Input'!$B$12,0))))*(1/(1-'P-Parametri'!$B$6*B295))),MAX(0,5*MAX(0,B286-IF($A295&gt;='1-Input'!$C$12,'1-Input'!$B$12,0))-(F294-MIN(MAX(F294,0),MAX(0,B286-IF($A295&gt;='1-Input'!$C$12,'1-Input'!$B$12,0)))))*(1/(1-'P-Parametri'!$B$6*B295))))</f>
        <v>18594.741659083953</v>
      </c>
      <c r="D295" s="18">
        <f>IF($A295&gt;'1-Input'!$B$26,F294,(F294-MAX(0,B286-IF($A295&gt;='1-Input'!$C$12,'1-Input'!$B$12,0))+C295*(1-'P-Parametri'!$B$6*B295))*(1+'1-Input'!$B$27))</f>
        <v>83105.01757746574</v>
      </c>
      <c r="E295" s="18">
        <f>IF($A295&gt;'1-Input'!$B$26,G294,(G294-C295)*(1+'5-Roberta'!$C$4))</f>
        <v>287937.44065186573</v>
      </c>
      <c r="F295" s="18">
        <f>IF($A295&gt;'1-Input'!$B$26,D295,D295-'P-Parametri'!$B$8*(E295+D295)+MIN(MAX(E295,0),'P-Parametri'!$B$8*(E295+D295)))</f>
        <v>83105.01757746574</v>
      </c>
      <c r="G295" s="18">
        <f>IF($A295&gt;'1-Input'!$B$26,E295,E295-MIN(MAX(E295,0),'P-Parametri'!$B$8*(E295+D295)))</f>
        <v>287195.35573540709</v>
      </c>
      <c r="H295" s="18">
        <f>IF($A295&gt;'1-Input'!$B$26,H294,H294-C295*(1-B295))</f>
        <v>186258.39145213834</v>
      </c>
      <c r="I295" s="11">
        <f>IF($A295&gt;'1-Input'!$B$26,0,IF(N294&lt;=0,0,MAX(0,(N294-O294)/N294)))</f>
        <v>0.33253774374920075</v>
      </c>
      <c r="J295" s="18">
        <f>IF($A295&gt;'1-Input'!$B$26,0,(MAX(0,I286-IF($A295&gt;='1-Input'!$C$12,'1-Input'!$B$12,0))-MIN(MAX(M294,0),MAX(0,I286-IF($A295&gt;='1-Input'!$C$12,'1-Input'!$B$12,0))))*(1/(1-'P-Parametri'!$B$6*I295))+MIN(MAX(0,N294-(MAX(0,I286-IF($A295&gt;='1-Input'!$C$12,'1-Input'!$B$12,0))-MIN(MAX(M294,0),MAX(0,I286-IF($A295&gt;='1-Input'!$C$12,'1-Input'!$B$12,0))))*(1/(1-'P-Parametri'!$B$6*I295))),MAX(0,5*MAX(0,I286-IF($A295&gt;='1-Input'!$C$12,'1-Input'!$B$12,0))-(M294-MIN(MAX(M294,0),MAX(0,I286-IF($A295&gt;='1-Input'!$C$12,'1-Input'!$B$12,0)))))*(1/(1-'P-Parametri'!$B$6*I295))))</f>
        <v>24458.51309655443</v>
      </c>
      <c r="K295" s="18">
        <f>IF($A295&gt;'1-Input'!$B$26,M294,(M294-MAX(0,I286-IF($A295&gt;='1-Input'!$C$12,'1-Input'!$B$12,0))+J295*(1-'P-Parametri'!$B$6*I295))*(1+'1-Input'!$B$27))</f>
        <v>109348.70733877072</v>
      </c>
      <c r="L295" s="18">
        <f>IF($A295&gt;'1-Input'!$B$26,N294,(N294-J295)*(1+'5-Roberta'!$C$4))</f>
        <v>210439.68474541971</v>
      </c>
      <c r="M295" s="18">
        <f>IF($A295&gt;'1-Input'!$B$26,K295,K295-'P-Parametri'!$B$8*(L295+K295)+MIN(MAX(L295,0),'P-Parametri'!$B$8*(L295+K295)))</f>
        <v>109348.70733877072</v>
      </c>
      <c r="N295" s="18">
        <f>IF($A295&gt;'1-Input'!$B$26,L295,L295-MIN(MAX(L295,0),'P-Parametri'!$B$8*(L295+K295)))</f>
        <v>209800.10796125134</v>
      </c>
      <c r="O295" s="18">
        <f>IF($A295&gt;'1-Input'!$B$26,O294,O294-J295*(1-I295))</f>
        <v>136369.46289794636</v>
      </c>
      <c r="P295" s="11">
        <f>IF($A295&gt;'1-Input'!$B$26,0,IF(U294&lt;=0,0,MAX(0,(U294-V294)/U294)))</f>
        <v>0.3336285016748109</v>
      </c>
      <c r="Q295" s="18">
        <f>IF($A295&gt;'1-Input'!$B$26,0,(MAX(0,P286-IF($A295&gt;='1-Input'!$C$12,'1-Input'!$B$12,0))-MIN(MAX(T294,0),MAX(0,P286-IF($A295&gt;='1-Input'!$C$12,'1-Input'!$B$12,0))))*(1/(1-'P-Parametri'!$B$6*P295))+MIN(MAX(0,U294-(MAX(0,P286-IF($A295&gt;='1-Input'!$C$12,'1-Input'!$B$12,0))-MIN(MAX(T294,0),MAX(0,P286-IF($A295&gt;='1-Input'!$C$12,'1-Input'!$B$12,0))))*(1/(1-'P-Parametri'!$B$6*P295))),MAX(0,5*MAX(0,P286-IF($A295&gt;='1-Input'!$C$12,'1-Input'!$B$12,0))-(T294-MIN(MAX(T294,0),MAX(0,P286-IF($A295&gt;='1-Input'!$C$12,'1-Input'!$B$12,0)))))*(1/(1-'P-Parametri'!$B$6*P295))))</f>
        <v>19148.322382116352</v>
      </c>
      <c r="R295" s="18">
        <f>IF($A295&gt;'1-Input'!$B$26,T294,(T294-MAX(0,P286-IF($A295&gt;='1-Input'!$C$12,'1-Input'!$B$12,0))+Q295*(1-'P-Parametri'!$B$6*P295))*(1+'1-Input'!$B$27))</f>
        <v>85581.420436314511</v>
      </c>
      <c r="S295" s="18">
        <f>IF($A295&gt;'1-Input'!$B$26,U294,(U294-Q295)*(1+'5-Roberta'!$C$4))</f>
        <v>280623.74471271189</v>
      </c>
      <c r="T295" s="18">
        <f>IF($A295&gt;'1-Input'!$B$26,R295,R295-'P-Parametri'!$B$8*(S295+R295)+MIN(MAX(S295,0),'P-Parametri'!$B$8*(S295+R295)))</f>
        <v>85581.420436314511</v>
      </c>
      <c r="U295" s="18">
        <f>IF($A295&gt;'1-Input'!$B$26,S295,S295-MIN(MAX(S295,0),'P-Parametri'!$B$8*(S295+R295)))</f>
        <v>279891.33438241383</v>
      </c>
      <c r="V295" s="18">
        <f>IF($A295&gt;'1-Input'!$B$26,V294,V294-Q295*(1-P295))</f>
        <v>181553.07303867492</v>
      </c>
      <c r="W295" s="11">
        <f>IF($A295&gt;'1-Input'!$B$26,0,IF(AB294&lt;=0,0,MAX(0,(AB294-AC294)/AB294)))</f>
        <v>0.33363880658011202</v>
      </c>
      <c r="X295" s="18">
        <f>IF($A295&gt;'1-Input'!$B$26,0,(MAX(0,W286-IF($A295&gt;='1-Input'!$C$12,'1-Input'!$B$12,0))-MIN(MAX(AA294,0),MAX(0,W286-IF($A295&gt;='1-Input'!$C$12,'1-Input'!$B$12,0))))*(1/(1-'P-Parametri'!$B$6*W295))+MIN(MAX(0,AB294-(MAX(0,W286-IF($A295&gt;='1-Input'!$C$12,'1-Input'!$B$12,0))-MIN(MAX(AA294,0),MAX(0,W286-IF($A295&gt;='1-Input'!$C$12,'1-Input'!$B$12,0))))*(1/(1-'P-Parametri'!$B$6*W295))),MAX(0,5*MAX(0,W286-IF($A295&gt;='1-Input'!$C$12,'1-Input'!$B$12,0))-(AA294-MIN(MAX(AA294,0),MAX(0,W286-IF($A295&gt;='1-Input'!$C$12,'1-Input'!$B$12,0)))))*(1/(1-'P-Parametri'!$B$6*W295))))</f>
        <v>19088.701460004784</v>
      </c>
      <c r="Y295" s="18">
        <f>IF($A295&gt;'1-Input'!$B$26,AA294,(AA294-MAX(0,W286-IF($A295&gt;='1-Input'!$C$12,'1-Input'!$B$12,0))+X295*(1-'P-Parametri'!$B$6*W295))*(1+'1-Input'!$B$27))</f>
        <v>85314.700678730267</v>
      </c>
      <c r="Z295" s="18">
        <f>IF($A295&gt;'1-Input'!$B$26,AB294,(AB294-X295)*(1+'5-Roberta'!$C$4))</f>
        <v>281411.45526916609</v>
      </c>
      <c r="AA295" s="18">
        <f>IF($A295&gt;'1-Input'!$B$26,Y295,Y295-'P-Parametri'!$B$8*(Z295+Y295)+MIN(MAX(Z295,0),'P-Parametri'!$B$8*(Z295+Y295)))</f>
        <v>85314.700678730267</v>
      </c>
      <c r="AB295" s="18">
        <f>IF($A295&gt;'1-Input'!$B$26,Z295,Z295-MIN(MAX(Z295,0),'P-Parametri'!$B$8*(Z295+Y295)))</f>
        <v>280678.00295727031</v>
      </c>
      <c r="AC295" s="18">
        <f>IF($A295&gt;'1-Input'!$B$26,AC294,AC294-X295*(1-W295))</f>
        <v>182059.87686911548</v>
      </c>
      <c r="AD295" s="11">
        <f>IF($A295&gt;'1-Input'!$B$26,0,IF(AI294&lt;=0,0,MAX(0,(AI294-AJ294)/AI294)))</f>
        <v>0.33363892637121911</v>
      </c>
      <c r="AE295" s="18">
        <f>IF($A295&gt;'1-Input'!$B$26,0,(MAX(0,AD286-IF($A295&gt;='1-Input'!$C$12,'1-Input'!$B$12,0))-MIN(MAX(AH294,0),MAX(0,AD286-IF($A295&gt;='1-Input'!$C$12,'1-Input'!$B$12,0))))*(1/(1-'P-Parametri'!$B$6*AD295))+MIN(MAX(0,AI294-(MAX(0,AD286-IF($A295&gt;='1-Input'!$C$12,'1-Input'!$B$12,0))-MIN(MAX(AH294,0),MAX(0,AD286-IF($A295&gt;='1-Input'!$C$12,'1-Input'!$B$12,0))))*(1/(1-'P-Parametri'!$B$6*AD295))),MAX(0,5*MAX(0,AD286-IF($A295&gt;='1-Input'!$C$12,'1-Input'!$B$12,0))-(AH294-MIN(MAX(AH294,0),MAX(0,AD286-IF($A295&gt;='1-Input'!$C$12,'1-Input'!$B$12,0)))))*(1/(1-'P-Parametri'!$B$6*AD295))))</f>
        <v>19088.007168999287</v>
      </c>
      <c r="AF295" s="18">
        <f>IF($A295&gt;'1-Input'!$B$26,AH294,(AH294-MAX(0,AD286-IF($A295&gt;='1-Input'!$C$12,'1-Input'!$B$12,0))+AE295*(1-'P-Parametri'!$B$6*AD295))*(1+'1-Input'!$B$27))</f>
        <v>85311.594717462009</v>
      </c>
      <c r="AG295" s="18">
        <f>IF($A295&gt;'1-Input'!$B$26,AI294,(AI294-AE295)*(1+'5-Roberta'!$C$4))</f>
        <v>281420.62819799082</v>
      </c>
      <c r="AH295" s="18">
        <f>IF($A295&gt;'1-Input'!$B$26,AF295,AF295-'P-Parametri'!$B$8*(AG295+AF295)+MIN(MAX(AG295,0),'P-Parametri'!$B$8*(AG295+AF295)))</f>
        <v>85311.594717462009</v>
      </c>
      <c r="AI295" s="18">
        <f>IF($A295&gt;'1-Input'!$B$26,AG295,AG295-MIN(MAX(AG295,0),'P-Parametri'!$B$8*(AG295+AF295)))</f>
        <v>280687.16375215992</v>
      </c>
      <c r="AJ295" s="18">
        <f>IF($A295&gt;'1-Input'!$B$26,AJ294,AJ294-AE295*(1-AD295))</f>
        <v>182065.7785896108</v>
      </c>
      <c r="AK295" s="11">
        <f>IF($A295&gt;'1-Input'!$B$26,0,IF(AP294&lt;=0,0,MAX(0,(AP294-AQ294)/AP294)))</f>
        <v>0.33363892365000136</v>
      </c>
      <c r="AL295" s="18">
        <f>IF($A295&gt;'1-Input'!$B$26,0,(MAX(0,AK286-IF($A295&gt;='1-Input'!$C$12,'1-Input'!$B$12,0))-MIN(MAX(AO294,0),MAX(0,AK286-IF($A295&gt;='1-Input'!$C$12,'1-Input'!$B$12,0))))*(1/(1-'P-Parametri'!$B$6*AK295))+MIN(MAX(0,AP294-(MAX(0,AK286-IF($A295&gt;='1-Input'!$C$12,'1-Input'!$B$12,0))-MIN(MAX(AO294,0),MAX(0,AK286-IF($A295&gt;='1-Input'!$C$12,'1-Input'!$B$12,0))))*(1/(1-'P-Parametri'!$B$6*AK295))),MAX(0,5*MAX(0,AK286-IF($A295&gt;='1-Input'!$C$12,'1-Input'!$B$12,0))-(AO294-MIN(MAX(AO294,0),MAX(0,AK286-IF($A295&gt;='1-Input'!$C$12,'1-Input'!$B$12,0)))))*(1/(1-'P-Parametri'!$B$6*AK295))))</f>
        <v>19088.022941075084</v>
      </c>
      <c r="AM295" s="18">
        <f>IF($A295&gt;'1-Input'!$B$26,AO294,(AO294-MAX(0,AK286-IF($A295&gt;='1-Input'!$C$12,'1-Input'!$B$12,0))+AL295*(1-'P-Parametri'!$B$6*AK295))*(1+'1-Input'!$B$27))</f>
        <v>85311.6652749856</v>
      </c>
      <c r="AN295" s="18">
        <f>IF($A295&gt;'1-Input'!$B$26,AP294,(AP294-AL295)*(1+'5-Roberta'!$C$4))</f>
        <v>281420.41981833166</v>
      </c>
      <c r="AO295" s="18">
        <f>IF($A295&gt;'1-Input'!$B$26,AM295,AM295-'P-Parametri'!$B$8*(AN295+AM295)+MIN(MAX(AN295,0),'P-Parametri'!$B$8*(AN295+AM295)))</f>
        <v>85311.6652749856</v>
      </c>
      <c r="AP295" s="18">
        <f>IF($A295&gt;'1-Input'!$B$26,AN295,AN295-MIN(MAX(AN295,0),'P-Parametri'!$B$8*(AN295+AM295)))</f>
        <v>280686.95564814506</v>
      </c>
      <c r="AQ295" s="18">
        <f>IF($A295&gt;'1-Input'!$B$26,AQ294,AQ294-AL295*(1-AK295))</f>
        <v>182065.64452137085</v>
      </c>
    </row>
    <row r="296" spans="1:43">
      <c r="A296" s="10">
        <f>8</f>
        <v>8</v>
      </c>
      <c r="B296" s="11">
        <f>IF($A296&gt;'1-Input'!$B$26,0,IF(G295&lt;=0,0,MAX(0,(G295-H295)/G295)))</f>
        <v>0.35145750886118754</v>
      </c>
      <c r="C296" s="18">
        <f>IF($A296&gt;'1-Input'!$B$26,0,(MAX(0,B286-IF($A296&gt;='1-Input'!$C$12,'1-Input'!$B$12,0))-MIN(MAX(F295,0),MAX(0,B286-IF($A296&gt;='1-Input'!$C$12,'1-Input'!$B$12,0))))*(1/(1-'P-Parametri'!$B$6*B296))+MIN(MAX(0,G295-(MAX(0,B286-IF($A296&gt;='1-Input'!$C$12,'1-Input'!$B$12,0))-MIN(MAX(F295,0),MAX(0,B286-IF($A296&gt;='1-Input'!$C$12,'1-Input'!$B$12,0))))*(1/(1-'P-Parametri'!$B$6*B296))),MAX(0,5*MAX(0,B286-IF($A296&gt;='1-Input'!$C$12,'1-Input'!$B$12,0))-(F295-MIN(MAX(F295,0),MAX(0,B286-IF($A296&gt;='1-Input'!$C$12,'1-Input'!$B$12,0)))))*(1/(1-'P-Parametri'!$B$6*B296))))</f>
        <v>18689.105159237803</v>
      </c>
      <c r="D296" s="18">
        <f>IF($A296&gt;'1-Input'!$B$26,F295,(F295-MAX(0,B286-IF($A296&gt;='1-Input'!$C$12,'1-Input'!$B$12,0))+C296*(1-'P-Parametri'!$B$6*B296))*(1+'1-Input'!$B$27))</f>
        <v>83105.01757746574</v>
      </c>
      <c r="E296" s="18">
        <f>IF($A296&gt;'1-Input'!$B$26,G295,(G295-C296)*(1+'5-Roberta'!$C$4))</f>
        <v>276561.4380934544</v>
      </c>
      <c r="F296" s="18">
        <f>IF($A296&gt;'1-Input'!$B$26,D296,D296-'P-Parametri'!$B$8*(E296+D296)+MIN(MAX(E296,0),'P-Parametri'!$B$8*(E296+D296)))</f>
        <v>83105.01757746574</v>
      </c>
      <c r="G296" s="18">
        <f>IF($A296&gt;'1-Input'!$B$26,E296,E296-MIN(MAX(E296,0),'P-Parametri'!$B$8*(E296+D296)))</f>
        <v>275842.10518211254</v>
      </c>
      <c r="H296" s="18">
        <f>IF($A296&gt;'1-Input'!$B$26,H295,H295-C296*(1-B296))</f>
        <v>174137.71263501103</v>
      </c>
      <c r="I296" s="11">
        <f>IF($A296&gt;'1-Input'!$B$26,0,IF(N295&lt;=0,0,MAX(0,(N295-O295)/N295)))</f>
        <v>0.35000289454983086</v>
      </c>
      <c r="J296" s="18">
        <f>IF($A296&gt;'1-Input'!$B$26,0,(MAX(0,I286-IF($A296&gt;='1-Input'!$C$12,'1-Input'!$B$12,0))-MIN(MAX(M295,0),MAX(0,I286-IF($A296&gt;='1-Input'!$C$12,'1-Input'!$B$12,0))))*(1/(1-'P-Parametri'!$B$6*I296))+MIN(MAX(0,N295-(MAX(0,I286-IF($A296&gt;='1-Input'!$C$12,'1-Input'!$B$12,0))-MIN(MAX(M295,0),MAX(0,I286-IF($A296&gt;='1-Input'!$C$12,'1-Input'!$B$12,0))))*(1/(1-'P-Parametri'!$B$6*I296))),MAX(0,5*MAX(0,I286-IF($A296&gt;='1-Input'!$C$12,'1-Input'!$B$12,0))-(M295-MIN(MAX(M295,0),MAX(0,I286-IF($A296&gt;='1-Input'!$C$12,'1-Input'!$B$12,0)))))*(1/(1-'P-Parametri'!$B$6*I296))))</f>
        <v>24580.696499246049</v>
      </c>
      <c r="K296" s="18">
        <f>IF($A296&gt;'1-Input'!$B$26,M295,(M295-MAX(0,I286-IF($A296&gt;='1-Input'!$C$12,'1-Input'!$B$12,0))+J296*(1-'P-Parametri'!$B$6*I296))*(1+'1-Input'!$B$27))</f>
        <v>109348.70733877072</v>
      </c>
      <c r="L296" s="18">
        <f>IF($A296&gt;'1-Input'!$B$26,N295,(N295-J296)*(1+'5-Roberta'!$C$4))</f>
        <v>190775.99380586544</v>
      </c>
      <c r="M296" s="18">
        <f>IF($A296&gt;'1-Input'!$B$26,K296,K296-'P-Parametri'!$B$8*(L296+K296)+MIN(MAX(L296,0),'P-Parametri'!$B$8*(L296+K296)))</f>
        <v>109348.70733877072</v>
      </c>
      <c r="N296" s="18">
        <f>IF($A296&gt;'1-Input'!$B$26,L296,L296-MIN(MAX(L296,0),'P-Parametri'!$B$8*(L296+K296)))</f>
        <v>190175.74440357616</v>
      </c>
      <c r="O296" s="18">
        <f>IF($A296&gt;'1-Input'!$B$26,O295,O295-J296*(1-I296))</f>
        <v>120392.08132348732</v>
      </c>
      <c r="P296" s="11">
        <f>IF($A296&gt;'1-Input'!$B$26,0,IF(U295&lt;=0,0,MAX(0,(U295-V295)/U295)))</f>
        <v>0.35134443001146987</v>
      </c>
      <c r="Q296" s="18">
        <f>IF($A296&gt;'1-Input'!$B$26,0,(MAX(0,P286-IF($A296&gt;='1-Input'!$C$12,'1-Input'!$B$12,0))-MIN(MAX(T295,0),MAX(0,P286-IF($A296&gt;='1-Input'!$C$12,'1-Input'!$B$12,0))))*(1/(1-'P-Parametri'!$B$6*P296))+MIN(MAX(0,U295-(MAX(0,P286-IF($A296&gt;='1-Input'!$C$12,'1-Input'!$B$12,0))-MIN(MAX(T295,0),MAX(0,P286-IF($A296&gt;='1-Input'!$C$12,'1-Input'!$B$12,0))))*(1/(1-'P-Parametri'!$B$6*P296))),MAX(0,5*MAX(0,P286-IF($A296&gt;='1-Input'!$C$12,'1-Input'!$B$12,0))-(T295-MIN(MAX(T295,0),MAX(0,P286-IF($A296&gt;='1-Input'!$C$12,'1-Input'!$B$12,0)))))*(1/(1-'P-Parametri'!$B$6*P296))))</f>
        <v>19245.389279533403</v>
      </c>
      <c r="R296" s="18">
        <f>IF($A296&gt;'1-Input'!$B$26,T295,(T295-MAX(0,P286-IF($A296&gt;='1-Input'!$C$12,'1-Input'!$B$12,0))+Q296*(1-'P-Parametri'!$B$6*P296))*(1+'1-Input'!$B$27))</f>
        <v>85581.420436314511</v>
      </c>
      <c r="S296" s="18">
        <f>IF($A296&gt;'1-Input'!$B$26,U295,(U295-Q296)*(1+'5-Roberta'!$C$4))</f>
        <v>268465.32345596683</v>
      </c>
      <c r="T296" s="18">
        <f>IF($A296&gt;'1-Input'!$B$26,R296,R296-'P-Parametri'!$B$8*(S296+R296)+MIN(MAX(S296,0),'P-Parametri'!$B$8*(S296+R296)))</f>
        <v>85581.420436314511</v>
      </c>
      <c r="U296" s="18">
        <f>IF($A296&gt;'1-Input'!$B$26,S296,S296-MIN(MAX(S296,0),'P-Parametri'!$B$8*(S296+R296)))</f>
        <v>267757.22996818228</v>
      </c>
      <c r="V296" s="18">
        <f>IF($A296&gt;'1-Input'!$B$26,V295,V295-Q296*(1-P296))</f>
        <v>169069.44408590804</v>
      </c>
      <c r="W296" s="11">
        <f>IF($A296&gt;'1-Input'!$B$26,0,IF(AB295&lt;=0,0,MAX(0,(AB295-AC295)/AB295)))</f>
        <v>0.35135680405695413</v>
      </c>
      <c r="X296" s="18">
        <f>IF($A296&gt;'1-Input'!$B$26,0,(MAX(0,W286-IF($A296&gt;='1-Input'!$C$12,'1-Input'!$B$12,0))-MIN(MAX(AA295,0),MAX(0,W286-IF($A296&gt;='1-Input'!$C$12,'1-Input'!$B$12,0))))*(1/(1-'P-Parametri'!$B$6*W296))+MIN(MAX(0,AB295-(MAX(0,W286-IF($A296&gt;='1-Input'!$C$12,'1-Input'!$B$12,0))-MIN(MAX(AA295,0),MAX(0,W286-IF($A296&gt;='1-Input'!$C$12,'1-Input'!$B$12,0))))*(1/(1-'P-Parametri'!$B$6*W296))),MAX(0,5*MAX(0,W286-IF($A296&gt;='1-Input'!$C$12,'1-Input'!$B$12,0))-(AA295-MIN(MAX(AA295,0),MAX(0,W286-IF($A296&gt;='1-Input'!$C$12,'1-Input'!$B$12,0)))))*(1/(1-'P-Parametri'!$B$6*W296))))</f>
        <v>19185.47777068337</v>
      </c>
      <c r="Y296" s="18">
        <f>IF($A296&gt;'1-Input'!$B$26,AA295,(AA295-MAX(0,W286-IF($A296&gt;='1-Input'!$C$12,'1-Input'!$B$12,0))+X296*(1-'P-Parametri'!$B$6*W296))*(1+'1-Input'!$B$27))</f>
        <v>85314.700678730267</v>
      </c>
      <c r="Z296" s="18">
        <f>IF($A296&gt;'1-Input'!$B$26,AB295,(AB295-X296)*(1+'5-Roberta'!$C$4))</f>
        <v>269337.30094218458</v>
      </c>
      <c r="AA296" s="18">
        <f>IF($A296&gt;'1-Input'!$B$26,Y296,Y296-'P-Parametri'!$B$8*(Z296+Y296)+MIN(MAX(Z296,0),'P-Parametri'!$B$8*(Z296+Y296)))</f>
        <v>85314.700678730267</v>
      </c>
      <c r="AB296" s="18">
        <f>IF($A296&gt;'1-Input'!$B$26,Z296,Z296-MIN(MAX(Z296,0),'P-Parametri'!$B$8*(Z296+Y296)))</f>
        <v>268627.99693894276</v>
      </c>
      <c r="AC296" s="18">
        <f>IF($A296&gt;'1-Input'!$B$26,AC295,AC295-X296*(1-W296))</f>
        <v>169615.34725224515</v>
      </c>
      <c r="AD296" s="11">
        <f>IF($A296&gt;'1-Input'!$B$26,0,IF(AI295&lt;=0,0,MAX(0,(AI295-AJ295)/AI295)))</f>
        <v>0.35135694787108063</v>
      </c>
      <c r="AE296" s="18">
        <f>IF($A296&gt;'1-Input'!$B$26,0,(MAX(0,AD286-IF($A296&gt;='1-Input'!$C$12,'1-Input'!$B$12,0))-MIN(MAX(AH295,0),MAX(0,AD286-IF($A296&gt;='1-Input'!$C$12,'1-Input'!$B$12,0))))*(1/(1-'P-Parametri'!$B$6*AD296))+MIN(MAX(0,AI295-(MAX(0,AD286-IF($A296&gt;='1-Input'!$C$12,'1-Input'!$B$12,0))-MIN(MAX(AH295,0),MAX(0,AD286-IF($A296&gt;='1-Input'!$C$12,'1-Input'!$B$12,0))))*(1/(1-'P-Parametri'!$B$6*AD296))),MAX(0,5*MAX(0,AD286-IF($A296&gt;='1-Input'!$C$12,'1-Input'!$B$12,0))-(AH295-MIN(MAX(AH295,0),MAX(0,AD286-IF($A296&gt;='1-Input'!$C$12,'1-Input'!$B$12,0)))))*(1/(1-'P-Parametri'!$B$6*AD296))))</f>
        <v>19184.780094938422</v>
      </c>
      <c r="AF296" s="18">
        <f>IF($A296&gt;'1-Input'!$B$26,AH295,(AH295-MAX(0,AD286-IF($A296&gt;='1-Input'!$C$12,'1-Input'!$B$12,0))+AE296*(1-'P-Parametri'!$B$6*AD296))*(1+'1-Input'!$B$27))</f>
        <v>85311.594717462009</v>
      </c>
      <c r="AG296" s="18">
        <f>IF($A296&gt;'1-Input'!$B$26,AI295,(AI295-AE296)*(1+'5-Roberta'!$C$4))</f>
        <v>269347.45516693813</v>
      </c>
      <c r="AH296" s="18">
        <f>IF($A296&gt;'1-Input'!$B$26,AF296,AF296-'P-Parametri'!$B$8*(AG296+AF296)+MIN(MAX(AG296,0),'P-Parametri'!$B$8*(AG296+AF296)))</f>
        <v>85311.594717462009</v>
      </c>
      <c r="AI296" s="18">
        <f>IF($A296&gt;'1-Input'!$B$26,AG296,AG296-MIN(MAX(AG296,0),'P-Parametri'!$B$8*(AG296+AF296)))</f>
        <v>268638.13706716936</v>
      </c>
      <c r="AJ296" s="18">
        <f>IF($A296&gt;'1-Input'!$B$26,AJ295,AJ295-AE296*(1-AD296))</f>
        <v>169621.70427440779</v>
      </c>
      <c r="AK296" s="11">
        <f>IF($A296&gt;'1-Input'!$B$26,0,IF(AP295&lt;=0,0,MAX(0,(AP295-AQ295)/AP295)))</f>
        <v>0.35135694460415495</v>
      </c>
      <c r="AL296" s="18">
        <f>IF($A296&gt;'1-Input'!$B$26,0,(MAX(0,AK286-IF($A296&gt;='1-Input'!$C$12,'1-Input'!$B$12,0))-MIN(MAX(AO295,0),MAX(0,AK286-IF($A296&gt;='1-Input'!$C$12,'1-Input'!$B$12,0))))*(1/(1-'P-Parametri'!$B$6*AK296))+MIN(MAX(0,AP295-(MAX(0,AK286-IF($A296&gt;='1-Input'!$C$12,'1-Input'!$B$12,0))-MIN(MAX(AO295,0),MAX(0,AK286-IF($A296&gt;='1-Input'!$C$12,'1-Input'!$B$12,0))))*(1/(1-'P-Parametri'!$B$6*AK296))),MAX(0,5*MAX(0,AK286-IF($A296&gt;='1-Input'!$C$12,'1-Input'!$B$12,0))-(AO295-MIN(MAX(AO295,0),MAX(0,AK286-IF($A296&gt;='1-Input'!$C$12,'1-Input'!$B$12,0)))))*(1/(1-'P-Parametri'!$B$6*AK296))))</f>
        <v>19184.795943904908</v>
      </c>
      <c r="AM296" s="18">
        <f>IF($A296&gt;'1-Input'!$B$26,AO295,(AO295-MAX(0,AK286-IF($A296&gt;='1-Input'!$C$12,'1-Input'!$B$12,0))+AL296*(1-'P-Parametri'!$B$6*AK296))*(1+'1-Input'!$B$27))</f>
        <v>85311.6652749856</v>
      </c>
      <c r="AN296" s="18">
        <f>IF($A296&gt;'1-Input'!$B$26,AP295,(AP295-AL296)*(1+'5-Roberta'!$C$4))</f>
        <v>269347.22449536738</v>
      </c>
      <c r="AO296" s="18">
        <f>IF($A296&gt;'1-Input'!$B$26,AM296,AM296-'P-Parametri'!$B$8*(AN296+AM296)+MIN(MAX(AN296,0),'P-Parametri'!$B$8*(AN296+AM296)))</f>
        <v>85311.6652749856</v>
      </c>
      <c r="AP296" s="18">
        <f>IF($A296&gt;'1-Input'!$B$26,AN296,AN296-MIN(MAX(AN296,0),'P-Parametri'!$B$8*(AN296+AM296)))</f>
        <v>268637.90671582666</v>
      </c>
      <c r="AQ296" s="18">
        <f>IF($A296&gt;'1-Input'!$B$26,AQ295,AQ295-AL296*(1-AK296))</f>
        <v>169621.55986317055</v>
      </c>
    </row>
    <row r="297" spans="1:43">
      <c r="A297" s="10">
        <f>9</f>
        <v>9</v>
      </c>
      <c r="B297" s="11">
        <f>IF($A297&gt;'1-Input'!$B$26,0,IF(G296&lt;=0,0,MAX(0,(G296-H296)/G296)))</f>
        <v>0.36870510569789805</v>
      </c>
      <c r="C297" s="18">
        <f>IF($A297&gt;'1-Input'!$B$26,0,(MAX(0,B286-IF($A297&gt;='1-Input'!$C$12,'1-Input'!$B$12,0))-MIN(MAX(F296,0),MAX(0,B286-IF($A297&gt;='1-Input'!$C$12,'1-Input'!$B$12,0))))*(1/(1-'P-Parametri'!$B$6*B297))+MIN(MAX(0,G296-(MAX(0,B286-IF($A297&gt;='1-Input'!$C$12,'1-Input'!$B$12,0))-MIN(MAX(F296,0),MAX(0,B286-IF($A297&gt;='1-Input'!$C$12,'1-Input'!$B$12,0))))*(1/(1-'P-Parametri'!$B$6*B297))),MAX(0,5*MAX(0,B286-IF($A297&gt;='1-Input'!$C$12,'1-Input'!$B$12,0))-(F296-MIN(MAX(F296,0),MAX(0,B286-IF($A297&gt;='1-Input'!$C$12,'1-Input'!$B$12,0)))))*(1/(1-'P-Parametri'!$B$6*B297))))</f>
        <v>18781.800170748786</v>
      </c>
      <c r="D297" s="18">
        <f>IF($A297&gt;'1-Input'!$B$26,F296,(F296-MAX(0,B286-IF($A297&gt;='1-Input'!$C$12,'1-Input'!$B$12,0))+C297*(1-'P-Parametri'!$B$6*B297))*(1+'1-Input'!$B$27))</f>
        <v>83105.01757746574</v>
      </c>
      <c r="E297" s="18">
        <f>IF($A297&gt;'1-Input'!$B$26,G296,(G296-C297)*(1+'5-Roberta'!$C$4))</f>
        <v>264772.11416170467</v>
      </c>
      <c r="F297" s="18">
        <f>IF($A297&gt;'1-Input'!$B$26,D297,D297-'P-Parametri'!$B$8*(E297+D297)+MIN(MAX(E297,0),'P-Parametri'!$B$8*(E297+D297)))</f>
        <v>83105.01757746574</v>
      </c>
      <c r="G297" s="18">
        <f>IF($A297&gt;'1-Input'!$B$26,E297,E297-MIN(MAX(E297,0),'P-Parametri'!$B$8*(E297+D297)))</f>
        <v>264076.35989822634</v>
      </c>
      <c r="H297" s="18">
        <f>IF($A297&gt;'1-Input'!$B$26,H296,H296-C297*(1-B297))</f>
        <v>162280.85808141498</v>
      </c>
      <c r="I297" s="11">
        <f>IF($A297&gt;'1-Input'!$B$26,0,IF(N296&lt;=0,0,MAX(0,(N296-O296)/N296)))</f>
        <v>0.36694302577304172</v>
      </c>
      <c r="J297" s="18">
        <f>IF($A297&gt;'1-Input'!$B$26,0,(MAX(0,I286-IF($A297&gt;='1-Input'!$C$12,'1-Input'!$B$12,0))-MIN(MAX(M296,0),MAX(0,I286-IF($A297&gt;='1-Input'!$C$12,'1-Input'!$B$12,0))))*(1/(1-'P-Parametri'!$B$6*I297))+MIN(MAX(0,N296-(MAX(0,I286-IF($A297&gt;='1-Input'!$C$12,'1-Input'!$B$12,0))-MIN(MAX(M296,0),MAX(0,I286-IF($A297&gt;='1-Input'!$C$12,'1-Input'!$B$12,0))))*(1/(1-'P-Parametri'!$B$6*I297))),MAX(0,5*MAX(0,I286-IF($A297&gt;='1-Input'!$C$12,'1-Input'!$B$12,0))-(M296-MIN(MAX(M296,0),MAX(0,I286-IF($A297&gt;='1-Input'!$C$12,'1-Input'!$B$12,0)))))*(1/(1-'P-Parametri'!$B$6*I297))))</f>
        <v>24700.378877162304</v>
      </c>
      <c r="K297" s="18">
        <f>IF($A297&gt;'1-Input'!$B$26,M296,(M296-MAX(0,I286-IF($A297&gt;='1-Input'!$C$12,'1-Input'!$B$12,0))+J297*(1-'P-Parametri'!$B$6*I297))*(1+'1-Input'!$B$27))</f>
        <v>109348.70733877072</v>
      </c>
      <c r="L297" s="18">
        <f>IF($A297&gt;'1-Input'!$B$26,N296,(N296-J297)*(1+'5-Roberta'!$C$4))</f>
        <v>170439.6264922063</v>
      </c>
      <c r="M297" s="18">
        <f>IF($A297&gt;'1-Input'!$B$26,K297,K297-'P-Parametri'!$B$8*(L297+K297)+MIN(MAX(L297,0),'P-Parametri'!$B$8*(L297+K297)))</f>
        <v>109348.70733877072</v>
      </c>
      <c r="N297" s="18">
        <f>IF($A297&gt;'1-Input'!$B$26,L297,L297-MIN(MAX(L297,0),'P-Parametri'!$B$8*(L297+K297)))</f>
        <v>169880.04982454435</v>
      </c>
      <c r="O297" s="18">
        <f>IF($A297&gt;'1-Input'!$B$26,O296,O296-J297*(1-I297))</f>
        <v>104755.33420925148</v>
      </c>
      <c r="P297" s="11">
        <f>IF($A297&gt;'1-Input'!$B$26,0,IF(U296&lt;=0,0,MAX(0,(U296-V296)/U296)))</f>
        <v>0.36857188093110077</v>
      </c>
      <c r="Q297" s="18">
        <f>IF($A297&gt;'1-Input'!$B$26,0,(MAX(0,P286-IF($A297&gt;='1-Input'!$C$12,'1-Input'!$B$12,0))-MIN(MAX(T296,0),MAX(0,P286-IF($A297&gt;='1-Input'!$C$12,'1-Input'!$B$12,0))))*(1/(1-'P-Parametri'!$B$6*P297))+MIN(MAX(0,U296-(MAX(0,P286-IF($A297&gt;='1-Input'!$C$12,'1-Input'!$B$12,0))-MIN(MAX(T296,0),MAX(0,P286-IF($A297&gt;='1-Input'!$C$12,'1-Input'!$B$12,0))))*(1/(1-'P-Parametri'!$B$6*P297))),MAX(0,5*MAX(0,P286-IF($A297&gt;='1-Input'!$C$12,'1-Input'!$B$12,0))-(T296-MIN(MAX(T296,0),MAX(0,P286-IF($A297&gt;='1-Input'!$C$12,'1-Input'!$B$12,0)))))*(1/(1-'P-Parametri'!$B$6*P297))))</f>
        <v>19340.728225547606</v>
      </c>
      <c r="R297" s="18">
        <f>IF($A297&gt;'1-Input'!$B$26,T296,(T296-MAX(0,P286-IF($A297&gt;='1-Input'!$C$12,'1-Input'!$B$12,0))+Q297*(1-'P-Parametri'!$B$6*P297))*(1+'1-Input'!$B$27))</f>
        <v>85581.420436314511</v>
      </c>
      <c r="S297" s="18">
        <f>IF($A297&gt;'1-Input'!$B$26,U296,(U296-Q297)*(1+'5-Roberta'!$C$4))</f>
        <v>255868.99679491372</v>
      </c>
      <c r="T297" s="18">
        <f>IF($A297&gt;'1-Input'!$B$26,R297,R297-'P-Parametri'!$B$8*(S297+R297)+MIN(MAX(S297,0),'P-Parametri'!$B$8*(S297+R297)))</f>
        <v>85581.420436314511</v>
      </c>
      <c r="U297" s="18">
        <f>IF($A297&gt;'1-Input'!$B$26,S297,S297-MIN(MAX(S297,0),'P-Parametri'!$B$8*(S297+R297)))</f>
        <v>255186.09596045126</v>
      </c>
      <c r="V297" s="18">
        <f>IF($A297&gt;'1-Input'!$B$26,V296,V296-Q297*(1-P297))</f>
        <v>156857.16444102774</v>
      </c>
      <c r="W297" s="11">
        <f>IF($A297&gt;'1-Input'!$B$26,0,IF(AB296&lt;=0,0,MAX(0,(AB296-AC296)/AB296)))</f>
        <v>0.36858648694462953</v>
      </c>
      <c r="X297" s="18">
        <f>IF($A297&gt;'1-Input'!$B$26,0,(MAX(0,W286-IF($A297&gt;='1-Input'!$C$12,'1-Input'!$B$12,0))-MIN(MAX(AA296,0),MAX(0,W286-IF($A297&gt;='1-Input'!$C$12,'1-Input'!$B$12,0))))*(1/(1-'P-Parametri'!$B$6*W297))+MIN(MAX(0,AB296-(MAX(0,W286-IF($A297&gt;='1-Input'!$C$12,'1-Input'!$B$12,0))-MIN(MAX(AA296,0),MAX(0,W286-IF($A297&gt;='1-Input'!$C$12,'1-Input'!$B$12,0))))*(1/(1-'P-Parametri'!$B$6*W297))),MAX(0,5*MAX(0,W286-IF($A297&gt;='1-Input'!$C$12,'1-Input'!$B$12,0))-(AA296-MIN(MAX(AA296,0),MAX(0,W286-IF($A297&gt;='1-Input'!$C$12,'1-Input'!$B$12,0)))))*(1/(1-'P-Parametri'!$B$6*W297))))</f>
        <v>19280.532636310065</v>
      </c>
      <c r="Y297" s="18">
        <f>IF($A297&gt;'1-Input'!$B$26,AA296,(AA296-MAX(0,W286-IF($A297&gt;='1-Input'!$C$12,'1-Input'!$B$12,0))+X297*(1-'P-Parametri'!$B$6*W297))*(1+'1-Input'!$B$27))</f>
        <v>85314.700678730267</v>
      </c>
      <c r="Z297" s="18">
        <f>IF($A297&gt;'1-Input'!$B$26,AB296,(AB296-X297)*(1+'5-Roberta'!$C$4))</f>
        <v>256827.88823171169</v>
      </c>
      <c r="AA297" s="18">
        <f>IF($A297&gt;'1-Input'!$B$26,Y297,Y297-'P-Parametri'!$B$8*(Z297+Y297)+MIN(MAX(Z297,0),'P-Parametri'!$B$8*(Z297+Y297)))</f>
        <v>85314.700678730267</v>
      </c>
      <c r="AB297" s="18">
        <f>IF($A297&gt;'1-Input'!$B$26,Z297,Z297-MIN(MAX(Z297,0),'P-Parametri'!$B$8*(Z297+Y297)))</f>
        <v>256143.60305389081</v>
      </c>
      <c r="AC297" s="18">
        <f>IF($A297&gt;'1-Input'!$B$26,AC296,AC296-X297*(1-W297))</f>
        <v>157441.35840677388</v>
      </c>
      <c r="AD297" s="11">
        <f>IF($A297&gt;'1-Input'!$B$26,0,IF(AI296&lt;=0,0,MAX(0,(AI296-AJ296)/AI296)))</f>
        <v>0.36858665665926593</v>
      </c>
      <c r="AE297" s="18">
        <f>IF($A297&gt;'1-Input'!$B$26,0,(MAX(0,AD286-IF($A297&gt;='1-Input'!$C$12,'1-Input'!$B$12,0))-MIN(MAX(AH296,0),MAX(0,AD286-IF($A297&gt;='1-Input'!$C$12,'1-Input'!$B$12,0))))*(1/(1-'P-Parametri'!$B$6*AD297))+MIN(MAX(0,AI296-(MAX(0,AD286-IF($A297&gt;='1-Input'!$C$12,'1-Input'!$B$12,0))-MIN(MAX(AH296,0),MAX(0,AD286-IF($A297&gt;='1-Input'!$C$12,'1-Input'!$B$12,0))))*(1/(1-'P-Parametri'!$B$6*AD297))),MAX(0,5*MAX(0,AD286-IF($A297&gt;='1-Input'!$C$12,'1-Input'!$B$12,0))-(AH296-MIN(MAX(AH296,0),MAX(0,AD286-IF($A297&gt;='1-Input'!$C$12,'1-Input'!$B$12,0)))))*(1/(1-'P-Parametri'!$B$6*AD297))))</f>
        <v>19279.831651440258</v>
      </c>
      <c r="AF297" s="18">
        <f>IF($A297&gt;'1-Input'!$B$26,AH296,(AH296-MAX(0,AD286-IF($A297&gt;='1-Input'!$C$12,'1-Input'!$B$12,0))+AE297*(1-'P-Parametri'!$B$6*AD297))*(1+'1-Input'!$B$27))</f>
        <v>85311.594717462009</v>
      </c>
      <c r="AG297" s="18">
        <f>IF($A297&gt;'1-Input'!$B$26,AI296,(AI296-AE297)*(1+'5-Roberta'!$C$4))</f>
        <v>256839.05457820097</v>
      </c>
      <c r="AH297" s="18">
        <f>IF($A297&gt;'1-Input'!$B$26,AF297,AF297-'P-Parametri'!$B$8*(AG297+AF297)+MIN(MAX(AG297,0),'P-Parametri'!$B$8*(AG297+AF297)))</f>
        <v>85311.594717462009</v>
      </c>
      <c r="AI297" s="18">
        <f>IF($A297&gt;'1-Input'!$B$26,AG297,AG297-MIN(MAX(AG297,0),'P-Parametri'!$B$8*(AG297+AF297)))</f>
        <v>256154.75327960963</v>
      </c>
      <c r="AJ297" s="18">
        <f>IF($A297&gt;'1-Input'!$B$26,AJ296,AJ296-AE297*(1-AD297))</f>
        <v>157448.16131232539</v>
      </c>
      <c r="AK297" s="11">
        <f>IF($A297&gt;'1-Input'!$B$26,0,IF(AP296&lt;=0,0,MAX(0,(AP296-AQ296)/AP296)))</f>
        <v>0.36858665280398645</v>
      </c>
      <c r="AL297" s="18">
        <f>IF($A297&gt;'1-Input'!$B$26,0,(MAX(0,AK286-IF($A297&gt;='1-Input'!$C$12,'1-Input'!$B$12,0))-MIN(MAX(AO296,0),MAX(0,AK286-IF($A297&gt;='1-Input'!$C$12,'1-Input'!$B$12,0))))*(1/(1-'P-Parametri'!$B$6*AK297))+MIN(MAX(0,AP296-(MAX(0,AK286-IF($A297&gt;='1-Input'!$C$12,'1-Input'!$B$12,0))-MIN(MAX(AO296,0),MAX(0,AK286-IF($A297&gt;='1-Input'!$C$12,'1-Input'!$B$12,0))))*(1/(1-'P-Parametri'!$B$6*AK297))),MAX(0,5*MAX(0,AK286-IF($A297&gt;='1-Input'!$C$12,'1-Input'!$B$12,0))-(AO296-MIN(MAX(AO296,0),MAX(0,AK286-IF($A297&gt;='1-Input'!$C$12,'1-Input'!$B$12,0)))))*(1/(1-'P-Parametri'!$B$6*AK297))))</f>
        <v>19279.847575579744</v>
      </c>
      <c r="AM297" s="18">
        <f>IF($A297&gt;'1-Input'!$B$26,AO296,(AO296-MAX(0,AK286-IF($A297&gt;='1-Input'!$C$12,'1-Input'!$B$12,0))+AL297*(1-'P-Parametri'!$B$6*AK297))*(1+'1-Input'!$B$27))</f>
        <v>85311.6652749856</v>
      </c>
      <c r="AN297" s="18">
        <f>IF($A297&gt;'1-Input'!$B$26,AP296,(AP296-AL297)*(1+'5-Roberta'!$C$4))</f>
        <v>256838.80091445433</v>
      </c>
      <c r="AO297" s="18">
        <f>IF($A297&gt;'1-Input'!$B$26,AM297,AM297-'P-Parametri'!$B$8*(AN297+AM297)+MIN(MAX(AN297,0),'P-Parametri'!$B$8*(AN297+AM297)))</f>
        <v>85311.6652749856</v>
      </c>
      <c r="AP297" s="18">
        <f>IF($A297&gt;'1-Input'!$B$26,AN297,AN297-MIN(MAX(AN297,0),'P-Parametri'!$B$8*(AN297+AM297)))</f>
        <v>256154.49998207545</v>
      </c>
      <c r="AQ297" s="18">
        <f>IF($A297&gt;'1-Input'!$B$26,AQ296,AQ296-AL297*(1-AK297))</f>
        <v>157448.00677204481</v>
      </c>
    </row>
    <row r="298" spans="1:43">
      <c r="A298" s="10">
        <f>10</f>
        <v>10</v>
      </c>
      <c r="B298" s="11">
        <f>IF($A298&gt;'1-Input'!$B$26,0,IF(G297&lt;=0,0,MAX(0,(G297-H297)/G297)))</f>
        <v>0.38547752572794786</v>
      </c>
      <c r="C298" s="18">
        <f>IF($A298&gt;'1-Input'!$B$26,0,(MAX(0,B286-IF($A298&gt;='1-Input'!$C$12,'1-Input'!$B$12,0))-MIN(MAX(F297,0),MAX(0,B286-IF($A298&gt;='1-Input'!$C$12,'1-Input'!$B$12,0))))*(1/(1-'P-Parametri'!$B$6*B298))+MIN(MAX(0,G297-(MAX(0,B286-IF($A298&gt;='1-Input'!$C$12,'1-Input'!$B$12,0))-MIN(MAX(F297,0),MAX(0,B286-IF($A298&gt;='1-Input'!$C$12,'1-Input'!$B$12,0))))*(1/(1-'P-Parametri'!$B$6*B298))),MAX(0,5*MAX(0,B286-IF($A298&gt;='1-Input'!$C$12,'1-Input'!$B$12,0))-(F297-MIN(MAX(F297,0),MAX(0,B286-IF($A298&gt;='1-Input'!$C$12,'1-Input'!$B$12,0)))))*(1/(1-'P-Parametri'!$B$6*B298))))</f>
        <v>18872.827534251388</v>
      </c>
      <c r="D298" s="18">
        <f>IF($A298&gt;'1-Input'!$B$26,F297,(F297-MAX(0,B286-IF($A298&gt;='1-Input'!$C$12,'1-Input'!$B$12,0))+C298*(1-'P-Parametri'!$B$6*B298))*(1+'1-Input'!$B$27))</f>
        <v>83105.01757746574</v>
      </c>
      <c r="E298" s="18">
        <f>IF($A298&gt;'1-Input'!$B$26,G297,(G297-C298)*(1+'5-Roberta'!$C$4))</f>
        <v>252559.6383348942</v>
      </c>
      <c r="F298" s="18">
        <f>IF($A298&gt;'1-Input'!$B$26,D298,D298-'P-Parametri'!$B$8*(E298+D298)+MIN(MAX(E298,0),'P-Parametri'!$B$8*(E298+D298)))</f>
        <v>83105.01757746574</v>
      </c>
      <c r="G298" s="18">
        <f>IF($A298&gt;'1-Input'!$B$26,E298,E298-MIN(MAX(E298,0),'P-Parametri'!$B$8*(E298+D298)))</f>
        <v>251888.30902306948</v>
      </c>
      <c r="H298" s="18">
        <f>IF($A298&gt;'1-Input'!$B$26,H297,H297-C298*(1-B298))</f>
        <v>150683.0814085571</v>
      </c>
      <c r="I298" s="11">
        <f>IF($A298&gt;'1-Input'!$B$26,0,IF(N297&lt;=0,0,MAX(0,(N297-O297)/N297)))</f>
        <v>0.38335705506653095</v>
      </c>
      <c r="J298" s="18">
        <f>IF($A298&gt;'1-Input'!$B$26,0,(MAX(0,I286-IF($A298&gt;='1-Input'!$C$12,'1-Input'!$B$12,0))-MIN(MAX(M297,0),MAX(0,I286-IF($A298&gt;='1-Input'!$C$12,'1-Input'!$B$12,0))))*(1/(1-'P-Parametri'!$B$6*I298))+MIN(MAX(0,N297-(MAX(0,I286-IF($A298&gt;='1-Input'!$C$12,'1-Input'!$B$12,0))-MIN(MAX(M297,0),MAX(0,I286-IF($A298&gt;='1-Input'!$C$12,'1-Input'!$B$12,0))))*(1/(1-'P-Parametri'!$B$6*I298))),MAX(0,5*MAX(0,I286-IF($A298&gt;='1-Input'!$C$12,'1-Input'!$B$12,0))-(M297-MIN(MAX(M297,0),MAX(0,I286-IF($A298&gt;='1-Input'!$C$12,'1-Input'!$B$12,0)))))*(1/(1-'P-Parametri'!$B$6*I298))))</f>
        <v>24817.461330136022</v>
      </c>
      <c r="K298" s="18">
        <f>IF($A298&gt;'1-Input'!$B$26,M297,(M297-MAX(0,I286-IF($A298&gt;='1-Input'!$C$12,'1-Input'!$B$12,0))+J298*(1-'P-Parametri'!$B$6*I298))*(1+'1-Input'!$B$27))</f>
        <v>109348.70733877072</v>
      </c>
      <c r="L298" s="18">
        <f>IF($A298&gt;'1-Input'!$B$26,N297,(N297-J298)*(1+'5-Roberta'!$C$4))</f>
        <v>149414.46614924059</v>
      </c>
      <c r="M298" s="18">
        <f>IF($A298&gt;'1-Input'!$B$26,K298,K298-'P-Parametri'!$B$8*(L298+K298)+MIN(MAX(L298,0),'P-Parametri'!$B$8*(L298+K298)))</f>
        <v>109348.70733877072</v>
      </c>
      <c r="N298" s="18">
        <f>IF($A298&gt;'1-Input'!$B$26,L298,L298-MIN(MAX(L298,0),'P-Parametri'!$B$8*(L298+K298)))</f>
        <v>148896.93980226456</v>
      </c>
      <c r="O298" s="18">
        <f>IF($A298&gt;'1-Input'!$B$26,O297,O297-J298*(1-I298))</f>
        <v>89451.821768863912</v>
      </c>
      <c r="P298" s="11">
        <f>IF($A298&gt;'1-Input'!$B$26,0,IF(U297&lt;=0,0,MAX(0,(U297-V297)/U297)))</f>
        <v>0.38532244928682374</v>
      </c>
      <c r="Q298" s="18">
        <f>IF($A298&gt;'1-Input'!$B$26,0,(MAX(0,P286-IF($A298&gt;='1-Input'!$C$12,'1-Input'!$B$12,0))-MIN(MAX(T297,0),MAX(0,P286-IF($A298&gt;='1-Input'!$C$12,'1-Input'!$B$12,0))))*(1/(1-'P-Parametri'!$B$6*P298))+MIN(MAX(0,U297-(MAX(0,P286-IF($A298&gt;='1-Input'!$C$12,'1-Input'!$B$12,0))-MIN(MAX(T297,0),MAX(0,P286-IF($A298&gt;='1-Input'!$C$12,'1-Input'!$B$12,0))))*(1/(1-'P-Parametri'!$B$6*P298))),MAX(0,5*MAX(0,P286-IF($A298&gt;='1-Input'!$C$12,'1-Input'!$B$12,0))-(T297-MIN(MAX(T297,0),MAX(0,P286-IF($A298&gt;='1-Input'!$C$12,'1-Input'!$B$12,0)))))*(1/(1-'P-Parametri'!$B$6*P298))))</f>
        <v>19434.338157104739</v>
      </c>
      <c r="R298" s="18">
        <f>IF($A298&gt;'1-Input'!$B$26,T297,(T297-MAX(0,P286-IF($A298&gt;='1-Input'!$C$12,'1-Input'!$B$12,0))+Q298*(1-'P-Parametri'!$B$6*P298))*(1+'1-Input'!$B$27))</f>
        <v>85581.420436314511</v>
      </c>
      <c r="S298" s="18">
        <f>IF($A298&gt;'1-Input'!$B$26,U297,(U297-Q298)*(1+'5-Roberta'!$C$4))</f>
        <v>242824.31053744693</v>
      </c>
      <c r="T298" s="18">
        <f>IF($A298&gt;'1-Input'!$B$26,R298,R298-'P-Parametri'!$B$8*(S298+R298)+MIN(MAX(S298,0),'P-Parametri'!$B$8*(S298+R298)))</f>
        <v>85581.420436314511</v>
      </c>
      <c r="U298" s="18">
        <f>IF($A298&gt;'1-Input'!$B$26,S298,S298-MIN(MAX(S298,0),'P-Parametri'!$B$8*(S298+R298)))</f>
        <v>242167.49907549942</v>
      </c>
      <c r="V298" s="18">
        <f>IF($A298&gt;'1-Input'!$B$26,V297,V297-Q298*(1-P298))</f>
        <v>144911.31306288697</v>
      </c>
      <c r="W298" s="11">
        <f>IF($A298&gt;'1-Input'!$B$26,0,IF(AB297&lt;=0,0,MAX(0,(AB297-AC297)/AB297)))</f>
        <v>0.38533948718739103</v>
      </c>
      <c r="X298" s="18">
        <f>IF($A298&gt;'1-Input'!$B$26,0,(MAX(0,W286-IF($A298&gt;='1-Input'!$C$12,'1-Input'!$B$12,0))-MIN(MAX(AA297,0),MAX(0,W286-IF($A298&gt;='1-Input'!$C$12,'1-Input'!$B$12,0))))*(1/(1-'P-Parametri'!$B$6*W298))+MIN(MAX(0,AB297-(MAX(0,W286-IF($A298&gt;='1-Input'!$C$12,'1-Input'!$B$12,0))-MIN(MAX(AA297,0),MAX(0,W286-IF($A298&gt;='1-Input'!$C$12,'1-Input'!$B$12,0))))*(1/(1-'P-Parametri'!$B$6*W298))),MAX(0,5*MAX(0,W286-IF($A298&gt;='1-Input'!$C$12,'1-Input'!$B$12,0))-(AA297-MIN(MAX(AA297,0),MAX(0,W286-IF($A298&gt;='1-Input'!$C$12,'1-Input'!$B$12,0)))))*(1/(1-'P-Parametri'!$B$6*W298))))</f>
        <v>19373.865226398237</v>
      </c>
      <c r="Y298" s="18">
        <f>IF($A298&gt;'1-Input'!$B$26,AA297,(AA297-MAX(0,W286-IF($A298&gt;='1-Input'!$C$12,'1-Input'!$B$12,0))+X298*(1-'P-Parametri'!$B$6*W298))*(1+'1-Input'!$B$27))</f>
        <v>85314.700678730267</v>
      </c>
      <c r="Z298" s="18">
        <f>IF($A298&gt;'1-Input'!$B$26,AB297,(AB297-X298)*(1+'5-Roberta'!$C$4))</f>
        <v>243872.82996231737</v>
      </c>
      <c r="AA298" s="18">
        <f>IF($A298&gt;'1-Input'!$B$26,Y298,Y298-'P-Parametri'!$B$8*(Z298+Y298)+MIN(MAX(Z298,0),'P-Parametri'!$B$8*(Z298+Y298)))</f>
        <v>85314.700678730267</v>
      </c>
      <c r="AB298" s="18">
        <f>IF($A298&gt;'1-Input'!$B$26,Z298,Z298-MIN(MAX(Z298,0),'P-Parametri'!$B$8*(Z298+Y298)))</f>
        <v>243214.45490103526</v>
      </c>
      <c r="AC298" s="18">
        <f>IF($A298&gt;'1-Input'!$B$26,AC297,AC297-X298*(1-W298))</f>
        <v>145533.00847155356</v>
      </c>
      <c r="AD298" s="11">
        <f>IF($A298&gt;'1-Input'!$B$26,0,IF(AI297&lt;=0,0,MAX(0,(AI297-AJ297)/AI297)))</f>
        <v>0.38533968510644639</v>
      </c>
      <c r="AE298" s="18">
        <f>IF($A298&gt;'1-Input'!$B$26,0,(MAX(0,AD286-IF($A298&gt;='1-Input'!$C$12,'1-Input'!$B$12,0))-MIN(MAX(AH297,0),MAX(0,AD286-IF($A298&gt;='1-Input'!$C$12,'1-Input'!$B$12,0))))*(1/(1-'P-Parametri'!$B$6*AD298))+MIN(MAX(0,AI297-(MAX(0,AD286-IF($A298&gt;='1-Input'!$C$12,'1-Input'!$B$12,0))-MIN(MAX(AH297,0),MAX(0,AD286-IF($A298&gt;='1-Input'!$C$12,'1-Input'!$B$12,0))))*(1/(1-'P-Parametri'!$B$6*AD298))),MAX(0,5*MAX(0,AD286-IF($A298&gt;='1-Input'!$C$12,'1-Input'!$B$12,0))-(AH297-MIN(MAX(AH297,0),MAX(0,AD286-IF($A298&gt;='1-Input'!$C$12,'1-Input'!$B$12,0)))))*(1/(1-'P-Parametri'!$B$6*AD298))))</f>
        <v>19373.161010684344</v>
      </c>
      <c r="AF298" s="18">
        <f>IF($A298&gt;'1-Input'!$B$26,AH297,(AH297-MAX(0,AD286-IF($A298&gt;='1-Input'!$C$12,'1-Input'!$B$12,0))+AE298*(1-'P-Parametri'!$B$6*AD298))*(1+'1-Input'!$B$27))</f>
        <v>85311.594717462009</v>
      </c>
      <c r="AG298" s="18">
        <f>IF($A298&gt;'1-Input'!$B$26,AI297,(AI297-AE298)*(1+'5-Roberta'!$C$4))</f>
        <v>243885.04003699304</v>
      </c>
      <c r="AH298" s="18">
        <f>IF($A298&gt;'1-Input'!$B$26,AF298,AF298-'P-Parametri'!$B$8*(AG298+AF298)+MIN(MAX(AG298,0),'P-Parametri'!$B$8*(AG298+AF298)))</f>
        <v>85311.594717462009</v>
      </c>
      <c r="AI298" s="18">
        <f>IF($A298&gt;'1-Input'!$B$26,AG298,AG298-MIN(MAX(AG298,0),'P-Parametri'!$B$8*(AG298+AF298)))</f>
        <v>243226.64676748414</v>
      </c>
      <c r="AJ298" s="18">
        <f>IF($A298&gt;'1-Input'!$B$26,AJ297,AJ297-AE298*(1-AD298))</f>
        <v>145540.24806501463</v>
      </c>
      <c r="AK298" s="11">
        <f>IF($A298&gt;'1-Input'!$B$26,0,IF(AP297&lt;=0,0,MAX(0,(AP297-AQ297)/AP297)))</f>
        <v>0.38533968061048185</v>
      </c>
      <c r="AL298" s="18">
        <f>IF($A298&gt;'1-Input'!$B$26,0,(MAX(0,AK286-IF($A298&gt;='1-Input'!$C$12,'1-Input'!$B$12,0))-MIN(MAX(AO297,0),MAX(0,AK286-IF($A298&gt;='1-Input'!$C$12,'1-Input'!$B$12,0))))*(1/(1-'P-Parametri'!$B$6*AK298))+MIN(MAX(0,AP297-(MAX(0,AK286-IF($A298&gt;='1-Input'!$C$12,'1-Input'!$B$12,0))-MIN(MAX(AO297,0),MAX(0,AK286-IF($A298&gt;='1-Input'!$C$12,'1-Input'!$B$12,0))))*(1/(1-'P-Parametri'!$B$6*AK298))),MAX(0,5*MAX(0,AK286-IF($A298&gt;='1-Input'!$C$12,'1-Input'!$B$12,0))-(AO297-MIN(MAX(AO297,0),MAX(0,AK286-IF($A298&gt;='1-Input'!$C$12,'1-Input'!$B$12,0)))))*(1/(1-'P-Parametri'!$B$6*AK298))))</f>
        <v>19373.177008218601</v>
      </c>
      <c r="AM298" s="18">
        <f>IF($A298&gt;'1-Input'!$B$26,AO297,(AO297-MAX(0,AK286-IF($A298&gt;='1-Input'!$C$12,'1-Input'!$B$12,0))+AL298*(1-'P-Parametri'!$B$6*AK298))*(1+'1-Input'!$B$27))</f>
        <v>85311.6652749856</v>
      </c>
      <c r="AN298" s="18">
        <f>IF($A298&gt;'1-Input'!$B$26,AP297,(AP297-AL298)*(1+'5-Roberta'!$C$4))</f>
        <v>243884.76266307256</v>
      </c>
      <c r="AO298" s="18">
        <f>IF($A298&gt;'1-Input'!$B$26,AM298,AM298-'P-Parametri'!$B$8*(AN298+AM298)+MIN(MAX(AN298,0),'P-Parametri'!$B$8*(AN298+AM298)))</f>
        <v>85311.6652749856</v>
      </c>
      <c r="AP298" s="18">
        <f>IF($A298&gt;'1-Input'!$B$26,AN298,AN298-MIN(MAX(AN298,0),'P-Parametri'!$B$8*(AN298+AM298)))</f>
        <v>243226.36980719643</v>
      </c>
      <c r="AQ298" s="18">
        <f>IF($A298&gt;'1-Input'!$B$26,AQ297,AQ297-AL298*(1-AK298))</f>
        <v>145540.08360458349</v>
      </c>
    </row>
    <row r="299" spans="1:43">
      <c r="A299" s="10">
        <f>11</f>
        <v>11</v>
      </c>
      <c r="B299" s="11">
        <f>IF($A299&gt;'1-Input'!$B$26,0,IF(G298&lt;=0,0,MAX(0,(G298-H298)/G298)))</f>
        <v>0.40178612499734306</v>
      </c>
      <c r="C299" s="18">
        <f>IF($A299&gt;'1-Input'!$B$26,0,(MAX(0,B286-IF($A299&gt;='1-Input'!$C$12,'1-Input'!$B$12,0))-MIN(MAX(F298,0),MAX(0,B286-IF($A299&gt;='1-Input'!$C$12,'1-Input'!$B$12,0))))*(1/(1-'P-Parametri'!$B$6*B299))+MIN(MAX(0,G298-(MAX(0,B286-IF($A299&gt;='1-Input'!$C$12,'1-Input'!$B$12,0))-MIN(MAX(F298,0),MAX(0,B286-IF($A299&gt;='1-Input'!$C$12,'1-Input'!$B$12,0))))*(1/(1-'P-Parametri'!$B$6*B299))),MAX(0,5*MAX(0,B286-IF($A299&gt;='1-Input'!$C$12,'1-Input'!$B$12,0))-(F298-MIN(MAX(F298,0),MAX(0,B286-IF($A299&gt;='1-Input'!$C$12,'1-Input'!$B$12,0)))))*(1/(1-'P-Parametri'!$B$6*B299))))</f>
        <v>18962.187732190174</v>
      </c>
      <c r="D299" s="18">
        <f>IF($A299&gt;'1-Input'!$B$26,F298,(F298-MAX(0,B286-IF($A299&gt;='1-Input'!$C$12,'1-Input'!$B$12,0))+C299*(1-'P-Parametri'!$B$6*B299))*(1+'1-Input'!$B$27))</f>
        <v>83105.01757746574</v>
      </c>
      <c r="E299" s="18">
        <f>IF($A299&gt;'1-Input'!$B$26,G298,(G298-C299)*(1+'5-Roberta'!$C$4))</f>
        <v>239913.90492960569</v>
      </c>
      <c r="F299" s="18">
        <f>IF($A299&gt;'1-Input'!$B$26,D299,D299-'P-Parametri'!$B$8*(E299+D299)+MIN(MAX(E299,0),'P-Parametri'!$B$8*(E299+D299)))</f>
        <v>83105.01757746574</v>
      </c>
      <c r="G299" s="18">
        <f>IF($A299&gt;'1-Input'!$B$26,E299,E299-MIN(MAX(E299,0),'P-Parametri'!$B$8*(E299+D299)))</f>
        <v>239267.86708459156</v>
      </c>
      <c r="H299" s="18">
        <f>IF($A299&gt;'1-Input'!$B$26,H298,H298-C299*(1-B299))</f>
        <v>139339.63760675577</v>
      </c>
      <c r="I299" s="11">
        <f>IF($A299&gt;'1-Input'!$B$26,0,IF(N298&lt;=0,0,MAX(0,(N298-O298)/N298)))</f>
        <v>0.39923666740460811</v>
      </c>
      <c r="J299" s="18">
        <f>IF($A299&gt;'1-Input'!$B$26,0,(MAX(0,I286-IF($A299&gt;='1-Input'!$C$12,'1-Input'!$B$12,0))-MIN(MAX(M298,0),MAX(0,I286-IF($A299&gt;='1-Input'!$C$12,'1-Input'!$B$12,0))))*(1/(1-'P-Parametri'!$B$6*I299))+MIN(MAX(0,N298-(MAX(0,I286-IF($A299&gt;='1-Input'!$C$12,'1-Input'!$B$12,0))-MIN(MAX(M298,0),MAX(0,I286-IF($A299&gt;='1-Input'!$C$12,'1-Input'!$B$12,0))))*(1/(1-'P-Parametri'!$B$6*I299))),MAX(0,5*MAX(0,I286-IF($A299&gt;='1-Input'!$C$12,'1-Input'!$B$12,0))-(M298-MIN(MAX(M298,0),MAX(0,I286-IF($A299&gt;='1-Input'!$C$12,'1-Input'!$B$12,0)))))*(1/(1-'P-Parametri'!$B$6*I299))))</f>
        <v>24931.792961765412</v>
      </c>
      <c r="K299" s="18">
        <f>IF($A299&gt;'1-Input'!$B$26,M298,(M298-MAX(0,I286-IF($A299&gt;='1-Input'!$C$12,'1-Input'!$B$12,0))+J299*(1-'P-Parametri'!$B$6*I299))*(1+'1-Input'!$B$27))</f>
        <v>109348.70733877072</v>
      </c>
      <c r="L299" s="18">
        <f>IF($A299&gt;'1-Input'!$B$26,N298,(N298-J299)*(1+'5-Roberta'!$C$4))</f>
        <v>127684.10124571412</v>
      </c>
      <c r="M299" s="18">
        <f>IF($A299&gt;'1-Input'!$B$26,K299,K299-'P-Parametri'!$B$8*(L299+K299)+MIN(MAX(L299,0),'P-Parametri'!$B$8*(L299+K299)))</f>
        <v>109348.70733877072</v>
      </c>
      <c r="N299" s="18">
        <f>IF($A299&gt;'1-Input'!$B$26,L299,L299-MIN(MAX(L299,0),'P-Parametri'!$B$8*(L299+K299)))</f>
        <v>127210.03562854516</v>
      </c>
      <c r="O299" s="18">
        <f>IF($A299&gt;'1-Input'!$B$26,O298,O298-J299*(1-I299))</f>
        <v>74473.714741575386</v>
      </c>
      <c r="P299" s="11">
        <f>IF($A299&gt;'1-Input'!$B$26,0,IF(U298&lt;=0,0,MAX(0,(U298-V298)/U298)))</f>
        <v>0.40160709584852816</v>
      </c>
      <c r="Q299" s="18">
        <f>IF($A299&gt;'1-Input'!$B$26,0,(MAX(0,P286-IF($A299&gt;='1-Input'!$C$12,'1-Input'!$B$12,0))-MIN(MAX(T298,0),MAX(0,P286-IF($A299&gt;='1-Input'!$C$12,'1-Input'!$B$12,0))))*(1/(1-'P-Parametri'!$B$6*P299))+MIN(MAX(0,U298-(MAX(0,P286-IF($A299&gt;='1-Input'!$C$12,'1-Input'!$B$12,0))-MIN(MAX(T298,0),MAX(0,P286-IF($A299&gt;='1-Input'!$C$12,'1-Input'!$B$12,0))))*(1/(1-'P-Parametri'!$B$6*P299))),MAX(0,5*MAX(0,P286-IF($A299&gt;='1-Input'!$C$12,'1-Input'!$B$12,0))-(T298-MIN(MAX(T298,0),MAX(0,P286-IF($A299&gt;='1-Input'!$C$12,'1-Input'!$B$12,0)))))*(1/(1-'P-Parametri'!$B$6*P299))))</f>
        <v>19526.217104028903</v>
      </c>
      <c r="R299" s="18">
        <f>IF($A299&gt;'1-Input'!$B$26,T298,(T298-MAX(0,P286-IF($A299&gt;='1-Input'!$C$12,'1-Input'!$B$12,0))+Q299*(1-'P-Parametri'!$B$6*P299))*(1+'1-Input'!$B$27))</f>
        <v>85581.420436314511</v>
      </c>
      <c r="S299" s="18">
        <f>IF($A299&gt;'1-Input'!$B$26,U298,(U298-Q299)*(1+'5-Roberta'!$C$4))</f>
        <v>229320.52043061462</v>
      </c>
      <c r="T299" s="18">
        <f>IF($A299&gt;'1-Input'!$B$26,R299,R299-'P-Parametri'!$B$8*(S299+R299)+MIN(MAX(S299,0),'P-Parametri'!$B$8*(S299+R299)))</f>
        <v>85581.420436314511</v>
      </c>
      <c r="U299" s="18">
        <f>IF($A299&gt;'1-Input'!$B$26,S299,S299-MIN(MAX(S299,0),'P-Parametri'!$B$8*(S299+R299)))</f>
        <v>228690.71654888077</v>
      </c>
      <c r="V299" s="18">
        <f>IF($A299&gt;'1-Input'!$B$26,V298,V298-Q299*(1-P299))</f>
        <v>133226.96330291498</v>
      </c>
      <c r="W299" s="11">
        <f>IF($A299&gt;'1-Input'!$B$26,0,IF(AB298&lt;=0,0,MAX(0,(AB298-AC298)/AB298)))</f>
        <v>0.40162681313176307</v>
      </c>
      <c r="X299" s="18">
        <f>IF($A299&gt;'1-Input'!$B$26,0,(MAX(0,W286-IF($A299&gt;='1-Input'!$C$12,'1-Input'!$B$12,0))-MIN(MAX(AA298,0),MAX(0,W286-IF($A299&gt;='1-Input'!$C$12,'1-Input'!$B$12,0))))*(1/(1-'P-Parametri'!$B$6*W299))+MIN(MAX(0,AB298-(MAX(0,W286-IF($A299&gt;='1-Input'!$C$12,'1-Input'!$B$12,0))-MIN(MAX(AA298,0),MAX(0,W286-IF($A299&gt;='1-Input'!$C$12,'1-Input'!$B$12,0))))*(1/(1-'P-Parametri'!$B$6*W299))),MAX(0,5*MAX(0,W286-IF($A299&gt;='1-Input'!$C$12,'1-Input'!$B$12,0))-(AA298-MIN(MAX(AA298,0),MAX(0,W286-IF($A299&gt;='1-Input'!$C$12,'1-Input'!$B$12,0)))))*(1/(1-'P-Parametri'!$B$6*W299))))</f>
        <v>19465.473872438626</v>
      </c>
      <c r="Y299" s="18">
        <f>IF($A299&gt;'1-Input'!$B$26,AA298,(AA298-MAX(0,W286-IF($A299&gt;='1-Input'!$C$12,'1-Input'!$B$12,0))+X299*(1-'P-Parametri'!$B$6*W299))*(1+'1-Input'!$B$27))</f>
        <v>85314.700678730267</v>
      </c>
      <c r="Z299" s="18">
        <f>IF($A299&gt;'1-Input'!$B$26,AB298,(AB298-X299)*(1+'5-Roberta'!$C$4))</f>
        <v>230461.45045945453</v>
      </c>
      <c r="AA299" s="18">
        <f>IF($A299&gt;'1-Input'!$B$26,Y299,Y299-'P-Parametri'!$B$8*(Z299+Y299)+MIN(MAX(Z299,0),'P-Parametri'!$B$8*(Z299+Y299)))</f>
        <v>85314.700678730267</v>
      </c>
      <c r="AB299" s="18">
        <f>IF($A299&gt;'1-Input'!$B$26,Z299,Z299-MIN(MAX(Z299,0),'P-Parametri'!$B$8*(Z299+Y299)))</f>
        <v>229829.89815717816</v>
      </c>
      <c r="AC299" s="18">
        <f>IF($A299&gt;'1-Input'!$B$26,AC298,AC298-X299*(1-W299))</f>
        <v>133885.39083660208</v>
      </c>
      <c r="AD299" s="11">
        <f>IF($A299&gt;'1-Input'!$B$26,0,IF(AI298&lt;=0,0,MAX(0,(AI298-AJ298)/AI298)))</f>
        <v>0.40162704210552297</v>
      </c>
      <c r="AE299" s="18">
        <f>IF($A299&gt;'1-Input'!$B$26,0,(MAX(0,AD286-IF($A299&gt;='1-Input'!$C$12,'1-Input'!$B$12,0))-MIN(MAX(AH298,0),MAX(0,AD286-IF($A299&gt;='1-Input'!$C$12,'1-Input'!$B$12,0))))*(1/(1-'P-Parametri'!$B$6*AD299))+MIN(MAX(0,AI298-(MAX(0,AD286-IF($A299&gt;='1-Input'!$C$12,'1-Input'!$B$12,0))-MIN(MAX(AH298,0),MAX(0,AD286-IF($A299&gt;='1-Input'!$C$12,'1-Input'!$B$12,0))))*(1/(1-'P-Parametri'!$B$6*AD299))),MAX(0,5*MAX(0,AD286-IF($A299&gt;='1-Input'!$C$12,'1-Input'!$B$12,0))-(AH298-MIN(MAX(AH298,0),MAX(0,AD286-IF($A299&gt;='1-Input'!$C$12,'1-Input'!$B$12,0)))))*(1/(1-'P-Parametri'!$B$6*AD299))))</f>
        <v>19464.766507616685</v>
      </c>
      <c r="AF299" s="18">
        <f>IF($A299&gt;'1-Input'!$B$26,AH298,(AH298-MAX(0,AD286-IF($A299&gt;='1-Input'!$C$12,'1-Input'!$B$12,0))+AE299*(1-'P-Parametri'!$B$6*AD299))*(1+'1-Input'!$B$27))</f>
        <v>85311.594717462009</v>
      </c>
      <c r="AG299" s="18">
        <f>IF($A299&gt;'1-Input'!$B$26,AI298,(AI298-AE299)*(1+'5-Roberta'!$C$4))</f>
        <v>230474.7366676635</v>
      </c>
      <c r="AH299" s="18">
        <f>IF($A299&gt;'1-Input'!$B$26,AF299,AF299-'P-Parametri'!$B$8*(AG299+AF299)+MIN(MAX(AG299,0),'P-Parametri'!$B$8*(AG299+AF299)))</f>
        <v>85311.594717462009</v>
      </c>
      <c r="AI299" s="18">
        <f>IF($A299&gt;'1-Input'!$B$26,AG299,AG299-MIN(MAX(AG299,0),'P-Parametri'!$B$8*(AG299+AF299)))</f>
        <v>229843.16400489325</v>
      </c>
      <c r="AJ299" s="18">
        <f>IF($A299&gt;'1-Input'!$B$26,AJ298,AJ298-AE299*(1-AD299))</f>
        <v>133893.0581551267</v>
      </c>
      <c r="AK299" s="11">
        <f>IF($A299&gt;'1-Input'!$B$26,0,IF(AP298&lt;=0,0,MAX(0,(AP298-AQ298)/AP298)))</f>
        <v>0.40162703690413204</v>
      </c>
      <c r="AL299" s="18">
        <f>IF($A299&gt;'1-Input'!$B$26,0,(MAX(0,AK286-IF($A299&gt;='1-Input'!$C$12,'1-Input'!$B$12,0))-MIN(MAX(AO298,0),MAX(0,AK286-IF($A299&gt;='1-Input'!$C$12,'1-Input'!$B$12,0))))*(1/(1-'P-Parametri'!$B$6*AK299))+MIN(MAX(0,AP298-(MAX(0,AK286-IF($A299&gt;='1-Input'!$C$12,'1-Input'!$B$12,0))-MIN(MAX(AO298,0),MAX(0,AK286-IF($A299&gt;='1-Input'!$C$12,'1-Input'!$B$12,0))))*(1/(1-'P-Parametri'!$B$6*AK299))),MAX(0,5*MAX(0,AK286-IF($A299&gt;='1-Input'!$C$12,'1-Input'!$B$12,0))-(AO298-MIN(MAX(AO298,0),MAX(0,AK286-IF($A299&gt;='1-Input'!$C$12,'1-Input'!$B$12,0)))))*(1/(1-'P-Parametri'!$B$6*AK299))))</f>
        <v>19464.782576688987</v>
      </c>
      <c r="AM299" s="18">
        <f>IF($A299&gt;'1-Input'!$B$26,AO298,(AO298-MAX(0,AK286-IF($A299&gt;='1-Input'!$C$12,'1-Input'!$B$12,0))+AL299*(1-'P-Parametri'!$B$6*AK299))*(1+'1-Input'!$B$27))</f>
        <v>85311.6652749856</v>
      </c>
      <c r="AN299" s="18">
        <f>IF($A299&gt;'1-Input'!$B$26,AP298,(AP298-AL299)*(1+'5-Roberta'!$C$4))</f>
        <v>230474.4348474227</v>
      </c>
      <c r="AO299" s="18">
        <f>IF($A299&gt;'1-Input'!$B$26,AM299,AM299-'P-Parametri'!$B$8*(AN299+AM299)+MIN(MAX(AN299,0),'P-Parametri'!$B$8*(AN299+AM299)))</f>
        <v>85311.6652749856</v>
      </c>
      <c r="AP299" s="18">
        <f>IF($A299&gt;'1-Input'!$B$26,AN299,AN299-MIN(MAX(AN299,0),'P-Parametri'!$B$8*(AN299+AM299)))</f>
        <v>229842.86264717788</v>
      </c>
      <c r="AQ299" s="18">
        <f>IF($A299&gt;'1-Input'!$B$26,AQ298,AQ298-AL299*(1-AK299))</f>
        <v>133892.88397815329</v>
      </c>
    </row>
    <row r="300" spans="1:43">
      <c r="A300" s="10">
        <f>12</f>
        <v>12</v>
      </c>
      <c r="B300" s="11">
        <f>IF($A300&gt;'1-Input'!$B$26,0,IF(G299&lt;=0,0,MAX(0,(G299-H299)/G299)))</f>
        <v>0.41764166118681884</v>
      </c>
      <c r="C300" s="18">
        <f>IF($A300&gt;'1-Input'!$B$26,0,(MAX(0,B286-IF($A300&gt;='1-Input'!$C$12,'1-Input'!$B$12,0))-MIN(MAX(F299,0),MAX(0,B286-IF($A300&gt;='1-Input'!$C$12,'1-Input'!$B$12,0))))*(1/(1-'P-Parametri'!$B$6*B300))+MIN(MAX(0,G299-(MAX(0,B286-IF($A300&gt;='1-Input'!$C$12,'1-Input'!$B$12,0))-MIN(MAX(F299,0),MAX(0,B286-IF($A300&gt;='1-Input'!$C$12,'1-Input'!$B$12,0))))*(1/(1-'P-Parametri'!$B$6*B300))),MAX(0,5*MAX(0,B286-IF($A300&gt;='1-Input'!$C$12,'1-Input'!$B$12,0))-(F299-MIN(MAX(F299,0),MAX(0,B286-IF($A300&gt;='1-Input'!$C$12,'1-Input'!$B$12,0)))))*(1/(1-'P-Parametri'!$B$6*B300))))</f>
        <v>19049.880479830874</v>
      </c>
      <c r="D300" s="18">
        <f>IF($A300&gt;'1-Input'!$B$26,F299,(F299-MAX(0,B286-IF($A300&gt;='1-Input'!$C$12,'1-Input'!$B$12,0))+C300*(1-'P-Parametri'!$B$6*B300))*(1+'1-Input'!$B$27))</f>
        <v>83105.01757746574</v>
      </c>
      <c r="E300" s="18">
        <f>IF($A300&gt;'1-Input'!$B$26,G299,(G299-C300)*(1+'5-Roberta'!$C$4))</f>
        <v>226824.52620290351</v>
      </c>
      <c r="F300" s="18">
        <f>IF($A300&gt;'1-Input'!$B$26,D300,D300-'P-Parametri'!$B$8*(E300+D300)+MIN(MAX(E300,0),'P-Parametri'!$B$8*(E300+D300)))</f>
        <v>83105.01757746574</v>
      </c>
      <c r="G300" s="18">
        <f>IF($A300&gt;'1-Input'!$B$26,E300,E300-MIN(MAX(E300,0),'P-Parametri'!$B$8*(E300+D300)))</f>
        <v>226204.66711534277</v>
      </c>
      <c r="H300" s="18">
        <f>IF($A300&gt;'1-Input'!$B$26,H299,H299-C300*(1-B300))</f>
        <v>128245.78085593182</v>
      </c>
      <c r="I300" s="11">
        <f>IF($A300&gt;'1-Input'!$B$26,0,IF(N299&lt;=0,0,MAX(0,(N299-O299)/N299)))</f>
        <v>0.41456101027249503</v>
      </c>
      <c r="J300" s="18">
        <f>IF($A300&gt;'1-Input'!$B$26,0,(MAX(0,I286-IF($A300&gt;='1-Input'!$C$12,'1-Input'!$B$12,0))-MIN(MAX(M299,0),MAX(0,I286-IF($A300&gt;='1-Input'!$C$12,'1-Input'!$B$12,0))))*(1/(1-'P-Parametri'!$B$6*I300))+MIN(MAX(0,N299-(MAX(0,I286-IF($A300&gt;='1-Input'!$C$12,'1-Input'!$B$12,0))-MIN(MAX(M299,0),MAX(0,I286-IF($A300&gt;='1-Input'!$C$12,'1-Input'!$B$12,0))))*(1/(1-'P-Parametri'!$B$6*I300))),MAX(0,5*MAX(0,I286-IF($A300&gt;='1-Input'!$C$12,'1-Input'!$B$12,0))-(M299-MIN(MAX(M299,0),MAX(0,I286-IF($A300&gt;='1-Input'!$C$12,'1-Input'!$B$12,0)))))*(1/(1-'P-Parametri'!$B$6*I300))))</f>
        <v>25043.129988600984</v>
      </c>
      <c r="K300" s="18">
        <f>IF($A300&gt;'1-Input'!$B$26,M299,(M299-MAX(0,I286-IF($A300&gt;='1-Input'!$C$12,'1-Input'!$B$12,0))+J300*(1-'P-Parametri'!$B$6*I300))*(1+'1-Input'!$B$27))</f>
        <v>109348.70733877072</v>
      </c>
      <c r="L300" s="18">
        <f>IF($A300&gt;'1-Input'!$B$26,N299,(N299-J300)*(1+'5-Roberta'!$C$4))</f>
        <v>105231.91280914251</v>
      </c>
      <c r="M300" s="18">
        <f>IF($A300&gt;'1-Input'!$B$26,K300,K300-'P-Parametri'!$B$8*(L300+K300)+MIN(MAX(L300,0),'P-Parametri'!$B$8*(L300+K300)))</f>
        <v>109348.70733877072</v>
      </c>
      <c r="N300" s="18">
        <f>IF($A300&gt;'1-Input'!$B$26,L300,L300-MIN(MAX(L300,0),'P-Parametri'!$B$8*(L300+K300)))</f>
        <v>104802.75156884668</v>
      </c>
      <c r="O300" s="18">
        <f>IF($A300&gt;'1-Input'!$B$26,O299,O299-J300*(1-I300))</f>
        <v>59812.490021434241</v>
      </c>
      <c r="P300" s="11">
        <f>IF($A300&gt;'1-Input'!$B$26,0,IF(U299&lt;=0,0,MAX(0,(U299-V299)/U299)))</f>
        <v>0.41743606687052026</v>
      </c>
      <c r="Q300" s="18">
        <f>IF($A300&gt;'1-Input'!$B$26,0,(MAX(0,P286-IF($A300&gt;='1-Input'!$C$12,'1-Input'!$B$12,0))-MIN(MAX(T299,0),MAX(0,P286-IF($A300&gt;='1-Input'!$C$12,'1-Input'!$B$12,0))))*(1/(1-'P-Parametri'!$B$6*P300))+MIN(MAX(0,U299-(MAX(0,P286-IF($A300&gt;='1-Input'!$C$12,'1-Input'!$B$12,0))-MIN(MAX(T299,0),MAX(0,P286-IF($A300&gt;='1-Input'!$C$12,'1-Input'!$B$12,0))))*(1/(1-'P-Parametri'!$B$6*P300))),MAX(0,5*MAX(0,P286-IF($A300&gt;='1-Input'!$C$12,'1-Input'!$B$12,0))-(T299-MIN(MAX(T299,0),MAX(0,P286-IF($A300&gt;='1-Input'!$C$12,'1-Input'!$B$12,0)))))*(1/(1-'P-Parametri'!$B$6*P300))))</f>
        <v>19616.361567529599</v>
      </c>
      <c r="R300" s="18">
        <f>IF($A300&gt;'1-Input'!$B$26,T299,(T299-MAX(0,P286-IF($A300&gt;='1-Input'!$C$12,'1-Input'!$B$12,0))+Q300*(1-'P-Parametri'!$B$6*P300))*(1+'1-Input'!$B$27))</f>
        <v>85581.420436314511</v>
      </c>
      <c r="S300" s="18">
        <f>IF($A300&gt;'1-Input'!$B$26,U299,(U299-Q300)*(1+'5-Roberta'!$C$4))</f>
        <v>215346.58563079173</v>
      </c>
      <c r="T300" s="18">
        <f>IF($A300&gt;'1-Input'!$B$26,R300,R300-'P-Parametri'!$B$8*(S300+R300)+MIN(MAX(S300,0),'P-Parametri'!$B$8*(S300+R300)))</f>
        <v>85581.420436314511</v>
      </c>
      <c r="U300" s="18">
        <f>IF($A300&gt;'1-Input'!$B$26,S300,S300-MIN(MAX(S300,0),'P-Parametri'!$B$8*(S300+R300)))</f>
        <v>214744.72961865753</v>
      </c>
      <c r="V300" s="18">
        <f>IF($A300&gt;'1-Input'!$B$26,V299,V299-Q300*(1-P300))</f>
        <v>121799.17855444498</v>
      </c>
      <c r="W300" s="11">
        <f>IF($A300&gt;'1-Input'!$B$26,0,IF(AB299&lt;=0,0,MAX(0,(AB299-AC299)/AB299)))</f>
        <v>0.41745877316170887</v>
      </c>
      <c r="X300" s="18">
        <f>IF($A300&gt;'1-Input'!$B$26,0,(MAX(0,W286-IF($A300&gt;='1-Input'!$C$12,'1-Input'!$B$12,0))-MIN(MAX(AA299,0),MAX(0,W286-IF($A300&gt;='1-Input'!$C$12,'1-Input'!$B$12,0))))*(1/(1-'P-Parametri'!$B$6*W300))+MIN(MAX(0,AB299-(MAX(0,W286-IF($A300&gt;='1-Input'!$C$12,'1-Input'!$B$12,0))-MIN(MAX(AA299,0),MAX(0,W286-IF($A300&gt;='1-Input'!$C$12,'1-Input'!$B$12,0))))*(1/(1-'P-Parametri'!$B$6*W300))),MAX(0,5*MAX(0,W286-IF($A300&gt;='1-Input'!$C$12,'1-Input'!$B$12,0))-(AA299-MIN(MAX(AA299,0),MAX(0,W286-IF($A300&gt;='1-Input'!$C$12,'1-Input'!$B$12,0)))))*(1/(1-'P-Parametri'!$B$6*W300))))</f>
        <v>19555.355473966836</v>
      </c>
      <c r="Y300" s="18">
        <f>IF($A300&gt;'1-Input'!$B$26,AA299,(AA299-MAX(0,W286-IF($A300&gt;='1-Input'!$C$12,'1-Input'!$B$12,0))+X300*(1-'P-Parametri'!$B$6*W300))*(1+'1-Input'!$B$27))</f>
        <v>85314.700678730267</v>
      </c>
      <c r="Z300" s="18">
        <f>IF($A300&gt;'1-Input'!$B$26,AB299,(AB299-X300)*(1+'5-Roberta'!$C$4))</f>
        <v>216582.77896370768</v>
      </c>
      <c r="AA300" s="18">
        <f>IF($A300&gt;'1-Input'!$B$26,Y300,Y300-'P-Parametri'!$B$8*(Z300+Y300)+MIN(MAX(Z300,0),'P-Parametri'!$B$8*(Z300+Y300)))</f>
        <v>85314.700678730267</v>
      </c>
      <c r="AB300" s="18">
        <f>IF($A300&gt;'1-Input'!$B$26,Z300,Z300-MIN(MAX(Z300,0),'P-Parametri'!$B$8*(Z300+Y300)))</f>
        <v>215978.98400442279</v>
      </c>
      <c r="AC300" s="18">
        <f>IF($A300&gt;'1-Input'!$B$26,AC299,AC299-X300*(1-W300))</f>
        <v>122493.59006753855</v>
      </c>
      <c r="AD300" s="11">
        <f>IF($A300&gt;'1-Input'!$B$26,0,IF(AI299&lt;=0,0,MAX(0,(AI299-AJ299)/AI299)))</f>
        <v>0.41745903675309576</v>
      </c>
      <c r="AE300" s="18">
        <f>IF($A300&gt;'1-Input'!$B$26,0,(MAX(0,AD286-IF($A300&gt;='1-Input'!$C$12,'1-Input'!$B$12,0))-MIN(MAX(AH299,0),MAX(0,AD286-IF($A300&gt;='1-Input'!$C$12,'1-Input'!$B$12,0))))*(1/(1-'P-Parametri'!$B$6*AD300))+MIN(MAX(0,AI299-(MAX(0,AD286-IF($A300&gt;='1-Input'!$C$12,'1-Input'!$B$12,0))-MIN(MAX(AH299,0),MAX(0,AD286-IF($A300&gt;='1-Input'!$C$12,'1-Input'!$B$12,0))))*(1/(1-'P-Parametri'!$B$6*AD300))),MAX(0,5*MAX(0,AD286-IF($A300&gt;='1-Input'!$C$12,'1-Input'!$B$12,0))-(AH299-MIN(MAX(AH299,0),MAX(0,AD286-IF($A300&gt;='1-Input'!$C$12,'1-Input'!$B$12,0)))))*(1/(1-'P-Parametri'!$B$6*AD300))))</f>
        <v>19554.645046330577</v>
      </c>
      <c r="AF300" s="18">
        <f>IF($A300&gt;'1-Input'!$B$26,AH299,(AH299-MAX(0,AD286-IF($A300&gt;='1-Input'!$C$12,'1-Input'!$B$12,0))+AE300*(1-'P-Parametri'!$B$6*AD300))*(1+'1-Input'!$B$27))</f>
        <v>85311.594717462009</v>
      </c>
      <c r="AG300" s="18">
        <f>IF($A300&gt;'1-Input'!$B$26,AI299,(AI299-AE300)*(1+'5-Roberta'!$C$4))</f>
        <v>216597.17452731956</v>
      </c>
      <c r="AH300" s="18">
        <f>IF($A300&gt;'1-Input'!$B$26,AF300,AF300-'P-Parametri'!$B$8*(AG300+AF300)+MIN(MAX(AG300,0),'P-Parametri'!$B$8*(AG300+AF300)))</f>
        <v>85311.594717462009</v>
      </c>
      <c r="AI300" s="18">
        <f>IF($A300&gt;'1-Input'!$B$26,AG300,AG300-MIN(MAX(AG300,0),'P-Parametri'!$B$8*(AG300+AF300)))</f>
        <v>215993.35698883</v>
      </c>
      <c r="AJ300" s="18">
        <f>IF($A300&gt;'1-Input'!$B$26,AJ299,AJ299-AE300*(1-AD300))</f>
        <v>122501.67639388598</v>
      </c>
      <c r="AK300" s="11">
        <f>IF($A300&gt;'1-Input'!$B$26,0,IF(AP299&lt;=0,0,MAX(0,(AP299-AQ299)/AP299)))</f>
        <v>0.41745903076535107</v>
      </c>
      <c r="AL300" s="18">
        <f>IF($A300&gt;'1-Input'!$B$26,0,(MAX(0,AK286-IF($A300&gt;='1-Input'!$C$12,'1-Input'!$B$12,0))-MIN(MAX(AO299,0),MAX(0,AK286-IF($A300&gt;='1-Input'!$C$12,'1-Input'!$B$12,0))))*(1/(1-'P-Parametri'!$B$6*AK300))+MIN(MAX(0,AP299-(MAX(0,AK286-IF($A300&gt;='1-Input'!$C$12,'1-Input'!$B$12,0))-MIN(MAX(AO299,0),MAX(0,AK286-IF($A300&gt;='1-Input'!$C$12,'1-Input'!$B$12,0))))*(1/(1-'P-Parametri'!$B$6*AK300))),MAX(0,5*MAX(0,AK286-IF($A300&gt;='1-Input'!$C$12,'1-Input'!$B$12,0))-(AO299-MIN(MAX(AO299,0),MAX(0,AK286-IF($A300&gt;='1-Input'!$C$12,'1-Input'!$B$12,0)))))*(1/(1-'P-Parametri'!$B$6*AK300))))</f>
        <v>19554.661184980698</v>
      </c>
      <c r="AM300" s="18">
        <f>IF($A300&gt;'1-Input'!$B$26,AO299,(AO299-MAX(0,AK286-IF($A300&gt;='1-Input'!$C$12,'1-Input'!$B$12,0))+AL300*(1-'P-Parametri'!$B$6*AK300))*(1+'1-Input'!$B$27))</f>
        <v>85311.6652749856</v>
      </c>
      <c r="AN300" s="18">
        <f>IF($A300&gt;'1-Input'!$B$26,AP299,(AP299-AL300)*(1+'5-Roberta'!$C$4))</f>
        <v>216596.84750606309</v>
      </c>
      <c r="AO300" s="18">
        <f>IF($A300&gt;'1-Input'!$B$26,AM300,AM300-'P-Parametri'!$B$8*(AN300+AM300)+MIN(MAX(AN300,0),'P-Parametri'!$B$8*(AN300+AM300)))</f>
        <v>85311.6652749856</v>
      </c>
      <c r="AP300" s="18">
        <f>IF($A300&gt;'1-Input'!$B$26,AN300,AN300-MIN(MAX(AN300,0),'P-Parametri'!$B$8*(AN300+AM300)))</f>
        <v>215993.03048050098</v>
      </c>
      <c r="AQ300" s="18">
        <f>IF($A300&gt;'1-Input'!$B$26,AQ299,AQ299-AL300*(1-AK300))</f>
        <v>122501.49269839947</v>
      </c>
    </row>
    <row r="301" spans="1:43">
      <c r="A301" s="10">
        <f>13</f>
        <v>13</v>
      </c>
      <c r="B301" s="11">
        <f>IF($A301&gt;'1-Input'!$B$26,0,IF(G300&lt;=0,0,MAX(0,(G300-H300)/G300)))</f>
        <v>0.43305422257031184</v>
      </c>
      <c r="C301" s="18">
        <f>IF($A301&gt;'1-Input'!$B$26,0,(MAX(0,B286-IF($A301&gt;='1-Input'!$C$12,'1-Input'!$B$12,0))-MIN(MAX(F300,0),MAX(0,B286-IF($A301&gt;='1-Input'!$C$12,'1-Input'!$B$12,0))))*(1/(1-'P-Parametri'!$B$6*B301))+MIN(MAX(0,G300-(MAX(0,B286-IF($A301&gt;='1-Input'!$C$12,'1-Input'!$B$12,0))-MIN(MAX(F300,0),MAX(0,B286-IF($A301&gt;='1-Input'!$C$12,'1-Input'!$B$12,0))))*(1/(1-'P-Parametri'!$B$6*B301))),MAX(0,5*MAX(0,B286-IF($A301&gt;='1-Input'!$C$12,'1-Input'!$B$12,0))-(F300-MIN(MAX(F300,0),MAX(0,B286-IF($A301&gt;='1-Input'!$C$12,'1-Input'!$B$12,0)))))*(1/(1-'P-Parametri'!$B$6*B301))))</f>
        <v>19135.904178118159</v>
      </c>
      <c r="D301" s="18">
        <f>IF($A301&gt;'1-Input'!$B$26,F300,(F300-MAX(0,B286-IF($A301&gt;='1-Input'!$C$12,'1-Input'!$B$12,0))+C301*(1-'P-Parametri'!$B$6*B301))*(1+'1-Input'!$B$27))</f>
        <v>83105.01757746574</v>
      </c>
      <c r="E301" s="18">
        <f>IF($A301&gt;'1-Input'!$B$26,G300,(G300-C301)*(1+'5-Roberta'!$C$4))</f>
        <v>213280.82582534137</v>
      </c>
      <c r="F301" s="18">
        <f>IF($A301&gt;'1-Input'!$B$26,D301,D301-'P-Parametri'!$B$8*(E301+D301)+MIN(MAX(E301,0),'P-Parametri'!$B$8*(E301+D301)))</f>
        <v>83105.01757746574</v>
      </c>
      <c r="G301" s="18">
        <f>IF($A301&gt;'1-Input'!$B$26,E301,E301-MIN(MAX(E301,0),'P-Parametri'!$B$8*(E301+D301)))</f>
        <v>212688.05413853575</v>
      </c>
      <c r="H301" s="18">
        <f>IF($A301&gt;'1-Input'!$B$26,H300,H300-C301*(1-B301))</f>
        <v>117396.76078484861</v>
      </c>
      <c r="I301" s="11">
        <f>IF($A301&gt;'1-Input'!$B$26,0,IF(N300&lt;=0,0,MAX(0,(N300-O300)/N300)))</f>
        <v>0.42928511774671857</v>
      </c>
      <c r="J301" s="18">
        <f>IF($A301&gt;'1-Input'!$B$26,0,(MAX(0,I286-IF($A301&gt;='1-Input'!$C$12,'1-Input'!$B$12,0))-MIN(MAX(M300,0),MAX(0,I286-IF($A301&gt;='1-Input'!$C$12,'1-Input'!$B$12,0))))*(1/(1-'P-Parametri'!$B$6*I301))+MIN(MAX(0,N300-(MAX(0,I286-IF($A301&gt;='1-Input'!$C$12,'1-Input'!$B$12,0))-MIN(MAX(M300,0),MAX(0,I286-IF($A301&gt;='1-Input'!$C$12,'1-Input'!$B$12,0))))*(1/(1-'P-Parametri'!$B$6*I301))),MAX(0,5*MAX(0,I286-IF($A301&gt;='1-Input'!$C$12,'1-Input'!$B$12,0))-(M300-MIN(MAX(M300,0),MAX(0,I286-IF($A301&gt;='1-Input'!$C$12,'1-Input'!$B$12,0)))))*(1/(1-'P-Parametri'!$B$6*I301))))</f>
        <v>25151.046846622925</v>
      </c>
      <c r="K301" s="18">
        <f>IF($A301&gt;'1-Input'!$B$26,M300,(M300-MAX(0,I286-IF($A301&gt;='1-Input'!$C$12,'1-Input'!$B$12,0))+J301*(1-'P-Parametri'!$B$6*I301))*(1+'1-Input'!$B$27))</f>
        <v>109348.70733877072</v>
      </c>
      <c r="L301" s="18">
        <f>IF($A301&gt;'1-Input'!$B$26,N300,(N300-J301)*(1+'5-Roberta'!$C$4))</f>
        <v>82041.255863890474</v>
      </c>
      <c r="M301" s="18">
        <f>IF($A301&gt;'1-Input'!$B$26,K301,K301-'P-Parametri'!$B$8*(L301+K301)+MIN(MAX(L301,0),'P-Parametri'!$B$8*(L301+K301)))</f>
        <v>109348.70733877072</v>
      </c>
      <c r="N301" s="18">
        <f>IF($A301&gt;'1-Input'!$B$26,L301,L301-MIN(MAX(L301,0),'P-Parametri'!$B$8*(L301+K301)))</f>
        <v>81658.475937485156</v>
      </c>
      <c r="O301" s="18">
        <f>IF($A301&gt;'1-Input'!$B$26,O300,O300-J301*(1-I301))</f>
        <v>45458.413281817076</v>
      </c>
      <c r="P301" s="11">
        <f>IF($A301&gt;'1-Input'!$B$26,0,IF(U300&lt;=0,0,MAX(0,(U300-V300)/U300)))</f>
        <v>0.43281877617795195</v>
      </c>
      <c r="Q301" s="18">
        <f>IF($A301&gt;'1-Input'!$B$26,0,(MAX(0,P286-IF($A301&gt;='1-Input'!$C$12,'1-Input'!$B$12,0))-MIN(MAX(T300,0),MAX(0,P286-IF($A301&gt;='1-Input'!$C$12,'1-Input'!$B$12,0))))*(1/(1-'P-Parametri'!$B$6*P301))+MIN(MAX(0,U300-(MAX(0,P286-IF($A301&gt;='1-Input'!$C$12,'1-Input'!$B$12,0))-MIN(MAX(T300,0),MAX(0,P286-IF($A301&gt;='1-Input'!$C$12,'1-Input'!$B$12,0))))*(1/(1-'P-Parametri'!$B$6*P301))),MAX(0,5*MAX(0,P286-IF($A301&gt;='1-Input'!$C$12,'1-Input'!$B$12,0))-(T300-MIN(MAX(T300,0),MAX(0,P286-IF($A301&gt;='1-Input'!$C$12,'1-Input'!$B$12,0)))))*(1/(1-'P-Parametri'!$B$6*P301))))</f>
        <v>19704.765659561766</v>
      </c>
      <c r="R301" s="18">
        <f>IF($A301&gt;'1-Input'!$B$26,T300,(T300-MAX(0,P286-IF($A301&gt;='1-Input'!$C$12,'1-Input'!$B$12,0))+Q301*(1-'P-Parametri'!$B$6*P301))*(1+'1-Input'!$B$27))</f>
        <v>85581.420436314511</v>
      </c>
      <c r="S301" s="18">
        <f>IF($A301&gt;'1-Input'!$B$26,U300,(U300-Q301)*(1+'5-Roberta'!$C$4))</f>
        <v>200891.16287786866</v>
      </c>
      <c r="T301" s="18">
        <f>IF($A301&gt;'1-Input'!$B$26,R301,R301-'P-Parametri'!$B$8*(S301+R301)+MIN(MAX(S301,0),'P-Parametri'!$B$8*(S301+R301)))</f>
        <v>85581.420436314511</v>
      </c>
      <c r="U301" s="18">
        <f>IF($A301&gt;'1-Input'!$B$26,S301,S301-MIN(MAX(S301,0),'P-Parametri'!$B$8*(S301+R301)))</f>
        <v>200318.21771124029</v>
      </c>
      <c r="V301" s="18">
        <f>IF($A301&gt;'1-Input'!$B$26,V300,V300-Q301*(1-P301))</f>
        <v>110623.00545252807</v>
      </c>
      <c r="W301" s="11">
        <f>IF($A301&gt;'1-Input'!$B$26,0,IF(AB300&lt;=0,0,MAX(0,(AB300-AC300)/AB300)))</f>
        <v>0.43284486390106297</v>
      </c>
      <c r="X301" s="18">
        <f>IF($A301&gt;'1-Input'!$B$26,0,(MAX(0,W286-IF($A301&gt;='1-Input'!$C$12,'1-Input'!$B$12,0))-MIN(MAX(AA300,0),MAX(0,W286-IF($A301&gt;='1-Input'!$C$12,'1-Input'!$B$12,0))))*(1/(1-'P-Parametri'!$B$6*W301))+MIN(MAX(0,AB300-(MAX(0,W286-IF($A301&gt;='1-Input'!$C$12,'1-Input'!$B$12,0))-MIN(MAX(AA300,0),MAX(0,W286-IF($A301&gt;='1-Input'!$C$12,'1-Input'!$B$12,0))))*(1/(1-'P-Parametri'!$B$6*W301))),MAX(0,5*MAX(0,W286-IF($A301&gt;='1-Input'!$C$12,'1-Input'!$B$12,0))-(AA300-MIN(MAX(AA300,0),MAX(0,W286-IF($A301&gt;='1-Input'!$C$12,'1-Input'!$B$12,0)))))*(1/(1-'P-Parametri'!$B$6*W301))))</f>
        <v>19643.504679130263</v>
      </c>
      <c r="Y301" s="18">
        <f>IF($A301&gt;'1-Input'!$B$26,AA300,(AA300-MAX(0,W286-IF($A301&gt;='1-Input'!$C$12,'1-Input'!$B$12,0))+X301*(1-'P-Parametri'!$B$6*W301))*(1+'1-Input'!$B$27))</f>
        <v>85314.700678730267</v>
      </c>
      <c r="Z301" s="18">
        <f>IF($A301&gt;'1-Input'!$B$26,AB300,(AB300-X301)*(1+'5-Roberta'!$C$4))</f>
        <v>202225.5437050513</v>
      </c>
      <c r="AA301" s="18">
        <f>IF($A301&gt;'1-Input'!$B$26,Y301,Y301-'P-Parametri'!$B$8*(Z301+Y301)+MIN(MAX(Z301,0),'P-Parametri'!$B$8*(Z301+Y301)))</f>
        <v>85314.700678730267</v>
      </c>
      <c r="AB301" s="18">
        <f>IF($A301&gt;'1-Input'!$B$26,Z301,Z301-MIN(MAX(Z301,0),'P-Parametri'!$B$8*(Z301+Y301)))</f>
        <v>201650.46321628374</v>
      </c>
      <c r="AC301" s="18">
        <f>IF($A301&gt;'1-Input'!$B$26,AC300,AC300-X301*(1-W301))</f>
        <v>111352.67549778632</v>
      </c>
      <c r="AD301" s="11">
        <f>IF($A301&gt;'1-Input'!$B$26,0,IF(AI300&lt;=0,0,MAX(0,(AI300-AJ300)/AI300)))</f>
        <v>0.43284516662139244</v>
      </c>
      <c r="AE301" s="18">
        <f>IF($A301&gt;'1-Input'!$B$26,0,(MAX(0,AD286-IF($A301&gt;='1-Input'!$C$12,'1-Input'!$B$12,0))-MIN(MAX(AH300,0),MAX(0,AD286-IF($A301&gt;='1-Input'!$C$12,'1-Input'!$B$12,0))))*(1/(1-'P-Parametri'!$B$6*AD301))+MIN(MAX(0,AI300-(MAX(0,AD286-IF($A301&gt;='1-Input'!$C$12,'1-Input'!$B$12,0))-MIN(MAX(AH300,0),MAX(0,AD286-IF($A301&gt;='1-Input'!$C$12,'1-Input'!$B$12,0))))*(1/(1-'P-Parametri'!$B$6*AD301))),MAX(0,5*MAX(0,AD286-IF($A301&gt;='1-Input'!$C$12,'1-Input'!$B$12,0))-(AH300-MIN(MAX(AH300,0),MAX(0,AD286-IF($A301&gt;='1-Input'!$C$12,'1-Input'!$B$12,0)))))*(1/(1-'P-Parametri'!$B$6*AD301))))</f>
        <v>19642.791281101378</v>
      </c>
      <c r="AF301" s="18">
        <f>IF($A301&gt;'1-Input'!$B$26,AH300,(AH300-MAX(0,AD286-IF($A301&gt;='1-Input'!$C$12,'1-Input'!$B$12,0))+AE301*(1-'P-Parametri'!$B$6*AD301))*(1+'1-Input'!$B$27))</f>
        <v>85311.594717462009</v>
      </c>
      <c r="AG301" s="18">
        <f>IF($A301&gt;'1-Input'!$B$26,AI300,(AI300-AE301)*(1+'5-Roberta'!$C$4))</f>
        <v>202241.08267896049</v>
      </c>
      <c r="AH301" s="18">
        <f>IF($A301&gt;'1-Input'!$B$26,AF301,AF301-'P-Parametri'!$B$8*(AG301+AF301)+MIN(MAX(AG301,0),'P-Parametri'!$B$8*(AG301+AF301)))</f>
        <v>85311.594717462009</v>
      </c>
      <c r="AI301" s="18">
        <f>IF($A301&gt;'1-Input'!$B$26,AG301,AG301-MIN(MAX(AG301,0),'P-Parametri'!$B$8*(AG301+AF301)))</f>
        <v>201665.97732416764</v>
      </c>
      <c r="AJ301" s="18">
        <f>IF($A301&gt;'1-Input'!$B$26,AJ300,AJ300-AE301*(1-AD301))</f>
        <v>111361.17237776217</v>
      </c>
      <c r="AK301" s="11">
        <f>IF($A301&gt;'1-Input'!$B$26,0,IF(AP300&lt;=0,0,MAX(0,(AP300-AQ300)/AP300)))</f>
        <v>0.43284515974482596</v>
      </c>
      <c r="AL301" s="18">
        <f>IF($A301&gt;'1-Input'!$B$26,0,(MAX(0,AK286-IF($A301&gt;='1-Input'!$C$12,'1-Input'!$B$12,0))-MIN(MAX(AO300,0),MAX(0,AK286-IF($A301&gt;='1-Input'!$C$12,'1-Input'!$B$12,0))))*(1/(1-'P-Parametri'!$B$6*AK301))+MIN(MAX(0,AP300-(MAX(0,AK286-IF($A301&gt;='1-Input'!$C$12,'1-Input'!$B$12,0))-MIN(MAX(AO300,0),MAX(0,AK286-IF($A301&gt;='1-Input'!$C$12,'1-Input'!$B$12,0))))*(1/(1-'P-Parametri'!$B$6*AK301))),MAX(0,5*MAX(0,AK286-IF($A301&gt;='1-Input'!$C$12,'1-Input'!$B$12,0))-(AO300-MIN(MAX(AO300,0),MAX(0,AK286-IF($A301&gt;='1-Input'!$C$12,'1-Input'!$B$12,0)))))*(1/(1-'P-Parametri'!$B$6*AK301))))</f>
        <v>19642.807487229897</v>
      </c>
      <c r="AM301" s="18">
        <f>IF($A301&gt;'1-Input'!$B$26,AO300,(AO300-MAX(0,AK286-IF($A301&gt;='1-Input'!$C$12,'1-Input'!$B$12,0))+AL301*(1-'P-Parametri'!$B$6*AK301))*(1+'1-Input'!$B$27))</f>
        <v>85311.6652749856</v>
      </c>
      <c r="AN301" s="18">
        <f>IF($A301&gt;'1-Input'!$B$26,AP300,(AP300-AL301)*(1+'5-Roberta'!$C$4))</f>
        <v>202240.72968306922</v>
      </c>
      <c r="AO301" s="18">
        <f>IF($A301&gt;'1-Input'!$B$26,AM301,AM301-'P-Parametri'!$B$8*(AN301+AM301)+MIN(MAX(AN301,0),'P-Parametri'!$B$8*(AN301+AM301)))</f>
        <v>85311.6652749856</v>
      </c>
      <c r="AP301" s="18">
        <f>IF($A301&gt;'1-Input'!$B$26,AN301,AN301-MIN(MAX(AN301,0),'P-Parametri'!$B$8*(AN301+AM301)))</f>
        <v>201665.62489315312</v>
      </c>
      <c r="AQ301" s="18">
        <f>IF($A301&gt;'1-Input'!$B$26,AQ300,AQ300-AL301*(1-AK301))</f>
        <v>111360.97935581645</v>
      </c>
    </row>
    <row r="302" spans="1:43">
      <c r="A302" s="10">
        <f>14</f>
        <v>14</v>
      </c>
      <c r="B302" s="11">
        <f>IF($A302&gt;'1-Input'!$B$26,0,IF(G301&lt;=0,0,MAX(0,(G301-H301)/G301)))</f>
        <v>0.44803312409646917</v>
      </c>
      <c r="C302" s="18">
        <f>IF($A302&gt;'1-Input'!$B$26,0,(MAX(0,B286-IF($A302&gt;='1-Input'!$C$12,'1-Input'!$B$12,0))-MIN(MAX(F301,0),MAX(0,B286-IF($A302&gt;='1-Input'!$C$12,'1-Input'!$B$12,0))))*(1/(1-'P-Parametri'!$B$6*B302))+MIN(MAX(0,G301-(MAX(0,B286-IF($A302&gt;='1-Input'!$C$12,'1-Input'!$B$12,0))-MIN(MAX(F301,0),MAX(0,B286-IF($A302&gt;='1-Input'!$C$12,'1-Input'!$B$12,0))))*(1/(1-'P-Parametri'!$B$6*B302))),MAX(0,5*MAX(0,B286-IF($A302&gt;='1-Input'!$C$12,'1-Input'!$B$12,0))-(F301-MIN(MAX(F301,0),MAX(0,B286-IF($A302&gt;='1-Input'!$C$12,'1-Input'!$B$12,0)))))*(1/(1-'P-Parametri'!$B$6*B302))))</f>
        <v>19220.255161424153</v>
      </c>
      <c r="D302" s="18">
        <f>IF($A302&gt;'1-Input'!$B$26,F301,(F301-MAX(0,B286-IF($A302&gt;='1-Input'!$C$12,'1-Input'!$B$12,0))+C302*(1-'P-Parametri'!$B$6*B302))*(1+'1-Input'!$B$27))</f>
        <v>83105.01757746574</v>
      </c>
      <c r="E302" s="18">
        <f>IF($A302&gt;'1-Input'!$B$26,G301,(G301-C302)*(1+'5-Roberta'!$C$4))</f>
        <v>199271.83294642493</v>
      </c>
      <c r="F302" s="18">
        <f>IF($A302&gt;'1-Input'!$B$26,D302,D302-'P-Parametri'!$B$8*(E302+D302)+MIN(MAX(E302,0),'P-Parametri'!$B$8*(E302+D302)))</f>
        <v>83105.01757746574</v>
      </c>
      <c r="G302" s="18">
        <f>IF($A302&gt;'1-Input'!$B$26,E302,E302-MIN(MAX(E302,0),'P-Parametri'!$B$8*(E302+D302)))</f>
        <v>198707.07924537716</v>
      </c>
      <c r="H302" s="18">
        <f>IF($A302&gt;'1-Input'!$B$26,H301,H301-C302*(1-B302))</f>
        <v>106787.81658932861</v>
      </c>
      <c r="I302" s="11">
        <f>IF($A302&gt;'1-Input'!$B$26,0,IF(N301&lt;=0,0,MAX(0,(N301-O301)/N301)))</f>
        <v>0.44331053500657508</v>
      </c>
      <c r="J302" s="18">
        <f>IF($A302&gt;'1-Input'!$B$26,0,(MAX(0,I286-IF($A302&gt;='1-Input'!$C$12,'1-Input'!$B$12,0))-MIN(MAX(M301,0),MAX(0,I286-IF($A302&gt;='1-Input'!$C$12,'1-Input'!$B$12,0))))*(1/(1-'P-Parametri'!$B$6*I302))+MIN(MAX(0,N301-(MAX(0,I286-IF($A302&gt;='1-Input'!$C$12,'1-Input'!$B$12,0))-MIN(MAX(M301,0),MAX(0,I286-IF($A302&gt;='1-Input'!$C$12,'1-Input'!$B$12,0))))*(1/(1-'P-Parametri'!$B$6*I302))),MAX(0,5*MAX(0,I286-IF($A302&gt;='1-Input'!$C$12,'1-Input'!$B$12,0))-(M301-MIN(MAX(M301,0),MAX(0,I286-IF($A302&gt;='1-Input'!$C$12,'1-Input'!$B$12,0)))))*(1/(1-'P-Parametri'!$B$6*I302))))</f>
        <v>25254.711310217386</v>
      </c>
      <c r="K302" s="18">
        <f>IF($A302&gt;'1-Input'!$B$26,M301,(M301-MAX(0,I286-IF($A302&gt;='1-Input'!$C$12,'1-Input'!$B$12,0))+J302*(1-'P-Parametri'!$B$6*I302))*(1+'1-Input'!$B$27))</f>
        <v>109348.70733877072</v>
      </c>
      <c r="L302" s="18">
        <f>IF($A302&gt;'1-Input'!$B$26,N301,(N301-J302)*(1+'5-Roberta'!$C$4))</f>
        <v>58095.877566085801</v>
      </c>
      <c r="M302" s="18">
        <f>IF($A302&gt;'1-Input'!$B$26,K302,K302-'P-Parametri'!$B$8*(L302+K302)+MIN(MAX(L302,0),'P-Parametri'!$B$8*(L302+K302)))</f>
        <v>109348.70733877072</v>
      </c>
      <c r="N302" s="18">
        <f>IF($A302&gt;'1-Input'!$B$26,L302,L302-MIN(MAX(L302,0),'P-Parametri'!$B$8*(L302+K302)))</f>
        <v>57760.988396276087</v>
      </c>
      <c r="O302" s="18">
        <f>IF($A302&gt;'1-Input'!$B$26,O301,O301-J302*(1-I302))</f>
        <v>31399.381553968764</v>
      </c>
      <c r="P302" s="11">
        <f>IF($A302&gt;'1-Input'!$B$26,0,IF(U301&lt;=0,0,MAX(0,(U301-V301)/U301)))</f>
        <v>0.44776362970645189</v>
      </c>
      <c r="Q302" s="18">
        <f>IF($A302&gt;'1-Input'!$B$26,0,(MAX(0,P286-IF($A302&gt;='1-Input'!$C$12,'1-Input'!$B$12,0))-MIN(MAX(T301,0),MAX(0,P286-IF($A302&gt;='1-Input'!$C$12,'1-Input'!$B$12,0))))*(1/(1-'P-Parametri'!$B$6*P302))+MIN(MAX(0,U301-(MAX(0,P286-IF($A302&gt;='1-Input'!$C$12,'1-Input'!$B$12,0))-MIN(MAX(T301,0),MAX(0,P286-IF($A302&gt;='1-Input'!$C$12,'1-Input'!$B$12,0))))*(1/(1-'P-Parametri'!$B$6*P302))),MAX(0,5*MAX(0,P286-IF($A302&gt;='1-Input'!$C$12,'1-Input'!$B$12,0))-(T301-MIN(MAX(T301,0),MAX(0,P286-IF($A302&gt;='1-Input'!$C$12,'1-Input'!$B$12,0)))))*(1/(1-'P-Parametri'!$B$6*P302))))</f>
        <v>19791.419874598741</v>
      </c>
      <c r="R302" s="18">
        <f>IF($A302&gt;'1-Input'!$B$26,T301,(T301-MAX(0,P286-IF($A302&gt;='1-Input'!$C$12,'1-Input'!$B$12,0))+Q302*(1-'P-Parametri'!$B$6*P302))*(1+'1-Input'!$B$27))</f>
        <v>85581.420436314511</v>
      </c>
      <c r="S302" s="18">
        <f>IF($A302&gt;'1-Input'!$B$26,U301,(U301-Q302)*(1+'5-Roberta'!$C$4))</f>
        <v>185942.6017717408</v>
      </c>
      <c r="T302" s="18">
        <f>IF($A302&gt;'1-Input'!$B$26,R302,R302-'P-Parametri'!$B$8*(S302+R302)+MIN(MAX(S302,0),'P-Parametri'!$B$8*(S302+R302)))</f>
        <v>85581.420436314511</v>
      </c>
      <c r="U302" s="18">
        <f>IF($A302&gt;'1-Input'!$B$26,S302,S302-MIN(MAX(S302,0),'P-Parametri'!$B$8*(S302+R302)))</f>
        <v>185399.55372732467</v>
      </c>
      <c r="V302" s="18">
        <f>IF($A302&gt;'1-Input'!$B$26,V301,V301-Q302*(1-P302))</f>
        <v>99693.463578024079</v>
      </c>
      <c r="W302" s="11">
        <f>IF($A302&gt;'1-Input'!$B$26,0,IF(AB301&lt;=0,0,MAX(0,(AB301-AC301)/AB301)))</f>
        <v>0.44779360423113407</v>
      </c>
      <c r="X302" s="18">
        <f>IF($A302&gt;'1-Input'!$B$26,0,(MAX(0,W286-IF($A302&gt;='1-Input'!$C$12,'1-Input'!$B$12,0))-MIN(MAX(AA301,0),MAX(0,W286-IF($A302&gt;='1-Input'!$C$12,'1-Input'!$B$12,0))))*(1/(1-'P-Parametri'!$B$6*W302))+MIN(MAX(0,AB301-(MAX(0,W286-IF($A302&gt;='1-Input'!$C$12,'1-Input'!$B$12,0))-MIN(MAX(AA301,0),MAX(0,W286-IF($A302&gt;='1-Input'!$C$12,'1-Input'!$B$12,0))))*(1/(1-'P-Parametri'!$B$6*W302))),MAX(0,5*MAX(0,W286-IF($A302&gt;='1-Input'!$C$12,'1-Input'!$B$12,0))-(AA301-MIN(MAX(AA301,0),MAX(0,W286-IF($A302&gt;='1-Input'!$C$12,'1-Input'!$B$12,0)))))*(1/(1-'P-Parametri'!$B$6*W302))))</f>
        <v>19729.912719984321</v>
      </c>
      <c r="Y302" s="18">
        <f>IF($A302&gt;'1-Input'!$B$26,AA301,(AA301-MAX(0,W286-IF($A302&gt;='1-Input'!$C$12,'1-Input'!$B$12,0))+X302*(1-'P-Parametri'!$B$6*W302))*(1+'1-Input'!$B$27))</f>
        <v>85314.700678730267</v>
      </c>
      <c r="Z302" s="18">
        <f>IF($A302&gt;'1-Input'!$B$26,AB301,(AB301-X302)*(1+'5-Roberta'!$C$4))</f>
        <v>187378.1670111884</v>
      </c>
      <c r="AA302" s="18">
        <f>IF($A302&gt;'1-Input'!$B$26,Y302,Y302-'P-Parametri'!$B$8*(Z302+Y302)+MIN(MAX(Z302,0),'P-Parametri'!$B$8*(Z302+Y302)))</f>
        <v>85314.700678730267</v>
      </c>
      <c r="AB302" s="18">
        <f>IF($A302&gt;'1-Input'!$B$26,Z302,Z302-MIN(MAX(Z302,0),'P-Parametri'!$B$8*(Z302+Y302)))</f>
        <v>186832.78127580858</v>
      </c>
      <c r="AC302" s="18">
        <f>IF($A302&gt;'1-Input'!$B$26,AC301,AC301-X302*(1-W302))</f>
        <v>100457.69150584948</v>
      </c>
      <c r="AD302" s="11">
        <f>IF($A302&gt;'1-Input'!$B$26,0,IF(AI301&lt;=0,0,MAX(0,(AI301-AJ301)/AI301)))</f>
        <v>0.44779395188334209</v>
      </c>
      <c r="AE302" s="18">
        <f>IF($A302&gt;'1-Input'!$B$26,0,(MAX(0,AD286-IF($A302&gt;='1-Input'!$C$12,'1-Input'!$B$12,0))-MIN(MAX(AH301,0),MAX(0,AD286-IF($A302&gt;='1-Input'!$C$12,'1-Input'!$B$12,0))))*(1/(1-'P-Parametri'!$B$6*AD302))+MIN(MAX(0,AI301-(MAX(0,AD286-IF($A302&gt;='1-Input'!$C$12,'1-Input'!$B$12,0))-MIN(MAX(AH301,0),MAX(0,AD286-IF($A302&gt;='1-Input'!$C$12,'1-Input'!$B$12,0))))*(1/(1-'P-Parametri'!$B$6*AD302))),MAX(0,5*MAX(0,AD286-IF($A302&gt;='1-Input'!$C$12,'1-Input'!$B$12,0))-(AH301-MIN(MAX(AH301,0),MAX(0,AD286-IF($A302&gt;='1-Input'!$C$12,'1-Input'!$B$12,0)))))*(1/(1-'P-Parametri'!$B$6*AD302))))</f>
        <v>19729.196452402259</v>
      </c>
      <c r="AF302" s="18">
        <f>IF($A302&gt;'1-Input'!$B$26,AH301,(AH301-MAX(0,AD286-IF($A302&gt;='1-Input'!$C$12,'1-Input'!$B$12,0))+AE302*(1-'P-Parametri'!$B$6*AD302))*(1+'1-Input'!$B$27))</f>
        <v>85311.594717462009</v>
      </c>
      <c r="AG302" s="18">
        <f>IF($A302&gt;'1-Input'!$B$26,AI301,(AI301-AE302)*(1+'5-Roberta'!$C$4))</f>
        <v>187394.88429791835</v>
      </c>
      <c r="AH302" s="18">
        <f>IF($A302&gt;'1-Input'!$B$26,AF302,AF302-'P-Parametri'!$B$8*(AG302+AF302)+MIN(MAX(AG302,0),'P-Parametri'!$B$8*(AG302+AF302)))</f>
        <v>85311.594717462009</v>
      </c>
      <c r="AI302" s="18">
        <f>IF($A302&gt;'1-Input'!$B$26,AG302,AG302-MIN(MAX(AG302,0),'P-Parametri'!$B$8*(AG302+AF302)))</f>
        <v>186849.47133988759</v>
      </c>
      <c r="AJ302" s="18">
        <f>IF($A302&gt;'1-Input'!$B$26,AJ301,AJ301-AE302*(1-AD302))</f>
        <v>100466.59077226392</v>
      </c>
      <c r="AK302" s="11">
        <f>IF($A302&gt;'1-Input'!$B$26,0,IF(AP301&lt;=0,0,MAX(0,(AP301-AQ301)/AP301)))</f>
        <v>0.44779394398615058</v>
      </c>
      <c r="AL302" s="18">
        <f>IF($A302&gt;'1-Input'!$B$26,0,(MAX(0,AK286-IF($A302&gt;='1-Input'!$C$12,'1-Input'!$B$12,0))-MIN(MAX(AO301,0),MAX(0,AK286-IF($A302&gt;='1-Input'!$C$12,'1-Input'!$B$12,0))))*(1/(1-'P-Parametri'!$B$6*AK302))+MIN(MAX(0,AP301-(MAX(0,AK286-IF($A302&gt;='1-Input'!$C$12,'1-Input'!$B$12,0))-MIN(MAX(AO301,0),MAX(0,AK286-IF($A302&gt;='1-Input'!$C$12,'1-Input'!$B$12,0))))*(1/(1-'P-Parametri'!$B$6*AK302))),MAX(0,5*MAX(0,AK286-IF($A302&gt;='1-Input'!$C$12,'1-Input'!$B$12,0))-(AO301-MIN(MAX(AO301,0),MAX(0,AK286-IF($A302&gt;='1-Input'!$C$12,'1-Input'!$B$12,0)))))*(1/(1-'P-Parametri'!$B$6*AK302))))</f>
        <v>19729.212723718585</v>
      </c>
      <c r="AM302" s="18">
        <f>IF($A302&gt;'1-Input'!$B$26,AO301,(AO301-MAX(0,AK286-IF($A302&gt;='1-Input'!$C$12,'1-Input'!$B$12,0))+AL302*(1-'P-Parametri'!$B$6*AK302))*(1+'1-Input'!$B$27))</f>
        <v>85311.6652749856</v>
      </c>
      <c r="AN302" s="18">
        <f>IF($A302&gt;'1-Input'!$B$26,AP301,(AP301-AL302)*(1+'5-Roberta'!$C$4))</f>
        <v>187394.50453451759</v>
      </c>
      <c r="AO302" s="18">
        <f>IF($A302&gt;'1-Input'!$B$26,AM302,AM302-'P-Parametri'!$B$8*(AN302+AM302)+MIN(MAX(AN302,0),'P-Parametri'!$B$8*(AN302+AM302)))</f>
        <v>85311.6652749856</v>
      </c>
      <c r="AP302" s="18">
        <f>IF($A302&gt;'1-Input'!$B$26,AN302,AN302-MIN(MAX(AN302,0),'P-Parametri'!$B$8*(AN302+AM302)))</f>
        <v>186849.09219489858</v>
      </c>
      <c r="AQ302" s="18">
        <f>IF($A302&gt;'1-Input'!$B$26,AQ301,AQ301-AL302*(1-AK302))</f>
        <v>100466.38860939356</v>
      </c>
    </row>
    <row r="303" spans="1:43">
      <c r="A303" s="10">
        <f>15</f>
        <v>15</v>
      </c>
      <c r="B303" s="11">
        <f>IF($A303&gt;'1-Input'!$B$26,0,IF(G302&lt;=0,0,MAX(0,(G302-H302)/G302)))</f>
        <v>0.46258675335135058</v>
      </c>
      <c r="C303" s="18">
        <f>IF($A303&gt;'1-Input'!$B$26,0,(MAX(0,B286-IF($A303&gt;='1-Input'!$C$12,'1-Input'!$B$12,0))-MIN(MAX(F302,0),MAX(0,B286-IF($A303&gt;='1-Input'!$C$12,'1-Input'!$B$12,0))))*(1/(1-'P-Parametri'!$B$6*B303))+MIN(MAX(0,G302-(MAX(0,B286-IF($A303&gt;='1-Input'!$C$12,'1-Input'!$B$12,0))-MIN(MAX(F302,0),MAX(0,B286-IF($A303&gt;='1-Input'!$C$12,'1-Input'!$B$12,0))))*(1/(1-'P-Parametri'!$B$6*B303))),MAX(0,5*MAX(0,B286-IF($A303&gt;='1-Input'!$C$12,'1-Input'!$B$12,0))-(F302-MIN(MAX(F302,0),MAX(0,B286-IF($A303&gt;='1-Input'!$C$12,'1-Input'!$B$12,0)))))*(1/(1-'P-Parametri'!$B$6*B303))))</f>
        <v>19302.926632132865</v>
      </c>
      <c r="D303" s="18">
        <f>IF($A303&gt;'1-Input'!$B$26,F302,(F302-MAX(0,B286-IF($A303&gt;='1-Input'!$C$12,'1-Input'!$B$12,0))+C303*(1-'P-Parametri'!$B$6*B303))*(1+'1-Input'!$B$27))</f>
        <v>83105.01757746574</v>
      </c>
      <c r="E303" s="18">
        <f>IF($A303&gt;'1-Input'!$B$26,G302,(G302-C303)*(1+'5-Roberta'!$C$4))</f>
        <v>184786.27719164162</v>
      </c>
      <c r="F303" s="18">
        <f>IF($A303&gt;'1-Input'!$B$26,D303,D303-'P-Parametri'!$B$8*(E303+D303)+MIN(MAX(E303,0),'P-Parametri'!$B$8*(E303+D303)))</f>
        <v>83105.01757746574</v>
      </c>
      <c r="G303" s="18">
        <f>IF($A303&gt;'1-Input'!$B$26,E303,E303-MIN(MAX(E303,0),'P-Parametri'!$B$8*(E303+D303)))</f>
        <v>184250.4946021034</v>
      </c>
      <c r="H303" s="18">
        <f>IF($A303&gt;'1-Input'!$B$26,H302,H302-C303*(1-B303))</f>
        <v>96414.168118133399</v>
      </c>
      <c r="I303" s="11">
        <f>IF($A303&gt;'1-Input'!$B$26,0,IF(N302&lt;=0,0,MAX(0,(N302-O302)/N302)))</f>
        <v>0.45639120060498972</v>
      </c>
      <c r="J303" s="18">
        <f>IF($A303&gt;'1-Input'!$B$26,0,(MAX(0,I286-IF($A303&gt;='1-Input'!$C$12,'1-Input'!$B$12,0))-MIN(MAX(M302,0),MAX(0,I286-IF($A303&gt;='1-Input'!$C$12,'1-Input'!$B$12,0))))*(1/(1-'P-Parametri'!$B$6*I303))+MIN(MAX(0,N302-(MAX(0,I286-IF($A303&gt;='1-Input'!$C$12,'1-Input'!$B$12,0))-MIN(MAX(M302,0),MAX(0,I286-IF($A303&gt;='1-Input'!$C$12,'1-Input'!$B$12,0))))*(1/(1-'P-Parametri'!$B$6*I303))),MAX(0,5*MAX(0,I286-IF($A303&gt;='1-Input'!$C$12,'1-Input'!$B$12,0))-(M302-MIN(MAX(M302,0),MAX(0,I286-IF($A303&gt;='1-Input'!$C$12,'1-Input'!$B$12,0)))))*(1/(1-'P-Parametri'!$B$6*I303))))</f>
        <v>25352.166049081545</v>
      </c>
      <c r="K303" s="18">
        <f>IF($A303&gt;'1-Input'!$B$26,M302,(M302-MAX(0,I286-IF($A303&gt;='1-Input'!$C$12,'1-Input'!$B$12,0))+J303*(1-'P-Parametri'!$B$6*I303))*(1+'1-Input'!$B$27))</f>
        <v>109348.70733877072</v>
      </c>
      <c r="L303" s="18">
        <f>IF($A303&gt;'1-Input'!$B$26,N302,(N302-J303)*(1+'5-Roberta'!$C$4))</f>
        <v>33381.087017610378</v>
      </c>
      <c r="M303" s="18">
        <f>IF($A303&gt;'1-Input'!$B$26,K303,K303-'P-Parametri'!$B$8*(L303+K303)+MIN(MAX(L303,0),'P-Parametri'!$B$8*(L303+K303)))</f>
        <v>109348.70733877072</v>
      </c>
      <c r="N303" s="18">
        <f>IF($A303&gt;'1-Input'!$B$26,L303,L303-MIN(MAX(L303,0),'P-Parametri'!$B$8*(L303+K303)))</f>
        <v>33095.627428897613</v>
      </c>
      <c r="O303" s="18">
        <f>IF($A303&gt;'1-Input'!$B$26,O302,O302-J303*(1-I303))</f>
        <v>17617.721005964602</v>
      </c>
      <c r="P303" s="11">
        <f>IF($A303&gt;'1-Input'!$B$26,0,IF(U302&lt;=0,0,MAX(0,(U302-V302)/U302)))</f>
        <v>0.462277758636638</v>
      </c>
      <c r="Q303" s="18">
        <f>IF($A303&gt;'1-Input'!$B$26,0,(MAX(0,P286-IF($A303&gt;='1-Input'!$C$12,'1-Input'!$B$12,0))-MIN(MAX(T302,0),MAX(0,P286-IF($A303&gt;='1-Input'!$C$12,'1-Input'!$B$12,0))))*(1/(1-'P-Parametri'!$B$6*P303))+MIN(MAX(0,U302-(MAX(0,P286-IF($A303&gt;='1-Input'!$C$12,'1-Input'!$B$12,0))-MIN(MAX(T302,0),MAX(0,P286-IF($A303&gt;='1-Input'!$C$12,'1-Input'!$B$12,0))))*(1/(1-'P-Parametri'!$B$6*P303))),MAX(0,5*MAX(0,P286-IF($A303&gt;='1-Input'!$C$12,'1-Input'!$B$12,0))-(T302-MIN(MAX(T302,0),MAX(0,P286-IF($A303&gt;='1-Input'!$C$12,'1-Input'!$B$12,0)))))*(1/(1-'P-Parametri'!$B$6*P303))))</f>
        <v>19876.309277266591</v>
      </c>
      <c r="R303" s="18">
        <f>IF($A303&gt;'1-Input'!$B$26,T302,(T302-MAX(0,P286-IF($A303&gt;='1-Input'!$C$12,'1-Input'!$B$12,0))+Q303*(1-'P-Parametri'!$B$6*P303))*(1+'1-Input'!$B$27))</f>
        <v>85581.420436314511</v>
      </c>
      <c r="S303" s="18">
        <f>IF($A303&gt;'1-Input'!$B$26,U302,(U302-Q303)*(1+'5-Roberta'!$C$4))</f>
        <v>170488.94178355983</v>
      </c>
      <c r="T303" s="18">
        <f>IF($A303&gt;'1-Input'!$B$26,R303,R303-'P-Parametri'!$B$8*(S303+R303)+MIN(MAX(S303,0),'P-Parametri'!$B$8*(S303+R303)))</f>
        <v>85581.420436314511</v>
      </c>
      <c r="U303" s="18">
        <f>IF($A303&gt;'1-Input'!$B$26,S303,S303-MIN(MAX(S303,0),'P-Parametri'!$B$8*(S303+R303)))</f>
        <v>169976.80105912007</v>
      </c>
      <c r="V303" s="18">
        <f>IF($A303&gt;'1-Input'!$B$26,V302,V302-Q303*(1-P303))</f>
        <v>89005.530003420907</v>
      </c>
      <c r="W303" s="11">
        <f>IF($A303&gt;'1-Input'!$B$26,0,IF(AB302&lt;=0,0,MAX(0,(AB302-AC302)/AB302)))</f>
        <v>0.46231228363747051</v>
      </c>
      <c r="X303" s="18">
        <f>IF($A303&gt;'1-Input'!$B$26,0,(MAX(0,W286-IF($A303&gt;='1-Input'!$C$12,'1-Input'!$B$12,0))-MIN(MAX(AA302,0),MAX(0,W286-IF($A303&gt;='1-Input'!$C$12,'1-Input'!$B$12,0))))*(1/(1-'P-Parametri'!$B$6*W303))+MIN(MAX(0,AB302-(MAX(0,W286-IF($A303&gt;='1-Input'!$C$12,'1-Input'!$B$12,0))-MIN(MAX(AA302,0),MAX(0,W286-IF($A303&gt;='1-Input'!$C$12,'1-Input'!$B$12,0))))*(1/(1-'P-Parametri'!$B$6*W303))),MAX(0,5*MAX(0,W286-IF($A303&gt;='1-Input'!$C$12,'1-Input'!$B$12,0))-(AA302-MIN(MAX(AA302,0),MAX(0,W286-IF($A303&gt;='1-Input'!$C$12,'1-Input'!$B$12,0)))))*(1/(1-'P-Parametri'!$B$6*W303))))</f>
        <v>19814.565701574698</v>
      </c>
      <c r="Y303" s="18">
        <f>IF($A303&gt;'1-Input'!$B$26,AA302,(AA302-MAX(0,W286-IF($A303&gt;='1-Input'!$C$12,'1-Input'!$B$12,0))+X303*(1-'P-Parametri'!$B$6*W303))*(1+'1-Input'!$B$27))</f>
        <v>85314.700678730267</v>
      </c>
      <c r="Z303" s="18">
        <f>IF($A303&gt;'1-Input'!$B$26,AB302,(AB302-X303)*(1+'5-Roberta'!$C$4))</f>
        <v>172028.7620414609</v>
      </c>
      <c r="AA303" s="18">
        <f>IF($A303&gt;'1-Input'!$B$26,Y303,Y303-'P-Parametri'!$B$8*(Z303+Y303)+MIN(MAX(Z303,0),'P-Parametri'!$B$8*(Z303+Y303)))</f>
        <v>85314.700678730267</v>
      </c>
      <c r="AB303" s="18">
        <f>IF($A303&gt;'1-Input'!$B$26,Z303,Z303-MIN(MAX(Z303,0),'P-Parametri'!$B$8*(Z303+Y303)))</f>
        <v>171514.07511602051</v>
      </c>
      <c r="AC303" s="18">
        <f>IF($A303&gt;'1-Input'!$B$26,AC302,AC302-X303*(1-W303))</f>
        <v>89803.642923054475</v>
      </c>
      <c r="AD303" s="11">
        <f>IF($A303&gt;'1-Input'!$B$26,0,IF(AI302&lt;=0,0,MAX(0,(AI302-AJ302)/AI302)))</f>
        <v>0.46231268383141061</v>
      </c>
      <c r="AE303" s="18">
        <f>IF($A303&gt;'1-Input'!$B$26,0,(MAX(0,AD286-IF($A303&gt;='1-Input'!$C$12,'1-Input'!$B$12,0))-MIN(MAX(AH302,0),MAX(0,AD286-IF($A303&gt;='1-Input'!$C$12,'1-Input'!$B$12,0))))*(1/(1-'P-Parametri'!$B$6*AD303))+MIN(MAX(0,AI302-(MAX(0,AD286-IF($A303&gt;='1-Input'!$C$12,'1-Input'!$B$12,0))-MIN(MAX(AH302,0),MAX(0,AD286-IF($A303&gt;='1-Input'!$C$12,'1-Input'!$B$12,0))))*(1/(1-'P-Parametri'!$B$6*AD303))),MAX(0,5*MAX(0,AD286-IF($A303&gt;='1-Input'!$C$12,'1-Input'!$B$12,0))-(AH302-MIN(MAX(AH302,0),MAX(0,AD286-IF($A303&gt;='1-Input'!$C$12,'1-Input'!$B$12,0)))))*(1/(1-'P-Parametri'!$B$6*AD303))))</f>
        <v>19813.846677132846</v>
      </c>
      <c r="AF303" s="18">
        <f>IF($A303&gt;'1-Input'!$B$26,AH302,(AH302-MAX(0,AD286-IF($A303&gt;='1-Input'!$C$12,'1-Input'!$B$12,0))+AE303*(1-'P-Parametri'!$B$6*AD303))*(1+'1-Input'!$B$27))</f>
        <v>85311.594717462009</v>
      </c>
      <c r="AG303" s="18">
        <f>IF($A303&gt;'1-Input'!$B$26,AI302,(AI302-AE303)*(1+'5-Roberta'!$C$4))</f>
        <v>172046.69340263738</v>
      </c>
      <c r="AH303" s="18">
        <f>IF($A303&gt;'1-Input'!$B$26,AF303,AF303-'P-Parametri'!$B$8*(AG303+AF303)+MIN(MAX(AG303,0),'P-Parametri'!$B$8*(AG303+AF303)))</f>
        <v>85311.594717462009</v>
      </c>
      <c r="AI303" s="18">
        <f>IF($A303&gt;'1-Input'!$B$26,AG303,AG303-MIN(MAX(AG303,0),'P-Parametri'!$B$8*(AG303+AF303)))</f>
        <v>171531.97682639718</v>
      </c>
      <c r="AJ303" s="18">
        <f>IF($A303&gt;'1-Input'!$B$26,AJ302,AJ302-AE303*(1-AD303))</f>
        <v>89812.936729460445</v>
      </c>
      <c r="AK303" s="11">
        <f>IF($A303&gt;'1-Input'!$B$26,0,IF(AP302&lt;=0,0,MAX(0,(AP302-AQ302)/AP302)))</f>
        <v>0.46231267474075249</v>
      </c>
      <c r="AL303" s="18">
        <f>IF($A303&gt;'1-Input'!$B$26,0,(MAX(0,AK286-IF($A303&gt;='1-Input'!$C$12,'1-Input'!$B$12,0))-MIN(MAX(AO302,0),MAX(0,AK286-IF($A303&gt;='1-Input'!$C$12,'1-Input'!$B$12,0))))*(1/(1-'P-Parametri'!$B$6*AK303))+MIN(MAX(0,AP302-(MAX(0,AK286-IF($A303&gt;='1-Input'!$C$12,'1-Input'!$B$12,0))-MIN(MAX(AO302,0),MAX(0,AK286-IF($A303&gt;='1-Input'!$C$12,'1-Input'!$B$12,0))))*(1/(1-'P-Parametri'!$B$6*AK303))),MAX(0,5*MAX(0,AK286-IF($A303&gt;='1-Input'!$C$12,'1-Input'!$B$12,0))-(AO302-MIN(MAX(AO302,0),MAX(0,AK286-IF($A303&gt;='1-Input'!$C$12,'1-Input'!$B$12,0)))))*(1/(1-'P-Parametri'!$B$6*AK303))))</f>
        <v>19813.863011077174</v>
      </c>
      <c r="AM303" s="18">
        <f>IF($A303&gt;'1-Input'!$B$26,AO302,(AO302-MAX(0,AK286-IF($A303&gt;='1-Input'!$C$12,'1-Input'!$B$12,0))+AL303*(1-'P-Parametri'!$B$6*AK303))*(1+'1-Input'!$B$27))</f>
        <v>85311.6652749856</v>
      </c>
      <c r="AN303" s="18">
        <f>IF($A303&gt;'1-Input'!$B$26,AP302,(AP302-AL303)*(1+'5-Roberta'!$C$4))</f>
        <v>172046.28605933607</v>
      </c>
      <c r="AO303" s="18">
        <f>IF($A303&gt;'1-Input'!$B$26,AM303,AM303-'P-Parametri'!$B$8*(AN303+AM303)+MIN(MAX(AN303,0),'P-Parametri'!$B$8*(AN303+AM303)))</f>
        <v>85311.6652749856</v>
      </c>
      <c r="AP303" s="18">
        <f>IF($A303&gt;'1-Input'!$B$26,AN303,AN303-MIN(MAX(AN303,0),'P-Parametri'!$B$8*(AN303+AM303)))</f>
        <v>171531.57015666741</v>
      </c>
      <c r="AQ303" s="18">
        <f>IF($A303&gt;'1-Input'!$B$26,AQ302,AQ302-AL303*(1-AK303))</f>
        <v>89812.725603914325</v>
      </c>
    </row>
    <row r="304" spans="1:43">
      <c r="A304" s="10">
        <f>16</f>
        <v>16</v>
      </c>
      <c r="B304" s="11">
        <f>IF($A304&gt;'1-Input'!$B$26,0,IF(G303&lt;=0,0,MAX(0,(G303-H303)/G303)))</f>
        <v>0.47672233756363147</v>
      </c>
      <c r="C304" s="18">
        <f>IF($A304&gt;'1-Input'!$B$26,0,(MAX(0,B286-IF($A304&gt;='1-Input'!$C$12,'1-Input'!$B$12,0))-MIN(MAX(F303,0),MAX(0,B286-IF($A304&gt;='1-Input'!$C$12,'1-Input'!$B$12,0))))*(1/(1-'P-Parametri'!$B$6*B304))+MIN(MAX(0,G303-(MAX(0,B286-IF($A304&gt;='1-Input'!$C$12,'1-Input'!$B$12,0))-MIN(MAX(F303,0),MAX(0,B286-IF($A304&gt;='1-Input'!$C$12,'1-Input'!$B$12,0))))*(1/(1-'P-Parametri'!$B$6*B304))),MAX(0,5*MAX(0,B286-IF($A304&gt;='1-Input'!$C$12,'1-Input'!$B$12,0))-(F303-MIN(MAX(F303,0),MAX(0,B286-IF($A304&gt;='1-Input'!$C$12,'1-Input'!$B$12,0)))))*(1/(1-'P-Parametri'!$B$6*B304))))</f>
        <v>19383.907101466153</v>
      </c>
      <c r="D304" s="18">
        <f>IF($A304&gt;'1-Input'!$B$26,F303,(F303-MAX(0,B286-IF($A304&gt;='1-Input'!$C$12,'1-Input'!$B$12,0))+C304*(1-'P-Parametri'!$B$6*B304))*(1+'1-Input'!$B$27))</f>
        <v>83105.01757746574</v>
      </c>
      <c r="E304" s="18">
        <f>IF($A304&gt;'1-Input'!$B$26,G303,(G303-C304)*(1+'5-Roberta'!$C$4))</f>
        <v>169812.58512565636</v>
      </c>
      <c r="F304" s="18">
        <f>IF($A304&gt;'1-Input'!$B$26,D304,D304-'P-Parametri'!$B$8*(E304+D304)+MIN(MAX(E304,0),'P-Parametri'!$B$8*(E304+D304)))</f>
        <v>83105.01757746574</v>
      </c>
      <c r="G304" s="18">
        <f>IF($A304&gt;'1-Input'!$B$26,E304,E304-MIN(MAX(E304,0),'P-Parametri'!$B$8*(E304+D304)))</f>
        <v>169306.74992025012</v>
      </c>
      <c r="H304" s="18">
        <f>IF($A304&gt;'1-Input'!$B$26,H303,H303-C304*(1-B304))</f>
        <v>86271.002521194459</v>
      </c>
      <c r="I304" s="11">
        <f>IF($A304&gt;'1-Input'!$B$26,0,IF(N303&lt;=0,0,MAX(0,(N303-O303)/N303)))</f>
        <v>0.46767224631669618</v>
      </c>
      <c r="J304" s="18">
        <f>IF($A304&gt;'1-Input'!$B$26,0,(MAX(0,I286-IF($A304&gt;='1-Input'!$C$12,'1-Input'!$B$12,0))-MIN(MAX(M303,0),MAX(0,I286-IF($A304&gt;='1-Input'!$C$12,'1-Input'!$B$12,0))))*(1/(1-'P-Parametri'!$B$6*I304))+MIN(MAX(0,N303-(MAX(0,I286-IF($A304&gt;='1-Input'!$C$12,'1-Input'!$B$12,0))-MIN(MAX(M303,0),MAX(0,I286-IF($A304&gt;='1-Input'!$C$12,'1-Input'!$B$12,0))))*(1/(1-'P-Parametri'!$B$6*I304))),MAX(0,5*MAX(0,I286-IF($A304&gt;='1-Input'!$C$12,'1-Input'!$B$12,0))-(M303-MIN(MAX(M303,0),MAX(0,I286-IF($A304&gt;='1-Input'!$C$12,'1-Input'!$B$12,0)))))*(1/(1-'P-Parametri'!$B$6*I304))))</f>
        <v>25436.81915007942</v>
      </c>
      <c r="K304" s="18">
        <f>IF($A304&gt;'1-Input'!$B$26,M303,(M303-MAX(0,I286-IF($A304&gt;='1-Input'!$C$12,'1-Input'!$B$12,0))+J304*(1-'P-Parametri'!$B$6*I304))*(1+'1-Input'!$B$27))</f>
        <v>109348.70733877072</v>
      </c>
      <c r="L304" s="18">
        <f>IF($A304&gt;'1-Input'!$B$26,N303,(N303-J304)*(1+'5-Roberta'!$C$4))</f>
        <v>7888.5725271827387</v>
      </c>
      <c r="M304" s="18">
        <f>IF($A304&gt;'1-Input'!$B$26,K304,K304-'P-Parametri'!$B$8*(L304+K304)+MIN(MAX(L304,0),'P-Parametri'!$B$8*(L304+K304)))</f>
        <v>109348.70733877072</v>
      </c>
      <c r="N304" s="18">
        <f>IF($A304&gt;'1-Input'!$B$26,L304,L304-MIN(MAX(L304,0),'P-Parametri'!$B$8*(L304+K304)))</f>
        <v>7654.0979674508317</v>
      </c>
      <c r="O304" s="18">
        <f>IF($A304&gt;'1-Input'!$B$26,O303,O303-J304*(1-I304))</f>
        <v>4076.9962069543799</v>
      </c>
      <c r="P304" s="11">
        <f>IF($A304&gt;'1-Input'!$B$26,0,IF(U303&lt;=0,0,MAX(0,(U303-V303)/U303)))</f>
        <v>0.47636660150779248</v>
      </c>
      <c r="Q304" s="18">
        <f>IF($A304&gt;'1-Input'!$B$26,0,(MAX(0,P286-IF($A304&gt;='1-Input'!$C$12,'1-Input'!$B$12,0))-MIN(MAX(T303,0),MAX(0,P286-IF($A304&gt;='1-Input'!$C$12,'1-Input'!$B$12,0))))*(1/(1-'P-Parametri'!$B$6*P304))+MIN(MAX(0,U303-(MAX(0,P286-IF($A304&gt;='1-Input'!$C$12,'1-Input'!$B$12,0))-MIN(MAX(T303,0),MAX(0,P286-IF($A304&gt;='1-Input'!$C$12,'1-Input'!$B$12,0))))*(1/(1-'P-Parametri'!$B$6*P304))),MAX(0,5*MAX(0,P286-IF($A304&gt;='1-Input'!$C$12,'1-Input'!$B$12,0))-(T303-MIN(MAX(T303,0),MAX(0,P286-IF($A304&gt;='1-Input'!$C$12,'1-Input'!$B$12,0)))))*(1/(1-'P-Parametri'!$B$6*P304))))</f>
        <v>19959.410724905701</v>
      </c>
      <c r="R304" s="18">
        <f>IF($A304&gt;'1-Input'!$B$26,T303,(T303-MAX(0,P286-IF($A304&gt;='1-Input'!$C$12,'1-Input'!$B$12,0))+Q304*(1-'P-Parametri'!$B$6*P304))*(1+'1-Input'!$B$27))</f>
        <v>85581.420436314511</v>
      </c>
      <c r="S304" s="18">
        <f>IF($A304&gt;'1-Input'!$B$26,U303,(U303-Q304)*(1+'5-Roberta'!$C$4))</f>
        <v>154517.9120442408</v>
      </c>
      <c r="T304" s="18">
        <f>IF($A304&gt;'1-Input'!$B$26,R304,R304-'P-Parametri'!$B$8*(S304+R304)+MIN(MAX(S304,0),'P-Parametri'!$B$8*(S304+R304)))</f>
        <v>85581.420436314511</v>
      </c>
      <c r="U304" s="18">
        <f>IF($A304&gt;'1-Input'!$B$26,S304,S304-MIN(MAX(S304,0),'P-Parametri'!$B$8*(S304+R304)))</f>
        <v>154037.71337927968</v>
      </c>
      <c r="V304" s="18">
        <f>IF($A304&gt;'1-Input'!$B$26,V303,V303-Q304*(1-P304))</f>
        <v>78554.115933636727</v>
      </c>
      <c r="W304" s="11">
        <f>IF($A304&gt;'1-Input'!$B$26,0,IF(AB303&lt;=0,0,MAX(0,(AB303-AC303)/AB303)))</f>
        <v>0.47640656976806772</v>
      </c>
      <c r="X304" s="18">
        <f>IF($A304&gt;'1-Input'!$B$26,0,(MAX(0,W286-IF($A304&gt;='1-Input'!$C$12,'1-Input'!$B$12,0))-MIN(MAX(AA303,0),MAX(0,W286-IF($A304&gt;='1-Input'!$C$12,'1-Input'!$B$12,0))))*(1/(1-'P-Parametri'!$B$6*W304))+MIN(MAX(0,AB303-(MAX(0,W286-IF($A304&gt;='1-Input'!$C$12,'1-Input'!$B$12,0))-MIN(MAX(AA303,0),MAX(0,W286-IF($A304&gt;='1-Input'!$C$12,'1-Input'!$B$12,0))))*(1/(1-'P-Parametri'!$B$6*W304))),MAX(0,5*MAX(0,W286-IF($A304&gt;='1-Input'!$C$12,'1-Input'!$B$12,0))-(AA303-MIN(MAX(AA303,0),MAX(0,W286-IF($A304&gt;='1-Input'!$C$12,'1-Input'!$B$12,0)))))*(1/(1-'P-Parametri'!$B$6*W304))))</f>
        <v>19897.441993369212</v>
      </c>
      <c r="Y304" s="18">
        <f>IF($A304&gt;'1-Input'!$B$26,AA303,(AA303-MAX(0,W286-IF($A304&gt;='1-Input'!$C$12,'1-Input'!$B$12,0))+X304*(1-'P-Parametri'!$B$6*W304))*(1+'1-Input'!$B$27))</f>
        <v>85314.700678730267</v>
      </c>
      <c r="Z304" s="18">
        <f>IF($A304&gt;'1-Input'!$B$26,AB303,(AB303-X304)*(1+'5-Roberta'!$C$4))</f>
        <v>156165.13211633085</v>
      </c>
      <c r="AA304" s="18">
        <f>IF($A304&gt;'1-Input'!$B$26,Y304,Y304-'P-Parametri'!$B$8*(Z304+Y304)+MIN(MAX(Z304,0),'P-Parametri'!$B$8*(Z304+Y304)))</f>
        <v>85314.700678730267</v>
      </c>
      <c r="AB304" s="18">
        <f>IF($A304&gt;'1-Input'!$B$26,Z304,Z304-MIN(MAX(Z304,0),'P-Parametri'!$B$8*(Z304+Y304)))</f>
        <v>155682.17245074073</v>
      </c>
      <c r="AC304" s="18">
        <f>IF($A304&gt;'1-Input'!$B$26,AC303,AC303-X304*(1-W304))</f>
        <v>79385.473016905395</v>
      </c>
      <c r="AD304" s="11">
        <f>IF($A304&gt;'1-Input'!$B$26,0,IF(AI303&lt;=0,0,MAX(0,(AI303-AJ303)/AI303)))</f>
        <v>0.47640703272278112</v>
      </c>
      <c r="AE304" s="18">
        <f>IF($A304&gt;'1-Input'!$B$26,0,(MAX(0,AD286-IF($A304&gt;='1-Input'!$C$12,'1-Input'!$B$12,0))-MIN(MAX(AH303,0),MAX(0,AD286-IF($A304&gt;='1-Input'!$C$12,'1-Input'!$B$12,0))))*(1/(1-'P-Parametri'!$B$6*AD304))+MIN(MAX(0,AI303-(MAX(0,AD286-IF($A304&gt;='1-Input'!$C$12,'1-Input'!$B$12,0))-MIN(MAX(AH303,0),MAX(0,AD286-IF($A304&gt;='1-Input'!$C$12,'1-Input'!$B$12,0))))*(1/(1-'P-Parametri'!$B$6*AD304))),MAX(0,5*MAX(0,AD286-IF($A304&gt;='1-Input'!$C$12,'1-Input'!$B$12,0))-(AH303-MIN(MAX(AH303,0),MAX(0,AD286-IF($A304&gt;='1-Input'!$C$12,'1-Input'!$B$12,0)))))*(1/(1-'P-Parametri'!$B$6*AD304))))</f>
        <v>19896.720341953758</v>
      </c>
      <c r="AF304" s="18">
        <f>IF($A304&gt;'1-Input'!$B$26,AH303,(AH303-MAX(0,AD286-IF($A304&gt;='1-Input'!$C$12,'1-Input'!$B$12,0))+AE304*(1-'P-Parametri'!$B$6*AD304))*(1+'1-Input'!$B$27))</f>
        <v>85311.594717462009</v>
      </c>
      <c r="AG304" s="18">
        <f>IF($A304&gt;'1-Input'!$B$26,AI303,(AI303-AE304)*(1+'5-Roberta'!$C$4))</f>
        <v>156184.31417897673</v>
      </c>
      <c r="AH304" s="18">
        <f>IF($A304&gt;'1-Input'!$B$26,AF304,AF304-'P-Parametri'!$B$8*(AG304+AF304)+MIN(MAX(AG304,0),'P-Parametri'!$B$8*(AG304+AF304)))</f>
        <v>85311.594717462009</v>
      </c>
      <c r="AI304" s="18">
        <f>IF($A304&gt;'1-Input'!$B$26,AG304,AG304-MIN(MAX(AG304,0),'P-Parametri'!$B$8*(AG304+AF304)))</f>
        <v>155701.32236118385</v>
      </c>
      <c r="AJ304" s="18">
        <f>IF($A304&gt;'1-Input'!$B$26,AJ303,AJ303-AE304*(1-AD304))</f>
        <v>79395.153886531873</v>
      </c>
      <c r="AK304" s="11">
        <f>IF($A304&gt;'1-Input'!$B$26,0,IF(AP303&lt;=0,0,MAX(0,(AP303-AQ303)/AP303)))</f>
        <v>0.47640702220655728</v>
      </c>
      <c r="AL304" s="18">
        <f>IF($A304&gt;'1-Input'!$B$26,0,(MAX(0,AK286-IF($A304&gt;='1-Input'!$C$12,'1-Input'!$B$12,0))-MIN(MAX(AO303,0),MAX(0,AK286-IF($A304&gt;='1-Input'!$C$12,'1-Input'!$B$12,0))))*(1/(1-'P-Parametri'!$B$6*AK304))+MIN(MAX(0,AP303-(MAX(0,AK286-IF($A304&gt;='1-Input'!$C$12,'1-Input'!$B$12,0))-MIN(MAX(AO303,0),MAX(0,AK286-IF($A304&gt;='1-Input'!$C$12,'1-Input'!$B$12,0))))*(1/(1-'P-Parametri'!$B$6*AK304))),MAX(0,5*MAX(0,AK286-IF($A304&gt;='1-Input'!$C$12,'1-Input'!$B$12,0))-(AO303-MIN(MAX(AO303,0),MAX(0,AK286-IF($A304&gt;='1-Input'!$C$12,'1-Input'!$B$12,0)))))*(1/(1-'P-Parametri'!$B$6*AK304))))</f>
        <v>19896.736735575814</v>
      </c>
      <c r="AM304" s="18">
        <f>IF($A304&gt;'1-Input'!$B$26,AO303,(AO303-MAX(0,AK286-IF($A304&gt;='1-Input'!$C$12,'1-Input'!$B$12,0))+AL304*(1-'P-Parametri'!$B$6*AK304))*(1+'1-Input'!$B$27))</f>
        <v>85311.6652749856</v>
      </c>
      <c r="AN304" s="18">
        <f>IF($A304&gt;'1-Input'!$B$26,AP303,(AP303-AL304)*(1+'5-Roberta'!$C$4))</f>
        <v>156183.87842372435</v>
      </c>
      <c r="AO304" s="18">
        <f>IF($A304&gt;'1-Input'!$B$26,AM304,AM304-'P-Parametri'!$B$8*(AN304+AM304)+MIN(MAX(AN304,0),'P-Parametri'!$B$8*(AN304+AM304)))</f>
        <v>85311.6652749856</v>
      </c>
      <c r="AP304" s="18">
        <f>IF($A304&gt;'1-Input'!$B$26,AN304,AN304-MIN(MAX(AN304,0),'P-Parametri'!$B$8*(AN304+AM304)))</f>
        <v>155700.88733632694</v>
      </c>
      <c r="AQ304" s="18">
        <f>IF($A304&gt;'1-Input'!$B$26,AQ303,AQ303-AL304*(1-AK304))</f>
        <v>79394.933968162004</v>
      </c>
    </row>
    <row r="305" spans="1:43">
      <c r="A305" s="10">
        <f>17</f>
        <v>17</v>
      </c>
      <c r="B305" s="11">
        <f>IF($A305&gt;'1-Input'!$B$26,0,IF(G304&lt;=0,0,MAX(0,(G304-H304)/G304)))</f>
        <v>0.49044558139689431</v>
      </c>
      <c r="C305" s="18">
        <f>IF($A305&gt;'1-Input'!$B$26,0,(MAX(0,B286-IF($A305&gt;='1-Input'!$C$12,'1-Input'!$B$12,0))-MIN(MAX(F304,0),MAX(0,B286-IF($A305&gt;='1-Input'!$C$12,'1-Input'!$B$12,0))))*(1/(1-'P-Parametri'!$B$6*B305))+MIN(MAX(0,G304-(MAX(0,B286-IF($A305&gt;='1-Input'!$C$12,'1-Input'!$B$12,0))-MIN(MAX(F304,0),MAX(0,B286-IF($A305&gt;='1-Input'!$C$12,'1-Input'!$B$12,0))))*(1/(1-'P-Parametri'!$B$6*B305))),MAX(0,5*MAX(0,B286-IF($A305&gt;='1-Input'!$C$12,'1-Input'!$B$12,0))-(F304-MIN(MAX(F304,0),MAX(0,B286-IF($A305&gt;='1-Input'!$C$12,'1-Input'!$B$12,0)))))*(1/(1-'P-Parametri'!$B$6*B305))))</f>
        <v>19463.178022120515</v>
      </c>
      <c r="D305" s="18">
        <f>IF($A305&gt;'1-Input'!$B$26,F304,(F304-MAX(0,B286-IF($A305&gt;='1-Input'!$C$12,'1-Input'!$B$12,0))+C305*(1-'P-Parametri'!$B$6*B305))*(1+'1-Input'!$B$27))</f>
        <v>83105.01757746574</v>
      </c>
      <c r="E305" s="18">
        <f>IF($A305&gt;'1-Input'!$B$26,G304,(G304-C305)*(1+'5-Roberta'!$C$4))</f>
        <v>154338.87905507348</v>
      </c>
      <c r="F305" s="18">
        <f>IF($A305&gt;'1-Input'!$B$26,D305,D305-'P-Parametri'!$B$8*(E305+D305)+MIN(MAX(E305,0),'P-Parametri'!$B$8*(E305+D305)))</f>
        <v>83105.01757746574</v>
      </c>
      <c r="G305" s="18">
        <f>IF($A305&gt;'1-Input'!$B$26,E305,E305-MIN(MAX(E305,0),'P-Parametri'!$B$8*(E305+D305)))</f>
        <v>153863.99126180841</v>
      </c>
      <c r="H305" s="18">
        <f>IF($A305&gt;'1-Input'!$B$26,H304,H304-C305*(1-B305))</f>
        <v>76353.454159964094</v>
      </c>
      <c r="I305" s="11">
        <f>IF($A305&gt;'1-Input'!$B$26,0,IF(N304&lt;=0,0,MAX(0,(N304-O304)/N304)))</f>
        <v>0.46734465324433155</v>
      </c>
      <c r="J305" s="18">
        <f>IF($A305&gt;'1-Input'!$B$26,0,(MAX(0,I286-IF($A305&gt;='1-Input'!$C$12,'1-Input'!$B$12,0))-MIN(MAX(M304,0),MAX(0,I286-IF($A305&gt;='1-Input'!$C$12,'1-Input'!$B$12,0))))*(1/(1-'P-Parametri'!$B$6*I305))+MIN(MAX(0,N304-(MAX(0,I286-IF($A305&gt;='1-Input'!$C$12,'1-Input'!$B$12,0))-MIN(MAX(M304,0),MAX(0,I286-IF($A305&gt;='1-Input'!$C$12,'1-Input'!$B$12,0))))*(1/(1-'P-Parametri'!$B$6*I305))),MAX(0,5*MAX(0,I286-IF($A305&gt;='1-Input'!$C$12,'1-Input'!$B$12,0))-(M304-MIN(MAX(M304,0),MAX(0,I286-IF($A305&gt;='1-Input'!$C$12,'1-Input'!$B$12,0)))))*(1/(1-'P-Parametri'!$B$6*I305))))</f>
        <v>7654.0979674508317</v>
      </c>
      <c r="K305" s="18">
        <f>IF($A305&gt;'1-Input'!$B$26,M304,(M304-MAX(0,I286-IF($A305&gt;='1-Input'!$C$12,'1-Input'!$B$12,0))+J305*(1-'P-Parametri'!$B$6*I305))*(1+'1-Input'!$B$27))</f>
        <v>93785.155448883743</v>
      </c>
      <c r="L305" s="18">
        <f>IF($A305&gt;'1-Input'!$B$26,N304,(N304-J305)*(1+'5-Roberta'!$C$4))</f>
        <v>0</v>
      </c>
      <c r="M305" s="18">
        <f>IF($A305&gt;'1-Input'!$B$26,K305,K305-'P-Parametri'!$B$8*(L305+K305)+MIN(MAX(L305,0),'P-Parametri'!$B$8*(L305+K305)))</f>
        <v>93597.585137985981</v>
      </c>
      <c r="N305" s="18">
        <f>IF($A305&gt;'1-Input'!$B$26,L305,L305-MIN(MAX(L305,0),'P-Parametri'!$B$8*(L305+K305)))</f>
        <v>0</v>
      </c>
      <c r="O305" s="18">
        <f>IF($A305&gt;'1-Input'!$B$26,O304,O304-J305*(1-I305))</f>
        <v>-4.5474735088646412E-13</v>
      </c>
      <c r="P305" s="11">
        <f>IF($A305&gt;'1-Input'!$B$26,0,IF(U304&lt;=0,0,MAX(0,(U304-V304)/U304)))</f>
        <v>0.49003322491410467</v>
      </c>
      <c r="Q305" s="18">
        <f>IF($A305&gt;'1-Input'!$B$26,0,(MAX(0,P286-IF($A305&gt;='1-Input'!$C$12,'1-Input'!$B$12,0))-MIN(MAX(T304,0),MAX(0,P286-IF($A305&gt;='1-Input'!$C$12,'1-Input'!$B$12,0))))*(1/(1-'P-Parametri'!$B$6*P305))+MIN(MAX(0,U304-(MAX(0,P286-IF($A305&gt;='1-Input'!$C$12,'1-Input'!$B$12,0))-MIN(MAX(T304,0),MAX(0,P286-IF($A305&gt;='1-Input'!$C$12,'1-Input'!$B$12,0))))*(1/(1-'P-Parametri'!$B$6*P305))),MAX(0,5*MAX(0,P286-IF($A305&gt;='1-Input'!$C$12,'1-Input'!$B$12,0))-(T304-MIN(MAX(T304,0),MAX(0,P286-IF($A305&gt;='1-Input'!$C$12,'1-Input'!$B$12,0)))))*(1/(1-'P-Parametri'!$B$6*P305))))</f>
        <v>20040.688420368395</v>
      </c>
      <c r="R305" s="18">
        <f>IF($A305&gt;'1-Input'!$B$26,T304,(T304-MAX(0,P286-IF($A305&gt;='1-Input'!$C$12,'1-Input'!$B$12,0))+Q305*(1-'P-Parametri'!$B$6*P305))*(1+'1-Input'!$B$27))</f>
        <v>85581.420436314511</v>
      </c>
      <c r="S305" s="18">
        <f>IF($A305&gt;'1-Input'!$B$26,U304,(U304-Q305)*(1+'5-Roberta'!$C$4))</f>
        <v>138016.93570767864</v>
      </c>
      <c r="T305" s="18">
        <f>IF($A305&gt;'1-Input'!$B$26,R305,R305-'P-Parametri'!$B$8*(S305+R305)+MIN(MAX(S305,0),'P-Parametri'!$B$8*(S305+R305)))</f>
        <v>85581.420436314511</v>
      </c>
      <c r="U305" s="18">
        <f>IF($A305&gt;'1-Input'!$B$26,S305,S305-MIN(MAX(S305,0),'P-Parametri'!$B$8*(S305+R305)))</f>
        <v>137569.73899539065</v>
      </c>
      <c r="V305" s="18">
        <f>IF($A305&gt;'1-Input'!$B$26,V304,V304-Q305*(1-P305))</f>
        <v>68334.030689400213</v>
      </c>
      <c r="W305" s="11">
        <f>IF($A305&gt;'1-Input'!$B$26,0,IF(AB304&lt;=0,0,MAX(0,(AB304-AC304)/AB304)))</f>
        <v>0.49007987384025176</v>
      </c>
      <c r="X305" s="18">
        <f>IF($A305&gt;'1-Input'!$B$26,0,(MAX(0,W286-IF($A305&gt;='1-Input'!$C$12,'1-Input'!$B$12,0))-MIN(MAX(AA304,0),MAX(0,W286-IF($A305&gt;='1-Input'!$C$12,'1-Input'!$B$12,0))))*(1/(1-'P-Parametri'!$B$6*W305))+MIN(MAX(0,AB304-(MAX(0,W286-IF($A305&gt;='1-Input'!$C$12,'1-Input'!$B$12,0))-MIN(MAX(AA304,0),MAX(0,W286-IF($A305&gt;='1-Input'!$C$12,'1-Input'!$B$12,0))))*(1/(1-'P-Parametri'!$B$6*W305))),MAX(0,5*MAX(0,W286-IF($A305&gt;='1-Input'!$C$12,'1-Input'!$B$12,0))-(AA304-MIN(MAX(AA304,0),MAX(0,W286-IF($A305&gt;='1-Input'!$C$12,'1-Input'!$B$12,0)))))*(1/(1-'P-Parametri'!$B$6*W305))))</f>
        <v>19978.508077394297</v>
      </c>
      <c r="Y305" s="18">
        <f>IF($A305&gt;'1-Input'!$B$26,AA304,(AA304-MAX(0,W286-IF($A305&gt;='1-Input'!$C$12,'1-Input'!$B$12,0))+X305*(1-'P-Parametri'!$B$6*W305))*(1+'1-Input'!$B$27))</f>
        <v>85314.700678730267</v>
      </c>
      <c r="Z305" s="18">
        <f>IF($A305&gt;'1-Input'!$B$26,AB304,(AB304-X305)*(1+'5-Roberta'!$C$4))</f>
        <v>139774.77430454682</v>
      </c>
      <c r="AA305" s="18">
        <f>IF($A305&gt;'1-Input'!$B$26,Y305,Y305-'P-Parametri'!$B$8*(Z305+Y305)+MIN(MAX(Z305,0),'P-Parametri'!$B$8*(Z305+Y305)))</f>
        <v>85314.700678730267</v>
      </c>
      <c r="AB305" s="18">
        <f>IF($A305&gt;'1-Input'!$B$26,Z305,Z305-MIN(MAX(Z305,0),'P-Parametri'!$B$8*(Z305+Y305)))</f>
        <v>139324.59535458026</v>
      </c>
      <c r="AC305" s="18">
        <f>IF($A305&gt;'1-Input'!$B$26,AC304,AC304-X305*(1-W305))</f>
        <v>69198.029657596941</v>
      </c>
      <c r="AD305" s="11">
        <f>IF($A305&gt;'1-Input'!$B$26,0,IF(AI304&lt;=0,0,MAX(0,(AI304-AJ304)/AI304)))</f>
        <v>0.4900804136887344</v>
      </c>
      <c r="AE305" s="18">
        <f>IF($A305&gt;'1-Input'!$B$26,0,(MAX(0,AD286-IF($A305&gt;='1-Input'!$C$12,'1-Input'!$B$12,0))-MIN(MAX(AH304,0),MAX(0,AD286-IF($A305&gt;='1-Input'!$C$12,'1-Input'!$B$12,0))))*(1/(1-'P-Parametri'!$B$6*AD305))+MIN(MAX(0,AI304-(MAX(0,AD286-IF($A305&gt;='1-Input'!$C$12,'1-Input'!$B$12,0))-MIN(MAX(AH304,0),MAX(0,AD286-IF($A305&gt;='1-Input'!$C$12,'1-Input'!$B$12,0))))*(1/(1-'P-Parametri'!$B$6*AD305))),MAX(0,5*MAX(0,AD286-IF($A305&gt;='1-Input'!$C$12,'1-Input'!$B$12,0))-(AH304-MIN(MAX(AH304,0),MAX(0,AD286-IF($A305&gt;='1-Input'!$C$12,'1-Input'!$B$12,0)))))*(1/(1-'P-Parametri'!$B$6*AD305))))</f>
        <v>19977.783954739116</v>
      </c>
      <c r="AF305" s="18">
        <f>IF($A305&gt;'1-Input'!$B$26,AH304,(AH304-MAX(0,AD286-IF($A305&gt;='1-Input'!$C$12,'1-Input'!$B$12,0))+AE305*(1-'P-Parametri'!$B$6*AD305))*(1+'1-Input'!$B$27))</f>
        <v>85311.594717462009</v>
      </c>
      <c r="AG305" s="18">
        <f>IF($A305&gt;'1-Input'!$B$26,AI304,(AI304-AE305)*(1+'5-Roberta'!$C$4))</f>
        <v>139795.24455863808</v>
      </c>
      <c r="AH305" s="18">
        <f>IF($A305&gt;'1-Input'!$B$26,AF305,AF305-'P-Parametri'!$B$8*(AG305+AF305)+MIN(MAX(AG305,0),'P-Parametri'!$B$8*(AG305+AF305)))</f>
        <v>85311.594717462009</v>
      </c>
      <c r="AI305" s="18">
        <f>IF($A305&gt;'1-Input'!$B$26,AG305,AG305-MIN(MAX(AG305,0),'P-Parametri'!$B$8*(AG305+AF305)))</f>
        <v>139345.03088008589</v>
      </c>
      <c r="AJ305" s="18">
        <f>IF($A305&gt;'1-Input'!$B$26,AJ304,AJ304-AE305*(1-AD305))</f>
        <v>69208.090556915471</v>
      </c>
      <c r="AK305" s="11">
        <f>IF($A305&gt;'1-Input'!$B$26,0,IF(AP304&lt;=0,0,MAX(0,(AP304-AQ304)/AP304)))</f>
        <v>0.49008040142595777</v>
      </c>
      <c r="AL305" s="18">
        <f>IF($A305&gt;'1-Input'!$B$26,0,(MAX(0,AK286-IF($A305&gt;='1-Input'!$C$12,'1-Input'!$B$12,0))-MIN(MAX(AO304,0),MAX(0,AK286-IF($A305&gt;='1-Input'!$C$12,'1-Input'!$B$12,0))))*(1/(1-'P-Parametri'!$B$6*AK305))+MIN(MAX(0,AP304-(MAX(0,AK286-IF($A305&gt;='1-Input'!$C$12,'1-Input'!$B$12,0))-MIN(MAX(AO304,0),MAX(0,AK286-IF($A305&gt;='1-Input'!$C$12,'1-Input'!$B$12,0))))*(1/(1-'P-Parametri'!$B$6*AK305))),MAX(0,5*MAX(0,AK286-IF($A305&gt;='1-Input'!$C$12,'1-Input'!$B$12,0))-(AO304-MIN(MAX(AO304,0),MAX(0,AK286-IF($A305&gt;='1-Input'!$C$12,'1-Input'!$B$12,0)))))*(1/(1-'P-Parametri'!$B$6*AK305))))</f>
        <v>19977.800404501621</v>
      </c>
      <c r="AM305" s="18">
        <f>IF($A305&gt;'1-Input'!$B$26,AO304,(AO304-MAX(0,AK286-IF($A305&gt;='1-Input'!$C$12,'1-Input'!$B$12,0))+AL305*(1-'P-Parametri'!$B$6*AK305))*(1+'1-Input'!$B$27))</f>
        <v>85311.6652749856</v>
      </c>
      <c r="AN305" s="18">
        <f>IF($A305&gt;'1-Input'!$B$26,AP304,(AP304-AL305)*(1+'5-Roberta'!$C$4))</f>
        <v>139794.77953978008</v>
      </c>
      <c r="AO305" s="18">
        <f>IF($A305&gt;'1-Input'!$B$26,AM305,AM305-'P-Parametri'!$B$8*(AN305+AM305)+MIN(MAX(AN305,0),'P-Parametri'!$B$8*(AN305+AM305)))</f>
        <v>85311.6652749856</v>
      </c>
      <c r="AP305" s="18">
        <f>IF($A305&gt;'1-Input'!$B$26,AN305,AN305-MIN(MAX(AN305,0),'P-Parametri'!$B$8*(AN305+AM305)))</f>
        <v>139344.56665015055</v>
      </c>
      <c r="AQ305" s="18">
        <f>IF($A305&gt;'1-Input'!$B$26,AQ304,AQ304-AL305*(1-AK305))</f>
        <v>69207.862005506206</v>
      </c>
    </row>
    <row r="306" spans="1:43">
      <c r="A306" s="10">
        <f>18</f>
        <v>18</v>
      </c>
      <c r="B306" s="11">
        <f>IF($A306&gt;'1-Input'!$B$26,0,IF(G305&lt;=0,0,MAX(0,(G305-H305)/G305)))</f>
        <v>0.5037600836049787</v>
      </c>
      <c r="C306" s="18">
        <f>IF($A306&gt;'1-Input'!$B$26,0,(MAX(0,B286-IF($A306&gt;='1-Input'!$C$12,'1-Input'!$B$12,0))-MIN(MAX(F305,0),MAX(0,B286-IF($A306&gt;='1-Input'!$C$12,'1-Input'!$B$12,0))))*(1/(1-'P-Parametri'!$B$6*B306))+MIN(MAX(0,G305-(MAX(0,B286-IF($A306&gt;='1-Input'!$C$12,'1-Input'!$B$12,0))-MIN(MAX(F305,0),MAX(0,B286-IF($A306&gt;='1-Input'!$C$12,'1-Input'!$B$12,0))))*(1/(1-'P-Parametri'!$B$6*B306))),MAX(0,5*MAX(0,B286-IF($A306&gt;='1-Input'!$C$12,'1-Input'!$B$12,0))-(F305-MIN(MAX(F305,0),MAX(0,B286-IF($A306&gt;='1-Input'!$C$12,'1-Input'!$B$12,0)))))*(1/(1-'P-Parametri'!$B$6*B306))))</f>
        <v>19540.710038143137</v>
      </c>
      <c r="D306" s="18">
        <f>IF($A306&gt;'1-Input'!$B$26,F305,(F305-MAX(0,B286-IF($A306&gt;='1-Input'!$C$12,'1-Input'!$B$12,0))+C306*(1-'P-Parametri'!$B$6*B306))*(1+'1-Input'!$B$27))</f>
        <v>83105.01757746574</v>
      </c>
      <c r="E306" s="18">
        <f>IF($A306&gt;'1-Input'!$B$26,G305,(G305-C306)*(1+'5-Roberta'!$C$4))</f>
        <v>138352.97966037525</v>
      </c>
      <c r="F306" s="18">
        <f>IF($A306&gt;'1-Input'!$B$26,D306,D306-'P-Parametri'!$B$8*(E306+D306)+MIN(MAX(E306,0),'P-Parametri'!$B$8*(E306+D306)))</f>
        <v>83105.01757746574</v>
      </c>
      <c r="G306" s="18">
        <f>IF($A306&gt;'1-Input'!$B$26,E306,E306-MIN(MAX(E306,0),'P-Parametri'!$B$8*(E306+D306)))</f>
        <v>137910.06366589956</v>
      </c>
      <c r="H306" s="18">
        <f>IF($A306&gt;'1-Input'!$B$26,H305,H305-C306*(1-B306))</f>
        <v>66656.573844336584</v>
      </c>
      <c r="I306" s="11">
        <f>IF($A306&gt;'1-Input'!$B$26,0,IF(N305&lt;=0,0,MAX(0,(N305-O305)/N305)))</f>
        <v>0</v>
      </c>
      <c r="J306" s="18">
        <f>IF($A306&gt;'1-Input'!$B$26,0,(MAX(0,I286-IF($A306&gt;='1-Input'!$C$12,'1-Input'!$B$12,0))-MIN(MAX(M305,0),MAX(0,I286-IF($A306&gt;='1-Input'!$C$12,'1-Input'!$B$12,0))))*(1/(1-'P-Parametri'!$B$6*I306))+MIN(MAX(0,N305-(MAX(0,I286-IF($A306&gt;='1-Input'!$C$12,'1-Input'!$B$12,0))-MIN(MAX(M305,0),MAX(0,I286-IF($A306&gt;='1-Input'!$C$12,'1-Input'!$B$12,0))))*(1/(1-'P-Parametri'!$B$6*I306))),MAX(0,5*MAX(0,I286-IF($A306&gt;='1-Input'!$C$12,'1-Input'!$B$12,0))-(M305-MIN(MAX(M305,0),MAX(0,I286-IF($A306&gt;='1-Input'!$C$12,'1-Input'!$B$12,0)))))*(1/(1-'P-Parametri'!$B$6*I306))))</f>
        <v>0</v>
      </c>
      <c r="K306" s="18">
        <f>IF($A306&gt;'1-Input'!$B$26,M305,(M305-MAX(0,I286-IF($A306&gt;='1-Input'!$C$12,'1-Input'!$B$12,0))+J306*(1-'P-Parametri'!$B$6*I306))*(1+'1-Input'!$B$27))</f>
        <v>71390.892363735067</v>
      </c>
      <c r="L306" s="18">
        <f>IF($A306&gt;'1-Input'!$B$26,N305,(N305-J306)*(1+'5-Roberta'!$C$4))</f>
        <v>0</v>
      </c>
      <c r="M306" s="18">
        <f>IF($A306&gt;'1-Input'!$B$26,K306,K306-'P-Parametri'!$B$8*(L306+K306)+MIN(MAX(L306,0),'P-Parametri'!$B$8*(L306+K306)))</f>
        <v>71248.110579007596</v>
      </c>
      <c r="N306" s="18">
        <f>IF($A306&gt;'1-Input'!$B$26,L306,L306-MIN(MAX(L306,0),'P-Parametri'!$B$8*(L306+K306)))</f>
        <v>0</v>
      </c>
      <c r="O306" s="18">
        <f>IF($A306&gt;'1-Input'!$B$26,O305,O305-J306*(1-I306))</f>
        <v>-4.5474735088646412E-13</v>
      </c>
      <c r="P306" s="11">
        <f>IF($A306&gt;'1-Input'!$B$26,0,IF(U305&lt;=0,0,MAX(0,(U305-V305)/U305)))</f>
        <v>0.50327716554227253</v>
      </c>
      <c r="Q306" s="18">
        <f>IF($A306&gt;'1-Input'!$B$26,0,(MAX(0,P286-IF($A306&gt;='1-Input'!$C$12,'1-Input'!$B$12,0))-MIN(MAX(T305,0),MAX(0,P286-IF($A306&gt;='1-Input'!$C$12,'1-Input'!$B$12,0))))*(1/(1-'P-Parametri'!$B$6*P306))+MIN(MAX(0,U305-(MAX(0,P286-IF($A306&gt;='1-Input'!$C$12,'1-Input'!$B$12,0))-MIN(MAX(T305,0),MAX(0,P286-IF($A306&gt;='1-Input'!$C$12,'1-Input'!$B$12,0))))*(1/(1-'P-Parametri'!$B$6*P306))),MAX(0,5*MAX(0,P286-IF($A306&gt;='1-Input'!$C$12,'1-Input'!$B$12,0))-(T305-MIN(MAX(T305,0),MAX(0,P286-IF($A306&gt;='1-Input'!$C$12,'1-Input'!$B$12,0)))))*(1/(1-'P-Parametri'!$B$6*P306))))</f>
        <v>20120.086409868385</v>
      </c>
      <c r="R306" s="18">
        <f>IF($A306&gt;'1-Input'!$B$26,T305,(T305-MAX(0,P286-IF($A306&gt;='1-Input'!$C$12,'1-Input'!$B$12,0))+Q306*(1-'P-Parametri'!$B$6*P306))*(1+'1-Input'!$B$27))</f>
        <v>85581.420436314511</v>
      </c>
      <c r="S306" s="18">
        <f>IF($A306&gt;'1-Input'!$B$26,U305,(U305-Q306)*(1+'5-Roberta'!$C$4))</f>
        <v>120973.14216308795</v>
      </c>
      <c r="T306" s="18">
        <f>IF($A306&gt;'1-Input'!$B$26,R306,R306-'P-Parametri'!$B$8*(S306+R306)+MIN(MAX(S306,0),'P-Parametri'!$B$8*(S306+R306)))</f>
        <v>85581.420436314511</v>
      </c>
      <c r="U306" s="18">
        <f>IF($A306&gt;'1-Input'!$B$26,S306,S306-MIN(MAX(S306,0),'P-Parametri'!$B$8*(S306+R306)))</f>
        <v>120560.03303788914</v>
      </c>
      <c r="V306" s="18">
        <f>IF($A306&gt;'1-Input'!$B$26,V305,V305-Q306*(1-P306))</f>
        <v>58339.924338355988</v>
      </c>
      <c r="W306" s="11">
        <f>IF($A306&gt;'1-Input'!$B$26,0,IF(AB305&lt;=0,0,MAX(0,(AB305-AC305)/AB305)))</f>
        <v>0.50333227610323672</v>
      </c>
      <c r="X306" s="18">
        <f>IF($A306&gt;'1-Input'!$B$26,0,(MAX(0,W286-IF($A306&gt;='1-Input'!$C$12,'1-Input'!$B$12,0))-MIN(MAX(AA305,0),MAX(0,W286-IF($A306&gt;='1-Input'!$C$12,'1-Input'!$B$12,0))))*(1/(1-'P-Parametri'!$B$6*W306))+MIN(MAX(0,AB305-(MAX(0,W286-IF($A306&gt;='1-Input'!$C$12,'1-Input'!$B$12,0))-MIN(MAX(AA305,0),MAX(0,W286-IF($A306&gt;='1-Input'!$C$12,'1-Input'!$B$12,0))))*(1/(1-'P-Parametri'!$B$6*W306))),MAX(0,5*MAX(0,W286-IF($A306&gt;='1-Input'!$C$12,'1-Input'!$B$12,0))-(AA305-MIN(MAX(AA305,0),MAX(0,W286-IF($A306&gt;='1-Input'!$C$12,'1-Input'!$B$12,0)))))*(1/(1-'P-Parametri'!$B$6*W306))))</f>
        <v>20057.711594575117</v>
      </c>
      <c r="Y306" s="18">
        <f>IF($A306&gt;'1-Input'!$B$26,AA305,(AA305-MAX(0,W286-IF($A306&gt;='1-Input'!$C$12,'1-Input'!$B$12,0))+X306*(1-'P-Parametri'!$B$6*W306))*(1+'1-Input'!$B$27))</f>
        <v>85314.700678730267</v>
      </c>
      <c r="Z306" s="18">
        <f>IF($A306&gt;'1-Input'!$B$26,AB305,(AB305-X306)*(1+'5-Roberta'!$C$4))</f>
        <v>122844.89027280531</v>
      </c>
      <c r="AA306" s="18">
        <f>IF($A306&gt;'1-Input'!$B$26,Y306,Y306-'P-Parametri'!$B$8*(Z306+Y306)+MIN(MAX(Z306,0),'P-Parametri'!$B$8*(Z306+Y306)))</f>
        <v>85314.700678730267</v>
      </c>
      <c r="AB306" s="18">
        <f>IF($A306&gt;'1-Input'!$B$26,Z306,Z306-MIN(MAX(Z306,0),'P-Parametri'!$B$8*(Z306+Y306)))</f>
        <v>122428.57109090223</v>
      </c>
      <c r="AC306" s="18">
        <f>IF($A306&gt;'1-Input'!$B$26,AC305,AC305-X306*(1-W306))</f>
        <v>59236.011693341599</v>
      </c>
      <c r="AD306" s="11">
        <f>IF($A306&gt;'1-Input'!$B$26,0,IF(AI305&lt;=0,0,MAX(0,(AI305-AJ305)/AI305)))</f>
        <v>0.50333291313076778</v>
      </c>
      <c r="AE306" s="18">
        <f>IF($A306&gt;'1-Input'!$B$26,0,(MAX(0,AD286-IF($A306&gt;='1-Input'!$C$12,'1-Input'!$B$12,0))-MIN(MAX(AH305,0),MAX(0,AD286-IF($A306&gt;='1-Input'!$C$12,'1-Input'!$B$12,0))))*(1/(1-'P-Parametri'!$B$6*AD306))+MIN(MAX(0,AI305-(MAX(0,AD286-IF($A306&gt;='1-Input'!$C$12,'1-Input'!$B$12,0))-MIN(MAX(AH305,0),MAX(0,AD286-IF($A306&gt;='1-Input'!$C$12,'1-Input'!$B$12,0))))*(1/(1-'P-Parametri'!$B$6*AD306))),MAX(0,5*MAX(0,AD286-IF($A306&gt;='1-Input'!$C$12,'1-Input'!$B$12,0))-(AH305-MIN(MAX(AH305,0),MAX(0,AD286-IF($A306&gt;='1-Input'!$C$12,'1-Input'!$B$12,0)))))*(1/(1-'P-Parametri'!$B$6*AD306))))</f>
        <v>20056.985197048503</v>
      </c>
      <c r="AF306" s="18">
        <f>IF($A306&gt;'1-Input'!$B$26,AH305,(AH305-MAX(0,AD286-IF($A306&gt;='1-Input'!$C$12,'1-Input'!$B$12,0))+AE306*(1-'P-Parametri'!$B$6*AD306))*(1+'1-Input'!$B$27))</f>
        <v>85311.594717462009</v>
      </c>
      <c r="AG306" s="18">
        <f>IF($A306&gt;'1-Input'!$B$26,AI305,(AI305-AE306)*(1+'5-Roberta'!$C$4))</f>
        <v>122866.68705352851</v>
      </c>
      <c r="AH306" s="18">
        <f>IF($A306&gt;'1-Input'!$B$26,AF306,AF306-'P-Parametri'!$B$8*(AG306+AF306)+MIN(MAX(AG306,0),'P-Parametri'!$B$8*(AG306+AF306)))</f>
        <v>85311.594717462009</v>
      </c>
      <c r="AI306" s="18">
        <f>IF($A306&gt;'1-Input'!$B$26,AG306,AG306-MIN(MAX(AG306,0),'P-Parametri'!$B$8*(AG306+AF306)))</f>
        <v>122450.33048998653</v>
      </c>
      <c r="AJ306" s="18">
        <f>IF($A306&gt;'1-Input'!$B$26,AJ305,AJ305-AE306*(1-AD306))</f>
        <v>59246.446147718074</v>
      </c>
      <c r="AK306" s="11">
        <f>IF($A306&gt;'1-Input'!$B$26,0,IF(AP305&lt;=0,0,MAX(0,(AP305-AQ305)/AP305)))</f>
        <v>0.50333289866073561</v>
      </c>
      <c r="AL306" s="18">
        <f>IF($A306&gt;'1-Input'!$B$26,0,(MAX(0,AK286-IF($A306&gt;='1-Input'!$C$12,'1-Input'!$B$12,0))-MIN(MAX(AO305,0),MAX(0,AK286-IF($A306&gt;='1-Input'!$C$12,'1-Input'!$B$12,0))))*(1/(1-'P-Parametri'!$B$6*AK306))+MIN(MAX(0,AP305-(MAX(0,AK286-IF($A306&gt;='1-Input'!$C$12,'1-Input'!$B$12,0))-MIN(MAX(AO305,0),MAX(0,AK286-IF($A306&gt;='1-Input'!$C$12,'1-Input'!$B$12,0))))*(1/(1-'P-Parametri'!$B$6*AK306))),MAX(0,5*MAX(0,AK286-IF($A306&gt;='1-Input'!$C$12,'1-Input'!$B$12,0))-(AO305-MIN(MAX(AO305,0),MAX(0,AK286-IF($A306&gt;='1-Input'!$C$12,'1-Input'!$B$12,0)))))*(1/(1-'P-Parametri'!$B$6*AK306))))</f>
        <v>20057.0016984914</v>
      </c>
      <c r="AM306" s="18">
        <f>IF($A306&gt;'1-Input'!$B$26,AO305,(AO305-MAX(0,AK286-IF($A306&gt;='1-Input'!$C$12,'1-Input'!$B$12,0))+AL306*(1-'P-Parametri'!$B$6*AK306))*(1+'1-Input'!$B$27))</f>
        <v>85311.6652749856</v>
      </c>
      <c r="AN306" s="18">
        <f>IF($A306&gt;'1-Input'!$B$26,AP305,(AP305-AL306)*(1+'5-Roberta'!$C$4))</f>
        <v>122866.19190020893</v>
      </c>
      <c r="AO306" s="18">
        <f>IF($A306&gt;'1-Input'!$B$26,AM306,AM306-'P-Parametri'!$B$8*(AN306+AM306)+MIN(MAX(AN306,0),'P-Parametri'!$B$8*(AN306+AM306)))</f>
        <v>85311.6652749856</v>
      </c>
      <c r="AP306" s="18">
        <f>IF($A306&gt;'1-Input'!$B$26,AN306,AN306-MIN(MAX(AN306,0),'P-Parametri'!$B$8*(AN306+AM306)))</f>
        <v>122449.83618585854</v>
      </c>
      <c r="AQ306" s="18">
        <f>IF($A306&gt;'1-Input'!$B$26,AQ305,AQ305-AL306*(1-AK306))</f>
        <v>59246.209110359778</v>
      </c>
    </row>
    <row r="307" spans="1:43">
      <c r="A307" s="10">
        <f>19</f>
        <v>19</v>
      </c>
      <c r="B307" s="11">
        <f>IF($A307&gt;'1-Input'!$B$26,0,IF(G306&lt;=0,0,MAX(0,(G306-H306)/G306)))</f>
        <v>0.51666635434366437</v>
      </c>
      <c r="C307" s="18">
        <f>IF($A307&gt;'1-Input'!$B$26,0,(MAX(0,B286-IF($A307&gt;='1-Input'!$C$12,'1-Input'!$B$12,0))-MIN(MAX(F306,0),MAX(0,B286-IF($A307&gt;='1-Input'!$C$12,'1-Input'!$B$12,0))))*(1/(1-'P-Parametri'!$B$6*B307))+MIN(MAX(0,G306-(MAX(0,B286-IF($A307&gt;='1-Input'!$C$12,'1-Input'!$B$12,0))-MIN(MAX(F306,0),MAX(0,B286-IF($A307&gt;='1-Input'!$C$12,'1-Input'!$B$12,0))))*(1/(1-'P-Parametri'!$B$6*B307))),MAX(0,5*MAX(0,B286-IF($A307&gt;='1-Input'!$C$12,'1-Input'!$B$12,0))-(F306-MIN(MAX(F306,0),MAX(0,B286-IF($A307&gt;='1-Input'!$C$12,'1-Input'!$B$12,0)))))*(1/(1-'P-Parametri'!$B$6*B307))))</f>
        <v>19616.456739339283</v>
      </c>
      <c r="D307" s="18">
        <f>IF($A307&gt;'1-Input'!$B$26,F306,(F306-MAX(0,B286-IF($A307&gt;='1-Input'!$C$12,'1-Input'!$B$12,0))+C307*(1-'P-Parametri'!$B$6*B307))*(1+'1-Input'!$B$27))</f>
        <v>83105.01757746574</v>
      </c>
      <c r="E307" s="18">
        <f>IF($A307&gt;'1-Input'!$B$26,G306,(G306-C307)*(1+'5-Roberta'!$C$4))</f>
        <v>121842.4151343571</v>
      </c>
      <c r="F307" s="18">
        <f>IF($A307&gt;'1-Input'!$B$26,D307,D307-'P-Parametri'!$B$8*(E307+D307)+MIN(MAX(E307,0),'P-Parametri'!$B$8*(E307+D307)))</f>
        <v>83105.01757746574</v>
      </c>
      <c r="G307" s="18">
        <f>IF($A307&gt;'1-Input'!$B$26,E307,E307-MIN(MAX(E307,0),'P-Parametri'!$B$8*(E307+D307)))</f>
        <v>121432.52026893345</v>
      </c>
      <c r="H307" s="18">
        <f>IF($A307&gt;'1-Input'!$B$26,H306,H306-C307*(1-B307))</f>
        <v>57175.280293651937</v>
      </c>
      <c r="I307" s="11">
        <f>IF($A307&gt;'1-Input'!$B$26,0,IF(N306&lt;=0,0,MAX(0,(N306-O306)/N306)))</f>
        <v>0</v>
      </c>
      <c r="J307" s="18">
        <f>IF($A307&gt;'1-Input'!$B$26,0,(MAX(0,I286-IF($A307&gt;='1-Input'!$C$12,'1-Input'!$B$12,0))-MIN(MAX(M306,0),MAX(0,I286-IF($A307&gt;='1-Input'!$C$12,'1-Input'!$B$12,0))))*(1/(1-'P-Parametri'!$B$6*I307))+MIN(MAX(0,N306-(MAX(0,I286-IF($A307&gt;='1-Input'!$C$12,'1-Input'!$B$12,0))-MIN(MAX(M306,0),MAX(0,I286-IF($A307&gt;='1-Input'!$C$12,'1-Input'!$B$12,0))))*(1/(1-'P-Parametri'!$B$6*I307))),MAX(0,5*MAX(0,I286-IF($A307&gt;='1-Input'!$C$12,'1-Input'!$B$12,0))-(M306-MIN(MAX(M306,0),MAX(0,I286-IF($A307&gt;='1-Input'!$C$12,'1-Input'!$B$12,0)))))*(1/(1-'P-Parametri'!$B$6*I307))))</f>
        <v>0</v>
      </c>
      <c r="K307" s="18">
        <f>IF($A307&gt;'1-Input'!$B$26,M306,(M306-MAX(0,I286-IF($A307&gt;='1-Input'!$C$12,'1-Input'!$B$12,0))+J307*(1-'P-Parametri'!$B$6*I307))*(1+'1-Input'!$B$27))</f>
        <v>49121.875913169017</v>
      </c>
      <c r="L307" s="18">
        <f>IF($A307&gt;'1-Input'!$B$26,N306,(N306-J307)*(1+'5-Roberta'!$C$4))</f>
        <v>0</v>
      </c>
      <c r="M307" s="18">
        <f>IF($A307&gt;'1-Input'!$B$26,K307,K307-'P-Parametri'!$B$8*(L307+K307)+MIN(MAX(L307,0),'P-Parametri'!$B$8*(L307+K307)))</f>
        <v>49023.632161342677</v>
      </c>
      <c r="N307" s="18">
        <f>IF($A307&gt;'1-Input'!$B$26,L307,L307-MIN(MAX(L307,0),'P-Parametri'!$B$8*(L307+K307)))</f>
        <v>0</v>
      </c>
      <c r="O307" s="18">
        <f>IF($A307&gt;'1-Input'!$B$26,O306,O306-J307*(1-I307))</f>
        <v>-4.5474735088646412E-13</v>
      </c>
      <c r="P307" s="11">
        <f>IF($A307&gt;'1-Input'!$B$26,0,IF(U306&lt;=0,0,MAX(0,(U306-V306)/U306)))</f>
        <v>0.51609233285444489</v>
      </c>
      <c r="Q307" s="18">
        <f>IF($A307&gt;'1-Input'!$B$26,0,(MAX(0,P286-IF($A307&gt;='1-Input'!$C$12,'1-Input'!$B$12,0))-MIN(MAX(T306,0),MAX(0,P286-IF($A307&gt;='1-Input'!$C$12,'1-Input'!$B$12,0))))*(1/(1-'P-Parametri'!$B$6*P307))+MIN(MAX(0,U306-(MAX(0,P286-IF($A307&gt;='1-Input'!$C$12,'1-Input'!$B$12,0))-MIN(MAX(T306,0),MAX(0,P286-IF($A307&gt;='1-Input'!$C$12,'1-Input'!$B$12,0))))*(1/(1-'P-Parametri'!$B$6*P307))),MAX(0,5*MAX(0,P286-IF($A307&gt;='1-Input'!$C$12,'1-Input'!$B$12,0))-(T306-MIN(MAX(T306,0),MAX(0,P286-IF($A307&gt;='1-Input'!$C$12,'1-Input'!$B$12,0)))))*(1/(1-'P-Parametri'!$B$6*P307))))</f>
        <v>20197.515091785546</v>
      </c>
      <c r="R307" s="18">
        <f>IF($A307&gt;'1-Input'!$B$26,T306,(T306-MAX(0,P286-IF($A307&gt;='1-Input'!$C$12,'1-Input'!$B$12,0))+Q307*(1-'P-Parametri'!$B$6*P307))*(1+'1-Input'!$B$27))</f>
        <v>85581.420436314511</v>
      </c>
      <c r="S307" s="18">
        <f>IF($A307&gt;'1-Input'!$B$26,U306,(U306-Q307)*(1+'5-Roberta'!$C$4))</f>
        <v>103373.3934844867</v>
      </c>
      <c r="T307" s="18">
        <f>IF($A307&gt;'1-Input'!$B$26,R307,R307-'P-Parametri'!$B$8*(S307+R307)+MIN(MAX(S307,0),'P-Parametri'!$B$8*(S307+R307)))</f>
        <v>85581.420436314511</v>
      </c>
      <c r="U307" s="18">
        <f>IF($A307&gt;'1-Input'!$B$26,S307,S307-MIN(MAX(S307,0),'P-Parametri'!$B$8*(S307+R307)))</f>
        <v>102995.48385664511</v>
      </c>
      <c r="V307" s="18">
        <f>IF($A307&gt;'1-Input'!$B$26,V306,V306-Q307*(1-P307))</f>
        <v>48566.191928152904</v>
      </c>
      <c r="W307" s="11">
        <f>IF($A307&gt;'1-Input'!$B$26,0,IF(AB306&lt;=0,0,MAX(0,(AB306-AC306)/AB306)))</f>
        <v>0.51615859626949878</v>
      </c>
      <c r="X307" s="18">
        <f>IF($A307&gt;'1-Input'!$B$26,0,(MAX(0,W286-IF($A307&gt;='1-Input'!$C$12,'1-Input'!$B$12,0))-MIN(MAX(AA306,0),MAX(0,W286-IF($A307&gt;='1-Input'!$C$12,'1-Input'!$B$12,0))))*(1/(1-'P-Parametri'!$B$6*W307))+MIN(MAX(0,AB306-(MAX(0,W286-IF($A307&gt;='1-Input'!$C$12,'1-Input'!$B$12,0))-MIN(MAX(AA306,0),MAX(0,W286-IF($A307&gt;='1-Input'!$C$12,'1-Input'!$B$12,0))))*(1/(1-'P-Parametri'!$B$6*W307))),MAX(0,5*MAX(0,W286-IF($A307&gt;='1-Input'!$C$12,'1-Input'!$B$12,0))-(AA306-MIN(MAX(AA306,0),MAX(0,W286-IF($A307&gt;='1-Input'!$C$12,'1-Input'!$B$12,0)))))*(1/(1-'P-Parametri'!$B$6*W307))))</f>
        <v>20134.968951240564</v>
      </c>
      <c r="Y307" s="18">
        <f>IF($A307&gt;'1-Input'!$B$26,AA306,(AA306-MAX(0,W286-IF($A307&gt;='1-Input'!$C$12,'1-Input'!$B$12,0))+X307*(1-'P-Parametri'!$B$6*W307))*(1+'1-Input'!$B$27))</f>
        <v>85314.700678730267</v>
      </c>
      <c r="Z307" s="18">
        <f>IF($A307&gt;'1-Input'!$B$26,AB306,(AB306-X307)*(1+'5-Roberta'!$C$4))</f>
        <v>105362.41020385153</v>
      </c>
      <c r="AA307" s="18">
        <f>IF($A307&gt;'1-Input'!$B$26,Y307,Y307-'P-Parametri'!$B$8*(Z307+Y307)+MIN(MAX(Z307,0),'P-Parametri'!$B$8*(Z307+Y307)))</f>
        <v>85314.700678730267</v>
      </c>
      <c r="AB307" s="18">
        <f>IF($A307&gt;'1-Input'!$B$26,Z307,Z307-MIN(MAX(Z307,0),'P-Parametri'!$B$8*(Z307+Y307)))</f>
        <v>104981.05598208636</v>
      </c>
      <c r="AC307" s="18">
        <f>IF($A307&gt;'1-Input'!$B$26,AC306,AC306-X307*(1-W307))</f>
        <v>49493.88005190331</v>
      </c>
      <c r="AD307" s="11">
        <f>IF($A307&gt;'1-Input'!$B$26,0,IF(AI306&lt;=0,0,MAX(0,(AI306-AJ306)/AI306)))</f>
        <v>0.51615936101893167</v>
      </c>
      <c r="AE307" s="18">
        <f>IF($A307&gt;'1-Input'!$B$26,0,(MAX(0,AD286-IF($A307&gt;='1-Input'!$C$12,'1-Input'!$B$12,0))-MIN(MAX(AH306,0),MAX(0,AD286-IF($A307&gt;='1-Input'!$C$12,'1-Input'!$B$12,0))))*(1/(1-'P-Parametri'!$B$6*AD307))+MIN(MAX(0,AI306-(MAX(0,AD286-IF($A307&gt;='1-Input'!$C$12,'1-Input'!$B$12,0))-MIN(MAX(AH306,0),MAX(0,AD286-IF($A307&gt;='1-Input'!$C$12,'1-Input'!$B$12,0))))*(1/(1-'P-Parametri'!$B$6*AD307))),MAX(0,5*MAX(0,AD286-IF($A307&gt;='1-Input'!$C$12,'1-Input'!$B$12,0))-(AH306-MIN(MAX(AH306,0),MAX(0,AD286-IF($A307&gt;='1-Input'!$C$12,'1-Input'!$B$12,0)))))*(1/(1-'P-Parametri'!$B$6*AD307))))</f>
        <v>20134.240542837215</v>
      </c>
      <c r="AF307" s="18">
        <f>IF($A307&gt;'1-Input'!$B$26,AH306,(AH306-MAX(0,AD286-IF($A307&gt;='1-Input'!$C$12,'1-Input'!$B$12,0))+AE307*(1-'P-Parametri'!$B$6*AD307))*(1+'1-Input'!$B$27))</f>
        <v>85311.594717462009</v>
      </c>
      <c r="AG307" s="18">
        <f>IF($A307&gt;'1-Input'!$B$26,AI306,(AI306-AE307)*(1+'5-Roberta'!$C$4))</f>
        <v>105385.57264556381</v>
      </c>
      <c r="AH307" s="18">
        <f>IF($A307&gt;'1-Input'!$B$26,AF307,AF307-'P-Parametri'!$B$8*(AG307+AF307)+MIN(MAX(AG307,0),'P-Parametri'!$B$8*(AG307+AF307)))</f>
        <v>85311.594717462009</v>
      </c>
      <c r="AI307" s="18">
        <f>IF($A307&gt;'1-Input'!$B$26,AG307,AG307-MIN(MAX(AG307,0),'P-Parametri'!$B$8*(AG307+AF307)))</f>
        <v>105004.17831083776</v>
      </c>
      <c r="AJ307" s="18">
        <f>IF($A307&gt;'1-Input'!$B$26,AJ306,AJ306-AE307*(1-AD307))</f>
        <v>49504.68233807318</v>
      </c>
      <c r="AK307" s="11">
        <f>IF($A307&gt;'1-Input'!$B$26,0,IF(AP306&lt;=0,0,MAX(0,(AP306-AQ306)/AP306)))</f>
        <v>0.51615934364800731</v>
      </c>
      <c r="AL307" s="18">
        <f>IF($A307&gt;'1-Input'!$B$26,0,(MAX(0,AK286-IF($A307&gt;='1-Input'!$C$12,'1-Input'!$B$12,0))-MIN(MAX(AO306,0),MAX(0,AK286-IF($A307&gt;='1-Input'!$C$12,'1-Input'!$B$12,0))))*(1/(1-'P-Parametri'!$B$6*AK307))+MIN(MAX(0,AP306-(MAX(0,AK286-IF($A307&gt;='1-Input'!$C$12,'1-Input'!$B$12,0))-MIN(MAX(AO306,0),MAX(0,AK286-IF($A307&gt;='1-Input'!$C$12,'1-Input'!$B$12,0))))*(1/(1-'P-Parametri'!$B$6*AK307))),MAX(0,5*MAX(0,AK286-IF($A307&gt;='1-Input'!$C$12,'1-Input'!$B$12,0))-(AO306-MIN(MAX(AO306,0),MAX(0,AK286-IF($A307&gt;='1-Input'!$C$12,'1-Input'!$B$12,0)))))*(1/(1-'P-Parametri'!$B$6*AK307))))</f>
        <v>20134.257089964787</v>
      </c>
      <c r="AM307" s="18">
        <f>IF($A307&gt;'1-Input'!$B$26,AO306,(AO306-MAX(0,AK286-IF($A307&gt;='1-Input'!$C$12,'1-Input'!$B$12,0))+AL307*(1-'P-Parametri'!$B$6*AK307))*(1+'1-Input'!$B$27))</f>
        <v>85311.6652749856</v>
      </c>
      <c r="AN307" s="18">
        <f>IF($A307&gt;'1-Input'!$B$26,AP306,(AP306-AL307)*(1+'5-Roberta'!$C$4))</f>
        <v>105385.04646877057</v>
      </c>
      <c r="AO307" s="18">
        <f>IF($A307&gt;'1-Input'!$B$26,AM307,AM307-'P-Parametri'!$B$8*(AN307+AM307)+MIN(MAX(AN307,0),'P-Parametri'!$B$8*(AN307+AM307)))</f>
        <v>85311.6652749856</v>
      </c>
      <c r="AP307" s="18">
        <f>IF($A307&gt;'1-Input'!$B$26,AN307,AN307-MIN(MAX(AN307,0),'P-Parametri'!$B$8*(AN307+AM307)))</f>
        <v>105003.65304528305</v>
      </c>
      <c r="AQ307" s="18">
        <f>IF($A307&gt;'1-Input'!$B$26,AQ306,AQ306-AL307*(1-AK307))</f>
        <v>49504.436944791451</v>
      </c>
    </row>
    <row r="308" spans="1:43">
      <c r="A308" s="10">
        <f>20</f>
        <v>20</v>
      </c>
      <c r="B308" s="11">
        <f>IF($A308&gt;'1-Input'!$B$26,0,IF(G307&lt;=0,0,MAX(0,(G307-H307)/G307)))</f>
        <v>0.52916006217257683</v>
      </c>
      <c r="C308" s="18">
        <f>IF($A308&gt;'1-Input'!$B$26,0,(MAX(0,B286-IF($A308&gt;='1-Input'!$C$12,'1-Input'!$B$12,0))-MIN(MAX(F307,0),MAX(0,B286-IF($A308&gt;='1-Input'!$C$12,'1-Input'!$B$12,0))))*(1/(1-'P-Parametri'!$B$6*B308))+MIN(MAX(0,G307-(MAX(0,B286-IF($A308&gt;='1-Input'!$C$12,'1-Input'!$B$12,0))-MIN(MAX(F307,0),MAX(0,B286-IF($A308&gt;='1-Input'!$C$12,'1-Input'!$B$12,0))))*(1/(1-'P-Parametri'!$B$6*B308))),MAX(0,5*MAX(0,B286-IF($A308&gt;='1-Input'!$C$12,'1-Input'!$B$12,0))-(F307-MIN(MAX(F307,0),MAX(0,B286-IF($A308&gt;='1-Input'!$C$12,'1-Input'!$B$12,0)))))*(1/(1-'P-Parametri'!$B$6*B308))))</f>
        <v>19690.343606515027</v>
      </c>
      <c r="D308" s="18">
        <f>IF($A308&gt;'1-Input'!$B$26,F307,(F307-MAX(0,B286-IF($A308&gt;='1-Input'!$C$12,'1-Input'!$B$12,0))+C308*(1-'P-Parametri'!$B$6*B308))*(1+'1-Input'!$B$27))</f>
        <v>83105.01757746574</v>
      </c>
      <c r="E308" s="18">
        <f>IF($A308&gt;'1-Input'!$B$26,G307,(G307-C308)*(1+'5-Roberta'!$C$4))</f>
        <v>104794.44196229098</v>
      </c>
      <c r="F308" s="18">
        <f>IF($A308&gt;'1-Input'!$B$26,D308,D308-'P-Parametri'!$B$8*(E308+D308)+MIN(MAX(E308,0),'P-Parametri'!$B$8*(E308+D308)))</f>
        <v>83105.01757746574</v>
      </c>
      <c r="G308" s="18">
        <f>IF($A308&gt;'1-Input'!$B$26,E308,E308-MIN(MAX(E308,0),'P-Parametri'!$B$8*(E308+D308)))</f>
        <v>104418.64304321146</v>
      </c>
      <c r="H308" s="18">
        <f>IF($A308&gt;'1-Input'!$B$26,H307,H307-C308*(1-B308))</f>
        <v>47904.280134159802</v>
      </c>
      <c r="I308" s="11">
        <f>IF($A308&gt;'1-Input'!$B$26,0,IF(N307&lt;=0,0,MAX(0,(N307-O307)/N307)))</f>
        <v>0</v>
      </c>
      <c r="J308" s="18">
        <f>IF($A308&gt;'1-Input'!$B$26,0,(MAX(0,I286-IF($A308&gt;='1-Input'!$C$12,'1-Input'!$B$12,0))-MIN(MAX(M307,0),MAX(0,I286-IF($A308&gt;='1-Input'!$C$12,'1-Input'!$B$12,0))))*(1/(1-'P-Parametri'!$B$6*I308))+MIN(MAX(0,N307-(MAX(0,I286-IF($A308&gt;='1-Input'!$C$12,'1-Input'!$B$12,0))-MIN(MAX(M307,0),MAX(0,I286-IF($A308&gt;='1-Input'!$C$12,'1-Input'!$B$12,0))))*(1/(1-'P-Parametri'!$B$6*I308))),MAX(0,5*MAX(0,I286-IF($A308&gt;='1-Input'!$C$12,'1-Input'!$B$12,0))-(M307-MIN(MAX(M307,0),MAX(0,I286-IF($A308&gt;='1-Input'!$C$12,'1-Input'!$B$12,0)))))*(1/(1-'P-Parametri'!$B$6*I308))))</f>
        <v>0</v>
      </c>
      <c r="K308" s="18">
        <f>IF($A308&gt;'1-Input'!$B$26,M307,(M307-MAX(0,I286-IF($A308&gt;='1-Input'!$C$12,'1-Input'!$B$12,0))+J308*(1-'P-Parametri'!$B$6*I308))*(1+'1-Input'!$B$27))</f>
        <v>26977.405617807693</v>
      </c>
      <c r="L308" s="18">
        <f>IF($A308&gt;'1-Input'!$B$26,N307,(N307-J308)*(1+'5-Roberta'!$C$4))</f>
        <v>0</v>
      </c>
      <c r="M308" s="18">
        <f>IF($A308&gt;'1-Input'!$B$26,K308,K308-'P-Parametri'!$B$8*(L308+K308)+MIN(MAX(L308,0),'P-Parametri'!$B$8*(L308+K308)))</f>
        <v>26923.450806572077</v>
      </c>
      <c r="N308" s="18">
        <f>IF($A308&gt;'1-Input'!$B$26,L308,L308-MIN(MAX(L308,0),'P-Parametri'!$B$8*(L308+K308)))</f>
        <v>0</v>
      </c>
      <c r="O308" s="18">
        <f>IF($A308&gt;'1-Input'!$B$26,O307,O307-J308*(1-I308))</f>
        <v>-4.5474735088646412E-13</v>
      </c>
      <c r="P308" s="11">
        <f>IF($A308&gt;'1-Input'!$B$26,0,IF(U307&lt;=0,0,MAX(0,(U307-V307)/U307)))</f>
        <v>0.52846289847281014</v>
      </c>
      <c r="Q308" s="18">
        <f>IF($A308&gt;'1-Input'!$B$26,0,(MAX(0,P286-IF($A308&gt;='1-Input'!$C$12,'1-Input'!$B$12,0))-MIN(MAX(T307,0),MAX(0,P286-IF($A308&gt;='1-Input'!$C$12,'1-Input'!$B$12,0))))*(1/(1-'P-Parametri'!$B$6*P308))+MIN(MAX(0,U307-(MAX(0,P286-IF($A308&gt;='1-Input'!$C$12,'1-Input'!$B$12,0))-MIN(MAX(T307,0),MAX(0,P286-IF($A308&gt;='1-Input'!$C$12,'1-Input'!$B$12,0))))*(1/(1-'P-Parametri'!$B$6*P308))),MAX(0,5*MAX(0,P286-IF($A308&gt;='1-Input'!$C$12,'1-Input'!$B$12,0))-(T307-MIN(MAX(T307,0),MAX(0,P286-IF($A308&gt;='1-Input'!$C$12,'1-Input'!$B$12,0)))))*(1/(1-'P-Parametri'!$B$6*P308))))</f>
        <v>20272.824905059591</v>
      </c>
      <c r="R308" s="18">
        <f>IF($A308&gt;'1-Input'!$B$26,T307,(T307-MAX(0,P286-IF($A308&gt;='1-Input'!$C$12,'1-Input'!$B$12,0))+Q308*(1-'P-Parametri'!$B$6*P308))*(1+'1-Input'!$B$27))</f>
        <v>85581.420436314511</v>
      </c>
      <c r="S308" s="18">
        <f>IF($A308&gt;'1-Input'!$B$26,U307,(U307-Q308)*(1+'5-Roberta'!$C$4))</f>
        <v>85204.338720133077</v>
      </c>
      <c r="T308" s="18">
        <f>IF($A308&gt;'1-Input'!$B$26,R308,R308-'P-Parametri'!$B$8*(S308+R308)+MIN(MAX(S308,0),'P-Parametri'!$B$8*(S308+R308)))</f>
        <v>85581.420436314511</v>
      </c>
      <c r="U308" s="18">
        <f>IF($A308&gt;'1-Input'!$B$26,S308,S308-MIN(MAX(S308,0),'P-Parametri'!$B$8*(S308+R308)))</f>
        <v>84862.767201820185</v>
      </c>
      <c r="V308" s="18">
        <f>IF($A308&gt;'1-Input'!$B$26,V307,V307-Q308*(1-P308))</f>
        <v>39006.802832652873</v>
      </c>
      <c r="W308" s="11">
        <f>IF($A308&gt;'1-Input'!$B$26,0,IF(AB307&lt;=0,0,MAX(0,(AB307-AC307)/AB307)))</f>
        <v>0.52854465418647734</v>
      </c>
      <c r="X308" s="18">
        <f>IF($A308&gt;'1-Input'!$B$26,0,(MAX(0,W286-IF($A308&gt;='1-Input'!$C$12,'1-Input'!$B$12,0))-MIN(MAX(AA307,0),MAX(0,W286-IF($A308&gt;='1-Input'!$C$12,'1-Input'!$B$12,0))))*(1/(1-'P-Parametri'!$B$6*W308))+MIN(MAX(0,AB307-(MAX(0,W286-IF($A308&gt;='1-Input'!$C$12,'1-Input'!$B$12,0))-MIN(MAX(AA307,0),MAX(0,W286-IF($A308&gt;='1-Input'!$C$12,'1-Input'!$B$12,0))))*(1/(1-'P-Parametri'!$B$6*W308))),MAX(0,5*MAX(0,W286-IF($A308&gt;='1-Input'!$C$12,'1-Input'!$B$12,0))-(AA307-MIN(MAX(AA307,0),MAX(0,W286-IF($A308&gt;='1-Input'!$C$12,'1-Input'!$B$12,0)))))*(1/(1-'P-Parametri'!$B$6*W308))))</f>
        <v>20210.141425500184</v>
      </c>
      <c r="Y308" s="18">
        <f>IF($A308&gt;'1-Input'!$B$26,AA307,(AA307-MAX(0,W286-IF($A308&gt;='1-Input'!$C$12,'1-Input'!$B$12,0))+X308*(1-'P-Parametri'!$B$6*W308))*(1+'1-Input'!$B$27))</f>
        <v>85314.700678730267</v>
      </c>
      <c r="Z308" s="18">
        <f>IF($A308&gt;'1-Input'!$B$26,AB307,(AB307-X308)*(1+'5-Roberta'!$C$4))</f>
        <v>87314.041993283754</v>
      </c>
      <c r="AA308" s="18">
        <f>IF($A308&gt;'1-Input'!$B$26,Y308,Y308-'P-Parametri'!$B$8*(Z308+Y308)+MIN(MAX(Z308,0),'P-Parametri'!$B$8*(Z308+Y308)))</f>
        <v>85314.700678730267</v>
      </c>
      <c r="AB308" s="18">
        <f>IF($A308&gt;'1-Input'!$B$26,Z308,Z308-MIN(MAX(Z308,0),'P-Parametri'!$B$8*(Z308+Y308)))</f>
        <v>86968.784507939723</v>
      </c>
      <c r="AC308" s="18">
        <f>IF($A308&gt;'1-Input'!$B$26,AC307,AC307-X308*(1-W308))</f>
        <v>39965.70083720392</v>
      </c>
      <c r="AD308" s="11">
        <f>IF($A308&gt;'1-Input'!$B$26,0,IF(AI307&lt;=0,0,MAX(0,(AI307-AJ307)/AI307)))</f>
        <v>0.52854559566641857</v>
      </c>
      <c r="AE308" s="18">
        <f>IF($A308&gt;'1-Input'!$B$26,0,(MAX(0,AD286-IF($A308&gt;='1-Input'!$C$12,'1-Input'!$B$12,0))-MIN(MAX(AH307,0),MAX(0,AD286-IF($A308&gt;='1-Input'!$C$12,'1-Input'!$B$12,0))))*(1/(1-'P-Parametri'!$B$6*AD308))+MIN(MAX(0,AI307-(MAX(0,AD286-IF($A308&gt;='1-Input'!$C$12,'1-Input'!$B$12,0))-MIN(MAX(AH307,0),MAX(0,AD286-IF($A308&gt;='1-Input'!$C$12,'1-Input'!$B$12,0))))*(1/(1-'P-Parametri'!$B$6*AD308))),MAX(0,5*MAX(0,AD286-IF($A308&gt;='1-Input'!$C$12,'1-Input'!$B$12,0))-(AH307-MIN(MAX(AH307,0),MAX(0,AD286-IF($A308&gt;='1-Input'!$C$12,'1-Input'!$B$12,0)))))*(1/(1-'P-Parametri'!$B$6*AD308))))</f>
        <v>20209.411391527952</v>
      </c>
      <c r="AF308" s="18">
        <f>IF($A308&gt;'1-Input'!$B$26,AH307,(AH307-MAX(0,AD286-IF($A308&gt;='1-Input'!$C$12,'1-Input'!$B$12,0))+AE308*(1-'P-Parametri'!$B$6*AD308))*(1+'1-Input'!$B$27))</f>
        <v>85311.594717462009</v>
      </c>
      <c r="AG308" s="18">
        <f>IF($A308&gt;'1-Input'!$B$26,AI307,(AI307-AE308)*(1+'5-Roberta'!$C$4))</f>
        <v>87338.609926889098</v>
      </c>
      <c r="AH308" s="18">
        <f>IF($A308&gt;'1-Input'!$B$26,AF308,AF308-'P-Parametri'!$B$8*(AG308+AF308)+MIN(MAX(AG308,0),'P-Parametri'!$B$8*(AG308+AF308)))</f>
        <v>85311.594717462009</v>
      </c>
      <c r="AI308" s="18">
        <f>IF($A308&gt;'1-Input'!$B$26,AG308,AG308-MIN(MAX(AG308,0),'P-Parametri'!$B$8*(AG308+AF308)))</f>
        <v>86993.309517600399</v>
      </c>
      <c r="AJ308" s="18">
        <f>IF($A308&gt;'1-Input'!$B$26,AJ307,AJ307-AE308*(1-AD308))</f>
        <v>39976.866328548072</v>
      </c>
      <c r="AK308" s="11">
        <f>IF($A308&gt;'1-Input'!$B$26,0,IF(AP307&lt;=0,0,MAX(0,(AP307-AQ307)/AP307)))</f>
        <v>0.52854557428166282</v>
      </c>
      <c r="AL308" s="18">
        <f>IF($A308&gt;'1-Input'!$B$26,0,(MAX(0,AK286-IF($A308&gt;='1-Input'!$C$12,'1-Input'!$B$12,0))-MIN(MAX(AO307,0),MAX(0,AK286-IF($A308&gt;='1-Input'!$C$12,'1-Input'!$B$12,0))))*(1/(1-'P-Parametri'!$B$6*AK308))+MIN(MAX(0,AP307-(MAX(0,AK286-IF($A308&gt;='1-Input'!$C$12,'1-Input'!$B$12,0))-MIN(MAX(AO307,0),MAX(0,AK286-IF($A308&gt;='1-Input'!$C$12,'1-Input'!$B$12,0))))*(1/(1-'P-Parametri'!$B$6*AK308))),MAX(0,5*MAX(0,AK286-IF($A308&gt;='1-Input'!$C$12,'1-Input'!$B$12,0))-(AO307-MIN(MAX(AO307,0),MAX(0,AK286-IF($A308&gt;='1-Input'!$C$12,'1-Input'!$B$12,0)))))*(1/(1-'P-Parametri'!$B$6*AK308))))</f>
        <v>20209.427975589839</v>
      </c>
      <c r="AM308" s="18">
        <f>IF($A308&gt;'1-Input'!$B$26,AO307,(AO307-MAX(0,AK286-IF($A308&gt;='1-Input'!$C$12,'1-Input'!$B$12,0))+AL308*(1-'P-Parametri'!$B$6*AK308))*(1+'1-Input'!$B$27))</f>
        <v>85311.6652749856</v>
      </c>
      <c r="AN308" s="18">
        <f>IF($A308&gt;'1-Input'!$B$26,AP307,(AP307-AL308)*(1+'5-Roberta'!$C$4))</f>
        <v>87338.051821784</v>
      </c>
      <c r="AO308" s="18">
        <f>IF($A308&gt;'1-Input'!$B$26,AM308,AM308-'P-Parametri'!$B$8*(AN308+AM308)+MIN(MAX(AN308,0),'P-Parametri'!$B$8*(AN308+AM308)))</f>
        <v>85311.6652749856</v>
      </c>
      <c r="AP308" s="18">
        <f>IF($A308&gt;'1-Input'!$B$26,AN308,AN308-MIN(MAX(AN308,0),'P-Parametri'!$B$8*(AN308+AM308)))</f>
        <v>86992.752387590459</v>
      </c>
      <c r="AQ308" s="18">
        <f>IF($A308&gt;'1-Input'!$B$26,AQ307,AQ307-AL308*(1-AK308))</f>
        <v>39976.612684463646</v>
      </c>
    </row>
    <row r="309" spans="1:43">
      <c r="A309" s="10">
        <f>21</f>
        <v>21</v>
      </c>
      <c r="B309" s="11">
        <f>IF($A309&gt;'1-Input'!$B$26,0,IF(G308&lt;=0,0,MAX(0,(G308-H308)/G308)))</f>
        <v>0.54122866628006627</v>
      </c>
      <c r="C309" s="18">
        <f>IF($A309&gt;'1-Input'!$B$26,0,(MAX(0,B286-IF($A309&gt;='1-Input'!$C$12,'1-Input'!$B$12,0))-MIN(MAX(F308,0),MAX(0,B286-IF($A309&gt;='1-Input'!$C$12,'1-Input'!$B$12,0))))*(1/(1-'P-Parametri'!$B$6*B309))+MIN(MAX(0,G308-(MAX(0,B286-IF($A309&gt;='1-Input'!$C$12,'1-Input'!$B$12,0))-MIN(MAX(F308,0),MAX(0,B286-IF($A309&gt;='1-Input'!$C$12,'1-Input'!$B$12,0))))*(1/(1-'P-Parametri'!$B$6*B309))),MAX(0,5*MAX(0,B286-IF($A309&gt;='1-Input'!$C$12,'1-Input'!$B$12,0))-(F308-MIN(MAX(F308,0),MAX(0,B286-IF($A309&gt;='1-Input'!$C$12,'1-Input'!$B$12,0)))))*(1/(1-'P-Parametri'!$B$6*B309))))</f>
        <v>19762.246886859954</v>
      </c>
      <c r="D309" s="18">
        <f>IF($A309&gt;'1-Input'!$B$26,F308,(F308-MAX(0,B286-IF($A309&gt;='1-Input'!$C$12,'1-Input'!$B$12,0))+C309*(1-'P-Parametri'!$B$6*B309))*(1+'1-Input'!$B$27))</f>
        <v>83105.01757746574</v>
      </c>
      <c r="E309" s="18">
        <f>IF($A309&gt;'1-Input'!$B$26,G308,(G308-C309)*(1+'5-Roberta'!$C$4))</f>
        <v>87196.08804104205</v>
      </c>
      <c r="F309" s="18">
        <f>IF($A309&gt;'1-Input'!$B$26,D309,D309-'P-Parametri'!$B$8*(E309+D309)+MIN(MAX(E309,0),'P-Parametri'!$B$8*(E309+D309)))</f>
        <v>83105.01757746574</v>
      </c>
      <c r="G309" s="18">
        <f>IF($A309&gt;'1-Input'!$B$26,E309,E309-MIN(MAX(E309,0),'P-Parametri'!$B$8*(E309+D309)))</f>
        <v>86855.485829805039</v>
      </c>
      <c r="H309" s="18">
        <f>IF($A309&gt;'1-Input'!$B$26,H308,H308-C309*(1-B309))</f>
        <v>38837.927772572453</v>
      </c>
      <c r="I309" s="11">
        <f>IF($A309&gt;'1-Input'!$B$26,0,IF(N308&lt;=0,0,MAX(0,(N308-O308)/N308)))</f>
        <v>0</v>
      </c>
      <c r="J309" s="18">
        <f>IF($A309&gt;'1-Input'!$B$26,0,(MAX(0,I286-IF($A309&gt;='1-Input'!$C$12,'1-Input'!$B$12,0))-MIN(MAX(M308,0),MAX(0,I286-IF($A309&gt;='1-Input'!$C$12,'1-Input'!$B$12,0))))*(1/(1-'P-Parametri'!$B$6*I309))+MIN(MAX(0,N308-(MAX(0,I286-IF($A309&gt;='1-Input'!$C$12,'1-Input'!$B$12,0))-MIN(MAX(M308,0),MAX(0,I286-IF($A309&gt;='1-Input'!$C$12,'1-Input'!$B$12,0))))*(1/(1-'P-Parametri'!$B$6*I309))),MAX(0,5*MAX(0,I286-IF($A309&gt;='1-Input'!$C$12,'1-Input'!$B$12,0))-(M308-MIN(MAX(M308,0),MAX(0,I286-IF($A309&gt;='1-Input'!$C$12,'1-Input'!$B$12,0)))))*(1/(1-'P-Parametri'!$B$6*I309))))</f>
        <v>0</v>
      </c>
      <c r="K309" s="18">
        <f>IF($A309&gt;'1-Input'!$B$26,M308,(M308-MAX(0,I286-IF($A309&gt;='1-Input'!$C$12,'1-Input'!$B$12,0))+J309*(1-'P-Parametri'!$B$6*I309))*(1+'1-Input'!$B$27))</f>
        <v>4956.7849159142688</v>
      </c>
      <c r="L309" s="18">
        <f>IF($A309&gt;'1-Input'!$B$26,N308,(N308-J309)*(1+'5-Roberta'!$C$4))</f>
        <v>0</v>
      </c>
      <c r="M309" s="18">
        <f>IF($A309&gt;'1-Input'!$B$26,K309,K309-'P-Parametri'!$B$8*(L309+K309)+MIN(MAX(L309,0),'P-Parametri'!$B$8*(L309+K309)))</f>
        <v>4946.8713460824401</v>
      </c>
      <c r="N309" s="18">
        <f>IF($A309&gt;'1-Input'!$B$26,L309,L309-MIN(MAX(L309,0),'P-Parametri'!$B$8*(L309+K309)))</f>
        <v>0</v>
      </c>
      <c r="O309" s="18">
        <f>IF($A309&gt;'1-Input'!$B$26,O308,O308-J309*(1-I309))</f>
        <v>-4.5474735088646412E-13</v>
      </c>
      <c r="P309" s="11">
        <f>IF($A309&gt;'1-Input'!$B$26,0,IF(U308&lt;=0,0,MAX(0,(U308-V308)/U308)))</f>
        <v>0.54035433772873442</v>
      </c>
      <c r="Q309" s="18">
        <f>IF($A309&gt;'1-Input'!$B$26,0,(MAX(0,P286-IF($A309&gt;='1-Input'!$C$12,'1-Input'!$B$12,0))-MIN(MAX(T308,0),MAX(0,P286-IF($A309&gt;='1-Input'!$C$12,'1-Input'!$B$12,0))))*(1/(1-'P-Parametri'!$B$6*P309))+MIN(MAX(0,U308-(MAX(0,P286-IF($A309&gt;='1-Input'!$C$12,'1-Input'!$B$12,0))-MIN(MAX(T308,0),MAX(0,P286-IF($A309&gt;='1-Input'!$C$12,'1-Input'!$B$12,0))))*(1/(1-'P-Parametri'!$B$6*P309))),MAX(0,5*MAX(0,P286-IF($A309&gt;='1-Input'!$C$12,'1-Input'!$B$12,0))-(T308-MIN(MAX(T308,0),MAX(0,P286-IF($A309&gt;='1-Input'!$C$12,'1-Input'!$B$12,0)))))*(1/(1-'P-Parametri'!$B$6*P309))))</f>
        <v>20345.749190180362</v>
      </c>
      <c r="R309" s="18">
        <f>IF($A309&gt;'1-Input'!$B$26,T308,(T308-MAX(0,P286-IF($A309&gt;='1-Input'!$C$12,'1-Input'!$B$12,0))+Q309*(1-'P-Parametri'!$B$6*P309))*(1+'1-Input'!$B$27))</f>
        <v>85581.420436314511</v>
      </c>
      <c r="S309" s="18">
        <f>IF($A309&gt;'1-Input'!$B$26,U308,(U308-Q309)*(1+'5-Roberta'!$C$4))</f>
        <v>66452.528551989017</v>
      </c>
      <c r="T309" s="18">
        <f>IF($A309&gt;'1-Input'!$B$26,R309,R309-'P-Parametri'!$B$8*(S309+R309)+MIN(MAX(S309,0),'P-Parametri'!$B$8*(S309+R309)))</f>
        <v>85581.420436314511</v>
      </c>
      <c r="U309" s="18">
        <f>IF($A309&gt;'1-Input'!$B$26,S309,S309-MIN(MAX(S309,0),'P-Parametri'!$B$8*(S309+R309)))</f>
        <v>66148.460654012408</v>
      </c>
      <c r="V309" s="18">
        <f>IF($A309&gt;'1-Input'!$B$26,V308,V308-Q309*(1-P309))</f>
        <v>29654.967471727356</v>
      </c>
      <c r="W309" s="11">
        <f>IF($A309&gt;'1-Input'!$B$26,0,IF(AB308&lt;=0,0,MAX(0,(AB308-AC308)/AB308)))</f>
        <v>0.54045924565548809</v>
      </c>
      <c r="X309" s="18">
        <f>IF($A309&gt;'1-Input'!$B$26,0,(MAX(0,W286-IF($A309&gt;='1-Input'!$C$12,'1-Input'!$B$12,0))-MIN(MAX(AA308,0),MAX(0,W286-IF($A309&gt;='1-Input'!$C$12,'1-Input'!$B$12,0))))*(1/(1-'P-Parametri'!$B$6*W309))+MIN(MAX(0,AB308-(MAX(0,W286-IF($A309&gt;='1-Input'!$C$12,'1-Input'!$B$12,0))-MIN(MAX(AA308,0),MAX(0,W286-IF($A309&gt;='1-Input'!$C$12,'1-Input'!$B$12,0))))*(1/(1-'P-Parametri'!$B$6*W309))),MAX(0,5*MAX(0,W286-IF($A309&gt;='1-Input'!$C$12,'1-Input'!$B$12,0))-(AA308-MIN(MAX(AA308,0),MAX(0,W286-IF($A309&gt;='1-Input'!$C$12,'1-Input'!$B$12,0)))))*(1/(1-'P-Parametri'!$B$6*W309))))</f>
        <v>20282.984082707375</v>
      </c>
      <c r="Y309" s="18">
        <f>IF($A309&gt;'1-Input'!$B$26,AA308,(AA308-MAX(0,W286-IF($A309&gt;='1-Input'!$C$12,'1-Input'!$B$12,0))+X309*(1-'P-Parametri'!$B$6*W309))*(1+'1-Input'!$B$27))</f>
        <v>85314.700678730267</v>
      </c>
      <c r="Z309" s="18">
        <f>IF($A309&gt;'1-Input'!$B$26,AB308,(AB308-X309)*(1+'5-Roberta'!$C$4))</f>
        <v>68686.374437989318</v>
      </c>
      <c r="AA309" s="18">
        <f>IF($A309&gt;'1-Input'!$B$26,Y309,Y309-'P-Parametri'!$B$8*(Z309+Y309)+MIN(MAX(Z309,0),'P-Parametri'!$B$8*(Z309+Y309)))</f>
        <v>85314.700678730267</v>
      </c>
      <c r="AB309" s="18">
        <f>IF($A309&gt;'1-Input'!$B$26,Z309,Z309-MIN(MAX(Z309,0),'P-Parametri'!$B$8*(Z309+Y309)))</f>
        <v>68378.372287755876</v>
      </c>
      <c r="AC309" s="18">
        <f>IF($A309&gt;'1-Input'!$B$26,AC308,AC308-X309*(1-W309))</f>
        <v>30644.843031478846</v>
      </c>
      <c r="AD309" s="11">
        <f>IF($A309&gt;'1-Input'!$B$26,0,IF(AI308&lt;=0,0,MAX(0,(AI308-AJ308)/AI308)))</f>
        <v>0.54046044977217478</v>
      </c>
      <c r="AE309" s="18">
        <f>IF($A309&gt;'1-Input'!$B$26,0,(MAX(0,AD286-IF($A309&gt;='1-Input'!$C$12,'1-Input'!$B$12,0))-MIN(MAX(AH308,0),MAX(0,AD286-IF($A309&gt;='1-Input'!$C$12,'1-Input'!$B$12,0))))*(1/(1-'P-Parametri'!$B$6*AD309))+MIN(MAX(0,AI308-(MAX(0,AD286-IF($A309&gt;='1-Input'!$C$12,'1-Input'!$B$12,0))-MIN(MAX(AH308,0),MAX(0,AD286-IF($A309&gt;='1-Input'!$C$12,'1-Input'!$B$12,0))))*(1/(1-'P-Parametri'!$B$6*AD309))),MAX(0,5*MAX(0,AD286-IF($A309&gt;='1-Input'!$C$12,'1-Input'!$B$12,0))-(AH308-MIN(MAX(AH308,0),MAX(0,AD286-IF($A309&gt;='1-Input'!$C$12,'1-Input'!$B$12,0)))))*(1/(1-'P-Parametri'!$B$6*AD309))))</f>
        <v>20282.253049667459</v>
      </c>
      <c r="AF309" s="18">
        <f>IF($A309&gt;'1-Input'!$B$26,AH308,(AH308-MAX(0,AD286-IF($A309&gt;='1-Input'!$C$12,'1-Input'!$B$12,0))+AE309*(1-'P-Parametri'!$B$6*AD309))*(1+'1-Input'!$B$27))</f>
        <v>85311.594717462009</v>
      </c>
      <c r="AG309" s="18">
        <f>IF($A309&gt;'1-Input'!$B$26,AI308,(AI308-AE309)*(1+'5-Roberta'!$C$4))</f>
        <v>68712.388161970928</v>
      </c>
      <c r="AH309" s="18">
        <f>IF($A309&gt;'1-Input'!$B$26,AF309,AF309-'P-Parametri'!$B$8*(AG309+AF309)+MIN(MAX(AG309,0),'P-Parametri'!$B$8*(AG309+AF309)))</f>
        <v>85311.594717462009</v>
      </c>
      <c r="AI309" s="18">
        <f>IF($A309&gt;'1-Input'!$B$26,AG309,AG309-MIN(MAX(AG309,0),'P-Parametri'!$B$8*(AG309+AF309)))</f>
        <v>68404.340196212055</v>
      </c>
      <c r="AJ309" s="18">
        <f>IF($A309&gt;'1-Input'!$B$26,AJ308,AJ308-AE309*(1-AD309))</f>
        <v>30656.368884496951</v>
      </c>
      <c r="AK309" s="11">
        <f>IF($A309&gt;'1-Input'!$B$26,0,IF(AP308&lt;=0,0,MAX(0,(AP308-AQ308)/AP308)))</f>
        <v>0.54046042242288772</v>
      </c>
      <c r="AL309" s="18">
        <f>IF($A309&gt;'1-Input'!$B$26,0,(MAX(0,AK286-IF($A309&gt;='1-Input'!$C$12,'1-Input'!$B$12,0))-MIN(MAX(AO308,0),MAX(0,AK286-IF($A309&gt;='1-Input'!$C$12,'1-Input'!$B$12,0))))*(1/(1-'P-Parametri'!$B$6*AK309))+MIN(MAX(0,AP308-(MAX(0,AK286-IF($A309&gt;='1-Input'!$C$12,'1-Input'!$B$12,0))-MIN(MAX(AO308,0),MAX(0,AK286-IF($A309&gt;='1-Input'!$C$12,'1-Input'!$B$12,0))))*(1/(1-'P-Parametri'!$B$6*AK309))),MAX(0,5*MAX(0,AK286-IF($A309&gt;='1-Input'!$C$12,'1-Input'!$B$12,0))-(AO308-MIN(MAX(AO308,0),MAX(0,AK286-IF($A309&gt;='1-Input'!$C$12,'1-Input'!$B$12,0)))))*(1/(1-'P-Parametri'!$B$6*AK309))))</f>
        <v>20282.269656437064</v>
      </c>
      <c r="AM309" s="18">
        <f>IF($A309&gt;'1-Input'!$B$26,AO308,(AO308-MAX(0,AK286-IF($A309&gt;='1-Input'!$C$12,'1-Input'!$B$12,0))+AL309*(1-'P-Parametri'!$B$6*AK309))*(1+'1-Input'!$B$27))</f>
        <v>85311.6652749856</v>
      </c>
      <c r="AN309" s="18">
        <f>IF($A309&gt;'1-Input'!$B$26,AP308,(AP308-AL309)*(1+'5-Roberta'!$C$4))</f>
        <v>68711.797213088008</v>
      </c>
      <c r="AO309" s="18">
        <f>IF($A309&gt;'1-Input'!$B$26,AM309,AM309-'P-Parametri'!$B$8*(AN309+AM309)+MIN(MAX(AN309,0),'P-Parametri'!$B$8*(AN309+AM309)))</f>
        <v>85311.6652749856</v>
      </c>
      <c r="AP309" s="18">
        <f>IF($A309&gt;'1-Input'!$B$26,AN309,AN309-MIN(MAX(AN309,0),'P-Parametri'!$B$8*(AN309+AM309)))</f>
        <v>68403.750288111856</v>
      </c>
      <c r="AQ309" s="18">
        <f>IF($A309&gt;'1-Input'!$B$26,AQ308,AQ308-AL309*(1-AK309))</f>
        <v>30656.107054239474</v>
      </c>
    </row>
    <row r="310" spans="1:43">
      <c r="A310" s="10">
        <f>22</f>
        <v>22</v>
      </c>
      <c r="B310" s="11">
        <f>IF($A310&gt;'1-Input'!$B$26,0,IF(G309&lt;=0,0,MAX(0,(G309-H309)/G309)))</f>
        <v>0.5528442745841512</v>
      </c>
      <c r="C310" s="18">
        <f>IF($A310&gt;'1-Input'!$B$26,0,(MAX(0,B286-IF($A310&gt;='1-Input'!$C$12,'1-Input'!$B$12,0))-MIN(MAX(F309,0),MAX(0,B286-IF($A310&gt;='1-Input'!$C$12,'1-Input'!$B$12,0))))*(1/(1-'P-Parametri'!$B$6*B310))+MIN(MAX(0,G309-(MAX(0,B286-IF($A310&gt;='1-Input'!$C$12,'1-Input'!$B$12,0))-MIN(MAX(F309,0),MAX(0,B286-IF($A310&gt;='1-Input'!$C$12,'1-Input'!$B$12,0))))*(1/(1-'P-Parametri'!$B$6*B310))),MAX(0,5*MAX(0,B286-IF($A310&gt;='1-Input'!$C$12,'1-Input'!$B$12,0))-(F309-MIN(MAX(F309,0),MAX(0,B286-IF($A310&gt;='1-Input'!$C$12,'1-Input'!$B$12,0)))))*(1/(1-'P-Parametri'!$B$6*B310))))</f>
        <v>19831.948964377367</v>
      </c>
      <c r="D310" s="18">
        <f>IF($A310&gt;'1-Input'!$B$26,F309,(F309-MAX(0,B286-IF($A310&gt;='1-Input'!$C$12,'1-Input'!$B$12,0))+C310*(1-'P-Parametri'!$B$6*B310))*(1+'1-Input'!$B$27))</f>
        <v>83105.01757746574</v>
      </c>
      <c r="E310" s="18">
        <f>IF($A310&gt;'1-Input'!$B$26,G309,(G309-C310)*(1+'5-Roberta'!$C$4))</f>
        <v>69034.2429713905</v>
      </c>
      <c r="F310" s="18">
        <f>IF($A310&gt;'1-Input'!$B$26,D310,D310-'P-Parametri'!$B$8*(E310+D310)+MIN(MAX(E310,0),'P-Parametri'!$B$8*(E310+D310)))</f>
        <v>83105.01757746574</v>
      </c>
      <c r="G310" s="18">
        <f>IF($A310&gt;'1-Input'!$B$26,E310,E310-MIN(MAX(E310,0),'P-Parametri'!$B$8*(E310+D310)))</f>
        <v>68729.964450292784</v>
      </c>
      <c r="H310" s="18">
        <f>IF($A310&gt;'1-Input'!$B$26,H309,H309-C310*(1-B310))</f>
        <v>29969.958246996201</v>
      </c>
      <c r="I310" s="11">
        <f>IF($A310&gt;'1-Input'!$B$26,0,IF(N309&lt;=0,0,MAX(0,(N309-O309)/N309)))</f>
        <v>0</v>
      </c>
      <c r="J310" s="18">
        <f>IF($A310&gt;'1-Input'!$B$26,0,(MAX(0,I286-IF($A310&gt;='1-Input'!$C$12,'1-Input'!$B$12,0))-MIN(MAX(M309,0),MAX(0,I286-IF($A310&gt;='1-Input'!$C$12,'1-Input'!$B$12,0))))*(1/(1-'P-Parametri'!$B$6*I310))+MIN(MAX(0,N309-(MAX(0,I286-IF($A310&gt;='1-Input'!$C$12,'1-Input'!$B$12,0))-MIN(MAX(M309,0),MAX(0,I286-IF($A310&gt;='1-Input'!$C$12,'1-Input'!$B$12,0))))*(1/(1-'P-Parametri'!$B$6*I310))),MAX(0,5*MAX(0,I286-IF($A310&gt;='1-Input'!$C$12,'1-Input'!$B$12,0))-(M309-MIN(MAX(M309,0),MAX(0,I286-IF($A310&gt;='1-Input'!$C$12,'1-Input'!$B$12,0)))))*(1/(1-'P-Parametri'!$B$6*I310))))</f>
        <v>17001.885646846251</v>
      </c>
      <c r="K310" s="18">
        <f>IF($A310&gt;'1-Input'!$B$26,M309,(M309-MAX(0,I286-IF($A310&gt;='1-Input'!$C$12,'1-Input'!$B$12,0))+J310*(1-'P-Parametri'!$B$6*I310))*(1+'1-Input'!$B$27))</f>
        <v>0</v>
      </c>
      <c r="L310" s="18">
        <f>IF($A310&gt;'1-Input'!$B$26,N309,(N309-J310)*(1+'5-Roberta'!$C$4))</f>
        <v>-17511.942216251638</v>
      </c>
      <c r="M310" s="18">
        <f>IF($A310&gt;'1-Input'!$B$26,K310,K310-'P-Parametri'!$B$8*(L310+K310)+MIN(MAX(L310,0),'P-Parametri'!$B$8*(L310+K310)))</f>
        <v>0</v>
      </c>
      <c r="N310" s="18">
        <f>IF($A310&gt;'1-Input'!$B$26,L310,L310-MIN(MAX(L310,0),'P-Parametri'!$B$8*(L310+K310)))</f>
        <v>-17476.918331819135</v>
      </c>
      <c r="O310" s="18">
        <f>IF($A310&gt;'1-Input'!$B$26,O309,O309-J310*(1-I310))</f>
        <v>-17001.885646846251</v>
      </c>
      <c r="P310" s="11">
        <f>IF($A310&gt;'1-Input'!$B$26,0,IF(U309&lt;=0,0,MAX(0,(U309-V309)/U309)))</f>
        <v>0.55169073961015058</v>
      </c>
      <c r="Q310" s="18">
        <f>IF($A310&gt;'1-Input'!$B$26,0,(MAX(0,P286-IF($A310&gt;='1-Input'!$C$12,'1-Input'!$B$12,0))-MIN(MAX(T309,0),MAX(0,P286-IF($A310&gt;='1-Input'!$C$12,'1-Input'!$B$12,0))))*(1/(1-'P-Parametri'!$B$6*P310))+MIN(MAX(0,U309-(MAX(0,P286-IF($A310&gt;='1-Input'!$C$12,'1-Input'!$B$12,0))-MIN(MAX(T309,0),MAX(0,P286-IF($A310&gt;='1-Input'!$C$12,'1-Input'!$B$12,0))))*(1/(1-'P-Parametri'!$B$6*P310))),MAX(0,5*MAX(0,P286-IF($A310&gt;='1-Input'!$C$12,'1-Input'!$B$12,0))-(T309-MIN(MAX(T309,0),MAX(0,P286-IF($A310&gt;='1-Input'!$C$12,'1-Input'!$B$12,0)))))*(1/(1-'P-Parametri'!$B$6*P310))))</f>
        <v>20415.759866256918</v>
      </c>
      <c r="R310" s="18">
        <f>IF($A310&gt;'1-Input'!$B$26,T309,(T309-MAX(0,P286-IF($A310&gt;='1-Input'!$C$12,'1-Input'!$B$12,0))+Q310*(1-'P-Parametri'!$B$6*P310))*(1+'1-Input'!$B$27))</f>
        <v>85581.420436314511</v>
      </c>
      <c r="S310" s="18">
        <f>IF($A310&gt;'1-Input'!$B$26,U309,(U309-Q310)*(1+'5-Roberta'!$C$4))</f>
        <v>47104.681811388153</v>
      </c>
      <c r="T310" s="18">
        <f>IF($A310&gt;'1-Input'!$B$26,R310,R310-'P-Parametri'!$B$8*(S310+R310)+MIN(MAX(S310,0),'P-Parametri'!$B$8*(S310+R310)))</f>
        <v>85581.420436314511</v>
      </c>
      <c r="U310" s="18">
        <f>IF($A310&gt;'1-Input'!$B$26,S310,S310-MIN(MAX(S310,0),'P-Parametri'!$B$8*(S310+R310)))</f>
        <v>46839.309606892748</v>
      </c>
      <c r="V310" s="18">
        <f>IF($A310&gt;'1-Input'!$B$26,V309,V309-Q310*(1-P310))</f>
        <v>20502.393265788945</v>
      </c>
      <c r="W310" s="11">
        <f>IF($A310&gt;'1-Input'!$B$26,0,IF(AB309&lt;=0,0,MAX(0,(AB309-AC309)/AB309)))</f>
        <v>0.55183427147817266</v>
      </c>
      <c r="X310" s="18">
        <f>IF($A310&gt;'1-Input'!$B$26,0,(MAX(0,W286-IF($A310&gt;='1-Input'!$C$12,'1-Input'!$B$12,0))-MIN(MAX(AA309,0),MAX(0,W286-IF($A310&gt;='1-Input'!$C$12,'1-Input'!$B$12,0))))*(1/(1-'P-Parametri'!$B$6*W310))+MIN(MAX(0,AB309-(MAX(0,W286-IF($A310&gt;='1-Input'!$C$12,'1-Input'!$B$12,0))-MIN(MAX(AA309,0),MAX(0,W286-IF($A310&gt;='1-Input'!$C$12,'1-Input'!$B$12,0))))*(1/(1-'P-Parametri'!$B$6*W310))),MAX(0,5*MAX(0,W286-IF($A310&gt;='1-Input'!$C$12,'1-Input'!$B$12,0))-(AA309-MIN(MAX(AA309,0),MAX(0,W286-IF($A310&gt;='1-Input'!$C$12,'1-Input'!$B$12,0)))))*(1/(1-'P-Parametri'!$B$6*W310))))</f>
        <v>20353.019627976115</v>
      </c>
      <c r="Y310" s="18">
        <f>IF($A310&gt;'1-Input'!$B$26,AA309,(AA309-MAX(0,W286-IF($A310&gt;='1-Input'!$C$12,'1-Input'!$B$12,0))+X310*(1-'P-Parametri'!$B$6*W310))*(1+'1-Input'!$B$27))</f>
        <v>85314.700678730267</v>
      </c>
      <c r="Z310" s="18">
        <f>IF($A310&gt;'1-Input'!$B$26,AB309,(AB309-X310)*(1+'5-Roberta'!$C$4))</f>
        <v>49466.113239573155</v>
      </c>
      <c r="AA310" s="18">
        <f>IF($A310&gt;'1-Input'!$B$26,Y310,Y310-'P-Parametri'!$B$8*(Z310+Y310)+MIN(MAX(Z310,0),'P-Parametri'!$B$8*(Z310+Y310)))</f>
        <v>85314.700678730267</v>
      </c>
      <c r="AB310" s="18">
        <f>IF($A310&gt;'1-Input'!$B$26,Z310,Z310-MIN(MAX(Z310,0),'P-Parametri'!$B$8*(Z310+Y310)))</f>
        <v>49196.551611736548</v>
      </c>
      <c r="AC310" s="18">
        <f>IF($A310&gt;'1-Input'!$B$26,AC309,AC309-X310*(1-W310))</f>
        <v>21523.31716228788</v>
      </c>
      <c r="AD310" s="11">
        <f>IF($A310&gt;'1-Input'!$B$26,0,IF(AI309&lt;=0,0,MAX(0,(AI309-AJ309)/AI309)))</f>
        <v>0.55183590987703768</v>
      </c>
      <c r="AE310" s="18">
        <f>IF($A310&gt;'1-Input'!$B$26,0,(MAX(0,AD286-IF($A310&gt;='1-Input'!$C$12,'1-Input'!$B$12,0))-MIN(MAX(AH309,0),MAX(0,AD286-IF($A310&gt;='1-Input'!$C$12,'1-Input'!$B$12,0))))*(1/(1-'P-Parametri'!$B$6*AD310))+MIN(MAX(0,AI309-(MAX(0,AD286-IF($A310&gt;='1-Input'!$C$12,'1-Input'!$B$12,0))-MIN(MAX(AH309,0),MAX(0,AD286-IF($A310&gt;='1-Input'!$C$12,'1-Input'!$B$12,0))))*(1/(1-'P-Parametri'!$B$6*AD310))),MAX(0,5*MAX(0,AD286-IF($A310&gt;='1-Input'!$C$12,'1-Input'!$B$12,0))-(AH309-MIN(MAX(AH309,0),MAX(0,AD286-IF($A310&gt;='1-Input'!$C$12,'1-Input'!$B$12,0)))))*(1/(1-'P-Parametri'!$B$6*AD310))))</f>
        <v>20352.28877932869</v>
      </c>
      <c r="AF310" s="18">
        <f>IF($A310&gt;'1-Input'!$B$26,AH309,(AH309-MAX(0,AD286-IF($A310&gt;='1-Input'!$C$12,'1-Input'!$B$12,0))+AE310*(1-'P-Parametri'!$B$6*AD310))*(1+'1-Input'!$B$27))</f>
        <v>85311.594717462009</v>
      </c>
      <c r="AG310" s="18">
        <f>IF($A310&gt;'1-Input'!$B$26,AI309,(AI309-AE310)*(1+'5-Roberta'!$C$4))</f>
        <v>49493.612959389866</v>
      </c>
      <c r="AH310" s="18">
        <f>IF($A310&gt;'1-Input'!$B$26,AF310,AF310-'P-Parametri'!$B$8*(AG310+AF310)+MIN(MAX(AG310,0),'P-Parametri'!$B$8*(AG310+AF310)))</f>
        <v>85311.594717462009</v>
      </c>
      <c r="AI310" s="18">
        <f>IF($A310&gt;'1-Input'!$B$26,AG310,AG310-MIN(MAX(AG310,0),'P-Parametri'!$B$8*(AG310+AF310)))</f>
        <v>49224.002544036164</v>
      </c>
      <c r="AJ310" s="18">
        <f>IF($A310&gt;'1-Input'!$B$26,AJ309,AJ309-AE310*(1-AD310))</f>
        <v>21535.203901789333</v>
      </c>
      <c r="AK310" s="11">
        <f>IF($A310&gt;'1-Input'!$B$26,0,IF(AP309&lt;=0,0,MAX(0,(AP309-AQ309)/AP309)))</f>
        <v>0.55183587266607348</v>
      </c>
      <c r="AL310" s="18">
        <f>IF($A310&gt;'1-Input'!$B$26,0,(MAX(0,AK286-IF($A310&gt;='1-Input'!$C$12,'1-Input'!$B$12,0))-MIN(MAX(AO309,0),MAX(0,AK286-IF($A310&gt;='1-Input'!$C$12,'1-Input'!$B$12,0))))*(1/(1-'P-Parametri'!$B$6*AK310))+MIN(MAX(0,AP309-(MAX(0,AK286-IF($A310&gt;='1-Input'!$C$12,'1-Input'!$B$12,0))-MIN(MAX(AO309,0),MAX(0,AK286-IF($A310&gt;='1-Input'!$C$12,'1-Input'!$B$12,0))))*(1/(1-'P-Parametri'!$B$6*AK310))),MAX(0,5*MAX(0,AK286-IF($A310&gt;='1-Input'!$C$12,'1-Input'!$B$12,0))-(AO309-MIN(MAX(AO309,0),MAX(0,AK286-IF($A310&gt;='1-Input'!$C$12,'1-Input'!$B$12,0)))))*(1/(1-'P-Parametri'!$B$6*AK310))))</f>
        <v>20352.305381935468</v>
      </c>
      <c r="AM310" s="18">
        <f>IF($A310&gt;'1-Input'!$B$26,AO309,(AO309-MAX(0,AK286-IF($A310&gt;='1-Input'!$C$12,'1-Input'!$B$12,0))+AL310*(1-'P-Parametri'!$B$6*AK310))*(1+'1-Input'!$B$27))</f>
        <v>85311.6652749856</v>
      </c>
      <c r="AN310" s="18">
        <f>IF($A310&gt;'1-Input'!$B$26,AP309,(AP309-AL310)*(1+'5-Roberta'!$C$4))</f>
        <v>49492.988253361684</v>
      </c>
      <c r="AO310" s="18">
        <f>IF($A310&gt;'1-Input'!$B$26,AM310,AM310-'P-Parametri'!$B$8*(AN310+AM310)+MIN(MAX(AN310,0),'P-Parametri'!$B$8*(AN310+AM310)))</f>
        <v>85311.6652749856</v>
      </c>
      <c r="AP310" s="18">
        <f>IF($A310&gt;'1-Input'!$B$26,AN310,AN310-MIN(MAX(AN310,0),'P-Parametri'!$B$8*(AN310+AM310)))</f>
        <v>49223.378946304991</v>
      </c>
      <c r="AQ310" s="18">
        <f>IF($A310&gt;'1-Input'!$B$26,AQ309,AQ309-AL310*(1-AK310))</f>
        <v>21534.933873510789</v>
      </c>
    </row>
    <row r="311" spans="1:43">
      <c r="A311" s="10">
        <f>23</f>
        <v>23</v>
      </c>
      <c r="B311" s="11">
        <f>IF($A311&gt;'1-Input'!$B$26,0,IF(G310&lt;=0,0,MAX(0,(G310-H310)/G310)))</f>
        <v>0.56394625711364621</v>
      </c>
      <c r="C311" s="18">
        <f>IF($A311&gt;'1-Input'!$B$26,0,(MAX(0,B286-IF($A311&gt;='1-Input'!$C$12,'1-Input'!$B$12,0))-MIN(MAX(F310,0),MAX(0,B286-IF($A311&gt;='1-Input'!$C$12,'1-Input'!$B$12,0))))*(1/(1-'P-Parametri'!$B$6*B311))+MIN(MAX(0,G310-(MAX(0,B286-IF($A311&gt;='1-Input'!$C$12,'1-Input'!$B$12,0))-MIN(MAX(F310,0),MAX(0,B286-IF($A311&gt;='1-Input'!$C$12,'1-Input'!$B$12,0))))*(1/(1-'P-Parametri'!$B$6*B311))),MAX(0,5*MAX(0,B286-IF($A311&gt;='1-Input'!$C$12,'1-Input'!$B$12,0))-(F310-MIN(MAX(F310,0),MAX(0,B286-IF($A311&gt;='1-Input'!$C$12,'1-Input'!$B$12,0)))))*(1/(1-'P-Parametri'!$B$6*B311))))</f>
        <v>0</v>
      </c>
      <c r="D311" s="18">
        <f>IF($A311&gt;'1-Input'!$B$26,F310,(F310-MAX(0,B286-IF($A311&gt;='1-Input'!$C$12,'1-Input'!$B$12,0))+C311*(1-'P-Parametri'!$B$6*B311))*(1+'1-Input'!$B$27))</f>
        <v>77246.868798693715</v>
      </c>
      <c r="E311" s="18">
        <f>IF($A311&gt;'1-Input'!$B$26,G310,(G310-C311)*(1+'5-Roberta'!$C$4))</f>
        <v>70791.863383801567</v>
      </c>
      <c r="F311" s="18">
        <f>IF($A311&gt;'1-Input'!$B$26,D311,D311-'P-Parametri'!$B$8*(E311+D311)+MIN(MAX(E311,0),'P-Parametri'!$B$8*(E311+D311)))</f>
        <v>77246.868798693715</v>
      </c>
      <c r="G311" s="18">
        <f>IF($A311&gt;'1-Input'!$B$26,E311,E311-MIN(MAX(E311,0),'P-Parametri'!$B$8*(E311+D311)))</f>
        <v>70495.785919436574</v>
      </c>
      <c r="H311" s="18">
        <f>IF($A311&gt;'1-Input'!$B$26,H310,H310-C311*(1-B311))</f>
        <v>29969.958246996201</v>
      </c>
      <c r="I311" s="11">
        <f>IF($A311&gt;'1-Input'!$B$26,0,IF(N310&lt;=0,0,MAX(0,(N310-O310)/N310)))</f>
        <v>0</v>
      </c>
      <c r="J311" s="18">
        <f>IF($A311&gt;'1-Input'!$B$26,0,(MAX(0,I286-IF($A311&gt;='1-Input'!$C$12,'1-Input'!$B$12,0))-MIN(MAX(M310,0),MAX(0,I286-IF($A311&gt;='1-Input'!$C$12,'1-Input'!$B$12,0))))*(1/(1-'P-Parametri'!$B$6*I311))+MIN(MAX(0,N310-(MAX(0,I286-IF($A311&gt;='1-Input'!$C$12,'1-Input'!$B$12,0))-MIN(MAX(M310,0),MAX(0,I286-IF($A311&gt;='1-Input'!$C$12,'1-Input'!$B$12,0))))*(1/(1-'P-Parametri'!$B$6*I311))),MAX(0,5*MAX(0,I286-IF($A311&gt;='1-Input'!$C$12,'1-Input'!$B$12,0))-(M310-MIN(MAX(M310,0),MAX(0,I286-IF($A311&gt;='1-Input'!$C$12,'1-Input'!$B$12,0)))))*(1/(1-'P-Parametri'!$B$6*I311))))</f>
        <v>10846.756992928691</v>
      </c>
      <c r="K311" s="18">
        <f>IF($A311&gt;'1-Input'!$B$26,M310,(M310-MAX(0,I286-IF($A311&gt;='1-Input'!$C$12,'1-Input'!$B$12,0))+J311*(1-'P-Parametri'!$B$6*I311))*(1+'1-Input'!$B$27))</f>
        <v>0</v>
      </c>
      <c r="L311" s="18">
        <f>IF($A311&gt;'1-Input'!$B$26,N310,(N310-J311)*(1+'5-Roberta'!$C$4))</f>
        <v>-29173.385584490261</v>
      </c>
      <c r="M311" s="18">
        <f>IF($A311&gt;'1-Input'!$B$26,K311,K311-'P-Parametri'!$B$8*(L311+K311)+MIN(MAX(L311,0),'P-Parametri'!$B$8*(L311+K311)))</f>
        <v>0</v>
      </c>
      <c r="N311" s="18">
        <f>IF($A311&gt;'1-Input'!$B$26,L311,L311-MIN(MAX(L311,0),'P-Parametri'!$B$8*(L311+K311)))</f>
        <v>-29115.03881332128</v>
      </c>
      <c r="O311" s="18">
        <f>IF($A311&gt;'1-Input'!$B$26,O310,O310-J311*(1-I311))</f>
        <v>-27848.642639774942</v>
      </c>
      <c r="P311" s="11">
        <f>IF($A311&gt;'1-Input'!$B$26,0,IF(U310&lt;=0,0,MAX(0,(U310-V310)/U310)))</f>
        <v>0.56228233426455398</v>
      </c>
      <c r="Q311" s="18">
        <f>IF($A311&gt;'1-Input'!$B$26,0,(MAX(0,P286-IF($A311&gt;='1-Input'!$C$12,'1-Input'!$B$12,0))-MIN(MAX(T310,0),MAX(0,P286-IF($A311&gt;='1-Input'!$C$12,'1-Input'!$B$12,0))))*(1/(1-'P-Parametri'!$B$6*P311))+MIN(MAX(0,U310-(MAX(0,P286-IF($A311&gt;='1-Input'!$C$12,'1-Input'!$B$12,0))-MIN(MAX(T310,0),MAX(0,P286-IF($A311&gt;='1-Input'!$C$12,'1-Input'!$B$12,0))))*(1/(1-'P-Parametri'!$B$6*P311))),MAX(0,5*MAX(0,P286-IF($A311&gt;='1-Input'!$C$12,'1-Input'!$B$12,0))-(T310-MIN(MAX(T310,0),MAX(0,P286-IF($A311&gt;='1-Input'!$C$12,'1-Input'!$B$12,0)))))*(1/(1-'P-Parametri'!$B$6*P311))))</f>
        <v>0</v>
      </c>
      <c r="R311" s="18">
        <f>IF($A311&gt;'1-Input'!$B$26,T310,(T310-MAX(0,P286-IF($A311&gt;='1-Input'!$C$12,'1-Input'!$B$12,0))+Q311*(1-'P-Parametri'!$B$6*P311))*(1+'1-Input'!$B$27))</f>
        <v>79219.076035480874</v>
      </c>
      <c r="S311" s="18">
        <f>IF($A311&gt;'1-Input'!$B$26,U310,(U310-Q311)*(1+'5-Roberta'!$C$4))</f>
        <v>48244.48889509953</v>
      </c>
      <c r="T311" s="18">
        <f>IF($A311&gt;'1-Input'!$B$26,R311,R311-'P-Parametri'!$B$8*(S311+R311)+MIN(MAX(S311,0),'P-Parametri'!$B$8*(S311+R311)))</f>
        <v>79219.076035480874</v>
      </c>
      <c r="U311" s="18">
        <f>IF($A311&gt;'1-Input'!$B$26,S311,S311-MIN(MAX(S311,0),'P-Parametri'!$B$8*(S311+R311)))</f>
        <v>47989.561765238366</v>
      </c>
      <c r="V311" s="18">
        <f>IF($A311&gt;'1-Input'!$B$26,V310,V310-Q311*(1-P311))</f>
        <v>20502.393265788945</v>
      </c>
      <c r="W311" s="11">
        <f>IF($A311&gt;'1-Input'!$B$26,0,IF(AB310&lt;=0,0,MAX(0,(AB310-AC310)/AB310)))</f>
        <v>0.56250354024502036</v>
      </c>
      <c r="X311" s="18">
        <f>IF($A311&gt;'1-Input'!$B$26,0,(MAX(0,W286-IF($A311&gt;='1-Input'!$C$12,'1-Input'!$B$12,0))-MIN(MAX(AA310,0),MAX(0,W286-IF($A311&gt;='1-Input'!$C$12,'1-Input'!$B$12,0))))*(1/(1-'P-Parametri'!$B$6*W311))+MIN(MAX(0,AB310-(MAX(0,W286-IF($A311&gt;='1-Input'!$C$12,'1-Input'!$B$12,0))-MIN(MAX(AA310,0),MAX(0,W286-IF($A311&gt;='1-Input'!$C$12,'1-Input'!$B$12,0))))*(1/(1-'P-Parametri'!$B$6*W311))),MAX(0,5*MAX(0,W286-IF($A311&gt;='1-Input'!$C$12,'1-Input'!$B$12,0))-(AA310-MIN(MAX(AA310,0),MAX(0,W286-IF($A311&gt;='1-Input'!$C$12,'1-Input'!$B$12,0)))))*(1/(1-'P-Parametri'!$B$6*W311))))</f>
        <v>0</v>
      </c>
      <c r="Y311" s="18">
        <f>IF($A311&gt;'1-Input'!$B$26,AA310,(AA310-MAX(0,W286-IF($A311&gt;='1-Input'!$C$12,'1-Input'!$B$12,0))+X311*(1-'P-Parametri'!$B$6*W311))*(1+'1-Input'!$B$27))</f>
        <v>79006.660420540778</v>
      </c>
      <c r="Z311" s="18">
        <f>IF($A311&gt;'1-Input'!$B$26,AB310,(AB310-X311)*(1+'5-Roberta'!$C$4))</f>
        <v>50672.448160088643</v>
      </c>
      <c r="AA311" s="18">
        <f>IF($A311&gt;'1-Input'!$B$26,Y311,Y311-'P-Parametri'!$B$8*(Z311+Y311)+MIN(MAX(Z311,0),'P-Parametri'!$B$8*(Z311+Y311)))</f>
        <v>79006.660420540778</v>
      </c>
      <c r="AB311" s="18">
        <f>IF($A311&gt;'1-Input'!$B$26,Z311,Z311-MIN(MAX(Z311,0),'P-Parametri'!$B$8*(Z311+Y311)))</f>
        <v>50413.089942927385</v>
      </c>
      <c r="AC311" s="18">
        <f>IF($A311&gt;'1-Input'!$B$26,AC310,AC310-X311*(1-W311))</f>
        <v>21523.31716228788</v>
      </c>
      <c r="AD311" s="11">
        <f>IF($A311&gt;'1-Input'!$B$26,0,IF(AI310&lt;=0,0,MAX(0,(AI310-AJ310)/AI310)))</f>
        <v>0.56250603793294185</v>
      </c>
      <c r="AE311" s="18">
        <f>IF($A311&gt;'1-Input'!$B$26,0,(MAX(0,AD286-IF($A311&gt;='1-Input'!$C$12,'1-Input'!$B$12,0))-MIN(MAX(AH310,0),MAX(0,AD286-IF($A311&gt;='1-Input'!$C$12,'1-Input'!$B$12,0))))*(1/(1-'P-Parametri'!$B$6*AD311))+MIN(MAX(0,AI310-(MAX(0,AD286-IF($A311&gt;='1-Input'!$C$12,'1-Input'!$B$12,0))-MIN(MAX(AH310,0),MAX(0,AD286-IF($A311&gt;='1-Input'!$C$12,'1-Input'!$B$12,0))))*(1/(1-'P-Parametri'!$B$6*AD311))),MAX(0,5*MAX(0,AD286-IF($A311&gt;='1-Input'!$C$12,'1-Input'!$B$12,0))-(AH310-MIN(MAX(AH310,0),MAX(0,AD286-IF($A311&gt;='1-Input'!$C$12,'1-Input'!$B$12,0)))))*(1/(1-'P-Parametri'!$B$6*AD311))))</f>
        <v>0</v>
      </c>
      <c r="AF311" s="18">
        <f>IF($A311&gt;'1-Input'!$B$26,AH310,(AH310-MAX(0,AD286-IF($A311&gt;='1-Input'!$C$12,'1-Input'!$B$12,0))+AE311*(1-'P-Parametri'!$B$6*AD311))*(1+'1-Input'!$B$27))</f>
        <v>79004.186832986743</v>
      </c>
      <c r="AG311" s="18">
        <f>IF($A311&gt;'1-Input'!$B$26,AI310,(AI310-AE311)*(1+'5-Roberta'!$C$4))</f>
        <v>50700.72262035725</v>
      </c>
      <c r="AH311" s="18">
        <f>IF($A311&gt;'1-Input'!$B$26,AF311,AF311-'P-Parametri'!$B$8*(AG311+AF311)+MIN(MAX(AG311,0),'P-Parametri'!$B$8*(AG311+AF311)))</f>
        <v>79004.186832986743</v>
      </c>
      <c r="AI311" s="18">
        <f>IF($A311&gt;'1-Input'!$B$26,AG311,AG311-MIN(MAX(AG311,0),'P-Parametri'!$B$8*(AG311+AF311)))</f>
        <v>50441.312801450564</v>
      </c>
      <c r="AJ311" s="18">
        <f>IF($A311&gt;'1-Input'!$B$26,AJ310,AJ310-AE311*(1-AD311))</f>
        <v>21535.203901789333</v>
      </c>
      <c r="AK311" s="11">
        <f>IF($A311&gt;'1-Input'!$B$26,0,IF(AP310&lt;=0,0,MAX(0,(AP310-AQ310)/AP310)))</f>
        <v>0.56250598121266659</v>
      </c>
      <c r="AL311" s="18">
        <f>IF($A311&gt;'1-Input'!$B$26,0,(MAX(0,AK286-IF($A311&gt;='1-Input'!$C$12,'1-Input'!$B$12,0))-MIN(MAX(AO310,0),MAX(0,AK286-IF($A311&gt;='1-Input'!$C$12,'1-Input'!$B$12,0))))*(1/(1-'P-Parametri'!$B$6*AK311))+MIN(MAX(0,AP310-(MAX(0,AK286-IF($A311&gt;='1-Input'!$C$12,'1-Input'!$B$12,0))-MIN(MAX(AO310,0),MAX(0,AK286-IF($A311&gt;='1-Input'!$C$12,'1-Input'!$B$12,0))))*(1/(1-'P-Parametri'!$B$6*AK311))),MAX(0,5*MAX(0,AK286-IF($A311&gt;='1-Input'!$C$12,'1-Input'!$B$12,0))-(AO310-MIN(MAX(AO310,0),MAX(0,AK286-IF($A311&gt;='1-Input'!$C$12,'1-Input'!$B$12,0)))))*(1/(1-'P-Parametri'!$B$6*AK311))))</f>
        <v>0</v>
      </c>
      <c r="AM311" s="18">
        <f>IF($A311&gt;'1-Input'!$B$26,AO310,(AO310-MAX(0,AK286-IF($A311&gt;='1-Input'!$C$12,'1-Input'!$B$12,0))+AL311*(1-'P-Parametri'!$B$6*AK311))*(1+'1-Input'!$B$27))</f>
        <v>79004.243024998534</v>
      </c>
      <c r="AN311" s="18">
        <f>IF($A311&gt;'1-Input'!$B$26,AP310,(AP310-AL311)*(1+'5-Roberta'!$C$4))</f>
        <v>50700.08031469414</v>
      </c>
      <c r="AO311" s="18">
        <f>IF($A311&gt;'1-Input'!$B$26,AM311,AM311-'P-Parametri'!$B$8*(AN311+AM311)+MIN(MAX(AN311,0),'P-Parametri'!$B$8*(AN311+AM311)))</f>
        <v>79004.243024998534</v>
      </c>
      <c r="AP311" s="18">
        <f>IF($A311&gt;'1-Input'!$B$26,AN311,AN311-MIN(MAX(AN311,0),'P-Parametri'!$B$8*(AN311+AM311)))</f>
        <v>50440.671668014751</v>
      </c>
      <c r="AQ311" s="18">
        <f>IF($A311&gt;'1-Input'!$B$26,AQ310,AQ310-AL311*(1-AK311))</f>
        <v>21534.933873510789</v>
      </c>
    </row>
    <row r="312" spans="1:43">
      <c r="A312" s="10">
        <f>24</f>
        <v>24</v>
      </c>
      <c r="B312" s="11">
        <f>IF($A312&gt;'1-Input'!$B$26,0,IF(G311&lt;=0,0,MAX(0,(G311-H311)/G311)))</f>
        <v>0.57486879738816965</v>
      </c>
      <c r="C312" s="18">
        <f>IF($A312&gt;'1-Input'!$B$26,0,(MAX(0,B286-IF($A312&gt;='1-Input'!$C$12,'1-Input'!$B$12,0))-MIN(MAX(F311,0),MAX(0,B286-IF($A312&gt;='1-Input'!$C$12,'1-Input'!$B$12,0))))*(1/(1-'P-Parametri'!$B$6*B312))+MIN(MAX(0,G311-(MAX(0,B286-IF($A312&gt;='1-Input'!$C$12,'1-Input'!$B$12,0))-MIN(MAX(F311,0),MAX(0,B286-IF($A312&gt;='1-Input'!$C$12,'1-Input'!$B$12,0))))*(1/(1-'P-Parametri'!$B$6*B312))),MAX(0,5*MAX(0,B286-IF($A312&gt;='1-Input'!$C$12,'1-Input'!$B$12,0))-(F311-MIN(MAX(F311,0),MAX(0,B286-IF($A312&gt;='1-Input'!$C$12,'1-Input'!$B$12,0)))))*(1/(1-'P-Parametri'!$B$6*B312))))</f>
        <v>0</v>
      </c>
      <c r="D312" s="18">
        <f>IF($A312&gt;'1-Input'!$B$26,F311,(F311-MAX(0,B286-IF($A312&gt;='1-Input'!$C$12,'1-Input'!$B$12,0))+C312*(1-'P-Parametri'!$B$6*B312))*(1+'1-Input'!$B$27))</f>
        <v>71409.809355525271</v>
      </c>
      <c r="E312" s="18">
        <f>IF($A312&gt;'1-Input'!$B$26,G311,(G311-C312)*(1+'5-Roberta'!$C$4))</f>
        <v>72610.659497019675</v>
      </c>
      <c r="F312" s="18">
        <f>IF($A312&gt;'1-Input'!$B$26,D312,D312-'P-Parametri'!$B$8*(E312+D312)+MIN(MAX(E312,0),'P-Parametri'!$B$8*(E312+D312)))</f>
        <v>71409.809355525271</v>
      </c>
      <c r="G312" s="18">
        <f>IF($A312&gt;'1-Input'!$B$26,E312,E312-MIN(MAX(E312,0),'P-Parametri'!$B$8*(E312+D312)))</f>
        <v>72322.618559314578</v>
      </c>
      <c r="H312" s="18">
        <f>IF($A312&gt;'1-Input'!$B$26,H311,H311-C312*(1-B312))</f>
        <v>29969.958246996201</v>
      </c>
      <c r="I312" s="11">
        <f>IF($A312&gt;'1-Input'!$B$26,0,IF(N311&lt;=0,0,MAX(0,(N311-O311)/N311)))</f>
        <v>0</v>
      </c>
      <c r="J312" s="18">
        <f>IF($A312&gt;'1-Input'!$B$26,0,(MAX(0,I286-IF($A312&gt;='1-Input'!$C$12,'1-Input'!$B$12,0))-MIN(MAX(M311,0),MAX(0,I286-IF($A312&gt;='1-Input'!$C$12,'1-Input'!$B$12,0))))*(1/(1-'P-Parametri'!$B$6*I312))+MIN(MAX(0,N311-(MAX(0,I286-IF($A312&gt;='1-Input'!$C$12,'1-Input'!$B$12,0))-MIN(MAX(M311,0),MAX(0,I286-IF($A312&gt;='1-Input'!$C$12,'1-Input'!$B$12,0))))*(1/(1-'P-Parametri'!$B$6*I312))),MAX(0,5*MAX(0,I286-IF($A312&gt;='1-Input'!$C$12,'1-Input'!$B$12,0))-(M311-MIN(MAX(M311,0),MAX(0,I286-IF($A312&gt;='1-Input'!$C$12,'1-Input'!$B$12,0)))))*(1/(1-'P-Parametri'!$B$6*I312))))</f>
        <v>10846.756992928691</v>
      </c>
      <c r="K312" s="18">
        <f>IF($A312&gt;'1-Input'!$B$26,M311,(M311-MAX(0,I286-IF($A312&gt;='1-Input'!$C$12,'1-Input'!$B$12,0))+J312*(1-'P-Parametri'!$B$6*I312))*(1+'1-Input'!$B$27))</f>
        <v>0</v>
      </c>
      <c r="L312" s="18">
        <f>IF($A312&gt;'1-Input'!$B$26,N311,(N311-J312)*(1+'5-Roberta'!$C$4))</f>
        <v>-41160.649680437469</v>
      </c>
      <c r="M312" s="18">
        <f>IF($A312&gt;'1-Input'!$B$26,K312,K312-'P-Parametri'!$B$8*(L312+K312)+MIN(MAX(L312,0),'P-Parametri'!$B$8*(L312+K312)))</f>
        <v>0</v>
      </c>
      <c r="N312" s="18">
        <f>IF($A312&gt;'1-Input'!$B$26,L312,L312-MIN(MAX(L312,0),'P-Parametri'!$B$8*(L312+K312)))</f>
        <v>-41078.328381076593</v>
      </c>
      <c r="O312" s="18">
        <f>IF($A312&gt;'1-Input'!$B$26,O311,O311-J312*(1-I312))</f>
        <v>-38695.399632703629</v>
      </c>
      <c r="P312" s="11">
        <f>IF($A312&gt;'1-Input'!$B$26,0,IF(U311&lt;=0,0,MAX(0,(U311-V311)/U311)))</f>
        <v>0.57277390099777858</v>
      </c>
      <c r="Q312" s="18">
        <f>IF($A312&gt;'1-Input'!$B$26,0,(MAX(0,P286-IF($A312&gt;='1-Input'!$C$12,'1-Input'!$B$12,0))-MIN(MAX(T311,0),MAX(0,P286-IF($A312&gt;='1-Input'!$C$12,'1-Input'!$B$12,0))))*(1/(1-'P-Parametri'!$B$6*P312))+MIN(MAX(0,U311-(MAX(0,P286-IF($A312&gt;='1-Input'!$C$12,'1-Input'!$B$12,0))-MIN(MAX(T311,0),MAX(0,P286-IF($A312&gt;='1-Input'!$C$12,'1-Input'!$B$12,0))))*(1/(1-'P-Parametri'!$B$6*P312))),MAX(0,5*MAX(0,P286-IF($A312&gt;='1-Input'!$C$12,'1-Input'!$B$12,0))-(T311-MIN(MAX(T311,0),MAX(0,P286-IF($A312&gt;='1-Input'!$C$12,'1-Input'!$B$12,0)))))*(1/(1-'P-Parametri'!$B$6*P312))))</f>
        <v>0</v>
      </c>
      <c r="R312" s="18">
        <f>IF($A312&gt;'1-Input'!$B$26,T311,(T311-MAX(0,P286-IF($A312&gt;='1-Input'!$C$12,'1-Input'!$B$12,0))+Q312*(1-'P-Parametri'!$B$6*P312))*(1+'1-Input'!$B$27))</f>
        <v>72879.636074490234</v>
      </c>
      <c r="S312" s="18">
        <f>IF($A312&gt;'1-Input'!$B$26,U311,(U311-Q312)*(1+'5-Roberta'!$C$4))</f>
        <v>49429.248618195517</v>
      </c>
      <c r="T312" s="18">
        <f>IF($A312&gt;'1-Input'!$B$26,R312,R312-'P-Parametri'!$B$8*(S312+R312)+MIN(MAX(S312,0),'P-Parametri'!$B$8*(S312+R312)))</f>
        <v>72879.636074490234</v>
      </c>
      <c r="U312" s="18">
        <f>IF($A312&gt;'1-Input'!$B$26,S312,S312-MIN(MAX(S312,0),'P-Parametri'!$B$8*(S312+R312)))</f>
        <v>49184.630848810149</v>
      </c>
      <c r="V312" s="18">
        <f>IF($A312&gt;'1-Input'!$B$26,V311,V311-Q312*(1-P312))</f>
        <v>20502.393265788945</v>
      </c>
      <c r="W312" s="11">
        <f>IF($A312&gt;'1-Input'!$B$26,0,IF(AB311&lt;=0,0,MAX(0,(AB311-AC311)/AB311)))</f>
        <v>0.57306094138140695</v>
      </c>
      <c r="X312" s="18">
        <f>IF($A312&gt;'1-Input'!$B$26,0,(MAX(0,W286-IF($A312&gt;='1-Input'!$C$12,'1-Input'!$B$12,0))-MIN(MAX(AA311,0),MAX(0,W286-IF($A312&gt;='1-Input'!$C$12,'1-Input'!$B$12,0))))*(1/(1-'P-Parametri'!$B$6*W312))+MIN(MAX(0,AB311-(MAX(0,W286-IF($A312&gt;='1-Input'!$C$12,'1-Input'!$B$12,0))-MIN(MAX(AA311,0),MAX(0,W286-IF($A312&gt;='1-Input'!$C$12,'1-Input'!$B$12,0))))*(1/(1-'P-Parametri'!$B$6*W312))),MAX(0,5*MAX(0,W286-IF($A312&gt;='1-Input'!$C$12,'1-Input'!$B$12,0))-(AA311-MIN(MAX(AA311,0),MAX(0,W286-IF($A312&gt;='1-Input'!$C$12,'1-Input'!$B$12,0)))))*(1/(1-'P-Parametri'!$B$6*W312))))</f>
        <v>0</v>
      </c>
      <c r="Y312" s="18">
        <f>IF($A312&gt;'1-Input'!$B$26,AA311,(AA311-MAX(0,W286-IF($A312&gt;='1-Input'!$C$12,'1-Input'!$B$12,0))+X312*(1-'P-Parametri'!$B$6*W312))*(1+'1-Input'!$B$27))</f>
        <v>72721.329107280777</v>
      </c>
      <c r="Z312" s="18">
        <f>IF($A312&gt;'1-Input'!$B$26,AB311,(AB311-X312)*(1+'5-Roberta'!$C$4))</f>
        <v>51925.482641215211</v>
      </c>
      <c r="AA312" s="18">
        <f>IF($A312&gt;'1-Input'!$B$26,Y312,Y312-'P-Parametri'!$B$8*(Z312+Y312)+MIN(MAX(Z312,0),'P-Parametri'!$B$8*(Z312+Y312)))</f>
        <v>72721.329107280777</v>
      </c>
      <c r="AB312" s="18">
        <f>IF($A312&gt;'1-Input'!$B$26,Z312,Z312-MIN(MAX(Z312,0),'P-Parametri'!$B$8*(Z312+Y312)))</f>
        <v>51676.189017718221</v>
      </c>
      <c r="AC312" s="18">
        <f>IF($A312&gt;'1-Input'!$B$26,AC311,AC311-X312*(1-W312))</f>
        <v>21523.31716228788</v>
      </c>
      <c r="AD312" s="11">
        <f>IF($A312&gt;'1-Input'!$B$26,0,IF(AI311&lt;=0,0,MAX(0,(AI311-AJ311)/AI311)))</f>
        <v>0.573064166934806</v>
      </c>
      <c r="AE312" s="18">
        <f>IF($A312&gt;'1-Input'!$B$26,0,(MAX(0,AD286-IF($A312&gt;='1-Input'!$C$12,'1-Input'!$B$12,0))-MIN(MAX(AH311,0),MAX(0,AD286-IF($A312&gt;='1-Input'!$C$12,'1-Input'!$B$12,0))))*(1/(1-'P-Parametri'!$B$6*AD312))+MIN(MAX(0,AI311-(MAX(0,AD286-IF($A312&gt;='1-Input'!$C$12,'1-Input'!$B$12,0))-MIN(MAX(AH311,0),MAX(0,AD286-IF($A312&gt;='1-Input'!$C$12,'1-Input'!$B$12,0))))*(1/(1-'P-Parametri'!$B$6*AD312))),MAX(0,5*MAX(0,AD286-IF($A312&gt;='1-Input'!$C$12,'1-Input'!$B$12,0))-(AH311-MIN(MAX(AH311,0),MAX(0,AD286-IF($A312&gt;='1-Input'!$C$12,'1-Input'!$B$12,0)))))*(1/(1-'P-Parametri'!$B$6*AD312))))</f>
        <v>0</v>
      </c>
      <c r="AF312" s="18">
        <f>IF($A312&gt;'1-Input'!$B$26,AH311,(AH311-MAX(0,AD286-IF($A312&gt;='1-Input'!$C$12,'1-Input'!$B$12,0))+AE312*(1-'P-Parametri'!$B$6*AD312))*(1+'1-Input'!$B$27))</f>
        <v>72719.485616895588</v>
      </c>
      <c r="AG312" s="18">
        <f>IF($A312&gt;'1-Input'!$B$26,AI311,(AI311-AE312)*(1+'5-Roberta'!$C$4))</f>
        <v>51954.552185494082</v>
      </c>
      <c r="AH312" s="18">
        <f>IF($A312&gt;'1-Input'!$B$26,AF312,AF312-'P-Parametri'!$B$8*(AG312+AF312)+MIN(MAX(AG312,0),'P-Parametri'!$B$8*(AG312+AF312)))</f>
        <v>72719.485616895588</v>
      </c>
      <c r="AI312" s="18">
        <f>IF($A312&gt;'1-Input'!$B$26,AG312,AG312-MIN(MAX(AG312,0),'P-Parametri'!$B$8*(AG312+AF312)))</f>
        <v>51705.204109889302</v>
      </c>
      <c r="AJ312" s="18">
        <f>IF($A312&gt;'1-Input'!$B$26,AJ311,AJ311-AE312*(1-AD312))</f>
        <v>21535.203901789333</v>
      </c>
      <c r="AK312" s="11">
        <f>IF($A312&gt;'1-Input'!$B$26,0,IF(AP311&lt;=0,0,MAX(0,(AP311-AQ311)/AP311)))</f>
        <v>0.57306409368917188</v>
      </c>
      <c r="AL312" s="18">
        <f>IF($A312&gt;'1-Input'!$B$26,0,(MAX(0,AK286-IF($A312&gt;='1-Input'!$C$12,'1-Input'!$B$12,0))-MIN(MAX(AO311,0),MAX(0,AK286-IF($A312&gt;='1-Input'!$C$12,'1-Input'!$B$12,0))))*(1/(1-'P-Parametri'!$B$6*AK312))+MIN(MAX(0,AP311-(MAX(0,AK286-IF($A312&gt;='1-Input'!$C$12,'1-Input'!$B$12,0))-MIN(MAX(AO311,0),MAX(0,AK286-IF($A312&gt;='1-Input'!$C$12,'1-Input'!$B$12,0))))*(1/(1-'P-Parametri'!$B$6*AK312))),MAX(0,5*MAX(0,AK286-IF($A312&gt;='1-Input'!$C$12,'1-Input'!$B$12,0))-(AO311-MIN(MAX(AO311,0),MAX(0,AK286-IF($A312&gt;='1-Input'!$C$12,'1-Input'!$B$12,0)))))*(1/(1-'P-Parametri'!$B$6*AK312))))</f>
        <v>0</v>
      </c>
      <c r="AM312" s="18">
        <f>IF($A312&gt;'1-Input'!$B$26,AO311,(AO311-MAX(0,AK286-IF($A312&gt;='1-Input'!$C$12,'1-Input'!$B$12,0))+AL312*(1-'P-Parametri'!$B$6*AK312))*(1+'1-Input'!$B$27))</f>
        <v>72719.527495111412</v>
      </c>
      <c r="AN312" s="18">
        <f>IF($A312&gt;'1-Input'!$B$26,AP311,(AP311-AL312)*(1+'5-Roberta'!$C$4))</f>
        <v>51953.891818055192</v>
      </c>
      <c r="AO312" s="18">
        <f>IF($A312&gt;'1-Input'!$B$26,AM312,AM312-'P-Parametri'!$B$8*(AN312+AM312)+MIN(MAX(AN312,0),'P-Parametri'!$B$8*(AN312+AM312)))</f>
        <v>72719.527495111412</v>
      </c>
      <c r="AP312" s="18">
        <f>IF($A312&gt;'1-Input'!$B$26,AN312,AN312-MIN(MAX(AN312,0),'P-Parametri'!$B$8*(AN312+AM312)))</f>
        <v>51704.544979428858</v>
      </c>
      <c r="AQ312" s="18">
        <f>IF($A312&gt;'1-Input'!$B$26,AQ311,AQ311-AL312*(1-AK312))</f>
        <v>21534.933873510789</v>
      </c>
    </row>
    <row r="313" spans="1:43">
      <c r="A313" s="10">
        <f>25</f>
        <v>25</v>
      </c>
      <c r="B313" s="11">
        <f>IF($A313&gt;'1-Input'!$B$26,0,IF(G312&lt;=0,0,MAX(0,(G312-H312)/G312)))</f>
        <v>0.58560739580499732</v>
      </c>
      <c r="C313" s="18">
        <f>IF($A313&gt;'1-Input'!$B$26,0,(MAX(0,B286-IF($A313&gt;='1-Input'!$C$12,'1-Input'!$B$12,0))-MIN(MAX(F312,0),MAX(0,B286-IF($A313&gt;='1-Input'!$C$12,'1-Input'!$B$12,0))))*(1/(1-'P-Parametri'!$B$6*B313))+MIN(MAX(0,G312-(MAX(0,B286-IF($A313&gt;='1-Input'!$C$12,'1-Input'!$B$12,0))-MIN(MAX(F312,0),MAX(0,B286-IF($A313&gt;='1-Input'!$C$12,'1-Input'!$B$12,0))))*(1/(1-'P-Parametri'!$B$6*B313))),MAX(0,5*MAX(0,B286-IF($A313&gt;='1-Input'!$C$12,'1-Input'!$B$12,0))-(F312-MIN(MAX(F312,0),MAX(0,B286-IF($A313&gt;='1-Input'!$C$12,'1-Input'!$B$12,0)))))*(1/(1-'P-Parametri'!$B$6*B313))))</f>
        <v>0</v>
      </c>
      <c r="D313" s="18">
        <f>IF($A313&gt;'1-Input'!$B$26,F312,(F312-MAX(0,B286-IF($A313&gt;='1-Input'!$C$12,'1-Input'!$B$12,0))+C313*(1-'P-Parametri'!$B$6*B313))*(1+'1-Input'!$B$27))</f>
        <v>65593.763326352229</v>
      </c>
      <c r="E313" s="18">
        <f>IF($A313&gt;'1-Input'!$B$26,G312,(G312-C313)*(1+'5-Roberta'!$C$4))</f>
        <v>74492.297116094021</v>
      </c>
      <c r="F313" s="18">
        <f>IF($A313&gt;'1-Input'!$B$26,D313,D313-'P-Parametri'!$B$8*(E313+D313)+MIN(MAX(E313,0),'P-Parametri'!$B$8*(E313+D313)))</f>
        <v>65593.763326352229</v>
      </c>
      <c r="G313" s="18">
        <f>IF($A313&gt;'1-Input'!$B$26,E313,E313-MIN(MAX(E313,0),'P-Parametri'!$B$8*(E313+D313)))</f>
        <v>74212.124995209131</v>
      </c>
      <c r="H313" s="18">
        <f>IF($A313&gt;'1-Input'!$B$26,H312,H312-C313*(1-B313))</f>
        <v>29969.958246996201</v>
      </c>
      <c r="I313" s="11">
        <f>IF($A313&gt;'1-Input'!$B$26,0,IF(N312&lt;=0,0,MAX(0,(N312-O312)/N312)))</f>
        <v>0</v>
      </c>
      <c r="J313" s="18">
        <f>IF($A313&gt;'1-Input'!$B$26,0,(MAX(0,I286-IF($A313&gt;='1-Input'!$C$12,'1-Input'!$B$12,0))-MIN(MAX(M312,0),MAX(0,I286-IF($A313&gt;='1-Input'!$C$12,'1-Input'!$B$12,0))))*(1/(1-'P-Parametri'!$B$6*I313))+MIN(MAX(0,N312-(MAX(0,I286-IF($A313&gt;='1-Input'!$C$12,'1-Input'!$B$12,0))-MIN(MAX(M312,0),MAX(0,I286-IF($A313&gt;='1-Input'!$C$12,'1-Input'!$B$12,0))))*(1/(1-'P-Parametri'!$B$6*I313))),MAX(0,5*MAX(0,I286-IF($A313&gt;='1-Input'!$C$12,'1-Input'!$B$12,0))-(M312-MIN(MAX(M312,0),MAX(0,I286-IF($A313&gt;='1-Input'!$C$12,'1-Input'!$B$12,0)))))*(1/(1-'P-Parametri'!$B$6*I313))))</f>
        <v>10846.756992928691</v>
      </c>
      <c r="K313" s="18">
        <f>IF($A313&gt;'1-Input'!$B$26,M312,(M312-MAX(0,I286-IF($A313&gt;='1-Input'!$C$12,'1-Input'!$B$12,0))+J313*(1-'P-Parametri'!$B$6*I313))*(1+'1-Input'!$B$27))</f>
        <v>0</v>
      </c>
      <c r="L313" s="18">
        <f>IF($A313&gt;'1-Input'!$B$26,N312,(N312-J313)*(1+'5-Roberta'!$C$4))</f>
        <v>-53482.837935225441</v>
      </c>
      <c r="M313" s="18">
        <f>IF($A313&gt;'1-Input'!$B$26,K313,K313-'P-Parametri'!$B$8*(L313+K313)+MIN(MAX(L313,0),'P-Parametri'!$B$8*(L313+K313)))</f>
        <v>0</v>
      </c>
      <c r="N313" s="18">
        <f>IF($A313&gt;'1-Input'!$B$26,L313,L313-MIN(MAX(L313,0),'P-Parametri'!$B$8*(L313+K313)))</f>
        <v>-53375.87225935499</v>
      </c>
      <c r="O313" s="18">
        <f>IF($A313&gt;'1-Input'!$B$26,O312,O312-J313*(1-I313))</f>
        <v>-49542.15662563232</v>
      </c>
      <c r="P313" s="11">
        <f>IF($A313&gt;'1-Input'!$B$26,0,IF(U312&lt;=0,0,MAX(0,(U312-V312)/U312)))</f>
        <v>0.58315447504705775</v>
      </c>
      <c r="Q313" s="18">
        <f>IF($A313&gt;'1-Input'!$B$26,0,(MAX(0,P286-IF($A313&gt;='1-Input'!$C$12,'1-Input'!$B$12,0))-MIN(MAX(T312,0),MAX(0,P286-IF($A313&gt;='1-Input'!$C$12,'1-Input'!$B$12,0))))*(1/(1-'P-Parametri'!$B$6*P313))+MIN(MAX(0,U312-(MAX(0,P286-IF($A313&gt;='1-Input'!$C$12,'1-Input'!$B$12,0))-MIN(MAX(T312,0),MAX(0,P286-IF($A313&gt;='1-Input'!$C$12,'1-Input'!$B$12,0))))*(1/(1-'P-Parametri'!$B$6*P313))),MAX(0,5*MAX(0,P286-IF($A313&gt;='1-Input'!$C$12,'1-Input'!$B$12,0))-(T312-MIN(MAX(T312,0),MAX(0,P286-IF($A313&gt;='1-Input'!$C$12,'1-Input'!$B$12,0)))))*(1/(1-'P-Parametri'!$B$6*P313))))</f>
        <v>0</v>
      </c>
      <c r="R313" s="18">
        <f>IF($A313&gt;'1-Input'!$B$26,T312,(T312-MAX(0,P286-IF($A313&gt;='1-Input'!$C$12,'1-Input'!$B$12,0))+Q313*(1-'P-Parametri'!$B$6*P313))*(1+'1-Input'!$B$27))</f>
        <v>66563.018097359163</v>
      </c>
      <c r="S313" s="18">
        <f>IF($A313&gt;'1-Input'!$B$26,U312,(U312-Q313)*(1+'5-Roberta'!$C$4))</f>
        <v>50660.169774274458</v>
      </c>
      <c r="T313" s="18">
        <f>IF($A313&gt;'1-Input'!$B$26,R313,R313-'P-Parametri'!$B$8*(S313+R313)+MIN(MAX(S313,0),'P-Parametri'!$B$8*(S313+R313)))</f>
        <v>66563.018097359163</v>
      </c>
      <c r="U313" s="18">
        <f>IF($A313&gt;'1-Input'!$B$26,S313,S313-MIN(MAX(S313,0),'P-Parametri'!$B$8*(S313+R313)))</f>
        <v>50425.72339853119</v>
      </c>
      <c r="V313" s="18">
        <f>IF($A313&gt;'1-Input'!$B$26,V312,V312-Q313*(1-P313))</f>
        <v>20502.393265788945</v>
      </c>
      <c r="W313" s="11">
        <f>IF($A313&gt;'1-Input'!$B$26,0,IF(AB312&lt;=0,0,MAX(0,(AB312-AC312)/AB312)))</f>
        <v>0.58349643092086034</v>
      </c>
      <c r="X313" s="18">
        <f>IF($A313&gt;'1-Input'!$B$26,0,(MAX(0,W286-IF($A313&gt;='1-Input'!$C$12,'1-Input'!$B$12,0))-MIN(MAX(AA312,0),MAX(0,W286-IF($A313&gt;='1-Input'!$C$12,'1-Input'!$B$12,0))))*(1/(1-'P-Parametri'!$B$6*W313))+MIN(MAX(0,AB312-(MAX(0,W286-IF($A313&gt;='1-Input'!$C$12,'1-Input'!$B$12,0))-MIN(MAX(AA312,0),MAX(0,W286-IF($A313&gt;='1-Input'!$C$12,'1-Input'!$B$12,0))))*(1/(1-'P-Parametri'!$B$6*W313))),MAX(0,5*MAX(0,W286-IF($A313&gt;='1-Input'!$C$12,'1-Input'!$B$12,0))-(AA312-MIN(MAX(AA312,0),MAX(0,W286-IF($A313&gt;='1-Input'!$C$12,'1-Input'!$B$12,0)))))*(1/(1-'P-Parametri'!$B$6*W313))))</f>
        <v>0</v>
      </c>
      <c r="Y313" s="18">
        <f>IF($A313&gt;'1-Input'!$B$26,AA312,(AA312-MAX(0,W286-IF($A313&gt;='1-Input'!$C$12,'1-Input'!$B$12,0))+X313*(1-'P-Parametri'!$B$6*W313))*(1+'1-Input'!$B$27))</f>
        <v>66458.624986748502</v>
      </c>
      <c r="Z313" s="18">
        <f>IF($A313&gt;'1-Input'!$B$26,AB312,(AB312-X313)*(1+'5-Roberta'!$C$4))</f>
        <v>53226.474688249771</v>
      </c>
      <c r="AA313" s="18">
        <f>IF($A313&gt;'1-Input'!$B$26,Y313,Y313-'P-Parametri'!$B$8*(Z313+Y313)+MIN(MAX(Z313,0),'P-Parametri'!$B$8*(Z313+Y313)))</f>
        <v>66458.624986748502</v>
      </c>
      <c r="AB313" s="18">
        <f>IF($A313&gt;'1-Input'!$B$26,Z313,Z313-MIN(MAX(Z313,0),'P-Parametri'!$B$8*(Z313+Y313)))</f>
        <v>52987.104488899771</v>
      </c>
      <c r="AC313" s="18">
        <f>IF($A313&gt;'1-Input'!$B$26,AC312,AC312-X313*(1-W313))</f>
        <v>21523.31716228788</v>
      </c>
      <c r="AD313" s="11">
        <f>IF($A313&gt;'1-Input'!$B$26,0,IF(AI312&lt;=0,0,MAX(0,(AI312-AJ312)/AI312)))</f>
        <v>0.58350026322262516</v>
      </c>
      <c r="AE313" s="18">
        <f>IF($A313&gt;'1-Input'!$B$26,0,(MAX(0,AD286-IF($A313&gt;='1-Input'!$C$12,'1-Input'!$B$12,0))-MIN(MAX(AH312,0),MAX(0,AD286-IF($A313&gt;='1-Input'!$C$12,'1-Input'!$B$12,0))))*(1/(1-'P-Parametri'!$B$6*AD313))+MIN(MAX(0,AI312-(MAX(0,AD286-IF($A313&gt;='1-Input'!$C$12,'1-Input'!$B$12,0))-MIN(MAX(AH312,0),MAX(0,AD286-IF($A313&gt;='1-Input'!$C$12,'1-Input'!$B$12,0))))*(1/(1-'P-Parametri'!$B$6*AD313))),MAX(0,5*MAX(0,AD286-IF($A313&gt;='1-Input'!$C$12,'1-Input'!$B$12,0))-(AH312-MIN(MAX(AH312,0),MAX(0,AD286-IF($A313&gt;='1-Input'!$C$12,'1-Input'!$B$12,0)))))*(1/(1-'P-Parametri'!$B$6*AD313))))</f>
        <v>0</v>
      </c>
      <c r="AF313" s="18">
        <f>IF($A313&gt;'1-Input'!$B$26,AH312,(AH312-MAX(0,AD286-IF($A313&gt;='1-Input'!$C$12,'1-Input'!$B$12,0))+AE313*(1-'P-Parametri'!$B$6*AD313))*(1+'1-Input'!$B$27))</f>
        <v>66457.409325182365</v>
      </c>
      <c r="AG313" s="18">
        <f>IF($A313&gt;'1-Input'!$B$26,AI312,(AI312-AE313)*(1+'5-Roberta'!$C$4))</f>
        <v>53256.36023318598</v>
      </c>
      <c r="AH313" s="18">
        <f>IF($A313&gt;'1-Input'!$B$26,AF313,AF313-'P-Parametri'!$B$8*(AG313+AF313)+MIN(MAX(AG313,0),'P-Parametri'!$B$8*(AG313+AF313)))</f>
        <v>66457.409325182365</v>
      </c>
      <c r="AI313" s="18">
        <f>IF($A313&gt;'1-Input'!$B$26,AG313,AG313-MIN(MAX(AG313,0),'P-Parametri'!$B$8*(AG313+AF313)))</f>
        <v>53016.932694069241</v>
      </c>
      <c r="AJ313" s="18">
        <f>IF($A313&gt;'1-Input'!$B$26,AJ312,AJ312-AE313*(1-AD313))</f>
        <v>21535.203901789333</v>
      </c>
      <c r="AK313" s="11">
        <f>IF($A313&gt;'1-Input'!$B$26,0,IF(AP312&lt;=0,0,MAX(0,(AP312-AQ312)/AP312)))</f>
        <v>0.58350017620155703</v>
      </c>
      <c r="AL313" s="18">
        <f>IF($A313&gt;'1-Input'!$B$26,0,(MAX(0,AK286-IF($A313&gt;='1-Input'!$C$12,'1-Input'!$B$12,0))-MIN(MAX(AO312,0),MAX(0,AK286-IF($A313&gt;='1-Input'!$C$12,'1-Input'!$B$12,0))))*(1/(1-'P-Parametri'!$B$6*AK313))+MIN(MAX(0,AP312-(MAX(0,AK286-IF($A313&gt;='1-Input'!$C$12,'1-Input'!$B$12,0))-MIN(MAX(AO312,0),MAX(0,AK286-IF($A313&gt;='1-Input'!$C$12,'1-Input'!$B$12,0))))*(1/(1-'P-Parametri'!$B$6*AK313))),MAX(0,5*MAX(0,AK286-IF($A313&gt;='1-Input'!$C$12,'1-Input'!$B$12,0))-(AO312-MIN(MAX(AO312,0),MAX(0,AK286-IF($A313&gt;='1-Input'!$C$12,'1-Input'!$B$12,0)))))*(1/(1-'P-Parametri'!$B$6*AK313))))</f>
        <v>0</v>
      </c>
      <c r="AM313" s="18">
        <f>IF($A313&gt;'1-Input'!$B$26,AO312,(AO312-MAX(0,AK286-IF($A313&gt;='1-Input'!$C$12,'1-Input'!$B$12,0))+AL313*(1-'P-Parametri'!$B$6*AK313))*(1+'1-Input'!$B$27))</f>
        <v>66457.436941131877</v>
      </c>
      <c r="AN313" s="18">
        <f>IF($A313&gt;'1-Input'!$B$26,AP312,(AP312-AL313)*(1+'5-Roberta'!$C$4))</f>
        <v>53255.681328811726</v>
      </c>
      <c r="AO313" s="18">
        <f>IF($A313&gt;'1-Input'!$B$26,AM313,AM313-'P-Parametri'!$B$8*(AN313+AM313)+MIN(MAX(AN313,0),'P-Parametri'!$B$8*(AN313+AM313)))</f>
        <v>66457.436941131877</v>
      </c>
      <c r="AP313" s="18">
        <f>IF($A313&gt;'1-Input'!$B$26,AN313,AN313-MIN(MAX(AN313,0),'P-Parametri'!$B$8*(AN313+AM313)))</f>
        <v>53016.255092271836</v>
      </c>
      <c r="AQ313" s="18">
        <f>IF($A313&gt;'1-Input'!$B$26,AQ312,AQ312-AL313*(1-AK313))</f>
        <v>21534.933873510789</v>
      </c>
    </row>
    <row r="314" spans="1:43">
      <c r="A314" s="10">
        <f>26</f>
        <v>26</v>
      </c>
      <c r="B314" s="11">
        <f>IF($A314&gt;'1-Input'!$B$26,0,IF(G313&lt;=0,0,MAX(0,(G313-H313)/G313)))</f>
        <v>0.59615819855675933</v>
      </c>
      <c r="C314" s="18">
        <f>IF($A314&gt;'1-Input'!$B$26,0,(MAX(0,B286-IF($A314&gt;='1-Input'!$C$12,'1-Input'!$B$12,0))-MIN(MAX(F313,0),MAX(0,B286-IF($A314&gt;='1-Input'!$C$12,'1-Input'!$B$12,0))))*(1/(1-'P-Parametri'!$B$6*B314))+MIN(MAX(0,G313-(MAX(0,B286-IF($A314&gt;='1-Input'!$C$12,'1-Input'!$B$12,0))-MIN(MAX(F313,0),MAX(0,B286-IF($A314&gt;='1-Input'!$C$12,'1-Input'!$B$12,0))))*(1/(1-'P-Parametri'!$B$6*B314))),MAX(0,5*MAX(0,B286-IF($A314&gt;='1-Input'!$C$12,'1-Input'!$B$12,0))-(F313-MIN(MAX(F313,0),MAX(0,B286-IF($A314&gt;='1-Input'!$C$12,'1-Input'!$B$12,0)))))*(1/(1-'P-Parametri'!$B$6*B314))))</f>
        <v>0</v>
      </c>
      <c r="D314" s="18">
        <f>IF($A314&gt;'1-Input'!$B$26,F313,(F313-MAX(0,B286-IF($A314&gt;='1-Input'!$C$12,'1-Input'!$B$12,0))+C314*(1-'P-Parametri'!$B$6*B314))*(1+'1-Input'!$B$27))</f>
        <v>59798.655062884209</v>
      </c>
      <c r="E314" s="18">
        <f>IF($A314&gt;'1-Input'!$B$26,G313,(G313-C314)*(1+'5-Roberta'!$C$4))</f>
        <v>76438.488745065406</v>
      </c>
      <c r="F314" s="18">
        <f>IF($A314&gt;'1-Input'!$B$26,D314,D314-'P-Parametri'!$B$8*(E314+D314)+MIN(MAX(E314,0),'P-Parametri'!$B$8*(E314+D314)))</f>
        <v>59798.655062884209</v>
      </c>
      <c r="G314" s="18">
        <f>IF($A314&gt;'1-Input'!$B$26,E314,E314-MIN(MAX(E314,0),'P-Parametri'!$B$8*(E314+D314)))</f>
        <v>76166.014457449506</v>
      </c>
      <c r="H314" s="18">
        <f>IF($A314&gt;'1-Input'!$B$26,H313,H313-C314*(1-B314))</f>
        <v>29969.958246996201</v>
      </c>
      <c r="I314" s="11">
        <f>IF($A314&gt;'1-Input'!$B$26,0,IF(N313&lt;=0,0,MAX(0,(N313-O313)/N313)))</f>
        <v>0</v>
      </c>
      <c r="J314" s="18">
        <f>IF($A314&gt;'1-Input'!$B$26,0,(MAX(0,I286-IF($A314&gt;='1-Input'!$C$12,'1-Input'!$B$12,0))-MIN(MAX(M313,0),MAX(0,I286-IF($A314&gt;='1-Input'!$C$12,'1-Input'!$B$12,0))))*(1/(1-'P-Parametri'!$B$6*I314))+MIN(MAX(0,N313-(MAX(0,I286-IF($A314&gt;='1-Input'!$C$12,'1-Input'!$B$12,0))-MIN(MAX(M313,0),MAX(0,I286-IF($A314&gt;='1-Input'!$C$12,'1-Input'!$B$12,0))))*(1/(1-'P-Parametri'!$B$6*I314))),MAX(0,5*MAX(0,I286-IF($A314&gt;='1-Input'!$C$12,'1-Input'!$B$12,0))-(M313-MIN(MAX(M313,0),MAX(0,I286-IF($A314&gt;='1-Input'!$C$12,'1-Input'!$B$12,0)))))*(1/(1-'P-Parametri'!$B$6*I314))))</f>
        <v>10846.756992928691</v>
      </c>
      <c r="K314" s="18">
        <f>IF($A314&gt;'1-Input'!$B$26,M313,(M313-MAX(0,I286-IF($A314&gt;='1-Input'!$C$12,'1-Input'!$B$12,0))+J314*(1-'P-Parametri'!$B$6*I314))*(1+'1-Input'!$B$27))</f>
        <v>0</v>
      </c>
      <c r="L314" s="18">
        <f>IF($A314&gt;'1-Input'!$B$26,N313,(N313-J314)*(1+'5-Roberta'!$C$4))</f>
        <v>-66149.308129852187</v>
      </c>
      <c r="M314" s="18">
        <f>IF($A314&gt;'1-Input'!$B$26,K314,K314-'P-Parametri'!$B$8*(L314+K314)+MIN(MAX(L314,0),'P-Parametri'!$B$8*(L314+K314)))</f>
        <v>0</v>
      </c>
      <c r="N314" s="18">
        <f>IF($A314&gt;'1-Input'!$B$26,L314,L314-MIN(MAX(L314,0),'P-Parametri'!$B$8*(L314+K314)))</f>
        <v>-66017.009513592478</v>
      </c>
      <c r="O314" s="18">
        <f>IF($A314&gt;'1-Input'!$B$26,O313,O313-J314*(1-I314))</f>
        <v>-60388.913618561011</v>
      </c>
      <c r="P314" s="11">
        <f>IF($A314&gt;'1-Input'!$B$26,0,IF(U313&lt;=0,0,MAX(0,(U313-V313)/U313)))</f>
        <v>0.59341399817407192</v>
      </c>
      <c r="Q314" s="18">
        <f>IF($A314&gt;'1-Input'!$B$26,0,(MAX(0,P286-IF($A314&gt;='1-Input'!$C$12,'1-Input'!$B$12,0))-MIN(MAX(T313,0),MAX(0,P286-IF($A314&gt;='1-Input'!$C$12,'1-Input'!$B$12,0))))*(1/(1-'P-Parametri'!$B$6*P314))+MIN(MAX(0,U313-(MAX(0,P286-IF($A314&gt;='1-Input'!$C$12,'1-Input'!$B$12,0))-MIN(MAX(T313,0),MAX(0,P286-IF($A314&gt;='1-Input'!$C$12,'1-Input'!$B$12,0))))*(1/(1-'P-Parametri'!$B$6*P314))),MAX(0,5*MAX(0,P286-IF($A314&gt;='1-Input'!$C$12,'1-Input'!$B$12,0))-(T313-MIN(MAX(T313,0),MAX(0,P286-IF($A314&gt;='1-Input'!$C$12,'1-Input'!$B$12,0)))))*(1/(1-'P-Parametri'!$B$6*P314))))</f>
        <v>0</v>
      </c>
      <c r="R314" s="18">
        <f>IF($A314&gt;'1-Input'!$B$26,T313,(T313-MAX(0,P286-IF($A314&gt;='1-Input'!$C$12,'1-Input'!$B$12,0))+Q314*(1-'P-Parametri'!$B$6*P314))*(1+'1-Input'!$B$27))</f>
        <v>60269.139944945768</v>
      </c>
      <c r="S314" s="18">
        <f>IF($A314&gt;'1-Input'!$B$26,U313,(U313-Q314)*(1+'5-Roberta'!$C$4))</f>
        <v>51938.495100487125</v>
      </c>
      <c r="T314" s="18">
        <f>IF($A314&gt;'1-Input'!$B$26,R314,R314-'P-Parametri'!$B$8*(S314+R314)+MIN(MAX(S314,0),'P-Parametri'!$B$8*(S314+R314)))</f>
        <v>60269.139944945768</v>
      </c>
      <c r="U314" s="18">
        <f>IF($A314&gt;'1-Input'!$B$26,S314,S314-MIN(MAX(S314,0),'P-Parametri'!$B$8*(S314+R314)))</f>
        <v>51714.079830396258</v>
      </c>
      <c r="V314" s="18">
        <f>IF($A314&gt;'1-Input'!$B$26,V313,V313-Q314*(1-P314))</f>
        <v>20502.393265788945</v>
      </c>
      <c r="W314" s="11">
        <f>IF($A314&gt;'1-Input'!$B$26,0,IF(AB313&lt;=0,0,MAX(0,(AB313-AC313)/AB313)))</f>
        <v>0.59380084324485438</v>
      </c>
      <c r="X314" s="18">
        <f>IF($A314&gt;'1-Input'!$B$26,0,(MAX(0,W286-IF($A314&gt;='1-Input'!$C$12,'1-Input'!$B$12,0))-MIN(MAX(AA313,0),MAX(0,W286-IF($A314&gt;='1-Input'!$C$12,'1-Input'!$B$12,0))))*(1/(1-'P-Parametri'!$B$6*W314))+MIN(MAX(0,AB313-(MAX(0,W286-IF($A314&gt;='1-Input'!$C$12,'1-Input'!$B$12,0))-MIN(MAX(AA313,0),MAX(0,W286-IF($A314&gt;='1-Input'!$C$12,'1-Input'!$B$12,0))))*(1/(1-'P-Parametri'!$B$6*W314))),MAX(0,5*MAX(0,W286-IF($A314&gt;='1-Input'!$C$12,'1-Input'!$B$12,0))-(AA313-MIN(MAX(AA313,0),MAX(0,W286-IF($A314&gt;='1-Input'!$C$12,'1-Input'!$B$12,0)))))*(1/(1-'P-Parametri'!$B$6*W314))))</f>
        <v>0</v>
      </c>
      <c r="Y314" s="18">
        <f>IF($A314&gt;'1-Input'!$B$26,AA313,(AA313-MAX(0,W286-IF($A314&gt;='1-Input'!$C$12,'1-Input'!$B$12,0))+X314*(1-'P-Parametri'!$B$6*W314))*(1+'1-Input'!$B$27))</f>
        <v>60218.466601050146</v>
      </c>
      <c r="Z314" s="18">
        <f>IF($A314&gt;'1-Input'!$B$26,AB313,(AB313-X314)*(1+'5-Roberta'!$C$4))</f>
        <v>54576.717623566765</v>
      </c>
      <c r="AA314" s="18">
        <f>IF($A314&gt;'1-Input'!$B$26,Y314,Y314-'P-Parametri'!$B$8*(Z314+Y314)+MIN(MAX(Z314,0),'P-Parametri'!$B$8*(Z314+Y314)))</f>
        <v>60218.466601050146</v>
      </c>
      <c r="AB314" s="18">
        <f>IF($A314&gt;'1-Input'!$B$26,Z314,Z314-MIN(MAX(Z314,0),'P-Parametri'!$B$8*(Z314+Y314)))</f>
        <v>54347.127255117528</v>
      </c>
      <c r="AC314" s="18">
        <f>IF($A314&gt;'1-Input'!$B$26,AC313,AC313-X314*(1-W314))</f>
        <v>21523.31716228788</v>
      </c>
      <c r="AD314" s="11">
        <f>IF($A314&gt;'1-Input'!$B$26,0,IF(AI313&lt;=0,0,MAX(0,(AI313-AJ313)/AI313)))</f>
        <v>0.59380517115056763</v>
      </c>
      <c r="AE314" s="18">
        <f>IF($A314&gt;'1-Input'!$B$26,0,(MAX(0,AD286-IF($A314&gt;='1-Input'!$C$12,'1-Input'!$B$12,0))-MIN(MAX(AH313,0),MAX(0,AD286-IF($A314&gt;='1-Input'!$C$12,'1-Input'!$B$12,0))))*(1/(1-'P-Parametri'!$B$6*AD314))+MIN(MAX(0,AI313-(MAX(0,AD286-IF($A314&gt;='1-Input'!$C$12,'1-Input'!$B$12,0))-MIN(MAX(AH313,0),MAX(0,AD286-IF($A314&gt;='1-Input'!$C$12,'1-Input'!$B$12,0))))*(1/(1-'P-Parametri'!$B$6*AD314))),MAX(0,5*MAX(0,AD286-IF($A314&gt;='1-Input'!$C$12,'1-Input'!$B$12,0))-(AH313-MIN(MAX(AH313,0),MAX(0,AD286-IF($A314&gt;='1-Input'!$C$12,'1-Input'!$B$12,0)))))*(1/(1-'P-Parametri'!$B$6*AD314))))</f>
        <v>0</v>
      </c>
      <c r="AF314" s="18">
        <f>IF($A314&gt;'1-Input'!$B$26,AH313,(AH313-MAX(0,AD286-IF($A314&gt;='1-Input'!$C$12,'1-Input'!$B$12,0))+AE314*(1-'P-Parametri'!$B$6*AD314))*(1+'1-Input'!$B$27))</f>
        <v>60217.876508119305</v>
      </c>
      <c r="AG314" s="18">
        <f>IF($A314&gt;'1-Input'!$B$26,AI313,(AI313-AE314)*(1+'5-Roberta'!$C$4))</f>
        <v>54607.440674891317</v>
      </c>
      <c r="AH314" s="18">
        <f>IF($A314&gt;'1-Input'!$B$26,AF314,AF314-'P-Parametri'!$B$8*(AG314+AF314)+MIN(MAX(AG314,0),'P-Parametri'!$B$8*(AG314+AF314)))</f>
        <v>60217.876508119305</v>
      </c>
      <c r="AI314" s="18">
        <f>IF($A314&gt;'1-Input'!$B$26,AG314,AG314-MIN(MAX(AG314,0),'P-Parametri'!$B$8*(AG314+AF314)))</f>
        <v>54377.790040525295</v>
      </c>
      <c r="AJ314" s="18">
        <f>IF($A314&gt;'1-Input'!$B$26,AJ313,AJ313-AE314*(1-AD314))</f>
        <v>21535.203901789333</v>
      </c>
      <c r="AK314" s="11">
        <f>IF($A314&gt;'1-Input'!$B$26,0,IF(AP313&lt;=0,0,MAX(0,(AP313-AQ313)/AP313)))</f>
        <v>0.59380507287754603</v>
      </c>
      <c r="AL314" s="18">
        <f>IF($A314&gt;'1-Input'!$B$26,0,(MAX(0,AK286-IF($A314&gt;='1-Input'!$C$12,'1-Input'!$B$12,0))-MIN(MAX(AO313,0),MAX(0,AK286-IF($A314&gt;='1-Input'!$C$12,'1-Input'!$B$12,0))))*(1/(1-'P-Parametri'!$B$6*AK314))+MIN(MAX(0,AP313-(MAX(0,AK286-IF($A314&gt;='1-Input'!$C$12,'1-Input'!$B$12,0))-MIN(MAX(AO313,0),MAX(0,AK286-IF($A314&gt;='1-Input'!$C$12,'1-Input'!$B$12,0))))*(1/(1-'P-Parametri'!$B$6*AK314))),MAX(0,5*MAX(0,AK286-IF($A314&gt;='1-Input'!$C$12,'1-Input'!$B$12,0))-(AO313-MIN(MAX(AO313,0),MAX(0,AK286-IF($A314&gt;='1-Input'!$C$12,'1-Input'!$B$12,0)))))*(1/(1-'P-Parametri'!$B$6*AK314))))</f>
        <v>0</v>
      </c>
      <c r="AM314" s="18">
        <f>IF($A314&gt;'1-Input'!$B$26,AO313,(AO313-MAX(0,AK286-IF($A314&gt;='1-Input'!$C$12,'1-Input'!$B$12,0))+AL314*(1-'P-Parametri'!$B$6*AK314))*(1+'1-Input'!$B$27))</f>
        <v>60217.889913146675</v>
      </c>
      <c r="AN314" s="18">
        <f>IF($A314&gt;'1-Input'!$B$26,AP313,(AP313-AL314)*(1+'5-Roberta'!$C$4))</f>
        <v>54606.742745039992</v>
      </c>
      <c r="AO314" s="18">
        <f>IF($A314&gt;'1-Input'!$B$26,AM314,AM314-'P-Parametri'!$B$8*(AN314+AM314)+MIN(MAX(AN314,0),'P-Parametri'!$B$8*(AN314+AM314)))</f>
        <v>60217.889913146675</v>
      </c>
      <c r="AP314" s="18">
        <f>IF($A314&gt;'1-Input'!$B$26,AN314,AN314-MIN(MAX(AN314,0),'P-Parametri'!$B$8*(AN314+AM314)))</f>
        <v>54377.093479723619</v>
      </c>
      <c r="AQ314" s="18">
        <f>IF($A314&gt;'1-Input'!$B$26,AQ313,AQ313-AL314*(1-AK314))</f>
        <v>21534.933873510789</v>
      </c>
    </row>
    <row r="315" spans="1:43">
      <c r="A315" s="10">
        <f>27</f>
        <v>27</v>
      </c>
      <c r="B315" s="11">
        <f>IF($A315&gt;'1-Input'!$B$26,0,IF(G314&lt;=0,0,MAX(0,(G314-H314)/G314)))</f>
        <v>0.60651796656973489</v>
      </c>
      <c r="C315" s="18">
        <f>IF($A315&gt;'1-Input'!$B$26,0,(MAX(0,B286-IF($A315&gt;='1-Input'!$C$12,'1-Input'!$B$12,0))-MIN(MAX(F314,0),MAX(0,B286-IF($A315&gt;='1-Input'!$C$12,'1-Input'!$B$12,0))))*(1/(1-'P-Parametri'!$B$6*B315))+MIN(MAX(0,G314-(MAX(0,B286-IF($A315&gt;='1-Input'!$C$12,'1-Input'!$B$12,0))-MIN(MAX(F314,0),MAX(0,B286-IF($A315&gt;='1-Input'!$C$12,'1-Input'!$B$12,0))))*(1/(1-'P-Parametri'!$B$6*B315))),MAX(0,5*MAX(0,B286-IF($A315&gt;='1-Input'!$C$12,'1-Input'!$B$12,0))-(F314-MIN(MAX(F314,0),MAX(0,B286-IF($A315&gt;='1-Input'!$C$12,'1-Input'!$B$12,0)))))*(1/(1-'P-Parametri'!$B$6*B315))))</f>
        <v>0</v>
      </c>
      <c r="D315" s="18">
        <f>IF($A315&gt;'1-Input'!$B$26,F314,(F314-MAX(0,B286-IF($A315&gt;='1-Input'!$C$12,'1-Input'!$B$12,0))+C315*(1-'P-Parametri'!$B$6*B315))*(1+'1-Input'!$B$27))</f>
        <v>54024.409189164675</v>
      </c>
      <c r="E315" s="18">
        <f>IF($A315&gt;'1-Input'!$B$26,G314,(G314-C315)*(1+'5-Roberta'!$C$4))</f>
        <v>78450.994891172988</v>
      </c>
      <c r="F315" s="18">
        <f>IF($A315&gt;'1-Input'!$B$26,D315,D315-'P-Parametri'!$B$8*(E315+D315)+MIN(MAX(E315,0),'P-Parametri'!$B$8*(E315+D315)))</f>
        <v>54024.409189164675</v>
      </c>
      <c r="G315" s="18">
        <f>IF($A315&gt;'1-Input'!$B$26,E315,E315-MIN(MAX(E315,0),'P-Parametri'!$B$8*(E315+D315)))</f>
        <v>78186.044083012312</v>
      </c>
      <c r="H315" s="18">
        <f>IF($A315&gt;'1-Input'!$B$26,H314,H314-C315*(1-B315))</f>
        <v>29969.958246996201</v>
      </c>
      <c r="I315" s="11">
        <f>IF($A315&gt;'1-Input'!$B$26,0,IF(N314&lt;=0,0,MAX(0,(N314-O314)/N314)))</f>
        <v>0</v>
      </c>
      <c r="J315" s="18">
        <f>IF($A315&gt;'1-Input'!$B$26,0,(MAX(0,I286-IF($A315&gt;='1-Input'!$C$12,'1-Input'!$B$12,0))-MIN(MAX(M314,0),MAX(0,I286-IF($A315&gt;='1-Input'!$C$12,'1-Input'!$B$12,0))))*(1/(1-'P-Parametri'!$B$6*I315))+MIN(MAX(0,N314-(MAX(0,I286-IF($A315&gt;='1-Input'!$C$12,'1-Input'!$B$12,0))-MIN(MAX(M314,0),MAX(0,I286-IF($A315&gt;='1-Input'!$C$12,'1-Input'!$B$12,0))))*(1/(1-'P-Parametri'!$B$6*I315))),MAX(0,5*MAX(0,I286-IF($A315&gt;='1-Input'!$C$12,'1-Input'!$B$12,0))-(M314-MIN(MAX(M314,0),MAX(0,I286-IF($A315&gt;='1-Input'!$C$12,'1-Input'!$B$12,0)))))*(1/(1-'P-Parametri'!$B$6*I315))))</f>
        <v>10846.756992928691</v>
      </c>
      <c r="K315" s="18">
        <f>IF($A315&gt;'1-Input'!$B$26,M314,(M314-MAX(0,I286-IF($A315&gt;='1-Input'!$C$12,'1-Input'!$B$12,0))+J315*(1-'P-Parametri'!$B$6*I315))*(1+'1-Input'!$B$27))</f>
        <v>0</v>
      </c>
      <c r="L315" s="18">
        <f>IF($A315&gt;'1-Input'!$B$26,N314,(N314-J315)*(1+'5-Roberta'!$C$4))</f>
        <v>-79169.679501716819</v>
      </c>
      <c r="M315" s="18">
        <f>IF($A315&gt;'1-Input'!$B$26,K315,K315-'P-Parametri'!$B$8*(L315+K315)+MIN(MAX(L315,0),'P-Parametri'!$B$8*(L315+K315)))</f>
        <v>0</v>
      </c>
      <c r="N315" s="18">
        <f>IF($A315&gt;'1-Input'!$B$26,L315,L315-MIN(MAX(L315,0),'P-Parametri'!$B$8*(L315+K315)))</f>
        <v>-79011.340142713379</v>
      </c>
      <c r="O315" s="18">
        <f>IF($A315&gt;'1-Input'!$B$26,O314,O314-J315*(1-I315))</f>
        <v>-71235.67061148971</v>
      </c>
      <c r="P315" s="11">
        <f>IF($A315&gt;'1-Input'!$B$26,0,IF(U314&lt;=0,0,MAX(0,(U314-V314)/U314)))</f>
        <v>0.60354330323522176</v>
      </c>
      <c r="Q315" s="18">
        <f>IF($A315&gt;'1-Input'!$B$26,0,(MAX(0,P286-IF($A315&gt;='1-Input'!$C$12,'1-Input'!$B$12,0))-MIN(MAX(T314,0),MAX(0,P286-IF($A315&gt;='1-Input'!$C$12,'1-Input'!$B$12,0))))*(1/(1-'P-Parametri'!$B$6*P315))+MIN(MAX(0,U314-(MAX(0,P286-IF($A315&gt;='1-Input'!$C$12,'1-Input'!$B$12,0))-MIN(MAX(T314,0),MAX(0,P286-IF($A315&gt;='1-Input'!$C$12,'1-Input'!$B$12,0))))*(1/(1-'P-Parametri'!$B$6*P315))),MAX(0,5*MAX(0,P286-IF($A315&gt;='1-Input'!$C$12,'1-Input'!$B$12,0))-(T314-MIN(MAX(T314,0),MAX(0,P286-IF($A315&gt;='1-Input'!$C$12,'1-Input'!$B$12,0)))))*(1/(1-'P-Parametri'!$B$6*P315))))</f>
        <v>0</v>
      </c>
      <c r="R315" s="18">
        <f>IF($A315&gt;'1-Input'!$B$26,T314,(T314-MAX(0,P286-IF($A315&gt;='1-Input'!$C$12,'1-Input'!$B$12,0))+Q315*(1-'P-Parametri'!$B$6*P315))*(1+'1-Input'!$B$27))</f>
        <v>53997.919753881062</v>
      </c>
      <c r="S315" s="18">
        <f>IF($A315&gt;'1-Input'!$B$26,U314,(U314-Q315)*(1+'5-Roberta'!$C$4))</f>
        <v>53265.502225308148</v>
      </c>
      <c r="T315" s="18">
        <f>IF($A315&gt;'1-Input'!$B$26,R315,R315-'P-Parametri'!$B$8*(S315+R315)+MIN(MAX(S315,0),'P-Parametri'!$B$8*(S315+R315)))</f>
        <v>53997.919753881062</v>
      </c>
      <c r="U315" s="18">
        <f>IF($A315&gt;'1-Input'!$B$26,S315,S315-MIN(MAX(S315,0),'P-Parametri'!$B$8*(S315+R315)))</f>
        <v>53050.975381349766</v>
      </c>
      <c r="V315" s="18">
        <f>IF($A315&gt;'1-Input'!$B$26,V314,V314-Q315*(1-P315))</f>
        <v>20502.393265788945</v>
      </c>
      <c r="W315" s="11">
        <f>IF($A315&gt;'1-Input'!$B$26,0,IF(AB314&lt;=0,0,MAX(0,(AB314-AC314)/AB314)))</f>
        <v>0.60396587180675376</v>
      </c>
      <c r="X315" s="18">
        <f>IF($A315&gt;'1-Input'!$B$26,0,(MAX(0,W286-IF($A315&gt;='1-Input'!$C$12,'1-Input'!$B$12,0))-MIN(MAX(AA314,0),MAX(0,W286-IF($A315&gt;='1-Input'!$C$12,'1-Input'!$B$12,0))))*(1/(1-'P-Parametri'!$B$6*W315))+MIN(MAX(0,AB314-(MAX(0,W286-IF($A315&gt;='1-Input'!$C$12,'1-Input'!$B$12,0))-MIN(MAX(AA314,0),MAX(0,W286-IF($A315&gt;='1-Input'!$C$12,'1-Input'!$B$12,0))))*(1/(1-'P-Parametri'!$B$6*W315))),MAX(0,5*MAX(0,W286-IF($A315&gt;='1-Input'!$C$12,'1-Input'!$B$12,0))-(AA314-MIN(MAX(AA314,0),MAX(0,W286-IF($A315&gt;='1-Input'!$C$12,'1-Input'!$B$12,0)))))*(1/(1-'P-Parametri'!$B$6*W315))))</f>
        <v>0</v>
      </c>
      <c r="Y315" s="18">
        <f>IF($A315&gt;'1-Input'!$B$26,AA314,(AA314-MAX(0,W286-IF($A315&gt;='1-Input'!$C$12,'1-Input'!$B$12,0))+X315*(1-'P-Parametri'!$B$6*W315))*(1+'1-Input'!$B$27))</f>
        <v>54000.772785540314</v>
      </c>
      <c r="Z315" s="18">
        <f>IF($A315&gt;'1-Input'!$B$26,AB314,(AB314-X315)*(1+'5-Roberta'!$C$4))</f>
        <v>55977.541072771055</v>
      </c>
      <c r="AA315" s="18">
        <f>IF($A315&gt;'1-Input'!$B$26,Y315,Y315-'P-Parametri'!$B$8*(Z315+Y315)+MIN(MAX(Z315,0),'P-Parametri'!$B$8*(Z315+Y315)))</f>
        <v>54000.772785540314</v>
      </c>
      <c r="AB315" s="18">
        <f>IF($A315&gt;'1-Input'!$B$26,Z315,Z315-MIN(MAX(Z315,0),'P-Parametri'!$B$8*(Z315+Y315)))</f>
        <v>55757.584445054432</v>
      </c>
      <c r="AC315" s="18">
        <f>IF($A315&gt;'1-Input'!$B$26,AC314,AC314-X315*(1-W315))</f>
        <v>21523.31716228788</v>
      </c>
      <c r="AD315" s="11">
        <f>IF($A315&gt;'1-Input'!$B$26,0,IF(AI314&lt;=0,0,MAX(0,(AI314-AJ314)/AI314)))</f>
        <v>0.6039705937710943</v>
      </c>
      <c r="AE315" s="18">
        <f>IF($A315&gt;'1-Input'!$B$26,0,(MAX(0,AD286-IF($A315&gt;='1-Input'!$C$12,'1-Input'!$B$12,0))-MIN(MAX(AH314,0),MAX(0,AD286-IF($A315&gt;='1-Input'!$C$12,'1-Input'!$B$12,0))))*(1/(1-'P-Parametri'!$B$6*AD315))+MIN(MAX(0,AI314-(MAX(0,AD286-IF($A315&gt;='1-Input'!$C$12,'1-Input'!$B$12,0))-MIN(MAX(AH314,0),MAX(0,AD286-IF($A315&gt;='1-Input'!$C$12,'1-Input'!$B$12,0))))*(1/(1-'P-Parametri'!$B$6*AD315))),MAX(0,5*MAX(0,AD286-IF($A315&gt;='1-Input'!$C$12,'1-Input'!$B$12,0))-(AH314-MIN(MAX(AH314,0),MAX(0,AD286-IF($A315&gt;='1-Input'!$C$12,'1-Input'!$B$12,0)))))*(1/(1-'P-Parametri'!$B$6*AD315))))</f>
        <v>0</v>
      </c>
      <c r="AF315" s="18">
        <f>IF($A315&gt;'1-Input'!$B$26,AH314,(AH314-MAX(0,AD286-IF($A315&gt;='1-Input'!$C$12,'1-Input'!$B$12,0))+AE315*(1-'P-Parametri'!$B$6*AD315))*(1+'1-Input'!$B$27))</f>
        <v>54000.806009197666</v>
      </c>
      <c r="AG315" s="18">
        <f>IF($A315&gt;'1-Input'!$B$26,AI314,(AI314-AE315)*(1+'5-Roberta'!$C$4))</f>
        <v>56009.123741741052</v>
      </c>
      <c r="AH315" s="18">
        <f>IF($A315&gt;'1-Input'!$B$26,AF315,AF315-'P-Parametri'!$B$8*(AG315+AF315)+MIN(MAX(AG315,0),'P-Parametri'!$B$8*(AG315+AF315)))</f>
        <v>54000.806009197666</v>
      </c>
      <c r="AI315" s="18">
        <f>IF($A315&gt;'1-Input'!$B$26,AG315,AG315-MIN(MAX(AG315,0),'P-Parametri'!$B$8*(AG315+AF315)))</f>
        <v>55789.103882239171</v>
      </c>
      <c r="AJ315" s="18">
        <f>IF($A315&gt;'1-Input'!$B$26,AJ314,AJ314-AE315*(1-AD315))</f>
        <v>21535.203901789333</v>
      </c>
      <c r="AK315" s="11">
        <f>IF($A315&gt;'1-Input'!$B$26,0,IF(AP314&lt;=0,0,MAX(0,(AP314-AQ314)/AP314)))</f>
        <v>0.60397048655164265</v>
      </c>
      <c r="AL315" s="18">
        <f>IF($A315&gt;'1-Input'!$B$26,0,(MAX(0,AK286-IF($A315&gt;='1-Input'!$C$12,'1-Input'!$B$12,0))-MIN(MAX(AO314,0),MAX(0,AK286-IF($A315&gt;='1-Input'!$C$12,'1-Input'!$B$12,0))))*(1/(1-'P-Parametri'!$B$6*AK315))+MIN(MAX(0,AP314-(MAX(0,AK286-IF($A315&gt;='1-Input'!$C$12,'1-Input'!$B$12,0))-MIN(MAX(AO314,0),MAX(0,AK286-IF($A315&gt;='1-Input'!$C$12,'1-Input'!$B$12,0))))*(1/(1-'P-Parametri'!$B$6*AK315))),MAX(0,5*MAX(0,AK286-IF($A315&gt;='1-Input'!$C$12,'1-Input'!$B$12,0))-(AO314-MIN(MAX(AO314,0),MAX(0,AK286-IF($A315&gt;='1-Input'!$C$12,'1-Input'!$B$12,0)))))*(1/(1-'P-Parametri'!$B$6*AK315))))</f>
        <v>0</v>
      </c>
      <c r="AM315" s="18">
        <f>IF($A315&gt;'1-Input'!$B$26,AO314,(AO314-MAX(0,AK286-IF($A315&gt;='1-Input'!$C$12,'1-Input'!$B$12,0))+AL315*(1-'P-Parametri'!$B$6*AK315))*(1+'1-Input'!$B$27))</f>
        <v>54000.805254462219</v>
      </c>
      <c r="AN315" s="18">
        <f>IF($A315&gt;'1-Input'!$B$26,AP314,(AP314-AL315)*(1+'5-Roberta'!$C$4))</f>
        <v>56008.406284115328</v>
      </c>
      <c r="AO315" s="18">
        <f>IF($A315&gt;'1-Input'!$B$26,AM315,AM315-'P-Parametri'!$B$8*(AN315+AM315)+MIN(MAX(AN315,0),'P-Parametri'!$B$8*(AN315+AM315)))</f>
        <v>54000.805254462219</v>
      </c>
      <c r="AP315" s="18">
        <f>IF($A315&gt;'1-Input'!$B$26,AN315,AN315-MIN(MAX(AN315,0),'P-Parametri'!$B$8*(AN315+AM315)))</f>
        <v>55788.387861038173</v>
      </c>
      <c r="AQ315" s="18">
        <f>IF($A315&gt;'1-Input'!$B$26,AQ314,AQ314-AL315*(1-AK315))</f>
        <v>21534.933873510789</v>
      </c>
    </row>
    <row r="316" spans="1:43">
      <c r="A316" s="10">
        <f>28</f>
        <v>28</v>
      </c>
      <c r="B316" s="11">
        <f>IF($A316&gt;'1-Input'!$B$26,0,IF(G315&lt;=0,0,MAX(0,(G315-H315)/G315)))</f>
        <v>0.61668404382786957</v>
      </c>
      <c r="C316" s="18">
        <f>IF($A316&gt;'1-Input'!$B$26,0,(MAX(0,B286-IF($A316&gt;='1-Input'!$C$12,'1-Input'!$B$12,0))-MIN(MAX(F315,0),MAX(0,B286-IF($A316&gt;='1-Input'!$C$12,'1-Input'!$B$12,0))))*(1/(1-'P-Parametri'!$B$6*B316))+MIN(MAX(0,G315-(MAX(0,B286-IF($A316&gt;='1-Input'!$C$12,'1-Input'!$B$12,0))-MIN(MAX(F315,0),MAX(0,B286-IF($A316&gt;='1-Input'!$C$12,'1-Input'!$B$12,0))))*(1/(1-'P-Parametri'!$B$6*B316))),MAX(0,5*MAX(0,B286-IF($A316&gt;='1-Input'!$C$12,'1-Input'!$B$12,0))-(F315-MIN(MAX(F315,0),MAX(0,B286-IF($A316&gt;='1-Input'!$C$12,'1-Input'!$B$12,0)))))*(1/(1-'P-Parametri'!$B$6*B316))))</f>
        <v>0</v>
      </c>
      <c r="D316" s="18">
        <f>IF($A316&gt;'1-Input'!$B$26,F315,(F315-MAX(0,B286-IF($A316&gt;='1-Input'!$C$12,'1-Input'!$B$12,0))+C316*(1-'P-Parametri'!$B$6*B316))*(1+'1-Input'!$B$27))</f>
        <v>48270.950600590528</v>
      </c>
      <c r="E316" s="18">
        <f>IF($A316&gt;'1-Input'!$B$26,G315,(G315-C316)*(1+'5-Roberta'!$C$4))</f>
        <v>80531.62540550268</v>
      </c>
      <c r="F316" s="18">
        <f>IF($A316&gt;'1-Input'!$B$26,D316,D316-'P-Parametri'!$B$8*(E316+D316)+MIN(MAX(E316,0),'P-Parametri'!$B$8*(E316+D316)))</f>
        <v>48270.950600590528</v>
      </c>
      <c r="G316" s="18">
        <f>IF($A316&gt;'1-Input'!$B$26,E316,E316-MIN(MAX(E316,0),'P-Parametri'!$B$8*(E316+D316)))</f>
        <v>80274.020253490497</v>
      </c>
      <c r="H316" s="18">
        <f>IF($A316&gt;'1-Input'!$B$26,H315,H315-C316*(1-B316))</f>
        <v>29969.958246996201</v>
      </c>
      <c r="I316" s="11">
        <f>IF($A316&gt;'1-Input'!$B$26,0,IF(N315&lt;=0,0,MAX(0,(N315-O315)/N315)))</f>
        <v>0</v>
      </c>
      <c r="J316" s="18">
        <f>IF($A316&gt;'1-Input'!$B$26,0,(MAX(0,I286-IF($A316&gt;='1-Input'!$C$12,'1-Input'!$B$12,0))-MIN(MAX(M315,0),MAX(0,I286-IF($A316&gt;='1-Input'!$C$12,'1-Input'!$B$12,0))))*(1/(1-'P-Parametri'!$B$6*I316))+MIN(MAX(0,N315-(MAX(0,I286-IF($A316&gt;='1-Input'!$C$12,'1-Input'!$B$12,0))-MIN(MAX(M315,0),MAX(0,I286-IF($A316&gt;='1-Input'!$C$12,'1-Input'!$B$12,0))))*(1/(1-'P-Parametri'!$B$6*I316))),MAX(0,5*MAX(0,I286-IF($A316&gt;='1-Input'!$C$12,'1-Input'!$B$12,0))-(M315-MIN(MAX(M315,0),MAX(0,I286-IF($A316&gt;='1-Input'!$C$12,'1-Input'!$B$12,0)))))*(1/(1-'P-Parametri'!$B$6*I316))))</f>
        <v>10846.756992928691</v>
      </c>
      <c r="K316" s="18">
        <f>IF($A316&gt;'1-Input'!$B$26,M315,(M315-MAX(0,I286-IF($A316&gt;='1-Input'!$C$12,'1-Input'!$B$12,0))+J316*(1-'P-Parametri'!$B$6*I316))*(1+'1-Input'!$B$27))</f>
        <v>0</v>
      </c>
      <c r="L316" s="18">
        <f>IF($A316&gt;'1-Input'!$B$26,N315,(N315-J316)*(1+'5-Roberta'!$C$4))</f>
        <v>-92553.840049711347</v>
      </c>
      <c r="M316" s="18">
        <f>IF($A316&gt;'1-Input'!$B$26,K316,K316-'P-Parametri'!$B$8*(L316+K316)+MIN(MAX(L316,0),'P-Parametri'!$B$8*(L316+K316)))</f>
        <v>0</v>
      </c>
      <c r="N316" s="18">
        <f>IF($A316&gt;'1-Input'!$B$26,L316,L316-MIN(MAX(L316,0),'P-Parametri'!$B$8*(L316+K316)))</f>
        <v>-92368.732369611927</v>
      </c>
      <c r="O316" s="18">
        <f>IF($A316&gt;'1-Input'!$B$26,O315,O315-J316*(1-I316))</f>
        <v>-82082.427604418393</v>
      </c>
      <c r="P316" s="11">
        <f>IF($A316&gt;'1-Input'!$B$26,0,IF(U315&lt;=0,0,MAX(0,(U315-V315)/U315)))</f>
        <v>0.61353409398394165</v>
      </c>
      <c r="Q316" s="18">
        <f>IF($A316&gt;'1-Input'!$B$26,0,(MAX(0,P286-IF($A316&gt;='1-Input'!$C$12,'1-Input'!$B$12,0))-MIN(MAX(T315,0),MAX(0,P286-IF($A316&gt;='1-Input'!$C$12,'1-Input'!$B$12,0))))*(1/(1-'P-Parametri'!$B$6*P316))+MIN(MAX(0,U315-(MAX(0,P286-IF($A316&gt;='1-Input'!$C$12,'1-Input'!$B$12,0))-MIN(MAX(T315,0),MAX(0,P286-IF($A316&gt;='1-Input'!$C$12,'1-Input'!$B$12,0))))*(1/(1-'P-Parametri'!$B$6*P316))),MAX(0,5*MAX(0,P286-IF($A316&gt;='1-Input'!$C$12,'1-Input'!$B$12,0))-(T315-MIN(MAX(T315,0),MAX(0,P286-IF($A316&gt;='1-Input'!$C$12,'1-Input'!$B$12,0)))))*(1/(1-'P-Parametri'!$B$6*P316))))</f>
        <v>0</v>
      </c>
      <c r="R316" s="18">
        <f>IF($A316&gt;'1-Input'!$B$26,T315,(T315-MAX(0,P286-IF($A316&gt;='1-Input'!$C$12,'1-Input'!$B$12,0))+Q316*(1-'P-Parametri'!$B$6*P316))*(1+'1-Input'!$B$27))</f>
        <v>47749.275955504178</v>
      </c>
      <c r="S316" s="18">
        <f>IF($A316&gt;'1-Input'!$B$26,U315,(U315-Q316)*(1+'5-Roberta'!$C$4))</f>
        <v>54642.504642790263</v>
      </c>
      <c r="T316" s="18">
        <f>IF($A316&gt;'1-Input'!$B$26,R316,R316-'P-Parametri'!$B$8*(S316+R316)+MIN(MAX(S316,0),'P-Parametri'!$B$8*(S316+R316)))</f>
        <v>47749.275955504178</v>
      </c>
      <c r="U316" s="18">
        <f>IF($A316&gt;'1-Input'!$B$26,S316,S316-MIN(MAX(S316,0),'P-Parametri'!$B$8*(S316+R316)))</f>
        <v>54437.721081593678</v>
      </c>
      <c r="V316" s="18">
        <f>IF($A316&gt;'1-Input'!$B$26,V315,V315-Q316*(1-P316))</f>
        <v>20502.393265788945</v>
      </c>
      <c r="W316" s="11">
        <f>IF($A316&gt;'1-Input'!$B$26,0,IF(AB315&lt;=0,0,MAX(0,(AB315-AC315)/AB315)))</f>
        <v>0.6139840458207485</v>
      </c>
      <c r="X316" s="18">
        <f>IF($A316&gt;'1-Input'!$B$26,0,(MAX(0,W286-IF($A316&gt;='1-Input'!$C$12,'1-Input'!$B$12,0))-MIN(MAX(AA315,0),MAX(0,W286-IF($A316&gt;='1-Input'!$C$12,'1-Input'!$B$12,0))))*(1/(1-'P-Parametri'!$B$6*W316))+MIN(MAX(0,AB315-(MAX(0,W286-IF($A316&gt;='1-Input'!$C$12,'1-Input'!$B$12,0))-MIN(MAX(AA315,0),MAX(0,W286-IF($A316&gt;='1-Input'!$C$12,'1-Input'!$B$12,0))))*(1/(1-'P-Parametri'!$B$6*W316))),MAX(0,5*MAX(0,W286-IF($A316&gt;='1-Input'!$C$12,'1-Input'!$B$12,0))-(AA315-MIN(MAX(AA315,0),MAX(0,W286-IF($A316&gt;='1-Input'!$C$12,'1-Input'!$B$12,0)))))*(1/(1-'P-Parametri'!$B$6*W316))))</f>
        <v>0</v>
      </c>
      <c r="Y316" s="18">
        <f>IF($A316&gt;'1-Input'!$B$26,AA315,(AA315-MAX(0,W286-IF($A316&gt;='1-Input'!$C$12,'1-Input'!$B$12,0))+X316*(1-'P-Parametri'!$B$6*W316))*(1+'1-Input'!$B$27))</f>
        <v>47805.462667766318</v>
      </c>
      <c r="Z316" s="18">
        <f>IF($A316&gt;'1-Input'!$B$26,AB315,(AB315-X316)*(1+'5-Roberta'!$C$4))</f>
        <v>57430.311978406069</v>
      </c>
      <c r="AA316" s="18">
        <f>IF($A316&gt;'1-Input'!$B$26,Y316,Y316-'P-Parametri'!$B$8*(Z316+Y316)+MIN(MAX(Z316,0),'P-Parametri'!$B$8*(Z316+Y316)))</f>
        <v>47805.462667766318</v>
      </c>
      <c r="AB316" s="18">
        <f>IF($A316&gt;'1-Input'!$B$26,Z316,Z316-MIN(MAX(Z316,0),'P-Parametri'!$B$8*(Z316+Y316)))</f>
        <v>57219.840429113727</v>
      </c>
      <c r="AC316" s="18">
        <f>IF($A316&gt;'1-Input'!$B$26,AC315,AC315-X316*(1-W316))</f>
        <v>21523.31716228788</v>
      </c>
      <c r="AD316" s="11">
        <f>IF($A316&gt;'1-Input'!$B$26,0,IF(AI315&lt;=0,0,MAX(0,(AI315-AJ315)/AI315)))</f>
        <v>0.61398906949202303</v>
      </c>
      <c r="AE316" s="18">
        <f>IF($A316&gt;'1-Input'!$B$26,0,(MAX(0,AD286-IF($A316&gt;='1-Input'!$C$12,'1-Input'!$B$12,0))-MIN(MAX(AH315,0),MAX(0,AD286-IF($A316&gt;='1-Input'!$C$12,'1-Input'!$B$12,0))))*(1/(1-'P-Parametri'!$B$6*AD316))+MIN(MAX(0,AI315-(MAX(0,AD286-IF($A316&gt;='1-Input'!$C$12,'1-Input'!$B$12,0))-MIN(MAX(AH315,0),MAX(0,AD286-IF($A316&gt;='1-Input'!$C$12,'1-Input'!$B$12,0))))*(1/(1-'P-Parametri'!$B$6*AD316))),MAX(0,5*MAX(0,AD286-IF($A316&gt;='1-Input'!$C$12,'1-Input'!$B$12,0))-(AH315-MIN(MAX(AH315,0),MAX(0,AD286-IF($A316&gt;='1-Input'!$C$12,'1-Input'!$B$12,0)))))*(1/(1-'P-Parametri'!$B$6*AD316))))</f>
        <v>0</v>
      </c>
      <c r="AF316" s="18">
        <f>IF($A316&gt;'1-Input'!$B$26,AH315,(AH315-MAX(0,AD286-IF($A316&gt;='1-Input'!$C$12,'1-Input'!$B$12,0))+AE316*(1-'P-Parametri'!$B$6*AD316))*(1+'1-Input'!$B$27))</f>
        <v>47806.116964072149</v>
      </c>
      <c r="AG316" s="18">
        <f>IF($A316&gt;'1-Input'!$B$26,AI315,(AI315-AE316)*(1+'5-Roberta'!$C$4))</f>
        <v>57462.776998706351</v>
      </c>
      <c r="AH316" s="18">
        <f>IF($A316&gt;'1-Input'!$B$26,AF316,AF316-'P-Parametri'!$B$8*(AG316+AF316)+MIN(MAX(AG316,0),'P-Parametri'!$B$8*(AG316+AF316)))</f>
        <v>47806.116964072149</v>
      </c>
      <c r="AI316" s="18">
        <f>IF($A316&gt;'1-Input'!$B$26,AG316,AG316-MIN(MAX(AG316,0),'P-Parametri'!$B$8*(AG316+AF316)))</f>
        <v>57252.239210780797</v>
      </c>
      <c r="AJ316" s="18">
        <f>IF($A316&gt;'1-Input'!$B$26,AJ315,AJ315-AE316*(1-AD316))</f>
        <v>21535.203901789333</v>
      </c>
      <c r="AK316" s="11">
        <f>IF($A316&gt;'1-Input'!$B$26,0,IF(AP315&lt;=0,0,MAX(0,(AP315-AQ315)/AP315)))</f>
        <v>0.6139889554229172</v>
      </c>
      <c r="AL316" s="18">
        <f>IF($A316&gt;'1-Input'!$B$26,0,(MAX(0,AK286-IF($A316&gt;='1-Input'!$C$12,'1-Input'!$B$12,0))-MIN(MAX(AO315,0),MAX(0,AK286-IF($A316&gt;='1-Input'!$C$12,'1-Input'!$B$12,0))))*(1/(1-'P-Parametri'!$B$6*AK316))+MIN(MAX(0,AP315-(MAX(0,AK286-IF($A316&gt;='1-Input'!$C$12,'1-Input'!$B$12,0))-MIN(MAX(AO315,0),MAX(0,AK286-IF($A316&gt;='1-Input'!$C$12,'1-Input'!$B$12,0))))*(1/(1-'P-Parametri'!$B$6*AK316))),MAX(0,5*MAX(0,AK286-IF($A316&gt;='1-Input'!$C$12,'1-Input'!$B$12,0))-(AO315-MIN(MAX(AO315,0),MAX(0,AK286-IF($A316&gt;='1-Input'!$C$12,'1-Input'!$B$12,0)))))*(1/(1-'P-Parametri'!$B$6*AK316))))</f>
        <v>0</v>
      </c>
      <c r="AM316" s="18">
        <f>IF($A316&gt;'1-Input'!$B$26,AO315,(AO315-MAX(0,AK286-IF($A316&gt;='1-Input'!$C$12,'1-Input'!$B$12,0))+AL316*(1-'P-Parametri'!$B$6*AK316))*(1+'1-Input'!$B$27))</f>
        <v>47806.102100549033</v>
      </c>
      <c r="AN316" s="18">
        <f>IF($A316&gt;'1-Input'!$B$26,AP315,(AP315-AL316)*(1+'5-Roberta'!$C$4))</f>
        <v>57462.039496869322</v>
      </c>
      <c r="AO316" s="18">
        <f>IF($A316&gt;'1-Input'!$B$26,AM316,AM316-'P-Parametri'!$B$8*(AN316+AM316)+MIN(MAX(AN316,0),'P-Parametri'!$B$8*(AN316+AM316)))</f>
        <v>47806.102100549033</v>
      </c>
      <c r="AP316" s="18">
        <f>IF($A316&gt;'1-Input'!$B$26,AN316,AN316-MIN(MAX(AN316,0),'P-Parametri'!$B$8*(AN316+AM316)))</f>
        <v>57251.503213674485</v>
      </c>
      <c r="AQ316" s="18">
        <f>IF($A316&gt;'1-Input'!$B$26,AQ315,AQ315-AL316*(1-AK316))</f>
        <v>21534.933873510789</v>
      </c>
    </row>
    <row r="317" spans="1:43">
      <c r="A317" s="10">
        <f>29</f>
        <v>29</v>
      </c>
      <c r="B317" s="11">
        <f>IF($A317&gt;'1-Input'!$B$26,0,IF(G316&lt;=0,0,MAX(0,(G316-H316)/G316)))</f>
        <v>0.62665432536757693</v>
      </c>
      <c r="C317" s="18">
        <f>IF($A317&gt;'1-Input'!$B$26,0,(MAX(0,B286-IF($A317&gt;='1-Input'!$C$12,'1-Input'!$B$12,0))-MIN(MAX(F316,0),MAX(0,B286-IF($A317&gt;='1-Input'!$C$12,'1-Input'!$B$12,0))))*(1/(1-'P-Parametri'!$B$6*B317))+MIN(MAX(0,G316-(MAX(0,B286-IF($A317&gt;='1-Input'!$C$12,'1-Input'!$B$12,0))-MIN(MAX(F316,0),MAX(0,B286-IF($A317&gt;='1-Input'!$C$12,'1-Input'!$B$12,0))))*(1/(1-'P-Parametri'!$B$6*B317))),MAX(0,5*MAX(0,B286-IF($A317&gt;='1-Input'!$C$12,'1-Input'!$B$12,0))-(F316-MIN(MAX(F316,0),MAX(0,B286-IF($A317&gt;='1-Input'!$C$12,'1-Input'!$B$12,0)))))*(1/(1-'P-Parametri'!$B$6*B317))))</f>
        <v>0</v>
      </c>
      <c r="D317" s="18">
        <f>IF($A317&gt;'1-Input'!$B$26,F316,(F316-MAX(0,B286-IF($A317&gt;='1-Input'!$C$12,'1-Input'!$B$12,0))+C317*(1-'P-Parametri'!$B$6*B317))*(1+'1-Input'!$B$27))</f>
        <v>42538.204462935253</v>
      </c>
      <c r="E317" s="18">
        <f>IF($A317&gt;'1-Input'!$B$26,G316,(G316-C317)*(1+'5-Roberta'!$C$4))</f>
        <v>82682.240861095212</v>
      </c>
      <c r="F317" s="18">
        <f>IF($A317&gt;'1-Input'!$B$26,D317,D317-'P-Parametri'!$B$8*(E317+D317)+MIN(MAX(E317,0),'P-Parametri'!$B$8*(E317+D317)))</f>
        <v>42538.204462935253</v>
      </c>
      <c r="G317" s="18">
        <f>IF($A317&gt;'1-Input'!$B$26,E317,E317-MIN(MAX(E317,0),'P-Parametri'!$B$8*(E317+D317)))</f>
        <v>82431.799970447144</v>
      </c>
      <c r="H317" s="18">
        <f>IF($A317&gt;'1-Input'!$B$26,H316,H316-C317*(1-B317))</f>
        <v>29969.958246996201</v>
      </c>
      <c r="I317" s="11">
        <f>IF($A317&gt;'1-Input'!$B$26,0,IF(N316&lt;=0,0,MAX(0,(N316-O316)/N316)))</f>
        <v>0</v>
      </c>
      <c r="J317" s="18">
        <f>IF($A317&gt;'1-Input'!$B$26,0,(MAX(0,I286-IF($A317&gt;='1-Input'!$C$12,'1-Input'!$B$12,0))-MIN(MAX(M316,0),MAX(0,I286-IF($A317&gt;='1-Input'!$C$12,'1-Input'!$B$12,0))))*(1/(1-'P-Parametri'!$B$6*I317))+MIN(MAX(0,N316-(MAX(0,I286-IF($A317&gt;='1-Input'!$C$12,'1-Input'!$B$12,0))-MIN(MAX(M316,0),MAX(0,I286-IF($A317&gt;='1-Input'!$C$12,'1-Input'!$B$12,0))))*(1/(1-'P-Parametri'!$B$6*I317))),MAX(0,5*MAX(0,I286-IF($A317&gt;='1-Input'!$C$12,'1-Input'!$B$12,0))-(M316-MIN(MAX(M316,0),MAX(0,I286-IF($A317&gt;='1-Input'!$C$12,'1-Input'!$B$12,0)))))*(1/(1-'P-Parametri'!$B$6*I317))))</f>
        <v>10846.756992928691</v>
      </c>
      <c r="K317" s="18">
        <f>IF($A317&gt;'1-Input'!$B$26,M316,(M316-MAX(0,I286-IF($A317&gt;='1-Input'!$C$12,'1-Input'!$B$12,0))+J317*(1-'P-Parametri'!$B$6*I317))*(1+'1-Input'!$B$27))</f>
        <v>0</v>
      </c>
      <c r="L317" s="18">
        <f>IF($A317&gt;'1-Input'!$B$26,N316,(N316-J317)*(1+'5-Roberta'!$C$4))</f>
        <v>-106311.95404341684</v>
      </c>
      <c r="M317" s="18">
        <f>IF($A317&gt;'1-Input'!$B$26,K317,K317-'P-Parametri'!$B$8*(L317+K317)+MIN(MAX(L317,0),'P-Parametri'!$B$8*(L317+K317)))</f>
        <v>0</v>
      </c>
      <c r="N317" s="18">
        <f>IF($A317&gt;'1-Input'!$B$26,L317,L317-MIN(MAX(L317,0),'P-Parametri'!$B$8*(L317+K317)))</f>
        <v>-106099.33013533</v>
      </c>
      <c r="O317" s="18">
        <f>IF($A317&gt;'1-Input'!$B$26,O316,O316-J317*(1-I317))</f>
        <v>-92929.184597347077</v>
      </c>
      <c r="P317" s="11">
        <f>IF($A317&gt;'1-Input'!$B$26,0,IF(U316&lt;=0,0,MAX(0,(U316-V316)/U316)))</f>
        <v>0.62337892074763657</v>
      </c>
      <c r="Q317" s="18">
        <f>IF($A317&gt;'1-Input'!$B$26,0,(MAX(0,P286-IF($A317&gt;='1-Input'!$C$12,'1-Input'!$B$12,0))-MIN(MAX(T316,0),MAX(0,P286-IF($A317&gt;='1-Input'!$C$12,'1-Input'!$B$12,0))))*(1/(1-'P-Parametri'!$B$6*P317))+MIN(MAX(0,U316-(MAX(0,P286-IF($A317&gt;='1-Input'!$C$12,'1-Input'!$B$12,0))-MIN(MAX(T316,0),MAX(0,P286-IF($A317&gt;='1-Input'!$C$12,'1-Input'!$B$12,0))))*(1/(1-'P-Parametri'!$B$6*P317))),MAX(0,5*MAX(0,P286-IF($A317&gt;='1-Input'!$C$12,'1-Input'!$B$12,0))-(T316-MIN(MAX(T316,0),MAX(0,P286-IF($A317&gt;='1-Input'!$C$12,'1-Input'!$B$12,0)))))*(1/(1-'P-Parametri'!$B$6*P317))))</f>
        <v>0</v>
      </c>
      <c r="R317" s="18">
        <f>IF($A317&gt;'1-Input'!$B$26,T316,(T316-MAX(0,P286-IF($A317&gt;='1-Input'!$C$12,'1-Input'!$B$12,0))+Q317*(1-'P-Parametri'!$B$6*P317))*(1+'1-Input'!$B$27))</f>
        <v>41523.127274801453</v>
      </c>
      <c r="S317" s="18">
        <f>IF($A317&gt;'1-Input'!$B$26,U316,(U316-Q317)*(1+'5-Roberta'!$C$4))</f>
        <v>56070.852714041488</v>
      </c>
      <c r="T317" s="18">
        <f>IF($A317&gt;'1-Input'!$B$26,R317,R317-'P-Parametri'!$B$8*(S317+R317)+MIN(MAX(S317,0),'P-Parametri'!$B$8*(S317+R317)))</f>
        <v>41523.127274801453</v>
      </c>
      <c r="U317" s="18">
        <f>IF($A317&gt;'1-Input'!$B$26,S317,S317-MIN(MAX(S317,0),'P-Parametri'!$B$8*(S317+R317)))</f>
        <v>55875.664754063801</v>
      </c>
      <c r="V317" s="18">
        <f>IF($A317&gt;'1-Input'!$B$26,V316,V316-Q317*(1-P317))</f>
        <v>20502.393265788945</v>
      </c>
      <c r="W317" s="11">
        <f>IF($A317&gt;'1-Input'!$B$26,0,IF(AB316&lt;=0,0,MAX(0,(AB316-AC316)/AB316)))</f>
        <v>0.62384870351129618</v>
      </c>
      <c r="X317" s="18">
        <f>IF($A317&gt;'1-Input'!$B$26,0,(MAX(0,W286-IF($A317&gt;='1-Input'!$C$12,'1-Input'!$B$12,0))-MIN(MAX(AA316,0),MAX(0,W286-IF($A317&gt;='1-Input'!$C$12,'1-Input'!$B$12,0))))*(1/(1-'P-Parametri'!$B$6*W317))+MIN(MAX(0,AB316-(MAX(0,W286-IF($A317&gt;='1-Input'!$C$12,'1-Input'!$B$12,0))-MIN(MAX(AA316,0),MAX(0,W286-IF($A317&gt;='1-Input'!$C$12,'1-Input'!$B$12,0))))*(1/(1-'P-Parametri'!$B$6*W317))),MAX(0,5*MAX(0,W286-IF($A317&gt;='1-Input'!$C$12,'1-Input'!$B$12,0))-(AA316-MIN(MAX(AA316,0),MAX(0,W286-IF($A317&gt;='1-Input'!$C$12,'1-Input'!$B$12,0)))))*(1/(1-'P-Parametri'!$B$6*W317))))</f>
        <v>0</v>
      </c>
      <c r="Y317" s="18">
        <f>IF($A317&gt;'1-Input'!$B$26,AA316,(AA316-MAX(0,W286-IF($A317&gt;='1-Input'!$C$12,'1-Input'!$B$12,0))+X317*(1-'P-Parametri'!$B$6*W317))*(1+'1-Input'!$B$27))</f>
        <v>41632.455666416303</v>
      </c>
      <c r="Z317" s="18">
        <f>IF($A317&gt;'1-Input'!$B$26,AB316,(AB316-X317)*(1+'5-Roberta'!$C$4))</f>
        <v>58936.43564198714</v>
      </c>
      <c r="AA317" s="18">
        <f>IF($A317&gt;'1-Input'!$B$26,Y317,Y317-'P-Parametri'!$B$8*(Z317+Y317)+MIN(MAX(Z317,0),'P-Parametri'!$B$8*(Z317+Y317)))</f>
        <v>41632.455666416303</v>
      </c>
      <c r="AB317" s="18">
        <f>IF($A317&gt;'1-Input'!$B$26,Z317,Z317-MIN(MAX(Z317,0),'P-Parametri'!$B$8*(Z317+Y317)))</f>
        <v>58735.29785937033</v>
      </c>
      <c r="AC317" s="18">
        <f>IF($A317&gt;'1-Input'!$B$26,AC316,AC316-X317*(1-W317))</f>
        <v>21523.31716228788</v>
      </c>
      <c r="AD317" s="11">
        <f>IF($A317&gt;'1-Input'!$B$26,0,IF(AI316&lt;=0,0,MAX(0,(AI316-AJ316)/AI316)))</f>
        <v>0.62385394530151095</v>
      </c>
      <c r="AE317" s="18">
        <f>IF($A317&gt;'1-Input'!$B$26,0,(MAX(0,AD286-IF($A317&gt;='1-Input'!$C$12,'1-Input'!$B$12,0))-MIN(MAX(AH316,0),MAX(0,AD286-IF($A317&gt;='1-Input'!$C$12,'1-Input'!$B$12,0))))*(1/(1-'P-Parametri'!$B$6*AD317))+MIN(MAX(0,AI316-(MAX(0,AD286-IF($A317&gt;='1-Input'!$C$12,'1-Input'!$B$12,0))-MIN(MAX(AH316,0),MAX(0,AD286-IF($A317&gt;='1-Input'!$C$12,'1-Input'!$B$12,0))))*(1/(1-'P-Parametri'!$B$6*AD317))),MAX(0,5*MAX(0,AD286-IF($A317&gt;='1-Input'!$C$12,'1-Input'!$B$12,0))-(AH316-MIN(MAX(AH316,0),MAX(0,AD286-IF($A317&gt;='1-Input'!$C$12,'1-Input'!$B$12,0)))))*(1/(1-'P-Parametri'!$B$6*AD317))))</f>
        <v>0</v>
      </c>
      <c r="AF317" s="18">
        <f>IF($A317&gt;'1-Input'!$B$26,AH316,(AH316-MAX(0,AD286-IF($A317&gt;='1-Input'!$C$12,'1-Input'!$B$12,0))+AE317*(1-'P-Parametri'!$B$6*AD317))*(1+'1-Input'!$B$27))</f>
        <v>41633.728799509088</v>
      </c>
      <c r="AG317" s="18">
        <f>IF($A317&gt;'1-Input'!$B$26,AI316,(AI316-AE317)*(1+'5-Roberta'!$C$4))</f>
        <v>58969.806387104225</v>
      </c>
      <c r="AH317" s="18">
        <f>IF($A317&gt;'1-Input'!$B$26,AF317,AF317-'P-Parametri'!$B$8*(AG317+AF317)+MIN(MAX(AG317,0),'P-Parametri'!$B$8*(AG317+AF317)))</f>
        <v>41633.728799509088</v>
      </c>
      <c r="AI317" s="18">
        <f>IF($A317&gt;'1-Input'!$B$26,AG317,AG317-MIN(MAX(AG317,0),'P-Parametri'!$B$8*(AG317+AF317)))</f>
        <v>58768.599316731001</v>
      </c>
      <c r="AJ317" s="18">
        <f>IF($A317&gt;'1-Input'!$B$26,AJ316,AJ316-AE317*(1-AD317))</f>
        <v>21535.203901789333</v>
      </c>
      <c r="AK317" s="11">
        <f>IF($A317&gt;'1-Input'!$B$26,0,IF(AP316&lt;=0,0,MAX(0,(AP316-AQ316)/AP316)))</f>
        <v>0.62385382628054409</v>
      </c>
      <c r="AL317" s="18">
        <f>IF($A317&gt;'1-Input'!$B$26,0,(MAX(0,AK286-IF($A317&gt;='1-Input'!$C$12,'1-Input'!$B$12,0))-MIN(MAX(AO316,0),MAX(0,AK286-IF($A317&gt;='1-Input'!$C$12,'1-Input'!$B$12,0))))*(1/(1-'P-Parametri'!$B$6*AK317))+MIN(MAX(0,AP316-(MAX(0,AK286-IF($A317&gt;='1-Input'!$C$12,'1-Input'!$B$12,0))-MIN(MAX(AO316,0),MAX(0,AK286-IF($A317&gt;='1-Input'!$C$12,'1-Input'!$B$12,0))))*(1/(1-'P-Parametri'!$B$6*AK317))),MAX(0,5*MAX(0,AK286-IF($A317&gt;='1-Input'!$C$12,'1-Input'!$B$12,0))-(AO316-MIN(MAX(AO316,0),MAX(0,AK286-IF($A317&gt;='1-Input'!$C$12,'1-Input'!$B$12,0)))))*(1/(1-'P-Parametri'!$B$6*AK317))))</f>
        <v>0</v>
      </c>
      <c r="AM317" s="18">
        <f>IF($A317&gt;'1-Input'!$B$26,AO316,(AO316-MAX(0,AK286-IF($A317&gt;='1-Input'!$C$12,'1-Input'!$B$12,0))+AL317*(1-'P-Parametri'!$B$6*AK317))*(1+'1-Input'!$B$27))</f>
        <v>41633.69987798993</v>
      </c>
      <c r="AN317" s="18">
        <f>IF($A317&gt;'1-Input'!$B$26,AP316,(AP316-AL317)*(1+'5-Roberta'!$C$4))</f>
        <v>58969.04831008472</v>
      </c>
      <c r="AO317" s="18">
        <f>IF($A317&gt;'1-Input'!$B$26,AM317,AM317-'P-Parametri'!$B$8*(AN317+AM317)+MIN(MAX(AN317,0),'P-Parametri'!$B$8*(AN317+AM317)))</f>
        <v>41633.69987798993</v>
      </c>
      <c r="AP317" s="18">
        <f>IF($A317&gt;'1-Input'!$B$26,AN317,AN317-MIN(MAX(AN317,0),'P-Parametri'!$B$8*(AN317+AM317)))</f>
        <v>58767.842813708572</v>
      </c>
      <c r="AQ317" s="18">
        <f>IF($A317&gt;'1-Input'!$B$26,AQ316,AQ316-AL317*(1-AK317))</f>
        <v>21534.933873510789</v>
      </c>
    </row>
    <row r="318" spans="1:43">
      <c r="A318" s="10">
        <f>30</f>
        <v>30</v>
      </c>
      <c r="B318" s="11">
        <f>IF($A318&gt;'1-Input'!$B$26,0,IF(G317&lt;=0,0,MAX(0,(G317-H317)/G317)))</f>
        <v>0.63642722520021622</v>
      </c>
      <c r="C318" s="18">
        <f>IF($A318&gt;'1-Input'!$B$26,0,(MAX(0,B286-IF($A318&gt;='1-Input'!$C$12,'1-Input'!$B$12,0))-MIN(MAX(F317,0),MAX(0,B286-IF($A318&gt;='1-Input'!$C$12,'1-Input'!$B$12,0))))*(1/(1-'P-Parametri'!$B$6*B318))+MIN(MAX(0,G317-(MAX(0,B286-IF($A318&gt;='1-Input'!$C$12,'1-Input'!$B$12,0))-MIN(MAX(F317,0),MAX(0,B286-IF($A318&gt;='1-Input'!$C$12,'1-Input'!$B$12,0))))*(1/(1-'P-Parametri'!$B$6*B318))),MAX(0,5*MAX(0,B286-IF($A318&gt;='1-Input'!$C$12,'1-Input'!$B$12,0))-(F317-MIN(MAX(F317,0),MAX(0,B286-IF($A318&gt;='1-Input'!$C$12,'1-Input'!$B$12,0)))))*(1/(1-'P-Parametri'!$B$6*B318))))</f>
        <v>0</v>
      </c>
      <c r="D318" s="18">
        <f>IF($A318&gt;'1-Input'!$B$26,F317,(F317-MAX(0,B286-IF($A318&gt;='1-Input'!$C$12,'1-Input'!$B$12,0))+C318*(1-'P-Parametri'!$B$6*B318))*(1+'1-Input'!$B$27))</f>
        <v>36826.096211375538</v>
      </c>
      <c r="E318" s="18">
        <f>IF($A318&gt;'1-Input'!$B$26,G317,(G317-C318)*(1+'5-Roberta'!$C$4))</f>
        <v>84904.753969560566</v>
      </c>
      <c r="F318" s="18">
        <f>IF($A318&gt;'1-Input'!$B$26,D318,D318-'P-Parametri'!$B$8*(E318+D318)+MIN(MAX(E318,0),'P-Parametri'!$B$8*(E318+D318)))</f>
        <v>36826.096211375538</v>
      </c>
      <c r="G318" s="18">
        <f>IF($A318&gt;'1-Input'!$B$26,E318,E318-MIN(MAX(E318,0),'P-Parametri'!$B$8*(E318+D318)))</f>
        <v>84661.29226919869</v>
      </c>
      <c r="H318" s="18">
        <f>IF($A318&gt;'1-Input'!$B$26,H317,H317-C318*(1-B318))</f>
        <v>29969.958246996201</v>
      </c>
      <c r="I318" s="11">
        <f>IF($A318&gt;'1-Input'!$B$26,0,IF(N317&lt;=0,0,MAX(0,(N317-O317)/N317)))</f>
        <v>0</v>
      </c>
      <c r="J318" s="18">
        <f>IF($A318&gt;'1-Input'!$B$26,0,(MAX(0,I286-IF($A318&gt;='1-Input'!$C$12,'1-Input'!$B$12,0))-MIN(MAX(M317,0),MAX(0,I286-IF($A318&gt;='1-Input'!$C$12,'1-Input'!$B$12,0))))*(1/(1-'P-Parametri'!$B$6*I318))+MIN(MAX(0,N317-(MAX(0,I286-IF($A318&gt;='1-Input'!$C$12,'1-Input'!$B$12,0))-MIN(MAX(M317,0),MAX(0,I286-IF($A318&gt;='1-Input'!$C$12,'1-Input'!$B$12,0))))*(1/(1-'P-Parametri'!$B$6*I318))),MAX(0,5*MAX(0,I286-IF($A318&gt;='1-Input'!$C$12,'1-Input'!$B$12,0))-(M317-MIN(MAX(M317,0),MAX(0,I286-IF($A318&gt;='1-Input'!$C$12,'1-Input'!$B$12,0)))))*(1/(1-'P-Parametri'!$B$6*I318))))</f>
        <v>10846.756992928691</v>
      </c>
      <c r="K318" s="18">
        <f>IF($A318&gt;'1-Input'!$B$26,M317,(M317-MAX(0,I286-IF($A318&gt;='1-Input'!$C$12,'1-Input'!$B$12,0))+J318*(1-'P-Parametri'!$B$6*I318))*(1+'1-Input'!$B$27))</f>
        <v>0</v>
      </c>
      <c r="L318" s="18">
        <f>IF($A318&gt;'1-Input'!$B$26,N317,(N317-J318)*(1+'5-Roberta'!$C$4))</f>
        <v>-120454.46974210645</v>
      </c>
      <c r="M318" s="18">
        <f>IF($A318&gt;'1-Input'!$B$26,K318,K318-'P-Parametri'!$B$8*(L318+K318)+MIN(MAX(L318,0),'P-Parametri'!$B$8*(L318+K318)))</f>
        <v>0</v>
      </c>
      <c r="N318" s="18">
        <f>IF($A318&gt;'1-Input'!$B$26,L318,L318-MIN(MAX(L318,0),'P-Parametri'!$B$8*(L318+K318)))</f>
        <v>-120213.56080262223</v>
      </c>
      <c r="O318" s="18">
        <f>IF($A318&gt;'1-Input'!$B$26,O317,O317-J318*(1-I318))</f>
        <v>-103775.94159027576</v>
      </c>
      <c r="P318" s="11">
        <f>IF($A318&gt;'1-Input'!$B$26,0,IF(U317&lt;=0,0,MAX(0,(U317-V317)/U317)))</f>
        <v>0.63307115260229951</v>
      </c>
      <c r="Q318" s="18">
        <f>IF($A318&gt;'1-Input'!$B$26,0,(MAX(0,P286-IF($A318&gt;='1-Input'!$C$12,'1-Input'!$B$12,0))-MIN(MAX(T317,0),MAX(0,P286-IF($A318&gt;='1-Input'!$C$12,'1-Input'!$B$12,0))))*(1/(1-'P-Parametri'!$B$6*P318))+MIN(MAX(0,U317-(MAX(0,P286-IF($A318&gt;='1-Input'!$C$12,'1-Input'!$B$12,0))-MIN(MAX(T317,0),MAX(0,P286-IF($A318&gt;='1-Input'!$C$12,'1-Input'!$B$12,0))))*(1/(1-'P-Parametri'!$B$6*P318))),MAX(0,5*MAX(0,P286-IF($A318&gt;='1-Input'!$C$12,'1-Input'!$B$12,0))-(T317-MIN(MAX(T317,0),MAX(0,P286-IF($A318&gt;='1-Input'!$C$12,'1-Input'!$B$12,0)))))*(1/(1-'P-Parametri'!$B$6*P318))))</f>
        <v>0</v>
      </c>
      <c r="R318" s="18">
        <f>IF($A318&gt;'1-Input'!$B$26,T317,(T317-MAX(0,P286-IF($A318&gt;='1-Input'!$C$12,'1-Input'!$B$12,0))+Q318*(1-'P-Parametri'!$B$6*P318))*(1+'1-Input'!$B$27))</f>
        <v>35319.39272934926</v>
      </c>
      <c r="S318" s="18">
        <f>IF($A318&gt;'1-Input'!$B$26,U317,(U317-Q318)*(1+'5-Roberta'!$C$4))</f>
        <v>57551.934696685719</v>
      </c>
      <c r="T318" s="18">
        <f>IF($A318&gt;'1-Input'!$B$26,R318,R318-'P-Parametri'!$B$8*(S318+R318)+MIN(MAX(S318,0),'P-Parametri'!$B$8*(S318+R318)))</f>
        <v>35319.39272934926</v>
      </c>
      <c r="U318" s="18">
        <f>IF($A318&gt;'1-Input'!$B$26,S318,S318-MIN(MAX(S318,0),'P-Parametri'!$B$8*(S318+R318)))</f>
        <v>57366.192041833652</v>
      </c>
      <c r="V318" s="18">
        <f>IF($A318&gt;'1-Input'!$B$26,V317,V317-Q318*(1-P318))</f>
        <v>20502.393265788945</v>
      </c>
      <c r="W318" s="11">
        <f>IF($A318&gt;'1-Input'!$B$26,0,IF(AB317&lt;=0,0,MAX(0,(AB317-AC317)/AB317)))</f>
        <v>0.63355396249422169</v>
      </c>
      <c r="X318" s="18">
        <f>IF($A318&gt;'1-Input'!$B$26,0,(MAX(0,W286-IF($A318&gt;='1-Input'!$C$12,'1-Input'!$B$12,0))-MIN(MAX(AA317,0),MAX(0,W286-IF($A318&gt;='1-Input'!$C$12,'1-Input'!$B$12,0))))*(1/(1-'P-Parametri'!$B$6*W318))+MIN(MAX(0,AB317-(MAX(0,W286-IF($A318&gt;='1-Input'!$C$12,'1-Input'!$B$12,0))-MIN(MAX(AA317,0),MAX(0,W286-IF($A318&gt;='1-Input'!$C$12,'1-Input'!$B$12,0))))*(1/(1-'P-Parametri'!$B$6*W318))),MAX(0,5*MAX(0,W286-IF($A318&gt;='1-Input'!$C$12,'1-Input'!$B$12,0))-(AA317-MIN(MAX(AA317,0),MAX(0,W286-IF($A318&gt;='1-Input'!$C$12,'1-Input'!$B$12,0)))))*(1/(1-'P-Parametri'!$B$6*W318))))</f>
        <v>0</v>
      </c>
      <c r="Y318" s="18">
        <f>IF($A318&gt;'1-Input'!$B$26,AA317,(AA317-MAX(0,W286-IF($A318&gt;='1-Input'!$C$12,'1-Input'!$B$12,0))+X318*(1-'P-Parametri'!$B$6*W318))*(1+'1-Input'!$B$27))</f>
        <v>35481.671490271154</v>
      </c>
      <c r="Z318" s="18">
        <f>IF($A318&gt;'1-Input'!$B$26,AB317,(AB317-X318)*(1+'5-Roberta'!$C$4))</f>
        <v>60497.356795151441</v>
      </c>
      <c r="AA318" s="18">
        <f>IF($A318&gt;'1-Input'!$B$26,Y318,Y318-'P-Parametri'!$B$8*(Z318+Y318)+MIN(MAX(Z318,0),'P-Parametri'!$B$8*(Z318+Y318)))</f>
        <v>35481.671490271154</v>
      </c>
      <c r="AB318" s="18">
        <f>IF($A318&gt;'1-Input'!$B$26,Z318,Z318-MIN(MAX(Z318,0),'P-Parametri'!$B$8*(Z318+Y318)))</f>
        <v>60305.398738580596</v>
      </c>
      <c r="AC318" s="18">
        <f>IF($A318&gt;'1-Input'!$B$26,AC317,AC317-X318*(1-W318))</f>
        <v>21523.31716228788</v>
      </c>
      <c r="AD318" s="11">
        <f>IF($A318&gt;'1-Input'!$B$26,0,IF(AI317&lt;=0,0,MAX(0,(AI317-AJ317)/AI317)))</f>
        <v>0.63355934713151463</v>
      </c>
      <c r="AE318" s="18">
        <f>IF($A318&gt;'1-Input'!$B$26,0,(MAX(0,AD286-IF($A318&gt;='1-Input'!$C$12,'1-Input'!$B$12,0))-MIN(MAX(AH317,0),MAX(0,AD286-IF($A318&gt;='1-Input'!$C$12,'1-Input'!$B$12,0))))*(1/(1-'P-Parametri'!$B$6*AD318))+MIN(MAX(0,AI317-(MAX(0,AD286-IF($A318&gt;='1-Input'!$C$12,'1-Input'!$B$12,0))-MIN(MAX(AH317,0),MAX(0,AD286-IF($A318&gt;='1-Input'!$C$12,'1-Input'!$B$12,0))))*(1/(1-'P-Parametri'!$B$6*AD318))),MAX(0,5*MAX(0,AD286-IF($A318&gt;='1-Input'!$C$12,'1-Input'!$B$12,0))-(AH317-MIN(MAX(AH317,0),MAX(0,AD286-IF($A318&gt;='1-Input'!$C$12,'1-Input'!$B$12,0)))))*(1/(1-'P-Parametri'!$B$6*AD318))))</f>
        <v>0</v>
      </c>
      <c r="AF318" s="18">
        <f>IF($A318&gt;'1-Input'!$B$26,AH317,(AH317-MAX(0,AD286-IF($A318&gt;='1-Input'!$C$12,'1-Input'!$B$12,0))+AE318*(1-'P-Parametri'!$B$6*AD318))*(1+'1-Input'!$B$27))</f>
        <v>35483.561232338456</v>
      </c>
      <c r="AG318" s="18">
        <f>IF($A318&gt;'1-Input'!$B$26,AI317,(AI317-AE318)*(1+'5-Roberta'!$C$4))</f>
        <v>60531.65729623293</v>
      </c>
      <c r="AH318" s="18">
        <f>IF($A318&gt;'1-Input'!$B$26,AF318,AF318-'P-Parametri'!$B$8*(AG318+AF318)+MIN(MAX(AG318,0),'P-Parametri'!$B$8*(AG318+AF318)))</f>
        <v>35483.561232338456</v>
      </c>
      <c r="AI318" s="18">
        <f>IF($A318&gt;'1-Input'!$B$26,AG318,AG318-MIN(MAX(AG318,0),'P-Parametri'!$B$8*(AG318+AF318)))</f>
        <v>60339.626859175791</v>
      </c>
      <c r="AJ318" s="18">
        <f>IF($A318&gt;'1-Input'!$B$26,AJ317,AJ317-AE318*(1-AD318))</f>
        <v>21535.203901789333</v>
      </c>
      <c r="AK318" s="11">
        <f>IF($A318&gt;'1-Input'!$B$26,0,IF(AP317&lt;=0,0,MAX(0,(AP317-AQ317)/AP317)))</f>
        <v>0.6335592248676617</v>
      </c>
      <c r="AL318" s="18">
        <f>IF($A318&gt;'1-Input'!$B$26,0,(MAX(0,AK286-IF($A318&gt;='1-Input'!$C$12,'1-Input'!$B$12,0))-MIN(MAX(AO317,0),MAX(0,AK286-IF($A318&gt;='1-Input'!$C$12,'1-Input'!$B$12,0))))*(1/(1-'P-Parametri'!$B$6*AK318))+MIN(MAX(0,AP317-(MAX(0,AK286-IF($A318&gt;='1-Input'!$C$12,'1-Input'!$B$12,0))-MIN(MAX(AO317,0),MAX(0,AK286-IF($A318&gt;='1-Input'!$C$12,'1-Input'!$B$12,0))))*(1/(1-'P-Parametri'!$B$6*AK318))),MAX(0,5*MAX(0,AK286-IF($A318&gt;='1-Input'!$C$12,'1-Input'!$B$12,0))-(AO317-MIN(MAX(AO317,0),MAX(0,AK286-IF($A318&gt;='1-Input'!$C$12,'1-Input'!$B$12,0)))))*(1/(1-'P-Parametri'!$B$6*AK318))))</f>
        <v>0</v>
      </c>
      <c r="AM318" s="18">
        <f>IF($A318&gt;'1-Input'!$B$26,AO317,(AO317-MAX(0,AK286-IF($A318&gt;='1-Input'!$C$12,'1-Input'!$B$12,0))+AL318*(1-'P-Parametri'!$B$6*AK318))*(1+'1-Input'!$B$27))</f>
        <v>35483.518303432043</v>
      </c>
      <c r="AN318" s="18">
        <f>IF($A318&gt;'1-Input'!$B$26,AP317,(AP317-AL318)*(1+'5-Roberta'!$C$4))</f>
        <v>60530.878098119829</v>
      </c>
      <c r="AO318" s="18">
        <f>IF($A318&gt;'1-Input'!$B$26,AM318,AM318-'P-Parametri'!$B$8*(AN318+AM318)+MIN(MAX(AN318,0),'P-Parametri'!$B$8*(AN318+AM318)))</f>
        <v>35483.518303432043</v>
      </c>
      <c r="AP318" s="18">
        <f>IF($A318&gt;'1-Input'!$B$26,AN318,AN318-MIN(MAX(AN318,0),'P-Parametri'!$B$8*(AN318+AM318)))</f>
        <v>60338.849305316726</v>
      </c>
      <c r="AQ318" s="18">
        <f>IF($A318&gt;'1-Input'!$B$26,AQ317,AQ317-AL318*(1-AK318))</f>
        <v>21534.933873510789</v>
      </c>
    </row>
    <row r="319" spans="1:43">
      <c r="A319" s="10">
        <f>31</f>
        <v>31</v>
      </c>
      <c r="B319" s="11">
        <f>IF($A319&gt;'1-Input'!$B$26,0,IF(G318&lt;=0,0,MAX(0,(G318-H318)/G318)))</f>
        <v>0.64600164439139074</v>
      </c>
      <c r="C319" s="18">
        <f>IF($A319&gt;'1-Input'!$B$26,0,(MAX(0,B286-IF($A319&gt;='1-Input'!$C$12,'1-Input'!$B$12,0))-MIN(MAX(F318,0),MAX(0,B286-IF($A319&gt;='1-Input'!$C$12,'1-Input'!$B$12,0))))*(1/(1-'P-Parametri'!$B$6*B319))+MIN(MAX(0,G318-(MAX(0,B286-IF($A319&gt;='1-Input'!$C$12,'1-Input'!$B$12,0))-MIN(MAX(F318,0),MAX(0,B286-IF($A319&gt;='1-Input'!$C$12,'1-Input'!$B$12,0))))*(1/(1-'P-Parametri'!$B$6*B319))),MAX(0,5*MAX(0,B286-IF($A319&gt;='1-Input'!$C$12,'1-Input'!$B$12,0))-(F318-MIN(MAX(F318,0),MAX(0,B286-IF($A319&gt;='1-Input'!$C$12,'1-Input'!$B$12,0)))))*(1/(1-'P-Parametri'!$B$6*B319))))</f>
        <v>0</v>
      </c>
      <c r="D319" s="18">
        <f>IF($A319&gt;'1-Input'!$B$26,F318,(F318-MAX(0,B286-IF($A319&gt;='1-Input'!$C$12,'1-Input'!$B$12,0))+C319*(1-'P-Parametri'!$B$6*B319))*(1+'1-Input'!$B$27))</f>
        <v>31134.551549521435</v>
      </c>
      <c r="E319" s="18">
        <f>IF($A319&gt;'1-Input'!$B$26,G318,(G318-C319)*(1+'5-Roberta'!$C$4))</f>
        <v>87201.131037274652</v>
      </c>
      <c r="F319" s="18">
        <f>IF($A319&gt;'1-Input'!$B$26,D319,D319-'P-Parametri'!$B$8*(E319+D319)+MIN(MAX(E319,0),'P-Parametri'!$B$8*(E319+D319)))</f>
        <v>31134.551549521435</v>
      </c>
      <c r="G319" s="18">
        <f>IF($A319&gt;'1-Input'!$B$26,E319,E319-MIN(MAX(E319,0),'P-Parametri'!$B$8*(E319+D319)))</f>
        <v>86964.45967210106</v>
      </c>
      <c r="H319" s="18">
        <f>IF($A319&gt;'1-Input'!$B$26,H318,H318-C319*(1-B319))</f>
        <v>29969.958246996201</v>
      </c>
      <c r="I319" s="11">
        <f>IF($A319&gt;'1-Input'!$B$26,0,IF(N318&lt;=0,0,MAX(0,(N318-O318)/N318)))</f>
        <v>0</v>
      </c>
      <c r="J319" s="18">
        <f>IF($A319&gt;'1-Input'!$B$26,0,(MAX(0,I286-IF($A319&gt;='1-Input'!$C$12,'1-Input'!$B$12,0))-MIN(MAX(M318,0),MAX(0,I286-IF($A319&gt;='1-Input'!$C$12,'1-Input'!$B$12,0))))*(1/(1-'P-Parametri'!$B$6*I319))+MIN(MAX(0,N318-(MAX(0,I286-IF($A319&gt;='1-Input'!$C$12,'1-Input'!$B$12,0))-MIN(MAX(M318,0),MAX(0,I286-IF($A319&gt;='1-Input'!$C$12,'1-Input'!$B$12,0))))*(1/(1-'P-Parametri'!$B$6*I319))),MAX(0,5*MAX(0,I286-IF($A319&gt;='1-Input'!$C$12,'1-Input'!$B$12,0))-(M318-MIN(MAX(M318,0),MAX(0,I286-IF($A319&gt;='1-Input'!$C$12,'1-Input'!$B$12,0)))))*(1/(1-'P-Parametri'!$B$6*I319))))</f>
        <v>10846.756992928691</v>
      </c>
      <c r="K319" s="18">
        <f>IF($A319&gt;'1-Input'!$B$26,M318,(M318-MAX(0,I286-IF($A319&gt;='1-Input'!$C$12,'1-Input'!$B$12,0))+J319*(1-'P-Parametri'!$B$6*I319))*(1+'1-Input'!$B$27))</f>
        <v>0</v>
      </c>
      <c r="L319" s="18">
        <f>IF($A319&gt;'1-Input'!$B$26,N318,(N318-J319)*(1+'5-Roberta'!$C$4))</f>
        <v>-134992.12732941745</v>
      </c>
      <c r="M319" s="18">
        <f>IF($A319&gt;'1-Input'!$B$26,K319,K319-'P-Parametri'!$B$8*(L319+K319)+MIN(MAX(L319,0),'P-Parametri'!$B$8*(L319+K319)))</f>
        <v>0</v>
      </c>
      <c r="N319" s="18">
        <f>IF($A319&gt;'1-Input'!$B$26,L319,L319-MIN(MAX(L319,0),'P-Parametri'!$B$8*(L319+K319)))</f>
        <v>-134722.14307475861</v>
      </c>
      <c r="O319" s="18">
        <f>IF($A319&gt;'1-Input'!$B$26,O318,O318-J319*(1-I319))</f>
        <v>-114622.69858320444</v>
      </c>
      <c r="P319" s="11">
        <f>IF($A319&gt;'1-Input'!$B$26,0,IF(U318&lt;=0,0,MAX(0,(U318-V318)/U318)))</f>
        <v>0.64260494664108425</v>
      </c>
      <c r="Q319" s="18">
        <f>IF($A319&gt;'1-Input'!$B$26,0,(MAX(0,P286-IF($A319&gt;='1-Input'!$C$12,'1-Input'!$B$12,0))-MIN(MAX(T318,0),MAX(0,P286-IF($A319&gt;='1-Input'!$C$12,'1-Input'!$B$12,0))))*(1/(1-'P-Parametri'!$B$6*P319))+MIN(MAX(0,U318-(MAX(0,P286-IF($A319&gt;='1-Input'!$C$12,'1-Input'!$B$12,0))-MIN(MAX(T318,0),MAX(0,P286-IF($A319&gt;='1-Input'!$C$12,'1-Input'!$B$12,0))))*(1/(1-'P-Parametri'!$B$6*P319))),MAX(0,5*MAX(0,P286-IF($A319&gt;='1-Input'!$C$12,'1-Input'!$B$12,0))-(T318-MIN(MAX(T318,0),MAX(0,P286-IF($A319&gt;='1-Input'!$C$12,'1-Input'!$B$12,0)))))*(1/(1-'P-Parametri'!$B$6*P319))))</f>
        <v>1365.5040048677893</v>
      </c>
      <c r="R319" s="18">
        <f>IF($A319&gt;'1-Input'!$B$26,T318,(T318-MAX(0,P286-IF($A319&gt;='1-Input'!$C$12,'1-Input'!$B$12,0))+Q319*(1-'P-Parametri'!$B$6*P319))*(1+'1-Input'!$B$27))</f>
        <v>30271.256436314517</v>
      </c>
      <c r="S319" s="18">
        <f>IF($A319&gt;'1-Input'!$B$26,U318,(U318-Q319)*(1+'5-Roberta'!$C$4))</f>
        <v>57680.708678074836</v>
      </c>
      <c r="T319" s="18">
        <f>IF($A319&gt;'1-Input'!$B$26,R319,R319-'P-Parametri'!$B$8*(S319+R319)+MIN(MAX(S319,0),'P-Parametri'!$B$8*(S319+R319)))</f>
        <v>30271.256436314517</v>
      </c>
      <c r="U319" s="18">
        <f>IF($A319&gt;'1-Input'!$B$26,S319,S319-MIN(MAX(S319,0),'P-Parametri'!$B$8*(S319+R319)))</f>
        <v>57504.804747846058</v>
      </c>
      <c r="V319" s="18">
        <f>IF($A319&gt;'1-Input'!$B$26,V318,V318-Q319*(1-P319))</f>
        <v>20014.368889107409</v>
      </c>
      <c r="W319" s="11">
        <f>IF($A319&gt;'1-Input'!$B$26,0,IF(AB318&lt;=0,0,MAX(0,(AB318-AC318)/AB318)))</f>
        <v>0.64309468783068902</v>
      </c>
      <c r="X319" s="18">
        <f>IF($A319&gt;'1-Input'!$B$26,0,(MAX(0,W286-IF($A319&gt;='1-Input'!$C$12,'1-Input'!$B$12,0))-MIN(MAX(AA318,0),MAX(0,W286-IF($A319&gt;='1-Input'!$C$12,'1-Input'!$B$12,0))))*(1/(1-'P-Parametri'!$B$6*W319))+MIN(MAX(0,AB318-(MAX(0,W286-IF($A319&gt;='1-Input'!$C$12,'1-Input'!$B$12,0))-MIN(MAX(AA318,0),MAX(0,W286-IF($A319&gt;='1-Input'!$C$12,'1-Input'!$B$12,0))))*(1/(1-'P-Parametri'!$B$6*W319))),MAX(0,5*MAX(0,W286-IF($A319&gt;='1-Input'!$C$12,'1-Input'!$B$12,0))-(AA318-MIN(MAX(AA318,0),MAX(0,W286-IF($A319&gt;='1-Input'!$C$12,'1-Input'!$B$12,0)))))*(1/(1-'P-Parametri'!$B$6*W319))))</f>
        <v>785.13936789270258</v>
      </c>
      <c r="Y319" s="18">
        <f>IF($A319&gt;'1-Input'!$B$26,AA318,(AA318-MAX(0,W286-IF($A319&gt;='1-Input'!$C$12,'1-Input'!$B$12,0))+X319*(1-'P-Parametri'!$B$6*W319))*(1+'1-Input'!$B$27))</f>
        <v>30004.536678730263</v>
      </c>
      <c r="Z319" s="18">
        <f>IF($A319&gt;'1-Input'!$B$26,AB318,(AB318-X319)*(1+'5-Roberta'!$C$4))</f>
        <v>61305.867151808532</v>
      </c>
      <c r="AA319" s="18">
        <f>IF($A319&gt;'1-Input'!$B$26,Y319,Y319-'P-Parametri'!$B$8*(Z319+Y319)+MIN(MAX(Z319,0),'P-Parametri'!$B$8*(Z319+Y319)))</f>
        <v>30004.536678730263</v>
      </c>
      <c r="AB319" s="18">
        <f>IF($A319&gt;'1-Input'!$B$26,Z319,Z319-MIN(MAX(Z319,0),'P-Parametri'!$B$8*(Z319+Y319)))</f>
        <v>61123.246344147454</v>
      </c>
      <c r="AC319" s="18">
        <f>IF($A319&gt;'1-Input'!$B$26,AC318,AC318-X319*(1-W319))</f>
        <v>21243.096751093719</v>
      </c>
      <c r="AD319" s="11">
        <f>IF($A319&gt;'1-Input'!$B$26,0,IF(AI318&lt;=0,0,MAX(0,(AI318-AJ318)/AI318)))</f>
        <v>0.64310014790032644</v>
      </c>
      <c r="AE319" s="18">
        <f>IF($A319&gt;'1-Input'!$B$26,0,(MAX(0,AD286-IF($A319&gt;='1-Input'!$C$12,'1-Input'!$B$12,0))-MIN(MAX(AH318,0),MAX(0,AD286-IF($A319&gt;='1-Input'!$C$12,'1-Input'!$B$12,0))))*(1/(1-'P-Parametri'!$B$6*AD319))+MIN(MAX(0,AI318-(MAX(0,AD286-IF($A319&gt;='1-Input'!$C$12,'1-Input'!$B$12,0))-MIN(MAX(AH318,0),MAX(0,AD286-IF($A319&gt;='1-Input'!$C$12,'1-Input'!$B$12,0))))*(1/(1-'P-Parametri'!$B$6*AD319))),MAX(0,5*MAX(0,AD286-IF($A319&gt;='1-Input'!$C$12,'1-Input'!$B$12,0))-(AH318-MIN(MAX(AH318,0),MAX(0,AD286-IF($A319&gt;='1-Input'!$C$12,'1-Input'!$B$12,0)))))*(1/(1-'P-Parametri'!$B$6*AD319))))</f>
        <v>778.37989618400115</v>
      </c>
      <c r="AF319" s="18">
        <f>IF($A319&gt;'1-Input'!$B$26,AH318,(AH318-MAX(0,AD286-IF($A319&gt;='1-Input'!$C$12,'1-Input'!$B$12,0))+AE319*(1-'P-Parametri'!$B$6*AD319))*(1+'1-Input'!$B$27))</f>
        <v>30001.430717462015</v>
      </c>
      <c r="AG319" s="18">
        <f>IF($A319&gt;'1-Input'!$B$26,AI318,(AI318-AE319)*(1+'5-Roberta'!$C$4))</f>
        <v>61348.084371881545</v>
      </c>
      <c r="AH319" s="18">
        <f>IF($A319&gt;'1-Input'!$B$26,AF319,AF319-'P-Parametri'!$B$8*(AG319+AF319)+MIN(MAX(AG319,0),'P-Parametri'!$B$8*(AG319+AF319)))</f>
        <v>30001.430717462015</v>
      </c>
      <c r="AI319" s="18">
        <f>IF($A319&gt;'1-Input'!$B$26,AG319,AG319-MIN(MAX(AG319,0),'P-Parametri'!$B$8*(AG319+AF319)))</f>
        <v>61165.385341702859</v>
      </c>
      <c r="AJ319" s="18">
        <f>IF($A319&gt;'1-Input'!$B$26,AJ318,AJ318-AE319*(1-AD319))</f>
        <v>21257.400231963904</v>
      </c>
      <c r="AK319" s="11">
        <f>IF($A319&gt;'1-Input'!$B$26,0,IF(AP318&lt;=0,0,MAX(0,(AP318-AQ318)/AP318)))</f>
        <v>0.64310002392416776</v>
      </c>
      <c r="AL319" s="18">
        <f>IF($A319&gt;'1-Input'!$B$26,0,(MAX(0,AK286-IF($A319&gt;='1-Input'!$C$12,'1-Input'!$B$12,0))-MIN(MAX(AO318,0),MAX(0,AK286-IF($A319&gt;='1-Input'!$C$12,'1-Input'!$B$12,0))))*(1/(1-'P-Parametri'!$B$6*AK319))+MIN(MAX(0,AP318-(MAX(0,AK286-IF($A319&gt;='1-Input'!$C$12,'1-Input'!$B$12,0))-MIN(MAX(AO318,0),MAX(0,AK286-IF($A319&gt;='1-Input'!$C$12,'1-Input'!$B$12,0))))*(1/(1-'P-Parametri'!$B$6*AK319))),MAX(0,5*MAX(0,AK286-IF($A319&gt;='1-Input'!$C$12,'1-Input'!$B$12,0))-(AO318-MIN(MAX(AO318,0),MAX(0,AK286-IF($A319&gt;='1-Input'!$C$12,'1-Input'!$B$12,0)))))*(1/(1-'P-Parametri'!$B$6*AK319))))</f>
        <v>778.53345007045891</v>
      </c>
      <c r="AM319" s="18">
        <f>IF($A319&gt;'1-Input'!$B$26,AO318,(AO318-MAX(0,AK286-IF($A319&gt;='1-Input'!$C$12,'1-Input'!$B$12,0))+AL319*(1-'P-Parametri'!$B$6*AK319))*(1+'1-Input'!$B$27))</f>
        <v>30001.501274985611</v>
      </c>
      <c r="AN319" s="18">
        <f>IF($A319&gt;'1-Input'!$B$26,AP318,(AP318-AL319)*(1+'5-Roberta'!$C$4))</f>
        <v>61347.125330903662</v>
      </c>
      <c r="AO319" s="18">
        <f>IF($A319&gt;'1-Input'!$B$26,AM319,AM319-'P-Parametri'!$B$8*(AN319+AM319)+MIN(MAX(AN319,0),'P-Parametri'!$B$8*(AN319+AM319)))</f>
        <v>30001.501274985611</v>
      </c>
      <c r="AP319" s="18">
        <f>IF($A319&gt;'1-Input'!$B$26,AN319,AN319-MIN(MAX(AN319,0),'P-Parametri'!$B$8*(AN319+AM319)))</f>
        <v>61164.428077691882</v>
      </c>
      <c r="AQ319" s="18">
        <f>IF($A319&gt;'1-Input'!$B$26,AQ318,AQ318-AL319*(1-AK319))</f>
        <v>21257.075303806407</v>
      </c>
    </row>
    <row r="320" spans="1:43">
      <c r="A320" s="10">
        <f>32</f>
        <v>32</v>
      </c>
      <c r="B320" s="11">
        <f>IF($A320&gt;'1-Input'!$B$26,0,IF(G319&lt;=0,0,MAX(0,(G319-H319)/G319)))</f>
        <v>0.65537693949921905</v>
      </c>
      <c r="C320" s="18">
        <f>IF($A320&gt;'1-Input'!$B$26,0,(MAX(0,B286-IF($A320&gt;='1-Input'!$C$12,'1-Input'!$B$12,0))-MIN(MAX(F319,0),MAX(0,B286-IF($A320&gt;='1-Input'!$C$12,'1-Input'!$B$12,0))))*(1/(1-'P-Parametri'!$B$6*B320))+MIN(MAX(0,G319-(MAX(0,B286-IF($A320&gt;='1-Input'!$C$12,'1-Input'!$B$12,0))-MIN(MAX(F319,0),MAX(0,B286-IF($A320&gt;='1-Input'!$C$12,'1-Input'!$B$12,0))))*(1/(1-'P-Parametri'!$B$6*B320))),MAX(0,5*MAX(0,B286-IF($A320&gt;='1-Input'!$C$12,'1-Input'!$B$12,0))-(F319-MIN(MAX(F319,0),MAX(0,B286-IF($A320&gt;='1-Input'!$C$12,'1-Input'!$B$12,0)))))*(1/(1-'P-Parametri'!$B$6*B320))))</f>
        <v>2820.3648861451225</v>
      </c>
      <c r="D320" s="18">
        <f>IF($A320&gt;'1-Input'!$B$26,F319,(F319-MAX(0,B286-IF($A320&gt;='1-Input'!$C$12,'1-Input'!$B$12,0))+C320*(1-'P-Parametri'!$B$6*B320))*(1+'1-Input'!$B$27))</f>
        <v>27794.853577465747</v>
      </c>
      <c r="E320" s="18">
        <f>IF($A320&gt;'1-Input'!$B$26,G319,(G319-C320)*(1+'5-Roberta'!$C$4))</f>
        <v>86668.417629534611</v>
      </c>
      <c r="F320" s="18">
        <f>IF($A320&gt;'1-Input'!$B$26,D320,D320-'P-Parametri'!$B$8*(E320+D320)+MIN(MAX(E320,0),'P-Parametri'!$B$8*(E320+D320)))</f>
        <v>27794.853577465747</v>
      </c>
      <c r="G320" s="18">
        <f>IF($A320&gt;'1-Input'!$B$26,E320,E320-MIN(MAX(E320,0),'P-Parametri'!$B$8*(E320+D320)))</f>
        <v>86439.491087120608</v>
      </c>
      <c r="H320" s="18">
        <f>IF($A320&gt;'1-Input'!$B$26,H319,H319-C320*(1-B320))</f>
        <v>28997.995468203932</v>
      </c>
      <c r="I320" s="11">
        <f>IF($A320&gt;'1-Input'!$B$26,0,IF(N319&lt;=0,0,MAX(0,(N319-O319)/N319)))</f>
        <v>0</v>
      </c>
      <c r="J320" s="18">
        <f>IF($A320&gt;'1-Input'!$B$26,0,(MAX(0,I286-IF($A320&gt;='1-Input'!$C$12,'1-Input'!$B$12,0))-MIN(MAX(M319,0),MAX(0,I286-IF($A320&gt;='1-Input'!$C$12,'1-Input'!$B$12,0))))*(1/(1-'P-Parametri'!$B$6*I320))+MIN(MAX(0,N319-(MAX(0,I286-IF($A320&gt;='1-Input'!$C$12,'1-Input'!$B$12,0))-MIN(MAX(M319,0),MAX(0,I286-IF($A320&gt;='1-Input'!$C$12,'1-Input'!$B$12,0))))*(1/(1-'P-Parametri'!$B$6*I320))),MAX(0,5*MAX(0,I286-IF($A320&gt;='1-Input'!$C$12,'1-Input'!$B$12,0))-(M319-MIN(MAX(M319,0),MAX(0,I286-IF($A320&gt;='1-Input'!$C$12,'1-Input'!$B$12,0)))))*(1/(1-'P-Parametri'!$B$6*I320))))</f>
        <v>10846.756992928691</v>
      </c>
      <c r="K320" s="18">
        <f>IF($A320&gt;'1-Input'!$B$26,M319,(M319-MAX(0,I286-IF($A320&gt;='1-Input'!$C$12,'1-Input'!$B$12,0))+J320*(1-'P-Parametri'!$B$6*I320))*(1+'1-Input'!$B$27))</f>
        <v>0</v>
      </c>
      <c r="L320" s="18">
        <f>IF($A320&gt;'1-Input'!$B$26,N319,(N319-J320)*(1+'5-Roberta'!$C$4))</f>
        <v>-149935.96706971791</v>
      </c>
      <c r="M320" s="18">
        <f>IF($A320&gt;'1-Input'!$B$26,K320,K320-'P-Parametri'!$B$8*(L320+K320)+MIN(MAX(L320,0),'P-Parametri'!$B$8*(L320+K320)))</f>
        <v>0</v>
      </c>
      <c r="N320" s="18">
        <f>IF($A320&gt;'1-Input'!$B$26,L320,L320-MIN(MAX(L320,0),'P-Parametri'!$B$8*(L320+K320)))</f>
        <v>-149636.09513557848</v>
      </c>
      <c r="O320" s="18">
        <f>IF($A320&gt;'1-Input'!$B$26,O319,O319-J320*(1-I320))</f>
        <v>-125469.45557613313</v>
      </c>
      <c r="P320" s="11">
        <f>IF($A320&gt;'1-Input'!$B$26,0,IF(U319&lt;=0,0,MAX(0,(U319-V319)/U319)))</f>
        <v>0.65195310240824567</v>
      </c>
      <c r="Q320" s="18">
        <f>IF($A320&gt;'1-Input'!$B$26,0,(MAX(0,P286-IF($A320&gt;='1-Input'!$C$12,'1-Input'!$B$12,0))-MIN(MAX(T319,0),MAX(0,P286-IF($A320&gt;='1-Input'!$C$12,'1-Input'!$B$12,0))))*(1/(1-'P-Parametri'!$B$6*P320))+MIN(MAX(0,U319-(MAX(0,P286-IF($A320&gt;='1-Input'!$C$12,'1-Input'!$B$12,0))-MIN(MAX(T319,0),MAX(0,P286-IF($A320&gt;='1-Input'!$C$12,'1-Input'!$B$12,0))))*(1/(1-'P-Parametri'!$B$6*P320))),MAX(0,5*MAX(0,P286-IF($A320&gt;='1-Input'!$C$12,'1-Input'!$B$12,0))-(T319-MIN(MAX(T319,0),MAX(0,P286-IF($A320&gt;='1-Input'!$C$12,'1-Input'!$B$12,0)))))*(1/(1-'P-Parametri'!$B$6*P320))))</f>
        <v>7447.9876438641368</v>
      </c>
      <c r="R320" s="18">
        <f>IF($A320&gt;'1-Input'!$B$26,T319,(T319-MAX(0,P286-IF($A320&gt;='1-Input'!$C$12,'1-Input'!$B$12,0))+Q320*(1-'P-Parametri'!$B$6*P320))*(1+'1-Input'!$B$27))</f>
        <v>30271.256436314517</v>
      </c>
      <c r="S320" s="18">
        <f>IF($A320&gt;'1-Input'!$B$26,U319,(U319-Q320)*(1+'5-Roberta'!$C$4))</f>
        <v>51558.521617101382</v>
      </c>
      <c r="T320" s="18">
        <f>IF($A320&gt;'1-Input'!$B$26,R320,R320-'P-Parametri'!$B$8*(S320+R320)+MIN(MAX(S320,0),'P-Parametri'!$B$8*(S320+R320)))</f>
        <v>30271.256436314517</v>
      </c>
      <c r="U320" s="18">
        <f>IF($A320&gt;'1-Input'!$B$26,S320,S320-MIN(MAX(S320,0),'P-Parametri'!$B$8*(S320+R320)))</f>
        <v>51394.86206099455</v>
      </c>
      <c r="V320" s="18">
        <f>IF($A320&gt;'1-Input'!$B$26,V319,V319-Q320*(1-P320))</f>
        <v>17422.119896358778</v>
      </c>
      <c r="W320" s="11">
        <f>IF($A320&gt;'1-Input'!$B$26,0,IF(AB319&lt;=0,0,MAX(0,(AB319-AC319)/AB319)))</f>
        <v>0.6524547038701628</v>
      </c>
      <c r="X320" s="18">
        <f>IF($A320&gt;'1-Input'!$B$26,0,(MAX(0,W286-IF($A320&gt;='1-Input'!$C$12,'1-Input'!$B$12,0))-MIN(MAX(AA319,0),MAX(0,W286-IF($A320&gt;='1-Input'!$C$12,'1-Input'!$B$12,0))))*(1/(1-'P-Parametri'!$B$6*W320))+MIN(MAX(0,AB319-(MAX(0,W286-IF($A320&gt;='1-Input'!$C$12,'1-Input'!$B$12,0))-MIN(MAX(AA319,0),MAX(0,W286-IF($A320&gt;='1-Input'!$C$12,'1-Input'!$B$12,0))))*(1/(1-'P-Parametri'!$B$6*W320))),MAX(0,5*MAX(0,W286-IF($A320&gt;='1-Input'!$C$12,'1-Input'!$B$12,0))-(AA319-MIN(MAX(AA319,0),MAX(0,W286-IF($A320&gt;='1-Input'!$C$12,'1-Input'!$B$12,0)))))*(1/(1-'P-Parametri'!$B$6*W320))))</f>
        <v>7383.5229662047204</v>
      </c>
      <c r="Y320" s="18">
        <f>IF($A320&gt;'1-Input'!$B$26,AA319,(AA319-MAX(0,W286-IF($A320&gt;='1-Input'!$C$12,'1-Input'!$B$12,0))+X320*(1-'P-Parametri'!$B$6*W320))*(1+'1-Input'!$B$27))</f>
        <v>30004.536678730263</v>
      </c>
      <c r="Z320" s="18">
        <f>IF($A320&gt;'1-Input'!$B$26,AB319,(AB319-X320)*(1+'5-Roberta'!$C$4))</f>
        <v>55351.915079281018</v>
      </c>
      <c r="AA320" s="18">
        <f>IF($A320&gt;'1-Input'!$B$26,Y320,Y320-'P-Parametri'!$B$8*(Z320+Y320)+MIN(MAX(Z320,0),'P-Parametri'!$B$8*(Z320+Y320)))</f>
        <v>30004.536678730263</v>
      </c>
      <c r="AB320" s="18">
        <f>IF($A320&gt;'1-Input'!$B$26,Z320,Z320-MIN(MAX(Z320,0),'P-Parametri'!$B$8*(Z320+Y320)))</f>
        <v>55181.202175764993</v>
      </c>
      <c r="AC320" s="18">
        <f>IF($A320&gt;'1-Input'!$B$26,AC319,AC319-X320*(1-W320))</f>
        <v>18676.988075322646</v>
      </c>
      <c r="AD320" s="11">
        <f>IF($A320&gt;'1-Input'!$B$26,0,IF(AI319&lt;=0,0,MAX(0,(AI319-AJ319)/AI319)))</f>
        <v>0.65246029084573587</v>
      </c>
      <c r="AE320" s="18">
        <f>IF($A320&gt;'1-Input'!$B$26,0,(MAX(0,AD286-IF($A320&gt;='1-Input'!$C$12,'1-Input'!$B$12,0))-MIN(MAX(AH319,0),MAX(0,AD286-IF($A320&gt;='1-Input'!$C$12,'1-Input'!$B$12,0))))*(1/(1-'P-Parametri'!$B$6*AD320))+MIN(MAX(0,AI319-(MAX(0,AD286-IF($A320&gt;='1-Input'!$C$12,'1-Input'!$B$12,0))-MIN(MAX(AH319,0),MAX(0,AD286-IF($A320&gt;='1-Input'!$C$12,'1-Input'!$B$12,0))))*(1/(1-'P-Parametri'!$B$6*AD320))),MAX(0,5*MAX(0,AD286-IF($A320&gt;='1-Input'!$C$12,'1-Input'!$B$12,0))-(AH319-MIN(MAX(AH319,0),MAX(0,AD286-IF($A320&gt;='1-Input'!$C$12,'1-Input'!$B$12,0)))))*(1/(1-'P-Parametri'!$B$6*AD320))))</f>
        <v>7382.7715658063607</v>
      </c>
      <c r="AF320" s="18">
        <f>IF($A320&gt;'1-Input'!$B$26,AH319,(AH319-MAX(0,AD286-IF($A320&gt;='1-Input'!$C$12,'1-Input'!$B$12,0))+AE320*(1-'P-Parametri'!$B$6*AD320))*(1+'1-Input'!$B$27))</f>
        <v>30001.430717462015</v>
      </c>
      <c r="AG320" s="18">
        <f>IF($A320&gt;'1-Input'!$B$26,AI319,(AI319-AE320)*(1+'5-Roberta'!$C$4))</f>
        <v>55396.092189173396</v>
      </c>
      <c r="AH320" s="18">
        <f>IF($A320&gt;'1-Input'!$B$26,AF320,AF320-'P-Parametri'!$B$8*(AG320+AF320)+MIN(MAX(AG320,0),'P-Parametri'!$B$8*(AG320+AF320)))</f>
        <v>30001.430717462015</v>
      </c>
      <c r="AI320" s="18">
        <f>IF($A320&gt;'1-Input'!$B$26,AG320,AG320-MIN(MAX(AG320,0),'P-Parametri'!$B$8*(AG320+AF320)))</f>
        <v>55225.297143360127</v>
      </c>
      <c r="AJ320" s="18">
        <f>IF($A320&gt;'1-Input'!$B$26,AJ319,AJ319-AE320*(1-AD320))</f>
        <v>18691.593949231188</v>
      </c>
      <c r="AK320" s="11">
        <f>IF($A320&gt;'1-Input'!$B$26,0,IF(AP319&lt;=0,0,MAX(0,(AP319-AQ319)/AP319)))</f>
        <v>0.65246016398934714</v>
      </c>
      <c r="AL320" s="18">
        <f>IF($A320&gt;'1-Input'!$B$26,0,(MAX(0,AK286-IF($A320&gt;='1-Input'!$C$12,'1-Input'!$B$12,0))-MIN(MAX(AO319,0),MAX(0,AK286-IF($A320&gt;='1-Input'!$C$12,'1-Input'!$B$12,0))))*(1/(1-'P-Parametri'!$B$6*AK320))+MIN(MAX(0,AP319-(MAX(0,AK286-IF($A320&gt;='1-Input'!$C$12,'1-Input'!$B$12,0))-MIN(MAX(AO319,0),MAX(0,AK286-IF($A320&gt;='1-Input'!$C$12,'1-Input'!$B$12,0))))*(1/(1-'P-Parametri'!$B$6*AK320))),MAX(0,5*MAX(0,AK286-IF($A320&gt;='1-Input'!$C$12,'1-Input'!$B$12,0))-(AO319-MIN(MAX(AO319,0),MAX(0,AK286-IF($A320&gt;='1-Input'!$C$12,'1-Input'!$B$12,0)))))*(1/(1-'P-Parametri'!$B$6*AK320))))</f>
        <v>7382.7886353965951</v>
      </c>
      <c r="AM320" s="18">
        <f>IF($A320&gt;'1-Input'!$B$26,AO319,(AO319-MAX(0,AK286-IF($A320&gt;='1-Input'!$C$12,'1-Input'!$B$12,0))+AL320*(1-'P-Parametri'!$B$6*AK320))*(1+'1-Input'!$B$27))</f>
        <v>30001.501274985611</v>
      </c>
      <c r="AN320" s="18">
        <f>IF($A320&gt;'1-Input'!$B$26,AP319,(AP319-AL320)*(1+'5-Roberta'!$C$4))</f>
        <v>55395.088625564145</v>
      </c>
      <c r="AO320" s="18">
        <f>IF($A320&gt;'1-Input'!$B$26,AM320,AM320-'P-Parametri'!$B$8*(AN320+AM320)+MIN(MAX(AN320,0),'P-Parametri'!$B$8*(AN320+AM320)))</f>
        <v>30001.501274985611</v>
      </c>
      <c r="AP320" s="18">
        <f>IF($A320&gt;'1-Input'!$B$26,AN320,AN320-MIN(MAX(AN320,0),'P-Parametri'!$B$8*(AN320+AM320)))</f>
        <v>55224.295445763048</v>
      </c>
      <c r="AQ320" s="18">
        <f>IF($A320&gt;'1-Input'!$B$26,AQ319,AQ319-AL320*(1-AK320))</f>
        <v>18691.262152159361</v>
      </c>
    </row>
    <row r="321" spans="1:43">
      <c r="A321" s="10">
        <f>33</f>
        <v>33</v>
      </c>
      <c r="B321" s="11">
        <f>IF($A321&gt;'1-Input'!$B$26,0,IF(G320&lt;=0,0,MAX(0,(G320-H320)/G320)))</f>
        <v>0.66452838738977027</v>
      </c>
      <c r="C321" s="18">
        <f>IF($A321&gt;'1-Input'!$B$26,0,(MAX(0,B286-IF($A321&gt;='1-Input'!$C$12,'1-Input'!$B$12,0))-MIN(MAX(F320,0),MAX(0,B286-IF($A321&gt;='1-Input'!$C$12,'1-Input'!$B$12,0))))*(1/(1-'P-Parametri'!$B$6*B321))+MIN(MAX(0,G320-(MAX(0,B286-IF($A321&gt;='1-Input'!$C$12,'1-Input'!$B$12,0))-MIN(MAX(F320,0),MAX(0,B286-IF($A321&gt;='1-Input'!$C$12,'1-Input'!$B$12,0))))*(1/(1-'P-Parametri'!$B$6*B321))),MAX(0,5*MAX(0,B286-IF($A321&gt;='1-Input'!$C$12,'1-Input'!$B$12,0))-(F320-MIN(MAX(F320,0),MAX(0,B286-IF($A321&gt;='1-Input'!$C$12,'1-Input'!$B$12,0)))))*(1/(1-'P-Parametri'!$B$6*B321))))</f>
        <v>6865.7193093215819</v>
      </c>
      <c r="D321" s="18">
        <f>IF($A321&gt;'1-Input'!$B$26,F320,(F320-MAX(0,B286-IF($A321&gt;='1-Input'!$C$12,'1-Input'!$B$12,0))+C321*(1-'P-Parametri'!$B$6*B321))*(1+'1-Input'!$B$27))</f>
        <v>27794.853577465747</v>
      </c>
      <c r="E321" s="18">
        <f>IF($A321&gt;'1-Input'!$B$26,G320,(G320-C321)*(1+'5-Roberta'!$C$4))</f>
        <v>81960.984931133004</v>
      </c>
      <c r="F321" s="18">
        <f>IF($A321&gt;'1-Input'!$B$26,D321,D321-'P-Parametri'!$B$8*(E321+D321)+MIN(MAX(E321,0),'P-Parametri'!$B$8*(E321+D321)))</f>
        <v>27794.853577465747</v>
      </c>
      <c r="G321" s="18">
        <f>IF($A321&gt;'1-Input'!$B$26,E321,E321-MIN(MAX(E321,0),'P-Parametri'!$B$8*(E321+D321)))</f>
        <v>81741.473254115801</v>
      </c>
      <c r="H321" s="18">
        <f>IF($A321&gt;'1-Input'!$B$26,H320,H320-C321*(1-B321))</f>
        <v>26694.741539776627</v>
      </c>
      <c r="I321" s="11">
        <f>IF($A321&gt;'1-Input'!$B$26,0,IF(N320&lt;=0,0,MAX(0,(N320-O320)/N320)))</f>
        <v>0</v>
      </c>
      <c r="J321" s="18">
        <f>IF($A321&gt;'1-Input'!$B$26,0,(MAX(0,I286-IF($A321&gt;='1-Input'!$C$12,'1-Input'!$B$12,0))-MIN(MAX(M320,0),MAX(0,I286-IF($A321&gt;='1-Input'!$C$12,'1-Input'!$B$12,0))))*(1/(1-'P-Parametri'!$B$6*I321))+MIN(MAX(0,N320-(MAX(0,I286-IF($A321&gt;='1-Input'!$C$12,'1-Input'!$B$12,0))-MIN(MAX(M320,0),MAX(0,I286-IF($A321&gt;='1-Input'!$C$12,'1-Input'!$B$12,0))))*(1/(1-'P-Parametri'!$B$6*I321))),MAX(0,5*MAX(0,I286-IF($A321&gt;='1-Input'!$C$12,'1-Input'!$B$12,0))-(M320-MIN(MAX(M320,0),MAX(0,I286-IF($A321&gt;='1-Input'!$C$12,'1-Input'!$B$12,0)))))*(1/(1-'P-Parametri'!$B$6*I321))))</f>
        <v>10846.756992928691</v>
      </c>
      <c r="K321" s="18">
        <f>IF($A321&gt;'1-Input'!$B$26,M320,(M320-MAX(0,I286-IF($A321&gt;='1-Input'!$C$12,'1-Input'!$B$12,0))+J321*(1-'P-Parametri'!$B$6*I321))*(1+'1-Input'!$B$27))</f>
        <v>0</v>
      </c>
      <c r="L321" s="18">
        <f>IF($A321&gt;'1-Input'!$B$26,N320,(N320-J321)*(1+'5-Roberta'!$C$4))</f>
        <v>-165297.33769236237</v>
      </c>
      <c r="M321" s="18">
        <f>IF($A321&gt;'1-Input'!$B$26,K321,K321-'P-Parametri'!$B$8*(L321+K321)+MIN(MAX(L321,0),'P-Parametri'!$B$8*(L321+K321)))</f>
        <v>0</v>
      </c>
      <c r="N321" s="18">
        <f>IF($A321&gt;'1-Input'!$B$26,L321,L321-MIN(MAX(L321,0),'P-Parametri'!$B$8*(L321+K321)))</f>
        <v>-164966.74301697765</v>
      </c>
      <c r="O321" s="18">
        <f>IF($A321&gt;'1-Input'!$B$26,O320,O320-J321*(1-I321))</f>
        <v>-136316.21256906181</v>
      </c>
      <c r="P321" s="11">
        <f>IF($A321&gt;'1-Input'!$B$26,0,IF(U320&lt;=0,0,MAX(0,(U320-V320)/U320)))</f>
        <v>0.66101436607257535</v>
      </c>
      <c r="Q321" s="18">
        <f>IF($A321&gt;'1-Input'!$B$26,0,(MAX(0,P286-IF($A321&gt;='1-Input'!$C$12,'1-Input'!$B$12,0))-MIN(MAX(T320,0),MAX(0,P286-IF($A321&gt;='1-Input'!$C$12,'1-Input'!$B$12,0))))*(1/(1-'P-Parametri'!$B$6*P321))+MIN(MAX(0,U320-(MAX(0,P286-IF($A321&gt;='1-Input'!$C$12,'1-Input'!$B$12,0))-MIN(MAX(T320,0),MAX(0,P286-IF($A321&gt;='1-Input'!$C$12,'1-Input'!$B$12,0))))*(1/(1-'P-Parametri'!$B$6*P321))),MAX(0,5*MAX(0,P286-IF($A321&gt;='1-Input'!$C$12,'1-Input'!$B$12,0))-(T320-MIN(MAX(T320,0),MAX(0,P286-IF($A321&gt;='1-Input'!$C$12,'1-Input'!$B$12,0)))))*(1/(1-'P-Parametri'!$B$6*P321))))</f>
        <v>7469.1760973782684</v>
      </c>
      <c r="R321" s="18">
        <f>IF($A321&gt;'1-Input'!$B$26,T320,(T320-MAX(0,P286-IF($A321&gt;='1-Input'!$C$12,'1-Input'!$B$12,0))+Q321*(1-'P-Parametri'!$B$6*P321))*(1+'1-Input'!$B$27))</f>
        <v>30271.256436314517</v>
      </c>
      <c r="S321" s="18">
        <f>IF($A321&gt;'1-Input'!$B$26,U320,(U320-Q321)*(1+'5-Roberta'!$C$4))</f>
        <v>45243.456542524771</v>
      </c>
      <c r="T321" s="18">
        <f>IF($A321&gt;'1-Input'!$B$26,R321,R321-'P-Parametri'!$B$8*(S321+R321)+MIN(MAX(S321,0),'P-Parametri'!$B$8*(S321+R321)))</f>
        <v>30271.256436314517</v>
      </c>
      <c r="U321" s="18">
        <f>IF($A321&gt;'1-Input'!$B$26,S321,S321-MIN(MAX(S321,0),'P-Parametri'!$B$8*(S321+R321)))</f>
        <v>45092.427116567094</v>
      </c>
      <c r="V321" s="18">
        <f>IF($A321&gt;'1-Input'!$B$26,V320,V320-Q321*(1-P321))</f>
        <v>14890.176502073438</v>
      </c>
      <c r="W321" s="11">
        <f>IF($A321&gt;'1-Input'!$B$26,0,IF(AB320&lt;=0,0,MAX(0,(AB320-AC320)/AB320)))</f>
        <v>0.66153350527173937</v>
      </c>
      <c r="X321" s="18">
        <f>IF($A321&gt;'1-Input'!$B$26,0,(MAX(0,W286-IF($A321&gt;='1-Input'!$C$12,'1-Input'!$B$12,0))-MIN(MAX(AA320,0),MAX(0,W286-IF($A321&gt;='1-Input'!$C$12,'1-Input'!$B$12,0))))*(1/(1-'P-Parametri'!$B$6*W321))+MIN(MAX(0,AB320-(MAX(0,W286-IF($A321&gt;='1-Input'!$C$12,'1-Input'!$B$12,0))-MIN(MAX(AA320,0),MAX(0,W286-IF($A321&gt;='1-Input'!$C$12,'1-Input'!$B$12,0))))*(1/(1-'P-Parametri'!$B$6*W321))),MAX(0,5*MAX(0,W286-IF($A321&gt;='1-Input'!$C$12,'1-Input'!$B$12,0))-(AA320-MIN(MAX(AA320,0),MAX(0,W286-IF($A321&gt;='1-Input'!$C$12,'1-Input'!$B$12,0)))))*(1/(1-'P-Parametri'!$B$6*W321))))</f>
        <v>7404.5721122500499</v>
      </c>
      <c r="Y321" s="18">
        <f>IF($A321&gt;'1-Input'!$B$26,AA320,(AA320-MAX(0,W286-IF($A321&gt;='1-Input'!$C$12,'1-Input'!$B$12,0))+X321*(1-'P-Parametri'!$B$6*W321))*(1+'1-Input'!$B$27))</f>
        <v>30004.536678730263</v>
      </c>
      <c r="Z321" s="18">
        <f>IF($A321&gt;'1-Input'!$B$26,AB320,(AB320-X321)*(1+'5-Roberta'!$C$4))</f>
        <v>49209.928965420397</v>
      </c>
      <c r="AA321" s="18">
        <f>IF($A321&gt;'1-Input'!$B$26,Y321,Y321-'P-Parametri'!$B$8*(Z321+Y321)+MIN(MAX(Z321,0),'P-Parametri'!$B$8*(Z321+Y321)))</f>
        <v>30004.536678730263</v>
      </c>
      <c r="AB321" s="18">
        <f>IF($A321&gt;'1-Input'!$B$26,Z321,Z321-MIN(MAX(Z321,0),'P-Parametri'!$B$8*(Z321+Y321)))</f>
        <v>49051.500034132092</v>
      </c>
      <c r="AC321" s="18">
        <f>IF($A321&gt;'1-Input'!$B$26,AC320,AC320-X321*(1-W321))</f>
        <v>16170.788507526739</v>
      </c>
      <c r="AD321" s="11">
        <f>IF($A321&gt;'1-Input'!$B$26,0,IF(AI320&lt;=0,0,MAX(0,(AI320-AJ320)/AI320)))</f>
        <v>0.66153927790176636</v>
      </c>
      <c r="AE321" s="18">
        <f>IF($A321&gt;'1-Input'!$B$26,0,(MAX(0,AD286-IF($A321&gt;='1-Input'!$C$12,'1-Input'!$B$12,0))-MIN(MAX(AH320,0),MAX(0,AD286-IF($A321&gt;='1-Input'!$C$12,'1-Input'!$B$12,0))))*(1/(1-'P-Parametri'!$B$6*AD321))+MIN(MAX(0,AI320-(MAX(0,AD286-IF($A321&gt;='1-Input'!$C$12,'1-Input'!$B$12,0))-MIN(MAX(AH320,0),MAX(0,AD286-IF($A321&gt;='1-Input'!$C$12,'1-Input'!$B$12,0))))*(1/(1-'P-Parametri'!$B$6*AD321))),MAX(0,5*MAX(0,AD286-IF($A321&gt;='1-Input'!$C$12,'1-Input'!$B$12,0))-(AH320-MIN(MAX(AH320,0),MAX(0,AD286-IF($A321&gt;='1-Input'!$C$12,'1-Input'!$B$12,0)))))*(1/(1-'P-Parametri'!$B$6*AD321))))</f>
        <v>7403.8190382860139</v>
      </c>
      <c r="AF321" s="18">
        <f>IF($A321&gt;'1-Input'!$B$26,AH320,(AH320-MAX(0,AD286-IF($A321&gt;='1-Input'!$C$12,'1-Input'!$B$12,0))+AE321*(1-'P-Parametri'!$B$6*AD321))*(1+'1-Input'!$B$27))</f>
        <v>30001.430717462015</v>
      </c>
      <c r="AG321" s="18">
        <f>IF($A321&gt;'1-Input'!$B$26,AI320,(AI320-AE321)*(1+'5-Roberta'!$C$4))</f>
        <v>49256.122448226342</v>
      </c>
      <c r="AH321" s="18">
        <f>IF($A321&gt;'1-Input'!$B$26,AF321,AF321-'P-Parametri'!$B$8*(AG321+AF321)+MIN(MAX(AG321,0),'P-Parametri'!$B$8*(AG321+AF321)))</f>
        <v>30001.430717462015</v>
      </c>
      <c r="AI321" s="18">
        <f>IF($A321&gt;'1-Input'!$B$26,AG321,AG321-MIN(MAX(AG321,0),'P-Parametri'!$B$8*(AG321+AF321)))</f>
        <v>49097.607341894967</v>
      </c>
      <c r="AJ321" s="18">
        <f>IF($A321&gt;'1-Input'!$B$26,AJ320,AJ320-AE321*(1-AD321))</f>
        <v>16185.692011248255</v>
      </c>
      <c r="AK321" s="11">
        <f>IF($A321&gt;'1-Input'!$B$26,0,IF(AP320&lt;=0,0,MAX(0,(AP320-AQ320)/AP320)))</f>
        <v>0.66153914683227699</v>
      </c>
      <c r="AL321" s="18">
        <f>IF($A321&gt;'1-Input'!$B$26,0,(MAX(0,AK286-IF($A321&gt;='1-Input'!$C$12,'1-Input'!$B$12,0))-MIN(MAX(AO320,0),MAX(0,AK286-IF($A321&gt;='1-Input'!$C$12,'1-Input'!$B$12,0))))*(1/(1-'P-Parametri'!$B$6*AK321))+MIN(MAX(0,AP320-(MAX(0,AK286-IF($A321&gt;='1-Input'!$C$12,'1-Input'!$B$12,0))-MIN(MAX(AO320,0),MAX(0,AK286-IF($A321&gt;='1-Input'!$C$12,'1-Input'!$B$12,0))))*(1/(1-'P-Parametri'!$B$6*AK321))),MAX(0,5*MAX(0,AK286-IF($A321&gt;='1-Input'!$C$12,'1-Input'!$B$12,0))-(AO320-MIN(MAX(AO320,0),MAX(0,AK286-IF($A321&gt;='1-Input'!$C$12,'1-Input'!$B$12,0)))))*(1/(1-'P-Parametri'!$B$6*AK321))))</f>
        <v>7403.836145906429</v>
      </c>
      <c r="AM321" s="18">
        <f>IF($A321&gt;'1-Input'!$B$26,AO320,(AO320-MAX(0,AK286-IF($A321&gt;='1-Input'!$C$12,'1-Input'!$B$12,0))+AL321*(1-'P-Parametri'!$B$6*AK321))*(1+'1-Input'!$B$27))</f>
        <v>30001.501274985611</v>
      </c>
      <c r="AN321" s="18">
        <f>IF($A321&gt;'1-Input'!$B$26,AP320,(AP320-AL321)*(1+'5-Roberta'!$C$4))</f>
        <v>49255.073078852321</v>
      </c>
      <c r="AO321" s="18">
        <f>IF($A321&gt;'1-Input'!$B$26,AM321,AM321-'P-Parametri'!$B$8*(AN321+AM321)+MIN(MAX(AN321,0),'P-Parametri'!$B$8*(AN321+AM321)))</f>
        <v>30001.501274985611</v>
      </c>
      <c r="AP321" s="18">
        <f>IF($A321&gt;'1-Input'!$B$26,AN321,AN321-MIN(MAX(AN321,0),'P-Parametri'!$B$8*(AN321+AM321)))</f>
        <v>49096.559930144649</v>
      </c>
      <c r="AQ321" s="18">
        <f>IF($A321&gt;'1-Input'!$B$26,AQ320,AQ320-AL321*(1-AK321))</f>
        <v>16185.353453501844</v>
      </c>
    </row>
    <row r="322" spans="1:43">
      <c r="A322" s="10">
        <f>34</f>
        <v>34</v>
      </c>
      <c r="B322" s="11">
        <f>IF($A322&gt;'1-Input'!$B$26,0,IF(G321&lt;=0,0,MAX(0,(G321-H321)/G321)))</f>
        <v>0.6734247564050051</v>
      </c>
      <c r="C322" s="18">
        <f>IF($A322&gt;'1-Input'!$B$26,0,(MAX(0,B286-IF($A322&gt;='1-Input'!$C$12,'1-Input'!$B$12,0))-MIN(MAX(F321,0),MAX(0,B286-IF($A322&gt;='1-Input'!$C$12,'1-Input'!$B$12,0))))*(1/(1-'P-Parametri'!$B$6*B322))+MIN(MAX(0,G321-(MAX(0,B286-IF($A322&gt;='1-Input'!$C$12,'1-Input'!$B$12,0))-MIN(MAX(F321,0),MAX(0,B286-IF($A322&gt;='1-Input'!$C$12,'1-Input'!$B$12,0))))*(1/(1-'P-Parametri'!$B$6*B322))),MAX(0,5*MAX(0,B286-IF($A322&gt;='1-Input'!$C$12,'1-Input'!$B$12,0))-(F321-MIN(MAX(F321,0),MAX(0,B286-IF($A322&gt;='1-Input'!$C$12,'1-Input'!$B$12,0)))))*(1/(1-'P-Parametri'!$B$6*B322))))</f>
        <v>6884.9708655695122</v>
      </c>
      <c r="D322" s="18">
        <f>IF($A322&gt;'1-Input'!$B$26,F321,(F321-MAX(0,B286-IF($A322&gt;='1-Input'!$C$12,'1-Input'!$B$12,0))+C322*(1-'P-Parametri'!$B$6*B322))*(1+'1-Input'!$B$27))</f>
        <v>27794.853577465747</v>
      </c>
      <c r="E322" s="18">
        <f>IF($A322&gt;'1-Input'!$B$26,G321,(G321-C322)*(1+'5-Roberta'!$C$4))</f>
        <v>77102.197460202675</v>
      </c>
      <c r="F322" s="18">
        <f>IF($A322&gt;'1-Input'!$B$26,D322,D322-'P-Parametri'!$B$8*(E322+D322)+MIN(MAX(E322,0),'P-Parametri'!$B$8*(E322+D322)))</f>
        <v>27794.853577465747</v>
      </c>
      <c r="G322" s="18">
        <f>IF($A322&gt;'1-Input'!$B$26,E322,E322-MIN(MAX(E322,0),'P-Parametri'!$B$8*(E322+D322)))</f>
        <v>76892.40335812734</v>
      </c>
      <c r="H322" s="18">
        <f>IF($A322&gt;'1-Input'!$B$26,H321,H321-C322*(1-B322))</f>
        <v>24446.280502208821</v>
      </c>
      <c r="I322" s="11">
        <f>IF($A322&gt;'1-Input'!$B$26,0,IF(N321&lt;=0,0,MAX(0,(N321-O321)/N321)))</f>
        <v>0</v>
      </c>
      <c r="J322" s="18">
        <f>IF($A322&gt;'1-Input'!$B$26,0,(MAX(0,I286-IF($A322&gt;='1-Input'!$C$12,'1-Input'!$B$12,0))-MIN(MAX(M321,0),MAX(0,I286-IF($A322&gt;='1-Input'!$C$12,'1-Input'!$B$12,0))))*(1/(1-'P-Parametri'!$B$6*I322))+MIN(MAX(0,N321-(MAX(0,I286-IF($A322&gt;='1-Input'!$C$12,'1-Input'!$B$12,0))-MIN(MAX(M321,0),MAX(0,I286-IF($A322&gt;='1-Input'!$C$12,'1-Input'!$B$12,0))))*(1/(1-'P-Parametri'!$B$6*I322))),MAX(0,5*MAX(0,I286-IF($A322&gt;='1-Input'!$C$12,'1-Input'!$B$12,0))-(M321-MIN(MAX(M321,0),MAX(0,I286-IF($A322&gt;='1-Input'!$C$12,'1-Input'!$B$12,0)))))*(1/(1-'P-Parametri'!$B$6*I322))))</f>
        <v>10846.756992928691</v>
      </c>
      <c r="K322" s="18">
        <f>IF($A322&gt;'1-Input'!$B$26,M321,(M321-MAX(0,I286-IF($A322&gt;='1-Input'!$C$12,'1-Input'!$B$12,0))+J322*(1-'P-Parametri'!$B$6*I322))*(1+'1-Input'!$B$27))</f>
        <v>0</v>
      </c>
      <c r="L322" s="18">
        <f>IF($A322&gt;'1-Input'!$B$26,N321,(N321-J322)*(1+'5-Roberta'!$C$4))</f>
        <v>-181087.90501020354</v>
      </c>
      <c r="M322" s="18">
        <f>IF($A322&gt;'1-Input'!$B$26,K322,K322-'P-Parametri'!$B$8*(L322+K322)+MIN(MAX(L322,0),'P-Parametri'!$B$8*(L322+K322)))</f>
        <v>0</v>
      </c>
      <c r="N322" s="18">
        <f>IF($A322&gt;'1-Input'!$B$26,L322,L322-MIN(MAX(L322,0),'P-Parametri'!$B$8*(L322+K322)))</f>
        <v>-180725.72920018312</v>
      </c>
      <c r="O322" s="18">
        <f>IF($A322&gt;'1-Input'!$B$26,O321,O321-J322*(1-I322))</f>
        <v>-147162.9695619905</v>
      </c>
      <c r="P322" s="11">
        <f>IF($A322&gt;'1-Input'!$B$26,0,IF(U321&lt;=0,0,MAX(0,(U321-V321)/U321)))</f>
        <v>0.66978542841392663</v>
      </c>
      <c r="Q322" s="18">
        <f>IF($A322&gt;'1-Input'!$B$26,0,(MAX(0,P286-IF($A322&gt;='1-Input'!$C$12,'1-Input'!$B$12,0))-MIN(MAX(T321,0),MAX(0,P286-IF($A322&gt;='1-Input'!$C$12,'1-Input'!$B$12,0))))*(1/(1-'P-Parametri'!$B$6*P322))+MIN(MAX(0,U321-(MAX(0,P286-IF($A322&gt;='1-Input'!$C$12,'1-Input'!$B$12,0))-MIN(MAX(T321,0),MAX(0,P286-IF($A322&gt;='1-Input'!$C$12,'1-Input'!$B$12,0))))*(1/(1-'P-Parametri'!$B$6*P322))),MAX(0,5*MAX(0,P286-IF($A322&gt;='1-Input'!$C$12,'1-Input'!$B$12,0))-(T321-MIN(MAX(T321,0),MAX(0,P286-IF($A322&gt;='1-Input'!$C$12,'1-Input'!$B$12,0)))))*(1/(1-'P-Parametri'!$B$6*P322))))</f>
        <v>7489.8011007068326</v>
      </c>
      <c r="R322" s="18">
        <f>IF($A322&gt;'1-Input'!$B$26,T321,(T321-MAX(0,P286-IF($A322&gt;='1-Input'!$C$12,'1-Input'!$B$12,0))+Q322*(1-'P-Parametri'!$B$6*P322))*(1+'1-Input'!$B$27))</f>
        <v>30271.256436314517</v>
      </c>
      <c r="S322" s="18">
        <f>IF($A322&gt;'1-Input'!$B$26,U321,(U321-Q322)*(1+'5-Roberta'!$C$4))</f>
        <v>38730.704796336067</v>
      </c>
      <c r="T322" s="18">
        <f>IF($A322&gt;'1-Input'!$B$26,R322,R322-'P-Parametri'!$B$8*(S322+R322)+MIN(MAX(S322,0),'P-Parametri'!$B$8*(S322+R322)))</f>
        <v>30271.256436314517</v>
      </c>
      <c r="U322" s="18">
        <f>IF($A322&gt;'1-Input'!$B$26,S322,S322-MIN(MAX(S322,0),'P-Parametri'!$B$8*(S322+R322)))</f>
        <v>38592.700873870766</v>
      </c>
      <c r="V322" s="18">
        <f>IF($A322&gt;'1-Input'!$B$26,V321,V321-Q322*(1-P322))</f>
        <v>12416.935040338631</v>
      </c>
      <c r="W322" s="11">
        <f>IF($A322&gt;'1-Input'!$B$26,0,IF(AB321&lt;=0,0,MAX(0,(AB321-AC321)/AB321)))</f>
        <v>0.67033039771924552</v>
      </c>
      <c r="X322" s="18">
        <f>IF($A322&gt;'1-Input'!$B$26,0,(MAX(0,W286-IF($A322&gt;='1-Input'!$C$12,'1-Input'!$B$12,0))-MIN(MAX(AA321,0),MAX(0,W286-IF($A322&gt;='1-Input'!$C$12,'1-Input'!$B$12,0))))*(1/(1-'P-Parametri'!$B$6*W322))+MIN(MAX(0,AB321-(MAX(0,W286-IF($A322&gt;='1-Input'!$C$12,'1-Input'!$B$12,0))-MIN(MAX(AA321,0),MAX(0,W286-IF($A322&gt;='1-Input'!$C$12,'1-Input'!$B$12,0))))*(1/(1-'P-Parametri'!$B$6*W322))),MAX(0,5*MAX(0,W286-IF($A322&gt;='1-Input'!$C$12,'1-Input'!$B$12,0))-(AA321-MIN(MAX(AA321,0),MAX(0,W286-IF($A322&gt;='1-Input'!$C$12,'1-Input'!$B$12,0)))))*(1/(1-'P-Parametri'!$B$6*W322))))</f>
        <v>7425.0824540712783</v>
      </c>
      <c r="Y322" s="18">
        <f>IF($A322&gt;'1-Input'!$B$26,AA321,(AA321-MAX(0,W286-IF($A322&gt;='1-Input'!$C$12,'1-Input'!$B$12,0))+X322*(1-'P-Parametri'!$B$6*W322))*(1+'1-Input'!$B$27))</f>
        <v>30004.536678730263</v>
      </c>
      <c r="Z322" s="18">
        <f>IF($A322&gt;'1-Input'!$B$26,AB321,(AB321-X322)*(1+'5-Roberta'!$C$4))</f>
        <v>42875.210107462641</v>
      </c>
      <c r="AA322" s="18">
        <f>IF($A322&gt;'1-Input'!$B$26,Y322,Y322-'P-Parametri'!$B$8*(Z322+Y322)+MIN(MAX(Z322,0),'P-Parametri'!$B$8*(Z322+Y322)))</f>
        <v>30004.536678730263</v>
      </c>
      <c r="AB322" s="18">
        <f>IF($A322&gt;'1-Input'!$B$26,Z322,Z322-MIN(MAX(Z322,0),'P-Parametri'!$B$8*(Z322+Y322)))</f>
        <v>42729.450613890258</v>
      </c>
      <c r="AC322" s="18">
        <f>IF($A322&gt;'1-Input'!$B$26,AC321,AC321-X322*(1-W322))</f>
        <v>13722.964527991251</v>
      </c>
      <c r="AD322" s="11">
        <f>IF($A322&gt;'1-Input'!$B$26,0,IF(AI321&lt;=0,0,MAX(0,(AI321-AJ321)/AI321)))</f>
        <v>0.67033644025587757</v>
      </c>
      <c r="AE322" s="18">
        <f>IF($A322&gt;'1-Input'!$B$26,0,(MAX(0,AD286-IF($A322&gt;='1-Input'!$C$12,'1-Input'!$B$12,0))-MIN(MAX(AH321,0),MAX(0,AD286-IF($A322&gt;='1-Input'!$C$12,'1-Input'!$B$12,0))))*(1/(1-'P-Parametri'!$B$6*AD322))+MIN(MAX(0,AI321-(MAX(0,AD286-IF($A322&gt;='1-Input'!$C$12,'1-Input'!$B$12,0))-MIN(MAX(AH321,0),MAX(0,AD286-IF($A322&gt;='1-Input'!$C$12,'1-Input'!$B$12,0))))*(1/(1-'P-Parametri'!$B$6*AD322))),MAX(0,5*MAX(0,AD286-IF($A322&gt;='1-Input'!$C$12,'1-Input'!$B$12,0))-(AH321-MIN(MAX(AH321,0),MAX(0,AD286-IF($A322&gt;='1-Input'!$C$12,'1-Input'!$B$12,0)))))*(1/(1-'P-Parametri'!$B$6*AD322))))</f>
        <v>7424.3279623819953</v>
      </c>
      <c r="AF322" s="18">
        <f>IF($A322&gt;'1-Input'!$B$26,AH321,(AH321-MAX(0,AD286-IF($A322&gt;='1-Input'!$C$12,'1-Input'!$B$12,0))+AE322*(1-'P-Parametri'!$B$6*AD322))*(1+'1-Input'!$B$27))</f>
        <v>30001.430717462015</v>
      </c>
      <c r="AG322" s="18">
        <f>IF($A322&gt;'1-Input'!$B$26,AI321,(AI321-AE322)*(1+'5-Roberta'!$C$4))</f>
        <v>42923.477760898357</v>
      </c>
      <c r="AH322" s="18">
        <f>IF($A322&gt;'1-Input'!$B$26,AF322,AF322-'P-Parametri'!$B$8*(AG322+AF322)+MIN(MAX(AG322,0),'P-Parametri'!$B$8*(AG322+AF322)))</f>
        <v>30001.430717462015</v>
      </c>
      <c r="AI322" s="18">
        <f>IF($A322&gt;'1-Input'!$B$26,AG322,AG322-MIN(MAX(AG322,0),'P-Parametri'!$B$8*(AG322+AF322)))</f>
        <v>42777.627943941639</v>
      </c>
      <c r="AJ322" s="18">
        <f>IF($A322&gt;'1-Input'!$B$26,AJ321,AJ321-AE322*(1-AD322))</f>
        <v>13738.161626461579</v>
      </c>
      <c r="AK322" s="11">
        <f>IF($A322&gt;'1-Input'!$B$26,0,IF(AP321&lt;=0,0,MAX(0,(AP321-AQ321)/AP321)))</f>
        <v>0.67033630306215719</v>
      </c>
      <c r="AL322" s="18">
        <f>IF($A322&gt;'1-Input'!$B$26,0,(MAX(0,AK286-IF($A322&gt;='1-Input'!$C$12,'1-Input'!$B$12,0))-MIN(MAX(AO321,0),MAX(0,AK286-IF($A322&gt;='1-Input'!$C$12,'1-Input'!$B$12,0))))*(1/(1-'P-Parametri'!$B$6*AK322))+MIN(MAX(0,AP321-(MAX(0,AK286-IF($A322&gt;='1-Input'!$C$12,'1-Input'!$B$12,0))-MIN(MAX(AO321,0),MAX(0,AK286-IF($A322&gt;='1-Input'!$C$12,'1-Input'!$B$12,0))))*(1/(1-'P-Parametri'!$B$6*AK322))),MAX(0,5*MAX(0,AK286-IF($A322&gt;='1-Input'!$C$12,'1-Input'!$B$12,0))-(AO321-MIN(MAX(AO321,0),MAX(0,AK286-IF($A322&gt;='1-Input'!$C$12,'1-Input'!$B$12,0)))))*(1/(1-'P-Parametri'!$B$6*AK322))))</f>
        <v>7424.3451022278196</v>
      </c>
      <c r="AM322" s="18">
        <f>IF($A322&gt;'1-Input'!$B$26,AO321,(AO321-MAX(0,AK286-IF($A322&gt;='1-Input'!$C$12,'1-Input'!$B$12,0))+AL322*(1-'P-Parametri'!$B$6*AK322))*(1+'1-Input'!$B$27))</f>
        <v>30001.501274985611</v>
      </c>
      <c r="AN322" s="18">
        <f>IF($A322&gt;'1-Input'!$B$26,AP321,(AP321-AL322)*(1+'5-Roberta'!$C$4))</f>
        <v>42922.381272754341</v>
      </c>
      <c r="AO322" s="18">
        <f>IF($A322&gt;'1-Input'!$B$26,AM322,AM322-'P-Parametri'!$B$8*(AN322+AM322)+MIN(MAX(AN322,0),'P-Parametri'!$B$8*(AN322+AM322)))</f>
        <v>30001.501274985611</v>
      </c>
      <c r="AP322" s="18">
        <f>IF($A322&gt;'1-Input'!$B$26,AN322,AN322-MIN(MAX(AN322,0),'P-Parametri'!$B$8*(AN322+AM322)))</f>
        <v>42776.53350765886</v>
      </c>
      <c r="AQ322" s="18">
        <f>IF($A322&gt;'1-Input'!$B$26,AQ321,AQ321-AL322*(1-AK322))</f>
        <v>13737.816399759055</v>
      </c>
    </row>
    <row r="323" spans="1:43">
      <c r="A323" s="10">
        <f>35</f>
        <v>35</v>
      </c>
      <c r="B323" s="11">
        <f>IF($A323&gt;'1-Input'!$B$26,0,IF(G322&lt;=0,0,MAX(0,(G322-H322)/G322)))</f>
        <v>0.6820715774957643</v>
      </c>
      <c r="C323" s="18">
        <f>IF($A323&gt;'1-Input'!$B$26,0,(MAX(0,B286-IF($A323&gt;='1-Input'!$C$12,'1-Input'!$B$12,0))-MIN(MAX(F322,0),MAX(0,B286-IF($A323&gt;='1-Input'!$C$12,'1-Input'!$B$12,0))))*(1/(1-'P-Parametri'!$B$6*B323))+MIN(MAX(0,G322-(MAX(0,B286-IF($A323&gt;='1-Input'!$C$12,'1-Input'!$B$12,0))-MIN(MAX(F322,0),MAX(0,B286-IF($A323&gt;='1-Input'!$C$12,'1-Input'!$B$12,0))))*(1/(1-'P-Parametri'!$B$6*B323))),MAX(0,5*MAX(0,B286-IF($A323&gt;='1-Input'!$C$12,'1-Input'!$B$12,0))-(F322-MIN(MAX(F322,0),MAX(0,B286-IF($A323&gt;='1-Input'!$C$12,'1-Input'!$B$12,0)))))*(1/(1-'P-Parametri'!$B$6*B323))))</f>
        <v>6903.7861510882794</v>
      </c>
      <c r="D323" s="18">
        <f>IF($A323&gt;'1-Input'!$B$26,F322,(F322-MAX(0,B286-IF($A323&gt;='1-Input'!$C$12,'1-Input'!$B$12,0))+C323*(1-'P-Parametri'!$B$6*B323))*(1+'1-Input'!$B$27))</f>
        <v>27794.853577465747</v>
      </c>
      <c r="E323" s="18">
        <f>IF($A323&gt;'1-Input'!$B$26,G322,(G322-C323)*(1+'5-Roberta'!$C$4))</f>
        <v>72088.275723250234</v>
      </c>
      <c r="F323" s="18">
        <f>IF($A323&gt;'1-Input'!$B$26,D323,D323-'P-Parametri'!$B$8*(E323+D323)+MIN(MAX(E323,0),'P-Parametri'!$B$8*(E323+D323)))</f>
        <v>27794.853577465747</v>
      </c>
      <c r="G323" s="18">
        <f>IF($A323&gt;'1-Input'!$B$26,E323,E323-MIN(MAX(E323,0),'P-Parametri'!$B$8*(E323+D323)))</f>
        <v>71888.5094646488</v>
      </c>
      <c r="H323" s="18">
        <f>IF($A323&gt;'1-Input'!$B$26,H322,H322-C323*(1-B323))</f>
        <v>22251.370661886736</v>
      </c>
      <c r="I323" s="11">
        <f>IF($A323&gt;'1-Input'!$B$26,0,IF(N322&lt;=0,0,MAX(0,(N322-O322)/N322)))</f>
        <v>0</v>
      </c>
      <c r="J323" s="18">
        <f>IF($A323&gt;'1-Input'!$B$26,0,(MAX(0,I286-IF($A323&gt;='1-Input'!$C$12,'1-Input'!$B$12,0))-MIN(MAX(M322,0),MAX(0,I286-IF($A323&gt;='1-Input'!$C$12,'1-Input'!$B$12,0))))*(1/(1-'P-Parametri'!$B$6*I323))+MIN(MAX(0,N322-(MAX(0,I286-IF($A323&gt;='1-Input'!$C$12,'1-Input'!$B$12,0))-MIN(MAX(M322,0),MAX(0,I286-IF($A323&gt;='1-Input'!$C$12,'1-Input'!$B$12,0))))*(1/(1-'P-Parametri'!$B$6*I323))),MAX(0,5*MAX(0,I286-IF($A323&gt;='1-Input'!$C$12,'1-Input'!$B$12,0))-(M322-MIN(MAX(M322,0),MAX(0,I286-IF($A323&gt;='1-Input'!$C$12,'1-Input'!$B$12,0)))))*(1/(1-'P-Parametri'!$B$6*I323))))</f>
        <v>10846.756992928691</v>
      </c>
      <c r="K323" s="18">
        <f>IF($A323&gt;'1-Input'!$B$26,M322,(M322-MAX(0,I286-IF($A323&gt;='1-Input'!$C$12,'1-Input'!$B$12,0))+J323*(1-'P-Parametri'!$B$6*I323))*(1+'1-Input'!$B$27))</f>
        <v>0</v>
      </c>
      <c r="L323" s="18">
        <f>IF($A323&gt;'1-Input'!$B$26,N322,(N322-J323)*(1+'5-Roberta'!$C$4))</f>
        <v>-197319.66077890518</v>
      </c>
      <c r="M323" s="18">
        <f>IF($A323&gt;'1-Input'!$B$26,K323,K323-'P-Parametri'!$B$8*(L323+K323)+MIN(MAX(L323,0),'P-Parametri'!$B$8*(L323+K323)))</f>
        <v>0</v>
      </c>
      <c r="N323" s="18">
        <f>IF($A323&gt;'1-Input'!$B$26,L323,L323-MIN(MAX(L323,0),'P-Parametri'!$B$8*(L323+K323)))</f>
        <v>-196925.02145734738</v>
      </c>
      <c r="O323" s="18">
        <f>IF($A323&gt;'1-Input'!$B$26,O322,O322-J323*(1-I323))</f>
        <v>-158009.72655491918</v>
      </c>
      <c r="P323" s="11">
        <f>IF($A323&gt;'1-Input'!$B$26,0,IF(U322&lt;=0,0,MAX(0,(U322-V322)/U322)))</f>
        <v>0.67825690456545551</v>
      </c>
      <c r="Q323" s="18">
        <f>IF($A323&gt;'1-Input'!$B$26,0,(MAX(0,P286-IF($A323&gt;='1-Input'!$C$12,'1-Input'!$B$12,0))-MIN(MAX(T322,0),MAX(0,P286-IF($A323&gt;='1-Input'!$C$12,'1-Input'!$B$12,0))))*(1/(1-'P-Parametri'!$B$6*P323))+MIN(MAX(0,U322-(MAX(0,P286-IF($A323&gt;='1-Input'!$C$12,'1-Input'!$B$12,0))-MIN(MAX(T322,0),MAX(0,P286-IF($A323&gt;='1-Input'!$C$12,'1-Input'!$B$12,0))))*(1/(1-'P-Parametri'!$B$6*P323))),MAX(0,5*MAX(0,P286-IF($A323&gt;='1-Input'!$C$12,'1-Input'!$B$12,0))-(T322-MIN(MAX(T322,0),MAX(0,P286-IF($A323&gt;='1-Input'!$C$12,'1-Input'!$B$12,0)))))*(1/(1-'P-Parametri'!$B$6*P323))))</f>
        <v>7509.8300576376469</v>
      </c>
      <c r="R323" s="18">
        <f>IF($A323&gt;'1-Input'!$B$26,T322,(T322-MAX(0,P286-IF($A323&gt;='1-Input'!$C$12,'1-Input'!$B$12,0))+Q323*(1-'P-Parametri'!$B$6*P323))*(1+'1-Input'!$B$27))</f>
        <v>30271.256436314517</v>
      </c>
      <c r="S323" s="18">
        <f>IF($A323&gt;'1-Input'!$B$26,U322,(U322-Q323)*(1+'5-Roberta'!$C$4))</f>
        <v>32015.356940720114</v>
      </c>
      <c r="T323" s="18">
        <f>IF($A323&gt;'1-Input'!$B$26,R323,R323-'P-Parametri'!$B$8*(S323+R323)+MIN(MAX(S323,0),'P-Parametri'!$B$8*(S323+R323)))</f>
        <v>30271.256436314517</v>
      </c>
      <c r="U323" s="18">
        <f>IF($A323&gt;'1-Input'!$B$26,S323,S323-MIN(MAX(S323,0),'P-Parametri'!$B$8*(S323+R323)))</f>
        <v>31890.783713966044</v>
      </c>
      <c r="V323" s="18">
        <f>IF($A323&gt;'1-Input'!$B$26,V322,V322-Q323*(1-P323))</f>
        <v>10000.699071406911</v>
      </c>
      <c r="W323" s="11">
        <f>IF($A323&gt;'1-Input'!$B$26,0,IF(AB322&lt;=0,0,MAX(0,(AB322-AC322)/AB322)))</f>
        <v>0.67884060452838435</v>
      </c>
      <c r="X323" s="18">
        <f>IF($A323&gt;'1-Input'!$B$26,0,(MAX(0,W286-IF($A323&gt;='1-Input'!$C$12,'1-Input'!$B$12,0))-MIN(MAX(AA322,0),MAX(0,W286-IF($A323&gt;='1-Input'!$C$12,'1-Input'!$B$12,0))))*(1/(1-'P-Parametri'!$B$6*W323))+MIN(MAX(0,AB322-(MAX(0,W286-IF($A323&gt;='1-Input'!$C$12,'1-Input'!$B$12,0))-MIN(MAX(AA322,0),MAX(0,W286-IF($A323&gt;='1-Input'!$C$12,'1-Input'!$B$12,0))))*(1/(1-'P-Parametri'!$B$6*W323))),MAX(0,5*MAX(0,W286-IF($A323&gt;='1-Input'!$C$12,'1-Input'!$B$12,0))-(AA322-MIN(MAX(AA322,0),MAX(0,W286-IF($A323&gt;='1-Input'!$C$12,'1-Input'!$B$12,0)))))*(1/(1-'P-Parametri'!$B$6*W323))))</f>
        <v>7445.0327976080698</v>
      </c>
      <c r="Y323" s="18">
        <f>IF($A323&gt;'1-Input'!$B$26,AA322,(AA322-MAX(0,W286-IF($A323&gt;='1-Input'!$C$12,'1-Input'!$B$12,0))+X323*(1-'P-Parametri'!$B$6*W323))*(1+'1-Input'!$B$27))</f>
        <v>30004.536678730263</v>
      </c>
      <c r="Z323" s="18">
        <f>IF($A323&gt;'1-Input'!$B$26,AB322,(AB322-X323)*(1+'5-Roberta'!$C$4))</f>
        <v>36342.950350770661</v>
      </c>
      <c r="AA323" s="18">
        <f>IF($A323&gt;'1-Input'!$B$26,Y323,Y323-'P-Parametri'!$B$8*(Z323+Y323)+MIN(MAX(Z323,0),'P-Parametri'!$B$8*(Z323+Y323)))</f>
        <v>30004.536678730263</v>
      </c>
      <c r="AB323" s="18">
        <f>IF($A323&gt;'1-Input'!$B$26,Z323,Z323-MIN(MAX(Z323,0),'P-Parametri'!$B$8*(Z323+Y323)))</f>
        <v>36210.255376711662</v>
      </c>
      <c r="AC323" s="18">
        <f>IF($A323&gt;'1-Input'!$B$26,AC322,AC322-X323*(1-W323))</f>
        <v>11331.922295445092</v>
      </c>
      <c r="AD323" s="11">
        <f>IF($A323&gt;'1-Input'!$B$26,0,IF(AI322&lt;=0,0,MAX(0,(AI322-AJ322)/AI322)))</f>
        <v>0.67884704489774683</v>
      </c>
      <c r="AE323" s="18">
        <f>IF($A323&gt;'1-Input'!$B$26,0,(MAX(0,AD286-IF($A323&gt;='1-Input'!$C$12,'1-Input'!$B$12,0))-MIN(MAX(AH322,0),MAX(0,AD286-IF($A323&gt;='1-Input'!$C$12,'1-Input'!$B$12,0))))*(1/(1-'P-Parametri'!$B$6*AD323))+MIN(MAX(0,AI322-(MAX(0,AD286-IF($A323&gt;='1-Input'!$C$12,'1-Input'!$B$12,0))-MIN(MAX(AH322,0),MAX(0,AD286-IF($A323&gt;='1-Input'!$C$12,'1-Input'!$B$12,0))))*(1/(1-'P-Parametri'!$B$6*AD323))),MAX(0,5*MAX(0,AD286-IF($A323&gt;='1-Input'!$C$12,'1-Input'!$B$12,0))-(AH322-MIN(MAX(AH322,0),MAX(0,AD286-IF($A323&gt;='1-Input'!$C$12,'1-Input'!$B$12,0)))))*(1/(1-'P-Parametri'!$B$6*AD323))))</f>
        <v>7444.2772517891199</v>
      </c>
      <c r="AF323" s="18">
        <f>IF($A323&gt;'1-Input'!$B$26,AH322,(AH322-MAX(0,AD286-IF($A323&gt;='1-Input'!$C$12,'1-Input'!$B$12,0))+AE323*(1-'P-Parametri'!$B$6*AD323))*(1+'1-Input'!$B$27))</f>
        <v>30001.430717462015</v>
      </c>
      <c r="AG323" s="18">
        <f>IF($A323&gt;'1-Input'!$B$26,AI322,(AI322-AE323)*(1+'5-Roberta'!$C$4))</f>
        <v>36393.351212917092</v>
      </c>
      <c r="AH323" s="18">
        <f>IF($A323&gt;'1-Input'!$B$26,AF323,AF323-'P-Parametri'!$B$8*(AG323+AF323)+MIN(MAX(AG323,0),'P-Parametri'!$B$8*(AG323+AF323)))</f>
        <v>30001.430717462015</v>
      </c>
      <c r="AI323" s="18">
        <f>IF($A323&gt;'1-Input'!$B$26,AG323,AG323-MIN(MAX(AG323,0),'P-Parametri'!$B$8*(AG323+AF323)))</f>
        <v>36260.561649056333</v>
      </c>
      <c r="AJ323" s="18">
        <f>IF($A323&gt;'1-Input'!$B$26,AJ322,AJ322-AE323*(1-AD323))</f>
        <v>11347.409988449022</v>
      </c>
      <c r="AK323" s="11">
        <f>IF($A323&gt;'1-Input'!$B$26,0,IF(AP322&lt;=0,0,MAX(0,(AP322-AQ322)/AP322)))</f>
        <v>0.67884689867870229</v>
      </c>
      <c r="AL323" s="18">
        <f>IF($A323&gt;'1-Input'!$B$26,0,(MAX(0,AK286-IF($A323&gt;='1-Input'!$C$12,'1-Input'!$B$12,0))-MIN(MAX(AO322,0),MAX(0,AK286-IF($A323&gt;='1-Input'!$C$12,'1-Input'!$B$12,0))))*(1/(1-'P-Parametri'!$B$6*AK323))+MIN(MAX(0,AP322-(MAX(0,AK286-IF($A323&gt;='1-Input'!$C$12,'1-Input'!$B$12,0))-MIN(MAX(AO322,0),MAX(0,AK286-IF($A323&gt;='1-Input'!$C$12,'1-Input'!$B$12,0))))*(1/(1-'P-Parametri'!$B$6*AK323))),MAX(0,5*MAX(0,AK286-IF($A323&gt;='1-Input'!$C$12,'1-Input'!$B$12,0))-(AO322-MIN(MAX(AO322,0),MAX(0,AK286-IF($A323&gt;='1-Input'!$C$12,'1-Input'!$B$12,0)))))*(1/(1-'P-Parametri'!$B$6*AK323))))</f>
        <v>7444.2944156131571</v>
      </c>
      <c r="AM323" s="18">
        <f>IF($A323&gt;'1-Input'!$B$26,AO322,(AO322-MAX(0,AK286-IF($A323&gt;='1-Input'!$C$12,'1-Input'!$B$12,0))+AL323*(1-'P-Parametri'!$B$6*AK323))*(1+'1-Input'!$B$27))</f>
        <v>30001.501274985611</v>
      </c>
      <c r="AN323" s="18">
        <f>IF($A323&gt;'1-Input'!$B$26,AP322,(AP322-AL323)*(1+'5-Roberta'!$C$4))</f>
        <v>36392.206264807079</v>
      </c>
      <c r="AO323" s="18">
        <f>IF($A323&gt;'1-Input'!$B$26,AM323,AM323-'P-Parametri'!$B$8*(AN323+AM323)+MIN(MAX(AN323,0),'P-Parametri'!$B$8*(AN323+AM323)))</f>
        <v>30001.501274985611</v>
      </c>
      <c r="AP323" s="18">
        <f>IF($A323&gt;'1-Input'!$B$26,AN323,AN323-MIN(MAX(AN323,0),'P-Parametri'!$B$8*(AN323+AM323)))</f>
        <v>36259.418849727495</v>
      </c>
      <c r="AQ323" s="18">
        <f>IF($A323&gt;'1-Input'!$B$26,AQ322,AQ322-AL323*(1-AK323))</f>
        <v>11347.058161036071</v>
      </c>
    </row>
    <row r="324" spans="1:43">
      <c r="A324" s="10">
        <f>36</f>
        <v>36</v>
      </c>
      <c r="B324" s="11">
        <f>IF($A324&gt;'1-Input'!$B$26,0,IF(G323&lt;=0,0,MAX(0,(G323-H323)/G323)))</f>
        <v>0.69047389036729356</v>
      </c>
      <c r="C324" s="18">
        <f>IF($A324&gt;'1-Input'!$B$26,0,(MAX(0,B286-IF($A324&gt;='1-Input'!$C$12,'1-Input'!$B$12,0))-MIN(MAX(F323,0),MAX(0,B286-IF($A324&gt;='1-Input'!$C$12,'1-Input'!$B$12,0))))*(1/(1-'P-Parametri'!$B$6*B324))+MIN(MAX(0,G323-(MAX(0,B286-IF($A324&gt;='1-Input'!$C$12,'1-Input'!$B$12,0))-MIN(MAX(F323,0),MAX(0,B286-IF($A324&gt;='1-Input'!$C$12,'1-Input'!$B$12,0))))*(1/(1-'P-Parametri'!$B$6*B324))),MAX(0,5*MAX(0,B286-IF($A324&gt;='1-Input'!$C$12,'1-Input'!$B$12,0))-(F323-MIN(MAX(F323,0),MAX(0,B286-IF($A324&gt;='1-Input'!$C$12,'1-Input'!$B$12,0)))))*(1/(1-'P-Parametri'!$B$6*B324))))</f>
        <v>6922.1681708280203</v>
      </c>
      <c r="D324" s="18">
        <f>IF($A324&gt;'1-Input'!$B$26,F323,(F323-MAX(0,B286-IF($A324&gt;='1-Input'!$C$12,'1-Input'!$B$12,0))+C324*(1-'P-Parametri'!$B$6*B324))*(1+'1-Input'!$B$27))</f>
        <v>27794.853577465747</v>
      </c>
      <c r="E324" s="18">
        <f>IF($A324&gt;'1-Input'!$B$26,G323,(G323-C324)*(1+'5-Roberta'!$C$4))</f>
        <v>66915.331532635406</v>
      </c>
      <c r="F324" s="18">
        <f>IF($A324&gt;'1-Input'!$B$26,D324,D324-'P-Parametri'!$B$8*(E324+D324)+MIN(MAX(E324,0),'P-Parametri'!$B$8*(E324+D324)))</f>
        <v>27794.853577465747</v>
      </c>
      <c r="G324" s="18">
        <f>IF($A324&gt;'1-Input'!$B$26,E324,E324-MIN(MAX(E324,0),'P-Parametri'!$B$8*(E324+D324)))</f>
        <v>66725.911162415199</v>
      </c>
      <c r="H324" s="18">
        <f>IF($A324&gt;'1-Input'!$B$26,H323,H323-C324*(1-B324))</f>
        <v>20108.77887774699</v>
      </c>
      <c r="I324" s="11">
        <f>IF($A324&gt;'1-Input'!$B$26,0,IF(N323&lt;=0,0,MAX(0,(N323-O323)/N323)))</f>
        <v>0</v>
      </c>
      <c r="J324" s="18">
        <f>IF($A324&gt;'1-Input'!$B$26,0,(MAX(0,I286-IF($A324&gt;='1-Input'!$C$12,'1-Input'!$B$12,0))-MIN(MAX(M323,0),MAX(0,I286-IF($A324&gt;='1-Input'!$C$12,'1-Input'!$B$12,0))))*(1/(1-'P-Parametri'!$B$6*I324))+MIN(MAX(0,N323-(MAX(0,I286-IF($A324&gt;='1-Input'!$C$12,'1-Input'!$B$12,0))-MIN(MAX(M323,0),MAX(0,I286-IF($A324&gt;='1-Input'!$C$12,'1-Input'!$B$12,0))))*(1/(1-'P-Parametri'!$B$6*I324))),MAX(0,5*MAX(0,I286-IF($A324&gt;='1-Input'!$C$12,'1-Input'!$B$12,0))-(M323-MIN(MAX(M323,0),MAX(0,I286-IF($A324&gt;='1-Input'!$C$12,'1-Input'!$B$12,0)))))*(1/(1-'P-Parametri'!$B$6*I324))))</f>
        <v>10846.756992928691</v>
      </c>
      <c r="K324" s="18">
        <f>IF($A324&gt;'1-Input'!$B$26,M323,(M323-MAX(0,I286-IF($A324&gt;='1-Input'!$C$12,'1-Input'!$B$12,0))+J324*(1-'P-Parametri'!$B$6*I324))*(1+'1-Input'!$B$27))</f>
        <v>0</v>
      </c>
      <c r="L324" s="18">
        <f>IF($A324&gt;'1-Input'!$B$26,N323,(N323-J324)*(1+'5-Roberta'!$C$4))</f>
        <v>-214004.93180378436</v>
      </c>
      <c r="M324" s="18">
        <f>IF($A324&gt;'1-Input'!$B$26,K324,K324-'P-Parametri'!$B$8*(L324+K324)+MIN(MAX(L324,0),'P-Parametri'!$B$8*(L324+K324)))</f>
        <v>0</v>
      </c>
      <c r="N324" s="18">
        <f>IF($A324&gt;'1-Input'!$B$26,L324,L324-MIN(MAX(L324,0),'P-Parametri'!$B$8*(L324+K324)))</f>
        <v>-213576.92194017681</v>
      </c>
      <c r="O324" s="18">
        <f>IF($A324&gt;'1-Input'!$B$26,O323,O323-J324*(1-I324))</f>
        <v>-168856.48354784786</v>
      </c>
      <c r="P324" s="11">
        <f>IF($A324&gt;'1-Input'!$B$26,0,IF(U323&lt;=0,0,MAX(0,(U323-V323)/U323)))</f>
        <v>0.68640786124590381</v>
      </c>
      <c r="Q324" s="18">
        <f>IF($A324&gt;'1-Input'!$B$26,0,(MAX(0,P286-IF($A324&gt;='1-Input'!$C$12,'1-Input'!$B$12,0))-MIN(MAX(T323,0),MAX(0,P286-IF($A324&gt;='1-Input'!$C$12,'1-Input'!$B$12,0))))*(1/(1-'P-Parametri'!$B$6*P324))+MIN(MAX(0,U323-(MAX(0,P286-IF($A324&gt;='1-Input'!$C$12,'1-Input'!$B$12,0))-MIN(MAX(T323,0),MAX(0,P286-IF($A324&gt;='1-Input'!$C$12,'1-Input'!$B$12,0))))*(1/(1-'P-Parametri'!$B$6*P324))),MAX(0,5*MAX(0,P286-IF($A324&gt;='1-Input'!$C$12,'1-Input'!$B$12,0))-(T323-MIN(MAX(T323,0),MAX(0,P286-IF($A324&gt;='1-Input'!$C$12,'1-Input'!$B$12,0)))))*(1/(1-'P-Parametri'!$B$6*P324))))</f>
        <v>7529.2025957371343</v>
      </c>
      <c r="R324" s="18">
        <f>IF($A324&gt;'1-Input'!$B$26,T323,(T323-MAX(0,P286-IF($A324&gt;='1-Input'!$C$12,'1-Input'!$B$12,0))+Q324*(1-'P-Parametri'!$B$6*P324))*(1+'1-Input'!$B$27))</f>
        <v>30271.256436314517</v>
      </c>
      <c r="S324" s="18">
        <f>IF($A324&gt;'1-Input'!$B$26,U323,(U323-Q324)*(1+'5-Roberta'!$C$4))</f>
        <v>25092.428551775778</v>
      </c>
      <c r="T324" s="18">
        <f>IF($A324&gt;'1-Input'!$B$26,R324,R324-'P-Parametri'!$B$8*(S324+R324)+MIN(MAX(S324,0),'P-Parametri'!$B$8*(S324+R324)))</f>
        <v>30271.256436314517</v>
      </c>
      <c r="U324" s="18">
        <f>IF($A324&gt;'1-Input'!$B$26,S324,S324-MIN(MAX(S324,0),'P-Parametri'!$B$8*(S324+R324)))</f>
        <v>24981.701181799599</v>
      </c>
      <c r="V324" s="18">
        <f>IF($A324&gt;'1-Input'!$B$26,V323,V323-Q324*(1-P324))</f>
        <v>7639.6003262968097</v>
      </c>
      <c r="W324" s="11">
        <f>IF($A324&gt;'1-Input'!$B$26,0,IF(AB323&lt;=0,0,MAX(0,(AB323-AC323)/AB323)))</f>
        <v>0.68705212991308728</v>
      </c>
      <c r="X324" s="18">
        <f>IF($A324&gt;'1-Input'!$B$26,0,(MAX(0,W286-IF($A324&gt;='1-Input'!$C$12,'1-Input'!$B$12,0))-MIN(MAX(AA323,0),MAX(0,W286-IF($A324&gt;='1-Input'!$C$12,'1-Input'!$B$12,0))))*(1/(1-'P-Parametri'!$B$6*W324))+MIN(MAX(0,AB323-(MAX(0,W286-IF($A324&gt;='1-Input'!$C$12,'1-Input'!$B$12,0))-MIN(MAX(AA323,0),MAX(0,W286-IF($A324&gt;='1-Input'!$C$12,'1-Input'!$B$12,0))))*(1/(1-'P-Parametri'!$B$6*W324))),MAX(0,5*MAX(0,W286-IF($A324&gt;='1-Input'!$C$12,'1-Input'!$B$12,0))-(AA323-MIN(MAX(AA323,0),MAX(0,W286-IF($A324&gt;='1-Input'!$C$12,'1-Input'!$B$12,0)))))*(1/(1-'P-Parametri'!$B$6*W324))))</f>
        <v>7464.3848417328954</v>
      </c>
      <c r="Y324" s="18">
        <f>IF($A324&gt;'1-Input'!$B$26,AA323,(AA323-MAX(0,W286-IF($A324&gt;='1-Input'!$C$12,'1-Input'!$B$12,0))+X324*(1-'P-Parametri'!$B$6*W324))*(1+'1-Input'!$B$27))</f>
        <v>30004.536678730263</v>
      </c>
      <c r="Z324" s="18">
        <f>IF($A324&gt;'1-Input'!$B$26,AB323,(AB323-X324)*(1+'5-Roberta'!$C$4))</f>
        <v>29608.24665102813</v>
      </c>
      <c r="AA324" s="18">
        <f>IF($A324&gt;'1-Input'!$B$26,Y324,Y324-'P-Parametri'!$B$8*(Z324+Y324)+MIN(MAX(Z324,0),'P-Parametri'!$B$8*(Z324+Y324)))</f>
        <v>30004.536678730263</v>
      </c>
      <c r="AB324" s="18">
        <f>IF($A324&gt;'1-Input'!$B$26,Z324,Z324-MIN(MAX(Z324,0),'P-Parametri'!$B$8*(Z324+Y324)))</f>
        <v>29489.021084368615</v>
      </c>
      <c r="AC324" s="18">
        <f>IF($A324&gt;'1-Input'!$B$26,AC323,AC323-X324*(1-W324))</f>
        <v>8995.9589577157458</v>
      </c>
      <c r="AD324" s="11">
        <f>IF($A324&gt;'1-Input'!$B$26,0,IF(AI323&lt;=0,0,MAX(0,(AI323-AJ323)/AI323)))</f>
        <v>0.68705917745363076</v>
      </c>
      <c r="AE324" s="18">
        <f>IF($A324&gt;'1-Input'!$B$26,0,(MAX(0,AD286-IF($A324&gt;='1-Input'!$C$12,'1-Input'!$B$12,0))-MIN(MAX(AH323,0),MAX(0,AD286-IF($A324&gt;='1-Input'!$C$12,'1-Input'!$B$12,0))))*(1/(1-'P-Parametri'!$B$6*AD324))+MIN(MAX(0,AI323-(MAX(0,AD286-IF($A324&gt;='1-Input'!$C$12,'1-Input'!$B$12,0))-MIN(MAX(AH323,0),MAX(0,AD286-IF($A324&gt;='1-Input'!$C$12,'1-Input'!$B$12,0))))*(1/(1-'P-Parametri'!$B$6*AD324))),MAX(0,5*MAX(0,AD286-IF($A324&gt;='1-Input'!$C$12,'1-Input'!$B$12,0))-(AH323-MIN(MAX(AH323,0),MAX(0,AD286-IF($A324&gt;='1-Input'!$C$12,'1-Input'!$B$12,0)))))*(1/(1-'P-Parametri'!$B$6*AD324))))</f>
        <v>7463.6288059480185</v>
      </c>
      <c r="AF324" s="18">
        <f>IF($A324&gt;'1-Input'!$B$26,AH323,(AH323-MAX(0,AD286-IF($A324&gt;='1-Input'!$C$12,'1-Input'!$B$12,0))+AE324*(1-'P-Parametri'!$B$6*AD324))*(1+'1-Input'!$B$27))</f>
        <v>30001.430717462015</v>
      </c>
      <c r="AG324" s="18">
        <f>IF($A324&gt;'1-Input'!$B$26,AI323,(AI323-AE324)*(1+'5-Roberta'!$C$4))</f>
        <v>29660.840828401568</v>
      </c>
      <c r="AH324" s="18">
        <f>IF($A324&gt;'1-Input'!$B$26,AF324,AF324-'P-Parametri'!$B$8*(AG324+AF324)+MIN(MAX(AG324,0),'P-Parametri'!$B$8*(AG324+AF324)))</f>
        <v>30001.430717462015</v>
      </c>
      <c r="AI324" s="18">
        <f>IF($A324&gt;'1-Input'!$B$26,AG324,AG324-MIN(MAX(AG324,0),'P-Parametri'!$B$8*(AG324+AF324)))</f>
        <v>29541.516285309841</v>
      </c>
      <c r="AJ324" s="18">
        <f>IF($A324&gt;'1-Input'!$B$26,AJ323,AJ323-AE324*(1-AD324))</f>
        <v>9011.7358507348745</v>
      </c>
      <c r="AK324" s="11">
        <f>IF($A324&gt;'1-Input'!$B$26,0,IF(AP323&lt;=0,0,MAX(0,(AP323-AQ323)/AP323)))</f>
        <v>0.68705901746350384</v>
      </c>
      <c r="AL324" s="18">
        <f>IF($A324&gt;'1-Input'!$B$26,0,(MAX(0,AK286-IF($A324&gt;='1-Input'!$C$12,'1-Input'!$B$12,0))-MIN(MAX(AO323,0),MAX(0,AK286-IF($A324&gt;='1-Input'!$C$12,'1-Input'!$B$12,0))))*(1/(1-'P-Parametri'!$B$6*AK324))+MIN(MAX(0,AP323-(MAX(0,AK286-IF($A324&gt;='1-Input'!$C$12,'1-Input'!$B$12,0))-MIN(MAX(AO323,0),MAX(0,AK286-IF($A324&gt;='1-Input'!$C$12,'1-Input'!$B$12,0))))*(1/(1-'P-Parametri'!$B$6*AK324))),MAX(0,5*MAX(0,AK286-IF($A324&gt;='1-Input'!$C$12,'1-Input'!$B$12,0))-(AO323-MIN(MAX(AO323,0),MAX(0,AK286-IF($A324&gt;='1-Input'!$C$12,'1-Input'!$B$12,0)))))*(1/(1-'P-Parametri'!$B$6*AK324))))</f>
        <v>7463.6459809586622</v>
      </c>
      <c r="AM324" s="18">
        <f>IF($A324&gt;'1-Input'!$B$26,AO323,(AO323-MAX(0,AK286-IF($A324&gt;='1-Input'!$C$12,'1-Input'!$B$12,0))+AL324*(1-'P-Parametri'!$B$6*AK324))*(1+'1-Input'!$B$27))</f>
        <v>30001.501274985611</v>
      </c>
      <c r="AN324" s="18">
        <f>IF($A324&gt;'1-Input'!$B$26,AP323,(AP323-AL324)*(1+'5-Roberta'!$C$4))</f>
        <v>29659.646054831897</v>
      </c>
      <c r="AO324" s="18">
        <f>IF($A324&gt;'1-Input'!$B$26,AM324,AM324-'P-Parametri'!$B$8*(AN324+AM324)+MIN(MAX(AN324,0),'P-Parametri'!$B$8*(AN324+AM324)))</f>
        <v>30001.501274985611</v>
      </c>
      <c r="AP324" s="18">
        <f>IF($A324&gt;'1-Input'!$B$26,AN324,AN324-MIN(MAX(AN324,0),'P-Parametri'!$B$8*(AN324+AM324)))</f>
        <v>29540.323760172261</v>
      </c>
      <c r="AQ324" s="18">
        <f>IF($A324&gt;'1-Input'!$B$26,AQ323,AQ323-AL324*(1-AK324))</f>
        <v>9011.3774544502976</v>
      </c>
    </row>
    <row r="325" spans="1:43">
      <c r="A325" s="10">
        <f>37</f>
        <v>37</v>
      </c>
      <c r="B325" s="11">
        <f>IF($A325&gt;'1-Input'!$B$26,0,IF(G324&lt;=0,0,MAX(0,(G324-H324)/G324)))</f>
        <v>0.69863612909232642</v>
      </c>
      <c r="C325" s="18">
        <f>IF($A325&gt;'1-Input'!$B$26,0,(MAX(0,B286-IF($A325&gt;='1-Input'!$C$12,'1-Input'!$B$12,0))-MIN(MAX(F324,0),MAX(0,B286-IF($A325&gt;='1-Input'!$C$12,'1-Input'!$B$12,0))))*(1/(1-'P-Parametri'!$B$6*B325))+MIN(MAX(0,G324-(MAX(0,B286-IF($A325&gt;='1-Input'!$C$12,'1-Input'!$B$12,0))-MIN(MAX(F324,0),MAX(0,B286-IF($A325&gt;='1-Input'!$C$12,'1-Input'!$B$12,0))))*(1/(1-'P-Parametri'!$B$6*B325))),MAX(0,5*MAX(0,B286-IF($A325&gt;='1-Input'!$C$12,'1-Input'!$B$12,0))-(F324-MIN(MAX(F324,0),MAX(0,B286-IF($A325&gt;='1-Input'!$C$12,'1-Input'!$B$12,0)))))*(1/(1-'P-Parametri'!$B$6*B325))))</f>
        <v>6940.1189479749937</v>
      </c>
      <c r="D325" s="18">
        <f>IF($A325&gt;'1-Input'!$B$26,F324,(F324-MAX(0,B286-IF($A325&gt;='1-Input'!$C$12,'1-Input'!$B$12,0))+C325*(1-'P-Parametri'!$B$6*B325))*(1+'1-Input'!$B$27))</f>
        <v>27794.853577465747</v>
      </c>
      <c r="E325" s="18">
        <f>IF($A325&gt;'1-Input'!$B$26,G324,(G324-C325)*(1+'5-Roberta'!$C$4))</f>
        <v>61579.365980873408</v>
      </c>
      <c r="F325" s="18">
        <f>IF($A325&gt;'1-Input'!$B$26,D325,D325-'P-Parametri'!$B$8*(E325+D325)+MIN(MAX(E325,0),'P-Parametri'!$B$8*(E325+D325)))</f>
        <v>27794.853577465747</v>
      </c>
      <c r="G325" s="18">
        <f>IF($A325&gt;'1-Input'!$B$26,E325,E325-MIN(MAX(E325,0),'P-Parametri'!$B$8*(E325+D325)))</f>
        <v>61400.617541756728</v>
      </c>
      <c r="H325" s="18">
        <f>IF($A325&gt;'1-Input'!$B$26,H324,H324-C325*(1-B325))</f>
        <v>18017.277767025556</v>
      </c>
      <c r="I325" s="11">
        <f>IF($A325&gt;'1-Input'!$B$26,0,IF(N324&lt;=0,0,MAX(0,(N324-O324)/N324)))</f>
        <v>0</v>
      </c>
      <c r="J325" s="18">
        <f>IF($A325&gt;'1-Input'!$B$26,0,(MAX(0,I286-IF($A325&gt;='1-Input'!$C$12,'1-Input'!$B$12,0))-MIN(MAX(M324,0),MAX(0,I286-IF($A325&gt;='1-Input'!$C$12,'1-Input'!$B$12,0))))*(1/(1-'P-Parametri'!$B$6*I325))+MIN(MAX(0,N324-(MAX(0,I286-IF($A325&gt;='1-Input'!$C$12,'1-Input'!$B$12,0))-MIN(MAX(M324,0),MAX(0,I286-IF($A325&gt;='1-Input'!$C$12,'1-Input'!$B$12,0))))*(1/(1-'P-Parametri'!$B$6*I325))),MAX(0,5*MAX(0,I286-IF($A325&gt;='1-Input'!$C$12,'1-Input'!$B$12,0))-(M324-MIN(MAX(M324,0),MAX(0,I286-IF($A325&gt;='1-Input'!$C$12,'1-Input'!$B$12,0)))))*(1/(1-'P-Parametri'!$B$6*I325))))</f>
        <v>10846.756992928691</v>
      </c>
      <c r="K325" s="18">
        <f>IF($A325&gt;'1-Input'!$B$26,M324,(M324-MAX(0,I286-IF($A325&gt;='1-Input'!$C$12,'1-Input'!$B$12,0))+J325*(1-'P-Parametri'!$B$6*I325))*(1+'1-Input'!$B$27))</f>
        <v>0</v>
      </c>
      <c r="L325" s="18">
        <f>IF($A325&gt;'1-Input'!$B$26,N324,(N324-J325)*(1+'5-Roberta'!$C$4))</f>
        <v>-231156.38930109865</v>
      </c>
      <c r="M325" s="18">
        <f>IF($A325&gt;'1-Input'!$B$26,K325,K325-'P-Parametri'!$B$8*(L325+K325)+MIN(MAX(L325,0),'P-Parametri'!$B$8*(L325+K325)))</f>
        <v>0</v>
      </c>
      <c r="N325" s="18">
        <f>IF($A325&gt;'1-Input'!$B$26,L325,L325-MIN(MAX(L325,0),'P-Parametri'!$B$8*(L325+K325)))</f>
        <v>-230694.07652249644</v>
      </c>
      <c r="O325" s="18">
        <f>IF($A325&gt;'1-Input'!$B$26,O324,O324-J325*(1-I325))</f>
        <v>-179703.24054077655</v>
      </c>
      <c r="P325" s="11">
        <f>IF($A325&gt;'1-Input'!$B$26,0,IF(U324&lt;=0,0,MAX(0,(U324-V324)/U324)))</f>
        <v>0.69419215005811385</v>
      </c>
      <c r="Q325" s="18">
        <f>IF($A325&gt;'1-Input'!$B$26,0,(MAX(0,P286-IF($A325&gt;='1-Input'!$C$12,'1-Input'!$B$12,0))-MIN(MAX(T324,0),MAX(0,P286-IF($A325&gt;='1-Input'!$C$12,'1-Input'!$B$12,0))))*(1/(1-'P-Parametri'!$B$6*P325))+MIN(MAX(0,U324-(MAX(0,P286-IF($A325&gt;='1-Input'!$C$12,'1-Input'!$B$12,0))-MIN(MAX(T324,0),MAX(0,P286-IF($A325&gt;='1-Input'!$C$12,'1-Input'!$B$12,0))))*(1/(1-'P-Parametri'!$B$6*P325))),MAX(0,5*MAX(0,P286-IF($A325&gt;='1-Input'!$C$12,'1-Input'!$B$12,0))-(T324-MIN(MAX(T324,0),MAX(0,P286-IF($A325&gt;='1-Input'!$C$12,'1-Input'!$B$12,0)))))*(1/(1-'P-Parametri'!$B$6*P325))))</f>
        <v>7547.7972022653357</v>
      </c>
      <c r="R325" s="18">
        <f>IF($A325&gt;'1-Input'!$B$26,T324,(T324-MAX(0,P286-IF($A325&gt;='1-Input'!$C$12,'1-Input'!$B$12,0))+Q325*(1-'P-Parametri'!$B$6*P325))*(1+'1-Input'!$B$27))</f>
        <v>30271.256436314517</v>
      </c>
      <c r="S325" s="18">
        <f>IF($A325&gt;'1-Input'!$B$26,U324,(U324-Q325)*(1+'5-Roberta'!$C$4))</f>
        <v>17956.921098920291</v>
      </c>
      <c r="T325" s="18">
        <f>IF($A325&gt;'1-Input'!$B$26,R325,R325-'P-Parametri'!$B$8*(S325+R325)+MIN(MAX(S325,0),'P-Parametri'!$B$8*(S325+R325)))</f>
        <v>30271.256436314517</v>
      </c>
      <c r="U325" s="18">
        <f>IF($A325&gt;'1-Input'!$B$26,S325,S325-MIN(MAX(S325,0),'P-Parametri'!$B$8*(S325+R325)))</f>
        <v>17860.464743849821</v>
      </c>
      <c r="V325" s="18">
        <f>IF($A325&gt;'1-Input'!$B$26,V324,V324-Q325*(1-P325))</f>
        <v>5331.4246920746637</v>
      </c>
      <c r="W325" s="11">
        <f>IF($A325&gt;'1-Input'!$B$26,0,IF(AB324&lt;=0,0,MAX(0,(AB324-AC324)/AB324)))</f>
        <v>0.69493870508694922</v>
      </c>
      <c r="X325" s="18">
        <f>IF($A325&gt;'1-Input'!$B$26,0,(MAX(0,W286-IF($A325&gt;='1-Input'!$C$12,'1-Input'!$B$12,0))-MIN(MAX(AA324,0),MAX(0,W286-IF($A325&gt;='1-Input'!$C$12,'1-Input'!$B$12,0))))*(1/(1-'P-Parametri'!$B$6*W325))+MIN(MAX(0,AB324-(MAX(0,W286-IF($A325&gt;='1-Input'!$C$12,'1-Input'!$B$12,0))-MIN(MAX(AA324,0),MAX(0,W286-IF($A325&gt;='1-Input'!$C$12,'1-Input'!$B$12,0))))*(1/(1-'P-Parametri'!$B$6*W325))),MAX(0,5*MAX(0,W286-IF($A325&gt;='1-Input'!$C$12,'1-Input'!$B$12,0))-(AA324-MIN(MAX(AA324,0),MAX(0,W286-IF($A325&gt;='1-Input'!$C$12,'1-Input'!$B$12,0)))))*(1/(1-'P-Parametri'!$B$6*W325))))</f>
        <v>7483.0660264650269</v>
      </c>
      <c r="Y325" s="18">
        <f>IF($A325&gt;'1-Input'!$B$26,AA324,(AA324-MAX(0,W286-IF($A325&gt;='1-Input'!$C$12,'1-Input'!$B$12,0))+X325*(1-'P-Parametri'!$B$6*W325))*(1+'1-Input'!$B$27))</f>
        <v>30004.536678730263</v>
      </c>
      <c r="Z325" s="18">
        <f>IF($A325&gt;'1-Input'!$B$26,AB324,(AB324-X325)*(1+'5-Roberta'!$C$4))</f>
        <v>22666.133709640693</v>
      </c>
      <c r="AA325" s="18">
        <f>IF($A325&gt;'1-Input'!$B$26,Y325,Y325-'P-Parametri'!$B$8*(Z325+Y325)+MIN(MAX(Z325,0),'P-Parametri'!$B$8*(Z325+Y325)))</f>
        <v>30004.536678730263</v>
      </c>
      <c r="AB325" s="18">
        <f>IF($A325&gt;'1-Input'!$B$26,Z325,Z325-MIN(MAX(Z325,0),'P-Parametri'!$B$8*(Z325+Y325)))</f>
        <v>22560.792368863953</v>
      </c>
      <c r="AC325" s="18">
        <f>IF($A325&gt;'1-Input'!$B$26,AC324,AC324-X325*(1-W325))</f>
        <v>6713.1651457624666</v>
      </c>
      <c r="AD325" s="11">
        <f>IF($A325&gt;'1-Input'!$B$26,0,IF(AI324&lt;=0,0,MAX(0,(AI324-AJ324)/AI324)))</f>
        <v>0.69494673991340949</v>
      </c>
      <c r="AE325" s="18">
        <f>IF($A325&gt;'1-Input'!$B$26,0,(MAX(0,AD286-IF($A325&gt;='1-Input'!$C$12,'1-Input'!$B$12,0))-MIN(MAX(AH324,0),MAX(0,AD286-IF($A325&gt;='1-Input'!$C$12,'1-Input'!$B$12,0))))*(1/(1-'P-Parametri'!$B$6*AD325))+MIN(MAX(0,AI324-(MAX(0,AD286-IF($A325&gt;='1-Input'!$C$12,'1-Input'!$B$12,0))-MIN(MAX(AH324,0),MAX(0,AD286-IF($A325&gt;='1-Input'!$C$12,'1-Input'!$B$12,0))))*(1/(1-'P-Parametri'!$B$6*AD325))),MAX(0,5*MAX(0,AD286-IF($A325&gt;='1-Input'!$C$12,'1-Input'!$B$12,0))-(AH324-MIN(MAX(AH324,0),MAX(0,AD286-IF($A325&gt;='1-Input'!$C$12,'1-Input'!$B$12,0)))))*(1/(1-'P-Parametri'!$B$6*AD325))))</f>
        <v>7482.3104845552225</v>
      </c>
      <c r="AF325" s="18">
        <f>IF($A325&gt;'1-Input'!$B$26,AH324,(AH324-MAX(0,AD286-IF($A325&gt;='1-Input'!$C$12,'1-Input'!$B$12,0))+AE325*(1-'P-Parametri'!$B$6*AD325))*(1+'1-Input'!$B$27))</f>
        <v>30001.430717462015</v>
      </c>
      <c r="AG325" s="18">
        <f>IF($A325&gt;'1-Input'!$B$26,AI324,(AI324-AE325)*(1+'5-Roberta'!$C$4))</f>
        <v>22720.981974777256</v>
      </c>
      <c r="AH325" s="18">
        <f>IF($A325&gt;'1-Input'!$B$26,AF325,AF325-'P-Parametri'!$B$8*(AG325+AF325)+MIN(MAX(AG325,0),'P-Parametri'!$B$8*(AG325+AF325)))</f>
        <v>30001.430717462015</v>
      </c>
      <c r="AI325" s="18">
        <f>IF($A325&gt;'1-Input'!$B$26,AG325,AG325-MIN(MAX(AG325,0),'P-Parametri'!$B$8*(AG325+AF325)))</f>
        <v>22615.537149392778</v>
      </c>
      <c r="AJ325" s="18">
        <f>IF($A325&gt;'1-Input'!$B$26,AJ324,AJ324-AE325*(1-AD325))</f>
        <v>6729.2326444412265</v>
      </c>
      <c r="AK325" s="11">
        <f>IF($A325&gt;'1-Input'!$B$26,0,IF(AP324&lt;=0,0,MAX(0,(AP324-AQ324)/AP324)))</f>
        <v>0.69494655753909207</v>
      </c>
      <c r="AL325" s="18">
        <f>IF($A325&gt;'1-Input'!$B$26,0,(MAX(0,AK286-IF($A325&gt;='1-Input'!$C$12,'1-Input'!$B$12,0))-MIN(MAX(AO324,0),MAX(0,AK286-IF($A325&gt;='1-Input'!$C$12,'1-Input'!$B$12,0))))*(1/(1-'P-Parametri'!$B$6*AK325))+MIN(MAX(0,AP324-(MAX(0,AK286-IF($A325&gt;='1-Input'!$C$12,'1-Input'!$B$12,0))-MIN(MAX(AO324,0),MAX(0,AK286-IF($A325&gt;='1-Input'!$C$12,'1-Input'!$B$12,0))))*(1/(1-'P-Parametri'!$B$6*AK325))),MAX(0,5*MAX(0,AK286-IF($A325&gt;='1-Input'!$C$12,'1-Input'!$B$12,0))-(AO324-MIN(MAX(AO324,0),MAX(0,AK286-IF($A325&gt;='1-Input'!$C$12,'1-Input'!$B$12,0)))))*(1/(1-'P-Parametri'!$B$6*AK325))))</f>
        <v>7482.3276484571825</v>
      </c>
      <c r="AM325" s="18">
        <f>IF($A325&gt;'1-Input'!$B$26,AO324,(AO324-MAX(0,AK286-IF($A325&gt;='1-Input'!$C$12,'1-Input'!$B$12,0))+AL325*(1-'P-Parametri'!$B$6*AK325))*(1+'1-Input'!$B$27))</f>
        <v>30001.501274985611</v>
      </c>
      <c r="AN325" s="18">
        <f>IF($A325&gt;'1-Input'!$B$26,AP324,(AP324-AL325)*(1+'5-Roberta'!$C$4))</f>
        <v>22719.73599506653</v>
      </c>
      <c r="AO325" s="18">
        <f>IF($A325&gt;'1-Input'!$B$26,AM325,AM325-'P-Parametri'!$B$8*(AN325+AM325)+MIN(MAX(AN325,0),'P-Parametri'!$B$8*(AN325+AM325)))</f>
        <v>30001.501274985611</v>
      </c>
      <c r="AP325" s="18">
        <f>IF($A325&gt;'1-Input'!$B$26,AN325,AN325-MIN(MAX(AN325,0),'P-Parametri'!$B$8*(AN325+AM325)))</f>
        <v>22614.293520526426</v>
      </c>
      <c r="AQ325" s="18">
        <f>IF($A325&gt;'1-Input'!$B$26,AQ324,AQ324-AL325*(1-AK325))</f>
        <v>6728.8676476680039</v>
      </c>
    </row>
    <row r="326" spans="1:43">
      <c r="A326" s="10">
        <f>38</f>
        <v>38</v>
      </c>
      <c r="B326" s="11">
        <f>IF($A326&gt;'1-Input'!$B$26,0,IF(G325&lt;=0,0,MAX(0,(G325-H325)/G325)))</f>
        <v>0.70656194532941718</v>
      </c>
      <c r="C326" s="18">
        <f>IF($A326&gt;'1-Input'!$B$26,0,(MAX(0,B286-IF($A326&gt;='1-Input'!$C$12,'1-Input'!$B$12,0))-MIN(MAX(F325,0),MAX(0,B286-IF($A326&gt;='1-Input'!$C$12,'1-Input'!$B$12,0))))*(1/(1-'P-Parametri'!$B$6*B326))+MIN(MAX(0,G325-(MAX(0,B286-IF($A326&gt;='1-Input'!$C$12,'1-Input'!$B$12,0))-MIN(MAX(F325,0),MAX(0,B286-IF($A326&gt;='1-Input'!$C$12,'1-Input'!$B$12,0))))*(1/(1-'P-Parametri'!$B$6*B326))),MAX(0,5*MAX(0,B286-IF($A326&gt;='1-Input'!$C$12,'1-Input'!$B$12,0))-(F325-MIN(MAX(F325,0),MAX(0,B286-IF($A326&gt;='1-Input'!$C$12,'1-Input'!$B$12,0)))))*(1/(1-'P-Parametri'!$B$6*B326))))</f>
        <v>6957.6390936444859</v>
      </c>
      <c r="D326" s="18">
        <f>IF($A326&gt;'1-Input'!$B$26,F325,(F325-MAX(0,B286-IF($A326&gt;='1-Input'!$C$12,'1-Input'!$B$12,0))+C326*(1-'P-Parametri'!$B$6*B326))*(1+'1-Input'!$B$27))</f>
        <v>27794.853577465747</v>
      </c>
      <c r="E326" s="18">
        <f>IF($A326&gt;'1-Input'!$B$26,G325,(G325-C326)*(1+'5-Roberta'!$C$4))</f>
        <v>56076.267801555608</v>
      </c>
      <c r="F326" s="18">
        <f>IF($A326&gt;'1-Input'!$B$26,D326,D326-'P-Parametri'!$B$8*(E326+D326)+MIN(MAX(E326,0),'P-Parametri'!$B$8*(E326+D326)))</f>
        <v>27794.853577465747</v>
      </c>
      <c r="G326" s="18">
        <f>IF($A326&gt;'1-Input'!$B$26,E326,E326-MIN(MAX(E326,0),'P-Parametri'!$B$8*(E326+D326)))</f>
        <v>55908.525558797563</v>
      </c>
      <c r="H326" s="18">
        <f>IF($A326&gt;'1-Input'!$B$26,H325,H325-C326*(1-B326))</f>
        <v>15975.641686286521</v>
      </c>
      <c r="I326" s="11">
        <f>IF($A326&gt;'1-Input'!$B$26,0,IF(N325&lt;=0,0,MAX(0,(N325-O325)/N325)))</f>
        <v>0</v>
      </c>
      <c r="J326" s="18">
        <f>IF($A326&gt;'1-Input'!$B$26,0,(MAX(0,I286-IF($A326&gt;='1-Input'!$C$12,'1-Input'!$B$12,0))-MIN(MAX(M325,0),MAX(0,I286-IF($A326&gt;='1-Input'!$C$12,'1-Input'!$B$12,0))))*(1/(1-'P-Parametri'!$B$6*I326))+MIN(MAX(0,N325-(MAX(0,I286-IF($A326&gt;='1-Input'!$C$12,'1-Input'!$B$12,0))-MIN(MAX(M325,0),MAX(0,I286-IF($A326&gt;='1-Input'!$C$12,'1-Input'!$B$12,0))))*(1/(1-'P-Parametri'!$B$6*I326))),MAX(0,5*MAX(0,I286-IF($A326&gt;='1-Input'!$C$12,'1-Input'!$B$12,0))-(M325-MIN(MAX(M325,0),MAX(0,I286-IF($A326&gt;='1-Input'!$C$12,'1-Input'!$B$12,0)))))*(1/(1-'P-Parametri'!$B$6*I326))))</f>
        <v>10846.756992928691</v>
      </c>
      <c r="K326" s="18">
        <f>IF($A326&gt;'1-Input'!$B$26,M325,(M325-MAX(0,I286-IF($A326&gt;='1-Input'!$C$12,'1-Input'!$B$12,0))+J326*(1-'P-Parametri'!$B$6*I326))*(1+'1-Input'!$B$27))</f>
        <v>0</v>
      </c>
      <c r="L326" s="18">
        <f>IF($A326&gt;'1-Input'!$B$26,N325,(N325-J326)*(1+'5-Roberta'!$C$4))</f>
        <v>-248787.05852088789</v>
      </c>
      <c r="M326" s="18">
        <f>IF($A326&gt;'1-Input'!$B$26,K326,K326-'P-Parametri'!$B$8*(L326+K326)+MIN(MAX(L326,0),'P-Parametri'!$B$8*(L326+K326)))</f>
        <v>0</v>
      </c>
      <c r="N326" s="18">
        <f>IF($A326&gt;'1-Input'!$B$26,L326,L326-MIN(MAX(L326,0),'P-Parametri'!$B$8*(L326+K326)))</f>
        <v>-248289.48440384612</v>
      </c>
      <c r="O326" s="18">
        <f>IF($A326&gt;'1-Input'!$B$26,O325,O325-J326*(1-I326))</f>
        <v>-190549.99753370523</v>
      </c>
      <c r="P326" s="11">
        <f>IF($A326&gt;'1-Input'!$B$26,0,IF(U325&lt;=0,0,MAX(0,(U325-V325)/U325)))</f>
        <v>0.70149574669323667</v>
      </c>
      <c r="Q326" s="18">
        <f>IF($A326&gt;'1-Input'!$B$26,0,(MAX(0,P286-IF($A326&gt;='1-Input'!$C$12,'1-Input'!$B$12,0))-MIN(MAX(T325,0),MAX(0,P286-IF($A326&gt;='1-Input'!$C$12,'1-Input'!$B$12,0))))*(1/(1-'P-Parametri'!$B$6*P326))+MIN(MAX(0,U325-(MAX(0,P286-IF($A326&gt;='1-Input'!$C$12,'1-Input'!$B$12,0))-MIN(MAX(T325,0),MAX(0,P286-IF($A326&gt;='1-Input'!$C$12,'1-Input'!$B$12,0))))*(1/(1-'P-Parametri'!$B$6*P326))),MAX(0,5*MAX(0,P286-IF($A326&gt;='1-Input'!$C$12,'1-Input'!$B$12,0))-(T325-MIN(MAX(T325,0),MAX(0,P286-IF($A326&gt;='1-Input'!$C$12,'1-Input'!$B$12,0)))))*(1/(1-'P-Parametri'!$B$6*P326))))</f>
        <v>7565.3272689706819</v>
      </c>
      <c r="R326" s="18">
        <f>IF($A326&gt;'1-Input'!$B$26,T325,(T325-MAX(0,P286-IF($A326&gt;='1-Input'!$C$12,'1-Input'!$B$12,0))+Q326*(1-'P-Parametri'!$B$6*P326))*(1+'1-Input'!$B$27))</f>
        <v>30271.256436314517</v>
      </c>
      <c r="S326" s="18">
        <f>IF($A326&gt;'1-Input'!$B$26,U325,(U325-Q326)*(1+'5-Roberta'!$C$4))</f>
        <v>10603.991599125513</v>
      </c>
      <c r="T326" s="18">
        <f>IF($A326&gt;'1-Input'!$B$26,R326,R326-'P-Parametri'!$B$8*(S326+R326)+MIN(MAX(S326,0),'P-Parametri'!$B$8*(S326+R326)))</f>
        <v>30271.256436314517</v>
      </c>
      <c r="U326" s="18">
        <f>IF($A326&gt;'1-Input'!$B$26,S326,S326-MIN(MAX(S326,0),'P-Parametri'!$B$8*(S326+R326)))</f>
        <v>10522.241103054634</v>
      </c>
      <c r="V326" s="18">
        <f>IF($A326&gt;'1-Input'!$B$26,V325,V325-Q326*(1-P326))</f>
        <v>3073.1423246292752</v>
      </c>
      <c r="W326" s="11">
        <f>IF($A326&gt;'1-Input'!$B$26,0,IF(AB325&lt;=0,0,MAX(0,(AB325-AC325)/AB325)))</f>
        <v>0.70244107405432821</v>
      </c>
      <c r="X326" s="18">
        <f>IF($A326&gt;'1-Input'!$B$26,0,(MAX(0,W286-IF($A326&gt;='1-Input'!$C$12,'1-Input'!$B$12,0))-MIN(MAX(AA325,0),MAX(0,W286-IF($A326&gt;='1-Input'!$C$12,'1-Input'!$B$12,0))))*(1/(1-'P-Parametri'!$B$6*W326))+MIN(MAX(0,AB325-(MAX(0,W286-IF($A326&gt;='1-Input'!$C$12,'1-Input'!$B$12,0))-MIN(MAX(AA325,0),MAX(0,W286-IF($A326&gt;='1-Input'!$C$12,'1-Input'!$B$12,0))))*(1/(1-'P-Parametri'!$B$6*W326))),MAX(0,5*MAX(0,W286-IF($A326&gt;='1-Input'!$C$12,'1-Input'!$B$12,0))-(AA325-MIN(MAX(AA325,0),MAX(0,W286-IF($A326&gt;='1-Input'!$C$12,'1-Input'!$B$12,0)))))*(1/(1-'P-Parametri'!$B$6*W326))))</f>
        <v>7500.9241217834197</v>
      </c>
      <c r="Y326" s="18">
        <f>IF($A326&gt;'1-Input'!$B$26,AA325,(AA325-MAX(0,W286-IF($A326&gt;='1-Input'!$C$12,'1-Input'!$B$12,0))+X326*(1-'P-Parametri'!$B$6*W326))*(1+'1-Input'!$B$27))</f>
        <v>30004.536678730263</v>
      </c>
      <c r="Z326" s="18">
        <f>IF($A326&gt;'1-Input'!$B$26,AB325,(AB325-X326)*(1+'5-Roberta'!$C$4))</f>
        <v>15511.664294492948</v>
      </c>
      <c r="AA326" s="18">
        <f>IF($A326&gt;'1-Input'!$B$26,Y326,Y326-'P-Parametri'!$B$8*(Z326+Y326)+MIN(MAX(Z326,0),'P-Parametri'!$B$8*(Z326+Y326)))</f>
        <v>30004.536678730263</v>
      </c>
      <c r="AB326" s="18">
        <f>IF($A326&gt;'1-Input'!$B$26,Z326,Z326-MIN(MAX(Z326,0),'P-Parametri'!$B$8*(Z326+Y326)))</f>
        <v>15420.631892546502</v>
      </c>
      <c r="AC326" s="18">
        <f>IF($A326&gt;'1-Input'!$B$26,AC325,AC325-X326*(1-W326))</f>
        <v>4481.1982204846108</v>
      </c>
      <c r="AD326" s="11">
        <f>IF($A326&gt;'1-Input'!$B$26,0,IF(AI325&lt;=0,0,MAX(0,(AI325-AJ325)/AI325)))</f>
        <v>0.70245090355406814</v>
      </c>
      <c r="AE326" s="18">
        <f>IF($A326&gt;'1-Input'!$B$26,0,(MAX(0,AD286-IF($A326&gt;='1-Input'!$C$12,'1-Input'!$B$12,0))-MIN(MAX(AH325,0),MAX(0,AD286-IF($A326&gt;='1-Input'!$C$12,'1-Input'!$B$12,0))))*(1/(1-'P-Parametri'!$B$6*AD326))+MIN(MAX(0,AI325-(MAX(0,AD286-IF($A326&gt;='1-Input'!$C$12,'1-Input'!$B$12,0))-MIN(MAX(AH325,0),MAX(0,AD286-IF($A326&gt;='1-Input'!$C$12,'1-Input'!$B$12,0))))*(1/(1-'P-Parametri'!$B$6*AD326))),MAX(0,5*MAX(0,AD286-IF($A326&gt;='1-Input'!$C$12,'1-Input'!$B$12,0))-(AH325-MIN(MAX(AH325,0),MAX(0,AD286-IF($A326&gt;='1-Input'!$C$12,'1-Input'!$B$12,0)))))*(1/(1-'P-Parametri'!$B$6*AD326))))</f>
        <v>7500.171104121232</v>
      </c>
      <c r="AF326" s="18">
        <f>IF($A326&gt;'1-Input'!$B$26,AH325,(AH325-MAX(0,AD286-IF($A326&gt;='1-Input'!$C$12,'1-Input'!$B$12,0))+AE326*(1-'P-Parametri'!$B$6*AD326))*(1+'1-Input'!$B$27))</f>
        <v>30001.430717462015</v>
      </c>
      <c r="AG326" s="18">
        <f>IF($A326&gt;'1-Input'!$B$26,AI325,(AI325-AE326)*(1+'5-Roberta'!$C$4))</f>
        <v>15568.827026629691</v>
      </c>
      <c r="AH326" s="18">
        <f>IF($A326&gt;'1-Input'!$B$26,AF326,AF326-'P-Parametri'!$B$8*(AG326+AF326)+MIN(MAX(AG326,0),'P-Parametri'!$B$8*(AG326+AF326)))</f>
        <v>30001.430717462015</v>
      </c>
      <c r="AI326" s="18">
        <f>IF($A326&gt;'1-Input'!$B$26,AG326,AG326-MIN(MAX(AG326,0),'P-Parametri'!$B$8*(AG326+AF326)))</f>
        <v>15477.686511141508</v>
      </c>
      <c r="AJ326" s="18">
        <f>IF($A326&gt;'1-Input'!$B$26,AJ325,AJ325-AE326*(1-AD326))</f>
        <v>4497.5635092200664</v>
      </c>
      <c r="AK326" s="11">
        <f>IF($A326&gt;'1-Input'!$B$26,0,IF(AP325&lt;=0,0,MAX(0,(AP325-AQ325)/AP325)))</f>
        <v>0.70245068051494153</v>
      </c>
      <c r="AL326" s="18">
        <f>IF($A326&gt;'1-Input'!$B$26,0,(MAX(0,AK286-IF($A326&gt;='1-Input'!$C$12,'1-Input'!$B$12,0))-MIN(MAX(AO325,0),MAX(0,AK286-IF($A326&gt;='1-Input'!$C$12,'1-Input'!$B$12,0))))*(1/(1-'P-Parametri'!$B$6*AK326))+MIN(MAX(0,AP325-(MAX(0,AK286-IF($A326&gt;='1-Input'!$C$12,'1-Input'!$B$12,0))-MIN(MAX(AO325,0),MAX(0,AK286-IF($A326&gt;='1-Input'!$C$12,'1-Input'!$B$12,0))))*(1/(1-'P-Parametri'!$B$6*AK326))),MAX(0,5*MAX(0,AK286-IF($A326&gt;='1-Input'!$C$12,'1-Input'!$B$12,0))-(AO325-MIN(MAX(AO325,0),MAX(0,AK286-IF($A326&gt;='1-Input'!$C$12,'1-Input'!$B$12,0)))))*(1/(1-'P-Parametri'!$B$6*AK326))))</f>
        <v>7500.1882109407316</v>
      </c>
      <c r="AM326" s="18">
        <f>IF($A326&gt;'1-Input'!$B$26,AO325,(AO325-MAX(0,AK286-IF($A326&gt;='1-Input'!$C$12,'1-Input'!$B$12,0))+AL326*(1-'P-Parametri'!$B$6*AK326))*(1+'1-Input'!$B$27))</f>
        <v>30001.501274985611</v>
      </c>
      <c r="AN326" s="18">
        <f>IF($A326&gt;'1-Input'!$B$26,AP325,(AP325-AL326)*(1+'5-Roberta'!$C$4))</f>
        <v>15567.528468873266</v>
      </c>
      <c r="AO326" s="18">
        <f>IF($A326&gt;'1-Input'!$B$26,AM326,AM326-'P-Parametri'!$B$8*(AN326+AM326)+MIN(MAX(AN326,0),'P-Parametri'!$B$8*(AN326+AM326)))</f>
        <v>30001.501274985611</v>
      </c>
      <c r="AP326" s="18">
        <f>IF($A326&gt;'1-Input'!$B$26,AN326,AN326-MIN(MAX(AN326,0),'P-Parametri'!$B$8*(AN326+AM326)))</f>
        <v>15476.390409385549</v>
      </c>
      <c r="AQ326" s="18">
        <f>IF($A326&gt;'1-Input'!$B$26,AQ325,AQ325-AL326*(1-AK326))</f>
        <v>4497.1917494927311</v>
      </c>
    </row>
    <row r="327" spans="1:43">
      <c r="A327" s="10">
        <f>39</f>
        <v>39</v>
      </c>
      <c r="B327" s="11">
        <f>IF($A327&gt;'1-Input'!$B$26,0,IF(G326&lt;=0,0,MAX(0,(G326-H326)/G326)))</f>
        <v>0.7142539259153714</v>
      </c>
      <c r="C327" s="18">
        <f>IF($A327&gt;'1-Input'!$B$26,0,(MAX(0,B286-IF($A327&gt;='1-Input'!$C$12,'1-Input'!$B$12,0))-MIN(MAX(F326,0),MAX(0,B286-IF($A327&gt;='1-Input'!$C$12,'1-Input'!$B$12,0))))*(1/(1-'P-Parametri'!$B$6*B327))+MIN(MAX(0,G326-(MAX(0,B286-IF($A327&gt;='1-Input'!$C$12,'1-Input'!$B$12,0))-MIN(MAX(F326,0),MAX(0,B286-IF($A327&gt;='1-Input'!$C$12,'1-Input'!$B$12,0))))*(1/(1-'P-Parametri'!$B$6*B327))),MAX(0,5*MAX(0,B286-IF($A327&gt;='1-Input'!$C$12,'1-Input'!$B$12,0))-(F326-MIN(MAX(F326,0),MAX(0,B286-IF($A327&gt;='1-Input'!$C$12,'1-Input'!$B$12,0)))))*(1/(1-'P-Parametri'!$B$6*B327))))</f>
        <v>6974.7271316391088</v>
      </c>
      <c r="D327" s="18">
        <f>IF($A327&gt;'1-Input'!$B$26,F326,(F326-MAX(0,B286-IF($A327&gt;='1-Input'!$C$12,'1-Input'!$B$12,0))+C327*(1-'P-Parametri'!$B$6*B327))*(1+'1-Input'!$B$27))</f>
        <v>27794.853577465747</v>
      </c>
      <c r="E327" s="18">
        <f>IF($A327&gt;'1-Input'!$B$26,G326,(G326-C327)*(1+'5-Roberta'!$C$4))</f>
        <v>50401.812379973213</v>
      </c>
      <c r="F327" s="18">
        <f>IF($A327&gt;'1-Input'!$B$26,D327,D327-'P-Parametri'!$B$8*(E327+D327)+MIN(MAX(E327,0),'P-Parametri'!$B$8*(E327+D327)))</f>
        <v>27794.853577465747</v>
      </c>
      <c r="G327" s="18">
        <f>IF($A327&gt;'1-Input'!$B$26,E327,E327-MIN(MAX(E327,0),'P-Parametri'!$B$8*(E327+D327)))</f>
        <v>50245.419048058335</v>
      </c>
      <c r="H327" s="18">
        <f>IF($A327&gt;'1-Input'!$B$26,H326,H326-C327*(1-B327))</f>
        <v>13982.640790609103</v>
      </c>
      <c r="I327" s="11">
        <f>IF($A327&gt;'1-Input'!$B$26,0,IF(N326&lt;=0,0,MAX(0,(N326-O326)/N326)))</f>
        <v>0</v>
      </c>
      <c r="J327" s="18">
        <f>IF($A327&gt;'1-Input'!$B$26,0,(MAX(0,I286-IF($A327&gt;='1-Input'!$C$12,'1-Input'!$B$12,0))-MIN(MAX(M326,0),MAX(0,I286-IF($A327&gt;='1-Input'!$C$12,'1-Input'!$B$12,0))))*(1/(1-'P-Parametri'!$B$6*I327))+MIN(MAX(0,N326-(MAX(0,I286-IF($A327&gt;='1-Input'!$C$12,'1-Input'!$B$12,0))-MIN(MAX(M326,0),MAX(0,I286-IF($A327&gt;='1-Input'!$C$12,'1-Input'!$B$12,0))))*(1/(1-'P-Parametri'!$B$6*I327))),MAX(0,5*MAX(0,I286-IF($A327&gt;='1-Input'!$C$12,'1-Input'!$B$12,0))-(M326-MIN(MAX(M326,0),MAX(0,I286-IF($A327&gt;='1-Input'!$C$12,'1-Input'!$B$12,0)))))*(1/(1-'P-Parametri'!$B$6*I327))))</f>
        <v>10846.756992928691</v>
      </c>
      <c r="K327" s="18">
        <f>IF($A327&gt;'1-Input'!$B$26,M326,(M326-MAX(0,I286-IF($A327&gt;='1-Input'!$C$12,'1-Input'!$B$12,0))+J327*(1-'P-Parametri'!$B$6*I327))*(1+'1-Input'!$B$27))</f>
        <v>0</v>
      </c>
      <c r="L327" s="18">
        <f>IF($A327&gt;'1-Input'!$B$26,N326,(N326-J327)*(1+'5-Roberta'!$C$4))</f>
        <v>-266910.32863867807</v>
      </c>
      <c r="M327" s="18">
        <f>IF($A327&gt;'1-Input'!$B$26,K327,K327-'P-Parametri'!$B$8*(L327+K327)+MIN(MAX(L327,0),'P-Parametri'!$B$8*(L327+K327)))</f>
        <v>0</v>
      </c>
      <c r="N327" s="18">
        <f>IF($A327&gt;'1-Input'!$B$26,L327,L327-MIN(MAX(L327,0),'P-Parametri'!$B$8*(L327+K327)))</f>
        <v>-266376.5079814007</v>
      </c>
      <c r="O327" s="18">
        <f>IF($A327&gt;'1-Input'!$B$26,O326,O326-J327*(1-I327))</f>
        <v>-201396.75452663391</v>
      </c>
      <c r="P327" s="11">
        <f>IF($A327&gt;'1-Input'!$B$26,0,IF(U326&lt;=0,0,MAX(0,(U326-V326)/U326)))</f>
        <v>0.70793842352299508</v>
      </c>
      <c r="Q327" s="18">
        <f>IF($A327&gt;'1-Input'!$B$26,0,(MAX(0,P286-IF($A327&gt;='1-Input'!$C$12,'1-Input'!$B$12,0))-MIN(MAX(T326,0),MAX(0,P286-IF($A327&gt;='1-Input'!$C$12,'1-Input'!$B$12,0))))*(1/(1-'P-Parametri'!$B$6*P327))+MIN(MAX(0,U326-(MAX(0,P286-IF($A327&gt;='1-Input'!$C$12,'1-Input'!$B$12,0))-MIN(MAX(T326,0),MAX(0,P286-IF($A327&gt;='1-Input'!$C$12,'1-Input'!$B$12,0))))*(1/(1-'P-Parametri'!$B$6*P327))),MAX(0,5*MAX(0,P286-IF($A327&gt;='1-Input'!$C$12,'1-Input'!$B$12,0))-(T326-MIN(MAX(T326,0),MAX(0,P286-IF($A327&gt;='1-Input'!$C$12,'1-Input'!$B$12,0)))))*(1/(1-'P-Parametri'!$B$6*P327))))</f>
        <v>7580.8586943641876</v>
      </c>
      <c r="R327" s="18">
        <f>IF($A327&gt;'1-Input'!$B$26,T326,(T326-MAX(0,P286-IF($A327&gt;='1-Input'!$C$12,'1-Input'!$B$12,0))+Q327*(1-'P-Parametri'!$B$6*P327))*(1+'1-Input'!$B$27))</f>
        <v>30271.256436314517</v>
      </c>
      <c r="S327" s="18">
        <f>IF($A327&gt;'1-Input'!$B$26,U326,(U326-Q327)*(1+'5-Roberta'!$C$4))</f>
        <v>3029.6238809511597</v>
      </c>
      <c r="T327" s="18">
        <f>IF($A327&gt;'1-Input'!$B$26,R327,R327-'P-Parametri'!$B$8*(S327+R327)+MIN(MAX(S327,0),'P-Parametri'!$B$8*(S327+R327)))</f>
        <v>30271.256436314517</v>
      </c>
      <c r="U327" s="18">
        <f>IF($A327&gt;'1-Input'!$B$26,S327,S327-MIN(MAX(S327,0),'P-Parametri'!$B$8*(S327+R327)))</f>
        <v>2963.0221203166284</v>
      </c>
      <c r="V327" s="18">
        <f>IF($A327&gt;'1-Input'!$B$26,V326,V326-Q327*(1-P327))</f>
        <v>859.06478330386153</v>
      </c>
      <c r="W327" s="11">
        <f>IF($A327&gt;'1-Input'!$B$26,0,IF(AB326&lt;=0,0,MAX(0,(AB326-AC326)/AB326)))</f>
        <v>0.70940242580781798</v>
      </c>
      <c r="X327" s="18">
        <f>IF($A327&gt;'1-Input'!$B$26,0,(MAX(0,W286-IF($A327&gt;='1-Input'!$C$12,'1-Input'!$B$12,0))-MIN(MAX(AA326,0),MAX(0,W286-IF($A327&gt;='1-Input'!$C$12,'1-Input'!$B$12,0))))*(1/(1-'P-Parametri'!$B$6*W327))+MIN(MAX(0,AB326-(MAX(0,W286-IF($A327&gt;='1-Input'!$C$12,'1-Input'!$B$12,0))-MIN(MAX(AA326,0),MAX(0,W286-IF($A327&gt;='1-Input'!$C$12,'1-Input'!$B$12,0))))*(1/(1-'P-Parametri'!$B$6*W327))),MAX(0,5*MAX(0,W286-IF($A327&gt;='1-Input'!$C$12,'1-Input'!$B$12,0))-(AA326-MIN(MAX(AA326,0),MAX(0,W286-IF($A327&gt;='1-Input'!$C$12,'1-Input'!$B$12,0)))))*(1/(1-'P-Parametri'!$B$6*W327))))</f>
        <v>7517.5708254237761</v>
      </c>
      <c r="Y327" s="18">
        <f>IF($A327&gt;'1-Input'!$B$26,AA326,(AA326-MAX(0,W286-IF($A327&gt;='1-Input'!$C$12,'1-Input'!$B$12,0))+X327*(1-'P-Parametri'!$B$6*W327))*(1+'1-Input'!$B$27))</f>
        <v>30004.536678730263</v>
      </c>
      <c r="Z327" s="18">
        <f>IF($A327&gt;'1-Input'!$B$26,AB326,(AB326-X327)*(1+'5-Roberta'!$C$4))</f>
        <v>8140.1528991364075</v>
      </c>
      <c r="AA327" s="18">
        <f>IF($A327&gt;'1-Input'!$B$26,Y327,Y327-'P-Parametri'!$B$8*(Z327+Y327)+MIN(MAX(Z327,0),'P-Parametri'!$B$8*(Z327+Y327)))</f>
        <v>30004.536678730263</v>
      </c>
      <c r="AB327" s="18">
        <f>IF($A327&gt;'1-Input'!$B$26,Z327,Z327-MIN(MAX(Z327,0),'P-Parametri'!$B$8*(Z327+Y327)))</f>
        <v>8063.863519980674</v>
      </c>
      <c r="AC327" s="18">
        <f>IF($A327&gt;'1-Input'!$B$26,AC326,AC326-X327*(1-W327))</f>
        <v>2296.6103747985421</v>
      </c>
      <c r="AD327" s="11">
        <f>IF($A327&gt;'1-Input'!$B$26,0,IF(AI326&lt;=0,0,MAX(0,(AI326-AJ326)/AI326)))</f>
        <v>0.70941629383806648</v>
      </c>
      <c r="AE327" s="18">
        <f>IF($A327&gt;'1-Input'!$B$26,0,(MAX(0,AD286-IF($A327&gt;='1-Input'!$C$12,'1-Input'!$B$12,0))-MIN(MAX(AH326,0),MAX(0,AD286-IF($A327&gt;='1-Input'!$C$12,'1-Input'!$B$12,0))))*(1/(1-'P-Parametri'!$B$6*AD327))+MIN(MAX(0,AI326-(MAX(0,AD286-IF($A327&gt;='1-Input'!$C$12,'1-Input'!$B$12,0))-MIN(MAX(AH326,0),MAX(0,AD286-IF($A327&gt;='1-Input'!$C$12,'1-Input'!$B$12,0))))*(1/(1-'P-Parametri'!$B$6*AD327))),MAX(0,5*MAX(0,AD286-IF($A327&gt;='1-Input'!$C$12,'1-Input'!$B$12,0))-(AH326-MIN(MAX(AH326,0),MAX(0,AD286-IF($A327&gt;='1-Input'!$C$12,'1-Input'!$B$12,0)))))*(1/(1-'P-Parametri'!$B$6*AD327))))</f>
        <v>7516.8258666143211</v>
      </c>
      <c r="AF327" s="18">
        <f>IF($A327&gt;'1-Input'!$B$26,AH326,(AH326-MAX(0,AD286-IF($A327&gt;='1-Input'!$C$12,'1-Input'!$B$12,0))+AE327*(1-'P-Parametri'!$B$6*AD327))*(1+'1-Input'!$B$27))</f>
        <v>30001.430717462015</v>
      </c>
      <c r="AG327" s="18">
        <f>IF($A327&gt;'1-Input'!$B$26,AI326,(AI326-AE327)*(1+'5-Roberta'!$C$4))</f>
        <v>8199.6864638630032</v>
      </c>
      <c r="AH327" s="18">
        <f>IF($A327&gt;'1-Input'!$B$26,AF327,AF327-'P-Parametri'!$B$8*(AG327+AF327)+MIN(MAX(AG327,0),'P-Parametri'!$B$8*(AG327+AF327)))</f>
        <v>30001.430717462015</v>
      </c>
      <c r="AI327" s="18">
        <f>IF($A327&gt;'1-Input'!$B$26,AG327,AG327-MIN(MAX(AG327,0),'P-Parametri'!$B$8*(AG327+AF327)))</f>
        <v>8123.2842295003529</v>
      </c>
      <c r="AJ327" s="18">
        <f>IF($A327&gt;'1-Input'!$B$26,AJ326,AJ326-AE327*(1-AD327))</f>
        <v>2313.2963903253894</v>
      </c>
      <c r="AK327" s="11">
        <f>IF($A327&gt;'1-Input'!$B$26,0,IF(AP326&lt;=0,0,MAX(0,(AP326-AQ326)/AP326)))</f>
        <v>0.70941597940270096</v>
      </c>
      <c r="AL327" s="18">
        <f>IF($A327&gt;'1-Input'!$B$26,0,(MAX(0,AK286-IF($A327&gt;='1-Input'!$C$12,'1-Input'!$B$12,0))-MIN(MAX(AO326,0),MAX(0,AK286-IF($A327&gt;='1-Input'!$C$12,'1-Input'!$B$12,0))))*(1/(1-'P-Parametri'!$B$6*AK327))+MIN(MAX(0,AP326-(MAX(0,AK286-IF($A327&gt;='1-Input'!$C$12,'1-Input'!$B$12,0))-MIN(MAX(AO326,0),MAX(0,AK286-IF($A327&gt;='1-Input'!$C$12,'1-Input'!$B$12,0))))*(1/(1-'P-Parametri'!$B$6*AK327))),MAX(0,5*MAX(0,AK286-IF($A327&gt;='1-Input'!$C$12,'1-Input'!$B$12,0))-(AO326-MIN(MAX(AO326,0),MAX(0,AK286-IF($A327&gt;='1-Input'!$C$12,'1-Input'!$B$12,0)))))*(1/(1-'P-Parametri'!$B$6*AK327))))</f>
        <v>7516.8427912157995</v>
      </c>
      <c r="AM327" s="18">
        <f>IF($A327&gt;'1-Input'!$B$26,AO326,(AO326-MAX(0,AK286-IF($A327&gt;='1-Input'!$C$12,'1-Input'!$B$12,0))+AL327*(1-'P-Parametri'!$B$6*AK327))*(1+'1-Input'!$B$27))</f>
        <v>30001.501274985611</v>
      </c>
      <c r="AN327" s="18">
        <f>IF($A327&gt;'1-Input'!$B$26,AP326,(AP326-AL327)*(1+'5-Roberta'!$C$4))</f>
        <v>8198.3340467148428</v>
      </c>
      <c r="AO327" s="18">
        <f>IF($A327&gt;'1-Input'!$B$26,AM327,AM327-'P-Parametri'!$B$8*(AN327+AM327)+MIN(MAX(AN327,0),'P-Parametri'!$B$8*(AN327+AM327)))</f>
        <v>30001.501274985611</v>
      </c>
      <c r="AP327" s="18">
        <f>IF($A327&gt;'1-Input'!$B$26,AN327,AN327-MIN(MAX(AN327,0),'P-Parametri'!$B$8*(AN327+AM327)))</f>
        <v>8121.9343760714419</v>
      </c>
      <c r="AQ327" s="18">
        <f>IF($A327&gt;'1-Input'!$B$26,AQ326,AQ326-AL327*(1-AK327))</f>
        <v>2312.9173490234202</v>
      </c>
    </row>
    <row r="328" spans="1:43">
      <c r="A328" s="10">
        <f>40</f>
        <v>40</v>
      </c>
      <c r="B328" s="11">
        <f>IF($A328&gt;'1-Input'!$B$26,0,IF(G327&lt;=0,0,MAX(0,(G327-H327)/G327)))</f>
        <v>0.72171312220055128</v>
      </c>
      <c r="C328" s="18">
        <f>IF($A328&gt;'1-Input'!$B$26,0,(MAX(0,B286-IF($A328&gt;='1-Input'!$C$12,'1-Input'!$B$12,0))-MIN(MAX(F327,0),MAX(0,B286-IF($A328&gt;='1-Input'!$C$12,'1-Input'!$B$12,0))))*(1/(1-'P-Parametri'!$B$6*B328))+MIN(MAX(0,G327-(MAX(0,B286-IF($A328&gt;='1-Input'!$C$12,'1-Input'!$B$12,0))-MIN(MAX(F327,0),MAX(0,B286-IF($A328&gt;='1-Input'!$C$12,'1-Input'!$B$12,0))))*(1/(1-'P-Parametri'!$B$6*B328))),MAX(0,5*MAX(0,B286-IF($A328&gt;='1-Input'!$C$12,'1-Input'!$B$12,0))-(F327-MIN(MAX(F327,0),MAX(0,B286-IF($A328&gt;='1-Input'!$C$12,'1-Input'!$B$12,0)))))*(1/(1-'P-Parametri'!$B$6*B328))))</f>
        <v>6991.3783864738107</v>
      </c>
      <c r="D328" s="18">
        <f>IF($A328&gt;'1-Input'!$B$26,F327,(F327-MAX(0,B286-IF($A328&gt;='1-Input'!$C$12,'1-Input'!$B$12,0))+C328*(1-'P-Parametri'!$B$6*B328))*(1+'1-Input'!$B$27))</f>
        <v>27794.853577465747</v>
      </c>
      <c r="E328" s="18">
        <f>IF($A328&gt;'1-Input'!$B$26,G327,(G327-C328)*(1+'5-Roberta'!$C$4))</f>
        <v>44551.661881432068</v>
      </c>
      <c r="F328" s="18">
        <f>IF($A328&gt;'1-Input'!$B$26,D328,D328-'P-Parametri'!$B$8*(E328+D328)+MIN(MAX(E328,0),'P-Parametri'!$B$8*(E328+D328)))</f>
        <v>27794.853577465747</v>
      </c>
      <c r="G328" s="18">
        <f>IF($A328&gt;'1-Input'!$B$26,E328,E328-MIN(MAX(E328,0),'P-Parametri'!$B$8*(E328+D328)))</f>
        <v>44406.968850514269</v>
      </c>
      <c r="H328" s="18">
        <f>IF($A328&gt;'1-Input'!$B$26,H327,H327-C328*(1-B328))</f>
        <v>12037.031927922759</v>
      </c>
      <c r="I328" s="11">
        <f>IF($A328&gt;'1-Input'!$B$26,0,IF(N327&lt;=0,0,MAX(0,(N327-O327)/N327)))</f>
        <v>0</v>
      </c>
      <c r="J328" s="18">
        <f>IF($A328&gt;'1-Input'!$B$26,0,(MAX(0,I286-IF($A328&gt;='1-Input'!$C$12,'1-Input'!$B$12,0))-MIN(MAX(M327,0),MAX(0,I286-IF($A328&gt;='1-Input'!$C$12,'1-Input'!$B$12,0))))*(1/(1-'P-Parametri'!$B$6*I328))+MIN(MAX(0,N327-(MAX(0,I286-IF($A328&gt;='1-Input'!$C$12,'1-Input'!$B$12,0))-MIN(MAX(M327,0),MAX(0,I286-IF($A328&gt;='1-Input'!$C$12,'1-Input'!$B$12,0))))*(1/(1-'P-Parametri'!$B$6*I328))),MAX(0,5*MAX(0,I286-IF($A328&gt;='1-Input'!$C$12,'1-Input'!$B$12,0))-(M327-MIN(MAX(M327,0),MAX(0,I286-IF($A328&gt;='1-Input'!$C$12,'1-Input'!$B$12,0)))))*(1/(1-'P-Parametri'!$B$6*I328))))</f>
        <v>10846.756992928691</v>
      </c>
      <c r="K328" s="18">
        <f>IF($A328&gt;'1-Input'!$B$26,M327,(M327-MAX(0,I286-IF($A328&gt;='1-Input'!$C$12,'1-Input'!$B$12,0))+J328*(1-'P-Parametri'!$B$6*I328))*(1+'1-Input'!$B$27))</f>
        <v>0</v>
      </c>
      <c r="L328" s="18">
        <f>IF($A328&gt;'1-Input'!$B$26,N327,(N327-J328)*(1+'5-Roberta'!$C$4))</f>
        <v>-285539.9629235593</v>
      </c>
      <c r="M328" s="18">
        <f>IF($A328&gt;'1-Input'!$B$26,K328,K328-'P-Parametri'!$B$8*(L328+K328)+MIN(MAX(L328,0),'P-Parametri'!$B$8*(L328+K328)))</f>
        <v>0</v>
      </c>
      <c r="N328" s="18">
        <f>IF($A328&gt;'1-Input'!$B$26,L328,L328-MIN(MAX(L328,0),'P-Parametri'!$B$8*(L328+K328)))</f>
        <v>-284968.88299771218</v>
      </c>
      <c r="O328" s="18">
        <f>IF($A328&gt;'1-Input'!$B$26,O327,O327-J328*(1-I328))</f>
        <v>-212243.5115195626</v>
      </c>
      <c r="P328" s="11">
        <f>IF($A328&gt;'1-Input'!$B$26,0,IF(U327&lt;=0,0,MAX(0,(U327-V327)/U327)))</f>
        <v>0.71007142423490854</v>
      </c>
      <c r="Q328" s="18">
        <f>IF($A328&gt;'1-Input'!$B$26,0,(MAX(0,P286-IF($A328&gt;='1-Input'!$C$12,'1-Input'!$B$12,0))-MIN(MAX(T327,0),MAX(0,P286-IF($A328&gt;='1-Input'!$C$12,'1-Input'!$B$12,0))))*(1/(1-'P-Parametri'!$B$6*P328))+MIN(MAX(0,U327-(MAX(0,P286-IF($A328&gt;='1-Input'!$C$12,'1-Input'!$B$12,0))-MIN(MAX(T327,0),MAX(0,P286-IF($A328&gt;='1-Input'!$C$12,'1-Input'!$B$12,0))))*(1/(1-'P-Parametri'!$B$6*P328))),MAX(0,5*MAX(0,P286-IF($A328&gt;='1-Input'!$C$12,'1-Input'!$B$12,0))-(T327-MIN(MAX(T327,0),MAX(0,P286-IF($A328&gt;='1-Input'!$C$12,'1-Input'!$B$12,0)))))*(1/(1-'P-Parametri'!$B$6*P328))))</f>
        <v>2963.0221203166284</v>
      </c>
      <c r="R328" s="18">
        <f>IF($A328&gt;'1-Input'!$B$26,T327,(T327-MAX(0,P286-IF($A328&gt;='1-Input'!$C$12,'1-Input'!$B$12,0))+Q328*(1-'P-Parametri'!$B$6*P328))*(1+'1-Input'!$B$27))</f>
        <v>26515.324263008493</v>
      </c>
      <c r="S328" s="18">
        <f>IF($A328&gt;'1-Input'!$B$26,U327,(U327-Q328)*(1+'5-Roberta'!$C$4))</f>
        <v>0</v>
      </c>
      <c r="T328" s="18">
        <f>IF($A328&gt;'1-Input'!$B$26,R328,R328-'P-Parametri'!$B$8*(S328+R328)+MIN(MAX(S328,0),'P-Parametri'!$B$8*(S328+R328)))</f>
        <v>26462.293614482478</v>
      </c>
      <c r="U328" s="18">
        <f>IF($A328&gt;'1-Input'!$B$26,S328,S328-MIN(MAX(S328,0),'P-Parametri'!$B$8*(S328+R328)))</f>
        <v>0</v>
      </c>
      <c r="V328" s="18">
        <f>IF($A328&gt;'1-Input'!$B$26,V327,V327-Q328*(1-P328))</f>
        <v>0</v>
      </c>
      <c r="W328" s="11">
        <f>IF($A328&gt;'1-Input'!$B$26,0,IF(AB327&lt;=0,0,MAX(0,(AB327-AC327)/AB327)))</f>
        <v>0.71519726628458047</v>
      </c>
      <c r="X328" s="18">
        <f>IF($A328&gt;'1-Input'!$B$26,0,(MAX(0,W286-IF($A328&gt;='1-Input'!$C$12,'1-Input'!$B$12,0))-MIN(MAX(AA327,0),MAX(0,W286-IF($A328&gt;='1-Input'!$C$12,'1-Input'!$B$12,0))))*(1/(1-'P-Parametri'!$B$6*W328))+MIN(MAX(0,AB327-(MAX(0,W286-IF($A328&gt;='1-Input'!$C$12,'1-Input'!$B$12,0))-MIN(MAX(AA327,0),MAX(0,W286-IF($A328&gt;='1-Input'!$C$12,'1-Input'!$B$12,0))))*(1/(1-'P-Parametri'!$B$6*W328))),MAX(0,5*MAX(0,W286-IF($A328&gt;='1-Input'!$C$12,'1-Input'!$B$12,0))-(AA327-MIN(MAX(AA327,0),MAX(0,W286-IF($A328&gt;='1-Input'!$C$12,'1-Input'!$B$12,0)))))*(1/(1-'P-Parametri'!$B$6*W328))))</f>
        <v>7531.4845040695263</v>
      </c>
      <c r="Y328" s="18">
        <f>IF($A328&gt;'1-Input'!$B$26,AA327,(AA327-MAX(0,W286-IF($A328&gt;='1-Input'!$C$12,'1-Input'!$B$12,0))+X328*(1-'P-Parametri'!$B$6*W328))*(1+'1-Input'!$B$27))</f>
        <v>30004.536678730263</v>
      </c>
      <c r="Z328" s="18">
        <f>IF($A328&gt;'1-Input'!$B$26,AB327,(AB327-X328)*(1+'5-Roberta'!$C$4))</f>
        <v>548.35038638848209</v>
      </c>
      <c r="AA328" s="18">
        <f>IF($A328&gt;'1-Input'!$B$26,Y328,Y328-'P-Parametri'!$B$8*(Z328+Y328)+MIN(MAX(Z328,0),'P-Parametri'!$B$8*(Z328+Y328)))</f>
        <v>30004.536678730263</v>
      </c>
      <c r="AB328" s="18">
        <f>IF($A328&gt;'1-Input'!$B$26,Z328,Z328-MIN(MAX(Z328,0),'P-Parametri'!$B$8*(Z328+Y328)))</f>
        <v>487.24461225824462</v>
      </c>
      <c r="AC328" s="18">
        <f>IF($A328&gt;'1-Input'!$B$26,AC327,AC327-X328*(1-W328))</f>
        <v>151.62299910422007</v>
      </c>
      <c r="AD328" s="11">
        <f>IF($A328&gt;'1-Input'!$B$26,0,IF(AI327&lt;=0,0,MAX(0,(AI327-AJ327)/AI327)))</f>
        <v>0.71522646198633932</v>
      </c>
      <c r="AE328" s="18">
        <f>IF($A328&gt;'1-Input'!$B$26,0,(MAX(0,AD286-IF($A328&gt;='1-Input'!$C$12,'1-Input'!$B$12,0))-MIN(MAX(AH327,0),MAX(0,AD286-IF($A328&gt;='1-Input'!$C$12,'1-Input'!$B$12,0))))*(1/(1-'P-Parametri'!$B$6*AD328))+MIN(MAX(0,AI327-(MAX(0,AD286-IF($A328&gt;='1-Input'!$C$12,'1-Input'!$B$12,0))-MIN(MAX(AH327,0),MAX(0,AD286-IF($A328&gt;='1-Input'!$C$12,'1-Input'!$B$12,0))))*(1/(1-'P-Parametri'!$B$6*AD328))),MAX(0,5*MAX(0,AD286-IF($A328&gt;='1-Input'!$C$12,'1-Input'!$B$12,0))-(AH327-MIN(MAX(AH327,0),MAX(0,AD286-IF($A328&gt;='1-Input'!$C$12,'1-Input'!$B$12,0)))))*(1/(1-'P-Parametri'!$B$6*AD328))))</f>
        <v>7530.7750953467284</v>
      </c>
      <c r="AF328" s="18">
        <f>IF($A328&gt;'1-Input'!$B$26,AH327,(AH327-MAX(0,AD286-IF($A328&gt;='1-Input'!$C$12,'1-Input'!$B$12,0))+AE328*(1-'P-Parametri'!$B$6*AD328))*(1+'1-Input'!$B$27))</f>
        <v>30001.430717462015</v>
      </c>
      <c r="AG328" s="18">
        <f>IF($A328&gt;'1-Input'!$B$26,AI327,(AI327-AE328)*(1+'5-Roberta'!$C$4))</f>
        <v>610.28440817823321</v>
      </c>
      <c r="AH328" s="18">
        <f>IF($A328&gt;'1-Input'!$B$26,AF328,AF328-'P-Parametri'!$B$8*(AG328+AF328)+MIN(MAX(AG328,0),'P-Parametri'!$B$8*(AG328+AF328)))</f>
        <v>30001.430717462015</v>
      </c>
      <c r="AI328" s="18">
        <f>IF($A328&gt;'1-Input'!$B$26,AG328,AG328-MIN(MAX(AG328,0),'P-Parametri'!$B$8*(AG328+AF328)))</f>
        <v>549.06097792695266</v>
      </c>
      <c r="AJ328" s="18">
        <f>IF($A328&gt;'1-Input'!$B$26,AJ327,AJ327-AE328*(1-AD328))</f>
        <v>168.73092243833889</v>
      </c>
      <c r="AK328" s="11">
        <f>IF($A328&gt;'1-Input'!$B$26,0,IF(AP327&lt;=0,0,MAX(0,(AP327-AQ327)/AP327)))</f>
        <v>0.71522580189300022</v>
      </c>
      <c r="AL328" s="18">
        <f>IF($A328&gt;'1-Input'!$B$26,0,(MAX(0,AK286-IF($A328&gt;='1-Input'!$C$12,'1-Input'!$B$12,0))-MIN(MAX(AO327,0),MAX(0,AK286-IF($A328&gt;='1-Input'!$C$12,'1-Input'!$B$12,0))))*(1/(1-'P-Parametri'!$B$6*AK328))+MIN(MAX(0,AP327-(MAX(0,AK286-IF($A328&gt;='1-Input'!$C$12,'1-Input'!$B$12,0))-MIN(MAX(AO327,0),MAX(0,AK286-IF($A328&gt;='1-Input'!$C$12,'1-Input'!$B$12,0))))*(1/(1-'P-Parametri'!$B$6*AK328))),MAX(0,5*MAX(0,AK286-IF($A328&gt;='1-Input'!$C$12,'1-Input'!$B$12,0))-(AO327-MIN(MAX(AO327,0),MAX(0,AK286-IF($A328&gt;='1-Input'!$C$12,'1-Input'!$B$12,0)))))*(1/(1-'P-Parametri'!$B$6*AK328))))</f>
        <v>7530.791218546955</v>
      </c>
      <c r="AM328" s="18">
        <f>IF($A328&gt;'1-Input'!$B$26,AO327,(AO327-MAX(0,AK286-IF($A328&gt;='1-Input'!$C$12,'1-Input'!$B$12,0))+AL328*(1-'P-Parametri'!$B$6*AK328))*(1+'1-Input'!$B$27))</f>
        <v>30001.501274985611</v>
      </c>
      <c r="AN328" s="18">
        <f>IF($A328&gt;'1-Input'!$B$26,AP327,(AP327-AL328)*(1+'5-Roberta'!$C$4))</f>
        <v>608.87745225022149</v>
      </c>
      <c r="AO328" s="18">
        <f>IF($A328&gt;'1-Input'!$B$26,AM328,AM328-'P-Parametri'!$B$8*(AN328+AM328)+MIN(MAX(AN328,0),'P-Parametri'!$B$8*(AN328+AM328)))</f>
        <v>30001.501274985611</v>
      </c>
      <c r="AP328" s="18">
        <f>IF($A328&gt;'1-Input'!$B$26,AN328,AN328-MIN(MAX(AN328,0),'P-Parametri'!$B$8*(AN328+AM328)))</f>
        <v>547.65669479574979</v>
      </c>
      <c r="AQ328" s="18">
        <f>IF($A328&gt;'1-Input'!$B$26,AQ327,AQ327-AL328*(1-AK328))</f>
        <v>168.34231865047559</v>
      </c>
    </row>
    <row r="329" spans="1:43">
      <c r="A329" s="10">
        <f>41</f>
        <v>41</v>
      </c>
      <c r="B329" s="11">
        <f>IF($A329&gt;'1-Input'!$B$26,0,IF(G328&lt;=0,0,MAX(0,(G328-H328)/G328)))</f>
        <v>0.72893822209656722</v>
      </c>
      <c r="C329" s="18">
        <f>IF($A329&gt;'1-Input'!$B$26,0,(MAX(0,B286-IF($A329&gt;='1-Input'!$C$12,'1-Input'!$B$12,0))-MIN(MAX(F328,0),MAX(0,B286-IF($A329&gt;='1-Input'!$C$12,'1-Input'!$B$12,0))))*(1/(1-'P-Parametri'!$B$6*B329))+MIN(MAX(0,G328-(MAX(0,B286-IF($A329&gt;='1-Input'!$C$12,'1-Input'!$B$12,0))-MIN(MAX(F328,0),MAX(0,B286-IF($A329&gt;='1-Input'!$C$12,'1-Input'!$B$12,0))))*(1/(1-'P-Parametri'!$B$6*B329))),MAX(0,5*MAX(0,B286-IF($A329&gt;='1-Input'!$C$12,'1-Input'!$B$12,0))-(F328-MIN(MAX(F328,0),MAX(0,B286-IF($A329&gt;='1-Input'!$C$12,'1-Input'!$B$12,0)))))*(1/(1-'P-Parametri'!$B$6*B329))))</f>
        <v>7007.583042598103</v>
      </c>
      <c r="D329" s="18">
        <f>IF($A329&gt;'1-Input'!$B$26,F328,(F328-MAX(0,B286-IF($A329&gt;='1-Input'!$C$12,'1-Input'!$B$12,0))+C329*(1-'P-Parametri'!$B$6*B329))*(1+'1-Input'!$B$27))</f>
        <v>27794.853577465747</v>
      </c>
      <c r="E329" s="18">
        <f>IF($A329&gt;'1-Input'!$B$26,G328,(G328-C329)*(1+'5-Roberta'!$C$4))</f>
        <v>38521.36738215365</v>
      </c>
      <c r="F329" s="18">
        <f>IF($A329&gt;'1-Input'!$B$26,D329,D329-'P-Parametri'!$B$8*(E329+D329)+MIN(MAX(E329,0),'P-Parametri'!$B$8*(E329+D329)))</f>
        <v>27794.853577465747</v>
      </c>
      <c r="G329" s="18">
        <f>IF($A329&gt;'1-Input'!$B$26,E329,E329-MIN(MAX(E329,0),'P-Parametri'!$B$8*(E329+D329)))</f>
        <v>38388.734940234412</v>
      </c>
      <c r="H329" s="18">
        <f>IF($A329&gt;'1-Input'!$B$26,H328,H328-C329*(1-B329))</f>
        <v>10137.54400959017</v>
      </c>
      <c r="I329" s="11">
        <f>IF($A329&gt;'1-Input'!$B$26,0,IF(N328&lt;=0,0,MAX(0,(N328-O328)/N328)))</f>
        <v>0</v>
      </c>
      <c r="J329" s="18">
        <f>IF($A329&gt;'1-Input'!$B$26,0,(MAX(0,I286-IF($A329&gt;='1-Input'!$C$12,'1-Input'!$B$12,0))-MIN(MAX(M328,0),MAX(0,I286-IF($A329&gt;='1-Input'!$C$12,'1-Input'!$B$12,0))))*(1/(1-'P-Parametri'!$B$6*I329))+MIN(MAX(0,N328-(MAX(0,I286-IF($A329&gt;='1-Input'!$C$12,'1-Input'!$B$12,0))-MIN(MAX(M328,0),MAX(0,I286-IF($A329&gt;='1-Input'!$C$12,'1-Input'!$B$12,0))))*(1/(1-'P-Parametri'!$B$6*I329))),MAX(0,5*MAX(0,I286-IF($A329&gt;='1-Input'!$C$12,'1-Input'!$B$12,0))-(M328-MIN(MAX(M328,0),MAX(0,I286-IF($A329&gt;='1-Input'!$C$12,'1-Input'!$B$12,0)))))*(1/(1-'P-Parametri'!$B$6*I329))))</f>
        <v>10846.756992928691</v>
      </c>
      <c r="K329" s="18">
        <f>IF($A329&gt;'1-Input'!$B$26,M328,(M328-MAX(0,I286-IF($A329&gt;='1-Input'!$C$12,'1-Input'!$B$12,0))+J329*(1-'P-Parametri'!$B$6*I329))*(1+'1-Input'!$B$27))</f>
        <v>0</v>
      </c>
      <c r="L329" s="18">
        <f>IF($A329&gt;'1-Input'!$B$26,N328,(N328-J329)*(1+'5-Roberta'!$C$4))</f>
        <v>-304690.10919036012</v>
      </c>
      <c r="M329" s="18">
        <f>IF($A329&gt;'1-Input'!$B$26,K329,K329-'P-Parametri'!$B$8*(L329+K329)+MIN(MAX(L329,0),'P-Parametri'!$B$8*(L329+K329)))</f>
        <v>0</v>
      </c>
      <c r="N329" s="18">
        <f>IF($A329&gt;'1-Input'!$B$26,L329,L329-MIN(MAX(L329,0),'P-Parametri'!$B$8*(L329+K329)))</f>
        <v>-304080.72897197941</v>
      </c>
      <c r="O329" s="18">
        <f>IF($A329&gt;'1-Input'!$B$26,O328,O328-J329*(1-I329))</f>
        <v>-223090.26851249128</v>
      </c>
      <c r="P329" s="11">
        <f>IF($A329&gt;'1-Input'!$B$26,0,IF(U328&lt;=0,0,MAX(0,(U328-V328)/U328)))</f>
        <v>0</v>
      </c>
      <c r="Q329" s="18">
        <f>IF($A329&gt;'1-Input'!$B$26,0,(MAX(0,P286-IF($A329&gt;='1-Input'!$C$12,'1-Input'!$B$12,0))-MIN(MAX(T328,0),MAX(0,P286-IF($A329&gt;='1-Input'!$C$12,'1-Input'!$B$12,0))))*(1/(1-'P-Parametri'!$B$6*P329))+MIN(MAX(0,U328-(MAX(0,P286-IF($A329&gt;='1-Input'!$C$12,'1-Input'!$B$12,0))-MIN(MAX(T328,0),MAX(0,P286-IF($A329&gt;='1-Input'!$C$12,'1-Input'!$B$12,0))))*(1/(1-'P-Parametri'!$B$6*P329))),MAX(0,5*MAX(0,P286-IF($A329&gt;='1-Input'!$C$12,'1-Input'!$B$12,0))-(T328-MIN(MAX(T328,0),MAX(0,P286-IF($A329&gt;='1-Input'!$C$12,'1-Input'!$B$12,0)))))*(1/(1-'P-Parametri'!$B$6*P329))))</f>
        <v>0</v>
      </c>
      <c r="R329" s="18">
        <f>IF($A329&gt;'1-Input'!$B$26,T328,(T328-MAX(0,P286-IF($A329&gt;='1-Input'!$C$12,'1-Input'!$B$12,0))+Q329*(1-'P-Parametri'!$B$6*P329))*(1+'1-Input'!$B$27))</f>
        <v>20312.778070207438</v>
      </c>
      <c r="S329" s="18">
        <f>IF($A329&gt;'1-Input'!$B$26,U328,(U328-Q329)*(1+'5-Roberta'!$C$4))</f>
        <v>0</v>
      </c>
      <c r="T329" s="18">
        <f>IF($A329&gt;'1-Input'!$B$26,R329,R329-'P-Parametri'!$B$8*(S329+R329)+MIN(MAX(S329,0),'P-Parametri'!$B$8*(S329+R329)))</f>
        <v>20272.152514067024</v>
      </c>
      <c r="U329" s="18">
        <f>IF($A329&gt;'1-Input'!$B$26,S329,S329-MIN(MAX(S329,0),'P-Parametri'!$B$8*(S329+R329)))</f>
        <v>0</v>
      </c>
      <c r="V329" s="18">
        <f>IF($A329&gt;'1-Input'!$B$26,V328,V328-Q329*(1-P329))</f>
        <v>0</v>
      </c>
      <c r="W329" s="11">
        <f>IF($A329&gt;'1-Input'!$B$26,0,IF(AB328&lt;=0,0,MAX(0,(AB328-AC328)/AB328)))</f>
        <v>0.68881544240891812</v>
      </c>
      <c r="X329" s="18">
        <f>IF($A329&gt;'1-Input'!$B$26,0,(MAX(0,W286-IF($A329&gt;='1-Input'!$C$12,'1-Input'!$B$12,0))-MIN(MAX(AA328,0),MAX(0,W286-IF($A329&gt;='1-Input'!$C$12,'1-Input'!$B$12,0))))*(1/(1-'P-Parametri'!$B$6*W329))+MIN(MAX(0,AB328-(MAX(0,W286-IF($A329&gt;='1-Input'!$C$12,'1-Input'!$B$12,0))-MIN(MAX(AA328,0),MAX(0,W286-IF($A329&gt;='1-Input'!$C$12,'1-Input'!$B$12,0))))*(1/(1-'P-Parametri'!$B$6*W329))),MAX(0,5*MAX(0,W286-IF($A329&gt;='1-Input'!$C$12,'1-Input'!$B$12,0))-(AA328-MIN(MAX(AA328,0),MAX(0,W286-IF($A329&gt;='1-Input'!$C$12,'1-Input'!$B$12,0)))))*(1/(1-'P-Parametri'!$B$6*W329))))</f>
        <v>487.24461225824462</v>
      </c>
      <c r="Y329" s="18">
        <f>IF($A329&gt;'1-Input'!$B$26,AA328,(AA328-MAX(0,W286-IF($A329&gt;='1-Input'!$C$12,'1-Input'!$B$12,0))+X329*(1-'P-Parametri'!$B$6*W329))*(1+'1-Input'!$B$27))</f>
        <v>24294.156065004761</v>
      </c>
      <c r="Z329" s="18">
        <f>IF($A329&gt;'1-Input'!$B$26,AB328,(AB328-X329)*(1+'5-Roberta'!$C$4))</f>
        <v>0</v>
      </c>
      <c r="AA329" s="18">
        <f>IF($A329&gt;'1-Input'!$B$26,Y329,Y329-'P-Parametri'!$B$8*(Z329+Y329)+MIN(MAX(Z329,0),'P-Parametri'!$B$8*(Z329+Y329)))</f>
        <v>24245.567752874751</v>
      </c>
      <c r="AB329" s="18">
        <f>IF($A329&gt;'1-Input'!$B$26,Z329,Z329-MIN(MAX(Z329,0),'P-Parametri'!$B$8*(Z329+Y329)))</f>
        <v>0</v>
      </c>
      <c r="AC329" s="18">
        <f>IF($A329&gt;'1-Input'!$B$26,AC328,AC328-X329*(1-W329))</f>
        <v>0</v>
      </c>
      <c r="AD329" s="11">
        <f>IF($A329&gt;'1-Input'!$B$26,0,IF(AI328&lt;=0,0,MAX(0,(AI328-AJ328)/AI328)))</f>
        <v>0.69269183347284435</v>
      </c>
      <c r="AE329" s="18">
        <f>IF($A329&gt;'1-Input'!$B$26,0,(MAX(0,AD286-IF($A329&gt;='1-Input'!$C$12,'1-Input'!$B$12,0))-MIN(MAX(AH328,0),MAX(0,AD286-IF($A329&gt;='1-Input'!$C$12,'1-Input'!$B$12,0))))*(1/(1-'P-Parametri'!$B$6*AD329))+MIN(MAX(0,AI328-(MAX(0,AD286-IF($A329&gt;='1-Input'!$C$12,'1-Input'!$B$12,0))-MIN(MAX(AH328,0),MAX(0,AD286-IF($A329&gt;='1-Input'!$C$12,'1-Input'!$B$12,0))))*(1/(1-'P-Parametri'!$B$6*AD329))),MAX(0,5*MAX(0,AD286-IF($A329&gt;='1-Input'!$C$12,'1-Input'!$B$12,0))-(AH328-MIN(MAX(AH328,0),MAX(0,AD286-IF($A329&gt;='1-Input'!$C$12,'1-Input'!$B$12,0)))))*(1/(1-'P-Parametri'!$B$6*AD329))))</f>
        <v>549.06097792695266</v>
      </c>
      <c r="AF329" s="18">
        <f>IF($A329&gt;'1-Input'!$B$26,AH328,(AH328-MAX(0,AD286-IF($A329&gt;='1-Input'!$C$12,'1-Input'!$B$12,0))+AE329*(1-'P-Parametri'!$B$6*AD329))*(1+'1-Input'!$B$27))</f>
        <v>24341.693956298062</v>
      </c>
      <c r="AG329" s="18">
        <f>IF($A329&gt;'1-Input'!$B$26,AI328,(AI328-AE329)*(1+'5-Roberta'!$C$4))</f>
        <v>0</v>
      </c>
      <c r="AH329" s="18">
        <f>IF($A329&gt;'1-Input'!$B$26,AF329,AF329-'P-Parametri'!$B$8*(AG329+AF329)+MIN(MAX(AG329,0),'P-Parametri'!$B$8*(AG329+AF329)))</f>
        <v>24293.010568385467</v>
      </c>
      <c r="AI329" s="18">
        <f>IF($A329&gt;'1-Input'!$B$26,AG329,AG329-MIN(MAX(AG329,0),'P-Parametri'!$B$8*(AG329+AF329)))</f>
        <v>0</v>
      </c>
      <c r="AJ329" s="18">
        <f>IF($A329&gt;'1-Input'!$B$26,AJ328,AJ328-AE329*(1-AD329))</f>
        <v>0</v>
      </c>
      <c r="AK329" s="11">
        <f>IF($A329&gt;'1-Input'!$B$26,0,IF(AP328&lt;=0,0,MAX(0,(AP328-AQ328)/AP328)))</f>
        <v>0.69261341959261657</v>
      </c>
      <c r="AL329" s="18">
        <f>IF($A329&gt;'1-Input'!$B$26,0,(MAX(0,AK286-IF($A329&gt;='1-Input'!$C$12,'1-Input'!$B$12,0))-MIN(MAX(AO328,0),MAX(0,AK286-IF($A329&gt;='1-Input'!$C$12,'1-Input'!$B$12,0))))*(1/(1-'P-Parametri'!$B$6*AK329))+MIN(MAX(0,AP328-(MAX(0,AK286-IF($A329&gt;='1-Input'!$C$12,'1-Input'!$B$12,0))-MIN(MAX(AO328,0),MAX(0,AK286-IF($A329&gt;='1-Input'!$C$12,'1-Input'!$B$12,0))))*(1/(1-'P-Parametri'!$B$6*AK329))),MAX(0,5*MAX(0,AK286-IF($A329&gt;='1-Input'!$C$12,'1-Input'!$B$12,0))-(AO328-MIN(MAX(AO328,0),MAX(0,AK286-IF($A329&gt;='1-Input'!$C$12,'1-Input'!$B$12,0)))))*(1/(1-'P-Parametri'!$B$6*AK329))))</f>
        <v>547.65669479574979</v>
      </c>
      <c r="AM329" s="18">
        <f>IF($A329&gt;'1-Input'!$B$26,AO328,(AO328-MAX(0,AK286-IF($A329&gt;='1-Input'!$C$12,'1-Input'!$B$12,0))+AL329*(1-'P-Parametri'!$B$6*AK329))*(1+'1-Input'!$B$27))</f>
        <v>24340.614046551324</v>
      </c>
      <c r="AN329" s="18">
        <f>IF($A329&gt;'1-Input'!$B$26,AP328,(AP328-AL329)*(1+'5-Roberta'!$C$4))</f>
        <v>0</v>
      </c>
      <c r="AO329" s="18">
        <f>IF($A329&gt;'1-Input'!$B$26,AM329,AM329-'P-Parametri'!$B$8*(AN329+AM329)+MIN(MAX(AN329,0),'P-Parametri'!$B$8*(AN329+AM329)))</f>
        <v>24291.932818458219</v>
      </c>
      <c r="AP329" s="18">
        <f>IF($A329&gt;'1-Input'!$B$26,AN329,AN329-MIN(MAX(AN329,0),'P-Parametri'!$B$8*(AN329+AM329)))</f>
        <v>0</v>
      </c>
      <c r="AQ329" s="18">
        <f>IF($A329&gt;'1-Input'!$B$26,AQ328,AQ328-AL329*(1-AK329))</f>
        <v>0</v>
      </c>
    </row>
    <row r="330" spans="1:43">
      <c r="A330" s="10">
        <f>42</f>
        <v>42</v>
      </c>
      <c r="B330" s="11">
        <f>IF($A330&gt;'1-Input'!$B$26,0,IF(G329&lt;=0,0,MAX(0,(G329-H329)/G329)))</f>
        <v>0.73592398849889606</v>
      </c>
      <c r="C330" s="18">
        <f>IF($A330&gt;'1-Input'!$B$26,0,(MAX(0,B286-IF($A330&gt;='1-Input'!$C$12,'1-Input'!$B$12,0))-MIN(MAX(F329,0),MAX(0,B286-IF($A330&gt;='1-Input'!$C$12,'1-Input'!$B$12,0))))*(1/(1-'P-Parametri'!$B$6*B330))+MIN(MAX(0,G329-(MAX(0,B286-IF($A330&gt;='1-Input'!$C$12,'1-Input'!$B$12,0))-MIN(MAX(F329,0),MAX(0,B286-IF($A330&gt;='1-Input'!$C$12,'1-Input'!$B$12,0))))*(1/(1-'P-Parametri'!$B$6*B330))),MAX(0,5*MAX(0,B286-IF($A330&gt;='1-Input'!$C$12,'1-Input'!$B$12,0))-(F329-MIN(MAX(F329,0),MAX(0,B286-IF($A330&gt;='1-Input'!$C$12,'1-Input'!$B$12,0)))))*(1/(1-'P-Parametri'!$B$6*B330))))</f>
        <v>7023.3225025161619</v>
      </c>
      <c r="D330" s="18">
        <f>IF($A330&gt;'1-Input'!$B$26,F329,(F329-MAX(0,B286-IF($A330&gt;='1-Input'!$C$12,'1-Input'!$B$12,0))+C330*(1-'P-Parametri'!$B$6*B330))*(1+'1-Input'!$B$27))</f>
        <v>27794.853577465747</v>
      </c>
      <c r="E330" s="18">
        <f>IF($A330&gt;'1-Input'!$B$26,G329,(G329-C330)*(1+'5-Roberta'!$C$4))</f>
        <v>32306.374810849797</v>
      </c>
      <c r="F330" s="18">
        <f>IF($A330&gt;'1-Input'!$B$26,D330,D330-'P-Parametri'!$B$8*(E330+D330)+MIN(MAX(E330,0),'P-Parametri'!$B$8*(E330+D330)))</f>
        <v>27794.853577465747</v>
      </c>
      <c r="G330" s="18">
        <f>IF($A330&gt;'1-Input'!$B$26,E330,E330-MIN(MAX(E330,0),'P-Parametri'!$B$8*(E330+D330)))</f>
        <v>32186.172354073165</v>
      </c>
      <c r="H330" s="18">
        <f>IF($A330&gt;'1-Input'!$B$26,H329,H329-C330*(1-B330))</f>
        <v>8282.8530156397501</v>
      </c>
      <c r="I330" s="11">
        <f>IF($A330&gt;'1-Input'!$B$26,0,IF(N329&lt;=0,0,MAX(0,(N329-O329)/N329)))</f>
        <v>0</v>
      </c>
      <c r="J330" s="18">
        <f>IF($A330&gt;'1-Input'!$B$26,0,(MAX(0,I286-IF($A330&gt;='1-Input'!$C$12,'1-Input'!$B$12,0))-MIN(MAX(M329,0),MAX(0,I286-IF($A330&gt;='1-Input'!$C$12,'1-Input'!$B$12,0))))*(1/(1-'P-Parametri'!$B$6*I330))+MIN(MAX(0,N329-(MAX(0,I286-IF($A330&gt;='1-Input'!$C$12,'1-Input'!$B$12,0))-MIN(MAX(M329,0),MAX(0,I286-IF($A330&gt;='1-Input'!$C$12,'1-Input'!$B$12,0))))*(1/(1-'P-Parametri'!$B$6*I330))),MAX(0,5*MAX(0,I286-IF($A330&gt;='1-Input'!$C$12,'1-Input'!$B$12,0))-(M329-MIN(MAX(M329,0),MAX(0,I286-IF($A330&gt;='1-Input'!$C$12,'1-Input'!$B$12,0)))))*(1/(1-'P-Parametri'!$B$6*I330))))</f>
        <v>10846.756992928691</v>
      </c>
      <c r="K330" s="18">
        <f>IF($A330&gt;'1-Input'!$B$26,M329,(M329-MAX(0,I286-IF($A330&gt;='1-Input'!$C$12,'1-Input'!$B$12,0))+J330*(1-'P-Parametri'!$B$6*I330))*(1+'1-Input'!$B$27))</f>
        <v>0</v>
      </c>
      <c r="L330" s="18">
        <f>IF($A330&gt;'1-Input'!$B$26,N329,(N329-J330)*(1+'5-Roberta'!$C$4))</f>
        <v>-324375.31054385536</v>
      </c>
      <c r="M330" s="18">
        <f>IF($A330&gt;'1-Input'!$B$26,K330,K330-'P-Parametri'!$B$8*(L330+K330)+MIN(MAX(L330,0),'P-Parametri'!$B$8*(L330+K330)))</f>
        <v>0</v>
      </c>
      <c r="N330" s="18">
        <f>IF($A330&gt;'1-Input'!$B$26,L330,L330-MIN(MAX(L330,0),'P-Parametri'!$B$8*(L330+K330)))</f>
        <v>-323726.55992276763</v>
      </c>
      <c r="O330" s="18">
        <f>IF($A330&gt;'1-Input'!$B$26,O329,O329-J330*(1-I330))</f>
        <v>-233937.02550541997</v>
      </c>
      <c r="P330" s="11">
        <f>IF($A330&gt;'1-Input'!$B$26,0,IF(U329&lt;=0,0,MAX(0,(U329-V329)/U329)))</f>
        <v>0</v>
      </c>
      <c r="Q330" s="18">
        <f>IF($A330&gt;'1-Input'!$B$26,0,(MAX(0,P286-IF($A330&gt;='1-Input'!$C$12,'1-Input'!$B$12,0))-MIN(MAX(T329,0),MAX(0,P286-IF($A330&gt;='1-Input'!$C$12,'1-Input'!$B$12,0))))*(1/(1-'P-Parametri'!$B$6*P330))+MIN(MAX(0,U329-(MAX(0,P286-IF($A330&gt;='1-Input'!$C$12,'1-Input'!$B$12,0))-MIN(MAX(T329,0),MAX(0,P286-IF($A330&gt;='1-Input'!$C$12,'1-Input'!$B$12,0))))*(1/(1-'P-Parametri'!$B$6*P330))),MAX(0,5*MAX(0,P286-IF($A330&gt;='1-Input'!$C$12,'1-Input'!$B$12,0))-(T329-MIN(MAX(T329,0),MAX(0,P286-IF($A330&gt;='1-Input'!$C$12,'1-Input'!$B$12,0)))))*(1/(1-'P-Parametri'!$B$6*P330))))</f>
        <v>0</v>
      </c>
      <c r="R330" s="18">
        <f>IF($A330&gt;'1-Input'!$B$26,T329,(T329-MAX(0,P286-IF($A330&gt;='1-Input'!$C$12,'1-Input'!$B$12,0))+Q330*(1-'P-Parametri'!$B$6*P330))*(1+'1-Input'!$B$27))</f>
        <v>14144.921477753478</v>
      </c>
      <c r="S330" s="18">
        <f>IF($A330&gt;'1-Input'!$B$26,U329,(U329-Q330)*(1+'5-Roberta'!$C$4))</f>
        <v>0</v>
      </c>
      <c r="T330" s="18">
        <f>IF($A330&gt;'1-Input'!$B$26,R330,R330-'P-Parametri'!$B$8*(S330+R330)+MIN(MAX(S330,0),'P-Parametri'!$B$8*(S330+R330)))</f>
        <v>14116.631634797972</v>
      </c>
      <c r="U330" s="18">
        <f>IF($A330&gt;'1-Input'!$B$26,S330,S330-MIN(MAX(S330,0),'P-Parametri'!$B$8*(S330+R330)))</f>
        <v>0</v>
      </c>
      <c r="V330" s="18">
        <f>IF($A330&gt;'1-Input'!$B$26,V329,V329-Q330*(1-P330))</f>
        <v>0</v>
      </c>
      <c r="W330" s="11">
        <f>IF($A330&gt;'1-Input'!$B$26,0,IF(AB329&lt;=0,0,MAX(0,(AB329-AC329)/AB329)))</f>
        <v>0</v>
      </c>
      <c r="X330" s="18">
        <f>IF($A330&gt;'1-Input'!$B$26,0,(MAX(0,W286-IF($A330&gt;='1-Input'!$C$12,'1-Input'!$B$12,0))-MIN(MAX(AA329,0),MAX(0,W286-IF($A330&gt;='1-Input'!$C$12,'1-Input'!$B$12,0))))*(1/(1-'P-Parametri'!$B$6*W330))+MIN(MAX(0,AB329-(MAX(0,W286-IF($A330&gt;='1-Input'!$C$12,'1-Input'!$B$12,0))-MIN(MAX(AA329,0),MAX(0,W286-IF($A330&gt;='1-Input'!$C$12,'1-Input'!$B$12,0))))*(1/(1-'P-Parametri'!$B$6*W330))),MAX(0,5*MAX(0,W286-IF($A330&gt;='1-Input'!$C$12,'1-Input'!$B$12,0))-(AA329-MIN(MAX(AA329,0),MAX(0,W286-IF($A330&gt;='1-Input'!$C$12,'1-Input'!$B$12,0)))))*(1/(1-'P-Parametri'!$B$6*W330))))</f>
        <v>0</v>
      </c>
      <c r="Y330" s="18">
        <f>IF($A330&gt;'1-Input'!$B$26,AA329,(AA329-MAX(0,W286-IF($A330&gt;='1-Input'!$C$12,'1-Input'!$B$12,0))+X330*(1-'P-Parametri'!$B$6*W330))*(1+'1-Input'!$B$27))</f>
        <v>18157.376373218347</v>
      </c>
      <c r="Z330" s="18">
        <f>IF($A330&gt;'1-Input'!$B$26,AB329,(AB329-X330)*(1+'5-Roberta'!$C$4))</f>
        <v>0</v>
      </c>
      <c r="AA330" s="18">
        <f>IF($A330&gt;'1-Input'!$B$26,Y330,Y330-'P-Parametri'!$B$8*(Z330+Y330)+MIN(MAX(Z330,0),'P-Parametri'!$B$8*(Z330+Y330)))</f>
        <v>18121.061620471912</v>
      </c>
      <c r="AB330" s="18">
        <f>IF($A330&gt;'1-Input'!$B$26,Z330,Z330-MIN(MAX(Z330,0),'P-Parametri'!$B$8*(Z330+Y330)))</f>
        <v>0</v>
      </c>
      <c r="AC330" s="18">
        <f>IF($A330&gt;'1-Input'!$B$26,AC329,AC329-X330*(1-W330))</f>
        <v>0</v>
      </c>
      <c r="AD330" s="11">
        <f>IF($A330&gt;'1-Input'!$B$26,0,IF(AI329&lt;=0,0,MAX(0,(AI329-AJ329)/AI329)))</f>
        <v>0</v>
      </c>
      <c r="AE330" s="18">
        <f>IF($A330&gt;'1-Input'!$B$26,0,(MAX(0,AD286-IF($A330&gt;='1-Input'!$C$12,'1-Input'!$B$12,0))-MIN(MAX(AH329,0),MAX(0,AD286-IF($A330&gt;='1-Input'!$C$12,'1-Input'!$B$12,0))))*(1/(1-'P-Parametri'!$B$6*AD330))+MIN(MAX(0,AI329-(MAX(0,AD286-IF($A330&gt;='1-Input'!$C$12,'1-Input'!$B$12,0))-MIN(MAX(AH329,0),MAX(0,AD286-IF($A330&gt;='1-Input'!$C$12,'1-Input'!$B$12,0))))*(1/(1-'P-Parametri'!$B$6*AD330))),MAX(0,5*MAX(0,AD286-IF($A330&gt;='1-Input'!$C$12,'1-Input'!$B$12,0))-(AH329-MIN(MAX(AH329,0),MAX(0,AD286-IF($A330&gt;='1-Input'!$C$12,'1-Input'!$B$12,0)))))*(1/(1-'P-Parametri'!$B$6*AD330))))</f>
        <v>0</v>
      </c>
      <c r="AF330" s="18">
        <f>IF($A330&gt;'1-Input'!$B$26,AH329,(AH329-MAX(0,AD286-IF($A330&gt;='1-Input'!$C$12,'1-Input'!$B$12,0))+AE330*(1-'P-Parametri'!$B$6*AD330))*(1+'1-Input'!$B$27))</f>
        <v>18205.269586846876</v>
      </c>
      <c r="AG330" s="18">
        <f>IF($A330&gt;'1-Input'!$B$26,AI329,(AI329-AE330)*(1+'5-Roberta'!$C$4))</f>
        <v>0</v>
      </c>
      <c r="AH330" s="18">
        <f>IF($A330&gt;'1-Input'!$B$26,AF330,AF330-'P-Parametri'!$B$8*(AG330+AF330)+MIN(MAX(AG330,0),'P-Parametri'!$B$8*(AG330+AF330)))</f>
        <v>18168.859047673184</v>
      </c>
      <c r="AI330" s="18">
        <f>IF($A330&gt;'1-Input'!$B$26,AG330,AG330-MIN(MAX(AG330,0),'P-Parametri'!$B$8*(AG330+AF330)))</f>
        <v>0</v>
      </c>
      <c r="AJ330" s="18">
        <f>IF($A330&gt;'1-Input'!$B$26,AJ329,AJ329-AE330*(1-AD330))</f>
        <v>0</v>
      </c>
      <c r="AK330" s="11">
        <f>IF($A330&gt;'1-Input'!$B$26,0,IF(AP329&lt;=0,0,MAX(0,(AP329-AQ329)/AP329)))</f>
        <v>0</v>
      </c>
      <c r="AL330" s="18">
        <f>IF($A330&gt;'1-Input'!$B$26,0,(MAX(0,AK286-IF($A330&gt;='1-Input'!$C$12,'1-Input'!$B$12,0))-MIN(MAX(AO329,0),MAX(0,AK286-IF($A330&gt;='1-Input'!$C$12,'1-Input'!$B$12,0))))*(1/(1-'P-Parametri'!$B$6*AK330))+MIN(MAX(0,AP329-(MAX(0,AK286-IF($A330&gt;='1-Input'!$C$12,'1-Input'!$B$12,0))-MIN(MAX(AO329,0),MAX(0,AK286-IF($A330&gt;='1-Input'!$C$12,'1-Input'!$B$12,0))))*(1/(1-'P-Parametri'!$B$6*AK330))),MAX(0,5*MAX(0,AK286-IF($A330&gt;='1-Input'!$C$12,'1-Input'!$B$12,0))-(AO329-MIN(MAX(AO329,0),MAX(0,AK286-IF($A330&gt;='1-Input'!$C$12,'1-Input'!$B$12,0)))))*(1/(1-'P-Parametri'!$B$6*AK330))))</f>
        <v>0</v>
      </c>
      <c r="AM330" s="18">
        <f>IF($A330&gt;'1-Input'!$B$26,AO329,(AO329-MAX(0,AK286-IF($A330&gt;='1-Input'!$C$12,'1-Input'!$B$12,0))+AL330*(1-'P-Parametri'!$B$6*AK330))*(1+'1-Input'!$B$27))</f>
        <v>18204.181605314647</v>
      </c>
      <c r="AN330" s="18">
        <f>IF($A330&gt;'1-Input'!$B$26,AP329,(AP329-AL330)*(1+'5-Roberta'!$C$4))</f>
        <v>0</v>
      </c>
      <c r="AO330" s="18">
        <f>IF($A330&gt;'1-Input'!$B$26,AM330,AM330-'P-Parametri'!$B$8*(AN330+AM330)+MIN(MAX(AN330,0),'P-Parametri'!$B$8*(AN330+AM330)))</f>
        <v>18167.773242104016</v>
      </c>
      <c r="AP330" s="18">
        <f>IF($A330&gt;'1-Input'!$B$26,AN330,AN330-MIN(MAX(AN330,0),'P-Parametri'!$B$8*(AN330+AM330)))</f>
        <v>0</v>
      </c>
      <c r="AQ330" s="18">
        <f>IF($A330&gt;'1-Input'!$B$26,AQ329,AQ329-AL330*(1-AK330))</f>
        <v>0</v>
      </c>
    </row>
    <row r="331" spans="1:43">
      <c r="A331" s="10">
        <f>43</f>
        <v>43</v>
      </c>
      <c r="B331" s="11">
        <f>IF($A331&gt;'1-Input'!$B$26,0,IF(G330&lt;=0,0,MAX(0,(G330-H330)/G330)))</f>
        <v>0.74265802952516802</v>
      </c>
      <c r="C331" s="18">
        <f>IF($A331&gt;'1-Input'!$B$26,0,(MAX(0,B286-IF($A331&gt;='1-Input'!$C$12,'1-Input'!$B$12,0))-MIN(MAX(F330,0),MAX(0,B286-IF($A331&gt;='1-Input'!$C$12,'1-Input'!$B$12,0))))*(1/(1-'P-Parametri'!$B$6*B331))+MIN(MAX(0,G330-(MAX(0,B286-IF($A331&gt;='1-Input'!$C$12,'1-Input'!$B$12,0))-MIN(MAX(F330,0),MAX(0,B286-IF($A331&gt;='1-Input'!$C$12,'1-Input'!$B$12,0))))*(1/(1-'P-Parametri'!$B$6*B331))),MAX(0,5*MAX(0,B286-IF($A331&gt;='1-Input'!$C$12,'1-Input'!$B$12,0))-(F330-MIN(MAX(F330,0),MAX(0,B286-IF($A331&gt;='1-Input'!$C$12,'1-Input'!$B$12,0)))))*(1/(1-'P-Parametri'!$B$6*B331))))</f>
        <v>7038.5618792278265</v>
      </c>
      <c r="D331" s="18">
        <f>IF($A331&gt;'1-Input'!$B$26,F330,(F330-MAX(0,B286-IF($A331&gt;='1-Input'!$C$12,'1-Input'!$B$12,0))+C331*(1-'P-Parametri'!$B$6*B331))*(1+'1-Input'!$B$27))</f>
        <v>27794.853577465747</v>
      </c>
      <c r="E331" s="18">
        <f>IF($A331&gt;'1-Input'!$B$26,G330,(G330-C331)*(1+'5-Roberta'!$C$4))</f>
        <v>25902.0387890907</v>
      </c>
      <c r="F331" s="18">
        <f>IF($A331&gt;'1-Input'!$B$26,D331,D331-'P-Parametri'!$B$8*(E331+D331)+MIN(MAX(E331,0),'P-Parametri'!$B$8*(E331+D331)))</f>
        <v>27794.853577465747</v>
      </c>
      <c r="G331" s="18">
        <f>IF($A331&gt;'1-Input'!$B$26,E331,E331-MIN(MAX(E331,0),'P-Parametri'!$B$8*(E331+D331)))</f>
        <v>25794.645004357586</v>
      </c>
      <c r="H331" s="18">
        <f>IF($A331&gt;'1-Input'!$B$26,H330,H330-C331*(1-B331))</f>
        <v>6471.5356323302249</v>
      </c>
      <c r="I331" s="11">
        <f>IF($A331&gt;'1-Input'!$B$26,0,IF(N330&lt;=0,0,MAX(0,(N330-O330)/N330)))</f>
        <v>0</v>
      </c>
      <c r="J331" s="18">
        <f>IF($A331&gt;'1-Input'!$B$26,0,(MAX(0,I286-IF($A331&gt;='1-Input'!$C$12,'1-Input'!$B$12,0))-MIN(MAX(M330,0),MAX(0,I286-IF($A331&gt;='1-Input'!$C$12,'1-Input'!$B$12,0))))*(1/(1-'P-Parametri'!$B$6*I331))+MIN(MAX(0,N330-(MAX(0,I286-IF($A331&gt;='1-Input'!$C$12,'1-Input'!$B$12,0))-MIN(MAX(M330,0),MAX(0,I286-IF($A331&gt;='1-Input'!$C$12,'1-Input'!$B$12,0))))*(1/(1-'P-Parametri'!$B$6*I331))),MAX(0,5*MAX(0,I286-IF($A331&gt;='1-Input'!$C$12,'1-Input'!$B$12,0))-(M330-MIN(MAX(M330,0),MAX(0,I286-IF($A331&gt;='1-Input'!$C$12,'1-Input'!$B$12,0)))))*(1/(1-'P-Parametri'!$B$6*I331))))</f>
        <v>10846.756992928691</v>
      </c>
      <c r="K331" s="18">
        <f>IF($A331&gt;'1-Input'!$B$26,M330,(M330-MAX(0,I286-IF($A331&gt;='1-Input'!$C$12,'1-Input'!$B$12,0))+J331*(1-'P-Parametri'!$B$6*I331))*(1+'1-Input'!$B$27))</f>
        <v>0</v>
      </c>
      <c r="L331" s="18">
        <f>IF($A331&gt;'1-Input'!$B$26,N330,(N330-J331)*(1+'5-Roberta'!$C$4))</f>
        <v>-344610.5164231672</v>
      </c>
      <c r="M331" s="18">
        <f>IF($A331&gt;'1-Input'!$B$26,K331,K331-'P-Parametri'!$B$8*(L331+K331)+MIN(MAX(L331,0),'P-Parametri'!$B$8*(L331+K331)))</f>
        <v>0</v>
      </c>
      <c r="N331" s="18">
        <f>IF($A331&gt;'1-Input'!$B$26,L331,L331-MIN(MAX(L331,0),'P-Parametri'!$B$8*(L331+K331)))</f>
        <v>-343921.29539032088</v>
      </c>
      <c r="O331" s="18">
        <f>IF($A331&gt;'1-Input'!$B$26,O330,O330-J331*(1-I331))</f>
        <v>-244783.78249834865</v>
      </c>
      <c r="P331" s="11">
        <f>IF($A331&gt;'1-Input'!$B$26,0,IF(U330&lt;=0,0,MAX(0,(U330-V330)/U330)))</f>
        <v>0</v>
      </c>
      <c r="Q331" s="18">
        <f>IF($A331&gt;'1-Input'!$B$26,0,(MAX(0,P286-IF($A331&gt;='1-Input'!$C$12,'1-Input'!$B$12,0))-MIN(MAX(T330,0),MAX(0,P286-IF($A331&gt;='1-Input'!$C$12,'1-Input'!$B$12,0))))*(1/(1-'P-Parametri'!$B$6*P331))+MIN(MAX(0,U330-(MAX(0,P286-IF($A331&gt;='1-Input'!$C$12,'1-Input'!$B$12,0))-MIN(MAX(T330,0),MAX(0,P286-IF($A331&gt;='1-Input'!$C$12,'1-Input'!$B$12,0))))*(1/(1-'P-Parametri'!$B$6*P331))),MAX(0,5*MAX(0,P286-IF($A331&gt;='1-Input'!$C$12,'1-Input'!$B$12,0))-(T330-MIN(MAX(T330,0),MAX(0,P286-IF($A331&gt;='1-Input'!$C$12,'1-Input'!$B$12,0)))))*(1/(1-'P-Parametri'!$B$6*P331))))</f>
        <v>0</v>
      </c>
      <c r="R331" s="18">
        <f>IF($A331&gt;'1-Input'!$B$26,T330,(T330-MAX(0,P286-IF($A331&gt;='1-Input'!$C$12,'1-Input'!$B$12,0))+Q331*(1-'P-Parametri'!$B$6*P331))*(1+'1-Input'!$B$27))</f>
        <v>8011.5604736497944</v>
      </c>
      <c r="S331" s="18">
        <f>IF($A331&gt;'1-Input'!$B$26,U330,(U330-Q331)*(1+'5-Roberta'!$C$4))</f>
        <v>0</v>
      </c>
      <c r="T331" s="18">
        <f>IF($A331&gt;'1-Input'!$B$26,R331,R331-'P-Parametri'!$B$8*(S331+R331)+MIN(MAX(S331,0),'P-Parametri'!$B$8*(S331+R331)))</f>
        <v>7995.5373527024949</v>
      </c>
      <c r="U331" s="18">
        <f>IF($A331&gt;'1-Input'!$B$26,S331,S331-MIN(MAX(S331,0),'P-Parametri'!$B$8*(S331+R331)))</f>
        <v>0</v>
      </c>
      <c r="V331" s="18">
        <f>IF($A331&gt;'1-Input'!$B$26,V330,V330-Q331*(1-P331))</f>
        <v>0</v>
      </c>
      <c r="W331" s="11">
        <f>IF($A331&gt;'1-Input'!$B$26,0,IF(AB330&lt;=0,0,MAX(0,(AB330-AC330)/AB330)))</f>
        <v>0</v>
      </c>
      <c r="X331" s="18">
        <f>IF($A331&gt;'1-Input'!$B$26,0,(MAX(0,W286-IF($A331&gt;='1-Input'!$C$12,'1-Input'!$B$12,0))-MIN(MAX(AA330,0),MAX(0,W286-IF($A331&gt;='1-Input'!$C$12,'1-Input'!$B$12,0))))*(1/(1-'P-Parametri'!$B$6*W331))+MIN(MAX(0,AB330-(MAX(0,W286-IF($A331&gt;='1-Input'!$C$12,'1-Input'!$B$12,0))-MIN(MAX(AA330,0),MAX(0,W286-IF($A331&gt;='1-Input'!$C$12,'1-Input'!$B$12,0))))*(1/(1-'P-Parametri'!$B$6*W331))),MAX(0,5*MAX(0,W286-IF($A331&gt;='1-Input'!$C$12,'1-Input'!$B$12,0))-(AA330-MIN(MAX(AA330,0),MAX(0,W286-IF($A331&gt;='1-Input'!$C$12,'1-Input'!$B$12,0)))))*(1/(1-'P-Parametri'!$B$6*W331))))</f>
        <v>0</v>
      </c>
      <c r="Y331" s="18">
        <f>IF($A331&gt;'1-Input'!$B$26,AA330,(AA330-MAX(0,W286-IF($A331&gt;='1-Input'!$C$12,'1-Input'!$B$12,0))+X331*(1-'P-Parametri'!$B$6*W331))*(1+'1-Input'!$B$27))</f>
        <v>12054.918462892159</v>
      </c>
      <c r="Z331" s="18">
        <f>IF($A331&gt;'1-Input'!$B$26,AB330,(AB330-X331)*(1+'5-Roberta'!$C$4))</f>
        <v>0</v>
      </c>
      <c r="AA331" s="18">
        <f>IF($A331&gt;'1-Input'!$B$26,Y331,Y331-'P-Parametri'!$B$8*(Z331+Y331)+MIN(MAX(Z331,0),'P-Parametri'!$B$8*(Z331+Y331)))</f>
        <v>12030.808625966374</v>
      </c>
      <c r="AB331" s="18">
        <f>IF($A331&gt;'1-Input'!$B$26,Z331,Z331-MIN(MAX(Z331,0),'P-Parametri'!$B$8*(Z331+Y331)))</f>
        <v>0</v>
      </c>
      <c r="AC331" s="18">
        <f>IF($A331&gt;'1-Input'!$B$26,AC330,AC330-X331*(1-W331))</f>
        <v>0</v>
      </c>
      <c r="AD331" s="11">
        <f>IF($A331&gt;'1-Input'!$B$26,0,IF(AI330&lt;=0,0,MAX(0,(AI330-AJ330)/AI330)))</f>
        <v>0</v>
      </c>
      <c r="AE331" s="18">
        <f>IF($A331&gt;'1-Input'!$B$26,0,(MAX(0,AD286-IF($A331&gt;='1-Input'!$C$12,'1-Input'!$B$12,0))-MIN(MAX(AH330,0),MAX(0,AD286-IF($A331&gt;='1-Input'!$C$12,'1-Input'!$B$12,0))))*(1/(1-'P-Parametri'!$B$6*AD331))+MIN(MAX(0,AI330-(MAX(0,AD286-IF($A331&gt;='1-Input'!$C$12,'1-Input'!$B$12,0))-MIN(MAX(AH330,0),MAX(0,AD286-IF($A331&gt;='1-Input'!$C$12,'1-Input'!$B$12,0))))*(1/(1-'P-Parametri'!$B$6*AD331))),MAX(0,5*MAX(0,AD286-IF($A331&gt;='1-Input'!$C$12,'1-Input'!$B$12,0))-(AH330-MIN(MAX(AH330,0),MAX(0,AD286-IF($A331&gt;='1-Input'!$C$12,'1-Input'!$B$12,0)))))*(1/(1-'P-Parametri'!$B$6*AD331))))</f>
        <v>0</v>
      </c>
      <c r="AF331" s="18">
        <f>IF($A331&gt;'1-Input'!$B$26,AH330,(AH330-MAX(0,AD286-IF($A331&gt;='1-Input'!$C$12,'1-Input'!$B$12,0))+AE331*(1-'P-Parametri'!$B$6*AD331))*(1+'1-Input'!$B$27))</f>
        <v>12103.165011609157</v>
      </c>
      <c r="AG331" s="18">
        <f>IF($A331&gt;'1-Input'!$B$26,AI330,(AI330-AE331)*(1+'5-Roberta'!$C$4))</f>
        <v>0</v>
      </c>
      <c r="AH331" s="18">
        <f>IF($A331&gt;'1-Input'!$B$26,AF331,AF331-'P-Parametri'!$B$8*(AG331+AF331)+MIN(MAX(AG331,0),'P-Parametri'!$B$8*(AG331+AF331)))</f>
        <v>12078.958681585938</v>
      </c>
      <c r="AI331" s="18">
        <f>IF($A331&gt;'1-Input'!$B$26,AG331,AG331-MIN(MAX(AG331,0),'P-Parametri'!$B$8*(AG331+AF331)))</f>
        <v>0</v>
      </c>
      <c r="AJ331" s="18">
        <f>IF($A331&gt;'1-Input'!$B$26,AJ330,AJ330-AE331*(1-AD331))</f>
        <v>0</v>
      </c>
      <c r="AK331" s="11">
        <f>IF($A331&gt;'1-Input'!$B$26,0,IF(AP330&lt;=0,0,MAX(0,(AP330-AQ330)/AP330)))</f>
        <v>0</v>
      </c>
      <c r="AL331" s="18">
        <f>IF($A331&gt;'1-Input'!$B$26,0,(MAX(0,AK286-IF($A331&gt;='1-Input'!$C$12,'1-Input'!$B$12,0))-MIN(MAX(AO330,0),MAX(0,AK286-IF($A331&gt;='1-Input'!$C$12,'1-Input'!$B$12,0))))*(1/(1-'P-Parametri'!$B$6*AK331))+MIN(MAX(0,AP330-(MAX(0,AK286-IF($A331&gt;='1-Input'!$C$12,'1-Input'!$B$12,0))-MIN(MAX(AO330,0),MAX(0,AK286-IF($A331&gt;='1-Input'!$C$12,'1-Input'!$B$12,0))))*(1/(1-'P-Parametri'!$B$6*AK331))),MAX(0,5*MAX(0,AK286-IF($A331&gt;='1-Input'!$C$12,'1-Input'!$B$12,0))-(AO330-MIN(MAX(AO330,0),MAX(0,AK286-IF($A331&gt;='1-Input'!$C$12,'1-Input'!$B$12,0)))))*(1/(1-'P-Parametri'!$B$6*AK331))))</f>
        <v>0</v>
      </c>
      <c r="AM331" s="18">
        <f>IF($A331&gt;'1-Input'!$B$26,AO330,(AO330-MAX(0,AK286-IF($A331&gt;='1-Input'!$C$12,'1-Input'!$B$12,0))+AL331*(1-'P-Parametri'!$B$6*AK331))*(1+'1-Input'!$B$27))</f>
        <v>12102.069003435319</v>
      </c>
      <c r="AN331" s="18">
        <f>IF($A331&gt;'1-Input'!$B$26,AP330,(AP330-AL331)*(1+'5-Roberta'!$C$4))</f>
        <v>0</v>
      </c>
      <c r="AO331" s="18">
        <f>IF($A331&gt;'1-Input'!$B$26,AM331,AM331-'P-Parametri'!$B$8*(AN331+AM331)+MIN(MAX(AN331,0),'P-Parametri'!$B$8*(AN331+AM331)))</f>
        <v>12077.864865428448</v>
      </c>
      <c r="AP331" s="18">
        <f>IF($A331&gt;'1-Input'!$B$26,AN331,AN331-MIN(MAX(AN331,0),'P-Parametri'!$B$8*(AN331+AM331)))</f>
        <v>0</v>
      </c>
      <c r="AQ331" s="18">
        <f>IF($A331&gt;'1-Input'!$B$26,AQ330,AQ330-AL331*(1-AK331))</f>
        <v>0</v>
      </c>
    </row>
    <row r="332" spans="1:43">
      <c r="A332" s="10">
        <f>44</f>
        <v>44</v>
      </c>
      <c r="B332" s="11">
        <f>IF($A332&gt;'1-Input'!$B$26,0,IF(G331&lt;=0,0,MAX(0,(G331-H331)/G331)))</f>
        <v>0.74911321201602254</v>
      </c>
      <c r="C332" s="18">
        <f>IF($A332&gt;'1-Input'!$B$26,0,(MAX(0,B286-IF($A332&gt;='1-Input'!$C$12,'1-Input'!$B$12,0))-MIN(MAX(F331,0),MAX(0,B286-IF($A332&gt;='1-Input'!$C$12,'1-Input'!$B$12,0))))*(1/(1-'P-Parametri'!$B$6*B332))+MIN(MAX(0,G331-(MAX(0,B286-IF($A332&gt;='1-Input'!$C$12,'1-Input'!$B$12,0))-MIN(MAX(F331,0),MAX(0,B286-IF($A332&gt;='1-Input'!$C$12,'1-Input'!$B$12,0))))*(1/(1-'P-Parametri'!$B$6*B332))),MAX(0,5*MAX(0,B286-IF($A332&gt;='1-Input'!$C$12,'1-Input'!$B$12,0))-(F331-MIN(MAX(F331,0),MAX(0,B286-IF($A332&gt;='1-Input'!$C$12,'1-Input'!$B$12,0)))))*(1/(1-'P-Parametri'!$B$6*B332))))</f>
        <v>7053.232400790499</v>
      </c>
      <c r="D332" s="18">
        <f>IF($A332&gt;'1-Input'!$B$26,F331,(F331-MAX(0,B286-IF($A332&gt;='1-Input'!$C$12,'1-Input'!$B$12,0))+C332*(1-'P-Parametri'!$B$6*B332))*(1+'1-Input'!$B$27))</f>
        <v>27794.853577465747</v>
      </c>
      <c r="E332" s="18">
        <f>IF($A332&gt;'1-Input'!$B$26,G331,(G331-C332)*(1+'5-Roberta'!$C$4))</f>
        <v>19303.654981674099</v>
      </c>
      <c r="F332" s="18">
        <f>IF($A332&gt;'1-Input'!$B$26,D332,D332-'P-Parametri'!$B$8*(E332+D332)+MIN(MAX(E332,0),'P-Parametri'!$B$8*(E332+D332)))</f>
        <v>27794.853577465747</v>
      </c>
      <c r="G332" s="18">
        <f>IF($A332&gt;'1-Input'!$B$26,E332,E332-MIN(MAX(E332,0),'P-Parametri'!$B$8*(E332+D332)))</f>
        <v>19209.457964555819</v>
      </c>
      <c r="H332" s="18">
        <f>IF($A332&gt;'1-Input'!$B$26,H331,H331-C332*(1-B332))</f>
        <v>4701.9728103913785</v>
      </c>
      <c r="I332" s="11">
        <f>IF($A332&gt;'1-Input'!$B$26,0,IF(N331&lt;=0,0,MAX(0,(N331-O331)/N331)))</f>
        <v>0</v>
      </c>
      <c r="J332" s="18">
        <f>IF($A332&gt;'1-Input'!$B$26,0,(MAX(0,I286-IF($A332&gt;='1-Input'!$C$12,'1-Input'!$B$12,0))-MIN(MAX(M331,0),MAX(0,I286-IF($A332&gt;='1-Input'!$C$12,'1-Input'!$B$12,0))))*(1/(1-'P-Parametri'!$B$6*I332))+MIN(MAX(0,N331-(MAX(0,I286-IF($A332&gt;='1-Input'!$C$12,'1-Input'!$B$12,0))-MIN(MAX(M331,0),MAX(0,I286-IF($A332&gt;='1-Input'!$C$12,'1-Input'!$B$12,0))))*(1/(1-'P-Parametri'!$B$6*I332))),MAX(0,5*MAX(0,I286-IF($A332&gt;='1-Input'!$C$12,'1-Input'!$B$12,0))-(M331-MIN(MAX(M331,0),MAX(0,I286-IF($A332&gt;='1-Input'!$C$12,'1-Input'!$B$12,0)))))*(1/(1-'P-Parametri'!$B$6*I332))))</f>
        <v>10846.756992928691</v>
      </c>
      <c r="K332" s="18">
        <f>IF($A332&gt;'1-Input'!$B$26,M331,(M331-MAX(0,I286-IF($A332&gt;='1-Input'!$C$12,'1-Input'!$B$12,0))+J332*(1-'P-Parametri'!$B$6*I332))*(1+'1-Input'!$B$27))</f>
        <v>0</v>
      </c>
      <c r="L332" s="18">
        <f>IF($A332&gt;'1-Input'!$B$26,N331,(N331-J332)*(1+'5-Roberta'!$C$4))</f>
        <v>-365411.09395474708</v>
      </c>
      <c r="M332" s="18">
        <f>IF($A332&gt;'1-Input'!$B$26,K332,K332-'P-Parametri'!$B$8*(L332+K332)+MIN(MAX(L332,0),'P-Parametri'!$B$8*(L332+K332)))</f>
        <v>0</v>
      </c>
      <c r="N332" s="18">
        <f>IF($A332&gt;'1-Input'!$B$26,L332,L332-MIN(MAX(L332,0),'P-Parametri'!$B$8*(L332+K332)))</f>
        <v>-364680.27176683757</v>
      </c>
      <c r="O332" s="18">
        <f>IF($A332&gt;'1-Input'!$B$26,O331,O331-J332*(1-I332))</f>
        <v>-255630.53949127733</v>
      </c>
      <c r="P332" s="11">
        <f>IF($A332&gt;'1-Input'!$B$26,0,IF(U331&lt;=0,0,MAX(0,(U331-V331)/U331)))</f>
        <v>0</v>
      </c>
      <c r="Q332" s="18">
        <f>IF($A332&gt;'1-Input'!$B$26,0,(MAX(0,P286-IF($A332&gt;='1-Input'!$C$12,'1-Input'!$B$12,0))-MIN(MAX(T331,0),MAX(0,P286-IF($A332&gt;='1-Input'!$C$12,'1-Input'!$B$12,0))))*(1/(1-'P-Parametri'!$B$6*P332))+MIN(MAX(0,U331-(MAX(0,P286-IF($A332&gt;='1-Input'!$C$12,'1-Input'!$B$12,0))-MIN(MAX(T331,0),MAX(0,P286-IF($A332&gt;='1-Input'!$C$12,'1-Input'!$B$12,0))))*(1/(1-'P-Parametri'!$B$6*P332))),MAX(0,5*MAX(0,P286-IF($A332&gt;='1-Input'!$C$12,'1-Input'!$B$12,0))-(T331-MIN(MAX(T331,0),MAX(0,P286-IF($A332&gt;='1-Input'!$C$12,'1-Input'!$B$12,0)))))*(1/(1-'P-Parametri'!$B$6*P332))))</f>
        <v>0</v>
      </c>
      <c r="R332" s="18">
        <f>IF($A332&gt;'1-Input'!$B$26,T331,(T331-MAX(0,P286-IF($A332&gt;='1-Input'!$C$12,'1-Input'!$B$12,0))+Q332*(1-'P-Parametri'!$B$6*P332))*(1+'1-Input'!$B$27))</f>
        <v>1912.5021309698618</v>
      </c>
      <c r="S332" s="18">
        <f>IF($A332&gt;'1-Input'!$B$26,U331,(U331-Q332)*(1+'5-Roberta'!$C$4))</f>
        <v>0</v>
      </c>
      <c r="T332" s="18">
        <f>IF($A332&gt;'1-Input'!$B$26,R332,R332-'P-Parametri'!$B$8*(S332+R332)+MIN(MAX(S332,0),'P-Parametri'!$B$8*(S332+R332)))</f>
        <v>1908.6771267079221</v>
      </c>
      <c r="U332" s="18">
        <f>IF($A332&gt;'1-Input'!$B$26,S332,S332-MIN(MAX(S332,0),'P-Parametri'!$B$8*(S332+R332)))</f>
        <v>0</v>
      </c>
      <c r="V332" s="18">
        <f>IF($A332&gt;'1-Input'!$B$26,V331,V331-Q332*(1-P332))</f>
        <v>0</v>
      </c>
      <c r="W332" s="11">
        <f>IF($A332&gt;'1-Input'!$B$26,0,IF(AB331&lt;=0,0,MAX(0,(AB331-AC331)/AB331)))</f>
        <v>0</v>
      </c>
      <c r="X332" s="18">
        <f>IF($A332&gt;'1-Input'!$B$26,0,(MAX(0,W286-IF($A332&gt;='1-Input'!$C$12,'1-Input'!$B$12,0))-MIN(MAX(AA331,0),MAX(0,W286-IF($A332&gt;='1-Input'!$C$12,'1-Input'!$B$12,0))))*(1/(1-'P-Parametri'!$B$6*W332))+MIN(MAX(0,AB331-(MAX(0,W286-IF($A332&gt;='1-Input'!$C$12,'1-Input'!$B$12,0))-MIN(MAX(AA331,0),MAX(0,W286-IF($A332&gt;='1-Input'!$C$12,'1-Input'!$B$12,0))))*(1/(1-'P-Parametri'!$B$6*W332))),MAX(0,5*MAX(0,W286-IF($A332&gt;='1-Input'!$C$12,'1-Input'!$B$12,0))-(AA331-MIN(MAX(AA331,0),MAX(0,W286-IF($A332&gt;='1-Input'!$C$12,'1-Input'!$B$12,0)))))*(1/(1-'P-Parametri'!$B$6*W332))))</f>
        <v>0</v>
      </c>
      <c r="Y332" s="18">
        <f>IF($A332&gt;'1-Input'!$B$26,AA331,(AA331-MAX(0,W286-IF($A332&gt;='1-Input'!$C$12,'1-Input'!$B$12,0))+X332*(1-'P-Parametri'!$B$6*W332))*(1+'1-Input'!$B$27))</f>
        <v>5986.5903791668425</v>
      </c>
      <c r="Z332" s="18">
        <f>IF($A332&gt;'1-Input'!$B$26,AB331,(AB331-X332)*(1+'5-Roberta'!$C$4))</f>
        <v>0</v>
      </c>
      <c r="AA332" s="18">
        <f>IF($A332&gt;'1-Input'!$B$26,Y332,Y332-'P-Parametri'!$B$8*(Z332+Y332)+MIN(MAX(Z332,0),'P-Parametri'!$B$8*(Z332+Y332)))</f>
        <v>5974.6171984085086</v>
      </c>
      <c r="AB332" s="18">
        <f>IF($A332&gt;'1-Input'!$B$26,Z332,Z332-MIN(MAX(Z332,0),'P-Parametri'!$B$8*(Z332+Y332)))</f>
        <v>0</v>
      </c>
      <c r="AC332" s="18">
        <f>IF($A332&gt;'1-Input'!$B$26,AC331,AC331-X332*(1-W332))</f>
        <v>0</v>
      </c>
      <c r="AD332" s="11">
        <f>IF($A332&gt;'1-Input'!$B$26,0,IF(AI331&lt;=0,0,MAX(0,(AI331-AJ331)/AI331)))</f>
        <v>0</v>
      </c>
      <c r="AE332" s="18">
        <f>IF($A332&gt;'1-Input'!$B$26,0,(MAX(0,AD286-IF($A332&gt;='1-Input'!$C$12,'1-Input'!$B$12,0))-MIN(MAX(AH331,0),MAX(0,AD286-IF($A332&gt;='1-Input'!$C$12,'1-Input'!$B$12,0))))*(1/(1-'P-Parametri'!$B$6*AD332))+MIN(MAX(0,AI331-(MAX(0,AD286-IF($A332&gt;='1-Input'!$C$12,'1-Input'!$B$12,0))-MIN(MAX(AH331,0),MAX(0,AD286-IF($A332&gt;='1-Input'!$C$12,'1-Input'!$B$12,0))))*(1/(1-'P-Parametri'!$B$6*AD332))),MAX(0,5*MAX(0,AD286-IF($A332&gt;='1-Input'!$C$12,'1-Input'!$B$12,0))-(AH331-MIN(MAX(AH331,0),MAX(0,AD286-IF($A332&gt;='1-Input'!$C$12,'1-Input'!$B$12,0)))))*(1/(1-'P-Parametri'!$B$6*AD332))))</f>
        <v>0</v>
      </c>
      <c r="AF332" s="18">
        <f>IF($A332&gt;'1-Input'!$B$26,AH331,(AH331-MAX(0,AD286-IF($A332&gt;='1-Input'!$C$12,'1-Input'!$B$12,0))+AE332*(1-'P-Parametri'!$B$6*AD332))*(1+'1-Input'!$B$27))</f>
        <v>6035.1882868398252</v>
      </c>
      <c r="AG332" s="18">
        <f>IF($A332&gt;'1-Input'!$B$26,AI331,(AI331-AE332)*(1+'5-Roberta'!$C$4))</f>
        <v>0</v>
      </c>
      <c r="AH332" s="18">
        <f>IF($A332&gt;'1-Input'!$B$26,AF332,AF332-'P-Parametri'!$B$8*(AG332+AF332)+MIN(MAX(AG332,0),'P-Parametri'!$B$8*(AG332+AF332)))</f>
        <v>6023.1179102661454</v>
      </c>
      <c r="AI332" s="18">
        <f>IF($A332&gt;'1-Input'!$B$26,AG332,AG332-MIN(MAX(AG332,0),'P-Parametri'!$B$8*(AG332+AF332)))</f>
        <v>0</v>
      </c>
      <c r="AJ332" s="18">
        <f>IF($A332&gt;'1-Input'!$B$26,AJ331,AJ331-AE332*(1-AD332))</f>
        <v>0</v>
      </c>
      <c r="AK332" s="11">
        <f>IF($A332&gt;'1-Input'!$B$26,0,IF(AP331&lt;=0,0,MAX(0,(AP331-AQ331)/AP331)))</f>
        <v>0</v>
      </c>
      <c r="AL332" s="18">
        <f>IF($A332&gt;'1-Input'!$B$26,0,(MAX(0,AK286-IF($A332&gt;='1-Input'!$C$12,'1-Input'!$B$12,0))-MIN(MAX(AO331,0),MAX(0,AK286-IF($A332&gt;='1-Input'!$C$12,'1-Input'!$B$12,0))))*(1/(1-'P-Parametri'!$B$6*AK332))+MIN(MAX(0,AP331-(MAX(0,AK286-IF($A332&gt;='1-Input'!$C$12,'1-Input'!$B$12,0))-MIN(MAX(AO331,0),MAX(0,AK286-IF($A332&gt;='1-Input'!$C$12,'1-Input'!$B$12,0))))*(1/(1-'P-Parametri'!$B$6*AK332))),MAX(0,5*MAX(0,AK286-IF($A332&gt;='1-Input'!$C$12,'1-Input'!$B$12,0))-(AO331-MIN(MAX(AO331,0),MAX(0,AK286-IF($A332&gt;='1-Input'!$C$12,'1-Input'!$B$12,0)))))*(1/(1-'P-Parametri'!$B$6*AK332))))</f>
        <v>0</v>
      </c>
      <c r="AM332" s="18">
        <f>IF($A332&gt;'1-Input'!$B$26,AO331,(AO331-MAX(0,AK286-IF($A332&gt;='1-Input'!$C$12,'1-Input'!$B$12,0))+AL332*(1-'P-Parametri'!$B$6*AK332))*(1+'1-Input'!$B$27))</f>
        <v>6034.0842969157829</v>
      </c>
      <c r="AN332" s="18">
        <f>IF($A332&gt;'1-Input'!$B$26,AP331,(AP331-AL332)*(1+'5-Roberta'!$C$4))</f>
        <v>0</v>
      </c>
      <c r="AO332" s="18">
        <f>IF($A332&gt;'1-Input'!$B$26,AM332,AM332-'P-Parametri'!$B$8*(AN332+AM332)+MIN(MAX(AN332,0),'P-Parametri'!$B$8*(AN332+AM332)))</f>
        <v>6022.0161283219513</v>
      </c>
      <c r="AP332" s="18">
        <f>IF($A332&gt;'1-Input'!$B$26,AN332,AN332-MIN(MAX(AN332,0),'P-Parametri'!$B$8*(AN332+AM332)))</f>
        <v>0</v>
      </c>
      <c r="AQ332" s="18">
        <f>IF($A332&gt;'1-Input'!$B$26,AQ331,AQ331-AL332*(1-AK332))</f>
        <v>0</v>
      </c>
    </row>
    <row r="333" spans="1:43">
      <c r="A333" s="10">
        <f>45</f>
        <v>45</v>
      </c>
      <c r="B333" s="11">
        <f>IF($A333&gt;'1-Input'!$B$26,0,IF(G332&lt;=0,0,MAX(0,(G332-H332)/G332)))</f>
        <v>0.75522615895424083</v>
      </c>
      <c r="C333" s="18">
        <f>IF($A333&gt;'1-Input'!$B$26,0,(MAX(0,B286-IF($A333&gt;='1-Input'!$C$12,'1-Input'!$B$12,0))-MIN(MAX(F332,0),MAX(0,B286-IF($A333&gt;='1-Input'!$C$12,'1-Input'!$B$12,0))))*(1/(1-'P-Parametri'!$B$6*B333))+MIN(MAX(0,G332-(MAX(0,B286-IF($A333&gt;='1-Input'!$C$12,'1-Input'!$B$12,0))-MIN(MAX(F332,0),MAX(0,B286-IF($A333&gt;='1-Input'!$C$12,'1-Input'!$B$12,0))))*(1/(1-'P-Parametri'!$B$6*B333))),MAX(0,5*MAX(0,B286-IF($A333&gt;='1-Input'!$C$12,'1-Input'!$B$12,0))-(F332-MIN(MAX(F332,0),MAX(0,B286-IF($A333&gt;='1-Input'!$C$12,'1-Input'!$B$12,0)))))*(1/(1-'P-Parametri'!$B$6*B333))))</f>
        <v>7067.1816224392314</v>
      </c>
      <c r="D333" s="18">
        <f>IF($A333&gt;'1-Input'!$B$26,F332,(F332-MAX(0,B286-IF($A333&gt;='1-Input'!$C$12,'1-Input'!$B$12,0))+C333*(1-'P-Parametri'!$B$6*B333))*(1+'1-Input'!$B$27))</f>
        <v>27794.853577465747</v>
      </c>
      <c r="E333" s="18">
        <f>IF($A333&gt;'1-Input'!$B$26,G332,(G332-C333)*(1+'5-Roberta'!$C$4))</f>
        <v>12506.544632380086</v>
      </c>
      <c r="F333" s="18">
        <f>IF($A333&gt;'1-Input'!$B$26,D333,D333-'P-Parametri'!$B$8*(E333+D333)+MIN(MAX(E333,0),'P-Parametri'!$B$8*(E333+D333)))</f>
        <v>27794.853577465747</v>
      </c>
      <c r="G333" s="18">
        <f>IF($A333&gt;'1-Input'!$B$26,E333,E333-MIN(MAX(E333,0),'P-Parametri'!$B$8*(E333+D333)))</f>
        <v>12425.941835960395</v>
      </c>
      <c r="H333" s="18">
        <f>IF($A333&gt;'1-Input'!$B$26,H332,H332-C333*(1-B333))</f>
        <v>2972.1116192989275</v>
      </c>
      <c r="I333" s="11">
        <f>IF($A333&gt;'1-Input'!$B$26,0,IF(N332&lt;=0,0,MAX(0,(N332-O332)/N332)))</f>
        <v>0</v>
      </c>
      <c r="J333" s="18">
        <f>IF($A333&gt;'1-Input'!$B$26,0,(MAX(0,I286-IF($A333&gt;='1-Input'!$C$12,'1-Input'!$B$12,0))-MIN(MAX(M332,0),MAX(0,I286-IF($A333&gt;='1-Input'!$C$12,'1-Input'!$B$12,0))))*(1/(1-'P-Parametri'!$B$6*I333))+MIN(MAX(0,N332-(MAX(0,I286-IF($A333&gt;='1-Input'!$C$12,'1-Input'!$B$12,0))-MIN(MAX(M332,0),MAX(0,I286-IF($A333&gt;='1-Input'!$C$12,'1-Input'!$B$12,0))))*(1/(1-'P-Parametri'!$B$6*I333))),MAX(0,5*MAX(0,I286-IF($A333&gt;='1-Input'!$C$12,'1-Input'!$B$12,0))-(M332-MIN(MAX(M332,0),MAX(0,I286-IF($A333&gt;='1-Input'!$C$12,'1-Input'!$B$12,0)))))*(1/(1-'P-Parametri'!$B$6*I333))))</f>
        <v>10846.756992928691</v>
      </c>
      <c r="K333" s="18">
        <f>IF($A333&gt;'1-Input'!$B$26,M332,(M332-MAX(0,I286-IF($A333&gt;='1-Input'!$C$12,'1-Input'!$B$12,0))+J333*(1-'P-Parametri'!$B$6*I333))*(1+'1-Input'!$B$27))</f>
        <v>0</v>
      </c>
      <c r="L333" s="18">
        <f>IF($A333&gt;'1-Input'!$B$26,N332,(N332-J333)*(1+'5-Roberta'!$C$4))</f>
        <v>-386792.83962255926</v>
      </c>
      <c r="M333" s="18">
        <f>IF($A333&gt;'1-Input'!$B$26,K333,K333-'P-Parametri'!$B$8*(L333+K333)+MIN(MAX(L333,0),'P-Parametri'!$B$8*(L333+K333)))</f>
        <v>0</v>
      </c>
      <c r="N333" s="18">
        <f>IF($A333&gt;'1-Input'!$B$26,L333,L333-MIN(MAX(L333,0),'P-Parametri'!$B$8*(L333+K333)))</f>
        <v>-386019.25394331414</v>
      </c>
      <c r="O333" s="18">
        <f>IF($A333&gt;'1-Input'!$B$26,O332,O332-J333*(1-I333))</f>
        <v>-266477.29648420605</v>
      </c>
      <c r="P333" s="11">
        <f>IF($A333&gt;'1-Input'!$B$26,0,IF(U332&lt;=0,0,MAX(0,(U332-V332)/U332)))</f>
        <v>0</v>
      </c>
      <c r="Q333" s="18">
        <f>IF($A333&gt;'1-Input'!$B$26,0,(MAX(0,P286-IF($A333&gt;='1-Input'!$C$12,'1-Input'!$B$12,0))-MIN(MAX(T332,0),MAX(0,P286-IF($A333&gt;='1-Input'!$C$12,'1-Input'!$B$12,0))))*(1/(1-'P-Parametri'!$B$6*P333))+MIN(MAX(0,U332-(MAX(0,P286-IF($A333&gt;='1-Input'!$C$12,'1-Input'!$B$12,0))-MIN(MAX(T332,0),MAX(0,P286-IF($A333&gt;='1-Input'!$C$12,'1-Input'!$B$12,0))))*(1/(1-'P-Parametri'!$B$6*P333))),MAX(0,5*MAX(0,P286-IF($A333&gt;='1-Input'!$C$12,'1-Input'!$B$12,0))-(T332-MIN(MAX(T332,0),MAX(0,P286-IF($A333&gt;='1-Input'!$C$12,'1-Input'!$B$12,0)))))*(1/(1-'P-Parametri'!$B$6*P333))))</f>
        <v>4167.4482117735151</v>
      </c>
      <c r="R333" s="18">
        <f>IF($A333&gt;'1-Input'!$B$26,T332,(T332-MAX(0,P286-IF($A333&gt;='1-Input'!$C$12,'1-Input'!$B$12,0))+Q333*(1-'P-Parametri'!$B$6*P333))*(1+'1-Input'!$B$27))</f>
        <v>0</v>
      </c>
      <c r="S333" s="18">
        <f>IF($A333&gt;'1-Input'!$B$26,U332,(U332-Q333)*(1+'5-Roberta'!$C$4))</f>
        <v>-4292.4716581267203</v>
      </c>
      <c r="T333" s="18">
        <f>IF($A333&gt;'1-Input'!$B$26,R333,R333-'P-Parametri'!$B$8*(S333+R333)+MIN(MAX(S333,0),'P-Parametri'!$B$8*(S333+R333)))</f>
        <v>0</v>
      </c>
      <c r="U333" s="18">
        <f>IF($A333&gt;'1-Input'!$B$26,S333,S333-MIN(MAX(S333,0),'P-Parametri'!$B$8*(S333+R333)))</f>
        <v>-4283.8867148104664</v>
      </c>
      <c r="V333" s="18">
        <f>IF($A333&gt;'1-Input'!$B$26,V332,V332-Q333*(1-P333))</f>
        <v>-4167.4482117735151</v>
      </c>
      <c r="W333" s="11">
        <f>IF($A333&gt;'1-Input'!$B$26,0,IF(AB332&lt;=0,0,MAX(0,(AB332-AC332)/AB332)))</f>
        <v>0</v>
      </c>
      <c r="X333" s="18">
        <f>IF($A333&gt;'1-Input'!$B$26,0,(MAX(0,W286-IF($A333&gt;='1-Input'!$C$12,'1-Input'!$B$12,0))-MIN(MAX(AA332,0),MAX(0,W286-IF($A333&gt;='1-Input'!$C$12,'1-Input'!$B$12,0))))*(1/(1-'P-Parametri'!$B$6*W333))+MIN(MAX(0,AB332-(MAX(0,W286-IF($A333&gt;='1-Input'!$C$12,'1-Input'!$B$12,0))-MIN(MAX(AA332,0),MAX(0,W286-IF($A333&gt;='1-Input'!$C$12,'1-Input'!$B$12,0))))*(1/(1-'P-Parametri'!$B$6*W333))),MAX(0,5*MAX(0,W286-IF($A333&gt;='1-Input'!$C$12,'1-Input'!$B$12,0))-(AA332-MIN(MAX(AA332,0),MAX(0,W286-IF($A333&gt;='1-Input'!$C$12,'1-Input'!$B$12,0)))))*(1/(1-'P-Parametri'!$B$6*W333))))</f>
        <v>47.971456495197344</v>
      </c>
      <c r="Y333" s="18">
        <f>IF($A333&gt;'1-Input'!$B$26,AA332,(AA332-MAX(0,W286-IF($A333&gt;='1-Input'!$C$12,'1-Input'!$B$12,0))+X333*(1-'P-Parametri'!$B$6*W333))*(1+'1-Input'!$B$27))</f>
        <v>0</v>
      </c>
      <c r="Z333" s="18">
        <f>IF($A333&gt;'1-Input'!$B$26,AB332,(AB332-X333)*(1+'5-Roberta'!$C$4))</f>
        <v>-49.410600190053266</v>
      </c>
      <c r="AA333" s="18">
        <f>IF($A333&gt;'1-Input'!$B$26,Y333,Y333-'P-Parametri'!$B$8*(Z333+Y333)+MIN(MAX(Z333,0),'P-Parametri'!$B$8*(Z333+Y333)))</f>
        <v>0</v>
      </c>
      <c r="AB333" s="18">
        <f>IF($A333&gt;'1-Input'!$B$26,Z333,Z333-MIN(MAX(Z333,0),'P-Parametri'!$B$8*(Z333+Y333)))</f>
        <v>-49.311778989673158</v>
      </c>
      <c r="AC333" s="18">
        <f>IF($A333&gt;'1-Input'!$B$26,AC332,AC332-X333*(1-W333))</f>
        <v>-47.971456495197344</v>
      </c>
      <c r="AD333" s="11">
        <f>IF($A333&gt;'1-Input'!$B$26,0,IF(AI332&lt;=0,0,MAX(0,(AI332-AJ332)/AI332)))</f>
        <v>0</v>
      </c>
      <c r="AE333" s="18">
        <f>IF($A333&gt;'1-Input'!$B$26,0,(MAX(0,AD286-IF($A333&gt;='1-Input'!$C$12,'1-Input'!$B$12,0))-MIN(MAX(AH332,0),MAX(0,AD286-IF($A333&gt;='1-Input'!$C$12,'1-Input'!$B$12,0))))*(1/(1-'P-Parametri'!$B$6*AD333))+MIN(MAX(0,AI332-(MAX(0,AD286-IF($A333&gt;='1-Input'!$C$12,'1-Input'!$B$12,0))-MIN(MAX(AH332,0),MAX(0,AD286-IF($A333&gt;='1-Input'!$C$12,'1-Input'!$B$12,0))))*(1/(1-'P-Parametri'!$B$6*AD333))),MAX(0,5*MAX(0,AD286-IF($A333&gt;='1-Input'!$C$12,'1-Input'!$B$12,0))-(AH332-MIN(MAX(AH332,0),MAX(0,AD286-IF($A333&gt;='1-Input'!$C$12,'1-Input'!$B$12,0)))))*(1/(1-'P-Parametri'!$B$6*AD333))))</f>
        <v>0</v>
      </c>
      <c r="AF333" s="18">
        <f>IF($A333&gt;'1-Input'!$B$26,AH332,(AH332-MAX(0,AD286-IF($A333&gt;='1-Input'!$C$12,'1-Input'!$B$12,0))+AE333*(1-'P-Parametri'!$B$6*AD333))*(1+'1-Input'!$B$27))</f>
        <v>1.1485422967840841</v>
      </c>
      <c r="AG333" s="18">
        <f>IF($A333&gt;'1-Input'!$B$26,AI332,(AI332-AE333)*(1+'5-Roberta'!$C$4))</f>
        <v>0</v>
      </c>
      <c r="AH333" s="18">
        <f>IF($A333&gt;'1-Input'!$B$26,AF333,AF333-'P-Parametri'!$B$8*(AG333+AF333)+MIN(MAX(AG333,0),'P-Parametri'!$B$8*(AG333+AF333)))</f>
        <v>1.146245212190516</v>
      </c>
      <c r="AI333" s="18">
        <f>IF($A333&gt;'1-Input'!$B$26,AG333,AG333-MIN(MAX(AG333,0),'P-Parametri'!$B$8*(AG333+AF333)))</f>
        <v>0</v>
      </c>
      <c r="AJ333" s="18">
        <f>IF($A333&gt;'1-Input'!$B$26,AJ332,AJ332-AE333*(1-AD333))</f>
        <v>0</v>
      </c>
      <c r="AK333" s="11">
        <f>IF($A333&gt;'1-Input'!$B$26,0,IF(AP332&lt;=0,0,MAX(0,(AP332-AQ332)/AP332)))</f>
        <v>0</v>
      </c>
      <c r="AL333" s="18">
        <f>IF($A333&gt;'1-Input'!$B$26,0,(MAX(0,AK286-IF($A333&gt;='1-Input'!$C$12,'1-Input'!$B$12,0))-MIN(MAX(AO332,0),MAX(0,AK286-IF($A333&gt;='1-Input'!$C$12,'1-Input'!$B$12,0))))*(1/(1-'P-Parametri'!$B$6*AK333))+MIN(MAX(0,AP332-(MAX(0,AK286-IF($A333&gt;='1-Input'!$C$12,'1-Input'!$B$12,0))-MIN(MAX(AO332,0),MAX(0,AK286-IF($A333&gt;='1-Input'!$C$12,'1-Input'!$B$12,0))))*(1/(1-'P-Parametri'!$B$6*AK333))),MAX(0,5*MAX(0,AK286-IF($A333&gt;='1-Input'!$C$12,'1-Input'!$B$12,0))-(AO332-MIN(MAX(AO332,0),MAX(0,AK286-IF($A333&gt;='1-Input'!$C$12,'1-Input'!$B$12,0)))))*(1/(1-'P-Parametri'!$B$6*AK333))))</f>
        <v>0</v>
      </c>
      <c r="AM333" s="18">
        <f>IF($A333&gt;'1-Input'!$B$26,AO332,(AO332-MAX(0,AK286-IF($A333&gt;='1-Input'!$C$12,'1-Input'!$B$12,0))+AL333*(1-'P-Parametri'!$B$6*AK333))*(1+'1-Input'!$B$27))</f>
        <v>3.6615262869645809E-2</v>
      </c>
      <c r="AN333" s="18">
        <f>IF($A333&gt;'1-Input'!$B$26,AP332,(AP332-AL333)*(1+'5-Roberta'!$C$4))</f>
        <v>0</v>
      </c>
      <c r="AO333" s="18">
        <f>IF($A333&gt;'1-Input'!$B$26,AM333,AM333-'P-Parametri'!$B$8*(AN333+AM333)+MIN(MAX(AN333,0),'P-Parametri'!$B$8*(AN333+AM333)))</f>
        <v>3.6542032343906516E-2</v>
      </c>
      <c r="AP333" s="18">
        <f>IF($A333&gt;'1-Input'!$B$26,AN333,AN333-MIN(MAX(AN333,0),'P-Parametri'!$B$8*(AN333+AM333)))</f>
        <v>0</v>
      </c>
      <c r="AQ333" s="18">
        <f>IF($A333&gt;'1-Input'!$B$26,AQ332,AQ332-AL333*(1-AK333))</f>
        <v>0</v>
      </c>
    </row>
    <row r="334" spans="1:43">
      <c r="A334" s="10">
        <f>46</f>
        <v>46</v>
      </c>
      <c r="B334" s="11">
        <f>IF($A334&gt;'1-Input'!$B$26,0,IF(G333&lt;=0,0,MAX(0,(G333-H333)/G333)))</f>
        <v>0</v>
      </c>
      <c r="C334" s="18">
        <f>IF($A334&gt;'1-Input'!$B$26,0,(MAX(0,B286-IF($A334&gt;='1-Input'!$C$12,'1-Input'!$B$12,0))-MIN(MAX(F333,0),MAX(0,B286-IF($A334&gt;='1-Input'!$C$12,'1-Input'!$B$12,0))))*(1/(1-'P-Parametri'!$B$6*B334))+MIN(MAX(0,G333-(MAX(0,B286-IF($A334&gt;='1-Input'!$C$12,'1-Input'!$B$12,0))-MIN(MAX(F333,0),MAX(0,B286-IF($A334&gt;='1-Input'!$C$12,'1-Input'!$B$12,0))))*(1/(1-'P-Parametri'!$B$6*B334))),MAX(0,5*MAX(0,B286-IF($A334&gt;='1-Input'!$C$12,'1-Input'!$B$12,0))-(F333-MIN(MAX(F333,0),MAX(0,B286-IF($A334&gt;='1-Input'!$C$12,'1-Input'!$B$12,0)))))*(1/(1-'P-Parametri'!$B$6*B334))))</f>
        <v>0</v>
      </c>
      <c r="D334" s="18">
        <f>IF($A334&gt;'1-Input'!$B$26,F333,(F333-MAX(0,B286-IF($A334&gt;='1-Input'!$C$12,'1-Input'!$B$12,0))+C334*(1-'P-Parametri'!$B$6*B334))*(1+'1-Input'!$B$27))</f>
        <v>27794.853577465747</v>
      </c>
      <c r="E334" s="18">
        <f>IF($A334&gt;'1-Input'!$B$26,G333,(G333-C334)*(1+'5-Roberta'!$C$4))</f>
        <v>12425.941835960395</v>
      </c>
      <c r="F334" s="18">
        <f>IF($A334&gt;'1-Input'!$B$26,D334,D334-'P-Parametri'!$B$8*(E334+D334)+MIN(MAX(E334,0),'P-Parametri'!$B$8*(E334+D334)))</f>
        <v>27794.853577465747</v>
      </c>
      <c r="G334" s="18">
        <f>IF($A334&gt;'1-Input'!$B$26,E334,E334-MIN(MAX(E334,0),'P-Parametri'!$B$8*(E334+D334)))</f>
        <v>12425.941835960395</v>
      </c>
      <c r="H334" s="18">
        <f>IF($A334&gt;'1-Input'!$B$26,H333,H333-C334*(1-B334))</f>
        <v>2972.1116192989275</v>
      </c>
      <c r="I334" s="11">
        <f>IF($A334&gt;'1-Input'!$B$26,0,IF(N333&lt;=0,0,MAX(0,(N333-O333)/N333)))</f>
        <v>0</v>
      </c>
      <c r="J334" s="18">
        <f>IF($A334&gt;'1-Input'!$B$26,0,(MAX(0,I286-IF($A334&gt;='1-Input'!$C$12,'1-Input'!$B$12,0))-MIN(MAX(M333,0),MAX(0,I286-IF($A334&gt;='1-Input'!$C$12,'1-Input'!$B$12,0))))*(1/(1-'P-Parametri'!$B$6*I334))+MIN(MAX(0,N333-(MAX(0,I286-IF($A334&gt;='1-Input'!$C$12,'1-Input'!$B$12,0))-MIN(MAX(M333,0),MAX(0,I286-IF($A334&gt;='1-Input'!$C$12,'1-Input'!$B$12,0))))*(1/(1-'P-Parametri'!$B$6*I334))),MAX(0,5*MAX(0,I286-IF($A334&gt;='1-Input'!$C$12,'1-Input'!$B$12,0))-(M333-MIN(MAX(M333,0),MAX(0,I286-IF($A334&gt;='1-Input'!$C$12,'1-Input'!$B$12,0)))))*(1/(1-'P-Parametri'!$B$6*I334))))</f>
        <v>0</v>
      </c>
      <c r="K334" s="18">
        <f>IF($A334&gt;'1-Input'!$B$26,M333,(M333-MAX(0,I286-IF($A334&gt;='1-Input'!$C$12,'1-Input'!$B$12,0))+J334*(1-'P-Parametri'!$B$6*I334))*(1+'1-Input'!$B$27))</f>
        <v>0</v>
      </c>
      <c r="L334" s="18">
        <f>IF($A334&gt;'1-Input'!$B$26,N333,(N333-J334)*(1+'5-Roberta'!$C$4))</f>
        <v>-386019.25394331414</v>
      </c>
      <c r="M334" s="18">
        <f>IF($A334&gt;'1-Input'!$B$26,K334,K334-'P-Parametri'!$B$8*(L334+K334)+MIN(MAX(L334,0),'P-Parametri'!$B$8*(L334+K334)))</f>
        <v>0</v>
      </c>
      <c r="N334" s="18">
        <f>IF($A334&gt;'1-Input'!$B$26,L334,L334-MIN(MAX(L334,0),'P-Parametri'!$B$8*(L334+K334)))</f>
        <v>-386019.25394331414</v>
      </c>
      <c r="O334" s="18">
        <f>IF($A334&gt;'1-Input'!$B$26,O333,O333-J334*(1-I334))</f>
        <v>-266477.29648420605</v>
      </c>
      <c r="P334" s="11">
        <f>IF($A334&gt;'1-Input'!$B$26,0,IF(U333&lt;=0,0,MAX(0,(U333-V333)/U333)))</f>
        <v>0</v>
      </c>
      <c r="Q334" s="18">
        <f>IF($A334&gt;'1-Input'!$B$26,0,(MAX(0,P286-IF($A334&gt;='1-Input'!$C$12,'1-Input'!$B$12,0))-MIN(MAX(T333,0),MAX(0,P286-IF($A334&gt;='1-Input'!$C$12,'1-Input'!$B$12,0))))*(1/(1-'P-Parametri'!$B$6*P334))+MIN(MAX(0,U333-(MAX(0,P286-IF($A334&gt;='1-Input'!$C$12,'1-Input'!$B$12,0))-MIN(MAX(T333,0),MAX(0,P286-IF($A334&gt;='1-Input'!$C$12,'1-Input'!$B$12,0))))*(1/(1-'P-Parametri'!$B$6*P334))),MAX(0,5*MAX(0,P286-IF($A334&gt;='1-Input'!$C$12,'1-Input'!$B$12,0))-(T333-MIN(MAX(T333,0),MAX(0,P286-IF($A334&gt;='1-Input'!$C$12,'1-Input'!$B$12,0)))))*(1/(1-'P-Parametri'!$B$6*P334))))</f>
        <v>0</v>
      </c>
      <c r="R334" s="18">
        <f>IF($A334&gt;'1-Input'!$B$26,T333,(T333-MAX(0,P286-IF($A334&gt;='1-Input'!$C$12,'1-Input'!$B$12,0))+Q334*(1-'P-Parametri'!$B$6*P334))*(1+'1-Input'!$B$27))</f>
        <v>0</v>
      </c>
      <c r="S334" s="18">
        <f>IF($A334&gt;'1-Input'!$B$26,U333,(U333-Q334)*(1+'5-Roberta'!$C$4))</f>
        <v>-4283.8867148104664</v>
      </c>
      <c r="T334" s="18">
        <f>IF($A334&gt;'1-Input'!$B$26,R334,R334-'P-Parametri'!$B$8*(S334+R334)+MIN(MAX(S334,0),'P-Parametri'!$B$8*(S334+R334)))</f>
        <v>0</v>
      </c>
      <c r="U334" s="18">
        <f>IF($A334&gt;'1-Input'!$B$26,S334,S334-MIN(MAX(S334,0),'P-Parametri'!$B$8*(S334+R334)))</f>
        <v>-4283.8867148104664</v>
      </c>
      <c r="V334" s="18">
        <f>IF($A334&gt;'1-Input'!$B$26,V333,V333-Q334*(1-P334))</f>
        <v>-4167.4482117735151</v>
      </c>
      <c r="W334" s="11">
        <f>IF($A334&gt;'1-Input'!$B$26,0,IF(AB333&lt;=0,0,MAX(0,(AB333-AC333)/AB333)))</f>
        <v>0</v>
      </c>
      <c r="X334" s="18">
        <f>IF($A334&gt;'1-Input'!$B$26,0,(MAX(0,W286-IF($A334&gt;='1-Input'!$C$12,'1-Input'!$B$12,0))-MIN(MAX(AA333,0),MAX(0,W286-IF($A334&gt;='1-Input'!$C$12,'1-Input'!$B$12,0))))*(1/(1-'P-Parametri'!$B$6*W334))+MIN(MAX(0,AB333-(MAX(0,W286-IF($A334&gt;='1-Input'!$C$12,'1-Input'!$B$12,0))-MIN(MAX(AA333,0),MAX(0,W286-IF($A334&gt;='1-Input'!$C$12,'1-Input'!$B$12,0))))*(1/(1-'P-Parametri'!$B$6*W334))),MAX(0,5*MAX(0,W286-IF($A334&gt;='1-Input'!$C$12,'1-Input'!$B$12,0))-(AA333-MIN(MAX(AA333,0),MAX(0,W286-IF($A334&gt;='1-Input'!$C$12,'1-Input'!$B$12,0)))))*(1/(1-'P-Parametri'!$B$6*W334))))</f>
        <v>0</v>
      </c>
      <c r="Y334" s="18">
        <f>IF($A334&gt;'1-Input'!$B$26,AA333,(AA333-MAX(0,W286-IF($A334&gt;='1-Input'!$C$12,'1-Input'!$B$12,0))+X334*(1-'P-Parametri'!$B$6*W334))*(1+'1-Input'!$B$27))</f>
        <v>0</v>
      </c>
      <c r="Z334" s="18">
        <f>IF($A334&gt;'1-Input'!$B$26,AB333,(AB333-X334)*(1+'5-Roberta'!$C$4))</f>
        <v>-49.311778989673158</v>
      </c>
      <c r="AA334" s="18">
        <f>IF($A334&gt;'1-Input'!$B$26,Y334,Y334-'P-Parametri'!$B$8*(Z334+Y334)+MIN(MAX(Z334,0),'P-Parametri'!$B$8*(Z334+Y334)))</f>
        <v>0</v>
      </c>
      <c r="AB334" s="18">
        <f>IF($A334&gt;'1-Input'!$B$26,Z334,Z334-MIN(MAX(Z334,0),'P-Parametri'!$B$8*(Z334+Y334)))</f>
        <v>-49.311778989673158</v>
      </c>
      <c r="AC334" s="18">
        <f>IF($A334&gt;'1-Input'!$B$26,AC333,AC333-X334*(1-W334))</f>
        <v>-47.971456495197344</v>
      </c>
      <c r="AD334" s="11">
        <f>IF($A334&gt;'1-Input'!$B$26,0,IF(AI333&lt;=0,0,MAX(0,(AI333-AJ333)/AI333)))</f>
        <v>0</v>
      </c>
      <c r="AE334" s="18">
        <f>IF($A334&gt;'1-Input'!$B$26,0,(MAX(0,AD286-IF($A334&gt;='1-Input'!$C$12,'1-Input'!$B$12,0))-MIN(MAX(AH333,0),MAX(0,AD286-IF($A334&gt;='1-Input'!$C$12,'1-Input'!$B$12,0))))*(1/(1-'P-Parametri'!$B$6*AD334))+MIN(MAX(0,AI333-(MAX(0,AD286-IF($A334&gt;='1-Input'!$C$12,'1-Input'!$B$12,0))-MIN(MAX(AH333,0),MAX(0,AD286-IF($A334&gt;='1-Input'!$C$12,'1-Input'!$B$12,0))))*(1/(1-'P-Parametri'!$B$6*AD334))),MAX(0,5*MAX(0,AD286-IF($A334&gt;='1-Input'!$C$12,'1-Input'!$B$12,0))-(AH333-MIN(MAX(AH333,0),MAX(0,AD286-IF($A334&gt;='1-Input'!$C$12,'1-Input'!$B$12,0)))))*(1/(1-'P-Parametri'!$B$6*AD334))))</f>
        <v>0</v>
      </c>
      <c r="AF334" s="18">
        <f>IF($A334&gt;'1-Input'!$B$26,AH333,(AH333-MAX(0,AD286-IF($A334&gt;='1-Input'!$C$12,'1-Input'!$B$12,0))+AE334*(1-'P-Parametri'!$B$6*AD334))*(1+'1-Input'!$B$27))</f>
        <v>1.146245212190516</v>
      </c>
      <c r="AG334" s="18">
        <f>IF($A334&gt;'1-Input'!$B$26,AI333,(AI333-AE334)*(1+'5-Roberta'!$C$4))</f>
        <v>0</v>
      </c>
      <c r="AH334" s="18">
        <f>IF($A334&gt;'1-Input'!$B$26,AF334,AF334-'P-Parametri'!$B$8*(AG334+AF334)+MIN(MAX(AG334,0),'P-Parametri'!$B$8*(AG334+AF334)))</f>
        <v>1.146245212190516</v>
      </c>
      <c r="AI334" s="18">
        <f>IF($A334&gt;'1-Input'!$B$26,AG334,AG334-MIN(MAX(AG334,0),'P-Parametri'!$B$8*(AG334+AF334)))</f>
        <v>0</v>
      </c>
      <c r="AJ334" s="18">
        <f>IF($A334&gt;'1-Input'!$B$26,AJ333,AJ333-AE334*(1-AD334))</f>
        <v>0</v>
      </c>
      <c r="AK334" s="11">
        <f>IF($A334&gt;'1-Input'!$B$26,0,IF(AP333&lt;=0,0,MAX(0,(AP333-AQ333)/AP333)))</f>
        <v>0</v>
      </c>
      <c r="AL334" s="18">
        <f>IF($A334&gt;'1-Input'!$B$26,0,(MAX(0,AK286-IF($A334&gt;='1-Input'!$C$12,'1-Input'!$B$12,0))-MIN(MAX(AO333,0),MAX(0,AK286-IF($A334&gt;='1-Input'!$C$12,'1-Input'!$B$12,0))))*(1/(1-'P-Parametri'!$B$6*AK334))+MIN(MAX(0,AP333-(MAX(0,AK286-IF($A334&gt;='1-Input'!$C$12,'1-Input'!$B$12,0))-MIN(MAX(AO333,0),MAX(0,AK286-IF($A334&gt;='1-Input'!$C$12,'1-Input'!$B$12,0))))*(1/(1-'P-Parametri'!$B$6*AK334))),MAX(0,5*MAX(0,AK286-IF($A334&gt;='1-Input'!$C$12,'1-Input'!$B$12,0))-(AO333-MIN(MAX(AO333,0),MAX(0,AK286-IF($A334&gt;='1-Input'!$C$12,'1-Input'!$B$12,0)))))*(1/(1-'P-Parametri'!$B$6*AK334))))</f>
        <v>0</v>
      </c>
      <c r="AM334" s="18">
        <f>IF($A334&gt;'1-Input'!$B$26,AO333,(AO333-MAX(0,AK286-IF($A334&gt;='1-Input'!$C$12,'1-Input'!$B$12,0))+AL334*(1-'P-Parametri'!$B$6*AK334))*(1+'1-Input'!$B$27))</f>
        <v>3.6542032343906516E-2</v>
      </c>
      <c r="AN334" s="18">
        <f>IF($A334&gt;'1-Input'!$B$26,AP333,(AP333-AL334)*(1+'5-Roberta'!$C$4))</f>
        <v>0</v>
      </c>
      <c r="AO334" s="18">
        <f>IF($A334&gt;'1-Input'!$B$26,AM334,AM334-'P-Parametri'!$B$8*(AN334+AM334)+MIN(MAX(AN334,0),'P-Parametri'!$B$8*(AN334+AM334)))</f>
        <v>3.6542032343906516E-2</v>
      </c>
      <c r="AP334" s="18">
        <f>IF($A334&gt;'1-Input'!$B$26,AN334,AN334-MIN(MAX(AN334,0),'P-Parametri'!$B$8*(AN334+AM334)))</f>
        <v>0</v>
      </c>
      <c r="AQ334" s="18">
        <f>IF($A334&gt;'1-Input'!$B$26,AQ333,AQ333-AL334*(1-AK334))</f>
        <v>0</v>
      </c>
    </row>
    <row r="335" spans="1:43">
      <c r="A335" s="10">
        <f>47</f>
        <v>47</v>
      </c>
      <c r="B335" s="11">
        <f>IF($A335&gt;'1-Input'!$B$26,0,IF(G334&lt;=0,0,MAX(0,(G334-H334)/G334)))</f>
        <v>0</v>
      </c>
      <c r="C335" s="18">
        <f>IF($A335&gt;'1-Input'!$B$26,0,(MAX(0,B286-IF($A335&gt;='1-Input'!$C$12,'1-Input'!$B$12,0))-MIN(MAX(F334,0),MAX(0,B286-IF($A335&gt;='1-Input'!$C$12,'1-Input'!$B$12,0))))*(1/(1-'P-Parametri'!$B$6*B335))+MIN(MAX(0,G334-(MAX(0,B286-IF($A335&gt;='1-Input'!$C$12,'1-Input'!$B$12,0))-MIN(MAX(F334,0),MAX(0,B286-IF($A335&gt;='1-Input'!$C$12,'1-Input'!$B$12,0))))*(1/(1-'P-Parametri'!$B$6*B335))),MAX(0,5*MAX(0,B286-IF($A335&gt;='1-Input'!$C$12,'1-Input'!$B$12,0))-(F334-MIN(MAX(F334,0),MAX(0,B286-IF($A335&gt;='1-Input'!$C$12,'1-Input'!$B$12,0)))))*(1/(1-'P-Parametri'!$B$6*B335))))</f>
        <v>0</v>
      </c>
      <c r="D335" s="18">
        <f>IF($A335&gt;'1-Input'!$B$26,F334,(F334-MAX(0,B286-IF($A335&gt;='1-Input'!$C$12,'1-Input'!$B$12,0))+C335*(1-'P-Parametri'!$B$6*B335))*(1+'1-Input'!$B$27))</f>
        <v>27794.853577465747</v>
      </c>
      <c r="E335" s="18">
        <f>IF($A335&gt;'1-Input'!$B$26,G334,(G334-C335)*(1+'5-Roberta'!$C$4))</f>
        <v>12425.941835960395</v>
      </c>
      <c r="F335" s="18">
        <f>IF($A335&gt;'1-Input'!$B$26,D335,D335-'P-Parametri'!$B$8*(E335+D335)+MIN(MAX(E335,0),'P-Parametri'!$B$8*(E335+D335)))</f>
        <v>27794.853577465747</v>
      </c>
      <c r="G335" s="18">
        <f>IF($A335&gt;'1-Input'!$B$26,E335,E335-MIN(MAX(E335,0),'P-Parametri'!$B$8*(E335+D335)))</f>
        <v>12425.941835960395</v>
      </c>
      <c r="H335" s="18">
        <f>IF($A335&gt;'1-Input'!$B$26,H334,H334-C335*(1-B335))</f>
        <v>2972.1116192989275</v>
      </c>
      <c r="I335" s="11">
        <f>IF($A335&gt;'1-Input'!$B$26,0,IF(N334&lt;=0,0,MAX(0,(N334-O334)/N334)))</f>
        <v>0</v>
      </c>
      <c r="J335" s="18">
        <f>IF($A335&gt;'1-Input'!$B$26,0,(MAX(0,I286-IF($A335&gt;='1-Input'!$C$12,'1-Input'!$B$12,0))-MIN(MAX(M334,0),MAX(0,I286-IF($A335&gt;='1-Input'!$C$12,'1-Input'!$B$12,0))))*(1/(1-'P-Parametri'!$B$6*I335))+MIN(MAX(0,N334-(MAX(0,I286-IF($A335&gt;='1-Input'!$C$12,'1-Input'!$B$12,0))-MIN(MAX(M334,0),MAX(0,I286-IF($A335&gt;='1-Input'!$C$12,'1-Input'!$B$12,0))))*(1/(1-'P-Parametri'!$B$6*I335))),MAX(0,5*MAX(0,I286-IF($A335&gt;='1-Input'!$C$12,'1-Input'!$B$12,0))-(M334-MIN(MAX(M334,0),MAX(0,I286-IF($A335&gt;='1-Input'!$C$12,'1-Input'!$B$12,0)))))*(1/(1-'P-Parametri'!$B$6*I335))))</f>
        <v>0</v>
      </c>
      <c r="K335" s="18">
        <f>IF($A335&gt;'1-Input'!$B$26,M334,(M334-MAX(0,I286-IF($A335&gt;='1-Input'!$C$12,'1-Input'!$B$12,0))+J335*(1-'P-Parametri'!$B$6*I335))*(1+'1-Input'!$B$27))</f>
        <v>0</v>
      </c>
      <c r="L335" s="18">
        <f>IF($A335&gt;'1-Input'!$B$26,N334,(N334-J335)*(1+'5-Roberta'!$C$4))</f>
        <v>-386019.25394331414</v>
      </c>
      <c r="M335" s="18">
        <f>IF($A335&gt;'1-Input'!$B$26,K335,K335-'P-Parametri'!$B$8*(L335+K335)+MIN(MAX(L335,0),'P-Parametri'!$B$8*(L335+K335)))</f>
        <v>0</v>
      </c>
      <c r="N335" s="18">
        <f>IF($A335&gt;'1-Input'!$B$26,L335,L335-MIN(MAX(L335,0),'P-Parametri'!$B$8*(L335+K335)))</f>
        <v>-386019.25394331414</v>
      </c>
      <c r="O335" s="18">
        <f>IF($A335&gt;'1-Input'!$B$26,O334,O334-J335*(1-I335))</f>
        <v>-266477.29648420605</v>
      </c>
      <c r="P335" s="11">
        <f>IF($A335&gt;'1-Input'!$B$26,0,IF(U334&lt;=0,0,MAX(0,(U334-V334)/U334)))</f>
        <v>0</v>
      </c>
      <c r="Q335" s="18">
        <f>IF($A335&gt;'1-Input'!$B$26,0,(MAX(0,P286-IF($A335&gt;='1-Input'!$C$12,'1-Input'!$B$12,0))-MIN(MAX(T334,0),MAX(0,P286-IF($A335&gt;='1-Input'!$C$12,'1-Input'!$B$12,0))))*(1/(1-'P-Parametri'!$B$6*P335))+MIN(MAX(0,U334-(MAX(0,P286-IF($A335&gt;='1-Input'!$C$12,'1-Input'!$B$12,0))-MIN(MAX(T334,0),MAX(0,P286-IF($A335&gt;='1-Input'!$C$12,'1-Input'!$B$12,0))))*(1/(1-'P-Parametri'!$B$6*P335))),MAX(0,5*MAX(0,P286-IF($A335&gt;='1-Input'!$C$12,'1-Input'!$B$12,0))-(T334-MIN(MAX(T334,0),MAX(0,P286-IF($A335&gt;='1-Input'!$C$12,'1-Input'!$B$12,0)))))*(1/(1-'P-Parametri'!$B$6*P335))))</f>
        <v>0</v>
      </c>
      <c r="R335" s="18">
        <f>IF($A335&gt;'1-Input'!$B$26,T334,(T334-MAX(0,P286-IF($A335&gt;='1-Input'!$C$12,'1-Input'!$B$12,0))+Q335*(1-'P-Parametri'!$B$6*P335))*(1+'1-Input'!$B$27))</f>
        <v>0</v>
      </c>
      <c r="S335" s="18">
        <f>IF($A335&gt;'1-Input'!$B$26,U334,(U334-Q335)*(1+'5-Roberta'!$C$4))</f>
        <v>-4283.8867148104664</v>
      </c>
      <c r="T335" s="18">
        <f>IF($A335&gt;'1-Input'!$B$26,R335,R335-'P-Parametri'!$B$8*(S335+R335)+MIN(MAX(S335,0),'P-Parametri'!$B$8*(S335+R335)))</f>
        <v>0</v>
      </c>
      <c r="U335" s="18">
        <f>IF($A335&gt;'1-Input'!$B$26,S335,S335-MIN(MAX(S335,0),'P-Parametri'!$B$8*(S335+R335)))</f>
        <v>-4283.8867148104664</v>
      </c>
      <c r="V335" s="18">
        <f>IF($A335&gt;'1-Input'!$B$26,V334,V334-Q335*(1-P335))</f>
        <v>-4167.4482117735151</v>
      </c>
      <c r="W335" s="11">
        <f>IF($A335&gt;'1-Input'!$B$26,0,IF(AB334&lt;=0,0,MAX(0,(AB334-AC334)/AB334)))</f>
        <v>0</v>
      </c>
      <c r="X335" s="18">
        <f>IF($A335&gt;'1-Input'!$B$26,0,(MAX(0,W286-IF($A335&gt;='1-Input'!$C$12,'1-Input'!$B$12,0))-MIN(MAX(AA334,0),MAX(0,W286-IF($A335&gt;='1-Input'!$C$12,'1-Input'!$B$12,0))))*(1/(1-'P-Parametri'!$B$6*W335))+MIN(MAX(0,AB334-(MAX(0,W286-IF($A335&gt;='1-Input'!$C$12,'1-Input'!$B$12,0))-MIN(MAX(AA334,0),MAX(0,W286-IF($A335&gt;='1-Input'!$C$12,'1-Input'!$B$12,0))))*(1/(1-'P-Parametri'!$B$6*W335))),MAX(0,5*MAX(0,W286-IF($A335&gt;='1-Input'!$C$12,'1-Input'!$B$12,0))-(AA334-MIN(MAX(AA334,0),MAX(0,W286-IF($A335&gt;='1-Input'!$C$12,'1-Input'!$B$12,0)))))*(1/(1-'P-Parametri'!$B$6*W335))))</f>
        <v>0</v>
      </c>
      <c r="Y335" s="18">
        <f>IF($A335&gt;'1-Input'!$B$26,AA334,(AA334-MAX(0,W286-IF($A335&gt;='1-Input'!$C$12,'1-Input'!$B$12,0))+X335*(1-'P-Parametri'!$B$6*W335))*(1+'1-Input'!$B$27))</f>
        <v>0</v>
      </c>
      <c r="Z335" s="18">
        <f>IF($A335&gt;'1-Input'!$B$26,AB334,(AB334-X335)*(1+'5-Roberta'!$C$4))</f>
        <v>-49.311778989673158</v>
      </c>
      <c r="AA335" s="18">
        <f>IF($A335&gt;'1-Input'!$B$26,Y335,Y335-'P-Parametri'!$B$8*(Z335+Y335)+MIN(MAX(Z335,0),'P-Parametri'!$B$8*(Z335+Y335)))</f>
        <v>0</v>
      </c>
      <c r="AB335" s="18">
        <f>IF($A335&gt;'1-Input'!$B$26,Z335,Z335-MIN(MAX(Z335,0),'P-Parametri'!$B$8*(Z335+Y335)))</f>
        <v>-49.311778989673158</v>
      </c>
      <c r="AC335" s="18">
        <f>IF($A335&gt;'1-Input'!$B$26,AC334,AC334-X335*(1-W335))</f>
        <v>-47.971456495197344</v>
      </c>
      <c r="AD335" s="11">
        <f>IF($A335&gt;'1-Input'!$B$26,0,IF(AI334&lt;=0,0,MAX(0,(AI334-AJ334)/AI334)))</f>
        <v>0</v>
      </c>
      <c r="AE335" s="18">
        <f>IF($A335&gt;'1-Input'!$B$26,0,(MAX(0,AD286-IF($A335&gt;='1-Input'!$C$12,'1-Input'!$B$12,0))-MIN(MAX(AH334,0),MAX(0,AD286-IF($A335&gt;='1-Input'!$C$12,'1-Input'!$B$12,0))))*(1/(1-'P-Parametri'!$B$6*AD335))+MIN(MAX(0,AI334-(MAX(0,AD286-IF($A335&gt;='1-Input'!$C$12,'1-Input'!$B$12,0))-MIN(MAX(AH334,0),MAX(0,AD286-IF($A335&gt;='1-Input'!$C$12,'1-Input'!$B$12,0))))*(1/(1-'P-Parametri'!$B$6*AD335))),MAX(0,5*MAX(0,AD286-IF($A335&gt;='1-Input'!$C$12,'1-Input'!$B$12,0))-(AH334-MIN(MAX(AH334,0),MAX(0,AD286-IF($A335&gt;='1-Input'!$C$12,'1-Input'!$B$12,0)))))*(1/(1-'P-Parametri'!$B$6*AD335))))</f>
        <v>0</v>
      </c>
      <c r="AF335" s="18">
        <f>IF($A335&gt;'1-Input'!$B$26,AH334,(AH334-MAX(0,AD286-IF($A335&gt;='1-Input'!$C$12,'1-Input'!$B$12,0))+AE335*(1-'P-Parametri'!$B$6*AD335))*(1+'1-Input'!$B$27))</f>
        <v>1.146245212190516</v>
      </c>
      <c r="AG335" s="18">
        <f>IF($A335&gt;'1-Input'!$B$26,AI334,(AI334-AE335)*(1+'5-Roberta'!$C$4))</f>
        <v>0</v>
      </c>
      <c r="AH335" s="18">
        <f>IF($A335&gt;'1-Input'!$B$26,AF335,AF335-'P-Parametri'!$B$8*(AG335+AF335)+MIN(MAX(AG335,0),'P-Parametri'!$B$8*(AG335+AF335)))</f>
        <v>1.146245212190516</v>
      </c>
      <c r="AI335" s="18">
        <f>IF($A335&gt;'1-Input'!$B$26,AG335,AG335-MIN(MAX(AG335,0),'P-Parametri'!$B$8*(AG335+AF335)))</f>
        <v>0</v>
      </c>
      <c r="AJ335" s="18">
        <f>IF($A335&gt;'1-Input'!$B$26,AJ334,AJ334-AE335*(1-AD335))</f>
        <v>0</v>
      </c>
      <c r="AK335" s="11">
        <f>IF($A335&gt;'1-Input'!$B$26,0,IF(AP334&lt;=0,0,MAX(0,(AP334-AQ334)/AP334)))</f>
        <v>0</v>
      </c>
      <c r="AL335" s="18">
        <f>IF($A335&gt;'1-Input'!$B$26,0,(MAX(0,AK286-IF($A335&gt;='1-Input'!$C$12,'1-Input'!$B$12,0))-MIN(MAX(AO334,0),MAX(0,AK286-IF($A335&gt;='1-Input'!$C$12,'1-Input'!$B$12,0))))*(1/(1-'P-Parametri'!$B$6*AK335))+MIN(MAX(0,AP334-(MAX(0,AK286-IF($A335&gt;='1-Input'!$C$12,'1-Input'!$B$12,0))-MIN(MAX(AO334,0),MAX(0,AK286-IF($A335&gt;='1-Input'!$C$12,'1-Input'!$B$12,0))))*(1/(1-'P-Parametri'!$B$6*AK335))),MAX(0,5*MAX(0,AK286-IF($A335&gt;='1-Input'!$C$12,'1-Input'!$B$12,0))-(AO334-MIN(MAX(AO334,0),MAX(0,AK286-IF($A335&gt;='1-Input'!$C$12,'1-Input'!$B$12,0)))))*(1/(1-'P-Parametri'!$B$6*AK335))))</f>
        <v>0</v>
      </c>
      <c r="AM335" s="18">
        <f>IF($A335&gt;'1-Input'!$B$26,AO334,(AO334-MAX(0,AK286-IF($A335&gt;='1-Input'!$C$12,'1-Input'!$B$12,0))+AL335*(1-'P-Parametri'!$B$6*AK335))*(1+'1-Input'!$B$27))</f>
        <v>3.6542032343906516E-2</v>
      </c>
      <c r="AN335" s="18">
        <f>IF($A335&gt;'1-Input'!$B$26,AP334,(AP334-AL335)*(1+'5-Roberta'!$C$4))</f>
        <v>0</v>
      </c>
      <c r="AO335" s="18">
        <f>IF($A335&gt;'1-Input'!$B$26,AM335,AM335-'P-Parametri'!$B$8*(AN335+AM335)+MIN(MAX(AN335,0),'P-Parametri'!$B$8*(AN335+AM335)))</f>
        <v>3.6542032343906516E-2</v>
      </c>
      <c r="AP335" s="18">
        <f>IF($A335&gt;'1-Input'!$B$26,AN335,AN335-MIN(MAX(AN335,0),'P-Parametri'!$B$8*(AN335+AM335)))</f>
        <v>0</v>
      </c>
      <c r="AQ335" s="18">
        <f>IF($A335&gt;'1-Input'!$B$26,AQ334,AQ334-AL335*(1-AK335))</f>
        <v>0</v>
      </c>
    </row>
    <row r="336" spans="1:43">
      <c r="A336" s="10">
        <f>48</f>
        <v>48</v>
      </c>
      <c r="B336" s="11">
        <f>IF($A336&gt;'1-Input'!$B$26,0,IF(G335&lt;=0,0,MAX(0,(G335-H335)/G335)))</f>
        <v>0</v>
      </c>
      <c r="C336" s="18">
        <f>IF($A336&gt;'1-Input'!$B$26,0,(MAX(0,B286-IF($A336&gt;='1-Input'!$C$12,'1-Input'!$B$12,0))-MIN(MAX(F335,0),MAX(0,B286-IF($A336&gt;='1-Input'!$C$12,'1-Input'!$B$12,0))))*(1/(1-'P-Parametri'!$B$6*B336))+MIN(MAX(0,G335-(MAX(0,B286-IF($A336&gt;='1-Input'!$C$12,'1-Input'!$B$12,0))-MIN(MAX(F335,0),MAX(0,B286-IF($A336&gt;='1-Input'!$C$12,'1-Input'!$B$12,0))))*(1/(1-'P-Parametri'!$B$6*B336))),MAX(0,5*MAX(0,B286-IF($A336&gt;='1-Input'!$C$12,'1-Input'!$B$12,0))-(F335-MIN(MAX(F335,0),MAX(0,B286-IF($A336&gt;='1-Input'!$C$12,'1-Input'!$B$12,0)))))*(1/(1-'P-Parametri'!$B$6*B336))))</f>
        <v>0</v>
      </c>
      <c r="D336" s="18">
        <f>IF($A336&gt;'1-Input'!$B$26,F335,(F335-MAX(0,B286-IF($A336&gt;='1-Input'!$C$12,'1-Input'!$B$12,0))+C336*(1-'P-Parametri'!$B$6*B336))*(1+'1-Input'!$B$27))</f>
        <v>27794.853577465747</v>
      </c>
      <c r="E336" s="18">
        <f>IF($A336&gt;'1-Input'!$B$26,G335,(G335-C336)*(1+'5-Roberta'!$C$4))</f>
        <v>12425.941835960395</v>
      </c>
      <c r="F336" s="18">
        <f>IF($A336&gt;'1-Input'!$B$26,D336,D336-'P-Parametri'!$B$8*(E336+D336)+MIN(MAX(E336,0),'P-Parametri'!$B$8*(E336+D336)))</f>
        <v>27794.853577465747</v>
      </c>
      <c r="G336" s="18">
        <f>IF($A336&gt;'1-Input'!$B$26,E336,E336-MIN(MAX(E336,0),'P-Parametri'!$B$8*(E336+D336)))</f>
        <v>12425.941835960395</v>
      </c>
      <c r="H336" s="18">
        <f>IF($A336&gt;'1-Input'!$B$26,H335,H335-C336*(1-B336))</f>
        <v>2972.1116192989275</v>
      </c>
      <c r="I336" s="11">
        <f>IF($A336&gt;'1-Input'!$B$26,0,IF(N335&lt;=0,0,MAX(0,(N335-O335)/N335)))</f>
        <v>0</v>
      </c>
      <c r="J336" s="18">
        <f>IF($A336&gt;'1-Input'!$B$26,0,(MAX(0,I286-IF($A336&gt;='1-Input'!$C$12,'1-Input'!$B$12,0))-MIN(MAX(M335,0),MAX(0,I286-IF($A336&gt;='1-Input'!$C$12,'1-Input'!$B$12,0))))*(1/(1-'P-Parametri'!$B$6*I336))+MIN(MAX(0,N335-(MAX(0,I286-IF($A336&gt;='1-Input'!$C$12,'1-Input'!$B$12,0))-MIN(MAX(M335,0),MAX(0,I286-IF($A336&gt;='1-Input'!$C$12,'1-Input'!$B$12,0))))*(1/(1-'P-Parametri'!$B$6*I336))),MAX(0,5*MAX(0,I286-IF($A336&gt;='1-Input'!$C$12,'1-Input'!$B$12,0))-(M335-MIN(MAX(M335,0),MAX(0,I286-IF($A336&gt;='1-Input'!$C$12,'1-Input'!$B$12,0)))))*(1/(1-'P-Parametri'!$B$6*I336))))</f>
        <v>0</v>
      </c>
      <c r="K336" s="18">
        <f>IF($A336&gt;'1-Input'!$B$26,M335,(M335-MAX(0,I286-IF($A336&gt;='1-Input'!$C$12,'1-Input'!$B$12,0))+J336*(1-'P-Parametri'!$B$6*I336))*(1+'1-Input'!$B$27))</f>
        <v>0</v>
      </c>
      <c r="L336" s="18">
        <f>IF($A336&gt;'1-Input'!$B$26,N335,(N335-J336)*(1+'5-Roberta'!$C$4))</f>
        <v>-386019.25394331414</v>
      </c>
      <c r="M336" s="18">
        <f>IF($A336&gt;'1-Input'!$B$26,K336,K336-'P-Parametri'!$B$8*(L336+K336)+MIN(MAX(L336,0),'P-Parametri'!$B$8*(L336+K336)))</f>
        <v>0</v>
      </c>
      <c r="N336" s="18">
        <f>IF($A336&gt;'1-Input'!$B$26,L336,L336-MIN(MAX(L336,0),'P-Parametri'!$B$8*(L336+K336)))</f>
        <v>-386019.25394331414</v>
      </c>
      <c r="O336" s="18">
        <f>IF($A336&gt;'1-Input'!$B$26,O335,O335-J336*(1-I336))</f>
        <v>-266477.29648420605</v>
      </c>
      <c r="P336" s="11">
        <f>IF($A336&gt;'1-Input'!$B$26,0,IF(U335&lt;=0,0,MAX(0,(U335-V335)/U335)))</f>
        <v>0</v>
      </c>
      <c r="Q336" s="18">
        <f>IF($A336&gt;'1-Input'!$B$26,0,(MAX(0,P286-IF($A336&gt;='1-Input'!$C$12,'1-Input'!$B$12,0))-MIN(MAX(T335,0),MAX(0,P286-IF($A336&gt;='1-Input'!$C$12,'1-Input'!$B$12,0))))*(1/(1-'P-Parametri'!$B$6*P336))+MIN(MAX(0,U335-(MAX(0,P286-IF($A336&gt;='1-Input'!$C$12,'1-Input'!$B$12,0))-MIN(MAX(T335,0),MAX(0,P286-IF($A336&gt;='1-Input'!$C$12,'1-Input'!$B$12,0))))*(1/(1-'P-Parametri'!$B$6*P336))),MAX(0,5*MAX(0,P286-IF($A336&gt;='1-Input'!$C$12,'1-Input'!$B$12,0))-(T335-MIN(MAX(T335,0),MAX(0,P286-IF($A336&gt;='1-Input'!$C$12,'1-Input'!$B$12,0)))))*(1/(1-'P-Parametri'!$B$6*P336))))</f>
        <v>0</v>
      </c>
      <c r="R336" s="18">
        <f>IF($A336&gt;'1-Input'!$B$26,T335,(T335-MAX(0,P286-IF($A336&gt;='1-Input'!$C$12,'1-Input'!$B$12,0))+Q336*(1-'P-Parametri'!$B$6*P336))*(1+'1-Input'!$B$27))</f>
        <v>0</v>
      </c>
      <c r="S336" s="18">
        <f>IF($A336&gt;'1-Input'!$B$26,U335,(U335-Q336)*(1+'5-Roberta'!$C$4))</f>
        <v>-4283.8867148104664</v>
      </c>
      <c r="T336" s="18">
        <f>IF($A336&gt;'1-Input'!$B$26,R336,R336-'P-Parametri'!$B$8*(S336+R336)+MIN(MAX(S336,0),'P-Parametri'!$B$8*(S336+R336)))</f>
        <v>0</v>
      </c>
      <c r="U336" s="18">
        <f>IF($A336&gt;'1-Input'!$B$26,S336,S336-MIN(MAX(S336,0),'P-Parametri'!$B$8*(S336+R336)))</f>
        <v>-4283.8867148104664</v>
      </c>
      <c r="V336" s="18">
        <f>IF($A336&gt;'1-Input'!$B$26,V335,V335-Q336*(1-P336))</f>
        <v>-4167.4482117735151</v>
      </c>
      <c r="W336" s="11">
        <f>IF($A336&gt;'1-Input'!$B$26,0,IF(AB335&lt;=0,0,MAX(0,(AB335-AC335)/AB335)))</f>
        <v>0</v>
      </c>
      <c r="X336" s="18">
        <f>IF($A336&gt;'1-Input'!$B$26,0,(MAX(0,W286-IF($A336&gt;='1-Input'!$C$12,'1-Input'!$B$12,0))-MIN(MAX(AA335,0),MAX(0,W286-IF($A336&gt;='1-Input'!$C$12,'1-Input'!$B$12,0))))*(1/(1-'P-Parametri'!$B$6*W336))+MIN(MAX(0,AB335-(MAX(0,W286-IF($A336&gt;='1-Input'!$C$12,'1-Input'!$B$12,0))-MIN(MAX(AA335,0),MAX(0,W286-IF($A336&gt;='1-Input'!$C$12,'1-Input'!$B$12,0))))*(1/(1-'P-Parametri'!$B$6*W336))),MAX(0,5*MAX(0,W286-IF($A336&gt;='1-Input'!$C$12,'1-Input'!$B$12,0))-(AA335-MIN(MAX(AA335,0),MAX(0,W286-IF($A336&gt;='1-Input'!$C$12,'1-Input'!$B$12,0)))))*(1/(1-'P-Parametri'!$B$6*W336))))</f>
        <v>0</v>
      </c>
      <c r="Y336" s="18">
        <f>IF($A336&gt;'1-Input'!$B$26,AA335,(AA335-MAX(0,W286-IF($A336&gt;='1-Input'!$C$12,'1-Input'!$B$12,0))+X336*(1-'P-Parametri'!$B$6*W336))*(1+'1-Input'!$B$27))</f>
        <v>0</v>
      </c>
      <c r="Z336" s="18">
        <f>IF($A336&gt;'1-Input'!$B$26,AB335,(AB335-X336)*(1+'5-Roberta'!$C$4))</f>
        <v>-49.311778989673158</v>
      </c>
      <c r="AA336" s="18">
        <f>IF($A336&gt;'1-Input'!$B$26,Y336,Y336-'P-Parametri'!$B$8*(Z336+Y336)+MIN(MAX(Z336,0),'P-Parametri'!$B$8*(Z336+Y336)))</f>
        <v>0</v>
      </c>
      <c r="AB336" s="18">
        <f>IF($A336&gt;'1-Input'!$B$26,Z336,Z336-MIN(MAX(Z336,0),'P-Parametri'!$B$8*(Z336+Y336)))</f>
        <v>-49.311778989673158</v>
      </c>
      <c r="AC336" s="18">
        <f>IF($A336&gt;'1-Input'!$B$26,AC335,AC335-X336*(1-W336))</f>
        <v>-47.971456495197344</v>
      </c>
      <c r="AD336" s="11">
        <f>IF($A336&gt;'1-Input'!$B$26,0,IF(AI335&lt;=0,0,MAX(0,(AI335-AJ335)/AI335)))</f>
        <v>0</v>
      </c>
      <c r="AE336" s="18">
        <f>IF($A336&gt;'1-Input'!$B$26,0,(MAX(0,AD286-IF($A336&gt;='1-Input'!$C$12,'1-Input'!$B$12,0))-MIN(MAX(AH335,0),MAX(0,AD286-IF($A336&gt;='1-Input'!$C$12,'1-Input'!$B$12,0))))*(1/(1-'P-Parametri'!$B$6*AD336))+MIN(MAX(0,AI335-(MAX(0,AD286-IF($A336&gt;='1-Input'!$C$12,'1-Input'!$B$12,0))-MIN(MAX(AH335,0),MAX(0,AD286-IF($A336&gt;='1-Input'!$C$12,'1-Input'!$B$12,0))))*(1/(1-'P-Parametri'!$B$6*AD336))),MAX(0,5*MAX(0,AD286-IF($A336&gt;='1-Input'!$C$12,'1-Input'!$B$12,0))-(AH335-MIN(MAX(AH335,0),MAX(0,AD286-IF($A336&gt;='1-Input'!$C$12,'1-Input'!$B$12,0)))))*(1/(1-'P-Parametri'!$B$6*AD336))))</f>
        <v>0</v>
      </c>
      <c r="AF336" s="18">
        <f>IF($A336&gt;'1-Input'!$B$26,AH335,(AH335-MAX(0,AD286-IF($A336&gt;='1-Input'!$C$12,'1-Input'!$B$12,0))+AE336*(1-'P-Parametri'!$B$6*AD336))*(1+'1-Input'!$B$27))</f>
        <v>1.146245212190516</v>
      </c>
      <c r="AG336" s="18">
        <f>IF($A336&gt;'1-Input'!$B$26,AI335,(AI335-AE336)*(1+'5-Roberta'!$C$4))</f>
        <v>0</v>
      </c>
      <c r="AH336" s="18">
        <f>IF($A336&gt;'1-Input'!$B$26,AF336,AF336-'P-Parametri'!$B$8*(AG336+AF336)+MIN(MAX(AG336,0),'P-Parametri'!$B$8*(AG336+AF336)))</f>
        <v>1.146245212190516</v>
      </c>
      <c r="AI336" s="18">
        <f>IF($A336&gt;'1-Input'!$B$26,AG336,AG336-MIN(MAX(AG336,0),'P-Parametri'!$B$8*(AG336+AF336)))</f>
        <v>0</v>
      </c>
      <c r="AJ336" s="18">
        <f>IF($A336&gt;'1-Input'!$B$26,AJ335,AJ335-AE336*(1-AD336))</f>
        <v>0</v>
      </c>
      <c r="AK336" s="11">
        <f>IF($A336&gt;'1-Input'!$B$26,0,IF(AP335&lt;=0,0,MAX(0,(AP335-AQ335)/AP335)))</f>
        <v>0</v>
      </c>
      <c r="AL336" s="18">
        <f>IF($A336&gt;'1-Input'!$B$26,0,(MAX(0,AK286-IF($A336&gt;='1-Input'!$C$12,'1-Input'!$B$12,0))-MIN(MAX(AO335,0),MAX(0,AK286-IF($A336&gt;='1-Input'!$C$12,'1-Input'!$B$12,0))))*(1/(1-'P-Parametri'!$B$6*AK336))+MIN(MAX(0,AP335-(MAX(0,AK286-IF($A336&gt;='1-Input'!$C$12,'1-Input'!$B$12,0))-MIN(MAX(AO335,0),MAX(0,AK286-IF($A336&gt;='1-Input'!$C$12,'1-Input'!$B$12,0))))*(1/(1-'P-Parametri'!$B$6*AK336))),MAX(0,5*MAX(0,AK286-IF($A336&gt;='1-Input'!$C$12,'1-Input'!$B$12,0))-(AO335-MIN(MAX(AO335,0),MAX(0,AK286-IF($A336&gt;='1-Input'!$C$12,'1-Input'!$B$12,0)))))*(1/(1-'P-Parametri'!$B$6*AK336))))</f>
        <v>0</v>
      </c>
      <c r="AM336" s="18">
        <f>IF($A336&gt;'1-Input'!$B$26,AO335,(AO335-MAX(0,AK286-IF($A336&gt;='1-Input'!$C$12,'1-Input'!$B$12,0))+AL336*(1-'P-Parametri'!$B$6*AK336))*(1+'1-Input'!$B$27))</f>
        <v>3.6542032343906516E-2</v>
      </c>
      <c r="AN336" s="18">
        <f>IF($A336&gt;'1-Input'!$B$26,AP335,(AP335-AL336)*(1+'5-Roberta'!$C$4))</f>
        <v>0</v>
      </c>
      <c r="AO336" s="18">
        <f>IF($A336&gt;'1-Input'!$B$26,AM336,AM336-'P-Parametri'!$B$8*(AN336+AM336)+MIN(MAX(AN336,0),'P-Parametri'!$B$8*(AN336+AM336)))</f>
        <v>3.6542032343906516E-2</v>
      </c>
      <c r="AP336" s="18">
        <f>IF($A336&gt;'1-Input'!$B$26,AN336,AN336-MIN(MAX(AN336,0),'P-Parametri'!$B$8*(AN336+AM336)))</f>
        <v>0</v>
      </c>
      <c r="AQ336" s="18">
        <f>IF($A336&gt;'1-Input'!$B$26,AQ335,AQ335-AL336*(1-AK336))</f>
        <v>0</v>
      </c>
    </row>
    <row r="337" spans="1:37">
      <c r="A337" s="4" t="s">
        <v>365</v>
      </c>
      <c r="B337" s="18">
        <f>F336+G336</f>
        <v>40220.795413426138</v>
      </c>
      <c r="I337" s="18">
        <f>M336+N336</f>
        <v>-386019.25394331414</v>
      </c>
      <c r="P337" s="18">
        <f>T336+U336</f>
        <v>-4283.8867148104664</v>
      </c>
      <c r="W337" s="18">
        <f>AA336+AB336</f>
        <v>-49.311778989673158</v>
      </c>
      <c r="AD337" s="18">
        <f>AH336+AI336</f>
        <v>1.146245212190516</v>
      </c>
      <c r="AK337" s="18">
        <f>AO336+AP336</f>
        <v>3.6542032343906516E-2</v>
      </c>
    </row>
    <row r="338" spans="1:37">
      <c r="A338" s="5" t="s">
        <v>266</v>
      </c>
      <c r="B338" s="18">
        <f>IFERROR(AK286-AK337*(AK286-AD286)/(AK337-AD337),AK286)</f>
        <v>17123.979847132377</v>
      </c>
    </row>
  </sheetData>
  <mergeCells count="6">
    <mergeCell ref="A2:F2"/>
    <mergeCell ref="A13:F13"/>
    <mergeCell ref="A14:F14"/>
    <mergeCell ref="A1:F1"/>
    <mergeCell ref="A5:F5"/>
    <mergeCell ref="A3:F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4"/>
  <sheetViews>
    <sheetView workbookViewId="0"/>
  </sheetViews>
  <sheetFormatPr defaultRowHeight="15"/>
  <cols>
    <col min="1" max="1" width="58" customWidth="1"/>
    <col min="2" max="4" width="22" customWidth="1"/>
    <col min="5" max="5" width="46" customWidth="1"/>
  </cols>
  <sheetData>
    <row r="1" spans="1:5" ht="24.95" customHeight="1">
      <c r="A1" s="34" t="s">
        <v>549</v>
      </c>
      <c r="B1" s="33"/>
      <c r="C1" s="33"/>
      <c r="D1" s="33"/>
      <c r="E1" s="33"/>
    </row>
    <row r="2" spans="1:5" ht="32.1" customHeight="1">
      <c r="A2" s="32" t="s">
        <v>1</v>
      </c>
      <c r="B2" s="33"/>
      <c r="C2" s="33"/>
      <c r="D2" s="33"/>
      <c r="E2" s="33"/>
    </row>
    <row r="4" spans="1:5">
      <c r="A4" s="36" t="s">
        <v>550</v>
      </c>
      <c r="B4" s="33"/>
      <c r="C4" s="33"/>
      <c r="D4" s="33"/>
      <c r="E4" s="33"/>
    </row>
    <row r="5" spans="1:5">
      <c r="A5" s="5" t="s">
        <v>551</v>
      </c>
      <c r="B5" s="18">
        <f>'2-Caso'!$B$12</f>
        <v>438975.13985857379</v>
      </c>
    </row>
    <row r="6" spans="1:5">
      <c r="A6" s="5" t="s">
        <v>552</v>
      </c>
      <c r="B6" s="18">
        <f>'2-Caso'!$B$13</f>
        <v>344000</v>
      </c>
    </row>
    <row r="7" spans="1:5">
      <c r="A7" s="5" t="s">
        <v>553</v>
      </c>
      <c r="B7" s="21">
        <f>'2-Caso'!$B$14</f>
        <v>0.21635653419729481</v>
      </c>
    </row>
    <row r="8" spans="1:5">
      <c r="A8" s="5" t="s">
        <v>554</v>
      </c>
      <c r="B8" s="21">
        <f>'2-Caso'!$B$16</f>
        <v>5.6252698891296651E-2</v>
      </c>
    </row>
    <row r="9" spans="1:5">
      <c r="A9" s="5" t="s">
        <v>555</v>
      </c>
      <c r="B9" s="23">
        <f>'2-Caso'!$B$17</f>
        <v>0.29258653246697708</v>
      </c>
    </row>
    <row r="10" spans="1:5">
      <c r="A10" s="5" t="s">
        <v>556</v>
      </c>
      <c r="B10" s="18">
        <f>'2-Caso'!$B$38</f>
        <v>1650</v>
      </c>
    </row>
    <row r="11" spans="1:5">
      <c r="A11" s="5" t="s">
        <v>557</v>
      </c>
      <c r="B11" s="18">
        <f>'2-Caso'!$B$37</f>
        <v>1519.6171006261557</v>
      </c>
    </row>
    <row r="12" spans="1:5">
      <c r="A12" s="5" t="s">
        <v>558</v>
      </c>
      <c r="B12" s="21">
        <f>'2-Caso'!$C$47</f>
        <v>4.5105059950271982E-2</v>
      </c>
    </row>
    <row r="13" spans="1:5">
      <c r="A13" s="5" t="s">
        <v>559</v>
      </c>
      <c r="B13" s="21">
        <f>'2-Caso'!$C$48</f>
        <v>4.7793577684707642E-2</v>
      </c>
    </row>
    <row r="14" spans="1:5">
      <c r="A14" s="5" t="s">
        <v>560</v>
      </c>
      <c r="B14" s="21">
        <f>'2-Caso'!$C$49</f>
        <v>4.9793577684707643E-2</v>
      </c>
    </row>
    <row r="15" spans="1:5">
      <c r="A15" s="5" t="s">
        <v>344</v>
      </c>
      <c r="B15" s="18">
        <f>'5-Roberta'!$B$448</f>
        <v>18844.493704761662</v>
      </c>
    </row>
    <row r="16" spans="1:5">
      <c r="A16" s="5" t="s">
        <v>561</v>
      </c>
      <c r="B16" s="18">
        <f>'5-Roberta'!$B$558</f>
        <v>17944.67221618972</v>
      </c>
    </row>
    <row r="17" spans="1:2">
      <c r="A17" s="5" t="s">
        <v>562</v>
      </c>
      <c r="B17" s="18">
        <f>'5-Roberta'!$B$448-'5-Roberta'!$B$558</f>
        <v>899.82148857194261</v>
      </c>
    </row>
    <row r="18" spans="1:2">
      <c r="A18" s="5" t="s">
        <v>563</v>
      </c>
      <c r="B18" s="11">
        <f>B17/'5-Roberta'!$B$448</f>
        <v>4.7749836247634181E-2</v>
      </c>
    </row>
    <row r="19" spans="1:2">
      <c r="A19" s="5" t="s">
        <v>564</v>
      </c>
      <c r="B19" s="18">
        <f>'5-Roberta'!$B$33</f>
        <v>955.50629523833777</v>
      </c>
    </row>
    <row r="20" spans="1:2">
      <c r="A20" s="5" t="s">
        <v>565</v>
      </c>
      <c r="B20" s="10">
        <f>'5-Roberta'!$B$22</f>
        <v>36</v>
      </c>
    </row>
    <row r="21" spans="1:2">
      <c r="A21" s="5" t="s">
        <v>566</v>
      </c>
      <c r="B21" s="10">
        <f>'5-Roberta'!$B$24</f>
        <v>31</v>
      </c>
    </row>
    <row r="22" spans="1:2">
      <c r="A22" s="5" t="s">
        <v>567</v>
      </c>
      <c r="B22" s="18">
        <f>'5-Roberta'!$D$22</f>
        <v>75952.557603047535</v>
      </c>
    </row>
    <row r="23" spans="1:2">
      <c r="A23" s="5" t="s">
        <v>568</v>
      </c>
      <c r="B23" s="18">
        <f>'5-Roberta'!$D$24</f>
        <v>59757.50193496015</v>
      </c>
    </row>
    <row r="24" spans="1:2">
      <c r="A24" s="5" t="s">
        <v>569</v>
      </c>
      <c r="B24" s="18">
        <f>'5-Roberta'!$B$27</f>
        <v>16195.055668087385</v>
      </c>
    </row>
    <row r="25" spans="1:2">
      <c r="A25" s="5" t="s">
        <v>570</v>
      </c>
      <c r="B25" s="18">
        <f>'5-Roberta'!$E$22</f>
        <v>15039.866080007234</v>
      </c>
    </row>
    <row r="26" spans="1:2">
      <c r="A26" s="5" t="s">
        <v>571</v>
      </c>
      <c r="B26" s="18">
        <f>'3-Liquidita'!$B$47</f>
        <v>31.453892744479496</v>
      </c>
    </row>
    <row r="27" spans="1:2">
      <c r="A27" s="5" t="s">
        <v>572</v>
      </c>
      <c r="B27" s="28">
        <f>'3-Liquidita'!$D$27</f>
        <v>0.85843053369838618</v>
      </c>
    </row>
    <row r="28" spans="1:2">
      <c r="A28" s="5" t="s">
        <v>573</v>
      </c>
      <c r="B28" s="18">
        <f>'3-Liquidita'!$B$28</f>
        <v>16996.924567228045</v>
      </c>
    </row>
    <row r="29" spans="1:2">
      <c r="A29" s="5" t="s">
        <v>574</v>
      </c>
      <c r="B29" s="18">
        <f>'3-Liquidita'!$B$40</f>
        <v>228.5712</v>
      </c>
    </row>
    <row r="30" spans="1:2">
      <c r="A30" s="5" t="s">
        <v>575</v>
      </c>
      <c r="B30" s="18">
        <f>'3-Liquidita'!$B$41</f>
        <v>21828.882680816481</v>
      </c>
    </row>
    <row r="31" spans="1:2">
      <c r="A31" s="5" t="s">
        <v>576</v>
      </c>
      <c r="B31" s="18">
        <f>'10-Benz'!$B$12</f>
        <v>189.16391086920703</v>
      </c>
    </row>
    <row r="32" spans="1:2">
      <c r="A32" s="5" t="s">
        <v>577</v>
      </c>
      <c r="B32" s="23">
        <f>'7-Refill'!$I$18</f>
        <v>1</v>
      </c>
    </row>
    <row r="35" spans="1:5">
      <c r="A35" s="36" t="s">
        <v>578</v>
      </c>
      <c r="B35" s="33"/>
      <c r="C35" s="33"/>
      <c r="D35" s="33"/>
      <c r="E35" s="33"/>
    </row>
    <row r="36" spans="1:5">
      <c r="A36" s="5" t="s">
        <v>579</v>
      </c>
      <c r="B36" s="24" t="str">
        <f>IF(AND('2-Caso'!$B$14&gt;0,'2-Caso'!$B$14&lt;1),"VERDE","ROSSO")</f>
        <v>VERDE</v>
      </c>
    </row>
    <row r="37" spans="1:5">
      <c r="A37" s="5" t="s">
        <v>580</v>
      </c>
      <c r="B37" s="24" t="str">
        <f>IF(ABS('2-Caso'!$B$12-('2-Caso'!$B$7+'2-Caso'!$B$10))&lt;0.01,"VERDE","ROSSO")</f>
        <v>VERDE</v>
      </c>
    </row>
    <row r="38" spans="1:5">
      <c r="A38" s="5" t="s">
        <v>581</v>
      </c>
      <c r="B38" s="24" t="str">
        <f>IF(AND('1-Input'!$B$20=1,ABS('8-Kitces'!$C$60)&lt;0.01),"VERDE",IF('1-Input'!$B$20=1,"ROSSO","metti 1 nell input 16 per il test"))</f>
        <v>VERDE</v>
      </c>
    </row>
    <row r="39" spans="1:5">
      <c r="A39" s="5" t="s">
        <v>582</v>
      </c>
      <c r="B39" s="24" t="str">
        <f>'9-ETF-unico'!$B$27</f>
        <v>COERENTE</v>
      </c>
    </row>
    <row r="40" spans="1:5">
      <c r="A40" s="5" t="s">
        <v>583</v>
      </c>
      <c r="B40" s="24" t="str">
        <f>IF('1-Input'!$B$10&gt;'5-Roberta'!$B$448,"CONFERMATO","il piano regge")</f>
        <v>CONFERMATO</v>
      </c>
    </row>
    <row r="41" spans="1:5">
      <c r="A41" s="5" t="s">
        <v>584</v>
      </c>
      <c r="B41" s="24" t="str">
        <f>IF(AND('6-Banda'!$B$21&gt;0.03,'6-Banda'!$C$21&lt;0.07),"VERDE","fuori banda")</f>
        <v>VERDE</v>
      </c>
    </row>
    <row r="43" spans="1:5">
      <c r="A43" s="36" t="s">
        <v>585</v>
      </c>
      <c r="B43" s="33"/>
      <c r="C43" s="33"/>
      <c r="D43" s="33"/>
      <c r="E43" s="33"/>
    </row>
    <row r="44" spans="1:5" ht="30" customHeight="1">
      <c r="A44" s="35" t="s">
        <v>586</v>
      </c>
      <c r="B44" s="33"/>
      <c r="C44" s="33"/>
      <c r="D44" s="33"/>
      <c r="E44" s="33"/>
    </row>
    <row r="45" spans="1:5">
      <c r="A45" s="25" t="s">
        <v>587</v>
      </c>
      <c r="B45" s="25" t="s">
        <v>588</v>
      </c>
    </row>
    <row r="46" spans="1:5" ht="30" customHeight="1">
      <c r="A46" s="5" t="s">
        <v>589</v>
      </c>
      <c r="B46" s="35" t="s">
        <v>590</v>
      </c>
      <c r="C46" s="33"/>
      <c r="D46" s="33"/>
    </row>
    <row r="47" spans="1:5" ht="15" customHeight="1">
      <c r="A47" s="5" t="s">
        <v>591</v>
      </c>
      <c r="B47" s="35" t="s">
        <v>592</v>
      </c>
      <c r="C47" s="33"/>
      <c r="D47" s="33"/>
    </row>
    <row r="48" spans="1:5" ht="30" customHeight="1">
      <c r="A48" s="5" t="s">
        <v>593</v>
      </c>
      <c r="B48" s="35" t="s">
        <v>594</v>
      </c>
      <c r="C48" s="33"/>
      <c r="D48" s="33"/>
    </row>
    <row r="49" spans="1:5" ht="15" customHeight="1">
      <c r="A49" s="5" t="s">
        <v>595</v>
      </c>
      <c r="B49" s="35" t="s">
        <v>596</v>
      </c>
      <c r="C49" s="33"/>
      <c r="D49" s="33"/>
    </row>
    <row r="50" spans="1:5" ht="15" customHeight="1">
      <c r="A50" s="5" t="s">
        <v>597</v>
      </c>
      <c r="B50" s="35" t="s">
        <v>598</v>
      </c>
      <c r="C50" s="33"/>
      <c r="D50" s="33"/>
    </row>
    <row r="51" spans="1:5" ht="15" customHeight="1">
      <c r="A51" s="5" t="s">
        <v>599</v>
      </c>
      <c r="B51" s="35" t="s">
        <v>600</v>
      </c>
      <c r="C51" s="33"/>
      <c r="D51" s="33"/>
    </row>
    <row r="52" spans="1:5" ht="30" customHeight="1">
      <c r="A52" s="5" t="s">
        <v>601</v>
      </c>
      <c r="B52" s="35" t="s">
        <v>602</v>
      </c>
      <c r="C52" s="33"/>
      <c r="D52" s="33"/>
    </row>
    <row r="53" spans="1:5" ht="30" customHeight="1">
      <c r="A53" s="5" t="s">
        <v>603</v>
      </c>
      <c r="B53" s="35" t="s">
        <v>604</v>
      </c>
      <c r="C53" s="33"/>
      <c r="D53" s="33"/>
    </row>
    <row r="54" spans="1:5" ht="15" customHeight="1">
      <c r="A54" s="5" t="s">
        <v>605</v>
      </c>
      <c r="B54" s="35" t="s">
        <v>606</v>
      </c>
      <c r="C54" s="33"/>
      <c r="D54" s="33"/>
    </row>
    <row r="55" spans="1:5" ht="15" customHeight="1">
      <c r="A55" s="5" t="s">
        <v>607</v>
      </c>
      <c r="B55" s="35" t="s">
        <v>608</v>
      </c>
      <c r="C55" s="33"/>
      <c r="D55" s="33"/>
    </row>
    <row r="56" spans="1:5" ht="15" customHeight="1">
      <c r="A56" s="5" t="s">
        <v>609</v>
      </c>
      <c r="B56" s="35" t="s">
        <v>610</v>
      </c>
      <c r="C56" s="33"/>
      <c r="D56" s="33"/>
    </row>
    <row r="57" spans="1:5" ht="30" customHeight="1">
      <c r="A57" s="5" t="s">
        <v>611</v>
      </c>
      <c r="B57" s="35" t="s">
        <v>612</v>
      </c>
      <c r="C57" s="33"/>
      <c r="D57" s="33"/>
    </row>
    <row r="58" spans="1:5" ht="15" customHeight="1">
      <c r="A58" s="5" t="s">
        <v>613</v>
      </c>
      <c r="B58" s="35" t="s">
        <v>614</v>
      </c>
      <c r="C58" s="33"/>
      <c r="D58" s="33"/>
    </row>
    <row r="60" spans="1:5">
      <c r="A60" s="36" t="s">
        <v>615</v>
      </c>
      <c r="B60" s="33"/>
      <c r="C60" s="33"/>
      <c r="D60" s="33"/>
      <c r="E60" s="33"/>
    </row>
    <row r="61" spans="1:5" ht="45" customHeight="1">
      <c r="A61" s="35" t="s">
        <v>616</v>
      </c>
      <c r="B61" s="33"/>
      <c r="C61" s="33"/>
      <c r="D61" s="33"/>
      <c r="E61" s="33"/>
    </row>
    <row r="62" spans="1:5" ht="15" customHeight="1">
      <c r="A62" s="35" t="s">
        <v>617</v>
      </c>
      <c r="B62" s="33"/>
      <c r="C62" s="33"/>
      <c r="D62" s="33"/>
      <c r="E62" s="33"/>
    </row>
    <row r="63" spans="1:5" ht="45" customHeight="1">
      <c r="A63" s="35" t="s">
        <v>618</v>
      </c>
      <c r="B63" s="33"/>
      <c r="C63" s="33"/>
      <c r="D63" s="33"/>
      <c r="E63" s="33"/>
    </row>
    <row r="64" spans="1:5" ht="45" customHeight="1">
      <c r="A64" s="35" t="s">
        <v>619</v>
      </c>
      <c r="B64" s="33"/>
      <c r="C64" s="33"/>
      <c r="D64" s="33"/>
      <c r="E64" s="33"/>
    </row>
  </sheetData>
  <mergeCells count="24">
    <mergeCell ref="A43:E43"/>
    <mergeCell ref="B46:D46"/>
    <mergeCell ref="A63:E63"/>
    <mergeCell ref="B56:D56"/>
    <mergeCell ref="B58:D58"/>
    <mergeCell ref="B52:D52"/>
    <mergeCell ref="A44:E44"/>
    <mergeCell ref="B48:D48"/>
    <mergeCell ref="A64:E64"/>
    <mergeCell ref="B57:D57"/>
    <mergeCell ref="A60:E60"/>
    <mergeCell ref="A1:E1"/>
    <mergeCell ref="B53:D53"/>
    <mergeCell ref="A61:E61"/>
    <mergeCell ref="B49:D49"/>
    <mergeCell ref="B55:D55"/>
    <mergeCell ref="B51:D51"/>
    <mergeCell ref="A2:E2"/>
    <mergeCell ref="B50:D50"/>
    <mergeCell ref="B47:D47"/>
    <mergeCell ref="B54:D54"/>
    <mergeCell ref="A35:E35"/>
    <mergeCell ref="A4:E4"/>
    <mergeCell ref="A62:E6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0-Indice</vt:lpstr>
      <vt:lpstr>1-Input</vt:lpstr>
      <vt:lpstr>P-Parametri</vt:lpstr>
      <vt:lpstr>2-Caso</vt:lpstr>
      <vt:lpstr>3-Liquidita</vt:lpstr>
      <vt:lpstr>4-Griglia</vt:lpstr>
      <vt:lpstr>5-Roberta</vt:lpstr>
      <vt:lpstr>6-Banda</vt:lpstr>
      <vt:lpstr>7-Refill</vt:lpstr>
      <vt:lpstr>8-Kitces</vt:lpstr>
      <vt:lpstr>9-ETF-unico</vt:lpstr>
      <vt:lpstr>10-Benz</vt:lpstr>
      <vt:lpstr>11-Verifica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Antonio Ruggiero</cp:lastModifiedBy>
  <dcterms:created xsi:type="dcterms:W3CDTF">2026-09-09T16:13:52Z</dcterms:created>
  <dcterms:modified xsi:type="dcterms:W3CDTF">2026-09-09T16:14:10Z</dcterms:modified>
</cp:coreProperties>
</file>